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TỔNG KLH + TN" sheetId="1" r:id="rId5"/>
    <sheet state="visible" name="01. TH" sheetId="2" r:id="rId6"/>
    <sheet state="visible" name="02. MM-KLH" sheetId="3" r:id="rId7"/>
    <sheet state="visible" name="02.1 NHÓM XE &amp; MÁY" sheetId="4" r:id="rId8"/>
    <sheet state="visible" name="03. THIẾT BỊ" sheetId="5" r:id="rId9"/>
    <sheet state="visible" name="XE &amp; MÁY CG AGRI" sheetId="6" r:id="rId10"/>
    <sheet state="visible" name="TB CG AGRI" sheetId="7" r:id="rId11"/>
    <sheet state="visible" name="NS QUẢN LÝ CG" sheetId="8" r:id="rId12"/>
    <sheet state="visible" name="04. XMA" sheetId="9" r:id="rId13"/>
    <sheet state="hidden" name="03.1 NHÓM TB" sheetId="10" r:id="rId14"/>
    <sheet state="hidden" name="Danh mục" sheetId="11" r:id="rId15"/>
    <sheet state="hidden" name="Thông số" sheetId="12" r:id="rId16"/>
    <sheet state="visible" name="05. MPC" sheetId="13" r:id="rId17"/>
    <sheet state="visible" name="07. MFĐ" sheetId="14" r:id="rId18"/>
    <sheet state="hidden" name="06. MCG-MKH" sheetId="15" r:id="rId19"/>
    <sheet state="visible" name="08. ĐKĐK" sheetId="16" r:id="rId20"/>
    <sheet state="hidden" name="THIẾT BỊ ĐIỆN NƯỚC" sheetId="17" r:id="rId21"/>
    <sheet state="hidden" name=" 02.1 KLH-CN MÃ BRAVO MM" sheetId="18" r:id="rId22"/>
    <sheet state="hidden" name="03.1-TB.SXCN" sheetId="19" r:id="rId23"/>
    <sheet state="hidden" name="TT BTSC" sheetId="20" r:id="rId24"/>
  </sheets>
  <definedNames>
    <definedName hidden="1" localSheetId="4" name="_xlnm._FilterDatabase">'03. THIẾT BỊ'!$A$2:$S$882</definedName>
    <definedName hidden="1" localSheetId="9" name="_xlnm._FilterDatabase">'03.1 NHÓM TB'!$A$2:$S$938</definedName>
    <definedName hidden="1" localSheetId="10" name="_xlnm._FilterDatabase">'Danh mục'!$B$1:$I$1763</definedName>
    <definedName hidden="1" localSheetId="11" name="_xlnm._FilterDatabase">'Thông số'!$A$1:$B$102</definedName>
    <definedName hidden="1" localSheetId="17" name="_xlnm._FilterDatabase">' 02.1 KLH-CN MÃ BRAVO MM'!$A$2:$R$3</definedName>
    <definedName hidden="1" localSheetId="18" name="_xlnm._FilterDatabase">'03.1-TB.SXCN'!$A$2:$Q$342</definedName>
  </definedNames>
  <calcPr/>
</workbook>
</file>

<file path=xl/sharedStrings.xml><?xml version="1.0" encoding="utf-8"?>
<sst xmlns="http://schemas.openxmlformats.org/spreadsheetml/2006/main" count="48175" uniqueCount="8722">
  <si>
    <t>https://docs.google.com/spreadsheets/d/1i-eBGlD9GCKjjW_oVzhKXTG7rkg5adA55PmkVD7FH2A/edit?usp=sharing</t>
  </si>
  <si>
    <t>F</t>
  </si>
  <si>
    <t xml:space="preserve">  </t>
  </si>
  <si>
    <t>THÔNG TIN MÁY MÓC THIẾT BỊ</t>
  </si>
  <si>
    <t>TỔNG HỢP XE - MÁY MÓC THIẾT BỊ KLH KOUNMOM</t>
  </si>
  <si>
    <t>TT</t>
  </si>
  <si>
    <t>Mã MMTB
mới</t>
  </si>
  <si>
    <t>Mã MMTB
cũ</t>
  </si>
  <si>
    <t>Mã Bravo</t>
  </si>
  <si>
    <t>Biển số xe</t>
  </si>
  <si>
    <t>Tình trạng mua</t>
  </si>
  <si>
    <t>Tên MMTB</t>
  </si>
  <si>
    <t>LOẠI MMTB</t>
  </si>
  <si>
    <t>Đơn vị 
sử dụng</t>
  </si>
  <si>
    <t>Ngày phân bổ</t>
  </si>
  <si>
    <t>STT</t>
  </si>
  <si>
    <t>TÊN MÁY MÓC THIẾT BỊ</t>
  </si>
  <si>
    <t>Công suất</t>
  </si>
  <si>
    <t>Giá trị
còn lại</t>
  </si>
  <si>
    <t>Lịch sử điều chuyển</t>
  </si>
  <si>
    <t>Kích thước</t>
  </si>
  <si>
    <t>NHÃN HIỆU</t>
  </si>
  <si>
    <t>XUẤT XỨ</t>
  </si>
  <si>
    <t>NĂM SX</t>
  </si>
  <si>
    <t>Đvt</t>
  </si>
  <si>
    <t>MODEL</t>
  </si>
  <si>
    <t>CÔNG SUẤT</t>
  </si>
  <si>
    <t>Số khung</t>
  </si>
  <si>
    <t>KV DAUPENH</t>
  </si>
  <si>
    <t>Số máy</t>
  </si>
  <si>
    <t>Định mức nhiên liệu (l/h) hoặc (l/km)</t>
  </si>
  <si>
    <t>Dung tích thùng nhiên liệu (lít)</t>
  </si>
  <si>
    <t>NHÀ CUNG CẤP</t>
  </si>
  <si>
    <t>Ghi chú</t>
  </si>
  <si>
    <t>Hình ảnh MMTB</t>
  </si>
  <si>
    <t>KV LUMPHAT</t>
  </si>
  <si>
    <t>KV ANDONGMEAS</t>
  </si>
  <si>
    <t>Mã tài sản
(Kế toán)</t>
  </si>
  <si>
    <t>KLH</t>
  </si>
  <si>
    <t>TỔNG</t>
  </si>
  <si>
    <t>HƯ HỎNG</t>
  </si>
  <si>
    <t>Cập nhật ttrong link:</t>
  </si>
  <si>
    <t>I. ĐẦU TƯ XÂY DỰNG</t>
  </si>
  <si>
    <t>Ghi chú</t>
  </si>
  <si>
    <t>CGTC DP</t>
  </si>
  <si>
    <t>CGLĐ DP</t>
  </si>
  <si>
    <t>XN Chuối DP1</t>
  </si>
  <si>
    <t>XN Chuối DP2</t>
  </si>
  <si>
    <t>XN Chuối DP3</t>
  </si>
  <si>
    <t>CAT DP</t>
  </si>
  <si>
    <t>Xưởng Cơ khí DP</t>
  </si>
  <si>
    <t>NM NHỰA -XỐP DP</t>
  </si>
  <si>
    <t>Tổng kho</t>
  </si>
  <si>
    <t>PHÂN LOẠI</t>
  </si>
  <si>
    <t>Thư mục Hình ảnh</t>
  </si>
  <si>
    <t>CGTC LP</t>
  </si>
  <si>
    <t>CGLĐ LP</t>
  </si>
  <si>
    <t>XN Chuối LP1</t>
  </si>
  <si>
    <t>XN Chuối LP3</t>
  </si>
  <si>
    <t>CGTC AD</t>
  </si>
  <si>
    <t>KLH KOUN MOM</t>
  </si>
  <si>
    <t>CAT AD</t>
  </si>
  <si>
    <t>XN Bò AD</t>
  </si>
  <si>
    <t>Xưởng Cơ khí ADM&amp;LP</t>
  </si>
  <si>
    <t>Phòng GNVC</t>
  </si>
  <si>
    <t>Trạm trộn bê tông</t>
  </si>
  <si>
    <t>Ban điện nước</t>
  </si>
  <si>
    <t>THACO ID&amp;ME</t>
  </si>
  <si>
    <t>HÀNH CHÍNH KLH</t>
  </si>
  <si>
    <t>THAGRICONS</t>
  </si>
  <si>
    <t>BAN CG-CK &amp; SXCN</t>
  </si>
  <si>
    <t>BAN KT CHUỐI</t>
  </si>
  <si>
    <t>I.1</t>
  </si>
  <si>
    <t>Máy đào</t>
  </si>
  <si>
    <t>Cơ giới thi công DP</t>
  </si>
  <si>
    <t>I. MÁY CÔNG TRÌNH (ĐÀO, ỦI, LU, BAN)</t>
  </si>
  <si>
    <t>-</t>
  </si>
  <si>
    <t>MÁY ĐÀO</t>
  </si>
  <si>
    <t>CHT-MĐA-001</t>
  </si>
  <si>
    <t>ĐQSD</t>
  </si>
  <si>
    <t>*</t>
  </si>
  <si>
    <t>M. ĐÀO 0.7-1.2M3</t>
  </si>
  <si>
    <t>Máy đào KOBELCO bánh xích gàu 1.2m3</t>
  </si>
  <si>
    <t>KOBELCO</t>
  </si>
  <si>
    <t>NHẬT BẢN</t>
  </si>
  <si>
    <t>SK200-08</t>
  </si>
  <si>
    <t>170HP</t>
  </si>
  <si>
    <t xml:space="preserve">LQ16-10073 </t>
  </si>
  <si>
    <t>R0033333</t>
  </si>
  <si>
    <t>CHT-MĐA-002</t>
  </si>
  <si>
    <t>Máy đào SH210 bánh xích gàu 0.9m3</t>
  </si>
  <si>
    <t>ATT-A23-0025</t>
  </si>
  <si>
    <t>SUMITOMO</t>
  </si>
  <si>
    <t>SH210</t>
  </si>
  <si>
    <t>156HP</t>
  </si>
  <si>
    <t>STN210T6P00BH2390</t>
  </si>
  <si>
    <t>CCN</t>
  </si>
  <si>
    <t>M.Đào Gàu 0.5-1.2m3</t>
  </si>
  <si>
    <t>CHT-MĐA-003</t>
  </si>
  <si>
    <t>Máy đào DX140W bánh lốp gàu 0.7m3</t>
  </si>
  <si>
    <t>Máy đào CAT 305 bánh xích gàu 0.3m3</t>
  </si>
  <si>
    <t>45HP</t>
  </si>
  <si>
    <t>DOOSAN</t>
  </si>
  <si>
    <t>HÀN QUỐC</t>
  </si>
  <si>
    <t>DX140W</t>
  </si>
  <si>
    <t>133HP</t>
  </si>
  <si>
    <t>DHKCEWAAVK5008713</t>
  </si>
  <si>
    <t>CHT-MĐA-004</t>
  </si>
  <si>
    <t>Xe</t>
  </si>
  <si>
    <t>DHKCEWAAEK5008652</t>
  </si>
  <si>
    <t>CHT-MĐA-044</t>
  </si>
  <si>
    <t>SH210-6</t>
  </si>
  <si>
    <t>160HP</t>
  </si>
  <si>
    <t>STN210T6P00BH2695</t>
  </si>
  <si>
    <t>CHT-MĐA-045</t>
  </si>
  <si>
    <t>Máy đào SH130 bánh xích gàu 0.5m3</t>
  </si>
  <si>
    <t>SH130-6</t>
  </si>
  <si>
    <t>96HP</t>
  </si>
  <si>
    <t>STN130T6A00BH1835</t>
  </si>
  <si>
    <t>6041164JJ1</t>
  </si>
  <si>
    <t>ATT-A23-0011</t>
  </si>
  <si>
    <t>CHT-MUI-001</t>
  </si>
  <si>
    <t>Máy ủi KOMATSU D31PX</t>
  </si>
  <si>
    <t>KOMATSU</t>
  </si>
  <si>
    <t>D31PX</t>
  </si>
  <si>
    <t>80HP</t>
  </si>
  <si>
    <t>KMT0D007V0151352</t>
  </si>
  <si>
    <t>CHT-MUI-002</t>
  </si>
  <si>
    <t>Máy ủi KOMATSU D60P-12E</t>
  </si>
  <si>
    <t>D60P-12E</t>
  </si>
  <si>
    <t>190HP</t>
  </si>
  <si>
    <t>D60P1260763</t>
  </si>
  <si>
    <t>CHT-MUI-010</t>
  </si>
  <si>
    <t>Máy ủi KOMATSU D65P-12</t>
  </si>
  <si>
    <t>ATM-A22-0087</t>
  </si>
  <si>
    <t>D65P-12</t>
  </si>
  <si>
    <t>D65P1260304</t>
  </si>
  <si>
    <t>6D12554976</t>
  </si>
  <si>
    <t>CHT-MUI-013</t>
  </si>
  <si>
    <t>MỚI (ĐQSD)</t>
  </si>
  <si>
    <t>A23-MUI-013</t>
  </si>
  <si>
    <t>28/05/2025</t>
  </si>
  <si>
    <t>Đầu tư mới  ĐQSD (Tài sản DP)
- Bàn giao về CGTC ADM theo TTr số 04-T05/2025/B.XDCB</t>
  </si>
  <si>
    <t>D60P1260928</t>
  </si>
  <si>
    <t>6D12562174</t>
  </si>
  <si>
    <t>CHT-XTA-014</t>
  </si>
  <si>
    <t>Xe ben AUMAN GTL D300 E4</t>
  </si>
  <si>
    <t>THACO AUMAN</t>
  </si>
  <si>
    <t>VIỆT NAM</t>
  </si>
  <si>
    <t>GTL D300E4</t>
  </si>
  <si>
    <t>375HP</t>
  </si>
  <si>
    <t>RNHD30FWAJC078089</t>
  </si>
  <si>
    <t>CHT-MĐA-013</t>
  </si>
  <si>
    <t>CHT-XTA-024</t>
  </si>
  <si>
    <t>MỚI</t>
  </si>
  <si>
    <t>A23-XTA-024</t>
  </si>
  <si>
    <t>3A-6815</t>
  </si>
  <si>
    <t>Xe ben HOWO TXD600</t>
  </si>
  <si>
    <t>130HP</t>
  </si>
  <si>
    <t>ATT-A24-0053</t>
  </si>
  <si>
    <t xml:space="preserve">Đầu tư mới </t>
  </si>
  <si>
    <t>HOWO</t>
  </si>
  <si>
    <t>HOWO TX D600</t>
  </si>
  <si>
    <t>380HP</t>
  </si>
  <si>
    <t>RNHD24CWANT057806</t>
  </si>
  <si>
    <t>1622B008395</t>
  </si>
  <si>
    <t>CHT-XTA-025</t>
  </si>
  <si>
    <t>A23-XTA-025</t>
  </si>
  <si>
    <t>3A-6820</t>
  </si>
  <si>
    <t>RNHD24CWANT057808</t>
  </si>
  <si>
    <t>1622B008391</t>
  </si>
  <si>
    <t>CHT-XTA-026</t>
  </si>
  <si>
    <t xml:space="preserve"> </t>
  </si>
  <si>
    <t>A23-XTA-026</t>
  </si>
  <si>
    <t>3A-6821</t>
  </si>
  <si>
    <t xml:space="preserve">- Chuyển ra CGTC AD mượn
Đầu tư mới </t>
  </si>
  <si>
    <t>RNHD24CWANT057810</t>
  </si>
  <si>
    <t>1622B008389</t>
  </si>
  <si>
    <t>CHT-XTA-036</t>
  </si>
  <si>
    <t>A23-XTA-036</t>
  </si>
  <si>
    <t>3A-6818</t>
  </si>
  <si>
    <t>CHT-MĐA-046</t>
  </si>
  <si>
    <t>ATM-A22-0086</t>
  </si>
  <si>
    <t>RNHD24CWART000069</t>
  </si>
  <si>
    <t>1622F024360</t>
  </si>
  <si>
    <t>CHT-XLU-001</t>
  </si>
  <si>
    <t>Xe lu rung SV521DH 11 tấn</t>
  </si>
  <si>
    <t>SAKAI</t>
  </si>
  <si>
    <t>SV521DH</t>
  </si>
  <si>
    <t>112HP</t>
  </si>
  <si>
    <t>2SV6610202</t>
  </si>
  <si>
    <t>CHT-XLU-002</t>
  </si>
  <si>
    <t>Xe lu tĩnh R2 10 tấn</t>
  </si>
  <si>
    <t>CHT-MĐA-024</t>
  </si>
  <si>
    <t>R2S</t>
  </si>
  <si>
    <t>74HP</t>
  </si>
  <si>
    <t>RR211446</t>
  </si>
  <si>
    <t>W04DA26254</t>
  </si>
  <si>
    <t>ATT-A22-0143</t>
  </si>
  <si>
    <t>CHT-XBO-005</t>
  </si>
  <si>
    <t>Xe bồn AUMAN ETX D300 (tưới đường)</t>
  </si>
  <si>
    <t>AUMAN</t>
  </si>
  <si>
    <t xml:space="preserve"> ETX D300</t>
  </si>
  <si>
    <t>330HP</t>
  </si>
  <si>
    <t>RNHD30FWANT067862</t>
  </si>
  <si>
    <t>WP10336E431622D017084</t>
  </si>
  <si>
    <t>CHT-BAN-003</t>
  </si>
  <si>
    <t>Xe ban KOMATSU GD605A</t>
  </si>
  <si>
    <t>GD605A-5</t>
  </si>
  <si>
    <t>145HP</t>
  </si>
  <si>
    <t>G605A54617</t>
  </si>
  <si>
    <t>6D12561378</t>
  </si>
  <si>
    <t>CHT-BAN-001</t>
  </si>
  <si>
    <t>Xe ban Komatsu 705A</t>
  </si>
  <si>
    <t>705A</t>
  </si>
  <si>
    <t>200HP</t>
  </si>
  <si>
    <t>G70A4A11006</t>
  </si>
  <si>
    <t>CHT-MĐA-058</t>
  </si>
  <si>
    <t>CHT-MĐA-066</t>
  </si>
  <si>
    <t>Máy đào KOMATSU bánh xích gàu 0.3m3</t>
  </si>
  <si>
    <t>29/07/2024</t>
  </si>
  <si>
    <t xml:space="preserve">Bàn giao về XDCB (DP3) ngày 29/07/2024 </t>
  </si>
  <si>
    <t>NHẬT BẢN</t>
  </si>
  <si>
    <t>PC40MR-3</t>
  </si>
  <si>
    <t>40HP</t>
  </si>
  <si>
    <t>KMTPC212VFE019356</t>
  </si>
  <si>
    <t>CHT-MĐA-059</t>
  </si>
  <si>
    <t>26/07/2024</t>
  </si>
  <si>
    <t xml:space="preserve">Bàn giao về XDCB (DP2) ngày 26/07/2024 </t>
  </si>
  <si>
    <t>KMTPC203L04019805</t>
  </si>
  <si>
    <t>CHT-MĐA-060</t>
  </si>
  <si>
    <t xml:space="preserve">Bàn giao về XDCB (DP1) ngày 29/07/2024 </t>
  </si>
  <si>
    <t>KMTPC203AFE023466</t>
  </si>
  <si>
    <t>CHT-MĐA-062</t>
  </si>
  <si>
    <t>A23-MĐA-062</t>
  </si>
  <si>
    <t>ĐTM (ĐQSD)</t>
  </si>
  <si>
    <t xml:space="preserve">Bàn giao về XDCB ngày 01/11/2024 </t>
  </si>
  <si>
    <t>PC55MR-3</t>
  </si>
  <si>
    <t>020242</t>
  </si>
  <si>
    <t>CHT-MĐA-063</t>
  </si>
  <si>
    <t>A23-MĐA-063</t>
  </si>
  <si>
    <t>ATT-A23-0034</t>
  </si>
  <si>
    <t>019139</t>
  </si>
  <si>
    <t>CHT-MĐA-047</t>
  </si>
  <si>
    <t>Bàn giao về XDCB ngày 01/07/2024</t>
  </si>
  <si>
    <t>KMTPC203V04021194</t>
  </si>
  <si>
    <t>CHT-MĐA-048</t>
  </si>
  <si>
    <t xml:space="preserve">Bàn giao về XDCB ngày 01/07/2024 </t>
  </si>
  <si>
    <t>KMTPC203K04021031</t>
  </si>
  <si>
    <t>CHT-MĐA-078</t>
  </si>
  <si>
    <t>A23-MĐA-078</t>
  </si>
  <si>
    <t>Xe đã qua sử dụng bàn giao XDCB ngày 13/11/2025</t>
  </si>
  <si>
    <t>PC40MR-3-AC</t>
  </si>
  <si>
    <t>KMTPC203KFE023963</t>
  </si>
  <si>
    <t>KACJ4722</t>
  </si>
  <si>
    <t>CƯỜNG CƠ GIỚI</t>
  </si>
  <si>
    <t>CHT-XLU-008</t>
  </si>
  <si>
    <t>Xe lu rung DYNAPAC 5 tấn</t>
  </si>
  <si>
    <t>Bàn giao về XDCB (DP1) ngày 02/08/2024 
XN DP1 bàn giao lại CGTC DP ngày 19/08/2025</t>
  </si>
  <si>
    <t>HITACHI</t>
  </si>
  <si>
    <t>TRUNG QUỐC</t>
  </si>
  <si>
    <t>CC150C-2</t>
  </si>
  <si>
    <t>75HP</t>
  </si>
  <si>
    <t>ATT-A23-0012</t>
  </si>
  <si>
    <t>HCM8U600L00010288</t>
  </si>
  <si>
    <t>3LD2-453954</t>
  </si>
  <si>
    <t>A23-MĐA-066</t>
  </si>
  <si>
    <t>Máy đào KOMATSU bánh lốp gàu 0.7m3</t>
  </si>
  <si>
    <t>Bàn giao về XDCB ngày 11/02/2025
- Bàn giao về B.ĐN theo TTr số 03-T02/2025/B.XDCB</t>
  </si>
  <si>
    <t>ĐỨC</t>
  </si>
  <si>
    <t>PW160-7</t>
  </si>
  <si>
    <t>120HP</t>
  </si>
  <si>
    <t>KMTPW013T79H50346</t>
  </si>
  <si>
    <t>CHT-MĐA-067</t>
  </si>
  <si>
    <t>A23-MĐA-067</t>
  </si>
  <si>
    <t>Máy đào KOMATSU bánh lốp gàu 0.8m3</t>
  </si>
  <si>
    <t>Bàn giao về XDCB ngày 11/02/2025</t>
  </si>
  <si>
    <t>PW200-7</t>
  </si>
  <si>
    <t>150HP</t>
  </si>
  <si>
    <t>KMTPW015K79H50237</t>
  </si>
  <si>
    <t>CHT-MĐA-072</t>
  </si>
  <si>
    <t>A23-MĐA-072</t>
  </si>
  <si>
    <t>Máy đào KOMATSU bánh xích gàu 0.8m3</t>
  </si>
  <si>
    <t>Đầu tư mới (Tài sản DP)</t>
  </si>
  <si>
    <t>PC228US-3N0</t>
  </si>
  <si>
    <t>KMTPC057E02032035</t>
  </si>
  <si>
    <t>6D1022638264</t>
  </si>
  <si>
    <t>CHT-MUI-011</t>
  </si>
  <si>
    <t>A23-MUI-011</t>
  </si>
  <si>
    <t>CHT-MĐA-015</t>
  </si>
  <si>
    <t>D31PX-21</t>
  </si>
  <si>
    <t>76HP</t>
  </si>
  <si>
    <t>D31PX2150296</t>
  </si>
  <si>
    <t>4D10226319872</t>
  </si>
  <si>
    <t>CHT-XTA-030</t>
  </si>
  <si>
    <t>A23-XTA-030</t>
  </si>
  <si>
    <t>3A-6816</t>
  </si>
  <si>
    <t>Xe ben FD150</t>
  </si>
  <si>
    <t>ATT-A24-0049</t>
  </si>
  <si>
    <t>Bàn giao về XDCB ngày 07/03/2025</t>
  </si>
  <si>
    <t>THACO FORLAND</t>
  </si>
  <si>
    <t xml:space="preserve">FD150-4WD </t>
  </si>
  <si>
    <t>RNHF16FYART000834</t>
  </si>
  <si>
    <t>D59M1N01254</t>
  </si>
  <si>
    <t>CHT-XTA-031</t>
  </si>
  <si>
    <t>A23-XTA-031</t>
  </si>
  <si>
    <t>3A-6817</t>
  </si>
  <si>
    <t>FD150-4WD</t>
  </si>
  <si>
    <t>RNHF16FYART000835</t>
  </si>
  <si>
    <t>D59M1N01360</t>
  </si>
  <si>
    <t>CHT-XTA-037</t>
  </si>
  <si>
    <t>A23-XTA-037</t>
  </si>
  <si>
    <t>Xe ben FC150</t>
  </si>
  <si>
    <t>29/05/2025</t>
  </si>
  <si>
    <t>Bàn giao về XDCB ngày 29/05/2025</t>
  </si>
  <si>
    <t>FC150-4WD</t>
  </si>
  <si>
    <t>RNHF16FYBRT000132</t>
  </si>
  <si>
    <t>D59M1N01088</t>
  </si>
  <si>
    <t>CHT-XTA-038</t>
  </si>
  <si>
    <t>A23-XTA-038</t>
  </si>
  <si>
    <t>RNHF16FYBRT000133</t>
  </si>
  <si>
    <t>D59M1N01089</t>
  </si>
  <si>
    <t>CHT-MĐA-016</t>
  </si>
  <si>
    <t>CHT-XTA-039</t>
  </si>
  <si>
    <t>A23-XTA-039</t>
  </si>
  <si>
    <t>RNHF16FYBRT000134</t>
  </si>
  <si>
    <t>D59M1N01091</t>
  </si>
  <si>
    <t>CHT-XTA-040</t>
  </si>
  <si>
    <t>A23-XTA-040</t>
  </si>
  <si>
    <t>ATT-A24-0050</t>
  </si>
  <si>
    <t>RNHF16FYBRT000135</t>
  </si>
  <si>
    <t>D59M1N01092</t>
  </si>
  <si>
    <t>CHT-XTA-044</t>
  </si>
  <si>
    <t>A23-XTA-041</t>
  </si>
  <si>
    <t>3A-6828</t>
  </si>
  <si>
    <t>Xe ben FD120</t>
  </si>
  <si>
    <t>Đầu tư mới</t>
  </si>
  <si>
    <t>FD120-4WD</t>
  </si>
  <si>
    <t>129HP</t>
  </si>
  <si>
    <t>RNHF12FNBRT002062</t>
  </si>
  <si>
    <t>YN38CRD1*AGN22000242*</t>
  </si>
  <si>
    <t>CHT-XTA-045</t>
  </si>
  <si>
    <t>A23-XTA-042</t>
  </si>
  <si>
    <t>3A-6827</t>
  </si>
  <si>
    <t>RNHF12FNBRT002063</t>
  </si>
  <si>
    <t>YN38CRD1*AGN22000243*</t>
  </si>
  <si>
    <t>CHT-XTA-046</t>
  </si>
  <si>
    <t>A23-XTA-043</t>
  </si>
  <si>
    <t>3A-6826</t>
  </si>
  <si>
    <t>RNHF12FNBRT002064</t>
  </si>
  <si>
    <t>YN38CRD1*AGN22000244*</t>
  </si>
  <si>
    <t>CHT-XTA-047</t>
  </si>
  <si>
    <t>A23-XTA-044</t>
  </si>
  <si>
    <t>3A-6825</t>
  </si>
  <si>
    <t>CHT-MĐA-025</t>
  </si>
  <si>
    <t>RNHF12FNBRT002065</t>
  </si>
  <si>
    <t>YN38CRD1*AGN22000245*</t>
  </si>
  <si>
    <t>CHT-XTA-049</t>
  </si>
  <si>
    <t>A23-XTA-045</t>
  </si>
  <si>
    <t>3A-6829</t>
  </si>
  <si>
    <t>ATT-A22-0120</t>
  </si>
  <si>
    <t>RNHD24CWART00061</t>
  </si>
  <si>
    <t>WP10380E53*1622F024366*</t>
  </si>
  <si>
    <t>CHT-XTA-050</t>
  </si>
  <si>
    <t>A23-XTA-046</t>
  </si>
  <si>
    <t>3A-6819</t>
  </si>
  <si>
    <t>RNHD24CWART00062</t>
  </si>
  <si>
    <t>WP10380E53*1622F024350*</t>
  </si>
  <si>
    <t>CHT-XCA-004</t>
  </si>
  <si>
    <t>A23-XCA-004</t>
  </si>
  <si>
    <t>Xe cẩu bàn 5 tấn</t>
  </si>
  <si>
    <t>TXD800-ND2</t>
  </si>
  <si>
    <t>RNHD30CWANT058649</t>
  </si>
  <si>
    <t>WP10380E53*1622B008536*</t>
  </si>
  <si>
    <t>ko xoá</t>
  </si>
  <si>
    <t>I.2</t>
  </si>
  <si>
    <t>Cơ giới thi công LP</t>
  </si>
  <si>
    <t>CHT-MĐA-026</t>
  </si>
  <si>
    <t>CHT-BAN-002</t>
  </si>
  <si>
    <t>XB 02 HT-KLH</t>
  </si>
  <si>
    <t>G60A51575</t>
  </si>
  <si>
    <t>6D12562969</t>
  </si>
  <si>
    <t>CHT-MUI-003</t>
  </si>
  <si>
    <t>XU 03 HT-KLH</t>
  </si>
  <si>
    <t>KMT0D007T01051120</t>
  </si>
  <si>
    <t>4D10226384955</t>
  </si>
  <si>
    <t>CHT-MUI-004</t>
  </si>
  <si>
    <t>XU 04 HT-KLH</t>
  </si>
  <si>
    <t>CHT-MĐA-077</t>
  </si>
  <si>
    <t>KMT0D007C01051611</t>
  </si>
  <si>
    <t>4D10226427091</t>
  </si>
  <si>
    <t>ATT-A22-0121</t>
  </si>
  <si>
    <t>CHT-MUI-009</t>
  </si>
  <si>
    <t>XU 09 HT-KLH</t>
  </si>
  <si>
    <t>M.Đào Gàu 0.5-1.2m4</t>
  </si>
  <si>
    <t>Máy ủi KOMATSU D60P</t>
  </si>
  <si>
    <t>D60P</t>
  </si>
  <si>
    <t>D60P1261254</t>
  </si>
  <si>
    <t>6D125-30638</t>
  </si>
  <si>
    <t>CHT-XLU-003</t>
  </si>
  <si>
    <t>XL 03 HT-KLH</t>
  </si>
  <si>
    <t>2SV6610477</t>
  </si>
  <si>
    <t>CHT-XLU-004</t>
  </si>
  <si>
    <t>XL 04 HT-KLH</t>
  </si>
  <si>
    <t>R2</t>
  </si>
  <si>
    <t>XB1-MĐA-006</t>
  </si>
  <si>
    <t>RR321551</t>
  </si>
  <si>
    <t>W04DF15218</t>
  </si>
  <si>
    <t>CHT-XTA-004</t>
  </si>
  <si>
    <t>XT 04 HT-KLH</t>
  </si>
  <si>
    <t>Xe ben FD140</t>
  </si>
  <si>
    <t>ATT-A22-0122</t>
  </si>
  <si>
    <t>FD140-8T</t>
  </si>
  <si>
    <t>140HP</t>
  </si>
  <si>
    <t>RNHF14FYALT024045</t>
  </si>
  <si>
    <t>YC4D140-48D59M1J20731</t>
  </si>
  <si>
    <t>M.Đào Gàu 0.5-1.2m5</t>
  </si>
  <si>
    <t>CHT-XTA-005</t>
  </si>
  <si>
    <t>XT 05 HT-KLH</t>
  </si>
  <si>
    <t>Xe ben FD850</t>
  </si>
  <si>
    <t>FD850-5T</t>
  </si>
  <si>
    <t>RNHF14FYALC008840</t>
  </si>
  <si>
    <t>D59M1J20132</t>
  </si>
  <si>
    <t>CHT-XTA-017</t>
  </si>
  <si>
    <t>XT 17 HT-KLH</t>
  </si>
  <si>
    <t>RNHD30FWAJCO078095</t>
  </si>
  <si>
    <t>WP10375E431618A009923</t>
  </si>
  <si>
    <t>CHT-XTA-028</t>
  </si>
  <si>
    <t>A24-XTA-021</t>
  </si>
  <si>
    <t>3A-6808</t>
  </si>
  <si>
    <t>RNHD24CWANT063483</t>
  </si>
  <si>
    <t>1622D017391</t>
  </si>
  <si>
    <t>CHT-XTA-029</t>
  </si>
  <si>
    <t>A24-XTA-022</t>
  </si>
  <si>
    <t>3A-6809</t>
  </si>
  <si>
    <t>RNHD24CWANT063484</t>
  </si>
  <si>
    <t>1622D017399</t>
  </si>
  <si>
    <t>MĐ 13 HT-KLH</t>
  </si>
  <si>
    <t>STN210T6V00BH2623</t>
  </si>
  <si>
    <t>CHT-MĐA-014</t>
  </si>
  <si>
    <t>MĐ 14 HT-KLH</t>
  </si>
  <si>
    <t>STN130T6V00BH1607</t>
  </si>
  <si>
    <t>2757064JJ1</t>
  </si>
  <si>
    <t>MĐ 15 HT-KLH</t>
  </si>
  <si>
    <t>CHT-MĐA-071</t>
  </si>
  <si>
    <t>DHKCEWAAHL5008817</t>
  </si>
  <si>
    <t>DB58TIS039588EJ</t>
  </si>
  <si>
    <t>MĐ 16 HT-KLH</t>
  </si>
  <si>
    <t>DHKCEWAAHL5008818</t>
  </si>
  <si>
    <t>DB58TIS039734EJ</t>
  </si>
  <si>
    <t>XL3-MĐA-002</t>
  </si>
  <si>
    <t>CHT-MĐA-050(MĐ20HTKLH)</t>
  </si>
  <si>
    <t>Máy đào U35 bánh xích gàu 0.3m3</t>
  </si>
  <si>
    <t>LP3 đ,chuyển qua ngày 28/06/2024</t>
  </si>
  <si>
    <t>KUBOTA</t>
  </si>
  <si>
    <t>U35-6</t>
  </si>
  <si>
    <t>32HP</t>
  </si>
  <si>
    <t>XL4-MĐA-001</t>
  </si>
  <si>
    <t>LP4-MĐA-001(XLA-MĐA-001)</t>
  </si>
  <si>
    <t>16/07/2024</t>
  </si>
  <si>
    <t>XN LP4 bàn giao về XDCB ngày 16.07.2024</t>
  </si>
  <si>
    <t>PC40-MR</t>
  </si>
  <si>
    <t>39HP</t>
  </si>
  <si>
    <t>CHT-XTA-032</t>
  </si>
  <si>
    <t>A24-XTA-032</t>
  </si>
  <si>
    <t>3A-6813</t>
  </si>
  <si>
    <t>FORLAND</t>
  </si>
  <si>
    <t>RNHF16FYART000830</t>
  </si>
  <si>
    <t>D59M1N01292</t>
  </si>
  <si>
    <t>CHT-XTA-033</t>
  </si>
  <si>
    <t>A24-XTA-033</t>
  </si>
  <si>
    <t>3A-6804</t>
  </si>
  <si>
    <t>RNHF16FYART000831</t>
  </si>
  <si>
    <t>D59M1N01308</t>
  </si>
  <si>
    <t>CHT-XTA-041</t>
  </si>
  <si>
    <t>A24-XTA-034</t>
  </si>
  <si>
    <t>RNHF16FYBRT000136</t>
  </si>
  <si>
    <t>D59M1N01094</t>
  </si>
  <si>
    <t>CHT-XTA-042</t>
  </si>
  <si>
    <t>A24-XTA-035</t>
  </si>
  <si>
    <t>CHT-MĐA-073</t>
  </si>
  <si>
    <t>RNHF16FYBRT000137</t>
  </si>
  <si>
    <t>D59M1N01095</t>
  </si>
  <si>
    <t>CHT-XTA-043</t>
  </si>
  <si>
    <t>A24-XTA-036</t>
  </si>
  <si>
    <t>Máy đào ROBEX 140W bánh lốp gàu 0.5m3</t>
  </si>
  <si>
    <t>RNHF16FYBRT000138</t>
  </si>
  <si>
    <t>D59M1N01096</t>
  </si>
  <si>
    <t>CHT-MĐA-074</t>
  </si>
  <si>
    <t>A24-MĐA-065</t>
  </si>
  <si>
    <t>Đầu tư mới (ĐQSD)</t>
  </si>
  <si>
    <t>PC200-8N1</t>
  </si>
  <si>
    <t>KMTPC197A02351172</t>
  </si>
  <si>
    <t>6D10726567400</t>
  </si>
  <si>
    <t>CHT-XLU-011</t>
  </si>
  <si>
    <t>A24-XLU-008</t>
  </si>
  <si>
    <t>Xe lu rung Sakai 3.5 tấn</t>
  </si>
  <si>
    <t>26/07/2025</t>
  </si>
  <si>
    <t>TW500W‑1</t>
  </si>
  <si>
    <t>VTW1521818</t>
  </si>
  <si>
    <t>A24-MĐA-068</t>
  </si>
  <si>
    <t>Máy đào KOMATSU bánh lốp gàu 0.7m3</t>
  </si>
  <si>
    <t>27/07/2025</t>
  </si>
  <si>
    <t>PW200-1</t>
  </si>
  <si>
    <t>115HP</t>
  </si>
  <si>
    <t>PW200110186</t>
  </si>
  <si>
    <t>6D105121806</t>
  </si>
  <si>
    <t>CHT-MUI-014</t>
  </si>
  <si>
    <t>A24-MUI-014</t>
  </si>
  <si>
    <t>Máy ủi KOMATSU D31PX-21</t>
  </si>
  <si>
    <t>Nhật Bản</t>
  </si>
  <si>
    <t>78HP</t>
  </si>
  <si>
    <t>KMT0D007J01051638</t>
  </si>
  <si>
    <t>4D10226430130</t>
  </si>
  <si>
    <t>M.Đào Gàu 0.5-1.2m6</t>
  </si>
  <si>
    <t>I.3</t>
  </si>
  <si>
    <t>Cơ giới thi công AD</t>
  </si>
  <si>
    <t>CHT-BAN-004</t>
  </si>
  <si>
    <t>G60A54058</t>
  </si>
  <si>
    <t>6D12532782</t>
  </si>
  <si>
    <t>CHT-MUI-005</t>
  </si>
  <si>
    <t>ĐỀ XUẤT THANH LÝ</t>
  </si>
  <si>
    <t>KMT0D0070E01050840</t>
  </si>
  <si>
    <t>4D10226357443</t>
  </si>
  <si>
    <t>CHT-MUI-006</t>
  </si>
  <si>
    <t>M.Đào Gàu 0.5-1.2m7</t>
  </si>
  <si>
    <t>KMT0D007L01050625</t>
  </si>
  <si>
    <t>4D10226340664</t>
  </si>
  <si>
    <t>CHT-MUI-007</t>
  </si>
  <si>
    <t>Máy ủi KOMATSU D65PX-12</t>
  </si>
  <si>
    <t>D65PX-12E</t>
  </si>
  <si>
    <t>205HP</t>
  </si>
  <si>
    <t>D60P1261177</t>
  </si>
  <si>
    <t>6D12564712</t>
  </si>
  <si>
    <t>CHT-MUI-008</t>
  </si>
  <si>
    <t>KMT0D007P01051250</t>
  </si>
  <si>
    <t>4D10226392645</t>
  </si>
  <si>
    <t>CHT-MUI-012</t>
  </si>
  <si>
    <t>A23-MUI-012</t>
  </si>
  <si>
    <t>Bàn giao về XDCB ngày 11/02/2025 (Xe ở ADM)</t>
  </si>
  <si>
    <t>KMT0D007T01051313</t>
  </si>
  <si>
    <t>4D10226397126</t>
  </si>
  <si>
    <t>CHT-MUI-015</t>
  </si>
  <si>
    <t>XB1-MUI-001</t>
  </si>
  <si>
    <t>A23-MUI-014</t>
  </si>
  <si>
    <t>Máy ủi KOMATSU D61</t>
  </si>
  <si>
    <t>20/07/2026</t>
  </si>
  <si>
    <t>- Dự án dứa chuyển qua XNB 
- 20/07/2026 XNB điều  chuyển lại cho CGTC phục vụ dự án dứa</t>
  </si>
  <si>
    <t>D61PX-15</t>
  </si>
  <si>
    <t>155HP</t>
  </si>
  <si>
    <t>KMT0D063H51B40955</t>
  </si>
  <si>
    <t>CHT-XLU-006</t>
  </si>
  <si>
    <t>R2H</t>
  </si>
  <si>
    <t>RR321002</t>
  </si>
  <si>
    <t>W04DF11156</t>
  </si>
  <si>
    <t>CHT-XLU-007</t>
  </si>
  <si>
    <t>113HP</t>
  </si>
  <si>
    <t>2SV6610527</t>
  </si>
  <si>
    <t>CHT-XTA-008</t>
  </si>
  <si>
    <t>RNHF14FYALT024043</t>
  </si>
  <si>
    <t>YC4D140-48D59M1J20797</t>
  </si>
  <si>
    <t>CHT-XTA-011</t>
  </si>
  <si>
    <t>RNHD30FWAJC078104</t>
  </si>
  <si>
    <t>WP10375E431618A009907</t>
  </si>
  <si>
    <t>CHT-XTA-012</t>
  </si>
  <si>
    <t>RNHD30FWAJC75800</t>
  </si>
  <si>
    <t>WP10375E431617K140763</t>
  </si>
  <si>
    <t>CHT-XBO-003</t>
  </si>
  <si>
    <t>M. ĐÀ̀O  0.5M3</t>
  </si>
  <si>
    <t>Xe bồn AUMAN ETX D300 (Bồn tưới 18m3)</t>
  </si>
  <si>
    <t>ETX D300E4</t>
  </si>
  <si>
    <t>336HP</t>
  </si>
  <si>
    <t>RNHD30FWBKC005994</t>
  </si>
  <si>
    <t>WP10336E431618C035173</t>
  </si>
  <si>
    <t>STN210T6C00BH3091</t>
  </si>
  <si>
    <t>STN210T6V00BH2671</t>
  </si>
  <si>
    <t>14/09/2020</t>
  </si>
  <si>
    <t>DHKCEWAAHL5008819</t>
  </si>
  <si>
    <t>DB58TIS039733EJ</t>
  </si>
  <si>
    <t>DHKCEWAASL5008820</t>
  </si>
  <si>
    <t>DB58TIS039729EJ</t>
  </si>
  <si>
    <t>ATM-A22-0088</t>
  </si>
  <si>
    <t>CHT-XCA-001</t>
  </si>
  <si>
    <t>CHT-XTA-001</t>
  </si>
  <si>
    <t>Xe cẩu bàn 5 tấn</t>
  </si>
  <si>
    <t>VIETNAM</t>
  </si>
  <si>
    <t>2019</t>
  </si>
  <si>
    <t>ETX C240 ND2</t>
  </si>
  <si>
    <t>RNHA24FWAKC099303</t>
  </si>
  <si>
    <t>WP10.336E431619A000091</t>
  </si>
  <si>
    <t>CHT-MĐA-052</t>
  </si>
  <si>
    <t>MD39HT-KLH(XB1-MĐA-001)</t>
  </si>
  <si>
    <t>XNB đ.chuyển qua ngày 25/06/2024</t>
  </si>
  <si>
    <t>KMTPC023LEE022317</t>
  </si>
  <si>
    <t>CHT-MĐA-054</t>
  </si>
  <si>
    <t>MĐ35 HTKLH(XA2-MĐA-002)</t>
  </si>
  <si>
    <t xml:space="preserve">ĐỀ XUẤT THANH LÝ
XN AD2 đ.chuyển qua ngày 25/06/2024 </t>
  </si>
  <si>
    <t>JKUU0356H01H60283</t>
  </si>
  <si>
    <t>7HN2997</t>
  </si>
  <si>
    <t>CHT-MĐA-055</t>
  </si>
  <si>
    <t>MĐ36 HTKLH(XA2-MĐA-003)</t>
  </si>
  <si>
    <t>ATT-A24-0052</t>
  </si>
  <si>
    <t>JKUU0356H01H60431</t>
  </si>
  <si>
    <t>7HR1204</t>
  </si>
  <si>
    <t>CHT-MĐA-061</t>
  </si>
  <si>
    <t>MĐ30 VCKLH(XA2-MĐA-001)</t>
  </si>
  <si>
    <t xml:space="preserve">ĐỀ XUẤT THANH LÝ
XN AD2 đ.chuyển qua ngày 08/08/2024 </t>
  </si>
  <si>
    <t>JKUU0356V01H60277</t>
  </si>
  <si>
    <t>7HL9269</t>
  </si>
  <si>
    <t>CHT-MĐA-065</t>
  </si>
  <si>
    <t>A23-MĐA-065</t>
  </si>
  <si>
    <t>KMTPC212J04017231</t>
  </si>
  <si>
    <t>CHT-MĐA-069</t>
  </si>
  <si>
    <t>A22-MĐA-069</t>
  </si>
  <si>
    <t>Bàn giao về XDCB ngày 01/03/2025</t>
  </si>
  <si>
    <t>KMTPC212K04017065</t>
  </si>
  <si>
    <t>A22-MĐA-071</t>
  </si>
  <si>
    <t>XB1-MĐA-005</t>
  </si>
  <si>
    <t>KMTPC197L02354297</t>
  </si>
  <si>
    <t>6D10726100136</t>
  </si>
  <si>
    <t>CHT-XTA-034</t>
  </si>
  <si>
    <t>A23-XTA-034</t>
  </si>
  <si>
    <t>3A-6823</t>
  </si>
  <si>
    <t>Đầu tư mới (xe thuộc tài sản DP)</t>
  </si>
  <si>
    <t>RNHD24CWART000063</t>
  </si>
  <si>
    <t>1622F024356</t>
  </si>
  <si>
    <t>CHT-XTA-035</t>
  </si>
  <si>
    <t>A23-XTA-035</t>
  </si>
  <si>
    <t>3A-6822</t>
  </si>
  <si>
    <t>RNHD24CWART000064</t>
  </si>
  <si>
    <t>1622F024357</t>
  </si>
  <si>
    <t>CHT-XTA-027</t>
  </si>
  <si>
    <t>A24-XTA-020</t>
  </si>
  <si>
    <t>3A-6814</t>
  </si>
  <si>
    <t>- CGTC Lp đchuyển adm
Đầu tư mới</t>
  </si>
  <si>
    <t>RNHD24CWANT063481</t>
  </si>
  <si>
    <t>1622D017402</t>
  </si>
  <si>
    <t>CHT-BAN-005</t>
  </si>
  <si>
    <t>A23-BAN-005</t>
  </si>
  <si>
    <t>Đầu tư mới  (Tài sản DP)
- Bàn giao về CGTC ADM theo TTr số 04-T05/2025/B.XDCB</t>
  </si>
  <si>
    <t>G60A54622</t>
  </si>
  <si>
    <t>6D12561725</t>
  </si>
  <si>
    <t>A23-MDA-073</t>
  </si>
  <si>
    <t>KMTPC057C02030553</t>
  </si>
  <si>
    <t>6D10226327476</t>
  </si>
  <si>
    <t>CHT-XTA-048</t>
  </si>
  <si>
    <t>A22-XTA-048</t>
  </si>
  <si>
    <t>3A-6800</t>
  </si>
  <si>
    <t>Việt Nam</t>
  </si>
  <si>
    <t>RNHF12FNBRT002066</t>
  </si>
  <si>
    <t>YN38CRD1*AGN22000246*</t>
  </si>
  <si>
    <t>0 XOÁ</t>
  </si>
  <si>
    <t>II. CƠ GIỚI LÀM ĐẤT</t>
  </si>
  <si>
    <t>II.1</t>
  </si>
  <si>
    <t>Cơ giới làm đất DP</t>
  </si>
  <si>
    <t>CNN-XTA-001</t>
  </si>
  <si>
    <t>XD1-XTA-007</t>
  </si>
  <si>
    <t>A23-XTA-048</t>
  </si>
  <si>
    <t>Xe tải THACO FRONTIER TF490</t>
  </si>
  <si>
    <t>M. ĐÀ̀O  0.3M3</t>
  </si>
  <si>
    <t>Đầu tư mới (XN DP1 đchuyển CGLĐ DP ngày 14.01.2026)
- Phục vụ chở giống trồng mới</t>
  </si>
  <si>
    <t>THACO FRONTIER</t>
  </si>
  <si>
    <t>VIỆT NAM</t>
  </si>
  <si>
    <t>TF490</t>
  </si>
  <si>
    <t>107HP</t>
  </si>
  <si>
    <t>RNHA49TZART082912</t>
  </si>
  <si>
    <t>JE493ZLQ4*37100377*</t>
  </si>
  <si>
    <t>CNN-MKX-002</t>
  </si>
  <si>
    <t>XB1-MKX-006</t>
  </si>
  <si>
    <t>A22-MKX-006</t>
  </si>
  <si>
    <t>Máy cày bánh xích CT65</t>
  </si>
  <si>
    <t>19/01/2026</t>
  </si>
  <si>
    <t>- Đầu tư mới (ĐQSD)- 19/01/2026
- 03/07/2026 XNB đchuyen qua CGLĐ DP &amp; LP</t>
  </si>
  <si>
    <t>YANMAR</t>
  </si>
  <si>
    <t>CT65</t>
  </si>
  <si>
    <t>65HP</t>
  </si>
  <si>
    <t>CNN-MKX-001</t>
  </si>
  <si>
    <t>A24-MKX-001</t>
  </si>
  <si>
    <t>Máy cày bánh xích Mitsubishi</t>
  </si>
  <si>
    <t>Ngày nhập qua KLH: 04/06/2024</t>
  </si>
  <si>
    <t>MITSUBISHI</t>
  </si>
  <si>
    <t>MKM100</t>
  </si>
  <si>
    <t>100HP</t>
  </si>
  <si>
    <t>K10A-10011</t>
  </si>
  <si>
    <t>6S6-019410</t>
  </si>
  <si>
    <t>CNN-MKE-005</t>
  </si>
  <si>
    <t>MK06NNKLH</t>
  </si>
  <si>
    <t>Máy cày JD 6603</t>
  </si>
  <si>
    <t>ĐCHUYEN HỖ TRỢ XNB 2 THÁNG TỪ 13/07/2026</t>
  </si>
  <si>
    <t>JOHN DEERE</t>
  </si>
  <si>
    <t>MỸ</t>
  </si>
  <si>
    <t>CNN-MKE-006</t>
  </si>
  <si>
    <t>XDP-MKE-006(MK12NNKLH)</t>
  </si>
  <si>
    <t>CNN-MKE-019</t>
  </si>
  <si>
    <t xml:space="preserve">MỚI </t>
  </si>
  <si>
    <t>Máy cày JD 6120B</t>
  </si>
  <si>
    <t>15/03/2024</t>
  </si>
  <si>
    <t>6120B</t>
  </si>
  <si>
    <t>1YR6120BARD210216</t>
  </si>
  <si>
    <t>PE4045N035815</t>
  </si>
  <si>
    <t>CNN-MKE-020</t>
  </si>
  <si>
    <t>Máy cày JD 5090E</t>
  </si>
  <si>
    <t>M.Đào Gàu 0.3m3</t>
  </si>
  <si>
    <t>Máy ủi</t>
  </si>
  <si>
    <t>5090E</t>
  </si>
  <si>
    <t>90HP</t>
  </si>
  <si>
    <t>1P05090ELN4073859</t>
  </si>
  <si>
    <t>PE4045E028102</t>
  </si>
  <si>
    <t>CNN-MKE-027</t>
  </si>
  <si>
    <t>A23-MKE-034</t>
  </si>
  <si>
    <t>Máy cày JD 6400</t>
  </si>
  <si>
    <t>18/01/2025</t>
  </si>
  <si>
    <t>V120937</t>
  </si>
  <si>
    <t>T149522</t>
  </si>
  <si>
    <t>CNN-MKE-028</t>
  </si>
  <si>
    <t>A23-MKE-035</t>
  </si>
  <si>
    <t>V190731</t>
  </si>
  <si>
    <t>T318857</t>
  </si>
  <si>
    <t>CNN-MKE-032</t>
  </si>
  <si>
    <t>A23-MKE-036</t>
  </si>
  <si>
    <t>Máy cày JD 2850</t>
  </si>
  <si>
    <t>85HP</t>
  </si>
  <si>
    <t>717696L</t>
  </si>
  <si>
    <t>CD4239T907229</t>
  </si>
  <si>
    <t>CNN-MKE-033</t>
  </si>
  <si>
    <t>A23-MKE-037</t>
  </si>
  <si>
    <t>Máy cày JD 3350</t>
  </si>
  <si>
    <t>711050L</t>
  </si>
  <si>
    <t>CD6359D897588</t>
  </si>
  <si>
    <t>CNN-MKE-034</t>
  </si>
  <si>
    <t>A23-MKE-038</t>
  </si>
  <si>
    <t>Máy cày JD 7800</t>
  </si>
  <si>
    <t>MỸ</t>
  </si>
  <si>
    <t>RW7800P015834</t>
  </si>
  <si>
    <t>RG6076T568036</t>
  </si>
  <si>
    <t>CNN-MKE-035</t>
  </si>
  <si>
    <t>A22-MKE-060</t>
  </si>
  <si>
    <t>Máy cày LOVOL 1504</t>
  </si>
  <si>
    <t>18/12/2025</t>
  </si>
  <si>
    <t>LOVOL</t>
  </si>
  <si>
    <t>Trung Quốc</t>
  </si>
  <si>
    <t>M600279SX</t>
  </si>
  <si>
    <t>WP6G180E3306P25J023348</t>
  </si>
  <si>
    <t>THACO</t>
  </si>
  <si>
    <t>CNN-MKE-039</t>
  </si>
  <si>
    <t>A22-MKE-039</t>
  </si>
  <si>
    <t>16/03/2026</t>
  </si>
  <si>
    <t>JOHNDEERE</t>
  </si>
  <si>
    <t>636964L</t>
  </si>
  <si>
    <t>CD6359D776913</t>
  </si>
  <si>
    <t>PHƯỚC LỘC</t>
  </si>
  <si>
    <t>BCG-LBR-003</t>
  </si>
  <si>
    <t>ATT-A23-0020</t>
  </si>
  <si>
    <t>2A-0239</t>
  </si>
  <si>
    <t>Xe tải Libero</t>
  </si>
  <si>
    <t>Mr.Sỹ nhận ngày 07/03/2025</t>
  </si>
  <si>
    <t>LIBERO</t>
  </si>
  <si>
    <t>KMFYKS7HPYU0116</t>
  </si>
  <si>
    <t>D4BHY032368</t>
  </si>
  <si>
    <t>0 xoá</t>
  </si>
  <si>
    <t>II.2</t>
  </si>
  <si>
    <t>Cơ giới làm đất LP</t>
  </si>
  <si>
    <t>CNN-MKE-011</t>
  </si>
  <si>
    <t>CNN-MKE-008(MK08NNKLH)</t>
  </si>
  <si>
    <t>CNN-MKE-012</t>
  </si>
  <si>
    <t>CNN-MKE-010 (MK10NNKLH)</t>
  </si>
  <si>
    <t>J0033179</t>
  </si>
  <si>
    <t>05958</t>
  </si>
  <si>
    <t>CNN-MKE-013</t>
  </si>
  <si>
    <t>CNN-MKE-011(MK11NNKLH)</t>
  </si>
  <si>
    <t>1P06603XLJ0032211</t>
  </si>
  <si>
    <t>PE6068E003752</t>
  </si>
  <si>
    <t>CNN-MKE-021</t>
  </si>
  <si>
    <t>MỚI</t>
  </si>
  <si>
    <t>1YR6120BERD210219</t>
  </si>
  <si>
    <t>PE4045N035800</t>
  </si>
  <si>
    <t>CNN-MKE-017</t>
  </si>
  <si>
    <t>XB1-MKE-025</t>
  </si>
  <si>
    <t>Đ.chuyển từ đội CGLĐ AD ngày 12.08.2024</t>
  </si>
  <si>
    <t>1P05090EHN4073538</t>
  </si>
  <si>
    <t>PE4045E027590</t>
  </si>
  <si>
    <t>CNN-MKE-025</t>
  </si>
  <si>
    <t>Máy cày JD 6155J</t>
  </si>
  <si>
    <t>6155J</t>
  </si>
  <si>
    <t>1P06155JJP8010850</t>
  </si>
  <si>
    <t>PE6068J008148</t>
  </si>
  <si>
    <t>CNN-MKE-023</t>
  </si>
  <si>
    <t>XB1-MKE-025/XAD-MKE-014</t>
  </si>
  <si>
    <t>Máy cày M6040</t>
  </si>
  <si>
    <t>30/03/2024</t>
  </si>
  <si>
    <t>Xe điều chuyển từ XNB</t>
  </si>
  <si>
    <t>M6040</t>
  </si>
  <si>
    <t>60HP</t>
  </si>
  <si>
    <t>CNN-MKE-026</t>
  </si>
  <si>
    <t>A24-MKE-021</t>
  </si>
  <si>
    <t>ĐỨC</t>
  </si>
  <si>
    <t>L06400V127612</t>
  </si>
  <si>
    <t>CD4045T744536</t>
  </si>
  <si>
    <t>CNN-MKE-029</t>
  </si>
  <si>
    <t>XB1-MKE-042</t>
  </si>
  <si>
    <t>A22-MKE-042</t>
  </si>
  <si>
    <t xml:space="preserve">MỚI </t>
  </si>
  <si>
    <t>25/10/2024</t>
  </si>
  <si>
    <t>Hoán đổi xe XNB theo chủ trương BLĐ 06.02.2025</t>
  </si>
  <si>
    <t>147HP</t>
  </si>
  <si>
    <t>6P23C005870</t>
  </si>
  <si>
    <t>CNN-MKE-030</t>
  </si>
  <si>
    <t>A24-MKE-030</t>
  </si>
  <si>
    <t>CD0635-90696675</t>
  </si>
  <si>
    <t>CNN-MKE-031</t>
  </si>
  <si>
    <t>A24-MKE-031</t>
  </si>
  <si>
    <t>Máy cày JD 3650</t>
  </si>
  <si>
    <t>25/02/2025</t>
  </si>
  <si>
    <t>U573763</t>
  </si>
  <si>
    <t>149701CD</t>
  </si>
  <si>
    <t>CNN-MKE-036</t>
  </si>
  <si>
    <t>A24-MKE-036</t>
  </si>
  <si>
    <t>Máy cày JD 3640</t>
  </si>
  <si>
    <t>29/04/2025</t>
  </si>
  <si>
    <t>579925L</t>
  </si>
  <si>
    <t>CD6359D704281</t>
  </si>
  <si>
    <t>CNN-MKE-037</t>
  </si>
  <si>
    <t>A24-MKE-037</t>
  </si>
  <si>
    <t>Máy cày JD 6300</t>
  </si>
  <si>
    <t>110HP</t>
  </si>
  <si>
    <t>L06100X111345</t>
  </si>
  <si>
    <t>CD4045D133056</t>
  </si>
  <si>
    <t>CNN-MKE-038</t>
  </si>
  <si>
    <t>A22-MKE-058</t>
  </si>
  <si>
    <t>M600277SU</t>
  </si>
  <si>
    <t>WP6G180E3306P25J023351</t>
  </si>
  <si>
    <t>II.3</t>
  </si>
  <si>
    <t>Cơ giới làm đất XNB</t>
  </si>
  <si>
    <t>CNN-MKE-014</t>
  </si>
  <si>
    <t>CNN-MKE-001(MK01NNKLH)</t>
  </si>
  <si>
    <t>Máy cày NH TD157</t>
  </si>
  <si>
    <t>XN Bò AD</t>
  </si>
  <si>
    <t>NEW HOLLAND</t>
  </si>
  <si>
    <t>THỔ NHỈ KỲ</t>
  </si>
  <si>
    <t>TD157</t>
  </si>
  <si>
    <t>CNN-MKE-015</t>
  </si>
  <si>
    <t>CNN-MKE-013(MK13NNKLH)</t>
  </si>
  <si>
    <t>CNN-MKE-016</t>
  </si>
  <si>
    <t>CNN-MKE-015(MK56VCKLH)</t>
  </si>
  <si>
    <t>Máy cày M9540</t>
  </si>
  <si>
    <t>95HP</t>
  </si>
  <si>
    <t>BY0896</t>
  </si>
  <si>
    <t>CNN-MKE-022</t>
  </si>
  <si>
    <t>Đ.chuyển từ đội CGLĐ LP ngày 12.08.2024</t>
  </si>
  <si>
    <t>1P05090EVN4073521</t>
  </si>
  <si>
    <t>PE4045E027602</t>
  </si>
  <si>
    <t>M.Đào Gàu 0.3m4</t>
  </si>
  <si>
    <t>III. SẢN XUẤT TRỒNG TRỌT</t>
  </si>
  <si>
    <t>III.1</t>
  </si>
  <si>
    <t>Xí nghiệp Chuối DP1</t>
  </si>
  <si>
    <t>XD1-MKE-001</t>
  </si>
  <si>
    <t>MK 05-VC KLH</t>
  </si>
  <si>
    <t>Máy cày KAM50</t>
  </si>
  <si>
    <t>XN Chuối DP1</t>
  </si>
  <si>
    <t>CHT-MĐA-049</t>
  </si>
  <si>
    <t>KAM50</t>
  </si>
  <si>
    <t>50HP</t>
  </si>
  <si>
    <t>C000012</t>
  </si>
  <si>
    <t>XD1-MKE-002</t>
  </si>
  <si>
    <t>MK 73-VC KLH</t>
  </si>
  <si>
    <t>Hư hỏng</t>
  </si>
  <si>
    <t>ĐX LOẠI BIÊN</t>
  </si>
  <si>
    <t>C000072</t>
  </si>
  <si>
    <t>XD1-MKE-003</t>
  </si>
  <si>
    <t>CNN-MKE-001(MK04VCKLH)</t>
  </si>
  <si>
    <t>24/04/2024</t>
  </si>
  <si>
    <t>CGLD DP giao qua</t>
  </si>
  <si>
    <t>C000025</t>
  </si>
  <si>
    <t>XD1-MKE-006</t>
  </si>
  <si>
    <t>MK47 VCKLH(XA2-MKE-009)</t>
  </si>
  <si>
    <t>Máy cày L4508</t>
  </si>
  <si>
    <t>AD2 bàn giao ngày 23/02/2025</t>
  </si>
  <si>
    <t>CHT-MĐA-051</t>
  </si>
  <si>
    <t>L4508</t>
  </si>
  <si>
    <t>XD1-XNA-001</t>
  </si>
  <si>
    <t>Xe nâng điện 1.5 tấn</t>
  </si>
  <si>
    <t>ATT-A22-0233</t>
  </si>
  <si>
    <t>BYD</t>
  </si>
  <si>
    <t>TRUNG QUỐC</t>
  </si>
  <si>
    <t>ECB16S-B</t>
  </si>
  <si>
    <t>29HP</t>
  </si>
  <si>
    <t>TS0510598-2021</t>
  </si>
  <si>
    <t>XD1-XNA-002</t>
  </si>
  <si>
    <t>A23-XNA-007</t>
  </si>
  <si>
    <t>Xe nâng điện 2.5 tấn</t>
  </si>
  <si>
    <t>Đầu tư mới</t>
  </si>
  <si>
    <t>FF25E</t>
  </si>
  <si>
    <t>13,68 HP</t>
  </si>
  <si>
    <t>C31293R50031</t>
  </si>
  <si>
    <t>XD1-TCD-001</t>
  </si>
  <si>
    <t>2A-0490</t>
  </si>
  <si>
    <t>Xe tải chuyên dụng (cabin đôi)</t>
  </si>
  <si>
    <t>THACO KIA</t>
  </si>
  <si>
    <t>FRONTIER K200SD</t>
  </si>
  <si>
    <t>RNHF39KHBMT045336</t>
  </si>
  <si>
    <t>MD534241D4CB</t>
  </si>
  <si>
    <t>XD1-XPT-001</t>
  </si>
  <si>
    <t>XPT003(XD3-XPT-001)</t>
  </si>
  <si>
    <t>Xe phun thuốc Faw 15T</t>
  </si>
  <si>
    <t>DP3 bàn giao qua</t>
  </si>
  <si>
    <t>FAW</t>
  </si>
  <si>
    <t>9AD16885</t>
  </si>
  <si>
    <t>CHT-MĐA-056</t>
  </si>
  <si>
    <t>XD1-XTA-001</t>
  </si>
  <si>
    <t>XT 20 VC-KLH</t>
  </si>
  <si>
    <t>Xe tải KOZUN</t>
  </si>
  <si>
    <t>KOZUN</t>
  </si>
  <si>
    <t>CAMPUCHIA</t>
  </si>
  <si>
    <t>XD1-XTA-002</t>
  </si>
  <si>
    <t>XT24VC-KLH(XB1-XTA-002)</t>
  </si>
  <si>
    <t>13/05/2024</t>
  </si>
  <si>
    <t>XD1-XTA-003</t>
  </si>
  <si>
    <t>67111 (CHT-XTA-020)</t>
  </si>
  <si>
    <t>A23-XTA-003</t>
  </si>
  <si>
    <t>Xe ben Forland FD990-4WDXTH4-5T</t>
  </si>
  <si>
    <t>Đ.chuyển từ CGTC DP ngày 07/02/2025
Đ.chuyển từ XN DP1 ngày 25/06/2024</t>
  </si>
  <si>
    <t xml:space="preserve"> FD990-4WD</t>
  </si>
  <si>
    <t>94HP</t>
  </si>
  <si>
    <t>RNHF99FACRT090613</t>
  </si>
  <si>
    <t>4DW93-95E4*B0576949*</t>
  </si>
  <si>
    <t>XD1-XTA-004</t>
  </si>
  <si>
    <t>67272 (CHT-XTA-021)</t>
  </si>
  <si>
    <t>A23-XTA-004</t>
  </si>
  <si>
    <t>RNHF99FACRT090609</t>
  </si>
  <si>
    <t>4DW93-95E4*B0576971*</t>
  </si>
  <si>
    <t>XD1-XTA-005</t>
  </si>
  <si>
    <t>68889 (CHT-XTA-022)</t>
  </si>
  <si>
    <t>A23-XTA-005</t>
  </si>
  <si>
    <t>CHT-MĐA-057</t>
  </si>
  <si>
    <t>RNHF99FACRT087868</t>
  </si>
  <si>
    <t>4DW93-95E4*B0576946*</t>
  </si>
  <si>
    <t>XD1-XTA-006</t>
  </si>
  <si>
    <t>67112 (CHT-XTA-023)</t>
  </si>
  <si>
    <t>A23-XTA-006</t>
  </si>
  <si>
    <t>RNHF99FACRT090610</t>
  </si>
  <si>
    <t>4DW93-95E4*B0576959*</t>
  </si>
  <si>
    <t>XD1-MĐA-001</t>
  </si>
  <si>
    <t>CNN-MĐA-002(MĐ08HTKLH)</t>
  </si>
  <si>
    <t>Lắp tb gấp lá chuối (XD1-TBG-001)</t>
  </si>
  <si>
    <t>XD1-CLT-001</t>
  </si>
  <si>
    <t>A23-CLT-001</t>
  </si>
  <si>
    <t>Xe clethon</t>
  </si>
  <si>
    <t>24/07/2025</t>
  </si>
  <si>
    <t>INDONESIA</t>
  </si>
  <si>
    <t>TF150NL-PR2</t>
  </si>
  <si>
    <t>15HP</t>
  </si>
  <si>
    <t>B1320M</t>
  </si>
  <si>
    <t>XD1-CLT-002</t>
  </si>
  <si>
    <t>A23-CLT-002</t>
  </si>
  <si>
    <t>C0869C</t>
  </si>
  <si>
    <t>XD1-CLT-003</t>
  </si>
  <si>
    <t>A23-CLT-003</t>
  </si>
  <si>
    <t>B2167L</t>
  </si>
  <si>
    <t>XD1-CLT-004</t>
  </si>
  <si>
    <t>A23-CLT-004</t>
  </si>
  <si>
    <t>C0845C</t>
  </si>
  <si>
    <t>XD1-CLT-005</t>
  </si>
  <si>
    <t>A23-CLT-005</t>
  </si>
  <si>
    <t>B0518M</t>
  </si>
  <si>
    <t>XD1-CCM-001</t>
  </si>
  <si>
    <t>Máy cắt cỏ mini Yanmar</t>
  </si>
  <si>
    <t>30/07/2024</t>
  </si>
  <si>
    <t xml:space="preserve">Bàn giao về XN DP1 ngày 30/07/2024 </t>
  </si>
  <si>
    <t>ITALY</t>
  </si>
  <si>
    <t>L100N6FJ1P1AAFT</t>
  </si>
  <si>
    <t>10HP</t>
  </si>
  <si>
    <t>A001010284</t>
  </si>
  <si>
    <t>SF6637</t>
  </si>
  <si>
    <t>XD1-MĐQ-001</t>
  </si>
  <si>
    <t>A23-MĐQ-001</t>
  </si>
  <si>
    <t>Máy cắt cỏ đĩa quay 8HP</t>
  </si>
  <si>
    <t>23/01/2025</t>
  </si>
  <si>
    <t>ATT-A22-0231</t>
  </si>
  <si>
    <t>ISEKI</t>
  </si>
  <si>
    <t>JANPAN</t>
  </si>
  <si>
    <t>KC80F</t>
  </si>
  <si>
    <t>8HP</t>
  </si>
  <si>
    <t>FE250G003323</t>
  </si>
  <si>
    <t>XD1-CCD-001</t>
  </si>
  <si>
    <t>A23-CCD-001</t>
  </si>
  <si>
    <t>Máy cắt cỏ trục băm đa năng</t>
  </si>
  <si>
    <t>25/06/2025</t>
  </si>
  <si>
    <t>ISHIKAWA</t>
  </si>
  <si>
    <t>TL662</t>
  </si>
  <si>
    <t>TL20250601401</t>
  </si>
  <si>
    <t>GT1000B0042098CD</t>
  </si>
  <si>
    <t>XD1-CCD-002</t>
  </si>
  <si>
    <t>A23-CCD-002</t>
  </si>
  <si>
    <t>TL20250601402</t>
  </si>
  <si>
    <t>GT1000B0042097CD</t>
  </si>
  <si>
    <t>XD1-CCD-003</t>
  </si>
  <si>
    <t>A23-CCD-003</t>
  </si>
  <si>
    <t>TL20250601407</t>
  </si>
  <si>
    <t>GT1000B0042095CD</t>
  </si>
  <si>
    <t>XD1-CCD-004</t>
  </si>
  <si>
    <t>A23-CCD-004</t>
  </si>
  <si>
    <t>TL20250601408</t>
  </si>
  <si>
    <t>GT1000B0042141CD</t>
  </si>
  <si>
    <t>ATT-A23-0041</t>
  </si>
  <si>
    <t>KHÔNG XOÁ HÀNG NÀY</t>
  </si>
  <si>
    <t>III.2</t>
  </si>
  <si>
    <t>Xí nghiệp Chuối DP2</t>
  </si>
  <si>
    <t>XD2-MKE-002</t>
  </si>
  <si>
    <t>MK 83-VC KLH</t>
  </si>
  <si>
    <t>XD2-MĐA-001</t>
  </si>
  <si>
    <t>XN Chuối DP2</t>
  </si>
  <si>
    <t>ATT-A23-0035</t>
  </si>
  <si>
    <t>XD2-MKE-003</t>
  </si>
  <si>
    <t>MK 86-VC KLH</t>
  </si>
  <si>
    <t>XD2-MKE-005</t>
  </si>
  <si>
    <t>MK 69-VC KLH</t>
  </si>
  <si>
    <t>C000011</t>
  </si>
  <si>
    <t>XD2-MKE-006</t>
  </si>
  <si>
    <t>MK 70-VC KLH</t>
  </si>
  <si>
    <t>Xe ban</t>
  </si>
  <si>
    <t>XD3-MĐA-002</t>
  </si>
  <si>
    <t>ATT-A23-0036</t>
  </si>
  <si>
    <t>C00007</t>
  </si>
  <si>
    <t>XD2-MKE-007</t>
  </si>
  <si>
    <t>CNN-MKE-003</t>
  </si>
  <si>
    <t>A23-MKE-002</t>
  </si>
  <si>
    <t>28/01/2026</t>
  </si>
  <si>
    <t>Bình thường</t>
  </si>
  <si>
    <t>Điều chuyển từ CGLĐ DP sang 28/01/2026</t>
  </si>
  <si>
    <t>XD2-XPT-001</t>
  </si>
  <si>
    <t>XPT09NNKLH</t>
  </si>
  <si>
    <t>Xe phun thuốc HYUNDAI 15T</t>
  </si>
  <si>
    <t>HYUNDAI</t>
  </si>
  <si>
    <t>15T</t>
  </si>
  <si>
    <t>KMCDB19IPNU003775</t>
  </si>
  <si>
    <t>D8AVP095627</t>
  </si>
  <si>
    <t>MĐ 10 HT-KLH</t>
  </si>
  <si>
    <t>XD2-TCD-001</t>
  </si>
  <si>
    <t>2A-0494</t>
  </si>
  <si>
    <t xml:space="preserve"> MỚI</t>
  </si>
  <si>
    <t>XL3-MĐA-001</t>
  </si>
  <si>
    <t>RNHF39KHBMT045667</t>
  </si>
  <si>
    <t>MD540079D4CB</t>
  </si>
  <si>
    <t>XD2-XTA-002</t>
  </si>
  <si>
    <t>ATT-A22-0236</t>
  </si>
  <si>
    <t>Bàn giao về XDCB Ngày 30.07.2024</t>
  </si>
  <si>
    <t>RNHF99FACRT092728</t>
  </si>
  <si>
    <t>B0576976</t>
  </si>
  <si>
    <t>XD2-XTA-003</t>
  </si>
  <si>
    <t>Bàn giao về XDCB Ngày 30.07.2024
- xe bị TN ngày 09/04/2025
- xe TN đã lấy về ngày 25/07/2025</t>
  </si>
  <si>
    <t>RNHF99FACRT092729</t>
  </si>
  <si>
    <t>B0577298</t>
  </si>
  <si>
    <t>XD2-XTA-004</t>
  </si>
  <si>
    <t>XL3-XTA-003</t>
  </si>
  <si>
    <t>A24-XTA-003</t>
  </si>
  <si>
    <t>LP3 bàn giao DP2 ngày 07/02/2025 
-XN LP3 bàn giao ngày 10/10/2024</t>
  </si>
  <si>
    <t>RNHF99FACPT075129</t>
  </si>
  <si>
    <t>4DW9395E4B0576690</t>
  </si>
  <si>
    <t>XD2-XTA-005</t>
  </si>
  <si>
    <t>A23-XTA-049</t>
  </si>
  <si>
    <t>XB1-MĐA-004</t>
  </si>
  <si>
    <t>RNHA49TZART082919</t>
  </si>
  <si>
    <t>JE493ZLQ4*37100368*</t>
  </si>
  <si>
    <t>XD2-XNA-001</t>
  </si>
  <si>
    <t>ATT-A23-0042</t>
  </si>
  <si>
    <t>A23-XNA-004</t>
  </si>
  <si>
    <t>14HP</t>
  </si>
  <si>
    <t>C31293P50544</t>
  </si>
  <si>
    <t>JB253701317</t>
  </si>
  <si>
    <t>XD2-XNA-002</t>
  </si>
  <si>
    <t>A23-XNA-005</t>
  </si>
  <si>
    <t>FF15E</t>
  </si>
  <si>
    <t>11,8 HP</t>
  </si>
  <si>
    <t>C31293R50030</t>
  </si>
  <si>
    <t>XD2-CLT-001</t>
  </si>
  <si>
    <t>A23-CLT-006</t>
  </si>
  <si>
    <t>145HPP</t>
  </si>
  <si>
    <t>B2229L</t>
  </si>
  <si>
    <t>XD2-CLT-002</t>
  </si>
  <si>
    <t>A23-CLT-007</t>
  </si>
  <si>
    <t>B1314M</t>
  </si>
  <si>
    <t>XD2-CLT-003</t>
  </si>
  <si>
    <t>A23-CLT-008</t>
  </si>
  <si>
    <t>ATT-A24-0022</t>
  </si>
  <si>
    <t>B2099L</t>
  </si>
  <si>
    <t>XD2-CLT-004</t>
  </si>
  <si>
    <t>A23-CLT-009</t>
  </si>
  <si>
    <t>B2151L</t>
  </si>
  <si>
    <t>XD2-CLT-005</t>
  </si>
  <si>
    <t>A23-CLT-010</t>
  </si>
  <si>
    <t>C0853C</t>
  </si>
  <si>
    <t>XD2-MĐQ-001</t>
  </si>
  <si>
    <t>A23-MĐQ-003</t>
  </si>
  <si>
    <t>HONDA</t>
  </si>
  <si>
    <t>GX240</t>
  </si>
  <si>
    <t>XD2-MĐQ-002</t>
  </si>
  <si>
    <t>A23-MĐQ-004</t>
  </si>
  <si>
    <t>YG8</t>
  </si>
  <si>
    <t>XD2-CCD-001</t>
  </si>
  <si>
    <t>A23-CCD-005</t>
  </si>
  <si>
    <t>TL20250601404</t>
  </si>
  <si>
    <t>GT1000B0042094CD</t>
  </si>
  <si>
    <t>ATM-A22-0018</t>
  </si>
  <si>
    <t>XD2-CCD-002</t>
  </si>
  <si>
    <t>A23-CCD-006</t>
  </si>
  <si>
    <t>TL202506014015</t>
  </si>
  <si>
    <t>GT1000B0042109CD</t>
  </si>
  <si>
    <t>XD2-CCD-003</t>
  </si>
  <si>
    <t>A23-CCD-007</t>
  </si>
  <si>
    <t>TL202506014017</t>
  </si>
  <si>
    <t>GT1000B0042099CD</t>
  </si>
  <si>
    <t>XD2-CCD-004</t>
  </si>
  <si>
    <t>A23-CCD-008</t>
  </si>
  <si>
    <t>Xe lu</t>
  </si>
  <si>
    <t>TL202506014020</t>
  </si>
  <si>
    <t>GT1000B0042092CD</t>
  </si>
  <si>
    <t>III.3</t>
  </si>
  <si>
    <t>Xí nghiệp Chuối DP3</t>
  </si>
  <si>
    <t>XD3-MKE-002</t>
  </si>
  <si>
    <t>MK 93-VC KLH</t>
  </si>
  <si>
    <t>XN Chuối DP3</t>
  </si>
  <si>
    <t>XD3-MKE-003</t>
  </si>
  <si>
    <t>MK 74-VC KLH</t>
  </si>
  <si>
    <t>C000083</t>
  </si>
  <si>
    <t>XD3-MKE-004</t>
  </si>
  <si>
    <t>MK 68-VC KLH</t>
  </si>
  <si>
    <t>C000070</t>
  </si>
  <si>
    <t>XD3-MKE-005</t>
  </si>
  <si>
    <t>MK 76-VC KLH</t>
  </si>
  <si>
    <t>C000036</t>
  </si>
  <si>
    <t>XD3-MKE-006</t>
  </si>
  <si>
    <t>MK 80-VC KLH</t>
  </si>
  <si>
    <t>C000013</t>
  </si>
  <si>
    <t>MĐ 09 HT-KLH</t>
  </si>
  <si>
    <t>XD3-MKE-008</t>
  </si>
  <si>
    <t>XB1-MĐA-003</t>
  </si>
  <si>
    <t>MK 75-VC KLH</t>
  </si>
  <si>
    <t>C000084</t>
  </si>
  <si>
    <t>XD3-MKE-010</t>
  </si>
  <si>
    <t>MK 95-VC KLH</t>
  </si>
  <si>
    <t>Cho LP3 mượn 10/06/2024</t>
  </si>
  <si>
    <t>XD3-XPT-002</t>
  </si>
  <si>
    <t>XPT002</t>
  </si>
  <si>
    <t>Xe phun thuốc FC950</t>
  </si>
  <si>
    <t>FC950</t>
  </si>
  <si>
    <t>30HP</t>
  </si>
  <si>
    <t>RNHA16FYAJC093491</t>
  </si>
  <si>
    <t>J00043</t>
  </si>
  <si>
    <t>XD3-TCD-001</t>
  </si>
  <si>
    <t>2A-0493</t>
  </si>
  <si>
    <t>XL3-MĐA-005</t>
  </si>
  <si>
    <t>RNHF39KHBMT045629</t>
  </si>
  <si>
    <t>MD540070D4CB</t>
  </si>
  <si>
    <t>XD3-XNA-001</t>
  </si>
  <si>
    <t>Xe nâng tay điện 1.5 tấn</t>
  </si>
  <si>
    <t>ATM-A24-0099</t>
  </si>
  <si>
    <t>XĐG DP4A</t>
  </si>
  <si>
    <t>HELI</t>
  </si>
  <si>
    <t>CDD15J</t>
  </si>
  <si>
    <t>24V-1.5T</t>
  </si>
  <si>
    <t>08015JM7921</t>
  </si>
  <si>
    <t>NIL</t>
  </si>
  <si>
    <t>XD3-XNA-002</t>
  </si>
  <si>
    <t>FB15EX-11</t>
  </si>
  <si>
    <t>XD3-XNA-003</t>
  </si>
  <si>
    <t>A23-XNA-003</t>
  </si>
  <si>
    <t>12HP</t>
  </si>
  <si>
    <t>C11292P50328</t>
  </si>
  <si>
    <t>JB253801347</t>
  </si>
  <si>
    <t>XD3-XNA-004</t>
  </si>
  <si>
    <t>A23-XNA-006</t>
  </si>
  <si>
    <t>C31293R50033</t>
  </si>
  <si>
    <t>XD3-XTA-003</t>
  </si>
  <si>
    <t>3A-6810</t>
  </si>
  <si>
    <t>Bàn giao về XDCB ngày 30.07.2024</t>
  </si>
  <si>
    <t>RNHF99FACRT092725</t>
  </si>
  <si>
    <t>B0576973</t>
  </si>
  <si>
    <t>XD3-XTA-004</t>
  </si>
  <si>
    <t>3A-6811</t>
  </si>
  <si>
    <t>RNHF99FACRT090615</t>
  </si>
  <si>
    <t>B0576944</t>
  </si>
  <si>
    <t>XD3-XTA-005</t>
  </si>
  <si>
    <t>XL3-XTA-006</t>
  </si>
  <si>
    <t>- LP3 bàn giao DP3 ngày 07/02/2025
-XN LP3 bàn giao ngày 10/10/2024</t>
  </si>
  <si>
    <t>RNHF99FACRT087863</t>
  </si>
  <si>
    <t>4DW9395E4B0577289</t>
  </si>
  <si>
    <t>XD3-XTA-006</t>
  </si>
  <si>
    <t>XL3-XTA-007</t>
  </si>
  <si>
    <t>XN LP3 bàn giao DP3 ngày 07/02/2025</t>
  </si>
  <si>
    <t>RNHF99FACRT087864</t>
  </si>
  <si>
    <t>4DW9395E4B0577291</t>
  </si>
  <si>
    <t>XD3-XTA-008</t>
  </si>
  <si>
    <t>CHT-XTA-002</t>
  </si>
  <si>
    <t>31/01/2024</t>
  </si>
  <si>
    <t>Từ CGTC DP qua HC KLH 28/01/2024
- P.QLVH bàn giao DP3 10/04/2026</t>
  </si>
  <si>
    <t>FD850-8T</t>
  </si>
  <si>
    <t>RNHF14FYAL0008847</t>
  </si>
  <si>
    <t>XD3-CLT-001</t>
  </si>
  <si>
    <t>A23-CLT-011</t>
  </si>
  <si>
    <t>B1541L</t>
  </si>
  <si>
    <t>XD3-CLT-002</t>
  </si>
  <si>
    <t>A23-CLT-012</t>
  </si>
  <si>
    <t>B2128L</t>
  </si>
  <si>
    <t>XD3-CLT-003</t>
  </si>
  <si>
    <t>A23-CLT-013</t>
  </si>
  <si>
    <t>B1316M</t>
  </si>
  <si>
    <t>XD3-CLT-004</t>
  </si>
  <si>
    <t>A23-CLT-014</t>
  </si>
  <si>
    <t>C0870C</t>
  </si>
  <si>
    <t>XD3-MĐQ-001</t>
  </si>
  <si>
    <t>A23-MĐQ-002</t>
  </si>
  <si>
    <t>CHT-MĐA-075</t>
  </si>
  <si>
    <t>MISUBISHI</t>
  </si>
  <si>
    <t>MR910</t>
  </si>
  <si>
    <t>G910217678</t>
  </si>
  <si>
    <t>XD3-CCD-001</t>
  </si>
  <si>
    <t>A23-CCD-009</t>
  </si>
  <si>
    <t>TL20250601403</t>
  </si>
  <si>
    <t>GT1000B0037703CC</t>
  </si>
  <si>
    <t>XD3-CCD-002</t>
  </si>
  <si>
    <t>A23-CCD-010</t>
  </si>
  <si>
    <t>TL20250601405</t>
  </si>
  <si>
    <t>GT1000B0042145CD</t>
  </si>
  <si>
    <t>XD3-CCD-003</t>
  </si>
  <si>
    <t>A23-CCD-011</t>
  </si>
  <si>
    <t>TL202506014018</t>
  </si>
  <si>
    <t>GT1000B0012093CD</t>
  </si>
  <si>
    <t>XD3-CCD-004</t>
  </si>
  <si>
    <t>A23-CCD-012</t>
  </si>
  <si>
    <t>TL202506014019</t>
  </si>
  <si>
    <t>GT1000B0042106CD</t>
  </si>
  <si>
    <t>XD3-CCD-005</t>
  </si>
  <si>
    <t>13/03/2026</t>
  </si>
  <si>
    <t>CHT-MĐA-076</t>
  </si>
  <si>
    <t>Đầu tư mới (XN nhận qua thu mua)</t>
  </si>
  <si>
    <t>TL663</t>
  </si>
  <si>
    <t xml:space="preserve">TL20250901606
</t>
  </si>
  <si>
    <t>XD3-CCD-006</t>
  </si>
  <si>
    <t>TL202501201501</t>
  </si>
  <si>
    <t>XD3-MXD-001</t>
  </si>
  <si>
    <t>Máy xới đất 7.5HP</t>
  </si>
  <si>
    <t>Shineray</t>
  </si>
  <si>
    <t>SR1Z-75</t>
  </si>
  <si>
    <t>7.5HP</t>
  </si>
  <si>
    <t>00E534AT0852</t>
  </si>
  <si>
    <t>XD3-MXD-002</t>
  </si>
  <si>
    <t>00E534AT0827</t>
  </si>
  <si>
    <t>III.4</t>
  </si>
  <si>
    <t>Xí nghiệp Chuối LP1</t>
  </si>
  <si>
    <t>XL1-TCD-001</t>
  </si>
  <si>
    <t>A24-TCD-001</t>
  </si>
  <si>
    <t>2A-6088</t>
  </si>
  <si>
    <t>Xe tải chuyên dụng (thùng lửng)</t>
  </si>
  <si>
    <t>XN Chuối LP1</t>
  </si>
  <si>
    <t>Đầu tư mới ngày bàn giao 10/10/2024</t>
  </si>
  <si>
    <t>KIA</t>
  </si>
  <si>
    <t>FRONTIER K200SD-4WD</t>
  </si>
  <si>
    <t>RNHF39KHBMT045642</t>
  </si>
  <si>
    <t>MD540096D4CB</t>
  </si>
  <si>
    <t>XL1-MKE-004</t>
  </si>
  <si>
    <t>XL4-MKE-004</t>
  </si>
  <si>
    <t>28/06/2024</t>
  </si>
  <si>
    <t>LP4 bàn giao qua ngày 28/06/2024</t>
  </si>
  <si>
    <t>C000052</t>
  </si>
  <si>
    <t>XL4-MKE-002</t>
  </si>
  <si>
    <t>LP4-MKE-002</t>
  </si>
  <si>
    <t>-Đ.chuyển từ LP4 sang LP1 ngày 16.07.2024</t>
  </si>
  <si>
    <t>C000017</t>
  </si>
  <si>
    <t>XL4-MKE-003</t>
  </si>
  <si>
    <t>LP4-MKE-003</t>
  </si>
  <si>
    <t>MÁY ỦI</t>
  </si>
  <si>
    <t>C000063</t>
  </si>
  <si>
    <t>XL4-MKE-005</t>
  </si>
  <si>
    <t>XB1-MKE-008(MK90-VCKLH)</t>
  </si>
  <si>
    <t>Máy cày KUBOTA L2002DT</t>
  </si>
  <si>
    <t>23/01/2024</t>
  </si>
  <si>
    <t>L2002DT</t>
  </si>
  <si>
    <t>20HP</t>
  </si>
  <si>
    <t>XL4-MKE-001</t>
  </si>
  <si>
    <t>LP4-MKE-001</t>
  </si>
  <si>
    <t>-Đ.chuyển từ LP4 sang LP1 ngày 26.09.2024</t>
  </si>
  <si>
    <t>V2208-BC1659</t>
  </si>
  <si>
    <t>A24-MĐA-066</t>
  </si>
  <si>
    <t>Máy đào KOMATSU bánh xích gàu 0.3m3</t>
  </si>
  <si>
    <t>Xe xúc lật</t>
  </si>
  <si>
    <t>- CGTC LP bàn giao ngày 29/07/2025
- Đầu tư mới (ĐQSD)</t>
  </si>
  <si>
    <t>KMTPC203C04021039</t>
  </si>
  <si>
    <t>A24-MĐA-067</t>
  </si>
  <si>
    <t>KMTPC203E04021413</t>
  </si>
  <si>
    <t>ATT-A23-0027</t>
  </si>
  <si>
    <t>Xe xúc lật BOBCAT 753</t>
  </si>
  <si>
    <t>Bàn giao về XDCB ngày 29/07/2024 (LP1)</t>
  </si>
  <si>
    <t>M.Ủi D31-D51</t>
  </si>
  <si>
    <t>44HP</t>
  </si>
  <si>
    <t>KMTPC203VFE022946</t>
  </si>
  <si>
    <t>CHT-XLU-009</t>
  </si>
  <si>
    <t>A24-XLU-006</t>
  </si>
  <si>
    <t>CGTC LP đchuyen ngày 13/12/2025
Đầu tư mới (ĐQSD)</t>
  </si>
  <si>
    <t>SW350-1</t>
  </si>
  <si>
    <t>28HP</t>
  </si>
  <si>
    <t>VSW1410104</t>
  </si>
  <si>
    <t>XL1-CLT-008</t>
  </si>
  <si>
    <t>XD3-CLT-005</t>
  </si>
  <si>
    <t>A23-CLT-015</t>
  </si>
  <si>
    <t>ATT-A22-0128</t>
  </si>
  <si>
    <t>29/07/2025</t>
  </si>
  <si>
    <t>Đầu tư mới (24/07/2025)
- DP3 Đ.chuyển LP1 ngày 29/07/2025</t>
  </si>
  <si>
    <t>B2212L</t>
  </si>
  <si>
    <t>XL1-XTA-001</t>
  </si>
  <si>
    <t>65789 (CHT-XTA-018)</t>
  </si>
  <si>
    <t>A24-XTA-001</t>
  </si>
  <si>
    <t>Đ.chuyển từ XN LP1 ngày 25/06/2024</t>
  </si>
  <si>
    <t>RNHF99FACRT087866</t>
  </si>
  <si>
    <t>4DW93-95E4*B0577301*</t>
  </si>
  <si>
    <t>XL1-XTA-002</t>
  </si>
  <si>
    <t>68890 (CHT-XTA-019)</t>
  </si>
  <si>
    <t>A24-XTA-002</t>
  </si>
  <si>
    <t>RNHF99FACRT090611</t>
  </si>
  <si>
    <t>4DW93-95E4*B0576952*</t>
  </si>
  <si>
    <t>XL1-XTA-004</t>
  </si>
  <si>
    <t>ATT-A22-0148</t>
  </si>
  <si>
    <t>3A-6812</t>
  </si>
  <si>
    <t>Bàn giao về XDCB (LP1) ngày 30.07.2024</t>
  </si>
  <si>
    <t>RNHF99FACRT090616</t>
  </si>
  <si>
    <t>B0577292</t>
  </si>
  <si>
    <t>XL1-XTA-008</t>
  </si>
  <si>
    <t>A24-XTA-038</t>
  </si>
  <si>
    <t>Xe tải THACO FRONTIER TF700</t>
  </si>
  <si>
    <t>26/01/2026</t>
  </si>
  <si>
    <t>TF700</t>
  </si>
  <si>
    <t>RNHA69TZAPT082910</t>
  </si>
  <si>
    <t>JE493ZLQ4*37100367*</t>
  </si>
  <si>
    <t>XL1-XTA-006</t>
  </si>
  <si>
    <t>XT17 - VCKLH(XA2-XTA-002)</t>
  </si>
  <si>
    <t>ATT-A22-0017</t>
  </si>
  <si>
    <t>-Đ.chuyển từ AD2 sang LP1 ngày 17.02.2025</t>
  </si>
  <si>
    <t>XL1-XTA-007</t>
  </si>
  <si>
    <t>XT23 - VC KLH(XA2-XTA-003)</t>
  </si>
  <si>
    <t>ATT-A22-0018</t>
  </si>
  <si>
    <t>XL1-XPT-001</t>
  </si>
  <si>
    <t>XL4-XPT-001(XPT04-NNKLH)</t>
  </si>
  <si>
    <t>ATT-A24-0056</t>
  </si>
  <si>
    <t>-Đ.chuyển từ LP4 sang LP1 ngày 22.11.2024</t>
  </si>
  <si>
    <t>15TẤN</t>
  </si>
  <si>
    <t>XL1-XNA-001</t>
  </si>
  <si>
    <t>XL4-XNA-001</t>
  </si>
  <si>
    <t>Xe nâng điện 1.5 tấn</t>
  </si>
  <si>
    <t>1.5TẤN</t>
  </si>
  <si>
    <t>XL1-XNA-002</t>
  </si>
  <si>
    <t>A24-XNA-002</t>
  </si>
  <si>
    <t>Xe nâng điện 2.5 tấn</t>
  </si>
  <si>
    <t>Xe xúc lật BOBCAT 763</t>
  </si>
  <si>
    <t>46HP</t>
  </si>
  <si>
    <t>C31293R50032</t>
  </si>
  <si>
    <t>ATT-A24-0048</t>
  </si>
  <si>
    <t>XL1-MXĐ-001</t>
  </si>
  <si>
    <t>PHC-MXĐ-001</t>
  </si>
  <si>
    <t>Máy xới đất</t>
  </si>
  <si>
    <t>-Đ.chuyển từ HC ADM ngày 05/05/2025</t>
  </si>
  <si>
    <t>BOER</t>
  </si>
  <si>
    <t>RT165S</t>
  </si>
  <si>
    <t>16.5HP</t>
  </si>
  <si>
    <t>RT165-23C01014</t>
  </si>
  <si>
    <t>XL1-CCD-001</t>
  </si>
  <si>
    <t>A24-CCD-001</t>
  </si>
  <si>
    <t>TL20250601409</t>
  </si>
  <si>
    <t>GT1000B0042104CD</t>
  </si>
  <si>
    <t>XL1-CCD-002</t>
  </si>
  <si>
    <t>A24-CCD-002</t>
  </si>
  <si>
    <t>TL202506014011</t>
  </si>
  <si>
    <t>GT1000B0042103CD</t>
  </si>
  <si>
    <t>XL1-CCD-003</t>
  </si>
  <si>
    <t>ATT-A22-0169</t>
  </si>
  <si>
    <t>A24-CCD-003</t>
  </si>
  <si>
    <t>TL202506014013</t>
  </si>
  <si>
    <t>XL1-CCD-004</t>
  </si>
  <si>
    <t>A24-CCD-004</t>
  </si>
  <si>
    <t>TL202506014014</t>
  </si>
  <si>
    <t>GT1000B0042096CD</t>
  </si>
  <si>
    <t>XL1-XPT-002</t>
  </si>
  <si>
    <t>XA2-XPT-003</t>
  </si>
  <si>
    <t>Xe phun thuốc FD 3.5T</t>
  </si>
  <si>
    <t>Điều chuyển từ AD2 ngày 31/7/2025</t>
  </si>
  <si>
    <t>FD350</t>
  </si>
  <si>
    <t>không xoá hàng này</t>
  </si>
  <si>
    <t>III.5</t>
  </si>
  <si>
    <t>Xí nghiệp Chuối LP3</t>
  </si>
  <si>
    <t>XL3-MKE-001</t>
  </si>
  <si>
    <t>LP3-MKE-001(MK11-VCKLH)</t>
  </si>
  <si>
    <t>XN Chuối LP3</t>
  </si>
  <si>
    <t>C000057</t>
  </si>
  <si>
    <t>XL3-MKE-002</t>
  </si>
  <si>
    <t>LP3-MKE-002(MK24-VCKLH)</t>
  </si>
  <si>
    <t>C000056</t>
  </si>
  <si>
    <t>XL3-MKE-003</t>
  </si>
  <si>
    <t>LP3-MKE-003(MK32-VCKLH)</t>
  </si>
  <si>
    <t>Xe xúc lật L935H</t>
  </si>
  <si>
    <t>C000027</t>
  </si>
  <si>
    <t>XL3-MKE-004</t>
  </si>
  <si>
    <t>LP3-MKE-004(MK50-VCKLH)</t>
  </si>
  <si>
    <t>XL3-MKE-005</t>
  </si>
  <si>
    <t>XL1-MKE-001(MK39VCKLH)</t>
  </si>
  <si>
    <t>21/02/2024</t>
  </si>
  <si>
    <t>LP1 Đ.chuyen qua LP3</t>
  </si>
  <si>
    <t>D57605</t>
  </si>
  <si>
    <t>XL3-MKE-006</t>
  </si>
  <si>
    <t>XD3-MKE-009(MK 79-VC KLH)</t>
  </si>
  <si>
    <t>M.Ủi D31-D52</t>
  </si>
  <si>
    <t>Điều chuyển từ DP3 ngày 11/04/2024</t>
  </si>
  <si>
    <t>XL3-MKE-008</t>
  </si>
  <si>
    <t>XXA-MKE-008</t>
  </si>
  <si>
    <t>A22-MKE-008</t>
  </si>
  <si>
    <t>Máy cày LOVOL P3050</t>
  </si>
  <si>
    <t>18/05/2026</t>
  </si>
  <si>
    <t>- Đầu tư mới ngày 25/10/2024
- XN CAT AD điều chuyển qua XN Bò AD1 ngày 18/05/2026
- XNB đchyen qua ngày 08/06/2026</t>
  </si>
  <si>
    <t xml:space="preserve">TRUNG QUỐC </t>
  </si>
  <si>
    <t>P3050</t>
  </si>
  <si>
    <t>47Hp</t>
  </si>
  <si>
    <t>TY1S312020001K301198R03</t>
  </si>
  <si>
    <t>FTTP3A34VRS000231</t>
  </si>
  <si>
    <t>XL3-MKE-010</t>
  </si>
  <si>
    <t>XB1-MKE-006</t>
  </si>
  <si>
    <t>ATT-A22-0023</t>
  </si>
  <si>
    <t>đchuyen từ xnb ngày 18/06/2026</t>
  </si>
  <si>
    <t>XL3-MĐA-006(MĐ41HTKLH)</t>
  </si>
  <si>
    <t>ATT-A22-0170</t>
  </si>
  <si>
    <t>M.Ủi D60-D65</t>
  </si>
  <si>
    <t>LP3 đ,chuyển qua ngày 28/06/2024
- CGTC LP đchuyen qua ngày 26/05/2025</t>
  </si>
  <si>
    <t>PC50MR-2</t>
  </si>
  <si>
    <t>KMTPC094E05008137</t>
  </si>
  <si>
    <t>30/06/2024</t>
  </si>
  <si>
    <t>CGTC LP đchuyen ngày 15/03/2026
Bàn giao về XDCB LP ngày 01/07/2024</t>
  </si>
  <si>
    <t>38HP</t>
  </si>
  <si>
    <t>KMTPC212T40417418</t>
  </si>
  <si>
    <t>Xe xúc lật LEHMAN ZL940G</t>
  </si>
  <si>
    <t xml:space="preserve">CGTC LP đchuyen ngày 15/03/2026
Bàn giao về XDCB ngày 29/07/2024 </t>
  </si>
  <si>
    <t>KMTPC203A04018037</t>
  </si>
  <si>
    <t>MĐ40HTKLH</t>
  </si>
  <si>
    <t>ATT-A23-0031</t>
  </si>
  <si>
    <t>KMTPC212P040416271</t>
  </si>
  <si>
    <t>MĐ32-HTKLH</t>
  </si>
  <si>
    <t>CAT</t>
  </si>
  <si>
    <t>XL3-TCD-001</t>
  </si>
  <si>
    <t>2A-0492</t>
  </si>
  <si>
    <t>Xe tai nạn đang SC</t>
  </si>
  <si>
    <t>RNHF39KHBMT045643</t>
  </si>
  <si>
    <t>MD540095D4CB</t>
  </si>
  <si>
    <t>XL3-TCD-002</t>
  </si>
  <si>
    <t>A24-TCD-002</t>
  </si>
  <si>
    <t>2A-6090</t>
  </si>
  <si>
    <t>13/10/2024</t>
  </si>
  <si>
    <t>RNHF39KHBMT045662</t>
  </si>
  <si>
    <t>MD540097D4CB</t>
  </si>
  <si>
    <t>XL3-XTA-002</t>
  </si>
  <si>
    <t>LP3-XTA-002(XT18-VCKLH)</t>
  </si>
  <si>
    <t>ATM-A22-0089</t>
  </si>
  <si>
    <t>Mất số khung</t>
  </si>
  <si>
    <t>XL3-XTA-004</t>
  </si>
  <si>
    <t>RNHF99FACPT075130</t>
  </si>
  <si>
    <t>4DW9395E4B0575115</t>
  </si>
  <si>
    <t>XL3-XTA-005</t>
  </si>
  <si>
    <t>RNHF99FACPT076907</t>
  </si>
  <si>
    <t>4DW9395E4B0576687</t>
  </si>
  <si>
    <t>XL3-XTA-008</t>
  </si>
  <si>
    <t>Xe xúc lật LEHMAN ZL946E</t>
  </si>
  <si>
    <t>114HP</t>
  </si>
  <si>
    <t>- CGTC LP bàn giao ngày 07/02/2025
-XN LP3 bàn giao CGTC LP ngày 10/10/2024</t>
  </si>
  <si>
    <t>RNHF99FACNT055633</t>
  </si>
  <si>
    <t>4DW9395E4B0530476</t>
  </si>
  <si>
    <t>XL3-XTA-010</t>
  </si>
  <si>
    <t>XL1-XTA-003</t>
  </si>
  <si>
    <t>ATT-A22-0136</t>
  </si>
  <si>
    <t>3A-6824</t>
  </si>
  <si>
    <t>LP1 bàn giao LP3 07/02/2025 
Bàn giao về XDCB (LP1) ngày 30.07.2024
Xe lắp bồn phun thuốc</t>
  </si>
  <si>
    <t>RNHF99FACRT092726</t>
  </si>
  <si>
    <t>B0577285</t>
  </si>
  <si>
    <t>XL3-XTA-011</t>
  </si>
  <si>
    <t>A24-XTA-037</t>
  </si>
  <si>
    <t>RNHA49TZART082920</t>
  </si>
  <si>
    <t>JE493ZLQ4*37100378*</t>
  </si>
  <si>
    <t>XL3-XPT-001</t>
  </si>
  <si>
    <t>XL1-XTA-002(XPT05NNKLH)</t>
  </si>
  <si>
    <t>15 TẤN</t>
  </si>
  <si>
    <t>9AD16880</t>
  </si>
  <si>
    <t>XL3-XPT-002</t>
  </si>
  <si>
    <t>XPT10 - NN KLH(XA2-XPT-002)</t>
  </si>
  <si>
    <t>Đ.chuyển từ AD2 ngày 20/11/2024</t>
  </si>
  <si>
    <t>ATT-A22-0137</t>
  </si>
  <si>
    <t>XL3-XNA-001</t>
  </si>
  <si>
    <t>M.Ủi D60-D66</t>
  </si>
  <si>
    <t>XĐG LP3</t>
  </si>
  <si>
    <t>FB15-12</t>
  </si>
  <si>
    <t>XL3-XNA-002</t>
  </si>
  <si>
    <t>TS2510598-2021</t>
  </si>
  <si>
    <t>XL3-XNA-003</t>
  </si>
  <si>
    <t>A24-XNA-003</t>
  </si>
  <si>
    <t>XL3-CLT-001</t>
  </si>
  <si>
    <t>A24-CLT-001</t>
  </si>
  <si>
    <t>B2165L</t>
  </si>
  <si>
    <t>XL3-CLT-002</t>
  </si>
  <si>
    <t>A24-CLT-002</t>
  </si>
  <si>
    <t>ATT-A22-0138</t>
  </si>
  <si>
    <t>M.Ủi D60-D67</t>
  </si>
  <si>
    <t>B0516M</t>
  </si>
  <si>
    <t>XL3-CLT-003</t>
  </si>
  <si>
    <t>Xe xúc lật LEHMAN ZL946GP</t>
  </si>
  <si>
    <t>A24-CLT-003</t>
  </si>
  <si>
    <t>B0502M</t>
  </si>
  <si>
    <t>XL3-CLT-004</t>
  </si>
  <si>
    <t>A24-CLT-004</t>
  </si>
  <si>
    <t>XL3-CLT-005</t>
  </si>
  <si>
    <t>A24-CLT-005</t>
  </si>
  <si>
    <t>B2103L</t>
  </si>
  <si>
    <t>XL3-MĐQ-001</t>
  </si>
  <si>
    <t>A24-MĐQ-001</t>
  </si>
  <si>
    <t>Máy cắt cỏ đĩa quay 7.5HP</t>
  </si>
  <si>
    <t>15/11/2024</t>
  </si>
  <si>
    <t>YANMAR YC750</t>
  </si>
  <si>
    <t>XL3-RBX-001</t>
  </si>
  <si>
    <t>ATM-A23-0128</t>
  </si>
  <si>
    <t>Xe rùa bánh xích HỒNG HÀ</t>
  </si>
  <si>
    <t>HỒNG HÀ</t>
  </si>
  <si>
    <t>4L6819010 (động cơ diesel)</t>
  </si>
  <si>
    <t>67HP</t>
  </si>
  <si>
    <t>TCYUN54A1JR278360</t>
  </si>
  <si>
    <t>C43101509A</t>
  </si>
  <si>
    <t>XL3-CCD-001</t>
  </si>
  <si>
    <t>A24-CCD-005</t>
  </si>
  <si>
    <t>TL20250601406</t>
  </si>
  <si>
    <t>GT1000B0042100CD</t>
  </si>
  <si>
    <t>XL3-CCD-002</t>
  </si>
  <si>
    <t>A24-CCD-006</t>
  </si>
  <si>
    <t>TL202506014010</t>
  </si>
  <si>
    <t>GT1000B0037706CC</t>
  </si>
  <si>
    <t>XL3-CCD-003</t>
  </si>
  <si>
    <t>A24-CCD-007</t>
  </si>
  <si>
    <t>TL202506014012</t>
  </si>
  <si>
    <t>GT1000B0042101CD</t>
  </si>
  <si>
    <t>XL3-CCD-004</t>
  </si>
  <si>
    <t>A24-CCD-008</t>
  </si>
  <si>
    <t>Xe xúc lật LEHMAN ZL946PR</t>
  </si>
  <si>
    <t>TL202506014016</t>
  </si>
  <si>
    <t>GT1000B0042102CD</t>
  </si>
  <si>
    <t>CHT-XLU-005</t>
  </si>
  <si>
    <t>CGTC LP đchuyen ngày 27/12/2025</t>
  </si>
  <si>
    <t>CCC150C-2</t>
  </si>
  <si>
    <t>16HP</t>
  </si>
  <si>
    <t>HCM8U600A00010287</t>
  </si>
  <si>
    <t>3LD2 - 453951</t>
  </si>
  <si>
    <t>Không xoá hàng này</t>
  </si>
  <si>
    <t>III.6</t>
  </si>
  <si>
    <t>Xí nghiệp Chuối LP4</t>
  </si>
  <si>
    <t>XE LU</t>
  </si>
  <si>
    <t>III.7</t>
  </si>
  <si>
    <t>Xí nghiệp Chuối AD2</t>
  </si>
  <si>
    <t>III.8</t>
  </si>
  <si>
    <t>Cây ăn trái DP</t>
  </si>
  <si>
    <t>XXD-CLT-001</t>
  </si>
  <si>
    <t>CAT-CLT-001</t>
  </si>
  <si>
    <t>Xoài DP</t>
  </si>
  <si>
    <t>Từ Nhãn DP Đ.chuyển sang Xoài DP ngày 06.08.2024</t>
  </si>
  <si>
    <t>CLETHON</t>
  </si>
  <si>
    <t>RT140DI-19080197</t>
  </si>
  <si>
    <t>XXD-CLT-002</t>
  </si>
  <si>
    <t>AD2-CLT-004</t>
  </si>
  <si>
    <t>Hư hỏng</t>
  </si>
  <si>
    <t>DX LOẠI BIÊN</t>
  </si>
  <si>
    <t>RT140DI-19011.978</t>
  </si>
  <si>
    <t>XXD-MKE-001</t>
  </si>
  <si>
    <t>XB1-MKE-007</t>
  </si>
  <si>
    <t>02250</t>
  </si>
  <si>
    <t>XXD-MKE-002</t>
  </si>
  <si>
    <t>XB1-MKE-009</t>
  </si>
  <si>
    <t>ATT-A23-0026</t>
  </si>
  <si>
    <t>03315</t>
  </si>
  <si>
    <t>X.Lu 10-12 tấn</t>
  </si>
  <si>
    <t>Không xoá dòng này</t>
  </si>
  <si>
    <t>Xe xúc lật MT625H</t>
  </si>
  <si>
    <t>III.9</t>
  </si>
  <si>
    <t>Cây ăn trái AD</t>
  </si>
  <si>
    <t>XBA-CLT-001</t>
  </si>
  <si>
    <t>RT140-KH/1710053</t>
  </si>
  <si>
    <t>BƯỞI AD</t>
  </si>
  <si>
    <t>XBA-MKE-002</t>
  </si>
  <si>
    <t>XB1-MKE-020</t>
  </si>
  <si>
    <t>xnb điều chuyển 17/01/2026</t>
  </si>
  <si>
    <t>C000074</t>
  </si>
  <si>
    <t>XXA-MKE-001</t>
  </si>
  <si>
    <t>XB1-MKE-024</t>
  </si>
  <si>
    <t>ATT-A24-0057</t>
  </si>
  <si>
    <t>XOÀI AD</t>
  </si>
  <si>
    <t>XXA-MKE-002</t>
  </si>
  <si>
    <t>MK28/CAT-MKE-002</t>
  </si>
  <si>
    <t xml:space="preserve">THACO </t>
  </si>
  <si>
    <t>C000082</t>
  </si>
  <si>
    <t>XXA-MKE-003</t>
  </si>
  <si>
    <t>MK87/CAT-MKE-003</t>
  </si>
  <si>
    <t>XXA-MKE-005</t>
  </si>
  <si>
    <t>XAD-MKE-002</t>
  </si>
  <si>
    <t>27/02/2024</t>
  </si>
  <si>
    <t>Từ Xí nghiệp AD2 qua</t>
  </si>
  <si>
    <t>C000079</t>
  </si>
  <si>
    <t>XXA-MKE-006</t>
  </si>
  <si>
    <t>MK07 VCKLH(XA2-MKE-007)</t>
  </si>
  <si>
    <t>ATM-A22-0090</t>
  </si>
  <si>
    <t>Xe xúc lật SDLG L936H</t>
  </si>
  <si>
    <t>143HP</t>
  </si>
  <si>
    <t>AD2 ddchuyen qua ngày 28.09.2024</t>
  </si>
  <si>
    <t>C000075</t>
  </si>
  <si>
    <t>XXA-MKE-007</t>
  </si>
  <si>
    <t>XA2-MKE-006</t>
  </si>
  <si>
    <t>AD2 ddchuyen qua ngày 30.09.2024</t>
  </si>
  <si>
    <t>C000010</t>
  </si>
  <si>
    <t>XXA-MKE-011</t>
  </si>
  <si>
    <t>XB1-MKE-031</t>
  </si>
  <si>
    <t>20/05/2026</t>
  </si>
  <si>
    <t>Điều chuyển từ XNB qua ngày 20/05/2026</t>
  </si>
  <si>
    <t>M6040SUD57124</t>
  </si>
  <si>
    <t>XXA-MKE-010</t>
  </si>
  <si>
    <t>A22-MKE-062</t>
  </si>
  <si>
    <t>Máy cày JD 6200</t>
  </si>
  <si>
    <t>25/12/2025</t>
  </si>
  <si>
    <t>- Đầu tư mới ngày 25/12/2025
- XN CAT AD điều chuyển qua XN Bò AD1 ngày 18/05/2026
- XN Bò chuyển về lại xn Xoài 13/06/2026</t>
  </si>
  <si>
    <t>John Deere</t>
  </si>
  <si>
    <t>Đức</t>
  </si>
  <si>
    <t>L06200V203044</t>
  </si>
  <si>
    <t>CD4039T351816</t>
  </si>
  <si>
    <t>XXA-CLT-001</t>
  </si>
  <si>
    <t>CAT-CLT-003</t>
  </si>
  <si>
    <t>ATT-A24-0058</t>
  </si>
  <si>
    <t>RT140DI-19011.483</t>
  </si>
  <si>
    <t>XXA-CCM-001</t>
  </si>
  <si>
    <t>XL3-CCM-001</t>
  </si>
  <si>
    <t>Điều chuyển LP3 qua ngày 26/11/2024</t>
  </si>
  <si>
    <t>A001010279</t>
  </si>
  <si>
    <t>SF6665</t>
  </si>
  <si>
    <t>XXA-MKX-001</t>
  </si>
  <si>
    <t>XB1-MKX-007</t>
  </si>
  <si>
    <t>A22-MKX-007</t>
  </si>
  <si>
    <t>Máy kéo bánh xích CT652</t>
  </si>
  <si>
    <t>29/05/2026</t>
  </si>
  <si>
    <t>Điều chuyển từ XNB qua ngày 29/05/2026</t>
  </si>
  <si>
    <t>CT652</t>
  </si>
  <si>
    <t>R2091</t>
  </si>
  <si>
    <t>kHÔNG XOÁ DÒNG NÀY</t>
  </si>
  <si>
    <t>IV. CHĂN NUÔI BÒ</t>
  </si>
  <si>
    <t>ATT-A22-0153</t>
  </si>
  <si>
    <t>XB1-MKE-002</t>
  </si>
  <si>
    <t>MK17NN-KLH</t>
  </si>
  <si>
    <t>Xe xúc lật TCM 709</t>
  </si>
  <si>
    <t>XB1-MKE-003</t>
  </si>
  <si>
    <t>MK19NN-KLH</t>
  </si>
  <si>
    <t>XB1-MKE-004</t>
  </si>
  <si>
    <t>MK10VC-KLH</t>
  </si>
  <si>
    <t>XB1-MKE-005</t>
  </si>
  <si>
    <t>RAT-OYD</t>
  </si>
  <si>
    <t>ATT-A22-0152</t>
  </si>
  <si>
    <t>XB1-MKE-010</t>
  </si>
  <si>
    <t>MK05NN-KLH</t>
  </si>
  <si>
    <t>XB1-MKE-011</t>
  </si>
  <si>
    <t>MK09NN-KLH</t>
  </si>
  <si>
    <t>Bình thường</t>
  </si>
  <si>
    <t>XB1-MKE-012</t>
  </si>
  <si>
    <t>MK23VC-KLH</t>
  </si>
  <si>
    <t>0000087</t>
  </si>
  <si>
    <t>XB1-MKE-017</t>
  </si>
  <si>
    <t>MK38VC-KLH</t>
  </si>
  <si>
    <t>X.Lu 5 tấn</t>
  </si>
  <si>
    <t>D57126</t>
  </si>
  <si>
    <t>XB1-MKE-018</t>
  </si>
  <si>
    <t>MK27-VCKLH</t>
  </si>
  <si>
    <t>Xe xúc lật WA200-3</t>
  </si>
  <si>
    <t>125HP</t>
  </si>
  <si>
    <t>C000077</t>
  </si>
  <si>
    <t>XB1-MKE-021</t>
  </si>
  <si>
    <t>Mới</t>
  </si>
  <si>
    <t>XB1-MKE-022</t>
  </si>
  <si>
    <t>XB1-MKE-027</t>
  </si>
  <si>
    <t>MK20-VCKLH(XAD-MKE-009)</t>
  </si>
  <si>
    <t>X.Lu tay</t>
  </si>
  <si>
    <t>28/11/2023</t>
  </si>
  <si>
    <t>XB1-MKE-029</t>
  </si>
  <si>
    <t>1YR6120BLRD210217</t>
  </si>
  <si>
    <t>PE4045N035792</t>
  </si>
  <si>
    <t>XB1-MKE-030</t>
  </si>
  <si>
    <t>Máy cày bánh xích ISEKI</t>
  </si>
  <si>
    <t>TA-C120</t>
  </si>
  <si>
    <t>K12A/10050</t>
  </si>
  <si>
    <t>S6S025912</t>
  </si>
  <si>
    <t>XB1-MKE-033</t>
  </si>
  <si>
    <t>XA2-MKE-003</t>
  </si>
  <si>
    <t>Điều chuyển từ XN AD ngày 16/07/2024 gắn TB cuộn cỏ</t>
  </si>
  <si>
    <t>C000046</t>
  </si>
  <si>
    <t>XB1-MKE-034</t>
  </si>
  <si>
    <t>Máy cày bánh xích YANMAR</t>
  </si>
  <si>
    <t>Xe xúc lật WA350</t>
  </si>
  <si>
    <t>22/07/2024</t>
  </si>
  <si>
    <t>CT95</t>
  </si>
  <si>
    <t>XB1-MKE-035</t>
  </si>
  <si>
    <t>1YR6120BJRD210227</t>
  </si>
  <si>
    <t>PE4045N035812</t>
  </si>
  <si>
    <t>XB1-MKE-036</t>
  </si>
  <si>
    <t>MỚ́I</t>
  </si>
  <si>
    <t>1YR6120BKRD210226</t>
  </si>
  <si>
    <t>PE4045N035868</t>
  </si>
  <si>
    <t>XB1-MKE-037</t>
  </si>
  <si>
    <t>Máy cày JD 5520</t>
  </si>
  <si>
    <t>30/08/2024</t>
  </si>
  <si>
    <t>89HP</t>
  </si>
  <si>
    <t>54110883Y</t>
  </si>
  <si>
    <t>PE4045D043015</t>
  </si>
  <si>
    <t>XB1-MKE-038</t>
  </si>
  <si>
    <t>Máy cày JD 5510</t>
  </si>
  <si>
    <t>54110015Y</t>
  </si>
  <si>
    <t>PE4045D043101</t>
  </si>
  <si>
    <t>XB1-MKE-039</t>
  </si>
  <si>
    <t>L06200X115877</t>
  </si>
  <si>
    <t>CD4039T142137</t>
  </si>
  <si>
    <t>XB1-MKE-040</t>
  </si>
  <si>
    <t>XB1-XLU-001</t>
  </si>
  <si>
    <t>Máy cày JD 5425</t>
  </si>
  <si>
    <t>81HP</t>
  </si>
  <si>
    <t>542510101Y</t>
  </si>
  <si>
    <t>PE4045T722734</t>
  </si>
  <si>
    <t>XB1-MKE-041</t>
  </si>
  <si>
    <t>A22-MKE-041</t>
  </si>
  <si>
    <t>Máy cày LOVOL P4100</t>
  </si>
  <si>
    <t>Xe xúc lật WA400</t>
  </si>
  <si>
    <t>208HP</t>
  </si>
  <si>
    <t>P4100</t>
  </si>
  <si>
    <t>98HP</t>
  </si>
  <si>
    <t>E424H012739</t>
  </si>
  <si>
    <t>P400120RV</t>
  </si>
  <si>
    <t>XB1-MKE-043</t>
  </si>
  <si>
    <t>A22-MKE-043</t>
  </si>
  <si>
    <t>Máy cày LOVOL 2204</t>
  </si>
  <si>
    <t>26/10/2024</t>
  </si>
  <si>
    <t>TR2204</t>
  </si>
  <si>
    <t>217HP</t>
  </si>
  <si>
    <t>M600085RM</t>
  </si>
  <si>
    <t>7324C004472</t>
  </si>
  <si>
    <t>XB1-MKE-044</t>
  </si>
  <si>
    <t>MK 71-VC KLH(XD2-MKE-007</t>
  </si>
  <si>
    <t>- Điều chuyển từ XN DP2 ngày 02/01/2025</t>
  </si>
  <si>
    <t>C000015</t>
  </si>
  <si>
    <t>XB1-MKE-045</t>
  </si>
  <si>
    <t>MK07NNKLH</t>
  </si>
  <si>
    <t>ATT-A23-0016</t>
  </si>
  <si>
    <t xml:space="preserve">Hoán đổi xe với CGLĐ LP ngày 06.02.2025 </t>
  </si>
  <si>
    <t>XB1-MKE-046</t>
  </si>
  <si>
    <t>- Điều chuyển từ KLH SN Ttr số: "002-08/2025-B.CN:</t>
  </si>
  <si>
    <t>1P06155JPR8010864</t>
  </si>
  <si>
    <t>PE6068J008216</t>
  </si>
  <si>
    <t>XB1-MKE-047</t>
  </si>
  <si>
    <t>Mới (100%)</t>
  </si>
  <si>
    <t>A22-MKE-047</t>
  </si>
  <si>
    <t>19/09/2025</t>
  </si>
  <si>
    <t>1YR6120BLSV220083</t>
  </si>
  <si>
    <t>PE4045N051252</t>
  </si>
  <si>
    <t>XB1-MKE-048</t>
  </si>
  <si>
    <t>A22-MKE-048</t>
  </si>
  <si>
    <t>1YR6120BHSV220084</t>
  </si>
  <si>
    <t>PE4045N051256</t>
  </si>
  <si>
    <t>XB1-MKE-049</t>
  </si>
  <si>
    <t>A22-MKE-049</t>
  </si>
  <si>
    <t>26/09/2025</t>
  </si>
  <si>
    <t>L06200X154907</t>
  </si>
  <si>
    <t>CD4039T232227</t>
  </si>
  <si>
    <t>XB1-MKE-050</t>
  </si>
  <si>
    <t>A22-MKE-050</t>
  </si>
  <si>
    <t>Máy cày JD 6210</t>
  </si>
  <si>
    <t>322019L</t>
  </si>
  <si>
    <t>CD4045T534901</t>
  </si>
  <si>
    <t>XB1-MKE-051</t>
  </si>
  <si>
    <t>A22-MKE-057</t>
  </si>
  <si>
    <t>Máy cày JD 6620</t>
  </si>
  <si>
    <t>XE BAN</t>
  </si>
  <si>
    <t>L06620D501194</t>
  </si>
  <si>
    <t>CD6068G073699</t>
  </si>
  <si>
    <t>XB1-MKE-052</t>
  </si>
  <si>
    <t>A22-MKE-064</t>
  </si>
  <si>
    <t>Máy cày LOVOL P4100</t>
  </si>
  <si>
    <t>28/05/2026</t>
  </si>
  <si>
    <t>Xe xúc lật WSM953</t>
  </si>
  <si>
    <t>100 HP</t>
  </si>
  <si>
    <t>P400050TM</t>
  </si>
  <si>
    <t>E426C008054</t>
  </si>
  <si>
    <t>XB1-MKE-053</t>
  </si>
  <si>
    <t>A22-MKE-059</t>
  </si>
  <si>
    <t>M600278SX</t>
  </si>
  <si>
    <t>WP6G180E3306P25J023349</t>
  </si>
  <si>
    <t>XB1-MKE-054</t>
  </si>
  <si>
    <t>A22-MKE-065</t>
  </si>
  <si>
    <t>P400051TM</t>
  </si>
  <si>
    <t>E426C008049</t>
  </si>
  <si>
    <t>XB1-MKE-055</t>
  </si>
  <si>
    <t>A22-MKE-061</t>
  </si>
  <si>
    <t>M600280SX</t>
  </si>
  <si>
    <t>WP6G180E3306P25J023350</t>
  </si>
  <si>
    <t>XB1-MKE-056</t>
  </si>
  <si>
    <t>A22-MKE-063</t>
  </si>
  <si>
    <t>Máy cày JD 6600</t>
  </si>
  <si>
    <t>14/01/2026</t>
  </si>
  <si>
    <t>Đầu tư mới (ĐQSD)</t>
  </si>
  <si>
    <t>L06600V172903</t>
  </si>
  <si>
    <t>CD6059T276336</t>
  </si>
  <si>
    <t>XB1-MKE-057</t>
  </si>
  <si>
    <t>CNN-MKE-040</t>
  </si>
  <si>
    <t>A22-MKE-040</t>
  </si>
  <si>
    <t>Đầu tư mới (16/03/2026)
- CGLĐ DP đchuyen XNB ngày 07/04/2026</t>
  </si>
  <si>
    <t>309429L</t>
  </si>
  <si>
    <t>CD4045T640751</t>
  </si>
  <si>
    <t>XB1-MKE-058</t>
  </si>
  <si>
    <t>XXA-MKE-012</t>
  </si>
  <si>
    <t>A24-MKE-038</t>
  </si>
  <si>
    <t>Máy cày LOVOL P4110</t>
  </si>
  <si>
    <t>ATT-A22-0156</t>
  </si>
  <si>
    <t>- Đầu tư mới XN Xoài T6/2026
- Chuyển về XN Bò 13/06/2026</t>
  </si>
  <si>
    <t>P4110</t>
  </si>
  <si>
    <t>110 HP</t>
  </si>
  <si>
    <t>P400067TM</t>
  </si>
  <si>
    <t>E426C008079</t>
  </si>
  <si>
    <t>XB1-MKE-059</t>
  </si>
  <si>
    <t>XXA-MKE-009</t>
  </si>
  <si>
    <t>ATT-A23-0002</t>
  </si>
  <si>
    <t>X.Ban</t>
  </si>
  <si>
    <t>- XN DP2 điều chuyển qua CAT AD ngày 12/02/2025
- XN CAT AD điều chuyển qua XN Bò AD1 ngày 18/05/2026</t>
  </si>
  <si>
    <t>C000053</t>
  </si>
  <si>
    <t>XB1-MKE-061</t>
  </si>
  <si>
    <t>XBA-MKE-001</t>
  </si>
  <si>
    <t>21/05/2026</t>
  </si>
  <si>
    <t>- XN CAT AD điều chuyển qua XN Bò AD1 ngày 21/05/2026</t>
  </si>
  <si>
    <t>XB1-MKE-062</t>
  </si>
  <si>
    <t>CNN-MKE-024</t>
  </si>
  <si>
    <t>CGLĐ LP đchuyen qua ngày 22.05.2026</t>
  </si>
  <si>
    <t>1P06155JCP8010851</t>
  </si>
  <si>
    <t>PE6068J008136</t>
  </si>
  <si>
    <t>XB1-MKE-063</t>
  </si>
  <si>
    <t>A22-MKE-066</t>
  </si>
  <si>
    <t>P400052TM</t>
  </si>
  <si>
    <t>E426C008042</t>
  </si>
  <si>
    <t>XB1-MKE-064</t>
  </si>
  <si>
    <t>A22-MKE-067</t>
  </si>
  <si>
    <t>P400053TM</t>
  </si>
  <si>
    <t>E426C008052</t>
  </si>
  <si>
    <t>Xe ben</t>
  </si>
  <si>
    <t>XB1-MKE-065</t>
  </si>
  <si>
    <t>A24-MKE-039</t>
  </si>
  <si>
    <t>ATT-A24-0059</t>
  </si>
  <si>
    <t>P400068TM</t>
  </si>
  <si>
    <t>E426C008939</t>
  </si>
  <si>
    <t>XB1-MKE-066</t>
  </si>
  <si>
    <t>A24-MKE-040</t>
  </si>
  <si>
    <t>P400069TM</t>
  </si>
  <si>
    <t>E426C008097</t>
  </si>
  <si>
    <t>XB1-MKE-067</t>
  </si>
  <si>
    <t>A24-MKE-041</t>
  </si>
  <si>
    <t>P400070TM</t>
  </si>
  <si>
    <t>E426C008092</t>
  </si>
  <si>
    <t>XB1-MKE-068</t>
  </si>
  <si>
    <t>A23-MKE-039</t>
  </si>
  <si>
    <t>Máy cày LOVOL TR1504</t>
  </si>
  <si>
    <t>TR1504</t>
  </si>
  <si>
    <t>150 HP</t>
  </si>
  <si>
    <t>M600086TY</t>
  </si>
  <si>
    <t>6P26C009038</t>
  </si>
  <si>
    <t>XB1-MKE-069</t>
  </si>
  <si>
    <t>A23-MKE-040</t>
  </si>
  <si>
    <t>M600087TY</t>
  </si>
  <si>
    <t>6P26C009039</t>
  </si>
  <si>
    <t>XB1-MKE-070</t>
  </si>
  <si>
    <t>A23-MKE-041</t>
  </si>
  <si>
    <t>M600088TY</t>
  </si>
  <si>
    <t>6P26C009040</t>
  </si>
  <si>
    <t>XB1-MKX-001</t>
  </si>
  <si>
    <t>A23-MKX-001</t>
  </si>
  <si>
    <t>Máy cày bánh xích LOVOL</t>
  </si>
  <si>
    <t>25/08/2025</t>
  </si>
  <si>
    <t>1GZL-230X</t>
  </si>
  <si>
    <t>102HP</t>
  </si>
  <si>
    <t>FTHRXX23CSN000034</t>
  </si>
  <si>
    <t>Q250577684G</t>
  </si>
  <si>
    <t>XB1-MKX-002</t>
  </si>
  <si>
    <t>Mới (ĐQSD)</t>
  </si>
  <si>
    <t>A22-MKX-002</t>
  </si>
  <si>
    <t>Máy cày bánh xích MOROOKA</t>
  </si>
  <si>
    <t>ATT-A22-0135</t>
  </si>
  <si>
    <t>MOROOKA</t>
  </si>
  <si>
    <t>MK-200</t>
  </si>
  <si>
    <t>T20022</t>
  </si>
  <si>
    <t>H06C TF11820</t>
  </si>
  <si>
    <t>XB1-MKX-003</t>
  </si>
  <si>
    <t>A22-MKX-003</t>
  </si>
  <si>
    <t>Máy cày bánh xích LOVOL TB1002C</t>
  </si>
  <si>
    <t>15/12/2025</t>
  </si>
  <si>
    <t>TB1002-C</t>
  </si>
  <si>
    <t>FTTM3AD2CSC000020</t>
  </si>
  <si>
    <t>Q250194560G</t>
  </si>
  <si>
    <t>XB1-MKX-004</t>
  </si>
  <si>
    <t>A22-MKX-004</t>
  </si>
  <si>
    <t>Máy cày bánh xích MK 250</t>
  </si>
  <si>
    <t>Morooka</t>
  </si>
  <si>
    <t>MK 250</t>
  </si>
  <si>
    <t>250HP</t>
  </si>
  <si>
    <t>T22032</t>
  </si>
  <si>
    <t>6D108-19718</t>
  </si>
  <si>
    <t>XB1-MKX-005</t>
  </si>
  <si>
    <t>A22-MKX-005</t>
  </si>
  <si>
    <t>Máy cày bánh xích CT55</t>
  </si>
  <si>
    <t>23/01/2026</t>
  </si>
  <si>
    <t>CT55</t>
  </si>
  <si>
    <t>55HP</t>
  </si>
  <si>
    <t>XB1-XXL-001</t>
  </si>
  <si>
    <t>XXL02-KLH</t>
  </si>
  <si>
    <t>ATT-A23-0033</t>
  </si>
  <si>
    <t>FUJIAN WEISHENG</t>
  </si>
  <si>
    <t>WSM953 2m3</t>
  </si>
  <si>
    <t>123HP</t>
  </si>
  <si>
    <t>XB1-XXL-002</t>
  </si>
  <si>
    <t>XXL005-KLH</t>
  </si>
  <si>
    <t>WA400-3E</t>
  </si>
  <si>
    <t>XB1-XXL-004</t>
  </si>
  <si>
    <t>XXL04HT-KLH</t>
  </si>
  <si>
    <t>WA350-3</t>
  </si>
  <si>
    <t>162HP</t>
  </si>
  <si>
    <t>XB1-XXL-005</t>
  </si>
  <si>
    <t>MANITOU</t>
  </si>
  <si>
    <t>PHÁP</t>
  </si>
  <si>
    <t>MT625H</t>
  </si>
  <si>
    <t>MAN00000T01005580</t>
  </si>
  <si>
    <t xml:space="preserve"> V3307T8JL1568</t>
  </si>
  <si>
    <t>XB1-XXL-006</t>
  </si>
  <si>
    <t>15/12/2023</t>
  </si>
  <si>
    <t>LEHMAN</t>
  </si>
  <si>
    <t>ZL940G</t>
  </si>
  <si>
    <t>SY23090078</t>
  </si>
  <si>
    <t>YCD4J22T-1151JG410P03213</t>
  </si>
  <si>
    <t>XB1-XXL-007</t>
  </si>
  <si>
    <t>Mới</t>
  </si>
  <si>
    <t>30/01/2024</t>
  </si>
  <si>
    <t>SDLG</t>
  </si>
  <si>
    <t>L935H</t>
  </si>
  <si>
    <t>VLGL935HAN0620050</t>
  </si>
  <si>
    <t>WP6G140E226P22D023010</t>
  </si>
  <si>
    <t>XB1-XXL-008</t>
  </si>
  <si>
    <t>ZL946E</t>
  </si>
  <si>
    <t>SY24020177</t>
  </si>
  <si>
    <t>1JG410P06207</t>
  </si>
  <si>
    <t>XB1-XXL-009</t>
  </si>
  <si>
    <t>A22-XXL-009</t>
  </si>
  <si>
    <t>16/08/2024</t>
  </si>
  <si>
    <t>ZL946PR</t>
  </si>
  <si>
    <t>SY24050287</t>
  </si>
  <si>
    <t>1JG410R01725</t>
  </si>
  <si>
    <t>XB1-XXL-010</t>
  </si>
  <si>
    <t>A22-XXL-010</t>
  </si>
  <si>
    <t>ZL946GP</t>
  </si>
  <si>
    <t>SY24070162</t>
  </si>
  <si>
    <t>1JG410R02694</t>
  </si>
  <si>
    <t>XB1-XXL-011</t>
  </si>
  <si>
    <t>A22-XXL-011</t>
  </si>
  <si>
    <t>SY35080163</t>
  </si>
  <si>
    <t>1JG410R02705</t>
  </si>
  <si>
    <t>XB1-XXL-012</t>
  </si>
  <si>
    <t>A22-XXL-012</t>
  </si>
  <si>
    <t>L936H</t>
  </si>
  <si>
    <t>VLGL936HLR0620877</t>
  </si>
  <si>
    <t>WP6G140E226P24S022431</t>
  </si>
  <si>
    <t>XB1-XXL-013</t>
  </si>
  <si>
    <t>A22-XXL-013</t>
  </si>
  <si>
    <t>VLGL936HVS0620901</t>
  </si>
  <si>
    <t>WP6G140E226P24K026707</t>
  </si>
  <si>
    <t>XB1-XXL-014</t>
  </si>
  <si>
    <t>A22-XXL-014</t>
  </si>
  <si>
    <t>II</t>
  </si>
  <si>
    <t>MÁY CÀY LÀM ĐẤT</t>
  </si>
  <si>
    <t>24/09/2025</t>
  </si>
  <si>
    <t>XNB IAPUCH điều chuyển cho KM mượn dài hạn</t>
  </si>
  <si>
    <t>TCM</t>
  </si>
  <si>
    <t>V2403-M</t>
  </si>
  <si>
    <t>56T01045</t>
  </si>
  <si>
    <t>V2403-08-3116</t>
  </si>
  <si>
    <t>XB1-XXL-015</t>
  </si>
  <si>
    <t>A22-XXL-015</t>
  </si>
  <si>
    <t>Xe xúc lật SDLG L936H</t>
  </si>
  <si>
    <t>142.7HP</t>
  </si>
  <si>
    <t>VLGL936HCS0621335</t>
  </si>
  <si>
    <t>WP6G140E226P25G016629</t>
  </si>
  <si>
    <t>XB1-XXL-016</t>
  </si>
  <si>
    <t>A22-XXL-016</t>
  </si>
  <si>
    <t>BOBCAT</t>
  </si>
  <si>
    <t>Mỹ</t>
  </si>
  <si>
    <t>44Hp</t>
  </si>
  <si>
    <t>V2203-389041</t>
  </si>
  <si>
    <t>XB1-XXL-017</t>
  </si>
  <si>
    <t>A22-XXL-017</t>
  </si>
  <si>
    <t>46Hp</t>
  </si>
  <si>
    <t>V2203-111961</t>
  </si>
  <si>
    <t>XB1-XNA-001</t>
  </si>
  <si>
    <t>FB15HB-12</t>
  </si>
  <si>
    <t>48V/280AH</t>
  </si>
  <si>
    <t>2C09/11</t>
  </si>
  <si>
    <t>XB1-XNA-002</t>
  </si>
  <si>
    <t>MÁ́Y CÀY ĐẤT KUBOTA</t>
  </si>
  <si>
    <t>Xe nâng 3 tấn</t>
  </si>
  <si>
    <t>Xe đã qua sử dụng</t>
  </si>
  <si>
    <t>FD30T-17</t>
  </si>
  <si>
    <t>XB1-XNA-003</t>
  </si>
  <si>
    <t>CP-CY25DC1B</t>
  </si>
  <si>
    <t>XB1-XNA-004</t>
  </si>
  <si>
    <t>A22-XNA-004</t>
  </si>
  <si>
    <t>Xe nâng dầu KOMATSU 3.5 tấn</t>
  </si>
  <si>
    <t>17/01/2025</t>
  </si>
  <si>
    <t>FH35-1</t>
  </si>
  <si>
    <t>70 HP</t>
  </si>
  <si>
    <t>XB1-XNA-005</t>
  </si>
  <si>
    <t>A22-XNA-005</t>
  </si>
  <si>
    <t>Xe nâng dầu HELI 3.5 tấn</t>
  </si>
  <si>
    <t>Đầu tư mới (kèm TB: XB1-GNK-001)</t>
  </si>
  <si>
    <t>CPCD35</t>
  </si>
  <si>
    <t>010353K5641</t>
  </si>
  <si>
    <t>4JG2-650393</t>
  </si>
  <si>
    <t>XB1-XNA-006</t>
  </si>
  <si>
    <t>A22-XNA-006</t>
  </si>
  <si>
    <t>Đầu tư mới (kèm TB: XB1-GNK-002)</t>
  </si>
  <si>
    <t>010353H8176</t>
  </si>
  <si>
    <t>4JG2-649490</t>
  </si>
  <si>
    <t>CNN-MĐA-001(MĐ05HTKLH)</t>
  </si>
  <si>
    <t>Xe đã qua sử dụng (lắp TB gắp gỗ)</t>
  </si>
  <si>
    <t>ATT-A23-0019</t>
  </si>
  <si>
    <t>KMTPC094K05007351</t>
  </si>
  <si>
    <t>CHT-MĐA-064</t>
  </si>
  <si>
    <t>A24-MĐA-064</t>
  </si>
  <si>
    <t>M.Cày 20-90 HP</t>
  </si>
  <si>
    <t>- Đầu tư mới CGTC Lumphat ngày 18/12/2024 (ĐQSD)
- Cho XN Bò mượn T5/2025 (Chưa bàn giao)
- Bàn giao XN Bò 01/04/2026</t>
  </si>
  <si>
    <t>ROBEX 140W</t>
  </si>
  <si>
    <t>4LC0001417</t>
  </si>
  <si>
    <t>CHT-MĐA-070</t>
  </si>
  <si>
    <t>A22-MĐA-070</t>
  </si>
  <si>
    <t>- Bàn giao về XDCB ngày 01/03/2025
- Bàn giao về XNB ngày 09/04/2026</t>
  </si>
  <si>
    <t>KMTPW013K79H50270</t>
  </si>
  <si>
    <t>CHT-MĐA-053</t>
  </si>
  <si>
    <t>ĐỀ XUÁT THANH LÝ
XNB đ.chuyển qua ngày 25/06/2024
- CGTC ADM chuyển về lại xí nghiệp Bò gắp gỗ</t>
  </si>
  <si>
    <t>42HP</t>
  </si>
  <si>
    <t>CAT00305HDCR00990</t>
  </si>
  <si>
    <t>20269B4</t>
  </si>
  <si>
    <t>XB1-XCC-001</t>
  </si>
  <si>
    <t>XBT06NN-KLH</t>
  </si>
  <si>
    <t>Xe chở cám FC950</t>
  </si>
  <si>
    <t>RNHA16FYAJC084020</t>
  </si>
  <si>
    <t>J00052</t>
  </si>
  <si>
    <t>XB1-XRA-001</t>
  </si>
  <si>
    <t>Xe rải thức ăn FD1600B (23m3)</t>
  </si>
  <si>
    <t>ATT-A22-0182</t>
  </si>
  <si>
    <t>M.Cày 95-125 HP</t>
  </si>
  <si>
    <t>FD1600B</t>
  </si>
  <si>
    <t>180HP</t>
  </si>
  <si>
    <t>RNHD1600DHC070080</t>
  </si>
  <si>
    <t>WP6180E326P15D005529</t>
  </si>
  <si>
    <t>XB1-XRA-003</t>
  </si>
  <si>
    <t>RNHD1600DHC055025</t>
  </si>
  <si>
    <t>WP6180E326P15D005502</t>
  </si>
  <si>
    <t>XB1-XRA-004</t>
  </si>
  <si>
    <t>RNHD1600DHC056126</t>
  </si>
  <si>
    <t>WP6.180E326P15D005524</t>
  </si>
  <si>
    <t>XB1-XRA-005</t>
  </si>
  <si>
    <t>RNHD1600DHC056121</t>
  </si>
  <si>
    <t>WP6.180E32*6P15D005392</t>
  </si>
  <si>
    <t>XB1-XHC-001</t>
  </si>
  <si>
    <t>XB1-XCC-002</t>
  </si>
  <si>
    <t>Xe hứng cỏ FC150 (30m3)</t>
  </si>
  <si>
    <t>RNHF16FYBNT070603</t>
  </si>
  <si>
    <t>YC4D150-48D59M1N00701</t>
  </si>
  <si>
    <t>XB1-XHC-002</t>
  </si>
  <si>
    <t>RNHF16FYANT077508</t>
  </si>
  <si>
    <t>YC4D150-48D59M1N00901</t>
  </si>
  <si>
    <t>XB1-XHC-003</t>
  </si>
  <si>
    <t>Xe bị tai nạn 21/05/2025 (bị c.an giữ)</t>
  </si>
  <si>
    <t>RNHF16FYAPT077501</t>
  </si>
  <si>
    <t>YC4D150-48D59M1N00964</t>
  </si>
  <si>
    <t>XB1-XHC-004</t>
  </si>
  <si>
    <t>MÁ́Y CÀY ĐẤT JD</t>
  </si>
  <si>
    <t>RNHF16FYAPT077504</t>
  </si>
  <si>
    <t>YC4D150-48D59M1N00940</t>
  </si>
  <si>
    <t>XB1-XHC-005</t>
  </si>
  <si>
    <t>25/11/2023</t>
  </si>
  <si>
    <t>RNHF16FYAPT077505</t>
  </si>
  <si>
    <t>YC4D150-48D59M1N00944</t>
  </si>
  <si>
    <t>XB1-XHC-006</t>
  </si>
  <si>
    <t>RNHF16FYAPT077506</t>
  </si>
  <si>
    <t>YC4D150-48D59M1N00906</t>
  </si>
  <si>
    <t>XB1-XHC-007</t>
  </si>
  <si>
    <t>A22-XHC-007</t>
  </si>
  <si>
    <t>RNHF16FYBRT070602</t>
  </si>
  <si>
    <t>D59M1N00683</t>
  </si>
  <si>
    <t>XB1-XHC-008</t>
  </si>
  <si>
    <t>A22-XHC-008</t>
  </si>
  <si>
    <t>RNHF16FYBRT077511</t>
  </si>
  <si>
    <t>D59M1N01090</t>
  </si>
  <si>
    <t>XB1-XHC-009</t>
  </si>
  <si>
    <t>A22-XHC-009</t>
  </si>
  <si>
    <t>RNHF16FYBRT077510</t>
  </si>
  <si>
    <t>D59M1N01093</t>
  </si>
  <si>
    <t>XB1-XHC-010</t>
  </si>
  <si>
    <t>A22-XHC-010</t>
  </si>
  <si>
    <t>RNHF16FYBRT077512</t>
  </si>
  <si>
    <t>D59M1N01099</t>
  </si>
  <si>
    <t>XB1-XHC-011</t>
  </si>
  <si>
    <t>A22-XHC-011</t>
  </si>
  <si>
    <t>RNHF16FYBRT000129</t>
  </si>
  <si>
    <t>YC4D150-48*D59M1N01035*</t>
  </si>
  <si>
    <t>XB1-XCP-001</t>
  </si>
  <si>
    <t>Xe chở phân FD150 (11.8m3)</t>
  </si>
  <si>
    <t>RNHF16FYANT066262</t>
  </si>
  <si>
    <t>YC4D150-48D59M1N00692</t>
  </si>
  <si>
    <t>XB1-XCP-002</t>
  </si>
  <si>
    <t>RNHF16FYANT065187</t>
  </si>
  <si>
    <t>YC4D150-48D59M1N00561</t>
  </si>
  <si>
    <t>XB1-XCP-003</t>
  </si>
  <si>
    <t>RNHF16FYANT065161</t>
  </si>
  <si>
    <t>YC4D150-48D59M1N00654</t>
  </si>
  <si>
    <t>XB1-XCP-004</t>
  </si>
  <si>
    <t xml:space="preserve"> RNHF16FYANT065198</t>
  </si>
  <si>
    <t>YC4D150-48D59M1N00572</t>
  </si>
  <si>
    <t>XB1-XCP-005</t>
  </si>
  <si>
    <t>Xe chở phân FD150 (8.7m3)</t>
  </si>
  <si>
    <t>RNHF16FYAPTO77540</t>
  </si>
  <si>
    <t>YC4D150-48D59M1N00920</t>
  </si>
  <si>
    <t>XB1-XCP-006</t>
  </si>
  <si>
    <t>RNHF16FYAPTO77538</t>
  </si>
  <si>
    <t>YC4D150-48D59M1N00903</t>
  </si>
  <si>
    <t>XB1-XCP-008</t>
  </si>
  <si>
    <t>A22-XCP-008</t>
  </si>
  <si>
    <t>3A-6803</t>
  </si>
  <si>
    <t>RNHF16FYART095004</t>
  </si>
  <si>
    <t>D59M1N01406</t>
  </si>
  <si>
    <t>XB1-XCP-009</t>
  </si>
  <si>
    <t>A22-XCP-009</t>
  </si>
  <si>
    <t>3A-6801</t>
  </si>
  <si>
    <t>RNHF16FYART095002</t>
  </si>
  <si>
    <t>D59M1N01437</t>
  </si>
  <si>
    <t>XB1-XCP-010</t>
  </si>
  <si>
    <t>A22-XCP-010</t>
  </si>
  <si>
    <t>3A-6807</t>
  </si>
  <si>
    <t>RNHF16FYART095001</t>
  </si>
  <si>
    <t>D59M1N01416</t>
  </si>
  <si>
    <t>XB1-XCP-011</t>
  </si>
  <si>
    <t>A22-XCP-011</t>
  </si>
  <si>
    <t>3A-6802</t>
  </si>
  <si>
    <t>RNHF16FYART094996</t>
  </si>
  <si>
    <t>D59M1N01392</t>
  </si>
  <si>
    <t>XB1-XCP-012</t>
  </si>
  <si>
    <t>A22-XCP-012</t>
  </si>
  <si>
    <t>3A-6841</t>
  </si>
  <si>
    <t>Xe chở phân FD120 (5.41m3)</t>
  </si>
  <si>
    <t>13/09/2025</t>
  </si>
  <si>
    <t xml:space="preserve"> FD120-4WD</t>
  </si>
  <si>
    <t>RNHF12FNBRT002112</t>
  </si>
  <si>
    <t>YN38CRD1*AGN22000292*</t>
  </si>
  <si>
    <t>XB1-XCP-013</t>
  </si>
  <si>
    <t>A22-XCP-013</t>
  </si>
  <si>
    <t>RNHF12FNBRT002113</t>
  </si>
  <si>
    <t>YN38CRD1*AGN22000293*</t>
  </si>
  <si>
    <t>XB1-XCP-014</t>
  </si>
  <si>
    <t>A22-XCP-014</t>
  </si>
  <si>
    <t>3A-6833</t>
  </si>
  <si>
    <t>RNHF12FNBRT002117</t>
  </si>
  <si>
    <t>YN38CRD1*AGN22000297*</t>
  </si>
  <si>
    <t>XB1-XTA-005</t>
  </si>
  <si>
    <t>CVC-XTA-004</t>
  </si>
  <si>
    <t>Xe tải thùng FD140</t>
  </si>
  <si>
    <t xml:space="preserve">Điều chuyển từ GNVC KLH 08/07/2024 </t>
  </si>
  <si>
    <t>FD140-4WD</t>
  </si>
  <si>
    <t>RNHF14FYAMT052027</t>
  </si>
  <si>
    <t>YC4D140-48D59M1M00546</t>
  </si>
  <si>
    <t>XB1-XTA-006</t>
  </si>
  <si>
    <t>A22-XTA-006</t>
  </si>
  <si>
    <t>3A-6805</t>
  </si>
  <si>
    <t>Xe tải thùng FC150</t>
  </si>
  <si>
    <t>RNHF16FYBRT077509</t>
  </si>
  <si>
    <t>D59M1N01082</t>
  </si>
  <si>
    <t>XB1-XĐK-001</t>
  </si>
  <si>
    <t>A22-XĐK-001</t>
  </si>
  <si>
    <t>Xe đầu kéo FD1600B</t>
  </si>
  <si>
    <t>29/10/2024</t>
  </si>
  <si>
    <t>Đầu tư mới, đi kèm SMRM: XB1-SMR-001 (50m3)</t>
  </si>
  <si>
    <t>177HP</t>
  </si>
  <si>
    <t>RNHD1600DHC070065</t>
  </si>
  <si>
    <t>6P15D005384</t>
  </si>
  <si>
    <t>XB1-XĐK-002</t>
  </si>
  <si>
    <t>A22-XĐK-002</t>
  </si>
  <si>
    <t>3A-6806</t>
  </si>
  <si>
    <t>Xe đầu kéo TT261J-MT</t>
  </si>
  <si>
    <t>Đầu tư mới, đi kèm SMRM: XB1-MRT-002 (50m3)</t>
  </si>
  <si>
    <t>THACO TT261J-MT</t>
  </si>
  <si>
    <t>295HP</t>
  </si>
  <si>
    <t>RNHT16TWART098475</t>
  </si>
  <si>
    <t>1024A000597</t>
  </si>
  <si>
    <t>XB1-XĐK-003</t>
  </si>
  <si>
    <t>A22-XĐK-003</t>
  </si>
  <si>
    <t>3A-6837</t>
  </si>
  <si>
    <t>Xe đầu kéo HOWO</t>
  </si>
  <si>
    <t>Đầu tư mới, đi kèm SMRM: XB1-MRT-003 (50m3)</t>
  </si>
  <si>
    <t>CNHTC</t>
  </si>
  <si>
    <t>ZZ4187N391JE1</t>
  </si>
  <si>
    <t>299HP</t>
  </si>
  <si>
    <t>LZZ1CCMD2SJ416137</t>
  </si>
  <si>
    <t>WP7.300E51*1025G007299*</t>
  </si>
  <si>
    <t>XB1-XĐK-004</t>
  </si>
  <si>
    <t>A22-XĐK-004</t>
  </si>
  <si>
    <t>3A-6839</t>
  </si>
  <si>
    <t>Đầu tư mới, đi kèm SMRM: XB1-MRT-004 (50m3)</t>
  </si>
  <si>
    <t>LZZ1CCMD7SJ415209</t>
  </si>
  <si>
    <t>WP7.300E51*1025G006835*</t>
  </si>
  <si>
    <t>XB1-XĐK-005</t>
  </si>
  <si>
    <t>A22-XĐK-005</t>
  </si>
  <si>
    <t>3A-6836</t>
  </si>
  <si>
    <t>Đầu tư mới, đi kèm SMRM: XB1-MRT-005 (50m3)</t>
  </si>
  <si>
    <t>LZZ1CCMD3SJ415210</t>
  </si>
  <si>
    <t>WP7.300E51*1025G006838*</t>
  </si>
  <si>
    <t>XB1-XĐK-006</t>
  </si>
  <si>
    <t>A22-XĐK-006</t>
  </si>
  <si>
    <t>3A-6835</t>
  </si>
  <si>
    <t>31/10/2025</t>
  </si>
  <si>
    <t>Đầu tư mới, đi kèm SMRM: XB1-MRT-006 (50m3)</t>
  </si>
  <si>
    <t>LZZ1CCMD3SJ415207</t>
  </si>
  <si>
    <t>WP7.300E51*1025G006833*</t>
  </si>
  <si>
    <t>XB1-XĐK-007</t>
  </si>
  <si>
    <t>A22-XĐK-007</t>
  </si>
  <si>
    <t>3A-6840</t>
  </si>
  <si>
    <t>24/10/2025</t>
  </si>
  <si>
    <t>Đầu tư mới, đi kèm SMRM: XB1-MRT-007 (50m3)</t>
  </si>
  <si>
    <t>LZZ1CCMD3SJ415208</t>
  </si>
  <si>
    <t>WP7.300E51*1025G006834*</t>
  </si>
  <si>
    <t>XB1-XĐK-008</t>
  </si>
  <si>
    <t>A22-XĐK-008</t>
  </si>
  <si>
    <t>3A-6832</t>
  </si>
  <si>
    <t>Xe tải</t>
  </si>
  <si>
    <t>LZZ1CCMD4SJ416138</t>
  </si>
  <si>
    <t>WP7.300E51*1025G007295*</t>
  </si>
  <si>
    <t>XB1-XĐK-009</t>
  </si>
  <si>
    <t>A22-XĐK-009</t>
  </si>
  <si>
    <t>3A-6831</t>
  </si>
  <si>
    <t>23/12/2025</t>
  </si>
  <si>
    <t>Đầu tư mới, đi kèm SMRM: XB1-TPC-002</t>
  </si>
  <si>
    <t>LZZ1CCMD5SJ416133</t>
  </si>
  <si>
    <t>WP7.300E51*1025G007305*</t>
  </si>
  <si>
    <t>XB1-XĐK-010</t>
  </si>
  <si>
    <t>A22-XĐK-010</t>
  </si>
  <si>
    <t>3A-6842</t>
  </si>
  <si>
    <t>Đi kèm XB1-TPC-003, 004 (45m3)</t>
  </si>
  <si>
    <t>299 HP</t>
  </si>
  <si>
    <t>LZZ1CCMD6SJ416125</t>
  </si>
  <si>
    <t>WP7.300E51*1025G007298*</t>
  </si>
  <si>
    <t>XB1-XĐK-011</t>
  </si>
  <si>
    <t>A22-XĐK-011</t>
  </si>
  <si>
    <t>3A-6838</t>
  </si>
  <si>
    <t>Đi kèm XB1-TPC-006, 007 (45m3)</t>
  </si>
  <si>
    <t>LZZ1CCMD9SJ416135</t>
  </si>
  <si>
    <t>WP7.300E51*1025G007310*</t>
  </si>
  <si>
    <t>XB1-XĐK-012</t>
  </si>
  <si>
    <t>A22-XĐK-012</t>
  </si>
  <si>
    <t>3A-6830</t>
  </si>
  <si>
    <t>Xe tải Forland FD140</t>
  </si>
  <si>
    <t>Đi kèm XB1-TPC-008, 009 (45m3)</t>
  </si>
  <si>
    <t>LZZ1CCMD0SJ416136</t>
  </si>
  <si>
    <t>WP7.300E51*1025G007303*</t>
  </si>
  <si>
    <t>XB1-XĐK-013</t>
  </si>
  <si>
    <t>A22-XĐK-013</t>
  </si>
  <si>
    <t>3A-6834</t>
  </si>
  <si>
    <t>Đi kèm XB1-TPC-010 (45m3)</t>
  </si>
  <si>
    <t>LZZ1CCMD6SJ416139</t>
  </si>
  <si>
    <t>WP7.300E51*1025G007301*</t>
  </si>
  <si>
    <t>XB1-CLT-001</t>
  </si>
  <si>
    <t>A22-CLT-001</t>
  </si>
  <si>
    <t>TF150N</t>
  </si>
  <si>
    <t>B2116J</t>
  </si>
  <si>
    <t>XB1-CLT-002</t>
  </si>
  <si>
    <t>A22-CLT-002</t>
  </si>
  <si>
    <t>B1779J</t>
  </si>
  <si>
    <t>XB1-CLT-003</t>
  </si>
  <si>
    <t>A22-CLT-003</t>
  </si>
  <si>
    <t>C1205A</t>
  </si>
  <si>
    <t>XB1-CLT-004</t>
  </si>
  <si>
    <t>A22-CLT-004</t>
  </si>
  <si>
    <t>C1498A</t>
  </si>
  <si>
    <t>XB1-CLT-005</t>
  </si>
  <si>
    <t>A22-CLT-005</t>
  </si>
  <si>
    <t>ATM-A23-0070</t>
  </si>
  <si>
    <t>C1503A</t>
  </si>
  <si>
    <t>XB1-TCD-001</t>
  </si>
  <si>
    <t>2A-0491</t>
  </si>
  <si>
    <t>RNHF39KHBMT045635</t>
  </si>
  <si>
    <t>MD540092D4CB</t>
  </si>
  <si>
    <t>XB1-XLO-001</t>
  </si>
  <si>
    <t>Xe lôi</t>
  </si>
  <si>
    <t>THAICO</t>
  </si>
  <si>
    <t>TH150ZH</t>
  </si>
  <si>
    <t>TH162FMJ-C22060509</t>
  </si>
  <si>
    <t>XB1-XLO-002</t>
  </si>
  <si>
    <t>26/12/2023</t>
  </si>
  <si>
    <t>ĐTM (ALL NEW)</t>
  </si>
  <si>
    <t>TH162FMJ-C23004029</t>
  </si>
  <si>
    <t>XB1-XPT-001</t>
  </si>
  <si>
    <t>Xe phun thuốc chuyên dụng</t>
  </si>
  <si>
    <t>ATM-A24-0101</t>
  </si>
  <si>
    <t>Đã qua sử dụng</t>
  </si>
  <si>
    <t>3TNV88-DSA</t>
  </si>
  <si>
    <t>36HP</t>
  </si>
  <si>
    <t>J8134</t>
  </si>
  <si>
    <t>XB1-RBX-001</t>
  </si>
  <si>
    <t>XD1-RBX-001</t>
  </si>
  <si>
    <t>A24-CT-0171</t>
  </si>
  <si>
    <t>Đang hư hỏng nằm ở TTBTSC (CHƯA NHẬN)</t>
  </si>
  <si>
    <t>4L6819010</t>
  </si>
  <si>
    <t>87HP</t>
  </si>
  <si>
    <t>RYTJU32C2NA178540</t>
  </si>
  <si>
    <t>XB1-RBX-003</t>
  </si>
  <si>
    <t>Không có</t>
  </si>
  <si>
    <t>C43101511A</t>
  </si>
  <si>
    <t>CHT-XLU-010</t>
  </si>
  <si>
    <t>A24-XLU-007</t>
  </si>
  <si>
    <t>CGTC LP Đ.chuyển mượn dài hạn 12.08.2025</t>
  </si>
  <si>
    <t>VTW1521664</t>
  </si>
  <si>
    <t>XB1-RBX-004</t>
  </si>
  <si>
    <t>A22-RBX-004</t>
  </si>
  <si>
    <t>Xe rùa bánh xích MST2000</t>
  </si>
  <si>
    <t>MST2000</t>
  </si>
  <si>
    <t>236HP</t>
  </si>
  <si>
    <t>6D110160178</t>
  </si>
  <si>
    <t>XB1-RBX-005</t>
  </si>
  <si>
    <t>A22-RBX-005</t>
  </si>
  <si>
    <t>Xe rùa bánh xích MST700E</t>
  </si>
  <si>
    <t>ATM-A23-0071</t>
  </si>
  <si>
    <t>MST700E</t>
  </si>
  <si>
    <t>4D95L177865</t>
  </si>
  <si>
    <t>XB1-CRZ-001</t>
  </si>
  <si>
    <t>A22-CRZ-001</t>
  </si>
  <si>
    <t>Máy thu hoạch cỏ Ruzi</t>
  </si>
  <si>
    <t>THÁI LAN</t>
  </si>
  <si>
    <t>GX35T</t>
  </si>
  <si>
    <t>1.34HP</t>
  </si>
  <si>
    <t>XB1-CRZ-002</t>
  </si>
  <si>
    <t>XB1-CRZ-003</t>
  </si>
  <si>
    <t>XB1-CRZ-004</t>
  </si>
  <si>
    <t>XB1-CRZ-005</t>
  </si>
  <si>
    <t>ATM-A24-0102</t>
  </si>
  <si>
    <t>XB1-XBX-001</t>
  </si>
  <si>
    <t>A22-XBX-001</t>
  </si>
  <si>
    <t xml:space="preserve">Xe bánh xích gom phân chuồng </t>
  </si>
  <si>
    <t>16/01/2026</t>
  </si>
  <si>
    <t>MNIGKO</t>
  </si>
  <si>
    <t>MINGKO</t>
  </si>
  <si>
    <t>38.3HP</t>
  </si>
  <si>
    <t>31101A</t>
  </si>
  <si>
    <t>V. GIAO NHẬN VẬN CHUYỂN</t>
  </si>
  <si>
    <t>ATT-A22-0312</t>
  </si>
  <si>
    <t>CVC-XTA-001</t>
  </si>
  <si>
    <t>CVC-XTA-001 (3A-0813)</t>
  </si>
  <si>
    <t>3A-0813</t>
  </si>
  <si>
    <t>Xe tải thùng Auman C160</t>
  </si>
  <si>
    <t>C160</t>
  </si>
  <si>
    <t>CVC-XTA-002</t>
  </si>
  <si>
    <t>CVC-XTA-002 (3F-2956)</t>
  </si>
  <si>
    <t>3F-2956</t>
  </si>
  <si>
    <t>C006006</t>
  </si>
  <si>
    <t>CVC-XTA-003</t>
  </si>
  <si>
    <t>CVC-XTA-003 (3A-6603)</t>
  </si>
  <si>
    <t>3A-6603</t>
  </si>
  <si>
    <t>C006003</t>
  </si>
  <si>
    <t>M.Cày 130-155 HP</t>
  </si>
  <si>
    <t>CVC-XTA-005</t>
  </si>
  <si>
    <t>FD140</t>
  </si>
  <si>
    <t>RNHF14FYAMT052028</t>
  </si>
  <si>
    <t>YC4D140-48D59M1M00594</t>
  </si>
  <si>
    <t>CVC-XTA-006</t>
  </si>
  <si>
    <t>RNHF14FYAMT052029</t>
  </si>
  <si>
    <t>YC4D140-48D59M1M00563</t>
  </si>
  <si>
    <t>CVC-XTA-007</t>
  </si>
  <si>
    <t>RNHF14FYAMT052030</t>
  </si>
  <si>
    <t>YC4D140-48D59M1M00527</t>
  </si>
  <si>
    <t>CVC-XTA-009</t>
  </si>
  <si>
    <t>ATM-A24-0103</t>
  </si>
  <si>
    <t>CVC-XTA-010</t>
  </si>
  <si>
    <t xml:space="preserve"> 81C-07982</t>
  </si>
  <si>
    <t>Xe tải ben Howo 371</t>
  </si>
  <si>
    <t>HOWO 371</t>
  </si>
  <si>
    <t>300HP</t>
  </si>
  <si>
    <t>CVC-XTA-011</t>
  </si>
  <si>
    <t>81C-08007</t>
  </si>
  <si>
    <t>CVC-XTA-014</t>
  </si>
  <si>
    <t>Xe tải AUMAN GTL D300 E4 (Cấp dầu)</t>
  </si>
  <si>
    <t>RNHD30FWAJC07892</t>
  </si>
  <si>
    <t>CVC-XTA-015</t>
  </si>
  <si>
    <t>RNHD30FWAJC078093</t>
  </si>
  <si>
    <t>WP10375E431618A009911</t>
  </si>
  <si>
    <t>CVC-XTA-016</t>
  </si>
  <si>
    <t>CHT-XTA-006 (92C-17302)</t>
  </si>
  <si>
    <t>92C-17302</t>
  </si>
  <si>
    <t>Xe tải FD850 (Cấp dầu)</t>
  </si>
  <si>
    <t>FD850</t>
  </si>
  <si>
    <t>RNHF14FYALC012920</t>
  </si>
  <si>
    <t>CVC-XTA-017</t>
  </si>
  <si>
    <t>CHT-XTA-013</t>
  </si>
  <si>
    <t>CGTC DP điều chuyển qua  ngày 06.12.2025
Cải tạo thành xe cấp dầu
Bồn nhiên liệu 16.000L: A23-BNL-001
Máy phát điện 3kw: CVC-MFĐ-001</t>
  </si>
  <si>
    <t>RNHD30FWAJC078086</t>
  </si>
  <si>
    <t>CVC-XTA-018</t>
  </si>
  <si>
    <t>CHT-XTA-016</t>
  </si>
  <si>
    <t>ATT-A24-0079</t>
  </si>
  <si>
    <t>CGTC  LP điều chuyển qua ngày 25/12/2025
Cải tạo thành xe cấp dầu
Máy phát điện 3Kw: CVC-MFĐ-002 (cũ)
máy phát điện 6.5Kw: CVC-MFĐ-003 (08/04/2026 - mới)</t>
  </si>
  <si>
    <t>RNHD30FWAJCO078101</t>
  </si>
  <si>
    <t>WP10375E431618A008105</t>
  </si>
  <si>
    <t>TND-COT-001</t>
  </si>
  <si>
    <t>92C-14772</t>
  </si>
  <si>
    <t>THUÊ THILOGI</t>
  </si>
  <si>
    <t>Xe container FUSO FZ49</t>
  </si>
  <si>
    <t>FUSO</t>
  </si>
  <si>
    <t>FZ49</t>
  </si>
  <si>
    <t>280HP</t>
  </si>
  <si>
    <t>MEC2812SCGP028677</t>
  </si>
  <si>
    <t>TND-COT-002</t>
  </si>
  <si>
    <t>92C-14728</t>
  </si>
  <si>
    <t>MEC2812SCGP028311</t>
  </si>
  <si>
    <t>TND-COT-003</t>
  </si>
  <si>
    <t>92C-14749</t>
  </si>
  <si>
    <t>MEC2812SCGP029295</t>
  </si>
  <si>
    <t>TND-COT-004</t>
  </si>
  <si>
    <t>92C-14715</t>
  </si>
  <si>
    <t>MEC2812SCGP028625</t>
  </si>
  <si>
    <t>TND-COT-005</t>
  </si>
  <si>
    <t>92C-14689</t>
  </si>
  <si>
    <t>MEC2812SCGP028373</t>
  </si>
  <si>
    <t>TND-COT-007</t>
  </si>
  <si>
    <t>92C-14630</t>
  </si>
  <si>
    <t>MEC2812SCGP028586</t>
  </si>
  <si>
    <t>Thay cho TND-COT-006</t>
  </si>
  <si>
    <t>không xoá</t>
  </si>
  <si>
    <t>VI. TRẠM TRỘN BÊ TÔNG</t>
  </si>
  <si>
    <t>TBT-XTB-001</t>
  </si>
  <si>
    <t>Xe tải bồn HYUNDAI HD 270</t>
  </si>
  <si>
    <t>HD270</t>
  </si>
  <si>
    <t>KMCDH18SPHC094971</t>
  </si>
  <si>
    <t>D6CAGJ310250</t>
  </si>
  <si>
    <t>TBT-XTB-002</t>
  </si>
  <si>
    <t>KMCDH15SPHC094979</t>
  </si>
  <si>
    <t>D6CAGJ309410</t>
  </si>
  <si>
    <t>TBT-XTB-003</t>
  </si>
  <si>
    <t>KMCDH18SPHC094980</t>
  </si>
  <si>
    <t>D6CAGJ309414</t>
  </si>
  <si>
    <t>TBT-XTB-004</t>
  </si>
  <si>
    <t>Xe tải bồn FORTON</t>
  </si>
  <si>
    <t>FORTON</t>
  </si>
  <si>
    <t>BJ5253GJB-AB</t>
  </si>
  <si>
    <t>335HP</t>
  </si>
  <si>
    <t>LRDV6PEC7JH613967</t>
  </si>
  <si>
    <t>ISGe534076226632</t>
  </si>
  <si>
    <t>TBT-XTB-005</t>
  </si>
  <si>
    <t>5A-0004</t>
  </si>
  <si>
    <t>Xe tải bồn CNHTC Sinotruk</t>
  </si>
  <si>
    <t>17/12/2023</t>
  </si>
  <si>
    <t>CNHTC Sinotruk</t>
  </si>
  <si>
    <t>ZZ5257GJBN3847E1</t>
  </si>
  <si>
    <t>338.5HP</t>
  </si>
  <si>
    <t>LZZ1BLND6PA126475</t>
  </si>
  <si>
    <t>D103450230507007387</t>
  </si>
  <si>
    <t>TBT-XTB-006</t>
  </si>
  <si>
    <t>5A-0006</t>
  </si>
  <si>
    <t>LZZ1BLND8PA126476</t>
  </si>
  <si>
    <t>D103450230507007397</t>
  </si>
  <si>
    <t>TBT-XTB-007</t>
  </si>
  <si>
    <t>5A-0002</t>
  </si>
  <si>
    <t>LZZ1BLNDXPA126477</t>
  </si>
  <si>
    <t>D103450230507007367</t>
  </si>
  <si>
    <t>TBT-XTB-008</t>
  </si>
  <si>
    <t>5A-0005</t>
  </si>
  <si>
    <t>LZZ1BLND1PA126478</t>
  </si>
  <si>
    <t>D103450230507007327</t>
  </si>
  <si>
    <t>TBT-XTB-009</t>
  </si>
  <si>
    <t>Xe tải Frontier TF2800</t>
  </si>
  <si>
    <t>5A-0003</t>
  </si>
  <si>
    <t>LZZ1BLND3PA126479</t>
  </si>
  <si>
    <t>D103450230507007377</t>
  </si>
  <si>
    <t>TBT-XTB-010</t>
  </si>
  <si>
    <t>5A-0001</t>
  </si>
  <si>
    <t>LZZ1BLND3PA126482</t>
  </si>
  <si>
    <t>D103450230507007347</t>
  </si>
  <si>
    <t>TBT-XXL-001</t>
  </si>
  <si>
    <t>WA200-3</t>
  </si>
  <si>
    <t>W038-60400</t>
  </si>
  <si>
    <t>6D95L-140544</t>
  </si>
  <si>
    <t>TBT-XXL-002</t>
  </si>
  <si>
    <t>Xe xúc lật WA200-3</t>
  </si>
  <si>
    <t>24/01/2024</t>
  </si>
  <si>
    <t>W038-60624</t>
  </si>
  <si>
    <t>6D95L-153498</t>
  </si>
  <si>
    <t>khong xoa</t>
  </si>
  <si>
    <t>VII. BAN ĐIỆN NƯỚC</t>
  </si>
  <si>
    <t>ĐNA-MKE-001</t>
  </si>
  <si>
    <t>ĐNA-MKE-002</t>
  </si>
  <si>
    <t>MK49 VCKLH(XA2-MKE-008)</t>
  </si>
  <si>
    <t>-Đ.chuyển từ AD2 ngày 05/02/2025</t>
  </si>
  <si>
    <t>0950</t>
  </si>
  <si>
    <t>ĐNA-XCA-001</t>
  </si>
  <si>
    <t>CKC-XCA-007(3F-5716)</t>
  </si>
  <si>
    <t>Xe cẩu 5 tấn</t>
  </si>
  <si>
    <t>-Đ.chuyên từ Đien nước KLH 08/08/2024
- Đ,chuyen từ ME qua DNuoc ngày 14/10/2024</t>
  </si>
  <si>
    <t>19APC027557</t>
  </si>
  <si>
    <t>00227</t>
  </si>
  <si>
    <t>ĐNA-XCA-002</t>
  </si>
  <si>
    <t>3F-2372</t>
  </si>
  <si>
    <t>Xe cẩu 3.5 tấn</t>
  </si>
  <si>
    <t>Xe tải Van THACO FRONTIER TF420-5S</t>
  </si>
  <si>
    <t>Ollin 900B</t>
  </si>
  <si>
    <t>RNHA1550BHC072222</t>
  </si>
  <si>
    <t>ĐNA-XLO-001</t>
  </si>
  <si>
    <t>150ZH-2DR</t>
  </si>
  <si>
    <t>11HP</t>
  </si>
  <si>
    <t>L6XHBN1B8R0000061</t>
  </si>
  <si>
    <t>170MM-B8R100075</t>
  </si>
  <si>
    <t>ĐNA-XLO-002</t>
  </si>
  <si>
    <t>L6XHBN1B8R0000058</t>
  </si>
  <si>
    <t>170MM-B8R100072</t>
  </si>
  <si>
    <t>ĐNA-XLO-003</t>
  </si>
  <si>
    <t>L6XHBN1B8R0000059</t>
  </si>
  <si>
    <t>170MM-B8R100073</t>
  </si>
  <si>
    <t>VIII. XƯỞNG CƠ KHÍ ADM&amp;LP</t>
  </si>
  <si>
    <t>CKB-XLO-001</t>
  </si>
  <si>
    <t>CKB-XLO-002</t>
  </si>
  <si>
    <t>150CC</t>
  </si>
  <si>
    <t>1L000058</t>
  </si>
  <si>
    <t>CKB-XLO-003</t>
  </si>
  <si>
    <t>21L001162</t>
  </si>
  <si>
    <t>CKB-XLO-004</t>
  </si>
  <si>
    <t>21L000299</t>
  </si>
  <si>
    <t>CKB-XNA-001</t>
  </si>
  <si>
    <t>A23-XNA-001</t>
  </si>
  <si>
    <t>18/03/2025</t>
  </si>
  <si>
    <t>010353K6773</t>
  </si>
  <si>
    <t>CKB-XNA-003</t>
  </si>
  <si>
    <t>Xe nâng dầu HELI 5 tấn</t>
  </si>
  <si>
    <t>28/04/2026</t>
  </si>
  <si>
    <t>CPCD50</t>
  </si>
  <si>
    <t>69HP</t>
  </si>
  <si>
    <t>010503S3572</t>
  </si>
  <si>
    <t>IX. XƯỞNG CƠ KHÍ DP</t>
  </si>
  <si>
    <t>CKD-MKE-001</t>
  </si>
  <si>
    <t>MK 03 -VC KLH</t>
  </si>
  <si>
    <t>C000080</t>
  </si>
  <si>
    <t>CKD-MKE-002</t>
  </si>
  <si>
    <t>MK 77 -VC KLH</t>
  </si>
  <si>
    <t>C000016</t>
  </si>
  <si>
    <t>CKD-MKE-003</t>
  </si>
  <si>
    <t>CKC-MKE-001</t>
  </si>
  <si>
    <t>TAMMT05AJC000044</t>
  </si>
  <si>
    <t>CKD-XCA-001</t>
  </si>
  <si>
    <t>ĐNA-XCA-003(CKC-XCA-005)
3A-6002</t>
  </si>
  <si>
    <t>30/12/2024</t>
  </si>
  <si>
    <t>-Điều chuyển từ Điện nước KLH-09/05/2024
-Đ.chuyển từ Cơ khí TCRR (Mr.Khải)-29/07/2024
- Đ.chuyển từ ME qua cơ khí DP - 30/12/2024</t>
  </si>
  <si>
    <t>RNHA1550BHC063037</t>
  </si>
  <si>
    <t>YC4E160-33E37F2H00227</t>
  </si>
  <si>
    <t>X. THAGRICONS</t>
  </si>
  <si>
    <t>CKC-XCA-001</t>
  </si>
  <si>
    <t>Xe cẩu Hyundai 5 tấn</t>
  </si>
  <si>
    <t>Thagricons</t>
  </si>
  <si>
    <t>CKC-XCA-004</t>
  </si>
  <si>
    <t>CHT-XCA-002</t>
  </si>
  <si>
    <t>Xe cẩu ZOOMLION 55 tấn</t>
  </si>
  <si>
    <t xml:space="preserve">-Đ.chuyển từ CGTC AD -29/07/2024 </t>
  </si>
  <si>
    <t>ZOOMLION</t>
  </si>
  <si>
    <t>ZTC550V532-1</t>
  </si>
  <si>
    <t>L5E6H4D33PA014676</t>
  </si>
  <si>
    <t>WP103361623G017019</t>
  </si>
  <si>
    <t>CKC-XCA-006</t>
  </si>
  <si>
    <t>CKB-XCA-001</t>
  </si>
  <si>
    <t>Xe cẩu 3.5 tấn</t>
  </si>
  <si>
    <t>Điều chuyển từ Ban CK KLH (Mr.Phương)</t>
  </si>
  <si>
    <t>RNHA1550BHC063042</t>
  </si>
  <si>
    <t>YC4E160-33E37F2H00201</t>
  </si>
  <si>
    <t>CKC-XCA-009</t>
  </si>
  <si>
    <t>A22-XCA-009</t>
  </si>
  <si>
    <t>Xe cẩu thùng FOTON AUMAN 8 tấn</t>
  </si>
  <si>
    <t>21/10/2024</t>
  </si>
  <si>
    <t>FOTON AUMAN</t>
  </si>
  <si>
    <t xml:space="preserve"> C240</t>
  </si>
  <si>
    <t>266HP</t>
  </si>
  <si>
    <t>RNHA24FCANT056597</t>
  </si>
  <si>
    <t>CHT-XCA-003</t>
  </si>
  <si>
    <t>A23-XCA-003</t>
  </si>
  <si>
    <t>CGTC DP điều chuyển sang ngày 09/10/2025</t>
  </si>
  <si>
    <t>C240</t>
  </si>
  <si>
    <t>270HP</t>
  </si>
  <si>
    <t>RNHA24FCAPT080028</t>
  </si>
  <si>
    <t>ISDE2704082442137</t>
  </si>
  <si>
    <t>CKC-XCA-003</t>
  </si>
  <si>
    <t>NTD-XCA-001</t>
  </si>
  <si>
    <t>Xe cẩu AUMAN 15 tấn</t>
  </si>
  <si>
    <t>C34</t>
  </si>
  <si>
    <t xml:space="preserve">21615E037691 </t>
  </si>
  <si>
    <t>000AFC072313</t>
  </si>
  <si>
    <t>CKC-XNA-001</t>
  </si>
  <si>
    <t>CKC-XNĐ-001</t>
  </si>
  <si>
    <t>Xe nâng 2.5 tấn</t>
  </si>
  <si>
    <t>4TNE98</t>
  </si>
  <si>
    <t>MÁ́Y CÀY ĐẤT NEWHOLAND</t>
  </si>
  <si>
    <t>CKC-MKE-004</t>
  </si>
  <si>
    <t>FD202H-16335</t>
  </si>
  <si>
    <t>CKC-MKE-003</t>
  </si>
  <si>
    <t>CKC-MKE-005</t>
  </si>
  <si>
    <t>Máy cày SHIBAURA</t>
  </si>
  <si>
    <t>SHIBAURA</t>
  </si>
  <si>
    <t>10434T</t>
  </si>
  <si>
    <t>CKC-MKE-002</t>
  </si>
  <si>
    <t>TAMMT05AJC000089</t>
  </si>
  <si>
    <t>Xe bồn</t>
  </si>
  <si>
    <t>CKC-XNA-002</t>
  </si>
  <si>
    <t>NTA-XNA-002</t>
  </si>
  <si>
    <t>Xe nâng dầu YALE 3.5 tấn</t>
  </si>
  <si>
    <t>YALE</t>
  </si>
  <si>
    <t>4TNE98-805NNF</t>
  </si>
  <si>
    <t>CKC-XLO-001</t>
  </si>
  <si>
    <t>CKC-XLO-005</t>
  </si>
  <si>
    <t>Xe ben AUMAN GTL D300 E4 (Cấp đầu)</t>
  </si>
  <si>
    <t>ATT-A23-0017</t>
  </si>
  <si>
    <t>150ZH</t>
  </si>
  <si>
    <t>TH162FMJ-C22060455</t>
  </si>
  <si>
    <t>CKC-XLO-002</t>
  </si>
  <si>
    <t>14/11/2023</t>
  </si>
  <si>
    <t>TH162FMJ-C23004009</t>
  </si>
  <si>
    <t>CKC-XLO-003</t>
  </si>
  <si>
    <t>TH162FMJ-C23004035</t>
  </si>
  <si>
    <t>CKC-XLO-004</t>
  </si>
  <si>
    <t>TH162FMJ-C23004033</t>
  </si>
  <si>
    <t>TH162FMJ-C23004039</t>
  </si>
  <si>
    <t>CKC-XLO-006</t>
  </si>
  <si>
    <t>TH162FMJ-C22060453</t>
  </si>
  <si>
    <t>CKC-XLO-007</t>
  </si>
  <si>
    <t>LONCIN</t>
  </si>
  <si>
    <t>LC162FMJ-TM014863</t>
  </si>
  <si>
    <t>CKC-XLO-008</t>
  </si>
  <si>
    <t>ZONGSHEN</t>
  </si>
  <si>
    <t>ZS162MJ-L8L300020</t>
  </si>
  <si>
    <t>CKC-XLO-009</t>
  </si>
  <si>
    <t>III</t>
  </si>
  <si>
    <t>MÁY CÀY SẢN XUẤT</t>
  </si>
  <si>
    <t>ZS162MJ-LL012627</t>
  </si>
  <si>
    <t>XI. HÀNH CHÍNH KLH</t>
  </si>
  <si>
    <t>PHC-MKE-001</t>
  </si>
  <si>
    <t>MK46-VCKLH</t>
  </si>
  <si>
    <t>Điều chuyển từ xí nghiệp bò</t>
  </si>
  <si>
    <t>Hành chính DP</t>
  </si>
  <si>
    <t>HCA-TCD-001</t>
  </si>
  <si>
    <t>2A-0489(XA2-TCD-001)</t>
  </si>
  <si>
    <t>ATT-A22-0318</t>
  </si>
  <si>
    <t>2A-0489</t>
  </si>
  <si>
    <t>Đ.chuyển từ XN AD2 ngày 13/02/2025</t>
  </si>
  <si>
    <t>RNHF39KHBMT045661</t>
  </si>
  <si>
    <t>MD540089D4CB</t>
  </si>
  <si>
    <t>Hành chính AD</t>
  </si>
  <si>
    <t>HCD-MKE-094</t>
  </si>
  <si>
    <t>MÁ́Y CÀY KAM 50</t>
  </si>
  <si>
    <t>01720</t>
  </si>
  <si>
    <t>PHC-XCV-001</t>
  </si>
  <si>
    <t>51D-480.22</t>
  </si>
  <si>
    <t>Xe công vụ Mazda BT50</t>
  </si>
  <si>
    <t>Cty ADM-P.TGĐ TT KLH</t>
  </si>
  <si>
    <t>MAZDA</t>
  </si>
  <si>
    <t>HÀN QUỐC</t>
  </si>
  <si>
    <t>BT50</t>
  </si>
  <si>
    <t>148HP</t>
  </si>
  <si>
    <t>MM7UR4DF4KW852868</t>
  </si>
  <si>
    <t>P5AT2644238</t>
  </si>
  <si>
    <t>Xe công vụ Mazda BT50 (Xanh-đen)</t>
  </si>
  <si>
    <t>PHC-XCV-002</t>
  </si>
  <si>
    <t>51D-482.19</t>
  </si>
  <si>
    <t>Cty ADM-P.TGĐ CÔNG NGHIỆP</t>
  </si>
  <si>
    <t>MM7UR4DFXKW861641</t>
  </si>
  <si>
    <t>P5AT2656720</t>
  </si>
  <si>
    <t>PHC-XCV-003</t>
  </si>
  <si>
    <t>51D-617.64</t>
  </si>
  <si>
    <t>Cty ADM-GĐ SXCN</t>
  </si>
  <si>
    <t>Xe công vụ Mazda BT50 (Nâu)</t>
  </si>
  <si>
    <t>PHC-XCV-004</t>
  </si>
  <si>
    <t>51D-607.44</t>
  </si>
  <si>
    <t>Cty LP-GĐ SX CHUỐI</t>
  </si>
  <si>
    <t>MM7UR4DF1KW855663</t>
  </si>
  <si>
    <t>P5AT2648320</t>
  </si>
  <si>
    <t>PHC-XCV-005</t>
  </si>
  <si>
    <t>51D-609.04</t>
  </si>
  <si>
    <t>Cty LP-GĐ.HC NS</t>
  </si>
  <si>
    <t>MM7UR4DF5JW777547</t>
  </si>
  <si>
    <t>P5AT2523639</t>
  </si>
  <si>
    <t>Xe công vụ Mazda BT50 (Trắng)</t>
  </si>
  <si>
    <t>PHC-XCV-007</t>
  </si>
  <si>
    <t>51A-812.37</t>
  </si>
  <si>
    <t>Xe công vụ Ford Everest</t>
  </si>
  <si>
    <t>Cty ADM- Ban điện nước</t>
  </si>
  <si>
    <t>FORD</t>
  </si>
  <si>
    <t>EVEREST</t>
  </si>
  <si>
    <t>141HP</t>
  </si>
  <si>
    <t>Xe công vụ Ford Everest (Ghi vàng)</t>
  </si>
  <si>
    <t>PHC-XCV-008</t>
  </si>
  <si>
    <t>51D-634.18</t>
  </si>
  <si>
    <t>Cty DP-Xe công vụ</t>
  </si>
  <si>
    <t>MM7UR4DD2K936329</t>
  </si>
  <si>
    <t>P4AT2742432</t>
  </si>
  <si>
    <t>PHC-XCV-009</t>
  </si>
  <si>
    <t>51H-257.33</t>
  </si>
  <si>
    <t>Xe công vụ Kia Sedona</t>
  </si>
  <si>
    <t>Xe bồn AUMAN ETX D300</t>
  </si>
  <si>
    <t>SEDONA</t>
  </si>
  <si>
    <t>RNYYK51A6JC142077</t>
  </si>
  <si>
    <t>G6DFJS807887</t>
  </si>
  <si>
    <t>PHC-XCV-010</t>
  </si>
  <si>
    <t>2B-3789</t>
  </si>
  <si>
    <t>Xe công vụ Toyota Land Cruiser</t>
  </si>
  <si>
    <t>Cty ADM- Xe công vụ</t>
  </si>
  <si>
    <t>TOYOTA</t>
  </si>
  <si>
    <t>CRUISER</t>
  </si>
  <si>
    <t>161HP</t>
  </si>
  <si>
    <t>JTMHU09JX95018220</t>
  </si>
  <si>
    <t>1GR8968561</t>
  </si>
  <si>
    <t>Xe công vụ Toyota Land Cruiser (Ghi bạc)</t>
  </si>
  <si>
    <t>PHC-XCV-011</t>
  </si>
  <si>
    <t>81C-04260</t>
  </si>
  <si>
    <t>Xe công vụ Toyota Hilux</t>
  </si>
  <si>
    <t>Cty LP- Xe công vụ</t>
  </si>
  <si>
    <t>HILLUX</t>
  </si>
  <si>
    <t>MROFZ29G101692700</t>
  </si>
  <si>
    <t>1KDU299927</t>
  </si>
  <si>
    <t>Xe công vụ Toyota Hilux (Đen)</t>
  </si>
  <si>
    <t>PHC-XCV-012</t>
  </si>
  <si>
    <t>92A -338.08</t>
  </si>
  <si>
    <t>Xe công vụ Mazda CX8</t>
  </si>
  <si>
    <t>CX8</t>
  </si>
  <si>
    <t>188HP</t>
  </si>
  <si>
    <t>RN2K35346KM018796</t>
  </si>
  <si>
    <t>PY31030035</t>
  </si>
  <si>
    <t>Xe công vụ Mazda CX8 (Nâu)</t>
  </si>
  <si>
    <t>PHC-XCV-013</t>
  </si>
  <si>
    <t>2A-0522</t>
  </si>
  <si>
    <t>Xe cấp cứu Hyundai Starex</t>
  </si>
  <si>
    <t>Cty ADM-Xe cấp cứu</t>
  </si>
  <si>
    <t>STAREX</t>
  </si>
  <si>
    <t>PHC-XCV-014</t>
  </si>
  <si>
    <t>2B-6868</t>
  </si>
  <si>
    <t>Cty DP - P.TGĐ TT KLH</t>
  </si>
  <si>
    <t>PV5XWER8RLY00766</t>
  </si>
  <si>
    <t>YNWQRLY00046</t>
  </si>
  <si>
    <t>Xe công vụ Ford Everest (đen)</t>
  </si>
  <si>
    <t>PHC-XCV-015</t>
  </si>
  <si>
    <t>51D-62994</t>
  </si>
  <si>
    <t>Cty AD - GĐ BAN XDCB</t>
  </si>
  <si>
    <t>MM7UR4DF9KW903331</t>
  </si>
  <si>
    <t>P5AT2707088</t>
  </si>
  <si>
    <t>KLH-XTA-003</t>
  </si>
  <si>
    <t>92B-00858</t>
  </si>
  <si>
    <t>Xe bus</t>
  </si>
  <si>
    <t>BUS</t>
  </si>
  <si>
    <t>PHC-TĐL-001</t>
  </si>
  <si>
    <t>A23-TĐL-001</t>
  </si>
  <si>
    <t>2A-0091</t>
  </si>
  <si>
    <t>Xe tải đông lạnh K200</t>
  </si>
  <si>
    <t>K200</t>
  </si>
  <si>
    <t>RNHA39KHERT094672</t>
  </si>
  <si>
    <t>RD577729D4CB</t>
  </si>
  <si>
    <t>PHC-TĐL-002</t>
  </si>
  <si>
    <t>A23-TĐL-002</t>
  </si>
  <si>
    <t>2A-0046</t>
  </si>
  <si>
    <t>RNHA39KHERT094673</t>
  </si>
  <si>
    <t>RD577733D4CB</t>
  </si>
  <si>
    <t>PHC-TĐL-003</t>
  </si>
  <si>
    <t>A23-TĐL-003</t>
  </si>
  <si>
    <t>2A-0109</t>
  </si>
  <si>
    <t>RNHA39KHERT094674</t>
  </si>
  <si>
    <t>RD577734D4CB</t>
  </si>
  <si>
    <t>PHC-XCR-001</t>
  </si>
  <si>
    <t>A23-XCR-001</t>
  </si>
  <si>
    <t>Xe chở rác K250B</t>
  </si>
  <si>
    <t>K250B</t>
  </si>
  <si>
    <t>RNHA49KHEPT069328</t>
  </si>
  <si>
    <t>LD527221D4CB</t>
  </si>
  <si>
    <t>PHC-XTA-001</t>
  </si>
  <si>
    <t>XD3-XTA-007</t>
  </si>
  <si>
    <t>A23-XTA-047</t>
  </si>
  <si>
    <t>DP3 Đchuyen qua ASĐS ngày 20.07.2026
Đầu tư mới</t>
  </si>
  <si>
    <t>RNHA49TZART051060</t>
  </si>
  <si>
    <t>JE493ZLQ4*33102790*</t>
  </si>
  <si>
    <t>PHC-XTA-002</t>
  </si>
  <si>
    <t>CVC-XTA-008</t>
  </si>
  <si>
    <t>ATM-A23-0053</t>
  </si>
  <si>
    <t>GNVC bàn giao qua ngày 03.08.2026</t>
  </si>
  <si>
    <t>XII. THADICONS A&amp;I</t>
  </si>
  <si>
    <t>TDC-XTA-001</t>
  </si>
  <si>
    <t>XT09 HT KLH</t>
  </si>
  <si>
    <t>Thadicons A&amp;I</t>
  </si>
  <si>
    <t>Đã qua sử dụng</t>
  </si>
  <si>
    <t>RNHF14YALT022435</t>
  </si>
  <si>
    <t>TDC-XTA-002</t>
  </si>
  <si>
    <t xml:space="preserve">Mới </t>
  </si>
  <si>
    <t>TF2800</t>
  </si>
  <si>
    <t>TDC-XTA-003</t>
  </si>
  <si>
    <t>TF420</t>
  </si>
  <si>
    <t>TDC-XNA-001</t>
  </si>
  <si>
    <t>Xe nâng 3.5T-CĐ18</t>
  </si>
  <si>
    <t>TDC-XCV-001</t>
  </si>
  <si>
    <t>81C-04285</t>
  </si>
  <si>
    <t>Xe công vụ 81C-04285</t>
  </si>
  <si>
    <t>ISUZU</t>
  </si>
  <si>
    <t xml:space="preserve">NHẬT BẢN </t>
  </si>
  <si>
    <t>TDC-XLO-001</t>
  </si>
  <si>
    <t>TH162FMJ-C23004045</t>
  </si>
  <si>
    <t>LP7HCKZ91P0004045</t>
  </si>
  <si>
    <t>TDC-XLO-002</t>
  </si>
  <si>
    <t>TH162FMJ-C23004013</t>
  </si>
  <si>
    <t>LP7HCKZ9XP0004013</t>
  </si>
  <si>
    <t>TDC-XLO-003</t>
  </si>
  <si>
    <t>LP7HCKZ95N0000447</t>
  </si>
  <si>
    <t>TDC-XLO-004</t>
  </si>
  <si>
    <t>LP7HCKZ98N0000460</t>
  </si>
  <si>
    <t>TDC-XLO-005</t>
  </si>
  <si>
    <t>K002901900089</t>
  </si>
  <si>
    <t>L0011901053343</t>
  </si>
  <si>
    <t>XIII. BAN CG-CK &amp; SXCN</t>
  </si>
  <si>
    <t>BCG-TCD-002</t>
  </si>
  <si>
    <t>2A-6091</t>
  </si>
  <si>
    <t>A22-TCD-002</t>
  </si>
  <si>
    <t>RNHF39KHBMT045656</t>
  </si>
  <si>
    <t>MD540068D4CB</t>
  </si>
  <si>
    <t>TTBTSC ADM</t>
  </si>
  <si>
    <t>BCG-TCD-003</t>
  </si>
  <si>
    <t>2A-6089</t>
  </si>
  <si>
    <t>A22-TCD-003</t>
  </si>
  <si>
    <t>RNHF39KHBMT045639</t>
  </si>
  <si>
    <t>MD540108D4CB</t>
  </si>
  <si>
    <t>TTBTSC DP</t>
  </si>
  <si>
    <t>BCG-TCD-004</t>
  </si>
  <si>
    <t>A22-TCD-004</t>
  </si>
  <si>
    <t>2A-0518</t>
  </si>
  <si>
    <t>Xe tải chuyên dụng (thùng SCLĐ)</t>
  </si>
  <si>
    <t>27/01/2026</t>
  </si>
  <si>
    <t>KIA K200SD</t>
  </si>
  <si>
    <t>RNHF39KHBMT045676</t>
  </si>
  <si>
    <t>MD540074D4CB</t>
  </si>
  <si>
    <t>BCG-XMA-001</t>
  </si>
  <si>
    <t>Xe máy</t>
  </si>
  <si>
    <t>Mr. Trận</t>
  </si>
  <si>
    <t>WAVE A</t>
  </si>
  <si>
    <t>110CC</t>
  </si>
  <si>
    <t>RLHJA3912KY147682</t>
  </si>
  <si>
    <t>JA39E-1004932</t>
  </si>
  <si>
    <t>BP.QLVH X&amp;M NN</t>
  </si>
  <si>
    <t>BCG-XMA-002</t>
  </si>
  <si>
    <t>Mr. Vũ</t>
  </si>
  <si>
    <t>RLHJAG912KY180667</t>
  </si>
  <si>
    <t>JA39E-1038313</t>
  </si>
  <si>
    <t>BCG-XMA-003</t>
  </si>
  <si>
    <t>Mr. Khánh</t>
  </si>
  <si>
    <t>338HP</t>
  </si>
  <si>
    <t>JA39E-0414593</t>
  </si>
  <si>
    <t>BCG-XMA-004</t>
  </si>
  <si>
    <t>XA2-XMA-017</t>
  </si>
  <si>
    <t>TOL-A22-0795</t>
  </si>
  <si>
    <t>Mr. Bình</t>
  </si>
  <si>
    <t>RLHJA3914KY-216158</t>
  </si>
  <si>
    <t>JA39E-1190180</t>
  </si>
  <si>
    <t>BCG-LBR-001</t>
  </si>
  <si>
    <t>2A-4453</t>
  </si>
  <si>
    <t>BP.QLVH GIAO Mr.Thi NCMK 13/11/2025</t>
  </si>
  <si>
    <t>KMFYKS7HP3U039257</t>
  </si>
  <si>
    <t>NMCK ADM</t>
  </si>
  <si>
    <t>BCG-LBR-002</t>
  </si>
  <si>
    <t>2A-0834</t>
  </si>
  <si>
    <t>- Mr Sơn bàn giao xe về xưởng CGH 12/10/2024</t>
  </si>
  <si>
    <t>X.CK-CGH</t>
  </si>
  <si>
    <t>XIX. BAN KT CHUỐI</t>
  </si>
  <si>
    <t>KTC-TCD-003</t>
  </si>
  <si>
    <t>2A-0488 (BCG-TCD-001)</t>
  </si>
  <si>
    <t>ATT-A22-0319</t>
  </si>
  <si>
    <t>2A-0488</t>
  </si>
  <si>
    <t>15/10/2024</t>
  </si>
  <si>
    <t>Ban CG điều chuyển ngày 15/10/2024</t>
  </si>
  <si>
    <t>RNHF39KHBMT045640</t>
  </si>
  <si>
    <t>MD540107D4CB</t>
  </si>
  <si>
    <t>KCD-TCD-001</t>
  </si>
  <si>
    <t>2A-6092</t>
  </si>
  <si>
    <t>A23-TCD-001</t>
  </si>
  <si>
    <t>- Đầu tư mới
- Xe giao về HC KLH 02/05/2025</t>
  </si>
  <si>
    <t>RNHF39KHBMT045631</t>
  </si>
  <si>
    <t>MD540071D4CB</t>
  </si>
  <si>
    <t>KCL-TCD-001</t>
  </si>
  <si>
    <t>2A-6093</t>
  </si>
  <si>
    <t>A24-TCD-003</t>
  </si>
  <si>
    <t>Đầu tư mới
- Xe tai nạn</t>
  </si>
  <si>
    <t>RNHF39KHBMT045342</t>
  </si>
  <si>
    <t>MD534256D4CB</t>
  </si>
  <si>
    <t>XX. NM NHỰA-XỐP DP</t>
  </si>
  <si>
    <t>NMN-XNA-001</t>
  </si>
  <si>
    <t>GDP35MX</t>
  </si>
  <si>
    <t>58HP</t>
  </si>
  <si>
    <t>D871R15794W</t>
  </si>
  <si>
    <t>NMN-XNA-002</t>
  </si>
  <si>
    <t>CPD25-GB2LI-H</t>
  </si>
  <si>
    <t>05025DF7308</t>
  </si>
  <si>
    <t>NMN-XNA-003</t>
  </si>
  <si>
    <t>05025DF945</t>
  </si>
  <si>
    <t>NMN-XNA-004</t>
  </si>
  <si>
    <t>05025DF7946</t>
  </si>
  <si>
    <t>NMN-XNA-005</t>
  </si>
  <si>
    <t>Xe nâng điện 3.5 tấn</t>
  </si>
  <si>
    <t>CPD35-GB2LI-H</t>
  </si>
  <si>
    <t>05035DF8691</t>
  </si>
  <si>
    <t>NMN-XNA-006</t>
  </si>
  <si>
    <t>Xe nâng điện 5 tấn</t>
  </si>
  <si>
    <t>CPD50-GB2LI</t>
  </si>
  <si>
    <t>05050DF9070</t>
  </si>
  <si>
    <t>NMN-XNA-007</t>
  </si>
  <si>
    <t>05050DF9069</t>
  </si>
  <si>
    <t>XXI. Tổng kho</t>
  </si>
  <si>
    <t>TKD-XNA-001</t>
  </si>
  <si>
    <t>Xe lỗi hệ thống điện cảm biến không hoạt động được.</t>
  </si>
  <si>
    <t>CPD15</t>
  </si>
  <si>
    <t>TKD-XNA-002</t>
  </si>
  <si>
    <t>Xe lỗi hệ thống thủy lực (chỉ nâng được dưới 1 tấn).</t>
  </si>
  <si>
    <t>CPD25</t>
  </si>
  <si>
    <t>05025DH3158</t>
  </si>
  <si>
    <t>TKD-XNA-003</t>
  </si>
  <si>
    <t>Xe đang hoạt động</t>
  </si>
  <si>
    <t>ECP16S</t>
  </si>
  <si>
    <t>TKD-XNA-004</t>
  </si>
  <si>
    <t>TKD-XNA-005</t>
  </si>
  <si>
    <t>TKD-XNA-006</t>
  </si>
  <si>
    <t>Xe hỏng không hoạt động được.</t>
  </si>
  <si>
    <t>TKD-XNA-007</t>
  </si>
  <si>
    <t>TKD-XNA-008</t>
  </si>
  <si>
    <t>Xe đang hoạt động (thường xuyên lỗi).</t>
  </si>
  <si>
    <t>XXII. Vườn tăng gia KLH</t>
  </si>
  <si>
    <t>VTG-XTA-001</t>
  </si>
  <si>
    <t>XB1-XCP-007</t>
  </si>
  <si>
    <t>ATT-A22-0298</t>
  </si>
  <si>
    <t>Xe ben FD150 (8.7m3)</t>
  </si>
  <si>
    <t>Vườn tăng gia</t>
  </si>
  <si>
    <t xml:space="preserve"> Điều chuyển từ xí nghiệp Bò qua ngày 02/08/2026</t>
  </si>
  <si>
    <t>RNHF16FYAPTO77537</t>
  </si>
  <si>
    <t>YC4D150-48D59M1N00931</t>
  </si>
  <si>
    <t>E</t>
  </si>
  <si>
    <t>LƯU KHO MÁY MÓC CƠ GIỚI KHU LIÊN HỢP</t>
  </si>
  <si>
    <t>(Chờ phân bổ chữ xanh dương)</t>
  </si>
  <si>
    <t>I</t>
  </si>
  <si>
    <t>MÁY MÓC CHỜ PHÂN BỔ</t>
  </si>
  <si>
    <t>XD2-XPT-002</t>
  </si>
  <si>
    <t>XPT01NNKLH</t>
  </si>
  <si>
    <t>CHƯA PHÂN BỔ</t>
  </si>
  <si>
    <t>Chưa phân bổ</t>
  </si>
  <si>
    <t>C084025</t>
  </si>
  <si>
    <t>J00061</t>
  </si>
  <si>
    <t>XA2-XPT-001</t>
  </si>
  <si>
    <t>XPT08 - NN KLH</t>
  </si>
  <si>
    <t>9AD33858</t>
  </si>
  <si>
    <t>1509K055936</t>
  </si>
  <si>
    <t>HƯ HỎNG NẶNG LOẠI BIÊN</t>
  </si>
  <si>
    <t>(Loại biên chữ đỏ)</t>
  </si>
  <si>
    <t>MK12-VCKLH</t>
  </si>
  <si>
    <t>Xe cẩu</t>
  </si>
  <si>
    <t>Loại biên</t>
  </si>
  <si>
    <t>XN Chuối AD2</t>
  </si>
  <si>
    <t>Đã loại biên  (2024)</t>
  </si>
  <si>
    <t>C000032</t>
  </si>
  <si>
    <t>MK67-VCKLH</t>
  </si>
  <si>
    <t>SD3000AD0-10355</t>
  </si>
  <si>
    <t>XB1-MĐA-002</t>
  </si>
  <si>
    <t>MĐ33 HT-KLH</t>
  </si>
  <si>
    <t>Máy đào CAT 303 bánh xích gàu 0.3m3</t>
  </si>
  <si>
    <t>XB1-MKE-015</t>
  </si>
  <si>
    <t>MK21VC-KLH</t>
  </si>
  <si>
    <t>C000059</t>
  </si>
  <si>
    <t>XB1-XTA-004</t>
  </si>
  <si>
    <t>XT26 VC-KLH</t>
  </si>
  <si>
    <t>ATT-A22-0212</t>
  </si>
  <si>
    <t>Xe tải FD 3.5T</t>
  </si>
  <si>
    <t>73HP</t>
  </si>
  <si>
    <t>XB1-XXL-003</t>
  </si>
  <si>
    <t>XXL01HT-KLH</t>
  </si>
  <si>
    <t>ATT-A22-0196</t>
  </si>
  <si>
    <t>Xe xúc lật 916A</t>
  </si>
  <si>
    <t>AOLITE</t>
  </si>
  <si>
    <t>916A</t>
  </si>
  <si>
    <t>56HP</t>
  </si>
  <si>
    <t>CHT-XTA-007</t>
  </si>
  <si>
    <t>XT 07 HT-KLH</t>
  </si>
  <si>
    <t>Xe ben FAW (16m3)</t>
  </si>
  <si>
    <t>9AD16903</t>
  </si>
  <si>
    <t>CVC-XTA-012</t>
  </si>
  <si>
    <t>Xe tải FORLAND 2.5T</t>
  </si>
  <si>
    <t>CVC-XTA-013</t>
  </si>
  <si>
    <t>ATT-A22-0001</t>
  </si>
  <si>
    <t>Xe tải HYUNDAI 3.5T</t>
  </si>
  <si>
    <t>XB1-MKE-001</t>
  </si>
  <si>
    <t>MK42VC-KLH</t>
  </si>
  <si>
    <t>Đã loại biên (THÁNG 11/2025)</t>
  </si>
  <si>
    <t>XB1-MKE-013</t>
  </si>
  <si>
    <t>MK14VC-KLH</t>
  </si>
  <si>
    <t>000078</t>
  </si>
  <si>
    <t>0002</t>
  </si>
  <si>
    <t>XB1-MKE-016</t>
  </si>
  <si>
    <t>MK16VC-KLH</t>
  </si>
  <si>
    <t>0076</t>
  </si>
  <si>
    <t>XB1-MKE-019</t>
  </si>
  <si>
    <t>MK19-VCKLH</t>
  </si>
  <si>
    <t>C000047</t>
  </si>
  <si>
    <t>XB1-MKE-023</t>
  </si>
  <si>
    <t>MK09-VCKLH</t>
  </si>
  <si>
    <t>ATT-A22-0185</t>
  </si>
  <si>
    <t>XB1-MKE-026</t>
  </si>
  <si>
    <t>XAD-MKE-007/MK30VCKLH</t>
  </si>
  <si>
    <t>16/11/2023</t>
  </si>
  <si>
    <t>C000048</t>
  </si>
  <si>
    <t>XB1-MKE-028</t>
  </si>
  <si>
    <t>MK53VC-KLH(CNN-MKE-015)</t>
  </si>
  <si>
    <t>ATT-A22-0186</t>
  </si>
  <si>
    <t>XB1-MKE-032</t>
  </si>
  <si>
    <t>16/06/2024</t>
  </si>
  <si>
    <t>0428</t>
  </si>
  <si>
    <t>CNN</t>
  </si>
  <si>
    <t>XB1-XTA-001</t>
  </si>
  <si>
    <t>XT07VC-KLH</t>
  </si>
  <si>
    <t>ATT-A22-0016</t>
  </si>
  <si>
    <t>XB1-XTA-003</t>
  </si>
  <si>
    <t>XT21 VC-KLH</t>
  </si>
  <si>
    <t>CNN-MKE-018</t>
  </si>
  <si>
    <t>MK 81-VC KLH (XD3-MKE-007)</t>
  </si>
  <si>
    <t>CNN-MKE-007</t>
  </si>
  <si>
    <t>XDP-MKE-007(MK02NNKLH)</t>
  </si>
  <si>
    <t>ATT-A23-0015</t>
  </si>
  <si>
    <t>Máy cày NH TD 110</t>
  </si>
  <si>
    <t>THỔ NHỶ KỲ</t>
  </si>
  <si>
    <t>TD110</t>
  </si>
  <si>
    <t>CNN-MKE-008</t>
  </si>
  <si>
    <t>XDP-MKE-008(MK04NNKLH)</t>
  </si>
  <si>
    <t>CNN-MKE-009</t>
  </si>
  <si>
    <t>CNN-MKE-003(MK03NNKLH)</t>
  </si>
  <si>
    <t>XBA-CLT-002</t>
  </si>
  <si>
    <t>RT-140DL-1712070728</t>
  </si>
  <si>
    <t>XXA-MKE-004</t>
  </si>
  <si>
    <t>XB1-MKE-014</t>
  </si>
  <si>
    <t>Máy cày Shibaura</t>
  </si>
  <si>
    <t>XL3-XTA-009</t>
  </si>
  <si>
    <t>XL1-XTA-001(XT19VCKLH)</t>
  </si>
  <si>
    <t>ATT-A24-0015</t>
  </si>
  <si>
    <t>XL3-XTA-001</t>
  </si>
  <si>
    <t>LP3-XTA-001(XT15-VCKLH)</t>
  </si>
  <si>
    <t>XL3-MĐA-003</t>
  </si>
  <si>
    <t>MĐ29-HTKLH</t>
  </si>
  <si>
    <t>XL3-MĐA-004</t>
  </si>
  <si>
    <t>MĐ21-HTKLH</t>
  </si>
  <si>
    <t>XL3-MKE-007</t>
  </si>
  <si>
    <t>MK13 VCKLH(XA2-MKE-002)</t>
  </si>
  <si>
    <t>C000001</t>
  </si>
  <si>
    <t>XL1-CLT-001</t>
  </si>
  <si>
    <t>XL4-CLT-001</t>
  </si>
  <si>
    <t>ATT-A24-0067</t>
  </si>
  <si>
    <t>RT7140DI-17080981</t>
  </si>
  <si>
    <t>XL1-CLT-002</t>
  </si>
  <si>
    <t>XL4-CLT-002</t>
  </si>
  <si>
    <t>RT140-KH/1960184</t>
  </si>
  <si>
    <t>XL1-CLT-003</t>
  </si>
  <si>
    <t>XL4-CLT-003</t>
  </si>
  <si>
    <t>RT140-KH19080172</t>
  </si>
  <si>
    <t>XL1-CLT-004</t>
  </si>
  <si>
    <t>XL4-CLT-004</t>
  </si>
  <si>
    <t>RT140-KH19080003</t>
  </si>
  <si>
    <t>XL1-CLT-005</t>
  </si>
  <si>
    <t>XL4-CLT-005</t>
  </si>
  <si>
    <t>RT140DI-18122050</t>
  </si>
  <si>
    <t>XL1-CLT-007</t>
  </si>
  <si>
    <t>XA2-CLT-002</t>
  </si>
  <si>
    <t>ATO-A22-0003</t>
  </si>
  <si>
    <t>RT140DI-18122605</t>
  </si>
  <si>
    <t>XL1-XTA-005</t>
  </si>
  <si>
    <t>LP4-XTA-002</t>
  </si>
  <si>
    <t>A59876</t>
  </si>
  <si>
    <t>XL1-CĐN-001</t>
  </si>
  <si>
    <t>A24-CĐN-001</t>
  </si>
  <si>
    <t>Máy cắt cỏ đẩy tay đa năng</t>
  </si>
  <si>
    <t>YAMASUKI</t>
  </si>
  <si>
    <t>CAMBODIA</t>
  </si>
  <si>
    <t>GX35Y</t>
  </si>
  <si>
    <t>1.3HP</t>
  </si>
  <si>
    <t>GX35Y21093929</t>
  </si>
  <si>
    <t>XL1-CĐN-002</t>
  </si>
  <si>
    <t>A24-CĐN-002</t>
  </si>
  <si>
    <t>21/12/2024</t>
  </si>
  <si>
    <t>GX-35</t>
  </si>
  <si>
    <t>XD3-MKE-001</t>
  </si>
  <si>
    <t>MK 85-VC KLH</t>
  </si>
  <si>
    <t>XD3-MĐA-001</t>
  </si>
  <si>
    <t>MĐ 11 HT-KLH</t>
  </si>
  <si>
    <t>ATT-A23-0037</t>
  </si>
  <si>
    <t>XD3-XTA-001</t>
  </si>
  <si>
    <t>XT 01 VC-KLH</t>
  </si>
  <si>
    <t>XD3-XTA-002</t>
  </si>
  <si>
    <t>XT 09 VC-KLH</t>
  </si>
  <si>
    <t>XD2-XTA-001</t>
  </si>
  <si>
    <t>XT 02 VC-KLH</t>
  </si>
  <si>
    <t>XA2-MĐA-004</t>
  </si>
  <si>
    <t>MĐ34 HTKLH</t>
  </si>
  <si>
    <t>ATT-A22-0123</t>
  </si>
  <si>
    <t>Đã loại biên</t>
  </si>
  <si>
    <t>PC40MR-2</t>
  </si>
  <si>
    <t>KMTPC092J05011139</t>
  </si>
  <si>
    <t>XA2-XTA-001</t>
  </si>
  <si>
    <t>XT16 - VC KLH</t>
  </si>
  <si>
    <t>XA2-CLT-001</t>
  </si>
  <si>
    <t>AD2-CLT-003</t>
  </si>
  <si>
    <t>RT140DI-1801771</t>
  </si>
  <si>
    <t>CHT-XBO-004</t>
  </si>
  <si>
    <t>Xe bồn HYUNDAI</t>
  </si>
  <si>
    <t>HYUNDAI (Bồn tưới 18m3)</t>
  </si>
  <si>
    <t>EF750032850</t>
  </si>
  <si>
    <t>thanh lý</t>
  </si>
  <si>
    <t>XA2-MKE-011</t>
  </si>
  <si>
    <t>MK44 VCKLH(XAD-MKE-018)</t>
  </si>
  <si>
    <t>62HP</t>
  </si>
  <si>
    <t>M6040SUD57648</t>
  </si>
  <si>
    <t>XA2-MKE-005</t>
  </si>
  <si>
    <t>MK29 VCKLH</t>
  </si>
  <si>
    <t>C000009</t>
  </si>
  <si>
    <t>XA2-MKE-001</t>
  </si>
  <si>
    <t>MK15 VCKLH</t>
  </si>
  <si>
    <t>C000061</t>
  </si>
  <si>
    <t>XD1-CĐN-001</t>
  </si>
  <si>
    <t>A23-CĐN-001</t>
  </si>
  <si>
    <t>XD1-CĐN-002</t>
  </si>
  <si>
    <t>A23-CĐN-002</t>
  </si>
  <si>
    <t>XD2-CĐN-001</t>
  </si>
  <si>
    <t>A23-CĐN-003</t>
  </si>
  <si>
    <t>XD2-CĐN-002</t>
  </si>
  <si>
    <t>A23-CĐN-004</t>
  </si>
  <si>
    <t>XD3-CĐN-001</t>
  </si>
  <si>
    <t>A23-CĐN-005</t>
  </si>
  <si>
    <t>XD3-CĐN-002</t>
  </si>
  <si>
    <t>A23-CĐN-006</t>
  </si>
  <si>
    <t>XL3-CĐN-001</t>
  </si>
  <si>
    <t>A24-CĐN-003</t>
  </si>
  <si>
    <t>ATT-A23-0013</t>
  </si>
  <si>
    <t>XL3-CĐN-002</t>
  </si>
  <si>
    <t>A24-CĐN-004</t>
  </si>
  <si>
    <t>Đầu kéo</t>
  </si>
  <si>
    <t>XE ĐC ĐI KLH KHÁC</t>
  </si>
  <si>
    <t>(Điều chuyển chữ xanh dương)</t>
  </si>
  <si>
    <t>CHT-MĐA-068</t>
  </si>
  <si>
    <t>A23-MĐA-068</t>
  </si>
  <si>
    <t>RAT OYD</t>
  </si>
  <si>
    <t>Bàn giao về XDCB ngày 11/02/2025 
-Đ.chuyển đi RAT OYD ngày 13/05/2025</t>
  </si>
  <si>
    <t>PC200-7</t>
  </si>
  <si>
    <t>KMTPC049P02251262</t>
  </si>
  <si>
    <t>6D10226342017</t>
  </si>
  <si>
    <t>CNN-MKE-004</t>
  </si>
  <si>
    <t>XDP-MKE-004(MK18NNKLH)</t>
  </si>
  <si>
    <t>Thu hồi bàn giao về RAT OYD 05/12/2024</t>
  </si>
  <si>
    <t>XD2-MKE-001</t>
  </si>
  <si>
    <t>MK 88-VC KLH</t>
  </si>
  <si>
    <t>XB1-XRA-002</t>
  </si>
  <si>
    <t>ATT-A22-0271</t>
  </si>
  <si>
    <t>Xe rải thức ăn FD1600B</t>
  </si>
  <si>
    <t>KLH SNOUL</t>
  </si>
  <si>
    <t>Điều chuyển về SNOUL ngày 02/05/2025</t>
  </si>
  <si>
    <t>RNHD1600DHC070081</t>
  </si>
  <si>
    <t>WP6180E326P15D005530</t>
  </si>
  <si>
    <t>CKC-XCA-002</t>
  </si>
  <si>
    <t>CHT-XCA-032</t>
  </si>
  <si>
    <t>ATM-A22-0011</t>
  </si>
  <si>
    <t>Xe cẩu Zoomliom 25 tấn</t>
  </si>
  <si>
    <t>5705x2530x2940</t>
  </si>
  <si>
    <t>- Điều chuyển về KLH SNOUL ngày 18/07/2024 (Đã ký)</t>
  </si>
  <si>
    <t xml:space="preserve">ZOOMLION </t>
  </si>
  <si>
    <t>CHINA</t>
  </si>
  <si>
    <t>CRANE TRUCK QY30V</t>
  </si>
  <si>
    <t>30T</t>
  </si>
  <si>
    <t>L5E5H3D22EA020978</t>
  </si>
  <si>
    <t>Máy kéo JD 7810</t>
  </si>
  <si>
    <t>13/06/2025</t>
  </si>
  <si>
    <t>Cho mượn 2 năm hoàn trả</t>
  </si>
  <si>
    <t>155Hp</t>
  </si>
  <si>
    <t>RW7810P001704</t>
  </si>
  <si>
    <t>RG6081T011143</t>
  </si>
  <si>
    <t>TND-COT-008</t>
  </si>
  <si>
    <t>92C-14638</t>
  </si>
  <si>
    <t>ĐÃ TRẢ LẠI THILOGI</t>
  </si>
  <si>
    <t>MEC2812SCGP028592</t>
  </si>
  <si>
    <t>400951D0028557</t>
  </si>
  <si>
    <t>TND-COT-009</t>
  </si>
  <si>
    <t>92C-14670</t>
  </si>
  <si>
    <t>MEC2812SDGP029269</t>
  </si>
  <si>
    <t>400951D0029283</t>
  </si>
  <si>
    <t>CVC-BUS-001</t>
  </si>
  <si>
    <t>Xe đưa đón CBNV-47 chỗ</t>
  </si>
  <si>
    <t>ĐÃ ĐƯA VỀ SR GIA LAI SỬA CHỮA</t>
  </si>
  <si>
    <t>Ô tô khách</t>
  </si>
  <si>
    <t>238HP</t>
  </si>
  <si>
    <t>RNHTGB47A6C010081</t>
  </si>
  <si>
    <t>YC6A24020A35QA600206</t>
  </si>
  <si>
    <t>CVC-BUS-002</t>
  </si>
  <si>
    <t>RNHTGB47A6C010084</t>
  </si>
  <si>
    <t>YC6A24020A35QA600208</t>
  </si>
  <si>
    <t>6255x2500x3840</t>
  </si>
  <si>
    <t>MÁY CÀY KUBOTA</t>
  </si>
  <si>
    <t>Máy cày</t>
  </si>
  <si>
    <t>Máy cày bánh xích CT652</t>
  </si>
  <si>
    <t>ATT-A22-0188</t>
  </si>
  <si>
    <t>ATT-A22-0183</t>
  </si>
  <si>
    <t>ATT-A22-0184</t>
  </si>
  <si>
    <t>MÁY CÀY JOHNDEERE</t>
  </si>
  <si>
    <t>ATT-A22-0321</t>
  </si>
  <si>
    <t>ATT-A22-0322</t>
  </si>
  <si>
    <t>ATT-A22-0329</t>
  </si>
  <si>
    <t>DANH MỤC THIẾT BỊ THUỘC KHU LIÊN HỢP</t>
  </si>
  <si>
    <t>Mã MMTB mới</t>
  </si>
  <si>
    <t>Mã MMTB cũ</t>
  </si>
  <si>
    <t>Mã định danh</t>
  </si>
  <si>
    <t>Ngày tiếp nhận
 sử dụng</t>
  </si>
  <si>
    <t>Giá trị còn lại</t>
  </si>
  <si>
    <t>Tình trạng</t>
  </si>
  <si>
    <t>Thương Hiệu</t>
  </si>
  <si>
    <t>Model</t>
  </si>
  <si>
    <t>ĐẶC TÍNH KT
(DxRxC)</t>
  </si>
  <si>
    <t>SỐ KHUNG/SỐ MÁY</t>
  </si>
  <si>
    <t>Định mức nhiên liệu (l/h)</t>
  </si>
  <si>
    <t>Năng suất</t>
  </si>
  <si>
    <t>I.</t>
  </si>
  <si>
    <t>ĐẦU TƯ XÂY DỰNG</t>
  </si>
  <si>
    <t>CHT-CNA-001</t>
  </si>
  <si>
    <t>A23-CNA-001</t>
  </si>
  <si>
    <t>Thiết bị cày ngầm 3 trụ (M.ủi)</t>
  </si>
  <si>
    <t>3 trụ</t>
  </si>
  <si>
    <t>CHT-CNA-002</t>
  </si>
  <si>
    <t>A23-CNA-002</t>
  </si>
  <si>
    <t>CHT-BDU-005</t>
  </si>
  <si>
    <t>A23-BDU-005</t>
  </si>
  <si>
    <t>MUA MỚI</t>
  </si>
  <si>
    <t>Búa đục bê tông</t>
  </si>
  <si>
    <t>ETD2000</t>
  </si>
  <si>
    <t>CNP1500D14HB1</t>
  </si>
  <si>
    <t>CHT-CMĐ-001</t>
  </si>
  <si>
    <t>A23-CMĐ-001</t>
  </si>
  <si>
    <t>Cần dài M.Đào Sumitomo (16m)</t>
  </si>
  <si>
    <t>16m</t>
  </si>
  <si>
    <t>CHT-CMĐ-002</t>
  </si>
  <si>
    <t>A23-CMĐ-002</t>
  </si>
  <si>
    <t>Cần dài M.Đào Kobeco (18m)</t>
  </si>
  <si>
    <t>18m</t>
  </si>
  <si>
    <t>CHT-ĐTL-001</t>
  </si>
  <si>
    <t>A23-ĐTL-001</t>
  </si>
  <si>
    <t>Đầm taluy (Đầm rung thủy lực)</t>
  </si>
  <si>
    <t>Taluy</t>
  </si>
  <si>
    <t>CHT-GĐH-007</t>
  </si>
  <si>
    <t>A23-GĐH-007</t>
  </si>
  <si>
    <t>Gàu định hình M0.6</t>
  </si>
  <si>
    <t>13/07/2024</t>
  </si>
  <si>
    <t>THACO AGRI</t>
  </si>
  <si>
    <t>M0.6</t>
  </si>
  <si>
    <t>CK-CGH</t>
  </si>
  <si>
    <t>700x200x500</t>
  </si>
  <si>
    <t>CHT-GĐH-010</t>
  </si>
  <si>
    <t>A23-GĐH-010</t>
  </si>
  <si>
    <t>Gàu định hình M1</t>
  </si>
  <si>
    <t>M1</t>
  </si>
  <si>
    <t>12x30x80</t>
  </si>
  <si>
    <t>CHT-GĐH-017</t>
  </si>
  <si>
    <t>A23-GĐH-017</t>
  </si>
  <si>
    <t>Gàu định hình M0.6 (Cải tiến)</t>
  </si>
  <si>
    <t>800x800x200</t>
  </si>
  <si>
    <t>CHT-GĐH-018</t>
  </si>
  <si>
    <t>A23-GĐH-018</t>
  </si>
  <si>
    <t>CHT-GĐH-019</t>
  </si>
  <si>
    <t>A23-GĐH-019</t>
  </si>
  <si>
    <t>CHT-GĐH-020</t>
  </si>
  <si>
    <t>A23-GĐH-020</t>
  </si>
  <si>
    <t>CHT-GĐH-021</t>
  </si>
  <si>
    <t>A23-GĐH-021</t>
  </si>
  <si>
    <t>Gàu định hình đào mương thoát nước</t>
  </si>
  <si>
    <t>200x200x400</t>
  </si>
  <si>
    <t>CHT-GĐH-022</t>
  </si>
  <si>
    <t>A23-GĐH-022</t>
  </si>
  <si>
    <t>200x350x400</t>
  </si>
  <si>
    <t>CHT-GĐH-023</t>
  </si>
  <si>
    <t>A23-GĐH-023</t>
  </si>
  <si>
    <t>350x200x400</t>
  </si>
  <si>
    <t>CHT-GĐH-024</t>
  </si>
  <si>
    <t>A23-GĐH-024</t>
  </si>
  <si>
    <t>CHT-GĐH-025</t>
  </si>
  <si>
    <t>A23-GĐH-025</t>
  </si>
  <si>
    <t>CHT-GĐH-028</t>
  </si>
  <si>
    <t>A23-GĐH-028</t>
  </si>
  <si>
    <t>17/08/2024</t>
  </si>
  <si>
    <t>1200x1000x400</t>
  </si>
  <si>
    <t>CHT-GĐH-031</t>
  </si>
  <si>
    <t>A23-GĐH-031</t>
  </si>
  <si>
    <t>CHT-GĐH-032</t>
  </si>
  <si>
    <t>A23-GĐH-032</t>
  </si>
  <si>
    <t>CHT-GĐH-033</t>
  </si>
  <si>
    <t>A23-GĐH-033</t>
  </si>
  <si>
    <t>CHT-GĐH-043</t>
  </si>
  <si>
    <t>A24-GĐH-043</t>
  </si>
  <si>
    <t>Gàu định hình đào mương lô M1 (cải tiến)</t>
  </si>
  <si>
    <t>23/10/2024</t>
  </si>
  <si>
    <t>1200x400x1050</t>
  </si>
  <si>
    <t>CHT-GĐH-044</t>
  </si>
  <si>
    <t>A24-GĐH-044</t>
  </si>
  <si>
    <t>CHT-GĐH-051</t>
  </si>
  <si>
    <t>A24-GĐH-051</t>
  </si>
  <si>
    <t>CHT-GĐH-052</t>
  </si>
  <si>
    <t>A24-GĐH-052</t>
  </si>
  <si>
    <t>CHT-GĐH-053</t>
  </si>
  <si>
    <t>A24-GĐH-053</t>
  </si>
  <si>
    <t>CHT-GĐH-069</t>
  </si>
  <si>
    <t>A23-GĐH-069</t>
  </si>
  <si>
    <t>Gàu định hình đào mương thửa M1</t>
  </si>
  <si>
    <t>1200x400x1200</t>
  </si>
  <si>
    <t>CHT-GĐH-070</t>
  </si>
  <si>
    <t>A23-GĐH-070</t>
  </si>
  <si>
    <t>CHT-GĐH-071</t>
  </si>
  <si>
    <t>A23-GĐH-071</t>
  </si>
  <si>
    <t>CHT-GĐH-072</t>
  </si>
  <si>
    <t>A23-GĐH-072</t>
  </si>
  <si>
    <t>CHT-GĐH-073</t>
  </si>
  <si>
    <t>A23-GĐH-073</t>
  </si>
  <si>
    <t>CHT-GĐH-074</t>
  </si>
  <si>
    <t>A23-GĐH-074</t>
  </si>
  <si>
    <t>CHT-GĐH-075</t>
  </si>
  <si>
    <t>A23-GĐH-075</t>
  </si>
  <si>
    <t>13/05/2025</t>
  </si>
  <si>
    <t>CHT-GĐH-076</t>
  </si>
  <si>
    <t>A23-GĐH-076</t>
  </si>
  <si>
    <t>CHT-GĐH-077</t>
  </si>
  <si>
    <t>A23-GĐH-077</t>
  </si>
  <si>
    <t>CHT-GĐH-078</t>
  </si>
  <si>
    <t>A23-GĐH-078</t>
  </si>
  <si>
    <t>CHT-GĐH-084</t>
  </si>
  <si>
    <t>A23-GĐH-091</t>
  </si>
  <si>
    <t>Gàu định hình đào mương M1.2</t>
  </si>
  <si>
    <t>31/05/2025</t>
  </si>
  <si>
    <t>M1.2</t>
  </si>
  <si>
    <t>CHT-GĐH-085</t>
  </si>
  <si>
    <t>A23-GĐH-092</t>
  </si>
  <si>
    <t>CHT-GĐH-093</t>
  </si>
  <si>
    <t>A23-GĐH-093</t>
  </si>
  <si>
    <t>Gàu định hình đào mương M1</t>
  </si>
  <si>
    <t>30/01/2026</t>
  </si>
  <si>
    <t>CHT-GĐH-094</t>
  </si>
  <si>
    <t>A23-GĐH-094</t>
  </si>
  <si>
    <t>CHT-GĐH-098</t>
  </si>
  <si>
    <t>A23-GĐH-095</t>
  </si>
  <si>
    <t>1160x420x1200</t>
  </si>
  <si>
    <t>MD07</t>
  </si>
  <si>
    <t>CHT-GĐH-099</t>
  </si>
  <si>
    <t>A23-GĐH-096</t>
  </si>
  <si>
    <t>CHT-GĐH-100</t>
  </si>
  <si>
    <t>A23-GĐH-097</t>
  </si>
  <si>
    <t>CHT-GĐH-101</t>
  </si>
  <si>
    <t>A23-GĐH-098</t>
  </si>
  <si>
    <t>MD05</t>
  </si>
  <si>
    <t>CHT-GĐH-102</t>
  </si>
  <si>
    <t>A23-GĐH-099</t>
  </si>
  <si>
    <t>Gàu định hình đào mương M2</t>
  </si>
  <si>
    <t>M2</t>
  </si>
  <si>
    <t>1550x650x2300</t>
  </si>
  <si>
    <t>CAT 320D</t>
  </si>
  <si>
    <t>CHT-GĐH-103</t>
  </si>
  <si>
    <t>A23-GĐH-100</t>
  </si>
  <si>
    <t>CHT-BDU-001</t>
  </si>
  <si>
    <t>A24-BDU-001</t>
  </si>
  <si>
    <t>Hư (xưởng SC)</t>
  </si>
  <si>
    <t>CHT-BDU-004</t>
  </si>
  <si>
    <t>A24-BDU-004</t>
  </si>
  <si>
    <t>20/09/2024</t>
  </si>
  <si>
    <t>EDT2000</t>
  </si>
  <si>
    <t>CNC 162D14HB1</t>
  </si>
  <si>
    <t>CHT-BDU-006</t>
  </si>
  <si>
    <t>A24-BDU-006</t>
  </si>
  <si>
    <t>20/03/2025</t>
  </si>
  <si>
    <t>FURUKAWA</t>
  </si>
  <si>
    <t>FXJ275/ZB10154</t>
  </si>
  <si>
    <t>CHT-ĐTL-002</t>
  </si>
  <si>
    <t>A24-ĐTL-002</t>
  </si>
  <si>
    <t>Kho vật tư Lumphat</t>
  </si>
  <si>
    <t>CHT-GĐH-001</t>
  </si>
  <si>
    <t>A24-GĐH-001</t>
  </si>
  <si>
    <t>Gàu định hình M2</t>
  </si>
  <si>
    <t>Giao về Ban XDCB</t>
  </si>
  <si>
    <t>CHT-GĐH-002</t>
  </si>
  <si>
    <t>A24-GĐH-002</t>
  </si>
  <si>
    <t>Gàu định hình M0.6</t>
  </si>
  <si>
    <t>CHT-GĐH-003</t>
  </si>
  <si>
    <t>A24-GĐH-003</t>
  </si>
  <si>
    <t>CHT-GĐH-004</t>
  </si>
  <si>
    <t>A24-GĐH-004</t>
  </si>
  <si>
    <t>CHT-GĐH-005</t>
  </si>
  <si>
    <t>A24-GĐH-005</t>
  </si>
  <si>
    <t>CHT-GĐH-006</t>
  </si>
  <si>
    <t>A24-GĐH-006</t>
  </si>
  <si>
    <t>CHT-GĐH-008</t>
  </si>
  <si>
    <t>A24-GĐH-008</t>
  </si>
  <si>
    <t>Gàu định hình M0.8</t>
  </si>
  <si>
    <t>MÁY CÀY LOVOL</t>
  </si>
  <si>
    <t>M0.8</t>
  </si>
  <si>
    <t>1000x300x550</t>
  </si>
  <si>
    <t>CHT-GĐH-009</t>
  </si>
  <si>
    <t>A24-GĐH-009</t>
  </si>
  <si>
    <t>CHT-GĐH-011</t>
  </si>
  <si>
    <t>A24-GĐH-011</t>
  </si>
  <si>
    <t>22/08/2024</t>
  </si>
  <si>
    <t>120x30x80</t>
  </si>
  <si>
    <t>CHT-GĐH-012</t>
  </si>
  <si>
    <t>A24-GĐH-012</t>
  </si>
  <si>
    <t>CHT-GĐH-013</t>
  </si>
  <si>
    <t>A24-GĐH-013</t>
  </si>
  <si>
    <t>Gàu định hình M1.5</t>
  </si>
  <si>
    <t>M1.5</t>
  </si>
  <si>
    <t>1800x400x1200</t>
  </si>
  <si>
    <t>CHT-GĐH-015</t>
  </si>
  <si>
    <t>A24-GĐH-015</t>
  </si>
  <si>
    <t>Gàu định hình M3</t>
  </si>
  <si>
    <t>M3</t>
  </si>
  <si>
    <t>3000x950x1800</t>
  </si>
  <si>
    <t>CHT-GĐH-016</t>
  </si>
  <si>
    <t>A24-GĐH-016</t>
  </si>
  <si>
    <t>CHT-GĐH-059</t>
  </si>
  <si>
    <t>A24-GĐH-059</t>
  </si>
  <si>
    <t>Gàu định hình đảo mương thửa</t>
  </si>
  <si>
    <t>1200x200x1200</t>
  </si>
  <si>
    <t>CHT-GĐH-060</t>
  </si>
  <si>
    <t>A24-GĐH-060</t>
  </si>
  <si>
    <t>CHT-GĐH-061</t>
  </si>
  <si>
    <t>A24-GĐH-061</t>
  </si>
  <si>
    <t>CHT-GĐH-062</t>
  </si>
  <si>
    <t>A24-GĐH-062</t>
  </si>
  <si>
    <t>CHT-GĐH-063</t>
  </si>
  <si>
    <t>A24-GĐH-063</t>
  </si>
  <si>
    <t>CHT-GĐH-064</t>
  </si>
  <si>
    <t>A24-GĐH-064</t>
  </si>
  <si>
    <t>Gàu định hình đảo mương lô</t>
  </si>
  <si>
    <t>2000x200x2000</t>
  </si>
  <si>
    <t>CHT-GĐH-079</t>
  </si>
  <si>
    <t>A24-GĐH-069</t>
  </si>
  <si>
    <t>19/05/2025</t>
  </si>
  <si>
    <t>CHT-GĐH-080</t>
  </si>
  <si>
    <t>A24-GDH-073</t>
  </si>
  <si>
    <t>CHT-GĐH-081</t>
  </si>
  <si>
    <t>A24-GDH-074</t>
  </si>
  <si>
    <t>CHT-GĐH-082</t>
  </si>
  <si>
    <t>A24-GDH-075</t>
  </si>
  <si>
    <t>CHT-GĐH-083</t>
  </si>
  <si>
    <t>A24-GDH-076</t>
  </si>
  <si>
    <t>CHT-GĐH-086</t>
  </si>
  <si>
    <t>A24-GĐH-083</t>
  </si>
  <si>
    <t>CHT-GĐH-087</t>
  </si>
  <si>
    <t>A24-GĐH-084</t>
  </si>
  <si>
    <t>CHT-GĐH-088</t>
  </si>
  <si>
    <t>A24-GĐH-085</t>
  </si>
  <si>
    <t>CHT-GĐH-089</t>
  </si>
  <si>
    <t>A24-GĐH-086</t>
  </si>
  <si>
    <t>CHT-GĐH-090</t>
  </si>
  <si>
    <t>A24-GĐH-087</t>
  </si>
  <si>
    <t>CHT-GĐH-091</t>
  </si>
  <si>
    <t>A24-GĐH-088</t>
  </si>
  <si>
    <t>CHT-GĐH-092</t>
  </si>
  <si>
    <t>A24-GĐH-089</t>
  </si>
  <si>
    <t>CHT-CNA-003</t>
  </si>
  <si>
    <t>CHT-CNA-004</t>
  </si>
  <si>
    <t>A22-CNA-003</t>
  </si>
  <si>
    <t>Thiết bị cày ngầm 3 trụ</t>
  </si>
  <si>
    <t>CHT-TCĐ-001</t>
  </si>
  <si>
    <t>A22-TCĐ-001</t>
  </si>
  <si>
    <t>Trống cào đá</t>
  </si>
  <si>
    <t>CHT-CMĐ-003</t>
  </si>
  <si>
    <t>A22-CMĐ-003</t>
  </si>
  <si>
    <t>CHT-CMĐ-004</t>
  </si>
  <si>
    <t>A22-CMĐ-004</t>
  </si>
  <si>
    <t>Cần dài M.Đào Doosan (12m)</t>
  </si>
  <si>
    <t>Đang ở XSC</t>
  </si>
  <si>
    <t>12m</t>
  </si>
  <si>
    <t>CHT-BDU-002</t>
  </si>
  <si>
    <t>A22-BDU-002</t>
  </si>
  <si>
    <t>CHT-BDU-003</t>
  </si>
  <si>
    <t>A22-BDU-003</t>
  </si>
  <si>
    <t>26/06/2024</t>
  </si>
  <si>
    <t>EDT</t>
  </si>
  <si>
    <t>Đường kính đinh: 135mm</t>
  </si>
  <si>
    <t>CNB 0051 E52HB1</t>
  </si>
  <si>
    <t>CHT-BDU-007</t>
  </si>
  <si>
    <t>A22-BDU-004</t>
  </si>
  <si>
    <t>F22</t>
  </si>
  <si>
    <t>F22-01</t>
  </si>
  <si>
    <t>CHT-BDU-008</t>
  </si>
  <si>
    <t>A22-BDU-005</t>
  </si>
  <si>
    <t>F22-02</t>
  </si>
  <si>
    <t>CHT-BDU-010</t>
  </si>
  <si>
    <t>A22-BDU-006</t>
  </si>
  <si>
    <t>30/07/2025</t>
  </si>
  <si>
    <t>F22-03</t>
  </si>
  <si>
    <t>CHT-BDU-011</t>
  </si>
  <si>
    <t>TB sử dụng lâu ngày cập nhật bổ sung</t>
  </si>
  <si>
    <t>T2000S</t>
  </si>
  <si>
    <t>CHT-ĐTL-003</t>
  </si>
  <si>
    <t>A22-ĐTL-003</t>
  </si>
  <si>
    <t>CHT-ĐTL-004</t>
  </si>
  <si>
    <t>A22-ĐTL-004</t>
  </si>
  <si>
    <t>EVERDIGM</t>
  </si>
  <si>
    <t>EPC15PA</t>
  </si>
  <si>
    <t>6.4 TẤN- 740x1050mm</t>
  </si>
  <si>
    <t>15-H245</t>
  </si>
  <si>
    <t>CHT-RMĐ-001</t>
  </si>
  <si>
    <t>XAD-RMD-001(XA2-RMĐ-001)</t>
  </si>
  <si>
    <t>A22-RMĐ-001</t>
  </si>
  <si>
    <t>Rơ mooc vận chuyển M.đào 03</t>
  </si>
  <si>
    <t>- Điều chuyển từ XN chuối AD ngày 28/06/2024</t>
  </si>
  <si>
    <t>II.</t>
  </si>
  <si>
    <t>CƠ GIỚI LÀM ĐẤT</t>
  </si>
  <si>
    <t>CNN-RMC-001</t>
  </si>
  <si>
    <t>RMC 88 - VC KLH</t>
  </si>
  <si>
    <t>A23-RMC-001</t>
  </si>
  <si>
    <t>Rơ mooc thu hoạch</t>
  </si>
  <si>
    <t>2m3</t>
  </si>
  <si>
    <t>CNN-CCH-001</t>
  </si>
  <si>
    <t>C3C 10</t>
  </si>
  <si>
    <t>A23-CCH-001</t>
  </si>
  <si>
    <t>Thiết bị cày 3 chảo</t>
  </si>
  <si>
    <t>3 chảo</t>
  </si>
  <si>
    <t>CNN-CCH-002</t>
  </si>
  <si>
    <t>C3C 11</t>
  </si>
  <si>
    <t>A23-CCH-002</t>
  </si>
  <si>
    <t>CNN-CCH-003</t>
  </si>
  <si>
    <t>C3C 12</t>
  </si>
  <si>
    <t>A23-CCH-003</t>
  </si>
  <si>
    <t>CNN-BUA-001</t>
  </si>
  <si>
    <t>B7C01</t>
  </si>
  <si>
    <t>A23-BUA-001</t>
  </si>
  <si>
    <t>Thiết bị bừa 7 chảo</t>
  </si>
  <si>
    <t>7 chảo</t>
  </si>
  <si>
    <t>6.5 ha/8h</t>
  </si>
  <si>
    <t>CNN-BUA-002</t>
  </si>
  <si>
    <t>B7C02</t>
  </si>
  <si>
    <t>A23-BUA-002</t>
  </si>
  <si>
    <t>CNN-BUA-017</t>
  </si>
  <si>
    <t>A23-BUA-017</t>
  </si>
  <si>
    <t>22/01/2026</t>
  </si>
  <si>
    <t>CMT</t>
  </si>
  <si>
    <t>MTD 27-10</t>
  </si>
  <si>
    <t>Đ.kính chảo: 600mm</t>
  </si>
  <si>
    <t>F1/021183</t>
  </si>
  <si>
    <t>CNN-BUA-003</t>
  </si>
  <si>
    <t>B8C03</t>
  </si>
  <si>
    <t>A23-BUA-003</t>
  </si>
  <si>
    <t>Thiết bị bừa 8 chảo</t>
  </si>
  <si>
    <t>8 chảo</t>
  </si>
  <si>
    <t>CNN-XOI-001</t>
  </si>
  <si>
    <t>P2M2 01</t>
  </si>
  <si>
    <t>A23-XOI-001</t>
  </si>
  <si>
    <t>Thiết bị xới đất 2.2m</t>
  </si>
  <si>
    <t>2.2m</t>
  </si>
  <si>
    <t>CNN-XOI-002</t>
  </si>
  <si>
    <t>P2M2 02</t>
  </si>
  <si>
    <t>A23-XOI-002</t>
  </si>
  <si>
    <t>CNN-VLU-001</t>
  </si>
  <si>
    <t>XDP-VLU-001</t>
  </si>
  <si>
    <t>A23-VLU-001</t>
  </si>
  <si>
    <t>Thiết bị lên luống 2 chảo</t>
  </si>
  <si>
    <t>2 chảo</t>
  </si>
  <si>
    <t>CNN-PKK-001</t>
  </si>
  <si>
    <t>A23-PKK-001</t>
  </si>
  <si>
    <t>Thiết bị phun khử khuẩn</t>
  </si>
  <si>
    <t>CNN-VMU-001</t>
  </si>
  <si>
    <t>XDP-VMU-001</t>
  </si>
  <si>
    <t>A23-VMU-001</t>
  </si>
  <si>
    <t>Thiết bị vét mương 2 đĩa quay</t>
  </si>
  <si>
    <t>2 đĩa quay</t>
  </si>
  <si>
    <t>CNN-CNA-001</t>
  </si>
  <si>
    <t>XDP-CNA-001</t>
  </si>
  <si>
    <t>4.1 ha/8h</t>
  </si>
  <si>
    <t>CNN-CNA-005</t>
  </si>
  <si>
    <t>A23-CNA-005</t>
  </si>
  <si>
    <t>Gia công mới</t>
  </si>
  <si>
    <t>CNN-ĐCT-001</t>
  </si>
  <si>
    <t>Thiết bị vét đường canh tác</t>
  </si>
  <si>
    <t>CNN-RLT-001</t>
  </si>
  <si>
    <t>XDP-RLT-001</t>
  </si>
  <si>
    <t>A23-RLT-001</t>
  </si>
  <si>
    <t>Thiết bị rạch định vị hàng trồng 2 lưỡi</t>
  </si>
  <si>
    <t>2 lưỡi</t>
  </si>
  <si>
    <t>CNN-RLT-002</t>
  </si>
  <si>
    <t>XDP-RLT-002</t>
  </si>
  <si>
    <t>A23-RLT-002</t>
  </si>
  <si>
    <t>CNN-RLT-006</t>
  </si>
  <si>
    <t>A23-RLT-006</t>
  </si>
  <si>
    <t>CNN-RLT-007</t>
  </si>
  <si>
    <t>A24-RLT-007</t>
  </si>
  <si>
    <t>CNN-RVO-001</t>
  </si>
  <si>
    <t>XDP-PVO-001</t>
  </si>
  <si>
    <t>A23-RVO-001</t>
  </si>
  <si>
    <t>Thiết bị phun vôi/rải vô cơ</t>
  </si>
  <si>
    <t>8 Ha/8h</t>
  </si>
  <si>
    <t>CNN-RVO-005</t>
  </si>
  <si>
    <t>A23-RVO-005</t>
  </si>
  <si>
    <t>SHAKTIMAN</t>
  </si>
  <si>
    <t>SFB-1000DD</t>
  </si>
  <si>
    <t>INDIA</t>
  </si>
  <si>
    <t>BACE112101901</t>
  </si>
  <si>
    <t>CNN-RMĐ-001</t>
  </si>
  <si>
    <t>XDP-RMC-002</t>
  </si>
  <si>
    <t>A23-RMĐ-001</t>
  </si>
  <si>
    <t>CNN-KHO-001</t>
  </si>
  <si>
    <t>XDP-KHO-001</t>
  </si>
  <si>
    <t>A23-KHO-001</t>
  </si>
  <si>
    <t>Thiết bị khoan hố</t>
  </si>
  <si>
    <t>CNN-TBG-001</t>
  </si>
  <si>
    <t>A23-TBG-001</t>
  </si>
  <si>
    <t>Thiết bị gom gốc gắn máy kéo</t>
  </si>
  <si>
    <t>23/12/2023</t>
  </si>
  <si>
    <t>Xưởng CK bàn giao</t>
  </si>
  <si>
    <t>1.8x3x1.5</t>
  </si>
  <si>
    <t>CNN-BUA-011</t>
  </si>
  <si>
    <t>A23-BUA-011</t>
  </si>
  <si>
    <t>Thiết bị bừa 24 chảo</t>
  </si>
  <si>
    <t>28/02/2024</t>
  </si>
  <si>
    <t>INRODA</t>
  </si>
  <si>
    <t>GASP30235</t>
  </si>
  <si>
    <t>BRAZIL</t>
  </si>
  <si>
    <t>CNN-BUA-014</t>
  </si>
  <si>
    <t>A23-BUA-014</t>
  </si>
  <si>
    <t>CNN-BUA-015</t>
  </si>
  <si>
    <t>A23-BUA-015</t>
  </si>
  <si>
    <t>Thiết bị bừa 30 chảo</t>
  </si>
  <si>
    <t>CNN-TKH-001</t>
  </si>
  <si>
    <t>A23-TKH-001</t>
  </si>
  <si>
    <t>Thiết bị khai hoang dạng con lăn gai</t>
  </si>
  <si>
    <t>28/05/2024</t>
  </si>
  <si>
    <t>10x6x0.4m</t>
  </si>
  <si>
    <t>CNN-RLT-005</t>
  </si>
  <si>
    <t>CNN-TTC-001</t>
  </si>
  <si>
    <t>A23-RLT-005</t>
  </si>
  <si>
    <t>27/05/2024</t>
  </si>
  <si>
    <t>CGLĐ AD CHUYỂN QUA</t>
  </si>
  <si>
    <t>CNN-BLT-001</t>
  </si>
  <si>
    <t>A23-BLT-001</t>
  </si>
  <si>
    <t>Bộ bánh lồng thép</t>
  </si>
  <si>
    <t>Cơ khí KLH gia công mới</t>
  </si>
  <si>
    <t>JDR100-D160</t>
  </si>
  <si>
    <t>Đường kính 1.59xRộng 1.3m/cái</t>
  </si>
  <si>
    <t>CNN-BLT-004</t>
  </si>
  <si>
    <t>A23-BLT-004</t>
  </si>
  <si>
    <t>19/07/2024</t>
  </si>
  <si>
    <t>FDR100-D150</t>
  </si>
  <si>
    <t>ĐK: 1.49m x Rộng 1.1m/cái</t>
  </si>
  <si>
    <t>CNN-XOI-007</t>
  </si>
  <si>
    <t>CNN-XOI-006(P2M2 06 NN - KLH)</t>
  </si>
  <si>
    <t>A22-XOI-007</t>
  </si>
  <si>
    <t>15/08/2024</t>
  </si>
  <si>
    <t>CGLĐ AD đ.chuyển qua ngày 15.08.2024</t>
  </si>
  <si>
    <t>CNN-XOI-008</t>
  </si>
  <si>
    <t>A23-XOI-009</t>
  </si>
  <si>
    <t>CNN-BUA-007</t>
  </si>
  <si>
    <t>CNN-BUA-004</t>
  </si>
  <si>
    <t>A22-BUA-007</t>
  </si>
  <si>
    <t>Thiết bị bừa 9 chảo</t>
  </si>
  <si>
    <t>9 chảo</t>
  </si>
  <si>
    <t>CNN-DTR-001</t>
  </si>
  <si>
    <t>A23-DTR-001</t>
  </si>
  <si>
    <t>Thiết bị tạo rãnh ống tưới</t>
  </si>
  <si>
    <t>26/11/2024</t>
  </si>
  <si>
    <t>CK-DTR-01</t>
  </si>
  <si>
    <t>1.2 km/8h</t>
  </si>
  <si>
    <t>CNN-DTR-002</t>
  </si>
  <si>
    <t>A23-DTR-002</t>
  </si>
  <si>
    <t>25/12/2024</t>
  </si>
  <si>
    <t>CK-DTR-02</t>
  </si>
  <si>
    <t>2x2.7x1.1</t>
  </si>
  <si>
    <t>CNN-DTR-005</t>
  </si>
  <si>
    <t>A23-DTR-003</t>
  </si>
  <si>
    <t>22/04/2025</t>
  </si>
  <si>
    <t>CK-DTR-05</t>
  </si>
  <si>
    <t>CNN-CCH-013</t>
  </si>
  <si>
    <t>A23-CCH-013</t>
  </si>
  <si>
    <t>Thiết bị cày 4 chảo</t>
  </si>
  <si>
    <t>4 CHẢO</t>
  </si>
  <si>
    <t>CNN-CCH-014</t>
  </si>
  <si>
    <t>A23-CCH-014</t>
  </si>
  <si>
    <t>CNN-RTC-001</t>
  </si>
  <si>
    <t>A23-RTC-001</t>
  </si>
  <si>
    <t>Thiết bị rạch luống trồng chuối</t>
  </si>
  <si>
    <t>CK-DTC-01</t>
  </si>
  <si>
    <t>4 ha/8h</t>
  </si>
  <si>
    <t>CNN-RTC-002</t>
  </si>
  <si>
    <t>A23-RTC-002</t>
  </si>
  <si>
    <t>CK-DTC-02</t>
  </si>
  <si>
    <t>CNN-RTC-004</t>
  </si>
  <si>
    <t>16/06/2026</t>
  </si>
  <si>
    <t>Dàn trồng mới SN chuyển qua</t>
  </si>
  <si>
    <t>CNN-RTC-005</t>
  </si>
  <si>
    <t>CNN-RTC-006</t>
  </si>
  <si>
    <t>CNN-RTC-007</t>
  </si>
  <si>
    <t>CNN-DXP-001</t>
  </si>
  <si>
    <t>A23-DXP-001</t>
  </si>
  <si>
    <t>Thiết bị xới phân</t>
  </si>
  <si>
    <t>29/03/2025</t>
  </si>
  <si>
    <t>CK-DXP-01</t>
  </si>
  <si>
    <t>3.5x1x3.6</t>
  </si>
  <si>
    <t>CNN-DRP-001</t>
  </si>
  <si>
    <t>A22-DRP-001</t>
  </si>
  <si>
    <t>Dàn rải phân (10m3)</t>
  </si>
  <si>
    <t>THACO INDUSTRY</t>
  </si>
  <si>
    <t>10M3</t>
  </si>
  <si>
    <t>CHU LAI</t>
  </si>
  <si>
    <t>3.1 ha/8h</t>
  </si>
  <si>
    <t>CNN-DRP-004</t>
  </si>
  <si>
    <t>A24-DRP-004</t>
  </si>
  <si>
    <t>18/11/2025</t>
  </si>
  <si>
    <t>RMFNUU109ASC001754</t>
  </si>
  <si>
    <t>CNN-DRP-005</t>
  </si>
  <si>
    <t>A23-DRP-005</t>
  </si>
  <si>
    <t>RMFNU109ASC001755</t>
  </si>
  <si>
    <t>CNN-DRP-006</t>
  </si>
  <si>
    <t>A22-DRP-0.03</t>
  </si>
  <si>
    <t>17/03/2026</t>
  </si>
  <si>
    <t>RMFNU109ATC002205</t>
  </si>
  <si>
    <t>CNN-DRT-001</t>
  </si>
  <si>
    <t>A23-DRT-001</t>
  </si>
  <si>
    <t>Thiết bị đào rãnh đặt ống tưới</t>
  </si>
  <si>
    <t>15/07/2025</t>
  </si>
  <si>
    <t>Đĩa quay</t>
  </si>
  <si>
    <t>DTR1</t>
  </si>
  <si>
    <t>CNN-DRT-002</t>
  </si>
  <si>
    <t>A23-DRT-002</t>
  </si>
  <si>
    <t>DTR2</t>
  </si>
  <si>
    <t>CNN-DRT-003</t>
  </si>
  <si>
    <t>A23-DRT-003</t>
  </si>
  <si>
    <t>DTR4</t>
  </si>
  <si>
    <t>CNN-CCH-004</t>
  </si>
  <si>
    <t>CNN-CCH-010</t>
  </si>
  <si>
    <t>A24-CCH-004</t>
  </si>
  <si>
    <t>Thiết Bị Cày 3 Chảo</t>
  </si>
  <si>
    <t>CNN-CCH-005</t>
  </si>
  <si>
    <t>CNN-CCH-011</t>
  </si>
  <si>
    <t>A24-CCH-005</t>
  </si>
  <si>
    <t>CNN-CCH-006</t>
  </si>
  <si>
    <t>CNN-CCH-012</t>
  </si>
  <si>
    <t>A24-CCH-006</t>
  </si>
  <si>
    <t>CNN-BUA-005</t>
  </si>
  <si>
    <t>CNN-BUA-010</t>
  </si>
  <si>
    <t>A24-BUA-005</t>
  </si>
  <si>
    <t>Thiết Bị Bừa 8 Chảo</t>
  </si>
  <si>
    <t>CNN-BUA-006</t>
  </si>
  <si>
    <t>CNN-BUA-009</t>
  </si>
  <si>
    <t>A24-BUA-006</t>
  </si>
  <si>
    <t>Thiết Bị Bừa 32 Chảo</t>
  </si>
  <si>
    <t>32 chảo</t>
  </si>
  <si>
    <t>CNN-BUA-012</t>
  </si>
  <si>
    <t>A24-BUA-012</t>
  </si>
  <si>
    <t>24 chảo</t>
  </si>
  <si>
    <t>CNN-XOI-004</t>
  </si>
  <si>
    <t>CNN-XOI-006</t>
  </si>
  <si>
    <t>A24-XOI-004</t>
  </si>
  <si>
    <t>CNN-VMU-002</t>
  </si>
  <si>
    <t>CNN-VMU-005</t>
  </si>
  <si>
    <t>A24-VMU-002</t>
  </si>
  <si>
    <t>2 đĩa  quay</t>
  </si>
  <si>
    <t>CNN-CNA-002</t>
  </si>
  <si>
    <t>CNN-CAN-003</t>
  </si>
  <si>
    <t>A24-CNA-002</t>
  </si>
  <si>
    <t>CNN-RLT-003</t>
  </si>
  <si>
    <t>CNN-TTC -002</t>
  </si>
  <si>
    <t>A24-RLT-003</t>
  </si>
  <si>
    <t>CNN-TBG-002</t>
  </si>
  <si>
    <t>A24-TBG-002</t>
  </si>
  <si>
    <t>CNN-RVO-003</t>
  </si>
  <si>
    <t>A24-RVO-003</t>
  </si>
  <si>
    <t>XNB chuyển qua</t>
  </si>
  <si>
    <t>CNN-RVO-006</t>
  </si>
  <si>
    <t>A23-RVO-006</t>
  </si>
  <si>
    <t>BACE112101899</t>
  </si>
  <si>
    <t>CNN-XOI-003</t>
  </si>
  <si>
    <t>P2M2 03</t>
  </si>
  <si>
    <t>A24-XOI-003</t>
  </si>
  <si>
    <t>CNN-XOI-009</t>
  </si>
  <si>
    <t>A24-XOI-009</t>
  </si>
  <si>
    <t>CNN-CNA-004</t>
  </si>
  <si>
    <t>CK-DCN-01</t>
  </si>
  <si>
    <t>A24-CNA-004</t>
  </si>
  <si>
    <t>1.4*1.8*1.6</t>
  </si>
  <si>
    <t>CNN-CNA-006</t>
  </si>
  <si>
    <t>A24-CNA-006</t>
  </si>
  <si>
    <t>CNN-CNA-007</t>
  </si>
  <si>
    <t>A24-CNA-007</t>
  </si>
  <si>
    <t>21/04/2026</t>
  </si>
  <si>
    <t>CNN-BLT-002</t>
  </si>
  <si>
    <t>A24-BLT-002</t>
  </si>
  <si>
    <t>JDR100-D150</t>
  </si>
  <si>
    <t>Đường kính 1.49xRộng 1.3m/cái</t>
  </si>
  <si>
    <t>CNN-BLT-003</t>
  </si>
  <si>
    <t>A24-BLT-001</t>
  </si>
  <si>
    <t>25/07/2024</t>
  </si>
  <si>
    <t>Đường kính 1.49xRộng 1.1m/cái</t>
  </si>
  <si>
    <t>CNN-BUA-016</t>
  </si>
  <si>
    <t>A24-BUA-016</t>
  </si>
  <si>
    <t>Thiết bị bừa 30 chảo</t>
  </si>
  <si>
    <t>GASP24235</t>
  </si>
  <si>
    <t>CNN-DUL-001</t>
  </si>
  <si>
    <t>CK-DUL-01</t>
  </si>
  <si>
    <t>A24-DUL-001</t>
  </si>
  <si>
    <t>Thiết bị úp luống 6 chảo đôi</t>
  </si>
  <si>
    <t>24/12/2024</t>
  </si>
  <si>
    <t>CNN-C1B-002</t>
  </si>
  <si>
    <t>A24-C1B-002</t>
  </si>
  <si>
    <t xml:space="preserve">Thiết bị cắt cỏ 1 bên </t>
  </si>
  <si>
    <t>14/01/2025</t>
  </si>
  <si>
    <t>GATTINI</t>
  </si>
  <si>
    <t>Flail Mower 1800mm</t>
  </si>
  <si>
    <t>CNN-CCH-015</t>
  </si>
  <si>
    <t>A24-CCH-015</t>
  </si>
  <si>
    <t>CNN-DTR-003</t>
  </si>
  <si>
    <t>A24-DTR-001</t>
  </si>
  <si>
    <t>18/04/2025</t>
  </si>
  <si>
    <t>CK-DTR-03</t>
  </si>
  <si>
    <t>CNN-DTR-004</t>
  </si>
  <si>
    <t>A24-DTR-002</t>
  </si>
  <si>
    <t>CK-DTR-04</t>
  </si>
  <si>
    <t>CNN-DRT-004</t>
  </si>
  <si>
    <t>A24-DRT-001</t>
  </si>
  <si>
    <t>DTR3</t>
  </si>
  <si>
    <t>CNN-DRT-005</t>
  </si>
  <si>
    <t>A24-DRT-002</t>
  </si>
  <si>
    <t>DTR5</t>
  </si>
  <si>
    <t>CNN-RTC-003</t>
  </si>
  <si>
    <t>A24-RTC-001</t>
  </si>
  <si>
    <t>CK-DTC-03</t>
  </si>
  <si>
    <t>CNN-DRP-003</t>
  </si>
  <si>
    <t>A24-DRP-003</t>
  </si>
  <si>
    <t>THACO INDUSTRIES</t>
  </si>
  <si>
    <t>RMFNUU109ASC001753</t>
  </si>
  <si>
    <t>CNN-CCH-007</t>
  </si>
  <si>
    <t>A22-CCH-007</t>
  </si>
  <si>
    <t>CNN-CCH-008</t>
  </si>
  <si>
    <t>A22-CCH-008</t>
  </si>
  <si>
    <t>CNN-CCH-009</t>
  </si>
  <si>
    <t>A22-CCH-009</t>
  </si>
  <si>
    <t>XNB sử dụng</t>
  </si>
  <si>
    <t>A22-CCH-010</t>
  </si>
  <si>
    <t>A22-CCH-011</t>
  </si>
  <si>
    <t>CNN-BUA-008</t>
  </si>
  <si>
    <t>A22-BUA-008</t>
  </si>
  <si>
    <t>A22-BUA-009</t>
  </si>
  <si>
    <t>A22-BUA-010</t>
  </si>
  <si>
    <t>CNN-BUA-013</t>
  </si>
  <si>
    <t>CNN-BUA-008(B36C 01 NN-KLH)</t>
  </si>
  <si>
    <t>A22-BUA-013</t>
  </si>
  <si>
    <t>Thiết bị bừa 36 chảo</t>
  </si>
  <si>
    <t>36 chảo</t>
  </si>
  <si>
    <t>A22-XOI-006</t>
  </si>
  <si>
    <t>CNN-RVO-004</t>
  </si>
  <si>
    <t>CNN-XOI-007(P2M2 06 NN-KLH)</t>
  </si>
  <si>
    <t>A22-RVO-004</t>
  </si>
  <si>
    <t>CNN-VMU-003</t>
  </si>
  <si>
    <t>A22-VMU-003</t>
  </si>
  <si>
    <t>Thiết bị đào mương DBR 75/32-540</t>
  </si>
  <si>
    <t>DBR</t>
  </si>
  <si>
    <t>CNN-VMU-004</t>
  </si>
  <si>
    <t>A22-VMU-004</t>
  </si>
  <si>
    <t>CNN-CNA-003</t>
  </si>
  <si>
    <t>CNN-RLT-004</t>
  </si>
  <si>
    <t>CNN-TTR-001</t>
  </si>
  <si>
    <t>A22-RLT-004</t>
  </si>
  <si>
    <t>CNN-VLU-002</t>
  </si>
  <si>
    <t>CNN-L2C-001</t>
  </si>
  <si>
    <t>A22-VLU-002</t>
  </si>
  <si>
    <t>CNN-VLU-003</t>
  </si>
  <si>
    <t>CNN-LLD-001</t>
  </si>
  <si>
    <t>A22-VLU-003</t>
  </si>
  <si>
    <t>Thiết bị lên luống dứa</t>
  </si>
  <si>
    <t>CNN-BLC-052</t>
  </si>
  <si>
    <t>CNN-BLC-001</t>
  </si>
  <si>
    <t>A22-BLC-052</t>
  </si>
  <si>
    <t>Thiết bị trang mặt bằng luống chuối</t>
  </si>
  <si>
    <t>CNN-DRP-002</t>
  </si>
  <si>
    <t>A22-DRP-002</t>
  </si>
  <si>
    <t>Điều chuyển qua XNB  ngày 29.11.2025</t>
  </si>
  <si>
    <t>III.</t>
  </si>
  <si>
    <t>SẢN XUẤT TRỒNG TRỌT</t>
  </si>
  <si>
    <t>Xí nghiệp chuối DP1</t>
  </si>
  <si>
    <t>XD1-RMC-001</t>
  </si>
  <si>
    <t>RMC 02- VC KLH</t>
  </si>
  <si>
    <t>XD1-RMC-002</t>
  </si>
  <si>
    <t>RMC 03- VC KLH</t>
  </si>
  <si>
    <t>A23-RMC-002</t>
  </si>
  <si>
    <t>XD1-RMC-006</t>
  </si>
  <si>
    <t>XA2-RMC-004</t>
  </si>
  <si>
    <t>AD2 điều chuyển ngày 23/02/2025</t>
  </si>
  <si>
    <t>XD1-RMK-001</t>
  </si>
  <si>
    <t>Rơ mooc kéo máy băm</t>
  </si>
  <si>
    <t>XD1-MCA-001</t>
  </si>
  <si>
    <t>A23-MCA-001</t>
  </si>
  <si>
    <t>Máy cao áp phun thuốc</t>
  </si>
  <si>
    <t>XD1-MCA-002</t>
  </si>
  <si>
    <t>A23-MCA-002</t>
  </si>
  <si>
    <t>XD1-MCA-003</t>
  </si>
  <si>
    <t>A23-MCA-003</t>
  </si>
  <si>
    <t>XD1-MCA-004</t>
  </si>
  <si>
    <t>A23-MCA-004</t>
  </si>
  <si>
    <t>XD1-MCA-005</t>
  </si>
  <si>
    <t>A23-MCA-005</t>
  </si>
  <si>
    <t>XD1-MCA-006</t>
  </si>
  <si>
    <t>A23-MCA-006</t>
  </si>
  <si>
    <t>XD1-MCA-007</t>
  </si>
  <si>
    <t>A23-MCA-007</t>
  </si>
  <si>
    <t>XD1-MCA-008</t>
  </si>
  <si>
    <t>A23-MCA-008</t>
  </si>
  <si>
    <t>XD1-MCA-009</t>
  </si>
  <si>
    <t>A23-MCA-009</t>
  </si>
  <si>
    <t>XD1-SPT-001</t>
  </si>
  <si>
    <t>SPT003(XD3-SPT-002)</t>
  </si>
  <si>
    <t>A23-SPT-001</t>
  </si>
  <si>
    <t>Súng phun thuốc Hansung</t>
  </si>
  <si>
    <t>HANSUNG</t>
  </si>
  <si>
    <t>HS128-TK317</t>
  </si>
  <si>
    <t>XD1-MXM-001</t>
  </si>
  <si>
    <t>CK-MXM-01</t>
  </si>
  <si>
    <t>A23-MXM-001</t>
  </si>
  <si>
    <t>Rơ mooc gắn sau xe máy</t>
  </si>
  <si>
    <t>DxRxC: 3x1.6x1.2m</t>
  </si>
  <si>
    <t>XD1-MXM-002</t>
  </si>
  <si>
    <t>CK-MXM-02</t>
  </si>
  <si>
    <t>A23-MXM-002</t>
  </si>
  <si>
    <t>XD1-MXM-003</t>
  </si>
  <si>
    <t>CK-MXM-03</t>
  </si>
  <si>
    <t>A23-MXM-003</t>
  </si>
  <si>
    <t>XD1-MXM-004</t>
  </si>
  <si>
    <t>CK-MXM-04</t>
  </si>
  <si>
    <t>A23-MXM-004</t>
  </si>
  <si>
    <t>XD1-MXM-005</t>
  </si>
  <si>
    <t>CK-MXM-05</t>
  </si>
  <si>
    <t>A23-MXM-005</t>
  </si>
  <si>
    <t>XD1-MXM-006</t>
  </si>
  <si>
    <t>CK-MXM-06</t>
  </si>
  <si>
    <t>A23-MXM-006</t>
  </si>
  <si>
    <t>XD1-MXM-007</t>
  </si>
  <si>
    <t>CK-MXM-07</t>
  </si>
  <si>
    <t>A23-MXM-007</t>
  </si>
  <si>
    <t>XD1-MXM-008</t>
  </si>
  <si>
    <t>A22-MXM-004</t>
  </si>
  <si>
    <t xml:space="preserve">Rơ mooc gắn sau xe máy </t>
  </si>
  <si>
    <t>Đ.chuyen từ XN AD ngày 28/02/2025</t>
  </si>
  <si>
    <t>XD1-RMĐ-001</t>
  </si>
  <si>
    <t>23/04/2024</t>
  </si>
  <si>
    <t>DxRxC: 6.1x2.4x0.9m</t>
  </si>
  <si>
    <t>XD1-GMĐ-001</t>
  </si>
  <si>
    <t>A23-GMĐ-001</t>
  </si>
  <si>
    <t>Gàu máy đào 05 (50*100*100cm)</t>
  </si>
  <si>
    <t>19/04/2024</t>
  </si>
  <si>
    <t>XD1-GMĐ-002</t>
  </si>
  <si>
    <t>A23-GMĐ-002</t>
  </si>
  <si>
    <t>Gàu máy đào 05 (50*100*150cm)</t>
  </si>
  <si>
    <t>XD1-GMĐ-003</t>
  </si>
  <si>
    <t>A23-GMĐ-003</t>
  </si>
  <si>
    <t>Gàu máy đào 03 (40*80*100cm)</t>
  </si>
  <si>
    <t>XD1-GĐH-001</t>
  </si>
  <si>
    <t>A23-GĐH-083</t>
  </si>
  <si>
    <t>XD1-GĐH-002</t>
  </si>
  <si>
    <t>A23-GĐH-084</t>
  </si>
  <si>
    <t>XD1-GĐH-003</t>
  </si>
  <si>
    <t>A23-GĐH-085</t>
  </si>
  <si>
    <t>XD1-GĐH-004</t>
  </si>
  <si>
    <t>A23-GĐH-086</t>
  </si>
  <si>
    <t>XD1-GĐH-005</t>
  </si>
  <si>
    <t>A23-GĐH-087</t>
  </si>
  <si>
    <t>XD1-GĐH-006</t>
  </si>
  <si>
    <t>A23-GĐH-088</t>
  </si>
  <si>
    <t>XD1-MNK-001</t>
  </si>
  <si>
    <t>A23-MNK-001</t>
  </si>
  <si>
    <t>Máy nén khí 5HP</t>
  </si>
  <si>
    <t>SWAN-5HP</t>
  </si>
  <si>
    <t>125psi</t>
  </si>
  <si>
    <t>XD1-DNL-001</t>
  </si>
  <si>
    <t>A23-DNL-001</t>
  </si>
  <si>
    <t>Thiết bị nén lá chuối khô</t>
  </si>
  <si>
    <t>THACOAGRI</t>
  </si>
  <si>
    <t>3,8x2x3,6m</t>
  </si>
  <si>
    <t>XD1-TBG-001</t>
  </si>
  <si>
    <t>Thiết bị gắp lá chuối</t>
  </si>
  <si>
    <t>Dài 1m x Rộng 0.35m</t>
  </si>
  <si>
    <t>XD1-MKC-001</t>
  </si>
  <si>
    <t>A23-MKC-004</t>
  </si>
  <si>
    <t>Máy kéo chuối (Xăng)</t>
  </si>
  <si>
    <t>DREAM</t>
  </si>
  <si>
    <t>CGH-MKC-DREAM</t>
  </si>
  <si>
    <t>400 buồng/8h</t>
  </si>
  <si>
    <t>XD1-MKC-002</t>
  </si>
  <si>
    <t>A23-MKC-005</t>
  </si>
  <si>
    <t>XD1-MKC-003</t>
  </si>
  <si>
    <t>A23-MKC-007</t>
  </si>
  <si>
    <t>9.25HP</t>
  </si>
  <si>
    <t>13L05694</t>
  </si>
  <si>
    <t>XD1-MKC-004</t>
  </si>
  <si>
    <t>A23-MKC-008</t>
  </si>
  <si>
    <t>11h02011A</t>
  </si>
  <si>
    <t>XD1-MKC-005</t>
  </si>
  <si>
    <t>A23-MKC-014</t>
  </si>
  <si>
    <t>19/06/2025</t>
  </si>
  <si>
    <t>XD1-MKC-006</t>
  </si>
  <si>
    <t>A23-MKC-015</t>
  </si>
  <si>
    <t>XKC-11</t>
  </si>
  <si>
    <t>XD1-MKC-007</t>
  </si>
  <si>
    <t>A23-MKC-018</t>
  </si>
  <si>
    <t>XD1-MKC-008</t>
  </si>
  <si>
    <t>A23-MKC-019</t>
  </si>
  <si>
    <t>Gc mới</t>
  </si>
  <si>
    <t>XKC-16</t>
  </si>
  <si>
    <t>9,5 HP</t>
  </si>
  <si>
    <t>XD1-MKC-009</t>
  </si>
  <si>
    <t>A23-MKC-022</t>
  </si>
  <si>
    <t>XKC-24</t>
  </si>
  <si>
    <t>XD1-MKC-010</t>
  </si>
  <si>
    <t>A23-MKC-026</t>
  </si>
  <si>
    <t>13/10/2025</t>
  </si>
  <si>
    <t>XKC-30</t>
  </si>
  <si>
    <t>XD1-MKC-011</t>
  </si>
  <si>
    <t>A23-MKC-028</t>
  </si>
  <si>
    <t>29/09/2025</t>
  </si>
  <si>
    <t>XKC-28</t>
  </si>
  <si>
    <t>XD1-MKC-012</t>
  </si>
  <si>
    <t>A23-MKC-030</t>
  </si>
  <si>
    <t>20/10/2025</t>
  </si>
  <si>
    <t>XKC-033</t>
  </si>
  <si>
    <t>XD1-MKC-013</t>
  </si>
  <si>
    <t>A23-MKC-034</t>
  </si>
  <si>
    <t>XKC-39</t>
  </si>
  <si>
    <t>XD1-MKC-014</t>
  </si>
  <si>
    <t>A23-MKC-040</t>
  </si>
  <si>
    <t>XKC-46</t>
  </si>
  <si>
    <t>XD1-MKC-015</t>
  </si>
  <si>
    <t>A23-MKC-042</t>
  </si>
  <si>
    <t>XKC-51</t>
  </si>
  <si>
    <t>XD1-MKC-016</t>
  </si>
  <si>
    <t>A23-MKC-043</t>
  </si>
  <si>
    <t>XKC-54</t>
  </si>
  <si>
    <t>XD1-MBC-001</t>
  </si>
  <si>
    <t>XD2-MBC-001</t>
  </si>
  <si>
    <t>Máy băm công nghiệp cố định 15Kw</t>
  </si>
  <si>
    <t>24/08/2024</t>
  </si>
  <si>
    <t>-Đ.chuyển từ DP2 kèm KDP-MFD-021</t>
  </si>
  <si>
    <t>15Kw</t>
  </si>
  <si>
    <t>XD1-MBC-003</t>
  </si>
  <si>
    <t>CK-MB-24</t>
  </si>
  <si>
    <t>A23-MBC-003</t>
  </si>
  <si>
    <t>Máy băm cố định</t>
  </si>
  <si>
    <t>XD1-MPT-001</t>
  </si>
  <si>
    <t>Máy phun thuốc RELOAD 7045</t>
  </si>
  <si>
    <t>RELOAD</t>
  </si>
  <si>
    <t>7 Hp</t>
  </si>
  <si>
    <t>H0058740</t>
  </si>
  <si>
    <t>XD1-MPT-002</t>
  </si>
  <si>
    <t>H0058744</t>
  </si>
  <si>
    <t>XD1-MPT-003</t>
  </si>
  <si>
    <t>H0058759</t>
  </si>
  <si>
    <t>XD1-MPT-004</t>
  </si>
  <si>
    <t>H0058786</t>
  </si>
  <si>
    <t>Xí nghiệp chuối DP2</t>
  </si>
  <si>
    <t>DANH MỤC XE &amp; MÁY KLH KOUNMOM</t>
  </si>
  <si>
    <t>MÁY CÀY SHIBAURA</t>
  </si>
  <si>
    <t>XD2-RMC-002</t>
  </si>
  <si>
    <t>RMC 04-VC KLH</t>
  </si>
  <si>
    <t>XD2-RMC-003</t>
  </si>
  <si>
    <t>RMC 05-VC KLH</t>
  </si>
  <si>
    <t>A23-RMC-003</t>
  </si>
  <si>
    <t>XD2-RMC-004</t>
  </si>
  <si>
    <t>RMC 06-VC KLH</t>
  </si>
  <si>
    <t>A23-RMC-004</t>
  </si>
  <si>
    <t>XD2-RMC-005</t>
  </si>
  <si>
    <t>RMC 08-VC KLH</t>
  </si>
  <si>
    <t>A23-RMC-005</t>
  </si>
  <si>
    <t>XD2-RMB-001</t>
  </si>
  <si>
    <t>RMC 90-VC KLH</t>
  </si>
  <si>
    <t>A23-RMB-001</t>
  </si>
  <si>
    <t>Rơ mooc thùng ben</t>
  </si>
  <si>
    <t>Thùng ben 2m3</t>
  </si>
  <si>
    <t>XD2-RMB-002</t>
  </si>
  <si>
    <t>RMC 91-VC KLH</t>
  </si>
  <si>
    <t>A23-RMB-002</t>
  </si>
  <si>
    <t>Tên xe</t>
  </si>
  <si>
    <t>SL xe</t>
  </si>
  <si>
    <t>XD2-SPT-002</t>
  </si>
  <si>
    <t>SPT09</t>
  </si>
  <si>
    <t>A23-SPT-002</t>
  </si>
  <si>
    <t>Động Cơ</t>
  </si>
  <si>
    <t>Số Khung</t>
  </si>
  <si>
    <t xml:space="preserve">Biển số </t>
  </si>
  <si>
    <t>HS128-DK335</t>
  </si>
  <si>
    <t>Mã MMTB</t>
  </si>
  <si>
    <t>XD2-RMG-001</t>
  </si>
  <si>
    <t>A23-RMG-001</t>
  </si>
  <si>
    <t>Rơ mooc chở giống</t>
  </si>
  <si>
    <t>Năm SX</t>
  </si>
  <si>
    <t>Ngày tiếp nhận sử dụng</t>
  </si>
  <si>
    <t xml:space="preserve">Số Km </t>
  </si>
  <si>
    <t xml:space="preserve"> Giờ Sử Dụng</t>
  </si>
  <si>
    <t>Tình Trạng</t>
  </si>
  <si>
    <t>Tình trạng mua 
(mua mới/ ĐQSD)</t>
  </si>
  <si>
    <t>CGLĐ DP ĐCHUYỂN NGÀY 28.01.2026</t>
  </si>
  <si>
    <t>44 buồng</t>
  </si>
  <si>
    <t>Đơn Vị Quản lý</t>
  </si>
  <si>
    <t>XD2-RMG-002</t>
  </si>
  <si>
    <t>XD1-RMG-004</t>
  </si>
  <si>
    <t>Mã tài sản</t>
  </si>
  <si>
    <t>Công ty pháp nhân sỡ hữu</t>
  </si>
  <si>
    <t>XD2-RMĐ-001</t>
  </si>
  <si>
    <t xml:space="preserve">Ghi chú </t>
  </si>
  <si>
    <t xml:space="preserve">Dầu </t>
  </si>
  <si>
    <t>Xăng</t>
  </si>
  <si>
    <t>Điện</t>
  </si>
  <si>
    <t>Công suất</t>
  </si>
  <si>
    <t xml:space="preserve">Định mức nhiên liệu </t>
  </si>
  <si>
    <t>Số Máy</t>
  </si>
  <si>
    <t>XD2-RML-001</t>
  </si>
  <si>
    <t>CK-RML-09(XB1-RML-007)</t>
  </si>
  <si>
    <t>A23-RML-001</t>
  </si>
  <si>
    <t>Đang HĐ</t>
  </si>
  <si>
    <t>Rơ mooc lưới</t>
  </si>
  <si>
    <t>Chờ Sửa</t>
  </si>
  <si>
    <t>Không còn SD</t>
  </si>
  <si>
    <t>Nhân sự quản lý</t>
  </si>
  <si>
    <t>Địa Chỉ
(Nơi tập kết)</t>
  </si>
  <si>
    <t>Số liên lạc  (zalo)</t>
  </si>
  <si>
    <t>A. XE CÔNG TRÌNH</t>
  </si>
  <si>
    <t>Cải tạo từ Rơ mooc thu hoạch</t>
  </si>
  <si>
    <t>DxRxC: 5.5m*2.5m*2.4m</t>
  </si>
  <si>
    <t>XD2-GĐH-001</t>
  </si>
  <si>
    <t>A23-GĐH-089</t>
  </si>
  <si>
    <t>XD2-GĐH-002</t>
  </si>
  <si>
    <t>A23-GĐH-090</t>
  </si>
  <si>
    <t>XD2-MCA-001</t>
  </si>
  <si>
    <t>MÁY ĐÀO</t>
  </si>
  <si>
    <t>Phun nấm lá, Rệp, Vi sinh</t>
  </si>
  <si>
    <t>NILE N-680A</t>
  </si>
  <si>
    <t>XD2-MCA-002</t>
  </si>
  <si>
    <t>XD2-MCA-003</t>
  </si>
  <si>
    <t>Phun thuốc bảo quản, xử lý rệp sáp</t>
  </si>
  <si>
    <t>MR-48</t>
  </si>
  <si>
    <t>3HP</t>
  </si>
  <si>
    <t>XD2-MCA-004</t>
  </si>
  <si>
    <t>phun thuốc bảo quản, xử lý rệp sáp</t>
  </si>
  <si>
    <t>XD2-MCA-005</t>
  </si>
  <si>
    <t>XD2-MCA-006</t>
  </si>
  <si>
    <t>Phun nấm lá, Rệp, Vi sinh, thuốc BVTV</t>
  </si>
  <si>
    <t>XD2-MCA-007</t>
  </si>
  <si>
    <t>MR-28</t>
  </si>
  <si>
    <t>1.5HP</t>
  </si>
  <si>
    <t>XD2-MCA-008</t>
  </si>
  <si>
    <t>20/12/2024</t>
  </si>
  <si>
    <t>XĐG</t>
  </si>
  <si>
    <t>KB-530 + Motor</t>
  </si>
  <si>
    <t>2HP</t>
  </si>
  <si>
    <t>X</t>
  </si>
  <si>
    <t>XD2-MCA-009</t>
  </si>
  <si>
    <t>XD2-MCA-010</t>
  </si>
  <si>
    <t>XD2-MCA-011</t>
  </si>
  <si>
    <t>XD2-MCA-012</t>
  </si>
  <si>
    <t>MÁY CÀY  BÁNH XÍCH</t>
  </si>
  <si>
    <t>Các NT</t>
  </si>
  <si>
    <t>KB-80</t>
  </si>
  <si>
    <t>XD2-MCA-013</t>
  </si>
  <si>
    <t>XD2-MCA-014</t>
  </si>
  <si>
    <t>XD2-MCA-015</t>
  </si>
  <si>
    <t>XD2-MCA-016</t>
  </si>
  <si>
    <t>XD2-MCA-017</t>
  </si>
  <si>
    <t>XD2-MCA-018</t>
  </si>
  <si>
    <t>XD2-MCA-019</t>
  </si>
  <si>
    <t>XD2-MBC-003</t>
  </si>
  <si>
    <t>CK-MB-22</t>
  </si>
  <si>
    <t>A23-MBC-005</t>
  </si>
  <si>
    <t>Đ.CƠ điện 380v</t>
  </si>
  <si>
    <t>XD2-MBC-005</t>
  </si>
  <si>
    <t>A23-MBC-006</t>
  </si>
  <si>
    <t>2,25x0,8x3,7m</t>
  </si>
  <si>
    <t>XD2-MBC-006</t>
  </si>
  <si>
    <t>A23-MBC-007</t>
  </si>
  <si>
    <t>26/11/2025</t>
  </si>
  <si>
    <t>XD2-MXM-001</t>
  </si>
  <si>
    <t>A23-MXM-008</t>
  </si>
  <si>
    <t>ATM-A22-0126</t>
  </si>
  <si>
    <t>XD2-MXM-002</t>
  </si>
  <si>
    <t>A23-MXM-009</t>
  </si>
  <si>
    <t>XD2-MXM-003</t>
  </si>
  <si>
    <t>A23-MXM-010</t>
  </si>
  <si>
    <t>XD2-MXM-004</t>
  </si>
  <si>
    <t>A23-MXM-011</t>
  </si>
  <si>
    <t>XD2-MXM-005</t>
  </si>
  <si>
    <t>A23-MXM-012</t>
  </si>
  <si>
    <t>XD2-MXM-006</t>
  </si>
  <si>
    <t>A23-MXM-013</t>
  </si>
  <si>
    <t>XD2-MXM-007</t>
  </si>
  <si>
    <t>A23-MXM-014</t>
  </si>
  <si>
    <t>XD2-MXM-008</t>
  </si>
  <si>
    <t>A23-MXM-015</t>
  </si>
  <si>
    <t>XD2-MCL-001</t>
  </si>
  <si>
    <t>A23-MCL-001</t>
  </si>
  <si>
    <t>Rơ mooc clethon</t>
  </si>
  <si>
    <t>4.5x2.5x1.4</t>
  </si>
  <si>
    <t>XD2-MCL-002</t>
  </si>
  <si>
    <t>A23-MCL-002</t>
  </si>
  <si>
    <t>ATM-A22-0129</t>
  </si>
  <si>
    <t>XD2-MKC-001</t>
  </si>
  <si>
    <t>CK-XKC-05</t>
  </si>
  <si>
    <t>A23-MKC-001</t>
  </si>
  <si>
    <t>10H05075</t>
  </si>
  <si>
    <t>XD2-MKC-002</t>
  </si>
  <si>
    <t>CK-XKC-07</t>
  </si>
  <si>
    <t>A23-MKC-003</t>
  </si>
  <si>
    <t>19/11/2024</t>
  </si>
  <si>
    <t>10D66471</t>
  </si>
  <si>
    <t>XD2-MKC-003</t>
  </si>
  <si>
    <t>CK-XKC-17</t>
  </si>
  <si>
    <t>A23-MKC-009</t>
  </si>
  <si>
    <t>Mất sm</t>
  </si>
  <si>
    <t>XD2-MKC-004</t>
  </si>
  <si>
    <t>CK-XKC-18</t>
  </si>
  <si>
    <t>A23-MKC-010</t>
  </si>
  <si>
    <t>09H71220</t>
  </si>
  <si>
    <t>XD2-MKC-005</t>
  </si>
  <si>
    <t>A23-MKC-024</t>
  </si>
  <si>
    <t>25/09/2025</t>
  </si>
  <si>
    <t>XKC-25</t>
  </si>
  <si>
    <t>XD2-MKC-006</t>
  </si>
  <si>
    <t>A23-MKC-025</t>
  </si>
  <si>
    <t>XKC-27</t>
  </si>
  <si>
    <t>XD2-MKC-007</t>
  </si>
  <si>
    <t>A23-MKC-032</t>
  </si>
  <si>
    <t>27/10/2025</t>
  </si>
  <si>
    <t>XKC-37</t>
  </si>
  <si>
    <t>XD2-MKC-008</t>
  </si>
  <si>
    <t>A23-MKC-036</t>
  </si>
  <si>
    <t>XKC-42</t>
  </si>
  <si>
    <t>XD2-MKC-009</t>
  </si>
  <si>
    <t>A23-MKC-037</t>
  </si>
  <si>
    <t>ATM-A22-0130</t>
  </si>
  <si>
    <t>20/11/2025</t>
  </si>
  <si>
    <t>XKC-43</t>
  </si>
  <si>
    <t>XD2-MKC-010</t>
  </si>
  <si>
    <t>A23-MKC-038</t>
  </si>
  <si>
    <t>XKC-44</t>
  </si>
  <si>
    <t>XD2-MKC-011</t>
  </si>
  <si>
    <t>A23-MKC-039</t>
  </si>
  <si>
    <t>XKC-45</t>
  </si>
  <si>
    <t>XD2-MKC-012</t>
  </si>
  <si>
    <t>26/02/2026</t>
  </si>
  <si>
    <t>XD2-MKC-013</t>
  </si>
  <si>
    <t>A23-MKC-046</t>
  </si>
  <si>
    <t>không xoá dòng này</t>
  </si>
  <si>
    <t>Xí nghiệp chuối DP3</t>
  </si>
  <si>
    <t>XD3-MCA-001</t>
  </si>
  <si>
    <t>ATM-A22-0131</t>
  </si>
  <si>
    <t>XD3-MCA-002</t>
  </si>
  <si>
    <t>XD3-MCA-003</t>
  </si>
  <si>
    <t>XD3-MCA-004</t>
  </si>
  <si>
    <t>XD3-MCA-005</t>
  </si>
  <si>
    <t>Ntr phun bệnh chuối</t>
  </si>
  <si>
    <t>XD3-MCA-006</t>
  </si>
  <si>
    <t>XD3-MCA-007</t>
  </si>
  <si>
    <t>XD3-MCA-008</t>
  </si>
  <si>
    <t>XD3-MCA-009</t>
  </si>
  <si>
    <t>XD3-MCA-010</t>
  </si>
  <si>
    <t>ATM-A22-0132</t>
  </si>
  <si>
    <t>XD3-MCA-011</t>
  </si>
  <si>
    <t>XD3-MCA-012</t>
  </si>
  <si>
    <t>XD3-MCA-013</t>
  </si>
  <si>
    <t>XD3-MCA-014</t>
  </si>
  <si>
    <t>XD3-MCA-015</t>
  </si>
  <si>
    <t>XD3-MCA-016</t>
  </si>
  <si>
    <t>XD3-MCA-017</t>
  </si>
  <si>
    <t>7HP</t>
  </si>
  <si>
    <t>XD3-MPT-001</t>
  </si>
  <si>
    <t>H0058772</t>
  </si>
  <si>
    <t>XD3-MPT-002</t>
  </si>
  <si>
    <t>ATM-A22-0133</t>
  </si>
  <si>
    <t>H0058807</t>
  </si>
  <si>
    <t>XD3-MPT-003</t>
  </si>
  <si>
    <t>H0058809</t>
  </si>
  <si>
    <t>XD3-MPT-004</t>
  </si>
  <si>
    <t>H0058817</t>
  </si>
  <si>
    <t>XD3-MPT-005</t>
  </si>
  <si>
    <t>Máy cày LOVOL P3050</t>
  </si>
  <si>
    <t>47HP</t>
  </si>
  <si>
    <t>H0058822</t>
  </si>
  <si>
    <t>XD3-SPT-001</t>
  </si>
  <si>
    <t>SPT002</t>
  </si>
  <si>
    <t>HS 128-DP342</t>
  </si>
  <si>
    <t>XD3-RMC-006</t>
  </si>
  <si>
    <t>RMC 74-VC KLH</t>
  </si>
  <si>
    <t>A23-RMC-006</t>
  </si>
  <si>
    <t>XD3-RMC-008</t>
  </si>
  <si>
    <t>RMC 73-VC KLH</t>
  </si>
  <si>
    <t>A23-RMC-008</t>
  </si>
  <si>
    <t>XD3-RMC-009</t>
  </si>
  <si>
    <t>A23-RMC-009</t>
  </si>
  <si>
    <t>XD3-RMC-010</t>
  </si>
  <si>
    <t>RMC 93-VC KLH</t>
  </si>
  <si>
    <t>A23-RMC-010</t>
  </si>
  <si>
    <t>ATM-A22-0134</t>
  </si>
  <si>
    <t>XD3-RMB-001</t>
  </si>
  <si>
    <t>RMC 83-VC KLH</t>
  </si>
  <si>
    <t>XD3-RMB-003</t>
  </si>
  <si>
    <t>RMC 85-VC KLH</t>
  </si>
  <si>
    <t>A23-RMB-003</t>
  </si>
  <si>
    <t>XD3-RMB-005</t>
  </si>
  <si>
    <t>RMC 86-VC KLH</t>
  </si>
  <si>
    <t>A23-RMB-005</t>
  </si>
  <si>
    <t>DP</t>
  </si>
  <si>
    <t>thùng ben 2m3</t>
  </si>
  <si>
    <t>XD3-RMB-006</t>
  </si>
  <si>
    <t>RMC 87-VC KLH</t>
  </si>
  <si>
    <t>A23-RMB-006</t>
  </si>
  <si>
    <t>XD3-MXM-001</t>
  </si>
  <si>
    <t>A23-MXM-016</t>
  </si>
  <si>
    <t>XD3-MXM-002</t>
  </si>
  <si>
    <t>A23-MXM-017</t>
  </si>
  <si>
    <t>XD3-MXM-003</t>
  </si>
  <si>
    <t>A23-MXM-018</t>
  </si>
  <si>
    <t>XD3-MXM-004</t>
  </si>
  <si>
    <t>A23-MXM-019</t>
  </si>
  <si>
    <t>XD3-MXM-005</t>
  </si>
  <si>
    <t>A23-MXM-020</t>
  </si>
  <si>
    <t>XD3-MXM-006</t>
  </si>
  <si>
    <t>A23-MXM-021</t>
  </si>
  <si>
    <t>XD3-RMĐ-001</t>
  </si>
  <si>
    <t>XD3-RML-001</t>
  </si>
  <si>
    <t>XB1-RML-002</t>
  </si>
  <si>
    <t>Rơ mooc lưới</t>
  </si>
  <si>
    <t>19/08/2025</t>
  </si>
  <si>
    <t>XNB Bàn giao DP3 ngày 19/08/2025</t>
  </si>
  <si>
    <t>RM lưới</t>
  </si>
  <si>
    <t>XD3-RMR-001</t>
  </si>
  <si>
    <t>CK-RMRP-01(CNN-RMR-001)</t>
  </si>
  <si>
    <t>A23-RMR-001</t>
  </si>
  <si>
    <t>Rơ mooc thùng ben rải phân hữu cơ</t>
  </si>
  <si>
    <t>29/11/2023</t>
  </si>
  <si>
    <t>CGLĐ DP đ.chuyen qua ngày 19/08/2025</t>
  </si>
  <si>
    <t>4.5x2x1.5</t>
  </si>
  <si>
    <t>Kèm trục ben(xy lanh phi 160mm)</t>
  </si>
  <si>
    <t>XD3-MBC-001</t>
  </si>
  <si>
    <t>CK-MB-23</t>
  </si>
  <si>
    <t>A23-MBC-001</t>
  </si>
  <si>
    <t>đcơ điện 380v</t>
  </si>
  <si>
    <t>XD3-MBC-002</t>
  </si>
  <si>
    <t>XB1-MBC -017</t>
  </si>
  <si>
    <t>A23-MBC-002</t>
  </si>
  <si>
    <t>26/08/2025</t>
  </si>
  <si>
    <t>Gia công lại</t>
  </si>
  <si>
    <t>CK-MB</t>
  </si>
  <si>
    <t>XD3-MKC-002</t>
  </si>
  <si>
    <t>A23-MKC-006</t>
  </si>
  <si>
    <t>Mất</t>
  </si>
  <si>
    <t>XD3-MKC-003</t>
  </si>
  <si>
    <t>A23-MKC-013</t>
  </si>
  <si>
    <t>XD3-MKC-004</t>
  </si>
  <si>
    <t>A23-MKC-012</t>
  </si>
  <si>
    <t>XD3-MKC-005</t>
  </si>
  <si>
    <t>A23-MKC-016</t>
  </si>
  <si>
    <t>XKC-12</t>
  </si>
  <si>
    <t>XD3-MKC-006</t>
  </si>
  <si>
    <t>A23-MKC-017</t>
  </si>
  <si>
    <t>XKC-13</t>
  </si>
  <si>
    <t>XD3-MKC-007</t>
  </si>
  <si>
    <t>A23-MKC-020</t>
  </si>
  <si>
    <t>XD3-MKC-008</t>
  </si>
  <si>
    <t>A23-MKC-021</t>
  </si>
  <si>
    <t>17/09/2025</t>
  </si>
  <si>
    <t>XKC-23</t>
  </si>
  <si>
    <t>XD3-MKC-009</t>
  </si>
  <si>
    <t>A23-MKC-027</t>
  </si>
  <si>
    <t>Máy kéo chuối (Điện)</t>
  </si>
  <si>
    <t>1500W</t>
  </si>
  <si>
    <t>60A-4CÁI</t>
  </si>
  <si>
    <t>XD3-MKC-010</t>
  </si>
  <si>
    <t>A23-MKC-023</t>
  </si>
  <si>
    <t>XKC-26</t>
  </si>
  <si>
    <t>XD3-MKC-011</t>
  </si>
  <si>
    <t>A23-MKC-029</t>
  </si>
  <si>
    <t>XKC-31</t>
  </si>
  <si>
    <t>ATM-A22-0135</t>
  </si>
  <si>
    <t>XD3-MKC-012</t>
  </si>
  <si>
    <t>A23-MKC-031</t>
  </si>
  <si>
    <t>XKC-034</t>
  </si>
  <si>
    <t>XD3-MKC-013</t>
  </si>
  <si>
    <t>A23-MKC-033</t>
  </si>
  <si>
    <t>XKC-38</t>
  </si>
  <si>
    <t>XD3-MKC-014</t>
  </si>
  <si>
    <t>A23-MKC-035</t>
  </si>
  <si>
    <t>XKC-40</t>
  </si>
  <si>
    <t>XD3-MKC-015</t>
  </si>
  <si>
    <t>A23-MKC-041</t>
  </si>
  <si>
    <t>XKC-47</t>
  </si>
  <si>
    <t>9.5HP</t>
  </si>
  <si>
    <t>XD3-MKC-016</t>
  </si>
  <si>
    <t>A23-MKC-044</t>
  </si>
  <si>
    <t>XD3-MKC-017</t>
  </si>
  <si>
    <t>A23-MKC-045</t>
  </si>
  <si>
    <t>XD3-GĐH-001</t>
  </si>
  <si>
    <t>A23-GĐH-079</t>
  </si>
  <si>
    <t>Gàu định hình đào mương thoát nước</t>
  </si>
  <si>
    <t>15/05/2025</t>
  </si>
  <si>
    <t>XD3-GĐH-002</t>
  </si>
  <si>
    <t>A23-GĐH-080</t>
  </si>
  <si>
    <t>XD3-GĐH-003</t>
  </si>
  <si>
    <t>A23-GĐH-081</t>
  </si>
  <si>
    <t>XD3-GĐH-004</t>
  </si>
  <si>
    <t>A23-GĐH-082</t>
  </si>
  <si>
    <t>CNN-TBC-001</t>
  </si>
  <si>
    <t>CC01NNKLH</t>
  </si>
  <si>
    <t>A23-TBC-001</t>
  </si>
  <si>
    <t>Thiết bị cắt cỏ</t>
  </si>
  <si>
    <t>26/06/2025</t>
  </si>
  <si>
    <t>CGLĐ DP bàn giao ngày 26/06/2025</t>
  </si>
  <si>
    <t>AIO</t>
  </si>
  <si>
    <t>AIO-CC01</t>
  </si>
  <si>
    <t>Không xoá</t>
  </si>
  <si>
    <t>Xí nghiệp chuối LP1</t>
  </si>
  <si>
    <t>XL1-MNK-001</t>
  </si>
  <si>
    <t>A24-MNK-001</t>
  </si>
  <si>
    <t>Máy nén khí 10HP</t>
  </si>
  <si>
    <t>Điều chuyển từ nhà máy xốp AD</t>
  </si>
  <si>
    <t>SVP205</t>
  </si>
  <si>
    <t>Dung tích: 155</t>
  </si>
  <si>
    <t>XL1-TBL-001</t>
  </si>
  <si>
    <t>A24-TBL-001</t>
  </si>
  <si>
    <t>Thiết bị lu</t>
  </si>
  <si>
    <t>GC mới</t>
  </si>
  <si>
    <t>CK-MPC-03</t>
  </si>
  <si>
    <t>3x2.4x1.4m</t>
  </si>
  <si>
    <t>XL1-MCO-001</t>
  </si>
  <si>
    <t>A24-MCO-001</t>
  </si>
  <si>
    <t>Máy cuộn cỏ (gắn sau máy kéo)</t>
  </si>
  <si>
    <t>TAMICO-S</t>
  </si>
  <si>
    <t>YTAMI</t>
  </si>
  <si>
    <t>52 cuộn/8h</t>
  </si>
  <si>
    <t>XL1-RMC-002</t>
  </si>
  <si>
    <t>LP4-RMC-004</t>
  </si>
  <si>
    <t>A24-RMC-003</t>
  </si>
  <si>
    <t>Đ.chuyển từ XN LP4 ngày 16/07/2024</t>
  </si>
  <si>
    <t>XL1-RMC-003</t>
  </si>
  <si>
    <t>LP4-RMC-001</t>
  </si>
  <si>
    <t>A24-RMC-001</t>
  </si>
  <si>
    <t>26/09/2024</t>
  </si>
  <si>
    <t>Đ.chuyển từ XN LP4 ngày 26/09/2024</t>
  </si>
  <si>
    <t>XL1-RMC-006</t>
  </si>
  <si>
    <t>XAD-RMC-019(XA2-RMC-006)</t>
  </si>
  <si>
    <t>A22-RMC-006</t>
  </si>
  <si>
    <t>17/02/2025</t>
  </si>
  <si>
    <t>Đ.chuyển từ XN AD ngày 17/02/2025</t>
  </si>
  <si>
    <t>40 BUỒNG</t>
  </si>
  <si>
    <t>XL1-RMR-001</t>
  </si>
  <si>
    <t>A24-RMR-001</t>
  </si>
  <si>
    <t>Rơ mooc ben rải phân</t>
  </si>
  <si>
    <t>X.CK gia công</t>
  </si>
  <si>
    <t>Dài4m Rộng 2.4mx Cao 1.5m</t>
  </si>
  <si>
    <t>XL1-RML-001</t>
  </si>
  <si>
    <t>XA2-RML-001</t>
  </si>
  <si>
    <t>ADM</t>
  </si>
  <si>
    <t>CK GIAO QUA (CK-TML-07)</t>
  </si>
  <si>
    <t>5.5*2.5*2.4</t>
  </si>
  <si>
    <t>XL1-RMX-001</t>
  </si>
  <si>
    <t>XA2-RMX-001</t>
  </si>
  <si>
    <t>A22-RMX-001</t>
  </si>
  <si>
    <t>Rơ mooc chở xốp</t>
  </si>
  <si>
    <t>22/02/2025</t>
  </si>
  <si>
    <t>Đ.chuyển từ XN AD ngày 22/02/2025</t>
  </si>
  <si>
    <t>XL1-RMĐ-001</t>
  </si>
  <si>
    <t>LP4-RMC-003</t>
  </si>
  <si>
    <t>A24-RMĐ-001</t>
  </si>
  <si>
    <t>28/06/2025</t>
  </si>
  <si>
    <t>Đ.chuyển từ XN LP4 ngày 28/06/2024</t>
  </si>
  <si>
    <t>IV</t>
  </si>
  <si>
    <t>PHƯƠNG TIỆN VẬN CHUYỂN</t>
  </si>
  <si>
    <t>XL1-BLT-001</t>
  </si>
  <si>
    <t>A24-BLT-003</t>
  </si>
  <si>
    <t>18/08/2024</t>
  </si>
  <si>
    <t>CLE-D85-R35</t>
  </si>
  <si>
    <t>D850xR350/Cái</t>
  </si>
  <si>
    <t>XL1-MXM-001</t>
  </si>
  <si>
    <t>A24-MXM-009</t>
  </si>
  <si>
    <t>XL1-MXM-002</t>
  </si>
  <si>
    <t>XA2-MXM-001</t>
  </si>
  <si>
    <t>A22-MXM-001</t>
  </si>
  <si>
    <t>20/02/2025</t>
  </si>
  <si>
    <t>Đ.chuyển từ XN AD2 ngày 20/02/2025</t>
  </si>
  <si>
    <t>XL1-MXM-003</t>
  </si>
  <si>
    <t>XA2-MXM-002</t>
  </si>
  <si>
    <t>A22-MXM-002</t>
  </si>
  <si>
    <t>XL1-MXM-004</t>
  </si>
  <si>
    <t>XA2-MXM-003</t>
  </si>
  <si>
    <t>A22-MXM-003</t>
  </si>
  <si>
    <t>XL1-DPC-001</t>
  </si>
  <si>
    <t>Thiết bị phay cỏ 1.5m</t>
  </si>
  <si>
    <t>1.7x1.5x1m</t>
  </si>
  <si>
    <t>3.2 ha/8h</t>
  </si>
  <si>
    <t>XL1-MKC-001</t>
  </si>
  <si>
    <t>A24-MKC-004</t>
  </si>
  <si>
    <t>XE BEN</t>
  </si>
  <si>
    <t>24/01/2025</t>
  </si>
  <si>
    <t>14C04017</t>
  </si>
  <si>
    <t>XL1-MKC-002</t>
  </si>
  <si>
    <t>A24-MKC-007</t>
  </si>
  <si>
    <t>09G72821</t>
  </si>
  <si>
    <t>XL1-MKC-003</t>
  </si>
  <si>
    <t>A24-MKC-010</t>
  </si>
  <si>
    <t>XL1-MKC-004</t>
  </si>
  <si>
    <t>A24-MKC-012</t>
  </si>
  <si>
    <t>XKC-016</t>
  </si>
  <si>
    <t>XL1-MKC-005</t>
  </si>
  <si>
    <t>A24-MKC-013</t>
  </si>
  <si>
    <t>XL1-MKC-006</t>
  </si>
  <si>
    <t>A24-MKC-014</t>
  </si>
  <si>
    <t>XKC-20</t>
  </si>
  <si>
    <t>XL1-MKC-007</t>
  </si>
  <si>
    <t>A24-MKC-016</t>
  </si>
  <si>
    <t>XKC-21</t>
  </si>
  <si>
    <t>XL1-MKC-008</t>
  </si>
  <si>
    <t>Đchuyen từ DP1 ngày 03/10/2025</t>
  </si>
  <si>
    <t>XL1-MKC-009</t>
  </si>
  <si>
    <t>A24-MKC-019</t>
  </si>
  <si>
    <t>X.Tải 9-15 tấn</t>
  </si>
  <si>
    <t>16/10/2025</t>
  </si>
  <si>
    <t>XKC-32</t>
  </si>
  <si>
    <t>XL1-MKC-010</t>
  </si>
  <si>
    <t>A24-MKC-020</t>
  </si>
  <si>
    <t>21/10/2025</t>
  </si>
  <si>
    <t>XKC-35</t>
  </si>
  <si>
    <t>XL1-MKC-011</t>
  </si>
  <si>
    <t>A24-MKC-021</t>
  </si>
  <si>
    <t>XKC-36</t>
  </si>
  <si>
    <t>XL1-MKC-012</t>
  </si>
  <si>
    <t>A24-MKC-026</t>
  </si>
  <si>
    <t>XKC-52</t>
  </si>
  <si>
    <t>XL1-MKC-013</t>
  </si>
  <si>
    <t>A24-MKC-027</t>
  </si>
  <si>
    <t>XKC-53</t>
  </si>
  <si>
    <t>XL1-SPT-001</t>
  </si>
  <si>
    <t>LP4-SPT-001</t>
  </si>
  <si>
    <t>A24-SPT-001</t>
  </si>
  <si>
    <t>157HP</t>
  </si>
  <si>
    <t>22/11/2024</t>
  </si>
  <si>
    <t>Đ.chuyển từ XN LP4 ngày 22/11/2024</t>
  </si>
  <si>
    <t>XL1-GĐH-001</t>
  </si>
  <si>
    <t>A24-GĐH-065</t>
  </si>
  <si>
    <t>XL1-GĐH-002</t>
  </si>
  <si>
    <t>A24-GĐH-066</t>
  </si>
  <si>
    <t>ATT-A24-0080</t>
  </si>
  <si>
    <t>XL1-GĐH-003</t>
  </si>
  <si>
    <t>A24-GDH-077</t>
  </si>
  <si>
    <t>XL1-GĐH-004</t>
  </si>
  <si>
    <t>A24-GDH-078</t>
  </si>
  <si>
    <t>XL1-GĐH-005</t>
  </si>
  <si>
    <t>A24-GĐH-079</t>
  </si>
  <si>
    <t>XL1-GĐH-006</t>
  </si>
  <si>
    <t>A24-GĐH-080</t>
  </si>
  <si>
    <t>XL1-GĐH-007</t>
  </si>
  <si>
    <t>A24-GĐH-081</t>
  </si>
  <si>
    <t>XL1-GĐH-008</t>
  </si>
  <si>
    <t>A24-GĐH-082</t>
  </si>
  <si>
    <t>XL1-MPT-001</t>
  </si>
  <si>
    <t>H0058741</t>
  </si>
  <si>
    <t>XL1-MPT-002</t>
  </si>
  <si>
    <t>ATT-A22-0171</t>
  </si>
  <si>
    <t>H0058808</t>
  </si>
  <si>
    <t>XL1-MPT-003</t>
  </si>
  <si>
    <t>H0058778</t>
  </si>
  <si>
    <t>XL1-MPT-004</t>
  </si>
  <si>
    <t>H0058732</t>
  </si>
  <si>
    <t>XL1-MBC-001</t>
  </si>
  <si>
    <t>A24-MBC-006</t>
  </si>
  <si>
    <t>XL1-MĐR-001</t>
  </si>
  <si>
    <t>A24-MĐR-001</t>
  </si>
  <si>
    <t>Máy đào rảnh xích cầm tay</t>
  </si>
  <si>
    <t>TÂY NGUYÊN</t>
  </si>
  <si>
    <t xml:space="preserve"> CG195F</t>
  </si>
  <si>
    <t>KHÔNG XOÁ</t>
  </si>
  <si>
    <t>Máy bánh xích phục vụ nông nghiệp</t>
  </si>
  <si>
    <t>Xí nghiệp chuối LP3</t>
  </si>
  <si>
    <t>XL3-DPC-002</t>
  </si>
  <si>
    <t>CK-DPC-01</t>
  </si>
  <si>
    <t>A24-DPC-002</t>
  </si>
  <si>
    <t>Kèm trục cardang 1m</t>
  </si>
  <si>
    <t>1.5*1.5*0.9m</t>
  </si>
  <si>
    <t>XL3-GĐH-001</t>
  </si>
  <si>
    <t>Gàu định hình đào mương thoát nước</t>
  </si>
  <si>
    <t>25/09/2024</t>
  </si>
  <si>
    <t>XL3-GĐH-002</t>
  </si>
  <si>
    <t>500x200x700</t>
  </si>
  <si>
    <t>XL3-GĐH-003</t>
  </si>
  <si>
    <t>XL3-GĐH-004</t>
  </si>
  <si>
    <t>A24-GĐH-070</t>
  </si>
  <si>
    <t>350*200*407</t>
  </si>
  <si>
    <t>XL3-GĐH-005</t>
  </si>
  <si>
    <t>A24-GĐH-071</t>
  </si>
  <si>
    <t>XL3-GĐH-006</t>
  </si>
  <si>
    <t>A24-GĐH-072</t>
  </si>
  <si>
    <t>XL3-RMC-001</t>
  </si>
  <si>
    <t>LP3-RMC-001</t>
  </si>
  <si>
    <t>XL3-RMC-002</t>
  </si>
  <si>
    <t>LP3-RMC-002</t>
  </si>
  <si>
    <t>A24-RMC-002</t>
  </si>
  <si>
    <t>ATT-A24-0061</t>
  </si>
  <si>
    <t>XL3-RMC-003</t>
  </si>
  <si>
    <t>LP3-RMC-003</t>
  </si>
  <si>
    <t>X.Tải 6-8 tấn</t>
  </si>
  <si>
    <t>XL3-RMC-004</t>
  </si>
  <si>
    <t>LP3-RMC-004</t>
  </si>
  <si>
    <t>A24-RMC-004</t>
  </si>
  <si>
    <t>XL3-RMC-005</t>
  </si>
  <si>
    <t>LP1-RMC-001</t>
  </si>
  <si>
    <t>A24-RMC-005</t>
  </si>
  <si>
    <t>XL3-RMC-006</t>
  </si>
  <si>
    <t>RMC 77-VC KLH(XD3-RMC-003)</t>
  </si>
  <si>
    <t>A24-RMC-006</t>
  </si>
  <si>
    <t>Rơ mooc thu hoạch</t>
  </si>
  <si>
    <t>44 buồng</t>
  </si>
  <si>
    <t>XL3-RMĐ-001</t>
  </si>
  <si>
    <t>LP3-RMC-005</t>
  </si>
  <si>
    <t>Rơ mooc vận chuyển M.Đào 03</t>
  </si>
  <si>
    <t>XL3-MCL-001</t>
  </si>
  <si>
    <t>A24-MCL-001</t>
  </si>
  <si>
    <t>CK-MCL</t>
  </si>
  <si>
    <t>5,4x1,8x0,9</t>
  </si>
  <si>
    <t>XL3-MCL-002</t>
  </si>
  <si>
    <t>A24-MCL-002</t>
  </si>
  <si>
    <t>XL3-MCL-003</t>
  </si>
  <si>
    <t>A24-MCL-003</t>
  </si>
  <si>
    <t>ATT-A24-0062</t>
  </si>
  <si>
    <t>XL3-MCL-004</t>
  </si>
  <si>
    <t>A24-MCL-004</t>
  </si>
  <si>
    <t>XL3-SPT-001</t>
  </si>
  <si>
    <t>LP1-SPT-001(SPT05)</t>
  </si>
  <si>
    <t>HS128-NS305</t>
  </si>
  <si>
    <t>XL3-SPT-002</t>
  </si>
  <si>
    <t>XAD-SPT-004(SPT10)</t>
  </si>
  <si>
    <t>A22-SPT-002</t>
  </si>
  <si>
    <t>Đ.chuyển từ AD2 20/11/2024</t>
  </si>
  <si>
    <t>HS128-DP343</t>
  </si>
  <si>
    <t>XL3-RMG-001</t>
  </si>
  <si>
    <t>A24-RMG-001</t>
  </si>
  <si>
    <t>Chở giống</t>
  </si>
  <si>
    <t>6.8*2.*2.2m</t>
  </si>
  <si>
    <t>XL3-RMB-001</t>
  </si>
  <si>
    <t>RMC 84-VC KLH(XD3-RMB-004)</t>
  </si>
  <si>
    <t>A23-RMB-004</t>
  </si>
  <si>
    <t>đ.Chuyen từ Xn LP3 sang 04/03/2025</t>
  </si>
  <si>
    <t>XL3-RMR-001</t>
  </si>
  <si>
    <t>CK-RMRP-002</t>
  </si>
  <si>
    <t>Rải phân bò</t>
  </si>
  <si>
    <t>4.5**1.5m</t>
  </si>
  <si>
    <t>XL3-MXM-001</t>
  </si>
  <si>
    <t xml:space="preserve">CK-MXM-33 </t>
  </si>
  <si>
    <t>A24-MXM-001</t>
  </si>
  <si>
    <t>26/04/2024</t>
  </si>
  <si>
    <t>DxRxC: 3m*1.6m*1.2m</t>
  </si>
  <si>
    <t>XL3-MXM-002</t>
  </si>
  <si>
    <t>CK-MXM-34</t>
  </si>
  <si>
    <t>A24-MXM-002</t>
  </si>
  <si>
    <t>XL3-MXM-003</t>
  </si>
  <si>
    <t>CK-MXM-35</t>
  </si>
  <si>
    <t>A24-MXM-003</t>
  </si>
  <si>
    <t>XL3-MXM-004</t>
  </si>
  <si>
    <t>CK-MXM-36</t>
  </si>
  <si>
    <t>A24-MXM-004</t>
  </si>
  <si>
    <t>XL3-MXM-005</t>
  </si>
  <si>
    <t>CK-MXM-37</t>
  </si>
  <si>
    <t>A24-MXM-005</t>
  </si>
  <si>
    <t>XL3-MXM-006</t>
  </si>
  <si>
    <t>CK-MXM-38</t>
  </si>
  <si>
    <t>A24-MXM-006</t>
  </si>
  <si>
    <t>XL3-MXM-007</t>
  </si>
  <si>
    <t>CK-MXM-39</t>
  </si>
  <si>
    <t>A24-MXM-007</t>
  </si>
  <si>
    <t>XL3-MXM-008</t>
  </si>
  <si>
    <t>CK-MXM-40</t>
  </si>
  <si>
    <t>A24-MXM-008</t>
  </si>
  <si>
    <t>XL3-GMĐ-001</t>
  </si>
  <si>
    <t>A24-GMĐ-001</t>
  </si>
  <si>
    <t>Gàu máy đào 05 gia công quy cách 1M</t>
  </si>
  <si>
    <t>DxRxC: 1.5m*0.7m*1.3m</t>
  </si>
  <si>
    <t>XL3-MKC-001</t>
  </si>
  <si>
    <t>CK-XKC-02</t>
  </si>
  <si>
    <t>A24-MKC-001</t>
  </si>
  <si>
    <t>125CC-9.25HP</t>
  </si>
  <si>
    <t>XL3-MKC-002</t>
  </si>
  <si>
    <t>CK-XKC-03</t>
  </si>
  <si>
    <t>A24-MKC-002</t>
  </si>
  <si>
    <t>27/08/2024</t>
  </si>
  <si>
    <t>11F06426</t>
  </si>
  <si>
    <t>XL3-MKC-003</t>
  </si>
  <si>
    <t>A24-MKC-003</t>
  </si>
  <si>
    <t>13F05237</t>
  </si>
  <si>
    <t>XL3-MKC-004</t>
  </si>
  <si>
    <t>CK-MKC-08</t>
  </si>
  <si>
    <t>21/11/2024</t>
  </si>
  <si>
    <t>2D01842</t>
  </si>
  <si>
    <t>XL3-MKC-005</t>
  </si>
  <si>
    <t>XD3-MKC-001</t>
  </si>
  <si>
    <t>A24-MKC-005</t>
  </si>
  <si>
    <t>-DP3 dchuyen sang LP3 ngày 21/11/2024</t>
  </si>
  <si>
    <t>Gia công mới</t>
  </si>
  <si>
    <t>125cc</t>
  </si>
  <si>
    <t>lốc cũ: 12A07675
lốc mới 14.03.2025: 09G72821</t>
  </si>
  <si>
    <t>XL3-MKC-006</t>
  </si>
  <si>
    <t>A24-MKC-006</t>
  </si>
  <si>
    <t>12K06124</t>
  </si>
  <si>
    <t>XL3-MKC-007</t>
  </si>
  <si>
    <t>A24-MKC-009</t>
  </si>
  <si>
    <t>15/06/2025</t>
  </si>
  <si>
    <t>XL3-MKC-008</t>
  </si>
  <si>
    <t>A24-MKC-008</t>
  </si>
  <si>
    <t>XL3-MKC-009</t>
  </si>
  <si>
    <t>A24-MKC-011</t>
  </si>
  <si>
    <t>XKC-14</t>
  </si>
  <si>
    <t>XL3-MKC-010</t>
  </si>
  <si>
    <t>A24-MKC-015</t>
  </si>
  <si>
    <t>15/09/2025</t>
  </si>
  <si>
    <t>XKC-22</t>
  </si>
  <si>
    <t>XL3-MKC-011</t>
  </si>
  <si>
    <t>A24-MKC-017</t>
  </si>
  <si>
    <t>XKC-29</t>
  </si>
  <si>
    <t>XL3-MKC-012</t>
  </si>
  <si>
    <t>A24-MKC-018</t>
  </si>
  <si>
    <t>29/10/2025</t>
  </si>
  <si>
    <t>ĐC ĐIỆN</t>
  </si>
  <si>
    <t>XL3-MKC-013</t>
  </si>
  <si>
    <t>A24-MKC-022</t>
  </si>
  <si>
    <t>XKC-41</t>
  </si>
  <si>
    <t>XL3-MKC-014</t>
  </si>
  <si>
    <t>A24-MKC-023</t>
  </si>
  <si>
    <t>XKC-49</t>
  </si>
  <si>
    <t>XL3-MKC-015</t>
  </si>
  <si>
    <t>A24-MKC-025</t>
  </si>
  <si>
    <t>20/01/2026</t>
  </si>
  <si>
    <t>XKC-50</t>
  </si>
  <si>
    <t>XL3-MKC-016</t>
  </si>
  <si>
    <t>A24-MKC-028</t>
  </si>
  <si>
    <t>26/03/2026</t>
  </si>
  <si>
    <t>XL3-MKC-017</t>
  </si>
  <si>
    <t>Máy kéo chuối (Điện)</t>
  </si>
  <si>
    <t>15/08/2026</t>
  </si>
  <si>
    <t>XL3-MBC-002</t>
  </si>
  <si>
    <t>XD3-MBC-001 (CK-MB15)</t>
  </si>
  <si>
    <t>Máy băm công nghiệp cố định 30Kw</t>
  </si>
  <si>
    <t>Kèm XD3-RMK-001</t>
  </si>
  <si>
    <t>Đã qua SD</t>
  </si>
  <si>
    <t>30KW</t>
  </si>
  <si>
    <t>3 dao băm, motor 30kw</t>
  </si>
  <si>
    <t>XL3-MBC-003</t>
  </si>
  <si>
    <t>XD3-MBC-002 (CK-MB16)</t>
  </si>
  <si>
    <t>XL3-MBC-004</t>
  </si>
  <si>
    <t>XD2-MBC-002</t>
  </si>
  <si>
    <t>15KW</t>
  </si>
  <si>
    <t>3 dao băm, motor 15kw</t>
  </si>
  <si>
    <t>XL3-MBC-005</t>
  </si>
  <si>
    <t>XB1-MBC -019</t>
  </si>
  <si>
    <t>A24-MBC-005</t>
  </si>
  <si>
    <t>14/08/2025</t>
  </si>
  <si>
    <t>`</t>
  </si>
  <si>
    <t xml:space="preserve">CK-MB-19 </t>
  </si>
  <si>
    <t>XL3-MBC-006</t>
  </si>
  <si>
    <t>A24-MBC-007</t>
  </si>
  <si>
    <t>27/11/2025</t>
  </si>
  <si>
    <t>XL3-MXL-001</t>
  </si>
  <si>
    <t>CK-MXL-02</t>
  </si>
  <si>
    <t>Thiết bị xắt lát</t>
  </si>
  <si>
    <t>13/08/2024</t>
  </si>
  <si>
    <t>0.9x1x1m</t>
  </si>
  <si>
    <t>XL3-GXP-001</t>
  </si>
  <si>
    <t>A24-GXP-001</t>
  </si>
  <si>
    <t>Gàu xúc phân</t>
  </si>
  <si>
    <t>XL3-MPT-001</t>
  </si>
  <si>
    <t>2412094A0021</t>
  </si>
  <si>
    <t>XL3-MPT-002</t>
  </si>
  <si>
    <t>2412094A0014</t>
  </si>
  <si>
    <t>XL3-XLT-001</t>
  </si>
  <si>
    <t>XLP-XLT-001</t>
  </si>
  <si>
    <t>Xe lu tay</t>
  </si>
  <si>
    <t>HS67ST</t>
  </si>
  <si>
    <t>710KG</t>
  </si>
  <si>
    <t>5HS2-010439</t>
  </si>
  <si>
    <t>Xí nghiệp chuối LP4</t>
  </si>
  <si>
    <t>XL4-RMC-002</t>
  </si>
  <si>
    <t>LP4-RMC-002</t>
  </si>
  <si>
    <t>XN Chuối LP4</t>
  </si>
  <si>
    <t>XL4-RMB-001</t>
  </si>
  <si>
    <t>LP4-RMB-003</t>
  </si>
  <si>
    <t>A24-RMB-001</t>
  </si>
  <si>
    <t>Rơ mooc thùng Ben</t>
  </si>
  <si>
    <t>XL4-RMB-002</t>
  </si>
  <si>
    <t>A24-RMB-002</t>
  </si>
  <si>
    <t>XL4-MXM-002</t>
  </si>
  <si>
    <t>A24-MXM-010</t>
  </si>
  <si>
    <t>XL4-MXM-003</t>
  </si>
  <si>
    <t>A24-MXM-011</t>
  </si>
  <si>
    <t>XL4-MXM-004</t>
  </si>
  <si>
    <t>A24-MXM-012</t>
  </si>
  <si>
    <t>Cây ăn trái</t>
  </si>
  <si>
    <t>III.8.1</t>
  </si>
  <si>
    <t>XOÀI AD</t>
  </si>
  <si>
    <t>XXA-MNO-001</t>
  </si>
  <si>
    <t>RT140DI-19080180</t>
  </si>
  <si>
    <t>A22-MNO-001</t>
  </si>
  <si>
    <t>Máy nổ 140</t>
  </si>
  <si>
    <t>Xoài AD</t>
  </si>
  <si>
    <t>XXA-MNO-002</t>
  </si>
  <si>
    <t>RT140-KH13091019</t>
  </si>
  <si>
    <t>A22-MNO-002</t>
  </si>
  <si>
    <t>XXA-MNO-003</t>
  </si>
  <si>
    <t>A22-MNO-003</t>
  </si>
  <si>
    <t>Máy nổ D8</t>
  </si>
  <si>
    <t>D8</t>
  </si>
  <si>
    <t>XXA-MNO-004</t>
  </si>
  <si>
    <t>A22-MNO-004</t>
  </si>
  <si>
    <t>XXA-MNO-005</t>
  </si>
  <si>
    <t>A22-MNO-005</t>
  </si>
  <si>
    <t>XXA-MNO-006</t>
  </si>
  <si>
    <t>A22-MNO-006</t>
  </si>
  <si>
    <t>XXA-MNO-007</t>
  </si>
  <si>
    <t>CAT-MNO-005</t>
  </si>
  <si>
    <t>A22-MNO-007</t>
  </si>
  <si>
    <t>XXA-MNO-008</t>
  </si>
  <si>
    <t>CAT-MNO-006</t>
  </si>
  <si>
    <t>A22-MNO-008</t>
  </si>
  <si>
    <t>XL3-MNO-001</t>
  </si>
  <si>
    <t>XXA-MNO-009</t>
  </si>
  <si>
    <t>A22-MNO-009</t>
  </si>
  <si>
    <t>XXA-MNO-010</t>
  </si>
  <si>
    <t>A22-MNO-010</t>
  </si>
  <si>
    <t>XXA-CCO-001</t>
  </si>
  <si>
    <t>CC02</t>
  </si>
  <si>
    <t>Xe phun thuốc</t>
  </si>
  <si>
    <t>A22-CCO-001</t>
  </si>
  <si>
    <t>Thiết bị phay cỏ</t>
  </si>
  <si>
    <t>SM140</t>
  </si>
  <si>
    <t>XXA-CCO-002</t>
  </si>
  <si>
    <t>CC03</t>
  </si>
  <si>
    <t>A22-CCO-002</t>
  </si>
  <si>
    <t>XXA-RML-001</t>
  </si>
  <si>
    <t>CK-RML-013</t>
  </si>
  <si>
    <t>A22-RML-001</t>
  </si>
  <si>
    <t>XXA-RML-002</t>
  </si>
  <si>
    <t>CK-RML-014</t>
  </si>
  <si>
    <t>A22-RML-002</t>
  </si>
  <si>
    <t>XXA-RML-003</t>
  </si>
  <si>
    <t>CK-RMX-01</t>
  </si>
  <si>
    <t>A22-RML-003</t>
  </si>
  <si>
    <t>13/01/2025</t>
  </si>
  <si>
    <t>4.5x2.6x2m</t>
  </si>
  <si>
    <t>XXA-RML-004</t>
  </si>
  <si>
    <t>CK-RMX-02</t>
  </si>
  <si>
    <t>A22-RML-004</t>
  </si>
  <si>
    <t>XXA-RML-005</t>
  </si>
  <si>
    <t>A22-RML-005</t>
  </si>
  <si>
    <t>XXA-RML-006</t>
  </si>
  <si>
    <t>A22-RML-006</t>
  </si>
  <si>
    <t>XXA-RML-007</t>
  </si>
  <si>
    <t>A22-RML-007</t>
  </si>
  <si>
    <t>XXA-RML-008</t>
  </si>
  <si>
    <t>A22-RML-008</t>
  </si>
  <si>
    <t>XXA-RMC-001</t>
  </si>
  <si>
    <t>RMC01</t>
  </si>
  <si>
    <t>A22-RMC-001</t>
  </si>
  <si>
    <t>Rơ mooc thu hoạch xoài</t>
  </si>
  <si>
    <t>XXA-RNB-001</t>
  </si>
  <si>
    <t>RMC02</t>
  </si>
  <si>
    <t>A22-RNB-001</t>
  </si>
  <si>
    <t>Rơ mooc chở bồn phun thuốc</t>
  </si>
  <si>
    <t>XXA-RNB-002</t>
  </si>
  <si>
    <t>RMC03</t>
  </si>
  <si>
    <t>A22-RNB-002</t>
  </si>
  <si>
    <t>XXA-RNB-003</t>
  </si>
  <si>
    <t>A22-RNB-003</t>
  </si>
  <si>
    <t>3x2.1x2.1m</t>
  </si>
  <si>
    <t>Kèm bồn 2000L</t>
  </si>
  <si>
    <t>XXA-RNB-004</t>
  </si>
  <si>
    <t>A22-RNB-004</t>
  </si>
  <si>
    <t>3.2X2.2X2.3m</t>
  </si>
  <si>
    <t>XXA-MCA-001</t>
  </si>
  <si>
    <t>CC-2805</t>
  </si>
  <si>
    <t>A22-MCA-001</t>
  </si>
  <si>
    <t>3.5HP</t>
  </si>
  <si>
    <t>XXA-MCA-002</t>
  </si>
  <si>
    <t>A22-MCA-002</t>
  </si>
  <si>
    <t>XXA-MCA-003</t>
  </si>
  <si>
    <t>AD2-BAL-001</t>
  </si>
  <si>
    <t>A22-MCA-003</t>
  </si>
  <si>
    <t>Mới cấp</t>
  </si>
  <si>
    <t>XXA-MCA-004</t>
  </si>
  <si>
    <t>AD2-BAL-002</t>
  </si>
  <si>
    <t>A22-MCA-004</t>
  </si>
  <si>
    <t>XXA-MCA-005</t>
  </si>
  <si>
    <t>AD2-BAL-003</t>
  </si>
  <si>
    <t>A22-MCA-005</t>
  </si>
  <si>
    <t>XXA-MCO-001</t>
  </si>
  <si>
    <t>A22-CT-0194</t>
  </si>
  <si>
    <t>20-50HP</t>
  </si>
  <si>
    <t>XXA-MCO-002</t>
  </si>
  <si>
    <t>XXA-XOI-001</t>
  </si>
  <si>
    <t>CNN-XOI-005(P2M2 05 NN-KLH)</t>
  </si>
  <si>
    <t>A22-XOI-001</t>
  </si>
  <si>
    <t>25/02/2024</t>
  </si>
  <si>
    <t>CGLD AD chuyển qa</t>
  </si>
  <si>
    <t>XXA-DCR-001</t>
  </si>
  <si>
    <t>A22-DCR-001</t>
  </si>
  <si>
    <t>Thiết bị cày đánh rãnh bón phân</t>
  </si>
  <si>
    <t>17/09/2024</t>
  </si>
  <si>
    <t>CK-MLB-01</t>
  </si>
  <si>
    <t>X.CGH</t>
  </si>
  <si>
    <t>KT: 1x4x1.2 (DxRxC)</t>
  </si>
  <si>
    <t>XXA-MBX-001</t>
  </si>
  <si>
    <t>A22-MBX-001</t>
  </si>
  <si>
    <t>Thiết bị băm cành xoài</t>
  </si>
  <si>
    <t>CK-MBC-01</t>
  </si>
  <si>
    <t xml:space="preserve">3x1.7x2.1 </t>
  </si>
  <si>
    <t>XXA-MLB-001</t>
  </si>
  <si>
    <t>A22-MLB-001</t>
  </si>
  <si>
    <t>Rơ mooc lưới ben</t>
  </si>
  <si>
    <t>5.4x2x2.5</t>
  </si>
  <si>
    <t>XXA-CPP-001</t>
  </si>
  <si>
    <t>A22-CPP-001</t>
  </si>
  <si>
    <t>TB chở phụ phẩm</t>
  </si>
  <si>
    <t>CGH</t>
  </si>
  <si>
    <t>2.3x0.65x1.05 (DxRxC)</t>
  </si>
  <si>
    <t>XXA-C1B-001</t>
  </si>
  <si>
    <t>CNN-C1B-001</t>
  </si>
  <si>
    <t>A23-C1B-001</t>
  </si>
  <si>
    <t>CGLĐ DP đchuyen 16/04/2025</t>
  </si>
  <si>
    <t>BCRLI180</t>
  </si>
  <si>
    <t>XXA-CCH-001</t>
  </si>
  <si>
    <t>22/12/2025</t>
  </si>
  <si>
    <t>CGLĐ DP Đchuyen ngày 22/12/2025</t>
  </si>
  <si>
    <t>XXA-PTX-001</t>
  </si>
  <si>
    <t>A22-PTX-001</t>
  </si>
  <si>
    <t>Thiết bị phun thuốc Xoài</t>
  </si>
  <si>
    <t>18/06/2026</t>
  </si>
  <si>
    <t>NM Cơ khí KLH</t>
  </si>
  <si>
    <t>CK-PTX-01</t>
  </si>
  <si>
    <t>90 Hp</t>
  </si>
  <si>
    <t>kHÔNG XOÁ</t>
  </si>
  <si>
    <t>XOÀI DP</t>
  </si>
  <si>
    <t>XXD-RML-001</t>
  </si>
  <si>
    <t>CK-RML-06</t>
  </si>
  <si>
    <t>Xoài DP</t>
  </si>
  <si>
    <t>5,5x2.5x2.4</t>
  </si>
  <si>
    <t>XXD-RML-002</t>
  </si>
  <si>
    <t>CK-RML-010</t>
  </si>
  <si>
    <t>A23-RML-002</t>
  </si>
  <si>
    <t>XXD-MCA-001</t>
  </si>
  <si>
    <t>XXD-MCA-002</t>
  </si>
  <si>
    <t>XND-MCA-001</t>
  </si>
  <si>
    <t>Nhãn DP Đã Đ.chuyển sang Xoài DP 06.08.2024</t>
  </si>
  <si>
    <t>XND-MCA-002</t>
  </si>
  <si>
    <t>IV.</t>
  </si>
  <si>
    <t>CHĂN NUÔI BÒ</t>
  </si>
  <si>
    <t>XB1-THC-001</t>
  </si>
  <si>
    <t>A22-THC-001</t>
  </si>
  <si>
    <t>Thiết bị thu hoạch cỏ CHALLENGER II</t>
  </si>
  <si>
    <t>CELIKEL</t>
  </si>
  <si>
    <t>CHALLENGER II</t>
  </si>
  <si>
    <t>THỔ NHỈ KỲ</t>
  </si>
  <si>
    <t>55 tấn/8h</t>
  </si>
  <si>
    <t>XB1-THC-002</t>
  </si>
  <si>
    <t>A22-THC-002</t>
  </si>
  <si>
    <t>SBM-220038</t>
  </si>
  <si>
    <t>XB1-THC-003</t>
  </si>
  <si>
    <t>A22-THC-003</t>
  </si>
  <si>
    <t>Thiết bị thu hoạch cỏ CHALLENGER II PLUS</t>
  </si>
  <si>
    <t>CHALLENGER II PLUS</t>
  </si>
  <si>
    <t xml:space="preserve">- Kèm trục các đăng </t>
  </si>
  <si>
    <t>SBM-221203</t>
  </si>
  <si>
    <t>XB1-THC-004</t>
  </si>
  <si>
    <t>A22-THC-004</t>
  </si>
  <si>
    <t>SBM-221211</t>
  </si>
  <si>
    <t>XB1-THC-005</t>
  </si>
  <si>
    <t>A22-THC-005</t>
  </si>
  <si>
    <t>Thiết bị thu hoạch cỏ thân mềm Calabria 1800</t>
  </si>
  <si>
    <t>30/09/2024</t>
  </si>
  <si>
    <t>CALABRIA 1800</t>
  </si>
  <si>
    <t>CKM-240010</t>
  </si>
  <si>
    <t>XB1-THC-006</t>
  </si>
  <si>
    <t>A22-THC-006</t>
  </si>
  <si>
    <t>Thiết bị thu hoạch cỏ CHALLENGER IV</t>
  </si>
  <si>
    <t>30/10/2024</t>
  </si>
  <si>
    <t>CHALLENGER IV</t>
  </si>
  <si>
    <t>4SSM-240003</t>
  </si>
  <si>
    <t>XB1-THC-007</t>
  </si>
  <si>
    <t>A22-THC-007</t>
  </si>
  <si>
    <t>26/02/2025</t>
  </si>
  <si>
    <t>4SSM-240001</t>
  </si>
  <si>
    <t>XB1-THC-008</t>
  </si>
  <si>
    <t>A22-THC-008</t>
  </si>
  <si>
    <t>CKM-240063</t>
  </si>
  <si>
    <t>XB1-THC-009</t>
  </si>
  <si>
    <t>A22-THC-009</t>
  </si>
  <si>
    <t>CKM-240064</t>
  </si>
  <si>
    <t>XB1-THC-010</t>
  </si>
  <si>
    <t>A22-THC-010</t>
  </si>
  <si>
    <t>4SSM-250016</t>
  </si>
  <si>
    <t>XB1-THC-011</t>
  </si>
  <si>
    <t>A22-THC-011</t>
  </si>
  <si>
    <t>Thiết bị thu hoạch cỏ (KLH gia công)</t>
  </si>
  <si>
    <t>XB1-THC-012</t>
  </si>
  <si>
    <t>A22-THC-012</t>
  </si>
  <si>
    <t>24/07/2026</t>
  </si>
  <si>
    <t>90 HP ~</t>
  </si>
  <si>
    <t>CKM-260004</t>
  </si>
  <si>
    <t>XB1-THC-013</t>
  </si>
  <si>
    <t>A22-THC-013</t>
  </si>
  <si>
    <t>Thiết bị thu hoạch cỏ thân mềm Calabria 2100</t>
  </si>
  <si>
    <t>CALABRIA 2100</t>
  </si>
  <si>
    <t>120 HP ~</t>
  </si>
  <si>
    <t>XB1-ĐBC-001</t>
  </si>
  <si>
    <t>A22-ĐBC-001</t>
  </si>
  <si>
    <t>Thiết bị đóng bánh cỏ Balentine</t>
  </si>
  <si>
    <t>BALENTINE 4</t>
  </si>
  <si>
    <t>100~150HP</t>
  </si>
  <si>
    <t>PBM-240131</t>
  </si>
  <si>
    <t>XB1-MBG-001</t>
  </si>
  <si>
    <t>A22-MBG-001</t>
  </si>
  <si>
    <t>Máy băm gỗ DIESEL-VMECH</t>
  </si>
  <si>
    <t>XB1-MBG-002</t>
  </si>
  <si>
    <t>A22-MBG-002</t>
  </si>
  <si>
    <t>Máy băm gỗ cố định 185KW</t>
  </si>
  <si>
    <t>CK-MBG-01</t>
  </si>
  <si>
    <t>3x3x2.4, 8 dao băm, motor 185 KW
-380V</t>
  </si>
  <si>
    <t>XB1-MBG-003</t>
  </si>
  <si>
    <t>A22-MBG-003</t>
  </si>
  <si>
    <t>Máy băm gỗ</t>
  </si>
  <si>
    <t>14/10/2024</t>
  </si>
  <si>
    <t>WEHAI</t>
  </si>
  <si>
    <t>WP10D238E200</t>
  </si>
  <si>
    <t>1624C014353</t>
  </si>
  <si>
    <t>XB1-MBX-001</t>
  </si>
  <si>
    <t>XB1-TTA-001</t>
  </si>
  <si>
    <t>A22-TTA-001</t>
  </si>
  <si>
    <t>Cối trộn thức ăn TMR</t>
  </si>
  <si>
    <t>TTCBTA</t>
  </si>
  <si>
    <t>TMR</t>
  </si>
  <si>
    <t>XB1-TTA-002</t>
  </si>
  <si>
    <t>A22-TTA-002</t>
  </si>
  <si>
    <t>LP</t>
  </si>
  <si>
    <t>XB1-TTA-003</t>
  </si>
  <si>
    <t>A22-TTA-003</t>
  </si>
  <si>
    <t>XB1-MBC -002</t>
  </si>
  <si>
    <t>A22-MBC-001</t>
  </si>
  <si>
    <t>Máy băm cỏ cố định</t>
  </si>
  <si>
    <t>Cố định</t>
  </si>
  <si>
    <t>XB1-MBC -003</t>
  </si>
  <si>
    <t>A22-MBC-002</t>
  </si>
  <si>
    <t>XB1-MBC -005</t>
  </si>
  <si>
    <t>A22-MBC-003</t>
  </si>
  <si>
    <t>XB1-MBC -011</t>
  </si>
  <si>
    <t>A22-MBC-004</t>
  </si>
  <si>
    <t>XB1-MBC -018</t>
  </si>
  <si>
    <t>A22-MBC-006</t>
  </si>
  <si>
    <t>XD2-MBC-004</t>
  </si>
  <si>
    <t>A23-MBC-004</t>
  </si>
  <si>
    <t>XB1-MBD-001</t>
  </si>
  <si>
    <t>A22-MBD-001</t>
  </si>
  <si>
    <t>Máy băm cỏ di động</t>
  </si>
  <si>
    <t>Di động</t>
  </si>
  <si>
    <t>XB1-MBD-002</t>
  </si>
  <si>
    <t>A22-MBD-002</t>
  </si>
  <si>
    <t>XB1-PVS -001</t>
  </si>
  <si>
    <t>A22-PVS-001</t>
  </si>
  <si>
    <t>Bồn phun vi sinh, khử trùng</t>
  </si>
  <si>
    <t>XB1-PVS -002</t>
  </si>
  <si>
    <t>A22-PVS-002</t>
  </si>
  <si>
    <t>XB1-RMO-001</t>
  </si>
  <si>
    <t>Rơ mooc thùng</t>
  </si>
  <si>
    <t>RM thùng</t>
  </si>
  <si>
    <t>Xe phun thuốc FAW 15T</t>
  </si>
  <si>
    <t>XB1-RMO-002</t>
  </si>
  <si>
    <t>XB1-RMO-003</t>
  </si>
  <si>
    <t>XB1-RMO-004</t>
  </si>
  <si>
    <t>XB1-RMO-005</t>
  </si>
  <si>
    <t>Rơ mooc đi cùng shibaura</t>
  </si>
  <si>
    <t>XB1-RMC-006</t>
  </si>
  <si>
    <t>XD3-RMC-002</t>
  </si>
  <si>
    <t>- Đ,chuyển từ XN DP3 09.10.2024</t>
  </si>
  <si>
    <t>RM thu hoạch</t>
  </si>
  <si>
    <t>XB1-RMC-007</t>
  </si>
  <si>
    <t>XD3-RMC-007</t>
  </si>
  <si>
    <t>XB1-RMC-008</t>
  </si>
  <si>
    <t>XA2-RMC-008</t>
  </si>
  <si>
    <t>- Đ,chuyển từ XN AD2 09.10.2024</t>
  </si>
  <si>
    <t>XB1-RMB-001</t>
  </si>
  <si>
    <t>A22-RMB-001</t>
  </si>
  <si>
    <t>RM thùng ben</t>
  </si>
  <si>
    <t>XB1-RMB-002</t>
  </si>
  <si>
    <t>A22-RMB-002</t>
  </si>
  <si>
    <t>XB1-RML-001</t>
  </si>
  <si>
    <t>XB1-RML-003</t>
  </si>
  <si>
    <t>XB1-RML-004</t>
  </si>
  <si>
    <t>XB1-RML-005</t>
  </si>
  <si>
    <t>XB1-RML-006</t>
  </si>
  <si>
    <t>XB1-RML-008</t>
  </si>
  <si>
    <t>21/11/2025</t>
  </si>
  <si>
    <t>3.24x2.1x1.39</t>
  </si>
  <si>
    <t>CK-RML-008</t>
  </si>
  <si>
    <t>XB1-MLB-001</t>
  </si>
  <si>
    <t>A22-MLB-002</t>
  </si>
  <si>
    <t>Xe vận chuyển phục vụ chăn nuôi bò</t>
  </si>
  <si>
    <t>3.9x2.3x2.5</t>
  </si>
  <si>
    <t>XB1-RMĐ-001</t>
  </si>
  <si>
    <t>A22-RMD-001</t>
  </si>
  <si>
    <t>RM lưới ben</t>
  </si>
  <si>
    <t>XB1-MCD-001</t>
  </si>
  <si>
    <t>A22-MCD-001</t>
  </si>
  <si>
    <t>Rơ mooc chuyên dụng vận chuyển (MMTB)</t>
  </si>
  <si>
    <t>Lốp đôi</t>
  </si>
  <si>
    <t>XB1-SMR-001</t>
  </si>
  <si>
    <t>A22-SMR-001</t>
  </si>
  <si>
    <t>SMRM vận chuyển 50M3</t>
  </si>
  <si>
    <t>INDUSTRY</t>
  </si>
  <si>
    <t>50m3</t>
  </si>
  <si>
    <t>VIET NAM</t>
  </si>
  <si>
    <t>50M3</t>
  </si>
  <si>
    <t>RN0GA339BK004311</t>
  </si>
  <si>
    <t>XB1-MRT-002</t>
  </si>
  <si>
    <t>A22-MRT-002</t>
  </si>
  <si>
    <t>SMRM rải thức ăn TMR 50M3</t>
  </si>
  <si>
    <t>RN0GA339BK1344231</t>
  </si>
  <si>
    <t>84 tấn/8h</t>
  </si>
  <si>
    <t>XB1-MRT-003</t>
  </si>
  <si>
    <t>A22-MRT-003</t>
  </si>
  <si>
    <t>RMFLS232ASC001299</t>
  </si>
  <si>
    <t>XB1-MRT-004</t>
  </si>
  <si>
    <t>A22-MRT-004</t>
  </si>
  <si>
    <t>RMFLS232ASC001303</t>
  </si>
  <si>
    <t>XB1-MRT-005</t>
  </si>
  <si>
    <t>A22-MRT-005</t>
  </si>
  <si>
    <t>RMFLS232ASC001304</t>
  </si>
  <si>
    <t>XB1-MRT-006</t>
  </si>
  <si>
    <t>A22-MRT-006</t>
  </si>
  <si>
    <t>RMFLS232ASC001305</t>
  </si>
  <si>
    <t>XB1-MRT-007</t>
  </si>
  <si>
    <t>A22-MRT-007</t>
  </si>
  <si>
    <t>RMFLS232ASC001306</t>
  </si>
  <si>
    <t>XB1-MRT-008</t>
  </si>
  <si>
    <t>A22-MRT-008</t>
  </si>
  <si>
    <t>RMFLS232ASC001309</t>
  </si>
  <si>
    <t>XB1-MRT-009</t>
  </si>
  <si>
    <t>A22-MRT-009</t>
  </si>
  <si>
    <t>RMFLS232ASC001310</t>
  </si>
  <si>
    <t>XB1-TPC-001</t>
  </si>
  <si>
    <t>A22-TPC-001</t>
  </si>
  <si>
    <t>SMRM trung chuyển phân - CĐC 18/23M3</t>
  </si>
  <si>
    <t>18/23M3</t>
  </si>
  <si>
    <t>XB1-TPC-002</t>
  </si>
  <si>
    <t>A22-TPC-002</t>
  </si>
  <si>
    <t>SMRM trung chuyển phân - CĐC 45M3</t>
  </si>
  <si>
    <t>45M3</t>
  </si>
  <si>
    <t>RMFNU241ASC001750</t>
  </si>
  <si>
    <t>XB1-TPC-003</t>
  </si>
  <si>
    <t>A22-TPC-003</t>
  </si>
  <si>
    <t>RNONU241ASC002592</t>
  </si>
  <si>
    <t>XB1-TPC-004</t>
  </si>
  <si>
    <t>A22-TPC-004</t>
  </si>
  <si>
    <t>RNONU241ASC002593</t>
  </si>
  <si>
    <t>XB1-TPC-005</t>
  </si>
  <si>
    <t>A22-TPC-005</t>
  </si>
  <si>
    <t>RNONU241ASC002594</t>
  </si>
  <si>
    <t>XB1-TPC-006</t>
  </si>
  <si>
    <t>A22-TPC-006</t>
  </si>
  <si>
    <t>RNONU241ASC002595</t>
  </si>
  <si>
    <t>XB1-TPC-007</t>
  </si>
  <si>
    <t>A22-TPC-007</t>
  </si>
  <si>
    <t>RNONU241ASC002596</t>
  </si>
  <si>
    <t>XB1-TPC-008</t>
  </si>
  <si>
    <t>A22-TPC-008</t>
  </si>
  <si>
    <t>RNONU241ASC002598</t>
  </si>
  <si>
    <t>XB1-TPC-009</t>
  </si>
  <si>
    <t>A22-TPC-009</t>
  </si>
  <si>
    <t>RNONU241ASC002599</t>
  </si>
  <si>
    <t>XB1-TPC-010</t>
  </si>
  <si>
    <t>A22-TPC-010</t>
  </si>
  <si>
    <t>RNONU241ASC002600</t>
  </si>
  <si>
    <t>XB1-MRP-001</t>
  </si>
  <si>
    <t>A22-MRP-001</t>
  </si>
  <si>
    <t>Thiết bị rải phân chuồng</t>
  </si>
  <si>
    <t>XB1-RVO-001</t>
  </si>
  <si>
    <t>A22-RVO-001</t>
  </si>
  <si>
    <t>XB1-RVO-002</t>
  </si>
  <si>
    <t>A22-RVO-002</t>
  </si>
  <si>
    <t>XB1-RVO-003</t>
  </si>
  <si>
    <t>A22-RVO-003</t>
  </si>
  <si>
    <t>0.8M3</t>
  </si>
  <si>
    <t>XB1-BRN-001</t>
  </si>
  <si>
    <t>A22-BRN-001</t>
  </si>
  <si>
    <t>ATM-A22-0125</t>
  </si>
  <si>
    <t>Bồn rỉ mật 5m3</t>
  </si>
  <si>
    <t>5M3</t>
  </si>
  <si>
    <t>XB1-MDP-001</t>
  </si>
  <si>
    <t>A22-MDP-001</t>
  </si>
  <si>
    <t>Máy đảo trộn phân hữu cơ</t>
  </si>
  <si>
    <t>XB1-RPC-001</t>
  </si>
  <si>
    <t>A22-RPC-001</t>
  </si>
  <si>
    <t>Rải phân chuồng</t>
  </si>
  <si>
    <t>XB1-CRL-001</t>
  </si>
  <si>
    <t>A22-CRL-001</t>
  </si>
  <si>
    <t>Cày rạch luống 4 rãnh</t>
  </si>
  <si>
    <t>4 rãnh</t>
  </si>
  <si>
    <t>XB1-CRL-002</t>
  </si>
  <si>
    <t>A22-CRL-002</t>
  </si>
  <si>
    <t>Cày rạch luống 2 rãnh</t>
  </si>
  <si>
    <t>2 rãnh</t>
  </si>
  <si>
    <t>XB1-CCG-001</t>
  </si>
  <si>
    <t>A22-CCG-001</t>
  </si>
  <si>
    <t>Cắt cỏ gốc</t>
  </si>
  <si>
    <t>XB1-CCG-002</t>
  </si>
  <si>
    <t>A22-CCG-002</t>
  </si>
  <si>
    <t>XB1-DGC-001</t>
  </si>
  <si>
    <t>A22-DGC-001</t>
  </si>
  <si>
    <t>Gom cỏ,chuối</t>
  </si>
  <si>
    <t>XB1-GTB-001</t>
  </si>
  <si>
    <t>A22-GTB-001</t>
  </si>
  <si>
    <t>Thiết bị tỉa bắp</t>
  </si>
  <si>
    <t>XB1-GTB-002</t>
  </si>
  <si>
    <t>A22-GTB-002</t>
  </si>
  <si>
    <t>XB1-MTP-001</t>
  </si>
  <si>
    <t>A22-MTP-001</t>
  </si>
  <si>
    <t>Máy trộn premix </t>
  </si>
  <si>
    <t>Premix</t>
  </si>
  <si>
    <t>XB1-MTP-002</t>
  </si>
  <si>
    <t>A22-MTP-002</t>
  </si>
  <si>
    <t>XB1-TCT-001</t>
  </si>
  <si>
    <t>A22-TCT-001</t>
  </si>
  <si>
    <t>Máy trộn thức ăn tinh </t>
  </si>
  <si>
    <t>XB1-TCT-002</t>
  </si>
  <si>
    <t>A22-TCT-002</t>
  </si>
  <si>
    <t>Máy trộn thức ăn tinh</t>
  </si>
  <si>
    <t>XB1-XĐL-002</t>
  </si>
  <si>
    <t>A22-XĐL-002</t>
  </si>
  <si>
    <t>Máy xay đậu lupin</t>
  </si>
  <si>
    <t>XB1-GKM-001</t>
  </si>
  <si>
    <t>A22-GKM-001</t>
  </si>
  <si>
    <t>Thiết bị khoan mẹ</t>
  </si>
  <si>
    <t>XB1-DKL-001</t>
  </si>
  <si>
    <t>CK-DKL-02</t>
  </si>
  <si>
    <t>A22-DKL-001</t>
  </si>
  <si>
    <t>Thiết bị khoan lỗ</t>
  </si>
  <si>
    <t>15/04/2024</t>
  </si>
  <si>
    <t>DxRxC: 2.5m*0.8m*2.5m
1 bộ TB kèm cardang và mũi khoan phi 800*800mm</t>
  </si>
  <si>
    <t>XB1-DKL-002</t>
  </si>
  <si>
    <t>17/06/2024</t>
  </si>
  <si>
    <t>Đã qua SD</t>
  </si>
  <si>
    <t>XB1-MCC-001</t>
  </si>
  <si>
    <t>Máy cắt lát chuối cho bê</t>
  </si>
  <si>
    <t>XB1-MCO-001</t>
  </si>
  <si>
    <t>ATM-A22-0128</t>
  </si>
  <si>
    <t>Máy cuộn cỏ (gắn sau máy kéo)</t>
  </si>
  <si>
    <t>- Công suất: 20-50HP
- YTAMI_0870</t>
  </si>
  <si>
    <t>YTAMI-MRB0870-03/CB-14290</t>
  </si>
  <si>
    <t>XB1-MCO-002</t>
  </si>
  <si>
    <t>A22-MCO-002</t>
  </si>
  <si>
    <t>XB1-MCO-003</t>
  </si>
  <si>
    <t>A22-MCO-003</t>
  </si>
  <si>
    <t>XB1-MCO-004</t>
  </si>
  <si>
    <t>A22-MCO-004</t>
  </si>
  <si>
    <t>28/08/2024</t>
  </si>
  <si>
    <t>XB1-MCO-005</t>
  </si>
  <si>
    <t>XXA-MCO-003</t>
  </si>
  <si>
    <t>XN Xoài AD đ.chuyen 21/12/2024</t>
  </si>
  <si>
    <t>XB1-MCO-006</t>
  </si>
  <si>
    <t>XN Xoài AD đ.chuyen31/06/2026</t>
  </si>
  <si>
    <t>XB1-MTO-001</t>
  </si>
  <si>
    <t>Máy tời xe máy 3.5T</t>
  </si>
  <si>
    <t>SYM</t>
  </si>
  <si>
    <t>SANYANG MOTOR</t>
  </si>
  <si>
    <t>VAVLC152FMH009586</t>
  </si>
  <si>
    <t>XB1-MTO-002</t>
  </si>
  <si>
    <t>XB1-MTO-003</t>
  </si>
  <si>
    <t>LC150FM-00085896</t>
  </si>
  <si>
    <t>XB1-MTO-004</t>
  </si>
  <si>
    <t>XB1-MTO-005</t>
  </si>
  <si>
    <t>VTTJL1P52FMH-E001739</t>
  </si>
  <si>
    <t>XB1-MTO-006</t>
  </si>
  <si>
    <t>VTTJL1P52FMH-E4001768</t>
  </si>
  <si>
    <t>XB1-MCA-001</t>
  </si>
  <si>
    <t>NILE</t>
  </si>
  <si>
    <t>N680A</t>
  </si>
  <si>
    <t>N680A-240014</t>
  </si>
  <si>
    <t>XB1-MCA-002</t>
  </si>
  <si>
    <t>N680A-240012</t>
  </si>
  <si>
    <t>XB1-MCA-003</t>
  </si>
  <si>
    <t>N680A-240010</t>
  </si>
  <si>
    <t>XB1-BUA-001</t>
  </si>
  <si>
    <t>B32C04</t>
  </si>
  <si>
    <t>A22-BUA-001</t>
  </si>
  <si>
    <t>Thiết bị bừa 32 chảo</t>
  </si>
  <si>
    <t>XB1-BUA-002</t>
  </si>
  <si>
    <t>A22-BUA-002</t>
  </si>
  <si>
    <t>Thiết bị bừa 24 chảo</t>
  </si>
  <si>
    <t>XB1-BUA-003</t>
  </si>
  <si>
    <t>A22-BUA-003</t>
  </si>
  <si>
    <t>XB1-BUA-004</t>
  </si>
  <si>
    <t>A22-BUA-004</t>
  </si>
  <si>
    <t>Thiết bị bừa 32 chảo</t>
  </si>
  <si>
    <t>XB1-DTP-001</t>
  </si>
  <si>
    <t>A22-DTP-001</t>
  </si>
  <si>
    <t>Thiết bị tung phân hữu cơ</t>
  </si>
  <si>
    <t>XB1-DTP-002</t>
  </si>
  <si>
    <t>A22-DTP-002</t>
  </si>
  <si>
    <t>&gt;= 90HP</t>
  </si>
  <si>
    <t>XB1-DTP-003</t>
  </si>
  <si>
    <t>A22-DTP-003</t>
  </si>
  <si>
    <t>Đầu tư mới (bánh béo)</t>
  </si>
  <si>
    <t>RMFNU109BTC002417</t>
  </si>
  <si>
    <t>XB1-DRP-002</t>
  </si>
  <si>
    <t>Điều chuyển từ CGLĐ DP về XNB ngày 8/7/2026</t>
  </si>
  <si>
    <t>14 (10m3)</t>
  </si>
  <si>
    <t>XB1-DNL-001</t>
  </si>
  <si>
    <t>CK-DNL-01</t>
  </si>
  <si>
    <t>A22-DNL-001</t>
  </si>
  <si>
    <t>23/03/2024</t>
  </si>
  <si>
    <t>3.8*2*3.6</t>
  </si>
  <si>
    <t>XB1-TBT-001</t>
  </si>
  <si>
    <t>A22-TBT-001</t>
  </si>
  <si>
    <t>Thiết bị trồng bắp</t>
  </si>
  <si>
    <t>XB1-TBB-001</t>
  </si>
  <si>
    <t>CK-MB-19</t>
  </si>
  <si>
    <t>A22-TBB-001</t>
  </si>
  <si>
    <t>Máy băm công nghiệp</t>
  </si>
  <si>
    <t>17/04/2024</t>
  </si>
  <si>
    <t>DxRxC: 2.5m*1.8m*3m</t>
  </si>
  <si>
    <t>XB1-DPC-001</t>
  </si>
  <si>
    <t>CK-DPC-02</t>
  </si>
  <si>
    <t>A22-DPC-001</t>
  </si>
  <si>
    <t>1.5m</t>
  </si>
  <si>
    <t>1.5*1.5m</t>
  </si>
  <si>
    <t>XB1-DPC-002</t>
  </si>
  <si>
    <t>CK-DP-01</t>
  </si>
  <si>
    <t>A22-DPC-002</t>
  </si>
  <si>
    <t>Thiết bị phay cỏ (2 luống)</t>
  </si>
  <si>
    <t>2 luống</t>
  </si>
  <si>
    <t>2100x800x1100(mm)</t>
  </si>
  <si>
    <t>Bề rộng luống phay 500mm</t>
  </si>
  <si>
    <t>XB1-DPC-003</t>
  </si>
  <si>
    <t>CK-MPC-04</t>
  </si>
  <si>
    <t>A22-DPC-003</t>
  </si>
  <si>
    <t>1.4x1.4x1</t>
  </si>
  <si>
    <t>XB1-DPC-004</t>
  </si>
  <si>
    <t>A22-DPC-004</t>
  </si>
  <si>
    <t>17/12/2025</t>
  </si>
  <si>
    <t>CK-MPC-05</t>
  </si>
  <si>
    <t>XB1-DPC-005</t>
  </si>
  <si>
    <t>A22-DPC-005</t>
  </si>
  <si>
    <t>CK-MPC-06</t>
  </si>
  <si>
    <t>XB1-DPC-006</t>
  </si>
  <si>
    <t>A22-DPC-006</t>
  </si>
  <si>
    <t>CK-MPC-07</t>
  </si>
  <si>
    <t>XB1-DPC-007</t>
  </si>
  <si>
    <t>A22-DPC-007</t>
  </si>
  <si>
    <t>CK-MPC-08</t>
  </si>
  <si>
    <t>XB1-DPC-008</t>
  </si>
  <si>
    <t>A22-DPC-008</t>
  </si>
  <si>
    <t>CK-MPC-09</t>
  </si>
  <si>
    <t>XB1-DPC-009</t>
  </si>
  <si>
    <t>A22-DPC-009</t>
  </si>
  <si>
    <t>XB1-DPC-010</t>
  </si>
  <si>
    <t>A22-DPC-010</t>
  </si>
  <si>
    <t>XB1-KGX-001</t>
  </si>
  <si>
    <t>A22-KGX-001</t>
  </si>
  <si>
    <t>Kẹp gỗ xoay 360 độ</t>
  </si>
  <si>
    <t>7810x3100x3720</t>
  </si>
  <si>
    <t>23/05/2024</t>
  </si>
  <si>
    <t>HYUNG JE</t>
  </si>
  <si>
    <t>Có đường kim</t>
  </si>
  <si>
    <t>XB1-MCL-001</t>
  </si>
  <si>
    <t>A22-MCL-001</t>
  </si>
  <si>
    <t>CLT</t>
  </si>
  <si>
    <t>5,5x1,9x2,21m</t>
  </si>
  <si>
    <t>XB1-MCL-002</t>
  </si>
  <si>
    <t>A22-MCL-002</t>
  </si>
  <si>
    <t>XB1-DXC-001</t>
  </si>
  <si>
    <t>CK-DXC-01</t>
  </si>
  <si>
    <t>A22-DXC-001</t>
  </si>
  <si>
    <t>Thiết bị xới cỏ</t>
  </si>
  <si>
    <t>3x3x1,4m</t>
  </si>
  <si>
    <t>XB1-DCC-001</t>
  </si>
  <si>
    <t>A22-DCC-001</t>
  </si>
  <si>
    <t>Thiết bị cắt cỏ - Mower</t>
  </si>
  <si>
    <t>18/06/2024</t>
  </si>
  <si>
    <t>Mower</t>
  </si>
  <si>
    <t>Bề rộng cắt cỏ 185-3210cm
Chiều rộng tạo hàng cỏ sau khi cắt 80-90cm
Công suất 60-90HP</t>
  </si>
  <si>
    <t>XB1-DCC-002</t>
  </si>
  <si>
    <t>A22-DCC-002</t>
  </si>
  <si>
    <t>XB1-TBN-001</t>
  </si>
  <si>
    <t>CK-MND-01</t>
  </si>
  <si>
    <t>A22-TBN-001</t>
  </si>
  <si>
    <t>Thiết bị nghiền dăm gỗ</t>
  </si>
  <si>
    <t>XB1-CĐQ-001</t>
  </si>
  <si>
    <t>CK-DCC-01</t>
  </si>
  <si>
    <t>A22-CĐQ-001</t>
  </si>
  <si>
    <t>Thiết bị cắt cỏ đĩa quay</t>
  </si>
  <si>
    <t>Đĩa quay</t>
  </si>
  <si>
    <t>2x2.3x1.4</t>
  </si>
  <si>
    <t>XB1-CĐQ-002</t>
  </si>
  <si>
    <t>CK-DCC-02</t>
  </si>
  <si>
    <t>A22-CĐQ-002</t>
  </si>
  <si>
    <t>31/10/2024</t>
  </si>
  <si>
    <t>XB1-CĐQ-003</t>
  </si>
  <si>
    <t>CK-DCC-03</t>
  </si>
  <si>
    <t>A22-CĐQ-003</t>
  </si>
  <si>
    <t>13/11/2024</t>
  </si>
  <si>
    <t>2x2.3x1.4m</t>
  </si>
  <si>
    <t>XB1-CĐQ-004</t>
  </si>
  <si>
    <t>A22-CĐQ-004</t>
  </si>
  <si>
    <t>CK-DCC-CLT-01</t>
  </si>
  <si>
    <t>XB1-TBR-001</t>
  </si>
  <si>
    <t>CK-TBBPX-01</t>
  </si>
  <si>
    <t>A22-TBR-001</t>
  </si>
  <si>
    <t>Thiết bị rãi phân hữu cơ</t>
  </si>
  <si>
    <t>16/09/2024</t>
  </si>
  <si>
    <t>3.5x2.2x2.15 (DxRxC)</t>
  </si>
  <si>
    <t>XB1-RP4-001</t>
  </si>
  <si>
    <t>A22-RP4-001</t>
  </si>
  <si>
    <t>Thiết bị rải phân hữu cơ 4 hàng</t>
  </si>
  <si>
    <t>Đ.chuyen từ Eahleo sang KM</t>
  </si>
  <si>
    <t>THÀNH ĐẠT</t>
  </si>
  <si>
    <t>4 HÀNG</t>
  </si>
  <si>
    <t>VIỆ̣T NAM</t>
  </si>
  <si>
    <t>RP4-01</t>
  </si>
  <si>
    <t>XB1-RP4-002</t>
  </si>
  <si>
    <t>A22-RP4-002</t>
  </si>
  <si>
    <t>RP4-02</t>
  </si>
  <si>
    <t>XB1-XĐP-001</t>
  </si>
  <si>
    <t>Thiết bị xới đảo phân</t>
  </si>
  <si>
    <t>29/08/2024</t>
  </si>
  <si>
    <t>CHULAI</t>
  </si>
  <si>
    <t>XB1-RLT-001</t>
  </si>
  <si>
    <t>A22-RLT-001</t>
  </si>
  <si>
    <t>Thiết bị rạch luống trồng cỏ (6 hàng)</t>
  </si>
  <si>
    <t>Xe nâng</t>
  </si>
  <si>
    <t>6 hàng</t>
  </si>
  <si>
    <t>XB1-RLT-002</t>
  </si>
  <si>
    <t>A22-RLT-002</t>
  </si>
  <si>
    <t>Thiết bị rạch luống trồng cỏ (4 hàng)</t>
  </si>
  <si>
    <t>3.6x2.7x1.34</t>
  </si>
  <si>
    <t>XB1-RLT-003</t>
  </si>
  <si>
    <t>A22-RLT-003</t>
  </si>
  <si>
    <t>CK-DTC-04</t>
  </si>
  <si>
    <t>XB1-RLT-004</t>
  </si>
  <si>
    <t>Thiết bị rạch luống trồng cỏ (4 hàng)</t>
  </si>
  <si>
    <t>21/06/2025</t>
  </si>
  <si>
    <t>CK-DTC-05</t>
  </si>
  <si>
    <t>XB1-RLT-005</t>
  </si>
  <si>
    <t>A22-RLT-005</t>
  </si>
  <si>
    <t>Thiết bị rạch luống trồng cỏ (2 hàng)</t>
  </si>
  <si>
    <t>Đ. chuyển từ KLH SNUOL qua KM ngày 12/06/2026</t>
  </si>
  <si>
    <t>Đ. chuyển từ Snuol sang KM</t>
  </si>
  <si>
    <t>Kasetkollakarn Banpong</t>
  </si>
  <si>
    <t>Thái Lan</t>
  </si>
  <si>
    <t>SP-40C-SR</t>
  </si>
  <si>
    <t>60 HP ~</t>
  </si>
  <si>
    <t>1224-TZAU</t>
  </si>
  <si>
    <t>XB1-MXM-001</t>
  </si>
  <si>
    <t>XA2-MXM-005</t>
  </si>
  <si>
    <t>A22-MXM-005</t>
  </si>
  <si>
    <t>Đ.chuyen từ XN AD2 ngày 03/03/2025</t>
  </si>
  <si>
    <t>XB1-MXM-002</t>
  </si>
  <si>
    <t>XA2-MXM-006</t>
  </si>
  <si>
    <t>A22-MXM-006</t>
  </si>
  <si>
    <t>Đ.chuyen từ XN AD2 ngày 29/03/2025</t>
  </si>
  <si>
    <t>XB1-CCB-001</t>
  </si>
  <si>
    <t>A22-CCB-001</t>
  </si>
  <si>
    <t>Thiết bị cày chăm bắp</t>
  </si>
  <si>
    <t>27/05/2025</t>
  </si>
  <si>
    <t>CK-DX-01</t>
  </si>
  <si>
    <t>1.4x0.9x1.1</t>
  </si>
  <si>
    <t>XB1-PTB-001</t>
  </si>
  <si>
    <t>A22-PTB-001</t>
  </si>
  <si>
    <t>Thiết bị phun thuốc bắp</t>
  </si>
  <si>
    <t>16/08/2025</t>
  </si>
  <si>
    <t>CHOKTAWEE</t>
  </si>
  <si>
    <t>ARN-SPY600</t>
  </si>
  <si>
    <t>600 LÍT - 50HP</t>
  </si>
  <si>
    <t>XB1-PTB-002</t>
  </si>
  <si>
    <t>A22-PTB-002</t>
  </si>
  <si>
    <t>XB1-GHC-001</t>
  </si>
  <si>
    <t>A22-GHC-001</t>
  </si>
  <si>
    <t>Thiết bị gieo hạt cỏ</t>
  </si>
  <si>
    <t>CATERPILLAR</t>
  </si>
  <si>
    <t>X.Tải 1.9-5 tấn</t>
  </si>
  <si>
    <t>15/08/2025</t>
  </si>
  <si>
    <t>VIRDI</t>
  </si>
  <si>
    <t>GRASS MAESTRO</t>
  </si>
  <si>
    <t>Ấn Độ</t>
  </si>
  <si>
    <t>35HP</t>
  </si>
  <si>
    <t>GM2502</t>
  </si>
  <si>
    <t>XB1-GHC-002</t>
  </si>
  <si>
    <t>A22-GHC-002</t>
  </si>
  <si>
    <t>ĐCHUYEN TỪ KLH SN</t>
  </si>
  <si>
    <t>ẤN ĐỘ</t>
  </si>
  <si>
    <t>35Hp ~</t>
  </si>
  <si>
    <t>GM2501</t>
  </si>
  <si>
    <t>XB1-RBP-001</t>
  </si>
  <si>
    <t>A22-RBP-001</t>
  </si>
  <si>
    <t>Thiết bị rạch hàng bón phân vô cơ (6 hàng)</t>
  </si>
  <si>
    <t>XB1-RBP-002</t>
  </si>
  <si>
    <t>A22-RBP-002</t>
  </si>
  <si>
    <t>XB1-RHC-001</t>
  </si>
  <si>
    <t>A22-RHC-001</t>
  </si>
  <si>
    <t>Thiết bị ra hom cỏ giống</t>
  </si>
  <si>
    <t>15/11/2025</t>
  </si>
  <si>
    <t>XB1-CXV-001</t>
  </si>
  <si>
    <t>A22-CXV-001</t>
  </si>
  <si>
    <t>Thiết bị cào xới váng</t>
  </si>
  <si>
    <t>CXV-01</t>
  </si>
  <si>
    <t>1.195x4.2x1.148</t>
  </si>
  <si>
    <t>CK-CXV-01</t>
  </si>
  <si>
    <t>XB1-CXV-002</t>
  </si>
  <si>
    <t>A22-CXV-002</t>
  </si>
  <si>
    <t>Điều chuyển từ KLH SNUOL qua ngày 28/04/2026</t>
  </si>
  <si>
    <t>KLH SNUOL</t>
  </si>
  <si>
    <t>4  lưỡi xới</t>
  </si>
  <si>
    <t>XB1-DRC-001</t>
  </si>
  <si>
    <t>A22-DRC-001</t>
  </si>
  <si>
    <t>A24-XTA-004</t>
  </si>
  <si>
    <t>Thiết bị rạch - tung phân cỏ chăn thả</t>
  </si>
  <si>
    <t>6 đĩa rạch</t>
  </si>
  <si>
    <t>XB1-DRC-002</t>
  </si>
  <si>
    <t>A22-DRC-002</t>
  </si>
  <si>
    <t xml:space="preserve"> Gia công mới tại NMCK ngày 05/05/2026</t>
  </si>
  <si>
    <t>Xưởng GCM CGH</t>
  </si>
  <si>
    <t>11 đĩa rạch</t>
  </si>
  <si>
    <t>XB1-DRC-003</t>
  </si>
  <si>
    <t>A22-DRC-003</t>
  </si>
  <si>
    <t>XB1-DRC-004</t>
  </si>
  <si>
    <t>A22-DRC-004</t>
  </si>
  <si>
    <t xml:space="preserve"> Gia công mới tại NMCK ngày 14/05/2026</t>
  </si>
  <si>
    <t>XB1-DRC-005</t>
  </si>
  <si>
    <t>A22-DRC-005</t>
  </si>
  <si>
    <t>XB1-RRP-001</t>
  </si>
  <si>
    <t>A22-RRP-001</t>
  </si>
  <si>
    <t>Thiết bị rạch - rải phân cỏ tập trung</t>
  </si>
  <si>
    <t>14/05/2026</t>
  </si>
  <si>
    <t>1 đĩa 2 răng rạch</t>
  </si>
  <si>
    <t>XB1-RRP-002</t>
  </si>
  <si>
    <t>A22-RRP-002</t>
  </si>
  <si>
    <t>XB1-TGC-001</t>
  </si>
  <si>
    <t>A22-TGC-001</t>
  </si>
  <si>
    <t>Thiết bị tề gốc cỏ 3.5m</t>
  </si>
  <si>
    <t>9GXZ-3.5</t>
  </si>
  <si>
    <t>100~150 Hp</t>
  </si>
  <si>
    <t>XYJXCK-9GXZ-3.5-003</t>
  </si>
  <si>
    <t>V.</t>
  </si>
  <si>
    <t>GIAO NHẬN VẬN CHUYẺN</t>
  </si>
  <si>
    <t>TND-RML-001</t>
  </si>
  <si>
    <t>92R-00402</t>
  </si>
  <si>
    <t>SMRM LCD</t>
  </si>
  <si>
    <t>Mooc LCD 2T</t>
  </si>
  <si>
    <t>RN0PD230AKC000913</t>
  </si>
  <si>
    <t>TND-RML-003</t>
  </si>
  <si>
    <t>92R-00457</t>
  </si>
  <si>
    <t>A24-XTA-005</t>
  </si>
  <si>
    <t>RN0PD230AKC000920</t>
  </si>
  <si>
    <t>TND-RML-005</t>
  </si>
  <si>
    <t>92R-00465</t>
  </si>
  <si>
    <t>RN0PD230AKC000915</t>
  </si>
  <si>
    <t>TND-RML-006</t>
  </si>
  <si>
    <t>92R-00446</t>
  </si>
  <si>
    <t>RN0PD230AKC000918</t>
  </si>
  <si>
    <t>TND-RML-007</t>
  </si>
  <si>
    <t>92R-00409</t>
  </si>
  <si>
    <t>RN0PD230AKC000904</t>
  </si>
  <si>
    <t>TND-RML-008</t>
  </si>
  <si>
    <t>92R-00528</t>
  </si>
  <si>
    <t>RN0PD230AKC000926</t>
  </si>
  <si>
    <t>TND-RML-009</t>
  </si>
  <si>
    <t>92R-00538</t>
  </si>
  <si>
    <t>RN0PD230AKC000927</t>
  </si>
  <si>
    <t>TND-RML-014</t>
  </si>
  <si>
    <t>92R-00413</t>
  </si>
  <si>
    <t>SMRM xương sàn/mooc OPT</t>
  </si>
  <si>
    <t>SMRM 3T</t>
  </si>
  <si>
    <t>RN0P3800AFC063963</t>
  </si>
  <si>
    <t>TND-RML-015</t>
  </si>
  <si>
    <t>92R-00443</t>
  </si>
  <si>
    <t>SMRM 2T</t>
  </si>
  <si>
    <t>RN0AA232AKC000909</t>
  </si>
  <si>
    <t>TND-RML-017</t>
  </si>
  <si>
    <t>92R-00353</t>
  </si>
  <si>
    <t>RN0PD230AKC000928</t>
  </si>
  <si>
    <t>TND-RML-020</t>
  </si>
  <si>
    <t>92R-00406</t>
  </si>
  <si>
    <t>RN0AA232AKC000911</t>
  </si>
  <si>
    <t>TND-RML-021</t>
  </si>
  <si>
    <t>A24-XTA-006</t>
  </si>
  <si>
    <t>92R-00647</t>
  </si>
  <si>
    <t>RN0AA339DJC000778</t>
  </si>
  <si>
    <t>TND-RML-022</t>
  </si>
  <si>
    <t xml:space="preserve">92R-00602
</t>
  </si>
  <si>
    <t>RN0AA339DJC000777</t>
  </si>
  <si>
    <t>TND-RML-023</t>
  </si>
  <si>
    <t>92R-00642</t>
  </si>
  <si>
    <t>RNHR3910AGC063968</t>
  </si>
  <si>
    <t>TND-RML-024</t>
  </si>
  <si>
    <t>92R-00524</t>
  </si>
  <si>
    <t>RN0PD230AKC000973</t>
  </si>
  <si>
    <t>TND-RML-025</t>
  </si>
  <si>
    <t>92R-00503</t>
  </si>
  <si>
    <t>RN0PD230AKC000929</t>
  </si>
  <si>
    <t>TND-RML-026</t>
  </si>
  <si>
    <t>92R-00462</t>
  </si>
  <si>
    <t>24/12/2025</t>
  </si>
  <si>
    <t>RN0PD230AKC000923</t>
  </si>
  <si>
    <t>TND-RML-027</t>
  </si>
  <si>
    <t>92RM-00169</t>
  </si>
  <si>
    <t>23/05/2026</t>
  </si>
  <si>
    <t>MOOC THUÊ NGOÀI XN</t>
  </si>
  <si>
    <t>92R-00565</t>
  </si>
  <si>
    <t>OPT</t>
  </si>
  <si>
    <t>RN0PD339AKC000990</t>
  </si>
  <si>
    <t>92R-00433</t>
  </si>
  <si>
    <t>SMRM xương sàn/mooc OPT (ĐÔNG LẠNH)</t>
  </si>
  <si>
    <t>Hành chính KLH</t>
  </si>
  <si>
    <t>RN0PD230AKC000925</t>
  </si>
  <si>
    <t>VI.</t>
  </si>
  <si>
    <t xml:space="preserve">CÁC BỘ PHẬN KHÁC </t>
  </si>
  <si>
    <t>HCA-RMC-001</t>
  </si>
  <si>
    <t>Rơ mooc gắn máy kéo</t>
  </si>
  <si>
    <t>2x4x0.7m</t>
  </si>
  <si>
    <t>CKD-RMC-001</t>
  </si>
  <si>
    <t>RMHA - 01</t>
  </si>
  <si>
    <t>Rơ mooc RMHA</t>
  </si>
  <si>
    <t>Chở vật tư, máy phát điện</t>
  </si>
  <si>
    <t>CKD-RMC-002</t>
  </si>
  <si>
    <t>RMHA - 02</t>
  </si>
  <si>
    <t>CKD-RMC-003</t>
  </si>
  <si>
    <t>RMHA - 03</t>
  </si>
  <si>
    <t>CKD-RMC-004</t>
  </si>
  <si>
    <t>RMHA - 04</t>
  </si>
  <si>
    <t>CKD-MKC-001</t>
  </si>
  <si>
    <t>A23-MKC-011</t>
  </si>
  <si>
    <t>Máy kéo chuối</t>
  </si>
  <si>
    <t>24/05/2025</t>
  </si>
  <si>
    <t>ĐNA-RMC-002</t>
  </si>
  <si>
    <t>XAD-RMC-018</t>
  </si>
  <si>
    <t>A22-RMC-005</t>
  </si>
  <si>
    <t>Đ.chuyển từ AD2 ngày 05/02/2025</t>
  </si>
  <si>
    <t>ĐNA-RMC-001</t>
  </si>
  <si>
    <t>Ban Điện nước</t>
  </si>
  <si>
    <t>Rơ móc kéo MFĐ, BƠM NƯỚC</t>
  </si>
  <si>
    <t>ĐNA-GĐH-001</t>
  </si>
  <si>
    <t>A22-GĐH-001</t>
  </si>
  <si>
    <t>Gàu định hình đào rãnh bỏ ống nước</t>
  </si>
  <si>
    <t>ĐNA-GĐH-002</t>
  </si>
  <si>
    <t>A22-GĐH-002</t>
  </si>
  <si>
    <t>ĐNA-GĐH-003</t>
  </si>
  <si>
    <t>A23-GĐH-003</t>
  </si>
  <si>
    <t>ĐNA-GĐH-004</t>
  </si>
  <si>
    <t>A23-GĐH-004</t>
  </si>
  <si>
    <t>ĐNA-GĐH-005</t>
  </si>
  <si>
    <t>A23-GĐH-005</t>
  </si>
  <si>
    <t>ĐNA-GĐH-006</t>
  </si>
  <si>
    <t>A23-GĐH-006</t>
  </si>
  <si>
    <t>ĐNA-GĐH-007</t>
  </si>
  <si>
    <t>ĐNA-GĐH-008</t>
  </si>
  <si>
    <t>A23-GĐH-008</t>
  </si>
  <si>
    <t>TDC-CBT-001</t>
  </si>
  <si>
    <t>Máy cắt bê tông ZS1110</t>
  </si>
  <si>
    <t>Cho D.nước KLH MƯỢN 25.09.2024</t>
  </si>
  <si>
    <t>CHANGCHAI</t>
  </si>
  <si>
    <t>ZS1110</t>
  </si>
  <si>
    <t>THIẾT BỊ CHỜ PHÂN BỔ</t>
  </si>
  <si>
    <t>XD2-RMC-001</t>
  </si>
  <si>
    <t>RMC 01-VC KLH</t>
  </si>
  <si>
    <t>15/05/2024</t>
  </si>
  <si>
    <t>XD2-RMB-003</t>
  </si>
  <si>
    <t>RMC 89-VC KLH</t>
  </si>
  <si>
    <t>XD2-RMB-004</t>
  </si>
  <si>
    <t>RMC 98-VC KLH</t>
  </si>
  <si>
    <t>XD3-RMC-004</t>
  </si>
  <si>
    <t>RMC 26 VC-KLH</t>
  </si>
  <si>
    <t>XD3-RMC-001</t>
  </si>
  <si>
    <t>RMC 75-VC KLH</t>
  </si>
  <si>
    <t>XD3-RMC-011</t>
  </si>
  <si>
    <t>RMC 76-VC KLH</t>
  </si>
  <si>
    <t>A23-RMC-011</t>
  </si>
  <si>
    <t>XD2-SPT-001</t>
  </si>
  <si>
    <t>SPT01</t>
  </si>
  <si>
    <t>SK;HS128.DP344</t>
  </si>
  <si>
    <t>XB1-CXL-001</t>
  </si>
  <si>
    <t>Càng xúc lật gắn máy cày (0.68m3)</t>
  </si>
  <si>
    <t>CHỜ PHÂN BỔ</t>
  </si>
  <si>
    <t>XD3-RMB-002</t>
  </si>
  <si>
    <t>RMC 94-VC KLH</t>
  </si>
  <si>
    <t>Thu hồi cải tiến</t>
  </si>
  <si>
    <t>XAD-RMC-017(XA2-RMC-004)</t>
  </si>
  <si>
    <t>XN Chuối AD2</t>
  </si>
  <si>
    <t>XA2-RMC-007</t>
  </si>
  <si>
    <t>XAD-RMC-010</t>
  </si>
  <si>
    <t>A22-RMC-007</t>
  </si>
  <si>
    <t>44 BUỒNG</t>
  </si>
  <si>
    <t>XA2-SPT-001</t>
  </si>
  <si>
    <t>XAD-SPT-002(SPT08)</t>
  </si>
  <si>
    <t>A22-SPT-001</t>
  </si>
  <si>
    <t>HS128-TH313</t>
  </si>
  <si>
    <t>XXA-MCA-006</t>
  </si>
  <si>
    <t>AD2-BAL-004</t>
  </si>
  <si>
    <t>A22-MCA-006</t>
  </si>
  <si>
    <t>Máy cao áp 3.5HP</t>
  </si>
  <si>
    <t>Đã loại biên</t>
  </si>
  <si>
    <t>XXA-MCA-007</t>
  </si>
  <si>
    <t>AD2-BAL-005</t>
  </si>
  <si>
    <t>A22-MCA-007</t>
  </si>
  <si>
    <t>XXA-MCA-008</t>
  </si>
  <si>
    <t>AD2-BAL-006</t>
  </si>
  <si>
    <t>A22-MCA-008</t>
  </si>
  <si>
    <t>XL3-DPC-001</t>
  </si>
  <si>
    <t>A24-DPC-001</t>
  </si>
  <si>
    <t>Thiết bị phay cỏ</t>
  </si>
  <si>
    <t>Kèm trục cardang 750mm</t>
  </si>
  <si>
    <t xml:space="preserve">1.5*1.5*1.1m </t>
  </si>
  <si>
    <t>XD1-RMC-003</t>
  </si>
  <si>
    <t>RMC 07-VC KLH</t>
  </si>
  <si>
    <t>XD1-RMC-004</t>
  </si>
  <si>
    <t>RMC 92-VC KLH</t>
  </si>
  <si>
    <t>CNN-RVO-002</t>
  </si>
  <si>
    <t>XDP-PVO-002</t>
  </si>
  <si>
    <t>A23-RVO-002</t>
  </si>
  <si>
    <t>TB ĐIỀU CHUYỂN ĐI KLH KHÁC</t>
  </si>
  <si>
    <t>XD1-MBC-002</t>
  </si>
  <si>
    <t>XL3-MBC-001</t>
  </si>
  <si>
    <t>-Đ,chuyển từ LP3 24.08.2024
-ĐC KLH SNOUL ngày 11/06/2025</t>
  </si>
  <si>
    <t>2.5x1.8x3.6</t>
  </si>
  <si>
    <t>TB CHỜ PHÂN BỔ VUI LÒNG THÊM TRÊN HÀNG NÀY</t>
  </si>
  <si>
    <t>A23-XTA-001</t>
  </si>
  <si>
    <t>A23-XTA-002</t>
  </si>
  <si>
    <t>0HP</t>
  </si>
  <si>
    <t>Xe KIA K200SD</t>
  </si>
  <si>
    <t>X.Chở phân</t>
  </si>
  <si>
    <t>XE TẢI THÙNG/KOZUN</t>
  </si>
  <si>
    <t>Xe cấp cứu</t>
  </si>
  <si>
    <t>Xe chở rác</t>
  </si>
  <si>
    <t>ATT-A22-0019</t>
  </si>
  <si>
    <t>Xe đông lạnh</t>
  </si>
  <si>
    <t>ATT-A22-0020</t>
  </si>
  <si>
    <t>ATT-A22-0021</t>
  </si>
  <si>
    <t>Xe công vụ</t>
  </si>
  <si>
    <t>ATT-A22-0258</t>
  </si>
  <si>
    <t>XE XÚC LẬT</t>
  </si>
  <si>
    <t>ATT-A23-0023</t>
  </si>
  <si>
    <t>ATT-A23-0040</t>
  </si>
  <si>
    <t>ATT-A22-0259</t>
  </si>
  <si>
    <t>ATT-A22-0260</t>
  </si>
  <si>
    <t>ATT-A22-0261</t>
  </si>
  <si>
    <t>ATT-A23-0045</t>
  </si>
  <si>
    <t>X.Tải van</t>
  </si>
  <si>
    <t>XE ĐẦU KÉO</t>
  </si>
  <si>
    <t>DANH MỤC THIẾT BỊ KLH KOUNMOM</t>
  </si>
  <si>
    <t>X.Tải kéo</t>
  </si>
  <si>
    <t>Công đoạn</t>
  </si>
  <si>
    <t>Tên Thiết Bị</t>
  </si>
  <si>
    <t>Số lượng
(10/08/2026)</t>
  </si>
  <si>
    <t>Động Cơ (Nếu có)</t>
  </si>
  <si>
    <t>Định mức nhiên liệu theo NSX</t>
  </si>
  <si>
    <t xml:space="preserve">Năng suất </t>
  </si>
  <si>
    <t>Pháp nhân</t>
  </si>
  <si>
    <t xml:space="preserve">Đơn vị </t>
  </si>
  <si>
    <t>Địa Chỉ</t>
  </si>
  <si>
    <t>Số liên lạc (zalo)</t>
  </si>
  <si>
    <t>A. PHỤC VỤ TRỒNG CHUỐI</t>
  </si>
  <si>
    <t xml:space="preserve">I. TB phục vụ làm đất -  trồng mới </t>
  </si>
  <si>
    <t>Rải vôi</t>
  </si>
  <si>
    <t>Cày ngầm</t>
  </si>
  <si>
    <t>Cày úp luống</t>
  </si>
  <si>
    <t>Máy kéo chuối</t>
  </si>
  <si>
    <t>Máy nhỏ</t>
  </si>
  <si>
    <t>Xới đất</t>
  </si>
  <si>
    <t>Máy kéo chuối (Đcơ điện)</t>
  </si>
  <si>
    <t>2906,4</t>
  </si>
  <si>
    <t>MMTB Khác</t>
  </si>
  <si>
    <t>2.5HP</t>
  </si>
  <si>
    <t>XE LÔI</t>
  </si>
  <si>
    <t>Đào rãnh ống tưới</t>
  </si>
  <si>
    <t>ATT-A22-0313</t>
  </si>
  <si>
    <t>X.Lôi</t>
  </si>
  <si>
    <t>B. MÁY CÀY</t>
  </si>
  <si>
    <t>ATT-A22-0327</t>
  </si>
  <si>
    <t>MÁY CÀY BÁNH LỐP</t>
  </si>
  <si>
    <t>Rải phân hữu cơ</t>
  </si>
  <si>
    <t>Trồng mới chuối</t>
  </si>
  <si>
    <t>ATT-A22-0275</t>
  </si>
  <si>
    <t>ATT-A22-0281</t>
  </si>
  <si>
    <t>ATT-A22-0282</t>
  </si>
  <si>
    <t>ATT-A22-0325</t>
  </si>
  <si>
    <t>ATT-A22-0326</t>
  </si>
  <si>
    <t>ATT-A22-0276</t>
  </si>
  <si>
    <t>5058,3</t>
  </si>
  <si>
    <t>ATT-A22-0284</t>
  </si>
  <si>
    <t>1655,9</t>
  </si>
  <si>
    <t>ATT-A22-0283</t>
  </si>
  <si>
    <t>ATT-A22-0277</t>
  </si>
  <si>
    <t>A22-CT-0192</t>
  </si>
  <si>
    <t>1913 x 689 x 1076</t>
  </si>
  <si>
    <t>XE CONTAINER THUÊ NGOÀI</t>
  </si>
  <si>
    <t>II. TB phục vụ chăm sóc vườn</t>
  </si>
  <si>
    <t>Phun thuốc dưới tán lá</t>
  </si>
  <si>
    <t>X.Container</t>
  </si>
  <si>
    <t>Xe máy thu hoạch</t>
  </si>
  <si>
    <t>Máy phát cỏ 2 thì</t>
  </si>
  <si>
    <t>Máy phát cỏ 4 thì</t>
  </si>
  <si>
    <t>XE BUS</t>
  </si>
  <si>
    <t>Máy cưa gỗ</t>
  </si>
  <si>
    <t>X.Bus</t>
  </si>
  <si>
    <t>Phun thuốc trên tán lá</t>
  </si>
  <si>
    <t>Máy khoan hố cầm tay</t>
  </si>
  <si>
    <t>V</t>
  </si>
  <si>
    <t>XE CHUYÊN DỤNG</t>
  </si>
  <si>
    <t>XE NÂNG</t>
  </si>
  <si>
    <t>ATT-A23-0044</t>
  </si>
  <si>
    <t>X.Nâng điện</t>
  </si>
  <si>
    <t>Cắt cỏ quanh gốc chuối, luống chuối</t>
  </si>
  <si>
    <t>Máy phát cỏ 4 thì</t>
  </si>
  <si>
    <t>Má́y phát cỏ 2 thì</t>
  </si>
  <si>
    <t>1 Ha/8h</t>
  </si>
  <si>
    <t>III. TB phục vụ chăm sóc buồng</t>
  </si>
  <si>
    <t>Chăm sóc buồng</t>
  </si>
  <si>
    <t>Thang nhôm 2m</t>
  </si>
  <si>
    <t>70 buồng/8h</t>
  </si>
  <si>
    <t>Thang nhôm 3.5m</t>
  </si>
  <si>
    <t>X.Nâng tay</t>
  </si>
  <si>
    <t xml:space="preserve">III. TB phục vụ thu hoạch / vận chuyển </t>
  </si>
  <si>
    <t>Thu hoạch buồng, vận chuyển phụ phẩm, đối lưu vật tư</t>
  </si>
  <si>
    <t>1458,2</t>
  </si>
  <si>
    <t>ATT-A23-0046</t>
  </si>
  <si>
    <t>ATT-A23-0047</t>
  </si>
  <si>
    <t>Thiết bị cơ giới thi công</t>
  </si>
  <si>
    <t>Thiết bị</t>
  </si>
  <si>
    <t>ATT-A22-0055</t>
  </si>
  <si>
    <t>Thiết bị cơ giới làm đất</t>
  </si>
  <si>
    <t xml:space="preserve"> 1590mm x 1300mm</t>
  </si>
  <si>
    <t>X.Nâng</t>
  </si>
  <si>
    <t>150x150x200</t>
  </si>
  <si>
    <t>ATT-A22-0305</t>
  </si>
  <si>
    <t>1230x1705x860</t>
  </si>
  <si>
    <t>1970x1460x978</t>
  </si>
  <si>
    <t>2189x1335x1058</t>
  </si>
  <si>
    <t>6525x2385x2775</t>
  </si>
  <si>
    <t>1900x1900x1800</t>
  </si>
  <si>
    <t>Thiết bị cắt cỏ 1 bên</t>
  </si>
  <si>
    <t>180x86x72</t>
  </si>
  <si>
    <t>1070 x 2310 x 1300</t>
  </si>
  <si>
    <t>960 x 2260 x 950</t>
  </si>
  <si>
    <t>1830x1885x1590</t>
  </si>
  <si>
    <t>1800x1180x1152</t>
  </si>
  <si>
    <t>XE BỒN</t>
  </si>
  <si>
    <t>Thiết bị tạo rãnh</t>
  </si>
  <si>
    <t>2000x2700x1000</t>
  </si>
  <si>
    <t>ATT-A22-0295</t>
  </si>
  <si>
    <t>X.Bồn</t>
  </si>
  <si>
    <t xml:space="preserve">Cụm Pulley </t>
  </si>
  <si>
    <t xml:space="preserve"> B. PHỤC VỤ CHĂN NUÔI BÒ </t>
  </si>
  <si>
    <t xml:space="preserve">I. THIẾT BỊ SX TRỒNG TRỌT CỎ  </t>
  </si>
  <si>
    <t>1. TB làm đất trồng mới cỏ</t>
  </si>
  <si>
    <t>ATT-A22-0230</t>
  </si>
  <si>
    <t>Làm đất trồng cỏ</t>
  </si>
  <si>
    <t>ATT-A22-0159</t>
  </si>
  <si>
    <t>X.Tải bồn</t>
  </si>
  <si>
    <t>ATT-A22-0160</t>
  </si>
  <si>
    <t>ATT-A22-0161</t>
  </si>
  <si>
    <t>ATT-A22-0162</t>
  </si>
  <si>
    <t>Thiết bị úp luống 6 chảo</t>
  </si>
  <si>
    <t>ATT-A22-0311</t>
  </si>
  <si>
    <t>ATT-A22-0306</t>
  </si>
  <si>
    <t>ATT-A22-0307</t>
  </si>
  <si>
    <t>3500 x 2200 x 2150</t>
  </si>
  <si>
    <t>ATT-A22-0308</t>
  </si>
  <si>
    <t>2. TB phục vụ chăm sóc cỏ</t>
  </si>
  <si>
    <t>ATT-A22-0309</t>
  </si>
  <si>
    <t>Chăm sóc cỏ</t>
  </si>
  <si>
    <t>Thiết bị phục vụ chăn nuôi bò</t>
  </si>
  <si>
    <t>115x130x120</t>
  </si>
  <si>
    <t>ATT-A22-0310</t>
  </si>
  <si>
    <t>1195 x 4200 x 1148</t>
  </si>
  <si>
    <t>XE CẤP DẦU</t>
  </si>
  <si>
    <t>ATT-A22-0176</t>
  </si>
  <si>
    <t>X.Cấp nhiên liệu</t>
  </si>
  <si>
    <t>2000 x 2300 x 1400</t>
  </si>
  <si>
    <t>ATT-A23-0024</t>
  </si>
  <si>
    <t>1400 x 900 x 1100</t>
  </si>
  <si>
    <t xml:space="preserve">2300 x 650 x 1050 </t>
  </si>
  <si>
    <t>XE PHUN THUỐC</t>
  </si>
  <si>
    <t>X.Phun thuốc</t>
  </si>
  <si>
    <t>700x800x1000</t>
  </si>
  <si>
    <t>1000 x 350</t>
  </si>
  <si>
    <t>1485x2510x1255</t>
  </si>
  <si>
    <t>2500x800x2500</t>
  </si>
  <si>
    <t>3600 x 2700 x 1340</t>
  </si>
  <si>
    <t>XE KIA K200</t>
  </si>
  <si>
    <t>ATT-A22-0314</t>
  </si>
  <si>
    <t>X.Tải chuyên dụng (cabin đôi)</t>
  </si>
  <si>
    <t>ATT-A22-0315</t>
  </si>
  <si>
    <t>ATT-A22-0316</t>
  </si>
  <si>
    <t xml:space="preserve">SHIBAURA                                                                                                                                                                                                 </t>
  </si>
  <si>
    <t>ATT-A22-0320</t>
  </si>
  <si>
    <t>MÁY CÀY BÁNH XÍCH</t>
  </si>
  <si>
    <t>ATT-A22-0317</t>
  </si>
  <si>
    <t>2750x4130 x 4190</t>
  </si>
  <si>
    <t xml:space="preserve">3. TB phục vụ thu hoạch cỏ </t>
  </si>
  <si>
    <t>Thu hoạch cỏ</t>
  </si>
  <si>
    <t>2600x4165x4115</t>
  </si>
  <si>
    <t>2400x2840x3700</t>
  </si>
  <si>
    <t>ATO-A22-0018</t>
  </si>
  <si>
    <t>X.CLETHON</t>
  </si>
  <si>
    <t>3000 x 3000 x 1400</t>
  </si>
  <si>
    <t>ATO-A22-0004</t>
  </si>
  <si>
    <t>ATO-A22-0005</t>
  </si>
  <si>
    <t>ATO-A22-0006</t>
  </si>
  <si>
    <t>ATO-A22-0007</t>
  </si>
  <si>
    <t>Thiết bị phục vụ sản xuất chuối</t>
  </si>
  <si>
    <t/>
  </si>
  <si>
    <t>ATO-A22-0008</t>
  </si>
  <si>
    <t>ATO-A22-0009</t>
  </si>
  <si>
    <t>Rơ mooc, Sơ mi rơ mooc</t>
  </si>
  <si>
    <t xml:space="preserve">II. THIẾT BỊ VẬN CHUYỂN </t>
  </si>
  <si>
    <t>1. Rơ móc rải thức ăn</t>
  </si>
  <si>
    <t>4000 x 2400 x 1500</t>
  </si>
  <si>
    <t>Rải thức ăn</t>
  </si>
  <si>
    <t>ATO-A22-0010</t>
  </si>
  <si>
    <t>C. XE VẬN CHUYỂN</t>
  </si>
  <si>
    <t>XE TẢI BEN</t>
  </si>
  <si>
    <t xml:space="preserve">THACO FORLAND FD/FC </t>
  </si>
  <si>
    <t>ATO-A22-0011</t>
  </si>
  <si>
    <t>ATO-A22-0012</t>
  </si>
  <si>
    <t>3x2.1x2.1</t>
  </si>
  <si>
    <t>ATO-A22-0013</t>
  </si>
  <si>
    <t>ATO-A22-0015</t>
  </si>
  <si>
    <t>6.8x2x2.2</t>
  </si>
  <si>
    <t>ATO-A22-0016</t>
  </si>
  <si>
    <t>ATO-A22-0017</t>
  </si>
  <si>
    <t>4500 x 2500 x 1400</t>
  </si>
  <si>
    <t xml:space="preserve">2. Rơ móc phân </t>
  </si>
  <si>
    <t>ATO-A22-0019</t>
  </si>
  <si>
    <t>Trung chuyển phân - chất độn chuồng</t>
  </si>
  <si>
    <t>ATO-A22-0020</t>
  </si>
  <si>
    <t>2000 x 4000 x 700</t>
  </si>
  <si>
    <t>ATO-A22-0021</t>
  </si>
  <si>
    <t>ATO-A22-0022</t>
  </si>
  <si>
    <t>3000 x 1.600 x 1200</t>
  </si>
  <si>
    <t>ATO-A22-0023</t>
  </si>
  <si>
    <t>5500 x 2500 x 2400</t>
  </si>
  <si>
    <t>5400 x 2000 x 2500</t>
  </si>
  <si>
    <t>III. THIẾT BỊ KHÁC</t>
  </si>
  <si>
    <t>ATT-A22-0242</t>
  </si>
  <si>
    <t>Máy cưa gỗ STIHL</t>
  </si>
  <si>
    <t>Máy phát cỏ 2 thì</t>
  </si>
  <si>
    <t xml:space="preserve">C. PHỤC VỤ CÂY ĂN TRÁI </t>
  </si>
  <si>
    <t>1x1x1</t>
  </si>
  <si>
    <t xml:space="preserve">II. TB phục vụ chăm sóc </t>
  </si>
  <si>
    <t>Phun thuốc</t>
  </si>
  <si>
    <t>ATT-A22-0194</t>
  </si>
  <si>
    <t>X.Xúc lật</t>
  </si>
  <si>
    <t xml:space="preserve">Cắt cỏ </t>
  </si>
  <si>
    <t>4500 x 2000 x 1500</t>
  </si>
  <si>
    <t>Rơ moóc vận chuyển</t>
  </si>
  <si>
    <t>ATM-A22-0127</t>
  </si>
  <si>
    <t>6.1x2.4x0.9</t>
  </si>
  <si>
    <t>ATM-A22-0120</t>
  </si>
  <si>
    <t>ATT-A22-0324</t>
  </si>
  <si>
    <t xml:space="preserve">E. CÁC BỘ PHẬN KHÁC </t>
  </si>
  <si>
    <t>ATT-A22-0158</t>
  </si>
  <si>
    <t>ATT-A22-0323</t>
  </si>
  <si>
    <t>XE HỨNG CỎ</t>
  </si>
  <si>
    <t>ATT-A22-0285</t>
  </si>
  <si>
    <t>X.Hứng cỏ</t>
  </si>
  <si>
    <t>ATT-A22-0289</t>
  </si>
  <si>
    <t>ATT-A22-0293</t>
  </si>
  <si>
    <t>ATT-A22-0294</t>
  </si>
  <si>
    <t>ATT-A22-0296</t>
  </si>
  <si>
    <t>ATT-A22-0297</t>
  </si>
  <si>
    <t>XE CHỞ PHÂN</t>
  </si>
  <si>
    <t>ATT-A22-0286</t>
  </si>
  <si>
    <t>ATT-A22-0292</t>
  </si>
  <si>
    <t>ATT-A22-0290</t>
  </si>
  <si>
    <t>ATT-A22-0291</t>
  </si>
  <si>
    <t>ATT-A22-0303</t>
  </si>
  <si>
    <t>ATT-A22-0299</t>
  </si>
  <si>
    <t>XE RẢI THỨC ĂN</t>
  </si>
  <si>
    <t>ATT-A22-0270</t>
  </si>
  <si>
    <t>X.Rải thức ăn</t>
  </si>
  <si>
    <t>XE TẢI THÙNG</t>
  </si>
  <si>
    <t>ATT-A22-0287</t>
  </si>
  <si>
    <t>ATT-A22-0288</t>
  </si>
  <si>
    <t>XE CHỞ CÁM</t>
  </si>
  <si>
    <t>X.Chở cám</t>
  </si>
  <si>
    <t>XE CẨU</t>
  </si>
  <si>
    <t>ATT-A22-0240</t>
  </si>
  <si>
    <t>X.Cẩu bàn</t>
  </si>
  <si>
    <t>ATT-A22-0241</t>
  </si>
  <si>
    <t>ATT-A22-0048</t>
  </si>
  <si>
    <t>X.Cẩu 3.5-5 tấn</t>
  </si>
  <si>
    <t>ATT-A22-0049</t>
  </si>
  <si>
    <t>X.Cẩu 25-55 tấn</t>
  </si>
  <si>
    <t>ATT-A22-0125</t>
  </si>
  <si>
    <t>ATT-A22-0126</t>
  </si>
  <si>
    <t>X.Cẩu 8-15 tấn</t>
  </si>
  <si>
    <t>ĐƠN VỊ</t>
  </si>
  <si>
    <t>HỌ &amp; TÊN</t>
  </si>
  <si>
    <t>SỐ ZALO</t>
  </si>
  <si>
    <t>Thái Cao Lưu</t>
  </si>
  <si>
    <t>0387783316</t>
  </si>
  <si>
    <t>Lô 21 DP1</t>
  </si>
  <si>
    <t>Huỳnh Quang Viên</t>
  </si>
  <si>
    <t>0977623379</t>
  </si>
  <si>
    <t>Lô 15.6 DP2</t>
  </si>
  <si>
    <t>Thạch Ngọc Vững</t>
  </si>
  <si>
    <t>0975905267</t>
  </si>
  <si>
    <t>Lô 28 DP3</t>
  </si>
  <si>
    <t>XN Chuối DP4</t>
  </si>
  <si>
    <t>Nguyễn Ngọc Nhân</t>
  </si>
  <si>
    <t>0979578112</t>
  </si>
  <si>
    <t>Lô 7 LP1</t>
  </si>
  <si>
    <t>XN Chuối LP2</t>
  </si>
  <si>
    <t>Lê Cao Nghị</t>
  </si>
  <si>
    <t>0977423100</t>
  </si>
  <si>
    <t>Lô 2 LP3</t>
  </si>
  <si>
    <t>Trần Văn Nam</t>
  </si>
  <si>
    <t>0971993540</t>
  </si>
  <si>
    <t>Lô 28 XN Bò</t>
  </si>
  <si>
    <t>XE HÀNH CHÍNH</t>
  </si>
  <si>
    <t>CGLĐ XN Bò</t>
  </si>
  <si>
    <t>T.Q.Đ Ngọc Hải</t>
  </si>
  <si>
    <t>0344302386</t>
  </si>
  <si>
    <t>Lô 28, 65 XN Bò</t>
  </si>
  <si>
    <t>Nguyễn Tấn Triều</t>
  </si>
  <si>
    <t>05974160290</t>
  </si>
  <si>
    <t>Lô 85 DP4</t>
  </si>
  <si>
    <t>LP3.5-LP3</t>
  </si>
  <si>
    <t>Phạm Ngọc Hải</t>
  </si>
  <si>
    <t>0825456565</t>
  </si>
  <si>
    <t>Đỗ Đức Nghĩa</t>
  </si>
  <si>
    <t>0971462780</t>
  </si>
  <si>
    <t>NOCN L.4-LP3</t>
  </si>
  <si>
    <t>Vũ Trung Kiên</t>
  </si>
  <si>
    <t>0981761677</t>
  </si>
  <si>
    <t>Lô 73 ADM</t>
  </si>
  <si>
    <t>Trạm trộn bê tông</t>
  </si>
  <si>
    <t>Phạm Nhật Thịnh</t>
  </si>
  <si>
    <t>0935178908</t>
  </si>
  <si>
    <t>Trạm trộn DP</t>
  </si>
  <si>
    <t>Hành chính KLH</t>
  </si>
  <si>
    <t>Lê Trần Hoàng Minh</t>
  </si>
  <si>
    <t>0965509539</t>
  </si>
  <si>
    <t>Văn Phòng 94</t>
  </si>
  <si>
    <t>Xoài AD</t>
  </si>
  <si>
    <t>Huỳnh Đông Giang</t>
  </si>
  <si>
    <t>0972283372</t>
  </si>
  <si>
    <t>Lô 132 XN AD</t>
  </si>
  <si>
    <t>Hà Văn Nghĩa</t>
  </si>
  <si>
    <t>0813564564</t>
  </si>
  <si>
    <t>Lô 136 XN Xoài</t>
  </si>
  <si>
    <t>Bưởi AD</t>
  </si>
  <si>
    <t>Ban điện nước</t>
  </si>
  <si>
    <t>Trần Đình Phúc</t>
  </si>
  <si>
    <t>0924518278</t>
  </si>
  <si>
    <t>Kho điện nước</t>
  </si>
  <si>
    <t>Phòng GNVC</t>
  </si>
  <si>
    <t>Lâm Quốc Cường</t>
  </si>
  <si>
    <t>0384653979</t>
  </si>
  <si>
    <t>Tổng kho KLH</t>
  </si>
  <si>
    <t>Võ Thanh Hiếu</t>
  </si>
  <si>
    <t>0884281479</t>
  </si>
  <si>
    <t>Nguyễn Xuân Liêm</t>
  </si>
  <si>
    <t>0762578457</t>
  </si>
  <si>
    <t>NM Nhựa</t>
  </si>
  <si>
    <t>X.Công vụ</t>
  </si>
  <si>
    <t>X.Đông lạnh</t>
  </si>
  <si>
    <t>X.Chở rác</t>
  </si>
  <si>
    <t>XE KIA K200SD</t>
  </si>
  <si>
    <t>XE &amp; MÁY KHÁC</t>
  </si>
  <si>
    <t xml:space="preserve">Rùa </t>
  </si>
  <si>
    <t>DANH MỤC XE MÁY THU HOẠCH THUỘC KLH</t>
  </si>
  <si>
    <t>Mã tài sản</t>
  </si>
  <si>
    <t>Đơn vị sử dụng</t>
  </si>
  <si>
    <t>Năm sản xuất</t>
  </si>
  <si>
    <t>SỐ KHUNG</t>
  </si>
  <si>
    <t>SỐ MÁY</t>
  </si>
  <si>
    <t>NĂNG SUẤT ĐM THỰC TẾ</t>
  </si>
  <si>
    <t>NĂNG SUẤT ĐM LÝ THUYẾT</t>
  </si>
  <si>
    <t>A</t>
  </si>
  <si>
    <t>DAUNPENH</t>
  </si>
  <si>
    <t>XN DP1</t>
  </si>
  <si>
    <t>XD1-XMA-003</t>
  </si>
  <si>
    <t>Xe máy thu hoạch</t>
  </si>
  <si>
    <t>13/12/23</t>
  </si>
  <si>
    <t>110cc</t>
  </si>
  <si>
    <t>RLHJA3917KY439666</t>
  </si>
  <si>
    <t>JA39E1310566</t>
  </si>
  <si>
    <t>XD1-XMA-004</t>
  </si>
  <si>
    <t>RLHJA3902HY618732</t>
  </si>
  <si>
    <t>JA39E0589870</t>
  </si>
  <si>
    <t>XD1-XMA-005</t>
  </si>
  <si>
    <t>RLHJA3915KY114711</t>
  </si>
  <si>
    <t>JA39E0971106</t>
  </si>
  <si>
    <t>XD1-XMA-006</t>
  </si>
  <si>
    <t>RLHJA3928NY234676</t>
  </si>
  <si>
    <t>JA39E2731736</t>
  </si>
  <si>
    <t>XD1-XMA-007</t>
  </si>
  <si>
    <t>RLHJA3910KY340347</t>
  </si>
  <si>
    <t>JA3951206095</t>
  </si>
  <si>
    <t>XD1-XMA-008</t>
  </si>
  <si>
    <t>XA2-XMA-008</t>
  </si>
  <si>
    <t>TOL-A22-0751</t>
  </si>
  <si>
    <t>15/11/23</t>
  </si>
  <si>
    <t>Đ.chuyen từ XN AD2 ngày 25.02.2025</t>
  </si>
  <si>
    <t>RLHJA390GHY276699</t>
  </si>
  <si>
    <t>JAS9E-0276691</t>
  </si>
  <si>
    <t>XD1-XMA-011</t>
  </si>
  <si>
    <t>XA2-XMA-006</t>
  </si>
  <si>
    <t>TOL-A22-0749</t>
  </si>
  <si>
    <t>Đ.chuyen từ XN AD2 ngày 28.02.2025</t>
  </si>
  <si>
    <t>RLHJA391XLY039134</t>
  </si>
  <si>
    <t>JAS9E-1373865</t>
  </si>
  <si>
    <t>XD1-XMA-015</t>
  </si>
  <si>
    <t>XA2-XMA-015</t>
  </si>
  <si>
    <t>25/05/2024</t>
  </si>
  <si>
    <t>RLHJA39HY-582682</t>
  </si>
  <si>
    <t>JA39E-0557832</t>
  </si>
  <si>
    <t>XN DP2</t>
  </si>
  <si>
    <t>XD2-XMA-003</t>
  </si>
  <si>
    <t>RLA139251023176</t>
  </si>
  <si>
    <t>JA39E-2163180</t>
  </si>
  <si>
    <t>XD2-XMA-005</t>
  </si>
  <si>
    <t>RLHJA13924LY002900</t>
  </si>
  <si>
    <t>JA39E-2002957</t>
  </si>
  <si>
    <t>XD2-XMA-006</t>
  </si>
  <si>
    <t>RLHJA3901HY174923</t>
  </si>
  <si>
    <t>JA39E-'0174954</t>
  </si>
  <si>
    <t>XD2-XMA-009</t>
  </si>
  <si>
    <t>RLHJ3907HY88986</t>
  </si>
  <si>
    <t>JA39E-'0189341</t>
  </si>
  <si>
    <t>XD2-XMA-010</t>
  </si>
  <si>
    <t>RLHJA3924HY22080</t>
  </si>
  <si>
    <t>JA39E-'022080</t>
  </si>
  <si>
    <t>XD2-XMA-011</t>
  </si>
  <si>
    <t>RLHJA3908HY135231</t>
  </si>
  <si>
    <t>JA39E-'013523</t>
  </si>
  <si>
    <t>XD2-XMA-013</t>
  </si>
  <si>
    <t>RLHJA13923HY066928</t>
  </si>
  <si>
    <t>JA39E-2184232</t>
  </si>
  <si>
    <t>XD2-XMA-014</t>
  </si>
  <si>
    <t>RLHJA391XKY3991273</t>
  </si>
  <si>
    <t>JA39E -1259607</t>
  </si>
  <si>
    <t>XN DP3</t>
  </si>
  <si>
    <t>XD3-XMA-001</t>
  </si>
  <si>
    <t>RLHJA3923NY298611</t>
  </si>
  <si>
    <t>JA39E- 2795538</t>
  </si>
  <si>
    <t>XD3-XMA-002</t>
  </si>
  <si>
    <t>RLHJA3913KY391096</t>
  </si>
  <si>
    <t>JA39E- 1259486</t>
  </si>
  <si>
    <t>XD3-XMA-005</t>
  </si>
  <si>
    <t>RLHJA3909HY203553</t>
  </si>
  <si>
    <t>JA39E- 0203613</t>
  </si>
  <si>
    <t>XD3-XMA-006</t>
  </si>
  <si>
    <t>RLHGA3915KY189229</t>
  </si>
  <si>
    <t>JA39E- 1046928</t>
  </si>
  <si>
    <t>XD3-XMA-009</t>
  </si>
  <si>
    <t>RLHJA3923MY182260</t>
  </si>
  <si>
    <t>JA39E- 2300426</t>
  </si>
  <si>
    <t>XD3-XMA-013</t>
  </si>
  <si>
    <t>RLHJA3926NY123625</t>
  </si>
  <si>
    <t>JA39E- 2620533</t>
  </si>
  <si>
    <t>XD3-XMA-016</t>
  </si>
  <si>
    <t>RLHJA3905HY412319</t>
  </si>
  <si>
    <t>JA39E- 0387468</t>
  </si>
  <si>
    <t>XD3-XMA-017</t>
  </si>
  <si>
    <t>XA2-XMA-005</t>
  </si>
  <si>
    <t>TOL-A22-0748</t>
  </si>
  <si>
    <t>21/04/25</t>
  </si>
  <si>
    <t>RLHJA6928MY089626</t>
  </si>
  <si>
    <t>JH69E-2206942</t>
  </si>
  <si>
    <t>B.</t>
  </si>
  <si>
    <t>LUMPHAT</t>
  </si>
  <si>
    <t>LP1</t>
  </si>
  <si>
    <t>XL1-XMA-005</t>
  </si>
  <si>
    <t>LP4-XMA-005</t>
  </si>
  <si>
    <t>RLHJA391XKY384792</t>
  </si>
  <si>
    <t>M.Cắt cỏ đa năng</t>
  </si>
  <si>
    <t>JA39E1252802</t>
  </si>
  <si>
    <t>XL1-XMA-006</t>
  </si>
  <si>
    <t>LP4-XMA-006</t>
  </si>
  <si>
    <t>RLHJA3909HY071023</t>
  </si>
  <si>
    <t>JA39E0071005</t>
  </si>
  <si>
    <t>XL1-XMA-007</t>
  </si>
  <si>
    <t>LP4 chuyển qua LP1</t>
  </si>
  <si>
    <t>RLHJA392XMY130611</t>
  </si>
  <si>
    <t>JA39E2247937</t>
  </si>
  <si>
    <t>XL1-XMA-008</t>
  </si>
  <si>
    <t>LP4-XMA-013</t>
  </si>
  <si>
    <t>GLHJA39 03HI838879</t>
  </si>
  <si>
    <t>JA39E- 0819006</t>
  </si>
  <si>
    <t>XL1-XMA-009</t>
  </si>
  <si>
    <t>XL1-XMA-004</t>
  </si>
  <si>
    <t>RLHJA3917KY085020</t>
  </si>
  <si>
    <t>JA39E0941401</t>
  </si>
  <si>
    <t>XL1-XMA-010</t>
  </si>
  <si>
    <t>LP4-XMA-011</t>
  </si>
  <si>
    <t>GLHJA39 19LI038864</t>
  </si>
  <si>
    <t>JA39E- 1373550</t>
  </si>
  <si>
    <t>XL1-XMA-011</t>
  </si>
  <si>
    <t>LP4-XMA-014</t>
  </si>
  <si>
    <t>LP4 chuyển qua LP1 16.07.2024</t>
  </si>
  <si>
    <t>GLHJA39 12KI033889</t>
  </si>
  <si>
    <t>JA39E- 0889883</t>
  </si>
  <si>
    <t>XL1-XMA-012</t>
  </si>
  <si>
    <t>XL4-XMA-004</t>
  </si>
  <si>
    <t>RLHJA3915LY021205</t>
  </si>
  <si>
    <t>3A39E1354794</t>
  </si>
  <si>
    <t>XL1-XMA-013</t>
  </si>
  <si>
    <t>XA2-XMA-020</t>
  </si>
  <si>
    <t>XN AD Đchuyen ngày 20.02.2025</t>
  </si>
  <si>
    <t>RLHJA3912KY-132342</t>
  </si>
  <si>
    <t>JA39E-0989374</t>
  </si>
  <si>
    <t>XL1-XMA-014</t>
  </si>
  <si>
    <t>XA2-XMA-021</t>
  </si>
  <si>
    <t>RLHJA3908HY-031953</t>
  </si>
  <si>
    <t>JA39E-0032012</t>
  </si>
  <si>
    <t>XL1-XMA-015</t>
  </si>
  <si>
    <t>XA2-XMA-022</t>
  </si>
  <si>
    <t>RLHJA3913KY-204763</t>
  </si>
  <si>
    <t>JA39E-1062607</t>
  </si>
  <si>
    <t>LP3</t>
  </si>
  <si>
    <t>XL3-XMA-001</t>
  </si>
  <si>
    <t>XL1-XMA-001</t>
  </si>
  <si>
    <t>LP1 GIAO QUA LP3</t>
  </si>
  <si>
    <t>RLHJA3914KY139020</t>
  </si>
  <si>
    <t>JA39E099626</t>
  </si>
  <si>
    <t>XL3-XMA-002</t>
  </si>
  <si>
    <t>RLHJA3929MY402890</t>
  </si>
  <si>
    <t>JA39E2428102</t>
  </si>
  <si>
    <t>XL3-XMA-003</t>
  </si>
  <si>
    <t>RLHJA390XHY264944</t>
  </si>
  <si>
    <t>JAS9E0264795</t>
  </si>
  <si>
    <t>XL3-XMA-004</t>
  </si>
  <si>
    <t>RLHJA391XKY316394</t>
  </si>
  <si>
    <t>JAS9E1180159</t>
  </si>
  <si>
    <t>XL3-XMA-005</t>
  </si>
  <si>
    <t>RLHJA3900HX167090</t>
  </si>
  <si>
    <t>JA39E0167142</t>
  </si>
  <si>
    <t>XL3-XMA-006</t>
  </si>
  <si>
    <t>RLHJA3914KY116255</t>
  </si>
  <si>
    <t>JA39E0972655</t>
  </si>
  <si>
    <t>XL3-XMA-007</t>
  </si>
  <si>
    <t>RLHJA3917KY410040</t>
  </si>
  <si>
    <t>JA39E1279621</t>
  </si>
  <si>
    <t>XL3-XMA-008</t>
  </si>
  <si>
    <t>RLHJA3922MY130361</t>
  </si>
  <si>
    <t>JA39E2247683</t>
  </si>
  <si>
    <t>XL3-XMA-009</t>
  </si>
  <si>
    <t>RLHJA3915LY190446</t>
  </si>
  <si>
    <t>JA39E1528276</t>
  </si>
  <si>
    <t>XL3-XMA-010</t>
  </si>
  <si>
    <t>RLHJA3911LY16899</t>
  </si>
  <si>
    <t>JA39E1506840</t>
  </si>
  <si>
    <t>XL3-XMA-011</t>
  </si>
  <si>
    <t>Nhận bàn giao từ B.HC KLH</t>
  </si>
  <si>
    <t>RLHJA391XKY204081</t>
  </si>
  <si>
    <t>JA39E-1061910</t>
  </si>
  <si>
    <t>XL3-XMA-012</t>
  </si>
  <si>
    <t>RLH3A3905HY477232</t>
  </si>
  <si>
    <t>XL3-XMA-013</t>
  </si>
  <si>
    <t>RLHLUJA3913KY306760</t>
  </si>
  <si>
    <t>XL3-XMA-014</t>
  </si>
  <si>
    <t>RLHJA3913KY291211</t>
  </si>
  <si>
    <t>JA39E-1153196</t>
  </si>
  <si>
    <t>LP4</t>
  </si>
  <si>
    <t>XL4-XMA-001</t>
  </si>
  <si>
    <t>LP4-XMA-009</t>
  </si>
  <si>
    <t>GLHJA39 16LI197793</t>
  </si>
  <si>
    <t>JA39E-1535675</t>
  </si>
  <si>
    <t>XL4-XMA-002</t>
  </si>
  <si>
    <t>LP4-XMA-010</t>
  </si>
  <si>
    <t>GLHJA39 00HI028447</t>
  </si>
  <si>
    <t>JA39E-0028489</t>
  </si>
  <si>
    <t>XL4-XMA-007</t>
  </si>
  <si>
    <t>XL1-XMA-002</t>
  </si>
  <si>
    <t>LP1 GIAO QUA LP4</t>
  </si>
  <si>
    <t>GLHJA39 08HI707513</t>
  </si>
  <si>
    <t>JA39E- 0687658</t>
  </si>
  <si>
    <t>XL4-XMA-008</t>
  </si>
  <si>
    <t>XL1-XMA-003</t>
  </si>
  <si>
    <t>RLHJA3912LY166024</t>
  </si>
  <si>
    <t>JA39E1503930</t>
  </si>
  <si>
    <t>C.</t>
  </si>
  <si>
    <t>ANDONGMEAS</t>
  </si>
  <si>
    <t>XN AD2</t>
  </si>
  <si>
    <t>XA2-XMA-001</t>
  </si>
  <si>
    <t>AD2-XMA-001</t>
  </si>
  <si>
    <t>TOL-A22-0744</t>
  </si>
  <si>
    <t>Thanh lý</t>
  </si>
  <si>
    <t>RLHHC1204AY200315</t>
  </si>
  <si>
    <t>HC12E-2700316</t>
  </si>
  <si>
    <t>XE BA BÁNH</t>
  </si>
  <si>
    <t>XA2-XMA-002</t>
  </si>
  <si>
    <t>AD2-XMA-002</t>
  </si>
  <si>
    <t>TOL-A22-0745</t>
  </si>
  <si>
    <t>RLHJA3918KYI48402</t>
  </si>
  <si>
    <t>JA39E1005640</t>
  </si>
  <si>
    <t>XA2-XMA-004</t>
  </si>
  <si>
    <t>AD2-XMA-004</t>
  </si>
  <si>
    <t>TOL-A22-0747</t>
  </si>
  <si>
    <t>RLHJC43119Y635265</t>
  </si>
  <si>
    <t>JC43E-0612013</t>
  </si>
  <si>
    <t>XA2-XMA-012</t>
  </si>
  <si>
    <t>TOL-A22-0752</t>
  </si>
  <si>
    <t>28/11/23</t>
  </si>
  <si>
    <t>RLHJA3907HY030321</t>
  </si>
  <si>
    <t>JA39E-0030568</t>
  </si>
  <si>
    <t>XA2-XMA-014</t>
  </si>
  <si>
    <t>RLHJA3904HY069180</t>
  </si>
  <si>
    <t>JA39E-0069213</t>
  </si>
  <si>
    <t>XA2-XMA-016</t>
  </si>
  <si>
    <t>TRẮNG</t>
  </si>
  <si>
    <t>RLHJA3906HY-751817</t>
  </si>
  <si>
    <t>JA39E-0731967</t>
  </si>
  <si>
    <t>XA2-XMA-019</t>
  </si>
  <si>
    <t>ĐỎ</t>
  </si>
  <si>
    <t>RLHJA3900HY-490331</t>
  </si>
  <si>
    <t>JA39E-0465461</t>
  </si>
  <si>
    <t>XN BÒ</t>
  </si>
  <si>
    <t>XB1-XMA-001</t>
  </si>
  <si>
    <t>XA2-XMA-018</t>
  </si>
  <si>
    <t>Đchuyen từ XN AD ngày 03/03/2025</t>
  </si>
  <si>
    <t>RLHJA3905HY-353370</t>
  </si>
  <si>
    <t>JA39E-0353405</t>
  </si>
  <si>
    <t>NM CƠ KHÍ</t>
  </si>
  <si>
    <t>XA2-XMA-011</t>
  </si>
  <si>
    <t>TOL-A22-0753</t>
  </si>
  <si>
    <t>XN AD2 đchuyen NMCK ngày 07/03/2025</t>
  </si>
  <si>
    <t>RLHJA3915KY170258</t>
  </si>
  <si>
    <t>JA39E-1027928</t>
  </si>
  <si>
    <t>XA2-XMA-013</t>
  </si>
  <si>
    <t>RLHJA3929MY087704</t>
  </si>
  <si>
    <t>JA39E-2205040</t>
  </si>
  <si>
    <t>XE MÁY LOẠI BIÊN</t>
  </si>
  <si>
    <t>XD1-XMA-001</t>
  </si>
  <si>
    <t>XDP-XMA-001</t>
  </si>
  <si>
    <t>Loại biên ngày 11.03.2025</t>
  </si>
  <si>
    <t>RLHJA3900HY033079</t>
  </si>
  <si>
    <t>JA39E-0033093</t>
  </si>
  <si>
    <t>XD1-XMA-002</t>
  </si>
  <si>
    <t>XDP-XMA-002</t>
  </si>
  <si>
    <t>REHHC121XDY137597</t>
  </si>
  <si>
    <t>HC12E-6187662</t>
  </si>
  <si>
    <t>XD1-XMA-009</t>
  </si>
  <si>
    <t>XA2-XMA-007</t>
  </si>
  <si>
    <t>TOL-A22-0750</t>
  </si>
  <si>
    <t>RLHJA391GLY082756</t>
  </si>
  <si>
    <t>JAG9E-1419680</t>
  </si>
  <si>
    <t>XD1-XMA-010</t>
  </si>
  <si>
    <t>XA2-XMA-010</t>
  </si>
  <si>
    <t>RLHJA3901HY299937</t>
  </si>
  <si>
    <t>JA39E-0299960</t>
  </si>
  <si>
    <t>XD1-XMA-012</t>
  </si>
  <si>
    <t>XA2-XMA-009</t>
  </si>
  <si>
    <t>RLHJA3918LY123162</t>
  </si>
  <si>
    <t>JA39E-1461012</t>
  </si>
  <si>
    <t>XD1-XMA-013</t>
  </si>
  <si>
    <t>XA2-XMA-003</t>
  </si>
  <si>
    <t>TOL-A22-0746</t>
  </si>
  <si>
    <t>RLHJA3906HY524672</t>
  </si>
  <si>
    <t>JA39E0509834</t>
  </si>
  <si>
    <t>XD2-XMA-001</t>
  </si>
  <si>
    <t>RLHJA3915KY199579</t>
  </si>
  <si>
    <t>JA39E-1057287</t>
  </si>
  <si>
    <t>XD2-XMA-002</t>
  </si>
  <si>
    <t>RLHJA3526M726524</t>
  </si>
  <si>
    <t>JA39E-8243855</t>
  </si>
  <si>
    <t>XD2-XMA-007</t>
  </si>
  <si>
    <t>RLHJA3907HY285508</t>
  </si>
  <si>
    <t>JA39E-'0285560</t>
  </si>
  <si>
    <t>XD2-XMA-008</t>
  </si>
  <si>
    <t>RLHJA3901HY756228</t>
  </si>
  <si>
    <t>JA39E-'0736387</t>
  </si>
  <si>
    <t>XD2-XMA-004</t>
  </si>
  <si>
    <t>RLHJA3916LY025909</t>
  </si>
  <si>
    <t>JA39E-1360043</t>
  </si>
  <si>
    <t>XD2-XMA-012</t>
  </si>
  <si>
    <t>RLHJA3954HY09815</t>
  </si>
  <si>
    <t>JA39E-'000804</t>
  </si>
  <si>
    <t>XD3-XMA-003</t>
  </si>
  <si>
    <t>RLHJA3925MY105258</t>
  </si>
  <si>
    <t>JA39E- 2222553</t>
  </si>
  <si>
    <t>XD3-XMA-004</t>
  </si>
  <si>
    <t>RLHJA3900HY622634</t>
  </si>
  <si>
    <t>JA39E- 0597757</t>
  </si>
  <si>
    <t>XD3-XMA-007</t>
  </si>
  <si>
    <t>RLHJA3907HY729888</t>
  </si>
  <si>
    <t>JA39E- 0710044</t>
  </si>
  <si>
    <t>XD3-XMA-008</t>
  </si>
  <si>
    <t>RLHJA3918KY151008</t>
  </si>
  <si>
    <t>JA39E- 1008288</t>
  </si>
  <si>
    <t>XD3-XMA-010</t>
  </si>
  <si>
    <t>RLHJA3921MY025097</t>
  </si>
  <si>
    <t>JA39E- 2140082</t>
  </si>
  <si>
    <t>XD3-XMA-011</t>
  </si>
  <si>
    <t>RLHJA3927MY142893</t>
  </si>
  <si>
    <t>JA39E- 2260197</t>
  </si>
  <si>
    <t>XD3-XMA-012</t>
  </si>
  <si>
    <t>RLHJA3900HY612315</t>
  </si>
  <si>
    <t>JA39E- 0587469</t>
  </si>
  <si>
    <t>XD3-XMA-014</t>
  </si>
  <si>
    <t>RLHJA3906HY161018</t>
  </si>
  <si>
    <t>JA39E- 0160916</t>
  </si>
  <si>
    <t>XD3-XMA-015</t>
  </si>
  <si>
    <t>RLHJA3924LY046265</t>
  </si>
  <si>
    <t>JA39E- 2049217</t>
  </si>
  <si>
    <t>TỔNG KLH</t>
  </si>
  <si>
    <t>DANH MỤC NHÓM THIẾT BỊ THUỘC KHU LIÊN HỢP</t>
  </si>
  <si>
    <t>Loại MMTB</t>
  </si>
  <si>
    <t>NHÓM THIẾT BỊ ĐTXD</t>
  </si>
  <si>
    <t>Giàn cày ngầm</t>
  </si>
  <si>
    <t>Giàn cày ngầm 3 trụ</t>
  </si>
  <si>
    <t>Búa đục</t>
  </si>
  <si>
    <t>D. XE CHUYÊN DỤNG</t>
  </si>
  <si>
    <t>X.Máy</t>
  </si>
  <si>
    <t>Cần máy đào</t>
  </si>
  <si>
    <t>X.Tải Libero</t>
  </si>
  <si>
    <t>A22-CT-0193</t>
  </si>
  <si>
    <t>M.Xới đất</t>
  </si>
  <si>
    <t>Đầm Taluy</t>
  </si>
  <si>
    <t>Tình trạng 
Hỏng: 123/541</t>
  </si>
  <si>
    <t>Kích thước</t>
  </si>
  <si>
    <t>M.Đào bánh xích gàu 1.2m3</t>
  </si>
  <si>
    <t>LQ16-10073</t>
  </si>
  <si>
    <t>M.Đào bánh xích gàu 0.9m3</t>
  </si>
  <si>
    <t>M.Đào bánh xích gàu 0.7m3</t>
  </si>
  <si>
    <t>M.Đào bánh xích gàu 0.5m3</t>
  </si>
  <si>
    <t>M.Ủi D3</t>
  </si>
  <si>
    <t>M.Ủi D6</t>
  </si>
  <si>
    <t>Đầu tư mới ĐQSD (Tài sản DP)
- Bàn giao về CGTC ADM theo TTr số 04-T05/2025/B.XDCB</t>
  </si>
  <si>
    <t>190 HP</t>
  </si>
  <si>
    <t>Gàu định hình</t>
  </si>
  <si>
    <t>380 HP</t>
  </si>
  <si>
    <t>- Chuyển ra CGTC AD mượn
Đầu tư mới</t>
  </si>
  <si>
    <t>ETX D300</t>
  </si>
  <si>
    <t>M.Cày KAM50</t>
  </si>
  <si>
    <t xml:space="preserve">Đã loại biên </t>
  </si>
  <si>
    <t>A23-MĐA-013</t>
  </si>
  <si>
    <t>M.Đào 0.3</t>
  </si>
  <si>
    <t>M.Cày SHIBAURA</t>
  </si>
  <si>
    <t>Bàn giao về XDCB (DP3) ngày 29/07/2024</t>
  </si>
  <si>
    <t>M.Đào CAT 303 gàu 0.3m3</t>
  </si>
  <si>
    <t>A23-MĐA-014</t>
  </si>
  <si>
    <t>Bàn giao về XDCB (DP2) ngày 26/07/2024</t>
  </si>
  <si>
    <t>A22-MKE-013</t>
  </si>
  <si>
    <t>A23-MĐA-015</t>
  </si>
  <si>
    <t>Bàn giao về XDCB (DP1) ngày 29/07/2024</t>
  </si>
  <si>
    <t>X.Tải FD 3.5T</t>
  </si>
  <si>
    <t>Bàn giao về XDCB ngày 01/11/2024</t>
  </si>
  <si>
    <t>X.Xúc lật 916A</t>
  </si>
  <si>
    <t>X.Ben FAW (16m3)</t>
  </si>
  <si>
    <t>A23-MĐA-047</t>
  </si>
  <si>
    <t>X.Tải FORLAND 2.5T</t>
  </si>
  <si>
    <t>A23-MĐA-048</t>
  </si>
  <si>
    <t>X.Tải HYUNDAI 3.5T</t>
  </si>
  <si>
    <t>M.Cày M6040</t>
  </si>
  <si>
    <t>A23-XLU-008</t>
  </si>
  <si>
    <t>A22-MKE-012</t>
  </si>
  <si>
    <t>A22-MKE-014</t>
  </si>
  <si>
    <t>M.Đào bánh lốp gàu 0.7m3</t>
  </si>
  <si>
    <t>A22-MKE-017</t>
  </si>
  <si>
    <t>M.Đào bánh lốp gàu 0.8m3</t>
  </si>
  <si>
    <t>M.Cày M9540</t>
  </si>
  <si>
    <t>A22-MKE-019</t>
  </si>
  <si>
    <t>M.Đào bánh xích gàu 0.8m3</t>
  </si>
  <si>
    <t>M.Cày L4508</t>
  </si>
  <si>
    <t>76 HP</t>
  </si>
  <si>
    <t>X.Tải KOZUN</t>
  </si>
  <si>
    <t>A23-MKE-003</t>
  </si>
  <si>
    <t>A23-MKE-010</t>
  </si>
  <si>
    <t>M.Cày NH TD 110</t>
  </si>
  <si>
    <t>A23-MKE-011</t>
  </si>
  <si>
    <t>X.Clethon</t>
  </si>
  <si>
    <t>A22-MKE-004</t>
  </si>
  <si>
    <t>M.Cày Shibaura</t>
  </si>
  <si>
    <t>M.Đào U35 gàu 0.3m3</t>
  </si>
  <si>
    <t>FD120-4WD FD12B33F130</t>
  </si>
  <si>
    <t>M.Cắt cỏ đẩy tay đa năng</t>
  </si>
  <si>
    <t>1,3HP</t>
  </si>
  <si>
    <t>A23-MKE-022</t>
  </si>
  <si>
    <t>M.Đào KOMATSU gàu 0.3m3</t>
  </si>
  <si>
    <t>A23-XTA-011</t>
  </si>
  <si>
    <t>A23-XTA-012</t>
  </si>
  <si>
    <t>A23-XTA-010</t>
  </si>
  <si>
    <t>A24-XTA-010</t>
  </si>
  <si>
    <t>XT 16 HT-KLH</t>
  </si>
  <si>
    <t>- Chuyển ra CGTC AD
Đầu tư mới</t>
  </si>
  <si>
    <t>M.Đào bánh lốp gàu 0.5m3</t>
  </si>
  <si>
    <t>A24-XLU-005</t>
  </si>
  <si>
    <t>A24-MĐA-049</t>
  </si>
  <si>
    <t>Bàn giao về XDCB LP ngày 01/07/2024</t>
  </si>
  <si>
    <t>A24-MĐA-013</t>
  </si>
  <si>
    <t>A24-MĐA-014</t>
  </si>
  <si>
    <t>Bàn giao về XDCB ngày 29/07/2024</t>
  </si>
  <si>
    <t>A24-MĐA-012</t>
  </si>
  <si>
    <t>145 HP</t>
  </si>
  <si>
    <t>28 HP</t>
  </si>
  <si>
    <t>39 Hp</t>
  </si>
  <si>
    <t>78 Hp</t>
  </si>
  <si>
    <t xml:space="preserve">A22-MĐA-053
</t>
  </si>
  <si>
    <t>ĐỀ XUÁT THANH LÝ
XNB đ.chuyển qua ngày 25/06/2024</t>
  </si>
  <si>
    <t>ĐỀ XUẤT THANH LÝ
XN AD2 đ.chuyển qua ngày 25/06/2024</t>
  </si>
  <si>
    <t>A22-MĐA-061</t>
  </si>
  <si>
    <t>ĐỀ XUẤT THANH LÝ
XN AD2 đ.chuyển qua ngày 08/08/2024</t>
  </si>
  <si>
    <t>Đầu tư mới (Tài sản DP)
- Bàn giao về CGTC ADM theo TTr số 04-T05/2025/B.XDCB</t>
  </si>
  <si>
    <t>XDP-MKE-003(MK82NNKLH)</t>
  </si>
  <si>
    <t>M.Cày 45-60HP</t>
  </si>
  <si>
    <t>Cơ điện</t>
  </si>
  <si>
    <t>A23-MKE-005</t>
  </si>
  <si>
    <t>M.Cày 95-120HP</t>
  </si>
  <si>
    <t>A23-MKE-006</t>
  </si>
  <si>
    <t>A23-MKE-007</t>
  </si>
  <si>
    <t>A23-MKE-008</t>
  </si>
  <si>
    <t>M.Cày 80-90HP</t>
  </si>
  <si>
    <t>A23-MKE-009</t>
  </si>
  <si>
    <t>M.Cày 145-155HP</t>
  </si>
  <si>
    <t>NM NHỰA</t>
  </si>
  <si>
    <t>M.Cày &gt;170HP</t>
  </si>
  <si>
    <t>170 HP</t>
  </si>
  <si>
    <t>CGLĐ AD</t>
  </si>
  <si>
    <t>A23-MKE-012</t>
  </si>
  <si>
    <t>A23-MKE-013</t>
  </si>
  <si>
    <t>A23-MKE-014</t>
  </si>
  <si>
    <t>A23-XPT-001</t>
  </si>
  <si>
    <t>Xe tải Faw 15T (PT)</t>
  </si>
  <si>
    <t>A23-XTA-008</t>
  </si>
  <si>
    <t>X.Kozun</t>
  </si>
  <si>
    <t>A23-XTA-009</t>
  </si>
  <si>
    <t>X.Ben FD990</t>
  </si>
  <si>
    <t>FD990-4WD</t>
  </si>
  <si>
    <t>A23-CCM-001</t>
  </si>
  <si>
    <t>Bàn giao về XN DP1 ngày 30/07/2024</t>
  </si>
  <si>
    <t>A23-MKE-016</t>
  </si>
  <si>
    <t>A23-MKE-017</t>
  </si>
  <si>
    <t>A23-MKE-019</t>
  </si>
  <si>
    <t>A23-MKE-020</t>
  </si>
  <si>
    <t>A23-XPT-002</t>
  </si>
  <si>
    <t>A23-XTA-019</t>
  </si>
  <si>
    <t xml:space="preserve">Bàn giao về XDCB Ngày 30.07.2024 
</t>
  </si>
  <si>
    <t>A23-XTA-020</t>
  </si>
  <si>
    <t>Xe nâng điện Lovol 2.5 tấn</t>
  </si>
  <si>
    <t>ATM-A22-0012</t>
  </si>
  <si>
    <t>A23-MKE-023</t>
  </si>
  <si>
    <t>A23-MKE-024</t>
  </si>
  <si>
    <t>A23-MKE-025</t>
  </si>
  <si>
    <t>A23-MKE-026</t>
  </si>
  <si>
    <t>A23-MKE-027</t>
  </si>
  <si>
    <t>A23-MKE-028</t>
  </si>
  <si>
    <t>A23-MKE-029</t>
  </si>
  <si>
    <t>A23-XPT-003</t>
  </si>
  <si>
    <t>Xe ben FC950 (PT)</t>
  </si>
  <si>
    <t>2008-7</t>
  </si>
  <si>
    <t>Xe nâng điện Lovol 1.5 tấn</t>
  </si>
  <si>
    <t>A23-XTA-021</t>
  </si>
  <si>
    <t>A23-XTA-022</t>
  </si>
  <si>
    <t>A24-XTA-007</t>
  </si>
  <si>
    <t>A24-MKE-010</t>
  </si>
  <si>
    <t>A24-MKE-018</t>
  </si>
  <si>
    <t>A24-MKE-019</t>
  </si>
  <si>
    <t>A24-MKE-020</t>
  </si>
  <si>
    <t>M.Cày &lt;45HP</t>
  </si>
  <si>
    <t>A24-MKE-017</t>
  </si>
  <si>
    <t>A24-XTA-019</t>
  </si>
  <si>
    <t>CG195F</t>
  </si>
  <si>
    <t>10 HP</t>
  </si>
  <si>
    <t>A24-MKE-011</t>
  </si>
  <si>
    <t>A24-MKE-012</t>
  </si>
  <si>
    <t>A24-MKE-013</t>
  </si>
  <si>
    <t>A24-MKE-014</t>
  </si>
  <si>
    <t>A24-MKE-015</t>
  </si>
  <si>
    <t>A24-MKE-016</t>
  </si>
  <si>
    <t>A24-XLT-001</t>
  </si>
  <si>
    <t>ATT-A24-0055</t>
  </si>
  <si>
    <t>E75-6HY0880</t>
  </si>
  <si>
    <t>A24-XTA-008</t>
  </si>
  <si>
    <t>A24-XTA-018</t>
  </si>
  <si>
    <t>A24-XPT-001</t>
  </si>
  <si>
    <t>A24-XNA-001</t>
  </si>
  <si>
    <t>2007/2</t>
  </si>
  <si>
    <t>X.Rùa bánh xích</t>
  </si>
  <si>
    <t>67 HP</t>
  </si>
  <si>
    <t>A23-MKE-030</t>
  </si>
  <si>
    <t>A23-MKE-031</t>
  </si>
  <si>
    <t>CNN-MKE-002 (MK84NNKLH)</t>
  </si>
  <si>
    <t>CGLĐ DP ĐCHUYEN QUA NGÀY 13.01.2026</t>
  </si>
  <si>
    <t>A22-MKE-001</t>
  </si>
  <si>
    <t>A22-MKE-002</t>
  </si>
  <si>
    <t>A22-MKE-003</t>
  </si>
  <si>
    <t>A22-MKE-005</t>
  </si>
  <si>
    <t>MK 02-VC KLH(XD2-MKE-004)</t>
  </si>
  <si>
    <t>XN DP2 điều chuyển qua ngày 12/02/2025</t>
  </si>
  <si>
    <t>MK40VC-KLH</t>
  </si>
  <si>
    <t>A22-MKE-009</t>
  </si>
  <si>
    <t>A22-MKE-010</t>
  </si>
  <si>
    <t>A22-MKE-011</t>
  </si>
  <si>
    <t>A22-MKE-015</t>
  </si>
  <si>
    <t>A22-MKE-016</t>
  </si>
  <si>
    <t>MK33-VCKLH</t>
  </si>
  <si>
    <t>A22-MKE-018</t>
  </si>
  <si>
    <t>A22-MKE-020</t>
  </si>
  <si>
    <t>M.Cày bánh xích</t>
  </si>
  <si>
    <t>XAD-MKE-017(MK43VCKLH)</t>
  </si>
  <si>
    <t>A22-MKE-021</t>
  </si>
  <si>
    <t>A22-MKE-022</t>
  </si>
  <si>
    <t>A22-MKE-051</t>
  </si>
  <si>
    <t>A22-MKE-052</t>
  </si>
  <si>
    <t>A22-MKE-053</t>
  </si>
  <si>
    <t>A22-MKE-054</t>
  </si>
  <si>
    <t>A22-MKE-055</t>
  </si>
  <si>
    <t>90 HP</t>
  </si>
  <si>
    <t>A22-MKE-056</t>
  </si>
  <si>
    <t>Hoán đổi xe với CGLĐ LP ngày 06.02.2025</t>
  </si>
  <si>
    <t>95 HP</t>
  </si>
  <si>
    <t>120 HP</t>
  </si>
  <si>
    <t>102 Hp</t>
  </si>
  <si>
    <t>200 Hp</t>
  </si>
  <si>
    <t>A22-XXL-002</t>
  </si>
  <si>
    <t>A22-XXL-004</t>
  </si>
  <si>
    <t>V3307T8JL1568</t>
  </si>
  <si>
    <t>115 HP</t>
  </si>
  <si>
    <t>VOLVO</t>
  </si>
  <si>
    <t>A22-XXL-008</t>
  </si>
  <si>
    <t>142,7 Hp</t>
  </si>
  <si>
    <t>A22-XCC-001</t>
  </si>
  <si>
    <t>A22-XRA-005</t>
  </si>
  <si>
    <t>RNHF16FYANT065198</t>
  </si>
  <si>
    <t>129 HP</t>
  </si>
  <si>
    <t>X.Tải thùng</t>
  </si>
  <si>
    <t>Điều chuyển từ GNVC KLH 08/07/2024</t>
  </si>
  <si>
    <t>295 HP</t>
  </si>
  <si>
    <t>A22-XPT-004</t>
  </si>
  <si>
    <t>Dự án dứa chuyển qua XNB</t>
  </si>
  <si>
    <t>A23-XTA-013</t>
  </si>
  <si>
    <t>81C-07982</t>
  </si>
  <si>
    <t>A22-XTA-010</t>
  </si>
  <si>
    <t>A22-XTA-011</t>
  </si>
  <si>
    <t>THACO FOTON</t>
  </si>
  <si>
    <t>CGTC DP điều chuyển qua ngày 06.12.2025
Cải tạo thành xe cấp dầu
Bồn nhiên liệu 16.000L: A23-BNL-001
Máy phát điện 3kw: CVC-MFĐ-001</t>
  </si>
  <si>
    <t>A22-BUS-001</t>
  </si>
  <si>
    <t>A22-BUS-002</t>
  </si>
  <si>
    <t>A23-COT-001</t>
  </si>
  <si>
    <t>A23-COT-002</t>
  </si>
  <si>
    <t>A23-COT-003</t>
  </si>
  <si>
    <t>A23-COT-004</t>
  </si>
  <si>
    <t>A23-COT-005</t>
  </si>
  <si>
    <t>A23-COT-006</t>
  </si>
  <si>
    <t>A22-MKE-028</t>
  </si>
  <si>
    <t>A22-XLO-001</t>
  </si>
  <si>
    <t>A22-XLO-002</t>
  </si>
  <si>
    <t>A22-XLO-003</t>
  </si>
  <si>
    <t>A23-MKE-032</t>
  </si>
  <si>
    <t>A23-MKE-033</t>
  </si>
  <si>
    <t>A22-MKE-031</t>
  </si>
  <si>
    <t>X. THACO ID ME (BAN SXCN)</t>
  </si>
  <si>
    <t>A22-XCA-004</t>
  </si>
  <si>
    <t>A22-XCA-002</t>
  </si>
  <si>
    <t>-Đ.chuyển từ CGTC AD -29/07/2024</t>
  </si>
  <si>
    <t>A22-XCA-006</t>
  </si>
  <si>
    <t>tài sản ME</t>
  </si>
  <si>
    <t>21615E037691</t>
  </si>
  <si>
    <t>A22-XNA-002</t>
  </si>
  <si>
    <t>A22-MKE-029</t>
  </si>
  <si>
    <t>A22-MKE-030</t>
  </si>
  <si>
    <t>A22-MKE-032</t>
  </si>
  <si>
    <t>A22-XNA-001</t>
  </si>
  <si>
    <t>A22-XLO-007</t>
  </si>
  <si>
    <t>A22-XLO-008</t>
  </si>
  <si>
    <t>A22-XLO-009</t>
  </si>
  <si>
    <t>A23-XTA-007</t>
  </si>
  <si>
    <t>Xe ben FD850 (cấp nước sạch bồn 5000L)</t>
  </si>
  <si>
    <t>Từ CGTC DP qua</t>
  </si>
  <si>
    <t>LC008847</t>
  </si>
  <si>
    <t>CCHT- KHL - 009</t>
  </si>
  <si>
    <t>RÙA BÁNH XÍCH</t>
  </si>
  <si>
    <t>A22-XLO-004</t>
  </si>
  <si>
    <t>A22-XLO-005</t>
  </si>
  <si>
    <t>XIII. BAN CG-CK</t>
  </si>
  <si>
    <t>A22-XMA-001</t>
  </si>
  <si>
    <t>A22-XMA-002</t>
  </si>
  <si>
    <t>A22-XMA-003</t>
  </si>
  <si>
    <t>A22-LBR-001</t>
  </si>
  <si>
    <t>Xe Libero</t>
  </si>
  <si>
    <t>A22-LBR-002</t>
  </si>
  <si>
    <t>Xe máy</t>
  </si>
  <si>
    <t>XÍ NGHIỆP BÒ</t>
  </si>
  <si>
    <t>XB1-MPC-027</t>
  </si>
  <si>
    <t>XB1-MPC-028</t>
  </si>
  <si>
    <t>XB1-MPC-029</t>
  </si>
  <si>
    <t>XB1-MPC-030</t>
  </si>
  <si>
    <t>XB1-MPC-032</t>
  </si>
  <si>
    <t>XB1-MPC-033</t>
  </si>
  <si>
    <t>XB1-MPC-035</t>
  </si>
  <si>
    <t>XB1-MPC-036</t>
  </si>
  <si>
    <t>XB1-MPC-037</t>
  </si>
  <si>
    <t>XB1-MPC-038</t>
  </si>
  <si>
    <t>XB1-MPC-039</t>
  </si>
  <si>
    <t>XB1-MPC-040</t>
  </si>
  <si>
    <t>XB1-MPC-041</t>
  </si>
  <si>
    <t>XB1-MPC-042</t>
  </si>
  <si>
    <t>XB1-MPC-043</t>
  </si>
  <si>
    <t>XB1-MPC-044</t>
  </si>
  <si>
    <t>XB1-MPC-045</t>
  </si>
  <si>
    <t>XB1-MPC-046</t>
  </si>
  <si>
    <t>XB1-MPC-047</t>
  </si>
  <si>
    <t>XB1-MPC-048</t>
  </si>
  <si>
    <t>XB1-MPC-049</t>
  </si>
  <si>
    <t>XB1-MPC-050</t>
  </si>
  <si>
    <t>XB1-MPC-051</t>
  </si>
  <si>
    <t>XB1-MPC-052</t>
  </si>
  <si>
    <t>XB1-MPC-053</t>
  </si>
  <si>
    <t>XB1-MPC-054</t>
  </si>
  <si>
    <t>XB1-MPC-055</t>
  </si>
  <si>
    <t>XB1-MPC-056</t>
  </si>
  <si>
    <t>XB1-MPC-057</t>
  </si>
  <si>
    <t>XB1-MPC-058</t>
  </si>
  <si>
    <t>XB1-MPC-059</t>
  </si>
  <si>
    <t>XB1-MPC-060</t>
  </si>
  <si>
    <t>XB1-MPC-061</t>
  </si>
  <si>
    <t>XB1-MPC-062</t>
  </si>
  <si>
    <t>XB1-MPC-063</t>
  </si>
  <si>
    <t>XB1-MPC-064</t>
  </si>
  <si>
    <t>XB1-MPC-065</t>
  </si>
  <si>
    <t>XB1-MPC-066</t>
  </si>
  <si>
    <t>XB1-MPC-067</t>
  </si>
  <si>
    <t>XB1-MPC-068</t>
  </si>
  <si>
    <t>XB1-MPC-069</t>
  </si>
  <si>
    <t>XB1-MPC-070</t>
  </si>
  <si>
    <t>XB1-MPC-071</t>
  </si>
  <si>
    <t>XB1-MPC-072</t>
  </si>
  <si>
    <t>XB1-MPC-073</t>
  </si>
  <si>
    <t>XB1-MPC-074</t>
  </si>
  <si>
    <t>XB1-MPC-075</t>
  </si>
  <si>
    <t>XB1-MPC-076</t>
  </si>
  <si>
    <t>XB1-MPC-077</t>
  </si>
  <si>
    <t>XB1-MPC-078</t>
  </si>
  <si>
    <t>XB1-MPC-079</t>
  </si>
  <si>
    <t>XB1-MPC-080</t>
  </si>
  <si>
    <t>XB1-MPC-081</t>
  </si>
  <si>
    <t>XB1-MPC-082</t>
  </si>
  <si>
    <t>XB1-MPC-083</t>
  </si>
  <si>
    <t>XB1-MPC-084</t>
  </si>
  <si>
    <t>XB1-MPC-085</t>
  </si>
  <si>
    <t>XB1-MPC-086</t>
  </si>
  <si>
    <t>XB1-MPC-087</t>
  </si>
  <si>
    <t>XB1-MPC-088</t>
  </si>
  <si>
    <t>XB1-MPC-089</t>
  </si>
  <si>
    <t>XB1-MPC-090</t>
  </si>
  <si>
    <t>XB1-MPC-091</t>
  </si>
  <si>
    <t>XB1-MPC-092</t>
  </si>
  <si>
    <t>XB1-MPC-093</t>
  </si>
  <si>
    <t>XB1-MPC-094</t>
  </si>
  <si>
    <t>XB1-MPC-095</t>
  </si>
  <si>
    <t>XB1-MPC-096</t>
  </si>
  <si>
    <t>XB1-MPC-097</t>
  </si>
  <si>
    <t>XB1-MPC-098</t>
  </si>
  <si>
    <t>XB1-MPC-099</t>
  </si>
  <si>
    <t>XB1-MPC-100</t>
  </si>
  <si>
    <t>XB1-MPC-101</t>
  </si>
  <si>
    <t>XB1-MPC-102</t>
  </si>
  <si>
    <t>XB1-MPC-103</t>
  </si>
  <si>
    <t>XB1-MPC-104</t>
  </si>
  <si>
    <t>XB1-MPC-105</t>
  </si>
  <si>
    <t>XB1-MPC-106</t>
  </si>
  <si>
    <t>XB1-MPC-107</t>
  </si>
  <si>
    <t>XB1-MPC-108</t>
  </si>
  <si>
    <t>XB1-MPC-109</t>
  </si>
  <si>
    <t>XB1-MPC-110</t>
  </si>
  <si>
    <t>XB1-MPC-111</t>
  </si>
  <si>
    <t>XB1-MPC-112</t>
  </si>
  <si>
    <t>XB1-MPC-113</t>
  </si>
  <si>
    <t>XB1-MPC-114</t>
  </si>
  <si>
    <t>XB1-MPC-115</t>
  </si>
  <si>
    <t>XB1-MPC-116</t>
  </si>
  <si>
    <t>XB1-MPC-117</t>
  </si>
  <si>
    <t>XB1-MPC-118</t>
  </si>
  <si>
    <t>XB1-MPC-119</t>
  </si>
  <si>
    <t>XB1-MPC-120</t>
  </si>
  <si>
    <t>XB1-MPC-121</t>
  </si>
  <si>
    <t>XB1-MPC-122</t>
  </si>
  <si>
    <t>XB1-MPC-123</t>
  </si>
  <si>
    <t>XB1-MPC-124</t>
  </si>
  <si>
    <t>XB1-MPC-125</t>
  </si>
  <si>
    <t>XB1-MPC-126</t>
  </si>
  <si>
    <t>XB1-MPC-127</t>
  </si>
  <si>
    <t>XB1-MPC-128</t>
  </si>
  <si>
    <t>XB1-MPC-129</t>
  </si>
  <si>
    <t>NT XOÀI AD</t>
  </si>
  <si>
    <t>XXA-MPC-017</t>
  </si>
  <si>
    <t>NT XOÀI AD</t>
  </si>
  <si>
    <t>XXA-MPC-018</t>
  </si>
  <si>
    <t>XXA-MPC-044</t>
  </si>
  <si>
    <t>XXA-MPC-045</t>
  </si>
  <si>
    <t>XXA-MPC-046</t>
  </si>
  <si>
    <t>XXA-MPC-047</t>
  </si>
  <si>
    <t>XXA-MPC-048</t>
  </si>
  <si>
    <t>XXA-MPC-049</t>
  </si>
  <si>
    <t>XXA-MPC-050</t>
  </si>
  <si>
    <t>XXA-MPC-051</t>
  </si>
  <si>
    <t>XXA-MPC-052</t>
  </si>
  <si>
    <t>XXA-MPC-053</t>
  </si>
  <si>
    <t>XXA-MPC-054</t>
  </si>
  <si>
    <t>XXA-MPC-055</t>
  </si>
  <si>
    <t>XXA-MPC-056</t>
  </si>
  <si>
    <t>XXA-MPC-057</t>
  </si>
  <si>
    <t>XXA-MPC-058</t>
  </si>
  <si>
    <t>XXA-MPC-059</t>
  </si>
  <si>
    <t>XXA-MPC-060</t>
  </si>
  <si>
    <t>XXA-MPC-061</t>
  </si>
  <si>
    <t>XXA-MPC-062</t>
  </si>
  <si>
    <t>XXA-MPC-063</t>
  </si>
  <si>
    <t>XXA-MPC-064</t>
  </si>
  <si>
    <t>XXA-MPC-065</t>
  </si>
  <si>
    <t>XXA-MPC-066</t>
  </si>
  <si>
    <t>XXA-MPC-067</t>
  </si>
  <si>
    <t>XXA-MPC-068</t>
  </si>
  <si>
    <t>NT BƯỞI AD</t>
  </si>
  <si>
    <t>XBA-MPC-012</t>
  </si>
  <si>
    <t>NT BƯỞI AD</t>
  </si>
  <si>
    <t>XBA-MPC-016</t>
  </si>
  <si>
    <t>XBA-MPC-017</t>
  </si>
  <si>
    <t>XBA-MPC-018</t>
  </si>
  <si>
    <t>XBA-MPC-019</t>
  </si>
  <si>
    <t>XBA-MPC-020</t>
  </si>
  <si>
    <t>XBA-MPC-021</t>
  </si>
  <si>
    <t>XBA-MPC-022</t>
  </si>
  <si>
    <t>XBA-MPC-023</t>
  </si>
  <si>
    <t>XBA-MPC-024</t>
  </si>
  <si>
    <t>XBA-MPC-025</t>
  </si>
  <si>
    <t>XBA-MPC-026</t>
  </si>
  <si>
    <t>XBA-MPC-027</t>
  </si>
  <si>
    <t>XN LP1</t>
  </si>
  <si>
    <t>XL1-MPC-045</t>
  </si>
  <si>
    <t>XL1-MPC-046</t>
  </si>
  <si>
    <t>XL1-MPC-047</t>
  </si>
  <si>
    <t>XL1-MPC-048</t>
  </si>
  <si>
    <t>XL1-MPC-049</t>
  </si>
  <si>
    <t>XL1-MPC-050</t>
  </si>
  <si>
    <t>XL1-MPC-051</t>
  </si>
  <si>
    <t>XL1-MPC-052</t>
  </si>
  <si>
    <t>XL1-MPC-053</t>
  </si>
  <si>
    <t>XL1-MPC-054</t>
  </si>
  <si>
    <t>XL1-MPC-055</t>
  </si>
  <si>
    <t>XL1-MPC-056</t>
  </si>
  <si>
    <t>XL1-MPC-057</t>
  </si>
  <si>
    <t>XL1-MPC-058</t>
  </si>
  <si>
    <t>XL1-MPC-059</t>
  </si>
  <si>
    <t>XL1-MPC-060</t>
  </si>
  <si>
    <t>XL1-MPC-061</t>
  </si>
  <si>
    <t>XL1-MPC-062</t>
  </si>
  <si>
    <t>XL1-MPC-063</t>
  </si>
  <si>
    <t>XL1-MPC-064</t>
  </si>
  <si>
    <t>XL1-MPC-065</t>
  </si>
  <si>
    <t>XL1-MPC-066</t>
  </si>
  <si>
    <t>XL1-MPC-067</t>
  </si>
  <si>
    <t>XL1-MPC-068</t>
  </si>
  <si>
    <t>XN LP3</t>
  </si>
  <si>
    <t>XL3-MPC-013</t>
  </si>
  <si>
    <t>XL3-MPC-014</t>
  </si>
  <si>
    <t>XL3-MPC-017</t>
  </si>
  <si>
    <t>XL3-MPC-018</t>
  </si>
  <si>
    <t>XL3-MPC-019</t>
  </si>
  <si>
    <t>XL3-MPC-022</t>
  </si>
  <si>
    <t>XL3-MPC-023</t>
  </si>
  <si>
    <t>XL3-MPC-024</t>
  </si>
  <si>
    <t>XL3-MPC-025</t>
  </si>
  <si>
    <t>XL3-MPC-026</t>
  </si>
  <si>
    <t>XL3-MPC-029</t>
  </si>
  <si>
    <t>XL3-MPC-030</t>
  </si>
  <si>
    <t>XL3-MPC-032</t>
  </si>
  <si>
    <t>XL3-MPC-033</t>
  </si>
  <si>
    <t>XL3-MPC-034</t>
  </si>
  <si>
    <t>XL3-MPC-036</t>
  </si>
  <si>
    <t>XL3-MPC-041</t>
  </si>
  <si>
    <t>XL3-MPC-042</t>
  </si>
  <si>
    <t>XL3-MPC-043</t>
  </si>
  <si>
    <t>XL3-MPC-044</t>
  </si>
  <si>
    <t>XL3-MPC-045</t>
  </si>
  <si>
    <t>XL3-MPC-046</t>
  </si>
  <si>
    <t>XL3-MPC-047</t>
  </si>
  <si>
    <t>XL3-MPC-048</t>
  </si>
  <si>
    <t>XL3-MPC-049</t>
  </si>
  <si>
    <t>XL3-MPC-050</t>
  </si>
  <si>
    <t>XL3-MPC-051</t>
  </si>
  <si>
    <t>XL3-MPC-052</t>
  </si>
  <si>
    <t>XL3-MPC-053</t>
  </si>
  <si>
    <t>XL3-MPC-054</t>
  </si>
  <si>
    <t>XL3-MPC-055</t>
  </si>
  <si>
    <t>XL3-MPC-056</t>
  </si>
  <si>
    <t>XL3-MPC-057</t>
  </si>
  <si>
    <t>XL3-MPC-058</t>
  </si>
  <si>
    <t>XL3-MPC-059</t>
  </si>
  <si>
    <t>XL3-MPC-060</t>
  </si>
  <si>
    <t>XL3-MPC-061</t>
  </si>
  <si>
    <t>XL3-MPC-062</t>
  </si>
  <si>
    <t>XL3-MPC-063</t>
  </si>
  <si>
    <t>XL3-MPC-064</t>
  </si>
  <si>
    <t>XL3-MPC-065</t>
  </si>
  <si>
    <t>XL3-MPC-066</t>
  </si>
  <si>
    <t>XL3-MPC-067</t>
  </si>
  <si>
    <t>XL3-MPC-068</t>
  </si>
  <si>
    <t>XL3-MPC-069</t>
  </si>
  <si>
    <t>XL3-MPC-070</t>
  </si>
  <si>
    <t>XD1-MPC-020</t>
  </si>
  <si>
    <t>XD1-MPC-021</t>
  </si>
  <si>
    <t>XD1-MPC-022</t>
  </si>
  <si>
    <t>XD1-MPC-023</t>
  </si>
  <si>
    <t>XD1-MPC-024</t>
  </si>
  <si>
    <t>XD1-MPC-025</t>
  </si>
  <si>
    <t>XD1-MPC-026</t>
  </si>
  <si>
    <t>XD1-MPC-027</t>
  </si>
  <si>
    <t>XD1-MPC-028</t>
  </si>
  <si>
    <t>XD1-MPC-029</t>
  </si>
  <si>
    <t>XD1-MPC-030</t>
  </si>
  <si>
    <t>XD1-MPC-031</t>
  </si>
  <si>
    <t>XD1-MPC-032</t>
  </si>
  <si>
    <t>XD1-MPC-033</t>
  </si>
  <si>
    <t>XD1-MPC-034</t>
  </si>
  <si>
    <t>XD1-MPC-035</t>
  </si>
  <si>
    <t>XD1-MPC-036</t>
  </si>
  <si>
    <t>XD1-MPC-037</t>
  </si>
  <si>
    <t>XD1-MPC-038</t>
  </si>
  <si>
    <t>XD1-MPC-039</t>
  </si>
  <si>
    <t>XD1-MPC-040</t>
  </si>
  <si>
    <t>XD1-MPC-041</t>
  </si>
  <si>
    <t>XD1-MPC-042</t>
  </si>
  <si>
    <t>XD1-MPC-043</t>
  </si>
  <si>
    <t>XD1-MPC-044</t>
  </si>
  <si>
    <t>XD1-MPC-045</t>
  </si>
  <si>
    <t>XD1-MPC-046</t>
  </si>
  <si>
    <t>XD1-MPC-047</t>
  </si>
  <si>
    <t>XD1-MPC-048</t>
  </si>
  <si>
    <t>XD1-MPC-049</t>
  </si>
  <si>
    <t>XD1-MPC-050</t>
  </si>
  <si>
    <t>XD1-MPC-051</t>
  </si>
  <si>
    <t>XD1-MPC-052</t>
  </si>
  <si>
    <t>XD1-MPC-053</t>
  </si>
  <si>
    <t>XD1-MPC-054</t>
  </si>
  <si>
    <t>XD2-MPC-005</t>
  </si>
  <si>
    <t>XD2-MPC-012</t>
  </si>
  <si>
    <t>XD2-MPC-013</t>
  </si>
  <si>
    <t>XD2-MPC-019</t>
  </si>
  <si>
    <t>XD2-MPC-024</t>
  </si>
  <si>
    <t>XD2-MPC-027</t>
  </si>
  <si>
    <t>XD2-MPC-028</t>
  </si>
  <si>
    <t>XD2-MPC-029</t>
  </si>
  <si>
    <t>XD2-MPC-030</t>
  </si>
  <si>
    <t>XD2-MPC-031</t>
  </si>
  <si>
    <t>XD2-MPC-032</t>
  </si>
  <si>
    <t>XD2-MPC-033</t>
  </si>
  <si>
    <t>XD2-MPC-034</t>
  </si>
  <si>
    <t>XD2-MPC-035</t>
  </si>
  <si>
    <t>XD2-MPC-036</t>
  </si>
  <si>
    <t>XD2-MPC-037</t>
  </si>
  <si>
    <t>XD2-MPC-038</t>
  </si>
  <si>
    <t>XD2-MPC-039</t>
  </si>
  <si>
    <t>XD2-MPC-040</t>
  </si>
  <si>
    <t>XD2-MPC-041</t>
  </si>
  <si>
    <t>XD2-MPC-042</t>
  </si>
  <si>
    <t>XD2-MPC-043</t>
  </si>
  <si>
    <t>XD2-MPC-044</t>
  </si>
  <si>
    <t>XD3-MPC-008</t>
  </si>
  <si>
    <t>XD3-MPC-022</t>
  </si>
  <si>
    <t>XD3-MPC-029</t>
  </si>
  <si>
    <t>XD3-MPC-030</t>
  </si>
  <si>
    <t>XD3-MPC-031</t>
  </si>
  <si>
    <t>XD3-MPC-036</t>
  </si>
  <si>
    <t>XD3-MPC-037</t>
  </si>
  <si>
    <t>XD3-MPC-040</t>
  </si>
  <si>
    <t>XD3-MPC-041</t>
  </si>
  <si>
    <t>XD3-MPC-042</t>
  </si>
  <si>
    <t>XD3-MPC-043</t>
  </si>
  <si>
    <t>XD3-MPC-044</t>
  </si>
  <si>
    <t>XD3-MPC-045</t>
  </si>
  <si>
    <t>XD3-MPC-046</t>
  </si>
  <si>
    <t>XD3-MPC-047</t>
  </si>
  <si>
    <t>XD3-MPC-048</t>
  </si>
  <si>
    <t>XD3-MPC-049</t>
  </si>
  <si>
    <t>XD3-MPC-050</t>
  </si>
  <si>
    <t>XD3-MPC-051</t>
  </si>
  <si>
    <t>XD3-MPC-052</t>
  </si>
  <si>
    <t>XD3-MPC-053</t>
  </si>
  <si>
    <t>XD3-MPC-054</t>
  </si>
  <si>
    <t>XD3-MPC-055</t>
  </si>
  <si>
    <t>XD3-MPC-056</t>
  </si>
  <si>
    <t>XD3-MPC-057</t>
  </si>
  <si>
    <t>XD3-MPC-058</t>
  </si>
  <si>
    <t>XD3-MPC-059</t>
  </si>
  <si>
    <t>XD3-MPC-060</t>
  </si>
  <si>
    <t>XD3-MPC-061</t>
  </si>
  <si>
    <t>XD3-MPC-062</t>
  </si>
  <si>
    <t>XD3-MPC-063</t>
  </si>
  <si>
    <t>XD3-MPC-064</t>
  </si>
  <si>
    <t>XD3-MPC-065</t>
  </si>
  <si>
    <t>XD3-MPC-066</t>
  </si>
  <si>
    <t>XD3-MPC-067</t>
  </si>
  <si>
    <t>XD3-MPC-068</t>
  </si>
  <si>
    <t>XD3-MPC-069</t>
  </si>
  <si>
    <t>XD3-MPC-070</t>
  </si>
  <si>
    <t>XD3-MPC-071</t>
  </si>
  <si>
    <t>XD3-MPC-072</t>
  </si>
  <si>
    <t>XD3-MPC-073</t>
  </si>
  <si>
    <t>XD3-MPC-074</t>
  </si>
  <si>
    <t>XD3-MPC-075</t>
  </si>
  <si>
    <t>XD3-MPC-076</t>
  </si>
  <si>
    <t>XD3-MPC-077</t>
  </si>
  <si>
    <t>XD3-MPC-078</t>
  </si>
  <si>
    <t>XD3-MPC-079</t>
  </si>
  <si>
    <t>XD3-MPC-080</t>
  </si>
  <si>
    <t>NT XOÀI DP</t>
  </si>
  <si>
    <t>XXD-MPC-009</t>
  </si>
  <si>
    <t>XXD-MPC-010</t>
  </si>
  <si>
    <t>XXD-MPC-011</t>
  </si>
  <si>
    <t>XXD-MPC-012</t>
  </si>
  <si>
    <t>XXD-MPC-013</t>
  </si>
  <si>
    <t>XXD-MPC-015</t>
  </si>
  <si>
    <t>XXD-MPC-017</t>
  </si>
  <si>
    <t>XXD-MPC-022</t>
  </si>
  <si>
    <t>XXD-MPC-023</t>
  </si>
  <si>
    <t>XXD-MPC-028</t>
  </si>
  <si>
    <t>XXD-MPC-029</t>
  </si>
  <si>
    <t>NT NHÃN DP</t>
  </si>
  <si>
    <t>XND-MPC-001</t>
  </si>
  <si>
    <t>XND-MPC-002</t>
  </si>
  <si>
    <t>XND-MPC-003</t>
  </si>
  <si>
    <t>XND-MPC-004</t>
  </si>
  <si>
    <t>XND-MPC-005</t>
  </si>
  <si>
    <t>XND-MPC-006</t>
  </si>
  <si>
    <t>CÁC ĐƠN VỊ KHÁC'</t>
  </si>
  <si>
    <t>P.HÀNH CHÍNH</t>
  </si>
  <si>
    <t>HCD-MPC-001</t>
  </si>
  <si>
    <t>HCD-MPC-002</t>
  </si>
  <si>
    <t>HCA-MPC-001</t>
  </si>
  <si>
    <t>HCA-MPC-002</t>
  </si>
  <si>
    <t>BAN ĐIỆN NƯỚC</t>
  </si>
  <si>
    <t>ĐNA-MPC-001</t>
  </si>
  <si>
    <t>ĐNA-MPC-002</t>
  </si>
  <si>
    <t>ĐNA-MPC-003</t>
  </si>
  <si>
    <t>ĐNA-MPC-004</t>
  </si>
  <si>
    <t>DAUN PENH</t>
  </si>
  <si>
    <t>DP1</t>
  </si>
  <si>
    <t>XD1-MCG-001</t>
  </si>
  <si>
    <t>DP2</t>
  </si>
  <si>
    <t>DP3</t>
  </si>
  <si>
    <t>XXD-MCG-001</t>
  </si>
  <si>
    <t>XXD-MCG-002</t>
  </si>
  <si>
    <t>XXD-MCG-003</t>
  </si>
  <si>
    <t>XXD-MCG-004</t>
  </si>
  <si>
    <t>XL1-MCG-001</t>
  </si>
  <si>
    <t>XXA-MCG-001</t>
  </si>
  <si>
    <t>XXA-MCG-002</t>
  </si>
  <si>
    <t>XXA-MCG-003</t>
  </si>
  <si>
    <t>XXA-MCG-004</t>
  </si>
  <si>
    <t>XXA-MCG-005</t>
  </si>
  <si>
    <t>XÍ NGHIỆP BÒ</t>
  </si>
  <si>
    <t>XB1-MCG-001</t>
  </si>
  <si>
    <t>XB1-MCG-002</t>
  </si>
  <si>
    <t>XB1-MCG-003</t>
  </si>
  <si>
    <t>XB1-MCG-004</t>
  </si>
  <si>
    <t>XB1-MCG-005</t>
  </si>
  <si>
    <t>XB1-MCG-006</t>
  </si>
  <si>
    <t>XB1-MCG-007</t>
  </si>
  <si>
    <t>XB1-MCG-008</t>
  </si>
  <si>
    <t>XB1-MCG-009</t>
  </si>
  <si>
    <t>XB1-MCG-010</t>
  </si>
  <si>
    <t>XB1-MCG-011</t>
  </si>
  <si>
    <t>ĐƠN VỊ KHÁC</t>
  </si>
  <si>
    <t>ĐNA-MCG-001</t>
  </si>
  <si>
    <t>ĐNA-MCG-002</t>
  </si>
  <si>
    <t>ĐNA-MCG-003</t>
  </si>
  <si>
    <t>MÁY KHOAN HỐ</t>
  </si>
  <si>
    <t>XD1-MKH-001</t>
  </si>
  <si>
    <t>XD1-MKH-002</t>
  </si>
  <si>
    <t>XD1-MKH-003</t>
  </si>
  <si>
    <t>XD1-MKH-004</t>
  </si>
  <si>
    <t>XD1-MKH-005</t>
  </si>
  <si>
    <t>XD1-MKH-006</t>
  </si>
  <si>
    <t>XD2-MKH-001</t>
  </si>
  <si>
    <t>XD2-MKH-002</t>
  </si>
  <si>
    <t>XD3-MKH-001</t>
  </si>
  <si>
    <t>XD3-MKH-002</t>
  </si>
  <si>
    <t>XD3-MKH-003</t>
  </si>
  <si>
    <t>XL1-MKH-001</t>
  </si>
  <si>
    <t>XL1-MKH-002</t>
  </si>
  <si>
    <t>XL1-MKH-003</t>
  </si>
  <si>
    <t>XL3-MKH-001</t>
  </si>
  <si>
    <t>XL3-MKH-002</t>
  </si>
  <si>
    <t>XL4-MKH-001</t>
  </si>
  <si>
    <t>XN Chuối LP4</t>
  </si>
  <si>
    <t>XL4-MKH-002</t>
  </si>
  <si>
    <t>XL4-MKH-003</t>
  </si>
  <si>
    <t>XL4-MKH-004</t>
  </si>
  <si>
    <t>XL4-MKH-005</t>
  </si>
  <si>
    <t>ANDONG MEAS</t>
  </si>
  <si>
    <t>XA2-MKH-001</t>
  </si>
  <si>
    <t>Thiết bị</t>
  </si>
  <si>
    <t>CNN-TLU-001</t>
  </si>
  <si>
    <t>Thiết bị trang</t>
  </si>
  <si>
    <t>Thiết bị rạch luống trồng 2 lưỡi</t>
  </si>
  <si>
    <t>Thiết bị rạch tạo rãnh luống trồng 1 lưỡi</t>
  </si>
  <si>
    <t>XE CLETHON</t>
  </si>
  <si>
    <t>Thiết bị tạo rãnh</t>
  </si>
  <si>
    <t>Thiết bị rạch luống trồng cỏ</t>
  </si>
  <si>
    <t>Máy cao áp 7.5HP</t>
  </si>
  <si>
    <t>Máy cao áp 3HP</t>
  </si>
  <si>
    <t>Máy cao áp 1.5HP</t>
  </si>
  <si>
    <t>Máy cao áp 2HP</t>
  </si>
  <si>
    <t>Máy cao áp 3HP</t>
  </si>
  <si>
    <t>Máy cao áp 1.5HP</t>
  </si>
  <si>
    <t>Máy cao áp 7HP</t>
  </si>
  <si>
    <t>Máy kéo chuối</t>
  </si>
  <si>
    <t>TB khác</t>
  </si>
  <si>
    <t>NHÃN HIỆU</t>
  </si>
  <si>
    <t>KÍCH THƯỚC (mm)</t>
  </si>
  <si>
    <t>DÀI</t>
  </si>
  <si>
    <t>RỘNG</t>
  </si>
  <si>
    <t>CAO</t>
  </si>
  <si>
    <t>DxRxC</t>
  </si>
  <si>
    <t>3x1.7x2.1</t>
  </si>
  <si>
    <t>- Kèm trục các đăng</t>
  </si>
  <si>
    <t>XB1-GCC-001</t>
  </si>
  <si>
    <t>Thiết bị khoan lỗ trụ</t>
  </si>
  <si>
    <t>Máy cao áp 5HP</t>
  </si>
  <si>
    <t>XB1-TCB-001</t>
  </si>
  <si>
    <t>Thiết bị cân bê</t>
  </si>
  <si>
    <t>XB1-TCB-002</t>
  </si>
  <si>
    <t>XB1-CTB-001</t>
  </si>
  <si>
    <t>Cầu thang dẫn bò (bê)</t>
  </si>
  <si>
    <t>4.15x0.9x3.6m</t>
  </si>
  <si>
    <t>XB1-GTĐ-001</t>
  </si>
  <si>
    <t>Giá tập đi cho bò</t>
  </si>
  <si>
    <t>DxRxC: 2.1m*1.65m*2.6m</t>
  </si>
  <si>
    <t>GNVC</t>
  </si>
  <si>
    <t>HC DP</t>
  </si>
  <si>
    <t>CÁC BỘ PHẬN KHÁC</t>
  </si>
  <si>
    <t>CK DP</t>
  </si>
  <si>
    <t>DANH MỤC MÁY PHÁT CỎ THUỘC KLH</t>
  </si>
  <si>
    <t>Tình trạng</t>
  </si>
  <si>
    <t>A.</t>
  </si>
  <si>
    <t>A.1</t>
  </si>
  <si>
    <t>CB04-01126</t>
  </si>
  <si>
    <t>NHÓM TB SXTT &amp; CHĂN NUÔI</t>
  </si>
  <si>
    <t>17/03/2024</t>
  </si>
  <si>
    <t>HĐ bình thường</t>
  </si>
  <si>
    <t>NT CỎ &amp; BẮP XNB</t>
  </si>
  <si>
    <t>NAGATA</t>
  </si>
  <si>
    <t>CG411</t>
  </si>
  <si>
    <t>1.8HP</t>
  </si>
  <si>
    <t>TB cày 3 chảo</t>
  </si>
  <si>
    <t>XA2-MPC-005</t>
  </si>
  <si>
    <t>AD2 ĐCHUYEN NGÀY 06.02.2025</t>
  </si>
  <si>
    <t>HINOTA</t>
  </si>
  <si>
    <t>CG435</t>
  </si>
  <si>
    <t>1.2HP</t>
  </si>
  <si>
    <t>XA2-MPC-007</t>
  </si>
  <si>
    <t>XA2-MPC-008</t>
  </si>
  <si>
    <t>XA2-MPC-009</t>
  </si>
  <si>
    <t>28/04/2025</t>
  </si>
  <si>
    <t>WASAKI</t>
  </si>
  <si>
    <t>RBC411</t>
  </si>
  <si>
    <t>1.9HP</t>
  </si>
  <si>
    <t>15/9/2025</t>
  </si>
  <si>
    <t>MARATA</t>
  </si>
  <si>
    <t>CG412</t>
  </si>
  <si>
    <t>XB1-MPC-130</t>
  </si>
  <si>
    <t>XB1-MPC-131</t>
  </si>
  <si>
    <t>XB1-MPC-132</t>
  </si>
  <si>
    <t>XB1-MPC-133</t>
  </si>
  <si>
    <t>XB1-MPC-134</t>
  </si>
  <si>
    <t>XB1-MPC-135</t>
  </si>
  <si>
    <t>XB1-MPC-136</t>
  </si>
  <si>
    <t>XB1-MPC-137</t>
  </si>
  <si>
    <t>XB1-MPC-138</t>
  </si>
  <si>
    <t>XB1-MPC-139</t>
  </si>
  <si>
    <t>XB1-MPC-140</t>
  </si>
  <si>
    <t>XB1-MPC-141</t>
  </si>
  <si>
    <t>XB1-MPC-142</t>
  </si>
  <si>
    <t>XB1-MPC-143</t>
  </si>
  <si>
    <t>XB1-MPC-144</t>
  </si>
  <si>
    <t>XB1-MPC-145</t>
  </si>
  <si>
    <t>XB1-MPC-146</t>
  </si>
  <si>
    <t>XB1-MPC-147</t>
  </si>
  <si>
    <t>XB1-MPC-148</t>
  </si>
  <si>
    <t>XB1-MPC-149</t>
  </si>
  <si>
    <t>XB1-MPC-150</t>
  </si>
  <si>
    <t>XB1-MPC-151</t>
  </si>
  <si>
    <t>XB1-MPC-152</t>
  </si>
  <si>
    <t>XB1-MPC-153</t>
  </si>
  <si>
    <t>D. XE HÀNH CHÍNH</t>
  </si>
  <si>
    <t>XB1-MPC-154</t>
  </si>
  <si>
    <t>XB1-MPC-155</t>
  </si>
  <si>
    <t>XB1-MPC-156</t>
  </si>
  <si>
    <t>XB1-MPC-157</t>
  </si>
  <si>
    <t>XB1-MPC-158</t>
  </si>
  <si>
    <t>XB1-MPC-159</t>
  </si>
  <si>
    <t>KO XOÁ</t>
  </si>
  <si>
    <t>A.3</t>
  </si>
  <si>
    <t xml:space="preserve">HINOTA  </t>
  </si>
  <si>
    <t>220511/ZOZC1-1M</t>
  </si>
  <si>
    <t>16/10/2024</t>
  </si>
  <si>
    <t>GX35</t>
  </si>
  <si>
    <t>1.6HP</t>
  </si>
  <si>
    <t>GCAMT-7677939</t>
  </si>
  <si>
    <t>GCAMT-7676251</t>
  </si>
  <si>
    <t>GCAMT-7677960</t>
  </si>
  <si>
    <t>GCAMT-7655192</t>
  </si>
  <si>
    <t>GCAMT-7655158</t>
  </si>
  <si>
    <t>GCAMT-7657287</t>
  </si>
  <si>
    <t>GCAMT-7655395</t>
  </si>
  <si>
    <t>24/11/2025</t>
  </si>
  <si>
    <t>A.4</t>
  </si>
  <si>
    <t>22/12/2023</t>
  </si>
  <si>
    <t>Bó máy</t>
  </si>
  <si>
    <t>GCAMT-4487493</t>
  </si>
  <si>
    <t>GCAMT-7676279</t>
  </si>
  <si>
    <t>GCAMT-765534</t>
  </si>
  <si>
    <t>B.1</t>
  </si>
  <si>
    <t>30/04/2025</t>
  </si>
  <si>
    <t>NHật Bản</t>
  </si>
  <si>
    <t>DANH MỤC MÁY PHÁT ĐIỆN THUỘC KLH</t>
  </si>
  <si>
    <t>MARRATA</t>
  </si>
  <si>
    <t>MÃ MMTB MỚI</t>
  </si>
  <si>
    <t>MÃ MMTB CŨ (CẤP DẦU)</t>
  </si>
  <si>
    <t>TB cày 4 chảo</t>
  </si>
  <si>
    <t>TÊN MMTB</t>
  </si>
  <si>
    <t>SỐ KHUNG
/SỐ MÁY</t>
  </si>
  <si>
    <t>ĐƠN VỊ SỬ DỤNG</t>
  </si>
  <si>
    <t>Định mức n.liệu
(Lít/Giờ)</t>
  </si>
  <si>
    <t>Ngày sử dụng theo bbbg</t>
  </si>
  <si>
    <t>TÌNH TRẠNG</t>
  </si>
  <si>
    <t>VỊ TRÍ SỬ DỤNG</t>
  </si>
  <si>
    <t>KHU VỰC DAUNPENH</t>
  </si>
  <si>
    <t>XL1-MPC-069</t>
  </si>
  <si>
    <t>XL1-MPC-070</t>
  </si>
  <si>
    <t>XL1-MPC-071</t>
  </si>
  <si>
    <t>XL1-MPC-072</t>
  </si>
  <si>
    <t>XL1-MPC-073</t>
  </si>
  <si>
    <t>XL1-MPC-074</t>
  </si>
  <si>
    <t>XL1-MPC-075</t>
  </si>
  <si>
    <t>KDP-MFĐ-001</t>
  </si>
  <si>
    <t>XDP-MFĐ-001</t>
  </si>
  <si>
    <t>XL1-MPC-076</t>
  </si>
  <si>
    <t>M.Phát điện 150kW</t>
  </si>
  <si>
    <t>PG2104007406</t>
  </si>
  <si>
    <t>MPY165C</t>
  </si>
  <si>
    <t>MULTIPHASE</t>
  </si>
  <si>
    <t>XL1-MPC-077</t>
  </si>
  <si>
    <t>150 KW</t>
  </si>
  <si>
    <t>XSXC DP1</t>
  </si>
  <si>
    <t>XL1-MPC-078</t>
  </si>
  <si>
    <t>XL1-MPC-079</t>
  </si>
  <si>
    <t>KDP-MFĐ-014</t>
  </si>
  <si>
    <t>M.Phát điện 8.5kW</t>
  </si>
  <si>
    <t>9800SE</t>
  </si>
  <si>
    <t>XL1-MPC-080</t>
  </si>
  <si>
    <t>GAMA POWER</t>
  </si>
  <si>
    <t>8.5 KW</t>
  </si>
  <si>
    <t>XL1-MPC-081</t>
  </si>
  <si>
    <t>Bảo trì sửa chữa ht ròng rọc DP1</t>
  </si>
  <si>
    <t>XL1-MPC-082</t>
  </si>
  <si>
    <t>KDP-MFĐ-021</t>
  </si>
  <si>
    <t>KLP-MFĐ-010</t>
  </si>
  <si>
    <t>M.Phát điện 165kW</t>
  </si>
  <si>
    <t>XL1-MPC-083</t>
  </si>
  <si>
    <t>NEF67TM4S500</t>
  </si>
  <si>
    <t>FPT</t>
  </si>
  <si>
    <t>165KW</t>
  </si>
  <si>
    <t>NT DP1.1</t>
  </si>
  <si>
    <t>XL1-MPC-084</t>
  </si>
  <si>
    <t>KDP-MFĐ-024</t>
  </si>
  <si>
    <t>M.Phát điện 3.5kW</t>
  </si>
  <si>
    <t>Chiaki</t>
  </si>
  <si>
    <t>3kW</t>
  </si>
  <si>
    <t>XL1-MPC-085</t>
  </si>
  <si>
    <t>Thi công hệ thống phun thuốc XN DP1</t>
  </si>
  <si>
    <t>XL1-MPC-086</t>
  </si>
  <si>
    <t>XL1-MPC-087</t>
  </si>
  <si>
    <t>XL1-MPC-088</t>
  </si>
  <si>
    <t>KDP-MFĐ-002</t>
  </si>
  <si>
    <t>XDP-MFĐ-003</t>
  </si>
  <si>
    <t>PG2104007408</t>
  </si>
  <si>
    <t>NT DP2.1</t>
  </si>
  <si>
    <t>KDP-MFĐ-003</t>
  </si>
  <si>
    <t>XDP-MFĐ-004</t>
  </si>
  <si>
    <t>11-210500013</t>
  </si>
  <si>
    <t>HT5F15</t>
  </si>
  <si>
    <t>HUU TOAN</t>
  </si>
  <si>
    <t>B.2</t>
  </si>
  <si>
    <t>Lô 101</t>
  </si>
  <si>
    <t>KDP-MFĐ-025</t>
  </si>
  <si>
    <t>Thi công hệ thống phun thuốc XN DP2</t>
  </si>
  <si>
    <t>30/05/2024</t>
  </si>
  <si>
    <t>THÁI LAN</t>
  </si>
  <si>
    <t>GCAMT-7676873</t>
  </si>
  <si>
    <t>GCAMT-7674881</t>
  </si>
  <si>
    <t>GCAMT-7656192</t>
  </si>
  <si>
    <t>KDP-MFĐ-004</t>
  </si>
  <si>
    <t>XDP-MFĐ-005</t>
  </si>
  <si>
    <t>PG2104007407</t>
  </si>
  <si>
    <t>GCAMT-7656214</t>
  </si>
  <si>
    <t>Lô 63</t>
  </si>
  <si>
    <t>GCAMT-7656163</t>
  </si>
  <si>
    <t>KDP-MFĐ-005</t>
  </si>
  <si>
    <t>XDP-MFĐ-006</t>
  </si>
  <si>
    <t>11-210500014</t>
  </si>
  <si>
    <t>GCAMT-7659035</t>
  </si>
  <si>
    <t>XĐG DP3A (lô 34)</t>
  </si>
  <si>
    <t>KDP-MFĐ-006</t>
  </si>
  <si>
    <t>XDP-MFĐ-007</t>
  </si>
  <si>
    <t>GCAMT-7674893</t>
  </si>
  <si>
    <t>M.Phát điện 250kW</t>
  </si>
  <si>
    <t>250 KW</t>
  </si>
  <si>
    <t>XSXC DP3</t>
  </si>
  <si>
    <t>GCAMT-7624376</t>
  </si>
  <si>
    <t>KDP-MFĐ-007</t>
  </si>
  <si>
    <t>XDP-MFĐ-008</t>
  </si>
  <si>
    <t>XĐG DP4A (lô 151)</t>
  </si>
  <si>
    <t>GCAMT-7624445</t>
  </si>
  <si>
    <t>KDP-MFĐ-015</t>
  </si>
  <si>
    <t>GCAMT-7646574</t>
  </si>
  <si>
    <t>Bảo trì sửa chữa xưởng CK XN3</t>
  </si>
  <si>
    <t>KDP-MFĐ-026</t>
  </si>
  <si>
    <t>GCAMT-7674892</t>
  </si>
  <si>
    <t>Thi công hệ thống phun thuốc XN DP3</t>
  </si>
  <si>
    <t>GCAMT-7659063</t>
  </si>
  <si>
    <t>GCAMT-7674876</t>
  </si>
  <si>
    <t>GCAMT-7656212</t>
  </si>
  <si>
    <t>GCAMT-7717575</t>
  </si>
  <si>
    <t>GCAMT-7716999</t>
  </si>
  <si>
    <t>KDP-MFĐ-008</t>
  </si>
  <si>
    <t>11-210500006</t>
  </si>
  <si>
    <t>VP DP</t>
  </si>
  <si>
    <t>KDP-MFĐ-009</t>
  </si>
  <si>
    <t>M.Phát điện 1100kW</t>
  </si>
  <si>
    <t>3022B000064</t>
  </si>
  <si>
    <t>12M26G1100/5</t>
  </si>
  <si>
    <t>BAUDOUIN</t>
  </si>
  <si>
    <t>1100 KW</t>
  </si>
  <si>
    <t>KHO TỔNG</t>
  </si>
  <si>
    <t>KDP-MFĐ-010</t>
  </si>
  <si>
    <t>MPĐ-01</t>
  </si>
  <si>
    <t>M.Phát điện 25.8kW</t>
  </si>
  <si>
    <t>Đội cơ khí bảo trì DP</t>
  </si>
  <si>
    <t>Vikyno RV325</t>
  </si>
  <si>
    <t>25.8 KW</t>
  </si>
  <si>
    <t>KDP-MFĐ-011</t>
  </si>
  <si>
    <t>MPĐ-02</t>
  </si>
  <si>
    <t>M.Phát điện 16.4kW</t>
  </si>
  <si>
    <t>16.4 KW</t>
  </si>
  <si>
    <t>KDP-MFĐ-012</t>
  </si>
  <si>
    <t>MPĐ-03</t>
  </si>
  <si>
    <t>M.Phát điện 18.6kW</t>
  </si>
  <si>
    <t>ZS115</t>
  </si>
  <si>
    <t>18.6 KW</t>
  </si>
  <si>
    <t>KDP-MFĐ-013</t>
  </si>
  <si>
    <t>MPĐ-04</t>
  </si>
  <si>
    <t>KDP-MFĐ-016</t>
  </si>
  <si>
    <t>NEF67TM4S500/1800159</t>
  </si>
  <si>
    <t>BDTXD DP</t>
  </si>
  <si>
    <t>150KW</t>
  </si>
  <si>
    <t>Phát điện thi công hồ tưới DP3.HT3&amp;5</t>
  </si>
  <si>
    <t>KDP-MFĐ-017</t>
  </si>
  <si>
    <t>NEF67TM4S500/001800156</t>
  </si>
  <si>
    <t>30/12/2023</t>
  </si>
  <si>
    <t>Phát điện thi công kênh L250-XNDP3</t>
  </si>
  <si>
    <t>KDP-MFĐ-018</t>
  </si>
  <si>
    <t>KAD-MFĐ-002</t>
  </si>
  <si>
    <t>250KW</t>
  </si>
  <si>
    <t>17/01/2024</t>
  </si>
  <si>
    <t>Thu hồi từ lô 104</t>
  </si>
  <si>
    <t>Lô 94</t>
  </si>
  <si>
    <t>KDP-MFĐ-019</t>
  </si>
  <si>
    <t>M.Phát điện 18kW</t>
  </si>
  <si>
    <t>HD2V95-24013457</t>
  </si>
  <si>
    <t>Cơ khí lắp đặt RR</t>
  </si>
  <si>
    <t>HD22KVA</t>
  </si>
  <si>
    <t>18 kw</t>
  </si>
  <si>
    <t>27/09/2024</t>
  </si>
  <si>
    <t>NM CƠ KHÍ (MR KHẢI)</t>
  </si>
  <si>
    <t>KDP-MFĐ-020</t>
  </si>
  <si>
    <t>HD2V95-24010324</t>
  </si>
  <si>
    <t>KDP-MFĐ-022</t>
  </si>
  <si>
    <t>ATM-A23-0003</t>
  </si>
  <si>
    <t>M.Phát điện 500kW</t>
  </si>
  <si>
    <t>XĐG XOÀI lô 93</t>
  </si>
  <si>
    <t>500 KW</t>
  </si>
  <si>
    <t>28/03/2020</t>
  </si>
  <si>
    <t>XĐG Xoài DP</t>
  </si>
  <si>
    <t>KDP-MFĐ-023</t>
  </si>
  <si>
    <t>TTBT DP2</t>
  </si>
  <si>
    <t>22/03/2025</t>
  </si>
  <si>
    <t>KAD-MFĐ-023</t>
  </si>
  <si>
    <t>Trạm bê tông DP</t>
  </si>
  <si>
    <t>VC700W-50P</t>
  </si>
  <si>
    <t>M.Phát điện 800kVA</t>
  </si>
  <si>
    <t>VI.24007002</t>
  </si>
  <si>
    <t>Ban ĐN</t>
  </si>
  <si>
    <t>16DTA29E-G</t>
  </si>
  <si>
    <t>VINCI</t>
  </si>
  <si>
    <t>800kVA</t>
  </si>
  <si>
    <t>Văn phòng 94</t>
  </si>
  <si>
    <t>KDP-MFĐ-030</t>
  </si>
  <si>
    <t>Máy phát điện 25kVA</t>
  </si>
  <si>
    <t>SP250807002</t>
  </si>
  <si>
    <t>Xưởng GCHT RR</t>
  </si>
  <si>
    <t>4TNV88-GTE</t>
  </si>
  <si>
    <t>25kVA</t>
  </si>
  <si>
    <t>KDP-MFĐ-031</t>
  </si>
  <si>
    <t>C.1</t>
  </si>
  <si>
    <t>SP250807003</t>
  </si>
  <si>
    <t>KHU VỰC LUMPHAT</t>
  </si>
  <si>
    <t>KLP-MFĐ-001</t>
  </si>
  <si>
    <t>LP1-MPĐ-001</t>
  </si>
  <si>
    <t>11-210500007</t>
  </si>
  <si>
    <t>Láng công 261</t>
  </si>
  <si>
    <t>KLP-MFĐ-002</t>
  </si>
  <si>
    <t>LP3-MFĐ-001</t>
  </si>
  <si>
    <t>11-210500008</t>
  </si>
  <si>
    <t>XĐG LP1</t>
  </si>
  <si>
    <t>12G302AT0108</t>
  </si>
  <si>
    <t>MDG-9800SE</t>
  </si>
  <si>
    <t>MOTOKAWA</t>
  </si>
  <si>
    <t>8.5 kW</t>
  </si>
  <si>
    <t>Sửa chữa ròng rọc lưu động</t>
  </si>
  <si>
    <t>KLP-MFĐ-011</t>
  </si>
  <si>
    <t>Thi công hệ thống phun thuốc XN LP1</t>
  </si>
  <si>
    <t>KLP-MFĐ-009</t>
  </si>
  <si>
    <t>TP9111040114</t>
  </si>
  <si>
    <t>KLP-MFĐ-012</t>
  </si>
  <si>
    <t>Thi công hệ thống phun thuốc XN LP3</t>
  </si>
  <si>
    <t>KLP-MFĐ-013</t>
  </si>
  <si>
    <t>Máy phát điện 250kW</t>
  </si>
  <si>
    <t>6LTAA8.9-G2</t>
  </si>
  <si>
    <t>250kW</t>
  </si>
  <si>
    <t>XXSC LP3</t>
  </si>
  <si>
    <t>XN LP4</t>
  </si>
  <si>
    <t>KLP-MFĐ-003</t>
  </si>
  <si>
    <t>XLP-MFĐ-006</t>
  </si>
  <si>
    <t>PG2104007413</t>
  </si>
  <si>
    <t>XĐG LP4 (lô 144)</t>
  </si>
  <si>
    <t>TB bừa 7-8-9 chảo</t>
  </si>
  <si>
    <t>KLP-MFĐ-004</t>
  </si>
  <si>
    <t>11-210500005</t>
  </si>
  <si>
    <t>Hành chính LP</t>
  </si>
  <si>
    <t>VP LP</t>
  </si>
  <si>
    <t>KLP-MFĐ-005</t>
  </si>
  <si>
    <t>TBT-MFĐ-001</t>
  </si>
  <si>
    <t>KLP-MFĐ-006</t>
  </si>
  <si>
    <t>Điện nước LP</t>
  </si>
  <si>
    <t>Cửa hàng tiện ích LP</t>
  </si>
  <si>
    <t>KLP-MFĐ-007</t>
  </si>
  <si>
    <t>11-210500009</t>
  </si>
  <si>
    <t>Nhà ở CBNV lô 93</t>
  </si>
  <si>
    <t>KLP-MFĐ-008</t>
  </si>
  <si>
    <t>Thaco MI &amp; E</t>
  </si>
  <si>
    <t>NIPPON SHARYO</t>
  </si>
  <si>
    <t xml:space="preserve">Điện nước Bàn giao </t>
  </si>
  <si>
    <t>Trạm bơm chống ngập</t>
  </si>
  <si>
    <t>KLP-MFĐ-017</t>
  </si>
  <si>
    <t>Máy phát điện 26kW</t>
  </si>
  <si>
    <t>CR25048600</t>
  </si>
  <si>
    <t>DONG PHONG</t>
  </si>
  <si>
    <t>26kVA</t>
  </si>
  <si>
    <t>Đội CK XN LP3</t>
  </si>
  <si>
    <t>XD1-MPC-055</t>
  </si>
  <si>
    <t>15/06/2026</t>
  </si>
  <si>
    <t>XD1-MPC-056</t>
  </si>
  <si>
    <t>XD1-MPC-057</t>
  </si>
  <si>
    <t>KHU VỰC ANDONGMEAS</t>
  </si>
  <si>
    <t>XD1-MPC-058</t>
  </si>
  <si>
    <t>XD1-MPC-059</t>
  </si>
  <si>
    <t>XD1-MPC-060</t>
  </si>
  <si>
    <t>KAD-MFĐ-011</t>
  </si>
  <si>
    <t>XNB-MFD-001</t>
  </si>
  <si>
    <t>XD1-MPC-061</t>
  </si>
  <si>
    <t>M.Phát điện 65kW</t>
  </si>
  <si>
    <t>XNB</t>
  </si>
  <si>
    <t>POWER PRO 65</t>
  </si>
  <si>
    <t>65 KW</t>
  </si>
  <si>
    <t>TRẠI BÒ ADM LÔ 92 (Trại bò cũ)</t>
  </si>
  <si>
    <t>XD1-MPC-062</t>
  </si>
  <si>
    <t>XD1-MPC-063</t>
  </si>
  <si>
    <t>KAD-MFĐ-012</t>
  </si>
  <si>
    <t>CB1-MFD-001</t>
  </si>
  <si>
    <t>TRUNG TÂM CHẾ BIẾN THỨC ĂN-XN BÒ</t>
  </si>
  <si>
    <t>KAD-MFĐ-013</t>
  </si>
  <si>
    <t>CB1-MFD-002</t>
  </si>
  <si>
    <t>11-210500012</t>
  </si>
  <si>
    <t>XD1-MPC-064</t>
  </si>
  <si>
    <t>LÁN CÔNG LÔ 49</t>
  </si>
  <si>
    <t>XD1-MPC-065</t>
  </si>
  <si>
    <t>KAD-MFĐ-021</t>
  </si>
  <si>
    <t>TOL-A22-0726</t>
  </si>
  <si>
    <t>M.Phát điện 3kW</t>
  </si>
  <si>
    <t>YOKOHAMA</t>
  </si>
  <si>
    <t>3 KW</t>
  </si>
  <si>
    <t>XD1-MPC-066</t>
  </si>
  <si>
    <t>KAD-MFĐ-022</t>
  </si>
  <si>
    <t>XD1-MPC-067</t>
  </si>
  <si>
    <t>PG2104007409</t>
  </si>
  <si>
    <t>XNB ( NT Cỏ)</t>
  </si>
  <si>
    <t>XD1-MPC-068</t>
  </si>
  <si>
    <t>Nông trưởng cỏ XNB</t>
  </si>
  <si>
    <t>XD1-MPC-069</t>
  </si>
  <si>
    <t>Chờ bbbg</t>
  </si>
  <si>
    <t>Lưu động kéo theo dàn băm chuối</t>
  </si>
  <si>
    <t>XD1-MPC-070</t>
  </si>
  <si>
    <t>KAD-MFĐ-026</t>
  </si>
  <si>
    <t>6BTAA59-G2</t>
  </si>
  <si>
    <t>DONGFENG</t>
  </si>
  <si>
    <t>đã qua sử dụng</t>
  </si>
  <si>
    <t>TTCB TA (sử dụng tại lô 28)</t>
  </si>
  <si>
    <t>XD1-MPC-071</t>
  </si>
  <si>
    <t>XD1-MPC-072</t>
  </si>
  <si>
    <t>XD1-MPC-073</t>
  </si>
  <si>
    <t>KAD-MFĐ-003</t>
  </si>
  <si>
    <t>AD2-MFĐ-001</t>
  </si>
  <si>
    <t>XĐG AD2A (lô 61)</t>
  </si>
  <si>
    <t>XD1-MPC-074</t>
  </si>
  <si>
    <t>KAD-MFĐ-004</t>
  </si>
  <si>
    <t>AD2-MFĐ-002</t>
  </si>
  <si>
    <t>XĐG AD2C (lô 23)</t>
  </si>
  <si>
    <t>KAD-MFĐ-025</t>
  </si>
  <si>
    <t>CC-013</t>
  </si>
  <si>
    <t>TP9111040441</t>
  </si>
  <si>
    <t>Đội Cơ khí AD2</t>
  </si>
  <si>
    <t>C.2</t>
  </si>
  <si>
    <t>Ban Điện Nước</t>
  </si>
  <si>
    <t>KAD-MFĐ-088</t>
  </si>
  <si>
    <t>MCC 05XN -KLH</t>
  </si>
  <si>
    <t>M.Phát điện 60kVA</t>
  </si>
  <si>
    <t>101402-7060</t>
  </si>
  <si>
    <t>ZEXEL</t>
  </si>
  <si>
    <t>Japan</t>
  </si>
  <si>
    <t>60kVA</t>
  </si>
  <si>
    <t>MCC 12XN -KLH</t>
  </si>
  <si>
    <t>MCC 15XN -KLH</t>
  </si>
  <si>
    <t>XL1-MPC-012</t>
  </si>
  <si>
    <t>KAD-MFĐ-001</t>
  </si>
  <si>
    <t>11-210500011</t>
  </si>
  <si>
    <t>Ban QL DTXD LP mượn</t>
  </si>
  <si>
    <t>THU HỒI XĐG LP10A( lô 198)</t>
  </si>
  <si>
    <t>KAD-MFĐ-005</t>
  </si>
  <si>
    <t>Điện nước AD</t>
  </si>
  <si>
    <t>NISHIO</t>
  </si>
  <si>
    <t>NHÀ Ở CBCNV LÔ 14-AD2</t>
  </si>
  <si>
    <t>KAD-MFĐ-006</t>
  </si>
  <si>
    <t>ĐNA-MFĐ-001</t>
  </si>
  <si>
    <t>M.Phát điện 60kW</t>
  </si>
  <si>
    <t>SDG60S</t>
  </si>
  <si>
    <t>60 KW</t>
  </si>
  <si>
    <t>PHỤC VỤ CÔNG VIỆC CHO ĐIỆN NƯỚC ADM</t>
  </si>
  <si>
    <t>KAD-MFĐ-007</t>
  </si>
  <si>
    <t>XAD-MFĐ-007</t>
  </si>
  <si>
    <t>Nhà máy xốp</t>
  </si>
  <si>
    <t>ALTENATOR</t>
  </si>
  <si>
    <t>Xưởng nhưạ DP</t>
  </si>
  <si>
    <t>KAD-MFĐ-008</t>
  </si>
  <si>
    <t>CKC-MFĐ-001</t>
  </si>
  <si>
    <t>Hành chính ADM</t>
  </si>
  <si>
    <t>NHÀ Ở CBCNV LÔ 132 (CỌ DẦU)</t>
  </si>
  <si>
    <t>KAD-MFĐ-009</t>
  </si>
  <si>
    <t>ĐNA-MFĐ-003</t>
  </si>
  <si>
    <t>11-210500010</t>
  </si>
  <si>
    <t>Nhà tôn 65</t>
  </si>
  <si>
    <t>KAD-MFĐ-010</t>
  </si>
  <si>
    <t>ĐNA-MFĐ-002</t>
  </si>
  <si>
    <t>S211960</t>
  </si>
  <si>
    <t>Văn phòng 65</t>
  </si>
  <si>
    <t>KAD-MFĐ-014</t>
  </si>
  <si>
    <t>Ban cơ giới MMTB</t>
  </si>
  <si>
    <t>XƯỞNG CƠ GIỚI ADM</t>
  </si>
  <si>
    <t>KAD-MFĐ-015</t>
  </si>
  <si>
    <t>PG2104007410</t>
  </si>
  <si>
    <t xml:space="preserve">Ban QLĐTXD ADM </t>
  </si>
  <si>
    <t>BAN QLĐT XD</t>
  </si>
  <si>
    <t>KAD-MFĐ-016</t>
  </si>
  <si>
    <t>CKC-MFĐ-03</t>
  </si>
  <si>
    <t>Thaco M&amp;E</t>
  </si>
  <si>
    <t>THACO M&amp;E</t>
  </si>
  <si>
    <t>KAD-MFĐ-017</t>
  </si>
  <si>
    <t>CKC-MFĐ-02</t>
  </si>
  <si>
    <t>M.Phát điện 25kW</t>
  </si>
  <si>
    <t>25 KW</t>
  </si>
  <si>
    <t>KAD-MFĐ-018</t>
  </si>
  <si>
    <t>CKC-MFĐ-01</t>
  </si>
  <si>
    <t>M.Phát điện 100kW</t>
  </si>
  <si>
    <t>100 KW</t>
  </si>
  <si>
    <t>KAD-MFĐ-019</t>
  </si>
  <si>
    <t>CKA-MFA-001</t>
  </si>
  <si>
    <t>M.Phát điện 10kW</t>
  </si>
  <si>
    <t>Xưởng CK-MMTB AD&amp;LP</t>
  </si>
  <si>
    <t>EKB 7500</t>
  </si>
  <si>
    <t>10 KW</t>
  </si>
  <si>
    <t>XƯỞNG CK</t>
  </si>
  <si>
    <t>KAD-MFĐ-020</t>
  </si>
  <si>
    <t>CKA-MFA-002</t>
  </si>
  <si>
    <t>M.Phát điện 7.5kW</t>
  </si>
  <si>
    <t>MK-8500WE</t>
  </si>
  <si>
    <t>7.5 KW</t>
  </si>
  <si>
    <t>KAD-MFĐ-024</t>
  </si>
  <si>
    <t>Trạm trộn bê tông ADM</t>
  </si>
  <si>
    <t>TỔNG CỘNG</t>
  </si>
  <si>
    <t>XD2-MPC-045</t>
  </si>
  <si>
    <t>XD2-MPC-046</t>
  </si>
  <si>
    <t>XD2-MPC-047</t>
  </si>
  <si>
    <t>XD2-MPC-048</t>
  </si>
  <si>
    <t>XD2-MPC-049</t>
  </si>
  <si>
    <t>XD2-MPC-050</t>
  </si>
  <si>
    <t>XD2-MPC-051</t>
  </si>
  <si>
    <t>XD2-MPC-052</t>
  </si>
  <si>
    <t>XD2-MPC-053</t>
  </si>
  <si>
    <t>XD2-MPC-054</t>
  </si>
  <si>
    <t>XD2-MPC-055</t>
  </si>
  <si>
    <t>XD2-MPC-056</t>
  </si>
  <si>
    <t>XD2-MPC-057</t>
  </si>
  <si>
    <t>XD2-MPC-058</t>
  </si>
  <si>
    <t>XD2-MPC-059</t>
  </si>
  <si>
    <t>C.3</t>
  </si>
  <si>
    <t>GCAMT-7717017</t>
  </si>
  <si>
    <t>GCAMT-7717631</t>
  </si>
  <si>
    <t>GCAMT-7716974</t>
  </si>
  <si>
    <t>GCAMT-7717594</t>
  </si>
  <si>
    <t>GCAMT-7717610</t>
  </si>
  <si>
    <t>E. XE &amp; MÁY KHÁC</t>
  </si>
  <si>
    <t>17/07/2025</t>
  </si>
  <si>
    <t>XD3-MPC-081</t>
  </si>
  <si>
    <t>XD3-MPC-082</t>
  </si>
  <si>
    <t>XD3-MPC-083</t>
  </si>
  <si>
    <t>XD3-MPC-084</t>
  </si>
  <si>
    <t>XD3-MPC-085</t>
  </si>
  <si>
    <t>GCAMT-7784135</t>
  </si>
  <si>
    <t>XD3-MPC-086</t>
  </si>
  <si>
    <t>GCAMT-7784268</t>
  </si>
  <si>
    <t>XD3-MPC-087</t>
  </si>
  <si>
    <t>GCAMT-7783570</t>
  </si>
  <si>
    <t>XD3-MPC-088</t>
  </si>
  <si>
    <t>GCAMT-7782021</t>
  </si>
  <si>
    <t>XD3-MPC-089</t>
  </si>
  <si>
    <t>GCAMT-7768188</t>
  </si>
  <si>
    <t>XD3-MPC-090</t>
  </si>
  <si>
    <t>GCAMT-7767017</t>
  </si>
  <si>
    <t>XD3-MPC-091</t>
  </si>
  <si>
    <t>GCAMT-7783525</t>
  </si>
  <si>
    <t>XD3-MPC-092</t>
  </si>
  <si>
    <t>GCAMT-7811396</t>
  </si>
  <si>
    <t>XD3-MPC-093</t>
  </si>
  <si>
    <t>GCAMT-7782003</t>
  </si>
  <si>
    <t>XD3-MPC-094</t>
  </si>
  <si>
    <t>GCAMT-7782005</t>
  </si>
  <si>
    <t>XD3-MPC-095</t>
  </si>
  <si>
    <t>GCAMT-7783544</t>
  </si>
  <si>
    <t>C.4</t>
  </si>
  <si>
    <t>31/07/2024</t>
  </si>
  <si>
    <t>GCAMT-7708410</t>
  </si>
  <si>
    <t>GCAMT-7707551</t>
  </si>
  <si>
    <t>C.5</t>
  </si>
  <si>
    <t>Nhãn DP</t>
  </si>
  <si>
    <t>D.</t>
  </si>
  <si>
    <t>D.1</t>
  </si>
  <si>
    <t>HÀNH CHÍNH KLH</t>
  </si>
  <si>
    <t>KAMASTSU</t>
  </si>
  <si>
    <t>KM430</t>
  </si>
  <si>
    <t>1.7HP</t>
  </si>
  <si>
    <t>TASCO</t>
  </si>
  <si>
    <t>T-338</t>
  </si>
  <si>
    <t>1.1HP</t>
  </si>
  <si>
    <t>D.2</t>
  </si>
  <si>
    <t>MÁY PHÁT CỎ ĐÃ ĐÁNH GIÁ KTH LOẠI BIÊN</t>
  </si>
  <si>
    <t>XD3-MPC-001</t>
  </si>
  <si>
    <t>15/09/2024</t>
  </si>
  <si>
    <t>XD3-MPC-002</t>
  </si>
  <si>
    <t>XD3-MPC-003</t>
  </si>
  <si>
    <t>XD3-MPC-004</t>
  </si>
  <si>
    <t>XD3-MPC-005</t>
  </si>
  <si>
    <t>XD3-MPC-012</t>
  </si>
  <si>
    <t>XD3-MPC-013</t>
  </si>
  <si>
    <t>XD3-MPC-015</t>
  </si>
  <si>
    <t>XD3-MPC-017</t>
  </si>
  <si>
    <t>XD3-MPC-021</t>
  </si>
  <si>
    <t>XD3-MPC-024</t>
  </si>
  <si>
    <t>XD3-MPC-025</t>
  </si>
  <si>
    <t>XD2-MPC-006</t>
  </si>
  <si>
    <t>MCC 06XN -KLH</t>
  </si>
  <si>
    <t>TB bừa 24 chảo</t>
  </si>
  <si>
    <t>XD2-MPC-007</t>
  </si>
  <si>
    <t>MCC 07XN -KLH</t>
  </si>
  <si>
    <t>XD2-MPC-008</t>
  </si>
  <si>
    <t>MCC 08XN -KLH</t>
  </si>
  <si>
    <t>XD2-MPC-010</t>
  </si>
  <si>
    <t>MCC 10XN -KLH</t>
  </si>
  <si>
    <t>XD2-MPC-017</t>
  </si>
  <si>
    <t>MCC 19XN -KLH</t>
  </si>
  <si>
    <t>XD2-MPC-021</t>
  </si>
  <si>
    <t>XD1-MPC-006</t>
  </si>
  <si>
    <t>XD1-MPC-007</t>
  </si>
  <si>
    <t>XD1-MPC-008</t>
  </si>
  <si>
    <t>XD1-MPC-009</t>
  </si>
  <si>
    <t>XD1-MPC-010</t>
  </si>
  <si>
    <t>XD1-MPC-012</t>
  </si>
  <si>
    <t>XD1-MPC-013</t>
  </si>
  <si>
    <t>XD1-MPC-014</t>
  </si>
  <si>
    <t>XD1-MPC-015</t>
  </si>
  <si>
    <t>XD1-MPC-016</t>
  </si>
  <si>
    <t>ZOZC1-1M-0511</t>
  </si>
  <si>
    <t>XL3-MPC-001</t>
  </si>
  <si>
    <t>XL3-MPC-002</t>
  </si>
  <si>
    <t>XL3-MPC-003</t>
  </si>
  <si>
    <t>XL3-MPC-004</t>
  </si>
  <si>
    <t>XL3-MPC-005</t>
  </si>
  <si>
    <t>XL3-MPC-006</t>
  </si>
  <si>
    <t>XL3-MPC-007</t>
  </si>
  <si>
    <t>XL3-MPC-008</t>
  </si>
  <si>
    <t>XL3-MPC-009</t>
  </si>
  <si>
    <t>XL1-MPC-007</t>
  </si>
  <si>
    <t>LP1 GIAO QUA</t>
  </si>
  <si>
    <t>XL3-MPC-010</t>
  </si>
  <si>
    <t>XL1-MPC-008</t>
  </si>
  <si>
    <t>XL3-MPC-011</t>
  </si>
  <si>
    <t>XL1-MPC-009</t>
  </si>
  <si>
    <t>XL3-MPC-012</t>
  </si>
  <si>
    <t>XL1-MPC-010</t>
  </si>
  <si>
    <t>XL3-MPC-015</t>
  </si>
  <si>
    <t>GCAMT-7623984</t>
  </si>
  <si>
    <t>XL3-MPC-016</t>
  </si>
  <si>
    <t>GCAMT-7659061</t>
  </si>
  <si>
    <t>XL3-MPC-020</t>
  </si>
  <si>
    <t>GCAMT-7674856</t>
  </si>
  <si>
    <t>XL3-MPC-021</t>
  </si>
  <si>
    <t>GCAMT-7674867</t>
  </si>
  <si>
    <t>XL3-MPC-027</t>
  </si>
  <si>
    <t>GCAMT-764888</t>
  </si>
  <si>
    <t>XL3-MPC-028</t>
  </si>
  <si>
    <t>GCAMT-7656178</t>
  </si>
  <si>
    <t>XL3-MPC-031</t>
  </si>
  <si>
    <t>GCAMT-7674889</t>
  </si>
  <si>
    <t>XL3-MPC-035</t>
  </si>
  <si>
    <t>GCAMT-7716944</t>
  </si>
  <si>
    <t>XL3-MPC-037</t>
  </si>
  <si>
    <t>GCAMT-7716990</t>
  </si>
  <si>
    <t>XL3-MPC-038</t>
  </si>
  <si>
    <t>XA2-MPC-010</t>
  </si>
  <si>
    <t>AD2 DCHUYEN NGÀY 15.02.2025</t>
  </si>
  <si>
    <t>XL3-MPC-039</t>
  </si>
  <si>
    <t>XA2-MPC-011</t>
  </si>
  <si>
    <t>XL3-MPC-040</t>
  </si>
  <si>
    <t>XA2-MPC-012</t>
  </si>
  <si>
    <t>XB1-MPC-001</t>
  </si>
  <si>
    <t>XNC-TBC-001</t>
  </si>
  <si>
    <t>XB1-MPC-002</t>
  </si>
  <si>
    <t>XNC-TBC-002</t>
  </si>
  <si>
    <t>XB1-MPC-003</t>
  </si>
  <si>
    <t>TNC-TBC-001</t>
  </si>
  <si>
    <t>XB1-MPC-004</t>
  </si>
  <si>
    <t>TNC-TBC-002</t>
  </si>
  <si>
    <t>XB1-MPC-005</t>
  </si>
  <si>
    <t>TNC-TBC-003</t>
  </si>
  <si>
    <t>XB1-MPC-006</t>
  </si>
  <si>
    <t>XNC-TBC-011</t>
  </si>
  <si>
    <t>XB1-MPC-007</t>
  </si>
  <si>
    <t>XNC-TBC-012</t>
  </si>
  <si>
    <t>XB1-MPC-008</t>
  </si>
  <si>
    <t>XNC-TBC-013</t>
  </si>
  <si>
    <t>XB1-MPC-009</t>
  </si>
  <si>
    <t>XNC-TBC-014</t>
  </si>
  <si>
    <t>XB1-MPC-010</t>
  </si>
  <si>
    <t>TNC-TBC-004</t>
  </si>
  <si>
    <t>XB1-MPC-011</t>
  </si>
  <si>
    <t>TNC-TBC-005</t>
  </si>
  <si>
    <t>XB1-MPC-012</t>
  </si>
  <si>
    <t>TNC-TBC-006</t>
  </si>
  <si>
    <t>XB1-MPC-013</t>
  </si>
  <si>
    <t>TNC-TBC-007</t>
  </si>
  <si>
    <t>XB1-MPC-014</t>
  </si>
  <si>
    <t>TNC-TBC-008</t>
  </si>
  <si>
    <t>XB1-MPC-015</t>
  </si>
  <si>
    <t>XNC-TBC-015</t>
  </si>
  <si>
    <t>XB1-MPC-016</t>
  </si>
  <si>
    <t>XNC-TBC-016</t>
  </si>
  <si>
    <t>XB1-MPC-017</t>
  </si>
  <si>
    <t>XNC-TBC-017</t>
  </si>
  <si>
    <t>XB1-MPC-018</t>
  </si>
  <si>
    <t>XNC-TBC-018</t>
  </si>
  <si>
    <t>XB1-MPC-019</t>
  </si>
  <si>
    <t>XNC-TBC-019</t>
  </si>
  <si>
    <t>XB1-MPC-020</t>
  </si>
  <si>
    <t>XNC-TBC-020</t>
  </si>
  <si>
    <t>XB1-MPC-021</t>
  </si>
  <si>
    <t>XNC-TBC-021</t>
  </si>
  <si>
    <t>XB1-MPC-022</t>
  </si>
  <si>
    <t>XNC-TBC-022</t>
  </si>
  <si>
    <t>XB1-MPC-023</t>
  </si>
  <si>
    <t>XNC-TBC-023</t>
  </si>
  <si>
    <t>XB1-MPC-024</t>
  </si>
  <si>
    <t>XNC-TBC-024</t>
  </si>
  <si>
    <t>XB1-MPC-025</t>
  </si>
  <si>
    <t>XB1-MPC-031</t>
  </si>
  <si>
    <t>XB1-MPC-034</t>
  </si>
  <si>
    <t>XB1-MPC-026</t>
  </si>
  <si>
    <t>XXD-MPC-001</t>
  </si>
  <si>
    <t>NT Xoài DP</t>
  </si>
  <si>
    <t>XXD-MPC-002</t>
  </si>
  <si>
    <t>XXD-MPC-003</t>
  </si>
  <si>
    <t>XXD-MPC-004</t>
  </si>
  <si>
    <t>XXD-MPC-005</t>
  </si>
  <si>
    <t>XXD-MPC-006</t>
  </si>
  <si>
    <t>XXD-MPC-007</t>
  </si>
  <si>
    <t>XXD-MPC-008</t>
  </si>
  <si>
    <t>XXD-MPC-024</t>
  </si>
  <si>
    <t>GCAMT-7635885</t>
  </si>
  <si>
    <t>XXD-MPC-025</t>
  </si>
  <si>
    <t>GCAMT-7654048</t>
  </si>
  <si>
    <t>XXD-MPC-026</t>
  </si>
  <si>
    <t>GCAMT-7707916</t>
  </si>
  <si>
    <t>XXD-MPC-027</t>
  </si>
  <si>
    <t>GCAMT-7707913</t>
  </si>
  <si>
    <t>XXD-MPC-018</t>
  </si>
  <si>
    <t>NT dứa chuyển qua</t>
  </si>
  <si>
    <t>XXD-MPC-019</t>
  </si>
  <si>
    <t>XXD-MPC-020</t>
  </si>
  <si>
    <t>XXD-MPC-021</t>
  </si>
  <si>
    <t>GCAMT-7708416</t>
  </si>
  <si>
    <t>XXD-MPC-014</t>
  </si>
  <si>
    <t>XXD-MPC-016</t>
  </si>
  <si>
    <t>XL1-MPC-013</t>
  </si>
  <si>
    <t>LP4 BÀN GIAO 3M</t>
  </si>
  <si>
    <t>XL1-MPC-014</t>
  </si>
  <si>
    <t>XL1-MPC-015</t>
  </si>
  <si>
    <t>XL1-MPC-016</t>
  </si>
  <si>
    <t>XL4-MPC-001</t>
  </si>
  <si>
    <t>LP4 Đ.CHUYEN NGÀY 26.09.2024</t>
  </si>
  <si>
    <t>XL1-MPC-017</t>
  </si>
  <si>
    <t>XL4-MPC-002</t>
  </si>
  <si>
    <t>XL1-MPC-018</t>
  </si>
  <si>
    <t>XL4-MPC-004</t>
  </si>
  <si>
    <t>XL1-MPC-019</t>
  </si>
  <si>
    <t>XL4-MPC-007</t>
  </si>
  <si>
    <t>XL1-MPC-020</t>
  </si>
  <si>
    <t>XL4-MPC-008</t>
  </si>
  <si>
    <t>XL1-MPC-021</t>
  </si>
  <si>
    <t>XL4-MPC-010</t>
  </si>
  <si>
    <t>XL1-MPC-022</t>
  </si>
  <si>
    <t>XL4-MPC-012</t>
  </si>
  <si>
    <t>XL1-MPC-023</t>
  </si>
  <si>
    <t>XL4-MPC-013</t>
  </si>
  <si>
    <t>XL1-MPC-024</t>
  </si>
  <si>
    <t>XL4-MPC-016</t>
  </si>
  <si>
    <t>XL1-MPC-025</t>
  </si>
  <si>
    <t>XL4-MPC-018</t>
  </si>
  <si>
    <t>XL1-MPC-026</t>
  </si>
  <si>
    <t>XL4-MPC-020</t>
  </si>
  <si>
    <t>XL1-MPC-027</t>
  </si>
  <si>
    <t>XL4-MPC-022</t>
  </si>
  <si>
    <t>XL1-MPC-028</t>
  </si>
  <si>
    <t>XL4-MPC-024</t>
  </si>
  <si>
    <t>XL1-MPC-029</t>
  </si>
  <si>
    <t>XL4-MPC-025</t>
  </si>
  <si>
    <t>ZOZC11M1</t>
  </si>
  <si>
    <t>XL1-MPC-030</t>
  </si>
  <si>
    <t>XL4-MPC-026</t>
  </si>
  <si>
    <t>ZOZC11M2</t>
  </si>
  <si>
    <t>XL1-MPC-031</t>
  </si>
  <si>
    <t>XL4-MPC-027</t>
  </si>
  <si>
    <t>ZOZC11M3</t>
  </si>
  <si>
    <t>XL1-MPC-032</t>
  </si>
  <si>
    <t>XL4-MPC-028</t>
  </si>
  <si>
    <t>ZOZC11M4</t>
  </si>
  <si>
    <t>XL1-MPC-033</t>
  </si>
  <si>
    <t>XA2-MPC-006</t>
  </si>
  <si>
    <t>AD2 ĐCHUYEN NGÀY 31.12.2024</t>
  </si>
  <si>
    <t>XL1-MPC-034</t>
  </si>
  <si>
    <t>XA2-MPC-016</t>
  </si>
  <si>
    <t>XL1-MPC-035</t>
  </si>
  <si>
    <t>XA2-MPC-017</t>
  </si>
  <si>
    <t>XL1-MPC-036</t>
  </si>
  <si>
    <t>XA2-MPC-029</t>
  </si>
  <si>
    <t>15/06/2024</t>
  </si>
  <si>
    <t>GCAMT-7646514</t>
  </si>
  <si>
    <t>XL1-MPC-037</t>
  </si>
  <si>
    <t>XA2-MPC-030</t>
  </si>
  <si>
    <t>GCAMT-7589271</t>
  </si>
  <si>
    <t>XL1-MPC-038</t>
  </si>
  <si>
    <t>XA2-MPC-032</t>
  </si>
  <si>
    <t>GCAMT-7589275</t>
  </si>
  <si>
    <t>XL1-MPC-039</t>
  </si>
  <si>
    <t>XA2-MPC-036</t>
  </si>
  <si>
    <t>GCAMT-7589282</t>
  </si>
  <si>
    <t>XL1-MPC-040</t>
  </si>
  <si>
    <t>XA2-MPC-037</t>
  </si>
  <si>
    <t>GCAMT-7635278</t>
  </si>
  <si>
    <t>XL1-MPC-041</t>
  </si>
  <si>
    <t>XA2-MPC-039</t>
  </si>
  <si>
    <t>GCAMT-7633997</t>
  </si>
  <si>
    <t>XL1-MPC-042</t>
  </si>
  <si>
    <t>XA2-MPC-021</t>
  </si>
  <si>
    <t>XL1-MPC-043</t>
  </si>
  <si>
    <t>XA2-MPC-022</t>
  </si>
  <si>
    <t>XL1-MPC-044</t>
  </si>
  <si>
    <t>XA2-MPC-023</t>
  </si>
  <si>
    <t>XD1-MPC-001</t>
  </si>
  <si>
    <t>Có biên bản</t>
  </si>
  <si>
    <t>XD1-MPC-002</t>
  </si>
  <si>
    <t>XD1-MPC-003</t>
  </si>
  <si>
    <t>XD1-MPC-004</t>
  </si>
  <si>
    <t>XD1-MPC-005</t>
  </si>
  <si>
    <t>XD1-MPC-011</t>
  </si>
  <si>
    <t>XD1-MPC-017</t>
  </si>
  <si>
    <t>24/12/2023</t>
  </si>
  <si>
    <t>Cấp ngày 24/12/23</t>
  </si>
  <si>
    <t>XD1-MPC-018</t>
  </si>
  <si>
    <t>XD1-MPC-019</t>
  </si>
  <si>
    <t>XD2-MPC-001</t>
  </si>
  <si>
    <t>MCC 01XN -KLH</t>
  </si>
  <si>
    <t>XD2-MPC-002</t>
  </si>
  <si>
    <t>MCC 02XN -KLH</t>
  </si>
  <si>
    <t>XD2-MPC-003</t>
  </si>
  <si>
    <t>MCC 03XN -KLH</t>
  </si>
  <si>
    <t>XD2-MPC-004</t>
  </si>
  <si>
    <t>MCC 04XN -KLH</t>
  </si>
  <si>
    <t>XD2-MPC-009</t>
  </si>
  <si>
    <t>MCC 09XN -KLH</t>
  </si>
  <si>
    <t>XD2-MPC-011</t>
  </si>
  <si>
    <t>MCC 11XN -KLH</t>
  </si>
  <si>
    <t>XD2-MPC-014</t>
  </si>
  <si>
    <t>MCC 16XN -KLH</t>
  </si>
  <si>
    <t>XD2-MPC-015</t>
  </si>
  <si>
    <t>MCC 17XN -KLH</t>
  </si>
  <si>
    <t>XD2-MPC-016</t>
  </si>
  <si>
    <t>MCC 18XN -KLH</t>
  </si>
  <si>
    <t>XD2-MPC-018</t>
  </si>
  <si>
    <t>XL1-MPC-011</t>
  </si>
  <si>
    <t>XD2-MPC-020</t>
  </si>
  <si>
    <t>XD2-MPC-022</t>
  </si>
  <si>
    <t>XD2-MPC-023</t>
  </si>
  <si>
    <t>XD3-MPC-006</t>
  </si>
  <si>
    <t>XD3-MPC-007</t>
  </si>
  <si>
    <t>XD3-MPC-009</t>
  </si>
  <si>
    <t>chờ vt sửa chữa</t>
  </si>
  <si>
    <t>XD3-MPC-010</t>
  </si>
  <si>
    <t>XD3-MPC-011</t>
  </si>
  <si>
    <t>XD3-MPC-014</t>
  </si>
  <si>
    <t>XD3-MPC-016</t>
  </si>
  <si>
    <t>XD3-MPC-018</t>
  </si>
  <si>
    <t>XD3-MPC-019</t>
  </si>
  <si>
    <t>XD3-MPC-020</t>
  </si>
  <si>
    <t>XD3-MPC-023</t>
  </si>
  <si>
    <t>XD3-MPC-026</t>
  </si>
  <si>
    <t>XD3-MPC-027</t>
  </si>
  <si>
    <t>XD3-MPC-028</t>
  </si>
  <si>
    <t>XD3-MPC-032</t>
  </si>
  <si>
    <t>XD3-MPC-033</t>
  </si>
  <si>
    <t>XD3-MPC-034</t>
  </si>
  <si>
    <t>XD3-MPC-035</t>
  </si>
  <si>
    <t>TB bừa 30-32-36 chảo</t>
  </si>
  <si>
    <t>XD3-MPC-038</t>
  </si>
  <si>
    <t>GCAMT-7717622</t>
  </si>
  <si>
    <t>XD3-MPC-039</t>
  </si>
  <si>
    <t>GCAMT-7716575</t>
  </si>
  <si>
    <t>B.3</t>
  </si>
  <si>
    <t>XL4-MPC-003</t>
  </si>
  <si>
    <t>LP4-MCC-003</t>
  </si>
  <si>
    <t>XL4-MPC-005</t>
  </si>
  <si>
    <t>LP4-MCC-005</t>
  </si>
  <si>
    <t>XL4-MPC-006</t>
  </si>
  <si>
    <t>LP4-MCC-006</t>
  </si>
  <si>
    <t>XL4-MPC-009</t>
  </si>
  <si>
    <t>LP4-MCC-009</t>
  </si>
  <si>
    <t>XL4-MPC-011</t>
  </si>
  <si>
    <t>LP4-MCC-011</t>
  </si>
  <si>
    <t>XL4-MPC-014</t>
  </si>
  <si>
    <t>LP4-MCC-014</t>
  </si>
  <si>
    <t>XL4-MPC-015</t>
  </si>
  <si>
    <t>LP4-MCC-015</t>
  </si>
  <si>
    <t>XL4-MPC-017</t>
  </si>
  <si>
    <t>LP4-MCC-017</t>
  </si>
  <si>
    <t>XL4-MPC-019</t>
  </si>
  <si>
    <t>LP4-MCC-019</t>
  </si>
  <si>
    <t>XL4-MPC-021</t>
  </si>
  <si>
    <t>LP4-MCC-021</t>
  </si>
  <si>
    <t>XL4-MPC-023</t>
  </si>
  <si>
    <t>LP4-MCC-023</t>
  </si>
  <si>
    <t>XL4-MPC-029</t>
  </si>
  <si>
    <t>XL1-MPC-005</t>
  </si>
  <si>
    <t>XL4-MPC-030</t>
  </si>
  <si>
    <t>XL1-MPC-006</t>
  </si>
  <si>
    <t>A.2</t>
  </si>
  <si>
    <t>XN CHUỐI AD2</t>
  </si>
  <si>
    <t>XA2-MPC-001</t>
  </si>
  <si>
    <t>XN chuối AD2</t>
  </si>
  <si>
    <t>XA2-MPC-002</t>
  </si>
  <si>
    <t>XA2-MPC-003</t>
  </si>
  <si>
    <t>Có bb sự việc mất ngày 14/05/2024</t>
  </si>
  <si>
    <t>XA2-MPC-004</t>
  </si>
  <si>
    <t>XA2-MPC-013</t>
  </si>
  <si>
    <t>XA2-MPC-014</t>
  </si>
  <si>
    <t>XA2-MPC-015</t>
  </si>
  <si>
    <t>XA2-MPC-018</t>
  </si>
  <si>
    <t>XA2-MPC-019</t>
  </si>
  <si>
    <t>XA2-MPC-020</t>
  </si>
  <si>
    <t>XA2-MPC-024</t>
  </si>
  <si>
    <t>HAAT-2478499</t>
  </si>
  <si>
    <t>GCAMT-7573879</t>
  </si>
  <si>
    <t>XA2-MPC-025</t>
  </si>
  <si>
    <t>HAAT-2478502</t>
  </si>
  <si>
    <t>GCAMT-7573882</t>
  </si>
  <si>
    <t>XA2-MPC-026</t>
  </si>
  <si>
    <t>HAAT-2478494</t>
  </si>
  <si>
    <t>GCAMT-7573874</t>
  </si>
  <si>
    <t>XA2-MPC-027</t>
  </si>
  <si>
    <t>HAAT-2478558</t>
  </si>
  <si>
    <t>GCAMT-7573938</t>
  </si>
  <si>
    <t>XA2-MPC-028</t>
  </si>
  <si>
    <t>GCAMT-7573900</t>
  </si>
  <si>
    <t>XA2-MPC-031</t>
  </si>
  <si>
    <t>GCAMT-7633975</t>
  </si>
  <si>
    <t>XA2-MPC-033</t>
  </si>
  <si>
    <t>GCAMT-7589300</t>
  </si>
  <si>
    <t>XA2-MPC-034</t>
  </si>
  <si>
    <t>GCAMT-7633984</t>
  </si>
  <si>
    <t>XA2-MPC-035</t>
  </si>
  <si>
    <t>GCAMT-7635285</t>
  </si>
  <si>
    <t>XA2-MPC-038</t>
  </si>
  <si>
    <t>GCAMT-7631719</t>
  </si>
  <si>
    <t>XXA-MPC-001</t>
  </si>
  <si>
    <t>XXA-MPC-002</t>
  </si>
  <si>
    <t>XXA-MPC-003</t>
  </si>
  <si>
    <t>XXA-MPC-004</t>
  </si>
  <si>
    <t>XXA-MPC-005</t>
  </si>
  <si>
    <t>XXA-MPC-006</t>
  </si>
  <si>
    <t>XXA-MPC-007</t>
  </si>
  <si>
    <t>XXA-MPC-008</t>
  </si>
  <si>
    <t>XXA-MPC-009</t>
  </si>
  <si>
    <t>XXA-MPC-010</t>
  </si>
  <si>
    <t>XXA-MPC-011</t>
  </si>
  <si>
    <t>XXA-MPC-012</t>
  </si>
  <si>
    <t>XXA-MPC-013</t>
  </si>
  <si>
    <t>XXA-MPC-014</t>
  </si>
  <si>
    <t>XXA-MPC-015</t>
  </si>
  <si>
    <t>XXA-MPC-016</t>
  </si>
  <si>
    <t>XXA-MPC-019</t>
  </si>
  <si>
    <t>GCAMT-4478384</t>
  </si>
  <si>
    <t>XXA-MPC-020</t>
  </si>
  <si>
    <t>GCAMT-4487062</t>
  </si>
  <si>
    <t>XXA-MPC-021</t>
  </si>
  <si>
    <t>GCAMT-4487469</t>
  </si>
  <si>
    <t>XXA-MPC-022</t>
  </si>
  <si>
    <t>GCAMT-4487083</t>
  </si>
  <si>
    <t>XXA-MPC-023</t>
  </si>
  <si>
    <t>GCAMT-4487399</t>
  </si>
  <si>
    <t>XXA-MPC-024</t>
  </si>
  <si>
    <t>GCAMT-4487117</t>
  </si>
  <si>
    <t>XXA-MPC-025</t>
  </si>
  <si>
    <t>GCAMT-4487116</t>
  </si>
  <si>
    <t>XXA-MPC-026</t>
  </si>
  <si>
    <t>GCAMT-4487480</t>
  </si>
  <si>
    <t>XXA-MPC-027</t>
  </si>
  <si>
    <t>GCAMT-4487001</t>
  </si>
  <si>
    <t>XXA-MPC-028</t>
  </si>
  <si>
    <t>GCAMT-4487023</t>
  </si>
  <si>
    <t>XXA-MPC-029</t>
  </si>
  <si>
    <t>GCAMT-4487082</t>
  </si>
  <si>
    <t>XXA-MPC-030</t>
  </si>
  <si>
    <t>GCAMT-4487276</t>
  </si>
  <si>
    <t>XXA-MPC-031</t>
  </si>
  <si>
    <t>GCAMT-4487271</t>
  </si>
  <si>
    <t>XXA-MPC-032</t>
  </si>
  <si>
    <t>GCAMT-4487296</t>
  </si>
  <si>
    <t>XXA-MPC-033</t>
  </si>
  <si>
    <t>GCAMT-4487485</t>
  </si>
  <si>
    <t>XXA-MPC-034</t>
  </si>
  <si>
    <t>GCAMT-7657284</t>
  </si>
  <si>
    <t>XXA-MPC-035</t>
  </si>
  <si>
    <t>GCAMT-7676275</t>
  </si>
  <si>
    <t>XXA-MPC-036</t>
  </si>
  <si>
    <t>GCAMT-7676395</t>
  </si>
  <si>
    <t>XXA-MPC-037</t>
  </si>
  <si>
    <t>GCAMT-7676316</t>
  </si>
  <si>
    <t>XXA-MPC-038</t>
  </si>
  <si>
    <t>GCAMT-7676264</t>
  </si>
  <si>
    <t>XXA-MPC-039</t>
  </si>
  <si>
    <t>GCAMT-7677968</t>
  </si>
  <si>
    <t>XXA-MPC-040</t>
  </si>
  <si>
    <t>GCAMT-7655347</t>
  </si>
  <si>
    <t>XXA-MPC-041</t>
  </si>
  <si>
    <t>GCAMT-7655401</t>
  </si>
  <si>
    <t>XXA-MPC-042</t>
  </si>
  <si>
    <t>GCAMT-7676273</t>
  </si>
  <si>
    <t>XXA-MPC-043</t>
  </si>
  <si>
    <t>GCAMT-7676367</t>
  </si>
  <si>
    <t>XBA-MPC-001</t>
  </si>
  <si>
    <t>XBA-MPC-002</t>
  </si>
  <si>
    <t>Láp + dây curoa</t>
  </si>
  <si>
    <t>XBA-MPC-003</t>
  </si>
  <si>
    <t>dây curoa</t>
  </si>
  <si>
    <t>XBA-MPC-004</t>
  </si>
  <si>
    <t>XBA-MPC-005</t>
  </si>
  <si>
    <t>XBA-MPC-006</t>
  </si>
  <si>
    <t>XBA-MPC-007</t>
  </si>
  <si>
    <t>GCAMT-4487275</t>
  </si>
  <si>
    <t>XBA-MPC-008</t>
  </si>
  <si>
    <t>GCAMT-4487389</t>
  </si>
  <si>
    <t>XBA-MPC-009</t>
  </si>
  <si>
    <t>GCAMT-4487022</t>
  </si>
  <si>
    <t>XBA-MPC-010</t>
  </si>
  <si>
    <t>GCAMT-4487009</t>
  </si>
  <si>
    <t>XBA-MPC-011</t>
  </si>
  <si>
    <t>bể lốc máy</t>
  </si>
  <si>
    <t>GCAMT-4487449</t>
  </si>
  <si>
    <t>XBA-MPC-013</t>
  </si>
  <si>
    <t>GCAMT-7676330</t>
  </si>
  <si>
    <t>XBA-MPC-014</t>
  </si>
  <si>
    <t>GCAMT-7655299</t>
  </si>
  <si>
    <t>XBA-MPC-015</t>
  </si>
  <si>
    <t>GCAMT-7677905</t>
  </si>
  <si>
    <t>XD2-MPC-025</t>
  </si>
  <si>
    <t>Mất có biên bản</t>
  </si>
  <si>
    <t>XD2-MPC-026</t>
  </si>
  <si>
    <t>TB xới đất</t>
  </si>
  <si>
    <t>DANH MỤC MÁY CƯA VÀ MÁY KHOAN HỐ THUỘC KLH</t>
  </si>
  <si>
    <t>MÁY CƯA GỖ (XĂNG 2 THÌ)</t>
  </si>
  <si>
    <t>STIHL</t>
  </si>
  <si>
    <t>Trung Quốc</t>
  </si>
  <si>
    <t>MS382</t>
  </si>
  <si>
    <t>3.9HP</t>
  </si>
  <si>
    <t>I.4</t>
  </si>
  <si>
    <t>27/08/2025</t>
  </si>
  <si>
    <t>MS-182</t>
  </si>
  <si>
    <t>2.1HP</t>
  </si>
  <si>
    <t>TB phun vôi</t>
  </si>
  <si>
    <t>TOL-A22-979</t>
  </si>
  <si>
    <t>29/05/2024</t>
  </si>
  <si>
    <t>MAKITA</t>
  </si>
  <si>
    <t>EA3200S40B</t>
  </si>
  <si>
    <t>0A232A322</t>
  </si>
  <si>
    <t>M2377569</t>
  </si>
  <si>
    <t>0A232A32X</t>
  </si>
  <si>
    <t>M2377562</t>
  </si>
  <si>
    <t>0A232A328</t>
  </si>
  <si>
    <t>M2377561</t>
  </si>
  <si>
    <t>0A232A329</t>
  </si>
  <si>
    <t>M2377584</t>
  </si>
  <si>
    <t>M2377608</t>
  </si>
  <si>
    <t>21/11/2023</t>
  </si>
  <si>
    <t>Motso</t>
  </si>
  <si>
    <t>14/09/2024</t>
  </si>
  <si>
    <t>11</t>
  </si>
  <si>
    <t>12</t>
  </si>
  <si>
    <t>13</t>
  </si>
  <si>
    <t>XB1-MCG-012</t>
  </si>
  <si>
    <t>A22-MCG-012</t>
  </si>
  <si>
    <t>29/04/2026</t>
  </si>
  <si>
    <t>- Kèm theo dụng cụ: 1 tua vít dẹp, 1 tuýp mở bugi, 1 lục giác L 5mm</t>
  </si>
  <si>
    <t>MS 382</t>
  </si>
  <si>
    <t>5.3 Hp</t>
  </si>
  <si>
    <t>14</t>
  </si>
  <si>
    <t>XB1-MCG-013</t>
  </si>
  <si>
    <t>A22-MCG-013</t>
  </si>
  <si>
    <t>15</t>
  </si>
  <si>
    <t>XB1-MCG-014</t>
  </si>
  <si>
    <t>A22-MCG-014</t>
  </si>
  <si>
    <t>16</t>
  </si>
  <si>
    <t>XB1-MCG-015</t>
  </si>
  <si>
    <t>A22-MCG-015</t>
  </si>
  <si>
    <t>17</t>
  </si>
  <si>
    <t>XB1-MCG-016</t>
  </si>
  <si>
    <t>A22-MCG-016</t>
  </si>
  <si>
    <t>IV.1</t>
  </si>
  <si>
    <t>MCU-001</t>
  </si>
  <si>
    <t>MCU-002</t>
  </si>
  <si>
    <t>TOTAL</t>
  </si>
  <si>
    <t>TG5602411</t>
  </si>
  <si>
    <t>2.6HP</t>
  </si>
  <si>
    <t>MCU-003</t>
  </si>
  <si>
    <t>28/10/2023</t>
  </si>
  <si>
    <t>AG-52</t>
  </si>
  <si>
    <t>2.4HP</t>
  </si>
  <si>
    <t>OSHIMA</t>
  </si>
  <si>
    <t>2PS</t>
  </si>
  <si>
    <t>25/04/2024</t>
  </si>
  <si>
    <t>BẢNG THEO DÕI KẾ HOẠCH THỰC HIỆN THỦ TỤC ĐĂNG KIỂM, KIỂM ĐỊNH VÀ ĐÓNG PHÍ ĐƯỜNG BỘ MMTB KLH HẰNG NĂM</t>
  </si>
  <si>
    <t>khôgn xoá</t>
  </si>
  <si>
    <t>Biển số xe</t>
  </si>
  <si>
    <t>Mã Bravo</t>
  </si>
  <si>
    <t>Nhãn hiệu</t>
  </si>
  <si>
    <t>Năm sx</t>
  </si>
  <si>
    <t>THỦ TỤC THEO LUẬT GIAO THÔNG ĐƯỜNG BỘ CAMBODIA</t>
  </si>
  <si>
    <t>ĐĂNG KIỂM, KIỂM ĐỊNH ĐỊNH KỲ</t>
  </si>
  <si>
    <t>PHÍ ĐƯỜNG BỘ HẰNG NĂM</t>
  </si>
  <si>
    <t>Ngày thực hiện</t>
  </si>
  <si>
    <t>Ngày hết hạn</t>
  </si>
  <si>
    <t xml:space="preserve">Kế hoạch thực hiện lần tiếp theo </t>
  </si>
  <si>
    <t xml:space="preserve">I. Xe công vụ </t>
  </si>
  <si>
    <t>1</t>
  </si>
  <si>
    <t>24-0490</t>
  </si>
  <si>
    <t>2</t>
  </si>
  <si>
    <t>3</t>
  </si>
  <si>
    <t>4</t>
  </si>
  <si>
    <t>5</t>
  </si>
  <si>
    <t>XA2-TCD-001</t>
  </si>
  <si>
    <t>6</t>
  </si>
  <si>
    <t>7</t>
  </si>
  <si>
    <t>8</t>
  </si>
  <si>
    <t>X.Tải đông lạnh K200</t>
  </si>
  <si>
    <t>Chưa nộp phí</t>
  </si>
  <si>
    <t>9</t>
  </si>
  <si>
    <t>10</t>
  </si>
  <si>
    <t>II. Xe bồn trộn bê tông</t>
  </si>
  <si>
    <t>Bơm</t>
  </si>
  <si>
    <t>DNP-MBT-001</t>
  </si>
  <si>
    <t>Máy bơm chống ngập</t>
  </si>
  <si>
    <t>VD24009016</t>
  </si>
  <si>
    <t>Ban Điện Nước KV DP</t>
  </si>
  <si>
    <t>VD6L160NT</t>
  </si>
  <si>
    <t>DNP-MBT-002</t>
  </si>
  <si>
    <t>VD24009017</t>
  </si>
  <si>
    <t>24/01/2026</t>
  </si>
  <si>
    <t>20/06/2024</t>
  </si>
  <si>
    <t>20/06/2025</t>
  </si>
  <si>
    <t>20/05/2025</t>
  </si>
  <si>
    <t>DNP-MBT-003</t>
  </si>
  <si>
    <t>VD24009015</t>
  </si>
  <si>
    <t>Ban Điện Nước KV ADM</t>
  </si>
  <si>
    <t>Dàn tạo rảnh</t>
  </si>
  <si>
    <t>III. Xe vận chuyển</t>
  </si>
  <si>
    <t>11/2025</t>
  </si>
  <si>
    <t>11/2026</t>
  </si>
  <si>
    <t>10/2026</t>
  </si>
  <si>
    <t>24/06/2025</t>
  </si>
  <si>
    <t>24/06/2027</t>
  </si>
  <si>
    <t>24/05/2027</t>
  </si>
  <si>
    <t>Dàn rải-xới phân-bón phân</t>
  </si>
  <si>
    <t>19/03/2026</t>
  </si>
  <si>
    <t>19/03/2027</t>
  </si>
  <si>
    <t>19/02/2027</t>
  </si>
  <si>
    <t xml:space="preserve">Bộ bánh lồng </t>
  </si>
  <si>
    <t>CẬP NHẬT MÃ BRAVO MÁY MÓC</t>
  </si>
  <si>
    <t>Mã Bravo New</t>
  </si>
  <si>
    <t>I. KHU VỰC DAUNPENH</t>
  </si>
  <si>
    <t>A23-MĐA-001</t>
  </si>
  <si>
    <t>M.Đào KOBELCO gàu 1.2m3</t>
  </si>
  <si>
    <t>SK250-10</t>
  </si>
  <si>
    <t>LQ16-10073 R0033333</t>
  </si>
  <si>
    <t>A23-MĐA-002</t>
  </si>
  <si>
    <t>M.Đào SH210 gàu 0.9m3</t>
  </si>
  <si>
    <t>A23-MĐA-003</t>
  </si>
  <si>
    <t>M.Đào DX140W gàu 0.5m3</t>
  </si>
  <si>
    <t>A23-MĐA-004</t>
  </si>
  <si>
    <t>A23-MĐA-044</t>
  </si>
  <si>
    <t>A23-MĐA-045</t>
  </si>
  <si>
    <t>M.Đào SH130 gàu 0.5m3</t>
  </si>
  <si>
    <t>- Bàn giao về XDCB ngày 01/07/2024 (Chờ BBBG)</t>
  </si>
  <si>
    <t>Nhật bản</t>
  </si>
  <si>
    <t>M.Đào KOMATSU gàu 0.3m3</t>
  </si>
  <si>
    <t>Đổi đcơ MĐ05</t>
  </si>
  <si>
    <t>CGTC DP (XDCB)</t>
  </si>
  <si>
    <t>A23-MUI-001</t>
  </si>
  <si>
    <t>A23-MUI-002</t>
  </si>
  <si>
    <t>A23-MUI-010</t>
  </si>
  <si>
    <t>Giàn vét mương</t>
  </si>
  <si>
    <t>GTL D300E4-15T</t>
  </si>
  <si>
    <t>A23-XTA-014</t>
  </si>
  <si>
    <t>CHT-XTA-020</t>
  </si>
  <si>
    <t>Xe Forland FD990-4WDXTH4-5T</t>
  </si>
  <si>
    <t>Đ.chuyển từ XN DP1 ngày 25/06/2024</t>
  </si>
  <si>
    <t>THACO FD990-4WD FD99C29F095</t>
  </si>
  <si>
    <t>CHT-XTA-021</t>
  </si>
  <si>
    <t>CHT-XTA-022</t>
  </si>
  <si>
    <t>CHT-XTA-023</t>
  </si>
  <si>
    <t>Xe ben FD 850 (cấp nước sạch bồn 5000L)</t>
  </si>
  <si>
    <t>CGTC DP giao qua HC DP</t>
  </si>
  <si>
    <t>167HP</t>
  </si>
  <si>
    <t>Xe ben AUMAN GTL D300 E4 (Cấp dầu)</t>
  </si>
  <si>
    <t>Xe Ben FD150</t>
  </si>
  <si>
    <t>A23-XTA-050</t>
  </si>
  <si>
    <t>A23-XTA-051</t>
  </si>
  <si>
    <t>A23-XTA-052</t>
  </si>
  <si>
    <t>A23-XBO-005</t>
  </si>
  <si>
    <t>AUMAN ETX D300 8X4 (Bồn tưới 18m3)</t>
  </si>
  <si>
    <t>I.5</t>
  </si>
  <si>
    <t>A23-BAN-003</t>
  </si>
  <si>
    <t>A23-BAN-001</t>
  </si>
  <si>
    <t>I.6</t>
  </si>
  <si>
    <t>X.Lu rung 11 tấn</t>
  </si>
  <si>
    <t>X.Lu tĩnh 10 tấn</t>
  </si>
  <si>
    <t xml:space="preserve">CGTC DP </t>
  </si>
  <si>
    <t>Giao về XDCB (DP1 sử dụng)</t>
  </si>
  <si>
    <t>I.7</t>
  </si>
  <si>
    <t>Xe nâng  tay điện 1.5 tấn</t>
  </si>
  <si>
    <t>A23-XNA-002</t>
  </si>
  <si>
    <t>Xe nâng điện 1.5tấn</t>
  </si>
  <si>
    <t>I.8</t>
  </si>
  <si>
    <t>Xe tải Faw 15T</t>
  </si>
  <si>
    <t>XE HUYNDAI 15T</t>
  </si>
  <si>
    <t>Xe ben FC 950</t>
  </si>
  <si>
    <t>I.9</t>
  </si>
  <si>
    <t>Xe chuyên dụng</t>
  </si>
  <si>
    <t>Xe tải Libero - 2A-0239</t>
  </si>
  <si>
    <t>I.10</t>
  </si>
  <si>
    <t>Máy kéo</t>
  </si>
  <si>
    <t>CNN-MKE-002</t>
  </si>
  <si>
    <t>A23-MKE-001</t>
  </si>
  <si>
    <t>A23-MKE-018</t>
  </si>
  <si>
    <t>DP3 chuyển qua</t>
  </si>
  <si>
    <t>A23-MKE-004</t>
  </si>
  <si>
    <t>TB lên luống trồng</t>
  </si>
  <si>
    <t>M.Cày JD 6603</t>
  </si>
  <si>
    <t>M.Cày JD 6120B</t>
  </si>
  <si>
    <t>JONHDEERE</t>
  </si>
  <si>
    <t>M.Cày JD 5090E</t>
  </si>
  <si>
    <t>M.Cày JD 6155J</t>
  </si>
  <si>
    <t>M.Cày KAM 50</t>
  </si>
  <si>
    <t>A23-MKE-015</t>
  </si>
  <si>
    <t>XD2-MKE-004</t>
  </si>
  <si>
    <t>C000035</t>
  </si>
  <si>
    <t>Cho LP3 mượn 3-4 tháng</t>
  </si>
  <si>
    <t>A23-MKE-021</t>
  </si>
  <si>
    <t>M.Cày KUBOTA L2002DT</t>
  </si>
  <si>
    <t>M.Cày JD 6400</t>
  </si>
  <si>
    <t>CGLD DP</t>
  </si>
  <si>
    <t>20/01/2025</t>
  </si>
  <si>
    <t>M.Cày LOVOL 1504</t>
  </si>
  <si>
    <t>Máy cày JD 2850</t>
  </si>
  <si>
    <t>Máy cày JD 3350</t>
  </si>
  <si>
    <t>Máy cày JD 7800</t>
  </si>
  <si>
    <t>I.11</t>
  </si>
  <si>
    <t xml:space="preserve">Xe Clethon </t>
  </si>
  <si>
    <t>XND-CLT-001</t>
  </si>
  <si>
    <t>Xe CLETHON</t>
  </si>
  <si>
    <t>NT Nhãn DP</t>
  </si>
  <si>
    <t>Từ CAT AD sang</t>
  </si>
  <si>
    <t>XND-CLT-002</t>
  </si>
  <si>
    <t>I.12</t>
  </si>
  <si>
    <t>I.13</t>
  </si>
  <si>
    <t>Đầu kéo container</t>
  </si>
  <si>
    <t>Xe Container</t>
  </si>
  <si>
    <t>FZ490</t>
  </si>
  <si>
    <t>I.14</t>
  </si>
  <si>
    <t>Máy cắt cỏ mini</t>
  </si>
  <si>
    <t>Máy cắt cỏ mini Yanmar</t>
  </si>
  <si>
    <t>XN chuối DP1</t>
  </si>
  <si>
    <t>II. KHU VỰC LUMPHAT</t>
  </si>
  <si>
    <t>Máy đào LP</t>
  </si>
  <si>
    <t>Rạch luống trồng</t>
  </si>
  <si>
    <t>A23-MĐA-016</t>
  </si>
  <si>
    <t>CHT-MĐA-050</t>
  </si>
  <si>
    <t>A24-MĐA-002</t>
  </si>
  <si>
    <t>A24-MĐA-006</t>
  </si>
  <si>
    <t>M.đào KOMATSU gàu 0.3m3</t>
  </si>
  <si>
    <t>38 HP</t>
  </si>
  <si>
    <t>A24-MĐA-001</t>
  </si>
  <si>
    <t>A24-MĐA-003</t>
  </si>
  <si>
    <t xml:space="preserve">Điều chuyển từ ADM </t>
  </si>
  <si>
    <t>A24-MĐA-004</t>
  </si>
  <si>
    <t>A24-MĐA-005</t>
  </si>
  <si>
    <t>M.Đào CAT 305 gàu 0.3m3</t>
  </si>
  <si>
    <t>CGTC LP (XDCB)</t>
  </si>
  <si>
    <t>27/07/2024</t>
  </si>
  <si>
    <t>Máy ủi LP</t>
  </si>
  <si>
    <t>A23-MUI-003</t>
  </si>
  <si>
    <t>A23-MUI-004</t>
  </si>
  <si>
    <t>A23-MUI-009</t>
  </si>
  <si>
    <t>Xe tải LP</t>
  </si>
  <si>
    <t>CHT-XTA-018</t>
  </si>
  <si>
    <t>CHT-XTA-019</t>
  </si>
  <si>
    <t>FD990</t>
  </si>
  <si>
    <t>Xe ben FD 140</t>
  </si>
  <si>
    <t>Xe ben FD 850</t>
  </si>
  <si>
    <t>A23-XTA-016</t>
  </si>
  <si>
    <t>ĐẶC TÍNH KT</t>
  </si>
  <si>
    <t>A23-XTA-017</t>
  </si>
  <si>
    <t>Dàn cày nghầm 3 trụ</t>
  </si>
  <si>
    <t>A24-XTA-009</t>
  </si>
  <si>
    <t>Cần dài máy đào SH210 (16M)</t>
  </si>
  <si>
    <t>Cần dài máy đào Kobeco (18m)</t>
  </si>
  <si>
    <t>Chuyển DP2 mượn từ 19-04 đến 19-07</t>
  </si>
  <si>
    <t>Đầm taluy</t>
  </si>
  <si>
    <t>XL4-XTA-001</t>
  </si>
  <si>
    <t>ATT-A24-0063</t>
  </si>
  <si>
    <t>ATT-A24-0051</t>
  </si>
  <si>
    <t>Xe ben FD 850 (Cấp dầu)</t>
  </si>
  <si>
    <t>ATT-A22-0213</t>
  </si>
  <si>
    <t>Cần dài M.Đào Sumitomo 16 mét</t>
  </si>
  <si>
    <t>Cần dài M.Đào Dosan 12 mét</t>
  </si>
  <si>
    <t>Búa đục</t>
  </si>
  <si>
    <t>ATT-A22-0215</t>
  </si>
  <si>
    <t>Đầm taluy</t>
  </si>
  <si>
    <t>II.4</t>
  </si>
  <si>
    <t>Xe bồn LP</t>
  </si>
  <si>
    <t>A24-XB0-001</t>
  </si>
  <si>
    <t>A23-XBO-004</t>
  </si>
  <si>
    <t>Rơ mooc</t>
  </si>
  <si>
    <t>Đề xuất thanh lý</t>
  </si>
  <si>
    <t>II.5</t>
  </si>
  <si>
    <t>Xe ban LP</t>
  </si>
  <si>
    <t>A23-BAN-002</t>
  </si>
  <si>
    <t>II.6</t>
  </si>
  <si>
    <t>Xe lu LP</t>
  </si>
  <si>
    <t>Thiết bị phay 2m2</t>
  </si>
  <si>
    <t>A23-XLU-003</t>
  </si>
  <si>
    <t>CNN-MPT-001</t>
  </si>
  <si>
    <t>XDP-MPT- 001</t>
  </si>
  <si>
    <t>A23-MPT-001</t>
  </si>
  <si>
    <t>SV512DH</t>
  </si>
  <si>
    <t>A23-XLU-004</t>
  </si>
  <si>
    <t>Giàn vét mương 2 đĩa quay</t>
  </si>
  <si>
    <t>Giàn cày ngầm 3 răng</t>
  </si>
  <si>
    <t>XDP-TLU- 001</t>
  </si>
  <si>
    <t>A23-TLU-001</t>
  </si>
  <si>
    <t>Giàn rạch luống trồng 2 lưỡi</t>
  </si>
  <si>
    <t>Giàn rạch tạo rãnh luống trồng 1 lưỡi</t>
  </si>
  <si>
    <t>II.7</t>
  </si>
  <si>
    <t>Xe nâng LP</t>
  </si>
  <si>
    <t>Thiết bị phun vôi</t>
  </si>
  <si>
    <t>Xe nâng điện 3 tấn</t>
  </si>
  <si>
    <t>Rơ mooc kéo máy đào</t>
  </si>
  <si>
    <t>II.8</t>
  </si>
  <si>
    <t>Xe phun thuốc LP</t>
  </si>
  <si>
    <t>CNN-RMR-001</t>
  </si>
  <si>
    <t>CK-RMRP-01</t>
  </si>
  <si>
    <t>Rơ mooc thùng ben chở phân hữu cơ</t>
  </si>
  <si>
    <t>XL4-XPT-001</t>
  </si>
  <si>
    <t>A24-XPT-002</t>
  </si>
  <si>
    <t>Xe tải Hyundai 15T</t>
  </si>
  <si>
    <t>II.9</t>
  </si>
  <si>
    <t>Xe chuyên dụng LP</t>
  </si>
  <si>
    <t>II.10</t>
  </si>
  <si>
    <t>Máy kéo LP</t>
  </si>
  <si>
    <t>A24-MKE-009</t>
  </si>
  <si>
    <t>CNN-MKE-010</t>
  </si>
  <si>
    <t>124HP</t>
  </si>
  <si>
    <t>Thiết bị cày ngầm 3 răng</t>
  </si>
  <si>
    <t>Cơ giới làm đất AD</t>
  </si>
  <si>
    <t>ATT-A22-0273</t>
  </si>
  <si>
    <t>A24-MKE-022</t>
  </si>
  <si>
    <t>A24-MKE-025</t>
  </si>
  <si>
    <t>ATT-A22-0274</t>
  </si>
  <si>
    <t>A24-MKE-023</t>
  </si>
  <si>
    <t>A24-MKE-004</t>
  </si>
  <si>
    <t>A24-MKE-001</t>
  </si>
  <si>
    <t>Giàn trang mặt bằng luống chuối</t>
  </si>
  <si>
    <t>A24-MKE-002</t>
  </si>
  <si>
    <t>A24-MKE-003</t>
  </si>
  <si>
    <t>A24-MKE-005</t>
  </si>
  <si>
    <t>XD1-MTM-001</t>
  </si>
  <si>
    <t>Mô tơ máy cao áp 2HP</t>
  </si>
  <si>
    <t>PLC-Z1514</t>
  </si>
  <si>
    <t>A24-MKE-006</t>
  </si>
  <si>
    <t>XD1-MTM-002</t>
  </si>
  <si>
    <t>XD1-MTM-003</t>
  </si>
  <si>
    <t>XD1-MTM-004</t>
  </si>
  <si>
    <t>XD1-MTM-005</t>
  </si>
  <si>
    <t>Mô tơ băng tải 2HP</t>
  </si>
  <si>
    <t>XD1-MTM-006</t>
  </si>
  <si>
    <t>XD1-MTM-007</t>
  </si>
  <si>
    <t>XD1-MTM-008</t>
  </si>
  <si>
    <t>XD1-MTM-009</t>
  </si>
  <si>
    <t>XD1-MTM-010</t>
  </si>
  <si>
    <t>XD1-MTM-011</t>
  </si>
  <si>
    <t>XD1-HCK-001</t>
  </si>
  <si>
    <t>Máy hút chân không(Bộ hút chân không và mô tơ)</t>
  </si>
  <si>
    <t>HOKAIDO</t>
  </si>
  <si>
    <t>XD1-XNT-001</t>
  </si>
  <si>
    <t>Xe nâng tay</t>
  </si>
  <si>
    <t>NIULI</t>
  </si>
  <si>
    <t>XD1-SXĐ-001</t>
  </si>
  <si>
    <t>Sạc xe nâng điện</t>
  </si>
  <si>
    <t>HCE200DE0927033ECN</t>
  </si>
  <si>
    <t>XD1-BTA-001</t>
  </si>
  <si>
    <t>Băng tải chuối thải</t>
  </si>
  <si>
    <t>B-CDG-80V/200A VL</t>
  </si>
  <si>
    <t>XD1-BTA-002</t>
  </si>
  <si>
    <t>XD1-BTA-003</t>
  </si>
  <si>
    <t>A24-MKE-029</t>
  </si>
  <si>
    <t>XD1-BTA-004</t>
  </si>
  <si>
    <t>XD1-BTA-005</t>
  </si>
  <si>
    <t>XD1-BTA-006</t>
  </si>
  <si>
    <t>XD1-BTA-007</t>
  </si>
  <si>
    <t>Băng tải chuối thành phẩm</t>
  </si>
  <si>
    <t>XD1-BTA-008</t>
  </si>
  <si>
    <t>XD1-BTA-009</t>
  </si>
  <si>
    <t>XD1-MDT-001</t>
  </si>
  <si>
    <t>Máy dập thùng bán tự động</t>
  </si>
  <si>
    <t>XD1-MKT-001</t>
  </si>
  <si>
    <t>Máy khử trùng Covit</t>
  </si>
  <si>
    <t>II.11</t>
  </si>
  <si>
    <t>Xe Clethon</t>
  </si>
  <si>
    <t>XD1-MKT-002</t>
  </si>
  <si>
    <t>Máy khử trùng chuối ( hư hỏng)</t>
  </si>
  <si>
    <t>XD1-HTL-001</t>
  </si>
  <si>
    <t>Hệ thống kho lạnh</t>
  </si>
  <si>
    <t>II.12</t>
  </si>
  <si>
    <t xml:space="preserve">Xe cẩu </t>
  </si>
  <si>
    <t>ATT-A23-0030</t>
  </si>
  <si>
    <t>A23-XCA-002</t>
  </si>
  <si>
    <t>Xe cẩu tải 3.5 tấn</t>
  </si>
  <si>
    <t>2017</t>
  </si>
  <si>
    <t>II.13</t>
  </si>
  <si>
    <t>A24-CCM-001</t>
  </si>
  <si>
    <t>III. KHU VỰC ANDONGMEAS</t>
  </si>
  <si>
    <t>Máy đào AD</t>
  </si>
  <si>
    <t>A23-MĐA-046</t>
  </si>
  <si>
    <t>A23-MĐA-024</t>
  </si>
  <si>
    <t>00. Official-LỊCH SỬ BTSC MMTB-KLH KOUN MOM 2024</t>
  </si>
  <si>
    <t>A23-MĐA-025</t>
  </si>
  <si>
    <t>A23-MĐA-026</t>
  </si>
  <si>
    <t>A22-MĐA-001</t>
  </si>
  <si>
    <t>A22-MĐA-003</t>
  </si>
  <si>
    <t>M.Đào CAT 305 gàu 0.3m3</t>
  </si>
  <si>
    <t>A22-MĐA-002</t>
  </si>
  <si>
    <t>XN AD2 đ.chuyển qua ngày 25/06/2024 (chờ BBBG)</t>
  </si>
  <si>
    <t>A22-MĐA-004</t>
  </si>
  <si>
    <t>XN AD đ.chuyển qua XDCB ngày 08/08/2024</t>
  </si>
  <si>
    <t>M.Đào KOMATSU bánh lốp gàu 0.7m3</t>
  </si>
  <si>
    <t>M.Đào KOMATSU gàu 0.8m3</t>
  </si>
  <si>
    <t>Máy ủi AD</t>
  </si>
  <si>
    <t>A23-MUI-005</t>
  </si>
  <si>
    <t>A23-MUI-006</t>
  </si>
  <si>
    <t>A23-MUI-007</t>
  </si>
  <si>
    <t>Máy ủi KOMATSU D65PX-16</t>
  </si>
  <si>
    <t>A23-MUI-008</t>
  </si>
  <si>
    <t>Xe tải AD</t>
  </si>
  <si>
    <t>A22-XTA-001</t>
  </si>
  <si>
    <t>XA2-XTA-002</t>
  </si>
  <si>
    <t>A22-XTA-002</t>
  </si>
  <si>
    <t>XA2-XTA-003</t>
  </si>
  <si>
    <t>A22-XTA-003</t>
  </si>
  <si>
    <t>Cần dài M.Đào DOOSAN 12 mét</t>
  </si>
  <si>
    <t>A22-XTA-004</t>
  </si>
  <si>
    <t>Điều chuyển từ GNVC KLH 01/07/2024 (chờ BBBG)</t>
  </si>
  <si>
    <t>AD</t>
  </si>
  <si>
    <t>A22-XTA-005</t>
  </si>
  <si>
    <t>A22-XTA-007</t>
  </si>
  <si>
    <t>Xe tải ben Howo</t>
  </si>
  <si>
    <t>TB trồng cỏ-bắp</t>
  </si>
  <si>
    <t>A22-XTA-015</t>
  </si>
  <si>
    <t>Xe bồn AD</t>
  </si>
  <si>
    <t>A23-XBO-003</t>
  </si>
  <si>
    <t>Xe ban AD</t>
  </si>
  <si>
    <t>A23-BAN-004</t>
  </si>
  <si>
    <t>Xe lu AD</t>
  </si>
  <si>
    <t>A23-XLU-006</t>
  </si>
  <si>
    <t>A23-XLU-007</t>
  </si>
  <si>
    <t>Xe cẩu AD</t>
  </si>
  <si>
    <t>A23-XCA-001</t>
  </si>
  <si>
    <t>- Mã cũ: CHT-XCA-002, ĐCHUYỂN về THACO ID M&amp;E 29/07/2024</t>
  </si>
  <si>
    <t>A22-XCA-001</t>
  </si>
  <si>
    <t>Xe cẩu tải 5 tấn</t>
  </si>
  <si>
    <t>- Điều chuyển về KLH SNOUL ngày 18/07/2024</t>
  </si>
  <si>
    <t>CKC-XCA-005</t>
  </si>
  <si>
    <t>A22-XCA-005</t>
  </si>
  <si>
    <t xml:space="preserve">Xe cẩu 3.5 tấn </t>
  </si>
  <si>
    <t>Điều chuyển từ Ban CK KLH</t>
  </si>
  <si>
    <t>BAN SXCN</t>
  </si>
  <si>
    <t>CKC-XCA-007</t>
  </si>
  <si>
    <t>A22-XCA-007</t>
  </si>
  <si>
    <t>Xe cẩu 5 tấn</t>
  </si>
  <si>
    <t>Đ.chuyển từ Đnước KLH</t>
  </si>
  <si>
    <t>CKC-XCA-008</t>
  </si>
  <si>
    <t>A22-XCA-008</t>
  </si>
  <si>
    <t>Xe phun thuốc AD</t>
  </si>
  <si>
    <t>A22-XPT-001</t>
  </si>
  <si>
    <t>Xe tải FAW</t>
  </si>
  <si>
    <t>XA2-XPT-002</t>
  </si>
  <si>
    <t>A22-XPT-002</t>
  </si>
  <si>
    <t>XE HUYNDAI</t>
  </si>
  <si>
    <t>A22-XPT-003</t>
  </si>
  <si>
    <t>Xe FD 3.5T</t>
  </si>
  <si>
    <t>Xe Clethon AD</t>
  </si>
  <si>
    <t>III.10</t>
  </si>
  <si>
    <t>Xe chuyên dụng AD</t>
  </si>
  <si>
    <t>A22-TCD-001</t>
  </si>
  <si>
    <t>BCG-TCD-001</t>
  </si>
  <si>
    <t>Xe tải Libero - 2A-4453</t>
  </si>
  <si>
    <t>TTBTSC AD</t>
  </si>
  <si>
    <t>Xe tải Libero - 2A-0834</t>
  </si>
  <si>
    <t>III.11</t>
  </si>
  <si>
    <t>Máy kéo AD</t>
  </si>
  <si>
    <t xml:space="preserve">THACO  </t>
  </si>
  <si>
    <t>A22-MKE-006</t>
  </si>
  <si>
    <t>A22-MKE-007</t>
  </si>
  <si>
    <t>TB khai hoang</t>
  </si>
  <si>
    <t>A22-MKE-023</t>
  </si>
  <si>
    <t>A22-MKE-026</t>
  </si>
  <si>
    <t>A22-MKE-027</t>
  </si>
  <si>
    <t>M.Cày bánh xích ISEKITA</t>
  </si>
  <si>
    <t>ISEKITA</t>
  </si>
  <si>
    <t>ISEKI TA</t>
  </si>
  <si>
    <t>16/05/2024</t>
  </si>
  <si>
    <t>Điều chuyển từ Ban điện nước</t>
  </si>
  <si>
    <t>A22-MKE-033</t>
  </si>
  <si>
    <t>M.Cày bánh xích YANMAR</t>
  </si>
  <si>
    <t>M.Cày NH TD157</t>
  </si>
  <si>
    <t>XA2-MKE-002</t>
  </si>
  <si>
    <t>A22-MKE-024</t>
  </si>
  <si>
    <t>Cho LP3 mượn</t>
  </si>
  <si>
    <t>A22-MKE-025</t>
  </si>
  <si>
    <t>XA2-MKE-007</t>
  </si>
  <si>
    <t>XA2-MKE-008</t>
  </si>
  <si>
    <t>XA2-MKE-009</t>
  </si>
  <si>
    <t>TB khoan lỗ-trụ</t>
  </si>
  <si>
    <t>HCA-MKE-001</t>
  </si>
  <si>
    <t>M.Cày JD 5510</t>
  </si>
  <si>
    <t>M.Cày JD 5520</t>
  </si>
  <si>
    <t>M.Cày JD 6200</t>
  </si>
  <si>
    <t>M.Cày JD 5425</t>
  </si>
  <si>
    <t>III.12</t>
  </si>
  <si>
    <t>Xe xúc lật AD</t>
  </si>
  <si>
    <t>A22-XXL-001</t>
  </si>
  <si>
    <t>A22-XXL-005</t>
  </si>
  <si>
    <t>A22-XXL-006</t>
  </si>
  <si>
    <t>Xe xúc lật LEHMAN</t>
  </si>
  <si>
    <t>115.6HP</t>
  </si>
  <si>
    <t>A22-XXL-007</t>
  </si>
  <si>
    <t>Xe xú́c lật LEHMAN ZL946PR</t>
  </si>
  <si>
    <t>Xe xúc lật WA200</t>
  </si>
  <si>
    <t>W03860624</t>
  </si>
  <si>
    <t>6D95L153498</t>
  </si>
  <si>
    <t>III.13</t>
  </si>
  <si>
    <t>Xe nâng AD</t>
  </si>
  <si>
    <t>A22-XNA-003</t>
  </si>
  <si>
    <t>Xe nâng  điện 2.5 tấn</t>
  </si>
  <si>
    <t>Xe nâng dầu 3,5 tấn</t>
  </si>
  <si>
    <t>Xe nâng Yale 3.5 tấn</t>
  </si>
  <si>
    <t>III.14</t>
  </si>
  <si>
    <t>Xe chở cám</t>
  </si>
  <si>
    <t>III.15</t>
  </si>
  <si>
    <t>Xe rải thức ăn</t>
  </si>
  <si>
    <t>A22-XRA-001</t>
  </si>
  <si>
    <t>Xe rải thức ăn FD1600</t>
  </si>
  <si>
    <t>FD1600</t>
  </si>
  <si>
    <t>A22-XRA-002</t>
  </si>
  <si>
    <t>A22-XRA-003</t>
  </si>
  <si>
    <t>A22-XRA-004</t>
  </si>
  <si>
    <t>III.16</t>
  </si>
  <si>
    <t>Xe hứng cỏ</t>
  </si>
  <si>
    <t>A22-XHC-001</t>
  </si>
  <si>
    <t>FD150</t>
  </si>
  <si>
    <t>A22-XHC-002</t>
  </si>
  <si>
    <t>A22-XHC-003</t>
  </si>
  <si>
    <t>A22-XHC-004</t>
  </si>
  <si>
    <t>A22-XHC-005</t>
  </si>
  <si>
    <t>A22-XHC-006</t>
  </si>
  <si>
    <t>III.17</t>
  </si>
  <si>
    <t>Xe chở phân</t>
  </si>
  <si>
    <t>A22-XCP-001</t>
  </si>
  <si>
    <t>Xe phân FD150 (11.8m3)</t>
  </si>
  <si>
    <t>A22-XCP-002</t>
  </si>
  <si>
    <t>A22-XCP-003</t>
  </si>
  <si>
    <t>A22-XCP-004</t>
  </si>
  <si>
    <t>A22-XCP-005</t>
  </si>
  <si>
    <t>Xe phân FD150 (8.7m3)</t>
  </si>
  <si>
    <t>A22-XCP-006</t>
  </si>
  <si>
    <t>A22-XCP-007</t>
  </si>
  <si>
    <t>III.18</t>
  </si>
  <si>
    <t>A22-XLO-006</t>
  </si>
  <si>
    <t>TB cày ngầm</t>
  </si>
  <si>
    <t>Xe lôi Thaico</t>
  </si>
  <si>
    <t>III.19</t>
  </si>
  <si>
    <t>Xe tải bồn bê tông</t>
  </si>
  <si>
    <t>A22-XTB-001</t>
  </si>
  <si>
    <t>Xe tải Bồn HYUNDAI HD 270</t>
  </si>
  <si>
    <t>A22-XTB-002</t>
  </si>
  <si>
    <t>A22-XTB-003</t>
  </si>
  <si>
    <t>A22-XTB-004</t>
  </si>
  <si>
    <t>Xe tải Bồn FORTON</t>
  </si>
  <si>
    <t>A22-XTB-005</t>
  </si>
  <si>
    <t>Xe tải Bồn CNHTC Sinotruk</t>
  </si>
  <si>
    <t>A22-XTB-006</t>
  </si>
  <si>
    <t>A22-XTB-007</t>
  </si>
  <si>
    <t>A22-XTB-008</t>
  </si>
  <si>
    <t>A22-XTB-009</t>
  </si>
  <si>
    <t>A22-XTB-010</t>
  </si>
  <si>
    <t>III.20</t>
  </si>
  <si>
    <t>Máy xới đất</t>
  </si>
  <si>
    <t>HCA-MXĐ-001</t>
  </si>
  <si>
    <t>A22-MXĐ-001</t>
  </si>
  <si>
    <t>III.21</t>
  </si>
  <si>
    <t>Xe máy Wave A - Trắng</t>
  </si>
  <si>
    <t>Xe máy Wave A - Đen</t>
  </si>
  <si>
    <t>Xe ô tô tải Frontier TF2800</t>
  </si>
  <si>
    <t>chưa phân bổ</t>
  </si>
  <si>
    <t>Máy kéo Mitsubishi</t>
  </si>
  <si>
    <t>Thu hồi ngày 15/06/2024</t>
  </si>
  <si>
    <t>HƯ HỎNG NẶNG CHỜ THANH LÝ</t>
  </si>
  <si>
    <t xml:space="preserve">Chưa có biên bản loại biên </t>
  </si>
  <si>
    <t>Xe FORLAND 2.5T</t>
  </si>
  <si>
    <t>Xe HYUNDAI 3.5T</t>
  </si>
  <si>
    <t>TB gom gốc</t>
  </si>
  <si>
    <t>TB cắt cỏ-phay-xới cỏ</t>
  </si>
  <si>
    <t>Rơ móc thu hoạch</t>
  </si>
  <si>
    <t>Rơ móc thùng ben</t>
  </si>
  <si>
    <t>Rơ móc rải phân</t>
  </si>
  <si>
    <t>Rơ móc lưới</t>
  </si>
  <si>
    <t>Rơ móc lưới ben</t>
  </si>
  <si>
    <t>Rơ móc thùng</t>
  </si>
  <si>
    <t>Rơ móc kéo - vận chuyển</t>
  </si>
  <si>
    <t>XD3-RMK-001</t>
  </si>
  <si>
    <t>Rơ móc xe máy</t>
  </si>
  <si>
    <t>Máy kéo chuối RR</t>
  </si>
  <si>
    <t>Máy cao áp</t>
  </si>
  <si>
    <t>Máy nổ</t>
  </si>
  <si>
    <t>Máy phun thuốc trên RR</t>
  </si>
  <si>
    <t>Máy cuộn cỏ</t>
  </si>
  <si>
    <t>Súng phun thuốc</t>
  </si>
  <si>
    <t>TB thu hoạch cỏ</t>
  </si>
  <si>
    <t>TB đóng bánh cỏ khô</t>
  </si>
  <si>
    <t xml:space="preserve">TB nghiền băm gỗ </t>
  </si>
  <si>
    <t>Máy - Cối trộn thức ăn</t>
  </si>
  <si>
    <t>Máy tời xe máy</t>
  </si>
  <si>
    <t>TB chuyên dụng XNB</t>
  </si>
  <si>
    <t>SMRM GNVC</t>
  </si>
  <si>
    <t>SMRM THUÊ NGOÀI XN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</si>
</sst>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0;-0;-;@"/>
    <numFmt numFmtId="165" formatCode="dd&quot;/&quot;mm&quot;/&quot;yyyy"/>
    <numFmt numFmtId="166" formatCode="mm/dd/yyyy"/>
    <numFmt numFmtId="167" formatCode="yyyy-m"/>
    <numFmt numFmtId="168" formatCode="m/d/yyyy"/>
    <numFmt numFmtId="169" formatCode="yyyy/m"/>
    <numFmt numFmtId="170" formatCode="mm/dd"/>
    <numFmt numFmtId="171" formatCode="mm-dd"/>
    <numFmt numFmtId="172" formatCode="yyyy-mm-dd"/>
    <numFmt numFmtId="173" formatCode="dd/mm/yyyy"/>
    <numFmt numFmtId="174" formatCode="M/d/yyyy"/>
    <numFmt numFmtId="175" formatCode="d/m/yyyy"/>
    <numFmt numFmtId="176" formatCode="m/d/yy"/>
  </numFmts>
  <fonts count="92">
    <font>
      <sz val="11.0"/>
      <color theme="1"/>
      <name val="Arial"/>
      <scheme val="minor"/>
    </font>
    <font>
      <u/>
      <sz val="11.0"/>
      <color theme="1"/>
      <name val="Cambria"/>
    </font>
    <font>
      <sz val="11.0"/>
      <color theme="1"/>
      <name val="Cambria"/>
    </font>
    <font>
      <color theme="1"/>
      <name val="Arial"/>
      <scheme val="minor"/>
    </font>
    <font>
      <sz val="9.0"/>
      <color theme="1"/>
      <name val="Cambria"/>
    </font>
    <font>
      <sz val="11.0"/>
      <color theme="1"/>
      <name val="Aptos Narrow"/>
    </font>
    <font>
      <b/>
      <sz val="14.0"/>
      <color rgb="FFFFFF00"/>
      <name val="Cambria"/>
    </font>
    <font>
      <sz val="9.0"/>
      <color rgb="FF000000"/>
      <name val="Cambria"/>
    </font>
    <font>
      <b/>
      <sz val="14.0"/>
      <color rgb="FFFF0000"/>
      <name val="Cambria"/>
    </font>
    <font/>
    <font>
      <b/>
      <sz val="9.0"/>
      <color rgb="FFFFFF00"/>
      <name val="Cambria"/>
    </font>
    <font>
      <b/>
      <sz val="16.0"/>
      <color rgb="FFFF0000"/>
      <name val="Times New Roman"/>
    </font>
    <font>
      <b/>
      <sz val="9.0"/>
      <color theme="1"/>
      <name val="Cambria"/>
    </font>
    <font>
      <b/>
      <sz val="11.0"/>
      <color theme="1"/>
      <name val="Arial"/>
    </font>
    <font>
      <b/>
      <color theme="1"/>
      <name val="Arial"/>
      <scheme val="minor"/>
    </font>
    <font>
      <b/>
      <sz val="9.0"/>
      <color rgb="FF000000"/>
      <name val="Cambria"/>
    </font>
    <font>
      <b/>
      <sz val="12.0"/>
      <color theme="1"/>
      <name val="Times New Roman"/>
    </font>
    <font>
      <sz val="12.0"/>
      <color theme="1"/>
      <name val="Times New Roman"/>
    </font>
    <font>
      <sz val="12.0"/>
      <color theme="1"/>
      <name val="Cambria"/>
    </font>
    <font>
      <u/>
      <sz val="9.0"/>
      <color rgb="FF0000FF"/>
      <name val="Cambria"/>
    </font>
    <font>
      <b/>
      <sz val="12.0"/>
      <color rgb="FF000000"/>
      <name val="Times New Roman"/>
    </font>
    <font>
      <sz val="11.0"/>
      <color rgb="FF000000"/>
      <name val="Cambria"/>
    </font>
    <font>
      <sz val="11.0"/>
      <color theme="1"/>
      <name val="Calibri"/>
    </font>
    <font>
      <sz val="11.0"/>
      <color rgb="FF0000FF"/>
      <name val="Cambria"/>
    </font>
    <font>
      <sz val="11.0"/>
      <color rgb="FFFF0000"/>
      <name val="Cambria"/>
    </font>
    <font>
      <sz val="12.0"/>
      <color rgb="FF000000"/>
      <name val="Times New Roman"/>
    </font>
    <font>
      <sz val="11.0"/>
      <color theme="1"/>
      <name val="Arial"/>
    </font>
    <font>
      <color rgb="FF000000"/>
      <name val="Arial"/>
      <scheme val="minor"/>
    </font>
    <font>
      <sz val="9.0"/>
      <color theme="1"/>
      <name val="Calibri"/>
    </font>
    <font>
      <b/>
      <sz val="9.0"/>
      <color theme="1"/>
      <name val="Calibri"/>
    </font>
    <font>
      <b/>
      <sz val="7.0"/>
      <color theme="1"/>
      <name val="Calibri"/>
    </font>
    <font>
      <sz val="9.0"/>
      <color rgb="FF000000"/>
      <name val="&quot;Times New Roman&quot;"/>
    </font>
    <font>
      <sz val="9.0"/>
      <color rgb="FFFF0000"/>
      <name val="Cambria"/>
    </font>
    <font>
      <b/>
      <sz val="9.0"/>
      <color rgb="FF0000FF"/>
      <name val="Cambria"/>
    </font>
    <font>
      <sz val="9.0"/>
      <color rgb="FF0000FF"/>
      <name val="Cambria"/>
    </font>
    <font>
      <b/>
      <sz val="9.0"/>
      <color rgb="FFFF0000"/>
      <name val="Cambria"/>
    </font>
    <font>
      <color rgb="FFFF0000"/>
      <name val="Arial"/>
      <scheme val="minor"/>
    </font>
    <font>
      <sz val="9.0"/>
      <color rgb="FFFF0000"/>
      <name val="&quot;Google Sans&quot;"/>
    </font>
    <font>
      <sz val="11.0"/>
      <color rgb="FFFF0000"/>
      <name val="Calibri"/>
    </font>
    <font>
      <sz val="11.0"/>
      <color rgb="FF0000FF"/>
      <name val="Calibri"/>
    </font>
    <font>
      <b/>
      <sz val="16.0"/>
      <color rgb="FFFFFFFF"/>
      <name val="Cambria"/>
    </font>
    <font>
      <b/>
      <sz val="16.0"/>
      <color theme="1"/>
      <name val="Cambria"/>
    </font>
    <font>
      <b/>
      <sz val="18.0"/>
      <color rgb="FF000000"/>
      <name val="Cambria"/>
    </font>
    <font>
      <b/>
      <sz val="12.0"/>
      <color theme="1"/>
      <name val="Cambria"/>
    </font>
    <font>
      <b/>
      <sz val="10.0"/>
      <color theme="1"/>
      <name val="Cambria"/>
    </font>
    <font>
      <b/>
      <sz val="11.0"/>
      <color rgb="FFFF0000"/>
      <name val="Cambria"/>
    </font>
    <font>
      <b/>
      <sz val="12.0"/>
      <color rgb="FFFF0000"/>
      <name val="Cambria"/>
    </font>
    <font>
      <b/>
      <sz val="11.0"/>
      <color rgb="FF000000"/>
      <name val="Cambria"/>
    </font>
    <font>
      <b/>
      <sz val="12.0"/>
      <color rgb="FFCC0000"/>
      <name val="Cambria"/>
    </font>
    <font>
      <sz val="11.0"/>
      <color rgb="FFFFFFFF"/>
      <name val="Cambria"/>
    </font>
    <font>
      <b/>
      <sz val="11.0"/>
      <color theme="1"/>
      <name val="Cambria"/>
    </font>
    <font>
      <b/>
      <sz val="15.0"/>
      <color theme="1"/>
      <name val="Cambria"/>
    </font>
    <font>
      <sz val="11.0"/>
      <color rgb="FF434343"/>
      <name val="Cambria"/>
    </font>
    <font>
      <sz val="12.0"/>
      <color rgb="FF000000"/>
      <name val="&quot;Times New Roman&quot;"/>
    </font>
    <font>
      <sz val="11.0"/>
      <color rgb="FF000000"/>
      <name val="&quot;Times New Roman&quot;"/>
    </font>
    <font>
      <color theme="1"/>
      <name val="Arial"/>
    </font>
    <font>
      <b/>
      <sz val="11.0"/>
      <color rgb="FFFFFFFF"/>
      <name val="Cambria"/>
    </font>
    <font>
      <b/>
      <sz val="11.0"/>
      <color rgb="FF0000FF"/>
      <name val="Cambria"/>
    </font>
    <font>
      <color rgb="FF0000FF"/>
      <name val="Arial"/>
    </font>
    <font>
      <color rgb="FF0000FF"/>
      <name val="Arial"/>
      <scheme val="minor"/>
    </font>
    <font>
      <color theme="1"/>
      <name val="Cambria"/>
    </font>
    <font>
      <b/>
      <sz val="14.0"/>
      <color theme="1"/>
      <name val="Times New Roman"/>
    </font>
    <font>
      <b/>
      <color theme="1"/>
      <name val="Cambria"/>
    </font>
    <font>
      <b/>
      <sz val="20.0"/>
      <color rgb="FFFFFF00"/>
      <name val="Cambria"/>
    </font>
    <font>
      <b/>
      <sz val="18.0"/>
      <color theme="0"/>
      <name val="Cambria"/>
    </font>
    <font>
      <b/>
      <sz val="18.0"/>
      <color rgb="FFFFFFFF"/>
      <name val="Cambria"/>
    </font>
    <font>
      <u/>
      <sz val="9.0"/>
      <color rgb="FF0000FF"/>
      <name val="Cambria"/>
    </font>
    <font>
      <sz val="10.0"/>
      <color theme="1"/>
      <name val="Cambria"/>
    </font>
    <font>
      <sz val="10.0"/>
      <color rgb="FF000000"/>
      <name val="Cambria"/>
    </font>
    <font>
      <b/>
      <sz val="10.0"/>
      <color rgb="FF000000"/>
      <name val="Cambria"/>
    </font>
    <font>
      <sz val="9.0"/>
      <color theme="1"/>
      <name val="Times New Roman"/>
    </font>
    <font>
      <sz val="10.0"/>
      <color rgb="FF333333"/>
      <name val="Arial"/>
    </font>
    <font>
      <sz val="11.0"/>
      <color theme="1"/>
      <name val="Play"/>
    </font>
    <font>
      <b/>
      <sz val="18.0"/>
      <color rgb="FFFFFF00"/>
      <name val="Cambria"/>
    </font>
    <font>
      <b/>
      <color rgb="FFFF0000"/>
      <name val="Cambria"/>
    </font>
    <font>
      <color rgb="FF000000"/>
      <name val="Cambria"/>
    </font>
    <font>
      <sz val="10.0"/>
      <color rgb="FF434343"/>
      <name val="Cambria"/>
    </font>
    <font>
      <sz val="10.0"/>
      <color theme="1"/>
      <name val="Calibri"/>
    </font>
    <font>
      <b/>
      <sz val="10.0"/>
      <color rgb="FFFF0000"/>
      <name val="Cambria"/>
    </font>
    <font>
      <sz val="10.0"/>
      <color rgb="FFFF0000"/>
      <name val="Cambria"/>
    </font>
    <font>
      <color rgb="FFFF0000"/>
      <name val="Cambria"/>
    </font>
    <font>
      <b/>
      <sz val="26.0"/>
      <color theme="1"/>
      <name val="Cambria"/>
    </font>
    <font>
      <b/>
      <sz val="15.0"/>
      <color theme="0"/>
      <name val="Cambria"/>
    </font>
    <font>
      <b/>
      <sz val="16.0"/>
      <color theme="0"/>
      <name val="Cambria"/>
    </font>
    <font>
      <b/>
      <sz val="13.0"/>
      <color theme="1"/>
      <name val="Cambria"/>
    </font>
    <font>
      <b/>
      <sz val="13.0"/>
      <color rgb="FFFF0000"/>
      <name val="Cambria"/>
    </font>
    <font>
      <b/>
      <sz val="12.0"/>
      <color rgb="FFFFFF00"/>
      <name val="Cambria"/>
    </font>
    <font>
      <sz val="12.0"/>
      <color rgb="FF000000"/>
      <name val="Cambria"/>
    </font>
    <font>
      <b/>
      <sz val="12.0"/>
      <color rgb="FFFFFFFF"/>
      <name val="Cambria"/>
    </font>
    <font>
      <b/>
      <sz val="12.0"/>
      <color rgb="FF000000"/>
      <name val="Cambria"/>
    </font>
    <font>
      <u/>
      <color theme="1"/>
      <name val="Arial"/>
      <scheme val="minor"/>
    </font>
    <font>
      <sz val="9.0"/>
      <color rgb="FF000000"/>
      <name val="&quot;Google Sans&quot;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48135"/>
        <bgColor rgb="FF548135"/>
      </patternFill>
    </fill>
    <fill>
      <patternFill patternType="solid">
        <fgColor rgb="FFFFFFCC"/>
        <bgColor rgb="FFFFFFCC"/>
      </patternFill>
    </fill>
    <fill>
      <patternFill patternType="solid">
        <fgColor rgb="FFFFFFD7"/>
        <bgColor rgb="FFFFFFD7"/>
      </patternFill>
    </fill>
    <fill>
      <patternFill patternType="solid">
        <fgColor rgb="FFC1F0C8"/>
        <bgColor rgb="FFC1F0C8"/>
      </patternFill>
    </fill>
    <fill>
      <patternFill patternType="solid">
        <fgColor rgb="FFC1E4F5"/>
        <bgColor rgb="FFC1E4F5"/>
      </patternFill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DEEAF6"/>
        <bgColor rgb="FFDEEAF6"/>
      </patternFill>
    </fill>
    <fill>
      <patternFill patternType="solid">
        <fgColor rgb="FFB7E1CD"/>
        <bgColor rgb="FFB7E1CD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C5E0B3"/>
        <bgColor rgb="FFC5E0B3"/>
      </patternFill>
    </fill>
    <fill>
      <patternFill patternType="solid">
        <fgColor rgb="FF9FC5E8"/>
        <bgColor rgb="FF9FC5E8"/>
      </patternFill>
    </fill>
    <fill>
      <patternFill patternType="solid">
        <fgColor rgb="FFFBE4D5"/>
        <bgColor rgb="FFFBE4D5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6AA84F"/>
        <bgColor rgb="FF6AA84F"/>
      </patternFill>
    </fill>
    <fill>
      <patternFill patternType="solid">
        <fgColor rgb="FFA4C2F4"/>
        <bgColor rgb="FFA4C2F4"/>
      </patternFill>
    </fill>
    <fill>
      <patternFill patternType="solid">
        <fgColor rgb="FF33863D"/>
        <bgColor rgb="FF33863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8EAADB"/>
        <bgColor rgb="FF8EAADB"/>
      </patternFill>
    </fill>
    <fill>
      <patternFill patternType="solid">
        <fgColor rgb="FFF9CB9C"/>
        <bgColor rgb="FFF9CB9C"/>
      </patternFill>
    </fill>
  </fills>
  <borders count="3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/>
      <right/>
      <top/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</border>
  </borders>
  <cellStyleXfs count="1">
    <xf borderId="0" fillId="0" fontId="0" numFmtId="0" applyAlignment="1" applyFont="1"/>
  </cellStyleXfs>
  <cellXfs count="15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left"/>
    </xf>
    <xf borderId="1" fillId="2" fontId="3" numFmtId="0" xfId="0" applyAlignment="1" applyBorder="1" applyFill="1" applyFont="1">
      <alignment horizontal="left"/>
    </xf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center" vertical="center"/>
    </xf>
    <xf borderId="0" fillId="0" fontId="5" numFmtId="164" xfId="0" applyAlignment="1" applyFont="1" applyNumberFormat="1">
      <alignment horizontal="center"/>
    </xf>
    <xf borderId="1" fillId="3" fontId="6" numFmtId="0" xfId="0" applyAlignment="1" applyBorder="1" applyFill="1" applyFont="1">
      <alignment horizontal="left" readingOrder="0" vertical="center"/>
    </xf>
    <xf borderId="1" fillId="2" fontId="7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left" vertical="center"/>
    </xf>
    <xf borderId="1" fillId="3" fontId="6" numFmtId="0" xfId="0" applyAlignment="1" applyBorder="1" applyFill="1" applyFont="1">
      <alignment horizontal="center" vertical="center"/>
    </xf>
    <xf borderId="1" fillId="3" fontId="8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center"/>
    </xf>
    <xf borderId="1" fillId="3" fontId="6" numFmtId="0" xfId="0" applyAlignment="1" applyBorder="1" applyFill="1" applyFont="1">
      <alignment horizontal="center" readingOrder="0" vertical="center"/>
    </xf>
    <xf borderId="2" fillId="3" fontId="6" numFmtId="0" xfId="0" applyAlignment="1" applyBorder="1" applyFill="1" applyFont="1">
      <alignment horizontal="left" readingOrder="0" vertical="center"/>
    </xf>
    <xf borderId="3" fillId="0" fontId="9" numFmtId="0" xfId="0" applyBorder="1" applyFont="1"/>
    <xf borderId="1" fillId="3" fontId="10" numFmtId="0" xfId="0" applyAlignment="1" applyBorder="1" applyFill="1" applyFont="1">
      <alignment horizontal="left" readingOrder="0" vertical="center"/>
    </xf>
    <xf borderId="3" fillId="3" fontId="6" numFmtId="0" xfId="0" applyAlignment="1" applyBorder="1" applyFill="1" applyFont="1">
      <alignment horizontal="left" vertical="center"/>
    </xf>
    <xf borderId="4" fillId="4" fontId="11" numFmtId="0" xfId="0" applyAlignment="1" applyBorder="1" applyFill="1" applyFont="1">
      <alignment horizontal="center" vertical="center"/>
    </xf>
    <xf borderId="3" fillId="3" fontId="6" numFmtId="0" xfId="0" applyAlignment="1" applyBorder="1" applyFill="1" applyFont="1">
      <alignment horizontal="center" vertical="center"/>
    </xf>
    <xf borderId="1" fillId="5" fontId="12" numFmtId="0" xfId="0" applyAlignment="1" applyBorder="1" applyFill="1" applyFont="1">
      <alignment horizontal="center" vertical="center"/>
    </xf>
    <xf borderId="1" fillId="2" fontId="13" numFmtId="0" xfId="0" applyAlignment="1" applyBorder="1" applyFill="1" applyFont="1">
      <alignment horizontal="center" shrinkToFit="0" vertical="bottom" wrapText="1"/>
    </xf>
    <xf borderId="5" fillId="0" fontId="9" numFmtId="0" xfId="0" applyBorder="1" applyFont="1"/>
    <xf borderId="1" fillId="5" fontId="12" numFmtId="0" xfId="0" applyAlignment="1" applyBorder="1" applyFill="1" applyFont="1">
      <alignment horizontal="center" readingOrder="0" vertical="center"/>
    </xf>
    <xf borderId="3" fillId="3" fontId="8" numFmtId="0" xfId="0" applyAlignment="1" applyBorder="1" applyFill="1" applyFont="1">
      <alignment horizontal="left" vertical="center"/>
    </xf>
    <xf borderId="1" fillId="2" fontId="14" numFmtId="0" xfId="0" applyAlignment="1" applyBorder="1" applyFill="1" applyFont="1">
      <alignment horizontal="left" shrinkToFit="0" wrapText="1"/>
    </xf>
    <xf borderId="6" fillId="3" fontId="6" numFmtId="0" xfId="0" applyAlignment="1" applyBorder="1" applyFill="1" applyFont="1">
      <alignment horizontal="left" vertical="center"/>
    </xf>
    <xf borderId="1" fillId="2" fontId="14" numFmtId="0" xfId="0" applyAlignment="1" applyBorder="1" applyFill="1" applyFont="1">
      <alignment horizontal="center" shrinkToFit="0" wrapText="1"/>
    </xf>
    <xf borderId="1" fillId="2" fontId="13" numFmtId="0" xfId="0" applyAlignment="1" applyBorder="1" applyFill="1" applyFont="1">
      <alignment horizontal="center" shrinkToFit="0" wrapText="1"/>
    </xf>
    <xf borderId="7" fillId="0" fontId="9" numFmtId="0" xfId="0" applyBorder="1" applyFont="1"/>
    <xf borderId="1" fillId="4" fontId="11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left" vertical="center"/>
    </xf>
    <xf borderId="1" fillId="4" fontId="11" numFmtId="0" xfId="0" applyAlignment="1" applyBorder="1" applyFill="1" applyFont="1">
      <alignment vertical="center"/>
    </xf>
    <xf borderId="1" fillId="2" fontId="15" numFmtId="0" xfId="0" applyAlignment="1" applyBorder="1" applyFill="1" applyFont="1">
      <alignment horizontal="center" readingOrder="0" shrinkToFit="0" vertical="center" wrapText="1"/>
    </xf>
    <xf borderId="5" fillId="3" fontId="6" numFmtId="0" xfId="0" applyAlignment="1" applyBorder="1" applyFill="1" applyFont="1">
      <alignment horizontal="center" vertical="center"/>
    </xf>
    <xf borderId="8" fillId="6" fontId="16" numFmtId="10" xfId="0" applyAlignment="1" applyBorder="1" applyFill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wrapText="1"/>
    </xf>
    <xf borderId="8" fillId="6" fontId="16" numFmtId="0" xfId="0" applyAlignment="1" applyBorder="1" applyFill="1" applyFont="1">
      <alignment horizontal="center" shrinkToFit="0" vertical="center" wrapText="1"/>
    </xf>
    <xf borderId="8" fillId="6" fontId="16" numFmtId="0" xfId="0" applyAlignment="1" applyBorder="1" applyFill="1" applyFont="1">
      <alignment horizontal="center" readingOrder="0" shrinkToFit="0" vertical="center" wrapText="1"/>
    </xf>
    <xf borderId="3" fillId="3" fontId="6" numFmtId="0" xfId="0" applyAlignment="1" applyBorder="1" applyFill="1" applyFont="1">
      <alignment horizontal="left" readingOrder="0" vertical="center"/>
    </xf>
    <xf borderId="1" fillId="5" fontId="12" numFmtId="0" xfId="0" applyAlignment="1" applyBorder="1" applyFill="1" applyFont="1">
      <alignment horizontal="center" readingOrder="0" shrinkToFit="0" vertical="center" wrapText="1"/>
    </xf>
    <xf borderId="1" fillId="2" fontId="17" numFmtId="0" xfId="0" applyAlignment="1" applyBorder="1" applyFill="1" applyFont="1">
      <alignment horizontal="center" shrinkToFit="0" wrapText="1"/>
    </xf>
    <xf borderId="4" fillId="7" fontId="16" numFmtId="164" xfId="0" applyAlignment="1" applyBorder="1" applyFill="1" applyFont="1" applyNumberFormat="1">
      <alignment horizontal="center" vertical="center"/>
    </xf>
    <xf borderId="4" fillId="6" fontId="16" numFmtId="164" xfId="0" applyAlignment="1" applyBorder="1" applyFill="1" applyFont="1" applyNumberFormat="1">
      <alignment horizontal="center" vertical="center"/>
    </xf>
    <xf borderId="1" fillId="2" fontId="18" numFmtId="0" xfId="0" applyAlignment="1" applyBorder="1" applyFill="1" applyFont="1">
      <alignment horizontal="center"/>
    </xf>
    <xf borderId="1" fillId="5" fontId="15" numFmtId="0" xfId="0" applyAlignment="1" applyBorder="1" applyFill="1" applyFont="1">
      <alignment horizontal="center" readingOrder="0" vertical="center"/>
    </xf>
    <xf borderId="4" fillId="8" fontId="16" numFmtId="164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4" fillId="9" fontId="16" numFmtId="164" xfId="0" applyAlignment="1" applyBorder="1" applyFill="1" applyFont="1" applyNumberFormat="1">
      <alignment horizontal="center" vertical="center"/>
    </xf>
    <xf borderId="1" fillId="5" fontId="12" numFmtId="0" xfId="0" applyAlignment="1" applyBorder="1" applyFill="1" applyFont="1">
      <alignment horizontal="left" readingOrder="0" vertical="center"/>
    </xf>
    <xf borderId="1" fillId="0" fontId="7" numFmtId="0" xfId="0" applyAlignment="1" applyBorder="1" applyFont="1">
      <alignment shrinkToFit="0" vertical="bottom" wrapText="0"/>
    </xf>
    <xf borderId="8" fillId="10" fontId="16" numFmtId="164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readingOrder="0" shrinkToFit="0" vertical="bottom" wrapText="0"/>
    </xf>
    <xf borderId="8" fillId="10" fontId="16" numFmtId="164" xfId="0" applyAlignment="1" applyBorder="1" applyFill="1" applyFont="1" applyNumberFormat="1">
      <alignment horizontal="center" readingOrder="0" shrinkToFit="0" vertical="center" wrapText="1"/>
    </xf>
    <xf borderId="1" fillId="11" fontId="12" numFmtId="0" xfId="0" applyAlignment="1" applyBorder="1" applyFill="1" applyFont="1">
      <alignment horizontal="left" vertical="center"/>
    </xf>
    <xf borderId="1" fillId="10" fontId="16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/>
    </xf>
    <xf borderId="9" fillId="0" fontId="9" numFmtId="0" xfId="0" applyBorder="1" applyFont="1"/>
    <xf borderId="1" fillId="11" fontId="12" numFmtId="0" xfId="0" applyAlignment="1" applyBorder="1" applyFill="1" applyFont="1">
      <alignment horizontal="center" vertical="center"/>
    </xf>
    <xf borderId="1" fillId="10" fontId="16" numFmtId="164" xfId="0" applyAlignment="1" applyBorder="1" applyFill="1" applyFont="1" applyNumberFormat="1">
      <alignment horizontal="center" shrinkToFit="0" vertical="center" wrapText="1"/>
    </xf>
    <xf borderId="4" fillId="5" fontId="12" numFmtId="0" xfId="0" applyAlignment="1" applyBorder="1" applyFill="1" applyFont="1">
      <alignment horizontal="center" readingOrder="0" vertical="center"/>
    </xf>
    <xf borderId="1" fillId="11" fontId="12" numFmtId="165" xfId="0" applyAlignment="1" applyBorder="1" applyFill="1" applyFont="1" applyNumberFormat="1">
      <alignment horizontal="left" vertical="center"/>
    </xf>
    <xf borderId="1" fillId="0" fontId="7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10" fontId="16" numFmtId="164" xfId="0" applyAlignment="1" applyBorder="1" applyFill="1" applyFont="1" applyNumberFormat="1">
      <alignment horizontal="center" readingOrder="0" shrinkToFit="0" vertical="center" wrapText="1"/>
    </xf>
    <xf borderId="1" fillId="12" fontId="12" numFmtId="0" xfId="0" applyAlignment="1" applyBorder="1" applyFill="1" applyFont="1">
      <alignment horizontal="center" vertical="center"/>
    </xf>
    <xf borderId="1" fillId="12" fontId="15" numFmtId="0" xfId="0" applyAlignment="1" applyBorder="1" applyFill="1" applyFont="1">
      <alignment horizontal="center" readingOrder="0" vertical="center"/>
    </xf>
    <xf borderId="1" fillId="12" fontId="12" numFmtId="0" xfId="0" applyAlignment="1" applyBorder="1" applyFill="1" applyFont="1">
      <alignment horizontal="center" readingOrder="0" vertical="center"/>
    </xf>
    <xf borderId="1" fillId="0" fontId="19" numFmtId="0" xfId="0" applyAlignment="1" applyBorder="1" applyFont="1">
      <alignment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12" fontId="12" numFmtId="0" xfId="0" applyAlignment="1" applyBorder="1" applyFill="1" applyFont="1">
      <alignment horizontal="center" readingOrder="0" vertical="center"/>
    </xf>
    <xf borderId="1" fillId="13" fontId="12" numFmtId="0" xfId="0" applyAlignment="1" applyBorder="1" applyFill="1" applyFont="1">
      <alignment horizontal="center" vertical="center"/>
    </xf>
    <xf borderId="1" fillId="9" fontId="16" numFmtId="0" xfId="0" applyAlignment="1" applyBorder="1" applyFill="1" applyFont="1">
      <alignment horizontal="left" shrinkToFit="0" vertical="center" wrapText="1"/>
    </xf>
    <xf borderId="1" fillId="12" fontId="12" numFmtId="0" xfId="0" applyAlignment="1" applyBorder="1" applyFill="1" applyFont="1">
      <alignment horizontal="center" readingOrder="0" shrinkToFit="0" vertical="center" wrapText="1"/>
    </xf>
    <xf borderId="1" fillId="13" fontId="12" numFmtId="0" xfId="0" applyAlignment="1" applyBorder="1" applyFill="1" applyFont="1">
      <alignment horizontal="left" vertical="center"/>
    </xf>
    <xf borderId="1" fillId="11" fontId="12" numFmtId="0" xfId="0" applyAlignment="1" applyBorder="1" applyFill="1" applyFont="1">
      <alignment horizontal="left" readingOrder="0" vertical="center"/>
    </xf>
    <xf borderId="1" fillId="11" fontId="15" numFmtId="0" xfId="0" applyAlignment="1" applyBorder="1" applyFill="1" applyFont="1">
      <alignment horizontal="left" vertical="center"/>
    </xf>
    <xf borderId="1" fillId="9" fontId="16" numFmtId="0" xfId="0" applyAlignment="1" applyBorder="1" applyFill="1" applyFont="1">
      <alignment horizontal="center" shrinkToFit="0" vertical="center" wrapText="1"/>
    </xf>
    <xf borderId="1" fillId="13" fontId="12" numFmtId="165" xfId="0" applyAlignment="1" applyBorder="1" applyFill="1" applyFont="1" applyNumberFormat="1">
      <alignment horizontal="left" vertical="center"/>
    </xf>
    <xf borderId="1" fillId="0" fontId="4" numFmtId="0" xfId="0" applyAlignment="1" applyBorder="1" applyFont="1">
      <alignment horizontal="center" readingOrder="0" vertical="center"/>
    </xf>
    <xf borderId="4" fillId="11" fontId="12" numFmtId="0" xfId="0" applyAlignment="1" applyBorder="1" applyFill="1" applyFont="1">
      <alignment horizontal="left" vertical="center"/>
    </xf>
    <xf borderId="1" fillId="14" fontId="12" numFmtId="0" xfId="0" applyAlignment="1" applyBorder="1" applyFill="1" applyFont="1">
      <alignment horizontal="center" readingOrder="0" vertical="center"/>
    </xf>
    <xf borderId="1" fillId="14" fontId="15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vertical="center"/>
    </xf>
    <xf borderId="1" fillId="14" fontId="15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readingOrder="0" vertical="center"/>
    </xf>
    <xf borderId="1" fillId="14" fontId="15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1" fillId="14" fontId="15" numFmtId="166" xfId="0" applyAlignment="1" applyBorder="1" applyFill="1" applyFont="1" applyNumberFormat="1">
      <alignment horizontal="center" readingOrder="0" vertical="center"/>
    </xf>
    <xf borderId="1" fillId="14" fontId="15" numFmtId="9" xfId="0" applyAlignment="1" applyBorder="1" applyFill="1" applyFont="1" applyNumberFormat="1">
      <alignment horizontal="center" readingOrder="0" vertical="center"/>
    </xf>
    <xf borderId="4" fillId="14" fontId="15" numFmtId="0" xfId="0" applyAlignment="1" applyBorder="1" applyFill="1" applyFont="1">
      <alignment horizontal="left" vertical="center"/>
    </xf>
    <xf borderId="1" fillId="14" fontId="15" numFmtId="0" xfId="0" applyAlignment="1" applyBorder="1" applyFill="1" applyFont="1">
      <alignment horizontal="left" readingOrder="0" vertical="center"/>
    </xf>
    <xf borderId="1" fillId="9" fontId="20" numFmtId="164" xfId="0" applyAlignment="1" applyBorder="1" applyFill="1" applyFont="1" applyNumberFormat="1">
      <alignment horizontal="center" vertical="center"/>
    </xf>
    <xf borderId="1" fillId="15" fontId="12" numFmtId="0" xfId="0" applyAlignment="1" applyBorder="1" applyFill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15" fontId="15" numFmtId="0" xfId="0" applyAlignment="1" applyBorder="1" applyFill="1" applyFont="1">
      <alignment readingOrder="0" vertical="center"/>
    </xf>
    <xf borderId="1" fillId="15" fontId="12" numFmtId="0" xfId="0" applyAlignment="1" applyBorder="1" applyFill="1" applyFont="1">
      <alignment horizontal="center" vertical="center"/>
    </xf>
    <xf borderId="1" fillId="15" fontId="15" numFmtId="0" xfId="0" applyAlignment="1" applyBorder="1" applyFill="1" applyFon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15" fontId="12" numFmtId="0" xfId="0" applyAlignment="1" applyBorder="1" applyFill="1" applyFont="1">
      <alignment readingOrder="0" vertical="center"/>
    </xf>
    <xf borderId="1" fillId="15" fontId="12" numFmtId="166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vertical="center"/>
    </xf>
    <xf borderId="1" fillId="15" fontId="12" numFmtId="9" xfId="0" applyAlignment="1" applyBorder="1" applyFill="1" applyFont="1" applyNumberFormat="1">
      <alignment horizontal="center" readingOrder="0" vertical="center"/>
    </xf>
    <xf borderId="1" fillId="0" fontId="12" numFmtId="0" xfId="0" applyAlignment="1" applyBorder="1" applyFont="1">
      <alignment horizontal="left" vertical="center"/>
    </xf>
    <xf borderId="4" fillId="15" fontId="12" numFmtId="0" xfId="0" applyAlignment="1" applyBorder="1" applyFill="1" applyFont="1">
      <alignment horizontal="left" vertical="center"/>
    </xf>
    <xf borderId="1" fillId="0" fontId="4" numFmtId="0" xfId="0" applyAlignment="1" applyBorder="1" applyFont="1">
      <alignment horizontal="center" vertical="center"/>
    </xf>
    <xf borderId="1" fillId="15" fontId="12" numFmtId="0" xfId="0" applyAlignment="1" applyBorder="1" applyFill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15" fontId="15" numFmtId="0" xfId="0" applyAlignment="1" applyBorder="1" applyFill="1" applyFont="1">
      <alignment horizontal="left" readingOrder="0" vertical="center"/>
    </xf>
    <xf borderId="1" fillId="0" fontId="7" numFmtId="0" xfId="0" applyAlignment="1" applyBorder="1" applyFont="1">
      <alignment horizontal="left" readingOrder="0" vertical="center"/>
    </xf>
    <xf borderId="1" fillId="10" fontId="20" numFmtId="164" xfId="0" applyAlignment="1" applyBorder="1" applyFill="1" applyFont="1" applyNumberFormat="1">
      <alignment horizontal="center" vertical="center"/>
    </xf>
    <xf borderId="1" fillId="0" fontId="7" numFmtId="0" xfId="0" applyAlignment="1" applyBorder="1" applyFont="1">
      <alignment horizontal="right" readingOrder="0" shrinkToFit="0" vertical="bottom" wrapText="0"/>
    </xf>
    <xf borderId="1" fillId="0" fontId="7" numFmtId="0" xfId="0" applyAlignment="1" applyBorder="1" applyFont="1">
      <alignment vertical="center"/>
    </xf>
    <xf borderId="1" fillId="10" fontId="20" numFmtId="164" xfId="0" applyAlignment="1" applyBorder="1" applyFill="1" applyFont="1" applyNumberFormat="1">
      <alignment horizontal="center" readingOrder="0" vertical="center"/>
    </xf>
    <xf borderId="1" fillId="0" fontId="7" numFmtId="0" xfId="0" applyAlignment="1" applyBorder="1" applyFont="1">
      <alignment readingOrder="0" vertical="center"/>
    </xf>
    <xf borderId="1" fillId="0" fontId="7" numFmtId="166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center" vertical="center"/>
    </xf>
    <xf borderId="1" fillId="9" fontId="20" numFmtId="0" xfId="0" applyAlignment="1" applyBorder="1" applyFill="1" applyFont="1">
      <alignment horizontal="center" shrinkToFit="0" vertical="center" wrapText="1"/>
    </xf>
    <xf borderId="1" fillId="16" fontId="17" numFmtId="0" xfId="0" applyAlignment="1" applyBorder="1" applyFill="1" applyFont="1">
      <alignment horizontal="center" vertical="center"/>
    </xf>
    <xf borderId="1" fillId="16" fontId="17" numFmtId="0" xfId="0" applyAlignment="1" applyBorder="1" applyFill="1" applyFont="1">
      <alignment horizontal="left" shrinkToFit="0" vertical="center" wrapText="1"/>
    </xf>
    <xf borderId="1" fillId="16" fontId="17" numFmtId="0" xfId="0" applyAlignment="1" applyBorder="1" applyFill="1" applyFont="1">
      <alignment horizontal="center" readingOrder="0" shrinkToFit="0" vertical="center" wrapText="1"/>
    </xf>
    <xf borderId="1" fillId="16" fontId="17" numFmtId="0" xfId="0" applyAlignment="1" applyBorder="1" applyFill="1" applyFont="1">
      <alignment horizontal="center" shrinkToFit="0" vertical="center" wrapText="1"/>
    </xf>
    <xf borderId="1" fillId="2" fontId="21" numFmtId="0" xfId="0" applyAlignment="1" applyBorder="1" applyFill="1" applyFont="1">
      <alignment horizontal="center" vertical="center"/>
    </xf>
    <xf borderId="1" fillId="16" fontId="17" numFmtId="164" xfId="0" applyAlignment="1" applyBorder="1" applyFill="1" applyFont="1" applyNumberFormat="1">
      <alignment horizontal="center" vertical="center"/>
    </xf>
    <xf borderId="4" fillId="0" fontId="12" numFmtId="0" xfId="0" applyAlignment="1" applyBorder="1" applyFont="1">
      <alignment horizontal="left" vertical="center"/>
    </xf>
    <xf borderId="1" fillId="0" fontId="3" numFmtId="0" xfId="0" applyBorder="1" applyFont="1"/>
    <xf borderId="1" fillId="0" fontId="12" numFmtId="0" xfId="0" applyAlignment="1" applyBorder="1" applyFont="1">
      <alignment horizontal="left" readingOrder="0" vertical="center"/>
    </xf>
    <xf borderId="0" fillId="12" fontId="12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/>
    </xf>
    <xf borderId="1" fillId="2" fontId="21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left" readingOrder="0" vertical="center"/>
    </xf>
    <xf borderId="1" fillId="2" fontId="7" numFmtId="0" xfId="0" applyAlignment="1" applyBorder="1" applyFill="1" applyFont="1">
      <alignment readingOrder="0" vertical="center"/>
    </xf>
    <xf borderId="1" fillId="2" fontId="17" numFmtId="0" xfId="0" applyAlignment="1" applyBorder="1" applyFill="1" applyFont="1">
      <alignment horizontal="center" shrinkToFit="0" wrapText="1"/>
    </xf>
    <xf borderId="1" fillId="10" fontId="17" numFmtId="164" xfId="0" applyAlignment="1" applyBorder="1" applyFill="1" applyFont="1" applyNumberFormat="1">
      <alignment horizontal="center" vertical="center"/>
    </xf>
    <xf borderId="1" fillId="2" fontId="4" numFmtId="0" xfId="0" applyAlignment="1" applyBorder="1" applyFill="1" applyFont="1">
      <alignment horizontal="center" readingOrder="0" vertical="center"/>
    </xf>
    <xf borderId="1" fillId="2" fontId="7" numFmtId="166" xfId="0" applyAlignment="1" applyBorder="1" applyFill="1" applyFont="1" applyNumberFormat="1">
      <alignment horizontal="center" readingOrder="0" vertical="center"/>
    </xf>
    <xf borderId="1" fillId="2" fontId="7" numFmtId="9" xfId="0" applyAlignment="1" applyBorder="1" applyFill="1" applyFont="1" applyNumberFormat="1">
      <alignment horizontal="center" readingOrder="0" vertical="center"/>
    </xf>
    <xf borderId="1" fillId="2" fontId="7" numFmtId="0" xfId="0" applyAlignment="1" applyBorder="1" applyFill="1" applyFont="1">
      <alignment horizontal="left" readingOrder="0" vertical="center"/>
    </xf>
    <xf borderId="1" fillId="2" fontId="12" numFmtId="0" xfId="0" applyAlignment="1" applyBorder="1" applyFill="1" applyFont="1">
      <alignment horizontal="left" readingOrder="0" vertical="center"/>
    </xf>
    <xf quotePrefix="1" borderId="1" fillId="2" fontId="7" numFmtId="0" xfId="0" applyAlignment="1" applyBorder="1" applyFill="1" applyFont="1">
      <alignment horizontal="left" readingOrder="0" vertical="center"/>
    </xf>
    <xf borderId="4" fillId="0" fontId="12" numFmtId="0" xfId="0" applyAlignment="1" applyBorder="1" applyFont="1">
      <alignment horizontal="left" shrinkToFit="0" vertical="center" wrapText="1"/>
    </xf>
    <xf borderId="1" fillId="0" fontId="7" numFmtId="0" xfId="0" applyAlignment="1" applyBorder="1" applyFont="1">
      <alignment horizontal="right" readingOrder="0" shrinkToFit="0" vertical="center" wrapText="0"/>
    </xf>
    <xf borderId="1" fillId="2" fontId="4" numFmtId="0" xfId="0" applyAlignment="1" applyBorder="1" applyFill="1" applyFont="1">
      <alignment horizontal="center"/>
    </xf>
    <xf borderId="1" fillId="2" fontId="22" numFmtId="9" xfId="0" applyAlignment="1" applyBorder="1" applyFill="1" applyFont="1" applyNumberFormat="1">
      <alignment vertical="center"/>
    </xf>
    <xf borderId="1" fillId="2" fontId="4" numFmtId="166" xfId="0" applyAlignment="1" applyBorder="1" applyFill="1" applyFont="1" applyNumberFormat="1">
      <alignment horizontal="center" vertical="center"/>
    </xf>
    <xf borderId="1" fillId="2" fontId="12" numFmtId="0" xfId="0" applyAlignment="1" applyBorder="1" applyFill="1" applyFont="1">
      <alignment vertical="center"/>
    </xf>
    <xf borderId="1" fillId="2" fontId="17" numFmtId="0" xfId="0" applyAlignment="1" applyBorder="1" applyFill="1" applyFont="1">
      <alignment horizontal="center" shrinkToFit="0" vertical="bottom" wrapText="1"/>
    </xf>
    <xf borderId="1" fillId="2" fontId="12" numFmtId="0" xfId="0" applyAlignment="1" applyBorder="1" applyFill="1" applyFont="1">
      <alignment readingOrder="0" vertical="center"/>
    </xf>
    <xf borderId="1" fillId="13" fontId="12" numFmtId="0" xfId="0" applyAlignment="1" applyBorder="1" applyFill="1" applyFont="1">
      <alignment horizontal="center" readingOrder="0" vertical="center"/>
    </xf>
    <xf borderId="1" fillId="13" fontId="12" numFmtId="0" xfId="0" applyAlignment="1" applyBorder="1" applyFill="1" applyFont="1">
      <alignment horizontal="left" readingOrder="0" vertical="center"/>
    </xf>
    <xf borderId="1" fillId="2" fontId="23" numFmtId="0" xfId="0" applyAlignment="1" applyBorder="1" applyFill="1" applyFont="1">
      <alignment horizontal="center"/>
    </xf>
    <xf borderId="1" fillId="2" fontId="24" numFmtId="0" xfId="0" applyAlignment="1" applyBorder="1" applyFill="1" applyFont="1">
      <alignment horizontal="center"/>
    </xf>
    <xf borderId="1" fillId="0" fontId="15" numFmtId="0" xfId="0" applyAlignment="1" applyBorder="1" applyFont="1">
      <alignment horizontal="left" readingOrder="0" vertical="center"/>
    </xf>
    <xf borderId="1" fillId="2" fontId="17" numFmtId="0" xfId="0" applyAlignment="1" applyBorder="1" applyFill="1" applyFont="1">
      <alignment horizontal="center" vertical="bottom"/>
    </xf>
    <xf borderId="1" fillId="2" fontId="17" numFmtId="0" xfId="0" applyAlignment="1" applyBorder="1" applyFill="1" applyFont="1">
      <alignment horizontal="center" vertical="bottom"/>
    </xf>
    <xf borderId="1" fillId="2" fontId="17" numFmtId="14" xfId="0" applyAlignment="1" applyBorder="1" applyFill="1" applyFont="1" applyNumberFormat="1">
      <alignment horizontal="center" shrinkToFit="0" wrapText="1"/>
    </xf>
    <xf borderId="1" fillId="16" fontId="25" numFmtId="0" xfId="0" applyAlignment="1" applyBorder="1" applyFill="1" applyFont="1">
      <alignment horizontal="center" vertical="center"/>
    </xf>
    <xf borderId="1" fillId="2" fontId="17" numFmtId="14" xfId="0" applyAlignment="1" applyBorder="1" applyFill="1" applyFont="1" applyNumberFormat="1">
      <alignment horizontal="center" vertical="bottom"/>
    </xf>
    <xf borderId="1" fillId="2" fontId="4" numFmtId="0" xfId="0" applyAlignment="1" applyBorder="1" applyFill="1" applyFont="1">
      <alignment readingOrder="0" vertical="center"/>
    </xf>
    <xf borderId="1" fillId="10" fontId="25" numFmtId="164" xfId="0" applyAlignment="1" applyBorder="1" applyFill="1" applyFont="1" applyNumberFormat="1">
      <alignment horizontal="center" vertical="center"/>
    </xf>
    <xf borderId="1" fillId="16" fontId="25" numFmtId="0" xfId="0" applyAlignment="1" applyBorder="1" applyFill="1" applyFont="1">
      <alignment horizontal="center" shrinkToFit="0" vertical="center" wrapText="1"/>
    </xf>
    <xf borderId="1" fillId="2" fontId="17" numFmtId="0" xfId="0" applyAlignment="1" applyBorder="1" applyFill="1" applyFont="1">
      <alignment horizontal="center"/>
    </xf>
    <xf borderId="1" fillId="2" fontId="17" numFmtId="0" xfId="0" applyAlignment="1" applyBorder="1" applyFill="1" applyFont="1">
      <alignment horizontal="center" shrinkToFit="0" wrapText="1"/>
    </xf>
    <xf borderId="1" fillId="2" fontId="3" numFmtId="0" xfId="0" applyAlignment="1" applyBorder="1" applyFill="1" applyFont="1">
      <alignment horizontal="center"/>
    </xf>
    <xf quotePrefix="1" borderId="1" fillId="0" fontId="7" numFmtId="0" xfId="0" applyAlignment="1" applyBorder="1" applyFont="1">
      <alignment horizontal="center" readingOrder="0" vertical="center"/>
    </xf>
    <xf borderId="1" fillId="2" fontId="26" numFmtId="0" xfId="0" applyAlignment="1" applyBorder="1" applyFill="1" applyFont="1">
      <alignment horizontal="center" vertical="bottom"/>
    </xf>
    <xf borderId="0" fillId="0" fontId="27" numFmtId="0" xfId="0" applyFont="1"/>
    <xf borderId="1" fillId="0" fontId="7" numFmtId="9" xfId="0" applyAlignment="1" applyBorder="1" applyFont="1" applyNumberFormat="1">
      <alignment horizontal="center" vertical="center"/>
    </xf>
    <xf quotePrefix="1" borderId="1" fillId="0" fontId="15" numFmtId="0" xfId="0" applyAlignment="1" applyBorder="1" applyFont="1">
      <alignment horizontal="left" readingOrder="0" vertical="center"/>
    </xf>
    <xf borderId="1" fillId="9" fontId="16" numFmtId="164" xfId="0" applyAlignment="1" applyBorder="1" applyFill="1" applyFont="1" applyNumberFormat="1">
      <alignment horizontal="center" vertical="center"/>
    </xf>
    <xf borderId="1" fillId="10" fontId="16" numFmtId="164" xfId="0" applyAlignment="1" applyBorder="1" applyFill="1" applyFont="1" applyNumberFormat="1">
      <alignment horizontal="center" vertical="center"/>
    </xf>
    <xf borderId="1" fillId="10" fontId="16" numFmtId="164" xfId="0" applyAlignment="1" applyBorder="1" applyFill="1" applyFont="1" applyNumberFormat="1">
      <alignment horizontal="center" readingOrder="0" vertical="center"/>
    </xf>
    <xf borderId="1" fillId="0" fontId="7" numFmtId="0" xfId="0" applyAlignment="1" applyBorder="1" applyFont="1">
      <alignment horizontal="right" shrinkToFit="0" vertical="bottom" wrapText="0"/>
    </xf>
    <xf quotePrefix="1" borderId="1" fillId="0" fontId="7" numFmtId="0" xfId="0" applyAlignment="1" applyBorder="1" applyFont="1">
      <alignment horizontal="left" readingOrder="0" vertical="center"/>
    </xf>
    <xf borderId="1" fillId="13" fontId="12" numFmtId="0" xfId="0" applyAlignment="1" applyBorder="1" applyFill="1" applyFont="1">
      <alignment readingOrder="0" vertical="center"/>
    </xf>
    <xf borderId="1" fillId="13" fontId="28" numFmtId="0" xfId="0" applyAlignment="1" applyBorder="1" applyFill="1" applyFont="1">
      <alignment vertical="center"/>
    </xf>
    <xf borderId="1" fillId="13" fontId="28" numFmtId="0" xfId="0" applyAlignment="1" applyBorder="1" applyFill="1" applyFont="1">
      <alignment horizontal="center" vertical="center"/>
    </xf>
    <xf borderId="1" fillId="13" fontId="28" numFmtId="165" xfId="0" applyAlignment="1" applyBorder="1" applyFill="1" applyFont="1" applyNumberFormat="1">
      <alignment vertical="center"/>
    </xf>
    <xf borderId="1" fillId="13" fontId="29" numFmtId="0" xfId="0" applyAlignment="1" applyBorder="1" applyFill="1" applyFont="1">
      <alignment vertical="center"/>
    </xf>
    <xf borderId="1" fillId="13" fontId="28" numFmtId="0" xfId="0" applyAlignment="1" applyBorder="1" applyFill="1" applyFont="1">
      <alignment horizontal="left" vertical="center"/>
    </xf>
    <xf borderId="1" fillId="2" fontId="7" numFmtId="0" xfId="0" applyAlignment="1" applyBorder="1" applyFill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left" vertical="center"/>
    </xf>
    <xf borderId="1" fillId="2" fontId="4" numFmtId="0" xfId="0" applyAlignment="1" applyBorder="1" applyFill="1" applyFont="1">
      <alignment horizontal="left" readingOrder="0" vertical="center"/>
    </xf>
    <xf borderId="1" fillId="2" fontId="12" numFmtId="0" xfId="0" applyAlignment="1" applyBorder="1" applyFill="1" applyFont="1">
      <alignment horizontal="center" vertical="center"/>
    </xf>
    <xf borderId="1" fillId="2" fontId="4" numFmtId="0" xfId="0" applyAlignment="1" applyBorder="1" applyFill="1" applyFont="1">
      <alignment horizontal="left" vertical="center"/>
    </xf>
    <xf borderId="1" fillId="2" fontId="12" numFmtId="0" xfId="0" applyAlignment="1" applyBorder="1" applyFill="1" applyFont="1">
      <alignment horizontal="center" readingOrder="0" vertical="center"/>
    </xf>
    <xf borderId="1" fillId="2" fontId="12" numFmtId="0" xfId="0" applyAlignment="1" applyBorder="1" applyFill="1" applyFont="1">
      <alignment horizontal="left" vertical="center"/>
    </xf>
    <xf borderId="1" fillId="2" fontId="12" numFmtId="165" xfId="0" applyAlignment="1" applyBorder="1" applyFill="1" applyFont="1" applyNumberFormat="1">
      <alignment horizontal="left" vertical="center"/>
    </xf>
    <xf borderId="1" fillId="2" fontId="4" numFmtId="0" xfId="0" applyAlignment="1" applyBorder="1" applyFill="1" applyFont="1">
      <alignment vertical="center"/>
    </xf>
    <xf borderId="1" fillId="2" fontId="4" numFmtId="166" xfId="0" applyAlignment="1" applyBorder="1" applyFill="1" applyFont="1" applyNumberFormat="1">
      <alignment horizontal="center" readingOrder="0" vertical="center"/>
    </xf>
    <xf borderId="1" fillId="13" fontId="12" numFmtId="0" xfId="0" applyAlignment="1" applyBorder="1" applyFill="1" applyFont="1">
      <alignment readingOrder="0" shrinkToFit="0" vertical="center" wrapText="0"/>
    </xf>
    <xf borderId="1" fillId="13" fontId="28" numFmtId="0" xfId="0" applyAlignment="1" applyBorder="1" applyFill="1" applyFont="1">
      <alignment vertical="center"/>
    </xf>
    <xf borderId="1" fillId="13" fontId="28" numFmtId="0" xfId="0" applyAlignment="1" applyBorder="1" applyFill="1" applyFont="1">
      <alignment horizontal="center" vertical="center"/>
    </xf>
    <xf borderId="1" fillId="13" fontId="29" numFmtId="0" xfId="0" applyAlignment="1" applyBorder="1" applyFill="1" applyFont="1">
      <alignment horizontal="center" vertical="center"/>
    </xf>
    <xf borderId="1" fillId="13" fontId="30" numFmtId="0" xfId="0" applyAlignment="1" applyBorder="1" applyFill="1" applyFont="1">
      <alignment vertical="center"/>
    </xf>
    <xf borderId="1" fillId="13" fontId="28" numFmtId="0" xfId="0" applyAlignment="1" applyBorder="1" applyFill="1" applyFont="1">
      <alignment horizontal="left" vertical="center"/>
    </xf>
    <xf borderId="1" fillId="0" fontId="7" numFmtId="0" xfId="0" applyAlignment="1" applyBorder="1" applyFont="1">
      <alignment shrinkToFit="0" vertical="bottom" wrapText="0"/>
    </xf>
    <xf borderId="1" fillId="0" fontId="7" numFmtId="167" xfId="0" applyAlignment="1" applyBorder="1" applyFont="1" applyNumberFormat="1">
      <alignment horizontal="left" readingOrder="0" vertical="center"/>
    </xf>
    <xf borderId="1" fillId="13" fontId="29" numFmtId="0" xfId="0" applyAlignment="1" applyBorder="1" applyFill="1" applyFont="1">
      <alignment vertical="center"/>
    </xf>
    <xf borderId="1" fillId="0" fontId="4" numFmtId="168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readingOrder="0" shrinkToFit="0" vertical="center" wrapText="0"/>
    </xf>
    <xf borderId="1" fillId="16" fontId="17" numFmtId="0" xfId="0" applyAlignment="1" applyBorder="1" applyFill="1" applyFont="1">
      <alignment horizontal="left" readingOrder="0" shrinkToFit="0" vertical="center" wrapText="1"/>
    </xf>
    <xf borderId="1" fillId="2" fontId="28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quotePrefix="1" borderId="1" fillId="0" fontId="12" numFmtId="0" xfId="0" applyAlignment="1" applyBorder="1" applyFont="1">
      <alignment horizontal="left" readingOrder="0" vertical="center"/>
    </xf>
    <xf borderId="1" fillId="2" fontId="7" numFmtId="0" xfId="0" applyAlignment="1" applyBorder="1" applyFill="1" applyFont="1">
      <alignment horizontal="center" vertical="center"/>
    </xf>
    <xf borderId="1" fillId="16" fontId="20" numFmtId="0" xfId="0" applyAlignment="1" applyBorder="1" applyFill="1" applyFont="1">
      <alignment horizontal="center" vertical="center"/>
    </xf>
    <xf borderId="1" fillId="2" fontId="7" numFmtId="169" xfId="0" applyAlignment="1" applyBorder="1" applyFill="1" applyFont="1" applyNumberFormat="1">
      <alignment horizontal="left" readingOrder="0" vertical="center"/>
    </xf>
    <xf borderId="1" fillId="2" fontId="4" numFmtId="168" xfId="0" applyAlignment="1" applyBorder="1" applyFill="1" applyFont="1" applyNumberFormat="1">
      <alignment horizontal="center" readingOrder="0" vertical="center"/>
    </xf>
    <xf borderId="1" fillId="2" fontId="4" numFmtId="9" xfId="0" applyAlignment="1" applyBorder="1" applyFill="1" applyFont="1" applyNumberFormat="1">
      <alignment horizontal="center" readingOrder="0" vertical="center"/>
    </xf>
    <xf borderId="1" fillId="0" fontId="7" numFmtId="169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vertical="center"/>
    </xf>
    <xf borderId="1" fillId="2" fontId="22" numFmtId="0" xfId="0" applyAlignment="1" applyBorder="1" applyFill="1" applyFont="1">
      <alignment horizontal="center" vertical="center"/>
    </xf>
    <xf borderId="1" fillId="2" fontId="7" numFmtId="0" xfId="0" applyAlignment="1" applyBorder="1" applyFill="1" applyFont="1">
      <alignment horizontal="center" readingOrder="0" shrinkToFit="0" vertical="center" wrapText="0"/>
    </xf>
    <xf borderId="1" fillId="2" fontId="4" numFmtId="9" xfId="0" applyAlignment="1" applyBorder="1" applyFill="1" applyFont="1" applyNumberFormat="1">
      <alignment horizontal="center" vertical="center"/>
    </xf>
    <xf quotePrefix="1" borderId="1" fillId="2" fontId="12" numFmtId="0" xfId="0" applyAlignment="1" applyBorder="1" applyFill="1" applyFont="1">
      <alignment readingOrder="0" vertical="center"/>
    </xf>
    <xf borderId="1" fillId="2" fontId="22" numFmtId="0" xfId="0" applyAlignment="1" applyBorder="1" applyFill="1" applyFont="1">
      <alignment horizontal="center" readingOrder="0" vertical="center"/>
    </xf>
    <xf borderId="1" fillId="2" fontId="22" numFmtId="0" xfId="0" applyAlignment="1" applyBorder="1" applyFill="1" applyFont="1">
      <alignment horizontal="left" readingOrder="0" vertical="center"/>
    </xf>
    <xf borderId="1" fillId="2" fontId="4" numFmtId="0" xfId="0" applyAlignment="1" applyBorder="1" applyFill="1" applyFont="1">
      <alignment readingOrder="0"/>
    </xf>
    <xf borderId="1" fillId="2" fontId="4" numFmtId="0" xfId="0" applyBorder="1" applyFill="1" applyFont="1"/>
    <xf borderId="1" fillId="0" fontId="4" numFmtId="0" xfId="0" applyAlignment="1" applyBorder="1" applyFont="1">
      <alignment horizontal="center"/>
    </xf>
    <xf borderId="1" fillId="2" fontId="22" numFmtId="0" xfId="0" applyAlignment="1" applyBorder="1" applyFill="1" applyFont="1">
      <alignment horizontal="center"/>
    </xf>
    <xf borderId="1" fillId="2" fontId="4" numFmtId="166" xfId="0" applyAlignment="1" applyBorder="1" applyFill="1" applyFont="1" applyNumberFormat="1">
      <alignment horizontal="center"/>
    </xf>
    <xf borderId="1" fillId="2" fontId="4" numFmtId="9" xfId="0" applyAlignment="1" applyBorder="1" applyFill="1" applyFont="1" applyNumberFormat="1">
      <alignment horizontal="center"/>
    </xf>
    <xf borderId="1" fillId="2" fontId="12" numFmtId="0" xfId="0" applyAlignment="1" applyBorder="1" applyFill="1" applyFont="1">
      <alignment readingOrder="0"/>
    </xf>
    <xf borderId="1" fillId="2" fontId="4" numFmtId="0" xfId="0" applyAlignment="1" applyBorder="1" applyFill="1" applyFont="1">
      <alignment horizontal="center"/>
    </xf>
    <xf borderId="1" fillId="2" fontId="22" numFmtId="0" xfId="0" applyBorder="1" applyFill="1" applyFont="1"/>
    <xf borderId="1" fillId="2" fontId="4" numFmtId="0" xfId="0" applyAlignment="1" applyBorder="1" applyFill="1" applyFont="1">
      <alignment horizontal="center"/>
    </xf>
    <xf borderId="1" fillId="2" fontId="4" numFmtId="169" xfId="0" applyBorder="1" applyFill="1" applyFont="1" applyNumberFormat="1"/>
    <xf borderId="1" fillId="2" fontId="22" numFmtId="0" xfId="0" applyAlignment="1" applyBorder="1" applyFill="1" applyFont="1">
      <alignment horizontal="left" readingOrder="0"/>
    </xf>
    <xf borderId="1" fillId="2" fontId="26" numFmtId="0" xfId="0" applyAlignment="1" applyBorder="1" applyFill="1" applyFont="1">
      <alignment horizontal="center" vertical="bottom"/>
    </xf>
    <xf quotePrefix="1" borderId="1" fillId="0" fontId="4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1" fillId="0" fontId="7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/>
    </xf>
    <xf borderId="1" fillId="16" fontId="20" numFmtId="0" xfId="0" applyAlignment="1" applyBorder="1" applyFill="1" applyFont="1">
      <alignment horizontal="center" shrinkToFit="0" vertical="center" wrapText="1"/>
    </xf>
    <xf borderId="1" fillId="0" fontId="27" numFmtId="0" xfId="0" applyBorder="1" applyFont="1"/>
    <xf borderId="1" fillId="0" fontId="12" numFmtId="0" xfId="0" applyAlignment="1" applyBorder="1" applyFont="1">
      <alignment horizontal="left" shrinkToFit="0" vertical="center" wrapText="1"/>
    </xf>
    <xf borderId="1" fillId="11" fontId="12" numFmtId="0" xfId="0" applyAlignment="1" applyBorder="1" applyFill="1" applyFont="1">
      <alignment horizontal="center" readingOrder="0" vertical="center"/>
    </xf>
    <xf borderId="1" fillId="11" fontId="15" numFmtId="0" xfId="0" applyAlignment="1" applyBorder="1" applyFill="1" applyFont="1">
      <alignment horizontal="left" readingOrder="0" vertical="center"/>
    </xf>
    <xf borderId="1" fillId="13" fontId="15" numFmtId="0" xfId="0" applyAlignment="1" applyBorder="1" applyFill="1" applyFont="1">
      <alignment horizontal="left" readingOrder="0" vertical="center"/>
    </xf>
    <xf borderId="1" fillId="0" fontId="31" numFmtId="0" xfId="0" applyAlignment="1" applyBorder="1" applyFont="1">
      <alignment horizontal="left" readingOrder="0" vertical="center"/>
    </xf>
    <xf borderId="1" fillId="0" fontId="12" numFmtId="0" xfId="0" applyAlignment="1" applyBorder="1" applyFont="1">
      <alignment vertical="center"/>
    </xf>
    <xf borderId="1" fillId="0" fontId="22" numFmtId="0" xfId="0" applyBorder="1" applyFont="1"/>
    <xf borderId="1" fillId="0" fontId="4" numFmtId="0" xfId="0" applyAlignment="1" applyBorder="1" applyFont="1">
      <alignment readingOrder="0"/>
    </xf>
    <xf borderId="1" fillId="0" fontId="22" numFmtId="9" xfId="0" applyBorder="1" applyFont="1" applyNumberFormat="1"/>
    <xf borderId="1" fillId="0" fontId="4" numFmtId="0" xfId="0" applyAlignment="1" applyBorder="1" applyFont="1">
      <alignment horizontal="center" readingOrder="0"/>
    </xf>
    <xf borderId="1" fillId="0" fontId="22" numFmtId="0" xfId="0" applyBorder="1" applyFont="1"/>
    <xf borderId="1" fillId="0" fontId="4" numFmtId="0" xfId="0" applyAlignment="1" applyBorder="1" applyFont="1">
      <alignment horizontal="right" vertical="bottom"/>
    </xf>
    <xf borderId="1" fillId="16" fontId="16" numFmtId="0" xfId="0" applyAlignment="1" applyBorder="1" applyFill="1" applyFont="1">
      <alignment horizontal="center" shrinkToFit="0" wrapText="1"/>
    </xf>
    <xf borderId="1" fillId="17" fontId="7" numFmtId="0" xfId="0" applyAlignment="1" applyBorder="1" applyFill="1" applyFont="1">
      <alignment horizontal="left" readingOrder="0" vertical="center"/>
    </xf>
    <xf borderId="1" fillId="0" fontId="4" numFmtId="0" xfId="0" applyAlignment="1" applyBorder="1" applyFont="1">
      <alignment vertical="center"/>
    </xf>
    <xf borderId="1" fillId="0" fontId="26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right" vertical="center"/>
    </xf>
    <xf borderId="1" fillId="17" fontId="4" numFmtId="0" xfId="0" applyAlignment="1" applyBorder="1" applyFill="1" applyFont="1">
      <alignment readingOrder="0" vertical="center"/>
    </xf>
    <xf borderId="1" fillId="17" fontId="7" numFmtId="0" xfId="0" applyAlignment="1" applyBorder="1" applyFill="1" applyFont="1">
      <alignment horizontal="center" readingOrder="0" vertical="center"/>
    </xf>
    <xf borderId="1" fillId="17" fontId="4" numFmtId="0" xfId="0" applyAlignment="1" applyBorder="1" applyFill="1" applyFont="1">
      <alignment horizontal="center" readingOrder="0" vertical="center"/>
    </xf>
    <xf borderId="1" fillId="17" fontId="4" numFmtId="0" xfId="0" applyAlignment="1" applyBorder="1" applyFill="1" applyFont="1">
      <alignment horizontal="center" vertical="center"/>
    </xf>
    <xf borderId="1" fillId="17" fontId="12" numFmtId="0" xfId="0" applyAlignment="1" applyBorder="1" applyFill="1" applyFont="1">
      <alignment horizontal="left" vertical="center"/>
    </xf>
    <xf borderId="1" fillId="17" fontId="4" numFmtId="0" xfId="0" applyAlignment="1" applyBorder="1" applyFill="1" applyFont="1">
      <alignment horizontal="left" readingOrder="0" vertical="center"/>
    </xf>
    <xf borderId="1" fillId="17" fontId="12" numFmtId="0" xfId="0" applyAlignment="1" applyBorder="1" applyFill="1" applyFont="1">
      <alignment horizontal="left" readingOrder="0" vertical="center"/>
    </xf>
    <xf borderId="1" fillId="17" fontId="7" numFmtId="0" xfId="0" applyAlignment="1" applyBorder="1" applyFill="1" applyFont="1">
      <alignment readingOrder="0" vertical="center"/>
    </xf>
    <xf borderId="1" fillId="0" fontId="3" numFmtId="0" xfId="0" applyAlignment="1" applyBorder="1" applyFont="1">
      <alignment horizontal="center"/>
    </xf>
    <xf borderId="7" fillId="0" fontId="7" numFmtId="0" xfId="0" applyAlignment="1" applyBorder="1" applyFont="1">
      <alignment readingOrder="0" vertical="center"/>
    </xf>
    <xf borderId="7" fillId="0" fontId="4" numFmtId="0" xfId="0" applyAlignment="1" applyBorder="1" applyFont="1">
      <alignment horizontal="center" readingOrder="0" vertical="center"/>
    </xf>
    <xf borderId="1" fillId="5" fontId="12" numFmtId="0" xfId="0" applyAlignment="1" applyBorder="1" applyFill="1" applyFont="1">
      <alignment horizontal="left" vertical="center"/>
    </xf>
    <xf borderId="1" fillId="5" fontId="12" numFmtId="165" xfId="0" applyAlignment="1" applyBorder="1" applyFill="1" applyFont="1" applyNumberFormat="1">
      <alignment horizontal="left" vertical="center"/>
    </xf>
    <xf borderId="1" fillId="2" fontId="7" numFmtId="0" xfId="0" applyAlignment="1" applyBorder="1" applyFill="1" applyFont="1">
      <alignment readingOrder="0" shrinkToFit="0" vertical="center" wrapText="0"/>
    </xf>
    <xf borderId="1" fillId="2" fontId="12" numFmtId="9" xfId="0" applyAlignment="1" applyBorder="1" applyFill="1" applyFont="1" applyNumberFormat="1">
      <alignment horizontal="center" readingOrder="0"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31" numFmtId="0" xfId="0" applyAlignment="1" applyBorder="1" applyFont="1">
      <alignment horizontal="center" readingOrder="0" shrinkToFit="0" vertical="center" wrapText="0"/>
    </xf>
    <xf borderId="1" fillId="0" fontId="31" numFmtId="0" xfId="0" applyAlignment="1" applyBorder="1" applyFont="1">
      <alignment horizontal="center" readingOrder="0" vertical="center"/>
    </xf>
    <xf borderId="1" fillId="12" fontId="4" numFmtId="0" xfId="0" applyAlignment="1" applyBorder="1" applyFill="1" applyFont="1">
      <alignment vertical="center"/>
    </xf>
    <xf borderId="1" fillId="12" fontId="7" numFmtId="0" xfId="0" applyAlignment="1" applyBorder="1" applyFill="1" applyFont="1">
      <alignment horizontal="center" readingOrder="0" vertical="center"/>
    </xf>
    <xf borderId="1" fillId="12" fontId="4" numFmtId="0" xfId="0" applyAlignment="1" applyBorder="1" applyFill="1" applyFont="1">
      <alignment readingOrder="0" vertical="center"/>
    </xf>
    <xf borderId="1" fillId="12" fontId="4" numFmtId="166" xfId="0" applyAlignment="1" applyBorder="1" applyFill="1" applyFont="1" applyNumberFormat="1">
      <alignment horizontal="center" readingOrder="0" vertical="center"/>
    </xf>
    <xf borderId="1" fillId="12" fontId="4" numFmtId="9" xfId="0" applyAlignment="1" applyBorder="1" applyFill="1" applyFont="1" applyNumberFormat="1">
      <alignment horizontal="center" readingOrder="0" vertical="center"/>
    </xf>
    <xf borderId="1" fillId="12" fontId="12" numFmtId="0" xfId="0" applyAlignment="1" applyBorder="1" applyFill="1" applyFont="1">
      <alignment horizontal="left" readingOrder="0" vertical="center"/>
    </xf>
    <xf borderId="1" fillId="12" fontId="4" numFmtId="0" xfId="0" applyAlignment="1" applyBorder="1" applyFill="1" applyFont="1">
      <alignment horizontal="center" vertical="center"/>
    </xf>
    <xf borderId="1" fillId="12" fontId="4" numFmtId="0" xfId="0" applyAlignment="1" applyBorder="1" applyFill="1" applyFont="1">
      <alignment horizontal="left" readingOrder="0" vertical="center"/>
    </xf>
    <xf borderId="1" fillId="12" fontId="4" numFmtId="0" xfId="0" applyAlignment="1" applyBorder="1" applyFill="1" applyFont="1">
      <alignment horizontal="center" readingOrder="0" vertical="center"/>
    </xf>
    <xf borderId="1" fillId="12" fontId="7" numFmtId="0" xfId="0" applyAlignment="1" applyBorder="1" applyFill="1" applyFont="1">
      <alignment horizontal="left" readingOrder="0" vertical="center"/>
    </xf>
    <xf borderId="1" fillId="16" fontId="4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readingOrder="0" vertical="center"/>
    </xf>
    <xf borderId="1" fillId="0" fontId="7" numFmtId="0" xfId="0" applyAlignment="1" applyBorder="1" applyFont="1">
      <alignment readingOrder="0" shrinkToFit="0" vertical="center" wrapText="0"/>
    </xf>
    <xf borderId="1" fillId="2" fontId="15" numFmtId="0" xfId="0" applyAlignment="1" applyBorder="1" applyFill="1" applyFon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2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/>
    </xf>
    <xf borderId="1" fillId="2" fontId="32" numFmtId="0" xfId="0" applyAlignment="1" applyBorder="1" applyFill="1" applyFont="1">
      <alignment horizontal="left" readingOrder="0" vertical="center"/>
    </xf>
    <xf borderId="1" fillId="13" fontId="33" numFmtId="0" xfId="0" applyAlignment="1" applyBorder="1" applyFill="1" applyFont="1">
      <alignment horizontal="center" readingOrder="0" vertical="center"/>
    </xf>
    <xf borderId="1" fillId="13" fontId="33" numFmtId="0" xfId="0" applyAlignment="1" applyBorder="1" applyFill="1" applyFont="1">
      <alignment horizontal="left" readingOrder="0" vertical="center"/>
    </xf>
    <xf borderId="1" fillId="13" fontId="33" numFmtId="0" xfId="0" applyAlignment="1" applyBorder="1" applyFill="1" applyFont="1">
      <alignment horizontal="left" vertical="center"/>
    </xf>
    <xf borderId="1" fillId="13" fontId="33" numFmtId="0" xfId="0" applyAlignment="1" applyBorder="1" applyFill="1" applyFont="1">
      <alignment horizontal="center" vertical="center"/>
    </xf>
    <xf borderId="1" fillId="13" fontId="33" numFmtId="165" xfId="0" applyAlignment="1" applyBorder="1" applyFill="1" applyFont="1" applyNumberFormat="1">
      <alignment horizontal="center" vertical="center"/>
    </xf>
    <xf borderId="1" fillId="0" fontId="34" numFmtId="0" xfId="0" applyAlignment="1" applyBorder="1" applyFont="1">
      <alignment shrinkToFit="0" vertical="bottom" wrapText="0"/>
    </xf>
    <xf borderId="1" fillId="15" fontId="33" numFmtId="0" xfId="0" applyAlignment="1" applyBorder="1" applyFill="1" applyFont="1">
      <alignment horizontal="center" readingOrder="0" vertical="center"/>
    </xf>
    <xf borderId="1" fillId="15" fontId="33" numFmtId="0" xfId="0" applyAlignment="1" applyBorder="1" applyFill="1" applyFont="1">
      <alignment horizontal="left" readingOrder="0" vertical="center"/>
    </xf>
    <xf borderId="1" fillId="15" fontId="33" numFmtId="0" xfId="0" applyAlignment="1" applyBorder="1" applyFill="1" applyFont="1">
      <alignment horizontal="center" vertical="center"/>
    </xf>
    <xf borderId="1" fillId="15" fontId="33" numFmtId="165" xfId="0" applyAlignment="1" applyBorder="1" applyFill="1" applyFont="1" applyNumberFormat="1">
      <alignment horizontal="center" vertical="center"/>
    </xf>
    <xf borderId="1" fillId="15" fontId="33" numFmtId="0" xfId="0" applyAlignment="1" applyBorder="1" applyFill="1" applyFont="1">
      <alignment horizontal="left" vertical="center"/>
    </xf>
    <xf borderId="1" fillId="15" fontId="34" numFmtId="0" xfId="0" applyAlignment="1" applyBorder="1" applyFill="1" applyFont="1">
      <alignment shrinkToFit="0" vertical="bottom" wrapText="0"/>
    </xf>
    <xf borderId="1" fillId="15" fontId="34" numFmtId="0" xfId="0" applyAlignment="1" applyBorder="1" applyFill="1" applyFont="1">
      <alignment horizontal="center" readingOrder="0" vertical="center"/>
    </xf>
    <xf borderId="1" fillId="15" fontId="34" numFmtId="0" xfId="0" applyAlignment="1" applyBorder="1" applyFill="1" applyFont="1">
      <alignment readingOrder="0" vertical="center"/>
    </xf>
    <xf borderId="1" fillId="15" fontId="34" numFmtId="0" xfId="0" applyAlignment="1" applyBorder="1" applyFill="1" applyFont="1">
      <alignment vertical="center"/>
    </xf>
    <xf borderId="1" fillId="15" fontId="34" numFmtId="166" xfId="0" applyAlignment="1" applyBorder="1" applyFill="1" applyFont="1" applyNumberFormat="1">
      <alignment horizontal="center" readingOrder="0" vertical="center"/>
    </xf>
    <xf borderId="1" fillId="15" fontId="34" numFmtId="0" xfId="0" applyAlignment="1" applyBorder="1" applyFill="1" applyFont="1">
      <alignment horizontal="center" vertical="center"/>
    </xf>
    <xf borderId="1" fillId="15" fontId="34" numFmtId="0" xfId="0" applyAlignment="1" applyBorder="1" applyFill="1" applyFont="1">
      <alignment horizontal="left" readingOrder="0" vertical="center"/>
    </xf>
    <xf borderId="1" fillId="15" fontId="34" numFmtId="0" xfId="0" applyAlignment="1" applyBorder="1" applyFill="1" applyFont="1">
      <alignment horizontal="right" readingOrder="0" shrinkToFit="0" vertical="bottom" wrapText="0"/>
    </xf>
    <xf borderId="1" fillId="15" fontId="34" numFmtId="0" xfId="0" applyAlignment="1" applyBorder="1" applyFill="1" applyFont="1">
      <alignment shrinkToFit="0" vertical="bottom" wrapText="0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center"/>
    </xf>
    <xf borderId="1" fillId="16" fontId="35" numFmtId="0" xfId="0" applyAlignment="1" applyBorder="1" applyFill="1" applyFont="1">
      <alignment horizontal="center" readingOrder="0" vertical="center"/>
    </xf>
    <xf borderId="1" fillId="16" fontId="35" numFmtId="0" xfId="0" applyAlignment="1" applyBorder="1" applyFill="1" applyFont="1">
      <alignment horizontal="left" readingOrder="0" vertical="center"/>
    </xf>
    <xf borderId="1" fillId="16" fontId="35" numFmtId="0" xfId="0" applyAlignment="1" applyBorder="1" applyFill="1" applyFont="1">
      <alignment horizontal="center" vertical="center"/>
    </xf>
    <xf borderId="1" fillId="16" fontId="35" numFmtId="165" xfId="0" applyAlignment="1" applyBorder="1" applyFill="1" applyFont="1" applyNumberFormat="1">
      <alignment horizontal="center" vertical="center"/>
    </xf>
    <xf borderId="1" fillId="16" fontId="35" numFmtId="0" xfId="0" applyAlignment="1" applyBorder="1" applyFill="1" applyFont="1">
      <alignment horizontal="left" vertical="center"/>
    </xf>
    <xf borderId="1" fillId="16" fontId="32" numFmtId="0" xfId="0" applyAlignment="1" applyBorder="1" applyFill="1" applyFont="1">
      <alignment shrinkToFit="0" vertical="bottom" wrapText="0"/>
    </xf>
    <xf borderId="1" fillId="9" fontId="35" numFmtId="0" xfId="0" applyAlignment="1" applyBorder="1" applyFill="1" applyFont="1">
      <alignment horizontal="center" readingOrder="0" vertical="center"/>
    </xf>
    <xf borderId="1" fillId="9" fontId="35" numFmtId="0" xfId="0" applyAlignment="1" applyBorder="1" applyFill="1" applyFont="1">
      <alignment horizontal="left" readingOrder="0" vertical="center"/>
    </xf>
    <xf borderId="1" fillId="9" fontId="35" numFmtId="0" xfId="0" applyAlignment="1" applyBorder="1" applyFill="1" applyFont="1">
      <alignment horizontal="center" vertical="center"/>
    </xf>
    <xf borderId="1" fillId="9" fontId="35" numFmtId="165" xfId="0" applyAlignment="1" applyBorder="1" applyFill="1" applyFont="1" applyNumberFormat="1">
      <alignment horizontal="center" vertical="center"/>
    </xf>
    <xf borderId="1" fillId="9" fontId="35" numFmtId="0" xfId="0" applyAlignment="1" applyBorder="1" applyFill="1" applyFont="1">
      <alignment horizontal="left" vertical="center"/>
    </xf>
    <xf borderId="1" fillId="0" fontId="32" numFmtId="0" xfId="0" applyAlignment="1" applyBorder="1" applyFont="1">
      <alignment shrinkToFit="0" vertical="bottom" wrapText="0"/>
    </xf>
    <xf borderId="1" fillId="16" fontId="32" numFmtId="0" xfId="0" applyAlignment="1" applyBorder="1" applyFill="1" applyFont="1">
      <alignment horizontal="center" readingOrder="0" vertical="center"/>
    </xf>
    <xf borderId="1" fillId="16" fontId="32" numFmtId="0" xfId="0" applyAlignment="1" applyBorder="1" applyFill="1" applyFont="1">
      <alignment readingOrder="0" vertical="center"/>
    </xf>
    <xf borderId="1" fillId="0" fontId="36" numFmtId="0" xfId="0" applyAlignment="1" applyBorder="1" applyFont="1">
      <alignment horizontal="center" vertical="center"/>
    </xf>
    <xf borderId="1" fillId="16" fontId="32" numFmtId="0" xfId="0" applyAlignment="1" applyBorder="1" applyFill="1" applyFont="1">
      <alignment horizontal="center" vertical="center"/>
    </xf>
    <xf borderId="1" fillId="0" fontId="32" numFmtId="0" xfId="0" applyAlignment="1" applyBorder="1" applyFont="1">
      <alignment readingOrder="0" vertical="center"/>
    </xf>
    <xf borderId="1" fillId="0" fontId="32" numFmtId="0" xfId="0" applyAlignment="1" applyBorder="1" applyFont="1">
      <alignment horizontal="center" readingOrder="0" vertical="center"/>
    </xf>
    <xf borderId="1" fillId="16" fontId="32" numFmtId="165" xfId="0" applyAlignment="1" applyBorder="1" applyFill="1" applyFont="1" applyNumberFormat="1">
      <alignment horizontal="center" vertical="center"/>
    </xf>
    <xf borderId="1" fillId="16" fontId="32" numFmtId="0" xfId="0" applyAlignment="1" applyBorder="1" applyFill="1" applyFont="1">
      <alignment horizontal="left" readingOrder="0" vertical="center"/>
    </xf>
    <xf borderId="1" fillId="0" fontId="32" numFmtId="0" xfId="0" applyAlignment="1" applyBorder="1" applyFont="1">
      <alignment horizontal="left" readingOrder="0" vertical="center"/>
    </xf>
    <xf borderId="1" fillId="0" fontId="32" numFmtId="0" xfId="0" applyAlignment="1" applyBorder="1" applyFont="1">
      <alignment horizontal="right" readingOrder="0" shrinkToFit="0" vertical="bottom" wrapText="0"/>
    </xf>
    <xf borderId="1" fillId="0" fontId="32" numFmtId="0" xfId="0" applyAlignment="1" applyBorder="1" applyFont="1">
      <alignment shrinkToFit="0" vertical="bottom" wrapText="0"/>
    </xf>
    <xf borderId="1" fillId="16" fontId="32" numFmtId="0" xfId="0" applyAlignment="1" applyBorder="1" applyFill="1" applyFont="1">
      <alignment vertical="center"/>
    </xf>
    <xf borderId="1" fillId="16" fontId="37" numFmtId="0" xfId="0" applyAlignment="1" applyBorder="1" applyFill="1" applyFont="1">
      <alignment readingOrder="0" vertical="center"/>
    </xf>
    <xf borderId="1" fillId="0" fontId="32" numFmtId="0" xfId="0" applyAlignment="1" applyBorder="1" applyFont="1">
      <alignment vertical="center"/>
    </xf>
    <xf borderId="1" fillId="0" fontId="32" numFmtId="166" xfId="0" applyAlignment="1" applyBorder="1" applyFont="1" applyNumberFormat="1">
      <alignment horizontal="center" readingOrder="0" vertical="center"/>
    </xf>
    <xf borderId="1" fillId="0" fontId="32" numFmtId="0" xfId="0" applyAlignment="1" applyBorder="1" applyFont="1">
      <alignment horizontal="center" vertical="center"/>
    </xf>
    <xf borderId="1" fillId="16" fontId="32" numFmtId="166" xfId="0" applyAlignment="1" applyBorder="1" applyFill="1" applyFont="1" applyNumberFormat="1">
      <alignment horizontal="center" readingOrder="0" vertical="center"/>
    </xf>
    <xf borderId="1" fillId="16" fontId="32" numFmtId="9" xfId="0" applyAlignment="1" applyBorder="1" applyFill="1" applyFont="1" applyNumberFormat="1">
      <alignment horizontal="center" readingOrder="0" vertical="center"/>
    </xf>
    <xf quotePrefix="1" borderId="1" fillId="16" fontId="32" numFmtId="0" xfId="0" applyAlignment="1" applyBorder="1" applyFill="1" applyFont="1">
      <alignment horizontal="left" readingOrder="0" vertical="center"/>
    </xf>
    <xf quotePrefix="1" borderId="1" fillId="0" fontId="32" numFmtId="0" xfId="0" applyAlignment="1" applyBorder="1" applyFont="1">
      <alignment horizontal="left" readingOrder="0" vertical="center"/>
    </xf>
    <xf borderId="1" fillId="0" fontId="32" numFmtId="0" xfId="0" applyAlignment="1" applyBorder="1" applyFont="1">
      <alignment vertical="center"/>
    </xf>
    <xf borderId="1" fillId="0" fontId="32" numFmtId="0" xfId="0" applyAlignment="1" applyBorder="1" applyFont="1">
      <alignment horizontal="center" readingOrder="0" shrinkToFit="0" vertical="center" wrapText="0"/>
    </xf>
    <xf borderId="1" fillId="0" fontId="32" numFmtId="9" xfId="0" applyAlignment="1" applyBorder="1" applyFont="1" applyNumberFormat="1">
      <alignment horizontal="center" readingOrder="0" vertical="center"/>
    </xf>
    <xf borderId="1" fillId="0" fontId="32" numFmtId="0" xfId="0" applyAlignment="1" applyBorder="1" applyFont="1">
      <alignment horizontal="left" readingOrder="0" shrinkToFit="0" vertical="center" wrapText="0"/>
    </xf>
    <xf quotePrefix="1" borderId="1" fillId="0" fontId="32" numFmtId="0" xfId="0" applyAlignment="1" applyBorder="1" applyFont="1">
      <alignment horizontal="left" readingOrder="0" shrinkToFit="0" vertical="center" wrapText="0"/>
    </xf>
    <xf borderId="1" fillId="2" fontId="32" numFmtId="0" xfId="0" applyAlignment="1" applyBorder="1" applyFill="1" applyFont="1">
      <alignment readingOrder="0" vertical="center"/>
    </xf>
    <xf borderId="1" fillId="2" fontId="32" numFmtId="0" xfId="0" applyAlignment="1" applyBorder="1" applyFill="1" applyFont="1">
      <alignment horizontal="center" readingOrder="0" vertical="center"/>
    </xf>
    <xf borderId="1" fillId="2" fontId="32" numFmtId="0" xfId="0" applyAlignment="1" applyBorder="1" applyFill="1" applyFont="1">
      <alignment horizontal="center" vertical="center"/>
    </xf>
    <xf borderId="1" fillId="0" fontId="32" numFmtId="0" xfId="0" applyAlignment="1" applyBorder="1" applyFont="1">
      <alignment horizontal="center" vertical="center"/>
    </xf>
    <xf borderId="1" fillId="0" fontId="38" numFmtId="166" xfId="0" applyAlignment="1" applyBorder="1" applyFont="1" applyNumberFormat="1">
      <alignment vertical="center"/>
    </xf>
    <xf borderId="1" fillId="0" fontId="38" numFmtId="0" xfId="0" applyAlignment="1" applyBorder="1" applyFont="1">
      <alignment vertical="center"/>
    </xf>
    <xf borderId="1" fillId="0" fontId="32" numFmtId="0" xfId="0" applyAlignment="1" applyBorder="1" applyFont="1">
      <alignment vertical="center"/>
    </xf>
    <xf borderId="1" fillId="0" fontId="32" numFmtId="0" xfId="0" applyBorder="1" applyFont="1"/>
    <xf borderId="1" fillId="0" fontId="32" numFmtId="0" xfId="0" applyAlignment="1" applyBorder="1" applyFont="1">
      <alignment horizontal="center"/>
    </xf>
    <xf borderId="1" fillId="0" fontId="38" numFmtId="0" xfId="0" applyBorder="1" applyFont="1"/>
    <xf borderId="1" fillId="0" fontId="38" numFmtId="0" xfId="0" applyAlignment="1" applyBorder="1" applyFont="1">
      <alignment horizontal="center"/>
    </xf>
    <xf borderId="1" fillId="0" fontId="32" numFmtId="0" xfId="0" applyAlignment="1" applyBorder="1" applyFont="1">
      <alignment readingOrder="0"/>
    </xf>
    <xf borderId="1" fillId="0" fontId="38" numFmtId="166" xfId="0" applyBorder="1" applyFont="1" applyNumberFormat="1"/>
    <xf borderId="1" fillId="0" fontId="38" numFmtId="9" xfId="0" applyBorder="1" applyFont="1" applyNumberFormat="1"/>
    <xf borderId="1" fillId="0" fontId="32" numFmtId="0" xfId="0" applyAlignment="1" applyBorder="1" applyFont="1">
      <alignment horizontal="center"/>
    </xf>
    <xf borderId="1" fillId="0" fontId="32" numFmtId="0" xfId="0" applyBorder="1" applyFont="1"/>
    <xf borderId="1" fillId="0" fontId="38" numFmtId="0" xfId="0" applyAlignment="1" applyBorder="1" applyFont="1">
      <alignment vertical="bottom"/>
    </xf>
    <xf borderId="1" fillId="18" fontId="32" numFmtId="0" xfId="0" applyBorder="1" applyFill="1" applyFont="1"/>
    <xf borderId="1" fillId="18" fontId="32" numFmtId="0" xfId="0" applyAlignment="1" applyBorder="1" applyFill="1" applyFont="1">
      <alignment horizontal="center"/>
    </xf>
    <xf borderId="1" fillId="18" fontId="38" numFmtId="0" xfId="0" applyBorder="1" applyFill="1" applyFont="1"/>
    <xf borderId="1" fillId="18" fontId="38" numFmtId="0" xfId="0" applyAlignment="1" applyBorder="1" applyFill="1" applyFont="1">
      <alignment horizontal="center"/>
    </xf>
    <xf borderId="1" fillId="18" fontId="32" numFmtId="0" xfId="0" applyAlignment="1" applyBorder="1" applyFill="1" applyFont="1">
      <alignment readingOrder="0"/>
    </xf>
    <xf borderId="1" fillId="18" fontId="38" numFmtId="166" xfId="0" applyBorder="1" applyFill="1" applyFont="1" applyNumberFormat="1"/>
    <xf borderId="1" fillId="18" fontId="38" numFmtId="9" xfId="0" applyBorder="1" applyFill="1" applyFont="1" applyNumberFormat="1"/>
    <xf borderId="1" fillId="18" fontId="32" numFmtId="0" xfId="0" applyAlignment="1" applyBorder="1" applyFill="1" applyFont="1">
      <alignment horizontal="center"/>
    </xf>
    <xf borderId="1" fillId="18" fontId="32" numFmtId="0" xfId="0" applyBorder="1" applyFill="1" applyFont="1"/>
    <xf borderId="1" fillId="18" fontId="38" numFmtId="0" xfId="0" applyAlignment="1" applyBorder="1" applyFill="1" applyFont="1">
      <alignment vertical="bottom"/>
    </xf>
    <xf borderId="1" fillId="15" fontId="32" numFmtId="0" xfId="0" applyAlignment="1" applyBorder="1" applyFill="1" applyFont="1">
      <alignment horizontal="center" readingOrder="0" vertical="center"/>
    </xf>
    <xf borderId="1" fillId="15" fontId="32" numFmtId="0" xfId="0" applyAlignment="1" applyBorder="1" applyFill="1" applyFont="1">
      <alignment vertical="center"/>
    </xf>
    <xf borderId="1" fillId="15" fontId="32" numFmtId="0" xfId="0" applyAlignment="1" applyBorder="1" applyFill="1" applyFont="1">
      <alignment readingOrder="0" vertical="center"/>
    </xf>
    <xf borderId="1" fillId="15" fontId="32" numFmtId="166" xfId="0" applyAlignment="1" applyBorder="1" applyFill="1" applyFont="1" applyNumberFormat="1">
      <alignment horizontal="center" readingOrder="0" vertical="center"/>
    </xf>
    <xf borderId="1" fillId="15" fontId="32" numFmtId="0" xfId="0" applyAlignment="1" applyBorder="1" applyFill="1" applyFont="1">
      <alignment horizontal="center" vertical="center"/>
    </xf>
    <xf borderId="1" fillId="15" fontId="35" numFmtId="0" xfId="0" applyAlignment="1" applyBorder="1" applyFill="1" applyFont="1">
      <alignment horizontal="left" vertical="center"/>
    </xf>
    <xf borderId="1" fillId="15" fontId="32" numFmtId="0" xfId="0" applyAlignment="1" applyBorder="1" applyFill="1" applyFont="1">
      <alignment horizontal="left" readingOrder="0" vertical="center"/>
    </xf>
    <xf borderId="1" fillId="15" fontId="32" numFmtId="0" xfId="0" applyAlignment="1" applyBorder="1" applyFill="1" applyFont="1">
      <alignment horizontal="right" readingOrder="0" shrinkToFit="0" vertical="bottom" wrapText="0"/>
    </xf>
    <xf borderId="1" fillId="9" fontId="33" numFmtId="0" xfId="0" applyAlignment="1" applyBorder="1" applyFill="1" applyFont="1">
      <alignment horizontal="center" readingOrder="0" vertical="center"/>
    </xf>
    <xf borderId="1" fillId="9" fontId="33" numFmtId="0" xfId="0" applyAlignment="1" applyBorder="1" applyFill="1" applyFont="1">
      <alignment horizontal="left" readingOrder="0" vertical="center"/>
    </xf>
    <xf borderId="1" fillId="9" fontId="33" numFmtId="0" xfId="0" applyAlignment="1" applyBorder="1" applyFill="1" applyFont="1">
      <alignment horizontal="center" vertical="center"/>
    </xf>
    <xf borderId="1" fillId="9" fontId="33" numFmtId="165" xfId="0" applyAlignment="1" applyBorder="1" applyFill="1" applyFont="1" applyNumberFormat="1">
      <alignment horizontal="center" vertical="center"/>
    </xf>
    <xf borderId="1" fillId="9" fontId="33" numFmtId="0" xfId="0" applyAlignment="1" applyBorder="1" applyFill="1" applyFont="1">
      <alignment horizontal="left" vertical="center"/>
    </xf>
    <xf borderId="1" fillId="0" fontId="34" numFmtId="0" xfId="0" applyAlignment="1" applyBorder="1" applyFont="1">
      <alignment horizontal="center" readingOrder="0" vertical="center"/>
    </xf>
    <xf borderId="1" fillId="2" fontId="34" numFmtId="0" xfId="0" applyAlignment="1" applyBorder="1" applyFill="1" applyFont="1">
      <alignment readingOrder="0" vertical="center"/>
    </xf>
    <xf borderId="1" fillId="2" fontId="34" numFmtId="0" xfId="0" applyAlignment="1" applyBorder="1" applyFill="1" applyFont="1">
      <alignment horizontal="center" readingOrder="0" vertical="center"/>
    </xf>
    <xf borderId="1" fillId="2" fontId="34" numFmtId="166" xfId="0" applyAlignment="1" applyBorder="1" applyFill="1" applyFont="1" applyNumberFormat="1">
      <alignment horizontal="center" vertical="center"/>
    </xf>
    <xf borderId="1" fillId="2" fontId="34" numFmtId="0" xfId="0" applyAlignment="1" applyBorder="1" applyFill="1" applyFont="1">
      <alignment horizontal="center" vertical="center"/>
    </xf>
    <xf borderId="1" fillId="2" fontId="39" numFmtId="9" xfId="0" applyAlignment="1" applyBorder="1" applyFill="1" applyFont="1" applyNumberFormat="1">
      <alignment vertical="center"/>
    </xf>
    <xf borderId="1" fillId="2" fontId="33" numFmtId="0" xfId="0" applyAlignment="1" applyBorder="1" applyFill="1" applyFont="1">
      <alignment readingOrder="0" vertical="center"/>
    </xf>
    <xf borderId="1" fillId="2" fontId="34" numFmtId="0" xfId="0" applyAlignment="1" applyBorder="1" applyFill="1" applyFont="1">
      <alignment horizontal="left" readingOrder="0" vertical="center"/>
    </xf>
    <xf borderId="1" fillId="0" fontId="34" numFmtId="0" xfId="0" applyAlignment="1" applyBorder="1" applyFont="1">
      <alignment horizontal="right" readingOrder="0" shrinkToFit="0" vertical="bottom" wrapText="0"/>
    </xf>
    <xf borderId="1" fillId="0" fontId="34" numFmtId="0" xfId="0" applyAlignment="1" applyBorder="1" applyFont="1">
      <alignment vertical="center"/>
    </xf>
    <xf borderId="1" fillId="0" fontId="34" numFmtId="0" xfId="0" applyAlignment="1" applyBorder="1" applyFont="1">
      <alignment readingOrder="0" vertical="center"/>
    </xf>
    <xf borderId="1" fillId="0" fontId="34" numFmtId="166" xfId="0" applyAlignment="1" applyBorder="1" applyFont="1" applyNumberFormat="1">
      <alignment horizontal="center" readingOrder="0" vertical="center"/>
    </xf>
    <xf borderId="1" fillId="0" fontId="34" numFmtId="0" xfId="0" applyAlignment="1" applyBorder="1" applyFont="1">
      <alignment horizontal="center" vertical="center"/>
    </xf>
    <xf borderId="1" fillId="0" fontId="33" numFmtId="0" xfId="0" applyAlignment="1" applyBorder="1" applyFont="1">
      <alignment horizontal="left" readingOrder="0" vertical="center"/>
    </xf>
    <xf borderId="1" fillId="0" fontId="34" numFmtId="0" xfId="0" applyAlignment="1" applyBorder="1" applyFont="1">
      <alignment horizontal="left" readingOrder="0" vertical="center"/>
    </xf>
    <xf borderId="1" fillId="2" fontId="34" numFmtId="0" xfId="0" applyAlignment="1" applyBorder="1" applyFill="1" applyFont="1">
      <alignment vertical="center"/>
    </xf>
    <xf borderId="1" fillId="2" fontId="34" numFmtId="166" xfId="0" applyAlignment="1" applyBorder="1" applyFill="1" applyFont="1" applyNumberFormat="1">
      <alignment horizontal="center" readingOrder="0" vertical="center"/>
    </xf>
    <xf borderId="1" fillId="2" fontId="34" numFmtId="9" xfId="0" applyAlignment="1" applyBorder="1" applyFill="1" applyFont="1" applyNumberFormat="1">
      <alignment horizontal="center" readingOrder="0" vertical="center"/>
    </xf>
    <xf borderId="1" fillId="2" fontId="33" numFmtId="0" xfId="0" applyAlignment="1" applyBorder="1" applyFill="1" applyFont="1">
      <alignment horizontal="left" readingOrder="0" vertical="center"/>
    </xf>
    <xf borderId="1" fillId="2" fontId="34" numFmtId="0" xfId="0" applyAlignment="1" applyBorder="1" applyFill="1" applyFont="1">
      <alignment horizontal="center" vertical="center"/>
    </xf>
    <xf borderId="1" fillId="17" fontId="34" numFmtId="0" xfId="0" applyAlignment="1" applyBorder="1" applyFill="1" applyFont="1">
      <alignment readingOrder="0" vertical="center"/>
    </xf>
    <xf borderId="1" fillId="17" fontId="34" numFmtId="0" xfId="0" applyAlignment="1" applyBorder="1" applyFill="1" applyFont="1">
      <alignment horizontal="center" readingOrder="0" vertical="center"/>
    </xf>
    <xf borderId="1" fillId="17" fontId="34" numFmtId="168" xfId="0" applyAlignment="1" applyBorder="1" applyFill="1" applyFont="1" applyNumberFormat="1">
      <alignment horizontal="center" readingOrder="0" vertical="center"/>
    </xf>
    <xf borderId="1" fillId="17" fontId="34" numFmtId="0" xfId="0" applyAlignment="1" applyBorder="1" applyFill="1" applyFont="1">
      <alignment horizontal="center" vertical="center"/>
    </xf>
    <xf borderId="1" fillId="17" fontId="33" numFmtId="0" xfId="0" applyAlignment="1" applyBorder="1" applyFill="1" applyFont="1">
      <alignment horizontal="left" readingOrder="0" vertical="center"/>
    </xf>
    <xf borderId="1" fillId="17" fontId="34" numFmtId="0" xfId="0" applyAlignment="1" applyBorder="1" applyFill="1" applyFont="1">
      <alignment horizontal="left" readingOrder="0" vertical="center"/>
    </xf>
    <xf borderId="1" fillId="0" fontId="4" numFmtId="0" xfId="0" applyAlignment="1" applyBorder="1" applyFont="1">
      <alignment horizontal="left" vertical="center"/>
    </xf>
    <xf borderId="1" fillId="3" fontId="40" numFmtId="0" xfId="0" applyAlignment="1" applyBorder="1" applyFill="1" applyFont="1">
      <alignment horizontal="center" readingOrder="0" vertical="center"/>
    </xf>
    <xf borderId="1" fillId="3" fontId="41" numFmtId="0" xfId="0" applyAlignment="1" applyBorder="1" applyFill="1" applyFont="1">
      <alignment horizontal="center" vertical="center"/>
    </xf>
    <xf borderId="1" fillId="3" fontId="41" numFmtId="0" xfId="0" applyAlignment="1" applyBorder="1" applyFill="1" applyFont="1">
      <alignment horizontal="left" vertical="center"/>
    </xf>
    <xf borderId="1" fillId="5" fontId="42" numFmtId="0" xfId="0" applyAlignment="1" applyBorder="1" applyFill="1" applyFont="1">
      <alignment horizontal="left" readingOrder="0" vertical="center"/>
    </xf>
    <xf borderId="1" fillId="5" fontId="42" numFmtId="0" xfId="0" applyAlignment="1" applyBorder="1" applyFill="1" applyFont="1">
      <alignment horizontal="center" readingOrder="0" vertical="center"/>
    </xf>
    <xf borderId="1" fillId="5" fontId="42" numFmtId="0" xfId="0" applyAlignment="1" applyBorder="1" applyFill="1" applyFont="1">
      <alignment horizontal="left" readingOrder="0" shrinkToFit="0" vertical="center" wrapText="1"/>
    </xf>
    <xf borderId="1" fillId="19" fontId="43" numFmtId="0" xfId="0" applyAlignment="1" applyBorder="1" applyFill="1" applyFont="1">
      <alignment horizontal="center" readingOrder="0" vertical="center"/>
    </xf>
    <xf borderId="1" fillId="19" fontId="43" numFmtId="0" xfId="0" applyAlignment="1" applyBorder="1" applyFill="1" applyFont="1">
      <alignment horizontal="left" readingOrder="0" vertical="center"/>
    </xf>
    <xf borderId="1" fillId="5" fontId="44" numFmtId="0" xfId="0" applyAlignment="1" applyBorder="1" applyFill="1" applyFont="1">
      <alignment horizontal="center" readingOrder="0" vertical="center"/>
    </xf>
    <xf borderId="1" fillId="19" fontId="43" numFmtId="0" xfId="0" applyAlignment="1" applyBorder="1" applyFill="1" applyFont="1">
      <alignment horizontal="center" vertical="center"/>
    </xf>
    <xf borderId="1" fillId="15" fontId="45" numFmtId="0" xfId="0" applyAlignment="1" applyBorder="1" applyFill="1" applyFont="1">
      <alignment horizontal="center" readingOrder="0" vertical="center"/>
    </xf>
    <xf borderId="1" fillId="15" fontId="45" numFmtId="0" xfId="0" applyAlignment="1" applyBorder="1" applyFill="1" applyFont="1">
      <alignment readingOrder="0" vertical="center"/>
    </xf>
    <xf borderId="1" fillId="15" fontId="46" numFmtId="0" xfId="0" applyAlignment="1" applyBorder="1" applyFill="1" applyFont="1">
      <alignment horizontal="center" vertical="center"/>
    </xf>
    <xf borderId="1" fillId="15" fontId="24" numFmtId="0" xfId="0" applyAlignment="1" applyBorder="1" applyFill="1" applyFont="1">
      <alignment vertical="center"/>
    </xf>
    <xf borderId="1" fillId="15" fontId="45" numFmtId="0" xfId="0" applyAlignment="1" applyBorder="1" applyFill="1" applyFont="1">
      <alignment horizontal="center" vertical="center"/>
    </xf>
    <xf borderId="1" fillId="15" fontId="24" numFmtId="0" xfId="0" applyAlignment="1" applyBorder="1" applyFill="1" applyFont="1">
      <alignment horizontal="left" vertical="center"/>
    </xf>
    <xf borderId="1" fillId="15" fontId="24" numFmtId="0" xfId="0" applyAlignment="1" applyBorder="1" applyFill="1" applyFont="1">
      <alignment horizontal="center" vertical="center"/>
    </xf>
    <xf borderId="1" fillId="15" fontId="24" numFmtId="0" xfId="0" applyAlignment="1" applyBorder="1" applyFill="1" applyFont="1">
      <alignment shrinkToFit="0" vertical="center" wrapText="1"/>
    </xf>
    <xf borderId="1" fillId="20" fontId="47" numFmtId="0" xfId="0" applyAlignment="1" applyBorder="1" applyFill="1" applyFont="1">
      <alignment horizontal="center" readingOrder="0" vertical="center"/>
    </xf>
    <xf borderId="1" fillId="20" fontId="47" numFmtId="0" xfId="0" applyAlignment="1" applyBorder="1" applyFill="1" applyFont="1">
      <alignment readingOrder="0" vertical="center"/>
    </xf>
    <xf borderId="1" fillId="20" fontId="48" numFmtId="0" xfId="0" applyAlignment="1" applyBorder="1" applyFill="1" applyFont="1">
      <alignment horizontal="center" vertical="center"/>
    </xf>
    <xf borderId="1" fillId="20" fontId="49" numFmtId="0" xfId="0" applyAlignment="1" applyBorder="1" applyFill="1" applyFont="1">
      <alignment vertical="center"/>
    </xf>
    <xf borderId="1" fillId="20" fontId="47" numFmtId="0" xfId="0" applyAlignment="1" applyBorder="1" applyFill="1" applyFont="1">
      <alignment horizontal="center" vertical="center"/>
    </xf>
    <xf borderId="1" fillId="20" fontId="49" numFmtId="0" xfId="0" applyAlignment="1" applyBorder="1" applyFill="1" applyFont="1">
      <alignment horizontal="left" vertical="center"/>
    </xf>
    <xf borderId="1" fillId="20" fontId="49" numFmtId="0" xfId="0" applyAlignment="1" applyBorder="1" applyFill="1" applyFont="1">
      <alignment horizontal="center" vertical="center"/>
    </xf>
    <xf borderId="1" fillId="20" fontId="49" numFmtId="0" xfId="0" applyAlignment="1" applyBorder="1" applyFill="1" applyFont="1">
      <alignment shrinkToFit="0" vertical="center" wrapText="1"/>
    </xf>
    <xf borderId="1" fillId="21" fontId="50" numFmtId="0" xfId="0" applyAlignment="1" applyBorder="1" applyFill="1" applyFont="1">
      <alignment horizontal="center" readingOrder="0" vertical="center"/>
    </xf>
    <xf borderId="1" fillId="21" fontId="50" numFmtId="0" xfId="0" applyAlignment="1" applyBorder="1" applyFill="1" applyFont="1">
      <alignment readingOrder="0" vertical="center"/>
    </xf>
    <xf borderId="1" fillId="21" fontId="50" numFmtId="0" xfId="0" applyAlignment="1" applyBorder="1" applyFill="1" applyFont="1">
      <alignment horizontal="center" vertical="center"/>
    </xf>
    <xf borderId="1" fillId="21" fontId="2" numFmtId="0" xfId="0" applyAlignment="1" applyBorder="1" applyFill="1" applyFont="1">
      <alignment vertical="center"/>
    </xf>
    <xf borderId="1" fillId="21" fontId="2" numFmtId="0" xfId="0" applyAlignment="1" applyBorder="1" applyFill="1" applyFont="1">
      <alignment horizontal="center" vertical="center"/>
    </xf>
    <xf borderId="1" fillId="21" fontId="50" numFmtId="0" xfId="0" applyAlignment="1" applyBorder="1" applyFill="1" applyFont="1">
      <alignment vertical="center"/>
    </xf>
    <xf borderId="1" fillId="21" fontId="2" numFmtId="0" xfId="0" applyAlignment="1" applyBorder="1" applyFill="1" applyFont="1">
      <alignment horizontal="left" vertical="center"/>
    </xf>
    <xf borderId="1" fillId="21" fontId="2" numFmtId="0" xfId="0" applyAlignment="1" applyBorder="1" applyFill="1" applyFont="1">
      <alignment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vertical="center"/>
    </xf>
    <xf borderId="1" fillId="2" fontId="2" numFmtId="0" xfId="0" applyAlignment="1" applyBorder="1" applyFill="1" applyFont="1">
      <alignment readingOrder="0" vertical="center"/>
    </xf>
    <xf borderId="1" fillId="0" fontId="2" numFmtId="0" xfId="0" applyAlignment="1" applyBorder="1" applyFont="1">
      <alignment shrinkToFit="0" vertical="center" wrapText="1"/>
    </xf>
    <xf borderId="1" fillId="2" fontId="2" numFmtId="0" xfId="0" applyAlignment="1" applyBorder="1" applyFill="1" applyFont="1">
      <alignment horizontal="left" readingOrder="0" vertical="center"/>
    </xf>
    <xf borderId="1" fillId="2" fontId="2" numFmtId="0" xfId="0" applyAlignment="1" applyBorder="1" applyFill="1" applyFont="1">
      <alignment vertical="center"/>
    </xf>
    <xf borderId="1" fillId="2" fontId="2" numFmtId="0" xfId="0" applyAlignment="1" applyBorder="1" applyFill="1" applyFont="1">
      <alignment horizontal="left" vertical="center"/>
    </xf>
    <xf borderId="1" fillId="2" fontId="2" numFmtId="0" xfId="0" applyAlignment="1" applyBorder="1" applyFill="1" applyFont="1">
      <alignment shrinkToFit="0" vertical="center" wrapText="1"/>
    </xf>
    <xf borderId="1" fillId="2" fontId="2" numFmtId="166" xfId="0" applyAlignment="1" applyBorder="1" applyFill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vertical="center"/>
    </xf>
    <xf borderId="1" fillId="0" fontId="21" numFmtId="0" xfId="0" applyAlignment="1" applyBorder="1" applyFont="1">
      <alignment horizontal="left" readingOrder="0" vertical="center"/>
    </xf>
    <xf borderId="0" fillId="0" fontId="3" numFmtId="0" xfId="0" applyAlignment="1" applyFont="1">
      <alignment horizontal="left"/>
    </xf>
    <xf borderId="0" fillId="0" fontId="7" numFmtId="0" xfId="0" applyAlignment="1" applyFont="1">
      <alignment horizontal="left" readingOrder="0" vertical="center"/>
    </xf>
    <xf borderId="1" fillId="16" fontId="2" numFmtId="0" xfId="0" applyAlignment="1" applyBorder="1" applyFill="1" applyFont="1">
      <alignment horizontal="left" readingOrder="0" vertical="center"/>
    </xf>
    <xf borderId="1" fillId="16" fontId="17" numFmtId="0" xfId="0" applyAlignment="1" applyBorder="1" applyFill="1" applyFont="1">
      <alignment horizontal="left" shrinkToFit="0" wrapText="1"/>
    </xf>
    <xf borderId="1" fillId="0" fontId="2" numFmtId="0" xfId="0" applyAlignment="1" applyBorder="1" applyFont="1">
      <alignment readingOrder="0" shrinkToFit="0" vertical="center" wrapText="1"/>
    </xf>
    <xf borderId="1" fillId="0" fontId="50" numFmtId="0" xfId="0" applyAlignment="1" applyBorder="1" applyFont="1">
      <alignment readingOrder="0" vertical="center"/>
    </xf>
    <xf borderId="1" fillId="20" fontId="46" numFmtId="0" xfId="0" applyAlignment="1" applyBorder="1" applyFill="1" applyFont="1">
      <alignment horizontal="center" vertical="center"/>
    </xf>
    <xf borderId="1" fillId="20" fontId="49" numFmtId="0" xfId="0" applyAlignment="1" applyBorder="1" applyFill="1" applyFont="1">
      <alignment horizontal="center" readingOrder="0" vertical="center"/>
    </xf>
    <xf borderId="1" fillId="0" fontId="21" numFmtId="0" xfId="0" applyAlignment="1" applyBorder="1" applyFont="1">
      <alignment readingOrder="0" vertical="center"/>
    </xf>
    <xf borderId="1" fillId="0" fontId="21" numFmtId="0" xfId="0" applyAlignment="1" applyBorder="1" applyFont="1">
      <alignment horizontal="left" vertical="center"/>
    </xf>
    <xf borderId="1" fillId="0" fontId="21" numFmtId="0" xfId="0" applyAlignment="1" applyBorder="1" applyFont="1">
      <alignment horizontal="center" readingOrder="0" vertical="center"/>
    </xf>
    <xf borderId="1" fillId="0" fontId="21" numFmtId="0" xfId="0" applyAlignment="1" applyBorder="1" applyFont="1">
      <alignment vertical="center"/>
    </xf>
    <xf borderId="1" fillId="0" fontId="21" numFmtId="0" xfId="0" applyAlignment="1" applyBorder="1" applyFont="1">
      <alignment horizontal="center" vertical="center"/>
    </xf>
    <xf borderId="1" fillId="0" fontId="21" numFmtId="0" xfId="0" applyAlignment="1" applyBorder="1" applyFont="1">
      <alignment shrinkToFit="0" vertical="center" wrapText="1"/>
    </xf>
    <xf borderId="1" fillId="0" fontId="21" numFmtId="0" xfId="0" applyAlignment="1" applyBorder="1" applyFont="1">
      <alignment horizontal="left" readingOrder="0" shrinkToFit="0" vertical="bottom" wrapText="0"/>
    </xf>
    <xf borderId="1" fillId="0" fontId="2" numFmtId="168" xfId="0" applyAlignment="1" applyBorder="1" applyFont="1" applyNumberFormat="1">
      <alignment horizontal="center" readingOrder="0" vertical="center"/>
    </xf>
    <xf borderId="1" fillId="0" fontId="2" numFmtId="170" xfId="0" applyAlignment="1" applyBorder="1" applyFont="1" applyNumberFormat="1">
      <alignment readingOrder="0" vertical="center"/>
    </xf>
    <xf borderId="1" fillId="0" fontId="2" numFmtId="171" xfId="0" applyAlignment="1" applyBorder="1" applyFont="1" applyNumberFormat="1">
      <alignment readingOrder="0" vertical="center"/>
    </xf>
    <xf borderId="1" fillId="0" fontId="21" numFmtId="166" xfId="0" applyAlignment="1" applyBorder="1" applyFont="1" applyNumberFormat="1">
      <alignment horizontal="center" readingOrder="0" vertical="center"/>
    </xf>
    <xf borderId="1" fillId="0" fontId="50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 readingOrder="0"/>
    </xf>
    <xf borderId="1" fillId="0" fontId="2" numFmtId="9" xfId="0" applyAlignment="1" applyBorder="1" applyFont="1" applyNumberFormat="1">
      <alignment readingOrder="0" vertical="center"/>
    </xf>
    <xf borderId="1" fillId="0" fontId="2" numFmtId="172" xfId="0" applyAlignment="1" applyBorder="1" applyFont="1" applyNumberFormat="1">
      <alignment horizontal="left" readingOrder="0" vertical="center"/>
    </xf>
    <xf borderId="1" fillId="0" fontId="24" numFmtId="0" xfId="0" applyAlignment="1" applyBorder="1" applyFont="1">
      <alignment vertical="center"/>
    </xf>
    <xf borderId="1" fillId="0" fontId="24" numFmtId="0" xfId="0" applyAlignment="1" applyBorder="1" applyFont="1">
      <alignment horizontal="left" readingOrder="0" vertical="center"/>
    </xf>
    <xf borderId="1" fillId="0" fontId="24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center" vertical="center"/>
    </xf>
    <xf borderId="1" fillId="20" fontId="21" numFmtId="0" xfId="0" applyAlignment="1" applyBorder="1" applyFill="1" applyFont="1">
      <alignment vertical="center"/>
    </xf>
    <xf borderId="1" fillId="20" fontId="21" numFmtId="0" xfId="0" applyAlignment="1" applyBorder="1" applyFill="1" applyFont="1">
      <alignment horizontal="center" vertical="center"/>
    </xf>
    <xf borderId="1" fillId="20" fontId="21" numFmtId="0" xfId="0" applyAlignment="1" applyBorder="1" applyFill="1" applyFont="1">
      <alignment horizontal="left" vertical="center"/>
    </xf>
    <xf borderId="1" fillId="20" fontId="21" numFmtId="0" xfId="0" applyAlignment="1" applyBorder="1" applyFill="1" applyFont="1">
      <alignment shrinkToFit="0" vertical="center" wrapText="1"/>
    </xf>
    <xf borderId="1" fillId="0" fontId="21" numFmtId="0" xfId="0" applyAlignment="1" applyBorder="1" applyFont="1">
      <alignment readingOrder="0" shrinkToFit="0" vertical="center" wrapText="1"/>
    </xf>
    <xf borderId="1" fillId="0" fontId="50" numFmtId="0" xfId="0" applyAlignment="1" applyBorder="1" applyFont="1">
      <alignment horizontal="center" readingOrder="0" vertical="center"/>
    </xf>
    <xf borderId="1" fillId="0" fontId="2" numFmtId="173" xfId="0" applyAlignment="1" applyBorder="1" applyFont="1" applyNumberFormat="1">
      <alignment horizontal="center" readingOrder="0" vertical="center"/>
    </xf>
    <xf borderId="1" fillId="16" fontId="2" numFmtId="0" xfId="0" applyAlignment="1" applyBorder="1" applyFill="1" applyFont="1">
      <alignment horizontal="center" readingOrder="0" vertical="center"/>
    </xf>
    <xf borderId="1" fillId="0" fontId="7" numFmtId="0" xfId="0" applyAlignment="1" applyBorder="1" applyFont="1">
      <alignment readingOrder="0" shrinkToFit="0" wrapText="0"/>
    </xf>
    <xf borderId="1" fillId="16" fontId="2" numFmtId="173" xfId="0" applyAlignment="1" applyBorder="1" applyFill="1" applyFont="1" applyNumberFormat="1">
      <alignment horizontal="center" readingOrder="0" vertical="center"/>
    </xf>
    <xf borderId="1" fillId="2" fontId="2" numFmtId="0" xfId="0" applyBorder="1" applyFill="1" applyFont="1"/>
    <xf borderId="4" fillId="22" fontId="5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left" shrinkToFit="0" vertical="center" wrapText="1"/>
    </xf>
    <xf borderId="1" fillId="22" fontId="45" numFmtId="0" xfId="0" applyAlignment="1" applyBorder="1" applyFill="1" applyFont="1">
      <alignment horizontal="center"/>
    </xf>
    <xf borderId="1" fillId="22" fontId="2" numFmtId="0" xfId="0" applyAlignment="1" applyBorder="1" applyFill="1" applyFont="1">
      <alignment horizontal="center"/>
    </xf>
    <xf borderId="1" fillId="22" fontId="2" numFmtId="0" xfId="0" applyBorder="1" applyFill="1" applyFont="1"/>
    <xf borderId="1" fillId="22" fontId="2" numFmtId="0" xfId="0" applyAlignment="1" applyBorder="1" applyFill="1" applyFont="1">
      <alignment horizontal="left"/>
    </xf>
    <xf borderId="1" fillId="22" fontId="2" numFmtId="174" xfId="0" applyAlignment="1" applyBorder="1" applyFill="1" applyFont="1" applyNumberFormat="1">
      <alignment horizontal="center"/>
    </xf>
    <xf borderId="1" fillId="0" fontId="2" numFmtId="0" xfId="0" applyAlignment="1" applyBorder="1" applyFont="1">
      <alignment vertical="bottom"/>
    </xf>
    <xf borderId="8" fillId="23" fontId="43" numFmtId="0" xfId="0" applyAlignment="1" applyBorder="1" applyFill="1" applyFont="1">
      <alignment horizontal="center" shrinkToFit="0" vertical="center" wrapText="1"/>
    </xf>
    <xf borderId="4" fillId="17" fontId="43" numFmtId="0" xfId="0" applyAlignment="1" applyBorder="1" applyFill="1" applyFont="1">
      <alignment horizontal="center" shrinkToFit="0" vertical="center" wrapText="1"/>
    </xf>
    <xf borderId="8" fillId="23" fontId="50" numFmtId="0" xfId="0" applyAlignment="1" applyBorder="1" applyFill="1" applyFont="1">
      <alignment horizontal="center" shrinkToFit="0" vertical="center" wrapText="1"/>
    </xf>
    <xf borderId="8" fillId="23" fontId="43" numFmtId="174" xfId="0" applyAlignment="1" applyBorder="1" applyFill="1" applyFont="1" applyNumberFormat="1">
      <alignment horizontal="center" shrinkToFit="0" vertical="center" wrapText="1"/>
    </xf>
    <xf borderId="8" fillId="17" fontId="43" numFmtId="0" xfId="0" applyAlignment="1" applyBorder="1" applyFill="1" applyFont="1">
      <alignment horizontal="center" shrinkToFit="0" vertical="center" wrapText="1"/>
    </xf>
    <xf borderId="8" fillId="24" fontId="43" numFmtId="0" xfId="0" applyAlignment="1" applyBorder="1" applyFill="1" applyFont="1">
      <alignment horizontal="center" shrinkToFit="0" vertical="center" wrapText="1"/>
    </xf>
    <xf borderId="4" fillId="24" fontId="43" numFmtId="0" xfId="0" applyAlignment="1" applyBorder="1" applyFill="1" applyFont="1">
      <alignment horizontal="center" shrinkToFit="0" vertical="center" wrapText="1"/>
    </xf>
    <xf borderId="8" fillId="24" fontId="43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vertical="center"/>
    </xf>
    <xf borderId="1" fillId="17" fontId="43" numFmtId="0" xfId="0" applyAlignment="1" applyBorder="1" applyFill="1" applyFont="1">
      <alignment horizontal="center" shrinkToFit="0" vertical="center" wrapText="1"/>
    </xf>
    <xf borderId="1" fillId="24" fontId="43" numFmtId="0" xfId="0" applyAlignment="1" applyBorder="1" applyFill="1" applyFont="1">
      <alignment horizontal="center" shrinkToFit="0" vertical="center" wrapText="1"/>
    </xf>
    <xf borderId="1" fillId="24" fontId="43" numFmtId="0" xfId="0" applyAlignment="1" applyBorder="1" applyFill="1" applyFont="1">
      <alignment horizontal="center" readingOrder="0" shrinkToFit="0" vertical="center" wrapText="1"/>
    </xf>
    <xf borderId="4" fillId="11" fontId="43" numFmtId="0" xfId="0" applyAlignment="1" applyBorder="1" applyFill="1" applyFont="1">
      <alignment horizontal="center" shrinkToFit="0" wrapText="1"/>
    </xf>
    <xf borderId="1" fillId="11" fontId="50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 vertical="bottom"/>
    </xf>
    <xf borderId="1" fillId="11" fontId="2" numFmtId="0" xfId="0" applyAlignment="1" applyBorder="1" applyFill="1" applyFont="1">
      <alignment vertical="bottom"/>
    </xf>
    <xf borderId="1" fillId="11" fontId="2" numFmtId="0" xfId="0" applyAlignment="1" applyBorder="1" applyFill="1" applyFont="1">
      <alignment horizontal="left" vertical="bottom"/>
    </xf>
    <xf borderId="1" fillId="11" fontId="2" numFmtId="174" xfId="0" applyAlignment="1" applyBorder="1" applyFill="1" applyFont="1" applyNumberFormat="1">
      <alignment horizontal="center" vertical="bottom"/>
    </xf>
    <xf borderId="1" fillId="12" fontId="50" numFmtId="0" xfId="0" applyAlignment="1" applyBorder="1" applyFill="1" applyFont="1">
      <alignment horizontal="center" readingOrder="0" vertical="bottom"/>
    </xf>
    <xf borderId="1" fillId="12" fontId="43" numFmtId="0" xfId="0" applyAlignment="1" applyBorder="1" applyFill="1" applyFont="1">
      <alignment horizontal="left" readingOrder="0" shrinkToFit="0" wrapText="1"/>
    </xf>
    <xf borderId="1" fillId="12" fontId="50" numFmtId="0" xfId="0" applyAlignment="1" applyBorder="1" applyFill="1" applyFont="1">
      <alignment horizontal="center"/>
    </xf>
    <xf borderId="1" fillId="12" fontId="2" numFmtId="0" xfId="0" applyAlignment="1" applyBorder="1" applyFill="1" applyFont="1">
      <alignment horizontal="center"/>
    </xf>
    <xf borderId="1" fillId="12" fontId="2" numFmtId="0" xfId="0" applyBorder="1" applyFill="1" applyFont="1"/>
    <xf borderId="1" fillId="12" fontId="2" numFmtId="0" xfId="0" applyAlignment="1" applyBorder="1" applyFill="1" applyFont="1">
      <alignment horizontal="left"/>
    </xf>
    <xf borderId="1" fillId="12" fontId="2" numFmtId="174" xfId="0" applyAlignment="1" applyBorder="1" applyFill="1" applyFont="1" applyNumberFormat="1">
      <alignment horizontal="center"/>
    </xf>
    <xf borderId="1" fillId="12" fontId="2" numFmtId="0" xfId="0" applyAlignment="1" applyBorder="1" applyFill="1" applyFont="1">
      <alignment vertical="bottom"/>
    </xf>
    <xf borderId="1" fillId="15" fontId="50" numFmtId="0" xfId="0" applyAlignment="1" applyBorder="1" applyFill="1" applyFont="1">
      <alignment horizontal="center" readingOrder="0"/>
    </xf>
    <xf borderId="1" fillId="15" fontId="50" numFmtId="0" xfId="0" applyAlignment="1" applyBorder="1" applyFill="1" applyFont="1">
      <alignment horizontal="left" readingOrder="0"/>
    </xf>
    <xf borderId="1" fillId="15" fontId="2" numFmtId="0" xfId="0" applyAlignment="1" applyBorder="1" applyFill="1" applyFont="1">
      <alignment horizontal="center"/>
    </xf>
    <xf borderId="1" fillId="15" fontId="52" numFmtId="0" xfId="0" applyAlignment="1" applyBorder="1" applyFill="1" applyFont="1">
      <alignment horizontal="center"/>
    </xf>
    <xf borderId="1" fillId="15" fontId="2" numFmtId="0" xfId="0" applyAlignment="1" applyBorder="1" applyFill="1" applyFont="1">
      <alignment horizontal="left"/>
    </xf>
    <xf borderId="1" fillId="15" fontId="2" numFmtId="0" xfId="0" applyAlignment="1" applyBorder="1" applyFill="1" applyFont="1">
      <alignment horizontal="center" vertical="center"/>
    </xf>
    <xf borderId="1" fillId="15" fontId="2" numFmtId="174" xfId="0" applyAlignment="1" applyBorder="1" applyFill="1" applyFont="1" applyNumberFormat="1">
      <alignment horizontal="center"/>
    </xf>
    <xf borderId="1" fillId="15" fontId="2" numFmtId="0" xfId="0" applyBorder="1" applyFill="1" applyFont="1"/>
    <xf borderId="1" fillId="15" fontId="2" numFmtId="0" xfId="0" applyAlignment="1" applyBorder="1" applyFill="1" applyFont="1">
      <alignment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center" readingOrder="0"/>
    </xf>
    <xf borderId="1" fillId="0" fontId="52" numFmtId="0" xfId="0" applyAlignment="1" applyBorder="1" applyFont="1">
      <alignment horizontal="center"/>
    </xf>
    <xf borderId="1" fillId="0" fontId="2" numFmtId="174" xfId="0" applyAlignment="1" applyBorder="1" applyFont="1" applyNumberFormat="1">
      <alignment horizontal="center"/>
    </xf>
    <xf borderId="1" fillId="0" fontId="53" numFmtId="0" xfId="0" applyAlignment="1" applyBorder="1" applyFont="1">
      <alignment horizontal="center" readingOrder="0" shrinkToFit="0" wrapText="0"/>
    </xf>
    <xf borderId="1" fillId="0" fontId="2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2" fontId="2" numFmtId="0" xfId="0" applyAlignment="1" applyBorder="1" applyFill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0" fontId="2" numFmtId="175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readingOrder="0" vertical="center"/>
    </xf>
    <xf borderId="1" fillId="9" fontId="20" numFmtId="0" xfId="0" applyAlignment="1" applyBorder="1" applyFill="1" applyFont="1">
      <alignment horizontal="center" readingOrder="0" vertical="center"/>
    </xf>
    <xf borderId="1" fillId="9" fontId="16" numFmtId="0" xfId="0" applyAlignment="1" applyBorder="1" applyFill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1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wrapText="1"/>
    </xf>
    <xf borderId="1" fillId="25" fontId="50" numFmtId="0" xfId="0" applyAlignment="1" applyBorder="1" applyFill="1" applyFont="1">
      <alignment horizontal="center" readingOrder="0" vertical="center"/>
    </xf>
    <xf borderId="1" fillId="25" fontId="50" numFmtId="0" xfId="0" applyAlignment="1" applyBorder="1" applyFill="1" applyFont="1">
      <alignment readingOrder="0" vertical="center"/>
    </xf>
    <xf borderId="1" fillId="25" fontId="50" numFmtId="0" xfId="0" applyAlignment="1" applyBorder="1" applyFill="1" applyFont="1">
      <alignment horizontal="center" vertical="center"/>
    </xf>
    <xf borderId="1" fillId="25" fontId="2" numFmtId="0" xfId="0" applyAlignment="1" applyBorder="1" applyFill="1" applyFont="1">
      <alignment vertical="center"/>
    </xf>
    <xf borderId="1" fillId="25" fontId="2" numFmtId="0" xfId="0" applyAlignment="1" applyBorder="1" applyFill="1" applyFont="1">
      <alignment horizontal="center" vertical="center"/>
    </xf>
    <xf borderId="1" fillId="25" fontId="2" numFmtId="0" xfId="0" applyAlignment="1" applyBorder="1" applyFill="1" applyFont="1">
      <alignment horizontal="left" vertical="center"/>
    </xf>
    <xf borderId="1" fillId="25" fontId="2" numFmtId="0" xfId="0" applyAlignment="1" applyBorder="1" applyFill="1" applyFont="1">
      <alignment shrinkToFit="0" vertical="center" wrapText="1"/>
    </xf>
    <xf borderId="1" fillId="26" fontId="18" numFmtId="0" xfId="0" applyAlignment="1" applyBorder="1" applyFill="1" applyFont="1">
      <alignment horizontal="center" readingOrder="0" vertical="center"/>
    </xf>
    <xf borderId="1" fillId="0" fontId="21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2" fontId="2" numFmtId="0" xfId="0" applyBorder="1" applyFill="1" applyFont="1"/>
    <xf borderId="1" fillId="2" fontId="2" numFmtId="0" xfId="0" applyAlignment="1" applyBorder="1" applyFill="1" applyFont="1">
      <alignment horizontal="center"/>
    </xf>
    <xf borderId="1" fillId="2" fontId="18" numFmtId="0" xfId="0" applyAlignment="1" applyBorder="1" applyFill="1" applyFont="1">
      <alignment horizontal="center" readingOrder="0" vertical="center"/>
    </xf>
    <xf borderId="1" fillId="20" fontId="3" numFmtId="0" xfId="0" applyBorder="1" applyFill="1" applyFont="1"/>
    <xf borderId="1" fillId="20" fontId="3" numFmtId="0" xfId="0" applyAlignment="1" applyBorder="1" applyFill="1" applyFont="1">
      <alignment horizontal="center"/>
    </xf>
    <xf borderId="1" fillId="20" fontId="3" numFmtId="0" xfId="0" applyAlignment="1" applyBorder="1" applyFill="1" applyFont="1">
      <alignment horizontal="left"/>
    </xf>
    <xf borderId="1" fillId="20" fontId="3" numFmtId="0" xfId="0" applyAlignment="1" applyBorder="1" applyFill="1" applyFont="1">
      <alignment shrinkToFit="0" wrapText="1"/>
    </xf>
    <xf borderId="1" fillId="0" fontId="54" numFmtId="0" xfId="0" applyAlignment="1" applyBorder="1" applyFont="1">
      <alignment horizontal="center" readingOrder="0"/>
    </xf>
    <xf borderId="8" fillId="0" fontId="53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 vertical="center"/>
    </xf>
    <xf borderId="1" fillId="15" fontId="2" numFmtId="0" xfId="0" applyAlignment="1" applyBorder="1" applyFill="1" applyFont="1">
      <alignment horizontal="center" readingOrder="0"/>
    </xf>
    <xf borderId="10" fillId="0" fontId="54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horizontal="left" readingOrder="0" vertical="center"/>
    </xf>
    <xf borderId="1" fillId="0" fontId="50" numFmtId="0" xfId="0" applyAlignment="1" applyBorder="1" applyFont="1">
      <alignment readingOrder="0" shrinkToFit="0" vertical="center" wrapText="1"/>
    </xf>
    <xf borderId="1" fillId="0" fontId="2" numFmtId="173" xfId="0" applyAlignment="1" applyBorder="1" applyFont="1" applyNumberFormat="1">
      <alignment horizontal="center"/>
    </xf>
    <xf borderId="1" fillId="2" fontId="2" numFmtId="0" xfId="0" applyAlignment="1" applyBorder="1" applyFill="1" applyFont="1">
      <alignment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55" numFmtId="0" xfId="0" applyAlignment="1" applyBorder="1" applyFill="1" applyFont="1">
      <alignment vertical="center"/>
    </xf>
    <xf borderId="1" fillId="2" fontId="55" numFmtId="0" xfId="0" applyBorder="1" applyFill="1" applyFont="1"/>
    <xf borderId="1" fillId="2" fontId="2" numFmtId="0" xfId="0" applyAlignment="1" applyBorder="1" applyFill="1" applyFont="1">
      <alignment horizontal="center" shrinkToFit="0" vertical="center" wrapText="1"/>
    </xf>
    <xf borderId="1" fillId="0" fontId="55" numFmtId="0" xfId="0" applyBorder="1" applyFont="1"/>
    <xf borderId="1" fillId="16" fontId="17" numFmtId="0" xfId="0" applyAlignment="1" applyBorder="1" applyFill="1" applyFont="1">
      <alignment horizontal="center" shrinkToFit="0" wrapText="1"/>
    </xf>
    <xf borderId="1" fillId="11" fontId="2" numFmtId="0" xfId="0" applyAlignment="1" applyBorder="1" applyFill="1" applyFont="1">
      <alignment shrinkToFit="0" vertical="center" wrapText="1"/>
    </xf>
    <xf borderId="1" fillId="11" fontId="2" numFmtId="0" xfId="0" applyAlignment="1" applyBorder="1" applyFill="1" applyFont="1">
      <alignment vertical="center"/>
    </xf>
    <xf borderId="1" fillId="0" fontId="2" numFmtId="0" xfId="0" applyAlignment="1" applyBorder="1" applyFont="1">
      <alignment horizontal="left" vertical="bottom"/>
    </xf>
    <xf borderId="1" fillId="0" fontId="2" numFmtId="0" xfId="0" applyAlignment="1" applyBorder="1" applyFont="1">
      <alignment horizontal="center" vertical="bottom"/>
    </xf>
    <xf borderId="1" fillId="0" fontId="52" numFmtId="0" xfId="0" applyAlignment="1" applyBorder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0" fontId="2" numFmtId="174" xfId="0" applyAlignment="1" applyBorder="1" applyFont="1" applyNumberFormat="1">
      <alignment horizontal="center" vertical="bottom"/>
    </xf>
    <xf borderId="1" fillId="3" fontId="56" numFmtId="0" xfId="0" applyAlignment="1" applyBorder="1" applyFill="1" applyFont="1">
      <alignment horizontal="center" vertical="center"/>
    </xf>
    <xf borderId="1" fillId="3" fontId="56" numFmtId="0" xfId="0" applyAlignment="1" applyBorder="1" applyFill="1" applyFont="1">
      <alignment vertical="center"/>
    </xf>
    <xf borderId="1" fillId="3" fontId="56" numFmtId="0" xfId="0" applyAlignment="1" applyBorder="1" applyFill="1" applyFont="1">
      <alignment horizontal="left" vertical="center"/>
    </xf>
    <xf borderId="1" fillId="3" fontId="56" numFmtId="0" xfId="0" applyAlignment="1" applyBorder="1" applyFill="1" applyFont="1">
      <alignment shrinkToFit="0" vertical="center" wrapText="1"/>
    </xf>
    <xf borderId="1" fillId="9" fontId="44" numFmtId="0" xfId="0" applyAlignment="1" applyBorder="1" applyFill="1" applyFont="1">
      <alignment horizontal="center" readingOrder="0" vertical="center"/>
    </xf>
    <xf borderId="1" fillId="9" fontId="44" numFmtId="0" xfId="0" applyAlignment="1" applyBorder="1" applyFill="1" applyFont="1">
      <alignment horizontal="left" readingOrder="0" vertical="center"/>
    </xf>
    <xf borderId="1" fillId="9" fontId="44" numFmtId="0" xfId="0" applyAlignment="1" applyBorder="1" applyFill="1" applyFont="1">
      <alignment horizontal="center" vertical="center"/>
    </xf>
    <xf borderId="1" fillId="9" fontId="44" numFmtId="165" xfId="0" applyAlignment="1" applyBorder="1" applyFill="1" applyFont="1" applyNumberFormat="1">
      <alignment horizontal="center" vertical="center"/>
    </xf>
    <xf borderId="1" fillId="9" fontId="44" numFmtId="0" xfId="0" applyAlignment="1" applyBorder="1" applyFill="1" applyFont="1">
      <alignment horizontal="left" vertical="center"/>
    </xf>
    <xf borderId="1" fillId="9" fontId="44" numFmtId="0" xfId="0" applyAlignment="1" applyBorder="1" applyFill="1" applyFont="1">
      <alignment horizontal="center" shrinkToFit="0" vertical="center" wrapText="1"/>
    </xf>
    <xf borderId="1" fillId="0" fontId="23" numFmtId="0" xfId="0" applyAlignment="1" applyBorder="1" applyFont="1">
      <alignment horizontal="center" readingOrder="0" vertical="center"/>
    </xf>
    <xf borderId="1" fillId="0" fontId="23" numFmtId="0" xfId="0" applyAlignment="1" applyBorder="1" applyFont="1">
      <alignment readingOrder="0" vertical="center"/>
    </xf>
    <xf borderId="1" fillId="0" fontId="23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vertical="center"/>
    </xf>
    <xf borderId="1" fillId="0" fontId="23" numFmtId="0" xfId="0" applyAlignment="1" applyBorder="1" applyFont="1">
      <alignment horizontal="center" vertical="center"/>
    </xf>
    <xf borderId="1" fillId="0" fontId="57" numFmtId="0" xfId="0" applyAlignment="1" applyBorder="1" applyFont="1">
      <alignment readingOrder="0" vertical="center"/>
    </xf>
    <xf borderId="1" fillId="0" fontId="57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horizontal="left" vertical="center"/>
    </xf>
    <xf borderId="1" fillId="0" fontId="23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/>
    </xf>
    <xf borderId="1" fillId="0" fontId="23" numFmtId="0" xfId="0" applyBorder="1" applyFont="1"/>
    <xf borderId="1" fillId="2" fontId="58" numFmtId="0" xfId="0" applyBorder="1" applyFill="1" applyFont="1"/>
    <xf borderId="1" fillId="0" fontId="23" numFmtId="0" xfId="0" applyAlignment="1" applyBorder="1" applyFont="1">
      <alignment horizontal="center"/>
    </xf>
    <xf borderId="1" fillId="0" fontId="58" numFmtId="0" xfId="0" applyBorder="1" applyFont="1"/>
    <xf borderId="1" fillId="0" fontId="58" numFmtId="0" xfId="0" applyAlignment="1" applyBorder="1" applyFont="1">
      <alignment horizontal="left"/>
    </xf>
    <xf borderId="1" fillId="0" fontId="58" numFmtId="0" xfId="0" applyAlignment="1" applyBorder="1" applyFont="1">
      <alignment horizontal="center"/>
    </xf>
    <xf borderId="1" fillId="2" fontId="58" numFmtId="0" xfId="0" applyAlignment="1" applyBorder="1" applyFill="1" applyFont="1">
      <alignment horizontal="left"/>
    </xf>
    <xf borderId="1" fillId="2" fontId="58" numFmtId="0" xfId="0" applyAlignment="1" applyBorder="1" applyFill="1" applyFont="1">
      <alignment shrinkToFit="0" wrapText="1"/>
    </xf>
    <xf borderId="1" fillId="0" fontId="23" numFmtId="0" xfId="0" applyAlignment="1" applyBorder="1" applyFont="1">
      <alignment horizontal="left" shrinkToFit="0" vertical="center" wrapText="1"/>
    </xf>
    <xf borderId="1" fillId="0" fontId="23" numFmtId="166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readingOrder="0" shrinkToFit="0" vertical="center" wrapText="1"/>
    </xf>
    <xf borderId="1" fillId="0" fontId="59" numFmtId="0" xfId="0" applyBorder="1" applyFont="1"/>
    <xf borderId="1" fillId="9" fontId="12" numFmtId="0" xfId="0" applyAlignment="1" applyBorder="1" applyFill="1" applyFont="1">
      <alignment horizontal="center" readingOrder="0" vertical="center"/>
    </xf>
    <xf borderId="1" fillId="9" fontId="12" numFmtId="0" xfId="0" applyAlignment="1" applyBorder="1" applyFill="1" applyFont="1">
      <alignment horizontal="left" readingOrder="0" vertical="center"/>
    </xf>
    <xf borderId="1" fillId="9" fontId="12" numFmtId="0" xfId="0" applyAlignment="1" applyBorder="1" applyFill="1" applyFont="1">
      <alignment horizontal="center" vertical="center"/>
    </xf>
    <xf borderId="1" fillId="9" fontId="12" numFmtId="165" xfId="0" applyAlignment="1" applyBorder="1" applyFill="1" applyFont="1" applyNumberFormat="1">
      <alignment horizontal="center" vertical="center"/>
    </xf>
    <xf borderId="1" fillId="9" fontId="12" numFmtId="0" xfId="0" applyAlignment="1" applyBorder="1" applyFill="1" applyFont="1">
      <alignment horizontal="left" vertical="center"/>
    </xf>
    <xf borderId="1" fillId="9" fontId="15" numFmtId="0" xfId="0" applyAlignment="1" applyBorder="1" applyFill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1" fillId="0" fontId="24" numFmtId="0" xfId="0" applyAlignment="1" applyBorder="1" applyFont="1">
      <alignment readingOrder="0"/>
    </xf>
    <xf borderId="1" fillId="0" fontId="45" numFmtId="0" xfId="0" applyAlignment="1" applyBorder="1" applyFont="1">
      <alignment horizontal="center" readingOrder="0" vertical="center"/>
    </xf>
    <xf borderId="1" fillId="0" fontId="36" numFmtId="0" xfId="0" applyBorder="1" applyFont="1"/>
    <xf borderId="1" fillId="0" fontId="24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left" shrinkToFit="0" vertical="center" wrapText="1"/>
    </xf>
    <xf borderId="1" fillId="0" fontId="24" numFmtId="0" xfId="0" applyAlignment="1" applyBorder="1" applyFont="1">
      <alignment shrinkToFit="0" vertical="center" wrapText="1"/>
    </xf>
    <xf borderId="1" fillId="0" fontId="24" numFmtId="0" xfId="0" applyAlignment="1" applyBorder="1" applyFont="1">
      <alignment readingOrder="0" shrinkToFit="0" vertical="center" wrapText="1"/>
    </xf>
    <xf borderId="1" fillId="2" fontId="24" numFmtId="0" xfId="0" applyAlignment="1" applyBorder="1" applyFill="1" applyFon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vertical="bottom"/>
    </xf>
    <xf borderId="1" fillId="15" fontId="50" numFmtId="0" xfId="0" applyAlignment="1" applyBorder="1" applyFill="1" applyFont="1">
      <alignment horizontal="left"/>
    </xf>
    <xf borderId="4" fillId="22" fontId="50" numFmtId="0" xfId="0" applyAlignment="1" applyBorder="1" applyFill="1" applyFont="1">
      <alignment horizontal="center" vertical="center"/>
    </xf>
    <xf borderId="5" fillId="22" fontId="2" numFmtId="0" xfId="0" applyAlignment="1" applyBorder="1" applyFill="1" applyFont="1">
      <alignment horizontal="center" vertical="center"/>
    </xf>
    <xf borderId="1" fillId="22" fontId="2" numFmtId="0" xfId="0" applyAlignment="1" applyBorder="1" applyFill="1" applyFont="1">
      <alignment horizontal="center" vertical="center"/>
    </xf>
    <xf borderId="5" fillId="22" fontId="2" numFmtId="0" xfId="0" applyAlignment="1" applyBorder="1" applyFill="1" applyFont="1">
      <alignment vertical="center"/>
    </xf>
    <xf borderId="7" fillId="22" fontId="2" numFmtId="0" xfId="0" applyAlignment="1" applyBorder="1" applyFill="1" applyFont="1">
      <alignment vertical="center"/>
    </xf>
    <xf borderId="8" fillId="27" fontId="50" numFmtId="0" xfId="0" applyAlignment="1" applyBorder="1" applyFill="1" applyFont="1">
      <alignment horizontal="center" shrinkToFit="0" vertical="center" wrapText="1"/>
    </xf>
    <xf borderId="4" fillId="25" fontId="50" numFmtId="0" xfId="0" applyAlignment="1" applyBorder="1" applyFill="1" applyFont="1">
      <alignment horizontal="center" shrinkToFit="0" vertical="center" wrapText="1"/>
    </xf>
    <xf borderId="8" fillId="25" fontId="50" numFmtId="0" xfId="0" applyAlignment="1" applyBorder="1" applyFill="1" applyFont="1">
      <alignment horizontal="center" shrinkToFit="0" vertical="center" wrapText="1"/>
    </xf>
    <xf borderId="4" fillId="27" fontId="50" numFmtId="0" xfId="0" applyAlignment="1" applyBorder="1" applyFill="1" applyFont="1">
      <alignment horizontal="center" shrinkToFit="0" vertical="center" wrapText="1"/>
    </xf>
    <xf borderId="8" fillId="27" fontId="50" numFmtId="0" xfId="0" applyAlignment="1" applyBorder="1" applyFill="1" applyFont="1">
      <alignment horizontal="center" readingOrder="0" shrinkToFit="0" vertical="center" wrapText="1"/>
    </xf>
    <xf borderId="11" fillId="27" fontId="50" numFmtId="0" xfId="0" applyAlignment="1" applyBorder="1" applyFill="1" applyFont="1">
      <alignment horizontal="center" readingOrder="0" shrinkToFit="0" vertical="center" wrapText="1"/>
    </xf>
    <xf borderId="11" fillId="27" fontId="50" numFmtId="0" xfId="0" applyAlignment="1" applyBorder="1" applyFill="1" applyFont="1">
      <alignment horizontal="center" shrinkToFit="0" vertical="center" wrapText="1"/>
    </xf>
    <xf borderId="1" fillId="25" fontId="50" numFmtId="0" xfId="0" applyAlignment="1" applyBorder="1" applyFill="1" applyFont="1">
      <alignment horizontal="center" shrinkToFit="0" vertical="center" wrapText="1"/>
    </xf>
    <xf borderId="1" fillId="27" fontId="50" numFmtId="0" xfId="0" applyAlignment="1" applyBorder="1" applyFill="1" applyFont="1">
      <alignment horizontal="center" shrinkToFit="0" vertical="center" wrapText="1"/>
    </xf>
    <xf borderId="12" fillId="0" fontId="9" numFmtId="0" xfId="0" applyBorder="1" applyFont="1"/>
    <xf borderId="4" fillId="11" fontId="50" numFmtId="0" xfId="0" applyAlignment="1" applyBorder="1" applyFill="1" applyFont="1">
      <alignment horizontal="center" vertical="center"/>
    </xf>
    <xf borderId="1" fillId="11" fontId="2" numFmtId="0" xfId="0" applyAlignment="1" applyBorder="1" applyFill="1" applyFont="1">
      <alignment horizontal="center" vertical="center"/>
    </xf>
    <xf borderId="1" fillId="11" fontId="2" numFmtId="0" xfId="0" applyAlignment="1" applyBorder="1" applyFill="1" applyFont="1">
      <alignment vertical="center"/>
    </xf>
    <xf borderId="4" fillId="11" fontId="2" numFmtId="0" xfId="0" applyAlignment="1" applyBorder="1" applyFill="1" applyFont="1">
      <alignment vertical="center"/>
    </xf>
    <xf borderId="4" fillId="17" fontId="50" numFmtId="0" xfId="0" applyAlignment="1" applyBorder="1" applyFill="1" applyFont="1">
      <alignment horizontal="center" vertical="center"/>
    </xf>
    <xf borderId="1" fillId="17" fontId="50" numFmtId="0" xfId="0" applyAlignment="1" applyBorder="1" applyFill="1" applyFont="1">
      <alignment horizontal="center" vertical="center"/>
    </xf>
    <xf borderId="1" fillId="17" fontId="2" numFmtId="0" xfId="0" applyAlignment="1" applyBorder="1" applyFill="1" applyFont="1">
      <alignment horizontal="center" vertical="center"/>
    </xf>
    <xf borderId="1" fillId="17" fontId="2" numFmtId="0" xfId="0" applyAlignment="1" applyBorder="1" applyFill="1" applyFont="1">
      <alignment vertical="center"/>
    </xf>
    <xf borderId="4" fillId="17" fontId="2" numFmtId="0" xfId="0" applyAlignment="1" applyBorder="1" applyFill="1" applyFont="1">
      <alignment vertical="center"/>
    </xf>
    <xf borderId="8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center"/>
    </xf>
    <xf borderId="13" fillId="0" fontId="9" numFmtId="0" xfId="0" applyBorder="1" applyFont="1"/>
    <xf borderId="1" fillId="15" fontId="50" numFmtId="0" xfId="0" applyAlignment="1" applyBorder="1" applyFill="1" applyFont="1">
      <alignment horizontal="center" readingOrder="0" vertical="bottom"/>
    </xf>
    <xf borderId="1" fillId="15" fontId="50" numFmtId="0" xfId="0" applyAlignment="1" applyBorder="1" applyFill="1" applyFont="1">
      <alignment horizontal="left" readingOrder="0" vertical="bottom"/>
    </xf>
    <xf borderId="1" fillId="15" fontId="50" numFmtId="0" xfId="0" applyAlignment="1" applyBorder="1" applyFill="1" applyFont="1">
      <alignment horizontal="center" vertical="bottom"/>
    </xf>
    <xf borderId="1" fillId="15" fontId="2" numFmtId="0" xfId="0" applyAlignment="1" applyBorder="1" applyFill="1" applyFont="1">
      <alignment horizontal="center" vertical="bottom"/>
    </xf>
    <xf borderId="1" fillId="15" fontId="2" numFmtId="0" xfId="0" applyAlignment="1" applyBorder="1" applyFill="1" applyFont="1">
      <alignment horizontal="left" vertical="bottom"/>
    </xf>
    <xf borderId="1" fillId="15" fontId="2" numFmtId="0" xfId="0" applyAlignment="1" applyBorder="1" applyFill="1" applyFont="1">
      <alignment horizontal="center"/>
    </xf>
    <xf borderId="1" fillId="15" fontId="2" numFmtId="174" xfId="0" applyAlignment="1" applyBorder="1" applyFill="1" applyFont="1" applyNumberFormat="1">
      <alignment horizontal="center" vertical="bottom"/>
    </xf>
    <xf borderId="4" fillId="11" fontId="43" numFmtId="0" xfId="0" applyAlignment="1" applyBorder="1" applyFill="1" applyFont="1">
      <alignment horizontal="center" readingOrder="0" shrinkToFit="0" wrapText="1"/>
    </xf>
    <xf borderId="1" fillId="15" fontId="50" numFmtId="0" xfId="0" applyAlignment="1" applyBorder="1" applyFill="1" applyFont="1">
      <alignment horizontal="left" vertical="bottom"/>
    </xf>
    <xf borderId="1" fillId="0" fontId="7" numFmtId="0" xfId="0" applyAlignment="1" applyBorder="1" applyFont="1">
      <alignment readingOrder="0"/>
    </xf>
    <xf borderId="9" fillId="0" fontId="7" numFmtId="0" xfId="0" applyAlignment="1" applyBorder="1" applyFont="1">
      <alignment readingOrder="0"/>
    </xf>
    <xf borderId="9" fillId="2" fontId="7" numFmtId="0" xfId="0" applyAlignment="1" applyBorder="1" applyFill="1" applyFont="1">
      <alignment readingOrder="0" shrinkToFit="0" wrapText="0"/>
    </xf>
    <xf borderId="4" fillId="17" fontId="50" numFmtId="0" xfId="0" applyAlignment="1" applyBorder="1" applyFill="1" applyFont="1">
      <alignment horizontal="center" shrinkToFit="0" vertical="center" wrapText="1"/>
    </xf>
    <xf borderId="8" fillId="0" fontId="2" numFmtId="0" xfId="0" applyAlignment="1" applyBorder="1" applyFont="1">
      <alignment readingOrder="0" vertical="center"/>
    </xf>
    <xf borderId="1" fillId="16" fontId="17" numFmtId="0" xfId="0" applyAlignment="1" applyBorder="1" applyFill="1" applyFont="1">
      <alignment horizontal="left"/>
    </xf>
    <xf borderId="1" fillId="11" fontId="7" numFmtId="0" xfId="0" applyAlignment="1" applyBorder="1" applyFill="1" applyFont="1">
      <alignment horizontal="center" readingOrder="0" vertical="center"/>
    </xf>
    <xf borderId="1" fillId="11" fontId="4" numFmtId="0" xfId="0" applyAlignment="1" applyBorder="1" applyFill="1" applyFont="1">
      <alignment readingOrder="0" vertical="center"/>
    </xf>
    <xf borderId="1" fillId="11" fontId="4" numFmtId="0" xfId="0" applyAlignment="1" applyBorder="1" applyFill="1" applyFont="1">
      <alignment horizontal="center" readingOrder="0" vertical="center"/>
    </xf>
    <xf borderId="1" fillId="11" fontId="4" numFmtId="166" xfId="0" applyAlignment="1" applyBorder="1" applyFill="1" applyFont="1" applyNumberFormat="1">
      <alignment horizontal="center" readingOrder="0" vertical="center"/>
    </xf>
    <xf borderId="1" fillId="11" fontId="4" numFmtId="9" xfId="0" applyAlignment="1" applyBorder="1" applyFill="1" applyFont="1" applyNumberFormat="1">
      <alignment horizontal="center" readingOrder="0" vertical="center"/>
    </xf>
    <xf borderId="4" fillId="11" fontId="12" numFmtId="0" xfId="0" applyAlignment="1" applyBorder="1" applyFill="1" applyFont="1">
      <alignment horizontal="left" shrinkToFit="0" vertical="center" wrapText="1"/>
    </xf>
    <xf borderId="1" fillId="11" fontId="4" numFmtId="0" xfId="0" applyAlignment="1" applyBorder="1" applyFill="1" applyFont="1">
      <alignment horizontal="left" readingOrder="0" vertical="center"/>
    </xf>
    <xf borderId="1" fillId="11" fontId="4" numFmtId="0" xfId="0" applyAlignment="1" applyBorder="1" applyFill="1" applyFont="1">
      <alignment horizontal="center" vertical="center"/>
    </xf>
    <xf borderId="1" fillId="11" fontId="7" numFmtId="0" xfId="0" applyAlignment="1" applyBorder="1" applyFill="1" applyFont="1">
      <alignment horizontal="left" readingOrder="0" vertical="center"/>
    </xf>
    <xf borderId="1" fillId="16" fontId="17" numFmtId="0" xfId="0" applyAlignment="1" applyBorder="1" applyFill="1" applyFont="1">
      <alignment horizontal="left" readingOrder="0"/>
    </xf>
    <xf borderId="8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8" fillId="0" fontId="60" numFmtId="0" xfId="0" applyAlignment="1" applyBorder="1" applyFont="1">
      <alignment horizontal="center" readingOrder="0" shrinkToFit="0" vertical="center" wrapText="1"/>
    </xf>
    <xf borderId="1" fillId="16" fontId="17" numFmtId="14" xfId="0" applyAlignment="1" applyBorder="1" applyFill="1" applyFont="1" applyNumberFormat="1">
      <alignment horizontal="left" shrinkToFit="0" vertical="center" wrapText="1"/>
    </xf>
    <xf borderId="1" fillId="16" fontId="17" numFmtId="0" xfId="0" applyBorder="1" applyFill="1" applyFont="1"/>
    <xf borderId="1" fillId="10" fontId="17" numFmtId="164" xfId="0" applyAlignment="1" applyBorder="1" applyFill="1" applyFont="1" applyNumberFormat="1">
      <alignment horizontal="center"/>
    </xf>
    <xf borderId="1" fillId="16" fontId="17" numFmtId="0" xfId="0" applyAlignment="1" applyBorder="1" applyFill="1" applyFont="1">
      <alignment horizontal="center"/>
    </xf>
    <xf borderId="1" fillId="0" fontId="2" numFmtId="0" xfId="0" applyAlignment="1" applyBorder="1" applyFont="1">
      <alignment readingOrder="0" vertical="bottom"/>
    </xf>
    <xf borderId="0" fillId="0" fontId="60" numFmtId="0" xfId="0" applyFont="1"/>
    <xf borderId="4" fillId="11" fontId="2" numFmtId="0" xfId="0" applyAlignment="1" applyBorder="1" applyFill="1" applyFont="1">
      <alignment horizontal="center" vertical="center"/>
    </xf>
    <xf borderId="4" fillId="28" fontId="50" numFmtId="0" xfId="0" applyAlignment="1" applyBorder="1" applyFill="1" applyFont="1">
      <alignment horizontal="center" readingOrder="0" shrinkToFit="0" vertical="center" wrapText="1"/>
    </xf>
    <xf borderId="1" fillId="28" fontId="2" numFmtId="0" xfId="0" applyAlignment="1" applyBorder="1" applyFill="1" applyFont="1">
      <alignment horizontal="center" vertical="center"/>
    </xf>
    <xf borderId="1" fillId="28" fontId="2" numFmtId="0" xfId="0" applyAlignment="1" applyBorder="1" applyFill="1" applyFont="1">
      <alignment readingOrder="0" vertical="center"/>
    </xf>
    <xf borderId="1" fillId="28" fontId="21" numFmtId="0" xfId="0" applyAlignment="1" applyBorder="1" applyFill="1" applyFont="1">
      <alignment horizontal="center" shrinkToFit="0" wrapText="0"/>
    </xf>
    <xf borderId="1" fillId="28" fontId="21" numFmtId="0" xfId="0" applyAlignment="1" applyBorder="1" applyFill="1" applyFont="1">
      <alignment horizontal="center" readingOrder="0"/>
    </xf>
    <xf borderId="1" fillId="28" fontId="2" numFmtId="0" xfId="0" applyAlignment="1" applyBorder="1" applyFill="1" applyFont="1">
      <alignment vertical="center"/>
    </xf>
    <xf borderId="4" fillId="28" fontId="2" numFmtId="0" xfId="0" applyAlignment="1" applyBorder="1" applyFill="1" applyFont="1">
      <alignment vertical="center"/>
    </xf>
    <xf borderId="0" fillId="17" fontId="2" numFmtId="0" xfId="0" applyAlignment="1" applyFill="1" applyFont="1">
      <alignment vertical="center"/>
    </xf>
    <xf borderId="8" fillId="0" fontId="60" numFmtId="0" xfId="0" applyAlignment="1" applyBorder="1" applyFont="1">
      <alignment horizontal="center" readingOrder="0" vertical="center"/>
    </xf>
    <xf borderId="4" fillId="17" fontId="50" numFmtId="0" xfId="0" applyAlignment="1" applyBorder="1" applyFill="1" applyFont="1">
      <alignment horizontal="center" readingOrder="0" vertical="center"/>
    </xf>
    <xf borderId="1" fillId="0" fontId="21" numFmtId="0" xfId="0" applyAlignment="1" applyBorder="1" applyFont="1">
      <alignment horizontal="center" readingOrder="0" shrinkToFit="0" wrapText="0"/>
    </xf>
    <xf borderId="1" fillId="0" fontId="21" numFmtId="0" xfId="0" applyAlignment="1" applyBorder="1" applyFont="1">
      <alignment horizontal="center"/>
    </xf>
    <xf borderId="9" fillId="2" fontId="53" numFmtId="0" xfId="0" applyAlignment="1" applyBorder="1" applyFill="1" applyFont="1">
      <alignment horizontal="left" readingOrder="0" vertical="bottom"/>
    </xf>
    <xf borderId="9" fillId="16" fontId="17" numFmtId="0" xfId="0" applyAlignment="1" applyBorder="1" applyFill="1" applyFont="1">
      <alignment horizontal="center" shrinkToFit="0" vertical="center" wrapText="1"/>
    </xf>
    <xf borderId="1" fillId="0" fontId="21" numFmtId="0" xfId="0" applyAlignment="1" applyBorder="1" applyFont="1">
      <alignment horizontal="center" shrinkToFit="0" wrapText="0"/>
    </xf>
    <xf borderId="1" fillId="0" fontId="21" numFmtId="0" xfId="0" applyAlignment="1" applyBorder="1" applyFont="1">
      <alignment horizontal="center" shrinkToFit="0" wrapText="0"/>
    </xf>
    <xf borderId="1" fillId="0" fontId="21" numFmtId="0" xfId="0" applyAlignment="1" applyBorder="1" applyFont="1">
      <alignment horizontal="center" readingOrder="0"/>
    </xf>
    <xf borderId="5" fillId="0" fontId="7" numFmtId="0" xfId="0" applyAlignment="1" applyBorder="1" applyFont="1">
      <alignment readingOrder="0" vertical="center"/>
    </xf>
    <xf borderId="0" fillId="0" fontId="60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center" vertical="center"/>
    </xf>
    <xf borderId="1" fillId="0" fontId="25" numFmtId="0" xfId="0" applyAlignment="1" applyBorder="1" applyFont="1">
      <alignment horizontal="left" vertical="center"/>
    </xf>
    <xf borderId="1" fillId="0" fontId="17" numFmtId="0" xfId="0" applyAlignment="1" applyBorder="1" applyFont="1">
      <alignment horizontal="center" shrinkToFit="0" vertical="center" wrapText="1"/>
    </xf>
    <xf borderId="4" fillId="11" fontId="43" numFmtId="0" xfId="0" applyAlignment="1" applyBorder="1" applyFill="1" applyFont="1">
      <alignment shrinkToFit="0" wrapText="1"/>
    </xf>
    <xf borderId="1" fillId="11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1" fillId="0" fontId="25" numFmtId="0" xfId="0" applyAlignment="1" applyBorder="1" applyFont="1">
      <alignment horizontal="center" shrinkToFit="0" vertical="center" wrapText="1"/>
    </xf>
    <xf borderId="1" fillId="0" fontId="17" numFmtId="0" xfId="0" applyAlignment="1" applyBorder="1" applyFont="1">
      <alignment horizontal="left" vertical="center"/>
    </xf>
    <xf borderId="1" fillId="0" fontId="54" numFmtId="0" xfId="0" applyAlignment="1" applyBorder="1" applyFont="1">
      <alignment horizontal="center" readingOrder="0" shrinkToFit="0" wrapText="0"/>
    </xf>
    <xf borderId="1" fillId="0" fontId="17" numFmtId="0" xfId="0" applyAlignment="1" applyBorder="1" applyFont="1">
      <alignment horizontal="left" shrinkToFit="0" vertical="center" wrapText="1"/>
    </xf>
    <xf borderId="1" fillId="0" fontId="54" numFmtId="0" xfId="0" applyAlignment="1" applyBorder="1" applyFont="1">
      <alignment horizontal="center" shrinkToFit="0" wrapText="0"/>
    </xf>
    <xf borderId="1" fillId="0" fontId="54" numFmtId="0" xfId="0" applyAlignment="1" applyBorder="1" applyFont="1">
      <alignment horizontal="center" shrinkToFit="0" wrapText="0"/>
    </xf>
    <xf borderId="1" fillId="0" fontId="25" numFmtId="0" xfId="0" applyAlignment="1" applyBorder="1" applyFont="1">
      <alignment horizontal="left" shrinkToFit="0" vertical="center" wrapText="1"/>
    </xf>
    <xf borderId="1" fillId="28" fontId="50" numFmtId="0" xfId="0" applyAlignment="1" applyBorder="1" applyFill="1" applyFont="1">
      <alignment horizontal="center" vertical="center"/>
    </xf>
    <xf borderId="1" fillId="16" fontId="17" numFmtId="0" xfId="0" applyAlignment="1" applyBorder="1" applyFill="1" applyFont="1">
      <alignment horizontal="left" vertical="center"/>
    </xf>
    <xf borderId="1" fillId="0" fontId="60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left" readingOrder="0" shrinkToFit="0" vertical="center" wrapText="1"/>
    </xf>
    <xf borderId="1" fillId="11" fontId="50" numFmtId="0" xfId="0" applyAlignment="1" applyBorder="1" applyFill="1" applyFont="1">
      <alignment horizontal="center" vertical="center"/>
    </xf>
    <xf borderId="1" fillId="0" fontId="53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 shrinkToFit="0" wrapText="0"/>
    </xf>
    <xf borderId="4" fillId="4" fontId="61" numFmtId="0" xfId="0" applyAlignment="1" applyBorder="1" applyFill="1" applyFont="1">
      <alignment horizontal="center" vertical="center"/>
    </xf>
    <xf borderId="1" fillId="4" fontId="16" numFmtId="0" xfId="0" applyAlignment="1" applyBorder="1" applyFill="1" applyFont="1">
      <alignment shrinkToFit="0" vertical="center" wrapText="1"/>
    </xf>
    <xf borderId="1" fillId="4" fontId="16" numFmtId="164" xfId="0" applyAlignment="1" applyBorder="1" applyFill="1" applyFont="1" applyNumberFormat="1">
      <alignment horizontal="center" vertical="center"/>
    </xf>
    <xf borderId="8" fillId="10" fontId="16" numFmtId="164" xfId="0" applyAlignment="1" applyBorder="1" applyFill="1" applyFont="1" applyNumberFormat="1">
      <alignment horizontal="center" vertical="center"/>
    </xf>
    <xf borderId="1" fillId="4" fontId="16" numFmtId="0" xfId="0" applyAlignment="1" applyBorder="1" applyFill="1" applyFont="1">
      <alignment horizontal="center" vertical="center"/>
    </xf>
    <xf borderId="1" fillId="0" fontId="53" numFmtId="0" xfId="0" applyAlignment="1" applyBorder="1" applyFont="1">
      <alignment horizontal="center" readingOrder="0"/>
    </xf>
    <xf borderId="1" fillId="12" fontId="7" numFmtId="0" xfId="0" applyAlignment="1" applyBorder="1" applyFill="1" applyFont="1">
      <alignment vertical="center"/>
    </xf>
    <xf borderId="1" fillId="12" fontId="7" numFmtId="0" xfId="0" applyAlignment="1" applyBorder="1" applyFill="1" applyFont="1">
      <alignment readingOrder="0" vertical="center"/>
    </xf>
    <xf borderId="0" fillId="0" fontId="62" numFmtId="0" xfId="0" applyAlignment="1" applyFont="1">
      <alignment horizontal="center"/>
    </xf>
    <xf borderId="0" fillId="0" fontId="60" numFmtId="0" xfId="0" applyAlignment="1" applyFont="1">
      <alignment horizontal="center"/>
    </xf>
    <xf borderId="1" fillId="0" fontId="62" numFmtId="0" xfId="0" applyAlignment="1" applyBorder="1" applyFont="1">
      <alignment horizontal="center" readingOrder="0" vertical="center"/>
    </xf>
    <xf borderId="1" fillId="0" fontId="62" numFmtId="0" xfId="0" applyAlignment="1" applyBorder="1" applyFont="1">
      <alignment horizontal="center" readingOrder="0"/>
    </xf>
    <xf quotePrefix="1" borderId="1" fillId="0" fontId="62" numFmtId="0" xfId="0" applyAlignment="1" applyBorder="1" applyFont="1">
      <alignment horizontal="center" readingOrder="0"/>
    </xf>
    <xf borderId="1" fillId="0" fontId="62" numFmtId="0" xfId="0" applyAlignment="1" applyBorder="1" applyFont="1">
      <alignment horizontal="center"/>
    </xf>
    <xf borderId="1" fillId="0" fontId="53" numFmtId="0" xfId="0" applyAlignment="1" applyBorder="1" applyFont="1">
      <alignment horizontal="center"/>
    </xf>
    <xf borderId="7" fillId="2" fontId="7" numFmtId="0" xfId="0" applyAlignment="1" applyBorder="1" applyFill="1" applyFont="1">
      <alignment readingOrder="0" vertical="center"/>
    </xf>
    <xf borderId="2" fillId="3" fontId="63" numFmtId="0" xfId="0" applyAlignment="1" applyBorder="1" applyFill="1" applyFont="1">
      <alignment horizontal="left" readingOrder="0" vertical="center"/>
    </xf>
    <xf borderId="3" fillId="3" fontId="63" numFmtId="0" xfId="0" applyAlignment="1" applyBorder="1" applyFill="1" applyFont="1">
      <alignment horizontal="center" readingOrder="0" vertical="center"/>
    </xf>
    <xf borderId="5" fillId="29" fontId="64" numFmtId="0" xfId="0" applyAlignment="1" applyBorder="1" applyFill="1" applyFont="1">
      <alignment horizontal="left" vertical="center"/>
    </xf>
    <xf borderId="3" fillId="29" fontId="65" numFmtId="0" xfId="0" applyAlignment="1" applyBorder="1" applyFill="1" applyFont="1">
      <alignment horizontal="left" readingOrder="0" vertical="center"/>
    </xf>
    <xf borderId="0" fillId="3" fontId="63" numFmtId="0" xfId="0" applyAlignment="1" applyFill="1" applyFont="1">
      <alignment horizontal="center" readingOrder="0" vertical="center"/>
    </xf>
    <xf borderId="1" fillId="19" fontId="44" numFmtId="0" xfId="0" applyAlignment="1" applyBorder="1" applyFill="1" applyFont="1">
      <alignment horizontal="center" vertical="center"/>
    </xf>
    <xf borderId="1" fillId="19" fontId="44" numFmtId="0" xfId="0" applyAlignment="1" applyBorder="1" applyFill="1" applyFont="1">
      <alignment horizontal="center" readingOrder="0" vertical="center"/>
    </xf>
    <xf borderId="1" fillId="19" fontId="44" numFmtId="0" xfId="0" applyAlignment="1" applyBorder="1" applyFill="1" applyFont="1">
      <alignment horizontal="center" shrinkToFit="0" vertical="center" wrapText="1"/>
    </xf>
    <xf borderId="1" fillId="19" fontId="44" numFmtId="0" xfId="0" applyAlignment="1" applyBorder="1" applyFill="1" applyFont="1">
      <alignment horizontal="center" readingOrder="0" shrinkToFit="0" vertical="center" wrapText="1"/>
    </xf>
    <xf borderId="0" fillId="5" fontId="12" numFmtId="0" xfId="0" applyAlignment="1" applyFill="1" applyFont="1">
      <alignment horizontal="center" readingOrder="0" shrinkToFit="0" vertical="center" wrapText="1"/>
    </xf>
    <xf borderId="0" fillId="19" fontId="44" numFmtId="0" xfId="0" applyAlignment="1" applyFill="1" applyFont="1">
      <alignment horizontal="center" shrinkToFit="0" vertical="center" wrapText="1"/>
    </xf>
    <xf borderId="1" fillId="26" fontId="50" numFmtId="0" xfId="0" applyAlignment="1" applyBorder="1" applyFill="1" applyFont="1">
      <alignment horizontal="center" readingOrder="0" vertical="center"/>
    </xf>
    <xf borderId="1" fillId="26" fontId="50" numFmtId="0" xfId="0" applyAlignment="1" applyBorder="1" applyFill="1" applyFont="1">
      <alignment vertical="center"/>
    </xf>
    <xf borderId="1" fillId="26" fontId="45" numFmtId="0" xfId="0" applyAlignment="1" applyBorder="1" applyFill="1" applyFont="1">
      <alignment horizontal="center" vertical="center"/>
    </xf>
    <xf borderId="1" fillId="26" fontId="2" numFmtId="0" xfId="0" applyAlignment="1" applyBorder="1" applyFill="1" applyFont="1">
      <alignment horizontal="center" vertical="center"/>
    </xf>
    <xf borderId="1" fillId="13" fontId="44" numFmtId="0" xfId="0" applyAlignment="1" applyBorder="1" applyFill="1" applyFont="1">
      <alignment horizontal="center" vertical="center"/>
    </xf>
    <xf borderId="1" fillId="26" fontId="2" numFmtId="0" xfId="0" applyAlignment="1" applyBorder="1" applyFill="1" applyFont="1">
      <alignment vertical="center"/>
    </xf>
    <xf borderId="0" fillId="0" fontId="7" numFmtId="0" xfId="0" applyAlignment="1" applyFont="1">
      <alignment readingOrder="0" shrinkToFit="0" vertical="bottom" wrapText="0"/>
    </xf>
    <xf borderId="0" fillId="26" fontId="2" numFmtId="0" xfId="0" applyAlignment="1" applyFill="1" applyFont="1">
      <alignment vertical="center"/>
    </xf>
    <xf borderId="1" fillId="26" fontId="50" numFmtId="0" xfId="0" applyAlignment="1" applyBorder="1" applyFill="1" applyFont="1">
      <alignment readingOrder="0" vertical="center"/>
    </xf>
    <xf borderId="0" fillId="0" fontId="66" numFmtId="0" xfId="0" applyAlignment="1" applyFont="1">
      <alignment readingOrder="0" shrinkToFit="0" vertical="bottom" wrapText="0"/>
    </xf>
    <xf borderId="1" fillId="0" fontId="67" numFmtId="0" xfId="0" applyAlignment="1" applyBorder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1" fillId="0" fontId="50" numFmtId="0" xfId="0" applyAlignment="1" applyBorder="1" applyFont="1">
      <alignment horizontal="center" vertical="center"/>
    </xf>
    <xf borderId="1" fillId="0" fontId="44" numFmtId="0" xfId="0" applyAlignment="1" applyBorder="1" applyFont="1">
      <alignment horizontal="center" readingOrder="0" vertical="center"/>
    </xf>
    <xf borderId="1" fillId="2" fontId="67" numFmtId="0" xfId="0" applyAlignment="1" applyBorder="1" applyFill="1" applyFont="1">
      <alignment horizontal="center" readingOrder="0" vertical="center"/>
    </xf>
    <xf borderId="1" fillId="26" fontId="45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1" fillId="26" fontId="50" numFmtId="0" xfId="0" applyAlignment="1" applyBorder="1" applyFill="1" applyFont="1">
      <alignment horizontal="center" readingOrder="0"/>
    </xf>
    <xf borderId="1" fillId="26" fontId="50" numFmtId="0" xfId="0" applyAlignment="1" applyBorder="1" applyFill="1" applyFont="1">
      <alignment readingOrder="0"/>
    </xf>
    <xf borderId="1" fillId="26" fontId="45" numFmtId="0" xfId="0" applyAlignment="1" applyBorder="1" applyFill="1" applyFont="1">
      <alignment horizontal="center"/>
    </xf>
    <xf borderId="1" fillId="26" fontId="22" numFmtId="0" xfId="0" applyBorder="1" applyFill="1" applyFont="1"/>
    <xf borderId="0" fillId="26" fontId="22" numFmtId="0" xfId="0" applyFill="1" applyFont="1"/>
    <xf borderId="1" fillId="2" fontId="44" numFmtId="0" xfId="0" applyAlignment="1" applyBorder="1" applyFill="1" applyFont="1">
      <alignment horizontal="center" readingOrder="0" vertical="center"/>
    </xf>
    <xf borderId="1" fillId="2" fontId="50" numFmtId="0" xfId="0" applyAlignment="1" applyBorder="1" applyFill="1" applyFont="1">
      <alignment horizontal="center" readingOrder="0" vertical="center"/>
    </xf>
    <xf borderId="1" fillId="2" fontId="50" numFmtId="0" xfId="0" applyAlignment="1" applyBorder="1" applyFill="1" applyFont="1">
      <alignment vertical="center"/>
    </xf>
    <xf borderId="1" fillId="2" fontId="45" numFmtId="0" xfId="0" applyAlignment="1" applyBorder="1" applyFill="1" applyFont="1">
      <alignment horizontal="center" vertical="center"/>
    </xf>
    <xf borderId="0" fillId="2" fontId="2" numFmtId="0" xfId="0" applyAlignment="1" applyFill="1" applyFont="1">
      <alignment vertical="center"/>
    </xf>
    <xf borderId="1" fillId="2" fontId="45" numFmtId="0" xfId="0" applyAlignment="1" applyBorder="1" applyFill="1" applyFont="1">
      <alignment horizontal="center" readingOrder="0" vertical="center"/>
    </xf>
    <xf borderId="1" fillId="0" fontId="68" numFmtId="0" xfId="0" applyAlignment="1" applyBorder="1" applyFont="1">
      <alignment horizontal="center" readingOrder="0" vertical="center"/>
    </xf>
    <xf borderId="1" fillId="2" fontId="21" numFmtId="0" xfId="0" applyAlignment="1" applyBorder="1" applyFill="1" applyFont="1">
      <alignment readingOrder="0" vertical="center"/>
    </xf>
    <xf borderId="0" fillId="0" fontId="21" numFmtId="0" xfId="0" applyAlignment="1" applyFont="1">
      <alignment vertical="center"/>
    </xf>
    <xf borderId="1" fillId="28" fontId="21" numFmtId="0" xfId="0" applyAlignment="1" applyBorder="1" applyFill="1" applyFont="1">
      <alignment readingOrder="0" vertical="center"/>
    </xf>
    <xf borderId="1" fillId="0" fontId="69" numFmtId="0" xfId="0" applyAlignment="1" applyBorder="1" applyFont="1">
      <alignment horizontal="center" readingOrder="0" vertical="center"/>
    </xf>
    <xf borderId="1" fillId="17" fontId="21" numFmtId="0" xfId="0" applyAlignment="1" applyBorder="1" applyFill="1" applyFont="1">
      <alignment readingOrder="0" vertical="center"/>
    </xf>
    <xf borderId="5" fillId="2" fontId="7" numFmtId="0" xfId="0" applyAlignment="1" applyBorder="1" applyFill="1" applyFont="1">
      <alignment readingOrder="0" vertical="center"/>
    </xf>
    <xf borderId="1" fillId="30" fontId="67" numFmtId="0" xfId="0" applyAlignment="1" applyBorder="1" applyFill="1" applyFont="1">
      <alignment horizontal="center" readingOrder="0" vertical="center"/>
    </xf>
    <xf borderId="1" fillId="2" fontId="50" numFmtId="0" xfId="0" applyAlignment="1" applyBorder="1" applyFill="1" applyFont="1">
      <alignment readingOrder="0" vertical="center"/>
    </xf>
    <xf borderId="14" fillId="2" fontId="4" numFmtId="0" xfId="0" applyAlignment="1" applyBorder="1" applyFill="1" applyFont="1">
      <alignment horizontal="left" readingOrder="0" vertical="center"/>
    </xf>
    <xf borderId="9" fillId="0" fontId="31" numFmtId="0" xfId="0" applyAlignment="1" applyBorder="1" applyFont="1">
      <alignment horizontal="center" readingOrder="0" shrinkToFit="0" vertical="center" wrapText="0"/>
    </xf>
    <xf borderId="15" fillId="0" fontId="3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shrinkToFit="0" vertical="center" wrapText="0"/>
    </xf>
    <xf borderId="15" fillId="0" fontId="7" numFmtId="0" xfId="0" applyAlignment="1" applyBorder="1" applyFont="1">
      <alignment horizontal="center" readingOrder="0" shrinkToFit="0" vertical="center" wrapText="0"/>
    </xf>
    <xf borderId="1" fillId="31" fontId="50" numFmtId="0" xfId="0" applyAlignment="1" applyBorder="1" applyFill="1" applyFont="1">
      <alignment horizontal="center" readingOrder="0" vertical="center"/>
    </xf>
    <xf borderId="1" fillId="31" fontId="50" numFmtId="0" xfId="0" applyAlignment="1" applyBorder="1" applyFill="1" applyFont="1">
      <alignment readingOrder="0" vertical="center"/>
    </xf>
    <xf borderId="1" fillId="31" fontId="45" numFmtId="0" xfId="0" applyAlignment="1" applyBorder="1" applyFill="1" applyFont="1">
      <alignment horizontal="center" vertical="center"/>
    </xf>
    <xf borderId="1" fillId="31" fontId="2" numFmtId="0" xfId="0" applyAlignment="1" applyBorder="1" applyFill="1" applyFont="1">
      <alignment horizontal="center" vertical="center"/>
    </xf>
    <xf borderId="1" fillId="31" fontId="2" numFmtId="0" xfId="0" applyAlignment="1" applyBorder="1" applyFill="1" applyFont="1">
      <alignment vertical="center"/>
    </xf>
    <xf borderId="0" fillId="31" fontId="2" numFmtId="0" xfId="0" applyAlignment="1" applyFill="1" applyFont="1">
      <alignment vertical="center"/>
    </xf>
    <xf borderId="0" fillId="0" fontId="24" numFmtId="0" xfId="0" applyAlignment="1" applyFont="1">
      <alignment readingOrder="0" vertical="center"/>
    </xf>
    <xf borderId="1" fillId="0" fontId="45" numFmtId="0" xfId="0" applyAlignment="1" applyBorder="1" applyFont="1">
      <alignment horizontal="center" vertical="center"/>
    </xf>
    <xf borderId="0" fillId="0" fontId="3" numFmtId="0" xfId="0" applyAlignment="1" applyFont="1">
      <alignment vertical="center"/>
    </xf>
    <xf borderId="0" fillId="0" fontId="22" numFmtId="0" xfId="0" applyAlignment="1" applyFont="1">
      <alignment horizontal="center" vertical="center"/>
    </xf>
    <xf borderId="0" fillId="0" fontId="44" numFmtId="0" xfId="0" applyAlignment="1" applyFont="1">
      <alignment horizontal="center" readingOrder="0" vertical="center"/>
    </xf>
    <xf borderId="0" fillId="0" fontId="67" numFmtId="0" xfId="0" applyAlignment="1" applyFont="1">
      <alignment horizontal="center" readingOrder="0" vertical="center"/>
    </xf>
    <xf borderId="0" fillId="13" fontId="44" numFmtId="0" xfId="0" applyAlignment="1" applyFill="1" applyFont="1">
      <alignment horizontal="center" vertical="center"/>
    </xf>
    <xf borderId="0" fillId="2" fontId="44" numFmtId="0" xfId="0" applyAlignment="1" applyFill="1" applyFont="1">
      <alignment horizontal="center" readingOrder="0" vertical="center"/>
    </xf>
    <xf borderId="2" fillId="3" fontId="40" numFmtId="0" xfId="0" applyAlignment="1" applyBorder="1" applyFill="1" applyFont="1">
      <alignment horizontal="center" readingOrder="0" vertical="center"/>
    </xf>
    <xf borderId="3" fillId="3" fontId="41" numFmtId="0" xfId="0" applyAlignment="1" applyBorder="1" applyFill="1" applyFont="1">
      <alignment horizontal="center" vertical="center"/>
    </xf>
    <xf borderId="16" fillId="3" fontId="41" numFmtId="0" xfId="0" applyAlignment="1" applyBorder="1" applyFill="1" applyFont="1">
      <alignment horizontal="left" vertical="center"/>
    </xf>
    <xf borderId="3" fillId="5" fontId="42" numFmtId="0" xfId="0" applyAlignment="1" applyBorder="1" applyFill="1" applyFont="1">
      <alignment horizontal="left" readingOrder="0" vertical="center"/>
    </xf>
    <xf borderId="3" fillId="5" fontId="42" numFmtId="0" xfId="0" applyAlignment="1" applyBorder="1" applyFill="1" applyFont="1">
      <alignment horizontal="center" readingOrder="0" vertical="center"/>
    </xf>
    <xf borderId="0" fillId="5" fontId="42" numFmtId="0" xfId="0" applyAlignment="1" applyFill="1" applyFont="1">
      <alignment horizontal="left" readingOrder="0" vertical="center"/>
    </xf>
    <xf borderId="0" fillId="15" fontId="24" numFmtId="0" xfId="0" applyAlignment="1" applyFill="1" applyFont="1">
      <alignment vertical="center"/>
    </xf>
    <xf borderId="1" fillId="20" fontId="45" numFmtId="0" xfId="0" applyAlignment="1" applyBorder="1" applyFill="1" applyFont="1">
      <alignment horizontal="center" readingOrder="0" vertical="center"/>
    </xf>
    <xf borderId="1" fillId="20" fontId="45" numFmtId="0" xfId="0" applyAlignment="1" applyBorder="1" applyFill="1" applyFont="1">
      <alignment readingOrder="0" vertical="center"/>
    </xf>
    <xf borderId="1" fillId="20" fontId="24" numFmtId="0" xfId="0" applyAlignment="1" applyBorder="1" applyFill="1" applyFont="1">
      <alignment vertical="center"/>
    </xf>
    <xf borderId="1" fillId="20" fontId="45" numFmtId="0" xfId="0" applyAlignment="1" applyBorder="1" applyFill="1" applyFont="1">
      <alignment horizontal="center" vertical="center"/>
    </xf>
    <xf borderId="1" fillId="20" fontId="24" numFmtId="0" xfId="0" applyAlignment="1" applyBorder="1" applyFill="1" applyFont="1">
      <alignment horizontal="left" vertical="center"/>
    </xf>
    <xf borderId="1" fillId="20" fontId="24" numFmtId="0" xfId="0" applyAlignment="1" applyBorder="1" applyFill="1" applyFont="1">
      <alignment horizontal="center" vertical="center"/>
    </xf>
    <xf borderId="0" fillId="20" fontId="24" numFmtId="0" xfId="0" applyAlignment="1" applyFill="1" applyFont="1">
      <alignment vertical="center"/>
    </xf>
    <xf borderId="0" fillId="21" fontId="2" numFmtId="0" xfId="0" applyAlignment="1" applyFill="1" applyFont="1">
      <alignment vertical="center"/>
    </xf>
    <xf borderId="0" fillId="9" fontId="44" numFmtId="0" xfId="0" applyAlignment="1" applyFill="1" applyFont="1">
      <alignment horizontal="center" vertical="center"/>
    </xf>
    <xf borderId="0" fillId="0" fontId="67" numFmtId="0" xfId="0" applyAlignment="1" applyFont="1">
      <alignment horizontal="center" vertical="center"/>
    </xf>
    <xf borderId="1" fillId="0" fontId="60" numFmtId="0" xfId="0" applyAlignment="1" applyBorder="1" applyFont="1">
      <alignment horizontal="left"/>
    </xf>
    <xf borderId="4" fillId="11" fontId="43" numFmtId="0" xfId="0" applyAlignment="1" applyBorder="1" applyFill="1" applyFont="1">
      <alignment readingOrder="0" shrinkToFit="0" wrapText="1"/>
    </xf>
    <xf borderId="1" fillId="2" fontId="15" numFmtId="0" xfId="0" applyAlignment="1" applyBorder="1" applyFill="1" applyFont="1">
      <alignment horizontal="left" readingOrder="0" vertical="center"/>
    </xf>
    <xf borderId="9" fillId="0" fontId="4" numFmtId="0" xfId="0" applyAlignment="1" applyBorder="1" applyFont="1">
      <alignment horizontal="center" readingOrder="0" vertical="center"/>
    </xf>
    <xf borderId="1" fillId="13" fontId="15" numFmtId="0" xfId="0" applyAlignment="1" applyBorder="1" applyFill="1" applyFont="1">
      <alignment horizontal="center" readingOrder="0" vertical="center"/>
    </xf>
    <xf borderId="1" fillId="9" fontId="15" numFmtId="0" xfId="0" applyAlignment="1" applyBorder="1" applyFill="1" applyFont="1">
      <alignment horizontal="center" readingOrder="0" vertical="center"/>
    </xf>
    <xf borderId="1" fillId="9" fontId="15" numFmtId="0" xfId="0" applyAlignment="1" applyBorder="1" applyFill="1" applyFont="1">
      <alignment horizontal="left" readingOrder="0" vertical="center"/>
    </xf>
    <xf borderId="17" fillId="5" fontId="12" numFmtId="0" xfId="0" applyAlignment="1" applyBorder="1" applyFill="1" applyFont="1">
      <alignment horizontal="center" shrinkToFit="0" vertical="center" wrapText="1"/>
    </xf>
    <xf borderId="18" fillId="5" fontId="12" numFmtId="0" xfId="0" applyAlignment="1" applyBorder="1" applyFill="1" applyFont="1">
      <alignment horizontal="center" shrinkToFit="0" vertical="center" wrapText="1"/>
    </xf>
    <xf borderId="1" fillId="5" fontId="12" numFmtId="0" xfId="0" applyAlignment="1" applyBorder="1" applyFill="1" applyFont="1">
      <alignment horizontal="center" shrinkToFit="0" vertical="center" wrapText="1"/>
    </xf>
    <xf borderId="19" fillId="5" fontId="22" numFmtId="0" xfId="0" applyAlignment="1" applyBorder="1" applyFill="1" applyFont="1">
      <alignment shrinkToFit="0" vertical="center" wrapText="1"/>
    </xf>
    <xf borderId="20" fillId="5" fontId="22" numFmtId="0" xfId="0" applyAlignment="1" applyBorder="1" applyFill="1" applyFont="1">
      <alignment shrinkToFit="0" vertical="center" wrapText="1"/>
    </xf>
    <xf borderId="20" fillId="5" fontId="12" numFmtId="0" xfId="0" applyAlignment="1" applyBorder="1" applyFill="1" applyFont="1">
      <alignment horizontal="center" shrinkToFit="0" vertical="center" wrapText="1"/>
    </xf>
    <xf borderId="21" fillId="11" fontId="12" numFmtId="0" xfId="0" applyAlignment="1" applyBorder="1" applyFill="1" applyFont="1">
      <alignment vertical="center"/>
    </xf>
    <xf borderId="20" fillId="11" fontId="22" numFmtId="0" xfId="0" applyAlignment="1" applyBorder="1" applyFill="1" applyFont="1">
      <alignment shrinkToFit="0" vertical="center" wrapText="1"/>
    </xf>
    <xf borderId="20" fillId="11" fontId="12" numFmtId="0" xfId="0" applyAlignment="1" applyBorder="1" applyFill="1" applyFont="1">
      <alignment horizontal="center" shrinkToFit="0" vertical="center" wrapText="1"/>
    </xf>
    <xf borderId="1" fillId="0" fontId="5" numFmtId="0" xfId="0" applyBorder="1" applyFont="1"/>
    <xf borderId="19" fillId="13" fontId="12" numFmtId="0" xfId="0" applyAlignment="1" applyBorder="1" applyFill="1" applyFont="1">
      <alignment horizontal="center" shrinkToFit="0" vertical="center" wrapText="1"/>
    </xf>
    <xf borderId="20" fillId="13" fontId="12" numFmtId="0" xfId="0" applyAlignment="1" applyBorder="1" applyFill="1" applyFont="1">
      <alignment shrinkToFit="0" vertical="center" wrapText="1"/>
    </xf>
    <xf borderId="0" fillId="2" fontId="2" numFmtId="0" xfId="0" applyAlignment="1" applyFill="1" applyFont="1">
      <alignment horizontal="center" readingOrder="0" vertical="center"/>
    </xf>
    <xf borderId="20" fillId="13" fontId="12" numFmtId="0" xfId="0" applyAlignment="1" applyBorder="1" applyFill="1" applyFont="1">
      <alignment horizontal="center" shrinkToFit="0" vertical="center" wrapText="1"/>
    </xf>
    <xf borderId="20" fillId="13" fontId="22" numFmtId="0" xfId="0" applyAlignment="1" applyBorder="1" applyFill="1" applyFont="1">
      <alignment shrinkToFit="0" vertical="center" wrapText="1"/>
    </xf>
    <xf borderId="19" fillId="18" fontId="4" numFmtId="0" xfId="0" applyAlignment="1" applyBorder="1" applyFill="1" applyFont="1">
      <alignment horizontal="center" shrinkToFit="0" vertical="center" wrapText="1"/>
    </xf>
    <xf borderId="20" fillId="18" fontId="4" numFmtId="0" xfId="0" applyAlignment="1" applyBorder="1" applyFill="1" applyFont="1">
      <alignment shrinkToFit="0" vertical="center" wrapText="1"/>
    </xf>
    <xf borderId="4" fillId="0" fontId="12" numFmtId="174" xfId="0" applyAlignment="1" applyBorder="1" applyFont="1" applyNumberFormat="1">
      <alignment horizontal="left" shrinkToFit="0" vertical="center" wrapText="1"/>
    </xf>
    <xf borderId="20" fillId="18" fontId="22" numFmtId="0" xfId="0" applyAlignment="1" applyBorder="1" applyFill="1" applyFont="1">
      <alignment shrinkToFit="0" vertical="center" wrapText="1"/>
    </xf>
    <xf borderId="20" fillId="18" fontId="4" numFmtId="0" xfId="0" applyAlignment="1" applyBorder="1" applyFill="1" applyFont="1">
      <alignment horizontal="center" shrinkToFit="0" vertical="center" wrapText="1"/>
    </xf>
    <xf borderId="20" fillId="18" fontId="4" numFmtId="14" xfId="0" applyAlignment="1" applyBorder="1" applyFill="1" applyFont="1" applyNumberFormat="1">
      <alignment horizontal="center" shrinkToFit="0" vertical="center" wrapText="1"/>
    </xf>
    <xf borderId="20" fillId="18" fontId="4" numFmtId="9" xfId="0" applyAlignment="1" applyBorder="1" applyFill="1" applyFont="1" applyNumberFormat="1">
      <alignment horizontal="center" shrinkToFit="0" vertical="center" wrapText="1"/>
    </xf>
    <xf borderId="22" fillId="0" fontId="4" numFmtId="0" xfId="0" applyAlignment="1" applyBorder="1" applyFont="1">
      <alignment horizontal="center" shrinkToFit="0" vertical="center" wrapText="1"/>
    </xf>
    <xf borderId="23" fillId="0" fontId="4" numFmtId="0" xfId="0" applyAlignment="1" applyBorder="1" applyFont="1">
      <alignment shrinkToFit="0" vertical="center" wrapText="1"/>
    </xf>
    <xf borderId="23" fillId="0" fontId="22" numFmtId="0" xfId="0" applyAlignment="1" applyBorder="1" applyFont="1">
      <alignment shrinkToFit="0" wrapText="1"/>
    </xf>
    <xf borderId="23" fillId="0" fontId="4" numFmtId="0" xfId="0" applyAlignment="1" applyBorder="1" applyFont="1">
      <alignment horizontal="center" shrinkToFit="0" vertical="center" wrapText="1"/>
    </xf>
    <xf borderId="23" fillId="0" fontId="22" numFmtId="0" xfId="0" applyAlignment="1" applyBorder="1" applyFont="1">
      <alignment shrinkToFit="0" vertical="center" wrapText="1"/>
    </xf>
    <xf borderId="23" fillId="0" fontId="4" numFmtId="14" xfId="0" applyAlignment="1" applyBorder="1" applyFont="1" applyNumberFormat="1">
      <alignment horizontal="center" shrinkToFit="0" vertical="center" wrapText="1"/>
    </xf>
    <xf borderId="23" fillId="0" fontId="4" numFmtId="9" xfId="0" applyAlignment="1" applyBorder="1" applyFont="1" applyNumberFormat="1">
      <alignment horizontal="center" shrinkToFit="0" vertical="center" wrapText="1"/>
    </xf>
    <xf borderId="20" fillId="2" fontId="4" numFmtId="0" xfId="0" applyAlignment="1" applyBorder="1" applyFill="1" applyFont="1">
      <alignment shrinkToFit="0" vertical="center" wrapText="1"/>
    </xf>
    <xf borderId="23" fillId="0" fontId="12" numFmtId="0" xfId="0" applyAlignment="1" applyBorder="1" applyFont="1">
      <alignment shrinkToFit="0" vertical="center" wrapText="1"/>
    </xf>
    <xf borderId="20" fillId="2" fontId="4" numFmtId="0" xfId="0" applyAlignment="1" applyBorder="1" applyFill="1" applyFont="1">
      <alignment horizontal="center" shrinkToFit="0" vertical="center" wrapText="1"/>
    </xf>
    <xf borderId="20" fillId="2" fontId="22" numFmtId="0" xfId="0" applyAlignment="1" applyBorder="1" applyFill="1" applyFont="1">
      <alignment shrinkToFit="0" vertical="center" wrapText="1"/>
    </xf>
    <xf borderId="20" fillId="2" fontId="4" numFmtId="14" xfId="0" applyAlignment="1" applyBorder="1" applyFill="1" applyFont="1" applyNumberFormat="1">
      <alignment horizontal="center" shrinkToFit="0" vertical="center" wrapText="1"/>
    </xf>
    <xf borderId="1" fillId="16" fontId="7" numFmtId="0" xfId="0" applyAlignment="1" applyBorder="1" applyFill="1" applyFont="1">
      <alignment readingOrder="0" vertical="center"/>
    </xf>
    <xf borderId="1" fillId="16" fontId="4" numFmtId="0" xfId="0" applyAlignment="1" applyBorder="1" applyFill="1" applyFont="1">
      <alignment readingOrder="0" vertical="center"/>
    </xf>
    <xf borderId="1" fillId="0" fontId="7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16" fontId="4" numFmtId="0" xfId="0" applyAlignment="1" applyBorder="1" applyFill="1" applyFont="1">
      <alignment vertical="center"/>
    </xf>
    <xf borderId="1" fillId="0" fontId="4" numFmtId="165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left" readingOrder="0" shrinkToFit="0" vertical="center" wrapText="1"/>
    </xf>
    <xf borderId="20" fillId="2" fontId="12" numFmtId="0" xfId="0" applyAlignment="1" applyBorder="1" applyFill="1" applyFont="1">
      <alignment shrinkToFit="0" vertical="center" wrapText="1"/>
    </xf>
    <xf borderId="1" fillId="16" fontId="7" numFmtId="0" xfId="0" applyAlignment="1" applyBorder="1" applyFill="1" applyFont="1">
      <alignment vertical="center"/>
    </xf>
    <xf borderId="20" fillId="18" fontId="12" numFmtId="0" xfId="0" applyAlignment="1" applyBorder="1" applyFill="1" applyFont="1">
      <alignment shrinkToFit="0" vertical="center" wrapText="1"/>
    </xf>
    <xf borderId="1" fillId="16" fontId="7" numFmtId="0" xfId="0" applyAlignment="1" applyBorder="1" applyFill="1" applyFont="1">
      <alignment horizontal="center" readingOrder="0" vertical="center"/>
    </xf>
    <xf borderId="1" fillId="16" fontId="4" numFmtId="0" xfId="0" applyAlignment="1" applyBorder="1" applyFill="1" applyFont="1">
      <alignment vertical="center"/>
    </xf>
    <xf borderId="1" fillId="16" fontId="7" numFmtId="0" xfId="0" applyAlignment="1" applyBorder="1" applyFill="1" applyFont="1">
      <alignment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vertical="center"/>
    </xf>
    <xf borderId="1" fillId="16" fontId="7" numFmtId="0" xfId="0" applyAlignment="1" applyBorder="1" applyFill="1" applyFont="1">
      <alignment vertical="center"/>
    </xf>
    <xf borderId="1" fillId="0" fontId="4" numFmtId="0" xfId="0" applyAlignment="1" applyBorder="1" applyFont="1">
      <alignment horizontal="left" vertical="center"/>
    </xf>
    <xf borderId="0" fillId="12" fontId="12" numFmtId="0" xfId="0" applyAlignment="1" applyFill="1" applyFont="1">
      <alignment horizontal="center" vertical="center"/>
    </xf>
    <xf borderId="20" fillId="18" fontId="22" numFmtId="0" xfId="0" applyAlignment="1" applyBorder="1" applyFill="1" applyFont="1">
      <alignment shrinkToFit="0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20" fillId="2" fontId="28" numFmtId="0" xfId="0" applyAlignment="1" applyBorder="1" applyFill="1" applyFont="1">
      <alignment horizontal="center" shrinkToFit="0" vertical="center" wrapText="1"/>
    </xf>
    <xf borderId="20" fillId="2" fontId="4" numFmtId="9" xfId="0" applyAlignment="1" applyBorder="1" applyFill="1" applyFont="1" applyNumberFormat="1">
      <alignment horizontal="center" shrinkToFit="0" vertical="center" wrapText="1"/>
    </xf>
    <xf borderId="24" fillId="0" fontId="22" numFmtId="0" xfId="0" applyAlignment="1" applyBorder="1" applyFont="1">
      <alignment shrinkToFit="0" vertical="center" wrapText="1"/>
    </xf>
    <xf borderId="20" fillId="2" fontId="4" numFmtId="0" xfId="0" applyAlignment="1" applyBorder="1" applyFill="1" applyFont="1">
      <alignment shrinkToFit="0" wrapText="1"/>
    </xf>
    <xf borderId="20" fillId="2" fontId="22" numFmtId="0" xfId="0" applyAlignment="1" applyBorder="1" applyFill="1" applyFont="1">
      <alignment shrinkToFit="0" wrapText="1"/>
    </xf>
    <xf borderId="23" fillId="0" fontId="4" numFmtId="0" xfId="0" applyAlignment="1" applyBorder="1" applyFont="1">
      <alignment horizontal="center" shrinkToFit="0" wrapText="1"/>
    </xf>
    <xf borderId="25" fillId="2" fontId="12" numFmtId="0" xfId="0" applyAlignment="1" applyBorder="1" applyFill="1" applyFont="1">
      <alignment shrinkToFit="0" wrapText="1"/>
    </xf>
    <xf borderId="20" fillId="2" fontId="4" numFmtId="0" xfId="0" applyAlignment="1" applyBorder="1" applyFill="1" applyFont="1">
      <alignment horizontal="center" shrinkToFit="0" wrapText="1"/>
    </xf>
    <xf borderId="20" fillId="2" fontId="22" numFmtId="0" xfId="0" applyAlignment="1" applyBorder="1" applyFill="1" applyFont="1">
      <alignment horizontal="center" shrinkToFit="0" wrapText="1"/>
    </xf>
    <xf borderId="20" fillId="2" fontId="4" numFmtId="14" xfId="0" applyAlignment="1" applyBorder="1" applyFill="1" applyFont="1" applyNumberFormat="1">
      <alignment horizontal="center" shrinkToFit="0" wrapText="1"/>
    </xf>
    <xf borderId="20" fillId="2" fontId="4" numFmtId="9" xfId="0" applyAlignment="1" applyBorder="1" applyFill="1" applyFont="1" applyNumberFormat="1">
      <alignment horizontal="center" shrinkToFit="0" wrapText="1"/>
    </xf>
    <xf borderId="20" fillId="2" fontId="12" numFmtId="0" xfId="0" applyAlignment="1" applyBorder="1" applyFill="1" applyFont="1">
      <alignment shrinkToFit="0" wrapText="1"/>
    </xf>
    <xf borderId="26" fillId="0" fontId="12" numFmtId="0" xfId="0" applyAlignment="1" applyBorder="1" applyFont="1">
      <alignment shrinkToFit="0" vertical="center" wrapText="1"/>
    </xf>
    <xf borderId="25" fillId="18" fontId="12" numFmtId="0" xfId="0" applyAlignment="1" applyBorder="1" applyFill="1" applyFont="1">
      <alignment shrinkToFit="0" vertical="center" wrapText="1"/>
    </xf>
    <xf borderId="26" fillId="0" fontId="22" numFmtId="0" xfId="0" applyAlignment="1" applyBorder="1" applyFont="1">
      <alignment shrinkToFit="0" vertical="center" wrapText="1"/>
    </xf>
    <xf borderId="23" fillId="0" fontId="4" numFmtId="0" xfId="0" applyAlignment="1" applyBorder="1" applyFont="1">
      <alignment shrinkToFit="0" wrapText="1"/>
    </xf>
    <xf borderId="20" fillId="17" fontId="4" numFmtId="0" xfId="0" applyAlignment="1" applyBorder="1" applyFill="1" applyFont="1">
      <alignment shrinkToFit="0" vertical="center" wrapText="1"/>
    </xf>
    <xf borderId="20" fillId="17" fontId="22" numFmtId="0" xfId="0" applyAlignment="1" applyBorder="1" applyFill="1" applyFont="1">
      <alignment shrinkToFit="0" vertical="center" wrapText="1"/>
    </xf>
    <xf borderId="20" fillId="17" fontId="4" numFmtId="0" xfId="0" applyAlignment="1" applyBorder="1" applyFill="1" applyFont="1">
      <alignment horizontal="center" shrinkToFit="0" vertical="center" wrapText="1"/>
    </xf>
    <xf borderId="21" fillId="5" fontId="12" numFmtId="0" xfId="0" applyAlignment="1" applyBorder="1" applyFill="1" applyFont="1">
      <alignment vertical="center"/>
    </xf>
    <xf borderId="26" fillId="0" fontId="4" numFmtId="0" xfId="0" applyAlignment="1" applyBorder="1" applyFont="1">
      <alignment horizontal="center" vertical="center"/>
    </xf>
    <xf borderId="22" fillId="0" fontId="22" numFmtId="0" xfId="0" applyAlignment="1" applyBorder="1" applyFont="1">
      <alignment shrinkToFit="0" vertical="center" wrapText="1"/>
    </xf>
    <xf borderId="23" fillId="0" fontId="70" numFmtId="0" xfId="0" applyAlignment="1" applyBorder="1" applyFont="1">
      <alignment horizontal="center" shrinkToFit="0" vertical="center" wrapText="1"/>
    </xf>
    <xf borderId="20" fillId="18" fontId="4" numFmtId="11" xfId="0" applyAlignment="1" applyBorder="1" applyFill="1" applyFont="1" applyNumberFormat="1">
      <alignment shrinkToFit="0" vertical="center" wrapText="1"/>
    </xf>
    <xf borderId="0" fillId="0" fontId="4" numFmtId="0" xfId="0" applyAlignment="1" applyFont="1">
      <alignment horizontal="left" vertical="center"/>
    </xf>
    <xf borderId="20" fillId="2" fontId="1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vertical="center"/>
    </xf>
    <xf borderId="0" fillId="0" fontId="7" numFmtId="0" xfId="0" applyFont="1"/>
    <xf borderId="20" fillId="2" fontId="12" numFmtId="9" xfId="0" applyAlignment="1" applyBorder="1" applyFill="1" applyFont="1" applyNumberFormat="1">
      <alignment horizontal="center" shrinkToFit="0" vertical="center" wrapText="1"/>
    </xf>
    <xf borderId="1" fillId="9" fontId="50" numFmtId="0" xfId="0" applyAlignment="1" applyBorder="1" applyFill="1" applyFont="1">
      <alignment horizontal="left" shrinkToFit="0" vertical="center" wrapText="1"/>
    </xf>
    <xf borderId="20" fillId="18" fontId="12" numFmtId="9" xfId="0" applyAlignment="1" applyBorder="1" applyFill="1" applyFont="1" applyNumberFormat="1">
      <alignment horizontal="center" shrinkToFit="0" vertical="center" wrapText="1"/>
    </xf>
    <xf borderId="20" fillId="18" fontId="70" numFmtId="0" xfId="0" applyAlignment="1" applyBorder="1" applyFill="1" applyFont="1">
      <alignment horizontal="center" shrinkToFit="0" vertical="center" wrapText="1"/>
    </xf>
    <xf borderId="17" fillId="0" fontId="2" numFmtId="0" xfId="0" applyAlignment="1" applyBorder="1" applyFont="1">
      <alignment shrinkToFit="0" vertical="center" wrapText="1"/>
    </xf>
    <xf borderId="0" fillId="0" fontId="12" numFmtId="0" xfId="0" applyAlignment="1" applyFont="1">
      <alignment horizontal="left" vertical="center"/>
    </xf>
    <xf borderId="17" fillId="0" fontId="2" numFmtId="0" xfId="0" applyAlignment="1" applyBorder="1" applyFont="1">
      <alignment horizontal="center" shrinkToFit="0" vertical="center" wrapText="1"/>
    </xf>
    <xf borderId="22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horizontal="center" shrinkToFit="0" vertical="center" wrapText="1"/>
    </xf>
    <xf borderId="19" fillId="26" fontId="50" numFmtId="0" xfId="0" applyAlignment="1" applyBorder="1" applyFill="1" applyFont="1">
      <alignment shrinkToFit="0" vertical="center" wrapText="1"/>
    </xf>
    <xf borderId="19" fillId="26" fontId="22" numFmtId="0" xfId="0" applyAlignment="1" applyBorder="1" applyFill="1" applyFont="1">
      <alignment shrinkToFit="0" vertical="center" wrapText="1"/>
    </xf>
    <xf borderId="19" fillId="26" fontId="50" numFmtId="0" xfId="0" applyAlignment="1" applyBorder="1" applyFill="1" applyFont="1">
      <alignment shrinkToFit="0" wrapText="1"/>
    </xf>
    <xf borderId="19" fillId="26" fontId="22" numFmtId="0" xfId="0" applyAlignment="1" applyBorder="1" applyFill="1" applyFont="1">
      <alignment shrinkToFit="0" wrapText="1"/>
    </xf>
    <xf borderId="17" fillId="17" fontId="44" numFmtId="0" xfId="0" applyAlignment="1" applyBorder="1" applyFill="1" applyFont="1">
      <alignment shrinkToFit="0" vertical="center" wrapText="1"/>
    </xf>
    <xf borderId="17" fillId="17" fontId="22" numFmtId="0" xfId="0" applyAlignment="1" applyBorder="1" applyFill="1" applyFont="1">
      <alignment shrinkToFit="0" vertical="center" wrapText="1"/>
    </xf>
    <xf borderId="27" fillId="0" fontId="67" numFmtId="0" xfId="0" applyAlignment="1" applyBorder="1" applyFont="1">
      <alignment shrinkToFit="0" vertical="center" wrapText="1"/>
    </xf>
    <xf borderId="27" fillId="2" fontId="67" numFmtId="0" xfId="0" applyAlignment="1" applyBorder="1" applyFill="1" applyFont="1">
      <alignment shrinkToFit="0" vertical="center" wrapText="1"/>
    </xf>
    <xf borderId="17" fillId="0" fontId="67" numFmtId="0" xfId="0" applyAlignment="1" applyBorder="1" applyFont="1">
      <alignment horizontal="center" shrinkToFit="0" vertical="center" wrapText="1"/>
    </xf>
    <xf borderId="27" fillId="0" fontId="67" numFmtId="0" xfId="0" applyAlignment="1" applyBorder="1" applyFont="1">
      <alignment horizontal="center" shrinkToFit="0" vertical="center" wrapText="1"/>
    </xf>
    <xf borderId="27" fillId="17" fontId="67" numFmtId="0" xfId="0" applyAlignment="1" applyBorder="1" applyFill="1" applyFont="1">
      <alignment shrinkToFit="0" vertical="center" wrapText="1"/>
    </xf>
    <xf borderId="27" fillId="17" fontId="67" numFmtId="0" xfId="0" applyAlignment="1" applyBorder="1" applyFill="1" applyFont="1">
      <alignment horizontal="center" shrinkToFit="0" vertical="center" wrapText="1"/>
    </xf>
    <xf borderId="27" fillId="17" fontId="44" numFmtId="0" xfId="0" applyAlignment="1" applyBorder="1" applyFill="1" applyFont="1">
      <alignment shrinkToFit="0" vertical="center" wrapText="1"/>
    </xf>
    <xf borderId="27" fillId="17" fontId="22" numFmtId="0" xfId="0" applyAlignment="1" applyBorder="1" applyFill="1" applyFont="1">
      <alignment shrinkToFit="0" vertical="center" wrapText="1"/>
    </xf>
    <xf borderId="27" fillId="19" fontId="44" numFmtId="0" xfId="0" applyAlignment="1" applyBorder="1" applyFill="1" applyFont="1">
      <alignment shrinkToFit="0" vertical="center" wrapText="1"/>
    </xf>
    <xf borderId="27" fillId="19" fontId="22" numFmtId="0" xfId="0" applyAlignment="1" applyBorder="1" applyFill="1" applyFont="1">
      <alignment shrinkToFit="0" vertical="center" wrapText="1"/>
    </xf>
    <xf borderId="1" fillId="0" fontId="2" numFmtId="0" xfId="0" applyAlignment="1" applyBorder="1" applyFont="1">
      <alignment horizontal="left" vertical="center"/>
    </xf>
    <xf borderId="1" fillId="0" fontId="5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0" fontId="2" numFmtId="174" xfId="0" applyAlignment="1" applyBorder="1" applyFont="1" applyNumberFormat="1">
      <alignment horizontal="center" vertical="center"/>
    </xf>
    <xf borderId="27" fillId="0" fontId="22" numFmtId="0" xfId="0" applyAlignment="1" applyBorder="1" applyFont="1">
      <alignment shrinkToFit="0" vertical="center" wrapText="1"/>
    </xf>
    <xf borderId="27" fillId="2" fontId="22" numFmtId="0" xfId="0" applyAlignment="1" applyBorder="1" applyFill="1" applyFont="1">
      <alignment shrinkToFit="0" vertical="center" wrapText="1"/>
    </xf>
    <xf borderId="17" fillId="5" fontId="43" numFmtId="0" xfId="0" applyAlignment="1" applyBorder="1" applyFill="1" applyFont="1">
      <alignment horizontal="center" shrinkToFit="0" vertical="center" wrapText="1"/>
    </xf>
    <xf borderId="17" fillId="5" fontId="22" numFmtId="0" xfId="0" applyAlignment="1" applyBorder="1" applyFill="1" applyFont="1">
      <alignment shrinkToFit="0" vertical="center" wrapText="1"/>
    </xf>
    <xf borderId="27" fillId="13" fontId="43" numFmtId="0" xfId="0" applyAlignment="1" applyBorder="1" applyFill="1" applyFont="1">
      <alignment horizontal="center" shrinkToFit="0" vertical="center" wrapText="1"/>
    </xf>
    <xf borderId="27" fillId="13" fontId="22" numFmtId="0" xfId="0" applyAlignment="1" applyBorder="1" applyFill="1" applyFont="1">
      <alignment shrinkToFit="0" vertical="center" wrapText="1"/>
    </xf>
    <xf borderId="27" fillId="2" fontId="43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shrinkToFit="0" vertical="center" wrapText="1"/>
    </xf>
    <xf borderId="27" fillId="0" fontId="2" numFmtId="0" xfId="0" applyAlignment="1" applyBorder="1" applyFont="1">
      <alignment horizontal="center" shrinkToFit="0" vertical="center" wrapText="1"/>
    </xf>
    <xf borderId="27" fillId="2" fontId="18" numFmtId="0" xfId="0" applyAlignment="1" applyBorder="1" applyFill="1" applyFont="1">
      <alignment horizontal="center" shrinkToFit="0" vertical="center" wrapText="1"/>
    </xf>
    <xf borderId="27" fillId="5" fontId="43" numFmtId="0" xfId="0" applyAlignment="1" applyBorder="1" applyFill="1" applyFont="1">
      <alignment horizontal="center" shrinkToFit="0" vertical="center" wrapText="1"/>
    </xf>
    <xf borderId="27" fillId="5" fontId="22" numFmtId="0" xfId="0" applyAlignment="1" applyBorder="1" applyFill="1" applyFont="1">
      <alignment shrinkToFit="0" vertical="center" wrapText="1"/>
    </xf>
    <xf borderId="27" fillId="19" fontId="43" numFmtId="0" xfId="0" applyAlignment="1" applyBorder="1" applyFill="1" applyFont="1">
      <alignment horizontal="center" shrinkToFit="0" vertical="center" wrapText="1"/>
    </xf>
    <xf borderId="28" fillId="9" fontId="5" numFmtId="0" xfId="0" applyBorder="1" applyFill="1" applyFont="1"/>
    <xf borderId="17" fillId="15" fontId="22" numFmtId="0" xfId="0" applyAlignment="1" applyBorder="1" applyFill="1" applyFont="1">
      <alignment shrinkToFit="0" vertical="center" wrapText="1"/>
    </xf>
    <xf borderId="17" fillId="21" fontId="50" numFmtId="0" xfId="0" applyAlignment="1" applyBorder="1" applyFill="1" applyFont="1">
      <alignment shrinkToFit="0" vertical="center" wrapText="1"/>
    </xf>
    <xf borderId="17" fillId="20" fontId="22" numFmtId="0" xfId="0" applyAlignment="1" applyBorder="1" applyFill="1" applyFont="1">
      <alignment shrinkToFit="0" vertical="center" wrapText="1"/>
    </xf>
    <xf borderId="27" fillId="20" fontId="22" numFmtId="0" xfId="0" applyAlignment="1" applyBorder="1" applyFill="1" applyFont="1">
      <alignment shrinkToFit="0" vertical="center" wrapText="1"/>
    </xf>
    <xf borderId="17" fillId="21" fontId="22" numFmtId="0" xfId="0" applyAlignment="1" applyBorder="1" applyFill="1" applyFont="1">
      <alignment shrinkToFit="0" vertical="center" wrapText="1"/>
    </xf>
    <xf borderId="17" fillId="0" fontId="22" numFmtId="0" xfId="0" applyAlignment="1" applyBorder="1" applyFont="1">
      <alignment shrinkToFit="0" vertical="center" wrapText="1"/>
    </xf>
    <xf borderId="27" fillId="2" fontId="2" numFmtId="0" xfId="0" applyAlignment="1" applyBorder="1" applyFill="1" applyFont="1">
      <alignment shrinkToFit="0" vertical="center" wrapText="1"/>
    </xf>
    <xf borderId="27" fillId="21" fontId="50" numFmtId="0" xfId="0" applyAlignment="1" applyBorder="1" applyFill="1" applyFont="1">
      <alignment shrinkToFit="0" vertical="center" wrapText="1"/>
    </xf>
    <xf borderId="27" fillId="21" fontId="22" numFmtId="0" xfId="0" applyAlignment="1" applyBorder="1" applyFill="1" applyFont="1">
      <alignment shrinkToFit="0" vertical="center" wrapText="1"/>
    </xf>
    <xf borderId="27" fillId="2" fontId="2" numFmtId="0" xfId="0" applyAlignment="1" applyBorder="1" applyFill="1" applyFont="1">
      <alignment horizontal="center" shrinkToFit="0" vertical="center" wrapText="1"/>
    </xf>
    <xf borderId="27" fillId="20" fontId="50" numFmtId="0" xfId="0" applyAlignment="1" applyBorder="1" applyFill="1" applyFont="1">
      <alignment shrinkToFit="0" vertical="center" wrapText="1"/>
    </xf>
    <xf borderId="27" fillId="0" fontId="2" numFmtId="0" xfId="0" applyAlignment="1" applyBorder="1" applyFont="1">
      <alignment shrinkToFit="0" wrapText="1"/>
    </xf>
    <xf borderId="27" fillId="0" fontId="22" numFmtId="0" xfId="0" applyAlignment="1" applyBorder="1" applyFont="1">
      <alignment shrinkToFit="0" wrapText="1"/>
    </xf>
    <xf borderId="27" fillId="21" fontId="2" numFmtId="0" xfId="0" applyAlignment="1" applyBorder="1" applyFill="1" applyFont="1">
      <alignment horizontal="right" shrinkToFit="0" vertical="center" wrapText="1"/>
    </xf>
    <xf borderId="27" fillId="2" fontId="2" numFmtId="0" xfId="0" applyAlignment="1" applyBorder="1" applyFill="1" applyFont="1">
      <alignment horizontal="center" shrinkToFit="0" wrapText="1"/>
    </xf>
    <xf borderId="27" fillId="2" fontId="22" numFmtId="0" xfId="0" applyAlignment="1" applyBorder="1" applyFill="1" applyFont="1">
      <alignment shrinkToFit="0" wrapText="1"/>
    </xf>
    <xf borderId="29" fillId="0" fontId="22" numFmtId="0" xfId="0" applyAlignment="1" applyBorder="1" applyFont="1">
      <alignment shrinkToFit="0" wrapText="1"/>
    </xf>
    <xf borderId="27" fillId="25" fontId="50" numFmtId="0" xfId="0" applyAlignment="1" applyBorder="1" applyFill="1" applyFont="1">
      <alignment shrinkToFit="0" vertical="center" wrapText="1"/>
    </xf>
    <xf borderId="27" fillId="25" fontId="22" numFmtId="0" xfId="0" applyAlignment="1" applyBorder="1" applyFill="1" applyFont="1">
      <alignment shrinkToFit="0" vertical="center" wrapText="1"/>
    </xf>
    <xf borderId="25" fillId="5" fontId="12" numFmtId="0" xfId="0" applyAlignment="1" applyBorder="1" applyFill="1" applyFont="1">
      <alignment horizontal="center" shrinkToFit="0" vertical="center" wrapText="1"/>
    </xf>
    <xf borderId="30" fillId="5" fontId="12" numFmtId="0" xfId="0" applyAlignment="1" applyBorder="1" applyFill="1" applyFont="1">
      <alignment horizontal="center" shrinkToFit="0" vertical="center" wrapText="1"/>
    </xf>
    <xf borderId="31" fillId="5" fontId="12" numFmtId="0" xfId="0" applyAlignment="1" applyBorder="1" applyFill="1" applyFont="1">
      <alignment horizontal="center" vertical="center"/>
    </xf>
    <xf borderId="32" fillId="5" fontId="1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shrinkToFit="0" wrapText="1"/>
    </xf>
    <xf borderId="28" fillId="5" fontId="1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71" numFmtId="0" xfId="0" applyAlignment="1" applyFont="1">
      <alignment horizontal="center"/>
    </xf>
    <xf borderId="27" fillId="20" fontId="22" numFmtId="0" xfId="0" applyAlignment="1" applyBorder="1" applyFill="1" applyFont="1">
      <alignment shrinkToFit="0" wrapText="1"/>
    </xf>
    <xf borderId="1" fillId="0" fontId="72" numFmtId="0" xfId="0" applyAlignment="1" applyBorder="1" applyFont="1">
      <alignment horizontal="center" shrinkToFit="0" vertical="center" wrapText="1"/>
    </xf>
    <xf borderId="33" fillId="0" fontId="2" numFmtId="0" xfId="0" applyAlignment="1" applyBorder="1" applyFont="1">
      <alignment vertical="center"/>
    </xf>
    <xf borderId="34" fillId="0" fontId="22" numFmtId="0" xfId="0" applyAlignment="1" applyBorder="1" applyFont="1">
      <alignment shrinkToFit="0" wrapText="1"/>
    </xf>
    <xf borderId="1" fillId="0" fontId="72" numFmtId="0" xfId="0" applyAlignment="1" applyBorder="1" applyFont="1">
      <alignment horizontal="center" vertical="center"/>
    </xf>
    <xf borderId="2" fillId="3" fontId="73" numFmtId="0" xfId="0" applyAlignment="1" applyBorder="1" applyFill="1" applyFont="1">
      <alignment horizontal="left" readingOrder="0" vertical="center"/>
    </xf>
    <xf borderId="3" fillId="3" fontId="73" numFmtId="0" xfId="0" applyAlignment="1" applyBorder="1" applyFill="1" applyFont="1">
      <alignment horizontal="left" readingOrder="0" vertical="center"/>
    </xf>
    <xf borderId="3" fillId="3" fontId="73" numFmtId="0" xfId="0" applyAlignment="1" applyBorder="1" applyFill="1" applyFont="1">
      <alignment horizontal="center" readingOrder="0" vertical="center"/>
    </xf>
    <xf borderId="0" fillId="3" fontId="73" numFmtId="0" xfId="0" applyAlignment="1" applyFill="1" applyFont="1">
      <alignment horizontal="left" readingOrder="0" vertical="center"/>
    </xf>
    <xf borderId="1" fillId="5" fontId="44" numFmtId="0" xfId="0" applyAlignment="1" applyBorder="1" applyFill="1" applyFont="1">
      <alignment horizontal="center" vertical="center"/>
    </xf>
    <xf borderId="1" fillId="30" fontId="43" numFmtId="0" xfId="0" applyAlignment="1" applyBorder="1" applyFill="1" applyFont="1">
      <alignment horizontal="center" readingOrder="0" vertical="center"/>
    </xf>
    <xf borderId="0" fillId="19" fontId="44" numFmtId="0" xfId="0" applyAlignment="1" applyFill="1" applyFont="1">
      <alignment horizontal="center" readingOrder="0" shrinkToFit="0" vertical="center" wrapText="1"/>
    </xf>
    <xf quotePrefix="1" borderId="1" fillId="19" fontId="44" numFmtId="0" xfId="0" applyAlignment="1" applyBorder="1" applyFill="1" applyFont="1">
      <alignment horizontal="center" vertical="center"/>
    </xf>
    <xf borderId="1" fillId="19" fontId="44" numFmtId="0" xfId="0" applyAlignment="1" applyBorder="1" applyFill="1" applyFont="1">
      <alignment readingOrder="0" vertical="center"/>
    </xf>
    <xf borderId="1" fillId="19" fontId="67" numFmtId="0" xfId="0" applyAlignment="1" applyBorder="1" applyFill="1" applyFont="1">
      <alignment vertical="center"/>
    </xf>
    <xf borderId="1" fillId="19" fontId="67" numFmtId="0" xfId="0" applyAlignment="1" applyBorder="1" applyFill="1" applyFont="1">
      <alignment horizontal="center" vertical="center"/>
    </xf>
    <xf borderId="1" fillId="19" fontId="67" numFmtId="0" xfId="0" applyAlignment="1" applyBorder="1" applyFill="1" applyFont="1">
      <alignment horizontal="center" readingOrder="0" vertical="center"/>
    </xf>
    <xf borderId="0" fillId="19" fontId="67" numFmtId="0" xfId="0" applyAlignment="1" applyFill="1" applyFont="1">
      <alignment vertical="center"/>
    </xf>
    <xf borderId="1" fillId="17" fontId="44" numFmtId="0" xfId="0" applyAlignment="1" applyBorder="1" applyFill="1" applyFont="1">
      <alignment horizontal="center" readingOrder="0" vertical="center"/>
    </xf>
    <xf borderId="1" fillId="17" fontId="44" numFmtId="0" xfId="0" applyAlignment="1" applyBorder="1" applyFill="1" applyFont="1">
      <alignment readingOrder="0" vertical="center"/>
    </xf>
    <xf borderId="1" fillId="17" fontId="67" numFmtId="0" xfId="0" applyAlignment="1" applyBorder="1" applyFill="1" applyFont="1">
      <alignment readingOrder="0" vertical="center"/>
    </xf>
    <xf borderId="1" fillId="17" fontId="68" numFmtId="0" xfId="0" applyAlignment="1" applyBorder="1" applyFill="1" applyFont="1">
      <alignment horizontal="left" readingOrder="0" shrinkToFit="0" vertical="center" wrapText="0"/>
    </xf>
    <xf borderId="1" fillId="17" fontId="67" numFmtId="0" xfId="0" applyAlignment="1" applyBorder="1" applyFill="1" applyFont="1">
      <alignment horizontal="center" readingOrder="0" vertical="center"/>
    </xf>
    <xf borderId="1" fillId="17" fontId="67" numFmtId="0" xfId="0" applyAlignment="1" applyBorder="1" applyFill="1" applyFont="1">
      <alignment horizontal="center" vertical="center"/>
    </xf>
    <xf borderId="1" fillId="17" fontId="67" numFmtId="0" xfId="0" applyAlignment="1" applyBorder="1" applyFill="1" applyFont="1">
      <alignment vertical="center"/>
    </xf>
    <xf borderId="0" fillId="17" fontId="67" numFmtId="0" xfId="0" applyAlignment="1" applyFill="1" applyFont="1">
      <alignment vertical="center"/>
    </xf>
    <xf borderId="1" fillId="0" fontId="67" numFmtId="0" xfId="0" applyAlignment="1" applyBorder="1" applyFont="1">
      <alignment readingOrder="0" vertical="center"/>
    </xf>
    <xf borderId="1" fillId="0" fontId="67" numFmtId="0" xfId="0" applyAlignment="1" applyBorder="1" applyFont="1">
      <alignment vertical="center"/>
    </xf>
    <xf borderId="1" fillId="2" fontId="68" numFmtId="0" xfId="0" applyAlignment="1" applyBorder="1" applyFill="1" applyFont="1">
      <alignment horizontal="left" readingOrder="0" shrinkToFit="0" vertical="center" wrapText="0"/>
    </xf>
    <xf borderId="1" fillId="32" fontId="67" numFmtId="0" xfId="0" applyAlignment="1" applyBorder="1" applyFill="1" applyFont="1">
      <alignment horizontal="center" readingOrder="0" vertical="center"/>
    </xf>
    <xf borderId="0" fillId="0" fontId="67" numFmtId="0" xfId="0" applyAlignment="1" applyFont="1">
      <alignment readingOrder="0" vertical="center"/>
    </xf>
    <xf borderId="1" fillId="20" fontId="74" numFmtId="0" xfId="0" applyAlignment="1" applyBorder="1" applyFill="1" applyFont="1">
      <alignment horizontal="center"/>
    </xf>
    <xf borderId="1" fillId="20" fontId="2" numFmtId="0" xfId="0" applyAlignment="1" applyBorder="1" applyFill="1" applyFont="1">
      <alignment horizontal="left" readingOrder="0" vertical="center"/>
    </xf>
    <xf borderId="1" fillId="0" fontId="67" numFmtId="166" xfId="0" applyAlignment="1" applyBorder="1" applyFont="1" applyNumberFormat="1">
      <alignment horizontal="center" readingOrder="0" vertical="center"/>
    </xf>
    <xf borderId="1" fillId="20" fontId="2" numFmtId="0" xfId="0" applyAlignment="1" applyBorder="1" applyFill="1" applyFont="1">
      <alignment readingOrder="0" vertical="center"/>
    </xf>
    <xf borderId="1" fillId="20" fontId="4" numFmtId="0" xfId="0" applyAlignment="1" applyBorder="1" applyFill="1" applyFont="1">
      <alignment horizontal="center" readingOrder="0" vertical="center"/>
    </xf>
    <xf borderId="1" fillId="20" fontId="2" numFmtId="0" xfId="0" applyAlignment="1" applyBorder="1" applyFill="1" applyFont="1">
      <alignment horizontal="center" readingOrder="0" vertical="center"/>
    </xf>
    <xf borderId="1" fillId="20" fontId="2" numFmtId="166" xfId="0" applyAlignment="1" applyBorder="1" applyFill="1" applyFont="1" applyNumberFormat="1">
      <alignment horizontal="center" readingOrder="0" vertical="center"/>
    </xf>
    <xf borderId="1" fillId="20" fontId="2" numFmtId="0" xfId="0" applyAlignment="1" applyBorder="1" applyFill="1" applyFont="1">
      <alignment vertical="center"/>
    </xf>
    <xf borderId="1" fillId="20" fontId="2" numFmtId="0" xfId="0" applyAlignment="1" applyBorder="1" applyFill="1" applyFont="1">
      <alignment horizontal="left" vertical="center"/>
    </xf>
    <xf borderId="9" fillId="2" fontId="68" numFmtId="0" xfId="0" applyAlignment="1" applyBorder="1" applyFill="1" applyFont="1">
      <alignment horizontal="left" readingOrder="0" shrinkToFit="0" vertical="center" wrapText="0"/>
    </xf>
    <xf borderId="9" fillId="0" fontId="67" numFmtId="0" xfId="0" applyAlignment="1" applyBorder="1" applyFont="1">
      <alignment horizontal="center" vertical="center"/>
    </xf>
    <xf borderId="9" fillId="0" fontId="67" numFmtId="0" xfId="0" applyAlignment="1" applyBorder="1" applyFont="1">
      <alignment readingOrder="0" vertical="center"/>
    </xf>
    <xf borderId="9" fillId="17" fontId="68" numFmtId="0" xfId="0" applyAlignment="1" applyBorder="1" applyFill="1" applyFont="1">
      <alignment horizontal="left" readingOrder="0" shrinkToFit="0" vertical="center" wrapText="0"/>
    </xf>
    <xf borderId="9" fillId="17" fontId="67" numFmtId="0" xfId="0" applyAlignment="1" applyBorder="1" applyFill="1" applyFont="1">
      <alignment horizontal="center" readingOrder="0" vertical="center"/>
    </xf>
    <xf borderId="9" fillId="17" fontId="67" numFmtId="0" xfId="0" applyAlignment="1" applyBorder="1" applyFill="1" applyFont="1">
      <alignment readingOrder="0" vertical="center"/>
    </xf>
    <xf borderId="9" fillId="0" fontId="67" numFmtId="0" xfId="0" applyAlignment="1" applyBorder="1" applyFont="1">
      <alignment horizontal="center" readingOrder="0" vertical="center"/>
    </xf>
    <xf borderId="0" fillId="0" fontId="67" numFmtId="0" xfId="0" applyAlignment="1" applyFont="1">
      <alignment vertical="center"/>
    </xf>
    <xf borderId="9" fillId="0" fontId="67" numFmtId="0" xfId="0" applyAlignment="1" applyBorder="1" applyFont="1">
      <alignment vertical="center"/>
    </xf>
    <xf borderId="9" fillId="0" fontId="68" numFmtId="0" xfId="0" applyAlignment="1" applyBorder="1" applyFont="1">
      <alignment horizontal="center" readingOrder="0" shrinkToFit="0" vertical="center" wrapText="0"/>
    </xf>
    <xf borderId="1" fillId="0" fontId="68" numFmtId="0" xfId="0" applyAlignment="1" applyBorder="1" applyFont="1">
      <alignment horizontal="center" readingOrder="0" shrinkToFit="0" vertical="center" wrapText="0"/>
    </xf>
    <xf borderId="15" fillId="0" fontId="21" numFmtId="0" xfId="0" applyAlignment="1" applyBorder="1" applyFont="1">
      <alignment horizontal="center" readingOrder="0" vertical="center"/>
    </xf>
    <xf borderId="15" fillId="0" fontId="21" numFmtId="0" xfId="0" applyAlignment="1" applyBorder="1" applyFont="1">
      <alignment horizontal="left" readingOrder="0" vertical="center"/>
    </xf>
    <xf borderId="1" fillId="0" fontId="67" numFmtId="0" xfId="0" applyAlignment="1" applyBorder="1" applyFont="1">
      <alignment horizontal="center" vertical="center"/>
    </xf>
    <xf borderId="15" fillId="0" fontId="21" numFmtId="0" xfId="0" applyAlignment="1" applyBorder="1" applyFont="1">
      <alignment vertical="center"/>
    </xf>
    <xf borderId="15" fillId="0" fontId="75" numFmtId="0" xfId="0" applyAlignment="1" applyBorder="1" applyFont="1">
      <alignment horizontal="center" readingOrder="0" vertical="center"/>
    </xf>
    <xf borderId="15" fillId="0" fontId="75" numFmtId="166" xfId="0" applyAlignment="1" applyBorder="1" applyFont="1" applyNumberFormat="1">
      <alignment horizontal="center" readingOrder="0" vertical="center"/>
    </xf>
    <xf borderId="15" fillId="0" fontId="21" numFmtId="0" xfId="0" applyAlignment="1" applyBorder="1" applyFont="1">
      <alignment readingOrder="0" vertical="center"/>
    </xf>
    <xf borderId="1" fillId="19" fontId="44" numFmtId="0" xfId="0" applyAlignment="1" applyBorder="1" applyFill="1" applyFont="1">
      <alignment vertical="center"/>
    </xf>
    <xf borderId="9" fillId="0" fontId="67" numFmtId="166" xfId="0" applyAlignment="1" applyBorder="1" applyFont="1" applyNumberFormat="1">
      <alignment horizontal="center" readingOrder="0" vertical="center"/>
    </xf>
    <xf borderId="2" fillId="3" fontId="73" numFmtId="0" xfId="0" applyAlignment="1" applyBorder="1" applyFill="1" applyFont="1">
      <alignment horizontal="center" readingOrder="0" vertical="center"/>
    </xf>
    <xf borderId="16" fillId="0" fontId="9" numFmtId="0" xfId="0" applyBorder="1" applyFont="1"/>
    <xf borderId="0" fillId="3" fontId="73" numFmtId="0" xfId="0" applyAlignment="1" applyFill="1" applyFont="1">
      <alignment horizontal="center" readingOrder="0" vertical="center"/>
    </xf>
    <xf borderId="1" fillId="19" fontId="12" numFmtId="0" xfId="0" applyAlignment="1" applyBorder="1" applyFill="1" applyFont="1">
      <alignment horizontal="center" readingOrder="0" shrinkToFit="0" vertical="center" wrapText="0"/>
    </xf>
    <xf borderId="0" fillId="19" fontId="12" numFmtId="0" xfId="0" applyAlignment="1" applyFill="1" applyFont="1">
      <alignment horizontal="center" readingOrder="0" shrinkToFit="0" vertical="center" wrapText="0"/>
    </xf>
    <xf borderId="1" fillId="21" fontId="44" numFmtId="0" xfId="0" applyAlignment="1" applyBorder="1" applyFill="1" applyFont="1">
      <alignment horizontal="center" readingOrder="0" vertical="center"/>
    </xf>
    <xf borderId="1" fillId="21" fontId="44" numFmtId="0" xfId="0" applyAlignment="1" applyBorder="1" applyFill="1" applyFont="1">
      <alignment horizontal="center" vertical="center"/>
    </xf>
    <xf borderId="1" fillId="21" fontId="67" numFmtId="0" xfId="0" applyAlignment="1" applyBorder="1" applyFill="1" applyFont="1">
      <alignment horizontal="center" vertical="center"/>
    </xf>
    <xf borderId="1" fillId="21" fontId="4" numFmtId="0" xfId="0" applyAlignment="1" applyBorder="1" applyFill="1" applyFont="1">
      <alignment horizontal="center" shrinkToFit="0" vertical="center" wrapText="0"/>
    </xf>
    <xf borderId="0" fillId="21" fontId="4" numFmtId="0" xfId="0" applyAlignment="1" applyFill="1" applyFont="1">
      <alignment horizontal="center" shrinkToFit="0" vertical="center" wrapText="0"/>
    </xf>
    <xf borderId="1" fillId="5" fontId="67" numFmtId="0" xfId="0" applyAlignment="1" applyBorder="1" applyFill="1" applyFont="1">
      <alignment horizontal="center" vertical="center"/>
    </xf>
    <xf borderId="1" fillId="5" fontId="4" numFmtId="0" xfId="0" applyAlignment="1" applyBorder="1" applyFill="1" applyFont="1">
      <alignment horizontal="center" shrinkToFit="0" vertical="center" wrapText="0"/>
    </xf>
    <xf borderId="0" fillId="5" fontId="4" numFmtId="0" xfId="0" applyAlignment="1" applyFill="1" applyFont="1">
      <alignment horizontal="center" shrinkToFit="0" vertical="center" wrapText="0"/>
    </xf>
    <xf borderId="1" fillId="0" fontId="67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center" readingOrder="0"/>
    </xf>
    <xf borderId="1" fillId="0" fontId="76" numFmtId="0" xfId="0" applyAlignment="1" applyBorder="1" applyFont="1">
      <alignment horizontal="center" readingOrder="0" shrinkToFit="0" vertical="center" wrapText="0"/>
    </xf>
    <xf borderId="1" fillId="0" fontId="67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1" fillId="2" fontId="76" numFmtId="0" xfId="0" applyAlignment="1" applyBorder="1" applyFill="1" applyFont="1">
      <alignment horizontal="center" readingOrder="0" shrinkToFit="0" vertical="center" wrapText="0"/>
    </xf>
    <xf borderId="1" fillId="0" fontId="68" numFmtId="0" xfId="0" applyAlignment="1" applyBorder="1" applyFont="1">
      <alignment horizontal="center" readingOrder="0"/>
    </xf>
    <xf borderId="1" fillId="0" fontId="67" numFmtId="166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1" fillId="0" fontId="7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wrapText="0"/>
    </xf>
    <xf borderId="0" fillId="0" fontId="4" numFmtId="0" xfId="0" applyAlignment="1" applyFont="1">
      <alignment horizontal="center" readingOrder="0" shrinkToFit="0" wrapText="0"/>
    </xf>
    <xf borderId="1" fillId="0" fontId="77" numFmtId="0" xfId="0" applyAlignment="1" applyBorder="1" applyFont="1">
      <alignment horizontal="center" readingOrder="0"/>
    </xf>
    <xf borderId="1" fillId="2" fontId="7" numFmtId="0" xfId="0" applyAlignment="1" applyBorder="1" applyFill="1" applyFont="1">
      <alignment horizontal="center" readingOrder="0" shrinkToFit="0" wrapText="0"/>
    </xf>
    <xf borderId="0" fillId="2" fontId="7" numFmtId="0" xfId="0" applyAlignment="1" applyFill="1" applyFont="1">
      <alignment horizontal="center" readingOrder="0" shrinkToFit="0" wrapText="0"/>
    </xf>
    <xf borderId="1" fillId="0" fontId="76" numFmtId="0" xfId="0" applyAlignment="1" applyBorder="1" applyFont="1">
      <alignment horizontal="center" vertical="center"/>
    </xf>
    <xf borderId="1" fillId="0" fontId="67" numFmtId="168" xfId="0" applyAlignment="1" applyBorder="1" applyFont="1" applyNumberFormat="1">
      <alignment horizontal="center" readingOrder="0"/>
    </xf>
    <xf borderId="1" fillId="2" fontId="62" numFmtId="0" xfId="0" applyAlignment="1" applyBorder="1" applyFill="1" applyFont="1">
      <alignment horizontal="center" readingOrder="0"/>
    </xf>
    <xf borderId="1" fillId="2" fontId="62" numFmtId="0" xfId="0" applyAlignment="1" applyBorder="1" applyFill="1" applyFont="1">
      <alignment horizontal="center"/>
    </xf>
    <xf borderId="1" fillId="2" fontId="22" numFmtId="0" xfId="0" applyAlignment="1" applyBorder="1" applyFill="1" applyFont="1">
      <alignment horizontal="center"/>
    </xf>
    <xf borderId="0" fillId="2" fontId="22" numFmtId="0" xfId="0" applyAlignment="1" applyFill="1" applyFont="1">
      <alignment horizontal="center"/>
    </xf>
    <xf borderId="1" fillId="5" fontId="62" numFmtId="0" xfId="0" applyAlignment="1" applyBorder="1" applyFill="1" applyFont="1">
      <alignment horizontal="center" readingOrder="0"/>
    </xf>
    <xf borderId="1" fillId="5" fontId="62" numFmtId="0" xfId="0" applyAlignment="1" applyBorder="1" applyFill="1" applyFont="1">
      <alignment horizontal="center"/>
    </xf>
    <xf borderId="1" fillId="5" fontId="22" numFmtId="0" xfId="0" applyAlignment="1" applyBorder="1" applyFill="1" applyFont="1">
      <alignment horizontal="center"/>
    </xf>
    <xf borderId="1" fillId="5" fontId="22" numFmtId="0" xfId="0" applyAlignment="1" applyBorder="1" applyFill="1" applyFont="1">
      <alignment horizontal="center"/>
    </xf>
    <xf borderId="0" fillId="5" fontId="22" numFmtId="0" xfId="0" applyAlignment="1" applyFill="1" applyFont="1">
      <alignment horizontal="center"/>
    </xf>
    <xf borderId="1" fillId="2" fontId="60" numFmtId="0" xfId="0" applyAlignment="1" applyBorder="1" applyFill="1" applyFont="1">
      <alignment horizontal="center" readingOrder="0" shrinkToFit="0" vertical="center" wrapText="1"/>
    </xf>
    <xf borderId="1" fillId="2" fontId="67" numFmtId="0" xfId="0" applyAlignment="1" applyBorder="1" applyFill="1" applyFont="1">
      <alignment vertical="center"/>
    </xf>
    <xf borderId="0" fillId="0" fontId="3" numFmtId="0" xfId="0" applyAlignment="1" applyFont="1">
      <alignment horizontal="center" readingOrder="0"/>
    </xf>
    <xf borderId="0" fillId="0" fontId="67" numFmtId="0" xfId="0" applyAlignment="1" applyFont="1">
      <alignment horizontal="center"/>
    </xf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1" fillId="33" fontId="44" numFmtId="0" xfId="0" applyAlignment="1" applyBorder="1" applyFill="1" applyFont="1">
      <alignment horizontal="center" readingOrder="0"/>
    </xf>
    <xf borderId="1" fillId="33" fontId="67" numFmtId="0" xfId="0" applyAlignment="1" applyBorder="1" applyFill="1" applyFont="1">
      <alignment horizontal="center" readingOrder="0" vertical="center"/>
    </xf>
    <xf borderId="1" fillId="33" fontId="67" numFmtId="0" xfId="0" applyAlignment="1" applyBorder="1" applyFill="1" applyFont="1">
      <alignment horizontal="center" readingOrder="0"/>
    </xf>
    <xf borderId="1" fillId="33" fontId="67" numFmtId="0" xfId="0" applyAlignment="1" applyBorder="1" applyFill="1" applyFont="1">
      <alignment horizontal="center" vertical="center"/>
    </xf>
    <xf borderId="1" fillId="33" fontId="76" numFmtId="0" xfId="0" applyAlignment="1" applyBorder="1" applyFill="1" applyFont="1">
      <alignment horizontal="center" readingOrder="0" shrinkToFit="0" vertical="center" wrapText="0"/>
    </xf>
    <xf borderId="1" fillId="33" fontId="76" numFmtId="0" xfId="0" applyAlignment="1" applyBorder="1" applyFill="1" applyFont="1">
      <alignment horizontal="center" vertical="center"/>
    </xf>
    <xf borderId="1" fillId="33" fontId="67" numFmtId="0" xfId="0" applyAlignment="1" applyBorder="1" applyFill="1" applyFont="1">
      <alignment horizontal="center"/>
    </xf>
    <xf borderId="1" fillId="33" fontId="4" numFmtId="0" xfId="0" applyAlignment="1" applyBorder="1" applyFill="1" applyFont="1">
      <alignment horizontal="center" readingOrder="0" shrinkToFit="0" vertical="center" wrapText="0"/>
    </xf>
    <xf borderId="1" fillId="33" fontId="4" numFmtId="0" xfId="0" applyAlignment="1" applyBorder="1" applyFill="1" applyFont="1">
      <alignment horizontal="center" shrinkToFit="0" vertical="center" wrapText="0"/>
    </xf>
    <xf borderId="0" fillId="33" fontId="4" numFmtId="0" xfId="0" applyAlignment="1" applyFill="1" applyFont="1">
      <alignment horizontal="center" shrinkToFit="0" vertical="center" wrapText="0"/>
    </xf>
    <xf borderId="1" fillId="0" fontId="60" numFmtId="0" xfId="0" applyAlignment="1" applyBorder="1" applyFont="1">
      <alignment horizontal="center" vertical="bottom"/>
    </xf>
    <xf borderId="1" fillId="2" fontId="76" numFmtId="0" xfId="0" applyAlignment="1" applyBorder="1" applyFill="1" applyFont="1">
      <alignment horizontal="center" readingOrder="0" vertical="center"/>
    </xf>
    <xf borderId="1" fillId="0" fontId="68" numFmtId="0" xfId="0" applyAlignment="1" applyBorder="1" applyFont="1">
      <alignment horizontal="center" readingOrder="0" shrinkToFit="0" wrapText="0"/>
    </xf>
    <xf borderId="1" fillId="0" fontId="60" numFmtId="0" xfId="0" applyAlignment="1" applyBorder="1" applyFont="1">
      <alignment horizontal="center"/>
    </xf>
    <xf borderId="0" fillId="0" fontId="55" numFmtId="0" xfId="0" applyFont="1"/>
    <xf borderId="1" fillId="2" fontId="60" numFmtId="0" xfId="0" applyAlignment="1" applyBorder="1" applyFill="1" applyFont="1">
      <alignment horizontal="center"/>
    </xf>
    <xf borderId="1" fillId="2" fontId="68" numFmtId="0" xfId="0" applyAlignment="1" applyBorder="1" applyFill="1" applyFont="1">
      <alignment horizontal="left" readingOrder="0" shrinkToFit="0" vertical="center" wrapText="0"/>
    </xf>
    <xf borderId="1" fillId="0" fontId="67" numFmtId="166" xfId="0" applyAlignment="1" applyBorder="1" applyFont="1" applyNumberFormat="1">
      <alignment horizontal="center" readingOrder="0" shrinkToFit="0" vertical="center" wrapText="1"/>
    </xf>
    <xf borderId="1" fillId="33" fontId="76" numFmtId="0" xfId="0" applyAlignment="1" applyBorder="1" applyFill="1" applyFont="1">
      <alignment horizontal="center" readingOrder="0" vertical="center"/>
    </xf>
    <xf borderId="1" fillId="33" fontId="78" numFmtId="0" xfId="0" applyAlignment="1" applyBorder="1" applyFill="1" applyFont="1">
      <alignment horizontal="center" readingOrder="0"/>
    </xf>
    <xf borderId="1" fillId="33" fontId="67" numFmtId="168" xfId="0" applyAlignment="1" applyBorder="1" applyFill="1" applyFont="1" applyNumberFormat="1">
      <alignment horizontal="center" readingOrder="0"/>
    </xf>
    <xf borderId="1" fillId="33" fontId="4" numFmtId="0" xfId="0" applyAlignment="1" applyBorder="1" applyFill="1" applyFont="1">
      <alignment horizontal="center" readingOrder="0" shrinkToFit="0" wrapText="0"/>
    </xf>
    <xf borderId="0" fillId="33" fontId="4" numFmtId="0" xfId="0" applyAlignment="1" applyFill="1" applyFont="1">
      <alignment horizontal="center" readingOrder="0" shrinkToFit="0" wrapText="0"/>
    </xf>
    <xf borderId="1" fillId="0" fontId="67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wrapText="0"/>
    </xf>
    <xf borderId="0" fillId="0" fontId="4" numFmtId="0" xfId="0" applyAlignment="1" applyFont="1">
      <alignment horizontal="center" shrinkToFit="0" wrapText="0"/>
    </xf>
    <xf borderId="1" fillId="9" fontId="67" numFmtId="0" xfId="0" applyAlignment="1" applyBorder="1" applyFill="1" applyFont="1">
      <alignment horizontal="center" readingOrder="0"/>
    </xf>
    <xf borderId="1" fillId="9" fontId="44" numFmtId="0" xfId="0" applyAlignment="1" applyBorder="1" applyFill="1" applyFont="1">
      <alignment horizontal="center" readingOrder="0"/>
    </xf>
    <xf borderId="1" fillId="9" fontId="67" numFmtId="0" xfId="0" applyAlignment="1" applyBorder="1" applyFill="1" applyFont="1">
      <alignment horizontal="center" vertical="center"/>
    </xf>
    <xf borderId="1" fillId="9" fontId="67" numFmtId="0" xfId="0" applyAlignment="1" applyBorder="1" applyFill="1" applyFont="1">
      <alignment horizontal="center" readingOrder="0" vertical="center"/>
    </xf>
    <xf borderId="1" fillId="0" fontId="67" numFmtId="0" xfId="0" applyAlignment="1" applyBorder="1" applyFont="1">
      <alignment horizontal="center" readingOrder="0" shrinkToFit="0" vertical="center" wrapText="0"/>
    </xf>
    <xf borderId="1" fillId="0" fontId="78" numFmtId="0" xfId="0" applyAlignment="1" applyBorder="1" applyFont="1">
      <alignment horizontal="center" readingOrder="0"/>
    </xf>
    <xf borderId="9" fillId="0" fontId="67" numFmtId="0" xfId="0" applyAlignment="1" applyBorder="1" applyFont="1">
      <alignment horizontal="center" readingOrder="0"/>
    </xf>
    <xf borderId="1" fillId="0" fontId="67" numFmtId="176" xfId="0" applyAlignment="1" applyBorder="1" applyFont="1" applyNumberFormat="1">
      <alignment horizontal="center" readingOrder="0"/>
    </xf>
    <xf borderId="1" fillId="0" fontId="12" numFmtId="0" xfId="0" applyAlignment="1" applyBorder="1" applyFont="1">
      <alignment horizontal="center" readingOrder="0" shrinkToFit="0" vertical="center" wrapText="0"/>
    </xf>
    <xf borderId="1" fillId="0" fontId="68" numFmtId="0" xfId="0" applyAlignment="1" applyBorder="1" applyFont="1">
      <alignment horizontal="left" readingOrder="0" shrinkToFit="0" vertical="center" wrapText="0"/>
    </xf>
    <xf borderId="1" fillId="2" fontId="44" numFmtId="0" xfId="0" applyAlignment="1" applyBorder="1" applyFill="1" applyFont="1">
      <alignment horizontal="center" vertical="center"/>
    </xf>
    <xf borderId="1" fillId="2" fontId="67" numFmtId="0" xfId="0" applyAlignment="1" applyBorder="1" applyFill="1" applyFont="1">
      <alignment horizontal="center" vertical="center"/>
    </xf>
    <xf borderId="1" fillId="2" fontId="4" numFmtId="0" xfId="0" applyAlignment="1" applyBorder="1" applyFill="1" applyFont="1">
      <alignment horizontal="center" shrinkToFit="0" vertical="center" wrapText="0"/>
    </xf>
    <xf borderId="0" fillId="2" fontId="4" numFmtId="0" xfId="0" applyAlignment="1" applyFill="1" applyFont="1">
      <alignment horizontal="center" shrinkToFit="0" vertical="center" wrapText="0"/>
    </xf>
    <xf borderId="8" fillId="0" fontId="4" numFmtId="0" xfId="0" applyAlignment="1" applyBorder="1" applyFont="1">
      <alignment horizontal="center" readingOrder="0" shrinkToFit="0" vertical="center" wrapText="0"/>
    </xf>
    <xf borderId="1" fillId="11" fontId="44" numFmtId="0" xfId="0" applyAlignment="1" applyBorder="1" applyFill="1" applyFont="1">
      <alignment horizontal="center" readingOrder="0" vertical="center"/>
    </xf>
    <xf borderId="1" fillId="11" fontId="44" numFmtId="0" xfId="0" applyAlignment="1" applyBorder="1" applyFill="1" applyFont="1">
      <alignment horizontal="center" vertical="center"/>
    </xf>
    <xf borderId="1" fillId="11" fontId="67" numFmtId="0" xfId="0" applyAlignment="1" applyBorder="1" applyFill="1" applyFont="1">
      <alignment horizontal="center" vertical="center"/>
    </xf>
    <xf borderId="1" fillId="11" fontId="4" numFmtId="0" xfId="0" applyAlignment="1" applyBorder="1" applyFill="1" applyFont="1">
      <alignment horizontal="center" shrinkToFit="0" vertical="center" wrapText="0"/>
    </xf>
    <xf borderId="0" fillId="11" fontId="4" numFmtId="0" xfId="0" applyAlignment="1" applyFill="1" applyFont="1">
      <alignment horizontal="center" shrinkToFit="0" vertical="center" wrapText="0"/>
    </xf>
    <xf borderId="0" fillId="0" fontId="77" numFmtId="0" xfId="0" applyAlignment="1" applyFont="1">
      <alignment horizontal="center"/>
    </xf>
    <xf borderId="1" fillId="0" fontId="44" numFmtId="0" xfId="0" applyAlignment="1" applyBorder="1" applyFont="1">
      <alignment readingOrder="0" vertical="center"/>
    </xf>
    <xf borderId="1" fillId="2" fontId="2" numFmtId="166" xfId="0" applyAlignment="1" applyBorder="1" applyFill="1" applyFont="1" applyNumberFormat="1">
      <alignment horizontal="center" readingOrder="0" shrinkToFit="0" vertical="center" wrapText="1"/>
    </xf>
    <xf borderId="1" fillId="2" fontId="68" numFmtId="0" xfId="0" applyAlignment="1" applyBorder="1" applyFill="1" applyFont="1">
      <alignment horizontal="center" readingOrder="0" shrinkToFit="0" vertical="center" wrapText="0"/>
    </xf>
    <xf borderId="1" fillId="2" fontId="60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2" fontId="67" numFmtId="0" xfId="0" applyAlignment="1" applyFill="1" applyFont="1">
      <alignment vertical="center"/>
    </xf>
    <xf borderId="1" fillId="2" fontId="21" numFmtId="166" xfId="0" applyAlignment="1" applyBorder="1" applyFill="1" applyFont="1" applyNumberFormat="1">
      <alignment horizontal="center" readingOrder="0" shrinkToFit="0" vertical="center" wrapText="0"/>
    </xf>
    <xf borderId="1" fillId="2" fontId="21" numFmtId="0" xfId="0" applyAlignment="1" applyBorder="1" applyFill="1" applyFont="1">
      <alignment horizontal="center" readingOrder="0" shrinkToFit="0" vertical="center" wrapText="0"/>
    </xf>
    <xf borderId="1" fillId="2" fontId="2" numFmtId="175" xfId="0" applyAlignment="1" applyBorder="1" applyFill="1" applyFont="1" applyNumberFormat="1">
      <alignment horizontal="center" shrinkToFit="0" vertical="center" wrapText="1"/>
    </xf>
    <xf borderId="1" fillId="2" fontId="44" numFmtId="0" xfId="0" applyAlignment="1" applyBorder="1" applyFill="1" applyFont="1">
      <alignment readingOrder="0" vertical="center"/>
    </xf>
    <xf borderId="1" fillId="2" fontId="67" numFmtId="0" xfId="0" applyAlignment="1" applyBorder="1" applyFill="1" applyFont="1">
      <alignment readingOrder="0" vertical="center"/>
    </xf>
    <xf borderId="9" fillId="2" fontId="67" numFmtId="0" xfId="0" applyAlignment="1" applyBorder="1" applyFill="1" applyFont="1">
      <alignment horizontal="center" vertical="center"/>
    </xf>
    <xf borderId="9" fillId="2" fontId="67" numFmtId="0" xfId="0" applyAlignment="1" applyBorder="1" applyFill="1" applyFont="1">
      <alignment readingOrder="0" vertical="center"/>
    </xf>
    <xf borderId="9" fillId="2" fontId="67" numFmtId="0" xfId="0" applyAlignment="1" applyBorder="1" applyFill="1" applyFont="1">
      <alignment vertical="center"/>
    </xf>
    <xf borderId="9" fillId="17" fontId="67" numFmtId="0" xfId="0" applyAlignment="1" applyBorder="1" applyFill="1" applyFont="1">
      <alignment horizontal="center" vertical="center"/>
    </xf>
    <xf borderId="9" fillId="17" fontId="67" numFmtId="0" xfId="0" applyAlignment="1" applyBorder="1" applyFill="1" applyFont="1">
      <alignment vertical="center"/>
    </xf>
    <xf borderId="0" fillId="30" fontId="44" numFmtId="0" xfId="0" applyAlignment="1" applyFill="1" applyFont="1">
      <alignment horizontal="center" readingOrder="0" vertical="center"/>
    </xf>
    <xf borderId="0" fillId="30" fontId="44" numFmtId="0" xfId="0" applyAlignment="1" applyFill="1" applyFont="1">
      <alignment horizontal="center" vertical="center"/>
    </xf>
    <xf borderId="1" fillId="2" fontId="79" numFmtId="0" xfId="0" applyAlignment="1" applyBorder="1" applyFill="1" applyFont="1">
      <alignment horizontal="center" readingOrder="0" vertical="center"/>
    </xf>
    <xf borderId="1" fillId="2" fontId="79" numFmtId="0" xfId="0" applyAlignment="1" applyBorder="1" applyFill="1" applyFont="1">
      <alignment readingOrder="0" vertical="center"/>
    </xf>
    <xf borderId="1" fillId="2" fontId="79" numFmtId="0" xfId="0" applyAlignment="1" applyBorder="1" applyFill="1" applyFont="1">
      <alignment vertical="center"/>
    </xf>
    <xf borderId="1" fillId="2" fontId="79" numFmtId="0" xfId="0" applyAlignment="1" applyBorder="1" applyFill="1" applyFont="1">
      <alignment horizontal="left" readingOrder="0" shrinkToFit="0" vertical="center" wrapText="0"/>
    </xf>
    <xf borderId="1" fillId="2" fontId="79" numFmtId="0" xfId="0" applyAlignment="1" applyBorder="1" applyFill="1" applyFont="1">
      <alignment horizontal="left" readingOrder="0" shrinkToFit="0" vertical="center" wrapText="0"/>
    </xf>
    <xf borderId="0" fillId="0" fontId="79" numFmtId="0" xfId="0" applyAlignment="1" applyFont="1">
      <alignment readingOrder="0" vertical="center"/>
    </xf>
    <xf borderId="1" fillId="0" fontId="79" numFmtId="0" xfId="0" applyAlignment="1" applyBorder="1" applyFont="1">
      <alignment horizontal="center" readingOrder="0" vertical="center"/>
    </xf>
    <xf borderId="1" fillId="0" fontId="79" numFmtId="0" xfId="0" applyAlignment="1" applyBorder="1" applyFont="1">
      <alignment readingOrder="0" vertical="center"/>
    </xf>
    <xf borderId="1" fillId="0" fontId="79" numFmtId="0" xfId="0" applyAlignment="1" applyBorder="1" applyFont="1">
      <alignment vertical="center"/>
    </xf>
    <xf borderId="1" fillId="0" fontId="79" numFmtId="0" xfId="0" applyAlignment="1" applyBorder="1" applyFont="1">
      <alignment horizontal="left" readingOrder="0" shrinkToFit="0" vertical="center" wrapText="0"/>
    </xf>
    <xf borderId="1" fillId="0" fontId="79" numFmtId="0" xfId="0" applyAlignment="1" applyBorder="1" applyFont="1">
      <alignment horizontal="center" vertical="center"/>
    </xf>
    <xf borderId="9" fillId="2" fontId="79" numFmtId="0" xfId="0" applyAlignment="1" applyBorder="1" applyFill="1" applyFont="1">
      <alignment horizontal="left" readingOrder="0" shrinkToFit="0" vertical="center" wrapText="0"/>
    </xf>
    <xf borderId="9" fillId="0" fontId="79" numFmtId="0" xfId="0" applyAlignment="1" applyBorder="1" applyFont="1">
      <alignment horizontal="center" vertical="center"/>
    </xf>
    <xf borderId="9" fillId="0" fontId="79" numFmtId="0" xfId="0" applyAlignment="1" applyBorder="1" applyFont="1">
      <alignment readingOrder="0" vertical="center"/>
    </xf>
    <xf borderId="1" fillId="32" fontId="79" numFmtId="0" xfId="0" applyAlignment="1" applyBorder="1" applyFill="1" applyFont="1">
      <alignment readingOrder="0" vertical="center"/>
    </xf>
    <xf borderId="1" fillId="32" fontId="79" numFmtId="0" xfId="0" applyAlignment="1" applyBorder="1" applyFill="1" applyFont="1">
      <alignment vertical="center"/>
    </xf>
    <xf borderId="1" fillId="32" fontId="79" numFmtId="0" xfId="0" applyAlignment="1" applyBorder="1" applyFill="1" applyFont="1">
      <alignment horizontal="left" readingOrder="0" shrinkToFit="0" vertical="center" wrapText="0"/>
    </xf>
    <xf borderId="1" fillId="32" fontId="79" numFmtId="0" xfId="0" applyAlignment="1" applyBorder="1" applyFill="1" applyFont="1">
      <alignment horizontal="center" readingOrder="0" vertical="center"/>
    </xf>
    <xf borderId="1" fillId="0" fontId="79" numFmtId="166" xfId="0" applyAlignment="1" applyBorder="1" applyFont="1" applyNumberFormat="1">
      <alignment horizontal="center" readingOrder="0" vertical="center"/>
    </xf>
    <xf borderId="1" fillId="2" fontId="24" numFmtId="175" xfId="0" applyAlignment="1" applyBorder="1" applyFill="1" applyFont="1" applyNumberFormat="1">
      <alignment horizontal="center" shrinkToFit="0" vertical="center" wrapText="1"/>
    </xf>
    <xf borderId="1" fillId="2" fontId="79" numFmtId="0" xfId="0" applyAlignment="1" applyBorder="1" applyFill="1" applyFont="1">
      <alignment horizontal="center" readingOrder="0" shrinkToFit="0" vertical="center" wrapText="0"/>
    </xf>
    <xf borderId="1" fillId="2" fontId="80" numFmtId="0" xfId="0" applyAlignment="1" applyBorder="1" applyFill="1" applyFont="1">
      <alignment horizontal="center" shrinkToFit="0" vertical="center" wrapText="1"/>
    </xf>
    <xf borderId="1" fillId="0" fontId="79" numFmtId="0" xfId="0" applyAlignment="1" applyBorder="1" applyFont="1">
      <alignment horizontal="center" readingOrder="0" shrinkToFit="0" vertical="center" wrapText="0"/>
    </xf>
    <xf borderId="1" fillId="2" fontId="24" numFmtId="175" xfId="0" applyAlignment="1" applyBorder="1" applyFill="1" applyFont="1" applyNumberFormat="1">
      <alignment horizontal="center" readingOrder="0" shrinkToFit="0" vertical="center" wrapText="1"/>
    </xf>
    <xf borderId="1" fillId="2" fontId="24" numFmtId="166" xfId="0" applyAlignment="1" applyBorder="1" applyFill="1" applyFont="1" applyNumberFormat="1">
      <alignment horizontal="center" readingOrder="0" shrinkToFit="0" vertical="center" wrapText="0"/>
    </xf>
    <xf borderId="1" fillId="2" fontId="80" numFmtId="0" xfId="0" applyAlignment="1" applyBorder="1" applyFill="1" applyFont="1">
      <alignment horizontal="center" readingOrder="0" shrinkToFit="0" vertical="center" wrapText="1"/>
    </xf>
    <xf borderId="1" fillId="2" fontId="24" numFmtId="0" xfId="0" applyAlignment="1" applyBorder="1" applyFill="1" applyFont="1">
      <alignment horizontal="center" readingOrder="0" shrinkToFit="0" vertical="center" wrapText="0"/>
    </xf>
    <xf borderId="1" fillId="2" fontId="24" numFmtId="0" xfId="0" applyAlignment="1" applyBorder="1" applyFill="1" applyFont="1">
      <alignment vertical="center"/>
    </xf>
    <xf borderId="1" fillId="0" fontId="78" numFmtId="0" xfId="0" applyAlignment="1" applyBorder="1" applyFont="1">
      <alignment readingOrder="0" vertical="center"/>
    </xf>
    <xf borderId="9" fillId="0" fontId="79" numFmtId="0" xfId="0" applyAlignment="1" applyBorder="1" applyFont="1">
      <alignment vertical="center"/>
    </xf>
    <xf borderId="9" fillId="0" fontId="79" numFmtId="0" xfId="0" applyAlignment="1" applyBorder="1" applyFont="1">
      <alignment horizontal="center" readingOrder="0" shrinkToFit="0" vertical="center" wrapText="0"/>
    </xf>
    <xf borderId="1" fillId="28" fontId="79" numFmtId="0" xfId="0" applyAlignment="1" applyBorder="1" applyFill="1" applyFont="1">
      <alignment horizontal="center" readingOrder="0" vertical="center"/>
    </xf>
    <xf borderId="1" fillId="28" fontId="79" numFmtId="0" xfId="0" applyAlignment="1" applyBorder="1" applyFill="1" applyFont="1">
      <alignment readingOrder="0" vertical="center"/>
    </xf>
    <xf borderId="0" fillId="0" fontId="2" numFmtId="0" xfId="0" applyAlignment="1" applyFont="1">
      <alignment horizontal="center" readingOrder="0" vertical="center"/>
    </xf>
    <xf borderId="1" fillId="2" fontId="24" numFmtId="166" xfId="0" applyAlignment="1" applyBorder="1" applyFill="1" applyFont="1" applyNumberFormat="1">
      <alignment horizontal="center" readingOrder="0" shrinkToFit="0" vertical="center" wrapText="1"/>
    </xf>
    <xf borderId="1" fillId="2" fontId="24" numFmtId="0" xfId="0" applyAlignment="1" applyBorder="1" applyFill="1" applyFont="1">
      <alignment horizontal="center" readingOrder="0" shrinkToFit="0" vertical="center" wrapText="1"/>
    </xf>
    <xf borderId="1" fillId="17" fontId="78" numFmtId="0" xfId="0" applyAlignment="1" applyBorder="1" applyFill="1" applyFont="1">
      <alignment horizontal="center" readingOrder="0" vertical="center"/>
    </xf>
    <xf borderId="1" fillId="17" fontId="78" numFmtId="0" xfId="0" applyAlignment="1" applyBorder="1" applyFill="1" applyFont="1">
      <alignment readingOrder="0" vertical="center"/>
    </xf>
    <xf borderId="1" fillId="17" fontId="79" numFmtId="0" xfId="0" applyAlignment="1" applyBorder="1" applyFill="1" applyFont="1">
      <alignment readingOrder="0" vertical="center"/>
    </xf>
    <xf borderId="1" fillId="17" fontId="79" numFmtId="0" xfId="0" applyAlignment="1" applyBorder="1" applyFill="1" applyFont="1">
      <alignment horizontal="left" readingOrder="0" shrinkToFit="0" vertical="center" wrapText="0"/>
    </xf>
    <xf borderId="1" fillId="17" fontId="79" numFmtId="0" xfId="0" applyAlignment="1" applyBorder="1" applyFill="1" applyFont="1">
      <alignment horizontal="center" vertical="center"/>
    </xf>
    <xf borderId="1" fillId="17" fontId="79" numFmtId="0" xfId="0" applyAlignment="1" applyBorder="1" applyFill="1" applyFont="1">
      <alignment horizontal="center" readingOrder="0" vertical="center"/>
    </xf>
    <xf borderId="1" fillId="17" fontId="79" numFmtId="0" xfId="0" applyAlignment="1" applyBorder="1" applyFill="1" applyFont="1">
      <alignment vertical="center"/>
    </xf>
    <xf borderId="0" fillId="17" fontId="79" numFmtId="0" xfId="0" applyAlignment="1" applyFill="1" applyFont="1">
      <alignment vertical="center"/>
    </xf>
    <xf borderId="1" fillId="0" fontId="78" numFmtId="0" xfId="0" applyAlignment="1" applyBorder="1" applyFont="1">
      <alignment vertical="center"/>
    </xf>
    <xf borderId="1" fillId="2" fontId="78" numFmtId="0" xfId="0" applyAlignment="1" applyBorder="1" applyFill="1" applyFont="1">
      <alignment horizontal="left" readingOrder="0" shrinkToFit="0" vertical="center" wrapText="0"/>
    </xf>
    <xf borderId="1" fillId="0" fontId="78" numFmtId="0" xfId="0" applyAlignment="1" applyBorder="1" applyFont="1">
      <alignment horizontal="center" vertical="center"/>
    </xf>
    <xf borderId="1" fillId="0" fontId="78" numFmtId="0" xfId="0" applyAlignment="1" applyBorder="1" applyFont="1">
      <alignment horizontal="center" readingOrder="0" vertical="center"/>
    </xf>
    <xf borderId="1" fillId="9" fontId="79" numFmtId="0" xfId="0" applyAlignment="1" applyBorder="1" applyFill="1" applyFont="1">
      <alignment readingOrder="0" vertical="center"/>
    </xf>
    <xf borderId="7" fillId="0" fontId="24" numFmtId="166" xfId="0" applyAlignment="1" applyBorder="1" applyFont="1" applyNumberFormat="1">
      <alignment horizontal="center" readingOrder="0" vertical="center"/>
    </xf>
    <xf borderId="7" fillId="0" fontId="24" numFmtId="0" xfId="0" applyAlignment="1" applyBorder="1" applyFont="1">
      <alignment vertical="center"/>
    </xf>
    <xf borderId="15" fillId="0" fontId="24" numFmtId="166" xfId="0" applyAlignment="1" applyBorder="1" applyFont="1" applyNumberFormat="1">
      <alignment horizontal="center" readingOrder="0" vertical="center"/>
    </xf>
    <xf borderId="15" fillId="0" fontId="24" numFmtId="0" xfId="0" applyAlignment="1" applyBorder="1" applyFont="1">
      <alignment vertical="center"/>
    </xf>
    <xf borderId="15" fillId="0" fontId="24" numFmtId="0" xfId="0" applyAlignment="1" applyBorder="1" applyFont="1">
      <alignment horizontal="left" readingOrder="0" vertical="center"/>
    </xf>
    <xf borderId="15" fillId="0" fontId="24" numFmtId="0" xfId="0" applyAlignment="1" applyBorder="1" applyFont="1">
      <alignment horizontal="center" readingOrder="0" vertical="center"/>
    </xf>
    <xf borderId="15" fillId="0" fontId="80" numFmtId="0" xfId="0" applyAlignment="1" applyBorder="1" applyFont="1">
      <alignment horizontal="center" readingOrder="0" vertical="center"/>
    </xf>
    <xf borderId="1" fillId="34" fontId="79" numFmtId="0" xfId="0" applyAlignment="1" applyBorder="1" applyFill="1" applyFont="1">
      <alignment horizontal="center" readingOrder="0" vertical="center"/>
    </xf>
    <xf borderId="15" fillId="0" fontId="80" numFmtId="0" xfId="0" applyAlignment="1" applyBorder="1" applyFont="1">
      <alignment horizontal="center" vertical="center"/>
    </xf>
    <xf borderId="1" fillId="34" fontId="79" numFmtId="0" xfId="0" applyAlignment="1" applyBorder="1" applyFill="1" applyFont="1">
      <alignment vertical="center"/>
    </xf>
    <xf borderId="9" fillId="34" fontId="79" numFmtId="0" xfId="0" applyAlignment="1" applyBorder="1" applyFill="1" applyFont="1">
      <alignment horizontal="center" readingOrder="0" shrinkToFit="0" vertical="center" wrapText="0"/>
    </xf>
    <xf borderId="15" fillId="2" fontId="24" numFmtId="166" xfId="0" applyAlignment="1" applyBorder="1" applyFill="1" applyFont="1" applyNumberFormat="1">
      <alignment horizontal="center" readingOrder="0" vertical="center"/>
    </xf>
    <xf borderId="15" fillId="2" fontId="24" numFmtId="0" xfId="0" applyAlignment="1" applyBorder="1" applyFill="1" applyFont="1">
      <alignment vertical="center"/>
    </xf>
    <xf borderId="1" fillId="2" fontId="79" numFmtId="0" xfId="0" applyAlignment="1" applyBorder="1" applyFill="1" applyFont="1">
      <alignment horizontal="center" vertical="center"/>
    </xf>
    <xf borderId="9" fillId="2" fontId="79" numFmtId="0" xfId="0" applyAlignment="1" applyBorder="1" applyFill="1" applyFont="1">
      <alignment horizontal="center" readingOrder="0" shrinkToFit="0" vertical="center" wrapText="0"/>
    </xf>
    <xf borderId="15" fillId="0" fontId="24" numFmtId="0" xfId="0" applyAlignment="1" applyBorder="1" applyFont="1">
      <alignment readingOrder="0" vertical="center"/>
    </xf>
    <xf borderId="0" fillId="0" fontId="77" numFmtId="0" xfId="0" applyAlignment="1" applyFont="1">
      <alignment horizontal="center" vertical="center"/>
    </xf>
    <xf borderId="0" fillId="0" fontId="77" numFmtId="0" xfId="0" applyAlignment="1" applyFont="1">
      <alignment vertical="center"/>
    </xf>
    <xf quotePrefix="1" borderId="1" fillId="19" fontId="43" numFmtId="0" xfId="0" applyAlignment="1" applyBorder="1" applyFill="1" applyFont="1">
      <alignment horizontal="center" vertical="center"/>
    </xf>
    <xf borderId="1" fillId="19" fontId="18" numFmtId="0" xfId="0" applyAlignment="1" applyBorder="1" applyFill="1" applyFont="1">
      <alignment horizontal="center" vertical="center"/>
    </xf>
    <xf borderId="1" fillId="19" fontId="46" numFmtId="0" xfId="0" applyAlignment="1" applyBorder="1" applyFill="1" applyFont="1">
      <alignment horizontal="center" vertical="center"/>
    </xf>
    <xf borderId="1" fillId="19" fontId="18" numFmtId="0" xfId="0" applyAlignment="1" applyBorder="1" applyFill="1" applyFont="1">
      <alignment vertical="center"/>
    </xf>
    <xf borderId="0" fillId="19" fontId="18" numFmtId="0" xfId="0" applyAlignment="1" applyFill="1" applyFont="1">
      <alignment vertical="center"/>
    </xf>
    <xf borderId="1" fillId="5" fontId="43" numFmtId="0" xfId="0" applyAlignment="1" applyBorder="1" applyFill="1" applyFont="1">
      <alignment horizontal="center" readingOrder="0" vertical="center"/>
    </xf>
    <xf borderId="1" fillId="5" fontId="46" numFmtId="0" xfId="0" applyAlignment="1" applyBorder="1" applyFill="1" applyFont="1">
      <alignment horizontal="center" vertical="center"/>
    </xf>
    <xf borderId="1" fillId="5" fontId="18" numFmtId="0" xfId="0" applyAlignment="1" applyBorder="1" applyFill="1" applyFont="1">
      <alignment vertical="center"/>
    </xf>
    <xf borderId="1" fillId="5" fontId="18" numFmtId="0" xfId="0" applyAlignment="1" applyBorder="1" applyFill="1" applyFont="1">
      <alignment horizontal="center" vertical="center"/>
    </xf>
    <xf borderId="0" fillId="5" fontId="18" numFmtId="0" xfId="0" applyAlignment="1" applyFill="1" applyFont="1">
      <alignment vertical="center"/>
    </xf>
    <xf borderId="1" fillId="13" fontId="43" numFmtId="0" xfId="0" applyAlignment="1" applyBorder="1" applyFill="1" applyFont="1">
      <alignment horizontal="center" readingOrder="0" vertical="center"/>
    </xf>
    <xf borderId="1" fillId="13" fontId="18" numFmtId="0" xfId="0" applyAlignment="1" applyBorder="1" applyFill="1" applyFont="1">
      <alignment horizontal="center" vertical="center"/>
    </xf>
    <xf borderId="1" fillId="13" fontId="18" numFmtId="0" xfId="0" applyAlignment="1" applyBorder="1" applyFill="1" applyFont="1">
      <alignment vertical="center"/>
    </xf>
    <xf borderId="0" fillId="13" fontId="18" numFmtId="0" xfId="0" applyAlignment="1" applyFill="1" applyFont="1">
      <alignment vertical="center"/>
    </xf>
    <xf borderId="1" fillId="2" fontId="43" numFmtId="0" xfId="0" applyAlignment="1" applyBorder="1" applyFill="1" applyFont="1">
      <alignment horizontal="center" readingOrder="0" vertical="center"/>
    </xf>
    <xf borderId="1" fillId="2" fontId="18" numFmtId="0" xfId="0" applyAlignment="1" applyBorder="1" applyFill="1" applyFont="1">
      <alignment horizontal="center" vertical="center"/>
    </xf>
    <xf borderId="1" fillId="2" fontId="18" numFmtId="0" xfId="0" applyAlignment="1" applyBorder="1" applyFill="1" applyFont="1">
      <alignment vertical="center"/>
    </xf>
    <xf borderId="1" fillId="2" fontId="18" numFmtId="166" xfId="0" applyAlignment="1" applyBorder="1" applyFill="1" applyFont="1" applyNumberFormat="1">
      <alignment readingOrder="0" vertical="center"/>
    </xf>
    <xf borderId="0" fillId="2" fontId="18" numFmtId="0" xfId="0" applyAlignment="1" applyFill="1" applyFont="1">
      <alignment readingOrder="0" vertical="center"/>
    </xf>
    <xf borderId="0" fillId="2" fontId="18" numFmtId="0" xfId="0" applyAlignment="1" applyFill="1" applyFont="1">
      <alignment vertical="center"/>
    </xf>
    <xf borderId="1" fillId="2" fontId="18" numFmtId="0" xfId="0" applyAlignment="1" applyBorder="1" applyFill="1" applyFont="1">
      <alignment readingOrder="0" vertical="center"/>
    </xf>
    <xf borderId="1" fillId="0" fontId="21" numFmtId="0" xfId="0" applyAlignment="1" applyBorder="1" applyFont="1">
      <alignment horizontal="center" readingOrder="0" shrinkToFit="0" vertical="center" wrapText="0"/>
    </xf>
    <xf quotePrefix="1" borderId="1" fillId="0" fontId="2" numFmtId="0" xfId="0" applyAlignment="1" applyBorder="1" applyFont="1">
      <alignment horizontal="center" readingOrder="0" vertical="center"/>
    </xf>
    <xf borderId="1" fillId="19" fontId="18" numFmtId="0" xfId="0" applyAlignment="1" applyBorder="1" applyFill="1" applyFont="1">
      <alignment horizontal="center" readingOrder="0" vertical="center"/>
    </xf>
    <xf quotePrefix="1" borderId="1" fillId="0" fontId="2" numFmtId="0" xfId="0" applyAlignment="1" applyBorder="1" applyFont="1">
      <alignment horizontal="left" readingOrder="0" shrinkToFit="0" vertical="center" wrapText="1"/>
    </xf>
    <xf borderId="1" fillId="0" fontId="2" numFmtId="166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readingOrder="0" vertical="center"/>
    </xf>
    <xf borderId="1" fillId="2" fontId="46" numFmtId="0" xfId="0" applyAlignment="1" applyBorder="1" applyFill="1" applyFont="1">
      <alignment horizontal="center" vertical="center"/>
    </xf>
    <xf borderId="1" fillId="2" fontId="46" numFmtId="0" xfId="0" applyAlignment="1" applyBorder="1" applyFill="1" applyFont="1">
      <alignment horizontal="center" readingOrder="0" vertical="center"/>
    </xf>
    <xf borderId="1" fillId="0" fontId="22" numFmtId="0" xfId="0" applyAlignment="1" applyBorder="1" applyFont="1">
      <alignment shrinkToFit="0" wrapText="1"/>
    </xf>
    <xf borderId="1" fillId="0" fontId="22" numFmtId="0" xfId="0" applyAlignment="1" applyBorder="1" applyFont="1">
      <alignment vertical="center"/>
    </xf>
    <xf borderId="4" fillId="0" fontId="81" numFmtId="0" xfId="0" applyAlignment="1" applyBorder="1" applyFont="1">
      <alignment horizontal="center" vertical="center"/>
    </xf>
    <xf borderId="8" fillId="35" fontId="82" numFmtId="0" xfId="0" applyAlignment="1" applyBorder="1" applyFill="1" applyFont="1">
      <alignment horizontal="center" shrinkToFit="0" vertical="center" wrapText="1"/>
    </xf>
    <xf borderId="4" fillId="35" fontId="83" numFmtId="0" xfId="0" applyAlignment="1" applyBorder="1" applyFill="1" applyFont="1">
      <alignment horizontal="center" vertical="center"/>
    </xf>
    <xf borderId="0" fillId="0" fontId="21" numFmtId="0" xfId="0" applyAlignment="1" applyFont="1">
      <alignment horizontal="center" readingOrder="0" shrinkToFit="0" vertical="center" wrapText="0"/>
    </xf>
    <xf borderId="4" fillId="19" fontId="51" numFmtId="0" xfId="0" applyAlignment="1" applyBorder="1" applyFill="1" applyFont="1">
      <alignment horizontal="center" shrinkToFit="0" vertical="center" wrapText="1"/>
    </xf>
    <xf borderId="4" fillId="13" fontId="51" numFmtId="0" xfId="0" applyAlignment="1" applyBorder="1" applyFill="1" applyFont="1">
      <alignment horizontal="center" vertical="center"/>
    </xf>
    <xf borderId="1" fillId="19" fontId="84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19" fontId="84" numFmtId="0" xfId="0" applyAlignment="1" applyBorder="1" applyFill="1" applyFont="1">
      <alignment horizontal="center" readingOrder="0" vertical="center"/>
    </xf>
    <xf borderId="1" fillId="9" fontId="85" numFmtId="0" xfId="0" applyAlignment="1" applyBorder="1" applyFill="1" applyFont="1">
      <alignment horizontal="center" shrinkToFit="0" vertical="center" wrapText="1"/>
    </xf>
    <xf borderId="1" fillId="13" fontId="84" numFmtId="0" xfId="0" applyAlignment="1" applyBorder="1" applyFill="1" applyFont="1">
      <alignment horizontal="center" vertical="center"/>
    </xf>
    <xf borderId="1" fillId="13" fontId="84" numFmtId="0" xfId="0" applyAlignment="1" applyBorder="1" applyFill="1" applyFont="1">
      <alignment horizontal="center" readingOrder="0" vertical="center"/>
    </xf>
    <xf quotePrefix="1" borderId="1" fillId="36" fontId="86" numFmtId="0" xfId="0" applyBorder="1" applyFill="1" applyFont="1"/>
    <xf borderId="1" fillId="36" fontId="86" numFmtId="0" xfId="0" applyBorder="1" applyFill="1" applyFont="1"/>
    <xf borderId="1" fillId="0" fontId="60" numFmtId="0" xfId="0" applyAlignment="1" applyBorder="1" applyFont="1">
      <alignment horizontal="left" readingOrder="0"/>
    </xf>
    <xf quotePrefix="1" borderId="1" fillId="0" fontId="18" numFmtId="0" xfId="0" applyAlignment="1" applyBorder="1" applyFont="1">
      <alignment horizontal="center" vertical="center"/>
    </xf>
    <xf borderId="1" fillId="0" fontId="87" numFmtId="0" xfId="0" applyAlignment="1" applyBorder="1" applyFont="1">
      <alignment horizontal="center" vertical="center"/>
    </xf>
    <xf borderId="1" fillId="0" fontId="18" numFmtId="0" xfId="0" applyAlignment="1" applyBorder="1" applyFont="1">
      <alignment horizontal="center" vertical="center"/>
    </xf>
    <xf borderId="1" fillId="0" fontId="18" numFmtId="0" xfId="0" applyAlignment="1" applyBorder="1" applyFont="1">
      <alignment horizontal="center" shrinkToFit="0" vertical="center" wrapText="1"/>
    </xf>
    <xf borderId="1" fillId="0" fontId="18" numFmtId="0" xfId="0" applyAlignment="1" applyBorder="1" applyFont="1">
      <alignment horizontal="left" vertical="center"/>
    </xf>
    <xf borderId="1" fillId="19" fontId="43" numFmtId="14" xfId="0" applyAlignment="1" applyBorder="1" applyFill="1" applyFont="1" applyNumberFormat="1">
      <alignment horizontal="center" vertical="center"/>
    </xf>
    <xf borderId="1" fillId="9" fontId="46" numFmtId="14" xfId="0" applyAlignment="1" applyBorder="1" applyFill="1" applyFont="1" applyNumberFormat="1">
      <alignment horizontal="center" vertical="center"/>
    </xf>
    <xf borderId="1" fillId="13" fontId="43" numFmtId="14" xfId="0" applyAlignment="1" applyBorder="1" applyFill="1" applyFont="1" applyNumberFormat="1">
      <alignment horizontal="center" vertical="center"/>
    </xf>
    <xf borderId="1" fillId="13" fontId="43" numFmtId="0" xfId="0" applyAlignment="1" applyBorder="1" applyFill="1" applyFont="1">
      <alignment horizontal="center" vertical="center"/>
    </xf>
    <xf borderId="1" fillId="9" fontId="46" numFmtId="0" xfId="0" applyAlignment="1" applyBorder="1" applyFill="1" applyFont="1">
      <alignment horizontal="center" vertical="center"/>
    </xf>
    <xf borderId="1" fillId="21" fontId="44" numFmtId="0" xfId="0" applyAlignment="1" applyBorder="1" applyFill="1" applyFont="1">
      <alignment readingOrder="0" vertical="center"/>
    </xf>
    <xf borderId="1" fillId="21" fontId="67" numFmtId="0" xfId="0" applyAlignment="1" applyBorder="1" applyFill="1" applyFont="1">
      <alignment vertical="center"/>
    </xf>
    <xf borderId="1" fillId="5" fontId="44" numFmtId="0" xfId="0" applyAlignment="1" applyBorder="1" applyFill="1" applyFont="1">
      <alignment readingOrder="0" vertical="center"/>
    </xf>
    <xf quotePrefix="1" borderId="4" fillId="36" fontId="86" numFmtId="0" xfId="0" applyAlignment="1" applyBorder="1" applyFill="1" applyFont="1">
      <alignment horizontal="left"/>
    </xf>
    <xf borderId="1" fillId="5" fontId="67" numFmtId="0" xfId="0" applyAlignment="1" applyBorder="1" applyFill="1" applyFont="1">
      <alignment vertical="center"/>
    </xf>
    <xf borderId="1" fillId="5" fontId="67" numFmtId="0" xfId="0" applyAlignment="1" applyBorder="1" applyFill="1" applyFont="1">
      <alignment horizontal="left" vertical="center"/>
    </xf>
    <xf borderId="1" fillId="0" fontId="18" numFmtId="0" xfId="0" applyAlignment="1" applyBorder="1" applyFont="1">
      <alignment horizontal="center" readingOrder="0" vertical="center"/>
    </xf>
    <xf borderId="1" fillId="0" fontId="44" numFmtId="0" xfId="0" applyAlignment="1" applyBorder="1" applyFont="1">
      <alignment readingOrder="0"/>
    </xf>
    <xf borderId="1" fillId="0" fontId="67" numFmtId="0" xfId="0" applyAlignment="1" applyBorder="1" applyFont="1">
      <alignment readingOrder="0"/>
    </xf>
    <xf borderId="1" fillId="0" fontId="67" numFmtId="0" xfId="0" applyAlignment="1" applyBorder="1" applyFont="1">
      <alignment horizontal="left" readingOrder="0" vertical="center"/>
    </xf>
    <xf borderId="1" fillId="0" fontId="76" numFmtId="0" xfId="0" applyAlignment="1" applyBorder="1" applyFont="1">
      <alignment horizontal="left" readingOrder="0" shrinkToFit="0" vertical="center" wrapText="0"/>
    </xf>
    <xf borderId="1" fillId="0" fontId="67" numFmtId="0" xfId="0" applyBorder="1" applyFont="1"/>
    <xf borderId="1" fillId="2" fontId="76" numFmtId="0" xfId="0" applyAlignment="1" applyBorder="1" applyFill="1" applyFont="1">
      <alignment horizontal="left" readingOrder="0" shrinkToFit="0" vertical="center" wrapText="0"/>
    </xf>
    <xf borderId="1" fillId="0" fontId="67" numFmtId="166" xfId="0" applyAlignment="1" applyBorder="1" applyFont="1" applyNumberFormat="1">
      <alignment readingOrder="0"/>
    </xf>
    <xf borderId="1" fillId="0" fontId="67" numFmtId="0" xfId="0" applyAlignment="1" applyBorder="1" applyFont="1">
      <alignment horizontal="left" vertical="center"/>
    </xf>
    <xf borderId="1" fillId="0" fontId="76" numFmtId="0" xfId="0" applyAlignment="1" applyBorder="1" applyFont="1">
      <alignment horizontal="left" readingOrder="0" vertical="center"/>
    </xf>
    <xf borderId="1" fillId="21" fontId="67" numFmtId="0" xfId="0" applyAlignment="1" applyBorder="1" applyFill="1" applyFont="1">
      <alignment horizontal="left" vertical="center"/>
    </xf>
    <xf borderId="1" fillId="9" fontId="46" numFmtId="0" xfId="0" applyAlignment="1" applyBorder="1" applyFill="1" applyFont="1">
      <alignment horizontal="center" readingOrder="0" vertical="center"/>
    </xf>
    <xf borderId="1" fillId="0" fontId="76" numFmtId="0" xfId="0" applyAlignment="1" applyBorder="1" applyFont="1">
      <alignment horizontal="left" vertical="center"/>
    </xf>
    <xf borderId="9" fillId="0" fontId="68" numFmtId="0" xfId="0" applyAlignment="1" applyBorder="1" applyFont="1">
      <alignment horizontal="left" readingOrder="0" shrinkToFit="0" vertical="center" wrapText="0"/>
    </xf>
    <xf borderId="1" fillId="0" fontId="67" numFmtId="0" xfId="0" applyAlignment="1" applyBorder="1" applyFont="1">
      <alignment horizontal="right" readingOrder="0"/>
    </xf>
    <xf borderId="9" fillId="0" fontId="67" numFmtId="0" xfId="0" applyAlignment="1" applyBorder="1" applyFont="1">
      <alignment readingOrder="0"/>
    </xf>
    <xf borderId="1" fillId="0" fontId="67" numFmtId="176" xfId="0" applyAlignment="1" applyBorder="1" applyFont="1" applyNumberFormat="1">
      <alignment horizontal="right" readingOrder="0"/>
    </xf>
    <xf borderId="1" fillId="0" fontId="67" numFmtId="166" xfId="0" applyAlignment="1" applyBorder="1" applyFont="1" applyNumberFormat="1">
      <alignment horizontal="right" readingOrder="0"/>
    </xf>
    <xf borderId="0" fillId="0" fontId="77" numFmtId="0" xfId="0" applyFont="1"/>
    <xf quotePrefix="1" borderId="4" fillId="36" fontId="86" numFmtId="0" xfId="0" applyAlignment="1" applyBorder="1" applyFill="1" applyFont="1">
      <alignment horizontal="left" vertical="center"/>
    </xf>
    <xf borderId="1" fillId="19" fontId="43" numFmtId="168" xfId="0" applyAlignment="1" applyBorder="1" applyFill="1" applyFont="1" applyNumberFormat="1">
      <alignment horizontal="center" readingOrder="0" vertical="center"/>
    </xf>
    <xf borderId="1" fillId="9" fontId="46" numFmtId="168" xfId="0" applyAlignment="1" applyBorder="1" applyFill="1" applyFont="1" applyNumberFormat="1">
      <alignment horizontal="center" readingOrder="0" vertical="center"/>
    </xf>
    <xf quotePrefix="1" borderId="1" fillId="17" fontId="43" numFmtId="0" xfId="0" applyAlignment="1" applyBorder="1" applyFill="1" applyFont="1">
      <alignment horizontal="center" readingOrder="0" vertical="center"/>
    </xf>
    <xf quotePrefix="1" borderId="1" fillId="9" fontId="46" numFmtId="0" xfId="0" applyAlignment="1" applyBorder="1" applyFill="1" applyFont="1">
      <alignment horizontal="center" readingOrder="0" vertical="center"/>
    </xf>
    <xf borderId="1" fillId="0" fontId="18" numFmtId="0" xfId="0" applyAlignment="1" applyBorder="1" applyFont="1">
      <alignment horizontal="center" readingOrder="0" shrinkToFit="0" vertical="center" wrapText="1"/>
    </xf>
    <xf borderId="1" fillId="17" fontId="43" numFmtId="0" xfId="0" applyAlignment="1" applyBorder="1" applyFill="1" applyFont="1">
      <alignment horizontal="center" readingOrder="0" vertical="center"/>
    </xf>
    <xf borderId="1" fillId="19" fontId="43" numFmtId="166" xfId="0" applyAlignment="1" applyBorder="1" applyFill="1" applyFont="1" applyNumberFormat="1">
      <alignment horizontal="center" readingOrder="0" vertical="center"/>
    </xf>
    <xf borderId="1" fillId="9" fontId="46" numFmtId="166" xfId="0" applyAlignment="1" applyBorder="1" applyFill="1" applyFont="1" applyNumberFormat="1">
      <alignment horizontal="center" readingOrder="0" vertical="center"/>
    </xf>
    <xf borderId="1" fillId="0" fontId="60" numFmtId="0" xfId="0" applyAlignment="1" applyBorder="1" applyFont="1">
      <alignment horizontal="left" vertical="center"/>
    </xf>
    <xf borderId="1" fillId="17" fontId="43" numFmtId="0" xfId="0" applyAlignment="1" applyBorder="1" applyFill="1" applyFont="1">
      <alignment horizontal="center" vertical="center"/>
    </xf>
    <xf borderId="35" fillId="3" fontId="6" numFmtId="0" xfId="0" applyAlignment="1" applyBorder="1" applyFill="1" applyFont="1">
      <alignment horizontal="left" readingOrder="0" vertical="center"/>
    </xf>
    <xf borderId="14" fillId="5" fontId="12" numFmtId="0" xfId="0" applyAlignment="1" applyBorder="1" applyFill="1" applyFont="1">
      <alignment horizontal="center" vertical="center"/>
    </xf>
    <xf borderId="14" fillId="11" fontId="12" numFmtId="0" xfId="0" applyAlignment="1" applyBorder="1" applyFill="1" applyFont="1">
      <alignment horizontal="left" vertical="center"/>
    </xf>
    <xf borderId="4" fillId="13" fontId="12" numFmtId="0" xfId="0" applyAlignment="1" applyBorder="1" applyFill="1" applyFont="1">
      <alignment horizontal="left" vertical="center"/>
    </xf>
    <xf borderId="14" fillId="13" fontId="12" numFmtId="0" xfId="0" applyAlignment="1" applyBorder="1" applyFill="1" applyFont="1">
      <alignment horizontal="left" vertical="center"/>
    </xf>
    <xf borderId="1" fillId="0" fontId="4" numFmtId="174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left" vertical="center"/>
    </xf>
    <xf borderId="14" fillId="0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center"/>
    </xf>
    <xf borderId="14" fillId="0" fontId="7" numFmtId="0" xfId="0" applyAlignment="1" applyBorder="1" applyFont="1">
      <alignment horizontal="left" vertical="center"/>
    </xf>
    <xf borderId="1" fillId="37" fontId="7" numFmtId="0" xfId="0" applyAlignment="1" applyBorder="1" applyFill="1" applyFont="1">
      <alignment readingOrder="0" vertical="center"/>
    </xf>
    <xf borderId="1" fillId="0" fontId="15" numFmtId="0" xfId="0" applyAlignment="1" applyBorder="1" applyFont="1">
      <alignment horizontal="center" readingOrder="0" vertical="center"/>
    </xf>
    <xf borderId="1" fillId="37" fontId="7" numFmtId="0" xfId="0" applyAlignment="1" applyBorder="1" applyFill="1" applyFont="1">
      <alignment horizontal="center" readingOrder="0" vertical="center"/>
    </xf>
    <xf borderId="1" fillId="37" fontId="4" numFmtId="0" xfId="0" applyAlignment="1" applyBorder="1" applyFill="1" applyFont="1">
      <alignment horizontal="center" readingOrder="0" vertical="center"/>
    </xf>
    <xf borderId="1" fillId="37" fontId="7" numFmtId="166" xfId="0" applyAlignment="1" applyBorder="1" applyFill="1" applyFont="1" applyNumberFormat="1">
      <alignment horizontal="center" readingOrder="0" vertical="center"/>
    </xf>
    <xf borderId="1" fillId="37" fontId="7" numFmtId="0" xfId="0" applyAlignment="1" applyBorder="1" applyFill="1" applyFont="1">
      <alignment horizontal="center" vertical="center"/>
    </xf>
    <xf borderId="4" fillId="37" fontId="12" numFmtId="0" xfId="0" applyAlignment="1" applyBorder="1" applyFill="1" applyFont="1">
      <alignment horizontal="left" readingOrder="0" vertical="center"/>
    </xf>
    <xf borderId="14" fillId="37" fontId="7" numFmtId="0" xfId="0" applyAlignment="1" applyBorder="1" applyFill="1" applyFont="1">
      <alignment horizontal="left" vertical="center"/>
    </xf>
    <xf borderId="1" fillId="37" fontId="7" numFmtId="0" xfId="0" applyAlignment="1" applyBorder="1" applyFill="1" applyFont="1">
      <alignment horizontal="left" readingOrder="0" vertical="center"/>
    </xf>
    <xf borderId="4" fillId="0" fontId="12" numFmtId="0" xfId="0" applyAlignment="1" applyBorder="1" applyFont="1">
      <alignment horizontal="left" readingOrder="0" vertical="center"/>
    </xf>
    <xf borderId="14" fillId="0" fontId="4" numFmtId="0" xfId="0" applyAlignment="1" applyBorder="1" applyFont="1">
      <alignment horizontal="left" vertical="center"/>
    </xf>
    <xf borderId="4" fillId="16" fontId="32" numFmtId="0" xfId="0" applyAlignment="1" applyBorder="1" applyFill="1" applyFont="1">
      <alignment horizontal="left" readingOrder="0" vertical="center"/>
    </xf>
    <xf borderId="14" fillId="16" fontId="32" numFmtId="0" xfId="0" applyAlignment="1" applyBorder="1" applyFill="1" applyFont="1">
      <alignment horizontal="left" vertical="center"/>
    </xf>
    <xf borderId="14" fillId="0" fontId="4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readingOrder="0" vertical="center"/>
    </xf>
    <xf borderId="7" fillId="0" fontId="4" numFmtId="0" xfId="0" applyAlignment="1" applyBorder="1" applyFont="1">
      <alignment horizontal="center"/>
    </xf>
    <xf borderId="7" fillId="0" fontId="22" numFmtId="0" xfId="0" applyBorder="1" applyFont="1"/>
    <xf borderId="7" fillId="0" fontId="22" numFmtId="166" xfId="0" applyBorder="1" applyFont="1" applyNumberFormat="1"/>
    <xf borderId="36" fillId="0" fontId="22" numFmtId="0" xfId="0" applyBorder="1" applyFont="1"/>
    <xf borderId="7" fillId="0" fontId="4" numFmtId="0" xfId="0" applyBorder="1" applyFont="1"/>
    <xf borderId="15" fillId="0" fontId="4" numFmtId="0" xfId="0" applyAlignment="1" applyBorder="1" applyFont="1">
      <alignment horizontal="center"/>
    </xf>
    <xf borderId="15" fillId="0" fontId="22" numFmtId="0" xfId="0" applyBorder="1" applyFont="1"/>
    <xf borderId="15" fillId="0" fontId="22" numFmtId="166" xfId="0" applyBorder="1" applyFont="1" applyNumberFormat="1"/>
    <xf borderId="37" fillId="0" fontId="22" numFmtId="0" xfId="0" applyBorder="1" applyFont="1"/>
    <xf borderId="15" fillId="0" fontId="4" numFmtId="0" xfId="0" applyBorder="1" applyFont="1"/>
    <xf borderId="4" fillId="2" fontId="12" numFmtId="0" xfId="0" applyAlignment="1" applyBorder="1" applyFill="1" applyFont="1">
      <alignment horizontal="left" vertical="center"/>
    </xf>
    <xf borderId="9" fillId="0" fontId="7" numFmtId="0" xfId="0" applyAlignment="1" applyBorder="1" applyFont="1">
      <alignment horizontal="center" readingOrder="0" shrinkToFit="0" wrapText="0"/>
    </xf>
    <xf borderId="15" fillId="0" fontId="7" numFmtId="0" xfId="0" applyAlignment="1" applyBorder="1" applyFont="1">
      <alignment horizontal="center" readingOrder="0" shrinkToFit="0" wrapText="0"/>
    </xf>
    <xf borderId="9" fillId="0" fontId="31" numFmtId="0" xfId="0" applyAlignment="1" applyBorder="1" applyFont="1">
      <alignment horizontal="center" readingOrder="0" shrinkToFit="0" wrapText="0"/>
    </xf>
    <xf borderId="15" fillId="0" fontId="31" numFmtId="0" xfId="0" applyAlignment="1" applyBorder="1" applyFont="1">
      <alignment horizontal="center" readingOrder="0"/>
    </xf>
    <xf borderId="14" fillId="0" fontId="7" numFmtId="0" xfId="0" applyAlignment="1" applyBorder="1" applyFont="1">
      <alignment horizontal="left" readingOrder="0" vertical="center"/>
    </xf>
    <xf borderId="4" fillId="2" fontId="4" numFmtId="0" xfId="0" applyAlignment="1" applyBorder="1" applyFill="1" applyFont="1">
      <alignment horizontal="left" readingOrder="0" vertical="center"/>
    </xf>
    <xf borderId="14" fillId="2" fontId="4" numFmtId="0" xfId="0" applyAlignment="1" applyBorder="1" applyFill="1" applyFont="1">
      <alignment horizontal="left" vertical="center"/>
    </xf>
    <xf borderId="1" fillId="16" fontId="4" numFmtId="0" xfId="0" applyAlignment="1" applyBorder="1" applyFill="1" applyFont="1">
      <alignment horizontal="center" vertical="center"/>
    </xf>
    <xf borderId="4" fillId="16" fontId="4" numFmtId="0" xfId="0" applyAlignment="1" applyBorder="1" applyFill="1" applyFont="1">
      <alignment horizontal="left" readingOrder="0" vertical="center"/>
    </xf>
    <xf borderId="14" fillId="17" fontId="4" numFmtId="0" xfId="0" applyAlignment="1" applyBorder="1" applyFill="1" applyFont="1">
      <alignment horizontal="left" readingOrder="0" vertical="center"/>
    </xf>
    <xf borderId="1" fillId="16" fontId="4" numFmtId="9" xfId="0" applyAlignment="1" applyBorder="1" applyFill="1" applyFont="1" applyNumberFormat="1">
      <alignment horizontal="center" readingOrder="0" vertical="center"/>
    </xf>
    <xf borderId="1" fillId="11" fontId="12" numFmtId="0" xfId="0" applyAlignment="1" applyBorder="1" applyFill="1" applyFont="1">
      <alignment horizontal="left" vertical="center"/>
    </xf>
    <xf borderId="14" fillId="2" fontId="7" numFmtId="0" xfId="0" applyAlignment="1" applyBorder="1" applyFill="1" applyFont="1">
      <alignment horizontal="left" vertical="center"/>
    </xf>
    <xf borderId="1" fillId="0" fontId="12" numFmtId="0" xfId="0" applyAlignment="1" applyBorder="1" applyFont="1">
      <alignment readingOrder="0" vertical="center"/>
    </xf>
    <xf borderId="7" fillId="2" fontId="28" numFmtId="0" xfId="0" applyAlignment="1" applyBorder="1" applyFill="1" applyFont="1">
      <alignment horizontal="center" readingOrder="0" vertical="center"/>
    </xf>
    <xf borderId="16" fillId="3" fontId="41" numFmtId="0" xfId="0" applyAlignment="1" applyBorder="1" applyFill="1" applyFont="1">
      <alignment horizontal="center" vertical="center"/>
    </xf>
    <xf borderId="1" fillId="20" fontId="88" numFmtId="0" xfId="0" applyAlignment="1" applyBorder="1" applyFill="1" applyFont="1">
      <alignment vertical="center"/>
    </xf>
    <xf borderId="4" fillId="2" fontId="12" numFmtId="0" xfId="0" applyAlignment="1" applyBorder="1" applyFill="1" applyFont="1">
      <alignment horizontal="left" readingOrder="0" vertical="center"/>
    </xf>
    <xf borderId="1" fillId="17" fontId="50" numFmtId="0" xfId="0" applyAlignment="1" applyBorder="1" applyFill="1" applyFont="1">
      <alignment horizontal="center" readingOrder="0" vertical="center"/>
    </xf>
    <xf borderId="1" fillId="17" fontId="50" numFmtId="0" xfId="0" applyAlignment="1" applyBorder="1" applyFill="1" applyFont="1">
      <alignment readingOrder="0" vertical="center"/>
    </xf>
    <xf borderId="1" fillId="17" fontId="2" numFmtId="0" xfId="0" applyAlignment="1" applyBorder="1" applyFill="1" applyFont="1">
      <alignment horizontal="left" vertical="center"/>
    </xf>
    <xf borderId="1" fillId="17" fontId="2" numFmtId="0" xfId="0" applyAlignment="1" applyBorder="1" applyFill="1" applyFont="1">
      <alignment vertical="center"/>
    </xf>
    <xf borderId="1" fillId="17" fontId="2" numFmtId="0" xfId="0" applyAlignment="1" applyBorder="1" applyFill="1" applyFont="1">
      <alignment horizontal="center" vertical="center"/>
    </xf>
    <xf borderId="4" fillId="30" fontId="4" numFmtId="0" xfId="0" applyAlignment="1" applyBorder="1" applyFill="1" applyFont="1">
      <alignment horizontal="left" readingOrder="0" vertical="center"/>
    </xf>
    <xf borderId="1" fillId="0" fontId="21" numFmtId="0" xfId="0" applyAlignment="1" applyBorder="1" applyFont="1">
      <alignment readingOrder="0" shrinkToFit="0" vertical="bottom" wrapText="0"/>
    </xf>
    <xf borderId="1" fillId="0" fontId="21" numFmtId="166" xfId="0" applyAlignment="1" applyBorder="1" applyFont="1" applyNumberFormat="1">
      <alignment horizontal="left" readingOrder="0" vertical="center"/>
    </xf>
    <xf borderId="1" fillId="0" fontId="2" numFmtId="166" xfId="0" applyAlignment="1" applyBorder="1" applyFont="1" applyNumberFormat="1">
      <alignment readingOrder="0" vertical="center"/>
    </xf>
    <xf borderId="1" fillId="20" fontId="89" numFmtId="0" xfId="0" applyAlignment="1" applyBorder="1" applyFill="1" applyFont="1">
      <alignment vertical="center"/>
    </xf>
    <xf borderId="1" fillId="0" fontId="12" numFmtId="0" xfId="0" applyAlignment="1" applyBorder="1" applyFont="1">
      <alignment horizontal="center" readingOrder="0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21" numFmtId="0" xfId="0" applyAlignment="1" applyBorder="1" applyFont="1">
      <alignment horizontal="left" readingOrder="0" shrinkToFit="0" wrapText="0"/>
    </xf>
    <xf borderId="1" fillId="0" fontId="12" numFmtId="9" xfId="0" applyAlignment="1" applyBorder="1" applyFont="1" applyNumberFormat="1">
      <alignment horizontal="center" readingOrder="0" vertical="center"/>
    </xf>
    <xf borderId="14" fillId="0" fontId="12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quotePrefix="1" borderId="1" fillId="0" fontId="4" numFmtId="0" xfId="0" applyAlignment="1" applyBorder="1" applyFont="1">
      <alignment horizontal="center" readingOrder="0" vertical="center"/>
    </xf>
    <xf borderId="1" fillId="0" fontId="21" numFmtId="166" xfId="0" applyAlignment="1" applyBorder="1" applyFont="1" applyNumberFormat="1">
      <alignment readingOrder="0" vertical="center"/>
    </xf>
    <xf borderId="1" fillId="0" fontId="2" numFmtId="168" xfId="0" applyAlignment="1" applyBorder="1" applyFont="1" applyNumberFormat="1">
      <alignment readingOrder="0" vertical="center"/>
    </xf>
    <xf borderId="0" fillId="0" fontId="90" numFmtId="0" xfId="0" applyAlignment="1" applyFont="1">
      <alignment readingOrder="0"/>
    </xf>
    <xf borderId="7" fillId="0" fontId="4" numFmtId="0" xfId="0" applyAlignment="1" applyBorder="1" applyFont="1">
      <alignment readingOrder="0"/>
    </xf>
    <xf borderId="7" fillId="0" fontId="4" numFmtId="0" xfId="0" applyAlignment="1" applyBorder="1" applyFont="1">
      <alignment horizontal="center"/>
    </xf>
    <xf borderId="7" fillId="0" fontId="4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9" xfId="0" applyAlignment="1" applyBorder="1" applyFont="1" applyNumberFormat="1">
      <alignment horizontal="center"/>
    </xf>
    <xf borderId="36" fillId="0" fontId="4" numFmtId="0" xfId="0" applyBorder="1" applyFont="1"/>
    <xf borderId="15" fillId="0" fontId="4" numFmtId="166" xfId="0" applyAlignment="1" applyBorder="1" applyFont="1" applyNumberFormat="1">
      <alignment horizontal="center"/>
    </xf>
    <xf borderId="15" fillId="0" fontId="4" numFmtId="9" xfId="0" applyAlignment="1" applyBorder="1" applyFont="1" applyNumberFormat="1">
      <alignment horizontal="center"/>
    </xf>
    <xf borderId="37" fillId="0" fontId="4" numFmtId="0" xfId="0" applyBorder="1" applyFont="1"/>
    <xf borderId="1" fillId="30" fontId="15" numFmtId="0" xfId="0" applyAlignment="1" applyBorder="1" applyFill="1" applyFont="1">
      <alignment horizontal="center" readingOrder="0" vertical="center"/>
    </xf>
    <xf borderId="15" fillId="0" fontId="7" numFmtId="0" xfId="0" applyAlignment="1" applyBorder="1" applyFont="1">
      <alignment horizontal="center" shrinkToFit="0" wrapText="0"/>
    </xf>
    <xf borderId="7" fillId="0" fontId="2" numFmtId="0" xfId="0" applyAlignment="1" applyBorder="1" applyFont="1">
      <alignment horizontal="left"/>
    </xf>
    <xf borderId="7" fillId="0" fontId="2" numFmtId="0" xfId="0" applyBorder="1" applyFont="1"/>
    <xf borderId="7" fillId="2" fontId="55" numFmtId="0" xfId="0" applyBorder="1" applyFill="1" applyFont="1"/>
    <xf borderId="7" fillId="2" fontId="2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7" fillId="0" fontId="55" numFmtId="0" xfId="0" applyBorder="1" applyFont="1"/>
    <xf borderId="7" fillId="0" fontId="50" numFmtId="0" xfId="0" applyBorder="1" applyFont="1"/>
    <xf borderId="15" fillId="0" fontId="2" numFmtId="0" xfId="0" applyAlignment="1" applyBorder="1" applyFont="1">
      <alignment horizontal="left"/>
    </xf>
    <xf borderId="15" fillId="0" fontId="2" numFmtId="0" xfId="0" applyBorder="1" applyFont="1"/>
    <xf borderId="15" fillId="2" fontId="55" numFmtId="0" xfId="0" applyBorder="1" applyFill="1" applyFont="1"/>
    <xf borderId="15" fillId="0" fontId="2" numFmtId="0" xfId="0" applyAlignment="1" applyBorder="1" applyFont="1">
      <alignment horizontal="center"/>
    </xf>
    <xf borderId="15" fillId="0" fontId="55" numFmtId="0" xfId="0" applyBorder="1" applyFont="1"/>
    <xf borderId="15" fillId="0" fontId="50" numFmtId="0" xfId="0" applyBorder="1" applyFont="1"/>
    <xf borderId="15" fillId="0" fontId="2" numFmtId="0" xfId="0" applyAlignment="1" applyBorder="1" applyFont="1">
      <alignment vertical="center"/>
    </xf>
    <xf borderId="1" fillId="0" fontId="7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horizontal="left" readingOrder="0" shrinkToFit="0" wrapText="0"/>
    </xf>
    <xf quotePrefix="1" borderId="1" fillId="0" fontId="7" numFmtId="0" xfId="0" applyAlignment="1" applyBorder="1" applyFont="1">
      <alignment horizontal="left" readingOrder="0" shrinkToFit="0" wrapText="0"/>
    </xf>
    <xf borderId="7" fillId="0" fontId="4" numFmtId="0" xfId="0" applyAlignment="1" applyBorder="1" applyFont="1">
      <alignment horizontal="left" readingOrder="0" vertical="center"/>
    </xf>
    <xf borderId="7" fillId="0" fontId="7" numFmtId="0" xfId="0" applyAlignment="1" applyBorder="1" applyFont="1">
      <alignment horizontal="left" vertical="center"/>
    </xf>
    <xf borderId="7" fillId="13" fontId="12" numFmtId="0" xfId="0" applyAlignment="1" applyBorder="1" applyFill="1" applyFont="1">
      <alignment horizontal="left" vertical="center"/>
    </xf>
    <xf borderId="1" fillId="2" fontId="7" numFmtId="0" xfId="0" applyAlignment="1" applyBorder="1" applyFill="1" applyFont="1">
      <alignment readingOrder="0" shrinkToFit="0" wrapText="0"/>
    </xf>
    <xf borderId="14" fillId="2" fontId="12" numFmtId="0" xfId="0" applyAlignment="1" applyBorder="1" applyFill="1" applyFont="1">
      <alignment horizontal="left" vertical="center"/>
    </xf>
    <xf borderId="1" fillId="0" fontId="7" numFmtId="0" xfId="0" applyAlignment="1" applyBorder="1" applyFont="1">
      <alignment horizontal="center" readingOrder="0" shrinkToFit="0" wrapText="0"/>
    </xf>
    <xf borderId="7" fillId="0" fontId="7" numFmtId="0" xfId="0" applyAlignment="1" applyBorder="1" applyFont="1">
      <alignment horizontal="center" readingOrder="0" shrinkToFit="0" wrapText="0"/>
    </xf>
    <xf borderId="1" fillId="0" fontId="31" numFmtId="0" xfId="0" applyAlignment="1" applyBorder="1" applyFont="1">
      <alignment horizontal="center" readingOrder="0" shrinkToFit="0" wrapText="0"/>
    </xf>
    <xf borderId="7" fillId="0" fontId="31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wrapText="0"/>
    </xf>
    <xf borderId="9" fillId="0" fontId="7" numFmtId="0" xfId="0" applyAlignment="1" applyBorder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4" fillId="2" fontId="12" numFmtId="0" xfId="0" applyAlignment="1" applyBorder="1" applyFill="1" applyFont="1">
      <alignment horizontal="left" readingOrder="0" vertical="center"/>
    </xf>
    <xf borderId="1" fillId="13" fontId="12" numFmtId="165" xfId="0" applyAlignment="1" applyBorder="1" applyFill="1" applyFont="1" applyNumberFormat="1">
      <alignment horizontal="center" vertical="center"/>
    </xf>
    <xf borderId="1" fillId="13" fontId="15" numFmtId="0" xfId="0" applyAlignment="1" applyBorder="1" applyFill="1" applyFont="1">
      <alignment horizontal="left" vertical="center"/>
    </xf>
    <xf borderId="4" fillId="9" fontId="12" numFmtId="0" xfId="0" applyAlignment="1" applyBorder="1" applyFill="1" applyFont="1">
      <alignment horizontal="left" vertical="center"/>
    </xf>
    <xf borderId="14" fillId="9" fontId="12" numFmtId="0" xfId="0" applyAlignment="1" applyBorder="1" applyFill="1" applyFont="1">
      <alignment horizontal="left" vertical="center"/>
    </xf>
    <xf borderId="4" fillId="0" fontId="12" numFmtId="166" xfId="0" applyAlignment="1" applyBorder="1" applyFont="1" applyNumberFormat="1">
      <alignment horizontal="left" readingOrder="0" vertical="center"/>
    </xf>
    <xf borderId="9" fillId="16" fontId="4" numFmtId="165" xfId="0" applyAlignment="1" applyBorder="1" applyFill="1" applyFont="1" applyNumberFormat="1">
      <alignment horizontal="center" vertical="center"/>
    </xf>
    <xf borderId="14" fillId="16" fontId="4" numFmtId="0" xfId="0" applyAlignment="1" applyBorder="1" applyFill="1" applyFont="1">
      <alignment horizontal="left" readingOrder="0" vertical="center"/>
    </xf>
    <xf borderId="1" fillId="16" fontId="4" numFmtId="0" xfId="0" applyAlignment="1" applyBorder="1" applyFill="1" applyFont="1">
      <alignment horizontal="left" readingOrder="0" vertical="center"/>
    </xf>
    <xf borderId="1" fillId="16" fontId="7" numFmtId="0" xfId="0" applyAlignment="1" applyBorder="1" applyFill="1" applyFont="1">
      <alignment horizontal="left" readingOrder="0" vertical="center"/>
    </xf>
    <xf borderId="1" fillId="16" fontId="91" numFmtId="0" xfId="0" applyAlignment="1" applyBorder="1" applyFill="1" applyFont="1">
      <alignment readingOrder="0" vertical="center"/>
    </xf>
    <xf borderId="1" fillId="16" fontId="4" numFmtId="166" xfId="0" applyAlignment="1" applyBorder="1" applyFill="1" applyFont="1" applyNumberFormat="1">
      <alignment horizontal="center" readingOrder="0" vertical="center"/>
    </xf>
    <xf borderId="14" fillId="16" fontId="4" numFmtId="0" xfId="0" applyAlignment="1" applyBorder="1" applyFill="1" applyFont="1">
      <alignment horizontal="left" vertical="center"/>
    </xf>
    <xf quotePrefix="1" borderId="1" fillId="16" fontId="4" numFmtId="0" xfId="0" applyAlignment="1" applyBorder="1" applyFill="1" applyFont="1">
      <alignment horizontal="left" readingOrder="0" vertical="center"/>
    </xf>
    <xf borderId="38" fillId="0" fontId="4" numFmtId="0" xfId="0" applyAlignment="1" applyBorder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1" numFmtId="0" xfId="0" applyAlignment="1" applyFont="1">
      <alignment horizontal="left" vertical="center"/>
    </xf>
    <xf borderId="0" fillId="0" fontId="21" numFmtId="0" xfId="0" applyAlignment="1" applyFont="1">
      <alignment readingOrder="0" vertical="center"/>
    </xf>
    <xf borderId="0" fillId="0" fontId="50" numFmtId="0" xfId="0" applyAlignment="1" applyFont="1">
      <alignment readingOrder="0" vertical="center"/>
    </xf>
    <xf borderId="0" fillId="20" fontId="36" numFmtId="0" xfId="0" applyFill="1" applyFont="1"/>
    <xf borderId="0" fillId="11" fontId="2" numFmtId="0" xfId="0" applyAlignment="1" applyFill="1" applyFont="1">
      <alignment vertical="center"/>
    </xf>
    <xf borderId="1" fillId="3" fontId="60" numFmtId="0" xfId="0" applyAlignment="1" applyBorder="1" applyFill="1" applyFont="1">
      <alignment horizontal="left"/>
    </xf>
    <xf borderId="1" fillId="3" fontId="2" numFmtId="0" xfId="0" applyAlignment="1" applyBorder="1" applyFill="1" applyFont="1">
      <alignment horizontal="left" readingOrder="0" vertical="center"/>
    </xf>
    <xf borderId="1" fillId="3" fontId="2" numFmtId="0" xfId="0" applyAlignment="1" applyBorder="1" applyFill="1" applyFont="1">
      <alignment readingOrder="0" vertical="center"/>
    </xf>
    <xf borderId="1" fillId="3" fontId="4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3" fontId="2" numFmtId="166" xfId="0" applyAlignment="1" applyBorder="1" applyFill="1" applyFont="1" applyNumberFormat="1">
      <alignment horizontal="center" readingOrder="0" vertical="center"/>
    </xf>
    <xf borderId="1" fillId="3" fontId="2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horizontal="left" vertical="center"/>
    </xf>
    <xf borderId="0" fillId="3" fontId="56" numFmtId="0" xfId="0" applyAlignment="1" applyFill="1" applyFont="1">
      <alignment vertical="center"/>
    </xf>
    <xf borderId="1" fillId="9" fontId="6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left" readingOrder="0" vertical="center"/>
    </xf>
    <xf borderId="1" fillId="9" fontId="2" numFmtId="0" xfId="0" applyAlignment="1" applyBorder="1" applyFill="1" applyFont="1">
      <alignment readingOrder="0" vertical="center"/>
    </xf>
    <xf borderId="1" fillId="9" fontId="4" numFmtId="0" xfId="0" applyAlignment="1" applyBorder="1" applyFill="1" applyFont="1">
      <alignment horizontal="center" readingOrder="0" vertical="center"/>
    </xf>
    <xf borderId="1" fillId="9" fontId="2" numFmtId="0" xfId="0" applyAlignment="1" applyBorder="1" applyFill="1" applyFont="1">
      <alignment horizontal="center" readingOrder="0" vertical="center"/>
    </xf>
    <xf borderId="1" fillId="9" fontId="2" numFmtId="166" xfId="0" applyAlignment="1" applyBorder="1" applyFill="1" applyFont="1" applyNumberFormat="1">
      <alignment horizontal="center" readingOrder="0" vertical="center"/>
    </xf>
    <xf borderId="1" fillId="9" fontId="2" numFmtId="0" xfId="0" applyAlignment="1" applyBorder="1" applyFill="1" applyFont="1">
      <alignment vertical="center"/>
    </xf>
    <xf borderId="1" fillId="9" fontId="2" numFmtId="0" xfId="0" applyAlignment="1" applyBorder="1" applyFill="1" applyFont="1">
      <alignment horizontal="left" vertical="center"/>
    </xf>
    <xf borderId="0" fillId="2" fontId="55" numFmtId="0" xfId="0" applyFill="1" applyFont="1"/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8">
    <dxf>
      <font>
        <strike/>
        <color rgb="FF434343"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strike/>
        <color rgb="FF434343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i-eBGlD9GCKjjW_oVzhKXTG7rkg5adA55PmkVD7FH2A/edit?usp=sharin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drivekm.thacoagri.com.vn/d/s/15kolxtdi49D2pWcN7d7b1B4HY0yYpGu/B5VZsD6dZu2WpyHkxvned2kQ0VRUEwPO-wjQh3yuTugw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drivekm.thacoagri.com.vn/d/s/15kolxtdi49D2pWcN7d7b1B4HY0yYpGu/B5VZsD6dZu2WpyHkxvned2kQ0VRUEwPO-wjQh3yuTugw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://drivekm.thacoagri.com.vn/d/s/15kolxtdi49D2pWcN7d7b1B4HY0yYpGu/B5VZsD6dZu2WpyHkxvned2kQ0VRUEwPO-wjQh3yuTugw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drivekm.thacoagri.com.vn/d/s/15kolxtdi49D2pWcN7d7b1B4HY0yYpGu/B5VZsD6dZu2WpyHkxvned2kQ0VRUEwPO-wjQh3yuTugw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drivekm.thacoagri.com.vn/d/s/15kolxtdi49D2pWcN7d7b1B4HY0yYpGu/B5VZsD6dZu2WpyHkxvned2kQ0VRUEwPO-wjQh3yuTugw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LRBBv2ohEsXcuUDtJrWEI2DUsbsG_B5eezCFoxwecnQ/edit?usp=sharing" TargetMode="External"/><Relationship Id="rId2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 outlineLevelRow="1"/>
  <cols>
    <col customWidth="1" min="1" max="1" width="17.38"/>
    <col customWidth="1" min="2" max="2" width="36.75"/>
    <col customWidth="1" min="5" max="5" width="21.13"/>
  </cols>
  <sheetData>
    <row r="1">
      <c r="A1" s="1" t="s">
        <v>0</v>
      </c>
      <c r="B1" s="3"/>
      <c r="C1" s="5"/>
      <c r="D1" s="5"/>
      <c r="E1" s="6"/>
      <c r="F1" s="5"/>
      <c r="G1" s="5"/>
      <c r="H1" s="9"/>
      <c r="I1" s="5"/>
      <c r="J1" s="5"/>
      <c r="K1" s="5"/>
      <c r="L1" s="5"/>
    </row>
    <row r="2">
      <c r="A2" s="22" t="str">
        <f>IFERROR(__xludf.DUMMYFUNCTION("IMPORTRANGE(A1,""TỔNG!A1:L"")"),"mã mmtb")</f>
        <v>mã mmtb</v>
      </c>
      <c r="B2" s="26" t="str">
        <f>IFERROR(__xludf.DUMMYFUNCTION("""COMPUTED_VALUE"""),"tên mmtb")</f>
        <v>tên mmtb</v>
      </c>
      <c r="C2" s="28" t="str">
        <f>IFERROR(__xludf.DUMMYFUNCTION("""COMPUTED_VALUE"""),"đvsd")</f>
        <v>đvsd</v>
      </c>
      <c r="D2" s="28" t="str">
        <f>IFERROR(__xludf.DUMMYFUNCTION("""COMPUTED_VALUE"""),"NHÃN HIỆU")</f>
        <v>NHÃN HIỆU</v>
      </c>
      <c r="E2" s="29" t="str">
        <f>IFERROR(__xludf.DUMMYFUNCTION("""COMPUTED_VALUE"""),"XUẤT XỨ")</f>
        <v>XUẤT XỨ</v>
      </c>
      <c r="F2" s="28" t="str">
        <f>IFERROR(__xludf.DUMMYFUNCTION("""COMPUTED_VALUE"""),"NĂM SX")</f>
        <v>NĂM SX</v>
      </c>
      <c r="G2" s="28" t="str">
        <f>IFERROR(__xludf.DUMMYFUNCTION("""COMPUTED_VALUE"""),"MODEL")</f>
        <v>MODEL</v>
      </c>
      <c r="H2" s="34" t="str">
        <f>IFERROR(__xludf.DUMMYFUNCTION("""COMPUTED_VALUE"""),"CÔNG SUẤT")</f>
        <v>CÔNG SUẤT</v>
      </c>
      <c r="I2" s="28" t="str">
        <f>IFERROR(__xludf.DUMMYFUNCTION("""COMPUTED_VALUE"""),"Số khung")</f>
        <v>Số khung</v>
      </c>
      <c r="J2" s="28" t="str">
        <f>IFERROR(__xludf.DUMMYFUNCTION("""COMPUTED_VALUE"""),"Số máy")</f>
        <v>Số máy</v>
      </c>
      <c r="K2" s="28" t="str">
        <f>IFERROR(__xludf.DUMMYFUNCTION("""COMPUTED_VALUE"""),"Định mức nhiên liệu (l/h) hoặc (l/km)")</f>
        <v>Định mức nhiên liệu (l/h) hoặc (l/km)</v>
      </c>
      <c r="L2" s="28" t="str">
        <f>IFERROR(__xludf.DUMMYFUNCTION("""COMPUTED_VALUE"""),"Tình trạng hợp đồng")</f>
        <v>Tình trạng hợp đồng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</row>
    <row r="3">
      <c r="A3" s="42">
        <f>IFERROR(__xludf.DUMMYFUNCTION("""COMPUTED_VALUE"""),1.0)</f>
        <v>1</v>
      </c>
      <c r="B3" s="3">
        <f>IFERROR(__xludf.DUMMYFUNCTION("""COMPUTED_VALUE"""),2.0)</f>
        <v>2</v>
      </c>
      <c r="C3" s="5">
        <f>IFERROR(__xludf.DUMMYFUNCTION("""COMPUTED_VALUE"""),3.0)</f>
        <v>3</v>
      </c>
      <c r="D3" s="5">
        <f>IFERROR(__xludf.DUMMYFUNCTION("""COMPUTED_VALUE"""),4.0)</f>
        <v>4</v>
      </c>
      <c r="E3" s="45">
        <f>IFERROR(__xludf.DUMMYFUNCTION("""COMPUTED_VALUE"""),5.0)</f>
        <v>5</v>
      </c>
      <c r="F3" s="5">
        <f>IFERROR(__xludf.DUMMYFUNCTION("""COMPUTED_VALUE"""),6.0)</f>
        <v>6</v>
      </c>
      <c r="G3" s="5">
        <f>IFERROR(__xludf.DUMMYFUNCTION("""COMPUTED_VALUE"""),7.0)</f>
        <v>7</v>
      </c>
      <c r="H3" s="48">
        <f>IFERROR(__xludf.DUMMYFUNCTION("""COMPUTED_VALUE"""),8.0)</f>
        <v>8</v>
      </c>
      <c r="I3" s="5">
        <f>IFERROR(__xludf.DUMMYFUNCTION("""COMPUTED_VALUE"""),9.0)</f>
        <v>9</v>
      </c>
      <c r="J3" s="5">
        <f>IFERROR(__xludf.DUMMYFUNCTION("""COMPUTED_VALUE"""),10.0)</f>
        <v>10</v>
      </c>
      <c r="K3" s="5">
        <f>IFERROR(__xludf.DUMMYFUNCTION("""COMPUTED_VALUE"""),11.0)</f>
        <v>11</v>
      </c>
      <c r="L3" s="5">
        <f>IFERROR(__xludf.DUMMYFUNCTION("""COMPUTED_VALUE"""),12.0)</f>
        <v>12</v>
      </c>
    </row>
    <row r="4">
      <c r="A4" s="42" t="str">
        <f>IFERROR(__xludf.DUMMYFUNCTION("""COMPUTED_VALUE"""),"CHT-MĐA-001")</f>
        <v>CHT-MĐA-001</v>
      </c>
      <c r="B4" s="3" t="str">
        <f>IFERROR(__xludf.DUMMYFUNCTION("""COMPUTED_VALUE"""),"Máy đào KOBELCO bánh xích gàu 1.2m3")</f>
        <v>Máy đào KOBELCO bánh xích gàu 1.2m3</v>
      </c>
      <c r="C4" s="5" t="str">
        <f>IFERROR(__xludf.DUMMYFUNCTION("""COMPUTED_VALUE"""),"CGTC DP")</f>
        <v>CGTC DP</v>
      </c>
      <c r="D4" s="5" t="str">
        <f>IFERROR(__xludf.DUMMYFUNCTION("""COMPUTED_VALUE"""),"KOBELCO")</f>
        <v>KOBELCO</v>
      </c>
      <c r="E4" s="57" t="str">
        <f>IFERROR(__xludf.DUMMYFUNCTION("""COMPUTED_VALUE"""),"NHẬT BẢN")</f>
        <v>NHẬT BẢN</v>
      </c>
      <c r="F4" s="5">
        <f>IFERROR(__xludf.DUMMYFUNCTION("""COMPUTED_VALUE"""),2019.0)</f>
        <v>2019</v>
      </c>
      <c r="G4" s="5" t="str">
        <f>IFERROR(__xludf.DUMMYFUNCTION("""COMPUTED_VALUE"""),"SK200-08")</f>
        <v>SK200-08</v>
      </c>
      <c r="H4" s="48" t="str">
        <f>IFERROR(__xludf.DUMMYFUNCTION("""COMPUTED_VALUE"""),"170HP")</f>
        <v>170HP</v>
      </c>
      <c r="I4" s="5" t="str">
        <f>IFERROR(__xludf.DUMMYFUNCTION("""COMPUTED_VALUE"""),"LQ16-10073 ")</f>
        <v>LQ16-10073 </v>
      </c>
      <c r="J4" s="5" t="str">
        <f>IFERROR(__xludf.DUMMYFUNCTION("""COMPUTED_VALUE"""),"R0033333")</f>
        <v>R0033333</v>
      </c>
      <c r="K4" s="5">
        <f>IFERROR(__xludf.DUMMYFUNCTION("""COMPUTED_VALUE"""),17.0)</f>
        <v>17</v>
      </c>
      <c r="L4" s="5" t="str">
        <f>IFERROR(__xludf.DUMMYFUNCTION("""COMPUTED_VALUE"""),"KLH")</f>
        <v>KLH</v>
      </c>
    </row>
    <row r="5">
      <c r="A5" s="42" t="str">
        <f>IFERROR(__xludf.DUMMYFUNCTION("""COMPUTED_VALUE"""),"CHT-MĐA-002")</f>
        <v>CHT-MĐA-002</v>
      </c>
      <c r="B5" s="3" t="str">
        <f>IFERROR(__xludf.DUMMYFUNCTION("""COMPUTED_VALUE"""),"Máy đào SH210 bánh xích gàu 0.9m3")</f>
        <v>Máy đào SH210 bánh xích gàu 0.9m3</v>
      </c>
      <c r="C5" s="5" t="str">
        <f>IFERROR(__xludf.DUMMYFUNCTION("""COMPUTED_VALUE"""),"CGTC DP")</f>
        <v>CGTC DP</v>
      </c>
      <c r="D5" s="5" t="str">
        <f>IFERROR(__xludf.DUMMYFUNCTION("""COMPUTED_VALUE"""),"SUMITOMO")</f>
        <v>SUMITOMO</v>
      </c>
      <c r="E5" s="57" t="str">
        <f>IFERROR(__xludf.DUMMYFUNCTION("""COMPUTED_VALUE"""),"NHẬT BẢN")</f>
        <v>NHẬT BẢN</v>
      </c>
      <c r="F5" s="5">
        <f>IFERROR(__xludf.DUMMYFUNCTION("""COMPUTED_VALUE"""),1993.0)</f>
        <v>1993</v>
      </c>
      <c r="G5" s="5" t="str">
        <f>IFERROR(__xludf.DUMMYFUNCTION("""COMPUTED_VALUE"""),"SH210")</f>
        <v>SH210</v>
      </c>
      <c r="H5" s="48" t="str">
        <f>IFERROR(__xludf.DUMMYFUNCTION("""COMPUTED_VALUE"""),"156HP")</f>
        <v>156HP</v>
      </c>
      <c r="I5" s="5" t="str">
        <f>IFERROR(__xludf.DUMMYFUNCTION("""COMPUTED_VALUE"""),"STN210T6P00BH2390")</f>
        <v>STN210T6P00BH2390</v>
      </c>
      <c r="J5" s="5" t="str">
        <f>IFERROR(__xludf.DUMMYFUNCTION("""COMPUTED_VALUE"""),"CCN")</f>
        <v>CCN</v>
      </c>
      <c r="K5" s="5">
        <f>IFERROR(__xludf.DUMMYFUNCTION("""COMPUTED_VALUE"""),13.0)</f>
        <v>13</v>
      </c>
      <c r="L5" s="5" t="str">
        <f>IFERROR(__xludf.DUMMYFUNCTION("""COMPUTED_VALUE"""),"KLH")</f>
        <v>KLH</v>
      </c>
    </row>
    <row r="6">
      <c r="A6" s="42" t="str">
        <f>IFERROR(__xludf.DUMMYFUNCTION("""COMPUTED_VALUE"""),"CHT-MĐA-003")</f>
        <v>CHT-MĐA-003</v>
      </c>
      <c r="B6" s="3" t="str">
        <f>IFERROR(__xludf.DUMMYFUNCTION("""COMPUTED_VALUE"""),"Máy đào DX140W bánh lốp gàu 0.7m3")</f>
        <v>Máy đào DX140W bánh lốp gàu 0.7m3</v>
      </c>
      <c r="C6" s="5" t="str">
        <f>IFERROR(__xludf.DUMMYFUNCTION("""COMPUTED_VALUE"""),"CGTC DP")</f>
        <v>CGTC DP</v>
      </c>
      <c r="D6" s="5" t="str">
        <f>IFERROR(__xludf.DUMMYFUNCTION("""COMPUTED_VALUE"""),"DOOSAN")</f>
        <v>DOOSAN</v>
      </c>
      <c r="E6" s="57" t="str">
        <f>IFERROR(__xludf.DUMMYFUNCTION("""COMPUTED_VALUE"""),"HÀN QUỐC")</f>
        <v>HÀN QUỐC</v>
      </c>
      <c r="F6" s="5">
        <f>IFERROR(__xludf.DUMMYFUNCTION("""COMPUTED_VALUE"""),2019.0)</f>
        <v>2019</v>
      </c>
      <c r="G6" s="5" t="str">
        <f>IFERROR(__xludf.DUMMYFUNCTION("""COMPUTED_VALUE"""),"DX140W")</f>
        <v>DX140W</v>
      </c>
      <c r="H6" s="48" t="str">
        <f>IFERROR(__xludf.DUMMYFUNCTION("""COMPUTED_VALUE"""),"133HP")</f>
        <v>133HP</v>
      </c>
      <c r="I6" s="5" t="str">
        <f>IFERROR(__xludf.DUMMYFUNCTION("""COMPUTED_VALUE"""),"DHKCEWAAVK5008713")</f>
        <v>DHKCEWAAVK5008713</v>
      </c>
      <c r="J6" s="5" t="str">
        <f>IFERROR(__xludf.DUMMYFUNCTION("""COMPUTED_VALUE"""),"CCN")</f>
        <v>CCN</v>
      </c>
      <c r="K6" s="5">
        <f>IFERROR(__xludf.DUMMYFUNCTION("""COMPUTED_VALUE"""),10.0)</f>
        <v>10</v>
      </c>
      <c r="L6" s="5" t="str">
        <f>IFERROR(__xludf.DUMMYFUNCTION("""COMPUTED_VALUE"""),"KLH")</f>
        <v>KLH</v>
      </c>
    </row>
    <row r="7">
      <c r="A7" s="42" t="str">
        <f>IFERROR(__xludf.DUMMYFUNCTION("""COMPUTED_VALUE"""),"CHT-MĐA-004")</f>
        <v>CHT-MĐA-004</v>
      </c>
      <c r="B7" s="3" t="str">
        <f>IFERROR(__xludf.DUMMYFUNCTION("""COMPUTED_VALUE"""),"Máy đào DX140W bánh lốp gàu 0.7m3")</f>
        <v>Máy đào DX140W bánh lốp gàu 0.7m3</v>
      </c>
      <c r="C7" s="5" t="str">
        <f>IFERROR(__xludf.DUMMYFUNCTION("""COMPUTED_VALUE"""),"CGTC DP")</f>
        <v>CGTC DP</v>
      </c>
      <c r="D7" s="5" t="str">
        <f>IFERROR(__xludf.DUMMYFUNCTION("""COMPUTED_VALUE"""),"DOOSAN")</f>
        <v>DOOSAN</v>
      </c>
      <c r="E7" s="57" t="str">
        <f>IFERROR(__xludf.DUMMYFUNCTION("""COMPUTED_VALUE"""),"HÀN QUỐC")</f>
        <v>HÀN QUỐC</v>
      </c>
      <c r="F7" s="5">
        <f>IFERROR(__xludf.DUMMYFUNCTION("""COMPUTED_VALUE"""),2018.0)</f>
        <v>2018</v>
      </c>
      <c r="G7" s="5" t="str">
        <f>IFERROR(__xludf.DUMMYFUNCTION("""COMPUTED_VALUE"""),"DX140W")</f>
        <v>DX140W</v>
      </c>
      <c r="H7" s="48" t="str">
        <f>IFERROR(__xludf.DUMMYFUNCTION("""COMPUTED_VALUE"""),"133HP")</f>
        <v>133HP</v>
      </c>
      <c r="I7" s="5" t="str">
        <f>IFERROR(__xludf.DUMMYFUNCTION("""COMPUTED_VALUE"""),"DHKCEWAAEK5008652")</f>
        <v>DHKCEWAAEK5008652</v>
      </c>
      <c r="J7" s="5" t="str">
        <f>IFERROR(__xludf.DUMMYFUNCTION("""COMPUTED_VALUE"""),"CCN")</f>
        <v>CCN</v>
      </c>
      <c r="K7" s="5">
        <f>IFERROR(__xludf.DUMMYFUNCTION("""COMPUTED_VALUE"""),10.0)</f>
        <v>10</v>
      </c>
      <c r="L7" s="5" t="str">
        <f>IFERROR(__xludf.DUMMYFUNCTION("""COMPUTED_VALUE"""),"KLH")</f>
        <v>KLH</v>
      </c>
    </row>
    <row r="8">
      <c r="A8" s="42" t="str">
        <f>IFERROR(__xludf.DUMMYFUNCTION("""COMPUTED_VALUE"""),"CHT-MĐA-044")</f>
        <v>CHT-MĐA-044</v>
      </c>
      <c r="B8" s="3" t="str">
        <f>IFERROR(__xludf.DUMMYFUNCTION("""COMPUTED_VALUE"""),"Máy đào SH210 bánh xích gàu 0.9m3")</f>
        <v>Máy đào SH210 bánh xích gàu 0.9m3</v>
      </c>
      <c r="C8" s="5" t="str">
        <f>IFERROR(__xludf.DUMMYFUNCTION("""COMPUTED_VALUE"""),"CGTC DP")</f>
        <v>CGTC DP</v>
      </c>
      <c r="D8" s="5" t="str">
        <f>IFERROR(__xludf.DUMMYFUNCTION("""COMPUTED_VALUE"""),"SUMITOMO")</f>
        <v>SUMITOMO</v>
      </c>
      <c r="E8" s="57" t="str">
        <f>IFERROR(__xludf.DUMMYFUNCTION("""COMPUTED_VALUE"""),"NHẬT BẢN")</f>
        <v>NHẬT BẢN</v>
      </c>
      <c r="F8" s="5">
        <f>IFERROR(__xludf.DUMMYFUNCTION("""COMPUTED_VALUE"""),2020.0)</f>
        <v>2020</v>
      </c>
      <c r="G8" s="5" t="str">
        <f>IFERROR(__xludf.DUMMYFUNCTION("""COMPUTED_VALUE"""),"SH210-6")</f>
        <v>SH210-6</v>
      </c>
      <c r="H8" s="88" t="str">
        <f>IFERROR(__xludf.DUMMYFUNCTION("""COMPUTED_VALUE"""),"160HP")</f>
        <v>160HP</v>
      </c>
      <c r="I8" s="5" t="str">
        <f>IFERROR(__xludf.DUMMYFUNCTION("""COMPUTED_VALUE"""),"STN210T6P00BH2695")</f>
        <v>STN210T6P00BH2695</v>
      </c>
      <c r="J8" s="5" t="str">
        <f>IFERROR(__xludf.DUMMYFUNCTION("""COMPUTED_VALUE"""),"801502")</f>
        <v>801502</v>
      </c>
      <c r="K8" s="5">
        <f>IFERROR(__xludf.DUMMYFUNCTION("""COMPUTED_VALUE"""),13.0)</f>
        <v>13</v>
      </c>
      <c r="L8" s="5" t="str">
        <f>IFERROR(__xludf.DUMMYFUNCTION("""COMPUTED_VALUE"""),"KLH")</f>
        <v>KLH</v>
      </c>
    </row>
    <row r="9">
      <c r="A9" s="42" t="str">
        <f>IFERROR(__xludf.DUMMYFUNCTION("""COMPUTED_VALUE"""),"CHT-MĐA-045")</f>
        <v>CHT-MĐA-045</v>
      </c>
      <c r="B9" s="3" t="str">
        <f>IFERROR(__xludf.DUMMYFUNCTION("""COMPUTED_VALUE"""),"Máy đào SH130 bánh xích gàu 0.5m3")</f>
        <v>Máy đào SH130 bánh xích gàu 0.5m3</v>
      </c>
      <c r="C9" s="5" t="str">
        <f>IFERROR(__xludf.DUMMYFUNCTION("""COMPUTED_VALUE"""),"CGTC DP")</f>
        <v>CGTC DP</v>
      </c>
      <c r="D9" s="5" t="str">
        <f>IFERROR(__xludf.DUMMYFUNCTION("""COMPUTED_VALUE"""),"SUMITOMO")</f>
        <v>SUMITOMO</v>
      </c>
      <c r="E9" s="57" t="str">
        <f>IFERROR(__xludf.DUMMYFUNCTION("""COMPUTED_VALUE"""),"NHẬT BẢN")</f>
        <v>NHẬT BẢN</v>
      </c>
      <c r="F9" s="5">
        <f>IFERROR(__xludf.DUMMYFUNCTION("""COMPUTED_VALUE"""),2021.0)</f>
        <v>2021</v>
      </c>
      <c r="G9" s="5" t="str">
        <f>IFERROR(__xludf.DUMMYFUNCTION("""COMPUTED_VALUE"""),"SH130-6")</f>
        <v>SH130-6</v>
      </c>
      <c r="H9" s="48" t="str">
        <f>IFERROR(__xludf.DUMMYFUNCTION("""COMPUTED_VALUE"""),"96HP")</f>
        <v>96HP</v>
      </c>
      <c r="I9" s="5" t="str">
        <f>IFERROR(__xludf.DUMMYFUNCTION("""COMPUTED_VALUE"""),"STN130T6A00BH1835")</f>
        <v>STN130T6A00BH1835</v>
      </c>
      <c r="J9" s="5" t="str">
        <f>IFERROR(__xludf.DUMMYFUNCTION("""COMPUTED_VALUE"""),"6041164JJ1")</f>
        <v>6041164JJ1</v>
      </c>
      <c r="K9" s="5">
        <f>IFERROR(__xludf.DUMMYFUNCTION("""COMPUTED_VALUE"""),12.0)</f>
        <v>12</v>
      </c>
      <c r="L9" s="5" t="str">
        <f>IFERROR(__xludf.DUMMYFUNCTION("""COMPUTED_VALUE"""),"KLH")</f>
        <v>KLH</v>
      </c>
    </row>
    <row r="10">
      <c r="A10" s="42" t="str">
        <f>IFERROR(__xludf.DUMMYFUNCTION("""COMPUTED_VALUE"""),"CHT-MUI-001")</f>
        <v>CHT-MUI-001</v>
      </c>
      <c r="B10" s="3" t="str">
        <f>IFERROR(__xludf.DUMMYFUNCTION("""COMPUTED_VALUE"""),"Máy ủi KOMATSU D31PX")</f>
        <v>Máy ủi KOMATSU D31PX</v>
      </c>
      <c r="C10" s="5" t="str">
        <f>IFERROR(__xludf.DUMMYFUNCTION("""COMPUTED_VALUE"""),"CGTC DP")</f>
        <v>CGTC DP</v>
      </c>
      <c r="D10" s="5" t="str">
        <f>IFERROR(__xludf.DUMMYFUNCTION("""COMPUTED_VALUE"""),"KOMATSU")</f>
        <v>KOMATSU</v>
      </c>
      <c r="E10" s="57" t="str">
        <f>IFERROR(__xludf.DUMMYFUNCTION("""COMPUTED_VALUE"""),"NHẬT BẢN")</f>
        <v>NHẬT BẢN</v>
      </c>
      <c r="F10" s="5">
        <f>IFERROR(__xludf.DUMMYFUNCTION("""COMPUTED_VALUE"""),1997.0)</f>
        <v>1997</v>
      </c>
      <c r="G10" s="5" t="str">
        <f>IFERROR(__xludf.DUMMYFUNCTION("""COMPUTED_VALUE"""),"D31PX")</f>
        <v>D31PX</v>
      </c>
      <c r="H10" s="88" t="str">
        <f>IFERROR(__xludf.DUMMYFUNCTION("""COMPUTED_VALUE"""),"80HP")</f>
        <v>80HP</v>
      </c>
      <c r="I10" s="5" t="str">
        <f>IFERROR(__xludf.DUMMYFUNCTION("""COMPUTED_VALUE"""),"KMT0D007V0151352")</f>
        <v>KMT0D007V0151352</v>
      </c>
      <c r="J10" s="5" t="str">
        <f>IFERROR(__xludf.DUMMYFUNCTION("""COMPUTED_VALUE"""),"CCN")</f>
        <v>CCN</v>
      </c>
      <c r="K10" s="5">
        <f>IFERROR(__xludf.DUMMYFUNCTION("""COMPUTED_VALUE"""),8.0)</f>
        <v>8</v>
      </c>
      <c r="L10" s="5" t="str">
        <f>IFERROR(__xludf.DUMMYFUNCTION("""COMPUTED_VALUE"""),"KLH")</f>
        <v>KLH</v>
      </c>
    </row>
    <row r="11">
      <c r="A11" s="42" t="str">
        <f>IFERROR(__xludf.DUMMYFUNCTION("""COMPUTED_VALUE"""),"CHT-MUI-002")</f>
        <v>CHT-MUI-002</v>
      </c>
      <c r="B11" s="3" t="str">
        <f>IFERROR(__xludf.DUMMYFUNCTION("""COMPUTED_VALUE"""),"Máy ủi KOMATSU D60P-12E")</f>
        <v>Máy ủi KOMATSU D60P-12E</v>
      </c>
      <c r="C11" s="5" t="str">
        <f>IFERROR(__xludf.DUMMYFUNCTION("""COMPUTED_VALUE"""),"CGTC DP")</f>
        <v>CGTC DP</v>
      </c>
      <c r="D11" s="5" t="str">
        <f>IFERROR(__xludf.DUMMYFUNCTION("""COMPUTED_VALUE"""),"KOMATSU")</f>
        <v>KOMATSU</v>
      </c>
      <c r="E11" s="57" t="str">
        <f>IFERROR(__xludf.DUMMYFUNCTION("""COMPUTED_VALUE"""),"NHẬT BẢN")</f>
        <v>NHẬT BẢN</v>
      </c>
      <c r="F11" s="5">
        <f>IFERROR(__xludf.DUMMYFUNCTION("""COMPUTED_VALUE"""),2002.0)</f>
        <v>2002</v>
      </c>
      <c r="G11" s="5" t="str">
        <f>IFERROR(__xludf.DUMMYFUNCTION("""COMPUTED_VALUE"""),"D60P-12E")</f>
        <v>D60P-12E</v>
      </c>
      <c r="H11" s="88" t="str">
        <f>IFERROR(__xludf.DUMMYFUNCTION("""COMPUTED_VALUE"""),"190HP")</f>
        <v>190HP</v>
      </c>
      <c r="I11" s="5" t="str">
        <f>IFERROR(__xludf.DUMMYFUNCTION("""COMPUTED_VALUE"""),"D60P1260763")</f>
        <v>D60P1260763</v>
      </c>
      <c r="J11" s="5" t="str">
        <f>IFERROR(__xludf.DUMMYFUNCTION("""COMPUTED_VALUE"""),"CCN")</f>
        <v>CCN</v>
      </c>
      <c r="K11" s="5">
        <f>IFERROR(__xludf.DUMMYFUNCTION("""COMPUTED_VALUE"""),14.0)</f>
        <v>14</v>
      </c>
      <c r="L11" s="5" t="str">
        <f>IFERROR(__xludf.DUMMYFUNCTION("""COMPUTED_VALUE"""),"KLH")</f>
        <v>KLH</v>
      </c>
    </row>
    <row r="12">
      <c r="A12" s="42" t="str">
        <f>IFERROR(__xludf.DUMMYFUNCTION("""COMPUTED_VALUE"""),"CHT-MUI-010")</f>
        <v>CHT-MUI-010</v>
      </c>
      <c r="B12" s="3" t="str">
        <f>IFERROR(__xludf.DUMMYFUNCTION("""COMPUTED_VALUE"""),"Máy ủi KOMATSU D65P-12")</f>
        <v>Máy ủi KOMATSU D65P-12</v>
      </c>
      <c r="C12" s="5" t="str">
        <f>IFERROR(__xludf.DUMMYFUNCTION("""COMPUTED_VALUE"""),"CGTC DP")</f>
        <v>CGTC DP</v>
      </c>
      <c r="D12" s="5" t="str">
        <f>IFERROR(__xludf.DUMMYFUNCTION("""COMPUTED_VALUE"""),"KOMATSU")</f>
        <v>KOMATSU</v>
      </c>
      <c r="E12" s="57" t="str">
        <f>IFERROR(__xludf.DUMMYFUNCTION("""COMPUTED_VALUE"""),"NHẬT BẢN")</f>
        <v>NHẬT BẢN</v>
      </c>
      <c r="F12" s="5">
        <f>IFERROR(__xludf.DUMMYFUNCTION("""COMPUTED_VALUE"""),1992.0)</f>
        <v>1992</v>
      </c>
      <c r="G12" s="5" t="str">
        <f>IFERROR(__xludf.DUMMYFUNCTION("""COMPUTED_VALUE"""),"D65P-12")</f>
        <v>D65P-12</v>
      </c>
      <c r="H12" s="88" t="str">
        <f>IFERROR(__xludf.DUMMYFUNCTION("""COMPUTED_VALUE"""),"190HP")</f>
        <v>190HP</v>
      </c>
      <c r="I12" s="5" t="str">
        <f>IFERROR(__xludf.DUMMYFUNCTION("""COMPUTED_VALUE"""),"D65P1260304")</f>
        <v>D65P1260304</v>
      </c>
      <c r="J12" s="5" t="str">
        <f>IFERROR(__xludf.DUMMYFUNCTION("""COMPUTED_VALUE"""),"6D12554976")</f>
        <v>6D12554976</v>
      </c>
      <c r="K12" s="5">
        <f>IFERROR(__xludf.DUMMYFUNCTION("""COMPUTED_VALUE"""),14.0)</f>
        <v>14</v>
      </c>
      <c r="L12" s="5" t="str">
        <f>IFERROR(__xludf.DUMMYFUNCTION("""COMPUTED_VALUE"""),"KLH")</f>
        <v>KLH</v>
      </c>
    </row>
    <row r="13">
      <c r="A13" s="42" t="str">
        <f>IFERROR(__xludf.DUMMYFUNCTION("""COMPUTED_VALUE"""),"CHT-MUI-013")</f>
        <v>CHT-MUI-013</v>
      </c>
      <c r="B13" s="3" t="str">
        <f>IFERROR(__xludf.DUMMYFUNCTION("""COMPUTED_VALUE"""),"Máy ủi KOMATSU D60P-12E")</f>
        <v>Máy ủi KOMATSU D60P-12E</v>
      </c>
      <c r="C13" s="5" t="str">
        <f>IFERROR(__xludf.DUMMYFUNCTION("""COMPUTED_VALUE"""),"CGTC DP")</f>
        <v>CGTC DP</v>
      </c>
      <c r="D13" s="5" t="str">
        <f>IFERROR(__xludf.DUMMYFUNCTION("""COMPUTED_VALUE"""),"KOMATSU")</f>
        <v>KOMATSU</v>
      </c>
      <c r="E13" s="57" t="str">
        <f>IFERROR(__xludf.DUMMYFUNCTION("""COMPUTED_VALUE"""),"NHẬT BẢN")</f>
        <v>NHẬT BẢN</v>
      </c>
      <c r="F13" s="5">
        <f>IFERROR(__xludf.DUMMYFUNCTION("""COMPUTED_VALUE"""),1994.0)</f>
        <v>1994</v>
      </c>
      <c r="G13" s="5" t="str">
        <f>IFERROR(__xludf.DUMMYFUNCTION("""COMPUTED_VALUE"""),"D60P-12E")</f>
        <v>D60P-12E</v>
      </c>
      <c r="H13" s="88" t="str">
        <f>IFERROR(__xludf.DUMMYFUNCTION("""COMPUTED_VALUE"""),"190HP")</f>
        <v>190HP</v>
      </c>
      <c r="I13" s="5" t="str">
        <f>IFERROR(__xludf.DUMMYFUNCTION("""COMPUTED_VALUE"""),"D60P1260928")</f>
        <v>D60P1260928</v>
      </c>
      <c r="J13" s="5" t="str">
        <f>IFERROR(__xludf.DUMMYFUNCTION("""COMPUTED_VALUE"""),"6D12562174")</f>
        <v>6D12562174</v>
      </c>
      <c r="K13" s="5">
        <f>IFERROR(__xludf.DUMMYFUNCTION("""COMPUTED_VALUE"""),14.0)</f>
        <v>14</v>
      </c>
      <c r="L13" s="5" t="str">
        <f>IFERROR(__xludf.DUMMYFUNCTION("""COMPUTED_VALUE"""),"KLH")</f>
        <v>KLH</v>
      </c>
    </row>
    <row r="14">
      <c r="A14" s="42" t="str">
        <f>IFERROR(__xludf.DUMMYFUNCTION("""COMPUTED_VALUE"""),"CHT-XTA-014")</f>
        <v>CHT-XTA-014</v>
      </c>
      <c r="B14" s="3" t="str">
        <f>IFERROR(__xludf.DUMMYFUNCTION("""COMPUTED_VALUE"""),"Xe ben AUMAN GTL D300 E4")</f>
        <v>Xe ben AUMAN GTL D300 E4</v>
      </c>
      <c r="C14" s="5" t="str">
        <f>IFERROR(__xludf.DUMMYFUNCTION("""COMPUTED_VALUE"""),"CGTC DP")</f>
        <v>CGTC DP</v>
      </c>
      <c r="D14" s="5" t="str">
        <f>IFERROR(__xludf.DUMMYFUNCTION("""COMPUTED_VALUE"""),"THACO AUMAN")</f>
        <v>THACO AUMAN</v>
      </c>
      <c r="E14" s="57" t="str">
        <f>IFERROR(__xludf.DUMMYFUNCTION("""COMPUTED_VALUE"""),"VIỆT NAM")</f>
        <v>VIỆT NAM</v>
      </c>
      <c r="F14" s="5">
        <f>IFERROR(__xludf.DUMMYFUNCTION("""COMPUTED_VALUE"""),2018.0)</f>
        <v>2018</v>
      </c>
      <c r="G14" s="5" t="str">
        <f>IFERROR(__xludf.DUMMYFUNCTION("""COMPUTED_VALUE"""),"GTL D300E4")</f>
        <v>GTL D300E4</v>
      </c>
      <c r="H14" s="48" t="str">
        <f>IFERROR(__xludf.DUMMYFUNCTION("""COMPUTED_VALUE"""),"375HP")</f>
        <v>375HP</v>
      </c>
      <c r="I14" s="5" t="str">
        <f>IFERROR(__xludf.DUMMYFUNCTION("""COMPUTED_VALUE"""),"RNHD30FWAJC078089")</f>
        <v>RNHD30FWAJC078089</v>
      </c>
      <c r="J14" s="5" t="str">
        <f>IFERROR(__xludf.DUMMYFUNCTION("""COMPUTED_VALUE"""),"CCN")</f>
        <v>CCN</v>
      </c>
      <c r="K14" s="5">
        <f>IFERROR(__xludf.DUMMYFUNCTION("""COMPUTED_VALUE"""),1.41)</f>
        <v>1.41</v>
      </c>
      <c r="L14" s="5" t="str">
        <f>IFERROR(__xludf.DUMMYFUNCTION("""COMPUTED_VALUE"""),"KLH")</f>
        <v>KLH</v>
      </c>
    </row>
    <row r="15">
      <c r="A15" s="42" t="str">
        <f>IFERROR(__xludf.DUMMYFUNCTION("""COMPUTED_VALUE"""),"CHT-XTA-024")</f>
        <v>CHT-XTA-024</v>
      </c>
      <c r="B15" s="3" t="str">
        <f>IFERROR(__xludf.DUMMYFUNCTION("""COMPUTED_VALUE"""),"Xe ben HOWO TXD600")</f>
        <v>Xe ben HOWO TXD600</v>
      </c>
      <c r="C15" s="5" t="str">
        <f>IFERROR(__xludf.DUMMYFUNCTION("""COMPUTED_VALUE"""),"CGTC DP")</f>
        <v>CGTC DP</v>
      </c>
      <c r="D15" s="5" t="str">
        <f>IFERROR(__xludf.DUMMYFUNCTION("""COMPUTED_VALUE"""),"HOWO")</f>
        <v>HOWO</v>
      </c>
      <c r="E15" s="57" t="str">
        <f>IFERROR(__xludf.DUMMYFUNCTION("""COMPUTED_VALUE"""),"VIỆT NAM")</f>
        <v>VIỆT NAM</v>
      </c>
      <c r="F15" s="5">
        <f>IFERROR(__xludf.DUMMYFUNCTION("""COMPUTED_VALUE"""),2022.0)</f>
        <v>2022</v>
      </c>
      <c r="G15" s="5" t="str">
        <f>IFERROR(__xludf.DUMMYFUNCTION("""COMPUTED_VALUE"""),"HOWO TX D600")</f>
        <v>HOWO TX D600</v>
      </c>
      <c r="H15" s="88" t="str">
        <f>IFERROR(__xludf.DUMMYFUNCTION("""COMPUTED_VALUE"""),"380HP")</f>
        <v>380HP</v>
      </c>
      <c r="I15" s="5" t="str">
        <f>IFERROR(__xludf.DUMMYFUNCTION("""COMPUTED_VALUE"""),"RNHD24CWANT057806")</f>
        <v>RNHD24CWANT057806</v>
      </c>
      <c r="J15" s="5" t="str">
        <f>IFERROR(__xludf.DUMMYFUNCTION("""COMPUTED_VALUE"""),"1622B008395")</f>
        <v>1622B008395</v>
      </c>
      <c r="K15" s="5">
        <f>IFERROR(__xludf.DUMMYFUNCTION("""COMPUTED_VALUE"""),1.34)</f>
        <v>1.34</v>
      </c>
      <c r="L15" s="5" t="str">
        <f>IFERROR(__xludf.DUMMYFUNCTION("""COMPUTED_VALUE"""),"KLH")</f>
        <v>KLH</v>
      </c>
    </row>
    <row r="16">
      <c r="A16" s="42" t="str">
        <f>IFERROR(__xludf.DUMMYFUNCTION("""COMPUTED_VALUE"""),"CHT-XTA-025")</f>
        <v>CHT-XTA-025</v>
      </c>
      <c r="B16" s="3" t="str">
        <f>IFERROR(__xludf.DUMMYFUNCTION("""COMPUTED_VALUE"""),"Xe ben HOWO TXD600")</f>
        <v>Xe ben HOWO TXD600</v>
      </c>
      <c r="C16" s="5" t="str">
        <f>IFERROR(__xludf.DUMMYFUNCTION("""COMPUTED_VALUE"""),"CGTC DP")</f>
        <v>CGTC DP</v>
      </c>
      <c r="D16" s="5" t="str">
        <f>IFERROR(__xludf.DUMMYFUNCTION("""COMPUTED_VALUE"""),"HOWO")</f>
        <v>HOWO</v>
      </c>
      <c r="E16" s="57" t="str">
        <f>IFERROR(__xludf.DUMMYFUNCTION("""COMPUTED_VALUE"""),"VIỆT NAM")</f>
        <v>VIỆT NAM</v>
      </c>
      <c r="F16" s="5">
        <f>IFERROR(__xludf.DUMMYFUNCTION("""COMPUTED_VALUE"""),2022.0)</f>
        <v>2022</v>
      </c>
      <c r="G16" s="5" t="str">
        <f>IFERROR(__xludf.DUMMYFUNCTION("""COMPUTED_VALUE"""),"HOWO TX D600")</f>
        <v>HOWO TX D600</v>
      </c>
      <c r="H16" s="88" t="str">
        <f>IFERROR(__xludf.DUMMYFUNCTION("""COMPUTED_VALUE"""),"380HP")</f>
        <v>380HP</v>
      </c>
      <c r="I16" s="5" t="str">
        <f>IFERROR(__xludf.DUMMYFUNCTION("""COMPUTED_VALUE"""),"RNHD24CWANT057808")</f>
        <v>RNHD24CWANT057808</v>
      </c>
      <c r="J16" s="5" t="str">
        <f>IFERROR(__xludf.DUMMYFUNCTION("""COMPUTED_VALUE"""),"1622B008391")</f>
        <v>1622B008391</v>
      </c>
      <c r="K16" s="5">
        <f>IFERROR(__xludf.DUMMYFUNCTION("""COMPUTED_VALUE"""),1.34)</f>
        <v>1.34</v>
      </c>
      <c r="L16" s="5" t="str">
        <f>IFERROR(__xludf.DUMMYFUNCTION("""COMPUTED_VALUE"""),"KLH")</f>
        <v>KLH</v>
      </c>
    </row>
    <row r="17">
      <c r="A17" s="42" t="str">
        <f>IFERROR(__xludf.DUMMYFUNCTION("""COMPUTED_VALUE"""),"CHT-XTA-026")</f>
        <v>CHT-XTA-026</v>
      </c>
      <c r="B17" s="3" t="str">
        <f>IFERROR(__xludf.DUMMYFUNCTION("""COMPUTED_VALUE"""),"Xe ben HOWO TXD600")</f>
        <v>Xe ben HOWO TXD600</v>
      </c>
      <c r="C17" s="5" t="str">
        <f>IFERROR(__xludf.DUMMYFUNCTION("""COMPUTED_VALUE"""),"CGTC DP")</f>
        <v>CGTC DP</v>
      </c>
      <c r="D17" s="5" t="str">
        <f>IFERROR(__xludf.DUMMYFUNCTION("""COMPUTED_VALUE"""),"HOWO")</f>
        <v>HOWO</v>
      </c>
      <c r="E17" s="57" t="str">
        <f>IFERROR(__xludf.DUMMYFUNCTION("""COMPUTED_VALUE"""),"VIỆT NAM")</f>
        <v>VIỆT NAM</v>
      </c>
      <c r="F17" s="5">
        <f>IFERROR(__xludf.DUMMYFUNCTION("""COMPUTED_VALUE"""),2022.0)</f>
        <v>2022</v>
      </c>
      <c r="G17" s="5" t="str">
        <f>IFERROR(__xludf.DUMMYFUNCTION("""COMPUTED_VALUE"""),"HOWO TX D600")</f>
        <v>HOWO TX D600</v>
      </c>
      <c r="H17" s="48" t="str">
        <f>IFERROR(__xludf.DUMMYFUNCTION("""COMPUTED_VALUE"""),"380HP")</f>
        <v>380HP</v>
      </c>
      <c r="I17" s="5" t="str">
        <f>IFERROR(__xludf.DUMMYFUNCTION("""COMPUTED_VALUE"""),"RNHD24CWANT057810")</f>
        <v>RNHD24CWANT057810</v>
      </c>
      <c r="J17" s="5" t="str">
        <f>IFERROR(__xludf.DUMMYFUNCTION("""COMPUTED_VALUE"""),"1622B008389")</f>
        <v>1622B008389</v>
      </c>
      <c r="K17" s="5">
        <f>IFERROR(__xludf.DUMMYFUNCTION("""COMPUTED_VALUE"""),0.9)</f>
        <v>0.9</v>
      </c>
      <c r="L17" s="5" t="str">
        <f>IFERROR(__xludf.DUMMYFUNCTION("""COMPUTED_VALUE"""),"KLH")</f>
        <v>KLH</v>
      </c>
    </row>
    <row r="18">
      <c r="A18" s="42" t="str">
        <f>IFERROR(__xludf.DUMMYFUNCTION("""COMPUTED_VALUE"""),"CHT-XTA-036")</f>
        <v>CHT-XTA-036</v>
      </c>
      <c r="B18" s="3" t="str">
        <f>IFERROR(__xludf.DUMMYFUNCTION("""COMPUTED_VALUE"""),"Xe ben HOWO TXD600")</f>
        <v>Xe ben HOWO TXD600</v>
      </c>
      <c r="C18" s="5" t="str">
        <f>IFERROR(__xludf.DUMMYFUNCTION("""COMPUTED_VALUE"""),"CGTC DP")</f>
        <v>CGTC DP</v>
      </c>
      <c r="D18" s="5" t="str">
        <f>IFERROR(__xludf.DUMMYFUNCTION("""COMPUTED_VALUE"""),"HOWO")</f>
        <v>HOWO</v>
      </c>
      <c r="E18" s="57" t="str">
        <f>IFERROR(__xludf.DUMMYFUNCTION("""COMPUTED_VALUE"""),"VIỆT NAM")</f>
        <v>VIỆT NAM</v>
      </c>
      <c r="F18" s="5">
        <f>IFERROR(__xludf.DUMMYFUNCTION("""COMPUTED_VALUE"""),2022.0)</f>
        <v>2022</v>
      </c>
      <c r="G18" s="5" t="str">
        <f>IFERROR(__xludf.DUMMYFUNCTION("""COMPUTED_VALUE"""),"HOWO TX D600")</f>
        <v>HOWO TX D600</v>
      </c>
      <c r="H18" s="125" t="str">
        <f>IFERROR(__xludf.DUMMYFUNCTION("""COMPUTED_VALUE"""),"380HP")</f>
        <v>380HP</v>
      </c>
      <c r="I18" s="5" t="str">
        <f>IFERROR(__xludf.DUMMYFUNCTION("""COMPUTED_VALUE"""),"RNHD24CWART000069")</f>
        <v>RNHD24CWART000069</v>
      </c>
      <c r="J18" s="5" t="str">
        <f>IFERROR(__xludf.DUMMYFUNCTION("""COMPUTED_VALUE"""),"1622F024360")</f>
        <v>1622F024360</v>
      </c>
      <c r="K18" s="5">
        <f>IFERROR(__xludf.DUMMYFUNCTION("""COMPUTED_VALUE"""),1.34)</f>
        <v>1.34</v>
      </c>
      <c r="L18" s="5" t="str">
        <f>IFERROR(__xludf.DUMMYFUNCTION("""COMPUTED_VALUE"""),"KLH")</f>
        <v>KLH</v>
      </c>
    </row>
    <row r="19">
      <c r="A19" s="42" t="str">
        <f>IFERROR(__xludf.DUMMYFUNCTION("""COMPUTED_VALUE"""),"CHT-XLU-001")</f>
        <v>CHT-XLU-001</v>
      </c>
      <c r="B19" s="3" t="str">
        <f>IFERROR(__xludf.DUMMYFUNCTION("""COMPUTED_VALUE"""),"Xe lu rung SV521DH 11 tấn")</f>
        <v>Xe lu rung SV521DH 11 tấn</v>
      </c>
      <c r="C19" s="5" t="str">
        <f>IFERROR(__xludf.DUMMYFUNCTION("""COMPUTED_VALUE"""),"CGTC DP")</f>
        <v>CGTC DP</v>
      </c>
      <c r="D19" s="5" t="str">
        <f>IFERROR(__xludf.DUMMYFUNCTION("""COMPUTED_VALUE"""),"SAKAI")</f>
        <v>SAKAI</v>
      </c>
      <c r="E19" s="57" t="str">
        <f>IFERROR(__xludf.DUMMYFUNCTION("""COMPUTED_VALUE"""),"NHẬT BẢN")</f>
        <v>NHẬT BẢN</v>
      </c>
      <c r="F19" s="5">
        <f>IFERROR(__xludf.DUMMYFUNCTION("""COMPUTED_VALUE"""),2006.0)</f>
        <v>2006</v>
      </c>
      <c r="G19" s="5" t="str">
        <f>IFERROR(__xludf.DUMMYFUNCTION("""COMPUTED_VALUE"""),"SV521DH")</f>
        <v>SV521DH</v>
      </c>
      <c r="H19" s="48" t="str">
        <f>IFERROR(__xludf.DUMMYFUNCTION("""COMPUTED_VALUE"""),"112HP")</f>
        <v>112HP</v>
      </c>
      <c r="I19" s="5" t="str">
        <f>IFERROR(__xludf.DUMMYFUNCTION("""COMPUTED_VALUE"""),"2SV6610202")</f>
        <v>2SV6610202</v>
      </c>
      <c r="J19" s="5" t="str">
        <f>IFERROR(__xludf.DUMMYFUNCTION("""COMPUTED_VALUE"""),"CCN")</f>
        <v>CCN</v>
      </c>
      <c r="K19" s="5">
        <f>IFERROR(__xludf.DUMMYFUNCTION("""COMPUTED_VALUE"""),7.0)</f>
        <v>7</v>
      </c>
      <c r="L19" s="5" t="str">
        <f>IFERROR(__xludf.DUMMYFUNCTION("""COMPUTED_VALUE"""),"KLH")</f>
        <v>KLH</v>
      </c>
    </row>
    <row r="20">
      <c r="A20" s="42" t="str">
        <f>IFERROR(__xludf.DUMMYFUNCTION("""COMPUTED_VALUE"""),"CHT-XLU-002")</f>
        <v>CHT-XLU-002</v>
      </c>
      <c r="B20" s="3" t="str">
        <f>IFERROR(__xludf.DUMMYFUNCTION("""COMPUTED_VALUE"""),"Xe lu tĩnh R2 10 tấn")</f>
        <v>Xe lu tĩnh R2 10 tấn</v>
      </c>
      <c r="C20" s="5" t="str">
        <f>IFERROR(__xludf.DUMMYFUNCTION("""COMPUTED_VALUE"""),"CGTC DP")</f>
        <v>CGTC DP</v>
      </c>
      <c r="D20" s="5" t="str">
        <f>IFERROR(__xludf.DUMMYFUNCTION("""COMPUTED_VALUE"""),"SAKAI")</f>
        <v>SAKAI</v>
      </c>
      <c r="E20" s="57" t="str">
        <f>IFERROR(__xludf.DUMMYFUNCTION("""COMPUTED_VALUE"""),"NHẬT BẢN")</f>
        <v>NHẬT BẢN</v>
      </c>
      <c r="F20" s="5">
        <f>IFERROR(__xludf.DUMMYFUNCTION("""COMPUTED_VALUE"""),1990.0)</f>
        <v>1990</v>
      </c>
      <c r="G20" s="5" t="str">
        <f>IFERROR(__xludf.DUMMYFUNCTION("""COMPUTED_VALUE"""),"R2S")</f>
        <v>R2S</v>
      </c>
      <c r="H20" s="48" t="str">
        <f>IFERROR(__xludf.DUMMYFUNCTION("""COMPUTED_VALUE"""),"74HP")</f>
        <v>74HP</v>
      </c>
      <c r="I20" s="5" t="str">
        <f>IFERROR(__xludf.DUMMYFUNCTION("""COMPUTED_VALUE"""),"RR211446")</f>
        <v>RR211446</v>
      </c>
      <c r="J20" s="5" t="str">
        <f>IFERROR(__xludf.DUMMYFUNCTION("""COMPUTED_VALUE"""),"W04DA26254")</f>
        <v>W04DA26254</v>
      </c>
      <c r="K20" s="5">
        <f>IFERROR(__xludf.DUMMYFUNCTION("""COMPUTED_VALUE"""),4.0)</f>
        <v>4</v>
      </c>
      <c r="L20" s="5" t="str">
        <f>IFERROR(__xludf.DUMMYFUNCTION("""COMPUTED_VALUE"""),"KLH")</f>
        <v>KLH</v>
      </c>
    </row>
    <row r="21">
      <c r="A21" s="42" t="str">
        <f>IFERROR(__xludf.DUMMYFUNCTION("""COMPUTED_VALUE"""),"CHT-XBO-005")</f>
        <v>CHT-XBO-005</v>
      </c>
      <c r="B21" s="3" t="str">
        <f>IFERROR(__xludf.DUMMYFUNCTION("""COMPUTED_VALUE"""),"Xe bồn AUMAN ETX D300 (tưới đường)")</f>
        <v>Xe bồn AUMAN ETX D300 (tưới đường)</v>
      </c>
      <c r="C21" s="5" t="str">
        <f>IFERROR(__xludf.DUMMYFUNCTION("""COMPUTED_VALUE"""),"CGTC DP")</f>
        <v>CGTC DP</v>
      </c>
      <c r="D21" s="5" t="str">
        <f>IFERROR(__xludf.DUMMYFUNCTION("""COMPUTED_VALUE"""),"AUMAN")</f>
        <v>AUMAN</v>
      </c>
      <c r="E21" s="57" t="str">
        <f>IFERROR(__xludf.DUMMYFUNCTION("""COMPUTED_VALUE"""),"VIỆT NAM")</f>
        <v>VIỆT NAM</v>
      </c>
      <c r="F21" s="5">
        <f>IFERROR(__xludf.DUMMYFUNCTION("""COMPUTED_VALUE"""),2022.0)</f>
        <v>2022</v>
      </c>
      <c r="G21" s="5" t="str">
        <f>IFERROR(__xludf.DUMMYFUNCTION("""COMPUTED_VALUE""")," ETX D300")</f>
        <v> ETX D300</v>
      </c>
      <c r="H21" s="48" t="str">
        <f>IFERROR(__xludf.DUMMYFUNCTION("""COMPUTED_VALUE"""),"330HP")</f>
        <v>330HP</v>
      </c>
      <c r="I21" s="5" t="str">
        <f>IFERROR(__xludf.DUMMYFUNCTION("""COMPUTED_VALUE"""),"RNHD30FWANT067862")</f>
        <v>RNHD30FWANT067862</v>
      </c>
      <c r="J21" s="5" t="str">
        <f>IFERROR(__xludf.DUMMYFUNCTION("""COMPUTED_VALUE"""),"WP10336E431622D017084")</f>
        <v>WP10336E431622D017084</v>
      </c>
      <c r="K21" s="5">
        <f>IFERROR(__xludf.DUMMYFUNCTION("""COMPUTED_VALUE"""),0.6)</f>
        <v>0.6</v>
      </c>
      <c r="L21" s="5" t="str">
        <f>IFERROR(__xludf.DUMMYFUNCTION("""COMPUTED_VALUE"""),"KLH")</f>
        <v>KLH</v>
      </c>
    </row>
    <row r="22">
      <c r="A22" s="42" t="str">
        <f>IFERROR(__xludf.DUMMYFUNCTION("""COMPUTED_VALUE"""),"CHT-BAN-003")</f>
        <v>CHT-BAN-003</v>
      </c>
      <c r="B22" s="3" t="str">
        <f>IFERROR(__xludf.DUMMYFUNCTION("""COMPUTED_VALUE"""),"Xe ban KOMATSU GD605A")</f>
        <v>Xe ban KOMATSU GD605A</v>
      </c>
      <c r="C22" s="5" t="str">
        <f>IFERROR(__xludf.DUMMYFUNCTION("""COMPUTED_VALUE"""),"CGTC DP")</f>
        <v>CGTC DP</v>
      </c>
      <c r="D22" s="5" t="str">
        <f>IFERROR(__xludf.DUMMYFUNCTION("""COMPUTED_VALUE"""),"KOMATSU")</f>
        <v>KOMATSU</v>
      </c>
      <c r="E22" s="57" t="str">
        <f>IFERROR(__xludf.DUMMYFUNCTION("""COMPUTED_VALUE"""),"NHẬT BẢN")</f>
        <v>NHẬT BẢN</v>
      </c>
      <c r="F22" s="5">
        <f>IFERROR(__xludf.DUMMYFUNCTION("""COMPUTED_VALUE"""),1994.0)</f>
        <v>1994</v>
      </c>
      <c r="G22" s="5" t="str">
        <f>IFERROR(__xludf.DUMMYFUNCTION("""COMPUTED_VALUE"""),"GD605A-5")</f>
        <v>GD605A-5</v>
      </c>
      <c r="H22" s="48" t="str">
        <f>IFERROR(__xludf.DUMMYFUNCTION("""COMPUTED_VALUE"""),"145HP")</f>
        <v>145HP</v>
      </c>
      <c r="I22" s="5" t="str">
        <f>IFERROR(__xludf.DUMMYFUNCTION("""COMPUTED_VALUE"""),"G605A54617")</f>
        <v>G605A54617</v>
      </c>
      <c r="J22" s="5" t="str">
        <f>IFERROR(__xludf.DUMMYFUNCTION("""COMPUTED_VALUE"""),"6D12561378")</f>
        <v>6D12561378</v>
      </c>
      <c r="K22" s="5">
        <f>IFERROR(__xludf.DUMMYFUNCTION("""COMPUTED_VALUE"""),9.3)</f>
        <v>9.3</v>
      </c>
      <c r="L22" s="5" t="str">
        <f>IFERROR(__xludf.DUMMYFUNCTION("""COMPUTED_VALUE"""),"KLH")</f>
        <v>KLH</v>
      </c>
    </row>
    <row r="23">
      <c r="A23" s="42" t="str">
        <f>IFERROR(__xludf.DUMMYFUNCTION("""COMPUTED_VALUE"""),"CHT-BAN-001")</f>
        <v>CHT-BAN-001</v>
      </c>
      <c r="B23" s="3" t="str">
        <f>IFERROR(__xludf.DUMMYFUNCTION("""COMPUTED_VALUE"""),"Xe ban Komatsu 705A")</f>
        <v>Xe ban Komatsu 705A</v>
      </c>
      <c r="C23" s="5" t="str">
        <f>IFERROR(__xludf.DUMMYFUNCTION("""COMPUTED_VALUE"""),"CGTC DP")</f>
        <v>CGTC DP</v>
      </c>
      <c r="D23" s="5" t="str">
        <f>IFERROR(__xludf.DUMMYFUNCTION("""COMPUTED_VALUE"""),"KOMATSU")</f>
        <v>KOMATSU</v>
      </c>
      <c r="E23" s="131" t="str">
        <f>IFERROR(__xludf.DUMMYFUNCTION("""COMPUTED_VALUE"""),"NHẬT BẢN")</f>
        <v>NHẬT BẢN</v>
      </c>
      <c r="F23" s="5">
        <f>IFERROR(__xludf.DUMMYFUNCTION("""COMPUTED_VALUE"""),2018.0)</f>
        <v>2018</v>
      </c>
      <c r="G23" s="5" t="str">
        <f>IFERROR(__xludf.DUMMYFUNCTION("""COMPUTED_VALUE"""),"705A")</f>
        <v>705A</v>
      </c>
      <c r="H23" s="88" t="str">
        <f>IFERROR(__xludf.DUMMYFUNCTION("""COMPUTED_VALUE"""),"200HP")</f>
        <v>200HP</v>
      </c>
      <c r="I23" s="5" t="str">
        <f>IFERROR(__xludf.DUMMYFUNCTION("""COMPUTED_VALUE"""),"G70A4A11006")</f>
        <v>G70A4A11006</v>
      </c>
      <c r="J23" s="5" t="str">
        <f>IFERROR(__xludf.DUMMYFUNCTION("""COMPUTED_VALUE"""),"CCN")</f>
        <v>CCN</v>
      </c>
      <c r="K23" s="5">
        <f>IFERROR(__xludf.DUMMYFUNCTION("""COMPUTED_VALUE"""),14.8)</f>
        <v>14.8</v>
      </c>
      <c r="L23" s="5" t="str">
        <f>IFERROR(__xludf.DUMMYFUNCTION("""COMPUTED_VALUE"""),"KLH")</f>
        <v>KLH</v>
      </c>
    </row>
    <row r="24">
      <c r="A24" s="42" t="str">
        <f>IFERROR(__xludf.DUMMYFUNCTION("""COMPUTED_VALUE"""),"CHT-MĐA-058")</f>
        <v>CHT-MĐA-058</v>
      </c>
      <c r="B24" s="3" t="str">
        <f>IFERROR(__xludf.DUMMYFUNCTION("""COMPUTED_VALUE"""),"Máy đào KOMATSU bánh xích gàu 0.3m3")</f>
        <v>Máy đào KOMATSU bánh xích gàu 0.3m3</v>
      </c>
      <c r="C24" s="5" t="str">
        <f>IFERROR(__xludf.DUMMYFUNCTION("""COMPUTED_VALUE"""),"CGTC DP")</f>
        <v>CGTC DP</v>
      </c>
      <c r="D24" s="5" t="str">
        <f>IFERROR(__xludf.DUMMYFUNCTION("""COMPUTED_VALUE"""),"KOMATSU")</f>
        <v>KOMATSU</v>
      </c>
      <c r="E24" s="57" t="str">
        <f>IFERROR(__xludf.DUMMYFUNCTION("""COMPUTED_VALUE"""),"NHẬT BẢN")</f>
        <v>NHẬT BẢN</v>
      </c>
      <c r="F24" s="5">
        <f>IFERROR(__xludf.DUMMYFUNCTION("""COMPUTED_VALUE"""),2015.0)</f>
        <v>2015</v>
      </c>
      <c r="G24" s="5" t="str">
        <f>IFERROR(__xludf.DUMMYFUNCTION("""COMPUTED_VALUE"""),"PC40MR-3")</f>
        <v>PC40MR-3</v>
      </c>
      <c r="H24" s="88" t="str">
        <f>IFERROR(__xludf.DUMMYFUNCTION("""COMPUTED_VALUE"""),"40HP")</f>
        <v>40HP</v>
      </c>
      <c r="I24" s="5" t="str">
        <f>IFERROR(__xludf.DUMMYFUNCTION("""COMPUTED_VALUE"""),"KMTPC212VFE019356")</f>
        <v>KMTPC212VFE019356</v>
      </c>
      <c r="J24" s="5" t="str">
        <f>IFERROR(__xludf.DUMMYFUNCTION("""COMPUTED_VALUE"""),"38204")</f>
        <v>38204</v>
      </c>
      <c r="K24" s="5">
        <f>IFERROR(__xludf.DUMMYFUNCTION("""COMPUTED_VALUE"""),4.0)</f>
        <v>4</v>
      </c>
      <c r="L24" s="5" t="str">
        <f>IFERROR(__xludf.DUMMYFUNCTION("""COMPUTED_VALUE"""),"KLH")</f>
        <v>KLH</v>
      </c>
    </row>
    <row r="25">
      <c r="A25" s="42" t="str">
        <f>IFERROR(__xludf.DUMMYFUNCTION("""COMPUTED_VALUE"""),"CHT-MĐA-059")</f>
        <v>CHT-MĐA-059</v>
      </c>
      <c r="B25" s="3" t="str">
        <f>IFERROR(__xludf.DUMMYFUNCTION("""COMPUTED_VALUE"""),"Máy đào KOMATSU bánh xích gàu 0.3m3")</f>
        <v>Máy đào KOMATSU bánh xích gàu 0.3m3</v>
      </c>
      <c r="C25" s="5" t="str">
        <f>IFERROR(__xludf.DUMMYFUNCTION("""COMPUTED_VALUE"""),"CGTC DP")</f>
        <v>CGTC DP</v>
      </c>
      <c r="D25" s="5" t="str">
        <f>IFERROR(__xludf.DUMMYFUNCTION("""COMPUTED_VALUE"""),"KOMATSU")</f>
        <v>KOMATSU</v>
      </c>
      <c r="E25" s="57" t="str">
        <f>IFERROR(__xludf.DUMMYFUNCTION("""COMPUTED_VALUE"""),"NHẬT BẢN")</f>
        <v>NHẬT BẢN</v>
      </c>
      <c r="F25" s="5">
        <f>IFERROR(__xludf.DUMMYFUNCTION("""COMPUTED_VALUE"""),2012.0)</f>
        <v>2012</v>
      </c>
      <c r="G25" s="5" t="str">
        <f>IFERROR(__xludf.DUMMYFUNCTION("""COMPUTED_VALUE"""),"PC40MR-3")</f>
        <v>PC40MR-3</v>
      </c>
      <c r="H25" s="88" t="str">
        <f>IFERROR(__xludf.DUMMYFUNCTION("""COMPUTED_VALUE"""),"40HP")</f>
        <v>40HP</v>
      </c>
      <c r="I25" s="5" t="str">
        <f>IFERROR(__xludf.DUMMYFUNCTION("""COMPUTED_VALUE"""),"KMTPC203L04019805")</f>
        <v>KMTPC203L04019805</v>
      </c>
      <c r="J25" s="5" t="str">
        <f>IFERROR(__xludf.DUMMYFUNCTION("""COMPUTED_VALUE"""),"25866")</f>
        <v>25866</v>
      </c>
      <c r="K25" s="5">
        <f>IFERROR(__xludf.DUMMYFUNCTION("""COMPUTED_VALUE"""),4.0)</f>
        <v>4</v>
      </c>
      <c r="L25" s="5" t="str">
        <f>IFERROR(__xludf.DUMMYFUNCTION("""COMPUTED_VALUE"""),"KLH")</f>
        <v>KLH</v>
      </c>
    </row>
    <row r="26">
      <c r="A26" s="42" t="str">
        <f>IFERROR(__xludf.DUMMYFUNCTION("""COMPUTED_VALUE"""),"CHT-MĐA-060")</f>
        <v>CHT-MĐA-060</v>
      </c>
      <c r="B26" s="3" t="str">
        <f>IFERROR(__xludf.DUMMYFUNCTION("""COMPUTED_VALUE"""),"Máy đào KOMATSU bánh xích gàu 0.3m3")</f>
        <v>Máy đào KOMATSU bánh xích gàu 0.3m3</v>
      </c>
      <c r="C26" s="5" t="str">
        <f>IFERROR(__xludf.DUMMYFUNCTION("""COMPUTED_VALUE"""),"CGTC DP")</f>
        <v>CGTC DP</v>
      </c>
      <c r="D26" s="5" t="str">
        <f>IFERROR(__xludf.DUMMYFUNCTION("""COMPUTED_VALUE"""),"KOMATSU")</f>
        <v>KOMATSU</v>
      </c>
      <c r="E26" s="57" t="str">
        <f>IFERROR(__xludf.DUMMYFUNCTION("""COMPUTED_VALUE"""),"NHẬT BẢN")</f>
        <v>NHẬT BẢN</v>
      </c>
      <c r="F26" s="5">
        <f>IFERROR(__xludf.DUMMYFUNCTION("""COMPUTED_VALUE"""),2015.0)</f>
        <v>2015</v>
      </c>
      <c r="G26" s="5" t="str">
        <f>IFERROR(__xludf.DUMMYFUNCTION("""COMPUTED_VALUE"""),"PC40MR-3")</f>
        <v>PC40MR-3</v>
      </c>
      <c r="H26" s="48" t="str">
        <f>IFERROR(__xludf.DUMMYFUNCTION("""COMPUTED_VALUE"""),"40HP")</f>
        <v>40HP</v>
      </c>
      <c r="I26" s="5" t="str">
        <f>IFERROR(__xludf.DUMMYFUNCTION("""COMPUTED_VALUE"""),"KMTPC203AFE023466")</f>
        <v>KMTPC203AFE023466</v>
      </c>
      <c r="J26" s="5" t="str">
        <f>IFERROR(__xludf.DUMMYFUNCTION("""COMPUTED_VALUE"""),"36975")</f>
        <v>36975</v>
      </c>
      <c r="K26" s="5">
        <f>IFERROR(__xludf.DUMMYFUNCTION("""COMPUTED_VALUE"""),4.0)</f>
        <v>4</v>
      </c>
      <c r="L26" s="5" t="str">
        <f>IFERROR(__xludf.DUMMYFUNCTION("""COMPUTED_VALUE"""),"KLH")</f>
        <v>KLH</v>
      </c>
    </row>
    <row r="27">
      <c r="A27" s="42" t="str">
        <f>IFERROR(__xludf.DUMMYFUNCTION("""COMPUTED_VALUE"""),"CHT-MĐA-062")</f>
        <v>CHT-MĐA-062</v>
      </c>
      <c r="B27" s="3" t="str">
        <f>IFERROR(__xludf.DUMMYFUNCTION("""COMPUTED_VALUE"""),"Máy đào KOMATSU bánh xích gàu 0.3m3")</f>
        <v>Máy đào KOMATSU bánh xích gàu 0.3m3</v>
      </c>
      <c r="C27" s="5" t="str">
        <f>IFERROR(__xludf.DUMMYFUNCTION("""COMPUTED_VALUE"""),"CGTC DP")</f>
        <v>CGTC DP</v>
      </c>
      <c r="D27" s="5" t="str">
        <f>IFERROR(__xludf.DUMMYFUNCTION("""COMPUTED_VALUE"""),"KOMATSU")</f>
        <v>KOMATSU</v>
      </c>
      <c r="E27" s="57" t="str">
        <f>IFERROR(__xludf.DUMMYFUNCTION("""COMPUTED_VALUE"""),"NHẬT BẢN")</f>
        <v>NHẬT BẢN</v>
      </c>
      <c r="F27" s="5">
        <f>IFERROR(__xludf.DUMMYFUNCTION("""COMPUTED_VALUE"""),2017.0)</f>
        <v>2017</v>
      </c>
      <c r="G27" s="5" t="str">
        <f>IFERROR(__xludf.DUMMYFUNCTION("""COMPUTED_VALUE"""),"PC55MR-3")</f>
        <v>PC55MR-3</v>
      </c>
      <c r="H27" s="48" t="str">
        <f>IFERROR(__xludf.DUMMYFUNCTION("""COMPUTED_VALUE"""),"40HP")</f>
        <v>40HP</v>
      </c>
      <c r="I27" s="5" t="str">
        <f>IFERROR(__xludf.DUMMYFUNCTION("""COMPUTED_VALUE"""),"020242")</f>
        <v>020242</v>
      </c>
      <c r="J27" s="5" t="str">
        <f>IFERROR(__xludf.DUMMYFUNCTION("""COMPUTED_VALUE"""),"10671")</f>
        <v>10671</v>
      </c>
      <c r="K27" s="5">
        <f>IFERROR(__xludf.DUMMYFUNCTION("""COMPUTED_VALUE"""),4.0)</f>
        <v>4</v>
      </c>
      <c r="L27" s="5" t="str">
        <f>IFERROR(__xludf.DUMMYFUNCTION("""COMPUTED_VALUE"""),"KLH")</f>
        <v>KLH</v>
      </c>
    </row>
    <row r="28">
      <c r="A28" s="42" t="str">
        <f>IFERROR(__xludf.DUMMYFUNCTION("""COMPUTED_VALUE"""),"CHT-MĐA-063")</f>
        <v>CHT-MĐA-063</v>
      </c>
      <c r="B28" s="3" t="str">
        <f>IFERROR(__xludf.DUMMYFUNCTION("""COMPUTED_VALUE"""),"Máy đào KOMATSU bánh xích gàu 0.3m3")</f>
        <v>Máy đào KOMATSU bánh xích gàu 0.3m3</v>
      </c>
      <c r="C28" s="5" t="str">
        <f>IFERROR(__xludf.DUMMYFUNCTION("""COMPUTED_VALUE"""),"CGTC DP")</f>
        <v>CGTC DP</v>
      </c>
      <c r="D28" s="5" t="str">
        <f>IFERROR(__xludf.DUMMYFUNCTION("""COMPUTED_VALUE"""),"KOMATSU")</f>
        <v>KOMATSU</v>
      </c>
      <c r="E28" s="57" t="str">
        <f>IFERROR(__xludf.DUMMYFUNCTION("""COMPUTED_VALUE"""),"NHẬT BẢN")</f>
        <v>NHẬT BẢN</v>
      </c>
      <c r="F28" s="5">
        <f>IFERROR(__xludf.DUMMYFUNCTION("""COMPUTED_VALUE"""),2015.0)</f>
        <v>2015</v>
      </c>
      <c r="G28" s="5" t="str">
        <f>IFERROR(__xludf.DUMMYFUNCTION("""COMPUTED_VALUE"""),"PC55MR-3")</f>
        <v>PC55MR-3</v>
      </c>
      <c r="H28" s="48" t="str">
        <f>IFERROR(__xludf.DUMMYFUNCTION("""COMPUTED_VALUE"""),"40HP")</f>
        <v>40HP</v>
      </c>
      <c r="I28" s="5" t="str">
        <f>IFERROR(__xludf.DUMMYFUNCTION("""COMPUTED_VALUE"""),"019139")</f>
        <v>019139</v>
      </c>
      <c r="J28" s="5" t="str">
        <f>IFERROR(__xludf.DUMMYFUNCTION("""COMPUTED_VALUE"""),"36094")</f>
        <v>36094</v>
      </c>
      <c r="K28" s="5">
        <f>IFERROR(__xludf.DUMMYFUNCTION("""COMPUTED_VALUE"""),4.0)</f>
        <v>4</v>
      </c>
      <c r="L28" s="5" t="str">
        <f>IFERROR(__xludf.DUMMYFUNCTION("""COMPUTED_VALUE"""),"KLH")</f>
        <v>KLH</v>
      </c>
    </row>
    <row r="29">
      <c r="A29" s="42" t="str">
        <f>IFERROR(__xludf.DUMMYFUNCTION("""COMPUTED_VALUE"""),"CHT-MĐA-047")</f>
        <v>CHT-MĐA-047</v>
      </c>
      <c r="B29" s="3" t="str">
        <f>IFERROR(__xludf.DUMMYFUNCTION("""COMPUTED_VALUE"""),"Máy đào KOMATSU bánh xích gàu 0.3m3")</f>
        <v>Máy đào KOMATSU bánh xích gàu 0.3m3</v>
      </c>
      <c r="C29" s="5" t="str">
        <f>IFERROR(__xludf.DUMMYFUNCTION("""COMPUTED_VALUE"""),"CGTC DP")</f>
        <v>CGTC DP</v>
      </c>
      <c r="D29" s="5" t="str">
        <f>IFERROR(__xludf.DUMMYFUNCTION("""COMPUTED_VALUE"""),"KOMATSU")</f>
        <v>KOMATSU</v>
      </c>
      <c r="E29" s="57" t="str">
        <f>IFERROR(__xludf.DUMMYFUNCTION("""COMPUTED_VALUE"""),"NHẬT BẢN")</f>
        <v>NHẬT BẢN</v>
      </c>
      <c r="F29" s="5">
        <f>IFERROR(__xludf.DUMMYFUNCTION("""COMPUTED_VALUE"""),2013.0)</f>
        <v>2013</v>
      </c>
      <c r="G29" s="5" t="str">
        <f>IFERROR(__xludf.DUMMYFUNCTION("""COMPUTED_VALUE"""),"PC40MR-3")</f>
        <v>PC40MR-3</v>
      </c>
      <c r="H29" s="88" t="str">
        <f>IFERROR(__xludf.DUMMYFUNCTION("""COMPUTED_VALUE"""),"40HP")</f>
        <v>40HP</v>
      </c>
      <c r="I29" s="5" t="str">
        <f>IFERROR(__xludf.DUMMYFUNCTION("""COMPUTED_VALUE"""),"KMTPC203V04021194")</f>
        <v>KMTPC203V04021194</v>
      </c>
      <c r="J29" s="5" t="str">
        <f>IFERROR(__xludf.DUMMYFUNCTION("""COMPUTED_VALUE"""),"25275")</f>
        <v>25275</v>
      </c>
      <c r="K29" s="5">
        <f>IFERROR(__xludf.DUMMYFUNCTION("""COMPUTED_VALUE"""),4.0)</f>
        <v>4</v>
      </c>
      <c r="L29" s="5" t="str">
        <f>IFERROR(__xludf.DUMMYFUNCTION("""COMPUTED_VALUE"""),"KLH")</f>
        <v>KLH</v>
      </c>
    </row>
    <row r="30">
      <c r="A30" s="42" t="str">
        <f>IFERROR(__xludf.DUMMYFUNCTION("""COMPUTED_VALUE"""),"CHT-MĐA-048")</f>
        <v>CHT-MĐA-048</v>
      </c>
      <c r="B30" s="3" t="str">
        <f>IFERROR(__xludf.DUMMYFUNCTION("""COMPUTED_VALUE"""),"Máy đào KOMATSU bánh xích gàu 0.3m3")</f>
        <v>Máy đào KOMATSU bánh xích gàu 0.3m3</v>
      </c>
      <c r="C30" s="5" t="str">
        <f>IFERROR(__xludf.DUMMYFUNCTION("""COMPUTED_VALUE"""),"CGTC DP")</f>
        <v>CGTC DP</v>
      </c>
      <c r="D30" s="5" t="str">
        <f>IFERROR(__xludf.DUMMYFUNCTION("""COMPUTED_VALUE"""),"KOMATSU")</f>
        <v>KOMATSU</v>
      </c>
      <c r="E30" s="57" t="str">
        <f>IFERROR(__xludf.DUMMYFUNCTION("""COMPUTED_VALUE"""),"NHẬT BẢN")</f>
        <v>NHẬT BẢN</v>
      </c>
      <c r="F30" s="5">
        <f>IFERROR(__xludf.DUMMYFUNCTION("""COMPUTED_VALUE"""),2013.0)</f>
        <v>2013</v>
      </c>
      <c r="G30" s="5" t="str">
        <f>IFERROR(__xludf.DUMMYFUNCTION("""COMPUTED_VALUE"""),"PC40MR-3")</f>
        <v>PC40MR-3</v>
      </c>
      <c r="H30" s="132" t="str">
        <f>IFERROR(__xludf.DUMMYFUNCTION("""COMPUTED_VALUE"""),"40HP")</f>
        <v>40HP</v>
      </c>
      <c r="I30" s="5" t="str">
        <f>IFERROR(__xludf.DUMMYFUNCTION("""COMPUTED_VALUE"""),"KMTPC203K04021031")</f>
        <v>KMTPC203K04021031</v>
      </c>
      <c r="J30" s="5" t="str">
        <f>IFERROR(__xludf.DUMMYFUNCTION("""COMPUTED_VALUE"""),"27440")</f>
        <v>27440</v>
      </c>
      <c r="K30" s="5">
        <f>IFERROR(__xludf.DUMMYFUNCTION("""COMPUTED_VALUE"""),4.0)</f>
        <v>4</v>
      </c>
      <c r="L30" s="5" t="str">
        <f>IFERROR(__xludf.DUMMYFUNCTION("""COMPUTED_VALUE"""),"KLH")</f>
        <v>KLH</v>
      </c>
    </row>
    <row r="31">
      <c r="A31" s="42" t="str">
        <f>IFERROR(__xludf.DUMMYFUNCTION("""COMPUTED_VALUE"""),"CHT-MĐA-078")</f>
        <v>CHT-MĐA-078</v>
      </c>
      <c r="B31" s="3" t="str">
        <f>IFERROR(__xludf.DUMMYFUNCTION("""COMPUTED_VALUE"""),"Máy đào KOMATSU bánh xích gàu 0.3m3")</f>
        <v>Máy đào KOMATSU bánh xích gàu 0.3m3</v>
      </c>
      <c r="C31" s="5" t="str">
        <f>IFERROR(__xludf.DUMMYFUNCTION("""COMPUTED_VALUE"""),"CGTC DP")</f>
        <v>CGTC DP</v>
      </c>
      <c r="D31" s="5" t="str">
        <f>IFERROR(__xludf.DUMMYFUNCTION("""COMPUTED_VALUE"""),"KOMATSU")</f>
        <v>KOMATSU</v>
      </c>
      <c r="E31" s="57" t="str">
        <f>IFERROR(__xludf.DUMMYFUNCTION("""COMPUTED_VALUE"""),"NHẬT BẢN")</f>
        <v>NHẬT BẢN</v>
      </c>
      <c r="F31" s="5">
        <f>IFERROR(__xludf.DUMMYFUNCTION("""COMPUTED_VALUE"""),2015.0)</f>
        <v>2015</v>
      </c>
      <c r="G31" s="5" t="str">
        <f>IFERROR(__xludf.DUMMYFUNCTION("""COMPUTED_VALUE"""),"PC40MR-3-AC")</f>
        <v>PC40MR-3-AC</v>
      </c>
      <c r="H31" s="48" t="str">
        <f>IFERROR(__xludf.DUMMYFUNCTION("""COMPUTED_VALUE"""),"40HP")</f>
        <v>40HP</v>
      </c>
      <c r="I31" s="5" t="str">
        <f>IFERROR(__xludf.DUMMYFUNCTION("""COMPUTED_VALUE"""),"KMTPC203KFE023963")</f>
        <v>KMTPC203KFE023963</v>
      </c>
      <c r="J31" s="5" t="str">
        <f>IFERROR(__xludf.DUMMYFUNCTION("""COMPUTED_VALUE"""),"KACJ4722")</f>
        <v>KACJ4722</v>
      </c>
      <c r="K31" s="5">
        <f>IFERROR(__xludf.DUMMYFUNCTION("""COMPUTED_VALUE"""),4.0)</f>
        <v>4</v>
      </c>
      <c r="L31" s="5" t="str">
        <f>IFERROR(__xludf.DUMMYFUNCTION("""COMPUTED_VALUE"""),"KLH")</f>
        <v>KLH</v>
      </c>
    </row>
    <row r="32">
      <c r="A32" s="42" t="str">
        <f>IFERROR(__xludf.DUMMYFUNCTION("""COMPUTED_VALUE"""),"CHT-XLU-008")</f>
        <v>CHT-XLU-008</v>
      </c>
      <c r="B32" s="3" t="str">
        <f>IFERROR(__xludf.DUMMYFUNCTION("""COMPUTED_VALUE"""),"Xe lu rung DYNAPAC 5 tấn")</f>
        <v>Xe lu rung DYNAPAC 5 tấn</v>
      </c>
      <c r="C32" s="5" t="str">
        <f>IFERROR(__xludf.DUMMYFUNCTION("""COMPUTED_VALUE"""),"CGTC DP")</f>
        <v>CGTC DP</v>
      </c>
      <c r="D32" s="5" t="str">
        <f>IFERROR(__xludf.DUMMYFUNCTION("""COMPUTED_VALUE"""),"HITACHI")</f>
        <v>HITACHI</v>
      </c>
      <c r="E32" s="57" t="str">
        <f>IFERROR(__xludf.DUMMYFUNCTION("""COMPUTED_VALUE"""),"TRUNG QUỐC")</f>
        <v>TRUNG QUỐC</v>
      </c>
      <c r="F32" s="5">
        <f>IFERROR(__xludf.DUMMYFUNCTION("""COMPUTED_VALUE"""),2005.0)</f>
        <v>2005</v>
      </c>
      <c r="G32" s="5" t="str">
        <f>IFERROR(__xludf.DUMMYFUNCTION("""COMPUTED_VALUE"""),"CC150C-2")</f>
        <v>CC150C-2</v>
      </c>
      <c r="H32" s="48" t="str">
        <f>IFERROR(__xludf.DUMMYFUNCTION("""COMPUTED_VALUE"""),"75HP")</f>
        <v>75HP</v>
      </c>
      <c r="I32" s="5" t="str">
        <f>IFERROR(__xludf.DUMMYFUNCTION("""COMPUTED_VALUE"""),"HCM8U600L00010288")</f>
        <v>HCM8U600L00010288</v>
      </c>
      <c r="J32" s="5" t="str">
        <f>IFERROR(__xludf.DUMMYFUNCTION("""COMPUTED_VALUE"""),"3LD2-453954")</f>
        <v>3LD2-453954</v>
      </c>
      <c r="K32" s="5">
        <f>IFERROR(__xludf.DUMMYFUNCTION("""COMPUTED_VALUE"""),2.6)</f>
        <v>2.6</v>
      </c>
      <c r="L32" s="5" t="str">
        <f>IFERROR(__xludf.DUMMYFUNCTION("""COMPUTED_VALUE"""),"KLH")</f>
        <v>KLH</v>
      </c>
    </row>
    <row r="33">
      <c r="A33" s="42" t="str">
        <f>IFERROR(__xludf.DUMMYFUNCTION("""COMPUTED_VALUE"""),"CHT-MĐA-066")</f>
        <v>CHT-MĐA-066</v>
      </c>
      <c r="B33" s="3" t="str">
        <f>IFERROR(__xludf.DUMMYFUNCTION("""COMPUTED_VALUE"""),"Máy đào KOMATSU bánh lốp gàu 0.7m3")</f>
        <v>Máy đào KOMATSU bánh lốp gàu 0.7m3</v>
      </c>
      <c r="C33" s="5" t="str">
        <f>IFERROR(__xludf.DUMMYFUNCTION("""COMPUTED_VALUE"""),"CGTC DP")</f>
        <v>CGTC DP</v>
      </c>
      <c r="D33" s="5" t="str">
        <f>IFERROR(__xludf.DUMMYFUNCTION("""COMPUTED_VALUE"""),"KOMATSU")</f>
        <v>KOMATSU</v>
      </c>
      <c r="E33" s="57" t="str">
        <f>IFERROR(__xludf.DUMMYFUNCTION("""COMPUTED_VALUE"""),"ĐỨC")</f>
        <v>ĐỨC</v>
      </c>
      <c r="F33" s="5">
        <f>IFERROR(__xludf.DUMMYFUNCTION("""COMPUTED_VALUE"""),2006.0)</f>
        <v>2006</v>
      </c>
      <c r="G33" s="5" t="str">
        <f>IFERROR(__xludf.DUMMYFUNCTION("""COMPUTED_VALUE"""),"PW160-7")</f>
        <v>PW160-7</v>
      </c>
      <c r="H33" s="48" t="str">
        <f>IFERROR(__xludf.DUMMYFUNCTION("""COMPUTED_VALUE"""),"120HP")</f>
        <v>120HP</v>
      </c>
      <c r="I33" s="5" t="str">
        <f>IFERROR(__xludf.DUMMYFUNCTION("""COMPUTED_VALUE"""),"KMTPW013T79H50346")</f>
        <v>KMTPW013T79H50346</v>
      </c>
      <c r="J33" s="5" t="str">
        <f>IFERROR(__xludf.DUMMYFUNCTION("""COMPUTED_VALUE"""),"21721047")</f>
        <v>21721047</v>
      </c>
      <c r="K33" s="5">
        <f>IFERROR(__xludf.DUMMYFUNCTION("""COMPUTED_VALUE"""),10.0)</f>
        <v>10</v>
      </c>
      <c r="L33" s="5" t="str">
        <f>IFERROR(__xludf.DUMMYFUNCTION("""COMPUTED_VALUE"""),"KLH")</f>
        <v>KLH</v>
      </c>
    </row>
    <row r="34">
      <c r="A34" s="135" t="str">
        <f>IFERROR(__xludf.DUMMYFUNCTION("""COMPUTED_VALUE"""),"CHT-MĐA-067")</f>
        <v>CHT-MĐA-067</v>
      </c>
      <c r="B34" s="3" t="str">
        <f>IFERROR(__xludf.DUMMYFUNCTION("""COMPUTED_VALUE"""),"Máy đào KOMATSU bánh lốp gàu 0.8m3")</f>
        <v>Máy đào KOMATSU bánh lốp gàu 0.8m3</v>
      </c>
      <c r="C34" s="5" t="str">
        <f>IFERROR(__xludf.DUMMYFUNCTION("""COMPUTED_VALUE"""),"CGTC DP")</f>
        <v>CGTC DP</v>
      </c>
      <c r="D34" s="5" t="str">
        <f>IFERROR(__xludf.DUMMYFUNCTION("""COMPUTED_VALUE"""),"KOMATSU")</f>
        <v>KOMATSU</v>
      </c>
      <c r="E34" s="57" t="str">
        <f>IFERROR(__xludf.DUMMYFUNCTION("""COMPUTED_VALUE"""),"NHẬT BẢN")</f>
        <v>NHẬT BẢN</v>
      </c>
      <c r="F34" s="5">
        <f>IFERROR(__xludf.DUMMYFUNCTION("""COMPUTED_VALUE"""),2012.0)</f>
        <v>2012</v>
      </c>
      <c r="G34" s="5" t="str">
        <f>IFERROR(__xludf.DUMMYFUNCTION("""COMPUTED_VALUE"""),"PW200-7")</f>
        <v>PW200-7</v>
      </c>
      <c r="H34" s="88" t="str">
        <f>IFERROR(__xludf.DUMMYFUNCTION("""COMPUTED_VALUE"""),"150HP")</f>
        <v>150HP</v>
      </c>
      <c r="I34" s="5" t="str">
        <f>IFERROR(__xludf.DUMMYFUNCTION("""COMPUTED_VALUE"""),"KMTPW015K79H50237")</f>
        <v>KMTPW015K79H50237</v>
      </c>
      <c r="J34" s="5" t="str">
        <f>IFERROR(__xludf.DUMMYFUNCTION("""COMPUTED_VALUE"""),"21719691")</f>
        <v>21719691</v>
      </c>
      <c r="K34" s="5">
        <f>IFERROR(__xludf.DUMMYFUNCTION("""COMPUTED_VALUE"""),12.5)</f>
        <v>12.5</v>
      </c>
      <c r="L34" s="5" t="str">
        <f>IFERROR(__xludf.DUMMYFUNCTION("""COMPUTED_VALUE"""),"KLH")</f>
        <v>KLH</v>
      </c>
    </row>
    <row r="35">
      <c r="A35" s="135" t="str">
        <f>IFERROR(__xludf.DUMMYFUNCTION("""COMPUTED_VALUE"""),"CHT-MĐA-072")</f>
        <v>CHT-MĐA-072</v>
      </c>
      <c r="B35" s="3" t="str">
        <f>IFERROR(__xludf.DUMMYFUNCTION("""COMPUTED_VALUE"""),"Máy đào KOMATSU bánh xích gàu 0.8m3")</f>
        <v>Máy đào KOMATSU bánh xích gàu 0.8m3</v>
      </c>
      <c r="C35" s="5" t="str">
        <f>IFERROR(__xludf.DUMMYFUNCTION("""COMPUTED_VALUE"""),"CGTC DP")</f>
        <v>CGTC DP</v>
      </c>
      <c r="D35" s="5" t="str">
        <f>IFERROR(__xludf.DUMMYFUNCTION("""COMPUTED_VALUE"""),"KOMATSU")</f>
        <v>KOMATSU</v>
      </c>
      <c r="E35" s="57" t="str">
        <f>IFERROR(__xludf.DUMMYFUNCTION("""COMPUTED_VALUE"""),"NHẬT BẢN")</f>
        <v>NHẬT BẢN</v>
      </c>
      <c r="F35" s="5">
        <f>IFERROR(__xludf.DUMMYFUNCTION("""COMPUTED_VALUE"""),2005.0)</f>
        <v>2005</v>
      </c>
      <c r="G35" s="5" t="str">
        <f>IFERROR(__xludf.DUMMYFUNCTION("""COMPUTED_VALUE"""),"PC228US-3N0")</f>
        <v>PC228US-3N0</v>
      </c>
      <c r="H35" s="88" t="str">
        <f>IFERROR(__xludf.DUMMYFUNCTION("""COMPUTED_VALUE"""),"145HP")</f>
        <v>145HP</v>
      </c>
      <c r="I35" s="5" t="str">
        <f>IFERROR(__xludf.DUMMYFUNCTION("""COMPUTED_VALUE"""),"KMTPC057E02032035")</f>
        <v>KMTPC057E02032035</v>
      </c>
      <c r="J35" s="5" t="str">
        <f>IFERROR(__xludf.DUMMYFUNCTION("""COMPUTED_VALUE"""),"6D1022638264")</f>
        <v>6D1022638264</v>
      </c>
      <c r="K35" s="5">
        <f>IFERROR(__xludf.DUMMYFUNCTION("""COMPUTED_VALUE"""),14.0)</f>
        <v>14</v>
      </c>
      <c r="L35" s="5" t="str">
        <f>IFERROR(__xludf.DUMMYFUNCTION("""COMPUTED_VALUE"""),"KLH")</f>
        <v>KLH</v>
      </c>
    </row>
    <row r="36">
      <c r="A36" s="135" t="str">
        <f>IFERROR(__xludf.DUMMYFUNCTION("""COMPUTED_VALUE"""),"CHT-MUI-011")</f>
        <v>CHT-MUI-011</v>
      </c>
      <c r="B36" s="3" t="str">
        <f>IFERROR(__xludf.DUMMYFUNCTION("""COMPUTED_VALUE"""),"Máy ủi KOMATSU D31PX")</f>
        <v>Máy ủi KOMATSU D31PX</v>
      </c>
      <c r="C36" s="5" t="str">
        <f>IFERROR(__xludf.DUMMYFUNCTION("""COMPUTED_VALUE"""),"CGTC DP")</f>
        <v>CGTC DP</v>
      </c>
      <c r="D36" s="5" t="str">
        <f>IFERROR(__xludf.DUMMYFUNCTION("""COMPUTED_VALUE"""),"KOMATSU")</f>
        <v>KOMATSU</v>
      </c>
      <c r="E36" s="57" t="str">
        <f>IFERROR(__xludf.DUMMYFUNCTION("""COMPUTED_VALUE"""),"NHẬT BẢN")</f>
        <v>NHẬT BẢN</v>
      </c>
      <c r="F36" s="5">
        <f>IFERROR(__xludf.DUMMYFUNCTION("""COMPUTED_VALUE"""),2003.0)</f>
        <v>2003</v>
      </c>
      <c r="G36" s="5" t="str">
        <f>IFERROR(__xludf.DUMMYFUNCTION("""COMPUTED_VALUE"""),"D31PX-21")</f>
        <v>D31PX-21</v>
      </c>
      <c r="H36" s="48" t="str">
        <f>IFERROR(__xludf.DUMMYFUNCTION("""COMPUTED_VALUE"""),"76HP")</f>
        <v>76HP</v>
      </c>
      <c r="I36" s="5" t="str">
        <f>IFERROR(__xludf.DUMMYFUNCTION("""COMPUTED_VALUE"""),"D31PX2150296")</f>
        <v>D31PX2150296</v>
      </c>
      <c r="J36" s="5" t="str">
        <f>IFERROR(__xludf.DUMMYFUNCTION("""COMPUTED_VALUE"""),"4D10226319872")</f>
        <v>4D10226319872</v>
      </c>
      <c r="K36" s="5">
        <f>IFERROR(__xludf.DUMMYFUNCTION("""COMPUTED_VALUE"""),8.0)</f>
        <v>8</v>
      </c>
      <c r="L36" s="5" t="str">
        <f>IFERROR(__xludf.DUMMYFUNCTION("""COMPUTED_VALUE"""),"KLH")</f>
        <v>KLH</v>
      </c>
    </row>
    <row r="37">
      <c r="A37" s="135" t="str">
        <f>IFERROR(__xludf.DUMMYFUNCTION("""COMPUTED_VALUE"""),"CHT-XTA-030")</f>
        <v>CHT-XTA-030</v>
      </c>
      <c r="B37" s="3" t="str">
        <f>IFERROR(__xludf.DUMMYFUNCTION("""COMPUTED_VALUE"""),"Xe ben FD150")</f>
        <v>Xe ben FD150</v>
      </c>
      <c r="C37" s="5" t="str">
        <f>IFERROR(__xludf.DUMMYFUNCTION("""COMPUTED_VALUE"""),"CGTC DP")</f>
        <v>CGTC DP</v>
      </c>
      <c r="D37" s="5" t="str">
        <f>IFERROR(__xludf.DUMMYFUNCTION("""COMPUTED_VALUE"""),"THACO FORLAND")</f>
        <v>THACO FORLAND</v>
      </c>
      <c r="E37" s="57" t="str">
        <f>IFERROR(__xludf.DUMMYFUNCTION("""COMPUTED_VALUE"""),"VIỆT NAM")</f>
        <v>VIỆT NAM</v>
      </c>
      <c r="F37" s="5">
        <f>IFERROR(__xludf.DUMMYFUNCTION("""COMPUTED_VALUE"""),2024.0)</f>
        <v>2024</v>
      </c>
      <c r="G37" s="5" t="str">
        <f>IFERROR(__xludf.DUMMYFUNCTION("""COMPUTED_VALUE"""),"FD150-4WD ")</f>
        <v>FD150-4WD </v>
      </c>
      <c r="H37" s="48" t="str">
        <f>IFERROR(__xludf.DUMMYFUNCTION("""COMPUTED_VALUE"""),"150HP")</f>
        <v>150HP</v>
      </c>
      <c r="I37" s="5" t="str">
        <f>IFERROR(__xludf.DUMMYFUNCTION("""COMPUTED_VALUE"""),"RNHF16FYART000834")</f>
        <v>RNHF16FYART000834</v>
      </c>
      <c r="J37" s="5" t="str">
        <f>IFERROR(__xludf.DUMMYFUNCTION("""COMPUTED_VALUE"""),"D59M1N01254")</f>
        <v>D59M1N01254</v>
      </c>
      <c r="K37" s="5">
        <f>IFERROR(__xludf.DUMMYFUNCTION("""COMPUTED_VALUE"""),0.63)</f>
        <v>0.63</v>
      </c>
      <c r="L37" s="5" t="str">
        <f>IFERROR(__xludf.DUMMYFUNCTION("""COMPUTED_VALUE"""),"KLH")</f>
        <v>KLH</v>
      </c>
    </row>
    <row r="38">
      <c r="A38" s="135" t="str">
        <f>IFERROR(__xludf.DUMMYFUNCTION("""COMPUTED_VALUE"""),"CHT-XTA-031")</f>
        <v>CHT-XTA-031</v>
      </c>
      <c r="B38" s="3" t="str">
        <f>IFERROR(__xludf.DUMMYFUNCTION("""COMPUTED_VALUE"""),"Xe ben FD150")</f>
        <v>Xe ben FD150</v>
      </c>
      <c r="C38" s="5" t="str">
        <f>IFERROR(__xludf.DUMMYFUNCTION("""COMPUTED_VALUE"""),"CGTC DP")</f>
        <v>CGTC DP</v>
      </c>
      <c r="D38" s="5" t="str">
        <f>IFERROR(__xludf.DUMMYFUNCTION("""COMPUTED_VALUE"""),"THACO FORLAND")</f>
        <v>THACO FORLAND</v>
      </c>
      <c r="E38" s="57" t="str">
        <f>IFERROR(__xludf.DUMMYFUNCTION("""COMPUTED_VALUE"""),"VIỆT NAM")</f>
        <v>VIỆT NAM</v>
      </c>
      <c r="F38" s="5">
        <f>IFERROR(__xludf.DUMMYFUNCTION("""COMPUTED_VALUE"""),2024.0)</f>
        <v>2024</v>
      </c>
      <c r="G38" s="5" t="str">
        <f>IFERROR(__xludf.DUMMYFUNCTION("""COMPUTED_VALUE"""),"FD150-4WD")</f>
        <v>FD150-4WD</v>
      </c>
      <c r="H38" s="48" t="str">
        <f>IFERROR(__xludf.DUMMYFUNCTION("""COMPUTED_VALUE"""),"150HP")</f>
        <v>150HP</v>
      </c>
      <c r="I38" s="5" t="str">
        <f>IFERROR(__xludf.DUMMYFUNCTION("""COMPUTED_VALUE"""),"RNHF16FYART000835")</f>
        <v>RNHF16FYART000835</v>
      </c>
      <c r="J38" s="5" t="str">
        <f>IFERROR(__xludf.DUMMYFUNCTION("""COMPUTED_VALUE"""),"D59M1N01360")</f>
        <v>D59M1N01360</v>
      </c>
      <c r="K38" s="5">
        <f>IFERROR(__xludf.DUMMYFUNCTION("""COMPUTED_VALUE"""),0.63)</f>
        <v>0.63</v>
      </c>
      <c r="L38" s="5" t="str">
        <f>IFERROR(__xludf.DUMMYFUNCTION("""COMPUTED_VALUE"""),"KLH")</f>
        <v>KLH</v>
      </c>
    </row>
    <row r="39">
      <c r="A39" s="135" t="str">
        <f>IFERROR(__xludf.DUMMYFUNCTION("""COMPUTED_VALUE"""),"CHT-XTA-037")</f>
        <v>CHT-XTA-037</v>
      </c>
      <c r="B39" s="3" t="str">
        <f>IFERROR(__xludf.DUMMYFUNCTION("""COMPUTED_VALUE"""),"Xe ben FC150")</f>
        <v>Xe ben FC150</v>
      </c>
      <c r="C39" s="5" t="str">
        <f>IFERROR(__xludf.DUMMYFUNCTION("""COMPUTED_VALUE"""),"CGTC DP")</f>
        <v>CGTC DP</v>
      </c>
      <c r="D39" s="5" t="str">
        <f>IFERROR(__xludf.DUMMYFUNCTION("""COMPUTED_VALUE"""),"THACO FORLAND")</f>
        <v>THACO FORLAND</v>
      </c>
      <c r="E39" s="57" t="str">
        <f>IFERROR(__xludf.DUMMYFUNCTION("""COMPUTED_VALUE"""),"VIỆT NAM")</f>
        <v>VIỆT NAM</v>
      </c>
      <c r="F39" s="5">
        <f>IFERROR(__xludf.DUMMYFUNCTION("""COMPUTED_VALUE"""),2024.0)</f>
        <v>2024</v>
      </c>
      <c r="G39" s="5" t="str">
        <f>IFERROR(__xludf.DUMMYFUNCTION("""COMPUTED_VALUE"""),"FC150-4WD")</f>
        <v>FC150-4WD</v>
      </c>
      <c r="H39" s="88" t="str">
        <f>IFERROR(__xludf.DUMMYFUNCTION("""COMPUTED_VALUE"""),"150HP")</f>
        <v>150HP</v>
      </c>
      <c r="I39" s="5" t="str">
        <f>IFERROR(__xludf.DUMMYFUNCTION("""COMPUTED_VALUE"""),"RNHF16FYBRT000132")</f>
        <v>RNHF16FYBRT000132</v>
      </c>
      <c r="J39" s="5" t="str">
        <f>IFERROR(__xludf.DUMMYFUNCTION("""COMPUTED_VALUE"""),"D59M1N01088")</f>
        <v>D59M1N01088</v>
      </c>
      <c r="K39" s="5">
        <f>IFERROR(__xludf.DUMMYFUNCTION("""COMPUTED_VALUE"""),4.5)</f>
        <v>4.5</v>
      </c>
      <c r="L39" s="5" t="str">
        <f>IFERROR(__xludf.DUMMYFUNCTION("""COMPUTED_VALUE"""),"KLH")</f>
        <v>KLH</v>
      </c>
    </row>
    <row r="40">
      <c r="A40" s="135" t="str">
        <f>IFERROR(__xludf.DUMMYFUNCTION("""COMPUTED_VALUE"""),"CHT-XTA-038")</f>
        <v>CHT-XTA-038</v>
      </c>
      <c r="B40" s="3" t="str">
        <f>IFERROR(__xludf.DUMMYFUNCTION("""COMPUTED_VALUE"""),"Xe ben FC150")</f>
        <v>Xe ben FC150</v>
      </c>
      <c r="C40" s="5" t="str">
        <f>IFERROR(__xludf.DUMMYFUNCTION("""COMPUTED_VALUE"""),"CGTC DP")</f>
        <v>CGTC DP</v>
      </c>
      <c r="D40" s="5" t="str">
        <f>IFERROR(__xludf.DUMMYFUNCTION("""COMPUTED_VALUE"""),"THACO FORLAND")</f>
        <v>THACO FORLAND</v>
      </c>
      <c r="E40" s="57" t="str">
        <f>IFERROR(__xludf.DUMMYFUNCTION("""COMPUTED_VALUE"""),"VIỆT NAM")</f>
        <v>VIỆT NAM</v>
      </c>
      <c r="F40" s="5">
        <f>IFERROR(__xludf.DUMMYFUNCTION("""COMPUTED_VALUE"""),2024.0)</f>
        <v>2024</v>
      </c>
      <c r="G40" s="5" t="str">
        <f>IFERROR(__xludf.DUMMYFUNCTION("""COMPUTED_VALUE"""),"FC150-4WD")</f>
        <v>FC150-4WD</v>
      </c>
      <c r="H40" s="48" t="str">
        <f>IFERROR(__xludf.DUMMYFUNCTION("""COMPUTED_VALUE"""),"150HP")</f>
        <v>150HP</v>
      </c>
      <c r="I40" s="5" t="str">
        <f>IFERROR(__xludf.DUMMYFUNCTION("""COMPUTED_VALUE"""),"RNHF16FYBRT000133")</f>
        <v>RNHF16FYBRT000133</v>
      </c>
      <c r="J40" s="5" t="str">
        <f>IFERROR(__xludf.DUMMYFUNCTION("""COMPUTED_VALUE"""),"D59M1N01089")</f>
        <v>D59M1N01089</v>
      </c>
      <c r="K40" s="5">
        <f>IFERROR(__xludf.DUMMYFUNCTION("""COMPUTED_VALUE"""),0.63)</f>
        <v>0.63</v>
      </c>
      <c r="L40" s="5" t="str">
        <f>IFERROR(__xludf.DUMMYFUNCTION("""COMPUTED_VALUE"""),"KLH")</f>
        <v>KLH</v>
      </c>
    </row>
    <row r="41">
      <c r="A41" s="135" t="str">
        <f>IFERROR(__xludf.DUMMYFUNCTION("""COMPUTED_VALUE"""),"CHT-XTA-039")</f>
        <v>CHT-XTA-039</v>
      </c>
      <c r="B41" s="3" t="str">
        <f>IFERROR(__xludf.DUMMYFUNCTION("""COMPUTED_VALUE"""),"Xe ben FC150")</f>
        <v>Xe ben FC150</v>
      </c>
      <c r="C41" s="5" t="str">
        <f>IFERROR(__xludf.DUMMYFUNCTION("""COMPUTED_VALUE"""),"CGTC DP")</f>
        <v>CGTC DP</v>
      </c>
      <c r="D41" s="5" t="str">
        <f>IFERROR(__xludf.DUMMYFUNCTION("""COMPUTED_VALUE"""),"THACO FORLAND")</f>
        <v>THACO FORLAND</v>
      </c>
      <c r="E41" s="57" t="str">
        <f>IFERROR(__xludf.DUMMYFUNCTION("""COMPUTED_VALUE"""),"VIỆT NAM")</f>
        <v>VIỆT NAM</v>
      </c>
      <c r="F41" s="5">
        <f>IFERROR(__xludf.DUMMYFUNCTION("""COMPUTED_VALUE"""),2024.0)</f>
        <v>2024</v>
      </c>
      <c r="G41" s="5" t="str">
        <f>IFERROR(__xludf.DUMMYFUNCTION("""COMPUTED_VALUE"""),"FC150-4WD")</f>
        <v>FC150-4WD</v>
      </c>
      <c r="H41" s="137" t="str">
        <f>IFERROR(__xludf.DUMMYFUNCTION("""COMPUTED_VALUE"""),"150HP")</f>
        <v>150HP</v>
      </c>
      <c r="I41" s="5" t="str">
        <f>IFERROR(__xludf.DUMMYFUNCTION("""COMPUTED_VALUE"""),"RNHF16FYBRT000134")</f>
        <v>RNHF16FYBRT000134</v>
      </c>
      <c r="J41" s="5" t="str">
        <f>IFERROR(__xludf.DUMMYFUNCTION("""COMPUTED_VALUE"""),"D59M1N01091")</f>
        <v>D59M1N01091</v>
      </c>
      <c r="K41" s="5">
        <f>IFERROR(__xludf.DUMMYFUNCTION("""COMPUTED_VALUE"""),0.63)</f>
        <v>0.63</v>
      </c>
      <c r="L41" s="5" t="str">
        <f>IFERROR(__xludf.DUMMYFUNCTION("""COMPUTED_VALUE"""),"KLH")</f>
        <v>KLH</v>
      </c>
    </row>
    <row r="42">
      <c r="A42" s="135" t="str">
        <f>IFERROR(__xludf.DUMMYFUNCTION("""COMPUTED_VALUE"""),"CHT-XTA-040")</f>
        <v>CHT-XTA-040</v>
      </c>
      <c r="B42" s="3" t="str">
        <f>IFERROR(__xludf.DUMMYFUNCTION("""COMPUTED_VALUE"""),"Xe ben FC150")</f>
        <v>Xe ben FC150</v>
      </c>
      <c r="C42" s="5" t="str">
        <f>IFERROR(__xludf.DUMMYFUNCTION("""COMPUTED_VALUE"""),"CGTC DP")</f>
        <v>CGTC DP</v>
      </c>
      <c r="D42" s="5" t="str">
        <f>IFERROR(__xludf.DUMMYFUNCTION("""COMPUTED_VALUE"""),"THACO FORLAND")</f>
        <v>THACO FORLAND</v>
      </c>
      <c r="E42" s="57" t="str">
        <f>IFERROR(__xludf.DUMMYFUNCTION("""COMPUTED_VALUE"""),"VIỆT NAM")</f>
        <v>VIỆT NAM</v>
      </c>
      <c r="F42" s="5">
        <f>IFERROR(__xludf.DUMMYFUNCTION("""COMPUTED_VALUE"""),2024.0)</f>
        <v>2024</v>
      </c>
      <c r="G42" s="5" t="str">
        <f>IFERROR(__xludf.DUMMYFUNCTION("""COMPUTED_VALUE"""),"FC150-4WD")</f>
        <v>FC150-4WD</v>
      </c>
      <c r="H42" s="48" t="str">
        <f>IFERROR(__xludf.DUMMYFUNCTION("""COMPUTED_VALUE"""),"150HP")</f>
        <v>150HP</v>
      </c>
      <c r="I42" s="5" t="str">
        <f>IFERROR(__xludf.DUMMYFUNCTION("""COMPUTED_VALUE"""),"RNHF16FYBRT000135")</f>
        <v>RNHF16FYBRT000135</v>
      </c>
      <c r="J42" s="5" t="str">
        <f>IFERROR(__xludf.DUMMYFUNCTION("""COMPUTED_VALUE"""),"D59M1N01092")</f>
        <v>D59M1N01092</v>
      </c>
      <c r="K42" s="5">
        <f>IFERROR(__xludf.DUMMYFUNCTION("""COMPUTED_VALUE"""),0.63)</f>
        <v>0.63</v>
      </c>
      <c r="L42" s="5" t="str">
        <f>IFERROR(__xludf.DUMMYFUNCTION("""COMPUTED_VALUE"""),"KLH")</f>
        <v>KLH</v>
      </c>
    </row>
    <row r="43">
      <c r="A43" s="135" t="str">
        <f>IFERROR(__xludf.DUMMYFUNCTION("""COMPUTED_VALUE"""),"CHT-XTA-044")</f>
        <v>CHT-XTA-044</v>
      </c>
      <c r="B43" s="3" t="str">
        <f>IFERROR(__xludf.DUMMYFUNCTION("""COMPUTED_VALUE"""),"Xe ben FD120")</f>
        <v>Xe ben FD120</v>
      </c>
      <c r="C43" s="5" t="str">
        <f>IFERROR(__xludf.DUMMYFUNCTION("""COMPUTED_VALUE"""),"CGTC DP")</f>
        <v>CGTC DP</v>
      </c>
      <c r="D43" s="5" t="str">
        <f>IFERROR(__xludf.DUMMYFUNCTION("""COMPUTED_VALUE"""),"THACO FORLAND")</f>
        <v>THACO FORLAND</v>
      </c>
      <c r="E43" s="57" t="str">
        <f>IFERROR(__xludf.DUMMYFUNCTION("""COMPUTED_VALUE"""),"VIỆT NAM")</f>
        <v>VIỆT NAM</v>
      </c>
      <c r="F43" s="5">
        <f>IFERROR(__xludf.DUMMYFUNCTION("""COMPUTED_VALUE"""),2024.0)</f>
        <v>2024</v>
      </c>
      <c r="G43" s="5" t="str">
        <f>IFERROR(__xludf.DUMMYFUNCTION("""COMPUTED_VALUE"""),"FD120-4WD")</f>
        <v>FD120-4WD</v>
      </c>
      <c r="H43" s="48" t="str">
        <f>IFERROR(__xludf.DUMMYFUNCTION("""COMPUTED_VALUE"""),"129HP")</f>
        <v>129HP</v>
      </c>
      <c r="I43" s="5" t="str">
        <f>IFERROR(__xludf.DUMMYFUNCTION("""COMPUTED_VALUE"""),"RNHF12FNBRT002062")</f>
        <v>RNHF12FNBRT002062</v>
      </c>
      <c r="J43" s="5" t="str">
        <f>IFERROR(__xludf.DUMMYFUNCTION("""COMPUTED_VALUE"""),"YN38CRD1*AGN22000242*")</f>
        <v>YN38CRD1*AGN22000242*</v>
      </c>
      <c r="K43" s="5">
        <f>IFERROR(__xludf.DUMMYFUNCTION("""COMPUTED_VALUE"""),0.61)</f>
        <v>0.61</v>
      </c>
      <c r="L43" s="5" t="str">
        <f>IFERROR(__xludf.DUMMYFUNCTION("""COMPUTED_VALUE"""),"KLH")</f>
        <v>KLH</v>
      </c>
    </row>
    <row r="44">
      <c r="A44" s="135" t="str">
        <f>IFERROR(__xludf.DUMMYFUNCTION("""COMPUTED_VALUE"""),"CHT-XTA-045")</f>
        <v>CHT-XTA-045</v>
      </c>
      <c r="B44" s="3" t="str">
        <f>IFERROR(__xludf.DUMMYFUNCTION("""COMPUTED_VALUE"""),"Xe ben FD120")</f>
        <v>Xe ben FD120</v>
      </c>
      <c r="C44" s="5" t="str">
        <f>IFERROR(__xludf.DUMMYFUNCTION("""COMPUTED_VALUE"""),"CGTC DP")</f>
        <v>CGTC DP</v>
      </c>
      <c r="D44" s="5" t="str">
        <f>IFERROR(__xludf.DUMMYFUNCTION("""COMPUTED_VALUE"""),"THACO FORLAND")</f>
        <v>THACO FORLAND</v>
      </c>
      <c r="E44" s="57" t="str">
        <f>IFERROR(__xludf.DUMMYFUNCTION("""COMPUTED_VALUE"""),"VIỆT NAM")</f>
        <v>VIỆT NAM</v>
      </c>
      <c r="F44" s="5">
        <f>IFERROR(__xludf.DUMMYFUNCTION("""COMPUTED_VALUE"""),2024.0)</f>
        <v>2024</v>
      </c>
      <c r="G44" s="5" t="str">
        <f>IFERROR(__xludf.DUMMYFUNCTION("""COMPUTED_VALUE"""),"FD120-4WD")</f>
        <v>FD120-4WD</v>
      </c>
      <c r="H44" s="137" t="str">
        <f>IFERROR(__xludf.DUMMYFUNCTION("""COMPUTED_VALUE"""),"129HP")</f>
        <v>129HP</v>
      </c>
      <c r="I44" s="5" t="str">
        <f>IFERROR(__xludf.DUMMYFUNCTION("""COMPUTED_VALUE"""),"RNHF12FNBRT002063")</f>
        <v>RNHF12FNBRT002063</v>
      </c>
      <c r="J44" s="5" t="str">
        <f>IFERROR(__xludf.DUMMYFUNCTION("""COMPUTED_VALUE"""),"YN38CRD1*AGN22000243*")</f>
        <v>YN38CRD1*AGN22000243*</v>
      </c>
      <c r="K44" s="5">
        <f>IFERROR(__xludf.DUMMYFUNCTION("""COMPUTED_VALUE"""),0.61)</f>
        <v>0.61</v>
      </c>
      <c r="L44" s="5" t="str">
        <f>IFERROR(__xludf.DUMMYFUNCTION("""COMPUTED_VALUE"""),"KLH")</f>
        <v>KLH</v>
      </c>
    </row>
    <row r="45">
      <c r="A45" s="135" t="str">
        <f>IFERROR(__xludf.DUMMYFUNCTION("""COMPUTED_VALUE"""),"CHT-XTA-046")</f>
        <v>CHT-XTA-046</v>
      </c>
      <c r="B45" s="3" t="str">
        <f>IFERROR(__xludf.DUMMYFUNCTION("""COMPUTED_VALUE"""),"Xe ben FD120")</f>
        <v>Xe ben FD120</v>
      </c>
      <c r="C45" s="5" t="str">
        <f>IFERROR(__xludf.DUMMYFUNCTION("""COMPUTED_VALUE"""),"CGTC DP")</f>
        <v>CGTC DP</v>
      </c>
      <c r="D45" s="5" t="str">
        <f>IFERROR(__xludf.DUMMYFUNCTION("""COMPUTED_VALUE"""),"THACO FORLAND")</f>
        <v>THACO FORLAND</v>
      </c>
      <c r="E45" s="57" t="str">
        <f>IFERROR(__xludf.DUMMYFUNCTION("""COMPUTED_VALUE"""),"VIỆT NAM")</f>
        <v>VIỆT NAM</v>
      </c>
      <c r="F45" s="5">
        <f>IFERROR(__xludf.DUMMYFUNCTION("""COMPUTED_VALUE"""),2024.0)</f>
        <v>2024</v>
      </c>
      <c r="G45" s="5" t="str">
        <f>IFERROR(__xludf.DUMMYFUNCTION("""COMPUTED_VALUE"""),"FD120-4WD")</f>
        <v>FD120-4WD</v>
      </c>
      <c r="H45" s="48" t="str">
        <f>IFERROR(__xludf.DUMMYFUNCTION("""COMPUTED_VALUE"""),"129HP")</f>
        <v>129HP</v>
      </c>
      <c r="I45" s="5" t="str">
        <f>IFERROR(__xludf.DUMMYFUNCTION("""COMPUTED_VALUE"""),"RNHF12FNBRT002064")</f>
        <v>RNHF12FNBRT002064</v>
      </c>
      <c r="J45" s="5" t="str">
        <f>IFERROR(__xludf.DUMMYFUNCTION("""COMPUTED_VALUE"""),"YN38CRD1*AGN22000244*")</f>
        <v>YN38CRD1*AGN22000244*</v>
      </c>
      <c r="K45" s="5">
        <f>IFERROR(__xludf.DUMMYFUNCTION("""COMPUTED_VALUE"""),0.61)</f>
        <v>0.61</v>
      </c>
      <c r="L45" s="5" t="str">
        <f>IFERROR(__xludf.DUMMYFUNCTION("""COMPUTED_VALUE"""),"KLH")</f>
        <v>KLH</v>
      </c>
    </row>
    <row r="46">
      <c r="A46" s="135" t="str">
        <f>IFERROR(__xludf.DUMMYFUNCTION("""COMPUTED_VALUE"""),"CHT-XTA-047")</f>
        <v>CHT-XTA-047</v>
      </c>
      <c r="B46" s="3" t="str">
        <f>IFERROR(__xludf.DUMMYFUNCTION("""COMPUTED_VALUE"""),"Xe ben FD120")</f>
        <v>Xe ben FD120</v>
      </c>
      <c r="C46" s="5" t="str">
        <f>IFERROR(__xludf.DUMMYFUNCTION("""COMPUTED_VALUE"""),"CGTC DP")</f>
        <v>CGTC DP</v>
      </c>
      <c r="D46" s="5" t="str">
        <f>IFERROR(__xludf.DUMMYFUNCTION("""COMPUTED_VALUE"""),"THACO FORLAND")</f>
        <v>THACO FORLAND</v>
      </c>
      <c r="E46" s="57" t="str">
        <f>IFERROR(__xludf.DUMMYFUNCTION("""COMPUTED_VALUE"""),"VIỆT NAM")</f>
        <v>VIỆT NAM</v>
      </c>
      <c r="F46" s="5">
        <f>IFERROR(__xludf.DUMMYFUNCTION("""COMPUTED_VALUE"""),2024.0)</f>
        <v>2024</v>
      </c>
      <c r="G46" s="5" t="str">
        <f>IFERROR(__xludf.DUMMYFUNCTION("""COMPUTED_VALUE"""),"FD120-4WD")</f>
        <v>FD120-4WD</v>
      </c>
      <c r="H46" s="48" t="str">
        <f>IFERROR(__xludf.DUMMYFUNCTION("""COMPUTED_VALUE"""),"129HP")</f>
        <v>129HP</v>
      </c>
      <c r="I46" s="5" t="str">
        <f>IFERROR(__xludf.DUMMYFUNCTION("""COMPUTED_VALUE"""),"RNHF12FNBRT002065")</f>
        <v>RNHF12FNBRT002065</v>
      </c>
      <c r="J46" s="5" t="str">
        <f>IFERROR(__xludf.DUMMYFUNCTION("""COMPUTED_VALUE"""),"YN38CRD1*AGN22000245*")</f>
        <v>YN38CRD1*AGN22000245*</v>
      </c>
      <c r="K46" s="5">
        <f>IFERROR(__xludf.DUMMYFUNCTION("""COMPUTED_VALUE"""),0.61)</f>
        <v>0.61</v>
      </c>
      <c r="L46" s="5" t="str">
        <f>IFERROR(__xludf.DUMMYFUNCTION("""COMPUTED_VALUE"""),"KLH")</f>
        <v>KLH</v>
      </c>
    </row>
    <row r="47">
      <c r="A47" s="135" t="str">
        <f>IFERROR(__xludf.DUMMYFUNCTION("""COMPUTED_VALUE"""),"CHT-XTA-049")</f>
        <v>CHT-XTA-049</v>
      </c>
      <c r="B47" s="3" t="str">
        <f>IFERROR(__xludf.DUMMYFUNCTION("""COMPUTED_VALUE"""),"Xe ben HOWO TXD600")</f>
        <v>Xe ben HOWO TXD600</v>
      </c>
      <c r="C47" s="5" t="str">
        <f>IFERROR(__xludf.DUMMYFUNCTION("""COMPUTED_VALUE"""),"CGTC DP")</f>
        <v>CGTC DP</v>
      </c>
      <c r="D47" s="5" t="str">
        <f>IFERROR(__xludf.DUMMYFUNCTION("""COMPUTED_VALUE"""),"HOWO")</f>
        <v>HOWO</v>
      </c>
      <c r="E47" s="57" t="str">
        <f>IFERROR(__xludf.DUMMYFUNCTION("""COMPUTED_VALUE"""),"VIỆT NAM")</f>
        <v>VIỆT NAM</v>
      </c>
      <c r="F47" s="5">
        <f>IFERROR(__xludf.DUMMYFUNCTION("""COMPUTED_VALUE"""),2022.0)</f>
        <v>2022</v>
      </c>
      <c r="G47" s="5" t="str">
        <f>IFERROR(__xludf.DUMMYFUNCTION("""COMPUTED_VALUE"""),"HOWO TX D600")</f>
        <v>HOWO TX D600</v>
      </c>
      <c r="H47" s="88" t="str">
        <f>IFERROR(__xludf.DUMMYFUNCTION("""COMPUTED_VALUE"""),"380HP")</f>
        <v>380HP</v>
      </c>
      <c r="I47" s="5" t="str">
        <f>IFERROR(__xludf.DUMMYFUNCTION("""COMPUTED_VALUE"""),"RNHD24CWART00061")</f>
        <v>RNHD24CWART00061</v>
      </c>
      <c r="J47" s="5" t="str">
        <f>IFERROR(__xludf.DUMMYFUNCTION("""COMPUTED_VALUE"""),"WP10380E53*1622F024366*")</f>
        <v>WP10380E53*1622F024366*</v>
      </c>
      <c r="K47" s="5">
        <f>IFERROR(__xludf.DUMMYFUNCTION("""COMPUTED_VALUE"""),1.34)</f>
        <v>1.34</v>
      </c>
      <c r="L47" s="5" t="str">
        <f>IFERROR(__xludf.DUMMYFUNCTION("""COMPUTED_VALUE"""),"KLH")</f>
        <v>KLH</v>
      </c>
    </row>
    <row r="48">
      <c r="A48" s="42" t="str">
        <f>IFERROR(__xludf.DUMMYFUNCTION("""COMPUTED_VALUE"""),"CHT-XTA-050")</f>
        <v>CHT-XTA-050</v>
      </c>
      <c r="B48" s="3" t="str">
        <f>IFERROR(__xludf.DUMMYFUNCTION("""COMPUTED_VALUE"""),"Xe ben HOWO TXD600")</f>
        <v>Xe ben HOWO TXD600</v>
      </c>
      <c r="C48" s="5" t="str">
        <f>IFERROR(__xludf.DUMMYFUNCTION("""COMPUTED_VALUE"""),"CGTC DP")</f>
        <v>CGTC DP</v>
      </c>
      <c r="D48" s="5" t="str">
        <f>IFERROR(__xludf.DUMMYFUNCTION("""COMPUTED_VALUE"""),"HOWO")</f>
        <v>HOWO</v>
      </c>
      <c r="E48" s="57" t="str">
        <f>IFERROR(__xludf.DUMMYFUNCTION("""COMPUTED_VALUE"""),"VIỆT NAM")</f>
        <v>VIỆT NAM</v>
      </c>
      <c r="F48" s="5">
        <f>IFERROR(__xludf.DUMMYFUNCTION("""COMPUTED_VALUE"""),2022.0)</f>
        <v>2022</v>
      </c>
      <c r="G48" s="5" t="str">
        <f>IFERROR(__xludf.DUMMYFUNCTION("""COMPUTED_VALUE"""),"HOWO TX D600")</f>
        <v>HOWO TX D600</v>
      </c>
      <c r="H48" s="48" t="str">
        <f>IFERROR(__xludf.DUMMYFUNCTION("""COMPUTED_VALUE"""),"380HP")</f>
        <v>380HP</v>
      </c>
      <c r="I48" s="5" t="str">
        <f>IFERROR(__xludf.DUMMYFUNCTION("""COMPUTED_VALUE"""),"RNHD24CWART00062")</f>
        <v>RNHD24CWART00062</v>
      </c>
      <c r="J48" s="5" t="str">
        <f>IFERROR(__xludf.DUMMYFUNCTION("""COMPUTED_VALUE"""),"WP10380E53*1622F024350*")</f>
        <v>WP10380E53*1622F024350*</v>
      </c>
      <c r="K48" s="5">
        <f>IFERROR(__xludf.DUMMYFUNCTION("""COMPUTED_VALUE"""),1.34)</f>
        <v>1.34</v>
      </c>
      <c r="L48" s="5" t="str">
        <f>IFERROR(__xludf.DUMMYFUNCTION("""COMPUTED_VALUE"""),"KLH")</f>
        <v>KLH</v>
      </c>
    </row>
    <row r="49">
      <c r="A49" s="42" t="str">
        <f>IFERROR(__xludf.DUMMYFUNCTION("""COMPUTED_VALUE"""),"CHT-XCA-004")</f>
        <v>CHT-XCA-004</v>
      </c>
      <c r="B49" s="3" t="str">
        <f>IFERROR(__xludf.DUMMYFUNCTION("""COMPUTED_VALUE"""),"Xe cẩu bàn 5 tấn")</f>
        <v>Xe cẩu bàn 5 tấn</v>
      </c>
      <c r="C49" s="5" t="str">
        <f>IFERROR(__xludf.DUMMYFUNCTION("""COMPUTED_VALUE"""),"CGTC DP")</f>
        <v>CGTC DP</v>
      </c>
      <c r="D49" s="5" t="str">
        <f>IFERROR(__xludf.DUMMYFUNCTION("""COMPUTED_VALUE"""),"HOWO")</f>
        <v>HOWO</v>
      </c>
      <c r="E49" s="57" t="str">
        <f>IFERROR(__xludf.DUMMYFUNCTION("""COMPUTED_VALUE"""),"TRUNG QUỐC")</f>
        <v>TRUNG QUỐC</v>
      </c>
      <c r="F49" s="5">
        <f>IFERROR(__xludf.DUMMYFUNCTION("""COMPUTED_VALUE"""),2022.0)</f>
        <v>2022</v>
      </c>
      <c r="G49" s="5" t="str">
        <f>IFERROR(__xludf.DUMMYFUNCTION("""COMPUTED_VALUE"""),"TXD800-ND2")</f>
        <v>TXD800-ND2</v>
      </c>
      <c r="H49" s="48" t="str">
        <f>IFERROR(__xludf.DUMMYFUNCTION("""COMPUTED_VALUE"""),"380HP")</f>
        <v>380HP</v>
      </c>
      <c r="I49" s="5" t="str">
        <f>IFERROR(__xludf.DUMMYFUNCTION("""COMPUTED_VALUE"""),"RNHD30CWANT058649")</f>
        <v>RNHD30CWANT058649</v>
      </c>
      <c r="J49" s="5" t="str">
        <f>IFERROR(__xludf.DUMMYFUNCTION("""COMPUTED_VALUE"""),"WP10380E53*1622B008536*")</f>
        <v>WP10380E53*1622B008536*</v>
      </c>
      <c r="K49" s="5"/>
      <c r="L49" s="5" t="str">
        <f>IFERROR(__xludf.DUMMYFUNCTION("""COMPUTED_VALUE"""),"KLH")</f>
        <v>KLH</v>
      </c>
    </row>
    <row r="50">
      <c r="A50" s="42" t="str">
        <f>IFERROR(__xludf.DUMMYFUNCTION("""COMPUTED_VALUE"""),"Cơ giới thi công LP")</f>
        <v>Cơ giới thi công LP</v>
      </c>
      <c r="B50" s="3"/>
      <c r="C50" s="5"/>
      <c r="D50" s="5"/>
      <c r="E50" s="57"/>
      <c r="F50" s="5"/>
      <c r="G50" s="5"/>
      <c r="H50" s="48"/>
      <c r="I50" s="5"/>
      <c r="J50" s="5"/>
      <c r="K50" s="5"/>
      <c r="L50" s="5" t="str">
        <f>IFERROR(__xludf.DUMMYFUNCTION("""COMPUTED_VALUE"""),"KLH")</f>
        <v>KLH</v>
      </c>
    </row>
    <row r="51">
      <c r="A51" s="42" t="str">
        <f>IFERROR(__xludf.DUMMYFUNCTION("""COMPUTED_VALUE"""),"CHT-BAN-002")</f>
        <v>CHT-BAN-002</v>
      </c>
      <c r="B51" s="3" t="str">
        <f>IFERROR(__xludf.DUMMYFUNCTION("""COMPUTED_VALUE"""),"Xe ban KOMATSU GD605A")</f>
        <v>Xe ban KOMATSU GD605A</v>
      </c>
      <c r="C51" s="5" t="str">
        <f>IFERROR(__xludf.DUMMYFUNCTION("""COMPUTED_VALUE"""),"CGTC LP")</f>
        <v>CGTC LP</v>
      </c>
      <c r="D51" s="5" t="str">
        <f>IFERROR(__xludf.DUMMYFUNCTION("""COMPUTED_VALUE"""),"KOMATSU")</f>
        <v>KOMATSU</v>
      </c>
      <c r="E51" s="57" t="str">
        <f>IFERROR(__xludf.DUMMYFUNCTION("""COMPUTED_VALUE"""),"NHẬT BẢN")</f>
        <v>NHẬT BẢN</v>
      </c>
      <c r="F51" s="5">
        <f>IFERROR(__xludf.DUMMYFUNCTION("""COMPUTED_VALUE"""),1995.0)</f>
        <v>1995</v>
      </c>
      <c r="G51" s="5" t="str">
        <f>IFERROR(__xludf.DUMMYFUNCTION("""COMPUTED_VALUE"""),"GD605A-5")</f>
        <v>GD605A-5</v>
      </c>
      <c r="H51" s="88" t="str">
        <f>IFERROR(__xludf.DUMMYFUNCTION("""COMPUTED_VALUE"""),"145HP")</f>
        <v>145HP</v>
      </c>
      <c r="I51" s="5" t="str">
        <f>IFERROR(__xludf.DUMMYFUNCTION("""COMPUTED_VALUE"""),"G60A51575")</f>
        <v>G60A51575</v>
      </c>
      <c r="J51" s="5" t="str">
        <f>IFERROR(__xludf.DUMMYFUNCTION("""COMPUTED_VALUE"""),"6D12562969")</f>
        <v>6D12562969</v>
      </c>
      <c r="K51" s="5">
        <f>IFERROR(__xludf.DUMMYFUNCTION("""COMPUTED_VALUE"""),9.3)</f>
        <v>9.3</v>
      </c>
      <c r="L51" s="5" t="str">
        <f>IFERROR(__xludf.DUMMYFUNCTION("""COMPUTED_VALUE"""),"KLH")</f>
        <v>KLH</v>
      </c>
    </row>
    <row r="52">
      <c r="A52" s="42" t="str">
        <f>IFERROR(__xludf.DUMMYFUNCTION("""COMPUTED_VALUE"""),"CHT-MUI-003")</f>
        <v>CHT-MUI-003</v>
      </c>
      <c r="B52" s="3" t="str">
        <f>IFERROR(__xludf.DUMMYFUNCTION("""COMPUTED_VALUE"""),"Máy ủi KOMATSU D31PX")</f>
        <v>Máy ủi KOMATSU D31PX</v>
      </c>
      <c r="C52" s="5" t="str">
        <f>IFERROR(__xludf.DUMMYFUNCTION("""COMPUTED_VALUE"""),"CGTC LP")</f>
        <v>CGTC LP</v>
      </c>
      <c r="D52" s="5" t="str">
        <f>IFERROR(__xludf.DUMMYFUNCTION("""COMPUTED_VALUE"""),"KOMATSU")</f>
        <v>KOMATSU</v>
      </c>
      <c r="E52" s="131" t="str">
        <f>IFERROR(__xludf.DUMMYFUNCTION("""COMPUTED_VALUE"""),"NHẬT BẢN")</f>
        <v>NHẬT BẢN</v>
      </c>
      <c r="F52" s="5">
        <f>IFERROR(__xludf.DUMMYFUNCTION("""COMPUTED_VALUE"""),2006.0)</f>
        <v>2006</v>
      </c>
      <c r="G52" s="5" t="str">
        <f>IFERROR(__xludf.DUMMYFUNCTION("""COMPUTED_VALUE"""),"D31PX-21")</f>
        <v>D31PX-21</v>
      </c>
      <c r="H52" s="48" t="str">
        <f>IFERROR(__xludf.DUMMYFUNCTION("""COMPUTED_VALUE"""),"80HP")</f>
        <v>80HP</v>
      </c>
      <c r="I52" s="5" t="str">
        <f>IFERROR(__xludf.DUMMYFUNCTION("""COMPUTED_VALUE"""),"KMT0D007T01051120")</f>
        <v>KMT0D007T01051120</v>
      </c>
      <c r="J52" s="5" t="str">
        <f>IFERROR(__xludf.DUMMYFUNCTION("""COMPUTED_VALUE"""),"4D10226384955")</f>
        <v>4D10226384955</v>
      </c>
      <c r="K52" s="5">
        <f>IFERROR(__xludf.DUMMYFUNCTION("""COMPUTED_VALUE"""),8.0)</f>
        <v>8</v>
      </c>
      <c r="L52" s="5" t="str">
        <f>IFERROR(__xludf.DUMMYFUNCTION("""COMPUTED_VALUE"""),"KLH")</f>
        <v>KLH</v>
      </c>
    </row>
    <row r="53">
      <c r="A53" s="42" t="str">
        <f>IFERROR(__xludf.DUMMYFUNCTION("""COMPUTED_VALUE"""),"CHT-MUI-004")</f>
        <v>CHT-MUI-004</v>
      </c>
      <c r="B53" s="3" t="str">
        <f>IFERROR(__xludf.DUMMYFUNCTION("""COMPUTED_VALUE"""),"Máy ủi KOMATSU D31PX")</f>
        <v>Máy ủi KOMATSU D31PX</v>
      </c>
      <c r="C53" s="5" t="str">
        <f>IFERROR(__xludf.DUMMYFUNCTION("""COMPUTED_VALUE"""),"CGTC LP")</f>
        <v>CGTC LP</v>
      </c>
      <c r="D53" s="5" t="str">
        <f>IFERROR(__xludf.DUMMYFUNCTION("""COMPUTED_VALUE"""),"KOMATSU")</f>
        <v>KOMATSU</v>
      </c>
      <c r="E53" s="131" t="str">
        <f>IFERROR(__xludf.DUMMYFUNCTION("""COMPUTED_VALUE"""),"NHẬT BẢN")</f>
        <v>NHẬT BẢN</v>
      </c>
      <c r="F53" s="5">
        <f>IFERROR(__xludf.DUMMYFUNCTION("""COMPUTED_VALUE"""),2008.0)</f>
        <v>2008</v>
      </c>
      <c r="G53" s="5" t="str">
        <f>IFERROR(__xludf.DUMMYFUNCTION("""COMPUTED_VALUE"""),"D31PX-21")</f>
        <v>D31PX-21</v>
      </c>
      <c r="H53" s="48" t="str">
        <f>IFERROR(__xludf.DUMMYFUNCTION("""COMPUTED_VALUE"""),"80HP")</f>
        <v>80HP</v>
      </c>
      <c r="I53" s="5" t="str">
        <f>IFERROR(__xludf.DUMMYFUNCTION("""COMPUTED_VALUE"""),"KMT0D007C01051611")</f>
        <v>KMT0D007C01051611</v>
      </c>
      <c r="J53" s="5" t="str">
        <f>IFERROR(__xludf.DUMMYFUNCTION("""COMPUTED_VALUE"""),"4D10226427091")</f>
        <v>4D10226427091</v>
      </c>
      <c r="K53" s="5">
        <f>IFERROR(__xludf.DUMMYFUNCTION("""COMPUTED_VALUE"""),8.0)</f>
        <v>8</v>
      </c>
      <c r="L53" s="5" t="str">
        <f>IFERROR(__xludf.DUMMYFUNCTION("""COMPUTED_VALUE"""),"KLH")</f>
        <v>KLH</v>
      </c>
    </row>
    <row r="54">
      <c r="A54" s="42" t="str">
        <f>IFERROR(__xludf.DUMMYFUNCTION("""COMPUTED_VALUE"""),"CHT-MUI-009")</f>
        <v>CHT-MUI-009</v>
      </c>
      <c r="B54" s="3" t="str">
        <f>IFERROR(__xludf.DUMMYFUNCTION("""COMPUTED_VALUE"""),"Máy ủi KOMATSU D60P")</f>
        <v>Máy ủi KOMATSU D60P</v>
      </c>
      <c r="C54" s="5" t="str">
        <f>IFERROR(__xludf.DUMMYFUNCTION("""COMPUTED_VALUE"""),"CGTC LP")</f>
        <v>CGTC LP</v>
      </c>
      <c r="D54" s="5" t="str">
        <f>IFERROR(__xludf.DUMMYFUNCTION("""COMPUTED_VALUE"""),"KOMATSU")</f>
        <v>KOMATSU</v>
      </c>
      <c r="E54" s="131" t="str">
        <f>IFERROR(__xludf.DUMMYFUNCTION("""COMPUTED_VALUE"""),"NHẬT BẢN")</f>
        <v>NHẬT BẢN</v>
      </c>
      <c r="F54" s="5">
        <f>IFERROR(__xludf.DUMMYFUNCTION("""COMPUTED_VALUE"""),1995.0)</f>
        <v>1995</v>
      </c>
      <c r="G54" s="5" t="str">
        <f>IFERROR(__xludf.DUMMYFUNCTION("""COMPUTED_VALUE"""),"D60P")</f>
        <v>D60P</v>
      </c>
      <c r="H54" s="88" t="str">
        <f>IFERROR(__xludf.DUMMYFUNCTION("""COMPUTED_VALUE"""),"190HP")</f>
        <v>190HP</v>
      </c>
      <c r="I54" s="5" t="str">
        <f>IFERROR(__xludf.DUMMYFUNCTION("""COMPUTED_VALUE"""),"D60P1261254")</f>
        <v>D60P1261254</v>
      </c>
      <c r="J54" s="5" t="str">
        <f>IFERROR(__xludf.DUMMYFUNCTION("""COMPUTED_VALUE"""),"6D125-30638")</f>
        <v>6D125-30638</v>
      </c>
      <c r="K54" s="5">
        <f>IFERROR(__xludf.DUMMYFUNCTION("""COMPUTED_VALUE"""),14.0)</f>
        <v>14</v>
      </c>
      <c r="L54" s="5" t="str">
        <f>IFERROR(__xludf.DUMMYFUNCTION("""COMPUTED_VALUE"""),"KLH")</f>
        <v>KLH</v>
      </c>
    </row>
    <row r="55">
      <c r="A55" s="42" t="str">
        <f>IFERROR(__xludf.DUMMYFUNCTION("""COMPUTED_VALUE"""),"CHT-XLU-003")</f>
        <v>CHT-XLU-003</v>
      </c>
      <c r="B55" s="3" t="str">
        <f>IFERROR(__xludf.DUMMYFUNCTION("""COMPUTED_VALUE"""),"Xe lu rung SV521DH 11 tấn")</f>
        <v>Xe lu rung SV521DH 11 tấn</v>
      </c>
      <c r="C55" s="5" t="str">
        <f>IFERROR(__xludf.DUMMYFUNCTION("""COMPUTED_VALUE"""),"CGTC LP")</f>
        <v>CGTC LP</v>
      </c>
      <c r="D55" s="5" t="str">
        <f>IFERROR(__xludf.DUMMYFUNCTION("""COMPUTED_VALUE"""),"SAKAI")</f>
        <v>SAKAI</v>
      </c>
      <c r="E55" s="131" t="str">
        <f>IFERROR(__xludf.DUMMYFUNCTION("""COMPUTED_VALUE"""),"NHẬT BẢN")</f>
        <v>NHẬT BẢN</v>
      </c>
      <c r="F55" s="5">
        <f>IFERROR(__xludf.DUMMYFUNCTION("""COMPUTED_VALUE"""),2020.0)</f>
        <v>2020</v>
      </c>
      <c r="G55" s="5" t="str">
        <f>IFERROR(__xludf.DUMMYFUNCTION("""COMPUTED_VALUE"""),"SV521DH")</f>
        <v>SV521DH</v>
      </c>
      <c r="H55" s="48" t="str">
        <f>IFERROR(__xludf.DUMMYFUNCTION("""COMPUTED_VALUE"""),"112HP")</f>
        <v>112HP</v>
      </c>
      <c r="I55" s="5" t="str">
        <f>IFERROR(__xludf.DUMMYFUNCTION("""COMPUTED_VALUE"""),"2SV6610477")</f>
        <v>2SV6610477</v>
      </c>
      <c r="J55" s="5" t="str">
        <f>IFERROR(__xludf.DUMMYFUNCTION("""COMPUTED_VALUE"""),"133243")</f>
        <v>133243</v>
      </c>
      <c r="K55" s="5">
        <f>IFERROR(__xludf.DUMMYFUNCTION("""COMPUTED_VALUE"""),7.0)</f>
        <v>7</v>
      </c>
      <c r="L55" s="5" t="str">
        <f>IFERROR(__xludf.DUMMYFUNCTION("""COMPUTED_VALUE"""),"KLH")</f>
        <v>KLH</v>
      </c>
    </row>
    <row r="56">
      <c r="A56" s="42" t="str">
        <f>IFERROR(__xludf.DUMMYFUNCTION("""COMPUTED_VALUE"""),"CHT-XLU-004")</f>
        <v>CHT-XLU-004</v>
      </c>
      <c r="B56" s="3" t="str">
        <f>IFERROR(__xludf.DUMMYFUNCTION("""COMPUTED_VALUE"""),"Xe lu tĩnh R2 10 tấn")</f>
        <v>Xe lu tĩnh R2 10 tấn</v>
      </c>
      <c r="C56" s="5" t="str">
        <f>IFERROR(__xludf.DUMMYFUNCTION("""COMPUTED_VALUE"""),"CGTC LP")</f>
        <v>CGTC LP</v>
      </c>
      <c r="D56" s="5" t="str">
        <f>IFERROR(__xludf.DUMMYFUNCTION("""COMPUTED_VALUE"""),"SAKAI")</f>
        <v>SAKAI</v>
      </c>
      <c r="E56" s="131" t="str">
        <f>IFERROR(__xludf.DUMMYFUNCTION("""COMPUTED_VALUE"""),"NHẬT BẢN")</f>
        <v>NHẬT BẢN</v>
      </c>
      <c r="F56" s="5">
        <f>IFERROR(__xludf.DUMMYFUNCTION("""COMPUTED_VALUE"""),2000.0)</f>
        <v>2000</v>
      </c>
      <c r="G56" s="5" t="str">
        <f>IFERROR(__xludf.DUMMYFUNCTION("""COMPUTED_VALUE"""),"R2")</f>
        <v>R2</v>
      </c>
      <c r="H56" s="88" t="str">
        <f>IFERROR(__xludf.DUMMYFUNCTION("""COMPUTED_VALUE"""),"74HP")</f>
        <v>74HP</v>
      </c>
      <c r="I56" s="5" t="str">
        <f>IFERROR(__xludf.DUMMYFUNCTION("""COMPUTED_VALUE"""),"RR321551")</f>
        <v>RR321551</v>
      </c>
      <c r="J56" s="5" t="str">
        <f>IFERROR(__xludf.DUMMYFUNCTION("""COMPUTED_VALUE"""),"W04DF15218")</f>
        <v>W04DF15218</v>
      </c>
      <c r="K56" s="5">
        <f>IFERROR(__xludf.DUMMYFUNCTION("""COMPUTED_VALUE"""),4.0)</f>
        <v>4</v>
      </c>
      <c r="L56" s="5" t="str">
        <f>IFERROR(__xludf.DUMMYFUNCTION("""COMPUTED_VALUE"""),"KLH")</f>
        <v>KLH</v>
      </c>
    </row>
    <row r="57">
      <c r="A57" s="42" t="str">
        <f>IFERROR(__xludf.DUMMYFUNCTION("""COMPUTED_VALUE"""),"CHT-XTA-004")</f>
        <v>CHT-XTA-004</v>
      </c>
      <c r="B57" s="3" t="str">
        <f>IFERROR(__xludf.DUMMYFUNCTION("""COMPUTED_VALUE"""),"Xe ben FD140")</f>
        <v>Xe ben FD140</v>
      </c>
      <c r="C57" s="5" t="str">
        <f>IFERROR(__xludf.DUMMYFUNCTION("""COMPUTED_VALUE"""),"CGTC LP")</f>
        <v>CGTC LP</v>
      </c>
      <c r="D57" s="5" t="str">
        <f>IFERROR(__xludf.DUMMYFUNCTION("""COMPUTED_VALUE"""),"THACO FORLAND")</f>
        <v>THACO FORLAND</v>
      </c>
      <c r="E57" s="131" t="str">
        <f>IFERROR(__xludf.DUMMYFUNCTION("""COMPUTED_VALUE"""),"VIỆT NAM")</f>
        <v>VIỆT NAM</v>
      </c>
      <c r="F57" s="5">
        <f>IFERROR(__xludf.DUMMYFUNCTION("""COMPUTED_VALUE"""),2020.0)</f>
        <v>2020</v>
      </c>
      <c r="G57" s="5" t="str">
        <f>IFERROR(__xludf.DUMMYFUNCTION("""COMPUTED_VALUE"""),"FD140-8T")</f>
        <v>FD140-8T</v>
      </c>
      <c r="H57" s="48" t="str">
        <f>IFERROR(__xludf.DUMMYFUNCTION("""COMPUTED_VALUE"""),"140HP")</f>
        <v>140HP</v>
      </c>
      <c r="I57" s="5" t="str">
        <f>IFERROR(__xludf.DUMMYFUNCTION("""COMPUTED_VALUE"""),"RNHF14FYALT024045")</f>
        <v>RNHF14FYALT024045</v>
      </c>
      <c r="J57" s="5" t="str">
        <f>IFERROR(__xludf.DUMMYFUNCTION("""COMPUTED_VALUE"""),"YC4D140-48D59M1J20731")</f>
        <v>YC4D140-48D59M1J20731</v>
      </c>
      <c r="K57" s="5">
        <f>IFERROR(__xludf.DUMMYFUNCTION("""COMPUTED_VALUE"""),5.7)</f>
        <v>5.7</v>
      </c>
      <c r="L57" s="5" t="str">
        <f>IFERROR(__xludf.DUMMYFUNCTION("""COMPUTED_VALUE"""),"KLH")</f>
        <v>KLH</v>
      </c>
    </row>
    <row r="58">
      <c r="A58" s="42" t="str">
        <f>IFERROR(__xludf.DUMMYFUNCTION("""COMPUTED_VALUE"""),"CHT-XTA-005")</f>
        <v>CHT-XTA-005</v>
      </c>
      <c r="B58" s="3" t="str">
        <f>IFERROR(__xludf.DUMMYFUNCTION("""COMPUTED_VALUE"""),"Xe ben FD850")</f>
        <v>Xe ben FD850</v>
      </c>
      <c r="C58" s="5" t="str">
        <f>IFERROR(__xludf.DUMMYFUNCTION("""COMPUTED_VALUE"""),"CGTC LP")</f>
        <v>CGTC LP</v>
      </c>
      <c r="D58" s="5" t="str">
        <f>IFERROR(__xludf.DUMMYFUNCTION("""COMPUTED_VALUE"""),"THACO FORLAND")</f>
        <v>THACO FORLAND</v>
      </c>
      <c r="E58" s="131" t="str">
        <f>IFERROR(__xludf.DUMMYFUNCTION("""COMPUTED_VALUE"""),"VIỆT NAM")</f>
        <v>VIỆT NAM</v>
      </c>
      <c r="F58" s="5">
        <f>IFERROR(__xludf.DUMMYFUNCTION("""COMPUTED_VALUE"""),2020.0)</f>
        <v>2020</v>
      </c>
      <c r="G58" s="5" t="str">
        <f>IFERROR(__xludf.DUMMYFUNCTION("""COMPUTED_VALUE"""),"FD850-5T")</f>
        <v>FD850-5T</v>
      </c>
      <c r="H58" s="88" t="str">
        <f>IFERROR(__xludf.DUMMYFUNCTION("""COMPUTED_VALUE"""),"140HP")</f>
        <v>140HP</v>
      </c>
      <c r="I58" s="5" t="str">
        <f>IFERROR(__xludf.DUMMYFUNCTION("""COMPUTED_VALUE"""),"RNHF14FYALC008840")</f>
        <v>RNHF14FYALC008840</v>
      </c>
      <c r="J58" s="5" t="str">
        <f>IFERROR(__xludf.DUMMYFUNCTION("""COMPUTED_VALUE"""),"D59M1J20132")</f>
        <v>D59M1J20132</v>
      </c>
      <c r="K58" s="5">
        <f>IFERROR(__xludf.DUMMYFUNCTION("""COMPUTED_VALUE"""),6.0)</f>
        <v>6</v>
      </c>
      <c r="L58" s="5" t="str">
        <f>IFERROR(__xludf.DUMMYFUNCTION("""COMPUTED_VALUE"""),"KLH")</f>
        <v>KLH</v>
      </c>
    </row>
    <row r="59">
      <c r="A59" s="42" t="str">
        <f>IFERROR(__xludf.DUMMYFUNCTION("""COMPUTED_VALUE"""),"CHT-XTA-017")</f>
        <v>CHT-XTA-017</v>
      </c>
      <c r="B59" s="3" t="str">
        <f>IFERROR(__xludf.DUMMYFUNCTION("""COMPUTED_VALUE"""),"Xe ben AUMAN GTL D300 E4")</f>
        <v>Xe ben AUMAN GTL D300 E4</v>
      </c>
      <c r="C59" s="5" t="str">
        <f>IFERROR(__xludf.DUMMYFUNCTION("""COMPUTED_VALUE"""),"CGTC LP")</f>
        <v>CGTC LP</v>
      </c>
      <c r="D59" s="5" t="str">
        <f>IFERROR(__xludf.DUMMYFUNCTION("""COMPUTED_VALUE"""),"THACO AUMAN")</f>
        <v>THACO AUMAN</v>
      </c>
      <c r="E59" s="131" t="str">
        <f>IFERROR(__xludf.DUMMYFUNCTION("""COMPUTED_VALUE"""),"VIỆT NAM")</f>
        <v>VIỆT NAM</v>
      </c>
      <c r="F59" s="5">
        <f>IFERROR(__xludf.DUMMYFUNCTION("""COMPUTED_VALUE"""),2018.0)</f>
        <v>2018</v>
      </c>
      <c r="G59" s="5" t="str">
        <f>IFERROR(__xludf.DUMMYFUNCTION("""COMPUTED_VALUE"""),"GTL D300E4")</f>
        <v>GTL D300E4</v>
      </c>
      <c r="H59" s="48" t="str">
        <f>IFERROR(__xludf.DUMMYFUNCTION("""COMPUTED_VALUE"""),"375HP")</f>
        <v>375HP</v>
      </c>
      <c r="I59" s="5" t="str">
        <f>IFERROR(__xludf.DUMMYFUNCTION("""COMPUTED_VALUE"""),"RNHD30FWAJCO078095")</f>
        <v>RNHD30FWAJCO078095</v>
      </c>
      <c r="J59" s="5" t="str">
        <f>IFERROR(__xludf.DUMMYFUNCTION("""COMPUTED_VALUE"""),"WP10375E431618A009923")</f>
        <v>WP10375E431618A009923</v>
      </c>
      <c r="K59" s="5">
        <f>IFERROR(__xludf.DUMMYFUNCTION("""COMPUTED_VALUE"""),1.41)</f>
        <v>1.41</v>
      </c>
      <c r="L59" s="5" t="str">
        <f>IFERROR(__xludf.DUMMYFUNCTION("""COMPUTED_VALUE"""),"KLH")</f>
        <v>KLH</v>
      </c>
    </row>
    <row r="60">
      <c r="A60" s="42" t="str">
        <f>IFERROR(__xludf.DUMMYFUNCTION("""COMPUTED_VALUE"""),"CHT-XTA-028")</f>
        <v>CHT-XTA-028</v>
      </c>
      <c r="B60" s="3" t="str">
        <f>IFERROR(__xludf.DUMMYFUNCTION("""COMPUTED_VALUE"""),"Xe ben HOWO TXD600")</f>
        <v>Xe ben HOWO TXD600</v>
      </c>
      <c r="C60" s="5" t="str">
        <f>IFERROR(__xludf.DUMMYFUNCTION("""COMPUTED_VALUE"""),"CGTC LP")</f>
        <v>CGTC LP</v>
      </c>
      <c r="D60" s="5" t="str">
        <f>IFERROR(__xludf.DUMMYFUNCTION("""COMPUTED_VALUE"""),"HOWO")</f>
        <v>HOWO</v>
      </c>
      <c r="E60" s="131" t="str">
        <f>IFERROR(__xludf.DUMMYFUNCTION("""COMPUTED_VALUE"""),"VIỆT NAM")</f>
        <v>VIỆT NAM</v>
      </c>
      <c r="F60" s="5">
        <f>IFERROR(__xludf.DUMMYFUNCTION("""COMPUTED_VALUE"""),2022.0)</f>
        <v>2022</v>
      </c>
      <c r="G60" s="5" t="str">
        <f>IFERROR(__xludf.DUMMYFUNCTION("""COMPUTED_VALUE"""),"HOWO TX D600")</f>
        <v>HOWO TX D600</v>
      </c>
      <c r="H60" s="48" t="str">
        <f>IFERROR(__xludf.DUMMYFUNCTION("""COMPUTED_VALUE"""),"380HP")</f>
        <v>380HP</v>
      </c>
      <c r="I60" s="5" t="str">
        <f>IFERROR(__xludf.DUMMYFUNCTION("""COMPUTED_VALUE"""),"RNHD24CWANT063483")</f>
        <v>RNHD24CWANT063483</v>
      </c>
      <c r="J60" s="5" t="str">
        <f>IFERROR(__xludf.DUMMYFUNCTION("""COMPUTED_VALUE"""),"1622D017391")</f>
        <v>1622D017391</v>
      </c>
      <c r="K60" s="5">
        <f>IFERROR(__xludf.DUMMYFUNCTION("""COMPUTED_VALUE"""),1.34)</f>
        <v>1.34</v>
      </c>
      <c r="L60" s="5" t="str">
        <f>IFERROR(__xludf.DUMMYFUNCTION("""COMPUTED_VALUE"""),"KLH")</f>
        <v>KLH</v>
      </c>
    </row>
    <row r="61">
      <c r="A61" s="42" t="str">
        <f>IFERROR(__xludf.DUMMYFUNCTION("""COMPUTED_VALUE"""),"CHT-XTA-029")</f>
        <v>CHT-XTA-029</v>
      </c>
      <c r="B61" s="3" t="str">
        <f>IFERROR(__xludf.DUMMYFUNCTION("""COMPUTED_VALUE"""),"Xe ben HOWO TXD600")</f>
        <v>Xe ben HOWO TXD600</v>
      </c>
      <c r="C61" s="5" t="str">
        <f>IFERROR(__xludf.DUMMYFUNCTION("""COMPUTED_VALUE"""),"CGTC LP")</f>
        <v>CGTC LP</v>
      </c>
      <c r="D61" s="5" t="str">
        <f>IFERROR(__xludf.DUMMYFUNCTION("""COMPUTED_VALUE"""),"HOWO")</f>
        <v>HOWO</v>
      </c>
      <c r="E61" s="131" t="str">
        <f>IFERROR(__xludf.DUMMYFUNCTION("""COMPUTED_VALUE"""),"VIỆT NAM")</f>
        <v>VIỆT NAM</v>
      </c>
      <c r="F61" s="5">
        <f>IFERROR(__xludf.DUMMYFUNCTION("""COMPUTED_VALUE"""),2022.0)</f>
        <v>2022</v>
      </c>
      <c r="G61" s="5" t="str">
        <f>IFERROR(__xludf.DUMMYFUNCTION("""COMPUTED_VALUE"""),"HOWO TX D600")</f>
        <v>HOWO TX D600</v>
      </c>
      <c r="H61" s="48" t="str">
        <f>IFERROR(__xludf.DUMMYFUNCTION("""COMPUTED_VALUE"""),"380HP")</f>
        <v>380HP</v>
      </c>
      <c r="I61" s="5" t="str">
        <f>IFERROR(__xludf.DUMMYFUNCTION("""COMPUTED_VALUE"""),"RNHD24CWANT063484")</f>
        <v>RNHD24CWANT063484</v>
      </c>
      <c r="J61" s="5" t="str">
        <f>IFERROR(__xludf.DUMMYFUNCTION("""COMPUTED_VALUE"""),"1622D017399")</f>
        <v>1622D017399</v>
      </c>
      <c r="K61" s="5">
        <f>IFERROR(__xludf.DUMMYFUNCTION("""COMPUTED_VALUE"""),1.34)</f>
        <v>1.34</v>
      </c>
      <c r="L61" s="5" t="str">
        <f>IFERROR(__xludf.DUMMYFUNCTION("""COMPUTED_VALUE"""),"KLH")</f>
        <v>KLH</v>
      </c>
    </row>
    <row r="62">
      <c r="A62" s="42" t="str">
        <f>IFERROR(__xludf.DUMMYFUNCTION("""COMPUTED_VALUE"""),"CHT-MĐA-013")</f>
        <v>CHT-MĐA-013</v>
      </c>
      <c r="B62" s="3" t="str">
        <f>IFERROR(__xludf.DUMMYFUNCTION("""COMPUTED_VALUE"""),"Máy đào SH210 bánh xích gàu 0.9m3")</f>
        <v>Máy đào SH210 bánh xích gàu 0.9m3</v>
      </c>
      <c r="C62" s="5" t="str">
        <f>IFERROR(__xludf.DUMMYFUNCTION("""COMPUTED_VALUE"""),"CGTC LP")</f>
        <v>CGTC LP</v>
      </c>
      <c r="D62" s="5" t="str">
        <f>IFERROR(__xludf.DUMMYFUNCTION("""COMPUTED_VALUE"""),"SUMITOMO")</f>
        <v>SUMITOMO</v>
      </c>
      <c r="E62" s="131" t="str">
        <f>IFERROR(__xludf.DUMMYFUNCTION("""COMPUTED_VALUE"""),"NHẬT BẢN")</f>
        <v>NHẬT BẢN</v>
      </c>
      <c r="F62" s="5">
        <f>IFERROR(__xludf.DUMMYFUNCTION("""COMPUTED_VALUE"""),2020.0)</f>
        <v>2020</v>
      </c>
      <c r="G62" s="5" t="str">
        <f>IFERROR(__xludf.DUMMYFUNCTION("""COMPUTED_VALUE"""),"SH210-6")</f>
        <v>SH210-6</v>
      </c>
      <c r="H62" s="48" t="str">
        <f>IFERROR(__xludf.DUMMYFUNCTION("""COMPUTED_VALUE"""),"156HP")</f>
        <v>156HP</v>
      </c>
      <c r="I62" s="5" t="str">
        <f>IFERROR(__xludf.DUMMYFUNCTION("""COMPUTED_VALUE"""),"STN210T6V00BH2623")</f>
        <v>STN210T6V00BH2623</v>
      </c>
      <c r="J62" s="5" t="str">
        <f>IFERROR(__xludf.DUMMYFUNCTION("""COMPUTED_VALUE"""),"800391")</f>
        <v>800391</v>
      </c>
      <c r="K62" s="5">
        <f>IFERROR(__xludf.DUMMYFUNCTION("""COMPUTED_VALUE"""),15.0)</f>
        <v>15</v>
      </c>
      <c r="L62" s="5" t="str">
        <f>IFERROR(__xludf.DUMMYFUNCTION("""COMPUTED_VALUE"""),"KLH")</f>
        <v>KLH</v>
      </c>
    </row>
    <row r="63">
      <c r="A63" s="42" t="str">
        <f>IFERROR(__xludf.DUMMYFUNCTION("""COMPUTED_VALUE"""),"CHT-MĐA-014")</f>
        <v>CHT-MĐA-014</v>
      </c>
      <c r="B63" s="3" t="str">
        <f>IFERROR(__xludf.DUMMYFUNCTION("""COMPUTED_VALUE"""),"Máy đào SH130 bánh xích gàu 0.5m3")</f>
        <v>Máy đào SH130 bánh xích gàu 0.5m3</v>
      </c>
      <c r="C63" s="5" t="str">
        <f>IFERROR(__xludf.DUMMYFUNCTION("""COMPUTED_VALUE"""),"CGTC LP")</f>
        <v>CGTC LP</v>
      </c>
      <c r="D63" s="5" t="str">
        <f>IFERROR(__xludf.DUMMYFUNCTION("""COMPUTED_VALUE"""),"SUMITOMO")</f>
        <v>SUMITOMO</v>
      </c>
      <c r="E63" s="131" t="str">
        <f>IFERROR(__xludf.DUMMYFUNCTION("""COMPUTED_VALUE"""),"NHẬT BẢN")</f>
        <v>NHẬT BẢN</v>
      </c>
      <c r="F63" s="5">
        <f>IFERROR(__xludf.DUMMYFUNCTION("""COMPUTED_VALUE"""),2019.0)</f>
        <v>2019</v>
      </c>
      <c r="G63" s="5" t="str">
        <f>IFERROR(__xludf.DUMMYFUNCTION("""COMPUTED_VALUE"""),"SH130-6")</f>
        <v>SH130-6</v>
      </c>
      <c r="H63" s="88" t="str">
        <f>IFERROR(__xludf.DUMMYFUNCTION("""COMPUTED_VALUE"""),"96HP")</f>
        <v>96HP</v>
      </c>
      <c r="I63" s="5" t="str">
        <f>IFERROR(__xludf.DUMMYFUNCTION("""COMPUTED_VALUE"""),"STN130T6V00BH1607")</f>
        <v>STN130T6V00BH1607</v>
      </c>
      <c r="J63" s="5" t="str">
        <f>IFERROR(__xludf.DUMMYFUNCTION("""COMPUTED_VALUE"""),"2757064JJ1")</f>
        <v>2757064JJ1</v>
      </c>
      <c r="K63" s="5">
        <f>IFERROR(__xludf.DUMMYFUNCTION("""COMPUTED_VALUE"""),12.0)</f>
        <v>12</v>
      </c>
      <c r="L63" s="5" t="str">
        <f>IFERROR(__xludf.DUMMYFUNCTION("""COMPUTED_VALUE"""),"KLH")</f>
        <v>KLH</v>
      </c>
    </row>
    <row r="64">
      <c r="A64" s="42" t="str">
        <f>IFERROR(__xludf.DUMMYFUNCTION("""COMPUTED_VALUE"""),"CHT-MĐA-015")</f>
        <v>CHT-MĐA-015</v>
      </c>
      <c r="B64" s="3" t="str">
        <f>IFERROR(__xludf.DUMMYFUNCTION("""COMPUTED_VALUE"""),"Máy đào DX140W bánh lốp gàu 0.7m3")</f>
        <v>Máy đào DX140W bánh lốp gàu 0.7m3</v>
      </c>
      <c r="C64" s="5" t="str">
        <f>IFERROR(__xludf.DUMMYFUNCTION("""COMPUTED_VALUE"""),"CGTC LP")</f>
        <v>CGTC LP</v>
      </c>
      <c r="D64" s="5" t="str">
        <f>IFERROR(__xludf.DUMMYFUNCTION("""COMPUTED_VALUE"""),"DOOSAN")</f>
        <v>DOOSAN</v>
      </c>
      <c r="E64" s="131" t="str">
        <f>IFERROR(__xludf.DUMMYFUNCTION("""COMPUTED_VALUE"""),"HÀN QUỐC")</f>
        <v>HÀN QUỐC</v>
      </c>
      <c r="F64" s="5">
        <f>IFERROR(__xludf.DUMMYFUNCTION("""COMPUTED_VALUE"""),2020.0)</f>
        <v>2020</v>
      </c>
      <c r="G64" s="5" t="str">
        <f>IFERROR(__xludf.DUMMYFUNCTION("""COMPUTED_VALUE"""),"DX140W")</f>
        <v>DX140W</v>
      </c>
      <c r="H64" s="48" t="str">
        <f>IFERROR(__xludf.DUMMYFUNCTION("""COMPUTED_VALUE"""),"133HP")</f>
        <v>133HP</v>
      </c>
      <c r="I64" s="5" t="str">
        <f>IFERROR(__xludf.DUMMYFUNCTION("""COMPUTED_VALUE"""),"DHKCEWAAHL5008817")</f>
        <v>DHKCEWAAHL5008817</v>
      </c>
      <c r="J64" s="5" t="str">
        <f>IFERROR(__xludf.DUMMYFUNCTION("""COMPUTED_VALUE"""),"DB58TIS039588EJ")</f>
        <v>DB58TIS039588EJ</v>
      </c>
      <c r="K64" s="5">
        <f>IFERROR(__xludf.DUMMYFUNCTION("""COMPUTED_VALUE"""),10.0)</f>
        <v>10</v>
      </c>
      <c r="L64" s="5" t="str">
        <f>IFERROR(__xludf.DUMMYFUNCTION("""COMPUTED_VALUE"""),"KLH")</f>
        <v>KLH</v>
      </c>
    </row>
    <row r="65">
      <c r="A65" s="135" t="str">
        <f>IFERROR(__xludf.DUMMYFUNCTION("""COMPUTED_VALUE"""),"CHT-MĐA-016")</f>
        <v>CHT-MĐA-016</v>
      </c>
      <c r="B65" s="3" t="str">
        <f>IFERROR(__xludf.DUMMYFUNCTION("""COMPUTED_VALUE"""),"Máy đào DX140W bánh lốp gàu 0.7m3")</f>
        <v>Máy đào DX140W bánh lốp gàu 0.7m3</v>
      </c>
      <c r="C65" s="5" t="str">
        <f>IFERROR(__xludf.DUMMYFUNCTION("""COMPUTED_VALUE"""),"CGTC LP")</f>
        <v>CGTC LP</v>
      </c>
      <c r="D65" s="5" t="str">
        <f>IFERROR(__xludf.DUMMYFUNCTION("""COMPUTED_VALUE"""),"DOOSAN")</f>
        <v>DOOSAN</v>
      </c>
      <c r="E65" s="131" t="str">
        <f>IFERROR(__xludf.DUMMYFUNCTION("""COMPUTED_VALUE"""),"HÀN QUỐC")</f>
        <v>HÀN QUỐC</v>
      </c>
      <c r="F65" s="5">
        <f>IFERROR(__xludf.DUMMYFUNCTION("""COMPUTED_VALUE"""),2020.0)</f>
        <v>2020</v>
      </c>
      <c r="G65" s="5" t="str">
        <f>IFERROR(__xludf.DUMMYFUNCTION("""COMPUTED_VALUE"""),"DX140W")</f>
        <v>DX140W</v>
      </c>
      <c r="H65" s="88" t="str">
        <f>IFERROR(__xludf.DUMMYFUNCTION("""COMPUTED_VALUE"""),"133HP")</f>
        <v>133HP</v>
      </c>
      <c r="I65" s="5" t="str">
        <f>IFERROR(__xludf.DUMMYFUNCTION("""COMPUTED_VALUE"""),"DHKCEWAAHL5008818")</f>
        <v>DHKCEWAAHL5008818</v>
      </c>
      <c r="J65" s="5" t="str">
        <f>IFERROR(__xludf.DUMMYFUNCTION("""COMPUTED_VALUE"""),"DB58TIS039734EJ")</f>
        <v>DB58TIS039734EJ</v>
      </c>
      <c r="K65" s="5">
        <f>IFERROR(__xludf.DUMMYFUNCTION("""COMPUTED_VALUE"""),10.0)</f>
        <v>10</v>
      </c>
      <c r="L65" s="5" t="str">
        <f>IFERROR(__xludf.DUMMYFUNCTION("""COMPUTED_VALUE"""),"KLH")</f>
        <v>KLH</v>
      </c>
    </row>
    <row r="66">
      <c r="A66" s="135" t="str">
        <f>IFERROR(__xludf.DUMMYFUNCTION("""COMPUTED_VALUE"""),"XL3-MĐA-002")</f>
        <v>XL3-MĐA-002</v>
      </c>
      <c r="B66" s="3" t="str">
        <f>IFERROR(__xludf.DUMMYFUNCTION("""COMPUTED_VALUE"""),"Máy đào U35 bánh xích gàu 0.3m3")</f>
        <v>Máy đào U35 bánh xích gàu 0.3m3</v>
      </c>
      <c r="C66" s="5" t="str">
        <f>IFERROR(__xludf.DUMMYFUNCTION("""COMPUTED_VALUE"""),"CGTC LP")</f>
        <v>CGTC LP</v>
      </c>
      <c r="D66" s="5" t="str">
        <f>IFERROR(__xludf.DUMMYFUNCTION("""COMPUTED_VALUE"""),"KUBOTA")</f>
        <v>KUBOTA</v>
      </c>
      <c r="E66" s="131" t="str">
        <f>IFERROR(__xludf.DUMMYFUNCTION("""COMPUTED_VALUE"""),"NHẬT BẢN")</f>
        <v>NHẬT BẢN</v>
      </c>
      <c r="F66" s="5">
        <f>IFERROR(__xludf.DUMMYFUNCTION("""COMPUTED_VALUE"""),2015.0)</f>
        <v>2015</v>
      </c>
      <c r="G66" s="5" t="str">
        <f>IFERROR(__xludf.DUMMYFUNCTION("""COMPUTED_VALUE"""),"U35-6")</f>
        <v>U35-6</v>
      </c>
      <c r="H66" s="88" t="str">
        <f>IFERROR(__xludf.DUMMYFUNCTION("""COMPUTED_VALUE"""),"32HP")</f>
        <v>32HP</v>
      </c>
      <c r="I66" s="5" t="str">
        <f>IFERROR(__xludf.DUMMYFUNCTION("""COMPUTED_VALUE"""),"60432")</f>
        <v>60432</v>
      </c>
      <c r="J66" s="5" t="str">
        <f>IFERROR(__xludf.DUMMYFUNCTION("""COMPUTED_VALUE"""),"CCN")</f>
        <v>CCN</v>
      </c>
      <c r="K66" s="5">
        <f>IFERROR(__xludf.DUMMYFUNCTION("""COMPUTED_VALUE"""),4.0)</f>
        <v>4</v>
      </c>
      <c r="L66" s="5" t="str">
        <f>IFERROR(__xludf.DUMMYFUNCTION("""COMPUTED_VALUE"""),"KLH")</f>
        <v>KLH</v>
      </c>
    </row>
    <row r="67">
      <c r="A67" s="42" t="str">
        <f>IFERROR(__xludf.DUMMYFUNCTION("""COMPUTED_VALUE"""),"XL4-MĐA-001")</f>
        <v>XL4-MĐA-001</v>
      </c>
      <c r="B67" s="3" t="str">
        <f>IFERROR(__xludf.DUMMYFUNCTION("""COMPUTED_VALUE"""),"Máy đào KOMATSU bánh xích gàu 0.3m3")</f>
        <v>Máy đào KOMATSU bánh xích gàu 0.3m3</v>
      </c>
      <c r="C67" s="5" t="str">
        <f>IFERROR(__xludf.DUMMYFUNCTION("""COMPUTED_VALUE"""),"CGTC LP")</f>
        <v>CGTC LP</v>
      </c>
      <c r="D67" s="5" t="str">
        <f>IFERROR(__xludf.DUMMYFUNCTION("""COMPUTED_VALUE"""),"KOMATSU")</f>
        <v>KOMATSU</v>
      </c>
      <c r="E67" s="131" t="str">
        <f>IFERROR(__xludf.DUMMYFUNCTION("""COMPUTED_VALUE"""),"NHẬT BẢN")</f>
        <v>NHẬT BẢN</v>
      </c>
      <c r="F67" s="5">
        <f>IFERROR(__xludf.DUMMYFUNCTION("""COMPUTED_VALUE"""),2006.0)</f>
        <v>2006</v>
      </c>
      <c r="G67" s="5" t="str">
        <f>IFERROR(__xludf.DUMMYFUNCTION("""COMPUTED_VALUE"""),"PC40-MR")</f>
        <v>PC40-MR</v>
      </c>
      <c r="H67" s="88" t="str">
        <f>IFERROR(__xludf.DUMMYFUNCTION("""COMPUTED_VALUE"""),"39HP")</f>
        <v>39HP</v>
      </c>
      <c r="I67" s="5" t="str">
        <f>IFERROR(__xludf.DUMMYFUNCTION("""COMPUTED_VALUE"""),"9101")</f>
        <v>9101</v>
      </c>
      <c r="J67" s="5" t="str">
        <f>IFERROR(__xludf.DUMMYFUNCTION("""COMPUTED_VALUE"""),"CCN")</f>
        <v>CCN</v>
      </c>
      <c r="K67" s="5">
        <f>IFERROR(__xludf.DUMMYFUNCTION("""COMPUTED_VALUE"""),4.0)</f>
        <v>4</v>
      </c>
      <c r="L67" s="5" t="str">
        <f>IFERROR(__xludf.DUMMYFUNCTION("""COMPUTED_VALUE"""),"KLH")</f>
        <v>KLH</v>
      </c>
    </row>
    <row r="68">
      <c r="A68" s="42" t="str">
        <f>IFERROR(__xludf.DUMMYFUNCTION("""COMPUTED_VALUE"""),"CHT-XTA-032")</f>
        <v>CHT-XTA-032</v>
      </c>
      <c r="B68" s="3" t="str">
        <f>IFERROR(__xludf.DUMMYFUNCTION("""COMPUTED_VALUE"""),"Xe ben FD150")</f>
        <v>Xe ben FD150</v>
      </c>
      <c r="C68" s="5" t="str">
        <f>IFERROR(__xludf.DUMMYFUNCTION("""COMPUTED_VALUE"""),"CGTC LP")</f>
        <v>CGTC LP</v>
      </c>
      <c r="D68" s="5" t="str">
        <f>IFERROR(__xludf.DUMMYFUNCTION("""COMPUTED_VALUE"""),"FORLAND")</f>
        <v>FORLAND</v>
      </c>
      <c r="E68" s="131" t="str">
        <f>IFERROR(__xludf.DUMMYFUNCTION("""COMPUTED_VALUE"""),"VIỆT NAM")</f>
        <v>VIỆT NAM</v>
      </c>
      <c r="F68" s="5">
        <f>IFERROR(__xludf.DUMMYFUNCTION("""COMPUTED_VALUE"""),2024.0)</f>
        <v>2024</v>
      </c>
      <c r="G68" s="5" t="str">
        <f>IFERROR(__xludf.DUMMYFUNCTION("""COMPUTED_VALUE"""),"FD150-4WD")</f>
        <v>FD150-4WD</v>
      </c>
      <c r="H68" s="88" t="str">
        <f>IFERROR(__xludf.DUMMYFUNCTION("""COMPUTED_VALUE"""),"150HP")</f>
        <v>150HP</v>
      </c>
      <c r="I68" s="5" t="str">
        <f>IFERROR(__xludf.DUMMYFUNCTION("""COMPUTED_VALUE"""),"RNHF16FYART000830")</f>
        <v>RNHF16FYART000830</v>
      </c>
      <c r="J68" s="5" t="str">
        <f>IFERROR(__xludf.DUMMYFUNCTION("""COMPUTED_VALUE"""),"D59M1N01292")</f>
        <v>D59M1N01292</v>
      </c>
      <c r="K68" s="5">
        <f>IFERROR(__xludf.DUMMYFUNCTION("""COMPUTED_VALUE"""),1.0)</f>
        <v>1</v>
      </c>
      <c r="L68" s="5" t="str">
        <f>IFERROR(__xludf.DUMMYFUNCTION("""COMPUTED_VALUE"""),"KLH")</f>
        <v>KLH</v>
      </c>
    </row>
    <row r="69">
      <c r="A69" s="42" t="str">
        <f>IFERROR(__xludf.DUMMYFUNCTION("""COMPUTED_VALUE"""),"CHT-XTA-033")</f>
        <v>CHT-XTA-033</v>
      </c>
      <c r="B69" s="3" t="str">
        <f>IFERROR(__xludf.DUMMYFUNCTION("""COMPUTED_VALUE"""),"Xe ben FD150")</f>
        <v>Xe ben FD150</v>
      </c>
      <c r="C69" s="5" t="str">
        <f>IFERROR(__xludf.DUMMYFUNCTION("""COMPUTED_VALUE"""),"CGTC LP")</f>
        <v>CGTC LP</v>
      </c>
      <c r="D69" s="5" t="str">
        <f>IFERROR(__xludf.DUMMYFUNCTION("""COMPUTED_VALUE"""),"FORLAND")</f>
        <v>FORLAND</v>
      </c>
      <c r="E69" s="131" t="str">
        <f>IFERROR(__xludf.DUMMYFUNCTION("""COMPUTED_VALUE"""),"VIỆT NAM")</f>
        <v>VIỆT NAM</v>
      </c>
      <c r="F69" s="5">
        <f>IFERROR(__xludf.DUMMYFUNCTION("""COMPUTED_VALUE"""),2024.0)</f>
        <v>2024</v>
      </c>
      <c r="G69" s="5" t="str">
        <f>IFERROR(__xludf.DUMMYFUNCTION("""COMPUTED_VALUE"""),"FD150-4WD")</f>
        <v>FD150-4WD</v>
      </c>
      <c r="H69" s="48" t="str">
        <f>IFERROR(__xludf.DUMMYFUNCTION("""COMPUTED_VALUE"""),"150HP")</f>
        <v>150HP</v>
      </c>
      <c r="I69" s="5" t="str">
        <f>IFERROR(__xludf.DUMMYFUNCTION("""COMPUTED_VALUE"""),"RNHF16FYART000831")</f>
        <v>RNHF16FYART000831</v>
      </c>
      <c r="J69" s="5" t="str">
        <f>IFERROR(__xludf.DUMMYFUNCTION("""COMPUTED_VALUE"""),"D59M1N01308")</f>
        <v>D59M1N01308</v>
      </c>
      <c r="K69" s="5">
        <f>IFERROR(__xludf.DUMMYFUNCTION("""COMPUTED_VALUE"""),1.0)</f>
        <v>1</v>
      </c>
      <c r="L69" s="5" t="str">
        <f>IFERROR(__xludf.DUMMYFUNCTION("""COMPUTED_VALUE"""),"KLH")</f>
        <v>KLH</v>
      </c>
    </row>
    <row r="70">
      <c r="A70" s="42" t="str">
        <f>IFERROR(__xludf.DUMMYFUNCTION("""COMPUTED_VALUE"""),"CHT-XTA-041")</f>
        <v>CHT-XTA-041</v>
      </c>
      <c r="B70" s="3" t="str">
        <f>IFERROR(__xludf.DUMMYFUNCTION("""COMPUTED_VALUE"""),"Xe ben FC150")</f>
        <v>Xe ben FC150</v>
      </c>
      <c r="C70" s="5" t="str">
        <f>IFERROR(__xludf.DUMMYFUNCTION("""COMPUTED_VALUE"""),"CGTC LP")</f>
        <v>CGTC LP</v>
      </c>
      <c r="D70" s="5" t="str">
        <f>IFERROR(__xludf.DUMMYFUNCTION("""COMPUTED_VALUE"""),"FORLAND")</f>
        <v>FORLAND</v>
      </c>
      <c r="E70" s="131" t="str">
        <f>IFERROR(__xludf.DUMMYFUNCTION("""COMPUTED_VALUE"""),"VIỆT NAM")</f>
        <v>VIỆT NAM</v>
      </c>
      <c r="F70" s="5">
        <f>IFERROR(__xludf.DUMMYFUNCTION("""COMPUTED_VALUE"""),2024.0)</f>
        <v>2024</v>
      </c>
      <c r="G70" s="5" t="str">
        <f>IFERROR(__xludf.DUMMYFUNCTION("""COMPUTED_VALUE"""),"FC150-4WD")</f>
        <v>FC150-4WD</v>
      </c>
      <c r="H70" s="88" t="str">
        <f>IFERROR(__xludf.DUMMYFUNCTION("""COMPUTED_VALUE"""),"150HP")</f>
        <v>150HP</v>
      </c>
      <c r="I70" s="5" t="str">
        <f>IFERROR(__xludf.DUMMYFUNCTION("""COMPUTED_VALUE"""),"RNHF16FYBRT000136")</f>
        <v>RNHF16FYBRT000136</v>
      </c>
      <c r="J70" s="5" t="str">
        <f>IFERROR(__xludf.DUMMYFUNCTION("""COMPUTED_VALUE"""),"D59M1N01094")</f>
        <v>D59M1N01094</v>
      </c>
      <c r="K70" s="5">
        <f>IFERROR(__xludf.DUMMYFUNCTION("""COMPUTED_VALUE"""),1.0)</f>
        <v>1</v>
      </c>
      <c r="L70" s="5" t="str">
        <f>IFERROR(__xludf.DUMMYFUNCTION("""COMPUTED_VALUE"""),"KLH")</f>
        <v>KLH</v>
      </c>
    </row>
    <row r="71">
      <c r="A71" s="42" t="str">
        <f>IFERROR(__xludf.DUMMYFUNCTION("""COMPUTED_VALUE"""),"CHT-XTA-042")</f>
        <v>CHT-XTA-042</v>
      </c>
      <c r="B71" s="3" t="str">
        <f>IFERROR(__xludf.DUMMYFUNCTION("""COMPUTED_VALUE"""),"Xe ben FC150")</f>
        <v>Xe ben FC150</v>
      </c>
      <c r="C71" s="5" t="str">
        <f>IFERROR(__xludf.DUMMYFUNCTION("""COMPUTED_VALUE"""),"CGTC LP")</f>
        <v>CGTC LP</v>
      </c>
      <c r="D71" s="5" t="str">
        <f>IFERROR(__xludf.DUMMYFUNCTION("""COMPUTED_VALUE"""),"FORLAND")</f>
        <v>FORLAND</v>
      </c>
      <c r="E71" s="131" t="str">
        <f>IFERROR(__xludf.DUMMYFUNCTION("""COMPUTED_VALUE"""),"VIỆT NAM")</f>
        <v>VIỆT NAM</v>
      </c>
      <c r="F71" s="5">
        <f>IFERROR(__xludf.DUMMYFUNCTION("""COMPUTED_VALUE"""),2024.0)</f>
        <v>2024</v>
      </c>
      <c r="G71" s="5" t="str">
        <f>IFERROR(__xludf.DUMMYFUNCTION("""COMPUTED_VALUE"""),"FC150-4WD")</f>
        <v>FC150-4WD</v>
      </c>
      <c r="H71" s="48" t="str">
        <f>IFERROR(__xludf.DUMMYFUNCTION("""COMPUTED_VALUE"""),"150HP")</f>
        <v>150HP</v>
      </c>
      <c r="I71" s="5" t="str">
        <f>IFERROR(__xludf.DUMMYFUNCTION("""COMPUTED_VALUE"""),"RNHF16FYBRT000137")</f>
        <v>RNHF16FYBRT000137</v>
      </c>
      <c r="J71" s="5" t="str">
        <f>IFERROR(__xludf.DUMMYFUNCTION("""COMPUTED_VALUE"""),"D59M1N01095")</f>
        <v>D59M1N01095</v>
      </c>
      <c r="K71" s="5">
        <f>IFERROR(__xludf.DUMMYFUNCTION("""COMPUTED_VALUE"""),1.0)</f>
        <v>1</v>
      </c>
      <c r="L71" s="5" t="str">
        <f>IFERROR(__xludf.DUMMYFUNCTION("""COMPUTED_VALUE"""),"KLH")</f>
        <v>KLH</v>
      </c>
    </row>
    <row r="72">
      <c r="A72" s="42" t="str">
        <f>IFERROR(__xludf.DUMMYFUNCTION("""COMPUTED_VALUE"""),"CHT-XTA-043")</f>
        <v>CHT-XTA-043</v>
      </c>
      <c r="B72" s="3" t="str">
        <f>IFERROR(__xludf.DUMMYFUNCTION("""COMPUTED_VALUE"""),"Xe ben FC150")</f>
        <v>Xe ben FC150</v>
      </c>
      <c r="C72" s="5" t="str">
        <f>IFERROR(__xludf.DUMMYFUNCTION("""COMPUTED_VALUE"""),"CGTC LP")</f>
        <v>CGTC LP</v>
      </c>
      <c r="D72" s="5" t="str">
        <f>IFERROR(__xludf.DUMMYFUNCTION("""COMPUTED_VALUE"""),"FORLAND")</f>
        <v>FORLAND</v>
      </c>
      <c r="E72" s="131" t="str">
        <f>IFERROR(__xludf.DUMMYFUNCTION("""COMPUTED_VALUE"""),"VIỆT NAM")</f>
        <v>VIỆT NAM</v>
      </c>
      <c r="F72" s="5">
        <f>IFERROR(__xludf.DUMMYFUNCTION("""COMPUTED_VALUE"""),2024.0)</f>
        <v>2024</v>
      </c>
      <c r="G72" s="5" t="str">
        <f>IFERROR(__xludf.DUMMYFUNCTION("""COMPUTED_VALUE"""),"FC150-4WD")</f>
        <v>FC150-4WD</v>
      </c>
      <c r="H72" s="48" t="str">
        <f>IFERROR(__xludf.DUMMYFUNCTION("""COMPUTED_VALUE"""),"150HP")</f>
        <v>150HP</v>
      </c>
      <c r="I72" s="5" t="str">
        <f>IFERROR(__xludf.DUMMYFUNCTION("""COMPUTED_VALUE"""),"RNHF16FYBRT000138")</f>
        <v>RNHF16FYBRT000138</v>
      </c>
      <c r="J72" s="5" t="str">
        <f>IFERROR(__xludf.DUMMYFUNCTION("""COMPUTED_VALUE"""),"D59M1N01096")</f>
        <v>D59M1N01096</v>
      </c>
      <c r="K72" s="5">
        <f>IFERROR(__xludf.DUMMYFUNCTION("""COMPUTED_VALUE"""),1.0)</f>
        <v>1</v>
      </c>
      <c r="L72" s="5" t="str">
        <f>IFERROR(__xludf.DUMMYFUNCTION("""COMPUTED_VALUE"""),"KLH")</f>
        <v>KLH</v>
      </c>
    </row>
    <row r="73">
      <c r="A73" s="42" t="str">
        <f>IFERROR(__xludf.DUMMYFUNCTION("""COMPUTED_VALUE"""),"CHT-MĐA-074")</f>
        <v>CHT-MĐA-074</v>
      </c>
      <c r="B73" s="3" t="str">
        <f>IFERROR(__xludf.DUMMYFUNCTION("""COMPUTED_VALUE"""),"Máy đào KOMATSU bánh xích gàu 0.8m3")</f>
        <v>Máy đào KOMATSU bánh xích gàu 0.8m3</v>
      </c>
      <c r="C73" s="5" t="str">
        <f>IFERROR(__xludf.DUMMYFUNCTION("""COMPUTED_VALUE"""),"CGTC LP")</f>
        <v>CGTC LP</v>
      </c>
      <c r="D73" s="5" t="str">
        <f>IFERROR(__xludf.DUMMYFUNCTION("""COMPUTED_VALUE"""),"KOMATSU")</f>
        <v>KOMATSU</v>
      </c>
      <c r="E73" s="131" t="str">
        <f>IFERROR(__xludf.DUMMYFUNCTION("""COMPUTED_VALUE"""),"NHẬT BẢN")</f>
        <v>NHẬT BẢN</v>
      </c>
      <c r="F73" s="5">
        <f>IFERROR(__xludf.DUMMYFUNCTION("""COMPUTED_VALUE"""),2010.0)</f>
        <v>2010</v>
      </c>
      <c r="G73" s="5" t="str">
        <f>IFERROR(__xludf.DUMMYFUNCTION("""COMPUTED_VALUE"""),"PC200-8N1")</f>
        <v>PC200-8N1</v>
      </c>
      <c r="H73" s="48" t="str">
        <f>IFERROR(__xludf.DUMMYFUNCTION("""COMPUTED_VALUE"""),"145HP")</f>
        <v>145HP</v>
      </c>
      <c r="I73" s="5" t="str">
        <f>IFERROR(__xludf.DUMMYFUNCTION("""COMPUTED_VALUE"""),"KMTPC197A02351172")</f>
        <v>KMTPC197A02351172</v>
      </c>
      <c r="J73" s="5" t="str">
        <f>IFERROR(__xludf.DUMMYFUNCTION("""COMPUTED_VALUE"""),"6D10726567400")</f>
        <v>6D10726567400</v>
      </c>
      <c r="K73" s="5">
        <f>IFERROR(__xludf.DUMMYFUNCTION("""COMPUTED_VALUE"""),14.0)</f>
        <v>14</v>
      </c>
      <c r="L73" s="5" t="str">
        <f>IFERROR(__xludf.DUMMYFUNCTION("""COMPUTED_VALUE"""),"KLH")</f>
        <v>KLH</v>
      </c>
    </row>
    <row r="74">
      <c r="A74" s="42" t="str">
        <f>IFERROR(__xludf.DUMMYFUNCTION("""COMPUTED_VALUE"""),"CHT-XLU-011")</f>
        <v>CHT-XLU-011</v>
      </c>
      <c r="B74" s="3" t="str">
        <f>IFERROR(__xludf.DUMMYFUNCTION("""COMPUTED_VALUE"""),"Xe lu rung Sakai 3.5 tấn")</f>
        <v>Xe lu rung Sakai 3.5 tấn</v>
      </c>
      <c r="C74" s="5" t="str">
        <f>IFERROR(__xludf.DUMMYFUNCTION("""COMPUTED_VALUE"""),"CGTC LP")</f>
        <v>CGTC LP</v>
      </c>
      <c r="D74" s="5" t="str">
        <f>IFERROR(__xludf.DUMMYFUNCTION("""COMPUTED_VALUE"""),"SAKAI")</f>
        <v>SAKAI</v>
      </c>
      <c r="E74" s="131" t="str">
        <f>IFERROR(__xludf.DUMMYFUNCTION("""COMPUTED_VALUE"""),"NHẬT BẢN")</f>
        <v>NHẬT BẢN</v>
      </c>
      <c r="F74" s="5">
        <f>IFERROR(__xludf.DUMMYFUNCTION("""COMPUTED_VALUE"""),2004.0)</f>
        <v>2004</v>
      </c>
      <c r="G74" s="5" t="str">
        <f>IFERROR(__xludf.DUMMYFUNCTION("""COMPUTED_VALUE"""),"TW500W‑1")</f>
        <v>TW500W‑1</v>
      </c>
      <c r="H74" s="48" t="str">
        <f>IFERROR(__xludf.DUMMYFUNCTION("""COMPUTED_VALUE"""),"39HP")</f>
        <v>39HP</v>
      </c>
      <c r="I74" s="5" t="str">
        <f>IFERROR(__xludf.DUMMYFUNCTION("""COMPUTED_VALUE"""),"VTW1521818")</f>
        <v>VTW1521818</v>
      </c>
      <c r="J74" s="5" t="str">
        <f>IFERROR(__xludf.DUMMYFUNCTION("""COMPUTED_VALUE"""),"166376")</f>
        <v>166376</v>
      </c>
      <c r="K74" s="5">
        <f>IFERROR(__xludf.DUMMYFUNCTION("""COMPUTED_VALUE"""),2.5)</f>
        <v>2.5</v>
      </c>
      <c r="L74" s="5" t="str">
        <f>IFERROR(__xludf.DUMMYFUNCTION("""COMPUTED_VALUE"""),"KLH")</f>
        <v>KLH</v>
      </c>
    </row>
    <row r="75">
      <c r="A75" s="42" t="str">
        <f>IFERROR(__xludf.DUMMYFUNCTION("""COMPUTED_VALUE"""),"CHT-MĐA-077")</f>
        <v>CHT-MĐA-077</v>
      </c>
      <c r="B75" s="3" t="str">
        <f>IFERROR(__xludf.DUMMYFUNCTION("""COMPUTED_VALUE"""),"Máy đào KOMATSU bánh lốp gàu 0.7m3")</f>
        <v>Máy đào KOMATSU bánh lốp gàu 0.7m3</v>
      </c>
      <c r="C75" s="5" t="str">
        <f>IFERROR(__xludf.DUMMYFUNCTION("""COMPUTED_VALUE"""),"CGTC LP")</f>
        <v>CGTC LP</v>
      </c>
      <c r="D75" s="5" t="str">
        <f>IFERROR(__xludf.DUMMYFUNCTION("""COMPUTED_VALUE"""),"KOMATSU")</f>
        <v>KOMATSU</v>
      </c>
      <c r="E75" s="131" t="str">
        <f>IFERROR(__xludf.DUMMYFUNCTION("""COMPUTED_VALUE"""),"NHẬT BẢN")</f>
        <v>NHẬT BẢN</v>
      </c>
      <c r="F75" s="5">
        <f>IFERROR(__xludf.DUMMYFUNCTION("""COMPUTED_VALUE"""),1990.0)</f>
        <v>1990</v>
      </c>
      <c r="G75" s="5" t="str">
        <f>IFERROR(__xludf.DUMMYFUNCTION("""COMPUTED_VALUE"""),"PW200-1")</f>
        <v>PW200-1</v>
      </c>
      <c r="H75" s="48" t="str">
        <f>IFERROR(__xludf.DUMMYFUNCTION("""COMPUTED_VALUE"""),"115HP")</f>
        <v>115HP</v>
      </c>
      <c r="I75" s="5" t="str">
        <f>IFERROR(__xludf.DUMMYFUNCTION("""COMPUTED_VALUE"""),"PW200110186")</f>
        <v>PW200110186</v>
      </c>
      <c r="J75" s="5" t="str">
        <f>IFERROR(__xludf.DUMMYFUNCTION("""COMPUTED_VALUE"""),"6D105121806")</f>
        <v>6D105121806</v>
      </c>
      <c r="K75" s="5">
        <f>IFERROR(__xludf.DUMMYFUNCTION("""COMPUTED_VALUE"""),10.0)</f>
        <v>10</v>
      </c>
      <c r="L75" s="5" t="str">
        <f>IFERROR(__xludf.DUMMYFUNCTION("""COMPUTED_VALUE"""),"KLH")</f>
        <v>KLH</v>
      </c>
    </row>
    <row r="76">
      <c r="A76" s="42" t="str">
        <f>IFERROR(__xludf.DUMMYFUNCTION("""COMPUTED_VALUE"""),"CHT-MUI-014")</f>
        <v>CHT-MUI-014</v>
      </c>
      <c r="B76" s="3" t="str">
        <f>IFERROR(__xludf.DUMMYFUNCTION("""COMPUTED_VALUE"""),"Máy ủi KOMATSU D31PX-21")</f>
        <v>Máy ủi KOMATSU D31PX-21</v>
      </c>
      <c r="C76" s="5" t="str">
        <f>IFERROR(__xludf.DUMMYFUNCTION("""COMPUTED_VALUE"""),"CGTC LP")</f>
        <v>CGTC LP</v>
      </c>
      <c r="D76" s="5" t="str">
        <f>IFERROR(__xludf.DUMMYFUNCTION("""COMPUTED_VALUE"""),"KOMATSU")</f>
        <v>KOMATSU</v>
      </c>
      <c r="E76" s="131" t="str">
        <f>IFERROR(__xludf.DUMMYFUNCTION("""COMPUTED_VALUE"""),"Nhật Bản")</f>
        <v>Nhật Bản</v>
      </c>
      <c r="F76" s="5">
        <f>IFERROR(__xludf.DUMMYFUNCTION("""COMPUTED_VALUE"""),2006.0)</f>
        <v>2006</v>
      </c>
      <c r="G76" s="5" t="str">
        <f>IFERROR(__xludf.DUMMYFUNCTION("""COMPUTED_VALUE"""),"D31PX-21")</f>
        <v>D31PX-21</v>
      </c>
      <c r="H76" s="48" t="str">
        <f>IFERROR(__xludf.DUMMYFUNCTION("""COMPUTED_VALUE"""),"78HP")</f>
        <v>78HP</v>
      </c>
      <c r="I76" s="5" t="str">
        <f>IFERROR(__xludf.DUMMYFUNCTION("""COMPUTED_VALUE"""),"KMT0D007J01051638")</f>
        <v>KMT0D007J01051638</v>
      </c>
      <c r="J76" s="5" t="str">
        <f>IFERROR(__xludf.DUMMYFUNCTION("""COMPUTED_VALUE"""),"4D10226430130")</f>
        <v>4D10226430130</v>
      </c>
      <c r="K76" s="5">
        <f>IFERROR(__xludf.DUMMYFUNCTION("""COMPUTED_VALUE"""),8.0)</f>
        <v>8</v>
      </c>
      <c r="L76" s="5" t="str">
        <f>IFERROR(__xludf.DUMMYFUNCTION("""COMPUTED_VALUE"""),"KLH")</f>
        <v>KLH</v>
      </c>
    </row>
    <row r="77">
      <c r="A77" s="42" t="str">
        <f>IFERROR(__xludf.DUMMYFUNCTION("""COMPUTED_VALUE"""),"Cơ giới thi công AD")</f>
        <v>Cơ giới thi công AD</v>
      </c>
      <c r="B77" s="3"/>
      <c r="C77" s="5"/>
      <c r="D77" s="5"/>
      <c r="E77" s="57"/>
      <c r="F77" s="5"/>
      <c r="G77" s="5"/>
      <c r="H77" s="137"/>
      <c r="I77" s="5"/>
      <c r="J77" s="5"/>
      <c r="K77" s="5"/>
      <c r="L77" s="5" t="str">
        <f>IFERROR(__xludf.DUMMYFUNCTION("""COMPUTED_VALUE"""),"KLH")</f>
        <v>KLH</v>
      </c>
    </row>
    <row r="78">
      <c r="A78" s="42" t="str">
        <f>IFERROR(__xludf.DUMMYFUNCTION("""COMPUTED_VALUE"""),"CHT-BAN-004")</f>
        <v>CHT-BAN-004</v>
      </c>
      <c r="B78" s="3" t="str">
        <f>IFERROR(__xludf.DUMMYFUNCTION("""COMPUTED_VALUE"""),"Xe ban KOMATSU GD605A")</f>
        <v>Xe ban KOMATSU GD605A</v>
      </c>
      <c r="C78" s="5" t="str">
        <f>IFERROR(__xludf.DUMMYFUNCTION("""COMPUTED_VALUE"""),"CGTC AD")</f>
        <v>CGTC AD</v>
      </c>
      <c r="D78" s="5" t="str">
        <f>IFERROR(__xludf.DUMMYFUNCTION("""COMPUTED_VALUE"""),"KOMATSU")</f>
        <v>KOMATSU</v>
      </c>
      <c r="E78" s="57" t="str">
        <f>IFERROR(__xludf.DUMMYFUNCTION("""COMPUTED_VALUE"""),"NHẬT BẢN")</f>
        <v>NHẬT BẢN</v>
      </c>
      <c r="F78" s="5">
        <f>IFERROR(__xludf.DUMMYFUNCTION("""COMPUTED_VALUE"""),1995.0)</f>
        <v>1995</v>
      </c>
      <c r="G78" s="5" t="str">
        <f>IFERROR(__xludf.DUMMYFUNCTION("""COMPUTED_VALUE"""),"GD605A-5")</f>
        <v>GD605A-5</v>
      </c>
      <c r="H78" s="5" t="str">
        <f>IFERROR(__xludf.DUMMYFUNCTION("""COMPUTED_VALUE"""),"145HP")</f>
        <v>145HP</v>
      </c>
      <c r="I78" s="5" t="str">
        <f>IFERROR(__xludf.DUMMYFUNCTION("""COMPUTED_VALUE"""),"G60A54058")</f>
        <v>G60A54058</v>
      </c>
      <c r="J78" s="5" t="str">
        <f>IFERROR(__xludf.DUMMYFUNCTION("""COMPUTED_VALUE"""),"6D12532782")</f>
        <v>6D12532782</v>
      </c>
      <c r="K78" s="5">
        <f>IFERROR(__xludf.DUMMYFUNCTION("""COMPUTED_VALUE"""),9.3)</f>
        <v>9.3</v>
      </c>
      <c r="L78" s="5" t="str">
        <f>IFERROR(__xludf.DUMMYFUNCTION("""COMPUTED_VALUE"""),"KLH")</f>
        <v>KLH</v>
      </c>
    </row>
    <row r="79">
      <c r="A79" s="42" t="str">
        <f>IFERROR(__xludf.DUMMYFUNCTION("""COMPUTED_VALUE"""),"CHT-MUI-005")</f>
        <v>CHT-MUI-005</v>
      </c>
      <c r="B79" s="3" t="str">
        <f>IFERROR(__xludf.DUMMYFUNCTION("""COMPUTED_VALUE"""),"Máy ủi KOMATSU D31PX")</f>
        <v>Máy ủi KOMATSU D31PX</v>
      </c>
      <c r="C79" s="5" t="str">
        <f>IFERROR(__xludf.DUMMYFUNCTION("""COMPUTED_VALUE"""),"CGTC AD")</f>
        <v>CGTC AD</v>
      </c>
      <c r="D79" s="5" t="str">
        <f>IFERROR(__xludf.DUMMYFUNCTION("""COMPUTED_VALUE"""),"KOMATSU")</f>
        <v>KOMATSU</v>
      </c>
      <c r="E79" s="57" t="str">
        <f>IFERROR(__xludf.DUMMYFUNCTION("""COMPUTED_VALUE"""),"NHẬT BẢN")</f>
        <v>NHẬT BẢN</v>
      </c>
      <c r="F79" s="5">
        <f>IFERROR(__xludf.DUMMYFUNCTION("""COMPUTED_VALUE"""),2005.0)</f>
        <v>2005</v>
      </c>
      <c r="G79" s="5" t="str">
        <f>IFERROR(__xludf.DUMMYFUNCTION("""COMPUTED_VALUE"""),"D31PX")</f>
        <v>D31PX</v>
      </c>
      <c r="H79" s="5" t="str">
        <f>IFERROR(__xludf.DUMMYFUNCTION("""COMPUTED_VALUE"""),"80HP")</f>
        <v>80HP</v>
      </c>
      <c r="I79" s="5" t="str">
        <f>IFERROR(__xludf.DUMMYFUNCTION("""COMPUTED_VALUE"""),"KMT0D0070E01050840")</f>
        <v>KMT0D0070E01050840</v>
      </c>
      <c r="J79" s="5" t="str">
        <f>IFERROR(__xludf.DUMMYFUNCTION("""COMPUTED_VALUE"""),"4D10226357443")</f>
        <v>4D10226357443</v>
      </c>
      <c r="K79" s="5">
        <f>IFERROR(__xludf.DUMMYFUNCTION("""COMPUTED_VALUE"""),8.0)</f>
        <v>8</v>
      </c>
      <c r="L79" s="5" t="str">
        <f>IFERROR(__xludf.DUMMYFUNCTION("""COMPUTED_VALUE"""),"KLH")</f>
        <v>KLH</v>
      </c>
    </row>
    <row r="80">
      <c r="A80" s="135" t="str">
        <f>IFERROR(__xludf.DUMMYFUNCTION("""COMPUTED_VALUE"""),"CHT-MUI-006")</f>
        <v>CHT-MUI-006</v>
      </c>
      <c r="B80" s="3" t="str">
        <f>IFERROR(__xludf.DUMMYFUNCTION("""COMPUTED_VALUE"""),"Máy ủi KOMATSU D31PX")</f>
        <v>Máy ủi KOMATSU D31PX</v>
      </c>
      <c r="C80" s="5" t="str">
        <f>IFERROR(__xludf.DUMMYFUNCTION("""COMPUTED_VALUE"""),"CGTC AD")</f>
        <v>CGTC AD</v>
      </c>
      <c r="D80" s="5" t="str">
        <f>IFERROR(__xludf.DUMMYFUNCTION("""COMPUTED_VALUE"""),"KOMATSU")</f>
        <v>KOMATSU</v>
      </c>
      <c r="E80" s="57" t="str">
        <f>IFERROR(__xludf.DUMMYFUNCTION("""COMPUTED_VALUE"""),"NHẬT BẢN")</f>
        <v>NHẬT BẢN</v>
      </c>
      <c r="F80" s="5">
        <f>IFERROR(__xludf.DUMMYFUNCTION("""COMPUTED_VALUE"""),2004.0)</f>
        <v>2004</v>
      </c>
      <c r="G80" s="5" t="str">
        <f>IFERROR(__xludf.DUMMYFUNCTION("""COMPUTED_VALUE"""),"D31PX")</f>
        <v>D31PX</v>
      </c>
      <c r="H80" s="5" t="str">
        <f>IFERROR(__xludf.DUMMYFUNCTION("""COMPUTED_VALUE"""),"80HP")</f>
        <v>80HP</v>
      </c>
      <c r="I80" s="5" t="str">
        <f>IFERROR(__xludf.DUMMYFUNCTION("""COMPUTED_VALUE"""),"KMT0D007L01050625")</f>
        <v>KMT0D007L01050625</v>
      </c>
      <c r="J80" s="5" t="str">
        <f>IFERROR(__xludf.DUMMYFUNCTION("""COMPUTED_VALUE"""),"4D10226340664")</f>
        <v>4D10226340664</v>
      </c>
      <c r="K80" s="5">
        <f>IFERROR(__xludf.DUMMYFUNCTION("""COMPUTED_VALUE"""),8.0)</f>
        <v>8</v>
      </c>
      <c r="L80" s="5" t="str">
        <f>IFERROR(__xludf.DUMMYFUNCTION("""COMPUTED_VALUE"""),"KLH")</f>
        <v>KLH</v>
      </c>
    </row>
    <row r="81">
      <c r="A81" s="42" t="str">
        <f>IFERROR(__xludf.DUMMYFUNCTION("""COMPUTED_VALUE"""),"CHT-MUI-007")</f>
        <v>CHT-MUI-007</v>
      </c>
      <c r="B81" s="3" t="str">
        <f>IFERROR(__xludf.DUMMYFUNCTION("""COMPUTED_VALUE"""),"Máy ủi KOMATSU D65PX-12")</f>
        <v>Máy ủi KOMATSU D65PX-12</v>
      </c>
      <c r="C81" s="5" t="str">
        <f>IFERROR(__xludf.DUMMYFUNCTION("""COMPUTED_VALUE"""),"CGTC AD")</f>
        <v>CGTC AD</v>
      </c>
      <c r="D81" s="5" t="str">
        <f>IFERROR(__xludf.DUMMYFUNCTION("""COMPUTED_VALUE"""),"KOMATSU")</f>
        <v>KOMATSU</v>
      </c>
      <c r="E81" s="57" t="str">
        <f>IFERROR(__xludf.DUMMYFUNCTION("""COMPUTED_VALUE"""),"NHẬT BẢN")</f>
        <v>NHẬT BẢN</v>
      </c>
      <c r="F81" s="5">
        <f>IFERROR(__xludf.DUMMYFUNCTION("""COMPUTED_VALUE"""),1996.0)</f>
        <v>1996</v>
      </c>
      <c r="G81" s="5" t="str">
        <f>IFERROR(__xludf.DUMMYFUNCTION("""COMPUTED_VALUE"""),"D65PX-12E")</f>
        <v>D65PX-12E</v>
      </c>
      <c r="H81" s="5" t="str">
        <f>IFERROR(__xludf.DUMMYFUNCTION("""COMPUTED_VALUE"""),"205HP")</f>
        <v>205HP</v>
      </c>
      <c r="I81" s="5" t="str">
        <f>IFERROR(__xludf.DUMMYFUNCTION("""COMPUTED_VALUE"""),"D60P1261177")</f>
        <v>D60P1261177</v>
      </c>
      <c r="J81" s="5" t="str">
        <f>IFERROR(__xludf.DUMMYFUNCTION("""COMPUTED_VALUE"""),"6D12564712")</f>
        <v>6D12564712</v>
      </c>
      <c r="K81" s="5">
        <f>IFERROR(__xludf.DUMMYFUNCTION("""COMPUTED_VALUE"""),14.0)</f>
        <v>14</v>
      </c>
      <c r="L81" s="5" t="str">
        <f>IFERROR(__xludf.DUMMYFUNCTION("""COMPUTED_VALUE"""),"KLH")</f>
        <v>KLH</v>
      </c>
    </row>
    <row r="82">
      <c r="A82" s="42" t="str">
        <f>IFERROR(__xludf.DUMMYFUNCTION("""COMPUTED_VALUE"""),"CHT-MUI-008")</f>
        <v>CHT-MUI-008</v>
      </c>
      <c r="B82" s="3" t="str">
        <f>IFERROR(__xludf.DUMMYFUNCTION("""COMPUTED_VALUE"""),"Máy ủi KOMATSU D31PX")</f>
        <v>Máy ủi KOMATSU D31PX</v>
      </c>
      <c r="C82" s="5" t="str">
        <f>IFERROR(__xludf.DUMMYFUNCTION("""COMPUTED_VALUE"""),"CGTC AD")</f>
        <v>CGTC AD</v>
      </c>
      <c r="D82" s="5" t="str">
        <f>IFERROR(__xludf.DUMMYFUNCTION("""COMPUTED_VALUE"""),"KOMATSU")</f>
        <v>KOMATSU</v>
      </c>
      <c r="E82" s="57" t="str">
        <f>IFERROR(__xludf.DUMMYFUNCTION("""COMPUTED_VALUE"""),"NHẬT BẢN")</f>
        <v>NHẬT BẢN</v>
      </c>
      <c r="F82" s="5">
        <f>IFERROR(__xludf.DUMMYFUNCTION("""COMPUTED_VALUE"""),2006.0)</f>
        <v>2006</v>
      </c>
      <c r="G82" s="5" t="str">
        <f>IFERROR(__xludf.DUMMYFUNCTION("""COMPUTED_VALUE"""),"D31PX-21")</f>
        <v>D31PX-21</v>
      </c>
      <c r="H82" s="5" t="str">
        <f>IFERROR(__xludf.DUMMYFUNCTION("""COMPUTED_VALUE"""),"75HP")</f>
        <v>75HP</v>
      </c>
      <c r="I82" s="5" t="str">
        <f>IFERROR(__xludf.DUMMYFUNCTION("""COMPUTED_VALUE"""),"KMT0D007P01051250")</f>
        <v>KMT0D007P01051250</v>
      </c>
      <c r="J82" s="5" t="str">
        <f>IFERROR(__xludf.DUMMYFUNCTION("""COMPUTED_VALUE"""),"4D10226392645")</f>
        <v>4D10226392645</v>
      </c>
      <c r="K82" s="5">
        <f>IFERROR(__xludf.DUMMYFUNCTION("""COMPUTED_VALUE"""),8.0)</f>
        <v>8</v>
      </c>
      <c r="L82" s="5" t="str">
        <f>IFERROR(__xludf.DUMMYFUNCTION("""COMPUTED_VALUE"""),"KLH")</f>
        <v>KLH</v>
      </c>
    </row>
    <row r="83">
      <c r="A83" s="42" t="str">
        <f>IFERROR(__xludf.DUMMYFUNCTION("""COMPUTED_VALUE"""),"CHT-MUI-012")</f>
        <v>CHT-MUI-012</v>
      </c>
      <c r="B83" s="3" t="str">
        <f>IFERROR(__xludf.DUMMYFUNCTION("""COMPUTED_VALUE"""),"Máy ủi KOMATSU D31PX")</f>
        <v>Máy ủi KOMATSU D31PX</v>
      </c>
      <c r="C83" s="5" t="str">
        <f>IFERROR(__xludf.DUMMYFUNCTION("""COMPUTED_VALUE"""),"CGTC AD")</f>
        <v>CGTC AD</v>
      </c>
      <c r="D83" s="5" t="str">
        <f>IFERROR(__xludf.DUMMYFUNCTION("""COMPUTED_VALUE"""),"KOMATSU")</f>
        <v>KOMATSU</v>
      </c>
      <c r="E83" s="57" t="str">
        <f>IFERROR(__xludf.DUMMYFUNCTION("""COMPUTED_VALUE"""),"NHẬT BẢN")</f>
        <v>NHẬT BẢN</v>
      </c>
      <c r="F83" s="5">
        <f>IFERROR(__xludf.DUMMYFUNCTION("""COMPUTED_VALUE"""),2006.0)</f>
        <v>2006</v>
      </c>
      <c r="G83" s="5" t="str">
        <f>IFERROR(__xludf.DUMMYFUNCTION("""COMPUTED_VALUE"""),"D31PX-21")</f>
        <v>D31PX-21</v>
      </c>
      <c r="H83" s="5" t="str">
        <f>IFERROR(__xludf.DUMMYFUNCTION("""COMPUTED_VALUE"""),"76HP")</f>
        <v>76HP</v>
      </c>
      <c r="I83" s="5" t="str">
        <f>IFERROR(__xludf.DUMMYFUNCTION("""COMPUTED_VALUE"""),"KMT0D007T01051313")</f>
        <v>KMT0D007T01051313</v>
      </c>
      <c r="J83" s="5" t="str">
        <f>IFERROR(__xludf.DUMMYFUNCTION("""COMPUTED_VALUE"""),"4D10226397126")</f>
        <v>4D10226397126</v>
      </c>
      <c r="K83" s="5">
        <f>IFERROR(__xludf.DUMMYFUNCTION("""COMPUTED_VALUE"""),8.0)</f>
        <v>8</v>
      </c>
      <c r="L83" s="5" t="str">
        <f>IFERROR(__xludf.DUMMYFUNCTION("""COMPUTED_VALUE"""),"KLH")</f>
        <v>KLH</v>
      </c>
    </row>
    <row r="84">
      <c r="A84" s="42" t="str">
        <f>IFERROR(__xludf.DUMMYFUNCTION("""COMPUTED_VALUE"""),"CHT-MUI-015")</f>
        <v>CHT-MUI-015</v>
      </c>
      <c r="B84" s="3" t="str">
        <f>IFERROR(__xludf.DUMMYFUNCTION("""COMPUTED_VALUE"""),"Máy ủi KOMATSU D61")</f>
        <v>Máy ủi KOMATSU D61</v>
      </c>
      <c r="C84" s="5" t="str">
        <f>IFERROR(__xludf.DUMMYFUNCTION("""COMPUTED_VALUE"""),"CGTC AD")</f>
        <v>CGTC AD</v>
      </c>
      <c r="D84" s="5" t="str">
        <f>IFERROR(__xludf.DUMMYFUNCTION("""COMPUTED_VALUE"""),"KOMATSU")</f>
        <v>KOMATSU</v>
      </c>
      <c r="E84" s="57" t="str">
        <f>IFERROR(__xludf.DUMMYFUNCTION("""COMPUTED_VALUE"""),"Nhật Bản")</f>
        <v>Nhật Bản</v>
      </c>
      <c r="F84" s="5">
        <f>IFERROR(__xludf.DUMMYFUNCTION("""COMPUTED_VALUE"""),2006.0)</f>
        <v>2006</v>
      </c>
      <c r="G84" s="5" t="str">
        <f>IFERROR(__xludf.DUMMYFUNCTION("""COMPUTED_VALUE"""),"D61PX-15")</f>
        <v>D61PX-15</v>
      </c>
      <c r="H84" s="5" t="str">
        <f>IFERROR(__xludf.DUMMYFUNCTION("""COMPUTED_VALUE"""),"155HP")</f>
        <v>155HP</v>
      </c>
      <c r="I84" s="5" t="str">
        <f>IFERROR(__xludf.DUMMYFUNCTION("""COMPUTED_VALUE"""),"KMT0D063H51B40955")</f>
        <v>KMT0D063H51B40955</v>
      </c>
      <c r="J84" s="5" t="str">
        <f>IFERROR(__xludf.DUMMYFUNCTION("""COMPUTED_VALUE"""),"30559211")</f>
        <v>30559211</v>
      </c>
      <c r="K84" s="5">
        <f>IFERROR(__xludf.DUMMYFUNCTION("""COMPUTED_VALUE"""),14.0)</f>
        <v>14</v>
      </c>
      <c r="L84" s="5" t="str">
        <f>IFERROR(__xludf.DUMMYFUNCTION("""COMPUTED_VALUE"""),"KLH")</f>
        <v>KLH</v>
      </c>
    </row>
    <row r="85">
      <c r="A85" s="42" t="str">
        <f>IFERROR(__xludf.DUMMYFUNCTION("""COMPUTED_VALUE"""),"CHT-XLU-006")</f>
        <v>CHT-XLU-006</v>
      </c>
      <c r="B85" s="3" t="str">
        <f>IFERROR(__xludf.DUMMYFUNCTION("""COMPUTED_VALUE"""),"Xe lu tĩnh R2 10 tấn")</f>
        <v>Xe lu tĩnh R2 10 tấn</v>
      </c>
      <c r="C85" s="5" t="str">
        <f>IFERROR(__xludf.DUMMYFUNCTION("""COMPUTED_VALUE"""),"CGTC AD")</f>
        <v>CGTC AD</v>
      </c>
      <c r="D85" s="5" t="str">
        <f>IFERROR(__xludf.DUMMYFUNCTION("""COMPUTED_VALUE"""),"SAKAI")</f>
        <v>SAKAI</v>
      </c>
      <c r="E85" s="57" t="str">
        <f>IFERROR(__xludf.DUMMYFUNCTION("""COMPUTED_VALUE"""),"NHẬT BẢN")</f>
        <v>NHẬT BẢN</v>
      </c>
      <c r="F85" s="5">
        <f>IFERROR(__xludf.DUMMYFUNCTION("""COMPUTED_VALUE"""),1997.0)</f>
        <v>1997</v>
      </c>
      <c r="G85" s="5" t="str">
        <f>IFERROR(__xludf.DUMMYFUNCTION("""COMPUTED_VALUE"""),"R2H")</f>
        <v>R2H</v>
      </c>
      <c r="H85" s="5" t="str">
        <f>IFERROR(__xludf.DUMMYFUNCTION("""COMPUTED_VALUE"""),"74HP")</f>
        <v>74HP</v>
      </c>
      <c r="I85" s="5" t="str">
        <f>IFERROR(__xludf.DUMMYFUNCTION("""COMPUTED_VALUE"""),"RR321002")</f>
        <v>RR321002</v>
      </c>
      <c r="J85" s="5" t="str">
        <f>IFERROR(__xludf.DUMMYFUNCTION("""COMPUTED_VALUE"""),"W04DF11156")</f>
        <v>W04DF11156</v>
      </c>
      <c r="K85" s="5">
        <f>IFERROR(__xludf.DUMMYFUNCTION("""COMPUTED_VALUE"""),4.0)</f>
        <v>4</v>
      </c>
      <c r="L85" s="5" t="str">
        <f>IFERROR(__xludf.DUMMYFUNCTION("""COMPUTED_VALUE"""),"KLH")</f>
        <v>KLH</v>
      </c>
    </row>
    <row r="86">
      <c r="A86" s="42" t="str">
        <f>IFERROR(__xludf.DUMMYFUNCTION("""COMPUTED_VALUE"""),"CHT-XLU-007")</f>
        <v>CHT-XLU-007</v>
      </c>
      <c r="B86" s="3" t="str">
        <f>IFERROR(__xludf.DUMMYFUNCTION("""COMPUTED_VALUE"""),"Xe lu rung SV521DH 11 tấn")</f>
        <v>Xe lu rung SV521DH 11 tấn</v>
      </c>
      <c r="C86" s="5" t="str">
        <f>IFERROR(__xludf.DUMMYFUNCTION("""COMPUTED_VALUE"""),"CGTC AD")</f>
        <v>CGTC AD</v>
      </c>
      <c r="D86" s="5" t="str">
        <f>IFERROR(__xludf.DUMMYFUNCTION("""COMPUTED_VALUE"""),"SAKAI")</f>
        <v>SAKAI</v>
      </c>
      <c r="E86" s="57" t="str">
        <f>IFERROR(__xludf.DUMMYFUNCTION("""COMPUTED_VALUE"""),"NHẬT BẢN")</f>
        <v>NHẬT BẢN</v>
      </c>
      <c r="F86" s="5">
        <f>IFERROR(__xludf.DUMMYFUNCTION("""COMPUTED_VALUE"""),2020.0)</f>
        <v>2020</v>
      </c>
      <c r="G86" s="5" t="str">
        <f>IFERROR(__xludf.DUMMYFUNCTION("""COMPUTED_VALUE"""),"SV521DH")</f>
        <v>SV521DH</v>
      </c>
      <c r="H86" s="5" t="str">
        <f>IFERROR(__xludf.DUMMYFUNCTION("""COMPUTED_VALUE"""),"113HP")</f>
        <v>113HP</v>
      </c>
      <c r="I86" s="5" t="str">
        <f>IFERROR(__xludf.DUMMYFUNCTION("""COMPUTED_VALUE"""),"2SV6610527")</f>
        <v>2SV6610527</v>
      </c>
      <c r="J86" s="5" t="str">
        <f>IFERROR(__xludf.DUMMYFUNCTION("""COMPUTED_VALUE"""),"133945")</f>
        <v>133945</v>
      </c>
      <c r="K86" s="5">
        <f>IFERROR(__xludf.DUMMYFUNCTION("""COMPUTED_VALUE"""),7.0)</f>
        <v>7</v>
      </c>
      <c r="L86" s="5" t="str">
        <f>IFERROR(__xludf.DUMMYFUNCTION("""COMPUTED_VALUE"""),"KLH")</f>
        <v>KLH</v>
      </c>
    </row>
    <row r="87">
      <c r="A87" s="42" t="str">
        <f>IFERROR(__xludf.DUMMYFUNCTION("""COMPUTED_VALUE"""),"CHT-XTA-008")</f>
        <v>CHT-XTA-008</v>
      </c>
      <c r="B87" s="3" t="str">
        <f>IFERROR(__xludf.DUMMYFUNCTION("""COMPUTED_VALUE"""),"Xe ben FD140")</f>
        <v>Xe ben FD140</v>
      </c>
      <c r="C87" s="5" t="str">
        <f>IFERROR(__xludf.DUMMYFUNCTION("""COMPUTED_VALUE"""),"CGTC AD")</f>
        <v>CGTC AD</v>
      </c>
      <c r="D87" s="5" t="str">
        <f>IFERROR(__xludf.DUMMYFUNCTION("""COMPUTED_VALUE"""),"THACO FORLAND")</f>
        <v>THACO FORLAND</v>
      </c>
      <c r="E87" s="57" t="str">
        <f>IFERROR(__xludf.DUMMYFUNCTION("""COMPUTED_VALUE"""),"VIỆT NAM")</f>
        <v>VIỆT NAM</v>
      </c>
      <c r="F87" s="5">
        <f>IFERROR(__xludf.DUMMYFUNCTION("""COMPUTED_VALUE"""),2020.0)</f>
        <v>2020</v>
      </c>
      <c r="G87" s="5" t="str">
        <f>IFERROR(__xludf.DUMMYFUNCTION("""COMPUTED_VALUE"""),"FD140-8T")</f>
        <v>FD140-8T</v>
      </c>
      <c r="H87" s="5" t="str">
        <f>IFERROR(__xludf.DUMMYFUNCTION("""COMPUTED_VALUE"""),"140HP")</f>
        <v>140HP</v>
      </c>
      <c r="I87" s="5" t="str">
        <f>IFERROR(__xludf.DUMMYFUNCTION("""COMPUTED_VALUE"""),"RNHF14FYALT024043")</f>
        <v>RNHF14FYALT024043</v>
      </c>
      <c r="J87" s="5" t="str">
        <f>IFERROR(__xludf.DUMMYFUNCTION("""COMPUTED_VALUE"""),"YC4D140-48D59M1J20797")</f>
        <v>YC4D140-48D59M1J20797</v>
      </c>
      <c r="K87" s="5">
        <f>IFERROR(__xludf.DUMMYFUNCTION("""COMPUTED_VALUE"""),0.4)</f>
        <v>0.4</v>
      </c>
      <c r="L87" s="5" t="str">
        <f>IFERROR(__xludf.DUMMYFUNCTION("""COMPUTED_VALUE"""),"KLH")</f>
        <v>KLH</v>
      </c>
    </row>
    <row r="88">
      <c r="A88" s="42" t="str">
        <f>IFERROR(__xludf.DUMMYFUNCTION("""COMPUTED_VALUE"""),"CHT-XTA-011")</f>
        <v>CHT-XTA-011</v>
      </c>
      <c r="B88" s="3" t="str">
        <f>IFERROR(__xludf.DUMMYFUNCTION("""COMPUTED_VALUE"""),"Xe ben AUMAN GTL D300 E4")</f>
        <v>Xe ben AUMAN GTL D300 E4</v>
      </c>
      <c r="C88" s="5" t="str">
        <f>IFERROR(__xludf.DUMMYFUNCTION("""COMPUTED_VALUE"""),"CGTC AD")</f>
        <v>CGTC AD</v>
      </c>
      <c r="D88" s="5" t="str">
        <f>IFERROR(__xludf.DUMMYFUNCTION("""COMPUTED_VALUE"""),"THACO AUMAN")</f>
        <v>THACO AUMAN</v>
      </c>
      <c r="E88" s="57" t="str">
        <f>IFERROR(__xludf.DUMMYFUNCTION("""COMPUTED_VALUE"""),"VIỆT NAM")</f>
        <v>VIỆT NAM</v>
      </c>
      <c r="F88" s="5">
        <f>IFERROR(__xludf.DUMMYFUNCTION("""COMPUTED_VALUE"""),2018.0)</f>
        <v>2018</v>
      </c>
      <c r="G88" s="5" t="str">
        <f>IFERROR(__xludf.DUMMYFUNCTION("""COMPUTED_VALUE"""),"GTL D300E4")</f>
        <v>GTL D300E4</v>
      </c>
      <c r="H88" s="5" t="str">
        <f>IFERROR(__xludf.DUMMYFUNCTION("""COMPUTED_VALUE"""),"375HP")</f>
        <v>375HP</v>
      </c>
      <c r="I88" s="5" t="str">
        <f>IFERROR(__xludf.DUMMYFUNCTION("""COMPUTED_VALUE"""),"RNHD30FWAJC078104")</f>
        <v>RNHD30FWAJC078104</v>
      </c>
      <c r="J88" s="5" t="str">
        <f>IFERROR(__xludf.DUMMYFUNCTION("""COMPUTED_VALUE"""),"WP10375E431618A009907")</f>
        <v>WP10375E431618A009907</v>
      </c>
      <c r="K88" s="5">
        <f>IFERROR(__xludf.DUMMYFUNCTION("""COMPUTED_VALUE"""),1.41)</f>
        <v>1.41</v>
      </c>
      <c r="L88" s="5" t="str">
        <f>IFERROR(__xludf.DUMMYFUNCTION("""COMPUTED_VALUE"""),"KLH")</f>
        <v>KLH</v>
      </c>
    </row>
    <row r="89">
      <c r="A89" s="42" t="str">
        <f>IFERROR(__xludf.DUMMYFUNCTION("""COMPUTED_VALUE"""),"CHT-XTA-012")</f>
        <v>CHT-XTA-012</v>
      </c>
      <c r="B89" s="3" t="str">
        <f>IFERROR(__xludf.DUMMYFUNCTION("""COMPUTED_VALUE"""),"Xe ben AUMAN GTL D300 E4")</f>
        <v>Xe ben AUMAN GTL D300 E4</v>
      </c>
      <c r="C89" s="5" t="str">
        <f>IFERROR(__xludf.DUMMYFUNCTION("""COMPUTED_VALUE"""),"CGTC AD")</f>
        <v>CGTC AD</v>
      </c>
      <c r="D89" s="5" t="str">
        <f>IFERROR(__xludf.DUMMYFUNCTION("""COMPUTED_VALUE"""),"THACO AUMAN")</f>
        <v>THACO AUMAN</v>
      </c>
      <c r="E89" s="57" t="str">
        <f>IFERROR(__xludf.DUMMYFUNCTION("""COMPUTED_VALUE"""),"VIỆT NAM")</f>
        <v>VIỆT NAM</v>
      </c>
      <c r="F89" s="5">
        <f>IFERROR(__xludf.DUMMYFUNCTION("""COMPUTED_VALUE"""),2018.0)</f>
        <v>2018</v>
      </c>
      <c r="G89" s="5" t="str">
        <f>IFERROR(__xludf.DUMMYFUNCTION("""COMPUTED_VALUE"""),"GTL D300E4")</f>
        <v>GTL D300E4</v>
      </c>
      <c r="H89" s="5" t="str">
        <f>IFERROR(__xludf.DUMMYFUNCTION("""COMPUTED_VALUE"""),"375HP")</f>
        <v>375HP</v>
      </c>
      <c r="I89" s="5" t="str">
        <f>IFERROR(__xludf.DUMMYFUNCTION("""COMPUTED_VALUE"""),"RNHD30FWAJC75800")</f>
        <v>RNHD30FWAJC75800</v>
      </c>
      <c r="J89" s="5" t="str">
        <f>IFERROR(__xludf.DUMMYFUNCTION("""COMPUTED_VALUE"""),"WP10375E431617K140763")</f>
        <v>WP10375E431617K140763</v>
      </c>
      <c r="K89" s="5">
        <f>IFERROR(__xludf.DUMMYFUNCTION("""COMPUTED_VALUE"""),1.41)</f>
        <v>1.41</v>
      </c>
      <c r="L89" s="5" t="str">
        <f>IFERROR(__xludf.DUMMYFUNCTION("""COMPUTED_VALUE"""),"KLH")</f>
        <v>KLH</v>
      </c>
    </row>
    <row r="90">
      <c r="A90" s="42" t="str">
        <f>IFERROR(__xludf.DUMMYFUNCTION("""COMPUTED_VALUE"""),"CHT-XBO-003")</f>
        <v>CHT-XBO-003</v>
      </c>
      <c r="B90" s="3" t="str">
        <f>IFERROR(__xludf.DUMMYFUNCTION("""COMPUTED_VALUE"""),"Xe bồn AUMAN ETX D300 (Bồn tưới 18m3)")</f>
        <v>Xe bồn AUMAN ETX D300 (Bồn tưới 18m3)</v>
      </c>
      <c r="C90" s="5" t="str">
        <f>IFERROR(__xludf.DUMMYFUNCTION("""COMPUTED_VALUE"""),"CGTC AD")</f>
        <v>CGTC AD</v>
      </c>
      <c r="D90" s="5" t="str">
        <f>IFERROR(__xludf.DUMMYFUNCTION("""COMPUTED_VALUE"""),"THACO AUMAN")</f>
        <v>THACO AUMAN</v>
      </c>
      <c r="E90" s="57" t="str">
        <f>IFERROR(__xludf.DUMMYFUNCTION("""COMPUTED_VALUE"""),"VIỆT NAM")</f>
        <v>VIỆT NAM</v>
      </c>
      <c r="F90" s="5">
        <f>IFERROR(__xludf.DUMMYFUNCTION("""COMPUTED_VALUE"""),2019.0)</f>
        <v>2019</v>
      </c>
      <c r="G90" s="5" t="str">
        <f>IFERROR(__xludf.DUMMYFUNCTION("""COMPUTED_VALUE"""),"ETX D300E4")</f>
        <v>ETX D300E4</v>
      </c>
      <c r="H90" s="5" t="str">
        <f>IFERROR(__xludf.DUMMYFUNCTION("""COMPUTED_VALUE"""),"336HP")</f>
        <v>336HP</v>
      </c>
      <c r="I90" s="5" t="str">
        <f>IFERROR(__xludf.DUMMYFUNCTION("""COMPUTED_VALUE"""),"RNHD30FWBKC005994")</f>
        <v>RNHD30FWBKC005994</v>
      </c>
      <c r="J90" s="5" t="str">
        <f>IFERROR(__xludf.DUMMYFUNCTION("""COMPUTED_VALUE"""),"WP10336E431618C035173")</f>
        <v>WP10336E431618C035173</v>
      </c>
      <c r="K90" s="5">
        <f>IFERROR(__xludf.DUMMYFUNCTION("""COMPUTED_VALUE"""),0.6)</f>
        <v>0.6</v>
      </c>
      <c r="L90" s="5" t="str">
        <f>IFERROR(__xludf.DUMMYFUNCTION("""COMPUTED_VALUE"""),"KLH")</f>
        <v>KLH</v>
      </c>
    </row>
    <row r="91">
      <c r="A91" s="42" t="str">
        <f>IFERROR(__xludf.DUMMYFUNCTION("""COMPUTED_VALUE"""),"CHT-MĐA-046")</f>
        <v>CHT-MĐA-046</v>
      </c>
      <c r="B91" s="3" t="str">
        <f>IFERROR(__xludf.DUMMYFUNCTION("""COMPUTED_VALUE"""),"Máy đào SH210 bánh xích gàu 0.9m3")</f>
        <v>Máy đào SH210 bánh xích gàu 0.9m3</v>
      </c>
      <c r="C91" s="5" t="str">
        <f>IFERROR(__xludf.DUMMYFUNCTION("""COMPUTED_VALUE"""),"CGTC AD")</f>
        <v>CGTC AD</v>
      </c>
      <c r="D91" s="5" t="str">
        <f>IFERROR(__xludf.DUMMYFUNCTION("""COMPUTED_VALUE"""),"SUMITOMO")</f>
        <v>SUMITOMO</v>
      </c>
      <c r="E91" s="57" t="str">
        <f>IFERROR(__xludf.DUMMYFUNCTION("""COMPUTED_VALUE"""),"NHẬT BẢN")</f>
        <v>NHẬT BẢN</v>
      </c>
      <c r="F91" s="5">
        <f>IFERROR(__xludf.DUMMYFUNCTION("""COMPUTED_VALUE"""),2021.0)</f>
        <v>2021</v>
      </c>
      <c r="G91" s="5" t="str">
        <f>IFERROR(__xludf.DUMMYFUNCTION("""COMPUTED_VALUE"""),"SH210-6")</f>
        <v>SH210-6</v>
      </c>
      <c r="H91" s="5" t="str">
        <f>IFERROR(__xludf.DUMMYFUNCTION("""COMPUTED_VALUE"""),"160HP")</f>
        <v>160HP</v>
      </c>
      <c r="I91" s="5" t="str">
        <f>IFERROR(__xludf.DUMMYFUNCTION("""COMPUTED_VALUE"""),"STN210T6C00BH3091")</f>
        <v>STN210T6C00BH3091</v>
      </c>
      <c r="J91" s="5" t="str">
        <f>IFERROR(__xludf.DUMMYFUNCTION("""COMPUTED_VALUE"""),"816364")</f>
        <v>816364</v>
      </c>
      <c r="K91" s="5">
        <f>IFERROR(__xludf.DUMMYFUNCTION("""COMPUTED_VALUE"""),13.0)</f>
        <v>13</v>
      </c>
      <c r="L91" s="5" t="str">
        <f>IFERROR(__xludf.DUMMYFUNCTION("""COMPUTED_VALUE"""),"KLH")</f>
        <v>KLH</v>
      </c>
    </row>
    <row r="92">
      <c r="A92" s="42" t="str">
        <f>IFERROR(__xludf.DUMMYFUNCTION("""COMPUTED_VALUE"""),"CHT-MĐA-024")</f>
        <v>CHT-MĐA-024</v>
      </c>
      <c r="B92" s="3" t="str">
        <f>IFERROR(__xludf.DUMMYFUNCTION("""COMPUTED_VALUE"""),"Máy đào SH210 bánh xích gàu 0.9m3")</f>
        <v>Máy đào SH210 bánh xích gàu 0.9m3</v>
      </c>
      <c r="C92" s="5" t="str">
        <f>IFERROR(__xludf.DUMMYFUNCTION("""COMPUTED_VALUE"""),"CGTC AD")</f>
        <v>CGTC AD</v>
      </c>
      <c r="D92" s="5" t="str">
        <f>IFERROR(__xludf.DUMMYFUNCTION("""COMPUTED_VALUE"""),"SUMITOMO")</f>
        <v>SUMITOMO</v>
      </c>
      <c r="E92" s="57" t="str">
        <f>IFERROR(__xludf.DUMMYFUNCTION("""COMPUTED_VALUE"""),"NHẬT BẢN")</f>
        <v>NHẬT BẢN</v>
      </c>
      <c r="F92" s="5">
        <f>IFERROR(__xludf.DUMMYFUNCTION("""COMPUTED_VALUE"""),2020.0)</f>
        <v>2020</v>
      </c>
      <c r="G92" s="5" t="str">
        <f>IFERROR(__xludf.DUMMYFUNCTION("""COMPUTED_VALUE"""),"SH210-6")</f>
        <v>SH210-6</v>
      </c>
      <c r="H92" s="5" t="str">
        <f>IFERROR(__xludf.DUMMYFUNCTION("""COMPUTED_VALUE"""),"156HP")</f>
        <v>156HP</v>
      </c>
      <c r="I92" s="5" t="str">
        <f>IFERROR(__xludf.DUMMYFUNCTION("""COMPUTED_VALUE"""),"STN210T6V00BH2671")</f>
        <v>STN210T6V00BH2671</v>
      </c>
      <c r="J92" s="5" t="str">
        <f>IFERROR(__xludf.DUMMYFUNCTION("""COMPUTED_VALUE"""),"800456")</f>
        <v>800456</v>
      </c>
      <c r="K92" s="5">
        <f>IFERROR(__xludf.DUMMYFUNCTION("""COMPUTED_VALUE"""),15.0)</f>
        <v>15</v>
      </c>
      <c r="L92" s="5" t="str">
        <f>IFERROR(__xludf.DUMMYFUNCTION("""COMPUTED_VALUE"""),"KLH")</f>
        <v>KLH</v>
      </c>
    </row>
    <row r="93">
      <c r="A93" s="42" t="str">
        <f>IFERROR(__xludf.DUMMYFUNCTION("""COMPUTED_VALUE"""),"CHT-MĐA-025")</f>
        <v>CHT-MĐA-025</v>
      </c>
      <c r="B93" s="3" t="str">
        <f>IFERROR(__xludf.DUMMYFUNCTION("""COMPUTED_VALUE"""),"Máy đào DX140W bánh lốp gàu 0.7m3")</f>
        <v>Máy đào DX140W bánh lốp gàu 0.7m3</v>
      </c>
      <c r="C93" s="5" t="str">
        <f>IFERROR(__xludf.DUMMYFUNCTION("""COMPUTED_VALUE"""),"CGTC AD")</f>
        <v>CGTC AD</v>
      </c>
      <c r="D93" s="5" t="str">
        <f>IFERROR(__xludf.DUMMYFUNCTION("""COMPUTED_VALUE"""),"DOOSAN")</f>
        <v>DOOSAN</v>
      </c>
      <c r="E93" s="145" t="str">
        <f>IFERROR(__xludf.DUMMYFUNCTION("""COMPUTED_VALUE"""),"HÀN QUỐC")</f>
        <v>HÀN QUỐC</v>
      </c>
      <c r="F93" s="5">
        <f>IFERROR(__xludf.DUMMYFUNCTION("""COMPUTED_VALUE"""),2020.0)</f>
        <v>2020</v>
      </c>
      <c r="G93" s="5" t="str">
        <f>IFERROR(__xludf.DUMMYFUNCTION("""COMPUTED_VALUE"""),"DX140W")</f>
        <v>DX140W</v>
      </c>
      <c r="H93" s="5" t="str">
        <f>IFERROR(__xludf.DUMMYFUNCTION("""COMPUTED_VALUE"""),"133HP")</f>
        <v>133HP</v>
      </c>
      <c r="I93" s="5" t="str">
        <f>IFERROR(__xludf.DUMMYFUNCTION("""COMPUTED_VALUE"""),"DHKCEWAAHL5008819")</f>
        <v>DHKCEWAAHL5008819</v>
      </c>
      <c r="J93" s="5" t="str">
        <f>IFERROR(__xludf.DUMMYFUNCTION("""COMPUTED_VALUE"""),"DB58TIS039733EJ")</f>
        <v>DB58TIS039733EJ</v>
      </c>
      <c r="K93" s="5">
        <f>IFERROR(__xludf.DUMMYFUNCTION("""COMPUTED_VALUE"""),10.0)</f>
        <v>10</v>
      </c>
      <c r="L93" s="5" t="str">
        <f>IFERROR(__xludf.DUMMYFUNCTION("""COMPUTED_VALUE"""),"KLH")</f>
        <v>KLH</v>
      </c>
    </row>
    <row r="94">
      <c r="A94" s="42" t="str">
        <f>IFERROR(__xludf.DUMMYFUNCTION("""COMPUTED_VALUE"""),"CHT-MĐA-026")</f>
        <v>CHT-MĐA-026</v>
      </c>
      <c r="B94" s="3" t="str">
        <f>IFERROR(__xludf.DUMMYFUNCTION("""COMPUTED_VALUE"""),"Máy đào DX140W bánh lốp gàu 0.7m3")</f>
        <v>Máy đào DX140W bánh lốp gàu 0.7m3</v>
      </c>
      <c r="C94" s="5" t="str">
        <f>IFERROR(__xludf.DUMMYFUNCTION("""COMPUTED_VALUE"""),"CGTC AD")</f>
        <v>CGTC AD</v>
      </c>
      <c r="D94" s="5" t="str">
        <f>IFERROR(__xludf.DUMMYFUNCTION("""COMPUTED_VALUE"""),"DOOSAN")</f>
        <v>DOOSAN</v>
      </c>
      <c r="E94" s="57" t="str">
        <f>IFERROR(__xludf.DUMMYFUNCTION("""COMPUTED_VALUE"""),"HÀN QUỐC")</f>
        <v>HÀN QUỐC</v>
      </c>
      <c r="F94" s="5">
        <f>IFERROR(__xludf.DUMMYFUNCTION("""COMPUTED_VALUE"""),2020.0)</f>
        <v>2020</v>
      </c>
      <c r="G94" s="5" t="str">
        <f>IFERROR(__xludf.DUMMYFUNCTION("""COMPUTED_VALUE"""),"DX140W")</f>
        <v>DX140W</v>
      </c>
      <c r="H94" s="5" t="str">
        <f>IFERROR(__xludf.DUMMYFUNCTION("""COMPUTED_VALUE"""),"133HP")</f>
        <v>133HP</v>
      </c>
      <c r="I94" s="5" t="str">
        <f>IFERROR(__xludf.DUMMYFUNCTION("""COMPUTED_VALUE"""),"DHKCEWAASL5008820")</f>
        <v>DHKCEWAASL5008820</v>
      </c>
      <c r="J94" s="5" t="str">
        <f>IFERROR(__xludf.DUMMYFUNCTION("""COMPUTED_VALUE"""),"DB58TIS039729EJ")</f>
        <v>DB58TIS039729EJ</v>
      </c>
      <c r="K94" s="5">
        <f>IFERROR(__xludf.DUMMYFUNCTION("""COMPUTED_VALUE"""),10.0)</f>
        <v>10</v>
      </c>
      <c r="L94" s="5" t="str">
        <f>IFERROR(__xludf.DUMMYFUNCTION("""COMPUTED_VALUE"""),"KLH")</f>
        <v>KLH</v>
      </c>
    </row>
    <row r="95">
      <c r="A95" s="42" t="str">
        <f>IFERROR(__xludf.DUMMYFUNCTION("""COMPUTED_VALUE"""),"CHT-XCA-001")</f>
        <v>CHT-XCA-001</v>
      </c>
      <c r="B95" s="3" t="str">
        <f>IFERROR(__xludf.DUMMYFUNCTION("""COMPUTED_VALUE"""),"Xe cẩu bàn 5 tấn")</f>
        <v>Xe cẩu bàn 5 tấn</v>
      </c>
      <c r="C95" s="5" t="str">
        <f>IFERROR(__xludf.DUMMYFUNCTION("""COMPUTED_VALUE"""),"CGTC AD")</f>
        <v>CGTC AD</v>
      </c>
      <c r="D95" s="5" t="str">
        <f>IFERROR(__xludf.DUMMYFUNCTION("""COMPUTED_VALUE"""),"THACO AUMAN")</f>
        <v>THACO AUMAN</v>
      </c>
      <c r="E95" s="57" t="str">
        <f>IFERROR(__xludf.DUMMYFUNCTION("""COMPUTED_VALUE"""),"VIETNAM")</f>
        <v>VIETNAM</v>
      </c>
      <c r="F95" s="5"/>
      <c r="G95" s="5" t="str">
        <f>IFERROR(__xludf.DUMMYFUNCTION("""COMPUTED_VALUE"""),"ETX C240 ND2")</f>
        <v>ETX C240 ND2</v>
      </c>
      <c r="H95" s="5" t="str">
        <f>IFERROR(__xludf.DUMMYFUNCTION("""COMPUTED_VALUE"""),"336HP")</f>
        <v>336HP</v>
      </c>
      <c r="I95" s="5" t="str">
        <f>IFERROR(__xludf.DUMMYFUNCTION("""COMPUTED_VALUE"""),"RNHA24FWAKC099303")</f>
        <v>RNHA24FWAKC099303</v>
      </c>
      <c r="J95" s="5" t="str">
        <f>IFERROR(__xludf.DUMMYFUNCTION("""COMPUTED_VALUE"""),"WP10.336E431619A000091")</f>
        <v>WP10.336E431619A000091</v>
      </c>
      <c r="K95" s="5">
        <f>IFERROR(__xludf.DUMMYFUNCTION("""COMPUTED_VALUE"""),0.65)</f>
        <v>0.65</v>
      </c>
      <c r="L95" s="5" t="str">
        <f>IFERROR(__xludf.DUMMYFUNCTION("""COMPUTED_VALUE"""),"KLH")</f>
        <v>KLH</v>
      </c>
    </row>
    <row r="96">
      <c r="A96" s="42" t="str">
        <f>IFERROR(__xludf.DUMMYFUNCTION("""COMPUTED_VALUE"""),"CHT-MĐA-052")</f>
        <v>CHT-MĐA-052</v>
      </c>
      <c r="B96" s="3" t="str">
        <f>IFERROR(__xludf.DUMMYFUNCTION("""COMPUTED_VALUE"""),"Máy đào KOMATSU bánh xích gàu 0.3m3")</f>
        <v>Máy đào KOMATSU bánh xích gàu 0.3m3</v>
      </c>
      <c r="C96" s="5" t="str">
        <f>IFERROR(__xludf.DUMMYFUNCTION("""COMPUTED_VALUE"""),"CGTC AD")</f>
        <v>CGTC AD</v>
      </c>
      <c r="D96" s="5" t="str">
        <f>IFERROR(__xludf.DUMMYFUNCTION("""COMPUTED_VALUE"""),"KOMATSU")</f>
        <v>KOMATSU</v>
      </c>
      <c r="E96" s="57" t="str">
        <f>IFERROR(__xludf.DUMMYFUNCTION("""COMPUTED_VALUE"""),"NHẬT BẢN")</f>
        <v>NHẬT BẢN</v>
      </c>
      <c r="F96" s="5">
        <f>IFERROR(__xludf.DUMMYFUNCTION("""COMPUTED_VALUE"""),2014.0)</f>
        <v>2014</v>
      </c>
      <c r="G96" s="5" t="str">
        <f>IFERROR(__xludf.DUMMYFUNCTION("""COMPUTED_VALUE"""),"PC40MR-3")</f>
        <v>PC40MR-3</v>
      </c>
      <c r="H96" s="5" t="str">
        <f>IFERROR(__xludf.DUMMYFUNCTION("""COMPUTED_VALUE"""),"39HP")</f>
        <v>39HP</v>
      </c>
      <c r="I96" s="5" t="str">
        <f>IFERROR(__xludf.DUMMYFUNCTION("""COMPUTED_VALUE"""),"KMTPC023LEE022317")</f>
        <v>KMTPC023LEE022317</v>
      </c>
      <c r="J96" s="5" t="str">
        <f>IFERROR(__xludf.DUMMYFUNCTION("""COMPUTED_VALUE"""),"32816")</f>
        <v>32816</v>
      </c>
      <c r="K96" s="5">
        <f>IFERROR(__xludf.DUMMYFUNCTION("""COMPUTED_VALUE"""),4.0)</f>
        <v>4</v>
      </c>
      <c r="L96" s="5" t="str">
        <f>IFERROR(__xludf.DUMMYFUNCTION("""COMPUTED_VALUE"""),"KLH")</f>
        <v>KLH</v>
      </c>
    </row>
    <row r="97">
      <c r="A97" s="42" t="str">
        <f>IFERROR(__xludf.DUMMYFUNCTION("""COMPUTED_VALUE"""),"CHT-MĐA-054")</f>
        <v>CHT-MĐA-054</v>
      </c>
      <c r="B97" s="3" t="str">
        <f>IFERROR(__xludf.DUMMYFUNCTION("""COMPUTED_VALUE"""),"Máy đào U35 bánh xích gàu 0.3m3")</f>
        <v>Máy đào U35 bánh xích gàu 0.3m3</v>
      </c>
      <c r="C97" s="5" t="str">
        <f>IFERROR(__xludf.DUMMYFUNCTION("""COMPUTED_VALUE"""),"CGTC AD")</f>
        <v>CGTC AD</v>
      </c>
      <c r="D97" s="5" t="str">
        <f>IFERROR(__xludf.DUMMYFUNCTION("""COMPUTED_VALUE"""),"KUBOTA")</f>
        <v>KUBOTA</v>
      </c>
      <c r="E97" s="57" t="str">
        <f>IFERROR(__xludf.DUMMYFUNCTION("""COMPUTED_VALUE"""),"NHẬT BẢN")</f>
        <v>NHẬT BẢN</v>
      </c>
      <c r="F97" s="5">
        <f>IFERROR(__xludf.DUMMYFUNCTION("""COMPUTED_VALUE"""),2015.0)</f>
        <v>2015</v>
      </c>
      <c r="G97" s="5" t="str">
        <f>IFERROR(__xludf.DUMMYFUNCTION("""COMPUTED_VALUE"""),"U35-6")</f>
        <v>U35-6</v>
      </c>
      <c r="H97" s="5" t="str">
        <f>IFERROR(__xludf.DUMMYFUNCTION("""COMPUTED_VALUE"""),"32HP")</f>
        <v>32HP</v>
      </c>
      <c r="I97" s="5" t="str">
        <f>IFERROR(__xludf.DUMMYFUNCTION("""COMPUTED_VALUE"""),"JKUU0356H01H60283")</f>
        <v>JKUU0356H01H60283</v>
      </c>
      <c r="J97" s="5" t="str">
        <f>IFERROR(__xludf.DUMMYFUNCTION("""COMPUTED_VALUE"""),"7HN2997")</f>
        <v>7HN2997</v>
      </c>
      <c r="K97" s="5">
        <f>IFERROR(__xludf.DUMMYFUNCTION("""COMPUTED_VALUE"""),4.0)</f>
        <v>4</v>
      </c>
      <c r="L97" s="5" t="str">
        <f>IFERROR(__xludf.DUMMYFUNCTION("""COMPUTED_VALUE"""),"KLH")</f>
        <v>KLH</v>
      </c>
    </row>
    <row r="98">
      <c r="A98" s="42" t="str">
        <f>IFERROR(__xludf.DUMMYFUNCTION("""COMPUTED_VALUE"""),"CHT-MĐA-055")</f>
        <v>CHT-MĐA-055</v>
      </c>
      <c r="B98" s="3" t="str">
        <f>IFERROR(__xludf.DUMMYFUNCTION("""COMPUTED_VALUE"""),"Máy đào U35 bánh xích gàu 0.3m3")</f>
        <v>Máy đào U35 bánh xích gàu 0.3m3</v>
      </c>
      <c r="C98" s="5" t="str">
        <f>IFERROR(__xludf.DUMMYFUNCTION("""COMPUTED_VALUE"""),"CGTC AD")</f>
        <v>CGTC AD</v>
      </c>
      <c r="D98" s="5" t="str">
        <f>IFERROR(__xludf.DUMMYFUNCTION("""COMPUTED_VALUE"""),"KUBOTA")</f>
        <v>KUBOTA</v>
      </c>
      <c r="E98" s="57" t="str">
        <f>IFERROR(__xludf.DUMMYFUNCTION("""COMPUTED_VALUE"""),"NHẬT BẢN")</f>
        <v>NHẬT BẢN</v>
      </c>
      <c r="F98" s="5">
        <f>IFERROR(__xludf.DUMMYFUNCTION("""COMPUTED_VALUE"""),2015.0)</f>
        <v>2015</v>
      </c>
      <c r="G98" s="5" t="str">
        <f>IFERROR(__xludf.DUMMYFUNCTION("""COMPUTED_VALUE"""),"U35-6")</f>
        <v>U35-6</v>
      </c>
      <c r="H98" s="5" t="str">
        <f>IFERROR(__xludf.DUMMYFUNCTION("""COMPUTED_VALUE"""),"32HP")</f>
        <v>32HP</v>
      </c>
      <c r="I98" s="5" t="str">
        <f>IFERROR(__xludf.DUMMYFUNCTION("""COMPUTED_VALUE"""),"JKUU0356H01H60431")</f>
        <v>JKUU0356H01H60431</v>
      </c>
      <c r="J98" s="5" t="str">
        <f>IFERROR(__xludf.DUMMYFUNCTION("""COMPUTED_VALUE"""),"7HR1204")</f>
        <v>7HR1204</v>
      </c>
      <c r="K98" s="5">
        <f>IFERROR(__xludf.DUMMYFUNCTION("""COMPUTED_VALUE"""),4.0)</f>
        <v>4</v>
      </c>
      <c r="L98" s="5" t="str">
        <f>IFERROR(__xludf.DUMMYFUNCTION("""COMPUTED_VALUE"""),"KLH")</f>
        <v>KLH</v>
      </c>
    </row>
    <row r="99">
      <c r="A99" s="42" t="str">
        <f>IFERROR(__xludf.DUMMYFUNCTION("""COMPUTED_VALUE"""),"CHT-MĐA-061")</f>
        <v>CHT-MĐA-061</v>
      </c>
      <c r="B99" s="3" t="str">
        <f>IFERROR(__xludf.DUMMYFUNCTION("""COMPUTED_VALUE"""),"Máy đào U35 bánh xích gàu 0.3m3")</f>
        <v>Máy đào U35 bánh xích gàu 0.3m3</v>
      </c>
      <c r="C99" s="5" t="str">
        <f>IFERROR(__xludf.DUMMYFUNCTION("""COMPUTED_VALUE"""),"CGTC AD")</f>
        <v>CGTC AD</v>
      </c>
      <c r="D99" s="5" t="str">
        <f>IFERROR(__xludf.DUMMYFUNCTION("""COMPUTED_VALUE"""),"KUBOTA")</f>
        <v>KUBOTA</v>
      </c>
      <c r="E99" s="57" t="str">
        <f>IFERROR(__xludf.DUMMYFUNCTION("""COMPUTED_VALUE"""),"NHẬT BẢN")</f>
        <v>NHẬT BẢN</v>
      </c>
      <c r="F99" s="5">
        <f>IFERROR(__xludf.DUMMYFUNCTION("""COMPUTED_VALUE"""),2015.0)</f>
        <v>2015</v>
      </c>
      <c r="G99" s="5" t="str">
        <f>IFERROR(__xludf.DUMMYFUNCTION("""COMPUTED_VALUE"""),"U35-6")</f>
        <v>U35-6</v>
      </c>
      <c r="H99" s="5" t="str">
        <f>IFERROR(__xludf.DUMMYFUNCTION("""COMPUTED_VALUE"""),"32HP")</f>
        <v>32HP</v>
      </c>
      <c r="I99" s="5" t="str">
        <f>IFERROR(__xludf.DUMMYFUNCTION("""COMPUTED_VALUE"""),"JKUU0356V01H60277")</f>
        <v>JKUU0356V01H60277</v>
      </c>
      <c r="J99" s="5" t="str">
        <f>IFERROR(__xludf.DUMMYFUNCTION("""COMPUTED_VALUE"""),"7HL9269")</f>
        <v>7HL9269</v>
      </c>
      <c r="K99" s="5">
        <f>IFERROR(__xludf.DUMMYFUNCTION("""COMPUTED_VALUE"""),4.0)</f>
        <v>4</v>
      </c>
      <c r="L99" s="5" t="str">
        <f>IFERROR(__xludf.DUMMYFUNCTION("""COMPUTED_VALUE"""),"KLH")</f>
        <v>KLH</v>
      </c>
    </row>
    <row r="100">
      <c r="A100" s="42" t="str">
        <f>IFERROR(__xludf.DUMMYFUNCTION("""COMPUTED_VALUE"""),"CHT-MĐA-065")</f>
        <v>CHT-MĐA-065</v>
      </c>
      <c r="B100" s="3" t="str">
        <f>IFERROR(__xludf.DUMMYFUNCTION("""COMPUTED_VALUE"""),"Máy đào KOMATSU bánh xích gàu 0.3m3")</f>
        <v>Máy đào KOMATSU bánh xích gàu 0.3m3</v>
      </c>
      <c r="C100" s="5" t="str">
        <f>IFERROR(__xludf.DUMMYFUNCTION("""COMPUTED_VALUE"""),"CGTC AD")</f>
        <v>CGTC AD</v>
      </c>
      <c r="D100" s="5" t="str">
        <f>IFERROR(__xludf.DUMMYFUNCTION("""COMPUTED_VALUE"""),"KOMATSU")</f>
        <v>KOMATSU</v>
      </c>
      <c r="E100" s="57" t="str">
        <f>IFERROR(__xludf.DUMMYFUNCTION("""COMPUTED_VALUE"""),"NHẬT BẢN")</f>
        <v>NHẬT BẢN</v>
      </c>
      <c r="F100" s="5">
        <f>IFERROR(__xludf.DUMMYFUNCTION("""COMPUTED_VALUE"""),2012.0)</f>
        <v>2012</v>
      </c>
      <c r="G100" s="5" t="str">
        <f>IFERROR(__xludf.DUMMYFUNCTION("""COMPUTED_VALUE"""),"PC55MR-3")</f>
        <v>PC55MR-3</v>
      </c>
      <c r="H100" s="5" t="str">
        <f>IFERROR(__xludf.DUMMYFUNCTION("""COMPUTED_VALUE"""),"40HP")</f>
        <v>40HP</v>
      </c>
      <c r="I100" s="5" t="str">
        <f>IFERROR(__xludf.DUMMYFUNCTION("""COMPUTED_VALUE"""),"KMTPC212J04017231")</f>
        <v>KMTPC212J04017231</v>
      </c>
      <c r="J100" s="5" t="str">
        <f>IFERROR(__xludf.DUMMYFUNCTION("""COMPUTED_VALUE"""),"26018")</f>
        <v>26018</v>
      </c>
      <c r="K100" s="5">
        <f>IFERROR(__xludf.DUMMYFUNCTION("""COMPUTED_VALUE"""),4.0)</f>
        <v>4</v>
      </c>
      <c r="L100" s="5" t="str">
        <f>IFERROR(__xludf.DUMMYFUNCTION("""COMPUTED_VALUE"""),"KLH")</f>
        <v>KLH</v>
      </c>
    </row>
    <row r="101">
      <c r="A101" s="42" t="str">
        <f>IFERROR(__xludf.DUMMYFUNCTION("""COMPUTED_VALUE"""),"CHT-MĐA-069")</f>
        <v>CHT-MĐA-069</v>
      </c>
      <c r="B101" s="3" t="str">
        <f>IFERROR(__xludf.DUMMYFUNCTION("""COMPUTED_VALUE"""),"Máy đào KOMATSU bánh xích gàu 0.3m3")</f>
        <v>Máy đào KOMATSU bánh xích gàu 0.3m3</v>
      </c>
      <c r="C101" s="5" t="str">
        <f>IFERROR(__xludf.DUMMYFUNCTION("""COMPUTED_VALUE"""),"CGTC AD")</f>
        <v>CGTC AD</v>
      </c>
      <c r="D101" s="5" t="str">
        <f>IFERROR(__xludf.DUMMYFUNCTION("""COMPUTED_VALUE"""),"KOMATSU")</f>
        <v>KOMATSU</v>
      </c>
      <c r="E101" s="145" t="str">
        <f>IFERROR(__xludf.DUMMYFUNCTION("""COMPUTED_VALUE"""),"NHẬT BẢN")</f>
        <v>NHẬT BẢN</v>
      </c>
      <c r="F101" s="5">
        <f>IFERROR(__xludf.DUMMYFUNCTION("""COMPUTED_VALUE"""),2012.0)</f>
        <v>2012</v>
      </c>
      <c r="G101" s="5" t="str">
        <f>IFERROR(__xludf.DUMMYFUNCTION("""COMPUTED_VALUE"""),"PC55MR-3")</f>
        <v>PC55MR-3</v>
      </c>
      <c r="H101" s="5" t="str">
        <f>IFERROR(__xludf.DUMMYFUNCTION("""COMPUTED_VALUE"""),"40HP")</f>
        <v>40HP</v>
      </c>
      <c r="I101" s="5" t="str">
        <f>IFERROR(__xludf.DUMMYFUNCTION("""COMPUTED_VALUE"""),"KMTPC212K04017065")</f>
        <v>KMTPC212K04017065</v>
      </c>
      <c r="J101" s="5" t="str">
        <f>IFERROR(__xludf.DUMMYFUNCTION("""COMPUTED_VALUE"""),"25186")</f>
        <v>25186</v>
      </c>
      <c r="K101" s="5">
        <f>IFERROR(__xludf.DUMMYFUNCTION("""COMPUTED_VALUE"""),4.0)</f>
        <v>4</v>
      </c>
      <c r="L101" s="5" t="str">
        <f>IFERROR(__xludf.DUMMYFUNCTION("""COMPUTED_VALUE"""),"KLH")</f>
        <v>KLH</v>
      </c>
    </row>
    <row r="102">
      <c r="A102" s="42" t="str">
        <f>IFERROR(__xludf.DUMMYFUNCTION("""COMPUTED_VALUE"""),"CHT-MĐA-071")</f>
        <v>CHT-MĐA-071</v>
      </c>
      <c r="B102" s="3" t="str">
        <f>IFERROR(__xludf.DUMMYFUNCTION("""COMPUTED_VALUE"""),"Máy đào KOMATSU bánh xích gàu 0.8m3")</f>
        <v>Máy đào KOMATSU bánh xích gàu 0.8m3</v>
      </c>
      <c r="C102" s="5" t="str">
        <f>IFERROR(__xludf.DUMMYFUNCTION("""COMPUTED_VALUE"""),"CGTC AD")</f>
        <v>CGTC AD</v>
      </c>
      <c r="D102" s="5" t="str">
        <f>IFERROR(__xludf.DUMMYFUNCTION("""COMPUTED_VALUE"""),"KOMATSU")</f>
        <v>KOMATSU</v>
      </c>
      <c r="E102" s="57" t="str">
        <f>IFERROR(__xludf.DUMMYFUNCTION("""COMPUTED_VALUE"""),"NHẬT BẢN")</f>
        <v>NHẬT BẢN</v>
      </c>
      <c r="F102" s="5">
        <f>IFERROR(__xludf.DUMMYFUNCTION("""COMPUTED_VALUE"""),2012.0)</f>
        <v>2012</v>
      </c>
      <c r="G102" s="5" t="str">
        <f>IFERROR(__xludf.DUMMYFUNCTION("""COMPUTED_VALUE"""),"PC200-8N1")</f>
        <v>PC200-8N1</v>
      </c>
      <c r="H102" s="5" t="str">
        <f>IFERROR(__xludf.DUMMYFUNCTION("""COMPUTED_VALUE"""),"150HP")</f>
        <v>150HP</v>
      </c>
      <c r="I102" s="5" t="str">
        <f>IFERROR(__xludf.DUMMYFUNCTION("""COMPUTED_VALUE"""),"KMTPC197L02354297")</f>
        <v>KMTPC197L02354297</v>
      </c>
      <c r="J102" s="5" t="str">
        <f>IFERROR(__xludf.DUMMYFUNCTION("""COMPUTED_VALUE"""),"6D10726100136")</f>
        <v>6D10726100136</v>
      </c>
      <c r="K102" s="5">
        <f>IFERROR(__xludf.DUMMYFUNCTION("""COMPUTED_VALUE"""),14.0)</f>
        <v>14</v>
      </c>
      <c r="L102" s="5" t="str">
        <f>IFERROR(__xludf.DUMMYFUNCTION("""COMPUTED_VALUE"""),"KLH")</f>
        <v>KLH</v>
      </c>
    </row>
    <row r="103">
      <c r="A103" s="42" t="str">
        <f>IFERROR(__xludf.DUMMYFUNCTION("""COMPUTED_VALUE"""),"CHT-XTA-034")</f>
        <v>CHT-XTA-034</v>
      </c>
      <c r="B103" s="3" t="str">
        <f>IFERROR(__xludf.DUMMYFUNCTION("""COMPUTED_VALUE"""),"Xe ben HOWO TXD600")</f>
        <v>Xe ben HOWO TXD600</v>
      </c>
      <c r="C103" s="5" t="str">
        <f>IFERROR(__xludf.DUMMYFUNCTION("""COMPUTED_VALUE"""),"CGTC AD")</f>
        <v>CGTC AD</v>
      </c>
      <c r="D103" s="5" t="str">
        <f>IFERROR(__xludf.DUMMYFUNCTION("""COMPUTED_VALUE"""),"HOWO")</f>
        <v>HOWO</v>
      </c>
      <c r="E103" s="57" t="str">
        <f>IFERROR(__xludf.DUMMYFUNCTION("""COMPUTED_VALUE"""),"VIỆT NAM")</f>
        <v>VIỆT NAM</v>
      </c>
      <c r="F103" s="5">
        <f>IFERROR(__xludf.DUMMYFUNCTION("""COMPUTED_VALUE"""),2022.0)</f>
        <v>2022</v>
      </c>
      <c r="G103" s="5" t="str">
        <f>IFERROR(__xludf.DUMMYFUNCTION("""COMPUTED_VALUE"""),"HOWO TX D600")</f>
        <v>HOWO TX D600</v>
      </c>
      <c r="H103" s="5" t="str">
        <f>IFERROR(__xludf.DUMMYFUNCTION("""COMPUTED_VALUE"""),"380HP")</f>
        <v>380HP</v>
      </c>
      <c r="I103" s="5" t="str">
        <f>IFERROR(__xludf.DUMMYFUNCTION("""COMPUTED_VALUE"""),"RNHD24CWART000063")</f>
        <v>RNHD24CWART000063</v>
      </c>
      <c r="J103" s="5" t="str">
        <f>IFERROR(__xludf.DUMMYFUNCTION("""COMPUTED_VALUE"""),"1622F024356")</f>
        <v>1622F024356</v>
      </c>
      <c r="K103" s="5">
        <f>IFERROR(__xludf.DUMMYFUNCTION("""COMPUTED_VALUE"""),0.9)</f>
        <v>0.9</v>
      </c>
      <c r="L103" s="5" t="str">
        <f>IFERROR(__xludf.DUMMYFUNCTION("""COMPUTED_VALUE"""),"KLH")</f>
        <v>KLH</v>
      </c>
    </row>
    <row r="104">
      <c r="A104" s="42" t="str">
        <f>IFERROR(__xludf.DUMMYFUNCTION("""COMPUTED_VALUE"""),"CHT-XTA-035")</f>
        <v>CHT-XTA-035</v>
      </c>
      <c r="B104" s="3" t="str">
        <f>IFERROR(__xludf.DUMMYFUNCTION("""COMPUTED_VALUE"""),"Xe ben HOWO TXD600")</f>
        <v>Xe ben HOWO TXD600</v>
      </c>
      <c r="C104" s="5" t="str">
        <f>IFERROR(__xludf.DUMMYFUNCTION("""COMPUTED_VALUE"""),"CGTC AD")</f>
        <v>CGTC AD</v>
      </c>
      <c r="D104" s="5" t="str">
        <f>IFERROR(__xludf.DUMMYFUNCTION("""COMPUTED_VALUE"""),"HOWO")</f>
        <v>HOWO</v>
      </c>
      <c r="E104" s="57" t="str">
        <f>IFERROR(__xludf.DUMMYFUNCTION("""COMPUTED_VALUE"""),"VIỆT NAM")</f>
        <v>VIỆT NAM</v>
      </c>
      <c r="F104" s="5">
        <f>IFERROR(__xludf.DUMMYFUNCTION("""COMPUTED_VALUE"""),2022.0)</f>
        <v>2022</v>
      </c>
      <c r="G104" s="5" t="str">
        <f>IFERROR(__xludf.DUMMYFUNCTION("""COMPUTED_VALUE"""),"HOWO TX D600")</f>
        <v>HOWO TX D600</v>
      </c>
      <c r="H104" s="5" t="str">
        <f>IFERROR(__xludf.DUMMYFUNCTION("""COMPUTED_VALUE"""),"380HP")</f>
        <v>380HP</v>
      </c>
      <c r="I104" s="5" t="str">
        <f>IFERROR(__xludf.DUMMYFUNCTION("""COMPUTED_VALUE"""),"RNHD24CWART000064")</f>
        <v>RNHD24CWART000064</v>
      </c>
      <c r="J104" s="5" t="str">
        <f>IFERROR(__xludf.DUMMYFUNCTION("""COMPUTED_VALUE"""),"1622F024357")</f>
        <v>1622F024357</v>
      </c>
      <c r="K104" s="5">
        <f>IFERROR(__xludf.DUMMYFUNCTION("""COMPUTED_VALUE"""),0.9)</f>
        <v>0.9</v>
      </c>
      <c r="L104" s="5" t="str">
        <f>IFERROR(__xludf.DUMMYFUNCTION("""COMPUTED_VALUE"""),"KLH")</f>
        <v>KLH</v>
      </c>
    </row>
    <row r="105">
      <c r="A105" s="149" t="str">
        <f>IFERROR(__xludf.DUMMYFUNCTION("""COMPUTED_VALUE"""),"CHT-XTA-027")</f>
        <v>CHT-XTA-027</v>
      </c>
      <c r="B105" s="3" t="str">
        <f>IFERROR(__xludf.DUMMYFUNCTION("""COMPUTED_VALUE"""),"Xe ben HOWO TXD600")</f>
        <v>Xe ben HOWO TXD600</v>
      </c>
      <c r="C105" s="5" t="str">
        <f>IFERROR(__xludf.DUMMYFUNCTION("""COMPUTED_VALUE"""),"CGTC AD")</f>
        <v>CGTC AD</v>
      </c>
      <c r="D105" s="5" t="str">
        <f>IFERROR(__xludf.DUMMYFUNCTION("""COMPUTED_VALUE"""),"HOWO")</f>
        <v>HOWO</v>
      </c>
      <c r="E105" s="57" t="str">
        <f>IFERROR(__xludf.DUMMYFUNCTION("""COMPUTED_VALUE"""),"VIỆT NAM")</f>
        <v>VIỆT NAM</v>
      </c>
      <c r="F105" s="5">
        <f>IFERROR(__xludf.DUMMYFUNCTION("""COMPUTED_VALUE"""),2022.0)</f>
        <v>2022</v>
      </c>
      <c r="G105" s="5" t="str">
        <f>IFERROR(__xludf.DUMMYFUNCTION("""COMPUTED_VALUE"""),"HOWO TX D600")</f>
        <v>HOWO TX D600</v>
      </c>
      <c r="H105" s="5" t="str">
        <f>IFERROR(__xludf.DUMMYFUNCTION("""COMPUTED_VALUE"""),"380HP")</f>
        <v>380HP</v>
      </c>
      <c r="I105" s="5" t="str">
        <f>IFERROR(__xludf.DUMMYFUNCTION("""COMPUTED_VALUE"""),"RNHD24CWANT063481")</f>
        <v>RNHD24CWANT063481</v>
      </c>
      <c r="J105" s="5" t="str">
        <f>IFERROR(__xludf.DUMMYFUNCTION("""COMPUTED_VALUE"""),"1622D017402")</f>
        <v>1622D017402</v>
      </c>
      <c r="K105" s="5">
        <f>IFERROR(__xludf.DUMMYFUNCTION("""COMPUTED_VALUE"""),0.9)</f>
        <v>0.9</v>
      </c>
      <c r="L105" s="5" t="str">
        <f>IFERROR(__xludf.DUMMYFUNCTION("""COMPUTED_VALUE"""),"KLH")</f>
        <v>KLH</v>
      </c>
    </row>
    <row r="106">
      <c r="A106" s="42" t="str">
        <f>IFERROR(__xludf.DUMMYFUNCTION("""COMPUTED_VALUE"""),"CHT-BAN-005")</f>
        <v>CHT-BAN-005</v>
      </c>
      <c r="B106" s="3" t="str">
        <f>IFERROR(__xludf.DUMMYFUNCTION("""COMPUTED_VALUE"""),"Xe ban KOMATSU GD605A")</f>
        <v>Xe ban KOMATSU GD605A</v>
      </c>
      <c r="C106" s="5" t="str">
        <f>IFERROR(__xludf.DUMMYFUNCTION("""COMPUTED_VALUE"""),"CGTC AD")</f>
        <v>CGTC AD</v>
      </c>
      <c r="D106" s="5" t="str">
        <f>IFERROR(__xludf.DUMMYFUNCTION("""COMPUTED_VALUE"""),"KOMATSU")</f>
        <v>KOMATSU</v>
      </c>
      <c r="E106" s="57" t="str">
        <f>IFERROR(__xludf.DUMMYFUNCTION("""COMPUTED_VALUE"""),"NHẬT BẢN")</f>
        <v>NHẬT BẢN</v>
      </c>
      <c r="F106" s="5">
        <f>IFERROR(__xludf.DUMMYFUNCTION("""COMPUTED_VALUE"""),1994.0)</f>
        <v>1994</v>
      </c>
      <c r="G106" s="5" t="str">
        <f>IFERROR(__xludf.DUMMYFUNCTION("""COMPUTED_VALUE"""),"GD605A-5")</f>
        <v>GD605A-5</v>
      </c>
      <c r="H106" s="5" t="str">
        <f>IFERROR(__xludf.DUMMYFUNCTION("""COMPUTED_VALUE"""),"155HP")</f>
        <v>155HP</v>
      </c>
      <c r="I106" s="5" t="str">
        <f>IFERROR(__xludf.DUMMYFUNCTION("""COMPUTED_VALUE"""),"G60A54622")</f>
        <v>G60A54622</v>
      </c>
      <c r="J106" s="5" t="str">
        <f>IFERROR(__xludf.DUMMYFUNCTION("""COMPUTED_VALUE"""),"6D12561725")</f>
        <v>6D12561725</v>
      </c>
      <c r="K106" s="5">
        <f>IFERROR(__xludf.DUMMYFUNCTION("""COMPUTED_VALUE"""),9.3)</f>
        <v>9.3</v>
      </c>
      <c r="L106" s="5" t="str">
        <f>IFERROR(__xludf.DUMMYFUNCTION("""COMPUTED_VALUE"""),"KLH")</f>
        <v>KLH</v>
      </c>
    </row>
    <row r="107">
      <c r="A107" s="42" t="str">
        <f>IFERROR(__xludf.DUMMYFUNCTION("""COMPUTED_VALUE"""),"CHT-MĐA-073")</f>
        <v>CHT-MĐA-073</v>
      </c>
      <c r="B107" s="3" t="str">
        <f>IFERROR(__xludf.DUMMYFUNCTION("""COMPUTED_VALUE"""),"Máy đào KOMATSU bánh xích gàu 0.8m3")</f>
        <v>Máy đào KOMATSU bánh xích gàu 0.8m3</v>
      </c>
      <c r="C107" s="5" t="str">
        <f>IFERROR(__xludf.DUMMYFUNCTION("""COMPUTED_VALUE"""),"CGTC AD")</f>
        <v>CGTC AD</v>
      </c>
      <c r="D107" s="5" t="str">
        <f>IFERROR(__xludf.DUMMYFUNCTION("""COMPUTED_VALUE"""),"KOMATSU")</f>
        <v>KOMATSU</v>
      </c>
      <c r="E107" s="57" t="str">
        <f>IFERROR(__xludf.DUMMYFUNCTION("""COMPUTED_VALUE"""),"NHẬT BẢN")</f>
        <v>NHẬT BẢN</v>
      </c>
      <c r="F107" s="5">
        <f>IFERROR(__xludf.DUMMYFUNCTION("""COMPUTED_VALUE"""),2003.0)</f>
        <v>2003</v>
      </c>
      <c r="G107" s="5" t="str">
        <f>IFERROR(__xludf.DUMMYFUNCTION("""COMPUTED_VALUE"""),"PC228US-3N0")</f>
        <v>PC228US-3N0</v>
      </c>
      <c r="H107" s="5" t="str">
        <f>IFERROR(__xludf.DUMMYFUNCTION("""COMPUTED_VALUE"""),"145HP")</f>
        <v>145HP</v>
      </c>
      <c r="I107" s="5" t="str">
        <f>IFERROR(__xludf.DUMMYFUNCTION("""COMPUTED_VALUE"""),"KMTPC057C02030553")</f>
        <v>KMTPC057C02030553</v>
      </c>
      <c r="J107" s="5" t="str">
        <f>IFERROR(__xludf.DUMMYFUNCTION("""COMPUTED_VALUE"""),"6D10226327476")</f>
        <v>6D10226327476</v>
      </c>
      <c r="K107" s="5">
        <f>IFERROR(__xludf.DUMMYFUNCTION("""COMPUTED_VALUE"""),14.0)</f>
        <v>14</v>
      </c>
      <c r="L107" s="5" t="str">
        <f>IFERROR(__xludf.DUMMYFUNCTION("""COMPUTED_VALUE"""),"KLH")</f>
        <v>KLH</v>
      </c>
    </row>
    <row r="108">
      <c r="A108" s="42" t="str">
        <f>IFERROR(__xludf.DUMMYFUNCTION("""COMPUTED_VALUE"""),"CHT-XTA-048")</f>
        <v>CHT-XTA-048</v>
      </c>
      <c r="B108" s="3" t="str">
        <f>IFERROR(__xludf.DUMMYFUNCTION("""COMPUTED_VALUE"""),"Xe ben FD120")</f>
        <v>Xe ben FD120</v>
      </c>
      <c r="C108" s="5" t="str">
        <f>IFERROR(__xludf.DUMMYFUNCTION("""COMPUTED_VALUE"""),"CGTC AD")</f>
        <v>CGTC AD</v>
      </c>
      <c r="D108" s="5" t="str">
        <f>IFERROR(__xludf.DUMMYFUNCTION("""COMPUTED_VALUE"""),"FORLAND")</f>
        <v>FORLAND</v>
      </c>
      <c r="E108" s="57" t="str">
        <f>IFERROR(__xludf.DUMMYFUNCTION("""COMPUTED_VALUE"""),"Việt Nam")</f>
        <v>Việt Nam</v>
      </c>
      <c r="F108" s="5">
        <f>IFERROR(__xludf.DUMMYFUNCTION("""COMPUTED_VALUE"""),2024.0)</f>
        <v>2024</v>
      </c>
      <c r="G108" s="5" t="str">
        <f>IFERROR(__xludf.DUMMYFUNCTION("""COMPUTED_VALUE"""),"FD120-4WD")</f>
        <v>FD120-4WD</v>
      </c>
      <c r="H108" s="5" t="str">
        <f>IFERROR(__xludf.DUMMYFUNCTION("""COMPUTED_VALUE"""),"129HP")</f>
        <v>129HP</v>
      </c>
      <c r="I108" s="5" t="str">
        <f>IFERROR(__xludf.DUMMYFUNCTION("""COMPUTED_VALUE"""),"RNHF12FNBRT002066")</f>
        <v>RNHF12FNBRT002066</v>
      </c>
      <c r="J108" s="5" t="str">
        <f>IFERROR(__xludf.DUMMYFUNCTION("""COMPUTED_VALUE"""),"YN38CRD1*AGN22000246*")</f>
        <v>YN38CRD1*AGN22000246*</v>
      </c>
      <c r="K108" s="5">
        <f>IFERROR(__xludf.DUMMYFUNCTION("""COMPUTED_VALUE"""),0.61)</f>
        <v>0.61</v>
      </c>
      <c r="L108" s="5" t="str">
        <f>IFERROR(__xludf.DUMMYFUNCTION("""COMPUTED_VALUE"""),"KLH")</f>
        <v>KLH</v>
      </c>
    </row>
    <row r="109">
      <c r="A109" s="42" t="str">
        <f>IFERROR(__xludf.DUMMYFUNCTION("""COMPUTED_VALUE"""),"Cơ giới làm đất DP")</f>
        <v>Cơ giới làm đất DP</v>
      </c>
      <c r="B109" s="3"/>
      <c r="C109" s="5"/>
      <c r="D109" s="5"/>
      <c r="E109" s="57"/>
      <c r="F109" s="5"/>
      <c r="G109" s="5"/>
      <c r="H109" s="5"/>
      <c r="I109" s="5"/>
      <c r="J109" s="5"/>
      <c r="K109" s="5"/>
      <c r="L109" s="5" t="str">
        <f>IFERROR(__xludf.DUMMYFUNCTION("""COMPUTED_VALUE"""),"KLH")</f>
        <v>KLH</v>
      </c>
    </row>
    <row r="110">
      <c r="A110" s="42" t="str">
        <f>IFERROR(__xludf.DUMMYFUNCTION("""COMPUTED_VALUE"""),"CNN-XTA-001")</f>
        <v>CNN-XTA-001</v>
      </c>
      <c r="B110" s="3" t="str">
        <f>IFERROR(__xludf.DUMMYFUNCTION("""COMPUTED_VALUE"""),"Xe tải THACO FRONTIER TF490")</f>
        <v>Xe tải THACO FRONTIER TF490</v>
      </c>
      <c r="C110" s="5" t="str">
        <f>IFERROR(__xludf.DUMMYFUNCTION("""COMPUTED_VALUE"""),"CGLĐ DP")</f>
        <v>CGLĐ DP</v>
      </c>
      <c r="D110" s="5" t="str">
        <f>IFERROR(__xludf.DUMMYFUNCTION("""COMPUTED_VALUE"""),"THACO FRONTIER")</f>
        <v>THACO FRONTIER</v>
      </c>
      <c r="E110" s="57" t="str">
        <f>IFERROR(__xludf.DUMMYFUNCTION("""COMPUTED_VALUE"""),"VIỆT NAM")</f>
        <v>VIỆT NAM</v>
      </c>
      <c r="F110" s="5">
        <f>IFERROR(__xludf.DUMMYFUNCTION("""COMPUTED_VALUE"""),2024.0)</f>
        <v>2024</v>
      </c>
      <c r="G110" s="5" t="str">
        <f>IFERROR(__xludf.DUMMYFUNCTION("""COMPUTED_VALUE"""),"TF490")</f>
        <v>TF490</v>
      </c>
      <c r="H110" s="5" t="str">
        <f>IFERROR(__xludf.DUMMYFUNCTION("""COMPUTED_VALUE"""),"107HP")</f>
        <v>107HP</v>
      </c>
      <c r="I110" s="5" t="str">
        <f>IFERROR(__xludf.DUMMYFUNCTION("""COMPUTED_VALUE"""),"RNHA49TZART082912")</f>
        <v>RNHA49TZART082912</v>
      </c>
      <c r="J110" s="5" t="str">
        <f>IFERROR(__xludf.DUMMYFUNCTION("""COMPUTED_VALUE"""),"JE493ZLQ4*37100377*")</f>
        <v>JE493ZLQ4*37100377*</v>
      </c>
      <c r="K110" s="5">
        <f>IFERROR(__xludf.DUMMYFUNCTION("""COMPUTED_VALUE"""),0.2)</f>
        <v>0.2</v>
      </c>
      <c r="L110" s="5" t="str">
        <f>IFERROR(__xludf.DUMMYFUNCTION("""COMPUTED_VALUE"""),"KLH")</f>
        <v>KLH</v>
      </c>
    </row>
    <row r="111">
      <c r="A111" s="135" t="str">
        <f>IFERROR(__xludf.DUMMYFUNCTION("""COMPUTED_VALUE"""),"CNN-MKX-002")</f>
        <v>CNN-MKX-002</v>
      </c>
      <c r="B111" s="3" t="str">
        <f>IFERROR(__xludf.DUMMYFUNCTION("""COMPUTED_VALUE"""),"Máy cày bánh xích CT65")</f>
        <v>Máy cày bánh xích CT65</v>
      </c>
      <c r="C111" s="5" t="str">
        <f>IFERROR(__xludf.DUMMYFUNCTION("""COMPUTED_VALUE"""),"CGLĐ DP")</f>
        <v>CGLĐ DP</v>
      </c>
      <c r="D111" s="5" t="str">
        <f>IFERROR(__xludf.DUMMYFUNCTION("""COMPUTED_VALUE"""),"YANMAR")</f>
        <v>YANMAR</v>
      </c>
      <c r="E111" s="57" t="str">
        <f>IFERROR(__xludf.DUMMYFUNCTION("""COMPUTED_VALUE"""),"Nhật Bản")</f>
        <v>Nhật Bản</v>
      </c>
      <c r="F111" s="5"/>
      <c r="G111" s="5" t="str">
        <f>IFERROR(__xludf.DUMMYFUNCTION("""COMPUTED_VALUE"""),"CT65")</f>
        <v>CT65</v>
      </c>
      <c r="H111" s="5" t="str">
        <f>IFERROR(__xludf.DUMMYFUNCTION("""COMPUTED_VALUE"""),"65HP")</f>
        <v>65HP</v>
      </c>
      <c r="I111" s="5" t="str">
        <f>IFERROR(__xludf.DUMMYFUNCTION("""COMPUTED_VALUE"""),"10139")</f>
        <v>10139</v>
      </c>
      <c r="J111" s="5" t="str">
        <f>IFERROR(__xludf.DUMMYFUNCTION("""COMPUTED_VALUE"""),"2463")</f>
        <v>2463</v>
      </c>
      <c r="K111" s="5"/>
      <c r="L111" s="5" t="str">
        <f>IFERROR(__xludf.DUMMYFUNCTION("""COMPUTED_VALUE"""),"KLH")</f>
        <v>KLH</v>
      </c>
    </row>
    <row r="112">
      <c r="A112" s="42" t="str">
        <f>IFERROR(__xludf.DUMMYFUNCTION("""COMPUTED_VALUE"""),"CNN-MKX-001")</f>
        <v>CNN-MKX-001</v>
      </c>
      <c r="B112" s="3" t="str">
        <f>IFERROR(__xludf.DUMMYFUNCTION("""COMPUTED_VALUE"""),"Máy cày bánh xích Mitsubishi")</f>
        <v>Máy cày bánh xích Mitsubishi</v>
      </c>
      <c r="C112" s="5" t="str">
        <f>IFERROR(__xludf.DUMMYFUNCTION("""COMPUTED_VALUE"""),"CGLĐ DP")</f>
        <v>CGLĐ DP</v>
      </c>
      <c r="D112" s="5" t="str">
        <f>IFERROR(__xludf.DUMMYFUNCTION("""COMPUTED_VALUE"""),"MITSUBISHI")</f>
        <v>MITSUBISHI</v>
      </c>
      <c r="E112" s="57" t="str">
        <f>IFERROR(__xludf.DUMMYFUNCTION("""COMPUTED_VALUE"""),"NHẬT BẢN")</f>
        <v>NHẬT BẢN</v>
      </c>
      <c r="F112" s="5">
        <f>IFERROR(__xludf.DUMMYFUNCTION("""COMPUTED_VALUE"""),2016.0)</f>
        <v>2016</v>
      </c>
      <c r="G112" s="5" t="str">
        <f>IFERROR(__xludf.DUMMYFUNCTION("""COMPUTED_VALUE"""),"MKM100")</f>
        <v>MKM100</v>
      </c>
      <c r="H112" s="5" t="str">
        <f>IFERROR(__xludf.DUMMYFUNCTION("""COMPUTED_VALUE"""),"100HP")</f>
        <v>100HP</v>
      </c>
      <c r="I112" s="5" t="str">
        <f>IFERROR(__xludf.DUMMYFUNCTION("""COMPUTED_VALUE"""),"K10A-10011")</f>
        <v>K10A-10011</v>
      </c>
      <c r="J112" s="5" t="str">
        <f>IFERROR(__xludf.DUMMYFUNCTION("""COMPUTED_VALUE"""),"6S6-019410")</f>
        <v>6S6-019410</v>
      </c>
      <c r="K112" s="5"/>
      <c r="L112" s="5" t="str">
        <f>IFERROR(__xludf.DUMMYFUNCTION("""COMPUTED_VALUE"""),"KLH")</f>
        <v>KLH</v>
      </c>
    </row>
    <row r="113">
      <c r="A113" s="42" t="str">
        <f>IFERROR(__xludf.DUMMYFUNCTION("""COMPUTED_VALUE"""),"CNN-MKE-005")</f>
        <v>CNN-MKE-005</v>
      </c>
      <c r="B113" s="3" t="str">
        <f>IFERROR(__xludf.DUMMYFUNCTION("""COMPUTED_VALUE"""),"Máy cày JD 6603")</f>
        <v>Máy cày JD 6603</v>
      </c>
      <c r="C113" s="5" t="str">
        <f>IFERROR(__xludf.DUMMYFUNCTION("""COMPUTED_VALUE"""),"CGLĐ DP")</f>
        <v>CGLĐ DP</v>
      </c>
      <c r="D113" s="5" t="str">
        <f>IFERROR(__xludf.DUMMYFUNCTION("""COMPUTED_VALUE"""),"JOHN DEERE")</f>
        <v>JOHN DEERE</v>
      </c>
      <c r="E113" s="57" t="str">
        <f>IFERROR(__xludf.DUMMYFUNCTION("""COMPUTED_VALUE"""),"MỸ")</f>
        <v>MỸ</v>
      </c>
      <c r="F113" s="5">
        <f>IFERROR(__xludf.DUMMYFUNCTION("""COMPUTED_VALUE"""),2018.0)</f>
        <v>2018</v>
      </c>
      <c r="G113" s="5" t="str">
        <f>IFERROR(__xludf.DUMMYFUNCTION("""COMPUTED_VALUE"""),"6603")</f>
        <v>6603</v>
      </c>
      <c r="H113" s="5" t="str">
        <f>IFERROR(__xludf.DUMMYFUNCTION("""COMPUTED_VALUE"""),"120HP")</f>
        <v>120HP</v>
      </c>
      <c r="I113" s="5" t="str">
        <f>IFERROR(__xludf.DUMMYFUNCTION("""COMPUTED_VALUE"""),"33028")</f>
        <v>33028</v>
      </c>
      <c r="J113" s="5" t="str">
        <f>IFERROR(__xludf.DUMMYFUNCTION("""COMPUTED_VALUE"""),"CCN")</f>
        <v>CCN</v>
      </c>
      <c r="K113" s="5">
        <f>IFERROR(__xludf.DUMMYFUNCTION("""COMPUTED_VALUE"""),9.0)</f>
        <v>9</v>
      </c>
      <c r="L113" s="5" t="str">
        <f>IFERROR(__xludf.DUMMYFUNCTION("""COMPUTED_VALUE"""),"KLH")</f>
        <v>KLH</v>
      </c>
    </row>
    <row r="114">
      <c r="A114" s="42" t="str">
        <f>IFERROR(__xludf.DUMMYFUNCTION("""COMPUTED_VALUE"""),"CNN-MKE-006")</f>
        <v>CNN-MKE-006</v>
      </c>
      <c r="B114" s="3" t="str">
        <f>IFERROR(__xludf.DUMMYFUNCTION("""COMPUTED_VALUE"""),"Máy cày JD 6603")</f>
        <v>Máy cày JD 6603</v>
      </c>
      <c r="C114" s="5" t="str">
        <f>IFERROR(__xludf.DUMMYFUNCTION("""COMPUTED_VALUE"""),"CGLĐ DP")</f>
        <v>CGLĐ DP</v>
      </c>
      <c r="D114" s="5" t="str">
        <f>IFERROR(__xludf.DUMMYFUNCTION("""COMPUTED_VALUE"""),"JOHN DEERE")</f>
        <v>JOHN DEERE</v>
      </c>
      <c r="E114" s="57" t="str">
        <f>IFERROR(__xludf.DUMMYFUNCTION("""COMPUTED_VALUE"""),"MỸ")</f>
        <v>MỸ</v>
      </c>
      <c r="F114" s="5">
        <f>IFERROR(__xludf.DUMMYFUNCTION("""COMPUTED_VALUE"""),2018.0)</f>
        <v>2018</v>
      </c>
      <c r="G114" s="5" t="str">
        <f>IFERROR(__xludf.DUMMYFUNCTION("""COMPUTED_VALUE"""),"6603")</f>
        <v>6603</v>
      </c>
      <c r="H114" s="5" t="str">
        <f>IFERROR(__xludf.DUMMYFUNCTION("""COMPUTED_VALUE"""),"120HP")</f>
        <v>120HP</v>
      </c>
      <c r="I114" s="5" t="str">
        <f>IFERROR(__xludf.DUMMYFUNCTION("""COMPUTED_VALUE"""),"33178")</f>
        <v>33178</v>
      </c>
      <c r="J114" s="5" t="str">
        <f>IFERROR(__xludf.DUMMYFUNCTION("""COMPUTED_VALUE"""),"CCN")</f>
        <v>CCN</v>
      </c>
      <c r="K114" s="5">
        <f>IFERROR(__xludf.DUMMYFUNCTION("""COMPUTED_VALUE"""),9.0)</f>
        <v>9</v>
      </c>
      <c r="L114" s="5" t="str">
        <f>IFERROR(__xludf.DUMMYFUNCTION("""COMPUTED_VALUE"""),"KLH")</f>
        <v>KLH</v>
      </c>
    </row>
    <row r="115">
      <c r="A115" s="42" t="str">
        <f>IFERROR(__xludf.DUMMYFUNCTION("""COMPUTED_VALUE"""),"CNN-MKE-019")</f>
        <v>CNN-MKE-019</v>
      </c>
      <c r="B115" s="3" t="str">
        <f>IFERROR(__xludf.DUMMYFUNCTION("""COMPUTED_VALUE"""),"Máy cày JD 6120B")</f>
        <v>Máy cày JD 6120B</v>
      </c>
      <c r="C115" s="5" t="str">
        <f>IFERROR(__xludf.DUMMYFUNCTION("""COMPUTED_VALUE"""),"CGLĐ DP")</f>
        <v>CGLĐ DP</v>
      </c>
      <c r="D115" s="5" t="str">
        <f>IFERROR(__xludf.DUMMYFUNCTION("""COMPUTED_VALUE"""),"JOHN DEERE")</f>
        <v>JOHN DEERE</v>
      </c>
      <c r="E115" s="57" t="str">
        <f>IFERROR(__xludf.DUMMYFUNCTION("""COMPUTED_VALUE"""),"MỸ")</f>
        <v>MỸ</v>
      </c>
      <c r="F115" s="5">
        <f>IFERROR(__xludf.DUMMYFUNCTION("""COMPUTED_VALUE"""),2022.0)</f>
        <v>2022</v>
      </c>
      <c r="G115" s="5" t="str">
        <f>IFERROR(__xludf.DUMMYFUNCTION("""COMPUTED_VALUE"""),"6120B")</f>
        <v>6120B</v>
      </c>
      <c r="H115" s="5" t="str">
        <f>IFERROR(__xludf.DUMMYFUNCTION("""COMPUTED_VALUE"""),"120HP")</f>
        <v>120HP</v>
      </c>
      <c r="I115" s="5" t="str">
        <f>IFERROR(__xludf.DUMMYFUNCTION("""COMPUTED_VALUE"""),"1YR6120BARD210216")</f>
        <v>1YR6120BARD210216</v>
      </c>
      <c r="J115" s="5" t="str">
        <f>IFERROR(__xludf.DUMMYFUNCTION("""COMPUTED_VALUE"""),"PE4045N035815")</f>
        <v>PE4045N035815</v>
      </c>
      <c r="K115" s="5">
        <f>IFERROR(__xludf.DUMMYFUNCTION("""COMPUTED_VALUE"""),9.5)</f>
        <v>9.5</v>
      </c>
      <c r="L115" s="5" t="str">
        <f>IFERROR(__xludf.DUMMYFUNCTION("""COMPUTED_VALUE"""),"KLH")</f>
        <v>KLH</v>
      </c>
    </row>
    <row r="116">
      <c r="A116" s="42" t="str">
        <f>IFERROR(__xludf.DUMMYFUNCTION("""COMPUTED_VALUE"""),"CNN-MKE-020")</f>
        <v>CNN-MKE-020</v>
      </c>
      <c r="B116" s="3" t="str">
        <f>IFERROR(__xludf.DUMMYFUNCTION("""COMPUTED_VALUE"""),"Máy cày JD 5090E")</f>
        <v>Máy cày JD 5090E</v>
      </c>
      <c r="C116" s="5" t="str">
        <f>IFERROR(__xludf.DUMMYFUNCTION("""COMPUTED_VALUE"""),"CGLĐ DP")</f>
        <v>CGLĐ DP</v>
      </c>
      <c r="D116" s="5" t="str">
        <f>IFERROR(__xludf.DUMMYFUNCTION("""COMPUTED_VALUE"""),"JOHN DEERE")</f>
        <v>JOHN DEERE</v>
      </c>
      <c r="E116" s="57" t="str">
        <f>IFERROR(__xludf.DUMMYFUNCTION("""COMPUTED_VALUE"""),"MỸ")</f>
        <v>MỸ</v>
      </c>
      <c r="F116" s="5">
        <f>IFERROR(__xludf.DUMMYFUNCTION("""COMPUTED_VALUE"""),2022.0)</f>
        <v>2022</v>
      </c>
      <c r="G116" s="5" t="str">
        <f>IFERROR(__xludf.DUMMYFUNCTION("""COMPUTED_VALUE"""),"5090E")</f>
        <v>5090E</v>
      </c>
      <c r="H116" s="5" t="str">
        <f>IFERROR(__xludf.DUMMYFUNCTION("""COMPUTED_VALUE"""),"90HP")</f>
        <v>90HP</v>
      </c>
      <c r="I116" s="5" t="str">
        <f>IFERROR(__xludf.DUMMYFUNCTION("""COMPUTED_VALUE"""),"1P05090ELN4073859")</f>
        <v>1P05090ELN4073859</v>
      </c>
      <c r="J116" s="5" t="str">
        <f>IFERROR(__xludf.DUMMYFUNCTION("""COMPUTED_VALUE"""),"PE4045E028102")</f>
        <v>PE4045E028102</v>
      </c>
      <c r="K116" s="5">
        <f>IFERROR(__xludf.DUMMYFUNCTION("""COMPUTED_VALUE"""),6.0)</f>
        <v>6</v>
      </c>
      <c r="L116" s="5" t="str">
        <f>IFERROR(__xludf.DUMMYFUNCTION("""COMPUTED_VALUE"""),"KLH")</f>
        <v>KLH</v>
      </c>
    </row>
    <row r="117">
      <c r="A117" s="42" t="str">
        <f>IFERROR(__xludf.DUMMYFUNCTION("""COMPUTED_VALUE"""),"CNN-MKE-027")</f>
        <v>CNN-MKE-027</v>
      </c>
      <c r="B117" s="3" t="str">
        <f>IFERROR(__xludf.DUMMYFUNCTION("""COMPUTED_VALUE"""),"Máy cày JD 6400")</f>
        <v>Máy cày JD 6400</v>
      </c>
      <c r="C117" s="5" t="str">
        <f>IFERROR(__xludf.DUMMYFUNCTION("""COMPUTED_VALUE"""),"CGLĐ DP")</f>
        <v>CGLĐ DP</v>
      </c>
      <c r="D117" s="5" t="str">
        <f>IFERROR(__xludf.DUMMYFUNCTION("""COMPUTED_VALUE"""),"JOHN DEERE")</f>
        <v>JOHN DEERE</v>
      </c>
      <c r="E117" s="57" t="str">
        <f>IFERROR(__xludf.DUMMYFUNCTION("""COMPUTED_VALUE"""),"MỸ")</f>
        <v>MỸ</v>
      </c>
      <c r="F117" s="5">
        <f>IFERROR(__xludf.DUMMYFUNCTION("""COMPUTED_VALUE"""),1998.0)</f>
        <v>1998</v>
      </c>
      <c r="G117" s="5" t="str">
        <f>IFERROR(__xludf.DUMMYFUNCTION("""COMPUTED_VALUE"""),"6400")</f>
        <v>6400</v>
      </c>
      <c r="H117" s="5" t="str">
        <f>IFERROR(__xludf.DUMMYFUNCTION("""COMPUTED_VALUE"""),"100HP")</f>
        <v>100HP</v>
      </c>
      <c r="I117" s="5" t="str">
        <f>IFERROR(__xludf.DUMMYFUNCTION("""COMPUTED_VALUE"""),"V120937")</f>
        <v>V120937</v>
      </c>
      <c r="J117" s="5" t="str">
        <f>IFERROR(__xludf.DUMMYFUNCTION("""COMPUTED_VALUE"""),"T149522")</f>
        <v>T149522</v>
      </c>
      <c r="K117" s="5">
        <f>IFERROR(__xludf.DUMMYFUNCTION("""COMPUTED_VALUE"""),6.0)</f>
        <v>6</v>
      </c>
      <c r="L117" s="5" t="str">
        <f>IFERROR(__xludf.DUMMYFUNCTION("""COMPUTED_VALUE"""),"KLH")</f>
        <v>KLH</v>
      </c>
    </row>
    <row r="118">
      <c r="A118" s="42" t="str">
        <f>IFERROR(__xludf.DUMMYFUNCTION("""COMPUTED_VALUE"""),"CNN-MKE-028")</f>
        <v>CNN-MKE-028</v>
      </c>
      <c r="B118" s="3" t="str">
        <f>IFERROR(__xludf.DUMMYFUNCTION("""COMPUTED_VALUE"""),"Máy cày JD 6400")</f>
        <v>Máy cày JD 6400</v>
      </c>
      <c r="C118" s="5" t="str">
        <f>IFERROR(__xludf.DUMMYFUNCTION("""COMPUTED_VALUE"""),"CGLĐ DP")</f>
        <v>CGLĐ DP</v>
      </c>
      <c r="D118" s="5" t="str">
        <f>IFERROR(__xludf.DUMMYFUNCTION("""COMPUTED_VALUE"""),"JOHN DEERE")</f>
        <v>JOHN DEERE</v>
      </c>
      <c r="E118" s="57" t="str">
        <f>IFERROR(__xludf.DUMMYFUNCTION("""COMPUTED_VALUE"""),"MỸ")</f>
        <v>MỸ</v>
      </c>
      <c r="F118" s="5">
        <f>IFERROR(__xludf.DUMMYFUNCTION("""COMPUTED_VALUE"""),1998.0)</f>
        <v>1998</v>
      </c>
      <c r="G118" s="5" t="str">
        <f>IFERROR(__xludf.DUMMYFUNCTION("""COMPUTED_VALUE"""),"6400")</f>
        <v>6400</v>
      </c>
      <c r="H118" s="5" t="str">
        <f>IFERROR(__xludf.DUMMYFUNCTION("""COMPUTED_VALUE"""),"100HP")</f>
        <v>100HP</v>
      </c>
      <c r="I118" s="5" t="str">
        <f>IFERROR(__xludf.DUMMYFUNCTION("""COMPUTED_VALUE"""),"V190731")</f>
        <v>V190731</v>
      </c>
      <c r="J118" s="5" t="str">
        <f>IFERROR(__xludf.DUMMYFUNCTION("""COMPUTED_VALUE"""),"T318857")</f>
        <v>T318857</v>
      </c>
      <c r="K118" s="5">
        <f>IFERROR(__xludf.DUMMYFUNCTION("""COMPUTED_VALUE"""),6.5)</f>
        <v>6.5</v>
      </c>
      <c r="L118" s="5" t="str">
        <f>IFERROR(__xludf.DUMMYFUNCTION("""COMPUTED_VALUE"""),"KLH")</f>
        <v>KLH</v>
      </c>
    </row>
    <row r="119">
      <c r="A119" s="42" t="str">
        <f>IFERROR(__xludf.DUMMYFUNCTION("""COMPUTED_VALUE"""),"CNN-MKE-032")</f>
        <v>CNN-MKE-032</v>
      </c>
      <c r="B119" s="3" t="str">
        <f>IFERROR(__xludf.DUMMYFUNCTION("""COMPUTED_VALUE"""),"Máy cày JD 2850")</f>
        <v>Máy cày JD 2850</v>
      </c>
      <c r="C119" s="5" t="str">
        <f>IFERROR(__xludf.DUMMYFUNCTION("""COMPUTED_VALUE"""),"CGLĐ DP")</f>
        <v>CGLĐ DP</v>
      </c>
      <c r="D119" s="5" t="str">
        <f>IFERROR(__xludf.DUMMYFUNCTION("""COMPUTED_VALUE"""),"JOHN DEERE")</f>
        <v>JOHN DEERE</v>
      </c>
      <c r="E119" s="57" t="str">
        <f>IFERROR(__xludf.DUMMYFUNCTION("""COMPUTED_VALUE"""),"ĐỨC")</f>
        <v>ĐỨC</v>
      </c>
      <c r="F119" s="5">
        <f>IFERROR(__xludf.DUMMYFUNCTION("""COMPUTED_VALUE"""),1994.0)</f>
        <v>1994</v>
      </c>
      <c r="G119" s="5" t="str">
        <f>IFERROR(__xludf.DUMMYFUNCTION("""COMPUTED_VALUE"""),"2850")</f>
        <v>2850</v>
      </c>
      <c r="H119" s="5" t="str">
        <f>IFERROR(__xludf.DUMMYFUNCTION("""COMPUTED_VALUE"""),"85HP")</f>
        <v>85HP</v>
      </c>
      <c r="I119" s="5" t="str">
        <f>IFERROR(__xludf.DUMMYFUNCTION("""COMPUTED_VALUE"""),"717696L")</f>
        <v>717696L</v>
      </c>
      <c r="J119" s="5" t="str">
        <f>IFERROR(__xludf.DUMMYFUNCTION("""COMPUTED_VALUE"""),"CD4239T907229")</f>
        <v>CD4239T907229</v>
      </c>
      <c r="K119" s="5"/>
      <c r="L119" s="5" t="str">
        <f>IFERROR(__xludf.DUMMYFUNCTION("""COMPUTED_VALUE"""),"KLH")</f>
        <v>KLH</v>
      </c>
    </row>
    <row r="120">
      <c r="A120" s="42" t="str">
        <f>IFERROR(__xludf.DUMMYFUNCTION("""COMPUTED_VALUE"""),"CNN-MKE-033")</f>
        <v>CNN-MKE-033</v>
      </c>
      <c r="B120" s="3" t="str">
        <f>IFERROR(__xludf.DUMMYFUNCTION("""COMPUTED_VALUE"""),"Máy cày JD 3350")</f>
        <v>Máy cày JD 3350</v>
      </c>
      <c r="C120" s="5" t="str">
        <f>IFERROR(__xludf.DUMMYFUNCTION("""COMPUTED_VALUE"""),"CGLĐ DP")</f>
        <v>CGLĐ DP</v>
      </c>
      <c r="D120" s="5" t="str">
        <f>IFERROR(__xludf.DUMMYFUNCTION("""COMPUTED_VALUE"""),"JOHN DEERE")</f>
        <v>JOHN DEERE</v>
      </c>
      <c r="E120" s="57" t="str">
        <f>IFERROR(__xludf.DUMMYFUNCTION("""COMPUTED_VALUE"""),"ĐỨC")</f>
        <v>ĐỨC</v>
      </c>
      <c r="F120" s="5">
        <f>IFERROR(__xludf.DUMMYFUNCTION("""COMPUTED_VALUE"""),1993.0)</f>
        <v>1993</v>
      </c>
      <c r="G120" s="5" t="str">
        <f>IFERROR(__xludf.DUMMYFUNCTION("""COMPUTED_VALUE"""),"3350")</f>
        <v>3350</v>
      </c>
      <c r="H120" s="5" t="str">
        <f>IFERROR(__xludf.DUMMYFUNCTION("""COMPUTED_VALUE"""),"100HP")</f>
        <v>100HP</v>
      </c>
      <c r="I120" s="5" t="str">
        <f>IFERROR(__xludf.DUMMYFUNCTION("""COMPUTED_VALUE"""),"711050L")</f>
        <v>711050L</v>
      </c>
      <c r="J120" s="5" t="str">
        <f>IFERROR(__xludf.DUMMYFUNCTION("""COMPUTED_VALUE"""),"CD6359D897588")</f>
        <v>CD6359D897588</v>
      </c>
      <c r="K120" s="5">
        <f>IFERROR(__xludf.DUMMYFUNCTION("""COMPUTED_VALUE"""),6.5)</f>
        <v>6.5</v>
      </c>
      <c r="L120" s="5" t="str">
        <f>IFERROR(__xludf.DUMMYFUNCTION("""COMPUTED_VALUE"""),"KLH")</f>
        <v>KLH</v>
      </c>
    </row>
    <row r="121">
      <c r="A121" s="42" t="str">
        <f>IFERROR(__xludf.DUMMYFUNCTION("""COMPUTED_VALUE"""),"CNN-MKE-034")</f>
        <v>CNN-MKE-034</v>
      </c>
      <c r="B121" s="3" t="str">
        <f>IFERROR(__xludf.DUMMYFUNCTION("""COMPUTED_VALUE"""),"Máy cày JD 7800")</f>
        <v>Máy cày JD 7800</v>
      </c>
      <c r="C121" s="5" t="str">
        <f>IFERROR(__xludf.DUMMYFUNCTION("""COMPUTED_VALUE"""),"CGLĐ DP")</f>
        <v>CGLĐ DP</v>
      </c>
      <c r="D121" s="5" t="str">
        <f>IFERROR(__xludf.DUMMYFUNCTION("""COMPUTED_VALUE"""),"JOHN DEERE")</f>
        <v>JOHN DEERE</v>
      </c>
      <c r="E121" s="57" t="str">
        <f>IFERROR(__xludf.DUMMYFUNCTION("""COMPUTED_VALUE"""),"MỸ")</f>
        <v>MỸ</v>
      </c>
      <c r="F121" s="5">
        <f>IFERROR(__xludf.DUMMYFUNCTION("""COMPUTED_VALUE"""),1997.0)</f>
        <v>1997</v>
      </c>
      <c r="G121" s="5" t="str">
        <f>IFERROR(__xludf.DUMMYFUNCTION("""COMPUTED_VALUE"""),"7800")</f>
        <v>7800</v>
      </c>
      <c r="H121" s="5" t="str">
        <f>IFERROR(__xludf.DUMMYFUNCTION("""COMPUTED_VALUE"""),"170HP")</f>
        <v>170HP</v>
      </c>
      <c r="I121" s="5" t="str">
        <f>IFERROR(__xludf.DUMMYFUNCTION("""COMPUTED_VALUE"""),"RW7800P015834")</f>
        <v>RW7800P015834</v>
      </c>
      <c r="J121" s="5" t="str">
        <f>IFERROR(__xludf.DUMMYFUNCTION("""COMPUTED_VALUE"""),"RG6076T568036")</f>
        <v>RG6076T568036</v>
      </c>
      <c r="K121" s="5">
        <f>IFERROR(__xludf.DUMMYFUNCTION("""COMPUTED_VALUE"""),11.0)</f>
        <v>11</v>
      </c>
      <c r="L121" s="5" t="str">
        <f>IFERROR(__xludf.DUMMYFUNCTION("""COMPUTED_VALUE"""),"KLH")</f>
        <v>KLH</v>
      </c>
    </row>
    <row r="122">
      <c r="A122" s="42" t="str">
        <f>IFERROR(__xludf.DUMMYFUNCTION("""COMPUTED_VALUE"""),"CNN-MKE-035")</f>
        <v>CNN-MKE-035</v>
      </c>
      <c r="B122" s="3" t="str">
        <f>IFERROR(__xludf.DUMMYFUNCTION("""COMPUTED_VALUE"""),"Máy cày LOVOL 1504")</f>
        <v>Máy cày LOVOL 1504</v>
      </c>
      <c r="C122" s="5" t="str">
        <f>IFERROR(__xludf.DUMMYFUNCTION("""COMPUTED_VALUE"""),"CGLĐ DP")</f>
        <v>CGLĐ DP</v>
      </c>
      <c r="D122" s="5" t="str">
        <f>IFERROR(__xludf.DUMMYFUNCTION("""COMPUTED_VALUE"""),"LOVOL")</f>
        <v>LOVOL</v>
      </c>
      <c r="E122" s="57" t="str">
        <f>IFERROR(__xludf.DUMMYFUNCTION("""COMPUTED_VALUE"""),"Trung Quốc")</f>
        <v>Trung Quốc</v>
      </c>
      <c r="F122" s="5">
        <f>IFERROR(__xludf.DUMMYFUNCTION("""COMPUTED_VALUE"""),2025.0)</f>
        <v>2025</v>
      </c>
      <c r="G122" s="5" t="str">
        <f>IFERROR(__xludf.DUMMYFUNCTION("""COMPUTED_VALUE"""),"1504")</f>
        <v>1504</v>
      </c>
      <c r="H122" s="5" t="str">
        <f>IFERROR(__xludf.DUMMYFUNCTION("""COMPUTED_VALUE"""),"150HP")</f>
        <v>150HP</v>
      </c>
      <c r="I122" s="5" t="str">
        <f>IFERROR(__xludf.DUMMYFUNCTION("""COMPUTED_VALUE"""),"M600279SX")</f>
        <v>M600279SX</v>
      </c>
      <c r="J122" s="5" t="str">
        <f>IFERROR(__xludf.DUMMYFUNCTION("""COMPUTED_VALUE"""),"WP6G180E3306P25J023348")</f>
        <v>WP6G180E3306P25J023348</v>
      </c>
      <c r="K122" s="5">
        <f>IFERROR(__xludf.DUMMYFUNCTION("""COMPUTED_VALUE"""),13.0)</f>
        <v>13</v>
      </c>
      <c r="L122" s="5" t="str">
        <f>IFERROR(__xludf.DUMMYFUNCTION("""COMPUTED_VALUE"""),"KLH")</f>
        <v>KLH</v>
      </c>
    </row>
    <row r="123">
      <c r="A123" s="42" t="str">
        <f>IFERROR(__xludf.DUMMYFUNCTION("""COMPUTED_VALUE"""),"CNN-MKE-039")</f>
        <v>CNN-MKE-039</v>
      </c>
      <c r="B123" s="3" t="str">
        <f>IFERROR(__xludf.DUMMYFUNCTION("""COMPUTED_VALUE"""),"Máy cày JD 3350")</f>
        <v>Máy cày JD 3350</v>
      </c>
      <c r="C123" s="5" t="str">
        <f>IFERROR(__xludf.DUMMYFUNCTION("""COMPUTED_VALUE"""),"CGLĐ DP")</f>
        <v>CGLĐ DP</v>
      </c>
      <c r="D123" s="5" t="str">
        <f>IFERROR(__xludf.DUMMYFUNCTION("""COMPUTED_VALUE"""),"JOHNDEERE")</f>
        <v>JOHNDEERE</v>
      </c>
      <c r="E123" s="57" t="str">
        <f>IFERROR(__xludf.DUMMYFUNCTION("""COMPUTED_VALUE"""),"TRUNG QUỐC")</f>
        <v>TRUNG QUỐC</v>
      </c>
      <c r="F123" s="5">
        <f>IFERROR(__xludf.DUMMYFUNCTION("""COMPUTED_VALUE"""),1993.0)</f>
        <v>1993</v>
      </c>
      <c r="G123" s="5" t="str">
        <f>IFERROR(__xludf.DUMMYFUNCTION("""COMPUTED_VALUE"""),"3350")</f>
        <v>3350</v>
      </c>
      <c r="H123" s="5" t="str">
        <f>IFERROR(__xludf.DUMMYFUNCTION("""COMPUTED_VALUE"""),"100HP")</f>
        <v>100HP</v>
      </c>
      <c r="I123" s="5" t="str">
        <f>IFERROR(__xludf.DUMMYFUNCTION("""COMPUTED_VALUE"""),"636964L")</f>
        <v>636964L</v>
      </c>
      <c r="J123" s="5" t="str">
        <f>IFERROR(__xludf.DUMMYFUNCTION("""COMPUTED_VALUE"""),"CD6359D776913")</f>
        <v>CD6359D776913</v>
      </c>
      <c r="K123" s="5"/>
      <c r="L123" s="5" t="str">
        <f>IFERROR(__xludf.DUMMYFUNCTION("""COMPUTED_VALUE"""),"KLH")</f>
        <v>KLH</v>
      </c>
    </row>
    <row r="124">
      <c r="A124" s="42" t="str">
        <f>IFERROR(__xludf.DUMMYFUNCTION("""COMPUTED_VALUE"""),"BCG-LBR-003")</f>
        <v>BCG-LBR-003</v>
      </c>
      <c r="B124" s="3" t="str">
        <f>IFERROR(__xludf.DUMMYFUNCTION("""COMPUTED_VALUE"""),"Xe tải Libero")</f>
        <v>Xe tải Libero</v>
      </c>
      <c r="C124" s="5" t="str">
        <f>IFERROR(__xludf.DUMMYFUNCTION("""COMPUTED_VALUE"""),"CGLĐ DP")</f>
        <v>CGLĐ DP</v>
      </c>
      <c r="D124" s="5" t="str">
        <f>IFERROR(__xludf.DUMMYFUNCTION("""COMPUTED_VALUE"""),"LIBERO")</f>
        <v>LIBERO</v>
      </c>
      <c r="E124" s="57"/>
      <c r="F124" s="5"/>
      <c r="G124" s="5"/>
      <c r="H124" s="5"/>
      <c r="I124" s="5" t="str">
        <f>IFERROR(__xludf.DUMMYFUNCTION("""COMPUTED_VALUE"""),"KMFYKS7HPYU0116")</f>
        <v>KMFYKS7HPYU0116</v>
      </c>
      <c r="J124" s="5" t="str">
        <f>IFERROR(__xludf.DUMMYFUNCTION("""COMPUTED_VALUE"""),"D4BHY032368")</f>
        <v>D4BHY032368</v>
      </c>
      <c r="K124" s="5"/>
      <c r="L124" s="5" t="str">
        <f>IFERROR(__xludf.DUMMYFUNCTION("""COMPUTED_VALUE"""),"KLH")</f>
        <v>KLH</v>
      </c>
    </row>
    <row r="125">
      <c r="A125" s="135" t="str">
        <f>IFERROR(__xludf.DUMMYFUNCTION("""COMPUTED_VALUE"""),"Cơ giới làm đất LP")</f>
        <v>Cơ giới làm đất LP</v>
      </c>
      <c r="B125" s="3"/>
      <c r="C125" s="5"/>
      <c r="D125" s="5"/>
      <c r="E125" s="57"/>
      <c r="F125" s="5"/>
      <c r="G125" s="5"/>
      <c r="H125" s="5"/>
      <c r="I125" s="5"/>
      <c r="J125" s="5"/>
      <c r="K125" s="5"/>
      <c r="L125" s="5" t="str">
        <f>IFERROR(__xludf.DUMMYFUNCTION("""COMPUTED_VALUE"""),"KLH")</f>
        <v>KLH</v>
      </c>
    </row>
    <row r="126">
      <c r="A126" s="42" t="str">
        <f>IFERROR(__xludf.DUMMYFUNCTION("""COMPUTED_VALUE"""),"CNN-MKE-011")</f>
        <v>CNN-MKE-011</v>
      </c>
      <c r="B126" s="3" t="str">
        <f>IFERROR(__xludf.DUMMYFUNCTION("""COMPUTED_VALUE"""),"Máy cày JD 6603")</f>
        <v>Máy cày JD 6603</v>
      </c>
      <c r="C126" s="5" t="str">
        <f>IFERROR(__xludf.DUMMYFUNCTION("""COMPUTED_VALUE"""),"CGLĐ LP")</f>
        <v>CGLĐ LP</v>
      </c>
      <c r="D126" s="5" t="str">
        <f>IFERROR(__xludf.DUMMYFUNCTION("""COMPUTED_VALUE"""),"JOHN DEERE")</f>
        <v>JOHN DEERE</v>
      </c>
      <c r="E126" s="57" t="str">
        <f>IFERROR(__xludf.DUMMYFUNCTION("""COMPUTED_VALUE"""),"MỸ")</f>
        <v>MỸ</v>
      </c>
      <c r="F126" s="5">
        <f>IFERROR(__xludf.DUMMYFUNCTION("""COMPUTED_VALUE"""),2018.0)</f>
        <v>2018</v>
      </c>
      <c r="G126" s="5" t="str">
        <f>IFERROR(__xludf.DUMMYFUNCTION("""COMPUTED_VALUE"""),"6603")</f>
        <v>6603</v>
      </c>
      <c r="H126" s="5" t="str">
        <f>IFERROR(__xludf.DUMMYFUNCTION("""COMPUTED_VALUE"""),"120HP")</f>
        <v>120HP</v>
      </c>
      <c r="I126" s="5" t="str">
        <f>IFERROR(__xludf.DUMMYFUNCTION("""COMPUTED_VALUE"""),"32607")</f>
        <v>32607</v>
      </c>
      <c r="J126" s="5" t="str">
        <f>IFERROR(__xludf.DUMMYFUNCTION("""COMPUTED_VALUE"""),"CCN")</f>
        <v>CCN</v>
      </c>
      <c r="K126" s="5">
        <f>IFERROR(__xludf.DUMMYFUNCTION("""COMPUTED_VALUE"""),9.0)</f>
        <v>9</v>
      </c>
      <c r="L126" s="5" t="str">
        <f>IFERROR(__xludf.DUMMYFUNCTION("""COMPUTED_VALUE"""),"KLH")</f>
        <v>KLH</v>
      </c>
    </row>
    <row r="127">
      <c r="A127" s="42" t="str">
        <f>IFERROR(__xludf.DUMMYFUNCTION("""COMPUTED_VALUE"""),"CNN-MKE-012")</f>
        <v>CNN-MKE-012</v>
      </c>
      <c r="B127" s="3" t="str">
        <f>IFERROR(__xludf.DUMMYFUNCTION("""COMPUTED_VALUE"""),"Máy cày JD 6603")</f>
        <v>Máy cày JD 6603</v>
      </c>
      <c r="C127" s="5" t="str">
        <f>IFERROR(__xludf.DUMMYFUNCTION("""COMPUTED_VALUE"""),"CGLĐ LP")</f>
        <v>CGLĐ LP</v>
      </c>
      <c r="D127" s="5" t="str">
        <f>IFERROR(__xludf.DUMMYFUNCTION("""COMPUTED_VALUE"""),"JOHN DEERE")</f>
        <v>JOHN DEERE</v>
      </c>
      <c r="E127" s="57" t="str">
        <f>IFERROR(__xludf.DUMMYFUNCTION("""COMPUTED_VALUE"""),"MỸ")</f>
        <v>MỸ</v>
      </c>
      <c r="F127" s="5">
        <f>IFERROR(__xludf.DUMMYFUNCTION("""COMPUTED_VALUE"""),2018.0)</f>
        <v>2018</v>
      </c>
      <c r="G127" s="5" t="str">
        <f>IFERROR(__xludf.DUMMYFUNCTION("""COMPUTED_VALUE"""),"6603")</f>
        <v>6603</v>
      </c>
      <c r="H127" s="5" t="str">
        <f>IFERROR(__xludf.DUMMYFUNCTION("""COMPUTED_VALUE"""),"120HP")</f>
        <v>120HP</v>
      </c>
      <c r="I127" s="5" t="str">
        <f>IFERROR(__xludf.DUMMYFUNCTION("""COMPUTED_VALUE"""),"J0033179")</f>
        <v>J0033179</v>
      </c>
      <c r="J127" s="5" t="str">
        <f>IFERROR(__xludf.DUMMYFUNCTION("""COMPUTED_VALUE"""),"05958")</f>
        <v>05958</v>
      </c>
      <c r="K127" s="5">
        <f>IFERROR(__xludf.DUMMYFUNCTION("""COMPUTED_VALUE"""),9.0)</f>
        <v>9</v>
      </c>
      <c r="L127" s="5" t="str">
        <f>IFERROR(__xludf.DUMMYFUNCTION("""COMPUTED_VALUE"""),"KLH")</f>
        <v>KLH</v>
      </c>
    </row>
    <row r="128">
      <c r="A128" s="42" t="str">
        <f>IFERROR(__xludf.DUMMYFUNCTION("""COMPUTED_VALUE"""),"CNN-MKE-013")</f>
        <v>CNN-MKE-013</v>
      </c>
      <c r="B128" s="3" t="str">
        <f>IFERROR(__xludf.DUMMYFUNCTION("""COMPUTED_VALUE"""),"Máy cày JD 6603")</f>
        <v>Máy cày JD 6603</v>
      </c>
      <c r="C128" s="5" t="str">
        <f>IFERROR(__xludf.DUMMYFUNCTION("""COMPUTED_VALUE"""),"CGLĐ LP")</f>
        <v>CGLĐ LP</v>
      </c>
      <c r="D128" s="5" t="str">
        <f>IFERROR(__xludf.DUMMYFUNCTION("""COMPUTED_VALUE"""),"JOHN DEERE")</f>
        <v>JOHN DEERE</v>
      </c>
      <c r="E128" s="57" t="str">
        <f>IFERROR(__xludf.DUMMYFUNCTION("""COMPUTED_VALUE"""),"MỸ")</f>
        <v>MỸ</v>
      </c>
      <c r="F128" s="5">
        <f>IFERROR(__xludf.DUMMYFUNCTION("""COMPUTED_VALUE"""),2018.0)</f>
        <v>2018</v>
      </c>
      <c r="G128" s="5" t="str">
        <f>IFERROR(__xludf.DUMMYFUNCTION("""COMPUTED_VALUE"""),"6603")</f>
        <v>6603</v>
      </c>
      <c r="H128" s="5" t="str">
        <f>IFERROR(__xludf.DUMMYFUNCTION("""COMPUTED_VALUE"""),"120HP")</f>
        <v>120HP</v>
      </c>
      <c r="I128" s="5" t="str">
        <f>IFERROR(__xludf.DUMMYFUNCTION("""COMPUTED_VALUE"""),"1P06603XLJ0032211")</f>
        <v>1P06603XLJ0032211</v>
      </c>
      <c r="J128" s="5" t="str">
        <f>IFERROR(__xludf.DUMMYFUNCTION("""COMPUTED_VALUE"""),"PE6068E003752")</f>
        <v>PE6068E003752</v>
      </c>
      <c r="K128" s="5">
        <f>IFERROR(__xludf.DUMMYFUNCTION("""COMPUTED_VALUE"""),9.0)</f>
        <v>9</v>
      </c>
      <c r="L128" s="5" t="str">
        <f>IFERROR(__xludf.DUMMYFUNCTION("""COMPUTED_VALUE"""),"KLH")</f>
        <v>KLH</v>
      </c>
    </row>
    <row r="129">
      <c r="A129" s="42" t="str">
        <f>IFERROR(__xludf.DUMMYFUNCTION("""COMPUTED_VALUE"""),"CNN-MKE-021")</f>
        <v>CNN-MKE-021</v>
      </c>
      <c r="B129" s="3" t="str">
        <f>IFERROR(__xludf.DUMMYFUNCTION("""COMPUTED_VALUE"""),"Máy cày JD 6120B")</f>
        <v>Máy cày JD 6120B</v>
      </c>
      <c r="C129" s="5" t="str">
        <f>IFERROR(__xludf.DUMMYFUNCTION("""COMPUTED_VALUE"""),"CGLĐ LP")</f>
        <v>CGLĐ LP</v>
      </c>
      <c r="D129" s="5" t="str">
        <f>IFERROR(__xludf.DUMMYFUNCTION("""COMPUTED_VALUE"""),"JOHN DEERE")</f>
        <v>JOHN DEERE</v>
      </c>
      <c r="E129" s="57" t="str">
        <f>IFERROR(__xludf.DUMMYFUNCTION("""COMPUTED_VALUE"""),"MỸ")</f>
        <v>MỸ</v>
      </c>
      <c r="F129" s="5">
        <f>IFERROR(__xludf.DUMMYFUNCTION("""COMPUTED_VALUE"""),2022.0)</f>
        <v>2022</v>
      </c>
      <c r="G129" s="5" t="str">
        <f>IFERROR(__xludf.DUMMYFUNCTION("""COMPUTED_VALUE"""),"6120B")</f>
        <v>6120B</v>
      </c>
      <c r="H129" s="5" t="str">
        <f>IFERROR(__xludf.DUMMYFUNCTION("""COMPUTED_VALUE"""),"120HP")</f>
        <v>120HP</v>
      </c>
      <c r="I129" s="5" t="str">
        <f>IFERROR(__xludf.DUMMYFUNCTION("""COMPUTED_VALUE"""),"1YR6120BERD210219")</f>
        <v>1YR6120BERD210219</v>
      </c>
      <c r="J129" s="5" t="str">
        <f>IFERROR(__xludf.DUMMYFUNCTION("""COMPUTED_VALUE"""),"PE4045N035800")</f>
        <v>PE4045N035800</v>
      </c>
      <c r="K129" s="5">
        <f>IFERROR(__xludf.DUMMYFUNCTION("""COMPUTED_VALUE"""),9.5)</f>
        <v>9.5</v>
      </c>
      <c r="L129" s="5" t="str">
        <f>IFERROR(__xludf.DUMMYFUNCTION("""COMPUTED_VALUE"""),"KLH")</f>
        <v>KLH</v>
      </c>
    </row>
    <row r="130">
      <c r="A130" s="135" t="str">
        <f>IFERROR(__xludf.DUMMYFUNCTION("""COMPUTED_VALUE"""),"CNN-MKE-017")</f>
        <v>CNN-MKE-017</v>
      </c>
      <c r="B130" s="3" t="str">
        <f>IFERROR(__xludf.DUMMYFUNCTION("""COMPUTED_VALUE"""),"Máy cày JD 5090E")</f>
        <v>Máy cày JD 5090E</v>
      </c>
      <c r="C130" s="5" t="str">
        <f>IFERROR(__xludf.DUMMYFUNCTION("""COMPUTED_VALUE"""),"CGLĐ LP")</f>
        <v>CGLĐ LP</v>
      </c>
      <c r="D130" s="5" t="str">
        <f>IFERROR(__xludf.DUMMYFUNCTION("""COMPUTED_VALUE"""),"JOHN DEERE")</f>
        <v>JOHN DEERE</v>
      </c>
      <c r="E130" s="57" t="str">
        <f>IFERROR(__xludf.DUMMYFUNCTION("""COMPUTED_VALUE"""),"MỸ")</f>
        <v>MỸ</v>
      </c>
      <c r="F130" s="5">
        <f>IFERROR(__xludf.DUMMYFUNCTION("""COMPUTED_VALUE"""),2022.0)</f>
        <v>2022</v>
      </c>
      <c r="G130" s="5" t="str">
        <f>IFERROR(__xludf.DUMMYFUNCTION("""COMPUTED_VALUE"""),"5090")</f>
        <v>5090</v>
      </c>
      <c r="H130" s="5" t="str">
        <f>IFERROR(__xludf.DUMMYFUNCTION("""COMPUTED_VALUE"""),"90HP")</f>
        <v>90HP</v>
      </c>
      <c r="I130" s="5" t="str">
        <f>IFERROR(__xludf.DUMMYFUNCTION("""COMPUTED_VALUE"""),"1P05090EHN4073538")</f>
        <v>1P05090EHN4073538</v>
      </c>
      <c r="J130" s="5" t="str">
        <f>IFERROR(__xludf.DUMMYFUNCTION("""COMPUTED_VALUE"""),"PE4045E027590")</f>
        <v>PE4045E027590</v>
      </c>
      <c r="K130" s="5">
        <f>IFERROR(__xludf.DUMMYFUNCTION("""COMPUTED_VALUE"""),6.0)</f>
        <v>6</v>
      </c>
      <c r="L130" s="5" t="str">
        <f>IFERROR(__xludf.DUMMYFUNCTION("""COMPUTED_VALUE"""),"KLH")</f>
        <v>KLH</v>
      </c>
    </row>
    <row r="131">
      <c r="A131" s="42" t="str">
        <f>IFERROR(__xludf.DUMMYFUNCTION("""COMPUTED_VALUE"""),"CNN-MKE-025")</f>
        <v>CNN-MKE-025</v>
      </c>
      <c r="B131" s="3" t="str">
        <f>IFERROR(__xludf.DUMMYFUNCTION("""COMPUTED_VALUE"""),"Máy cày JD 6155J")</f>
        <v>Máy cày JD 6155J</v>
      </c>
      <c r="C131" s="5" t="str">
        <f>IFERROR(__xludf.DUMMYFUNCTION("""COMPUTED_VALUE"""),"CGLĐ LP")</f>
        <v>CGLĐ LP</v>
      </c>
      <c r="D131" s="5" t="str">
        <f>IFERROR(__xludf.DUMMYFUNCTION("""COMPUTED_VALUE"""),"JOHN DEERE")</f>
        <v>JOHN DEERE</v>
      </c>
      <c r="E131" s="57" t="str">
        <f>IFERROR(__xludf.DUMMYFUNCTION("""COMPUTED_VALUE"""),"MỸ")</f>
        <v>MỸ</v>
      </c>
      <c r="F131" s="5">
        <f>IFERROR(__xludf.DUMMYFUNCTION("""COMPUTED_VALUE"""),2022.0)</f>
        <v>2022</v>
      </c>
      <c r="G131" s="5" t="str">
        <f>IFERROR(__xludf.DUMMYFUNCTION("""COMPUTED_VALUE"""),"6155J")</f>
        <v>6155J</v>
      </c>
      <c r="H131" s="5" t="str">
        <f>IFERROR(__xludf.DUMMYFUNCTION("""COMPUTED_VALUE"""),"155HP")</f>
        <v>155HP</v>
      </c>
      <c r="I131" s="5" t="str">
        <f>IFERROR(__xludf.DUMMYFUNCTION("""COMPUTED_VALUE"""),"1P06155JJP8010850")</f>
        <v>1P06155JJP8010850</v>
      </c>
      <c r="J131" s="5" t="str">
        <f>IFERROR(__xludf.DUMMYFUNCTION("""COMPUTED_VALUE"""),"PE6068J008148")</f>
        <v>PE6068J008148</v>
      </c>
      <c r="K131" s="5">
        <f>IFERROR(__xludf.DUMMYFUNCTION("""COMPUTED_VALUE"""),14.0)</f>
        <v>14</v>
      </c>
      <c r="L131" s="5" t="str">
        <f>IFERROR(__xludf.DUMMYFUNCTION("""COMPUTED_VALUE"""),"KLH")</f>
        <v>KLH</v>
      </c>
    </row>
    <row r="132">
      <c r="A132" s="135" t="str">
        <f>IFERROR(__xludf.DUMMYFUNCTION("""COMPUTED_VALUE"""),"CNN-MKE-023")</f>
        <v>CNN-MKE-023</v>
      </c>
      <c r="B132" s="3" t="str">
        <f>IFERROR(__xludf.DUMMYFUNCTION("""COMPUTED_VALUE"""),"Máy cày M6040")</f>
        <v>Máy cày M6040</v>
      </c>
      <c r="C132" s="5" t="str">
        <f>IFERROR(__xludf.DUMMYFUNCTION("""COMPUTED_VALUE"""),"CGLĐ LP")</f>
        <v>CGLĐ LP</v>
      </c>
      <c r="D132" s="5" t="str">
        <f>IFERROR(__xludf.DUMMYFUNCTION("""COMPUTED_VALUE"""),"KUBOTA")</f>
        <v>KUBOTA</v>
      </c>
      <c r="E132" s="57" t="str">
        <f>IFERROR(__xludf.DUMMYFUNCTION("""COMPUTED_VALUE"""),"NHẬT BẢN")</f>
        <v>NHẬT BẢN</v>
      </c>
      <c r="F132" s="5">
        <f>IFERROR(__xludf.DUMMYFUNCTION("""COMPUTED_VALUE"""),2013.0)</f>
        <v>2013</v>
      </c>
      <c r="G132" s="5" t="str">
        <f>IFERROR(__xludf.DUMMYFUNCTION("""COMPUTED_VALUE"""),"M6040")</f>
        <v>M6040</v>
      </c>
      <c r="H132" s="5" t="str">
        <f>IFERROR(__xludf.DUMMYFUNCTION("""COMPUTED_VALUE"""),"60HP")</f>
        <v>60HP</v>
      </c>
      <c r="I132" s="5" t="str">
        <f>IFERROR(__xludf.DUMMYFUNCTION("""COMPUTED_VALUE"""),"57548")</f>
        <v>57548</v>
      </c>
      <c r="J132" s="5" t="str">
        <f>IFERROR(__xludf.DUMMYFUNCTION("""COMPUTED_VALUE"""),"CCN")</f>
        <v>CCN</v>
      </c>
      <c r="K132" s="5">
        <f>IFERROR(__xludf.DUMMYFUNCTION("""COMPUTED_VALUE"""),3.5)</f>
        <v>3.5</v>
      </c>
      <c r="L132" s="5" t="str">
        <f>IFERROR(__xludf.DUMMYFUNCTION("""COMPUTED_VALUE"""),"KLH")</f>
        <v>KLH</v>
      </c>
    </row>
    <row r="133">
      <c r="A133" s="42" t="str">
        <f>IFERROR(__xludf.DUMMYFUNCTION("""COMPUTED_VALUE"""),"CNN-MKE-026")</f>
        <v>CNN-MKE-026</v>
      </c>
      <c r="B133" s="3" t="str">
        <f>IFERROR(__xludf.DUMMYFUNCTION("""COMPUTED_VALUE"""),"Máy cày JD 6400")</f>
        <v>Máy cày JD 6400</v>
      </c>
      <c r="C133" s="5" t="str">
        <f>IFERROR(__xludf.DUMMYFUNCTION("""COMPUTED_VALUE"""),"CGLĐ LP")</f>
        <v>CGLĐ LP</v>
      </c>
      <c r="D133" s="5" t="str">
        <f>IFERROR(__xludf.DUMMYFUNCTION("""COMPUTED_VALUE"""),"JOHN DEERE")</f>
        <v>JOHN DEERE</v>
      </c>
      <c r="E133" s="57" t="str">
        <f>IFERROR(__xludf.DUMMYFUNCTION("""COMPUTED_VALUE"""),"ĐỨC")</f>
        <v>ĐỨC</v>
      </c>
      <c r="F133" s="5">
        <f>IFERROR(__xludf.DUMMYFUNCTION("""COMPUTED_VALUE"""),1998.0)</f>
        <v>1998</v>
      </c>
      <c r="G133" s="5" t="str">
        <f>IFERROR(__xludf.DUMMYFUNCTION("""COMPUTED_VALUE"""),"6400")</f>
        <v>6400</v>
      </c>
      <c r="H133" s="5" t="str">
        <f>IFERROR(__xludf.DUMMYFUNCTION("""COMPUTED_VALUE"""),"100HP")</f>
        <v>100HP</v>
      </c>
      <c r="I133" s="5" t="str">
        <f>IFERROR(__xludf.DUMMYFUNCTION("""COMPUTED_VALUE"""),"L06400V127612")</f>
        <v>L06400V127612</v>
      </c>
      <c r="J133" s="5" t="str">
        <f>IFERROR(__xludf.DUMMYFUNCTION("""COMPUTED_VALUE"""),"CD4045T744536")</f>
        <v>CD4045T744536</v>
      </c>
      <c r="K133" s="5">
        <f>IFERROR(__xludf.DUMMYFUNCTION("""COMPUTED_VALUE"""),6.0)</f>
        <v>6</v>
      </c>
      <c r="L133" s="5" t="str">
        <f>IFERROR(__xludf.DUMMYFUNCTION("""COMPUTED_VALUE"""),"KLH")</f>
        <v>KLH</v>
      </c>
    </row>
    <row r="134">
      <c r="A134" s="42" t="str">
        <f>IFERROR(__xludf.DUMMYFUNCTION("""COMPUTED_VALUE"""),"CNN-MKE-029")</f>
        <v>CNN-MKE-029</v>
      </c>
      <c r="B134" s="3" t="str">
        <f>IFERROR(__xludf.DUMMYFUNCTION("""COMPUTED_VALUE"""),"Máy cày LOVOL 1504")</f>
        <v>Máy cày LOVOL 1504</v>
      </c>
      <c r="C134" s="5" t="str">
        <f>IFERROR(__xludf.DUMMYFUNCTION("""COMPUTED_VALUE"""),"CGLĐ LP")</f>
        <v>CGLĐ LP</v>
      </c>
      <c r="D134" s="5" t="str">
        <f>IFERROR(__xludf.DUMMYFUNCTION("""COMPUTED_VALUE"""),"LOVOL")</f>
        <v>LOVOL</v>
      </c>
      <c r="E134" s="57" t="str">
        <f>IFERROR(__xludf.DUMMYFUNCTION("""COMPUTED_VALUE"""),"Trung Quốc")</f>
        <v>Trung Quốc</v>
      </c>
      <c r="F134" s="5">
        <f>IFERROR(__xludf.DUMMYFUNCTION("""COMPUTED_VALUE"""),2024.0)</f>
        <v>2024</v>
      </c>
      <c r="G134" s="5" t="str">
        <f>IFERROR(__xludf.DUMMYFUNCTION("""COMPUTED_VALUE"""),"1504")</f>
        <v>1504</v>
      </c>
      <c r="H134" s="5" t="str">
        <f>IFERROR(__xludf.DUMMYFUNCTION("""COMPUTED_VALUE"""),"147HP")</f>
        <v>147HP</v>
      </c>
      <c r="I134" s="5" t="str">
        <f>IFERROR(__xludf.DUMMYFUNCTION("""COMPUTED_VALUE"""),"6P23C005870")</f>
        <v>6P23C005870</v>
      </c>
      <c r="J134" s="5" t="str">
        <f>IFERROR(__xludf.DUMMYFUNCTION("""COMPUTED_VALUE"""),"CCN")</f>
        <v>CCN</v>
      </c>
      <c r="K134" s="5">
        <f>IFERROR(__xludf.DUMMYFUNCTION("""COMPUTED_VALUE"""),13.0)</f>
        <v>13</v>
      </c>
      <c r="L134" s="5" t="str">
        <f>IFERROR(__xludf.DUMMYFUNCTION("""COMPUTED_VALUE"""),"KLH")</f>
        <v>KLH</v>
      </c>
    </row>
    <row r="135">
      <c r="A135" s="42" t="str">
        <f>IFERROR(__xludf.DUMMYFUNCTION("""COMPUTED_VALUE"""),"CNN-MKE-030")</f>
        <v>CNN-MKE-030</v>
      </c>
      <c r="B135" s="3" t="str">
        <f>IFERROR(__xludf.DUMMYFUNCTION("""COMPUTED_VALUE"""),"Máy cày JD 3350")</f>
        <v>Máy cày JD 3350</v>
      </c>
      <c r="C135" s="5" t="str">
        <f>IFERROR(__xludf.DUMMYFUNCTION("""COMPUTED_VALUE"""),"CGLĐ LP")</f>
        <v>CGLĐ LP</v>
      </c>
      <c r="D135" s="5" t="str">
        <f>IFERROR(__xludf.DUMMYFUNCTION("""COMPUTED_VALUE"""),"JOHN DEERE")</f>
        <v>JOHN DEERE</v>
      </c>
      <c r="E135" s="57" t="str">
        <f>IFERROR(__xludf.DUMMYFUNCTION("""COMPUTED_VALUE"""),"ĐỨC")</f>
        <v>ĐỨC</v>
      </c>
      <c r="F135" s="5">
        <f>IFERROR(__xludf.DUMMYFUNCTION("""COMPUTED_VALUE"""),1993.0)</f>
        <v>1993</v>
      </c>
      <c r="G135" s="5" t="str">
        <f>IFERROR(__xludf.DUMMYFUNCTION("""COMPUTED_VALUE"""),"3350")</f>
        <v>3350</v>
      </c>
      <c r="H135" s="5" t="str">
        <f>IFERROR(__xludf.DUMMYFUNCTION("""COMPUTED_VALUE"""),"100HP")</f>
        <v>100HP</v>
      </c>
      <c r="I135" s="5" t="str">
        <f>IFERROR(__xludf.DUMMYFUNCTION("""COMPUTED_VALUE"""),"608107")</f>
        <v>608107</v>
      </c>
      <c r="J135" s="5" t="str">
        <f>IFERROR(__xludf.DUMMYFUNCTION("""COMPUTED_VALUE"""),"CD0635-90696675")</f>
        <v>CD0635-90696675</v>
      </c>
      <c r="K135" s="5">
        <f>IFERROR(__xludf.DUMMYFUNCTION("""COMPUTED_VALUE"""),6.5)</f>
        <v>6.5</v>
      </c>
      <c r="L135" s="5" t="str">
        <f>IFERROR(__xludf.DUMMYFUNCTION("""COMPUTED_VALUE"""),"KLH")</f>
        <v>KLH</v>
      </c>
    </row>
    <row r="136">
      <c r="A136" s="135" t="str">
        <f>IFERROR(__xludf.DUMMYFUNCTION("""COMPUTED_VALUE"""),"CNN-MKE-031")</f>
        <v>CNN-MKE-031</v>
      </c>
      <c r="B136" s="3" t="str">
        <f>IFERROR(__xludf.DUMMYFUNCTION("""COMPUTED_VALUE"""),"Máy cày JD 3650")</f>
        <v>Máy cày JD 3650</v>
      </c>
      <c r="C136" s="5" t="str">
        <f>IFERROR(__xludf.DUMMYFUNCTION("""COMPUTED_VALUE"""),"CGLĐ LP")</f>
        <v>CGLĐ LP</v>
      </c>
      <c r="D136" s="5" t="str">
        <f>IFERROR(__xludf.DUMMYFUNCTION("""COMPUTED_VALUE"""),"JOHN DEERE")</f>
        <v>JOHN DEERE</v>
      </c>
      <c r="E136" s="57" t="str">
        <f>IFERROR(__xludf.DUMMYFUNCTION("""COMPUTED_VALUE"""),"ĐỨC")</f>
        <v>ĐỨC</v>
      </c>
      <c r="F136" s="5">
        <f>IFERROR(__xludf.DUMMYFUNCTION("""COMPUTED_VALUE"""),1993.0)</f>
        <v>1993</v>
      </c>
      <c r="G136" s="5" t="str">
        <f>IFERROR(__xludf.DUMMYFUNCTION("""COMPUTED_VALUE"""),"3650")</f>
        <v>3650</v>
      </c>
      <c r="H136" s="5" t="str">
        <f>IFERROR(__xludf.DUMMYFUNCTION("""COMPUTED_VALUE"""),"115HP")</f>
        <v>115HP</v>
      </c>
      <c r="I136" s="5" t="str">
        <f>IFERROR(__xludf.DUMMYFUNCTION("""COMPUTED_VALUE"""),"U573763")</f>
        <v>U573763</v>
      </c>
      <c r="J136" s="5" t="str">
        <f>IFERROR(__xludf.DUMMYFUNCTION("""COMPUTED_VALUE"""),"149701CD")</f>
        <v>149701CD</v>
      </c>
      <c r="K136" s="5">
        <f>IFERROR(__xludf.DUMMYFUNCTION("""COMPUTED_VALUE"""),9.4)</f>
        <v>9.4</v>
      </c>
      <c r="L136" s="5" t="str">
        <f>IFERROR(__xludf.DUMMYFUNCTION("""COMPUTED_VALUE"""),"KLH")</f>
        <v>KLH</v>
      </c>
    </row>
    <row r="137">
      <c r="A137" s="42" t="str">
        <f>IFERROR(__xludf.DUMMYFUNCTION("""COMPUTED_VALUE"""),"CNN-MKE-036")</f>
        <v>CNN-MKE-036</v>
      </c>
      <c r="B137" s="3" t="str">
        <f>IFERROR(__xludf.DUMMYFUNCTION("""COMPUTED_VALUE"""),"Máy cày JD 3640")</f>
        <v>Máy cày JD 3640</v>
      </c>
      <c r="C137" s="5" t="str">
        <f>IFERROR(__xludf.DUMMYFUNCTION("""COMPUTED_VALUE"""),"CGLĐ LP")</f>
        <v>CGLĐ LP</v>
      </c>
      <c r="D137" s="5" t="str">
        <f>IFERROR(__xludf.DUMMYFUNCTION("""COMPUTED_VALUE"""),"JOHN DEERE")</f>
        <v>JOHN DEERE</v>
      </c>
      <c r="E137" s="57" t="str">
        <f>IFERROR(__xludf.DUMMYFUNCTION("""COMPUTED_VALUE"""),"ĐỨC")</f>
        <v>ĐỨC</v>
      </c>
      <c r="F137" s="5">
        <f>IFERROR(__xludf.DUMMYFUNCTION("""COMPUTED_VALUE"""),1987.0)</f>
        <v>1987</v>
      </c>
      <c r="G137" s="5" t="str">
        <f>IFERROR(__xludf.DUMMYFUNCTION("""COMPUTED_VALUE"""),"3640")</f>
        <v>3640</v>
      </c>
      <c r="H137" s="5" t="str">
        <f>IFERROR(__xludf.DUMMYFUNCTION("""COMPUTED_VALUE"""),"115HP")</f>
        <v>115HP</v>
      </c>
      <c r="I137" s="5" t="str">
        <f>IFERROR(__xludf.DUMMYFUNCTION("""COMPUTED_VALUE"""),"579925L")</f>
        <v>579925L</v>
      </c>
      <c r="J137" s="5" t="str">
        <f>IFERROR(__xludf.DUMMYFUNCTION("""COMPUTED_VALUE"""),"CD6359D704281")</f>
        <v>CD6359D704281</v>
      </c>
      <c r="K137" s="5"/>
      <c r="L137" s="5" t="str">
        <f>IFERROR(__xludf.DUMMYFUNCTION("""COMPUTED_VALUE"""),"KLH")</f>
        <v>KLH</v>
      </c>
    </row>
    <row r="138">
      <c r="A138" s="42" t="str">
        <f>IFERROR(__xludf.DUMMYFUNCTION("""COMPUTED_VALUE"""),"CNN-MKE-037")</f>
        <v>CNN-MKE-037</v>
      </c>
      <c r="B138" s="3" t="str">
        <f>IFERROR(__xludf.DUMMYFUNCTION("""COMPUTED_VALUE"""),"Máy cày JD 6300")</f>
        <v>Máy cày JD 6300</v>
      </c>
      <c r="C138" s="5" t="str">
        <f>IFERROR(__xludf.DUMMYFUNCTION("""COMPUTED_VALUE"""),"CGLĐ LP")</f>
        <v>CGLĐ LP</v>
      </c>
      <c r="D138" s="5" t="str">
        <f>IFERROR(__xludf.DUMMYFUNCTION("""COMPUTED_VALUE"""),"JOHN DEERE")</f>
        <v>JOHN DEERE</v>
      </c>
      <c r="E138" s="57" t="str">
        <f>IFERROR(__xludf.DUMMYFUNCTION("""COMPUTED_VALUE"""),"ĐỨC")</f>
        <v>ĐỨC</v>
      </c>
      <c r="F138" s="5">
        <f>IFERROR(__xludf.DUMMYFUNCTION("""COMPUTED_VALUE"""),1994.0)</f>
        <v>1994</v>
      </c>
      <c r="G138" s="5" t="str">
        <f>IFERROR(__xludf.DUMMYFUNCTION("""COMPUTED_VALUE"""),"6300")</f>
        <v>6300</v>
      </c>
      <c r="H138" s="5" t="str">
        <f>IFERROR(__xludf.DUMMYFUNCTION("""COMPUTED_VALUE"""),"110HP")</f>
        <v>110HP</v>
      </c>
      <c r="I138" s="5" t="str">
        <f>IFERROR(__xludf.DUMMYFUNCTION("""COMPUTED_VALUE"""),"L06100X111345")</f>
        <v>L06100X111345</v>
      </c>
      <c r="J138" s="5" t="str">
        <f>IFERROR(__xludf.DUMMYFUNCTION("""COMPUTED_VALUE"""),"CD4045D133056")</f>
        <v>CD4045D133056</v>
      </c>
      <c r="K138" s="5"/>
      <c r="L138" s="5" t="str">
        <f>IFERROR(__xludf.DUMMYFUNCTION("""COMPUTED_VALUE"""),"KLH")</f>
        <v>KLH</v>
      </c>
    </row>
    <row r="139">
      <c r="A139" s="42" t="str">
        <f>IFERROR(__xludf.DUMMYFUNCTION("""COMPUTED_VALUE"""),"CNN-MKE-038")</f>
        <v>CNN-MKE-038</v>
      </c>
      <c r="B139" s="3" t="str">
        <f>IFERROR(__xludf.DUMMYFUNCTION("""COMPUTED_VALUE"""),"Máy cày LOVOL 1504")</f>
        <v>Máy cày LOVOL 1504</v>
      </c>
      <c r="C139" s="5" t="str">
        <f>IFERROR(__xludf.DUMMYFUNCTION("""COMPUTED_VALUE"""),"CGLĐ LP")</f>
        <v>CGLĐ LP</v>
      </c>
      <c r="D139" s="5" t="str">
        <f>IFERROR(__xludf.DUMMYFUNCTION("""COMPUTED_VALUE"""),"LOVOL")</f>
        <v>LOVOL</v>
      </c>
      <c r="E139" s="57" t="str">
        <f>IFERROR(__xludf.DUMMYFUNCTION("""COMPUTED_VALUE"""),"Trung Quốc")</f>
        <v>Trung Quốc</v>
      </c>
      <c r="F139" s="5">
        <f>IFERROR(__xludf.DUMMYFUNCTION("""COMPUTED_VALUE"""),2025.0)</f>
        <v>2025</v>
      </c>
      <c r="G139" s="5" t="str">
        <f>IFERROR(__xludf.DUMMYFUNCTION("""COMPUTED_VALUE"""),"1504")</f>
        <v>1504</v>
      </c>
      <c r="H139" s="5" t="str">
        <f>IFERROR(__xludf.DUMMYFUNCTION("""COMPUTED_VALUE"""),"150HP")</f>
        <v>150HP</v>
      </c>
      <c r="I139" s="5" t="str">
        <f>IFERROR(__xludf.DUMMYFUNCTION("""COMPUTED_VALUE"""),"M600277SU")</f>
        <v>M600277SU</v>
      </c>
      <c r="J139" s="5" t="str">
        <f>IFERROR(__xludf.DUMMYFUNCTION("""COMPUTED_VALUE"""),"WP6G180E3306P25J023351")</f>
        <v>WP6G180E3306P25J023351</v>
      </c>
      <c r="K139" s="5">
        <f>IFERROR(__xludf.DUMMYFUNCTION("""COMPUTED_VALUE"""),13.0)</f>
        <v>13</v>
      </c>
      <c r="L139" s="5" t="str">
        <f>IFERROR(__xludf.DUMMYFUNCTION("""COMPUTED_VALUE"""),"KLH")</f>
        <v>KLH</v>
      </c>
    </row>
    <row r="140">
      <c r="A140" s="42" t="str">
        <f>IFERROR(__xludf.DUMMYFUNCTION("""COMPUTED_VALUE"""),"Cơ giới làm đất XNB")</f>
        <v>Cơ giới làm đất XNB</v>
      </c>
      <c r="B140" s="3"/>
      <c r="C140" s="5"/>
      <c r="D140" s="5"/>
      <c r="E140" s="57"/>
      <c r="F140" s="5"/>
      <c r="G140" s="5"/>
      <c r="H140" s="5"/>
      <c r="I140" s="5"/>
      <c r="J140" s="5"/>
      <c r="K140" s="5"/>
      <c r="L140" s="5" t="str">
        <f>IFERROR(__xludf.DUMMYFUNCTION("""COMPUTED_VALUE"""),"KLH")</f>
        <v>KLH</v>
      </c>
    </row>
    <row r="141">
      <c r="A141" s="42" t="str">
        <f>IFERROR(__xludf.DUMMYFUNCTION("""COMPUTED_VALUE"""),"CNN-MKE-014")</f>
        <v>CNN-MKE-014</v>
      </c>
      <c r="B141" s="3" t="str">
        <f>IFERROR(__xludf.DUMMYFUNCTION("""COMPUTED_VALUE"""),"Máy cày NH TD157")</f>
        <v>Máy cày NH TD157</v>
      </c>
      <c r="C141" s="5" t="str">
        <f>IFERROR(__xludf.DUMMYFUNCTION("""COMPUTED_VALUE"""),"XN Bò AD")</f>
        <v>XN Bò AD</v>
      </c>
      <c r="D141" s="5" t="str">
        <f>IFERROR(__xludf.DUMMYFUNCTION("""COMPUTED_VALUE"""),"NEW HOLLAND")</f>
        <v>NEW HOLLAND</v>
      </c>
      <c r="E141" s="57" t="str">
        <f>IFERROR(__xludf.DUMMYFUNCTION("""COMPUTED_VALUE"""),"THỔ NHỈ KỲ")</f>
        <v>THỔ NHỈ KỲ</v>
      </c>
      <c r="F141" s="5">
        <f>IFERROR(__xludf.DUMMYFUNCTION("""COMPUTED_VALUE"""),2018.0)</f>
        <v>2018</v>
      </c>
      <c r="G141" s="5" t="str">
        <f>IFERROR(__xludf.DUMMYFUNCTION("""COMPUTED_VALUE"""),"TD157")</f>
        <v>TD157</v>
      </c>
      <c r="H141" s="5" t="str">
        <f>IFERROR(__xludf.DUMMYFUNCTION("""COMPUTED_VALUE"""),"150HP")</f>
        <v>150HP</v>
      </c>
      <c r="I141" s="5" t="str">
        <f>IFERROR(__xludf.DUMMYFUNCTION("""COMPUTED_VALUE"""),"73737")</f>
        <v>73737</v>
      </c>
      <c r="J141" s="5" t="str">
        <f>IFERROR(__xludf.DUMMYFUNCTION("""COMPUTED_VALUE"""),"CCN")</f>
        <v>CCN</v>
      </c>
      <c r="K141" s="5">
        <f>IFERROR(__xludf.DUMMYFUNCTION("""COMPUTED_VALUE"""),11.0)</f>
        <v>11</v>
      </c>
      <c r="L141" s="5" t="str">
        <f>IFERROR(__xludf.DUMMYFUNCTION("""COMPUTED_VALUE"""),"KLH")</f>
        <v>KLH</v>
      </c>
    </row>
    <row r="142">
      <c r="A142" s="42" t="str">
        <f>IFERROR(__xludf.DUMMYFUNCTION("""COMPUTED_VALUE"""),"CNN-MKE-015")</f>
        <v>CNN-MKE-015</v>
      </c>
      <c r="B142" s="3" t="str">
        <f>IFERROR(__xludf.DUMMYFUNCTION("""COMPUTED_VALUE"""),"Máy cày JD 6603")</f>
        <v>Máy cày JD 6603</v>
      </c>
      <c r="C142" s="5" t="str">
        <f>IFERROR(__xludf.DUMMYFUNCTION("""COMPUTED_VALUE"""),"XN Bò AD")</f>
        <v>XN Bò AD</v>
      </c>
      <c r="D142" s="5" t="str">
        <f>IFERROR(__xludf.DUMMYFUNCTION("""COMPUTED_VALUE"""),"JOHN DEERE")</f>
        <v>JOHN DEERE</v>
      </c>
      <c r="E142" s="57" t="str">
        <f>IFERROR(__xludf.DUMMYFUNCTION("""COMPUTED_VALUE"""),"MỸ")</f>
        <v>MỸ</v>
      </c>
      <c r="F142" s="5">
        <f>IFERROR(__xludf.DUMMYFUNCTION("""COMPUTED_VALUE"""),2018.0)</f>
        <v>2018</v>
      </c>
      <c r="G142" s="5" t="str">
        <f>IFERROR(__xludf.DUMMYFUNCTION("""COMPUTED_VALUE"""),"6603")</f>
        <v>6603</v>
      </c>
      <c r="H142" s="5" t="str">
        <f>IFERROR(__xludf.DUMMYFUNCTION("""COMPUTED_VALUE"""),"120HP")</f>
        <v>120HP</v>
      </c>
      <c r="I142" s="5" t="str">
        <f>IFERROR(__xludf.DUMMYFUNCTION("""COMPUTED_VALUE"""),"33027")</f>
        <v>33027</v>
      </c>
      <c r="J142" s="5" t="str">
        <f>IFERROR(__xludf.DUMMYFUNCTION("""COMPUTED_VALUE"""),"CCN")</f>
        <v>CCN</v>
      </c>
      <c r="K142" s="5">
        <f>IFERROR(__xludf.DUMMYFUNCTION("""COMPUTED_VALUE"""),9.0)</f>
        <v>9</v>
      </c>
      <c r="L142" s="5" t="str">
        <f>IFERROR(__xludf.DUMMYFUNCTION("""COMPUTED_VALUE"""),"KLH")</f>
        <v>KLH</v>
      </c>
    </row>
    <row r="143">
      <c r="A143" s="42" t="str">
        <f>IFERROR(__xludf.DUMMYFUNCTION("""COMPUTED_VALUE"""),"CNN-MKE-016")</f>
        <v>CNN-MKE-016</v>
      </c>
      <c r="B143" s="3" t="str">
        <f>IFERROR(__xludf.DUMMYFUNCTION("""COMPUTED_VALUE"""),"Máy cày M9540")</f>
        <v>Máy cày M9540</v>
      </c>
      <c r="C143" s="5" t="str">
        <f>IFERROR(__xludf.DUMMYFUNCTION("""COMPUTED_VALUE"""),"XN Bò AD")</f>
        <v>XN Bò AD</v>
      </c>
      <c r="D143" s="5" t="str">
        <f>IFERROR(__xludf.DUMMYFUNCTION("""COMPUTED_VALUE"""),"KUBOTA")</f>
        <v>KUBOTA</v>
      </c>
      <c r="E143" s="57" t="str">
        <f>IFERROR(__xludf.DUMMYFUNCTION("""COMPUTED_VALUE"""),"NHẬT BẢN")</f>
        <v>NHẬT BẢN</v>
      </c>
      <c r="F143" s="5">
        <f>IFERROR(__xludf.DUMMYFUNCTION("""COMPUTED_VALUE"""),2011.0)</f>
        <v>2011</v>
      </c>
      <c r="G143" s="5" t="str">
        <f>IFERROR(__xludf.DUMMYFUNCTION("""COMPUTED_VALUE"""),"9540")</f>
        <v>9540</v>
      </c>
      <c r="H143" s="5" t="str">
        <f>IFERROR(__xludf.DUMMYFUNCTION("""COMPUTED_VALUE"""),"95HP")</f>
        <v>95HP</v>
      </c>
      <c r="I143" s="5" t="str">
        <f>IFERROR(__xludf.DUMMYFUNCTION("""COMPUTED_VALUE"""),"BY0896")</f>
        <v>BY0896</v>
      </c>
      <c r="J143" s="5" t="str">
        <f>IFERROR(__xludf.DUMMYFUNCTION("""COMPUTED_VALUE"""),"CCN")</f>
        <v>CCN</v>
      </c>
      <c r="K143" s="5">
        <f>IFERROR(__xludf.DUMMYFUNCTION("""COMPUTED_VALUE"""),3.8)</f>
        <v>3.8</v>
      </c>
      <c r="L143" s="5" t="str">
        <f>IFERROR(__xludf.DUMMYFUNCTION("""COMPUTED_VALUE"""),"KLH")</f>
        <v>KLH</v>
      </c>
    </row>
    <row r="144">
      <c r="A144" s="42" t="str">
        <f>IFERROR(__xludf.DUMMYFUNCTION("""COMPUTED_VALUE"""),"CNN-MKE-022")</f>
        <v>CNN-MKE-022</v>
      </c>
      <c r="B144" s="3" t="str">
        <f>IFERROR(__xludf.DUMMYFUNCTION("""COMPUTED_VALUE"""),"Máy cày JD 5090E")</f>
        <v>Máy cày JD 5090E</v>
      </c>
      <c r="C144" s="5" t="str">
        <f>IFERROR(__xludf.DUMMYFUNCTION("""COMPUTED_VALUE"""),"XN Bò AD")</f>
        <v>XN Bò AD</v>
      </c>
      <c r="D144" s="5" t="str">
        <f>IFERROR(__xludf.DUMMYFUNCTION("""COMPUTED_VALUE"""),"JOHN DEERE")</f>
        <v>JOHN DEERE</v>
      </c>
      <c r="E144" s="57" t="str">
        <f>IFERROR(__xludf.DUMMYFUNCTION("""COMPUTED_VALUE"""),"MỸ")</f>
        <v>MỸ</v>
      </c>
      <c r="F144" s="5">
        <f>IFERROR(__xludf.DUMMYFUNCTION("""COMPUTED_VALUE"""),2022.0)</f>
        <v>2022</v>
      </c>
      <c r="G144" s="5" t="str">
        <f>IFERROR(__xludf.DUMMYFUNCTION("""COMPUTED_VALUE"""),"5090E")</f>
        <v>5090E</v>
      </c>
      <c r="H144" s="5" t="str">
        <f>IFERROR(__xludf.DUMMYFUNCTION("""COMPUTED_VALUE"""),"90HP")</f>
        <v>90HP</v>
      </c>
      <c r="I144" s="5" t="str">
        <f>IFERROR(__xludf.DUMMYFUNCTION("""COMPUTED_VALUE"""),"1P05090EVN4073521")</f>
        <v>1P05090EVN4073521</v>
      </c>
      <c r="J144" s="5" t="str">
        <f>IFERROR(__xludf.DUMMYFUNCTION("""COMPUTED_VALUE"""),"PE4045E027602")</f>
        <v>PE4045E027602</v>
      </c>
      <c r="K144" s="5">
        <f>IFERROR(__xludf.DUMMYFUNCTION("""COMPUTED_VALUE"""),6.0)</f>
        <v>6</v>
      </c>
      <c r="L144" s="5" t="str">
        <f>IFERROR(__xludf.DUMMYFUNCTION("""COMPUTED_VALUE"""),"KLH")</f>
        <v>KLH</v>
      </c>
    </row>
    <row r="145">
      <c r="A145" s="42" t="str">
        <f>IFERROR(__xludf.DUMMYFUNCTION("""COMPUTED_VALUE"""),"Xí nghiệp Chuối DP1")</f>
        <v>Xí nghiệp Chuối DP1</v>
      </c>
      <c r="B145" s="3"/>
      <c r="C145" s="5"/>
      <c r="D145" s="5"/>
      <c r="E145" s="57"/>
      <c r="F145" s="5"/>
      <c r="G145" s="5"/>
      <c r="H145" s="5"/>
      <c r="I145" s="5"/>
      <c r="J145" s="5"/>
      <c r="K145" s="5"/>
      <c r="L145" s="5" t="str">
        <f>IFERROR(__xludf.DUMMYFUNCTION("""COMPUTED_VALUE"""),"KLH")</f>
        <v>KLH</v>
      </c>
    </row>
    <row r="146">
      <c r="A146" s="42" t="str">
        <f>IFERROR(__xludf.DUMMYFUNCTION("""COMPUTED_VALUE"""),"XD1-MKE-001")</f>
        <v>XD1-MKE-001</v>
      </c>
      <c r="B146" s="3" t="str">
        <f>IFERROR(__xludf.DUMMYFUNCTION("""COMPUTED_VALUE"""),"Máy cày KAM50")</f>
        <v>Máy cày KAM50</v>
      </c>
      <c r="C146" s="5" t="str">
        <f>IFERROR(__xludf.DUMMYFUNCTION("""COMPUTED_VALUE"""),"XN Chuối DP1")</f>
        <v>XN Chuối DP1</v>
      </c>
      <c r="D146" s="5" t="str">
        <f>IFERROR(__xludf.DUMMYFUNCTION("""COMPUTED_VALUE"""),"THACO")</f>
        <v>THACO</v>
      </c>
      <c r="E146" s="57" t="str">
        <f>IFERROR(__xludf.DUMMYFUNCTION("""COMPUTED_VALUE"""),"VIỆT NAM")</f>
        <v>VIỆT NAM</v>
      </c>
      <c r="F146" s="5">
        <f>IFERROR(__xludf.DUMMYFUNCTION("""COMPUTED_VALUE"""),2018.0)</f>
        <v>2018</v>
      </c>
      <c r="G146" s="5" t="str">
        <f>IFERROR(__xludf.DUMMYFUNCTION("""COMPUTED_VALUE"""),"KAM50")</f>
        <v>KAM50</v>
      </c>
      <c r="H146" s="5" t="str">
        <f>IFERROR(__xludf.DUMMYFUNCTION("""COMPUTED_VALUE"""),"50HP")</f>
        <v>50HP</v>
      </c>
      <c r="I146" s="5" t="str">
        <f>IFERROR(__xludf.DUMMYFUNCTION("""COMPUTED_VALUE"""),"C000012")</f>
        <v>C000012</v>
      </c>
      <c r="J146" s="5" t="str">
        <f>IFERROR(__xludf.DUMMYFUNCTION("""COMPUTED_VALUE"""),"CCN")</f>
        <v>CCN</v>
      </c>
      <c r="K146" s="5">
        <f>IFERROR(__xludf.DUMMYFUNCTION("""COMPUTED_VALUE"""),2.5)</f>
        <v>2.5</v>
      </c>
      <c r="L146" s="5" t="str">
        <f>IFERROR(__xludf.DUMMYFUNCTION("""COMPUTED_VALUE"""),"KLH")</f>
        <v>KLH</v>
      </c>
    </row>
    <row r="147">
      <c r="A147" s="42" t="str">
        <f>IFERROR(__xludf.DUMMYFUNCTION("""COMPUTED_VALUE"""),"XD1-MKE-002")</f>
        <v>XD1-MKE-002</v>
      </c>
      <c r="B147" s="3" t="str">
        <f>IFERROR(__xludf.DUMMYFUNCTION("""COMPUTED_VALUE"""),"Máy cày KAM50")</f>
        <v>Máy cày KAM50</v>
      </c>
      <c r="C147" s="5" t="str">
        <f>IFERROR(__xludf.DUMMYFUNCTION("""COMPUTED_VALUE"""),"XN Chuối DP1")</f>
        <v>XN Chuối DP1</v>
      </c>
      <c r="D147" s="5" t="str">
        <f>IFERROR(__xludf.DUMMYFUNCTION("""COMPUTED_VALUE"""),"THACO")</f>
        <v>THACO</v>
      </c>
      <c r="E147" s="57" t="str">
        <f>IFERROR(__xludf.DUMMYFUNCTION("""COMPUTED_VALUE"""),"VIỆT NAM")</f>
        <v>VIỆT NAM</v>
      </c>
      <c r="F147" s="5">
        <f>IFERROR(__xludf.DUMMYFUNCTION("""COMPUTED_VALUE"""),2018.0)</f>
        <v>2018</v>
      </c>
      <c r="G147" s="5" t="str">
        <f>IFERROR(__xludf.DUMMYFUNCTION("""COMPUTED_VALUE"""),"KAM50")</f>
        <v>KAM50</v>
      </c>
      <c r="H147" s="5" t="str">
        <f>IFERROR(__xludf.DUMMYFUNCTION("""COMPUTED_VALUE"""),"50HP")</f>
        <v>50HP</v>
      </c>
      <c r="I147" s="5" t="str">
        <f>IFERROR(__xludf.DUMMYFUNCTION("""COMPUTED_VALUE"""),"C000072")</f>
        <v>C000072</v>
      </c>
      <c r="J147" s="5" t="str">
        <f>IFERROR(__xludf.DUMMYFUNCTION("""COMPUTED_VALUE"""),"CCN")</f>
        <v>CCN</v>
      </c>
      <c r="K147" s="5">
        <f>IFERROR(__xludf.DUMMYFUNCTION("""COMPUTED_VALUE"""),2.5)</f>
        <v>2.5</v>
      </c>
      <c r="L147" s="5" t="str">
        <f>IFERROR(__xludf.DUMMYFUNCTION("""COMPUTED_VALUE"""),"KLH")</f>
        <v>KLH</v>
      </c>
    </row>
    <row r="148">
      <c r="A148" s="42" t="str">
        <f>IFERROR(__xludf.DUMMYFUNCTION("""COMPUTED_VALUE"""),"XD1-MKE-003")</f>
        <v>XD1-MKE-003</v>
      </c>
      <c r="B148" s="3" t="str">
        <f>IFERROR(__xludf.DUMMYFUNCTION("""COMPUTED_VALUE"""),"Máy cày KAM50")</f>
        <v>Máy cày KAM50</v>
      </c>
      <c r="C148" s="5" t="str">
        <f>IFERROR(__xludf.DUMMYFUNCTION("""COMPUTED_VALUE"""),"XN Chuối DP1")</f>
        <v>XN Chuối DP1</v>
      </c>
      <c r="D148" s="5" t="str">
        <f>IFERROR(__xludf.DUMMYFUNCTION("""COMPUTED_VALUE"""),"THACO")</f>
        <v>THACO</v>
      </c>
      <c r="E148" s="57" t="str">
        <f>IFERROR(__xludf.DUMMYFUNCTION("""COMPUTED_VALUE"""),"VIỆT NAM")</f>
        <v>VIỆT NAM</v>
      </c>
      <c r="F148" s="5">
        <f>IFERROR(__xludf.DUMMYFUNCTION("""COMPUTED_VALUE"""),2018.0)</f>
        <v>2018</v>
      </c>
      <c r="G148" s="5" t="str">
        <f>IFERROR(__xludf.DUMMYFUNCTION("""COMPUTED_VALUE"""),"KAM50")</f>
        <v>KAM50</v>
      </c>
      <c r="H148" s="5" t="str">
        <f>IFERROR(__xludf.DUMMYFUNCTION("""COMPUTED_VALUE"""),"50HP")</f>
        <v>50HP</v>
      </c>
      <c r="I148" s="5" t="str">
        <f>IFERROR(__xludf.DUMMYFUNCTION("""COMPUTED_VALUE"""),"C000025")</f>
        <v>C000025</v>
      </c>
      <c r="J148" s="5" t="str">
        <f>IFERROR(__xludf.DUMMYFUNCTION("""COMPUTED_VALUE"""),"CCN")</f>
        <v>CCN</v>
      </c>
      <c r="K148" s="5">
        <f>IFERROR(__xludf.DUMMYFUNCTION("""COMPUTED_VALUE"""),2.5)</f>
        <v>2.5</v>
      </c>
      <c r="L148" s="5" t="str">
        <f>IFERROR(__xludf.DUMMYFUNCTION("""COMPUTED_VALUE"""),"KLH")</f>
        <v>KLH</v>
      </c>
    </row>
    <row r="149">
      <c r="A149" s="42" t="str">
        <f>IFERROR(__xludf.DUMMYFUNCTION("""COMPUTED_VALUE"""),"XD1-MKE-006")</f>
        <v>XD1-MKE-006</v>
      </c>
      <c r="B149" s="3" t="str">
        <f>IFERROR(__xludf.DUMMYFUNCTION("""COMPUTED_VALUE"""),"Máy cày L4508")</f>
        <v>Máy cày L4508</v>
      </c>
      <c r="C149" s="5" t="str">
        <f>IFERROR(__xludf.DUMMYFUNCTION("""COMPUTED_VALUE"""),"XN Chuối DP1")</f>
        <v>XN Chuối DP1</v>
      </c>
      <c r="D149" s="5" t="str">
        <f>IFERROR(__xludf.DUMMYFUNCTION("""COMPUTED_VALUE"""),"KUBOTA")</f>
        <v>KUBOTA</v>
      </c>
      <c r="E149" s="57" t="str">
        <f>IFERROR(__xludf.DUMMYFUNCTION("""COMPUTED_VALUE"""),"NHẬT BẢN")</f>
        <v>NHẬT BẢN</v>
      </c>
      <c r="F149" s="5">
        <f>IFERROR(__xludf.DUMMYFUNCTION("""COMPUTED_VALUE"""),2019.0)</f>
        <v>2019</v>
      </c>
      <c r="G149" s="5" t="str">
        <f>IFERROR(__xludf.DUMMYFUNCTION("""COMPUTED_VALUE"""),"L4508")</f>
        <v>L4508</v>
      </c>
      <c r="H149" s="5" t="str">
        <f>IFERROR(__xludf.DUMMYFUNCTION("""COMPUTED_VALUE"""),"45HP")</f>
        <v>45HP</v>
      </c>
      <c r="I149" s="5" t="str">
        <f>IFERROR(__xludf.DUMMYFUNCTION("""COMPUTED_VALUE"""),"14793")</f>
        <v>14793</v>
      </c>
      <c r="J149" s="5" t="str">
        <f>IFERROR(__xludf.DUMMYFUNCTION("""COMPUTED_VALUE"""),"CCN")</f>
        <v>CCN</v>
      </c>
      <c r="K149" s="5">
        <f>IFERROR(__xludf.DUMMYFUNCTION("""COMPUTED_VALUE"""),2.0)</f>
        <v>2</v>
      </c>
      <c r="L149" s="5" t="str">
        <f>IFERROR(__xludf.DUMMYFUNCTION("""COMPUTED_VALUE"""),"KLH")</f>
        <v>KLH</v>
      </c>
    </row>
    <row r="150">
      <c r="A150" s="42" t="str">
        <f>IFERROR(__xludf.DUMMYFUNCTION("""COMPUTED_VALUE"""),"XD1-XNA-001")</f>
        <v>XD1-XNA-001</v>
      </c>
      <c r="B150" s="3" t="str">
        <f>IFERROR(__xludf.DUMMYFUNCTION("""COMPUTED_VALUE"""),"Xe nâng điện 1.5 tấn")</f>
        <v>Xe nâng điện 1.5 tấn</v>
      </c>
      <c r="C150" s="5" t="str">
        <f>IFERROR(__xludf.DUMMYFUNCTION("""COMPUTED_VALUE"""),"XN Chuối DP1")</f>
        <v>XN Chuối DP1</v>
      </c>
      <c r="D150" s="5" t="str">
        <f>IFERROR(__xludf.DUMMYFUNCTION("""COMPUTED_VALUE"""),"BYD")</f>
        <v>BYD</v>
      </c>
      <c r="E150" s="57" t="str">
        <f>IFERROR(__xludf.DUMMYFUNCTION("""COMPUTED_VALUE"""),"TRUNG QUỐC")</f>
        <v>TRUNG QUỐC</v>
      </c>
      <c r="F150" s="5">
        <f>IFERROR(__xludf.DUMMYFUNCTION("""COMPUTED_VALUE"""),2019.0)</f>
        <v>2019</v>
      </c>
      <c r="G150" s="5" t="str">
        <f>IFERROR(__xludf.DUMMYFUNCTION("""COMPUTED_VALUE"""),"ECB16S-B")</f>
        <v>ECB16S-B</v>
      </c>
      <c r="H150" s="5" t="str">
        <f>IFERROR(__xludf.DUMMYFUNCTION("""COMPUTED_VALUE"""),"29HP")</f>
        <v>29HP</v>
      </c>
      <c r="I150" s="5" t="str">
        <f>IFERROR(__xludf.DUMMYFUNCTION("""COMPUTED_VALUE"""),"1501190100")</f>
        <v>1501190100</v>
      </c>
      <c r="J150" s="5" t="str">
        <f>IFERROR(__xludf.DUMMYFUNCTION("""COMPUTED_VALUE"""),"TS0510598-2021")</f>
        <v>TS0510598-2021</v>
      </c>
      <c r="K150" s="5"/>
      <c r="L150" s="5" t="str">
        <f>IFERROR(__xludf.DUMMYFUNCTION("""COMPUTED_VALUE"""),"KLH")</f>
        <v>KLH</v>
      </c>
    </row>
    <row r="151">
      <c r="A151" s="42" t="str">
        <f>IFERROR(__xludf.DUMMYFUNCTION("""COMPUTED_VALUE"""),"XD1-XNA-002")</f>
        <v>XD1-XNA-002</v>
      </c>
      <c r="B151" s="3" t="str">
        <f>IFERROR(__xludf.DUMMYFUNCTION("""COMPUTED_VALUE"""),"Xe nâng điện 2.5 tấn")</f>
        <v>Xe nâng điện 2.5 tấn</v>
      </c>
      <c r="C151" s="5" t="str">
        <f>IFERROR(__xludf.DUMMYFUNCTION("""COMPUTED_VALUE"""),"XN Chuối DP1")</f>
        <v>XN Chuối DP1</v>
      </c>
      <c r="D151" s="5" t="str">
        <f>IFERROR(__xludf.DUMMYFUNCTION("""COMPUTED_VALUE"""),"LOVOL")</f>
        <v>LOVOL</v>
      </c>
      <c r="E151" s="57" t="str">
        <f>IFERROR(__xludf.DUMMYFUNCTION("""COMPUTED_VALUE"""),"TRUNG QUỐC")</f>
        <v>TRUNG QUỐC</v>
      </c>
      <c r="F151" s="5">
        <f>IFERROR(__xludf.DUMMYFUNCTION("""COMPUTED_VALUE"""),2026.0)</f>
        <v>2026</v>
      </c>
      <c r="G151" s="5" t="str">
        <f>IFERROR(__xludf.DUMMYFUNCTION("""COMPUTED_VALUE"""),"FF25E")</f>
        <v>FF25E</v>
      </c>
      <c r="H151" s="5" t="str">
        <f>IFERROR(__xludf.DUMMYFUNCTION("""COMPUTED_VALUE"""),"13,68 HP")</f>
        <v>13,68 HP</v>
      </c>
      <c r="I151" s="5" t="str">
        <f>IFERROR(__xludf.DUMMYFUNCTION("""COMPUTED_VALUE"""),"C31293R50031")</f>
        <v>C31293R50031</v>
      </c>
      <c r="J151" s="5"/>
      <c r="K151" s="5"/>
      <c r="L151" s="5" t="str">
        <f>IFERROR(__xludf.DUMMYFUNCTION("""COMPUTED_VALUE"""),"KLH")</f>
        <v>KLH</v>
      </c>
    </row>
    <row r="152">
      <c r="A152" s="42" t="str">
        <f>IFERROR(__xludf.DUMMYFUNCTION("""COMPUTED_VALUE"""),"XD1-TCD-001")</f>
        <v>XD1-TCD-001</v>
      </c>
      <c r="B152" s="3" t="str">
        <f>IFERROR(__xludf.DUMMYFUNCTION("""COMPUTED_VALUE"""),"Xe tải chuyên dụng (cabin đôi)")</f>
        <v>Xe tải chuyên dụng (cabin đôi)</v>
      </c>
      <c r="C152" s="5" t="str">
        <f>IFERROR(__xludf.DUMMYFUNCTION("""COMPUTED_VALUE"""),"XN Chuối DP1")</f>
        <v>XN Chuối DP1</v>
      </c>
      <c r="D152" s="5" t="str">
        <f>IFERROR(__xludf.DUMMYFUNCTION("""COMPUTED_VALUE"""),"THACO KIA")</f>
        <v>THACO KIA</v>
      </c>
      <c r="E152" s="57" t="str">
        <f>IFERROR(__xludf.DUMMYFUNCTION("""COMPUTED_VALUE"""),"VIỆT NAM")</f>
        <v>VIỆT NAM</v>
      </c>
      <c r="F152" s="5">
        <f>IFERROR(__xludf.DUMMYFUNCTION("""COMPUTED_VALUE"""),2021.0)</f>
        <v>2021</v>
      </c>
      <c r="G152" s="5" t="str">
        <f>IFERROR(__xludf.DUMMYFUNCTION("""COMPUTED_VALUE"""),"FRONTIER K200SD")</f>
        <v>FRONTIER K200SD</v>
      </c>
      <c r="H152" s="5" t="str">
        <f>IFERROR(__xludf.DUMMYFUNCTION("""COMPUTED_VALUE"""),"130HP")</f>
        <v>130HP</v>
      </c>
      <c r="I152" s="5" t="str">
        <f>IFERROR(__xludf.DUMMYFUNCTION("""COMPUTED_VALUE"""),"RNHF39KHBMT045336")</f>
        <v>RNHF39KHBMT045336</v>
      </c>
      <c r="J152" s="5" t="str">
        <f>IFERROR(__xludf.DUMMYFUNCTION("""COMPUTED_VALUE"""),"MD534241D4CB")</f>
        <v>MD534241D4CB</v>
      </c>
      <c r="K152" s="5"/>
      <c r="L152" s="5" t="str">
        <f>IFERROR(__xludf.DUMMYFUNCTION("""COMPUTED_VALUE"""),"KLH")</f>
        <v>KLH</v>
      </c>
    </row>
    <row r="153">
      <c r="A153" s="42" t="str">
        <f>IFERROR(__xludf.DUMMYFUNCTION("""COMPUTED_VALUE"""),"XD1-XPT-001")</f>
        <v>XD1-XPT-001</v>
      </c>
      <c r="B153" s="3" t="str">
        <f>IFERROR(__xludf.DUMMYFUNCTION("""COMPUTED_VALUE"""),"Xe phun thuốc Faw 15T")</f>
        <v>Xe phun thuốc Faw 15T</v>
      </c>
      <c r="C153" s="5" t="str">
        <f>IFERROR(__xludf.DUMMYFUNCTION("""COMPUTED_VALUE"""),"XN Chuối DP1")</f>
        <v>XN Chuối DP1</v>
      </c>
      <c r="D153" s="5" t="str">
        <f>IFERROR(__xludf.DUMMYFUNCTION("""COMPUTED_VALUE"""),"FAW")</f>
        <v>FAW</v>
      </c>
      <c r="E153" s="57" t="str">
        <f>IFERROR(__xludf.DUMMYFUNCTION("""COMPUTED_VALUE"""),"TRUNG QUỐC")</f>
        <v>TRUNG QUỐC</v>
      </c>
      <c r="F153" s="5">
        <f>IFERROR(__xludf.DUMMYFUNCTION("""COMPUTED_VALUE"""),2010.0)</f>
        <v>2010</v>
      </c>
      <c r="G153" s="5"/>
      <c r="H153" s="5"/>
      <c r="I153" s="5" t="str">
        <f>IFERROR(__xludf.DUMMYFUNCTION("""COMPUTED_VALUE"""),"9AD16885")</f>
        <v>9AD16885</v>
      </c>
      <c r="J153" s="5" t="str">
        <f>IFERROR(__xludf.DUMMYFUNCTION("""COMPUTED_VALUE"""),"CCN")</f>
        <v>CCN</v>
      </c>
      <c r="K153" s="5">
        <f>IFERROR(__xludf.DUMMYFUNCTION("""COMPUTED_VALUE"""),3.75)</f>
        <v>3.75</v>
      </c>
      <c r="L153" s="5" t="str">
        <f>IFERROR(__xludf.DUMMYFUNCTION("""COMPUTED_VALUE"""),"KLH")</f>
        <v>KLH</v>
      </c>
    </row>
    <row r="154">
      <c r="A154" s="42" t="str">
        <f>IFERROR(__xludf.DUMMYFUNCTION("""COMPUTED_VALUE"""),"XD1-XTA-001")</f>
        <v>XD1-XTA-001</v>
      </c>
      <c r="B154" s="3" t="str">
        <f>IFERROR(__xludf.DUMMYFUNCTION("""COMPUTED_VALUE"""),"Xe tải KOZUN")</f>
        <v>Xe tải KOZUN</v>
      </c>
      <c r="C154" s="5" t="str">
        <f>IFERROR(__xludf.DUMMYFUNCTION("""COMPUTED_VALUE"""),"XN Chuối DP1")</f>
        <v>XN Chuối DP1</v>
      </c>
      <c r="D154" s="5" t="str">
        <f>IFERROR(__xludf.DUMMYFUNCTION("""COMPUTED_VALUE"""),"KOZUN")</f>
        <v>KOZUN</v>
      </c>
      <c r="E154" s="57" t="str">
        <f>IFERROR(__xludf.DUMMYFUNCTION("""COMPUTED_VALUE"""),"CAMPUCHIA")</f>
        <v>CAMPUCHIA</v>
      </c>
      <c r="F154" s="5"/>
      <c r="G154" s="5"/>
      <c r="H154" s="5" t="str">
        <f>IFERROR(__xludf.DUMMYFUNCTION("""COMPUTED_VALUE"""),"60HP")</f>
        <v>60HP</v>
      </c>
      <c r="I154" s="5" t="str">
        <f>IFERROR(__xludf.DUMMYFUNCTION("""COMPUTED_VALUE"""),"113819")</f>
        <v>113819</v>
      </c>
      <c r="J154" s="5" t="str">
        <f>IFERROR(__xludf.DUMMYFUNCTION("""COMPUTED_VALUE"""),"CCN")</f>
        <v>CCN</v>
      </c>
      <c r="K154" s="5">
        <f>IFERROR(__xludf.DUMMYFUNCTION("""COMPUTED_VALUE"""),2.0)</f>
        <v>2</v>
      </c>
      <c r="L154" s="5" t="str">
        <f>IFERROR(__xludf.DUMMYFUNCTION("""COMPUTED_VALUE"""),"KLH")</f>
        <v>KLH</v>
      </c>
    </row>
    <row r="155">
      <c r="A155" s="42" t="str">
        <f>IFERROR(__xludf.DUMMYFUNCTION("""COMPUTED_VALUE"""),"XD1-XTA-002")</f>
        <v>XD1-XTA-002</v>
      </c>
      <c r="B155" s="3" t="str">
        <f>IFERROR(__xludf.DUMMYFUNCTION("""COMPUTED_VALUE"""),"Xe tải KOZUN")</f>
        <v>Xe tải KOZUN</v>
      </c>
      <c r="C155" s="5" t="str">
        <f>IFERROR(__xludf.DUMMYFUNCTION("""COMPUTED_VALUE"""),"XN Chuối DP1")</f>
        <v>XN Chuối DP1</v>
      </c>
      <c r="D155" s="5" t="str">
        <f>IFERROR(__xludf.DUMMYFUNCTION("""COMPUTED_VALUE"""),"KOZUN")</f>
        <v>KOZUN</v>
      </c>
      <c r="E155" s="57" t="str">
        <f>IFERROR(__xludf.DUMMYFUNCTION("""COMPUTED_VALUE"""),"CAMPUCHIA")</f>
        <v>CAMPUCHIA</v>
      </c>
      <c r="F155" s="5"/>
      <c r="G155" s="5"/>
      <c r="H155" s="5" t="str">
        <f>IFERROR(__xludf.DUMMYFUNCTION("""COMPUTED_VALUE"""),"60HP")</f>
        <v>60HP</v>
      </c>
      <c r="I155" s="5" t="str">
        <f>IFERROR(__xludf.DUMMYFUNCTION("""COMPUTED_VALUE"""),"78504")</f>
        <v>78504</v>
      </c>
      <c r="J155" s="5" t="str">
        <f>IFERROR(__xludf.DUMMYFUNCTION("""COMPUTED_VALUE"""),"CCN")</f>
        <v>CCN</v>
      </c>
      <c r="K155" s="5">
        <f>IFERROR(__xludf.DUMMYFUNCTION("""COMPUTED_VALUE"""),2.0)</f>
        <v>2</v>
      </c>
      <c r="L155" s="5" t="str">
        <f>IFERROR(__xludf.DUMMYFUNCTION("""COMPUTED_VALUE"""),"KLH")</f>
        <v>KLH</v>
      </c>
    </row>
    <row r="156">
      <c r="A156" s="42" t="str">
        <f>IFERROR(__xludf.DUMMYFUNCTION("""COMPUTED_VALUE"""),"XD1-XTA-003")</f>
        <v>XD1-XTA-003</v>
      </c>
      <c r="B156" s="3" t="str">
        <f>IFERROR(__xludf.DUMMYFUNCTION("""COMPUTED_VALUE"""),"Xe ben Forland FD990-4WDXTH4-5T")</f>
        <v>Xe ben Forland FD990-4WDXTH4-5T</v>
      </c>
      <c r="C156" s="5" t="str">
        <f>IFERROR(__xludf.DUMMYFUNCTION("""COMPUTED_VALUE"""),"XN Chuối DP1")</f>
        <v>XN Chuối DP1</v>
      </c>
      <c r="D156" s="5" t="str">
        <f>IFERROR(__xludf.DUMMYFUNCTION("""COMPUTED_VALUE"""),"THACO")</f>
        <v>THACO</v>
      </c>
      <c r="E156" s="57" t="str">
        <f>IFERROR(__xludf.DUMMYFUNCTION("""COMPUTED_VALUE"""),"VIỆT NAM")</f>
        <v>VIỆT NAM</v>
      </c>
      <c r="F156" s="5">
        <f>IFERROR(__xludf.DUMMYFUNCTION("""COMPUTED_VALUE"""),2024.0)</f>
        <v>2024</v>
      </c>
      <c r="G156" s="5" t="str">
        <f>IFERROR(__xludf.DUMMYFUNCTION("""COMPUTED_VALUE""")," FD990-4WD")</f>
        <v> FD990-4WD</v>
      </c>
      <c r="H156" s="5" t="str">
        <f>IFERROR(__xludf.DUMMYFUNCTION("""COMPUTED_VALUE"""),"94HP")</f>
        <v>94HP</v>
      </c>
      <c r="I156" s="5" t="str">
        <f>IFERROR(__xludf.DUMMYFUNCTION("""COMPUTED_VALUE"""),"RNHF99FACRT090613")</f>
        <v>RNHF99FACRT090613</v>
      </c>
      <c r="J156" s="5" t="str">
        <f>IFERROR(__xludf.DUMMYFUNCTION("""COMPUTED_VALUE"""),"4DW93-95E4*B0576949*")</f>
        <v>4DW93-95E4*B0576949*</v>
      </c>
      <c r="K156" s="5">
        <f>IFERROR(__xludf.DUMMYFUNCTION("""COMPUTED_VALUE"""),0.33)</f>
        <v>0.33</v>
      </c>
      <c r="L156" s="5" t="str">
        <f>IFERROR(__xludf.DUMMYFUNCTION("""COMPUTED_VALUE"""),"KLH")</f>
        <v>KLH</v>
      </c>
    </row>
    <row r="157">
      <c r="A157" s="42" t="str">
        <f>IFERROR(__xludf.DUMMYFUNCTION("""COMPUTED_VALUE"""),"XD1-XTA-004")</f>
        <v>XD1-XTA-004</v>
      </c>
      <c r="B157" s="3" t="str">
        <f>IFERROR(__xludf.DUMMYFUNCTION("""COMPUTED_VALUE"""),"Xe ben Forland FD990-4WDXTH4-5T")</f>
        <v>Xe ben Forland FD990-4WDXTH4-5T</v>
      </c>
      <c r="C157" s="5" t="str">
        <f>IFERROR(__xludf.DUMMYFUNCTION("""COMPUTED_VALUE"""),"XN Chuối DP1")</f>
        <v>XN Chuối DP1</v>
      </c>
      <c r="D157" s="5" t="str">
        <f>IFERROR(__xludf.DUMMYFUNCTION("""COMPUTED_VALUE"""),"THACO")</f>
        <v>THACO</v>
      </c>
      <c r="E157" s="57" t="str">
        <f>IFERROR(__xludf.DUMMYFUNCTION("""COMPUTED_VALUE"""),"VIỆT NAM")</f>
        <v>VIỆT NAM</v>
      </c>
      <c r="F157" s="5">
        <f>IFERROR(__xludf.DUMMYFUNCTION("""COMPUTED_VALUE"""),2024.0)</f>
        <v>2024</v>
      </c>
      <c r="G157" s="5" t="str">
        <f>IFERROR(__xludf.DUMMYFUNCTION("""COMPUTED_VALUE""")," FD990-4WD")</f>
        <v> FD990-4WD</v>
      </c>
      <c r="H157" s="5" t="str">
        <f>IFERROR(__xludf.DUMMYFUNCTION("""COMPUTED_VALUE"""),"94HP")</f>
        <v>94HP</v>
      </c>
      <c r="I157" s="5" t="str">
        <f>IFERROR(__xludf.DUMMYFUNCTION("""COMPUTED_VALUE"""),"RNHF99FACRT090609")</f>
        <v>RNHF99FACRT090609</v>
      </c>
      <c r="J157" s="5" t="str">
        <f>IFERROR(__xludf.DUMMYFUNCTION("""COMPUTED_VALUE"""),"4DW93-95E4*B0576971*")</f>
        <v>4DW93-95E4*B0576971*</v>
      </c>
      <c r="K157" s="5">
        <f>IFERROR(__xludf.DUMMYFUNCTION("""COMPUTED_VALUE"""),0.33)</f>
        <v>0.33</v>
      </c>
      <c r="L157" s="5" t="str">
        <f>IFERROR(__xludf.DUMMYFUNCTION("""COMPUTED_VALUE"""),"KLH")</f>
        <v>KLH</v>
      </c>
    </row>
    <row r="158">
      <c r="A158" s="42" t="str">
        <f>IFERROR(__xludf.DUMMYFUNCTION("""COMPUTED_VALUE"""),"XD1-XTA-005")</f>
        <v>XD1-XTA-005</v>
      </c>
      <c r="B158" s="3" t="str">
        <f>IFERROR(__xludf.DUMMYFUNCTION("""COMPUTED_VALUE"""),"Xe ben Forland FD990-4WDXTH4-5T")</f>
        <v>Xe ben Forland FD990-4WDXTH4-5T</v>
      </c>
      <c r="C158" s="5" t="str">
        <f>IFERROR(__xludf.DUMMYFUNCTION("""COMPUTED_VALUE"""),"XN Chuối DP1")</f>
        <v>XN Chuối DP1</v>
      </c>
      <c r="D158" s="5" t="str">
        <f>IFERROR(__xludf.DUMMYFUNCTION("""COMPUTED_VALUE"""),"THACO")</f>
        <v>THACO</v>
      </c>
      <c r="E158" s="57" t="str">
        <f>IFERROR(__xludf.DUMMYFUNCTION("""COMPUTED_VALUE"""),"VIỆT NAM")</f>
        <v>VIỆT NAM</v>
      </c>
      <c r="F158" s="5">
        <f>IFERROR(__xludf.DUMMYFUNCTION("""COMPUTED_VALUE"""),2024.0)</f>
        <v>2024</v>
      </c>
      <c r="G158" s="5" t="str">
        <f>IFERROR(__xludf.DUMMYFUNCTION("""COMPUTED_VALUE""")," FD990-4WD")</f>
        <v> FD990-4WD</v>
      </c>
      <c r="H158" s="5" t="str">
        <f>IFERROR(__xludf.DUMMYFUNCTION("""COMPUTED_VALUE"""),"94HP")</f>
        <v>94HP</v>
      </c>
      <c r="I158" s="5" t="str">
        <f>IFERROR(__xludf.DUMMYFUNCTION("""COMPUTED_VALUE"""),"RNHF99FACRT087868")</f>
        <v>RNHF99FACRT087868</v>
      </c>
      <c r="J158" s="5" t="str">
        <f>IFERROR(__xludf.DUMMYFUNCTION("""COMPUTED_VALUE"""),"4DW93-95E4*B0576946*")</f>
        <v>4DW93-95E4*B0576946*</v>
      </c>
      <c r="K158" s="5">
        <f>IFERROR(__xludf.DUMMYFUNCTION("""COMPUTED_VALUE"""),3.0)</f>
        <v>3</v>
      </c>
      <c r="L158" s="5" t="str">
        <f>IFERROR(__xludf.DUMMYFUNCTION("""COMPUTED_VALUE"""),"KLH")</f>
        <v>KLH</v>
      </c>
    </row>
    <row r="159">
      <c r="A159" s="135" t="str">
        <f>IFERROR(__xludf.DUMMYFUNCTION("""COMPUTED_VALUE"""),"XD1-XTA-006")</f>
        <v>XD1-XTA-006</v>
      </c>
      <c r="B159" s="3" t="str">
        <f>IFERROR(__xludf.DUMMYFUNCTION("""COMPUTED_VALUE"""),"Xe ben Forland FD990-4WDXTH4-5T")</f>
        <v>Xe ben Forland FD990-4WDXTH4-5T</v>
      </c>
      <c r="C159" s="5" t="str">
        <f>IFERROR(__xludf.DUMMYFUNCTION("""COMPUTED_VALUE"""),"XN Chuối DP1")</f>
        <v>XN Chuối DP1</v>
      </c>
      <c r="D159" s="5" t="str">
        <f>IFERROR(__xludf.DUMMYFUNCTION("""COMPUTED_VALUE"""),"THACO")</f>
        <v>THACO</v>
      </c>
      <c r="E159" s="57" t="str">
        <f>IFERROR(__xludf.DUMMYFUNCTION("""COMPUTED_VALUE"""),"VIỆT NAM")</f>
        <v>VIỆT NAM</v>
      </c>
      <c r="F159" s="5">
        <f>IFERROR(__xludf.DUMMYFUNCTION("""COMPUTED_VALUE"""),2024.0)</f>
        <v>2024</v>
      </c>
      <c r="G159" s="5" t="str">
        <f>IFERROR(__xludf.DUMMYFUNCTION("""COMPUTED_VALUE""")," FD990-4WD")</f>
        <v> FD990-4WD</v>
      </c>
      <c r="H159" s="5" t="str">
        <f>IFERROR(__xludf.DUMMYFUNCTION("""COMPUTED_VALUE"""),"94HP")</f>
        <v>94HP</v>
      </c>
      <c r="I159" s="5" t="str">
        <f>IFERROR(__xludf.DUMMYFUNCTION("""COMPUTED_VALUE"""),"RNHF99FACRT090610")</f>
        <v>RNHF99FACRT090610</v>
      </c>
      <c r="J159" s="5" t="str">
        <f>IFERROR(__xludf.DUMMYFUNCTION("""COMPUTED_VALUE"""),"4DW93-95E4*B0576959*")</f>
        <v>4DW93-95E4*B0576959*</v>
      </c>
      <c r="K159" s="5">
        <f>IFERROR(__xludf.DUMMYFUNCTION("""COMPUTED_VALUE"""),0.33)</f>
        <v>0.33</v>
      </c>
      <c r="L159" s="5" t="str">
        <f>IFERROR(__xludf.DUMMYFUNCTION("""COMPUTED_VALUE"""),"KLH")</f>
        <v>KLH</v>
      </c>
    </row>
    <row r="160">
      <c r="A160" s="135" t="str">
        <f>IFERROR(__xludf.DUMMYFUNCTION("""COMPUTED_VALUE"""),"XD1-MĐA-001")</f>
        <v>XD1-MĐA-001</v>
      </c>
      <c r="B160" s="3" t="str">
        <f>IFERROR(__xludf.DUMMYFUNCTION("""COMPUTED_VALUE"""),"Máy đào KOMATSU bánh xích gàu 0.3m3")</f>
        <v>Máy đào KOMATSU bánh xích gàu 0.3m3</v>
      </c>
      <c r="C160" s="5" t="str">
        <f>IFERROR(__xludf.DUMMYFUNCTION("""COMPUTED_VALUE"""),"XN Chuối DP1")</f>
        <v>XN Chuối DP1</v>
      </c>
      <c r="D160" s="5" t="str">
        <f>IFERROR(__xludf.DUMMYFUNCTION("""COMPUTED_VALUE"""),"KOMATSU")</f>
        <v>KOMATSU</v>
      </c>
      <c r="E160" s="57" t="str">
        <f>IFERROR(__xludf.DUMMYFUNCTION("""COMPUTED_VALUE"""),"NHẬT BẢN")</f>
        <v>NHẬT BẢN</v>
      </c>
      <c r="F160" s="5">
        <f>IFERROR(__xludf.DUMMYFUNCTION("""COMPUTED_VALUE"""),2006.0)</f>
        <v>2006</v>
      </c>
      <c r="G160" s="5" t="str">
        <f>IFERROR(__xludf.DUMMYFUNCTION("""COMPUTED_VALUE"""),"PC40MR-3")</f>
        <v>PC40MR-3</v>
      </c>
      <c r="H160" s="5" t="str">
        <f>IFERROR(__xludf.DUMMYFUNCTION("""COMPUTED_VALUE"""),"39HP")</f>
        <v>39HP</v>
      </c>
      <c r="I160" s="5" t="str">
        <f>IFERROR(__xludf.DUMMYFUNCTION("""COMPUTED_VALUE"""),"5288")</f>
        <v>5288</v>
      </c>
      <c r="J160" s="5" t="str">
        <f>IFERROR(__xludf.DUMMYFUNCTION("""COMPUTED_VALUE"""),"CCN")</f>
        <v>CCN</v>
      </c>
      <c r="K160" s="5">
        <f>IFERROR(__xludf.DUMMYFUNCTION("""COMPUTED_VALUE"""),4.0)</f>
        <v>4</v>
      </c>
      <c r="L160" s="5" t="str">
        <f>IFERROR(__xludf.DUMMYFUNCTION("""COMPUTED_VALUE"""),"KLH")</f>
        <v>KLH</v>
      </c>
    </row>
    <row r="161">
      <c r="A161" s="42" t="str">
        <f>IFERROR(__xludf.DUMMYFUNCTION("""COMPUTED_VALUE"""),"XD1-CLT-001")</f>
        <v>XD1-CLT-001</v>
      </c>
      <c r="B161" s="3" t="str">
        <f>IFERROR(__xludf.DUMMYFUNCTION("""COMPUTED_VALUE"""),"Xe clethon")</f>
        <v>Xe clethon</v>
      </c>
      <c r="C161" s="5" t="str">
        <f>IFERROR(__xludf.DUMMYFUNCTION("""COMPUTED_VALUE"""),"XN Chuối DP1")</f>
        <v>XN Chuối DP1</v>
      </c>
      <c r="D161" s="5" t="str">
        <f>IFERROR(__xludf.DUMMYFUNCTION("""COMPUTED_VALUE"""),"YANMAR")</f>
        <v>YANMAR</v>
      </c>
      <c r="E161" s="57" t="str">
        <f>IFERROR(__xludf.DUMMYFUNCTION("""COMPUTED_VALUE"""),"INDONESIA")</f>
        <v>INDONESIA</v>
      </c>
      <c r="F161" s="5">
        <f>IFERROR(__xludf.DUMMYFUNCTION("""COMPUTED_VALUE"""),2022.0)</f>
        <v>2022</v>
      </c>
      <c r="G161" s="5" t="str">
        <f>IFERROR(__xludf.DUMMYFUNCTION("""COMPUTED_VALUE"""),"TF150NL-PR2")</f>
        <v>TF150NL-PR2</v>
      </c>
      <c r="H161" s="5" t="str">
        <f>IFERROR(__xludf.DUMMYFUNCTION("""COMPUTED_VALUE"""),"15HP")</f>
        <v>15HP</v>
      </c>
      <c r="I161" s="5" t="str">
        <f>IFERROR(__xludf.DUMMYFUNCTION("""COMPUTED_VALUE"""),"203065")</f>
        <v>203065</v>
      </c>
      <c r="J161" s="5" t="str">
        <f>IFERROR(__xludf.DUMMYFUNCTION("""COMPUTED_VALUE"""),"B1320M")</f>
        <v>B1320M</v>
      </c>
      <c r="K161" s="5">
        <f>IFERROR(__xludf.DUMMYFUNCTION("""COMPUTED_VALUE"""),0.5)</f>
        <v>0.5</v>
      </c>
      <c r="L161" s="5" t="str">
        <f>IFERROR(__xludf.DUMMYFUNCTION("""COMPUTED_VALUE"""),"KLH")</f>
        <v>KLH</v>
      </c>
    </row>
    <row r="162">
      <c r="A162" s="42" t="str">
        <f>IFERROR(__xludf.DUMMYFUNCTION("""COMPUTED_VALUE"""),"XD1-CLT-002")</f>
        <v>XD1-CLT-002</v>
      </c>
      <c r="B162" s="3" t="str">
        <f>IFERROR(__xludf.DUMMYFUNCTION("""COMPUTED_VALUE"""),"Xe clethon")</f>
        <v>Xe clethon</v>
      </c>
      <c r="C162" s="5" t="str">
        <f>IFERROR(__xludf.DUMMYFUNCTION("""COMPUTED_VALUE"""),"XN Chuối DP1")</f>
        <v>XN Chuối DP1</v>
      </c>
      <c r="D162" s="5" t="str">
        <f>IFERROR(__xludf.DUMMYFUNCTION("""COMPUTED_VALUE"""),"YANMAR")</f>
        <v>YANMAR</v>
      </c>
      <c r="E162" s="57" t="str">
        <f>IFERROR(__xludf.DUMMYFUNCTION("""COMPUTED_VALUE"""),"INDONESIA")</f>
        <v>INDONESIA</v>
      </c>
      <c r="F162" s="5">
        <f>IFERROR(__xludf.DUMMYFUNCTION("""COMPUTED_VALUE"""),2022.0)</f>
        <v>2022</v>
      </c>
      <c r="G162" s="5" t="str">
        <f>IFERROR(__xludf.DUMMYFUNCTION("""COMPUTED_VALUE"""),"TF150NL-PR2")</f>
        <v>TF150NL-PR2</v>
      </c>
      <c r="H162" s="5" t="str">
        <f>IFERROR(__xludf.DUMMYFUNCTION("""COMPUTED_VALUE"""),"15HP")</f>
        <v>15HP</v>
      </c>
      <c r="I162" s="5" t="str">
        <f>IFERROR(__xludf.DUMMYFUNCTION("""COMPUTED_VALUE"""),"203175")</f>
        <v>203175</v>
      </c>
      <c r="J162" s="5" t="str">
        <f>IFERROR(__xludf.DUMMYFUNCTION("""COMPUTED_VALUE"""),"C0869C")</f>
        <v>C0869C</v>
      </c>
      <c r="K162" s="5">
        <f>IFERROR(__xludf.DUMMYFUNCTION("""COMPUTED_VALUE"""),0.5)</f>
        <v>0.5</v>
      </c>
      <c r="L162" s="5" t="str">
        <f>IFERROR(__xludf.DUMMYFUNCTION("""COMPUTED_VALUE"""),"KLH")</f>
        <v>KLH</v>
      </c>
    </row>
    <row r="163">
      <c r="A163" s="42" t="str">
        <f>IFERROR(__xludf.DUMMYFUNCTION("""COMPUTED_VALUE"""),"XD1-CLT-003")</f>
        <v>XD1-CLT-003</v>
      </c>
      <c r="B163" s="3" t="str">
        <f>IFERROR(__xludf.DUMMYFUNCTION("""COMPUTED_VALUE"""),"Xe clethon")</f>
        <v>Xe clethon</v>
      </c>
      <c r="C163" s="5" t="str">
        <f>IFERROR(__xludf.DUMMYFUNCTION("""COMPUTED_VALUE"""),"XN Chuối DP1")</f>
        <v>XN Chuối DP1</v>
      </c>
      <c r="D163" s="5" t="str">
        <f>IFERROR(__xludf.DUMMYFUNCTION("""COMPUTED_VALUE"""),"YANMAR")</f>
        <v>YANMAR</v>
      </c>
      <c r="E163" s="57" t="str">
        <f>IFERROR(__xludf.DUMMYFUNCTION("""COMPUTED_VALUE"""),"INDONESIA")</f>
        <v>INDONESIA</v>
      </c>
      <c r="F163" s="5">
        <f>IFERROR(__xludf.DUMMYFUNCTION("""COMPUTED_VALUE"""),2022.0)</f>
        <v>2022</v>
      </c>
      <c r="G163" s="5" t="str">
        <f>IFERROR(__xludf.DUMMYFUNCTION("""COMPUTED_VALUE"""),"TF150NL-PR2")</f>
        <v>TF150NL-PR2</v>
      </c>
      <c r="H163" s="5" t="str">
        <f>IFERROR(__xludf.DUMMYFUNCTION("""COMPUTED_VALUE"""),"15HP")</f>
        <v>15HP</v>
      </c>
      <c r="I163" s="5" t="str">
        <f>IFERROR(__xludf.DUMMYFUNCTION("""COMPUTED_VALUE"""),"203079")</f>
        <v>203079</v>
      </c>
      <c r="J163" s="5" t="str">
        <f>IFERROR(__xludf.DUMMYFUNCTION("""COMPUTED_VALUE"""),"B2167L")</f>
        <v>B2167L</v>
      </c>
      <c r="K163" s="5">
        <f>IFERROR(__xludf.DUMMYFUNCTION("""COMPUTED_VALUE"""),0.5)</f>
        <v>0.5</v>
      </c>
      <c r="L163" s="5" t="str">
        <f>IFERROR(__xludf.DUMMYFUNCTION("""COMPUTED_VALUE"""),"KLH")</f>
        <v>KLH</v>
      </c>
    </row>
    <row r="164">
      <c r="A164" s="42" t="str">
        <f>IFERROR(__xludf.DUMMYFUNCTION("""COMPUTED_VALUE"""),"XD1-CLT-004")</f>
        <v>XD1-CLT-004</v>
      </c>
      <c r="B164" s="3" t="str">
        <f>IFERROR(__xludf.DUMMYFUNCTION("""COMPUTED_VALUE"""),"Xe clethon")</f>
        <v>Xe clethon</v>
      </c>
      <c r="C164" s="5" t="str">
        <f>IFERROR(__xludf.DUMMYFUNCTION("""COMPUTED_VALUE"""),"XN Chuối DP1")</f>
        <v>XN Chuối DP1</v>
      </c>
      <c r="D164" s="5" t="str">
        <f>IFERROR(__xludf.DUMMYFUNCTION("""COMPUTED_VALUE"""),"YANMAR")</f>
        <v>YANMAR</v>
      </c>
      <c r="E164" s="57" t="str">
        <f>IFERROR(__xludf.DUMMYFUNCTION("""COMPUTED_VALUE"""),"INDONESIA")</f>
        <v>INDONESIA</v>
      </c>
      <c r="F164" s="5">
        <f>IFERROR(__xludf.DUMMYFUNCTION("""COMPUTED_VALUE"""),2022.0)</f>
        <v>2022</v>
      </c>
      <c r="G164" s="5" t="str">
        <f>IFERROR(__xludf.DUMMYFUNCTION("""COMPUTED_VALUE"""),"TF150NL-PR2")</f>
        <v>TF150NL-PR2</v>
      </c>
      <c r="H164" s="5" t="str">
        <f>IFERROR(__xludf.DUMMYFUNCTION("""COMPUTED_VALUE"""),"15HP")</f>
        <v>15HP</v>
      </c>
      <c r="I164" s="5" t="str">
        <f>IFERROR(__xludf.DUMMYFUNCTION("""COMPUTED_VALUE"""),"203080")</f>
        <v>203080</v>
      </c>
      <c r="J164" s="5" t="str">
        <f>IFERROR(__xludf.DUMMYFUNCTION("""COMPUTED_VALUE"""),"C0845C")</f>
        <v>C0845C</v>
      </c>
      <c r="K164" s="5">
        <f>IFERROR(__xludf.DUMMYFUNCTION("""COMPUTED_VALUE"""),0.5)</f>
        <v>0.5</v>
      </c>
      <c r="L164" s="5" t="str">
        <f>IFERROR(__xludf.DUMMYFUNCTION("""COMPUTED_VALUE"""),"KLH")</f>
        <v>KLH</v>
      </c>
    </row>
    <row r="165">
      <c r="A165" s="42" t="str">
        <f>IFERROR(__xludf.DUMMYFUNCTION("""COMPUTED_VALUE"""),"XD1-CLT-005")</f>
        <v>XD1-CLT-005</v>
      </c>
      <c r="B165" s="3" t="str">
        <f>IFERROR(__xludf.DUMMYFUNCTION("""COMPUTED_VALUE"""),"Xe clethon")</f>
        <v>Xe clethon</v>
      </c>
      <c r="C165" s="5" t="str">
        <f>IFERROR(__xludf.DUMMYFUNCTION("""COMPUTED_VALUE"""),"XN Chuối DP1")</f>
        <v>XN Chuối DP1</v>
      </c>
      <c r="D165" s="5" t="str">
        <f>IFERROR(__xludf.DUMMYFUNCTION("""COMPUTED_VALUE"""),"YANMAR")</f>
        <v>YANMAR</v>
      </c>
      <c r="E165" s="57" t="str">
        <f>IFERROR(__xludf.DUMMYFUNCTION("""COMPUTED_VALUE"""),"INDONESIA")</f>
        <v>INDONESIA</v>
      </c>
      <c r="F165" s="5">
        <f>IFERROR(__xludf.DUMMYFUNCTION("""COMPUTED_VALUE"""),2022.0)</f>
        <v>2022</v>
      </c>
      <c r="G165" s="5" t="str">
        <f>IFERROR(__xludf.DUMMYFUNCTION("""COMPUTED_VALUE"""),"TF150NL-PR2")</f>
        <v>TF150NL-PR2</v>
      </c>
      <c r="H165" s="5" t="str">
        <f>IFERROR(__xludf.DUMMYFUNCTION("""COMPUTED_VALUE"""),"15HP")</f>
        <v>15HP</v>
      </c>
      <c r="I165" s="5" t="str">
        <f>IFERROR(__xludf.DUMMYFUNCTION("""COMPUTED_VALUE"""),"203082")</f>
        <v>203082</v>
      </c>
      <c r="J165" s="5" t="str">
        <f>IFERROR(__xludf.DUMMYFUNCTION("""COMPUTED_VALUE"""),"B0518M")</f>
        <v>B0518M</v>
      </c>
      <c r="K165" s="5">
        <f>IFERROR(__xludf.DUMMYFUNCTION("""COMPUTED_VALUE"""),0.5)</f>
        <v>0.5</v>
      </c>
      <c r="L165" s="5" t="str">
        <f>IFERROR(__xludf.DUMMYFUNCTION("""COMPUTED_VALUE"""),"KLH")</f>
        <v>KLH</v>
      </c>
    </row>
    <row r="166">
      <c r="A166" s="42" t="str">
        <f>IFERROR(__xludf.DUMMYFUNCTION("""COMPUTED_VALUE"""),"XD1-CCM-001")</f>
        <v>XD1-CCM-001</v>
      </c>
      <c r="B166" s="3" t="str">
        <f>IFERROR(__xludf.DUMMYFUNCTION("""COMPUTED_VALUE"""),"Máy cắt cỏ mini Yanmar")</f>
        <v>Máy cắt cỏ mini Yanmar</v>
      </c>
      <c r="C166" s="5" t="str">
        <f>IFERROR(__xludf.DUMMYFUNCTION("""COMPUTED_VALUE"""),"XN Chuối DP1")</f>
        <v>XN Chuối DP1</v>
      </c>
      <c r="D166" s="5" t="str">
        <f>IFERROR(__xludf.DUMMYFUNCTION("""COMPUTED_VALUE"""),"YANMAR")</f>
        <v>YANMAR</v>
      </c>
      <c r="E166" s="57" t="str">
        <f>IFERROR(__xludf.DUMMYFUNCTION("""COMPUTED_VALUE"""),"ITALY")</f>
        <v>ITALY</v>
      </c>
      <c r="F166" s="5"/>
      <c r="G166" s="5" t="str">
        <f>IFERROR(__xludf.DUMMYFUNCTION("""COMPUTED_VALUE"""),"L100N6FJ1P1AAFT")</f>
        <v>L100N6FJ1P1AAFT</v>
      </c>
      <c r="H166" s="5" t="str">
        <f>IFERROR(__xludf.DUMMYFUNCTION("""COMPUTED_VALUE"""),"10HP")</f>
        <v>10HP</v>
      </c>
      <c r="I166" s="5" t="str">
        <f>IFERROR(__xludf.DUMMYFUNCTION("""COMPUTED_VALUE"""),"A001010284")</f>
        <v>A001010284</v>
      </c>
      <c r="J166" s="5" t="str">
        <f>IFERROR(__xludf.DUMMYFUNCTION("""COMPUTED_VALUE"""),"SF6637")</f>
        <v>SF6637</v>
      </c>
      <c r="K166" s="5">
        <f>IFERROR(__xludf.DUMMYFUNCTION("""COMPUTED_VALUE"""),0.5)</f>
        <v>0.5</v>
      </c>
      <c r="L166" s="5" t="str">
        <f>IFERROR(__xludf.DUMMYFUNCTION("""COMPUTED_VALUE"""),"KLH")</f>
        <v>KLH</v>
      </c>
    </row>
    <row r="167">
      <c r="A167" s="42" t="str">
        <f>IFERROR(__xludf.DUMMYFUNCTION("""COMPUTED_VALUE"""),"XD1-MĐQ-001")</f>
        <v>XD1-MĐQ-001</v>
      </c>
      <c r="B167" s="3" t="str">
        <f>IFERROR(__xludf.DUMMYFUNCTION("""COMPUTED_VALUE"""),"Máy cắt cỏ đĩa quay 8HP")</f>
        <v>Máy cắt cỏ đĩa quay 8HP</v>
      </c>
      <c r="C167" s="5" t="str">
        <f>IFERROR(__xludf.DUMMYFUNCTION("""COMPUTED_VALUE"""),"XN Chuối DP1")</f>
        <v>XN Chuối DP1</v>
      </c>
      <c r="D167" s="5" t="str">
        <f>IFERROR(__xludf.DUMMYFUNCTION("""COMPUTED_VALUE"""),"ISEKI")</f>
        <v>ISEKI</v>
      </c>
      <c r="E167" s="57" t="str">
        <f>IFERROR(__xludf.DUMMYFUNCTION("""COMPUTED_VALUE"""),"JANPAN")</f>
        <v>JANPAN</v>
      </c>
      <c r="F167" s="5"/>
      <c r="G167" s="5" t="str">
        <f>IFERROR(__xludf.DUMMYFUNCTION("""COMPUTED_VALUE"""),"KC80F")</f>
        <v>KC80F</v>
      </c>
      <c r="H167" s="5" t="str">
        <f>IFERROR(__xludf.DUMMYFUNCTION("""COMPUTED_VALUE"""),"8HP")</f>
        <v>8HP</v>
      </c>
      <c r="I167" s="5" t="str">
        <f>IFERROR(__xludf.DUMMYFUNCTION("""COMPUTED_VALUE"""),"341")</f>
        <v>341</v>
      </c>
      <c r="J167" s="5" t="str">
        <f>IFERROR(__xludf.DUMMYFUNCTION("""COMPUTED_VALUE"""),"FE250G003323")</f>
        <v>FE250G003323</v>
      </c>
      <c r="K167" s="5">
        <f>IFERROR(__xludf.DUMMYFUNCTION("""COMPUTED_VALUE"""),2.3)</f>
        <v>2.3</v>
      </c>
      <c r="L167" s="5" t="str">
        <f>IFERROR(__xludf.DUMMYFUNCTION("""COMPUTED_VALUE"""),"KLH")</f>
        <v>KLH</v>
      </c>
    </row>
    <row r="168">
      <c r="A168" s="42" t="str">
        <f>IFERROR(__xludf.DUMMYFUNCTION("""COMPUTED_VALUE"""),"XD1-CCD-001")</f>
        <v>XD1-CCD-001</v>
      </c>
      <c r="B168" s="3" t="str">
        <f>IFERROR(__xludf.DUMMYFUNCTION("""COMPUTED_VALUE"""),"Máy cắt cỏ trục băm đa năng")</f>
        <v>Máy cắt cỏ trục băm đa năng</v>
      </c>
      <c r="C168" s="5" t="str">
        <f>IFERROR(__xludf.DUMMYFUNCTION("""COMPUTED_VALUE"""),"XN Chuối DP1")</f>
        <v>XN Chuối DP1</v>
      </c>
      <c r="D168" s="5" t="str">
        <f>IFERROR(__xludf.DUMMYFUNCTION("""COMPUTED_VALUE"""),"ISHIKAWA")</f>
        <v>ISHIKAWA</v>
      </c>
      <c r="E168" s="57" t="str">
        <f>IFERROR(__xludf.DUMMYFUNCTION("""COMPUTED_VALUE"""),"VIỆT NAM")</f>
        <v>VIỆT NAM</v>
      </c>
      <c r="F168" s="5">
        <f>IFERROR(__xludf.DUMMYFUNCTION("""COMPUTED_VALUE"""),2025.0)</f>
        <v>2025</v>
      </c>
      <c r="G168" s="5" t="str">
        <f>IFERROR(__xludf.DUMMYFUNCTION("""COMPUTED_VALUE"""),"TL662")</f>
        <v>TL662</v>
      </c>
      <c r="H168" s="5" t="str">
        <f>IFERROR(__xludf.DUMMYFUNCTION("""COMPUTED_VALUE"""),"10HP")</f>
        <v>10HP</v>
      </c>
      <c r="I168" s="5" t="str">
        <f>IFERROR(__xludf.DUMMYFUNCTION("""COMPUTED_VALUE"""),"TL20250601401")</f>
        <v>TL20250601401</v>
      </c>
      <c r="J168" s="5" t="str">
        <f>IFERROR(__xludf.DUMMYFUNCTION("""COMPUTED_VALUE"""),"GT1000B0042098CD")</f>
        <v>GT1000B0042098CD</v>
      </c>
      <c r="K168" s="5">
        <f>IFERROR(__xludf.DUMMYFUNCTION("""COMPUTED_VALUE"""),1.8)</f>
        <v>1.8</v>
      </c>
      <c r="L168" s="5" t="str">
        <f>IFERROR(__xludf.DUMMYFUNCTION("""COMPUTED_VALUE"""),"KLH")</f>
        <v>KLH</v>
      </c>
    </row>
    <row r="169">
      <c r="A169" s="42" t="str">
        <f>IFERROR(__xludf.DUMMYFUNCTION("""COMPUTED_VALUE"""),"XD1-CCD-002")</f>
        <v>XD1-CCD-002</v>
      </c>
      <c r="B169" s="3" t="str">
        <f>IFERROR(__xludf.DUMMYFUNCTION("""COMPUTED_VALUE"""),"Máy cắt cỏ trục băm đa năng")</f>
        <v>Máy cắt cỏ trục băm đa năng</v>
      </c>
      <c r="C169" s="5" t="str">
        <f>IFERROR(__xludf.DUMMYFUNCTION("""COMPUTED_VALUE"""),"XN Chuối DP1")</f>
        <v>XN Chuối DP1</v>
      </c>
      <c r="D169" s="5" t="str">
        <f>IFERROR(__xludf.DUMMYFUNCTION("""COMPUTED_VALUE"""),"ISHIKAWA")</f>
        <v>ISHIKAWA</v>
      </c>
      <c r="E169" s="57" t="str">
        <f>IFERROR(__xludf.DUMMYFUNCTION("""COMPUTED_VALUE"""),"VIỆT NAM")</f>
        <v>VIỆT NAM</v>
      </c>
      <c r="F169" s="5">
        <f>IFERROR(__xludf.DUMMYFUNCTION("""COMPUTED_VALUE"""),2025.0)</f>
        <v>2025</v>
      </c>
      <c r="G169" s="5" t="str">
        <f>IFERROR(__xludf.DUMMYFUNCTION("""COMPUTED_VALUE"""),"TL662")</f>
        <v>TL662</v>
      </c>
      <c r="H169" s="5" t="str">
        <f>IFERROR(__xludf.DUMMYFUNCTION("""COMPUTED_VALUE"""),"10HP")</f>
        <v>10HP</v>
      </c>
      <c r="I169" s="5" t="str">
        <f>IFERROR(__xludf.DUMMYFUNCTION("""COMPUTED_VALUE"""),"TL20250601402")</f>
        <v>TL20250601402</v>
      </c>
      <c r="J169" s="5" t="str">
        <f>IFERROR(__xludf.DUMMYFUNCTION("""COMPUTED_VALUE"""),"GT1000B0042097CD")</f>
        <v>GT1000B0042097CD</v>
      </c>
      <c r="K169" s="5">
        <f>IFERROR(__xludf.DUMMYFUNCTION("""COMPUTED_VALUE"""),1.8)</f>
        <v>1.8</v>
      </c>
      <c r="L169" s="5" t="str">
        <f>IFERROR(__xludf.DUMMYFUNCTION("""COMPUTED_VALUE"""),"KLH")</f>
        <v>KLH</v>
      </c>
    </row>
    <row r="170">
      <c r="A170" s="42" t="str">
        <f>IFERROR(__xludf.DUMMYFUNCTION("""COMPUTED_VALUE"""),"XD1-CCD-003")</f>
        <v>XD1-CCD-003</v>
      </c>
      <c r="B170" s="3" t="str">
        <f>IFERROR(__xludf.DUMMYFUNCTION("""COMPUTED_VALUE"""),"Máy cắt cỏ trục băm đa năng")</f>
        <v>Máy cắt cỏ trục băm đa năng</v>
      </c>
      <c r="C170" s="5" t="str">
        <f>IFERROR(__xludf.DUMMYFUNCTION("""COMPUTED_VALUE"""),"XN Chuối DP1")</f>
        <v>XN Chuối DP1</v>
      </c>
      <c r="D170" s="5" t="str">
        <f>IFERROR(__xludf.DUMMYFUNCTION("""COMPUTED_VALUE"""),"ISHIKAWA")</f>
        <v>ISHIKAWA</v>
      </c>
      <c r="E170" s="57" t="str">
        <f>IFERROR(__xludf.DUMMYFUNCTION("""COMPUTED_VALUE"""),"VIỆT NAM")</f>
        <v>VIỆT NAM</v>
      </c>
      <c r="F170" s="5">
        <f>IFERROR(__xludf.DUMMYFUNCTION("""COMPUTED_VALUE"""),2025.0)</f>
        <v>2025</v>
      </c>
      <c r="G170" s="5" t="str">
        <f>IFERROR(__xludf.DUMMYFUNCTION("""COMPUTED_VALUE"""),"TL662")</f>
        <v>TL662</v>
      </c>
      <c r="H170" s="5" t="str">
        <f>IFERROR(__xludf.DUMMYFUNCTION("""COMPUTED_VALUE"""),"10HP")</f>
        <v>10HP</v>
      </c>
      <c r="I170" s="5" t="str">
        <f>IFERROR(__xludf.DUMMYFUNCTION("""COMPUTED_VALUE"""),"TL20250601407")</f>
        <v>TL20250601407</v>
      </c>
      <c r="J170" s="5" t="str">
        <f>IFERROR(__xludf.DUMMYFUNCTION("""COMPUTED_VALUE"""),"GT1000B0042095CD")</f>
        <v>GT1000B0042095CD</v>
      </c>
      <c r="K170" s="5">
        <f>IFERROR(__xludf.DUMMYFUNCTION("""COMPUTED_VALUE"""),1.8)</f>
        <v>1.8</v>
      </c>
      <c r="L170" s="5" t="str">
        <f>IFERROR(__xludf.DUMMYFUNCTION("""COMPUTED_VALUE"""),"KLH")</f>
        <v>KLH</v>
      </c>
    </row>
    <row r="171">
      <c r="A171" s="42" t="str">
        <f>IFERROR(__xludf.DUMMYFUNCTION("""COMPUTED_VALUE"""),"XD1-CCD-004")</f>
        <v>XD1-CCD-004</v>
      </c>
      <c r="B171" s="3" t="str">
        <f>IFERROR(__xludf.DUMMYFUNCTION("""COMPUTED_VALUE"""),"Máy cắt cỏ trục băm đa năng")</f>
        <v>Máy cắt cỏ trục băm đa năng</v>
      </c>
      <c r="C171" s="5" t="str">
        <f>IFERROR(__xludf.DUMMYFUNCTION("""COMPUTED_VALUE"""),"XN Chuối DP1")</f>
        <v>XN Chuối DP1</v>
      </c>
      <c r="D171" s="5" t="str">
        <f>IFERROR(__xludf.DUMMYFUNCTION("""COMPUTED_VALUE"""),"ISHIKAWA")</f>
        <v>ISHIKAWA</v>
      </c>
      <c r="E171" s="57" t="str">
        <f>IFERROR(__xludf.DUMMYFUNCTION("""COMPUTED_VALUE"""),"VIỆT NAM")</f>
        <v>VIỆT NAM</v>
      </c>
      <c r="F171" s="5">
        <f>IFERROR(__xludf.DUMMYFUNCTION("""COMPUTED_VALUE"""),2025.0)</f>
        <v>2025</v>
      </c>
      <c r="G171" s="5" t="str">
        <f>IFERROR(__xludf.DUMMYFUNCTION("""COMPUTED_VALUE"""),"TL662")</f>
        <v>TL662</v>
      </c>
      <c r="H171" s="5" t="str">
        <f>IFERROR(__xludf.DUMMYFUNCTION("""COMPUTED_VALUE"""),"10HP")</f>
        <v>10HP</v>
      </c>
      <c r="I171" s="5" t="str">
        <f>IFERROR(__xludf.DUMMYFUNCTION("""COMPUTED_VALUE"""),"TL20250601408")</f>
        <v>TL20250601408</v>
      </c>
      <c r="J171" s="5" t="str">
        <f>IFERROR(__xludf.DUMMYFUNCTION("""COMPUTED_VALUE"""),"GT1000B0042141CD")</f>
        <v>GT1000B0042141CD</v>
      </c>
      <c r="K171" s="5">
        <f>IFERROR(__xludf.DUMMYFUNCTION("""COMPUTED_VALUE"""),1.8)</f>
        <v>1.8</v>
      </c>
      <c r="L171" s="5" t="str">
        <f>IFERROR(__xludf.DUMMYFUNCTION("""COMPUTED_VALUE"""),"KLH")</f>
        <v>KLH</v>
      </c>
    </row>
    <row r="172">
      <c r="A172" s="42" t="str">
        <f>IFERROR(__xludf.DUMMYFUNCTION("""COMPUTED_VALUE"""),"Xí nghiệp Chuối DP2")</f>
        <v>Xí nghiệp Chuối DP2</v>
      </c>
      <c r="B172" s="3"/>
      <c r="C172" s="5"/>
      <c r="D172" s="5"/>
      <c r="E172" s="57"/>
      <c r="F172" s="5"/>
      <c r="G172" s="5"/>
      <c r="H172" s="5"/>
      <c r="I172" s="5"/>
      <c r="J172" s="5"/>
      <c r="K172" s="5"/>
      <c r="L172" s="5" t="str">
        <f>IFERROR(__xludf.DUMMYFUNCTION("""COMPUTED_VALUE"""),"KLH")</f>
        <v>KLH</v>
      </c>
    </row>
    <row r="173">
      <c r="A173" s="42" t="str">
        <f>IFERROR(__xludf.DUMMYFUNCTION("""COMPUTED_VALUE"""),"XD2-MKE-002")</f>
        <v>XD2-MKE-002</v>
      </c>
      <c r="B173" s="3" t="str">
        <f>IFERROR(__xludf.DUMMYFUNCTION("""COMPUTED_VALUE"""),"Máy cày M6040")</f>
        <v>Máy cày M6040</v>
      </c>
      <c r="C173" s="5" t="str">
        <f>IFERROR(__xludf.DUMMYFUNCTION("""COMPUTED_VALUE"""),"XN Chuối DP2")</f>
        <v>XN Chuối DP2</v>
      </c>
      <c r="D173" s="5" t="str">
        <f>IFERROR(__xludf.DUMMYFUNCTION("""COMPUTED_VALUE"""),"KUBOTA")</f>
        <v>KUBOTA</v>
      </c>
      <c r="E173" s="57" t="str">
        <f>IFERROR(__xludf.DUMMYFUNCTION("""COMPUTED_VALUE"""),"NHẬT BẢN")</f>
        <v>NHẬT BẢN</v>
      </c>
      <c r="F173" s="5">
        <f>IFERROR(__xludf.DUMMYFUNCTION("""COMPUTED_VALUE"""),2013.0)</f>
        <v>2013</v>
      </c>
      <c r="G173" s="5" t="str">
        <f>IFERROR(__xludf.DUMMYFUNCTION("""COMPUTED_VALUE"""),"M6040")</f>
        <v>M6040</v>
      </c>
      <c r="H173" s="5" t="str">
        <f>IFERROR(__xludf.DUMMYFUNCTION("""COMPUTED_VALUE"""),"60HP")</f>
        <v>60HP</v>
      </c>
      <c r="I173" s="5" t="str">
        <f>IFERROR(__xludf.DUMMYFUNCTION("""COMPUTED_VALUE"""),"57646")</f>
        <v>57646</v>
      </c>
      <c r="J173" s="5" t="str">
        <f>IFERROR(__xludf.DUMMYFUNCTION("""COMPUTED_VALUE"""),"CCN")</f>
        <v>CCN</v>
      </c>
      <c r="K173" s="5">
        <f>IFERROR(__xludf.DUMMYFUNCTION("""COMPUTED_VALUE"""),3.5)</f>
        <v>3.5</v>
      </c>
      <c r="L173" s="5" t="str">
        <f>IFERROR(__xludf.DUMMYFUNCTION("""COMPUTED_VALUE"""),"KLH")</f>
        <v>KLH</v>
      </c>
    </row>
    <row r="174">
      <c r="A174" s="42" t="str">
        <f>IFERROR(__xludf.DUMMYFUNCTION("""COMPUTED_VALUE"""),"XD2-MKE-003")</f>
        <v>XD2-MKE-003</v>
      </c>
      <c r="B174" s="3" t="str">
        <f>IFERROR(__xludf.DUMMYFUNCTION("""COMPUTED_VALUE"""),"Máy cày M6040")</f>
        <v>Máy cày M6040</v>
      </c>
      <c r="C174" s="5" t="str">
        <f>IFERROR(__xludf.DUMMYFUNCTION("""COMPUTED_VALUE"""),"XN Chuối DP2")</f>
        <v>XN Chuối DP2</v>
      </c>
      <c r="D174" s="5" t="str">
        <f>IFERROR(__xludf.DUMMYFUNCTION("""COMPUTED_VALUE"""),"KUBOTA")</f>
        <v>KUBOTA</v>
      </c>
      <c r="E174" s="57" t="str">
        <f>IFERROR(__xludf.DUMMYFUNCTION("""COMPUTED_VALUE"""),"NHẬT BẢN")</f>
        <v>NHẬT BẢN</v>
      </c>
      <c r="F174" s="5">
        <f>IFERROR(__xludf.DUMMYFUNCTION("""COMPUTED_VALUE"""),2013.0)</f>
        <v>2013</v>
      </c>
      <c r="G174" s="5" t="str">
        <f>IFERROR(__xludf.DUMMYFUNCTION("""COMPUTED_VALUE"""),"M6040")</f>
        <v>M6040</v>
      </c>
      <c r="H174" s="5" t="str">
        <f>IFERROR(__xludf.DUMMYFUNCTION("""COMPUTED_VALUE"""),"60HP")</f>
        <v>60HP</v>
      </c>
      <c r="I174" s="5" t="str">
        <f>IFERROR(__xludf.DUMMYFUNCTION("""COMPUTED_VALUE"""),"56797")</f>
        <v>56797</v>
      </c>
      <c r="J174" s="5" t="str">
        <f>IFERROR(__xludf.DUMMYFUNCTION("""COMPUTED_VALUE"""),"CCN")</f>
        <v>CCN</v>
      </c>
      <c r="K174" s="5">
        <f>IFERROR(__xludf.DUMMYFUNCTION("""COMPUTED_VALUE"""),3.5)</f>
        <v>3.5</v>
      </c>
      <c r="L174" s="5" t="str">
        <f>IFERROR(__xludf.DUMMYFUNCTION("""COMPUTED_VALUE"""),"KLH")</f>
        <v>KLH</v>
      </c>
    </row>
    <row r="175">
      <c r="A175" s="42" t="str">
        <f>IFERROR(__xludf.DUMMYFUNCTION("""COMPUTED_VALUE"""),"XD2-MKE-005")</f>
        <v>XD2-MKE-005</v>
      </c>
      <c r="B175" s="3" t="str">
        <f>IFERROR(__xludf.DUMMYFUNCTION("""COMPUTED_VALUE"""),"Máy cày KAM50")</f>
        <v>Máy cày KAM50</v>
      </c>
      <c r="C175" s="5" t="str">
        <f>IFERROR(__xludf.DUMMYFUNCTION("""COMPUTED_VALUE"""),"XN Chuối DP2")</f>
        <v>XN Chuối DP2</v>
      </c>
      <c r="D175" s="5" t="str">
        <f>IFERROR(__xludf.DUMMYFUNCTION("""COMPUTED_VALUE"""),"THACO")</f>
        <v>THACO</v>
      </c>
      <c r="E175" s="57" t="str">
        <f>IFERROR(__xludf.DUMMYFUNCTION("""COMPUTED_VALUE"""),"VIỆT NAM")</f>
        <v>VIỆT NAM</v>
      </c>
      <c r="F175" s="5">
        <f>IFERROR(__xludf.DUMMYFUNCTION("""COMPUTED_VALUE"""),2018.0)</f>
        <v>2018</v>
      </c>
      <c r="G175" s="5" t="str">
        <f>IFERROR(__xludf.DUMMYFUNCTION("""COMPUTED_VALUE"""),"KAM50")</f>
        <v>KAM50</v>
      </c>
      <c r="H175" s="5" t="str">
        <f>IFERROR(__xludf.DUMMYFUNCTION("""COMPUTED_VALUE"""),"50HP")</f>
        <v>50HP</v>
      </c>
      <c r="I175" s="5" t="str">
        <f>IFERROR(__xludf.DUMMYFUNCTION("""COMPUTED_VALUE"""),"C000011")</f>
        <v>C000011</v>
      </c>
      <c r="J175" s="5" t="str">
        <f>IFERROR(__xludf.DUMMYFUNCTION("""COMPUTED_VALUE"""),"CCN")</f>
        <v>CCN</v>
      </c>
      <c r="K175" s="5">
        <f>IFERROR(__xludf.DUMMYFUNCTION("""COMPUTED_VALUE"""),2.5)</f>
        <v>2.5</v>
      </c>
      <c r="L175" s="5" t="str">
        <f>IFERROR(__xludf.DUMMYFUNCTION("""COMPUTED_VALUE"""),"KLH")</f>
        <v>KLH</v>
      </c>
    </row>
    <row r="176">
      <c r="A176" s="135" t="str">
        <f>IFERROR(__xludf.DUMMYFUNCTION("""COMPUTED_VALUE"""),"XD2-MKE-006")</f>
        <v>XD2-MKE-006</v>
      </c>
      <c r="B176" s="3" t="str">
        <f>IFERROR(__xludf.DUMMYFUNCTION("""COMPUTED_VALUE"""),"Máy cày KAM50")</f>
        <v>Máy cày KAM50</v>
      </c>
      <c r="C176" s="5" t="str">
        <f>IFERROR(__xludf.DUMMYFUNCTION("""COMPUTED_VALUE"""),"XN Chuối DP2")</f>
        <v>XN Chuối DP2</v>
      </c>
      <c r="D176" s="5" t="str">
        <f>IFERROR(__xludf.DUMMYFUNCTION("""COMPUTED_VALUE"""),"THACO")</f>
        <v>THACO</v>
      </c>
      <c r="E176" s="57" t="str">
        <f>IFERROR(__xludf.DUMMYFUNCTION("""COMPUTED_VALUE"""),"VIỆT NAM")</f>
        <v>VIỆT NAM</v>
      </c>
      <c r="F176" s="5">
        <f>IFERROR(__xludf.DUMMYFUNCTION("""COMPUTED_VALUE"""),2018.0)</f>
        <v>2018</v>
      </c>
      <c r="G176" s="5" t="str">
        <f>IFERROR(__xludf.DUMMYFUNCTION("""COMPUTED_VALUE"""),"KAM50")</f>
        <v>KAM50</v>
      </c>
      <c r="H176" s="5" t="str">
        <f>IFERROR(__xludf.DUMMYFUNCTION("""COMPUTED_VALUE"""),"50HP")</f>
        <v>50HP</v>
      </c>
      <c r="I176" s="5" t="str">
        <f>IFERROR(__xludf.DUMMYFUNCTION("""COMPUTED_VALUE"""),"C00007")</f>
        <v>C00007</v>
      </c>
      <c r="J176" s="5" t="str">
        <f>IFERROR(__xludf.DUMMYFUNCTION("""COMPUTED_VALUE"""),"CCN")</f>
        <v>CCN</v>
      </c>
      <c r="K176" s="5">
        <f>IFERROR(__xludf.DUMMYFUNCTION("""COMPUTED_VALUE"""),2.5)</f>
        <v>2.5</v>
      </c>
      <c r="L176" s="5" t="str">
        <f>IFERROR(__xludf.DUMMYFUNCTION("""COMPUTED_VALUE"""),"KLH")</f>
        <v>KLH</v>
      </c>
    </row>
    <row r="177">
      <c r="A177" s="42" t="str">
        <f>IFERROR(__xludf.DUMMYFUNCTION("""COMPUTED_VALUE"""),"XD2-MKE-007")</f>
        <v>XD2-MKE-007</v>
      </c>
      <c r="B177" s="3" t="str">
        <f>IFERROR(__xludf.DUMMYFUNCTION("""COMPUTED_VALUE"""),"Máy cày M6040")</f>
        <v>Máy cày M6040</v>
      </c>
      <c r="C177" s="5" t="str">
        <f>IFERROR(__xludf.DUMMYFUNCTION("""COMPUTED_VALUE"""),"XN Chuối DP2")</f>
        <v>XN Chuối DP2</v>
      </c>
      <c r="D177" s="5" t="str">
        <f>IFERROR(__xludf.DUMMYFUNCTION("""COMPUTED_VALUE"""),"KUBOTA")</f>
        <v>KUBOTA</v>
      </c>
      <c r="E177" s="57" t="str">
        <f>IFERROR(__xludf.DUMMYFUNCTION("""COMPUTED_VALUE"""),"NHẬT BẢN")</f>
        <v>NHẬT BẢN</v>
      </c>
      <c r="F177" s="5">
        <f>IFERROR(__xludf.DUMMYFUNCTION("""COMPUTED_VALUE"""),2013.0)</f>
        <v>2013</v>
      </c>
      <c r="G177" s="5" t="str">
        <f>IFERROR(__xludf.DUMMYFUNCTION("""COMPUTED_VALUE"""),"M6040")</f>
        <v>M6040</v>
      </c>
      <c r="H177" s="5" t="str">
        <f>IFERROR(__xludf.DUMMYFUNCTION("""COMPUTED_VALUE"""),"60HP")</f>
        <v>60HP</v>
      </c>
      <c r="I177" s="5" t="str">
        <f>IFERROR(__xludf.DUMMYFUNCTION("""COMPUTED_VALUE"""),"57273")</f>
        <v>57273</v>
      </c>
      <c r="J177" s="5" t="str">
        <f>IFERROR(__xludf.DUMMYFUNCTION("""COMPUTED_VALUE"""),"CCN")</f>
        <v>CCN</v>
      </c>
      <c r="K177" s="5">
        <f>IFERROR(__xludf.DUMMYFUNCTION("""COMPUTED_VALUE"""),3.5)</f>
        <v>3.5</v>
      </c>
      <c r="L177" s="5" t="str">
        <f>IFERROR(__xludf.DUMMYFUNCTION("""COMPUTED_VALUE"""),"KLH")</f>
        <v>KLH</v>
      </c>
    </row>
    <row r="178">
      <c r="A178" s="42" t="str">
        <f>IFERROR(__xludf.DUMMYFUNCTION("""COMPUTED_VALUE"""),"XD2-XPT-001")</f>
        <v>XD2-XPT-001</v>
      </c>
      <c r="B178" s="3" t="str">
        <f>IFERROR(__xludf.DUMMYFUNCTION("""COMPUTED_VALUE"""),"Xe phun thuốc HYUNDAI 15T")</f>
        <v>Xe phun thuốc HYUNDAI 15T</v>
      </c>
      <c r="C178" s="5" t="str">
        <f>IFERROR(__xludf.DUMMYFUNCTION("""COMPUTED_VALUE"""),"XN Chuối DP2")</f>
        <v>XN Chuối DP2</v>
      </c>
      <c r="D178" s="5" t="str">
        <f>IFERROR(__xludf.DUMMYFUNCTION("""COMPUTED_VALUE"""),"HYUNDAI")</f>
        <v>HYUNDAI</v>
      </c>
      <c r="E178" s="57" t="str">
        <f>IFERROR(__xludf.DUMMYFUNCTION("""COMPUTED_VALUE"""),"HÀN QUỐC")</f>
        <v>HÀN QUỐC</v>
      </c>
      <c r="F178" s="5">
        <f>IFERROR(__xludf.DUMMYFUNCTION("""COMPUTED_VALUE"""),1992.0)</f>
        <v>1992</v>
      </c>
      <c r="G178" s="5" t="str">
        <f>IFERROR(__xludf.DUMMYFUNCTION("""COMPUTED_VALUE"""),"15T")</f>
        <v>15T</v>
      </c>
      <c r="H178" s="5"/>
      <c r="I178" s="5" t="str">
        <f>IFERROR(__xludf.DUMMYFUNCTION("""COMPUTED_VALUE"""),"KMCDB19IPNU003775")</f>
        <v>KMCDB19IPNU003775</v>
      </c>
      <c r="J178" s="5" t="str">
        <f>IFERROR(__xludf.DUMMYFUNCTION("""COMPUTED_VALUE"""),"D8AVP095627")</f>
        <v>D8AVP095627</v>
      </c>
      <c r="K178" s="5">
        <f>IFERROR(__xludf.DUMMYFUNCTION("""COMPUTED_VALUE"""),3.75)</f>
        <v>3.75</v>
      </c>
      <c r="L178" s="5" t="str">
        <f>IFERROR(__xludf.DUMMYFUNCTION("""COMPUTED_VALUE"""),"KLH")</f>
        <v>KLH</v>
      </c>
    </row>
    <row r="179">
      <c r="A179" s="42" t="str">
        <f>IFERROR(__xludf.DUMMYFUNCTION("""COMPUTED_VALUE"""),"XD2-MĐA-001")</f>
        <v>XD2-MĐA-001</v>
      </c>
      <c r="B179" s="3" t="str">
        <f>IFERROR(__xludf.DUMMYFUNCTION("""COMPUTED_VALUE"""),"Máy đào KOMATSU bánh xích gàu 0.3m3")</f>
        <v>Máy đào KOMATSU bánh xích gàu 0.3m3</v>
      </c>
      <c r="C179" s="5" t="str">
        <f>IFERROR(__xludf.DUMMYFUNCTION("""COMPUTED_VALUE"""),"XN Chuối DP2")</f>
        <v>XN Chuối DP2</v>
      </c>
      <c r="D179" s="5" t="str">
        <f>IFERROR(__xludf.DUMMYFUNCTION("""COMPUTED_VALUE"""),"KOMATSU")</f>
        <v>KOMATSU</v>
      </c>
      <c r="E179" s="57" t="str">
        <f>IFERROR(__xludf.DUMMYFUNCTION("""COMPUTED_VALUE"""),"NHẬT BẢN")</f>
        <v>NHẬT BẢN</v>
      </c>
      <c r="F179" s="5">
        <f>IFERROR(__xludf.DUMMYFUNCTION("""COMPUTED_VALUE"""),2006.0)</f>
        <v>2006</v>
      </c>
      <c r="G179" s="5" t="str">
        <f>IFERROR(__xludf.DUMMYFUNCTION("""COMPUTED_VALUE"""),"PC40MR-3")</f>
        <v>PC40MR-3</v>
      </c>
      <c r="H179" s="5" t="str">
        <f>IFERROR(__xludf.DUMMYFUNCTION("""COMPUTED_VALUE"""),"39HP")</f>
        <v>39HP</v>
      </c>
      <c r="I179" s="5" t="str">
        <f>IFERROR(__xludf.DUMMYFUNCTION("""COMPUTED_VALUE"""),"8332")</f>
        <v>8332</v>
      </c>
      <c r="J179" s="5" t="str">
        <f>IFERROR(__xludf.DUMMYFUNCTION("""COMPUTED_VALUE"""),"CCN")</f>
        <v>CCN</v>
      </c>
      <c r="K179" s="5">
        <f>IFERROR(__xludf.DUMMYFUNCTION("""COMPUTED_VALUE"""),4.0)</f>
        <v>4</v>
      </c>
      <c r="L179" s="5" t="str">
        <f>IFERROR(__xludf.DUMMYFUNCTION("""COMPUTED_VALUE"""),"KLH")</f>
        <v>KLH</v>
      </c>
    </row>
    <row r="180">
      <c r="A180" s="42" t="str">
        <f>IFERROR(__xludf.DUMMYFUNCTION("""COMPUTED_VALUE"""),"XD2-TCD-001")</f>
        <v>XD2-TCD-001</v>
      </c>
      <c r="B180" s="3" t="str">
        <f>IFERROR(__xludf.DUMMYFUNCTION("""COMPUTED_VALUE"""),"Xe tải chuyên dụng (cabin đôi)")</f>
        <v>Xe tải chuyên dụng (cabin đôi)</v>
      </c>
      <c r="C180" s="5" t="str">
        <f>IFERROR(__xludf.DUMMYFUNCTION("""COMPUTED_VALUE"""),"XN Chuối DP2")</f>
        <v>XN Chuối DP2</v>
      </c>
      <c r="D180" s="5" t="str">
        <f>IFERROR(__xludf.DUMMYFUNCTION("""COMPUTED_VALUE"""),"THACO KIA")</f>
        <v>THACO KIA</v>
      </c>
      <c r="E180" s="57" t="str">
        <f>IFERROR(__xludf.DUMMYFUNCTION("""COMPUTED_VALUE"""),"VIỆT NAM")</f>
        <v>VIỆT NAM</v>
      </c>
      <c r="F180" s="5">
        <f>IFERROR(__xludf.DUMMYFUNCTION("""COMPUTED_VALUE"""),2021.0)</f>
        <v>2021</v>
      </c>
      <c r="G180" s="5" t="str">
        <f>IFERROR(__xludf.DUMMYFUNCTION("""COMPUTED_VALUE"""),"FRONTIER K200SD")</f>
        <v>FRONTIER K200SD</v>
      </c>
      <c r="H180" s="5" t="str">
        <f>IFERROR(__xludf.DUMMYFUNCTION("""COMPUTED_VALUE"""),"130HP")</f>
        <v>130HP</v>
      </c>
      <c r="I180" s="5" t="str">
        <f>IFERROR(__xludf.DUMMYFUNCTION("""COMPUTED_VALUE"""),"RNHF39KHBMT045667")</f>
        <v>RNHF39KHBMT045667</v>
      </c>
      <c r="J180" s="5" t="str">
        <f>IFERROR(__xludf.DUMMYFUNCTION("""COMPUTED_VALUE"""),"MD540079D4CB")</f>
        <v>MD540079D4CB</v>
      </c>
      <c r="K180" s="5"/>
      <c r="L180" s="5" t="str">
        <f>IFERROR(__xludf.DUMMYFUNCTION("""COMPUTED_VALUE"""),"KLH")</f>
        <v>KLH</v>
      </c>
    </row>
    <row r="181">
      <c r="A181" s="42" t="str">
        <f>IFERROR(__xludf.DUMMYFUNCTION("""COMPUTED_VALUE"""),"XD2-XTA-002")</f>
        <v>XD2-XTA-002</v>
      </c>
      <c r="B181" s="3" t="str">
        <f>IFERROR(__xludf.DUMMYFUNCTION("""COMPUTED_VALUE"""),"Xe ben Forland FD990-4WDXTH4-5T")</f>
        <v>Xe ben Forland FD990-4WDXTH4-5T</v>
      </c>
      <c r="C181" s="5" t="str">
        <f>IFERROR(__xludf.DUMMYFUNCTION("""COMPUTED_VALUE"""),"XN Chuối DP2")</f>
        <v>XN Chuối DP2</v>
      </c>
      <c r="D181" s="5" t="str">
        <f>IFERROR(__xludf.DUMMYFUNCTION("""COMPUTED_VALUE"""),"FORLAND")</f>
        <v>FORLAND</v>
      </c>
      <c r="E181" s="145" t="str">
        <f>IFERROR(__xludf.DUMMYFUNCTION("""COMPUTED_VALUE"""),"Việt Nam")</f>
        <v>Việt Nam</v>
      </c>
      <c r="F181" s="5">
        <f>IFERROR(__xludf.DUMMYFUNCTION("""COMPUTED_VALUE"""),2024.0)</f>
        <v>2024</v>
      </c>
      <c r="G181" s="5" t="str">
        <f>IFERROR(__xludf.DUMMYFUNCTION("""COMPUTED_VALUE""")," FD990-4WD")</f>
        <v> FD990-4WD</v>
      </c>
      <c r="H181" s="5" t="str">
        <f>IFERROR(__xludf.DUMMYFUNCTION("""COMPUTED_VALUE"""),"94HP")</f>
        <v>94HP</v>
      </c>
      <c r="I181" s="5" t="str">
        <f>IFERROR(__xludf.DUMMYFUNCTION("""COMPUTED_VALUE"""),"RNHF99FACRT092728")</f>
        <v>RNHF99FACRT092728</v>
      </c>
      <c r="J181" s="5" t="str">
        <f>IFERROR(__xludf.DUMMYFUNCTION("""COMPUTED_VALUE"""),"B0576976")</f>
        <v>B0576976</v>
      </c>
      <c r="K181" s="5">
        <f>IFERROR(__xludf.DUMMYFUNCTION("""COMPUTED_VALUE"""),0.33)</f>
        <v>0.33</v>
      </c>
      <c r="L181" s="5" t="str">
        <f>IFERROR(__xludf.DUMMYFUNCTION("""COMPUTED_VALUE"""),"KLH")</f>
        <v>KLH</v>
      </c>
    </row>
    <row r="182">
      <c r="A182" s="42" t="str">
        <f>IFERROR(__xludf.DUMMYFUNCTION("""COMPUTED_VALUE"""),"XD2-XTA-003")</f>
        <v>XD2-XTA-003</v>
      </c>
      <c r="B182" s="3" t="str">
        <f>IFERROR(__xludf.DUMMYFUNCTION("""COMPUTED_VALUE"""),"Xe ben Forland FD990-4WDXTH4-5T")</f>
        <v>Xe ben Forland FD990-4WDXTH4-5T</v>
      </c>
      <c r="C182" s="5" t="str">
        <f>IFERROR(__xludf.DUMMYFUNCTION("""COMPUTED_VALUE"""),"XN Chuối DP2")</f>
        <v>XN Chuối DP2</v>
      </c>
      <c r="D182" s="5" t="str">
        <f>IFERROR(__xludf.DUMMYFUNCTION("""COMPUTED_VALUE"""),"FORLAND")</f>
        <v>FORLAND</v>
      </c>
      <c r="E182" s="153" t="str">
        <f>IFERROR(__xludf.DUMMYFUNCTION("""COMPUTED_VALUE"""),"Việt Nam")</f>
        <v>Việt Nam</v>
      </c>
      <c r="F182" s="5">
        <f>IFERROR(__xludf.DUMMYFUNCTION("""COMPUTED_VALUE"""),2024.0)</f>
        <v>2024</v>
      </c>
      <c r="G182" s="5" t="str">
        <f>IFERROR(__xludf.DUMMYFUNCTION("""COMPUTED_VALUE""")," FD990-4WD")</f>
        <v> FD990-4WD</v>
      </c>
      <c r="H182" s="5" t="str">
        <f>IFERROR(__xludf.DUMMYFUNCTION("""COMPUTED_VALUE"""),"94HP")</f>
        <v>94HP</v>
      </c>
      <c r="I182" s="5" t="str">
        <f>IFERROR(__xludf.DUMMYFUNCTION("""COMPUTED_VALUE"""),"RNHF99FACRT092729")</f>
        <v>RNHF99FACRT092729</v>
      </c>
      <c r="J182" s="5" t="str">
        <f>IFERROR(__xludf.DUMMYFUNCTION("""COMPUTED_VALUE"""),"B0577298")</f>
        <v>B0577298</v>
      </c>
      <c r="K182" s="5">
        <f>IFERROR(__xludf.DUMMYFUNCTION("""COMPUTED_VALUE"""),3.0)</f>
        <v>3</v>
      </c>
      <c r="L182" s="5" t="str">
        <f>IFERROR(__xludf.DUMMYFUNCTION("""COMPUTED_VALUE"""),"KLH")</f>
        <v>KLH</v>
      </c>
    </row>
    <row r="183">
      <c r="A183" s="42" t="str">
        <f>IFERROR(__xludf.DUMMYFUNCTION("""COMPUTED_VALUE"""),"XD2-XTA-004")</f>
        <v>XD2-XTA-004</v>
      </c>
      <c r="B183" s="3" t="str">
        <f>IFERROR(__xludf.DUMMYFUNCTION("""COMPUTED_VALUE"""),"Xe ben Forland FD990-4WDXTH4-5T")</f>
        <v>Xe ben Forland FD990-4WDXTH4-5T</v>
      </c>
      <c r="C183" s="5" t="str">
        <f>IFERROR(__xludf.DUMMYFUNCTION("""COMPUTED_VALUE"""),"XN Chuối DP2")</f>
        <v>XN Chuối DP2</v>
      </c>
      <c r="D183" s="5" t="str">
        <f>IFERROR(__xludf.DUMMYFUNCTION("""COMPUTED_VALUE"""),"THACO FORLAND")</f>
        <v>THACO FORLAND</v>
      </c>
      <c r="E183" s="154" t="str">
        <f>IFERROR(__xludf.DUMMYFUNCTION("""COMPUTED_VALUE"""),"VIỆT NAM")</f>
        <v>VIỆT NAM</v>
      </c>
      <c r="F183" s="5">
        <f>IFERROR(__xludf.DUMMYFUNCTION("""COMPUTED_VALUE"""),2023.0)</f>
        <v>2023</v>
      </c>
      <c r="G183" s="5" t="str">
        <f>IFERROR(__xludf.DUMMYFUNCTION("""COMPUTED_VALUE""")," FD990-4WD")</f>
        <v> FD990-4WD</v>
      </c>
      <c r="H183" s="5" t="str">
        <f>IFERROR(__xludf.DUMMYFUNCTION("""COMPUTED_VALUE"""),"100HP")</f>
        <v>100HP</v>
      </c>
      <c r="I183" s="5" t="str">
        <f>IFERROR(__xludf.DUMMYFUNCTION("""COMPUTED_VALUE"""),"RNHF99FACPT075129")</f>
        <v>RNHF99FACPT075129</v>
      </c>
      <c r="J183" s="5" t="str">
        <f>IFERROR(__xludf.DUMMYFUNCTION("""COMPUTED_VALUE"""),"4DW9395E4B0576690")</f>
        <v>4DW9395E4B0576690</v>
      </c>
      <c r="K183" s="5">
        <f>IFERROR(__xludf.DUMMYFUNCTION("""COMPUTED_VALUE"""),0.33)</f>
        <v>0.33</v>
      </c>
      <c r="L183" s="5" t="str">
        <f>IFERROR(__xludf.DUMMYFUNCTION("""COMPUTED_VALUE"""),"KLH")</f>
        <v>KLH</v>
      </c>
    </row>
    <row r="184">
      <c r="A184" s="42" t="str">
        <f>IFERROR(__xludf.DUMMYFUNCTION("""COMPUTED_VALUE"""),"XD2-XTA-005")</f>
        <v>XD2-XTA-005</v>
      </c>
      <c r="B184" s="3" t="str">
        <f>IFERROR(__xludf.DUMMYFUNCTION("""COMPUTED_VALUE"""),"Xe tải THACO FRONTIER TF490")</f>
        <v>Xe tải THACO FRONTIER TF490</v>
      </c>
      <c r="C184" s="5" t="str">
        <f>IFERROR(__xludf.DUMMYFUNCTION("""COMPUTED_VALUE"""),"XN Chuối DP2")</f>
        <v>XN Chuối DP2</v>
      </c>
      <c r="D184" s="5" t="str">
        <f>IFERROR(__xludf.DUMMYFUNCTION("""COMPUTED_VALUE"""),"THACO FRONTIER")</f>
        <v>THACO FRONTIER</v>
      </c>
      <c r="E184" s="5" t="str">
        <f>IFERROR(__xludf.DUMMYFUNCTION("""COMPUTED_VALUE"""),"VIỆT NAM")</f>
        <v>VIỆT NAM</v>
      </c>
      <c r="F184" s="5">
        <f>IFERROR(__xludf.DUMMYFUNCTION("""COMPUTED_VALUE"""),2024.0)</f>
        <v>2024</v>
      </c>
      <c r="G184" s="5" t="str">
        <f>IFERROR(__xludf.DUMMYFUNCTION("""COMPUTED_VALUE"""),"TF490")</f>
        <v>TF490</v>
      </c>
      <c r="H184" s="5" t="str">
        <f>IFERROR(__xludf.DUMMYFUNCTION("""COMPUTED_VALUE"""),"107HP")</f>
        <v>107HP</v>
      </c>
      <c r="I184" s="5" t="str">
        <f>IFERROR(__xludf.DUMMYFUNCTION("""COMPUTED_VALUE"""),"RNHA49TZART082919")</f>
        <v>RNHA49TZART082919</v>
      </c>
      <c r="J184" s="5" t="str">
        <f>IFERROR(__xludf.DUMMYFUNCTION("""COMPUTED_VALUE"""),"JE493ZLQ4*37100368*")</f>
        <v>JE493ZLQ4*37100368*</v>
      </c>
      <c r="K184" s="5">
        <f>IFERROR(__xludf.DUMMYFUNCTION("""COMPUTED_VALUE"""),0.2)</f>
        <v>0.2</v>
      </c>
      <c r="L184" s="5" t="str">
        <f>IFERROR(__xludf.DUMMYFUNCTION("""COMPUTED_VALUE"""),"KLH")</f>
        <v>KLH</v>
      </c>
    </row>
    <row r="185">
      <c r="A185" s="42" t="str">
        <f>IFERROR(__xludf.DUMMYFUNCTION("""COMPUTED_VALUE"""),"XD2-XNA-001")</f>
        <v>XD2-XNA-001</v>
      </c>
      <c r="B185" s="3" t="str">
        <f>IFERROR(__xludf.DUMMYFUNCTION("""COMPUTED_VALUE"""),"Xe nâng điện 2.5 tấn")</f>
        <v>Xe nâng điện 2.5 tấn</v>
      </c>
      <c r="C185" s="5" t="str">
        <f>IFERROR(__xludf.DUMMYFUNCTION("""COMPUTED_VALUE"""),"XN Chuối DP2")</f>
        <v>XN Chuối DP2</v>
      </c>
      <c r="D185" s="5" t="str">
        <f>IFERROR(__xludf.DUMMYFUNCTION("""COMPUTED_VALUE"""),"LOVOL")</f>
        <v>LOVOL</v>
      </c>
      <c r="E185" s="5" t="str">
        <f>IFERROR(__xludf.DUMMYFUNCTION("""COMPUTED_VALUE"""),"TRUNG QUỐC")</f>
        <v>TRUNG QUỐC</v>
      </c>
      <c r="F185" s="5">
        <f>IFERROR(__xludf.DUMMYFUNCTION("""COMPUTED_VALUE"""),2025.0)</f>
        <v>2025</v>
      </c>
      <c r="G185" s="5" t="str">
        <f>IFERROR(__xludf.DUMMYFUNCTION("""COMPUTED_VALUE"""),"FF25E")</f>
        <v>FF25E</v>
      </c>
      <c r="H185" s="5" t="str">
        <f>IFERROR(__xludf.DUMMYFUNCTION("""COMPUTED_VALUE"""),"14HP")</f>
        <v>14HP</v>
      </c>
      <c r="I185" s="5" t="str">
        <f>IFERROR(__xludf.DUMMYFUNCTION("""COMPUTED_VALUE"""),"C31293P50544")</f>
        <v>C31293P50544</v>
      </c>
      <c r="J185" s="5" t="str">
        <f>IFERROR(__xludf.DUMMYFUNCTION("""COMPUTED_VALUE"""),"JB253701317")</f>
        <v>JB253701317</v>
      </c>
      <c r="K185" s="5"/>
      <c r="L185" s="5" t="str">
        <f>IFERROR(__xludf.DUMMYFUNCTION("""COMPUTED_VALUE"""),"KLH")</f>
        <v>KLH</v>
      </c>
    </row>
    <row r="186">
      <c r="A186" s="42" t="str">
        <f>IFERROR(__xludf.DUMMYFUNCTION("""COMPUTED_VALUE"""),"XD2-XNA-002")</f>
        <v>XD2-XNA-002</v>
      </c>
      <c r="B186" s="3" t="str">
        <f>IFERROR(__xludf.DUMMYFUNCTION("""COMPUTED_VALUE"""),"Xe nâng điện 1.5 tấn")</f>
        <v>Xe nâng điện 1.5 tấn</v>
      </c>
      <c r="C186" s="5" t="str">
        <f>IFERROR(__xludf.DUMMYFUNCTION("""COMPUTED_VALUE"""),"XN Chuối DP2")</f>
        <v>XN Chuối DP2</v>
      </c>
      <c r="D186" s="5" t="str">
        <f>IFERROR(__xludf.DUMMYFUNCTION("""COMPUTED_VALUE"""),"LOVOL")</f>
        <v>LOVOL</v>
      </c>
      <c r="E186" s="5" t="str">
        <f>IFERROR(__xludf.DUMMYFUNCTION("""COMPUTED_VALUE"""),"TRUNG QUỐC")</f>
        <v>TRUNG QUỐC</v>
      </c>
      <c r="F186" s="5">
        <f>IFERROR(__xludf.DUMMYFUNCTION("""COMPUTED_VALUE"""),2026.0)</f>
        <v>2026</v>
      </c>
      <c r="G186" s="5" t="str">
        <f>IFERROR(__xludf.DUMMYFUNCTION("""COMPUTED_VALUE"""),"FF15E")</f>
        <v>FF15E</v>
      </c>
      <c r="H186" s="5" t="str">
        <f>IFERROR(__xludf.DUMMYFUNCTION("""COMPUTED_VALUE"""),"11,8 HP")</f>
        <v>11,8 HP</v>
      </c>
      <c r="I186" s="5" t="str">
        <f>IFERROR(__xludf.DUMMYFUNCTION("""COMPUTED_VALUE"""),"C31293R50030")</f>
        <v>C31293R50030</v>
      </c>
      <c r="J186" s="5"/>
      <c r="K186" s="5"/>
      <c r="L186" s="5" t="str">
        <f>IFERROR(__xludf.DUMMYFUNCTION("""COMPUTED_VALUE"""),"KLH")</f>
        <v>KLH</v>
      </c>
    </row>
    <row r="187">
      <c r="A187" s="42" t="str">
        <f>IFERROR(__xludf.DUMMYFUNCTION("""COMPUTED_VALUE"""),"XD2-CLT-001")</f>
        <v>XD2-CLT-001</v>
      </c>
      <c r="B187" s="3" t="str">
        <f>IFERROR(__xludf.DUMMYFUNCTION("""COMPUTED_VALUE"""),"Xe clethon")</f>
        <v>Xe clethon</v>
      </c>
      <c r="C187" s="5" t="str">
        <f>IFERROR(__xludf.DUMMYFUNCTION("""COMPUTED_VALUE"""),"XN Chuối DP2")</f>
        <v>XN Chuối DP2</v>
      </c>
      <c r="D187" s="5" t="str">
        <f>IFERROR(__xludf.DUMMYFUNCTION("""COMPUTED_VALUE"""),"YANMAR")</f>
        <v>YANMAR</v>
      </c>
      <c r="E187" s="5" t="str">
        <f>IFERROR(__xludf.DUMMYFUNCTION("""COMPUTED_VALUE"""),"INDONESIA")</f>
        <v>INDONESIA</v>
      </c>
      <c r="F187" s="5">
        <f>IFERROR(__xludf.DUMMYFUNCTION("""COMPUTED_VALUE"""),2022.0)</f>
        <v>2022</v>
      </c>
      <c r="G187" s="5" t="str">
        <f>IFERROR(__xludf.DUMMYFUNCTION("""COMPUTED_VALUE"""),"TF150NL-PR2")</f>
        <v>TF150NL-PR2</v>
      </c>
      <c r="H187" s="5" t="str">
        <f>IFERROR(__xludf.DUMMYFUNCTION("""COMPUTED_VALUE"""),"15HP")</f>
        <v>15HP</v>
      </c>
      <c r="I187" s="5" t="str">
        <f>IFERROR(__xludf.DUMMYFUNCTION("""COMPUTED_VALUE"""),"203050")</f>
        <v>203050</v>
      </c>
      <c r="J187" s="5" t="str">
        <f>IFERROR(__xludf.DUMMYFUNCTION("""COMPUTED_VALUE"""),"B2229L")</f>
        <v>B2229L</v>
      </c>
      <c r="K187" s="5">
        <f>IFERROR(__xludf.DUMMYFUNCTION("""COMPUTED_VALUE"""),0.5)</f>
        <v>0.5</v>
      </c>
      <c r="L187" s="5" t="str">
        <f>IFERROR(__xludf.DUMMYFUNCTION("""COMPUTED_VALUE"""),"KLH")</f>
        <v>KLH</v>
      </c>
    </row>
    <row r="188">
      <c r="A188" s="42" t="str">
        <f>IFERROR(__xludf.DUMMYFUNCTION("""COMPUTED_VALUE"""),"XD2-CLT-002")</f>
        <v>XD2-CLT-002</v>
      </c>
      <c r="B188" s="3" t="str">
        <f>IFERROR(__xludf.DUMMYFUNCTION("""COMPUTED_VALUE"""),"Xe clethon")</f>
        <v>Xe clethon</v>
      </c>
      <c r="C188" s="5" t="str">
        <f>IFERROR(__xludf.DUMMYFUNCTION("""COMPUTED_VALUE"""),"XN Chuối DP2")</f>
        <v>XN Chuối DP2</v>
      </c>
      <c r="D188" s="5" t="str">
        <f>IFERROR(__xludf.DUMMYFUNCTION("""COMPUTED_VALUE"""),"YANMAR")</f>
        <v>YANMAR</v>
      </c>
      <c r="E188" s="5" t="str">
        <f>IFERROR(__xludf.DUMMYFUNCTION("""COMPUTED_VALUE"""),"INDONESIA")</f>
        <v>INDONESIA</v>
      </c>
      <c r="F188" s="5">
        <f>IFERROR(__xludf.DUMMYFUNCTION("""COMPUTED_VALUE"""),2022.0)</f>
        <v>2022</v>
      </c>
      <c r="G188" s="5" t="str">
        <f>IFERROR(__xludf.DUMMYFUNCTION("""COMPUTED_VALUE"""),"TF150NL-PR2")</f>
        <v>TF150NL-PR2</v>
      </c>
      <c r="H188" s="5" t="str">
        <f>IFERROR(__xludf.DUMMYFUNCTION("""COMPUTED_VALUE"""),"15HP")</f>
        <v>15HP</v>
      </c>
      <c r="I188" s="5" t="str">
        <f>IFERROR(__xludf.DUMMYFUNCTION("""COMPUTED_VALUE"""),"203054")</f>
        <v>203054</v>
      </c>
      <c r="J188" s="5" t="str">
        <f>IFERROR(__xludf.DUMMYFUNCTION("""COMPUTED_VALUE"""),"B1314M")</f>
        <v>B1314M</v>
      </c>
      <c r="K188" s="5">
        <f>IFERROR(__xludf.DUMMYFUNCTION("""COMPUTED_VALUE"""),0.5)</f>
        <v>0.5</v>
      </c>
      <c r="L188" s="5" t="str">
        <f>IFERROR(__xludf.DUMMYFUNCTION("""COMPUTED_VALUE"""),"KLH")</f>
        <v>KLH</v>
      </c>
    </row>
    <row r="189">
      <c r="A189" s="42" t="str">
        <f>IFERROR(__xludf.DUMMYFUNCTION("""COMPUTED_VALUE"""),"XD2-CLT-003")</f>
        <v>XD2-CLT-003</v>
      </c>
      <c r="B189" s="3" t="str">
        <f>IFERROR(__xludf.DUMMYFUNCTION("""COMPUTED_VALUE"""),"Xe clethon")</f>
        <v>Xe clethon</v>
      </c>
      <c r="C189" s="5" t="str">
        <f>IFERROR(__xludf.DUMMYFUNCTION("""COMPUTED_VALUE"""),"XN Chuối DP2")</f>
        <v>XN Chuối DP2</v>
      </c>
      <c r="D189" s="5" t="str">
        <f>IFERROR(__xludf.DUMMYFUNCTION("""COMPUTED_VALUE"""),"YANMAR")</f>
        <v>YANMAR</v>
      </c>
      <c r="E189" s="5" t="str">
        <f>IFERROR(__xludf.DUMMYFUNCTION("""COMPUTED_VALUE"""),"INDONESIA")</f>
        <v>INDONESIA</v>
      </c>
      <c r="F189" s="5">
        <f>IFERROR(__xludf.DUMMYFUNCTION("""COMPUTED_VALUE"""),2022.0)</f>
        <v>2022</v>
      </c>
      <c r="G189" s="5" t="str">
        <f>IFERROR(__xludf.DUMMYFUNCTION("""COMPUTED_VALUE"""),"TF150NL-PR2")</f>
        <v>TF150NL-PR2</v>
      </c>
      <c r="H189" s="5" t="str">
        <f>IFERROR(__xludf.DUMMYFUNCTION("""COMPUTED_VALUE"""),"15HP")</f>
        <v>15HP</v>
      </c>
      <c r="I189" s="5" t="str">
        <f>IFERROR(__xludf.DUMMYFUNCTION("""COMPUTED_VALUE"""),"203068")</f>
        <v>203068</v>
      </c>
      <c r="J189" s="5" t="str">
        <f>IFERROR(__xludf.DUMMYFUNCTION("""COMPUTED_VALUE"""),"B2099L")</f>
        <v>B2099L</v>
      </c>
      <c r="K189" s="5">
        <f>IFERROR(__xludf.DUMMYFUNCTION("""COMPUTED_VALUE"""),0.5)</f>
        <v>0.5</v>
      </c>
      <c r="L189" s="5" t="str">
        <f>IFERROR(__xludf.DUMMYFUNCTION("""COMPUTED_VALUE"""),"KLH")</f>
        <v>KLH</v>
      </c>
    </row>
    <row r="190">
      <c r="A190" s="156" t="str">
        <f>IFERROR(__xludf.DUMMYFUNCTION("""COMPUTED_VALUE"""),"XD2-CLT-004")</f>
        <v>XD2-CLT-004</v>
      </c>
      <c r="B190" s="3" t="str">
        <f>IFERROR(__xludf.DUMMYFUNCTION("""COMPUTED_VALUE"""),"Xe clethon")</f>
        <v>Xe clethon</v>
      </c>
      <c r="C190" s="5" t="str">
        <f>IFERROR(__xludf.DUMMYFUNCTION("""COMPUTED_VALUE"""),"XN Chuối DP2")</f>
        <v>XN Chuối DP2</v>
      </c>
      <c r="D190" s="5" t="str">
        <f>IFERROR(__xludf.DUMMYFUNCTION("""COMPUTED_VALUE"""),"YANMAR")</f>
        <v>YANMAR</v>
      </c>
      <c r="E190" s="5" t="str">
        <f>IFERROR(__xludf.DUMMYFUNCTION("""COMPUTED_VALUE"""),"INDONESIA")</f>
        <v>INDONESIA</v>
      </c>
      <c r="F190" s="5">
        <f>IFERROR(__xludf.DUMMYFUNCTION("""COMPUTED_VALUE"""),2022.0)</f>
        <v>2022</v>
      </c>
      <c r="G190" s="5" t="str">
        <f>IFERROR(__xludf.DUMMYFUNCTION("""COMPUTED_VALUE"""),"TF150NL-PR2")</f>
        <v>TF150NL-PR2</v>
      </c>
      <c r="H190" s="5" t="str">
        <f>IFERROR(__xludf.DUMMYFUNCTION("""COMPUTED_VALUE"""),"15HP")</f>
        <v>15HP</v>
      </c>
      <c r="I190" s="5" t="str">
        <f>IFERROR(__xludf.DUMMYFUNCTION("""COMPUTED_VALUE"""),"203075")</f>
        <v>203075</v>
      </c>
      <c r="J190" s="5" t="str">
        <f>IFERROR(__xludf.DUMMYFUNCTION("""COMPUTED_VALUE"""),"B2151L")</f>
        <v>B2151L</v>
      </c>
      <c r="K190" s="5">
        <f>IFERROR(__xludf.DUMMYFUNCTION("""COMPUTED_VALUE"""),0.5)</f>
        <v>0.5</v>
      </c>
      <c r="L190" s="5" t="str">
        <f>IFERROR(__xludf.DUMMYFUNCTION("""COMPUTED_VALUE"""),"KLH")</f>
        <v>KLH</v>
      </c>
    </row>
    <row r="191">
      <c r="A191" s="157" t="str">
        <f>IFERROR(__xludf.DUMMYFUNCTION("""COMPUTED_VALUE"""),"XD2-CLT-005")</f>
        <v>XD2-CLT-005</v>
      </c>
      <c r="B191" s="3" t="str">
        <f>IFERROR(__xludf.DUMMYFUNCTION("""COMPUTED_VALUE"""),"Xe clethon")</f>
        <v>Xe clethon</v>
      </c>
      <c r="C191" s="5" t="str">
        <f>IFERROR(__xludf.DUMMYFUNCTION("""COMPUTED_VALUE"""),"XN Chuối DP2")</f>
        <v>XN Chuối DP2</v>
      </c>
      <c r="D191" s="5" t="str">
        <f>IFERROR(__xludf.DUMMYFUNCTION("""COMPUTED_VALUE"""),"YANMAR")</f>
        <v>YANMAR</v>
      </c>
      <c r="E191" s="5" t="str">
        <f>IFERROR(__xludf.DUMMYFUNCTION("""COMPUTED_VALUE"""),"INDONESIA")</f>
        <v>INDONESIA</v>
      </c>
      <c r="F191" s="5">
        <f>IFERROR(__xludf.DUMMYFUNCTION("""COMPUTED_VALUE"""),2022.0)</f>
        <v>2022</v>
      </c>
      <c r="G191" s="5" t="str">
        <f>IFERROR(__xludf.DUMMYFUNCTION("""COMPUTED_VALUE"""),"TF150NL-PR2")</f>
        <v>TF150NL-PR2</v>
      </c>
      <c r="H191" s="5" t="str">
        <f>IFERROR(__xludf.DUMMYFUNCTION("""COMPUTED_VALUE"""),"15HP")</f>
        <v>15HP</v>
      </c>
      <c r="I191" s="5" t="str">
        <f>IFERROR(__xludf.DUMMYFUNCTION("""COMPUTED_VALUE"""),"203086")</f>
        <v>203086</v>
      </c>
      <c r="J191" s="5" t="str">
        <f>IFERROR(__xludf.DUMMYFUNCTION("""COMPUTED_VALUE"""),"C0853C")</f>
        <v>C0853C</v>
      </c>
      <c r="K191" s="5">
        <f>IFERROR(__xludf.DUMMYFUNCTION("""COMPUTED_VALUE"""),0.5)</f>
        <v>0.5</v>
      </c>
      <c r="L191" s="5" t="str">
        <f>IFERROR(__xludf.DUMMYFUNCTION("""COMPUTED_VALUE"""),"KLH")</f>
        <v>KLH</v>
      </c>
    </row>
    <row r="192">
      <c r="A192" s="156" t="str">
        <f>IFERROR(__xludf.DUMMYFUNCTION("""COMPUTED_VALUE"""),"XD2-MĐQ-001")</f>
        <v>XD2-MĐQ-001</v>
      </c>
      <c r="B192" s="3" t="str">
        <f>IFERROR(__xludf.DUMMYFUNCTION("""COMPUTED_VALUE"""),"Máy cắt cỏ đĩa quay 8HP")</f>
        <v>Máy cắt cỏ đĩa quay 8HP</v>
      </c>
      <c r="C192" s="5" t="str">
        <f>IFERROR(__xludf.DUMMYFUNCTION("""COMPUTED_VALUE"""),"XN Chuối DP2")</f>
        <v>XN Chuối DP2</v>
      </c>
      <c r="D192" s="5" t="str">
        <f>IFERROR(__xludf.DUMMYFUNCTION("""COMPUTED_VALUE"""),"HONDA")</f>
        <v>HONDA</v>
      </c>
      <c r="E192" s="5" t="str">
        <f>IFERROR(__xludf.DUMMYFUNCTION("""COMPUTED_VALUE"""),"JANPAN")</f>
        <v>JANPAN</v>
      </c>
      <c r="F192" s="5"/>
      <c r="G192" s="5" t="str">
        <f>IFERROR(__xludf.DUMMYFUNCTION("""COMPUTED_VALUE"""),"GX240")</f>
        <v>GX240</v>
      </c>
      <c r="H192" s="5" t="str">
        <f>IFERROR(__xludf.DUMMYFUNCTION("""COMPUTED_VALUE"""),"8HP")</f>
        <v>8HP</v>
      </c>
      <c r="I192" s="5" t="str">
        <f>IFERROR(__xludf.DUMMYFUNCTION("""COMPUTED_VALUE"""),"CCN")</f>
        <v>CCN</v>
      </c>
      <c r="J192" s="5" t="str">
        <f>IFERROR(__xludf.DUMMYFUNCTION("""COMPUTED_VALUE"""),"4418343")</f>
        <v>4418343</v>
      </c>
      <c r="K192" s="5">
        <f>IFERROR(__xludf.DUMMYFUNCTION("""COMPUTED_VALUE"""),2.3)</f>
        <v>2.3</v>
      </c>
      <c r="L192" s="5" t="str">
        <f>IFERROR(__xludf.DUMMYFUNCTION("""COMPUTED_VALUE"""),"KLH")</f>
        <v>KLH</v>
      </c>
    </row>
    <row r="193">
      <c r="A193" s="156" t="str">
        <f>IFERROR(__xludf.DUMMYFUNCTION("""COMPUTED_VALUE"""),"XD2-MĐQ-002")</f>
        <v>XD2-MĐQ-002</v>
      </c>
      <c r="B193" s="3" t="str">
        <f>IFERROR(__xludf.DUMMYFUNCTION("""COMPUTED_VALUE"""),"Máy cắt cỏ đĩa quay 8HP")</f>
        <v>Máy cắt cỏ đĩa quay 8HP</v>
      </c>
      <c r="C193" s="5" t="str">
        <f>IFERROR(__xludf.DUMMYFUNCTION("""COMPUTED_VALUE"""),"XN Chuối DP2")</f>
        <v>XN Chuối DP2</v>
      </c>
      <c r="D193" s="5" t="str">
        <f>IFERROR(__xludf.DUMMYFUNCTION("""COMPUTED_VALUE"""),"YANMAR")</f>
        <v>YANMAR</v>
      </c>
      <c r="E193" s="5" t="str">
        <f>IFERROR(__xludf.DUMMYFUNCTION("""COMPUTED_VALUE"""),"JANPAN")</f>
        <v>JANPAN</v>
      </c>
      <c r="F193" s="5"/>
      <c r="G193" s="5" t="str">
        <f>IFERROR(__xludf.DUMMYFUNCTION("""COMPUTED_VALUE"""),"YG8")</f>
        <v>YG8</v>
      </c>
      <c r="H193" s="5" t="str">
        <f>IFERROR(__xludf.DUMMYFUNCTION("""COMPUTED_VALUE"""),"8HP")</f>
        <v>8HP</v>
      </c>
      <c r="I193" s="5" t="str">
        <f>IFERROR(__xludf.DUMMYFUNCTION("""COMPUTED_VALUE"""),"871668")</f>
        <v>871668</v>
      </c>
      <c r="J193" s="5" t="str">
        <f>IFERROR(__xludf.DUMMYFUNCTION("""COMPUTED_VALUE"""),"20189")</f>
        <v>20189</v>
      </c>
      <c r="K193" s="5">
        <f>IFERROR(__xludf.DUMMYFUNCTION("""COMPUTED_VALUE"""),2.3)</f>
        <v>2.3</v>
      </c>
      <c r="L193" s="5" t="str">
        <f>IFERROR(__xludf.DUMMYFUNCTION("""COMPUTED_VALUE"""),"KLH")</f>
        <v>KLH</v>
      </c>
    </row>
    <row r="194">
      <c r="A194" s="42" t="str">
        <f>IFERROR(__xludf.DUMMYFUNCTION("""COMPUTED_VALUE"""),"XD2-CCD-001")</f>
        <v>XD2-CCD-001</v>
      </c>
      <c r="B194" s="3" t="str">
        <f>IFERROR(__xludf.DUMMYFUNCTION("""COMPUTED_VALUE"""),"Máy cắt cỏ trục băm đa năng")</f>
        <v>Máy cắt cỏ trục băm đa năng</v>
      </c>
      <c r="C194" s="5" t="str">
        <f>IFERROR(__xludf.DUMMYFUNCTION("""COMPUTED_VALUE"""),"XN Chuối DP2")</f>
        <v>XN Chuối DP2</v>
      </c>
      <c r="D194" s="5" t="str">
        <f>IFERROR(__xludf.DUMMYFUNCTION("""COMPUTED_VALUE"""),"ISHIKAWA")</f>
        <v>ISHIKAWA</v>
      </c>
      <c r="E194" s="5" t="str">
        <f>IFERROR(__xludf.DUMMYFUNCTION("""COMPUTED_VALUE"""),"VIỆT NAM")</f>
        <v>VIỆT NAM</v>
      </c>
      <c r="F194" s="5">
        <f>IFERROR(__xludf.DUMMYFUNCTION("""COMPUTED_VALUE"""),2025.0)</f>
        <v>2025</v>
      </c>
      <c r="G194" s="5" t="str">
        <f>IFERROR(__xludf.DUMMYFUNCTION("""COMPUTED_VALUE"""),"TL662")</f>
        <v>TL662</v>
      </c>
      <c r="H194" s="5" t="str">
        <f>IFERROR(__xludf.DUMMYFUNCTION("""COMPUTED_VALUE"""),"10HP")</f>
        <v>10HP</v>
      </c>
      <c r="I194" s="5" t="str">
        <f>IFERROR(__xludf.DUMMYFUNCTION("""COMPUTED_VALUE"""),"TL20250601404")</f>
        <v>TL20250601404</v>
      </c>
      <c r="J194" s="5" t="str">
        <f>IFERROR(__xludf.DUMMYFUNCTION("""COMPUTED_VALUE"""),"GT1000B0042094CD")</f>
        <v>GT1000B0042094CD</v>
      </c>
      <c r="K194" s="5">
        <f>IFERROR(__xludf.DUMMYFUNCTION("""COMPUTED_VALUE"""),1.8)</f>
        <v>1.8</v>
      </c>
      <c r="L194" s="5" t="str">
        <f>IFERROR(__xludf.DUMMYFUNCTION("""COMPUTED_VALUE"""),"KLH")</f>
        <v>KLH</v>
      </c>
    </row>
    <row r="195">
      <c r="A195" s="42" t="str">
        <f>IFERROR(__xludf.DUMMYFUNCTION("""COMPUTED_VALUE"""),"XD2-CCD-002")</f>
        <v>XD2-CCD-002</v>
      </c>
      <c r="B195" s="3" t="str">
        <f>IFERROR(__xludf.DUMMYFUNCTION("""COMPUTED_VALUE"""),"Máy cắt cỏ trục băm đa năng")</f>
        <v>Máy cắt cỏ trục băm đa năng</v>
      </c>
      <c r="C195" s="5" t="str">
        <f>IFERROR(__xludf.DUMMYFUNCTION("""COMPUTED_VALUE"""),"XN Chuối DP2")</f>
        <v>XN Chuối DP2</v>
      </c>
      <c r="D195" s="5" t="str">
        <f>IFERROR(__xludf.DUMMYFUNCTION("""COMPUTED_VALUE"""),"ISHIKAWA")</f>
        <v>ISHIKAWA</v>
      </c>
      <c r="E195" s="5" t="str">
        <f>IFERROR(__xludf.DUMMYFUNCTION("""COMPUTED_VALUE"""),"VIỆT NAM")</f>
        <v>VIỆT NAM</v>
      </c>
      <c r="F195" s="5">
        <f>IFERROR(__xludf.DUMMYFUNCTION("""COMPUTED_VALUE"""),2025.0)</f>
        <v>2025</v>
      </c>
      <c r="G195" s="5" t="str">
        <f>IFERROR(__xludf.DUMMYFUNCTION("""COMPUTED_VALUE"""),"TL662")</f>
        <v>TL662</v>
      </c>
      <c r="H195" s="5" t="str">
        <f>IFERROR(__xludf.DUMMYFUNCTION("""COMPUTED_VALUE"""),"10HP")</f>
        <v>10HP</v>
      </c>
      <c r="I195" s="5" t="str">
        <f>IFERROR(__xludf.DUMMYFUNCTION("""COMPUTED_VALUE"""),"TL202506014015")</f>
        <v>TL202506014015</v>
      </c>
      <c r="J195" s="5" t="str">
        <f>IFERROR(__xludf.DUMMYFUNCTION("""COMPUTED_VALUE"""),"GT1000B0042109CD")</f>
        <v>GT1000B0042109CD</v>
      </c>
      <c r="K195" s="5">
        <f>IFERROR(__xludf.DUMMYFUNCTION("""COMPUTED_VALUE"""),1.8)</f>
        <v>1.8</v>
      </c>
      <c r="L195" s="5" t="str">
        <f>IFERROR(__xludf.DUMMYFUNCTION("""COMPUTED_VALUE"""),"KLH")</f>
        <v>KLH</v>
      </c>
    </row>
    <row r="196">
      <c r="A196" s="42" t="str">
        <f>IFERROR(__xludf.DUMMYFUNCTION("""COMPUTED_VALUE"""),"XD2-CCD-003")</f>
        <v>XD2-CCD-003</v>
      </c>
      <c r="B196" s="3" t="str">
        <f>IFERROR(__xludf.DUMMYFUNCTION("""COMPUTED_VALUE"""),"Máy cắt cỏ trục băm đa năng")</f>
        <v>Máy cắt cỏ trục băm đa năng</v>
      </c>
      <c r="C196" s="5" t="str">
        <f>IFERROR(__xludf.DUMMYFUNCTION("""COMPUTED_VALUE"""),"XN Chuối DP2")</f>
        <v>XN Chuối DP2</v>
      </c>
      <c r="D196" s="5" t="str">
        <f>IFERROR(__xludf.DUMMYFUNCTION("""COMPUTED_VALUE"""),"ISHIKAWA")</f>
        <v>ISHIKAWA</v>
      </c>
      <c r="E196" s="5" t="str">
        <f>IFERROR(__xludf.DUMMYFUNCTION("""COMPUTED_VALUE"""),"VIỆT NAM")</f>
        <v>VIỆT NAM</v>
      </c>
      <c r="F196" s="5">
        <f>IFERROR(__xludf.DUMMYFUNCTION("""COMPUTED_VALUE"""),2025.0)</f>
        <v>2025</v>
      </c>
      <c r="G196" s="5" t="str">
        <f>IFERROR(__xludf.DUMMYFUNCTION("""COMPUTED_VALUE"""),"TL662")</f>
        <v>TL662</v>
      </c>
      <c r="H196" s="5" t="str">
        <f>IFERROR(__xludf.DUMMYFUNCTION("""COMPUTED_VALUE"""),"10HP")</f>
        <v>10HP</v>
      </c>
      <c r="I196" s="5" t="str">
        <f>IFERROR(__xludf.DUMMYFUNCTION("""COMPUTED_VALUE"""),"TL202506014017")</f>
        <v>TL202506014017</v>
      </c>
      <c r="J196" s="5" t="str">
        <f>IFERROR(__xludf.DUMMYFUNCTION("""COMPUTED_VALUE"""),"GT1000B0042099CD")</f>
        <v>GT1000B0042099CD</v>
      </c>
      <c r="K196" s="5">
        <f>IFERROR(__xludf.DUMMYFUNCTION("""COMPUTED_VALUE"""),1.8)</f>
        <v>1.8</v>
      </c>
      <c r="L196" s="5" t="str">
        <f>IFERROR(__xludf.DUMMYFUNCTION("""COMPUTED_VALUE"""),"KLH")</f>
        <v>KLH</v>
      </c>
    </row>
    <row r="197">
      <c r="A197" s="42" t="str">
        <f>IFERROR(__xludf.DUMMYFUNCTION("""COMPUTED_VALUE"""),"XD2-CCD-004")</f>
        <v>XD2-CCD-004</v>
      </c>
      <c r="B197" s="3" t="str">
        <f>IFERROR(__xludf.DUMMYFUNCTION("""COMPUTED_VALUE"""),"Máy cắt cỏ trục băm đa năng")</f>
        <v>Máy cắt cỏ trục băm đa năng</v>
      </c>
      <c r="C197" s="5" t="str">
        <f>IFERROR(__xludf.DUMMYFUNCTION("""COMPUTED_VALUE"""),"XN Chuối DP2")</f>
        <v>XN Chuối DP2</v>
      </c>
      <c r="D197" s="5" t="str">
        <f>IFERROR(__xludf.DUMMYFUNCTION("""COMPUTED_VALUE"""),"ISHIKAWA")</f>
        <v>ISHIKAWA</v>
      </c>
      <c r="E197" s="5" t="str">
        <f>IFERROR(__xludf.DUMMYFUNCTION("""COMPUTED_VALUE"""),"VIỆT NAM")</f>
        <v>VIỆT NAM</v>
      </c>
      <c r="F197" s="5">
        <f>IFERROR(__xludf.DUMMYFUNCTION("""COMPUTED_VALUE"""),2025.0)</f>
        <v>2025</v>
      </c>
      <c r="G197" s="5" t="str">
        <f>IFERROR(__xludf.DUMMYFUNCTION("""COMPUTED_VALUE"""),"TL662")</f>
        <v>TL662</v>
      </c>
      <c r="H197" s="5" t="str">
        <f>IFERROR(__xludf.DUMMYFUNCTION("""COMPUTED_VALUE"""),"10HP")</f>
        <v>10HP</v>
      </c>
      <c r="I197" s="5" t="str">
        <f>IFERROR(__xludf.DUMMYFUNCTION("""COMPUTED_VALUE"""),"TL202506014020")</f>
        <v>TL202506014020</v>
      </c>
      <c r="J197" s="5" t="str">
        <f>IFERROR(__xludf.DUMMYFUNCTION("""COMPUTED_VALUE"""),"GT1000B0042092CD")</f>
        <v>GT1000B0042092CD</v>
      </c>
      <c r="K197" s="5">
        <f>IFERROR(__xludf.DUMMYFUNCTION("""COMPUTED_VALUE"""),1.8)</f>
        <v>1.8</v>
      </c>
      <c r="L197" s="5" t="str">
        <f>IFERROR(__xludf.DUMMYFUNCTION("""COMPUTED_VALUE"""),"KLH")</f>
        <v>KLH</v>
      </c>
    </row>
    <row r="198">
      <c r="A198" s="42" t="str">
        <f>IFERROR(__xludf.DUMMYFUNCTION("""COMPUTED_VALUE"""),"Xí nghiệp Chuối DP3")</f>
        <v>Xí nghiệp Chuối DP3</v>
      </c>
      <c r="B198" s="3"/>
      <c r="C198" s="5"/>
      <c r="D198" s="5"/>
      <c r="E198" s="5"/>
      <c r="F198" s="5"/>
      <c r="G198" s="5"/>
      <c r="H198" s="5"/>
      <c r="I198" s="5"/>
      <c r="J198" s="5"/>
      <c r="K198" s="5"/>
      <c r="L198" s="5" t="str">
        <f>IFERROR(__xludf.DUMMYFUNCTION("""COMPUTED_VALUE"""),"KLH")</f>
        <v>KLH</v>
      </c>
    </row>
    <row r="199">
      <c r="A199" s="42" t="str">
        <f>IFERROR(__xludf.DUMMYFUNCTION("""COMPUTED_VALUE"""),"XD3-MKE-002")</f>
        <v>XD3-MKE-002</v>
      </c>
      <c r="B199" s="3" t="str">
        <f>IFERROR(__xludf.DUMMYFUNCTION("""COMPUTED_VALUE"""),"Máy cày L4508")</f>
        <v>Máy cày L4508</v>
      </c>
      <c r="C199" s="5" t="str">
        <f>IFERROR(__xludf.DUMMYFUNCTION("""COMPUTED_VALUE"""),"XN Chuối DP3")</f>
        <v>XN Chuối DP3</v>
      </c>
      <c r="D199" s="5" t="str">
        <f>IFERROR(__xludf.DUMMYFUNCTION("""COMPUTED_VALUE"""),"KUBOTA")</f>
        <v>KUBOTA</v>
      </c>
      <c r="E199" s="5" t="str">
        <f>IFERROR(__xludf.DUMMYFUNCTION("""COMPUTED_VALUE"""),"NHẬT BẢN")</f>
        <v>NHẬT BẢN</v>
      </c>
      <c r="F199" s="5">
        <f>IFERROR(__xludf.DUMMYFUNCTION("""COMPUTED_VALUE"""),2019.0)</f>
        <v>2019</v>
      </c>
      <c r="G199" s="5" t="str">
        <f>IFERROR(__xludf.DUMMYFUNCTION("""COMPUTED_VALUE"""),"L4508")</f>
        <v>L4508</v>
      </c>
      <c r="H199" s="5" t="str">
        <f>IFERROR(__xludf.DUMMYFUNCTION("""COMPUTED_VALUE"""),"45HP")</f>
        <v>45HP</v>
      </c>
      <c r="I199" s="5" t="str">
        <f>IFERROR(__xludf.DUMMYFUNCTION("""COMPUTED_VALUE"""),"14720")</f>
        <v>14720</v>
      </c>
      <c r="J199" s="5" t="str">
        <f>IFERROR(__xludf.DUMMYFUNCTION("""COMPUTED_VALUE"""),"CCN")</f>
        <v>CCN</v>
      </c>
      <c r="K199" s="5">
        <f>IFERROR(__xludf.DUMMYFUNCTION("""COMPUTED_VALUE"""),2.0)</f>
        <v>2</v>
      </c>
      <c r="L199" s="5" t="str">
        <f>IFERROR(__xludf.DUMMYFUNCTION("""COMPUTED_VALUE"""),"KLH")</f>
        <v>KLH</v>
      </c>
    </row>
    <row r="200">
      <c r="A200" s="42" t="str">
        <f>IFERROR(__xludf.DUMMYFUNCTION("""COMPUTED_VALUE"""),"XD3-MKE-003")</f>
        <v>XD3-MKE-003</v>
      </c>
      <c r="B200" s="3" t="str">
        <f>IFERROR(__xludf.DUMMYFUNCTION("""COMPUTED_VALUE"""),"Máy cày KAM50")</f>
        <v>Máy cày KAM50</v>
      </c>
      <c r="C200" s="5" t="str">
        <f>IFERROR(__xludf.DUMMYFUNCTION("""COMPUTED_VALUE"""),"XN Chuối DP3")</f>
        <v>XN Chuối DP3</v>
      </c>
      <c r="D200" s="5" t="str">
        <f>IFERROR(__xludf.DUMMYFUNCTION("""COMPUTED_VALUE"""),"THACO")</f>
        <v>THACO</v>
      </c>
      <c r="E200" s="5" t="str">
        <f>IFERROR(__xludf.DUMMYFUNCTION("""COMPUTED_VALUE"""),"VIỆT NAM")</f>
        <v>VIỆT NAM</v>
      </c>
      <c r="F200" s="5">
        <f>IFERROR(__xludf.DUMMYFUNCTION("""COMPUTED_VALUE"""),2018.0)</f>
        <v>2018</v>
      </c>
      <c r="G200" s="5" t="str">
        <f>IFERROR(__xludf.DUMMYFUNCTION("""COMPUTED_VALUE"""),"KAM50")</f>
        <v>KAM50</v>
      </c>
      <c r="H200" s="5" t="str">
        <f>IFERROR(__xludf.DUMMYFUNCTION("""COMPUTED_VALUE"""),"50HP")</f>
        <v>50HP</v>
      </c>
      <c r="I200" s="5" t="str">
        <f>IFERROR(__xludf.DUMMYFUNCTION("""COMPUTED_VALUE"""),"C000083")</f>
        <v>C000083</v>
      </c>
      <c r="J200" s="5" t="str">
        <f>IFERROR(__xludf.DUMMYFUNCTION("""COMPUTED_VALUE"""),"CCN")</f>
        <v>CCN</v>
      </c>
      <c r="K200" s="5">
        <f>IFERROR(__xludf.DUMMYFUNCTION("""COMPUTED_VALUE"""),2.5)</f>
        <v>2.5</v>
      </c>
      <c r="L200" s="5" t="str">
        <f>IFERROR(__xludf.DUMMYFUNCTION("""COMPUTED_VALUE"""),"KLH")</f>
        <v>KLH</v>
      </c>
    </row>
    <row r="201">
      <c r="A201" s="158" t="str">
        <f>IFERROR(__xludf.DUMMYFUNCTION("""COMPUTED_VALUE"""),"XD3-MKE-004")</f>
        <v>XD3-MKE-004</v>
      </c>
      <c r="B201" s="3" t="str">
        <f>IFERROR(__xludf.DUMMYFUNCTION("""COMPUTED_VALUE"""),"Máy cày KAM50")</f>
        <v>Máy cày KAM50</v>
      </c>
      <c r="C201" s="5" t="str">
        <f>IFERROR(__xludf.DUMMYFUNCTION("""COMPUTED_VALUE"""),"XN Chuối DP3")</f>
        <v>XN Chuối DP3</v>
      </c>
      <c r="D201" s="5" t="str">
        <f>IFERROR(__xludf.DUMMYFUNCTION("""COMPUTED_VALUE"""),"THACO")</f>
        <v>THACO</v>
      </c>
      <c r="E201" s="5" t="str">
        <f>IFERROR(__xludf.DUMMYFUNCTION("""COMPUTED_VALUE"""),"VIỆT NAM")</f>
        <v>VIỆT NAM</v>
      </c>
      <c r="F201" s="5">
        <f>IFERROR(__xludf.DUMMYFUNCTION("""COMPUTED_VALUE"""),2018.0)</f>
        <v>2018</v>
      </c>
      <c r="G201" s="5" t="str">
        <f>IFERROR(__xludf.DUMMYFUNCTION("""COMPUTED_VALUE"""),"KAM50")</f>
        <v>KAM50</v>
      </c>
      <c r="H201" s="5" t="str">
        <f>IFERROR(__xludf.DUMMYFUNCTION("""COMPUTED_VALUE"""),"50HP")</f>
        <v>50HP</v>
      </c>
      <c r="I201" s="5" t="str">
        <f>IFERROR(__xludf.DUMMYFUNCTION("""COMPUTED_VALUE"""),"C000070")</f>
        <v>C000070</v>
      </c>
      <c r="J201" s="5" t="str">
        <f>IFERROR(__xludf.DUMMYFUNCTION("""COMPUTED_VALUE"""),"CCN")</f>
        <v>CCN</v>
      </c>
      <c r="K201" s="5">
        <f>IFERROR(__xludf.DUMMYFUNCTION("""COMPUTED_VALUE"""),2.5)</f>
        <v>2.5</v>
      </c>
      <c r="L201" s="5" t="str">
        <f>IFERROR(__xludf.DUMMYFUNCTION("""COMPUTED_VALUE"""),"KLH")</f>
        <v>KLH</v>
      </c>
    </row>
    <row r="202">
      <c r="A202" s="158" t="str">
        <f>IFERROR(__xludf.DUMMYFUNCTION("""COMPUTED_VALUE"""),"XD3-MKE-005")</f>
        <v>XD3-MKE-005</v>
      </c>
      <c r="B202" s="3" t="str">
        <f>IFERROR(__xludf.DUMMYFUNCTION("""COMPUTED_VALUE"""),"Máy cày KAM50")</f>
        <v>Máy cày KAM50</v>
      </c>
      <c r="C202" s="5" t="str">
        <f>IFERROR(__xludf.DUMMYFUNCTION("""COMPUTED_VALUE"""),"XN Chuối DP3")</f>
        <v>XN Chuối DP3</v>
      </c>
      <c r="D202" s="5" t="str">
        <f>IFERROR(__xludf.DUMMYFUNCTION("""COMPUTED_VALUE"""),"THACO")</f>
        <v>THACO</v>
      </c>
      <c r="E202" s="5" t="str">
        <f>IFERROR(__xludf.DUMMYFUNCTION("""COMPUTED_VALUE"""),"VIỆT NAM")</f>
        <v>VIỆT NAM</v>
      </c>
      <c r="F202" s="5">
        <f>IFERROR(__xludf.DUMMYFUNCTION("""COMPUTED_VALUE"""),2018.0)</f>
        <v>2018</v>
      </c>
      <c r="G202" s="5" t="str">
        <f>IFERROR(__xludf.DUMMYFUNCTION("""COMPUTED_VALUE"""),"KAM50")</f>
        <v>KAM50</v>
      </c>
      <c r="H202" s="5" t="str">
        <f>IFERROR(__xludf.DUMMYFUNCTION("""COMPUTED_VALUE"""),"50HP")</f>
        <v>50HP</v>
      </c>
      <c r="I202" s="5" t="str">
        <f>IFERROR(__xludf.DUMMYFUNCTION("""COMPUTED_VALUE"""),"C000036")</f>
        <v>C000036</v>
      </c>
      <c r="J202" s="5" t="str">
        <f>IFERROR(__xludf.DUMMYFUNCTION("""COMPUTED_VALUE"""),"CCN")</f>
        <v>CCN</v>
      </c>
      <c r="K202" s="5">
        <f>IFERROR(__xludf.DUMMYFUNCTION("""COMPUTED_VALUE"""),2.5)</f>
        <v>2.5</v>
      </c>
      <c r="L202" s="5" t="str">
        <f>IFERROR(__xludf.DUMMYFUNCTION("""COMPUTED_VALUE"""),"KLH")</f>
        <v>KLH</v>
      </c>
    </row>
    <row r="203">
      <c r="A203" s="158" t="str">
        <f>IFERROR(__xludf.DUMMYFUNCTION("""COMPUTED_VALUE"""),"XD3-MKE-006")</f>
        <v>XD3-MKE-006</v>
      </c>
      <c r="B203" s="3" t="str">
        <f>IFERROR(__xludf.DUMMYFUNCTION("""COMPUTED_VALUE"""),"Máy cày KAM50")</f>
        <v>Máy cày KAM50</v>
      </c>
      <c r="C203" s="5" t="str">
        <f>IFERROR(__xludf.DUMMYFUNCTION("""COMPUTED_VALUE"""),"XN Chuối DP3")</f>
        <v>XN Chuối DP3</v>
      </c>
      <c r="D203" s="5" t="str">
        <f>IFERROR(__xludf.DUMMYFUNCTION("""COMPUTED_VALUE"""),"THACO")</f>
        <v>THACO</v>
      </c>
      <c r="E203" s="5" t="str">
        <f>IFERROR(__xludf.DUMMYFUNCTION("""COMPUTED_VALUE"""),"VIỆT NAM")</f>
        <v>VIỆT NAM</v>
      </c>
      <c r="F203" s="5">
        <f>IFERROR(__xludf.DUMMYFUNCTION("""COMPUTED_VALUE"""),2018.0)</f>
        <v>2018</v>
      </c>
      <c r="G203" s="5" t="str">
        <f>IFERROR(__xludf.DUMMYFUNCTION("""COMPUTED_VALUE"""),"KAM50")</f>
        <v>KAM50</v>
      </c>
      <c r="H203" s="5" t="str">
        <f>IFERROR(__xludf.DUMMYFUNCTION("""COMPUTED_VALUE"""),"50HP")</f>
        <v>50HP</v>
      </c>
      <c r="I203" s="5" t="str">
        <f>IFERROR(__xludf.DUMMYFUNCTION("""COMPUTED_VALUE"""),"C000013")</f>
        <v>C000013</v>
      </c>
      <c r="J203" s="5" t="str">
        <f>IFERROR(__xludf.DUMMYFUNCTION("""COMPUTED_VALUE"""),"CCN")</f>
        <v>CCN</v>
      </c>
      <c r="K203" s="5">
        <f>IFERROR(__xludf.DUMMYFUNCTION("""COMPUTED_VALUE"""),2.5)</f>
        <v>2.5</v>
      </c>
      <c r="L203" s="5" t="str">
        <f>IFERROR(__xludf.DUMMYFUNCTION("""COMPUTED_VALUE"""),"KLH")</f>
        <v>KLH</v>
      </c>
    </row>
    <row r="204">
      <c r="A204" s="158" t="str">
        <f>IFERROR(__xludf.DUMMYFUNCTION("""COMPUTED_VALUE"""),"XD3-MĐA-002")</f>
        <v>XD3-MĐA-002</v>
      </c>
      <c r="B204" s="3" t="str">
        <f>IFERROR(__xludf.DUMMYFUNCTION("""COMPUTED_VALUE"""),"Máy đào KOMATSU bánh xích gàu 0.3m3")</f>
        <v>Máy đào KOMATSU bánh xích gàu 0.3m3</v>
      </c>
      <c r="C204" s="5" t="str">
        <f>IFERROR(__xludf.DUMMYFUNCTION("""COMPUTED_VALUE"""),"XN Chuối DP3")</f>
        <v>XN Chuối DP3</v>
      </c>
      <c r="D204" s="5" t="str">
        <f>IFERROR(__xludf.DUMMYFUNCTION("""COMPUTED_VALUE"""),"KOMATSU")</f>
        <v>KOMATSU</v>
      </c>
      <c r="E204" s="5" t="str">
        <f>IFERROR(__xludf.DUMMYFUNCTION("""COMPUTED_VALUE"""),"NHẬT BẢN")</f>
        <v>NHẬT BẢN</v>
      </c>
      <c r="F204" s="5">
        <f>IFERROR(__xludf.DUMMYFUNCTION("""COMPUTED_VALUE"""),2006.0)</f>
        <v>2006</v>
      </c>
      <c r="G204" s="5" t="str">
        <f>IFERROR(__xludf.DUMMYFUNCTION("""COMPUTED_VALUE"""),"PC40MR-3")</f>
        <v>PC40MR-3</v>
      </c>
      <c r="H204" s="5" t="str">
        <f>IFERROR(__xludf.DUMMYFUNCTION("""COMPUTED_VALUE"""),"39HP")</f>
        <v>39HP</v>
      </c>
      <c r="I204" s="5" t="str">
        <f>IFERROR(__xludf.DUMMYFUNCTION("""COMPUTED_VALUE"""),"8608")</f>
        <v>8608</v>
      </c>
      <c r="J204" s="5" t="str">
        <f>IFERROR(__xludf.DUMMYFUNCTION("""COMPUTED_VALUE"""),"CCN")</f>
        <v>CCN</v>
      </c>
      <c r="K204" s="5">
        <f>IFERROR(__xludf.DUMMYFUNCTION("""COMPUTED_VALUE"""),4.0)</f>
        <v>4</v>
      </c>
      <c r="L204" s="5" t="str">
        <f>IFERROR(__xludf.DUMMYFUNCTION("""COMPUTED_VALUE"""),"KLH")</f>
        <v>KLH</v>
      </c>
    </row>
    <row r="205">
      <c r="A205" s="158" t="str">
        <f>IFERROR(__xludf.DUMMYFUNCTION("""COMPUTED_VALUE"""),"XD3-MKE-008")</f>
        <v>XD3-MKE-008</v>
      </c>
      <c r="B205" s="3" t="str">
        <f>IFERROR(__xludf.DUMMYFUNCTION("""COMPUTED_VALUE"""),"Máy cày KAM50")</f>
        <v>Máy cày KAM50</v>
      </c>
      <c r="C205" s="5" t="str">
        <f>IFERROR(__xludf.DUMMYFUNCTION("""COMPUTED_VALUE"""),"XN Chuối DP3")</f>
        <v>XN Chuối DP3</v>
      </c>
      <c r="D205" s="5" t="str">
        <f>IFERROR(__xludf.DUMMYFUNCTION("""COMPUTED_VALUE"""),"THACO")</f>
        <v>THACO</v>
      </c>
      <c r="E205" s="5" t="str">
        <f>IFERROR(__xludf.DUMMYFUNCTION("""COMPUTED_VALUE"""),"VIỆT NAM")</f>
        <v>VIỆT NAM</v>
      </c>
      <c r="F205" s="5">
        <f>IFERROR(__xludf.DUMMYFUNCTION("""COMPUTED_VALUE"""),2018.0)</f>
        <v>2018</v>
      </c>
      <c r="G205" s="5" t="str">
        <f>IFERROR(__xludf.DUMMYFUNCTION("""COMPUTED_VALUE"""),"KAM50")</f>
        <v>KAM50</v>
      </c>
      <c r="H205" s="5" t="str">
        <f>IFERROR(__xludf.DUMMYFUNCTION("""COMPUTED_VALUE"""),"50HP")</f>
        <v>50HP</v>
      </c>
      <c r="I205" s="5" t="str">
        <f>IFERROR(__xludf.DUMMYFUNCTION("""COMPUTED_VALUE"""),"C000084")</f>
        <v>C000084</v>
      </c>
      <c r="J205" s="5" t="str">
        <f>IFERROR(__xludf.DUMMYFUNCTION("""COMPUTED_VALUE"""),"CCN")</f>
        <v>CCN</v>
      </c>
      <c r="K205" s="5">
        <f>IFERROR(__xludf.DUMMYFUNCTION("""COMPUTED_VALUE"""),2.0)</f>
        <v>2</v>
      </c>
      <c r="L205" s="5" t="str">
        <f>IFERROR(__xludf.DUMMYFUNCTION("""COMPUTED_VALUE"""),"KLH")</f>
        <v>KLH</v>
      </c>
    </row>
    <row r="206">
      <c r="A206" s="158" t="str">
        <f>IFERROR(__xludf.DUMMYFUNCTION("""COMPUTED_VALUE"""),"XD3-MKE-010")</f>
        <v>XD3-MKE-010</v>
      </c>
      <c r="B206" s="3" t="str">
        <f>IFERROR(__xludf.DUMMYFUNCTION("""COMPUTED_VALUE"""),"Máy cày L4508")</f>
        <v>Máy cày L4508</v>
      </c>
      <c r="C206" s="5" t="str">
        <f>IFERROR(__xludf.DUMMYFUNCTION("""COMPUTED_VALUE"""),"XN Chuối DP3")</f>
        <v>XN Chuối DP3</v>
      </c>
      <c r="D206" s="5" t="str">
        <f>IFERROR(__xludf.DUMMYFUNCTION("""COMPUTED_VALUE"""),"KUBOTA")</f>
        <v>KUBOTA</v>
      </c>
      <c r="E206" s="5" t="str">
        <f>IFERROR(__xludf.DUMMYFUNCTION("""COMPUTED_VALUE"""),"NHẬT BẢN")</f>
        <v>NHẬT BẢN</v>
      </c>
      <c r="F206" s="5">
        <f>IFERROR(__xludf.DUMMYFUNCTION("""COMPUTED_VALUE"""),2019.0)</f>
        <v>2019</v>
      </c>
      <c r="G206" s="5" t="str">
        <f>IFERROR(__xludf.DUMMYFUNCTION("""COMPUTED_VALUE"""),"L4508")</f>
        <v>L4508</v>
      </c>
      <c r="H206" s="5" t="str">
        <f>IFERROR(__xludf.DUMMYFUNCTION("""COMPUTED_VALUE"""),"45HP")</f>
        <v>45HP</v>
      </c>
      <c r="I206" s="5" t="str">
        <f>IFERROR(__xludf.DUMMYFUNCTION("""COMPUTED_VALUE"""),"14716")</f>
        <v>14716</v>
      </c>
      <c r="J206" s="5" t="str">
        <f>IFERROR(__xludf.DUMMYFUNCTION("""COMPUTED_VALUE"""),"CCN")</f>
        <v>CCN</v>
      </c>
      <c r="K206" s="5">
        <f>IFERROR(__xludf.DUMMYFUNCTION("""COMPUTED_VALUE"""),2.5)</f>
        <v>2.5</v>
      </c>
      <c r="L206" s="5" t="str">
        <f>IFERROR(__xludf.DUMMYFUNCTION("""COMPUTED_VALUE"""),"KLH")</f>
        <v>KLH</v>
      </c>
    </row>
    <row r="207">
      <c r="A207" s="158" t="str">
        <f>IFERROR(__xludf.DUMMYFUNCTION("""COMPUTED_VALUE"""),"XD3-XPT-002")</f>
        <v>XD3-XPT-002</v>
      </c>
      <c r="B207" s="3" t="str">
        <f>IFERROR(__xludf.DUMMYFUNCTION("""COMPUTED_VALUE"""),"Xe phun thuốc FC950")</f>
        <v>Xe phun thuốc FC950</v>
      </c>
      <c r="C207" s="5" t="str">
        <f>IFERROR(__xludf.DUMMYFUNCTION("""COMPUTED_VALUE"""),"XN Chuối DP3")</f>
        <v>XN Chuối DP3</v>
      </c>
      <c r="D207" s="5" t="str">
        <f>IFERROR(__xludf.DUMMYFUNCTION("""COMPUTED_VALUE"""),"THACO FORLAND")</f>
        <v>THACO FORLAND</v>
      </c>
      <c r="E207" s="5" t="str">
        <f>IFERROR(__xludf.DUMMYFUNCTION("""COMPUTED_VALUE"""),"VIỆT NAM")</f>
        <v>VIỆT NAM</v>
      </c>
      <c r="F207" s="5">
        <f>IFERROR(__xludf.DUMMYFUNCTION("""COMPUTED_VALUE"""),2018.0)</f>
        <v>2018</v>
      </c>
      <c r="G207" s="5" t="str">
        <f>IFERROR(__xludf.DUMMYFUNCTION("""COMPUTED_VALUE"""),"FC950")</f>
        <v>FC950</v>
      </c>
      <c r="H207" s="5" t="str">
        <f>IFERROR(__xludf.DUMMYFUNCTION("""COMPUTED_VALUE"""),"160HP")</f>
        <v>160HP</v>
      </c>
      <c r="I207" s="5" t="str">
        <f>IFERROR(__xludf.DUMMYFUNCTION("""COMPUTED_VALUE"""),"RNHA16FYAJC093491")</f>
        <v>RNHA16FYAJC093491</v>
      </c>
      <c r="J207" s="5" t="str">
        <f>IFERROR(__xludf.DUMMYFUNCTION("""COMPUTED_VALUE"""),"J00043")</f>
        <v>J00043</v>
      </c>
      <c r="K207" s="5">
        <f>IFERROR(__xludf.DUMMYFUNCTION("""COMPUTED_VALUE"""),5.0)</f>
        <v>5</v>
      </c>
      <c r="L207" s="5" t="str">
        <f>IFERROR(__xludf.DUMMYFUNCTION("""COMPUTED_VALUE"""),"KLH")</f>
        <v>KLH</v>
      </c>
    </row>
    <row r="208">
      <c r="A208" s="158" t="str">
        <f>IFERROR(__xludf.DUMMYFUNCTION("""COMPUTED_VALUE"""),"XD3-TCD-001")</f>
        <v>XD3-TCD-001</v>
      </c>
      <c r="B208" s="3" t="str">
        <f>IFERROR(__xludf.DUMMYFUNCTION("""COMPUTED_VALUE"""),"Xe tải chuyên dụng (cabin đôi)")</f>
        <v>Xe tải chuyên dụng (cabin đôi)</v>
      </c>
      <c r="C208" s="5" t="str">
        <f>IFERROR(__xludf.DUMMYFUNCTION("""COMPUTED_VALUE"""),"XN Chuối DP3")</f>
        <v>XN Chuối DP3</v>
      </c>
      <c r="D208" s="5" t="str">
        <f>IFERROR(__xludf.DUMMYFUNCTION("""COMPUTED_VALUE"""),"THACO KIA")</f>
        <v>THACO KIA</v>
      </c>
      <c r="E208" s="5" t="str">
        <f>IFERROR(__xludf.DUMMYFUNCTION("""COMPUTED_VALUE"""),"VIỆT NAM")</f>
        <v>VIỆT NAM</v>
      </c>
      <c r="F208" s="5">
        <f>IFERROR(__xludf.DUMMYFUNCTION("""COMPUTED_VALUE"""),2021.0)</f>
        <v>2021</v>
      </c>
      <c r="G208" s="5" t="str">
        <f>IFERROR(__xludf.DUMMYFUNCTION("""COMPUTED_VALUE"""),"FRONTIER K200SD")</f>
        <v>FRONTIER K200SD</v>
      </c>
      <c r="H208" s="5" t="str">
        <f>IFERROR(__xludf.DUMMYFUNCTION("""COMPUTED_VALUE"""),"130HP")</f>
        <v>130HP</v>
      </c>
      <c r="I208" s="5" t="str">
        <f>IFERROR(__xludf.DUMMYFUNCTION("""COMPUTED_VALUE"""),"RNHF39KHBMT045629")</f>
        <v>RNHF39KHBMT045629</v>
      </c>
      <c r="J208" s="5" t="str">
        <f>IFERROR(__xludf.DUMMYFUNCTION("""COMPUTED_VALUE"""),"MD540070D4CB")</f>
        <v>MD540070D4CB</v>
      </c>
      <c r="K208" s="5"/>
      <c r="L208" s="5" t="str">
        <f>IFERROR(__xludf.DUMMYFUNCTION("""COMPUTED_VALUE"""),"KLH")</f>
        <v>KLH</v>
      </c>
    </row>
    <row r="209">
      <c r="A209" s="160" t="str">
        <f>IFERROR(__xludf.DUMMYFUNCTION("""COMPUTED_VALUE"""),"XD3-XNA-001")</f>
        <v>XD3-XNA-001</v>
      </c>
      <c r="B209" s="3" t="str">
        <f>IFERROR(__xludf.DUMMYFUNCTION("""COMPUTED_VALUE"""),"Xe nâng tay điện 1.5 tấn")</f>
        <v>Xe nâng tay điện 1.5 tấn</v>
      </c>
      <c r="C209" s="5" t="str">
        <f>IFERROR(__xludf.DUMMYFUNCTION("""COMPUTED_VALUE"""),"XN Chuối DP3")</f>
        <v>XN Chuối DP3</v>
      </c>
      <c r="D209" s="5" t="str">
        <f>IFERROR(__xludf.DUMMYFUNCTION("""COMPUTED_VALUE"""),"HELI")</f>
        <v>HELI</v>
      </c>
      <c r="E209" s="5" t="str">
        <f>IFERROR(__xludf.DUMMYFUNCTION("""COMPUTED_VALUE"""),"TRUNG QUỐC")</f>
        <v>TRUNG QUỐC</v>
      </c>
      <c r="F209" s="5">
        <f>IFERROR(__xludf.DUMMYFUNCTION("""COMPUTED_VALUE"""),2022.0)</f>
        <v>2022</v>
      </c>
      <c r="G209" s="5" t="str">
        <f>IFERROR(__xludf.DUMMYFUNCTION("""COMPUTED_VALUE"""),"CDD15J")</f>
        <v>CDD15J</v>
      </c>
      <c r="H209" s="5" t="str">
        <f>IFERROR(__xludf.DUMMYFUNCTION("""COMPUTED_VALUE"""),"24V-1.5T")</f>
        <v>24V-1.5T</v>
      </c>
      <c r="I209" s="5" t="str">
        <f>IFERROR(__xludf.DUMMYFUNCTION("""COMPUTED_VALUE"""),"08015JM7921")</f>
        <v>08015JM7921</v>
      </c>
      <c r="J209" s="5" t="str">
        <f>IFERROR(__xludf.DUMMYFUNCTION("""COMPUTED_VALUE"""),"NIL")</f>
        <v>NIL</v>
      </c>
      <c r="K209" s="5">
        <f>IFERROR(__xludf.DUMMYFUNCTION("""COMPUTED_VALUE"""),0.0)</f>
        <v>0</v>
      </c>
      <c r="L209" s="5" t="str">
        <f>IFERROR(__xludf.DUMMYFUNCTION("""COMPUTED_VALUE"""),"KLH")</f>
        <v>KLH</v>
      </c>
    </row>
    <row r="210">
      <c r="A210" s="158" t="str">
        <f>IFERROR(__xludf.DUMMYFUNCTION("""COMPUTED_VALUE"""),"XD3-XNA-002")</f>
        <v>XD3-XNA-002</v>
      </c>
      <c r="B210" s="3" t="str">
        <f>IFERROR(__xludf.DUMMYFUNCTION("""COMPUTED_VALUE"""),"Xe nâng điện 1.5 tấn")</f>
        <v>Xe nâng điện 1.5 tấn</v>
      </c>
      <c r="C210" s="5" t="str">
        <f>IFERROR(__xludf.DUMMYFUNCTION("""COMPUTED_VALUE"""),"XN Chuối DP3")</f>
        <v>XN Chuối DP3</v>
      </c>
      <c r="D210" s="5" t="str">
        <f>IFERROR(__xludf.DUMMYFUNCTION("""COMPUTED_VALUE"""),"KOMATSU")</f>
        <v>KOMATSU</v>
      </c>
      <c r="E210" s="5" t="str">
        <f>IFERROR(__xludf.DUMMYFUNCTION("""COMPUTED_VALUE"""),"NHẬT BẢN")</f>
        <v>NHẬT BẢN</v>
      </c>
      <c r="F210" s="5">
        <f>IFERROR(__xludf.DUMMYFUNCTION("""COMPUTED_VALUE"""),2008.0)</f>
        <v>2008</v>
      </c>
      <c r="G210" s="5" t="str">
        <f>IFERROR(__xludf.DUMMYFUNCTION("""COMPUTED_VALUE"""),"FB15EX-11")</f>
        <v>FB15EX-11</v>
      </c>
      <c r="H210" s="5"/>
      <c r="I210" s="5" t="str">
        <f>IFERROR(__xludf.DUMMYFUNCTION("""COMPUTED_VALUE"""),"809168")</f>
        <v>809168</v>
      </c>
      <c r="J210" s="5" t="str">
        <f>IFERROR(__xludf.DUMMYFUNCTION("""COMPUTED_VALUE"""),"2008-7")</f>
        <v>2008-7</v>
      </c>
      <c r="K210" s="5"/>
      <c r="L210" s="5" t="str">
        <f>IFERROR(__xludf.DUMMYFUNCTION("""COMPUTED_VALUE"""),"KLH")</f>
        <v>KLH</v>
      </c>
    </row>
    <row r="211">
      <c r="A211" s="42" t="str">
        <f>IFERROR(__xludf.DUMMYFUNCTION("""COMPUTED_VALUE"""),"XD3-XNA-003")</f>
        <v>XD3-XNA-003</v>
      </c>
      <c r="B211" s="3" t="str">
        <f>IFERROR(__xludf.DUMMYFUNCTION("""COMPUTED_VALUE"""),"Xe nâng điện 1.5 tấn")</f>
        <v>Xe nâng điện 1.5 tấn</v>
      </c>
      <c r="C211" s="5" t="str">
        <f>IFERROR(__xludf.DUMMYFUNCTION("""COMPUTED_VALUE"""),"XN Chuối DP3")</f>
        <v>XN Chuối DP3</v>
      </c>
      <c r="D211" s="5" t="str">
        <f>IFERROR(__xludf.DUMMYFUNCTION("""COMPUTED_VALUE"""),"LOVOL")</f>
        <v>LOVOL</v>
      </c>
      <c r="E211" s="5" t="str">
        <f>IFERROR(__xludf.DUMMYFUNCTION("""COMPUTED_VALUE"""),"TRUNG QUỐC")</f>
        <v>TRUNG QUỐC</v>
      </c>
      <c r="F211" s="5">
        <f>IFERROR(__xludf.DUMMYFUNCTION("""COMPUTED_VALUE"""),2025.0)</f>
        <v>2025</v>
      </c>
      <c r="G211" s="5" t="str">
        <f>IFERROR(__xludf.DUMMYFUNCTION("""COMPUTED_VALUE"""),"FF15E")</f>
        <v>FF15E</v>
      </c>
      <c r="H211" s="5" t="str">
        <f>IFERROR(__xludf.DUMMYFUNCTION("""COMPUTED_VALUE"""),"12HP")</f>
        <v>12HP</v>
      </c>
      <c r="I211" s="5" t="str">
        <f>IFERROR(__xludf.DUMMYFUNCTION("""COMPUTED_VALUE"""),"C11292P50328")</f>
        <v>C11292P50328</v>
      </c>
      <c r="J211" s="5" t="str">
        <f>IFERROR(__xludf.DUMMYFUNCTION("""COMPUTED_VALUE"""),"JB253801347")</f>
        <v>JB253801347</v>
      </c>
      <c r="K211" s="5"/>
      <c r="L211" s="5" t="str">
        <f>IFERROR(__xludf.DUMMYFUNCTION("""COMPUTED_VALUE"""),"KLH")</f>
        <v>KLH</v>
      </c>
    </row>
    <row r="212">
      <c r="A212" s="42" t="str">
        <f>IFERROR(__xludf.DUMMYFUNCTION("""COMPUTED_VALUE"""),"XD3-XNA-004")</f>
        <v>XD3-XNA-004</v>
      </c>
      <c r="B212" s="3" t="str">
        <f>IFERROR(__xludf.DUMMYFUNCTION("""COMPUTED_VALUE"""),"Xe nâng điện 2.5 tấn")</f>
        <v>Xe nâng điện 2.5 tấn</v>
      </c>
      <c r="C212" s="5" t="str">
        <f>IFERROR(__xludf.DUMMYFUNCTION("""COMPUTED_VALUE"""),"XN Chuối DP3")</f>
        <v>XN Chuối DP3</v>
      </c>
      <c r="D212" s="5" t="str">
        <f>IFERROR(__xludf.DUMMYFUNCTION("""COMPUTED_VALUE"""),"LOVOL")</f>
        <v>LOVOL</v>
      </c>
      <c r="E212" s="5" t="str">
        <f>IFERROR(__xludf.DUMMYFUNCTION("""COMPUTED_VALUE"""),"TRUNG QUỐC")</f>
        <v>TRUNG QUỐC</v>
      </c>
      <c r="F212" s="5">
        <f>IFERROR(__xludf.DUMMYFUNCTION("""COMPUTED_VALUE"""),2026.0)</f>
        <v>2026</v>
      </c>
      <c r="G212" s="5" t="str">
        <f>IFERROR(__xludf.DUMMYFUNCTION("""COMPUTED_VALUE"""),"FF25E")</f>
        <v>FF25E</v>
      </c>
      <c r="H212" s="5" t="str">
        <f>IFERROR(__xludf.DUMMYFUNCTION("""COMPUTED_VALUE"""),"13,68 HP")</f>
        <v>13,68 HP</v>
      </c>
      <c r="I212" s="5" t="str">
        <f>IFERROR(__xludf.DUMMYFUNCTION("""COMPUTED_VALUE"""),"C31293R50033")</f>
        <v>C31293R50033</v>
      </c>
      <c r="J212" s="5"/>
      <c r="K212" s="5"/>
      <c r="L212" s="5" t="str">
        <f>IFERROR(__xludf.DUMMYFUNCTION("""COMPUTED_VALUE"""),"KLH")</f>
        <v>KLH</v>
      </c>
    </row>
    <row r="213">
      <c r="A213" s="42" t="str">
        <f>IFERROR(__xludf.DUMMYFUNCTION("""COMPUTED_VALUE"""),"XD3-XTA-003")</f>
        <v>XD3-XTA-003</v>
      </c>
      <c r="B213" s="3" t="str">
        <f>IFERROR(__xludf.DUMMYFUNCTION("""COMPUTED_VALUE"""),"Xe ben Forland FD990-4WDXTH4-5T")</f>
        <v>Xe ben Forland FD990-4WDXTH4-5T</v>
      </c>
      <c r="C213" s="5" t="str">
        <f>IFERROR(__xludf.DUMMYFUNCTION("""COMPUTED_VALUE"""),"XN Chuối DP3")</f>
        <v>XN Chuối DP3</v>
      </c>
      <c r="D213" s="5" t="str">
        <f>IFERROR(__xludf.DUMMYFUNCTION("""COMPUTED_VALUE"""),"FORLAND")</f>
        <v>FORLAND</v>
      </c>
      <c r="E213" s="5" t="str">
        <f>IFERROR(__xludf.DUMMYFUNCTION("""COMPUTED_VALUE"""),"Việt Nam")</f>
        <v>Việt Nam</v>
      </c>
      <c r="F213" s="5">
        <f>IFERROR(__xludf.DUMMYFUNCTION("""COMPUTED_VALUE"""),2024.0)</f>
        <v>2024</v>
      </c>
      <c r="G213" s="5" t="str">
        <f>IFERROR(__xludf.DUMMYFUNCTION("""COMPUTED_VALUE""")," FD990-4WD")</f>
        <v> FD990-4WD</v>
      </c>
      <c r="H213" s="5" t="str">
        <f>IFERROR(__xludf.DUMMYFUNCTION("""COMPUTED_VALUE"""),"94HP")</f>
        <v>94HP</v>
      </c>
      <c r="I213" s="5" t="str">
        <f>IFERROR(__xludf.DUMMYFUNCTION("""COMPUTED_VALUE"""),"RNHF99FACRT092725")</f>
        <v>RNHF99FACRT092725</v>
      </c>
      <c r="J213" s="5" t="str">
        <f>IFERROR(__xludf.DUMMYFUNCTION("""COMPUTED_VALUE"""),"B0576973")</f>
        <v>B0576973</v>
      </c>
      <c r="K213" s="5">
        <f>IFERROR(__xludf.DUMMYFUNCTION("""COMPUTED_VALUE"""),0.33)</f>
        <v>0.33</v>
      </c>
      <c r="L213" s="5" t="str">
        <f>IFERROR(__xludf.DUMMYFUNCTION("""COMPUTED_VALUE"""),"KLH")</f>
        <v>KLH</v>
      </c>
    </row>
    <row r="214">
      <c r="A214" s="156" t="str">
        <f>IFERROR(__xludf.DUMMYFUNCTION("""COMPUTED_VALUE"""),"XD3-XTA-004")</f>
        <v>XD3-XTA-004</v>
      </c>
      <c r="B214" s="3" t="str">
        <f>IFERROR(__xludf.DUMMYFUNCTION("""COMPUTED_VALUE"""),"Xe ben Forland FD990-4WDXTH4-5T")</f>
        <v>Xe ben Forland FD990-4WDXTH4-5T</v>
      </c>
      <c r="C214" s="5" t="str">
        <f>IFERROR(__xludf.DUMMYFUNCTION("""COMPUTED_VALUE"""),"XN Chuối DP3")</f>
        <v>XN Chuối DP3</v>
      </c>
      <c r="D214" s="5" t="str">
        <f>IFERROR(__xludf.DUMMYFUNCTION("""COMPUTED_VALUE"""),"FORLAND")</f>
        <v>FORLAND</v>
      </c>
      <c r="E214" s="5" t="str">
        <f>IFERROR(__xludf.DUMMYFUNCTION("""COMPUTED_VALUE"""),"Việt Nam")</f>
        <v>Việt Nam</v>
      </c>
      <c r="F214" s="5">
        <f>IFERROR(__xludf.DUMMYFUNCTION("""COMPUTED_VALUE"""),2024.0)</f>
        <v>2024</v>
      </c>
      <c r="G214" s="5" t="str">
        <f>IFERROR(__xludf.DUMMYFUNCTION("""COMPUTED_VALUE""")," FD990-4WD")</f>
        <v> FD990-4WD</v>
      </c>
      <c r="H214" s="5" t="str">
        <f>IFERROR(__xludf.DUMMYFUNCTION("""COMPUTED_VALUE"""),"94HP")</f>
        <v>94HP</v>
      </c>
      <c r="I214" s="5" t="str">
        <f>IFERROR(__xludf.DUMMYFUNCTION("""COMPUTED_VALUE"""),"RNHF99FACRT090615")</f>
        <v>RNHF99FACRT090615</v>
      </c>
      <c r="J214" s="5" t="str">
        <f>IFERROR(__xludf.DUMMYFUNCTION("""COMPUTED_VALUE"""),"B0576944")</f>
        <v>B0576944</v>
      </c>
      <c r="K214" s="5">
        <f>IFERROR(__xludf.DUMMYFUNCTION("""COMPUTED_VALUE"""),0.33)</f>
        <v>0.33</v>
      </c>
      <c r="L214" s="5" t="str">
        <f>IFERROR(__xludf.DUMMYFUNCTION("""COMPUTED_VALUE"""),"KLH")</f>
        <v>KLH</v>
      </c>
    </row>
    <row r="215">
      <c r="A215" s="156" t="str">
        <f>IFERROR(__xludf.DUMMYFUNCTION("""COMPUTED_VALUE"""),"XD3-XTA-005")</f>
        <v>XD3-XTA-005</v>
      </c>
      <c r="B215" s="3" t="str">
        <f>IFERROR(__xludf.DUMMYFUNCTION("""COMPUTED_VALUE"""),"Xe ben Forland FD990-4WDXTH4-5T")</f>
        <v>Xe ben Forland FD990-4WDXTH4-5T</v>
      </c>
      <c r="C215" s="5" t="str">
        <f>IFERROR(__xludf.DUMMYFUNCTION("""COMPUTED_VALUE"""),"XN Chuối DP3")</f>
        <v>XN Chuối DP3</v>
      </c>
      <c r="D215" s="5" t="str">
        <f>IFERROR(__xludf.DUMMYFUNCTION("""COMPUTED_VALUE"""),"THACO FORLAND")</f>
        <v>THACO FORLAND</v>
      </c>
      <c r="E215" s="5" t="str">
        <f>IFERROR(__xludf.DUMMYFUNCTION("""COMPUTED_VALUE"""),"VIỆT NAM")</f>
        <v>VIỆT NAM</v>
      </c>
      <c r="F215" s="5">
        <f>IFERROR(__xludf.DUMMYFUNCTION("""COMPUTED_VALUE"""),2023.0)</f>
        <v>2023</v>
      </c>
      <c r="G215" s="5" t="str">
        <f>IFERROR(__xludf.DUMMYFUNCTION("""COMPUTED_VALUE""")," FD990-4WD")</f>
        <v> FD990-4WD</v>
      </c>
      <c r="H215" s="5" t="str">
        <f>IFERROR(__xludf.DUMMYFUNCTION("""COMPUTED_VALUE"""),"100HP")</f>
        <v>100HP</v>
      </c>
      <c r="I215" s="5" t="str">
        <f>IFERROR(__xludf.DUMMYFUNCTION("""COMPUTED_VALUE"""),"RNHF99FACRT087863")</f>
        <v>RNHF99FACRT087863</v>
      </c>
      <c r="J215" s="5" t="str">
        <f>IFERROR(__xludf.DUMMYFUNCTION("""COMPUTED_VALUE"""),"4DW9395E4B0577289")</f>
        <v>4DW9395E4B0577289</v>
      </c>
      <c r="K215" s="5">
        <f>IFERROR(__xludf.DUMMYFUNCTION("""COMPUTED_VALUE"""),0.33)</f>
        <v>0.33</v>
      </c>
      <c r="L215" s="5" t="str">
        <f>IFERROR(__xludf.DUMMYFUNCTION("""COMPUTED_VALUE"""),"KLH")</f>
        <v>KLH</v>
      </c>
    </row>
    <row r="216">
      <c r="A216" s="156" t="str">
        <f>IFERROR(__xludf.DUMMYFUNCTION("""COMPUTED_VALUE"""),"XD3-XTA-006")</f>
        <v>XD3-XTA-006</v>
      </c>
      <c r="B216" s="3" t="str">
        <f>IFERROR(__xludf.DUMMYFUNCTION("""COMPUTED_VALUE"""),"Xe ben Forland FD990-4WDXTH4-5T")</f>
        <v>Xe ben Forland FD990-4WDXTH4-5T</v>
      </c>
      <c r="C216" s="5" t="str">
        <f>IFERROR(__xludf.DUMMYFUNCTION("""COMPUTED_VALUE"""),"XN Chuối DP3")</f>
        <v>XN Chuối DP3</v>
      </c>
      <c r="D216" s="5" t="str">
        <f>IFERROR(__xludf.DUMMYFUNCTION("""COMPUTED_VALUE"""),"THACO FORLAND")</f>
        <v>THACO FORLAND</v>
      </c>
      <c r="E216" s="5" t="str">
        <f>IFERROR(__xludf.DUMMYFUNCTION("""COMPUTED_VALUE"""),"VIỆT NAM")</f>
        <v>VIỆT NAM</v>
      </c>
      <c r="F216" s="5">
        <f>IFERROR(__xludf.DUMMYFUNCTION("""COMPUTED_VALUE"""),2023.0)</f>
        <v>2023</v>
      </c>
      <c r="G216" s="5" t="str">
        <f>IFERROR(__xludf.DUMMYFUNCTION("""COMPUTED_VALUE""")," FD990-4WD")</f>
        <v> FD990-4WD</v>
      </c>
      <c r="H216" s="5" t="str">
        <f>IFERROR(__xludf.DUMMYFUNCTION("""COMPUTED_VALUE"""),"100HP")</f>
        <v>100HP</v>
      </c>
      <c r="I216" s="5" t="str">
        <f>IFERROR(__xludf.DUMMYFUNCTION("""COMPUTED_VALUE"""),"RNHF99FACRT087864")</f>
        <v>RNHF99FACRT087864</v>
      </c>
      <c r="J216" s="5" t="str">
        <f>IFERROR(__xludf.DUMMYFUNCTION("""COMPUTED_VALUE"""),"4DW9395E4B0577291")</f>
        <v>4DW9395E4B0577291</v>
      </c>
      <c r="K216" s="5">
        <f>IFERROR(__xludf.DUMMYFUNCTION("""COMPUTED_VALUE"""),0.33)</f>
        <v>0.33</v>
      </c>
      <c r="L216" s="5" t="str">
        <f>IFERROR(__xludf.DUMMYFUNCTION("""COMPUTED_VALUE"""),"KLH")</f>
        <v>KLH</v>
      </c>
    </row>
    <row r="217">
      <c r="A217" s="156" t="str">
        <f>IFERROR(__xludf.DUMMYFUNCTION("""COMPUTED_VALUE"""),"XD3-XTA-008")</f>
        <v>XD3-XTA-008</v>
      </c>
      <c r="B217" s="3" t="str">
        <f>IFERROR(__xludf.DUMMYFUNCTION("""COMPUTED_VALUE"""),"Xe ben FD850")</f>
        <v>Xe ben FD850</v>
      </c>
      <c r="C217" s="5" t="str">
        <f>IFERROR(__xludf.DUMMYFUNCTION("""COMPUTED_VALUE"""),"XN Chuối DP3")</f>
        <v>XN Chuối DP3</v>
      </c>
      <c r="D217" s="5" t="str">
        <f>IFERROR(__xludf.DUMMYFUNCTION("""COMPUTED_VALUE"""),"THACO FORLAND")</f>
        <v>THACO FORLAND</v>
      </c>
      <c r="E217" s="5" t="str">
        <f>IFERROR(__xludf.DUMMYFUNCTION("""COMPUTED_VALUE"""),"VIỆT NAM")</f>
        <v>VIỆT NAM</v>
      </c>
      <c r="F217" s="5">
        <f>IFERROR(__xludf.DUMMYFUNCTION("""COMPUTED_VALUE"""),2010.0)</f>
        <v>2010</v>
      </c>
      <c r="G217" s="5" t="str">
        <f>IFERROR(__xludf.DUMMYFUNCTION("""COMPUTED_VALUE"""),"FD850-8T")</f>
        <v>FD850-8T</v>
      </c>
      <c r="H217" s="5" t="str">
        <f>IFERROR(__xludf.DUMMYFUNCTION("""COMPUTED_VALUE"""),"140HP")</f>
        <v>140HP</v>
      </c>
      <c r="I217" s="5" t="str">
        <f>IFERROR(__xludf.DUMMYFUNCTION("""COMPUTED_VALUE"""),"RNHF14FYAL0008847")</f>
        <v>RNHF14FYAL0008847</v>
      </c>
      <c r="J217" s="5" t="str">
        <f>IFERROR(__xludf.DUMMYFUNCTION("""COMPUTED_VALUE"""),"CCN")</f>
        <v>CCN</v>
      </c>
      <c r="K217" s="5"/>
      <c r="L217" s="5" t="str">
        <f>IFERROR(__xludf.DUMMYFUNCTION("""COMPUTED_VALUE"""),"KLH")</f>
        <v>KLH</v>
      </c>
    </row>
    <row r="218">
      <c r="A218" s="156" t="str">
        <f>IFERROR(__xludf.DUMMYFUNCTION("""COMPUTED_VALUE"""),"XD3-CLT-001")</f>
        <v>XD3-CLT-001</v>
      </c>
      <c r="B218" s="3" t="str">
        <f>IFERROR(__xludf.DUMMYFUNCTION("""COMPUTED_VALUE"""),"Xe clethon")</f>
        <v>Xe clethon</v>
      </c>
      <c r="C218" s="5" t="str">
        <f>IFERROR(__xludf.DUMMYFUNCTION("""COMPUTED_VALUE"""),"XN Chuối DP3")</f>
        <v>XN Chuối DP3</v>
      </c>
      <c r="D218" s="5" t="str">
        <f>IFERROR(__xludf.DUMMYFUNCTION("""COMPUTED_VALUE"""),"YANMAR")</f>
        <v>YANMAR</v>
      </c>
      <c r="E218" s="5" t="str">
        <f>IFERROR(__xludf.DUMMYFUNCTION("""COMPUTED_VALUE"""),"INDONESIA")</f>
        <v>INDONESIA</v>
      </c>
      <c r="F218" s="5">
        <f>IFERROR(__xludf.DUMMYFUNCTION("""COMPUTED_VALUE"""),2022.0)</f>
        <v>2022</v>
      </c>
      <c r="G218" s="5" t="str">
        <f>IFERROR(__xludf.DUMMYFUNCTION("""COMPUTED_VALUE"""),"TF150NL-PR2")</f>
        <v>TF150NL-PR2</v>
      </c>
      <c r="H218" s="5" t="str">
        <f>IFERROR(__xludf.DUMMYFUNCTION("""COMPUTED_VALUE"""),"15HP")</f>
        <v>15HP</v>
      </c>
      <c r="I218" s="5" t="str">
        <f>IFERROR(__xludf.DUMMYFUNCTION("""COMPUTED_VALUE"""),"203055")</f>
        <v>203055</v>
      </c>
      <c r="J218" s="5" t="str">
        <f>IFERROR(__xludf.DUMMYFUNCTION("""COMPUTED_VALUE"""),"B1541L")</f>
        <v>B1541L</v>
      </c>
      <c r="K218" s="5">
        <f>IFERROR(__xludf.DUMMYFUNCTION("""COMPUTED_VALUE"""),0.5)</f>
        <v>0.5</v>
      </c>
      <c r="L218" s="5" t="str">
        <f>IFERROR(__xludf.DUMMYFUNCTION("""COMPUTED_VALUE"""),"KLH")</f>
        <v>KLH</v>
      </c>
    </row>
    <row r="219">
      <c r="A219" s="156" t="str">
        <f>IFERROR(__xludf.DUMMYFUNCTION("""COMPUTED_VALUE"""),"XD3-CLT-002")</f>
        <v>XD3-CLT-002</v>
      </c>
      <c r="B219" s="3" t="str">
        <f>IFERROR(__xludf.DUMMYFUNCTION("""COMPUTED_VALUE"""),"Xe clethon")</f>
        <v>Xe clethon</v>
      </c>
      <c r="C219" s="5" t="str">
        <f>IFERROR(__xludf.DUMMYFUNCTION("""COMPUTED_VALUE"""),"XN Chuối DP3")</f>
        <v>XN Chuối DP3</v>
      </c>
      <c r="D219" s="5" t="str">
        <f>IFERROR(__xludf.DUMMYFUNCTION("""COMPUTED_VALUE"""),"YANMAR")</f>
        <v>YANMAR</v>
      </c>
      <c r="E219" s="5" t="str">
        <f>IFERROR(__xludf.DUMMYFUNCTION("""COMPUTED_VALUE"""),"INDONESIA")</f>
        <v>INDONESIA</v>
      </c>
      <c r="F219" s="5">
        <f>IFERROR(__xludf.DUMMYFUNCTION("""COMPUTED_VALUE"""),2022.0)</f>
        <v>2022</v>
      </c>
      <c r="G219" s="5" t="str">
        <f>IFERROR(__xludf.DUMMYFUNCTION("""COMPUTED_VALUE"""),"TF150NL-PR2")</f>
        <v>TF150NL-PR2</v>
      </c>
      <c r="H219" s="5" t="str">
        <f>IFERROR(__xludf.DUMMYFUNCTION("""COMPUTED_VALUE"""),"15HP")</f>
        <v>15HP</v>
      </c>
      <c r="I219" s="5" t="str">
        <f>IFERROR(__xludf.DUMMYFUNCTION("""COMPUTED_VALUE"""),"203059")</f>
        <v>203059</v>
      </c>
      <c r="J219" s="5" t="str">
        <f>IFERROR(__xludf.DUMMYFUNCTION("""COMPUTED_VALUE"""),"B2128L")</f>
        <v>B2128L</v>
      </c>
      <c r="K219" s="5">
        <f>IFERROR(__xludf.DUMMYFUNCTION("""COMPUTED_VALUE"""),0.5)</f>
        <v>0.5</v>
      </c>
      <c r="L219" s="5" t="str">
        <f>IFERROR(__xludf.DUMMYFUNCTION("""COMPUTED_VALUE"""),"KLH")</f>
        <v>KLH</v>
      </c>
    </row>
    <row r="220">
      <c r="A220" s="156" t="str">
        <f>IFERROR(__xludf.DUMMYFUNCTION("""COMPUTED_VALUE"""),"XD3-CLT-003")</f>
        <v>XD3-CLT-003</v>
      </c>
      <c r="B220" s="3" t="str">
        <f>IFERROR(__xludf.DUMMYFUNCTION("""COMPUTED_VALUE"""),"Xe clethon")</f>
        <v>Xe clethon</v>
      </c>
      <c r="C220" s="5" t="str">
        <f>IFERROR(__xludf.DUMMYFUNCTION("""COMPUTED_VALUE"""),"XN Chuối DP3")</f>
        <v>XN Chuối DP3</v>
      </c>
      <c r="D220" s="5" t="str">
        <f>IFERROR(__xludf.DUMMYFUNCTION("""COMPUTED_VALUE"""),"YANMAR")</f>
        <v>YANMAR</v>
      </c>
      <c r="E220" s="5" t="str">
        <f>IFERROR(__xludf.DUMMYFUNCTION("""COMPUTED_VALUE"""),"INDONESIA")</f>
        <v>INDONESIA</v>
      </c>
      <c r="F220" s="5">
        <f>IFERROR(__xludf.DUMMYFUNCTION("""COMPUTED_VALUE"""),2022.0)</f>
        <v>2022</v>
      </c>
      <c r="G220" s="5" t="str">
        <f>IFERROR(__xludf.DUMMYFUNCTION("""COMPUTED_VALUE"""),"TF150NL-PR2")</f>
        <v>TF150NL-PR2</v>
      </c>
      <c r="H220" s="5" t="str">
        <f>IFERROR(__xludf.DUMMYFUNCTION("""COMPUTED_VALUE"""),"15HP")</f>
        <v>15HP</v>
      </c>
      <c r="I220" s="5" t="str">
        <f>IFERROR(__xludf.DUMMYFUNCTION("""COMPUTED_VALUE"""),"203061")</f>
        <v>203061</v>
      </c>
      <c r="J220" s="5" t="str">
        <f>IFERROR(__xludf.DUMMYFUNCTION("""COMPUTED_VALUE"""),"B1316M")</f>
        <v>B1316M</v>
      </c>
      <c r="K220" s="5">
        <f>IFERROR(__xludf.DUMMYFUNCTION("""COMPUTED_VALUE"""),0.5)</f>
        <v>0.5</v>
      </c>
      <c r="L220" s="5" t="str">
        <f>IFERROR(__xludf.DUMMYFUNCTION("""COMPUTED_VALUE"""),"KLH")</f>
        <v>KLH</v>
      </c>
    </row>
    <row r="221">
      <c r="A221" s="156" t="str">
        <f>IFERROR(__xludf.DUMMYFUNCTION("""COMPUTED_VALUE"""),"XD3-CLT-004")</f>
        <v>XD3-CLT-004</v>
      </c>
      <c r="B221" s="3" t="str">
        <f>IFERROR(__xludf.DUMMYFUNCTION("""COMPUTED_VALUE"""),"Xe clethon")</f>
        <v>Xe clethon</v>
      </c>
      <c r="C221" s="5" t="str">
        <f>IFERROR(__xludf.DUMMYFUNCTION("""COMPUTED_VALUE"""),"XN Chuối DP3")</f>
        <v>XN Chuối DP3</v>
      </c>
      <c r="D221" s="5" t="str">
        <f>IFERROR(__xludf.DUMMYFUNCTION("""COMPUTED_VALUE"""),"YANMAR")</f>
        <v>YANMAR</v>
      </c>
      <c r="E221" s="5" t="str">
        <f>IFERROR(__xludf.DUMMYFUNCTION("""COMPUTED_VALUE"""),"INDONESIA")</f>
        <v>INDONESIA</v>
      </c>
      <c r="F221" s="5">
        <f>IFERROR(__xludf.DUMMYFUNCTION("""COMPUTED_VALUE"""),2022.0)</f>
        <v>2022</v>
      </c>
      <c r="G221" s="5" t="str">
        <f>IFERROR(__xludf.DUMMYFUNCTION("""COMPUTED_VALUE"""),"TF150NL-PR2")</f>
        <v>TF150NL-PR2</v>
      </c>
      <c r="H221" s="5" t="str">
        <f>IFERROR(__xludf.DUMMYFUNCTION("""COMPUTED_VALUE"""),"15HP")</f>
        <v>15HP</v>
      </c>
      <c r="I221" s="5" t="str">
        <f>IFERROR(__xludf.DUMMYFUNCTION("""COMPUTED_VALUE"""),"203176")</f>
        <v>203176</v>
      </c>
      <c r="J221" s="5" t="str">
        <f>IFERROR(__xludf.DUMMYFUNCTION("""COMPUTED_VALUE"""),"C0870C")</f>
        <v>C0870C</v>
      </c>
      <c r="K221" s="5">
        <f>IFERROR(__xludf.DUMMYFUNCTION("""COMPUTED_VALUE"""),0.5)</f>
        <v>0.5</v>
      </c>
      <c r="L221" s="5" t="str">
        <f>IFERROR(__xludf.DUMMYFUNCTION("""COMPUTED_VALUE"""),"KLH")</f>
        <v>KLH</v>
      </c>
    </row>
    <row r="222">
      <c r="A222" s="156" t="str">
        <f>IFERROR(__xludf.DUMMYFUNCTION("""COMPUTED_VALUE"""),"XD3-MĐQ-001")</f>
        <v>XD3-MĐQ-001</v>
      </c>
      <c r="B222" s="3" t="str">
        <f>IFERROR(__xludf.DUMMYFUNCTION("""COMPUTED_VALUE"""),"Máy cắt cỏ đĩa quay 8HP")</f>
        <v>Máy cắt cỏ đĩa quay 8HP</v>
      </c>
      <c r="C222" s="5" t="str">
        <f>IFERROR(__xludf.DUMMYFUNCTION("""COMPUTED_VALUE"""),"XN Chuối DP3")</f>
        <v>XN Chuối DP3</v>
      </c>
      <c r="D222" s="5" t="str">
        <f>IFERROR(__xludf.DUMMYFUNCTION("""COMPUTED_VALUE"""),"MISUBISHI")</f>
        <v>MISUBISHI</v>
      </c>
      <c r="E222" s="5" t="str">
        <f>IFERROR(__xludf.DUMMYFUNCTION("""COMPUTED_VALUE"""),"JANPAN")</f>
        <v>JANPAN</v>
      </c>
      <c r="F222" s="5"/>
      <c r="G222" s="5" t="str">
        <f>IFERROR(__xludf.DUMMYFUNCTION("""COMPUTED_VALUE"""),"MR910")</f>
        <v>MR910</v>
      </c>
      <c r="H222" s="5" t="str">
        <f>IFERROR(__xludf.DUMMYFUNCTION("""COMPUTED_VALUE"""),"8HP")</f>
        <v>8HP</v>
      </c>
      <c r="I222" s="5" t="str">
        <f>IFERROR(__xludf.DUMMYFUNCTION("""COMPUTED_VALUE"""),"G910217678")</f>
        <v>G910217678</v>
      </c>
      <c r="J222" s="5" t="str">
        <f>IFERROR(__xludf.DUMMYFUNCTION("""COMPUTED_VALUE"""),"12168")</f>
        <v>12168</v>
      </c>
      <c r="K222" s="5">
        <f>IFERROR(__xludf.DUMMYFUNCTION("""COMPUTED_VALUE"""),2.3)</f>
        <v>2.3</v>
      </c>
      <c r="L222" s="5" t="str">
        <f>IFERROR(__xludf.DUMMYFUNCTION("""COMPUTED_VALUE"""),"KLH")</f>
        <v>KLH</v>
      </c>
    </row>
    <row r="223">
      <c r="A223" s="156" t="str">
        <f>IFERROR(__xludf.DUMMYFUNCTION("""COMPUTED_VALUE"""),"XD3-CCD-001")</f>
        <v>XD3-CCD-001</v>
      </c>
      <c r="B223" s="3" t="str">
        <f>IFERROR(__xludf.DUMMYFUNCTION("""COMPUTED_VALUE"""),"Máy cắt cỏ trục băm đa năng")</f>
        <v>Máy cắt cỏ trục băm đa năng</v>
      </c>
      <c r="C223" s="5" t="str">
        <f>IFERROR(__xludf.DUMMYFUNCTION("""COMPUTED_VALUE"""),"XN Chuối DP3")</f>
        <v>XN Chuối DP3</v>
      </c>
      <c r="D223" s="5" t="str">
        <f>IFERROR(__xludf.DUMMYFUNCTION("""COMPUTED_VALUE"""),"ISHIKAWA")</f>
        <v>ISHIKAWA</v>
      </c>
      <c r="E223" s="5" t="str">
        <f>IFERROR(__xludf.DUMMYFUNCTION("""COMPUTED_VALUE"""),"VIỆT NAM")</f>
        <v>VIỆT NAM</v>
      </c>
      <c r="F223" s="5">
        <f>IFERROR(__xludf.DUMMYFUNCTION("""COMPUTED_VALUE"""),2025.0)</f>
        <v>2025</v>
      </c>
      <c r="G223" s="5" t="str">
        <f>IFERROR(__xludf.DUMMYFUNCTION("""COMPUTED_VALUE"""),"TL662")</f>
        <v>TL662</v>
      </c>
      <c r="H223" s="5" t="str">
        <f>IFERROR(__xludf.DUMMYFUNCTION("""COMPUTED_VALUE"""),"10HP")</f>
        <v>10HP</v>
      </c>
      <c r="I223" s="5" t="str">
        <f>IFERROR(__xludf.DUMMYFUNCTION("""COMPUTED_VALUE"""),"TL20250601403")</f>
        <v>TL20250601403</v>
      </c>
      <c r="J223" s="5" t="str">
        <f>IFERROR(__xludf.DUMMYFUNCTION("""COMPUTED_VALUE"""),"GT1000B0037703CC")</f>
        <v>GT1000B0037703CC</v>
      </c>
      <c r="K223" s="5">
        <f>IFERROR(__xludf.DUMMYFUNCTION("""COMPUTED_VALUE"""),1.8)</f>
        <v>1.8</v>
      </c>
      <c r="L223" s="5" t="str">
        <f>IFERROR(__xludf.DUMMYFUNCTION("""COMPUTED_VALUE"""),"KLH")</f>
        <v>KLH</v>
      </c>
    </row>
    <row r="224">
      <c r="A224" s="42" t="str">
        <f>IFERROR(__xludf.DUMMYFUNCTION("""COMPUTED_VALUE"""),"XD3-CCD-002")</f>
        <v>XD3-CCD-002</v>
      </c>
      <c r="B224" s="3" t="str">
        <f>IFERROR(__xludf.DUMMYFUNCTION("""COMPUTED_VALUE"""),"Máy cắt cỏ trục băm đa năng")</f>
        <v>Máy cắt cỏ trục băm đa năng</v>
      </c>
      <c r="C224" s="5" t="str">
        <f>IFERROR(__xludf.DUMMYFUNCTION("""COMPUTED_VALUE"""),"XN Chuối DP3")</f>
        <v>XN Chuối DP3</v>
      </c>
      <c r="D224" s="5" t="str">
        <f>IFERROR(__xludf.DUMMYFUNCTION("""COMPUTED_VALUE"""),"ISHIKAWA")</f>
        <v>ISHIKAWA</v>
      </c>
      <c r="E224" s="5" t="str">
        <f>IFERROR(__xludf.DUMMYFUNCTION("""COMPUTED_VALUE"""),"VIỆT NAM")</f>
        <v>VIỆT NAM</v>
      </c>
      <c r="F224" s="5">
        <f>IFERROR(__xludf.DUMMYFUNCTION("""COMPUTED_VALUE"""),2025.0)</f>
        <v>2025</v>
      </c>
      <c r="G224" s="5" t="str">
        <f>IFERROR(__xludf.DUMMYFUNCTION("""COMPUTED_VALUE"""),"TL662")</f>
        <v>TL662</v>
      </c>
      <c r="H224" s="5" t="str">
        <f>IFERROR(__xludf.DUMMYFUNCTION("""COMPUTED_VALUE"""),"10HP")</f>
        <v>10HP</v>
      </c>
      <c r="I224" s="5" t="str">
        <f>IFERROR(__xludf.DUMMYFUNCTION("""COMPUTED_VALUE"""),"TL20250601405")</f>
        <v>TL20250601405</v>
      </c>
      <c r="J224" s="5" t="str">
        <f>IFERROR(__xludf.DUMMYFUNCTION("""COMPUTED_VALUE"""),"GT1000B0042145CD")</f>
        <v>GT1000B0042145CD</v>
      </c>
      <c r="K224" s="5">
        <f>IFERROR(__xludf.DUMMYFUNCTION("""COMPUTED_VALUE"""),1.8)</f>
        <v>1.8</v>
      </c>
      <c r="L224" s="5" t="str">
        <f>IFERROR(__xludf.DUMMYFUNCTION("""COMPUTED_VALUE"""),"KLH")</f>
        <v>KLH</v>
      </c>
    </row>
    <row r="225">
      <c r="A225" s="42" t="str">
        <f>IFERROR(__xludf.DUMMYFUNCTION("""COMPUTED_VALUE"""),"XD3-CCD-003")</f>
        <v>XD3-CCD-003</v>
      </c>
      <c r="B225" s="3" t="str">
        <f>IFERROR(__xludf.DUMMYFUNCTION("""COMPUTED_VALUE"""),"Máy cắt cỏ trục băm đa năng")</f>
        <v>Máy cắt cỏ trục băm đa năng</v>
      </c>
      <c r="C225" s="5" t="str">
        <f>IFERROR(__xludf.DUMMYFUNCTION("""COMPUTED_VALUE"""),"XN Chuối DP3")</f>
        <v>XN Chuối DP3</v>
      </c>
      <c r="D225" s="5" t="str">
        <f>IFERROR(__xludf.DUMMYFUNCTION("""COMPUTED_VALUE"""),"ISHIKAWA")</f>
        <v>ISHIKAWA</v>
      </c>
      <c r="E225" s="5" t="str">
        <f>IFERROR(__xludf.DUMMYFUNCTION("""COMPUTED_VALUE"""),"VIỆT NAM")</f>
        <v>VIỆT NAM</v>
      </c>
      <c r="F225" s="5">
        <f>IFERROR(__xludf.DUMMYFUNCTION("""COMPUTED_VALUE"""),2025.0)</f>
        <v>2025</v>
      </c>
      <c r="G225" s="5" t="str">
        <f>IFERROR(__xludf.DUMMYFUNCTION("""COMPUTED_VALUE"""),"TL662")</f>
        <v>TL662</v>
      </c>
      <c r="H225" s="5" t="str">
        <f>IFERROR(__xludf.DUMMYFUNCTION("""COMPUTED_VALUE"""),"10HP")</f>
        <v>10HP</v>
      </c>
      <c r="I225" s="5" t="str">
        <f>IFERROR(__xludf.DUMMYFUNCTION("""COMPUTED_VALUE"""),"TL202506014018")</f>
        <v>TL202506014018</v>
      </c>
      <c r="J225" s="5" t="str">
        <f>IFERROR(__xludf.DUMMYFUNCTION("""COMPUTED_VALUE"""),"GT1000B0012093CD")</f>
        <v>GT1000B0012093CD</v>
      </c>
      <c r="K225" s="5">
        <f>IFERROR(__xludf.DUMMYFUNCTION("""COMPUTED_VALUE"""),1.8)</f>
        <v>1.8</v>
      </c>
      <c r="L225" s="5" t="str">
        <f>IFERROR(__xludf.DUMMYFUNCTION("""COMPUTED_VALUE"""),"KLH")</f>
        <v>KLH</v>
      </c>
    </row>
    <row r="226">
      <c r="A226" s="42" t="str">
        <f>IFERROR(__xludf.DUMMYFUNCTION("""COMPUTED_VALUE"""),"XD3-CCD-004")</f>
        <v>XD3-CCD-004</v>
      </c>
      <c r="B226" s="3" t="str">
        <f>IFERROR(__xludf.DUMMYFUNCTION("""COMPUTED_VALUE"""),"Máy cắt cỏ trục băm đa năng")</f>
        <v>Máy cắt cỏ trục băm đa năng</v>
      </c>
      <c r="C226" s="5" t="str">
        <f>IFERROR(__xludf.DUMMYFUNCTION("""COMPUTED_VALUE"""),"XN Chuối DP3")</f>
        <v>XN Chuối DP3</v>
      </c>
      <c r="D226" s="5" t="str">
        <f>IFERROR(__xludf.DUMMYFUNCTION("""COMPUTED_VALUE"""),"ISHIKAWA")</f>
        <v>ISHIKAWA</v>
      </c>
      <c r="E226" s="5" t="str">
        <f>IFERROR(__xludf.DUMMYFUNCTION("""COMPUTED_VALUE"""),"VIỆT NAM")</f>
        <v>VIỆT NAM</v>
      </c>
      <c r="F226" s="5">
        <f>IFERROR(__xludf.DUMMYFUNCTION("""COMPUTED_VALUE"""),2025.0)</f>
        <v>2025</v>
      </c>
      <c r="G226" s="5" t="str">
        <f>IFERROR(__xludf.DUMMYFUNCTION("""COMPUTED_VALUE"""),"TL662")</f>
        <v>TL662</v>
      </c>
      <c r="H226" s="5" t="str">
        <f>IFERROR(__xludf.DUMMYFUNCTION("""COMPUTED_VALUE"""),"10HP")</f>
        <v>10HP</v>
      </c>
      <c r="I226" s="5" t="str">
        <f>IFERROR(__xludf.DUMMYFUNCTION("""COMPUTED_VALUE"""),"TL202506014019")</f>
        <v>TL202506014019</v>
      </c>
      <c r="J226" s="5" t="str">
        <f>IFERROR(__xludf.DUMMYFUNCTION("""COMPUTED_VALUE"""),"GT1000B0042106CD")</f>
        <v>GT1000B0042106CD</v>
      </c>
      <c r="K226" s="5">
        <f>IFERROR(__xludf.DUMMYFUNCTION("""COMPUTED_VALUE"""),1.8)</f>
        <v>1.8</v>
      </c>
      <c r="L226" s="5" t="str">
        <f>IFERROR(__xludf.DUMMYFUNCTION("""COMPUTED_VALUE"""),"KLH")</f>
        <v>KLH</v>
      </c>
    </row>
    <row r="227">
      <c r="A227" s="42" t="str">
        <f>IFERROR(__xludf.DUMMYFUNCTION("""COMPUTED_VALUE"""),"XD3-CCD-005")</f>
        <v>XD3-CCD-005</v>
      </c>
      <c r="B227" s="3" t="str">
        <f>IFERROR(__xludf.DUMMYFUNCTION("""COMPUTED_VALUE"""),"Máy cắt cỏ trục băm đa năng")</f>
        <v>Máy cắt cỏ trục băm đa năng</v>
      </c>
      <c r="C227" s="5" t="str">
        <f>IFERROR(__xludf.DUMMYFUNCTION("""COMPUTED_VALUE"""),"XN Chuối DP3")</f>
        <v>XN Chuối DP3</v>
      </c>
      <c r="D227" s="5" t="str">
        <f>IFERROR(__xludf.DUMMYFUNCTION("""COMPUTED_VALUE"""),"ISHIKAWA")</f>
        <v>ISHIKAWA</v>
      </c>
      <c r="E227" s="5" t="str">
        <f>IFERROR(__xludf.DUMMYFUNCTION("""COMPUTED_VALUE"""),"VIỆT NAM")</f>
        <v>VIỆT NAM</v>
      </c>
      <c r="F227" s="5">
        <f>IFERROR(__xludf.DUMMYFUNCTION("""COMPUTED_VALUE"""),2025.0)</f>
        <v>2025</v>
      </c>
      <c r="G227" s="5" t="str">
        <f>IFERROR(__xludf.DUMMYFUNCTION("""COMPUTED_VALUE"""),"TL663")</f>
        <v>TL663</v>
      </c>
      <c r="H227" s="5" t="str">
        <f>IFERROR(__xludf.DUMMYFUNCTION("""COMPUTED_VALUE"""),"10HP")</f>
        <v>10HP</v>
      </c>
      <c r="I227" s="5" t="str">
        <f>IFERROR(__xludf.DUMMYFUNCTION("""COMPUTED_VALUE"""),"TL20250901606
")</f>
        <v>TL20250901606
</v>
      </c>
      <c r="J227" s="5"/>
      <c r="K227" s="5">
        <f>IFERROR(__xludf.DUMMYFUNCTION("""COMPUTED_VALUE"""),1.8)</f>
        <v>1.8</v>
      </c>
      <c r="L227" s="5" t="str">
        <f>IFERROR(__xludf.DUMMYFUNCTION("""COMPUTED_VALUE"""),"KLH")</f>
        <v>KLH</v>
      </c>
    </row>
    <row r="228">
      <c r="A228" s="42" t="str">
        <f>IFERROR(__xludf.DUMMYFUNCTION("""COMPUTED_VALUE"""),"XD3-CCD-006")</f>
        <v>XD3-CCD-006</v>
      </c>
      <c r="B228" s="3" t="str">
        <f>IFERROR(__xludf.DUMMYFUNCTION("""COMPUTED_VALUE"""),"Máy cắt cỏ trục băm đa năng")</f>
        <v>Máy cắt cỏ trục băm đa năng</v>
      </c>
      <c r="C228" s="5" t="str">
        <f>IFERROR(__xludf.DUMMYFUNCTION("""COMPUTED_VALUE"""),"XN Chuối DP3")</f>
        <v>XN Chuối DP3</v>
      </c>
      <c r="D228" s="5" t="str">
        <f>IFERROR(__xludf.DUMMYFUNCTION("""COMPUTED_VALUE"""),"ISHIKAWA")</f>
        <v>ISHIKAWA</v>
      </c>
      <c r="E228" s="5" t="str">
        <f>IFERROR(__xludf.DUMMYFUNCTION("""COMPUTED_VALUE"""),"VIỆT NAM")</f>
        <v>VIỆT NAM</v>
      </c>
      <c r="F228" s="5">
        <f>IFERROR(__xludf.DUMMYFUNCTION("""COMPUTED_VALUE"""),2025.0)</f>
        <v>2025</v>
      </c>
      <c r="G228" s="5" t="str">
        <f>IFERROR(__xludf.DUMMYFUNCTION("""COMPUTED_VALUE"""),"TL663")</f>
        <v>TL663</v>
      </c>
      <c r="H228" s="5" t="str">
        <f>IFERROR(__xludf.DUMMYFUNCTION("""COMPUTED_VALUE"""),"10HP")</f>
        <v>10HP</v>
      </c>
      <c r="I228" s="5" t="str">
        <f>IFERROR(__xludf.DUMMYFUNCTION("""COMPUTED_VALUE"""),"TL202501201501")</f>
        <v>TL202501201501</v>
      </c>
      <c r="J228" s="5"/>
      <c r="K228" s="5">
        <f>IFERROR(__xludf.DUMMYFUNCTION("""COMPUTED_VALUE"""),1.8)</f>
        <v>1.8</v>
      </c>
      <c r="L228" s="5" t="str">
        <f>IFERROR(__xludf.DUMMYFUNCTION("""COMPUTED_VALUE"""),"KLH")</f>
        <v>KLH</v>
      </c>
    </row>
    <row r="229">
      <c r="A229" s="42" t="str">
        <f>IFERROR(__xludf.DUMMYFUNCTION("""COMPUTED_VALUE"""),"XD3-MXD-001")</f>
        <v>XD3-MXD-001</v>
      </c>
      <c r="B229" s="3" t="str">
        <f>IFERROR(__xludf.DUMMYFUNCTION("""COMPUTED_VALUE"""),"Máy xới đất 7.5HP")</f>
        <v>Máy xới đất 7.5HP</v>
      </c>
      <c r="C229" s="5" t="str">
        <f>IFERROR(__xludf.DUMMYFUNCTION("""COMPUTED_VALUE"""),"XN Chuối DP3")</f>
        <v>XN Chuối DP3</v>
      </c>
      <c r="D229" s="5" t="str">
        <f>IFERROR(__xludf.DUMMYFUNCTION("""COMPUTED_VALUE"""),"Shineray")</f>
        <v>Shineray</v>
      </c>
      <c r="E229" s="5" t="str">
        <f>IFERROR(__xludf.DUMMYFUNCTION("""COMPUTED_VALUE"""),"VIỆT NAM")</f>
        <v>VIỆT NAM</v>
      </c>
      <c r="F229" s="5">
        <f>IFERROR(__xludf.DUMMYFUNCTION("""COMPUTED_VALUE"""),2025.0)</f>
        <v>2025</v>
      </c>
      <c r="G229" s="5" t="str">
        <f>IFERROR(__xludf.DUMMYFUNCTION("""COMPUTED_VALUE"""),"SR1Z-75")</f>
        <v>SR1Z-75</v>
      </c>
      <c r="H229" s="5" t="str">
        <f>IFERROR(__xludf.DUMMYFUNCTION("""COMPUTED_VALUE"""),"7.5HP")</f>
        <v>7.5HP</v>
      </c>
      <c r="I229" s="5" t="str">
        <f>IFERROR(__xludf.DUMMYFUNCTION("""COMPUTED_VALUE"""),"2505401193")</f>
        <v>2505401193</v>
      </c>
      <c r="J229" s="5" t="str">
        <f>IFERROR(__xludf.DUMMYFUNCTION("""COMPUTED_VALUE"""),"00E534AT0852")</f>
        <v>00E534AT0852</v>
      </c>
      <c r="K229" s="5"/>
      <c r="L229" s="5" t="str">
        <f>IFERROR(__xludf.DUMMYFUNCTION("""COMPUTED_VALUE"""),"KLH")</f>
        <v>KLH</v>
      </c>
    </row>
    <row r="230">
      <c r="A230" s="42" t="str">
        <f>IFERROR(__xludf.DUMMYFUNCTION("""COMPUTED_VALUE"""),"XD3-MXD-002")</f>
        <v>XD3-MXD-002</v>
      </c>
      <c r="B230" s="3" t="str">
        <f>IFERROR(__xludf.DUMMYFUNCTION("""COMPUTED_VALUE"""),"Máy xới đất 7.5HP")</f>
        <v>Máy xới đất 7.5HP</v>
      </c>
      <c r="C230" s="5" t="str">
        <f>IFERROR(__xludf.DUMMYFUNCTION("""COMPUTED_VALUE"""),"XN Chuối DP3")</f>
        <v>XN Chuối DP3</v>
      </c>
      <c r="D230" s="5" t="str">
        <f>IFERROR(__xludf.DUMMYFUNCTION("""COMPUTED_VALUE"""),"Shineray")</f>
        <v>Shineray</v>
      </c>
      <c r="E230" s="5" t="str">
        <f>IFERROR(__xludf.DUMMYFUNCTION("""COMPUTED_VALUE"""),"VIỆT NAM")</f>
        <v>VIỆT NAM</v>
      </c>
      <c r="F230" s="5">
        <f>IFERROR(__xludf.DUMMYFUNCTION("""COMPUTED_VALUE"""),2025.0)</f>
        <v>2025</v>
      </c>
      <c r="G230" s="5" t="str">
        <f>IFERROR(__xludf.DUMMYFUNCTION("""COMPUTED_VALUE"""),"SR1Z-75")</f>
        <v>SR1Z-75</v>
      </c>
      <c r="H230" s="5" t="str">
        <f>IFERROR(__xludf.DUMMYFUNCTION("""COMPUTED_VALUE"""),"7.5HP")</f>
        <v>7.5HP</v>
      </c>
      <c r="I230" s="5" t="str">
        <f>IFERROR(__xludf.DUMMYFUNCTION("""COMPUTED_VALUE"""),"2505401175")</f>
        <v>2505401175</v>
      </c>
      <c r="J230" s="5" t="str">
        <f>IFERROR(__xludf.DUMMYFUNCTION("""COMPUTED_VALUE"""),"00E534AT0827")</f>
        <v>00E534AT0827</v>
      </c>
      <c r="K230" s="5"/>
      <c r="L230" s="5" t="str">
        <f>IFERROR(__xludf.DUMMYFUNCTION("""COMPUTED_VALUE"""),"KLH")</f>
        <v>KLH</v>
      </c>
    </row>
    <row r="231">
      <c r="A231" s="156" t="str">
        <f>IFERROR(__xludf.DUMMYFUNCTION("""COMPUTED_VALUE"""),"Xí nghiệp Chuối LP1")</f>
        <v>Xí nghiệp Chuối LP1</v>
      </c>
      <c r="B231" s="3"/>
      <c r="C231" s="5"/>
      <c r="D231" s="5"/>
      <c r="E231" s="5"/>
      <c r="F231" s="5"/>
      <c r="G231" s="5"/>
      <c r="H231" s="5"/>
      <c r="I231" s="5"/>
      <c r="J231" s="5"/>
      <c r="K231" s="5"/>
      <c r="L231" s="5" t="str">
        <f>IFERROR(__xludf.DUMMYFUNCTION("""COMPUTED_VALUE"""),"KLH")</f>
        <v>KLH</v>
      </c>
    </row>
    <row r="232">
      <c r="A232" s="156" t="str">
        <f>IFERROR(__xludf.DUMMYFUNCTION("""COMPUTED_VALUE"""),"XL1-TCD-001")</f>
        <v>XL1-TCD-001</v>
      </c>
      <c r="B232" s="3" t="str">
        <f>IFERROR(__xludf.DUMMYFUNCTION("""COMPUTED_VALUE"""),"Xe tải chuyên dụng (thùng lửng)")</f>
        <v>Xe tải chuyên dụng (thùng lửng)</v>
      </c>
      <c r="C232" s="5" t="str">
        <f>IFERROR(__xludf.DUMMYFUNCTION("""COMPUTED_VALUE"""),"XN Chuối LP1")</f>
        <v>XN Chuối LP1</v>
      </c>
      <c r="D232" s="5" t="str">
        <f>IFERROR(__xludf.DUMMYFUNCTION("""COMPUTED_VALUE"""),"KIA")</f>
        <v>KIA</v>
      </c>
      <c r="E232" s="5" t="str">
        <f>IFERROR(__xludf.DUMMYFUNCTION("""COMPUTED_VALUE"""),"VIỆT NAM")</f>
        <v>VIỆT NAM</v>
      </c>
      <c r="F232" s="5">
        <f>IFERROR(__xludf.DUMMYFUNCTION("""COMPUTED_VALUE"""),2021.0)</f>
        <v>2021</v>
      </c>
      <c r="G232" s="5" t="str">
        <f>IFERROR(__xludf.DUMMYFUNCTION("""COMPUTED_VALUE"""),"FRONTIER K200SD-4WD")</f>
        <v>FRONTIER K200SD-4WD</v>
      </c>
      <c r="H232" s="5" t="str">
        <f>IFERROR(__xludf.DUMMYFUNCTION("""COMPUTED_VALUE"""),"130HP")</f>
        <v>130HP</v>
      </c>
      <c r="I232" s="5" t="str">
        <f>IFERROR(__xludf.DUMMYFUNCTION("""COMPUTED_VALUE"""),"RNHF39KHBMT045642")</f>
        <v>RNHF39KHBMT045642</v>
      </c>
      <c r="J232" s="5" t="str">
        <f>IFERROR(__xludf.DUMMYFUNCTION("""COMPUTED_VALUE"""),"MD540096D4CB")</f>
        <v>MD540096D4CB</v>
      </c>
      <c r="K232" s="5"/>
      <c r="L232" s="5" t="str">
        <f>IFERROR(__xludf.DUMMYFUNCTION("""COMPUTED_VALUE"""),"KLH")</f>
        <v>KLH</v>
      </c>
    </row>
    <row r="233">
      <c r="A233" s="156" t="str">
        <f>IFERROR(__xludf.DUMMYFUNCTION("""COMPUTED_VALUE"""),"XL1-MKE-004")</f>
        <v>XL1-MKE-004</v>
      </c>
      <c r="B233" s="3" t="str">
        <f>IFERROR(__xludf.DUMMYFUNCTION("""COMPUTED_VALUE"""),"Máy cày KAM50")</f>
        <v>Máy cày KAM50</v>
      </c>
      <c r="C233" s="5" t="str">
        <f>IFERROR(__xludf.DUMMYFUNCTION("""COMPUTED_VALUE"""),"XN Chuối LP1")</f>
        <v>XN Chuối LP1</v>
      </c>
      <c r="D233" s="5" t="str">
        <f>IFERROR(__xludf.DUMMYFUNCTION("""COMPUTED_VALUE"""),"THACO")</f>
        <v>THACO</v>
      </c>
      <c r="E233" s="5" t="str">
        <f>IFERROR(__xludf.DUMMYFUNCTION("""COMPUTED_VALUE"""),"VIỆT NAM")</f>
        <v>VIỆT NAM</v>
      </c>
      <c r="F233" s="5">
        <f>IFERROR(__xludf.DUMMYFUNCTION("""COMPUTED_VALUE"""),2018.0)</f>
        <v>2018</v>
      </c>
      <c r="G233" s="5" t="str">
        <f>IFERROR(__xludf.DUMMYFUNCTION("""COMPUTED_VALUE"""),"KAM50")</f>
        <v>KAM50</v>
      </c>
      <c r="H233" s="5" t="str">
        <f>IFERROR(__xludf.DUMMYFUNCTION("""COMPUTED_VALUE"""),"50HP")</f>
        <v>50HP</v>
      </c>
      <c r="I233" s="5" t="str">
        <f>IFERROR(__xludf.DUMMYFUNCTION("""COMPUTED_VALUE"""),"C000052")</f>
        <v>C000052</v>
      </c>
      <c r="J233" s="5" t="str">
        <f>IFERROR(__xludf.DUMMYFUNCTION("""COMPUTED_VALUE"""),"CCN")</f>
        <v>CCN</v>
      </c>
      <c r="K233" s="5">
        <f>IFERROR(__xludf.DUMMYFUNCTION("""COMPUTED_VALUE"""),2.0)</f>
        <v>2</v>
      </c>
      <c r="L233" s="5" t="str">
        <f>IFERROR(__xludf.DUMMYFUNCTION("""COMPUTED_VALUE"""),"KLH")</f>
        <v>KLH</v>
      </c>
    </row>
    <row r="234">
      <c r="A234" s="156" t="str">
        <f>IFERROR(__xludf.DUMMYFUNCTION("""COMPUTED_VALUE"""),"XL4-MKE-002")</f>
        <v>XL4-MKE-002</v>
      </c>
      <c r="B234" s="3" t="str">
        <f>IFERROR(__xludf.DUMMYFUNCTION("""COMPUTED_VALUE"""),"Máy cày KAM50")</f>
        <v>Máy cày KAM50</v>
      </c>
      <c r="C234" s="5" t="str">
        <f>IFERROR(__xludf.DUMMYFUNCTION("""COMPUTED_VALUE"""),"XN Chuối LP1")</f>
        <v>XN Chuối LP1</v>
      </c>
      <c r="D234" s="5" t="str">
        <f>IFERROR(__xludf.DUMMYFUNCTION("""COMPUTED_VALUE"""),"THACO")</f>
        <v>THACO</v>
      </c>
      <c r="E234" s="5" t="str">
        <f>IFERROR(__xludf.DUMMYFUNCTION("""COMPUTED_VALUE"""),"VIỆT NAM")</f>
        <v>VIỆT NAM</v>
      </c>
      <c r="F234" s="5">
        <f>IFERROR(__xludf.DUMMYFUNCTION("""COMPUTED_VALUE"""),2018.0)</f>
        <v>2018</v>
      </c>
      <c r="G234" s="5" t="str">
        <f>IFERROR(__xludf.DUMMYFUNCTION("""COMPUTED_VALUE"""),"KAM50")</f>
        <v>KAM50</v>
      </c>
      <c r="H234" s="5" t="str">
        <f>IFERROR(__xludf.DUMMYFUNCTION("""COMPUTED_VALUE"""),"50HP")</f>
        <v>50HP</v>
      </c>
      <c r="I234" s="5" t="str">
        <f>IFERROR(__xludf.DUMMYFUNCTION("""COMPUTED_VALUE"""),"C000017")</f>
        <v>C000017</v>
      </c>
      <c r="J234" s="5" t="str">
        <f>IFERROR(__xludf.DUMMYFUNCTION("""COMPUTED_VALUE"""),"CCN")</f>
        <v>CCN</v>
      </c>
      <c r="K234" s="5">
        <f>IFERROR(__xludf.DUMMYFUNCTION("""COMPUTED_VALUE"""),2.5)</f>
        <v>2.5</v>
      </c>
      <c r="L234" s="5" t="str">
        <f>IFERROR(__xludf.DUMMYFUNCTION("""COMPUTED_VALUE"""),"KLH")</f>
        <v>KLH</v>
      </c>
    </row>
    <row r="235">
      <c r="A235" s="156" t="str">
        <f>IFERROR(__xludf.DUMMYFUNCTION("""COMPUTED_VALUE"""),"XL4-MKE-003")</f>
        <v>XL4-MKE-003</v>
      </c>
      <c r="B235" s="3" t="str">
        <f>IFERROR(__xludf.DUMMYFUNCTION("""COMPUTED_VALUE"""),"Máy cày KAM50")</f>
        <v>Máy cày KAM50</v>
      </c>
      <c r="C235" s="5" t="str">
        <f>IFERROR(__xludf.DUMMYFUNCTION("""COMPUTED_VALUE"""),"XN Chuối LP1")</f>
        <v>XN Chuối LP1</v>
      </c>
      <c r="D235" s="5" t="str">
        <f>IFERROR(__xludf.DUMMYFUNCTION("""COMPUTED_VALUE"""),"THACO")</f>
        <v>THACO</v>
      </c>
      <c r="E235" s="5" t="str">
        <f>IFERROR(__xludf.DUMMYFUNCTION("""COMPUTED_VALUE"""),"VIỆT NAM")</f>
        <v>VIỆT NAM</v>
      </c>
      <c r="F235" s="5">
        <f>IFERROR(__xludf.DUMMYFUNCTION("""COMPUTED_VALUE"""),2018.0)</f>
        <v>2018</v>
      </c>
      <c r="G235" s="5" t="str">
        <f>IFERROR(__xludf.DUMMYFUNCTION("""COMPUTED_VALUE"""),"KAM50")</f>
        <v>KAM50</v>
      </c>
      <c r="H235" s="5" t="str">
        <f>IFERROR(__xludf.DUMMYFUNCTION("""COMPUTED_VALUE"""),"50HP")</f>
        <v>50HP</v>
      </c>
      <c r="I235" s="5" t="str">
        <f>IFERROR(__xludf.DUMMYFUNCTION("""COMPUTED_VALUE"""),"C000063")</f>
        <v>C000063</v>
      </c>
      <c r="J235" s="5" t="str">
        <f>IFERROR(__xludf.DUMMYFUNCTION("""COMPUTED_VALUE"""),"CCN")</f>
        <v>CCN</v>
      </c>
      <c r="K235" s="5">
        <f>IFERROR(__xludf.DUMMYFUNCTION("""COMPUTED_VALUE"""),2.5)</f>
        <v>2.5</v>
      </c>
      <c r="L235" s="5" t="str">
        <f>IFERROR(__xludf.DUMMYFUNCTION("""COMPUTED_VALUE"""),"KLH")</f>
        <v>KLH</v>
      </c>
    </row>
    <row r="236">
      <c r="A236" s="156" t="str">
        <f>IFERROR(__xludf.DUMMYFUNCTION("""COMPUTED_VALUE"""),"XL4-MKE-005")</f>
        <v>XL4-MKE-005</v>
      </c>
      <c r="B236" s="3" t="str">
        <f>IFERROR(__xludf.DUMMYFUNCTION("""COMPUTED_VALUE"""),"Máy cày KUBOTA L2002DT")</f>
        <v>Máy cày KUBOTA L2002DT</v>
      </c>
      <c r="C236" s="5" t="str">
        <f>IFERROR(__xludf.DUMMYFUNCTION("""COMPUTED_VALUE"""),"XN Chuối LP1")</f>
        <v>XN Chuối LP1</v>
      </c>
      <c r="D236" s="5" t="str">
        <f>IFERROR(__xludf.DUMMYFUNCTION("""COMPUTED_VALUE"""),"KUBOTA")</f>
        <v>KUBOTA</v>
      </c>
      <c r="E236" s="5" t="str">
        <f>IFERROR(__xludf.DUMMYFUNCTION("""COMPUTED_VALUE"""),"VIỆT NAM")</f>
        <v>VIỆT NAM</v>
      </c>
      <c r="F236" s="5"/>
      <c r="G236" s="5" t="str">
        <f>IFERROR(__xludf.DUMMYFUNCTION("""COMPUTED_VALUE"""),"L2002DT")</f>
        <v>L2002DT</v>
      </c>
      <c r="H236" s="5" t="str">
        <f>IFERROR(__xludf.DUMMYFUNCTION("""COMPUTED_VALUE"""),"20HP")</f>
        <v>20HP</v>
      </c>
      <c r="I236" s="5" t="str">
        <f>IFERROR(__xludf.DUMMYFUNCTION("""COMPUTED_VALUE"""),"CCN")</f>
        <v>CCN</v>
      </c>
      <c r="J236" s="5" t="str">
        <f>IFERROR(__xludf.DUMMYFUNCTION("""COMPUTED_VALUE"""),"11368")</f>
        <v>11368</v>
      </c>
      <c r="K236" s="5">
        <f>IFERROR(__xludf.DUMMYFUNCTION("""COMPUTED_VALUE"""),2.5)</f>
        <v>2.5</v>
      </c>
      <c r="L236" s="5" t="str">
        <f>IFERROR(__xludf.DUMMYFUNCTION("""COMPUTED_VALUE"""),"KLH")</f>
        <v>KLH</v>
      </c>
    </row>
    <row r="237">
      <c r="A237" s="156" t="str">
        <f>IFERROR(__xludf.DUMMYFUNCTION("""COMPUTED_VALUE"""),"XL4-MKE-001")</f>
        <v>XL4-MKE-001</v>
      </c>
      <c r="B237" s="3" t="str">
        <f>IFERROR(__xludf.DUMMYFUNCTION("""COMPUTED_VALUE"""),"Máy cày L4508")</f>
        <v>Máy cày L4508</v>
      </c>
      <c r="C237" s="5" t="str">
        <f>IFERROR(__xludf.DUMMYFUNCTION("""COMPUTED_VALUE"""),"XN Chuối LP1")</f>
        <v>XN Chuối LP1</v>
      </c>
      <c r="D237" s="5" t="str">
        <f>IFERROR(__xludf.DUMMYFUNCTION("""COMPUTED_VALUE"""),"KUBOTA")</f>
        <v>KUBOTA</v>
      </c>
      <c r="E237" s="5" t="str">
        <f>IFERROR(__xludf.DUMMYFUNCTION("""COMPUTED_VALUE"""),"NHẬT BẢN")</f>
        <v>NHẬT BẢN</v>
      </c>
      <c r="F237" s="5">
        <f>IFERROR(__xludf.DUMMYFUNCTION("""COMPUTED_VALUE"""),2019.0)</f>
        <v>2019</v>
      </c>
      <c r="G237" s="5" t="str">
        <f>IFERROR(__xludf.DUMMYFUNCTION("""COMPUTED_VALUE"""),"L4508")</f>
        <v>L4508</v>
      </c>
      <c r="H237" s="5" t="str">
        <f>IFERROR(__xludf.DUMMYFUNCTION("""COMPUTED_VALUE"""),"45HP")</f>
        <v>45HP</v>
      </c>
      <c r="I237" s="5" t="str">
        <f>IFERROR(__xludf.DUMMYFUNCTION("""COMPUTED_VALUE"""),"V2208-BC1659")</f>
        <v>V2208-BC1659</v>
      </c>
      <c r="J237" s="5" t="str">
        <f>IFERROR(__xludf.DUMMYFUNCTION("""COMPUTED_VALUE"""),"CCN")</f>
        <v>CCN</v>
      </c>
      <c r="K237" s="5">
        <f>IFERROR(__xludf.DUMMYFUNCTION("""COMPUTED_VALUE"""),2.0)</f>
        <v>2</v>
      </c>
      <c r="L237" s="5" t="str">
        <f>IFERROR(__xludf.DUMMYFUNCTION("""COMPUTED_VALUE"""),"KLH")</f>
        <v>KLH</v>
      </c>
    </row>
    <row r="238">
      <c r="A238" s="156" t="str">
        <f>IFERROR(__xludf.DUMMYFUNCTION("""COMPUTED_VALUE"""),"CHT-MĐA-075")</f>
        <v>CHT-MĐA-075</v>
      </c>
      <c r="B238" s="3" t="str">
        <f>IFERROR(__xludf.DUMMYFUNCTION("""COMPUTED_VALUE"""),"Máy đào KOMATSU bánh xích gàu 0.3m3")</f>
        <v>Máy đào KOMATSU bánh xích gàu 0.3m3</v>
      </c>
      <c r="C238" s="5" t="str">
        <f>IFERROR(__xludf.DUMMYFUNCTION("""COMPUTED_VALUE"""),"XN Chuối LP1")</f>
        <v>XN Chuối LP1</v>
      </c>
      <c r="D238" s="5" t="str">
        <f>IFERROR(__xludf.DUMMYFUNCTION("""COMPUTED_VALUE"""),"KOMATSU")</f>
        <v>KOMATSU</v>
      </c>
      <c r="E238" s="5" t="str">
        <f>IFERROR(__xludf.DUMMYFUNCTION("""COMPUTED_VALUE"""),"NHẬT BẢN")</f>
        <v>NHẬT BẢN</v>
      </c>
      <c r="F238" s="5">
        <f>IFERROR(__xludf.DUMMYFUNCTION("""COMPUTED_VALUE"""),2013.0)</f>
        <v>2013</v>
      </c>
      <c r="G238" s="5" t="str">
        <f>IFERROR(__xludf.DUMMYFUNCTION("""COMPUTED_VALUE"""),"PC40MR-3")</f>
        <v>PC40MR-3</v>
      </c>
      <c r="H238" s="5" t="str">
        <f>IFERROR(__xludf.DUMMYFUNCTION("""COMPUTED_VALUE"""),"39HP")</f>
        <v>39HP</v>
      </c>
      <c r="I238" s="5" t="str">
        <f>IFERROR(__xludf.DUMMYFUNCTION("""COMPUTED_VALUE"""),"KMTPC203C04021039")</f>
        <v>KMTPC203C04021039</v>
      </c>
      <c r="J238" s="5" t="str">
        <f>IFERROR(__xludf.DUMMYFUNCTION("""COMPUTED_VALUE"""),"27539")</f>
        <v>27539</v>
      </c>
      <c r="K238" s="5">
        <f>IFERROR(__xludf.DUMMYFUNCTION("""COMPUTED_VALUE"""),4.0)</f>
        <v>4</v>
      </c>
      <c r="L238" s="5" t="str">
        <f>IFERROR(__xludf.DUMMYFUNCTION("""COMPUTED_VALUE"""),"KLH")</f>
        <v>KLH</v>
      </c>
    </row>
    <row r="239">
      <c r="A239" s="156" t="str">
        <f>IFERROR(__xludf.DUMMYFUNCTION("""COMPUTED_VALUE"""),"CHT-MĐA-076")</f>
        <v>CHT-MĐA-076</v>
      </c>
      <c r="B239" s="3" t="str">
        <f>IFERROR(__xludf.DUMMYFUNCTION("""COMPUTED_VALUE"""),"Máy đào KOMATSU bánh xích gàu 0.3m3")</f>
        <v>Máy đào KOMATSU bánh xích gàu 0.3m3</v>
      </c>
      <c r="C239" s="5" t="str">
        <f>IFERROR(__xludf.DUMMYFUNCTION("""COMPUTED_VALUE"""),"XN Chuối LP1")</f>
        <v>XN Chuối LP1</v>
      </c>
      <c r="D239" s="5" t="str">
        <f>IFERROR(__xludf.DUMMYFUNCTION("""COMPUTED_VALUE"""),"KOMATSU")</f>
        <v>KOMATSU</v>
      </c>
      <c r="E239" s="5" t="str">
        <f>IFERROR(__xludf.DUMMYFUNCTION("""COMPUTED_VALUE"""),"NHẬT BẢN")</f>
        <v>NHẬT BẢN</v>
      </c>
      <c r="F239" s="5">
        <f>IFERROR(__xludf.DUMMYFUNCTION("""COMPUTED_VALUE"""),2013.0)</f>
        <v>2013</v>
      </c>
      <c r="G239" s="5" t="str">
        <f>IFERROR(__xludf.DUMMYFUNCTION("""COMPUTED_VALUE"""),"PC40MR-3")</f>
        <v>PC40MR-3</v>
      </c>
      <c r="H239" s="5" t="str">
        <f>IFERROR(__xludf.DUMMYFUNCTION("""COMPUTED_VALUE"""),"39HP")</f>
        <v>39HP</v>
      </c>
      <c r="I239" s="5" t="str">
        <f>IFERROR(__xludf.DUMMYFUNCTION("""COMPUTED_VALUE"""),"KMTPC203E04021413")</f>
        <v>KMTPC203E04021413</v>
      </c>
      <c r="J239" s="5" t="str">
        <f>IFERROR(__xludf.DUMMYFUNCTION("""COMPUTED_VALUE"""),"29346")</f>
        <v>29346</v>
      </c>
      <c r="K239" s="5">
        <f>IFERROR(__xludf.DUMMYFUNCTION("""COMPUTED_VALUE"""),4.0)</f>
        <v>4</v>
      </c>
      <c r="L239" s="5" t="str">
        <f>IFERROR(__xludf.DUMMYFUNCTION("""COMPUTED_VALUE"""),"KLH")</f>
        <v>KLH</v>
      </c>
    </row>
    <row r="240">
      <c r="A240" s="156" t="str">
        <f>IFERROR(__xludf.DUMMYFUNCTION("""COMPUTED_VALUE"""),"CHT-MĐA-056")</f>
        <v>CHT-MĐA-056</v>
      </c>
      <c r="B240" s="3" t="str">
        <f>IFERROR(__xludf.DUMMYFUNCTION("""COMPUTED_VALUE"""),"Máy đào KOMATSU bánh xích gàu 0.3m3")</f>
        <v>Máy đào KOMATSU bánh xích gàu 0.3m3</v>
      </c>
      <c r="C240" s="5" t="str">
        <f>IFERROR(__xludf.DUMMYFUNCTION("""COMPUTED_VALUE"""),"XN Chuối LP1")</f>
        <v>XN Chuối LP1</v>
      </c>
      <c r="D240" s="5" t="str">
        <f>IFERROR(__xludf.DUMMYFUNCTION("""COMPUTED_VALUE"""),"KOMATSU")</f>
        <v>KOMATSU</v>
      </c>
      <c r="E240" s="5" t="str">
        <f>IFERROR(__xludf.DUMMYFUNCTION("""COMPUTED_VALUE"""),"NHẬT BẢN")</f>
        <v>NHẬT BẢN</v>
      </c>
      <c r="F240" s="5">
        <f>IFERROR(__xludf.DUMMYFUNCTION("""COMPUTED_VALUE"""),2015.0)</f>
        <v>2015</v>
      </c>
      <c r="G240" s="5" t="str">
        <f>IFERROR(__xludf.DUMMYFUNCTION("""COMPUTED_VALUE"""),"PC40MR-3")</f>
        <v>PC40MR-3</v>
      </c>
      <c r="H240" s="5" t="str">
        <f>IFERROR(__xludf.DUMMYFUNCTION("""COMPUTED_VALUE"""),"40HP")</f>
        <v>40HP</v>
      </c>
      <c r="I240" s="5" t="str">
        <f>IFERROR(__xludf.DUMMYFUNCTION("""COMPUTED_VALUE"""),"KMTPC203VFE022946")</f>
        <v>KMTPC203VFE022946</v>
      </c>
      <c r="J240" s="5" t="str">
        <f>IFERROR(__xludf.DUMMYFUNCTION("""COMPUTED_VALUE"""),"35099")</f>
        <v>35099</v>
      </c>
      <c r="K240" s="5">
        <f>IFERROR(__xludf.DUMMYFUNCTION("""COMPUTED_VALUE"""),4.0)</f>
        <v>4</v>
      </c>
      <c r="L240" s="5" t="str">
        <f>IFERROR(__xludf.DUMMYFUNCTION("""COMPUTED_VALUE"""),"KLH")</f>
        <v>KLH</v>
      </c>
    </row>
    <row r="241">
      <c r="A241" s="156" t="str">
        <f>IFERROR(__xludf.DUMMYFUNCTION("""COMPUTED_VALUE"""),"CHT-XLU-009")</f>
        <v>CHT-XLU-009</v>
      </c>
      <c r="B241" s="3" t="str">
        <f>IFERROR(__xludf.DUMMYFUNCTION("""COMPUTED_VALUE"""),"Xe lu rung Sakai 3.5 tấn")</f>
        <v>Xe lu rung Sakai 3.5 tấn</v>
      </c>
      <c r="C241" s="5" t="str">
        <f>IFERROR(__xludf.DUMMYFUNCTION("""COMPUTED_VALUE"""),"XN Chuối LP1")</f>
        <v>XN Chuối LP1</v>
      </c>
      <c r="D241" s="5" t="str">
        <f>IFERROR(__xludf.DUMMYFUNCTION("""COMPUTED_VALUE"""),"SAKAI")</f>
        <v>SAKAI</v>
      </c>
      <c r="E241" s="5" t="str">
        <f>IFERROR(__xludf.DUMMYFUNCTION("""COMPUTED_VALUE"""),"NHẬT BẢN")</f>
        <v>NHẬT BẢN</v>
      </c>
      <c r="F241" s="5">
        <f>IFERROR(__xludf.DUMMYFUNCTION("""COMPUTED_VALUE"""),1998.0)</f>
        <v>1998</v>
      </c>
      <c r="G241" s="5" t="str">
        <f>IFERROR(__xludf.DUMMYFUNCTION("""COMPUTED_VALUE"""),"SW350-1")</f>
        <v>SW350-1</v>
      </c>
      <c r="H241" s="5" t="str">
        <f>IFERROR(__xludf.DUMMYFUNCTION("""COMPUTED_VALUE"""),"28HP")</f>
        <v>28HP</v>
      </c>
      <c r="I241" s="5" t="str">
        <f>IFERROR(__xludf.DUMMYFUNCTION("""COMPUTED_VALUE"""),"VSW1410104")</f>
        <v>VSW1410104</v>
      </c>
      <c r="J241" s="5" t="str">
        <f>IFERROR(__xludf.DUMMYFUNCTION("""COMPUTED_VALUE"""),"256182")</f>
        <v>256182</v>
      </c>
      <c r="K241" s="5">
        <f>IFERROR(__xludf.DUMMYFUNCTION("""COMPUTED_VALUE"""),2.5)</f>
        <v>2.5</v>
      </c>
      <c r="L241" s="5" t="str">
        <f>IFERROR(__xludf.DUMMYFUNCTION("""COMPUTED_VALUE"""),"KLH")</f>
        <v>KLH</v>
      </c>
    </row>
    <row r="242">
      <c r="A242" s="156" t="str">
        <f>IFERROR(__xludf.DUMMYFUNCTION("""COMPUTED_VALUE"""),"XL1-CLT-008")</f>
        <v>XL1-CLT-008</v>
      </c>
      <c r="B242" s="3" t="str">
        <f>IFERROR(__xludf.DUMMYFUNCTION("""COMPUTED_VALUE"""),"Xe clethon")</f>
        <v>Xe clethon</v>
      </c>
      <c r="C242" s="5" t="str">
        <f>IFERROR(__xludf.DUMMYFUNCTION("""COMPUTED_VALUE"""),"XN Chuối LP1")</f>
        <v>XN Chuối LP1</v>
      </c>
      <c r="D242" s="5" t="str">
        <f>IFERROR(__xludf.DUMMYFUNCTION("""COMPUTED_VALUE"""),"YANMAR")</f>
        <v>YANMAR</v>
      </c>
      <c r="E242" s="5" t="str">
        <f>IFERROR(__xludf.DUMMYFUNCTION("""COMPUTED_VALUE"""),"INDONESIA")</f>
        <v>INDONESIA</v>
      </c>
      <c r="F242" s="5">
        <f>IFERROR(__xludf.DUMMYFUNCTION("""COMPUTED_VALUE"""),2022.0)</f>
        <v>2022</v>
      </c>
      <c r="G242" s="5" t="str">
        <f>IFERROR(__xludf.DUMMYFUNCTION("""COMPUTED_VALUE"""),"TF150NL-PR2")</f>
        <v>TF150NL-PR2</v>
      </c>
      <c r="H242" s="5" t="str">
        <f>IFERROR(__xludf.DUMMYFUNCTION("""COMPUTED_VALUE"""),"15HP")</f>
        <v>15HP</v>
      </c>
      <c r="I242" s="5" t="str">
        <f>IFERROR(__xludf.DUMMYFUNCTION("""COMPUTED_VALUE"""),"203084")</f>
        <v>203084</v>
      </c>
      <c r="J242" s="5" t="str">
        <f>IFERROR(__xludf.DUMMYFUNCTION("""COMPUTED_VALUE"""),"B2212L")</f>
        <v>B2212L</v>
      </c>
      <c r="K242" s="5">
        <f>IFERROR(__xludf.DUMMYFUNCTION("""COMPUTED_VALUE"""),0.68)</f>
        <v>0.68</v>
      </c>
      <c r="L242" s="5" t="str">
        <f>IFERROR(__xludf.DUMMYFUNCTION("""COMPUTED_VALUE"""),"KLH")</f>
        <v>KLH</v>
      </c>
    </row>
    <row r="243">
      <c r="A243" s="42" t="str">
        <f>IFERROR(__xludf.DUMMYFUNCTION("""COMPUTED_VALUE"""),"XL1-XTA-001")</f>
        <v>XL1-XTA-001</v>
      </c>
      <c r="B243" s="3" t="str">
        <f>IFERROR(__xludf.DUMMYFUNCTION("""COMPUTED_VALUE"""),"Xe ben Forland FD990-4WDXTH4-5T")</f>
        <v>Xe ben Forland FD990-4WDXTH4-5T</v>
      </c>
      <c r="C243" s="5" t="str">
        <f>IFERROR(__xludf.DUMMYFUNCTION("""COMPUTED_VALUE"""),"XN Chuối LP1")</f>
        <v>XN Chuối LP1</v>
      </c>
      <c r="D243" s="5" t="str">
        <f>IFERROR(__xludf.DUMMYFUNCTION("""COMPUTED_VALUE"""),"THACO FORLAND")</f>
        <v>THACO FORLAND</v>
      </c>
      <c r="E243" s="5" t="str">
        <f>IFERROR(__xludf.DUMMYFUNCTION("""COMPUTED_VALUE"""),"VIỆT NAM")</f>
        <v>VIỆT NAM</v>
      </c>
      <c r="F243" s="5">
        <f>IFERROR(__xludf.DUMMYFUNCTION("""COMPUTED_VALUE"""),2024.0)</f>
        <v>2024</v>
      </c>
      <c r="G243" s="5" t="str">
        <f>IFERROR(__xludf.DUMMYFUNCTION("""COMPUTED_VALUE""")," FD990-4WD")</f>
        <v> FD990-4WD</v>
      </c>
      <c r="H243" s="5" t="str">
        <f>IFERROR(__xludf.DUMMYFUNCTION("""COMPUTED_VALUE"""),"94HP")</f>
        <v>94HP</v>
      </c>
      <c r="I243" s="5" t="str">
        <f>IFERROR(__xludf.DUMMYFUNCTION("""COMPUTED_VALUE"""),"RNHF99FACRT087866")</f>
        <v>RNHF99FACRT087866</v>
      </c>
      <c r="J243" s="5" t="str">
        <f>IFERROR(__xludf.DUMMYFUNCTION("""COMPUTED_VALUE"""),"4DW93-95E4*B0577301*")</f>
        <v>4DW93-95E4*B0577301*</v>
      </c>
      <c r="K243" s="5">
        <f>IFERROR(__xludf.DUMMYFUNCTION("""COMPUTED_VALUE"""),0.33)</f>
        <v>0.33</v>
      </c>
      <c r="L243" s="5" t="str">
        <f>IFERROR(__xludf.DUMMYFUNCTION("""COMPUTED_VALUE"""),"KLH")</f>
        <v>KLH</v>
      </c>
    </row>
    <row r="244">
      <c r="A244" s="42" t="str">
        <f>IFERROR(__xludf.DUMMYFUNCTION("""COMPUTED_VALUE"""),"XL1-XTA-002")</f>
        <v>XL1-XTA-002</v>
      </c>
      <c r="B244" s="3" t="str">
        <f>IFERROR(__xludf.DUMMYFUNCTION("""COMPUTED_VALUE"""),"Xe ben Forland FD990-4WDXTH4-5T")</f>
        <v>Xe ben Forland FD990-4WDXTH4-5T</v>
      </c>
      <c r="C244" s="5" t="str">
        <f>IFERROR(__xludf.DUMMYFUNCTION("""COMPUTED_VALUE"""),"XN Chuối LP1")</f>
        <v>XN Chuối LP1</v>
      </c>
      <c r="D244" s="5" t="str">
        <f>IFERROR(__xludf.DUMMYFUNCTION("""COMPUTED_VALUE"""),"THACO FORLAND")</f>
        <v>THACO FORLAND</v>
      </c>
      <c r="E244" s="5" t="str">
        <f>IFERROR(__xludf.DUMMYFUNCTION("""COMPUTED_VALUE"""),"VIỆT NAM")</f>
        <v>VIỆT NAM</v>
      </c>
      <c r="F244" s="5">
        <f>IFERROR(__xludf.DUMMYFUNCTION("""COMPUTED_VALUE"""),2024.0)</f>
        <v>2024</v>
      </c>
      <c r="G244" s="5" t="str">
        <f>IFERROR(__xludf.DUMMYFUNCTION("""COMPUTED_VALUE""")," FD990-4WD")</f>
        <v> FD990-4WD</v>
      </c>
      <c r="H244" s="5" t="str">
        <f>IFERROR(__xludf.DUMMYFUNCTION("""COMPUTED_VALUE"""),"94HP")</f>
        <v>94HP</v>
      </c>
      <c r="I244" s="5" t="str">
        <f>IFERROR(__xludf.DUMMYFUNCTION("""COMPUTED_VALUE"""),"RNHF99FACRT090611")</f>
        <v>RNHF99FACRT090611</v>
      </c>
      <c r="J244" s="5" t="str">
        <f>IFERROR(__xludf.DUMMYFUNCTION("""COMPUTED_VALUE"""),"4DW93-95E4*B0576952*")</f>
        <v>4DW93-95E4*B0576952*</v>
      </c>
      <c r="K244" s="5">
        <f>IFERROR(__xludf.DUMMYFUNCTION("""COMPUTED_VALUE"""),0.33)</f>
        <v>0.33</v>
      </c>
      <c r="L244" s="5" t="str">
        <f>IFERROR(__xludf.DUMMYFUNCTION("""COMPUTED_VALUE"""),"KLH")</f>
        <v>KLH</v>
      </c>
    </row>
    <row r="245">
      <c r="A245" s="42" t="str">
        <f>IFERROR(__xludf.DUMMYFUNCTION("""COMPUTED_VALUE"""),"XL1-XTA-004")</f>
        <v>XL1-XTA-004</v>
      </c>
      <c r="B245" s="3" t="str">
        <f>IFERROR(__xludf.DUMMYFUNCTION("""COMPUTED_VALUE"""),"Xe ben Forland FD990-4WDXTH4-5T")</f>
        <v>Xe ben Forland FD990-4WDXTH4-5T</v>
      </c>
      <c r="C245" s="5" t="str">
        <f>IFERROR(__xludf.DUMMYFUNCTION("""COMPUTED_VALUE"""),"XN Chuối LP1")</f>
        <v>XN Chuối LP1</v>
      </c>
      <c r="D245" s="5" t="str">
        <f>IFERROR(__xludf.DUMMYFUNCTION("""COMPUTED_VALUE"""),"THACO FORLAND")</f>
        <v>THACO FORLAND</v>
      </c>
      <c r="E245" s="5" t="str">
        <f>IFERROR(__xludf.DUMMYFUNCTION("""COMPUTED_VALUE"""),"VIỆT NAM")</f>
        <v>VIỆT NAM</v>
      </c>
      <c r="F245" s="5">
        <f>IFERROR(__xludf.DUMMYFUNCTION("""COMPUTED_VALUE"""),2024.0)</f>
        <v>2024</v>
      </c>
      <c r="G245" s="5" t="str">
        <f>IFERROR(__xludf.DUMMYFUNCTION("""COMPUTED_VALUE""")," FD990-4WD")</f>
        <v> FD990-4WD</v>
      </c>
      <c r="H245" s="5" t="str">
        <f>IFERROR(__xludf.DUMMYFUNCTION("""COMPUTED_VALUE"""),"94HP")</f>
        <v>94HP</v>
      </c>
      <c r="I245" s="5" t="str">
        <f>IFERROR(__xludf.DUMMYFUNCTION("""COMPUTED_VALUE"""),"RNHF99FACRT090616")</f>
        <v>RNHF99FACRT090616</v>
      </c>
      <c r="J245" s="5" t="str">
        <f>IFERROR(__xludf.DUMMYFUNCTION("""COMPUTED_VALUE"""),"B0577292")</f>
        <v>B0577292</v>
      </c>
      <c r="K245" s="5">
        <f>IFERROR(__xludf.DUMMYFUNCTION("""COMPUTED_VALUE"""),3.0)</f>
        <v>3</v>
      </c>
      <c r="L245" s="5" t="str">
        <f>IFERROR(__xludf.DUMMYFUNCTION("""COMPUTED_VALUE"""),"KLH")</f>
        <v>KLH</v>
      </c>
    </row>
    <row r="246">
      <c r="A246" s="164" t="str">
        <f>IFERROR(__xludf.DUMMYFUNCTION("""COMPUTED_VALUE"""),"XL1-XTA-008")</f>
        <v>XL1-XTA-008</v>
      </c>
      <c r="B246" s="3" t="str">
        <f>IFERROR(__xludf.DUMMYFUNCTION("""COMPUTED_VALUE"""),"Xe tải THACO FRONTIER TF700")</f>
        <v>Xe tải THACO FRONTIER TF700</v>
      </c>
      <c r="C246" s="5" t="str">
        <f>IFERROR(__xludf.DUMMYFUNCTION("""COMPUTED_VALUE"""),"XN Chuối LP1")</f>
        <v>XN Chuối LP1</v>
      </c>
      <c r="D246" s="5" t="str">
        <f>IFERROR(__xludf.DUMMYFUNCTION("""COMPUTED_VALUE"""),"THACO FRONTIER")</f>
        <v>THACO FRONTIER</v>
      </c>
      <c r="E246" s="5" t="str">
        <f>IFERROR(__xludf.DUMMYFUNCTION("""COMPUTED_VALUE"""),"VIỆT NAM")</f>
        <v>VIỆT NAM</v>
      </c>
      <c r="F246" s="5">
        <f>IFERROR(__xludf.DUMMYFUNCTION("""COMPUTED_VALUE"""),2024.0)</f>
        <v>2024</v>
      </c>
      <c r="G246" s="5" t="str">
        <f>IFERROR(__xludf.DUMMYFUNCTION("""COMPUTED_VALUE"""),"TF700")</f>
        <v>TF700</v>
      </c>
      <c r="H246" s="5" t="str">
        <f>IFERROR(__xludf.DUMMYFUNCTION("""COMPUTED_VALUE"""),"107HP")</f>
        <v>107HP</v>
      </c>
      <c r="I246" s="5" t="str">
        <f>IFERROR(__xludf.DUMMYFUNCTION("""COMPUTED_VALUE"""),"RNHA69TZAPT082910")</f>
        <v>RNHA69TZAPT082910</v>
      </c>
      <c r="J246" s="5" t="str">
        <f>IFERROR(__xludf.DUMMYFUNCTION("""COMPUTED_VALUE"""),"JE493ZLQ4*37100367*")</f>
        <v>JE493ZLQ4*37100367*</v>
      </c>
      <c r="K246" s="5">
        <f>IFERROR(__xludf.DUMMYFUNCTION("""COMPUTED_VALUE"""),0.2)</f>
        <v>0.2</v>
      </c>
      <c r="L246" s="5" t="str">
        <f>IFERROR(__xludf.DUMMYFUNCTION("""COMPUTED_VALUE"""),"KLH")</f>
        <v>KLH</v>
      </c>
    </row>
    <row r="247">
      <c r="A247" s="164" t="str">
        <f>IFERROR(__xludf.DUMMYFUNCTION("""COMPUTED_VALUE"""),"XL1-XTA-006")</f>
        <v>XL1-XTA-006</v>
      </c>
      <c r="B247" s="3" t="str">
        <f>IFERROR(__xludf.DUMMYFUNCTION("""COMPUTED_VALUE"""),"Xe tải KOZUN")</f>
        <v>Xe tải KOZUN</v>
      </c>
      <c r="C247" s="5" t="str">
        <f>IFERROR(__xludf.DUMMYFUNCTION("""COMPUTED_VALUE"""),"XN Chuối LP1")</f>
        <v>XN Chuối LP1</v>
      </c>
      <c r="D247" s="5" t="str">
        <f>IFERROR(__xludf.DUMMYFUNCTION("""COMPUTED_VALUE"""),"KOZUN")</f>
        <v>KOZUN</v>
      </c>
      <c r="E247" s="5" t="str">
        <f>IFERROR(__xludf.DUMMYFUNCTION("""COMPUTED_VALUE"""),"CAMPUCHIA")</f>
        <v>CAMPUCHIA</v>
      </c>
      <c r="F247" s="5"/>
      <c r="G247" s="5"/>
      <c r="H247" s="5" t="str">
        <f>IFERROR(__xludf.DUMMYFUNCTION("""COMPUTED_VALUE"""),"60HP")</f>
        <v>60HP</v>
      </c>
      <c r="I247" s="5" t="str">
        <f>IFERROR(__xludf.DUMMYFUNCTION("""COMPUTED_VALUE"""),"29823")</f>
        <v>29823</v>
      </c>
      <c r="J247" s="5" t="str">
        <f>IFERROR(__xludf.DUMMYFUNCTION("""COMPUTED_VALUE"""),"CCN")</f>
        <v>CCN</v>
      </c>
      <c r="K247" s="5">
        <f>IFERROR(__xludf.DUMMYFUNCTION("""COMPUTED_VALUE"""),2.0)</f>
        <v>2</v>
      </c>
      <c r="L247" s="5" t="str">
        <f>IFERROR(__xludf.DUMMYFUNCTION("""COMPUTED_VALUE"""),"KLH")</f>
        <v>KLH</v>
      </c>
    </row>
    <row r="248">
      <c r="A248" s="164" t="str">
        <f>IFERROR(__xludf.DUMMYFUNCTION("""COMPUTED_VALUE"""),"XL1-XTA-007")</f>
        <v>XL1-XTA-007</v>
      </c>
      <c r="B248" s="3" t="str">
        <f>IFERROR(__xludf.DUMMYFUNCTION("""COMPUTED_VALUE"""),"Xe tải KOZUN")</f>
        <v>Xe tải KOZUN</v>
      </c>
      <c r="C248" s="5" t="str">
        <f>IFERROR(__xludf.DUMMYFUNCTION("""COMPUTED_VALUE"""),"XN Chuối LP1")</f>
        <v>XN Chuối LP1</v>
      </c>
      <c r="D248" s="5" t="str">
        <f>IFERROR(__xludf.DUMMYFUNCTION("""COMPUTED_VALUE"""),"KOZUN")</f>
        <v>KOZUN</v>
      </c>
      <c r="E248" s="5" t="str">
        <f>IFERROR(__xludf.DUMMYFUNCTION("""COMPUTED_VALUE"""),"CAMPUCHIA")</f>
        <v>CAMPUCHIA</v>
      </c>
      <c r="F248" s="5"/>
      <c r="G248" s="5"/>
      <c r="H248" s="5" t="str">
        <f>IFERROR(__xludf.DUMMYFUNCTION("""COMPUTED_VALUE"""),"60HP")</f>
        <v>60HP</v>
      </c>
      <c r="I248" s="5" t="str">
        <f>IFERROR(__xludf.DUMMYFUNCTION("""COMPUTED_VALUE"""),"101437")</f>
        <v>101437</v>
      </c>
      <c r="J248" s="5" t="str">
        <f>IFERROR(__xludf.DUMMYFUNCTION("""COMPUTED_VALUE"""),"CCN")</f>
        <v>CCN</v>
      </c>
      <c r="K248" s="5">
        <f>IFERROR(__xludf.DUMMYFUNCTION("""COMPUTED_VALUE"""),2.0)</f>
        <v>2</v>
      </c>
      <c r="L248" s="5" t="str">
        <f>IFERROR(__xludf.DUMMYFUNCTION("""COMPUTED_VALUE"""),"KLH")</f>
        <v>KLH</v>
      </c>
    </row>
    <row r="249">
      <c r="A249" s="42" t="str">
        <f>IFERROR(__xludf.DUMMYFUNCTION("""COMPUTED_VALUE"""),"XL1-XPT-001")</f>
        <v>XL1-XPT-001</v>
      </c>
      <c r="B249" s="3" t="str">
        <f>IFERROR(__xludf.DUMMYFUNCTION("""COMPUTED_VALUE"""),"Xe phun thuốc HYUNDAI 15T")</f>
        <v>Xe phun thuốc HYUNDAI 15T</v>
      </c>
      <c r="C249" s="5" t="str">
        <f>IFERROR(__xludf.DUMMYFUNCTION("""COMPUTED_VALUE"""),"XN Chuối LP1")</f>
        <v>XN Chuối LP1</v>
      </c>
      <c r="D249" s="5" t="str">
        <f>IFERROR(__xludf.DUMMYFUNCTION("""COMPUTED_VALUE"""),"HYUNDAI")</f>
        <v>HYUNDAI</v>
      </c>
      <c r="E249" s="5" t="str">
        <f>IFERROR(__xludf.DUMMYFUNCTION("""COMPUTED_VALUE"""),"HÀN QUỐC")</f>
        <v>HÀN QUỐC</v>
      </c>
      <c r="F249" s="5"/>
      <c r="G249" s="5"/>
      <c r="H249" s="5" t="str">
        <f>IFERROR(__xludf.DUMMYFUNCTION("""COMPUTED_VALUE"""),"15TẤN")</f>
        <v>15TẤN</v>
      </c>
      <c r="I249" s="5" t="str">
        <f>IFERROR(__xludf.DUMMYFUNCTION("""COMPUTED_VALUE"""),"6958")</f>
        <v>6958</v>
      </c>
      <c r="J249" s="5" t="str">
        <f>IFERROR(__xludf.DUMMYFUNCTION("""COMPUTED_VALUE"""),"CCN")</f>
        <v>CCN</v>
      </c>
      <c r="K249" s="5">
        <f>IFERROR(__xludf.DUMMYFUNCTION("""COMPUTED_VALUE"""),3.75)</f>
        <v>3.75</v>
      </c>
      <c r="L249" s="5" t="str">
        <f>IFERROR(__xludf.DUMMYFUNCTION("""COMPUTED_VALUE"""),"KLH")</f>
        <v>KLH</v>
      </c>
    </row>
    <row r="250">
      <c r="A250" s="42" t="str">
        <f>IFERROR(__xludf.DUMMYFUNCTION("""COMPUTED_VALUE"""),"XL1-XNA-001")</f>
        <v>XL1-XNA-001</v>
      </c>
      <c r="B250" s="3" t="str">
        <f>IFERROR(__xludf.DUMMYFUNCTION("""COMPUTED_VALUE"""),"Xe nâng điện 1.5 tấn")</f>
        <v>Xe nâng điện 1.5 tấn</v>
      </c>
      <c r="C250" s="5" t="str">
        <f>IFERROR(__xludf.DUMMYFUNCTION("""COMPUTED_VALUE"""),"XN Chuối LP1")</f>
        <v>XN Chuối LP1</v>
      </c>
      <c r="D250" s="5" t="str">
        <f>IFERROR(__xludf.DUMMYFUNCTION("""COMPUTED_VALUE"""),"BYD")</f>
        <v>BYD</v>
      </c>
      <c r="E250" s="5" t="str">
        <f>IFERROR(__xludf.DUMMYFUNCTION("""COMPUTED_VALUE"""),"TRUNG QUỐC")</f>
        <v>TRUNG QUỐC</v>
      </c>
      <c r="F250" s="5">
        <f>IFERROR(__xludf.DUMMYFUNCTION("""COMPUTED_VALUE"""),2019.0)</f>
        <v>2019</v>
      </c>
      <c r="G250" s="5" t="str">
        <f>IFERROR(__xludf.DUMMYFUNCTION("""COMPUTED_VALUE"""),"ECB16S-B")</f>
        <v>ECB16S-B</v>
      </c>
      <c r="H250" s="5" t="str">
        <f>IFERROR(__xludf.DUMMYFUNCTION("""COMPUTED_VALUE"""),"1.5TẤN")</f>
        <v>1.5TẤN</v>
      </c>
      <c r="I250" s="5" t="str">
        <f>IFERROR(__xludf.DUMMYFUNCTION("""COMPUTED_VALUE"""),"1501190010")</f>
        <v>1501190010</v>
      </c>
      <c r="J250" s="5" t="str">
        <f>IFERROR(__xludf.DUMMYFUNCTION("""COMPUTED_VALUE"""),"CCN")</f>
        <v>CCN</v>
      </c>
      <c r="K250" s="5"/>
      <c r="L250" s="5" t="str">
        <f>IFERROR(__xludf.DUMMYFUNCTION("""COMPUTED_VALUE"""),"KLH")</f>
        <v>KLH</v>
      </c>
    </row>
    <row r="251">
      <c r="A251" s="42" t="str">
        <f>IFERROR(__xludf.DUMMYFUNCTION("""COMPUTED_VALUE"""),"XL1-XNA-002")</f>
        <v>XL1-XNA-002</v>
      </c>
      <c r="B251" s="3" t="str">
        <f>IFERROR(__xludf.DUMMYFUNCTION("""COMPUTED_VALUE"""),"Xe nâng điện 2.5 tấn")</f>
        <v>Xe nâng điện 2.5 tấn</v>
      </c>
      <c r="C251" s="5" t="str">
        <f>IFERROR(__xludf.DUMMYFUNCTION("""COMPUTED_VALUE"""),"XN Chuối LP1")</f>
        <v>XN Chuối LP1</v>
      </c>
      <c r="D251" s="5" t="str">
        <f>IFERROR(__xludf.DUMMYFUNCTION("""COMPUTED_VALUE"""),"LOVOL")</f>
        <v>LOVOL</v>
      </c>
      <c r="E251" s="5" t="str">
        <f>IFERROR(__xludf.DUMMYFUNCTION("""COMPUTED_VALUE"""),"TRUNG QUỐC")</f>
        <v>TRUNG QUỐC</v>
      </c>
      <c r="F251" s="5">
        <f>IFERROR(__xludf.DUMMYFUNCTION("""COMPUTED_VALUE"""),2026.0)</f>
        <v>2026</v>
      </c>
      <c r="G251" s="5" t="str">
        <f>IFERROR(__xludf.DUMMYFUNCTION("""COMPUTED_VALUE"""),"FF25E")</f>
        <v>FF25E</v>
      </c>
      <c r="H251" s="5" t="str">
        <f>IFERROR(__xludf.DUMMYFUNCTION("""COMPUTED_VALUE"""),"13,68 HP")</f>
        <v>13,68 HP</v>
      </c>
      <c r="I251" s="5" t="str">
        <f>IFERROR(__xludf.DUMMYFUNCTION("""COMPUTED_VALUE"""),"C31293R50032")</f>
        <v>C31293R50032</v>
      </c>
      <c r="J251" s="5"/>
      <c r="K251" s="5"/>
      <c r="L251" s="5" t="str">
        <f>IFERROR(__xludf.DUMMYFUNCTION("""COMPUTED_VALUE"""),"KLH")</f>
        <v>KLH</v>
      </c>
    </row>
    <row r="252">
      <c r="A252" s="42" t="str">
        <f>IFERROR(__xludf.DUMMYFUNCTION("""COMPUTED_VALUE"""),"XL1-MXĐ-001")</f>
        <v>XL1-MXĐ-001</v>
      </c>
      <c r="B252" s="3" t="str">
        <f>IFERROR(__xludf.DUMMYFUNCTION("""COMPUTED_VALUE"""),"Máy xới đất")</f>
        <v>Máy xới đất</v>
      </c>
      <c r="C252" s="5" t="str">
        <f>IFERROR(__xludf.DUMMYFUNCTION("""COMPUTED_VALUE"""),"XN Chuối LP1")</f>
        <v>XN Chuối LP1</v>
      </c>
      <c r="D252" s="5" t="str">
        <f>IFERROR(__xludf.DUMMYFUNCTION("""COMPUTED_VALUE"""),"BOER")</f>
        <v>BOER</v>
      </c>
      <c r="E252" s="5" t="str">
        <f>IFERROR(__xludf.DUMMYFUNCTION("""COMPUTED_VALUE"""),"TRUNG QUỐC")</f>
        <v>TRUNG QUỐC</v>
      </c>
      <c r="F252" s="5">
        <f>IFERROR(__xludf.DUMMYFUNCTION("""COMPUTED_VALUE"""),2022.0)</f>
        <v>2022</v>
      </c>
      <c r="G252" s="5" t="str">
        <f>IFERROR(__xludf.DUMMYFUNCTION("""COMPUTED_VALUE"""),"RT165S")</f>
        <v>RT165S</v>
      </c>
      <c r="H252" s="5" t="str">
        <f>IFERROR(__xludf.DUMMYFUNCTION("""COMPUTED_VALUE"""),"16.5HP")</f>
        <v>16.5HP</v>
      </c>
      <c r="I252" s="5" t="str">
        <f>IFERROR(__xludf.DUMMYFUNCTION("""COMPUTED_VALUE"""),"CCN")</f>
        <v>CCN</v>
      </c>
      <c r="J252" s="5" t="str">
        <f>IFERROR(__xludf.DUMMYFUNCTION("""COMPUTED_VALUE"""),"RT165-23C01014")</f>
        <v>RT165-23C01014</v>
      </c>
      <c r="K252" s="5"/>
      <c r="L252" s="5" t="str">
        <f>IFERROR(__xludf.DUMMYFUNCTION("""COMPUTED_VALUE"""),"KLH")</f>
        <v>KLH</v>
      </c>
    </row>
    <row r="253">
      <c r="A253" s="42" t="str">
        <f>IFERROR(__xludf.DUMMYFUNCTION("""COMPUTED_VALUE"""),"XL1-CCD-001")</f>
        <v>XL1-CCD-001</v>
      </c>
      <c r="B253" s="3" t="str">
        <f>IFERROR(__xludf.DUMMYFUNCTION("""COMPUTED_VALUE"""),"Máy cắt cỏ trục băm đa năng")</f>
        <v>Máy cắt cỏ trục băm đa năng</v>
      </c>
      <c r="C253" s="5" t="str">
        <f>IFERROR(__xludf.DUMMYFUNCTION("""COMPUTED_VALUE"""),"XN Chuối LP1")</f>
        <v>XN Chuối LP1</v>
      </c>
      <c r="D253" s="5" t="str">
        <f>IFERROR(__xludf.DUMMYFUNCTION("""COMPUTED_VALUE"""),"ISHIKAWA")</f>
        <v>ISHIKAWA</v>
      </c>
      <c r="E253" s="5" t="str">
        <f>IFERROR(__xludf.DUMMYFUNCTION("""COMPUTED_VALUE"""),"VIỆT NAM")</f>
        <v>VIỆT NAM</v>
      </c>
      <c r="F253" s="5">
        <f>IFERROR(__xludf.DUMMYFUNCTION("""COMPUTED_VALUE"""),2025.0)</f>
        <v>2025</v>
      </c>
      <c r="G253" s="5" t="str">
        <f>IFERROR(__xludf.DUMMYFUNCTION("""COMPUTED_VALUE"""),"TL662")</f>
        <v>TL662</v>
      </c>
      <c r="H253" s="5" t="str">
        <f>IFERROR(__xludf.DUMMYFUNCTION("""COMPUTED_VALUE"""),"10HP")</f>
        <v>10HP</v>
      </c>
      <c r="I253" s="5" t="str">
        <f>IFERROR(__xludf.DUMMYFUNCTION("""COMPUTED_VALUE"""),"TL20250601409")</f>
        <v>TL20250601409</v>
      </c>
      <c r="J253" s="5" t="str">
        <f>IFERROR(__xludf.DUMMYFUNCTION("""COMPUTED_VALUE"""),"GT1000B0042104CD")</f>
        <v>GT1000B0042104CD</v>
      </c>
      <c r="K253" s="5">
        <f>IFERROR(__xludf.DUMMYFUNCTION("""COMPUTED_VALUE"""),1.8)</f>
        <v>1.8</v>
      </c>
      <c r="L253" s="5" t="str">
        <f>IFERROR(__xludf.DUMMYFUNCTION("""COMPUTED_VALUE"""),"KLH")</f>
        <v>KLH</v>
      </c>
    </row>
    <row r="254">
      <c r="A254" s="164" t="str">
        <f>IFERROR(__xludf.DUMMYFUNCTION("""COMPUTED_VALUE"""),"XL1-CCD-002")</f>
        <v>XL1-CCD-002</v>
      </c>
      <c r="B254" s="3" t="str">
        <f>IFERROR(__xludf.DUMMYFUNCTION("""COMPUTED_VALUE"""),"Máy cắt cỏ trục băm đa năng")</f>
        <v>Máy cắt cỏ trục băm đa năng</v>
      </c>
      <c r="C254" s="5" t="str">
        <f>IFERROR(__xludf.DUMMYFUNCTION("""COMPUTED_VALUE"""),"XN Chuối LP1")</f>
        <v>XN Chuối LP1</v>
      </c>
      <c r="D254" s="5" t="str">
        <f>IFERROR(__xludf.DUMMYFUNCTION("""COMPUTED_VALUE"""),"ISHIKAWA")</f>
        <v>ISHIKAWA</v>
      </c>
      <c r="E254" s="5" t="str">
        <f>IFERROR(__xludf.DUMMYFUNCTION("""COMPUTED_VALUE"""),"VIỆT NAM")</f>
        <v>VIỆT NAM</v>
      </c>
      <c r="F254" s="5">
        <f>IFERROR(__xludf.DUMMYFUNCTION("""COMPUTED_VALUE"""),2025.0)</f>
        <v>2025</v>
      </c>
      <c r="G254" s="5" t="str">
        <f>IFERROR(__xludf.DUMMYFUNCTION("""COMPUTED_VALUE"""),"TL662")</f>
        <v>TL662</v>
      </c>
      <c r="H254" s="5" t="str">
        <f>IFERROR(__xludf.DUMMYFUNCTION("""COMPUTED_VALUE"""),"10HP")</f>
        <v>10HP</v>
      </c>
      <c r="I254" s="5" t="str">
        <f>IFERROR(__xludf.DUMMYFUNCTION("""COMPUTED_VALUE"""),"TL202506014011")</f>
        <v>TL202506014011</v>
      </c>
      <c r="J254" s="5" t="str">
        <f>IFERROR(__xludf.DUMMYFUNCTION("""COMPUTED_VALUE"""),"GT1000B0042103CD")</f>
        <v>GT1000B0042103CD</v>
      </c>
      <c r="K254" s="5">
        <f>IFERROR(__xludf.DUMMYFUNCTION("""COMPUTED_VALUE"""),1.8)</f>
        <v>1.8</v>
      </c>
      <c r="L254" s="5" t="str">
        <f>IFERROR(__xludf.DUMMYFUNCTION("""COMPUTED_VALUE"""),"KLH")</f>
        <v>KLH</v>
      </c>
    </row>
    <row r="255">
      <c r="A255" s="42" t="str">
        <f>IFERROR(__xludf.DUMMYFUNCTION("""COMPUTED_VALUE"""),"XL1-CCD-003")</f>
        <v>XL1-CCD-003</v>
      </c>
      <c r="B255" s="3" t="str">
        <f>IFERROR(__xludf.DUMMYFUNCTION("""COMPUTED_VALUE"""),"Máy cắt cỏ trục băm đa năng")</f>
        <v>Máy cắt cỏ trục băm đa năng</v>
      </c>
      <c r="C255" s="5" t="str">
        <f>IFERROR(__xludf.DUMMYFUNCTION("""COMPUTED_VALUE"""),"XN Chuối LP1")</f>
        <v>XN Chuối LP1</v>
      </c>
      <c r="D255" s="5" t="str">
        <f>IFERROR(__xludf.DUMMYFUNCTION("""COMPUTED_VALUE"""),"ISHIKAWA")</f>
        <v>ISHIKAWA</v>
      </c>
      <c r="E255" s="5" t="str">
        <f>IFERROR(__xludf.DUMMYFUNCTION("""COMPUTED_VALUE"""),"VIỆT NAM")</f>
        <v>VIỆT NAM</v>
      </c>
      <c r="F255" s="5">
        <f>IFERROR(__xludf.DUMMYFUNCTION("""COMPUTED_VALUE"""),2025.0)</f>
        <v>2025</v>
      </c>
      <c r="G255" s="5" t="str">
        <f>IFERROR(__xludf.DUMMYFUNCTION("""COMPUTED_VALUE"""),"TL662")</f>
        <v>TL662</v>
      </c>
      <c r="H255" s="5" t="str">
        <f>IFERROR(__xludf.DUMMYFUNCTION("""COMPUTED_VALUE"""),"10HP")</f>
        <v>10HP</v>
      </c>
      <c r="I255" s="5" t="str">
        <f>IFERROR(__xludf.DUMMYFUNCTION("""COMPUTED_VALUE"""),"TL202506014013")</f>
        <v>TL202506014013</v>
      </c>
      <c r="J255" s="5" t="str">
        <f>IFERROR(__xludf.DUMMYFUNCTION("""COMPUTED_VALUE"""),"GT1000B0042104CD")</f>
        <v>GT1000B0042104CD</v>
      </c>
      <c r="K255" s="5">
        <f>IFERROR(__xludf.DUMMYFUNCTION("""COMPUTED_VALUE"""),1.8)</f>
        <v>1.8</v>
      </c>
      <c r="L255" s="5" t="str">
        <f>IFERROR(__xludf.DUMMYFUNCTION("""COMPUTED_VALUE"""),"KLH")</f>
        <v>KLH</v>
      </c>
    </row>
    <row r="256">
      <c r="A256" s="42" t="str">
        <f>IFERROR(__xludf.DUMMYFUNCTION("""COMPUTED_VALUE"""),"XL1-CCD-004")</f>
        <v>XL1-CCD-004</v>
      </c>
      <c r="B256" s="3" t="str">
        <f>IFERROR(__xludf.DUMMYFUNCTION("""COMPUTED_VALUE"""),"Máy cắt cỏ trục băm đa năng")</f>
        <v>Máy cắt cỏ trục băm đa năng</v>
      </c>
      <c r="C256" s="5" t="str">
        <f>IFERROR(__xludf.DUMMYFUNCTION("""COMPUTED_VALUE"""),"XN Chuối LP1")</f>
        <v>XN Chuối LP1</v>
      </c>
      <c r="D256" s="5" t="str">
        <f>IFERROR(__xludf.DUMMYFUNCTION("""COMPUTED_VALUE"""),"ISHIKAWA")</f>
        <v>ISHIKAWA</v>
      </c>
      <c r="E256" s="5" t="str">
        <f>IFERROR(__xludf.DUMMYFUNCTION("""COMPUTED_VALUE"""),"VIỆT NAM")</f>
        <v>VIỆT NAM</v>
      </c>
      <c r="F256" s="5">
        <f>IFERROR(__xludf.DUMMYFUNCTION("""COMPUTED_VALUE"""),2025.0)</f>
        <v>2025</v>
      </c>
      <c r="G256" s="5" t="str">
        <f>IFERROR(__xludf.DUMMYFUNCTION("""COMPUTED_VALUE"""),"TL662")</f>
        <v>TL662</v>
      </c>
      <c r="H256" s="5" t="str">
        <f>IFERROR(__xludf.DUMMYFUNCTION("""COMPUTED_VALUE"""),"10HP")</f>
        <v>10HP</v>
      </c>
      <c r="I256" s="5" t="str">
        <f>IFERROR(__xludf.DUMMYFUNCTION("""COMPUTED_VALUE"""),"TL202506014014")</f>
        <v>TL202506014014</v>
      </c>
      <c r="J256" s="5" t="str">
        <f>IFERROR(__xludf.DUMMYFUNCTION("""COMPUTED_VALUE"""),"GT1000B0042096CD")</f>
        <v>GT1000B0042096CD</v>
      </c>
      <c r="K256" s="5">
        <f>IFERROR(__xludf.DUMMYFUNCTION("""COMPUTED_VALUE"""),1.8)</f>
        <v>1.8</v>
      </c>
      <c r="L256" s="5" t="str">
        <f>IFERROR(__xludf.DUMMYFUNCTION("""COMPUTED_VALUE"""),"KLH")</f>
        <v>KLH</v>
      </c>
    </row>
    <row r="257">
      <c r="A257" s="42" t="str">
        <f>IFERROR(__xludf.DUMMYFUNCTION("""COMPUTED_VALUE"""),"XL1-XPT-002")</f>
        <v>XL1-XPT-002</v>
      </c>
      <c r="B257" s="3" t="str">
        <f>IFERROR(__xludf.DUMMYFUNCTION("""COMPUTED_VALUE"""),"Xe phun thuốc FD 3.5T")</f>
        <v>Xe phun thuốc FD 3.5T</v>
      </c>
      <c r="C257" s="5" t="str">
        <f>IFERROR(__xludf.DUMMYFUNCTION("""COMPUTED_VALUE"""),"XN Chuối LP1")</f>
        <v>XN Chuối LP1</v>
      </c>
      <c r="D257" s="5" t="str">
        <f>IFERROR(__xludf.DUMMYFUNCTION("""COMPUTED_VALUE"""),"THACO FORLAND")</f>
        <v>THACO FORLAND</v>
      </c>
      <c r="E257" s="5" t="str">
        <f>IFERROR(__xludf.DUMMYFUNCTION("""COMPUTED_VALUE"""),"VIỆT NAM")</f>
        <v>VIỆT NAM</v>
      </c>
      <c r="F257" s="5">
        <f>IFERROR(__xludf.DUMMYFUNCTION("""COMPUTED_VALUE"""),2018.0)</f>
        <v>2018</v>
      </c>
      <c r="G257" s="5" t="str">
        <f>IFERROR(__xludf.DUMMYFUNCTION("""COMPUTED_VALUE"""),"FD350")</f>
        <v>FD350</v>
      </c>
      <c r="H257" s="5" t="str">
        <f>IFERROR(__xludf.DUMMYFUNCTION("""COMPUTED_VALUE"""),"78HP")</f>
        <v>78HP</v>
      </c>
      <c r="I257" s="5" t="str">
        <f>IFERROR(__xludf.DUMMYFUNCTION("""COMPUTED_VALUE"""),"380096")</f>
        <v>380096</v>
      </c>
      <c r="J257" s="5" t="str">
        <f>IFERROR(__xludf.DUMMYFUNCTION("""COMPUTED_VALUE"""),"CCN")</f>
        <v>CCN</v>
      </c>
      <c r="K257" s="5">
        <f>IFERROR(__xludf.DUMMYFUNCTION("""COMPUTED_VALUE"""),3.75)</f>
        <v>3.75</v>
      </c>
      <c r="L257" s="5" t="str">
        <f>IFERROR(__xludf.DUMMYFUNCTION("""COMPUTED_VALUE"""),"KLH")</f>
        <v>KLH</v>
      </c>
    </row>
    <row r="258">
      <c r="A258" s="42" t="str">
        <f>IFERROR(__xludf.DUMMYFUNCTION("""COMPUTED_VALUE"""),"Xí nghiệp Chuối LP3")</f>
        <v>Xí nghiệp Chuối LP3</v>
      </c>
      <c r="B258" s="3"/>
      <c r="C258" s="5"/>
      <c r="D258" s="5"/>
      <c r="E258" s="5"/>
      <c r="F258" s="5"/>
      <c r="G258" s="5"/>
      <c r="H258" s="5"/>
      <c r="I258" s="5"/>
      <c r="J258" s="5"/>
      <c r="K258" s="5"/>
      <c r="L258" s="5" t="str">
        <f>IFERROR(__xludf.DUMMYFUNCTION("""COMPUTED_VALUE"""),"KLH")</f>
        <v>KLH</v>
      </c>
    </row>
    <row r="259">
      <c r="A259" s="42" t="str">
        <f>IFERROR(__xludf.DUMMYFUNCTION("""COMPUTED_VALUE"""),"XL3-MKE-001")</f>
        <v>XL3-MKE-001</v>
      </c>
      <c r="B259" s="3" t="str">
        <f>IFERROR(__xludf.DUMMYFUNCTION("""COMPUTED_VALUE"""),"Máy cày KAM50")</f>
        <v>Máy cày KAM50</v>
      </c>
      <c r="C259" s="5" t="str">
        <f>IFERROR(__xludf.DUMMYFUNCTION("""COMPUTED_VALUE"""),"XN Chuối LP3")</f>
        <v>XN Chuối LP3</v>
      </c>
      <c r="D259" s="5" t="str">
        <f>IFERROR(__xludf.DUMMYFUNCTION("""COMPUTED_VALUE"""),"THACO")</f>
        <v>THACO</v>
      </c>
      <c r="E259" s="5" t="str">
        <f>IFERROR(__xludf.DUMMYFUNCTION("""COMPUTED_VALUE"""),"VIỆT NAM")</f>
        <v>VIỆT NAM</v>
      </c>
      <c r="F259" s="5">
        <f>IFERROR(__xludf.DUMMYFUNCTION("""COMPUTED_VALUE"""),2018.0)</f>
        <v>2018</v>
      </c>
      <c r="G259" s="5" t="str">
        <f>IFERROR(__xludf.DUMMYFUNCTION("""COMPUTED_VALUE"""),"KAM50")</f>
        <v>KAM50</v>
      </c>
      <c r="H259" s="5" t="str">
        <f>IFERROR(__xludf.DUMMYFUNCTION("""COMPUTED_VALUE"""),"50HP")</f>
        <v>50HP</v>
      </c>
      <c r="I259" s="5" t="str">
        <f>IFERROR(__xludf.DUMMYFUNCTION("""COMPUTED_VALUE"""),"C000057")</f>
        <v>C000057</v>
      </c>
      <c r="J259" s="5" t="str">
        <f>IFERROR(__xludf.DUMMYFUNCTION("""COMPUTED_VALUE"""),"CCN")</f>
        <v>CCN</v>
      </c>
      <c r="K259" s="5">
        <f>IFERROR(__xludf.DUMMYFUNCTION("""COMPUTED_VALUE"""),2.5)</f>
        <v>2.5</v>
      </c>
      <c r="L259" s="5" t="str">
        <f>IFERROR(__xludf.DUMMYFUNCTION("""COMPUTED_VALUE"""),"KLH")</f>
        <v>KLH</v>
      </c>
    </row>
    <row r="260">
      <c r="A260" s="42" t="str">
        <f>IFERROR(__xludf.DUMMYFUNCTION("""COMPUTED_VALUE"""),"XL3-MKE-002")</f>
        <v>XL3-MKE-002</v>
      </c>
      <c r="B260" s="3" t="str">
        <f>IFERROR(__xludf.DUMMYFUNCTION("""COMPUTED_VALUE"""),"Máy cày KAM50")</f>
        <v>Máy cày KAM50</v>
      </c>
      <c r="C260" s="5" t="str">
        <f>IFERROR(__xludf.DUMMYFUNCTION("""COMPUTED_VALUE"""),"XN Chuối LP3")</f>
        <v>XN Chuối LP3</v>
      </c>
      <c r="D260" s="5" t="str">
        <f>IFERROR(__xludf.DUMMYFUNCTION("""COMPUTED_VALUE"""),"THACO")</f>
        <v>THACO</v>
      </c>
      <c r="E260" s="5" t="str">
        <f>IFERROR(__xludf.DUMMYFUNCTION("""COMPUTED_VALUE"""),"VIỆT NAM")</f>
        <v>VIỆT NAM</v>
      </c>
      <c r="F260" s="5">
        <f>IFERROR(__xludf.DUMMYFUNCTION("""COMPUTED_VALUE"""),2018.0)</f>
        <v>2018</v>
      </c>
      <c r="G260" s="5" t="str">
        <f>IFERROR(__xludf.DUMMYFUNCTION("""COMPUTED_VALUE"""),"KAM50")</f>
        <v>KAM50</v>
      </c>
      <c r="H260" s="5" t="str">
        <f>IFERROR(__xludf.DUMMYFUNCTION("""COMPUTED_VALUE"""),"50HP")</f>
        <v>50HP</v>
      </c>
      <c r="I260" s="5" t="str">
        <f>IFERROR(__xludf.DUMMYFUNCTION("""COMPUTED_VALUE"""),"C000056")</f>
        <v>C000056</v>
      </c>
      <c r="J260" s="5" t="str">
        <f>IFERROR(__xludf.DUMMYFUNCTION("""COMPUTED_VALUE"""),"CCN")</f>
        <v>CCN</v>
      </c>
      <c r="K260" s="5">
        <f>IFERROR(__xludf.DUMMYFUNCTION("""COMPUTED_VALUE"""),2.0)</f>
        <v>2</v>
      </c>
      <c r="L260" s="5" t="str">
        <f>IFERROR(__xludf.DUMMYFUNCTION("""COMPUTED_VALUE"""),"KLH")</f>
        <v>KLH</v>
      </c>
    </row>
    <row r="261">
      <c r="A261" s="165" t="str">
        <f>IFERROR(__xludf.DUMMYFUNCTION("""COMPUTED_VALUE"""),"XL3-MKE-003")</f>
        <v>XL3-MKE-003</v>
      </c>
      <c r="B261" s="3" t="str">
        <f>IFERROR(__xludf.DUMMYFUNCTION("""COMPUTED_VALUE"""),"Máy cày KAM50")</f>
        <v>Máy cày KAM50</v>
      </c>
      <c r="C261" s="5" t="str">
        <f>IFERROR(__xludf.DUMMYFUNCTION("""COMPUTED_VALUE"""),"XN Chuối LP3")</f>
        <v>XN Chuối LP3</v>
      </c>
      <c r="D261" s="5" t="str">
        <f>IFERROR(__xludf.DUMMYFUNCTION("""COMPUTED_VALUE"""),"THACO")</f>
        <v>THACO</v>
      </c>
      <c r="E261" s="5" t="str">
        <f>IFERROR(__xludf.DUMMYFUNCTION("""COMPUTED_VALUE"""),"VIỆT NAM")</f>
        <v>VIỆT NAM</v>
      </c>
      <c r="F261" s="5">
        <f>IFERROR(__xludf.DUMMYFUNCTION("""COMPUTED_VALUE"""),2018.0)</f>
        <v>2018</v>
      </c>
      <c r="G261" s="5" t="str">
        <f>IFERROR(__xludf.DUMMYFUNCTION("""COMPUTED_VALUE"""),"KAM50")</f>
        <v>KAM50</v>
      </c>
      <c r="H261" s="5" t="str">
        <f>IFERROR(__xludf.DUMMYFUNCTION("""COMPUTED_VALUE"""),"50HP")</f>
        <v>50HP</v>
      </c>
      <c r="I261" s="5" t="str">
        <f>IFERROR(__xludf.DUMMYFUNCTION("""COMPUTED_VALUE"""),"C000027")</f>
        <v>C000027</v>
      </c>
      <c r="J261" s="5" t="str">
        <f>IFERROR(__xludf.DUMMYFUNCTION("""COMPUTED_VALUE"""),"CCN")</f>
        <v>CCN</v>
      </c>
      <c r="K261" s="5">
        <f>IFERROR(__xludf.DUMMYFUNCTION("""COMPUTED_VALUE"""),2.0)</f>
        <v>2</v>
      </c>
      <c r="L261" s="5" t="str">
        <f>IFERROR(__xludf.DUMMYFUNCTION("""COMPUTED_VALUE"""),"KLH")</f>
        <v>KLH</v>
      </c>
    </row>
    <row r="262">
      <c r="A262" s="165" t="str">
        <f>IFERROR(__xludf.DUMMYFUNCTION("""COMPUTED_VALUE"""),"XL3-MKE-004")</f>
        <v>XL3-MKE-004</v>
      </c>
      <c r="B262" s="3" t="str">
        <f>IFERROR(__xludf.DUMMYFUNCTION("""COMPUTED_VALUE"""),"Máy cày L4508")</f>
        <v>Máy cày L4508</v>
      </c>
      <c r="C262" s="5" t="str">
        <f>IFERROR(__xludf.DUMMYFUNCTION("""COMPUTED_VALUE"""),"XN Chuối LP3")</f>
        <v>XN Chuối LP3</v>
      </c>
      <c r="D262" s="5" t="str">
        <f>IFERROR(__xludf.DUMMYFUNCTION("""COMPUTED_VALUE"""),"KUBOTA")</f>
        <v>KUBOTA</v>
      </c>
      <c r="E262" s="5" t="str">
        <f>IFERROR(__xludf.DUMMYFUNCTION("""COMPUTED_VALUE"""),"NHẬT BẢN")</f>
        <v>NHẬT BẢN</v>
      </c>
      <c r="F262" s="5">
        <f>IFERROR(__xludf.DUMMYFUNCTION("""COMPUTED_VALUE"""),2019.0)</f>
        <v>2019</v>
      </c>
      <c r="G262" s="5" t="str">
        <f>IFERROR(__xludf.DUMMYFUNCTION("""COMPUTED_VALUE"""),"L4508")</f>
        <v>L4508</v>
      </c>
      <c r="H262" s="5" t="str">
        <f>IFERROR(__xludf.DUMMYFUNCTION("""COMPUTED_VALUE"""),"45HP")</f>
        <v>45HP</v>
      </c>
      <c r="I262" s="5" t="str">
        <f>IFERROR(__xludf.DUMMYFUNCTION("""COMPUTED_VALUE"""),"1665")</f>
        <v>1665</v>
      </c>
      <c r="J262" s="5" t="str">
        <f>IFERROR(__xludf.DUMMYFUNCTION("""COMPUTED_VALUE"""),"CCN")</f>
        <v>CCN</v>
      </c>
      <c r="K262" s="5">
        <f>IFERROR(__xludf.DUMMYFUNCTION("""COMPUTED_VALUE"""),2.5)</f>
        <v>2.5</v>
      </c>
      <c r="L262" s="5" t="str">
        <f>IFERROR(__xludf.DUMMYFUNCTION("""COMPUTED_VALUE"""),"KLH")</f>
        <v>KLH</v>
      </c>
    </row>
    <row r="263">
      <c r="A263" s="165" t="str">
        <f>IFERROR(__xludf.DUMMYFUNCTION("""COMPUTED_VALUE"""),"XL3-MKE-005")</f>
        <v>XL3-MKE-005</v>
      </c>
      <c r="B263" s="3" t="str">
        <f>IFERROR(__xludf.DUMMYFUNCTION("""COMPUTED_VALUE"""),"Máy cày M6040")</f>
        <v>Máy cày M6040</v>
      </c>
      <c r="C263" s="5" t="str">
        <f>IFERROR(__xludf.DUMMYFUNCTION("""COMPUTED_VALUE"""),"XN Chuối LP3")</f>
        <v>XN Chuối LP3</v>
      </c>
      <c r="D263" s="5" t="str">
        <f>IFERROR(__xludf.DUMMYFUNCTION("""COMPUTED_VALUE"""),"KUBOTA")</f>
        <v>KUBOTA</v>
      </c>
      <c r="E263" s="5" t="str">
        <f>IFERROR(__xludf.DUMMYFUNCTION("""COMPUTED_VALUE"""),"NHẬT BẢN")</f>
        <v>NHẬT BẢN</v>
      </c>
      <c r="F263" s="5">
        <f>IFERROR(__xludf.DUMMYFUNCTION("""COMPUTED_VALUE"""),2013.0)</f>
        <v>2013</v>
      </c>
      <c r="G263" s="5" t="str">
        <f>IFERROR(__xludf.DUMMYFUNCTION("""COMPUTED_VALUE"""),"M6040")</f>
        <v>M6040</v>
      </c>
      <c r="H263" s="5" t="str">
        <f>IFERROR(__xludf.DUMMYFUNCTION("""COMPUTED_VALUE"""),"60HP")</f>
        <v>60HP</v>
      </c>
      <c r="I263" s="5" t="str">
        <f>IFERROR(__xludf.DUMMYFUNCTION("""COMPUTED_VALUE"""),"D57605")</f>
        <v>D57605</v>
      </c>
      <c r="J263" s="5" t="str">
        <f>IFERROR(__xludf.DUMMYFUNCTION("""COMPUTED_VALUE"""),"CCN")</f>
        <v>CCN</v>
      </c>
      <c r="K263" s="5">
        <f>IFERROR(__xludf.DUMMYFUNCTION("""COMPUTED_VALUE"""),3.5)</f>
        <v>3.5</v>
      </c>
      <c r="L263" s="5" t="str">
        <f>IFERROR(__xludf.DUMMYFUNCTION("""COMPUTED_VALUE"""),"KLH")</f>
        <v>KLH</v>
      </c>
    </row>
    <row r="264">
      <c r="A264" s="42" t="str">
        <f>IFERROR(__xludf.DUMMYFUNCTION("""COMPUTED_VALUE"""),"XL3-MKE-006")</f>
        <v>XL3-MKE-006</v>
      </c>
      <c r="B264" s="3" t="str">
        <f>IFERROR(__xludf.DUMMYFUNCTION("""COMPUTED_VALUE"""),"Máy cày KAM50")</f>
        <v>Máy cày KAM50</v>
      </c>
      <c r="C264" s="5" t="str">
        <f>IFERROR(__xludf.DUMMYFUNCTION("""COMPUTED_VALUE"""),"XN Chuối LP3")</f>
        <v>XN Chuối LP3</v>
      </c>
      <c r="D264" s="5" t="str">
        <f>IFERROR(__xludf.DUMMYFUNCTION("""COMPUTED_VALUE"""),"THACO")</f>
        <v>THACO</v>
      </c>
      <c r="E264" s="5" t="str">
        <f>IFERROR(__xludf.DUMMYFUNCTION("""COMPUTED_VALUE"""),"VIỆT NAM")</f>
        <v>VIỆT NAM</v>
      </c>
      <c r="F264" s="5">
        <f>IFERROR(__xludf.DUMMYFUNCTION("""COMPUTED_VALUE"""),2018.0)</f>
        <v>2018</v>
      </c>
      <c r="G264" s="5" t="str">
        <f>IFERROR(__xludf.DUMMYFUNCTION("""COMPUTED_VALUE"""),"KAM50")</f>
        <v>KAM50</v>
      </c>
      <c r="H264" s="5" t="str">
        <f>IFERROR(__xludf.DUMMYFUNCTION("""COMPUTED_VALUE"""),"50HP")</f>
        <v>50HP</v>
      </c>
      <c r="I264" s="5" t="str">
        <f>IFERROR(__xludf.DUMMYFUNCTION("""COMPUTED_VALUE"""),"180046")</f>
        <v>180046</v>
      </c>
      <c r="J264" s="5" t="str">
        <f>IFERROR(__xludf.DUMMYFUNCTION("""COMPUTED_VALUE"""),"CCN")</f>
        <v>CCN</v>
      </c>
      <c r="K264" s="5">
        <f>IFERROR(__xludf.DUMMYFUNCTION("""COMPUTED_VALUE"""),2.5)</f>
        <v>2.5</v>
      </c>
      <c r="L264" s="5" t="str">
        <f>IFERROR(__xludf.DUMMYFUNCTION("""COMPUTED_VALUE"""),"KLH")</f>
        <v>KLH</v>
      </c>
    </row>
    <row r="265">
      <c r="A265" s="42" t="str">
        <f>IFERROR(__xludf.DUMMYFUNCTION("""COMPUTED_VALUE"""),"XL3-MKE-008")</f>
        <v>XL3-MKE-008</v>
      </c>
      <c r="B265" s="3" t="str">
        <f>IFERROR(__xludf.DUMMYFUNCTION("""COMPUTED_VALUE"""),"Máy cày LOVOL P3050")</f>
        <v>Máy cày LOVOL P3050</v>
      </c>
      <c r="C265" s="5" t="str">
        <f>IFERROR(__xludf.DUMMYFUNCTION("""COMPUTED_VALUE"""),"XN Chuối LP3")</f>
        <v>XN Chuối LP3</v>
      </c>
      <c r="D265" s="5" t="str">
        <f>IFERROR(__xludf.DUMMYFUNCTION("""COMPUTED_VALUE"""),"LOVOL")</f>
        <v>LOVOL</v>
      </c>
      <c r="E265" s="5" t="str">
        <f>IFERROR(__xludf.DUMMYFUNCTION("""COMPUTED_VALUE"""),"TRUNG QUỐC ")</f>
        <v>TRUNG QUỐC </v>
      </c>
      <c r="F265" s="5">
        <f>IFERROR(__xludf.DUMMYFUNCTION("""COMPUTED_VALUE"""),2024.0)</f>
        <v>2024</v>
      </c>
      <c r="G265" s="5" t="str">
        <f>IFERROR(__xludf.DUMMYFUNCTION("""COMPUTED_VALUE"""),"P3050")</f>
        <v>P3050</v>
      </c>
      <c r="H265" s="5" t="str">
        <f>IFERROR(__xludf.DUMMYFUNCTION("""COMPUTED_VALUE"""),"47Hp")</f>
        <v>47Hp</v>
      </c>
      <c r="I265" s="5" t="str">
        <f>IFERROR(__xludf.DUMMYFUNCTION("""COMPUTED_VALUE"""),"TY1S312020001K301198R03")</f>
        <v>TY1S312020001K301198R03</v>
      </c>
      <c r="J265" s="5" t="str">
        <f>IFERROR(__xludf.DUMMYFUNCTION("""COMPUTED_VALUE"""),"FTTP3A34VRS000231")</f>
        <v>FTTP3A34VRS000231</v>
      </c>
      <c r="K265" s="5">
        <f>IFERROR(__xludf.DUMMYFUNCTION("""COMPUTED_VALUE"""),3.3)</f>
        <v>3.3</v>
      </c>
      <c r="L265" s="5" t="str">
        <f>IFERROR(__xludf.DUMMYFUNCTION("""COMPUTED_VALUE"""),"KLH")</f>
        <v>KLH</v>
      </c>
    </row>
    <row r="266">
      <c r="A266" s="42" t="str">
        <f>IFERROR(__xludf.DUMMYFUNCTION("""COMPUTED_VALUE"""),"XL3-MKE-010")</f>
        <v>XL3-MKE-010</v>
      </c>
      <c r="B266" s="3" t="str">
        <f>IFERROR(__xludf.DUMMYFUNCTION("""COMPUTED_VALUE"""),"Máy cày M6040")</f>
        <v>Máy cày M6040</v>
      </c>
      <c r="C266" s="5" t="str">
        <f>IFERROR(__xludf.DUMMYFUNCTION("""COMPUTED_VALUE"""),"XN Chuối LP3")</f>
        <v>XN Chuối LP3</v>
      </c>
      <c r="D266" s="5" t="str">
        <f>IFERROR(__xludf.DUMMYFUNCTION("""COMPUTED_VALUE"""),"KUBOTA")</f>
        <v>KUBOTA</v>
      </c>
      <c r="E266" s="5" t="str">
        <f>IFERROR(__xludf.DUMMYFUNCTION("""COMPUTED_VALUE"""),"NHẬT BẢN")</f>
        <v>NHẬT BẢN</v>
      </c>
      <c r="F266" s="5">
        <f>IFERROR(__xludf.DUMMYFUNCTION("""COMPUTED_VALUE"""),2013.0)</f>
        <v>2013</v>
      </c>
      <c r="G266" s="5" t="str">
        <f>IFERROR(__xludf.DUMMYFUNCTION("""COMPUTED_VALUE"""),"M6040")</f>
        <v>M6040</v>
      </c>
      <c r="H266" s="5" t="str">
        <f>IFERROR(__xludf.DUMMYFUNCTION("""COMPUTED_VALUE"""),"60HP")</f>
        <v>60HP</v>
      </c>
      <c r="I266" s="5" t="str">
        <f>IFERROR(__xludf.DUMMYFUNCTION("""COMPUTED_VALUE"""),"57121")</f>
        <v>57121</v>
      </c>
      <c r="J266" s="5" t="str">
        <f>IFERROR(__xludf.DUMMYFUNCTION("""COMPUTED_VALUE"""),"7542")</f>
        <v>7542</v>
      </c>
      <c r="K266" s="5">
        <f>IFERROR(__xludf.DUMMYFUNCTION("""COMPUTED_VALUE"""),6.6)</f>
        <v>6.6</v>
      </c>
      <c r="L266" s="5" t="str">
        <f>IFERROR(__xludf.DUMMYFUNCTION("""COMPUTED_VALUE"""),"KLH")</f>
        <v>KLH</v>
      </c>
    </row>
    <row r="267">
      <c r="A267" s="42" t="str">
        <f>IFERROR(__xludf.DUMMYFUNCTION("""COMPUTED_VALUE"""),"CHT-MĐA-051")</f>
        <v>CHT-MĐA-051</v>
      </c>
      <c r="B267" s="3" t="str">
        <f>IFERROR(__xludf.DUMMYFUNCTION("""COMPUTED_VALUE"""),"Máy đào KOMATSU bánh xích gàu 0.3m3")</f>
        <v>Máy đào KOMATSU bánh xích gàu 0.3m3</v>
      </c>
      <c r="C267" s="5" t="str">
        <f>IFERROR(__xludf.DUMMYFUNCTION("""COMPUTED_VALUE"""),"XN Chuối LP3")</f>
        <v>XN Chuối LP3</v>
      </c>
      <c r="D267" s="5" t="str">
        <f>IFERROR(__xludf.DUMMYFUNCTION("""COMPUTED_VALUE"""),"KOMATSU")</f>
        <v>KOMATSU</v>
      </c>
      <c r="E267" s="5" t="str">
        <f>IFERROR(__xludf.DUMMYFUNCTION("""COMPUTED_VALUE"""),"NHẬT BẢN")</f>
        <v>NHẬT BẢN</v>
      </c>
      <c r="F267" s="5">
        <f>IFERROR(__xludf.DUMMYFUNCTION("""COMPUTED_VALUE"""),2006.0)</f>
        <v>2006</v>
      </c>
      <c r="G267" s="5" t="str">
        <f>IFERROR(__xludf.DUMMYFUNCTION("""COMPUTED_VALUE"""),"PC50MR-2")</f>
        <v>PC50MR-2</v>
      </c>
      <c r="H267" s="5" t="str">
        <f>IFERROR(__xludf.DUMMYFUNCTION("""COMPUTED_VALUE"""),"39HP")</f>
        <v>39HP</v>
      </c>
      <c r="I267" s="5" t="str">
        <f>IFERROR(__xludf.DUMMYFUNCTION("""COMPUTED_VALUE"""),"KMTPC094E05008137")</f>
        <v>KMTPC094E05008137</v>
      </c>
      <c r="J267" s="5" t="str">
        <f>IFERROR(__xludf.DUMMYFUNCTION("""COMPUTED_VALUE"""),"11014")</f>
        <v>11014</v>
      </c>
      <c r="K267" s="5">
        <f>IFERROR(__xludf.DUMMYFUNCTION("""COMPUTED_VALUE"""),4.0)</f>
        <v>4</v>
      </c>
      <c r="L267" s="5" t="str">
        <f>IFERROR(__xludf.DUMMYFUNCTION("""COMPUTED_VALUE"""),"KLH")</f>
        <v>KLH</v>
      </c>
    </row>
    <row r="268">
      <c r="A268" s="42" t="str">
        <f>IFERROR(__xludf.DUMMYFUNCTION("""COMPUTED_VALUE"""),"CHT-MĐA-049")</f>
        <v>CHT-MĐA-049</v>
      </c>
      <c r="B268" s="3" t="str">
        <f>IFERROR(__xludf.DUMMYFUNCTION("""COMPUTED_VALUE"""),"Máy đào KOMATSU bánh xích gàu 0.3m3")</f>
        <v>Máy đào KOMATSU bánh xích gàu 0.3m3</v>
      </c>
      <c r="C268" s="5" t="str">
        <f>IFERROR(__xludf.DUMMYFUNCTION("""COMPUTED_VALUE"""),"XN Chuối LP3")</f>
        <v>XN Chuối LP3</v>
      </c>
      <c r="D268" s="5" t="str">
        <f>IFERROR(__xludf.DUMMYFUNCTION("""COMPUTED_VALUE"""),"KOMATSU")</f>
        <v>KOMATSU</v>
      </c>
      <c r="E268" s="5" t="str">
        <f>IFERROR(__xludf.DUMMYFUNCTION("""COMPUTED_VALUE"""),"NHẬT BẢN")</f>
        <v>NHẬT BẢN</v>
      </c>
      <c r="F268" s="5">
        <f>IFERROR(__xludf.DUMMYFUNCTION("""COMPUTED_VALUE"""),2005.0)</f>
        <v>2005</v>
      </c>
      <c r="G268" s="5" t="str">
        <f>IFERROR(__xludf.DUMMYFUNCTION("""COMPUTED_VALUE"""),"PC55MR-3")</f>
        <v>PC55MR-3</v>
      </c>
      <c r="H268" s="5" t="str">
        <f>IFERROR(__xludf.DUMMYFUNCTION("""COMPUTED_VALUE"""),"38HP")</f>
        <v>38HP</v>
      </c>
      <c r="I268" s="5" t="str">
        <f>IFERROR(__xludf.DUMMYFUNCTION("""COMPUTED_VALUE"""),"KMTPC212T40417418")</f>
        <v>KMTPC212T40417418</v>
      </c>
      <c r="J268" s="5" t="str">
        <f>IFERROR(__xludf.DUMMYFUNCTION("""COMPUTED_VALUE"""),"27150")</f>
        <v>27150</v>
      </c>
      <c r="K268" s="5">
        <f>IFERROR(__xludf.DUMMYFUNCTION("""COMPUTED_VALUE"""),4.0)</f>
        <v>4</v>
      </c>
      <c r="L268" s="5" t="str">
        <f>IFERROR(__xludf.DUMMYFUNCTION("""COMPUTED_VALUE"""),"KLH")</f>
        <v>KLH</v>
      </c>
    </row>
    <row r="269">
      <c r="A269" s="42" t="str">
        <f>IFERROR(__xludf.DUMMYFUNCTION("""COMPUTED_VALUE"""),"CHT-MĐA-057")</f>
        <v>CHT-MĐA-057</v>
      </c>
      <c r="B269" s="3" t="str">
        <f>IFERROR(__xludf.DUMMYFUNCTION("""COMPUTED_VALUE"""),"Máy đào KOMATSU bánh xích gàu 0.3m3")</f>
        <v>Máy đào KOMATSU bánh xích gàu 0.3m3</v>
      </c>
      <c r="C269" s="5" t="str">
        <f>IFERROR(__xludf.DUMMYFUNCTION("""COMPUTED_VALUE"""),"XN Chuối LP3")</f>
        <v>XN Chuối LP3</v>
      </c>
      <c r="D269" s="5" t="str">
        <f>IFERROR(__xludf.DUMMYFUNCTION("""COMPUTED_VALUE"""),"KOMATSU")</f>
        <v>KOMATSU</v>
      </c>
      <c r="E269" s="5" t="str">
        <f>IFERROR(__xludf.DUMMYFUNCTION("""COMPUTED_VALUE"""),"NHẬT BẢN")</f>
        <v>NHẬT BẢN</v>
      </c>
      <c r="F269" s="5">
        <f>IFERROR(__xludf.DUMMYFUNCTION("""COMPUTED_VALUE"""),2015.0)</f>
        <v>2015</v>
      </c>
      <c r="G269" s="5" t="str">
        <f>IFERROR(__xludf.DUMMYFUNCTION("""COMPUTED_VALUE"""),"PC40MR-3")</f>
        <v>PC40MR-3</v>
      </c>
      <c r="H269" s="5" t="str">
        <f>IFERROR(__xludf.DUMMYFUNCTION("""COMPUTED_VALUE"""),"40HP")</f>
        <v>40HP</v>
      </c>
      <c r="I269" s="5" t="str">
        <f>IFERROR(__xludf.DUMMYFUNCTION("""COMPUTED_VALUE"""),"KMTPC203A04018037")</f>
        <v>KMTPC203A04018037</v>
      </c>
      <c r="J269" s="5" t="str">
        <f>IFERROR(__xludf.DUMMYFUNCTION("""COMPUTED_VALUE"""),"20536")</f>
        <v>20536</v>
      </c>
      <c r="K269" s="5">
        <f>IFERROR(__xludf.DUMMYFUNCTION("""COMPUTED_VALUE"""),4.0)</f>
        <v>4</v>
      </c>
      <c r="L269" s="5" t="str">
        <f>IFERROR(__xludf.DUMMYFUNCTION("""COMPUTED_VALUE"""),"KLH")</f>
        <v>KLH</v>
      </c>
    </row>
    <row r="270">
      <c r="A270" s="42" t="str">
        <f>IFERROR(__xludf.DUMMYFUNCTION("""COMPUTED_VALUE"""),"XL3-MĐA-001")</f>
        <v>XL3-MĐA-001</v>
      </c>
      <c r="B270" s="3" t="str">
        <f>IFERROR(__xludf.DUMMYFUNCTION("""COMPUTED_VALUE"""),"Máy đào KOMATSU bánh xích gàu 0.3m3")</f>
        <v>Máy đào KOMATSU bánh xích gàu 0.3m3</v>
      </c>
      <c r="C270" s="5" t="str">
        <f>IFERROR(__xludf.DUMMYFUNCTION("""COMPUTED_VALUE"""),"XN Chuối LP3")</f>
        <v>XN Chuối LP3</v>
      </c>
      <c r="D270" s="5" t="str">
        <f>IFERROR(__xludf.DUMMYFUNCTION("""COMPUTED_VALUE"""),"KOMATSU")</f>
        <v>KOMATSU</v>
      </c>
      <c r="E270" s="5" t="str">
        <f>IFERROR(__xludf.DUMMYFUNCTION("""COMPUTED_VALUE"""),"NHẬT BẢN")</f>
        <v>NHẬT BẢN</v>
      </c>
      <c r="F270" s="5">
        <f>IFERROR(__xludf.DUMMYFUNCTION("""COMPUTED_VALUE"""),2010.0)</f>
        <v>2010</v>
      </c>
      <c r="G270" s="5" t="str">
        <f>IFERROR(__xludf.DUMMYFUNCTION("""COMPUTED_VALUE"""),"PC55MR-3")</f>
        <v>PC55MR-3</v>
      </c>
      <c r="H270" s="5" t="str">
        <f>IFERROR(__xludf.DUMMYFUNCTION("""COMPUTED_VALUE"""),"39HP")</f>
        <v>39HP</v>
      </c>
      <c r="I270" s="5" t="str">
        <f>IFERROR(__xludf.DUMMYFUNCTION("""COMPUTED_VALUE"""),"KMTPC212P040416271")</f>
        <v>KMTPC212P040416271</v>
      </c>
      <c r="J270" s="5" t="str">
        <f>IFERROR(__xludf.DUMMYFUNCTION("""COMPUTED_VALUE"""),"21629")</f>
        <v>21629</v>
      </c>
      <c r="K270" s="5">
        <f>IFERROR(__xludf.DUMMYFUNCTION("""COMPUTED_VALUE"""),4.0)</f>
        <v>4</v>
      </c>
      <c r="L270" s="5" t="str">
        <f>IFERROR(__xludf.DUMMYFUNCTION("""COMPUTED_VALUE"""),"KLH")</f>
        <v>KLH</v>
      </c>
    </row>
    <row r="271">
      <c r="A271" s="42" t="str">
        <f>IFERROR(__xludf.DUMMYFUNCTION("""COMPUTED_VALUE"""),"XL3-MĐA-005")</f>
        <v>XL3-MĐA-005</v>
      </c>
      <c r="B271" s="3" t="str">
        <f>IFERROR(__xludf.DUMMYFUNCTION("""COMPUTED_VALUE"""),"Máy đào CAT 305 bánh xích gàu 0.3m3")</f>
        <v>Máy đào CAT 305 bánh xích gàu 0.3m3</v>
      </c>
      <c r="C271" s="5" t="str">
        <f>IFERROR(__xludf.DUMMYFUNCTION("""COMPUTED_VALUE"""),"XN Chuối LP3")</f>
        <v>XN Chuối LP3</v>
      </c>
      <c r="D271" s="5" t="str">
        <f>IFERROR(__xludf.DUMMYFUNCTION("""COMPUTED_VALUE"""),"CAT")</f>
        <v>CAT</v>
      </c>
      <c r="E271" s="5" t="str">
        <f>IFERROR(__xludf.DUMMYFUNCTION("""COMPUTED_VALUE"""),"NHẬT BẢN")</f>
        <v>NHẬT BẢN</v>
      </c>
      <c r="F271" s="5">
        <f>IFERROR(__xludf.DUMMYFUNCTION("""COMPUTED_VALUE"""),2006.0)</f>
        <v>2006</v>
      </c>
      <c r="G271" s="5" t="str">
        <f>IFERROR(__xludf.DUMMYFUNCTION("""COMPUTED_VALUE"""),"305")</f>
        <v>305</v>
      </c>
      <c r="H271" s="5" t="str">
        <f>IFERROR(__xludf.DUMMYFUNCTION("""COMPUTED_VALUE"""),"40HP")</f>
        <v>40HP</v>
      </c>
      <c r="I271" s="5" t="str">
        <f>IFERROR(__xludf.DUMMYFUNCTION("""COMPUTED_VALUE"""),"2208498")</f>
        <v>2208498</v>
      </c>
      <c r="J271" s="5" t="str">
        <f>IFERROR(__xludf.DUMMYFUNCTION("""COMPUTED_VALUE"""),"CCN")</f>
        <v>CCN</v>
      </c>
      <c r="K271" s="5">
        <f>IFERROR(__xludf.DUMMYFUNCTION("""COMPUTED_VALUE"""),4.0)</f>
        <v>4</v>
      </c>
      <c r="L271" s="5" t="str">
        <f>IFERROR(__xludf.DUMMYFUNCTION("""COMPUTED_VALUE"""),"KLH")</f>
        <v>KLH</v>
      </c>
    </row>
    <row r="272">
      <c r="A272" s="166" t="str">
        <f>IFERROR(__xludf.DUMMYFUNCTION("""COMPUTED_VALUE"""),"XL3-TCD-001")</f>
        <v>XL3-TCD-001</v>
      </c>
      <c r="B272" s="3" t="str">
        <f>IFERROR(__xludf.DUMMYFUNCTION("""COMPUTED_VALUE"""),"Xe tải chuyên dụng (cabin đôi)")</f>
        <v>Xe tải chuyên dụng (cabin đôi)</v>
      </c>
      <c r="C272" s="5" t="str">
        <f>IFERROR(__xludf.DUMMYFUNCTION("""COMPUTED_VALUE"""),"XN Chuối LP3")</f>
        <v>XN Chuối LP3</v>
      </c>
      <c r="D272" s="5" t="str">
        <f>IFERROR(__xludf.DUMMYFUNCTION("""COMPUTED_VALUE"""),"THACO KIA")</f>
        <v>THACO KIA</v>
      </c>
      <c r="E272" s="5" t="str">
        <f>IFERROR(__xludf.DUMMYFUNCTION("""COMPUTED_VALUE"""),"VIỆT NAM")</f>
        <v>VIỆT NAM</v>
      </c>
      <c r="F272" s="5">
        <f>IFERROR(__xludf.DUMMYFUNCTION("""COMPUTED_VALUE"""),2021.0)</f>
        <v>2021</v>
      </c>
      <c r="G272" s="5" t="str">
        <f>IFERROR(__xludf.DUMMYFUNCTION("""COMPUTED_VALUE"""),"FRONTIER K200SD")</f>
        <v>FRONTIER K200SD</v>
      </c>
      <c r="H272" s="5" t="str">
        <f>IFERROR(__xludf.DUMMYFUNCTION("""COMPUTED_VALUE"""),"130HP")</f>
        <v>130HP</v>
      </c>
      <c r="I272" s="5" t="str">
        <f>IFERROR(__xludf.DUMMYFUNCTION("""COMPUTED_VALUE"""),"RNHF39KHBMT045643")</f>
        <v>RNHF39KHBMT045643</v>
      </c>
      <c r="J272" s="5" t="str">
        <f>IFERROR(__xludf.DUMMYFUNCTION("""COMPUTED_VALUE"""),"MD540095D4CB")</f>
        <v>MD540095D4CB</v>
      </c>
      <c r="K272" s="5"/>
      <c r="L272" s="5" t="str">
        <f>IFERROR(__xludf.DUMMYFUNCTION("""COMPUTED_VALUE"""),"KLH")</f>
        <v>KLH</v>
      </c>
    </row>
    <row r="273">
      <c r="A273" s="166" t="str">
        <f>IFERROR(__xludf.DUMMYFUNCTION("""COMPUTED_VALUE"""),"XL3-TCD-002")</f>
        <v>XL3-TCD-002</v>
      </c>
      <c r="B273" s="3" t="str">
        <f>IFERROR(__xludf.DUMMYFUNCTION("""COMPUTED_VALUE"""),"Xe tải chuyên dụng (thùng lửng)")</f>
        <v>Xe tải chuyên dụng (thùng lửng)</v>
      </c>
      <c r="C273" s="5" t="str">
        <f>IFERROR(__xludf.DUMMYFUNCTION("""COMPUTED_VALUE"""),"XN Chuối LP3")</f>
        <v>XN Chuối LP3</v>
      </c>
      <c r="D273" s="5" t="str">
        <f>IFERROR(__xludf.DUMMYFUNCTION("""COMPUTED_VALUE"""),"THACO KIA")</f>
        <v>THACO KIA</v>
      </c>
      <c r="E273" s="5" t="str">
        <f>IFERROR(__xludf.DUMMYFUNCTION("""COMPUTED_VALUE"""),"VIỆT NAM")</f>
        <v>VIỆT NAM</v>
      </c>
      <c r="F273" s="5">
        <f>IFERROR(__xludf.DUMMYFUNCTION("""COMPUTED_VALUE"""),2021.0)</f>
        <v>2021</v>
      </c>
      <c r="G273" s="5" t="str">
        <f>IFERROR(__xludf.DUMMYFUNCTION("""COMPUTED_VALUE"""),"FRONTIER K200SD-4WD")</f>
        <v>FRONTIER K200SD-4WD</v>
      </c>
      <c r="H273" s="5" t="str">
        <f>IFERROR(__xludf.DUMMYFUNCTION("""COMPUTED_VALUE"""),"129HP")</f>
        <v>129HP</v>
      </c>
      <c r="I273" s="5" t="str">
        <f>IFERROR(__xludf.DUMMYFUNCTION("""COMPUTED_VALUE"""),"RNHF39KHBMT045662")</f>
        <v>RNHF39KHBMT045662</v>
      </c>
      <c r="J273" s="5" t="str">
        <f>IFERROR(__xludf.DUMMYFUNCTION("""COMPUTED_VALUE"""),"MD540097D4CB")</f>
        <v>MD540097D4CB</v>
      </c>
      <c r="K273" s="5"/>
      <c r="L273" s="5" t="str">
        <f>IFERROR(__xludf.DUMMYFUNCTION("""COMPUTED_VALUE"""),"KLH")</f>
        <v>KLH</v>
      </c>
    </row>
    <row r="274">
      <c r="A274" s="166" t="str">
        <f>IFERROR(__xludf.DUMMYFUNCTION("""COMPUTED_VALUE"""),"XL3-XTA-002")</f>
        <v>XL3-XTA-002</v>
      </c>
      <c r="B274" s="3" t="str">
        <f>IFERROR(__xludf.DUMMYFUNCTION("""COMPUTED_VALUE"""),"Xe tải KOZUN")</f>
        <v>Xe tải KOZUN</v>
      </c>
      <c r="C274" s="5" t="str">
        <f>IFERROR(__xludf.DUMMYFUNCTION("""COMPUTED_VALUE"""),"XN Chuối LP3")</f>
        <v>XN Chuối LP3</v>
      </c>
      <c r="D274" s="5" t="str">
        <f>IFERROR(__xludf.DUMMYFUNCTION("""COMPUTED_VALUE"""),"KOZUN")</f>
        <v>KOZUN</v>
      </c>
      <c r="E274" s="5" t="str">
        <f>IFERROR(__xludf.DUMMYFUNCTION("""COMPUTED_VALUE"""),"CAMPUCHIA")</f>
        <v>CAMPUCHIA</v>
      </c>
      <c r="F274" s="5"/>
      <c r="G274" s="5"/>
      <c r="H274" s="5" t="str">
        <f>IFERROR(__xludf.DUMMYFUNCTION("""COMPUTED_VALUE"""),"60HP")</f>
        <v>60HP</v>
      </c>
      <c r="I274" s="5" t="str">
        <f>IFERROR(__xludf.DUMMYFUNCTION("""COMPUTED_VALUE"""),"Mất số khung")</f>
        <v>Mất số khung</v>
      </c>
      <c r="J274" s="5" t="str">
        <f>IFERROR(__xludf.DUMMYFUNCTION("""COMPUTED_VALUE"""),"115002")</f>
        <v>115002</v>
      </c>
      <c r="K274" s="5">
        <f>IFERROR(__xludf.DUMMYFUNCTION("""COMPUTED_VALUE"""),2.0)</f>
        <v>2</v>
      </c>
      <c r="L274" s="5" t="str">
        <f>IFERROR(__xludf.DUMMYFUNCTION("""COMPUTED_VALUE"""),"KLH")</f>
        <v>KLH</v>
      </c>
    </row>
    <row r="275">
      <c r="A275" s="168" t="str">
        <f>IFERROR(__xludf.DUMMYFUNCTION("""COMPUTED_VALUE"""),"XL3-XTA-004")</f>
        <v>XL3-XTA-004</v>
      </c>
      <c r="B275" s="3" t="str">
        <f>IFERROR(__xludf.DUMMYFUNCTION("""COMPUTED_VALUE"""),"Xe ben Forland FD990-4WDXTH4-5T")</f>
        <v>Xe ben Forland FD990-4WDXTH4-5T</v>
      </c>
      <c r="C275" s="5" t="str">
        <f>IFERROR(__xludf.DUMMYFUNCTION("""COMPUTED_VALUE"""),"XN Chuối LP3")</f>
        <v>XN Chuối LP3</v>
      </c>
      <c r="D275" s="5" t="str">
        <f>IFERROR(__xludf.DUMMYFUNCTION("""COMPUTED_VALUE"""),"THACO FORLAND")</f>
        <v>THACO FORLAND</v>
      </c>
      <c r="E275" s="5" t="str">
        <f>IFERROR(__xludf.DUMMYFUNCTION("""COMPUTED_VALUE"""),"VIỆT NAM")</f>
        <v>VIỆT NAM</v>
      </c>
      <c r="F275" s="5">
        <f>IFERROR(__xludf.DUMMYFUNCTION("""COMPUTED_VALUE"""),2023.0)</f>
        <v>2023</v>
      </c>
      <c r="G275" s="5" t="str">
        <f>IFERROR(__xludf.DUMMYFUNCTION("""COMPUTED_VALUE""")," FD990-4WD")</f>
        <v> FD990-4WD</v>
      </c>
      <c r="H275" s="5" t="str">
        <f>IFERROR(__xludf.DUMMYFUNCTION("""COMPUTED_VALUE"""),"100HP")</f>
        <v>100HP</v>
      </c>
      <c r="I275" s="5" t="str">
        <f>IFERROR(__xludf.DUMMYFUNCTION("""COMPUTED_VALUE"""),"RNHF99FACPT075130")</f>
        <v>RNHF99FACPT075130</v>
      </c>
      <c r="J275" s="5" t="str">
        <f>IFERROR(__xludf.DUMMYFUNCTION("""COMPUTED_VALUE"""),"4DW9395E4B0575115")</f>
        <v>4DW9395E4B0575115</v>
      </c>
      <c r="K275" s="5">
        <f>IFERROR(__xludf.DUMMYFUNCTION("""COMPUTED_VALUE"""),3.0)</f>
        <v>3</v>
      </c>
      <c r="L275" s="5" t="str">
        <f>IFERROR(__xludf.DUMMYFUNCTION("""COMPUTED_VALUE"""),"KLH")</f>
        <v>KLH</v>
      </c>
    </row>
    <row r="276">
      <c r="A276" s="168" t="str">
        <f>IFERROR(__xludf.DUMMYFUNCTION("""COMPUTED_VALUE"""),"XL3-XTA-005")</f>
        <v>XL3-XTA-005</v>
      </c>
      <c r="B276" s="3" t="str">
        <f>IFERROR(__xludf.DUMMYFUNCTION("""COMPUTED_VALUE"""),"Xe ben Forland FD990-4WDXTH4-5T")</f>
        <v>Xe ben Forland FD990-4WDXTH4-5T</v>
      </c>
      <c r="C276" s="5" t="str">
        <f>IFERROR(__xludf.DUMMYFUNCTION("""COMPUTED_VALUE"""),"XN Chuối LP3")</f>
        <v>XN Chuối LP3</v>
      </c>
      <c r="D276" s="5" t="str">
        <f>IFERROR(__xludf.DUMMYFUNCTION("""COMPUTED_VALUE"""),"THACO FORLAND")</f>
        <v>THACO FORLAND</v>
      </c>
      <c r="E276" s="5" t="str">
        <f>IFERROR(__xludf.DUMMYFUNCTION("""COMPUTED_VALUE"""),"VIỆT NAM")</f>
        <v>VIỆT NAM</v>
      </c>
      <c r="F276" s="5">
        <f>IFERROR(__xludf.DUMMYFUNCTION("""COMPUTED_VALUE"""),2023.0)</f>
        <v>2023</v>
      </c>
      <c r="G276" s="5" t="str">
        <f>IFERROR(__xludf.DUMMYFUNCTION("""COMPUTED_VALUE""")," FD990-4WD")</f>
        <v> FD990-4WD</v>
      </c>
      <c r="H276" s="5" t="str">
        <f>IFERROR(__xludf.DUMMYFUNCTION("""COMPUTED_VALUE"""),"100HP")</f>
        <v>100HP</v>
      </c>
      <c r="I276" s="5" t="str">
        <f>IFERROR(__xludf.DUMMYFUNCTION("""COMPUTED_VALUE"""),"RNHF99FACPT076907")</f>
        <v>RNHF99FACPT076907</v>
      </c>
      <c r="J276" s="5" t="str">
        <f>IFERROR(__xludf.DUMMYFUNCTION("""COMPUTED_VALUE"""),"4DW9395E4B0576687")</f>
        <v>4DW9395E4B0576687</v>
      </c>
      <c r="K276" s="5">
        <f>IFERROR(__xludf.DUMMYFUNCTION("""COMPUTED_VALUE"""),0.33)</f>
        <v>0.33</v>
      </c>
      <c r="L276" s="5" t="str">
        <f>IFERROR(__xludf.DUMMYFUNCTION("""COMPUTED_VALUE"""),"KLH")</f>
        <v>KLH</v>
      </c>
    </row>
    <row r="277">
      <c r="A277" s="168" t="str">
        <f>IFERROR(__xludf.DUMMYFUNCTION("""COMPUTED_VALUE"""),"XL3-XTA-008")</f>
        <v>XL3-XTA-008</v>
      </c>
      <c r="B277" s="3" t="str">
        <f>IFERROR(__xludf.DUMMYFUNCTION("""COMPUTED_VALUE"""),"Xe ben Forland FD990-4WDXTH4-5T")</f>
        <v>Xe ben Forland FD990-4WDXTH4-5T</v>
      </c>
      <c r="C277" s="5" t="str">
        <f>IFERROR(__xludf.DUMMYFUNCTION("""COMPUTED_VALUE"""),"XN Chuối LP3")</f>
        <v>XN Chuối LP3</v>
      </c>
      <c r="D277" s="5" t="str">
        <f>IFERROR(__xludf.DUMMYFUNCTION("""COMPUTED_VALUE"""),"THACO FORLAND")</f>
        <v>THACO FORLAND</v>
      </c>
      <c r="E277" s="5" t="str">
        <f>IFERROR(__xludf.DUMMYFUNCTION("""COMPUTED_VALUE"""),"VIỆT NAM")</f>
        <v>VIỆT NAM</v>
      </c>
      <c r="F277" s="5">
        <f>IFERROR(__xludf.DUMMYFUNCTION("""COMPUTED_VALUE"""),2023.0)</f>
        <v>2023</v>
      </c>
      <c r="G277" s="5" t="str">
        <f>IFERROR(__xludf.DUMMYFUNCTION("""COMPUTED_VALUE""")," FD990-4WD")</f>
        <v> FD990-4WD</v>
      </c>
      <c r="H277" s="5" t="str">
        <f>IFERROR(__xludf.DUMMYFUNCTION("""COMPUTED_VALUE"""),"100HP")</f>
        <v>100HP</v>
      </c>
      <c r="I277" s="5" t="str">
        <f>IFERROR(__xludf.DUMMYFUNCTION("""COMPUTED_VALUE"""),"RNHF99FACNT055633")</f>
        <v>RNHF99FACNT055633</v>
      </c>
      <c r="J277" s="5" t="str">
        <f>IFERROR(__xludf.DUMMYFUNCTION("""COMPUTED_VALUE"""),"4DW9395E4B0530476")</f>
        <v>4DW9395E4B0530476</v>
      </c>
      <c r="K277" s="5">
        <f>IFERROR(__xludf.DUMMYFUNCTION("""COMPUTED_VALUE"""),0.33)</f>
        <v>0.33</v>
      </c>
      <c r="L277" s="5" t="str">
        <f>IFERROR(__xludf.DUMMYFUNCTION("""COMPUTED_VALUE"""),"KLH")</f>
        <v>KLH</v>
      </c>
    </row>
    <row r="278">
      <c r="A278" s="168" t="str">
        <f>IFERROR(__xludf.DUMMYFUNCTION("""COMPUTED_VALUE"""),"XL3-XTA-010")</f>
        <v>XL3-XTA-010</v>
      </c>
      <c r="B278" s="3" t="str">
        <f>IFERROR(__xludf.DUMMYFUNCTION("""COMPUTED_VALUE"""),"Xe ben Forland FD990-4WDXTH4-5T")</f>
        <v>Xe ben Forland FD990-4WDXTH4-5T</v>
      </c>
      <c r="C278" s="5" t="str">
        <f>IFERROR(__xludf.DUMMYFUNCTION("""COMPUTED_VALUE"""),"XN Chuối LP3")</f>
        <v>XN Chuối LP3</v>
      </c>
      <c r="D278" s="5" t="str">
        <f>IFERROR(__xludf.DUMMYFUNCTION("""COMPUTED_VALUE"""),"THACO FORLAND")</f>
        <v>THACO FORLAND</v>
      </c>
      <c r="E278" s="5" t="str">
        <f>IFERROR(__xludf.DUMMYFUNCTION("""COMPUTED_VALUE"""),"VIỆT NAM")</f>
        <v>VIỆT NAM</v>
      </c>
      <c r="F278" s="5">
        <f>IFERROR(__xludf.DUMMYFUNCTION("""COMPUTED_VALUE"""),2024.0)</f>
        <v>2024</v>
      </c>
      <c r="G278" s="5" t="str">
        <f>IFERROR(__xludf.DUMMYFUNCTION("""COMPUTED_VALUE""")," FD990-4WD")</f>
        <v> FD990-4WD</v>
      </c>
      <c r="H278" s="5" t="str">
        <f>IFERROR(__xludf.DUMMYFUNCTION("""COMPUTED_VALUE"""),"94HP")</f>
        <v>94HP</v>
      </c>
      <c r="I278" s="5" t="str">
        <f>IFERROR(__xludf.DUMMYFUNCTION("""COMPUTED_VALUE"""),"RNHF99FACRT092726")</f>
        <v>RNHF99FACRT092726</v>
      </c>
      <c r="J278" s="5" t="str">
        <f>IFERROR(__xludf.DUMMYFUNCTION("""COMPUTED_VALUE"""),"B0577285")</f>
        <v>B0577285</v>
      </c>
      <c r="K278" s="5">
        <f>IFERROR(__xludf.DUMMYFUNCTION("""COMPUTED_VALUE"""),0.33)</f>
        <v>0.33</v>
      </c>
      <c r="L278" s="5" t="str">
        <f>IFERROR(__xludf.DUMMYFUNCTION("""COMPUTED_VALUE"""),"KLH")</f>
        <v>KLH</v>
      </c>
    </row>
    <row r="279">
      <c r="A279" s="168" t="str">
        <f>IFERROR(__xludf.DUMMYFUNCTION("""COMPUTED_VALUE"""),"XL3-XTA-011")</f>
        <v>XL3-XTA-011</v>
      </c>
      <c r="B279" s="3" t="str">
        <f>IFERROR(__xludf.DUMMYFUNCTION("""COMPUTED_VALUE"""),"Xe tải THACO FRONTIER TF490")</f>
        <v>Xe tải THACO FRONTIER TF490</v>
      </c>
      <c r="C279" s="5" t="str">
        <f>IFERROR(__xludf.DUMMYFUNCTION("""COMPUTED_VALUE"""),"XN Chuối LP3")</f>
        <v>XN Chuối LP3</v>
      </c>
      <c r="D279" s="5" t="str">
        <f>IFERROR(__xludf.DUMMYFUNCTION("""COMPUTED_VALUE"""),"THACO FRONTIER")</f>
        <v>THACO FRONTIER</v>
      </c>
      <c r="E279" s="5" t="str">
        <f>IFERROR(__xludf.DUMMYFUNCTION("""COMPUTED_VALUE"""),"VIỆT NAM")</f>
        <v>VIỆT NAM</v>
      </c>
      <c r="F279" s="5">
        <f>IFERROR(__xludf.DUMMYFUNCTION("""COMPUTED_VALUE"""),2024.0)</f>
        <v>2024</v>
      </c>
      <c r="G279" s="5" t="str">
        <f>IFERROR(__xludf.DUMMYFUNCTION("""COMPUTED_VALUE"""),"TF490")</f>
        <v>TF490</v>
      </c>
      <c r="H279" s="5" t="str">
        <f>IFERROR(__xludf.DUMMYFUNCTION("""COMPUTED_VALUE"""),"107HP")</f>
        <v>107HP</v>
      </c>
      <c r="I279" s="5" t="str">
        <f>IFERROR(__xludf.DUMMYFUNCTION("""COMPUTED_VALUE"""),"RNHA49TZART082920")</f>
        <v>RNHA49TZART082920</v>
      </c>
      <c r="J279" s="5" t="str">
        <f>IFERROR(__xludf.DUMMYFUNCTION("""COMPUTED_VALUE"""),"JE493ZLQ4*37100378*")</f>
        <v>JE493ZLQ4*37100378*</v>
      </c>
      <c r="K279" s="5">
        <f>IFERROR(__xludf.DUMMYFUNCTION("""COMPUTED_VALUE"""),0.2)</f>
        <v>0.2</v>
      </c>
      <c r="L279" s="5" t="str">
        <f>IFERROR(__xludf.DUMMYFUNCTION("""COMPUTED_VALUE"""),"KLH")</f>
        <v>KLH</v>
      </c>
    </row>
    <row r="280">
      <c r="A280" s="168" t="str">
        <f>IFERROR(__xludf.DUMMYFUNCTION("""COMPUTED_VALUE"""),"XL3-XPT-001")</f>
        <v>XL3-XPT-001</v>
      </c>
      <c r="B280" s="3" t="str">
        <f>IFERROR(__xludf.DUMMYFUNCTION("""COMPUTED_VALUE"""),"Xe phun thuốc Faw 15T")</f>
        <v>Xe phun thuốc Faw 15T</v>
      </c>
      <c r="C280" s="5" t="str">
        <f>IFERROR(__xludf.DUMMYFUNCTION("""COMPUTED_VALUE"""),"XN Chuối LP3")</f>
        <v>XN Chuối LP3</v>
      </c>
      <c r="D280" s="5" t="str">
        <f>IFERROR(__xludf.DUMMYFUNCTION("""COMPUTED_VALUE"""),"FAW")</f>
        <v>FAW</v>
      </c>
      <c r="E280" s="5"/>
      <c r="F280" s="5">
        <f>IFERROR(__xludf.DUMMYFUNCTION("""COMPUTED_VALUE"""),2010.0)</f>
        <v>2010</v>
      </c>
      <c r="G280" s="5"/>
      <c r="H280" s="5" t="str">
        <f>IFERROR(__xludf.DUMMYFUNCTION("""COMPUTED_VALUE"""),"15 TẤN")</f>
        <v>15 TẤN</v>
      </c>
      <c r="I280" s="5" t="str">
        <f>IFERROR(__xludf.DUMMYFUNCTION("""COMPUTED_VALUE"""),"9AD16880")</f>
        <v>9AD16880</v>
      </c>
      <c r="J280" s="5" t="str">
        <f>IFERROR(__xludf.DUMMYFUNCTION("""COMPUTED_VALUE"""),"CCN")</f>
        <v>CCN</v>
      </c>
      <c r="K280" s="5">
        <f>IFERROR(__xludf.DUMMYFUNCTION("""COMPUTED_VALUE"""),3.75)</f>
        <v>3.75</v>
      </c>
      <c r="L280" s="5" t="str">
        <f>IFERROR(__xludf.DUMMYFUNCTION("""COMPUTED_VALUE"""),"KLH")</f>
        <v>KLH</v>
      </c>
    </row>
    <row r="281">
      <c r="A281" s="168" t="str">
        <f>IFERROR(__xludf.DUMMYFUNCTION("""COMPUTED_VALUE"""),"XL3-XPT-002")</f>
        <v>XL3-XPT-002</v>
      </c>
      <c r="B281" s="3" t="str">
        <f>IFERROR(__xludf.DUMMYFUNCTION("""COMPUTED_VALUE"""),"Xe phun thuốc HYUNDAI 15T")</f>
        <v>Xe phun thuốc HYUNDAI 15T</v>
      </c>
      <c r="C281" s="5" t="str">
        <f>IFERROR(__xludf.DUMMYFUNCTION("""COMPUTED_VALUE"""),"XN Chuối LP3")</f>
        <v>XN Chuối LP3</v>
      </c>
      <c r="D281" s="5" t="str">
        <f>IFERROR(__xludf.DUMMYFUNCTION("""COMPUTED_VALUE"""),"HYUNDAI")</f>
        <v>HYUNDAI</v>
      </c>
      <c r="E281" s="5" t="str">
        <f>IFERROR(__xludf.DUMMYFUNCTION("""COMPUTED_VALUE"""),"HÀN QUỐC")</f>
        <v>HÀN QUỐC</v>
      </c>
      <c r="F281" s="5"/>
      <c r="G281" s="5"/>
      <c r="H281" s="5"/>
      <c r="I281" s="5" t="str">
        <f>IFERROR(__xludf.DUMMYFUNCTION("""COMPUTED_VALUE"""),"18446")</f>
        <v>18446</v>
      </c>
      <c r="J281" s="5" t="str">
        <f>IFERROR(__xludf.DUMMYFUNCTION("""COMPUTED_VALUE"""),"CCN")</f>
        <v>CCN</v>
      </c>
      <c r="K281" s="5">
        <f>IFERROR(__xludf.DUMMYFUNCTION("""COMPUTED_VALUE"""),3.75)</f>
        <v>3.75</v>
      </c>
      <c r="L281" s="5" t="str">
        <f>IFERROR(__xludf.DUMMYFUNCTION("""COMPUTED_VALUE"""),"KLH")</f>
        <v>KLH</v>
      </c>
    </row>
    <row r="282">
      <c r="A282" s="168" t="str">
        <f>IFERROR(__xludf.DUMMYFUNCTION("""COMPUTED_VALUE"""),"XL3-XNA-001")</f>
        <v>XL3-XNA-001</v>
      </c>
      <c r="B282" s="3" t="str">
        <f>IFERROR(__xludf.DUMMYFUNCTION("""COMPUTED_VALUE"""),"Xe nâng điện 1.5 tấn")</f>
        <v>Xe nâng điện 1.5 tấn</v>
      </c>
      <c r="C282" s="5" t="str">
        <f>IFERROR(__xludf.DUMMYFUNCTION("""COMPUTED_VALUE"""),"XN Chuối LP3")</f>
        <v>XN Chuối LP3</v>
      </c>
      <c r="D282" s="5" t="str">
        <f>IFERROR(__xludf.DUMMYFUNCTION("""COMPUTED_VALUE"""),"KOMATSU")</f>
        <v>KOMATSU</v>
      </c>
      <c r="E282" s="5" t="str">
        <f>IFERROR(__xludf.DUMMYFUNCTION("""COMPUTED_VALUE"""),"NHẬT BẢN")</f>
        <v>NHẬT BẢN</v>
      </c>
      <c r="F282" s="5">
        <f>IFERROR(__xludf.DUMMYFUNCTION("""COMPUTED_VALUE"""),2007.0)</f>
        <v>2007</v>
      </c>
      <c r="G282" s="5" t="str">
        <f>IFERROR(__xludf.DUMMYFUNCTION("""COMPUTED_VALUE"""),"FB15-12")</f>
        <v>FB15-12</v>
      </c>
      <c r="H282" s="5"/>
      <c r="I282" s="5" t="str">
        <f>IFERROR(__xludf.DUMMYFUNCTION("""COMPUTED_VALUE"""),"830261")</f>
        <v>830261</v>
      </c>
      <c r="J282" s="5" t="str">
        <f>IFERROR(__xludf.DUMMYFUNCTION("""COMPUTED_VALUE"""),"2007/2")</f>
        <v>2007/2</v>
      </c>
      <c r="K282" s="5"/>
      <c r="L282" s="5" t="str">
        <f>IFERROR(__xludf.DUMMYFUNCTION("""COMPUTED_VALUE"""),"KLH")</f>
        <v>KLH</v>
      </c>
    </row>
    <row r="283">
      <c r="A283" s="168" t="str">
        <f>IFERROR(__xludf.DUMMYFUNCTION("""COMPUTED_VALUE"""),"XL3-XNA-002")</f>
        <v>XL3-XNA-002</v>
      </c>
      <c r="B283" s="3" t="str">
        <f>IFERROR(__xludf.DUMMYFUNCTION("""COMPUTED_VALUE"""),"Xe nâng điện 1.5 tấn")</f>
        <v>Xe nâng điện 1.5 tấn</v>
      </c>
      <c r="C283" s="5" t="str">
        <f>IFERROR(__xludf.DUMMYFUNCTION("""COMPUTED_VALUE"""),"XN Chuối LP3")</f>
        <v>XN Chuối LP3</v>
      </c>
      <c r="D283" s="5" t="str">
        <f>IFERROR(__xludf.DUMMYFUNCTION("""COMPUTED_VALUE"""),"BYD")</f>
        <v>BYD</v>
      </c>
      <c r="E283" s="5" t="str">
        <f>IFERROR(__xludf.DUMMYFUNCTION("""COMPUTED_VALUE"""),"TRUNG QUỐC")</f>
        <v>TRUNG QUỐC</v>
      </c>
      <c r="F283" s="5">
        <f>IFERROR(__xludf.DUMMYFUNCTION("""COMPUTED_VALUE"""),2019.0)</f>
        <v>2019</v>
      </c>
      <c r="G283" s="5" t="str">
        <f>IFERROR(__xludf.DUMMYFUNCTION("""COMPUTED_VALUE"""),"ECB16S-B")</f>
        <v>ECB16S-B</v>
      </c>
      <c r="H283" s="5"/>
      <c r="I283" s="5" t="str">
        <f>IFERROR(__xludf.DUMMYFUNCTION("""COMPUTED_VALUE"""),"1501190005")</f>
        <v>1501190005</v>
      </c>
      <c r="J283" s="5" t="str">
        <f>IFERROR(__xludf.DUMMYFUNCTION("""COMPUTED_VALUE"""),"TS2510598-2021")</f>
        <v>TS2510598-2021</v>
      </c>
      <c r="K283" s="5"/>
      <c r="L283" s="5" t="str">
        <f>IFERROR(__xludf.DUMMYFUNCTION("""COMPUTED_VALUE"""),"KLH")</f>
        <v>KLH</v>
      </c>
    </row>
    <row r="284">
      <c r="A284" s="168" t="str">
        <f>IFERROR(__xludf.DUMMYFUNCTION("""COMPUTED_VALUE"""),"XL3-XNA-003")</f>
        <v>XL3-XNA-003</v>
      </c>
      <c r="B284" s="3" t="str">
        <f>IFERROR(__xludf.DUMMYFUNCTION("""COMPUTED_VALUE"""),"Xe nâng điện 2.5 tấn")</f>
        <v>Xe nâng điện 2.5 tấn</v>
      </c>
      <c r="C284" s="5" t="str">
        <f>IFERROR(__xludf.DUMMYFUNCTION("""COMPUTED_VALUE"""),"XN Chuối LP3")</f>
        <v>XN Chuối LP3</v>
      </c>
      <c r="D284" s="5" t="str">
        <f>IFERROR(__xludf.DUMMYFUNCTION("""COMPUTED_VALUE"""),"LOVOL")</f>
        <v>LOVOL</v>
      </c>
      <c r="E284" s="5" t="str">
        <f>IFERROR(__xludf.DUMMYFUNCTION("""COMPUTED_VALUE"""),"TRUNG QUỐC")</f>
        <v>TRUNG QUỐC</v>
      </c>
      <c r="F284" s="5">
        <f>IFERROR(__xludf.DUMMYFUNCTION("""COMPUTED_VALUE"""),2026.0)</f>
        <v>2026</v>
      </c>
      <c r="G284" s="5" t="str">
        <f>IFERROR(__xludf.DUMMYFUNCTION("""COMPUTED_VALUE"""),"FF25E")</f>
        <v>FF25E</v>
      </c>
      <c r="H284" s="5" t="str">
        <f>IFERROR(__xludf.DUMMYFUNCTION("""COMPUTED_VALUE"""),"13,68 HP")</f>
        <v>13,68 HP</v>
      </c>
      <c r="I284" s="5" t="str">
        <f>IFERROR(__xludf.DUMMYFUNCTION("""COMPUTED_VALUE"""),"C31293R50030")</f>
        <v>C31293R50030</v>
      </c>
      <c r="J284" s="5"/>
      <c r="K284" s="5"/>
      <c r="L284" s="5" t="str">
        <f>IFERROR(__xludf.DUMMYFUNCTION("""COMPUTED_VALUE"""),"KLH")</f>
        <v>KLH</v>
      </c>
    </row>
    <row r="285">
      <c r="A285" s="168" t="str">
        <f>IFERROR(__xludf.DUMMYFUNCTION("""COMPUTED_VALUE"""),"XL3-CLT-001")</f>
        <v>XL3-CLT-001</v>
      </c>
      <c r="B285" s="3" t="str">
        <f>IFERROR(__xludf.DUMMYFUNCTION("""COMPUTED_VALUE"""),"Xe clethon")</f>
        <v>Xe clethon</v>
      </c>
      <c r="C285" s="5" t="str">
        <f>IFERROR(__xludf.DUMMYFUNCTION("""COMPUTED_VALUE"""),"XN Chuối LP3")</f>
        <v>XN Chuối LP3</v>
      </c>
      <c r="D285" s="5" t="str">
        <f>IFERROR(__xludf.DUMMYFUNCTION("""COMPUTED_VALUE"""),"YANMAR")</f>
        <v>YANMAR</v>
      </c>
      <c r="E285" s="5" t="str">
        <f>IFERROR(__xludf.DUMMYFUNCTION("""COMPUTED_VALUE"""),"INDONESIA")</f>
        <v>INDONESIA</v>
      </c>
      <c r="F285" s="5">
        <f>IFERROR(__xludf.DUMMYFUNCTION("""COMPUTED_VALUE"""),2022.0)</f>
        <v>2022</v>
      </c>
      <c r="G285" s="5" t="str">
        <f>IFERROR(__xludf.DUMMYFUNCTION("""COMPUTED_VALUE"""),"TF150NL-PR2")</f>
        <v>TF150NL-PR2</v>
      </c>
      <c r="H285" s="5" t="str">
        <f>IFERROR(__xludf.DUMMYFUNCTION("""COMPUTED_VALUE"""),"15HP")</f>
        <v>15HP</v>
      </c>
      <c r="I285" s="5" t="str">
        <f>IFERROR(__xludf.DUMMYFUNCTION("""COMPUTED_VALUE"""),"203063")</f>
        <v>203063</v>
      </c>
      <c r="J285" s="5" t="str">
        <f>IFERROR(__xludf.DUMMYFUNCTION("""COMPUTED_VALUE"""),"B2165L")</f>
        <v>B2165L</v>
      </c>
      <c r="K285" s="5">
        <f>IFERROR(__xludf.DUMMYFUNCTION("""COMPUTED_VALUE"""),0.5)</f>
        <v>0.5</v>
      </c>
      <c r="L285" s="5" t="str">
        <f>IFERROR(__xludf.DUMMYFUNCTION("""COMPUTED_VALUE"""),"KLH")</f>
        <v>KLH</v>
      </c>
    </row>
    <row r="286">
      <c r="A286" s="168" t="str">
        <f>IFERROR(__xludf.DUMMYFUNCTION("""COMPUTED_VALUE"""),"XL3-CLT-002")</f>
        <v>XL3-CLT-002</v>
      </c>
      <c r="B286" s="3" t="str">
        <f>IFERROR(__xludf.DUMMYFUNCTION("""COMPUTED_VALUE"""),"Xe clethon")</f>
        <v>Xe clethon</v>
      </c>
      <c r="C286" s="5" t="str">
        <f>IFERROR(__xludf.DUMMYFUNCTION("""COMPUTED_VALUE"""),"XN Chuối LP3")</f>
        <v>XN Chuối LP3</v>
      </c>
      <c r="D286" s="5" t="str">
        <f>IFERROR(__xludf.DUMMYFUNCTION("""COMPUTED_VALUE"""),"YANMAR")</f>
        <v>YANMAR</v>
      </c>
      <c r="E286" s="5" t="str">
        <f>IFERROR(__xludf.DUMMYFUNCTION("""COMPUTED_VALUE"""),"INDONESIA")</f>
        <v>INDONESIA</v>
      </c>
      <c r="F286" s="5">
        <f>IFERROR(__xludf.DUMMYFUNCTION("""COMPUTED_VALUE"""),2022.0)</f>
        <v>2022</v>
      </c>
      <c r="G286" s="5" t="str">
        <f>IFERROR(__xludf.DUMMYFUNCTION("""COMPUTED_VALUE"""),"TF150NL-PR2")</f>
        <v>TF150NL-PR2</v>
      </c>
      <c r="H286" s="5" t="str">
        <f>IFERROR(__xludf.DUMMYFUNCTION("""COMPUTED_VALUE"""),"15HP")</f>
        <v>15HP</v>
      </c>
      <c r="I286" s="5" t="str">
        <f>IFERROR(__xludf.DUMMYFUNCTION("""COMPUTED_VALUE"""),"203064")</f>
        <v>203064</v>
      </c>
      <c r="J286" s="5" t="str">
        <f>IFERROR(__xludf.DUMMYFUNCTION("""COMPUTED_VALUE"""),"B0516M")</f>
        <v>B0516M</v>
      </c>
      <c r="K286" s="5">
        <f>IFERROR(__xludf.DUMMYFUNCTION("""COMPUTED_VALUE"""),0.5)</f>
        <v>0.5</v>
      </c>
      <c r="L286" s="5" t="str">
        <f>IFERROR(__xludf.DUMMYFUNCTION("""COMPUTED_VALUE"""),"KLH")</f>
        <v>KLH</v>
      </c>
    </row>
    <row r="287">
      <c r="A287" s="168" t="str">
        <f>IFERROR(__xludf.DUMMYFUNCTION("""COMPUTED_VALUE"""),"XL3-CLT-003")</f>
        <v>XL3-CLT-003</v>
      </c>
      <c r="B287" s="3" t="str">
        <f>IFERROR(__xludf.DUMMYFUNCTION("""COMPUTED_VALUE"""),"Xe clethon")</f>
        <v>Xe clethon</v>
      </c>
      <c r="C287" s="5" t="str">
        <f>IFERROR(__xludf.DUMMYFUNCTION("""COMPUTED_VALUE"""),"XN Chuối LP3")</f>
        <v>XN Chuối LP3</v>
      </c>
      <c r="D287" s="5" t="str">
        <f>IFERROR(__xludf.DUMMYFUNCTION("""COMPUTED_VALUE"""),"YANMAR")</f>
        <v>YANMAR</v>
      </c>
      <c r="E287" s="5" t="str">
        <f>IFERROR(__xludf.DUMMYFUNCTION("""COMPUTED_VALUE"""),"INDONESIA")</f>
        <v>INDONESIA</v>
      </c>
      <c r="F287" s="5">
        <f>IFERROR(__xludf.DUMMYFUNCTION("""COMPUTED_VALUE"""),2022.0)</f>
        <v>2022</v>
      </c>
      <c r="G287" s="5" t="str">
        <f>IFERROR(__xludf.DUMMYFUNCTION("""COMPUTED_VALUE"""),"TF150NL-PR2")</f>
        <v>TF150NL-PR2</v>
      </c>
      <c r="H287" s="5" t="str">
        <f>IFERROR(__xludf.DUMMYFUNCTION("""COMPUTED_VALUE"""),"15HP")</f>
        <v>15HP</v>
      </c>
      <c r="I287" s="5" t="str">
        <f>IFERROR(__xludf.DUMMYFUNCTION("""COMPUTED_VALUE"""),"203067")</f>
        <v>203067</v>
      </c>
      <c r="J287" s="5" t="str">
        <f>IFERROR(__xludf.DUMMYFUNCTION("""COMPUTED_VALUE"""),"B0502M")</f>
        <v>B0502M</v>
      </c>
      <c r="K287" s="5">
        <f>IFERROR(__xludf.DUMMYFUNCTION("""COMPUTED_VALUE"""),0.5)</f>
        <v>0.5</v>
      </c>
      <c r="L287" s="5" t="str">
        <f>IFERROR(__xludf.DUMMYFUNCTION("""COMPUTED_VALUE"""),"KLH")</f>
        <v>KLH</v>
      </c>
    </row>
    <row r="288">
      <c r="A288" s="168" t="str">
        <f>IFERROR(__xludf.DUMMYFUNCTION("""COMPUTED_VALUE"""),"XL3-CLT-004")</f>
        <v>XL3-CLT-004</v>
      </c>
      <c r="B288" s="3" t="str">
        <f>IFERROR(__xludf.DUMMYFUNCTION("""COMPUTED_VALUE"""),"Xe clethon")</f>
        <v>Xe clethon</v>
      </c>
      <c r="C288" s="5" t="str">
        <f>IFERROR(__xludf.DUMMYFUNCTION("""COMPUTED_VALUE"""),"XN Chuối LP3")</f>
        <v>XN Chuối LP3</v>
      </c>
      <c r="D288" s="5" t="str">
        <f>IFERROR(__xludf.DUMMYFUNCTION("""COMPUTED_VALUE"""),"YANMAR")</f>
        <v>YANMAR</v>
      </c>
      <c r="E288" s="5" t="str">
        <f>IFERROR(__xludf.DUMMYFUNCTION("""COMPUTED_VALUE"""),"INDONESIA")</f>
        <v>INDONESIA</v>
      </c>
      <c r="F288" s="5">
        <f>IFERROR(__xludf.DUMMYFUNCTION("""COMPUTED_VALUE"""),2022.0)</f>
        <v>2022</v>
      </c>
      <c r="G288" s="5" t="str">
        <f>IFERROR(__xludf.DUMMYFUNCTION("""COMPUTED_VALUE"""),"TF150NL-PR2")</f>
        <v>TF150NL-PR2</v>
      </c>
      <c r="H288" s="5" t="str">
        <f>IFERROR(__xludf.DUMMYFUNCTION("""COMPUTED_VALUE"""),"15HP")</f>
        <v>15HP</v>
      </c>
      <c r="I288" s="5" t="str">
        <f>IFERROR(__xludf.DUMMYFUNCTION("""COMPUTED_VALUE"""),"203073")</f>
        <v>203073</v>
      </c>
      <c r="J288" s="5" t="str">
        <f>IFERROR(__xludf.DUMMYFUNCTION("""COMPUTED_VALUE"""),"B2165L")</f>
        <v>B2165L</v>
      </c>
      <c r="K288" s="5">
        <f>IFERROR(__xludf.DUMMYFUNCTION("""COMPUTED_VALUE"""),0.5)</f>
        <v>0.5</v>
      </c>
      <c r="L288" s="5" t="str">
        <f>IFERROR(__xludf.DUMMYFUNCTION("""COMPUTED_VALUE"""),"KLH")</f>
        <v>KLH</v>
      </c>
    </row>
    <row r="289">
      <c r="A289" s="168" t="str">
        <f>IFERROR(__xludf.DUMMYFUNCTION("""COMPUTED_VALUE"""),"XL3-CLT-005")</f>
        <v>XL3-CLT-005</v>
      </c>
      <c r="B289" s="3" t="str">
        <f>IFERROR(__xludf.DUMMYFUNCTION("""COMPUTED_VALUE"""),"Xe clethon")</f>
        <v>Xe clethon</v>
      </c>
      <c r="C289" s="5" t="str">
        <f>IFERROR(__xludf.DUMMYFUNCTION("""COMPUTED_VALUE"""),"XN Chuối LP3")</f>
        <v>XN Chuối LP3</v>
      </c>
      <c r="D289" s="5" t="str">
        <f>IFERROR(__xludf.DUMMYFUNCTION("""COMPUTED_VALUE"""),"YANMAR")</f>
        <v>YANMAR</v>
      </c>
      <c r="E289" s="5" t="str">
        <f>IFERROR(__xludf.DUMMYFUNCTION("""COMPUTED_VALUE"""),"INDONESIA")</f>
        <v>INDONESIA</v>
      </c>
      <c r="F289" s="5">
        <f>IFERROR(__xludf.DUMMYFUNCTION("""COMPUTED_VALUE"""),2022.0)</f>
        <v>2022</v>
      </c>
      <c r="G289" s="5" t="str">
        <f>IFERROR(__xludf.DUMMYFUNCTION("""COMPUTED_VALUE"""),"TF150NL-PR2")</f>
        <v>TF150NL-PR2</v>
      </c>
      <c r="H289" s="5" t="str">
        <f>IFERROR(__xludf.DUMMYFUNCTION("""COMPUTED_VALUE"""),"15HP")</f>
        <v>15HP</v>
      </c>
      <c r="I289" s="5" t="str">
        <f>IFERROR(__xludf.DUMMYFUNCTION("""COMPUTED_VALUE"""),"203077")</f>
        <v>203077</v>
      </c>
      <c r="J289" s="5" t="str">
        <f>IFERROR(__xludf.DUMMYFUNCTION("""COMPUTED_VALUE"""),"B2103L")</f>
        <v>B2103L</v>
      </c>
      <c r="K289" s="5">
        <f>IFERROR(__xludf.DUMMYFUNCTION("""COMPUTED_VALUE"""),0.5)</f>
        <v>0.5</v>
      </c>
      <c r="L289" s="5" t="str">
        <f>IFERROR(__xludf.DUMMYFUNCTION("""COMPUTED_VALUE"""),"KLH")</f>
        <v>KLH</v>
      </c>
    </row>
    <row r="290">
      <c r="A290" s="168" t="str">
        <f>IFERROR(__xludf.DUMMYFUNCTION("""COMPUTED_VALUE"""),"XL3-MĐQ-001")</f>
        <v>XL3-MĐQ-001</v>
      </c>
      <c r="B290" s="3" t="str">
        <f>IFERROR(__xludf.DUMMYFUNCTION("""COMPUTED_VALUE"""),"Máy cắt cỏ đĩa quay 7.5HP")</f>
        <v>Máy cắt cỏ đĩa quay 7.5HP</v>
      </c>
      <c r="C290" s="5" t="str">
        <f>IFERROR(__xludf.DUMMYFUNCTION("""COMPUTED_VALUE"""),"XN Chuối LP3")</f>
        <v>XN Chuối LP3</v>
      </c>
      <c r="D290" s="5" t="str">
        <f>IFERROR(__xludf.DUMMYFUNCTION("""COMPUTED_VALUE"""),"YANMAR")</f>
        <v>YANMAR</v>
      </c>
      <c r="E290" s="5" t="str">
        <f>IFERROR(__xludf.DUMMYFUNCTION("""COMPUTED_VALUE"""),"Nhật Bản")</f>
        <v>Nhật Bản</v>
      </c>
      <c r="F290" s="5"/>
      <c r="G290" s="5" t="str">
        <f>IFERROR(__xludf.DUMMYFUNCTION("""COMPUTED_VALUE"""),"YANMAR YC750")</f>
        <v>YANMAR YC750</v>
      </c>
      <c r="H290" s="5" t="str">
        <f>IFERROR(__xludf.DUMMYFUNCTION("""COMPUTED_VALUE"""),"7.5HP")</f>
        <v>7.5HP</v>
      </c>
      <c r="I290" s="5" t="str">
        <f>IFERROR(__xludf.DUMMYFUNCTION("""COMPUTED_VALUE"""),"31252")</f>
        <v>31252</v>
      </c>
      <c r="J290" s="5" t="str">
        <f>IFERROR(__xludf.DUMMYFUNCTION("""COMPUTED_VALUE"""),"13422")</f>
        <v>13422</v>
      </c>
      <c r="K290" s="5">
        <f>IFERROR(__xludf.DUMMYFUNCTION("""COMPUTED_VALUE"""),2.3)</f>
        <v>2.3</v>
      </c>
      <c r="L290" s="5" t="str">
        <f>IFERROR(__xludf.DUMMYFUNCTION("""COMPUTED_VALUE"""),"KLH")</f>
        <v>KLH</v>
      </c>
    </row>
    <row r="291">
      <c r="A291" s="168" t="str">
        <f>IFERROR(__xludf.DUMMYFUNCTION("""COMPUTED_VALUE"""),"XL3-RBX-001")</f>
        <v>XL3-RBX-001</v>
      </c>
      <c r="B291" s="3" t="str">
        <f>IFERROR(__xludf.DUMMYFUNCTION("""COMPUTED_VALUE"""),"Xe rùa bánh xích HỒNG HÀ")</f>
        <v>Xe rùa bánh xích HỒNG HÀ</v>
      </c>
      <c r="C291" s="5" t="str">
        <f>IFERROR(__xludf.DUMMYFUNCTION("""COMPUTED_VALUE"""),"XN Chuối LP3")</f>
        <v>XN Chuối LP3</v>
      </c>
      <c r="D291" s="5" t="str">
        <f>IFERROR(__xludf.DUMMYFUNCTION("""COMPUTED_VALUE"""),"HỒNG HÀ")</f>
        <v>HỒNG HÀ</v>
      </c>
      <c r="E291" s="5" t="str">
        <f>IFERROR(__xludf.DUMMYFUNCTION("""COMPUTED_VALUE"""),"VIỆT NAM")</f>
        <v>VIỆT NAM</v>
      </c>
      <c r="F291" s="5">
        <f>IFERROR(__xludf.DUMMYFUNCTION("""COMPUTED_VALUE"""),2024.0)</f>
        <v>2024</v>
      </c>
      <c r="G291" s="5" t="str">
        <f>IFERROR(__xludf.DUMMYFUNCTION("""COMPUTED_VALUE"""),"4L6819010 (động cơ diesel)")</f>
        <v>4L6819010 (động cơ diesel)</v>
      </c>
      <c r="H291" s="5" t="str">
        <f>IFERROR(__xludf.DUMMYFUNCTION("""COMPUTED_VALUE"""),"67HP")</f>
        <v>67HP</v>
      </c>
      <c r="I291" s="5" t="str">
        <f>IFERROR(__xludf.DUMMYFUNCTION("""COMPUTED_VALUE"""),"TCYUN54A1JR278360")</f>
        <v>TCYUN54A1JR278360</v>
      </c>
      <c r="J291" s="5" t="str">
        <f>IFERROR(__xludf.DUMMYFUNCTION("""COMPUTED_VALUE"""),"C43101509A")</f>
        <v>C43101509A</v>
      </c>
      <c r="K291" s="5"/>
      <c r="L291" s="5" t="str">
        <f>IFERROR(__xludf.DUMMYFUNCTION("""COMPUTED_VALUE"""),"KLH")</f>
        <v>KLH</v>
      </c>
    </row>
    <row r="292">
      <c r="A292" s="168" t="str">
        <f>IFERROR(__xludf.DUMMYFUNCTION("""COMPUTED_VALUE"""),"XL3-CCD-001")</f>
        <v>XL3-CCD-001</v>
      </c>
      <c r="B292" s="3" t="str">
        <f>IFERROR(__xludf.DUMMYFUNCTION("""COMPUTED_VALUE"""),"Máy cắt cỏ trục băm đa năng")</f>
        <v>Máy cắt cỏ trục băm đa năng</v>
      </c>
      <c r="C292" s="5" t="str">
        <f>IFERROR(__xludf.DUMMYFUNCTION("""COMPUTED_VALUE"""),"XN Chuối LP3")</f>
        <v>XN Chuối LP3</v>
      </c>
      <c r="D292" s="5" t="str">
        <f>IFERROR(__xludf.DUMMYFUNCTION("""COMPUTED_VALUE"""),"ISHIKAWA")</f>
        <v>ISHIKAWA</v>
      </c>
      <c r="E292" s="5" t="str">
        <f>IFERROR(__xludf.DUMMYFUNCTION("""COMPUTED_VALUE"""),"VIỆT NAM")</f>
        <v>VIỆT NAM</v>
      </c>
      <c r="F292" s="5">
        <f>IFERROR(__xludf.DUMMYFUNCTION("""COMPUTED_VALUE"""),2025.0)</f>
        <v>2025</v>
      </c>
      <c r="G292" s="5" t="str">
        <f>IFERROR(__xludf.DUMMYFUNCTION("""COMPUTED_VALUE"""),"TL662")</f>
        <v>TL662</v>
      </c>
      <c r="H292" s="5" t="str">
        <f>IFERROR(__xludf.DUMMYFUNCTION("""COMPUTED_VALUE"""),"10HP")</f>
        <v>10HP</v>
      </c>
      <c r="I292" s="5" t="str">
        <f>IFERROR(__xludf.DUMMYFUNCTION("""COMPUTED_VALUE"""),"TL20250601406")</f>
        <v>TL20250601406</v>
      </c>
      <c r="J292" s="5" t="str">
        <f>IFERROR(__xludf.DUMMYFUNCTION("""COMPUTED_VALUE"""),"GT1000B0042100CD")</f>
        <v>GT1000B0042100CD</v>
      </c>
      <c r="K292" s="5">
        <f>IFERROR(__xludf.DUMMYFUNCTION("""COMPUTED_VALUE"""),1.8)</f>
        <v>1.8</v>
      </c>
      <c r="L292" s="5" t="str">
        <f>IFERROR(__xludf.DUMMYFUNCTION("""COMPUTED_VALUE"""),"KLH")</f>
        <v>KLH</v>
      </c>
    </row>
    <row r="293">
      <c r="A293" s="168" t="str">
        <f>IFERROR(__xludf.DUMMYFUNCTION("""COMPUTED_VALUE"""),"XL3-CCD-002")</f>
        <v>XL3-CCD-002</v>
      </c>
      <c r="B293" s="3" t="str">
        <f>IFERROR(__xludf.DUMMYFUNCTION("""COMPUTED_VALUE"""),"Máy cắt cỏ trục băm đa năng")</f>
        <v>Máy cắt cỏ trục băm đa năng</v>
      </c>
      <c r="C293" s="5" t="str">
        <f>IFERROR(__xludf.DUMMYFUNCTION("""COMPUTED_VALUE"""),"XN Chuối LP3")</f>
        <v>XN Chuối LP3</v>
      </c>
      <c r="D293" s="5" t="str">
        <f>IFERROR(__xludf.DUMMYFUNCTION("""COMPUTED_VALUE"""),"ISHIKAWA")</f>
        <v>ISHIKAWA</v>
      </c>
      <c r="E293" s="5" t="str">
        <f>IFERROR(__xludf.DUMMYFUNCTION("""COMPUTED_VALUE"""),"VIỆT NAM")</f>
        <v>VIỆT NAM</v>
      </c>
      <c r="F293" s="5">
        <f>IFERROR(__xludf.DUMMYFUNCTION("""COMPUTED_VALUE"""),2025.0)</f>
        <v>2025</v>
      </c>
      <c r="G293" s="5" t="str">
        <f>IFERROR(__xludf.DUMMYFUNCTION("""COMPUTED_VALUE"""),"TL662")</f>
        <v>TL662</v>
      </c>
      <c r="H293" s="5" t="str">
        <f>IFERROR(__xludf.DUMMYFUNCTION("""COMPUTED_VALUE"""),"10HP")</f>
        <v>10HP</v>
      </c>
      <c r="I293" s="5" t="str">
        <f>IFERROR(__xludf.DUMMYFUNCTION("""COMPUTED_VALUE"""),"TL202506014010")</f>
        <v>TL202506014010</v>
      </c>
      <c r="J293" s="5" t="str">
        <f>IFERROR(__xludf.DUMMYFUNCTION("""COMPUTED_VALUE"""),"GT1000B0037706CC")</f>
        <v>GT1000B0037706CC</v>
      </c>
      <c r="K293" s="5">
        <f>IFERROR(__xludf.DUMMYFUNCTION("""COMPUTED_VALUE"""),1.8)</f>
        <v>1.8</v>
      </c>
      <c r="L293" s="5" t="str">
        <f>IFERROR(__xludf.DUMMYFUNCTION("""COMPUTED_VALUE"""),"KLH")</f>
        <v>KLH</v>
      </c>
    </row>
    <row r="294">
      <c r="A294" s="168" t="str">
        <f>IFERROR(__xludf.DUMMYFUNCTION("""COMPUTED_VALUE"""),"XL3-CCD-003")</f>
        <v>XL3-CCD-003</v>
      </c>
      <c r="B294" s="3" t="str">
        <f>IFERROR(__xludf.DUMMYFUNCTION("""COMPUTED_VALUE"""),"Máy cắt cỏ trục băm đa năng")</f>
        <v>Máy cắt cỏ trục băm đa năng</v>
      </c>
      <c r="C294" s="5" t="str">
        <f>IFERROR(__xludf.DUMMYFUNCTION("""COMPUTED_VALUE"""),"XN Chuối LP3")</f>
        <v>XN Chuối LP3</v>
      </c>
      <c r="D294" s="5" t="str">
        <f>IFERROR(__xludf.DUMMYFUNCTION("""COMPUTED_VALUE"""),"ISHIKAWA")</f>
        <v>ISHIKAWA</v>
      </c>
      <c r="E294" s="5" t="str">
        <f>IFERROR(__xludf.DUMMYFUNCTION("""COMPUTED_VALUE"""),"VIỆT NAM")</f>
        <v>VIỆT NAM</v>
      </c>
      <c r="F294" s="5">
        <f>IFERROR(__xludf.DUMMYFUNCTION("""COMPUTED_VALUE"""),2025.0)</f>
        <v>2025</v>
      </c>
      <c r="G294" s="5" t="str">
        <f>IFERROR(__xludf.DUMMYFUNCTION("""COMPUTED_VALUE"""),"TL662")</f>
        <v>TL662</v>
      </c>
      <c r="H294" s="5" t="str">
        <f>IFERROR(__xludf.DUMMYFUNCTION("""COMPUTED_VALUE"""),"10HP")</f>
        <v>10HP</v>
      </c>
      <c r="I294" s="5" t="str">
        <f>IFERROR(__xludf.DUMMYFUNCTION("""COMPUTED_VALUE"""),"TL202506014012")</f>
        <v>TL202506014012</v>
      </c>
      <c r="J294" s="5" t="str">
        <f>IFERROR(__xludf.DUMMYFUNCTION("""COMPUTED_VALUE"""),"GT1000B0042101CD")</f>
        <v>GT1000B0042101CD</v>
      </c>
      <c r="K294" s="5">
        <f>IFERROR(__xludf.DUMMYFUNCTION("""COMPUTED_VALUE"""),1.8)</f>
        <v>1.8</v>
      </c>
      <c r="L294" s="5" t="str">
        <f>IFERROR(__xludf.DUMMYFUNCTION("""COMPUTED_VALUE"""),"KLH")</f>
        <v>KLH</v>
      </c>
    </row>
    <row r="295">
      <c r="A295" s="168" t="str">
        <f>IFERROR(__xludf.DUMMYFUNCTION("""COMPUTED_VALUE"""),"XL3-CCD-004")</f>
        <v>XL3-CCD-004</v>
      </c>
      <c r="B295" s="3" t="str">
        <f>IFERROR(__xludf.DUMMYFUNCTION("""COMPUTED_VALUE"""),"Máy cắt cỏ trục băm đa năng")</f>
        <v>Máy cắt cỏ trục băm đa năng</v>
      </c>
      <c r="C295" s="5" t="str">
        <f>IFERROR(__xludf.DUMMYFUNCTION("""COMPUTED_VALUE"""),"XN Chuối LP3")</f>
        <v>XN Chuối LP3</v>
      </c>
      <c r="D295" s="5" t="str">
        <f>IFERROR(__xludf.DUMMYFUNCTION("""COMPUTED_VALUE"""),"ISHIKAWA")</f>
        <v>ISHIKAWA</v>
      </c>
      <c r="E295" s="5" t="str">
        <f>IFERROR(__xludf.DUMMYFUNCTION("""COMPUTED_VALUE"""),"VIỆT NAM")</f>
        <v>VIỆT NAM</v>
      </c>
      <c r="F295" s="5">
        <f>IFERROR(__xludf.DUMMYFUNCTION("""COMPUTED_VALUE"""),2025.0)</f>
        <v>2025</v>
      </c>
      <c r="G295" s="5" t="str">
        <f>IFERROR(__xludf.DUMMYFUNCTION("""COMPUTED_VALUE"""),"TL662")</f>
        <v>TL662</v>
      </c>
      <c r="H295" s="5" t="str">
        <f>IFERROR(__xludf.DUMMYFUNCTION("""COMPUTED_VALUE"""),"10HP")</f>
        <v>10HP</v>
      </c>
      <c r="I295" s="5" t="str">
        <f>IFERROR(__xludf.DUMMYFUNCTION("""COMPUTED_VALUE"""),"TL202506014016")</f>
        <v>TL202506014016</v>
      </c>
      <c r="J295" s="5" t="str">
        <f>IFERROR(__xludf.DUMMYFUNCTION("""COMPUTED_VALUE"""),"GT1000B0042102CD")</f>
        <v>GT1000B0042102CD</v>
      </c>
      <c r="K295" s="5">
        <f>IFERROR(__xludf.DUMMYFUNCTION("""COMPUTED_VALUE"""),1.8)</f>
        <v>1.8</v>
      </c>
      <c r="L295" s="5" t="str">
        <f>IFERROR(__xludf.DUMMYFUNCTION("""COMPUTED_VALUE"""),"KLH")</f>
        <v>KLH</v>
      </c>
    </row>
    <row r="296">
      <c r="A296" s="168" t="str">
        <f>IFERROR(__xludf.DUMMYFUNCTION("""COMPUTED_VALUE"""),"CHT-XLU-005")</f>
        <v>CHT-XLU-005</v>
      </c>
      <c r="B296" s="3" t="str">
        <f>IFERROR(__xludf.DUMMYFUNCTION("""COMPUTED_VALUE"""),"Xe lu rung DYNAPAC 5 tấn")</f>
        <v>Xe lu rung DYNAPAC 5 tấn</v>
      </c>
      <c r="C296" s="5" t="str">
        <f>IFERROR(__xludf.DUMMYFUNCTION("""COMPUTED_VALUE"""),"XN Chuối LP3")</f>
        <v>XN Chuối LP3</v>
      </c>
      <c r="D296" s="5" t="str">
        <f>IFERROR(__xludf.DUMMYFUNCTION("""COMPUTED_VALUE"""),"HITACHI")</f>
        <v>HITACHI</v>
      </c>
      <c r="E296" s="5" t="str">
        <f>IFERROR(__xludf.DUMMYFUNCTION("""COMPUTED_VALUE"""),"NHẬT BẢN")</f>
        <v>NHẬT BẢN</v>
      </c>
      <c r="F296" s="5">
        <f>IFERROR(__xludf.DUMMYFUNCTION("""COMPUTED_VALUE"""),2005.0)</f>
        <v>2005</v>
      </c>
      <c r="G296" s="5" t="str">
        <f>IFERROR(__xludf.DUMMYFUNCTION("""COMPUTED_VALUE"""),"CCC150C-2")</f>
        <v>CCC150C-2</v>
      </c>
      <c r="H296" s="5" t="str">
        <f>IFERROR(__xludf.DUMMYFUNCTION("""COMPUTED_VALUE"""),"16HP")</f>
        <v>16HP</v>
      </c>
      <c r="I296" s="5" t="str">
        <f>IFERROR(__xludf.DUMMYFUNCTION("""COMPUTED_VALUE"""),"HCM8U600A00010287")</f>
        <v>HCM8U600A00010287</v>
      </c>
      <c r="J296" s="5" t="str">
        <f>IFERROR(__xludf.DUMMYFUNCTION("""COMPUTED_VALUE"""),"3LD2 - 453951")</f>
        <v>3LD2 - 453951</v>
      </c>
      <c r="K296" s="5">
        <f>IFERROR(__xludf.DUMMYFUNCTION("""COMPUTED_VALUE"""),2.6)</f>
        <v>2.6</v>
      </c>
      <c r="L296" s="5" t="str">
        <f>IFERROR(__xludf.DUMMYFUNCTION("""COMPUTED_VALUE"""),"KLH")</f>
        <v>KLH</v>
      </c>
    </row>
    <row r="297">
      <c r="A297" s="168" t="str">
        <f>IFERROR(__xludf.DUMMYFUNCTION("""COMPUTED_VALUE"""),"Xí nghiệp Chuối LP4")</f>
        <v>Xí nghiệp Chuối LP4</v>
      </c>
      <c r="B297" s="3"/>
      <c r="C297" s="5"/>
      <c r="D297" s="5"/>
      <c r="E297" s="5"/>
      <c r="F297" s="5"/>
      <c r="G297" s="5"/>
      <c r="H297" s="5"/>
      <c r="I297" s="5"/>
      <c r="J297" s="5"/>
      <c r="K297" s="5"/>
      <c r="L297" s="5" t="str">
        <f>IFERROR(__xludf.DUMMYFUNCTION("""COMPUTED_VALUE"""),"KLH")</f>
        <v>KLH</v>
      </c>
    </row>
    <row r="298">
      <c r="A298" s="168" t="str">
        <f>IFERROR(__xludf.DUMMYFUNCTION("""COMPUTED_VALUE"""),"Xí nghiệp Chuối AD2")</f>
        <v>Xí nghiệp Chuối AD2</v>
      </c>
      <c r="B298" s="3"/>
      <c r="C298" s="5"/>
      <c r="D298" s="5"/>
      <c r="E298" s="5"/>
      <c r="F298" s="5"/>
      <c r="G298" s="5"/>
      <c r="H298" s="5"/>
      <c r="I298" s="5"/>
      <c r="J298" s="5"/>
      <c r="K298" s="5"/>
      <c r="L298" s="5" t="str">
        <f>IFERROR(__xludf.DUMMYFUNCTION("""COMPUTED_VALUE"""),"KLH")</f>
        <v>KLH</v>
      </c>
    </row>
    <row r="299">
      <c r="A299" s="168" t="str">
        <f>IFERROR(__xludf.DUMMYFUNCTION("""COMPUTED_VALUE"""),"Cây ăn trái DP")</f>
        <v>Cây ăn trái DP</v>
      </c>
      <c r="B299" s="3"/>
      <c r="C299" s="5"/>
      <c r="D299" s="5"/>
      <c r="E299" s="5"/>
      <c r="F299" s="5"/>
      <c r="G299" s="5"/>
      <c r="H299" s="5"/>
      <c r="I299" s="5"/>
      <c r="J299" s="5"/>
      <c r="K299" s="5"/>
      <c r="L299" s="5" t="str">
        <f>IFERROR(__xludf.DUMMYFUNCTION("""COMPUTED_VALUE"""),"KLH")</f>
        <v>KLH</v>
      </c>
    </row>
    <row r="300">
      <c r="A300" s="168" t="str">
        <f>IFERROR(__xludf.DUMMYFUNCTION("""COMPUTED_VALUE"""),"XXD-CLT-001")</f>
        <v>XXD-CLT-001</v>
      </c>
      <c r="B300" s="3" t="str">
        <f>IFERROR(__xludf.DUMMYFUNCTION("""COMPUTED_VALUE"""),"Xe clethon")</f>
        <v>Xe clethon</v>
      </c>
      <c r="C300" s="5" t="str">
        <f>IFERROR(__xludf.DUMMYFUNCTION("""COMPUTED_VALUE"""),"Xoài DP")</f>
        <v>Xoài DP</v>
      </c>
      <c r="D300" s="5" t="str">
        <f>IFERROR(__xludf.DUMMYFUNCTION("""COMPUTED_VALUE"""),"CLETHON")</f>
        <v>CLETHON</v>
      </c>
      <c r="E300" s="5" t="str">
        <f>IFERROR(__xludf.DUMMYFUNCTION("""COMPUTED_VALUE"""),"CAMPUCHIA")</f>
        <v>CAMPUCHIA</v>
      </c>
      <c r="F300" s="5"/>
      <c r="G300" s="5"/>
      <c r="H300" s="5" t="str">
        <f>IFERROR(__xludf.DUMMYFUNCTION("""COMPUTED_VALUE"""),"15HP")</f>
        <v>15HP</v>
      </c>
      <c r="I300" s="5" t="str">
        <f>IFERROR(__xludf.DUMMYFUNCTION("""COMPUTED_VALUE"""),"RT140DI-19080197")</f>
        <v>RT140DI-19080197</v>
      </c>
      <c r="J300" s="5" t="str">
        <f>IFERROR(__xludf.DUMMYFUNCTION("""COMPUTED_VALUE"""),"CCN")</f>
        <v>CCN</v>
      </c>
      <c r="K300" s="5">
        <f>IFERROR(__xludf.DUMMYFUNCTION("""COMPUTED_VALUE"""),1.0)</f>
        <v>1</v>
      </c>
      <c r="L300" s="5" t="str">
        <f>IFERROR(__xludf.DUMMYFUNCTION("""COMPUTED_VALUE"""),"KLH")</f>
        <v>KLH</v>
      </c>
    </row>
    <row r="301">
      <c r="A301" s="168" t="str">
        <f>IFERROR(__xludf.DUMMYFUNCTION("""COMPUTED_VALUE"""),"XXD-CLT-002")</f>
        <v>XXD-CLT-002</v>
      </c>
      <c r="B301" s="3" t="str">
        <f>IFERROR(__xludf.DUMMYFUNCTION("""COMPUTED_VALUE"""),"Xe clethon")</f>
        <v>Xe clethon</v>
      </c>
      <c r="C301" s="5" t="str">
        <f>IFERROR(__xludf.DUMMYFUNCTION("""COMPUTED_VALUE"""),"Xoài DP")</f>
        <v>Xoài DP</v>
      </c>
      <c r="D301" s="5" t="str">
        <f>IFERROR(__xludf.DUMMYFUNCTION("""COMPUTED_VALUE"""),"CLETHON")</f>
        <v>CLETHON</v>
      </c>
      <c r="E301" s="5" t="str">
        <f>IFERROR(__xludf.DUMMYFUNCTION("""COMPUTED_VALUE"""),"CAMPUCHIA")</f>
        <v>CAMPUCHIA</v>
      </c>
      <c r="F301" s="5"/>
      <c r="G301" s="5"/>
      <c r="H301" s="5" t="str">
        <f>IFERROR(__xludf.DUMMYFUNCTION("""COMPUTED_VALUE"""),"15HP")</f>
        <v>15HP</v>
      </c>
      <c r="I301" s="5" t="str">
        <f>IFERROR(__xludf.DUMMYFUNCTION("""COMPUTED_VALUE"""),"RT140DI-19011.978")</f>
        <v>RT140DI-19011.978</v>
      </c>
      <c r="J301" s="5" t="str">
        <f>IFERROR(__xludf.DUMMYFUNCTION("""COMPUTED_VALUE"""),"CCN")</f>
        <v>CCN</v>
      </c>
      <c r="K301" s="5">
        <f>IFERROR(__xludf.DUMMYFUNCTION("""COMPUTED_VALUE"""),1.0)</f>
        <v>1</v>
      </c>
      <c r="L301" s="5" t="str">
        <f>IFERROR(__xludf.DUMMYFUNCTION("""COMPUTED_VALUE"""),"KLH")</f>
        <v>KLH</v>
      </c>
    </row>
    <row r="302">
      <c r="A302" s="168" t="str">
        <f>IFERROR(__xludf.DUMMYFUNCTION("""COMPUTED_VALUE"""),"XXD-MKE-001")</f>
        <v>XXD-MKE-001</v>
      </c>
      <c r="B302" s="3" t="str">
        <f>IFERROR(__xludf.DUMMYFUNCTION("""COMPUTED_VALUE"""),"Máy cày KUBOTA L2002DT")</f>
        <v>Máy cày KUBOTA L2002DT</v>
      </c>
      <c r="C302" s="5" t="str">
        <f>IFERROR(__xludf.DUMMYFUNCTION("""COMPUTED_VALUE"""),"Xoài DP")</f>
        <v>Xoài DP</v>
      </c>
      <c r="D302" s="5" t="str">
        <f>IFERROR(__xludf.DUMMYFUNCTION("""COMPUTED_VALUE"""),"KUBOTA")</f>
        <v>KUBOTA</v>
      </c>
      <c r="E302" s="5" t="str">
        <f>IFERROR(__xludf.DUMMYFUNCTION("""COMPUTED_VALUE"""),"NHẬT BẢN")</f>
        <v>NHẬT BẢN</v>
      </c>
      <c r="F302" s="5"/>
      <c r="G302" s="5" t="str">
        <f>IFERROR(__xludf.DUMMYFUNCTION("""COMPUTED_VALUE"""),"L2002DT")</f>
        <v>L2002DT</v>
      </c>
      <c r="H302" s="5" t="str">
        <f>IFERROR(__xludf.DUMMYFUNCTION("""COMPUTED_VALUE"""),"20HP")</f>
        <v>20HP</v>
      </c>
      <c r="I302" s="5" t="str">
        <f>IFERROR(__xludf.DUMMYFUNCTION("""COMPUTED_VALUE"""),"CCN")</f>
        <v>CCN</v>
      </c>
      <c r="J302" s="5" t="str">
        <f>IFERROR(__xludf.DUMMYFUNCTION("""COMPUTED_VALUE"""),"02250")</f>
        <v>02250</v>
      </c>
      <c r="K302" s="5">
        <f>IFERROR(__xludf.DUMMYFUNCTION("""COMPUTED_VALUE"""),2.0)</f>
        <v>2</v>
      </c>
      <c r="L302" s="5" t="str">
        <f>IFERROR(__xludf.DUMMYFUNCTION("""COMPUTED_VALUE"""),"KLH")</f>
        <v>KLH</v>
      </c>
    </row>
    <row r="303">
      <c r="A303" s="168" t="str">
        <f>IFERROR(__xludf.DUMMYFUNCTION("""COMPUTED_VALUE"""),"XXD-MKE-002")</f>
        <v>XXD-MKE-002</v>
      </c>
      <c r="B303" s="3" t="str">
        <f>IFERROR(__xludf.DUMMYFUNCTION("""COMPUTED_VALUE"""),"Máy cày KUBOTA L2002DT")</f>
        <v>Máy cày KUBOTA L2002DT</v>
      </c>
      <c r="C303" s="5" t="str">
        <f>IFERROR(__xludf.DUMMYFUNCTION("""COMPUTED_VALUE"""),"Xoài DP")</f>
        <v>Xoài DP</v>
      </c>
      <c r="D303" s="5" t="str">
        <f>IFERROR(__xludf.DUMMYFUNCTION("""COMPUTED_VALUE"""),"KUBOTA")</f>
        <v>KUBOTA</v>
      </c>
      <c r="E303" s="5" t="str">
        <f>IFERROR(__xludf.DUMMYFUNCTION("""COMPUTED_VALUE"""),"NHẬT BẢN")</f>
        <v>NHẬT BẢN</v>
      </c>
      <c r="F303" s="5"/>
      <c r="G303" s="5" t="str">
        <f>IFERROR(__xludf.DUMMYFUNCTION("""COMPUTED_VALUE"""),"L2002DT")</f>
        <v>L2002DT</v>
      </c>
      <c r="H303" s="5" t="str">
        <f>IFERROR(__xludf.DUMMYFUNCTION("""COMPUTED_VALUE"""),"20HP")</f>
        <v>20HP</v>
      </c>
      <c r="I303" s="5" t="str">
        <f>IFERROR(__xludf.DUMMYFUNCTION("""COMPUTED_VALUE"""),"CCN")</f>
        <v>CCN</v>
      </c>
      <c r="J303" s="5" t="str">
        <f>IFERROR(__xludf.DUMMYFUNCTION("""COMPUTED_VALUE"""),"03315")</f>
        <v>03315</v>
      </c>
      <c r="K303" s="5">
        <f>IFERROR(__xludf.DUMMYFUNCTION("""COMPUTED_VALUE"""),2.0)</f>
        <v>2</v>
      </c>
      <c r="L303" s="5" t="str">
        <f>IFERROR(__xludf.DUMMYFUNCTION("""COMPUTED_VALUE"""),"KLH")</f>
        <v>KLH</v>
      </c>
    </row>
    <row r="304">
      <c r="A304" s="168" t="str">
        <f>IFERROR(__xludf.DUMMYFUNCTION("""COMPUTED_VALUE"""),"Cây ăn trái AD")</f>
        <v>Cây ăn trái AD</v>
      </c>
      <c r="B304" s="3"/>
      <c r="C304" s="5"/>
      <c r="D304" s="5"/>
      <c r="E304" s="5"/>
      <c r="F304" s="5"/>
      <c r="G304" s="5"/>
      <c r="H304" s="5"/>
      <c r="I304" s="5"/>
      <c r="J304" s="5"/>
      <c r="K304" s="5"/>
      <c r="L304" s="5" t="str">
        <f>IFERROR(__xludf.DUMMYFUNCTION("""COMPUTED_VALUE"""),"KLH")</f>
        <v>KLH</v>
      </c>
    </row>
    <row r="305">
      <c r="A305" s="168" t="str">
        <f>IFERROR(__xludf.DUMMYFUNCTION("""COMPUTED_VALUE"""),"XBA-CLT-001")</f>
        <v>XBA-CLT-001</v>
      </c>
      <c r="B305" s="3" t="str">
        <f>IFERROR(__xludf.DUMMYFUNCTION("""COMPUTED_VALUE"""),"Xe clethon")</f>
        <v>Xe clethon</v>
      </c>
      <c r="C305" s="5" t="str">
        <f>IFERROR(__xludf.DUMMYFUNCTION("""COMPUTED_VALUE"""),"BƯỞI AD")</f>
        <v>BƯỞI AD</v>
      </c>
      <c r="D305" s="5" t="str">
        <f>IFERROR(__xludf.DUMMYFUNCTION("""COMPUTED_VALUE"""),"CLETHON")</f>
        <v>CLETHON</v>
      </c>
      <c r="E305" s="5" t="str">
        <f>IFERROR(__xludf.DUMMYFUNCTION("""COMPUTED_VALUE"""),"CAMPUCHIA")</f>
        <v>CAMPUCHIA</v>
      </c>
      <c r="F305" s="5"/>
      <c r="G305" s="5"/>
      <c r="H305" s="5" t="str">
        <f>IFERROR(__xludf.DUMMYFUNCTION("""COMPUTED_VALUE"""),"15HP")</f>
        <v>15HP</v>
      </c>
      <c r="I305" s="5"/>
      <c r="J305" s="5" t="str">
        <f>IFERROR(__xludf.DUMMYFUNCTION("""COMPUTED_VALUE"""),"CCN")</f>
        <v>CCN</v>
      </c>
      <c r="K305" s="5">
        <f>IFERROR(__xludf.DUMMYFUNCTION("""COMPUTED_VALUE"""),0.5)</f>
        <v>0.5</v>
      </c>
      <c r="L305" s="5" t="str">
        <f>IFERROR(__xludf.DUMMYFUNCTION("""COMPUTED_VALUE"""),"KLH")</f>
        <v>KLH</v>
      </c>
    </row>
    <row r="306">
      <c r="A306" s="168" t="str">
        <f>IFERROR(__xludf.DUMMYFUNCTION("""COMPUTED_VALUE"""),"XBA-MKE-002")</f>
        <v>XBA-MKE-002</v>
      </c>
      <c r="B306" s="3" t="str">
        <f>IFERROR(__xludf.DUMMYFUNCTION("""COMPUTED_VALUE"""),"Máy cày KAM50")</f>
        <v>Máy cày KAM50</v>
      </c>
      <c r="C306" s="5" t="str">
        <f>IFERROR(__xludf.DUMMYFUNCTION("""COMPUTED_VALUE"""),"BƯỞI AD")</f>
        <v>BƯỞI AD</v>
      </c>
      <c r="D306" s="5" t="str">
        <f>IFERROR(__xludf.DUMMYFUNCTION("""COMPUTED_VALUE"""),"THACO")</f>
        <v>THACO</v>
      </c>
      <c r="E306" s="5" t="str">
        <f>IFERROR(__xludf.DUMMYFUNCTION("""COMPUTED_VALUE"""),"VIỆT NAM")</f>
        <v>VIỆT NAM</v>
      </c>
      <c r="F306" s="5">
        <f>IFERROR(__xludf.DUMMYFUNCTION("""COMPUTED_VALUE"""),2018.0)</f>
        <v>2018</v>
      </c>
      <c r="G306" s="5" t="str">
        <f>IFERROR(__xludf.DUMMYFUNCTION("""COMPUTED_VALUE"""),"KAM50")</f>
        <v>KAM50</v>
      </c>
      <c r="H306" s="5" t="str">
        <f>IFERROR(__xludf.DUMMYFUNCTION("""COMPUTED_VALUE"""),"50HP")</f>
        <v>50HP</v>
      </c>
      <c r="I306" s="5" t="str">
        <f>IFERROR(__xludf.DUMMYFUNCTION("""COMPUTED_VALUE"""),"C000074")</f>
        <v>C000074</v>
      </c>
      <c r="J306" s="5" t="str">
        <f>IFERROR(__xludf.DUMMYFUNCTION("""COMPUTED_VALUE"""),"180001")</f>
        <v>180001</v>
      </c>
      <c r="K306" s="5">
        <f>IFERROR(__xludf.DUMMYFUNCTION("""COMPUTED_VALUE"""),2.5)</f>
        <v>2.5</v>
      </c>
      <c r="L306" s="5" t="str">
        <f>IFERROR(__xludf.DUMMYFUNCTION("""COMPUTED_VALUE"""),"KLH")</f>
        <v>KLH</v>
      </c>
    </row>
    <row r="307">
      <c r="A307" s="168" t="str">
        <f>IFERROR(__xludf.DUMMYFUNCTION("""COMPUTED_VALUE"""),"XXA-MKE-001")</f>
        <v>XXA-MKE-001</v>
      </c>
      <c r="B307" s="3" t="str">
        <f>IFERROR(__xludf.DUMMYFUNCTION("""COMPUTED_VALUE"""),"Máy cày KUBOTA L2002DT")</f>
        <v>Máy cày KUBOTA L2002DT</v>
      </c>
      <c r="C307" s="5" t="str">
        <f>IFERROR(__xludf.DUMMYFUNCTION("""COMPUTED_VALUE"""),"XOÀI AD")</f>
        <v>XOÀI AD</v>
      </c>
      <c r="D307" s="5" t="str">
        <f>IFERROR(__xludf.DUMMYFUNCTION("""COMPUTED_VALUE"""),"KUBOTA")</f>
        <v>KUBOTA</v>
      </c>
      <c r="E307" s="5" t="str">
        <f>IFERROR(__xludf.DUMMYFUNCTION("""COMPUTED_VALUE"""),"NHẬT BẢN")</f>
        <v>NHẬT BẢN</v>
      </c>
      <c r="F307" s="5"/>
      <c r="G307" s="5" t="str">
        <f>IFERROR(__xludf.DUMMYFUNCTION("""COMPUTED_VALUE"""),"L2002DT")</f>
        <v>L2002DT</v>
      </c>
      <c r="H307" s="5" t="str">
        <f>IFERROR(__xludf.DUMMYFUNCTION("""COMPUTED_VALUE"""),"20HP")</f>
        <v>20HP</v>
      </c>
      <c r="I307" s="5" t="str">
        <f>IFERROR(__xludf.DUMMYFUNCTION("""COMPUTED_VALUE"""),"CCN")</f>
        <v>CCN</v>
      </c>
      <c r="J307" s="5" t="str">
        <f>IFERROR(__xludf.DUMMYFUNCTION("""COMPUTED_VALUE"""),"2216")</f>
        <v>2216</v>
      </c>
      <c r="K307" s="5">
        <f>IFERROR(__xludf.DUMMYFUNCTION("""COMPUTED_VALUE"""),2.5)</f>
        <v>2.5</v>
      </c>
      <c r="L307" s="5" t="str">
        <f>IFERROR(__xludf.DUMMYFUNCTION("""COMPUTED_VALUE"""),"KLH")</f>
        <v>KLH</v>
      </c>
    </row>
    <row r="308">
      <c r="A308" s="168" t="str">
        <f>IFERROR(__xludf.DUMMYFUNCTION("""COMPUTED_VALUE"""),"XXA-MKE-002")</f>
        <v>XXA-MKE-002</v>
      </c>
      <c r="B308" s="3" t="str">
        <f>IFERROR(__xludf.DUMMYFUNCTION("""COMPUTED_VALUE"""),"Máy cày KAM50")</f>
        <v>Máy cày KAM50</v>
      </c>
      <c r="C308" s="5" t="str">
        <f>IFERROR(__xludf.DUMMYFUNCTION("""COMPUTED_VALUE"""),"XOÀI AD")</f>
        <v>XOÀI AD</v>
      </c>
      <c r="D308" s="5" t="str">
        <f>IFERROR(__xludf.DUMMYFUNCTION("""COMPUTED_VALUE"""),"THACO ")</f>
        <v>THACO </v>
      </c>
      <c r="E308" s="5" t="str">
        <f>IFERROR(__xludf.DUMMYFUNCTION("""COMPUTED_VALUE"""),"VIỆT NAM")</f>
        <v>VIỆT NAM</v>
      </c>
      <c r="F308" s="5">
        <f>IFERROR(__xludf.DUMMYFUNCTION("""COMPUTED_VALUE"""),2012.0)</f>
        <v>2012</v>
      </c>
      <c r="G308" s="5" t="str">
        <f>IFERROR(__xludf.DUMMYFUNCTION("""COMPUTED_VALUE"""),"KAM50")</f>
        <v>KAM50</v>
      </c>
      <c r="H308" s="5" t="str">
        <f>IFERROR(__xludf.DUMMYFUNCTION("""COMPUTED_VALUE"""),"50HP")</f>
        <v>50HP</v>
      </c>
      <c r="I308" s="5" t="str">
        <f>IFERROR(__xludf.DUMMYFUNCTION("""COMPUTED_VALUE"""),"C000082")</f>
        <v>C000082</v>
      </c>
      <c r="J308" s="5" t="str">
        <f>IFERROR(__xludf.DUMMYFUNCTION("""COMPUTED_VALUE"""),"CCN")</f>
        <v>CCN</v>
      </c>
      <c r="K308" s="5">
        <f>IFERROR(__xludf.DUMMYFUNCTION("""COMPUTED_VALUE"""),3.3)</f>
        <v>3.3</v>
      </c>
      <c r="L308" s="5" t="str">
        <f>IFERROR(__xludf.DUMMYFUNCTION("""COMPUTED_VALUE"""),"KLH")</f>
        <v>KLH</v>
      </c>
    </row>
    <row r="309">
      <c r="A309" s="168" t="str">
        <f>IFERROR(__xludf.DUMMYFUNCTION("""COMPUTED_VALUE"""),"XXA-MKE-003")</f>
        <v>XXA-MKE-003</v>
      </c>
      <c r="B309" s="3" t="str">
        <f>IFERROR(__xludf.DUMMYFUNCTION("""COMPUTED_VALUE"""),"Máy cày M6040")</f>
        <v>Máy cày M6040</v>
      </c>
      <c r="C309" s="5" t="str">
        <f>IFERROR(__xludf.DUMMYFUNCTION("""COMPUTED_VALUE"""),"XOÀI AD")</f>
        <v>XOÀI AD</v>
      </c>
      <c r="D309" s="5" t="str">
        <f>IFERROR(__xludf.DUMMYFUNCTION("""COMPUTED_VALUE"""),"KUBOTA")</f>
        <v>KUBOTA</v>
      </c>
      <c r="E309" s="5" t="str">
        <f>IFERROR(__xludf.DUMMYFUNCTION("""COMPUTED_VALUE"""),"NHẬT BẢN")</f>
        <v>NHẬT BẢN</v>
      </c>
      <c r="F309" s="5">
        <f>IFERROR(__xludf.DUMMYFUNCTION("""COMPUTED_VALUE"""),2013.0)</f>
        <v>2013</v>
      </c>
      <c r="G309" s="5" t="str">
        <f>IFERROR(__xludf.DUMMYFUNCTION("""COMPUTED_VALUE"""),"M6040")</f>
        <v>M6040</v>
      </c>
      <c r="H309" s="5" t="str">
        <f>IFERROR(__xludf.DUMMYFUNCTION("""COMPUTED_VALUE"""),"60HP")</f>
        <v>60HP</v>
      </c>
      <c r="I309" s="5" t="str">
        <f>IFERROR(__xludf.DUMMYFUNCTION("""COMPUTED_VALUE"""),"57123")</f>
        <v>57123</v>
      </c>
      <c r="J309" s="5" t="str">
        <f>IFERROR(__xludf.DUMMYFUNCTION("""COMPUTED_VALUE"""),"CCN")</f>
        <v>CCN</v>
      </c>
      <c r="K309" s="5">
        <f>IFERROR(__xludf.DUMMYFUNCTION("""COMPUTED_VALUE"""),4.8)</f>
        <v>4.8</v>
      </c>
      <c r="L309" s="5" t="str">
        <f>IFERROR(__xludf.DUMMYFUNCTION("""COMPUTED_VALUE"""),"KLH")</f>
        <v>KLH</v>
      </c>
    </row>
    <row r="310">
      <c r="A310" s="168" t="str">
        <f>IFERROR(__xludf.DUMMYFUNCTION("""COMPUTED_VALUE"""),"XXA-MKE-005")</f>
        <v>XXA-MKE-005</v>
      </c>
      <c r="B310" s="3" t="str">
        <f>IFERROR(__xludf.DUMMYFUNCTION("""COMPUTED_VALUE"""),"Máy cày KAM50")</f>
        <v>Máy cày KAM50</v>
      </c>
      <c r="C310" s="5" t="str">
        <f>IFERROR(__xludf.DUMMYFUNCTION("""COMPUTED_VALUE"""),"XOÀI AD")</f>
        <v>XOÀI AD</v>
      </c>
      <c r="D310" s="5" t="str">
        <f>IFERROR(__xludf.DUMMYFUNCTION("""COMPUTED_VALUE"""),"THACO")</f>
        <v>THACO</v>
      </c>
      <c r="E310" s="5" t="str">
        <f>IFERROR(__xludf.DUMMYFUNCTION("""COMPUTED_VALUE"""),"VIỆT NAM")</f>
        <v>VIỆT NAM</v>
      </c>
      <c r="F310" s="5"/>
      <c r="G310" s="5" t="str">
        <f>IFERROR(__xludf.DUMMYFUNCTION("""COMPUTED_VALUE"""),"KAM50")</f>
        <v>KAM50</v>
      </c>
      <c r="H310" s="5" t="str">
        <f>IFERROR(__xludf.DUMMYFUNCTION("""COMPUTED_VALUE"""),"50HP")</f>
        <v>50HP</v>
      </c>
      <c r="I310" s="5" t="str">
        <f>IFERROR(__xludf.DUMMYFUNCTION("""COMPUTED_VALUE"""),"CCN")</f>
        <v>CCN</v>
      </c>
      <c r="J310" s="5" t="str">
        <f>IFERROR(__xludf.DUMMYFUNCTION("""COMPUTED_VALUE"""),"C000079")</f>
        <v>C000079</v>
      </c>
      <c r="K310" s="5">
        <f>IFERROR(__xludf.DUMMYFUNCTION("""COMPUTED_VALUE"""),2.5)</f>
        <v>2.5</v>
      </c>
      <c r="L310" s="5" t="str">
        <f>IFERROR(__xludf.DUMMYFUNCTION("""COMPUTED_VALUE"""),"KLH")</f>
        <v>KLH</v>
      </c>
    </row>
    <row r="311">
      <c r="A311" s="168" t="str">
        <f>IFERROR(__xludf.DUMMYFUNCTION("""COMPUTED_VALUE"""),"XXA-MKE-006")</f>
        <v>XXA-MKE-006</v>
      </c>
      <c r="B311" s="3" t="str">
        <f>IFERROR(__xludf.DUMMYFUNCTION("""COMPUTED_VALUE"""),"Máy cày KAM50")</f>
        <v>Máy cày KAM50</v>
      </c>
      <c r="C311" s="5" t="str">
        <f>IFERROR(__xludf.DUMMYFUNCTION("""COMPUTED_VALUE"""),"XOÀI AD")</f>
        <v>XOÀI AD</v>
      </c>
      <c r="D311" s="5" t="str">
        <f>IFERROR(__xludf.DUMMYFUNCTION("""COMPUTED_VALUE"""),"THACO")</f>
        <v>THACO</v>
      </c>
      <c r="E311" s="5" t="str">
        <f>IFERROR(__xludf.DUMMYFUNCTION("""COMPUTED_VALUE"""),"VIỆT NAM")</f>
        <v>VIỆT NAM</v>
      </c>
      <c r="F311" s="5">
        <f>IFERROR(__xludf.DUMMYFUNCTION("""COMPUTED_VALUE"""),2018.0)</f>
        <v>2018</v>
      </c>
      <c r="G311" s="5" t="str">
        <f>IFERROR(__xludf.DUMMYFUNCTION("""COMPUTED_VALUE"""),"KAM50")</f>
        <v>KAM50</v>
      </c>
      <c r="H311" s="5" t="str">
        <f>IFERROR(__xludf.DUMMYFUNCTION("""COMPUTED_VALUE"""),"50HP")</f>
        <v>50HP</v>
      </c>
      <c r="I311" s="5" t="str">
        <f>IFERROR(__xludf.DUMMYFUNCTION("""COMPUTED_VALUE"""),"C000075")</f>
        <v>C000075</v>
      </c>
      <c r="J311" s="5" t="str">
        <f>IFERROR(__xludf.DUMMYFUNCTION("""COMPUTED_VALUE"""),"CCN")</f>
        <v>CCN</v>
      </c>
      <c r="K311" s="5">
        <f>IFERROR(__xludf.DUMMYFUNCTION("""COMPUTED_VALUE"""),2.5)</f>
        <v>2.5</v>
      </c>
      <c r="L311" s="5" t="str">
        <f>IFERROR(__xludf.DUMMYFUNCTION("""COMPUTED_VALUE"""),"KLH")</f>
        <v>KLH</v>
      </c>
    </row>
    <row r="312">
      <c r="A312" s="168" t="str">
        <f>IFERROR(__xludf.DUMMYFUNCTION("""COMPUTED_VALUE"""),"XXA-MKE-007")</f>
        <v>XXA-MKE-007</v>
      </c>
      <c r="B312" s="3" t="str">
        <f>IFERROR(__xludf.DUMMYFUNCTION("""COMPUTED_VALUE"""),"Máy cày KAM50")</f>
        <v>Máy cày KAM50</v>
      </c>
      <c r="C312" s="5" t="str">
        <f>IFERROR(__xludf.DUMMYFUNCTION("""COMPUTED_VALUE"""),"XOÀI AD")</f>
        <v>XOÀI AD</v>
      </c>
      <c r="D312" s="5" t="str">
        <f>IFERROR(__xludf.DUMMYFUNCTION("""COMPUTED_VALUE"""),"THACO")</f>
        <v>THACO</v>
      </c>
      <c r="E312" s="5" t="str">
        <f>IFERROR(__xludf.DUMMYFUNCTION("""COMPUTED_VALUE"""),"VIỆT NAM")</f>
        <v>VIỆT NAM</v>
      </c>
      <c r="F312" s="5">
        <f>IFERROR(__xludf.DUMMYFUNCTION("""COMPUTED_VALUE"""),2018.0)</f>
        <v>2018</v>
      </c>
      <c r="G312" s="5" t="str">
        <f>IFERROR(__xludf.DUMMYFUNCTION("""COMPUTED_VALUE"""),"KAM50")</f>
        <v>KAM50</v>
      </c>
      <c r="H312" s="5" t="str">
        <f>IFERROR(__xludf.DUMMYFUNCTION("""COMPUTED_VALUE"""),"50HP")</f>
        <v>50HP</v>
      </c>
      <c r="I312" s="5" t="str">
        <f>IFERROR(__xludf.DUMMYFUNCTION("""COMPUTED_VALUE"""),"C000010")</f>
        <v>C000010</v>
      </c>
      <c r="J312" s="5" t="str">
        <f>IFERROR(__xludf.DUMMYFUNCTION("""COMPUTED_VALUE"""),"CCN")</f>
        <v>CCN</v>
      </c>
      <c r="K312" s="5">
        <f>IFERROR(__xludf.DUMMYFUNCTION("""COMPUTED_VALUE"""),2.5)</f>
        <v>2.5</v>
      </c>
      <c r="L312" s="5" t="str">
        <f>IFERROR(__xludf.DUMMYFUNCTION("""COMPUTED_VALUE"""),"KLH")</f>
        <v>KLH</v>
      </c>
    </row>
    <row r="313">
      <c r="A313" s="168" t="str">
        <f>IFERROR(__xludf.DUMMYFUNCTION("""COMPUTED_VALUE"""),"XXA-MKE-011")</f>
        <v>XXA-MKE-011</v>
      </c>
      <c r="B313" s="3" t="str">
        <f>IFERROR(__xludf.DUMMYFUNCTION("""COMPUTED_VALUE"""),"Máy cày M6040")</f>
        <v>Máy cày M6040</v>
      </c>
      <c r="C313" s="5" t="str">
        <f>IFERROR(__xludf.DUMMYFUNCTION("""COMPUTED_VALUE"""),"XOÀI AD")</f>
        <v>XOÀI AD</v>
      </c>
      <c r="D313" s="5" t="str">
        <f>IFERROR(__xludf.DUMMYFUNCTION("""COMPUTED_VALUE"""),"KUBOTA")</f>
        <v>KUBOTA</v>
      </c>
      <c r="E313" s="5" t="str">
        <f>IFERROR(__xludf.DUMMYFUNCTION("""COMPUTED_VALUE"""),"NHẬT BẢN")</f>
        <v>NHẬT BẢN</v>
      </c>
      <c r="F313" s="5">
        <f>IFERROR(__xludf.DUMMYFUNCTION("""COMPUTED_VALUE"""),2013.0)</f>
        <v>2013</v>
      </c>
      <c r="G313" s="5" t="str">
        <f>IFERROR(__xludf.DUMMYFUNCTION("""COMPUTED_VALUE"""),"M6040")</f>
        <v>M6040</v>
      </c>
      <c r="H313" s="5" t="str">
        <f>IFERROR(__xludf.DUMMYFUNCTION("""COMPUTED_VALUE"""),"60HP")</f>
        <v>60HP</v>
      </c>
      <c r="I313" s="5" t="str">
        <f>IFERROR(__xludf.DUMMYFUNCTION("""COMPUTED_VALUE"""),"M6040SUD57124")</f>
        <v>M6040SUD57124</v>
      </c>
      <c r="J313" s="5" t="str">
        <f>IFERROR(__xludf.DUMMYFUNCTION("""COMPUTED_VALUE"""),"CCN")</f>
        <v>CCN</v>
      </c>
      <c r="K313" s="5"/>
      <c r="L313" s="5" t="str">
        <f>IFERROR(__xludf.DUMMYFUNCTION("""COMPUTED_VALUE"""),"KLH")</f>
        <v>KLH</v>
      </c>
    </row>
    <row r="314">
      <c r="A314" s="168" t="str">
        <f>IFERROR(__xludf.DUMMYFUNCTION("""COMPUTED_VALUE"""),"XXA-MKE-010")</f>
        <v>XXA-MKE-010</v>
      </c>
      <c r="B314" s="3" t="str">
        <f>IFERROR(__xludf.DUMMYFUNCTION("""COMPUTED_VALUE"""),"Máy cày JD 6200")</f>
        <v>Máy cày JD 6200</v>
      </c>
      <c r="C314" s="5" t="str">
        <f>IFERROR(__xludf.DUMMYFUNCTION("""COMPUTED_VALUE"""),"XN Bò AD")</f>
        <v>XN Bò AD</v>
      </c>
      <c r="D314" s="5" t="str">
        <f>IFERROR(__xludf.DUMMYFUNCTION("""COMPUTED_VALUE"""),"John Deere")</f>
        <v>John Deere</v>
      </c>
      <c r="E314" s="5" t="str">
        <f>IFERROR(__xludf.DUMMYFUNCTION("""COMPUTED_VALUE"""),"Đức")</f>
        <v>Đức</v>
      </c>
      <c r="F314" s="5">
        <f>IFERROR(__xludf.DUMMYFUNCTION("""COMPUTED_VALUE"""),1997.0)</f>
        <v>1997</v>
      </c>
      <c r="G314" s="5" t="str">
        <f>IFERROR(__xludf.DUMMYFUNCTION("""COMPUTED_VALUE"""),"6200")</f>
        <v>6200</v>
      </c>
      <c r="H314" s="5" t="str">
        <f>IFERROR(__xludf.DUMMYFUNCTION("""COMPUTED_VALUE"""),"90HP")</f>
        <v>90HP</v>
      </c>
      <c r="I314" s="5" t="str">
        <f>IFERROR(__xludf.DUMMYFUNCTION("""COMPUTED_VALUE"""),"L06200V203044")</f>
        <v>L06200V203044</v>
      </c>
      <c r="J314" s="5" t="str">
        <f>IFERROR(__xludf.DUMMYFUNCTION("""COMPUTED_VALUE"""),"CD4039T351816")</f>
        <v>CD4039T351816</v>
      </c>
      <c r="K314" s="5"/>
      <c r="L314" s="5" t="str">
        <f>IFERROR(__xludf.DUMMYFUNCTION("""COMPUTED_VALUE"""),"KLH")</f>
        <v>KLH</v>
      </c>
    </row>
    <row r="315">
      <c r="A315" s="168" t="str">
        <f>IFERROR(__xludf.DUMMYFUNCTION("""COMPUTED_VALUE"""),"XXA-CLT-001")</f>
        <v>XXA-CLT-001</v>
      </c>
      <c r="B315" s="3" t="str">
        <f>IFERROR(__xludf.DUMMYFUNCTION("""COMPUTED_VALUE"""),"Xe clethon")</f>
        <v>Xe clethon</v>
      </c>
      <c r="C315" s="5" t="str">
        <f>IFERROR(__xludf.DUMMYFUNCTION("""COMPUTED_VALUE"""),"XOÀI AD")</f>
        <v>XOÀI AD</v>
      </c>
      <c r="D315" s="5" t="str">
        <f>IFERROR(__xludf.DUMMYFUNCTION("""COMPUTED_VALUE"""),"CLETHON")</f>
        <v>CLETHON</v>
      </c>
      <c r="E315" s="5" t="str">
        <f>IFERROR(__xludf.DUMMYFUNCTION("""COMPUTED_VALUE"""),"CAMPUCHIA")</f>
        <v>CAMPUCHIA</v>
      </c>
      <c r="F315" s="5"/>
      <c r="G315" s="5"/>
      <c r="H315" s="5"/>
      <c r="I315" s="5" t="str">
        <f>IFERROR(__xludf.DUMMYFUNCTION("""COMPUTED_VALUE"""),"RT140DI-19011.483")</f>
        <v>RT140DI-19011.483</v>
      </c>
      <c r="J315" s="5" t="str">
        <f>IFERROR(__xludf.DUMMYFUNCTION("""COMPUTED_VALUE"""),"CCN")</f>
        <v>CCN</v>
      </c>
      <c r="K315" s="5">
        <f>IFERROR(__xludf.DUMMYFUNCTION("""COMPUTED_VALUE"""),0.5)</f>
        <v>0.5</v>
      </c>
      <c r="L315" s="5" t="str">
        <f>IFERROR(__xludf.DUMMYFUNCTION("""COMPUTED_VALUE"""),"KLH")</f>
        <v>KLH</v>
      </c>
    </row>
    <row r="316">
      <c r="A316" s="168" t="str">
        <f>IFERROR(__xludf.DUMMYFUNCTION("""COMPUTED_VALUE"""),"XXA-CCM-001")</f>
        <v>XXA-CCM-001</v>
      </c>
      <c r="B316" s="3" t="str">
        <f>IFERROR(__xludf.DUMMYFUNCTION("""COMPUTED_VALUE"""),"Máy cắt cỏ mini Yanmar")</f>
        <v>Máy cắt cỏ mini Yanmar</v>
      </c>
      <c r="C316" s="5" t="str">
        <f>IFERROR(__xludf.DUMMYFUNCTION("""COMPUTED_VALUE"""),"XOÀI AD")</f>
        <v>XOÀI AD</v>
      </c>
      <c r="D316" s="5" t="str">
        <f>IFERROR(__xludf.DUMMYFUNCTION("""COMPUTED_VALUE"""),"YANMAR")</f>
        <v>YANMAR</v>
      </c>
      <c r="E316" s="5" t="str">
        <f>IFERROR(__xludf.DUMMYFUNCTION("""COMPUTED_VALUE"""),"ITALY")</f>
        <v>ITALY</v>
      </c>
      <c r="F316" s="5"/>
      <c r="G316" s="5" t="str">
        <f>IFERROR(__xludf.DUMMYFUNCTION("""COMPUTED_VALUE"""),"L100N6FJ1P1AAFT")</f>
        <v>L100N6FJ1P1AAFT</v>
      </c>
      <c r="H316" s="5" t="str">
        <f>IFERROR(__xludf.DUMMYFUNCTION("""COMPUTED_VALUE"""),"10HP")</f>
        <v>10HP</v>
      </c>
      <c r="I316" s="5" t="str">
        <f>IFERROR(__xludf.DUMMYFUNCTION("""COMPUTED_VALUE"""),"A001010279")</f>
        <v>A001010279</v>
      </c>
      <c r="J316" s="5" t="str">
        <f>IFERROR(__xludf.DUMMYFUNCTION("""COMPUTED_VALUE"""),"SF6665")</f>
        <v>SF6665</v>
      </c>
      <c r="K316" s="5">
        <f>IFERROR(__xludf.DUMMYFUNCTION("""COMPUTED_VALUE"""),0.5)</f>
        <v>0.5</v>
      </c>
      <c r="L316" s="5" t="str">
        <f>IFERROR(__xludf.DUMMYFUNCTION("""COMPUTED_VALUE"""),"KLH")</f>
        <v>KLH</v>
      </c>
    </row>
    <row r="317">
      <c r="A317" s="168" t="str">
        <f>IFERROR(__xludf.DUMMYFUNCTION("""COMPUTED_VALUE"""),"XXA-MKX-001")</f>
        <v>XXA-MKX-001</v>
      </c>
      <c r="B317" s="3" t="str">
        <f>IFERROR(__xludf.DUMMYFUNCTION("""COMPUTED_VALUE"""),"Máy kéo bánh xích CT652")</f>
        <v>Máy kéo bánh xích CT652</v>
      </c>
      <c r="C317" s="5" t="str">
        <f>IFERROR(__xludf.DUMMYFUNCTION("""COMPUTED_VALUE"""),"XOÀI AD")</f>
        <v>XOÀI AD</v>
      </c>
      <c r="D317" s="5" t="str">
        <f>IFERROR(__xludf.DUMMYFUNCTION("""COMPUTED_VALUE"""),"YANMAR")</f>
        <v>YANMAR</v>
      </c>
      <c r="E317" s="5" t="str">
        <f>IFERROR(__xludf.DUMMYFUNCTION("""COMPUTED_VALUE"""),"Nhật Bản")</f>
        <v>Nhật Bản</v>
      </c>
      <c r="F317" s="5"/>
      <c r="G317" s="5" t="str">
        <f>IFERROR(__xludf.DUMMYFUNCTION("""COMPUTED_VALUE"""),"CT652")</f>
        <v>CT652</v>
      </c>
      <c r="H317" s="5" t="str">
        <f>IFERROR(__xludf.DUMMYFUNCTION("""COMPUTED_VALUE"""),"65HP")</f>
        <v>65HP</v>
      </c>
      <c r="I317" s="5" t="str">
        <f>IFERROR(__xludf.DUMMYFUNCTION("""COMPUTED_VALUE"""),"50349")</f>
        <v>50349</v>
      </c>
      <c r="J317" s="5" t="str">
        <f>IFERROR(__xludf.DUMMYFUNCTION("""COMPUTED_VALUE"""),"R2091")</f>
        <v>R2091</v>
      </c>
      <c r="K317" s="5"/>
      <c r="L317" s="5" t="str">
        <f>IFERROR(__xludf.DUMMYFUNCTION("""COMPUTED_VALUE"""),"KLH")</f>
        <v>KLH</v>
      </c>
    </row>
    <row r="318">
      <c r="A318" s="168" t="str">
        <f>IFERROR(__xludf.DUMMYFUNCTION("""COMPUTED_VALUE"""),"XB1-MKE-002")</f>
        <v>XB1-MKE-002</v>
      </c>
      <c r="B318" s="3" t="str">
        <f>IFERROR(__xludf.DUMMYFUNCTION("""COMPUTED_VALUE"""),"Máy cày M9540")</f>
        <v>Máy cày M9540</v>
      </c>
      <c r="C318" s="5" t="str">
        <f>IFERROR(__xludf.DUMMYFUNCTION("""COMPUTED_VALUE"""),"XN Bò AD")</f>
        <v>XN Bò AD</v>
      </c>
      <c r="D318" s="5" t="str">
        <f>IFERROR(__xludf.DUMMYFUNCTION("""COMPUTED_VALUE"""),"KUBOTA")</f>
        <v>KUBOTA</v>
      </c>
      <c r="E318" s="5" t="str">
        <f>IFERROR(__xludf.DUMMYFUNCTION("""COMPUTED_VALUE"""),"NHẬT BẢN")</f>
        <v>NHẬT BẢN</v>
      </c>
      <c r="F318" s="5">
        <f>IFERROR(__xludf.DUMMYFUNCTION("""COMPUTED_VALUE"""),2011.0)</f>
        <v>2011</v>
      </c>
      <c r="G318" s="5" t="str">
        <f>IFERROR(__xludf.DUMMYFUNCTION("""COMPUTED_VALUE"""),"9540")</f>
        <v>9540</v>
      </c>
      <c r="H318" s="5" t="str">
        <f>IFERROR(__xludf.DUMMYFUNCTION("""COMPUTED_VALUE"""),"95HP")</f>
        <v>95HP</v>
      </c>
      <c r="I318" s="5" t="str">
        <f>IFERROR(__xludf.DUMMYFUNCTION("""COMPUTED_VALUE"""),"2340")</f>
        <v>2340</v>
      </c>
      <c r="J318" s="5" t="str">
        <f>IFERROR(__xludf.DUMMYFUNCTION("""COMPUTED_VALUE"""),"CCN")</f>
        <v>CCN</v>
      </c>
      <c r="K318" s="5">
        <f>IFERROR(__xludf.DUMMYFUNCTION("""COMPUTED_VALUE"""),2.5)</f>
        <v>2.5</v>
      </c>
      <c r="L318" s="5" t="str">
        <f>IFERROR(__xludf.DUMMYFUNCTION("""COMPUTED_VALUE"""),"KLH")</f>
        <v>KLH</v>
      </c>
    </row>
    <row r="319">
      <c r="A319" s="168" t="str">
        <f>IFERROR(__xludf.DUMMYFUNCTION("""COMPUTED_VALUE"""),"XB1-MKE-003")</f>
        <v>XB1-MKE-003</v>
      </c>
      <c r="B319" s="3" t="str">
        <f>IFERROR(__xludf.DUMMYFUNCTION("""COMPUTED_VALUE"""),"Máy cày M9540")</f>
        <v>Máy cày M9540</v>
      </c>
      <c r="C319" s="5" t="str">
        <f>IFERROR(__xludf.DUMMYFUNCTION("""COMPUTED_VALUE"""),"XN Bò AD")</f>
        <v>XN Bò AD</v>
      </c>
      <c r="D319" s="5" t="str">
        <f>IFERROR(__xludf.DUMMYFUNCTION("""COMPUTED_VALUE"""),"KUBOTA")</f>
        <v>KUBOTA</v>
      </c>
      <c r="E319" s="5" t="str">
        <f>IFERROR(__xludf.DUMMYFUNCTION("""COMPUTED_VALUE"""),"NHẬT BẢN")</f>
        <v>NHẬT BẢN</v>
      </c>
      <c r="F319" s="5">
        <f>IFERROR(__xludf.DUMMYFUNCTION("""COMPUTED_VALUE"""),2011.0)</f>
        <v>2011</v>
      </c>
      <c r="G319" s="5" t="str">
        <f>IFERROR(__xludf.DUMMYFUNCTION("""COMPUTED_VALUE"""),"9540")</f>
        <v>9540</v>
      </c>
      <c r="H319" s="5" t="str">
        <f>IFERROR(__xludf.DUMMYFUNCTION("""COMPUTED_VALUE"""),"95HP")</f>
        <v>95HP</v>
      </c>
      <c r="I319" s="5" t="str">
        <f>IFERROR(__xludf.DUMMYFUNCTION("""COMPUTED_VALUE"""),"2807")</f>
        <v>2807</v>
      </c>
      <c r="J319" s="5" t="str">
        <f>IFERROR(__xludf.DUMMYFUNCTION("""COMPUTED_VALUE"""),"CCN")</f>
        <v>CCN</v>
      </c>
      <c r="K319" s="5">
        <f>IFERROR(__xludf.DUMMYFUNCTION("""COMPUTED_VALUE"""),3.8)</f>
        <v>3.8</v>
      </c>
      <c r="L319" s="5" t="str">
        <f>IFERROR(__xludf.DUMMYFUNCTION("""COMPUTED_VALUE"""),"KLH")</f>
        <v>KLH</v>
      </c>
    </row>
    <row r="320">
      <c r="A320" s="168" t="str">
        <f>IFERROR(__xludf.DUMMYFUNCTION("""COMPUTED_VALUE"""),"XB1-MKE-004")</f>
        <v>XB1-MKE-004</v>
      </c>
      <c r="B320" s="3" t="str">
        <f>IFERROR(__xludf.DUMMYFUNCTION("""COMPUTED_VALUE"""),"Máy cày M9540")</f>
        <v>Máy cày M9540</v>
      </c>
      <c r="C320" s="5" t="str">
        <f>IFERROR(__xludf.DUMMYFUNCTION("""COMPUTED_VALUE"""),"XN Bò AD")</f>
        <v>XN Bò AD</v>
      </c>
      <c r="D320" s="5" t="str">
        <f>IFERROR(__xludf.DUMMYFUNCTION("""COMPUTED_VALUE"""),"KUBOTA")</f>
        <v>KUBOTA</v>
      </c>
      <c r="E320" s="5" t="str">
        <f>IFERROR(__xludf.DUMMYFUNCTION("""COMPUTED_VALUE"""),"NHẬT BẢN")</f>
        <v>NHẬT BẢN</v>
      </c>
      <c r="F320" s="5">
        <f>IFERROR(__xludf.DUMMYFUNCTION("""COMPUTED_VALUE"""),2011.0)</f>
        <v>2011</v>
      </c>
      <c r="G320" s="5" t="str">
        <f>IFERROR(__xludf.DUMMYFUNCTION("""COMPUTED_VALUE"""),"9540")</f>
        <v>9540</v>
      </c>
      <c r="H320" s="5" t="str">
        <f>IFERROR(__xludf.DUMMYFUNCTION("""COMPUTED_VALUE"""),"95HP")</f>
        <v>95HP</v>
      </c>
      <c r="I320" s="5" t="str">
        <f>IFERROR(__xludf.DUMMYFUNCTION("""COMPUTED_VALUE"""),"2796")</f>
        <v>2796</v>
      </c>
      <c r="J320" s="5" t="str">
        <f>IFERROR(__xludf.DUMMYFUNCTION("""COMPUTED_VALUE"""),"CCN")</f>
        <v>CCN</v>
      </c>
      <c r="K320" s="5">
        <f>IFERROR(__xludf.DUMMYFUNCTION("""COMPUTED_VALUE"""),3.8)</f>
        <v>3.8</v>
      </c>
      <c r="L320" s="5" t="str">
        <f>IFERROR(__xludf.DUMMYFUNCTION("""COMPUTED_VALUE"""),"KLH")</f>
        <v>KLH</v>
      </c>
    </row>
    <row r="321">
      <c r="A321" s="168" t="str">
        <f>IFERROR(__xludf.DUMMYFUNCTION("""COMPUTED_VALUE"""),"XB1-MKE-005")</f>
        <v>XB1-MKE-005</v>
      </c>
      <c r="B321" s="3" t="str">
        <f>IFERROR(__xludf.DUMMYFUNCTION("""COMPUTED_VALUE"""),"Máy cày M6040")</f>
        <v>Máy cày M6040</v>
      </c>
      <c r="C321" s="5" t="str">
        <f>IFERROR(__xludf.DUMMYFUNCTION("""COMPUTED_VALUE"""),"XN Bò AD")</f>
        <v>XN Bò AD</v>
      </c>
      <c r="D321" s="5" t="str">
        <f>IFERROR(__xludf.DUMMYFUNCTION("""COMPUTED_VALUE"""),"KUBOTA")</f>
        <v>KUBOTA</v>
      </c>
      <c r="E321" s="5" t="str">
        <f>IFERROR(__xludf.DUMMYFUNCTION("""COMPUTED_VALUE"""),"NHẬT BẢN")</f>
        <v>NHẬT BẢN</v>
      </c>
      <c r="F321" s="5">
        <f>IFERROR(__xludf.DUMMYFUNCTION("""COMPUTED_VALUE"""),2013.0)</f>
        <v>2013</v>
      </c>
      <c r="G321" s="5" t="str">
        <f>IFERROR(__xludf.DUMMYFUNCTION("""COMPUTED_VALUE"""),"M6040")</f>
        <v>M6040</v>
      </c>
      <c r="H321" s="5" t="str">
        <f>IFERROR(__xludf.DUMMYFUNCTION("""COMPUTED_VALUE"""),"60HP")</f>
        <v>60HP</v>
      </c>
      <c r="I321" s="5" t="str">
        <f>IFERROR(__xludf.DUMMYFUNCTION("""COMPUTED_VALUE"""),"57274")</f>
        <v>57274</v>
      </c>
      <c r="J321" s="5" t="str">
        <f>IFERROR(__xludf.DUMMYFUNCTION("""COMPUTED_VALUE"""),"9237")</f>
        <v>9237</v>
      </c>
      <c r="K321" s="5">
        <f>IFERROR(__xludf.DUMMYFUNCTION("""COMPUTED_VALUE"""),3.5)</f>
        <v>3.5</v>
      </c>
      <c r="L321" s="5" t="str">
        <f>IFERROR(__xludf.DUMMYFUNCTION("""COMPUTED_VALUE"""),"KLH")</f>
        <v>KLH</v>
      </c>
    </row>
    <row r="322">
      <c r="A322" s="168" t="str">
        <f>IFERROR(__xludf.DUMMYFUNCTION("""COMPUTED_VALUE"""),"XB1-MKE-010")</f>
        <v>XB1-MKE-010</v>
      </c>
      <c r="B322" s="3" t="str">
        <f>IFERROR(__xludf.DUMMYFUNCTION("""COMPUTED_VALUE"""),"Máy cày JD 6603")</f>
        <v>Máy cày JD 6603</v>
      </c>
      <c r="C322" s="5" t="str">
        <f>IFERROR(__xludf.DUMMYFUNCTION("""COMPUTED_VALUE"""),"XN Bò AD")</f>
        <v>XN Bò AD</v>
      </c>
      <c r="D322" s="5" t="str">
        <f>IFERROR(__xludf.DUMMYFUNCTION("""COMPUTED_VALUE"""),"JOHN DEERE")</f>
        <v>JOHN DEERE</v>
      </c>
      <c r="E322" s="5" t="str">
        <f>IFERROR(__xludf.DUMMYFUNCTION("""COMPUTED_VALUE"""),"MỸ")</f>
        <v>MỸ</v>
      </c>
      <c r="F322" s="5">
        <f>IFERROR(__xludf.DUMMYFUNCTION("""COMPUTED_VALUE"""),2008.0)</f>
        <v>2008</v>
      </c>
      <c r="G322" s="5" t="str">
        <f>IFERROR(__xludf.DUMMYFUNCTION("""COMPUTED_VALUE"""),"6603")</f>
        <v>6603</v>
      </c>
      <c r="H322" s="5" t="str">
        <f>IFERROR(__xludf.DUMMYFUNCTION("""COMPUTED_VALUE"""),"120HP")</f>
        <v>120HP</v>
      </c>
      <c r="I322" s="5" t="str">
        <f>IFERROR(__xludf.DUMMYFUNCTION("""COMPUTED_VALUE"""),"5956")</f>
        <v>5956</v>
      </c>
      <c r="J322" s="5" t="str">
        <f>IFERROR(__xludf.DUMMYFUNCTION("""COMPUTED_VALUE"""),"CCN")</f>
        <v>CCN</v>
      </c>
      <c r="K322" s="5">
        <f>IFERROR(__xludf.DUMMYFUNCTION("""COMPUTED_VALUE"""),9.0)</f>
        <v>9</v>
      </c>
      <c r="L322" s="5" t="str">
        <f>IFERROR(__xludf.DUMMYFUNCTION("""COMPUTED_VALUE"""),"KLH")</f>
        <v>KLH</v>
      </c>
    </row>
    <row r="323">
      <c r="A323" s="168" t="str">
        <f>IFERROR(__xludf.DUMMYFUNCTION("""COMPUTED_VALUE"""),"XB1-MKE-011")</f>
        <v>XB1-MKE-011</v>
      </c>
      <c r="B323" s="3" t="str">
        <f>IFERROR(__xludf.DUMMYFUNCTION("""COMPUTED_VALUE"""),"Máy cày JD 6603")</f>
        <v>Máy cày JD 6603</v>
      </c>
      <c r="C323" s="5" t="str">
        <f>IFERROR(__xludf.DUMMYFUNCTION("""COMPUTED_VALUE"""),"XN Bò AD")</f>
        <v>XN Bò AD</v>
      </c>
      <c r="D323" s="5" t="str">
        <f>IFERROR(__xludf.DUMMYFUNCTION("""COMPUTED_VALUE"""),"JOHN DEERE")</f>
        <v>JOHN DEERE</v>
      </c>
      <c r="E323" s="5" t="str">
        <f>IFERROR(__xludf.DUMMYFUNCTION("""COMPUTED_VALUE"""),"MỸ")</f>
        <v>MỸ</v>
      </c>
      <c r="F323" s="5">
        <f>IFERROR(__xludf.DUMMYFUNCTION("""COMPUTED_VALUE"""),2008.0)</f>
        <v>2008</v>
      </c>
      <c r="G323" s="5" t="str">
        <f>IFERROR(__xludf.DUMMYFUNCTION("""COMPUTED_VALUE"""),"6603")</f>
        <v>6603</v>
      </c>
      <c r="H323" s="5" t="str">
        <f>IFERROR(__xludf.DUMMYFUNCTION("""COMPUTED_VALUE"""),"120HP")</f>
        <v>120HP</v>
      </c>
      <c r="I323" s="5" t="str">
        <f>IFERROR(__xludf.DUMMYFUNCTION("""COMPUTED_VALUE"""),"32551")</f>
        <v>32551</v>
      </c>
      <c r="J323" s="5" t="str">
        <f>IFERROR(__xludf.DUMMYFUNCTION("""COMPUTED_VALUE"""),"CCN")</f>
        <v>CCN</v>
      </c>
      <c r="K323" s="5">
        <f>IFERROR(__xludf.DUMMYFUNCTION("""COMPUTED_VALUE"""),7.0)</f>
        <v>7</v>
      </c>
      <c r="L323" s="5" t="str">
        <f>IFERROR(__xludf.DUMMYFUNCTION("""COMPUTED_VALUE"""),"KLH")</f>
        <v>KLH</v>
      </c>
    </row>
    <row r="324">
      <c r="A324" s="168" t="str">
        <f>IFERROR(__xludf.DUMMYFUNCTION("""COMPUTED_VALUE"""),"XB1-MKE-012")</f>
        <v>XB1-MKE-012</v>
      </c>
      <c r="B324" s="3" t="str">
        <f>IFERROR(__xludf.DUMMYFUNCTION("""COMPUTED_VALUE"""),"Máy cày KAM50")</f>
        <v>Máy cày KAM50</v>
      </c>
      <c r="C324" s="5" t="str">
        <f>IFERROR(__xludf.DUMMYFUNCTION("""COMPUTED_VALUE"""),"XN Bò AD")</f>
        <v>XN Bò AD</v>
      </c>
      <c r="D324" s="5" t="str">
        <f>IFERROR(__xludf.DUMMYFUNCTION("""COMPUTED_VALUE"""),"THACO")</f>
        <v>THACO</v>
      </c>
      <c r="E324" s="5" t="str">
        <f>IFERROR(__xludf.DUMMYFUNCTION("""COMPUTED_VALUE"""),"VIỆT NAM")</f>
        <v>VIỆT NAM</v>
      </c>
      <c r="F324" s="5">
        <f>IFERROR(__xludf.DUMMYFUNCTION("""COMPUTED_VALUE"""),2018.0)</f>
        <v>2018</v>
      </c>
      <c r="G324" s="5" t="str">
        <f>IFERROR(__xludf.DUMMYFUNCTION("""COMPUTED_VALUE"""),"KAM50")</f>
        <v>KAM50</v>
      </c>
      <c r="H324" s="5" t="str">
        <f>IFERROR(__xludf.DUMMYFUNCTION("""COMPUTED_VALUE"""),"50HP")</f>
        <v>50HP</v>
      </c>
      <c r="I324" s="5" t="str">
        <f>IFERROR(__xludf.DUMMYFUNCTION("""COMPUTED_VALUE"""),"0000087")</f>
        <v>0000087</v>
      </c>
      <c r="J324" s="5" t="str">
        <f>IFERROR(__xludf.DUMMYFUNCTION("""COMPUTED_VALUE"""),"80")</f>
        <v>80</v>
      </c>
      <c r="K324" s="5">
        <f>IFERROR(__xludf.DUMMYFUNCTION("""COMPUTED_VALUE"""),2.5)</f>
        <v>2.5</v>
      </c>
      <c r="L324" s="5" t="str">
        <f>IFERROR(__xludf.DUMMYFUNCTION("""COMPUTED_VALUE"""),"KLH")</f>
        <v>KLH</v>
      </c>
    </row>
    <row r="325">
      <c r="A325" s="168" t="str">
        <f>IFERROR(__xludf.DUMMYFUNCTION("""COMPUTED_VALUE"""),"XB1-MKE-017")</f>
        <v>XB1-MKE-017</v>
      </c>
      <c r="B325" s="3" t="str">
        <f>IFERROR(__xludf.DUMMYFUNCTION("""COMPUTED_VALUE"""),"Máy cày M6040")</f>
        <v>Máy cày M6040</v>
      </c>
      <c r="C325" s="5" t="str">
        <f>IFERROR(__xludf.DUMMYFUNCTION("""COMPUTED_VALUE"""),"XN Bò AD")</f>
        <v>XN Bò AD</v>
      </c>
      <c r="D325" s="5" t="str">
        <f>IFERROR(__xludf.DUMMYFUNCTION("""COMPUTED_VALUE"""),"KUBOTA")</f>
        <v>KUBOTA</v>
      </c>
      <c r="E325" s="5" t="str">
        <f>IFERROR(__xludf.DUMMYFUNCTION("""COMPUTED_VALUE"""),"NHẬT BẢN")</f>
        <v>NHẬT BẢN</v>
      </c>
      <c r="F325" s="5">
        <f>IFERROR(__xludf.DUMMYFUNCTION("""COMPUTED_VALUE"""),2013.0)</f>
        <v>2013</v>
      </c>
      <c r="G325" s="5" t="str">
        <f>IFERROR(__xludf.DUMMYFUNCTION("""COMPUTED_VALUE"""),"M6040")</f>
        <v>M6040</v>
      </c>
      <c r="H325" s="5" t="str">
        <f>IFERROR(__xludf.DUMMYFUNCTION("""COMPUTED_VALUE"""),"60HP")</f>
        <v>60HP</v>
      </c>
      <c r="I325" s="5" t="str">
        <f>IFERROR(__xludf.DUMMYFUNCTION("""COMPUTED_VALUE"""),"D57126")</f>
        <v>D57126</v>
      </c>
      <c r="J325" s="5" t="str">
        <f>IFERROR(__xludf.DUMMYFUNCTION("""COMPUTED_VALUE"""),"CCN")</f>
        <v>CCN</v>
      </c>
      <c r="K325" s="5">
        <f>IFERROR(__xludf.DUMMYFUNCTION("""COMPUTED_VALUE"""),3.5)</f>
        <v>3.5</v>
      </c>
      <c r="L325" s="5" t="str">
        <f>IFERROR(__xludf.DUMMYFUNCTION("""COMPUTED_VALUE"""),"KLH")</f>
        <v>KLH</v>
      </c>
    </row>
    <row r="326">
      <c r="A326" s="168" t="str">
        <f>IFERROR(__xludf.DUMMYFUNCTION("""COMPUTED_VALUE"""),"XB1-MKE-018")</f>
        <v>XB1-MKE-018</v>
      </c>
      <c r="B326" s="3" t="str">
        <f>IFERROR(__xludf.DUMMYFUNCTION("""COMPUTED_VALUE"""),"Máy cày KAM50")</f>
        <v>Máy cày KAM50</v>
      </c>
      <c r="C326" s="5" t="str">
        <f>IFERROR(__xludf.DUMMYFUNCTION("""COMPUTED_VALUE"""),"XN Bò AD")</f>
        <v>XN Bò AD</v>
      </c>
      <c r="D326" s="5" t="str">
        <f>IFERROR(__xludf.DUMMYFUNCTION("""COMPUTED_VALUE"""),"THACO")</f>
        <v>THACO</v>
      </c>
      <c r="E326" s="5" t="str">
        <f>IFERROR(__xludf.DUMMYFUNCTION("""COMPUTED_VALUE"""),"VIỆT NAM")</f>
        <v>VIỆT NAM</v>
      </c>
      <c r="F326" s="5">
        <f>IFERROR(__xludf.DUMMYFUNCTION("""COMPUTED_VALUE"""),2018.0)</f>
        <v>2018</v>
      </c>
      <c r="G326" s="5" t="str">
        <f>IFERROR(__xludf.DUMMYFUNCTION("""COMPUTED_VALUE"""),"KAM50")</f>
        <v>KAM50</v>
      </c>
      <c r="H326" s="5" t="str">
        <f>IFERROR(__xludf.DUMMYFUNCTION("""COMPUTED_VALUE"""),"50HP")</f>
        <v>50HP</v>
      </c>
      <c r="I326" s="5" t="str">
        <f>IFERROR(__xludf.DUMMYFUNCTION("""COMPUTED_VALUE"""),"C000077")</f>
        <v>C000077</v>
      </c>
      <c r="J326" s="5" t="str">
        <f>IFERROR(__xludf.DUMMYFUNCTION("""COMPUTED_VALUE"""),"180012")</f>
        <v>180012</v>
      </c>
      <c r="K326" s="5">
        <f>IFERROR(__xludf.DUMMYFUNCTION("""COMPUTED_VALUE"""),2.0)</f>
        <v>2</v>
      </c>
      <c r="L326" s="5" t="str">
        <f>IFERROR(__xludf.DUMMYFUNCTION("""COMPUTED_VALUE"""),"KLH")</f>
        <v>KLH</v>
      </c>
    </row>
    <row r="327">
      <c r="A327" s="168" t="str">
        <f>IFERROR(__xludf.DUMMYFUNCTION("""COMPUTED_VALUE"""),"XB1-MKE-021")</f>
        <v>XB1-MKE-021</v>
      </c>
      <c r="B327" s="3" t="str">
        <f>IFERROR(__xludf.DUMMYFUNCTION("""COMPUTED_VALUE"""),"Máy cày JD 5090E")</f>
        <v>Máy cày JD 5090E</v>
      </c>
      <c r="C327" s="5" t="str">
        <f>IFERROR(__xludf.DUMMYFUNCTION("""COMPUTED_VALUE"""),"XN Bò AD")</f>
        <v>XN Bò AD</v>
      </c>
      <c r="D327" s="5" t="str">
        <f>IFERROR(__xludf.DUMMYFUNCTION("""COMPUTED_VALUE"""),"JOHN DEERE")</f>
        <v>JOHN DEERE</v>
      </c>
      <c r="E327" s="5" t="str">
        <f>IFERROR(__xludf.DUMMYFUNCTION("""COMPUTED_VALUE"""),"MỸ")</f>
        <v>MỸ</v>
      </c>
      <c r="F327" s="5">
        <f>IFERROR(__xludf.DUMMYFUNCTION("""COMPUTED_VALUE"""),2022.0)</f>
        <v>2022</v>
      </c>
      <c r="G327" s="5" t="str">
        <f>IFERROR(__xludf.DUMMYFUNCTION("""COMPUTED_VALUE"""),"5090")</f>
        <v>5090</v>
      </c>
      <c r="H327" s="5" t="str">
        <f>IFERROR(__xludf.DUMMYFUNCTION("""COMPUTED_VALUE"""),"90HP")</f>
        <v>90HP</v>
      </c>
      <c r="I327" s="5" t="str">
        <f>IFERROR(__xludf.DUMMYFUNCTION("""COMPUTED_VALUE"""),"4073059")</f>
        <v>4073059</v>
      </c>
      <c r="J327" s="5" t="str">
        <f>IFERROR(__xludf.DUMMYFUNCTION("""COMPUTED_VALUE"""),"26911")</f>
        <v>26911</v>
      </c>
      <c r="K327" s="5">
        <f>IFERROR(__xludf.DUMMYFUNCTION("""COMPUTED_VALUE"""),6.0)</f>
        <v>6</v>
      </c>
      <c r="L327" s="5" t="str">
        <f>IFERROR(__xludf.DUMMYFUNCTION("""COMPUTED_VALUE"""),"KLH")</f>
        <v>KLH</v>
      </c>
    </row>
    <row r="328">
      <c r="A328" s="168" t="str">
        <f>IFERROR(__xludf.DUMMYFUNCTION("""COMPUTED_VALUE"""),"XB1-MKE-022")</f>
        <v>XB1-MKE-022</v>
      </c>
      <c r="B328" s="3" t="str">
        <f>IFERROR(__xludf.DUMMYFUNCTION("""COMPUTED_VALUE"""),"Máy cày JD 5090E")</f>
        <v>Máy cày JD 5090E</v>
      </c>
      <c r="C328" s="5" t="str">
        <f>IFERROR(__xludf.DUMMYFUNCTION("""COMPUTED_VALUE"""),"XN Bò AD")</f>
        <v>XN Bò AD</v>
      </c>
      <c r="D328" s="5" t="str">
        <f>IFERROR(__xludf.DUMMYFUNCTION("""COMPUTED_VALUE"""),"JOHN DEERE")</f>
        <v>JOHN DEERE</v>
      </c>
      <c r="E328" s="5" t="str">
        <f>IFERROR(__xludf.DUMMYFUNCTION("""COMPUTED_VALUE"""),"MỸ")</f>
        <v>MỸ</v>
      </c>
      <c r="F328" s="5">
        <f>IFERROR(__xludf.DUMMYFUNCTION("""COMPUTED_VALUE"""),2022.0)</f>
        <v>2022</v>
      </c>
      <c r="G328" s="5" t="str">
        <f>IFERROR(__xludf.DUMMYFUNCTION("""COMPUTED_VALUE"""),"5090")</f>
        <v>5090</v>
      </c>
      <c r="H328" s="5" t="str">
        <f>IFERROR(__xludf.DUMMYFUNCTION("""COMPUTED_VALUE"""),"90HP")</f>
        <v>90HP</v>
      </c>
      <c r="I328" s="5" t="str">
        <f>IFERROR(__xludf.DUMMYFUNCTION("""COMPUTED_VALUE"""),"4073056")</f>
        <v>4073056</v>
      </c>
      <c r="J328" s="5" t="str">
        <f>IFERROR(__xludf.DUMMYFUNCTION("""COMPUTED_VALUE"""),"27085")</f>
        <v>27085</v>
      </c>
      <c r="K328" s="5">
        <f>IFERROR(__xludf.DUMMYFUNCTION("""COMPUTED_VALUE"""),6.0)</f>
        <v>6</v>
      </c>
      <c r="L328" s="5" t="str">
        <f>IFERROR(__xludf.DUMMYFUNCTION("""COMPUTED_VALUE"""),"KLH")</f>
        <v>KLH</v>
      </c>
    </row>
    <row r="329">
      <c r="A329" s="168" t="str">
        <f>IFERROR(__xludf.DUMMYFUNCTION("""COMPUTED_VALUE"""),"XB1-MKE-027")</f>
        <v>XB1-MKE-027</v>
      </c>
      <c r="B329" s="3" t="str">
        <f>IFERROR(__xludf.DUMMYFUNCTION("""COMPUTED_VALUE"""),"Máy cày KAM50")</f>
        <v>Máy cày KAM50</v>
      </c>
      <c r="C329" s="5" t="str">
        <f>IFERROR(__xludf.DUMMYFUNCTION("""COMPUTED_VALUE"""),"XN Bò AD")</f>
        <v>XN Bò AD</v>
      </c>
      <c r="D329" s="5" t="str">
        <f>IFERROR(__xludf.DUMMYFUNCTION("""COMPUTED_VALUE"""),"THACO")</f>
        <v>THACO</v>
      </c>
      <c r="E329" s="5" t="str">
        <f>IFERROR(__xludf.DUMMYFUNCTION("""COMPUTED_VALUE"""),"VIỆT NAM")</f>
        <v>VIỆT NAM</v>
      </c>
      <c r="F329" s="5">
        <f>IFERROR(__xludf.DUMMYFUNCTION("""COMPUTED_VALUE"""),2018.0)</f>
        <v>2018</v>
      </c>
      <c r="G329" s="5" t="str">
        <f>IFERROR(__xludf.DUMMYFUNCTION("""COMPUTED_VALUE"""),"KAM50")</f>
        <v>KAM50</v>
      </c>
      <c r="H329" s="5" t="str">
        <f>IFERROR(__xludf.DUMMYFUNCTION("""COMPUTED_VALUE"""),"50HP")</f>
        <v>50HP</v>
      </c>
      <c r="I329" s="5" t="str">
        <f>IFERROR(__xludf.DUMMYFUNCTION("""COMPUTED_VALUE"""),"180090")</f>
        <v>180090</v>
      </c>
      <c r="J329" s="5" t="str">
        <f>IFERROR(__xludf.DUMMYFUNCTION("""COMPUTED_VALUE"""),"CCN")</f>
        <v>CCN</v>
      </c>
      <c r="K329" s="5">
        <f>IFERROR(__xludf.DUMMYFUNCTION("""COMPUTED_VALUE"""),2.5)</f>
        <v>2.5</v>
      </c>
      <c r="L329" s="5" t="str">
        <f>IFERROR(__xludf.DUMMYFUNCTION("""COMPUTED_VALUE"""),"KLH")</f>
        <v>KLH</v>
      </c>
    </row>
    <row r="330">
      <c r="A330" s="168" t="str">
        <f>IFERROR(__xludf.DUMMYFUNCTION("""COMPUTED_VALUE"""),"XB1-MKE-029")</f>
        <v>XB1-MKE-029</v>
      </c>
      <c r="B330" s="3" t="str">
        <f>IFERROR(__xludf.DUMMYFUNCTION("""COMPUTED_VALUE"""),"Máy cày JD 6120B")</f>
        <v>Máy cày JD 6120B</v>
      </c>
      <c r="C330" s="5" t="str">
        <f>IFERROR(__xludf.DUMMYFUNCTION("""COMPUTED_VALUE"""),"XN Bò AD")</f>
        <v>XN Bò AD</v>
      </c>
      <c r="D330" s="5" t="str">
        <f>IFERROR(__xludf.DUMMYFUNCTION("""COMPUTED_VALUE"""),"JOHN DEERE")</f>
        <v>JOHN DEERE</v>
      </c>
      <c r="E330" s="5" t="str">
        <f>IFERROR(__xludf.DUMMYFUNCTION("""COMPUTED_VALUE"""),"MỸ")</f>
        <v>MỸ</v>
      </c>
      <c r="F330" s="5">
        <f>IFERROR(__xludf.DUMMYFUNCTION("""COMPUTED_VALUE"""),2022.0)</f>
        <v>2022</v>
      </c>
      <c r="G330" s="5" t="str">
        <f>IFERROR(__xludf.DUMMYFUNCTION("""COMPUTED_VALUE"""),"6120B")</f>
        <v>6120B</v>
      </c>
      <c r="H330" s="5" t="str">
        <f>IFERROR(__xludf.DUMMYFUNCTION("""COMPUTED_VALUE"""),"120HP")</f>
        <v>120HP</v>
      </c>
      <c r="I330" s="5" t="str">
        <f>IFERROR(__xludf.DUMMYFUNCTION("""COMPUTED_VALUE"""),"1YR6120BLRD210217")</f>
        <v>1YR6120BLRD210217</v>
      </c>
      <c r="J330" s="5" t="str">
        <f>IFERROR(__xludf.DUMMYFUNCTION("""COMPUTED_VALUE"""),"PE4045N035792")</f>
        <v>PE4045N035792</v>
      </c>
      <c r="K330" s="5">
        <f>IFERROR(__xludf.DUMMYFUNCTION("""COMPUTED_VALUE"""),9.5)</f>
        <v>9.5</v>
      </c>
      <c r="L330" s="5" t="str">
        <f>IFERROR(__xludf.DUMMYFUNCTION("""COMPUTED_VALUE"""),"KLH")</f>
        <v>KLH</v>
      </c>
    </row>
    <row r="331">
      <c r="A331" s="168" t="str">
        <f>IFERROR(__xludf.DUMMYFUNCTION("""COMPUTED_VALUE"""),"XB1-MKE-030")</f>
        <v>XB1-MKE-030</v>
      </c>
      <c r="B331" s="3" t="str">
        <f>IFERROR(__xludf.DUMMYFUNCTION("""COMPUTED_VALUE"""),"Máy cày bánh xích ISEKI")</f>
        <v>Máy cày bánh xích ISEKI</v>
      </c>
      <c r="C331" s="5" t="str">
        <f>IFERROR(__xludf.DUMMYFUNCTION("""COMPUTED_VALUE"""),"XN Bò AD")</f>
        <v>XN Bò AD</v>
      </c>
      <c r="D331" s="5" t="str">
        <f>IFERROR(__xludf.DUMMYFUNCTION("""COMPUTED_VALUE"""),"ISEKI")</f>
        <v>ISEKI</v>
      </c>
      <c r="E331" s="5" t="str">
        <f>IFERROR(__xludf.DUMMYFUNCTION("""COMPUTED_VALUE"""),"TRUNG QUỐC")</f>
        <v>TRUNG QUỐC</v>
      </c>
      <c r="F331" s="5"/>
      <c r="G331" s="5" t="str">
        <f>IFERROR(__xludf.DUMMYFUNCTION("""COMPUTED_VALUE"""),"TA-C120")</f>
        <v>TA-C120</v>
      </c>
      <c r="H331" s="5" t="str">
        <f>IFERROR(__xludf.DUMMYFUNCTION("""COMPUTED_VALUE"""),"120HP")</f>
        <v>120HP</v>
      </c>
      <c r="I331" s="5" t="str">
        <f>IFERROR(__xludf.DUMMYFUNCTION("""COMPUTED_VALUE"""),"K12A/10050")</f>
        <v>K12A/10050</v>
      </c>
      <c r="J331" s="5" t="str">
        <f>IFERROR(__xludf.DUMMYFUNCTION("""COMPUTED_VALUE"""),"S6S025912")</f>
        <v>S6S025912</v>
      </c>
      <c r="K331" s="5"/>
      <c r="L331" s="5" t="str">
        <f>IFERROR(__xludf.DUMMYFUNCTION("""COMPUTED_VALUE"""),"KLH")</f>
        <v>KLH</v>
      </c>
    </row>
    <row r="332">
      <c r="A332" s="168" t="str">
        <f>IFERROR(__xludf.DUMMYFUNCTION("""COMPUTED_VALUE"""),"XB1-MKE-033")</f>
        <v>XB1-MKE-033</v>
      </c>
      <c r="B332" s="3" t="str">
        <f>IFERROR(__xludf.DUMMYFUNCTION("""COMPUTED_VALUE"""),"Máy cày KAM50")</f>
        <v>Máy cày KAM50</v>
      </c>
      <c r="C332" s="5" t="str">
        <f>IFERROR(__xludf.DUMMYFUNCTION("""COMPUTED_VALUE"""),"XN Bò AD")</f>
        <v>XN Bò AD</v>
      </c>
      <c r="D332" s="5" t="str">
        <f>IFERROR(__xludf.DUMMYFUNCTION("""COMPUTED_VALUE"""),"THACO")</f>
        <v>THACO</v>
      </c>
      <c r="E332" s="5" t="str">
        <f>IFERROR(__xludf.DUMMYFUNCTION("""COMPUTED_VALUE"""),"VIỆT NAM")</f>
        <v>VIỆT NAM</v>
      </c>
      <c r="F332" s="5">
        <f>IFERROR(__xludf.DUMMYFUNCTION("""COMPUTED_VALUE"""),2018.0)</f>
        <v>2018</v>
      </c>
      <c r="G332" s="5" t="str">
        <f>IFERROR(__xludf.DUMMYFUNCTION("""COMPUTED_VALUE"""),"KAM50")</f>
        <v>KAM50</v>
      </c>
      <c r="H332" s="5" t="str">
        <f>IFERROR(__xludf.DUMMYFUNCTION("""COMPUTED_VALUE"""),"50HP")</f>
        <v>50HP</v>
      </c>
      <c r="I332" s="5" t="str">
        <f>IFERROR(__xludf.DUMMYFUNCTION("""COMPUTED_VALUE"""),"C000046")</f>
        <v>C000046</v>
      </c>
      <c r="J332" s="5" t="str">
        <f>IFERROR(__xludf.DUMMYFUNCTION("""COMPUTED_VALUE"""),"CCN")</f>
        <v>CCN</v>
      </c>
      <c r="K332" s="5">
        <f>IFERROR(__xludf.DUMMYFUNCTION("""COMPUTED_VALUE"""),2.5)</f>
        <v>2.5</v>
      </c>
      <c r="L332" s="5" t="str">
        <f>IFERROR(__xludf.DUMMYFUNCTION("""COMPUTED_VALUE"""),"KLH")</f>
        <v>KLH</v>
      </c>
    </row>
    <row r="333">
      <c r="A333" s="168" t="str">
        <f>IFERROR(__xludf.DUMMYFUNCTION("""COMPUTED_VALUE"""),"XB1-MKE-034")</f>
        <v>XB1-MKE-034</v>
      </c>
      <c r="B333" s="3" t="str">
        <f>IFERROR(__xludf.DUMMYFUNCTION("""COMPUTED_VALUE"""),"Máy cày bánh xích YANMAR")</f>
        <v>Máy cày bánh xích YANMAR</v>
      </c>
      <c r="C333" s="5" t="str">
        <f>IFERROR(__xludf.DUMMYFUNCTION("""COMPUTED_VALUE"""),"XN Bò AD")</f>
        <v>XN Bò AD</v>
      </c>
      <c r="D333" s="5" t="str">
        <f>IFERROR(__xludf.DUMMYFUNCTION("""COMPUTED_VALUE"""),"YANMAR")</f>
        <v>YANMAR</v>
      </c>
      <c r="E333" s="5" t="str">
        <f>IFERROR(__xludf.DUMMYFUNCTION("""COMPUTED_VALUE"""),"TRUNG QUỐC")</f>
        <v>TRUNG QUỐC</v>
      </c>
      <c r="F333" s="5"/>
      <c r="G333" s="5" t="str">
        <f>IFERROR(__xludf.DUMMYFUNCTION("""COMPUTED_VALUE"""),"CT95")</f>
        <v>CT95</v>
      </c>
      <c r="H333" s="5" t="str">
        <f>IFERROR(__xludf.DUMMYFUNCTION("""COMPUTED_VALUE"""),"95HP")</f>
        <v>95HP</v>
      </c>
      <c r="I333" s="5" t="str">
        <f>IFERROR(__xludf.DUMMYFUNCTION("""COMPUTED_VALUE"""),"50478")</f>
        <v>50478</v>
      </c>
      <c r="J333" s="5" t="str">
        <f>IFERROR(__xludf.DUMMYFUNCTION("""COMPUTED_VALUE"""),"CCN")</f>
        <v>CCN</v>
      </c>
      <c r="K333" s="5"/>
      <c r="L333" s="5" t="str">
        <f>IFERROR(__xludf.DUMMYFUNCTION("""COMPUTED_VALUE"""),"KLH")</f>
        <v>KLH</v>
      </c>
    </row>
    <row r="334">
      <c r="A334" s="168" t="str">
        <f>IFERROR(__xludf.DUMMYFUNCTION("""COMPUTED_VALUE"""),"XB1-MKE-035")</f>
        <v>XB1-MKE-035</v>
      </c>
      <c r="B334" s="3" t="str">
        <f>IFERROR(__xludf.DUMMYFUNCTION("""COMPUTED_VALUE"""),"Máy cày JD 6120B")</f>
        <v>Máy cày JD 6120B</v>
      </c>
      <c r="C334" s="5" t="str">
        <f>IFERROR(__xludf.DUMMYFUNCTION("""COMPUTED_VALUE"""),"XN Bò AD")</f>
        <v>XN Bò AD</v>
      </c>
      <c r="D334" s="5" t="str">
        <f>IFERROR(__xludf.DUMMYFUNCTION("""COMPUTED_VALUE"""),"JOHN DEERE")</f>
        <v>JOHN DEERE</v>
      </c>
      <c r="E334" s="5" t="str">
        <f>IFERROR(__xludf.DUMMYFUNCTION("""COMPUTED_VALUE"""),"MỸ")</f>
        <v>MỸ</v>
      </c>
      <c r="F334" s="5">
        <f>IFERROR(__xludf.DUMMYFUNCTION("""COMPUTED_VALUE"""),2024.0)</f>
        <v>2024</v>
      </c>
      <c r="G334" s="5" t="str">
        <f>IFERROR(__xludf.DUMMYFUNCTION("""COMPUTED_VALUE"""),"6120B")</f>
        <v>6120B</v>
      </c>
      <c r="H334" s="5" t="str">
        <f>IFERROR(__xludf.DUMMYFUNCTION("""COMPUTED_VALUE"""),"120HP")</f>
        <v>120HP</v>
      </c>
      <c r="I334" s="5" t="str">
        <f>IFERROR(__xludf.DUMMYFUNCTION("""COMPUTED_VALUE"""),"1YR6120BJRD210227")</f>
        <v>1YR6120BJRD210227</v>
      </c>
      <c r="J334" s="5" t="str">
        <f>IFERROR(__xludf.DUMMYFUNCTION("""COMPUTED_VALUE"""),"PE4045N035812")</f>
        <v>PE4045N035812</v>
      </c>
      <c r="K334" s="5">
        <f>IFERROR(__xludf.DUMMYFUNCTION("""COMPUTED_VALUE"""),9.5)</f>
        <v>9.5</v>
      </c>
      <c r="L334" s="5" t="str">
        <f>IFERROR(__xludf.DUMMYFUNCTION("""COMPUTED_VALUE"""),"KLH")</f>
        <v>KLH</v>
      </c>
    </row>
    <row r="335">
      <c r="A335" s="168" t="str">
        <f>IFERROR(__xludf.DUMMYFUNCTION("""COMPUTED_VALUE"""),"XB1-MKE-036")</f>
        <v>XB1-MKE-036</v>
      </c>
      <c r="B335" s="3" t="str">
        <f>IFERROR(__xludf.DUMMYFUNCTION("""COMPUTED_VALUE"""),"Máy cày JD 6120B")</f>
        <v>Máy cày JD 6120B</v>
      </c>
      <c r="C335" s="5" t="str">
        <f>IFERROR(__xludf.DUMMYFUNCTION("""COMPUTED_VALUE"""),"XN Bò AD")</f>
        <v>XN Bò AD</v>
      </c>
      <c r="D335" s="5" t="str">
        <f>IFERROR(__xludf.DUMMYFUNCTION("""COMPUTED_VALUE"""),"JOHN DEERE")</f>
        <v>JOHN DEERE</v>
      </c>
      <c r="E335" s="5" t="str">
        <f>IFERROR(__xludf.DUMMYFUNCTION("""COMPUTED_VALUE"""),"MỸ")</f>
        <v>MỸ</v>
      </c>
      <c r="F335" s="5">
        <f>IFERROR(__xludf.DUMMYFUNCTION("""COMPUTED_VALUE"""),2024.0)</f>
        <v>2024</v>
      </c>
      <c r="G335" s="5" t="str">
        <f>IFERROR(__xludf.DUMMYFUNCTION("""COMPUTED_VALUE"""),"6120B")</f>
        <v>6120B</v>
      </c>
      <c r="H335" s="5" t="str">
        <f>IFERROR(__xludf.DUMMYFUNCTION("""COMPUTED_VALUE"""),"120HP")</f>
        <v>120HP</v>
      </c>
      <c r="I335" s="5" t="str">
        <f>IFERROR(__xludf.DUMMYFUNCTION("""COMPUTED_VALUE"""),"1YR6120BKRD210226")</f>
        <v>1YR6120BKRD210226</v>
      </c>
      <c r="J335" s="5" t="str">
        <f>IFERROR(__xludf.DUMMYFUNCTION("""COMPUTED_VALUE"""),"PE4045N035868")</f>
        <v>PE4045N035868</v>
      </c>
      <c r="K335" s="5">
        <f>IFERROR(__xludf.DUMMYFUNCTION("""COMPUTED_VALUE"""),9.5)</f>
        <v>9.5</v>
      </c>
      <c r="L335" s="5" t="str">
        <f>IFERROR(__xludf.DUMMYFUNCTION("""COMPUTED_VALUE"""),"KLH")</f>
        <v>KLH</v>
      </c>
    </row>
    <row r="336">
      <c r="A336" s="168" t="str">
        <f>IFERROR(__xludf.DUMMYFUNCTION("""COMPUTED_VALUE"""),"XB1-MKE-037")</f>
        <v>XB1-MKE-037</v>
      </c>
      <c r="B336" s="3" t="str">
        <f>IFERROR(__xludf.DUMMYFUNCTION("""COMPUTED_VALUE"""),"Máy cày JD 5520")</f>
        <v>Máy cày JD 5520</v>
      </c>
      <c r="C336" s="5" t="str">
        <f>IFERROR(__xludf.DUMMYFUNCTION("""COMPUTED_VALUE"""),"XN Bò AD")</f>
        <v>XN Bò AD</v>
      </c>
      <c r="D336" s="5" t="str">
        <f>IFERROR(__xludf.DUMMYFUNCTION("""COMPUTED_VALUE"""),"JOHN DEERE")</f>
        <v>JOHN DEERE</v>
      </c>
      <c r="E336" s="5" t="str">
        <f>IFERROR(__xludf.DUMMYFUNCTION("""COMPUTED_VALUE"""),"MỸ")</f>
        <v>MỸ</v>
      </c>
      <c r="F336" s="5">
        <f>IFERROR(__xludf.DUMMYFUNCTION("""COMPUTED_VALUE"""),2004.0)</f>
        <v>2004</v>
      </c>
      <c r="G336" s="5" t="str">
        <f>IFERROR(__xludf.DUMMYFUNCTION("""COMPUTED_VALUE"""),"5520")</f>
        <v>5520</v>
      </c>
      <c r="H336" s="5" t="str">
        <f>IFERROR(__xludf.DUMMYFUNCTION("""COMPUTED_VALUE"""),"89HP")</f>
        <v>89HP</v>
      </c>
      <c r="I336" s="5" t="str">
        <f>IFERROR(__xludf.DUMMYFUNCTION("""COMPUTED_VALUE"""),"54110883Y")</f>
        <v>54110883Y</v>
      </c>
      <c r="J336" s="5" t="str">
        <f>IFERROR(__xludf.DUMMYFUNCTION("""COMPUTED_VALUE"""),"PE4045D043015")</f>
        <v>PE4045D043015</v>
      </c>
      <c r="K336" s="5"/>
      <c r="L336" s="5" t="str">
        <f>IFERROR(__xludf.DUMMYFUNCTION("""COMPUTED_VALUE"""),"KLH")</f>
        <v>KLH</v>
      </c>
    </row>
    <row r="337">
      <c r="A337" s="168" t="str">
        <f>IFERROR(__xludf.DUMMYFUNCTION("""COMPUTED_VALUE"""),"XB1-MKE-038")</f>
        <v>XB1-MKE-038</v>
      </c>
      <c r="B337" s="3" t="str">
        <f>IFERROR(__xludf.DUMMYFUNCTION("""COMPUTED_VALUE"""),"Máy cày JD 5510")</f>
        <v>Máy cày JD 5510</v>
      </c>
      <c r="C337" s="5" t="str">
        <f>IFERROR(__xludf.DUMMYFUNCTION("""COMPUTED_VALUE"""),"XN Bò AD")</f>
        <v>XN Bò AD</v>
      </c>
      <c r="D337" s="5" t="str">
        <f>IFERROR(__xludf.DUMMYFUNCTION("""COMPUTED_VALUE"""),"JOHN DEERE")</f>
        <v>JOHN DEERE</v>
      </c>
      <c r="E337" s="5" t="str">
        <f>IFERROR(__xludf.DUMMYFUNCTION("""COMPUTED_VALUE"""),"MỸ")</f>
        <v>MỸ</v>
      </c>
      <c r="F337" s="5">
        <f>IFERROR(__xludf.DUMMYFUNCTION("""COMPUTED_VALUE"""),2004.0)</f>
        <v>2004</v>
      </c>
      <c r="G337" s="5" t="str">
        <f>IFERROR(__xludf.DUMMYFUNCTION("""COMPUTED_VALUE"""),"5510")</f>
        <v>5510</v>
      </c>
      <c r="H337" s="5" t="str">
        <f>IFERROR(__xludf.DUMMYFUNCTION("""COMPUTED_VALUE"""),"89HP")</f>
        <v>89HP</v>
      </c>
      <c r="I337" s="5" t="str">
        <f>IFERROR(__xludf.DUMMYFUNCTION("""COMPUTED_VALUE"""),"54110015Y")</f>
        <v>54110015Y</v>
      </c>
      <c r="J337" s="5" t="str">
        <f>IFERROR(__xludf.DUMMYFUNCTION("""COMPUTED_VALUE"""),"PE4045D043101")</f>
        <v>PE4045D043101</v>
      </c>
      <c r="K337" s="5"/>
      <c r="L337" s="5" t="str">
        <f>IFERROR(__xludf.DUMMYFUNCTION("""COMPUTED_VALUE"""),"KLH")</f>
        <v>KLH</v>
      </c>
    </row>
    <row r="338">
      <c r="A338" s="168" t="str">
        <f>IFERROR(__xludf.DUMMYFUNCTION("""COMPUTED_VALUE"""),"XB1-MKE-039")</f>
        <v>XB1-MKE-039</v>
      </c>
      <c r="B338" s="3" t="str">
        <f>IFERROR(__xludf.DUMMYFUNCTION("""COMPUTED_VALUE"""),"Máy cày JD 6200")</f>
        <v>Máy cày JD 6200</v>
      </c>
      <c r="C338" s="5" t="str">
        <f>IFERROR(__xludf.DUMMYFUNCTION("""COMPUTED_VALUE"""),"XN Bò AD")</f>
        <v>XN Bò AD</v>
      </c>
      <c r="D338" s="5" t="str">
        <f>IFERROR(__xludf.DUMMYFUNCTION("""COMPUTED_VALUE"""),"JOHN DEERE")</f>
        <v>JOHN DEERE</v>
      </c>
      <c r="E338" s="5" t="str">
        <f>IFERROR(__xludf.DUMMYFUNCTION("""COMPUTED_VALUE"""),"ĐỨC")</f>
        <v>ĐỨC</v>
      </c>
      <c r="F338" s="5">
        <f>IFERROR(__xludf.DUMMYFUNCTION("""COMPUTED_VALUE"""),1998.0)</f>
        <v>1998</v>
      </c>
      <c r="G338" s="5" t="str">
        <f>IFERROR(__xludf.DUMMYFUNCTION("""COMPUTED_VALUE"""),"6200")</f>
        <v>6200</v>
      </c>
      <c r="H338" s="5" t="str">
        <f>IFERROR(__xludf.DUMMYFUNCTION("""COMPUTED_VALUE"""),"90HP")</f>
        <v>90HP</v>
      </c>
      <c r="I338" s="5" t="str">
        <f>IFERROR(__xludf.DUMMYFUNCTION("""COMPUTED_VALUE"""),"L06200X115877")</f>
        <v>L06200X115877</v>
      </c>
      <c r="J338" s="5" t="str">
        <f>IFERROR(__xludf.DUMMYFUNCTION("""COMPUTED_VALUE"""),"CD4039T142137")</f>
        <v>CD4039T142137</v>
      </c>
      <c r="K338" s="5">
        <f>IFERROR(__xludf.DUMMYFUNCTION("""COMPUTED_VALUE"""),6.5)</f>
        <v>6.5</v>
      </c>
      <c r="L338" s="5" t="str">
        <f>IFERROR(__xludf.DUMMYFUNCTION("""COMPUTED_VALUE"""),"KLH")</f>
        <v>KLH</v>
      </c>
    </row>
    <row r="339">
      <c r="A339" s="168" t="str">
        <f>IFERROR(__xludf.DUMMYFUNCTION("""COMPUTED_VALUE"""),"XB1-MKE-040")</f>
        <v>XB1-MKE-040</v>
      </c>
      <c r="B339" s="3" t="str">
        <f>IFERROR(__xludf.DUMMYFUNCTION("""COMPUTED_VALUE"""),"Máy cày JD 5425")</f>
        <v>Máy cày JD 5425</v>
      </c>
      <c r="C339" s="5" t="str">
        <f>IFERROR(__xludf.DUMMYFUNCTION("""COMPUTED_VALUE"""),"XN Bò AD")</f>
        <v>XN Bò AD</v>
      </c>
      <c r="D339" s="5" t="str">
        <f>IFERROR(__xludf.DUMMYFUNCTION("""COMPUTED_VALUE"""),"JOHN DEERE")</f>
        <v>JOHN DEERE</v>
      </c>
      <c r="E339" s="5" t="str">
        <f>IFERROR(__xludf.DUMMYFUNCTION("""COMPUTED_VALUE"""),"MỸ")</f>
        <v>MỸ</v>
      </c>
      <c r="F339" s="5">
        <f>IFERROR(__xludf.DUMMYFUNCTION("""COMPUTED_VALUE"""),2006.0)</f>
        <v>2006</v>
      </c>
      <c r="G339" s="5" t="str">
        <f>IFERROR(__xludf.DUMMYFUNCTION("""COMPUTED_VALUE"""),"5425")</f>
        <v>5425</v>
      </c>
      <c r="H339" s="5" t="str">
        <f>IFERROR(__xludf.DUMMYFUNCTION("""COMPUTED_VALUE"""),"81HP")</f>
        <v>81HP</v>
      </c>
      <c r="I339" s="5" t="str">
        <f>IFERROR(__xludf.DUMMYFUNCTION("""COMPUTED_VALUE"""),"542510101Y")</f>
        <v>542510101Y</v>
      </c>
      <c r="J339" s="5" t="str">
        <f>IFERROR(__xludf.DUMMYFUNCTION("""COMPUTED_VALUE"""),"PE4045T722734")</f>
        <v>PE4045T722734</v>
      </c>
      <c r="K339" s="5"/>
      <c r="L339" s="5" t="str">
        <f>IFERROR(__xludf.DUMMYFUNCTION("""COMPUTED_VALUE"""),"KLH")</f>
        <v>KLH</v>
      </c>
    </row>
    <row r="340">
      <c r="A340" s="168" t="str">
        <f>IFERROR(__xludf.DUMMYFUNCTION("""COMPUTED_VALUE"""),"XB1-MKE-041")</f>
        <v>XB1-MKE-041</v>
      </c>
      <c r="B340" s="3" t="str">
        <f>IFERROR(__xludf.DUMMYFUNCTION("""COMPUTED_VALUE"""),"Máy cày LOVOL P4100")</f>
        <v>Máy cày LOVOL P4100</v>
      </c>
      <c r="C340" s="5" t="str">
        <f>IFERROR(__xludf.DUMMYFUNCTION("""COMPUTED_VALUE"""),"XN Bò AD")</f>
        <v>XN Bò AD</v>
      </c>
      <c r="D340" s="5" t="str">
        <f>IFERROR(__xludf.DUMMYFUNCTION("""COMPUTED_VALUE"""),"LOVOL")</f>
        <v>LOVOL</v>
      </c>
      <c r="E340" s="5" t="str">
        <f>IFERROR(__xludf.DUMMYFUNCTION("""COMPUTED_VALUE"""),"TRUNG QUỐC ")</f>
        <v>TRUNG QUỐC </v>
      </c>
      <c r="F340" s="5">
        <f>IFERROR(__xludf.DUMMYFUNCTION("""COMPUTED_VALUE"""),2024.0)</f>
        <v>2024</v>
      </c>
      <c r="G340" s="5" t="str">
        <f>IFERROR(__xludf.DUMMYFUNCTION("""COMPUTED_VALUE"""),"P4100")</f>
        <v>P4100</v>
      </c>
      <c r="H340" s="5" t="str">
        <f>IFERROR(__xludf.DUMMYFUNCTION("""COMPUTED_VALUE"""),"98HP")</f>
        <v>98HP</v>
      </c>
      <c r="I340" s="5" t="str">
        <f>IFERROR(__xludf.DUMMYFUNCTION("""COMPUTED_VALUE"""),"E424H012739")</f>
        <v>E424H012739</v>
      </c>
      <c r="J340" s="5" t="str">
        <f>IFERROR(__xludf.DUMMYFUNCTION("""COMPUTED_VALUE"""),"P400120RV")</f>
        <v>P400120RV</v>
      </c>
      <c r="K340" s="5">
        <f>IFERROR(__xludf.DUMMYFUNCTION("""COMPUTED_VALUE"""),6.0)</f>
        <v>6</v>
      </c>
      <c r="L340" s="5" t="str">
        <f>IFERROR(__xludf.DUMMYFUNCTION("""COMPUTED_VALUE"""),"KLH")</f>
        <v>KLH</v>
      </c>
    </row>
    <row r="341">
      <c r="A341" s="168" t="str">
        <f>IFERROR(__xludf.DUMMYFUNCTION("""COMPUTED_VALUE"""),"XB1-MKE-043")</f>
        <v>XB1-MKE-043</v>
      </c>
      <c r="B341" s="3" t="str">
        <f>IFERROR(__xludf.DUMMYFUNCTION("""COMPUTED_VALUE"""),"Máy cày LOVOL 2204")</f>
        <v>Máy cày LOVOL 2204</v>
      </c>
      <c r="C341" s="5" t="str">
        <f>IFERROR(__xludf.DUMMYFUNCTION("""COMPUTED_VALUE"""),"XN Bò AD")</f>
        <v>XN Bò AD</v>
      </c>
      <c r="D341" s="5" t="str">
        <f>IFERROR(__xludf.DUMMYFUNCTION("""COMPUTED_VALUE"""),"LOVOL")</f>
        <v>LOVOL</v>
      </c>
      <c r="E341" s="5" t="str">
        <f>IFERROR(__xludf.DUMMYFUNCTION("""COMPUTED_VALUE"""),"TRUNG QUỐC ")</f>
        <v>TRUNG QUỐC </v>
      </c>
      <c r="F341" s="5">
        <f>IFERROR(__xludf.DUMMYFUNCTION("""COMPUTED_VALUE"""),2024.0)</f>
        <v>2024</v>
      </c>
      <c r="G341" s="5" t="str">
        <f>IFERROR(__xludf.DUMMYFUNCTION("""COMPUTED_VALUE"""),"TR2204")</f>
        <v>TR2204</v>
      </c>
      <c r="H341" s="5" t="str">
        <f>IFERROR(__xludf.DUMMYFUNCTION("""COMPUTED_VALUE"""),"217HP")</f>
        <v>217HP</v>
      </c>
      <c r="I341" s="5" t="str">
        <f>IFERROR(__xludf.DUMMYFUNCTION("""COMPUTED_VALUE"""),"M600085RM")</f>
        <v>M600085RM</v>
      </c>
      <c r="J341" s="5" t="str">
        <f>IFERROR(__xludf.DUMMYFUNCTION("""COMPUTED_VALUE"""),"7324C004472")</f>
        <v>7324C004472</v>
      </c>
      <c r="K341" s="5">
        <f>IFERROR(__xludf.DUMMYFUNCTION("""COMPUTED_VALUE"""),17.5)</f>
        <v>17.5</v>
      </c>
      <c r="L341" s="5" t="str">
        <f>IFERROR(__xludf.DUMMYFUNCTION("""COMPUTED_VALUE"""),"KLH")</f>
        <v>KLH</v>
      </c>
    </row>
    <row r="342">
      <c r="A342" s="168" t="str">
        <f>IFERROR(__xludf.DUMMYFUNCTION("""COMPUTED_VALUE"""),"XB1-MKE-044")</f>
        <v>XB1-MKE-044</v>
      </c>
      <c r="B342" s="3" t="str">
        <f>IFERROR(__xludf.DUMMYFUNCTION("""COMPUTED_VALUE"""),"Máy cày KAM50")</f>
        <v>Máy cày KAM50</v>
      </c>
      <c r="C342" s="5" t="str">
        <f>IFERROR(__xludf.DUMMYFUNCTION("""COMPUTED_VALUE"""),"XN Bò AD")</f>
        <v>XN Bò AD</v>
      </c>
      <c r="D342" s="5" t="str">
        <f>IFERROR(__xludf.DUMMYFUNCTION("""COMPUTED_VALUE"""),"THACO")</f>
        <v>THACO</v>
      </c>
      <c r="E342" s="5" t="str">
        <f>IFERROR(__xludf.DUMMYFUNCTION("""COMPUTED_VALUE"""),"VIỆT NAM")</f>
        <v>VIỆT NAM</v>
      </c>
      <c r="F342" s="5">
        <f>IFERROR(__xludf.DUMMYFUNCTION("""COMPUTED_VALUE"""),2018.0)</f>
        <v>2018</v>
      </c>
      <c r="G342" s="5" t="str">
        <f>IFERROR(__xludf.DUMMYFUNCTION("""COMPUTED_VALUE"""),"KAM50")</f>
        <v>KAM50</v>
      </c>
      <c r="H342" s="5" t="str">
        <f>IFERROR(__xludf.DUMMYFUNCTION("""COMPUTED_VALUE"""),"50HP")</f>
        <v>50HP</v>
      </c>
      <c r="I342" s="5" t="str">
        <f>IFERROR(__xludf.DUMMYFUNCTION("""COMPUTED_VALUE"""),"C000015")</f>
        <v>C000015</v>
      </c>
      <c r="J342" s="5" t="str">
        <f>IFERROR(__xludf.DUMMYFUNCTION("""COMPUTED_VALUE"""),"CCN")</f>
        <v>CCN</v>
      </c>
      <c r="K342" s="5">
        <f>IFERROR(__xludf.DUMMYFUNCTION("""COMPUTED_VALUE"""),2.5)</f>
        <v>2.5</v>
      </c>
      <c r="L342" s="5" t="str">
        <f>IFERROR(__xludf.DUMMYFUNCTION("""COMPUTED_VALUE"""),"KLH")</f>
        <v>KLH</v>
      </c>
    </row>
    <row r="343">
      <c r="A343" s="168" t="str">
        <f>IFERROR(__xludf.DUMMYFUNCTION("""COMPUTED_VALUE"""),"XB1-MKE-045")</f>
        <v>XB1-MKE-045</v>
      </c>
      <c r="B343" s="3" t="str">
        <f>IFERROR(__xludf.DUMMYFUNCTION("""COMPUTED_VALUE"""),"Máy cày JD 6603")</f>
        <v>Máy cày JD 6603</v>
      </c>
      <c r="C343" s="5" t="str">
        <f>IFERROR(__xludf.DUMMYFUNCTION("""COMPUTED_VALUE"""),"XN Bò AD")</f>
        <v>XN Bò AD</v>
      </c>
      <c r="D343" s="5" t="str">
        <f>IFERROR(__xludf.DUMMYFUNCTION("""COMPUTED_VALUE"""),"JOHN DEERE")</f>
        <v>JOHN DEERE</v>
      </c>
      <c r="E343" s="5" t="str">
        <f>IFERROR(__xludf.DUMMYFUNCTION("""COMPUTED_VALUE"""),"MỸ")</f>
        <v>MỸ</v>
      </c>
      <c r="F343" s="5">
        <f>IFERROR(__xludf.DUMMYFUNCTION("""COMPUTED_VALUE"""),2018.0)</f>
        <v>2018</v>
      </c>
      <c r="G343" s="5" t="str">
        <f>IFERROR(__xludf.DUMMYFUNCTION("""COMPUTED_VALUE"""),"6603")</f>
        <v>6603</v>
      </c>
      <c r="H343" s="5" t="str">
        <f>IFERROR(__xludf.DUMMYFUNCTION("""COMPUTED_VALUE"""),"120HP")</f>
        <v>120HP</v>
      </c>
      <c r="I343" s="5" t="str">
        <f>IFERROR(__xludf.DUMMYFUNCTION("""COMPUTED_VALUE"""),"32550")</f>
        <v>32550</v>
      </c>
      <c r="J343" s="5" t="str">
        <f>IFERROR(__xludf.DUMMYFUNCTION("""COMPUTED_VALUE"""),"CCN")</f>
        <v>CCN</v>
      </c>
      <c r="K343" s="5">
        <f>IFERROR(__xludf.DUMMYFUNCTION("""COMPUTED_VALUE"""),9.0)</f>
        <v>9</v>
      </c>
      <c r="L343" s="5" t="str">
        <f>IFERROR(__xludf.DUMMYFUNCTION("""COMPUTED_VALUE"""),"KLH")</f>
        <v>KLH</v>
      </c>
    </row>
    <row r="344">
      <c r="A344" s="168" t="str">
        <f>IFERROR(__xludf.DUMMYFUNCTION("""COMPUTED_VALUE"""),"XB1-MKE-046")</f>
        <v>XB1-MKE-046</v>
      </c>
      <c r="B344" s="3" t="str">
        <f>IFERROR(__xludf.DUMMYFUNCTION("""COMPUTED_VALUE"""),"Máy cày JD 6155J")</f>
        <v>Máy cày JD 6155J</v>
      </c>
      <c r="C344" s="5" t="str">
        <f>IFERROR(__xludf.DUMMYFUNCTION("""COMPUTED_VALUE"""),"XN Bò AD")</f>
        <v>XN Bò AD</v>
      </c>
      <c r="D344" s="5" t="str">
        <f>IFERROR(__xludf.DUMMYFUNCTION("""COMPUTED_VALUE"""),"JOHN DEERE")</f>
        <v>JOHN DEERE</v>
      </c>
      <c r="E344" s="5" t="str">
        <f>IFERROR(__xludf.DUMMYFUNCTION("""COMPUTED_VALUE"""),"MỸ")</f>
        <v>MỸ</v>
      </c>
      <c r="F344" s="5">
        <f>IFERROR(__xludf.DUMMYFUNCTION("""COMPUTED_VALUE"""),2024.0)</f>
        <v>2024</v>
      </c>
      <c r="G344" s="5" t="str">
        <f>IFERROR(__xludf.DUMMYFUNCTION("""COMPUTED_VALUE"""),"6155J")</f>
        <v>6155J</v>
      </c>
      <c r="H344" s="5" t="str">
        <f>IFERROR(__xludf.DUMMYFUNCTION("""COMPUTED_VALUE"""),"155HP")</f>
        <v>155HP</v>
      </c>
      <c r="I344" s="5" t="str">
        <f>IFERROR(__xludf.DUMMYFUNCTION("""COMPUTED_VALUE"""),"1P06155JPR8010864")</f>
        <v>1P06155JPR8010864</v>
      </c>
      <c r="J344" s="5" t="str">
        <f>IFERROR(__xludf.DUMMYFUNCTION("""COMPUTED_VALUE"""),"PE6068J008216")</f>
        <v>PE6068J008216</v>
      </c>
      <c r="K344" s="5">
        <f>IFERROR(__xludf.DUMMYFUNCTION("""COMPUTED_VALUE"""),14.0)</f>
        <v>14</v>
      </c>
      <c r="L344" s="5" t="str">
        <f>IFERROR(__xludf.DUMMYFUNCTION("""COMPUTED_VALUE"""),"KLH")</f>
        <v>KLH</v>
      </c>
    </row>
    <row r="345">
      <c r="A345" s="168" t="str">
        <f>IFERROR(__xludf.DUMMYFUNCTION("""COMPUTED_VALUE"""),"XB1-MKE-047")</f>
        <v>XB1-MKE-047</v>
      </c>
      <c r="B345" s="3" t="str">
        <f>IFERROR(__xludf.DUMMYFUNCTION("""COMPUTED_VALUE"""),"Máy cày JD 6120B")</f>
        <v>Máy cày JD 6120B</v>
      </c>
      <c r="C345" s="5" t="str">
        <f>IFERROR(__xludf.DUMMYFUNCTION("""COMPUTED_VALUE"""),"XN Bò AD")</f>
        <v>XN Bò AD</v>
      </c>
      <c r="D345" s="5" t="str">
        <f>IFERROR(__xludf.DUMMYFUNCTION("""COMPUTED_VALUE"""),"JOHN DEERE")</f>
        <v>JOHN DEERE</v>
      </c>
      <c r="E345" s="5" t="str">
        <f>IFERROR(__xludf.DUMMYFUNCTION("""COMPUTED_VALUE"""),"TRUNG QUỐC ")</f>
        <v>TRUNG QUỐC </v>
      </c>
      <c r="F345" s="5">
        <f>IFERROR(__xludf.DUMMYFUNCTION("""COMPUTED_VALUE"""),2025.0)</f>
        <v>2025</v>
      </c>
      <c r="G345" s="5" t="str">
        <f>IFERROR(__xludf.DUMMYFUNCTION("""COMPUTED_VALUE"""),"6120B")</f>
        <v>6120B</v>
      </c>
      <c r="H345" s="5" t="str">
        <f>IFERROR(__xludf.DUMMYFUNCTION("""COMPUTED_VALUE"""),"120HP")</f>
        <v>120HP</v>
      </c>
      <c r="I345" s="5" t="str">
        <f>IFERROR(__xludf.DUMMYFUNCTION("""COMPUTED_VALUE"""),"1YR6120BLSV220083")</f>
        <v>1YR6120BLSV220083</v>
      </c>
      <c r="J345" s="5" t="str">
        <f>IFERROR(__xludf.DUMMYFUNCTION("""COMPUTED_VALUE"""),"PE4045N051252")</f>
        <v>PE4045N051252</v>
      </c>
      <c r="K345" s="5">
        <f>IFERROR(__xludf.DUMMYFUNCTION("""COMPUTED_VALUE"""),9.5)</f>
        <v>9.5</v>
      </c>
      <c r="L345" s="5" t="str">
        <f>IFERROR(__xludf.DUMMYFUNCTION("""COMPUTED_VALUE"""),"KLH")</f>
        <v>KLH</v>
      </c>
    </row>
    <row r="346">
      <c r="A346" s="168" t="str">
        <f>IFERROR(__xludf.DUMMYFUNCTION("""COMPUTED_VALUE"""),"XB1-MKE-048")</f>
        <v>XB1-MKE-048</v>
      </c>
      <c r="B346" s="3" t="str">
        <f>IFERROR(__xludf.DUMMYFUNCTION("""COMPUTED_VALUE"""),"Máy cày JD 6120B")</f>
        <v>Máy cày JD 6120B</v>
      </c>
      <c r="C346" s="5" t="str">
        <f>IFERROR(__xludf.DUMMYFUNCTION("""COMPUTED_VALUE"""),"XN Bò AD")</f>
        <v>XN Bò AD</v>
      </c>
      <c r="D346" s="5" t="str">
        <f>IFERROR(__xludf.DUMMYFUNCTION("""COMPUTED_VALUE"""),"JOHN DEERE")</f>
        <v>JOHN DEERE</v>
      </c>
      <c r="E346" s="5" t="str">
        <f>IFERROR(__xludf.DUMMYFUNCTION("""COMPUTED_VALUE"""),"TRUNG QUỐC ")</f>
        <v>TRUNG QUỐC </v>
      </c>
      <c r="F346" s="5">
        <f>IFERROR(__xludf.DUMMYFUNCTION("""COMPUTED_VALUE"""),2025.0)</f>
        <v>2025</v>
      </c>
      <c r="G346" s="5" t="str">
        <f>IFERROR(__xludf.DUMMYFUNCTION("""COMPUTED_VALUE"""),"6120B")</f>
        <v>6120B</v>
      </c>
      <c r="H346" s="5" t="str">
        <f>IFERROR(__xludf.DUMMYFUNCTION("""COMPUTED_VALUE"""),"120HP")</f>
        <v>120HP</v>
      </c>
      <c r="I346" s="5" t="str">
        <f>IFERROR(__xludf.DUMMYFUNCTION("""COMPUTED_VALUE"""),"1YR6120BHSV220084")</f>
        <v>1YR6120BHSV220084</v>
      </c>
      <c r="J346" s="5" t="str">
        <f>IFERROR(__xludf.DUMMYFUNCTION("""COMPUTED_VALUE"""),"PE4045N051256")</f>
        <v>PE4045N051256</v>
      </c>
      <c r="K346" s="5">
        <f>IFERROR(__xludf.DUMMYFUNCTION("""COMPUTED_VALUE"""),9.5)</f>
        <v>9.5</v>
      </c>
      <c r="L346" s="5" t="str">
        <f>IFERROR(__xludf.DUMMYFUNCTION("""COMPUTED_VALUE"""),"KLH")</f>
        <v>KLH</v>
      </c>
    </row>
    <row r="347">
      <c r="A347" s="168" t="str">
        <f>IFERROR(__xludf.DUMMYFUNCTION("""COMPUTED_VALUE"""),"XB1-MKE-049")</f>
        <v>XB1-MKE-049</v>
      </c>
      <c r="B347" s="3" t="str">
        <f>IFERROR(__xludf.DUMMYFUNCTION("""COMPUTED_VALUE"""),"Máy cày JD 6200")</f>
        <v>Máy cày JD 6200</v>
      </c>
      <c r="C347" s="5" t="str">
        <f>IFERROR(__xludf.DUMMYFUNCTION("""COMPUTED_VALUE"""),"XN Bò AD")</f>
        <v>XN Bò AD</v>
      </c>
      <c r="D347" s="5" t="str">
        <f>IFERROR(__xludf.DUMMYFUNCTION("""COMPUTED_VALUE"""),"JOHN DEERE")</f>
        <v>JOHN DEERE</v>
      </c>
      <c r="E347" s="5" t="str">
        <f>IFERROR(__xludf.DUMMYFUNCTION("""COMPUTED_VALUE"""),"TRUNG QUỐC ")</f>
        <v>TRUNG QUỐC </v>
      </c>
      <c r="F347" s="5">
        <f>IFERROR(__xludf.DUMMYFUNCTION("""COMPUTED_VALUE"""),1998.0)</f>
        <v>1998</v>
      </c>
      <c r="G347" s="5" t="str">
        <f>IFERROR(__xludf.DUMMYFUNCTION("""COMPUTED_VALUE"""),"6200")</f>
        <v>6200</v>
      </c>
      <c r="H347" s="5" t="str">
        <f>IFERROR(__xludf.DUMMYFUNCTION("""COMPUTED_VALUE"""),"90HP")</f>
        <v>90HP</v>
      </c>
      <c r="I347" s="5" t="str">
        <f>IFERROR(__xludf.DUMMYFUNCTION("""COMPUTED_VALUE"""),"L06200X154907")</f>
        <v>L06200X154907</v>
      </c>
      <c r="J347" s="5" t="str">
        <f>IFERROR(__xludf.DUMMYFUNCTION("""COMPUTED_VALUE"""),"CD4039T232227")</f>
        <v>CD4039T232227</v>
      </c>
      <c r="K347" s="5"/>
      <c r="L347" s="5" t="str">
        <f>IFERROR(__xludf.DUMMYFUNCTION("""COMPUTED_VALUE"""),"KLH")</f>
        <v>KLH</v>
      </c>
    </row>
    <row r="348">
      <c r="A348" s="168" t="str">
        <f>IFERROR(__xludf.DUMMYFUNCTION("""COMPUTED_VALUE"""),"XB1-MKE-050")</f>
        <v>XB1-MKE-050</v>
      </c>
      <c r="B348" s="3" t="str">
        <f>IFERROR(__xludf.DUMMYFUNCTION("""COMPUTED_VALUE"""),"Máy cày JD 6210")</f>
        <v>Máy cày JD 6210</v>
      </c>
      <c r="C348" s="5" t="str">
        <f>IFERROR(__xludf.DUMMYFUNCTION("""COMPUTED_VALUE"""),"XN Bò AD")</f>
        <v>XN Bò AD</v>
      </c>
      <c r="D348" s="5" t="str">
        <f>IFERROR(__xludf.DUMMYFUNCTION("""COMPUTED_VALUE"""),"JOHN DEERE")</f>
        <v>JOHN DEERE</v>
      </c>
      <c r="E348" s="5" t="str">
        <f>IFERROR(__xludf.DUMMYFUNCTION("""COMPUTED_VALUE"""),"TRUNG QUỐC ")</f>
        <v>TRUNG QUỐC </v>
      </c>
      <c r="F348" s="5">
        <f>IFERROR(__xludf.DUMMYFUNCTION("""COMPUTED_VALUE"""),1999.0)</f>
        <v>1999</v>
      </c>
      <c r="G348" s="5" t="str">
        <f>IFERROR(__xludf.DUMMYFUNCTION("""COMPUTED_VALUE"""),"6210")</f>
        <v>6210</v>
      </c>
      <c r="H348" s="5" t="str">
        <f>IFERROR(__xludf.DUMMYFUNCTION("""COMPUTED_VALUE"""),"95HP")</f>
        <v>95HP</v>
      </c>
      <c r="I348" s="5" t="str">
        <f>IFERROR(__xludf.DUMMYFUNCTION("""COMPUTED_VALUE"""),"322019L")</f>
        <v>322019L</v>
      </c>
      <c r="J348" s="5" t="str">
        <f>IFERROR(__xludf.DUMMYFUNCTION("""COMPUTED_VALUE"""),"CD4045T534901")</f>
        <v>CD4045T534901</v>
      </c>
      <c r="K348" s="5"/>
      <c r="L348" s="5" t="str">
        <f>IFERROR(__xludf.DUMMYFUNCTION("""COMPUTED_VALUE"""),"KLH")</f>
        <v>KLH</v>
      </c>
    </row>
    <row r="349">
      <c r="A349" s="168" t="str">
        <f>IFERROR(__xludf.DUMMYFUNCTION("""COMPUTED_VALUE"""),"XB1-MKE-051")</f>
        <v>XB1-MKE-051</v>
      </c>
      <c r="B349" s="3" t="str">
        <f>IFERROR(__xludf.DUMMYFUNCTION("""COMPUTED_VALUE"""),"Máy cày JD 6620")</f>
        <v>Máy cày JD 6620</v>
      </c>
      <c r="C349" s="5" t="str">
        <f>IFERROR(__xludf.DUMMYFUNCTION("""COMPUTED_VALUE"""),"XN Bò AD")</f>
        <v>XN Bò AD</v>
      </c>
      <c r="D349" s="5" t="str">
        <f>IFERROR(__xludf.DUMMYFUNCTION("""COMPUTED_VALUE"""),"JOHN DEERE")</f>
        <v>JOHN DEERE</v>
      </c>
      <c r="E349" s="5" t="str">
        <f>IFERROR(__xludf.DUMMYFUNCTION("""COMPUTED_VALUE"""),"TRUNG QUỐC ")</f>
        <v>TRUNG QUỐC </v>
      </c>
      <c r="F349" s="5">
        <f>IFERROR(__xludf.DUMMYFUNCTION("""COMPUTED_VALUE"""),1999.0)</f>
        <v>1999</v>
      </c>
      <c r="G349" s="5" t="str">
        <f>IFERROR(__xludf.DUMMYFUNCTION("""COMPUTED_VALUE"""),"6620")</f>
        <v>6620</v>
      </c>
      <c r="H349" s="5" t="str">
        <f>IFERROR(__xludf.DUMMYFUNCTION("""COMPUTED_VALUE"""),"120HP")</f>
        <v>120HP</v>
      </c>
      <c r="I349" s="5" t="str">
        <f>IFERROR(__xludf.DUMMYFUNCTION("""COMPUTED_VALUE"""),"L06620D501194")</f>
        <v>L06620D501194</v>
      </c>
      <c r="J349" s="5" t="str">
        <f>IFERROR(__xludf.DUMMYFUNCTION("""COMPUTED_VALUE"""),"CD6068G073699")</f>
        <v>CD6068G073699</v>
      </c>
      <c r="K349" s="5"/>
      <c r="L349" s="5" t="str">
        <f>IFERROR(__xludf.DUMMYFUNCTION("""COMPUTED_VALUE"""),"KLH")</f>
        <v>KLH</v>
      </c>
    </row>
    <row r="350">
      <c r="A350" s="168" t="str">
        <f>IFERROR(__xludf.DUMMYFUNCTION("""COMPUTED_VALUE"""),"XB1-MKE-052")</f>
        <v>XB1-MKE-052</v>
      </c>
      <c r="B350" s="3" t="str">
        <f>IFERROR(__xludf.DUMMYFUNCTION("""COMPUTED_VALUE"""),"Máy cày LOVOL P4100")</f>
        <v>Máy cày LOVOL P4100</v>
      </c>
      <c r="C350" s="5" t="str">
        <f>IFERROR(__xludf.DUMMYFUNCTION("""COMPUTED_VALUE"""),"XN Bò AD")</f>
        <v>XN Bò AD</v>
      </c>
      <c r="D350" s="5" t="str">
        <f>IFERROR(__xludf.DUMMYFUNCTION("""COMPUTED_VALUE"""),"LOVOL")</f>
        <v>LOVOL</v>
      </c>
      <c r="E350" s="5" t="str">
        <f>IFERROR(__xludf.DUMMYFUNCTION("""COMPUTED_VALUE"""),"TRUNG QUỐC ")</f>
        <v>TRUNG QUỐC </v>
      </c>
      <c r="F350" s="5">
        <f>IFERROR(__xludf.DUMMYFUNCTION("""COMPUTED_VALUE"""),2026.0)</f>
        <v>2026</v>
      </c>
      <c r="G350" s="5" t="str">
        <f>IFERROR(__xludf.DUMMYFUNCTION("""COMPUTED_VALUE"""),"P4100")</f>
        <v>P4100</v>
      </c>
      <c r="H350" s="5" t="str">
        <f>IFERROR(__xludf.DUMMYFUNCTION("""COMPUTED_VALUE"""),"100 HP")</f>
        <v>100 HP</v>
      </c>
      <c r="I350" s="5" t="str">
        <f>IFERROR(__xludf.DUMMYFUNCTION("""COMPUTED_VALUE"""),"P400050TM")</f>
        <v>P400050TM</v>
      </c>
      <c r="J350" s="5" t="str">
        <f>IFERROR(__xludf.DUMMYFUNCTION("""COMPUTED_VALUE"""),"E426C008054")</f>
        <v>E426C008054</v>
      </c>
      <c r="K350" s="5"/>
      <c r="L350" s="5" t="str">
        <f>IFERROR(__xludf.DUMMYFUNCTION("""COMPUTED_VALUE"""),"KLH")</f>
        <v>KLH</v>
      </c>
    </row>
    <row r="351">
      <c r="A351" s="168" t="str">
        <f>IFERROR(__xludf.DUMMYFUNCTION("""COMPUTED_VALUE"""),"XB1-MKE-053")</f>
        <v>XB1-MKE-053</v>
      </c>
      <c r="B351" s="3" t="str">
        <f>IFERROR(__xludf.DUMMYFUNCTION("""COMPUTED_VALUE"""),"Máy cày LOVOL 1504")</f>
        <v>Máy cày LOVOL 1504</v>
      </c>
      <c r="C351" s="5" t="str">
        <f>IFERROR(__xludf.DUMMYFUNCTION("""COMPUTED_VALUE"""),"XN Bò AD")</f>
        <v>XN Bò AD</v>
      </c>
      <c r="D351" s="5" t="str">
        <f>IFERROR(__xludf.DUMMYFUNCTION("""COMPUTED_VALUE"""),"LOVOL")</f>
        <v>LOVOL</v>
      </c>
      <c r="E351" s="5" t="str">
        <f>IFERROR(__xludf.DUMMYFUNCTION("""COMPUTED_VALUE"""),"Trung Quốc")</f>
        <v>Trung Quốc</v>
      </c>
      <c r="F351" s="5">
        <f>IFERROR(__xludf.DUMMYFUNCTION("""COMPUTED_VALUE"""),2025.0)</f>
        <v>2025</v>
      </c>
      <c r="G351" s="5" t="str">
        <f>IFERROR(__xludf.DUMMYFUNCTION("""COMPUTED_VALUE"""),"1504")</f>
        <v>1504</v>
      </c>
      <c r="H351" s="5" t="str">
        <f>IFERROR(__xludf.DUMMYFUNCTION("""COMPUTED_VALUE"""),"150HP")</f>
        <v>150HP</v>
      </c>
      <c r="I351" s="5" t="str">
        <f>IFERROR(__xludf.DUMMYFUNCTION("""COMPUTED_VALUE"""),"M600278SX")</f>
        <v>M600278SX</v>
      </c>
      <c r="J351" s="5" t="str">
        <f>IFERROR(__xludf.DUMMYFUNCTION("""COMPUTED_VALUE"""),"WP6G180E3306P25J023349")</f>
        <v>WP6G180E3306P25J023349</v>
      </c>
      <c r="K351" s="5">
        <f>IFERROR(__xludf.DUMMYFUNCTION("""COMPUTED_VALUE"""),13.0)</f>
        <v>13</v>
      </c>
      <c r="L351" s="5" t="str">
        <f>IFERROR(__xludf.DUMMYFUNCTION("""COMPUTED_VALUE"""),"KLH")</f>
        <v>KLH</v>
      </c>
    </row>
    <row r="352">
      <c r="A352" s="168" t="str">
        <f>IFERROR(__xludf.DUMMYFUNCTION("""COMPUTED_VALUE"""),"XB1-MKE-054")</f>
        <v>XB1-MKE-054</v>
      </c>
      <c r="B352" s="3" t="str">
        <f>IFERROR(__xludf.DUMMYFUNCTION("""COMPUTED_VALUE"""),"Máy cày LOVOL P4100")</f>
        <v>Máy cày LOVOL P4100</v>
      </c>
      <c r="C352" s="5" t="str">
        <f>IFERROR(__xludf.DUMMYFUNCTION("""COMPUTED_VALUE"""),"XN Bò AD")</f>
        <v>XN Bò AD</v>
      </c>
      <c r="D352" s="5" t="str">
        <f>IFERROR(__xludf.DUMMYFUNCTION("""COMPUTED_VALUE"""),"LOVOL")</f>
        <v>LOVOL</v>
      </c>
      <c r="E352" s="5" t="str">
        <f>IFERROR(__xludf.DUMMYFUNCTION("""COMPUTED_VALUE"""),"TRUNG QUỐC ")</f>
        <v>TRUNG QUỐC </v>
      </c>
      <c r="F352" s="5">
        <f>IFERROR(__xludf.DUMMYFUNCTION("""COMPUTED_VALUE"""),2026.0)</f>
        <v>2026</v>
      </c>
      <c r="G352" s="5" t="str">
        <f>IFERROR(__xludf.DUMMYFUNCTION("""COMPUTED_VALUE"""),"P4100")</f>
        <v>P4100</v>
      </c>
      <c r="H352" s="5" t="str">
        <f>IFERROR(__xludf.DUMMYFUNCTION("""COMPUTED_VALUE"""),"100 HP")</f>
        <v>100 HP</v>
      </c>
      <c r="I352" s="5" t="str">
        <f>IFERROR(__xludf.DUMMYFUNCTION("""COMPUTED_VALUE"""),"P400051TM")</f>
        <v>P400051TM</v>
      </c>
      <c r="J352" s="5" t="str">
        <f>IFERROR(__xludf.DUMMYFUNCTION("""COMPUTED_VALUE"""),"E426C008049")</f>
        <v>E426C008049</v>
      </c>
      <c r="K352" s="5"/>
      <c r="L352" s="5" t="str">
        <f>IFERROR(__xludf.DUMMYFUNCTION("""COMPUTED_VALUE"""),"KLH")</f>
        <v>KLH</v>
      </c>
    </row>
    <row r="353">
      <c r="A353" s="168" t="str">
        <f>IFERROR(__xludf.DUMMYFUNCTION("""COMPUTED_VALUE"""),"XB1-MKE-055")</f>
        <v>XB1-MKE-055</v>
      </c>
      <c r="B353" s="3" t="str">
        <f>IFERROR(__xludf.DUMMYFUNCTION("""COMPUTED_VALUE"""),"Máy cày LOVOL 1504")</f>
        <v>Máy cày LOVOL 1504</v>
      </c>
      <c r="C353" s="5" t="str">
        <f>IFERROR(__xludf.DUMMYFUNCTION("""COMPUTED_VALUE"""),"XN Bò AD")</f>
        <v>XN Bò AD</v>
      </c>
      <c r="D353" s="5" t="str">
        <f>IFERROR(__xludf.DUMMYFUNCTION("""COMPUTED_VALUE"""),"LOVOL")</f>
        <v>LOVOL</v>
      </c>
      <c r="E353" s="5" t="str">
        <f>IFERROR(__xludf.DUMMYFUNCTION("""COMPUTED_VALUE"""),"Trung Quốc")</f>
        <v>Trung Quốc</v>
      </c>
      <c r="F353" s="5">
        <f>IFERROR(__xludf.DUMMYFUNCTION("""COMPUTED_VALUE"""),2025.0)</f>
        <v>2025</v>
      </c>
      <c r="G353" s="5" t="str">
        <f>IFERROR(__xludf.DUMMYFUNCTION("""COMPUTED_VALUE"""),"1504")</f>
        <v>1504</v>
      </c>
      <c r="H353" s="5" t="str">
        <f>IFERROR(__xludf.DUMMYFUNCTION("""COMPUTED_VALUE"""),"150HP")</f>
        <v>150HP</v>
      </c>
      <c r="I353" s="5" t="str">
        <f>IFERROR(__xludf.DUMMYFUNCTION("""COMPUTED_VALUE"""),"M600280SX")</f>
        <v>M600280SX</v>
      </c>
      <c r="J353" s="5" t="str">
        <f>IFERROR(__xludf.DUMMYFUNCTION("""COMPUTED_VALUE"""),"WP6G180E3306P25J023350")</f>
        <v>WP6G180E3306P25J023350</v>
      </c>
      <c r="K353" s="5">
        <f>IFERROR(__xludf.DUMMYFUNCTION("""COMPUTED_VALUE"""),13.0)</f>
        <v>13</v>
      </c>
      <c r="L353" s="5" t="str">
        <f>IFERROR(__xludf.DUMMYFUNCTION("""COMPUTED_VALUE"""),"KLH")</f>
        <v>KLH</v>
      </c>
    </row>
    <row r="354">
      <c r="A354" s="168" t="str">
        <f>IFERROR(__xludf.DUMMYFUNCTION("""COMPUTED_VALUE"""),"XB1-MKE-056")</f>
        <v>XB1-MKE-056</v>
      </c>
      <c r="B354" s="3" t="str">
        <f>IFERROR(__xludf.DUMMYFUNCTION("""COMPUTED_VALUE"""),"Máy cày JD 6600")</f>
        <v>Máy cày JD 6600</v>
      </c>
      <c r="C354" s="5" t="str">
        <f>IFERROR(__xludf.DUMMYFUNCTION("""COMPUTED_VALUE"""),"XN Bò AD")</f>
        <v>XN Bò AD</v>
      </c>
      <c r="D354" s="5" t="str">
        <f>IFERROR(__xludf.DUMMYFUNCTION("""COMPUTED_VALUE"""),"JOHN DEERE")</f>
        <v>JOHN DEERE</v>
      </c>
      <c r="E354" s="5" t="str">
        <f>IFERROR(__xludf.DUMMYFUNCTION("""COMPUTED_VALUE"""),"Đức")</f>
        <v>Đức</v>
      </c>
      <c r="F354" s="5">
        <f>IFERROR(__xludf.DUMMYFUNCTION("""COMPUTED_VALUE"""),1995.0)</f>
        <v>1995</v>
      </c>
      <c r="G354" s="5" t="str">
        <f>IFERROR(__xludf.DUMMYFUNCTION("""COMPUTED_VALUE"""),"6600")</f>
        <v>6600</v>
      </c>
      <c r="H354" s="5" t="str">
        <f>IFERROR(__xludf.DUMMYFUNCTION("""COMPUTED_VALUE"""),"110HP")</f>
        <v>110HP</v>
      </c>
      <c r="I354" s="5" t="str">
        <f>IFERROR(__xludf.DUMMYFUNCTION("""COMPUTED_VALUE"""),"L06600V172903")</f>
        <v>L06600V172903</v>
      </c>
      <c r="J354" s="5" t="str">
        <f>IFERROR(__xludf.DUMMYFUNCTION("""COMPUTED_VALUE"""),"CD6059T276336")</f>
        <v>CD6059T276336</v>
      </c>
      <c r="K354" s="5"/>
      <c r="L354" s="5" t="str">
        <f>IFERROR(__xludf.DUMMYFUNCTION("""COMPUTED_VALUE"""),"KLH")</f>
        <v>KLH</v>
      </c>
    </row>
    <row r="355">
      <c r="A355" s="168" t="str">
        <f>IFERROR(__xludf.DUMMYFUNCTION("""COMPUTED_VALUE"""),"XB1-MKE-057")</f>
        <v>XB1-MKE-057</v>
      </c>
      <c r="B355" s="3" t="str">
        <f>IFERROR(__xludf.DUMMYFUNCTION("""COMPUTED_VALUE"""),"Máy cày JD 6210")</f>
        <v>Máy cày JD 6210</v>
      </c>
      <c r="C355" s="5" t="str">
        <f>IFERROR(__xludf.DUMMYFUNCTION("""COMPUTED_VALUE"""),"XN Bò AD")</f>
        <v>XN Bò AD</v>
      </c>
      <c r="D355" s="5" t="str">
        <f>IFERROR(__xludf.DUMMYFUNCTION("""COMPUTED_VALUE"""),"JOHNDEERE")</f>
        <v>JOHNDEERE</v>
      </c>
      <c r="E355" s="5" t="str">
        <f>IFERROR(__xludf.DUMMYFUNCTION("""COMPUTED_VALUE"""),"TRUNG QUỐC")</f>
        <v>TRUNG QUỐC</v>
      </c>
      <c r="F355" s="5">
        <f>IFERROR(__xludf.DUMMYFUNCTION("""COMPUTED_VALUE"""),1999.0)</f>
        <v>1999</v>
      </c>
      <c r="G355" s="5" t="str">
        <f>IFERROR(__xludf.DUMMYFUNCTION("""COMPUTED_VALUE"""),"6210")</f>
        <v>6210</v>
      </c>
      <c r="H355" s="5" t="str">
        <f>IFERROR(__xludf.DUMMYFUNCTION("""COMPUTED_VALUE"""),"95HP")</f>
        <v>95HP</v>
      </c>
      <c r="I355" s="5" t="str">
        <f>IFERROR(__xludf.DUMMYFUNCTION("""COMPUTED_VALUE"""),"309429L")</f>
        <v>309429L</v>
      </c>
      <c r="J355" s="5" t="str">
        <f>IFERROR(__xludf.DUMMYFUNCTION("""COMPUTED_VALUE"""),"CD4045T640751")</f>
        <v>CD4045T640751</v>
      </c>
      <c r="K355" s="5"/>
      <c r="L355" s="5" t="str">
        <f>IFERROR(__xludf.DUMMYFUNCTION("""COMPUTED_VALUE"""),"KLH")</f>
        <v>KLH</v>
      </c>
    </row>
    <row r="356">
      <c r="A356" s="168" t="str">
        <f>IFERROR(__xludf.DUMMYFUNCTION("""COMPUTED_VALUE"""),"XB1-MKE-058")</f>
        <v>XB1-MKE-058</v>
      </c>
      <c r="B356" s="3" t="str">
        <f>IFERROR(__xludf.DUMMYFUNCTION("""COMPUTED_VALUE"""),"Máy cày LOVOL P4110")</f>
        <v>Máy cày LOVOL P4110</v>
      </c>
      <c r="C356" s="5" t="str">
        <f>IFERROR(__xludf.DUMMYFUNCTION("""COMPUTED_VALUE"""),"XN Bò AD")</f>
        <v>XN Bò AD</v>
      </c>
      <c r="D356" s="5" t="str">
        <f>IFERROR(__xludf.DUMMYFUNCTION("""COMPUTED_VALUE"""),"LOVOL")</f>
        <v>LOVOL</v>
      </c>
      <c r="E356" s="5" t="str">
        <f>IFERROR(__xludf.DUMMYFUNCTION("""COMPUTED_VALUE"""),"TRUNG QUỐC")</f>
        <v>TRUNG QUỐC</v>
      </c>
      <c r="F356" s="5">
        <f>IFERROR(__xludf.DUMMYFUNCTION("""COMPUTED_VALUE"""),2026.0)</f>
        <v>2026</v>
      </c>
      <c r="G356" s="5" t="str">
        <f>IFERROR(__xludf.DUMMYFUNCTION("""COMPUTED_VALUE"""),"P4110")</f>
        <v>P4110</v>
      </c>
      <c r="H356" s="5" t="str">
        <f>IFERROR(__xludf.DUMMYFUNCTION("""COMPUTED_VALUE"""),"110 HP")</f>
        <v>110 HP</v>
      </c>
      <c r="I356" s="5" t="str">
        <f>IFERROR(__xludf.DUMMYFUNCTION("""COMPUTED_VALUE"""),"P400067TM")</f>
        <v>P400067TM</v>
      </c>
      <c r="J356" s="5" t="str">
        <f>IFERROR(__xludf.DUMMYFUNCTION("""COMPUTED_VALUE"""),"E426C008079")</f>
        <v>E426C008079</v>
      </c>
      <c r="K356" s="5"/>
      <c r="L356" s="5" t="str">
        <f>IFERROR(__xludf.DUMMYFUNCTION("""COMPUTED_VALUE"""),"KLH")</f>
        <v>KLH</v>
      </c>
    </row>
    <row r="357">
      <c r="A357" s="168" t="str">
        <f>IFERROR(__xludf.DUMMYFUNCTION("""COMPUTED_VALUE"""),"XB1-MKE-059")</f>
        <v>XB1-MKE-059</v>
      </c>
      <c r="B357" s="3" t="str">
        <f>IFERROR(__xludf.DUMMYFUNCTION("""COMPUTED_VALUE"""),"Máy cày KAM50")</f>
        <v>Máy cày KAM50</v>
      </c>
      <c r="C357" s="5" t="str">
        <f>IFERROR(__xludf.DUMMYFUNCTION("""COMPUTED_VALUE"""),"XN Bò AD")</f>
        <v>XN Bò AD</v>
      </c>
      <c r="D357" s="5" t="str">
        <f>IFERROR(__xludf.DUMMYFUNCTION("""COMPUTED_VALUE"""),"THACO")</f>
        <v>THACO</v>
      </c>
      <c r="E357" s="5" t="str">
        <f>IFERROR(__xludf.DUMMYFUNCTION("""COMPUTED_VALUE"""),"VIỆT NAM")</f>
        <v>VIỆT NAM</v>
      </c>
      <c r="F357" s="5">
        <f>IFERROR(__xludf.DUMMYFUNCTION("""COMPUTED_VALUE"""),2018.0)</f>
        <v>2018</v>
      </c>
      <c r="G357" s="5" t="str">
        <f>IFERROR(__xludf.DUMMYFUNCTION("""COMPUTED_VALUE"""),"KAM50")</f>
        <v>KAM50</v>
      </c>
      <c r="H357" s="5" t="str">
        <f>IFERROR(__xludf.DUMMYFUNCTION("""COMPUTED_VALUE"""),"50HP")</f>
        <v>50HP</v>
      </c>
      <c r="I357" s="5" t="str">
        <f>IFERROR(__xludf.DUMMYFUNCTION("""COMPUTED_VALUE"""),"C000053")</f>
        <v>C000053</v>
      </c>
      <c r="J357" s="5" t="str">
        <f>IFERROR(__xludf.DUMMYFUNCTION("""COMPUTED_VALUE"""),"CCN")</f>
        <v>CCN</v>
      </c>
      <c r="K357" s="5">
        <f>IFERROR(__xludf.DUMMYFUNCTION("""COMPUTED_VALUE"""),2.5)</f>
        <v>2.5</v>
      </c>
      <c r="L357" s="5" t="str">
        <f>IFERROR(__xludf.DUMMYFUNCTION("""COMPUTED_VALUE"""),"KLH")</f>
        <v>KLH</v>
      </c>
    </row>
    <row r="358">
      <c r="A358" s="168" t="str">
        <f>IFERROR(__xludf.DUMMYFUNCTION("""COMPUTED_VALUE"""),"XB1-MKE-061")</f>
        <v>XB1-MKE-061</v>
      </c>
      <c r="B358" s="3" t="str">
        <f>IFERROR(__xludf.DUMMYFUNCTION("""COMPUTED_VALUE"""),"Máy cày M6040")</f>
        <v>Máy cày M6040</v>
      </c>
      <c r="C358" s="5" t="str">
        <f>IFERROR(__xludf.DUMMYFUNCTION("""COMPUTED_VALUE"""),"XN Bò AD")</f>
        <v>XN Bò AD</v>
      </c>
      <c r="D358" s="5" t="str">
        <f>IFERROR(__xludf.DUMMYFUNCTION("""COMPUTED_VALUE"""),"KUBOTA")</f>
        <v>KUBOTA</v>
      </c>
      <c r="E358" s="5" t="str">
        <f>IFERROR(__xludf.DUMMYFUNCTION("""COMPUTED_VALUE"""),"NHẬT BẢN")</f>
        <v>NHẬT BẢN</v>
      </c>
      <c r="F358" s="5">
        <f>IFERROR(__xludf.DUMMYFUNCTION("""COMPUTED_VALUE"""),2013.0)</f>
        <v>2013</v>
      </c>
      <c r="G358" s="5" t="str">
        <f>IFERROR(__xludf.DUMMYFUNCTION("""COMPUTED_VALUE"""),"M6040")</f>
        <v>M6040</v>
      </c>
      <c r="H358" s="5" t="str">
        <f>IFERROR(__xludf.DUMMYFUNCTION("""COMPUTED_VALUE"""),"60HP")</f>
        <v>60HP</v>
      </c>
      <c r="I358" s="5" t="str">
        <f>IFERROR(__xludf.DUMMYFUNCTION("""COMPUTED_VALUE"""),"57652")</f>
        <v>57652</v>
      </c>
      <c r="J358" s="5" t="str">
        <f>IFERROR(__xludf.DUMMYFUNCTION("""COMPUTED_VALUE"""),"CCN")</f>
        <v>CCN</v>
      </c>
      <c r="K358" s="5"/>
      <c r="L358" s="5" t="str">
        <f>IFERROR(__xludf.DUMMYFUNCTION("""COMPUTED_VALUE"""),"KLH")</f>
        <v>KLH</v>
      </c>
    </row>
    <row r="359">
      <c r="A359" s="168" t="str">
        <f>IFERROR(__xludf.DUMMYFUNCTION("""COMPUTED_VALUE"""),"XB1-MKE-062")</f>
        <v>XB1-MKE-062</v>
      </c>
      <c r="B359" s="3" t="str">
        <f>IFERROR(__xludf.DUMMYFUNCTION("""COMPUTED_VALUE"""),"Máy cày JD 6155J")</f>
        <v>Máy cày JD 6155J</v>
      </c>
      <c r="C359" s="5" t="str">
        <f>IFERROR(__xludf.DUMMYFUNCTION("""COMPUTED_VALUE"""),"XN Bò AD")</f>
        <v>XN Bò AD</v>
      </c>
      <c r="D359" s="5" t="str">
        <f>IFERROR(__xludf.DUMMYFUNCTION("""COMPUTED_VALUE"""),"JOHN DEERE")</f>
        <v>JOHN DEERE</v>
      </c>
      <c r="E359" s="5" t="str">
        <f>IFERROR(__xludf.DUMMYFUNCTION("""COMPUTED_VALUE"""),"MỸ")</f>
        <v>MỸ</v>
      </c>
      <c r="F359" s="5">
        <f>IFERROR(__xludf.DUMMYFUNCTION("""COMPUTED_VALUE"""),2022.0)</f>
        <v>2022</v>
      </c>
      <c r="G359" s="5" t="str">
        <f>IFERROR(__xludf.DUMMYFUNCTION("""COMPUTED_VALUE"""),"6155J")</f>
        <v>6155J</v>
      </c>
      <c r="H359" s="5" t="str">
        <f>IFERROR(__xludf.DUMMYFUNCTION("""COMPUTED_VALUE"""),"155HP")</f>
        <v>155HP</v>
      </c>
      <c r="I359" s="5" t="str">
        <f>IFERROR(__xludf.DUMMYFUNCTION("""COMPUTED_VALUE"""),"1P06155JCP8010851")</f>
        <v>1P06155JCP8010851</v>
      </c>
      <c r="J359" s="5" t="str">
        <f>IFERROR(__xludf.DUMMYFUNCTION("""COMPUTED_VALUE"""),"PE6068J008136")</f>
        <v>PE6068J008136</v>
      </c>
      <c r="K359" s="5">
        <f>IFERROR(__xludf.DUMMYFUNCTION("""COMPUTED_VALUE"""),14.0)</f>
        <v>14</v>
      </c>
      <c r="L359" s="5" t="str">
        <f>IFERROR(__xludf.DUMMYFUNCTION("""COMPUTED_VALUE"""),"KLH")</f>
        <v>KLH</v>
      </c>
    </row>
    <row r="360">
      <c r="A360" s="168" t="str">
        <f>IFERROR(__xludf.DUMMYFUNCTION("""COMPUTED_VALUE"""),"XB1-MKE-063")</f>
        <v>XB1-MKE-063</v>
      </c>
      <c r="B360" s="3" t="str">
        <f>IFERROR(__xludf.DUMMYFUNCTION("""COMPUTED_VALUE"""),"Máy cày LOVOL P4100")</f>
        <v>Máy cày LOVOL P4100</v>
      </c>
      <c r="C360" s="5" t="str">
        <f>IFERROR(__xludf.DUMMYFUNCTION("""COMPUTED_VALUE"""),"XN Bò AD")</f>
        <v>XN Bò AD</v>
      </c>
      <c r="D360" s="5" t="str">
        <f>IFERROR(__xludf.DUMMYFUNCTION("""COMPUTED_VALUE"""),"LOVOL")</f>
        <v>LOVOL</v>
      </c>
      <c r="E360" s="5" t="str">
        <f>IFERROR(__xludf.DUMMYFUNCTION("""COMPUTED_VALUE"""),"TRUNG QUỐC ")</f>
        <v>TRUNG QUỐC </v>
      </c>
      <c r="F360" s="5">
        <f>IFERROR(__xludf.DUMMYFUNCTION("""COMPUTED_VALUE"""),2026.0)</f>
        <v>2026</v>
      </c>
      <c r="G360" s="5" t="str">
        <f>IFERROR(__xludf.DUMMYFUNCTION("""COMPUTED_VALUE"""),"P4100")</f>
        <v>P4100</v>
      </c>
      <c r="H360" s="5" t="str">
        <f>IFERROR(__xludf.DUMMYFUNCTION("""COMPUTED_VALUE"""),"100 HP")</f>
        <v>100 HP</v>
      </c>
      <c r="I360" s="5" t="str">
        <f>IFERROR(__xludf.DUMMYFUNCTION("""COMPUTED_VALUE"""),"P400052TM")</f>
        <v>P400052TM</v>
      </c>
      <c r="J360" s="5" t="str">
        <f>IFERROR(__xludf.DUMMYFUNCTION("""COMPUTED_VALUE"""),"E426C008042")</f>
        <v>E426C008042</v>
      </c>
      <c r="K360" s="5"/>
      <c r="L360" s="5" t="str">
        <f>IFERROR(__xludf.DUMMYFUNCTION("""COMPUTED_VALUE"""),"KLH")</f>
        <v>KLH</v>
      </c>
    </row>
    <row r="361">
      <c r="A361" s="168" t="str">
        <f>IFERROR(__xludf.DUMMYFUNCTION("""COMPUTED_VALUE"""),"XB1-MKE-064")</f>
        <v>XB1-MKE-064</v>
      </c>
      <c r="B361" s="3" t="str">
        <f>IFERROR(__xludf.DUMMYFUNCTION("""COMPUTED_VALUE"""),"Máy cày LOVOL P4100")</f>
        <v>Máy cày LOVOL P4100</v>
      </c>
      <c r="C361" s="5" t="str">
        <f>IFERROR(__xludf.DUMMYFUNCTION("""COMPUTED_VALUE"""),"XN Bò AD")</f>
        <v>XN Bò AD</v>
      </c>
      <c r="D361" s="5" t="str">
        <f>IFERROR(__xludf.DUMMYFUNCTION("""COMPUTED_VALUE"""),"LOVOL")</f>
        <v>LOVOL</v>
      </c>
      <c r="E361" s="5" t="str">
        <f>IFERROR(__xludf.DUMMYFUNCTION("""COMPUTED_VALUE"""),"TRUNG QUỐC ")</f>
        <v>TRUNG QUỐC </v>
      </c>
      <c r="F361" s="5">
        <f>IFERROR(__xludf.DUMMYFUNCTION("""COMPUTED_VALUE"""),2026.0)</f>
        <v>2026</v>
      </c>
      <c r="G361" s="5" t="str">
        <f>IFERROR(__xludf.DUMMYFUNCTION("""COMPUTED_VALUE"""),"P4100")</f>
        <v>P4100</v>
      </c>
      <c r="H361" s="5" t="str">
        <f>IFERROR(__xludf.DUMMYFUNCTION("""COMPUTED_VALUE"""),"100 HP")</f>
        <v>100 HP</v>
      </c>
      <c r="I361" s="5" t="str">
        <f>IFERROR(__xludf.DUMMYFUNCTION("""COMPUTED_VALUE"""),"P400053TM")</f>
        <v>P400053TM</v>
      </c>
      <c r="J361" s="5" t="str">
        <f>IFERROR(__xludf.DUMMYFUNCTION("""COMPUTED_VALUE"""),"E426C008052")</f>
        <v>E426C008052</v>
      </c>
      <c r="K361" s="5"/>
      <c r="L361" s="5" t="str">
        <f>IFERROR(__xludf.DUMMYFUNCTION("""COMPUTED_VALUE"""),"KLH")</f>
        <v>KLH</v>
      </c>
    </row>
    <row r="362">
      <c r="A362" s="168" t="str">
        <f>IFERROR(__xludf.DUMMYFUNCTION("""COMPUTED_VALUE"""),"XB1-MKE-065")</f>
        <v>XB1-MKE-065</v>
      </c>
      <c r="B362" s="3" t="str">
        <f>IFERROR(__xludf.DUMMYFUNCTION("""COMPUTED_VALUE"""),"Máy cày LOVOL P4110")</f>
        <v>Máy cày LOVOL P4110</v>
      </c>
      <c r="C362" s="5" t="str">
        <f>IFERROR(__xludf.DUMMYFUNCTION("""COMPUTED_VALUE"""),"XN Bò AD")</f>
        <v>XN Bò AD</v>
      </c>
      <c r="D362" s="5" t="str">
        <f>IFERROR(__xludf.DUMMYFUNCTION("""COMPUTED_VALUE"""),"LOVOL")</f>
        <v>LOVOL</v>
      </c>
      <c r="E362" s="5" t="str">
        <f>IFERROR(__xludf.DUMMYFUNCTION("""COMPUTED_VALUE"""),"TRUNG QUỐC ")</f>
        <v>TRUNG QUỐC </v>
      </c>
      <c r="F362" s="5">
        <f>IFERROR(__xludf.DUMMYFUNCTION("""COMPUTED_VALUE"""),2026.0)</f>
        <v>2026</v>
      </c>
      <c r="G362" s="5" t="str">
        <f>IFERROR(__xludf.DUMMYFUNCTION("""COMPUTED_VALUE"""),"P4110")</f>
        <v>P4110</v>
      </c>
      <c r="H362" s="5" t="str">
        <f>IFERROR(__xludf.DUMMYFUNCTION("""COMPUTED_VALUE"""),"110 HP")</f>
        <v>110 HP</v>
      </c>
      <c r="I362" s="5" t="str">
        <f>IFERROR(__xludf.DUMMYFUNCTION("""COMPUTED_VALUE"""),"P400068TM")</f>
        <v>P400068TM</v>
      </c>
      <c r="J362" s="5" t="str">
        <f>IFERROR(__xludf.DUMMYFUNCTION("""COMPUTED_VALUE"""),"E426C008939")</f>
        <v>E426C008939</v>
      </c>
      <c r="K362" s="5"/>
      <c r="L362" s="5" t="str">
        <f>IFERROR(__xludf.DUMMYFUNCTION("""COMPUTED_VALUE"""),"KLH")</f>
        <v>KLH</v>
      </c>
    </row>
    <row r="363">
      <c r="A363" s="168" t="str">
        <f>IFERROR(__xludf.DUMMYFUNCTION("""COMPUTED_VALUE"""),"XB1-MKE-066")</f>
        <v>XB1-MKE-066</v>
      </c>
      <c r="B363" s="3" t="str">
        <f>IFERROR(__xludf.DUMMYFUNCTION("""COMPUTED_VALUE"""),"Máy cày LOVOL P4110")</f>
        <v>Máy cày LOVOL P4110</v>
      </c>
      <c r="C363" s="5" t="str">
        <f>IFERROR(__xludf.DUMMYFUNCTION("""COMPUTED_VALUE"""),"XN Bò AD")</f>
        <v>XN Bò AD</v>
      </c>
      <c r="D363" s="5" t="str">
        <f>IFERROR(__xludf.DUMMYFUNCTION("""COMPUTED_VALUE"""),"LOVOL")</f>
        <v>LOVOL</v>
      </c>
      <c r="E363" s="5" t="str">
        <f>IFERROR(__xludf.DUMMYFUNCTION("""COMPUTED_VALUE"""),"TRUNG QUỐC ")</f>
        <v>TRUNG QUỐC </v>
      </c>
      <c r="F363" s="5">
        <f>IFERROR(__xludf.DUMMYFUNCTION("""COMPUTED_VALUE"""),2026.0)</f>
        <v>2026</v>
      </c>
      <c r="G363" s="5" t="str">
        <f>IFERROR(__xludf.DUMMYFUNCTION("""COMPUTED_VALUE"""),"P4110")</f>
        <v>P4110</v>
      </c>
      <c r="H363" s="5" t="str">
        <f>IFERROR(__xludf.DUMMYFUNCTION("""COMPUTED_VALUE"""),"110 HP")</f>
        <v>110 HP</v>
      </c>
      <c r="I363" s="5" t="str">
        <f>IFERROR(__xludf.DUMMYFUNCTION("""COMPUTED_VALUE"""),"P400069TM")</f>
        <v>P400069TM</v>
      </c>
      <c r="J363" s="5" t="str">
        <f>IFERROR(__xludf.DUMMYFUNCTION("""COMPUTED_VALUE"""),"E426C008097")</f>
        <v>E426C008097</v>
      </c>
      <c r="K363" s="5"/>
      <c r="L363" s="5" t="str">
        <f>IFERROR(__xludf.DUMMYFUNCTION("""COMPUTED_VALUE"""),"KLH")</f>
        <v>KLH</v>
      </c>
    </row>
    <row r="364">
      <c r="A364" s="168" t="str">
        <f>IFERROR(__xludf.DUMMYFUNCTION("""COMPUTED_VALUE"""),"XB1-MKE-067")</f>
        <v>XB1-MKE-067</v>
      </c>
      <c r="B364" s="3" t="str">
        <f>IFERROR(__xludf.DUMMYFUNCTION("""COMPUTED_VALUE"""),"Máy cày LOVOL P4110")</f>
        <v>Máy cày LOVOL P4110</v>
      </c>
      <c r="C364" s="5" t="str">
        <f>IFERROR(__xludf.DUMMYFUNCTION("""COMPUTED_VALUE"""),"XN Bò AD")</f>
        <v>XN Bò AD</v>
      </c>
      <c r="D364" s="5" t="str">
        <f>IFERROR(__xludf.DUMMYFUNCTION("""COMPUTED_VALUE"""),"LOVOL")</f>
        <v>LOVOL</v>
      </c>
      <c r="E364" s="5" t="str">
        <f>IFERROR(__xludf.DUMMYFUNCTION("""COMPUTED_VALUE"""),"TRUNG QUỐC ")</f>
        <v>TRUNG QUỐC </v>
      </c>
      <c r="F364" s="5">
        <f>IFERROR(__xludf.DUMMYFUNCTION("""COMPUTED_VALUE"""),2026.0)</f>
        <v>2026</v>
      </c>
      <c r="G364" s="5" t="str">
        <f>IFERROR(__xludf.DUMMYFUNCTION("""COMPUTED_VALUE"""),"P4110")</f>
        <v>P4110</v>
      </c>
      <c r="H364" s="5" t="str">
        <f>IFERROR(__xludf.DUMMYFUNCTION("""COMPUTED_VALUE"""),"110 HP")</f>
        <v>110 HP</v>
      </c>
      <c r="I364" s="5" t="str">
        <f>IFERROR(__xludf.DUMMYFUNCTION("""COMPUTED_VALUE"""),"P400070TM")</f>
        <v>P400070TM</v>
      </c>
      <c r="J364" s="5" t="str">
        <f>IFERROR(__xludf.DUMMYFUNCTION("""COMPUTED_VALUE"""),"E426C008092")</f>
        <v>E426C008092</v>
      </c>
      <c r="K364" s="5"/>
      <c r="L364" s="5" t="str">
        <f>IFERROR(__xludf.DUMMYFUNCTION("""COMPUTED_VALUE"""),"KLH")</f>
        <v>KLH</v>
      </c>
    </row>
    <row r="365">
      <c r="A365" s="168" t="str">
        <f>IFERROR(__xludf.DUMMYFUNCTION("""COMPUTED_VALUE"""),"XB1-MKE-068")</f>
        <v>XB1-MKE-068</v>
      </c>
      <c r="B365" s="3" t="str">
        <f>IFERROR(__xludf.DUMMYFUNCTION("""COMPUTED_VALUE"""),"Máy cày LOVOL TR1504")</f>
        <v>Máy cày LOVOL TR1504</v>
      </c>
      <c r="C365" s="5" t="str">
        <f>IFERROR(__xludf.DUMMYFUNCTION("""COMPUTED_VALUE"""),"XN Bò AD")</f>
        <v>XN Bò AD</v>
      </c>
      <c r="D365" s="5" t="str">
        <f>IFERROR(__xludf.DUMMYFUNCTION("""COMPUTED_VALUE"""),"LOVOL")</f>
        <v>LOVOL</v>
      </c>
      <c r="E365" s="5" t="str">
        <f>IFERROR(__xludf.DUMMYFUNCTION("""COMPUTED_VALUE"""),"TRUNG QUỐC ")</f>
        <v>TRUNG QUỐC </v>
      </c>
      <c r="F365" s="5">
        <f>IFERROR(__xludf.DUMMYFUNCTION("""COMPUTED_VALUE"""),2026.0)</f>
        <v>2026</v>
      </c>
      <c r="G365" s="5" t="str">
        <f>IFERROR(__xludf.DUMMYFUNCTION("""COMPUTED_VALUE"""),"TR1504")</f>
        <v>TR1504</v>
      </c>
      <c r="H365" s="5" t="str">
        <f>IFERROR(__xludf.DUMMYFUNCTION("""COMPUTED_VALUE"""),"150 HP")</f>
        <v>150 HP</v>
      </c>
      <c r="I365" s="5" t="str">
        <f>IFERROR(__xludf.DUMMYFUNCTION("""COMPUTED_VALUE"""),"M600086TY")</f>
        <v>M600086TY</v>
      </c>
      <c r="J365" s="5" t="str">
        <f>IFERROR(__xludf.DUMMYFUNCTION("""COMPUTED_VALUE"""),"6P26C009038")</f>
        <v>6P26C009038</v>
      </c>
      <c r="K365" s="5"/>
      <c r="L365" s="5" t="str">
        <f>IFERROR(__xludf.DUMMYFUNCTION("""COMPUTED_VALUE"""),"KLH")</f>
        <v>KLH</v>
      </c>
    </row>
    <row r="366">
      <c r="A366" s="168" t="str">
        <f>IFERROR(__xludf.DUMMYFUNCTION("""COMPUTED_VALUE"""),"XB1-MKE-069")</f>
        <v>XB1-MKE-069</v>
      </c>
      <c r="B366" s="3" t="str">
        <f>IFERROR(__xludf.DUMMYFUNCTION("""COMPUTED_VALUE"""),"Máy cày LOVOL TR1504")</f>
        <v>Máy cày LOVOL TR1504</v>
      </c>
      <c r="C366" s="5" t="str">
        <f>IFERROR(__xludf.DUMMYFUNCTION("""COMPUTED_VALUE"""),"XN Bò AD")</f>
        <v>XN Bò AD</v>
      </c>
      <c r="D366" s="5" t="str">
        <f>IFERROR(__xludf.DUMMYFUNCTION("""COMPUTED_VALUE"""),"LOVOL")</f>
        <v>LOVOL</v>
      </c>
      <c r="E366" s="5" t="str">
        <f>IFERROR(__xludf.DUMMYFUNCTION("""COMPUTED_VALUE"""),"TRUNG QUỐC ")</f>
        <v>TRUNG QUỐC </v>
      </c>
      <c r="F366" s="5">
        <f>IFERROR(__xludf.DUMMYFUNCTION("""COMPUTED_VALUE"""),2026.0)</f>
        <v>2026</v>
      </c>
      <c r="G366" s="5" t="str">
        <f>IFERROR(__xludf.DUMMYFUNCTION("""COMPUTED_VALUE"""),"TR1504")</f>
        <v>TR1504</v>
      </c>
      <c r="H366" s="5" t="str">
        <f>IFERROR(__xludf.DUMMYFUNCTION("""COMPUTED_VALUE"""),"150 HP")</f>
        <v>150 HP</v>
      </c>
      <c r="I366" s="5" t="str">
        <f>IFERROR(__xludf.DUMMYFUNCTION("""COMPUTED_VALUE"""),"M600087TY")</f>
        <v>M600087TY</v>
      </c>
      <c r="J366" s="5" t="str">
        <f>IFERROR(__xludf.DUMMYFUNCTION("""COMPUTED_VALUE"""),"6P26C009039")</f>
        <v>6P26C009039</v>
      </c>
      <c r="K366" s="5"/>
      <c r="L366" s="5" t="str">
        <f>IFERROR(__xludf.DUMMYFUNCTION("""COMPUTED_VALUE"""),"KLH")</f>
        <v>KLH</v>
      </c>
    </row>
    <row r="367">
      <c r="A367" s="168" t="str">
        <f>IFERROR(__xludf.DUMMYFUNCTION("""COMPUTED_VALUE"""),"XB1-MKE-070")</f>
        <v>XB1-MKE-070</v>
      </c>
      <c r="B367" s="3" t="str">
        <f>IFERROR(__xludf.DUMMYFUNCTION("""COMPUTED_VALUE"""),"Máy cày LOVOL TR1504")</f>
        <v>Máy cày LOVOL TR1504</v>
      </c>
      <c r="C367" s="5" t="str">
        <f>IFERROR(__xludf.DUMMYFUNCTION("""COMPUTED_VALUE"""),"XN Bò AD")</f>
        <v>XN Bò AD</v>
      </c>
      <c r="D367" s="5" t="str">
        <f>IFERROR(__xludf.DUMMYFUNCTION("""COMPUTED_VALUE"""),"LOVOL")</f>
        <v>LOVOL</v>
      </c>
      <c r="E367" s="5" t="str">
        <f>IFERROR(__xludf.DUMMYFUNCTION("""COMPUTED_VALUE"""),"TRUNG QUỐC ")</f>
        <v>TRUNG QUỐC </v>
      </c>
      <c r="F367" s="5">
        <f>IFERROR(__xludf.DUMMYFUNCTION("""COMPUTED_VALUE"""),2026.0)</f>
        <v>2026</v>
      </c>
      <c r="G367" s="5" t="str">
        <f>IFERROR(__xludf.DUMMYFUNCTION("""COMPUTED_VALUE"""),"TR1504")</f>
        <v>TR1504</v>
      </c>
      <c r="H367" s="5" t="str">
        <f>IFERROR(__xludf.DUMMYFUNCTION("""COMPUTED_VALUE"""),"150 HP")</f>
        <v>150 HP</v>
      </c>
      <c r="I367" s="5" t="str">
        <f>IFERROR(__xludf.DUMMYFUNCTION("""COMPUTED_VALUE"""),"M600088TY")</f>
        <v>M600088TY</v>
      </c>
      <c r="J367" s="5" t="str">
        <f>IFERROR(__xludf.DUMMYFUNCTION("""COMPUTED_VALUE"""),"6P26C009040")</f>
        <v>6P26C009040</v>
      </c>
      <c r="K367" s="5"/>
      <c r="L367" s="5" t="str">
        <f>IFERROR(__xludf.DUMMYFUNCTION("""COMPUTED_VALUE"""),"KLH")</f>
        <v>KLH</v>
      </c>
    </row>
    <row r="368">
      <c r="A368" s="168" t="str">
        <f>IFERROR(__xludf.DUMMYFUNCTION("""COMPUTED_VALUE"""),"XB1-MKX-001")</f>
        <v>XB1-MKX-001</v>
      </c>
      <c r="B368" s="3" t="str">
        <f>IFERROR(__xludf.DUMMYFUNCTION("""COMPUTED_VALUE"""),"Máy cày bánh xích LOVOL")</f>
        <v>Máy cày bánh xích LOVOL</v>
      </c>
      <c r="C368" s="5" t="str">
        <f>IFERROR(__xludf.DUMMYFUNCTION("""COMPUTED_VALUE"""),"XN Bò AD")</f>
        <v>XN Bò AD</v>
      </c>
      <c r="D368" s="5" t="str">
        <f>IFERROR(__xludf.DUMMYFUNCTION("""COMPUTED_VALUE"""),"LOVOL")</f>
        <v>LOVOL</v>
      </c>
      <c r="E368" s="5" t="str">
        <f>IFERROR(__xludf.DUMMYFUNCTION("""COMPUTED_VALUE"""),"TRUNG QUỐC ")</f>
        <v>TRUNG QUỐC </v>
      </c>
      <c r="F368" s="5">
        <f>IFERROR(__xludf.DUMMYFUNCTION("""COMPUTED_VALUE"""),2025.0)</f>
        <v>2025</v>
      </c>
      <c r="G368" s="5" t="str">
        <f>IFERROR(__xludf.DUMMYFUNCTION("""COMPUTED_VALUE"""),"1GZL-230X")</f>
        <v>1GZL-230X</v>
      </c>
      <c r="H368" s="5" t="str">
        <f>IFERROR(__xludf.DUMMYFUNCTION("""COMPUTED_VALUE"""),"102HP")</f>
        <v>102HP</v>
      </c>
      <c r="I368" s="5" t="str">
        <f>IFERROR(__xludf.DUMMYFUNCTION("""COMPUTED_VALUE"""),"FTHRXX23CSN000034")</f>
        <v>FTHRXX23CSN000034</v>
      </c>
      <c r="J368" s="5" t="str">
        <f>IFERROR(__xludf.DUMMYFUNCTION("""COMPUTED_VALUE"""),"Q250577684G")</f>
        <v>Q250577684G</v>
      </c>
      <c r="K368" s="5"/>
      <c r="L368" s="5" t="str">
        <f>IFERROR(__xludf.DUMMYFUNCTION("""COMPUTED_VALUE"""),"KLH")</f>
        <v>KLH</v>
      </c>
    </row>
    <row r="369">
      <c r="A369" s="168" t="str">
        <f>IFERROR(__xludf.DUMMYFUNCTION("""COMPUTED_VALUE"""),"XB1-MKX-002")</f>
        <v>XB1-MKX-002</v>
      </c>
      <c r="B369" s="3" t="str">
        <f>IFERROR(__xludf.DUMMYFUNCTION("""COMPUTED_VALUE"""),"Máy cày bánh xích MOROOKA")</f>
        <v>Máy cày bánh xích MOROOKA</v>
      </c>
      <c r="C369" s="5" t="str">
        <f>IFERROR(__xludf.DUMMYFUNCTION("""COMPUTED_VALUE"""),"XN Bò AD")</f>
        <v>XN Bò AD</v>
      </c>
      <c r="D369" s="5" t="str">
        <f>IFERROR(__xludf.DUMMYFUNCTION("""COMPUTED_VALUE"""),"MOROOKA")</f>
        <v>MOROOKA</v>
      </c>
      <c r="E369" s="5" t="str">
        <f>IFERROR(__xludf.DUMMYFUNCTION("""COMPUTED_VALUE"""),"VIỆT NAM")</f>
        <v>VIỆT NAM</v>
      </c>
      <c r="F369" s="5"/>
      <c r="G369" s="5" t="str">
        <f>IFERROR(__xludf.DUMMYFUNCTION("""COMPUTED_VALUE"""),"MK-200")</f>
        <v>MK-200</v>
      </c>
      <c r="H369" s="5" t="str">
        <f>IFERROR(__xludf.DUMMYFUNCTION("""COMPUTED_VALUE"""),"200HP")</f>
        <v>200HP</v>
      </c>
      <c r="I369" s="5" t="str">
        <f>IFERROR(__xludf.DUMMYFUNCTION("""COMPUTED_VALUE"""),"T20022")</f>
        <v>T20022</v>
      </c>
      <c r="J369" s="5" t="str">
        <f>IFERROR(__xludf.DUMMYFUNCTION("""COMPUTED_VALUE"""),"H06C TF11820")</f>
        <v>H06C TF11820</v>
      </c>
      <c r="K369" s="5"/>
      <c r="L369" s="5" t="str">
        <f>IFERROR(__xludf.DUMMYFUNCTION("""COMPUTED_VALUE"""),"KLH")</f>
        <v>KLH</v>
      </c>
    </row>
    <row r="370">
      <c r="A370" s="168" t="str">
        <f>IFERROR(__xludf.DUMMYFUNCTION("""COMPUTED_VALUE"""),"XB1-MKX-003")</f>
        <v>XB1-MKX-003</v>
      </c>
      <c r="B370" s="3" t="str">
        <f>IFERROR(__xludf.DUMMYFUNCTION("""COMPUTED_VALUE"""),"Máy cày bánh xích LOVOL TB1002C")</f>
        <v>Máy cày bánh xích LOVOL TB1002C</v>
      </c>
      <c r="C370" s="5" t="str">
        <f>IFERROR(__xludf.DUMMYFUNCTION("""COMPUTED_VALUE"""),"XN Bò AD")</f>
        <v>XN Bò AD</v>
      </c>
      <c r="D370" s="5" t="str">
        <f>IFERROR(__xludf.DUMMYFUNCTION("""COMPUTED_VALUE"""),"LOVOL")</f>
        <v>LOVOL</v>
      </c>
      <c r="E370" s="5" t="str">
        <f>IFERROR(__xludf.DUMMYFUNCTION("""COMPUTED_VALUE"""),"TRUNG QUỐC")</f>
        <v>TRUNG QUỐC</v>
      </c>
      <c r="F370" s="5">
        <f>IFERROR(__xludf.DUMMYFUNCTION("""COMPUTED_VALUE"""),2025.0)</f>
        <v>2025</v>
      </c>
      <c r="G370" s="5" t="str">
        <f>IFERROR(__xludf.DUMMYFUNCTION("""COMPUTED_VALUE"""),"TB1002-C")</f>
        <v>TB1002-C</v>
      </c>
      <c r="H370" s="5" t="str">
        <f>IFERROR(__xludf.DUMMYFUNCTION("""COMPUTED_VALUE"""),"100HP")</f>
        <v>100HP</v>
      </c>
      <c r="I370" s="5" t="str">
        <f>IFERROR(__xludf.DUMMYFUNCTION("""COMPUTED_VALUE"""),"FTTM3AD2CSC000020")</f>
        <v>FTTM3AD2CSC000020</v>
      </c>
      <c r="J370" s="5" t="str">
        <f>IFERROR(__xludf.DUMMYFUNCTION("""COMPUTED_VALUE"""),"Q250194560G")</f>
        <v>Q250194560G</v>
      </c>
      <c r="K370" s="5"/>
      <c r="L370" s="5" t="str">
        <f>IFERROR(__xludf.DUMMYFUNCTION("""COMPUTED_VALUE"""),"KLH")</f>
        <v>KLH</v>
      </c>
    </row>
    <row r="371">
      <c r="A371" s="168" t="str">
        <f>IFERROR(__xludf.DUMMYFUNCTION("""COMPUTED_VALUE"""),"XB1-MKX-004")</f>
        <v>XB1-MKX-004</v>
      </c>
      <c r="B371" s="3" t="str">
        <f>IFERROR(__xludf.DUMMYFUNCTION("""COMPUTED_VALUE"""),"Máy cày bánh xích MK 250")</f>
        <v>Máy cày bánh xích MK 250</v>
      </c>
      <c r="C371" s="5" t="str">
        <f>IFERROR(__xludf.DUMMYFUNCTION("""COMPUTED_VALUE"""),"XN Bò AD")</f>
        <v>XN Bò AD</v>
      </c>
      <c r="D371" s="5" t="str">
        <f>IFERROR(__xludf.DUMMYFUNCTION("""COMPUTED_VALUE"""),"Morooka")</f>
        <v>Morooka</v>
      </c>
      <c r="E371" s="5" t="str">
        <f>IFERROR(__xludf.DUMMYFUNCTION("""COMPUTED_VALUE"""),"Việt Nam")</f>
        <v>Việt Nam</v>
      </c>
      <c r="F371" s="5"/>
      <c r="G371" s="5" t="str">
        <f>IFERROR(__xludf.DUMMYFUNCTION("""COMPUTED_VALUE"""),"MK 250")</f>
        <v>MK 250</v>
      </c>
      <c r="H371" s="5" t="str">
        <f>IFERROR(__xludf.DUMMYFUNCTION("""COMPUTED_VALUE"""),"250HP")</f>
        <v>250HP</v>
      </c>
      <c r="I371" s="5" t="str">
        <f>IFERROR(__xludf.DUMMYFUNCTION("""COMPUTED_VALUE"""),"T22032")</f>
        <v>T22032</v>
      </c>
      <c r="J371" s="5" t="str">
        <f>IFERROR(__xludf.DUMMYFUNCTION("""COMPUTED_VALUE"""),"6D108-19718")</f>
        <v>6D108-19718</v>
      </c>
      <c r="K371" s="5"/>
      <c r="L371" s="5" t="str">
        <f>IFERROR(__xludf.DUMMYFUNCTION("""COMPUTED_VALUE"""),"KLH")</f>
        <v>KLH</v>
      </c>
    </row>
    <row r="372">
      <c r="A372" s="168" t="str">
        <f>IFERROR(__xludf.DUMMYFUNCTION("""COMPUTED_VALUE"""),"XB1-MKX-005")</f>
        <v>XB1-MKX-005</v>
      </c>
      <c r="B372" s="3" t="str">
        <f>IFERROR(__xludf.DUMMYFUNCTION("""COMPUTED_VALUE"""),"Máy cày bánh xích CT55")</f>
        <v>Máy cày bánh xích CT55</v>
      </c>
      <c r="C372" s="5" t="str">
        <f>IFERROR(__xludf.DUMMYFUNCTION("""COMPUTED_VALUE"""),"XN Bò AD")</f>
        <v>XN Bò AD</v>
      </c>
      <c r="D372" s="5" t="str">
        <f>IFERROR(__xludf.DUMMYFUNCTION("""COMPUTED_VALUE"""),"YANMAR")</f>
        <v>YANMAR</v>
      </c>
      <c r="E372" s="5" t="str">
        <f>IFERROR(__xludf.DUMMYFUNCTION("""COMPUTED_VALUE"""),"Nhật Bản")</f>
        <v>Nhật Bản</v>
      </c>
      <c r="F372" s="5"/>
      <c r="G372" s="5" t="str">
        <f>IFERROR(__xludf.DUMMYFUNCTION("""COMPUTED_VALUE"""),"CT55")</f>
        <v>CT55</v>
      </c>
      <c r="H372" s="5" t="str">
        <f>IFERROR(__xludf.DUMMYFUNCTION("""COMPUTED_VALUE"""),"55HP")</f>
        <v>55HP</v>
      </c>
      <c r="I372" s="5" t="str">
        <f>IFERROR(__xludf.DUMMYFUNCTION("""COMPUTED_VALUE"""),"1174")</f>
        <v>1174</v>
      </c>
      <c r="J372" s="5" t="str">
        <f>IFERROR(__xludf.DUMMYFUNCTION("""COMPUTED_VALUE"""),"8391")</f>
        <v>8391</v>
      </c>
      <c r="K372" s="5"/>
      <c r="L372" s="5" t="str">
        <f>IFERROR(__xludf.DUMMYFUNCTION("""COMPUTED_VALUE"""),"KLH")</f>
        <v>KLH</v>
      </c>
    </row>
    <row r="373">
      <c r="A373" s="168" t="str">
        <f>IFERROR(__xludf.DUMMYFUNCTION("""COMPUTED_VALUE"""),"XB1-XXL-001")</f>
        <v>XB1-XXL-001</v>
      </c>
      <c r="B373" s="3" t="str">
        <f>IFERROR(__xludf.DUMMYFUNCTION("""COMPUTED_VALUE"""),"Xe xúc lật WSM953")</f>
        <v>Xe xúc lật WSM953</v>
      </c>
      <c r="C373" s="5" t="str">
        <f>IFERROR(__xludf.DUMMYFUNCTION("""COMPUTED_VALUE"""),"XN Bò AD")</f>
        <v>XN Bò AD</v>
      </c>
      <c r="D373" s="5" t="str">
        <f>IFERROR(__xludf.DUMMYFUNCTION("""COMPUTED_VALUE"""),"FUJIAN WEISHENG")</f>
        <v>FUJIAN WEISHENG</v>
      </c>
      <c r="E373" s="5" t="str">
        <f>IFERROR(__xludf.DUMMYFUNCTION("""COMPUTED_VALUE"""),"TRUNG QUỐC")</f>
        <v>TRUNG QUỐC</v>
      </c>
      <c r="F373" s="5"/>
      <c r="G373" s="5" t="str">
        <f>IFERROR(__xludf.DUMMYFUNCTION("""COMPUTED_VALUE"""),"WSM953 2m3")</f>
        <v>WSM953 2m3</v>
      </c>
      <c r="H373" s="5" t="str">
        <f>IFERROR(__xludf.DUMMYFUNCTION("""COMPUTED_VALUE"""),"123HP")</f>
        <v>123HP</v>
      </c>
      <c r="I373" s="5" t="str">
        <f>IFERROR(__xludf.DUMMYFUNCTION("""COMPUTED_VALUE"""),"90516")</f>
        <v>90516</v>
      </c>
      <c r="J373" s="5" t="str">
        <f>IFERROR(__xludf.DUMMYFUNCTION("""COMPUTED_VALUE"""),"CCN")</f>
        <v>CCN</v>
      </c>
      <c r="K373" s="5">
        <f>IFERROR(__xludf.DUMMYFUNCTION("""COMPUTED_VALUE"""),11.0)</f>
        <v>11</v>
      </c>
      <c r="L373" s="5" t="str">
        <f>IFERROR(__xludf.DUMMYFUNCTION("""COMPUTED_VALUE"""),"KLH")</f>
        <v>KLH</v>
      </c>
    </row>
    <row r="374">
      <c r="A374" s="168" t="str">
        <f>IFERROR(__xludf.DUMMYFUNCTION("""COMPUTED_VALUE"""),"XB1-XXL-002")</f>
        <v>XB1-XXL-002</v>
      </c>
      <c r="B374" s="3" t="str">
        <f>IFERROR(__xludf.DUMMYFUNCTION("""COMPUTED_VALUE"""),"Xe xúc lật WA400")</f>
        <v>Xe xúc lật WA400</v>
      </c>
      <c r="C374" s="5" t="str">
        <f>IFERROR(__xludf.DUMMYFUNCTION("""COMPUTED_VALUE"""),"XN Bò AD")</f>
        <v>XN Bò AD</v>
      </c>
      <c r="D374" s="5" t="str">
        <f>IFERROR(__xludf.DUMMYFUNCTION("""COMPUTED_VALUE"""),"KOMATSU")</f>
        <v>KOMATSU</v>
      </c>
      <c r="E374" s="5" t="str">
        <f>IFERROR(__xludf.DUMMYFUNCTION("""COMPUTED_VALUE"""),"NHẬT BẢN")</f>
        <v>NHẬT BẢN</v>
      </c>
      <c r="F374" s="5">
        <f>IFERROR(__xludf.DUMMYFUNCTION("""COMPUTED_VALUE"""),2020.0)</f>
        <v>2020</v>
      </c>
      <c r="G374" s="5" t="str">
        <f>IFERROR(__xludf.DUMMYFUNCTION("""COMPUTED_VALUE"""),"WA400-3E")</f>
        <v>WA400-3E</v>
      </c>
      <c r="H374" s="5" t="str">
        <f>IFERROR(__xludf.DUMMYFUNCTION("""COMPUTED_VALUE"""),"208HP")</f>
        <v>208HP</v>
      </c>
      <c r="I374" s="5" t="str">
        <f>IFERROR(__xludf.DUMMYFUNCTION("""COMPUTED_VALUE"""),"50183")</f>
        <v>50183</v>
      </c>
      <c r="J374" s="5" t="str">
        <f>IFERROR(__xludf.DUMMYFUNCTION("""COMPUTED_VALUE"""),"CCN")</f>
        <v>CCN</v>
      </c>
      <c r="K374" s="5">
        <f>IFERROR(__xludf.DUMMYFUNCTION("""COMPUTED_VALUE"""),11.0)</f>
        <v>11</v>
      </c>
      <c r="L374" s="5" t="str">
        <f>IFERROR(__xludf.DUMMYFUNCTION("""COMPUTED_VALUE"""),"KLH")</f>
        <v>KLH</v>
      </c>
    </row>
    <row r="375">
      <c r="A375" s="168" t="str">
        <f>IFERROR(__xludf.DUMMYFUNCTION("""COMPUTED_VALUE"""),"XB1-XXL-004")</f>
        <v>XB1-XXL-004</v>
      </c>
      <c r="B375" s="3" t="str">
        <f>IFERROR(__xludf.DUMMYFUNCTION("""COMPUTED_VALUE"""),"Xe xúc lật WA350")</f>
        <v>Xe xúc lật WA350</v>
      </c>
      <c r="C375" s="5" t="str">
        <f>IFERROR(__xludf.DUMMYFUNCTION("""COMPUTED_VALUE"""),"XN Bò AD")</f>
        <v>XN Bò AD</v>
      </c>
      <c r="D375" s="5" t="str">
        <f>IFERROR(__xludf.DUMMYFUNCTION("""COMPUTED_VALUE"""),"KOMATSU")</f>
        <v>KOMATSU</v>
      </c>
      <c r="E375" s="5" t="str">
        <f>IFERROR(__xludf.DUMMYFUNCTION("""COMPUTED_VALUE"""),"NHẬT BẢN")</f>
        <v>NHẬT BẢN</v>
      </c>
      <c r="F375" s="5">
        <f>IFERROR(__xludf.DUMMYFUNCTION("""COMPUTED_VALUE"""),2020.0)</f>
        <v>2020</v>
      </c>
      <c r="G375" s="5" t="str">
        <f>IFERROR(__xludf.DUMMYFUNCTION("""COMPUTED_VALUE"""),"WA350-3")</f>
        <v>WA350-3</v>
      </c>
      <c r="H375" s="5" t="str">
        <f>IFERROR(__xludf.DUMMYFUNCTION("""COMPUTED_VALUE"""),"162HP")</f>
        <v>162HP</v>
      </c>
      <c r="I375" s="5" t="str">
        <f>IFERROR(__xludf.DUMMYFUNCTION("""COMPUTED_VALUE"""),"50100")</f>
        <v>50100</v>
      </c>
      <c r="J375" s="5" t="str">
        <f>IFERROR(__xludf.DUMMYFUNCTION("""COMPUTED_VALUE"""),"18033")</f>
        <v>18033</v>
      </c>
      <c r="K375" s="5">
        <f>IFERROR(__xludf.DUMMYFUNCTION("""COMPUTED_VALUE"""),14.25)</f>
        <v>14.25</v>
      </c>
      <c r="L375" s="5" t="str">
        <f>IFERROR(__xludf.DUMMYFUNCTION("""COMPUTED_VALUE"""),"KLH")</f>
        <v>KLH</v>
      </c>
    </row>
    <row r="376">
      <c r="A376" s="168" t="str">
        <f>IFERROR(__xludf.DUMMYFUNCTION("""COMPUTED_VALUE"""),"XB1-XXL-005")</f>
        <v>XB1-XXL-005</v>
      </c>
      <c r="B376" s="3" t="str">
        <f>IFERROR(__xludf.DUMMYFUNCTION("""COMPUTED_VALUE"""),"Xe xúc lật MT625H")</f>
        <v>Xe xúc lật MT625H</v>
      </c>
      <c r="C376" s="5" t="str">
        <f>IFERROR(__xludf.DUMMYFUNCTION("""COMPUTED_VALUE"""),"XN Bò AD")</f>
        <v>XN Bò AD</v>
      </c>
      <c r="D376" s="5" t="str">
        <f>IFERROR(__xludf.DUMMYFUNCTION("""COMPUTED_VALUE"""),"MANITOU")</f>
        <v>MANITOU</v>
      </c>
      <c r="E376" s="5" t="str">
        <f>IFERROR(__xludf.DUMMYFUNCTION("""COMPUTED_VALUE"""),"PHÁP")</f>
        <v>PHÁP</v>
      </c>
      <c r="F376" s="5">
        <f>IFERROR(__xludf.DUMMYFUNCTION("""COMPUTED_VALUE"""),2018.0)</f>
        <v>2018</v>
      </c>
      <c r="G376" s="5" t="str">
        <f>IFERROR(__xludf.DUMMYFUNCTION("""COMPUTED_VALUE"""),"MT625H")</f>
        <v>MT625H</v>
      </c>
      <c r="H376" s="5" t="str">
        <f>IFERROR(__xludf.DUMMYFUNCTION("""COMPUTED_VALUE"""),"75HP")</f>
        <v>75HP</v>
      </c>
      <c r="I376" s="5" t="str">
        <f>IFERROR(__xludf.DUMMYFUNCTION("""COMPUTED_VALUE"""),"MAN00000T01005580")</f>
        <v>MAN00000T01005580</v>
      </c>
      <c r="J376" s="5" t="str">
        <f>IFERROR(__xludf.DUMMYFUNCTION("""COMPUTED_VALUE""")," V3307T8JL1568")</f>
        <v> V3307T8JL1568</v>
      </c>
      <c r="K376" s="5"/>
      <c r="L376" s="5" t="str">
        <f>IFERROR(__xludf.DUMMYFUNCTION("""COMPUTED_VALUE"""),"KLH")</f>
        <v>KLH</v>
      </c>
    </row>
    <row r="377">
      <c r="A377" s="168" t="str">
        <f>IFERROR(__xludf.DUMMYFUNCTION("""COMPUTED_VALUE"""),"XB1-XXL-006")</f>
        <v>XB1-XXL-006</v>
      </c>
      <c r="B377" s="3" t="str">
        <f>IFERROR(__xludf.DUMMYFUNCTION("""COMPUTED_VALUE"""),"Xe xúc lật LEHMAN ZL940G")</f>
        <v>Xe xúc lật LEHMAN ZL940G</v>
      </c>
      <c r="C377" s="5" t="str">
        <f>IFERROR(__xludf.DUMMYFUNCTION("""COMPUTED_VALUE"""),"XN Bò AD")</f>
        <v>XN Bò AD</v>
      </c>
      <c r="D377" s="5" t="str">
        <f>IFERROR(__xludf.DUMMYFUNCTION("""COMPUTED_VALUE"""),"LEHMAN")</f>
        <v>LEHMAN</v>
      </c>
      <c r="E377" s="5" t="str">
        <f>IFERROR(__xludf.DUMMYFUNCTION("""COMPUTED_VALUE"""),"TRUNG QUỐC")</f>
        <v>TRUNG QUỐC</v>
      </c>
      <c r="F377" s="5">
        <f>IFERROR(__xludf.DUMMYFUNCTION("""COMPUTED_VALUE"""),2023.0)</f>
        <v>2023</v>
      </c>
      <c r="G377" s="5" t="str">
        <f>IFERROR(__xludf.DUMMYFUNCTION("""COMPUTED_VALUE"""),"ZL940G")</f>
        <v>ZL940G</v>
      </c>
      <c r="H377" s="5" t="str">
        <f>IFERROR(__xludf.DUMMYFUNCTION("""COMPUTED_VALUE"""),"115HP")</f>
        <v>115HP</v>
      </c>
      <c r="I377" s="5" t="str">
        <f>IFERROR(__xludf.DUMMYFUNCTION("""COMPUTED_VALUE"""),"SY23090078")</f>
        <v>SY23090078</v>
      </c>
      <c r="J377" s="5" t="str">
        <f>IFERROR(__xludf.DUMMYFUNCTION("""COMPUTED_VALUE"""),"YCD4J22T-1151JG410P03213")</f>
        <v>YCD4J22T-1151JG410P03213</v>
      </c>
      <c r="K377" s="5">
        <f>IFERROR(__xludf.DUMMYFUNCTION("""COMPUTED_VALUE"""),7.0)</f>
        <v>7</v>
      </c>
      <c r="L377" s="5" t="str">
        <f>IFERROR(__xludf.DUMMYFUNCTION("""COMPUTED_VALUE"""),"KLH")</f>
        <v>KLH</v>
      </c>
    </row>
    <row r="378">
      <c r="A378" s="168" t="str">
        <f>IFERROR(__xludf.DUMMYFUNCTION("""COMPUTED_VALUE"""),"XB1-XXL-007")</f>
        <v>XB1-XXL-007</v>
      </c>
      <c r="B378" s="3" t="str">
        <f>IFERROR(__xludf.DUMMYFUNCTION("""COMPUTED_VALUE"""),"Xe xúc lật L935H")</f>
        <v>Xe xúc lật L935H</v>
      </c>
      <c r="C378" s="5" t="str">
        <f>IFERROR(__xludf.DUMMYFUNCTION("""COMPUTED_VALUE"""),"XN Bò AD")</f>
        <v>XN Bò AD</v>
      </c>
      <c r="D378" s="5" t="str">
        <f>IFERROR(__xludf.DUMMYFUNCTION("""COMPUTED_VALUE"""),"SDLG")</f>
        <v>SDLG</v>
      </c>
      <c r="E378" s="5" t="str">
        <f>IFERROR(__xludf.DUMMYFUNCTION("""COMPUTED_VALUE"""),"TRUNG QUỐC")</f>
        <v>TRUNG QUỐC</v>
      </c>
      <c r="F378" s="5">
        <f>IFERROR(__xludf.DUMMYFUNCTION("""COMPUTED_VALUE"""),2022.0)</f>
        <v>2022</v>
      </c>
      <c r="G378" s="5" t="str">
        <f>IFERROR(__xludf.DUMMYFUNCTION("""COMPUTED_VALUE"""),"L935H")</f>
        <v>L935H</v>
      </c>
      <c r="H378" s="5" t="str">
        <f>IFERROR(__xludf.DUMMYFUNCTION("""COMPUTED_VALUE"""),"140HP")</f>
        <v>140HP</v>
      </c>
      <c r="I378" s="5" t="str">
        <f>IFERROR(__xludf.DUMMYFUNCTION("""COMPUTED_VALUE"""),"VLGL935HAN0620050")</f>
        <v>VLGL935HAN0620050</v>
      </c>
      <c r="J378" s="5" t="str">
        <f>IFERROR(__xludf.DUMMYFUNCTION("""COMPUTED_VALUE"""),"WP6G140E226P22D023010")</f>
        <v>WP6G140E226P22D023010</v>
      </c>
      <c r="K378" s="5">
        <f>IFERROR(__xludf.DUMMYFUNCTION("""COMPUTED_VALUE"""),12.0)</f>
        <v>12</v>
      </c>
      <c r="L378" s="5" t="str">
        <f>IFERROR(__xludf.DUMMYFUNCTION("""COMPUTED_VALUE"""),"KLH")</f>
        <v>KLH</v>
      </c>
    </row>
    <row r="379">
      <c r="A379" s="168" t="str">
        <f>IFERROR(__xludf.DUMMYFUNCTION("""COMPUTED_VALUE"""),"XB1-XXL-008")</f>
        <v>XB1-XXL-008</v>
      </c>
      <c r="B379" s="3" t="str">
        <f>IFERROR(__xludf.DUMMYFUNCTION("""COMPUTED_VALUE"""),"Xe xúc lật LEHMAN ZL946E")</f>
        <v>Xe xúc lật LEHMAN ZL946E</v>
      </c>
      <c r="C379" s="5" t="str">
        <f>IFERROR(__xludf.DUMMYFUNCTION("""COMPUTED_VALUE"""),"XN Bò AD")</f>
        <v>XN Bò AD</v>
      </c>
      <c r="D379" s="5" t="str">
        <f>IFERROR(__xludf.DUMMYFUNCTION("""COMPUTED_VALUE"""),"LEHMAN")</f>
        <v>LEHMAN</v>
      </c>
      <c r="E379" s="5" t="str">
        <f>IFERROR(__xludf.DUMMYFUNCTION("""COMPUTED_VALUE"""),"TRUNG QUỐC")</f>
        <v>TRUNG QUỐC</v>
      </c>
      <c r="F379" s="5">
        <f>IFERROR(__xludf.DUMMYFUNCTION("""COMPUTED_VALUE"""),2024.0)</f>
        <v>2024</v>
      </c>
      <c r="G379" s="5" t="str">
        <f>IFERROR(__xludf.DUMMYFUNCTION("""COMPUTED_VALUE"""),"ZL946E")</f>
        <v>ZL946E</v>
      </c>
      <c r="H379" s="5" t="str">
        <f>IFERROR(__xludf.DUMMYFUNCTION("""COMPUTED_VALUE"""),"114HP")</f>
        <v>114HP</v>
      </c>
      <c r="I379" s="5" t="str">
        <f>IFERROR(__xludf.DUMMYFUNCTION("""COMPUTED_VALUE"""),"SY24020177")</f>
        <v>SY24020177</v>
      </c>
      <c r="J379" s="5" t="str">
        <f>IFERROR(__xludf.DUMMYFUNCTION("""COMPUTED_VALUE"""),"1JG410P06207")</f>
        <v>1JG410P06207</v>
      </c>
      <c r="K379" s="5">
        <f>IFERROR(__xludf.DUMMYFUNCTION("""COMPUTED_VALUE"""),7.0)</f>
        <v>7</v>
      </c>
      <c r="L379" s="5" t="str">
        <f>IFERROR(__xludf.DUMMYFUNCTION("""COMPUTED_VALUE"""),"KLH")</f>
        <v>KLH</v>
      </c>
    </row>
    <row r="380">
      <c r="A380" s="168" t="str">
        <f>IFERROR(__xludf.DUMMYFUNCTION("""COMPUTED_VALUE"""),"XB1-XXL-009")</f>
        <v>XB1-XXL-009</v>
      </c>
      <c r="B380" s="3" t="str">
        <f>IFERROR(__xludf.DUMMYFUNCTION("""COMPUTED_VALUE"""),"Xe xúc lật LEHMAN ZL946PR")</f>
        <v>Xe xúc lật LEHMAN ZL946PR</v>
      </c>
      <c r="C380" s="5" t="str">
        <f>IFERROR(__xludf.DUMMYFUNCTION("""COMPUTED_VALUE"""),"XN Bò AD")</f>
        <v>XN Bò AD</v>
      </c>
      <c r="D380" s="5" t="str">
        <f>IFERROR(__xludf.DUMMYFUNCTION("""COMPUTED_VALUE"""),"LEHMAN")</f>
        <v>LEHMAN</v>
      </c>
      <c r="E380" s="5" t="str">
        <f>IFERROR(__xludf.DUMMYFUNCTION("""COMPUTED_VALUE"""),"TRUNG QUỐC")</f>
        <v>TRUNG QUỐC</v>
      </c>
      <c r="F380" s="5">
        <f>IFERROR(__xludf.DUMMYFUNCTION("""COMPUTED_VALUE"""),2024.0)</f>
        <v>2024</v>
      </c>
      <c r="G380" s="5" t="str">
        <f>IFERROR(__xludf.DUMMYFUNCTION("""COMPUTED_VALUE"""),"ZL946PR")</f>
        <v>ZL946PR</v>
      </c>
      <c r="H380" s="5" t="str">
        <f>IFERROR(__xludf.DUMMYFUNCTION("""COMPUTED_VALUE"""),"114HP")</f>
        <v>114HP</v>
      </c>
      <c r="I380" s="5" t="str">
        <f>IFERROR(__xludf.DUMMYFUNCTION("""COMPUTED_VALUE"""),"SY24050287")</f>
        <v>SY24050287</v>
      </c>
      <c r="J380" s="5" t="str">
        <f>IFERROR(__xludf.DUMMYFUNCTION("""COMPUTED_VALUE"""),"1JG410R01725")</f>
        <v>1JG410R01725</v>
      </c>
      <c r="K380" s="5">
        <f>IFERROR(__xludf.DUMMYFUNCTION("""COMPUTED_VALUE"""),7.0)</f>
        <v>7</v>
      </c>
      <c r="L380" s="5" t="str">
        <f>IFERROR(__xludf.DUMMYFUNCTION("""COMPUTED_VALUE"""),"KLH")</f>
        <v>KLH</v>
      </c>
    </row>
    <row r="381">
      <c r="A381" s="168" t="str">
        <f>IFERROR(__xludf.DUMMYFUNCTION("""COMPUTED_VALUE"""),"XB1-XXL-010")</f>
        <v>XB1-XXL-010</v>
      </c>
      <c r="B381" s="3" t="str">
        <f>IFERROR(__xludf.DUMMYFUNCTION("""COMPUTED_VALUE"""),"Xe xúc lật LEHMAN ZL946GP")</f>
        <v>Xe xúc lật LEHMAN ZL946GP</v>
      </c>
      <c r="C381" s="5" t="str">
        <f>IFERROR(__xludf.DUMMYFUNCTION("""COMPUTED_VALUE"""),"XN Bò AD")</f>
        <v>XN Bò AD</v>
      </c>
      <c r="D381" s="5" t="str">
        <f>IFERROR(__xludf.DUMMYFUNCTION("""COMPUTED_VALUE"""),"LEHMAN")</f>
        <v>LEHMAN</v>
      </c>
      <c r="E381" s="5" t="str">
        <f>IFERROR(__xludf.DUMMYFUNCTION("""COMPUTED_VALUE"""),"TRUNG QUỐC")</f>
        <v>TRUNG QUỐC</v>
      </c>
      <c r="F381" s="5">
        <f>IFERROR(__xludf.DUMMYFUNCTION("""COMPUTED_VALUE"""),2024.0)</f>
        <v>2024</v>
      </c>
      <c r="G381" s="5" t="str">
        <f>IFERROR(__xludf.DUMMYFUNCTION("""COMPUTED_VALUE"""),"ZL946GP")</f>
        <v>ZL946GP</v>
      </c>
      <c r="H381" s="5" t="str">
        <f>IFERROR(__xludf.DUMMYFUNCTION("""COMPUTED_VALUE"""),"114HP")</f>
        <v>114HP</v>
      </c>
      <c r="I381" s="5" t="str">
        <f>IFERROR(__xludf.DUMMYFUNCTION("""COMPUTED_VALUE"""),"SY24070162")</f>
        <v>SY24070162</v>
      </c>
      <c r="J381" s="5" t="str">
        <f>IFERROR(__xludf.DUMMYFUNCTION("""COMPUTED_VALUE"""),"1JG410R02694")</f>
        <v>1JG410R02694</v>
      </c>
      <c r="K381" s="5">
        <f>IFERROR(__xludf.DUMMYFUNCTION("""COMPUTED_VALUE"""),7.0)</f>
        <v>7</v>
      </c>
      <c r="L381" s="5" t="str">
        <f>IFERROR(__xludf.DUMMYFUNCTION("""COMPUTED_VALUE"""),"KLH")</f>
        <v>KLH</v>
      </c>
    </row>
    <row r="382">
      <c r="A382" s="168" t="str">
        <f>IFERROR(__xludf.DUMMYFUNCTION("""COMPUTED_VALUE"""),"XB1-XXL-011")</f>
        <v>XB1-XXL-011</v>
      </c>
      <c r="B382" s="3" t="str">
        <f>IFERROR(__xludf.DUMMYFUNCTION("""COMPUTED_VALUE"""),"Xe xúc lật LEHMAN ZL946GP")</f>
        <v>Xe xúc lật LEHMAN ZL946GP</v>
      </c>
      <c r="C382" s="5" t="str">
        <f>IFERROR(__xludf.DUMMYFUNCTION("""COMPUTED_VALUE"""),"XN Bò AD")</f>
        <v>XN Bò AD</v>
      </c>
      <c r="D382" s="5" t="str">
        <f>IFERROR(__xludf.DUMMYFUNCTION("""COMPUTED_VALUE"""),"LEHMAN")</f>
        <v>LEHMAN</v>
      </c>
      <c r="E382" s="5" t="str">
        <f>IFERROR(__xludf.DUMMYFUNCTION("""COMPUTED_VALUE"""),"TRUNG QUỐC")</f>
        <v>TRUNG QUỐC</v>
      </c>
      <c r="F382" s="5">
        <f>IFERROR(__xludf.DUMMYFUNCTION("""COMPUTED_VALUE"""),2024.0)</f>
        <v>2024</v>
      </c>
      <c r="G382" s="5" t="str">
        <f>IFERROR(__xludf.DUMMYFUNCTION("""COMPUTED_VALUE"""),"ZL946GP")</f>
        <v>ZL946GP</v>
      </c>
      <c r="H382" s="5" t="str">
        <f>IFERROR(__xludf.DUMMYFUNCTION("""COMPUTED_VALUE"""),"114HP")</f>
        <v>114HP</v>
      </c>
      <c r="I382" s="5" t="str">
        <f>IFERROR(__xludf.DUMMYFUNCTION("""COMPUTED_VALUE"""),"SY35080163")</f>
        <v>SY35080163</v>
      </c>
      <c r="J382" s="5" t="str">
        <f>IFERROR(__xludf.DUMMYFUNCTION("""COMPUTED_VALUE"""),"1JG410R02705")</f>
        <v>1JG410R02705</v>
      </c>
      <c r="K382" s="5">
        <f>IFERROR(__xludf.DUMMYFUNCTION("""COMPUTED_VALUE"""),7.0)</f>
        <v>7</v>
      </c>
      <c r="L382" s="5" t="str">
        <f>IFERROR(__xludf.DUMMYFUNCTION("""COMPUTED_VALUE"""),"KLH")</f>
        <v>KLH</v>
      </c>
    </row>
    <row r="383">
      <c r="A383" s="168" t="str">
        <f>IFERROR(__xludf.DUMMYFUNCTION("""COMPUTED_VALUE"""),"XB1-XXL-012")</f>
        <v>XB1-XXL-012</v>
      </c>
      <c r="B383" s="3" t="str">
        <f>IFERROR(__xludf.DUMMYFUNCTION("""COMPUTED_VALUE"""),"Xe xúc lật SDLG L936H")</f>
        <v>Xe xúc lật SDLG L936H</v>
      </c>
      <c r="C383" s="5" t="str">
        <f>IFERROR(__xludf.DUMMYFUNCTION("""COMPUTED_VALUE"""),"XN Bò AD")</f>
        <v>XN Bò AD</v>
      </c>
      <c r="D383" s="5" t="str">
        <f>IFERROR(__xludf.DUMMYFUNCTION("""COMPUTED_VALUE"""),"SDLG")</f>
        <v>SDLG</v>
      </c>
      <c r="E383" s="5" t="str">
        <f>IFERROR(__xludf.DUMMYFUNCTION("""COMPUTED_VALUE"""),"TRUNG QUỐC")</f>
        <v>TRUNG QUỐC</v>
      </c>
      <c r="F383" s="5">
        <f>IFERROR(__xludf.DUMMYFUNCTION("""COMPUTED_VALUE"""),2025.0)</f>
        <v>2025</v>
      </c>
      <c r="G383" s="5" t="str">
        <f>IFERROR(__xludf.DUMMYFUNCTION("""COMPUTED_VALUE"""),"L936H")</f>
        <v>L936H</v>
      </c>
      <c r="H383" s="5" t="str">
        <f>IFERROR(__xludf.DUMMYFUNCTION("""COMPUTED_VALUE"""),"143HP")</f>
        <v>143HP</v>
      </c>
      <c r="I383" s="5" t="str">
        <f>IFERROR(__xludf.DUMMYFUNCTION("""COMPUTED_VALUE"""),"VLGL936HLR0620877")</f>
        <v>VLGL936HLR0620877</v>
      </c>
      <c r="J383" s="5" t="str">
        <f>IFERROR(__xludf.DUMMYFUNCTION("""COMPUTED_VALUE"""),"WP6G140E226P24S022431")</f>
        <v>WP6G140E226P24S022431</v>
      </c>
      <c r="K383" s="5">
        <f>IFERROR(__xludf.DUMMYFUNCTION("""COMPUTED_VALUE"""),12.0)</f>
        <v>12</v>
      </c>
      <c r="L383" s="5" t="str">
        <f>IFERROR(__xludf.DUMMYFUNCTION("""COMPUTED_VALUE"""),"KLH")</f>
        <v>KLH</v>
      </c>
    </row>
    <row r="384">
      <c r="A384" s="168" t="str">
        <f>IFERROR(__xludf.DUMMYFUNCTION("""COMPUTED_VALUE"""),"XB1-XXL-013")</f>
        <v>XB1-XXL-013</v>
      </c>
      <c r="B384" s="3" t="str">
        <f>IFERROR(__xludf.DUMMYFUNCTION("""COMPUTED_VALUE"""),"Xe xúc lật SDLG L936H")</f>
        <v>Xe xúc lật SDLG L936H</v>
      </c>
      <c r="C384" s="5" t="str">
        <f>IFERROR(__xludf.DUMMYFUNCTION("""COMPUTED_VALUE"""),"XN Bò AD")</f>
        <v>XN Bò AD</v>
      </c>
      <c r="D384" s="5" t="str">
        <f>IFERROR(__xludf.DUMMYFUNCTION("""COMPUTED_VALUE"""),"SDLG")</f>
        <v>SDLG</v>
      </c>
      <c r="E384" s="5" t="str">
        <f>IFERROR(__xludf.DUMMYFUNCTION("""COMPUTED_VALUE"""),"TRUNG QUỐC")</f>
        <v>TRUNG QUỐC</v>
      </c>
      <c r="F384" s="5">
        <f>IFERROR(__xludf.DUMMYFUNCTION("""COMPUTED_VALUE"""),2025.0)</f>
        <v>2025</v>
      </c>
      <c r="G384" s="5" t="str">
        <f>IFERROR(__xludf.DUMMYFUNCTION("""COMPUTED_VALUE"""),"L936H")</f>
        <v>L936H</v>
      </c>
      <c r="H384" s="5" t="str">
        <f>IFERROR(__xludf.DUMMYFUNCTION("""COMPUTED_VALUE"""),"143HP")</f>
        <v>143HP</v>
      </c>
      <c r="I384" s="5" t="str">
        <f>IFERROR(__xludf.DUMMYFUNCTION("""COMPUTED_VALUE"""),"VLGL936HVS0620901")</f>
        <v>VLGL936HVS0620901</v>
      </c>
      <c r="J384" s="5" t="str">
        <f>IFERROR(__xludf.DUMMYFUNCTION("""COMPUTED_VALUE"""),"WP6G140E226P24K026707")</f>
        <v>WP6G140E226P24K026707</v>
      </c>
      <c r="K384" s="5">
        <f>IFERROR(__xludf.DUMMYFUNCTION("""COMPUTED_VALUE"""),12.0)</f>
        <v>12</v>
      </c>
      <c r="L384" s="5" t="str">
        <f>IFERROR(__xludf.DUMMYFUNCTION("""COMPUTED_VALUE"""),"KLH")</f>
        <v>KLH</v>
      </c>
    </row>
    <row r="385">
      <c r="A385" s="168" t="str">
        <f>IFERROR(__xludf.DUMMYFUNCTION("""COMPUTED_VALUE"""),"XB1-XXL-014")</f>
        <v>XB1-XXL-014</v>
      </c>
      <c r="B385" s="3" t="str">
        <f>IFERROR(__xludf.DUMMYFUNCTION("""COMPUTED_VALUE"""),"Xe xúc lật TCM 709")</f>
        <v>Xe xúc lật TCM 709</v>
      </c>
      <c r="C385" s="5" t="str">
        <f>IFERROR(__xludf.DUMMYFUNCTION("""COMPUTED_VALUE"""),"XN Bò AD")</f>
        <v>XN Bò AD</v>
      </c>
      <c r="D385" s="5" t="str">
        <f>IFERROR(__xludf.DUMMYFUNCTION("""COMPUTED_VALUE"""),"TCM")</f>
        <v>TCM</v>
      </c>
      <c r="E385" s="5" t="str">
        <f>IFERROR(__xludf.DUMMYFUNCTION("""COMPUTED_VALUE"""),"VIỆT NAM")</f>
        <v>VIỆT NAM</v>
      </c>
      <c r="F385" s="5">
        <f>IFERROR(__xludf.DUMMYFUNCTION("""COMPUTED_VALUE"""),2007.0)</f>
        <v>2007</v>
      </c>
      <c r="G385" s="5" t="str">
        <f>IFERROR(__xludf.DUMMYFUNCTION("""COMPUTED_VALUE"""),"V2403-M")</f>
        <v>V2403-M</v>
      </c>
      <c r="H385" s="5" t="str">
        <f>IFERROR(__xludf.DUMMYFUNCTION("""COMPUTED_VALUE"""),"45HP")</f>
        <v>45HP</v>
      </c>
      <c r="I385" s="5" t="str">
        <f>IFERROR(__xludf.DUMMYFUNCTION("""COMPUTED_VALUE"""),"56T01045")</f>
        <v>56T01045</v>
      </c>
      <c r="J385" s="5" t="str">
        <f>IFERROR(__xludf.DUMMYFUNCTION("""COMPUTED_VALUE"""),"V2403-08-3116")</f>
        <v>V2403-08-3116</v>
      </c>
      <c r="K385" s="5"/>
      <c r="L385" s="5" t="str">
        <f>IFERROR(__xludf.DUMMYFUNCTION("""COMPUTED_VALUE"""),"KLH")</f>
        <v>KLH</v>
      </c>
    </row>
    <row r="386">
      <c r="A386" s="168" t="str">
        <f>IFERROR(__xludf.DUMMYFUNCTION("""COMPUTED_VALUE"""),"XB1-XXL-015")</f>
        <v>XB1-XXL-015</v>
      </c>
      <c r="B386" s="3" t="str">
        <f>IFERROR(__xludf.DUMMYFUNCTION("""COMPUTED_VALUE"""),"Xe xúc lật SDLG L936H")</f>
        <v>Xe xúc lật SDLG L936H</v>
      </c>
      <c r="C386" s="5" t="str">
        <f>IFERROR(__xludf.DUMMYFUNCTION("""COMPUTED_VALUE"""),"XN Bò AD")</f>
        <v>XN Bò AD</v>
      </c>
      <c r="D386" s="5" t="str">
        <f>IFERROR(__xludf.DUMMYFUNCTION("""COMPUTED_VALUE"""),"SDLG")</f>
        <v>SDLG</v>
      </c>
      <c r="E386" s="5" t="str">
        <f>IFERROR(__xludf.DUMMYFUNCTION("""COMPUTED_VALUE"""),"TRUNG QUỐC")</f>
        <v>TRUNG QUỐC</v>
      </c>
      <c r="F386" s="5">
        <f>IFERROR(__xludf.DUMMYFUNCTION("""COMPUTED_VALUE"""),2025.0)</f>
        <v>2025</v>
      </c>
      <c r="G386" s="5" t="str">
        <f>IFERROR(__xludf.DUMMYFUNCTION("""COMPUTED_VALUE"""),"L936H")</f>
        <v>L936H</v>
      </c>
      <c r="H386" s="5" t="str">
        <f>IFERROR(__xludf.DUMMYFUNCTION("""COMPUTED_VALUE"""),"142.7HP")</f>
        <v>142.7HP</v>
      </c>
      <c r="I386" s="5" t="str">
        <f>IFERROR(__xludf.DUMMYFUNCTION("""COMPUTED_VALUE"""),"VLGL936HCS0621335")</f>
        <v>VLGL936HCS0621335</v>
      </c>
      <c r="J386" s="5" t="str">
        <f>IFERROR(__xludf.DUMMYFUNCTION("""COMPUTED_VALUE"""),"WP6G140E226P25G016629")</f>
        <v>WP6G140E226P25G016629</v>
      </c>
      <c r="K386" s="5"/>
      <c r="L386" s="5" t="str">
        <f>IFERROR(__xludf.DUMMYFUNCTION("""COMPUTED_VALUE"""),"KLH")</f>
        <v>KLH</v>
      </c>
    </row>
    <row r="387">
      <c r="A387" s="168" t="str">
        <f>IFERROR(__xludf.DUMMYFUNCTION("""COMPUTED_VALUE"""),"XB1-XXL-016")</f>
        <v>XB1-XXL-016</v>
      </c>
      <c r="B387" s="3" t="str">
        <f>IFERROR(__xludf.DUMMYFUNCTION("""COMPUTED_VALUE"""),"Xe xúc lật BOBCAT 753")</f>
        <v>Xe xúc lật BOBCAT 753</v>
      </c>
      <c r="C387" s="5" t="str">
        <f>IFERROR(__xludf.DUMMYFUNCTION("""COMPUTED_VALUE"""),"XN Bò AD")</f>
        <v>XN Bò AD</v>
      </c>
      <c r="D387" s="5" t="str">
        <f>IFERROR(__xludf.DUMMYFUNCTION("""COMPUTED_VALUE"""),"BOBCAT")</f>
        <v>BOBCAT</v>
      </c>
      <c r="E387" s="5" t="str">
        <f>IFERROR(__xludf.DUMMYFUNCTION("""COMPUTED_VALUE"""),"Mỹ")</f>
        <v>Mỹ</v>
      </c>
      <c r="F387" s="5"/>
      <c r="G387" s="5" t="str">
        <f>IFERROR(__xludf.DUMMYFUNCTION("""COMPUTED_VALUE"""),"753")</f>
        <v>753</v>
      </c>
      <c r="H387" s="5" t="str">
        <f>IFERROR(__xludf.DUMMYFUNCTION("""COMPUTED_VALUE"""),"44Hp")</f>
        <v>44Hp</v>
      </c>
      <c r="I387" s="5" t="str">
        <f>IFERROR(__xludf.DUMMYFUNCTION("""COMPUTED_VALUE"""),"511350401")</f>
        <v>511350401</v>
      </c>
      <c r="J387" s="5" t="str">
        <f>IFERROR(__xludf.DUMMYFUNCTION("""COMPUTED_VALUE"""),"V2203-389041")</f>
        <v>V2203-389041</v>
      </c>
      <c r="K387" s="5"/>
      <c r="L387" s="5" t="str">
        <f>IFERROR(__xludf.DUMMYFUNCTION("""COMPUTED_VALUE"""),"KLH")</f>
        <v>KLH</v>
      </c>
    </row>
    <row r="388">
      <c r="A388" s="168" t="str">
        <f>IFERROR(__xludf.DUMMYFUNCTION("""COMPUTED_VALUE"""),"XB1-XXL-017")</f>
        <v>XB1-XXL-017</v>
      </c>
      <c r="B388" s="3" t="str">
        <f>IFERROR(__xludf.DUMMYFUNCTION("""COMPUTED_VALUE"""),"Xe xúc lật BOBCAT 763")</f>
        <v>Xe xúc lật BOBCAT 763</v>
      </c>
      <c r="C388" s="5" t="str">
        <f>IFERROR(__xludf.DUMMYFUNCTION("""COMPUTED_VALUE"""),"XN Bò AD")</f>
        <v>XN Bò AD</v>
      </c>
      <c r="D388" s="5" t="str">
        <f>IFERROR(__xludf.DUMMYFUNCTION("""COMPUTED_VALUE"""),"BOBCAT")</f>
        <v>BOBCAT</v>
      </c>
      <c r="E388" s="5" t="str">
        <f>IFERROR(__xludf.DUMMYFUNCTION("""COMPUTED_VALUE"""),"Mỹ")</f>
        <v>Mỹ</v>
      </c>
      <c r="F388" s="5"/>
      <c r="G388" s="5" t="str">
        <f>IFERROR(__xludf.DUMMYFUNCTION("""COMPUTED_VALUE"""),"763")</f>
        <v>763</v>
      </c>
      <c r="H388" s="5" t="str">
        <f>IFERROR(__xludf.DUMMYFUNCTION("""COMPUTED_VALUE"""),"46Hp")</f>
        <v>46Hp</v>
      </c>
      <c r="I388" s="5" t="str">
        <f>IFERROR(__xludf.DUMMYFUNCTION("""COMPUTED_VALUE"""),"512215700")</f>
        <v>512215700</v>
      </c>
      <c r="J388" s="5" t="str">
        <f>IFERROR(__xludf.DUMMYFUNCTION("""COMPUTED_VALUE"""),"V2203-111961")</f>
        <v>V2203-111961</v>
      </c>
      <c r="K388" s="5"/>
      <c r="L388" s="5" t="str">
        <f>IFERROR(__xludf.DUMMYFUNCTION("""COMPUTED_VALUE"""),"KLH")</f>
        <v>KLH</v>
      </c>
    </row>
    <row r="389">
      <c r="A389" s="168" t="str">
        <f>IFERROR(__xludf.DUMMYFUNCTION("""COMPUTED_VALUE"""),"XB1-XNA-001")</f>
        <v>XB1-XNA-001</v>
      </c>
      <c r="B389" s="3" t="str">
        <f>IFERROR(__xludf.DUMMYFUNCTION("""COMPUTED_VALUE"""),"Xe nâng điện 1.5 tấn")</f>
        <v>Xe nâng điện 1.5 tấn</v>
      </c>
      <c r="C389" s="5" t="str">
        <f>IFERROR(__xludf.DUMMYFUNCTION("""COMPUTED_VALUE"""),"XN Bò AD")</f>
        <v>XN Bò AD</v>
      </c>
      <c r="D389" s="5" t="str">
        <f>IFERROR(__xludf.DUMMYFUNCTION("""COMPUTED_VALUE"""),"KOMATSU")</f>
        <v>KOMATSU</v>
      </c>
      <c r="E389" s="5" t="str">
        <f>IFERROR(__xludf.DUMMYFUNCTION("""COMPUTED_VALUE"""),"NHẬT BẢN")</f>
        <v>NHẬT BẢN</v>
      </c>
      <c r="F389" s="5">
        <f>IFERROR(__xludf.DUMMYFUNCTION("""COMPUTED_VALUE"""),2015.0)</f>
        <v>2015</v>
      </c>
      <c r="G389" s="5" t="str">
        <f>IFERROR(__xludf.DUMMYFUNCTION("""COMPUTED_VALUE"""),"FB15HB-12")</f>
        <v>FB15HB-12</v>
      </c>
      <c r="H389" s="5" t="str">
        <f>IFERROR(__xludf.DUMMYFUNCTION("""COMPUTED_VALUE"""),"48V/280AH")</f>
        <v>48V/280AH</v>
      </c>
      <c r="I389" s="5" t="str">
        <f>IFERROR(__xludf.DUMMYFUNCTION("""COMPUTED_VALUE"""),"838092")</f>
        <v>838092</v>
      </c>
      <c r="J389" s="5" t="str">
        <f>IFERROR(__xludf.DUMMYFUNCTION("""COMPUTED_VALUE"""),"2C09/11")</f>
        <v>2C09/11</v>
      </c>
      <c r="K389" s="5"/>
      <c r="L389" s="5" t="str">
        <f>IFERROR(__xludf.DUMMYFUNCTION("""COMPUTED_VALUE"""),"KLH")</f>
        <v>KLH</v>
      </c>
    </row>
    <row r="390">
      <c r="A390" s="168" t="str">
        <f>IFERROR(__xludf.DUMMYFUNCTION("""COMPUTED_VALUE"""),"XB1-XNA-002")</f>
        <v>XB1-XNA-002</v>
      </c>
      <c r="B390" s="3" t="str">
        <f>IFERROR(__xludf.DUMMYFUNCTION("""COMPUTED_VALUE"""),"Xe nâng 3 tấn")</f>
        <v>Xe nâng 3 tấn</v>
      </c>
      <c r="C390" s="5" t="str">
        <f>IFERROR(__xludf.DUMMYFUNCTION("""COMPUTED_VALUE"""),"XN Bò AD")</f>
        <v>XN Bò AD</v>
      </c>
      <c r="D390" s="5" t="str">
        <f>IFERROR(__xludf.DUMMYFUNCTION("""COMPUTED_VALUE"""),"KOMATSU")</f>
        <v>KOMATSU</v>
      </c>
      <c r="E390" s="5" t="str">
        <f>IFERROR(__xludf.DUMMYFUNCTION("""COMPUTED_VALUE"""),"NHẬT BẢN")</f>
        <v>NHẬT BẢN</v>
      </c>
      <c r="F390" s="5">
        <f>IFERROR(__xludf.DUMMYFUNCTION("""COMPUTED_VALUE"""),2018.0)</f>
        <v>2018</v>
      </c>
      <c r="G390" s="5" t="str">
        <f>IFERROR(__xludf.DUMMYFUNCTION("""COMPUTED_VALUE"""),"FD30T-17")</f>
        <v>FD30T-17</v>
      </c>
      <c r="H390" s="5" t="str">
        <f>IFERROR(__xludf.DUMMYFUNCTION("""COMPUTED_VALUE"""),"30HP")</f>
        <v>30HP</v>
      </c>
      <c r="I390" s="5" t="str">
        <f>IFERROR(__xludf.DUMMYFUNCTION("""COMPUTED_VALUE"""),"308754")</f>
        <v>308754</v>
      </c>
      <c r="J390" s="5" t="str">
        <f>IFERROR(__xludf.DUMMYFUNCTION("""COMPUTED_VALUE"""),"CCN")</f>
        <v>CCN</v>
      </c>
      <c r="K390" s="5">
        <f>IFERROR(__xludf.DUMMYFUNCTION("""COMPUTED_VALUE"""),2.0)</f>
        <v>2</v>
      </c>
      <c r="L390" s="5" t="str">
        <f>IFERROR(__xludf.DUMMYFUNCTION("""COMPUTED_VALUE"""),"KLH")</f>
        <v>KLH</v>
      </c>
    </row>
    <row r="391">
      <c r="A391" s="168" t="str">
        <f>IFERROR(__xludf.DUMMYFUNCTION("""COMPUTED_VALUE"""),"XB1-XNA-003")</f>
        <v>XB1-XNA-003</v>
      </c>
      <c r="B391" s="3" t="str">
        <f>IFERROR(__xludf.DUMMYFUNCTION("""COMPUTED_VALUE"""),"Xe nâng điện 2.5 tấn")</f>
        <v>Xe nâng điện 2.5 tấn</v>
      </c>
      <c r="C391" s="5" t="str">
        <f>IFERROR(__xludf.DUMMYFUNCTION("""COMPUTED_VALUE"""),"XN Bò AD")</f>
        <v>XN Bò AD</v>
      </c>
      <c r="D391" s="5" t="str">
        <f>IFERROR(__xludf.DUMMYFUNCTION("""COMPUTED_VALUE"""),"KOMATSU")</f>
        <v>KOMATSU</v>
      </c>
      <c r="E391" s="5" t="str">
        <f>IFERROR(__xludf.DUMMYFUNCTION("""COMPUTED_VALUE"""),"NHẬT BẢN")</f>
        <v>NHẬT BẢN</v>
      </c>
      <c r="F391" s="5"/>
      <c r="G391" s="5" t="str">
        <f>IFERROR(__xludf.DUMMYFUNCTION("""COMPUTED_VALUE"""),"CP-CY25DC1B")</f>
        <v>CP-CY25DC1B</v>
      </c>
      <c r="H391" s="5" t="str">
        <f>IFERROR(__xludf.DUMMYFUNCTION("""COMPUTED_VALUE"""),"-")</f>
        <v>-</v>
      </c>
      <c r="I391" s="5" t="str">
        <f>IFERROR(__xludf.DUMMYFUNCTION("""COMPUTED_VALUE"""),"806003")</f>
        <v>806003</v>
      </c>
      <c r="J391" s="5" t="str">
        <f>IFERROR(__xludf.DUMMYFUNCTION("""COMPUTED_VALUE"""),"CCN")</f>
        <v>CCN</v>
      </c>
      <c r="K391" s="5"/>
      <c r="L391" s="5" t="str">
        <f>IFERROR(__xludf.DUMMYFUNCTION("""COMPUTED_VALUE"""),"KLH")</f>
        <v>KLH</v>
      </c>
    </row>
    <row r="392">
      <c r="A392" s="168" t="str">
        <f>IFERROR(__xludf.DUMMYFUNCTION("""COMPUTED_VALUE"""),"XB1-XNA-004")</f>
        <v>XB1-XNA-004</v>
      </c>
      <c r="B392" s="3" t="str">
        <f>IFERROR(__xludf.DUMMYFUNCTION("""COMPUTED_VALUE"""),"Xe nâng dầu KOMATSU 3.5 tấn")</f>
        <v>Xe nâng dầu KOMATSU 3.5 tấn</v>
      </c>
      <c r="C392" s="5" t="str">
        <f>IFERROR(__xludf.DUMMYFUNCTION("""COMPUTED_VALUE"""),"XN Bò AD")</f>
        <v>XN Bò AD</v>
      </c>
      <c r="D392" s="5" t="str">
        <f>IFERROR(__xludf.DUMMYFUNCTION("""COMPUTED_VALUE"""),"KOMATSU")</f>
        <v>KOMATSU</v>
      </c>
      <c r="E392" s="5" t="str">
        <f>IFERROR(__xludf.DUMMYFUNCTION("""COMPUTED_VALUE"""),"NHẬT BẢN")</f>
        <v>NHẬT BẢN</v>
      </c>
      <c r="F392" s="5">
        <f>IFERROR(__xludf.DUMMYFUNCTION("""COMPUTED_VALUE"""),2013.0)</f>
        <v>2013</v>
      </c>
      <c r="G392" s="5" t="str">
        <f>IFERROR(__xludf.DUMMYFUNCTION("""COMPUTED_VALUE"""),"FH35-1")</f>
        <v>FH35-1</v>
      </c>
      <c r="H392" s="5" t="str">
        <f>IFERROR(__xludf.DUMMYFUNCTION("""COMPUTED_VALUE"""),"70 HP")</f>
        <v>70 HP</v>
      </c>
      <c r="I392" s="5" t="str">
        <f>IFERROR(__xludf.DUMMYFUNCTION("""COMPUTED_VALUE"""),"38377")</f>
        <v>38377</v>
      </c>
      <c r="J392" s="5" t="str">
        <f>IFERROR(__xludf.DUMMYFUNCTION("""COMPUTED_VALUE"""),"CCN")</f>
        <v>CCN</v>
      </c>
      <c r="K392" s="5">
        <f>IFERROR(__xludf.DUMMYFUNCTION("""COMPUTED_VALUE"""),4.0)</f>
        <v>4</v>
      </c>
      <c r="L392" s="5" t="str">
        <f>IFERROR(__xludf.DUMMYFUNCTION("""COMPUTED_VALUE"""),"KLH")</f>
        <v>KLH</v>
      </c>
    </row>
    <row r="393">
      <c r="A393" s="168" t="str">
        <f>IFERROR(__xludf.DUMMYFUNCTION("""COMPUTED_VALUE"""),"XB1-XNA-005")</f>
        <v>XB1-XNA-005</v>
      </c>
      <c r="B393" s="3" t="str">
        <f>IFERROR(__xludf.DUMMYFUNCTION("""COMPUTED_VALUE"""),"Xe nâng dầu HELI 3.5 tấn")</f>
        <v>Xe nâng dầu HELI 3.5 tấn</v>
      </c>
      <c r="C393" s="5" t="str">
        <f>IFERROR(__xludf.DUMMYFUNCTION("""COMPUTED_VALUE"""),"XN Bò AD")</f>
        <v>XN Bò AD</v>
      </c>
      <c r="D393" s="5" t="str">
        <f>IFERROR(__xludf.DUMMYFUNCTION("""COMPUTED_VALUE"""),"HELI")</f>
        <v>HELI</v>
      </c>
      <c r="E393" s="5" t="str">
        <f>IFERROR(__xludf.DUMMYFUNCTION("""COMPUTED_VALUE"""),"NHẬT BẢN")</f>
        <v>NHẬT BẢN</v>
      </c>
      <c r="F393" s="5">
        <f>IFERROR(__xludf.DUMMYFUNCTION("""COMPUTED_VALUE"""),2024.0)</f>
        <v>2024</v>
      </c>
      <c r="G393" s="5" t="str">
        <f>IFERROR(__xludf.DUMMYFUNCTION("""COMPUTED_VALUE"""),"CPCD35")</f>
        <v>CPCD35</v>
      </c>
      <c r="H393" s="5" t="str">
        <f>IFERROR(__xludf.DUMMYFUNCTION("""COMPUTED_VALUE"""),"60HP")</f>
        <v>60HP</v>
      </c>
      <c r="I393" s="5" t="str">
        <f>IFERROR(__xludf.DUMMYFUNCTION("""COMPUTED_VALUE"""),"010353K5641")</f>
        <v>010353K5641</v>
      </c>
      <c r="J393" s="5" t="str">
        <f>IFERROR(__xludf.DUMMYFUNCTION("""COMPUTED_VALUE"""),"4JG2-650393")</f>
        <v>4JG2-650393</v>
      </c>
      <c r="K393" s="5">
        <f>IFERROR(__xludf.DUMMYFUNCTION("""COMPUTED_VALUE"""),4.0)</f>
        <v>4</v>
      </c>
      <c r="L393" s="5" t="str">
        <f>IFERROR(__xludf.DUMMYFUNCTION("""COMPUTED_VALUE"""),"KLH")</f>
        <v>KLH</v>
      </c>
    </row>
    <row r="394">
      <c r="A394" s="168" t="str">
        <f>IFERROR(__xludf.DUMMYFUNCTION("""COMPUTED_VALUE"""),"XB1-XNA-006")</f>
        <v>XB1-XNA-006</v>
      </c>
      <c r="B394" s="3" t="str">
        <f>IFERROR(__xludf.DUMMYFUNCTION("""COMPUTED_VALUE"""),"Xe nâng dầu HELI 3.5 tấn")</f>
        <v>Xe nâng dầu HELI 3.5 tấn</v>
      </c>
      <c r="C394" s="5" t="str">
        <f>IFERROR(__xludf.DUMMYFUNCTION("""COMPUTED_VALUE"""),"XN Bò AD")</f>
        <v>XN Bò AD</v>
      </c>
      <c r="D394" s="5" t="str">
        <f>IFERROR(__xludf.DUMMYFUNCTION("""COMPUTED_VALUE"""),"HELI")</f>
        <v>HELI</v>
      </c>
      <c r="E394" s="5" t="str">
        <f>IFERROR(__xludf.DUMMYFUNCTION("""COMPUTED_VALUE"""),"NHẬT BẢN")</f>
        <v>NHẬT BẢN</v>
      </c>
      <c r="F394" s="5">
        <f>IFERROR(__xludf.DUMMYFUNCTION("""COMPUTED_VALUE"""),2024.0)</f>
        <v>2024</v>
      </c>
      <c r="G394" s="5" t="str">
        <f>IFERROR(__xludf.DUMMYFUNCTION("""COMPUTED_VALUE"""),"CPCD35")</f>
        <v>CPCD35</v>
      </c>
      <c r="H394" s="5" t="str">
        <f>IFERROR(__xludf.DUMMYFUNCTION("""COMPUTED_VALUE"""),"60HP")</f>
        <v>60HP</v>
      </c>
      <c r="I394" s="5" t="str">
        <f>IFERROR(__xludf.DUMMYFUNCTION("""COMPUTED_VALUE"""),"010353H8176")</f>
        <v>010353H8176</v>
      </c>
      <c r="J394" s="5" t="str">
        <f>IFERROR(__xludf.DUMMYFUNCTION("""COMPUTED_VALUE"""),"4JG2-649490")</f>
        <v>4JG2-649490</v>
      </c>
      <c r="K394" s="5">
        <f>IFERROR(__xludf.DUMMYFUNCTION("""COMPUTED_VALUE"""),4.0)</f>
        <v>4</v>
      </c>
      <c r="L394" s="5" t="str">
        <f>IFERROR(__xludf.DUMMYFUNCTION("""COMPUTED_VALUE"""),"KLH")</f>
        <v>KLH</v>
      </c>
    </row>
    <row r="395">
      <c r="A395" s="168" t="str">
        <f>IFERROR(__xludf.DUMMYFUNCTION("""COMPUTED_VALUE"""),"XB1-MĐA-004")</f>
        <v>XB1-MĐA-004</v>
      </c>
      <c r="B395" s="3" t="str">
        <f>IFERROR(__xludf.DUMMYFUNCTION("""COMPUTED_VALUE"""),"Máy đào KOMATSU bánh xích gàu 0.3m3")</f>
        <v>Máy đào KOMATSU bánh xích gàu 0.3m3</v>
      </c>
      <c r="C395" s="5" t="str">
        <f>IFERROR(__xludf.DUMMYFUNCTION("""COMPUTED_VALUE"""),"XN Bò AD")</f>
        <v>XN Bò AD</v>
      </c>
      <c r="D395" s="5" t="str">
        <f>IFERROR(__xludf.DUMMYFUNCTION("""COMPUTED_VALUE"""),"KOMATSU")</f>
        <v>KOMATSU</v>
      </c>
      <c r="E395" s="5" t="str">
        <f>IFERROR(__xludf.DUMMYFUNCTION("""COMPUTED_VALUE"""),"NHẬT BẢN")</f>
        <v>NHẬT BẢN</v>
      </c>
      <c r="F395" s="5">
        <f>IFERROR(__xludf.DUMMYFUNCTION("""COMPUTED_VALUE"""),2006.0)</f>
        <v>2006</v>
      </c>
      <c r="G395" s="5" t="str">
        <f>IFERROR(__xludf.DUMMYFUNCTION("""COMPUTED_VALUE"""),"PC50MR-2")</f>
        <v>PC50MR-2</v>
      </c>
      <c r="H395" s="5" t="str">
        <f>IFERROR(__xludf.DUMMYFUNCTION("""COMPUTED_VALUE"""),"39HP")</f>
        <v>39HP</v>
      </c>
      <c r="I395" s="5" t="str">
        <f>IFERROR(__xludf.DUMMYFUNCTION("""COMPUTED_VALUE"""),"KMTPC094K05007351")</f>
        <v>KMTPC094K05007351</v>
      </c>
      <c r="J395" s="5" t="str">
        <f>IFERROR(__xludf.DUMMYFUNCTION("""COMPUTED_VALUE"""),"CCN")</f>
        <v>CCN</v>
      </c>
      <c r="K395" s="5">
        <f>IFERROR(__xludf.DUMMYFUNCTION("""COMPUTED_VALUE"""),4.0)</f>
        <v>4</v>
      </c>
      <c r="L395" s="5" t="str">
        <f>IFERROR(__xludf.DUMMYFUNCTION("""COMPUTED_VALUE"""),"KLH")</f>
        <v>KLH</v>
      </c>
    </row>
    <row r="396">
      <c r="A396" s="168" t="str">
        <f>IFERROR(__xludf.DUMMYFUNCTION("""COMPUTED_VALUE"""),"XB1-MĐA-005")</f>
        <v>XB1-MĐA-005</v>
      </c>
      <c r="B396" s="3" t="str">
        <f>IFERROR(__xludf.DUMMYFUNCTION("""COMPUTED_VALUE"""),"Máy đào ROBEX 140W bánh lốp gàu 0.5m3")</f>
        <v>Máy đào ROBEX 140W bánh lốp gàu 0.5m3</v>
      </c>
      <c r="C396" s="5" t="str">
        <f>IFERROR(__xludf.DUMMYFUNCTION("""COMPUTED_VALUE"""),"XN Bò AD")</f>
        <v>XN Bò AD</v>
      </c>
      <c r="D396" s="5" t="str">
        <f>IFERROR(__xludf.DUMMYFUNCTION("""COMPUTED_VALUE"""),"HYUNDAI")</f>
        <v>HYUNDAI</v>
      </c>
      <c r="E396" s="5" t="str">
        <f>IFERROR(__xludf.DUMMYFUNCTION("""COMPUTED_VALUE"""),"HÀN QUỐC")</f>
        <v>HÀN QUỐC</v>
      </c>
      <c r="F396" s="5">
        <f>IFERROR(__xludf.DUMMYFUNCTION("""COMPUTED_VALUE"""),2012.0)</f>
        <v>2012</v>
      </c>
      <c r="G396" s="5" t="str">
        <f>IFERROR(__xludf.DUMMYFUNCTION("""COMPUTED_VALUE"""),"ROBEX 140W")</f>
        <v>ROBEX 140W</v>
      </c>
      <c r="H396" s="5" t="str">
        <f>IFERROR(__xludf.DUMMYFUNCTION("""COMPUTED_VALUE"""),"133HP")</f>
        <v>133HP</v>
      </c>
      <c r="I396" s="5" t="str">
        <f>IFERROR(__xludf.DUMMYFUNCTION("""COMPUTED_VALUE"""),"4LC0001417")</f>
        <v>4LC0001417</v>
      </c>
      <c r="J396" s="5" t="str">
        <f>IFERROR(__xludf.DUMMYFUNCTION("""COMPUTED_VALUE"""),"73390872")</f>
        <v>73390872</v>
      </c>
      <c r="K396" s="5">
        <f>IFERROR(__xludf.DUMMYFUNCTION("""COMPUTED_VALUE"""),12.0)</f>
        <v>12</v>
      </c>
      <c r="L396" s="5" t="str">
        <f>IFERROR(__xludf.DUMMYFUNCTION("""COMPUTED_VALUE"""),"KLH")</f>
        <v>KLH</v>
      </c>
    </row>
    <row r="397">
      <c r="A397" s="168" t="str">
        <f>IFERROR(__xludf.DUMMYFUNCTION("""COMPUTED_VALUE"""),"XB1-MĐA-006")</f>
        <v>XB1-MĐA-006</v>
      </c>
      <c r="B397" s="3" t="str">
        <f>IFERROR(__xludf.DUMMYFUNCTION("""COMPUTED_VALUE"""),"Máy đào KOMATSU bánh lốp gàu 0.7m3")</f>
        <v>Máy đào KOMATSU bánh lốp gàu 0.7m3</v>
      </c>
      <c r="C397" s="5" t="str">
        <f>IFERROR(__xludf.DUMMYFUNCTION("""COMPUTED_VALUE"""),"XN Bò AD")</f>
        <v>XN Bò AD</v>
      </c>
      <c r="D397" s="5" t="str">
        <f>IFERROR(__xludf.DUMMYFUNCTION("""COMPUTED_VALUE"""),"KOMATSU")</f>
        <v>KOMATSU</v>
      </c>
      <c r="E397" s="5" t="str">
        <f>IFERROR(__xludf.DUMMYFUNCTION("""COMPUTED_VALUE"""),"ĐỨC")</f>
        <v>ĐỨC</v>
      </c>
      <c r="F397" s="5">
        <f>IFERROR(__xludf.DUMMYFUNCTION("""COMPUTED_VALUE"""),2006.0)</f>
        <v>2006</v>
      </c>
      <c r="G397" s="5" t="str">
        <f>IFERROR(__xludf.DUMMYFUNCTION("""COMPUTED_VALUE"""),"PW160-7")</f>
        <v>PW160-7</v>
      </c>
      <c r="H397" s="5" t="str">
        <f>IFERROR(__xludf.DUMMYFUNCTION("""COMPUTED_VALUE"""),"120HP")</f>
        <v>120HP</v>
      </c>
      <c r="I397" s="5" t="str">
        <f>IFERROR(__xludf.DUMMYFUNCTION("""COMPUTED_VALUE"""),"KMTPW013K79H50270")</f>
        <v>KMTPW013K79H50270</v>
      </c>
      <c r="J397" s="5" t="str">
        <f>IFERROR(__xludf.DUMMYFUNCTION("""COMPUTED_VALUE"""),"21711747")</f>
        <v>21711747</v>
      </c>
      <c r="K397" s="5">
        <f>IFERROR(__xludf.DUMMYFUNCTION("""COMPUTED_VALUE"""),10.0)</f>
        <v>10</v>
      </c>
      <c r="L397" s="5" t="str">
        <f>IFERROR(__xludf.DUMMYFUNCTION("""COMPUTED_VALUE"""),"KLH")</f>
        <v>KLH</v>
      </c>
    </row>
    <row r="398">
      <c r="A398" s="168" t="str">
        <f>IFERROR(__xludf.DUMMYFUNCTION("""COMPUTED_VALUE"""),"XB1-MĐA-003")</f>
        <v>XB1-MĐA-003</v>
      </c>
      <c r="B398" s="3" t="str">
        <f>IFERROR(__xludf.DUMMYFUNCTION("""COMPUTED_VALUE"""),"Máy đào CAT 305 bánh xích gàu 0.3m3")</f>
        <v>Máy đào CAT 305 bánh xích gàu 0.3m3</v>
      </c>
      <c r="C398" s="5" t="str">
        <f>IFERROR(__xludf.DUMMYFUNCTION("""COMPUTED_VALUE"""),"CGTC AD")</f>
        <v>CGTC AD</v>
      </c>
      <c r="D398" s="5" t="str">
        <f>IFERROR(__xludf.DUMMYFUNCTION("""COMPUTED_VALUE"""),"CAT")</f>
        <v>CAT</v>
      </c>
      <c r="E398" s="5" t="str">
        <f>IFERROR(__xludf.DUMMYFUNCTION("""COMPUTED_VALUE"""),"NHẬT BẢN")</f>
        <v>NHẬT BẢN</v>
      </c>
      <c r="F398" s="5"/>
      <c r="G398" s="5" t="str">
        <f>IFERROR(__xludf.DUMMYFUNCTION("""COMPUTED_VALUE"""),"305")</f>
        <v>305</v>
      </c>
      <c r="H398" s="5" t="str">
        <f>IFERROR(__xludf.DUMMYFUNCTION("""COMPUTED_VALUE"""),"42HP")</f>
        <v>42HP</v>
      </c>
      <c r="I398" s="5" t="str">
        <f>IFERROR(__xludf.DUMMYFUNCTION("""COMPUTED_VALUE"""),"CAT00305HDCR00990")</f>
        <v>CAT00305HDCR00990</v>
      </c>
      <c r="J398" s="5" t="str">
        <f>IFERROR(__xludf.DUMMYFUNCTION("""COMPUTED_VALUE"""),"20269B4")</f>
        <v>20269B4</v>
      </c>
      <c r="K398" s="5">
        <f>IFERROR(__xludf.DUMMYFUNCTION("""COMPUTED_VALUE"""),4.0)</f>
        <v>4</v>
      </c>
      <c r="L398" s="5" t="str">
        <f>IFERROR(__xludf.DUMMYFUNCTION("""COMPUTED_VALUE"""),"KLH")</f>
        <v>KLH</v>
      </c>
    </row>
    <row r="399">
      <c r="A399" s="168" t="str">
        <f>IFERROR(__xludf.DUMMYFUNCTION("""COMPUTED_VALUE"""),"XB1-XCC-001")</f>
        <v>XB1-XCC-001</v>
      </c>
      <c r="B399" s="3" t="str">
        <f>IFERROR(__xludf.DUMMYFUNCTION("""COMPUTED_VALUE"""),"Xe chở cám FC950")</f>
        <v>Xe chở cám FC950</v>
      </c>
      <c r="C399" s="5" t="str">
        <f>IFERROR(__xludf.DUMMYFUNCTION("""COMPUTED_VALUE"""),"XN Bò AD")</f>
        <v>XN Bò AD</v>
      </c>
      <c r="D399" s="5" t="str">
        <f>IFERROR(__xludf.DUMMYFUNCTION("""COMPUTED_VALUE"""),"THACO FORLAND")</f>
        <v>THACO FORLAND</v>
      </c>
      <c r="E399" s="5" t="str">
        <f>IFERROR(__xludf.DUMMYFUNCTION("""COMPUTED_VALUE"""),"VIỆT NAM")</f>
        <v>VIỆT NAM</v>
      </c>
      <c r="F399" s="5">
        <f>IFERROR(__xludf.DUMMYFUNCTION("""COMPUTED_VALUE"""),2018.0)</f>
        <v>2018</v>
      </c>
      <c r="G399" s="5" t="str">
        <f>IFERROR(__xludf.DUMMYFUNCTION("""COMPUTED_VALUE"""),"FC950")</f>
        <v>FC950</v>
      </c>
      <c r="H399" s="5" t="str">
        <f>IFERROR(__xludf.DUMMYFUNCTION("""COMPUTED_VALUE"""),"160HP")</f>
        <v>160HP</v>
      </c>
      <c r="I399" s="5" t="str">
        <f>IFERROR(__xludf.DUMMYFUNCTION("""COMPUTED_VALUE"""),"RNHA16FYAJC084020")</f>
        <v>RNHA16FYAJC084020</v>
      </c>
      <c r="J399" s="5" t="str">
        <f>IFERROR(__xludf.DUMMYFUNCTION("""COMPUTED_VALUE"""),"J00052")</f>
        <v>J00052</v>
      </c>
      <c r="K399" s="5"/>
      <c r="L399" s="5" t="str">
        <f>IFERROR(__xludf.DUMMYFUNCTION("""COMPUTED_VALUE"""),"KLH")</f>
        <v>KLH</v>
      </c>
    </row>
    <row r="400">
      <c r="A400" s="168" t="str">
        <f>IFERROR(__xludf.DUMMYFUNCTION("""COMPUTED_VALUE"""),"XB1-XRA-001")</f>
        <v>XB1-XRA-001</v>
      </c>
      <c r="B400" s="3" t="str">
        <f>IFERROR(__xludf.DUMMYFUNCTION("""COMPUTED_VALUE"""),"Xe rải thức ăn FD1600B (23m3)")</f>
        <v>Xe rải thức ăn FD1600B (23m3)</v>
      </c>
      <c r="C400" s="5" t="str">
        <f>IFERROR(__xludf.DUMMYFUNCTION("""COMPUTED_VALUE"""),"XN Bò AD")</f>
        <v>XN Bò AD</v>
      </c>
      <c r="D400" s="5" t="str">
        <f>IFERROR(__xludf.DUMMYFUNCTION("""COMPUTED_VALUE"""),"THACO FORLAND")</f>
        <v>THACO FORLAND</v>
      </c>
      <c r="E400" s="5" t="str">
        <f>IFERROR(__xludf.DUMMYFUNCTION("""COMPUTED_VALUE"""),"VIỆT NAM")</f>
        <v>VIỆT NAM</v>
      </c>
      <c r="F400" s="5">
        <f>IFERROR(__xludf.DUMMYFUNCTION("""COMPUTED_VALUE"""),2017.0)</f>
        <v>2017</v>
      </c>
      <c r="G400" s="5" t="str">
        <f>IFERROR(__xludf.DUMMYFUNCTION("""COMPUTED_VALUE"""),"FD1600B")</f>
        <v>FD1600B</v>
      </c>
      <c r="H400" s="5" t="str">
        <f>IFERROR(__xludf.DUMMYFUNCTION("""COMPUTED_VALUE"""),"180HP")</f>
        <v>180HP</v>
      </c>
      <c r="I400" s="5" t="str">
        <f>IFERROR(__xludf.DUMMYFUNCTION("""COMPUTED_VALUE"""),"RNHD1600DHC070080")</f>
        <v>RNHD1600DHC070080</v>
      </c>
      <c r="J400" s="5" t="str">
        <f>IFERROR(__xludf.DUMMYFUNCTION("""COMPUTED_VALUE"""),"WP6180E326P15D005529")</f>
        <v>WP6180E326P15D005529</v>
      </c>
      <c r="K400" s="5">
        <f>IFERROR(__xludf.DUMMYFUNCTION("""COMPUTED_VALUE"""),0.46)</f>
        <v>0.46</v>
      </c>
      <c r="L400" s="5" t="str">
        <f>IFERROR(__xludf.DUMMYFUNCTION("""COMPUTED_VALUE"""),"KLH")</f>
        <v>KLH</v>
      </c>
    </row>
    <row r="401">
      <c r="A401" s="168" t="str">
        <f>IFERROR(__xludf.DUMMYFUNCTION("""COMPUTED_VALUE"""),"XB1-XRA-003")</f>
        <v>XB1-XRA-003</v>
      </c>
      <c r="B401" s="3" t="str">
        <f>IFERROR(__xludf.DUMMYFUNCTION("""COMPUTED_VALUE"""),"Xe rải thức ăn FD1600B (23m3)")</f>
        <v>Xe rải thức ăn FD1600B (23m3)</v>
      </c>
      <c r="C401" s="5" t="str">
        <f>IFERROR(__xludf.DUMMYFUNCTION("""COMPUTED_VALUE"""),"XN Bò AD")</f>
        <v>XN Bò AD</v>
      </c>
      <c r="D401" s="5" t="str">
        <f>IFERROR(__xludf.DUMMYFUNCTION("""COMPUTED_VALUE"""),"THACO FORLAND")</f>
        <v>THACO FORLAND</v>
      </c>
      <c r="E401" s="5" t="str">
        <f>IFERROR(__xludf.DUMMYFUNCTION("""COMPUTED_VALUE"""),"VIỆT NAM")</f>
        <v>VIỆT NAM</v>
      </c>
      <c r="F401" s="5">
        <f>IFERROR(__xludf.DUMMYFUNCTION("""COMPUTED_VALUE"""),2017.0)</f>
        <v>2017</v>
      </c>
      <c r="G401" s="5" t="str">
        <f>IFERROR(__xludf.DUMMYFUNCTION("""COMPUTED_VALUE"""),"FD1600B")</f>
        <v>FD1600B</v>
      </c>
      <c r="H401" s="5" t="str">
        <f>IFERROR(__xludf.DUMMYFUNCTION("""COMPUTED_VALUE"""),"180HP")</f>
        <v>180HP</v>
      </c>
      <c r="I401" s="5" t="str">
        <f>IFERROR(__xludf.DUMMYFUNCTION("""COMPUTED_VALUE"""),"RNHD1600DHC055025")</f>
        <v>RNHD1600DHC055025</v>
      </c>
      <c r="J401" s="5" t="str">
        <f>IFERROR(__xludf.DUMMYFUNCTION("""COMPUTED_VALUE"""),"WP6180E326P15D005502")</f>
        <v>WP6180E326P15D005502</v>
      </c>
      <c r="K401" s="5">
        <f>IFERROR(__xludf.DUMMYFUNCTION("""COMPUTED_VALUE"""),0.46)</f>
        <v>0.46</v>
      </c>
      <c r="L401" s="5" t="str">
        <f>IFERROR(__xludf.DUMMYFUNCTION("""COMPUTED_VALUE"""),"KLH")</f>
        <v>KLH</v>
      </c>
    </row>
    <row r="402">
      <c r="A402" s="168" t="str">
        <f>IFERROR(__xludf.DUMMYFUNCTION("""COMPUTED_VALUE"""),"XB1-XRA-004")</f>
        <v>XB1-XRA-004</v>
      </c>
      <c r="B402" s="3" t="str">
        <f>IFERROR(__xludf.DUMMYFUNCTION("""COMPUTED_VALUE"""),"Xe rải thức ăn FD1600B (23m3)")</f>
        <v>Xe rải thức ăn FD1600B (23m3)</v>
      </c>
      <c r="C402" s="5" t="str">
        <f>IFERROR(__xludf.DUMMYFUNCTION("""COMPUTED_VALUE"""),"XN Bò AD")</f>
        <v>XN Bò AD</v>
      </c>
      <c r="D402" s="5" t="str">
        <f>IFERROR(__xludf.DUMMYFUNCTION("""COMPUTED_VALUE"""),"THACO FORLAND")</f>
        <v>THACO FORLAND</v>
      </c>
      <c r="E402" s="5" t="str">
        <f>IFERROR(__xludf.DUMMYFUNCTION("""COMPUTED_VALUE"""),"VIỆT NAM")</f>
        <v>VIỆT NAM</v>
      </c>
      <c r="F402" s="5">
        <f>IFERROR(__xludf.DUMMYFUNCTION("""COMPUTED_VALUE"""),2017.0)</f>
        <v>2017</v>
      </c>
      <c r="G402" s="5" t="str">
        <f>IFERROR(__xludf.DUMMYFUNCTION("""COMPUTED_VALUE"""),"FD1600B")</f>
        <v>FD1600B</v>
      </c>
      <c r="H402" s="5" t="str">
        <f>IFERROR(__xludf.DUMMYFUNCTION("""COMPUTED_VALUE"""),"180HP")</f>
        <v>180HP</v>
      </c>
      <c r="I402" s="5" t="str">
        <f>IFERROR(__xludf.DUMMYFUNCTION("""COMPUTED_VALUE"""),"RNHD1600DHC056126")</f>
        <v>RNHD1600DHC056126</v>
      </c>
      <c r="J402" s="5" t="str">
        <f>IFERROR(__xludf.DUMMYFUNCTION("""COMPUTED_VALUE"""),"WP6.180E326P15D005524")</f>
        <v>WP6.180E326P15D005524</v>
      </c>
      <c r="K402" s="5">
        <f>IFERROR(__xludf.DUMMYFUNCTION("""COMPUTED_VALUE"""),5.0)</f>
        <v>5</v>
      </c>
      <c r="L402" s="5" t="str">
        <f>IFERROR(__xludf.DUMMYFUNCTION("""COMPUTED_VALUE"""),"KLH")</f>
        <v>KLH</v>
      </c>
    </row>
    <row r="403">
      <c r="A403" s="168" t="str">
        <f>IFERROR(__xludf.DUMMYFUNCTION("""COMPUTED_VALUE"""),"XB1-XRA-005")</f>
        <v>XB1-XRA-005</v>
      </c>
      <c r="B403" s="3" t="str">
        <f>IFERROR(__xludf.DUMMYFUNCTION("""COMPUTED_VALUE"""),"Xe rải thức ăn FD1600B (23m3)")</f>
        <v>Xe rải thức ăn FD1600B (23m3)</v>
      </c>
      <c r="C403" s="5" t="str">
        <f>IFERROR(__xludf.DUMMYFUNCTION("""COMPUTED_VALUE"""),"XN Bò AD")</f>
        <v>XN Bò AD</v>
      </c>
      <c r="D403" s="5" t="str">
        <f>IFERROR(__xludf.DUMMYFUNCTION("""COMPUTED_VALUE"""),"THACO FORLAND")</f>
        <v>THACO FORLAND</v>
      </c>
      <c r="E403" s="5" t="str">
        <f>IFERROR(__xludf.DUMMYFUNCTION("""COMPUTED_VALUE"""),"VIỆT NAM")</f>
        <v>VIỆT NAM</v>
      </c>
      <c r="F403" s="5">
        <f>IFERROR(__xludf.DUMMYFUNCTION("""COMPUTED_VALUE"""),2017.0)</f>
        <v>2017</v>
      </c>
      <c r="G403" s="5" t="str">
        <f>IFERROR(__xludf.DUMMYFUNCTION("""COMPUTED_VALUE"""),"FD1600B")</f>
        <v>FD1600B</v>
      </c>
      <c r="H403" s="5" t="str">
        <f>IFERROR(__xludf.DUMMYFUNCTION("""COMPUTED_VALUE"""),"180HP")</f>
        <v>180HP</v>
      </c>
      <c r="I403" s="5" t="str">
        <f>IFERROR(__xludf.DUMMYFUNCTION("""COMPUTED_VALUE"""),"RNHD1600DHC056121")</f>
        <v>RNHD1600DHC056121</v>
      </c>
      <c r="J403" s="5" t="str">
        <f>IFERROR(__xludf.DUMMYFUNCTION("""COMPUTED_VALUE"""),"WP6.180E32*6P15D005392")</f>
        <v>WP6.180E32*6P15D005392</v>
      </c>
      <c r="K403" s="5">
        <f>IFERROR(__xludf.DUMMYFUNCTION("""COMPUTED_VALUE"""),5.0)</f>
        <v>5</v>
      </c>
      <c r="L403" s="5" t="str">
        <f>IFERROR(__xludf.DUMMYFUNCTION("""COMPUTED_VALUE"""),"KLH")</f>
        <v>KLH</v>
      </c>
    </row>
    <row r="404">
      <c r="A404" s="168" t="str">
        <f>IFERROR(__xludf.DUMMYFUNCTION("""COMPUTED_VALUE"""),"XB1-XHC-001")</f>
        <v>XB1-XHC-001</v>
      </c>
      <c r="B404" s="3" t="str">
        <f>IFERROR(__xludf.DUMMYFUNCTION("""COMPUTED_VALUE"""),"Xe hứng cỏ FC150 (30m3)")</f>
        <v>Xe hứng cỏ FC150 (30m3)</v>
      </c>
      <c r="C404" s="5" t="str">
        <f>IFERROR(__xludf.DUMMYFUNCTION("""COMPUTED_VALUE"""),"XN Bò AD")</f>
        <v>XN Bò AD</v>
      </c>
      <c r="D404" s="5" t="str">
        <f>IFERROR(__xludf.DUMMYFUNCTION("""COMPUTED_VALUE"""),"THACO FORLAND")</f>
        <v>THACO FORLAND</v>
      </c>
      <c r="E404" s="5" t="str">
        <f>IFERROR(__xludf.DUMMYFUNCTION("""COMPUTED_VALUE"""),"VIỆT NAM")</f>
        <v>VIỆT NAM</v>
      </c>
      <c r="F404" s="5">
        <f>IFERROR(__xludf.DUMMYFUNCTION("""COMPUTED_VALUE"""),2022.0)</f>
        <v>2022</v>
      </c>
      <c r="G404" s="5" t="str">
        <f>IFERROR(__xludf.DUMMYFUNCTION("""COMPUTED_VALUE"""),"FC150-4WD")</f>
        <v>FC150-4WD</v>
      </c>
      <c r="H404" s="5" t="str">
        <f>IFERROR(__xludf.DUMMYFUNCTION("""COMPUTED_VALUE"""),"150HP")</f>
        <v>150HP</v>
      </c>
      <c r="I404" s="5" t="str">
        <f>IFERROR(__xludf.DUMMYFUNCTION("""COMPUTED_VALUE"""),"RNHF16FYBNT070603")</f>
        <v>RNHF16FYBNT070603</v>
      </c>
      <c r="J404" s="5" t="str">
        <f>IFERROR(__xludf.DUMMYFUNCTION("""COMPUTED_VALUE"""),"YC4D150-48D59M1N00701")</f>
        <v>YC4D150-48D59M1N00701</v>
      </c>
      <c r="K404" s="5">
        <f>IFERROR(__xludf.DUMMYFUNCTION("""COMPUTED_VALUE"""),0.63)</f>
        <v>0.63</v>
      </c>
      <c r="L404" s="5" t="str">
        <f>IFERROR(__xludf.DUMMYFUNCTION("""COMPUTED_VALUE"""),"KLH")</f>
        <v>KLH</v>
      </c>
    </row>
    <row r="405">
      <c r="A405" s="168" t="str">
        <f>IFERROR(__xludf.DUMMYFUNCTION("""COMPUTED_VALUE"""),"XB1-XHC-002")</f>
        <v>XB1-XHC-002</v>
      </c>
      <c r="B405" s="3" t="str">
        <f>IFERROR(__xludf.DUMMYFUNCTION("""COMPUTED_VALUE"""),"Xe hứng cỏ FC150 (30m3)")</f>
        <v>Xe hứng cỏ FC150 (30m3)</v>
      </c>
      <c r="C405" s="5" t="str">
        <f>IFERROR(__xludf.DUMMYFUNCTION("""COMPUTED_VALUE"""),"XN Bò AD")</f>
        <v>XN Bò AD</v>
      </c>
      <c r="D405" s="5" t="str">
        <f>IFERROR(__xludf.DUMMYFUNCTION("""COMPUTED_VALUE"""),"THACO FORLAND")</f>
        <v>THACO FORLAND</v>
      </c>
      <c r="E405" s="5" t="str">
        <f>IFERROR(__xludf.DUMMYFUNCTION("""COMPUTED_VALUE"""),"VIỆT NAM")</f>
        <v>VIỆT NAM</v>
      </c>
      <c r="F405" s="5">
        <f>IFERROR(__xludf.DUMMYFUNCTION("""COMPUTED_VALUE"""),2023.0)</f>
        <v>2023</v>
      </c>
      <c r="G405" s="5" t="str">
        <f>IFERROR(__xludf.DUMMYFUNCTION("""COMPUTED_VALUE"""),"FC150-4WD")</f>
        <v>FC150-4WD</v>
      </c>
      <c r="H405" s="5" t="str">
        <f>IFERROR(__xludf.DUMMYFUNCTION("""COMPUTED_VALUE"""),"150HP")</f>
        <v>150HP</v>
      </c>
      <c r="I405" s="5" t="str">
        <f>IFERROR(__xludf.DUMMYFUNCTION("""COMPUTED_VALUE"""),"RNHF16FYANT077508")</f>
        <v>RNHF16FYANT077508</v>
      </c>
      <c r="J405" s="5" t="str">
        <f>IFERROR(__xludf.DUMMYFUNCTION("""COMPUTED_VALUE"""),"YC4D150-48D59M1N00901")</f>
        <v>YC4D150-48D59M1N00901</v>
      </c>
      <c r="K405" s="5">
        <f>IFERROR(__xludf.DUMMYFUNCTION("""COMPUTED_VALUE"""),0.63)</f>
        <v>0.63</v>
      </c>
      <c r="L405" s="5" t="str">
        <f>IFERROR(__xludf.DUMMYFUNCTION("""COMPUTED_VALUE"""),"KLH")</f>
        <v>KLH</v>
      </c>
    </row>
    <row r="406">
      <c r="A406" s="168" t="str">
        <f>IFERROR(__xludf.DUMMYFUNCTION("""COMPUTED_VALUE"""),"XB1-XHC-003")</f>
        <v>XB1-XHC-003</v>
      </c>
      <c r="B406" s="3" t="str">
        <f>IFERROR(__xludf.DUMMYFUNCTION("""COMPUTED_VALUE"""),"Xe hứng cỏ FC150 (30m3)")</f>
        <v>Xe hứng cỏ FC150 (30m3)</v>
      </c>
      <c r="C406" s="5" t="str">
        <f>IFERROR(__xludf.DUMMYFUNCTION("""COMPUTED_VALUE"""),"XN Bò AD")</f>
        <v>XN Bò AD</v>
      </c>
      <c r="D406" s="5" t="str">
        <f>IFERROR(__xludf.DUMMYFUNCTION("""COMPUTED_VALUE"""),"THACO FORLAND")</f>
        <v>THACO FORLAND</v>
      </c>
      <c r="E406" s="5" t="str">
        <f>IFERROR(__xludf.DUMMYFUNCTION("""COMPUTED_VALUE"""),"VIỆT NAM")</f>
        <v>VIỆT NAM</v>
      </c>
      <c r="F406" s="5">
        <f>IFERROR(__xludf.DUMMYFUNCTION("""COMPUTED_VALUE"""),2023.0)</f>
        <v>2023</v>
      </c>
      <c r="G406" s="5" t="str">
        <f>IFERROR(__xludf.DUMMYFUNCTION("""COMPUTED_VALUE"""),"FC150-4WD")</f>
        <v>FC150-4WD</v>
      </c>
      <c r="H406" s="5" t="str">
        <f>IFERROR(__xludf.DUMMYFUNCTION("""COMPUTED_VALUE"""),"150HP")</f>
        <v>150HP</v>
      </c>
      <c r="I406" s="5" t="str">
        <f>IFERROR(__xludf.DUMMYFUNCTION("""COMPUTED_VALUE"""),"RNHF16FYAPT077501")</f>
        <v>RNHF16FYAPT077501</v>
      </c>
      <c r="J406" s="5" t="str">
        <f>IFERROR(__xludf.DUMMYFUNCTION("""COMPUTED_VALUE"""),"YC4D150-48D59M1N00964")</f>
        <v>YC4D150-48D59M1N00964</v>
      </c>
      <c r="K406" s="5">
        <f>IFERROR(__xludf.DUMMYFUNCTION("""COMPUTED_VALUE"""),0.63)</f>
        <v>0.63</v>
      </c>
      <c r="L406" s="5" t="str">
        <f>IFERROR(__xludf.DUMMYFUNCTION("""COMPUTED_VALUE"""),"KLH")</f>
        <v>KLH</v>
      </c>
    </row>
    <row r="407">
      <c r="A407" s="168" t="str">
        <f>IFERROR(__xludf.DUMMYFUNCTION("""COMPUTED_VALUE"""),"XB1-XHC-004")</f>
        <v>XB1-XHC-004</v>
      </c>
      <c r="B407" s="3" t="str">
        <f>IFERROR(__xludf.DUMMYFUNCTION("""COMPUTED_VALUE"""),"Xe hứng cỏ FC150 (30m3)")</f>
        <v>Xe hứng cỏ FC150 (30m3)</v>
      </c>
      <c r="C407" s="5" t="str">
        <f>IFERROR(__xludf.DUMMYFUNCTION("""COMPUTED_VALUE"""),"XN Bò AD")</f>
        <v>XN Bò AD</v>
      </c>
      <c r="D407" s="5" t="str">
        <f>IFERROR(__xludf.DUMMYFUNCTION("""COMPUTED_VALUE"""),"THACO FORLAND")</f>
        <v>THACO FORLAND</v>
      </c>
      <c r="E407" s="5" t="str">
        <f>IFERROR(__xludf.DUMMYFUNCTION("""COMPUTED_VALUE"""),"VIỆT NAM")</f>
        <v>VIỆT NAM</v>
      </c>
      <c r="F407" s="5">
        <f>IFERROR(__xludf.DUMMYFUNCTION("""COMPUTED_VALUE"""),2023.0)</f>
        <v>2023</v>
      </c>
      <c r="G407" s="5" t="str">
        <f>IFERROR(__xludf.DUMMYFUNCTION("""COMPUTED_VALUE"""),"FC150-4WD")</f>
        <v>FC150-4WD</v>
      </c>
      <c r="H407" s="5" t="str">
        <f>IFERROR(__xludf.DUMMYFUNCTION("""COMPUTED_VALUE"""),"150HP")</f>
        <v>150HP</v>
      </c>
      <c r="I407" s="5" t="str">
        <f>IFERROR(__xludf.DUMMYFUNCTION("""COMPUTED_VALUE"""),"RNHF16FYAPT077504")</f>
        <v>RNHF16FYAPT077504</v>
      </c>
      <c r="J407" s="5" t="str">
        <f>IFERROR(__xludf.DUMMYFUNCTION("""COMPUTED_VALUE"""),"YC4D150-48D59M1N00940")</f>
        <v>YC4D150-48D59M1N00940</v>
      </c>
      <c r="K407" s="5">
        <f>IFERROR(__xludf.DUMMYFUNCTION("""COMPUTED_VALUE"""),6.5)</f>
        <v>6.5</v>
      </c>
      <c r="L407" s="5" t="str">
        <f>IFERROR(__xludf.DUMMYFUNCTION("""COMPUTED_VALUE"""),"KLH")</f>
        <v>KLH</v>
      </c>
    </row>
    <row r="408">
      <c r="A408" s="168" t="str">
        <f>IFERROR(__xludf.DUMMYFUNCTION("""COMPUTED_VALUE"""),"XB1-XHC-005")</f>
        <v>XB1-XHC-005</v>
      </c>
      <c r="B408" s="3" t="str">
        <f>IFERROR(__xludf.DUMMYFUNCTION("""COMPUTED_VALUE"""),"Xe hứng cỏ FC150 (30m3)")</f>
        <v>Xe hứng cỏ FC150 (30m3)</v>
      </c>
      <c r="C408" s="5" t="str">
        <f>IFERROR(__xludf.DUMMYFUNCTION("""COMPUTED_VALUE"""),"XN Bò AD")</f>
        <v>XN Bò AD</v>
      </c>
      <c r="D408" s="5" t="str">
        <f>IFERROR(__xludf.DUMMYFUNCTION("""COMPUTED_VALUE"""),"THACO FORLAND")</f>
        <v>THACO FORLAND</v>
      </c>
      <c r="E408" s="5" t="str">
        <f>IFERROR(__xludf.DUMMYFUNCTION("""COMPUTED_VALUE"""),"VIỆT NAM")</f>
        <v>VIỆT NAM</v>
      </c>
      <c r="F408" s="5">
        <f>IFERROR(__xludf.DUMMYFUNCTION("""COMPUTED_VALUE"""),2023.0)</f>
        <v>2023</v>
      </c>
      <c r="G408" s="5" t="str">
        <f>IFERROR(__xludf.DUMMYFUNCTION("""COMPUTED_VALUE"""),"FC150-4WD")</f>
        <v>FC150-4WD</v>
      </c>
      <c r="H408" s="5" t="str">
        <f>IFERROR(__xludf.DUMMYFUNCTION("""COMPUTED_VALUE"""),"150HP")</f>
        <v>150HP</v>
      </c>
      <c r="I408" s="5" t="str">
        <f>IFERROR(__xludf.DUMMYFUNCTION("""COMPUTED_VALUE"""),"RNHF16FYAPT077505")</f>
        <v>RNHF16FYAPT077505</v>
      </c>
      <c r="J408" s="5" t="str">
        <f>IFERROR(__xludf.DUMMYFUNCTION("""COMPUTED_VALUE"""),"YC4D150-48D59M1N00944")</f>
        <v>YC4D150-48D59M1N00944</v>
      </c>
      <c r="K408" s="5">
        <f>IFERROR(__xludf.DUMMYFUNCTION("""COMPUTED_VALUE"""),6.5)</f>
        <v>6.5</v>
      </c>
      <c r="L408" s="5" t="str">
        <f>IFERROR(__xludf.DUMMYFUNCTION("""COMPUTED_VALUE"""),"KLH")</f>
        <v>KLH</v>
      </c>
    </row>
    <row r="409">
      <c r="A409" s="168" t="str">
        <f>IFERROR(__xludf.DUMMYFUNCTION("""COMPUTED_VALUE"""),"XB1-XHC-006")</f>
        <v>XB1-XHC-006</v>
      </c>
      <c r="B409" s="3" t="str">
        <f>IFERROR(__xludf.DUMMYFUNCTION("""COMPUTED_VALUE"""),"Xe hứng cỏ FC150 (30m3)")</f>
        <v>Xe hứng cỏ FC150 (30m3)</v>
      </c>
      <c r="C409" s="5" t="str">
        <f>IFERROR(__xludf.DUMMYFUNCTION("""COMPUTED_VALUE"""),"XN Bò AD")</f>
        <v>XN Bò AD</v>
      </c>
      <c r="D409" s="5" t="str">
        <f>IFERROR(__xludf.DUMMYFUNCTION("""COMPUTED_VALUE"""),"THACO FORLAND")</f>
        <v>THACO FORLAND</v>
      </c>
      <c r="E409" s="5" t="str">
        <f>IFERROR(__xludf.DUMMYFUNCTION("""COMPUTED_VALUE"""),"VIỆT NAM")</f>
        <v>VIỆT NAM</v>
      </c>
      <c r="F409" s="5">
        <f>IFERROR(__xludf.DUMMYFUNCTION("""COMPUTED_VALUE"""),2023.0)</f>
        <v>2023</v>
      </c>
      <c r="G409" s="5" t="str">
        <f>IFERROR(__xludf.DUMMYFUNCTION("""COMPUTED_VALUE"""),"FC150-4WD")</f>
        <v>FC150-4WD</v>
      </c>
      <c r="H409" s="5" t="str">
        <f>IFERROR(__xludf.DUMMYFUNCTION("""COMPUTED_VALUE"""),"150HP")</f>
        <v>150HP</v>
      </c>
      <c r="I409" s="5" t="str">
        <f>IFERROR(__xludf.DUMMYFUNCTION("""COMPUTED_VALUE"""),"RNHF16FYAPT077506")</f>
        <v>RNHF16FYAPT077506</v>
      </c>
      <c r="J409" s="5" t="str">
        <f>IFERROR(__xludf.DUMMYFUNCTION("""COMPUTED_VALUE"""),"YC4D150-48D59M1N00906")</f>
        <v>YC4D150-48D59M1N00906</v>
      </c>
      <c r="K409" s="5">
        <f>IFERROR(__xludf.DUMMYFUNCTION("""COMPUTED_VALUE"""),0.63)</f>
        <v>0.63</v>
      </c>
      <c r="L409" s="5" t="str">
        <f>IFERROR(__xludf.DUMMYFUNCTION("""COMPUTED_VALUE"""),"KLH")</f>
        <v>KLH</v>
      </c>
    </row>
    <row r="410">
      <c r="A410" s="168" t="str">
        <f>IFERROR(__xludf.DUMMYFUNCTION("""COMPUTED_VALUE"""),"XB1-XHC-007")</f>
        <v>XB1-XHC-007</v>
      </c>
      <c r="B410" s="3" t="str">
        <f>IFERROR(__xludf.DUMMYFUNCTION("""COMPUTED_VALUE"""),"Xe hứng cỏ FC150 (30m3)")</f>
        <v>Xe hứng cỏ FC150 (30m3)</v>
      </c>
      <c r="C410" s="5" t="str">
        <f>IFERROR(__xludf.DUMMYFUNCTION("""COMPUTED_VALUE"""),"XN Bò AD")</f>
        <v>XN Bò AD</v>
      </c>
      <c r="D410" s="5" t="str">
        <f>IFERROR(__xludf.DUMMYFUNCTION("""COMPUTED_VALUE"""),"THACO FORLAND")</f>
        <v>THACO FORLAND</v>
      </c>
      <c r="E410" s="5" t="str">
        <f>IFERROR(__xludf.DUMMYFUNCTION("""COMPUTED_VALUE"""),"VIỆT NAM")</f>
        <v>VIỆT NAM</v>
      </c>
      <c r="F410" s="5">
        <f>IFERROR(__xludf.DUMMYFUNCTION("""COMPUTED_VALUE"""),2024.0)</f>
        <v>2024</v>
      </c>
      <c r="G410" s="5" t="str">
        <f>IFERROR(__xludf.DUMMYFUNCTION("""COMPUTED_VALUE"""),"FC150-4WD")</f>
        <v>FC150-4WD</v>
      </c>
      <c r="H410" s="5" t="str">
        <f>IFERROR(__xludf.DUMMYFUNCTION("""COMPUTED_VALUE"""),"150HP")</f>
        <v>150HP</v>
      </c>
      <c r="I410" s="5" t="str">
        <f>IFERROR(__xludf.DUMMYFUNCTION("""COMPUTED_VALUE"""),"RNHF16FYBRT070602")</f>
        <v>RNHF16FYBRT070602</v>
      </c>
      <c r="J410" s="5" t="str">
        <f>IFERROR(__xludf.DUMMYFUNCTION("""COMPUTED_VALUE"""),"D59M1N00683")</f>
        <v>D59M1N00683</v>
      </c>
      <c r="K410" s="5">
        <f>IFERROR(__xludf.DUMMYFUNCTION("""COMPUTED_VALUE"""),0.63)</f>
        <v>0.63</v>
      </c>
      <c r="L410" s="5" t="str">
        <f>IFERROR(__xludf.DUMMYFUNCTION("""COMPUTED_VALUE"""),"KLH")</f>
        <v>KLH</v>
      </c>
    </row>
    <row r="411">
      <c r="A411" s="168" t="str">
        <f>IFERROR(__xludf.DUMMYFUNCTION("""COMPUTED_VALUE"""),"XB1-XHC-008")</f>
        <v>XB1-XHC-008</v>
      </c>
      <c r="B411" s="3" t="str">
        <f>IFERROR(__xludf.DUMMYFUNCTION("""COMPUTED_VALUE"""),"Xe hứng cỏ FC150 (30m3)")</f>
        <v>Xe hứng cỏ FC150 (30m3)</v>
      </c>
      <c r="C411" s="5" t="str">
        <f>IFERROR(__xludf.DUMMYFUNCTION("""COMPUTED_VALUE"""),"XN Bò AD")</f>
        <v>XN Bò AD</v>
      </c>
      <c r="D411" s="5" t="str">
        <f>IFERROR(__xludf.DUMMYFUNCTION("""COMPUTED_VALUE"""),"THACO FORLAND")</f>
        <v>THACO FORLAND</v>
      </c>
      <c r="E411" s="5" t="str">
        <f>IFERROR(__xludf.DUMMYFUNCTION("""COMPUTED_VALUE"""),"VIỆT NAM")</f>
        <v>VIỆT NAM</v>
      </c>
      <c r="F411" s="5">
        <f>IFERROR(__xludf.DUMMYFUNCTION("""COMPUTED_VALUE"""),2024.0)</f>
        <v>2024</v>
      </c>
      <c r="G411" s="5" t="str">
        <f>IFERROR(__xludf.DUMMYFUNCTION("""COMPUTED_VALUE"""),"FC150-4WD")</f>
        <v>FC150-4WD</v>
      </c>
      <c r="H411" s="5" t="str">
        <f>IFERROR(__xludf.DUMMYFUNCTION("""COMPUTED_VALUE"""),"150HP")</f>
        <v>150HP</v>
      </c>
      <c r="I411" s="5" t="str">
        <f>IFERROR(__xludf.DUMMYFUNCTION("""COMPUTED_VALUE"""),"RNHF16FYBRT077511")</f>
        <v>RNHF16FYBRT077511</v>
      </c>
      <c r="J411" s="5" t="str">
        <f>IFERROR(__xludf.DUMMYFUNCTION("""COMPUTED_VALUE"""),"D59M1N01090")</f>
        <v>D59M1N01090</v>
      </c>
      <c r="K411" s="5">
        <f>IFERROR(__xludf.DUMMYFUNCTION("""COMPUTED_VALUE"""),0.63)</f>
        <v>0.63</v>
      </c>
      <c r="L411" s="5" t="str">
        <f>IFERROR(__xludf.DUMMYFUNCTION("""COMPUTED_VALUE"""),"KLH")</f>
        <v>KLH</v>
      </c>
    </row>
    <row r="412">
      <c r="A412" s="168" t="str">
        <f>IFERROR(__xludf.DUMMYFUNCTION("""COMPUTED_VALUE"""),"XB1-XHC-009")</f>
        <v>XB1-XHC-009</v>
      </c>
      <c r="B412" s="3" t="str">
        <f>IFERROR(__xludf.DUMMYFUNCTION("""COMPUTED_VALUE"""),"Xe hứng cỏ FC150 (30m3)")</f>
        <v>Xe hứng cỏ FC150 (30m3)</v>
      </c>
      <c r="C412" s="5" t="str">
        <f>IFERROR(__xludf.DUMMYFUNCTION("""COMPUTED_VALUE"""),"XN Bò AD")</f>
        <v>XN Bò AD</v>
      </c>
      <c r="D412" s="5" t="str">
        <f>IFERROR(__xludf.DUMMYFUNCTION("""COMPUTED_VALUE"""),"THACO FORLAND")</f>
        <v>THACO FORLAND</v>
      </c>
      <c r="E412" s="5" t="str">
        <f>IFERROR(__xludf.DUMMYFUNCTION("""COMPUTED_VALUE"""),"VIỆT NAM")</f>
        <v>VIỆT NAM</v>
      </c>
      <c r="F412" s="5">
        <f>IFERROR(__xludf.DUMMYFUNCTION("""COMPUTED_VALUE"""),2024.0)</f>
        <v>2024</v>
      </c>
      <c r="G412" s="5" t="str">
        <f>IFERROR(__xludf.DUMMYFUNCTION("""COMPUTED_VALUE"""),"FC150-4WD")</f>
        <v>FC150-4WD</v>
      </c>
      <c r="H412" s="5" t="str">
        <f>IFERROR(__xludf.DUMMYFUNCTION("""COMPUTED_VALUE"""),"150HP")</f>
        <v>150HP</v>
      </c>
      <c r="I412" s="5" t="str">
        <f>IFERROR(__xludf.DUMMYFUNCTION("""COMPUTED_VALUE"""),"RNHF16FYBRT077510")</f>
        <v>RNHF16FYBRT077510</v>
      </c>
      <c r="J412" s="5" t="str">
        <f>IFERROR(__xludf.DUMMYFUNCTION("""COMPUTED_VALUE"""),"D59M1N01093")</f>
        <v>D59M1N01093</v>
      </c>
      <c r="K412" s="5">
        <f>IFERROR(__xludf.DUMMYFUNCTION("""COMPUTED_VALUE"""),0.63)</f>
        <v>0.63</v>
      </c>
      <c r="L412" s="5" t="str">
        <f>IFERROR(__xludf.DUMMYFUNCTION("""COMPUTED_VALUE"""),"KLH")</f>
        <v>KLH</v>
      </c>
    </row>
    <row r="413">
      <c r="A413" s="168" t="str">
        <f>IFERROR(__xludf.DUMMYFUNCTION("""COMPUTED_VALUE"""),"XB1-XHC-010")</f>
        <v>XB1-XHC-010</v>
      </c>
      <c r="B413" s="3" t="str">
        <f>IFERROR(__xludf.DUMMYFUNCTION("""COMPUTED_VALUE"""),"Xe hứng cỏ FC150 (30m3)")</f>
        <v>Xe hứng cỏ FC150 (30m3)</v>
      </c>
      <c r="C413" s="5" t="str">
        <f>IFERROR(__xludf.DUMMYFUNCTION("""COMPUTED_VALUE"""),"XN Bò AD")</f>
        <v>XN Bò AD</v>
      </c>
      <c r="D413" s="5" t="str">
        <f>IFERROR(__xludf.DUMMYFUNCTION("""COMPUTED_VALUE"""),"THACO FORLAND")</f>
        <v>THACO FORLAND</v>
      </c>
      <c r="E413" s="5" t="str">
        <f>IFERROR(__xludf.DUMMYFUNCTION("""COMPUTED_VALUE"""),"VIỆT NAM")</f>
        <v>VIỆT NAM</v>
      </c>
      <c r="F413" s="5">
        <f>IFERROR(__xludf.DUMMYFUNCTION("""COMPUTED_VALUE"""),2024.0)</f>
        <v>2024</v>
      </c>
      <c r="G413" s="5" t="str">
        <f>IFERROR(__xludf.DUMMYFUNCTION("""COMPUTED_VALUE"""),"FC150-4WD")</f>
        <v>FC150-4WD</v>
      </c>
      <c r="H413" s="5" t="str">
        <f>IFERROR(__xludf.DUMMYFUNCTION("""COMPUTED_VALUE"""),"150HP")</f>
        <v>150HP</v>
      </c>
      <c r="I413" s="5" t="str">
        <f>IFERROR(__xludf.DUMMYFUNCTION("""COMPUTED_VALUE"""),"RNHF16FYBRT077512")</f>
        <v>RNHF16FYBRT077512</v>
      </c>
      <c r="J413" s="5" t="str">
        <f>IFERROR(__xludf.DUMMYFUNCTION("""COMPUTED_VALUE"""),"D59M1N01099")</f>
        <v>D59M1N01099</v>
      </c>
      <c r="K413" s="5">
        <f>IFERROR(__xludf.DUMMYFUNCTION("""COMPUTED_VALUE"""),0.63)</f>
        <v>0.63</v>
      </c>
      <c r="L413" s="5" t="str">
        <f>IFERROR(__xludf.DUMMYFUNCTION("""COMPUTED_VALUE"""),"KLH")</f>
        <v>KLH</v>
      </c>
    </row>
    <row r="414">
      <c r="A414" s="168" t="str">
        <f>IFERROR(__xludf.DUMMYFUNCTION("""COMPUTED_VALUE"""),"XB1-XHC-011")</f>
        <v>XB1-XHC-011</v>
      </c>
      <c r="B414" s="3" t="str">
        <f>IFERROR(__xludf.DUMMYFUNCTION("""COMPUTED_VALUE"""),"Xe hứng cỏ FC150 (30m3)")</f>
        <v>Xe hứng cỏ FC150 (30m3)</v>
      </c>
      <c r="C414" s="5" t="str">
        <f>IFERROR(__xludf.DUMMYFUNCTION("""COMPUTED_VALUE"""),"XN Bò AD")</f>
        <v>XN Bò AD</v>
      </c>
      <c r="D414" s="5" t="str">
        <f>IFERROR(__xludf.DUMMYFUNCTION("""COMPUTED_VALUE"""),"THACO FORLAND")</f>
        <v>THACO FORLAND</v>
      </c>
      <c r="E414" s="5" t="str">
        <f>IFERROR(__xludf.DUMMYFUNCTION("""COMPUTED_VALUE"""),"VIỆT NAM")</f>
        <v>VIỆT NAM</v>
      </c>
      <c r="F414" s="5">
        <f>IFERROR(__xludf.DUMMYFUNCTION("""COMPUTED_VALUE"""),2024.0)</f>
        <v>2024</v>
      </c>
      <c r="G414" s="5" t="str">
        <f>IFERROR(__xludf.DUMMYFUNCTION("""COMPUTED_VALUE"""),"FC150-4WD")</f>
        <v>FC150-4WD</v>
      </c>
      <c r="H414" s="5" t="str">
        <f>IFERROR(__xludf.DUMMYFUNCTION("""COMPUTED_VALUE"""),"150HP")</f>
        <v>150HP</v>
      </c>
      <c r="I414" s="5" t="str">
        <f>IFERROR(__xludf.DUMMYFUNCTION("""COMPUTED_VALUE"""),"RNHF16FYBRT000129")</f>
        <v>RNHF16FYBRT000129</v>
      </c>
      <c r="J414" s="5" t="str">
        <f>IFERROR(__xludf.DUMMYFUNCTION("""COMPUTED_VALUE"""),"YC4D150-48*D59M1N01035*")</f>
        <v>YC4D150-48*D59M1N01035*</v>
      </c>
      <c r="K414" s="5">
        <f>IFERROR(__xludf.DUMMYFUNCTION("""COMPUTED_VALUE"""),0.63)</f>
        <v>0.63</v>
      </c>
      <c r="L414" s="5" t="str">
        <f>IFERROR(__xludf.DUMMYFUNCTION("""COMPUTED_VALUE"""),"KLH")</f>
        <v>KLH</v>
      </c>
    </row>
    <row r="415">
      <c r="A415" s="168" t="str">
        <f>IFERROR(__xludf.DUMMYFUNCTION("""COMPUTED_VALUE"""),"XB1-XCP-001")</f>
        <v>XB1-XCP-001</v>
      </c>
      <c r="B415" s="3" t="str">
        <f>IFERROR(__xludf.DUMMYFUNCTION("""COMPUTED_VALUE"""),"Xe chở phân FD150 (11.8m3)")</f>
        <v>Xe chở phân FD150 (11.8m3)</v>
      </c>
      <c r="C415" s="5" t="str">
        <f>IFERROR(__xludf.DUMMYFUNCTION("""COMPUTED_VALUE"""),"XN Bò AD")</f>
        <v>XN Bò AD</v>
      </c>
      <c r="D415" s="5" t="str">
        <f>IFERROR(__xludf.DUMMYFUNCTION("""COMPUTED_VALUE"""),"THACO FORLAND")</f>
        <v>THACO FORLAND</v>
      </c>
      <c r="E415" s="5" t="str">
        <f>IFERROR(__xludf.DUMMYFUNCTION("""COMPUTED_VALUE"""),"VIỆT NAM")</f>
        <v>VIỆT NAM</v>
      </c>
      <c r="F415" s="5">
        <f>IFERROR(__xludf.DUMMYFUNCTION("""COMPUTED_VALUE"""),2022.0)</f>
        <v>2022</v>
      </c>
      <c r="G415" s="5" t="str">
        <f>IFERROR(__xludf.DUMMYFUNCTION("""COMPUTED_VALUE"""),"FD150-4WD")</f>
        <v>FD150-4WD</v>
      </c>
      <c r="H415" s="5" t="str">
        <f>IFERROR(__xludf.DUMMYFUNCTION("""COMPUTED_VALUE"""),"150HP")</f>
        <v>150HP</v>
      </c>
      <c r="I415" s="5" t="str">
        <f>IFERROR(__xludf.DUMMYFUNCTION("""COMPUTED_VALUE"""),"RNHF16FYANT066262")</f>
        <v>RNHF16FYANT066262</v>
      </c>
      <c r="J415" s="5" t="str">
        <f>IFERROR(__xludf.DUMMYFUNCTION("""COMPUTED_VALUE"""),"YC4D150-48D59M1N00692")</f>
        <v>YC4D150-48D59M1N00692</v>
      </c>
      <c r="K415" s="5">
        <f>IFERROR(__xludf.DUMMYFUNCTION("""COMPUTED_VALUE"""),0.45)</f>
        <v>0.45</v>
      </c>
      <c r="L415" s="5" t="str">
        <f>IFERROR(__xludf.DUMMYFUNCTION("""COMPUTED_VALUE"""),"KLH")</f>
        <v>KLH</v>
      </c>
    </row>
    <row r="416">
      <c r="A416" s="168" t="str">
        <f>IFERROR(__xludf.DUMMYFUNCTION("""COMPUTED_VALUE"""),"XB1-XCP-002")</f>
        <v>XB1-XCP-002</v>
      </c>
      <c r="B416" s="3" t="str">
        <f>IFERROR(__xludf.DUMMYFUNCTION("""COMPUTED_VALUE"""),"Xe chở phân FD150 (11.8m3)")</f>
        <v>Xe chở phân FD150 (11.8m3)</v>
      </c>
      <c r="C416" s="5" t="str">
        <f>IFERROR(__xludf.DUMMYFUNCTION("""COMPUTED_VALUE"""),"XN Bò AD")</f>
        <v>XN Bò AD</v>
      </c>
      <c r="D416" s="5" t="str">
        <f>IFERROR(__xludf.DUMMYFUNCTION("""COMPUTED_VALUE"""),"THACO FORLAND")</f>
        <v>THACO FORLAND</v>
      </c>
      <c r="E416" s="5" t="str">
        <f>IFERROR(__xludf.DUMMYFUNCTION("""COMPUTED_VALUE"""),"VIỆT NAM")</f>
        <v>VIỆT NAM</v>
      </c>
      <c r="F416" s="5">
        <f>IFERROR(__xludf.DUMMYFUNCTION("""COMPUTED_VALUE"""),2022.0)</f>
        <v>2022</v>
      </c>
      <c r="G416" s="5" t="str">
        <f>IFERROR(__xludf.DUMMYFUNCTION("""COMPUTED_VALUE"""),"FD150-4WD")</f>
        <v>FD150-4WD</v>
      </c>
      <c r="H416" s="5" t="str">
        <f>IFERROR(__xludf.DUMMYFUNCTION("""COMPUTED_VALUE"""),"150HP")</f>
        <v>150HP</v>
      </c>
      <c r="I416" s="5" t="str">
        <f>IFERROR(__xludf.DUMMYFUNCTION("""COMPUTED_VALUE"""),"RNHF16FYANT065187")</f>
        <v>RNHF16FYANT065187</v>
      </c>
      <c r="J416" s="5" t="str">
        <f>IFERROR(__xludf.DUMMYFUNCTION("""COMPUTED_VALUE"""),"YC4D150-48D59M1N00561")</f>
        <v>YC4D150-48D59M1N00561</v>
      </c>
      <c r="K416" s="5">
        <f>IFERROR(__xludf.DUMMYFUNCTION("""COMPUTED_VALUE"""),0.45)</f>
        <v>0.45</v>
      </c>
      <c r="L416" s="5" t="str">
        <f>IFERROR(__xludf.DUMMYFUNCTION("""COMPUTED_VALUE"""),"KLH")</f>
        <v>KLH</v>
      </c>
    </row>
    <row r="417">
      <c r="A417" s="168" t="str">
        <f>IFERROR(__xludf.DUMMYFUNCTION("""COMPUTED_VALUE"""),"XB1-XCP-003")</f>
        <v>XB1-XCP-003</v>
      </c>
      <c r="B417" s="3" t="str">
        <f>IFERROR(__xludf.DUMMYFUNCTION("""COMPUTED_VALUE"""),"Xe chở phân FD150 (11.8m3)")</f>
        <v>Xe chở phân FD150 (11.8m3)</v>
      </c>
      <c r="C417" s="5" t="str">
        <f>IFERROR(__xludf.DUMMYFUNCTION("""COMPUTED_VALUE"""),"XN Bò AD")</f>
        <v>XN Bò AD</v>
      </c>
      <c r="D417" s="5" t="str">
        <f>IFERROR(__xludf.DUMMYFUNCTION("""COMPUTED_VALUE"""),"THACO FORLAND")</f>
        <v>THACO FORLAND</v>
      </c>
      <c r="E417" s="5" t="str">
        <f>IFERROR(__xludf.DUMMYFUNCTION("""COMPUTED_VALUE"""),"VIỆT NAM")</f>
        <v>VIỆT NAM</v>
      </c>
      <c r="F417" s="5">
        <f>IFERROR(__xludf.DUMMYFUNCTION("""COMPUTED_VALUE"""),2022.0)</f>
        <v>2022</v>
      </c>
      <c r="G417" s="5" t="str">
        <f>IFERROR(__xludf.DUMMYFUNCTION("""COMPUTED_VALUE"""),"FD150-4WD")</f>
        <v>FD150-4WD</v>
      </c>
      <c r="H417" s="5" t="str">
        <f>IFERROR(__xludf.DUMMYFUNCTION("""COMPUTED_VALUE"""),"150HP")</f>
        <v>150HP</v>
      </c>
      <c r="I417" s="5" t="str">
        <f>IFERROR(__xludf.DUMMYFUNCTION("""COMPUTED_VALUE"""),"RNHF16FYANT065161")</f>
        <v>RNHF16FYANT065161</v>
      </c>
      <c r="J417" s="5" t="str">
        <f>IFERROR(__xludf.DUMMYFUNCTION("""COMPUTED_VALUE"""),"YC4D150-48D59M1N00654")</f>
        <v>YC4D150-48D59M1N00654</v>
      </c>
      <c r="K417" s="5">
        <f>IFERROR(__xludf.DUMMYFUNCTION("""COMPUTED_VALUE"""),4.0)</f>
        <v>4</v>
      </c>
      <c r="L417" s="5" t="str">
        <f>IFERROR(__xludf.DUMMYFUNCTION("""COMPUTED_VALUE"""),"KLH")</f>
        <v>KLH</v>
      </c>
    </row>
    <row r="418">
      <c r="A418" s="168" t="str">
        <f>IFERROR(__xludf.DUMMYFUNCTION("""COMPUTED_VALUE"""),"XB1-XCP-004")</f>
        <v>XB1-XCP-004</v>
      </c>
      <c r="B418" s="3" t="str">
        <f>IFERROR(__xludf.DUMMYFUNCTION("""COMPUTED_VALUE"""),"Xe chở phân FD150 (11.8m3)")</f>
        <v>Xe chở phân FD150 (11.8m3)</v>
      </c>
      <c r="C418" s="5" t="str">
        <f>IFERROR(__xludf.DUMMYFUNCTION("""COMPUTED_VALUE"""),"XN Bò AD")</f>
        <v>XN Bò AD</v>
      </c>
      <c r="D418" s="5" t="str">
        <f>IFERROR(__xludf.DUMMYFUNCTION("""COMPUTED_VALUE"""),"THACO FORLAND")</f>
        <v>THACO FORLAND</v>
      </c>
      <c r="E418" s="5" t="str">
        <f>IFERROR(__xludf.DUMMYFUNCTION("""COMPUTED_VALUE"""),"VIỆT NAM")</f>
        <v>VIỆT NAM</v>
      </c>
      <c r="F418" s="5">
        <f>IFERROR(__xludf.DUMMYFUNCTION("""COMPUTED_VALUE"""),2022.0)</f>
        <v>2022</v>
      </c>
      <c r="G418" s="5" t="str">
        <f>IFERROR(__xludf.DUMMYFUNCTION("""COMPUTED_VALUE"""),"FD150-4WD")</f>
        <v>FD150-4WD</v>
      </c>
      <c r="H418" s="5" t="str">
        <f>IFERROR(__xludf.DUMMYFUNCTION("""COMPUTED_VALUE"""),"150HP")</f>
        <v>150HP</v>
      </c>
      <c r="I418" s="5" t="str">
        <f>IFERROR(__xludf.DUMMYFUNCTION("""COMPUTED_VALUE""")," RNHF16FYANT065198")</f>
        <v> RNHF16FYANT065198</v>
      </c>
      <c r="J418" s="5" t="str">
        <f>IFERROR(__xludf.DUMMYFUNCTION("""COMPUTED_VALUE"""),"YC4D150-48D59M1N00572")</f>
        <v>YC4D150-48D59M1N00572</v>
      </c>
      <c r="K418" s="5">
        <f>IFERROR(__xludf.DUMMYFUNCTION("""COMPUTED_VALUE"""),0.45)</f>
        <v>0.45</v>
      </c>
      <c r="L418" s="5" t="str">
        <f>IFERROR(__xludf.DUMMYFUNCTION("""COMPUTED_VALUE"""),"KLH")</f>
        <v>KLH</v>
      </c>
    </row>
    <row r="419">
      <c r="A419" s="168" t="str">
        <f>IFERROR(__xludf.DUMMYFUNCTION("""COMPUTED_VALUE"""),"XB1-XCP-005")</f>
        <v>XB1-XCP-005</v>
      </c>
      <c r="B419" s="3" t="str">
        <f>IFERROR(__xludf.DUMMYFUNCTION("""COMPUTED_VALUE"""),"Xe chở phân FD150 (8.7m3)")</f>
        <v>Xe chở phân FD150 (8.7m3)</v>
      </c>
      <c r="C419" s="5" t="str">
        <f>IFERROR(__xludf.DUMMYFUNCTION("""COMPUTED_VALUE"""),"XN Bò AD")</f>
        <v>XN Bò AD</v>
      </c>
      <c r="D419" s="5" t="str">
        <f>IFERROR(__xludf.DUMMYFUNCTION("""COMPUTED_VALUE"""),"THACO FORLAND")</f>
        <v>THACO FORLAND</v>
      </c>
      <c r="E419" s="5" t="str">
        <f>IFERROR(__xludf.DUMMYFUNCTION("""COMPUTED_VALUE"""),"VIỆT NAM")</f>
        <v>VIỆT NAM</v>
      </c>
      <c r="F419" s="5">
        <f>IFERROR(__xludf.DUMMYFUNCTION("""COMPUTED_VALUE"""),2023.0)</f>
        <v>2023</v>
      </c>
      <c r="G419" s="5" t="str">
        <f>IFERROR(__xludf.DUMMYFUNCTION("""COMPUTED_VALUE"""),"FD150-4WD")</f>
        <v>FD150-4WD</v>
      </c>
      <c r="H419" s="5" t="str">
        <f>IFERROR(__xludf.DUMMYFUNCTION("""COMPUTED_VALUE"""),"150HP")</f>
        <v>150HP</v>
      </c>
      <c r="I419" s="5" t="str">
        <f>IFERROR(__xludf.DUMMYFUNCTION("""COMPUTED_VALUE"""),"RNHF16FYAPTO77540")</f>
        <v>RNHF16FYAPTO77540</v>
      </c>
      <c r="J419" s="5" t="str">
        <f>IFERROR(__xludf.DUMMYFUNCTION("""COMPUTED_VALUE"""),"YC4D150-48D59M1N00920")</f>
        <v>YC4D150-48D59M1N00920</v>
      </c>
      <c r="K419" s="5">
        <f>IFERROR(__xludf.DUMMYFUNCTION("""COMPUTED_VALUE"""),4.0)</f>
        <v>4</v>
      </c>
      <c r="L419" s="5" t="str">
        <f>IFERROR(__xludf.DUMMYFUNCTION("""COMPUTED_VALUE"""),"KLH")</f>
        <v>KLH</v>
      </c>
    </row>
    <row r="420">
      <c r="A420" s="168" t="str">
        <f>IFERROR(__xludf.DUMMYFUNCTION("""COMPUTED_VALUE"""),"XB1-XCP-006")</f>
        <v>XB1-XCP-006</v>
      </c>
      <c r="B420" s="3" t="str">
        <f>IFERROR(__xludf.DUMMYFUNCTION("""COMPUTED_VALUE"""),"Xe chở phân FD150 (8.7m3)")</f>
        <v>Xe chở phân FD150 (8.7m3)</v>
      </c>
      <c r="C420" s="5" t="str">
        <f>IFERROR(__xludf.DUMMYFUNCTION("""COMPUTED_VALUE"""),"XN Bò AD")</f>
        <v>XN Bò AD</v>
      </c>
      <c r="D420" s="5" t="str">
        <f>IFERROR(__xludf.DUMMYFUNCTION("""COMPUTED_VALUE"""),"THACO FORLAND")</f>
        <v>THACO FORLAND</v>
      </c>
      <c r="E420" s="5" t="str">
        <f>IFERROR(__xludf.DUMMYFUNCTION("""COMPUTED_VALUE"""),"VIỆT NAM")</f>
        <v>VIỆT NAM</v>
      </c>
      <c r="F420" s="5">
        <f>IFERROR(__xludf.DUMMYFUNCTION("""COMPUTED_VALUE"""),2023.0)</f>
        <v>2023</v>
      </c>
      <c r="G420" s="5" t="str">
        <f>IFERROR(__xludf.DUMMYFUNCTION("""COMPUTED_VALUE"""),"FD150-4WD")</f>
        <v>FD150-4WD</v>
      </c>
      <c r="H420" s="5" t="str">
        <f>IFERROR(__xludf.DUMMYFUNCTION("""COMPUTED_VALUE"""),"150HP")</f>
        <v>150HP</v>
      </c>
      <c r="I420" s="5" t="str">
        <f>IFERROR(__xludf.DUMMYFUNCTION("""COMPUTED_VALUE"""),"RNHF16FYAPTO77538")</f>
        <v>RNHF16FYAPTO77538</v>
      </c>
      <c r="J420" s="5" t="str">
        <f>IFERROR(__xludf.DUMMYFUNCTION("""COMPUTED_VALUE"""),"YC4D150-48D59M1N00903")</f>
        <v>YC4D150-48D59M1N00903</v>
      </c>
      <c r="K420" s="5">
        <f>IFERROR(__xludf.DUMMYFUNCTION("""COMPUTED_VALUE"""),0.45)</f>
        <v>0.45</v>
      </c>
      <c r="L420" s="5" t="str">
        <f>IFERROR(__xludf.DUMMYFUNCTION("""COMPUTED_VALUE"""),"KLH")</f>
        <v>KLH</v>
      </c>
    </row>
    <row r="421">
      <c r="A421" s="168" t="str">
        <f>IFERROR(__xludf.DUMMYFUNCTION("""COMPUTED_VALUE"""),"XB1-XCP-008")</f>
        <v>XB1-XCP-008</v>
      </c>
      <c r="B421" s="3" t="str">
        <f>IFERROR(__xludf.DUMMYFUNCTION("""COMPUTED_VALUE"""),"Xe chở phân FD150 (8.7m3)")</f>
        <v>Xe chở phân FD150 (8.7m3)</v>
      </c>
      <c r="C421" s="5" t="str">
        <f>IFERROR(__xludf.DUMMYFUNCTION("""COMPUTED_VALUE"""),"XN Bò AD")</f>
        <v>XN Bò AD</v>
      </c>
      <c r="D421" s="5" t="str">
        <f>IFERROR(__xludf.DUMMYFUNCTION("""COMPUTED_VALUE"""),"THACO FORLAND")</f>
        <v>THACO FORLAND</v>
      </c>
      <c r="E421" s="5" t="str">
        <f>IFERROR(__xludf.DUMMYFUNCTION("""COMPUTED_VALUE"""),"VIỆT NAM")</f>
        <v>VIỆT NAM</v>
      </c>
      <c r="F421" s="5">
        <f>IFERROR(__xludf.DUMMYFUNCTION("""COMPUTED_VALUE"""),2024.0)</f>
        <v>2024</v>
      </c>
      <c r="G421" s="5" t="str">
        <f>IFERROR(__xludf.DUMMYFUNCTION("""COMPUTED_VALUE"""),"FD150-4WD")</f>
        <v>FD150-4WD</v>
      </c>
      <c r="H421" s="5" t="str">
        <f>IFERROR(__xludf.DUMMYFUNCTION("""COMPUTED_VALUE"""),"150HP")</f>
        <v>150HP</v>
      </c>
      <c r="I421" s="5" t="str">
        <f>IFERROR(__xludf.DUMMYFUNCTION("""COMPUTED_VALUE"""),"RNHF16FYART095004")</f>
        <v>RNHF16FYART095004</v>
      </c>
      <c r="J421" s="5" t="str">
        <f>IFERROR(__xludf.DUMMYFUNCTION("""COMPUTED_VALUE"""),"D59M1N01406")</f>
        <v>D59M1N01406</v>
      </c>
      <c r="K421" s="5">
        <f>IFERROR(__xludf.DUMMYFUNCTION("""COMPUTED_VALUE"""),0.45)</f>
        <v>0.45</v>
      </c>
      <c r="L421" s="5" t="str">
        <f>IFERROR(__xludf.DUMMYFUNCTION("""COMPUTED_VALUE"""),"KLH")</f>
        <v>KLH</v>
      </c>
    </row>
    <row r="422">
      <c r="A422" s="168" t="str">
        <f>IFERROR(__xludf.DUMMYFUNCTION("""COMPUTED_VALUE"""),"XB1-XCP-009")</f>
        <v>XB1-XCP-009</v>
      </c>
      <c r="B422" s="3" t="str">
        <f>IFERROR(__xludf.DUMMYFUNCTION("""COMPUTED_VALUE"""),"Xe chở phân FD150 (8.7m3)")</f>
        <v>Xe chở phân FD150 (8.7m3)</v>
      </c>
      <c r="C422" s="5" t="str">
        <f>IFERROR(__xludf.DUMMYFUNCTION("""COMPUTED_VALUE"""),"XN Bò AD")</f>
        <v>XN Bò AD</v>
      </c>
      <c r="D422" s="5" t="str">
        <f>IFERROR(__xludf.DUMMYFUNCTION("""COMPUTED_VALUE"""),"THACO FORLAND")</f>
        <v>THACO FORLAND</v>
      </c>
      <c r="E422" s="5" t="str">
        <f>IFERROR(__xludf.DUMMYFUNCTION("""COMPUTED_VALUE"""),"VIỆT NAM")</f>
        <v>VIỆT NAM</v>
      </c>
      <c r="F422" s="5">
        <f>IFERROR(__xludf.DUMMYFUNCTION("""COMPUTED_VALUE"""),2024.0)</f>
        <v>2024</v>
      </c>
      <c r="G422" s="5" t="str">
        <f>IFERROR(__xludf.DUMMYFUNCTION("""COMPUTED_VALUE"""),"FD150-4WD")</f>
        <v>FD150-4WD</v>
      </c>
      <c r="H422" s="5" t="str">
        <f>IFERROR(__xludf.DUMMYFUNCTION("""COMPUTED_VALUE"""),"150HP")</f>
        <v>150HP</v>
      </c>
      <c r="I422" s="5" t="str">
        <f>IFERROR(__xludf.DUMMYFUNCTION("""COMPUTED_VALUE"""),"RNHF16FYART095002")</f>
        <v>RNHF16FYART095002</v>
      </c>
      <c r="J422" s="5" t="str">
        <f>IFERROR(__xludf.DUMMYFUNCTION("""COMPUTED_VALUE"""),"D59M1N01437")</f>
        <v>D59M1N01437</v>
      </c>
      <c r="K422" s="5">
        <f>IFERROR(__xludf.DUMMYFUNCTION("""COMPUTED_VALUE"""),0.45)</f>
        <v>0.45</v>
      </c>
      <c r="L422" s="5" t="str">
        <f>IFERROR(__xludf.DUMMYFUNCTION("""COMPUTED_VALUE"""),"KLH")</f>
        <v>KLH</v>
      </c>
    </row>
    <row r="423">
      <c r="A423" s="168" t="str">
        <f>IFERROR(__xludf.DUMMYFUNCTION("""COMPUTED_VALUE"""),"XB1-XCP-010")</f>
        <v>XB1-XCP-010</v>
      </c>
      <c r="B423" s="3" t="str">
        <f>IFERROR(__xludf.DUMMYFUNCTION("""COMPUTED_VALUE"""),"Xe chở phân FD150 (8.7m3)")</f>
        <v>Xe chở phân FD150 (8.7m3)</v>
      </c>
      <c r="C423" s="5" t="str">
        <f>IFERROR(__xludf.DUMMYFUNCTION("""COMPUTED_VALUE"""),"XN Bò AD")</f>
        <v>XN Bò AD</v>
      </c>
      <c r="D423" s="5" t="str">
        <f>IFERROR(__xludf.DUMMYFUNCTION("""COMPUTED_VALUE"""),"THACO FORLAND")</f>
        <v>THACO FORLAND</v>
      </c>
      <c r="E423" s="5" t="str">
        <f>IFERROR(__xludf.DUMMYFUNCTION("""COMPUTED_VALUE"""),"VIỆT NAM")</f>
        <v>VIỆT NAM</v>
      </c>
      <c r="F423" s="5">
        <f>IFERROR(__xludf.DUMMYFUNCTION("""COMPUTED_VALUE"""),2024.0)</f>
        <v>2024</v>
      </c>
      <c r="G423" s="5" t="str">
        <f>IFERROR(__xludf.DUMMYFUNCTION("""COMPUTED_VALUE"""),"FD150-4WD")</f>
        <v>FD150-4WD</v>
      </c>
      <c r="H423" s="5" t="str">
        <f>IFERROR(__xludf.DUMMYFUNCTION("""COMPUTED_VALUE"""),"150HP")</f>
        <v>150HP</v>
      </c>
      <c r="I423" s="5" t="str">
        <f>IFERROR(__xludf.DUMMYFUNCTION("""COMPUTED_VALUE"""),"RNHF16FYART095001")</f>
        <v>RNHF16FYART095001</v>
      </c>
      <c r="J423" s="5" t="str">
        <f>IFERROR(__xludf.DUMMYFUNCTION("""COMPUTED_VALUE"""),"D59M1N01416")</f>
        <v>D59M1N01416</v>
      </c>
      <c r="K423" s="5">
        <f>IFERROR(__xludf.DUMMYFUNCTION("""COMPUTED_VALUE"""),0.45)</f>
        <v>0.45</v>
      </c>
      <c r="L423" s="5" t="str">
        <f>IFERROR(__xludf.DUMMYFUNCTION("""COMPUTED_VALUE"""),"KLH")</f>
        <v>KLH</v>
      </c>
    </row>
    <row r="424">
      <c r="A424" s="168" t="str">
        <f>IFERROR(__xludf.DUMMYFUNCTION("""COMPUTED_VALUE"""),"XB1-XCP-011")</f>
        <v>XB1-XCP-011</v>
      </c>
      <c r="B424" s="3" t="str">
        <f>IFERROR(__xludf.DUMMYFUNCTION("""COMPUTED_VALUE"""),"Xe chở phân FD150 (8.7m3)")</f>
        <v>Xe chở phân FD150 (8.7m3)</v>
      </c>
      <c r="C424" s="5" t="str">
        <f>IFERROR(__xludf.DUMMYFUNCTION("""COMPUTED_VALUE"""),"XN Bò AD")</f>
        <v>XN Bò AD</v>
      </c>
      <c r="D424" s="5" t="str">
        <f>IFERROR(__xludf.DUMMYFUNCTION("""COMPUTED_VALUE"""),"THACO FORLAND")</f>
        <v>THACO FORLAND</v>
      </c>
      <c r="E424" s="5" t="str">
        <f>IFERROR(__xludf.DUMMYFUNCTION("""COMPUTED_VALUE"""),"VIỆT NAM")</f>
        <v>VIỆT NAM</v>
      </c>
      <c r="F424" s="5">
        <f>IFERROR(__xludf.DUMMYFUNCTION("""COMPUTED_VALUE"""),2024.0)</f>
        <v>2024</v>
      </c>
      <c r="G424" s="5" t="str">
        <f>IFERROR(__xludf.DUMMYFUNCTION("""COMPUTED_VALUE"""),"FD150-4WD")</f>
        <v>FD150-4WD</v>
      </c>
      <c r="H424" s="5" t="str">
        <f>IFERROR(__xludf.DUMMYFUNCTION("""COMPUTED_VALUE"""),"150HP")</f>
        <v>150HP</v>
      </c>
      <c r="I424" s="5" t="str">
        <f>IFERROR(__xludf.DUMMYFUNCTION("""COMPUTED_VALUE"""),"RNHF16FYART094996")</f>
        <v>RNHF16FYART094996</v>
      </c>
      <c r="J424" s="5" t="str">
        <f>IFERROR(__xludf.DUMMYFUNCTION("""COMPUTED_VALUE"""),"D59M1N01392")</f>
        <v>D59M1N01392</v>
      </c>
      <c r="K424" s="5">
        <f>IFERROR(__xludf.DUMMYFUNCTION("""COMPUTED_VALUE"""),0.45)</f>
        <v>0.45</v>
      </c>
      <c r="L424" s="5" t="str">
        <f>IFERROR(__xludf.DUMMYFUNCTION("""COMPUTED_VALUE"""),"KLH")</f>
        <v>KLH</v>
      </c>
    </row>
    <row r="425">
      <c r="A425" s="168" t="str">
        <f>IFERROR(__xludf.DUMMYFUNCTION("""COMPUTED_VALUE"""),"XB1-XCP-012")</f>
        <v>XB1-XCP-012</v>
      </c>
      <c r="B425" s="3" t="str">
        <f>IFERROR(__xludf.DUMMYFUNCTION("""COMPUTED_VALUE"""),"Xe chở phân FD120 (5.41m3)")</f>
        <v>Xe chở phân FD120 (5.41m3)</v>
      </c>
      <c r="C425" s="5" t="str">
        <f>IFERROR(__xludf.DUMMYFUNCTION("""COMPUTED_VALUE"""),"XN Bò AD")</f>
        <v>XN Bò AD</v>
      </c>
      <c r="D425" s="5" t="str">
        <f>IFERROR(__xludf.DUMMYFUNCTION("""COMPUTED_VALUE"""),"THACO FORLAND")</f>
        <v>THACO FORLAND</v>
      </c>
      <c r="E425" s="5" t="str">
        <f>IFERROR(__xludf.DUMMYFUNCTION("""COMPUTED_VALUE"""),"VIỆT NAM")</f>
        <v>VIỆT NAM</v>
      </c>
      <c r="F425" s="5">
        <f>IFERROR(__xludf.DUMMYFUNCTION("""COMPUTED_VALUE"""),2024.0)</f>
        <v>2024</v>
      </c>
      <c r="G425" s="5" t="str">
        <f>IFERROR(__xludf.DUMMYFUNCTION("""COMPUTED_VALUE""")," FD120-4WD")</f>
        <v> FD120-4WD</v>
      </c>
      <c r="H425" s="5" t="str">
        <f>IFERROR(__xludf.DUMMYFUNCTION("""COMPUTED_VALUE"""),"129HP")</f>
        <v>129HP</v>
      </c>
      <c r="I425" s="5" t="str">
        <f>IFERROR(__xludf.DUMMYFUNCTION("""COMPUTED_VALUE"""),"RNHF12FNBRT002112")</f>
        <v>RNHF12FNBRT002112</v>
      </c>
      <c r="J425" s="5" t="str">
        <f>IFERROR(__xludf.DUMMYFUNCTION("""COMPUTED_VALUE"""),"YN38CRD1*AGN22000292*")</f>
        <v>YN38CRD1*AGN22000292*</v>
      </c>
      <c r="K425" s="5">
        <f>IFERROR(__xludf.DUMMYFUNCTION("""COMPUTED_VALUE"""),0.61)</f>
        <v>0.61</v>
      </c>
      <c r="L425" s="5" t="str">
        <f>IFERROR(__xludf.DUMMYFUNCTION("""COMPUTED_VALUE"""),"KLH")</f>
        <v>KLH</v>
      </c>
    </row>
    <row r="426">
      <c r="A426" s="168" t="str">
        <f>IFERROR(__xludf.DUMMYFUNCTION("""COMPUTED_VALUE"""),"XB1-XCP-013")</f>
        <v>XB1-XCP-013</v>
      </c>
      <c r="B426" s="3" t="str">
        <f>IFERROR(__xludf.DUMMYFUNCTION("""COMPUTED_VALUE"""),"Xe chở phân FD120 (5.41m3)")</f>
        <v>Xe chở phân FD120 (5.41m3)</v>
      </c>
      <c r="C426" s="5" t="str">
        <f>IFERROR(__xludf.DUMMYFUNCTION("""COMPUTED_VALUE"""),"XN Bò AD")</f>
        <v>XN Bò AD</v>
      </c>
      <c r="D426" s="5" t="str">
        <f>IFERROR(__xludf.DUMMYFUNCTION("""COMPUTED_VALUE"""),"THACO FORLAND")</f>
        <v>THACO FORLAND</v>
      </c>
      <c r="E426" s="5" t="str">
        <f>IFERROR(__xludf.DUMMYFUNCTION("""COMPUTED_VALUE"""),"VIỆT NAM")</f>
        <v>VIỆT NAM</v>
      </c>
      <c r="F426" s="5">
        <f>IFERROR(__xludf.DUMMYFUNCTION("""COMPUTED_VALUE"""),2024.0)</f>
        <v>2024</v>
      </c>
      <c r="G426" s="5" t="str">
        <f>IFERROR(__xludf.DUMMYFUNCTION("""COMPUTED_VALUE""")," FD120-4WD")</f>
        <v> FD120-4WD</v>
      </c>
      <c r="H426" s="5" t="str">
        <f>IFERROR(__xludf.DUMMYFUNCTION("""COMPUTED_VALUE"""),"129HP")</f>
        <v>129HP</v>
      </c>
      <c r="I426" s="5" t="str">
        <f>IFERROR(__xludf.DUMMYFUNCTION("""COMPUTED_VALUE"""),"RNHF12FNBRT002113")</f>
        <v>RNHF12FNBRT002113</v>
      </c>
      <c r="J426" s="5" t="str">
        <f>IFERROR(__xludf.DUMMYFUNCTION("""COMPUTED_VALUE"""),"YN38CRD1*AGN22000293*")</f>
        <v>YN38CRD1*AGN22000293*</v>
      </c>
      <c r="K426" s="5">
        <f>IFERROR(__xludf.DUMMYFUNCTION("""COMPUTED_VALUE"""),4.3)</f>
        <v>4.3</v>
      </c>
      <c r="L426" s="5" t="str">
        <f>IFERROR(__xludf.DUMMYFUNCTION("""COMPUTED_VALUE"""),"KLH")</f>
        <v>KLH</v>
      </c>
    </row>
    <row r="427">
      <c r="A427" s="168" t="str">
        <f>IFERROR(__xludf.DUMMYFUNCTION("""COMPUTED_VALUE"""),"XB1-XCP-014")</f>
        <v>XB1-XCP-014</v>
      </c>
      <c r="B427" s="3" t="str">
        <f>IFERROR(__xludf.DUMMYFUNCTION("""COMPUTED_VALUE"""),"Xe chở phân FD120 (5.41m3)")</f>
        <v>Xe chở phân FD120 (5.41m3)</v>
      </c>
      <c r="C427" s="5" t="str">
        <f>IFERROR(__xludf.DUMMYFUNCTION("""COMPUTED_VALUE"""),"XN Bò AD")</f>
        <v>XN Bò AD</v>
      </c>
      <c r="D427" s="5" t="str">
        <f>IFERROR(__xludf.DUMMYFUNCTION("""COMPUTED_VALUE"""),"THACO FORLAND")</f>
        <v>THACO FORLAND</v>
      </c>
      <c r="E427" s="5" t="str">
        <f>IFERROR(__xludf.DUMMYFUNCTION("""COMPUTED_VALUE"""),"VIỆT NAM")</f>
        <v>VIỆT NAM</v>
      </c>
      <c r="F427" s="5">
        <f>IFERROR(__xludf.DUMMYFUNCTION("""COMPUTED_VALUE"""),2024.0)</f>
        <v>2024</v>
      </c>
      <c r="G427" s="5" t="str">
        <f>IFERROR(__xludf.DUMMYFUNCTION("""COMPUTED_VALUE""")," FD120-4WD")</f>
        <v> FD120-4WD</v>
      </c>
      <c r="H427" s="5" t="str">
        <f>IFERROR(__xludf.DUMMYFUNCTION("""COMPUTED_VALUE"""),"129HP")</f>
        <v>129HP</v>
      </c>
      <c r="I427" s="5" t="str">
        <f>IFERROR(__xludf.DUMMYFUNCTION("""COMPUTED_VALUE"""),"RNHF12FNBRT002117")</f>
        <v>RNHF12FNBRT002117</v>
      </c>
      <c r="J427" s="5" t="str">
        <f>IFERROR(__xludf.DUMMYFUNCTION("""COMPUTED_VALUE"""),"YN38CRD1*AGN22000297*")</f>
        <v>YN38CRD1*AGN22000297*</v>
      </c>
      <c r="K427" s="5">
        <f>IFERROR(__xludf.DUMMYFUNCTION("""COMPUTED_VALUE"""),0.61)</f>
        <v>0.61</v>
      </c>
      <c r="L427" s="5" t="str">
        <f>IFERROR(__xludf.DUMMYFUNCTION("""COMPUTED_VALUE"""),"KLH")</f>
        <v>KLH</v>
      </c>
    </row>
    <row r="428">
      <c r="A428" s="168" t="str">
        <f>IFERROR(__xludf.DUMMYFUNCTION("""COMPUTED_VALUE"""),"XB1-XTA-005")</f>
        <v>XB1-XTA-005</v>
      </c>
      <c r="B428" s="3" t="str">
        <f>IFERROR(__xludf.DUMMYFUNCTION("""COMPUTED_VALUE"""),"Xe tải thùng FD140")</f>
        <v>Xe tải thùng FD140</v>
      </c>
      <c r="C428" s="5" t="str">
        <f>IFERROR(__xludf.DUMMYFUNCTION("""COMPUTED_VALUE"""),"XN Bò AD")</f>
        <v>XN Bò AD</v>
      </c>
      <c r="D428" s="5" t="str">
        <f>IFERROR(__xludf.DUMMYFUNCTION("""COMPUTED_VALUE"""),"THACO FORLAND")</f>
        <v>THACO FORLAND</v>
      </c>
      <c r="E428" s="5" t="str">
        <f>IFERROR(__xludf.DUMMYFUNCTION("""COMPUTED_VALUE"""),"VIỆT NAM")</f>
        <v>VIỆT NAM</v>
      </c>
      <c r="F428" s="5">
        <f>IFERROR(__xludf.DUMMYFUNCTION("""COMPUTED_VALUE"""),2021.0)</f>
        <v>2021</v>
      </c>
      <c r="G428" s="5" t="str">
        <f>IFERROR(__xludf.DUMMYFUNCTION("""COMPUTED_VALUE"""),"FD140-4WD")</f>
        <v>FD140-4WD</v>
      </c>
      <c r="H428" s="5" t="str">
        <f>IFERROR(__xludf.DUMMYFUNCTION("""COMPUTED_VALUE"""),"140HP")</f>
        <v>140HP</v>
      </c>
      <c r="I428" s="5" t="str">
        <f>IFERROR(__xludf.DUMMYFUNCTION("""COMPUTED_VALUE"""),"RNHF14FYAMT052027")</f>
        <v>RNHF14FYAMT052027</v>
      </c>
      <c r="J428" s="5" t="str">
        <f>IFERROR(__xludf.DUMMYFUNCTION("""COMPUTED_VALUE"""),"YC4D140-48D59M1M00546")</f>
        <v>YC4D140-48D59M1M00546</v>
      </c>
      <c r="K428" s="5">
        <f>IFERROR(__xludf.DUMMYFUNCTION("""COMPUTED_VALUE"""),0.3)</f>
        <v>0.3</v>
      </c>
      <c r="L428" s="5" t="str">
        <f>IFERROR(__xludf.DUMMYFUNCTION("""COMPUTED_VALUE"""),"KLH")</f>
        <v>KLH</v>
      </c>
    </row>
    <row r="429">
      <c r="A429" s="168" t="str">
        <f>IFERROR(__xludf.DUMMYFUNCTION("""COMPUTED_VALUE"""),"XB1-XTA-006")</f>
        <v>XB1-XTA-006</v>
      </c>
      <c r="B429" s="3" t="str">
        <f>IFERROR(__xludf.DUMMYFUNCTION("""COMPUTED_VALUE"""),"Xe tải thùng FC150")</f>
        <v>Xe tải thùng FC150</v>
      </c>
      <c r="C429" s="5" t="str">
        <f>IFERROR(__xludf.DUMMYFUNCTION("""COMPUTED_VALUE"""),"XN Bò AD")</f>
        <v>XN Bò AD</v>
      </c>
      <c r="D429" s="5" t="str">
        <f>IFERROR(__xludf.DUMMYFUNCTION("""COMPUTED_VALUE"""),"THACO FORLAND")</f>
        <v>THACO FORLAND</v>
      </c>
      <c r="E429" s="5" t="str">
        <f>IFERROR(__xludf.DUMMYFUNCTION("""COMPUTED_VALUE"""),"VIỆT NAM")</f>
        <v>VIỆT NAM</v>
      </c>
      <c r="F429" s="5">
        <f>IFERROR(__xludf.DUMMYFUNCTION("""COMPUTED_VALUE"""),2024.0)</f>
        <v>2024</v>
      </c>
      <c r="G429" s="5" t="str">
        <f>IFERROR(__xludf.DUMMYFUNCTION("""COMPUTED_VALUE"""),"FC150-4WD")</f>
        <v>FC150-4WD</v>
      </c>
      <c r="H429" s="5" t="str">
        <f>IFERROR(__xludf.DUMMYFUNCTION("""COMPUTED_VALUE"""),"147HP")</f>
        <v>147HP</v>
      </c>
      <c r="I429" s="5" t="str">
        <f>IFERROR(__xludf.DUMMYFUNCTION("""COMPUTED_VALUE"""),"RNHF16FYBRT077509")</f>
        <v>RNHF16FYBRT077509</v>
      </c>
      <c r="J429" s="5" t="str">
        <f>IFERROR(__xludf.DUMMYFUNCTION("""COMPUTED_VALUE"""),"D59M1N01082")</f>
        <v>D59M1N01082</v>
      </c>
      <c r="K429" s="5">
        <f>IFERROR(__xludf.DUMMYFUNCTION("""COMPUTED_VALUE"""),0.5)</f>
        <v>0.5</v>
      </c>
      <c r="L429" s="5" t="str">
        <f>IFERROR(__xludf.DUMMYFUNCTION("""COMPUTED_VALUE"""),"KLH")</f>
        <v>KLH</v>
      </c>
    </row>
    <row r="430">
      <c r="A430" s="168" t="str">
        <f>IFERROR(__xludf.DUMMYFUNCTION("""COMPUTED_VALUE"""),"XB1-XĐK-001")</f>
        <v>XB1-XĐK-001</v>
      </c>
      <c r="B430" s="3" t="str">
        <f>IFERROR(__xludf.DUMMYFUNCTION("""COMPUTED_VALUE"""),"Xe đầu kéo FD1600B")</f>
        <v>Xe đầu kéo FD1600B</v>
      </c>
      <c r="C430" s="5" t="str">
        <f>IFERROR(__xludf.DUMMYFUNCTION("""COMPUTED_VALUE"""),"XN Bò AD")</f>
        <v>XN Bò AD</v>
      </c>
      <c r="D430" s="5" t="str">
        <f>IFERROR(__xludf.DUMMYFUNCTION("""COMPUTED_VALUE"""),"THACO FORLAND")</f>
        <v>THACO FORLAND</v>
      </c>
      <c r="E430" s="5" t="str">
        <f>IFERROR(__xludf.DUMMYFUNCTION("""COMPUTED_VALUE"""),"VIỆT NAM")</f>
        <v>VIỆT NAM</v>
      </c>
      <c r="F430" s="5">
        <f>IFERROR(__xludf.DUMMYFUNCTION("""COMPUTED_VALUE"""),2022.0)</f>
        <v>2022</v>
      </c>
      <c r="G430" s="5" t="str">
        <f>IFERROR(__xludf.DUMMYFUNCTION("""COMPUTED_VALUE"""),"FD1600B")</f>
        <v>FD1600B</v>
      </c>
      <c r="H430" s="5" t="str">
        <f>IFERROR(__xludf.DUMMYFUNCTION("""COMPUTED_VALUE"""),"177HP")</f>
        <v>177HP</v>
      </c>
      <c r="I430" s="5" t="str">
        <f>IFERROR(__xludf.DUMMYFUNCTION("""COMPUTED_VALUE"""),"RNHD1600DHC070065")</f>
        <v>RNHD1600DHC070065</v>
      </c>
      <c r="J430" s="5" t="str">
        <f>IFERROR(__xludf.DUMMYFUNCTION("""COMPUTED_VALUE"""),"6P15D005384")</f>
        <v>6P15D005384</v>
      </c>
      <c r="K430" s="5">
        <f>IFERROR(__xludf.DUMMYFUNCTION("""COMPUTED_VALUE"""),7.0)</f>
        <v>7</v>
      </c>
      <c r="L430" s="5" t="str">
        <f>IFERROR(__xludf.DUMMYFUNCTION("""COMPUTED_VALUE"""),"KLH")</f>
        <v>KLH</v>
      </c>
    </row>
    <row r="431">
      <c r="A431" s="168" t="str">
        <f>IFERROR(__xludf.DUMMYFUNCTION("""COMPUTED_VALUE"""),"XB1-XĐK-002")</f>
        <v>XB1-XĐK-002</v>
      </c>
      <c r="B431" s="3" t="str">
        <f>IFERROR(__xludf.DUMMYFUNCTION("""COMPUTED_VALUE"""),"Xe đầu kéo TT261J-MT")</f>
        <v>Xe đầu kéo TT261J-MT</v>
      </c>
      <c r="C431" s="5" t="str">
        <f>IFERROR(__xludf.DUMMYFUNCTION("""COMPUTED_VALUE"""),"XN Bò AD")</f>
        <v>XN Bò AD</v>
      </c>
      <c r="D431" s="5" t="str">
        <f>IFERROR(__xludf.DUMMYFUNCTION("""COMPUTED_VALUE"""),"THACO")</f>
        <v>THACO</v>
      </c>
      <c r="E431" s="5" t="str">
        <f>IFERROR(__xludf.DUMMYFUNCTION("""COMPUTED_VALUE"""),"VIỆT NAM")</f>
        <v>VIỆT NAM</v>
      </c>
      <c r="F431" s="5">
        <f>IFERROR(__xludf.DUMMYFUNCTION("""COMPUTED_VALUE"""),2024.0)</f>
        <v>2024</v>
      </c>
      <c r="G431" s="5" t="str">
        <f>IFERROR(__xludf.DUMMYFUNCTION("""COMPUTED_VALUE"""),"THACO TT261J-MT")</f>
        <v>THACO TT261J-MT</v>
      </c>
      <c r="H431" s="5" t="str">
        <f>IFERROR(__xludf.DUMMYFUNCTION("""COMPUTED_VALUE"""),"295HP")</f>
        <v>295HP</v>
      </c>
      <c r="I431" s="5" t="str">
        <f>IFERROR(__xludf.DUMMYFUNCTION("""COMPUTED_VALUE"""),"RNHT16TWART098475")</f>
        <v>RNHT16TWART098475</v>
      </c>
      <c r="J431" s="5" t="str">
        <f>IFERROR(__xludf.DUMMYFUNCTION("""COMPUTED_VALUE"""),"1024A000597")</f>
        <v>1024A000597</v>
      </c>
      <c r="K431" s="5"/>
      <c r="L431" s="5" t="str">
        <f>IFERROR(__xludf.DUMMYFUNCTION("""COMPUTED_VALUE"""),"KLH")</f>
        <v>KLH</v>
      </c>
    </row>
    <row r="432">
      <c r="A432" s="168" t="str">
        <f>IFERROR(__xludf.DUMMYFUNCTION("""COMPUTED_VALUE"""),"XB1-XĐK-003")</f>
        <v>XB1-XĐK-003</v>
      </c>
      <c r="B432" s="3" t="str">
        <f>IFERROR(__xludf.DUMMYFUNCTION("""COMPUTED_VALUE"""),"Xe đầu kéo HOWO")</f>
        <v>Xe đầu kéo HOWO</v>
      </c>
      <c r="C432" s="5" t="str">
        <f>IFERROR(__xludf.DUMMYFUNCTION("""COMPUTED_VALUE"""),"XN Bò AD")</f>
        <v>XN Bò AD</v>
      </c>
      <c r="D432" s="5" t="str">
        <f>IFERROR(__xludf.DUMMYFUNCTION("""COMPUTED_VALUE"""),"CNHTC")</f>
        <v>CNHTC</v>
      </c>
      <c r="E432" s="5" t="str">
        <f>IFERROR(__xludf.DUMMYFUNCTION("""COMPUTED_VALUE"""),"TRUNG QUỐC")</f>
        <v>TRUNG QUỐC</v>
      </c>
      <c r="F432" s="5">
        <f>IFERROR(__xludf.DUMMYFUNCTION("""COMPUTED_VALUE"""),2025.0)</f>
        <v>2025</v>
      </c>
      <c r="G432" s="5" t="str">
        <f>IFERROR(__xludf.DUMMYFUNCTION("""COMPUTED_VALUE"""),"ZZ4187N391JE1")</f>
        <v>ZZ4187N391JE1</v>
      </c>
      <c r="H432" s="5" t="str">
        <f>IFERROR(__xludf.DUMMYFUNCTION("""COMPUTED_VALUE"""),"299HP")</f>
        <v>299HP</v>
      </c>
      <c r="I432" s="5" t="str">
        <f>IFERROR(__xludf.DUMMYFUNCTION("""COMPUTED_VALUE"""),"LZZ1CCMD2SJ416137")</f>
        <v>LZZ1CCMD2SJ416137</v>
      </c>
      <c r="J432" s="5" t="str">
        <f>IFERROR(__xludf.DUMMYFUNCTION("""COMPUTED_VALUE"""),"WP7.300E51*1025G007299*")</f>
        <v>WP7.300E51*1025G007299*</v>
      </c>
      <c r="K432" s="5"/>
      <c r="L432" s="5" t="str">
        <f>IFERROR(__xludf.DUMMYFUNCTION("""COMPUTED_VALUE"""),"KLH")</f>
        <v>KLH</v>
      </c>
    </row>
    <row r="433">
      <c r="A433" s="168" t="str">
        <f>IFERROR(__xludf.DUMMYFUNCTION("""COMPUTED_VALUE"""),"XB1-XĐK-004")</f>
        <v>XB1-XĐK-004</v>
      </c>
      <c r="B433" s="3" t="str">
        <f>IFERROR(__xludf.DUMMYFUNCTION("""COMPUTED_VALUE"""),"Xe đầu kéo HOWO")</f>
        <v>Xe đầu kéo HOWO</v>
      </c>
      <c r="C433" s="5" t="str">
        <f>IFERROR(__xludf.DUMMYFUNCTION("""COMPUTED_VALUE"""),"XN Bò AD")</f>
        <v>XN Bò AD</v>
      </c>
      <c r="D433" s="5" t="str">
        <f>IFERROR(__xludf.DUMMYFUNCTION("""COMPUTED_VALUE"""),"CNHTC")</f>
        <v>CNHTC</v>
      </c>
      <c r="E433" s="5" t="str">
        <f>IFERROR(__xludf.DUMMYFUNCTION("""COMPUTED_VALUE"""),"TRUNG QUỐC")</f>
        <v>TRUNG QUỐC</v>
      </c>
      <c r="F433" s="5">
        <f>IFERROR(__xludf.DUMMYFUNCTION("""COMPUTED_VALUE"""),2025.0)</f>
        <v>2025</v>
      </c>
      <c r="G433" s="5" t="str">
        <f>IFERROR(__xludf.DUMMYFUNCTION("""COMPUTED_VALUE"""),"ZZ4187N391JE1")</f>
        <v>ZZ4187N391JE1</v>
      </c>
      <c r="H433" s="5" t="str">
        <f>IFERROR(__xludf.DUMMYFUNCTION("""COMPUTED_VALUE"""),"299HP")</f>
        <v>299HP</v>
      </c>
      <c r="I433" s="5" t="str">
        <f>IFERROR(__xludf.DUMMYFUNCTION("""COMPUTED_VALUE"""),"LZZ1CCMD7SJ415209")</f>
        <v>LZZ1CCMD7SJ415209</v>
      </c>
      <c r="J433" s="5" t="str">
        <f>IFERROR(__xludf.DUMMYFUNCTION("""COMPUTED_VALUE"""),"WP7.300E51*1025G006835*")</f>
        <v>WP7.300E51*1025G006835*</v>
      </c>
      <c r="K433" s="5"/>
      <c r="L433" s="5" t="str">
        <f>IFERROR(__xludf.DUMMYFUNCTION("""COMPUTED_VALUE"""),"KLH")</f>
        <v>KLH</v>
      </c>
    </row>
    <row r="434">
      <c r="A434" s="168" t="str">
        <f>IFERROR(__xludf.DUMMYFUNCTION("""COMPUTED_VALUE"""),"XB1-XĐK-005")</f>
        <v>XB1-XĐK-005</v>
      </c>
      <c r="B434" s="3" t="str">
        <f>IFERROR(__xludf.DUMMYFUNCTION("""COMPUTED_VALUE"""),"Xe đầu kéo HOWO")</f>
        <v>Xe đầu kéo HOWO</v>
      </c>
      <c r="C434" s="5" t="str">
        <f>IFERROR(__xludf.DUMMYFUNCTION("""COMPUTED_VALUE"""),"XN Bò AD")</f>
        <v>XN Bò AD</v>
      </c>
      <c r="D434" s="5" t="str">
        <f>IFERROR(__xludf.DUMMYFUNCTION("""COMPUTED_VALUE"""),"CNHTC")</f>
        <v>CNHTC</v>
      </c>
      <c r="E434" s="5" t="str">
        <f>IFERROR(__xludf.DUMMYFUNCTION("""COMPUTED_VALUE"""),"TRUNG QUỐC")</f>
        <v>TRUNG QUỐC</v>
      </c>
      <c r="F434" s="5">
        <f>IFERROR(__xludf.DUMMYFUNCTION("""COMPUTED_VALUE"""),2025.0)</f>
        <v>2025</v>
      </c>
      <c r="G434" s="5" t="str">
        <f>IFERROR(__xludf.DUMMYFUNCTION("""COMPUTED_VALUE"""),"ZZ4187N391JE1")</f>
        <v>ZZ4187N391JE1</v>
      </c>
      <c r="H434" s="5" t="str">
        <f>IFERROR(__xludf.DUMMYFUNCTION("""COMPUTED_VALUE"""),"299HP")</f>
        <v>299HP</v>
      </c>
      <c r="I434" s="5" t="str">
        <f>IFERROR(__xludf.DUMMYFUNCTION("""COMPUTED_VALUE"""),"LZZ1CCMD3SJ415210")</f>
        <v>LZZ1CCMD3SJ415210</v>
      </c>
      <c r="J434" s="5" t="str">
        <f>IFERROR(__xludf.DUMMYFUNCTION("""COMPUTED_VALUE"""),"WP7.300E51*1025G006838*")</f>
        <v>WP7.300E51*1025G006838*</v>
      </c>
      <c r="K434" s="5"/>
      <c r="L434" s="5" t="str">
        <f>IFERROR(__xludf.DUMMYFUNCTION("""COMPUTED_VALUE"""),"KLH")</f>
        <v>KLH</v>
      </c>
    </row>
    <row r="435">
      <c r="A435" s="168" t="str">
        <f>IFERROR(__xludf.DUMMYFUNCTION("""COMPUTED_VALUE"""),"XB1-XĐK-006")</f>
        <v>XB1-XĐK-006</v>
      </c>
      <c r="B435" s="3" t="str">
        <f>IFERROR(__xludf.DUMMYFUNCTION("""COMPUTED_VALUE"""),"Xe đầu kéo HOWO")</f>
        <v>Xe đầu kéo HOWO</v>
      </c>
      <c r="C435" s="5" t="str">
        <f>IFERROR(__xludf.DUMMYFUNCTION("""COMPUTED_VALUE"""),"XN Bò AD")</f>
        <v>XN Bò AD</v>
      </c>
      <c r="D435" s="5" t="str">
        <f>IFERROR(__xludf.DUMMYFUNCTION("""COMPUTED_VALUE"""),"CNHTC")</f>
        <v>CNHTC</v>
      </c>
      <c r="E435" s="5" t="str">
        <f>IFERROR(__xludf.DUMMYFUNCTION("""COMPUTED_VALUE"""),"Trung Quốc")</f>
        <v>Trung Quốc</v>
      </c>
      <c r="F435" s="5">
        <f>IFERROR(__xludf.DUMMYFUNCTION("""COMPUTED_VALUE"""),2025.0)</f>
        <v>2025</v>
      </c>
      <c r="G435" s="5" t="str">
        <f>IFERROR(__xludf.DUMMYFUNCTION("""COMPUTED_VALUE"""),"ZZ4187N391JE1")</f>
        <v>ZZ4187N391JE1</v>
      </c>
      <c r="H435" s="5" t="str">
        <f>IFERROR(__xludf.DUMMYFUNCTION("""COMPUTED_VALUE"""),"299HP")</f>
        <v>299HP</v>
      </c>
      <c r="I435" s="5" t="str">
        <f>IFERROR(__xludf.DUMMYFUNCTION("""COMPUTED_VALUE"""),"LZZ1CCMD3SJ415207")</f>
        <v>LZZ1CCMD3SJ415207</v>
      </c>
      <c r="J435" s="5" t="str">
        <f>IFERROR(__xludf.DUMMYFUNCTION("""COMPUTED_VALUE"""),"WP7.300E51*1025G006833*")</f>
        <v>WP7.300E51*1025G006833*</v>
      </c>
      <c r="K435" s="5"/>
      <c r="L435" s="5" t="str">
        <f>IFERROR(__xludf.DUMMYFUNCTION("""COMPUTED_VALUE"""),"KLH")</f>
        <v>KLH</v>
      </c>
    </row>
    <row r="436">
      <c r="A436" s="168" t="str">
        <f>IFERROR(__xludf.DUMMYFUNCTION("""COMPUTED_VALUE"""),"XB1-XĐK-007")</f>
        <v>XB1-XĐK-007</v>
      </c>
      <c r="B436" s="3" t="str">
        <f>IFERROR(__xludf.DUMMYFUNCTION("""COMPUTED_VALUE"""),"Xe đầu kéo HOWO")</f>
        <v>Xe đầu kéo HOWO</v>
      </c>
      <c r="C436" s="5" t="str">
        <f>IFERROR(__xludf.DUMMYFUNCTION("""COMPUTED_VALUE"""),"XN Bò AD")</f>
        <v>XN Bò AD</v>
      </c>
      <c r="D436" s="5" t="str">
        <f>IFERROR(__xludf.DUMMYFUNCTION("""COMPUTED_VALUE"""),"CNHTC")</f>
        <v>CNHTC</v>
      </c>
      <c r="E436" s="5" t="str">
        <f>IFERROR(__xludf.DUMMYFUNCTION("""COMPUTED_VALUE"""),"Trung Quốc")</f>
        <v>Trung Quốc</v>
      </c>
      <c r="F436" s="5">
        <f>IFERROR(__xludf.DUMMYFUNCTION("""COMPUTED_VALUE"""),2025.0)</f>
        <v>2025</v>
      </c>
      <c r="G436" s="5" t="str">
        <f>IFERROR(__xludf.DUMMYFUNCTION("""COMPUTED_VALUE"""),"ZZ4187N391JE1")</f>
        <v>ZZ4187N391JE1</v>
      </c>
      <c r="H436" s="5" t="str">
        <f>IFERROR(__xludf.DUMMYFUNCTION("""COMPUTED_VALUE"""),"299HP")</f>
        <v>299HP</v>
      </c>
      <c r="I436" s="5" t="str">
        <f>IFERROR(__xludf.DUMMYFUNCTION("""COMPUTED_VALUE"""),"LZZ1CCMD3SJ415208")</f>
        <v>LZZ1CCMD3SJ415208</v>
      </c>
      <c r="J436" s="5" t="str">
        <f>IFERROR(__xludf.DUMMYFUNCTION("""COMPUTED_VALUE"""),"WP7.300E51*1025G006834*")</f>
        <v>WP7.300E51*1025G006834*</v>
      </c>
      <c r="K436" s="5"/>
      <c r="L436" s="5" t="str">
        <f>IFERROR(__xludf.DUMMYFUNCTION("""COMPUTED_VALUE"""),"KLH")</f>
        <v>KLH</v>
      </c>
    </row>
    <row r="437">
      <c r="A437" s="168" t="str">
        <f>IFERROR(__xludf.DUMMYFUNCTION("""COMPUTED_VALUE"""),"XB1-XĐK-008")</f>
        <v>XB1-XĐK-008</v>
      </c>
      <c r="B437" s="3" t="str">
        <f>IFERROR(__xludf.DUMMYFUNCTION("""COMPUTED_VALUE"""),"Xe đầu kéo HOWO")</f>
        <v>Xe đầu kéo HOWO</v>
      </c>
      <c r="C437" s="5" t="str">
        <f>IFERROR(__xludf.DUMMYFUNCTION("""COMPUTED_VALUE"""),"XN Bò AD")</f>
        <v>XN Bò AD</v>
      </c>
      <c r="D437" s="5" t="str">
        <f>IFERROR(__xludf.DUMMYFUNCTION("""COMPUTED_VALUE"""),"CNHTC")</f>
        <v>CNHTC</v>
      </c>
      <c r="E437" s="5" t="str">
        <f>IFERROR(__xludf.DUMMYFUNCTION("""COMPUTED_VALUE"""),"Trung Quốc")</f>
        <v>Trung Quốc</v>
      </c>
      <c r="F437" s="5">
        <f>IFERROR(__xludf.DUMMYFUNCTION("""COMPUTED_VALUE"""),2025.0)</f>
        <v>2025</v>
      </c>
      <c r="G437" s="5" t="str">
        <f>IFERROR(__xludf.DUMMYFUNCTION("""COMPUTED_VALUE"""),"ZZ4187N391JE1")</f>
        <v>ZZ4187N391JE1</v>
      </c>
      <c r="H437" s="5" t="str">
        <f>IFERROR(__xludf.DUMMYFUNCTION("""COMPUTED_VALUE"""),"299HP")</f>
        <v>299HP</v>
      </c>
      <c r="I437" s="5" t="str">
        <f>IFERROR(__xludf.DUMMYFUNCTION("""COMPUTED_VALUE"""),"LZZ1CCMD4SJ416138")</f>
        <v>LZZ1CCMD4SJ416138</v>
      </c>
      <c r="J437" s="5" t="str">
        <f>IFERROR(__xludf.DUMMYFUNCTION("""COMPUTED_VALUE"""),"WP7.300E51*1025G007295*")</f>
        <v>WP7.300E51*1025G007295*</v>
      </c>
      <c r="K437" s="5"/>
      <c r="L437" s="5" t="str">
        <f>IFERROR(__xludf.DUMMYFUNCTION("""COMPUTED_VALUE"""),"KLH")</f>
        <v>KLH</v>
      </c>
    </row>
    <row r="438">
      <c r="A438" s="168" t="str">
        <f>IFERROR(__xludf.DUMMYFUNCTION("""COMPUTED_VALUE"""),"XB1-XĐK-009")</f>
        <v>XB1-XĐK-009</v>
      </c>
      <c r="B438" s="3" t="str">
        <f>IFERROR(__xludf.DUMMYFUNCTION("""COMPUTED_VALUE"""),"Xe đầu kéo HOWO")</f>
        <v>Xe đầu kéo HOWO</v>
      </c>
      <c r="C438" s="5" t="str">
        <f>IFERROR(__xludf.DUMMYFUNCTION("""COMPUTED_VALUE"""),"XN Bò AD")</f>
        <v>XN Bò AD</v>
      </c>
      <c r="D438" s="5" t="str">
        <f>IFERROR(__xludf.DUMMYFUNCTION("""COMPUTED_VALUE"""),"CNHTC")</f>
        <v>CNHTC</v>
      </c>
      <c r="E438" s="5" t="str">
        <f>IFERROR(__xludf.DUMMYFUNCTION("""COMPUTED_VALUE"""),"Trung Quốc")</f>
        <v>Trung Quốc</v>
      </c>
      <c r="F438" s="5">
        <f>IFERROR(__xludf.DUMMYFUNCTION("""COMPUTED_VALUE"""),2025.0)</f>
        <v>2025</v>
      </c>
      <c r="G438" s="5" t="str">
        <f>IFERROR(__xludf.DUMMYFUNCTION("""COMPUTED_VALUE"""),"ZZ4187N391JE1")</f>
        <v>ZZ4187N391JE1</v>
      </c>
      <c r="H438" s="5" t="str">
        <f>IFERROR(__xludf.DUMMYFUNCTION("""COMPUTED_VALUE"""),"299HP")</f>
        <v>299HP</v>
      </c>
      <c r="I438" s="5" t="str">
        <f>IFERROR(__xludf.DUMMYFUNCTION("""COMPUTED_VALUE"""),"LZZ1CCMD5SJ416133")</f>
        <v>LZZ1CCMD5SJ416133</v>
      </c>
      <c r="J438" s="5" t="str">
        <f>IFERROR(__xludf.DUMMYFUNCTION("""COMPUTED_VALUE"""),"WP7.300E51*1025G007305*")</f>
        <v>WP7.300E51*1025G007305*</v>
      </c>
      <c r="K438" s="5"/>
      <c r="L438" s="5" t="str">
        <f>IFERROR(__xludf.DUMMYFUNCTION("""COMPUTED_VALUE"""),"KLH")</f>
        <v>KLH</v>
      </c>
    </row>
    <row r="439">
      <c r="A439" s="168" t="str">
        <f>IFERROR(__xludf.DUMMYFUNCTION("""COMPUTED_VALUE"""),"XB1-XĐK-010")</f>
        <v>XB1-XĐK-010</v>
      </c>
      <c r="B439" s="3" t="str">
        <f>IFERROR(__xludf.DUMMYFUNCTION("""COMPUTED_VALUE"""),"Xe đầu kéo HOWO")</f>
        <v>Xe đầu kéo HOWO</v>
      </c>
      <c r="C439" s="5" t="str">
        <f>IFERROR(__xludf.DUMMYFUNCTION("""COMPUTED_VALUE"""),"XN Bò AD")</f>
        <v>XN Bò AD</v>
      </c>
      <c r="D439" s="5" t="str">
        <f>IFERROR(__xludf.DUMMYFUNCTION("""COMPUTED_VALUE"""),"CNHTC")</f>
        <v>CNHTC</v>
      </c>
      <c r="E439" s="5" t="str">
        <f>IFERROR(__xludf.DUMMYFUNCTION("""COMPUTED_VALUE"""),"Trung Quốc")</f>
        <v>Trung Quốc</v>
      </c>
      <c r="F439" s="5">
        <f>IFERROR(__xludf.DUMMYFUNCTION("""COMPUTED_VALUE"""),2025.0)</f>
        <v>2025</v>
      </c>
      <c r="G439" s="5" t="str">
        <f>IFERROR(__xludf.DUMMYFUNCTION("""COMPUTED_VALUE"""),"ZZ4187N391JE1")</f>
        <v>ZZ4187N391JE1</v>
      </c>
      <c r="H439" s="5" t="str">
        <f>IFERROR(__xludf.DUMMYFUNCTION("""COMPUTED_VALUE"""),"299 HP")</f>
        <v>299 HP</v>
      </c>
      <c r="I439" s="5" t="str">
        <f>IFERROR(__xludf.DUMMYFUNCTION("""COMPUTED_VALUE"""),"LZZ1CCMD6SJ416125")</f>
        <v>LZZ1CCMD6SJ416125</v>
      </c>
      <c r="J439" s="5" t="str">
        <f>IFERROR(__xludf.DUMMYFUNCTION("""COMPUTED_VALUE"""),"WP7.300E51*1025G007298*")</f>
        <v>WP7.300E51*1025G007298*</v>
      </c>
      <c r="K439" s="5"/>
      <c r="L439" s="5" t="str">
        <f>IFERROR(__xludf.DUMMYFUNCTION("""COMPUTED_VALUE"""),"KLH")</f>
        <v>KLH</v>
      </c>
    </row>
    <row r="440">
      <c r="A440" s="168" t="str">
        <f>IFERROR(__xludf.DUMMYFUNCTION("""COMPUTED_VALUE"""),"XB1-XĐK-011")</f>
        <v>XB1-XĐK-011</v>
      </c>
      <c r="B440" s="3" t="str">
        <f>IFERROR(__xludf.DUMMYFUNCTION("""COMPUTED_VALUE"""),"Xe đầu kéo HOWO")</f>
        <v>Xe đầu kéo HOWO</v>
      </c>
      <c r="C440" s="5" t="str">
        <f>IFERROR(__xludf.DUMMYFUNCTION("""COMPUTED_VALUE"""),"XN Bò AD")</f>
        <v>XN Bò AD</v>
      </c>
      <c r="D440" s="5" t="str">
        <f>IFERROR(__xludf.DUMMYFUNCTION("""COMPUTED_VALUE"""),"CNHTC")</f>
        <v>CNHTC</v>
      </c>
      <c r="E440" s="5" t="str">
        <f>IFERROR(__xludf.DUMMYFUNCTION("""COMPUTED_VALUE"""),"Trung Quốc")</f>
        <v>Trung Quốc</v>
      </c>
      <c r="F440" s="5">
        <f>IFERROR(__xludf.DUMMYFUNCTION("""COMPUTED_VALUE"""),2025.0)</f>
        <v>2025</v>
      </c>
      <c r="G440" s="5" t="str">
        <f>IFERROR(__xludf.DUMMYFUNCTION("""COMPUTED_VALUE"""),"ZZ4187N391JE1")</f>
        <v>ZZ4187N391JE1</v>
      </c>
      <c r="H440" s="5" t="str">
        <f>IFERROR(__xludf.DUMMYFUNCTION("""COMPUTED_VALUE"""),"299 HP")</f>
        <v>299 HP</v>
      </c>
      <c r="I440" s="5" t="str">
        <f>IFERROR(__xludf.DUMMYFUNCTION("""COMPUTED_VALUE"""),"LZZ1CCMD9SJ416135")</f>
        <v>LZZ1CCMD9SJ416135</v>
      </c>
      <c r="J440" s="5" t="str">
        <f>IFERROR(__xludf.DUMMYFUNCTION("""COMPUTED_VALUE"""),"WP7.300E51*1025G007310*")</f>
        <v>WP7.300E51*1025G007310*</v>
      </c>
      <c r="K440" s="5"/>
      <c r="L440" s="5" t="str">
        <f>IFERROR(__xludf.DUMMYFUNCTION("""COMPUTED_VALUE"""),"KLH")</f>
        <v>KLH</v>
      </c>
    </row>
    <row r="441">
      <c r="A441" s="168" t="str">
        <f>IFERROR(__xludf.DUMMYFUNCTION("""COMPUTED_VALUE"""),"XB1-XĐK-012")</f>
        <v>XB1-XĐK-012</v>
      </c>
      <c r="B441" s="3" t="str">
        <f>IFERROR(__xludf.DUMMYFUNCTION("""COMPUTED_VALUE"""),"Xe đầu kéo HOWO")</f>
        <v>Xe đầu kéo HOWO</v>
      </c>
      <c r="C441" s="5" t="str">
        <f>IFERROR(__xludf.DUMMYFUNCTION("""COMPUTED_VALUE"""),"XN Bò AD")</f>
        <v>XN Bò AD</v>
      </c>
      <c r="D441" s="5" t="str">
        <f>IFERROR(__xludf.DUMMYFUNCTION("""COMPUTED_VALUE"""),"CNHTC")</f>
        <v>CNHTC</v>
      </c>
      <c r="E441" s="5" t="str">
        <f>IFERROR(__xludf.DUMMYFUNCTION("""COMPUTED_VALUE"""),"Trung Quốc")</f>
        <v>Trung Quốc</v>
      </c>
      <c r="F441" s="5">
        <f>IFERROR(__xludf.DUMMYFUNCTION("""COMPUTED_VALUE"""),2025.0)</f>
        <v>2025</v>
      </c>
      <c r="G441" s="5" t="str">
        <f>IFERROR(__xludf.DUMMYFUNCTION("""COMPUTED_VALUE"""),"ZZ4187N391JE1")</f>
        <v>ZZ4187N391JE1</v>
      </c>
      <c r="H441" s="5" t="str">
        <f>IFERROR(__xludf.DUMMYFUNCTION("""COMPUTED_VALUE"""),"299 HP")</f>
        <v>299 HP</v>
      </c>
      <c r="I441" s="5" t="str">
        <f>IFERROR(__xludf.DUMMYFUNCTION("""COMPUTED_VALUE"""),"LZZ1CCMD0SJ416136")</f>
        <v>LZZ1CCMD0SJ416136</v>
      </c>
      <c r="J441" s="5" t="str">
        <f>IFERROR(__xludf.DUMMYFUNCTION("""COMPUTED_VALUE"""),"WP7.300E51*1025G007303*")</f>
        <v>WP7.300E51*1025G007303*</v>
      </c>
      <c r="K441" s="5"/>
      <c r="L441" s="5" t="str">
        <f>IFERROR(__xludf.DUMMYFUNCTION("""COMPUTED_VALUE"""),"KLH")</f>
        <v>KLH</v>
      </c>
    </row>
    <row r="442">
      <c r="A442" s="168" t="str">
        <f>IFERROR(__xludf.DUMMYFUNCTION("""COMPUTED_VALUE"""),"XB1-XĐK-013")</f>
        <v>XB1-XĐK-013</v>
      </c>
      <c r="B442" s="3" t="str">
        <f>IFERROR(__xludf.DUMMYFUNCTION("""COMPUTED_VALUE"""),"Xe đầu kéo HOWO")</f>
        <v>Xe đầu kéo HOWO</v>
      </c>
      <c r="C442" s="5" t="str">
        <f>IFERROR(__xludf.DUMMYFUNCTION("""COMPUTED_VALUE"""),"XN Bò AD")</f>
        <v>XN Bò AD</v>
      </c>
      <c r="D442" s="5" t="str">
        <f>IFERROR(__xludf.DUMMYFUNCTION("""COMPUTED_VALUE"""),"CNHTC")</f>
        <v>CNHTC</v>
      </c>
      <c r="E442" s="5" t="str">
        <f>IFERROR(__xludf.DUMMYFUNCTION("""COMPUTED_VALUE"""),"Trung Quốc")</f>
        <v>Trung Quốc</v>
      </c>
      <c r="F442" s="5">
        <f>IFERROR(__xludf.DUMMYFUNCTION("""COMPUTED_VALUE"""),2025.0)</f>
        <v>2025</v>
      </c>
      <c r="G442" s="5" t="str">
        <f>IFERROR(__xludf.DUMMYFUNCTION("""COMPUTED_VALUE"""),"ZZ4187N391JE1")</f>
        <v>ZZ4187N391JE1</v>
      </c>
      <c r="H442" s="5" t="str">
        <f>IFERROR(__xludf.DUMMYFUNCTION("""COMPUTED_VALUE"""),"299 HP")</f>
        <v>299 HP</v>
      </c>
      <c r="I442" s="5" t="str">
        <f>IFERROR(__xludf.DUMMYFUNCTION("""COMPUTED_VALUE"""),"LZZ1CCMD6SJ416139")</f>
        <v>LZZ1CCMD6SJ416139</v>
      </c>
      <c r="J442" s="5" t="str">
        <f>IFERROR(__xludf.DUMMYFUNCTION("""COMPUTED_VALUE"""),"WP7.300E51*1025G007301*")</f>
        <v>WP7.300E51*1025G007301*</v>
      </c>
      <c r="K442" s="5"/>
      <c r="L442" s="5" t="str">
        <f>IFERROR(__xludf.DUMMYFUNCTION("""COMPUTED_VALUE"""),"KLH")</f>
        <v>KLH</v>
      </c>
    </row>
    <row r="443">
      <c r="A443" s="168" t="str">
        <f>IFERROR(__xludf.DUMMYFUNCTION("""COMPUTED_VALUE"""),"XB1-CLT-001")</f>
        <v>XB1-CLT-001</v>
      </c>
      <c r="B443" s="3" t="str">
        <f>IFERROR(__xludf.DUMMYFUNCTION("""COMPUTED_VALUE"""),"Xe clethon")</f>
        <v>Xe clethon</v>
      </c>
      <c r="C443" s="5" t="str">
        <f>IFERROR(__xludf.DUMMYFUNCTION("""COMPUTED_VALUE"""),"XN Bò AD")</f>
        <v>XN Bò AD</v>
      </c>
      <c r="D443" s="5" t="str">
        <f>IFERROR(__xludf.DUMMYFUNCTION("""COMPUTED_VALUE"""),"YANMAR")</f>
        <v>YANMAR</v>
      </c>
      <c r="E443" s="5" t="str">
        <f>IFERROR(__xludf.DUMMYFUNCTION("""COMPUTED_VALUE"""),"INDONESIA")</f>
        <v>INDONESIA</v>
      </c>
      <c r="F443" s="5">
        <f>IFERROR(__xludf.DUMMYFUNCTION("""COMPUTED_VALUE"""),2022.0)</f>
        <v>2022</v>
      </c>
      <c r="G443" s="5" t="str">
        <f>IFERROR(__xludf.DUMMYFUNCTION("""COMPUTED_VALUE"""),"TF150N")</f>
        <v>TF150N</v>
      </c>
      <c r="H443" s="5" t="str">
        <f>IFERROR(__xludf.DUMMYFUNCTION("""COMPUTED_VALUE"""),"15HP")</f>
        <v>15HP</v>
      </c>
      <c r="I443" s="5" t="str">
        <f>IFERROR(__xludf.DUMMYFUNCTION("""COMPUTED_VALUE"""),"203373")</f>
        <v>203373</v>
      </c>
      <c r="J443" s="5" t="str">
        <f>IFERROR(__xludf.DUMMYFUNCTION("""COMPUTED_VALUE"""),"B2116J")</f>
        <v>B2116J</v>
      </c>
      <c r="K443" s="5">
        <f>IFERROR(__xludf.DUMMYFUNCTION("""COMPUTED_VALUE"""),0.5)</f>
        <v>0.5</v>
      </c>
      <c r="L443" s="5" t="str">
        <f>IFERROR(__xludf.DUMMYFUNCTION("""COMPUTED_VALUE"""),"KLH")</f>
        <v>KLH</v>
      </c>
    </row>
    <row r="444">
      <c r="A444" s="168" t="str">
        <f>IFERROR(__xludf.DUMMYFUNCTION("""COMPUTED_VALUE"""),"XB1-CLT-002")</f>
        <v>XB1-CLT-002</v>
      </c>
      <c r="B444" s="3" t="str">
        <f>IFERROR(__xludf.DUMMYFUNCTION("""COMPUTED_VALUE"""),"Xe clethon")</f>
        <v>Xe clethon</v>
      </c>
      <c r="C444" s="5" t="str">
        <f>IFERROR(__xludf.DUMMYFUNCTION("""COMPUTED_VALUE"""),"XN Bò AD")</f>
        <v>XN Bò AD</v>
      </c>
      <c r="D444" s="5" t="str">
        <f>IFERROR(__xludf.DUMMYFUNCTION("""COMPUTED_VALUE"""),"YANMAR")</f>
        <v>YANMAR</v>
      </c>
      <c r="E444" s="5" t="str">
        <f>IFERROR(__xludf.DUMMYFUNCTION("""COMPUTED_VALUE"""),"INDONESIA")</f>
        <v>INDONESIA</v>
      </c>
      <c r="F444" s="5">
        <f>IFERROR(__xludf.DUMMYFUNCTION("""COMPUTED_VALUE"""),2022.0)</f>
        <v>2022</v>
      </c>
      <c r="G444" s="5" t="str">
        <f>IFERROR(__xludf.DUMMYFUNCTION("""COMPUTED_VALUE"""),"TF150N")</f>
        <v>TF150N</v>
      </c>
      <c r="H444" s="5" t="str">
        <f>IFERROR(__xludf.DUMMYFUNCTION("""COMPUTED_VALUE"""),"15HP")</f>
        <v>15HP</v>
      </c>
      <c r="I444" s="5" t="str">
        <f>IFERROR(__xludf.DUMMYFUNCTION("""COMPUTED_VALUE"""),"203356")</f>
        <v>203356</v>
      </c>
      <c r="J444" s="5" t="str">
        <f>IFERROR(__xludf.DUMMYFUNCTION("""COMPUTED_VALUE"""),"B1779J")</f>
        <v>B1779J</v>
      </c>
      <c r="K444" s="5">
        <f>IFERROR(__xludf.DUMMYFUNCTION("""COMPUTED_VALUE"""),0.5)</f>
        <v>0.5</v>
      </c>
      <c r="L444" s="5" t="str">
        <f>IFERROR(__xludf.DUMMYFUNCTION("""COMPUTED_VALUE"""),"KLH")</f>
        <v>KLH</v>
      </c>
    </row>
    <row r="445">
      <c r="A445" s="168" t="str">
        <f>IFERROR(__xludf.DUMMYFUNCTION("""COMPUTED_VALUE"""),"XB1-CLT-003")</f>
        <v>XB1-CLT-003</v>
      </c>
      <c r="B445" s="3" t="str">
        <f>IFERROR(__xludf.DUMMYFUNCTION("""COMPUTED_VALUE"""),"Xe clethon")</f>
        <v>Xe clethon</v>
      </c>
      <c r="C445" s="5" t="str">
        <f>IFERROR(__xludf.DUMMYFUNCTION("""COMPUTED_VALUE"""),"XN Bò AD")</f>
        <v>XN Bò AD</v>
      </c>
      <c r="D445" s="5" t="str">
        <f>IFERROR(__xludf.DUMMYFUNCTION("""COMPUTED_VALUE"""),"YANMAR")</f>
        <v>YANMAR</v>
      </c>
      <c r="E445" s="5" t="str">
        <f>IFERROR(__xludf.DUMMYFUNCTION("""COMPUTED_VALUE"""),"INDONESIA")</f>
        <v>INDONESIA</v>
      </c>
      <c r="F445" s="5">
        <f>IFERROR(__xludf.DUMMYFUNCTION("""COMPUTED_VALUE"""),2022.0)</f>
        <v>2022</v>
      </c>
      <c r="G445" s="5" t="str">
        <f>IFERROR(__xludf.DUMMYFUNCTION("""COMPUTED_VALUE"""),"TF150N")</f>
        <v>TF150N</v>
      </c>
      <c r="H445" s="5" t="str">
        <f>IFERROR(__xludf.DUMMYFUNCTION("""COMPUTED_VALUE"""),"15HP")</f>
        <v>15HP</v>
      </c>
      <c r="I445" s="5" t="str">
        <f>IFERROR(__xludf.DUMMYFUNCTION("""COMPUTED_VALUE"""),"202927")</f>
        <v>202927</v>
      </c>
      <c r="J445" s="5" t="str">
        <f>IFERROR(__xludf.DUMMYFUNCTION("""COMPUTED_VALUE"""),"C1205A")</f>
        <v>C1205A</v>
      </c>
      <c r="K445" s="5">
        <f>IFERROR(__xludf.DUMMYFUNCTION("""COMPUTED_VALUE"""),0.5)</f>
        <v>0.5</v>
      </c>
      <c r="L445" s="5" t="str">
        <f>IFERROR(__xludf.DUMMYFUNCTION("""COMPUTED_VALUE"""),"KLH")</f>
        <v>KLH</v>
      </c>
    </row>
    <row r="446">
      <c r="A446" s="168" t="str">
        <f>IFERROR(__xludf.DUMMYFUNCTION("""COMPUTED_VALUE"""),"XB1-CLT-004")</f>
        <v>XB1-CLT-004</v>
      </c>
      <c r="B446" s="3" t="str">
        <f>IFERROR(__xludf.DUMMYFUNCTION("""COMPUTED_VALUE"""),"Xe clethon")</f>
        <v>Xe clethon</v>
      </c>
      <c r="C446" s="5" t="str">
        <f>IFERROR(__xludf.DUMMYFUNCTION("""COMPUTED_VALUE"""),"XN Bò AD")</f>
        <v>XN Bò AD</v>
      </c>
      <c r="D446" s="5" t="str">
        <f>IFERROR(__xludf.DUMMYFUNCTION("""COMPUTED_VALUE"""),"YANMAR")</f>
        <v>YANMAR</v>
      </c>
      <c r="E446" s="5" t="str">
        <f>IFERROR(__xludf.DUMMYFUNCTION("""COMPUTED_VALUE"""),"INDONESIA")</f>
        <v>INDONESIA</v>
      </c>
      <c r="F446" s="5">
        <f>IFERROR(__xludf.DUMMYFUNCTION("""COMPUTED_VALUE"""),2022.0)</f>
        <v>2022</v>
      </c>
      <c r="G446" s="5" t="str">
        <f>IFERROR(__xludf.DUMMYFUNCTION("""COMPUTED_VALUE"""),"TF150N")</f>
        <v>TF150N</v>
      </c>
      <c r="H446" s="5" t="str">
        <f>IFERROR(__xludf.DUMMYFUNCTION("""COMPUTED_VALUE"""),"15HP")</f>
        <v>15HP</v>
      </c>
      <c r="I446" s="5" t="str">
        <f>IFERROR(__xludf.DUMMYFUNCTION("""COMPUTED_VALUE"""),"202929")</f>
        <v>202929</v>
      </c>
      <c r="J446" s="5" t="str">
        <f>IFERROR(__xludf.DUMMYFUNCTION("""COMPUTED_VALUE"""),"C1498A")</f>
        <v>C1498A</v>
      </c>
      <c r="K446" s="5">
        <f>IFERROR(__xludf.DUMMYFUNCTION("""COMPUTED_VALUE"""),0.5)</f>
        <v>0.5</v>
      </c>
      <c r="L446" s="5" t="str">
        <f>IFERROR(__xludf.DUMMYFUNCTION("""COMPUTED_VALUE"""),"KLH")</f>
        <v>KLH</v>
      </c>
    </row>
    <row r="447">
      <c r="A447" s="168" t="str">
        <f>IFERROR(__xludf.DUMMYFUNCTION("""COMPUTED_VALUE"""),"XB1-CLT-005")</f>
        <v>XB1-CLT-005</v>
      </c>
      <c r="B447" s="3" t="str">
        <f>IFERROR(__xludf.DUMMYFUNCTION("""COMPUTED_VALUE"""),"Xe clethon")</f>
        <v>Xe clethon</v>
      </c>
      <c r="C447" s="5" t="str">
        <f>IFERROR(__xludf.DUMMYFUNCTION("""COMPUTED_VALUE"""),"XN Bò AD")</f>
        <v>XN Bò AD</v>
      </c>
      <c r="D447" s="5" t="str">
        <f>IFERROR(__xludf.DUMMYFUNCTION("""COMPUTED_VALUE"""),"YANMAR")</f>
        <v>YANMAR</v>
      </c>
      <c r="E447" s="5" t="str">
        <f>IFERROR(__xludf.DUMMYFUNCTION("""COMPUTED_VALUE"""),"INDONESIA")</f>
        <v>INDONESIA</v>
      </c>
      <c r="F447" s="5">
        <f>IFERROR(__xludf.DUMMYFUNCTION("""COMPUTED_VALUE"""),2022.0)</f>
        <v>2022</v>
      </c>
      <c r="G447" s="5" t="str">
        <f>IFERROR(__xludf.DUMMYFUNCTION("""COMPUTED_VALUE"""),"TF150N")</f>
        <v>TF150N</v>
      </c>
      <c r="H447" s="5" t="str">
        <f>IFERROR(__xludf.DUMMYFUNCTION("""COMPUTED_VALUE"""),"15HP")</f>
        <v>15HP</v>
      </c>
      <c r="I447" s="5" t="str">
        <f>IFERROR(__xludf.DUMMYFUNCTION("""COMPUTED_VALUE"""),"203359")</f>
        <v>203359</v>
      </c>
      <c r="J447" s="5" t="str">
        <f>IFERROR(__xludf.DUMMYFUNCTION("""COMPUTED_VALUE"""),"C1503A")</f>
        <v>C1503A</v>
      </c>
      <c r="K447" s="5">
        <f>IFERROR(__xludf.DUMMYFUNCTION("""COMPUTED_VALUE"""),0.5)</f>
        <v>0.5</v>
      </c>
      <c r="L447" s="5" t="str">
        <f>IFERROR(__xludf.DUMMYFUNCTION("""COMPUTED_VALUE"""),"KLH")</f>
        <v>KLH</v>
      </c>
    </row>
    <row r="448">
      <c r="A448" s="168" t="str">
        <f>IFERROR(__xludf.DUMMYFUNCTION("""COMPUTED_VALUE"""),"XB1-TCD-001")</f>
        <v>XB1-TCD-001</v>
      </c>
      <c r="B448" s="3" t="str">
        <f>IFERROR(__xludf.DUMMYFUNCTION("""COMPUTED_VALUE"""),"Xe tải chuyên dụng (cabin đôi)")</f>
        <v>Xe tải chuyên dụng (cabin đôi)</v>
      </c>
      <c r="C448" s="5" t="str">
        <f>IFERROR(__xludf.DUMMYFUNCTION("""COMPUTED_VALUE"""),"XN Bò AD")</f>
        <v>XN Bò AD</v>
      </c>
      <c r="D448" s="5" t="str">
        <f>IFERROR(__xludf.DUMMYFUNCTION("""COMPUTED_VALUE"""),"THACO KIA")</f>
        <v>THACO KIA</v>
      </c>
      <c r="E448" s="5" t="str">
        <f>IFERROR(__xludf.DUMMYFUNCTION("""COMPUTED_VALUE"""),"VIỆT NAM")</f>
        <v>VIỆT NAM</v>
      </c>
      <c r="F448" s="5">
        <f>IFERROR(__xludf.DUMMYFUNCTION("""COMPUTED_VALUE"""),2021.0)</f>
        <v>2021</v>
      </c>
      <c r="G448" s="5" t="str">
        <f>IFERROR(__xludf.DUMMYFUNCTION("""COMPUTED_VALUE"""),"FRONTIER K200SD")</f>
        <v>FRONTIER K200SD</v>
      </c>
      <c r="H448" s="5" t="str">
        <f>IFERROR(__xludf.DUMMYFUNCTION("""COMPUTED_VALUE"""),"130HP")</f>
        <v>130HP</v>
      </c>
      <c r="I448" s="5" t="str">
        <f>IFERROR(__xludf.DUMMYFUNCTION("""COMPUTED_VALUE"""),"RNHF39KHBMT045635")</f>
        <v>RNHF39KHBMT045635</v>
      </c>
      <c r="J448" s="5" t="str">
        <f>IFERROR(__xludf.DUMMYFUNCTION("""COMPUTED_VALUE"""),"MD540092D4CB")</f>
        <v>MD540092D4CB</v>
      </c>
      <c r="K448" s="5"/>
      <c r="L448" s="5" t="str">
        <f>IFERROR(__xludf.DUMMYFUNCTION("""COMPUTED_VALUE"""),"KLH")</f>
        <v>KLH</v>
      </c>
    </row>
    <row r="449">
      <c r="A449" s="168" t="str">
        <f>IFERROR(__xludf.DUMMYFUNCTION("""COMPUTED_VALUE"""),"XB1-XLO-001")</f>
        <v>XB1-XLO-001</v>
      </c>
      <c r="B449" s="3" t="str">
        <f>IFERROR(__xludf.DUMMYFUNCTION("""COMPUTED_VALUE"""),"Xe lôi")</f>
        <v>Xe lôi</v>
      </c>
      <c r="C449" s="5" t="str">
        <f>IFERROR(__xludf.DUMMYFUNCTION("""COMPUTED_VALUE"""),"XN Bò AD")</f>
        <v>XN Bò AD</v>
      </c>
      <c r="D449" s="5" t="str">
        <f>IFERROR(__xludf.DUMMYFUNCTION("""COMPUTED_VALUE"""),"THAICO")</f>
        <v>THAICO</v>
      </c>
      <c r="E449" s="5" t="str">
        <f>IFERROR(__xludf.DUMMYFUNCTION("""COMPUTED_VALUE"""),"VIỆT NAM")</f>
        <v>VIỆT NAM</v>
      </c>
      <c r="F449" s="5">
        <f>IFERROR(__xludf.DUMMYFUNCTION("""COMPUTED_VALUE"""),2020.0)</f>
        <v>2020</v>
      </c>
      <c r="G449" s="5" t="str">
        <f>IFERROR(__xludf.DUMMYFUNCTION("""COMPUTED_VALUE"""),"TH150ZH")</f>
        <v>TH150ZH</v>
      </c>
      <c r="H449" s="5" t="str">
        <f>IFERROR(__xludf.DUMMYFUNCTION("""COMPUTED_VALUE"""),"15HP")</f>
        <v>15HP</v>
      </c>
      <c r="I449" s="5" t="str">
        <f>IFERROR(__xludf.DUMMYFUNCTION("""COMPUTED_VALUE"""),"TH162FMJ-C22060509")</f>
        <v>TH162FMJ-C22060509</v>
      </c>
      <c r="J449" s="5" t="str">
        <f>IFERROR(__xludf.DUMMYFUNCTION("""COMPUTED_VALUE"""),"CCN")</f>
        <v>CCN</v>
      </c>
      <c r="K449" s="5">
        <f>IFERROR(__xludf.DUMMYFUNCTION("""COMPUTED_VALUE"""),2.5)</f>
        <v>2.5</v>
      </c>
      <c r="L449" s="5" t="str">
        <f>IFERROR(__xludf.DUMMYFUNCTION("""COMPUTED_VALUE"""),"KLH")</f>
        <v>KLH</v>
      </c>
    </row>
    <row r="450">
      <c r="A450" s="168" t="str">
        <f>IFERROR(__xludf.DUMMYFUNCTION("""COMPUTED_VALUE"""),"XB1-XLO-002")</f>
        <v>XB1-XLO-002</v>
      </c>
      <c r="B450" s="3" t="str">
        <f>IFERROR(__xludf.DUMMYFUNCTION("""COMPUTED_VALUE"""),"Xe lôi")</f>
        <v>Xe lôi</v>
      </c>
      <c r="C450" s="5" t="str">
        <f>IFERROR(__xludf.DUMMYFUNCTION("""COMPUTED_VALUE"""),"XN Bò AD")</f>
        <v>XN Bò AD</v>
      </c>
      <c r="D450" s="5" t="str">
        <f>IFERROR(__xludf.DUMMYFUNCTION("""COMPUTED_VALUE"""),"THAICO")</f>
        <v>THAICO</v>
      </c>
      <c r="E450" s="5" t="str">
        <f>IFERROR(__xludf.DUMMYFUNCTION("""COMPUTED_VALUE"""),"VIỆT NAM")</f>
        <v>VIỆT NAM</v>
      </c>
      <c r="F450" s="5">
        <f>IFERROR(__xludf.DUMMYFUNCTION("""COMPUTED_VALUE"""),2020.0)</f>
        <v>2020</v>
      </c>
      <c r="G450" s="5" t="str">
        <f>IFERROR(__xludf.DUMMYFUNCTION("""COMPUTED_VALUE"""),"TH150ZH")</f>
        <v>TH150ZH</v>
      </c>
      <c r="H450" s="5" t="str">
        <f>IFERROR(__xludf.DUMMYFUNCTION("""COMPUTED_VALUE"""),"15HP")</f>
        <v>15HP</v>
      </c>
      <c r="I450" s="5" t="str">
        <f>IFERROR(__xludf.DUMMYFUNCTION("""COMPUTED_VALUE"""),"TH162FMJ-C23004029")</f>
        <v>TH162FMJ-C23004029</v>
      </c>
      <c r="J450" s="5" t="str">
        <f>IFERROR(__xludf.DUMMYFUNCTION("""COMPUTED_VALUE"""),"CCN")</f>
        <v>CCN</v>
      </c>
      <c r="K450" s="5">
        <f>IFERROR(__xludf.DUMMYFUNCTION("""COMPUTED_VALUE"""),2.5)</f>
        <v>2.5</v>
      </c>
      <c r="L450" s="5" t="str">
        <f>IFERROR(__xludf.DUMMYFUNCTION("""COMPUTED_VALUE"""),"KLH")</f>
        <v>KLH</v>
      </c>
    </row>
    <row r="451">
      <c r="A451" s="168" t="str">
        <f>IFERROR(__xludf.DUMMYFUNCTION("""COMPUTED_VALUE"""),"XB1-XPT-001")</f>
        <v>XB1-XPT-001</v>
      </c>
      <c r="B451" s="3" t="str">
        <f>IFERROR(__xludf.DUMMYFUNCTION("""COMPUTED_VALUE"""),"Xe phun thuốc chuyên dụng")</f>
        <v>Xe phun thuốc chuyên dụng</v>
      </c>
      <c r="C451" s="5" t="str">
        <f>IFERROR(__xludf.DUMMYFUNCTION("""COMPUTED_VALUE"""),"XN Bò AD")</f>
        <v>XN Bò AD</v>
      </c>
      <c r="D451" s="5" t="str">
        <f>IFERROR(__xludf.DUMMYFUNCTION("""COMPUTED_VALUE"""),"YANMAR")</f>
        <v>YANMAR</v>
      </c>
      <c r="E451" s="5" t="str">
        <f>IFERROR(__xludf.DUMMYFUNCTION("""COMPUTED_VALUE"""),"NHẬT BẢN")</f>
        <v>NHẬT BẢN</v>
      </c>
      <c r="F451" s="5"/>
      <c r="G451" s="5" t="str">
        <f>IFERROR(__xludf.DUMMYFUNCTION("""COMPUTED_VALUE"""),"3TNV88-DSA")</f>
        <v>3TNV88-DSA</v>
      </c>
      <c r="H451" s="5" t="str">
        <f>IFERROR(__xludf.DUMMYFUNCTION("""COMPUTED_VALUE"""),"36HP")</f>
        <v>36HP</v>
      </c>
      <c r="I451" s="5" t="str">
        <f>IFERROR(__xludf.DUMMYFUNCTION("""COMPUTED_VALUE"""),"CCN")</f>
        <v>CCN</v>
      </c>
      <c r="J451" s="5" t="str">
        <f>IFERROR(__xludf.DUMMYFUNCTION("""COMPUTED_VALUE"""),"J8134")</f>
        <v>J8134</v>
      </c>
      <c r="K451" s="5">
        <f>IFERROR(__xludf.DUMMYFUNCTION("""COMPUTED_VALUE"""),2.4)</f>
        <v>2.4</v>
      </c>
      <c r="L451" s="5" t="str">
        <f>IFERROR(__xludf.DUMMYFUNCTION("""COMPUTED_VALUE"""),"KLH")</f>
        <v>KLH</v>
      </c>
    </row>
    <row r="452">
      <c r="A452" s="168" t="str">
        <f>IFERROR(__xludf.DUMMYFUNCTION("""COMPUTED_VALUE"""),"XB1-RBX-001")</f>
        <v>XB1-RBX-001</v>
      </c>
      <c r="B452" s="3" t="str">
        <f>IFERROR(__xludf.DUMMYFUNCTION("""COMPUTED_VALUE"""),"Xe rùa bánh xích HỒNG HÀ")</f>
        <v>Xe rùa bánh xích HỒNG HÀ</v>
      </c>
      <c r="C452" s="5" t="str">
        <f>IFERROR(__xludf.DUMMYFUNCTION("""COMPUTED_VALUE"""),"XN Bò AD")</f>
        <v>XN Bò AD</v>
      </c>
      <c r="D452" s="5" t="str">
        <f>IFERROR(__xludf.DUMMYFUNCTION("""COMPUTED_VALUE"""),"HỒNG HÀ")</f>
        <v>HỒNG HÀ</v>
      </c>
      <c r="E452" s="5" t="str">
        <f>IFERROR(__xludf.DUMMYFUNCTION("""COMPUTED_VALUE"""),"VIỆT NAM")</f>
        <v>VIỆT NAM</v>
      </c>
      <c r="F452" s="5">
        <f>IFERROR(__xludf.DUMMYFUNCTION("""COMPUTED_VALUE"""),2024.0)</f>
        <v>2024</v>
      </c>
      <c r="G452" s="5" t="str">
        <f>IFERROR(__xludf.DUMMYFUNCTION("""COMPUTED_VALUE"""),"4L6819010")</f>
        <v>4L6819010</v>
      </c>
      <c r="H452" s="5" t="str">
        <f>IFERROR(__xludf.DUMMYFUNCTION("""COMPUTED_VALUE"""),"87HP")</f>
        <v>87HP</v>
      </c>
      <c r="I452" s="5" t="str">
        <f>IFERROR(__xludf.DUMMYFUNCTION("""COMPUTED_VALUE"""),"RYTJU32C2NA178540")</f>
        <v>RYTJU32C2NA178540</v>
      </c>
      <c r="J452" s="5" t="str">
        <f>IFERROR(__xludf.DUMMYFUNCTION("""COMPUTED_VALUE"""),"410203")</f>
        <v>410203</v>
      </c>
      <c r="K452" s="5"/>
      <c r="L452" s="5" t="str">
        <f>IFERROR(__xludf.DUMMYFUNCTION("""COMPUTED_VALUE"""),"KLH")</f>
        <v>KLH</v>
      </c>
    </row>
    <row r="453">
      <c r="A453" s="168" t="str">
        <f>IFERROR(__xludf.DUMMYFUNCTION("""COMPUTED_VALUE"""),"XB1-RBX-003")</f>
        <v>XB1-RBX-003</v>
      </c>
      <c r="B453" s="3" t="str">
        <f>IFERROR(__xludf.DUMMYFUNCTION("""COMPUTED_VALUE"""),"Xe rùa bánh xích HỒNG HÀ")</f>
        <v>Xe rùa bánh xích HỒNG HÀ</v>
      </c>
      <c r="C453" s="5" t="str">
        <f>IFERROR(__xludf.DUMMYFUNCTION("""COMPUTED_VALUE"""),"XN Bò AD")</f>
        <v>XN Bò AD</v>
      </c>
      <c r="D453" s="5" t="str">
        <f>IFERROR(__xludf.DUMMYFUNCTION("""COMPUTED_VALUE"""),"HỒNG HÀ")</f>
        <v>HỒNG HÀ</v>
      </c>
      <c r="E453" s="5" t="str">
        <f>IFERROR(__xludf.DUMMYFUNCTION("""COMPUTED_VALUE"""),"VIỆT NAM")</f>
        <v>VIỆT NAM</v>
      </c>
      <c r="F453" s="5">
        <f>IFERROR(__xludf.DUMMYFUNCTION("""COMPUTED_VALUE"""),2024.0)</f>
        <v>2024</v>
      </c>
      <c r="G453" s="5" t="str">
        <f>IFERROR(__xludf.DUMMYFUNCTION("""COMPUTED_VALUE"""),"4L6819010 (động cơ diesel)")</f>
        <v>4L6819010 (động cơ diesel)</v>
      </c>
      <c r="H453" s="5" t="str">
        <f>IFERROR(__xludf.DUMMYFUNCTION("""COMPUTED_VALUE"""),"67HP")</f>
        <v>67HP</v>
      </c>
      <c r="I453" s="5" t="str">
        <f>IFERROR(__xludf.DUMMYFUNCTION("""COMPUTED_VALUE"""),"Không có")</f>
        <v>Không có</v>
      </c>
      <c r="J453" s="5" t="str">
        <f>IFERROR(__xludf.DUMMYFUNCTION("""COMPUTED_VALUE"""),"C43101511A")</f>
        <v>C43101511A</v>
      </c>
      <c r="K453" s="5"/>
      <c r="L453" s="5" t="str">
        <f>IFERROR(__xludf.DUMMYFUNCTION("""COMPUTED_VALUE"""),"KLH")</f>
        <v>KLH</v>
      </c>
    </row>
    <row r="454">
      <c r="A454" s="168" t="str">
        <f>IFERROR(__xludf.DUMMYFUNCTION("""COMPUTED_VALUE"""),"XB1-XLU-001")</f>
        <v>XB1-XLU-001</v>
      </c>
      <c r="B454" s="3" t="str">
        <f>IFERROR(__xludf.DUMMYFUNCTION("""COMPUTED_VALUE"""),"Xe lu rung Sakai 3.5 tấn")</f>
        <v>Xe lu rung Sakai 3.5 tấn</v>
      </c>
      <c r="C454" s="5" t="str">
        <f>IFERROR(__xludf.DUMMYFUNCTION("""COMPUTED_VALUE"""),"XN Bò AD")</f>
        <v>XN Bò AD</v>
      </c>
      <c r="D454" s="5" t="str">
        <f>IFERROR(__xludf.DUMMYFUNCTION("""COMPUTED_VALUE"""),"SAKAI")</f>
        <v>SAKAI</v>
      </c>
      <c r="E454" s="5" t="str">
        <f>IFERROR(__xludf.DUMMYFUNCTION("""COMPUTED_VALUE"""),"Nhật Bản")</f>
        <v>Nhật Bản</v>
      </c>
      <c r="F454" s="5">
        <f>IFERROR(__xludf.DUMMYFUNCTION("""COMPUTED_VALUE"""),2004.0)</f>
        <v>2004</v>
      </c>
      <c r="G454" s="5" t="str">
        <f>IFERROR(__xludf.DUMMYFUNCTION("""COMPUTED_VALUE"""),"TW500W‑1")</f>
        <v>TW500W‑1</v>
      </c>
      <c r="H454" s="5" t="str">
        <f>IFERROR(__xludf.DUMMYFUNCTION("""COMPUTED_VALUE"""),"39HP")</f>
        <v>39HP</v>
      </c>
      <c r="I454" s="5" t="str">
        <f>IFERROR(__xludf.DUMMYFUNCTION("""COMPUTED_VALUE"""),"VTW1521664")</f>
        <v>VTW1521664</v>
      </c>
      <c r="J454" s="5" t="str">
        <f>IFERROR(__xludf.DUMMYFUNCTION("""COMPUTED_VALUE"""),"161031")</f>
        <v>161031</v>
      </c>
      <c r="K454" s="5">
        <f>IFERROR(__xludf.DUMMYFUNCTION("""COMPUTED_VALUE"""),2.5)</f>
        <v>2.5</v>
      </c>
      <c r="L454" s="5" t="str">
        <f>IFERROR(__xludf.DUMMYFUNCTION("""COMPUTED_VALUE"""),"KLH")</f>
        <v>KLH</v>
      </c>
    </row>
    <row r="455">
      <c r="A455" s="168" t="str">
        <f>IFERROR(__xludf.DUMMYFUNCTION("""COMPUTED_VALUE"""),"XB1-RBX-004")</f>
        <v>XB1-RBX-004</v>
      </c>
      <c r="B455" s="3" t="str">
        <f>IFERROR(__xludf.DUMMYFUNCTION("""COMPUTED_VALUE"""),"Xe rùa bánh xích MST2000")</f>
        <v>Xe rùa bánh xích MST2000</v>
      </c>
      <c r="C455" s="5" t="str">
        <f>IFERROR(__xludf.DUMMYFUNCTION("""COMPUTED_VALUE"""),"XN Bò AD")</f>
        <v>XN Bò AD</v>
      </c>
      <c r="D455" s="5" t="str">
        <f>IFERROR(__xludf.DUMMYFUNCTION("""COMPUTED_VALUE"""),"MOROOKA")</f>
        <v>MOROOKA</v>
      </c>
      <c r="E455" s="5"/>
      <c r="F455" s="5"/>
      <c r="G455" s="5" t="str">
        <f>IFERROR(__xludf.DUMMYFUNCTION("""COMPUTED_VALUE"""),"MST2000")</f>
        <v>MST2000</v>
      </c>
      <c r="H455" s="5" t="str">
        <f>IFERROR(__xludf.DUMMYFUNCTION("""COMPUTED_VALUE"""),"236HP")</f>
        <v>236HP</v>
      </c>
      <c r="I455" s="5" t="str">
        <f>IFERROR(__xludf.DUMMYFUNCTION("""COMPUTED_VALUE"""),"20265")</f>
        <v>20265</v>
      </c>
      <c r="J455" s="5" t="str">
        <f>IFERROR(__xludf.DUMMYFUNCTION("""COMPUTED_VALUE"""),"6D110160178")</f>
        <v>6D110160178</v>
      </c>
      <c r="K455" s="5"/>
      <c r="L455" s="5" t="str">
        <f>IFERROR(__xludf.DUMMYFUNCTION("""COMPUTED_VALUE"""),"KLH")</f>
        <v>KLH</v>
      </c>
    </row>
    <row r="456">
      <c r="A456" s="168" t="str">
        <f>IFERROR(__xludf.DUMMYFUNCTION("""COMPUTED_VALUE"""),"XB1-RBX-005")</f>
        <v>XB1-RBX-005</v>
      </c>
      <c r="B456" s="3" t="str">
        <f>IFERROR(__xludf.DUMMYFUNCTION("""COMPUTED_VALUE"""),"Xe rùa bánh xích MST700E")</f>
        <v>Xe rùa bánh xích MST700E</v>
      </c>
      <c r="C456" s="5" t="str">
        <f>IFERROR(__xludf.DUMMYFUNCTION("""COMPUTED_VALUE"""),"XN Bò AD")</f>
        <v>XN Bò AD</v>
      </c>
      <c r="D456" s="5" t="str">
        <f>IFERROR(__xludf.DUMMYFUNCTION("""COMPUTED_VALUE"""),"MOROOKA")</f>
        <v>MOROOKA</v>
      </c>
      <c r="E456" s="5"/>
      <c r="F456" s="5">
        <f>IFERROR(__xludf.DUMMYFUNCTION("""COMPUTED_VALUE"""),1988.0)</f>
        <v>1988</v>
      </c>
      <c r="G456" s="5" t="str">
        <f>IFERROR(__xludf.DUMMYFUNCTION("""COMPUTED_VALUE"""),"MST700E")</f>
        <v>MST700E</v>
      </c>
      <c r="H456" s="5" t="str">
        <f>IFERROR(__xludf.DUMMYFUNCTION("""COMPUTED_VALUE"""),"90HP")</f>
        <v>90HP</v>
      </c>
      <c r="I456" s="5" t="str">
        <f>IFERROR(__xludf.DUMMYFUNCTION("""COMPUTED_VALUE"""),"701114")</f>
        <v>701114</v>
      </c>
      <c r="J456" s="5" t="str">
        <f>IFERROR(__xludf.DUMMYFUNCTION("""COMPUTED_VALUE"""),"4D95L177865")</f>
        <v>4D95L177865</v>
      </c>
      <c r="K456" s="5">
        <f>IFERROR(__xludf.DUMMYFUNCTION("""COMPUTED_VALUE"""),8.0)</f>
        <v>8</v>
      </c>
      <c r="L456" s="5" t="str">
        <f>IFERROR(__xludf.DUMMYFUNCTION("""COMPUTED_VALUE"""),"KLH")</f>
        <v>KLH</v>
      </c>
    </row>
    <row r="457">
      <c r="A457" s="168" t="str">
        <f>IFERROR(__xludf.DUMMYFUNCTION("""COMPUTED_VALUE"""),"XB1-CRZ-001")</f>
        <v>XB1-CRZ-001</v>
      </c>
      <c r="B457" s="3" t="str">
        <f>IFERROR(__xludf.DUMMYFUNCTION("""COMPUTED_VALUE"""),"Máy thu hoạch cỏ Ruzi")</f>
        <v>Máy thu hoạch cỏ Ruzi</v>
      </c>
      <c r="C457" s="5" t="str">
        <f>IFERROR(__xludf.DUMMYFUNCTION("""COMPUTED_VALUE"""),"XN Bò AD")</f>
        <v>XN Bò AD</v>
      </c>
      <c r="D457" s="5" t="str">
        <f>IFERROR(__xludf.DUMMYFUNCTION("""COMPUTED_VALUE"""),"HONDA")</f>
        <v>HONDA</v>
      </c>
      <c r="E457" s="5" t="str">
        <f>IFERROR(__xludf.DUMMYFUNCTION("""COMPUTED_VALUE"""),"THÁI LAN")</f>
        <v>THÁI LAN</v>
      </c>
      <c r="F457" s="5">
        <f>IFERROR(__xludf.DUMMYFUNCTION("""COMPUTED_VALUE"""),2025.0)</f>
        <v>2025</v>
      </c>
      <c r="G457" s="5" t="str">
        <f>IFERROR(__xludf.DUMMYFUNCTION("""COMPUTED_VALUE"""),"GX35T")</f>
        <v>GX35T</v>
      </c>
      <c r="H457" s="5" t="str">
        <f>IFERROR(__xludf.DUMMYFUNCTION("""COMPUTED_VALUE"""),"1.34HP")</f>
        <v>1.34HP</v>
      </c>
      <c r="I457" s="5" t="str">
        <f>IFERROR(__xludf.DUMMYFUNCTION("""COMPUTED_VALUE"""),"CCN")</f>
        <v>CCN</v>
      </c>
      <c r="J457" s="5" t="str">
        <f>IFERROR(__xludf.DUMMYFUNCTION("""COMPUTED_VALUE"""),"CCN")</f>
        <v>CCN</v>
      </c>
      <c r="K457" s="5"/>
      <c r="L457" s="5" t="str">
        <f>IFERROR(__xludf.DUMMYFUNCTION("""COMPUTED_VALUE"""),"KLH")</f>
        <v>KLH</v>
      </c>
    </row>
    <row r="458">
      <c r="A458" s="168" t="str">
        <f>IFERROR(__xludf.DUMMYFUNCTION("""COMPUTED_VALUE"""),"XB1-CRZ-002")</f>
        <v>XB1-CRZ-002</v>
      </c>
      <c r="B458" s="3" t="str">
        <f>IFERROR(__xludf.DUMMYFUNCTION("""COMPUTED_VALUE"""),"Máy thu hoạch cỏ Ruzi")</f>
        <v>Máy thu hoạch cỏ Ruzi</v>
      </c>
      <c r="C458" s="5" t="str">
        <f>IFERROR(__xludf.DUMMYFUNCTION("""COMPUTED_VALUE"""),"XN Bò AD")</f>
        <v>XN Bò AD</v>
      </c>
      <c r="D458" s="5" t="str">
        <f>IFERROR(__xludf.DUMMYFUNCTION("""COMPUTED_VALUE"""),"HONDA")</f>
        <v>HONDA</v>
      </c>
      <c r="E458" s="5" t="str">
        <f>IFERROR(__xludf.DUMMYFUNCTION("""COMPUTED_VALUE"""),"THÁI LAN")</f>
        <v>THÁI LAN</v>
      </c>
      <c r="F458" s="5">
        <f>IFERROR(__xludf.DUMMYFUNCTION("""COMPUTED_VALUE"""),2025.0)</f>
        <v>2025</v>
      </c>
      <c r="G458" s="5" t="str">
        <f>IFERROR(__xludf.DUMMYFUNCTION("""COMPUTED_VALUE"""),"GX35T")</f>
        <v>GX35T</v>
      </c>
      <c r="H458" s="5" t="str">
        <f>IFERROR(__xludf.DUMMYFUNCTION("""COMPUTED_VALUE"""),"1.34HP")</f>
        <v>1.34HP</v>
      </c>
      <c r="I458" s="5" t="str">
        <f>IFERROR(__xludf.DUMMYFUNCTION("""COMPUTED_VALUE"""),"CCN")</f>
        <v>CCN</v>
      </c>
      <c r="J458" s="5" t="str">
        <f>IFERROR(__xludf.DUMMYFUNCTION("""COMPUTED_VALUE"""),"CCN")</f>
        <v>CCN</v>
      </c>
      <c r="K458" s="5"/>
      <c r="L458" s="5" t="str">
        <f>IFERROR(__xludf.DUMMYFUNCTION("""COMPUTED_VALUE"""),"KLH")</f>
        <v>KLH</v>
      </c>
    </row>
    <row r="459">
      <c r="A459" s="168" t="str">
        <f>IFERROR(__xludf.DUMMYFUNCTION("""COMPUTED_VALUE"""),"XB1-CRZ-003")</f>
        <v>XB1-CRZ-003</v>
      </c>
      <c r="B459" s="3" t="str">
        <f>IFERROR(__xludf.DUMMYFUNCTION("""COMPUTED_VALUE"""),"Máy thu hoạch cỏ Ruzi")</f>
        <v>Máy thu hoạch cỏ Ruzi</v>
      </c>
      <c r="C459" s="5" t="str">
        <f>IFERROR(__xludf.DUMMYFUNCTION("""COMPUTED_VALUE"""),"XN Bò AD")</f>
        <v>XN Bò AD</v>
      </c>
      <c r="D459" s="5" t="str">
        <f>IFERROR(__xludf.DUMMYFUNCTION("""COMPUTED_VALUE"""),"HONDA")</f>
        <v>HONDA</v>
      </c>
      <c r="E459" s="5" t="str">
        <f>IFERROR(__xludf.DUMMYFUNCTION("""COMPUTED_VALUE"""),"THÁI LAN")</f>
        <v>THÁI LAN</v>
      </c>
      <c r="F459" s="5">
        <f>IFERROR(__xludf.DUMMYFUNCTION("""COMPUTED_VALUE"""),2025.0)</f>
        <v>2025</v>
      </c>
      <c r="G459" s="5" t="str">
        <f>IFERROR(__xludf.DUMMYFUNCTION("""COMPUTED_VALUE"""),"GX35T")</f>
        <v>GX35T</v>
      </c>
      <c r="H459" s="5" t="str">
        <f>IFERROR(__xludf.DUMMYFUNCTION("""COMPUTED_VALUE"""),"1.34HP")</f>
        <v>1.34HP</v>
      </c>
      <c r="I459" s="5" t="str">
        <f>IFERROR(__xludf.DUMMYFUNCTION("""COMPUTED_VALUE"""),"CCN")</f>
        <v>CCN</v>
      </c>
      <c r="J459" s="5" t="str">
        <f>IFERROR(__xludf.DUMMYFUNCTION("""COMPUTED_VALUE"""),"CCN")</f>
        <v>CCN</v>
      </c>
      <c r="K459" s="5"/>
      <c r="L459" s="5" t="str">
        <f>IFERROR(__xludf.DUMMYFUNCTION("""COMPUTED_VALUE"""),"KLH")</f>
        <v>KLH</v>
      </c>
    </row>
    <row r="460">
      <c r="A460" s="168" t="str">
        <f>IFERROR(__xludf.DUMMYFUNCTION("""COMPUTED_VALUE"""),"XB1-CRZ-004")</f>
        <v>XB1-CRZ-004</v>
      </c>
      <c r="B460" s="3" t="str">
        <f>IFERROR(__xludf.DUMMYFUNCTION("""COMPUTED_VALUE"""),"Máy thu hoạch cỏ Ruzi")</f>
        <v>Máy thu hoạch cỏ Ruzi</v>
      </c>
      <c r="C460" s="5" t="str">
        <f>IFERROR(__xludf.DUMMYFUNCTION("""COMPUTED_VALUE"""),"XN Bò AD")</f>
        <v>XN Bò AD</v>
      </c>
      <c r="D460" s="5" t="str">
        <f>IFERROR(__xludf.DUMMYFUNCTION("""COMPUTED_VALUE"""),"HONDA")</f>
        <v>HONDA</v>
      </c>
      <c r="E460" s="5" t="str">
        <f>IFERROR(__xludf.DUMMYFUNCTION("""COMPUTED_VALUE"""),"THÁI LAN")</f>
        <v>THÁI LAN</v>
      </c>
      <c r="F460" s="5">
        <f>IFERROR(__xludf.DUMMYFUNCTION("""COMPUTED_VALUE"""),2025.0)</f>
        <v>2025</v>
      </c>
      <c r="G460" s="5" t="str">
        <f>IFERROR(__xludf.DUMMYFUNCTION("""COMPUTED_VALUE"""),"GX35T")</f>
        <v>GX35T</v>
      </c>
      <c r="H460" s="5" t="str">
        <f>IFERROR(__xludf.DUMMYFUNCTION("""COMPUTED_VALUE"""),"1.34HP")</f>
        <v>1.34HP</v>
      </c>
      <c r="I460" s="5" t="str">
        <f>IFERROR(__xludf.DUMMYFUNCTION("""COMPUTED_VALUE"""),"CCN")</f>
        <v>CCN</v>
      </c>
      <c r="J460" s="5" t="str">
        <f>IFERROR(__xludf.DUMMYFUNCTION("""COMPUTED_VALUE"""),"CCN")</f>
        <v>CCN</v>
      </c>
      <c r="K460" s="5"/>
      <c r="L460" s="5" t="str">
        <f>IFERROR(__xludf.DUMMYFUNCTION("""COMPUTED_VALUE"""),"KLH")</f>
        <v>KLH</v>
      </c>
    </row>
    <row r="461">
      <c r="A461" s="168" t="str">
        <f>IFERROR(__xludf.DUMMYFUNCTION("""COMPUTED_VALUE"""),"XB1-CRZ-005")</f>
        <v>XB1-CRZ-005</v>
      </c>
      <c r="B461" s="3" t="str">
        <f>IFERROR(__xludf.DUMMYFUNCTION("""COMPUTED_VALUE"""),"Máy thu hoạch cỏ Ruzi")</f>
        <v>Máy thu hoạch cỏ Ruzi</v>
      </c>
      <c r="C461" s="5" t="str">
        <f>IFERROR(__xludf.DUMMYFUNCTION("""COMPUTED_VALUE"""),"XN Bò AD")</f>
        <v>XN Bò AD</v>
      </c>
      <c r="D461" s="5" t="str">
        <f>IFERROR(__xludf.DUMMYFUNCTION("""COMPUTED_VALUE"""),"HONDA")</f>
        <v>HONDA</v>
      </c>
      <c r="E461" s="5" t="str">
        <f>IFERROR(__xludf.DUMMYFUNCTION("""COMPUTED_VALUE"""),"THÁI LAN")</f>
        <v>THÁI LAN</v>
      </c>
      <c r="F461" s="5">
        <f>IFERROR(__xludf.DUMMYFUNCTION("""COMPUTED_VALUE"""),2025.0)</f>
        <v>2025</v>
      </c>
      <c r="G461" s="5" t="str">
        <f>IFERROR(__xludf.DUMMYFUNCTION("""COMPUTED_VALUE"""),"GX35T")</f>
        <v>GX35T</v>
      </c>
      <c r="H461" s="5" t="str">
        <f>IFERROR(__xludf.DUMMYFUNCTION("""COMPUTED_VALUE"""),"1.34HP")</f>
        <v>1.34HP</v>
      </c>
      <c r="I461" s="5" t="str">
        <f>IFERROR(__xludf.DUMMYFUNCTION("""COMPUTED_VALUE"""),"CCN")</f>
        <v>CCN</v>
      </c>
      <c r="J461" s="5" t="str">
        <f>IFERROR(__xludf.DUMMYFUNCTION("""COMPUTED_VALUE"""),"CCN")</f>
        <v>CCN</v>
      </c>
      <c r="K461" s="5"/>
      <c r="L461" s="5" t="str">
        <f>IFERROR(__xludf.DUMMYFUNCTION("""COMPUTED_VALUE"""),"KLH")</f>
        <v>KLH</v>
      </c>
    </row>
    <row r="462">
      <c r="A462" s="168" t="str">
        <f>IFERROR(__xludf.DUMMYFUNCTION("""COMPUTED_VALUE"""),"XB1-XBX-001")</f>
        <v>XB1-XBX-001</v>
      </c>
      <c r="B462" s="3" t="str">
        <f>IFERROR(__xludf.DUMMYFUNCTION("""COMPUTED_VALUE"""),"Xe bánh xích gom phân chuồng ")</f>
        <v>Xe bánh xích gom phân chuồng </v>
      </c>
      <c r="C462" s="5" t="str">
        <f>IFERROR(__xludf.DUMMYFUNCTION("""COMPUTED_VALUE"""),"XN Bò AD")</f>
        <v>XN Bò AD</v>
      </c>
      <c r="D462" s="5" t="str">
        <f>IFERROR(__xludf.DUMMYFUNCTION("""COMPUTED_VALUE"""),"MNIGKO")</f>
        <v>MNIGKO</v>
      </c>
      <c r="E462" s="5" t="str">
        <f>IFERROR(__xludf.DUMMYFUNCTION("""COMPUTED_VALUE"""),"Trung Quốc")</f>
        <v>Trung Quốc</v>
      </c>
      <c r="F462" s="5">
        <f>IFERROR(__xludf.DUMMYFUNCTION("""COMPUTED_VALUE"""),2025.0)</f>
        <v>2025</v>
      </c>
      <c r="G462" s="5" t="str">
        <f>IFERROR(__xludf.DUMMYFUNCTION("""COMPUTED_VALUE"""),"MINGKO")</f>
        <v>MINGKO</v>
      </c>
      <c r="H462" s="5" t="str">
        <f>IFERROR(__xludf.DUMMYFUNCTION("""COMPUTED_VALUE"""),"38.3HP")</f>
        <v>38.3HP</v>
      </c>
      <c r="I462" s="5" t="str">
        <f>IFERROR(__xludf.DUMMYFUNCTION("""COMPUTED_VALUE"""),"CCN")</f>
        <v>CCN</v>
      </c>
      <c r="J462" s="5" t="str">
        <f>IFERROR(__xludf.DUMMYFUNCTION("""COMPUTED_VALUE"""),"31101A")</f>
        <v>31101A</v>
      </c>
      <c r="K462" s="5"/>
      <c r="L462" s="5" t="str">
        <f>IFERROR(__xludf.DUMMYFUNCTION("""COMPUTED_VALUE"""),"KLH")</f>
        <v>KLH</v>
      </c>
    </row>
    <row r="463">
      <c r="A463" s="168" t="str">
        <f>IFERROR(__xludf.DUMMYFUNCTION("""COMPUTED_VALUE"""),"CVC-XTA-001")</f>
        <v>CVC-XTA-001</v>
      </c>
      <c r="B463" s="3" t="str">
        <f>IFERROR(__xludf.DUMMYFUNCTION("""COMPUTED_VALUE"""),"Xe tải thùng Auman C160")</f>
        <v>Xe tải thùng Auman C160</v>
      </c>
      <c r="C463" s="5" t="str">
        <f>IFERROR(__xludf.DUMMYFUNCTION("""COMPUTED_VALUE"""),"Phòng GNVC")</f>
        <v>Phòng GNVC</v>
      </c>
      <c r="D463" s="5" t="str">
        <f>IFERROR(__xludf.DUMMYFUNCTION("""COMPUTED_VALUE"""),"THACO AUMAN")</f>
        <v>THACO AUMAN</v>
      </c>
      <c r="E463" s="5" t="str">
        <f>IFERROR(__xludf.DUMMYFUNCTION("""COMPUTED_VALUE"""),"VIỆT NAM")</f>
        <v>VIỆT NAM</v>
      </c>
      <c r="F463" s="5">
        <f>IFERROR(__xludf.DUMMYFUNCTION("""COMPUTED_VALUE"""),2012.0)</f>
        <v>2012</v>
      </c>
      <c r="G463" s="5" t="str">
        <f>IFERROR(__xludf.DUMMYFUNCTION("""COMPUTED_VALUE"""),"C160")</f>
        <v>C160</v>
      </c>
      <c r="H463" s="5" t="str">
        <f>IFERROR(__xludf.DUMMYFUNCTION("""COMPUTED_VALUE"""),"96HP")</f>
        <v>96HP</v>
      </c>
      <c r="I463" s="5" t="str">
        <f>IFERROR(__xludf.DUMMYFUNCTION("""COMPUTED_VALUE"""),"6005")</f>
        <v>6005</v>
      </c>
      <c r="J463" s="5" t="str">
        <f>IFERROR(__xludf.DUMMYFUNCTION("""COMPUTED_VALUE"""),"495027")</f>
        <v>495027</v>
      </c>
      <c r="K463" s="5">
        <f>IFERROR(__xludf.DUMMYFUNCTION("""COMPUTED_VALUE"""),0.3)</f>
        <v>0.3</v>
      </c>
      <c r="L463" s="5" t="str">
        <f>IFERROR(__xludf.DUMMYFUNCTION("""COMPUTED_VALUE"""),"KLH")</f>
        <v>KLH</v>
      </c>
    </row>
    <row r="464">
      <c r="A464" s="168" t="str">
        <f>IFERROR(__xludf.DUMMYFUNCTION("""COMPUTED_VALUE"""),"CVC-XTA-002")</f>
        <v>CVC-XTA-002</v>
      </c>
      <c r="B464" s="3" t="str">
        <f>IFERROR(__xludf.DUMMYFUNCTION("""COMPUTED_VALUE"""),"Xe tải thùng Auman C160")</f>
        <v>Xe tải thùng Auman C160</v>
      </c>
      <c r="C464" s="5" t="str">
        <f>IFERROR(__xludf.DUMMYFUNCTION("""COMPUTED_VALUE"""),"Phòng GNVC")</f>
        <v>Phòng GNVC</v>
      </c>
      <c r="D464" s="5" t="str">
        <f>IFERROR(__xludf.DUMMYFUNCTION("""COMPUTED_VALUE"""),"THACO AUMAN")</f>
        <v>THACO AUMAN</v>
      </c>
      <c r="E464" s="5" t="str">
        <f>IFERROR(__xludf.DUMMYFUNCTION("""COMPUTED_VALUE"""),"VIỆT NAM")</f>
        <v>VIỆT NAM</v>
      </c>
      <c r="F464" s="5">
        <f>IFERROR(__xludf.DUMMYFUNCTION("""COMPUTED_VALUE"""),2012.0)</f>
        <v>2012</v>
      </c>
      <c r="G464" s="5" t="str">
        <f>IFERROR(__xludf.DUMMYFUNCTION("""COMPUTED_VALUE"""),"C160")</f>
        <v>C160</v>
      </c>
      <c r="H464" s="5" t="str">
        <f>IFERROR(__xludf.DUMMYFUNCTION("""COMPUTED_VALUE"""),"96HP")</f>
        <v>96HP</v>
      </c>
      <c r="I464" s="5" t="str">
        <f>IFERROR(__xludf.DUMMYFUNCTION("""COMPUTED_VALUE"""),"C006006")</f>
        <v>C006006</v>
      </c>
      <c r="J464" s="5" t="str">
        <f>IFERROR(__xludf.DUMMYFUNCTION("""COMPUTED_VALUE"""),"CCN")</f>
        <v>CCN</v>
      </c>
      <c r="K464" s="5">
        <f>IFERROR(__xludf.DUMMYFUNCTION("""COMPUTED_VALUE"""),0.3)</f>
        <v>0.3</v>
      </c>
      <c r="L464" s="5" t="str">
        <f>IFERROR(__xludf.DUMMYFUNCTION("""COMPUTED_VALUE"""),"KLH")</f>
        <v>KLH</v>
      </c>
    </row>
    <row r="465">
      <c r="A465" s="168" t="str">
        <f>IFERROR(__xludf.DUMMYFUNCTION("""COMPUTED_VALUE"""),"CVC-XTA-003")</f>
        <v>CVC-XTA-003</v>
      </c>
      <c r="B465" s="3" t="str">
        <f>IFERROR(__xludf.DUMMYFUNCTION("""COMPUTED_VALUE"""),"Xe tải thùng Auman C160")</f>
        <v>Xe tải thùng Auman C160</v>
      </c>
      <c r="C465" s="5" t="str">
        <f>IFERROR(__xludf.DUMMYFUNCTION("""COMPUTED_VALUE"""),"Phòng GNVC")</f>
        <v>Phòng GNVC</v>
      </c>
      <c r="D465" s="5" t="str">
        <f>IFERROR(__xludf.DUMMYFUNCTION("""COMPUTED_VALUE"""),"THACO AUMAN")</f>
        <v>THACO AUMAN</v>
      </c>
      <c r="E465" s="5" t="str">
        <f>IFERROR(__xludf.DUMMYFUNCTION("""COMPUTED_VALUE"""),"VIỆT NAM")</f>
        <v>VIỆT NAM</v>
      </c>
      <c r="F465" s="5">
        <f>IFERROR(__xludf.DUMMYFUNCTION("""COMPUTED_VALUE"""),2012.0)</f>
        <v>2012</v>
      </c>
      <c r="G465" s="5" t="str">
        <f>IFERROR(__xludf.DUMMYFUNCTION("""COMPUTED_VALUE"""),"C160")</f>
        <v>C160</v>
      </c>
      <c r="H465" s="5" t="str">
        <f>IFERROR(__xludf.DUMMYFUNCTION("""COMPUTED_VALUE"""),"96HP")</f>
        <v>96HP</v>
      </c>
      <c r="I465" s="5" t="str">
        <f>IFERROR(__xludf.DUMMYFUNCTION("""COMPUTED_VALUE"""),"C006003")</f>
        <v>C006003</v>
      </c>
      <c r="J465" s="5" t="str">
        <f>IFERROR(__xludf.DUMMYFUNCTION("""COMPUTED_VALUE"""),"CCN")</f>
        <v>CCN</v>
      </c>
      <c r="K465" s="5">
        <f>IFERROR(__xludf.DUMMYFUNCTION("""COMPUTED_VALUE"""),0.3)</f>
        <v>0.3</v>
      </c>
      <c r="L465" s="5" t="str">
        <f>IFERROR(__xludf.DUMMYFUNCTION("""COMPUTED_VALUE"""),"KLH")</f>
        <v>KLH</v>
      </c>
    </row>
    <row r="466">
      <c r="A466" s="168" t="str">
        <f>IFERROR(__xludf.DUMMYFUNCTION("""COMPUTED_VALUE"""),"CVC-XTA-005")</f>
        <v>CVC-XTA-005</v>
      </c>
      <c r="B466" s="3" t="str">
        <f>IFERROR(__xludf.DUMMYFUNCTION("""COMPUTED_VALUE"""),"Xe tải thùng FD140")</f>
        <v>Xe tải thùng FD140</v>
      </c>
      <c r="C466" s="5" t="str">
        <f>IFERROR(__xludf.DUMMYFUNCTION("""COMPUTED_VALUE"""),"Phòng GNVC")</f>
        <v>Phòng GNVC</v>
      </c>
      <c r="D466" s="5" t="str">
        <f>IFERROR(__xludf.DUMMYFUNCTION("""COMPUTED_VALUE"""),"THACO FORLAND")</f>
        <v>THACO FORLAND</v>
      </c>
      <c r="E466" s="5" t="str">
        <f>IFERROR(__xludf.DUMMYFUNCTION("""COMPUTED_VALUE"""),"VIỆT NAM")</f>
        <v>VIỆT NAM</v>
      </c>
      <c r="F466" s="5">
        <f>IFERROR(__xludf.DUMMYFUNCTION("""COMPUTED_VALUE"""),2021.0)</f>
        <v>2021</v>
      </c>
      <c r="G466" s="5" t="str">
        <f>IFERROR(__xludf.DUMMYFUNCTION("""COMPUTED_VALUE"""),"FD140")</f>
        <v>FD140</v>
      </c>
      <c r="H466" s="5" t="str">
        <f>IFERROR(__xludf.DUMMYFUNCTION("""COMPUTED_VALUE"""),"140HP")</f>
        <v>140HP</v>
      </c>
      <c r="I466" s="5" t="str">
        <f>IFERROR(__xludf.DUMMYFUNCTION("""COMPUTED_VALUE"""),"RNHF14FYAMT052028")</f>
        <v>RNHF14FYAMT052028</v>
      </c>
      <c r="J466" s="5" t="str">
        <f>IFERROR(__xludf.DUMMYFUNCTION("""COMPUTED_VALUE"""),"YC4D140-48D59M1M00594")</f>
        <v>YC4D140-48D59M1M00594</v>
      </c>
      <c r="K466" s="5">
        <f>IFERROR(__xludf.DUMMYFUNCTION("""COMPUTED_VALUE"""),0.3)</f>
        <v>0.3</v>
      </c>
      <c r="L466" s="5" t="str">
        <f>IFERROR(__xludf.DUMMYFUNCTION("""COMPUTED_VALUE"""),"KLH")</f>
        <v>KLH</v>
      </c>
    </row>
    <row r="467">
      <c r="A467" s="168" t="str">
        <f>IFERROR(__xludf.DUMMYFUNCTION("""COMPUTED_VALUE"""),"CVC-XTA-006")</f>
        <v>CVC-XTA-006</v>
      </c>
      <c r="B467" s="3" t="str">
        <f>IFERROR(__xludf.DUMMYFUNCTION("""COMPUTED_VALUE"""),"Xe tải thùng FD140")</f>
        <v>Xe tải thùng FD140</v>
      </c>
      <c r="C467" s="5" t="str">
        <f>IFERROR(__xludf.DUMMYFUNCTION("""COMPUTED_VALUE"""),"Phòng GNVC")</f>
        <v>Phòng GNVC</v>
      </c>
      <c r="D467" s="5" t="str">
        <f>IFERROR(__xludf.DUMMYFUNCTION("""COMPUTED_VALUE"""),"THACO FORLAND")</f>
        <v>THACO FORLAND</v>
      </c>
      <c r="E467" s="5" t="str">
        <f>IFERROR(__xludf.DUMMYFUNCTION("""COMPUTED_VALUE"""),"VIỆT NAM")</f>
        <v>VIỆT NAM</v>
      </c>
      <c r="F467" s="5">
        <f>IFERROR(__xludf.DUMMYFUNCTION("""COMPUTED_VALUE"""),2021.0)</f>
        <v>2021</v>
      </c>
      <c r="G467" s="5" t="str">
        <f>IFERROR(__xludf.DUMMYFUNCTION("""COMPUTED_VALUE"""),"FD140")</f>
        <v>FD140</v>
      </c>
      <c r="H467" s="5" t="str">
        <f>IFERROR(__xludf.DUMMYFUNCTION("""COMPUTED_VALUE"""),"140HP")</f>
        <v>140HP</v>
      </c>
      <c r="I467" s="5" t="str">
        <f>IFERROR(__xludf.DUMMYFUNCTION("""COMPUTED_VALUE"""),"RNHF14FYAMT052029")</f>
        <v>RNHF14FYAMT052029</v>
      </c>
      <c r="J467" s="5" t="str">
        <f>IFERROR(__xludf.DUMMYFUNCTION("""COMPUTED_VALUE"""),"YC4D140-48D59M1M00563")</f>
        <v>YC4D140-48D59M1M00563</v>
      </c>
      <c r="K467" s="5">
        <f>IFERROR(__xludf.DUMMYFUNCTION("""COMPUTED_VALUE"""),0.3)</f>
        <v>0.3</v>
      </c>
      <c r="L467" s="5" t="str">
        <f>IFERROR(__xludf.DUMMYFUNCTION("""COMPUTED_VALUE"""),"KLH")</f>
        <v>KLH</v>
      </c>
    </row>
    <row r="468">
      <c r="A468" s="168" t="str">
        <f>IFERROR(__xludf.DUMMYFUNCTION("""COMPUTED_VALUE"""),"CVC-XTA-007")</f>
        <v>CVC-XTA-007</v>
      </c>
      <c r="B468" s="3" t="str">
        <f>IFERROR(__xludf.DUMMYFUNCTION("""COMPUTED_VALUE"""),"Xe tải thùng FD140")</f>
        <v>Xe tải thùng FD140</v>
      </c>
      <c r="C468" s="5" t="str">
        <f>IFERROR(__xludf.DUMMYFUNCTION("""COMPUTED_VALUE"""),"Phòng GNVC")</f>
        <v>Phòng GNVC</v>
      </c>
      <c r="D468" s="5" t="str">
        <f>IFERROR(__xludf.DUMMYFUNCTION("""COMPUTED_VALUE"""),"THACO FORLAND")</f>
        <v>THACO FORLAND</v>
      </c>
      <c r="E468" s="5" t="str">
        <f>IFERROR(__xludf.DUMMYFUNCTION("""COMPUTED_VALUE"""),"VIỆT NAM")</f>
        <v>VIỆT NAM</v>
      </c>
      <c r="F468" s="5">
        <f>IFERROR(__xludf.DUMMYFUNCTION("""COMPUTED_VALUE"""),2021.0)</f>
        <v>2021</v>
      </c>
      <c r="G468" s="5" t="str">
        <f>IFERROR(__xludf.DUMMYFUNCTION("""COMPUTED_VALUE"""),"FD140")</f>
        <v>FD140</v>
      </c>
      <c r="H468" s="5" t="str">
        <f>IFERROR(__xludf.DUMMYFUNCTION("""COMPUTED_VALUE"""),"140HP")</f>
        <v>140HP</v>
      </c>
      <c r="I468" s="5" t="str">
        <f>IFERROR(__xludf.DUMMYFUNCTION("""COMPUTED_VALUE"""),"RNHF14FYAMT052030")</f>
        <v>RNHF14FYAMT052030</v>
      </c>
      <c r="J468" s="5" t="str">
        <f>IFERROR(__xludf.DUMMYFUNCTION("""COMPUTED_VALUE"""),"YC4D140-48D59M1M00527")</f>
        <v>YC4D140-48D59M1M00527</v>
      </c>
      <c r="K468" s="5">
        <f>IFERROR(__xludf.DUMMYFUNCTION("""COMPUTED_VALUE"""),0.3)</f>
        <v>0.3</v>
      </c>
      <c r="L468" s="5" t="str">
        <f>IFERROR(__xludf.DUMMYFUNCTION("""COMPUTED_VALUE"""),"KLH")</f>
        <v>KLH</v>
      </c>
    </row>
    <row r="469">
      <c r="A469" s="168" t="str">
        <f>IFERROR(__xludf.DUMMYFUNCTION("""COMPUTED_VALUE"""),"CVC-XTA-009")</f>
        <v>CVC-XTA-009</v>
      </c>
      <c r="B469" s="3" t="str">
        <f>IFERROR(__xludf.DUMMYFUNCTION("""COMPUTED_VALUE"""),"Xe tải thùng FD140")</f>
        <v>Xe tải thùng FD140</v>
      </c>
      <c r="C469" s="5" t="str">
        <f>IFERROR(__xludf.DUMMYFUNCTION("""COMPUTED_VALUE"""),"Phòng GNVC")</f>
        <v>Phòng GNVC</v>
      </c>
      <c r="D469" s="5" t="str">
        <f>IFERROR(__xludf.DUMMYFUNCTION("""COMPUTED_VALUE"""),"THACO FORLAND")</f>
        <v>THACO FORLAND</v>
      </c>
      <c r="E469" s="5" t="str">
        <f>IFERROR(__xludf.DUMMYFUNCTION("""COMPUTED_VALUE"""),"VIỆT NAM")</f>
        <v>VIỆT NAM</v>
      </c>
      <c r="F469" s="5">
        <f>IFERROR(__xludf.DUMMYFUNCTION("""COMPUTED_VALUE"""),2021.0)</f>
        <v>2021</v>
      </c>
      <c r="G469" s="5" t="str">
        <f>IFERROR(__xludf.DUMMYFUNCTION("""COMPUTED_VALUE"""),"FD140")</f>
        <v>FD140</v>
      </c>
      <c r="H469" s="5" t="str">
        <f>IFERROR(__xludf.DUMMYFUNCTION("""COMPUTED_VALUE"""),"140HP")</f>
        <v>140HP</v>
      </c>
      <c r="I469" s="5" t="str">
        <f>IFERROR(__xludf.DUMMYFUNCTION("""COMPUTED_VALUE"""),"49595")</f>
        <v>49595</v>
      </c>
      <c r="J469" s="5" t="str">
        <f>IFERROR(__xludf.DUMMYFUNCTION("""COMPUTED_VALUE"""),"CCN")</f>
        <v>CCN</v>
      </c>
      <c r="K469" s="5">
        <f>IFERROR(__xludf.DUMMYFUNCTION("""COMPUTED_VALUE"""),0.3)</f>
        <v>0.3</v>
      </c>
      <c r="L469" s="5" t="str">
        <f>IFERROR(__xludf.DUMMYFUNCTION("""COMPUTED_VALUE"""),"KLH")</f>
        <v>KLH</v>
      </c>
    </row>
    <row r="470">
      <c r="A470" s="168" t="str">
        <f>IFERROR(__xludf.DUMMYFUNCTION("""COMPUTED_VALUE"""),"CVC-XTA-010")</f>
        <v>CVC-XTA-010</v>
      </c>
      <c r="B470" s="3" t="str">
        <f>IFERROR(__xludf.DUMMYFUNCTION("""COMPUTED_VALUE"""),"Xe tải ben Howo 371")</f>
        <v>Xe tải ben Howo 371</v>
      </c>
      <c r="C470" s="5" t="str">
        <f>IFERROR(__xludf.DUMMYFUNCTION("""COMPUTED_VALUE"""),"Phòng GNVC")</f>
        <v>Phòng GNVC</v>
      </c>
      <c r="D470" s="5" t="str">
        <f>IFERROR(__xludf.DUMMYFUNCTION("""COMPUTED_VALUE"""),"HOWO")</f>
        <v>HOWO</v>
      </c>
      <c r="E470" s="5"/>
      <c r="F470" s="5"/>
      <c r="G470" s="5" t="str">
        <f>IFERROR(__xludf.DUMMYFUNCTION("""COMPUTED_VALUE"""),"HOWO 371")</f>
        <v>HOWO 371</v>
      </c>
      <c r="H470" s="5" t="str">
        <f>IFERROR(__xludf.DUMMYFUNCTION("""COMPUTED_VALUE"""),"300HP")</f>
        <v>300HP</v>
      </c>
      <c r="I470" s="5" t="str">
        <f>IFERROR(__xludf.DUMMYFUNCTION("""COMPUTED_VALUE"""),"63965")</f>
        <v>63965</v>
      </c>
      <c r="J470" s="5" t="str">
        <f>IFERROR(__xludf.DUMMYFUNCTION("""COMPUTED_VALUE"""),"CCN")</f>
        <v>CCN</v>
      </c>
      <c r="K470" s="5">
        <f>IFERROR(__xludf.DUMMYFUNCTION("""COMPUTED_VALUE"""),0.36)</f>
        <v>0.36</v>
      </c>
      <c r="L470" s="5" t="str">
        <f>IFERROR(__xludf.DUMMYFUNCTION("""COMPUTED_VALUE"""),"KLH")</f>
        <v>KLH</v>
      </c>
    </row>
    <row r="471">
      <c r="A471" s="168" t="str">
        <f>IFERROR(__xludf.DUMMYFUNCTION("""COMPUTED_VALUE"""),"CVC-XTA-011")</f>
        <v>CVC-XTA-011</v>
      </c>
      <c r="B471" s="3" t="str">
        <f>IFERROR(__xludf.DUMMYFUNCTION("""COMPUTED_VALUE"""),"Xe tải ben Howo 371")</f>
        <v>Xe tải ben Howo 371</v>
      </c>
      <c r="C471" s="5" t="str">
        <f>IFERROR(__xludf.DUMMYFUNCTION("""COMPUTED_VALUE"""),"Phòng GNVC")</f>
        <v>Phòng GNVC</v>
      </c>
      <c r="D471" s="5" t="str">
        <f>IFERROR(__xludf.DUMMYFUNCTION("""COMPUTED_VALUE"""),"HOWO")</f>
        <v>HOWO</v>
      </c>
      <c r="E471" s="5"/>
      <c r="F471" s="5"/>
      <c r="G471" s="5" t="str">
        <f>IFERROR(__xludf.DUMMYFUNCTION("""COMPUTED_VALUE"""),"HOWO 371")</f>
        <v>HOWO 371</v>
      </c>
      <c r="H471" s="5" t="str">
        <f>IFERROR(__xludf.DUMMYFUNCTION("""COMPUTED_VALUE"""),"300HP")</f>
        <v>300HP</v>
      </c>
      <c r="I471" s="5" t="str">
        <f>IFERROR(__xludf.DUMMYFUNCTION("""COMPUTED_VALUE"""),"933513")</f>
        <v>933513</v>
      </c>
      <c r="J471" s="5" t="str">
        <f>IFERROR(__xludf.DUMMYFUNCTION("""COMPUTED_VALUE"""),"CCN")</f>
        <v>CCN</v>
      </c>
      <c r="K471" s="5">
        <f>IFERROR(__xludf.DUMMYFUNCTION("""COMPUTED_VALUE"""),0.36)</f>
        <v>0.36</v>
      </c>
      <c r="L471" s="5" t="str">
        <f>IFERROR(__xludf.DUMMYFUNCTION("""COMPUTED_VALUE"""),"KLH")</f>
        <v>KLH</v>
      </c>
    </row>
    <row r="472">
      <c r="A472" s="168" t="str">
        <f>IFERROR(__xludf.DUMMYFUNCTION("""COMPUTED_VALUE"""),"CVC-XTA-014")</f>
        <v>CVC-XTA-014</v>
      </c>
      <c r="B472" s="3" t="str">
        <f>IFERROR(__xludf.DUMMYFUNCTION("""COMPUTED_VALUE"""),"Xe tải AUMAN GTL D300 E4 (Cấp dầu)")</f>
        <v>Xe tải AUMAN GTL D300 E4 (Cấp dầu)</v>
      </c>
      <c r="C472" s="5" t="str">
        <f>IFERROR(__xludf.DUMMYFUNCTION("""COMPUTED_VALUE"""),"Phòng GNVC")</f>
        <v>Phòng GNVC</v>
      </c>
      <c r="D472" s="5" t="str">
        <f>IFERROR(__xludf.DUMMYFUNCTION("""COMPUTED_VALUE"""),"THACO AUMAN")</f>
        <v>THACO AUMAN</v>
      </c>
      <c r="E472" s="5" t="str">
        <f>IFERROR(__xludf.DUMMYFUNCTION("""COMPUTED_VALUE"""),"VIỆT NAM")</f>
        <v>VIỆT NAM</v>
      </c>
      <c r="F472" s="5">
        <f>IFERROR(__xludf.DUMMYFUNCTION("""COMPUTED_VALUE"""),2018.0)</f>
        <v>2018</v>
      </c>
      <c r="G472" s="5" t="str">
        <f>IFERROR(__xludf.DUMMYFUNCTION("""COMPUTED_VALUE"""),"GTL D300E4")</f>
        <v>GTL D300E4</v>
      </c>
      <c r="H472" s="5"/>
      <c r="I472" s="5" t="str">
        <f>IFERROR(__xludf.DUMMYFUNCTION("""COMPUTED_VALUE"""),"RNHD30FWAJC07892")</f>
        <v>RNHD30FWAJC07892</v>
      </c>
      <c r="J472" s="5" t="str">
        <f>IFERROR(__xludf.DUMMYFUNCTION("""COMPUTED_VALUE"""),"CCN")</f>
        <v>CCN</v>
      </c>
      <c r="K472" s="5">
        <f>IFERROR(__xludf.DUMMYFUNCTION("""COMPUTED_VALUE"""),0.7)</f>
        <v>0.7</v>
      </c>
      <c r="L472" s="5" t="str">
        <f>IFERROR(__xludf.DUMMYFUNCTION("""COMPUTED_VALUE"""),"KLH")</f>
        <v>KLH</v>
      </c>
    </row>
    <row r="473">
      <c r="A473" s="168" t="str">
        <f>IFERROR(__xludf.DUMMYFUNCTION("""COMPUTED_VALUE"""),"CVC-XTA-015")</f>
        <v>CVC-XTA-015</v>
      </c>
      <c r="B473" s="3" t="str">
        <f>IFERROR(__xludf.DUMMYFUNCTION("""COMPUTED_VALUE"""),"Xe tải AUMAN GTL D300 E4 (Cấp dầu)")</f>
        <v>Xe tải AUMAN GTL D300 E4 (Cấp dầu)</v>
      </c>
      <c r="C473" s="5" t="str">
        <f>IFERROR(__xludf.DUMMYFUNCTION("""COMPUTED_VALUE"""),"Phòng GNVC")</f>
        <v>Phòng GNVC</v>
      </c>
      <c r="D473" s="5" t="str">
        <f>IFERROR(__xludf.DUMMYFUNCTION("""COMPUTED_VALUE"""),"THACO AUMAN")</f>
        <v>THACO AUMAN</v>
      </c>
      <c r="E473" s="5" t="str">
        <f>IFERROR(__xludf.DUMMYFUNCTION("""COMPUTED_VALUE"""),"VIỆT NAM")</f>
        <v>VIỆT NAM</v>
      </c>
      <c r="F473" s="5">
        <f>IFERROR(__xludf.DUMMYFUNCTION("""COMPUTED_VALUE"""),2018.0)</f>
        <v>2018</v>
      </c>
      <c r="G473" s="5" t="str">
        <f>IFERROR(__xludf.DUMMYFUNCTION("""COMPUTED_VALUE"""),"GTL D300E4")</f>
        <v>GTL D300E4</v>
      </c>
      <c r="H473" s="5" t="str">
        <f>IFERROR(__xludf.DUMMYFUNCTION("""COMPUTED_VALUE"""),"375HP")</f>
        <v>375HP</v>
      </c>
      <c r="I473" s="5" t="str">
        <f>IFERROR(__xludf.DUMMYFUNCTION("""COMPUTED_VALUE"""),"RNHD30FWAJC078093")</f>
        <v>RNHD30FWAJC078093</v>
      </c>
      <c r="J473" s="5" t="str">
        <f>IFERROR(__xludf.DUMMYFUNCTION("""COMPUTED_VALUE"""),"WP10375E431618A009911")</f>
        <v>WP10375E431618A009911</v>
      </c>
      <c r="K473" s="5">
        <f>IFERROR(__xludf.DUMMYFUNCTION("""COMPUTED_VALUE"""),0.7)</f>
        <v>0.7</v>
      </c>
      <c r="L473" s="5" t="str">
        <f>IFERROR(__xludf.DUMMYFUNCTION("""COMPUTED_VALUE"""),"KLH")</f>
        <v>KLH</v>
      </c>
    </row>
    <row r="474">
      <c r="A474" s="168" t="str">
        <f>IFERROR(__xludf.DUMMYFUNCTION("""COMPUTED_VALUE"""),"CVC-XTA-016")</f>
        <v>CVC-XTA-016</v>
      </c>
      <c r="B474" s="3" t="str">
        <f>IFERROR(__xludf.DUMMYFUNCTION("""COMPUTED_VALUE"""),"Xe tải FD850 (Cấp dầu)")</f>
        <v>Xe tải FD850 (Cấp dầu)</v>
      </c>
      <c r="C474" s="5" t="str">
        <f>IFERROR(__xludf.DUMMYFUNCTION("""COMPUTED_VALUE"""),"Phòng GNVC")</f>
        <v>Phòng GNVC</v>
      </c>
      <c r="D474" s="5" t="str">
        <f>IFERROR(__xludf.DUMMYFUNCTION("""COMPUTED_VALUE"""),"THACO FORLAND")</f>
        <v>THACO FORLAND</v>
      </c>
      <c r="E474" s="5" t="str">
        <f>IFERROR(__xludf.DUMMYFUNCTION("""COMPUTED_VALUE"""),"VIỆT NAM")</f>
        <v>VIỆT NAM</v>
      </c>
      <c r="F474" s="5">
        <f>IFERROR(__xludf.DUMMYFUNCTION("""COMPUTED_VALUE"""),2020.0)</f>
        <v>2020</v>
      </c>
      <c r="G474" s="5" t="str">
        <f>IFERROR(__xludf.DUMMYFUNCTION("""COMPUTED_VALUE"""),"FD850")</f>
        <v>FD850</v>
      </c>
      <c r="H474" s="5" t="str">
        <f>IFERROR(__xludf.DUMMYFUNCTION("""COMPUTED_VALUE"""),"140HP")</f>
        <v>140HP</v>
      </c>
      <c r="I474" s="5" t="str">
        <f>IFERROR(__xludf.DUMMYFUNCTION("""COMPUTED_VALUE"""),"RNHF14FYALC012920")</f>
        <v>RNHF14FYALC012920</v>
      </c>
      <c r="J474" s="5" t="str">
        <f>IFERROR(__xludf.DUMMYFUNCTION("""COMPUTED_VALUE"""),"CCN")</f>
        <v>CCN</v>
      </c>
      <c r="K474" s="5">
        <f>IFERROR(__xludf.DUMMYFUNCTION("""COMPUTED_VALUE"""),0.36)</f>
        <v>0.36</v>
      </c>
      <c r="L474" s="5" t="str">
        <f>IFERROR(__xludf.DUMMYFUNCTION("""COMPUTED_VALUE"""),"KLH")</f>
        <v>KLH</v>
      </c>
    </row>
    <row r="475">
      <c r="A475" s="168" t="str">
        <f>IFERROR(__xludf.DUMMYFUNCTION("""COMPUTED_VALUE"""),"CVC-XTA-017")</f>
        <v>CVC-XTA-017</v>
      </c>
      <c r="B475" s="3" t="str">
        <f>IFERROR(__xludf.DUMMYFUNCTION("""COMPUTED_VALUE"""),"Xe tải AUMAN GTL D300 E4 (Cấp dầu)")</f>
        <v>Xe tải AUMAN GTL D300 E4 (Cấp dầu)</v>
      </c>
      <c r="C475" s="5" t="str">
        <f>IFERROR(__xludf.DUMMYFUNCTION("""COMPUTED_VALUE"""),"Phòng GNVC")</f>
        <v>Phòng GNVC</v>
      </c>
      <c r="D475" s="5" t="str">
        <f>IFERROR(__xludf.DUMMYFUNCTION("""COMPUTED_VALUE"""),"THACO AUMAN")</f>
        <v>THACO AUMAN</v>
      </c>
      <c r="E475" s="5" t="str">
        <f>IFERROR(__xludf.DUMMYFUNCTION("""COMPUTED_VALUE"""),"VIỆT NAM")</f>
        <v>VIỆT NAM</v>
      </c>
      <c r="F475" s="5">
        <f>IFERROR(__xludf.DUMMYFUNCTION("""COMPUTED_VALUE"""),2018.0)</f>
        <v>2018</v>
      </c>
      <c r="G475" s="5" t="str">
        <f>IFERROR(__xludf.DUMMYFUNCTION("""COMPUTED_VALUE"""),"GTL D300E4")</f>
        <v>GTL D300E4</v>
      </c>
      <c r="H475" s="5" t="str">
        <f>IFERROR(__xludf.DUMMYFUNCTION("""COMPUTED_VALUE"""),"375HP")</f>
        <v>375HP</v>
      </c>
      <c r="I475" s="5" t="str">
        <f>IFERROR(__xludf.DUMMYFUNCTION("""COMPUTED_VALUE"""),"RNHD30FWAJC078086")</f>
        <v>RNHD30FWAJC078086</v>
      </c>
      <c r="J475" s="5" t="str">
        <f>IFERROR(__xludf.DUMMYFUNCTION("""COMPUTED_VALUE"""),"CCN")</f>
        <v>CCN</v>
      </c>
      <c r="K475" s="5">
        <f>IFERROR(__xludf.DUMMYFUNCTION("""COMPUTED_VALUE"""),0.7)</f>
        <v>0.7</v>
      </c>
      <c r="L475" s="5" t="str">
        <f>IFERROR(__xludf.DUMMYFUNCTION("""COMPUTED_VALUE"""),"KLH")</f>
        <v>KLH</v>
      </c>
    </row>
    <row r="476">
      <c r="A476" s="168" t="str">
        <f>IFERROR(__xludf.DUMMYFUNCTION("""COMPUTED_VALUE"""),"CVC-XTA-018")</f>
        <v>CVC-XTA-018</v>
      </c>
      <c r="B476" s="3" t="str">
        <f>IFERROR(__xludf.DUMMYFUNCTION("""COMPUTED_VALUE"""),"Xe tải AUMAN GTL D300 E4 (Cấp dầu)")</f>
        <v>Xe tải AUMAN GTL D300 E4 (Cấp dầu)</v>
      </c>
      <c r="C476" s="5" t="str">
        <f>IFERROR(__xludf.DUMMYFUNCTION("""COMPUTED_VALUE"""),"Phòng GNVC")</f>
        <v>Phòng GNVC</v>
      </c>
      <c r="D476" s="5" t="str">
        <f>IFERROR(__xludf.DUMMYFUNCTION("""COMPUTED_VALUE"""),"THACO AUMAN")</f>
        <v>THACO AUMAN</v>
      </c>
      <c r="E476" s="5" t="str">
        <f>IFERROR(__xludf.DUMMYFUNCTION("""COMPUTED_VALUE"""),"VIỆT NAM")</f>
        <v>VIỆT NAM</v>
      </c>
      <c r="F476" s="5">
        <f>IFERROR(__xludf.DUMMYFUNCTION("""COMPUTED_VALUE"""),2018.0)</f>
        <v>2018</v>
      </c>
      <c r="G476" s="5" t="str">
        <f>IFERROR(__xludf.DUMMYFUNCTION("""COMPUTED_VALUE"""),"GTL D300E4")</f>
        <v>GTL D300E4</v>
      </c>
      <c r="H476" s="5" t="str">
        <f>IFERROR(__xludf.DUMMYFUNCTION("""COMPUTED_VALUE"""),"375HP")</f>
        <v>375HP</v>
      </c>
      <c r="I476" s="5" t="str">
        <f>IFERROR(__xludf.DUMMYFUNCTION("""COMPUTED_VALUE"""),"RNHD30FWAJCO078101")</f>
        <v>RNHD30FWAJCO078101</v>
      </c>
      <c r="J476" s="5" t="str">
        <f>IFERROR(__xludf.DUMMYFUNCTION("""COMPUTED_VALUE"""),"WP10375E431618A008105")</f>
        <v>WP10375E431618A008105</v>
      </c>
      <c r="K476" s="5">
        <f>IFERROR(__xludf.DUMMYFUNCTION("""COMPUTED_VALUE"""),0.7)</f>
        <v>0.7</v>
      </c>
      <c r="L476" s="5" t="str">
        <f>IFERROR(__xludf.DUMMYFUNCTION("""COMPUTED_VALUE"""),"KLH")</f>
        <v>KLH</v>
      </c>
    </row>
    <row r="477">
      <c r="A477" s="168" t="str">
        <f>IFERROR(__xludf.DUMMYFUNCTION("""COMPUTED_VALUE"""),"TND-COT-001")</f>
        <v>TND-COT-001</v>
      </c>
      <c r="B477" s="3" t="str">
        <f>IFERROR(__xludf.DUMMYFUNCTION("""COMPUTED_VALUE"""),"Xe container FUSO FZ49")</f>
        <v>Xe container FUSO FZ49</v>
      </c>
      <c r="C477" s="5" t="str">
        <f>IFERROR(__xludf.DUMMYFUNCTION("""COMPUTED_VALUE"""),"Phòng GNVC")</f>
        <v>Phòng GNVC</v>
      </c>
      <c r="D477" s="5" t="str">
        <f>IFERROR(__xludf.DUMMYFUNCTION("""COMPUTED_VALUE"""),"FUSO")</f>
        <v>FUSO</v>
      </c>
      <c r="E477" s="5"/>
      <c r="F477" s="5"/>
      <c r="G477" s="5" t="str">
        <f>IFERROR(__xludf.DUMMYFUNCTION("""COMPUTED_VALUE"""),"FZ49")</f>
        <v>FZ49</v>
      </c>
      <c r="H477" s="5" t="str">
        <f>IFERROR(__xludf.DUMMYFUNCTION("""COMPUTED_VALUE"""),"280HP")</f>
        <v>280HP</v>
      </c>
      <c r="I477" s="5" t="str">
        <f>IFERROR(__xludf.DUMMYFUNCTION("""COMPUTED_VALUE"""),"MEC2812SCGP028677")</f>
        <v>MEC2812SCGP028677</v>
      </c>
      <c r="J477" s="5"/>
      <c r="K477" s="5">
        <f>IFERROR(__xludf.DUMMYFUNCTION("""COMPUTED_VALUE"""),0.49)</f>
        <v>0.49</v>
      </c>
      <c r="L477" s="5" t="str">
        <f>IFERROR(__xludf.DUMMYFUNCTION("""COMPUTED_VALUE"""),"KLH")</f>
        <v>KLH</v>
      </c>
    </row>
    <row r="478">
      <c r="A478" s="168" t="str">
        <f>IFERROR(__xludf.DUMMYFUNCTION("""COMPUTED_VALUE"""),"TND-COT-002")</f>
        <v>TND-COT-002</v>
      </c>
      <c r="B478" s="3" t="str">
        <f>IFERROR(__xludf.DUMMYFUNCTION("""COMPUTED_VALUE"""),"Xe container FUSO FZ49")</f>
        <v>Xe container FUSO FZ49</v>
      </c>
      <c r="C478" s="5" t="str">
        <f>IFERROR(__xludf.DUMMYFUNCTION("""COMPUTED_VALUE"""),"Phòng GNVC")</f>
        <v>Phòng GNVC</v>
      </c>
      <c r="D478" s="5" t="str">
        <f>IFERROR(__xludf.DUMMYFUNCTION("""COMPUTED_VALUE"""),"FUSO")</f>
        <v>FUSO</v>
      </c>
      <c r="E478" s="5"/>
      <c r="F478" s="5"/>
      <c r="G478" s="5" t="str">
        <f>IFERROR(__xludf.DUMMYFUNCTION("""COMPUTED_VALUE"""),"FZ49")</f>
        <v>FZ49</v>
      </c>
      <c r="H478" s="5" t="str">
        <f>IFERROR(__xludf.DUMMYFUNCTION("""COMPUTED_VALUE"""),"280HP")</f>
        <v>280HP</v>
      </c>
      <c r="I478" s="5" t="str">
        <f>IFERROR(__xludf.DUMMYFUNCTION("""COMPUTED_VALUE"""),"MEC2812SCGP028311")</f>
        <v>MEC2812SCGP028311</v>
      </c>
      <c r="J478" s="5"/>
      <c r="K478" s="5">
        <f>IFERROR(__xludf.DUMMYFUNCTION("""COMPUTED_VALUE"""),0.49)</f>
        <v>0.49</v>
      </c>
      <c r="L478" s="5" t="str">
        <f>IFERROR(__xludf.DUMMYFUNCTION("""COMPUTED_VALUE"""),"KLH")</f>
        <v>KLH</v>
      </c>
    </row>
    <row r="479">
      <c r="A479" s="168" t="str">
        <f>IFERROR(__xludf.DUMMYFUNCTION("""COMPUTED_VALUE"""),"TND-COT-003")</f>
        <v>TND-COT-003</v>
      </c>
      <c r="B479" s="3" t="str">
        <f>IFERROR(__xludf.DUMMYFUNCTION("""COMPUTED_VALUE"""),"Xe container FUSO FZ49")</f>
        <v>Xe container FUSO FZ49</v>
      </c>
      <c r="C479" s="5" t="str">
        <f>IFERROR(__xludf.DUMMYFUNCTION("""COMPUTED_VALUE"""),"Phòng GNVC")</f>
        <v>Phòng GNVC</v>
      </c>
      <c r="D479" s="5" t="str">
        <f>IFERROR(__xludf.DUMMYFUNCTION("""COMPUTED_VALUE"""),"FUSO")</f>
        <v>FUSO</v>
      </c>
      <c r="E479" s="5"/>
      <c r="F479" s="5"/>
      <c r="G479" s="5" t="str">
        <f>IFERROR(__xludf.DUMMYFUNCTION("""COMPUTED_VALUE"""),"FZ49")</f>
        <v>FZ49</v>
      </c>
      <c r="H479" s="5" t="str">
        <f>IFERROR(__xludf.DUMMYFUNCTION("""COMPUTED_VALUE"""),"280HP")</f>
        <v>280HP</v>
      </c>
      <c r="I479" s="5" t="str">
        <f>IFERROR(__xludf.DUMMYFUNCTION("""COMPUTED_VALUE"""),"MEC2812SCGP029295")</f>
        <v>MEC2812SCGP029295</v>
      </c>
      <c r="J479" s="5"/>
      <c r="K479" s="5">
        <f>IFERROR(__xludf.DUMMYFUNCTION("""COMPUTED_VALUE"""),0.49)</f>
        <v>0.49</v>
      </c>
      <c r="L479" s="5" t="str">
        <f>IFERROR(__xludf.DUMMYFUNCTION("""COMPUTED_VALUE"""),"KLH")</f>
        <v>KLH</v>
      </c>
    </row>
    <row r="480">
      <c r="A480" s="168" t="str">
        <f>IFERROR(__xludf.DUMMYFUNCTION("""COMPUTED_VALUE"""),"TND-COT-004")</f>
        <v>TND-COT-004</v>
      </c>
      <c r="B480" s="3" t="str">
        <f>IFERROR(__xludf.DUMMYFUNCTION("""COMPUTED_VALUE"""),"Xe container FUSO FZ49")</f>
        <v>Xe container FUSO FZ49</v>
      </c>
      <c r="C480" s="5" t="str">
        <f>IFERROR(__xludf.DUMMYFUNCTION("""COMPUTED_VALUE"""),"Phòng GNVC")</f>
        <v>Phòng GNVC</v>
      </c>
      <c r="D480" s="5" t="str">
        <f>IFERROR(__xludf.DUMMYFUNCTION("""COMPUTED_VALUE"""),"FUSO")</f>
        <v>FUSO</v>
      </c>
      <c r="E480" s="5"/>
      <c r="F480" s="5"/>
      <c r="G480" s="5" t="str">
        <f>IFERROR(__xludf.DUMMYFUNCTION("""COMPUTED_VALUE"""),"FZ49")</f>
        <v>FZ49</v>
      </c>
      <c r="H480" s="5" t="str">
        <f>IFERROR(__xludf.DUMMYFUNCTION("""COMPUTED_VALUE"""),"280HP")</f>
        <v>280HP</v>
      </c>
      <c r="I480" s="5" t="str">
        <f>IFERROR(__xludf.DUMMYFUNCTION("""COMPUTED_VALUE"""),"MEC2812SCGP028625")</f>
        <v>MEC2812SCGP028625</v>
      </c>
      <c r="J480" s="5"/>
      <c r="K480" s="5">
        <f>IFERROR(__xludf.DUMMYFUNCTION("""COMPUTED_VALUE"""),0.49)</f>
        <v>0.49</v>
      </c>
      <c r="L480" s="5" t="str">
        <f>IFERROR(__xludf.DUMMYFUNCTION("""COMPUTED_VALUE"""),"KLH")</f>
        <v>KLH</v>
      </c>
    </row>
    <row r="481">
      <c r="A481" s="168" t="str">
        <f>IFERROR(__xludf.DUMMYFUNCTION("""COMPUTED_VALUE"""),"TND-COT-005")</f>
        <v>TND-COT-005</v>
      </c>
      <c r="B481" s="3" t="str">
        <f>IFERROR(__xludf.DUMMYFUNCTION("""COMPUTED_VALUE"""),"Xe container FUSO FZ49")</f>
        <v>Xe container FUSO FZ49</v>
      </c>
      <c r="C481" s="5" t="str">
        <f>IFERROR(__xludf.DUMMYFUNCTION("""COMPUTED_VALUE"""),"Phòng GNVC")</f>
        <v>Phòng GNVC</v>
      </c>
      <c r="D481" s="5" t="str">
        <f>IFERROR(__xludf.DUMMYFUNCTION("""COMPUTED_VALUE"""),"FUSO")</f>
        <v>FUSO</v>
      </c>
      <c r="E481" s="5"/>
      <c r="F481" s="5"/>
      <c r="G481" s="5" t="str">
        <f>IFERROR(__xludf.DUMMYFUNCTION("""COMPUTED_VALUE"""),"FZ49")</f>
        <v>FZ49</v>
      </c>
      <c r="H481" s="5" t="str">
        <f>IFERROR(__xludf.DUMMYFUNCTION("""COMPUTED_VALUE"""),"280HP")</f>
        <v>280HP</v>
      </c>
      <c r="I481" s="5" t="str">
        <f>IFERROR(__xludf.DUMMYFUNCTION("""COMPUTED_VALUE"""),"MEC2812SCGP028373")</f>
        <v>MEC2812SCGP028373</v>
      </c>
      <c r="J481" s="5"/>
      <c r="K481" s="5">
        <f>IFERROR(__xludf.DUMMYFUNCTION("""COMPUTED_VALUE"""),0.49)</f>
        <v>0.49</v>
      </c>
      <c r="L481" s="5" t="str">
        <f>IFERROR(__xludf.DUMMYFUNCTION("""COMPUTED_VALUE"""),"KLH")</f>
        <v>KLH</v>
      </c>
    </row>
    <row r="482">
      <c r="A482" s="168" t="str">
        <f>IFERROR(__xludf.DUMMYFUNCTION("""COMPUTED_VALUE"""),"TND-COT-007")</f>
        <v>TND-COT-007</v>
      </c>
      <c r="B482" s="3" t="str">
        <f>IFERROR(__xludf.DUMMYFUNCTION("""COMPUTED_VALUE"""),"Xe container FUSO FZ49")</f>
        <v>Xe container FUSO FZ49</v>
      </c>
      <c r="C482" s="5" t="str">
        <f>IFERROR(__xludf.DUMMYFUNCTION("""COMPUTED_VALUE"""),"Phòng GNVC")</f>
        <v>Phòng GNVC</v>
      </c>
      <c r="D482" s="5" t="str">
        <f>IFERROR(__xludf.DUMMYFUNCTION("""COMPUTED_VALUE"""),"FUSO")</f>
        <v>FUSO</v>
      </c>
      <c r="E482" s="5"/>
      <c r="F482" s="5"/>
      <c r="G482" s="5" t="str">
        <f>IFERROR(__xludf.DUMMYFUNCTION("""COMPUTED_VALUE"""),"FZ49")</f>
        <v>FZ49</v>
      </c>
      <c r="H482" s="5" t="str">
        <f>IFERROR(__xludf.DUMMYFUNCTION("""COMPUTED_VALUE"""),"280HP")</f>
        <v>280HP</v>
      </c>
      <c r="I482" s="5" t="str">
        <f>IFERROR(__xludf.DUMMYFUNCTION("""COMPUTED_VALUE"""),"MEC2812SCGP028586")</f>
        <v>MEC2812SCGP028586</v>
      </c>
      <c r="J482" s="5" t="str">
        <f>IFERROR(__xludf.DUMMYFUNCTION("""COMPUTED_VALUE"""),"Thay cho TND-COT-006")</f>
        <v>Thay cho TND-COT-006</v>
      </c>
      <c r="K482" s="5">
        <f>IFERROR(__xludf.DUMMYFUNCTION("""COMPUTED_VALUE"""),0.49)</f>
        <v>0.49</v>
      </c>
      <c r="L482" s="5" t="str">
        <f>IFERROR(__xludf.DUMMYFUNCTION("""COMPUTED_VALUE"""),"KLH")</f>
        <v>KLH</v>
      </c>
    </row>
    <row r="483">
      <c r="A483" s="168" t="str">
        <f>IFERROR(__xludf.DUMMYFUNCTION("""COMPUTED_VALUE"""),"TBT-XTB-001")</f>
        <v>TBT-XTB-001</v>
      </c>
      <c r="B483" s="3" t="str">
        <f>IFERROR(__xludf.DUMMYFUNCTION("""COMPUTED_VALUE"""),"Xe tải bồn HYUNDAI HD 270")</f>
        <v>Xe tải bồn HYUNDAI HD 270</v>
      </c>
      <c r="C483" s="5" t="str">
        <f>IFERROR(__xludf.DUMMYFUNCTION("""COMPUTED_VALUE"""),"Trạm trộn bê tông")</f>
        <v>Trạm trộn bê tông</v>
      </c>
      <c r="D483" s="5" t="str">
        <f>IFERROR(__xludf.DUMMYFUNCTION("""COMPUTED_VALUE"""),"HYUNDAI")</f>
        <v>HYUNDAI</v>
      </c>
      <c r="E483" s="5" t="str">
        <f>IFERROR(__xludf.DUMMYFUNCTION("""COMPUTED_VALUE"""),"HÀN QUỐC")</f>
        <v>HÀN QUỐC</v>
      </c>
      <c r="F483" s="5">
        <f>IFERROR(__xludf.DUMMYFUNCTION("""COMPUTED_VALUE"""),2017.0)</f>
        <v>2017</v>
      </c>
      <c r="G483" s="5" t="str">
        <f>IFERROR(__xludf.DUMMYFUNCTION("""COMPUTED_VALUE"""),"HD270")</f>
        <v>HD270</v>
      </c>
      <c r="H483" s="5" t="str">
        <f>IFERROR(__xludf.DUMMYFUNCTION("""COMPUTED_VALUE"""),"280HP")</f>
        <v>280HP</v>
      </c>
      <c r="I483" s="5" t="str">
        <f>IFERROR(__xludf.DUMMYFUNCTION("""COMPUTED_VALUE"""),"KMCDH18SPHC094971")</f>
        <v>KMCDH18SPHC094971</v>
      </c>
      <c r="J483" s="5" t="str">
        <f>IFERROR(__xludf.DUMMYFUNCTION("""COMPUTED_VALUE"""),"D6CAGJ310250")</f>
        <v>D6CAGJ310250</v>
      </c>
      <c r="K483" s="5">
        <f>IFERROR(__xludf.DUMMYFUNCTION("""COMPUTED_VALUE"""),0.7)</f>
        <v>0.7</v>
      </c>
      <c r="L483" s="5" t="str">
        <f>IFERROR(__xludf.DUMMYFUNCTION("""COMPUTED_VALUE"""),"KLH")</f>
        <v>KLH</v>
      </c>
    </row>
    <row r="484">
      <c r="A484" s="168" t="str">
        <f>IFERROR(__xludf.DUMMYFUNCTION("""COMPUTED_VALUE"""),"TBT-XTB-002")</f>
        <v>TBT-XTB-002</v>
      </c>
      <c r="B484" s="3" t="str">
        <f>IFERROR(__xludf.DUMMYFUNCTION("""COMPUTED_VALUE"""),"Xe tải bồn HYUNDAI HD 270")</f>
        <v>Xe tải bồn HYUNDAI HD 270</v>
      </c>
      <c r="C484" s="5" t="str">
        <f>IFERROR(__xludf.DUMMYFUNCTION("""COMPUTED_VALUE"""),"Trạm trộn bê tông")</f>
        <v>Trạm trộn bê tông</v>
      </c>
      <c r="D484" s="5" t="str">
        <f>IFERROR(__xludf.DUMMYFUNCTION("""COMPUTED_VALUE"""),"HYUNDAI")</f>
        <v>HYUNDAI</v>
      </c>
      <c r="E484" s="5" t="str">
        <f>IFERROR(__xludf.DUMMYFUNCTION("""COMPUTED_VALUE"""),"HÀN QUỐC")</f>
        <v>HÀN QUỐC</v>
      </c>
      <c r="F484" s="5">
        <f>IFERROR(__xludf.DUMMYFUNCTION("""COMPUTED_VALUE"""),2017.0)</f>
        <v>2017</v>
      </c>
      <c r="G484" s="5" t="str">
        <f>IFERROR(__xludf.DUMMYFUNCTION("""COMPUTED_VALUE"""),"HD270")</f>
        <v>HD270</v>
      </c>
      <c r="H484" s="5" t="str">
        <f>IFERROR(__xludf.DUMMYFUNCTION("""COMPUTED_VALUE"""),"280HP")</f>
        <v>280HP</v>
      </c>
      <c r="I484" s="5" t="str">
        <f>IFERROR(__xludf.DUMMYFUNCTION("""COMPUTED_VALUE"""),"KMCDH15SPHC094979")</f>
        <v>KMCDH15SPHC094979</v>
      </c>
      <c r="J484" s="5" t="str">
        <f>IFERROR(__xludf.DUMMYFUNCTION("""COMPUTED_VALUE"""),"D6CAGJ309410")</f>
        <v>D6CAGJ309410</v>
      </c>
      <c r="K484" s="5">
        <f>IFERROR(__xludf.DUMMYFUNCTION("""COMPUTED_VALUE"""),0.7)</f>
        <v>0.7</v>
      </c>
      <c r="L484" s="5" t="str">
        <f>IFERROR(__xludf.DUMMYFUNCTION("""COMPUTED_VALUE"""),"KLH")</f>
        <v>KLH</v>
      </c>
    </row>
    <row r="485">
      <c r="A485" s="168" t="str">
        <f>IFERROR(__xludf.DUMMYFUNCTION("""COMPUTED_VALUE"""),"TBT-XTB-003")</f>
        <v>TBT-XTB-003</v>
      </c>
      <c r="B485" s="3" t="str">
        <f>IFERROR(__xludf.DUMMYFUNCTION("""COMPUTED_VALUE"""),"Xe tải bồn HYUNDAI HD 270")</f>
        <v>Xe tải bồn HYUNDAI HD 270</v>
      </c>
      <c r="C485" s="5" t="str">
        <f>IFERROR(__xludf.DUMMYFUNCTION("""COMPUTED_VALUE"""),"Trạm trộn bê tông")</f>
        <v>Trạm trộn bê tông</v>
      </c>
      <c r="D485" s="5" t="str">
        <f>IFERROR(__xludf.DUMMYFUNCTION("""COMPUTED_VALUE"""),"HYUNDAI")</f>
        <v>HYUNDAI</v>
      </c>
      <c r="E485" s="5" t="str">
        <f>IFERROR(__xludf.DUMMYFUNCTION("""COMPUTED_VALUE"""),"HÀN QUỐC")</f>
        <v>HÀN QUỐC</v>
      </c>
      <c r="F485" s="5">
        <f>IFERROR(__xludf.DUMMYFUNCTION("""COMPUTED_VALUE"""),2017.0)</f>
        <v>2017</v>
      </c>
      <c r="G485" s="5" t="str">
        <f>IFERROR(__xludf.DUMMYFUNCTION("""COMPUTED_VALUE"""),"HD270")</f>
        <v>HD270</v>
      </c>
      <c r="H485" s="5" t="str">
        <f>IFERROR(__xludf.DUMMYFUNCTION("""COMPUTED_VALUE"""),"280HP")</f>
        <v>280HP</v>
      </c>
      <c r="I485" s="5" t="str">
        <f>IFERROR(__xludf.DUMMYFUNCTION("""COMPUTED_VALUE"""),"KMCDH18SPHC094980")</f>
        <v>KMCDH18SPHC094980</v>
      </c>
      <c r="J485" s="5" t="str">
        <f>IFERROR(__xludf.DUMMYFUNCTION("""COMPUTED_VALUE"""),"D6CAGJ309414")</f>
        <v>D6CAGJ309414</v>
      </c>
      <c r="K485" s="5">
        <f>IFERROR(__xludf.DUMMYFUNCTION("""COMPUTED_VALUE"""),0.7)</f>
        <v>0.7</v>
      </c>
      <c r="L485" s="5" t="str">
        <f>IFERROR(__xludf.DUMMYFUNCTION("""COMPUTED_VALUE"""),"KLH")</f>
        <v>KLH</v>
      </c>
    </row>
    <row r="486">
      <c r="A486" s="168" t="str">
        <f>IFERROR(__xludf.DUMMYFUNCTION("""COMPUTED_VALUE"""),"TBT-XTB-004")</f>
        <v>TBT-XTB-004</v>
      </c>
      <c r="B486" s="3" t="str">
        <f>IFERROR(__xludf.DUMMYFUNCTION("""COMPUTED_VALUE"""),"Xe tải bồn FORTON")</f>
        <v>Xe tải bồn FORTON</v>
      </c>
      <c r="C486" s="5" t="str">
        <f>IFERROR(__xludf.DUMMYFUNCTION("""COMPUTED_VALUE"""),"Trạm trộn bê tông")</f>
        <v>Trạm trộn bê tông</v>
      </c>
      <c r="D486" s="5" t="str">
        <f>IFERROR(__xludf.DUMMYFUNCTION("""COMPUTED_VALUE"""),"FORTON")</f>
        <v>FORTON</v>
      </c>
      <c r="E486" s="5" t="str">
        <f>IFERROR(__xludf.DUMMYFUNCTION("""COMPUTED_VALUE"""),"TRUNG QUỐC")</f>
        <v>TRUNG QUỐC</v>
      </c>
      <c r="F486" s="5">
        <f>IFERROR(__xludf.DUMMYFUNCTION("""COMPUTED_VALUE"""),2018.0)</f>
        <v>2018</v>
      </c>
      <c r="G486" s="5" t="str">
        <f>IFERROR(__xludf.DUMMYFUNCTION("""COMPUTED_VALUE"""),"BJ5253GJB-AB")</f>
        <v>BJ5253GJB-AB</v>
      </c>
      <c r="H486" s="5" t="str">
        <f>IFERROR(__xludf.DUMMYFUNCTION("""COMPUTED_VALUE"""),"335HP")</f>
        <v>335HP</v>
      </c>
      <c r="I486" s="5" t="str">
        <f>IFERROR(__xludf.DUMMYFUNCTION("""COMPUTED_VALUE"""),"LRDV6PEC7JH613967")</f>
        <v>LRDV6PEC7JH613967</v>
      </c>
      <c r="J486" s="5" t="str">
        <f>IFERROR(__xludf.DUMMYFUNCTION("""COMPUTED_VALUE"""),"ISGe534076226632")</f>
        <v>ISGe534076226632</v>
      </c>
      <c r="K486" s="5">
        <f>IFERROR(__xludf.DUMMYFUNCTION("""COMPUTED_VALUE"""),0.7)</f>
        <v>0.7</v>
      </c>
      <c r="L486" s="5" t="str">
        <f>IFERROR(__xludf.DUMMYFUNCTION("""COMPUTED_VALUE"""),"KLH")</f>
        <v>KLH</v>
      </c>
    </row>
    <row r="487">
      <c r="A487" s="168" t="str">
        <f>IFERROR(__xludf.DUMMYFUNCTION("""COMPUTED_VALUE"""),"TBT-XTB-005")</f>
        <v>TBT-XTB-005</v>
      </c>
      <c r="B487" s="3" t="str">
        <f>IFERROR(__xludf.DUMMYFUNCTION("""COMPUTED_VALUE"""),"Xe tải bồn CNHTC Sinotruk")</f>
        <v>Xe tải bồn CNHTC Sinotruk</v>
      </c>
      <c r="C487" s="5" t="str">
        <f>IFERROR(__xludf.DUMMYFUNCTION("""COMPUTED_VALUE"""),"Trạm trộn bê tông")</f>
        <v>Trạm trộn bê tông</v>
      </c>
      <c r="D487" s="5" t="str">
        <f>IFERROR(__xludf.DUMMYFUNCTION("""COMPUTED_VALUE"""),"CNHTC Sinotruk")</f>
        <v>CNHTC Sinotruk</v>
      </c>
      <c r="E487" s="5" t="str">
        <f>IFERROR(__xludf.DUMMYFUNCTION("""COMPUTED_VALUE"""),"TRUNG QUỐC")</f>
        <v>TRUNG QUỐC</v>
      </c>
      <c r="F487" s="5">
        <f>IFERROR(__xludf.DUMMYFUNCTION("""COMPUTED_VALUE"""),2023.0)</f>
        <v>2023</v>
      </c>
      <c r="G487" s="5" t="str">
        <f>IFERROR(__xludf.DUMMYFUNCTION("""COMPUTED_VALUE"""),"ZZ5257GJBN3847E1")</f>
        <v>ZZ5257GJBN3847E1</v>
      </c>
      <c r="H487" s="5" t="str">
        <f>IFERROR(__xludf.DUMMYFUNCTION("""COMPUTED_VALUE"""),"338.5HP")</f>
        <v>338.5HP</v>
      </c>
      <c r="I487" s="5" t="str">
        <f>IFERROR(__xludf.DUMMYFUNCTION("""COMPUTED_VALUE"""),"LZZ1BLND6PA126475")</f>
        <v>LZZ1BLND6PA126475</v>
      </c>
      <c r="J487" s="5" t="str">
        <f>IFERROR(__xludf.DUMMYFUNCTION("""COMPUTED_VALUE"""),"D103450230507007387")</f>
        <v>D103450230507007387</v>
      </c>
      <c r="K487" s="5">
        <f>IFERROR(__xludf.DUMMYFUNCTION("""COMPUTED_VALUE"""),0.7)</f>
        <v>0.7</v>
      </c>
      <c r="L487" s="5" t="str">
        <f>IFERROR(__xludf.DUMMYFUNCTION("""COMPUTED_VALUE"""),"KLH")</f>
        <v>KLH</v>
      </c>
    </row>
    <row r="488">
      <c r="A488" s="168" t="str">
        <f>IFERROR(__xludf.DUMMYFUNCTION("""COMPUTED_VALUE"""),"TBT-XTB-006")</f>
        <v>TBT-XTB-006</v>
      </c>
      <c r="B488" s="3" t="str">
        <f>IFERROR(__xludf.DUMMYFUNCTION("""COMPUTED_VALUE"""),"Xe tải bồn CNHTC Sinotruk")</f>
        <v>Xe tải bồn CNHTC Sinotruk</v>
      </c>
      <c r="C488" s="5" t="str">
        <f>IFERROR(__xludf.DUMMYFUNCTION("""COMPUTED_VALUE"""),"Trạm trộn bê tông")</f>
        <v>Trạm trộn bê tông</v>
      </c>
      <c r="D488" s="5" t="str">
        <f>IFERROR(__xludf.DUMMYFUNCTION("""COMPUTED_VALUE"""),"CNHTC Sinotruk")</f>
        <v>CNHTC Sinotruk</v>
      </c>
      <c r="E488" s="5" t="str">
        <f>IFERROR(__xludf.DUMMYFUNCTION("""COMPUTED_VALUE"""),"TRUNG QUỐC")</f>
        <v>TRUNG QUỐC</v>
      </c>
      <c r="F488" s="5">
        <f>IFERROR(__xludf.DUMMYFUNCTION("""COMPUTED_VALUE"""),2023.0)</f>
        <v>2023</v>
      </c>
      <c r="G488" s="5" t="str">
        <f>IFERROR(__xludf.DUMMYFUNCTION("""COMPUTED_VALUE"""),"ZZ5257GJBN3847E1")</f>
        <v>ZZ5257GJBN3847E1</v>
      </c>
      <c r="H488" s="5" t="str">
        <f>IFERROR(__xludf.DUMMYFUNCTION("""COMPUTED_VALUE"""),"338.5HP")</f>
        <v>338.5HP</v>
      </c>
      <c r="I488" s="5" t="str">
        <f>IFERROR(__xludf.DUMMYFUNCTION("""COMPUTED_VALUE"""),"LZZ1BLND8PA126476")</f>
        <v>LZZ1BLND8PA126476</v>
      </c>
      <c r="J488" s="5" t="str">
        <f>IFERROR(__xludf.DUMMYFUNCTION("""COMPUTED_VALUE"""),"D103450230507007397")</f>
        <v>D103450230507007397</v>
      </c>
      <c r="K488" s="5">
        <f>IFERROR(__xludf.DUMMYFUNCTION("""COMPUTED_VALUE"""),0.7)</f>
        <v>0.7</v>
      </c>
      <c r="L488" s="5" t="str">
        <f>IFERROR(__xludf.DUMMYFUNCTION("""COMPUTED_VALUE"""),"KLH")</f>
        <v>KLH</v>
      </c>
    </row>
    <row r="489">
      <c r="A489" s="168" t="str">
        <f>IFERROR(__xludf.DUMMYFUNCTION("""COMPUTED_VALUE"""),"TBT-XTB-007")</f>
        <v>TBT-XTB-007</v>
      </c>
      <c r="B489" s="3" t="str">
        <f>IFERROR(__xludf.DUMMYFUNCTION("""COMPUTED_VALUE"""),"Xe tải bồn CNHTC Sinotruk")</f>
        <v>Xe tải bồn CNHTC Sinotruk</v>
      </c>
      <c r="C489" s="5" t="str">
        <f>IFERROR(__xludf.DUMMYFUNCTION("""COMPUTED_VALUE"""),"Trạm trộn bê tông")</f>
        <v>Trạm trộn bê tông</v>
      </c>
      <c r="D489" s="5" t="str">
        <f>IFERROR(__xludf.DUMMYFUNCTION("""COMPUTED_VALUE"""),"CNHTC Sinotruk")</f>
        <v>CNHTC Sinotruk</v>
      </c>
      <c r="E489" s="5" t="str">
        <f>IFERROR(__xludf.DUMMYFUNCTION("""COMPUTED_VALUE"""),"TRUNG QUỐC")</f>
        <v>TRUNG QUỐC</v>
      </c>
      <c r="F489" s="5">
        <f>IFERROR(__xludf.DUMMYFUNCTION("""COMPUTED_VALUE"""),2023.0)</f>
        <v>2023</v>
      </c>
      <c r="G489" s="5" t="str">
        <f>IFERROR(__xludf.DUMMYFUNCTION("""COMPUTED_VALUE"""),"ZZ5257GJBN3847E1")</f>
        <v>ZZ5257GJBN3847E1</v>
      </c>
      <c r="H489" s="5" t="str">
        <f>IFERROR(__xludf.DUMMYFUNCTION("""COMPUTED_VALUE"""),"338.5HP")</f>
        <v>338.5HP</v>
      </c>
      <c r="I489" s="5" t="str">
        <f>IFERROR(__xludf.DUMMYFUNCTION("""COMPUTED_VALUE"""),"LZZ1BLNDXPA126477")</f>
        <v>LZZ1BLNDXPA126477</v>
      </c>
      <c r="J489" s="5" t="str">
        <f>IFERROR(__xludf.DUMMYFUNCTION("""COMPUTED_VALUE"""),"D103450230507007367")</f>
        <v>D103450230507007367</v>
      </c>
      <c r="K489" s="5">
        <f>IFERROR(__xludf.DUMMYFUNCTION("""COMPUTED_VALUE"""),0.7)</f>
        <v>0.7</v>
      </c>
      <c r="L489" s="5" t="str">
        <f>IFERROR(__xludf.DUMMYFUNCTION("""COMPUTED_VALUE"""),"KLH")</f>
        <v>KLH</v>
      </c>
    </row>
    <row r="490">
      <c r="A490" s="168" t="str">
        <f>IFERROR(__xludf.DUMMYFUNCTION("""COMPUTED_VALUE"""),"TBT-XTB-008")</f>
        <v>TBT-XTB-008</v>
      </c>
      <c r="B490" s="3" t="str">
        <f>IFERROR(__xludf.DUMMYFUNCTION("""COMPUTED_VALUE"""),"Xe tải bồn CNHTC Sinotruk")</f>
        <v>Xe tải bồn CNHTC Sinotruk</v>
      </c>
      <c r="C490" s="5" t="str">
        <f>IFERROR(__xludf.DUMMYFUNCTION("""COMPUTED_VALUE"""),"Trạm trộn bê tông")</f>
        <v>Trạm trộn bê tông</v>
      </c>
      <c r="D490" s="5" t="str">
        <f>IFERROR(__xludf.DUMMYFUNCTION("""COMPUTED_VALUE"""),"CNHTC Sinotruk")</f>
        <v>CNHTC Sinotruk</v>
      </c>
      <c r="E490" s="5" t="str">
        <f>IFERROR(__xludf.DUMMYFUNCTION("""COMPUTED_VALUE"""),"TRUNG QUỐC")</f>
        <v>TRUNG QUỐC</v>
      </c>
      <c r="F490" s="5">
        <f>IFERROR(__xludf.DUMMYFUNCTION("""COMPUTED_VALUE"""),2023.0)</f>
        <v>2023</v>
      </c>
      <c r="G490" s="5" t="str">
        <f>IFERROR(__xludf.DUMMYFUNCTION("""COMPUTED_VALUE"""),"ZZ5257GJBN3847E1")</f>
        <v>ZZ5257GJBN3847E1</v>
      </c>
      <c r="H490" s="5" t="str">
        <f>IFERROR(__xludf.DUMMYFUNCTION("""COMPUTED_VALUE"""),"338.5HP")</f>
        <v>338.5HP</v>
      </c>
      <c r="I490" s="5" t="str">
        <f>IFERROR(__xludf.DUMMYFUNCTION("""COMPUTED_VALUE"""),"LZZ1BLND1PA126478")</f>
        <v>LZZ1BLND1PA126478</v>
      </c>
      <c r="J490" s="5" t="str">
        <f>IFERROR(__xludf.DUMMYFUNCTION("""COMPUTED_VALUE"""),"D103450230507007327")</f>
        <v>D103450230507007327</v>
      </c>
      <c r="K490" s="5">
        <f>IFERROR(__xludf.DUMMYFUNCTION("""COMPUTED_VALUE"""),0.7)</f>
        <v>0.7</v>
      </c>
      <c r="L490" s="5" t="str">
        <f>IFERROR(__xludf.DUMMYFUNCTION("""COMPUTED_VALUE"""),"KLH")</f>
        <v>KLH</v>
      </c>
    </row>
    <row r="491">
      <c r="A491" s="168" t="str">
        <f>IFERROR(__xludf.DUMMYFUNCTION("""COMPUTED_VALUE"""),"TBT-XTB-009")</f>
        <v>TBT-XTB-009</v>
      </c>
      <c r="B491" s="3" t="str">
        <f>IFERROR(__xludf.DUMMYFUNCTION("""COMPUTED_VALUE"""),"Xe tải bồn CNHTC Sinotruk")</f>
        <v>Xe tải bồn CNHTC Sinotruk</v>
      </c>
      <c r="C491" s="5" t="str">
        <f>IFERROR(__xludf.DUMMYFUNCTION("""COMPUTED_VALUE"""),"Trạm trộn bê tông")</f>
        <v>Trạm trộn bê tông</v>
      </c>
      <c r="D491" s="5" t="str">
        <f>IFERROR(__xludf.DUMMYFUNCTION("""COMPUTED_VALUE"""),"CNHTC Sinotruk")</f>
        <v>CNHTC Sinotruk</v>
      </c>
      <c r="E491" s="5" t="str">
        <f>IFERROR(__xludf.DUMMYFUNCTION("""COMPUTED_VALUE"""),"TRUNG QUỐC")</f>
        <v>TRUNG QUỐC</v>
      </c>
      <c r="F491" s="5">
        <f>IFERROR(__xludf.DUMMYFUNCTION("""COMPUTED_VALUE"""),2023.0)</f>
        <v>2023</v>
      </c>
      <c r="G491" s="5" t="str">
        <f>IFERROR(__xludf.DUMMYFUNCTION("""COMPUTED_VALUE"""),"ZZ5257GJBN3847E1")</f>
        <v>ZZ5257GJBN3847E1</v>
      </c>
      <c r="H491" s="5" t="str">
        <f>IFERROR(__xludf.DUMMYFUNCTION("""COMPUTED_VALUE"""),"338.5HP")</f>
        <v>338.5HP</v>
      </c>
      <c r="I491" s="5" t="str">
        <f>IFERROR(__xludf.DUMMYFUNCTION("""COMPUTED_VALUE"""),"LZZ1BLND3PA126479")</f>
        <v>LZZ1BLND3PA126479</v>
      </c>
      <c r="J491" s="5" t="str">
        <f>IFERROR(__xludf.DUMMYFUNCTION("""COMPUTED_VALUE"""),"D103450230507007377")</f>
        <v>D103450230507007377</v>
      </c>
      <c r="K491" s="5">
        <f>IFERROR(__xludf.DUMMYFUNCTION("""COMPUTED_VALUE"""),0.7)</f>
        <v>0.7</v>
      </c>
      <c r="L491" s="5" t="str">
        <f>IFERROR(__xludf.DUMMYFUNCTION("""COMPUTED_VALUE"""),"KLH")</f>
        <v>KLH</v>
      </c>
    </row>
    <row r="492">
      <c r="A492" s="168" t="str">
        <f>IFERROR(__xludf.DUMMYFUNCTION("""COMPUTED_VALUE"""),"TBT-XTB-010")</f>
        <v>TBT-XTB-010</v>
      </c>
      <c r="B492" s="3" t="str">
        <f>IFERROR(__xludf.DUMMYFUNCTION("""COMPUTED_VALUE"""),"Xe tải bồn CNHTC Sinotruk")</f>
        <v>Xe tải bồn CNHTC Sinotruk</v>
      </c>
      <c r="C492" s="5" t="str">
        <f>IFERROR(__xludf.DUMMYFUNCTION("""COMPUTED_VALUE"""),"Trạm trộn bê tông")</f>
        <v>Trạm trộn bê tông</v>
      </c>
      <c r="D492" s="5" t="str">
        <f>IFERROR(__xludf.DUMMYFUNCTION("""COMPUTED_VALUE"""),"CNHTC Sinotruk")</f>
        <v>CNHTC Sinotruk</v>
      </c>
      <c r="E492" s="5" t="str">
        <f>IFERROR(__xludf.DUMMYFUNCTION("""COMPUTED_VALUE"""),"TRUNG QUỐC")</f>
        <v>TRUNG QUỐC</v>
      </c>
      <c r="F492" s="5">
        <f>IFERROR(__xludf.DUMMYFUNCTION("""COMPUTED_VALUE"""),2023.0)</f>
        <v>2023</v>
      </c>
      <c r="G492" s="5" t="str">
        <f>IFERROR(__xludf.DUMMYFUNCTION("""COMPUTED_VALUE"""),"ZZ5257GJBN3847E1")</f>
        <v>ZZ5257GJBN3847E1</v>
      </c>
      <c r="H492" s="5" t="str">
        <f>IFERROR(__xludf.DUMMYFUNCTION("""COMPUTED_VALUE"""),"338.5HP")</f>
        <v>338.5HP</v>
      </c>
      <c r="I492" s="5" t="str">
        <f>IFERROR(__xludf.DUMMYFUNCTION("""COMPUTED_VALUE"""),"LZZ1BLND3PA126482")</f>
        <v>LZZ1BLND3PA126482</v>
      </c>
      <c r="J492" s="5" t="str">
        <f>IFERROR(__xludf.DUMMYFUNCTION("""COMPUTED_VALUE"""),"D103450230507007347")</f>
        <v>D103450230507007347</v>
      </c>
      <c r="K492" s="5">
        <f>IFERROR(__xludf.DUMMYFUNCTION("""COMPUTED_VALUE"""),0.7)</f>
        <v>0.7</v>
      </c>
      <c r="L492" s="5" t="str">
        <f>IFERROR(__xludf.DUMMYFUNCTION("""COMPUTED_VALUE"""),"KLH")</f>
        <v>KLH</v>
      </c>
    </row>
    <row r="493">
      <c r="A493" s="168" t="str">
        <f>IFERROR(__xludf.DUMMYFUNCTION("""COMPUTED_VALUE"""),"TBT-XXL-001")</f>
        <v>TBT-XXL-001</v>
      </c>
      <c r="B493" s="3" t="str">
        <f>IFERROR(__xludf.DUMMYFUNCTION("""COMPUTED_VALUE"""),"Xe xúc lật WA200-3")</f>
        <v>Xe xúc lật WA200-3</v>
      </c>
      <c r="C493" s="5" t="str">
        <f>IFERROR(__xludf.DUMMYFUNCTION("""COMPUTED_VALUE"""),"Trạm trộn bê tông")</f>
        <v>Trạm trộn bê tông</v>
      </c>
      <c r="D493" s="5" t="str">
        <f>IFERROR(__xludf.DUMMYFUNCTION("""COMPUTED_VALUE"""),"KOMATSU")</f>
        <v>KOMATSU</v>
      </c>
      <c r="E493" s="5" t="str">
        <f>IFERROR(__xludf.DUMMYFUNCTION("""COMPUTED_VALUE"""),"NHẬT BẢN")</f>
        <v>NHẬT BẢN</v>
      </c>
      <c r="F493" s="5">
        <f>IFERROR(__xludf.DUMMYFUNCTION("""COMPUTED_VALUE"""),1994.0)</f>
        <v>1994</v>
      </c>
      <c r="G493" s="5" t="str">
        <f>IFERROR(__xludf.DUMMYFUNCTION("""COMPUTED_VALUE"""),"WA200-3")</f>
        <v>WA200-3</v>
      </c>
      <c r="H493" s="5" t="str">
        <f>IFERROR(__xludf.DUMMYFUNCTION("""COMPUTED_VALUE"""),"123HP")</f>
        <v>123HP</v>
      </c>
      <c r="I493" s="5" t="str">
        <f>IFERROR(__xludf.DUMMYFUNCTION("""COMPUTED_VALUE"""),"W038-60400")</f>
        <v>W038-60400</v>
      </c>
      <c r="J493" s="5" t="str">
        <f>IFERROR(__xludf.DUMMYFUNCTION("""COMPUTED_VALUE"""),"6D95L-140544")</f>
        <v>6D95L-140544</v>
      </c>
      <c r="K493" s="5">
        <f>IFERROR(__xludf.DUMMYFUNCTION("""COMPUTED_VALUE"""),8.31)</f>
        <v>8.31</v>
      </c>
      <c r="L493" s="5" t="str">
        <f>IFERROR(__xludf.DUMMYFUNCTION("""COMPUTED_VALUE"""),"KLH")</f>
        <v>KLH</v>
      </c>
    </row>
    <row r="494">
      <c r="A494" s="168" t="str">
        <f>IFERROR(__xludf.DUMMYFUNCTION("""COMPUTED_VALUE"""),"TBT-XXL-002")</f>
        <v>TBT-XXL-002</v>
      </c>
      <c r="B494" s="3" t="str">
        <f>IFERROR(__xludf.DUMMYFUNCTION("""COMPUTED_VALUE"""),"Xe xúc lật WA200-3")</f>
        <v>Xe xúc lật WA200-3</v>
      </c>
      <c r="C494" s="5" t="str">
        <f>IFERROR(__xludf.DUMMYFUNCTION("""COMPUTED_VALUE"""),"Trạm trộn bê tông")</f>
        <v>Trạm trộn bê tông</v>
      </c>
      <c r="D494" s="5" t="str">
        <f>IFERROR(__xludf.DUMMYFUNCTION("""COMPUTED_VALUE"""),"KOMATSU")</f>
        <v>KOMATSU</v>
      </c>
      <c r="E494" s="5" t="str">
        <f>IFERROR(__xludf.DUMMYFUNCTION("""COMPUTED_VALUE"""),"NHẬT BẢN")</f>
        <v>NHẬT BẢN</v>
      </c>
      <c r="F494" s="5">
        <f>IFERROR(__xludf.DUMMYFUNCTION("""COMPUTED_VALUE"""),2021.0)</f>
        <v>2021</v>
      </c>
      <c r="G494" s="5" t="str">
        <f>IFERROR(__xludf.DUMMYFUNCTION("""COMPUTED_VALUE"""),"WA200-3")</f>
        <v>WA200-3</v>
      </c>
      <c r="H494" s="5" t="str">
        <f>IFERROR(__xludf.DUMMYFUNCTION("""COMPUTED_VALUE"""),"125HP")</f>
        <v>125HP</v>
      </c>
      <c r="I494" s="5" t="str">
        <f>IFERROR(__xludf.DUMMYFUNCTION("""COMPUTED_VALUE"""),"W038-60624")</f>
        <v>W038-60624</v>
      </c>
      <c r="J494" s="5" t="str">
        <f>IFERROR(__xludf.DUMMYFUNCTION("""COMPUTED_VALUE"""),"6D95L-153498")</f>
        <v>6D95L-153498</v>
      </c>
      <c r="K494" s="5">
        <f>IFERROR(__xludf.DUMMYFUNCTION("""COMPUTED_VALUE"""),9.0)</f>
        <v>9</v>
      </c>
      <c r="L494" s="5" t="str">
        <f>IFERROR(__xludf.DUMMYFUNCTION("""COMPUTED_VALUE"""),"KLH")</f>
        <v>KLH</v>
      </c>
    </row>
    <row r="495">
      <c r="A495" s="168" t="str">
        <f>IFERROR(__xludf.DUMMYFUNCTION("""COMPUTED_VALUE"""),"ĐNA-MKE-001")</f>
        <v>ĐNA-MKE-001</v>
      </c>
      <c r="B495" s="3" t="str">
        <f>IFERROR(__xludf.DUMMYFUNCTION("""COMPUTED_VALUE"""),"Máy cày KAM50")</f>
        <v>Máy cày KAM50</v>
      </c>
      <c r="C495" s="5" t="str">
        <f>IFERROR(__xludf.DUMMYFUNCTION("""COMPUTED_VALUE"""),"Ban điện nước")</f>
        <v>Ban điện nước</v>
      </c>
      <c r="D495" s="5" t="str">
        <f>IFERROR(__xludf.DUMMYFUNCTION("""COMPUTED_VALUE"""),"THACO ")</f>
        <v>THACO </v>
      </c>
      <c r="E495" s="5" t="str">
        <f>IFERROR(__xludf.DUMMYFUNCTION("""COMPUTED_VALUE"""),"VIỆT NAM")</f>
        <v>VIỆT NAM</v>
      </c>
      <c r="F495" s="5">
        <f>IFERROR(__xludf.DUMMYFUNCTION("""COMPUTED_VALUE"""),2018.0)</f>
        <v>2018</v>
      </c>
      <c r="G495" s="5" t="str">
        <f>IFERROR(__xludf.DUMMYFUNCTION("""COMPUTED_VALUE"""),"KAM50")</f>
        <v>KAM50</v>
      </c>
      <c r="H495" s="5" t="str">
        <f>IFERROR(__xludf.DUMMYFUNCTION("""COMPUTED_VALUE"""),"50HP")</f>
        <v>50HP</v>
      </c>
      <c r="I495" s="5" t="str">
        <f>IFERROR(__xludf.DUMMYFUNCTION("""COMPUTED_VALUE"""),"180069")</f>
        <v>180069</v>
      </c>
      <c r="J495" s="5" t="str">
        <f>IFERROR(__xludf.DUMMYFUNCTION("""COMPUTED_VALUE"""),"CCN")</f>
        <v>CCN</v>
      </c>
      <c r="K495" s="5">
        <f>IFERROR(__xludf.DUMMYFUNCTION("""COMPUTED_VALUE"""),2.5)</f>
        <v>2.5</v>
      </c>
      <c r="L495" s="5" t="str">
        <f>IFERROR(__xludf.DUMMYFUNCTION("""COMPUTED_VALUE"""),"KLH")</f>
        <v>KLH</v>
      </c>
    </row>
    <row r="496">
      <c r="A496" s="168" t="str">
        <f>IFERROR(__xludf.DUMMYFUNCTION("""COMPUTED_VALUE"""),"ĐNA-MKE-002")</f>
        <v>ĐNA-MKE-002</v>
      </c>
      <c r="B496" s="3" t="str">
        <f>IFERROR(__xludf.DUMMYFUNCTION("""COMPUTED_VALUE"""),"Máy cày L4508")</f>
        <v>Máy cày L4508</v>
      </c>
      <c r="C496" s="5" t="str">
        <f>IFERROR(__xludf.DUMMYFUNCTION("""COMPUTED_VALUE"""),"Ban điện nước")</f>
        <v>Ban điện nước</v>
      </c>
      <c r="D496" s="5" t="str">
        <f>IFERROR(__xludf.DUMMYFUNCTION("""COMPUTED_VALUE"""),"KUBOTA")</f>
        <v>KUBOTA</v>
      </c>
      <c r="E496" s="5" t="str">
        <f>IFERROR(__xludf.DUMMYFUNCTION("""COMPUTED_VALUE"""),"NHẬT BẢN")</f>
        <v>NHẬT BẢN</v>
      </c>
      <c r="F496" s="5">
        <f>IFERROR(__xludf.DUMMYFUNCTION("""COMPUTED_VALUE"""),2019.0)</f>
        <v>2019</v>
      </c>
      <c r="G496" s="5" t="str">
        <f>IFERROR(__xludf.DUMMYFUNCTION("""COMPUTED_VALUE"""),"L4508")</f>
        <v>L4508</v>
      </c>
      <c r="H496" s="5" t="str">
        <f>IFERROR(__xludf.DUMMYFUNCTION("""COMPUTED_VALUE"""),"45HP")</f>
        <v>45HP</v>
      </c>
      <c r="I496" s="5" t="str">
        <f>IFERROR(__xludf.DUMMYFUNCTION("""COMPUTED_VALUE"""),"0950")</f>
        <v>0950</v>
      </c>
      <c r="J496" s="5" t="str">
        <f>IFERROR(__xludf.DUMMYFUNCTION("""COMPUTED_VALUE"""),"CCN")</f>
        <v>CCN</v>
      </c>
      <c r="K496" s="5">
        <f>IFERROR(__xludf.DUMMYFUNCTION("""COMPUTED_VALUE"""),2.5)</f>
        <v>2.5</v>
      </c>
      <c r="L496" s="5" t="str">
        <f>IFERROR(__xludf.DUMMYFUNCTION("""COMPUTED_VALUE"""),"KLH")</f>
        <v>KLH</v>
      </c>
    </row>
    <row r="497">
      <c r="A497" s="168" t="str">
        <f>IFERROR(__xludf.DUMMYFUNCTION("""COMPUTED_VALUE"""),"ĐNA-XCA-001")</f>
        <v>ĐNA-XCA-001</v>
      </c>
      <c r="B497" s="3" t="str">
        <f>IFERROR(__xludf.DUMMYFUNCTION("""COMPUTED_VALUE"""),"Xe cẩu 5 tấn")</f>
        <v>Xe cẩu 5 tấn</v>
      </c>
      <c r="C497" s="5" t="str">
        <f>IFERROR(__xludf.DUMMYFUNCTION("""COMPUTED_VALUE"""),"Ban điện nước")</f>
        <v>Ban điện nước</v>
      </c>
      <c r="D497" s="5" t="str">
        <f>IFERROR(__xludf.DUMMYFUNCTION("""COMPUTED_VALUE"""),"HYUNDAI")</f>
        <v>HYUNDAI</v>
      </c>
      <c r="E497" s="5"/>
      <c r="F497" s="5">
        <f>IFERROR(__xludf.DUMMYFUNCTION("""COMPUTED_VALUE"""),2000.0)</f>
        <v>2000</v>
      </c>
      <c r="G497" s="5"/>
      <c r="H497" s="5"/>
      <c r="I497" s="5" t="str">
        <f>IFERROR(__xludf.DUMMYFUNCTION("""COMPUTED_VALUE"""),"19APC027557")</f>
        <v>19APC027557</v>
      </c>
      <c r="J497" s="5" t="str">
        <f>IFERROR(__xludf.DUMMYFUNCTION("""COMPUTED_VALUE"""),"00227")</f>
        <v>00227</v>
      </c>
      <c r="K497" s="5">
        <f>IFERROR(__xludf.DUMMYFUNCTION("""COMPUTED_VALUE"""),6.5)</f>
        <v>6.5</v>
      </c>
      <c r="L497" s="5" t="str">
        <f>IFERROR(__xludf.DUMMYFUNCTION("""COMPUTED_VALUE"""),"KLH")</f>
        <v>KLH</v>
      </c>
    </row>
    <row r="498">
      <c r="A498" s="168" t="str">
        <f>IFERROR(__xludf.DUMMYFUNCTION("""COMPUTED_VALUE"""),"ĐNA-XCA-002")</f>
        <v>ĐNA-XCA-002</v>
      </c>
      <c r="B498" s="3" t="str">
        <f>IFERROR(__xludf.DUMMYFUNCTION("""COMPUTED_VALUE"""),"Xe cẩu 3.5 tấn")</f>
        <v>Xe cẩu 3.5 tấn</v>
      </c>
      <c r="C498" s="5" t="str">
        <f>IFERROR(__xludf.DUMMYFUNCTION("""COMPUTED_VALUE"""),"Ban điện nước")</f>
        <v>Ban điện nước</v>
      </c>
      <c r="D498" s="5" t="str">
        <f>IFERROR(__xludf.DUMMYFUNCTION("""COMPUTED_VALUE"""),"THACO")</f>
        <v>THACO</v>
      </c>
      <c r="E498" s="5" t="str">
        <f>IFERROR(__xludf.DUMMYFUNCTION("""COMPUTED_VALUE"""),"VIỆT NAM")</f>
        <v>VIỆT NAM</v>
      </c>
      <c r="F498" s="5">
        <f>IFERROR(__xludf.DUMMYFUNCTION("""COMPUTED_VALUE"""),2017.0)</f>
        <v>2017</v>
      </c>
      <c r="G498" s="5" t="str">
        <f>IFERROR(__xludf.DUMMYFUNCTION("""COMPUTED_VALUE"""),"Ollin 900B")</f>
        <v>Ollin 900B</v>
      </c>
      <c r="H498" s="5" t="str">
        <f>IFERROR(__xludf.DUMMYFUNCTION("""COMPUTED_VALUE"""),"160HP")</f>
        <v>160HP</v>
      </c>
      <c r="I498" s="5" t="str">
        <f>IFERROR(__xludf.DUMMYFUNCTION("""COMPUTED_VALUE"""),"RNHA1550BHC072222")</f>
        <v>RNHA1550BHC072222</v>
      </c>
      <c r="J498" s="5" t="str">
        <f>IFERROR(__xludf.DUMMYFUNCTION("""COMPUTED_VALUE"""),"CCN")</f>
        <v>CCN</v>
      </c>
      <c r="K498" s="5">
        <f>IFERROR(__xludf.DUMMYFUNCTION("""COMPUTED_VALUE"""),5.0)</f>
        <v>5</v>
      </c>
      <c r="L498" s="5" t="str">
        <f>IFERROR(__xludf.DUMMYFUNCTION("""COMPUTED_VALUE"""),"KLH")</f>
        <v>KLH</v>
      </c>
    </row>
    <row r="499">
      <c r="A499" s="168" t="str">
        <f>IFERROR(__xludf.DUMMYFUNCTION("""COMPUTED_VALUE"""),"ĐNA-XLO-001")</f>
        <v>ĐNA-XLO-001</v>
      </c>
      <c r="B499" s="3" t="str">
        <f>IFERROR(__xludf.DUMMYFUNCTION("""COMPUTED_VALUE"""),"Xe lôi")</f>
        <v>Xe lôi</v>
      </c>
      <c r="C499" s="5" t="str">
        <f>IFERROR(__xludf.DUMMYFUNCTION("""COMPUTED_VALUE"""),"Ban điện nước")</f>
        <v>Ban điện nước</v>
      </c>
      <c r="D499" s="5"/>
      <c r="E499" s="5" t="str">
        <f>IFERROR(__xludf.DUMMYFUNCTION("""COMPUTED_VALUE"""),"TRUNG QUỐC")</f>
        <v>TRUNG QUỐC</v>
      </c>
      <c r="F499" s="5"/>
      <c r="G499" s="5" t="str">
        <f>IFERROR(__xludf.DUMMYFUNCTION("""COMPUTED_VALUE"""),"150ZH-2DR")</f>
        <v>150ZH-2DR</v>
      </c>
      <c r="H499" s="5" t="str">
        <f>IFERROR(__xludf.DUMMYFUNCTION("""COMPUTED_VALUE"""),"11HP")</f>
        <v>11HP</v>
      </c>
      <c r="I499" s="5" t="str">
        <f>IFERROR(__xludf.DUMMYFUNCTION("""COMPUTED_VALUE"""),"L6XHBN1B8R0000061")</f>
        <v>L6XHBN1B8R0000061</v>
      </c>
      <c r="J499" s="5" t="str">
        <f>IFERROR(__xludf.DUMMYFUNCTION("""COMPUTED_VALUE"""),"170MM-B8R100075")</f>
        <v>170MM-B8R100075</v>
      </c>
      <c r="K499" s="5">
        <f>IFERROR(__xludf.DUMMYFUNCTION("""COMPUTED_VALUE"""),2.5)</f>
        <v>2.5</v>
      </c>
      <c r="L499" s="5" t="str">
        <f>IFERROR(__xludf.DUMMYFUNCTION("""COMPUTED_VALUE"""),"KLH")</f>
        <v>KLH</v>
      </c>
    </row>
    <row r="500">
      <c r="A500" s="168" t="str">
        <f>IFERROR(__xludf.DUMMYFUNCTION("""COMPUTED_VALUE"""),"ĐNA-XLO-002")</f>
        <v>ĐNA-XLO-002</v>
      </c>
      <c r="B500" s="3" t="str">
        <f>IFERROR(__xludf.DUMMYFUNCTION("""COMPUTED_VALUE"""),"Xe lôi")</f>
        <v>Xe lôi</v>
      </c>
      <c r="C500" s="5" t="str">
        <f>IFERROR(__xludf.DUMMYFUNCTION("""COMPUTED_VALUE"""),"Ban điện nước")</f>
        <v>Ban điện nước</v>
      </c>
      <c r="D500" s="5"/>
      <c r="E500" s="5" t="str">
        <f>IFERROR(__xludf.DUMMYFUNCTION("""COMPUTED_VALUE"""),"TRUNG QUỐC")</f>
        <v>TRUNG QUỐC</v>
      </c>
      <c r="F500" s="5"/>
      <c r="G500" s="5" t="str">
        <f>IFERROR(__xludf.DUMMYFUNCTION("""COMPUTED_VALUE"""),"150ZH-2DR")</f>
        <v>150ZH-2DR</v>
      </c>
      <c r="H500" s="5" t="str">
        <f>IFERROR(__xludf.DUMMYFUNCTION("""COMPUTED_VALUE"""),"11HP")</f>
        <v>11HP</v>
      </c>
      <c r="I500" s="5" t="str">
        <f>IFERROR(__xludf.DUMMYFUNCTION("""COMPUTED_VALUE"""),"L6XHBN1B8R0000058")</f>
        <v>L6XHBN1B8R0000058</v>
      </c>
      <c r="J500" s="5" t="str">
        <f>IFERROR(__xludf.DUMMYFUNCTION("""COMPUTED_VALUE"""),"170MM-B8R100072")</f>
        <v>170MM-B8R100072</v>
      </c>
      <c r="K500" s="5">
        <f>IFERROR(__xludf.DUMMYFUNCTION("""COMPUTED_VALUE"""),2.5)</f>
        <v>2.5</v>
      </c>
      <c r="L500" s="5" t="str">
        <f>IFERROR(__xludf.DUMMYFUNCTION("""COMPUTED_VALUE"""),"KLH")</f>
        <v>KLH</v>
      </c>
    </row>
    <row r="501">
      <c r="A501" s="168" t="str">
        <f>IFERROR(__xludf.DUMMYFUNCTION("""COMPUTED_VALUE"""),"ĐNA-XLO-003")</f>
        <v>ĐNA-XLO-003</v>
      </c>
      <c r="B501" s="3" t="str">
        <f>IFERROR(__xludf.DUMMYFUNCTION("""COMPUTED_VALUE"""),"Xe lôi")</f>
        <v>Xe lôi</v>
      </c>
      <c r="C501" s="5" t="str">
        <f>IFERROR(__xludf.DUMMYFUNCTION("""COMPUTED_VALUE"""),"Ban điện nước")</f>
        <v>Ban điện nước</v>
      </c>
      <c r="D501" s="5"/>
      <c r="E501" s="5" t="str">
        <f>IFERROR(__xludf.DUMMYFUNCTION("""COMPUTED_VALUE"""),"TRUNG QUỐC")</f>
        <v>TRUNG QUỐC</v>
      </c>
      <c r="F501" s="5"/>
      <c r="G501" s="5" t="str">
        <f>IFERROR(__xludf.DUMMYFUNCTION("""COMPUTED_VALUE"""),"150ZH-2DR")</f>
        <v>150ZH-2DR</v>
      </c>
      <c r="H501" s="5" t="str">
        <f>IFERROR(__xludf.DUMMYFUNCTION("""COMPUTED_VALUE"""),"11HP")</f>
        <v>11HP</v>
      </c>
      <c r="I501" s="5" t="str">
        <f>IFERROR(__xludf.DUMMYFUNCTION("""COMPUTED_VALUE"""),"L6XHBN1B8R0000059")</f>
        <v>L6XHBN1B8R0000059</v>
      </c>
      <c r="J501" s="5" t="str">
        <f>IFERROR(__xludf.DUMMYFUNCTION("""COMPUTED_VALUE"""),"170MM-B8R100073")</f>
        <v>170MM-B8R100073</v>
      </c>
      <c r="K501" s="5">
        <f>IFERROR(__xludf.DUMMYFUNCTION("""COMPUTED_VALUE"""),2.5)</f>
        <v>2.5</v>
      </c>
      <c r="L501" s="5" t="str">
        <f>IFERROR(__xludf.DUMMYFUNCTION("""COMPUTED_VALUE"""),"KLH")</f>
        <v>KLH</v>
      </c>
    </row>
    <row r="502">
      <c r="A502" s="168" t="str">
        <f>IFERROR(__xludf.DUMMYFUNCTION("""COMPUTED_VALUE"""),"CKB-XLO-001")</f>
        <v>CKB-XLO-001</v>
      </c>
      <c r="B502" s="3" t="str">
        <f>IFERROR(__xludf.DUMMYFUNCTION("""COMPUTED_VALUE"""),"Xe lôi")</f>
        <v>Xe lôi</v>
      </c>
      <c r="C502" s="5" t="str">
        <f>IFERROR(__xludf.DUMMYFUNCTION("""COMPUTED_VALUE"""),"Xưởng Cơ khí ADM&amp;LP")</f>
        <v>Xưởng Cơ khí ADM&amp;LP</v>
      </c>
      <c r="D502" s="5"/>
      <c r="E502" s="5"/>
      <c r="F502" s="5"/>
      <c r="G502" s="5"/>
      <c r="H502" s="5" t="str">
        <f>IFERROR(__xludf.DUMMYFUNCTION("""COMPUTED_VALUE"""),"150CC")</f>
        <v>150CC</v>
      </c>
      <c r="I502" s="5" t="str">
        <f>IFERROR(__xludf.DUMMYFUNCTION("""COMPUTED_VALUE"""),"1L000058")</f>
        <v>1L000058</v>
      </c>
      <c r="J502" s="5" t="str">
        <f>IFERROR(__xludf.DUMMYFUNCTION("""COMPUTED_VALUE"""),"CCN")</f>
        <v>CCN</v>
      </c>
      <c r="K502" s="5">
        <f>IFERROR(__xludf.DUMMYFUNCTION("""COMPUTED_VALUE"""),2.5)</f>
        <v>2.5</v>
      </c>
      <c r="L502" s="5" t="str">
        <f>IFERROR(__xludf.DUMMYFUNCTION("""COMPUTED_VALUE"""),"KLH")</f>
        <v>KLH</v>
      </c>
    </row>
    <row r="503">
      <c r="A503" s="168" t="str">
        <f>IFERROR(__xludf.DUMMYFUNCTION("""COMPUTED_VALUE"""),"CKB-XLO-002")</f>
        <v>CKB-XLO-002</v>
      </c>
      <c r="B503" s="3" t="str">
        <f>IFERROR(__xludf.DUMMYFUNCTION("""COMPUTED_VALUE"""),"Xe lôi")</f>
        <v>Xe lôi</v>
      </c>
      <c r="C503" s="5" t="str">
        <f>IFERROR(__xludf.DUMMYFUNCTION("""COMPUTED_VALUE"""),"Xưởng Cơ khí ADM&amp;LP")</f>
        <v>Xưởng Cơ khí ADM&amp;LP</v>
      </c>
      <c r="D503" s="5"/>
      <c r="E503" s="5"/>
      <c r="F503" s="5"/>
      <c r="G503" s="5"/>
      <c r="H503" s="5" t="str">
        <f>IFERROR(__xludf.DUMMYFUNCTION("""COMPUTED_VALUE"""),"150CC")</f>
        <v>150CC</v>
      </c>
      <c r="I503" s="5" t="str">
        <f>IFERROR(__xludf.DUMMYFUNCTION("""COMPUTED_VALUE"""),"21L001162")</f>
        <v>21L001162</v>
      </c>
      <c r="J503" s="5" t="str">
        <f>IFERROR(__xludf.DUMMYFUNCTION("""COMPUTED_VALUE"""),"CCN")</f>
        <v>CCN</v>
      </c>
      <c r="K503" s="5">
        <f>IFERROR(__xludf.DUMMYFUNCTION("""COMPUTED_VALUE"""),2.5)</f>
        <v>2.5</v>
      </c>
      <c r="L503" s="5" t="str">
        <f>IFERROR(__xludf.DUMMYFUNCTION("""COMPUTED_VALUE"""),"KLH")</f>
        <v>KLH</v>
      </c>
    </row>
    <row r="504">
      <c r="A504" s="168" t="str">
        <f>IFERROR(__xludf.DUMMYFUNCTION("""COMPUTED_VALUE"""),"CKB-XLO-003")</f>
        <v>CKB-XLO-003</v>
      </c>
      <c r="B504" s="3" t="str">
        <f>IFERROR(__xludf.DUMMYFUNCTION("""COMPUTED_VALUE"""),"Xe lôi")</f>
        <v>Xe lôi</v>
      </c>
      <c r="C504" s="5" t="str">
        <f>IFERROR(__xludf.DUMMYFUNCTION("""COMPUTED_VALUE"""),"Xưởng Cơ khí ADM&amp;LP")</f>
        <v>Xưởng Cơ khí ADM&amp;LP</v>
      </c>
      <c r="D504" s="5"/>
      <c r="E504" s="5"/>
      <c r="F504" s="5"/>
      <c r="G504" s="5"/>
      <c r="H504" s="5" t="str">
        <f>IFERROR(__xludf.DUMMYFUNCTION("""COMPUTED_VALUE"""),"150CC")</f>
        <v>150CC</v>
      </c>
      <c r="I504" s="5" t="str">
        <f>IFERROR(__xludf.DUMMYFUNCTION("""COMPUTED_VALUE"""),"21L000299")</f>
        <v>21L000299</v>
      </c>
      <c r="J504" s="5" t="str">
        <f>IFERROR(__xludf.DUMMYFUNCTION("""COMPUTED_VALUE"""),"CCN")</f>
        <v>CCN</v>
      </c>
      <c r="K504" s="5">
        <f>IFERROR(__xludf.DUMMYFUNCTION("""COMPUTED_VALUE"""),2.5)</f>
        <v>2.5</v>
      </c>
      <c r="L504" s="5" t="str">
        <f>IFERROR(__xludf.DUMMYFUNCTION("""COMPUTED_VALUE"""),"KLH")</f>
        <v>KLH</v>
      </c>
    </row>
    <row r="505">
      <c r="A505" s="168" t="str">
        <f>IFERROR(__xludf.DUMMYFUNCTION("""COMPUTED_VALUE"""),"CKB-XNA-001")</f>
        <v>CKB-XNA-001</v>
      </c>
      <c r="B505" s="3" t="str">
        <f>IFERROR(__xludf.DUMMYFUNCTION("""COMPUTED_VALUE"""),"Xe nâng dầu HELI 3.5 tấn")</f>
        <v>Xe nâng dầu HELI 3.5 tấn</v>
      </c>
      <c r="C505" s="5" t="str">
        <f>IFERROR(__xludf.DUMMYFUNCTION("""COMPUTED_VALUE"""),"Xưởng Cơ khí ADM&amp;LP")</f>
        <v>Xưởng Cơ khí ADM&amp;LP</v>
      </c>
      <c r="D505" s="5" t="str">
        <f>IFERROR(__xludf.DUMMYFUNCTION("""COMPUTED_VALUE"""),"HELI")</f>
        <v>HELI</v>
      </c>
      <c r="E505" s="5" t="str">
        <f>IFERROR(__xludf.DUMMYFUNCTION("""COMPUTED_VALUE"""),"TRUNG QUỐC")</f>
        <v>TRUNG QUỐC</v>
      </c>
      <c r="F505" s="5">
        <f>IFERROR(__xludf.DUMMYFUNCTION("""COMPUTED_VALUE"""),2024.0)</f>
        <v>2024</v>
      </c>
      <c r="G505" s="5" t="str">
        <f>IFERROR(__xludf.DUMMYFUNCTION("""COMPUTED_VALUE"""),"CPCD35")</f>
        <v>CPCD35</v>
      </c>
      <c r="H505" s="5" t="str">
        <f>IFERROR(__xludf.DUMMYFUNCTION("""COMPUTED_VALUE"""),"60HP")</f>
        <v>60HP</v>
      </c>
      <c r="I505" s="5" t="str">
        <f>IFERROR(__xludf.DUMMYFUNCTION("""COMPUTED_VALUE"""),"010353K6773")</f>
        <v>010353K6773</v>
      </c>
      <c r="J505" s="5" t="str">
        <f>IFERROR(__xludf.DUMMYFUNCTION("""COMPUTED_VALUE"""),"CCN")</f>
        <v>CCN</v>
      </c>
      <c r="K505" s="5">
        <f>IFERROR(__xludf.DUMMYFUNCTION("""COMPUTED_VALUE"""),2.5)</f>
        <v>2.5</v>
      </c>
      <c r="L505" s="5" t="str">
        <f>IFERROR(__xludf.DUMMYFUNCTION("""COMPUTED_VALUE"""),"KLH")</f>
        <v>KLH</v>
      </c>
    </row>
    <row r="506">
      <c r="A506" s="168" t="str">
        <f>IFERROR(__xludf.DUMMYFUNCTION("""COMPUTED_VALUE"""),"CKB-XNA-003")</f>
        <v>CKB-XNA-003</v>
      </c>
      <c r="B506" s="3" t="str">
        <f>IFERROR(__xludf.DUMMYFUNCTION("""COMPUTED_VALUE"""),"Xe nâng dầu HELI 5 tấn")</f>
        <v>Xe nâng dầu HELI 5 tấn</v>
      </c>
      <c r="C506" s="5" t="str">
        <f>IFERROR(__xludf.DUMMYFUNCTION("""COMPUTED_VALUE"""),"Xưởng Cơ khí ADM&amp;LP")</f>
        <v>Xưởng Cơ khí ADM&amp;LP</v>
      </c>
      <c r="D506" s="5" t="str">
        <f>IFERROR(__xludf.DUMMYFUNCTION("""COMPUTED_VALUE"""),"HELI")</f>
        <v>HELI</v>
      </c>
      <c r="E506" s="5" t="str">
        <f>IFERROR(__xludf.DUMMYFUNCTION("""COMPUTED_VALUE"""),"TRUNG QUỐC")</f>
        <v>TRUNG QUỐC</v>
      </c>
      <c r="F506" s="5">
        <f>IFERROR(__xludf.DUMMYFUNCTION("""COMPUTED_VALUE"""),2026.0)</f>
        <v>2026</v>
      </c>
      <c r="G506" s="5" t="str">
        <f>IFERROR(__xludf.DUMMYFUNCTION("""COMPUTED_VALUE"""),"CPCD50")</f>
        <v>CPCD50</v>
      </c>
      <c r="H506" s="5" t="str">
        <f>IFERROR(__xludf.DUMMYFUNCTION("""COMPUTED_VALUE"""),"69HP")</f>
        <v>69HP</v>
      </c>
      <c r="I506" s="5" t="str">
        <f>IFERROR(__xludf.DUMMYFUNCTION("""COMPUTED_VALUE"""),"010503S3572")</f>
        <v>010503S3572</v>
      </c>
      <c r="J506" s="5" t="str">
        <f>IFERROR(__xludf.DUMMYFUNCTION("""COMPUTED_VALUE"""),"CCN")</f>
        <v>CCN</v>
      </c>
      <c r="K506" s="5">
        <f>IFERROR(__xludf.DUMMYFUNCTION("""COMPUTED_VALUE"""),2.5)</f>
        <v>2.5</v>
      </c>
      <c r="L506" s="5" t="str">
        <f>IFERROR(__xludf.DUMMYFUNCTION("""COMPUTED_VALUE"""),"KLH")</f>
        <v>KLH</v>
      </c>
    </row>
    <row r="507">
      <c r="A507" s="168" t="str">
        <f>IFERROR(__xludf.DUMMYFUNCTION("""COMPUTED_VALUE"""),"CKD-MKE-001")</f>
        <v>CKD-MKE-001</v>
      </c>
      <c r="B507" s="3" t="str">
        <f>IFERROR(__xludf.DUMMYFUNCTION("""COMPUTED_VALUE"""),"Máy cày KAM50")</f>
        <v>Máy cày KAM50</v>
      </c>
      <c r="C507" s="5" t="str">
        <f>IFERROR(__xludf.DUMMYFUNCTION("""COMPUTED_VALUE"""),"Xưởng Cơ khí DP")</f>
        <v>Xưởng Cơ khí DP</v>
      </c>
      <c r="D507" s="5" t="str">
        <f>IFERROR(__xludf.DUMMYFUNCTION("""COMPUTED_VALUE"""),"THACO")</f>
        <v>THACO</v>
      </c>
      <c r="E507" s="5" t="str">
        <f>IFERROR(__xludf.DUMMYFUNCTION("""COMPUTED_VALUE"""),"VIỆT NAM")</f>
        <v>VIỆT NAM</v>
      </c>
      <c r="F507" s="5"/>
      <c r="G507" s="5" t="str">
        <f>IFERROR(__xludf.DUMMYFUNCTION("""COMPUTED_VALUE"""),"KAM50")</f>
        <v>KAM50</v>
      </c>
      <c r="H507" s="5" t="str">
        <f>IFERROR(__xludf.DUMMYFUNCTION("""COMPUTED_VALUE"""),"50HP")</f>
        <v>50HP</v>
      </c>
      <c r="I507" s="5" t="str">
        <f>IFERROR(__xludf.DUMMYFUNCTION("""COMPUTED_VALUE"""),"C000080")</f>
        <v>C000080</v>
      </c>
      <c r="J507" s="5"/>
      <c r="K507" s="5">
        <f>IFERROR(__xludf.DUMMYFUNCTION("""COMPUTED_VALUE"""),2.5)</f>
        <v>2.5</v>
      </c>
      <c r="L507" s="5" t="str">
        <f>IFERROR(__xludf.DUMMYFUNCTION("""COMPUTED_VALUE"""),"KLH")</f>
        <v>KLH</v>
      </c>
    </row>
    <row r="508">
      <c r="A508" s="168" t="str">
        <f>IFERROR(__xludf.DUMMYFUNCTION("""COMPUTED_VALUE"""),"CKD-MKE-002")</f>
        <v>CKD-MKE-002</v>
      </c>
      <c r="B508" s="3" t="str">
        <f>IFERROR(__xludf.DUMMYFUNCTION("""COMPUTED_VALUE"""),"Máy cày KAM50")</f>
        <v>Máy cày KAM50</v>
      </c>
      <c r="C508" s="5" t="str">
        <f>IFERROR(__xludf.DUMMYFUNCTION("""COMPUTED_VALUE"""),"Xưởng Cơ khí DP")</f>
        <v>Xưởng Cơ khí DP</v>
      </c>
      <c r="D508" s="5" t="str">
        <f>IFERROR(__xludf.DUMMYFUNCTION("""COMPUTED_VALUE"""),"THACO")</f>
        <v>THACO</v>
      </c>
      <c r="E508" s="5" t="str">
        <f>IFERROR(__xludf.DUMMYFUNCTION("""COMPUTED_VALUE"""),"VIỆT NAM")</f>
        <v>VIỆT NAM</v>
      </c>
      <c r="F508" s="5"/>
      <c r="G508" s="5" t="str">
        <f>IFERROR(__xludf.DUMMYFUNCTION("""COMPUTED_VALUE"""),"KAM50")</f>
        <v>KAM50</v>
      </c>
      <c r="H508" s="5" t="str">
        <f>IFERROR(__xludf.DUMMYFUNCTION("""COMPUTED_VALUE"""),"50HP")</f>
        <v>50HP</v>
      </c>
      <c r="I508" s="5" t="str">
        <f>IFERROR(__xludf.DUMMYFUNCTION("""COMPUTED_VALUE"""),"C000016")</f>
        <v>C000016</v>
      </c>
      <c r="J508" s="5"/>
      <c r="K508" s="5">
        <f>IFERROR(__xludf.DUMMYFUNCTION("""COMPUTED_VALUE"""),2.5)</f>
        <v>2.5</v>
      </c>
      <c r="L508" s="5" t="str">
        <f>IFERROR(__xludf.DUMMYFUNCTION("""COMPUTED_VALUE"""),"KLH")</f>
        <v>KLH</v>
      </c>
    </row>
    <row r="509">
      <c r="A509" s="168" t="str">
        <f>IFERROR(__xludf.DUMMYFUNCTION("""COMPUTED_VALUE"""),"CKD-MKE-003")</f>
        <v>CKD-MKE-003</v>
      </c>
      <c r="B509" s="3" t="str">
        <f>IFERROR(__xludf.DUMMYFUNCTION("""COMPUTED_VALUE"""),"Máy cày KAM50")</f>
        <v>Máy cày KAM50</v>
      </c>
      <c r="C509" s="5" t="str">
        <f>IFERROR(__xludf.DUMMYFUNCTION("""COMPUTED_VALUE"""),"Xưởng Cơ khí DP")</f>
        <v>Xưởng Cơ khí DP</v>
      </c>
      <c r="D509" s="5" t="str">
        <f>IFERROR(__xludf.DUMMYFUNCTION("""COMPUTED_VALUE"""),"THACO")</f>
        <v>THACO</v>
      </c>
      <c r="E509" s="5" t="str">
        <f>IFERROR(__xludf.DUMMYFUNCTION("""COMPUTED_VALUE"""),"VIỆT NAM")</f>
        <v>VIỆT NAM</v>
      </c>
      <c r="F509" s="5">
        <f>IFERROR(__xludf.DUMMYFUNCTION("""COMPUTED_VALUE"""),2012.0)</f>
        <v>2012</v>
      </c>
      <c r="G509" s="5" t="str">
        <f>IFERROR(__xludf.DUMMYFUNCTION("""COMPUTED_VALUE"""),"KAM50")</f>
        <v>KAM50</v>
      </c>
      <c r="H509" s="5" t="str">
        <f>IFERROR(__xludf.DUMMYFUNCTION("""COMPUTED_VALUE"""),"50HP")</f>
        <v>50HP</v>
      </c>
      <c r="I509" s="5" t="str">
        <f>IFERROR(__xludf.DUMMYFUNCTION("""COMPUTED_VALUE"""),"TAMMT05AJC000044")</f>
        <v>TAMMT05AJC000044</v>
      </c>
      <c r="J509" s="5" t="str">
        <f>IFERROR(__xludf.DUMMYFUNCTION("""COMPUTED_VALUE"""),"CCN")</f>
        <v>CCN</v>
      </c>
      <c r="K509" s="5">
        <f>IFERROR(__xludf.DUMMYFUNCTION("""COMPUTED_VALUE"""),2.5)</f>
        <v>2.5</v>
      </c>
      <c r="L509" s="5" t="str">
        <f>IFERROR(__xludf.DUMMYFUNCTION("""COMPUTED_VALUE"""),"KLH")</f>
        <v>KLH</v>
      </c>
    </row>
    <row r="510">
      <c r="A510" s="168" t="str">
        <f>IFERROR(__xludf.DUMMYFUNCTION("""COMPUTED_VALUE"""),"CKD-XCA-001")</f>
        <v>CKD-XCA-001</v>
      </c>
      <c r="B510" s="3" t="str">
        <f>IFERROR(__xludf.DUMMYFUNCTION("""COMPUTED_VALUE"""),"Xe cẩu 3.5 tấn")</f>
        <v>Xe cẩu 3.5 tấn</v>
      </c>
      <c r="C510" s="5" t="str">
        <f>IFERROR(__xludf.DUMMYFUNCTION("""COMPUTED_VALUE"""),"Xưởng Cơ khí DP")</f>
        <v>Xưởng Cơ khí DP</v>
      </c>
      <c r="D510" s="5" t="str">
        <f>IFERROR(__xludf.DUMMYFUNCTION("""COMPUTED_VALUE"""),"THACO ")</f>
        <v>THACO </v>
      </c>
      <c r="E510" s="5" t="str">
        <f>IFERROR(__xludf.DUMMYFUNCTION("""COMPUTED_VALUE"""),"VIỆT NAM")</f>
        <v>VIỆT NAM</v>
      </c>
      <c r="F510" s="5">
        <f>IFERROR(__xludf.DUMMYFUNCTION("""COMPUTED_VALUE"""),2018.0)</f>
        <v>2018</v>
      </c>
      <c r="G510" s="5" t="str">
        <f>IFERROR(__xludf.DUMMYFUNCTION("""COMPUTED_VALUE"""),"Ollin 900B")</f>
        <v>Ollin 900B</v>
      </c>
      <c r="H510" s="5" t="str">
        <f>IFERROR(__xludf.DUMMYFUNCTION("""COMPUTED_VALUE"""),"160HP")</f>
        <v>160HP</v>
      </c>
      <c r="I510" s="5" t="str">
        <f>IFERROR(__xludf.DUMMYFUNCTION("""COMPUTED_VALUE"""),"RNHA1550BHC063037")</f>
        <v>RNHA1550BHC063037</v>
      </c>
      <c r="J510" s="5" t="str">
        <f>IFERROR(__xludf.DUMMYFUNCTION("""COMPUTED_VALUE"""),"YC4E160-33E37F2H00227")</f>
        <v>YC4E160-33E37F2H00227</v>
      </c>
      <c r="K510" s="5">
        <f>IFERROR(__xludf.DUMMYFUNCTION("""COMPUTED_VALUE"""),5.0)</f>
        <v>5</v>
      </c>
      <c r="L510" s="5" t="str">
        <f>IFERROR(__xludf.DUMMYFUNCTION("""COMPUTED_VALUE"""),"KLH")</f>
        <v>KLH</v>
      </c>
    </row>
    <row r="511">
      <c r="A511" s="168" t="str">
        <f>IFERROR(__xludf.DUMMYFUNCTION("""COMPUTED_VALUE"""),"CKC-XCA-001")</f>
        <v>CKC-XCA-001</v>
      </c>
      <c r="B511" s="3" t="str">
        <f>IFERROR(__xludf.DUMMYFUNCTION("""COMPUTED_VALUE"""),"Xe cẩu Hyundai 5 tấn")</f>
        <v>Xe cẩu Hyundai 5 tấn</v>
      </c>
      <c r="C511" s="5" t="str">
        <f>IFERROR(__xludf.DUMMYFUNCTION("""COMPUTED_VALUE"""),"Thagricons")</f>
        <v>Thagricons</v>
      </c>
      <c r="D511" s="5" t="str">
        <f>IFERROR(__xludf.DUMMYFUNCTION("""COMPUTED_VALUE"""),"HYUNDAI")</f>
        <v>HYUNDAI</v>
      </c>
      <c r="E511" s="5" t="str">
        <f>IFERROR(__xludf.DUMMYFUNCTION("""COMPUTED_VALUE"""),"HÀN QUỐC")</f>
        <v>HÀN QUỐC</v>
      </c>
      <c r="F511" s="5"/>
      <c r="G511" s="5"/>
      <c r="H511" s="5"/>
      <c r="I511" s="5" t="str">
        <f>IFERROR(__xludf.DUMMYFUNCTION("""COMPUTED_VALUE"""),"CCN")</f>
        <v>CCN</v>
      </c>
      <c r="J511" s="5" t="str">
        <f>IFERROR(__xludf.DUMMYFUNCTION("""COMPUTED_VALUE"""),"107291")</f>
        <v>107291</v>
      </c>
      <c r="K511" s="5">
        <f>IFERROR(__xludf.DUMMYFUNCTION("""COMPUTED_VALUE"""),4.2)</f>
        <v>4.2</v>
      </c>
      <c r="L511" s="5" t="str">
        <f>IFERROR(__xludf.DUMMYFUNCTION("""COMPUTED_VALUE"""),"KLH")</f>
        <v>KLH</v>
      </c>
    </row>
    <row r="512">
      <c r="A512" s="168" t="str">
        <f>IFERROR(__xludf.DUMMYFUNCTION("""COMPUTED_VALUE"""),"CKC-XCA-004")</f>
        <v>CKC-XCA-004</v>
      </c>
      <c r="B512" s="3" t="str">
        <f>IFERROR(__xludf.DUMMYFUNCTION("""COMPUTED_VALUE"""),"Xe cẩu ZOOMLION 55 tấn")</f>
        <v>Xe cẩu ZOOMLION 55 tấn</v>
      </c>
      <c r="C512" s="5" t="str">
        <f>IFERROR(__xludf.DUMMYFUNCTION("""COMPUTED_VALUE"""),"Thagricons")</f>
        <v>Thagricons</v>
      </c>
      <c r="D512" s="5" t="str">
        <f>IFERROR(__xludf.DUMMYFUNCTION("""COMPUTED_VALUE"""),"ZOOMLION")</f>
        <v>ZOOMLION</v>
      </c>
      <c r="E512" s="5" t="str">
        <f>IFERROR(__xludf.DUMMYFUNCTION("""COMPUTED_VALUE"""),"TRUNG QUỐC")</f>
        <v>TRUNG QUỐC</v>
      </c>
      <c r="F512" s="5">
        <f>IFERROR(__xludf.DUMMYFUNCTION("""COMPUTED_VALUE"""),2023.0)</f>
        <v>2023</v>
      </c>
      <c r="G512" s="5" t="str">
        <f>IFERROR(__xludf.DUMMYFUNCTION("""COMPUTED_VALUE"""),"ZTC550V532-1")</f>
        <v>ZTC550V532-1</v>
      </c>
      <c r="H512" s="5" t="str">
        <f>IFERROR(__xludf.DUMMYFUNCTION("""COMPUTED_VALUE"""),"336HP")</f>
        <v>336HP</v>
      </c>
      <c r="I512" s="5" t="str">
        <f>IFERROR(__xludf.DUMMYFUNCTION("""COMPUTED_VALUE"""),"L5E6H4D33PA014676")</f>
        <v>L5E6H4D33PA014676</v>
      </c>
      <c r="J512" s="5" t="str">
        <f>IFERROR(__xludf.DUMMYFUNCTION("""COMPUTED_VALUE"""),"WP103361623G017019")</f>
        <v>WP103361623G017019</v>
      </c>
      <c r="K512" s="5">
        <f>IFERROR(__xludf.DUMMYFUNCTION("""COMPUTED_VALUE"""),7.5)</f>
        <v>7.5</v>
      </c>
      <c r="L512" s="5" t="str">
        <f>IFERROR(__xludf.DUMMYFUNCTION("""COMPUTED_VALUE"""),"KLH")</f>
        <v>KLH</v>
      </c>
    </row>
    <row r="513">
      <c r="A513" s="168" t="str">
        <f>IFERROR(__xludf.DUMMYFUNCTION("""COMPUTED_VALUE"""),"CKC-XCA-006")</f>
        <v>CKC-XCA-006</v>
      </c>
      <c r="B513" s="3" t="str">
        <f>IFERROR(__xludf.DUMMYFUNCTION("""COMPUTED_VALUE"""),"Xe cẩu 3.5 tấn")</f>
        <v>Xe cẩu 3.5 tấn</v>
      </c>
      <c r="C513" s="5" t="str">
        <f>IFERROR(__xludf.DUMMYFUNCTION("""COMPUTED_VALUE"""),"Thagricons")</f>
        <v>Thagricons</v>
      </c>
      <c r="D513" s="5" t="str">
        <f>IFERROR(__xludf.DUMMYFUNCTION("""COMPUTED_VALUE"""),"THACO")</f>
        <v>THACO</v>
      </c>
      <c r="E513" s="5" t="str">
        <f>IFERROR(__xludf.DUMMYFUNCTION("""COMPUTED_VALUE"""),"VIỆT NAM")</f>
        <v>VIỆT NAM</v>
      </c>
      <c r="F513" s="5">
        <f>IFERROR(__xludf.DUMMYFUNCTION("""COMPUTED_VALUE"""),2018.0)</f>
        <v>2018</v>
      </c>
      <c r="G513" s="5" t="str">
        <f>IFERROR(__xludf.DUMMYFUNCTION("""COMPUTED_VALUE"""),"Ollin 900B")</f>
        <v>Ollin 900B</v>
      </c>
      <c r="H513" s="5" t="str">
        <f>IFERROR(__xludf.DUMMYFUNCTION("""COMPUTED_VALUE"""),"160HP")</f>
        <v>160HP</v>
      </c>
      <c r="I513" s="5" t="str">
        <f>IFERROR(__xludf.DUMMYFUNCTION("""COMPUTED_VALUE"""),"RNHA1550BHC063042")</f>
        <v>RNHA1550BHC063042</v>
      </c>
      <c r="J513" s="5" t="str">
        <f>IFERROR(__xludf.DUMMYFUNCTION("""COMPUTED_VALUE"""),"YC4E160-33E37F2H00201")</f>
        <v>YC4E160-33E37F2H00201</v>
      </c>
      <c r="K513" s="5">
        <f>IFERROR(__xludf.DUMMYFUNCTION("""COMPUTED_VALUE"""),5.0)</f>
        <v>5</v>
      </c>
      <c r="L513" s="5" t="str">
        <f>IFERROR(__xludf.DUMMYFUNCTION("""COMPUTED_VALUE"""),"KLH")</f>
        <v>KLH</v>
      </c>
    </row>
    <row r="514">
      <c r="A514" s="168" t="str">
        <f>IFERROR(__xludf.DUMMYFUNCTION("""COMPUTED_VALUE"""),"CKC-XCA-009")</f>
        <v>CKC-XCA-009</v>
      </c>
      <c r="B514" s="3" t="str">
        <f>IFERROR(__xludf.DUMMYFUNCTION("""COMPUTED_VALUE"""),"Xe cẩu thùng FOTON AUMAN 8 tấn")</f>
        <v>Xe cẩu thùng FOTON AUMAN 8 tấn</v>
      </c>
      <c r="C514" s="5" t="str">
        <f>IFERROR(__xludf.DUMMYFUNCTION("""COMPUTED_VALUE"""),"Thagricons")</f>
        <v>Thagricons</v>
      </c>
      <c r="D514" s="5" t="str">
        <f>IFERROR(__xludf.DUMMYFUNCTION("""COMPUTED_VALUE"""),"FOTON AUMAN")</f>
        <v>FOTON AUMAN</v>
      </c>
      <c r="E514" s="5" t="str">
        <f>IFERROR(__xludf.DUMMYFUNCTION("""COMPUTED_VALUE"""),"Việt Nam")</f>
        <v>Việt Nam</v>
      </c>
      <c r="F514" s="5">
        <f>IFERROR(__xludf.DUMMYFUNCTION("""COMPUTED_VALUE"""),2022.0)</f>
        <v>2022</v>
      </c>
      <c r="G514" s="5" t="str">
        <f>IFERROR(__xludf.DUMMYFUNCTION("""COMPUTED_VALUE""")," C240")</f>
        <v> C240</v>
      </c>
      <c r="H514" s="5" t="str">
        <f>IFERROR(__xludf.DUMMYFUNCTION("""COMPUTED_VALUE"""),"266HP")</f>
        <v>266HP</v>
      </c>
      <c r="I514" s="5" t="str">
        <f>IFERROR(__xludf.DUMMYFUNCTION("""COMPUTED_VALUE"""),"RNHA24FCANT056597")</f>
        <v>RNHA24FCANT056597</v>
      </c>
      <c r="J514" s="5" t="str">
        <f>IFERROR(__xludf.DUMMYFUNCTION("""COMPUTED_VALUE"""),"82162916")</f>
        <v>82162916</v>
      </c>
      <c r="K514" s="5">
        <f>IFERROR(__xludf.DUMMYFUNCTION("""COMPUTED_VALUE"""),6.0)</f>
        <v>6</v>
      </c>
      <c r="L514" s="5" t="str">
        <f>IFERROR(__xludf.DUMMYFUNCTION("""COMPUTED_VALUE"""),"KLH")</f>
        <v>KLH</v>
      </c>
    </row>
    <row r="515">
      <c r="A515" s="168" t="str">
        <f>IFERROR(__xludf.DUMMYFUNCTION("""COMPUTED_VALUE"""),"CHT-XCA-003")</f>
        <v>CHT-XCA-003</v>
      </c>
      <c r="B515" s="3" t="str">
        <f>IFERROR(__xludf.DUMMYFUNCTION("""COMPUTED_VALUE"""),"Xe cẩu thùng FOTON AUMAN 8 tấn")</f>
        <v>Xe cẩu thùng FOTON AUMAN 8 tấn</v>
      </c>
      <c r="C515" s="5" t="str">
        <f>IFERROR(__xludf.DUMMYFUNCTION("""COMPUTED_VALUE"""),"Thagricons")</f>
        <v>Thagricons</v>
      </c>
      <c r="D515" s="5" t="str">
        <f>IFERROR(__xludf.DUMMYFUNCTION("""COMPUTED_VALUE"""),"FOTON AUMAN")</f>
        <v>FOTON AUMAN</v>
      </c>
      <c r="E515" s="5" t="str">
        <f>IFERROR(__xludf.DUMMYFUNCTION("""COMPUTED_VALUE"""),"VIỆT NAM")</f>
        <v>VIỆT NAM</v>
      </c>
      <c r="F515" s="5">
        <f>IFERROR(__xludf.DUMMYFUNCTION("""COMPUTED_VALUE"""),2023.0)</f>
        <v>2023</v>
      </c>
      <c r="G515" s="5" t="str">
        <f>IFERROR(__xludf.DUMMYFUNCTION("""COMPUTED_VALUE"""),"C240")</f>
        <v>C240</v>
      </c>
      <c r="H515" s="5" t="str">
        <f>IFERROR(__xludf.DUMMYFUNCTION("""COMPUTED_VALUE"""),"270HP")</f>
        <v>270HP</v>
      </c>
      <c r="I515" s="5" t="str">
        <f>IFERROR(__xludf.DUMMYFUNCTION("""COMPUTED_VALUE"""),"RNHA24FCAPT080028")</f>
        <v>RNHA24FCAPT080028</v>
      </c>
      <c r="J515" s="5" t="str">
        <f>IFERROR(__xludf.DUMMYFUNCTION("""COMPUTED_VALUE"""),"ISDE2704082442137")</f>
        <v>ISDE2704082442137</v>
      </c>
      <c r="K515" s="5">
        <f>IFERROR(__xludf.DUMMYFUNCTION("""COMPUTED_VALUE"""),6.0)</f>
        <v>6</v>
      </c>
      <c r="L515" s="5" t="str">
        <f>IFERROR(__xludf.DUMMYFUNCTION("""COMPUTED_VALUE"""),"KLH")</f>
        <v>KLH</v>
      </c>
    </row>
    <row r="516">
      <c r="A516" s="168" t="str">
        <f>IFERROR(__xludf.DUMMYFUNCTION("""COMPUTED_VALUE"""),"CKC-XCA-003")</f>
        <v>CKC-XCA-003</v>
      </c>
      <c r="B516" s="3" t="str">
        <f>IFERROR(__xludf.DUMMYFUNCTION("""COMPUTED_VALUE"""),"Xe cẩu AUMAN 15 tấn")</f>
        <v>Xe cẩu AUMAN 15 tấn</v>
      </c>
      <c r="C516" s="5" t="str">
        <f>IFERROR(__xludf.DUMMYFUNCTION("""COMPUTED_VALUE"""),"Thagricons")</f>
        <v>Thagricons</v>
      </c>
      <c r="D516" s="5" t="str">
        <f>IFERROR(__xludf.DUMMYFUNCTION("""COMPUTED_VALUE"""),"AUMAN")</f>
        <v>AUMAN</v>
      </c>
      <c r="E516" s="5" t="str">
        <f>IFERROR(__xludf.DUMMYFUNCTION("""COMPUTED_VALUE"""),"VIỆT NAM")</f>
        <v>VIỆT NAM</v>
      </c>
      <c r="F516" s="5"/>
      <c r="G516" s="5" t="str">
        <f>IFERROR(__xludf.DUMMYFUNCTION("""COMPUTED_VALUE"""),"C34")</f>
        <v>C34</v>
      </c>
      <c r="H516" s="5" t="str">
        <f>IFERROR(__xludf.DUMMYFUNCTION("""COMPUTED_VALUE"""),"335HP")</f>
        <v>335HP</v>
      </c>
      <c r="I516" s="5" t="str">
        <f>IFERROR(__xludf.DUMMYFUNCTION("""COMPUTED_VALUE"""),"21615E037691 ")</f>
        <v>21615E037691 </v>
      </c>
      <c r="J516" s="5" t="str">
        <f>IFERROR(__xludf.DUMMYFUNCTION("""COMPUTED_VALUE"""),"000AFC072313")</f>
        <v>000AFC072313</v>
      </c>
      <c r="K516" s="5">
        <f>IFERROR(__xludf.DUMMYFUNCTION("""COMPUTED_VALUE"""),7.1)</f>
        <v>7.1</v>
      </c>
      <c r="L516" s="5" t="str">
        <f>IFERROR(__xludf.DUMMYFUNCTION("""COMPUTED_VALUE"""),"KLH")</f>
        <v>KLH</v>
      </c>
    </row>
    <row r="517">
      <c r="A517" s="168" t="str">
        <f>IFERROR(__xludf.DUMMYFUNCTION("""COMPUTED_VALUE"""),"CKC-XNA-001")</f>
        <v>CKC-XNA-001</v>
      </c>
      <c r="B517" s="3" t="str">
        <f>IFERROR(__xludf.DUMMYFUNCTION("""COMPUTED_VALUE"""),"Xe nâng 2.5 tấn")</f>
        <v>Xe nâng 2.5 tấn</v>
      </c>
      <c r="C517" s="5" t="str">
        <f>IFERROR(__xludf.DUMMYFUNCTION("""COMPUTED_VALUE"""),"Thagricons")</f>
        <v>Thagricons</v>
      </c>
      <c r="D517" s="5" t="str">
        <f>IFERROR(__xludf.DUMMYFUNCTION("""COMPUTED_VALUE"""),"HELI")</f>
        <v>HELI</v>
      </c>
      <c r="E517" s="5"/>
      <c r="F517" s="5"/>
      <c r="G517" s="5"/>
      <c r="H517" s="5"/>
      <c r="I517" s="5" t="str">
        <f>IFERROR(__xludf.DUMMYFUNCTION("""COMPUTED_VALUE"""),"4TNE98")</f>
        <v>4TNE98</v>
      </c>
      <c r="J517" s="5" t="str">
        <f>IFERROR(__xludf.DUMMYFUNCTION("""COMPUTED_VALUE"""),"CCN")</f>
        <v>CCN</v>
      </c>
      <c r="K517" s="5">
        <f>IFERROR(__xludf.DUMMYFUNCTION("""COMPUTED_VALUE"""),2.0)</f>
        <v>2</v>
      </c>
      <c r="L517" s="5" t="str">
        <f>IFERROR(__xludf.DUMMYFUNCTION("""COMPUTED_VALUE"""),"KLH")</f>
        <v>KLH</v>
      </c>
    </row>
    <row r="518">
      <c r="A518" s="168" t="str">
        <f>IFERROR(__xludf.DUMMYFUNCTION("""COMPUTED_VALUE"""),"CKC-MKE-004")</f>
        <v>CKC-MKE-004</v>
      </c>
      <c r="B518" s="3" t="str">
        <f>IFERROR(__xludf.DUMMYFUNCTION("""COMPUTED_VALUE"""),"Máy cày M6040")</f>
        <v>Máy cày M6040</v>
      </c>
      <c r="C518" s="5" t="str">
        <f>IFERROR(__xludf.DUMMYFUNCTION("""COMPUTED_VALUE"""),"Thagricons")</f>
        <v>Thagricons</v>
      </c>
      <c r="D518" s="5" t="str">
        <f>IFERROR(__xludf.DUMMYFUNCTION("""COMPUTED_VALUE"""),"KUBOTA")</f>
        <v>KUBOTA</v>
      </c>
      <c r="E518" s="5" t="str">
        <f>IFERROR(__xludf.DUMMYFUNCTION("""COMPUTED_VALUE"""),"NHẬT BẢN")</f>
        <v>NHẬT BẢN</v>
      </c>
      <c r="F518" s="5">
        <f>IFERROR(__xludf.DUMMYFUNCTION("""COMPUTED_VALUE"""),2013.0)</f>
        <v>2013</v>
      </c>
      <c r="G518" s="5" t="str">
        <f>IFERROR(__xludf.DUMMYFUNCTION("""COMPUTED_VALUE"""),"M6040")</f>
        <v>M6040</v>
      </c>
      <c r="H518" s="5" t="str">
        <f>IFERROR(__xludf.DUMMYFUNCTION("""COMPUTED_VALUE"""),"60HP")</f>
        <v>60HP</v>
      </c>
      <c r="I518" s="5" t="str">
        <f>IFERROR(__xludf.DUMMYFUNCTION("""COMPUTED_VALUE"""),"FD202H-16335")</f>
        <v>FD202H-16335</v>
      </c>
      <c r="J518" s="5" t="str">
        <f>IFERROR(__xludf.DUMMYFUNCTION("""COMPUTED_VALUE"""),"CCN")</f>
        <v>CCN</v>
      </c>
      <c r="K518" s="5">
        <f>IFERROR(__xludf.DUMMYFUNCTION("""COMPUTED_VALUE"""),3.5)</f>
        <v>3.5</v>
      </c>
      <c r="L518" s="5" t="str">
        <f>IFERROR(__xludf.DUMMYFUNCTION("""COMPUTED_VALUE"""),"KLH")</f>
        <v>KLH</v>
      </c>
    </row>
    <row r="519">
      <c r="A519" s="168" t="str">
        <f>IFERROR(__xludf.DUMMYFUNCTION("""COMPUTED_VALUE"""),"CKC-MKE-003")</f>
        <v>CKC-MKE-003</v>
      </c>
      <c r="B519" s="3" t="str">
        <f>IFERROR(__xludf.DUMMYFUNCTION("""COMPUTED_VALUE"""),"Máy cày SHIBAURA")</f>
        <v>Máy cày SHIBAURA</v>
      </c>
      <c r="C519" s="5" t="str">
        <f>IFERROR(__xludf.DUMMYFUNCTION("""COMPUTED_VALUE"""),"Thagricons")</f>
        <v>Thagricons</v>
      </c>
      <c r="D519" s="5" t="str">
        <f>IFERROR(__xludf.DUMMYFUNCTION("""COMPUTED_VALUE"""),"SHIBAURA")</f>
        <v>SHIBAURA</v>
      </c>
      <c r="E519" s="5" t="str">
        <f>IFERROR(__xludf.DUMMYFUNCTION("""COMPUTED_VALUE"""),"NHẬT BẢN")</f>
        <v>NHẬT BẢN</v>
      </c>
      <c r="F519" s="5"/>
      <c r="G519" s="5"/>
      <c r="H519" s="5" t="str">
        <f>IFERROR(__xludf.DUMMYFUNCTION("""COMPUTED_VALUE"""),"20HP")</f>
        <v>20HP</v>
      </c>
      <c r="I519" s="5" t="str">
        <f>IFERROR(__xludf.DUMMYFUNCTION("""COMPUTED_VALUE"""),"10434T")</f>
        <v>10434T</v>
      </c>
      <c r="J519" s="5" t="str">
        <f>IFERROR(__xludf.DUMMYFUNCTION("""COMPUTED_VALUE"""),"CCN")</f>
        <v>CCN</v>
      </c>
      <c r="K519" s="5"/>
      <c r="L519" s="5" t="str">
        <f>IFERROR(__xludf.DUMMYFUNCTION("""COMPUTED_VALUE"""),"KLH")</f>
        <v>KLH</v>
      </c>
    </row>
    <row r="520">
      <c r="A520" s="168" t="str">
        <f>IFERROR(__xludf.DUMMYFUNCTION("""COMPUTED_VALUE"""),"CKC-MKE-002")</f>
        <v>CKC-MKE-002</v>
      </c>
      <c r="B520" s="3" t="str">
        <f>IFERROR(__xludf.DUMMYFUNCTION("""COMPUTED_VALUE"""),"Máy cày KAM50")</f>
        <v>Máy cày KAM50</v>
      </c>
      <c r="C520" s="5" t="str">
        <f>IFERROR(__xludf.DUMMYFUNCTION("""COMPUTED_VALUE"""),"Thagricons")</f>
        <v>Thagricons</v>
      </c>
      <c r="D520" s="5" t="str">
        <f>IFERROR(__xludf.DUMMYFUNCTION("""COMPUTED_VALUE"""),"THACO")</f>
        <v>THACO</v>
      </c>
      <c r="E520" s="5" t="str">
        <f>IFERROR(__xludf.DUMMYFUNCTION("""COMPUTED_VALUE"""),"VIỆT NAM")</f>
        <v>VIỆT NAM</v>
      </c>
      <c r="F520" s="5">
        <f>IFERROR(__xludf.DUMMYFUNCTION("""COMPUTED_VALUE"""),2012.0)</f>
        <v>2012</v>
      </c>
      <c r="G520" s="5" t="str">
        <f>IFERROR(__xludf.DUMMYFUNCTION("""COMPUTED_VALUE"""),"KAM50")</f>
        <v>KAM50</v>
      </c>
      <c r="H520" s="5" t="str">
        <f>IFERROR(__xludf.DUMMYFUNCTION("""COMPUTED_VALUE"""),"50HP")</f>
        <v>50HP</v>
      </c>
      <c r="I520" s="5" t="str">
        <f>IFERROR(__xludf.DUMMYFUNCTION("""COMPUTED_VALUE"""),"TAMMT05AJC000089")</f>
        <v>TAMMT05AJC000089</v>
      </c>
      <c r="J520" s="5" t="str">
        <f>IFERROR(__xludf.DUMMYFUNCTION("""COMPUTED_VALUE"""),"CCN")</f>
        <v>CCN</v>
      </c>
      <c r="K520" s="5">
        <f>IFERROR(__xludf.DUMMYFUNCTION("""COMPUTED_VALUE"""),2.5)</f>
        <v>2.5</v>
      </c>
      <c r="L520" s="5" t="str">
        <f>IFERROR(__xludf.DUMMYFUNCTION("""COMPUTED_VALUE"""),"KLH")</f>
        <v>KLH</v>
      </c>
    </row>
    <row r="521">
      <c r="A521" s="168" t="str">
        <f>IFERROR(__xludf.DUMMYFUNCTION("""COMPUTED_VALUE"""),"CKC-XNA-002")</f>
        <v>CKC-XNA-002</v>
      </c>
      <c r="B521" s="3" t="str">
        <f>IFERROR(__xludf.DUMMYFUNCTION("""COMPUTED_VALUE"""),"Xe nâng dầu YALE 3.5 tấn")</f>
        <v>Xe nâng dầu YALE 3.5 tấn</v>
      </c>
      <c r="C521" s="5" t="str">
        <f>IFERROR(__xludf.DUMMYFUNCTION("""COMPUTED_VALUE"""),"Thagricons")</f>
        <v>Thagricons</v>
      </c>
      <c r="D521" s="5" t="str">
        <f>IFERROR(__xludf.DUMMYFUNCTION("""COMPUTED_VALUE"""),"YALE")</f>
        <v>YALE</v>
      </c>
      <c r="E521" s="5" t="str">
        <f>IFERROR(__xludf.DUMMYFUNCTION("""COMPUTED_VALUE"""),"NHẬT BẢN")</f>
        <v>NHẬT BẢN</v>
      </c>
      <c r="F521" s="5"/>
      <c r="G521" s="5"/>
      <c r="H521" s="5"/>
      <c r="I521" s="5" t="str">
        <f>IFERROR(__xludf.DUMMYFUNCTION("""COMPUTED_VALUE"""),"31059")</f>
        <v>31059</v>
      </c>
      <c r="J521" s="5" t="str">
        <f>IFERROR(__xludf.DUMMYFUNCTION("""COMPUTED_VALUE"""),"4TNE98-805NNF")</f>
        <v>4TNE98-805NNF</v>
      </c>
      <c r="K521" s="5">
        <f>IFERROR(__xludf.DUMMYFUNCTION("""COMPUTED_VALUE"""),2.5)</f>
        <v>2.5</v>
      </c>
      <c r="L521" s="5" t="str">
        <f>IFERROR(__xludf.DUMMYFUNCTION("""COMPUTED_VALUE"""),"KLH")</f>
        <v>KLH</v>
      </c>
    </row>
    <row r="522">
      <c r="A522" s="168" t="str">
        <f>IFERROR(__xludf.DUMMYFUNCTION("""COMPUTED_VALUE"""),"CKC-XLO-001")</f>
        <v>CKC-XLO-001</v>
      </c>
      <c r="B522" s="3" t="str">
        <f>IFERROR(__xludf.DUMMYFUNCTION("""COMPUTED_VALUE"""),"Xe lôi")</f>
        <v>Xe lôi</v>
      </c>
      <c r="C522" s="5" t="str">
        <f>IFERROR(__xludf.DUMMYFUNCTION("""COMPUTED_VALUE"""),"Thagricons")</f>
        <v>Thagricons</v>
      </c>
      <c r="D522" s="5" t="str">
        <f>IFERROR(__xludf.DUMMYFUNCTION("""COMPUTED_VALUE"""),"THAICO")</f>
        <v>THAICO</v>
      </c>
      <c r="E522" s="5" t="str">
        <f>IFERROR(__xludf.DUMMYFUNCTION("""COMPUTED_VALUE"""),"VIỆT NAM")</f>
        <v>VIỆT NAM</v>
      </c>
      <c r="F522" s="5"/>
      <c r="G522" s="5" t="str">
        <f>IFERROR(__xludf.DUMMYFUNCTION("""COMPUTED_VALUE"""),"150ZH")</f>
        <v>150ZH</v>
      </c>
      <c r="H522" s="5" t="str">
        <f>IFERROR(__xludf.DUMMYFUNCTION("""COMPUTED_VALUE"""),"150HP")</f>
        <v>150HP</v>
      </c>
      <c r="I522" s="5" t="str">
        <f>IFERROR(__xludf.DUMMYFUNCTION("""COMPUTED_VALUE"""),"TH162FMJ-C22060455")</f>
        <v>TH162FMJ-C22060455</v>
      </c>
      <c r="J522" s="5" t="str">
        <f>IFERROR(__xludf.DUMMYFUNCTION("""COMPUTED_VALUE"""),"CCN")</f>
        <v>CCN</v>
      </c>
      <c r="K522" s="5">
        <f>IFERROR(__xludf.DUMMYFUNCTION("""COMPUTED_VALUE"""),2.5)</f>
        <v>2.5</v>
      </c>
      <c r="L522" s="5" t="str">
        <f>IFERROR(__xludf.DUMMYFUNCTION("""COMPUTED_VALUE"""),"KLH")</f>
        <v>KLH</v>
      </c>
    </row>
    <row r="523">
      <c r="A523" s="168" t="str">
        <f>IFERROR(__xludf.DUMMYFUNCTION("""COMPUTED_VALUE"""),"CKC-XLO-002")</f>
        <v>CKC-XLO-002</v>
      </c>
      <c r="B523" s="3" t="str">
        <f>IFERROR(__xludf.DUMMYFUNCTION("""COMPUTED_VALUE"""),"Xe lôi")</f>
        <v>Xe lôi</v>
      </c>
      <c r="C523" s="5" t="str">
        <f>IFERROR(__xludf.DUMMYFUNCTION("""COMPUTED_VALUE"""),"Thagricons")</f>
        <v>Thagricons</v>
      </c>
      <c r="D523" s="5" t="str">
        <f>IFERROR(__xludf.DUMMYFUNCTION("""COMPUTED_VALUE"""),"THAICO")</f>
        <v>THAICO</v>
      </c>
      <c r="E523" s="5" t="str">
        <f>IFERROR(__xludf.DUMMYFUNCTION("""COMPUTED_VALUE"""),"VIỆT NAM")</f>
        <v>VIỆT NAM</v>
      </c>
      <c r="F523" s="5"/>
      <c r="G523" s="5" t="str">
        <f>IFERROR(__xludf.DUMMYFUNCTION("""COMPUTED_VALUE"""),"150ZH")</f>
        <v>150ZH</v>
      </c>
      <c r="H523" s="5" t="str">
        <f>IFERROR(__xludf.DUMMYFUNCTION("""COMPUTED_VALUE"""),"150HP")</f>
        <v>150HP</v>
      </c>
      <c r="I523" s="5" t="str">
        <f>IFERROR(__xludf.DUMMYFUNCTION("""COMPUTED_VALUE"""),"TH162FMJ-C23004009")</f>
        <v>TH162FMJ-C23004009</v>
      </c>
      <c r="J523" s="5" t="str">
        <f>IFERROR(__xludf.DUMMYFUNCTION("""COMPUTED_VALUE"""),"CCN")</f>
        <v>CCN</v>
      </c>
      <c r="K523" s="5">
        <f>IFERROR(__xludf.DUMMYFUNCTION("""COMPUTED_VALUE"""),2.5)</f>
        <v>2.5</v>
      </c>
      <c r="L523" s="5" t="str">
        <f>IFERROR(__xludf.DUMMYFUNCTION("""COMPUTED_VALUE"""),"KLH")</f>
        <v>KLH</v>
      </c>
    </row>
    <row r="524">
      <c r="A524" s="168" t="str">
        <f>IFERROR(__xludf.DUMMYFUNCTION("""COMPUTED_VALUE"""),"CKC-XLO-003")</f>
        <v>CKC-XLO-003</v>
      </c>
      <c r="B524" s="3" t="str">
        <f>IFERROR(__xludf.DUMMYFUNCTION("""COMPUTED_VALUE"""),"Xe lôi")</f>
        <v>Xe lôi</v>
      </c>
      <c r="C524" s="5" t="str">
        <f>IFERROR(__xludf.DUMMYFUNCTION("""COMPUTED_VALUE"""),"Thagricons")</f>
        <v>Thagricons</v>
      </c>
      <c r="D524" s="5" t="str">
        <f>IFERROR(__xludf.DUMMYFUNCTION("""COMPUTED_VALUE"""),"THAICO")</f>
        <v>THAICO</v>
      </c>
      <c r="E524" s="5" t="str">
        <f>IFERROR(__xludf.DUMMYFUNCTION("""COMPUTED_VALUE"""),"VIỆT NAM")</f>
        <v>VIỆT NAM</v>
      </c>
      <c r="F524" s="5"/>
      <c r="G524" s="5" t="str">
        <f>IFERROR(__xludf.DUMMYFUNCTION("""COMPUTED_VALUE"""),"150ZH")</f>
        <v>150ZH</v>
      </c>
      <c r="H524" s="5" t="str">
        <f>IFERROR(__xludf.DUMMYFUNCTION("""COMPUTED_VALUE"""),"150HP")</f>
        <v>150HP</v>
      </c>
      <c r="I524" s="5" t="str">
        <f>IFERROR(__xludf.DUMMYFUNCTION("""COMPUTED_VALUE"""),"TH162FMJ-C23004035")</f>
        <v>TH162FMJ-C23004035</v>
      </c>
      <c r="J524" s="5" t="str">
        <f>IFERROR(__xludf.DUMMYFUNCTION("""COMPUTED_VALUE"""),"CCN")</f>
        <v>CCN</v>
      </c>
      <c r="K524" s="5">
        <f>IFERROR(__xludf.DUMMYFUNCTION("""COMPUTED_VALUE"""),2.5)</f>
        <v>2.5</v>
      </c>
      <c r="L524" s="5" t="str">
        <f>IFERROR(__xludf.DUMMYFUNCTION("""COMPUTED_VALUE"""),"KLH")</f>
        <v>KLH</v>
      </c>
    </row>
    <row r="525">
      <c r="A525" s="168" t="str">
        <f>IFERROR(__xludf.DUMMYFUNCTION("""COMPUTED_VALUE"""),"CKC-XLO-004")</f>
        <v>CKC-XLO-004</v>
      </c>
      <c r="B525" s="3" t="str">
        <f>IFERROR(__xludf.DUMMYFUNCTION("""COMPUTED_VALUE"""),"Xe lôi")</f>
        <v>Xe lôi</v>
      </c>
      <c r="C525" s="5" t="str">
        <f>IFERROR(__xludf.DUMMYFUNCTION("""COMPUTED_VALUE"""),"Thagricons")</f>
        <v>Thagricons</v>
      </c>
      <c r="D525" s="5" t="str">
        <f>IFERROR(__xludf.DUMMYFUNCTION("""COMPUTED_VALUE"""),"THAICO")</f>
        <v>THAICO</v>
      </c>
      <c r="E525" s="5" t="str">
        <f>IFERROR(__xludf.DUMMYFUNCTION("""COMPUTED_VALUE"""),"VIỆT NAM")</f>
        <v>VIỆT NAM</v>
      </c>
      <c r="F525" s="5"/>
      <c r="G525" s="5" t="str">
        <f>IFERROR(__xludf.DUMMYFUNCTION("""COMPUTED_VALUE"""),"150ZH")</f>
        <v>150ZH</v>
      </c>
      <c r="H525" s="5" t="str">
        <f>IFERROR(__xludf.DUMMYFUNCTION("""COMPUTED_VALUE"""),"150HP")</f>
        <v>150HP</v>
      </c>
      <c r="I525" s="5" t="str">
        <f>IFERROR(__xludf.DUMMYFUNCTION("""COMPUTED_VALUE"""),"TH162FMJ-C23004033")</f>
        <v>TH162FMJ-C23004033</v>
      </c>
      <c r="J525" s="5" t="str">
        <f>IFERROR(__xludf.DUMMYFUNCTION("""COMPUTED_VALUE"""),"CCN")</f>
        <v>CCN</v>
      </c>
      <c r="K525" s="5">
        <f>IFERROR(__xludf.DUMMYFUNCTION("""COMPUTED_VALUE"""),2.5)</f>
        <v>2.5</v>
      </c>
      <c r="L525" s="5" t="str">
        <f>IFERROR(__xludf.DUMMYFUNCTION("""COMPUTED_VALUE"""),"KLH")</f>
        <v>KLH</v>
      </c>
    </row>
    <row r="526">
      <c r="A526" s="168" t="str">
        <f>IFERROR(__xludf.DUMMYFUNCTION("""COMPUTED_VALUE"""),"CKC-XLO-005")</f>
        <v>CKC-XLO-005</v>
      </c>
      <c r="B526" s="3" t="str">
        <f>IFERROR(__xludf.DUMMYFUNCTION("""COMPUTED_VALUE"""),"Xe lôi")</f>
        <v>Xe lôi</v>
      </c>
      <c r="C526" s="5" t="str">
        <f>IFERROR(__xludf.DUMMYFUNCTION("""COMPUTED_VALUE"""),"Thagricons")</f>
        <v>Thagricons</v>
      </c>
      <c r="D526" s="5" t="str">
        <f>IFERROR(__xludf.DUMMYFUNCTION("""COMPUTED_VALUE"""),"THAICO")</f>
        <v>THAICO</v>
      </c>
      <c r="E526" s="5" t="str">
        <f>IFERROR(__xludf.DUMMYFUNCTION("""COMPUTED_VALUE"""),"VIỆT NAM")</f>
        <v>VIỆT NAM</v>
      </c>
      <c r="F526" s="5"/>
      <c r="G526" s="5" t="str">
        <f>IFERROR(__xludf.DUMMYFUNCTION("""COMPUTED_VALUE"""),"150ZH")</f>
        <v>150ZH</v>
      </c>
      <c r="H526" s="5" t="str">
        <f>IFERROR(__xludf.DUMMYFUNCTION("""COMPUTED_VALUE"""),"150HP")</f>
        <v>150HP</v>
      </c>
      <c r="I526" s="5" t="str">
        <f>IFERROR(__xludf.DUMMYFUNCTION("""COMPUTED_VALUE"""),"TH162FMJ-C23004039")</f>
        <v>TH162FMJ-C23004039</v>
      </c>
      <c r="J526" s="5" t="str">
        <f>IFERROR(__xludf.DUMMYFUNCTION("""COMPUTED_VALUE"""),"CCN")</f>
        <v>CCN</v>
      </c>
      <c r="K526" s="5">
        <f>IFERROR(__xludf.DUMMYFUNCTION("""COMPUTED_VALUE"""),2.5)</f>
        <v>2.5</v>
      </c>
      <c r="L526" s="5" t="str">
        <f>IFERROR(__xludf.DUMMYFUNCTION("""COMPUTED_VALUE"""),"KLH")</f>
        <v>KLH</v>
      </c>
    </row>
    <row r="527">
      <c r="A527" s="168" t="str">
        <f>IFERROR(__xludf.DUMMYFUNCTION("""COMPUTED_VALUE"""),"CKC-XLO-006")</f>
        <v>CKC-XLO-006</v>
      </c>
      <c r="B527" s="3" t="str">
        <f>IFERROR(__xludf.DUMMYFUNCTION("""COMPUTED_VALUE"""),"Xe lôi")</f>
        <v>Xe lôi</v>
      </c>
      <c r="C527" s="5" t="str">
        <f>IFERROR(__xludf.DUMMYFUNCTION("""COMPUTED_VALUE"""),"Thagricons")</f>
        <v>Thagricons</v>
      </c>
      <c r="D527" s="5" t="str">
        <f>IFERROR(__xludf.DUMMYFUNCTION("""COMPUTED_VALUE"""),"THAICO")</f>
        <v>THAICO</v>
      </c>
      <c r="E527" s="5" t="str">
        <f>IFERROR(__xludf.DUMMYFUNCTION("""COMPUTED_VALUE"""),"VIỆT NAM")</f>
        <v>VIỆT NAM</v>
      </c>
      <c r="F527" s="5"/>
      <c r="G527" s="5" t="str">
        <f>IFERROR(__xludf.DUMMYFUNCTION("""COMPUTED_VALUE"""),"150ZH")</f>
        <v>150ZH</v>
      </c>
      <c r="H527" s="5" t="str">
        <f>IFERROR(__xludf.DUMMYFUNCTION("""COMPUTED_VALUE"""),"150HP")</f>
        <v>150HP</v>
      </c>
      <c r="I527" s="5" t="str">
        <f>IFERROR(__xludf.DUMMYFUNCTION("""COMPUTED_VALUE"""),"TH162FMJ-C22060453")</f>
        <v>TH162FMJ-C22060453</v>
      </c>
      <c r="J527" s="5" t="str">
        <f>IFERROR(__xludf.DUMMYFUNCTION("""COMPUTED_VALUE"""),"CCN")</f>
        <v>CCN</v>
      </c>
      <c r="K527" s="5">
        <f>IFERROR(__xludf.DUMMYFUNCTION("""COMPUTED_VALUE"""),2.5)</f>
        <v>2.5</v>
      </c>
      <c r="L527" s="5" t="str">
        <f>IFERROR(__xludf.DUMMYFUNCTION("""COMPUTED_VALUE"""),"KLH")</f>
        <v>KLH</v>
      </c>
    </row>
    <row r="528">
      <c r="A528" s="168" t="str">
        <f>IFERROR(__xludf.DUMMYFUNCTION("""COMPUTED_VALUE"""),"CKC-XLO-007")</f>
        <v>CKC-XLO-007</v>
      </c>
      <c r="B528" s="3" t="str">
        <f>IFERROR(__xludf.DUMMYFUNCTION("""COMPUTED_VALUE"""),"Xe lôi")</f>
        <v>Xe lôi</v>
      </c>
      <c r="C528" s="5" t="str">
        <f>IFERROR(__xludf.DUMMYFUNCTION("""COMPUTED_VALUE"""),"Thagricons")</f>
        <v>Thagricons</v>
      </c>
      <c r="D528" s="5" t="str">
        <f>IFERROR(__xludf.DUMMYFUNCTION("""COMPUTED_VALUE"""),"LONCIN")</f>
        <v>LONCIN</v>
      </c>
      <c r="E528" s="5" t="str">
        <f>IFERROR(__xludf.DUMMYFUNCTION("""COMPUTED_VALUE"""),"VIỆT NAM")</f>
        <v>VIỆT NAM</v>
      </c>
      <c r="F528" s="5"/>
      <c r="G528" s="5" t="str">
        <f>IFERROR(__xludf.DUMMYFUNCTION("""COMPUTED_VALUE"""),"150ZH")</f>
        <v>150ZH</v>
      </c>
      <c r="H528" s="5" t="str">
        <f>IFERROR(__xludf.DUMMYFUNCTION("""COMPUTED_VALUE"""),"150HP")</f>
        <v>150HP</v>
      </c>
      <c r="I528" s="5" t="str">
        <f>IFERROR(__xludf.DUMMYFUNCTION("""COMPUTED_VALUE"""),"LC162FMJ-TM014863")</f>
        <v>LC162FMJ-TM014863</v>
      </c>
      <c r="J528" s="5" t="str">
        <f>IFERROR(__xludf.DUMMYFUNCTION("""COMPUTED_VALUE"""),"CCN")</f>
        <v>CCN</v>
      </c>
      <c r="K528" s="5">
        <f>IFERROR(__xludf.DUMMYFUNCTION("""COMPUTED_VALUE"""),2.5)</f>
        <v>2.5</v>
      </c>
      <c r="L528" s="5" t="str">
        <f>IFERROR(__xludf.DUMMYFUNCTION("""COMPUTED_VALUE"""),"KLH")</f>
        <v>KLH</v>
      </c>
    </row>
    <row r="529">
      <c r="A529" s="168" t="str">
        <f>IFERROR(__xludf.DUMMYFUNCTION("""COMPUTED_VALUE"""),"CKC-XLO-008")</f>
        <v>CKC-XLO-008</v>
      </c>
      <c r="B529" s="3" t="str">
        <f>IFERROR(__xludf.DUMMYFUNCTION("""COMPUTED_VALUE"""),"Xe lôi")</f>
        <v>Xe lôi</v>
      </c>
      <c r="C529" s="5" t="str">
        <f>IFERROR(__xludf.DUMMYFUNCTION("""COMPUTED_VALUE"""),"Thagricons")</f>
        <v>Thagricons</v>
      </c>
      <c r="D529" s="5" t="str">
        <f>IFERROR(__xludf.DUMMYFUNCTION("""COMPUTED_VALUE"""),"ZONGSHEN")</f>
        <v>ZONGSHEN</v>
      </c>
      <c r="E529" s="5"/>
      <c r="F529" s="5"/>
      <c r="G529" s="5" t="str">
        <f>IFERROR(__xludf.DUMMYFUNCTION("""COMPUTED_VALUE"""),"150ZH")</f>
        <v>150ZH</v>
      </c>
      <c r="H529" s="5" t="str">
        <f>IFERROR(__xludf.DUMMYFUNCTION("""COMPUTED_VALUE"""),"150HP")</f>
        <v>150HP</v>
      </c>
      <c r="I529" s="5" t="str">
        <f>IFERROR(__xludf.DUMMYFUNCTION("""COMPUTED_VALUE"""),"ZS162MJ-L8L300020")</f>
        <v>ZS162MJ-L8L300020</v>
      </c>
      <c r="J529" s="5" t="str">
        <f>IFERROR(__xludf.DUMMYFUNCTION("""COMPUTED_VALUE"""),"CCN")</f>
        <v>CCN</v>
      </c>
      <c r="K529" s="5">
        <f>IFERROR(__xludf.DUMMYFUNCTION("""COMPUTED_VALUE"""),2.5)</f>
        <v>2.5</v>
      </c>
      <c r="L529" s="5" t="str">
        <f>IFERROR(__xludf.DUMMYFUNCTION("""COMPUTED_VALUE"""),"KLH")</f>
        <v>KLH</v>
      </c>
    </row>
    <row r="530">
      <c r="A530" s="168" t="str">
        <f>IFERROR(__xludf.DUMMYFUNCTION("""COMPUTED_VALUE"""),"CKC-XLO-009")</f>
        <v>CKC-XLO-009</v>
      </c>
      <c r="B530" s="3" t="str">
        <f>IFERROR(__xludf.DUMMYFUNCTION("""COMPUTED_VALUE"""),"Xe lôi")</f>
        <v>Xe lôi</v>
      </c>
      <c r="C530" s="5" t="str">
        <f>IFERROR(__xludf.DUMMYFUNCTION("""COMPUTED_VALUE"""),"Thagricons")</f>
        <v>Thagricons</v>
      </c>
      <c r="D530" s="5" t="str">
        <f>IFERROR(__xludf.DUMMYFUNCTION("""COMPUTED_VALUE"""),"ZONGSHEN")</f>
        <v>ZONGSHEN</v>
      </c>
      <c r="E530" s="5"/>
      <c r="F530" s="5"/>
      <c r="G530" s="5" t="str">
        <f>IFERROR(__xludf.DUMMYFUNCTION("""COMPUTED_VALUE"""),"150ZH")</f>
        <v>150ZH</v>
      </c>
      <c r="H530" s="5" t="str">
        <f>IFERROR(__xludf.DUMMYFUNCTION("""COMPUTED_VALUE"""),"150HP")</f>
        <v>150HP</v>
      </c>
      <c r="I530" s="5" t="str">
        <f>IFERROR(__xludf.DUMMYFUNCTION("""COMPUTED_VALUE"""),"ZS162MJ-LL012627")</f>
        <v>ZS162MJ-LL012627</v>
      </c>
      <c r="J530" s="5" t="str">
        <f>IFERROR(__xludf.DUMMYFUNCTION("""COMPUTED_VALUE"""),"CCN")</f>
        <v>CCN</v>
      </c>
      <c r="K530" s="5">
        <f>IFERROR(__xludf.DUMMYFUNCTION("""COMPUTED_VALUE"""),2.5)</f>
        <v>2.5</v>
      </c>
      <c r="L530" s="5" t="str">
        <f>IFERROR(__xludf.DUMMYFUNCTION("""COMPUTED_VALUE"""),"KLH")</f>
        <v>KLH</v>
      </c>
    </row>
    <row r="531">
      <c r="A531" s="168" t="str">
        <f>IFERROR(__xludf.DUMMYFUNCTION("""COMPUTED_VALUE"""),"PHC-MKE-001")</f>
        <v>PHC-MKE-001</v>
      </c>
      <c r="B531" s="3" t="str">
        <f>IFERROR(__xludf.DUMMYFUNCTION("""COMPUTED_VALUE"""),"Máy cày L4508")</f>
        <v>Máy cày L4508</v>
      </c>
      <c r="C531" s="5" t="str">
        <f>IFERROR(__xludf.DUMMYFUNCTION("""COMPUTED_VALUE"""),"HÀNH CHÍNH KLH")</f>
        <v>HÀNH CHÍNH KLH</v>
      </c>
      <c r="D531" s="5" t="str">
        <f>IFERROR(__xludf.DUMMYFUNCTION("""COMPUTED_VALUE"""),"KUBOTA")</f>
        <v>KUBOTA</v>
      </c>
      <c r="E531" s="5" t="str">
        <f>IFERROR(__xludf.DUMMYFUNCTION("""COMPUTED_VALUE"""),"NHẬT BẢN")</f>
        <v>NHẬT BẢN</v>
      </c>
      <c r="F531" s="5">
        <f>IFERROR(__xludf.DUMMYFUNCTION("""COMPUTED_VALUE"""),2015.0)</f>
        <v>2015</v>
      </c>
      <c r="G531" s="5" t="str">
        <f>IFERROR(__xludf.DUMMYFUNCTION("""COMPUTED_VALUE"""),"L4508")</f>
        <v>L4508</v>
      </c>
      <c r="H531" s="5" t="str">
        <f>IFERROR(__xludf.DUMMYFUNCTION("""COMPUTED_VALUE"""),"45HP")</f>
        <v>45HP</v>
      </c>
      <c r="I531" s="5" t="str">
        <f>IFERROR(__xludf.DUMMYFUNCTION("""COMPUTED_VALUE"""),"1659")</f>
        <v>1659</v>
      </c>
      <c r="J531" s="5" t="str">
        <f>IFERROR(__xludf.DUMMYFUNCTION("""COMPUTED_VALUE"""),"CCN")</f>
        <v>CCN</v>
      </c>
      <c r="K531" s="5">
        <f>IFERROR(__xludf.DUMMYFUNCTION("""COMPUTED_VALUE"""),2.5)</f>
        <v>2.5</v>
      </c>
      <c r="L531" s="5" t="str">
        <f>IFERROR(__xludf.DUMMYFUNCTION("""COMPUTED_VALUE"""),"KLH")</f>
        <v>KLH</v>
      </c>
    </row>
    <row r="532">
      <c r="A532" s="168" t="str">
        <f>IFERROR(__xludf.DUMMYFUNCTION("""COMPUTED_VALUE"""),"HCA-TCD-001")</f>
        <v>HCA-TCD-001</v>
      </c>
      <c r="B532" s="3" t="str">
        <f>IFERROR(__xludf.DUMMYFUNCTION("""COMPUTED_VALUE"""),"Xe tải chuyên dụng (cabin đôi)")</f>
        <v>Xe tải chuyên dụng (cabin đôi)</v>
      </c>
      <c r="C532" s="5" t="str">
        <f>IFERROR(__xludf.DUMMYFUNCTION("""COMPUTED_VALUE"""),"HÀNH CHÍNH KLH")</f>
        <v>HÀNH CHÍNH KLH</v>
      </c>
      <c r="D532" s="5" t="str">
        <f>IFERROR(__xludf.DUMMYFUNCTION("""COMPUTED_VALUE"""),"THACO KIA")</f>
        <v>THACO KIA</v>
      </c>
      <c r="E532" s="5" t="str">
        <f>IFERROR(__xludf.DUMMYFUNCTION("""COMPUTED_VALUE"""),"VIỆT NAM")</f>
        <v>VIỆT NAM</v>
      </c>
      <c r="F532" s="5">
        <f>IFERROR(__xludf.DUMMYFUNCTION("""COMPUTED_VALUE"""),2021.0)</f>
        <v>2021</v>
      </c>
      <c r="G532" s="5" t="str">
        <f>IFERROR(__xludf.DUMMYFUNCTION("""COMPUTED_VALUE"""),"FRONTIER K200SD")</f>
        <v>FRONTIER K200SD</v>
      </c>
      <c r="H532" s="5" t="str">
        <f>IFERROR(__xludf.DUMMYFUNCTION("""COMPUTED_VALUE"""),"130HP")</f>
        <v>130HP</v>
      </c>
      <c r="I532" s="5" t="str">
        <f>IFERROR(__xludf.DUMMYFUNCTION("""COMPUTED_VALUE"""),"RNHF39KHBMT045661")</f>
        <v>RNHF39KHBMT045661</v>
      </c>
      <c r="J532" s="5" t="str">
        <f>IFERROR(__xludf.DUMMYFUNCTION("""COMPUTED_VALUE"""),"MD540089D4CB")</f>
        <v>MD540089D4CB</v>
      </c>
      <c r="K532" s="5"/>
      <c r="L532" s="5" t="str">
        <f>IFERROR(__xludf.DUMMYFUNCTION("""COMPUTED_VALUE"""),"KLH")</f>
        <v>KLH</v>
      </c>
    </row>
    <row r="533">
      <c r="A533" s="168" t="str">
        <f>IFERROR(__xludf.DUMMYFUNCTION("""COMPUTED_VALUE"""),"HCD-MKE-094")</f>
        <v>HCD-MKE-094</v>
      </c>
      <c r="B533" s="3" t="str">
        <f>IFERROR(__xludf.DUMMYFUNCTION("""COMPUTED_VALUE"""),"Máy cày L4508")</f>
        <v>Máy cày L4508</v>
      </c>
      <c r="C533" s="5" t="str">
        <f>IFERROR(__xludf.DUMMYFUNCTION("""COMPUTED_VALUE"""),"HÀNH CHÍNH KLH")</f>
        <v>HÀNH CHÍNH KLH</v>
      </c>
      <c r="D533" s="5" t="str">
        <f>IFERROR(__xludf.DUMMYFUNCTION("""COMPUTED_VALUE"""),"KUBOTA")</f>
        <v>KUBOTA</v>
      </c>
      <c r="E533" s="5" t="str">
        <f>IFERROR(__xludf.DUMMYFUNCTION("""COMPUTED_VALUE"""),"NHẬT BẢN")</f>
        <v>NHẬT BẢN</v>
      </c>
      <c r="F533" s="5">
        <f>IFERROR(__xludf.DUMMYFUNCTION("""COMPUTED_VALUE"""),2015.0)</f>
        <v>2015</v>
      </c>
      <c r="G533" s="5" t="str">
        <f>IFERROR(__xludf.DUMMYFUNCTION("""COMPUTED_VALUE"""),"L4508")</f>
        <v>L4508</v>
      </c>
      <c r="H533" s="5" t="str">
        <f>IFERROR(__xludf.DUMMYFUNCTION("""COMPUTED_VALUE"""),"45HP")</f>
        <v>45HP</v>
      </c>
      <c r="I533" s="5" t="str">
        <f>IFERROR(__xludf.DUMMYFUNCTION("""COMPUTED_VALUE"""),"01720")</f>
        <v>01720</v>
      </c>
      <c r="J533" s="5" t="str">
        <f>IFERROR(__xludf.DUMMYFUNCTION("""COMPUTED_VALUE"""),"CCN")</f>
        <v>CCN</v>
      </c>
      <c r="K533" s="5">
        <f>IFERROR(__xludf.DUMMYFUNCTION("""COMPUTED_VALUE"""),2.5)</f>
        <v>2.5</v>
      </c>
      <c r="L533" s="5" t="str">
        <f>IFERROR(__xludf.DUMMYFUNCTION("""COMPUTED_VALUE"""),"KLH")</f>
        <v>KLH</v>
      </c>
    </row>
    <row r="534">
      <c r="A534" s="168" t="str">
        <f>IFERROR(__xludf.DUMMYFUNCTION("""COMPUTED_VALUE"""),"PHC-XCV-001")</f>
        <v>PHC-XCV-001</v>
      </c>
      <c r="B534" s="3" t="str">
        <f>IFERROR(__xludf.DUMMYFUNCTION("""COMPUTED_VALUE"""),"Xe công vụ Mazda BT50")</f>
        <v>Xe công vụ Mazda BT50</v>
      </c>
      <c r="C534" s="5" t="str">
        <f>IFERROR(__xludf.DUMMYFUNCTION("""COMPUTED_VALUE"""),"HÀNH CHÍNH KLH")</f>
        <v>HÀNH CHÍNH KLH</v>
      </c>
      <c r="D534" s="5" t="str">
        <f>IFERROR(__xludf.DUMMYFUNCTION("""COMPUTED_VALUE"""),"MAZDA")</f>
        <v>MAZDA</v>
      </c>
      <c r="E534" s="5" t="str">
        <f>IFERROR(__xludf.DUMMYFUNCTION("""COMPUTED_VALUE"""),"HÀN QUỐC")</f>
        <v>HÀN QUỐC</v>
      </c>
      <c r="F534" s="5">
        <f>IFERROR(__xludf.DUMMYFUNCTION("""COMPUTED_VALUE"""),2018.0)</f>
        <v>2018</v>
      </c>
      <c r="G534" s="5" t="str">
        <f>IFERROR(__xludf.DUMMYFUNCTION("""COMPUTED_VALUE"""),"BT50")</f>
        <v>BT50</v>
      </c>
      <c r="H534" s="5" t="str">
        <f>IFERROR(__xludf.DUMMYFUNCTION("""COMPUTED_VALUE"""),"148HP")</f>
        <v>148HP</v>
      </c>
      <c r="I534" s="5" t="str">
        <f>IFERROR(__xludf.DUMMYFUNCTION("""COMPUTED_VALUE"""),"MM7UR4DF4KW852868")</f>
        <v>MM7UR4DF4KW852868</v>
      </c>
      <c r="J534" s="5" t="str">
        <f>IFERROR(__xludf.DUMMYFUNCTION("""COMPUTED_VALUE"""),"P5AT2644238")</f>
        <v>P5AT2644238</v>
      </c>
      <c r="K534" s="5"/>
      <c r="L534" s="5" t="str">
        <f>IFERROR(__xludf.DUMMYFUNCTION("""COMPUTED_VALUE"""),"KLH")</f>
        <v>KLH</v>
      </c>
    </row>
    <row r="535">
      <c r="A535" s="168" t="str">
        <f>IFERROR(__xludf.DUMMYFUNCTION("""COMPUTED_VALUE"""),"PHC-XCV-002")</f>
        <v>PHC-XCV-002</v>
      </c>
      <c r="B535" s="3" t="str">
        <f>IFERROR(__xludf.DUMMYFUNCTION("""COMPUTED_VALUE"""),"Xe công vụ Mazda BT50")</f>
        <v>Xe công vụ Mazda BT50</v>
      </c>
      <c r="C535" s="5" t="str">
        <f>IFERROR(__xludf.DUMMYFUNCTION("""COMPUTED_VALUE"""),"HÀNH CHÍNH KLH")</f>
        <v>HÀNH CHÍNH KLH</v>
      </c>
      <c r="D535" s="5" t="str">
        <f>IFERROR(__xludf.DUMMYFUNCTION("""COMPUTED_VALUE"""),"MAZDA")</f>
        <v>MAZDA</v>
      </c>
      <c r="E535" s="5" t="str">
        <f>IFERROR(__xludf.DUMMYFUNCTION("""COMPUTED_VALUE"""),"HÀN QUỐC")</f>
        <v>HÀN QUỐC</v>
      </c>
      <c r="F535" s="5">
        <f>IFERROR(__xludf.DUMMYFUNCTION("""COMPUTED_VALUE"""),2018.0)</f>
        <v>2018</v>
      </c>
      <c r="G535" s="5" t="str">
        <f>IFERROR(__xludf.DUMMYFUNCTION("""COMPUTED_VALUE"""),"BT50")</f>
        <v>BT50</v>
      </c>
      <c r="H535" s="5" t="str">
        <f>IFERROR(__xludf.DUMMYFUNCTION("""COMPUTED_VALUE"""),"148HP")</f>
        <v>148HP</v>
      </c>
      <c r="I535" s="5" t="str">
        <f>IFERROR(__xludf.DUMMYFUNCTION("""COMPUTED_VALUE"""),"MM7UR4DFXKW861641")</f>
        <v>MM7UR4DFXKW861641</v>
      </c>
      <c r="J535" s="5" t="str">
        <f>IFERROR(__xludf.DUMMYFUNCTION("""COMPUTED_VALUE"""),"P5AT2656720")</f>
        <v>P5AT2656720</v>
      </c>
      <c r="K535" s="5"/>
      <c r="L535" s="5" t="str">
        <f>IFERROR(__xludf.DUMMYFUNCTION("""COMPUTED_VALUE"""),"KLH")</f>
        <v>KLH</v>
      </c>
    </row>
    <row r="536">
      <c r="A536" s="168" t="str">
        <f>IFERROR(__xludf.DUMMYFUNCTION("""COMPUTED_VALUE"""),"PHC-XCV-003")</f>
        <v>PHC-XCV-003</v>
      </c>
      <c r="B536" s="3" t="str">
        <f>IFERROR(__xludf.DUMMYFUNCTION("""COMPUTED_VALUE"""),"Xe công vụ Mazda BT50")</f>
        <v>Xe công vụ Mazda BT50</v>
      </c>
      <c r="C536" s="5" t="str">
        <f>IFERROR(__xludf.DUMMYFUNCTION("""COMPUTED_VALUE"""),"HÀNH CHÍNH KLH")</f>
        <v>HÀNH CHÍNH KLH</v>
      </c>
      <c r="D536" s="5" t="str">
        <f>IFERROR(__xludf.DUMMYFUNCTION("""COMPUTED_VALUE"""),"MAZDA")</f>
        <v>MAZDA</v>
      </c>
      <c r="E536" s="5" t="str">
        <f>IFERROR(__xludf.DUMMYFUNCTION("""COMPUTED_VALUE"""),"HÀN QUỐC")</f>
        <v>HÀN QUỐC</v>
      </c>
      <c r="F536" s="5">
        <f>IFERROR(__xludf.DUMMYFUNCTION("""COMPUTED_VALUE"""),2018.0)</f>
        <v>2018</v>
      </c>
      <c r="G536" s="5" t="str">
        <f>IFERROR(__xludf.DUMMYFUNCTION("""COMPUTED_VALUE"""),"BT50")</f>
        <v>BT50</v>
      </c>
      <c r="H536" s="5" t="str">
        <f>IFERROR(__xludf.DUMMYFUNCTION("""COMPUTED_VALUE"""),"148HP")</f>
        <v>148HP</v>
      </c>
      <c r="I536" s="5"/>
      <c r="J536" s="5"/>
      <c r="K536" s="5"/>
      <c r="L536" s="5" t="str">
        <f>IFERROR(__xludf.DUMMYFUNCTION("""COMPUTED_VALUE"""),"KLH")</f>
        <v>KLH</v>
      </c>
    </row>
    <row r="537">
      <c r="A537" s="168" t="str">
        <f>IFERROR(__xludf.DUMMYFUNCTION("""COMPUTED_VALUE"""),"PHC-XCV-004")</f>
        <v>PHC-XCV-004</v>
      </c>
      <c r="B537" s="3" t="str">
        <f>IFERROR(__xludf.DUMMYFUNCTION("""COMPUTED_VALUE"""),"Xe công vụ Mazda BT50")</f>
        <v>Xe công vụ Mazda BT50</v>
      </c>
      <c r="C537" s="5" t="str">
        <f>IFERROR(__xludf.DUMMYFUNCTION("""COMPUTED_VALUE"""),"HÀNH CHÍNH KLH")</f>
        <v>HÀNH CHÍNH KLH</v>
      </c>
      <c r="D537" s="5" t="str">
        <f>IFERROR(__xludf.DUMMYFUNCTION("""COMPUTED_VALUE"""),"MAZDA")</f>
        <v>MAZDA</v>
      </c>
      <c r="E537" s="5" t="str">
        <f>IFERROR(__xludf.DUMMYFUNCTION("""COMPUTED_VALUE"""),"HÀN QUỐC")</f>
        <v>HÀN QUỐC</v>
      </c>
      <c r="F537" s="5">
        <f>IFERROR(__xludf.DUMMYFUNCTION("""COMPUTED_VALUE"""),2018.0)</f>
        <v>2018</v>
      </c>
      <c r="G537" s="5" t="str">
        <f>IFERROR(__xludf.DUMMYFUNCTION("""COMPUTED_VALUE"""),"BT50")</f>
        <v>BT50</v>
      </c>
      <c r="H537" s="5" t="str">
        <f>IFERROR(__xludf.DUMMYFUNCTION("""COMPUTED_VALUE"""),"148HP")</f>
        <v>148HP</v>
      </c>
      <c r="I537" s="5" t="str">
        <f>IFERROR(__xludf.DUMMYFUNCTION("""COMPUTED_VALUE"""),"MM7UR4DF1KW855663")</f>
        <v>MM7UR4DF1KW855663</v>
      </c>
      <c r="J537" s="5" t="str">
        <f>IFERROR(__xludf.DUMMYFUNCTION("""COMPUTED_VALUE"""),"P5AT2648320")</f>
        <v>P5AT2648320</v>
      </c>
      <c r="K537" s="5"/>
      <c r="L537" s="5" t="str">
        <f>IFERROR(__xludf.DUMMYFUNCTION("""COMPUTED_VALUE"""),"KLH")</f>
        <v>KLH</v>
      </c>
    </row>
    <row r="538">
      <c r="A538" s="168" t="str">
        <f>IFERROR(__xludf.DUMMYFUNCTION("""COMPUTED_VALUE"""),"PHC-XCV-005")</f>
        <v>PHC-XCV-005</v>
      </c>
      <c r="B538" s="3" t="str">
        <f>IFERROR(__xludf.DUMMYFUNCTION("""COMPUTED_VALUE"""),"Xe công vụ Mazda BT50")</f>
        <v>Xe công vụ Mazda BT50</v>
      </c>
      <c r="C538" s="5" t="str">
        <f>IFERROR(__xludf.DUMMYFUNCTION("""COMPUTED_VALUE"""),"HÀNH CHÍNH KLH")</f>
        <v>HÀNH CHÍNH KLH</v>
      </c>
      <c r="D538" s="5" t="str">
        <f>IFERROR(__xludf.DUMMYFUNCTION("""COMPUTED_VALUE"""),"MAZDA")</f>
        <v>MAZDA</v>
      </c>
      <c r="E538" s="5" t="str">
        <f>IFERROR(__xludf.DUMMYFUNCTION("""COMPUTED_VALUE"""),"HÀN QUỐC")</f>
        <v>HÀN QUỐC</v>
      </c>
      <c r="F538" s="5">
        <f>IFERROR(__xludf.DUMMYFUNCTION("""COMPUTED_VALUE"""),2017.0)</f>
        <v>2017</v>
      </c>
      <c r="G538" s="5" t="str">
        <f>IFERROR(__xludf.DUMMYFUNCTION("""COMPUTED_VALUE"""),"BT50")</f>
        <v>BT50</v>
      </c>
      <c r="H538" s="5" t="str">
        <f>IFERROR(__xludf.DUMMYFUNCTION("""COMPUTED_VALUE"""),"148HP")</f>
        <v>148HP</v>
      </c>
      <c r="I538" s="5" t="str">
        <f>IFERROR(__xludf.DUMMYFUNCTION("""COMPUTED_VALUE"""),"MM7UR4DF5JW777547")</f>
        <v>MM7UR4DF5JW777547</v>
      </c>
      <c r="J538" s="5" t="str">
        <f>IFERROR(__xludf.DUMMYFUNCTION("""COMPUTED_VALUE"""),"P5AT2523639")</f>
        <v>P5AT2523639</v>
      </c>
      <c r="K538" s="5"/>
      <c r="L538" s="5" t="str">
        <f>IFERROR(__xludf.DUMMYFUNCTION("""COMPUTED_VALUE"""),"KLH")</f>
        <v>KLH</v>
      </c>
    </row>
    <row r="539">
      <c r="A539" s="168" t="str">
        <f>IFERROR(__xludf.DUMMYFUNCTION("""COMPUTED_VALUE"""),"PHC-XCV-007")</f>
        <v>PHC-XCV-007</v>
      </c>
      <c r="B539" s="3" t="str">
        <f>IFERROR(__xludf.DUMMYFUNCTION("""COMPUTED_VALUE"""),"Xe công vụ Ford Everest")</f>
        <v>Xe công vụ Ford Everest</v>
      </c>
      <c r="C539" s="5" t="str">
        <f>IFERROR(__xludf.DUMMYFUNCTION("""COMPUTED_VALUE"""),"HÀNH CHÍNH KLH")</f>
        <v>HÀNH CHÍNH KLH</v>
      </c>
      <c r="D539" s="5" t="str">
        <f>IFERROR(__xludf.DUMMYFUNCTION("""COMPUTED_VALUE"""),"FORD")</f>
        <v>FORD</v>
      </c>
      <c r="E539" s="5" t="str">
        <f>IFERROR(__xludf.DUMMYFUNCTION("""COMPUTED_VALUE"""),"MỸ")</f>
        <v>MỸ</v>
      </c>
      <c r="F539" s="5">
        <f>IFERROR(__xludf.DUMMYFUNCTION("""COMPUTED_VALUE"""),2014.0)</f>
        <v>2014</v>
      </c>
      <c r="G539" s="5" t="str">
        <f>IFERROR(__xludf.DUMMYFUNCTION("""COMPUTED_VALUE"""),"EVEREST")</f>
        <v>EVEREST</v>
      </c>
      <c r="H539" s="5" t="str">
        <f>IFERROR(__xludf.DUMMYFUNCTION("""COMPUTED_VALUE"""),"141HP")</f>
        <v>141HP</v>
      </c>
      <c r="I539" s="5"/>
      <c r="J539" s="5"/>
      <c r="K539" s="5"/>
      <c r="L539" s="5" t="str">
        <f>IFERROR(__xludf.DUMMYFUNCTION("""COMPUTED_VALUE"""),"KLH")</f>
        <v>KLH</v>
      </c>
    </row>
    <row r="540">
      <c r="A540" s="168" t="str">
        <f>IFERROR(__xludf.DUMMYFUNCTION("""COMPUTED_VALUE"""),"PHC-XCV-008")</f>
        <v>PHC-XCV-008</v>
      </c>
      <c r="B540" s="3" t="str">
        <f>IFERROR(__xludf.DUMMYFUNCTION("""COMPUTED_VALUE"""),"Xe công vụ Mazda BT50")</f>
        <v>Xe công vụ Mazda BT50</v>
      </c>
      <c r="C540" s="5" t="str">
        <f>IFERROR(__xludf.DUMMYFUNCTION("""COMPUTED_VALUE"""),"HÀNH CHÍNH KLH")</f>
        <v>HÀNH CHÍNH KLH</v>
      </c>
      <c r="D540" s="5" t="str">
        <f>IFERROR(__xludf.DUMMYFUNCTION("""COMPUTED_VALUE"""),"MAZDA")</f>
        <v>MAZDA</v>
      </c>
      <c r="E540" s="5" t="str">
        <f>IFERROR(__xludf.DUMMYFUNCTION("""COMPUTED_VALUE"""),"HÀN QUỐC")</f>
        <v>HÀN QUỐC</v>
      </c>
      <c r="F540" s="5">
        <f>IFERROR(__xludf.DUMMYFUNCTION("""COMPUTED_VALUE"""),2018.0)</f>
        <v>2018</v>
      </c>
      <c r="G540" s="5" t="str">
        <f>IFERROR(__xludf.DUMMYFUNCTION("""COMPUTED_VALUE"""),"BT50")</f>
        <v>BT50</v>
      </c>
      <c r="H540" s="5" t="str">
        <f>IFERROR(__xludf.DUMMYFUNCTION("""COMPUTED_VALUE"""),"148HP")</f>
        <v>148HP</v>
      </c>
      <c r="I540" s="5" t="str">
        <f>IFERROR(__xludf.DUMMYFUNCTION("""COMPUTED_VALUE"""),"MM7UR4DD2K936329")</f>
        <v>MM7UR4DD2K936329</v>
      </c>
      <c r="J540" s="5" t="str">
        <f>IFERROR(__xludf.DUMMYFUNCTION("""COMPUTED_VALUE"""),"P4AT2742432")</f>
        <v>P4AT2742432</v>
      </c>
      <c r="K540" s="5"/>
      <c r="L540" s="5" t="str">
        <f>IFERROR(__xludf.DUMMYFUNCTION("""COMPUTED_VALUE"""),"KLH")</f>
        <v>KLH</v>
      </c>
    </row>
    <row r="541">
      <c r="A541" s="168" t="str">
        <f>IFERROR(__xludf.DUMMYFUNCTION("""COMPUTED_VALUE"""),"PHC-XCV-009")</f>
        <v>PHC-XCV-009</v>
      </c>
      <c r="B541" s="3" t="str">
        <f>IFERROR(__xludf.DUMMYFUNCTION("""COMPUTED_VALUE"""),"Xe công vụ Kia Sedona")</f>
        <v>Xe công vụ Kia Sedona</v>
      </c>
      <c r="C541" s="5" t="str">
        <f>IFERROR(__xludf.DUMMYFUNCTION("""COMPUTED_VALUE"""),"HÀNH CHÍNH KLH")</f>
        <v>HÀNH CHÍNH KLH</v>
      </c>
      <c r="D541" s="5" t="str">
        <f>IFERROR(__xludf.DUMMYFUNCTION("""COMPUTED_VALUE"""),"KIA")</f>
        <v>KIA</v>
      </c>
      <c r="E541" s="5" t="str">
        <f>IFERROR(__xludf.DUMMYFUNCTION("""COMPUTED_VALUE"""),"HÀN QUỐC")</f>
        <v>HÀN QUỐC</v>
      </c>
      <c r="F541" s="5">
        <f>IFERROR(__xludf.DUMMYFUNCTION("""COMPUTED_VALUE"""),2019.0)</f>
        <v>2019</v>
      </c>
      <c r="G541" s="5" t="str">
        <f>IFERROR(__xludf.DUMMYFUNCTION("""COMPUTED_VALUE"""),"SEDONA")</f>
        <v>SEDONA</v>
      </c>
      <c r="H541" s="5" t="str">
        <f>IFERROR(__xludf.DUMMYFUNCTION("""COMPUTED_VALUE"""),"266HP")</f>
        <v>266HP</v>
      </c>
      <c r="I541" s="5" t="str">
        <f>IFERROR(__xludf.DUMMYFUNCTION("""COMPUTED_VALUE"""),"RNYYK51A6JC142077")</f>
        <v>RNYYK51A6JC142077</v>
      </c>
      <c r="J541" s="5" t="str">
        <f>IFERROR(__xludf.DUMMYFUNCTION("""COMPUTED_VALUE"""),"G6DFJS807887")</f>
        <v>G6DFJS807887</v>
      </c>
      <c r="K541" s="5"/>
      <c r="L541" s="5" t="str">
        <f>IFERROR(__xludf.DUMMYFUNCTION("""COMPUTED_VALUE"""),"KLH")</f>
        <v>KLH</v>
      </c>
    </row>
    <row r="542">
      <c r="A542" s="168" t="str">
        <f>IFERROR(__xludf.DUMMYFUNCTION("""COMPUTED_VALUE"""),"PHC-XCV-010")</f>
        <v>PHC-XCV-010</v>
      </c>
      <c r="B542" s="3" t="str">
        <f>IFERROR(__xludf.DUMMYFUNCTION("""COMPUTED_VALUE"""),"Xe công vụ Toyota Land Cruiser")</f>
        <v>Xe công vụ Toyota Land Cruiser</v>
      </c>
      <c r="C542" s="5" t="str">
        <f>IFERROR(__xludf.DUMMYFUNCTION("""COMPUTED_VALUE"""),"HÀNH CHÍNH KLH")</f>
        <v>HÀNH CHÍNH KLH</v>
      </c>
      <c r="D542" s="5" t="str">
        <f>IFERROR(__xludf.DUMMYFUNCTION("""COMPUTED_VALUE"""),"TOYOTA")</f>
        <v>TOYOTA</v>
      </c>
      <c r="E542" s="5" t="str">
        <f>IFERROR(__xludf.DUMMYFUNCTION("""COMPUTED_VALUE"""),"NHẬT BẢN")</f>
        <v>NHẬT BẢN</v>
      </c>
      <c r="F542" s="5">
        <f>IFERROR(__xludf.DUMMYFUNCTION("""COMPUTED_VALUE"""),2009.0)</f>
        <v>2009</v>
      </c>
      <c r="G542" s="5" t="str">
        <f>IFERROR(__xludf.DUMMYFUNCTION("""COMPUTED_VALUE"""),"CRUISER")</f>
        <v>CRUISER</v>
      </c>
      <c r="H542" s="5" t="str">
        <f>IFERROR(__xludf.DUMMYFUNCTION("""COMPUTED_VALUE"""),"161HP")</f>
        <v>161HP</v>
      </c>
      <c r="I542" s="5" t="str">
        <f>IFERROR(__xludf.DUMMYFUNCTION("""COMPUTED_VALUE"""),"JTMHU09JX95018220")</f>
        <v>JTMHU09JX95018220</v>
      </c>
      <c r="J542" s="5" t="str">
        <f>IFERROR(__xludf.DUMMYFUNCTION("""COMPUTED_VALUE"""),"1GR8968561")</f>
        <v>1GR8968561</v>
      </c>
      <c r="K542" s="5"/>
      <c r="L542" s="5" t="str">
        <f>IFERROR(__xludf.DUMMYFUNCTION("""COMPUTED_VALUE"""),"KLH")</f>
        <v>KLH</v>
      </c>
    </row>
    <row r="543">
      <c r="A543" s="168" t="str">
        <f>IFERROR(__xludf.DUMMYFUNCTION("""COMPUTED_VALUE"""),"PHC-XCV-011")</f>
        <v>PHC-XCV-011</v>
      </c>
      <c r="B543" s="3" t="str">
        <f>IFERROR(__xludf.DUMMYFUNCTION("""COMPUTED_VALUE"""),"Xe công vụ Toyota Hilux")</f>
        <v>Xe công vụ Toyota Hilux</v>
      </c>
      <c r="C543" s="5" t="str">
        <f>IFERROR(__xludf.DUMMYFUNCTION("""COMPUTED_VALUE"""),"HÀNH CHÍNH KLH")</f>
        <v>HÀNH CHÍNH KLH</v>
      </c>
      <c r="D543" s="5" t="str">
        <f>IFERROR(__xludf.DUMMYFUNCTION("""COMPUTED_VALUE"""),"TOYOTA")</f>
        <v>TOYOTA</v>
      </c>
      <c r="E543" s="5" t="str">
        <f>IFERROR(__xludf.DUMMYFUNCTION("""COMPUTED_VALUE"""),"NHẬT BẢN")</f>
        <v>NHẬT BẢN</v>
      </c>
      <c r="F543" s="5">
        <f>IFERROR(__xludf.DUMMYFUNCTION("""COMPUTED_VALUE"""),2013.0)</f>
        <v>2013</v>
      </c>
      <c r="G543" s="5" t="str">
        <f>IFERROR(__xludf.DUMMYFUNCTION("""COMPUTED_VALUE"""),"HILLUX")</f>
        <v>HILLUX</v>
      </c>
      <c r="H543" s="5" t="str">
        <f>IFERROR(__xludf.DUMMYFUNCTION("""COMPUTED_VALUE"""),"148HP")</f>
        <v>148HP</v>
      </c>
      <c r="I543" s="5" t="str">
        <f>IFERROR(__xludf.DUMMYFUNCTION("""COMPUTED_VALUE"""),"MROFZ29G101692700")</f>
        <v>MROFZ29G101692700</v>
      </c>
      <c r="J543" s="5" t="str">
        <f>IFERROR(__xludf.DUMMYFUNCTION("""COMPUTED_VALUE"""),"1KDU299927")</f>
        <v>1KDU299927</v>
      </c>
      <c r="K543" s="5"/>
      <c r="L543" s="5" t="str">
        <f>IFERROR(__xludf.DUMMYFUNCTION("""COMPUTED_VALUE"""),"KLH")</f>
        <v>KLH</v>
      </c>
    </row>
    <row r="544">
      <c r="A544" s="168" t="str">
        <f>IFERROR(__xludf.DUMMYFUNCTION("""COMPUTED_VALUE"""),"PHC-XCV-012")</f>
        <v>PHC-XCV-012</v>
      </c>
      <c r="B544" s="3" t="str">
        <f>IFERROR(__xludf.DUMMYFUNCTION("""COMPUTED_VALUE"""),"Xe công vụ Mazda CX8")</f>
        <v>Xe công vụ Mazda CX8</v>
      </c>
      <c r="C544" s="5" t="str">
        <f>IFERROR(__xludf.DUMMYFUNCTION("""COMPUTED_VALUE"""),"HÀNH CHÍNH KLH")</f>
        <v>HÀNH CHÍNH KLH</v>
      </c>
      <c r="D544" s="5" t="str">
        <f>IFERROR(__xludf.DUMMYFUNCTION("""COMPUTED_VALUE"""),"MAZDA")</f>
        <v>MAZDA</v>
      </c>
      <c r="E544" s="5" t="str">
        <f>IFERROR(__xludf.DUMMYFUNCTION("""COMPUTED_VALUE"""),"HÀN QUỐC")</f>
        <v>HÀN QUỐC</v>
      </c>
      <c r="F544" s="5">
        <f>IFERROR(__xludf.DUMMYFUNCTION("""COMPUTED_VALUE"""),2019.0)</f>
        <v>2019</v>
      </c>
      <c r="G544" s="5" t="str">
        <f>IFERROR(__xludf.DUMMYFUNCTION("""COMPUTED_VALUE"""),"CX8")</f>
        <v>CX8</v>
      </c>
      <c r="H544" s="5" t="str">
        <f>IFERROR(__xludf.DUMMYFUNCTION("""COMPUTED_VALUE"""),"188HP")</f>
        <v>188HP</v>
      </c>
      <c r="I544" s="5" t="str">
        <f>IFERROR(__xludf.DUMMYFUNCTION("""COMPUTED_VALUE"""),"RN2K35346KM018796")</f>
        <v>RN2K35346KM018796</v>
      </c>
      <c r="J544" s="5" t="str">
        <f>IFERROR(__xludf.DUMMYFUNCTION("""COMPUTED_VALUE"""),"PY31030035")</f>
        <v>PY31030035</v>
      </c>
      <c r="K544" s="5"/>
      <c r="L544" s="5" t="str">
        <f>IFERROR(__xludf.DUMMYFUNCTION("""COMPUTED_VALUE"""),"KLH")</f>
        <v>KLH</v>
      </c>
    </row>
    <row r="545">
      <c r="A545" s="168" t="str">
        <f>IFERROR(__xludf.DUMMYFUNCTION("""COMPUTED_VALUE"""),"PHC-XCV-013")</f>
        <v>PHC-XCV-013</v>
      </c>
      <c r="B545" s="3" t="str">
        <f>IFERROR(__xludf.DUMMYFUNCTION("""COMPUTED_VALUE"""),"Xe cấp cứu Hyundai Starex")</f>
        <v>Xe cấp cứu Hyundai Starex</v>
      </c>
      <c r="C545" s="5" t="str">
        <f>IFERROR(__xludf.DUMMYFUNCTION("""COMPUTED_VALUE"""),"HÀNH CHÍNH KLH")</f>
        <v>HÀNH CHÍNH KLH</v>
      </c>
      <c r="D545" s="5" t="str">
        <f>IFERROR(__xludf.DUMMYFUNCTION("""COMPUTED_VALUE"""),"HYUNDAI")</f>
        <v>HYUNDAI</v>
      </c>
      <c r="E545" s="5" t="str">
        <f>IFERROR(__xludf.DUMMYFUNCTION("""COMPUTED_VALUE"""),"HÀN QUỐC")</f>
        <v>HÀN QUỐC</v>
      </c>
      <c r="F545" s="5">
        <f>IFERROR(__xludf.DUMMYFUNCTION("""COMPUTED_VALUE"""),2016.0)</f>
        <v>2016</v>
      </c>
      <c r="G545" s="5" t="str">
        <f>IFERROR(__xludf.DUMMYFUNCTION("""COMPUTED_VALUE"""),"STAREX")</f>
        <v>STAREX</v>
      </c>
      <c r="H545" s="5" t="str">
        <f>IFERROR(__xludf.DUMMYFUNCTION("""COMPUTED_VALUE"""),"100HP")</f>
        <v>100HP</v>
      </c>
      <c r="I545" s="5"/>
      <c r="J545" s="5"/>
      <c r="K545" s="5"/>
      <c r="L545" s="5" t="str">
        <f>IFERROR(__xludf.DUMMYFUNCTION("""COMPUTED_VALUE"""),"KLH")</f>
        <v>KLH</v>
      </c>
    </row>
    <row r="546">
      <c r="A546" s="168" t="str">
        <f>IFERROR(__xludf.DUMMYFUNCTION("""COMPUTED_VALUE"""),"PHC-XCV-014")</f>
        <v>PHC-XCV-014</v>
      </c>
      <c r="B546" s="3" t="str">
        <f>IFERROR(__xludf.DUMMYFUNCTION("""COMPUTED_VALUE"""),"Xe công vụ Ford Everest")</f>
        <v>Xe công vụ Ford Everest</v>
      </c>
      <c r="C546" s="5" t="str">
        <f>IFERROR(__xludf.DUMMYFUNCTION("""COMPUTED_VALUE"""),"HÀNH CHÍNH KLH")</f>
        <v>HÀNH CHÍNH KLH</v>
      </c>
      <c r="D546" s="5" t="str">
        <f>IFERROR(__xludf.DUMMYFUNCTION("""COMPUTED_VALUE"""),"FORD")</f>
        <v>FORD</v>
      </c>
      <c r="E546" s="5" t="str">
        <f>IFERROR(__xludf.DUMMYFUNCTION("""COMPUTED_VALUE"""),"MỸ")</f>
        <v>MỸ</v>
      </c>
      <c r="F546" s="5">
        <f>IFERROR(__xludf.DUMMYFUNCTION("""COMPUTED_VALUE"""),2024.0)</f>
        <v>2024</v>
      </c>
      <c r="G546" s="5" t="str">
        <f>IFERROR(__xludf.DUMMYFUNCTION("""COMPUTED_VALUE"""),"EVEREST")</f>
        <v>EVEREST</v>
      </c>
      <c r="H546" s="5" t="str">
        <f>IFERROR(__xludf.DUMMYFUNCTION("""COMPUTED_VALUE"""),"141HP")</f>
        <v>141HP</v>
      </c>
      <c r="I546" s="5" t="str">
        <f>IFERROR(__xludf.DUMMYFUNCTION("""COMPUTED_VALUE"""),"PV5XWER8RLY00766")</f>
        <v>PV5XWER8RLY00766</v>
      </c>
      <c r="J546" s="5" t="str">
        <f>IFERROR(__xludf.DUMMYFUNCTION("""COMPUTED_VALUE"""),"YNWQRLY00046")</f>
        <v>YNWQRLY00046</v>
      </c>
      <c r="K546" s="5"/>
      <c r="L546" s="5" t="str">
        <f>IFERROR(__xludf.DUMMYFUNCTION("""COMPUTED_VALUE"""),"KLH")</f>
        <v>KLH</v>
      </c>
    </row>
    <row r="547">
      <c r="A547" s="168" t="str">
        <f>IFERROR(__xludf.DUMMYFUNCTION("""COMPUTED_VALUE"""),"PHC-XCV-015")</f>
        <v>PHC-XCV-015</v>
      </c>
      <c r="B547" s="3" t="str">
        <f>IFERROR(__xludf.DUMMYFUNCTION("""COMPUTED_VALUE"""),"Xe công vụ Mazda BT50")</f>
        <v>Xe công vụ Mazda BT50</v>
      </c>
      <c r="C547" s="5" t="str">
        <f>IFERROR(__xludf.DUMMYFUNCTION("""COMPUTED_VALUE"""),"HÀNH CHÍNH KLH")</f>
        <v>HÀNH CHÍNH KLH</v>
      </c>
      <c r="D547" s="5" t="str">
        <f>IFERROR(__xludf.DUMMYFUNCTION("""COMPUTED_VALUE"""),"MAZDA")</f>
        <v>MAZDA</v>
      </c>
      <c r="E547" s="5" t="str">
        <f>IFERROR(__xludf.DUMMYFUNCTION("""COMPUTED_VALUE"""),"HÀN QUỐC")</f>
        <v>HÀN QUỐC</v>
      </c>
      <c r="F547" s="5">
        <f>IFERROR(__xludf.DUMMYFUNCTION("""COMPUTED_VALUE"""),2018.0)</f>
        <v>2018</v>
      </c>
      <c r="G547" s="5" t="str">
        <f>IFERROR(__xludf.DUMMYFUNCTION("""COMPUTED_VALUE"""),"BT50")</f>
        <v>BT50</v>
      </c>
      <c r="H547" s="5" t="str">
        <f>IFERROR(__xludf.DUMMYFUNCTION("""COMPUTED_VALUE"""),"148HP")</f>
        <v>148HP</v>
      </c>
      <c r="I547" s="5" t="str">
        <f>IFERROR(__xludf.DUMMYFUNCTION("""COMPUTED_VALUE"""),"MM7UR4DF9KW903331")</f>
        <v>MM7UR4DF9KW903331</v>
      </c>
      <c r="J547" s="5" t="str">
        <f>IFERROR(__xludf.DUMMYFUNCTION("""COMPUTED_VALUE"""),"P5AT2707088")</f>
        <v>P5AT2707088</v>
      </c>
      <c r="K547" s="5"/>
      <c r="L547" s="5" t="str">
        <f>IFERROR(__xludf.DUMMYFUNCTION("""COMPUTED_VALUE"""),"KLH")</f>
        <v>KLH</v>
      </c>
    </row>
    <row r="548">
      <c r="A548" s="168" t="str">
        <f>IFERROR(__xludf.DUMMYFUNCTION("""COMPUTED_VALUE"""),"KLH-XTA-003")</f>
        <v>KLH-XTA-003</v>
      </c>
      <c r="B548" s="3" t="str">
        <f>IFERROR(__xludf.DUMMYFUNCTION("""COMPUTED_VALUE"""),"Xe bus")</f>
        <v>Xe bus</v>
      </c>
      <c r="C548" s="5" t="str">
        <f>IFERROR(__xludf.DUMMYFUNCTION("""COMPUTED_VALUE"""),"HÀNH CHÍNH KLH")</f>
        <v>HÀNH CHÍNH KLH</v>
      </c>
      <c r="D548" s="5" t="str">
        <f>IFERROR(__xludf.DUMMYFUNCTION("""COMPUTED_VALUE"""),"BUS")</f>
        <v>BUS</v>
      </c>
      <c r="E548" s="5"/>
      <c r="F548" s="5"/>
      <c r="G548" s="5"/>
      <c r="H548" s="5"/>
      <c r="I548" s="5"/>
      <c r="J548" s="5"/>
      <c r="K548" s="5">
        <f>IFERROR(__xludf.DUMMYFUNCTION("""COMPUTED_VALUE"""),8.0)</f>
        <v>8</v>
      </c>
      <c r="L548" s="5" t="str">
        <f>IFERROR(__xludf.DUMMYFUNCTION("""COMPUTED_VALUE"""),"KLH")</f>
        <v>KLH</v>
      </c>
    </row>
    <row r="549">
      <c r="A549" s="168" t="str">
        <f>IFERROR(__xludf.DUMMYFUNCTION("""COMPUTED_VALUE"""),"PHC-TĐL-001")</f>
        <v>PHC-TĐL-001</v>
      </c>
      <c r="B549" s="3" t="str">
        <f>IFERROR(__xludf.DUMMYFUNCTION("""COMPUTED_VALUE"""),"Xe tải đông lạnh K200")</f>
        <v>Xe tải đông lạnh K200</v>
      </c>
      <c r="C549" s="5" t="str">
        <f>IFERROR(__xludf.DUMMYFUNCTION("""COMPUTED_VALUE"""),"HÀNH CHÍNH KLH")</f>
        <v>HÀNH CHÍNH KLH</v>
      </c>
      <c r="D549" s="5" t="str">
        <f>IFERROR(__xludf.DUMMYFUNCTION("""COMPUTED_VALUE"""),"THACO KIA")</f>
        <v>THACO KIA</v>
      </c>
      <c r="E549" s="5" t="str">
        <f>IFERROR(__xludf.DUMMYFUNCTION("""COMPUTED_VALUE"""),"VIỆT NAM")</f>
        <v>VIỆT NAM</v>
      </c>
      <c r="F549" s="5">
        <f>IFERROR(__xludf.DUMMYFUNCTION("""COMPUTED_VALUE"""),2024.0)</f>
        <v>2024</v>
      </c>
      <c r="G549" s="5" t="str">
        <f>IFERROR(__xludf.DUMMYFUNCTION("""COMPUTED_VALUE"""),"K200")</f>
        <v>K200</v>
      </c>
      <c r="H549" s="5" t="str">
        <f>IFERROR(__xludf.DUMMYFUNCTION("""COMPUTED_VALUE"""),"130HP")</f>
        <v>130HP</v>
      </c>
      <c r="I549" s="5" t="str">
        <f>IFERROR(__xludf.DUMMYFUNCTION("""COMPUTED_VALUE"""),"RNHA39KHERT094672")</f>
        <v>RNHA39KHERT094672</v>
      </c>
      <c r="J549" s="5" t="str">
        <f>IFERROR(__xludf.DUMMYFUNCTION("""COMPUTED_VALUE"""),"RD577729D4CB")</f>
        <v>RD577729D4CB</v>
      </c>
      <c r="K549" s="5">
        <f>IFERROR(__xludf.DUMMYFUNCTION("""COMPUTED_VALUE"""),2.9)</f>
        <v>2.9</v>
      </c>
      <c r="L549" s="5" t="str">
        <f>IFERROR(__xludf.DUMMYFUNCTION("""COMPUTED_VALUE"""),"KLH")</f>
        <v>KLH</v>
      </c>
    </row>
    <row r="550">
      <c r="A550" s="168" t="str">
        <f>IFERROR(__xludf.DUMMYFUNCTION("""COMPUTED_VALUE"""),"PHC-TĐL-002")</f>
        <v>PHC-TĐL-002</v>
      </c>
      <c r="B550" s="3" t="str">
        <f>IFERROR(__xludf.DUMMYFUNCTION("""COMPUTED_VALUE"""),"Xe tải đông lạnh K200")</f>
        <v>Xe tải đông lạnh K200</v>
      </c>
      <c r="C550" s="5" t="str">
        <f>IFERROR(__xludf.DUMMYFUNCTION("""COMPUTED_VALUE"""),"HÀNH CHÍNH KLH")</f>
        <v>HÀNH CHÍNH KLH</v>
      </c>
      <c r="D550" s="5" t="str">
        <f>IFERROR(__xludf.DUMMYFUNCTION("""COMPUTED_VALUE"""),"THACO KIA")</f>
        <v>THACO KIA</v>
      </c>
      <c r="E550" s="5" t="str">
        <f>IFERROR(__xludf.DUMMYFUNCTION("""COMPUTED_VALUE"""),"VIỆT NAM")</f>
        <v>VIỆT NAM</v>
      </c>
      <c r="F550" s="5">
        <f>IFERROR(__xludf.DUMMYFUNCTION("""COMPUTED_VALUE"""),2024.0)</f>
        <v>2024</v>
      </c>
      <c r="G550" s="5" t="str">
        <f>IFERROR(__xludf.DUMMYFUNCTION("""COMPUTED_VALUE"""),"K200")</f>
        <v>K200</v>
      </c>
      <c r="H550" s="5" t="str">
        <f>IFERROR(__xludf.DUMMYFUNCTION("""COMPUTED_VALUE"""),"130HP")</f>
        <v>130HP</v>
      </c>
      <c r="I550" s="5" t="str">
        <f>IFERROR(__xludf.DUMMYFUNCTION("""COMPUTED_VALUE"""),"RNHA39KHERT094673")</f>
        <v>RNHA39KHERT094673</v>
      </c>
      <c r="J550" s="5" t="str">
        <f>IFERROR(__xludf.DUMMYFUNCTION("""COMPUTED_VALUE"""),"RD577733D4CB")</f>
        <v>RD577733D4CB</v>
      </c>
      <c r="K550" s="5">
        <f>IFERROR(__xludf.DUMMYFUNCTION("""COMPUTED_VALUE"""),2.9)</f>
        <v>2.9</v>
      </c>
      <c r="L550" s="5" t="str">
        <f>IFERROR(__xludf.DUMMYFUNCTION("""COMPUTED_VALUE"""),"KLH")</f>
        <v>KLH</v>
      </c>
    </row>
    <row r="551">
      <c r="A551" s="168" t="str">
        <f>IFERROR(__xludf.DUMMYFUNCTION("""COMPUTED_VALUE"""),"PHC-TĐL-003")</f>
        <v>PHC-TĐL-003</v>
      </c>
      <c r="B551" s="3" t="str">
        <f>IFERROR(__xludf.DUMMYFUNCTION("""COMPUTED_VALUE"""),"Xe tải đông lạnh K200")</f>
        <v>Xe tải đông lạnh K200</v>
      </c>
      <c r="C551" s="5" t="str">
        <f>IFERROR(__xludf.DUMMYFUNCTION("""COMPUTED_VALUE"""),"HÀNH CHÍNH KLH")</f>
        <v>HÀNH CHÍNH KLH</v>
      </c>
      <c r="D551" s="5" t="str">
        <f>IFERROR(__xludf.DUMMYFUNCTION("""COMPUTED_VALUE"""),"THACO KIA")</f>
        <v>THACO KIA</v>
      </c>
      <c r="E551" s="5" t="str">
        <f>IFERROR(__xludf.DUMMYFUNCTION("""COMPUTED_VALUE"""),"VIỆT NAM")</f>
        <v>VIỆT NAM</v>
      </c>
      <c r="F551" s="5">
        <f>IFERROR(__xludf.DUMMYFUNCTION("""COMPUTED_VALUE"""),2024.0)</f>
        <v>2024</v>
      </c>
      <c r="G551" s="5" t="str">
        <f>IFERROR(__xludf.DUMMYFUNCTION("""COMPUTED_VALUE"""),"K200")</f>
        <v>K200</v>
      </c>
      <c r="H551" s="5" t="str">
        <f>IFERROR(__xludf.DUMMYFUNCTION("""COMPUTED_VALUE"""),"130HP")</f>
        <v>130HP</v>
      </c>
      <c r="I551" s="5" t="str">
        <f>IFERROR(__xludf.DUMMYFUNCTION("""COMPUTED_VALUE"""),"RNHA39KHERT094674")</f>
        <v>RNHA39KHERT094674</v>
      </c>
      <c r="J551" s="5" t="str">
        <f>IFERROR(__xludf.DUMMYFUNCTION("""COMPUTED_VALUE"""),"RD577734D4CB")</f>
        <v>RD577734D4CB</v>
      </c>
      <c r="K551" s="5">
        <f>IFERROR(__xludf.DUMMYFUNCTION("""COMPUTED_VALUE"""),2.9)</f>
        <v>2.9</v>
      </c>
      <c r="L551" s="5" t="str">
        <f>IFERROR(__xludf.DUMMYFUNCTION("""COMPUTED_VALUE"""),"KLH")</f>
        <v>KLH</v>
      </c>
    </row>
    <row r="552">
      <c r="A552" s="168" t="str">
        <f>IFERROR(__xludf.DUMMYFUNCTION("""COMPUTED_VALUE"""),"PHC-XCR-001")</f>
        <v>PHC-XCR-001</v>
      </c>
      <c r="B552" s="3" t="str">
        <f>IFERROR(__xludf.DUMMYFUNCTION("""COMPUTED_VALUE"""),"Xe chở rác K250B")</f>
        <v>Xe chở rác K250B</v>
      </c>
      <c r="C552" s="5" t="str">
        <f>IFERROR(__xludf.DUMMYFUNCTION("""COMPUTED_VALUE"""),"HÀNH CHÍNH KLH")</f>
        <v>HÀNH CHÍNH KLH</v>
      </c>
      <c r="D552" s="5" t="str">
        <f>IFERROR(__xludf.DUMMYFUNCTION("""COMPUTED_VALUE"""),"THACO KIA")</f>
        <v>THACO KIA</v>
      </c>
      <c r="E552" s="5" t="str">
        <f>IFERROR(__xludf.DUMMYFUNCTION("""COMPUTED_VALUE"""),"VIỆT NAM")</f>
        <v>VIỆT NAM</v>
      </c>
      <c r="F552" s="5">
        <f>IFERROR(__xludf.DUMMYFUNCTION("""COMPUTED_VALUE"""),2023.0)</f>
        <v>2023</v>
      </c>
      <c r="G552" s="5" t="str">
        <f>IFERROR(__xludf.DUMMYFUNCTION("""COMPUTED_VALUE"""),"K250B")</f>
        <v>K250B</v>
      </c>
      <c r="H552" s="5" t="str">
        <f>IFERROR(__xludf.DUMMYFUNCTION("""COMPUTED_VALUE"""),"130HP")</f>
        <v>130HP</v>
      </c>
      <c r="I552" s="5" t="str">
        <f>IFERROR(__xludf.DUMMYFUNCTION("""COMPUTED_VALUE"""),"RNHA49KHEPT069328")</f>
        <v>RNHA49KHEPT069328</v>
      </c>
      <c r="J552" s="5" t="str">
        <f>IFERROR(__xludf.DUMMYFUNCTION("""COMPUTED_VALUE"""),"LD527221D4CB")</f>
        <v>LD527221D4CB</v>
      </c>
      <c r="K552" s="5"/>
      <c r="L552" s="5" t="str">
        <f>IFERROR(__xludf.DUMMYFUNCTION("""COMPUTED_VALUE"""),"KLH")</f>
        <v>KLH</v>
      </c>
    </row>
    <row r="553">
      <c r="A553" s="168" t="str">
        <f>IFERROR(__xludf.DUMMYFUNCTION("""COMPUTED_VALUE"""),"PHC-XTA-001")</f>
        <v>PHC-XTA-001</v>
      </c>
      <c r="B553" s="3" t="str">
        <f>IFERROR(__xludf.DUMMYFUNCTION("""COMPUTED_VALUE"""),"Xe tải THACO FRONTIER TF490")</f>
        <v>Xe tải THACO FRONTIER TF490</v>
      </c>
      <c r="C553" s="5" t="str">
        <f>IFERROR(__xludf.DUMMYFUNCTION("""COMPUTED_VALUE"""),"HÀNH CHÍNH KLH")</f>
        <v>HÀNH CHÍNH KLH</v>
      </c>
      <c r="D553" s="5" t="str">
        <f>IFERROR(__xludf.DUMMYFUNCTION("""COMPUTED_VALUE"""),"THACO FRONTIER")</f>
        <v>THACO FRONTIER</v>
      </c>
      <c r="E553" s="5" t="str">
        <f>IFERROR(__xludf.DUMMYFUNCTION("""COMPUTED_VALUE"""),"VIỆT NAM")</f>
        <v>VIỆT NAM</v>
      </c>
      <c r="F553" s="5">
        <f>IFERROR(__xludf.DUMMYFUNCTION("""COMPUTED_VALUE"""),2024.0)</f>
        <v>2024</v>
      </c>
      <c r="G553" s="5" t="str">
        <f>IFERROR(__xludf.DUMMYFUNCTION("""COMPUTED_VALUE"""),"TF490")</f>
        <v>TF490</v>
      </c>
      <c r="H553" s="5" t="str">
        <f>IFERROR(__xludf.DUMMYFUNCTION("""COMPUTED_VALUE"""),"107HP")</f>
        <v>107HP</v>
      </c>
      <c r="I553" s="5" t="str">
        <f>IFERROR(__xludf.DUMMYFUNCTION("""COMPUTED_VALUE"""),"RNHA49TZART051060")</f>
        <v>RNHA49TZART051060</v>
      </c>
      <c r="J553" s="5" t="str">
        <f>IFERROR(__xludf.DUMMYFUNCTION("""COMPUTED_VALUE"""),"JE493ZLQ4*33102790*")</f>
        <v>JE493ZLQ4*33102790*</v>
      </c>
      <c r="K553" s="5"/>
      <c r="L553" s="5" t="str">
        <f>IFERROR(__xludf.DUMMYFUNCTION("""COMPUTED_VALUE"""),"KLH")</f>
        <v>KLH</v>
      </c>
    </row>
    <row r="554">
      <c r="A554" s="168" t="str">
        <f>IFERROR(__xludf.DUMMYFUNCTION("""COMPUTED_VALUE"""),"PHC-XTA-002")</f>
        <v>PHC-XTA-002</v>
      </c>
      <c r="B554" s="3" t="str">
        <f>IFERROR(__xludf.DUMMYFUNCTION("""COMPUTED_VALUE"""),"Xe tải thùng FD140")</f>
        <v>Xe tải thùng FD140</v>
      </c>
      <c r="C554" s="5" t="str">
        <f>IFERROR(__xludf.DUMMYFUNCTION("""COMPUTED_VALUE"""),"HÀNH CHÍNH KLH")</f>
        <v>HÀNH CHÍNH KLH</v>
      </c>
      <c r="D554" s="5" t="str">
        <f>IFERROR(__xludf.DUMMYFUNCTION("""COMPUTED_VALUE"""),"THACO FORLAND")</f>
        <v>THACO FORLAND</v>
      </c>
      <c r="E554" s="5" t="str">
        <f>IFERROR(__xludf.DUMMYFUNCTION("""COMPUTED_VALUE"""),"VIỆT NAM")</f>
        <v>VIỆT NAM</v>
      </c>
      <c r="F554" s="5">
        <f>IFERROR(__xludf.DUMMYFUNCTION("""COMPUTED_VALUE"""),2021.0)</f>
        <v>2021</v>
      </c>
      <c r="G554" s="5" t="str">
        <f>IFERROR(__xludf.DUMMYFUNCTION("""COMPUTED_VALUE"""),"FD140")</f>
        <v>FD140</v>
      </c>
      <c r="H554" s="5" t="str">
        <f>IFERROR(__xludf.DUMMYFUNCTION("""COMPUTED_VALUE"""),"140HP")</f>
        <v>140HP</v>
      </c>
      <c r="I554" s="5" t="str">
        <f>IFERROR(__xludf.DUMMYFUNCTION("""COMPUTED_VALUE"""),"49596")</f>
        <v>49596</v>
      </c>
      <c r="J554" s="5" t="str">
        <f>IFERROR(__xludf.DUMMYFUNCTION("""COMPUTED_VALUE"""),"CCN")</f>
        <v>CCN</v>
      </c>
      <c r="K554" s="5">
        <f>IFERROR(__xludf.DUMMYFUNCTION("""COMPUTED_VALUE"""),0.3)</f>
        <v>0.3</v>
      </c>
      <c r="L554" s="5" t="str">
        <f>IFERROR(__xludf.DUMMYFUNCTION("""COMPUTED_VALUE"""),"KLH")</f>
        <v>KLH</v>
      </c>
    </row>
    <row r="555">
      <c r="A555" s="168" t="str">
        <f>IFERROR(__xludf.DUMMYFUNCTION("""COMPUTED_VALUE"""),"TDC-XTA-001")</f>
        <v>TDC-XTA-001</v>
      </c>
      <c r="B555" s="3" t="str">
        <f>IFERROR(__xludf.DUMMYFUNCTION("""COMPUTED_VALUE"""),"Xe tải Forland FD140")</f>
        <v>Xe tải Forland FD140</v>
      </c>
      <c r="C555" s="5" t="str">
        <f>IFERROR(__xludf.DUMMYFUNCTION("""COMPUTED_VALUE"""),"Thadicons A&amp;I")</f>
        <v>Thadicons A&amp;I</v>
      </c>
      <c r="D555" s="5" t="str">
        <f>IFERROR(__xludf.DUMMYFUNCTION("""COMPUTED_VALUE"""),"THACO")</f>
        <v>THACO</v>
      </c>
      <c r="E555" s="5" t="str">
        <f>IFERROR(__xludf.DUMMYFUNCTION("""COMPUTED_VALUE"""),"VIỆT NAM")</f>
        <v>VIỆT NAM</v>
      </c>
      <c r="F555" s="5"/>
      <c r="G555" s="5" t="str">
        <f>IFERROR(__xludf.DUMMYFUNCTION("""COMPUTED_VALUE"""),"FD140")</f>
        <v>FD140</v>
      </c>
      <c r="H555" s="5" t="str">
        <f>IFERROR(__xludf.DUMMYFUNCTION("""COMPUTED_VALUE"""),"140HP")</f>
        <v>140HP</v>
      </c>
      <c r="I555" s="5" t="str">
        <f>IFERROR(__xludf.DUMMYFUNCTION("""COMPUTED_VALUE"""),"RNHF14YALT022435")</f>
        <v>RNHF14YALT022435</v>
      </c>
      <c r="J555" s="5" t="str">
        <f>IFERROR(__xludf.DUMMYFUNCTION("""COMPUTED_VALUE"""),"CCN")</f>
        <v>CCN</v>
      </c>
      <c r="K555" s="5"/>
      <c r="L555" s="5" t="str">
        <f>IFERROR(__xludf.DUMMYFUNCTION("""COMPUTED_VALUE"""),"KLH")</f>
        <v>KLH</v>
      </c>
    </row>
    <row r="556">
      <c r="A556" s="168" t="str">
        <f>IFERROR(__xludf.DUMMYFUNCTION("""COMPUTED_VALUE"""),"TDC-XTA-002")</f>
        <v>TDC-XTA-002</v>
      </c>
      <c r="B556" s="3" t="str">
        <f>IFERROR(__xludf.DUMMYFUNCTION("""COMPUTED_VALUE"""),"Xe tải Frontier TF2800")</f>
        <v>Xe tải Frontier TF2800</v>
      </c>
      <c r="C556" s="5" t="str">
        <f>IFERROR(__xludf.DUMMYFUNCTION("""COMPUTED_VALUE"""),"Thadicons A&amp;I")</f>
        <v>Thadicons A&amp;I</v>
      </c>
      <c r="D556" s="5" t="str">
        <f>IFERROR(__xludf.DUMMYFUNCTION("""COMPUTED_VALUE"""),"THACO")</f>
        <v>THACO</v>
      </c>
      <c r="E556" s="5" t="str">
        <f>IFERROR(__xludf.DUMMYFUNCTION("""COMPUTED_VALUE"""),"VIỆT NAM")</f>
        <v>VIỆT NAM</v>
      </c>
      <c r="F556" s="5"/>
      <c r="G556" s="5" t="str">
        <f>IFERROR(__xludf.DUMMYFUNCTION("""COMPUTED_VALUE"""),"TF2800")</f>
        <v>TF2800</v>
      </c>
      <c r="H556" s="5" t="str">
        <f>IFERROR(__xludf.DUMMYFUNCTION("""COMPUTED_VALUE"""),"100HP")</f>
        <v>100HP</v>
      </c>
      <c r="I556" s="5"/>
      <c r="J556" s="5"/>
      <c r="K556" s="5"/>
      <c r="L556" s="5" t="str">
        <f>IFERROR(__xludf.DUMMYFUNCTION("""COMPUTED_VALUE"""),"KLH")</f>
        <v>KLH</v>
      </c>
    </row>
    <row r="557">
      <c r="A557" s="168" t="str">
        <f>IFERROR(__xludf.DUMMYFUNCTION("""COMPUTED_VALUE"""),"TDC-XTA-003")</f>
        <v>TDC-XTA-003</v>
      </c>
      <c r="B557" s="3" t="str">
        <f>IFERROR(__xludf.DUMMYFUNCTION("""COMPUTED_VALUE"""),"Xe tải Van THACO FRONTIER TF420-5S")</f>
        <v>Xe tải Van THACO FRONTIER TF420-5S</v>
      </c>
      <c r="C557" s="5" t="str">
        <f>IFERROR(__xludf.DUMMYFUNCTION("""COMPUTED_VALUE"""),"Thadicons A&amp;I")</f>
        <v>Thadicons A&amp;I</v>
      </c>
      <c r="D557" s="5" t="str">
        <f>IFERROR(__xludf.DUMMYFUNCTION("""COMPUTED_VALUE"""),"THACO")</f>
        <v>THACO</v>
      </c>
      <c r="E557" s="5" t="str">
        <f>IFERROR(__xludf.DUMMYFUNCTION("""COMPUTED_VALUE"""),"VIỆT NAM")</f>
        <v>VIỆT NAM</v>
      </c>
      <c r="F557" s="5"/>
      <c r="G557" s="5" t="str">
        <f>IFERROR(__xludf.DUMMYFUNCTION("""COMPUTED_VALUE"""),"TF420")</f>
        <v>TF420</v>
      </c>
      <c r="H557" s="5" t="str">
        <f>IFERROR(__xludf.DUMMYFUNCTION("""COMPUTED_VALUE"""),"100HP")</f>
        <v>100HP</v>
      </c>
      <c r="I557" s="5"/>
      <c r="J557" s="5"/>
      <c r="K557" s="5"/>
      <c r="L557" s="5" t="str">
        <f>IFERROR(__xludf.DUMMYFUNCTION("""COMPUTED_VALUE"""),"KLH")</f>
        <v>KLH</v>
      </c>
    </row>
    <row r="558">
      <c r="A558" s="168" t="str">
        <f>IFERROR(__xludf.DUMMYFUNCTION("""COMPUTED_VALUE"""),"TDC-XNA-001")</f>
        <v>TDC-XNA-001</v>
      </c>
      <c r="B558" s="3" t="str">
        <f>IFERROR(__xludf.DUMMYFUNCTION("""COMPUTED_VALUE"""),"Xe nâng 3.5T-CĐ18")</f>
        <v>Xe nâng 3.5T-CĐ18</v>
      </c>
      <c r="C558" s="5" t="str">
        <f>IFERROR(__xludf.DUMMYFUNCTION("""COMPUTED_VALUE"""),"Thadicons A&amp;I")</f>
        <v>Thadicons A&amp;I</v>
      </c>
      <c r="D558" s="5" t="str">
        <f>IFERROR(__xludf.DUMMYFUNCTION("""COMPUTED_VALUE"""),"YALE")</f>
        <v>YALE</v>
      </c>
      <c r="E558" s="5"/>
      <c r="F558" s="5"/>
      <c r="G558" s="5"/>
      <c r="H558" s="5"/>
      <c r="I558" s="5"/>
      <c r="J558" s="5"/>
      <c r="K558" s="5">
        <f>IFERROR(__xludf.DUMMYFUNCTION("""COMPUTED_VALUE"""),2.5)</f>
        <v>2.5</v>
      </c>
      <c r="L558" s="5" t="str">
        <f>IFERROR(__xludf.DUMMYFUNCTION("""COMPUTED_VALUE"""),"KLH")</f>
        <v>KLH</v>
      </c>
    </row>
    <row r="559">
      <c r="A559" s="168" t="str">
        <f>IFERROR(__xludf.DUMMYFUNCTION("""COMPUTED_VALUE"""),"TDC-XCV-001")</f>
        <v>TDC-XCV-001</v>
      </c>
      <c r="B559" s="3" t="str">
        <f>IFERROR(__xludf.DUMMYFUNCTION("""COMPUTED_VALUE"""),"Xe công vụ 81C-04285")</f>
        <v>Xe công vụ 81C-04285</v>
      </c>
      <c r="C559" s="5" t="str">
        <f>IFERROR(__xludf.DUMMYFUNCTION("""COMPUTED_VALUE"""),"Thadicons A&amp;I")</f>
        <v>Thadicons A&amp;I</v>
      </c>
      <c r="D559" s="5" t="str">
        <f>IFERROR(__xludf.DUMMYFUNCTION("""COMPUTED_VALUE"""),"ISUZU")</f>
        <v>ISUZU</v>
      </c>
      <c r="E559" s="5" t="str">
        <f>IFERROR(__xludf.DUMMYFUNCTION("""COMPUTED_VALUE"""),"NHẬT BẢN ")</f>
        <v>NHẬT BẢN </v>
      </c>
      <c r="F559" s="5"/>
      <c r="G559" s="5"/>
      <c r="H559" s="5"/>
      <c r="I559" s="5"/>
      <c r="J559" s="5"/>
      <c r="K559" s="5"/>
      <c r="L559" s="5" t="str">
        <f>IFERROR(__xludf.DUMMYFUNCTION("""COMPUTED_VALUE"""),"KLH")</f>
        <v>KLH</v>
      </c>
    </row>
    <row r="560">
      <c r="A560" s="168" t="str">
        <f>IFERROR(__xludf.DUMMYFUNCTION("""COMPUTED_VALUE"""),"TDC-XLO-001")</f>
        <v>TDC-XLO-001</v>
      </c>
      <c r="B560" s="3" t="str">
        <f>IFERROR(__xludf.DUMMYFUNCTION("""COMPUTED_VALUE"""),"Xe lôi")</f>
        <v>Xe lôi</v>
      </c>
      <c r="C560" s="5" t="str">
        <f>IFERROR(__xludf.DUMMYFUNCTION("""COMPUTED_VALUE"""),"Thadicons A&amp;I")</f>
        <v>Thadicons A&amp;I</v>
      </c>
      <c r="D560" s="5"/>
      <c r="E560" s="5" t="str">
        <f>IFERROR(__xludf.DUMMYFUNCTION("""COMPUTED_VALUE"""),"TRUNG QUỐC")</f>
        <v>TRUNG QUỐC</v>
      </c>
      <c r="F560" s="5">
        <f>IFERROR(__xludf.DUMMYFUNCTION("""COMPUTED_VALUE"""),2021.0)</f>
        <v>2021</v>
      </c>
      <c r="G560" s="5" t="str">
        <f>IFERROR(__xludf.DUMMYFUNCTION("""COMPUTED_VALUE"""),"150ZH")</f>
        <v>150ZH</v>
      </c>
      <c r="H560" s="5" t="str">
        <f>IFERROR(__xludf.DUMMYFUNCTION("""COMPUTED_VALUE"""),"150HP")</f>
        <v>150HP</v>
      </c>
      <c r="I560" s="5" t="str">
        <f>IFERROR(__xludf.DUMMYFUNCTION("""COMPUTED_VALUE"""),"TH162FMJ-C23004045")</f>
        <v>TH162FMJ-C23004045</v>
      </c>
      <c r="J560" s="5" t="str">
        <f>IFERROR(__xludf.DUMMYFUNCTION("""COMPUTED_VALUE"""),"LP7HCKZ91P0004045")</f>
        <v>LP7HCKZ91P0004045</v>
      </c>
      <c r="K560" s="5">
        <f>IFERROR(__xludf.DUMMYFUNCTION("""COMPUTED_VALUE"""),2.5)</f>
        <v>2.5</v>
      </c>
      <c r="L560" s="5" t="str">
        <f>IFERROR(__xludf.DUMMYFUNCTION("""COMPUTED_VALUE"""),"KLH")</f>
        <v>KLH</v>
      </c>
    </row>
    <row r="561">
      <c r="A561" s="168" t="str">
        <f>IFERROR(__xludf.DUMMYFUNCTION("""COMPUTED_VALUE"""),"TDC-XLO-002")</f>
        <v>TDC-XLO-002</v>
      </c>
      <c r="B561" s="3" t="str">
        <f>IFERROR(__xludf.DUMMYFUNCTION("""COMPUTED_VALUE"""),"Xe lôi")</f>
        <v>Xe lôi</v>
      </c>
      <c r="C561" s="5" t="str">
        <f>IFERROR(__xludf.DUMMYFUNCTION("""COMPUTED_VALUE"""),"Thadicons A&amp;I")</f>
        <v>Thadicons A&amp;I</v>
      </c>
      <c r="D561" s="5"/>
      <c r="E561" s="5" t="str">
        <f>IFERROR(__xludf.DUMMYFUNCTION("""COMPUTED_VALUE"""),"TRUNG QUỐC")</f>
        <v>TRUNG QUỐC</v>
      </c>
      <c r="F561" s="5">
        <f>IFERROR(__xludf.DUMMYFUNCTION("""COMPUTED_VALUE"""),2021.0)</f>
        <v>2021</v>
      </c>
      <c r="G561" s="5" t="str">
        <f>IFERROR(__xludf.DUMMYFUNCTION("""COMPUTED_VALUE"""),"150ZH")</f>
        <v>150ZH</v>
      </c>
      <c r="H561" s="5" t="str">
        <f>IFERROR(__xludf.DUMMYFUNCTION("""COMPUTED_VALUE"""),"150HP")</f>
        <v>150HP</v>
      </c>
      <c r="I561" s="5" t="str">
        <f>IFERROR(__xludf.DUMMYFUNCTION("""COMPUTED_VALUE"""),"TH162FMJ-C23004013")</f>
        <v>TH162FMJ-C23004013</v>
      </c>
      <c r="J561" s="5" t="str">
        <f>IFERROR(__xludf.DUMMYFUNCTION("""COMPUTED_VALUE"""),"LP7HCKZ9XP0004013")</f>
        <v>LP7HCKZ9XP0004013</v>
      </c>
      <c r="K561" s="5">
        <f>IFERROR(__xludf.DUMMYFUNCTION("""COMPUTED_VALUE"""),2.5)</f>
        <v>2.5</v>
      </c>
      <c r="L561" s="5" t="str">
        <f>IFERROR(__xludf.DUMMYFUNCTION("""COMPUTED_VALUE"""),"KLH")</f>
        <v>KLH</v>
      </c>
    </row>
    <row r="562">
      <c r="A562" s="168" t="str">
        <f>IFERROR(__xludf.DUMMYFUNCTION("""COMPUTED_VALUE"""),"TDC-XLO-003")</f>
        <v>TDC-XLO-003</v>
      </c>
      <c r="B562" s="3" t="str">
        <f>IFERROR(__xludf.DUMMYFUNCTION("""COMPUTED_VALUE"""),"Xe lôi")</f>
        <v>Xe lôi</v>
      </c>
      <c r="C562" s="5" t="str">
        <f>IFERROR(__xludf.DUMMYFUNCTION("""COMPUTED_VALUE"""),"Thadicons A&amp;I")</f>
        <v>Thadicons A&amp;I</v>
      </c>
      <c r="D562" s="5"/>
      <c r="E562" s="5" t="str">
        <f>IFERROR(__xludf.DUMMYFUNCTION("""COMPUTED_VALUE"""),"TRUNG QUỐC")</f>
        <v>TRUNG QUỐC</v>
      </c>
      <c r="F562" s="5">
        <f>IFERROR(__xludf.DUMMYFUNCTION("""COMPUTED_VALUE"""),2021.0)</f>
        <v>2021</v>
      </c>
      <c r="G562" s="5" t="str">
        <f>IFERROR(__xludf.DUMMYFUNCTION("""COMPUTED_VALUE"""),"150ZH")</f>
        <v>150ZH</v>
      </c>
      <c r="H562" s="5" t="str">
        <f>IFERROR(__xludf.DUMMYFUNCTION("""COMPUTED_VALUE"""),"150HP")</f>
        <v>150HP</v>
      </c>
      <c r="I562" s="5" t="str">
        <f>IFERROR(__xludf.DUMMYFUNCTION("""COMPUTED_VALUE"""),"22060447")</f>
        <v>22060447</v>
      </c>
      <c r="J562" s="5" t="str">
        <f>IFERROR(__xludf.DUMMYFUNCTION("""COMPUTED_VALUE"""),"LP7HCKZ95N0000447")</f>
        <v>LP7HCKZ95N0000447</v>
      </c>
      <c r="K562" s="5">
        <f>IFERROR(__xludf.DUMMYFUNCTION("""COMPUTED_VALUE"""),2.5)</f>
        <v>2.5</v>
      </c>
      <c r="L562" s="5" t="str">
        <f>IFERROR(__xludf.DUMMYFUNCTION("""COMPUTED_VALUE"""),"KLH")</f>
        <v>KLH</v>
      </c>
    </row>
    <row r="563">
      <c r="A563" s="168" t="str">
        <f>IFERROR(__xludf.DUMMYFUNCTION("""COMPUTED_VALUE"""),"TDC-XLO-004")</f>
        <v>TDC-XLO-004</v>
      </c>
      <c r="B563" s="3" t="str">
        <f>IFERROR(__xludf.DUMMYFUNCTION("""COMPUTED_VALUE"""),"Xe lôi")</f>
        <v>Xe lôi</v>
      </c>
      <c r="C563" s="5" t="str">
        <f>IFERROR(__xludf.DUMMYFUNCTION("""COMPUTED_VALUE"""),"Thadicons A&amp;I")</f>
        <v>Thadicons A&amp;I</v>
      </c>
      <c r="D563" s="5"/>
      <c r="E563" s="5" t="str">
        <f>IFERROR(__xludf.DUMMYFUNCTION("""COMPUTED_VALUE"""),"TRUNG QUỐC")</f>
        <v>TRUNG QUỐC</v>
      </c>
      <c r="F563" s="5">
        <f>IFERROR(__xludf.DUMMYFUNCTION("""COMPUTED_VALUE"""),2021.0)</f>
        <v>2021</v>
      </c>
      <c r="G563" s="5" t="str">
        <f>IFERROR(__xludf.DUMMYFUNCTION("""COMPUTED_VALUE"""),"150ZH")</f>
        <v>150ZH</v>
      </c>
      <c r="H563" s="5" t="str">
        <f>IFERROR(__xludf.DUMMYFUNCTION("""COMPUTED_VALUE"""),"150HP")</f>
        <v>150HP</v>
      </c>
      <c r="I563" s="5" t="str">
        <f>IFERROR(__xludf.DUMMYFUNCTION("""COMPUTED_VALUE"""),"22060460")</f>
        <v>22060460</v>
      </c>
      <c r="J563" s="5" t="str">
        <f>IFERROR(__xludf.DUMMYFUNCTION("""COMPUTED_VALUE"""),"LP7HCKZ98N0000460")</f>
        <v>LP7HCKZ98N0000460</v>
      </c>
      <c r="K563" s="5">
        <f>IFERROR(__xludf.DUMMYFUNCTION("""COMPUTED_VALUE"""),2.5)</f>
        <v>2.5</v>
      </c>
      <c r="L563" s="5" t="str">
        <f>IFERROR(__xludf.DUMMYFUNCTION("""COMPUTED_VALUE"""),"KLH")</f>
        <v>KLH</v>
      </c>
    </row>
    <row r="564">
      <c r="A564" s="168" t="str">
        <f>IFERROR(__xludf.DUMMYFUNCTION("""COMPUTED_VALUE"""),"TDC-XLO-005")</f>
        <v>TDC-XLO-005</v>
      </c>
      <c r="B564" s="3" t="str">
        <f>IFERROR(__xludf.DUMMYFUNCTION("""COMPUTED_VALUE"""),"Xe lôi")</f>
        <v>Xe lôi</v>
      </c>
      <c r="C564" s="5" t="str">
        <f>IFERROR(__xludf.DUMMYFUNCTION("""COMPUTED_VALUE"""),"Thadicons A&amp;I")</f>
        <v>Thadicons A&amp;I</v>
      </c>
      <c r="D564" s="5"/>
      <c r="E564" s="5" t="str">
        <f>IFERROR(__xludf.DUMMYFUNCTION("""COMPUTED_VALUE"""),"TRUNG QUỐC")</f>
        <v>TRUNG QUỐC</v>
      </c>
      <c r="F564" s="5">
        <f>IFERROR(__xludf.DUMMYFUNCTION("""COMPUTED_VALUE"""),2021.0)</f>
        <v>2021</v>
      </c>
      <c r="G564" s="5" t="str">
        <f>IFERROR(__xludf.DUMMYFUNCTION("""COMPUTED_VALUE"""),"150ZH")</f>
        <v>150ZH</v>
      </c>
      <c r="H564" s="5" t="str">
        <f>IFERROR(__xludf.DUMMYFUNCTION("""COMPUTED_VALUE"""),"150HP")</f>
        <v>150HP</v>
      </c>
      <c r="I564" s="5" t="str">
        <f>IFERROR(__xludf.DUMMYFUNCTION("""COMPUTED_VALUE"""),"K002901900089")</f>
        <v>K002901900089</v>
      </c>
      <c r="J564" s="5" t="str">
        <f>IFERROR(__xludf.DUMMYFUNCTION("""COMPUTED_VALUE"""),"L0011901053343")</f>
        <v>L0011901053343</v>
      </c>
      <c r="K564" s="5">
        <f>IFERROR(__xludf.DUMMYFUNCTION("""COMPUTED_VALUE"""),2.5)</f>
        <v>2.5</v>
      </c>
      <c r="L564" s="5" t="str">
        <f>IFERROR(__xludf.DUMMYFUNCTION("""COMPUTED_VALUE"""),"KLH")</f>
        <v>KLH</v>
      </c>
    </row>
    <row r="565">
      <c r="A565" s="168" t="str">
        <f>IFERROR(__xludf.DUMMYFUNCTION("""COMPUTED_VALUE"""),"BCG-TCD-002")</f>
        <v>BCG-TCD-002</v>
      </c>
      <c r="B565" s="3" t="str">
        <f>IFERROR(__xludf.DUMMYFUNCTION("""COMPUTED_VALUE"""),"Xe tải chuyên dụng (thùng lửng)")</f>
        <v>Xe tải chuyên dụng (thùng lửng)</v>
      </c>
      <c r="C565" s="5" t="str">
        <f>IFERROR(__xludf.DUMMYFUNCTION("""COMPUTED_VALUE"""),"BAN CG-CK &amp; SXCN")</f>
        <v>BAN CG-CK &amp; SXCN</v>
      </c>
      <c r="D565" s="5" t="str">
        <f>IFERROR(__xludf.DUMMYFUNCTION("""COMPUTED_VALUE"""),"THACO KIA")</f>
        <v>THACO KIA</v>
      </c>
      <c r="E565" s="5" t="str">
        <f>IFERROR(__xludf.DUMMYFUNCTION("""COMPUTED_VALUE"""),"Việt Nam")</f>
        <v>Việt Nam</v>
      </c>
      <c r="F565" s="5">
        <f>IFERROR(__xludf.DUMMYFUNCTION("""COMPUTED_VALUE"""),2021.0)</f>
        <v>2021</v>
      </c>
      <c r="G565" s="5" t="str">
        <f>IFERROR(__xludf.DUMMYFUNCTION("""COMPUTED_VALUE"""),"FRONTIER K200SD-4WD")</f>
        <v>FRONTIER K200SD-4WD</v>
      </c>
      <c r="H565" s="5" t="str">
        <f>IFERROR(__xludf.DUMMYFUNCTION("""COMPUTED_VALUE"""),"130HP")</f>
        <v>130HP</v>
      </c>
      <c r="I565" s="5" t="str">
        <f>IFERROR(__xludf.DUMMYFUNCTION("""COMPUTED_VALUE"""),"RNHF39KHBMT045656")</f>
        <v>RNHF39KHBMT045656</v>
      </c>
      <c r="J565" s="5" t="str">
        <f>IFERROR(__xludf.DUMMYFUNCTION("""COMPUTED_VALUE"""),"MD540068D4CB")</f>
        <v>MD540068D4CB</v>
      </c>
      <c r="K565" s="5"/>
      <c r="L565" s="5" t="str">
        <f>IFERROR(__xludf.DUMMYFUNCTION("""COMPUTED_VALUE"""),"KLH")</f>
        <v>KLH</v>
      </c>
    </row>
    <row r="566">
      <c r="A566" s="168" t="str">
        <f>IFERROR(__xludf.DUMMYFUNCTION("""COMPUTED_VALUE"""),"BCG-TCD-003")</f>
        <v>BCG-TCD-003</v>
      </c>
      <c r="B566" s="3" t="str">
        <f>IFERROR(__xludf.DUMMYFUNCTION("""COMPUTED_VALUE"""),"Xe tải chuyên dụng (thùng lửng)")</f>
        <v>Xe tải chuyên dụng (thùng lửng)</v>
      </c>
      <c r="C566" s="5" t="str">
        <f>IFERROR(__xludf.DUMMYFUNCTION("""COMPUTED_VALUE"""),"BAN CG-CK &amp; SXCN")</f>
        <v>BAN CG-CK &amp; SXCN</v>
      </c>
      <c r="D566" s="5" t="str">
        <f>IFERROR(__xludf.DUMMYFUNCTION("""COMPUTED_VALUE"""),"THACO KIA")</f>
        <v>THACO KIA</v>
      </c>
      <c r="E566" s="5" t="str">
        <f>IFERROR(__xludf.DUMMYFUNCTION("""COMPUTED_VALUE"""),"Việt Nam")</f>
        <v>Việt Nam</v>
      </c>
      <c r="F566" s="5">
        <f>IFERROR(__xludf.DUMMYFUNCTION("""COMPUTED_VALUE"""),2021.0)</f>
        <v>2021</v>
      </c>
      <c r="G566" s="5" t="str">
        <f>IFERROR(__xludf.DUMMYFUNCTION("""COMPUTED_VALUE"""),"FRONTIER K200SD-4WD")</f>
        <v>FRONTIER K200SD-4WD</v>
      </c>
      <c r="H566" s="5" t="str">
        <f>IFERROR(__xludf.DUMMYFUNCTION("""COMPUTED_VALUE"""),"130HP")</f>
        <v>130HP</v>
      </c>
      <c r="I566" s="5" t="str">
        <f>IFERROR(__xludf.DUMMYFUNCTION("""COMPUTED_VALUE"""),"RNHF39KHBMT045639")</f>
        <v>RNHF39KHBMT045639</v>
      </c>
      <c r="J566" s="5" t="str">
        <f>IFERROR(__xludf.DUMMYFUNCTION("""COMPUTED_VALUE"""),"MD540108D4CB")</f>
        <v>MD540108D4CB</v>
      </c>
      <c r="K566" s="5"/>
      <c r="L566" s="5" t="str">
        <f>IFERROR(__xludf.DUMMYFUNCTION("""COMPUTED_VALUE"""),"KLH")</f>
        <v>KLH</v>
      </c>
    </row>
    <row r="567">
      <c r="A567" s="168" t="str">
        <f>IFERROR(__xludf.DUMMYFUNCTION("""COMPUTED_VALUE"""),"BCG-TCD-004")</f>
        <v>BCG-TCD-004</v>
      </c>
      <c r="B567" s="3" t="str">
        <f>IFERROR(__xludf.DUMMYFUNCTION("""COMPUTED_VALUE"""),"Xe tải chuyên dụng (thùng SCLĐ)")</f>
        <v>Xe tải chuyên dụng (thùng SCLĐ)</v>
      </c>
      <c r="C567" s="5" t="str">
        <f>IFERROR(__xludf.DUMMYFUNCTION("""COMPUTED_VALUE"""),"BAN CG-CK &amp; SXCN")</f>
        <v>BAN CG-CK &amp; SXCN</v>
      </c>
      <c r="D567" s="5" t="str">
        <f>IFERROR(__xludf.DUMMYFUNCTION("""COMPUTED_VALUE"""),"THACO KIA")</f>
        <v>THACO KIA</v>
      </c>
      <c r="E567" s="5" t="str">
        <f>IFERROR(__xludf.DUMMYFUNCTION("""COMPUTED_VALUE"""),"VIỆT NAM")</f>
        <v>VIỆT NAM</v>
      </c>
      <c r="F567" s="5">
        <f>IFERROR(__xludf.DUMMYFUNCTION("""COMPUTED_VALUE"""),2024.0)</f>
        <v>2024</v>
      </c>
      <c r="G567" s="5" t="str">
        <f>IFERROR(__xludf.DUMMYFUNCTION("""COMPUTED_VALUE"""),"KIA K200SD")</f>
        <v>KIA K200SD</v>
      </c>
      <c r="H567" s="5" t="str">
        <f>IFERROR(__xludf.DUMMYFUNCTION("""COMPUTED_VALUE"""),"130HP")</f>
        <v>130HP</v>
      </c>
      <c r="I567" s="5" t="str">
        <f>IFERROR(__xludf.DUMMYFUNCTION("""COMPUTED_VALUE"""),"RNHF39KHBMT045676")</f>
        <v>RNHF39KHBMT045676</v>
      </c>
      <c r="J567" s="5" t="str">
        <f>IFERROR(__xludf.DUMMYFUNCTION("""COMPUTED_VALUE"""),"MD540074D4CB")</f>
        <v>MD540074D4CB</v>
      </c>
      <c r="K567" s="5"/>
      <c r="L567" s="5" t="str">
        <f>IFERROR(__xludf.DUMMYFUNCTION("""COMPUTED_VALUE"""),"KLH")</f>
        <v>KLH</v>
      </c>
    </row>
    <row r="568">
      <c r="A568" s="168" t="str">
        <f>IFERROR(__xludf.DUMMYFUNCTION("""COMPUTED_VALUE"""),"BCG-XMA-001")</f>
        <v>BCG-XMA-001</v>
      </c>
      <c r="B568" s="3" t="str">
        <f>IFERROR(__xludf.DUMMYFUNCTION("""COMPUTED_VALUE"""),"Xe máy")</f>
        <v>Xe máy</v>
      </c>
      <c r="C568" s="5" t="str">
        <f>IFERROR(__xludf.DUMMYFUNCTION("""COMPUTED_VALUE"""),"BAN CG-CK &amp; SXCN")</f>
        <v>BAN CG-CK &amp; SXCN</v>
      </c>
      <c r="D568" s="5" t="str">
        <f>IFERROR(__xludf.DUMMYFUNCTION("""COMPUTED_VALUE"""),"HONDA")</f>
        <v>HONDA</v>
      </c>
      <c r="E568" s="5" t="str">
        <f>IFERROR(__xludf.DUMMYFUNCTION("""COMPUTED_VALUE"""),"VIỆT NAM")</f>
        <v>VIỆT NAM</v>
      </c>
      <c r="F568" s="5"/>
      <c r="G568" s="5" t="str">
        <f>IFERROR(__xludf.DUMMYFUNCTION("""COMPUTED_VALUE"""),"WAVE A")</f>
        <v>WAVE A</v>
      </c>
      <c r="H568" s="5" t="str">
        <f>IFERROR(__xludf.DUMMYFUNCTION("""COMPUTED_VALUE"""),"110CC")</f>
        <v>110CC</v>
      </c>
      <c r="I568" s="5" t="str">
        <f>IFERROR(__xludf.DUMMYFUNCTION("""COMPUTED_VALUE"""),"RLHJA3912KY147682")</f>
        <v>RLHJA3912KY147682</v>
      </c>
      <c r="J568" s="5" t="str">
        <f>IFERROR(__xludf.DUMMYFUNCTION("""COMPUTED_VALUE"""),"JA39E-1004932")</f>
        <v>JA39E-1004932</v>
      </c>
      <c r="K568" s="5"/>
      <c r="L568" s="5" t="str">
        <f>IFERROR(__xludf.DUMMYFUNCTION("""COMPUTED_VALUE"""),"KLH")</f>
        <v>KLH</v>
      </c>
    </row>
    <row r="569">
      <c r="A569" s="168" t="str">
        <f>IFERROR(__xludf.DUMMYFUNCTION("""COMPUTED_VALUE"""),"BCG-XMA-002")</f>
        <v>BCG-XMA-002</v>
      </c>
      <c r="B569" s="3" t="str">
        <f>IFERROR(__xludf.DUMMYFUNCTION("""COMPUTED_VALUE"""),"Xe máy")</f>
        <v>Xe máy</v>
      </c>
      <c r="C569" s="5" t="str">
        <f>IFERROR(__xludf.DUMMYFUNCTION("""COMPUTED_VALUE"""),"BAN CG-CK &amp; SXCN")</f>
        <v>BAN CG-CK &amp; SXCN</v>
      </c>
      <c r="D569" s="5" t="str">
        <f>IFERROR(__xludf.DUMMYFUNCTION("""COMPUTED_VALUE"""),"HONDA")</f>
        <v>HONDA</v>
      </c>
      <c r="E569" s="5" t="str">
        <f>IFERROR(__xludf.DUMMYFUNCTION("""COMPUTED_VALUE"""),"VIỆT NAM")</f>
        <v>VIỆT NAM</v>
      </c>
      <c r="F569" s="5"/>
      <c r="G569" s="5" t="str">
        <f>IFERROR(__xludf.DUMMYFUNCTION("""COMPUTED_VALUE"""),"WAVE A")</f>
        <v>WAVE A</v>
      </c>
      <c r="H569" s="5" t="str">
        <f>IFERROR(__xludf.DUMMYFUNCTION("""COMPUTED_VALUE"""),"110CC")</f>
        <v>110CC</v>
      </c>
      <c r="I569" s="5" t="str">
        <f>IFERROR(__xludf.DUMMYFUNCTION("""COMPUTED_VALUE"""),"RLHJAG912KY180667")</f>
        <v>RLHJAG912KY180667</v>
      </c>
      <c r="J569" s="5" t="str">
        <f>IFERROR(__xludf.DUMMYFUNCTION("""COMPUTED_VALUE"""),"JA39E-1038313")</f>
        <v>JA39E-1038313</v>
      </c>
      <c r="K569" s="5"/>
      <c r="L569" s="5" t="str">
        <f>IFERROR(__xludf.DUMMYFUNCTION("""COMPUTED_VALUE"""),"KLH")</f>
        <v>KLH</v>
      </c>
    </row>
    <row r="570">
      <c r="A570" s="168" t="str">
        <f>IFERROR(__xludf.DUMMYFUNCTION("""COMPUTED_VALUE"""),"BCG-XMA-003")</f>
        <v>BCG-XMA-003</v>
      </c>
      <c r="B570" s="3" t="str">
        <f>IFERROR(__xludf.DUMMYFUNCTION("""COMPUTED_VALUE"""),"Xe máy")</f>
        <v>Xe máy</v>
      </c>
      <c r="C570" s="5" t="str">
        <f>IFERROR(__xludf.DUMMYFUNCTION("""COMPUTED_VALUE"""),"BAN CG-CK &amp; SXCN")</f>
        <v>BAN CG-CK &amp; SXCN</v>
      </c>
      <c r="D570" s="5" t="str">
        <f>IFERROR(__xludf.DUMMYFUNCTION("""COMPUTED_VALUE"""),"HONDA")</f>
        <v>HONDA</v>
      </c>
      <c r="E570" s="5" t="str">
        <f>IFERROR(__xludf.DUMMYFUNCTION("""COMPUTED_VALUE"""),"VIỆT NAM")</f>
        <v>VIỆT NAM</v>
      </c>
      <c r="F570" s="5"/>
      <c r="G570" s="5" t="str">
        <f>IFERROR(__xludf.DUMMYFUNCTION("""COMPUTED_VALUE"""),"WAVE A")</f>
        <v>WAVE A</v>
      </c>
      <c r="H570" s="5" t="str">
        <f>IFERROR(__xludf.DUMMYFUNCTION("""COMPUTED_VALUE"""),"110CC")</f>
        <v>110CC</v>
      </c>
      <c r="I570" s="5" t="str">
        <f>IFERROR(__xludf.DUMMYFUNCTION("""COMPUTED_VALUE"""),"CCN")</f>
        <v>CCN</v>
      </c>
      <c r="J570" s="5" t="str">
        <f>IFERROR(__xludf.DUMMYFUNCTION("""COMPUTED_VALUE"""),"JA39E-0414593")</f>
        <v>JA39E-0414593</v>
      </c>
      <c r="K570" s="5"/>
      <c r="L570" s="5" t="str">
        <f>IFERROR(__xludf.DUMMYFUNCTION("""COMPUTED_VALUE"""),"KLH")</f>
        <v>KLH</v>
      </c>
    </row>
    <row r="571">
      <c r="A571" s="168" t="str">
        <f>IFERROR(__xludf.DUMMYFUNCTION("""COMPUTED_VALUE"""),"BCG-XMA-004")</f>
        <v>BCG-XMA-004</v>
      </c>
      <c r="B571" s="3" t="str">
        <f>IFERROR(__xludf.DUMMYFUNCTION("""COMPUTED_VALUE"""),"Xe máy")</f>
        <v>Xe máy</v>
      </c>
      <c r="C571" s="5" t="str">
        <f>IFERROR(__xludf.DUMMYFUNCTION("""COMPUTED_VALUE"""),"BAN CG-CK &amp; SXCN")</f>
        <v>BAN CG-CK &amp; SXCN</v>
      </c>
      <c r="D571" s="5" t="str">
        <f>IFERROR(__xludf.DUMMYFUNCTION("""COMPUTED_VALUE"""),"HONDA")</f>
        <v>HONDA</v>
      </c>
      <c r="E571" s="5" t="str">
        <f>IFERROR(__xludf.DUMMYFUNCTION("""COMPUTED_VALUE"""),"VIỆT NAM")</f>
        <v>VIỆT NAM</v>
      </c>
      <c r="F571" s="5"/>
      <c r="G571" s="5" t="str">
        <f>IFERROR(__xludf.DUMMYFUNCTION("""COMPUTED_VALUE"""),"WAVE A")</f>
        <v>WAVE A</v>
      </c>
      <c r="H571" s="5" t="str">
        <f>IFERROR(__xludf.DUMMYFUNCTION("""COMPUTED_VALUE"""),"110CC")</f>
        <v>110CC</v>
      </c>
      <c r="I571" s="5" t="str">
        <f>IFERROR(__xludf.DUMMYFUNCTION("""COMPUTED_VALUE"""),"RLHJA3914KY-216158")</f>
        <v>RLHJA3914KY-216158</v>
      </c>
      <c r="J571" s="5" t="str">
        <f>IFERROR(__xludf.DUMMYFUNCTION("""COMPUTED_VALUE"""),"JA39E-1190180")</f>
        <v>JA39E-1190180</v>
      </c>
      <c r="K571" s="5"/>
      <c r="L571" s="5" t="str">
        <f>IFERROR(__xludf.DUMMYFUNCTION("""COMPUTED_VALUE"""),"KLH")</f>
        <v>KLH</v>
      </c>
    </row>
    <row r="572">
      <c r="A572" s="168" t="str">
        <f>IFERROR(__xludf.DUMMYFUNCTION("""COMPUTED_VALUE"""),"BCG-LBR-001")</f>
        <v>BCG-LBR-001</v>
      </c>
      <c r="B572" s="3" t="str">
        <f>IFERROR(__xludf.DUMMYFUNCTION("""COMPUTED_VALUE"""),"Xe tải Libero")</f>
        <v>Xe tải Libero</v>
      </c>
      <c r="C572" s="5" t="str">
        <f>IFERROR(__xludf.DUMMYFUNCTION("""COMPUTED_VALUE"""),"BAN CG-CK &amp; SXCN")</f>
        <v>BAN CG-CK &amp; SXCN</v>
      </c>
      <c r="D572" s="5" t="str">
        <f>IFERROR(__xludf.DUMMYFUNCTION("""COMPUTED_VALUE"""),"LIBERO")</f>
        <v>LIBERO</v>
      </c>
      <c r="E572" s="5"/>
      <c r="F572" s="5"/>
      <c r="G572" s="5"/>
      <c r="H572" s="5"/>
      <c r="I572" s="5" t="str">
        <f>IFERROR(__xludf.DUMMYFUNCTION("""COMPUTED_VALUE"""),"KMFYKS7HP3U039257")</f>
        <v>KMFYKS7HP3U039257</v>
      </c>
      <c r="J572" s="5" t="str">
        <f>IFERROR(__xludf.DUMMYFUNCTION("""COMPUTED_VALUE"""),"CCN")</f>
        <v>CCN</v>
      </c>
      <c r="K572" s="5"/>
      <c r="L572" s="5" t="str">
        <f>IFERROR(__xludf.DUMMYFUNCTION("""COMPUTED_VALUE"""),"KLH")</f>
        <v>KLH</v>
      </c>
    </row>
    <row r="573">
      <c r="A573" s="168" t="str">
        <f>IFERROR(__xludf.DUMMYFUNCTION("""COMPUTED_VALUE"""),"BCG-LBR-002")</f>
        <v>BCG-LBR-002</v>
      </c>
      <c r="B573" s="3" t="str">
        <f>IFERROR(__xludf.DUMMYFUNCTION("""COMPUTED_VALUE"""),"Xe tải Libero")</f>
        <v>Xe tải Libero</v>
      </c>
      <c r="C573" s="5" t="str">
        <f>IFERROR(__xludf.DUMMYFUNCTION("""COMPUTED_VALUE"""),"BAN CG-CK &amp; SXCN")</f>
        <v>BAN CG-CK &amp; SXCN</v>
      </c>
      <c r="D573" s="5" t="str">
        <f>IFERROR(__xludf.DUMMYFUNCTION("""COMPUTED_VALUE"""),"LIBERO")</f>
        <v>LIBERO</v>
      </c>
      <c r="E573" s="5"/>
      <c r="F573" s="5"/>
      <c r="G573" s="5"/>
      <c r="H573" s="5"/>
      <c r="I573" s="5"/>
      <c r="J573" s="5"/>
      <c r="K573" s="5"/>
      <c r="L573" s="5" t="str">
        <f>IFERROR(__xludf.DUMMYFUNCTION("""COMPUTED_VALUE"""),"KLH")</f>
        <v>KLH</v>
      </c>
    </row>
    <row r="574">
      <c r="A574" s="168" t="str">
        <f>IFERROR(__xludf.DUMMYFUNCTION("""COMPUTED_VALUE"""),"KTC-TCD-003")</f>
        <v>KTC-TCD-003</v>
      </c>
      <c r="B574" s="3" t="str">
        <f>IFERROR(__xludf.DUMMYFUNCTION("""COMPUTED_VALUE"""),"Xe tải chuyên dụng (cabin đôi)")</f>
        <v>Xe tải chuyên dụng (cabin đôi)</v>
      </c>
      <c r="C574" s="5" t="str">
        <f>IFERROR(__xludf.DUMMYFUNCTION("""COMPUTED_VALUE"""),"BAN KT CHUỐI")</f>
        <v>BAN KT CHUỐI</v>
      </c>
      <c r="D574" s="5" t="str">
        <f>IFERROR(__xludf.DUMMYFUNCTION("""COMPUTED_VALUE"""),"THACO KIA")</f>
        <v>THACO KIA</v>
      </c>
      <c r="E574" s="5" t="str">
        <f>IFERROR(__xludf.DUMMYFUNCTION("""COMPUTED_VALUE"""),"VIỆT NAM")</f>
        <v>VIỆT NAM</v>
      </c>
      <c r="F574" s="5">
        <f>IFERROR(__xludf.DUMMYFUNCTION("""COMPUTED_VALUE"""),2021.0)</f>
        <v>2021</v>
      </c>
      <c r="G574" s="5" t="str">
        <f>IFERROR(__xludf.DUMMYFUNCTION("""COMPUTED_VALUE"""),"FRONTIER K200SD")</f>
        <v>FRONTIER K200SD</v>
      </c>
      <c r="H574" s="5" t="str">
        <f>IFERROR(__xludf.DUMMYFUNCTION("""COMPUTED_VALUE"""),"130HP")</f>
        <v>130HP</v>
      </c>
      <c r="I574" s="5" t="str">
        <f>IFERROR(__xludf.DUMMYFUNCTION("""COMPUTED_VALUE"""),"RNHF39KHBMT045640")</f>
        <v>RNHF39KHBMT045640</v>
      </c>
      <c r="J574" s="5" t="str">
        <f>IFERROR(__xludf.DUMMYFUNCTION("""COMPUTED_VALUE"""),"MD540107D4CB")</f>
        <v>MD540107D4CB</v>
      </c>
      <c r="K574" s="5"/>
      <c r="L574" s="5" t="str">
        <f>IFERROR(__xludf.DUMMYFUNCTION("""COMPUTED_VALUE"""),"KLH")</f>
        <v>KLH</v>
      </c>
    </row>
    <row r="575">
      <c r="A575" s="168" t="str">
        <f>IFERROR(__xludf.DUMMYFUNCTION("""COMPUTED_VALUE"""),"KCD-TCD-001")</f>
        <v>KCD-TCD-001</v>
      </c>
      <c r="B575" s="3" t="str">
        <f>IFERROR(__xludf.DUMMYFUNCTION("""COMPUTED_VALUE"""),"Xe tải chuyên dụng (thùng lửng)")</f>
        <v>Xe tải chuyên dụng (thùng lửng)</v>
      </c>
      <c r="C575" s="5" t="str">
        <f>IFERROR(__xludf.DUMMYFUNCTION("""COMPUTED_VALUE"""),"BAN KT CHUỐI")</f>
        <v>BAN KT CHUỐI</v>
      </c>
      <c r="D575" s="5" t="str">
        <f>IFERROR(__xludf.DUMMYFUNCTION("""COMPUTED_VALUE"""),"KIA")</f>
        <v>KIA</v>
      </c>
      <c r="E575" s="5" t="str">
        <f>IFERROR(__xludf.DUMMYFUNCTION("""COMPUTED_VALUE"""),"Việt Nam")</f>
        <v>Việt Nam</v>
      </c>
      <c r="F575" s="5">
        <f>IFERROR(__xludf.DUMMYFUNCTION("""COMPUTED_VALUE"""),2021.0)</f>
        <v>2021</v>
      </c>
      <c r="G575" s="5" t="str">
        <f>IFERROR(__xludf.DUMMYFUNCTION("""COMPUTED_VALUE"""),"FRONTIER K200SD-4WD")</f>
        <v>FRONTIER K200SD-4WD</v>
      </c>
      <c r="H575" s="5" t="str">
        <f>IFERROR(__xludf.DUMMYFUNCTION("""COMPUTED_VALUE"""),"130HP")</f>
        <v>130HP</v>
      </c>
      <c r="I575" s="5" t="str">
        <f>IFERROR(__xludf.DUMMYFUNCTION("""COMPUTED_VALUE"""),"RNHF39KHBMT045631")</f>
        <v>RNHF39KHBMT045631</v>
      </c>
      <c r="J575" s="5" t="str">
        <f>IFERROR(__xludf.DUMMYFUNCTION("""COMPUTED_VALUE"""),"MD540071D4CB")</f>
        <v>MD540071D4CB</v>
      </c>
      <c r="K575" s="5"/>
      <c r="L575" s="5" t="str">
        <f>IFERROR(__xludf.DUMMYFUNCTION("""COMPUTED_VALUE"""),"KLH")</f>
        <v>KLH</v>
      </c>
    </row>
    <row r="576">
      <c r="A576" s="168" t="str">
        <f>IFERROR(__xludf.DUMMYFUNCTION("""COMPUTED_VALUE"""),"KCL-TCD-001")</f>
        <v>KCL-TCD-001</v>
      </c>
      <c r="B576" s="3" t="str">
        <f>IFERROR(__xludf.DUMMYFUNCTION("""COMPUTED_VALUE"""),"Xe tải chuyên dụng (thùng lửng)")</f>
        <v>Xe tải chuyên dụng (thùng lửng)</v>
      </c>
      <c r="C576" s="5" t="str">
        <f>IFERROR(__xludf.DUMMYFUNCTION("""COMPUTED_VALUE"""),"BAN KT CHUỐI")</f>
        <v>BAN KT CHUỐI</v>
      </c>
      <c r="D576" s="5" t="str">
        <f>IFERROR(__xludf.DUMMYFUNCTION("""COMPUTED_VALUE"""),"KIA")</f>
        <v>KIA</v>
      </c>
      <c r="E576" s="5" t="str">
        <f>IFERROR(__xludf.DUMMYFUNCTION("""COMPUTED_VALUE"""),"Việt Nam")</f>
        <v>Việt Nam</v>
      </c>
      <c r="F576" s="5">
        <f>IFERROR(__xludf.DUMMYFUNCTION("""COMPUTED_VALUE"""),2021.0)</f>
        <v>2021</v>
      </c>
      <c r="G576" s="5" t="str">
        <f>IFERROR(__xludf.DUMMYFUNCTION("""COMPUTED_VALUE"""),"FRONTIER K200SD-4WD")</f>
        <v>FRONTIER K200SD-4WD</v>
      </c>
      <c r="H576" s="5" t="str">
        <f>IFERROR(__xludf.DUMMYFUNCTION("""COMPUTED_VALUE"""),"130HP")</f>
        <v>130HP</v>
      </c>
      <c r="I576" s="5" t="str">
        <f>IFERROR(__xludf.DUMMYFUNCTION("""COMPUTED_VALUE"""),"RNHF39KHBMT045342")</f>
        <v>RNHF39KHBMT045342</v>
      </c>
      <c r="J576" s="5" t="str">
        <f>IFERROR(__xludf.DUMMYFUNCTION("""COMPUTED_VALUE"""),"MD534256D4CB")</f>
        <v>MD534256D4CB</v>
      </c>
      <c r="K576" s="5"/>
      <c r="L576" s="5" t="str">
        <f>IFERROR(__xludf.DUMMYFUNCTION("""COMPUTED_VALUE"""),"KLH")</f>
        <v>KLH</v>
      </c>
    </row>
    <row r="577">
      <c r="A577" s="168" t="str">
        <f>IFERROR(__xludf.DUMMYFUNCTION("""COMPUTED_VALUE"""),"NMN-XNA-001")</f>
        <v>NMN-XNA-001</v>
      </c>
      <c r="B577" s="3" t="str">
        <f>IFERROR(__xludf.DUMMYFUNCTION("""COMPUTED_VALUE"""),"Xe nâng dầu YALE 3.5 tấn")</f>
        <v>Xe nâng dầu YALE 3.5 tấn</v>
      </c>
      <c r="C577" s="5" t="str">
        <f>IFERROR(__xludf.DUMMYFUNCTION("""COMPUTED_VALUE"""),"NM NHỰA -XỐP DP")</f>
        <v>NM NHỰA -XỐP DP</v>
      </c>
      <c r="D577" s="5" t="str">
        <f>IFERROR(__xludf.DUMMYFUNCTION("""COMPUTED_VALUE"""),"YALE")</f>
        <v>YALE</v>
      </c>
      <c r="E577" s="5" t="str">
        <f>IFERROR(__xludf.DUMMYFUNCTION("""COMPUTED_VALUE"""),"NHẬT BẢN")</f>
        <v>NHẬT BẢN</v>
      </c>
      <c r="F577" s="5">
        <f>IFERROR(__xludf.DUMMYFUNCTION("""COMPUTED_VALUE"""),2022.0)</f>
        <v>2022</v>
      </c>
      <c r="G577" s="5" t="str">
        <f>IFERROR(__xludf.DUMMYFUNCTION("""COMPUTED_VALUE"""),"GDP35MX")</f>
        <v>GDP35MX</v>
      </c>
      <c r="H577" s="5" t="str">
        <f>IFERROR(__xludf.DUMMYFUNCTION("""COMPUTED_VALUE"""),"58HP")</f>
        <v>58HP</v>
      </c>
      <c r="I577" s="5" t="str">
        <f>IFERROR(__xludf.DUMMYFUNCTION("""COMPUTED_VALUE"""),"D871R15794W")</f>
        <v>D871R15794W</v>
      </c>
      <c r="J577" s="5" t="str">
        <f>IFERROR(__xludf.DUMMYFUNCTION("""COMPUTED_VALUE"""),"CCN")</f>
        <v>CCN</v>
      </c>
      <c r="K577" s="5">
        <f>IFERROR(__xludf.DUMMYFUNCTION("""COMPUTED_VALUE"""),2.5)</f>
        <v>2.5</v>
      </c>
      <c r="L577" s="5" t="str">
        <f>IFERROR(__xludf.DUMMYFUNCTION("""COMPUTED_VALUE"""),"KLH")</f>
        <v>KLH</v>
      </c>
    </row>
    <row r="578">
      <c r="A578" s="168" t="str">
        <f>IFERROR(__xludf.DUMMYFUNCTION("""COMPUTED_VALUE"""),"NMN-XNA-002")</f>
        <v>NMN-XNA-002</v>
      </c>
      <c r="B578" s="3" t="str">
        <f>IFERROR(__xludf.DUMMYFUNCTION("""COMPUTED_VALUE"""),"Xe nâng điện 2.5 tấn")</f>
        <v>Xe nâng điện 2.5 tấn</v>
      </c>
      <c r="C578" s="5" t="str">
        <f>IFERROR(__xludf.DUMMYFUNCTION("""COMPUTED_VALUE"""),"NM NHỰA -XỐP DP")</f>
        <v>NM NHỰA -XỐP DP</v>
      </c>
      <c r="D578" s="5" t="str">
        <f>IFERROR(__xludf.DUMMYFUNCTION("""COMPUTED_VALUE"""),"HELI")</f>
        <v>HELI</v>
      </c>
      <c r="E578" s="5" t="str">
        <f>IFERROR(__xludf.DUMMYFUNCTION("""COMPUTED_VALUE"""),"TRUNG QUỐC")</f>
        <v>TRUNG QUỐC</v>
      </c>
      <c r="F578" s="5">
        <f>IFERROR(__xludf.DUMMYFUNCTION("""COMPUTED_VALUE"""),2021.0)</f>
        <v>2021</v>
      </c>
      <c r="G578" s="5" t="str">
        <f>IFERROR(__xludf.DUMMYFUNCTION("""COMPUTED_VALUE"""),"CPD25-GB2LI-H")</f>
        <v>CPD25-GB2LI-H</v>
      </c>
      <c r="H578" s="5"/>
      <c r="I578" s="5" t="str">
        <f>IFERROR(__xludf.DUMMYFUNCTION("""COMPUTED_VALUE"""),"05025DF7308")</f>
        <v>05025DF7308</v>
      </c>
      <c r="J578" s="5"/>
      <c r="K578" s="5"/>
      <c r="L578" s="5" t="str">
        <f>IFERROR(__xludf.DUMMYFUNCTION("""COMPUTED_VALUE"""),"KLH")</f>
        <v>KLH</v>
      </c>
    </row>
    <row r="579">
      <c r="A579" s="168" t="str">
        <f>IFERROR(__xludf.DUMMYFUNCTION("""COMPUTED_VALUE"""),"NMN-XNA-003")</f>
        <v>NMN-XNA-003</v>
      </c>
      <c r="B579" s="3" t="str">
        <f>IFERROR(__xludf.DUMMYFUNCTION("""COMPUTED_VALUE"""),"Xe nâng điện 2.5 tấn")</f>
        <v>Xe nâng điện 2.5 tấn</v>
      </c>
      <c r="C579" s="5" t="str">
        <f>IFERROR(__xludf.DUMMYFUNCTION("""COMPUTED_VALUE"""),"NM NHỰA -XỐP DP")</f>
        <v>NM NHỰA -XỐP DP</v>
      </c>
      <c r="D579" s="5" t="str">
        <f>IFERROR(__xludf.DUMMYFUNCTION("""COMPUTED_VALUE"""),"HELI")</f>
        <v>HELI</v>
      </c>
      <c r="E579" s="5" t="str">
        <f>IFERROR(__xludf.DUMMYFUNCTION("""COMPUTED_VALUE"""),"TRUNG QUỐC")</f>
        <v>TRUNG QUỐC</v>
      </c>
      <c r="F579" s="5">
        <f>IFERROR(__xludf.DUMMYFUNCTION("""COMPUTED_VALUE"""),2021.0)</f>
        <v>2021</v>
      </c>
      <c r="G579" s="5" t="str">
        <f>IFERROR(__xludf.DUMMYFUNCTION("""COMPUTED_VALUE"""),"CPD25-GB2LI-H")</f>
        <v>CPD25-GB2LI-H</v>
      </c>
      <c r="H579" s="5"/>
      <c r="I579" s="5" t="str">
        <f>IFERROR(__xludf.DUMMYFUNCTION("""COMPUTED_VALUE"""),"05025DF945")</f>
        <v>05025DF945</v>
      </c>
      <c r="J579" s="5"/>
      <c r="K579" s="5"/>
      <c r="L579" s="5" t="str">
        <f>IFERROR(__xludf.DUMMYFUNCTION("""COMPUTED_VALUE"""),"KLH")</f>
        <v>KLH</v>
      </c>
    </row>
    <row r="580">
      <c r="A580" s="168" t="str">
        <f>IFERROR(__xludf.DUMMYFUNCTION("""COMPUTED_VALUE"""),"NMN-XNA-004")</f>
        <v>NMN-XNA-004</v>
      </c>
      <c r="B580" s="3" t="str">
        <f>IFERROR(__xludf.DUMMYFUNCTION("""COMPUTED_VALUE"""),"Xe nâng điện 2.5 tấn")</f>
        <v>Xe nâng điện 2.5 tấn</v>
      </c>
      <c r="C580" s="5" t="str">
        <f>IFERROR(__xludf.DUMMYFUNCTION("""COMPUTED_VALUE"""),"NM NHỰA -XỐP DP")</f>
        <v>NM NHỰA -XỐP DP</v>
      </c>
      <c r="D580" s="5" t="str">
        <f>IFERROR(__xludf.DUMMYFUNCTION("""COMPUTED_VALUE"""),"HELI")</f>
        <v>HELI</v>
      </c>
      <c r="E580" s="5" t="str">
        <f>IFERROR(__xludf.DUMMYFUNCTION("""COMPUTED_VALUE"""),"TRUNG QUỐC")</f>
        <v>TRUNG QUỐC</v>
      </c>
      <c r="F580" s="5">
        <f>IFERROR(__xludf.DUMMYFUNCTION("""COMPUTED_VALUE"""),2021.0)</f>
        <v>2021</v>
      </c>
      <c r="G580" s="5" t="str">
        <f>IFERROR(__xludf.DUMMYFUNCTION("""COMPUTED_VALUE"""),"CPD25-GB2LI-H")</f>
        <v>CPD25-GB2LI-H</v>
      </c>
      <c r="H580" s="5"/>
      <c r="I580" s="5" t="str">
        <f>IFERROR(__xludf.DUMMYFUNCTION("""COMPUTED_VALUE"""),"05025DF7946")</f>
        <v>05025DF7946</v>
      </c>
      <c r="J580" s="5"/>
      <c r="K580" s="5"/>
      <c r="L580" s="5" t="str">
        <f>IFERROR(__xludf.DUMMYFUNCTION("""COMPUTED_VALUE"""),"KLH")</f>
        <v>KLH</v>
      </c>
    </row>
    <row r="581">
      <c r="A581" s="168" t="str">
        <f>IFERROR(__xludf.DUMMYFUNCTION("""COMPUTED_VALUE"""),"NMN-XNA-005")</f>
        <v>NMN-XNA-005</v>
      </c>
      <c r="B581" s="3" t="str">
        <f>IFERROR(__xludf.DUMMYFUNCTION("""COMPUTED_VALUE"""),"Xe nâng điện 3.5 tấn")</f>
        <v>Xe nâng điện 3.5 tấn</v>
      </c>
      <c r="C581" s="5" t="str">
        <f>IFERROR(__xludf.DUMMYFUNCTION("""COMPUTED_VALUE"""),"NM NHỰA -XỐP DP")</f>
        <v>NM NHỰA -XỐP DP</v>
      </c>
      <c r="D581" s="5" t="str">
        <f>IFERROR(__xludf.DUMMYFUNCTION("""COMPUTED_VALUE"""),"HELI")</f>
        <v>HELI</v>
      </c>
      <c r="E581" s="5" t="str">
        <f>IFERROR(__xludf.DUMMYFUNCTION("""COMPUTED_VALUE"""),"TRUNG QUỐC")</f>
        <v>TRUNG QUỐC</v>
      </c>
      <c r="F581" s="5">
        <f>IFERROR(__xludf.DUMMYFUNCTION("""COMPUTED_VALUE"""),2021.0)</f>
        <v>2021</v>
      </c>
      <c r="G581" s="5" t="str">
        <f>IFERROR(__xludf.DUMMYFUNCTION("""COMPUTED_VALUE"""),"CPD35-GB2LI-H")</f>
        <v>CPD35-GB2LI-H</v>
      </c>
      <c r="H581" s="5"/>
      <c r="I581" s="5" t="str">
        <f>IFERROR(__xludf.DUMMYFUNCTION("""COMPUTED_VALUE"""),"05035DF8691")</f>
        <v>05035DF8691</v>
      </c>
      <c r="J581" s="5"/>
      <c r="K581" s="5"/>
      <c r="L581" s="5" t="str">
        <f>IFERROR(__xludf.DUMMYFUNCTION("""COMPUTED_VALUE"""),"KLH")</f>
        <v>KLH</v>
      </c>
    </row>
    <row r="582">
      <c r="A582" s="168" t="str">
        <f>IFERROR(__xludf.DUMMYFUNCTION("""COMPUTED_VALUE"""),"NMN-XNA-006")</f>
        <v>NMN-XNA-006</v>
      </c>
      <c r="B582" s="3" t="str">
        <f>IFERROR(__xludf.DUMMYFUNCTION("""COMPUTED_VALUE"""),"Xe nâng điện 5 tấn")</f>
        <v>Xe nâng điện 5 tấn</v>
      </c>
      <c r="C582" s="5" t="str">
        <f>IFERROR(__xludf.DUMMYFUNCTION("""COMPUTED_VALUE"""),"NM NHỰA -XỐP DP")</f>
        <v>NM NHỰA -XỐP DP</v>
      </c>
      <c r="D582" s="5" t="str">
        <f>IFERROR(__xludf.DUMMYFUNCTION("""COMPUTED_VALUE"""),"HELI")</f>
        <v>HELI</v>
      </c>
      <c r="E582" s="5" t="str">
        <f>IFERROR(__xludf.DUMMYFUNCTION("""COMPUTED_VALUE"""),"TRUNG QUỐC")</f>
        <v>TRUNG QUỐC</v>
      </c>
      <c r="F582" s="5">
        <f>IFERROR(__xludf.DUMMYFUNCTION("""COMPUTED_VALUE"""),2021.0)</f>
        <v>2021</v>
      </c>
      <c r="G582" s="5" t="str">
        <f>IFERROR(__xludf.DUMMYFUNCTION("""COMPUTED_VALUE"""),"CPD50-GB2LI")</f>
        <v>CPD50-GB2LI</v>
      </c>
      <c r="H582" s="5"/>
      <c r="I582" s="5" t="str">
        <f>IFERROR(__xludf.DUMMYFUNCTION("""COMPUTED_VALUE"""),"05050DF9070")</f>
        <v>05050DF9070</v>
      </c>
      <c r="J582" s="5"/>
      <c r="K582" s="5"/>
      <c r="L582" s="5" t="str">
        <f>IFERROR(__xludf.DUMMYFUNCTION("""COMPUTED_VALUE"""),"KLH")</f>
        <v>KLH</v>
      </c>
    </row>
    <row r="583">
      <c r="A583" s="168" t="str">
        <f>IFERROR(__xludf.DUMMYFUNCTION("""COMPUTED_VALUE"""),"NMN-XNA-007")</f>
        <v>NMN-XNA-007</v>
      </c>
      <c r="B583" s="3" t="str">
        <f>IFERROR(__xludf.DUMMYFUNCTION("""COMPUTED_VALUE"""),"Xe nâng điện 5 tấn")</f>
        <v>Xe nâng điện 5 tấn</v>
      </c>
      <c r="C583" s="5" t="str">
        <f>IFERROR(__xludf.DUMMYFUNCTION("""COMPUTED_VALUE"""),"NM NHỰA -XỐP DP")</f>
        <v>NM NHỰA -XỐP DP</v>
      </c>
      <c r="D583" s="5" t="str">
        <f>IFERROR(__xludf.DUMMYFUNCTION("""COMPUTED_VALUE"""),"HELI")</f>
        <v>HELI</v>
      </c>
      <c r="E583" s="5" t="str">
        <f>IFERROR(__xludf.DUMMYFUNCTION("""COMPUTED_VALUE"""),"TRUNG QUỐC")</f>
        <v>TRUNG QUỐC</v>
      </c>
      <c r="F583" s="5">
        <f>IFERROR(__xludf.DUMMYFUNCTION("""COMPUTED_VALUE"""),2021.0)</f>
        <v>2021</v>
      </c>
      <c r="G583" s="5" t="str">
        <f>IFERROR(__xludf.DUMMYFUNCTION("""COMPUTED_VALUE"""),"CPD50-GB2LI")</f>
        <v>CPD50-GB2LI</v>
      </c>
      <c r="H583" s="5"/>
      <c r="I583" s="5" t="str">
        <f>IFERROR(__xludf.DUMMYFUNCTION("""COMPUTED_VALUE"""),"05050DF9069")</f>
        <v>05050DF9069</v>
      </c>
      <c r="J583" s="5"/>
      <c r="K583" s="5"/>
      <c r="L583" s="5" t="str">
        <f>IFERROR(__xludf.DUMMYFUNCTION("""COMPUTED_VALUE"""),"KLH")</f>
        <v>KLH</v>
      </c>
    </row>
    <row r="584">
      <c r="A584" s="168" t="str">
        <f>IFERROR(__xludf.DUMMYFUNCTION("""COMPUTED_VALUE"""),"TKD-XNA-001")</f>
        <v>TKD-XNA-001</v>
      </c>
      <c r="B584" s="3" t="str">
        <f>IFERROR(__xludf.DUMMYFUNCTION("""COMPUTED_VALUE"""),"Xe nâng điện 1.5 tấn")</f>
        <v>Xe nâng điện 1.5 tấn</v>
      </c>
      <c r="C584" s="5" t="str">
        <f>IFERROR(__xludf.DUMMYFUNCTION("""COMPUTED_VALUE"""),"Tổng kho")</f>
        <v>Tổng kho</v>
      </c>
      <c r="D584" s="5" t="str">
        <f>IFERROR(__xludf.DUMMYFUNCTION("""COMPUTED_VALUE"""),"HELI")</f>
        <v>HELI</v>
      </c>
      <c r="E584" s="5"/>
      <c r="F584" s="5">
        <f>IFERROR(__xludf.DUMMYFUNCTION("""COMPUTED_VALUE"""),2023.0)</f>
        <v>2023</v>
      </c>
      <c r="G584" s="5" t="str">
        <f>IFERROR(__xludf.DUMMYFUNCTION("""COMPUTED_VALUE"""),"CPD15")</f>
        <v>CPD15</v>
      </c>
      <c r="H584" s="5"/>
      <c r="I584" s="5" t="str">
        <f>IFERROR(__xludf.DUMMYFUNCTION("""COMPUTED_VALUE"""),"1501190032")</f>
        <v>1501190032</v>
      </c>
      <c r="J584" s="5"/>
      <c r="K584" s="5"/>
      <c r="L584" s="5" t="str">
        <f>IFERROR(__xludf.DUMMYFUNCTION("""COMPUTED_VALUE"""),"KLH")</f>
        <v>KLH</v>
      </c>
    </row>
    <row r="585">
      <c r="A585" s="168" t="str">
        <f>IFERROR(__xludf.DUMMYFUNCTION("""COMPUTED_VALUE"""),"TKD-XNA-002")</f>
        <v>TKD-XNA-002</v>
      </c>
      <c r="B585" s="3" t="str">
        <f>IFERROR(__xludf.DUMMYFUNCTION("""COMPUTED_VALUE"""),"Xe nâng điện 2.5 tấn")</f>
        <v>Xe nâng điện 2.5 tấn</v>
      </c>
      <c r="C585" s="5" t="str">
        <f>IFERROR(__xludf.DUMMYFUNCTION("""COMPUTED_VALUE"""),"Tổng kho")</f>
        <v>Tổng kho</v>
      </c>
      <c r="D585" s="5" t="str">
        <f>IFERROR(__xludf.DUMMYFUNCTION("""COMPUTED_VALUE"""),"HELI")</f>
        <v>HELI</v>
      </c>
      <c r="E585" s="5"/>
      <c r="F585" s="5">
        <f>IFERROR(__xludf.DUMMYFUNCTION("""COMPUTED_VALUE"""),2023.0)</f>
        <v>2023</v>
      </c>
      <c r="G585" s="5" t="str">
        <f>IFERROR(__xludf.DUMMYFUNCTION("""COMPUTED_VALUE"""),"CPD25")</f>
        <v>CPD25</v>
      </c>
      <c r="H585" s="5"/>
      <c r="I585" s="5" t="str">
        <f>IFERROR(__xludf.DUMMYFUNCTION("""COMPUTED_VALUE"""),"05025DH3158")</f>
        <v>05025DH3158</v>
      </c>
      <c r="J585" s="5"/>
      <c r="K585" s="5"/>
      <c r="L585" s="5" t="str">
        <f>IFERROR(__xludf.DUMMYFUNCTION("""COMPUTED_VALUE"""),"KLH")</f>
        <v>KLH</v>
      </c>
    </row>
    <row r="586">
      <c r="A586" s="168" t="str">
        <f>IFERROR(__xludf.DUMMYFUNCTION("""COMPUTED_VALUE"""),"TKD-XNA-003")</f>
        <v>TKD-XNA-003</v>
      </c>
      <c r="B586" s="3" t="str">
        <f>IFERROR(__xludf.DUMMYFUNCTION("""COMPUTED_VALUE"""),"Xe nâng điện 1.5 tấn")</f>
        <v>Xe nâng điện 1.5 tấn</v>
      </c>
      <c r="C586" s="5" t="str">
        <f>IFERROR(__xludf.DUMMYFUNCTION("""COMPUTED_VALUE"""),"Tổng kho")</f>
        <v>Tổng kho</v>
      </c>
      <c r="D586" s="5" t="str">
        <f>IFERROR(__xludf.DUMMYFUNCTION("""COMPUTED_VALUE"""),"BYD")</f>
        <v>BYD</v>
      </c>
      <c r="E586" s="5"/>
      <c r="F586" s="5">
        <f>IFERROR(__xludf.DUMMYFUNCTION("""COMPUTED_VALUE"""),2021.0)</f>
        <v>2021</v>
      </c>
      <c r="G586" s="5" t="str">
        <f>IFERROR(__xludf.DUMMYFUNCTION("""COMPUTED_VALUE"""),"ECP16S")</f>
        <v>ECP16S</v>
      </c>
      <c r="H586" s="5"/>
      <c r="I586" s="5" t="str">
        <f>IFERROR(__xludf.DUMMYFUNCTION("""COMPUTED_VALUE"""),"1501190033")</f>
        <v>1501190033</v>
      </c>
      <c r="J586" s="5"/>
      <c r="K586" s="5"/>
      <c r="L586" s="5" t="str">
        <f>IFERROR(__xludf.DUMMYFUNCTION("""COMPUTED_VALUE"""),"KLH")</f>
        <v>KLH</v>
      </c>
    </row>
    <row r="587">
      <c r="A587" s="168" t="str">
        <f>IFERROR(__xludf.DUMMYFUNCTION("""COMPUTED_VALUE"""),"TKD-XNA-004")</f>
        <v>TKD-XNA-004</v>
      </c>
      <c r="B587" s="3" t="str">
        <f>IFERROR(__xludf.DUMMYFUNCTION("""COMPUTED_VALUE"""),"Xe nâng điện 1.5 tấn")</f>
        <v>Xe nâng điện 1.5 tấn</v>
      </c>
      <c r="C587" s="5" t="str">
        <f>IFERROR(__xludf.DUMMYFUNCTION("""COMPUTED_VALUE"""),"Tổng kho")</f>
        <v>Tổng kho</v>
      </c>
      <c r="D587" s="5" t="str">
        <f>IFERROR(__xludf.DUMMYFUNCTION("""COMPUTED_VALUE"""),"BYD")</f>
        <v>BYD</v>
      </c>
      <c r="E587" s="5"/>
      <c r="F587" s="5">
        <f>IFERROR(__xludf.DUMMYFUNCTION("""COMPUTED_VALUE"""),2021.0)</f>
        <v>2021</v>
      </c>
      <c r="G587" s="5" t="str">
        <f>IFERROR(__xludf.DUMMYFUNCTION("""COMPUTED_VALUE"""),"ECP16S")</f>
        <v>ECP16S</v>
      </c>
      <c r="H587" s="5"/>
      <c r="I587" s="5" t="str">
        <f>IFERROR(__xludf.DUMMYFUNCTION("""COMPUTED_VALUE"""),"1501190062")</f>
        <v>1501190062</v>
      </c>
      <c r="J587" s="5"/>
      <c r="K587" s="5"/>
      <c r="L587" s="5" t="str">
        <f>IFERROR(__xludf.DUMMYFUNCTION("""COMPUTED_VALUE"""),"KLH")</f>
        <v>KLH</v>
      </c>
    </row>
    <row r="588">
      <c r="A588" s="168" t="str">
        <f>IFERROR(__xludf.DUMMYFUNCTION("""COMPUTED_VALUE"""),"TKD-XNA-005")</f>
        <v>TKD-XNA-005</v>
      </c>
      <c r="B588" s="3" t="str">
        <f>IFERROR(__xludf.DUMMYFUNCTION("""COMPUTED_VALUE"""),"Xe nâng điện 1.5 tấn")</f>
        <v>Xe nâng điện 1.5 tấn</v>
      </c>
      <c r="C588" s="5" t="str">
        <f>IFERROR(__xludf.DUMMYFUNCTION("""COMPUTED_VALUE"""),"Tổng kho")</f>
        <v>Tổng kho</v>
      </c>
      <c r="D588" s="5" t="str">
        <f>IFERROR(__xludf.DUMMYFUNCTION("""COMPUTED_VALUE"""),"BYD")</f>
        <v>BYD</v>
      </c>
      <c r="E588" s="5"/>
      <c r="F588" s="5">
        <f>IFERROR(__xludf.DUMMYFUNCTION("""COMPUTED_VALUE"""),2021.0)</f>
        <v>2021</v>
      </c>
      <c r="G588" s="5" t="str">
        <f>IFERROR(__xludf.DUMMYFUNCTION("""COMPUTED_VALUE"""),"ECP16S")</f>
        <v>ECP16S</v>
      </c>
      <c r="H588" s="5"/>
      <c r="I588" s="5" t="str">
        <f>IFERROR(__xludf.DUMMYFUNCTION("""COMPUTED_VALUE"""),"1501190058")</f>
        <v>1501190058</v>
      </c>
      <c r="J588" s="5"/>
      <c r="K588" s="5"/>
      <c r="L588" s="5" t="str">
        <f>IFERROR(__xludf.DUMMYFUNCTION("""COMPUTED_VALUE"""),"KLH")</f>
        <v>KLH</v>
      </c>
    </row>
    <row r="589">
      <c r="A589" s="168" t="str">
        <f>IFERROR(__xludf.DUMMYFUNCTION("""COMPUTED_VALUE"""),"TKD-XNA-006")</f>
        <v>TKD-XNA-006</v>
      </c>
      <c r="B589" s="3" t="str">
        <f>IFERROR(__xludf.DUMMYFUNCTION("""COMPUTED_VALUE"""),"Xe nâng điện 1.5 tấn")</f>
        <v>Xe nâng điện 1.5 tấn</v>
      </c>
      <c r="C589" s="5" t="str">
        <f>IFERROR(__xludf.DUMMYFUNCTION("""COMPUTED_VALUE"""),"Tổng kho")</f>
        <v>Tổng kho</v>
      </c>
      <c r="D589" s="5" t="str">
        <f>IFERROR(__xludf.DUMMYFUNCTION("""COMPUTED_VALUE"""),"BYD")</f>
        <v>BYD</v>
      </c>
      <c r="E589" s="5"/>
      <c r="F589" s="5">
        <f>IFERROR(__xludf.DUMMYFUNCTION("""COMPUTED_VALUE"""),2021.0)</f>
        <v>2021</v>
      </c>
      <c r="G589" s="5" t="str">
        <f>IFERROR(__xludf.DUMMYFUNCTION("""COMPUTED_VALUE"""),"ECP16S")</f>
        <v>ECP16S</v>
      </c>
      <c r="H589" s="5"/>
      <c r="I589" s="5" t="str">
        <f>IFERROR(__xludf.DUMMYFUNCTION("""COMPUTED_VALUE"""),"1501190065")</f>
        <v>1501190065</v>
      </c>
      <c r="J589" s="5"/>
      <c r="K589" s="5"/>
      <c r="L589" s="5" t="str">
        <f>IFERROR(__xludf.DUMMYFUNCTION("""COMPUTED_VALUE"""),"KLH")</f>
        <v>KLH</v>
      </c>
    </row>
    <row r="590">
      <c r="A590" s="168" t="str">
        <f>IFERROR(__xludf.DUMMYFUNCTION("""COMPUTED_VALUE"""),"TKD-XNA-007")</f>
        <v>TKD-XNA-007</v>
      </c>
      <c r="B590" s="3" t="str">
        <f>IFERROR(__xludf.DUMMYFUNCTION("""COMPUTED_VALUE"""),"Xe nâng điện 1.5 tấn")</f>
        <v>Xe nâng điện 1.5 tấn</v>
      </c>
      <c r="C590" s="5" t="str">
        <f>IFERROR(__xludf.DUMMYFUNCTION("""COMPUTED_VALUE"""),"Tổng kho")</f>
        <v>Tổng kho</v>
      </c>
      <c r="D590" s="5" t="str">
        <f>IFERROR(__xludf.DUMMYFUNCTION("""COMPUTED_VALUE"""),"KOMATSU")</f>
        <v>KOMATSU</v>
      </c>
      <c r="E590" s="5"/>
      <c r="F590" s="5">
        <f>IFERROR(__xludf.DUMMYFUNCTION("""COMPUTED_VALUE"""),2007.0)</f>
        <v>2007</v>
      </c>
      <c r="G590" s="5" t="str">
        <f>IFERROR(__xludf.DUMMYFUNCTION("""COMPUTED_VALUE"""),"FB15EX-11")</f>
        <v>FB15EX-11</v>
      </c>
      <c r="H590" s="5"/>
      <c r="I590" s="5" t="str">
        <f>IFERROR(__xludf.DUMMYFUNCTION("""COMPUTED_VALUE"""),"809168")</f>
        <v>809168</v>
      </c>
      <c r="J590" s="5"/>
      <c r="K590" s="5"/>
      <c r="L590" s="5" t="str">
        <f>IFERROR(__xludf.DUMMYFUNCTION("""COMPUTED_VALUE"""),"KLH")</f>
        <v>KLH</v>
      </c>
    </row>
    <row r="591">
      <c r="A591" s="168" t="str">
        <f>IFERROR(__xludf.DUMMYFUNCTION("""COMPUTED_VALUE"""),"TKD-XNA-008")</f>
        <v>TKD-XNA-008</v>
      </c>
      <c r="B591" s="3" t="str">
        <f>IFERROR(__xludf.DUMMYFUNCTION("""COMPUTED_VALUE"""),"Xe nâng điện 1.5 tấn")</f>
        <v>Xe nâng điện 1.5 tấn</v>
      </c>
      <c r="C591" s="5" t="str">
        <f>IFERROR(__xludf.DUMMYFUNCTION("""COMPUTED_VALUE"""),"Tổng kho")</f>
        <v>Tổng kho</v>
      </c>
      <c r="D591" s="5" t="str">
        <f>IFERROR(__xludf.DUMMYFUNCTION("""COMPUTED_VALUE"""),"KOMATSU")</f>
        <v>KOMATSU</v>
      </c>
      <c r="E591" s="5"/>
      <c r="F591" s="5">
        <f>IFERROR(__xludf.DUMMYFUNCTION("""COMPUTED_VALUE"""),2017.0)</f>
        <v>2017</v>
      </c>
      <c r="G591" s="5" t="str">
        <f>IFERROR(__xludf.DUMMYFUNCTION("""COMPUTED_VALUE"""),"FB15HB-12")</f>
        <v>FB15HB-12</v>
      </c>
      <c r="H591" s="5"/>
      <c r="I591" s="5" t="str">
        <f>IFERROR(__xludf.DUMMYFUNCTION("""COMPUTED_VALUE"""),"841392")</f>
        <v>841392</v>
      </c>
      <c r="J591" s="5"/>
      <c r="K591" s="5"/>
      <c r="L591" s="5" t="str">
        <f>IFERROR(__xludf.DUMMYFUNCTION("""COMPUTED_VALUE"""),"KLH")</f>
        <v>KLH</v>
      </c>
    </row>
    <row r="592">
      <c r="A592" s="168" t="str">
        <f>IFERROR(__xludf.DUMMYFUNCTION("""COMPUTED_VALUE"""),"VTG-XTA-001")</f>
        <v>VTG-XTA-001</v>
      </c>
      <c r="B592" s="3" t="str">
        <f>IFERROR(__xludf.DUMMYFUNCTION("""COMPUTED_VALUE"""),"Xe ben FD150 (8.7m3)")</f>
        <v>Xe ben FD150 (8.7m3)</v>
      </c>
      <c r="C592" s="5" t="str">
        <f>IFERROR(__xludf.DUMMYFUNCTION("""COMPUTED_VALUE"""),"Vườn tăng gia")</f>
        <v>Vườn tăng gia</v>
      </c>
      <c r="D592" s="5" t="str">
        <f>IFERROR(__xludf.DUMMYFUNCTION("""COMPUTED_VALUE"""),"THACO FORLAND")</f>
        <v>THACO FORLAND</v>
      </c>
      <c r="E592" s="5" t="str">
        <f>IFERROR(__xludf.DUMMYFUNCTION("""COMPUTED_VALUE"""),"VIỆT NAM")</f>
        <v>VIỆT NAM</v>
      </c>
      <c r="F592" s="5">
        <f>IFERROR(__xludf.DUMMYFUNCTION("""COMPUTED_VALUE"""),2023.0)</f>
        <v>2023</v>
      </c>
      <c r="G592" s="5" t="str">
        <f>IFERROR(__xludf.DUMMYFUNCTION("""COMPUTED_VALUE"""),"FD150-4WD")</f>
        <v>FD150-4WD</v>
      </c>
      <c r="H592" s="5" t="str">
        <f>IFERROR(__xludf.DUMMYFUNCTION("""COMPUTED_VALUE"""),"150HP")</f>
        <v>150HP</v>
      </c>
      <c r="I592" s="5" t="str">
        <f>IFERROR(__xludf.DUMMYFUNCTION("""COMPUTED_VALUE"""),"RNHF16FYAPTO77537")</f>
        <v>RNHF16FYAPTO77537</v>
      </c>
      <c r="J592" s="5" t="str">
        <f>IFERROR(__xludf.DUMMYFUNCTION("""COMPUTED_VALUE"""),"YC4D150-48D59M1N00931")</f>
        <v>YC4D150-48D59M1N00931</v>
      </c>
      <c r="K592" s="5">
        <f>IFERROR(__xludf.DUMMYFUNCTION("""COMPUTED_VALUE"""),0.45)</f>
        <v>0.45</v>
      </c>
      <c r="L592" s="5" t="str">
        <f>IFERROR(__xludf.DUMMYFUNCTION("""COMPUTED_VALUE"""),"KLH")</f>
        <v>KLH</v>
      </c>
    </row>
    <row r="593">
      <c r="A593" s="168" t="str">
        <f>IFERROR(__xludf.DUMMYFUNCTION("""COMPUTED_VALUE"""),"LƯU KHO MÁY MÓC CƠ GIỚI KHU LIÊN HỢP")</f>
        <v>LƯU KHO MÁY MÓC CƠ GIỚI KHU LIÊN HỢP</v>
      </c>
      <c r="B593" s="3" t="str">
        <f>IFERROR(__xludf.DUMMYFUNCTION("""COMPUTED_VALUE"""),"(Chờ phân bổ chữ xanh dương)")</f>
        <v>(Chờ phân bổ chữ xanh dương)</v>
      </c>
      <c r="C593" s="5"/>
      <c r="D593" s="5"/>
      <c r="E593" s="5"/>
      <c r="F593" s="5"/>
      <c r="G593" s="5"/>
      <c r="H593" s="5"/>
      <c r="I593" s="5"/>
      <c r="J593" s="5"/>
      <c r="K593" s="5"/>
      <c r="L593" s="5" t="str">
        <f>IFERROR(__xludf.DUMMYFUNCTION("""COMPUTED_VALUE"""),"KLH")</f>
        <v>KLH</v>
      </c>
    </row>
    <row r="594">
      <c r="A594" s="168" t="str">
        <f>IFERROR(__xludf.DUMMYFUNCTION("""COMPUTED_VALUE"""),"MÁY MÓC CHỜ PHÂN BỔ")</f>
        <v>MÁY MÓC CHỜ PHÂN BỔ</v>
      </c>
      <c r="B594" s="3"/>
      <c r="C594" s="5"/>
      <c r="D594" s="5"/>
      <c r="E594" s="5"/>
      <c r="F594" s="5"/>
      <c r="G594" s="5"/>
      <c r="H594" s="5"/>
      <c r="I594" s="5"/>
      <c r="J594" s="5"/>
      <c r="K594" s="5"/>
      <c r="L594" s="5" t="str">
        <f>IFERROR(__xludf.DUMMYFUNCTION("""COMPUTED_VALUE"""),"KLH")</f>
        <v>KLH</v>
      </c>
    </row>
    <row r="595">
      <c r="A595" s="168" t="str">
        <f>IFERROR(__xludf.DUMMYFUNCTION("""COMPUTED_VALUE"""),"XD2-XPT-002")</f>
        <v>XD2-XPT-002</v>
      </c>
      <c r="B595" s="3" t="str">
        <f>IFERROR(__xludf.DUMMYFUNCTION("""COMPUTED_VALUE"""),"Xe phun thuốc FC950")</f>
        <v>Xe phun thuốc FC950</v>
      </c>
      <c r="C595" s="5" t="str">
        <f>IFERROR(__xludf.DUMMYFUNCTION("""COMPUTED_VALUE"""),"CHƯA PHÂN BỔ")</f>
        <v>CHƯA PHÂN BỔ</v>
      </c>
      <c r="D595" s="5" t="str">
        <f>IFERROR(__xludf.DUMMYFUNCTION("""COMPUTED_VALUE"""),"THACO FORLAND")</f>
        <v>THACO FORLAND</v>
      </c>
      <c r="E595" s="5" t="str">
        <f>IFERROR(__xludf.DUMMYFUNCTION("""COMPUTED_VALUE"""),"VIỆT NAM")</f>
        <v>VIỆT NAM</v>
      </c>
      <c r="F595" s="5">
        <f>IFERROR(__xludf.DUMMYFUNCTION("""COMPUTED_VALUE"""),2018.0)</f>
        <v>2018</v>
      </c>
      <c r="G595" s="5" t="str">
        <f>IFERROR(__xludf.DUMMYFUNCTION("""COMPUTED_VALUE"""),"FC950")</f>
        <v>FC950</v>
      </c>
      <c r="H595" s="5" t="str">
        <f>IFERROR(__xludf.DUMMYFUNCTION("""COMPUTED_VALUE"""),"160HP")</f>
        <v>160HP</v>
      </c>
      <c r="I595" s="5" t="str">
        <f>IFERROR(__xludf.DUMMYFUNCTION("""COMPUTED_VALUE"""),"C084025")</f>
        <v>C084025</v>
      </c>
      <c r="J595" s="5" t="str">
        <f>IFERROR(__xludf.DUMMYFUNCTION("""COMPUTED_VALUE"""),"J00061")</f>
        <v>J00061</v>
      </c>
      <c r="K595" s="5">
        <f>IFERROR(__xludf.DUMMYFUNCTION("""COMPUTED_VALUE"""),3.75)</f>
        <v>3.75</v>
      </c>
      <c r="L595" s="5" t="str">
        <f>IFERROR(__xludf.DUMMYFUNCTION("""COMPUTED_VALUE"""),"KLH")</f>
        <v>KLH</v>
      </c>
    </row>
    <row r="596">
      <c r="A596" s="168" t="str">
        <f>IFERROR(__xludf.DUMMYFUNCTION("""COMPUTED_VALUE"""),"XA2-XPT-001")</f>
        <v>XA2-XPT-001</v>
      </c>
      <c r="B596" s="3" t="str">
        <f>IFERROR(__xludf.DUMMYFUNCTION("""COMPUTED_VALUE"""),"Xe phun thuốc Faw 15T")</f>
        <v>Xe phun thuốc Faw 15T</v>
      </c>
      <c r="C596" s="5" t="str">
        <f>IFERROR(__xludf.DUMMYFUNCTION("""COMPUTED_VALUE"""),"CHƯA PHÂN BỔ")</f>
        <v>CHƯA PHÂN BỔ</v>
      </c>
      <c r="D596" s="5" t="str">
        <f>IFERROR(__xludf.DUMMYFUNCTION("""COMPUTED_VALUE"""),"FAW")</f>
        <v>FAW</v>
      </c>
      <c r="E596" s="5" t="str">
        <f>IFERROR(__xludf.DUMMYFUNCTION("""COMPUTED_VALUE"""),"TRUNG QUỐC")</f>
        <v>TRUNG QUỐC</v>
      </c>
      <c r="F596" s="5">
        <f>IFERROR(__xludf.DUMMYFUNCTION("""COMPUTED_VALUE"""),2009.0)</f>
        <v>2009</v>
      </c>
      <c r="G596" s="5"/>
      <c r="H596" s="5" t="str">
        <f>IFERROR(__xludf.DUMMYFUNCTION("""COMPUTED_VALUE"""),"140HP")</f>
        <v>140HP</v>
      </c>
      <c r="I596" s="5" t="str">
        <f>IFERROR(__xludf.DUMMYFUNCTION("""COMPUTED_VALUE"""),"9AD33858")</f>
        <v>9AD33858</v>
      </c>
      <c r="J596" s="5" t="str">
        <f>IFERROR(__xludf.DUMMYFUNCTION("""COMPUTED_VALUE"""),"1509K055936")</f>
        <v>1509K055936</v>
      </c>
      <c r="K596" s="5">
        <f>IFERROR(__xludf.DUMMYFUNCTION("""COMPUTED_VALUE"""),3.75)</f>
        <v>3.75</v>
      </c>
      <c r="L596" s="5" t="str">
        <f>IFERROR(__xludf.DUMMYFUNCTION("""COMPUTED_VALUE"""),"KLH")</f>
        <v>KLH</v>
      </c>
    </row>
    <row r="597">
      <c r="A597" s="168" t="str">
        <f>IFERROR(__xludf.DUMMYFUNCTION("""COMPUTED_VALUE"""),"HƯ HỎNG NẶNG LOẠI BIÊN")</f>
        <v>HƯ HỎNG NẶNG LOẠI BIÊN</v>
      </c>
      <c r="B597" s="3" t="str">
        <f>IFERROR(__xludf.DUMMYFUNCTION("""COMPUTED_VALUE"""),"(Loại biên chữ đỏ)")</f>
        <v>(Loại biên chữ đỏ)</v>
      </c>
      <c r="C597" s="5"/>
      <c r="D597" s="5"/>
      <c r="E597" s="5"/>
      <c r="F597" s="5"/>
      <c r="G597" s="5"/>
      <c r="H597" s="5"/>
      <c r="I597" s="5"/>
      <c r="J597" s="5"/>
      <c r="K597" s="5"/>
      <c r="L597" s="5" t="str">
        <f>IFERROR(__xludf.DUMMYFUNCTION("""COMPUTED_VALUE"""),"KLH")</f>
        <v>KLH</v>
      </c>
    </row>
    <row r="598">
      <c r="A598" s="168" t="str">
        <f>IFERROR(__xludf.DUMMYFUNCTION("""COMPUTED_VALUE"""),"XB1-MĐA-002")</f>
        <v>XB1-MĐA-002</v>
      </c>
      <c r="B598" s="3" t="str">
        <f>IFERROR(__xludf.DUMMYFUNCTION("""COMPUTED_VALUE"""),"Máy đào CAT 303 bánh xích gàu 0.3m3")</f>
        <v>Máy đào CAT 303 bánh xích gàu 0.3m3</v>
      </c>
      <c r="C598" s="5" t="str">
        <f>IFERROR(__xludf.DUMMYFUNCTION("""COMPUTED_VALUE"""),"Loại biên")</f>
        <v>Loại biên</v>
      </c>
      <c r="D598" s="5" t="str">
        <f>IFERROR(__xludf.DUMMYFUNCTION("""COMPUTED_VALUE"""),"CAT")</f>
        <v>CAT</v>
      </c>
      <c r="E598" s="5" t="str">
        <f>IFERROR(__xludf.DUMMYFUNCTION("""COMPUTED_VALUE"""),"NHẬT BẢN")</f>
        <v>NHẬT BẢN</v>
      </c>
      <c r="F598" s="5"/>
      <c r="G598" s="5" t="str">
        <f>IFERROR(__xludf.DUMMYFUNCTION("""COMPUTED_VALUE"""),"303")</f>
        <v>303</v>
      </c>
      <c r="H598" s="5"/>
      <c r="I598" s="5" t="str">
        <f>IFERROR(__xludf.DUMMYFUNCTION("""COMPUTED_VALUE"""),"857")</f>
        <v>857</v>
      </c>
      <c r="J598" s="5" t="str">
        <f>IFERROR(__xludf.DUMMYFUNCTION("""COMPUTED_VALUE"""),"4262")</f>
        <v>4262</v>
      </c>
      <c r="K598" s="5">
        <f>IFERROR(__xludf.DUMMYFUNCTION("""COMPUTED_VALUE"""),4.0)</f>
        <v>4</v>
      </c>
      <c r="L598" s="5" t="str">
        <f>IFERROR(__xludf.DUMMYFUNCTION("""COMPUTED_VALUE"""),"Loại biên")</f>
        <v>Loại biên</v>
      </c>
    </row>
    <row r="599">
      <c r="A599" s="168" t="str">
        <f>IFERROR(__xludf.DUMMYFUNCTION("""COMPUTED_VALUE"""),"XB1-MKE-015")</f>
        <v>XB1-MKE-015</v>
      </c>
      <c r="B599" s="3" t="str">
        <f>IFERROR(__xludf.DUMMYFUNCTION("""COMPUTED_VALUE"""),"Máy cày KAM50")</f>
        <v>Máy cày KAM50</v>
      </c>
      <c r="C599" s="5" t="str">
        <f>IFERROR(__xludf.DUMMYFUNCTION("""COMPUTED_VALUE"""),"Loại biên")</f>
        <v>Loại biên</v>
      </c>
      <c r="D599" s="5" t="str">
        <f>IFERROR(__xludf.DUMMYFUNCTION("""COMPUTED_VALUE"""),"THACO")</f>
        <v>THACO</v>
      </c>
      <c r="E599" s="5" t="str">
        <f>IFERROR(__xludf.DUMMYFUNCTION("""COMPUTED_VALUE"""),"VIỆT NAM")</f>
        <v>VIỆT NAM</v>
      </c>
      <c r="F599" s="5">
        <f>IFERROR(__xludf.DUMMYFUNCTION("""COMPUTED_VALUE"""),2018.0)</f>
        <v>2018</v>
      </c>
      <c r="G599" s="5" t="str">
        <f>IFERROR(__xludf.DUMMYFUNCTION("""COMPUTED_VALUE"""),"KAM50")</f>
        <v>KAM50</v>
      </c>
      <c r="H599" s="5" t="str">
        <f>IFERROR(__xludf.DUMMYFUNCTION("""COMPUTED_VALUE"""),"50HP")</f>
        <v>50HP</v>
      </c>
      <c r="I599" s="5" t="str">
        <f>IFERROR(__xludf.DUMMYFUNCTION("""COMPUTED_VALUE"""),"C000059")</f>
        <v>C000059</v>
      </c>
      <c r="J599" s="5" t="str">
        <f>IFERROR(__xludf.DUMMYFUNCTION("""COMPUTED_VALUE"""),"CCN")</f>
        <v>CCN</v>
      </c>
      <c r="K599" s="5">
        <f>IFERROR(__xludf.DUMMYFUNCTION("""COMPUTED_VALUE"""),2.5)</f>
        <v>2.5</v>
      </c>
      <c r="L599" s="5" t="str">
        <f>IFERROR(__xludf.DUMMYFUNCTION("""COMPUTED_VALUE"""),"Loại biên")</f>
        <v>Loại biên</v>
      </c>
    </row>
    <row r="600">
      <c r="A600" s="168" t="str">
        <f>IFERROR(__xludf.DUMMYFUNCTION("""COMPUTED_VALUE"""),"XB1-XTA-004")</f>
        <v>XB1-XTA-004</v>
      </c>
      <c r="B600" s="3" t="str">
        <f>IFERROR(__xludf.DUMMYFUNCTION("""COMPUTED_VALUE"""),"Xe tải FD 3.5T")</f>
        <v>Xe tải FD 3.5T</v>
      </c>
      <c r="C600" s="5" t="str">
        <f>IFERROR(__xludf.DUMMYFUNCTION("""COMPUTED_VALUE"""),"Loại biên")</f>
        <v>Loại biên</v>
      </c>
      <c r="D600" s="5" t="str">
        <f>IFERROR(__xludf.DUMMYFUNCTION("""COMPUTED_VALUE"""),"THACO")</f>
        <v>THACO</v>
      </c>
      <c r="E600" s="5" t="str">
        <f>IFERROR(__xludf.DUMMYFUNCTION("""COMPUTED_VALUE"""),"VIỆT NAM")</f>
        <v>VIỆT NAM</v>
      </c>
      <c r="F600" s="5">
        <f>IFERROR(__xludf.DUMMYFUNCTION("""COMPUTED_VALUE"""),2018.0)</f>
        <v>2018</v>
      </c>
      <c r="G600" s="5" t="str">
        <f>IFERROR(__xludf.DUMMYFUNCTION("""COMPUTED_VALUE"""),"FD350")</f>
        <v>FD350</v>
      </c>
      <c r="H600" s="5" t="str">
        <f>IFERROR(__xludf.DUMMYFUNCTION("""COMPUTED_VALUE"""),"73HP")</f>
        <v>73HP</v>
      </c>
      <c r="I600" s="5" t="str">
        <f>IFERROR(__xludf.DUMMYFUNCTION("""COMPUTED_VALUE"""),"880102")</f>
        <v>880102</v>
      </c>
      <c r="J600" s="5" t="str">
        <f>IFERROR(__xludf.DUMMYFUNCTION("""COMPUTED_VALUE"""),"CCN")</f>
        <v>CCN</v>
      </c>
      <c r="K600" s="5"/>
      <c r="L600" s="5" t="str">
        <f>IFERROR(__xludf.DUMMYFUNCTION("""COMPUTED_VALUE"""),"Loại biên")</f>
        <v>Loại biên</v>
      </c>
    </row>
    <row r="601">
      <c r="A601" s="168" t="str">
        <f>IFERROR(__xludf.DUMMYFUNCTION("""COMPUTED_VALUE"""),"XB1-XXL-003")</f>
        <v>XB1-XXL-003</v>
      </c>
      <c r="B601" s="3" t="str">
        <f>IFERROR(__xludf.DUMMYFUNCTION("""COMPUTED_VALUE"""),"Xe xúc lật 916A")</f>
        <v>Xe xúc lật 916A</v>
      </c>
      <c r="C601" s="5" t="str">
        <f>IFERROR(__xludf.DUMMYFUNCTION("""COMPUTED_VALUE"""),"Loại biên")</f>
        <v>Loại biên</v>
      </c>
      <c r="D601" s="5" t="str">
        <f>IFERROR(__xludf.DUMMYFUNCTION("""COMPUTED_VALUE"""),"AOLITE")</f>
        <v>AOLITE</v>
      </c>
      <c r="E601" s="5" t="str">
        <f>IFERROR(__xludf.DUMMYFUNCTION("""COMPUTED_VALUE"""),"TRUNG QUỐC")</f>
        <v>TRUNG QUỐC</v>
      </c>
      <c r="F601" s="5">
        <f>IFERROR(__xludf.DUMMYFUNCTION("""COMPUTED_VALUE"""),2014.0)</f>
        <v>2014</v>
      </c>
      <c r="G601" s="5" t="str">
        <f>IFERROR(__xludf.DUMMYFUNCTION("""COMPUTED_VALUE"""),"916A")</f>
        <v>916A</v>
      </c>
      <c r="H601" s="5" t="str">
        <f>IFERROR(__xludf.DUMMYFUNCTION("""COMPUTED_VALUE"""),"56HP")</f>
        <v>56HP</v>
      </c>
      <c r="I601" s="5" t="str">
        <f>IFERROR(__xludf.DUMMYFUNCTION("""COMPUTED_VALUE"""),"6042")</f>
        <v>6042</v>
      </c>
      <c r="J601" s="5" t="str">
        <f>IFERROR(__xludf.DUMMYFUNCTION("""COMPUTED_VALUE"""),"CCN")</f>
        <v>CCN</v>
      </c>
      <c r="K601" s="5"/>
      <c r="L601" s="5" t="str">
        <f>IFERROR(__xludf.DUMMYFUNCTION("""COMPUTED_VALUE"""),"Loại biên")</f>
        <v>Loại biên</v>
      </c>
    </row>
    <row r="602">
      <c r="A602" s="168" t="str">
        <f>IFERROR(__xludf.DUMMYFUNCTION("""COMPUTED_VALUE"""),"CHT-XTA-007")</f>
        <v>CHT-XTA-007</v>
      </c>
      <c r="B602" s="3" t="str">
        <f>IFERROR(__xludf.DUMMYFUNCTION("""COMPUTED_VALUE"""),"Xe ben FAW (16m3)")</f>
        <v>Xe ben FAW (16m3)</v>
      </c>
      <c r="C602" s="5" t="str">
        <f>IFERROR(__xludf.DUMMYFUNCTION("""COMPUTED_VALUE"""),"Loại biên")</f>
        <v>Loại biên</v>
      </c>
      <c r="D602" s="5" t="str">
        <f>IFERROR(__xludf.DUMMYFUNCTION("""COMPUTED_VALUE"""),"FAW")</f>
        <v>FAW</v>
      </c>
      <c r="E602" s="5"/>
      <c r="F602" s="5"/>
      <c r="G602" s="5"/>
      <c r="H602" s="5"/>
      <c r="I602" s="5" t="str">
        <f>IFERROR(__xludf.DUMMYFUNCTION("""COMPUTED_VALUE"""),"9AD16903")</f>
        <v>9AD16903</v>
      </c>
      <c r="J602" s="5" t="str">
        <f>IFERROR(__xludf.DUMMYFUNCTION("""COMPUTED_VALUE"""),"CCN")</f>
        <v>CCN</v>
      </c>
      <c r="K602" s="5"/>
      <c r="L602" s="5" t="str">
        <f>IFERROR(__xludf.DUMMYFUNCTION("""COMPUTED_VALUE"""),"Loại biên")</f>
        <v>Loại biên</v>
      </c>
    </row>
    <row r="603">
      <c r="A603" s="168" t="str">
        <f>IFERROR(__xludf.DUMMYFUNCTION("""COMPUTED_VALUE"""),"CVC-XTA-012")</f>
        <v>CVC-XTA-012</v>
      </c>
      <c r="B603" s="3" t="str">
        <f>IFERROR(__xludf.DUMMYFUNCTION("""COMPUTED_VALUE"""),"Xe tải FORLAND 2.5T")</f>
        <v>Xe tải FORLAND 2.5T</v>
      </c>
      <c r="C603" s="5" t="str">
        <f>IFERROR(__xludf.DUMMYFUNCTION("""COMPUTED_VALUE"""),"Loại biên")</f>
        <v>Loại biên</v>
      </c>
      <c r="D603" s="5" t="str">
        <f>IFERROR(__xludf.DUMMYFUNCTION("""COMPUTED_VALUE"""),"THACO FORLAND")</f>
        <v>THACO FORLAND</v>
      </c>
      <c r="E603" s="5" t="str">
        <f>IFERROR(__xludf.DUMMYFUNCTION("""COMPUTED_VALUE"""),"VIỆT NAM")</f>
        <v>VIỆT NAM</v>
      </c>
      <c r="F603" s="5">
        <f>IFERROR(__xludf.DUMMYFUNCTION("""COMPUTED_VALUE"""),2012.0)</f>
        <v>2012</v>
      </c>
      <c r="G603" s="5"/>
      <c r="H603" s="5"/>
      <c r="I603" s="5" t="str">
        <f>IFERROR(__xludf.DUMMYFUNCTION("""COMPUTED_VALUE"""),"32169")</f>
        <v>32169</v>
      </c>
      <c r="J603" s="5" t="str">
        <f>IFERROR(__xludf.DUMMYFUNCTION("""COMPUTED_VALUE"""),"CCN")</f>
        <v>CCN</v>
      </c>
      <c r="K603" s="5"/>
      <c r="L603" s="5" t="str">
        <f>IFERROR(__xludf.DUMMYFUNCTION("""COMPUTED_VALUE"""),"Loại biên")</f>
        <v>Loại biên</v>
      </c>
    </row>
    <row r="604">
      <c r="A604" s="168" t="str">
        <f>IFERROR(__xludf.DUMMYFUNCTION("""COMPUTED_VALUE"""),"CVC-XTA-013")</f>
        <v>CVC-XTA-013</v>
      </c>
      <c r="B604" s="3" t="str">
        <f>IFERROR(__xludf.DUMMYFUNCTION("""COMPUTED_VALUE"""),"Xe tải HYUNDAI 3.5T")</f>
        <v>Xe tải HYUNDAI 3.5T</v>
      </c>
      <c r="C604" s="5" t="str">
        <f>IFERROR(__xludf.DUMMYFUNCTION("""COMPUTED_VALUE"""),"Loại biên")</f>
        <v>Loại biên</v>
      </c>
      <c r="D604" s="5" t="str">
        <f>IFERROR(__xludf.DUMMYFUNCTION("""COMPUTED_VALUE"""),"HYUNDAI")</f>
        <v>HYUNDAI</v>
      </c>
      <c r="E604" s="5" t="str">
        <f>IFERROR(__xludf.DUMMYFUNCTION("""COMPUTED_VALUE"""),"HÀN QUỐC")</f>
        <v>HÀN QUỐC</v>
      </c>
      <c r="F604" s="5"/>
      <c r="G604" s="5"/>
      <c r="H604" s="5"/>
      <c r="I604" s="5" t="str">
        <f>IFERROR(__xludf.DUMMYFUNCTION("""COMPUTED_VALUE"""),"55454")</f>
        <v>55454</v>
      </c>
      <c r="J604" s="5" t="str">
        <f>IFERROR(__xludf.DUMMYFUNCTION("""COMPUTED_VALUE"""),"CCN")</f>
        <v>CCN</v>
      </c>
      <c r="K604" s="5"/>
      <c r="L604" s="5" t="str">
        <f>IFERROR(__xludf.DUMMYFUNCTION("""COMPUTED_VALUE"""),"Loại biên")</f>
        <v>Loại biên</v>
      </c>
    </row>
    <row r="605">
      <c r="A605" s="168" t="str">
        <f>IFERROR(__xludf.DUMMYFUNCTION("""COMPUTED_VALUE"""),"XB1-MKE-001")</f>
        <v>XB1-MKE-001</v>
      </c>
      <c r="B605" s="3" t="str">
        <f>IFERROR(__xludf.DUMMYFUNCTION("""COMPUTED_VALUE"""),"Máy cày M6040")</f>
        <v>Máy cày M6040</v>
      </c>
      <c r="C605" s="5" t="str">
        <f>IFERROR(__xludf.DUMMYFUNCTION("""COMPUTED_VALUE"""),"Loại biên")</f>
        <v>Loại biên</v>
      </c>
      <c r="D605" s="5" t="str">
        <f>IFERROR(__xludf.DUMMYFUNCTION("""COMPUTED_VALUE"""),"KUBOTA")</f>
        <v>KUBOTA</v>
      </c>
      <c r="E605" s="5" t="str">
        <f>IFERROR(__xludf.DUMMYFUNCTION("""COMPUTED_VALUE"""),"NHẬT BẢN")</f>
        <v>NHẬT BẢN</v>
      </c>
      <c r="F605" s="5">
        <f>IFERROR(__xludf.DUMMYFUNCTION("""COMPUTED_VALUE"""),2013.0)</f>
        <v>2013</v>
      </c>
      <c r="G605" s="5" t="str">
        <f>IFERROR(__xludf.DUMMYFUNCTION("""COMPUTED_VALUE"""),"M6040")</f>
        <v>M6040</v>
      </c>
      <c r="H605" s="5" t="str">
        <f>IFERROR(__xludf.DUMMYFUNCTION("""COMPUTED_VALUE"""),"60HP")</f>
        <v>60HP</v>
      </c>
      <c r="I605" s="5" t="str">
        <f>IFERROR(__xludf.DUMMYFUNCTION("""COMPUTED_VALUE"""),"56762")</f>
        <v>56762</v>
      </c>
      <c r="J605" s="5" t="str">
        <f>IFERROR(__xludf.DUMMYFUNCTION("""COMPUTED_VALUE"""),"65")</f>
        <v>65</v>
      </c>
      <c r="K605" s="5">
        <f>IFERROR(__xludf.DUMMYFUNCTION("""COMPUTED_VALUE"""),3.5)</f>
        <v>3.5</v>
      </c>
      <c r="L605" s="5" t="str">
        <f>IFERROR(__xludf.DUMMYFUNCTION("""COMPUTED_VALUE"""),"Loại biên")</f>
        <v>Loại biên</v>
      </c>
    </row>
    <row r="606">
      <c r="A606" s="168" t="str">
        <f>IFERROR(__xludf.DUMMYFUNCTION("""COMPUTED_VALUE"""),"XB1-MKE-013")</f>
        <v>XB1-MKE-013</v>
      </c>
      <c r="B606" s="3" t="str">
        <f>IFERROR(__xludf.DUMMYFUNCTION("""COMPUTED_VALUE"""),"Máy cày KAM50")</f>
        <v>Máy cày KAM50</v>
      </c>
      <c r="C606" s="5" t="str">
        <f>IFERROR(__xludf.DUMMYFUNCTION("""COMPUTED_VALUE"""),"Loại biên")</f>
        <v>Loại biên</v>
      </c>
      <c r="D606" s="5" t="str">
        <f>IFERROR(__xludf.DUMMYFUNCTION("""COMPUTED_VALUE"""),"THACO")</f>
        <v>THACO</v>
      </c>
      <c r="E606" s="5" t="str">
        <f>IFERROR(__xludf.DUMMYFUNCTION("""COMPUTED_VALUE"""),"VIỆT NAM")</f>
        <v>VIỆT NAM</v>
      </c>
      <c r="F606" s="5">
        <f>IFERROR(__xludf.DUMMYFUNCTION("""COMPUTED_VALUE"""),2018.0)</f>
        <v>2018</v>
      </c>
      <c r="G606" s="5" t="str">
        <f>IFERROR(__xludf.DUMMYFUNCTION("""COMPUTED_VALUE"""),"KAM50")</f>
        <v>KAM50</v>
      </c>
      <c r="H606" s="5" t="str">
        <f>IFERROR(__xludf.DUMMYFUNCTION("""COMPUTED_VALUE"""),"50HP")</f>
        <v>50HP</v>
      </c>
      <c r="I606" s="5" t="str">
        <f>IFERROR(__xludf.DUMMYFUNCTION("""COMPUTED_VALUE"""),"000078")</f>
        <v>000078</v>
      </c>
      <c r="J606" s="5" t="str">
        <f>IFERROR(__xludf.DUMMYFUNCTION("""COMPUTED_VALUE"""),"0002")</f>
        <v>0002</v>
      </c>
      <c r="K606" s="5">
        <f>IFERROR(__xludf.DUMMYFUNCTION("""COMPUTED_VALUE"""),2.5)</f>
        <v>2.5</v>
      </c>
      <c r="L606" s="5"/>
    </row>
    <row r="607">
      <c r="A607" s="168" t="str">
        <f>IFERROR(__xludf.DUMMYFUNCTION("""COMPUTED_VALUE"""),"XB1-MKE-016")</f>
        <v>XB1-MKE-016</v>
      </c>
      <c r="B607" s="3" t="str">
        <f>IFERROR(__xludf.DUMMYFUNCTION("""COMPUTED_VALUE"""),"Máy cày KAM50")</f>
        <v>Máy cày KAM50</v>
      </c>
      <c r="C607" s="5" t="str">
        <f>IFERROR(__xludf.DUMMYFUNCTION("""COMPUTED_VALUE"""),"Loại biên")</f>
        <v>Loại biên</v>
      </c>
      <c r="D607" s="5" t="str">
        <f>IFERROR(__xludf.DUMMYFUNCTION("""COMPUTED_VALUE"""),"THACO")</f>
        <v>THACO</v>
      </c>
      <c r="E607" s="5" t="str">
        <f>IFERROR(__xludf.DUMMYFUNCTION("""COMPUTED_VALUE"""),"VIỆT NAM")</f>
        <v>VIỆT NAM</v>
      </c>
      <c r="F607" s="5">
        <f>IFERROR(__xludf.DUMMYFUNCTION("""COMPUTED_VALUE"""),2018.0)</f>
        <v>2018</v>
      </c>
      <c r="G607" s="5" t="str">
        <f>IFERROR(__xludf.DUMMYFUNCTION("""COMPUTED_VALUE"""),"KAM50")</f>
        <v>KAM50</v>
      </c>
      <c r="H607" s="5" t="str">
        <f>IFERROR(__xludf.DUMMYFUNCTION("""COMPUTED_VALUE"""),"50HP")</f>
        <v>50HP</v>
      </c>
      <c r="I607" s="5" t="str">
        <f>IFERROR(__xludf.DUMMYFUNCTION("""COMPUTED_VALUE"""),"0076")</f>
        <v>0076</v>
      </c>
      <c r="J607" s="5" t="str">
        <f>IFERROR(__xludf.DUMMYFUNCTION("""COMPUTED_VALUE"""),"80076")</f>
        <v>80076</v>
      </c>
      <c r="K607" s="5">
        <f>IFERROR(__xludf.DUMMYFUNCTION("""COMPUTED_VALUE"""),2.5)</f>
        <v>2.5</v>
      </c>
      <c r="L607" s="5"/>
    </row>
    <row r="608">
      <c r="A608" s="168" t="str">
        <f>IFERROR(__xludf.DUMMYFUNCTION("""COMPUTED_VALUE"""),"XB1-MKE-019")</f>
        <v>XB1-MKE-019</v>
      </c>
      <c r="B608" s="3" t="str">
        <f>IFERROR(__xludf.DUMMYFUNCTION("""COMPUTED_VALUE"""),"Máy cày KAM50")</f>
        <v>Máy cày KAM50</v>
      </c>
      <c r="C608" s="5" t="str">
        <f>IFERROR(__xludf.DUMMYFUNCTION("""COMPUTED_VALUE"""),"Loại biên")</f>
        <v>Loại biên</v>
      </c>
      <c r="D608" s="5" t="str">
        <f>IFERROR(__xludf.DUMMYFUNCTION("""COMPUTED_VALUE"""),"THACO")</f>
        <v>THACO</v>
      </c>
      <c r="E608" s="5" t="str">
        <f>IFERROR(__xludf.DUMMYFUNCTION("""COMPUTED_VALUE"""),"VIỆT NAM")</f>
        <v>VIỆT NAM</v>
      </c>
      <c r="F608" s="5">
        <f>IFERROR(__xludf.DUMMYFUNCTION("""COMPUTED_VALUE"""),2018.0)</f>
        <v>2018</v>
      </c>
      <c r="G608" s="5" t="str">
        <f>IFERROR(__xludf.DUMMYFUNCTION("""COMPUTED_VALUE"""),"KAM50")</f>
        <v>KAM50</v>
      </c>
      <c r="H608" s="5" t="str">
        <f>IFERROR(__xludf.DUMMYFUNCTION("""COMPUTED_VALUE"""),"50HP")</f>
        <v>50HP</v>
      </c>
      <c r="I608" s="5" t="str">
        <f>IFERROR(__xludf.DUMMYFUNCTION("""COMPUTED_VALUE"""),"C000047")</f>
        <v>C000047</v>
      </c>
      <c r="J608" s="5" t="str">
        <f>IFERROR(__xludf.DUMMYFUNCTION("""COMPUTED_VALUE"""),"180053")</f>
        <v>180053</v>
      </c>
      <c r="K608" s="5">
        <f>IFERROR(__xludf.DUMMYFUNCTION("""COMPUTED_VALUE"""),2.5)</f>
        <v>2.5</v>
      </c>
      <c r="L608" s="5"/>
    </row>
    <row r="609">
      <c r="A609" s="168" t="str">
        <f>IFERROR(__xludf.DUMMYFUNCTION("""COMPUTED_VALUE"""),"XB1-MKE-023")</f>
        <v>XB1-MKE-023</v>
      </c>
      <c r="B609" s="3" t="str">
        <f>IFERROR(__xludf.DUMMYFUNCTION("""COMPUTED_VALUE"""),"Máy cày M9540")</f>
        <v>Máy cày M9540</v>
      </c>
      <c r="C609" s="5" t="str">
        <f>IFERROR(__xludf.DUMMYFUNCTION("""COMPUTED_VALUE"""),"Loại biên")</f>
        <v>Loại biên</v>
      </c>
      <c r="D609" s="5" t="str">
        <f>IFERROR(__xludf.DUMMYFUNCTION("""COMPUTED_VALUE"""),"KUBOTA")</f>
        <v>KUBOTA</v>
      </c>
      <c r="E609" s="5" t="str">
        <f>IFERROR(__xludf.DUMMYFUNCTION("""COMPUTED_VALUE"""),"NHẬT BẢN")</f>
        <v>NHẬT BẢN</v>
      </c>
      <c r="F609" s="5">
        <f>IFERROR(__xludf.DUMMYFUNCTION("""COMPUTED_VALUE"""),2011.0)</f>
        <v>2011</v>
      </c>
      <c r="G609" s="5" t="str">
        <f>IFERROR(__xludf.DUMMYFUNCTION("""COMPUTED_VALUE"""),"9540")</f>
        <v>9540</v>
      </c>
      <c r="H609" s="5" t="str">
        <f>IFERROR(__xludf.DUMMYFUNCTION("""COMPUTED_VALUE"""),"95HP")</f>
        <v>95HP</v>
      </c>
      <c r="I609" s="5" t="str">
        <f>IFERROR(__xludf.DUMMYFUNCTION("""COMPUTED_VALUE"""),"2482")</f>
        <v>2482</v>
      </c>
      <c r="J609" s="5" t="str">
        <f>IFERROR(__xludf.DUMMYFUNCTION("""COMPUTED_VALUE"""),"CCN")</f>
        <v>CCN</v>
      </c>
      <c r="K609" s="5">
        <f>IFERROR(__xludf.DUMMYFUNCTION("""COMPUTED_VALUE"""),3.8)</f>
        <v>3.8</v>
      </c>
      <c r="L609" s="5"/>
    </row>
    <row r="610">
      <c r="A610" s="168" t="str">
        <f>IFERROR(__xludf.DUMMYFUNCTION("""COMPUTED_VALUE"""),"XB1-MKE-026")</f>
        <v>XB1-MKE-026</v>
      </c>
      <c r="B610" s="3" t="str">
        <f>IFERROR(__xludf.DUMMYFUNCTION("""COMPUTED_VALUE"""),"Máy cày KAM50")</f>
        <v>Máy cày KAM50</v>
      </c>
      <c r="C610" s="5" t="str">
        <f>IFERROR(__xludf.DUMMYFUNCTION("""COMPUTED_VALUE"""),"Loại biên")</f>
        <v>Loại biên</v>
      </c>
      <c r="D610" s="5" t="str">
        <f>IFERROR(__xludf.DUMMYFUNCTION("""COMPUTED_VALUE"""),"THACO")</f>
        <v>THACO</v>
      </c>
      <c r="E610" s="5" t="str">
        <f>IFERROR(__xludf.DUMMYFUNCTION("""COMPUTED_VALUE"""),"VIỆT NAM")</f>
        <v>VIỆT NAM</v>
      </c>
      <c r="F610" s="5">
        <f>IFERROR(__xludf.DUMMYFUNCTION("""COMPUTED_VALUE"""),2018.0)</f>
        <v>2018</v>
      </c>
      <c r="G610" s="5" t="str">
        <f>IFERROR(__xludf.DUMMYFUNCTION("""COMPUTED_VALUE"""),"KAM50")</f>
        <v>KAM50</v>
      </c>
      <c r="H610" s="5" t="str">
        <f>IFERROR(__xludf.DUMMYFUNCTION("""COMPUTED_VALUE"""),"50HP")</f>
        <v>50HP</v>
      </c>
      <c r="I610" s="5" t="str">
        <f>IFERROR(__xludf.DUMMYFUNCTION("""COMPUTED_VALUE"""),"C000048")</f>
        <v>C000048</v>
      </c>
      <c r="J610" s="5" t="str">
        <f>IFERROR(__xludf.DUMMYFUNCTION("""COMPUTED_VALUE"""),"CCN")</f>
        <v>CCN</v>
      </c>
      <c r="K610" s="5">
        <f>IFERROR(__xludf.DUMMYFUNCTION("""COMPUTED_VALUE"""),2.5)</f>
        <v>2.5</v>
      </c>
      <c r="L610" s="5"/>
    </row>
    <row r="611">
      <c r="A611" s="168" t="str">
        <f>IFERROR(__xludf.DUMMYFUNCTION("""COMPUTED_VALUE"""),"XB1-MKE-028")</f>
        <v>XB1-MKE-028</v>
      </c>
      <c r="B611" s="3" t="str">
        <f>IFERROR(__xludf.DUMMYFUNCTION("""COMPUTED_VALUE"""),"Máy cày M9540")</f>
        <v>Máy cày M9540</v>
      </c>
      <c r="C611" s="5" t="str">
        <f>IFERROR(__xludf.DUMMYFUNCTION("""COMPUTED_VALUE"""),"Loại biên")</f>
        <v>Loại biên</v>
      </c>
      <c r="D611" s="5" t="str">
        <f>IFERROR(__xludf.DUMMYFUNCTION("""COMPUTED_VALUE"""),"KUBOTA")</f>
        <v>KUBOTA</v>
      </c>
      <c r="E611" s="5" t="str">
        <f>IFERROR(__xludf.DUMMYFUNCTION("""COMPUTED_VALUE"""),"NHẬT BẢN")</f>
        <v>NHẬT BẢN</v>
      </c>
      <c r="F611" s="5">
        <f>IFERROR(__xludf.DUMMYFUNCTION("""COMPUTED_VALUE"""),2011.0)</f>
        <v>2011</v>
      </c>
      <c r="G611" s="5" t="str">
        <f>IFERROR(__xludf.DUMMYFUNCTION("""COMPUTED_VALUE"""),"9540")</f>
        <v>9540</v>
      </c>
      <c r="H611" s="5" t="str">
        <f>IFERROR(__xludf.DUMMYFUNCTION("""COMPUTED_VALUE"""),"95HP")</f>
        <v>95HP</v>
      </c>
      <c r="I611" s="5" t="str">
        <f>IFERROR(__xludf.DUMMYFUNCTION("""COMPUTED_VALUE"""),"3106")</f>
        <v>3106</v>
      </c>
      <c r="J611" s="5" t="str">
        <f>IFERROR(__xludf.DUMMYFUNCTION("""COMPUTED_VALUE"""),"CCN")</f>
        <v>CCN</v>
      </c>
      <c r="K611" s="5">
        <f>IFERROR(__xludf.DUMMYFUNCTION("""COMPUTED_VALUE"""),3.8)</f>
        <v>3.8</v>
      </c>
      <c r="L611" s="5"/>
    </row>
    <row r="612">
      <c r="A612" s="168" t="str">
        <f>IFERROR(__xludf.DUMMYFUNCTION("""COMPUTED_VALUE"""),"XB1-MKE-032")</f>
        <v>XB1-MKE-032</v>
      </c>
      <c r="B612" s="3" t="str">
        <f>IFERROR(__xludf.DUMMYFUNCTION("""COMPUTED_VALUE"""),"Máy cày L4508")</f>
        <v>Máy cày L4508</v>
      </c>
      <c r="C612" s="5" t="str">
        <f>IFERROR(__xludf.DUMMYFUNCTION("""COMPUTED_VALUE"""),"Loại biên")</f>
        <v>Loại biên</v>
      </c>
      <c r="D612" s="5" t="str">
        <f>IFERROR(__xludf.DUMMYFUNCTION("""COMPUTED_VALUE"""),"KUBOTA")</f>
        <v>KUBOTA</v>
      </c>
      <c r="E612" s="5" t="str">
        <f>IFERROR(__xludf.DUMMYFUNCTION("""COMPUTED_VALUE"""),"NHẬT BẢN")</f>
        <v>NHẬT BẢN</v>
      </c>
      <c r="F612" s="5">
        <f>IFERROR(__xludf.DUMMYFUNCTION("""COMPUTED_VALUE"""),2019.0)</f>
        <v>2019</v>
      </c>
      <c r="G612" s="5" t="str">
        <f>IFERROR(__xludf.DUMMYFUNCTION("""COMPUTED_VALUE"""),"4508")</f>
        <v>4508</v>
      </c>
      <c r="H612" s="5" t="str">
        <f>IFERROR(__xludf.DUMMYFUNCTION("""COMPUTED_VALUE"""),"45HP")</f>
        <v>45HP</v>
      </c>
      <c r="I612" s="5" t="str">
        <f>IFERROR(__xludf.DUMMYFUNCTION("""COMPUTED_VALUE"""),"0428")</f>
        <v>0428</v>
      </c>
      <c r="J612" s="5" t="str">
        <f>IFERROR(__xludf.DUMMYFUNCTION("""COMPUTED_VALUE"""),"CNN")</f>
        <v>CNN</v>
      </c>
      <c r="K612" s="5">
        <f>IFERROR(__xludf.DUMMYFUNCTION("""COMPUTED_VALUE"""),2.5)</f>
        <v>2.5</v>
      </c>
      <c r="L612" s="5"/>
    </row>
    <row r="613">
      <c r="A613" s="168" t="str">
        <f>IFERROR(__xludf.DUMMYFUNCTION("""COMPUTED_VALUE"""),"XB1-XTA-001")</f>
        <v>XB1-XTA-001</v>
      </c>
      <c r="B613" s="3" t="str">
        <f>IFERROR(__xludf.DUMMYFUNCTION("""COMPUTED_VALUE"""),"Xe tải KOZUN")</f>
        <v>Xe tải KOZUN</v>
      </c>
      <c r="C613" s="5" t="str">
        <f>IFERROR(__xludf.DUMMYFUNCTION("""COMPUTED_VALUE"""),"Loại biên")</f>
        <v>Loại biên</v>
      </c>
      <c r="D613" s="5" t="str">
        <f>IFERROR(__xludf.DUMMYFUNCTION("""COMPUTED_VALUE"""),"KOZUN")</f>
        <v>KOZUN</v>
      </c>
      <c r="E613" s="5" t="str">
        <f>IFERROR(__xludf.DUMMYFUNCTION("""COMPUTED_VALUE"""),"CAMPUCHIA")</f>
        <v>CAMPUCHIA</v>
      </c>
      <c r="F613" s="5"/>
      <c r="G613" s="5"/>
      <c r="H613" s="5" t="str">
        <f>IFERROR(__xludf.DUMMYFUNCTION("""COMPUTED_VALUE"""),"60HP")</f>
        <v>60HP</v>
      </c>
      <c r="I613" s="5" t="str">
        <f>IFERROR(__xludf.DUMMYFUNCTION("""COMPUTED_VALUE"""),"78509")</f>
        <v>78509</v>
      </c>
      <c r="J613" s="5" t="str">
        <f>IFERROR(__xludf.DUMMYFUNCTION("""COMPUTED_VALUE"""),"CCN")</f>
        <v>CCN</v>
      </c>
      <c r="K613" s="5">
        <f>IFERROR(__xludf.DUMMYFUNCTION("""COMPUTED_VALUE"""),2.0)</f>
        <v>2</v>
      </c>
      <c r="L613" s="5"/>
    </row>
    <row r="614">
      <c r="A614" s="168" t="str">
        <f>IFERROR(__xludf.DUMMYFUNCTION("""COMPUTED_VALUE"""),"XB1-XTA-003")</f>
        <v>XB1-XTA-003</v>
      </c>
      <c r="B614" s="3" t="str">
        <f>IFERROR(__xludf.DUMMYFUNCTION("""COMPUTED_VALUE"""),"Xe tải KOZUN")</f>
        <v>Xe tải KOZUN</v>
      </c>
      <c r="C614" s="5" t="str">
        <f>IFERROR(__xludf.DUMMYFUNCTION("""COMPUTED_VALUE"""),"Loại biên")</f>
        <v>Loại biên</v>
      </c>
      <c r="D614" s="5" t="str">
        <f>IFERROR(__xludf.DUMMYFUNCTION("""COMPUTED_VALUE"""),"KOZUN")</f>
        <v>KOZUN</v>
      </c>
      <c r="E614" s="5" t="str">
        <f>IFERROR(__xludf.DUMMYFUNCTION("""COMPUTED_VALUE"""),"CAMPUCHIA")</f>
        <v>CAMPUCHIA</v>
      </c>
      <c r="F614" s="5"/>
      <c r="G614" s="5"/>
      <c r="H614" s="5" t="str">
        <f>IFERROR(__xludf.DUMMYFUNCTION("""COMPUTED_VALUE"""),"60HP")</f>
        <v>60HP</v>
      </c>
      <c r="I614" s="5" t="str">
        <f>IFERROR(__xludf.DUMMYFUNCTION("""COMPUTED_VALUE"""),"58759")</f>
        <v>58759</v>
      </c>
      <c r="J614" s="5" t="str">
        <f>IFERROR(__xludf.DUMMYFUNCTION("""COMPUTED_VALUE"""),"CCN")</f>
        <v>CCN</v>
      </c>
      <c r="K614" s="5">
        <f>IFERROR(__xludf.DUMMYFUNCTION("""COMPUTED_VALUE"""),2.0)</f>
        <v>2</v>
      </c>
      <c r="L614" s="5"/>
    </row>
    <row r="615">
      <c r="A615" s="168" t="str">
        <f>IFERROR(__xludf.DUMMYFUNCTION("""COMPUTED_VALUE"""),"CNN-MKE-018")</f>
        <v>CNN-MKE-018</v>
      </c>
      <c r="B615" s="3" t="str">
        <f>IFERROR(__xludf.DUMMYFUNCTION("""COMPUTED_VALUE"""),"Máy cày M6040")</f>
        <v>Máy cày M6040</v>
      </c>
      <c r="C615" s="5" t="str">
        <f>IFERROR(__xludf.DUMMYFUNCTION("""COMPUTED_VALUE"""),"Loại biên")</f>
        <v>Loại biên</v>
      </c>
      <c r="D615" s="5" t="str">
        <f>IFERROR(__xludf.DUMMYFUNCTION("""COMPUTED_VALUE"""),"KUBOTA")</f>
        <v>KUBOTA</v>
      </c>
      <c r="E615" s="5" t="str">
        <f>IFERROR(__xludf.DUMMYFUNCTION("""COMPUTED_VALUE"""),"NHẬT BẢN")</f>
        <v>NHẬT BẢN</v>
      </c>
      <c r="F615" s="5">
        <f>IFERROR(__xludf.DUMMYFUNCTION("""COMPUTED_VALUE"""),2013.0)</f>
        <v>2013</v>
      </c>
      <c r="G615" s="5" t="str">
        <f>IFERROR(__xludf.DUMMYFUNCTION("""COMPUTED_VALUE"""),"M6040")</f>
        <v>M6040</v>
      </c>
      <c r="H615" s="5" t="str">
        <f>IFERROR(__xludf.DUMMYFUNCTION("""COMPUTED_VALUE"""),"60HP")</f>
        <v>60HP</v>
      </c>
      <c r="I615" s="5" t="str">
        <f>IFERROR(__xludf.DUMMYFUNCTION("""COMPUTED_VALUE"""),"57271")</f>
        <v>57271</v>
      </c>
      <c r="J615" s="5" t="str">
        <f>IFERROR(__xludf.DUMMYFUNCTION("""COMPUTED_VALUE"""),"CCN")</f>
        <v>CCN</v>
      </c>
      <c r="K615" s="5">
        <f>IFERROR(__xludf.DUMMYFUNCTION("""COMPUTED_VALUE"""),3.5)</f>
        <v>3.5</v>
      </c>
      <c r="L615" s="5"/>
    </row>
    <row r="616">
      <c r="A616" s="168" t="str">
        <f>IFERROR(__xludf.DUMMYFUNCTION("""COMPUTED_VALUE"""),"CNN-MKE-007")</f>
        <v>CNN-MKE-007</v>
      </c>
      <c r="B616" s="3" t="str">
        <f>IFERROR(__xludf.DUMMYFUNCTION("""COMPUTED_VALUE"""),"Máy cày NH TD 110")</f>
        <v>Máy cày NH TD 110</v>
      </c>
      <c r="C616" s="5" t="str">
        <f>IFERROR(__xludf.DUMMYFUNCTION("""COMPUTED_VALUE"""),"Loại biên")</f>
        <v>Loại biên</v>
      </c>
      <c r="D616" s="5" t="str">
        <f>IFERROR(__xludf.DUMMYFUNCTION("""COMPUTED_VALUE"""),"NEW HOLLAND")</f>
        <v>NEW HOLLAND</v>
      </c>
      <c r="E616" s="5" t="str">
        <f>IFERROR(__xludf.DUMMYFUNCTION("""COMPUTED_VALUE"""),"THỔ NHỶ KỲ")</f>
        <v>THỔ NHỶ KỲ</v>
      </c>
      <c r="F616" s="5">
        <f>IFERROR(__xludf.DUMMYFUNCTION("""COMPUTED_VALUE"""),2018.0)</f>
        <v>2018</v>
      </c>
      <c r="G616" s="5" t="str">
        <f>IFERROR(__xludf.DUMMYFUNCTION("""COMPUTED_VALUE"""),"TD110")</f>
        <v>TD110</v>
      </c>
      <c r="H616" s="5" t="str">
        <f>IFERROR(__xludf.DUMMYFUNCTION("""COMPUTED_VALUE"""),"110HP")</f>
        <v>110HP</v>
      </c>
      <c r="I616" s="5" t="str">
        <f>IFERROR(__xludf.DUMMYFUNCTION("""COMPUTED_VALUE"""),"162744")</f>
        <v>162744</v>
      </c>
      <c r="J616" s="5" t="str">
        <f>IFERROR(__xludf.DUMMYFUNCTION("""COMPUTED_VALUE"""),"CCN")</f>
        <v>CCN</v>
      </c>
      <c r="K616" s="5">
        <f>IFERROR(__xludf.DUMMYFUNCTION("""COMPUTED_VALUE"""),8.5)</f>
        <v>8.5</v>
      </c>
      <c r="L616" s="5"/>
    </row>
    <row r="617">
      <c r="A617" s="168" t="str">
        <f>IFERROR(__xludf.DUMMYFUNCTION("""COMPUTED_VALUE"""),"CNN-MKE-008")</f>
        <v>CNN-MKE-008</v>
      </c>
      <c r="B617" s="3" t="str">
        <f>IFERROR(__xludf.DUMMYFUNCTION("""COMPUTED_VALUE"""),"Máy cày NH TD 110")</f>
        <v>Máy cày NH TD 110</v>
      </c>
      <c r="C617" s="5" t="str">
        <f>IFERROR(__xludf.DUMMYFUNCTION("""COMPUTED_VALUE"""),"Loại biên")</f>
        <v>Loại biên</v>
      </c>
      <c r="D617" s="5" t="str">
        <f>IFERROR(__xludf.DUMMYFUNCTION("""COMPUTED_VALUE"""),"NEW HOLLAND")</f>
        <v>NEW HOLLAND</v>
      </c>
      <c r="E617" s="5" t="str">
        <f>IFERROR(__xludf.DUMMYFUNCTION("""COMPUTED_VALUE"""),"THỔ NHỶ KỲ")</f>
        <v>THỔ NHỶ KỲ</v>
      </c>
      <c r="F617" s="5">
        <f>IFERROR(__xludf.DUMMYFUNCTION("""COMPUTED_VALUE"""),2018.0)</f>
        <v>2018</v>
      </c>
      <c r="G617" s="5" t="str">
        <f>IFERROR(__xludf.DUMMYFUNCTION("""COMPUTED_VALUE"""),"TD110")</f>
        <v>TD110</v>
      </c>
      <c r="H617" s="5" t="str">
        <f>IFERROR(__xludf.DUMMYFUNCTION("""COMPUTED_VALUE"""),"110HP")</f>
        <v>110HP</v>
      </c>
      <c r="I617" s="5" t="str">
        <f>IFERROR(__xludf.DUMMYFUNCTION("""COMPUTED_VALUE"""),"171754")</f>
        <v>171754</v>
      </c>
      <c r="J617" s="5" t="str">
        <f>IFERROR(__xludf.DUMMYFUNCTION("""COMPUTED_VALUE"""),"CCN")</f>
        <v>CCN</v>
      </c>
      <c r="K617" s="5">
        <f>IFERROR(__xludf.DUMMYFUNCTION("""COMPUTED_VALUE"""),8.5)</f>
        <v>8.5</v>
      </c>
      <c r="L617" s="5"/>
    </row>
    <row r="618">
      <c r="A618" s="168" t="str">
        <f>IFERROR(__xludf.DUMMYFUNCTION("""COMPUTED_VALUE"""),"CNN-MKE-009")</f>
        <v>CNN-MKE-009</v>
      </c>
      <c r="B618" s="3" t="str">
        <f>IFERROR(__xludf.DUMMYFUNCTION("""COMPUTED_VALUE"""),"Máy cày NH TD 110")</f>
        <v>Máy cày NH TD 110</v>
      </c>
      <c r="C618" s="5" t="str">
        <f>IFERROR(__xludf.DUMMYFUNCTION("""COMPUTED_VALUE"""),"Loại biên")</f>
        <v>Loại biên</v>
      </c>
      <c r="D618" s="5" t="str">
        <f>IFERROR(__xludf.DUMMYFUNCTION("""COMPUTED_VALUE"""),"NEW HOLLAND")</f>
        <v>NEW HOLLAND</v>
      </c>
      <c r="E618" s="5" t="str">
        <f>IFERROR(__xludf.DUMMYFUNCTION("""COMPUTED_VALUE"""),"THỔ NHỈ KỲ")</f>
        <v>THỔ NHỈ KỲ</v>
      </c>
      <c r="F618" s="5">
        <f>IFERROR(__xludf.DUMMYFUNCTION("""COMPUTED_VALUE"""),2018.0)</f>
        <v>2018</v>
      </c>
      <c r="G618" s="5" t="str">
        <f>IFERROR(__xludf.DUMMYFUNCTION("""COMPUTED_VALUE"""),"TD110")</f>
        <v>TD110</v>
      </c>
      <c r="H618" s="5" t="str">
        <f>IFERROR(__xludf.DUMMYFUNCTION("""COMPUTED_VALUE"""),"110HP")</f>
        <v>110HP</v>
      </c>
      <c r="I618" s="5" t="str">
        <f>IFERROR(__xludf.DUMMYFUNCTION("""COMPUTED_VALUE"""),"394479")</f>
        <v>394479</v>
      </c>
      <c r="J618" s="5" t="str">
        <f>IFERROR(__xludf.DUMMYFUNCTION("""COMPUTED_VALUE"""),"CCN")</f>
        <v>CCN</v>
      </c>
      <c r="K618" s="5">
        <f>IFERROR(__xludf.DUMMYFUNCTION("""COMPUTED_VALUE"""),8.5)</f>
        <v>8.5</v>
      </c>
      <c r="L618" s="5"/>
    </row>
    <row r="619">
      <c r="A619" s="168" t="str">
        <f>IFERROR(__xludf.DUMMYFUNCTION("""COMPUTED_VALUE"""),"XBA-CLT-002")</f>
        <v>XBA-CLT-002</v>
      </c>
      <c r="B619" s="3" t="str">
        <f>IFERROR(__xludf.DUMMYFUNCTION("""COMPUTED_VALUE"""),"Xe clethon")</f>
        <v>Xe clethon</v>
      </c>
      <c r="C619" s="5" t="str">
        <f>IFERROR(__xludf.DUMMYFUNCTION("""COMPUTED_VALUE"""),"Loại biên")</f>
        <v>Loại biên</v>
      </c>
      <c r="D619" s="5" t="str">
        <f>IFERROR(__xludf.DUMMYFUNCTION("""COMPUTED_VALUE"""),"CLETHON")</f>
        <v>CLETHON</v>
      </c>
      <c r="E619" s="5" t="str">
        <f>IFERROR(__xludf.DUMMYFUNCTION("""COMPUTED_VALUE"""),"CAMPUCHIA")</f>
        <v>CAMPUCHIA</v>
      </c>
      <c r="F619" s="5"/>
      <c r="G619" s="5"/>
      <c r="H619" s="5" t="str">
        <f>IFERROR(__xludf.DUMMYFUNCTION("""COMPUTED_VALUE"""),"15HP")</f>
        <v>15HP</v>
      </c>
      <c r="I619" s="5"/>
      <c r="J619" s="5" t="str">
        <f>IFERROR(__xludf.DUMMYFUNCTION("""COMPUTED_VALUE"""),"CCN")</f>
        <v>CCN</v>
      </c>
      <c r="K619" s="5">
        <f>IFERROR(__xludf.DUMMYFUNCTION("""COMPUTED_VALUE"""),0.5)</f>
        <v>0.5</v>
      </c>
      <c r="L619" s="5"/>
    </row>
    <row r="620">
      <c r="A620" s="168" t="str">
        <f>IFERROR(__xludf.DUMMYFUNCTION("""COMPUTED_VALUE"""),"XXA-MKE-004")</f>
        <v>XXA-MKE-004</v>
      </c>
      <c r="B620" s="3" t="str">
        <f>IFERROR(__xludf.DUMMYFUNCTION("""COMPUTED_VALUE"""),"Máy cày Shibaura")</f>
        <v>Máy cày Shibaura</v>
      </c>
      <c r="C620" s="5" t="str">
        <f>IFERROR(__xludf.DUMMYFUNCTION("""COMPUTED_VALUE"""),"Loại biên")</f>
        <v>Loại biên</v>
      </c>
      <c r="D620" s="5" t="str">
        <f>IFERROR(__xludf.DUMMYFUNCTION("""COMPUTED_VALUE"""),"SHIBAURA")</f>
        <v>SHIBAURA</v>
      </c>
      <c r="E620" s="5" t="str">
        <f>IFERROR(__xludf.DUMMYFUNCTION("""COMPUTED_VALUE"""),"NHẬT BẢN")</f>
        <v>NHẬT BẢN</v>
      </c>
      <c r="F620" s="5"/>
      <c r="G620" s="5" t="str">
        <f>IFERROR(__xludf.DUMMYFUNCTION("""COMPUTED_VALUE"""),"SHIBAURA")</f>
        <v>SHIBAURA</v>
      </c>
      <c r="H620" s="5" t="str">
        <f>IFERROR(__xludf.DUMMYFUNCTION("""COMPUTED_VALUE"""),"20HP")</f>
        <v>20HP</v>
      </c>
      <c r="I620" s="5" t="str">
        <f>IFERROR(__xludf.DUMMYFUNCTION("""COMPUTED_VALUE"""),"CCN")</f>
        <v>CCN</v>
      </c>
      <c r="J620" s="5" t="str">
        <f>IFERROR(__xludf.DUMMYFUNCTION("""COMPUTED_VALUE"""),"20054")</f>
        <v>20054</v>
      </c>
      <c r="K620" s="5"/>
      <c r="L620" s="5"/>
    </row>
    <row r="621">
      <c r="A621" s="168" t="str">
        <f>IFERROR(__xludf.DUMMYFUNCTION("""COMPUTED_VALUE"""),"XL3-XTA-009")</f>
        <v>XL3-XTA-009</v>
      </c>
      <c r="B621" s="3" t="str">
        <f>IFERROR(__xludf.DUMMYFUNCTION("""COMPUTED_VALUE"""),"Xe tải KOZUN")</f>
        <v>Xe tải KOZUN</v>
      </c>
      <c r="C621" s="5" t="str">
        <f>IFERROR(__xludf.DUMMYFUNCTION("""COMPUTED_VALUE"""),"Loại biên")</f>
        <v>Loại biên</v>
      </c>
      <c r="D621" s="5" t="str">
        <f>IFERROR(__xludf.DUMMYFUNCTION("""COMPUTED_VALUE"""),"KOZUN")</f>
        <v>KOZUN</v>
      </c>
      <c r="E621" s="5" t="str">
        <f>IFERROR(__xludf.DUMMYFUNCTION("""COMPUTED_VALUE"""),"CAMPUCHIA")</f>
        <v>CAMPUCHIA</v>
      </c>
      <c r="F621" s="5"/>
      <c r="G621" s="5"/>
      <c r="H621" s="5" t="str">
        <f>IFERROR(__xludf.DUMMYFUNCTION("""COMPUTED_VALUE"""),"60HP")</f>
        <v>60HP</v>
      </c>
      <c r="I621" s="5" t="str">
        <f>IFERROR(__xludf.DUMMYFUNCTION("""COMPUTED_VALUE"""),"Mất số khung")</f>
        <v>Mất số khung</v>
      </c>
      <c r="J621" s="5" t="str">
        <f>IFERROR(__xludf.DUMMYFUNCTION("""COMPUTED_VALUE"""),"77109")</f>
        <v>77109</v>
      </c>
      <c r="K621" s="5">
        <f>IFERROR(__xludf.DUMMYFUNCTION("""COMPUTED_VALUE"""),2.0)</f>
        <v>2</v>
      </c>
      <c r="L621" s="5"/>
    </row>
    <row r="622">
      <c r="A622" s="168" t="str">
        <f>IFERROR(__xludf.DUMMYFUNCTION("""COMPUTED_VALUE"""),"XL3-XTA-001")</f>
        <v>XL3-XTA-001</v>
      </c>
      <c r="B622" s="3" t="str">
        <f>IFERROR(__xludf.DUMMYFUNCTION("""COMPUTED_VALUE"""),"Xe tải KOZUN")</f>
        <v>Xe tải KOZUN</v>
      </c>
      <c r="C622" s="5" t="str">
        <f>IFERROR(__xludf.DUMMYFUNCTION("""COMPUTED_VALUE"""),"Loại biên")</f>
        <v>Loại biên</v>
      </c>
      <c r="D622" s="5" t="str">
        <f>IFERROR(__xludf.DUMMYFUNCTION("""COMPUTED_VALUE"""),"KOZUN")</f>
        <v>KOZUN</v>
      </c>
      <c r="E622" s="5" t="str">
        <f>IFERROR(__xludf.DUMMYFUNCTION("""COMPUTED_VALUE"""),"CAMPUCHIA")</f>
        <v>CAMPUCHIA</v>
      </c>
      <c r="F622" s="5"/>
      <c r="G622" s="5"/>
      <c r="H622" s="5" t="str">
        <f>IFERROR(__xludf.DUMMYFUNCTION("""COMPUTED_VALUE"""),"60HP")</f>
        <v>60HP</v>
      </c>
      <c r="I622" s="5" t="str">
        <f>IFERROR(__xludf.DUMMYFUNCTION("""COMPUTED_VALUE"""),"Mất số khung")</f>
        <v>Mất số khung</v>
      </c>
      <c r="J622" s="5" t="str">
        <f>IFERROR(__xludf.DUMMYFUNCTION("""COMPUTED_VALUE"""),"77052")</f>
        <v>77052</v>
      </c>
      <c r="K622" s="5">
        <f>IFERROR(__xludf.DUMMYFUNCTION("""COMPUTED_VALUE"""),2.0)</f>
        <v>2</v>
      </c>
      <c r="L622" s="5"/>
    </row>
    <row r="623">
      <c r="A623" s="168" t="str">
        <f>IFERROR(__xludf.DUMMYFUNCTION("""COMPUTED_VALUE"""),"XL3-MĐA-003")</f>
        <v>XL3-MĐA-003</v>
      </c>
      <c r="B623" s="3" t="str">
        <f>IFERROR(__xludf.DUMMYFUNCTION("""COMPUTED_VALUE"""),"Máy đào U35 bánh xích gàu 0.3m3")</f>
        <v>Máy đào U35 bánh xích gàu 0.3m3</v>
      </c>
      <c r="C623" s="5" t="str">
        <f>IFERROR(__xludf.DUMMYFUNCTION("""COMPUTED_VALUE"""),"Loại biên")</f>
        <v>Loại biên</v>
      </c>
      <c r="D623" s="5" t="str">
        <f>IFERROR(__xludf.DUMMYFUNCTION("""COMPUTED_VALUE"""),"KUBOTA")</f>
        <v>KUBOTA</v>
      </c>
      <c r="E623" s="5" t="str">
        <f>IFERROR(__xludf.DUMMYFUNCTION("""COMPUTED_VALUE"""),"NHẬT BẢN")</f>
        <v>NHẬT BẢN</v>
      </c>
      <c r="F623" s="5">
        <f>IFERROR(__xludf.DUMMYFUNCTION("""COMPUTED_VALUE"""),2015.0)</f>
        <v>2015</v>
      </c>
      <c r="G623" s="5" t="str">
        <f>IFERROR(__xludf.DUMMYFUNCTION("""COMPUTED_VALUE"""),"U35-6")</f>
        <v>U35-6</v>
      </c>
      <c r="H623" s="5" t="str">
        <f>IFERROR(__xludf.DUMMYFUNCTION("""COMPUTED_VALUE"""),"32HP")</f>
        <v>32HP</v>
      </c>
      <c r="I623" s="5" t="str">
        <f>IFERROR(__xludf.DUMMYFUNCTION("""COMPUTED_VALUE"""),"60284")</f>
        <v>60284</v>
      </c>
      <c r="J623" s="5" t="str">
        <f>IFERROR(__xludf.DUMMYFUNCTION("""COMPUTED_VALUE"""),"CCN")</f>
        <v>CCN</v>
      </c>
      <c r="K623" s="5">
        <f>IFERROR(__xludf.DUMMYFUNCTION("""COMPUTED_VALUE"""),4.0)</f>
        <v>4</v>
      </c>
      <c r="L623" s="5"/>
    </row>
    <row r="624">
      <c r="A624" s="168" t="str">
        <f>IFERROR(__xludf.DUMMYFUNCTION("""COMPUTED_VALUE"""),"XL3-MĐA-004")</f>
        <v>XL3-MĐA-004</v>
      </c>
      <c r="B624" s="3" t="str">
        <f>IFERROR(__xludf.DUMMYFUNCTION("""COMPUTED_VALUE"""),"Máy đào U35 bánh xích gàu 0.3m3")</f>
        <v>Máy đào U35 bánh xích gàu 0.3m3</v>
      </c>
      <c r="C624" s="5" t="str">
        <f>IFERROR(__xludf.DUMMYFUNCTION("""COMPUTED_VALUE"""),"Loại biên")</f>
        <v>Loại biên</v>
      </c>
      <c r="D624" s="5" t="str">
        <f>IFERROR(__xludf.DUMMYFUNCTION("""COMPUTED_VALUE"""),"KUBOTA")</f>
        <v>KUBOTA</v>
      </c>
      <c r="E624" s="5" t="str">
        <f>IFERROR(__xludf.DUMMYFUNCTION("""COMPUTED_VALUE"""),"NHẬT BẢN")</f>
        <v>NHẬT BẢN</v>
      </c>
      <c r="F624" s="5">
        <f>IFERROR(__xludf.DUMMYFUNCTION("""COMPUTED_VALUE"""),2015.0)</f>
        <v>2015</v>
      </c>
      <c r="G624" s="5" t="str">
        <f>IFERROR(__xludf.DUMMYFUNCTION("""COMPUTED_VALUE"""),"U35-6")</f>
        <v>U35-6</v>
      </c>
      <c r="H624" s="5" t="str">
        <f>IFERROR(__xludf.DUMMYFUNCTION("""COMPUTED_VALUE"""),"32HP")</f>
        <v>32HP</v>
      </c>
      <c r="I624" s="5" t="str">
        <f>IFERROR(__xludf.DUMMYFUNCTION("""COMPUTED_VALUE"""),"60273")</f>
        <v>60273</v>
      </c>
      <c r="J624" s="5" t="str">
        <f>IFERROR(__xludf.DUMMYFUNCTION("""COMPUTED_VALUE"""),"CCN")</f>
        <v>CCN</v>
      </c>
      <c r="K624" s="5">
        <f>IFERROR(__xludf.DUMMYFUNCTION("""COMPUTED_VALUE"""),4.0)</f>
        <v>4</v>
      </c>
      <c r="L624" s="5"/>
    </row>
    <row r="625">
      <c r="A625" s="168" t="str">
        <f>IFERROR(__xludf.DUMMYFUNCTION("""COMPUTED_VALUE"""),"XL3-MKE-007")</f>
        <v>XL3-MKE-007</v>
      </c>
      <c r="B625" s="3" t="str">
        <f>IFERROR(__xludf.DUMMYFUNCTION("""COMPUTED_VALUE"""),"Máy cày KAM50")</f>
        <v>Máy cày KAM50</v>
      </c>
      <c r="C625" s="5" t="str">
        <f>IFERROR(__xludf.DUMMYFUNCTION("""COMPUTED_VALUE"""),"Loại biên")</f>
        <v>Loại biên</v>
      </c>
      <c r="D625" s="5" t="str">
        <f>IFERROR(__xludf.DUMMYFUNCTION("""COMPUTED_VALUE"""),"THACO")</f>
        <v>THACO</v>
      </c>
      <c r="E625" s="5" t="str">
        <f>IFERROR(__xludf.DUMMYFUNCTION("""COMPUTED_VALUE"""),"VIỆT NAM")</f>
        <v>VIỆT NAM</v>
      </c>
      <c r="F625" s="5">
        <f>IFERROR(__xludf.DUMMYFUNCTION("""COMPUTED_VALUE"""),2018.0)</f>
        <v>2018</v>
      </c>
      <c r="G625" s="5" t="str">
        <f>IFERROR(__xludf.DUMMYFUNCTION("""COMPUTED_VALUE"""),"KAM50")</f>
        <v>KAM50</v>
      </c>
      <c r="H625" s="5" t="str">
        <f>IFERROR(__xludf.DUMMYFUNCTION("""COMPUTED_VALUE"""),"50HP")</f>
        <v>50HP</v>
      </c>
      <c r="I625" s="5" t="str">
        <f>IFERROR(__xludf.DUMMYFUNCTION("""COMPUTED_VALUE"""),"C000001")</f>
        <v>C000001</v>
      </c>
      <c r="J625" s="5" t="str">
        <f>IFERROR(__xludf.DUMMYFUNCTION("""COMPUTED_VALUE"""),"CCN")</f>
        <v>CCN</v>
      </c>
      <c r="K625" s="5">
        <f>IFERROR(__xludf.DUMMYFUNCTION("""COMPUTED_VALUE"""),2.5)</f>
        <v>2.5</v>
      </c>
      <c r="L625" s="5"/>
    </row>
    <row r="626">
      <c r="A626" s="168" t="str">
        <f>IFERROR(__xludf.DUMMYFUNCTION("""COMPUTED_VALUE"""),"XL1-CLT-001")</f>
        <v>XL1-CLT-001</v>
      </c>
      <c r="B626" s="3" t="str">
        <f>IFERROR(__xludf.DUMMYFUNCTION("""COMPUTED_VALUE"""),"Xe clethon")</f>
        <v>Xe clethon</v>
      </c>
      <c r="C626" s="5" t="str">
        <f>IFERROR(__xludf.DUMMYFUNCTION("""COMPUTED_VALUE"""),"Loại biên")</f>
        <v>Loại biên</v>
      </c>
      <c r="D626" s="5" t="str">
        <f>IFERROR(__xludf.DUMMYFUNCTION("""COMPUTED_VALUE"""),"CLETHON")</f>
        <v>CLETHON</v>
      </c>
      <c r="E626" s="5" t="str">
        <f>IFERROR(__xludf.DUMMYFUNCTION("""COMPUTED_VALUE"""),"CAMPUCHIA")</f>
        <v>CAMPUCHIA</v>
      </c>
      <c r="F626" s="5"/>
      <c r="G626" s="5"/>
      <c r="H626" s="5" t="str">
        <f>IFERROR(__xludf.DUMMYFUNCTION("""COMPUTED_VALUE"""),"15HP")</f>
        <v>15HP</v>
      </c>
      <c r="I626" s="5" t="str">
        <f>IFERROR(__xludf.DUMMYFUNCTION("""COMPUTED_VALUE"""),"RT7140DI-17080981")</f>
        <v>RT7140DI-17080981</v>
      </c>
      <c r="J626" s="5" t="str">
        <f>IFERROR(__xludf.DUMMYFUNCTION("""COMPUTED_VALUE"""),"CCN")</f>
        <v>CCN</v>
      </c>
      <c r="K626" s="5">
        <f>IFERROR(__xludf.DUMMYFUNCTION("""COMPUTED_VALUE"""),0.5)</f>
        <v>0.5</v>
      </c>
      <c r="L626" s="5"/>
    </row>
    <row r="627">
      <c r="A627" s="168" t="str">
        <f>IFERROR(__xludf.DUMMYFUNCTION("""COMPUTED_VALUE"""),"XL1-CLT-002")</f>
        <v>XL1-CLT-002</v>
      </c>
      <c r="B627" s="3" t="str">
        <f>IFERROR(__xludf.DUMMYFUNCTION("""COMPUTED_VALUE"""),"Xe clethon")</f>
        <v>Xe clethon</v>
      </c>
      <c r="C627" s="5" t="str">
        <f>IFERROR(__xludf.DUMMYFUNCTION("""COMPUTED_VALUE"""),"Loại biên")</f>
        <v>Loại biên</v>
      </c>
      <c r="D627" s="5" t="str">
        <f>IFERROR(__xludf.DUMMYFUNCTION("""COMPUTED_VALUE"""),"CLETHON")</f>
        <v>CLETHON</v>
      </c>
      <c r="E627" s="5" t="str">
        <f>IFERROR(__xludf.DUMMYFUNCTION("""COMPUTED_VALUE"""),"CAMPUCHIA")</f>
        <v>CAMPUCHIA</v>
      </c>
      <c r="F627" s="5"/>
      <c r="G627" s="5"/>
      <c r="H627" s="5" t="str">
        <f>IFERROR(__xludf.DUMMYFUNCTION("""COMPUTED_VALUE"""),"15HP")</f>
        <v>15HP</v>
      </c>
      <c r="I627" s="5" t="str">
        <f>IFERROR(__xludf.DUMMYFUNCTION("""COMPUTED_VALUE"""),"RT140-KH/1960184")</f>
        <v>RT140-KH/1960184</v>
      </c>
      <c r="J627" s="5" t="str">
        <f>IFERROR(__xludf.DUMMYFUNCTION("""COMPUTED_VALUE"""),"CCN")</f>
        <v>CCN</v>
      </c>
      <c r="K627" s="5">
        <f>IFERROR(__xludf.DUMMYFUNCTION("""COMPUTED_VALUE"""),0.5)</f>
        <v>0.5</v>
      </c>
      <c r="L627" s="5"/>
    </row>
    <row r="628">
      <c r="A628" s="168" t="str">
        <f>IFERROR(__xludf.DUMMYFUNCTION("""COMPUTED_VALUE"""),"XL1-CLT-003")</f>
        <v>XL1-CLT-003</v>
      </c>
      <c r="B628" s="3" t="str">
        <f>IFERROR(__xludf.DUMMYFUNCTION("""COMPUTED_VALUE"""),"Xe clethon")</f>
        <v>Xe clethon</v>
      </c>
      <c r="C628" s="5" t="str">
        <f>IFERROR(__xludf.DUMMYFUNCTION("""COMPUTED_VALUE"""),"Loại biên")</f>
        <v>Loại biên</v>
      </c>
      <c r="D628" s="5" t="str">
        <f>IFERROR(__xludf.DUMMYFUNCTION("""COMPUTED_VALUE"""),"CLETHON")</f>
        <v>CLETHON</v>
      </c>
      <c r="E628" s="5" t="str">
        <f>IFERROR(__xludf.DUMMYFUNCTION("""COMPUTED_VALUE"""),"CAMPUCHIA")</f>
        <v>CAMPUCHIA</v>
      </c>
      <c r="F628" s="5"/>
      <c r="G628" s="5"/>
      <c r="H628" s="5" t="str">
        <f>IFERROR(__xludf.DUMMYFUNCTION("""COMPUTED_VALUE"""),"15HP")</f>
        <v>15HP</v>
      </c>
      <c r="I628" s="5" t="str">
        <f>IFERROR(__xludf.DUMMYFUNCTION("""COMPUTED_VALUE"""),"RT140-KH19080172")</f>
        <v>RT140-KH19080172</v>
      </c>
      <c r="J628" s="5" t="str">
        <f>IFERROR(__xludf.DUMMYFUNCTION("""COMPUTED_VALUE"""),"CCN")</f>
        <v>CCN</v>
      </c>
      <c r="K628" s="5">
        <f>IFERROR(__xludf.DUMMYFUNCTION("""COMPUTED_VALUE"""),0.5)</f>
        <v>0.5</v>
      </c>
      <c r="L628" s="5"/>
    </row>
    <row r="629">
      <c r="A629" s="168" t="str">
        <f>IFERROR(__xludf.DUMMYFUNCTION("""COMPUTED_VALUE"""),"XL1-CLT-004")</f>
        <v>XL1-CLT-004</v>
      </c>
      <c r="B629" s="3" t="str">
        <f>IFERROR(__xludf.DUMMYFUNCTION("""COMPUTED_VALUE"""),"Xe clethon")</f>
        <v>Xe clethon</v>
      </c>
      <c r="C629" s="5" t="str">
        <f>IFERROR(__xludf.DUMMYFUNCTION("""COMPUTED_VALUE"""),"Loại biên")</f>
        <v>Loại biên</v>
      </c>
      <c r="D629" s="5" t="str">
        <f>IFERROR(__xludf.DUMMYFUNCTION("""COMPUTED_VALUE"""),"CLETHON")</f>
        <v>CLETHON</v>
      </c>
      <c r="E629" s="5" t="str">
        <f>IFERROR(__xludf.DUMMYFUNCTION("""COMPUTED_VALUE"""),"CAMPUCHIA")</f>
        <v>CAMPUCHIA</v>
      </c>
      <c r="F629" s="5"/>
      <c r="G629" s="5"/>
      <c r="H629" s="5" t="str">
        <f>IFERROR(__xludf.DUMMYFUNCTION("""COMPUTED_VALUE"""),"15HP")</f>
        <v>15HP</v>
      </c>
      <c r="I629" s="5" t="str">
        <f>IFERROR(__xludf.DUMMYFUNCTION("""COMPUTED_VALUE"""),"RT140-KH19080003")</f>
        <v>RT140-KH19080003</v>
      </c>
      <c r="J629" s="5" t="str">
        <f>IFERROR(__xludf.DUMMYFUNCTION("""COMPUTED_VALUE"""),"CCN")</f>
        <v>CCN</v>
      </c>
      <c r="K629" s="5">
        <f>IFERROR(__xludf.DUMMYFUNCTION("""COMPUTED_VALUE"""),0.5)</f>
        <v>0.5</v>
      </c>
      <c r="L629" s="5"/>
    </row>
    <row r="630">
      <c r="A630" s="168" t="str">
        <f>IFERROR(__xludf.DUMMYFUNCTION("""COMPUTED_VALUE"""),"XL1-CLT-005")</f>
        <v>XL1-CLT-005</v>
      </c>
      <c r="B630" s="3" t="str">
        <f>IFERROR(__xludf.DUMMYFUNCTION("""COMPUTED_VALUE"""),"Xe clethon")</f>
        <v>Xe clethon</v>
      </c>
      <c r="C630" s="5" t="str">
        <f>IFERROR(__xludf.DUMMYFUNCTION("""COMPUTED_VALUE"""),"Loại biên")</f>
        <v>Loại biên</v>
      </c>
      <c r="D630" s="5" t="str">
        <f>IFERROR(__xludf.DUMMYFUNCTION("""COMPUTED_VALUE"""),"CLETHON")</f>
        <v>CLETHON</v>
      </c>
      <c r="E630" s="5" t="str">
        <f>IFERROR(__xludf.DUMMYFUNCTION("""COMPUTED_VALUE"""),"CAMPUCHIA")</f>
        <v>CAMPUCHIA</v>
      </c>
      <c r="F630" s="5"/>
      <c r="G630" s="5"/>
      <c r="H630" s="5" t="str">
        <f>IFERROR(__xludf.DUMMYFUNCTION("""COMPUTED_VALUE"""),"15HP")</f>
        <v>15HP</v>
      </c>
      <c r="I630" s="5" t="str">
        <f>IFERROR(__xludf.DUMMYFUNCTION("""COMPUTED_VALUE"""),"RT140DI-18122050")</f>
        <v>RT140DI-18122050</v>
      </c>
      <c r="J630" s="5" t="str">
        <f>IFERROR(__xludf.DUMMYFUNCTION("""COMPUTED_VALUE"""),"CCN")</f>
        <v>CCN</v>
      </c>
      <c r="K630" s="5">
        <f>IFERROR(__xludf.DUMMYFUNCTION("""COMPUTED_VALUE"""),0.68)</f>
        <v>0.68</v>
      </c>
      <c r="L630" s="5"/>
    </row>
    <row r="631">
      <c r="A631" s="168" t="str">
        <f>IFERROR(__xludf.DUMMYFUNCTION("""COMPUTED_VALUE"""),"XL1-CLT-007")</f>
        <v>XL1-CLT-007</v>
      </c>
      <c r="B631" s="3" t="str">
        <f>IFERROR(__xludf.DUMMYFUNCTION("""COMPUTED_VALUE"""),"Xe clethon")</f>
        <v>Xe clethon</v>
      </c>
      <c r="C631" s="5" t="str">
        <f>IFERROR(__xludf.DUMMYFUNCTION("""COMPUTED_VALUE"""),"Loại biên")</f>
        <v>Loại biên</v>
      </c>
      <c r="D631" s="5" t="str">
        <f>IFERROR(__xludf.DUMMYFUNCTION("""COMPUTED_VALUE"""),"CLETHON")</f>
        <v>CLETHON</v>
      </c>
      <c r="E631" s="5" t="str">
        <f>IFERROR(__xludf.DUMMYFUNCTION("""COMPUTED_VALUE"""),"CAMPUCHIA")</f>
        <v>CAMPUCHIA</v>
      </c>
      <c r="F631" s="5"/>
      <c r="G631" s="5"/>
      <c r="H631" s="5" t="str">
        <f>IFERROR(__xludf.DUMMYFUNCTION("""COMPUTED_VALUE"""),"15HP")</f>
        <v>15HP</v>
      </c>
      <c r="I631" s="5" t="str">
        <f>IFERROR(__xludf.DUMMYFUNCTION("""COMPUTED_VALUE"""),"CNN")</f>
        <v>CNN</v>
      </c>
      <c r="J631" s="5" t="str">
        <f>IFERROR(__xludf.DUMMYFUNCTION("""COMPUTED_VALUE"""),"RT140DI-18122605")</f>
        <v>RT140DI-18122605</v>
      </c>
      <c r="K631" s="5">
        <f>IFERROR(__xludf.DUMMYFUNCTION("""COMPUTED_VALUE"""),0.5)</f>
        <v>0.5</v>
      </c>
      <c r="L631" s="5"/>
    </row>
    <row r="632">
      <c r="A632" s="168" t="str">
        <f>IFERROR(__xludf.DUMMYFUNCTION("""COMPUTED_VALUE"""),"XL1-XTA-005")</f>
        <v>XL1-XTA-005</v>
      </c>
      <c r="B632" s="3" t="str">
        <f>IFERROR(__xludf.DUMMYFUNCTION("""COMPUTED_VALUE"""),"Xe tải KOZUN")</f>
        <v>Xe tải KOZUN</v>
      </c>
      <c r="C632" s="5" t="str">
        <f>IFERROR(__xludf.DUMMYFUNCTION("""COMPUTED_VALUE"""),"Loại biên")</f>
        <v>Loại biên</v>
      </c>
      <c r="D632" s="5" t="str">
        <f>IFERROR(__xludf.DUMMYFUNCTION("""COMPUTED_VALUE"""),"KOZUN")</f>
        <v>KOZUN</v>
      </c>
      <c r="E632" s="5" t="str">
        <f>IFERROR(__xludf.DUMMYFUNCTION("""COMPUTED_VALUE"""),"CAMPUCHIA")</f>
        <v>CAMPUCHIA</v>
      </c>
      <c r="F632" s="5"/>
      <c r="G632" s="5"/>
      <c r="H632" s="5" t="str">
        <f>IFERROR(__xludf.DUMMYFUNCTION("""COMPUTED_VALUE"""),"60HP")</f>
        <v>60HP</v>
      </c>
      <c r="I632" s="5" t="str">
        <f>IFERROR(__xludf.DUMMYFUNCTION("""COMPUTED_VALUE"""),"A59876")</f>
        <v>A59876</v>
      </c>
      <c r="J632" s="5" t="str">
        <f>IFERROR(__xludf.DUMMYFUNCTION("""COMPUTED_VALUE"""),"CCN")</f>
        <v>CCN</v>
      </c>
      <c r="K632" s="5">
        <f>IFERROR(__xludf.DUMMYFUNCTION("""COMPUTED_VALUE"""),2.0)</f>
        <v>2</v>
      </c>
      <c r="L632" s="5"/>
    </row>
    <row r="633">
      <c r="A633" s="168" t="str">
        <f>IFERROR(__xludf.DUMMYFUNCTION("""COMPUTED_VALUE"""),"XL1-CĐN-001")</f>
        <v>XL1-CĐN-001</v>
      </c>
      <c r="B633" s="3" t="str">
        <f>IFERROR(__xludf.DUMMYFUNCTION("""COMPUTED_VALUE"""),"Máy cắt cỏ đẩy tay đa năng")</f>
        <v>Máy cắt cỏ đẩy tay đa năng</v>
      </c>
      <c r="C633" s="5" t="str">
        <f>IFERROR(__xludf.DUMMYFUNCTION("""COMPUTED_VALUE"""),"Loại biên")</f>
        <v>Loại biên</v>
      </c>
      <c r="D633" s="5" t="str">
        <f>IFERROR(__xludf.DUMMYFUNCTION("""COMPUTED_VALUE"""),"YAMASUKI")</f>
        <v>YAMASUKI</v>
      </c>
      <c r="E633" s="5" t="str">
        <f>IFERROR(__xludf.DUMMYFUNCTION("""COMPUTED_VALUE"""),"CAMBODIA")</f>
        <v>CAMBODIA</v>
      </c>
      <c r="F633" s="5">
        <f>IFERROR(__xludf.DUMMYFUNCTION("""COMPUTED_VALUE"""),2024.0)</f>
        <v>2024</v>
      </c>
      <c r="G633" s="5" t="str">
        <f>IFERROR(__xludf.DUMMYFUNCTION("""COMPUTED_VALUE"""),"GX35Y")</f>
        <v>GX35Y</v>
      </c>
      <c r="H633" s="5" t="str">
        <f>IFERROR(__xludf.DUMMYFUNCTION("""COMPUTED_VALUE"""),"1.3HP")</f>
        <v>1.3HP</v>
      </c>
      <c r="I633" s="5"/>
      <c r="J633" s="5" t="str">
        <f>IFERROR(__xludf.DUMMYFUNCTION("""COMPUTED_VALUE"""),"GX35Y21093929")</f>
        <v>GX35Y21093929</v>
      </c>
      <c r="K633" s="5">
        <f>IFERROR(__xludf.DUMMYFUNCTION("""COMPUTED_VALUE"""),0.6)</f>
        <v>0.6</v>
      </c>
      <c r="L633" s="5"/>
    </row>
    <row r="634">
      <c r="A634" s="168" t="str">
        <f>IFERROR(__xludf.DUMMYFUNCTION("""COMPUTED_VALUE"""),"XL1-CĐN-002")</f>
        <v>XL1-CĐN-002</v>
      </c>
      <c r="B634" s="3" t="str">
        <f>IFERROR(__xludf.DUMMYFUNCTION("""COMPUTED_VALUE"""),"Máy cắt cỏ đẩy tay đa năng")</f>
        <v>Máy cắt cỏ đẩy tay đa năng</v>
      </c>
      <c r="C634" s="5" t="str">
        <f>IFERROR(__xludf.DUMMYFUNCTION("""COMPUTED_VALUE"""),"Loại biên")</f>
        <v>Loại biên</v>
      </c>
      <c r="D634" s="5" t="str">
        <f>IFERROR(__xludf.DUMMYFUNCTION("""COMPUTED_VALUE"""),"YAMASUKI")</f>
        <v>YAMASUKI</v>
      </c>
      <c r="E634" s="5" t="str">
        <f>IFERROR(__xludf.DUMMYFUNCTION("""COMPUTED_VALUE"""),"CAMBODIA")</f>
        <v>CAMBODIA</v>
      </c>
      <c r="F634" s="5">
        <f>IFERROR(__xludf.DUMMYFUNCTION("""COMPUTED_VALUE"""),2024.0)</f>
        <v>2024</v>
      </c>
      <c r="G634" s="5" t="str">
        <f>IFERROR(__xludf.DUMMYFUNCTION("""COMPUTED_VALUE"""),"GX-35")</f>
        <v>GX-35</v>
      </c>
      <c r="H634" s="5" t="str">
        <f>IFERROR(__xludf.DUMMYFUNCTION("""COMPUTED_VALUE"""),"1.3HP")</f>
        <v>1.3HP</v>
      </c>
      <c r="I634" s="5" t="str">
        <f>IFERROR(__xludf.DUMMYFUNCTION("""COMPUTED_VALUE"""),"CCN")</f>
        <v>CCN</v>
      </c>
      <c r="J634" s="5" t="str">
        <f>IFERROR(__xludf.DUMMYFUNCTION("""COMPUTED_VALUE"""),"CCN")</f>
        <v>CCN</v>
      </c>
      <c r="K634" s="5">
        <f>IFERROR(__xludf.DUMMYFUNCTION("""COMPUTED_VALUE"""),0.6)</f>
        <v>0.6</v>
      </c>
      <c r="L634" s="5"/>
    </row>
    <row r="635">
      <c r="A635" s="168" t="str">
        <f>IFERROR(__xludf.DUMMYFUNCTION("""COMPUTED_VALUE"""),"XD3-MKE-001")</f>
        <v>XD3-MKE-001</v>
      </c>
      <c r="B635" s="3" t="str">
        <f>IFERROR(__xludf.DUMMYFUNCTION("""COMPUTED_VALUE"""),"Máy cày M6040")</f>
        <v>Máy cày M6040</v>
      </c>
      <c r="C635" s="5" t="str">
        <f>IFERROR(__xludf.DUMMYFUNCTION("""COMPUTED_VALUE"""),"Loại biên")</f>
        <v>Loại biên</v>
      </c>
      <c r="D635" s="5" t="str">
        <f>IFERROR(__xludf.DUMMYFUNCTION("""COMPUTED_VALUE"""),"KUBOTA")</f>
        <v>KUBOTA</v>
      </c>
      <c r="E635" s="5" t="str">
        <f>IFERROR(__xludf.DUMMYFUNCTION("""COMPUTED_VALUE"""),"NHẬT BẢN")</f>
        <v>NHẬT BẢN</v>
      </c>
      <c r="F635" s="5">
        <f>IFERROR(__xludf.DUMMYFUNCTION("""COMPUTED_VALUE"""),2013.0)</f>
        <v>2013</v>
      </c>
      <c r="G635" s="5" t="str">
        <f>IFERROR(__xludf.DUMMYFUNCTION("""COMPUTED_VALUE"""),"M6040")</f>
        <v>M6040</v>
      </c>
      <c r="H635" s="5" t="str">
        <f>IFERROR(__xludf.DUMMYFUNCTION("""COMPUTED_VALUE"""),"60HP")</f>
        <v>60HP</v>
      </c>
      <c r="I635" s="5" t="str">
        <f>IFERROR(__xludf.DUMMYFUNCTION("""COMPUTED_VALUE"""),"57125")</f>
        <v>57125</v>
      </c>
      <c r="J635" s="5" t="str">
        <f>IFERROR(__xludf.DUMMYFUNCTION("""COMPUTED_VALUE"""),"CCN")</f>
        <v>CCN</v>
      </c>
      <c r="K635" s="5">
        <f>IFERROR(__xludf.DUMMYFUNCTION("""COMPUTED_VALUE"""),3.5)</f>
        <v>3.5</v>
      </c>
      <c r="L635" s="5"/>
    </row>
    <row r="636">
      <c r="A636" s="168" t="str">
        <f>IFERROR(__xludf.DUMMYFUNCTION("""COMPUTED_VALUE"""),"XD3-MĐA-001")</f>
        <v>XD3-MĐA-001</v>
      </c>
      <c r="B636" s="3" t="str">
        <f>IFERROR(__xludf.DUMMYFUNCTION("""COMPUTED_VALUE"""),"Máy đào KOMATSU bánh xích gàu 0.3m3")</f>
        <v>Máy đào KOMATSU bánh xích gàu 0.3m3</v>
      </c>
      <c r="C636" s="5" t="str">
        <f>IFERROR(__xludf.DUMMYFUNCTION("""COMPUTED_VALUE"""),"Loại biên")</f>
        <v>Loại biên</v>
      </c>
      <c r="D636" s="5" t="str">
        <f>IFERROR(__xludf.DUMMYFUNCTION("""COMPUTED_VALUE"""),"KOMATSU")</f>
        <v>KOMATSU</v>
      </c>
      <c r="E636" s="5" t="str">
        <f>IFERROR(__xludf.DUMMYFUNCTION("""COMPUTED_VALUE"""),"NHẬT BẢN")</f>
        <v>NHẬT BẢN</v>
      </c>
      <c r="F636" s="5">
        <f>IFERROR(__xludf.DUMMYFUNCTION("""COMPUTED_VALUE"""),2006.0)</f>
        <v>2006</v>
      </c>
      <c r="G636" s="5" t="str">
        <f>IFERROR(__xludf.DUMMYFUNCTION("""COMPUTED_VALUE"""),"PC50MR-2")</f>
        <v>PC50MR-2</v>
      </c>
      <c r="H636" s="5" t="str">
        <f>IFERROR(__xludf.DUMMYFUNCTION("""COMPUTED_VALUE"""),"39HP")</f>
        <v>39HP</v>
      </c>
      <c r="I636" s="5" t="str">
        <f>IFERROR(__xludf.DUMMYFUNCTION("""COMPUTED_VALUE"""),"9873")</f>
        <v>9873</v>
      </c>
      <c r="J636" s="5" t="str">
        <f>IFERROR(__xludf.DUMMYFUNCTION("""COMPUTED_VALUE"""),"CCN")</f>
        <v>CCN</v>
      </c>
      <c r="K636" s="5">
        <f>IFERROR(__xludf.DUMMYFUNCTION("""COMPUTED_VALUE"""),4.0)</f>
        <v>4</v>
      </c>
      <c r="L636" s="5"/>
    </row>
    <row r="637">
      <c r="A637" s="168" t="str">
        <f>IFERROR(__xludf.DUMMYFUNCTION("""COMPUTED_VALUE"""),"XD3-XTA-001")</f>
        <v>XD3-XTA-001</v>
      </c>
      <c r="B637" s="3" t="str">
        <f>IFERROR(__xludf.DUMMYFUNCTION("""COMPUTED_VALUE"""),"Xe tải KOZUN")</f>
        <v>Xe tải KOZUN</v>
      </c>
      <c r="C637" s="5" t="str">
        <f>IFERROR(__xludf.DUMMYFUNCTION("""COMPUTED_VALUE"""),"Loại biên")</f>
        <v>Loại biên</v>
      </c>
      <c r="D637" s="5" t="str">
        <f>IFERROR(__xludf.DUMMYFUNCTION("""COMPUTED_VALUE"""),"KOZUN")</f>
        <v>KOZUN</v>
      </c>
      <c r="E637" s="5" t="str">
        <f>IFERROR(__xludf.DUMMYFUNCTION("""COMPUTED_VALUE"""),"CAMPUCHIA")</f>
        <v>CAMPUCHIA</v>
      </c>
      <c r="F637" s="5"/>
      <c r="G637" s="5"/>
      <c r="H637" s="5" t="str">
        <f>IFERROR(__xludf.DUMMYFUNCTION("""COMPUTED_VALUE"""),"60HP")</f>
        <v>60HP</v>
      </c>
      <c r="I637" s="5" t="str">
        <f>IFERROR(__xludf.DUMMYFUNCTION("""COMPUTED_VALUE"""),"CCN")</f>
        <v>CCN</v>
      </c>
      <c r="J637" s="5" t="str">
        <f>IFERROR(__xludf.DUMMYFUNCTION("""COMPUTED_VALUE"""),"55581")</f>
        <v>55581</v>
      </c>
      <c r="K637" s="5">
        <f>IFERROR(__xludf.DUMMYFUNCTION("""COMPUTED_VALUE"""),2.0)</f>
        <v>2</v>
      </c>
      <c r="L637" s="5"/>
    </row>
    <row r="638">
      <c r="A638" s="168" t="str">
        <f>IFERROR(__xludf.DUMMYFUNCTION("""COMPUTED_VALUE"""),"XD3-XTA-002")</f>
        <v>XD3-XTA-002</v>
      </c>
      <c r="B638" s="3" t="str">
        <f>IFERROR(__xludf.DUMMYFUNCTION("""COMPUTED_VALUE"""),"Xe tải KOZUN")</f>
        <v>Xe tải KOZUN</v>
      </c>
      <c r="C638" s="5" t="str">
        <f>IFERROR(__xludf.DUMMYFUNCTION("""COMPUTED_VALUE"""),"Loại biên")</f>
        <v>Loại biên</v>
      </c>
      <c r="D638" s="5" t="str">
        <f>IFERROR(__xludf.DUMMYFUNCTION("""COMPUTED_VALUE"""),"KOZUN")</f>
        <v>KOZUN</v>
      </c>
      <c r="E638" s="5" t="str">
        <f>IFERROR(__xludf.DUMMYFUNCTION("""COMPUTED_VALUE"""),"CAMPUCHIA")</f>
        <v>CAMPUCHIA</v>
      </c>
      <c r="F638" s="5"/>
      <c r="G638" s="5"/>
      <c r="H638" s="5" t="str">
        <f>IFERROR(__xludf.DUMMYFUNCTION("""COMPUTED_VALUE"""),"60HP")</f>
        <v>60HP</v>
      </c>
      <c r="I638" s="5"/>
      <c r="J638" s="5" t="str">
        <f>IFERROR(__xludf.DUMMYFUNCTION("""COMPUTED_VALUE"""),"CCN")</f>
        <v>CCN</v>
      </c>
      <c r="K638" s="5">
        <f>IFERROR(__xludf.DUMMYFUNCTION("""COMPUTED_VALUE"""),2.0)</f>
        <v>2</v>
      </c>
      <c r="L638" s="5"/>
    </row>
    <row r="639">
      <c r="A639" s="168" t="str">
        <f>IFERROR(__xludf.DUMMYFUNCTION("""COMPUTED_VALUE"""),"XD2-XTA-001")</f>
        <v>XD2-XTA-001</v>
      </c>
      <c r="B639" s="3" t="str">
        <f>IFERROR(__xludf.DUMMYFUNCTION("""COMPUTED_VALUE"""),"Xe tải KOZUN")</f>
        <v>Xe tải KOZUN</v>
      </c>
      <c r="C639" s="5" t="str">
        <f>IFERROR(__xludf.DUMMYFUNCTION("""COMPUTED_VALUE"""),"Loại biên")</f>
        <v>Loại biên</v>
      </c>
      <c r="D639" s="5" t="str">
        <f>IFERROR(__xludf.DUMMYFUNCTION("""COMPUTED_VALUE"""),"KOZUN")</f>
        <v>KOZUN</v>
      </c>
      <c r="E639" s="5" t="str">
        <f>IFERROR(__xludf.DUMMYFUNCTION("""COMPUTED_VALUE"""),"CAMPUCHIA")</f>
        <v>CAMPUCHIA</v>
      </c>
      <c r="F639" s="5"/>
      <c r="G639" s="5"/>
      <c r="H639" s="5" t="str">
        <f>IFERROR(__xludf.DUMMYFUNCTION("""COMPUTED_VALUE"""),"60HP")</f>
        <v>60HP</v>
      </c>
      <c r="I639" s="5"/>
      <c r="J639" s="5" t="str">
        <f>IFERROR(__xludf.DUMMYFUNCTION("""COMPUTED_VALUE"""),"CCN")</f>
        <v>CCN</v>
      </c>
      <c r="K639" s="5">
        <f>IFERROR(__xludf.DUMMYFUNCTION("""COMPUTED_VALUE"""),2.0)</f>
        <v>2</v>
      </c>
      <c r="L639" s="5"/>
    </row>
    <row r="640">
      <c r="A640" s="168" t="str">
        <f>IFERROR(__xludf.DUMMYFUNCTION("""COMPUTED_VALUE"""),"XA2-MĐA-004")</f>
        <v>XA2-MĐA-004</v>
      </c>
      <c r="B640" s="3" t="str">
        <f>IFERROR(__xludf.DUMMYFUNCTION("""COMPUTED_VALUE"""),"Máy đào KOMATSU bánh xích gàu 0.3m3")</f>
        <v>Máy đào KOMATSU bánh xích gàu 0.3m3</v>
      </c>
      <c r="C640" s="5" t="str">
        <f>IFERROR(__xludf.DUMMYFUNCTION("""COMPUTED_VALUE"""),"Loại biên")</f>
        <v>Loại biên</v>
      </c>
      <c r="D640" s="5" t="str">
        <f>IFERROR(__xludf.DUMMYFUNCTION("""COMPUTED_VALUE"""),"KOMATSU")</f>
        <v>KOMATSU</v>
      </c>
      <c r="E640" s="5" t="str">
        <f>IFERROR(__xludf.DUMMYFUNCTION("""COMPUTED_VALUE"""),"NHẬT BẢN")</f>
        <v>NHẬT BẢN</v>
      </c>
      <c r="F640" s="5">
        <f>IFERROR(__xludf.DUMMYFUNCTION("""COMPUTED_VALUE"""),2006.0)</f>
        <v>2006</v>
      </c>
      <c r="G640" s="5" t="str">
        <f>IFERROR(__xludf.DUMMYFUNCTION("""COMPUTED_VALUE"""),"PC40MR-2")</f>
        <v>PC40MR-2</v>
      </c>
      <c r="H640" s="5"/>
      <c r="I640" s="5" t="str">
        <f>IFERROR(__xludf.DUMMYFUNCTION("""COMPUTED_VALUE"""),"KMTPC092J05011139")</f>
        <v>KMTPC092J05011139</v>
      </c>
      <c r="J640" s="5" t="str">
        <f>IFERROR(__xludf.DUMMYFUNCTION("""COMPUTED_VALUE"""),"10189")</f>
        <v>10189</v>
      </c>
      <c r="K640" s="5">
        <f>IFERROR(__xludf.DUMMYFUNCTION("""COMPUTED_VALUE"""),4.0)</f>
        <v>4</v>
      </c>
      <c r="L640" s="5"/>
    </row>
    <row r="641">
      <c r="A641" s="168" t="str">
        <f>IFERROR(__xludf.DUMMYFUNCTION("""COMPUTED_VALUE"""),"XA2-XTA-001")</f>
        <v>XA2-XTA-001</v>
      </c>
      <c r="B641" s="3" t="str">
        <f>IFERROR(__xludf.DUMMYFUNCTION("""COMPUTED_VALUE"""),"Xe tải KOZUN")</f>
        <v>Xe tải KOZUN</v>
      </c>
      <c r="C641" s="5" t="str">
        <f>IFERROR(__xludf.DUMMYFUNCTION("""COMPUTED_VALUE"""),"Loại biên")</f>
        <v>Loại biên</v>
      </c>
      <c r="D641" s="5" t="str">
        <f>IFERROR(__xludf.DUMMYFUNCTION("""COMPUTED_VALUE"""),"KOZUN")</f>
        <v>KOZUN</v>
      </c>
      <c r="E641" s="5" t="str">
        <f>IFERROR(__xludf.DUMMYFUNCTION("""COMPUTED_VALUE"""),"CAMPUCHIA")</f>
        <v>CAMPUCHIA</v>
      </c>
      <c r="F641" s="5"/>
      <c r="G641" s="5"/>
      <c r="H641" s="5" t="str">
        <f>IFERROR(__xludf.DUMMYFUNCTION("""COMPUTED_VALUE"""),"60HP")</f>
        <v>60HP</v>
      </c>
      <c r="I641" s="5" t="str">
        <f>IFERROR(__xludf.DUMMYFUNCTION("""COMPUTED_VALUE"""),"55065")</f>
        <v>55065</v>
      </c>
      <c r="J641" s="5" t="str">
        <f>IFERROR(__xludf.DUMMYFUNCTION("""COMPUTED_VALUE"""),"CCN")</f>
        <v>CCN</v>
      </c>
      <c r="K641" s="5">
        <f>IFERROR(__xludf.DUMMYFUNCTION("""COMPUTED_VALUE"""),2.0)</f>
        <v>2</v>
      </c>
      <c r="L641" s="5"/>
    </row>
    <row r="642">
      <c r="A642" s="168" t="str">
        <f>IFERROR(__xludf.DUMMYFUNCTION("""COMPUTED_VALUE"""),"XA2-CLT-001")</f>
        <v>XA2-CLT-001</v>
      </c>
      <c r="B642" s="3" t="str">
        <f>IFERROR(__xludf.DUMMYFUNCTION("""COMPUTED_VALUE"""),"Xe clethon")</f>
        <v>Xe clethon</v>
      </c>
      <c r="C642" s="5" t="str">
        <f>IFERROR(__xludf.DUMMYFUNCTION("""COMPUTED_VALUE"""),"Loại biên")</f>
        <v>Loại biên</v>
      </c>
      <c r="D642" s="5" t="str">
        <f>IFERROR(__xludf.DUMMYFUNCTION("""COMPUTED_VALUE"""),"CLETHON")</f>
        <v>CLETHON</v>
      </c>
      <c r="E642" s="5" t="str">
        <f>IFERROR(__xludf.DUMMYFUNCTION("""COMPUTED_VALUE"""),"CAMPUCHIA")</f>
        <v>CAMPUCHIA</v>
      </c>
      <c r="F642" s="5"/>
      <c r="G642" s="5"/>
      <c r="H642" s="5" t="str">
        <f>IFERROR(__xludf.DUMMYFUNCTION("""COMPUTED_VALUE"""),"15HP")</f>
        <v>15HP</v>
      </c>
      <c r="I642" s="5" t="str">
        <f>IFERROR(__xludf.DUMMYFUNCTION("""COMPUTED_VALUE"""),"CNN")</f>
        <v>CNN</v>
      </c>
      <c r="J642" s="5" t="str">
        <f>IFERROR(__xludf.DUMMYFUNCTION("""COMPUTED_VALUE"""),"RT140DI-1801771")</f>
        <v>RT140DI-1801771</v>
      </c>
      <c r="K642" s="5">
        <f>IFERROR(__xludf.DUMMYFUNCTION("""COMPUTED_VALUE"""),0.5)</f>
        <v>0.5</v>
      </c>
      <c r="L642" s="5"/>
    </row>
    <row r="643">
      <c r="A643" s="168" t="str">
        <f>IFERROR(__xludf.DUMMYFUNCTION("""COMPUTED_VALUE"""),"CHT-XBO-004")</f>
        <v>CHT-XBO-004</v>
      </c>
      <c r="B643" s="3" t="str">
        <f>IFERROR(__xludf.DUMMYFUNCTION("""COMPUTED_VALUE"""),"Xe bồn HYUNDAI")</f>
        <v>Xe bồn HYUNDAI</v>
      </c>
      <c r="C643" s="5" t="str">
        <f>IFERROR(__xludf.DUMMYFUNCTION("""COMPUTED_VALUE"""),"Loại biên")</f>
        <v>Loại biên</v>
      </c>
      <c r="D643" s="5" t="str">
        <f>IFERROR(__xludf.DUMMYFUNCTION("""COMPUTED_VALUE"""),"HYUNDAI")</f>
        <v>HYUNDAI</v>
      </c>
      <c r="E643" s="5" t="str">
        <f>IFERROR(__xludf.DUMMYFUNCTION("""COMPUTED_VALUE"""),"HÀN QUỐC")</f>
        <v>HÀN QUỐC</v>
      </c>
      <c r="F643" s="5">
        <f>IFERROR(__xludf.DUMMYFUNCTION("""COMPUTED_VALUE"""),2005.0)</f>
        <v>2005</v>
      </c>
      <c r="G643" s="5" t="str">
        <f>IFERROR(__xludf.DUMMYFUNCTION("""COMPUTED_VALUE"""),"HYUNDAI (Bồn tưới 18m3)")</f>
        <v>HYUNDAI (Bồn tưới 18m3)</v>
      </c>
      <c r="H643" s="5" t="str">
        <f>IFERROR(__xludf.DUMMYFUNCTION("""COMPUTED_VALUE"""),"336HP")</f>
        <v>336HP</v>
      </c>
      <c r="I643" s="5" t="str">
        <f>IFERROR(__xludf.DUMMYFUNCTION("""COMPUTED_VALUE"""),"EF750032850")</f>
        <v>EF750032850</v>
      </c>
      <c r="J643" s="5" t="str">
        <f>IFERROR(__xludf.DUMMYFUNCTION("""COMPUTED_VALUE"""),"CCN")</f>
        <v>CCN</v>
      </c>
      <c r="K643" s="5"/>
      <c r="L643" s="5"/>
    </row>
    <row r="644">
      <c r="A644" s="168" t="str">
        <f>IFERROR(__xludf.DUMMYFUNCTION("""COMPUTED_VALUE"""),"XA2-MKE-011")</f>
        <v>XA2-MKE-011</v>
      </c>
      <c r="B644" s="3" t="str">
        <f>IFERROR(__xludf.DUMMYFUNCTION("""COMPUTED_VALUE"""),"Máy cày M6040")</f>
        <v>Máy cày M6040</v>
      </c>
      <c r="C644" s="5" t="str">
        <f>IFERROR(__xludf.DUMMYFUNCTION("""COMPUTED_VALUE"""),"Loại biên")</f>
        <v>Loại biên</v>
      </c>
      <c r="D644" s="5" t="str">
        <f>IFERROR(__xludf.DUMMYFUNCTION("""COMPUTED_VALUE"""),"KUBOTA")</f>
        <v>KUBOTA</v>
      </c>
      <c r="E644" s="5" t="str">
        <f>IFERROR(__xludf.DUMMYFUNCTION("""COMPUTED_VALUE"""),"NHẬT BẢN")</f>
        <v>NHẬT BẢN</v>
      </c>
      <c r="F644" s="5">
        <f>IFERROR(__xludf.DUMMYFUNCTION("""COMPUTED_VALUE"""),2013.0)</f>
        <v>2013</v>
      </c>
      <c r="G644" s="5" t="str">
        <f>IFERROR(__xludf.DUMMYFUNCTION("""COMPUTED_VALUE"""),"M6040")</f>
        <v>M6040</v>
      </c>
      <c r="H644" s="5" t="str">
        <f>IFERROR(__xludf.DUMMYFUNCTION("""COMPUTED_VALUE"""),"62HP")</f>
        <v>62HP</v>
      </c>
      <c r="I644" s="5" t="str">
        <f>IFERROR(__xludf.DUMMYFUNCTION("""COMPUTED_VALUE"""),"M6040SUD57648")</f>
        <v>M6040SUD57648</v>
      </c>
      <c r="J644" s="5" t="str">
        <f>IFERROR(__xludf.DUMMYFUNCTION("""COMPUTED_VALUE"""),"CCN")</f>
        <v>CCN</v>
      </c>
      <c r="K644" s="5">
        <f>IFERROR(__xludf.DUMMYFUNCTION("""COMPUTED_VALUE"""),3.5)</f>
        <v>3.5</v>
      </c>
      <c r="L644" s="5"/>
    </row>
    <row r="645">
      <c r="A645" s="168" t="str">
        <f>IFERROR(__xludf.DUMMYFUNCTION("""COMPUTED_VALUE"""),"XA2-MKE-005")</f>
        <v>XA2-MKE-005</v>
      </c>
      <c r="B645" s="3" t="str">
        <f>IFERROR(__xludf.DUMMYFUNCTION("""COMPUTED_VALUE"""),"Máy cày KAM50")</f>
        <v>Máy cày KAM50</v>
      </c>
      <c r="C645" s="5" t="str">
        <f>IFERROR(__xludf.DUMMYFUNCTION("""COMPUTED_VALUE"""),"Loại biên")</f>
        <v>Loại biên</v>
      </c>
      <c r="D645" s="5" t="str">
        <f>IFERROR(__xludf.DUMMYFUNCTION("""COMPUTED_VALUE"""),"THACO")</f>
        <v>THACO</v>
      </c>
      <c r="E645" s="5" t="str">
        <f>IFERROR(__xludf.DUMMYFUNCTION("""COMPUTED_VALUE"""),"VIỆT NAM")</f>
        <v>VIỆT NAM</v>
      </c>
      <c r="F645" s="5">
        <f>IFERROR(__xludf.DUMMYFUNCTION("""COMPUTED_VALUE"""),2018.0)</f>
        <v>2018</v>
      </c>
      <c r="G645" s="5" t="str">
        <f>IFERROR(__xludf.DUMMYFUNCTION("""COMPUTED_VALUE"""),"KAM50")</f>
        <v>KAM50</v>
      </c>
      <c r="H645" s="5" t="str">
        <f>IFERROR(__xludf.DUMMYFUNCTION("""COMPUTED_VALUE"""),"50HP")</f>
        <v>50HP</v>
      </c>
      <c r="I645" s="5" t="str">
        <f>IFERROR(__xludf.DUMMYFUNCTION("""COMPUTED_VALUE"""),"C000009")</f>
        <v>C000009</v>
      </c>
      <c r="J645" s="5" t="str">
        <f>IFERROR(__xludf.DUMMYFUNCTION("""COMPUTED_VALUE"""),"CCN")</f>
        <v>CCN</v>
      </c>
      <c r="K645" s="5">
        <f>IFERROR(__xludf.DUMMYFUNCTION("""COMPUTED_VALUE"""),2.5)</f>
        <v>2.5</v>
      </c>
      <c r="L645" s="5"/>
    </row>
    <row r="646">
      <c r="A646" s="168" t="str">
        <f>IFERROR(__xludf.DUMMYFUNCTION("""COMPUTED_VALUE"""),"XA2-MKE-001")</f>
        <v>XA2-MKE-001</v>
      </c>
      <c r="B646" s="3" t="str">
        <f>IFERROR(__xludf.DUMMYFUNCTION("""COMPUTED_VALUE"""),"Máy cày KAM50")</f>
        <v>Máy cày KAM50</v>
      </c>
      <c r="C646" s="5" t="str">
        <f>IFERROR(__xludf.DUMMYFUNCTION("""COMPUTED_VALUE"""),"Loại biên")</f>
        <v>Loại biên</v>
      </c>
      <c r="D646" s="5" t="str">
        <f>IFERROR(__xludf.DUMMYFUNCTION("""COMPUTED_VALUE"""),"THACO")</f>
        <v>THACO</v>
      </c>
      <c r="E646" s="5" t="str">
        <f>IFERROR(__xludf.DUMMYFUNCTION("""COMPUTED_VALUE"""),"VIỆT NAM")</f>
        <v>VIỆT NAM</v>
      </c>
      <c r="F646" s="5">
        <f>IFERROR(__xludf.DUMMYFUNCTION("""COMPUTED_VALUE"""),2018.0)</f>
        <v>2018</v>
      </c>
      <c r="G646" s="5" t="str">
        <f>IFERROR(__xludf.DUMMYFUNCTION("""COMPUTED_VALUE"""),"KAM50")</f>
        <v>KAM50</v>
      </c>
      <c r="H646" s="5" t="str">
        <f>IFERROR(__xludf.DUMMYFUNCTION("""COMPUTED_VALUE"""),"50HP")</f>
        <v>50HP</v>
      </c>
      <c r="I646" s="5" t="str">
        <f>IFERROR(__xludf.DUMMYFUNCTION("""COMPUTED_VALUE"""),"C000061")</f>
        <v>C000061</v>
      </c>
      <c r="J646" s="5" t="str">
        <f>IFERROR(__xludf.DUMMYFUNCTION("""COMPUTED_VALUE"""),"CCN")</f>
        <v>CCN</v>
      </c>
      <c r="K646" s="5">
        <f>IFERROR(__xludf.DUMMYFUNCTION("""COMPUTED_VALUE"""),2.5)</f>
        <v>2.5</v>
      </c>
      <c r="L646" s="5"/>
    </row>
    <row r="647">
      <c r="A647" s="168" t="str">
        <f>IFERROR(__xludf.DUMMYFUNCTION("""COMPUTED_VALUE"""),"XD1-CĐN-001")</f>
        <v>XD1-CĐN-001</v>
      </c>
      <c r="B647" s="3" t="str">
        <f>IFERROR(__xludf.DUMMYFUNCTION("""COMPUTED_VALUE"""),"Máy cắt cỏ đẩy tay đa năng")</f>
        <v>Máy cắt cỏ đẩy tay đa năng</v>
      </c>
      <c r="C647" s="5" t="str">
        <f>IFERROR(__xludf.DUMMYFUNCTION("""COMPUTED_VALUE"""),"XN Chuối DP1")</f>
        <v>XN Chuối DP1</v>
      </c>
      <c r="D647" s="5" t="str">
        <f>IFERROR(__xludf.DUMMYFUNCTION("""COMPUTED_VALUE"""),"YAMASUKI")</f>
        <v>YAMASUKI</v>
      </c>
      <c r="E647" s="5" t="str">
        <f>IFERROR(__xludf.DUMMYFUNCTION("""COMPUTED_VALUE"""),"CAMBODIA")</f>
        <v>CAMBODIA</v>
      </c>
      <c r="F647" s="5">
        <f>IFERROR(__xludf.DUMMYFUNCTION("""COMPUTED_VALUE"""),2024.0)</f>
        <v>2024</v>
      </c>
      <c r="G647" s="5" t="str">
        <f>IFERROR(__xludf.DUMMYFUNCTION("""COMPUTED_VALUE"""),"GX-35")</f>
        <v>GX-35</v>
      </c>
      <c r="H647" s="5" t="str">
        <f>IFERROR(__xludf.DUMMYFUNCTION("""COMPUTED_VALUE"""),"1.3HP")</f>
        <v>1.3HP</v>
      </c>
      <c r="I647" s="5" t="str">
        <f>IFERROR(__xludf.DUMMYFUNCTION("""COMPUTED_VALUE"""),"CCN")</f>
        <v>CCN</v>
      </c>
      <c r="J647" s="5" t="str">
        <f>IFERROR(__xludf.DUMMYFUNCTION("""COMPUTED_VALUE"""),"CCN")</f>
        <v>CCN</v>
      </c>
      <c r="K647" s="5">
        <f>IFERROR(__xludf.DUMMYFUNCTION("""COMPUTED_VALUE"""),0.6)</f>
        <v>0.6</v>
      </c>
      <c r="L647" s="5"/>
    </row>
    <row r="648">
      <c r="A648" s="168" t="str">
        <f>IFERROR(__xludf.DUMMYFUNCTION("""COMPUTED_VALUE"""),"XD1-CĐN-002")</f>
        <v>XD1-CĐN-002</v>
      </c>
      <c r="B648" s="3" t="str">
        <f>IFERROR(__xludf.DUMMYFUNCTION("""COMPUTED_VALUE"""),"Máy cắt cỏ đẩy tay đa năng")</f>
        <v>Máy cắt cỏ đẩy tay đa năng</v>
      </c>
      <c r="C648" s="5" t="str">
        <f>IFERROR(__xludf.DUMMYFUNCTION("""COMPUTED_VALUE"""),"XN Chuối DP1")</f>
        <v>XN Chuối DP1</v>
      </c>
      <c r="D648" s="5" t="str">
        <f>IFERROR(__xludf.DUMMYFUNCTION("""COMPUTED_VALUE"""),"YAMASUKI")</f>
        <v>YAMASUKI</v>
      </c>
      <c r="E648" s="5" t="str">
        <f>IFERROR(__xludf.DUMMYFUNCTION("""COMPUTED_VALUE"""),"CAMBODIA")</f>
        <v>CAMBODIA</v>
      </c>
      <c r="F648" s="5">
        <f>IFERROR(__xludf.DUMMYFUNCTION("""COMPUTED_VALUE"""),2024.0)</f>
        <v>2024</v>
      </c>
      <c r="G648" s="5" t="str">
        <f>IFERROR(__xludf.DUMMYFUNCTION("""COMPUTED_VALUE"""),"GX-35")</f>
        <v>GX-35</v>
      </c>
      <c r="H648" s="5" t="str">
        <f>IFERROR(__xludf.DUMMYFUNCTION("""COMPUTED_VALUE"""),"1.3HP")</f>
        <v>1.3HP</v>
      </c>
      <c r="I648" s="5" t="str">
        <f>IFERROR(__xludf.DUMMYFUNCTION("""COMPUTED_VALUE"""),"CCN")</f>
        <v>CCN</v>
      </c>
      <c r="J648" s="5" t="str">
        <f>IFERROR(__xludf.DUMMYFUNCTION("""COMPUTED_VALUE"""),"CCN")</f>
        <v>CCN</v>
      </c>
      <c r="K648" s="5">
        <f>IFERROR(__xludf.DUMMYFUNCTION("""COMPUTED_VALUE"""),0.6)</f>
        <v>0.6</v>
      </c>
      <c r="L648" s="5"/>
    </row>
    <row r="649">
      <c r="A649" s="168" t="str">
        <f>IFERROR(__xludf.DUMMYFUNCTION("""COMPUTED_VALUE"""),"XD2-CĐN-001")</f>
        <v>XD2-CĐN-001</v>
      </c>
      <c r="B649" s="3" t="str">
        <f>IFERROR(__xludf.DUMMYFUNCTION("""COMPUTED_VALUE"""),"Máy cắt cỏ đẩy tay đa năng")</f>
        <v>Máy cắt cỏ đẩy tay đa năng</v>
      </c>
      <c r="C649" s="5" t="str">
        <f>IFERROR(__xludf.DUMMYFUNCTION("""COMPUTED_VALUE"""),"XN Chuối DP2")</f>
        <v>XN Chuối DP2</v>
      </c>
      <c r="D649" s="5" t="str">
        <f>IFERROR(__xludf.DUMMYFUNCTION("""COMPUTED_VALUE"""),"YAMASUKI")</f>
        <v>YAMASUKI</v>
      </c>
      <c r="E649" s="5" t="str">
        <f>IFERROR(__xludf.DUMMYFUNCTION("""COMPUTED_VALUE"""),"CAMBODIA")</f>
        <v>CAMBODIA</v>
      </c>
      <c r="F649" s="5">
        <f>IFERROR(__xludf.DUMMYFUNCTION("""COMPUTED_VALUE"""),2024.0)</f>
        <v>2024</v>
      </c>
      <c r="G649" s="5" t="str">
        <f>IFERROR(__xludf.DUMMYFUNCTION("""COMPUTED_VALUE"""),"GX-35")</f>
        <v>GX-35</v>
      </c>
      <c r="H649" s="5" t="str">
        <f>IFERROR(__xludf.DUMMYFUNCTION("""COMPUTED_VALUE"""),"1.3HP")</f>
        <v>1.3HP</v>
      </c>
      <c r="I649" s="5" t="str">
        <f>IFERROR(__xludf.DUMMYFUNCTION("""COMPUTED_VALUE"""),"CCN")</f>
        <v>CCN</v>
      </c>
      <c r="J649" s="5" t="str">
        <f>IFERROR(__xludf.DUMMYFUNCTION("""COMPUTED_VALUE"""),"CCN")</f>
        <v>CCN</v>
      </c>
      <c r="K649" s="5">
        <f>IFERROR(__xludf.DUMMYFUNCTION("""COMPUTED_VALUE"""),0.6)</f>
        <v>0.6</v>
      </c>
      <c r="L649" s="5"/>
    </row>
    <row r="650">
      <c r="A650" s="168" t="str">
        <f>IFERROR(__xludf.DUMMYFUNCTION("""COMPUTED_VALUE"""),"XD2-CĐN-002")</f>
        <v>XD2-CĐN-002</v>
      </c>
      <c r="B650" s="3" t="str">
        <f>IFERROR(__xludf.DUMMYFUNCTION("""COMPUTED_VALUE"""),"Máy cắt cỏ đẩy tay đa năng")</f>
        <v>Máy cắt cỏ đẩy tay đa năng</v>
      </c>
      <c r="C650" s="5" t="str">
        <f>IFERROR(__xludf.DUMMYFUNCTION("""COMPUTED_VALUE"""),"XN Chuối DP2")</f>
        <v>XN Chuối DP2</v>
      </c>
      <c r="D650" s="5" t="str">
        <f>IFERROR(__xludf.DUMMYFUNCTION("""COMPUTED_VALUE"""),"YAMASUKI")</f>
        <v>YAMASUKI</v>
      </c>
      <c r="E650" s="5" t="str">
        <f>IFERROR(__xludf.DUMMYFUNCTION("""COMPUTED_VALUE"""),"CAMBODIA")</f>
        <v>CAMBODIA</v>
      </c>
      <c r="F650" s="5">
        <f>IFERROR(__xludf.DUMMYFUNCTION("""COMPUTED_VALUE"""),2024.0)</f>
        <v>2024</v>
      </c>
      <c r="G650" s="5" t="str">
        <f>IFERROR(__xludf.DUMMYFUNCTION("""COMPUTED_VALUE"""),"GX-35")</f>
        <v>GX-35</v>
      </c>
      <c r="H650" s="5" t="str">
        <f>IFERROR(__xludf.DUMMYFUNCTION("""COMPUTED_VALUE"""),"1.3HP")</f>
        <v>1.3HP</v>
      </c>
      <c r="I650" s="5" t="str">
        <f>IFERROR(__xludf.DUMMYFUNCTION("""COMPUTED_VALUE"""),"CCN")</f>
        <v>CCN</v>
      </c>
      <c r="J650" s="5" t="str">
        <f>IFERROR(__xludf.DUMMYFUNCTION("""COMPUTED_VALUE"""),"CCN")</f>
        <v>CCN</v>
      </c>
      <c r="K650" s="5">
        <f>IFERROR(__xludf.DUMMYFUNCTION("""COMPUTED_VALUE"""),0.6)</f>
        <v>0.6</v>
      </c>
      <c r="L650" s="5"/>
    </row>
    <row r="651">
      <c r="A651" s="168" t="str">
        <f>IFERROR(__xludf.DUMMYFUNCTION("""COMPUTED_VALUE"""),"XD3-CĐN-001")</f>
        <v>XD3-CĐN-001</v>
      </c>
      <c r="B651" s="3" t="str">
        <f>IFERROR(__xludf.DUMMYFUNCTION("""COMPUTED_VALUE"""),"Máy cắt cỏ đẩy tay đa năng")</f>
        <v>Máy cắt cỏ đẩy tay đa năng</v>
      </c>
      <c r="C651" s="5" t="str">
        <f>IFERROR(__xludf.DUMMYFUNCTION("""COMPUTED_VALUE"""),"XN Chuối DP3")</f>
        <v>XN Chuối DP3</v>
      </c>
      <c r="D651" s="5" t="str">
        <f>IFERROR(__xludf.DUMMYFUNCTION("""COMPUTED_VALUE"""),"YAMASUKI")</f>
        <v>YAMASUKI</v>
      </c>
      <c r="E651" s="5" t="str">
        <f>IFERROR(__xludf.DUMMYFUNCTION("""COMPUTED_VALUE"""),"CAMBODIA")</f>
        <v>CAMBODIA</v>
      </c>
      <c r="F651" s="5">
        <f>IFERROR(__xludf.DUMMYFUNCTION("""COMPUTED_VALUE"""),2024.0)</f>
        <v>2024</v>
      </c>
      <c r="G651" s="5" t="str">
        <f>IFERROR(__xludf.DUMMYFUNCTION("""COMPUTED_VALUE"""),"GX-35")</f>
        <v>GX-35</v>
      </c>
      <c r="H651" s="5" t="str">
        <f>IFERROR(__xludf.DUMMYFUNCTION("""COMPUTED_VALUE"""),"1.3HP")</f>
        <v>1.3HP</v>
      </c>
      <c r="I651" s="5" t="str">
        <f>IFERROR(__xludf.DUMMYFUNCTION("""COMPUTED_VALUE"""),"CCN")</f>
        <v>CCN</v>
      </c>
      <c r="J651" s="5" t="str">
        <f>IFERROR(__xludf.DUMMYFUNCTION("""COMPUTED_VALUE"""),"CCN")</f>
        <v>CCN</v>
      </c>
      <c r="K651" s="5">
        <f>IFERROR(__xludf.DUMMYFUNCTION("""COMPUTED_VALUE"""),0.6)</f>
        <v>0.6</v>
      </c>
      <c r="L651" s="5"/>
    </row>
    <row r="652">
      <c r="A652" s="168" t="str">
        <f>IFERROR(__xludf.DUMMYFUNCTION("""COMPUTED_VALUE"""),"XD3-CĐN-002")</f>
        <v>XD3-CĐN-002</v>
      </c>
      <c r="B652" s="3" t="str">
        <f>IFERROR(__xludf.DUMMYFUNCTION("""COMPUTED_VALUE"""),"Máy cắt cỏ đẩy tay đa năng")</f>
        <v>Máy cắt cỏ đẩy tay đa năng</v>
      </c>
      <c r="C652" s="5" t="str">
        <f>IFERROR(__xludf.DUMMYFUNCTION("""COMPUTED_VALUE"""),"XN Chuối DP3")</f>
        <v>XN Chuối DP3</v>
      </c>
      <c r="D652" s="5" t="str">
        <f>IFERROR(__xludf.DUMMYFUNCTION("""COMPUTED_VALUE"""),"YAMASUKI")</f>
        <v>YAMASUKI</v>
      </c>
      <c r="E652" s="5" t="str">
        <f>IFERROR(__xludf.DUMMYFUNCTION("""COMPUTED_VALUE"""),"CAMBODIA")</f>
        <v>CAMBODIA</v>
      </c>
      <c r="F652" s="5">
        <f>IFERROR(__xludf.DUMMYFUNCTION("""COMPUTED_VALUE"""),2024.0)</f>
        <v>2024</v>
      </c>
      <c r="G652" s="5" t="str">
        <f>IFERROR(__xludf.DUMMYFUNCTION("""COMPUTED_VALUE"""),"GX-35")</f>
        <v>GX-35</v>
      </c>
      <c r="H652" s="5" t="str">
        <f>IFERROR(__xludf.DUMMYFUNCTION("""COMPUTED_VALUE"""),"1.3HP")</f>
        <v>1.3HP</v>
      </c>
      <c r="I652" s="5" t="str">
        <f>IFERROR(__xludf.DUMMYFUNCTION("""COMPUTED_VALUE"""),"CCN")</f>
        <v>CCN</v>
      </c>
      <c r="J652" s="5" t="str">
        <f>IFERROR(__xludf.DUMMYFUNCTION("""COMPUTED_VALUE"""),"CCN")</f>
        <v>CCN</v>
      </c>
      <c r="K652" s="5">
        <f>IFERROR(__xludf.DUMMYFUNCTION("""COMPUTED_VALUE"""),0.6)</f>
        <v>0.6</v>
      </c>
      <c r="L652" s="5"/>
    </row>
    <row r="653">
      <c r="A653" s="168" t="str">
        <f>IFERROR(__xludf.DUMMYFUNCTION("""COMPUTED_VALUE"""),"XL3-CĐN-001")</f>
        <v>XL3-CĐN-001</v>
      </c>
      <c r="B653" s="3" t="str">
        <f>IFERROR(__xludf.DUMMYFUNCTION("""COMPUTED_VALUE"""),"Máy cắt cỏ đẩy tay đa năng")</f>
        <v>Máy cắt cỏ đẩy tay đa năng</v>
      </c>
      <c r="C653" s="5" t="str">
        <f>IFERROR(__xludf.DUMMYFUNCTION("""COMPUTED_VALUE"""),"XN Chuối LP3")</f>
        <v>XN Chuối LP3</v>
      </c>
      <c r="D653" s="5" t="str">
        <f>IFERROR(__xludf.DUMMYFUNCTION("""COMPUTED_VALUE"""),"YAMASUKI")</f>
        <v>YAMASUKI</v>
      </c>
      <c r="E653" s="5" t="str">
        <f>IFERROR(__xludf.DUMMYFUNCTION("""COMPUTED_VALUE"""),"CAMBODIA")</f>
        <v>CAMBODIA</v>
      </c>
      <c r="F653" s="5">
        <f>IFERROR(__xludf.DUMMYFUNCTION("""COMPUTED_VALUE"""),2024.0)</f>
        <v>2024</v>
      </c>
      <c r="G653" s="5" t="str">
        <f>IFERROR(__xludf.DUMMYFUNCTION("""COMPUTED_VALUE"""),"GX-35")</f>
        <v>GX-35</v>
      </c>
      <c r="H653" s="5" t="str">
        <f>IFERROR(__xludf.DUMMYFUNCTION("""COMPUTED_VALUE"""),"1.3HP")</f>
        <v>1.3HP</v>
      </c>
      <c r="I653" s="5" t="str">
        <f>IFERROR(__xludf.DUMMYFUNCTION("""COMPUTED_VALUE"""),"CCN")</f>
        <v>CCN</v>
      </c>
      <c r="J653" s="5" t="str">
        <f>IFERROR(__xludf.DUMMYFUNCTION("""COMPUTED_VALUE"""),"CCN")</f>
        <v>CCN</v>
      </c>
      <c r="K653" s="5">
        <f>IFERROR(__xludf.DUMMYFUNCTION("""COMPUTED_VALUE"""),0.6)</f>
        <v>0.6</v>
      </c>
      <c r="L653" s="5"/>
    </row>
    <row r="654">
      <c r="A654" s="168" t="str">
        <f>IFERROR(__xludf.DUMMYFUNCTION("""COMPUTED_VALUE"""),"XL3-CĐN-002")</f>
        <v>XL3-CĐN-002</v>
      </c>
      <c r="B654" s="3" t="str">
        <f>IFERROR(__xludf.DUMMYFUNCTION("""COMPUTED_VALUE"""),"Máy cắt cỏ đẩy tay đa năng")</f>
        <v>Máy cắt cỏ đẩy tay đa năng</v>
      </c>
      <c r="C654" s="5" t="str">
        <f>IFERROR(__xludf.DUMMYFUNCTION("""COMPUTED_VALUE"""),"XN Chuối LP3")</f>
        <v>XN Chuối LP3</v>
      </c>
      <c r="D654" s="5" t="str">
        <f>IFERROR(__xludf.DUMMYFUNCTION("""COMPUTED_VALUE"""),"YAMASUKI")</f>
        <v>YAMASUKI</v>
      </c>
      <c r="E654" s="5" t="str">
        <f>IFERROR(__xludf.DUMMYFUNCTION("""COMPUTED_VALUE"""),"CAMBODIA")</f>
        <v>CAMBODIA</v>
      </c>
      <c r="F654" s="5">
        <f>IFERROR(__xludf.DUMMYFUNCTION("""COMPUTED_VALUE"""),2024.0)</f>
        <v>2024</v>
      </c>
      <c r="G654" s="5" t="str">
        <f>IFERROR(__xludf.DUMMYFUNCTION("""COMPUTED_VALUE"""),"GX-35")</f>
        <v>GX-35</v>
      </c>
      <c r="H654" s="5" t="str">
        <f>IFERROR(__xludf.DUMMYFUNCTION("""COMPUTED_VALUE"""),"1.3HP")</f>
        <v>1.3HP</v>
      </c>
      <c r="I654" s="5" t="str">
        <f>IFERROR(__xludf.DUMMYFUNCTION("""COMPUTED_VALUE"""),"CCN")</f>
        <v>CCN</v>
      </c>
      <c r="J654" s="5" t="str">
        <f>IFERROR(__xludf.DUMMYFUNCTION("""COMPUTED_VALUE"""),"CCN")</f>
        <v>CCN</v>
      </c>
      <c r="K654" s="5">
        <f>IFERROR(__xludf.DUMMYFUNCTION("""COMPUTED_VALUE"""),0.6)</f>
        <v>0.6</v>
      </c>
      <c r="L654" s="5"/>
    </row>
    <row r="655">
      <c r="A655" s="168" t="str">
        <f>IFERROR(__xludf.DUMMYFUNCTION("""COMPUTED_VALUE"""),"XE ĐC ĐI KLH KHÁC")</f>
        <v>XE ĐC ĐI KLH KHÁC</v>
      </c>
      <c r="B655" s="3" t="str">
        <f>IFERROR(__xludf.DUMMYFUNCTION("""COMPUTED_VALUE"""),"(Điều chuyển chữ xanh dương)")</f>
        <v>(Điều chuyển chữ xanh dương)</v>
      </c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>
      <c r="A656" s="168" t="str">
        <f>IFERROR(__xludf.DUMMYFUNCTION("""COMPUTED_VALUE"""),"CHT-MĐA-068")</f>
        <v>CHT-MĐA-068</v>
      </c>
      <c r="B656" s="3" t="str">
        <f>IFERROR(__xludf.DUMMYFUNCTION("""COMPUTED_VALUE"""),"Máy đào KOMATSU bánh xích gàu 0.8m3")</f>
        <v>Máy đào KOMATSU bánh xích gàu 0.8m3</v>
      </c>
      <c r="C656" s="5" t="str">
        <f>IFERROR(__xludf.DUMMYFUNCTION("""COMPUTED_VALUE"""),"RAT OYD")</f>
        <v>RAT OYD</v>
      </c>
      <c r="D656" s="5" t="str">
        <f>IFERROR(__xludf.DUMMYFUNCTION("""COMPUTED_VALUE"""),"KOMATSU")</f>
        <v>KOMATSU</v>
      </c>
      <c r="E656" s="5" t="str">
        <f>IFERROR(__xludf.DUMMYFUNCTION("""COMPUTED_VALUE"""),"NHẬT BẢN")</f>
        <v>NHẬT BẢN</v>
      </c>
      <c r="F656" s="5">
        <f>IFERROR(__xludf.DUMMYFUNCTION("""COMPUTED_VALUE"""),2004.0)</f>
        <v>2004</v>
      </c>
      <c r="G656" s="5" t="str">
        <f>IFERROR(__xludf.DUMMYFUNCTION("""COMPUTED_VALUE"""),"PC200-7")</f>
        <v>PC200-7</v>
      </c>
      <c r="H656" s="5" t="str">
        <f>IFERROR(__xludf.DUMMYFUNCTION("""COMPUTED_VALUE"""),"145HP")</f>
        <v>145HP</v>
      </c>
      <c r="I656" s="5" t="str">
        <f>IFERROR(__xludf.DUMMYFUNCTION("""COMPUTED_VALUE"""),"KMTPC049P02251262")</f>
        <v>KMTPC049P02251262</v>
      </c>
      <c r="J656" s="5" t="str">
        <f>IFERROR(__xludf.DUMMYFUNCTION("""COMPUTED_VALUE"""),"6D10226342017")</f>
        <v>6D10226342017</v>
      </c>
      <c r="K656" s="5">
        <f>IFERROR(__xludf.DUMMYFUNCTION("""COMPUTED_VALUE"""),14.0)</f>
        <v>14</v>
      </c>
      <c r="L656" s="5"/>
    </row>
    <row r="657">
      <c r="A657" s="168" t="str">
        <f>IFERROR(__xludf.DUMMYFUNCTION("""COMPUTED_VALUE"""),"CNN-MKE-004")</f>
        <v>CNN-MKE-004</v>
      </c>
      <c r="B657" s="3" t="str">
        <f>IFERROR(__xludf.DUMMYFUNCTION("""COMPUTED_VALUE"""),"Máy cày M9540")</f>
        <v>Máy cày M9540</v>
      </c>
      <c r="C657" s="5" t="str">
        <f>IFERROR(__xludf.DUMMYFUNCTION("""COMPUTED_VALUE"""),"RAT OYD")</f>
        <v>RAT OYD</v>
      </c>
      <c r="D657" s="5" t="str">
        <f>IFERROR(__xludf.DUMMYFUNCTION("""COMPUTED_VALUE"""),"KUBOTA")</f>
        <v>KUBOTA</v>
      </c>
      <c r="E657" s="5" t="str">
        <f>IFERROR(__xludf.DUMMYFUNCTION("""COMPUTED_VALUE"""),"NHẬT BẢN")</f>
        <v>NHẬT BẢN</v>
      </c>
      <c r="F657" s="5">
        <f>IFERROR(__xludf.DUMMYFUNCTION("""COMPUTED_VALUE"""),2011.0)</f>
        <v>2011</v>
      </c>
      <c r="G657" s="5" t="str">
        <f>IFERROR(__xludf.DUMMYFUNCTION("""COMPUTED_VALUE"""),"9540")</f>
        <v>9540</v>
      </c>
      <c r="H657" s="5" t="str">
        <f>IFERROR(__xludf.DUMMYFUNCTION("""COMPUTED_VALUE"""),"95HP")</f>
        <v>95HP</v>
      </c>
      <c r="I657" s="5" t="str">
        <f>IFERROR(__xludf.DUMMYFUNCTION("""COMPUTED_VALUE"""),"77433")</f>
        <v>77433</v>
      </c>
      <c r="J657" s="5" t="str">
        <f>IFERROR(__xludf.DUMMYFUNCTION("""COMPUTED_VALUE"""),"CCN")</f>
        <v>CCN</v>
      </c>
      <c r="K657" s="5">
        <f>IFERROR(__xludf.DUMMYFUNCTION("""COMPUTED_VALUE"""),3.8)</f>
        <v>3.8</v>
      </c>
      <c r="L657" s="5"/>
    </row>
    <row r="658">
      <c r="A658" s="168" t="str">
        <f>IFERROR(__xludf.DUMMYFUNCTION("""COMPUTED_VALUE"""),"XD2-MKE-001")</f>
        <v>XD2-MKE-001</v>
      </c>
      <c r="B658" s="3" t="str">
        <f>IFERROR(__xludf.DUMMYFUNCTION("""COMPUTED_VALUE"""),"Máy cày M9540")</f>
        <v>Máy cày M9540</v>
      </c>
      <c r="C658" s="5" t="str">
        <f>IFERROR(__xludf.DUMMYFUNCTION("""COMPUTED_VALUE"""),"RAT OYD")</f>
        <v>RAT OYD</v>
      </c>
      <c r="D658" s="5" t="str">
        <f>IFERROR(__xludf.DUMMYFUNCTION("""COMPUTED_VALUE"""),"KUBOTA")</f>
        <v>KUBOTA</v>
      </c>
      <c r="E658" s="5" t="str">
        <f>IFERROR(__xludf.DUMMYFUNCTION("""COMPUTED_VALUE"""),"NHẬT BẢN")</f>
        <v>NHẬT BẢN</v>
      </c>
      <c r="F658" s="5">
        <f>IFERROR(__xludf.DUMMYFUNCTION("""COMPUTED_VALUE"""),2013.0)</f>
        <v>2013</v>
      </c>
      <c r="G658" s="5" t="str">
        <f>IFERROR(__xludf.DUMMYFUNCTION("""COMPUTED_VALUE"""),"9540")</f>
        <v>9540</v>
      </c>
      <c r="H658" s="5" t="str">
        <f>IFERROR(__xludf.DUMMYFUNCTION("""COMPUTED_VALUE"""),"95HP")</f>
        <v>95HP</v>
      </c>
      <c r="I658" s="5" t="str">
        <f>IFERROR(__xludf.DUMMYFUNCTION("""COMPUTED_VALUE"""),"173035")</f>
        <v>173035</v>
      </c>
      <c r="J658" s="5" t="str">
        <f>IFERROR(__xludf.DUMMYFUNCTION("""COMPUTED_VALUE"""),"CCN")</f>
        <v>CCN</v>
      </c>
      <c r="K658" s="5">
        <f>IFERROR(__xludf.DUMMYFUNCTION("""COMPUTED_VALUE"""),3.8)</f>
        <v>3.8</v>
      </c>
      <c r="L658" s="5"/>
    </row>
    <row r="659">
      <c r="A659" s="168" t="str">
        <f>IFERROR(__xludf.DUMMYFUNCTION("""COMPUTED_VALUE"""),"XB1-XRA-002")</f>
        <v>XB1-XRA-002</v>
      </c>
      <c r="B659" s="3" t="str">
        <f>IFERROR(__xludf.DUMMYFUNCTION("""COMPUTED_VALUE"""),"Xe rải thức ăn FD1600B")</f>
        <v>Xe rải thức ăn FD1600B</v>
      </c>
      <c r="C659" s="5" t="str">
        <f>IFERROR(__xludf.DUMMYFUNCTION("""COMPUTED_VALUE"""),"KLH SNOUL")</f>
        <v>KLH SNOUL</v>
      </c>
      <c r="D659" s="5" t="str">
        <f>IFERROR(__xludf.DUMMYFUNCTION("""COMPUTED_VALUE"""),"THACO FORLAND")</f>
        <v>THACO FORLAND</v>
      </c>
      <c r="E659" s="5" t="str">
        <f>IFERROR(__xludf.DUMMYFUNCTION("""COMPUTED_VALUE"""),"VIỆT NAM")</f>
        <v>VIỆT NAM</v>
      </c>
      <c r="F659" s="5">
        <f>IFERROR(__xludf.DUMMYFUNCTION("""COMPUTED_VALUE"""),2017.0)</f>
        <v>2017</v>
      </c>
      <c r="G659" s="5" t="str">
        <f>IFERROR(__xludf.DUMMYFUNCTION("""COMPUTED_VALUE"""),"FD1600B")</f>
        <v>FD1600B</v>
      </c>
      <c r="H659" s="5" t="str">
        <f>IFERROR(__xludf.DUMMYFUNCTION("""COMPUTED_VALUE"""),"180HP")</f>
        <v>180HP</v>
      </c>
      <c r="I659" s="5" t="str">
        <f>IFERROR(__xludf.DUMMYFUNCTION("""COMPUTED_VALUE"""),"RNHD1600DHC070081")</f>
        <v>RNHD1600DHC070081</v>
      </c>
      <c r="J659" s="5" t="str">
        <f>IFERROR(__xludf.DUMMYFUNCTION("""COMPUTED_VALUE"""),"WP6180E326P15D005530")</f>
        <v>WP6180E326P15D005530</v>
      </c>
      <c r="K659" s="5">
        <f>IFERROR(__xludf.DUMMYFUNCTION("""COMPUTED_VALUE"""),6.0)</f>
        <v>6</v>
      </c>
      <c r="L659" s="5"/>
    </row>
    <row r="660">
      <c r="A660" s="168" t="str">
        <f>IFERROR(__xludf.DUMMYFUNCTION("""COMPUTED_VALUE"""),"CKC-XCA-002")</f>
        <v>CKC-XCA-002</v>
      </c>
      <c r="B660" s="3" t="str">
        <f>IFERROR(__xludf.DUMMYFUNCTION("""COMPUTED_VALUE"""),"Xe cẩu Zoomliom 25 tấn")</f>
        <v>Xe cẩu Zoomliom 25 tấn</v>
      </c>
      <c r="C660" s="5" t="str">
        <f>IFERROR(__xludf.DUMMYFUNCTION("""COMPUTED_VALUE"""),"KLH SNOUL")</f>
        <v>KLH SNOUL</v>
      </c>
      <c r="D660" s="5" t="str">
        <f>IFERROR(__xludf.DUMMYFUNCTION("""COMPUTED_VALUE"""),"ZOOMLION ")</f>
        <v>ZOOMLION </v>
      </c>
      <c r="E660" s="5" t="str">
        <f>IFERROR(__xludf.DUMMYFUNCTION("""COMPUTED_VALUE"""),"CHINA")</f>
        <v>CHINA</v>
      </c>
      <c r="F660" s="5">
        <f>IFERROR(__xludf.DUMMYFUNCTION("""COMPUTED_VALUE"""),2004.0)</f>
        <v>2004</v>
      </c>
      <c r="G660" s="5" t="str">
        <f>IFERROR(__xludf.DUMMYFUNCTION("""COMPUTED_VALUE"""),"CRANE TRUCK QY30V")</f>
        <v>CRANE TRUCK QY30V</v>
      </c>
      <c r="H660" s="5" t="str">
        <f>IFERROR(__xludf.DUMMYFUNCTION("""COMPUTED_VALUE"""),"30T")</f>
        <v>30T</v>
      </c>
      <c r="I660" s="5" t="str">
        <f>IFERROR(__xludf.DUMMYFUNCTION("""COMPUTED_VALUE"""),"L5E5H3D22EA020978")</f>
        <v>L5E5H3D22EA020978</v>
      </c>
      <c r="J660" s="5" t="str">
        <f>IFERROR(__xludf.DUMMYFUNCTION("""COMPUTED_VALUE"""),"CCN")</f>
        <v>CCN</v>
      </c>
      <c r="K660" s="5"/>
      <c r="L660" s="5"/>
    </row>
    <row r="661">
      <c r="A661" s="168" t="str">
        <f>IFERROR(__xludf.DUMMYFUNCTION("""COMPUTED_VALUE"""),"-")</f>
        <v>-</v>
      </c>
      <c r="B661" s="3" t="str">
        <f>IFERROR(__xludf.DUMMYFUNCTION("""COMPUTED_VALUE"""),"Máy kéo JD 7810")</f>
        <v>Máy kéo JD 7810</v>
      </c>
      <c r="C661" s="5" t="str">
        <f>IFERROR(__xludf.DUMMYFUNCTION("""COMPUTED_VALUE"""),"KLH SNOUL")</f>
        <v>KLH SNOUL</v>
      </c>
      <c r="D661" s="5" t="str">
        <f>IFERROR(__xludf.DUMMYFUNCTION("""COMPUTED_VALUE"""),"JOHN DEERE")</f>
        <v>JOHN DEERE</v>
      </c>
      <c r="E661" s="5" t="str">
        <f>IFERROR(__xludf.DUMMYFUNCTION("""COMPUTED_VALUE"""),"Mỹ")</f>
        <v>Mỹ</v>
      </c>
      <c r="F661" s="5">
        <f>IFERROR(__xludf.DUMMYFUNCTION("""COMPUTED_VALUE"""),1997.0)</f>
        <v>1997</v>
      </c>
      <c r="G661" s="5" t="str">
        <f>IFERROR(__xludf.DUMMYFUNCTION("""COMPUTED_VALUE"""),"7810")</f>
        <v>7810</v>
      </c>
      <c r="H661" s="5" t="str">
        <f>IFERROR(__xludf.DUMMYFUNCTION("""COMPUTED_VALUE"""),"155Hp")</f>
        <v>155Hp</v>
      </c>
      <c r="I661" s="5" t="str">
        <f>IFERROR(__xludf.DUMMYFUNCTION("""COMPUTED_VALUE"""),"RW7810P001704")</f>
        <v>RW7810P001704</v>
      </c>
      <c r="J661" s="5" t="str">
        <f>IFERROR(__xludf.DUMMYFUNCTION("""COMPUTED_VALUE"""),"RG6081T011143")</f>
        <v>RG6081T011143</v>
      </c>
      <c r="K661" s="5"/>
      <c r="L661" s="5"/>
    </row>
    <row r="662">
      <c r="A662" s="168" t="str">
        <f>IFERROR(__xludf.DUMMYFUNCTION("""COMPUTED_VALUE"""),"TND-COT-008")</f>
        <v>TND-COT-008</v>
      </c>
      <c r="B662" s="3" t="str">
        <f>IFERROR(__xludf.DUMMYFUNCTION("""COMPUTED_VALUE"""),"Xe container FUSO FZ49")</f>
        <v>Xe container FUSO FZ49</v>
      </c>
      <c r="C662" s="5"/>
      <c r="D662" s="5" t="str">
        <f>IFERROR(__xludf.DUMMYFUNCTION("""COMPUTED_VALUE"""),"FUSO")</f>
        <v>FUSO</v>
      </c>
      <c r="E662" s="5"/>
      <c r="F662" s="5"/>
      <c r="G662" s="5" t="str">
        <f>IFERROR(__xludf.DUMMYFUNCTION("""COMPUTED_VALUE"""),"FZ49")</f>
        <v>FZ49</v>
      </c>
      <c r="H662" s="5" t="str">
        <f>IFERROR(__xludf.DUMMYFUNCTION("""COMPUTED_VALUE"""),"280HP")</f>
        <v>280HP</v>
      </c>
      <c r="I662" s="5" t="str">
        <f>IFERROR(__xludf.DUMMYFUNCTION("""COMPUTED_VALUE"""),"MEC2812SCGP028592")</f>
        <v>MEC2812SCGP028592</v>
      </c>
      <c r="J662" s="5" t="str">
        <f>IFERROR(__xludf.DUMMYFUNCTION("""COMPUTED_VALUE"""),"400951D0028557")</f>
        <v>400951D0028557</v>
      </c>
      <c r="K662" s="5">
        <f>IFERROR(__xludf.DUMMYFUNCTION("""COMPUTED_VALUE"""),0.49)</f>
        <v>0.49</v>
      </c>
      <c r="L662" s="5"/>
    </row>
    <row r="663">
      <c r="A663" s="168" t="str">
        <f>IFERROR(__xludf.DUMMYFUNCTION("""COMPUTED_VALUE"""),"TND-COT-009")</f>
        <v>TND-COT-009</v>
      </c>
      <c r="B663" s="3" t="str">
        <f>IFERROR(__xludf.DUMMYFUNCTION("""COMPUTED_VALUE"""),"Xe container FUSO FZ49")</f>
        <v>Xe container FUSO FZ49</v>
      </c>
      <c r="C663" s="5"/>
      <c r="D663" s="5" t="str">
        <f>IFERROR(__xludf.DUMMYFUNCTION("""COMPUTED_VALUE"""),"FUSO")</f>
        <v>FUSO</v>
      </c>
      <c r="E663" s="5"/>
      <c r="F663" s="5"/>
      <c r="G663" s="5" t="str">
        <f>IFERROR(__xludf.DUMMYFUNCTION("""COMPUTED_VALUE"""),"FZ49")</f>
        <v>FZ49</v>
      </c>
      <c r="H663" s="5" t="str">
        <f>IFERROR(__xludf.DUMMYFUNCTION("""COMPUTED_VALUE"""),"280HP")</f>
        <v>280HP</v>
      </c>
      <c r="I663" s="5" t="str">
        <f>IFERROR(__xludf.DUMMYFUNCTION("""COMPUTED_VALUE"""),"MEC2812SDGP029269")</f>
        <v>MEC2812SDGP029269</v>
      </c>
      <c r="J663" s="5" t="str">
        <f>IFERROR(__xludf.DUMMYFUNCTION("""COMPUTED_VALUE"""),"400951D0029283")</f>
        <v>400951D0029283</v>
      </c>
      <c r="K663" s="5">
        <f>IFERROR(__xludf.DUMMYFUNCTION("""COMPUTED_VALUE"""),0.49)</f>
        <v>0.49</v>
      </c>
      <c r="L663" s="5"/>
    </row>
    <row r="664">
      <c r="A664" s="168" t="str">
        <f>IFERROR(__xludf.DUMMYFUNCTION("""COMPUTED_VALUE"""),"CVC-BUS-001")</f>
        <v>CVC-BUS-001</v>
      </c>
      <c r="B664" s="3" t="str">
        <f>IFERROR(__xludf.DUMMYFUNCTION("""COMPUTED_VALUE"""),"Xe đưa đón CBNV-47 chỗ")</f>
        <v>Xe đưa đón CBNV-47 chỗ</v>
      </c>
      <c r="C664" s="5" t="str">
        <f>IFERROR(__xludf.DUMMYFUNCTION("""COMPUTED_VALUE"""),"Phòng GNVC")</f>
        <v>Phòng GNVC</v>
      </c>
      <c r="D664" s="5" t="str">
        <f>IFERROR(__xludf.DUMMYFUNCTION("""COMPUTED_VALUE"""),"THACO")</f>
        <v>THACO</v>
      </c>
      <c r="E664" s="5" t="str">
        <f>IFERROR(__xludf.DUMMYFUNCTION("""COMPUTED_VALUE"""),"VIỆT NAM")</f>
        <v>VIỆT NAM</v>
      </c>
      <c r="F664" s="5">
        <f>IFERROR(__xludf.DUMMYFUNCTION("""COMPUTED_VALUE"""),2006.0)</f>
        <v>2006</v>
      </c>
      <c r="G664" s="5" t="str">
        <f>IFERROR(__xludf.DUMMYFUNCTION("""COMPUTED_VALUE"""),"Ô tô khách")</f>
        <v>Ô tô khách</v>
      </c>
      <c r="H664" s="5" t="str">
        <f>IFERROR(__xludf.DUMMYFUNCTION("""COMPUTED_VALUE"""),"238HP")</f>
        <v>238HP</v>
      </c>
      <c r="I664" s="5" t="str">
        <f>IFERROR(__xludf.DUMMYFUNCTION("""COMPUTED_VALUE"""),"RNHTGB47A6C010081")</f>
        <v>RNHTGB47A6C010081</v>
      </c>
      <c r="J664" s="5" t="str">
        <f>IFERROR(__xludf.DUMMYFUNCTION("""COMPUTED_VALUE"""),"YC6A24020A35QA600206")</f>
        <v>YC6A24020A35QA600206</v>
      </c>
      <c r="K664" s="5">
        <f>IFERROR(__xludf.DUMMYFUNCTION("""COMPUTED_VALUE"""),0.0)</f>
        <v>0</v>
      </c>
      <c r="L664" s="5"/>
    </row>
    <row r="665">
      <c r="A665" s="168" t="str">
        <f>IFERROR(__xludf.DUMMYFUNCTION("""COMPUTED_VALUE"""),"CVC-BUS-002")</f>
        <v>CVC-BUS-002</v>
      </c>
      <c r="B665" s="3" t="str">
        <f>IFERROR(__xludf.DUMMYFUNCTION("""COMPUTED_VALUE"""),"Xe đưa đón CBNV-47 chỗ")</f>
        <v>Xe đưa đón CBNV-47 chỗ</v>
      </c>
      <c r="C665" s="5" t="str">
        <f>IFERROR(__xludf.DUMMYFUNCTION("""COMPUTED_VALUE"""),"Phòng GNVC")</f>
        <v>Phòng GNVC</v>
      </c>
      <c r="D665" s="5" t="str">
        <f>IFERROR(__xludf.DUMMYFUNCTION("""COMPUTED_VALUE"""),"THACO")</f>
        <v>THACO</v>
      </c>
      <c r="E665" s="5" t="str">
        <f>IFERROR(__xludf.DUMMYFUNCTION("""COMPUTED_VALUE"""),"VIỆT NAM")</f>
        <v>VIỆT NAM</v>
      </c>
      <c r="F665" s="5">
        <f>IFERROR(__xludf.DUMMYFUNCTION("""COMPUTED_VALUE"""),2006.0)</f>
        <v>2006</v>
      </c>
      <c r="G665" s="5" t="str">
        <f>IFERROR(__xludf.DUMMYFUNCTION("""COMPUTED_VALUE"""),"Ô tô khách")</f>
        <v>Ô tô khách</v>
      </c>
      <c r="H665" s="5" t="str">
        <f>IFERROR(__xludf.DUMMYFUNCTION("""COMPUTED_VALUE"""),"238HP")</f>
        <v>238HP</v>
      </c>
      <c r="I665" s="5" t="str">
        <f>IFERROR(__xludf.DUMMYFUNCTION("""COMPUTED_VALUE"""),"RNHTGB47A6C010084")</f>
        <v>RNHTGB47A6C010084</v>
      </c>
      <c r="J665" s="5" t="str">
        <f>IFERROR(__xludf.DUMMYFUNCTION("""COMPUTED_VALUE"""),"YC6A24020A35QA600208")</f>
        <v>YC6A24020A35QA600208</v>
      </c>
      <c r="K665" s="5">
        <f>IFERROR(__xludf.DUMMYFUNCTION("""COMPUTED_VALUE"""),0.0)</f>
        <v>0</v>
      </c>
      <c r="L665" s="5"/>
    </row>
    <row r="666">
      <c r="A666" s="168" t="str">
        <f>IFERROR(__xludf.DUMMYFUNCTION("""COMPUTED_VALUE"""),"CHT-CNA-001")</f>
        <v>CHT-CNA-001</v>
      </c>
      <c r="B666" s="3" t="str">
        <f>IFERROR(__xludf.DUMMYFUNCTION("""COMPUTED_VALUE"""),"Thiết bị cày ngầm 3 trụ (M.ủi)")</f>
        <v>Thiết bị cày ngầm 3 trụ (M.ủi)</v>
      </c>
      <c r="C666" s="5" t="str">
        <f>IFERROR(__xludf.DUMMYFUNCTION("""COMPUTED_VALUE"""),"CGTC DP")</f>
        <v>CGTC DP</v>
      </c>
      <c r="D666" s="5" t="str">
        <f>IFERROR(__xludf.DUMMYFUNCTION("""COMPUTED_VALUE"""),"TRUNG QUỐC")</f>
        <v>TRUNG QUỐC</v>
      </c>
      <c r="E666" s="5" t="str">
        <f>IFERROR(__xludf.DUMMYFUNCTION("""COMPUTED_VALUE"""),"3 trụ")</f>
        <v>3 trụ</v>
      </c>
      <c r="F666" s="5"/>
      <c r="G666" s="5" t="str">
        <f>IFERROR(__xludf.DUMMYFUNCTION("""COMPUTED_VALUE"""),"2022")</f>
        <v>2022</v>
      </c>
      <c r="H666" s="5"/>
      <c r="I666" s="5"/>
      <c r="J666" s="5"/>
      <c r="K666" s="5"/>
      <c r="L666" s="5" t="str">
        <f>IFERROR(__xludf.DUMMYFUNCTION("""COMPUTED_VALUE"""),"KLH")</f>
        <v>KLH</v>
      </c>
    </row>
    <row r="667">
      <c r="A667" s="168" t="str">
        <f>IFERROR(__xludf.DUMMYFUNCTION("""COMPUTED_VALUE"""),"CHT-CNA-002")</f>
        <v>CHT-CNA-002</v>
      </c>
      <c r="B667" s="3" t="str">
        <f>IFERROR(__xludf.DUMMYFUNCTION("""COMPUTED_VALUE"""),"Thiết bị cày ngầm 3 trụ (M.ủi)")</f>
        <v>Thiết bị cày ngầm 3 trụ (M.ủi)</v>
      </c>
      <c r="C667" s="5" t="str">
        <f>IFERROR(__xludf.DUMMYFUNCTION("""COMPUTED_VALUE"""),"CGTC DP")</f>
        <v>CGTC DP</v>
      </c>
      <c r="D667" s="5" t="str">
        <f>IFERROR(__xludf.DUMMYFUNCTION("""COMPUTED_VALUE"""),"TRUNG QUỐC")</f>
        <v>TRUNG QUỐC</v>
      </c>
      <c r="E667" s="5" t="str">
        <f>IFERROR(__xludf.DUMMYFUNCTION("""COMPUTED_VALUE"""),"3 trụ")</f>
        <v>3 trụ</v>
      </c>
      <c r="F667" s="5"/>
      <c r="G667" s="5"/>
      <c r="H667" s="5"/>
      <c r="I667" s="5"/>
      <c r="J667" s="5"/>
      <c r="K667" s="5"/>
      <c r="L667" s="5" t="str">
        <f>IFERROR(__xludf.DUMMYFUNCTION("""COMPUTED_VALUE"""),"KLH")</f>
        <v>KLH</v>
      </c>
    </row>
    <row r="668">
      <c r="A668" s="168" t="str">
        <f>IFERROR(__xludf.DUMMYFUNCTION("""COMPUTED_VALUE"""),"CHT-BDU-005")</f>
        <v>CHT-BDU-005</v>
      </c>
      <c r="B668" s="3" t="str">
        <f>IFERROR(__xludf.DUMMYFUNCTION("""COMPUTED_VALUE"""),"Búa đục bê tông")</f>
        <v>Búa đục bê tông</v>
      </c>
      <c r="C668" s="5" t="str">
        <f>IFERROR(__xludf.DUMMYFUNCTION("""COMPUTED_VALUE"""),"CGTC DP")</f>
        <v>CGTC DP</v>
      </c>
      <c r="D668" s="5" t="str">
        <f>IFERROR(__xludf.DUMMYFUNCTION("""COMPUTED_VALUE"""),"TRUNG QUỐC")</f>
        <v>TRUNG QUỐC</v>
      </c>
      <c r="E668" s="5" t="str">
        <f>IFERROR(__xludf.DUMMYFUNCTION("""COMPUTED_VALUE"""),"ETD2000")</f>
        <v>ETD2000</v>
      </c>
      <c r="F668" s="5"/>
      <c r="G668" s="5" t="str">
        <f>IFERROR(__xludf.DUMMYFUNCTION("""COMPUTED_VALUE"""),"2024")</f>
        <v>2024</v>
      </c>
      <c r="H668" s="5"/>
      <c r="I668" s="5" t="str">
        <f>IFERROR(__xludf.DUMMYFUNCTION("""COMPUTED_VALUE"""),"CNP1500D14HB1")</f>
        <v>CNP1500D14HB1</v>
      </c>
      <c r="J668" s="5"/>
      <c r="K668" s="5"/>
      <c r="L668" s="5" t="str">
        <f>IFERROR(__xludf.DUMMYFUNCTION("""COMPUTED_VALUE"""),"KLH")</f>
        <v>KLH</v>
      </c>
    </row>
    <row r="669">
      <c r="A669" s="168" t="str">
        <f>IFERROR(__xludf.DUMMYFUNCTION("""COMPUTED_VALUE"""),"CHT-CMĐ-001")</f>
        <v>CHT-CMĐ-001</v>
      </c>
      <c r="B669" s="3" t="str">
        <f>IFERROR(__xludf.DUMMYFUNCTION("""COMPUTED_VALUE"""),"Cần dài M.Đào Sumitomo (16m)")</f>
        <v>Cần dài M.Đào Sumitomo (16m)</v>
      </c>
      <c r="C669" s="5" t="str">
        <f>IFERROR(__xludf.DUMMYFUNCTION("""COMPUTED_VALUE"""),"CGTC DP")</f>
        <v>CGTC DP</v>
      </c>
      <c r="D669" s="5" t="str">
        <f>IFERROR(__xludf.DUMMYFUNCTION("""COMPUTED_VALUE"""),"TRUNG QUỐC")</f>
        <v>TRUNG QUỐC</v>
      </c>
      <c r="E669" s="5" t="str">
        <f>IFERROR(__xludf.DUMMYFUNCTION("""COMPUTED_VALUE"""),"16m")</f>
        <v>16m</v>
      </c>
      <c r="F669" s="5"/>
      <c r="G669" s="5"/>
      <c r="H669" s="5"/>
      <c r="I669" s="5"/>
      <c r="J669" s="5"/>
      <c r="K669" s="5"/>
      <c r="L669" s="5" t="str">
        <f>IFERROR(__xludf.DUMMYFUNCTION("""COMPUTED_VALUE"""),"KLH")</f>
        <v>KLH</v>
      </c>
    </row>
    <row r="670">
      <c r="A670" s="168" t="str">
        <f>IFERROR(__xludf.DUMMYFUNCTION("""COMPUTED_VALUE"""),"CHT-CMĐ-002")</f>
        <v>CHT-CMĐ-002</v>
      </c>
      <c r="B670" s="3" t="str">
        <f>IFERROR(__xludf.DUMMYFUNCTION("""COMPUTED_VALUE"""),"Cần dài M.Đào Kobeco (18m)")</f>
        <v>Cần dài M.Đào Kobeco (18m)</v>
      </c>
      <c r="C670" s="5" t="str">
        <f>IFERROR(__xludf.DUMMYFUNCTION("""COMPUTED_VALUE"""),"CGTC DP")</f>
        <v>CGTC DP</v>
      </c>
      <c r="D670" s="5" t="str">
        <f>IFERROR(__xludf.DUMMYFUNCTION("""COMPUTED_VALUE"""),"TRUNG QUỐC")</f>
        <v>TRUNG QUỐC</v>
      </c>
      <c r="E670" s="5" t="str">
        <f>IFERROR(__xludf.DUMMYFUNCTION("""COMPUTED_VALUE"""),"18m")</f>
        <v>18m</v>
      </c>
      <c r="F670" s="5"/>
      <c r="G670" s="5"/>
      <c r="H670" s="5"/>
      <c r="I670" s="5"/>
      <c r="J670" s="5"/>
      <c r="K670" s="5"/>
      <c r="L670" s="5" t="str">
        <f>IFERROR(__xludf.DUMMYFUNCTION("""COMPUTED_VALUE"""),"KLH")</f>
        <v>KLH</v>
      </c>
    </row>
    <row r="671">
      <c r="A671" s="168" t="str">
        <f>IFERROR(__xludf.DUMMYFUNCTION("""COMPUTED_VALUE"""),"CHT-ĐTL-001")</f>
        <v>CHT-ĐTL-001</v>
      </c>
      <c r="B671" s="3" t="str">
        <f>IFERROR(__xludf.DUMMYFUNCTION("""COMPUTED_VALUE"""),"Đầm taluy (Đầm rung thủy lực)")</f>
        <v>Đầm taluy (Đầm rung thủy lực)</v>
      </c>
      <c r="C671" s="5" t="str">
        <f>IFERROR(__xludf.DUMMYFUNCTION("""COMPUTED_VALUE"""),"CGTC DP")</f>
        <v>CGTC DP</v>
      </c>
      <c r="D671" s="5" t="str">
        <f>IFERROR(__xludf.DUMMYFUNCTION("""COMPUTED_VALUE"""),"TRUNG QUỐC")</f>
        <v>TRUNG QUỐC</v>
      </c>
      <c r="E671" s="5" t="str">
        <f>IFERROR(__xludf.DUMMYFUNCTION("""COMPUTED_VALUE"""),"Taluy")</f>
        <v>Taluy</v>
      </c>
      <c r="F671" s="5"/>
      <c r="G671" s="5"/>
      <c r="H671" s="5"/>
      <c r="I671" s="5"/>
      <c r="J671" s="5"/>
      <c r="K671" s="5"/>
      <c r="L671" s="5" t="str">
        <f>IFERROR(__xludf.DUMMYFUNCTION("""COMPUTED_VALUE"""),"KLH")</f>
        <v>KLH</v>
      </c>
    </row>
    <row r="672">
      <c r="A672" s="168" t="str">
        <f>IFERROR(__xludf.DUMMYFUNCTION("""COMPUTED_VALUE"""),"CHT-GĐH-007")</f>
        <v>CHT-GĐH-007</v>
      </c>
      <c r="B672" s="3" t="str">
        <f>IFERROR(__xludf.DUMMYFUNCTION("""COMPUTED_VALUE"""),"Gàu định hình M0.6")</f>
        <v>Gàu định hình M0.6</v>
      </c>
      <c r="C672" s="5" t="str">
        <f>IFERROR(__xludf.DUMMYFUNCTION("""COMPUTED_VALUE"""),"CGTC DP")</f>
        <v>CGTC DP</v>
      </c>
      <c r="D672" s="5" t="str">
        <f>IFERROR(__xludf.DUMMYFUNCTION("""COMPUTED_VALUE"""),"THACO AGRI")</f>
        <v>THACO AGRI</v>
      </c>
      <c r="E672" s="5" t="str">
        <f>IFERROR(__xludf.DUMMYFUNCTION("""COMPUTED_VALUE"""),"M0.6")</f>
        <v>M0.6</v>
      </c>
      <c r="F672" s="5"/>
      <c r="G672" s="5" t="str">
        <f>IFERROR(__xludf.DUMMYFUNCTION("""COMPUTED_VALUE"""),"2024")</f>
        <v>2024</v>
      </c>
      <c r="H672" s="5" t="str">
        <f>IFERROR(__xludf.DUMMYFUNCTION("""COMPUTED_VALUE"""),"700x200x500")</f>
        <v>700x200x500</v>
      </c>
      <c r="I672" s="5"/>
      <c r="J672" s="5"/>
      <c r="K672" s="5"/>
      <c r="L672" s="5" t="str">
        <f>IFERROR(__xludf.DUMMYFUNCTION("""COMPUTED_VALUE"""),"KLH")</f>
        <v>KLH</v>
      </c>
    </row>
    <row r="673">
      <c r="A673" s="168" t="str">
        <f>IFERROR(__xludf.DUMMYFUNCTION("""COMPUTED_VALUE"""),"CHT-GĐH-010")</f>
        <v>CHT-GĐH-010</v>
      </c>
      <c r="B673" s="3" t="str">
        <f>IFERROR(__xludf.DUMMYFUNCTION("""COMPUTED_VALUE"""),"Gàu định hình M1")</f>
        <v>Gàu định hình M1</v>
      </c>
      <c r="C673" s="5" t="str">
        <f>IFERROR(__xludf.DUMMYFUNCTION("""COMPUTED_VALUE"""),"CGTC DP")</f>
        <v>CGTC DP</v>
      </c>
      <c r="D673" s="5" t="str">
        <f>IFERROR(__xludf.DUMMYFUNCTION("""COMPUTED_VALUE"""),"THACO AGRI")</f>
        <v>THACO AGRI</v>
      </c>
      <c r="E673" s="5" t="str">
        <f>IFERROR(__xludf.DUMMYFUNCTION("""COMPUTED_VALUE"""),"M1")</f>
        <v>M1</v>
      </c>
      <c r="F673" s="5"/>
      <c r="G673" s="5" t="str">
        <f>IFERROR(__xludf.DUMMYFUNCTION("""COMPUTED_VALUE"""),"2024")</f>
        <v>2024</v>
      </c>
      <c r="H673" s="5" t="str">
        <f>IFERROR(__xludf.DUMMYFUNCTION("""COMPUTED_VALUE"""),"12x30x80")</f>
        <v>12x30x80</v>
      </c>
      <c r="I673" s="5"/>
      <c r="J673" s="5"/>
      <c r="K673" s="5"/>
      <c r="L673" s="5" t="str">
        <f>IFERROR(__xludf.DUMMYFUNCTION("""COMPUTED_VALUE"""),"KLH")</f>
        <v>KLH</v>
      </c>
    </row>
    <row r="674">
      <c r="A674" s="168" t="str">
        <f>IFERROR(__xludf.DUMMYFUNCTION("""COMPUTED_VALUE"""),"CHT-GĐH-017")</f>
        <v>CHT-GĐH-017</v>
      </c>
      <c r="B674" s="3" t="str">
        <f>IFERROR(__xludf.DUMMYFUNCTION("""COMPUTED_VALUE"""),"Gàu định hình M0.6 (Cải tiến)")</f>
        <v>Gàu định hình M0.6 (Cải tiến)</v>
      </c>
      <c r="C674" s="5" t="str">
        <f>IFERROR(__xludf.DUMMYFUNCTION("""COMPUTED_VALUE"""),"CGTC DP")</f>
        <v>CGTC DP</v>
      </c>
      <c r="D674" s="5" t="str">
        <f>IFERROR(__xludf.DUMMYFUNCTION("""COMPUTED_VALUE"""),"THACO AGRI")</f>
        <v>THACO AGRI</v>
      </c>
      <c r="E674" s="5" t="str">
        <f>IFERROR(__xludf.DUMMYFUNCTION("""COMPUTED_VALUE"""),"M0.6")</f>
        <v>M0.6</v>
      </c>
      <c r="F674" s="5"/>
      <c r="G674" s="5" t="str">
        <f>IFERROR(__xludf.DUMMYFUNCTION("""COMPUTED_VALUE"""),"2024")</f>
        <v>2024</v>
      </c>
      <c r="H674" s="5" t="str">
        <f>IFERROR(__xludf.DUMMYFUNCTION("""COMPUTED_VALUE"""),"800x800x200")</f>
        <v>800x800x200</v>
      </c>
      <c r="I674" s="5"/>
      <c r="J674" s="5"/>
      <c r="K674" s="5"/>
      <c r="L674" s="5" t="str">
        <f>IFERROR(__xludf.DUMMYFUNCTION("""COMPUTED_VALUE"""),"KLH")</f>
        <v>KLH</v>
      </c>
    </row>
    <row r="675">
      <c r="A675" s="168" t="str">
        <f>IFERROR(__xludf.DUMMYFUNCTION("""COMPUTED_VALUE"""),"CHT-GĐH-018")</f>
        <v>CHT-GĐH-018</v>
      </c>
      <c r="B675" s="3" t="str">
        <f>IFERROR(__xludf.DUMMYFUNCTION("""COMPUTED_VALUE"""),"Gàu định hình M0.6 (Cải tiến)")</f>
        <v>Gàu định hình M0.6 (Cải tiến)</v>
      </c>
      <c r="C675" s="5" t="str">
        <f>IFERROR(__xludf.DUMMYFUNCTION("""COMPUTED_VALUE"""),"CGTC DP")</f>
        <v>CGTC DP</v>
      </c>
      <c r="D675" s="5" t="str">
        <f>IFERROR(__xludf.DUMMYFUNCTION("""COMPUTED_VALUE"""),"THACO AGRI")</f>
        <v>THACO AGRI</v>
      </c>
      <c r="E675" s="5" t="str">
        <f>IFERROR(__xludf.DUMMYFUNCTION("""COMPUTED_VALUE"""),"M0.6")</f>
        <v>M0.6</v>
      </c>
      <c r="F675" s="5"/>
      <c r="G675" s="5" t="str">
        <f>IFERROR(__xludf.DUMMYFUNCTION("""COMPUTED_VALUE"""),"2024")</f>
        <v>2024</v>
      </c>
      <c r="H675" s="5" t="str">
        <f>IFERROR(__xludf.DUMMYFUNCTION("""COMPUTED_VALUE"""),"800x800x200")</f>
        <v>800x800x200</v>
      </c>
      <c r="I675" s="5"/>
      <c r="J675" s="5"/>
      <c r="K675" s="5"/>
      <c r="L675" s="5" t="str">
        <f>IFERROR(__xludf.DUMMYFUNCTION("""COMPUTED_VALUE"""),"KLH")</f>
        <v>KLH</v>
      </c>
    </row>
    <row r="676">
      <c r="A676" s="168" t="str">
        <f>IFERROR(__xludf.DUMMYFUNCTION("""COMPUTED_VALUE"""),"CHT-GĐH-019")</f>
        <v>CHT-GĐH-019</v>
      </c>
      <c r="B676" s="3" t="str">
        <f>IFERROR(__xludf.DUMMYFUNCTION("""COMPUTED_VALUE"""),"Gàu định hình M0.6 (Cải tiến)")</f>
        <v>Gàu định hình M0.6 (Cải tiến)</v>
      </c>
      <c r="C676" s="5" t="str">
        <f>IFERROR(__xludf.DUMMYFUNCTION("""COMPUTED_VALUE"""),"CGTC DP")</f>
        <v>CGTC DP</v>
      </c>
      <c r="D676" s="5" t="str">
        <f>IFERROR(__xludf.DUMMYFUNCTION("""COMPUTED_VALUE"""),"THACO AGRI")</f>
        <v>THACO AGRI</v>
      </c>
      <c r="E676" s="5" t="str">
        <f>IFERROR(__xludf.DUMMYFUNCTION("""COMPUTED_VALUE"""),"M0.6")</f>
        <v>M0.6</v>
      </c>
      <c r="F676" s="5"/>
      <c r="G676" s="5" t="str">
        <f>IFERROR(__xludf.DUMMYFUNCTION("""COMPUTED_VALUE"""),"2024")</f>
        <v>2024</v>
      </c>
      <c r="H676" s="5" t="str">
        <f>IFERROR(__xludf.DUMMYFUNCTION("""COMPUTED_VALUE"""),"800x800x200")</f>
        <v>800x800x200</v>
      </c>
      <c r="I676" s="5"/>
      <c r="J676" s="5"/>
      <c r="K676" s="5"/>
      <c r="L676" s="5" t="str">
        <f>IFERROR(__xludf.DUMMYFUNCTION("""COMPUTED_VALUE"""),"KLH")</f>
        <v>KLH</v>
      </c>
    </row>
    <row r="677">
      <c r="A677" s="168" t="str">
        <f>IFERROR(__xludf.DUMMYFUNCTION("""COMPUTED_VALUE"""),"CHT-GĐH-020")</f>
        <v>CHT-GĐH-020</v>
      </c>
      <c r="B677" s="3" t="str">
        <f>IFERROR(__xludf.DUMMYFUNCTION("""COMPUTED_VALUE"""),"Gàu định hình M0.6 (Cải tiến)")</f>
        <v>Gàu định hình M0.6 (Cải tiến)</v>
      </c>
      <c r="C677" s="5" t="str">
        <f>IFERROR(__xludf.DUMMYFUNCTION("""COMPUTED_VALUE"""),"CGTC DP")</f>
        <v>CGTC DP</v>
      </c>
      <c r="D677" s="5" t="str">
        <f>IFERROR(__xludf.DUMMYFUNCTION("""COMPUTED_VALUE"""),"THACO AGRI")</f>
        <v>THACO AGRI</v>
      </c>
      <c r="E677" s="5" t="str">
        <f>IFERROR(__xludf.DUMMYFUNCTION("""COMPUTED_VALUE"""),"M0.6")</f>
        <v>M0.6</v>
      </c>
      <c r="F677" s="5"/>
      <c r="G677" s="5" t="str">
        <f>IFERROR(__xludf.DUMMYFUNCTION("""COMPUTED_VALUE"""),"2024")</f>
        <v>2024</v>
      </c>
      <c r="H677" s="5" t="str">
        <f>IFERROR(__xludf.DUMMYFUNCTION("""COMPUTED_VALUE"""),"800x800x200")</f>
        <v>800x800x200</v>
      </c>
      <c r="I677" s="5"/>
      <c r="J677" s="5"/>
      <c r="K677" s="5"/>
      <c r="L677" s="5" t="str">
        <f>IFERROR(__xludf.DUMMYFUNCTION("""COMPUTED_VALUE"""),"KLH")</f>
        <v>KLH</v>
      </c>
    </row>
    <row r="678">
      <c r="A678" s="168" t="str">
        <f>IFERROR(__xludf.DUMMYFUNCTION("""COMPUTED_VALUE"""),"CHT-GĐH-021")</f>
        <v>CHT-GĐH-021</v>
      </c>
      <c r="B678" s="3" t="str">
        <f>IFERROR(__xludf.DUMMYFUNCTION("""COMPUTED_VALUE"""),"Gàu định hình đào mương thoát nước")</f>
        <v>Gàu định hình đào mương thoát nước</v>
      </c>
      <c r="C678" s="5" t="str">
        <f>IFERROR(__xludf.DUMMYFUNCTION("""COMPUTED_VALUE"""),"CGTC DP")</f>
        <v>CGTC DP</v>
      </c>
      <c r="D678" s="5" t="str">
        <f>IFERROR(__xludf.DUMMYFUNCTION("""COMPUTED_VALUE"""),"THACO AGRI")</f>
        <v>THACO AGRI</v>
      </c>
      <c r="E678" s="5"/>
      <c r="F678" s="5"/>
      <c r="G678" s="5" t="str">
        <f>IFERROR(__xludf.DUMMYFUNCTION("""COMPUTED_VALUE"""),"2024")</f>
        <v>2024</v>
      </c>
      <c r="H678" s="5" t="str">
        <f>IFERROR(__xludf.DUMMYFUNCTION("""COMPUTED_VALUE"""),"200x200x400")</f>
        <v>200x200x400</v>
      </c>
      <c r="I678" s="5"/>
      <c r="J678" s="5"/>
      <c r="K678" s="5"/>
      <c r="L678" s="5" t="str">
        <f>IFERROR(__xludf.DUMMYFUNCTION("""COMPUTED_VALUE"""),"KLH")</f>
        <v>KLH</v>
      </c>
    </row>
    <row r="679">
      <c r="A679" s="168" t="str">
        <f>IFERROR(__xludf.DUMMYFUNCTION("""COMPUTED_VALUE"""),"CHT-GĐH-022")</f>
        <v>CHT-GĐH-022</v>
      </c>
      <c r="B679" s="3" t="str">
        <f>IFERROR(__xludf.DUMMYFUNCTION("""COMPUTED_VALUE"""),"Gàu định hình đào mương thoát nước")</f>
        <v>Gàu định hình đào mương thoát nước</v>
      </c>
      <c r="C679" s="5" t="str">
        <f>IFERROR(__xludf.DUMMYFUNCTION("""COMPUTED_VALUE"""),"CGTC DP")</f>
        <v>CGTC DP</v>
      </c>
      <c r="D679" s="5" t="str">
        <f>IFERROR(__xludf.DUMMYFUNCTION("""COMPUTED_VALUE"""),"THACO AGRI")</f>
        <v>THACO AGRI</v>
      </c>
      <c r="E679" s="5"/>
      <c r="F679" s="5"/>
      <c r="G679" s="5" t="str">
        <f>IFERROR(__xludf.DUMMYFUNCTION("""COMPUTED_VALUE"""),"2024")</f>
        <v>2024</v>
      </c>
      <c r="H679" s="5" t="str">
        <f>IFERROR(__xludf.DUMMYFUNCTION("""COMPUTED_VALUE"""),"200x350x400")</f>
        <v>200x350x400</v>
      </c>
      <c r="I679" s="5"/>
      <c r="J679" s="5"/>
      <c r="K679" s="5"/>
      <c r="L679" s="5" t="str">
        <f>IFERROR(__xludf.DUMMYFUNCTION("""COMPUTED_VALUE"""),"KLH")</f>
        <v>KLH</v>
      </c>
    </row>
    <row r="680">
      <c r="A680" s="168" t="str">
        <f>IFERROR(__xludf.DUMMYFUNCTION("""COMPUTED_VALUE"""),"CHT-GĐH-023")</f>
        <v>CHT-GĐH-023</v>
      </c>
      <c r="B680" s="3" t="str">
        <f>IFERROR(__xludf.DUMMYFUNCTION("""COMPUTED_VALUE"""),"Gàu định hình đào mương thoát nước")</f>
        <v>Gàu định hình đào mương thoát nước</v>
      </c>
      <c r="C680" s="5" t="str">
        <f>IFERROR(__xludf.DUMMYFUNCTION("""COMPUTED_VALUE"""),"CGTC DP")</f>
        <v>CGTC DP</v>
      </c>
      <c r="D680" s="5" t="str">
        <f>IFERROR(__xludf.DUMMYFUNCTION("""COMPUTED_VALUE"""),"THACO AGRI")</f>
        <v>THACO AGRI</v>
      </c>
      <c r="E680" s="5"/>
      <c r="F680" s="5"/>
      <c r="G680" s="5" t="str">
        <f>IFERROR(__xludf.DUMMYFUNCTION("""COMPUTED_VALUE"""),"2024")</f>
        <v>2024</v>
      </c>
      <c r="H680" s="5" t="str">
        <f>IFERROR(__xludf.DUMMYFUNCTION("""COMPUTED_VALUE"""),"350x200x400")</f>
        <v>350x200x400</v>
      </c>
      <c r="I680" s="5"/>
      <c r="J680" s="5"/>
      <c r="K680" s="5"/>
      <c r="L680" s="5" t="str">
        <f>IFERROR(__xludf.DUMMYFUNCTION("""COMPUTED_VALUE"""),"KLH")</f>
        <v>KLH</v>
      </c>
    </row>
    <row r="681">
      <c r="A681" s="168" t="str">
        <f>IFERROR(__xludf.DUMMYFUNCTION("""COMPUTED_VALUE"""),"CHT-GĐH-024")</f>
        <v>CHT-GĐH-024</v>
      </c>
      <c r="B681" s="3" t="str">
        <f>IFERROR(__xludf.DUMMYFUNCTION("""COMPUTED_VALUE"""),"Gàu định hình đào mương thoát nước")</f>
        <v>Gàu định hình đào mương thoát nước</v>
      </c>
      <c r="C681" s="5" t="str">
        <f>IFERROR(__xludf.DUMMYFUNCTION("""COMPUTED_VALUE"""),"CGTC DP")</f>
        <v>CGTC DP</v>
      </c>
      <c r="D681" s="5" t="str">
        <f>IFERROR(__xludf.DUMMYFUNCTION("""COMPUTED_VALUE"""),"THACO AGRI")</f>
        <v>THACO AGRI</v>
      </c>
      <c r="E681" s="5"/>
      <c r="F681" s="5"/>
      <c r="G681" s="5" t="str">
        <f>IFERROR(__xludf.DUMMYFUNCTION("""COMPUTED_VALUE"""),"2024")</f>
        <v>2024</v>
      </c>
      <c r="H681" s="5" t="str">
        <f>IFERROR(__xludf.DUMMYFUNCTION("""COMPUTED_VALUE"""),"350x200x400")</f>
        <v>350x200x400</v>
      </c>
      <c r="I681" s="5"/>
      <c r="J681" s="5"/>
      <c r="K681" s="5"/>
      <c r="L681" s="5" t="str">
        <f>IFERROR(__xludf.DUMMYFUNCTION("""COMPUTED_VALUE"""),"KLH")</f>
        <v>KLH</v>
      </c>
    </row>
    <row r="682">
      <c r="A682" s="168" t="str">
        <f>IFERROR(__xludf.DUMMYFUNCTION("""COMPUTED_VALUE"""),"CHT-GĐH-025")</f>
        <v>CHT-GĐH-025</v>
      </c>
      <c r="B682" s="3" t="str">
        <f>IFERROR(__xludf.DUMMYFUNCTION("""COMPUTED_VALUE"""),"Gàu định hình đào mương thoát nước")</f>
        <v>Gàu định hình đào mương thoát nước</v>
      </c>
      <c r="C682" s="5" t="str">
        <f>IFERROR(__xludf.DUMMYFUNCTION("""COMPUTED_VALUE"""),"CGTC DP")</f>
        <v>CGTC DP</v>
      </c>
      <c r="D682" s="5" t="str">
        <f>IFERROR(__xludf.DUMMYFUNCTION("""COMPUTED_VALUE"""),"THACO AGRI")</f>
        <v>THACO AGRI</v>
      </c>
      <c r="E682" s="5"/>
      <c r="F682" s="5"/>
      <c r="G682" s="5" t="str">
        <f>IFERROR(__xludf.DUMMYFUNCTION("""COMPUTED_VALUE"""),"2024")</f>
        <v>2024</v>
      </c>
      <c r="H682" s="5" t="str">
        <f>IFERROR(__xludf.DUMMYFUNCTION("""COMPUTED_VALUE"""),"350x200x400")</f>
        <v>350x200x400</v>
      </c>
      <c r="I682" s="5"/>
      <c r="J682" s="5"/>
      <c r="K682" s="5"/>
      <c r="L682" s="5" t="str">
        <f>IFERROR(__xludf.DUMMYFUNCTION("""COMPUTED_VALUE"""),"KLH")</f>
        <v>KLH</v>
      </c>
    </row>
    <row r="683">
      <c r="A683" s="168" t="str">
        <f>IFERROR(__xludf.DUMMYFUNCTION("""COMPUTED_VALUE"""),"CHT-GĐH-028")</f>
        <v>CHT-GĐH-028</v>
      </c>
      <c r="B683" s="3" t="str">
        <f>IFERROR(__xludf.DUMMYFUNCTION("""COMPUTED_VALUE"""),"Gàu định hình đào mương thoát nước")</f>
        <v>Gàu định hình đào mương thoát nước</v>
      </c>
      <c r="C683" s="5" t="str">
        <f>IFERROR(__xludf.DUMMYFUNCTION("""COMPUTED_VALUE"""),"CGTC DP")</f>
        <v>CGTC DP</v>
      </c>
      <c r="D683" s="5" t="str">
        <f>IFERROR(__xludf.DUMMYFUNCTION("""COMPUTED_VALUE"""),"THACO AGRI")</f>
        <v>THACO AGRI</v>
      </c>
      <c r="E683" s="5"/>
      <c r="F683" s="5"/>
      <c r="G683" s="5" t="str">
        <f>IFERROR(__xludf.DUMMYFUNCTION("""COMPUTED_VALUE"""),"2024")</f>
        <v>2024</v>
      </c>
      <c r="H683" s="5" t="str">
        <f>IFERROR(__xludf.DUMMYFUNCTION("""COMPUTED_VALUE"""),"1200x1000x400")</f>
        <v>1200x1000x400</v>
      </c>
      <c r="I683" s="5"/>
      <c r="J683" s="5"/>
      <c r="K683" s="5"/>
      <c r="L683" s="5" t="str">
        <f>IFERROR(__xludf.DUMMYFUNCTION("""COMPUTED_VALUE"""),"KLH")</f>
        <v>KLH</v>
      </c>
    </row>
    <row r="684">
      <c r="A684" s="168" t="str">
        <f>IFERROR(__xludf.DUMMYFUNCTION("""COMPUTED_VALUE"""),"CHT-GĐH-031")</f>
        <v>CHT-GĐH-031</v>
      </c>
      <c r="B684" s="3" t="str">
        <f>IFERROR(__xludf.DUMMYFUNCTION("""COMPUTED_VALUE"""),"Gàu định hình đào mương thoát nước")</f>
        <v>Gàu định hình đào mương thoát nước</v>
      </c>
      <c r="C684" s="5" t="str">
        <f>IFERROR(__xludf.DUMMYFUNCTION("""COMPUTED_VALUE"""),"CGTC DP")</f>
        <v>CGTC DP</v>
      </c>
      <c r="D684" s="5" t="str">
        <f>IFERROR(__xludf.DUMMYFUNCTION("""COMPUTED_VALUE"""),"THACO AGRI")</f>
        <v>THACO AGRI</v>
      </c>
      <c r="E684" s="5"/>
      <c r="F684" s="5"/>
      <c r="G684" s="5" t="str">
        <f>IFERROR(__xludf.DUMMYFUNCTION("""COMPUTED_VALUE"""),"2024")</f>
        <v>2024</v>
      </c>
      <c r="H684" s="5" t="str">
        <f>IFERROR(__xludf.DUMMYFUNCTION("""COMPUTED_VALUE"""),"350x200x400")</f>
        <v>350x200x400</v>
      </c>
      <c r="I684" s="5"/>
      <c r="J684" s="5"/>
      <c r="K684" s="5"/>
      <c r="L684" s="5" t="str">
        <f>IFERROR(__xludf.DUMMYFUNCTION("""COMPUTED_VALUE"""),"KLH")</f>
        <v>KLH</v>
      </c>
    </row>
    <row r="685">
      <c r="A685" s="168" t="str">
        <f>IFERROR(__xludf.DUMMYFUNCTION("""COMPUTED_VALUE"""),"CHT-GĐH-032")</f>
        <v>CHT-GĐH-032</v>
      </c>
      <c r="B685" s="3" t="str">
        <f>IFERROR(__xludf.DUMMYFUNCTION("""COMPUTED_VALUE"""),"Gàu định hình đào mương thoát nước")</f>
        <v>Gàu định hình đào mương thoát nước</v>
      </c>
      <c r="C685" s="5" t="str">
        <f>IFERROR(__xludf.DUMMYFUNCTION("""COMPUTED_VALUE"""),"CGTC DP")</f>
        <v>CGTC DP</v>
      </c>
      <c r="D685" s="5" t="str">
        <f>IFERROR(__xludf.DUMMYFUNCTION("""COMPUTED_VALUE"""),"THACO AGRI")</f>
        <v>THACO AGRI</v>
      </c>
      <c r="E685" s="5"/>
      <c r="F685" s="5"/>
      <c r="G685" s="5" t="str">
        <f>IFERROR(__xludf.DUMMYFUNCTION("""COMPUTED_VALUE"""),"2024")</f>
        <v>2024</v>
      </c>
      <c r="H685" s="5" t="str">
        <f>IFERROR(__xludf.DUMMYFUNCTION("""COMPUTED_VALUE"""),"350x200x400")</f>
        <v>350x200x400</v>
      </c>
      <c r="I685" s="5"/>
      <c r="J685" s="5"/>
      <c r="K685" s="5"/>
      <c r="L685" s="5" t="str">
        <f>IFERROR(__xludf.DUMMYFUNCTION("""COMPUTED_VALUE"""),"KLH")</f>
        <v>KLH</v>
      </c>
    </row>
    <row r="686">
      <c r="A686" s="168" t="str">
        <f>IFERROR(__xludf.DUMMYFUNCTION("""COMPUTED_VALUE"""),"CHT-GĐH-033")</f>
        <v>CHT-GĐH-033</v>
      </c>
      <c r="B686" s="3" t="str">
        <f>IFERROR(__xludf.DUMMYFUNCTION("""COMPUTED_VALUE"""),"Gàu định hình đào mương thoát nước")</f>
        <v>Gàu định hình đào mương thoát nước</v>
      </c>
      <c r="C686" s="5" t="str">
        <f>IFERROR(__xludf.DUMMYFUNCTION("""COMPUTED_VALUE"""),"CGTC DP")</f>
        <v>CGTC DP</v>
      </c>
      <c r="D686" s="5" t="str">
        <f>IFERROR(__xludf.DUMMYFUNCTION("""COMPUTED_VALUE"""),"THACO AGRI")</f>
        <v>THACO AGRI</v>
      </c>
      <c r="E686" s="5"/>
      <c r="F686" s="5"/>
      <c r="G686" s="5" t="str">
        <f>IFERROR(__xludf.DUMMYFUNCTION("""COMPUTED_VALUE"""),"2024")</f>
        <v>2024</v>
      </c>
      <c r="H686" s="5" t="str">
        <f>IFERROR(__xludf.DUMMYFUNCTION("""COMPUTED_VALUE"""),"350x200x400")</f>
        <v>350x200x400</v>
      </c>
      <c r="I686" s="5"/>
      <c r="J686" s="5"/>
      <c r="K686" s="5"/>
      <c r="L686" s="5" t="str">
        <f>IFERROR(__xludf.DUMMYFUNCTION("""COMPUTED_VALUE"""),"KLH")</f>
        <v>KLH</v>
      </c>
    </row>
    <row r="687">
      <c r="A687" s="168" t="str">
        <f>IFERROR(__xludf.DUMMYFUNCTION("""COMPUTED_VALUE"""),"CHT-GĐH-043")</f>
        <v>CHT-GĐH-043</v>
      </c>
      <c r="B687" s="3" t="str">
        <f>IFERROR(__xludf.DUMMYFUNCTION("""COMPUTED_VALUE"""),"Gàu định hình đào mương lô M1 (cải tiến)")</f>
        <v>Gàu định hình đào mương lô M1 (cải tiến)</v>
      </c>
      <c r="C687" s="5" t="str">
        <f>IFERROR(__xludf.DUMMYFUNCTION("""COMPUTED_VALUE"""),"CGTC DP")</f>
        <v>CGTC DP</v>
      </c>
      <c r="D687" s="5" t="str">
        <f>IFERROR(__xludf.DUMMYFUNCTION("""COMPUTED_VALUE"""),"THACO AGRI")</f>
        <v>THACO AGRI</v>
      </c>
      <c r="E687" s="5" t="str">
        <f>IFERROR(__xludf.DUMMYFUNCTION("""COMPUTED_VALUE"""),"M1")</f>
        <v>M1</v>
      </c>
      <c r="F687" s="5"/>
      <c r="G687" s="5" t="str">
        <f>IFERROR(__xludf.DUMMYFUNCTION("""COMPUTED_VALUE"""),"2024")</f>
        <v>2024</v>
      </c>
      <c r="H687" s="5" t="str">
        <f>IFERROR(__xludf.DUMMYFUNCTION("""COMPUTED_VALUE"""),"1200x400x1050")</f>
        <v>1200x400x1050</v>
      </c>
      <c r="I687" s="5"/>
      <c r="J687" s="5"/>
      <c r="K687" s="5"/>
      <c r="L687" s="5" t="str">
        <f>IFERROR(__xludf.DUMMYFUNCTION("""COMPUTED_VALUE"""),"KLH")</f>
        <v>KLH</v>
      </c>
    </row>
    <row r="688">
      <c r="A688" s="168" t="str">
        <f>IFERROR(__xludf.DUMMYFUNCTION("""COMPUTED_VALUE"""),"CHT-GĐH-044")</f>
        <v>CHT-GĐH-044</v>
      </c>
      <c r="B688" s="3" t="str">
        <f>IFERROR(__xludf.DUMMYFUNCTION("""COMPUTED_VALUE"""),"Gàu định hình đào mương lô M1 (cải tiến)")</f>
        <v>Gàu định hình đào mương lô M1 (cải tiến)</v>
      </c>
      <c r="C688" s="5" t="str">
        <f>IFERROR(__xludf.DUMMYFUNCTION("""COMPUTED_VALUE"""),"CGTC DP")</f>
        <v>CGTC DP</v>
      </c>
      <c r="D688" s="5" t="str">
        <f>IFERROR(__xludf.DUMMYFUNCTION("""COMPUTED_VALUE"""),"THACO AGRI")</f>
        <v>THACO AGRI</v>
      </c>
      <c r="E688" s="5" t="str">
        <f>IFERROR(__xludf.DUMMYFUNCTION("""COMPUTED_VALUE"""),"M1")</f>
        <v>M1</v>
      </c>
      <c r="F688" s="5"/>
      <c r="G688" s="5" t="str">
        <f>IFERROR(__xludf.DUMMYFUNCTION("""COMPUTED_VALUE"""),"2024")</f>
        <v>2024</v>
      </c>
      <c r="H688" s="5" t="str">
        <f>IFERROR(__xludf.DUMMYFUNCTION("""COMPUTED_VALUE"""),"1200x400x1050")</f>
        <v>1200x400x1050</v>
      </c>
      <c r="I688" s="5"/>
      <c r="J688" s="5"/>
      <c r="K688" s="5"/>
      <c r="L688" s="5" t="str">
        <f>IFERROR(__xludf.DUMMYFUNCTION("""COMPUTED_VALUE"""),"KLH")</f>
        <v>KLH</v>
      </c>
    </row>
    <row r="689">
      <c r="A689" s="168" t="str">
        <f>IFERROR(__xludf.DUMMYFUNCTION("""COMPUTED_VALUE"""),"CHT-GĐH-051")</f>
        <v>CHT-GĐH-051</v>
      </c>
      <c r="B689" s="3" t="str">
        <f>IFERROR(__xludf.DUMMYFUNCTION("""COMPUTED_VALUE"""),"Gàu định hình đào mương lô M1 (cải tiến)")</f>
        <v>Gàu định hình đào mương lô M1 (cải tiến)</v>
      </c>
      <c r="C689" s="5" t="str">
        <f>IFERROR(__xludf.DUMMYFUNCTION("""COMPUTED_VALUE"""),"CGTC DP")</f>
        <v>CGTC DP</v>
      </c>
      <c r="D689" s="5" t="str">
        <f>IFERROR(__xludf.DUMMYFUNCTION("""COMPUTED_VALUE"""),"THACO AGRI")</f>
        <v>THACO AGRI</v>
      </c>
      <c r="E689" s="5" t="str">
        <f>IFERROR(__xludf.DUMMYFUNCTION("""COMPUTED_VALUE"""),"M1")</f>
        <v>M1</v>
      </c>
      <c r="F689" s="5"/>
      <c r="G689" s="5" t="str">
        <f>IFERROR(__xludf.DUMMYFUNCTION("""COMPUTED_VALUE"""),"2024")</f>
        <v>2024</v>
      </c>
      <c r="H689" s="5" t="str">
        <f>IFERROR(__xludf.DUMMYFUNCTION("""COMPUTED_VALUE"""),"1200x400x1050")</f>
        <v>1200x400x1050</v>
      </c>
      <c r="I689" s="5"/>
      <c r="J689" s="5"/>
      <c r="K689" s="5"/>
      <c r="L689" s="5" t="str">
        <f>IFERROR(__xludf.DUMMYFUNCTION("""COMPUTED_VALUE"""),"KLH")</f>
        <v>KLH</v>
      </c>
    </row>
    <row r="690">
      <c r="A690" s="168" t="str">
        <f>IFERROR(__xludf.DUMMYFUNCTION("""COMPUTED_VALUE"""),"CHT-GĐH-052")</f>
        <v>CHT-GĐH-052</v>
      </c>
      <c r="B690" s="3" t="str">
        <f>IFERROR(__xludf.DUMMYFUNCTION("""COMPUTED_VALUE"""),"Gàu định hình đào mương lô M1 (cải tiến)")</f>
        <v>Gàu định hình đào mương lô M1 (cải tiến)</v>
      </c>
      <c r="C690" s="5" t="str">
        <f>IFERROR(__xludf.DUMMYFUNCTION("""COMPUTED_VALUE"""),"CGTC DP")</f>
        <v>CGTC DP</v>
      </c>
      <c r="D690" s="5" t="str">
        <f>IFERROR(__xludf.DUMMYFUNCTION("""COMPUTED_VALUE"""),"THACO AGRI")</f>
        <v>THACO AGRI</v>
      </c>
      <c r="E690" s="5" t="str">
        <f>IFERROR(__xludf.DUMMYFUNCTION("""COMPUTED_VALUE"""),"M1")</f>
        <v>M1</v>
      </c>
      <c r="F690" s="5"/>
      <c r="G690" s="5" t="str">
        <f>IFERROR(__xludf.DUMMYFUNCTION("""COMPUTED_VALUE"""),"2024")</f>
        <v>2024</v>
      </c>
      <c r="H690" s="5" t="str">
        <f>IFERROR(__xludf.DUMMYFUNCTION("""COMPUTED_VALUE"""),"1200x400x1050")</f>
        <v>1200x400x1050</v>
      </c>
      <c r="I690" s="5"/>
      <c r="J690" s="5"/>
      <c r="K690" s="5"/>
      <c r="L690" s="5" t="str">
        <f>IFERROR(__xludf.DUMMYFUNCTION("""COMPUTED_VALUE"""),"KLH")</f>
        <v>KLH</v>
      </c>
    </row>
    <row r="691">
      <c r="A691" s="168" t="str">
        <f>IFERROR(__xludf.DUMMYFUNCTION("""COMPUTED_VALUE"""),"CHT-GĐH-053")</f>
        <v>CHT-GĐH-053</v>
      </c>
      <c r="B691" s="3" t="str">
        <f>IFERROR(__xludf.DUMMYFUNCTION("""COMPUTED_VALUE"""),"Gàu định hình đào mương lô M1 (cải tiến)")</f>
        <v>Gàu định hình đào mương lô M1 (cải tiến)</v>
      </c>
      <c r="C691" s="5" t="str">
        <f>IFERROR(__xludf.DUMMYFUNCTION("""COMPUTED_VALUE"""),"CGTC DP")</f>
        <v>CGTC DP</v>
      </c>
      <c r="D691" s="5" t="str">
        <f>IFERROR(__xludf.DUMMYFUNCTION("""COMPUTED_VALUE"""),"THACO AGRI")</f>
        <v>THACO AGRI</v>
      </c>
      <c r="E691" s="5" t="str">
        <f>IFERROR(__xludf.DUMMYFUNCTION("""COMPUTED_VALUE"""),"M1")</f>
        <v>M1</v>
      </c>
      <c r="F691" s="5"/>
      <c r="G691" s="5" t="str">
        <f>IFERROR(__xludf.DUMMYFUNCTION("""COMPUTED_VALUE"""),"2024")</f>
        <v>2024</v>
      </c>
      <c r="H691" s="5" t="str">
        <f>IFERROR(__xludf.DUMMYFUNCTION("""COMPUTED_VALUE"""),"1200x400x1050")</f>
        <v>1200x400x1050</v>
      </c>
      <c r="I691" s="5"/>
      <c r="J691" s="5"/>
      <c r="K691" s="5"/>
      <c r="L691" s="5" t="str">
        <f>IFERROR(__xludf.DUMMYFUNCTION("""COMPUTED_VALUE"""),"KLH")</f>
        <v>KLH</v>
      </c>
    </row>
    <row r="692">
      <c r="A692" s="168" t="str">
        <f>IFERROR(__xludf.DUMMYFUNCTION("""COMPUTED_VALUE"""),"CHT-GĐH-069")</f>
        <v>CHT-GĐH-069</v>
      </c>
      <c r="B692" s="3" t="str">
        <f>IFERROR(__xludf.DUMMYFUNCTION("""COMPUTED_VALUE"""),"Gàu định hình đào mương thửa M1")</f>
        <v>Gàu định hình đào mương thửa M1</v>
      </c>
      <c r="C692" s="5" t="str">
        <f>IFERROR(__xludf.DUMMYFUNCTION("""COMPUTED_VALUE"""),"CGTC DP")</f>
        <v>CGTC DP</v>
      </c>
      <c r="D692" s="5" t="str">
        <f>IFERROR(__xludf.DUMMYFUNCTION("""COMPUTED_VALUE"""),"THACO AGRI")</f>
        <v>THACO AGRI</v>
      </c>
      <c r="E692" s="5" t="str">
        <f>IFERROR(__xludf.DUMMYFUNCTION("""COMPUTED_VALUE"""),"M1")</f>
        <v>M1</v>
      </c>
      <c r="F692" s="5"/>
      <c r="G692" s="5" t="str">
        <f>IFERROR(__xludf.DUMMYFUNCTION("""COMPUTED_VALUE"""),"2025")</f>
        <v>2025</v>
      </c>
      <c r="H692" s="5" t="str">
        <f>IFERROR(__xludf.DUMMYFUNCTION("""COMPUTED_VALUE"""),"1200x400x1200")</f>
        <v>1200x400x1200</v>
      </c>
      <c r="I692" s="5"/>
      <c r="J692" s="5"/>
      <c r="K692" s="5"/>
      <c r="L692" s="5" t="str">
        <f>IFERROR(__xludf.DUMMYFUNCTION("""COMPUTED_VALUE"""),"KLH")</f>
        <v>KLH</v>
      </c>
    </row>
    <row r="693">
      <c r="A693" s="168" t="str">
        <f>IFERROR(__xludf.DUMMYFUNCTION("""COMPUTED_VALUE"""),"CHT-GĐH-070")</f>
        <v>CHT-GĐH-070</v>
      </c>
      <c r="B693" s="3" t="str">
        <f>IFERROR(__xludf.DUMMYFUNCTION("""COMPUTED_VALUE"""),"Gàu định hình đào mương thửa M1")</f>
        <v>Gàu định hình đào mương thửa M1</v>
      </c>
      <c r="C693" s="5" t="str">
        <f>IFERROR(__xludf.DUMMYFUNCTION("""COMPUTED_VALUE"""),"CGTC DP")</f>
        <v>CGTC DP</v>
      </c>
      <c r="D693" s="5" t="str">
        <f>IFERROR(__xludf.DUMMYFUNCTION("""COMPUTED_VALUE"""),"THACO AGRI")</f>
        <v>THACO AGRI</v>
      </c>
      <c r="E693" s="5" t="str">
        <f>IFERROR(__xludf.DUMMYFUNCTION("""COMPUTED_VALUE"""),"M1")</f>
        <v>M1</v>
      </c>
      <c r="F693" s="5"/>
      <c r="G693" s="5" t="str">
        <f>IFERROR(__xludf.DUMMYFUNCTION("""COMPUTED_VALUE"""),"2025")</f>
        <v>2025</v>
      </c>
      <c r="H693" s="5" t="str">
        <f>IFERROR(__xludf.DUMMYFUNCTION("""COMPUTED_VALUE"""),"1200x400x1200")</f>
        <v>1200x400x1200</v>
      </c>
      <c r="I693" s="5"/>
      <c r="J693" s="5"/>
      <c r="K693" s="5"/>
      <c r="L693" s="5" t="str">
        <f>IFERROR(__xludf.DUMMYFUNCTION("""COMPUTED_VALUE"""),"KLH")</f>
        <v>KLH</v>
      </c>
    </row>
    <row r="694">
      <c r="A694" s="168" t="str">
        <f>IFERROR(__xludf.DUMMYFUNCTION("""COMPUTED_VALUE"""),"CHT-GĐH-071")</f>
        <v>CHT-GĐH-071</v>
      </c>
      <c r="B694" s="3" t="str">
        <f>IFERROR(__xludf.DUMMYFUNCTION("""COMPUTED_VALUE"""),"Gàu định hình đào mương thửa M1")</f>
        <v>Gàu định hình đào mương thửa M1</v>
      </c>
      <c r="C694" s="5" t="str">
        <f>IFERROR(__xludf.DUMMYFUNCTION("""COMPUTED_VALUE"""),"CGTC DP")</f>
        <v>CGTC DP</v>
      </c>
      <c r="D694" s="5" t="str">
        <f>IFERROR(__xludf.DUMMYFUNCTION("""COMPUTED_VALUE"""),"THACO AGRI")</f>
        <v>THACO AGRI</v>
      </c>
      <c r="E694" s="5" t="str">
        <f>IFERROR(__xludf.DUMMYFUNCTION("""COMPUTED_VALUE"""),"M1")</f>
        <v>M1</v>
      </c>
      <c r="F694" s="5"/>
      <c r="G694" s="5" t="str">
        <f>IFERROR(__xludf.DUMMYFUNCTION("""COMPUTED_VALUE"""),"2025")</f>
        <v>2025</v>
      </c>
      <c r="H694" s="5" t="str">
        <f>IFERROR(__xludf.DUMMYFUNCTION("""COMPUTED_VALUE"""),"1200x400x1200")</f>
        <v>1200x400x1200</v>
      </c>
      <c r="I694" s="5"/>
      <c r="J694" s="5"/>
      <c r="K694" s="5"/>
      <c r="L694" s="5" t="str">
        <f>IFERROR(__xludf.DUMMYFUNCTION("""COMPUTED_VALUE"""),"KLH")</f>
        <v>KLH</v>
      </c>
    </row>
    <row r="695">
      <c r="A695" s="168" t="str">
        <f>IFERROR(__xludf.DUMMYFUNCTION("""COMPUTED_VALUE"""),"CHT-GĐH-072")</f>
        <v>CHT-GĐH-072</v>
      </c>
      <c r="B695" s="3" t="str">
        <f>IFERROR(__xludf.DUMMYFUNCTION("""COMPUTED_VALUE"""),"Gàu định hình đào mương thửa M1")</f>
        <v>Gàu định hình đào mương thửa M1</v>
      </c>
      <c r="C695" s="5" t="str">
        <f>IFERROR(__xludf.DUMMYFUNCTION("""COMPUTED_VALUE"""),"CGTC DP")</f>
        <v>CGTC DP</v>
      </c>
      <c r="D695" s="5" t="str">
        <f>IFERROR(__xludf.DUMMYFUNCTION("""COMPUTED_VALUE"""),"THACO AGRI")</f>
        <v>THACO AGRI</v>
      </c>
      <c r="E695" s="5" t="str">
        <f>IFERROR(__xludf.DUMMYFUNCTION("""COMPUTED_VALUE"""),"M1")</f>
        <v>M1</v>
      </c>
      <c r="F695" s="5"/>
      <c r="G695" s="5" t="str">
        <f>IFERROR(__xludf.DUMMYFUNCTION("""COMPUTED_VALUE"""),"2025")</f>
        <v>2025</v>
      </c>
      <c r="H695" s="5" t="str">
        <f>IFERROR(__xludf.DUMMYFUNCTION("""COMPUTED_VALUE"""),"1200x400x1200")</f>
        <v>1200x400x1200</v>
      </c>
      <c r="I695" s="5"/>
      <c r="J695" s="5"/>
      <c r="K695" s="5"/>
      <c r="L695" s="5" t="str">
        <f>IFERROR(__xludf.DUMMYFUNCTION("""COMPUTED_VALUE"""),"KLH")</f>
        <v>KLH</v>
      </c>
    </row>
    <row r="696">
      <c r="A696" s="168" t="str">
        <f>IFERROR(__xludf.DUMMYFUNCTION("""COMPUTED_VALUE"""),"CHT-GĐH-073")</f>
        <v>CHT-GĐH-073</v>
      </c>
      <c r="B696" s="3" t="str">
        <f>IFERROR(__xludf.DUMMYFUNCTION("""COMPUTED_VALUE"""),"Gàu định hình đào mương thửa M1")</f>
        <v>Gàu định hình đào mương thửa M1</v>
      </c>
      <c r="C696" s="5" t="str">
        <f>IFERROR(__xludf.DUMMYFUNCTION("""COMPUTED_VALUE"""),"CGTC DP")</f>
        <v>CGTC DP</v>
      </c>
      <c r="D696" s="5" t="str">
        <f>IFERROR(__xludf.DUMMYFUNCTION("""COMPUTED_VALUE"""),"THACO AGRI")</f>
        <v>THACO AGRI</v>
      </c>
      <c r="E696" s="5" t="str">
        <f>IFERROR(__xludf.DUMMYFUNCTION("""COMPUTED_VALUE"""),"M1")</f>
        <v>M1</v>
      </c>
      <c r="F696" s="5"/>
      <c r="G696" s="5" t="str">
        <f>IFERROR(__xludf.DUMMYFUNCTION("""COMPUTED_VALUE"""),"2025")</f>
        <v>2025</v>
      </c>
      <c r="H696" s="5" t="str">
        <f>IFERROR(__xludf.DUMMYFUNCTION("""COMPUTED_VALUE"""),"1200x400x1200")</f>
        <v>1200x400x1200</v>
      </c>
      <c r="I696" s="5"/>
      <c r="J696" s="5"/>
      <c r="K696" s="5"/>
      <c r="L696" s="5" t="str">
        <f>IFERROR(__xludf.DUMMYFUNCTION("""COMPUTED_VALUE"""),"KLH")</f>
        <v>KLH</v>
      </c>
    </row>
    <row r="697">
      <c r="A697" s="168" t="str">
        <f>IFERROR(__xludf.DUMMYFUNCTION("""COMPUTED_VALUE"""),"CHT-GĐH-074")</f>
        <v>CHT-GĐH-074</v>
      </c>
      <c r="B697" s="3" t="str">
        <f>IFERROR(__xludf.DUMMYFUNCTION("""COMPUTED_VALUE"""),"Gàu định hình đào mương thửa M1")</f>
        <v>Gàu định hình đào mương thửa M1</v>
      </c>
      <c r="C697" s="5" t="str">
        <f>IFERROR(__xludf.DUMMYFUNCTION("""COMPUTED_VALUE"""),"CGTC DP")</f>
        <v>CGTC DP</v>
      </c>
      <c r="D697" s="5" t="str">
        <f>IFERROR(__xludf.DUMMYFUNCTION("""COMPUTED_VALUE"""),"THACO AGRI")</f>
        <v>THACO AGRI</v>
      </c>
      <c r="E697" s="5" t="str">
        <f>IFERROR(__xludf.DUMMYFUNCTION("""COMPUTED_VALUE"""),"M1")</f>
        <v>M1</v>
      </c>
      <c r="F697" s="5"/>
      <c r="G697" s="5" t="str">
        <f>IFERROR(__xludf.DUMMYFUNCTION("""COMPUTED_VALUE"""),"2025")</f>
        <v>2025</v>
      </c>
      <c r="H697" s="5" t="str">
        <f>IFERROR(__xludf.DUMMYFUNCTION("""COMPUTED_VALUE"""),"1200x400x1200")</f>
        <v>1200x400x1200</v>
      </c>
      <c r="I697" s="5"/>
      <c r="J697" s="5"/>
      <c r="K697" s="5"/>
      <c r="L697" s="5" t="str">
        <f>IFERROR(__xludf.DUMMYFUNCTION("""COMPUTED_VALUE"""),"KLH")</f>
        <v>KLH</v>
      </c>
    </row>
    <row r="698">
      <c r="A698" s="168" t="str">
        <f>IFERROR(__xludf.DUMMYFUNCTION("""COMPUTED_VALUE"""),"CHT-GĐH-075")</f>
        <v>CHT-GĐH-075</v>
      </c>
      <c r="B698" s="3" t="str">
        <f>IFERROR(__xludf.DUMMYFUNCTION("""COMPUTED_VALUE"""),"Gàu định hình đào mương thửa M1")</f>
        <v>Gàu định hình đào mương thửa M1</v>
      </c>
      <c r="C698" s="5" t="str">
        <f>IFERROR(__xludf.DUMMYFUNCTION("""COMPUTED_VALUE"""),"CGTC DP")</f>
        <v>CGTC DP</v>
      </c>
      <c r="D698" s="5" t="str">
        <f>IFERROR(__xludf.DUMMYFUNCTION("""COMPUTED_VALUE"""),"THACO AGRI")</f>
        <v>THACO AGRI</v>
      </c>
      <c r="E698" s="5" t="str">
        <f>IFERROR(__xludf.DUMMYFUNCTION("""COMPUTED_VALUE"""),"M1")</f>
        <v>M1</v>
      </c>
      <c r="F698" s="5"/>
      <c r="G698" s="5" t="str">
        <f>IFERROR(__xludf.DUMMYFUNCTION("""COMPUTED_VALUE"""),"2025")</f>
        <v>2025</v>
      </c>
      <c r="H698" s="5" t="str">
        <f>IFERROR(__xludf.DUMMYFUNCTION("""COMPUTED_VALUE"""),"1200x400x1200")</f>
        <v>1200x400x1200</v>
      </c>
      <c r="I698" s="5"/>
      <c r="J698" s="5"/>
      <c r="K698" s="5"/>
      <c r="L698" s="5" t="str">
        <f>IFERROR(__xludf.DUMMYFUNCTION("""COMPUTED_VALUE"""),"KLH")</f>
        <v>KLH</v>
      </c>
    </row>
    <row r="699">
      <c r="A699" s="168" t="str">
        <f>IFERROR(__xludf.DUMMYFUNCTION("""COMPUTED_VALUE"""),"CHT-GĐH-076")</f>
        <v>CHT-GĐH-076</v>
      </c>
      <c r="B699" s="3" t="str">
        <f>IFERROR(__xludf.DUMMYFUNCTION("""COMPUTED_VALUE"""),"Gàu định hình đào mương thửa M1")</f>
        <v>Gàu định hình đào mương thửa M1</v>
      </c>
      <c r="C699" s="5" t="str">
        <f>IFERROR(__xludf.DUMMYFUNCTION("""COMPUTED_VALUE"""),"CGTC DP")</f>
        <v>CGTC DP</v>
      </c>
      <c r="D699" s="5" t="str">
        <f>IFERROR(__xludf.DUMMYFUNCTION("""COMPUTED_VALUE"""),"THACO AGRI")</f>
        <v>THACO AGRI</v>
      </c>
      <c r="E699" s="5" t="str">
        <f>IFERROR(__xludf.DUMMYFUNCTION("""COMPUTED_VALUE"""),"M1")</f>
        <v>M1</v>
      </c>
      <c r="F699" s="5"/>
      <c r="G699" s="5" t="str">
        <f>IFERROR(__xludf.DUMMYFUNCTION("""COMPUTED_VALUE"""),"2025")</f>
        <v>2025</v>
      </c>
      <c r="H699" s="5" t="str">
        <f>IFERROR(__xludf.DUMMYFUNCTION("""COMPUTED_VALUE"""),"1200x400x1200")</f>
        <v>1200x400x1200</v>
      </c>
      <c r="I699" s="5"/>
      <c r="J699" s="5"/>
      <c r="K699" s="5"/>
      <c r="L699" s="5" t="str">
        <f>IFERROR(__xludf.DUMMYFUNCTION("""COMPUTED_VALUE"""),"KLH")</f>
        <v>KLH</v>
      </c>
    </row>
    <row r="700">
      <c r="A700" s="168" t="str">
        <f>IFERROR(__xludf.DUMMYFUNCTION("""COMPUTED_VALUE"""),"CHT-GĐH-077")</f>
        <v>CHT-GĐH-077</v>
      </c>
      <c r="B700" s="3" t="str">
        <f>IFERROR(__xludf.DUMMYFUNCTION("""COMPUTED_VALUE"""),"Gàu định hình đào mương thửa M1")</f>
        <v>Gàu định hình đào mương thửa M1</v>
      </c>
      <c r="C700" s="5" t="str">
        <f>IFERROR(__xludf.DUMMYFUNCTION("""COMPUTED_VALUE"""),"CGTC DP")</f>
        <v>CGTC DP</v>
      </c>
      <c r="D700" s="5" t="str">
        <f>IFERROR(__xludf.DUMMYFUNCTION("""COMPUTED_VALUE"""),"THACO AGRI")</f>
        <v>THACO AGRI</v>
      </c>
      <c r="E700" s="5" t="str">
        <f>IFERROR(__xludf.DUMMYFUNCTION("""COMPUTED_VALUE"""),"M1")</f>
        <v>M1</v>
      </c>
      <c r="F700" s="5"/>
      <c r="G700" s="5" t="str">
        <f>IFERROR(__xludf.DUMMYFUNCTION("""COMPUTED_VALUE"""),"2025")</f>
        <v>2025</v>
      </c>
      <c r="H700" s="5" t="str">
        <f>IFERROR(__xludf.DUMMYFUNCTION("""COMPUTED_VALUE"""),"1200x400x1200")</f>
        <v>1200x400x1200</v>
      </c>
      <c r="I700" s="5"/>
      <c r="J700" s="5"/>
      <c r="K700" s="5"/>
      <c r="L700" s="5" t="str">
        <f>IFERROR(__xludf.DUMMYFUNCTION("""COMPUTED_VALUE"""),"KLH")</f>
        <v>KLH</v>
      </c>
    </row>
    <row r="701">
      <c r="A701" s="168" t="str">
        <f>IFERROR(__xludf.DUMMYFUNCTION("""COMPUTED_VALUE"""),"CHT-GĐH-078")</f>
        <v>CHT-GĐH-078</v>
      </c>
      <c r="B701" s="3" t="str">
        <f>IFERROR(__xludf.DUMMYFUNCTION("""COMPUTED_VALUE"""),"Gàu định hình đào mương thửa M1")</f>
        <v>Gàu định hình đào mương thửa M1</v>
      </c>
      <c r="C701" s="5" t="str">
        <f>IFERROR(__xludf.DUMMYFUNCTION("""COMPUTED_VALUE"""),"CGTC DP")</f>
        <v>CGTC DP</v>
      </c>
      <c r="D701" s="5" t="str">
        <f>IFERROR(__xludf.DUMMYFUNCTION("""COMPUTED_VALUE"""),"THACO AGRI")</f>
        <v>THACO AGRI</v>
      </c>
      <c r="E701" s="5" t="str">
        <f>IFERROR(__xludf.DUMMYFUNCTION("""COMPUTED_VALUE"""),"M1")</f>
        <v>M1</v>
      </c>
      <c r="F701" s="5"/>
      <c r="G701" s="5" t="str">
        <f>IFERROR(__xludf.DUMMYFUNCTION("""COMPUTED_VALUE"""),"2025")</f>
        <v>2025</v>
      </c>
      <c r="H701" s="5" t="str">
        <f>IFERROR(__xludf.DUMMYFUNCTION("""COMPUTED_VALUE"""),"1200x400x1200")</f>
        <v>1200x400x1200</v>
      </c>
      <c r="I701" s="5"/>
      <c r="J701" s="5"/>
      <c r="K701" s="5"/>
      <c r="L701" s="5" t="str">
        <f>IFERROR(__xludf.DUMMYFUNCTION("""COMPUTED_VALUE"""),"KLH")</f>
        <v>KLH</v>
      </c>
    </row>
    <row r="702">
      <c r="A702" s="168" t="str">
        <f>IFERROR(__xludf.DUMMYFUNCTION("""COMPUTED_VALUE"""),"CHT-GĐH-084")</f>
        <v>CHT-GĐH-084</v>
      </c>
      <c r="B702" s="3" t="str">
        <f>IFERROR(__xludf.DUMMYFUNCTION("""COMPUTED_VALUE"""),"Gàu định hình đào mương M1.2")</f>
        <v>Gàu định hình đào mương M1.2</v>
      </c>
      <c r="C702" s="5" t="str">
        <f>IFERROR(__xludf.DUMMYFUNCTION("""COMPUTED_VALUE"""),"CGTC DP")</f>
        <v>CGTC DP</v>
      </c>
      <c r="D702" s="5" t="str">
        <f>IFERROR(__xludf.DUMMYFUNCTION("""COMPUTED_VALUE"""),"THACO AGRI")</f>
        <v>THACO AGRI</v>
      </c>
      <c r="E702" s="5" t="str">
        <f>IFERROR(__xludf.DUMMYFUNCTION("""COMPUTED_VALUE"""),"M1.2")</f>
        <v>M1.2</v>
      </c>
      <c r="F702" s="5"/>
      <c r="G702" s="5" t="str">
        <f>IFERROR(__xludf.DUMMYFUNCTION("""COMPUTED_VALUE"""),"2025")</f>
        <v>2025</v>
      </c>
      <c r="H702" s="5" t="str">
        <f>IFERROR(__xludf.DUMMYFUNCTION("""COMPUTED_VALUE"""),"1200x400x1200")</f>
        <v>1200x400x1200</v>
      </c>
      <c r="I702" s="5"/>
      <c r="J702" s="5"/>
      <c r="K702" s="5"/>
      <c r="L702" s="5" t="str">
        <f>IFERROR(__xludf.DUMMYFUNCTION("""COMPUTED_VALUE"""),"KLH")</f>
        <v>KLH</v>
      </c>
    </row>
    <row r="703">
      <c r="A703" s="168" t="str">
        <f>IFERROR(__xludf.DUMMYFUNCTION("""COMPUTED_VALUE"""),"CHT-GĐH-085")</f>
        <v>CHT-GĐH-085</v>
      </c>
      <c r="B703" s="3" t="str">
        <f>IFERROR(__xludf.DUMMYFUNCTION("""COMPUTED_VALUE"""),"Gàu định hình đào mương M1.2")</f>
        <v>Gàu định hình đào mương M1.2</v>
      </c>
      <c r="C703" s="5" t="str">
        <f>IFERROR(__xludf.DUMMYFUNCTION("""COMPUTED_VALUE"""),"CGTC DP")</f>
        <v>CGTC DP</v>
      </c>
      <c r="D703" s="5" t="str">
        <f>IFERROR(__xludf.DUMMYFUNCTION("""COMPUTED_VALUE"""),"THACO AGRI")</f>
        <v>THACO AGRI</v>
      </c>
      <c r="E703" s="5" t="str">
        <f>IFERROR(__xludf.DUMMYFUNCTION("""COMPUTED_VALUE"""),"M1.2")</f>
        <v>M1.2</v>
      </c>
      <c r="F703" s="5"/>
      <c r="G703" s="5" t="str">
        <f>IFERROR(__xludf.DUMMYFUNCTION("""COMPUTED_VALUE"""),"2025")</f>
        <v>2025</v>
      </c>
      <c r="H703" s="5" t="str">
        <f>IFERROR(__xludf.DUMMYFUNCTION("""COMPUTED_VALUE"""),"1200x400x1200")</f>
        <v>1200x400x1200</v>
      </c>
      <c r="I703" s="5"/>
      <c r="J703" s="5"/>
      <c r="K703" s="5"/>
      <c r="L703" s="5" t="str">
        <f>IFERROR(__xludf.DUMMYFUNCTION("""COMPUTED_VALUE"""),"KLH")</f>
        <v>KLH</v>
      </c>
    </row>
    <row r="704">
      <c r="A704" s="168" t="str">
        <f>IFERROR(__xludf.DUMMYFUNCTION("""COMPUTED_VALUE"""),"CHT-GĐH-093")</f>
        <v>CHT-GĐH-093</v>
      </c>
      <c r="B704" s="3" t="str">
        <f>IFERROR(__xludf.DUMMYFUNCTION("""COMPUTED_VALUE"""),"Gàu định hình đào mương M1")</f>
        <v>Gàu định hình đào mương M1</v>
      </c>
      <c r="C704" s="5" t="str">
        <f>IFERROR(__xludf.DUMMYFUNCTION("""COMPUTED_VALUE"""),"CGTC DP")</f>
        <v>CGTC DP</v>
      </c>
      <c r="D704" s="5" t="str">
        <f>IFERROR(__xludf.DUMMYFUNCTION("""COMPUTED_VALUE"""),"THACO AGRI")</f>
        <v>THACO AGRI</v>
      </c>
      <c r="E704" s="5" t="str">
        <f>IFERROR(__xludf.DUMMYFUNCTION("""COMPUTED_VALUE"""),"M1.2")</f>
        <v>M1.2</v>
      </c>
      <c r="F704" s="5"/>
      <c r="G704" s="5" t="str">
        <f>IFERROR(__xludf.DUMMYFUNCTION("""COMPUTED_VALUE"""),"2025")</f>
        <v>2025</v>
      </c>
      <c r="H704" s="5" t="str">
        <f>IFERROR(__xludf.DUMMYFUNCTION("""COMPUTED_VALUE"""),"1200x400x1200")</f>
        <v>1200x400x1200</v>
      </c>
      <c r="I704" s="5"/>
      <c r="J704" s="5"/>
      <c r="K704" s="5"/>
      <c r="L704" s="5" t="str">
        <f>IFERROR(__xludf.DUMMYFUNCTION("""COMPUTED_VALUE"""),"KLH")</f>
        <v>KLH</v>
      </c>
    </row>
    <row r="705">
      <c r="A705" s="168" t="str">
        <f>IFERROR(__xludf.DUMMYFUNCTION("""COMPUTED_VALUE"""),"CHT-GĐH-094")</f>
        <v>CHT-GĐH-094</v>
      </c>
      <c r="B705" s="3" t="str">
        <f>IFERROR(__xludf.DUMMYFUNCTION("""COMPUTED_VALUE"""),"Gàu định hình đào mương M1")</f>
        <v>Gàu định hình đào mương M1</v>
      </c>
      <c r="C705" s="5" t="str">
        <f>IFERROR(__xludf.DUMMYFUNCTION("""COMPUTED_VALUE"""),"CGTC DP")</f>
        <v>CGTC DP</v>
      </c>
      <c r="D705" s="5" t="str">
        <f>IFERROR(__xludf.DUMMYFUNCTION("""COMPUTED_VALUE"""),"THACO AGRI")</f>
        <v>THACO AGRI</v>
      </c>
      <c r="E705" s="5" t="str">
        <f>IFERROR(__xludf.DUMMYFUNCTION("""COMPUTED_VALUE"""),"M1.2")</f>
        <v>M1.2</v>
      </c>
      <c r="F705" s="5"/>
      <c r="G705" s="5" t="str">
        <f>IFERROR(__xludf.DUMMYFUNCTION("""COMPUTED_VALUE"""),"2025")</f>
        <v>2025</v>
      </c>
      <c r="H705" s="5" t="str">
        <f>IFERROR(__xludf.DUMMYFUNCTION("""COMPUTED_VALUE"""),"1200x400x1200")</f>
        <v>1200x400x1200</v>
      </c>
      <c r="I705" s="5"/>
      <c r="J705" s="5"/>
      <c r="K705" s="5"/>
      <c r="L705" s="5" t="str">
        <f>IFERROR(__xludf.DUMMYFUNCTION("""COMPUTED_VALUE"""),"KLH")</f>
        <v>KLH</v>
      </c>
    </row>
    <row r="706">
      <c r="A706" s="168" t="str">
        <f>IFERROR(__xludf.DUMMYFUNCTION("""COMPUTED_VALUE"""),"CHT-GĐH-098")</f>
        <v>CHT-GĐH-098</v>
      </c>
      <c r="B706" s="3" t="str">
        <f>IFERROR(__xludf.DUMMYFUNCTION("""COMPUTED_VALUE"""),"Gàu định hình đào mương M1")</f>
        <v>Gàu định hình đào mương M1</v>
      </c>
      <c r="C706" s="5" t="str">
        <f>IFERROR(__xludf.DUMMYFUNCTION("""COMPUTED_VALUE"""),"CGTC DP")</f>
        <v>CGTC DP</v>
      </c>
      <c r="D706" s="5" t="str">
        <f>IFERROR(__xludf.DUMMYFUNCTION("""COMPUTED_VALUE"""),"THACO AGRI")</f>
        <v>THACO AGRI</v>
      </c>
      <c r="E706" s="5" t="str">
        <f>IFERROR(__xludf.DUMMYFUNCTION("""COMPUTED_VALUE"""),"M1")</f>
        <v>M1</v>
      </c>
      <c r="F706" s="5"/>
      <c r="G706" s="5" t="str">
        <f>IFERROR(__xludf.DUMMYFUNCTION("""COMPUTED_VALUE"""),"2026")</f>
        <v>2026</v>
      </c>
      <c r="H706" s="5" t="str">
        <f>IFERROR(__xludf.DUMMYFUNCTION("""COMPUTED_VALUE"""),"1160x420x1200")</f>
        <v>1160x420x1200</v>
      </c>
      <c r="I706" s="5" t="str">
        <f>IFERROR(__xludf.DUMMYFUNCTION("""COMPUTED_VALUE"""),"MD07")</f>
        <v>MD07</v>
      </c>
      <c r="J706" s="5"/>
      <c r="K706" s="5"/>
      <c r="L706" s="5" t="str">
        <f>IFERROR(__xludf.DUMMYFUNCTION("""COMPUTED_VALUE"""),"KLH")</f>
        <v>KLH</v>
      </c>
    </row>
    <row r="707">
      <c r="A707" s="168" t="str">
        <f>IFERROR(__xludf.DUMMYFUNCTION("""COMPUTED_VALUE"""),"CHT-GĐH-099")</f>
        <v>CHT-GĐH-099</v>
      </c>
      <c r="B707" s="3" t="str">
        <f>IFERROR(__xludf.DUMMYFUNCTION("""COMPUTED_VALUE"""),"Gàu định hình đào mương M1")</f>
        <v>Gàu định hình đào mương M1</v>
      </c>
      <c r="C707" s="5" t="str">
        <f>IFERROR(__xludf.DUMMYFUNCTION("""COMPUTED_VALUE"""),"CGTC DP")</f>
        <v>CGTC DP</v>
      </c>
      <c r="D707" s="5" t="str">
        <f>IFERROR(__xludf.DUMMYFUNCTION("""COMPUTED_VALUE"""),"THACO AGRI")</f>
        <v>THACO AGRI</v>
      </c>
      <c r="E707" s="5" t="str">
        <f>IFERROR(__xludf.DUMMYFUNCTION("""COMPUTED_VALUE"""),"M1")</f>
        <v>M1</v>
      </c>
      <c r="F707" s="5"/>
      <c r="G707" s="5" t="str">
        <f>IFERROR(__xludf.DUMMYFUNCTION("""COMPUTED_VALUE"""),"2026")</f>
        <v>2026</v>
      </c>
      <c r="H707" s="5" t="str">
        <f>IFERROR(__xludf.DUMMYFUNCTION("""COMPUTED_VALUE"""),"1160x420x1200")</f>
        <v>1160x420x1200</v>
      </c>
      <c r="I707" s="5" t="str">
        <f>IFERROR(__xludf.DUMMYFUNCTION("""COMPUTED_VALUE"""),"MD07")</f>
        <v>MD07</v>
      </c>
      <c r="J707" s="5"/>
      <c r="K707" s="5"/>
      <c r="L707" s="5" t="str">
        <f>IFERROR(__xludf.DUMMYFUNCTION("""COMPUTED_VALUE"""),"KLH")</f>
        <v>KLH</v>
      </c>
    </row>
    <row r="708">
      <c r="A708" s="168" t="str">
        <f>IFERROR(__xludf.DUMMYFUNCTION("""COMPUTED_VALUE"""),"CHT-GĐH-100")</f>
        <v>CHT-GĐH-100</v>
      </c>
      <c r="B708" s="3" t="str">
        <f>IFERROR(__xludf.DUMMYFUNCTION("""COMPUTED_VALUE"""),"Gàu định hình đào mương M1")</f>
        <v>Gàu định hình đào mương M1</v>
      </c>
      <c r="C708" s="5" t="str">
        <f>IFERROR(__xludf.DUMMYFUNCTION("""COMPUTED_VALUE"""),"CGTC DP")</f>
        <v>CGTC DP</v>
      </c>
      <c r="D708" s="5" t="str">
        <f>IFERROR(__xludf.DUMMYFUNCTION("""COMPUTED_VALUE"""),"THACO AGRI")</f>
        <v>THACO AGRI</v>
      </c>
      <c r="E708" s="5" t="str">
        <f>IFERROR(__xludf.DUMMYFUNCTION("""COMPUTED_VALUE"""),"M1")</f>
        <v>M1</v>
      </c>
      <c r="F708" s="5"/>
      <c r="G708" s="5" t="str">
        <f>IFERROR(__xludf.DUMMYFUNCTION("""COMPUTED_VALUE"""),"2026")</f>
        <v>2026</v>
      </c>
      <c r="H708" s="5" t="str">
        <f>IFERROR(__xludf.DUMMYFUNCTION("""COMPUTED_VALUE"""),"1160x420x1200")</f>
        <v>1160x420x1200</v>
      </c>
      <c r="I708" s="5" t="str">
        <f>IFERROR(__xludf.DUMMYFUNCTION("""COMPUTED_VALUE"""),"MD07")</f>
        <v>MD07</v>
      </c>
      <c r="J708" s="5"/>
      <c r="K708" s="5"/>
      <c r="L708" s="5" t="str">
        <f>IFERROR(__xludf.DUMMYFUNCTION("""COMPUTED_VALUE"""),"KLH")</f>
        <v>KLH</v>
      </c>
    </row>
    <row r="709">
      <c r="A709" s="168" t="str">
        <f>IFERROR(__xludf.DUMMYFUNCTION("""COMPUTED_VALUE"""),"CHT-GĐH-101")</f>
        <v>CHT-GĐH-101</v>
      </c>
      <c r="B709" s="3" t="str">
        <f>IFERROR(__xludf.DUMMYFUNCTION("""COMPUTED_VALUE"""),"Gàu định hình đào mương M1")</f>
        <v>Gàu định hình đào mương M1</v>
      </c>
      <c r="C709" s="5" t="str">
        <f>IFERROR(__xludf.DUMMYFUNCTION("""COMPUTED_VALUE"""),"CGTC DP")</f>
        <v>CGTC DP</v>
      </c>
      <c r="D709" s="5" t="str">
        <f>IFERROR(__xludf.DUMMYFUNCTION("""COMPUTED_VALUE"""),"THACO AGRI")</f>
        <v>THACO AGRI</v>
      </c>
      <c r="E709" s="5" t="str">
        <f>IFERROR(__xludf.DUMMYFUNCTION("""COMPUTED_VALUE"""),"M1")</f>
        <v>M1</v>
      </c>
      <c r="F709" s="5"/>
      <c r="G709" s="5" t="str">
        <f>IFERROR(__xludf.DUMMYFUNCTION("""COMPUTED_VALUE"""),"2026")</f>
        <v>2026</v>
      </c>
      <c r="H709" s="5" t="str">
        <f>IFERROR(__xludf.DUMMYFUNCTION("""COMPUTED_VALUE"""),"1160x420x1200")</f>
        <v>1160x420x1200</v>
      </c>
      <c r="I709" s="5" t="str">
        <f>IFERROR(__xludf.DUMMYFUNCTION("""COMPUTED_VALUE"""),"MD05")</f>
        <v>MD05</v>
      </c>
      <c r="J709" s="5"/>
      <c r="K709" s="5"/>
      <c r="L709" s="5" t="str">
        <f>IFERROR(__xludf.DUMMYFUNCTION("""COMPUTED_VALUE"""),"KLH")</f>
        <v>KLH</v>
      </c>
    </row>
    <row r="710">
      <c r="A710" s="168" t="str">
        <f>IFERROR(__xludf.DUMMYFUNCTION("""COMPUTED_VALUE"""),"CHT-GĐH-102")</f>
        <v>CHT-GĐH-102</v>
      </c>
      <c r="B710" s="3" t="str">
        <f>IFERROR(__xludf.DUMMYFUNCTION("""COMPUTED_VALUE"""),"Gàu định hình đào mương M2")</f>
        <v>Gàu định hình đào mương M2</v>
      </c>
      <c r="C710" s="5" t="str">
        <f>IFERROR(__xludf.DUMMYFUNCTION("""COMPUTED_VALUE"""),"CGTC DP")</f>
        <v>CGTC DP</v>
      </c>
      <c r="D710" s="5" t="str">
        <f>IFERROR(__xludf.DUMMYFUNCTION("""COMPUTED_VALUE"""),"THACO AGRI")</f>
        <v>THACO AGRI</v>
      </c>
      <c r="E710" s="5" t="str">
        <f>IFERROR(__xludf.DUMMYFUNCTION("""COMPUTED_VALUE"""),"M2")</f>
        <v>M2</v>
      </c>
      <c r="F710" s="5"/>
      <c r="G710" s="5" t="str">
        <f>IFERROR(__xludf.DUMMYFUNCTION("""COMPUTED_VALUE"""),"2026")</f>
        <v>2026</v>
      </c>
      <c r="H710" s="5" t="str">
        <f>IFERROR(__xludf.DUMMYFUNCTION("""COMPUTED_VALUE"""),"1550x650x2300")</f>
        <v>1550x650x2300</v>
      </c>
      <c r="I710" s="5" t="str">
        <f>IFERROR(__xludf.DUMMYFUNCTION("""COMPUTED_VALUE"""),"CAT 320D")</f>
        <v>CAT 320D</v>
      </c>
      <c r="J710" s="5"/>
      <c r="K710" s="5"/>
      <c r="L710" s="5" t="str">
        <f>IFERROR(__xludf.DUMMYFUNCTION("""COMPUTED_VALUE"""),"KLH")</f>
        <v>KLH</v>
      </c>
    </row>
    <row r="711">
      <c r="A711" s="168" t="str">
        <f>IFERROR(__xludf.DUMMYFUNCTION("""COMPUTED_VALUE"""),"CHT-GĐH-103")</f>
        <v>CHT-GĐH-103</v>
      </c>
      <c r="B711" s="3" t="str">
        <f>IFERROR(__xludf.DUMMYFUNCTION("""COMPUTED_VALUE"""),"Gàu định hình đào mương M2")</f>
        <v>Gàu định hình đào mương M2</v>
      </c>
      <c r="C711" s="5" t="str">
        <f>IFERROR(__xludf.DUMMYFUNCTION("""COMPUTED_VALUE"""),"CGTC DP")</f>
        <v>CGTC DP</v>
      </c>
      <c r="D711" s="5" t="str">
        <f>IFERROR(__xludf.DUMMYFUNCTION("""COMPUTED_VALUE"""),"THACO AGRI")</f>
        <v>THACO AGRI</v>
      </c>
      <c r="E711" s="5" t="str">
        <f>IFERROR(__xludf.DUMMYFUNCTION("""COMPUTED_VALUE"""),"M2")</f>
        <v>M2</v>
      </c>
      <c r="F711" s="5"/>
      <c r="G711" s="5" t="str">
        <f>IFERROR(__xludf.DUMMYFUNCTION("""COMPUTED_VALUE"""),"2026")</f>
        <v>2026</v>
      </c>
      <c r="H711" s="5" t="str">
        <f>IFERROR(__xludf.DUMMYFUNCTION("""COMPUTED_VALUE"""),"1550x650x2300")</f>
        <v>1550x650x2300</v>
      </c>
      <c r="I711" s="5" t="str">
        <f>IFERROR(__xludf.DUMMYFUNCTION("""COMPUTED_VALUE"""),"CAT 320D")</f>
        <v>CAT 320D</v>
      </c>
      <c r="J711" s="5"/>
      <c r="K711" s="5"/>
      <c r="L711" s="5" t="str">
        <f>IFERROR(__xludf.DUMMYFUNCTION("""COMPUTED_VALUE"""),"KLH")</f>
        <v>KLH</v>
      </c>
    </row>
    <row r="712">
      <c r="A712" s="168" t="str">
        <f>IFERROR(__xludf.DUMMYFUNCTION("""COMPUTED_VALUE"""),"Cơ giới thi công LP")</f>
        <v>Cơ giới thi công LP</v>
      </c>
      <c r="B712" s="3"/>
      <c r="C712" s="5"/>
      <c r="D712" s="5"/>
      <c r="E712" s="5"/>
      <c r="F712" s="5"/>
      <c r="G712" s="5"/>
      <c r="H712" s="5"/>
      <c r="I712" s="5"/>
      <c r="J712" s="5"/>
      <c r="K712" s="5"/>
      <c r="L712" s="5" t="str">
        <f>IFERROR(__xludf.DUMMYFUNCTION("""COMPUTED_VALUE"""),"KLH")</f>
        <v>KLH</v>
      </c>
    </row>
    <row r="713">
      <c r="A713" s="168" t="str">
        <f>IFERROR(__xludf.DUMMYFUNCTION("""COMPUTED_VALUE"""),"CHT-BDU-001")</f>
        <v>CHT-BDU-001</v>
      </c>
      <c r="B713" s="3" t="str">
        <f>IFERROR(__xludf.DUMMYFUNCTION("""COMPUTED_VALUE"""),"Búa đục bê tông")</f>
        <v>Búa đục bê tông</v>
      </c>
      <c r="C713" s="5" t="str">
        <f>IFERROR(__xludf.DUMMYFUNCTION("""COMPUTED_VALUE"""),"CGTC LP")</f>
        <v>CGTC LP</v>
      </c>
      <c r="D713" s="5" t="str">
        <f>IFERROR(__xludf.DUMMYFUNCTION("""COMPUTED_VALUE"""),"TRUNG QUỐC")</f>
        <v>TRUNG QUỐC</v>
      </c>
      <c r="E713" s="5"/>
      <c r="F713" s="5"/>
      <c r="G713" s="5"/>
      <c r="H713" s="5"/>
      <c r="I713" s="5"/>
      <c r="J713" s="5"/>
      <c r="K713" s="5"/>
      <c r="L713" s="5" t="str">
        <f>IFERROR(__xludf.DUMMYFUNCTION("""COMPUTED_VALUE"""),"KLH")</f>
        <v>KLH</v>
      </c>
    </row>
    <row r="714">
      <c r="A714" s="168" t="str">
        <f>IFERROR(__xludf.DUMMYFUNCTION("""COMPUTED_VALUE"""),"CHT-BDU-004")</f>
        <v>CHT-BDU-004</v>
      </c>
      <c r="B714" s="3" t="str">
        <f>IFERROR(__xludf.DUMMYFUNCTION("""COMPUTED_VALUE"""),"Búa đục bê tông")</f>
        <v>Búa đục bê tông</v>
      </c>
      <c r="C714" s="5" t="str">
        <f>IFERROR(__xludf.DUMMYFUNCTION("""COMPUTED_VALUE"""),"CGTC LP")</f>
        <v>CGTC LP</v>
      </c>
      <c r="D714" s="5" t="str">
        <f>IFERROR(__xludf.DUMMYFUNCTION("""COMPUTED_VALUE"""),"TRUNG QUỐC")</f>
        <v>TRUNG QUỐC</v>
      </c>
      <c r="E714" s="5" t="str">
        <f>IFERROR(__xludf.DUMMYFUNCTION("""COMPUTED_VALUE"""),"EDT2000")</f>
        <v>EDT2000</v>
      </c>
      <c r="F714" s="5"/>
      <c r="G714" s="5" t="str">
        <f>IFERROR(__xludf.DUMMYFUNCTION("""COMPUTED_VALUE"""),"2024")</f>
        <v>2024</v>
      </c>
      <c r="H714" s="5"/>
      <c r="I714" s="5" t="str">
        <f>IFERROR(__xludf.DUMMYFUNCTION("""COMPUTED_VALUE"""),"CNC 162D14HB1")</f>
        <v>CNC 162D14HB1</v>
      </c>
      <c r="J714" s="5"/>
      <c r="K714" s="5"/>
      <c r="L714" s="5" t="str">
        <f>IFERROR(__xludf.DUMMYFUNCTION("""COMPUTED_VALUE"""),"KLH")</f>
        <v>KLH</v>
      </c>
    </row>
    <row r="715">
      <c r="A715" s="168" t="str">
        <f>IFERROR(__xludf.DUMMYFUNCTION("""COMPUTED_VALUE"""),"CHT-BDU-006")</f>
        <v>CHT-BDU-006</v>
      </c>
      <c r="B715" s="3" t="str">
        <f>IFERROR(__xludf.DUMMYFUNCTION("""COMPUTED_VALUE"""),"Búa đục bê tông")</f>
        <v>Búa đục bê tông</v>
      </c>
      <c r="C715" s="5" t="str">
        <f>IFERROR(__xludf.DUMMYFUNCTION("""COMPUTED_VALUE"""),"CGTC LP")</f>
        <v>CGTC LP</v>
      </c>
      <c r="D715" s="5" t="str">
        <f>IFERROR(__xludf.DUMMYFUNCTION("""COMPUTED_VALUE"""),"FURUKAWA")</f>
        <v>FURUKAWA</v>
      </c>
      <c r="E715" s="5" t="str">
        <f>IFERROR(__xludf.DUMMYFUNCTION("""COMPUTED_VALUE"""),"FXJ275/ZB10154")</f>
        <v>FXJ275/ZB10154</v>
      </c>
      <c r="F715" s="5"/>
      <c r="G715" s="5" t="str">
        <f>IFERROR(__xludf.DUMMYFUNCTION("""COMPUTED_VALUE"""),"2016")</f>
        <v>2016</v>
      </c>
      <c r="H715" s="5"/>
      <c r="I715" s="5" t="str">
        <f>IFERROR(__xludf.DUMMYFUNCTION("""COMPUTED_VALUE"""),"1892")</f>
        <v>1892</v>
      </c>
      <c r="J715" s="5"/>
      <c r="K715" s="5"/>
      <c r="L715" s="5" t="str">
        <f>IFERROR(__xludf.DUMMYFUNCTION("""COMPUTED_VALUE"""),"KLH")</f>
        <v>KLH</v>
      </c>
    </row>
    <row r="716">
      <c r="A716" s="168" t="str">
        <f>IFERROR(__xludf.DUMMYFUNCTION("""COMPUTED_VALUE"""),"CHT-ĐTL-002")</f>
        <v>CHT-ĐTL-002</v>
      </c>
      <c r="B716" s="3" t="str">
        <f>IFERROR(__xludf.DUMMYFUNCTION("""COMPUTED_VALUE"""),"Đầm taluy (Đầm rung thủy lực)")</f>
        <v>Đầm taluy (Đầm rung thủy lực)</v>
      </c>
      <c r="C716" s="5" t="str">
        <f>IFERROR(__xludf.DUMMYFUNCTION("""COMPUTED_VALUE"""),"CGTC LP")</f>
        <v>CGTC LP</v>
      </c>
      <c r="D716" s="5" t="str">
        <f>IFERROR(__xludf.DUMMYFUNCTION("""COMPUTED_VALUE"""),"TRUNG QUỐC")</f>
        <v>TRUNG QUỐC</v>
      </c>
      <c r="E716" s="5" t="str">
        <f>IFERROR(__xludf.DUMMYFUNCTION("""COMPUTED_VALUE"""),"Taluy")</f>
        <v>Taluy</v>
      </c>
      <c r="F716" s="5"/>
      <c r="G716" s="5"/>
      <c r="H716" s="5"/>
      <c r="I716" s="5"/>
      <c r="J716" s="5"/>
      <c r="K716" s="5"/>
      <c r="L716" s="5" t="str">
        <f>IFERROR(__xludf.DUMMYFUNCTION("""COMPUTED_VALUE"""),"KLH")</f>
        <v>KLH</v>
      </c>
    </row>
    <row r="717">
      <c r="A717" s="168" t="str">
        <f>IFERROR(__xludf.DUMMYFUNCTION("""COMPUTED_VALUE"""),"CHT-GĐH-001")</f>
        <v>CHT-GĐH-001</v>
      </c>
      <c r="B717" s="3" t="str">
        <f>IFERROR(__xludf.DUMMYFUNCTION("""COMPUTED_VALUE"""),"Gàu định hình M2")</f>
        <v>Gàu định hình M2</v>
      </c>
      <c r="C717" s="5" t="str">
        <f>IFERROR(__xludf.DUMMYFUNCTION("""COMPUTED_VALUE"""),"CGTC LP")</f>
        <v>CGTC LP</v>
      </c>
      <c r="D717" s="5" t="str">
        <f>IFERROR(__xludf.DUMMYFUNCTION("""COMPUTED_VALUE"""),"THACO AGRI")</f>
        <v>THACO AGRI</v>
      </c>
      <c r="E717" s="5" t="str">
        <f>IFERROR(__xludf.DUMMYFUNCTION("""COMPUTED_VALUE"""),"M2")</f>
        <v>M2</v>
      </c>
      <c r="F717" s="5"/>
      <c r="G717" s="5" t="str">
        <f>IFERROR(__xludf.DUMMYFUNCTION("""COMPUTED_VALUE"""),"2024")</f>
        <v>2024</v>
      </c>
      <c r="H717" s="5" t="str">
        <f>IFERROR(__xludf.DUMMYFUNCTION("""COMPUTED_VALUE"""),"M2")</f>
        <v>M2</v>
      </c>
      <c r="I717" s="5"/>
      <c r="J717" s="5"/>
      <c r="K717" s="5"/>
      <c r="L717" s="5" t="str">
        <f>IFERROR(__xludf.DUMMYFUNCTION("""COMPUTED_VALUE"""),"KLH")</f>
        <v>KLH</v>
      </c>
    </row>
    <row r="718">
      <c r="A718" s="168" t="str">
        <f>IFERROR(__xludf.DUMMYFUNCTION("""COMPUTED_VALUE"""),"CHT-GĐH-002")</f>
        <v>CHT-GĐH-002</v>
      </c>
      <c r="B718" s="3" t="str">
        <f>IFERROR(__xludf.DUMMYFUNCTION("""COMPUTED_VALUE"""),"Gàu định hình M0.6")</f>
        <v>Gàu định hình M0.6</v>
      </c>
      <c r="C718" s="5" t="str">
        <f>IFERROR(__xludf.DUMMYFUNCTION("""COMPUTED_VALUE"""),"CGTC LP")</f>
        <v>CGTC LP</v>
      </c>
      <c r="D718" s="5" t="str">
        <f>IFERROR(__xludf.DUMMYFUNCTION("""COMPUTED_VALUE"""),"THACO AGRI")</f>
        <v>THACO AGRI</v>
      </c>
      <c r="E718" s="5" t="str">
        <f>IFERROR(__xludf.DUMMYFUNCTION("""COMPUTED_VALUE"""),"M0.6")</f>
        <v>M0.6</v>
      </c>
      <c r="F718" s="5"/>
      <c r="G718" s="5" t="str">
        <f>IFERROR(__xludf.DUMMYFUNCTION("""COMPUTED_VALUE"""),"2024")</f>
        <v>2024</v>
      </c>
      <c r="H718" s="5" t="str">
        <f>IFERROR(__xludf.DUMMYFUNCTION("""COMPUTED_VALUE"""),"700x200x500")</f>
        <v>700x200x500</v>
      </c>
      <c r="I718" s="5"/>
      <c r="J718" s="5"/>
      <c r="K718" s="5"/>
      <c r="L718" s="5" t="str">
        <f>IFERROR(__xludf.DUMMYFUNCTION("""COMPUTED_VALUE"""),"KLH")</f>
        <v>KLH</v>
      </c>
    </row>
    <row r="719">
      <c r="A719" s="168" t="str">
        <f>IFERROR(__xludf.DUMMYFUNCTION("""COMPUTED_VALUE"""),"CHT-GĐH-003")</f>
        <v>CHT-GĐH-003</v>
      </c>
      <c r="B719" s="3" t="str">
        <f>IFERROR(__xludf.DUMMYFUNCTION("""COMPUTED_VALUE"""),"Gàu định hình M0.6")</f>
        <v>Gàu định hình M0.6</v>
      </c>
      <c r="C719" s="5" t="str">
        <f>IFERROR(__xludf.DUMMYFUNCTION("""COMPUTED_VALUE"""),"CGTC LP")</f>
        <v>CGTC LP</v>
      </c>
      <c r="D719" s="5" t="str">
        <f>IFERROR(__xludf.DUMMYFUNCTION("""COMPUTED_VALUE"""),"THACO AGRI")</f>
        <v>THACO AGRI</v>
      </c>
      <c r="E719" s="5" t="str">
        <f>IFERROR(__xludf.DUMMYFUNCTION("""COMPUTED_VALUE"""),"M0.6")</f>
        <v>M0.6</v>
      </c>
      <c r="F719" s="5"/>
      <c r="G719" s="5" t="str">
        <f>IFERROR(__xludf.DUMMYFUNCTION("""COMPUTED_VALUE"""),"2024")</f>
        <v>2024</v>
      </c>
      <c r="H719" s="5" t="str">
        <f>IFERROR(__xludf.DUMMYFUNCTION("""COMPUTED_VALUE"""),"700x200x500")</f>
        <v>700x200x500</v>
      </c>
      <c r="I719" s="5"/>
      <c r="J719" s="5"/>
      <c r="K719" s="5"/>
      <c r="L719" s="5" t="str">
        <f>IFERROR(__xludf.DUMMYFUNCTION("""COMPUTED_VALUE"""),"KLH")</f>
        <v>KLH</v>
      </c>
    </row>
    <row r="720">
      <c r="A720" s="168" t="str">
        <f>IFERROR(__xludf.DUMMYFUNCTION("""COMPUTED_VALUE"""),"CHT-GĐH-004")</f>
        <v>CHT-GĐH-004</v>
      </c>
      <c r="B720" s="3" t="str">
        <f>IFERROR(__xludf.DUMMYFUNCTION("""COMPUTED_VALUE"""),"Gàu định hình M0.6")</f>
        <v>Gàu định hình M0.6</v>
      </c>
      <c r="C720" s="5" t="str">
        <f>IFERROR(__xludf.DUMMYFUNCTION("""COMPUTED_VALUE"""),"CGTC LP")</f>
        <v>CGTC LP</v>
      </c>
      <c r="D720" s="5" t="str">
        <f>IFERROR(__xludf.DUMMYFUNCTION("""COMPUTED_VALUE"""),"THACO AGRI")</f>
        <v>THACO AGRI</v>
      </c>
      <c r="E720" s="5" t="str">
        <f>IFERROR(__xludf.DUMMYFUNCTION("""COMPUTED_VALUE"""),"M0.6")</f>
        <v>M0.6</v>
      </c>
      <c r="F720" s="5"/>
      <c r="G720" s="5" t="str">
        <f>IFERROR(__xludf.DUMMYFUNCTION("""COMPUTED_VALUE"""),"2024")</f>
        <v>2024</v>
      </c>
      <c r="H720" s="5" t="str">
        <f>IFERROR(__xludf.DUMMYFUNCTION("""COMPUTED_VALUE"""),"700x200x500")</f>
        <v>700x200x500</v>
      </c>
      <c r="I720" s="5"/>
      <c r="J720" s="5"/>
      <c r="K720" s="5"/>
      <c r="L720" s="5" t="str">
        <f>IFERROR(__xludf.DUMMYFUNCTION("""COMPUTED_VALUE"""),"KLH")</f>
        <v>KLH</v>
      </c>
    </row>
    <row r="721">
      <c r="A721" s="168" t="str">
        <f>IFERROR(__xludf.DUMMYFUNCTION("""COMPUTED_VALUE"""),"CHT-GĐH-005")</f>
        <v>CHT-GĐH-005</v>
      </c>
      <c r="B721" s="3" t="str">
        <f>IFERROR(__xludf.DUMMYFUNCTION("""COMPUTED_VALUE"""),"Gàu định hình M0.6")</f>
        <v>Gàu định hình M0.6</v>
      </c>
      <c r="C721" s="5" t="str">
        <f>IFERROR(__xludf.DUMMYFUNCTION("""COMPUTED_VALUE"""),"CGTC LP")</f>
        <v>CGTC LP</v>
      </c>
      <c r="D721" s="5" t="str">
        <f>IFERROR(__xludf.DUMMYFUNCTION("""COMPUTED_VALUE"""),"THACO AGRI")</f>
        <v>THACO AGRI</v>
      </c>
      <c r="E721" s="5" t="str">
        <f>IFERROR(__xludf.DUMMYFUNCTION("""COMPUTED_VALUE"""),"M0.6")</f>
        <v>M0.6</v>
      </c>
      <c r="F721" s="5"/>
      <c r="G721" s="5" t="str">
        <f>IFERROR(__xludf.DUMMYFUNCTION("""COMPUTED_VALUE"""),"2024")</f>
        <v>2024</v>
      </c>
      <c r="H721" s="5" t="str">
        <f>IFERROR(__xludf.DUMMYFUNCTION("""COMPUTED_VALUE"""),"700x200x500")</f>
        <v>700x200x500</v>
      </c>
      <c r="I721" s="5"/>
      <c r="J721" s="5"/>
      <c r="K721" s="5"/>
      <c r="L721" s="5" t="str">
        <f>IFERROR(__xludf.DUMMYFUNCTION("""COMPUTED_VALUE"""),"KLH")</f>
        <v>KLH</v>
      </c>
    </row>
    <row r="722">
      <c r="A722" s="168" t="str">
        <f>IFERROR(__xludf.DUMMYFUNCTION("""COMPUTED_VALUE"""),"CHT-GĐH-006")</f>
        <v>CHT-GĐH-006</v>
      </c>
      <c r="B722" s="3" t="str">
        <f>IFERROR(__xludf.DUMMYFUNCTION("""COMPUTED_VALUE"""),"Gàu định hình M0.6")</f>
        <v>Gàu định hình M0.6</v>
      </c>
      <c r="C722" s="5" t="str">
        <f>IFERROR(__xludf.DUMMYFUNCTION("""COMPUTED_VALUE"""),"CGTC LP")</f>
        <v>CGTC LP</v>
      </c>
      <c r="D722" s="5" t="str">
        <f>IFERROR(__xludf.DUMMYFUNCTION("""COMPUTED_VALUE"""),"THACO AGRI")</f>
        <v>THACO AGRI</v>
      </c>
      <c r="E722" s="5" t="str">
        <f>IFERROR(__xludf.DUMMYFUNCTION("""COMPUTED_VALUE"""),"M0.6")</f>
        <v>M0.6</v>
      </c>
      <c r="F722" s="5"/>
      <c r="G722" s="5" t="str">
        <f>IFERROR(__xludf.DUMMYFUNCTION("""COMPUTED_VALUE"""),"2024")</f>
        <v>2024</v>
      </c>
      <c r="H722" s="5" t="str">
        <f>IFERROR(__xludf.DUMMYFUNCTION("""COMPUTED_VALUE"""),"700x200x500")</f>
        <v>700x200x500</v>
      </c>
      <c r="I722" s="5"/>
      <c r="J722" s="5"/>
      <c r="K722" s="5"/>
      <c r="L722" s="5" t="str">
        <f>IFERROR(__xludf.DUMMYFUNCTION("""COMPUTED_VALUE"""),"KLH")</f>
        <v>KLH</v>
      </c>
    </row>
    <row r="723">
      <c r="A723" s="168" t="str">
        <f>IFERROR(__xludf.DUMMYFUNCTION("""COMPUTED_VALUE"""),"CHT-GĐH-008")</f>
        <v>CHT-GĐH-008</v>
      </c>
      <c r="B723" s="3" t="str">
        <f>IFERROR(__xludf.DUMMYFUNCTION("""COMPUTED_VALUE"""),"Gàu định hình M0.8")</f>
        <v>Gàu định hình M0.8</v>
      </c>
      <c r="C723" s="5" t="str">
        <f>IFERROR(__xludf.DUMMYFUNCTION("""COMPUTED_VALUE"""),"CGTC LP")</f>
        <v>CGTC LP</v>
      </c>
      <c r="D723" s="5" t="str">
        <f>IFERROR(__xludf.DUMMYFUNCTION("""COMPUTED_VALUE"""),"THACO AGRI")</f>
        <v>THACO AGRI</v>
      </c>
      <c r="E723" s="5" t="str">
        <f>IFERROR(__xludf.DUMMYFUNCTION("""COMPUTED_VALUE"""),"M0.8")</f>
        <v>M0.8</v>
      </c>
      <c r="F723" s="5"/>
      <c r="G723" s="5" t="str">
        <f>IFERROR(__xludf.DUMMYFUNCTION("""COMPUTED_VALUE"""),"2024")</f>
        <v>2024</v>
      </c>
      <c r="H723" s="5" t="str">
        <f>IFERROR(__xludf.DUMMYFUNCTION("""COMPUTED_VALUE"""),"1000x300x550")</f>
        <v>1000x300x550</v>
      </c>
      <c r="I723" s="5"/>
      <c r="J723" s="5"/>
      <c r="K723" s="5"/>
      <c r="L723" s="5" t="str">
        <f>IFERROR(__xludf.DUMMYFUNCTION("""COMPUTED_VALUE"""),"KLH")</f>
        <v>KLH</v>
      </c>
    </row>
    <row r="724">
      <c r="A724" s="168" t="str">
        <f>IFERROR(__xludf.DUMMYFUNCTION("""COMPUTED_VALUE"""),"CHT-GĐH-009")</f>
        <v>CHT-GĐH-009</v>
      </c>
      <c r="B724" s="3" t="str">
        <f>IFERROR(__xludf.DUMMYFUNCTION("""COMPUTED_VALUE"""),"Gàu định hình M0.8")</f>
        <v>Gàu định hình M0.8</v>
      </c>
      <c r="C724" s="5" t="str">
        <f>IFERROR(__xludf.DUMMYFUNCTION("""COMPUTED_VALUE"""),"CGTC LP")</f>
        <v>CGTC LP</v>
      </c>
      <c r="D724" s="5" t="str">
        <f>IFERROR(__xludf.DUMMYFUNCTION("""COMPUTED_VALUE"""),"THACO AGRI")</f>
        <v>THACO AGRI</v>
      </c>
      <c r="E724" s="5" t="str">
        <f>IFERROR(__xludf.DUMMYFUNCTION("""COMPUTED_VALUE"""),"M0.8")</f>
        <v>M0.8</v>
      </c>
      <c r="F724" s="5"/>
      <c r="G724" s="5" t="str">
        <f>IFERROR(__xludf.DUMMYFUNCTION("""COMPUTED_VALUE"""),"2024")</f>
        <v>2024</v>
      </c>
      <c r="H724" s="5" t="str">
        <f>IFERROR(__xludf.DUMMYFUNCTION("""COMPUTED_VALUE"""),"1000x300x550")</f>
        <v>1000x300x550</v>
      </c>
      <c r="I724" s="5"/>
      <c r="J724" s="5"/>
      <c r="K724" s="5"/>
      <c r="L724" s="5" t="str">
        <f>IFERROR(__xludf.DUMMYFUNCTION("""COMPUTED_VALUE"""),"KLH")</f>
        <v>KLH</v>
      </c>
    </row>
    <row r="725">
      <c r="A725" s="168" t="str">
        <f>IFERROR(__xludf.DUMMYFUNCTION("""COMPUTED_VALUE"""),"CHT-GĐH-011")</f>
        <v>CHT-GĐH-011</v>
      </c>
      <c r="B725" s="3" t="str">
        <f>IFERROR(__xludf.DUMMYFUNCTION("""COMPUTED_VALUE"""),"Gàu định hình M1")</f>
        <v>Gàu định hình M1</v>
      </c>
      <c r="C725" s="5" t="str">
        <f>IFERROR(__xludf.DUMMYFUNCTION("""COMPUTED_VALUE"""),"CGTC LP")</f>
        <v>CGTC LP</v>
      </c>
      <c r="D725" s="5" t="str">
        <f>IFERROR(__xludf.DUMMYFUNCTION("""COMPUTED_VALUE"""),"THACO AGRI")</f>
        <v>THACO AGRI</v>
      </c>
      <c r="E725" s="5" t="str">
        <f>IFERROR(__xludf.DUMMYFUNCTION("""COMPUTED_VALUE"""),"M1")</f>
        <v>M1</v>
      </c>
      <c r="F725" s="5"/>
      <c r="G725" s="5" t="str">
        <f>IFERROR(__xludf.DUMMYFUNCTION("""COMPUTED_VALUE"""),"2024")</f>
        <v>2024</v>
      </c>
      <c r="H725" s="5" t="str">
        <f>IFERROR(__xludf.DUMMYFUNCTION("""COMPUTED_VALUE"""),"120x30x80")</f>
        <v>120x30x80</v>
      </c>
      <c r="I725" s="5"/>
      <c r="J725" s="5"/>
      <c r="K725" s="5"/>
      <c r="L725" s="5" t="str">
        <f>IFERROR(__xludf.DUMMYFUNCTION("""COMPUTED_VALUE"""),"KLH")</f>
        <v>KLH</v>
      </c>
    </row>
    <row r="726">
      <c r="A726" s="168" t="str">
        <f>IFERROR(__xludf.DUMMYFUNCTION("""COMPUTED_VALUE"""),"CHT-GĐH-012")</f>
        <v>CHT-GĐH-012</v>
      </c>
      <c r="B726" s="3" t="str">
        <f>IFERROR(__xludf.DUMMYFUNCTION("""COMPUTED_VALUE"""),"Gàu định hình M1")</f>
        <v>Gàu định hình M1</v>
      </c>
      <c r="C726" s="5" t="str">
        <f>IFERROR(__xludf.DUMMYFUNCTION("""COMPUTED_VALUE"""),"CGTC LP")</f>
        <v>CGTC LP</v>
      </c>
      <c r="D726" s="5" t="str">
        <f>IFERROR(__xludf.DUMMYFUNCTION("""COMPUTED_VALUE"""),"THACO AGRI")</f>
        <v>THACO AGRI</v>
      </c>
      <c r="E726" s="5" t="str">
        <f>IFERROR(__xludf.DUMMYFUNCTION("""COMPUTED_VALUE"""),"M1")</f>
        <v>M1</v>
      </c>
      <c r="F726" s="5"/>
      <c r="G726" s="5" t="str">
        <f>IFERROR(__xludf.DUMMYFUNCTION("""COMPUTED_VALUE"""),"2024")</f>
        <v>2024</v>
      </c>
      <c r="H726" s="5" t="str">
        <f>IFERROR(__xludf.DUMMYFUNCTION("""COMPUTED_VALUE"""),"120x30x80")</f>
        <v>120x30x80</v>
      </c>
      <c r="I726" s="5"/>
      <c r="J726" s="5"/>
      <c r="K726" s="5"/>
      <c r="L726" s="5" t="str">
        <f>IFERROR(__xludf.DUMMYFUNCTION("""COMPUTED_VALUE"""),"KLH")</f>
        <v>KLH</v>
      </c>
    </row>
    <row r="727">
      <c r="A727" s="168" t="str">
        <f>IFERROR(__xludf.DUMMYFUNCTION("""COMPUTED_VALUE"""),"CHT-GĐH-013")</f>
        <v>CHT-GĐH-013</v>
      </c>
      <c r="B727" s="3" t="str">
        <f>IFERROR(__xludf.DUMMYFUNCTION("""COMPUTED_VALUE"""),"Gàu định hình M1.5")</f>
        <v>Gàu định hình M1.5</v>
      </c>
      <c r="C727" s="5" t="str">
        <f>IFERROR(__xludf.DUMMYFUNCTION("""COMPUTED_VALUE"""),"CGTC LP")</f>
        <v>CGTC LP</v>
      </c>
      <c r="D727" s="5" t="str">
        <f>IFERROR(__xludf.DUMMYFUNCTION("""COMPUTED_VALUE"""),"THACO AGRI")</f>
        <v>THACO AGRI</v>
      </c>
      <c r="E727" s="5" t="str">
        <f>IFERROR(__xludf.DUMMYFUNCTION("""COMPUTED_VALUE"""),"M1.5")</f>
        <v>M1.5</v>
      </c>
      <c r="F727" s="5"/>
      <c r="G727" s="5" t="str">
        <f>IFERROR(__xludf.DUMMYFUNCTION("""COMPUTED_VALUE"""),"2024")</f>
        <v>2024</v>
      </c>
      <c r="H727" s="5" t="str">
        <f>IFERROR(__xludf.DUMMYFUNCTION("""COMPUTED_VALUE"""),"1800x400x1200")</f>
        <v>1800x400x1200</v>
      </c>
      <c r="I727" s="5"/>
      <c r="J727" s="5"/>
      <c r="K727" s="5"/>
      <c r="L727" s="5" t="str">
        <f>IFERROR(__xludf.DUMMYFUNCTION("""COMPUTED_VALUE"""),"KLH")</f>
        <v>KLH</v>
      </c>
    </row>
    <row r="728">
      <c r="A728" s="168" t="str">
        <f>IFERROR(__xludf.DUMMYFUNCTION("""COMPUTED_VALUE"""),"CHT-GĐH-015")</f>
        <v>CHT-GĐH-015</v>
      </c>
      <c r="B728" s="3" t="str">
        <f>IFERROR(__xludf.DUMMYFUNCTION("""COMPUTED_VALUE"""),"Gàu định hình M3")</f>
        <v>Gàu định hình M3</v>
      </c>
      <c r="C728" s="5" t="str">
        <f>IFERROR(__xludf.DUMMYFUNCTION("""COMPUTED_VALUE"""),"CGTC LP")</f>
        <v>CGTC LP</v>
      </c>
      <c r="D728" s="5" t="str">
        <f>IFERROR(__xludf.DUMMYFUNCTION("""COMPUTED_VALUE"""),"THACO AGRI")</f>
        <v>THACO AGRI</v>
      </c>
      <c r="E728" s="5" t="str">
        <f>IFERROR(__xludf.DUMMYFUNCTION("""COMPUTED_VALUE"""),"M3")</f>
        <v>M3</v>
      </c>
      <c r="F728" s="5"/>
      <c r="G728" s="5" t="str">
        <f>IFERROR(__xludf.DUMMYFUNCTION("""COMPUTED_VALUE"""),"2024")</f>
        <v>2024</v>
      </c>
      <c r="H728" s="5" t="str">
        <f>IFERROR(__xludf.DUMMYFUNCTION("""COMPUTED_VALUE"""),"3000x950x1800")</f>
        <v>3000x950x1800</v>
      </c>
      <c r="I728" s="5"/>
      <c r="J728" s="5"/>
      <c r="K728" s="5"/>
      <c r="L728" s="5" t="str">
        <f>IFERROR(__xludf.DUMMYFUNCTION("""COMPUTED_VALUE"""),"KLH")</f>
        <v>KLH</v>
      </c>
    </row>
    <row r="729">
      <c r="A729" s="168" t="str">
        <f>IFERROR(__xludf.DUMMYFUNCTION("""COMPUTED_VALUE"""),"CHT-GĐH-016")</f>
        <v>CHT-GĐH-016</v>
      </c>
      <c r="B729" s="3" t="str">
        <f>IFERROR(__xludf.DUMMYFUNCTION("""COMPUTED_VALUE"""),"Gàu định hình M3")</f>
        <v>Gàu định hình M3</v>
      </c>
      <c r="C729" s="5" t="str">
        <f>IFERROR(__xludf.DUMMYFUNCTION("""COMPUTED_VALUE"""),"CGTC LP")</f>
        <v>CGTC LP</v>
      </c>
      <c r="D729" s="5" t="str">
        <f>IFERROR(__xludf.DUMMYFUNCTION("""COMPUTED_VALUE"""),"THACO AGRI")</f>
        <v>THACO AGRI</v>
      </c>
      <c r="E729" s="5" t="str">
        <f>IFERROR(__xludf.DUMMYFUNCTION("""COMPUTED_VALUE"""),"M3")</f>
        <v>M3</v>
      </c>
      <c r="F729" s="5"/>
      <c r="G729" s="5" t="str">
        <f>IFERROR(__xludf.DUMMYFUNCTION("""COMPUTED_VALUE"""),"2024")</f>
        <v>2024</v>
      </c>
      <c r="H729" s="5" t="str">
        <f>IFERROR(__xludf.DUMMYFUNCTION("""COMPUTED_VALUE"""),"3000x950x1800")</f>
        <v>3000x950x1800</v>
      </c>
      <c r="I729" s="5"/>
      <c r="J729" s="5"/>
      <c r="K729" s="5"/>
      <c r="L729" s="5" t="str">
        <f>IFERROR(__xludf.DUMMYFUNCTION("""COMPUTED_VALUE"""),"KLH")</f>
        <v>KLH</v>
      </c>
    </row>
    <row r="730">
      <c r="A730" s="168" t="str">
        <f>IFERROR(__xludf.DUMMYFUNCTION("""COMPUTED_VALUE"""),"CHT-GĐH-059")</f>
        <v>CHT-GĐH-059</v>
      </c>
      <c r="B730" s="3" t="str">
        <f>IFERROR(__xludf.DUMMYFUNCTION("""COMPUTED_VALUE"""),"Gàu định hình đảo mương thửa")</f>
        <v>Gàu định hình đảo mương thửa</v>
      </c>
      <c r="C730" s="5" t="str">
        <f>IFERROR(__xludf.DUMMYFUNCTION("""COMPUTED_VALUE"""),"CGTC LP")</f>
        <v>CGTC LP</v>
      </c>
      <c r="D730" s="5" t="str">
        <f>IFERROR(__xludf.DUMMYFUNCTION("""COMPUTED_VALUE"""),"THACO AGRI")</f>
        <v>THACO AGRI</v>
      </c>
      <c r="E730" s="5"/>
      <c r="F730" s="5"/>
      <c r="G730" s="5" t="str">
        <f>IFERROR(__xludf.DUMMYFUNCTION("""COMPUTED_VALUE"""),"2025")</f>
        <v>2025</v>
      </c>
      <c r="H730" s="5" t="str">
        <f>IFERROR(__xludf.DUMMYFUNCTION("""COMPUTED_VALUE"""),"1200x200x1200")</f>
        <v>1200x200x1200</v>
      </c>
      <c r="I730" s="5"/>
      <c r="J730" s="5"/>
      <c r="K730" s="5"/>
      <c r="L730" s="5" t="str">
        <f>IFERROR(__xludf.DUMMYFUNCTION("""COMPUTED_VALUE"""),"KLH")</f>
        <v>KLH</v>
      </c>
    </row>
    <row r="731">
      <c r="A731" s="168" t="str">
        <f>IFERROR(__xludf.DUMMYFUNCTION("""COMPUTED_VALUE"""),"CHT-GĐH-060")</f>
        <v>CHT-GĐH-060</v>
      </c>
      <c r="B731" s="3" t="str">
        <f>IFERROR(__xludf.DUMMYFUNCTION("""COMPUTED_VALUE"""),"Gàu định hình đảo mương thửa")</f>
        <v>Gàu định hình đảo mương thửa</v>
      </c>
      <c r="C731" s="5" t="str">
        <f>IFERROR(__xludf.DUMMYFUNCTION("""COMPUTED_VALUE"""),"CGTC LP")</f>
        <v>CGTC LP</v>
      </c>
      <c r="D731" s="5" t="str">
        <f>IFERROR(__xludf.DUMMYFUNCTION("""COMPUTED_VALUE"""),"THACO AGRI")</f>
        <v>THACO AGRI</v>
      </c>
      <c r="E731" s="5"/>
      <c r="F731" s="5"/>
      <c r="G731" s="5" t="str">
        <f>IFERROR(__xludf.DUMMYFUNCTION("""COMPUTED_VALUE"""),"2025")</f>
        <v>2025</v>
      </c>
      <c r="H731" s="5" t="str">
        <f>IFERROR(__xludf.DUMMYFUNCTION("""COMPUTED_VALUE"""),"1200x200x1200")</f>
        <v>1200x200x1200</v>
      </c>
      <c r="I731" s="5"/>
      <c r="J731" s="5"/>
      <c r="K731" s="5"/>
      <c r="L731" s="5" t="str">
        <f>IFERROR(__xludf.DUMMYFUNCTION("""COMPUTED_VALUE"""),"KLH")</f>
        <v>KLH</v>
      </c>
    </row>
    <row r="732">
      <c r="A732" s="168" t="str">
        <f>IFERROR(__xludf.DUMMYFUNCTION("""COMPUTED_VALUE"""),"CHT-GĐH-061")</f>
        <v>CHT-GĐH-061</v>
      </c>
      <c r="B732" s="3" t="str">
        <f>IFERROR(__xludf.DUMMYFUNCTION("""COMPUTED_VALUE"""),"Gàu định hình đảo mương thửa")</f>
        <v>Gàu định hình đảo mương thửa</v>
      </c>
      <c r="C732" s="5" t="str">
        <f>IFERROR(__xludf.DUMMYFUNCTION("""COMPUTED_VALUE"""),"CGTC LP")</f>
        <v>CGTC LP</v>
      </c>
      <c r="D732" s="5" t="str">
        <f>IFERROR(__xludf.DUMMYFUNCTION("""COMPUTED_VALUE"""),"THACO AGRI")</f>
        <v>THACO AGRI</v>
      </c>
      <c r="E732" s="5"/>
      <c r="F732" s="5"/>
      <c r="G732" s="5" t="str">
        <f>IFERROR(__xludf.DUMMYFUNCTION("""COMPUTED_VALUE"""),"2025")</f>
        <v>2025</v>
      </c>
      <c r="H732" s="5" t="str">
        <f>IFERROR(__xludf.DUMMYFUNCTION("""COMPUTED_VALUE"""),"1200x200x1200")</f>
        <v>1200x200x1200</v>
      </c>
      <c r="I732" s="5"/>
      <c r="J732" s="5"/>
      <c r="K732" s="5"/>
      <c r="L732" s="5" t="str">
        <f>IFERROR(__xludf.DUMMYFUNCTION("""COMPUTED_VALUE"""),"KLH")</f>
        <v>KLH</v>
      </c>
    </row>
    <row r="733">
      <c r="A733" s="168" t="str">
        <f>IFERROR(__xludf.DUMMYFUNCTION("""COMPUTED_VALUE"""),"CHT-GĐH-062")</f>
        <v>CHT-GĐH-062</v>
      </c>
      <c r="B733" s="3" t="str">
        <f>IFERROR(__xludf.DUMMYFUNCTION("""COMPUTED_VALUE"""),"Gàu định hình đảo mương thửa")</f>
        <v>Gàu định hình đảo mương thửa</v>
      </c>
      <c r="C733" s="5" t="str">
        <f>IFERROR(__xludf.DUMMYFUNCTION("""COMPUTED_VALUE"""),"CGTC LP")</f>
        <v>CGTC LP</v>
      </c>
      <c r="D733" s="5" t="str">
        <f>IFERROR(__xludf.DUMMYFUNCTION("""COMPUTED_VALUE"""),"THACO AGRI")</f>
        <v>THACO AGRI</v>
      </c>
      <c r="E733" s="5"/>
      <c r="F733" s="5"/>
      <c r="G733" s="5" t="str">
        <f>IFERROR(__xludf.DUMMYFUNCTION("""COMPUTED_VALUE"""),"2025")</f>
        <v>2025</v>
      </c>
      <c r="H733" s="5" t="str">
        <f>IFERROR(__xludf.DUMMYFUNCTION("""COMPUTED_VALUE"""),"1200x200x1200")</f>
        <v>1200x200x1200</v>
      </c>
      <c r="I733" s="5"/>
      <c r="J733" s="5"/>
      <c r="K733" s="5"/>
      <c r="L733" s="5" t="str">
        <f>IFERROR(__xludf.DUMMYFUNCTION("""COMPUTED_VALUE"""),"KLH")</f>
        <v>KLH</v>
      </c>
    </row>
    <row r="734">
      <c r="A734" s="168" t="str">
        <f>IFERROR(__xludf.DUMMYFUNCTION("""COMPUTED_VALUE"""),"CHT-GĐH-063")</f>
        <v>CHT-GĐH-063</v>
      </c>
      <c r="B734" s="3" t="str">
        <f>IFERROR(__xludf.DUMMYFUNCTION("""COMPUTED_VALUE"""),"Gàu định hình đảo mương thửa")</f>
        <v>Gàu định hình đảo mương thửa</v>
      </c>
      <c r="C734" s="5" t="str">
        <f>IFERROR(__xludf.DUMMYFUNCTION("""COMPUTED_VALUE"""),"CGTC LP")</f>
        <v>CGTC LP</v>
      </c>
      <c r="D734" s="5" t="str">
        <f>IFERROR(__xludf.DUMMYFUNCTION("""COMPUTED_VALUE"""),"THACO AGRI")</f>
        <v>THACO AGRI</v>
      </c>
      <c r="E734" s="5"/>
      <c r="F734" s="5"/>
      <c r="G734" s="5" t="str">
        <f>IFERROR(__xludf.DUMMYFUNCTION("""COMPUTED_VALUE"""),"2025")</f>
        <v>2025</v>
      </c>
      <c r="H734" s="5" t="str">
        <f>IFERROR(__xludf.DUMMYFUNCTION("""COMPUTED_VALUE"""),"1200x200x1200")</f>
        <v>1200x200x1200</v>
      </c>
      <c r="I734" s="5"/>
      <c r="J734" s="5"/>
      <c r="K734" s="5"/>
      <c r="L734" s="5" t="str">
        <f>IFERROR(__xludf.DUMMYFUNCTION("""COMPUTED_VALUE"""),"KLH")</f>
        <v>KLH</v>
      </c>
    </row>
    <row r="735">
      <c r="A735" s="168" t="str">
        <f>IFERROR(__xludf.DUMMYFUNCTION("""COMPUTED_VALUE"""),"CHT-GĐH-064")</f>
        <v>CHT-GĐH-064</v>
      </c>
      <c r="B735" s="3" t="str">
        <f>IFERROR(__xludf.DUMMYFUNCTION("""COMPUTED_VALUE"""),"Gàu định hình đảo mương lô")</f>
        <v>Gàu định hình đảo mương lô</v>
      </c>
      <c r="C735" s="5" t="str">
        <f>IFERROR(__xludf.DUMMYFUNCTION("""COMPUTED_VALUE"""),"CGTC LP")</f>
        <v>CGTC LP</v>
      </c>
      <c r="D735" s="5" t="str">
        <f>IFERROR(__xludf.DUMMYFUNCTION("""COMPUTED_VALUE"""),"THACO AGRI")</f>
        <v>THACO AGRI</v>
      </c>
      <c r="E735" s="5"/>
      <c r="F735" s="5"/>
      <c r="G735" s="5" t="str">
        <f>IFERROR(__xludf.DUMMYFUNCTION("""COMPUTED_VALUE"""),"2025")</f>
        <v>2025</v>
      </c>
      <c r="H735" s="5" t="str">
        <f>IFERROR(__xludf.DUMMYFUNCTION("""COMPUTED_VALUE"""),"2000x200x2000")</f>
        <v>2000x200x2000</v>
      </c>
      <c r="I735" s="5"/>
      <c r="J735" s="5"/>
      <c r="K735" s="5"/>
      <c r="L735" s="5" t="str">
        <f>IFERROR(__xludf.DUMMYFUNCTION("""COMPUTED_VALUE"""),"KLH")</f>
        <v>KLH</v>
      </c>
    </row>
    <row r="736">
      <c r="A736" s="168" t="str">
        <f>IFERROR(__xludf.DUMMYFUNCTION("""COMPUTED_VALUE"""),"CHT-GĐH-079")</f>
        <v>CHT-GĐH-079</v>
      </c>
      <c r="B736" s="3" t="str">
        <f>IFERROR(__xludf.DUMMYFUNCTION("""COMPUTED_VALUE"""),"Gàu định hình đào mương M1.2")</f>
        <v>Gàu định hình đào mương M1.2</v>
      </c>
      <c r="C736" s="5" t="str">
        <f>IFERROR(__xludf.DUMMYFUNCTION("""COMPUTED_VALUE"""),"CGTC LP")</f>
        <v>CGTC LP</v>
      </c>
      <c r="D736" s="5" t="str">
        <f>IFERROR(__xludf.DUMMYFUNCTION("""COMPUTED_VALUE"""),"THACO AGRI")</f>
        <v>THACO AGRI</v>
      </c>
      <c r="E736" s="5" t="str">
        <f>IFERROR(__xludf.DUMMYFUNCTION("""COMPUTED_VALUE"""),"M1.2")</f>
        <v>M1.2</v>
      </c>
      <c r="F736" s="5"/>
      <c r="G736" s="5" t="str">
        <f>IFERROR(__xludf.DUMMYFUNCTION("""COMPUTED_VALUE"""),"2025")</f>
        <v>2025</v>
      </c>
      <c r="H736" s="5" t="str">
        <f>IFERROR(__xludf.DUMMYFUNCTION("""COMPUTED_VALUE"""),"1200x400x1200")</f>
        <v>1200x400x1200</v>
      </c>
      <c r="I736" s="5"/>
      <c r="J736" s="5"/>
      <c r="K736" s="5"/>
      <c r="L736" s="5" t="str">
        <f>IFERROR(__xludf.DUMMYFUNCTION("""COMPUTED_VALUE"""),"KLH")</f>
        <v>KLH</v>
      </c>
    </row>
    <row r="737">
      <c r="A737" s="168" t="str">
        <f>IFERROR(__xludf.DUMMYFUNCTION("""COMPUTED_VALUE"""),"CHT-GĐH-080")</f>
        <v>CHT-GĐH-080</v>
      </c>
      <c r="B737" s="3" t="str">
        <f>IFERROR(__xludf.DUMMYFUNCTION("""COMPUTED_VALUE"""),"Gàu định hình đào mương M1.2")</f>
        <v>Gàu định hình đào mương M1.2</v>
      </c>
      <c r="C737" s="5" t="str">
        <f>IFERROR(__xludf.DUMMYFUNCTION("""COMPUTED_VALUE"""),"CGTC LP")</f>
        <v>CGTC LP</v>
      </c>
      <c r="D737" s="5" t="str">
        <f>IFERROR(__xludf.DUMMYFUNCTION("""COMPUTED_VALUE"""),"THACO AGRI")</f>
        <v>THACO AGRI</v>
      </c>
      <c r="E737" s="5" t="str">
        <f>IFERROR(__xludf.DUMMYFUNCTION("""COMPUTED_VALUE"""),"M1.2")</f>
        <v>M1.2</v>
      </c>
      <c r="F737" s="5"/>
      <c r="G737" s="5" t="str">
        <f>IFERROR(__xludf.DUMMYFUNCTION("""COMPUTED_VALUE"""),"2025")</f>
        <v>2025</v>
      </c>
      <c r="H737" s="5" t="str">
        <f>IFERROR(__xludf.DUMMYFUNCTION("""COMPUTED_VALUE"""),"1200x400x1200")</f>
        <v>1200x400x1200</v>
      </c>
      <c r="I737" s="5"/>
      <c r="J737" s="5"/>
      <c r="K737" s="5"/>
      <c r="L737" s="5" t="str">
        <f>IFERROR(__xludf.DUMMYFUNCTION("""COMPUTED_VALUE"""),"KLH")</f>
        <v>KLH</v>
      </c>
    </row>
    <row r="738">
      <c r="A738" s="168" t="str">
        <f>IFERROR(__xludf.DUMMYFUNCTION("""COMPUTED_VALUE"""),"CHT-GĐH-081")</f>
        <v>CHT-GĐH-081</v>
      </c>
      <c r="B738" s="3" t="str">
        <f>IFERROR(__xludf.DUMMYFUNCTION("""COMPUTED_VALUE"""),"Gàu định hình đào mương M1.2")</f>
        <v>Gàu định hình đào mương M1.2</v>
      </c>
      <c r="C738" s="5" t="str">
        <f>IFERROR(__xludf.DUMMYFUNCTION("""COMPUTED_VALUE"""),"CGTC LP")</f>
        <v>CGTC LP</v>
      </c>
      <c r="D738" s="5" t="str">
        <f>IFERROR(__xludf.DUMMYFUNCTION("""COMPUTED_VALUE"""),"THACO AGRI")</f>
        <v>THACO AGRI</v>
      </c>
      <c r="E738" s="5" t="str">
        <f>IFERROR(__xludf.DUMMYFUNCTION("""COMPUTED_VALUE"""),"M1.2")</f>
        <v>M1.2</v>
      </c>
      <c r="F738" s="5"/>
      <c r="G738" s="5" t="str">
        <f>IFERROR(__xludf.DUMMYFUNCTION("""COMPUTED_VALUE"""),"2025")</f>
        <v>2025</v>
      </c>
      <c r="H738" s="5" t="str">
        <f>IFERROR(__xludf.DUMMYFUNCTION("""COMPUTED_VALUE"""),"1200x400x1200")</f>
        <v>1200x400x1200</v>
      </c>
      <c r="I738" s="5"/>
      <c r="J738" s="5"/>
      <c r="K738" s="5"/>
      <c r="L738" s="5" t="str">
        <f>IFERROR(__xludf.DUMMYFUNCTION("""COMPUTED_VALUE"""),"KLH")</f>
        <v>KLH</v>
      </c>
    </row>
    <row r="739">
      <c r="A739" s="168" t="str">
        <f>IFERROR(__xludf.DUMMYFUNCTION("""COMPUTED_VALUE"""),"CHT-GĐH-082")</f>
        <v>CHT-GĐH-082</v>
      </c>
      <c r="B739" s="3" t="str">
        <f>IFERROR(__xludf.DUMMYFUNCTION("""COMPUTED_VALUE"""),"Gàu định hình đào mương M1.2")</f>
        <v>Gàu định hình đào mương M1.2</v>
      </c>
      <c r="C739" s="5" t="str">
        <f>IFERROR(__xludf.DUMMYFUNCTION("""COMPUTED_VALUE"""),"CGTC LP")</f>
        <v>CGTC LP</v>
      </c>
      <c r="D739" s="5" t="str">
        <f>IFERROR(__xludf.DUMMYFUNCTION("""COMPUTED_VALUE"""),"THACO AGRI")</f>
        <v>THACO AGRI</v>
      </c>
      <c r="E739" s="5" t="str">
        <f>IFERROR(__xludf.DUMMYFUNCTION("""COMPUTED_VALUE"""),"M1.2")</f>
        <v>M1.2</v>
      </c>
      <c r="F739" s="5"/>
      <c r="G739" s="5" t="str">
        <f>IFERROR(__xludf.DUMMYFUNCTION("""COMPUTED_VALUE"""),"2025")</f>
        <v>2025</v>
      </c>
      <c r="H739" s="5" t="str">
        <f>IFERROR(__xludf.DUMMYFUNCTION("""COMPUTED_VALUE"""),"1200x400x1200")</f>
        <v>1200x400x1200</v>
      </c>
      <c r="I739" s="5"/>
      <c r="J739" s="5"/>
      <c r="K739" s="5"/>
      <c r="L739" s="5" t="str">
        <f>IFERROR(__xludf.DUMMYFUNCTION("""COMPUTED_VALUE"""),"KLH")</f>
        <v>KLH</v>
      </c>
    </row>
    <row r="740">
      <c r="A740" s="168" t="str">
        <f>IFERROR(__xludf.DUMMYFUNCTION("""COMPUTED_VALUE"""),"CHT-GĐH-083")</f>
        <v>CHT-GĐH-083</v>
      </c>
      <c r="B740" s="3" t="str">
        <f>IFERROR(__xludf.DUMMYFUNCTION("""COMPUTED_VALUE"""),"Gàu định hình đào mương M1.2")</f>
        <v>Gàu định hình đào mương M1.2</v>
      </c>
      <c r="C740" s="5" t="str">
        <f>IFERROR(__xludf.DUMMYFUNCTION("""COMPUTED_VALUE"""),"CGTC LP")</f>
        <v>CGTC LP</v>
      </c>
      <c r="D740" s="5" t="str">
        <f>IFERROR(__xludf.DUMMYFUNCTION("""COMPUTED_VALUE"""),"THACO AGRI")</f>
        <v>THACO AGRI</v>
      </c>
      <c r="E740" s="5" t="str">
        <f>IFERROR(__xludf.DUMMYFUNCTION("""COMPUTED_VALUE"""),"M1.2")</f>
        <v>M1.2</v>
      </c>
      <c r="F740" s="5"/>
      <c r="G740" s="5" t="str">
        <f>IFERROR(__xludf.DUMMYFUNCTION("""COMPUTED_VALUE"""),"2025")</f>
        <v>2025</v>
      </c>
      <c r="H740" s="5" t="str">
        <f>IFERROR(__xludf.DUMMYFUNCTION("""COMPUTED_VALUE"""),"1200x400x1200")</f>
        <v>1200x400x1200</v>
      </c>
      <c r="I740" s="5"/>
      <c r="J740" s="5"/>
      <c r="K740" s="5"/>
      <c r="L740" s="5" t="str">
        <f>IFERROR(__xludf.DUMMYFUNCTION("""COMPUTED_VALUE"""),"KLH")</f>
        <v>KLH</v>
      </c>
    </row>
    <row r="741">
      <c r="A741" s="168" t="str">
        <f>IFERROR(__xludf.DUMMYFUNCTION("""COMPUTED_VALUE"""),"CHT-GĐH-086")</f>
        <v>CHT-GĐH-086</v>
      </c>
      <c r="B741" s="3" t="str">
        <f>IFERROR(__xludf.DUMMYFUNCTION("""COMPUTED_VALUE"""),"Gàu định hình đào mương M1.2")</f>
        <v>Gàu định hình đào mương M1.2</v>
      </c>
      <c r="C741" s="5" t="str">
        <f>IFERROR(__xludf.DUMMYFUNCTION("""COMPUTED_VALUE"""),"CGTC LP")</f>
        <v>CGTC LP</v>
      </c>
      <c r="D741" s="5"/>
      <c r="E741" s="5"/>
      <c r="F741" s="5"/>
      <c r="G741" s="5"/>
      <c r="H741" s="5"/>
      <c r="I741" s="5"/>
      <c r="J741" s="5"/>
      <c r="K741" s="5"/>
      <c r="L741" s="5" t="str">
        <f>IFERROR(__xludf.DUMMYFUNCTION("""COMPUTED_VALUE"""),"KLH")</f>
        <v>KLH</v>
      </c>
    </row>
    <row r="742">
      <c r="A742" s="168" t="str">
        <f>IFERROR(__xludf.DUMMYFUNCTION("""COMPUTED_VALUE"""),"CHT-GĐH-087")</f>
        <v>CHT-GĐH-087</v>
      </c>
      <c r="B742" s="3" t="str">
        <f>IFERROR(__xludf.DUMMYFUNCTION("""COMPUTED_VALUE"""),"Gàu định hình đào mương M1.2")</f>
        <v>Gàu định hình đào mương M1.2</v>
      </c>
      <c r="C742" s="5" t="str">
        <f>IFERROR(__xludf.DUMMYFUNCTION("""COMPUTED_VALUE"""),"CGTC LP")</f>
        <v>CGTC LP</v>
      </c>
      <c r="D742" s="5"/>
      <c r="E742" s="5"/>
      <c r="F742" s="5"/>
      <c r="G742" s="5"/>
      <c r="H742" s="5"/>
      <c r="I742" s="5"/>
      <c r="J742" s="5"/>
      <c r="K742" s="5"/>
      <c r="L742" s="5" t="str">
        <f>IFERROR(__xludf.DUMMYFUNCTION("""COMPUTED_VALUE"""),"KLH")</f>
        <v>KLH</v>
      </c>
    </row>
    <row r="743">
      <c r="A743" s="168" t="str">
        <f>IFERROR(__xludf.DUMMYFUNCTION("""COMPUTED_VALUE"""),"CHT-GĐH-088")</f>
        <v>CHT-GĐH-088</v>
      </c>
      <c r="B743" s="3" t="str">
        <f>IFERROR(__xludf.DUMMYFUNCTION("""COMPUTED_VALUE"""),"Gàu định hình đào mương M1.2")</f>
        <v>Gàu định hình đào mương M1.2</v>
      </c>
      <c r="C743" s="5" t="str">
        <f>IFERROR(__xludf.DUMMYFUNCTION("""COMPUTED_VALUE"""),"CGTC LP")</f>
        <v>CGTC LP</v>
      </c>
      <c r="D743" s="5"/>
      <c r="E743" s="5"/>
      <c r="F743" s="5"/>
      <c r="G743" s="5"/>
      <c r="H743" s="5"/>
      <c r="I743" s="5"/>
      <c r="J743" s="5"/>
      <c r="K743" s="5"/>
      <c r="L743" s="5" t="str">
        <f>IFERROR(__xludf.DUMMYFUNCTION("""COMPUTED_VALUE"""),"KLH")</f>
        <v>KLH</v>
      </c>
    </row>
    <row r="744">
      <c r="A744" s="168" t="str">
        <f>IFERROR(__xludf.DUMMYFUNCTION("""COMPUTED_VALUE"""),"CHT-GĐH-089")</f>
        <v>CHT-GĐH-089</v>
      </c>
      <c r="B744" s="3" t="str">
        <f>IFERROR(__xludf.DUMMYFUNCTION("""COMPUTED_VALUE"""),"Gàu định hình đào mương M1.2")</f>
        <v>Gàu định hình đào mương M1.2</v>
      </c>
      <c r="C744" s="5" t="str">
        <f>IFERROR(__xludf.DUMMYFUNCTION("""COMPUTED_VALUE"""),"CGTC LP")</f>
        <v>CGTC LP</v>
      </c>
      <c r="D744" s="5"/>
      <c r="E744" s="5"/>
      <c r="F744" s="5"/>
      <c r="G744" s="5"/>
      <c r="H744" s="5"/>
      <c r="I744" s="5"/>
      <c r="J744" s="5"/>
      <c r="K744" s="5"/>
      <c r="L744" s="5" t="str">
        <f>IFERROR(__xludf.DUMMYFUNCTION("""COMPUTED_VALUE"""),"KLH")</f>
        <v>KLH</v>
      </c>
    </row>
    <row r="745">
      <c r="A745" s="168" t="str">
        <f>IFERROR(__xludf.DUMMYFUNCTION("""COMPUTED_VALUE"""),"CHT-GĐH-090")</f>
        <v>CHT-GĐH-090</v>
      </c>
      <c r="B745" s="3" t="str">
        <f>IFERROR(__xludf.DUMMYFUNCTION("""COMPUTED_VALUE"""),"Gàu định hình đào mương M1.2")</f>
        <v>Gàu định hình đào mương M1.2</v>
      </c>
      <c r="C745" s="5" t="str">
        <f>IFERROR(__xludf.DUMMYFUNCTION("""COMPUTED_VALUE"""),"CGTC LP")</f>
        <v>CGTC LP</v>
      </c>
      <c r="D745" s="5"/>
      <c r="E745" s="5"/>
      <c r="F745" s="5"/>
      <c r="G745" s="5"/>
      <c r="H745" s="5"/>
      <c r="I745" s="5"/>
      <c r="J745" s="5"/>
      <c r="K745" s="5"/>
      <c r="L745" s="5" t="str">
        <f>IFERROR(__xludf.DUMMYFUNCTION("""COMPUTED_VALUE"""),"KLH")</f>
        <v>KLH</v>
      </c>
    </row>
    <row r="746">
      <c r="A746" s="168" t="str">
        <f>IFERROR(__xludf.DUMMYFUNCTION("""COMPUTED_VALUE"""),"CHT-GĐH-091")</f>
        <v>CHT-GĐH-091</v>
      </c>
      <c r="B746" s="3" t="str">
        <f>IFERROR(__xludf.DUMMYFUNCTION("""COMPUTED_VALUE"""),"Gàu định hình đào mương M1.2")</f>
        <v>Gàu định hình đào mương M1.2</v>
      </c>
      <c r="C746" s="5" t="str">
        <f>IFERROR(__xludf.DUMMYFUNCTION("""COMPUTED_VALUE"""),"CGTC LP")</f>
        <v>CGTC LP</v>
      </c>
      <c r="D746" s="5"/>
      <c r="E746" s="5"/>
      <c r="F746" s="5"/>
      <c r="G746" s="5"/>
      <c r="H746" s="5"/>
      <c r="I746" s="5"/>
      <c r="J746" s="5"/>
      <c r="K746" s="5"/>
      <c r="L746" s="5" t="str">
        <f>IFERROR(__xludf.DUMMYFUNCTION("""COMPUTED_VALUE"""),"KLH")</f>
        <v>KLH</v>
      </c>
    </row>
    <row r="747">
      <c r="A747" s="168" t="str">
        <f>IFERROR(__xludf.DUMMYFUNCTION("""COMPUTED_VALUE"""),"CHT-GĐH-092")</f>
        <v>CHT-GĐH-092</v>
      </c>
      <c r="B747" s="3" t="str">
        <f>IFERROR(__xludf.DUMMYFUNCTION("""COMPUTED_VALUE"""),"Gàu định hình đào mương M1.2")</f>
        <v>Gàu định hình đào mương M1.2</v>
      </c>
      <c r="C747" s="5" t="str">
        <f>IFERROR(__xludf.DUMMYFUNCTION("""COMPUTED_VALUE"""),"CGTC LP")</f>
        <v>CGTC LP</v>
      </c>
      <c r="D747" s="5"/>
      <c r="E747" s="5"/>
      <c r="F747" s="5"/>
      <c r="G747" s="5"/>
      <c r="H747" s="5"/>
      <c r="I747" s="5"/>
      <c r="J747" s="5"/>
      <c r="K747" s="5"/>
      <c r="L747" s="5" t="str">
        <f>IFERROR(__xludf.DUMMYFUNCTION("""COMPUTED_VALUE"""),"KLH")</f>
        <v>KLH</v>
      </c>
    </row>
    <row r="748">
      <c r="A748" s="168" t="str">
        <f>IFERROR(__xludf.DUMMYFUNCTION("""COMPUTED_VALUE"""),"Cơ giới thi công AD")</f>
        <v>Cơ giới thi công AD</v>
      </c>
      <c r="B748" s="3"/>
      <c r="C748" s="5"/>
      <c r="D748" s="5"/>
      <c r="E748" s="5"/>
      <c r="F748" s="5"/>
      <c r="G748" s="5"/>
      <c r="H748" s="5"/>
      <c r="I748" s="5"/>
      <c r="J748" s="5"/>
      <c r="K748" s="5"/>
      <c r="L748" s="5" t="str">
        <f>IFERROR(__xludf.DUMMYFUNCTION("""COMPUTED_VALUE"""),"KLH")</f>
        <v>KLH</v>
      </c>
    </row>
    <row r="749">
      <c r="A749" s="168" t="str">
        <f>IFERROR(__xludf.DUMMYFUNCTION("""COMPUTED_VALUE"""),"CHT-CNA-003")</f>
        <v>CHT-CNA-003</v>
      </c>
      <c r="B749" s="3" t="str">
        <f>IFERROR(__xludf.DUMMYFUNCTION("""COMPUTED_VALUE"""),"Thiết bị cày ngầm 3 trụ")</f>
        <v>Thiết bị cày ngầm 3 trụ</v>
      </c>
      <c r="C749" s="5" t="str">
        <f>IFERROR(__xludf.DUMMYFUNCTION("""COMPUTED_VALUE"""),"CGTC AD")</f>
        <v>CGTC AD</v>
      </c>
      <c r="D749" s="5" t="str">
        <f>IFERROR(__xludf.DUMMYFUNCTION("""COMPUTED_VALUE"""),"TRUNG QUỐC")</f>
        <v>TRUNG QUỐC</v>
      </c>
      <c r="E749" s="5" t="str">
        <f>IFERROR(__xludf.DUMMYFUNCTION("""COMPUTED_VALUE"""),"3 trụ")</f>
        <v>3 trụ</v>
      </c>
      <c r="F749" s="5"/>
      <c r="G749" s="5"/>
      <c r="H749" s="5"/>
      <c r="I749" s="5"/>
      <c r="J749" s="5"/>
      <c r="K749" s="5"/>
      <c r="L749" s="5" t="str">
        <f>IFERROR(__xludf.DUMMYFUNCTION("""COMPUTED_VALUE"""),"KLH")</f>
        <v>KLH</v>
      </c>
    </row>
    <row r="750">
      <c r="A750" s="168" t="str">
        <f>IFERROR(__xludf.DUMMYFUNCTION("""COMPUTED_VALUE"""),"CHT-TCĐ-001")</f>
        <v>CHT-TCĐ-001</v>
      </c>
      <c r="B750" s="3" t="str">
        <f>IFERROR(__xludf.DUMMYFUNCTION("""COMPUTED_VALUE"""),"Trống cào đá")</f>
        <v>Trống cào đá</v>
      </c>
      <c r="C750" s="5" t="str">
        <f>IFERROR(__xludf.DUMMYFUNCTION("""COMPUTED_VALUE"""),"CGTC AD")</f>
        <v>CGTC AD</v>
      </c>
      <c r="D750" s="5" t="str">
        <f>IFERROR(__xludf.DUMMYFUNCTION("""COMPUTED_VALUE"""),"TRUNG QUỐC")</f>
        <v>TRUNG QUỐC</v>
      </c>
      <c r="E750" s="5"/>
      <c r="F750" s="5"/>
      <c r="G750" s="5"/>
      <c r="H750" s="5"/>
      <c r="I750" s="5"/>
      <c r="J750" s="5"/>
      <c r="K750" s="5"/>
      <c r="L750" s="5" t="str">
        <f>IFERROR(__xludf.DUMMYFUNCTION("""COMPUTED_VALUE"""),"KLH")</f>
        <v>KLH</v>
      </c>
    </row>
    <row r="751">
      <c r="A751" s="168" t="str">
        <f>IFERROR(__xludf.DUMMYFUNCTION("""COMPUTED_VALUE"""),"CHT-CMĐ-003")</f>
        <v>CHT-CMĐ-003</v>
      </c>
      <c r="B751" s="3" t="str">
        <f>IFERROR(__xludf.DUMMYFUNCTION("""COMPUTED_VALUE"""),"Cần dài M.Đào Sumitomo (16m)")</f>
        <v>Cần dài M.Đào Sumitomo (16m)</v>
      </c>
      <c r="C751" s="5" t="str">
        <f>IFERROR(__xludf.DUMMYFUNCTION("""COMPUTED_VALUE"""),"CGTC AD")</f>
        <v>CGTC AD</v>
      </c>
      <c r="D751" s="5" t="str">
        <f>IFERROR(__xludf.DUMMYFUNCTION("""COMPUTED_VALUE"""),"TRUNG QUỐC")</f>
        <v>TRUNG QUỐC</v>
      </c>
      <c r="E751" s="5" t="str">
        <f>IFERROR(__xludf.DUMMYFUNCTION("""COMPUTED_VALUE"""),"16m")</f>
        <v>16m</v>
      </c>
      <c r="F751" s="5"/>
      <c r="G751" s="5"/>
      <c r="H751" s="5"/>
      <c r="I751" s="5"/>
      <c r="J751" s="5"/>
      <c r="K751" s="5"/>
      <c r="L751" s="5" t="str">
        <f>IFERROR(__xludf.DUMMYFUNCTION("""COMPUTED_VALUE"""),"KLH")</f>
        <v>KLH</v>
      </c>
    </row>
    <row r="752">
      <c r="A752" s="168" t="str">
        <f>IFERROR(__xludf.DUMMYFUNCTION("""COMPUTED_VALUE"""),"CHT-CMĐ-004")</f>
        <v>CHT-CMĐ-004</v>
      </c>
      <c r="B752" s="3" t="str">
        <f>IFERROR(__xludf.DUMMYFUNCTION("""COMPUTED_VALUE"""),"Cần dài M.Đào Doosan (12m)")</f>
        <v>Cần dài M.Đào Doosan (12m)</v>
      </c>
      <c r="C752" s="5" t="str">
        <f>IFERROR(__xludf.DUMMYFUNCTION("""COMPUTED_VALUE"""),"CGTC AD")</f>
        <v>CGTC AD</v>
      </c>
      <c r="D752" s="5" t="str">
        <f>IFERROR(__xludf.DUMMYFUNCTION("""COMPUTED_VALUE"""),"TRUNG QUỐC")</f>
        <v>TRUNG QUỐC</v>
      </c>
      <c r="E752" s="5" t="str">
        <f>IFERROR(__xludf.DUMMYFUNCTION("""COMPUTED_VALUE"""),"12m")</f>
        <v>12m</v>
      </c>
      <c r="F752" s="5"/>
      <c r="G752" s="5"/>
      <c r="H752" s="5"/>
      <c r="I752" s="5"/>
      <c r="J752" s="5"/>
      <c r="K752" s="5"/>
      <c r="L752" s="5" t="str">
        <f>IFERROR(__xludf.DUMMYFUNCTION("""COMPUTED_VALUE"""),"KLH")</f>
        <v>KLH</v>
      </c>
    </row>
    <row r="753">
      <c r="A753" s="168" t="str">
        <f>IFERROR(__xludf.DUMMYFUNCTION("""COMPUTED_VALUE"""),"CHT-BDU-002")</f>
        <v>CHT-BDU-002</v>
      </c>
      <c r="B753" s="3" t="str">
        <f>IFERROR(__xludf.DUMMYFUNCTION("""COMPUTED_VALUE"""),"Búa đục bê tông")</f>
        <v>Búa đục bê tông</v>
      </c>
      <c r="C753" s="5" t="str">
        <f>IFERROR(__xludf.DUMMYFUNCTION("""COMPUTED_VALUE"""),"CGTC AD")</f>
        <v>CGTC AD</v>
      </c>
      <c r="D753" s="5" t="str">
        <f>IFERROR(__xludf.DUMMYFUNCTION("""COMPUTED_VALUE"""),"TRUNG QUỐC")</f>
        <v>TRUNG QUỐC</v>
      </c>
      <c r="E753" s="5"/>
      <c r="F753" s="5"/>
      <c r="G753" s="5"/>
      <c r="H753" s="5"/>
      <c r="I753" s="5"/>
      <c r="J753" s="5"/>
      <c r="K753" s="5"/>
      <c r="L753" s="5" t="str">
        <f>IFERROR(__xludf.DUMMYFUNCTION("""COMPUTED_VALUE"""),"KLH")</f>
        <v>KLH</v>
      </c>
    </row>
    <row r="754">
      <c r="A754" s="168" t="str">
        <f>IFERROR(__xludf.DUMMYFUNCTION("""COMPUTED_VALUE"""),"CHT-BDU-003")</f>
        <v>CHT-BDU-003</v>
      </c>
      <c r="B754" s="3" t="str">
        <f>IFERROR(__xludf.DUMMYFUNCTION("""COMPUTED_VALUE"""),"Búa đục bê tông")</f>
        <v>Búa đục bê tông</v>
      </c>
      <c r="C754" s="5" t="str">
        <f>IFERROR(__xludf.DUMMYFUNCTION("""COMPUTED_VALUE"""),"CGTC AD")</f>
        <v>CGTC AD</v>
      </c>
      <c r="D754" s="5" t="str">
        <f>IFERROR(__xludf.DUMMYFUNCTION("""COMPUTED_VALUE"""),"TRUNG QUỐC")</f>
        <v>TRUNG QUỐC</v>
      </c>
      <c r="E754" s="5" t="str">
        <f>IFERROR(__xludf.DUMMYFUNCTION("""COMPUTED_VALUE"""),"EDT")</f>
        <v>EDT</v>
      </c>
      <c r="F754" s="5"/>
      <c r="G754" s="5" t="str">
        <f>IFERROR(__xludf.DUMMYFUNCTION("""COMPUTED_VALUE"""),"2024")</f>
        <v>2024</v>
      </c>
      <c r="H754" s="5" t="str">
        <f>IFERROR(__xludf.DUMMYFUNCTION("""COMPUTED_VALUE"""),"Đường kính đinh: 135mm")</f>
        <v>Đường kính đinh: 135mm</v>
      </c>
      <c r="I754" s="5" t="str">
        <f>IFERROR(__xludf.DUMMYFUNCTION("""COMPUTED_VALUE"""),"CNB 0051 E52HB1")</f>
        <v>CNB 0051 E52HB1</v>
      </c>
      <c r="J754" s="5"/>
      <c r="K754" s="5"/>
      <c r="L754" s="5" t="str">
        <f>IFERROR(__xludf.DUMMYFUNCTION("""COMPUTED_VALUE"""),"KLH")</f>
        <v>KLH</v>
      </c>
    </row>
    <row r="755">
      <c r="A755" s="168" t="str">
        <f>IFERROR(__xludf.DUMMYFUNCTION("""COMPUTED_VALUE"""),"CHT-BDU-007")</f>
        <v>CHT-BDU-007</v>
      </c>
      <c r="B755" s="3" t="str">
        <f>IFERROR(__xludf.DUMMYFUNCTION("""COMPUTED_VALUE"""),"Búa đục bê tông")</f>
        <v>Búa đục bê tông</v>
      </c>
      <c r="C755" s="5" t="str">
        <f>IFERROR(__xludf.DUMMYFUNCTION("""COMPUTED_VALUE"""),"CGTC AD")</f>
        <v>CGTC AD</v>
      </c>
      <c r="D755" s="5" t="str">
        <f>IFERROR(__xludf.DUMMYFUNCTION("""COMPUTED_VALUE"""),"FURUKAWA")</f>
        <v>FURUKAWA</v>
      </c>
      <c r="E755" s="5" t="str">
        <f>IFERROR(__xludf.DUMMYFUNCTION("""COMPUTED_VALUE"""),"F22")</f>
        <v>F22</v>
      </c>
      <c r="F755" s="5"/>
      <c r="G755" s="5"/>
      <c r="H755" s="5"/>
      <c r="I755" s="5" t="str">
        <f>IFERROR(__xludf.DUMMYFUNCTION("""COMPUTED_VALUE"""),"F22-01")</f>
        <v>F22-01</v>
      </c>
      <c r="J755" s="5"/>
      <c r="K755" s="5"/>
      <c r="L755" s="5" t="str">
        <f>IFERROR(__xludf.DUMMYFUNCTION("""COMPUTED_VALUE"""),"KLH")</f>
        <v>KLH</v>
      </c>
    </row>
    <row r="756">
      <c r="A756" s="168" t="str">
        <f>IFERROR(__xludf.DUMMYFUNCTION("""COMPUTED_VALUE"""),"CHT-BDU-008")</f>
        <v>CHT-BDU-008</v>
      </c>
      <c r="B756" s="3" t="str">
        <f>IFERROR(__xludf.DUMMYFUNCTION("""COMPUTED_VALUE"""),"Búa đục bê tông")</f>
        <v>Búa đục bê tông</v>
      </c>
      <c r="C756" s="5" t="str">
        <f>IFERROR(__xludf.DUMMYFUNCTION("""COMPUTED_VALUE"""),"CGTC AD")</f>
        <v>CGTC AD</v>
      </c>
      <c r="D756" s="5" t="str">
        <f>IFERROR(__xludf.DUMMYFUNCTION("""COMPUTED_VALUE"""),"FURUKAWA")</f>
        <v>FURUKAWA</v>
      </c>
      <c r="E756" s="5" t="str">
        <f>IFERROR(__xludf.DUMMYFUNCTION("""COMPUTED_VALUE"""),"F22")</f>
        <v>F22</v>
      </c>
      <c r="F756" s="5"/>
      <c r="G756" s="5"/>
      <c r="H756" s="5"/>
      <c r="I756" s="5" t="str">
        <f>IFERROR(__xludf.DUMMYFUNCTION("""COMPUTED_VALUE"""),"F22-02")</f>
        <v>F22-02</v>
      </c>
      <c r="J756" s="5"/>
      <c r="K756" s="5"/>
      <c r="L756" s="5" t="str">
        <f>IFERROR(__xludf.DUMMYFUNCTION("""COMPUTED_VALUE"""),"KLH")</f>
        <v>KLH</v>
      </c>
    </row>
    <row r="757">
      <c r="A757" s="168" t="str">
        <f>IFERROR(__xludf.DUMMYFUNCTION("""COMPUTED_VALUE"""),"CHT-BDU-010")</f>
        <v>CHT-BDU-010</v>
      </c>
      <c r="B757" s="3" t="str">
        <f>IFERROR(__xludf.DUMMYFUNCTION("""COMPUTED_VALUE"""),"Búa đục bê tông")</f>
        <v>Búa đục bê tông</v>
      </c>
      <c r="C757" s="5" t="str">
        <f>IFERROR(__xludf.DUMMYFUNCTION("""COMPUTED_VALUE"""),"CGTC AD")</f>
        <v>CGTC AD</v>
      </c>
      <c r="D757" s="5" t="str">
        <f>IFERROR(__xludf.DUMMYFUNCTION("""COMPUTED_VALUE"""),"FURUKAWA")</f>
        <v>FURUKAWA</v>
      </c>
      <c r="E757" s="5" t="str">
        <f>IFERROR(__xludf.DUMMYFUNCTION("""COMPUTED_VALUE"""),"F22")</f>
        <v>F22</v>
      </c>
      <c r="F757" s="5"/>
      <c r="G757" s="5"/>
      <c r="H757" s="5"/>
      <c r="I757" s="5" t="str">
        <f>IFERROR(__xludf.DUMMYFUNCTION("""COMPUTED_VALUE"""),"F22-03")</f>
        <v>F22-03</v>
      </c>
      <c r="J757" s="5"/>
      <c r="K757" s="5"/>
      <c r="L757" s="5" t="str">
        <f>IFERROR(__xludf.DUMMYFUNCTION("""COMPUTED_VALUE"""),"KLH")</f>
        <v>KLH</v>
      </c>
    </row>
    <row r="758">
      <c r="A758" s="168" t="str">
        <f>IFERROR(__xludf.DUMMYFUNCTION("""COMPUTED_VALUE"""),"CHT-BDU-011")</f>
        <v>CHT-BDU-011</v>
      </c>
      <c r="B758" s="3" t="str">
        <f>IFERROR(__xludf.DUMMYFUNCTION("""COMPUTED_VALUE"""),"Búa đục bê tông")</f>
        <v>Búa đục bê tông</v>
      </c>
      <c r="C758" s="5" t="str">
        <f>IFERROR(__xludf.DUMMYFUNCTION("""COMPUTED_VALUE"""),"CGTC AD")</f>
        <v>CGTC AD</v>
      </c>
      <c r="D758" s="5"/>
      <c r="E758" s="5" t="str">
        <f>IFERROR(__xludf.DUMMYFUNCTION("""COMPUTED_VALUE"""),"T2000S")</f>
        <v>T2000S</v>
      </c>
      <c r="F758" s="5"/>
      <c r="G758" s="5"/>
      <c r="H758" s="5"/>
      <c r="I758" s="5"/>
      <c r="J758" s="5"/>
      <c r="K758" s="5"/>
      <c r="L758" s="5" t="str">
        <f>IFERROR(__xludf.DUMMYFUNCTION("""COMPUTED_VALUE"""),"KLH")</f>
        <v>KLH</v>
      </c>
    </row>
    <row r="759">
      <c r="A759" s="168" t="str">
        <f>IFERROR(__xludf.DUMMYFUNCTION("""COMPUTED_VALUE"""),"CHT-ĐTL-003")</f>
        <v>CHT-ĐTL-003</v>
      </c>
      <c r="B759" s="3" t="str">
        <f>IFERROR(__xludf.DUMMYFUNCTION("""COMPUTED_VALUE"""),"Đầm taluy (Đầm rung thủy lực)")</f>
        <v>Đầm taluy (Đầm rung thủy lực)</v>
      </c>
      <c r="C759" s="5" t="str">
        <f>IFERROR(__xludf.DUMMYFUNCTION("""COMPUTED_VALUE"""),"CGTC AD")</f>
        <v>CGTC AD</v>
      </c>
      <c r="D759" s="5" t="str">
        <f>IFERROR(__xludf.DUMMYFUNCTION("""COMPUTED_VALUE"""),"TRUNG QUỐC")</f>
        <v>TRUNG QUỐC</v>
      </c>
      <c r="E759" s="5" t="str">
        <f>IFERROR(__xludf.DUMMYFUNCTION("""COMPUTED_VALUE"""),"Taluy")</f>
        <v>Taluy</v>
      </c>
      <c r="F759" s="5"/>
      <c r="G759" s="5"/>
      <c r="H759" s="5"/>
      <c r="I759" s="5"/>
      <c r="J759" s="5"/>
      <c r="K759" s="5"/>
      <c r="L759" s="5" t="str">
        <f>IFERROR(__xludf.DUMMYFUNCTION("""COMPUTED_VALUE"""),"KLH")</f>
        <v>KLH</v>
      </c>
    </row>
    <row r="760">
      <c r="A760" s="168" t="str">
        <f>IFERROR(__xludf.DUMMYFUNCTION("""COMPUTED_VALUE"""),"CHT-ĐTL-004")</f>
        <v>CHT-ĐTL-004</v>
      </c>
      <c r="B760" s="3" t="str">
        <f>IFERROR(__xludf.DUMMYFUNCTION("""COMPUTED_VALUE"""),"Đầm taluy (Đầm rung thủy lực)")</f>
        <v>Đầm taluy (Đầm rung thủy lực)</v>
      </c>
      <c r="C760" s="5" t="str">
        <f>IFERROR(__xludf.DUMMYFUNCTION("""COMPUTED_VALUE"""),"CGTC AD")</f>
        <v>CGTC AD</v>
      </c>
      <c r="D760" s="5" t="str">
        <f>IFERROR(__xludf.DUMMYFUNCTION("""COMPUTED_VALUE"""),"EVERDIGM")</f>
        <v>EVERDIGM</v>
      </c>
      <c r="E760" s="5" t="str">
        <f>IFERROR(__xludf.DUMMYFUNCTION("""COMPUTED_VALUE"""),"EPC15PA")</f>
        <v>EPC15PA</v>
      </c>
      <c r="F760" s="5"/>
      <c r="G760" s="5" t="str">
        <f>IFERROR(__xludf.DUMMYFUNCTION("""COMPUTED_VALUE"""),"2021")</f>
        <v>2021</v>
      </c>
      <c r="H760" s="5" t="str">
        <f>IFERROR(__xludf.DUMMYFUNCTION("""COMPUTED_VALUE"""),"6.4 TẤN- 740x1050mm")</f>
        <v>6.4 TẤN- 740x1050mm</v>
      </c>
      <c r="I760" s="5" t="str">
        <f>IFERROR(__xludf.DUMMYFUNCTION("""COMPUTED_VALUE"""),"15-H245")</f>
        <v>15-H245</v>
      </c>
      <c r="J760" s="5"/>
      <c r="K760" s="5"/>
      <c r="L760" s="5" t="str">
        <f>IFERROR(__xludf.DUMMYFUNCTION("""COMPUTED_VALUE"""),"KLH")</f>
        <v>KLH</v>
      </c>
    </row>
    <row r="761">
      <c r="A761" s="168" t="str">
        <f>IFERROR(__xludf.DUMMYFUNCTION("""COMPUTED_VALUE"""),"CHT-RMĐ-001")</f>
        <v>CHT-RMĐ-001</v>
      </c>
      <c r="B761" s="3" t="str">
        <f>IFERROR(__xludf.DUMMYFUNCTION("""COMPUTED_VALUE"""),"Rơ mooc vận chuyển M.đào 03")</f>
        <v>Rơ mooc vận chuyển M.đào 03</v>
      </c>
      <c r="C761" s="5" t="str">
        <f>IFERROR(__xludf.DUMMYFUNCTION("""COMPUTED_VALUE"""),"CGTC AD")</f>
        <v>CGTC AD</v>
      </c>
      <c r="D761" s="5" t="str">
        <f>IFERROR(__xludf.DUMMYFUNCTION("""COMPUTED_VALUE"""),"THACO AGRI")</f>
        <v>THACO AGRI</v>
      </c>
      <c r="E761" s="5"/>
      <c r="F761" s="5"/>
      <c r="G761" s="5"/>
      <c r="H761" s="5"/>
      <c r="I761" s="5"/>
      <c r="J761" s="5"/>
      <c r="K761" s="5"/>
      <c r="L761" s="5" t="str">
        <f>IFERROR(__xludf.DUMMYFUNCTION("""COMPUTED_VALUE"""),"KLH")</f>
        <v>KLH</v>
      </c>
    </row>
    <row r="762">
      <c r="A762" s="168" t="str">
        <f>IFERROR(__xludf.DUMMYFUNCTION("""COMPUTED_VALUE"""),"CƠ GIỚI LÀM ĐẤT")</f>
        <v>CƠ GIỚI LÀM ĐẤT</v>
      </c>
      <c r="B762" s="3"/>
      <c r="C762" s="5"/>
      <c r="D762" s="5"/>
      <c r="E762" s="5"/>
      <c r="F762" s="5"/>
      <c r="G762" s="5"/>
      <c r="H762" s="5"/>
      <c r="I762" s="5"/>
      <c r="J762" s="5"/>
      <c r="K762" s="5"/>
      <c r="L762" s="5" t="str">
        <f>IFERROR(__xludf.DUMMYFUNCTION("""COMPUTED_VALUE"""),"KLH")</f>
        <v>KLH</v>
      </c>
    </row>
    <row r="763">
      <c r="A763" s="168" t="str">
        <f>IFERROR(__xludf.DUMMYFUNCTION("""COMPUTED_VALUE"""),"Cơ giới làm đất DP")</f>
        <v>Cơ giới làm đất DP</v>
      </c>
      <c r="B763" s="3"/>
      <c r="C763" s="5"/>
      <c r="D763" s="5"/>
      <c r="E763" s="5"/>
      <c r="F763" s="5"/>
      <c r="G763" s="5"/>
      <c r="H763" s="5"/>
      <c r="I763" s="5"/>
      <c r="J763" s="5"/>
      <c r="K763" s="5"/>
      <c r="L763" s="5" t="str">
        <f>IFERROR(__xludf.DUMMYFUNCTION("""COMPUTED_VALUE"""),"KLH")</f>
        <v>KLH</v>
      </c>
    </row>
    <row r="764">
      <c r="A764" s="168" t="str">
        <f>IFERROR(__xludf.DUMMYFUNCTION("""COMPUTED_VALUE"""),"CNN-RMC-001")</f>
        <v>CNN-RMC-001</v>
      </c>
      <c r="B764" s="3" t="str">
        <f>IFERROR(__xludf.DUMMYFUNCTION("""COMPUTED_VALUE"""),"Rơ mooc thu hoạch")</f>
        <v>Rơ mooc thu hoạch</v>
      </c>
      <c r="C764" s="5" t="str">
        <f>IFERROR(__xludf.DUMMYFUNCTION("""COMPUTED_VALUE"""),"CGLĐ DP")</f>
        <v>CGLĐ DP</v>
      </c>
      <c r="D764" s="5" t="str">
        <f>IFERROR(__xludf.DUMMYFUNCTION("""COMPUTED_VALUE"""),"THACO AGRI")</f>
        <v>THACO AGRI</v>
      </c>
      <c r="E764" s="5"/>
      <c r="F764" s="5"/>
      <c r="G764" s="5"/>
      <c r="H764" s="5"/>
      <c r="I764" s="5" t="str">
        <f>IFERROR(__xludf.DUMMYFUNCTION("""COMPUTED_VALUE"""),"2m3")</f>
        <v>2m3</v>
      </c>
      <c r="J764" s="5"/>
      <c r="K764" s="5"/>
      <c r="L764" s="5" t="str">
        <f>IFERROR(__xludf.DUMMYFUNCTION("""COMPUTED_VALUE"""),"KLH")</f>
        <v>KLH</v>
      </c>
    </row>
    <row r="765">
      <c r="A765" s="168" t="str">
        <f>IFERROR(__xludf.DUMMYFUNCTION("""COMPUTED_VALUE"""),"CNN-CCH-001")</f>
        <v>CNN-CCH-001</v>
      </c>
      <c r="B765" s="3" t="str">
        <f>IFERROR(__xludf.DUMMYFUNCTION("""COMPUTED_VALUE"""),"Thiết bị cày 3 chảo")</f>
        <v>Thiết bị cày 3 chảo</v>
      </c>
      <c r="C765" s="5" t="str">
        <f>IFERROR(__xludf.DUMMYFUNCTION("""COMPUTED_VALUE"""),"CGLĐ DP")</f>
        <v>CGLĐ DP</v>
      </c>
      <c r="D765" s="5" t="str">
        <f>IFERROR(__xludf.DUMMYFUNCTION("""COMPUTED_VALUE"""),"TRUNG QUỐC")</f>
        <v>TRUNG QUỐC</v>
      </c>
      <c r="E765" s="5" t="str">
        <f>IFERROR(__xludf.DUMMYFUNCTION("""COMPUTED_VALUE"""),"3 chảo")</f>
        <v>3 chảo</v>
      </c>
      <c r="F765" s="5"/>
      <c r="G765" s="5"/>
      <c r="H765" s="5"/>
      <c r="I765" s="5"/>
      <c r="J765" s="5"/>
      <c r="K765" s="5"/>
      <c r="L765" s="5" t="str">
        <f>IFERROR(__xludf.DUMMYFUNCTION("""COMPUTED_VALUE"""),"KLH")</f>
        <v>KLH</v>
      </c>
    </row>
    <row r="766">
      <c r="A766" s="168" t="str">
        <f>IFERROR(__xludf.DUMMYFUNCTION("""COMPUTED_VALUE"""),"CNN-CCH-002")</f>
        <v>CNN-CCH-002</v>
      </c>
      <c r="B766" s="3" t="str">
        <f>IFERROR(__xludf.DUMMYFUNCTION("""COMPUTED_VALUE"""),"Thiết bị cày 3 chảo")</f>
        <v>Thiết bị cày 3 chảo</v>
      </c>
      <c r="C766" s="5" t="str">
        <f>IFERROR(__xludf.DUMMYFUNCTION("""COMPUTED_VALUE"""),"CGLĐ DP")</f>
        <v>CGLĐ DP</v>
      </c>
      <c r="D766" s="5" t="str">
        <f>IFERROR(__xludf.DUMMYFUNCTION("""COMPUTED_VALUE"""),"TRUNG QUỐC")</f>
        <v>TRUNG QUỐC</v>
      </c>
      <c r="E766" s="5" t="str">
        <f>IFERROR(__xludf.DUMMYFUNCTION("""COMPUTED_VALUE"""),"3 chảo")</f>
        <v>3 chảo</v>
      </c>
      <c r="F766" s="5"/>
      <c r="G766" s="5"/>
      <c r="H766" s="5"/>
      <c r="I766" s="5"/>
      <c r="J766" s="5"/>
      <c r="K766" s="5"/>
      <c r="L766" s="5" t="str">
        <f>IFERROR(__xludf.DUMMYFUNCTION("""COMPUTED_VALUE"""),"KLH")</f>
        <v>KLH</v>
      </c>
    </row>
    <row r="767">
      <c r="A767" s="168" t="str">
        <f>IFERROR(__xludf.DUMMYFUNCTION("""COMPUTED_VALUE"""),"CNN-CCH-003")</f>
        <v>CNN-CCH-003</v>
      </c>
      <c r="B767" s="3" t="str">
        <f>IFERROR(__xludf.DUMMYFUNCTION("""COMPUTED_VALUE"""),"Thiết bị cày 3 chảo")</f>
        <v>Thiết bị cày 3 chảo</v>
      </c>
      <c r="C767" s="5" t="str">
        <f>IFERROR(__xludf.DUMMYFUNCTION("""COMPUTED_VALUE"""),"CGLĐ DP")</f>
        <v>CGLĐ DP</v>
      </c>
      <c r="D767" s="5" t="str">
        <f>IFERROR(__xludf.DUMMYFUNCTION("""COMPUTED_VALUE"""),"TRUNG QUỐC")</f>
        <v>TRUNG QUỐC</v>
      </c>
      <c r="E767" s="5" t="str">
        <f>IFERROR(__xludf.DUMMYFUNCTION("""COMPUTED_VALUE"""),"3 chảo")</f>
        <v>3 chảo</v>
      </c>
      <c r="F767" s="5"/>
      <c r="G767" s="5"/>
      <c r="H767" s="5"/>
      <c r="I767" s="5"/>
      <c r="J767" s="5"/>
      <c r="K767" s="5"/>
      <c r="L767" s="5" t="str">
        <f>IFERROR(__xludf.DUMMYFUNCTION("""COMPUTED_VALUE"""),"KLH")</f>
        <v>KLH</v>
      </c>
    </row>
    <row r="768">
      <c r="A768" s="168" t="str">
        <f>IFERROR(__xludf.DUMMYFUNCTION("""COMPUTED_VALUE"""),"CNN-BUA-001")</f>
        <v>CNN-BUA-001</v>
      </c>
      <c r="B768" s="3" t="str">
        <f>IFERROR(__xludf.DUMMYFUNCTION("""COMPUTED_VALUE"""),"Thiết bị bừa 7 chảo")</f>
        <v>Thiết bị bừa 7 chảo</v>
      </c>
      <c r="C768" s="5" t="str">
        <f>IFERROR(__xludf.DUMMYFUNCTION("""COMPUTED_VALUE"""),"CGLĐ DP")</f>
        <v>CGLĐ DP</v>
      </c>
      <c r="D768" s="5" t="str">
        <f>IFERROR(__xludf.DUMMYFUNCTION("""COMPUTED_VALUE"""),"TRUNG QUỐC")</f>
        <v>TRUNG QUỐC</v>
      </c>
      <c r="E768" s="5" t="str">
        <f>IFERROR(__xludf.DUMMYFUNCTION("""COMPUTED_VALUE"""),"7 chảo")</f>
        <v>7 chảo</v>
      </c>
      <c r="F768" s="5"/>
      <c r="G768" s="5"/>
      <c r="H768" s="5"/>
      <c r="I768" s="5"/>
      <c r="J768" s="5"/>
      <c r="K768" s="5">
        <f>IFERROR(__xludf.DUMMYFUNCTION("""COMPUTED_VALUE"""),9.5)</f>
        <v>9.5</v>
      </c>
      <c r="L768" s="5" t="str">
        <f>IFERROR(__xludf.DUMMYFUNCTION("""COMPUTED_VALUE"""),"KLH")</f>
        <v>KLH</v>
      </c>
    </row>
    <row r="769">
      <c r="A769" s="168" t="str">
        <f>IFERROR(__xludf.DUMMYFUNCTION("""COMPUTED_VALUE"""),"CNN-BUA-002")</f>
        <v>CNN-BUA-002</v>
      </c>
      <c r="B769" s="3" t="str">
        <f>IFERROR(__xludf.DUMMYFUNCTION("""COMPUTED_VALUE"""),"Thiết bị bừa 7 chảo")</f>
        <v>Thiết bị bừa 7 chảo</v>
      </c>
      <c r="C769" s="5" t="str">
        <f>IFERROR(__xludf.DUMMYFUNCTION("""COMPUTED_VALUE"""),"CGLĐ DP")</f>
        <v>CGLĐ DP</v>
      </c>
      <c r="D769" s="5" t="str">
        <f>IFERROR(__xludf.DUMMYFUNCTION("""COMPUTED_VALUE"""),"TRUNG QUỐC")</f>
        <v>TRUNG QUỐC</v>
      </c>
      <c r="E769" s="5" t="str">
        <f>IFERROR(__xludf.DUMMYFUNCTION("""COMPUTED_VALUE"""),"7 chảo")</f>
        <v>7 chảo</v>
      </c>
      <c r="F769" s="5"/>
      <c r="G769" s="5"/>
      <c r="H769" s="5"/>
      <c r="I769" s="5"/>
      <c r="J769" s="5"/>
      <c r="K769" s="5">
        <f>IFERROR(__xludf.DUMMYFUNCTION("""COMPUTED_VALUE"""),9.5)</f>
        <v>9.5</v>
      </c>
      <c r="L769" s="5" t="str">
        <f>IFERROR(__xludf.DUMMYFUNCTION("""COMPUTED_VALUE"""),"KLH")</f>
        <v>KLH</v>
      </c>
    </row>
    <row r="770">
      <c r="A770" s="168" t="str">
        <f>IFERROR(__xludf.DUMMYFUNCTION("""COMPUTED_VALUE"""),"CNN-BUA-017")</f>
        <v>CNN-BUA-017</v>
      </c>
      <c r="B770" s="3" t="str">
        <f>IFERROR(__xludf.DUMMYFUNCTION("""COMPUTED_VALUE"""),"Thiết bị bừa 7 chảo")</f>
        <v>Thiết bị bừa 7 chảo</v>
      </c>
      <c r="C770" s="5" t="str">
        <f>IFERROR(__xludf.DUMMYFUNCTION("""COMPUTED_VALUE"""),"CGLĐ DP")</f>
        <v>CGLĐ DP</v>
      </c>
      <c r="D770" s="5" t="str">
        <f>IFERROR(__xludf.DUMMYFUNCTION("""COMPUTED_VALUE"""),"CMT")</f>
        <v>CMT</v>
      </c>
      <c r="E770" s="5" t="str">
        <f>IFERROR(__xludf.DUMMYFUNCTION("""COMPUTED_VALUE"""),"MTD 27-10")</f>
        <v>MTD 27-10</v>
      </c>
      <c r="F770" s="5"/>
      <c r="G770" s="5" t="str">
        <f>IFERROR(__xludf.DUMMYFUNCTION("""COMPUTED_VALUE"""),"2025")</f>
        <v>2025</v>
      </c>
      <c r="H770" s="5" t="str">
        <f>IFERROR(__xludf.DUMMYFUNCTION("""COMPUTED_VALUE"""),"Đ.kính chảo: 600mm")</f>
        <v>Đ.kính chảo: 600mm</v>
      </c>
      <c r="I770" s="5" t="str">
        <f>IFERROR(__xludf.DUMMYFUNCTION("""COMPUTED_VALUE"""),"F1/021183")</f>
        <v>F1/021183</v>
      </c>
      <c r="J770" s="5"/>
      <c r="K770" s="5">
        <f>IFERROR(__xludf.DUMMYFUNCTION("""COMPUTED_VALUE"""),9.5)</f>
        <v>9.5</v>
      </c>
      <c r="L770" s="5" t="str">
        <f>IFERROR(__xludf.DUMMYFUNCTION("""COMPUTED_VALUE"""),"KLH")</f>
        <v>KLH</v>
      </c>
    </row>
    <row r="771">
      <c r="A771" s="168" t="str">
        <f>IFERROR(__xludf.DUMMYFUNCTION("""COMPUTED_VALUE"""),"CNN-BUA-003")</f>
        <v>CNN-BUA-003</v>
      </c>
      <c r="B771" s="3" t="str">
        <f>IFERROR(__xludf.DUMMYFUNCTION("""COMPUTED_VALUE"""),"Thiết bị bừa 8 chảo")</f>
        <v>Thiết bị bừa 8 chảo</v>
      </c>
      <c r="C771" s="5" t="str">
        <f>IFERROR(__xludf.DUMMYFUNCTION("""COMPUTED_VALUE"""),"CGLĐ DP")</f>
        <v>CGLĐ DP</v>
      </c>
      <c r="D771" s="5" t="str">
        <f>IFERROR(__xludf.DUMMYFUNCTION("""COMPUTED_VALUE"""),"TRUNG QUỐC")</f>
        <v>TRUNG QUỐC</v>
      </c>
      <c r="E771" s="5" t="str">
        <f>IFERROR(__xludf.DUMMYFUNCTION("""COMPUTED_VALUE"""),"8 chảo")</f>
        <v>8 chảo</v>
      </c>
      <c r="F771" s="5"/>
      <c r="G771" s="5"/>
      <c r="H771" s="5"/>
      <c r="I771" s="5"/>
      <c r="J771" s="5"/>
      <c r="K771" s="5"/>
      <c r="L771" s="5" t="str">
        <f>IFERROR(__xludf.DUMMYFUNCTION("""COMPUTED_VALUE"""),"KLH")</f>
        <v>KLH</v>
      </c>
    </row>
    <row r="772">
      <c r="A772" s="168" t="str">
        <f>IFERROR(__xludf.DUMMYFUNCTION("""COMPUTED_VALUE"""),"CNN-XOI-001")</f>
        <v>CNN-XOI-001</v>
      </c>
      <c r="B772" s="3" t="str">
        <f>IFERROR(__xludf.DUMMYFUNCTION("""COMPUTED_VALUE"""),"Thiết bị xới đất 2.2m")</f>
        <v>Thiết bị xới đất 2.2m</v>
      </c>
      <c r="C772" s="5" t="str">
        <f>IFERROR(__xludf.DUMMYFUNCTION("""COMPUTED_VALUE"""),"CGLĐ DP")</f>
        <v>CGLĐ DP</v>
      </c>
      <c r="D772" s="5" t="str">
        <f>IFERROR(__xludf.DUMMYFUNCTION("""COMPUTED_VALUE"""),"TRUNG QUỐC")</f>
        <v>TRUNG QUỐC</v>
      </c>
      <c r="E772" s="5" t="str">
        <f>IFERROR(__xludf.DUMMYFUNCTION("""COMPUTED_VALUE"""),"2.2m")</f>
        <v>2.2m</v>
      </c>
      <c r="F772" s="5"/>
      <c r="G772" s="5"/>
      <c r="H772" s="5"/>
      <c r="I772" s="5"/>
      <c r="J772" s="5"/>
      <c r="K772" s="5">
        <f>IFERROR(__xludf.DUMMYFUNCTION("""COMPUTED_VALUE"""),6.0)</f>
        <v>6</v>
      </c>
      <c r="L772" s="5" t="str">
        <f>IFERROR(__xludf.DUMMYFUNCTION("""COMPUTED_VALUE"""),"KLH")</f>
        <v>KLH</v>
      </c>
    </row>
    <row r="773">
      <c r="A773" s="168" t="str">
        <f>IFERROR(__xludf.DUMMYFUNCTION("""COMPUTED_VALUE"""),"CNN-XOI-002")</f>
        <v>CNN-XOI-002</v>
      </c>
      <c r="B773" s="3" t="str">
        <f>IFERROR(__xludf.DUMMYFUNCTION("""COMPUTED_VALUE"""),"Thiết bị xới đất 2.2m")</f>
        <v>Thiết bị xới đất 2.2m</v>
      </c>
      <c r="C773" s="5" t="str">
        <f>IFERROR(__xludf.DUMMYFUNCTION("""COMPUTED_VALUE"""),"CGLĐ DP")</f>
        <v>CGLĐ DP</v>
      </c>
      <c r="D773" s="5" t="str">
        <f>IFERROR(__xludf.DUMMYFUNCTION("""COMPUTED_VALUE"""),"TRUNG QUỐC")</f>
        <v>TRUNG QUỐC</v>
      </c>
      <c r="E773" s="5" t="str">
        <f>IFERROR(__xludf.DUMMYFUNCTION("""COMPUTED_VALUE"""),"2.2m")</f>
        <v>2.2m</v>
      </c>
      <c r="F773" s="5"/>
      <c r="G773" s="5"/>
      <c r="H773" s="5"/>
      <c r="I773" s="5"/>
      <c r="J773" s="5"/>
      <c r="K773" s="5">
        <f>IFERROR(__xludf.DUMMYFUNCTION("""COMPUTED_VALUE"""),6.0)</f>
        <v>6</v>
      </c>
      <c r="L773" s="5" t="str">
        <f>IFERROR(__xludf.DUMMYFUNCTION("""COMPUTED_VALUE"""),"KLH")</f>
        <v>KLH</v>
      </c>
    </row>
    <row r="774">
      <c r="A774" s="168" t="str">
        <f>IFERROR(__xludf.DUMMYFUNCTION("""COMPUTED_VALUE"""),"CNN-VLU-001")</f>
        <v>CNN-VLU-001</v>
      </c>
      <c r="B774" s="3" t="str">
        <f>IFERROR(__xludf.DUMMYFUNCTION("""COMPUTED_VALUE"""),"Thiết bị lên luống 2 chảo")</f>
        <v>Thiết bị lên luống 2 chảo</v>
      </c>
      <c r="C774" s="5" t="str">
        <f>IFERROR(__xludf.DUMMYFUNCTION("""COMPUTED_VALUE"""),"CGLĐ DP")</f>
        <v>CGLĐ DP</v>
      </c>
      <c r="D774" s="5" t="str">
        <f>IFERROR(__xludf.DUMMYFUNCTION("""COMPUTED_VALUE"""),"TRUNG QUỐC")</f>
        <v>TRUNG QUỐC</v>
      </c>
      <c r="E774" s="5" t="str">
        <f>IFERROR(__xludf.DUMMYFUNCTION("""COMPUTED_VALUE"""),"2 chảo")</f>
        <v>2 chảo</v>
      </c>
      <c r="F774" s="5"/>
      <c r="G774" s="5"/>
      <c r="H774" s="5"/>
      <c r="I774" s="5"/>
      <c r="J774" s="5"/>
      <c r="K774" s="5"/>
      <c r="L774" s="5" t="str">
        <f>IFERROR(__xludf.DUMMYFUNCTION("""COMPUTED_VALUE"""),"KLH")</f>
        <v>KLH</v>
      </c>
    </row>
    <row r="775">
      <c r="A775" s="168" t="str">
        <f>IFERROR(__xludf.DUMMYFUNCTION("""COMPUTED_VALUE"""),"CNN-PKK-001")</f>
        <v>CNN-PKK-001</v>
      </c>
      <c r="B775" s="3" t="str">
        <f>IFERROR(__xludf.DUMMYFUNCTION("""COMPUTED_VALUE"""),"Thiết bị phun khử khuẩn")</f>
        <v>Thiết bị phun khử khuẩn</v>
      </c>
      <c r="C775" s="5" t="str">
        <f>IFERROR(__xludf.DUMMYFUNCTION("""COMPUTED_VALUE"""),"CGLĐ DP")</f>
        <v>CGLĐ DP</v>
      </c>
      <c r="D775" s="5" t="str">
        <f>IFERROR(__xludf.DUMMYFUNCTION("""COMPUTED_VALUE"""),"TRUNG QUỐC")</f>
        <v>TRUNG QUỐC</v>
      </c>
      <c r="E775" s="5"/>
      <c r="F775" s="5"/>
      <c r="G775" s="5"/>
      <c r="H775" s="5"/>
      <c r="I775" s="5"/>
      <c r="J775" s="5"/>
      <c r="K775" s="5"/>
      <c r="L775" s="5" t="str">
        <f>IFERROR(__xludf.DUMMYFUNCTION("""COMPUTED_VALUE"""),"KLH")</f>
        <v>KLH</v>
      </c>
    </row>
    <row r="776">
      <c r="A776" s="168" t="str">
        <f>IFERROR(__xludf.DUMMYFUNCTION("""COMPUTED_VALUE"""),"CNN-VMU-001")</f>
        <v>CNN-VMU-001</v>
      </c>
      <c r="B776" s="3" t="str">
        <f>IFERROR(__xludf.DUMMYFUNCTION("""COMPUTED_VALUE"""),"Thiết bị vét mương 2 đĩa quay")</f>
        <v>Thiết bị vét mương 2 đĩa quay</v>
      </c>
      <c r="C776" s="5" t="str">
        <f>IFERROR(__xludf.DUMMYFUNCTION("""COMPUTED_VALUE"""),"CGLĐ DP")</f>
        <v>CGLĐ DP</v>
      </c>
      <c r="D776" s="5" t="str">
        <f>IFERROR(__xludf.DUMMYFUNCTION("""COMPUTED_VALUE"""),"TRUNG QUỐC")</f>
        <v>TRUNG QUỐC</v>
      </c>
      <c r="E776" s="5" t="str">
        <f>IFERROR(__xludf.DUMMYFUNCTION("""COMPUTED_VALUE"""),"2 đĩa quay")</f>
        <v>2 đĩa quay</v>
      </c>
      <c r="F776" s="5"/>
      <c r="G776" s="5"/>
      <c r="H776" s="5"/>
      <c r="I776" s="5"/>
      <c r="J776" s="5"/>
      <c r="K776" s="5"/>
      <c r="L776" s="5" t="str">
        <f>IFERROR(__xludf.DUMMYFUNCTION("""COMPUTED_VALUE"""),"KLH")</f>
        <v>KLH</v>
      </c>
    </row>
    <row r="777">
      <c r="A777" s="168" t="str">
        <f>IFERROR(__xludf.DUMMYFUNCTION("""COMPUTED_VALUE"""),"CNN-CNA-001")</f>
        <v>CNN-CNA-001</v>
      </c>
      <c r="B777" s="3" t="str">
        <f>IFERROR(__xludf.DUMMYFUNCTION("""COMPUTED_VALUE"""),"Thiết bị cày ngầm 3 trụ")</f>
        <v>Thiết bị cày ngầm 3 trụ</v>
      </c>
      <c r="C777" s="5" t="str">
        <f>IFERROR(__xludf.DUMMYFUNCTION("""COMPUTED_VALUE"""),"CGLĐ DP")</f>
        <v>CGLĐ DP</v>
      </c>
      <c r="D777" s="5" t="str">
        <f>IFERROR(__xludf.DUMMYFUNCTION("""COMPUTED_VALUE"""),"TRUNG QUỐC")</f>
        <v>TRUNG QUỐC</v>
      </c>
      <c r="E777" s="5" t="str">
        <f>IFERROR(__xludf.DUMMYFUNCTION("""COMPUTED_VALUE"""),"3 trụ")</f>
        <v>3 trụ</v>
      </c>
      <c r="F777" s="5"/>
      <c r="G777" s="5"/>
      <c r="H777" s="5"/>
      <c r="I777" s="5"/>
      <c r="J777" s="5"/>
      <c r="K777" s="5">
        <f>IFERROR(__xludf.DUMMYFUNCTION("""COMPUTED_VALUE"""),13.0)</f>
        <v>13</v>
      </c>
      <c r="L777" s="5" t="str">
        <f>IFERROR(__xludf.DUMMYFUNCTION("""COMPUTED_VALUE"""),"KLH")</f>
        <v>KLH</v>
      </c>
    </row>
    <row r="778">
      <c r="A778" s="168" t="str">
        <f>IFERROR(__xludf.DUMMYFUNCTION("""COMPUTED_VALUE"""),"CNN-CNA-005")</f>
        <v>CNN-CNA-005</v>
      </c>
      <c r="B778" s="3" t="str">
        <f>IFERROR(__xludf.DUMMYFUNCTION("""COMPUTED_VALUE"""),"Thiết bị cày ngầm 3 trụ")</f>
        <v>Thiết bị cày ngầm 3 trụ</v>
      </c>
      <c r="C778" s="5" t="str">
        <f>IFERROR(__xludf.DUMMYFUNCTION("""COMPUTED_VALUE"""),"CGLĐ DP")</f>
        <v>CGLĐ DP</v>
      </c>
      <c r="D778" s="5" t="str">
        <f>IFERROR(__xludf.DUMMYFUNCTION("""COMPUTED_VALUE"""),"THACO AGRI")</f>
        <v>THACO AGRI</v>
      </c>
      <c r="E778" s="5"/>
      <c r="F778" s="5"/>
      <c r="G778" s="5"/>
      <c r="H778" s="5"/>
      <c r="I778" s="5"/>
      <c r="J778" s="5"/>
      <c r="K778" s="5">
        <f>IFERROR(__xludf.DUMMYFUNCTION("""COMPUTED_VALUE"""),13.0)</f>
        <v>13</v>
      </c>
      <c r="L778" s="5" t="str">
        <f>IFERROR(__xludf.DUMMYFUNCTION("""COMPUTED_VALUE"""),"KLH")</f>
        <v>KLH</v>
      </c>
    </row>
    <row r="779">
      <c r="A779" s="168" t="str">
        <f>IFERROR(__xludf.DUMMYFUNCTION("""COMPUTED_VALUE"""),"CNN-ĐCT-001")</f>
        <v>CNN-ĐCT-001</v>
      </c>
      <c r="B779" s="3" t="str">
        <f>IFERROR(__xludf.DUMMYFUNCTION("""COMPUTED_VALUE"""),"Thiết bị vét đường canh tác")</f>
        <v>Thiết bị vét đường canh tác</v>
      </c>
      <c r="C779" s="5" t="str">
        <f>IFERROR(__xludf.DUMMYFUNCTION("""COMPUTED_VALUE"""),"CGLĐ DP")</f>
        <v>CGLĐ DP</v>
      </c>
      <c r="D779" s="5" t="str">
        <f>IFERROR(__xludf.DUMMYFUNCTION("""COMPUTED_VALUE"""),"THACO AGRI")</f>
        <v>THACO AGRI</v>
      </c>
      <c r="E779" s="5"/>
      <c r="F779" s="5"/>
      <c r="G779" s="5"/>
      <c r="H779" s="5"/>
      <c r="I779" s="5"/>
      <c r="J779" s="5"/>
      <c r="K779" s="5"/>
      <c r="L779" s="5" t="str">
        <f>IFERROR(__xludf.DUMMYFUNCTION("""COMPUTED_VALUE"""),"KLH")</f>
        <v>KLH</v>
      </c>
    </row>
    <row r="780">
      <c r="A780" s="168" t="str">
        <f>IFERROR(__xludf.DUMMYFUNCTION("""COMPUTED_VALUE"""),"CNN-RLT-001")</f>
        <v>CNN-RLT-001</v>
      </c>
      <c r="B780" s="3" t="str">
        <f>IFERROR(__xludf.DUMMYFUNCTION("""COMPUTED_VALUE"""),"Thiết bị rạch định vị hàng trồng 2 lưỡi")</f>
        <v>Thiết bị rạch định vị hàng trồng 2 lưỡi</v>
      </c>
      <c r="C780" s="5" t="str">
        <f>IFERROR(__xludf.DUMMYFUNCTION("""COMPUTED_VALUE"""),"CGLĐ DP")</f>
        <v>CGLĐ DP</v>
      </c>
      <c r="D780" s="5" t="str">
        <f>IFERROR(__xludf.DUMMYFUNCTION("""COMPUTED_VALUE"""),"THACO AGRI")</f>
        <v>THACO AGRI</v>
      </c>
      <c r="E780" s="5" t="str">
        <f>IFERROR(__xludf.DUMMYFUNCTION("""COMPUTED_VALUE"""),"2 lưỡi")</f>
        <v>2 lưỡi</v>
      </c>
      <c r="F780" s="5"/>
      <c r="G780" s="5"/>
      <c r="H780" s="5"/>
      <c r="I780" s="5"/>
      <c r="J780" s="5"/>
      <c r="K780" s="5"/>
      <c r="L780" s="5" t="str">
        <f>IFERROR(__xludf.DUMMYFUNCTION("""COMPUTED_VALUE"""),"KLH")</f>
        <v>KLH</v>
      </c>
    </row>
    <row r="781">
      <c r="A781" s="168" t="str">
        <f>IFERROR(__xludf.DUMMYFUNCTION("""COMPUTED_VALUE"""),"CNN-RLT-002")</f>
        <v>CNN-RLT-002</v>
      </c>
      <c r="B781" s="3" t="str">
        <f>IFERROR(__xludf.DUMMYFUNCTION("""COMPUTED_VALUE"""),"Thiết bị rạch định vị hàng trồng 2 lưỡi")</f>
        <v>Thiết bị rạch định vị hàng trồng 2 lưỡi</v>
      </c>
      <c r="C781" s="5" t="str">
        <f>IFERROR(__xludf.DUMMYFUNCTION("""COMPUTED_VALUE"""),"CGLĐ DP")</f>
        <v>CGLĐ DP</v>
      </c>
      <c r="D781" s="5" t="str">
        <f>IFERROR(__xludf.DUMMYFUNCTION("""COMPUTED_VALUE"""),"THACO AGRI")</f>
        <v>THACO AGRI</v>
      </c>
      <c r="E781" s="5" t="str">
        <f>IFERROR(__xludf.DUMMYFUNCTION("""COMPUTED_VALUE"""),"2 lưỡi")</f>
        <v>2 lưỡi</v>
      </c>
      <c r="F781" s="5"/>
      <c r="G781" s="5"/>
      <c r="H781" s="5"/>
      <c r="I781" s="5"/>
      <c r="J781" s="5"/>
      <c r="K781" s="5"/>
      <c r="L781" s="5" t="str">
        <f>IFERROR(__xludf.DUMMYFUNCTION("""COMPUTED_VALUE"""),"KLH")</f>
        <v>KLH</v>
      </c>
    </row>
    <row r="782">
      <c r="A782" s="168" t="str">
        <f>IFERROR(__xludf.DUMMYFUNCTION("""COMPUTED_VALUE"""),"CNN-RLT-006")</f>
        <v>CNN-RLT-006</v>
      </c>
      <c r="B782" s="3" t="str">
        <f>IFERROR(__xludf.DUMMYFUNCTION("""COMPUTED_VALUE"""),"Thiết bị rạch định vị hàng trồng 2 lưỡi")</f>
        <v>Thiết bị rạch định vị hàng trồng 2 lưỡi</v>
      </c>
      <c r="C782" s="5" t="str">
        <f>IFERROR(__xludf.DUMMYFUNCTION("""COMPUTED_VALUE"""),"CGLĐ DP")</f>
        <v>CGLĐ DP</v>
      </c>
      <c r="D782" s="5" t="str">
        <f>IFERROR(__xludf.DUMMYFUNCTION("""COMPUTED_VALUE"""),"THACO AGRI")</f>
        <v>THACO AGRI</v>
      </c>
      <c r="E782" s="5" t="str">
        <f>IFERROR(__xludf.DUMMYFUNCTION("""COMPUTED_VALUE"""),"2 lưỡi")</f>
        <v>2 lưỡi</v>
      </c>
      <c r="F782" s="5"/>
      <c r="G782" s="5"/>
      <c r="H782" s="5"/>
      <c r="I782" s="5"/>
      <c r="J782" s="5"/>
      <c r="K782" s="5"/>
      <c r="L782" s="5" t="str">
        <f>IFERROR(__xludf.DUMMYFUNCTION("""COMPUTED_VALUE"""),"KLH")</f>
        <v>KLH</v>
      </c>
    </row>
    <row r="783">
      <c r="A783" s="168" t="str">
        <f>IFERROR(__xludf.DUMMYFUNCTION("""COMPUTED_VALUE"""),"CNN-RLT-007")</f>
        <v>CNN-RLT-007</v>
      </c>
      <c r="B783" s="3" t="str">
        <f>IFERROR(__xludf.DUMMYFUNCTION("""COMPUTED_VALUE"""),"Thiết bị rạch định vị hàng trồng 2 lưỡi")</f>
        <v>Thiết bị rạch định vị hàng trồng 2 lưỡi</v>
      </c>
      <c r="C783" s="5" t="str">
        <f>IFERROR(__xludf.DUMMYFUNCTION("""COMPUTED_VALUE"""),"CGLĐ DP")</f>
        <v>CGLĐ DP</v>
      </c>
      <c r="D783" s="5" t="str">
        <f>IFERROR(__xludf.DUMMYFUNCTION("""COMPUTED_VALUE"""),"THACO AGRI")</f>
        <v>THACO AGRI</v>
      </c>
      <c r="E783" s="5" t="str">
        <f>IFERROR(__xludf.DUMMYFUNCTION("""COMPUTED_VALUE"""),"2 lưỡi")</f>
        <v>2 lưỡi</v>
      </c>
      <c r="F783" s="5"/>
      <c r="G783" s="5"/>
      <c r="H783" s="5"/>
      <c r="I783" s="5"/>
      <c r="J783" s="5"/>
      <c r="K783" s="5"/>
      <c r="L783" s="5" t="str">
        <f>IFERROR(__xludf.DUMMYFUNCTION("""COMPUTED_VALUE"""),"KLH")</f>
        <v>KLH</v>
      </c>
    </row>
    <row r="784">
      <c r="A784" s="168" t="str">
        <f>IFERROR(__xludf.DUMMYFUNCTION("""COMPUTED_VALUE"""),"CNN-RVO-001")</f>
        <v>CNN-RVO-001</v>
      </c>
      <c r="B784" s="3" t="str">
        <f>IFERROR(__xludf.DUMMYFUNCTION("""COMPUTED_VALUE"""),"Thiết bị phun vôi/rải vô cơ")</f>
        <v>Thiết bị phun vôi/rải vô cơ</v>
      </c>
      <c r="C784" s="5" t="str">
        <f>IFERROR(__xludf.DUMMYFUNCTION("""COMPUTED_VALUE"""),"CGLĐ DP")</f>
        <v>CGLĐ DP</v>
      </c>
      <c r="D784" s="5" t="str">
        <f>IFERROR(__xludf.DUMMYFUNCTION("""COMPUTED_VALUE"""),"TRUNG QUỐC")</f>
        <v>TRUNG QUỐC</v>
      </c>
      <c r="E784" s="5"/>
      <c r="F784" s="5"/>
      <c r="G784" s="5"/>
      <c r="H784" s="5"/>
      <c r="I784" s="5"/>
      <c r="J784" s="5"/>
      <c r="K784" s="5">
        <f>IFERROR(__xludf.DUMMYFUNCTION("""COMPUTED_VALUE"""),3.8)</f>
        <v>3.8</v>
      </c>
      <c r="L784" s="5" t="str">
        <f>IFERROR(__xludf.DUMMYFUNCTION("""COMPUTED_VALUE"""),"KLH")</f>
        <v>KLH</v>
      </c>
    </row>
    <row r="785">
      <c r="A785" s="168" t="str">
        <f>IFERROR(__xludf.DUMMYFUNCTION("""COMPUTED_VALUE"""),"CNN-RVO-005")</f>
        <v>CNN-RVO-005</v>
      </c>
      <c r="B785" s="3" t="str">
        <f>IFERROR(__xludf.DUMMYFUNCTION("""COMPUTED_VALUE"""),"Thiết bị phun vôi/rải vô cơ")</f>
        <v>Thiết bị phun vôi/rải vô cơ</v>
      </c>
      <c r="C785" s="5" t="str">
        <f>IFERROR(__xludf.DUMMYFUNCTION("""COMPUTED_VALUE"""),"CGLĐ DP")</f>
        <v>CGLĐ DP</v>
      </c>
      <c r="D785" s="5" t="str">
        <f>IFERROR(__xludf.DUMMYFUNCTION("""COMPUTED_VALUE"""),"SHAKTIMAN")</f>
        <v>SHAKTIMAN</v>
      </c>
      <c r="E785" s="5" t="str">
        <f>IFERROR(__xludf.DUMMYFUNCTION("""COMPUTED_VALUE"""),"SFB-1000DD")</f>
        <v>SFB-1000DD</v>
      </c>
      <c r="F785" s="5"/>
      <c r="G785" s="5" t="str">
        <f>IFERROR(__xludf.DUMMYFUNCTION("""COMPUTED_VALUE"""),"2024")</f>
        <v>2024</v>
      </c>
      <c r="H785" s="5"/>
      <c r="I785" s="5" t="str">
        <f>IFERROR(__xludf.DUMMYFUNCTION("""COMPUTED_VALUE"""),"BACE112101901")</f>
        <v>BACE112101901</v>
      </c>
      <c r="J785" s="5"/>
      <c r="K785" s="5">
        <f>IFERROR(__xludf.DUMMYFUNCTION("""COMPUTED_VALUE"""),3.8)</f>
        <v>3.8</v>
      </c>
      <c r="L785" s="5" t="str">
        <f>IFERROR(__xludf.DUMMYFUNCTION("""COMPUTED_VALUE"""),"KLH")</f>
        <v>KLH</v>
      </c>
    </row>
    <row r="786">
      <c r="A786" s="168" t="str">
        <f>IFERROR(__xludf.DUMMYFUNCTION("""COMPUTED_VALUE"""),"CNN-RMĐ-001")</f>
        <v>CNN-RMĐ-001</v>
      </c>
      <c r="B786" s="3" t="str">
        <f>IFERROR(__xludf.DUMMYFUNCTION("""COMPUTED_VALUE"""),"Rơ mooc vận chuyển M.đào 03")</f>
        <v>Rơ mooc vận chuyển M.đào 03</v>
      </c>
      <c r="C786" s="5" t="str">
        <f>IFERROR(__xludf.DUMMYFUNCTION("""COMPUTED_VALUE"""),"CGLĐ DP")</f>
        <v>CGLĐ DP</v>
      </c>
      <c r="D786" s="5" t="str">
        <f>IFERROR(__xludf.DUMMYFUNCTION("""COMPUTED_VALUE"""),"THACO AGRI")</f>
        <v>THACO AGRI</v>
      </c>
      <c r="E786" s="5"/>
      <c r="F786" s="5"/>
      <c r="G786" s="5"/>
      <c r="H786" s="5"/>
      <c r="I786" s="5"/>
      <c r="J786" s="5"/>
      <c r="K786" s="5"/>
      <c r="L786" s="5" t="str">
        <f>IFERROR(__xludf.DUMMYFUNCTION("""COMPUTED_VALUE"""),"KLH")</f>
        <v>KLH</v>
      </c>
    </row>
    <row r="787">
      <c r="A787" s="168" t="str">
        <f>IFERROR(__xludf.DUMMYFUNCTION("""COMPUTED_VALUE"""),"CNN-KHO-001")</f>
        <v>CNN-KHO-001</v>
      </c>
      <c r="B787" s="3" t="str">
        <f>IFERROR(__xludf.DUMMYFUNCTION("""COMPUTED_VALUE"""),"Thiết bị khoan hố")</f>
        <v>Thiết bị khoan hố</v>
      </c>
      <c r="C787" s="5" t="str">
        <f>IFERROR(__xludf.DUMMYFUNCTION("""COMPUTED_VALUE"""),"CGLĐ DP")</f>
        <v>CGLĐ DP</v>
      </c>
      <c r="D787" s="5" t="str">
        <f>IFERROR(__xludf.DUMMYFUNCTION("""COMPUTED_VALUE"""),"THACO AGRI")</f>
        <v>THACO AGRI</v>
      </c>
      <c r="E787" s="5"/>
      <c r="F787" s="5"/>
      <c r="G787" s="5"/>
      <c r="H787" s="5"/>
      <c r="I787" s="5"/>
      <c r="J787" s="5"/>
      <c r="K787" s="5"/>
      <c r="L787" s="5" t="str">
        <f>IFERROR(__xludf.DUMMYFUNCTION("""COMPUTED_VALUE"""),"KLH")</f>
        <v>KLH</v>
      </c>
    </row>
    <row r="788">
      <c r="A788" s="168" t="str">
        <f>IFERROR(__xludf.DUMMYFUNCTION("""COMPUTED_VALUE"""),"CNN-TBG-001")</f>
        <v>CNN-TBG-001</v>
      </c>
      <c r="B788" s="3" t="str">
        <f>IFERROR(__xludf.DUMMYFUNCTION("""COMPUTED_VALUE"""),"Thiết bị gom gốc gắn máy kéo")</f>
        <v>Thiết bị gom gốc gắn máy kéo</v>
      </c>
      <c r="C788" s="5" t="str">
        <f>IFERROR(__xludf.DUMMYFUNCTION("""COMPUTED_VALUE"""),"CGLĐ DP")</f>
        <v>CGLĐ DP</v>
      </c>
      <c r="D788" s="5" t="str">
        <f>IFERROR(__xludf.DUMMYFUNCTION("""COMPUTED_VALUE"""),"THACO AGRI")</f>
        <v>THACO AGRI</v>
      </c>
      <c r="E788" s="5"/>
      <c r="F788" s="5"/>
      <c r="G788" s="5"/>
      <c r="H788" s="5" t="str">
        <f>IFERROR(__xludf.DUMMYFUNCTION("""COMPUTED_VALUE"""),"1.8x3x1.5")</f>
        <v>1.8x3x1.5</v>
      </c>
      <c r="I788" s="5"/>
      <c r="J788" s="5"/>
      <c r="K788" s="5"/>
      <c r="L788" s="5" t="str">
        <f>IFERROR(__xludf.DUMMYFUNCTION("""COMPUTED_VALUE"""),"KLH")</f>
        <v>KLH</v>
      </c>
    </row>
    <row r="789">
      <c r="A789" s="168" t="str">
        <f>IFERROR(__xludf.DUMMYFUNCTION("""COMPUTED_VALUE"""),"CNN-BUA-011")</f>
        <v>CNN-BUA-011</v>
      </c>
      <c r="B789" s="3" t="str">
        <f>IFERROR(__xludf.DUMMYFUNCTION("""COMPUTED_VALUE"""),"Thiết bị bừa 24 chảo")</f>
        <v>Thiết bị bừa 24 chảo</v>
      </c>
      <c r="C789" s="5" t="str">
        <f>IFERROR(__xludf.DUMMYFUNCTION("""COMPUTED_VALUE"""),"CGLĐ DP")</f>
        <v>CGLĐ DP</v>
      </c>
      <c r="D789" s="5" t="str">
        <f>IFERROR(__xludf.DUMMYFUNCTION("""COMPUTED_VALUE"""),"INRODA")</f>
        <v>INRODA</v>
      </c>
      <c r="E789" s="5" t="str">
        <f>IFERROR(__xludf.DUMMYFUNCTION("""COMPUTED_VALUE"""),"GASP30235")</f>
        <v>GASP30235</v>
      </c>
      <c r="F789" s="5"/>
      <c r="G789" s="5" t="str">
        <f>IFERROR(__xludf.DUMMYFUNCTION("""COMPUTED_VALUE"""),"2024")</f>
        <v>2024</v>
      </c>
      <c r="H789" s="5"/>
      <c r="I789" s="5"/>
      <c r="J789" s="5"/>
      <c r="K789" s="5"/>
      <c r="L789" s="5" t="str">
        <f>IFERROR(__xludf.DUMMYFUNCTION("""COMPUTED_VALUE"""),"KLH")</f>
        <v>KLH</v>
      </c>
    </row>
    <row r="790">
      <c r="A790" s="168" t="str">
        <f>IFERROR(__xludf.DUMMYFUNCTION("""COMPUTED_VALUE"""),"CNN-BUA-014")</f>
        <v>CNN-BUA-014</v>
      </c>
      <c r="B790" s="3" t="str">
        <f>IFERROR(__xludf.DUMMYFUNCTION("""COMPUTED_VALUE"""),"Thiết bị bừa 24 chảo")</f>
        <v>Thiết bị bừa 24 chảo</v>
      </c>
      <c r="C790" s="5" t="str">
        <f>IFERROR(__xludf.DUMMYFUNCTION("""COMPUTED_VALUE"""),"CGLĐ DP")</f>
        <v>CGLĐ DP</v>
      </c>
      <c r="D790" s="5" t="str">
        <f>IFERROR(__xludf.DUMMYFUNCTION("""COMPUTED_VALUE"""),"INRODA")</f>
        <v>INRODA</v>
      </c>
      <c r="E790" s="5" t="str">
        <f>IFERROR(__xludf.DUMMYFUNCTION("""COMPUTED_VALUE"""),"GASP30235")</f>
        <v>GASP30235</v>
      </c>
      <c r="F790" s="5"/>
      <c r="G790" s="5" t="str">
        <f>IFERROR(__xludf.DUMMYFUNCTION("""COMPUTED_VALUE"""),"2024")</f>
        <v>2024</v>
      </c>
      <c r="H790" s="5"/>
      <c r="I790" s="5" t="str">
        <f>IFERROR(__xludf.DUMMYFUNCTION("""COMPUTED_VALUE"""),"3453785")</f>
        <v>3453785</v>
      </c>
      <c r="J790" s="5"/>
      <c r="K790" s="5"/>
      <c r="L790" s="5" t="str">
        <f>IFERROR(__xludf.DUMMYFUNCTION("""COMPUTED_VALUE"""),"KLH")</f>
        <v>KLH</v>
      </c>
    </row>
    <row r="791">
      <c r="A791" s="168" t="str">
        <f>IFERROR(__xludf.DUMMYFUNCTION("""COMPUTED_VALUE"""),"CNN-BUA-015")</f>
        <v>CNN-BUA-015</v>
      </c>
      <c r="B791" s="3" t="str">
        <f>IFERROR(__xludf.DUMMYFUNCTION("""COMPUTED_VALUE"""),"Thiết bị bừa 30 chảo")</f>
        <v>Thiết bị bừa 30 chảo</v>
      </c>
      <c r="C791" s="5" t="str">
        <f>IFERROR(__xludf.DUMMYFUNCTION("""COMPUTED_VALUE"""),"CGLĐ DP")</f>
        <v>CGLĐ DP</v>
      </c>
      <c r="D791" s="5" t="str">
        <f>IFERROR(__xludf.DUMMYFUNCTION("""COMPUTED_VALUE"""),"INRODA")</f>
        <v>INRODA</v>
      </c>
      <c r="E791" s="5" t="str">
        <f>IFERROR(__xludf.DUMMYFUNCTION("""COMPUTED_VALUE"""),"GASP30235")</f>
        <v>GASP30235</v>
      </c>
      <c r="F791" s="5"/>
      <c r="G791" s="5" t="str">
        <f>IFERROR(__xludf.DUMMYFUNCTION("""COMPUTED_VALUE"""),"2024")</f>
        <v>2024</v>
      </c>
      <c r="H791" s="5"/>
      <c r="I791" s="5" t="str">
        <f>IFERROR(__xludf.DUMMYFUNCTION("""COMPUTED_VALUE"""),"3453784")</f>
        <v>3453784</v>
      </c>
      <c r="J791" s="5"/>
      <c r="K791" s="5"/>
      <c r="L791" s="5" t="str">
        <f>IFERROR(__xludf.DUMMYFUNCTION("""COMPUTED_VALUE"""),"KLH")</f>
        <v>KLH</v>
      </c>
    </row>
    <row r="792">
      <c r="A792" s="168" t="str">
        <f>IFERROR(__xludf.DUMMYFUNCTION("""COMPUTED_VALUE"""),"CNN-TKH-001")</f>
        <v>CNN-TKH-001</v>
      </c>
      <c r="B792" s="3" t="str">
        <f>IFERROR(__xludf.DUMMYFUNCTION("""COMPUTED_VALUE"""),"Thiết bị khai hoang dạng con lăn gai")</f>
        <v>Thiết bị khai hoang dạng con lăn gai</v>
      </c>
      <c r="C792" s="5" t="str">
        <f>IFERROR(__xludf.DUMMYFUNCTION("""COMPUTED_VALUE"""),"CGLĐ DP")</f>
        <v>CGLĐ DP</v>
      </c>
      <c r="D792" s="5" t="str">
        <f>IFERROR(__xludf.DUMMYFUNCTION("""COMPUTED_VALUE"""),"THACO AGRI")</f>
        <v>THACO AGRI</v>
      </c>
      <c r="E792" s="5"/>
      <c r="F792" s="5"/>
      <c r="G792" s="5"/>
      <c r="H792" s="5" t="str">
        <f>IFERROR(__xludf.DUMMYFUNCTION("""COMPUTED_VALUE"""),"10x6x0.4m")</f>
        <v>10x6x0.4m</v>
      </c>
      <c r="I792" s="5"/>
      <c r="J792" s="5"/>
      <c r="K792" s="5"/>
      <c r="L792" s="5" t="str">
        <f>IFERROR(__xludf.DUMMYFUNCTION("""COMPUTED_VALUE"""),"KLH")</f>
        <v>KLH</v>
      </c>
    </row>
    <row r="793">
      <c r="A793" s="168" t="str">
        <f>IFERROR(__xludf.DUMMYFUNCTION("""COMPUTED_VALUE"""),"CNN-RLT-005")</f>
        <v>CNN-RLT-005</v>
      </c>
      <c r="B793" s="3" t="str">
        <f>IFERROR(__xludf.DUMMYFUNCTION("""COMPUTED_VALUE"""),"Thiết bị rạch định vị hàng trồng 2 lưỡi")</f>
        <v>Thiết bị rạch định vị hàng trồng 2 lưỡi</v>
      </c>
      <c r="C793" s="5" t="str">
        <f>IFERROR(__xludf.DUMMYFUNCTION("""COMPUTED_VALUE"""),"CGLĐ DP")</f>
        <v>CGLĐ DP</v>
      </c>
      <c r="D793" s="5" t="str">
        <f>IFERROR(__xludf.DUMMYFUNCTION("""COMPUTED_VALUE"""),"THACO AGRI")</f>
        <v>THACO AGRI</v>
      </c>
      <c r="E793" s="5"/>
      <c r="F793" s="5"/>
      <c r="G793" s="5"/>
      <c r="H793" s="5"/>
      <c r="I793" s="5"/>
      <c r="J793" s="5"/>
      <c r="K793" s="5"/>
      <c r="L793" s="5" t="str">
        <f>IFERROR(__xludf.DUMMYFUNCTION("""COMPUTED_VALUE"""),"KLH")</f>
        <v>KLH</v>
      </c>
    </row>
    <row r="794">
      <c r="A794" s="168" t="str">
        <f>IFERROR(__xludf.DUMMYFUNCTION("""COMPUTED_VALUE"""),"CNN-BLT-001")</f>
        <v>CNN-BLT-001</v>
      </c>
      <c r="B794" s="3" t="str">
        <f>IFERROR(__xludf.DUMMYFUNCTION("""COMPUTED_VALUE"""),"Bộ bánh lồng thép")</f>
        <v>Bộ bánh lồng thép</v>
      </c>
      <c r="C794" s="5" t="str">
        <f>IFERROR(__xludf.DUMMYFUNCTION("""COMPUTED_VALUE"""),"CGLĐ DP")</f>
        <v>CGLĐ DP</v>
      </c>
      <c r="D794" s="5" t="str">
        <f>IFERROR(__xludf.DUMMYFUNCTION("""COMPUTED_VALUE"""),"THACO AGRI")</f>
        <v>THACO AGRI</v>
      </c>
      <c r="E794" s="5" t="str">
        <f>IFERROR(__xludf.DUMMYFUNCTION("""COMPUTED_VALUE"""),"JDR100-D160")</f>
        <v>JDR100-D160</v>
      </c>
      <c r="F794" s="5"/>
      <c r="G794" s="5" t="str">
        <f>IFERROR(__xludf.DUMMYFUNCTION("""COMPUTED_VALUE"""),"2024")</f>
        <v>2024</v>
      </c>
      <c r="H794" s="5" t="str">
        <f>IFERROR(__xludf.DUMMYFUNCTION("""COMPUTED_VALUE"""),"Đường kính 1.59xRộng 1.3m/cái")</f>
        <v>Đường kính 1.59xRộng 1.3m/cái</v>
      </c>
      <c r="I794" s="5"/>
      <c r="J794" s="5"/>
      <c r="K794" s="5"/>
      <c r="L794" s="5" t="str">
        <f>IFERROR(__xludf.DUMMYFUNCTION("""COMPUTED_VALUE"""),"KLH")</f>
        <v>KLH</v>
      </c>
    </row>
    <row r="795">
      <c r="A795" s="168" t="str">
        <f>IFERROR(__xludf.DUMMYFUNCTION("""COMPUTED_VALUE"""),"CNN-BLT-004")</f>
        <v>CNN-BLT-004</v>
      </c>
      <c r="B795" s="3" t="str">
        <f>IFERROR(__xludf.DUMMYFUNCTION("""COMPUTED_VALUE"""),"Bộ bánh lồng thép")</f>
        <v>Bộ bánh lồng thép</v>
      </c>
      <c r="C795" s="5" t="str">
        <f>IFERROR(__xludf.DUMMYFUNCTION("""COMPUTED_VALUE"""),"CGLĐ DP")</f>
        <v>CGLĐ DP</v>
      </c>
      <c r="D795" s="5" t="str">
        <f>IFERROR(__xludf.DUMMYFUNCTION("""COMPUTED_VALUE"""),"THACO AGRI")</f>
        <v>THACO AGRI</v>
      </c>
      <c r="E795" s="5" t="str">
        <f>IFERROR(__xludf.DUMMYFUNCTION("""COMPUTED_VALUE"""),"FDR100-D150")</f>
        <v>FDR100-D150</v>
      </c>
      <c r="F795" s="5"/>
      <c r="G795" s="5" t="str">
        <f>IFERROR(__xludf.DUMMYFUNCTION("""COMPUTED_VALUE"""),"2024")</f>
        <v>2024</v>
      </c>
      <c r="H795" s="5" t="str">
        <f>IFERROR(__xludf.DUMMYFUNCTION("""COMPUTED_VALUE"""),"ĐK: 1.49m x Rộng 1.1m/cái")</f>
        <v>ĐK: 1.49m x Rộng 1.1m/cái</v>
      </c>
      <c r="I795" s="5"/>
      <c r="J795" s="5"/>
      <c r="K795" s="5"/>
      <c r="L795" s="5" t="str">
        <f>IFERROR(__xludf.DUMMYFUNCTION("""COMPUTED_VALUE"""),"KLH")</f>
        <v>KLH</v>
      </c>
    </row>
    <row r="796">
      <c r="A796" s="168" t="str">
        <f>IFERROR(__xludf.DUMMYFUNCTION("""COMPUTED_VALUE"""),"CNN-XOI-007")</f>
        <v>CNN-XOI-007</v>
      </c>
      <c r="B796" s="3" t="str">
        <f>IFERROR(__xludf.DUMMYFUNCTION("""COMPUTED_VALUE"""),"Thiết bị xới đất 2.2m")</f>
        <v>Thiết bị xới đất 2.2m</v>
      </c>
      <c r="C796" s="5" t="str">
        <f>IFERROR(__xludf.DUMMYFUNCTION("""COMPUTED_VALUE"""),"CGLĐ DP")</f>
        <v>CGLĐ DP</v>
      </c>
      <c r="D796" s="5" t="str">
        <f>IFERROR(__xludf.DUMMYFUNCTION("""COMPUTED_VALUE"""),"TRUNG QUỐC")</f>
        <v>TRUNG QUỐC</v>
      </c>
      <c r="E796" s="5" t="str">
        <f>IFERROR(__xludf.DUMMYFUNCTION("""COMPUTED_VALUE"""),"2.2m")</f>
        <v>2.2m</v>
      </c>
      <c r="F796" s="5"/>
      <c r="G796" s="5"/>
      <c r="H796" s="5"/>
      <c r="I796" s="5"/>
      <c r="J796" s="5"/>
      <c r="K796" s="5">
        <f>IFERROR(__xludf.DUMMYFUNCTION("""COMPUTED_VALUE"""),6.0)</f>
        <v>6</v>
      </c>
      <c r="L796" s="5" t="str">
        <f>IFERROR(__xludf.DUMMYFUNCTION("""COMPUTED_VALUE"""),"KLH")</f>
        <v>KLH</v>
      </c>
    </row>
    <row r="797">
      <c r="A797" s="168" t="str">
        <f>IFERROR(__xludf.DUMMYFUNCTION("""COMPUTED_VALUE"""),"CNN-XOI-008")</f>
        <v>CNN-XOI-008</v>
      </c>
      <c r="B797" s="3" t="str">
        <f>IFERROR(__xludf.DUMMYFUNCTION("""COMPUTED_VALUE"""),"Thiết bị xới đất 2.2m")</f>
        <v>Thiết bị xới đất 2.2m</v>
      </c>
      <c r="C797" s="5" t="str">
        <f>IFERROR(__xludf.DUMMYFUNCTION("""COMPUTED_VALUE"""),"CGLĐ DP")</f>
        <v>CGLĐ DP</v>
      </c>
      <c r="D797" s="5" t="str">
        <f>IFERROR(__xludf.DUMMYFUNCTION("""COMPUTED_VALUE"""),"TRUNG QUỐC")</f>
        <v>TRUNG QUỐC</v>
      </c>
      <c r="E797" s="5" t="str">
        <f>IFERROR(__xludf.DUMMYFUNCTION("""COMPUTED_VALUE"""),"2.2m")</f>
        <v>2.2m</v>
      </c>
      <c r="F797" s="5"/>
      <c r="G797" s="5"/>
      <c r="H797" s="5"/>
      <c r="I797" s="5"/>
      <c r="J797" s="5"/>
      <c r="K797" s="5">
        <f>IFERROR(__xludf.DUMMYFUNCTION("""COMPUTED_VALUE"""),6.0)</f>
        <v>6</v>
      </c>
      <c r="L797" s="5" t="str">
        <f>IFERROR(__xludf.DUMMYFUNCTION("""COMPUTED_VALUE"""),"KLH")</f>
        <v>KLH</v>
      </c>
    </row>
    <row r="798">
      <c r="A798" s="168" t="str">
        <f>IFERROR(__xludf.DUMMYFUNCTION("""COMPUTED_VALUE"""),"CNN-BUA-007")</f>
        <v>CNN-BUA-007</v>
      </c>
      <c r="B798" s="3" t="str">
        <f>IFERROR(__xludf.DUMMYFUNCTION("""COMPUTED_VALUE"""),"Thiết bị bừa 9 chảo")</f>
        <v>Thiết bị bừa 9 chảo</v>
      </c>
      <c r="C798" s="5" t="str">
        <f>IFERROR(__xludf.DUMMYFUNCTION("""COMPUTED_VALUE"""),"CGLĐ DP")</f>
        <v>CGLĐ DP</v>
      </c>
      <c r="D798" s="5"/>
      <c r="E798" s="5" t="str">
        <f>IFERROR(__xludf.DUMMYFUNCTION("""COMPUTED_VALUE"""),"9 chảo")</f>
        <v>9 chảo</v>
      </c>
      <c r="F798" s="5"/>
      <c r="G798" s="5"/>
      <c r="H798" s="5"/>
      <c r="I798" s="5"/>
      <c r="J798" s="5"/>
      <c r="K798" s="5"/>
      <c r="L798" s="5" t="str">
        <f>IFERROR(__xludf.DUMMYFUNCTION("""COMPUTED_VALUE"""),"KLH")</f>
        <v>KLH</v>
      </c>
    </row>
    <row r="799">
      <c r="A799" s="168" t="str">
        <f>IFERROR(__xludf.DUMMYFUNCTION("""COMPUTED_VALUE"""),"CNN-DTR-001")</f>
        <v>CNN-DTR-001</v>
      </c>
      <c r="B799" s="3" t="str">
        <f>IFERROR(__xludf.DUMMYFUNCTION("""COMPUTED_VALUE"""),"Thiết bị tạo rãnh ống tưới")</f>
        <v>Thiết bị tạo rãnh ống tưới</v>
      </c>
      <c r="C799" s="5" t="str">
        <f>IFERROR(__xludf.DUMMYFUNCTION("""COMPUTED_VALUE"""),"CGLĐ DP")</f>
        <v>CGLĐ DP</v>
      </c>
      <c r="D799" s="5" t="str">
        <f>IFERROR(__xludf.DUMMYFUNCTION("""COMPUTED_VALUE"""),"THACO AGRI")</f>
        <v>THACO AGRI</v>
      </c>
      <c r="E799" s="5" t="str">
        <f>IFERROR(__xludf.DUMMYFUNCTION("""COMPUTED_VALUE"""),"CK-DTR-01")</f>
        <v>CK-DTR-01</v>
      </c>
      <c r="F799" s="5"/>
      <c r="G799" s="5"/>
      <c r="H799" s="5"/>
      <c r="I799" s="5"/>
      <c r="J799" s="5"/>
      <c r="K799" s="5">
        <f>IFERROR(__xludf.DUMMYFUNCTION("""COMPUTED_VALUE"""),14.0)</f>
        <v>14</v>
      </c>
      <c r="L799" s="5" t="str">
        <f>IFERROR(__xludf.DUMMYFUNCTION("""COMPUTED_VALUE"""),"KLH")</f>
        <v>KLH</v>
      </c>
    </row>
    <row r="800">
      <c r="A800" s="168" t="str">
        <f>IFERROR(__xludf.DUMMYFUNCTION("""COMPUTED_VALUE"""),"CNN-DTR-002")</f>
        <v>CNN-DTR-002</v>
      </c>
      <c r="B800" s="3" t="str">
        <f>IFERROR(__xludf.DUMMYFUNCTION("""COMPUTED_VALUE"""),"Thiết bị tạo rãnh ống tưới")</f>
        <v>Thiết bị tạo rãnh ống tưới</v>
      </c>
      <c r="C800" s="5" t="str">
        <f>IFERROR(__xludf.DUMMYFUNCTION("""COMPUTED_VALUE"""),"CGLĐ DP")</f>
        <v>CGLĐ DP</v>
      </c>
      <c r="D800" s="5" t="str">
        <f>IFERROR(__xludf.DUMMYFUNCTION("""COMPUTED_VALUE"""),"THACO AGRI")</f>
        <v>THACO AGRI</v>
      </c>
      <c r="E800" s="5" t="str">
        <f>IFERROR(__xludf.DUMMYFUNCTION("""COMPUTED_VALUE"""),"CK-DTR-02")</f>
        <v>CK-DTR-02</v>
      </c>
      <c r="F800" s="5"/>
      <c r="G800" s="5"/>
      <c r="H800" s="5" t="str">
        <f>IFERROR(__xludf.DUMMYFUNCTION("""COMPUTED_VALUE"""),"2x2.7x1.1")</f>
        <v>2x2.7x1.1</v>
      </c>
      <c r="I800" s="5"/>
      <c r="J800" s="5"/>
      <c r="K800" s="5">
        <f>IFERROR(__xludf.DUMMYFUNCTION("""COMPUTED_VALUE"""),14.0)</f>
        <v>14</v>
      </c>
      <c r="L800" s="5" t="str">
        <f>IFERROR(__xludf.DUMMYFUNCTION("""COMPUTED_VALUE"""),"KLH")</f>
        <v>KLH</v>
      </c>
    </row>
    <row r="801">
      <c r="A801" s="168" t="str">
        <f>IFERROR(__xludf.DUMMYFUNCTION("""COMPUTED_VALUE"""),"CNN-DTR-005")</f>
        <v>CNN-DTR-005</v>
      </c>
      <c r="B801" s="3" t="str">
        <f>IFERROR(__xludf.DUMMYFUNCTION("""COMPUTED_VALUE"""),"Thiết bị tạo rãnh ống tưới")</f>
        <v>Thiết bị tạo rãnh ống tưới</v>
      </c>
      <c r="C801" s="5" t="str">
        <f>IFERROR(__xludf.DUMMYFUNCTION("""COMPUTED_VALUE"""),"CGLĐ DP")</f>
        <v>CGLĐ DP</v>
      </c>
      <c r="D801" s="5" t="str">
        <f>IFERROR(__xludf.DUMMYFUNCTION("""COMPUTED_VALUE"""),"THACO AGRI")</f>
        <v>THACO AGRI</v>
      </c>
      <c r="E801" s="5" t="str">
        <f>IFERROR(__xludf.DUMMYFUNCTION("""COMPUTED_VALUE"""),"CK-DTR-05")</f>
        <v>CK-DTR-05</v>
      </c>
      <c r="F801" s="5"/>
      <c r="G801" s="5"/>
      <c r="H801" s="5"/>
      <c r="I801" s="5"/>
      <c r="J801" s="5"/>
      <c r="K801" s="5">
        <f>IFERROR(__xludf.DUMMYFUNCTION("""COMPUTED_VALUE"""),14.0)</f>
        <v>14</v>
      </c>
      <c r="L801" s="5" t="str">
        <f>IFERROR(__xludf.DUMMYFUNCTION("""COMPUTED_VALUE"""),"KLH")</f>
        <v>KLH</v>
      </c>
    </row>
    <row r="802">
      <c r="A802" s="168" t="str">
        <f>IFERROR(__xludf.DUMMYFUNCTION("""COMPUTED_VALUE"""),"CNN-CCH-013")</f>
        <v>CNN-CCH-013</v>
      </c>
      <c r="B802" s="3" t="str">
        <f>IFERROR(__xludf.DUMMYFUNCTION("""COMPUTED_VALUE"""),"Thiết bị cày 4 chảo")</f>
        <v>Thiết bị cày 4 chảo</v>
      </c>
      <c r="C802" s="5" t="str">
        <f>IFERROR(__xludf.DUMMYFUNCTION("""COMPUTED_VALUE"""),"CGLĐ DP")</f>
        <v>CGLĐ DP</v>
      </c>
      <c r="D802" s="5" t="str">
        <f>IFERROR(__xludf.DUMMYFUNCTION("""COMPUTED_VALUE"""),"KUBOTA")</f>
        <v>KUBOTA</v>
      </c>
      <c r="E802" s="5" t="str">
        <f>IFERROR(__xludf.DUMMYFUNCTION("""COMPUTED_VALUE"""),"4 CHẢO")</f>
        <v>4 CHẢO</v>
      </c>
      <c r="F802" s="5"/>
      <c r="G802" s="5"/>
      <c r="H802" s="5"/>
      <c r="I802" s="5"/>
      <c r="J802" s="5"/>
      <c r="K802" s="5"/>
      <c r="L802" s="5" t="str">
        <f>IFERROR(__xludf.DUMMYFUNCTION("""COMPUTED_VALUE"""),"KLH")</f>
        <v>KLH</v>
      </c>
    </row>
    <row r="803">
      <c r="A803" s="168" t="str">
        <f>IFERROR(__xludf.DUMMYFUNCTION("""COMPUTED_VALUE"""),"CNN-CCH-014")</f>
        <v>CNN-CCH-014</v>
      </c>
      <c r="B803" s="3" t="str">
        <f>IFERROR(__xludf.DUMMYFUNCTION("""COMPUTED_VALUE"""),"Thiết bị cày 4 chảo")</f>
        <v>Thiết bị cày 4 chảo</v>
      </c>
      <c r="C803" s="5" t="str">
        <f>IFERROR(__xludf.DUMMYFUNCTION("""COMPUTED_VALUE"""),"CGLĐ DP")</f>
        <v>CGLĐ DP</v>
      </c>
      <c r="D803" s="5" t="str">
        <f>IFERROR(__xludf.DUMMYFUNCTION("""COMPUTED_VALUE"""),"KUBOTA")</f>
        <v>KUBOTA</v>
      </c>
      <c r="E803" s="5" t="str">
        <f>IFERROR(__xludf.DUMMYFUNCTION("""COMPUTED_VALUE"""),"4 CHẢO")</f>
        <v>4 CHẢO</v>
      </c>
      <c r="F803" s="5"/>
      <c r="G803" s="5"/>
      <c r="H803" s="5"/>
      <c r="I803" s="5"/>
      <c r="J803" s="5"/>
      <c r="K803" s="5"/>
      <c r="L803" s="5" t="str">
        <f>IFERROR(__xludf.DUMMYFUNCTION("""COMPUTED_VALUE"""),"KLH")</f>
        <v>KLH</v>
      </c>
    </row>
    <row r="804">
      <c r="A804" s="168" t="str">
        <f>IFERROR(__xludf.DUMMYFUNCTION("""COMPUTED_VALUE"""),"CNN-RTC-001")</f>
        <v>CNN-RTC-001</v>
      </c>
      <c r="B804" s="3" t="str">
        <f>IFERROR(__xludf.DUMMYFUNCTION("""COMPUTED_VALUE"""),"Thiết bị rạch luống trồng chuối")</f>
        <v>Thiết bị rạch luống trồng chuối</v>
      </c>
      <c r="C804" s="5" t="str">
        <f>IFERROR(__xludf.DUMMYFUNCTION("""COMPUTED_VALUE"""),"CGLĐ DP")</f>
        <v>CGLĐ DP</v>
      </c>
      <c r="D804" s="5" t="str">
        <f>IFERROR(__xludf.DUMMYFUNCTION("""COMPUTED_VALUE"""),"THACO AGRI")</f>
        <v>THACO AGRI</v>
      </c>
      <c r="E804" s="5" t="str">
        <f>IFERROR(__xludf.DUMMYFUNCTION("""COMPUTED_VALUE"""),"CK-DTC-01")</f>
        <v>CK-DTC-01</v>
      </c>
      <c r="F804" s="5"/>
      <c r="G804" s="5" t="str">
        <f>IFERROR(__xludf.DUMMYFUNCTION("""COMPUTED_VALUE"""),"2025")</f>
        <v>2025</v>
      </c>
      <c r="H804" s="5"/>
      <c r="I804" s="5"/>
      <c r="J804" s="5"/>
      <c r="K804" s="5">
        <f>IFERROR(__xludf.DUMMYFUNCTION("""COMPUTED_VALUE"""),6.5)</f>
        <v>6.5</v>
      </c>
      <c r="L804" s="5" t="str">
        <f>IFERROR(__xludf.DUMMYFUNCTION("""COMPUTED_VALUE"""),"KLH")</f>
        <v>KLH</v>
      </c>
    </row>
    <row r="805">
      <c r="A805" s="168" t="str">
        <f>IFERROR(__xludf.DUMMYFUNCTION("""COMPUTED_VALUE"""),"CNN-RTC-002")</f>
        <v>CNN-RTC-002</v>
      </c>
      <c r="B805" s="3" t="str">
        <f>IFERROR(__xludf.DUMMYFUNCTION("""COMPUTED_VALUE"""),"Thiết bị rạch luống trồng chuối")</f>
        <v>Thiết bị rạch luống trồng chuối</v>
      </c>
      <c r="C805" s="5" t="str">
        <f>IFERROR(__xludf.DUMMYFUNCTION("""COMPUTED_VALUE"""),"CGLĐ DP")</f>
        <v>CGLĐ DP</v>
      </c>
      <c r="D805" s="5" t="str">
        <f>IFERROR(__xludf.DUMMYFUNCTION("""COMPUTED_VALUE"""),"THACO AGRI")</f>
        <v>THACO AGRI</v>
      </c>
      <c r="E805" s="5" t="str">
        <f>IFERROR(__xludf.DUMMYFUNCTION("""COMPUTED_VALUE"""),"CK-DTC-02")</f>
        <v>CK-DTC-02</v>
      </c>
      <c r="F805" s="5"/>
      <c r="G805" s="5" t="str">
        <f>IFERROR(__xludf.DUMMYFUNCTION("""COMPUTED_VALUE"""),"2025")</f>
        <v>2025</v>
      </c>
      <c r="H805" s="5"/>
      <c r="I805" s="5"/>
      <c r="J805" s="5"/>
      <c r="K805" s="5">
        <f>IFERROR(__xludf.DUMMYFUNCTION("""COMPUTED_VALUE"""),6.5)</f>
        <v>6.5</v>
      </c>
      <c r="L805" s="5" t="str">
        <f>IFERROR(__xludf.DUMMYFUNCTION("""COMPUTED_VALUE"""),"KLH")</f>
        <v>KLH</v>
      </c>
    </row>
    <row r="806">
      <c r="A806" s="168" t="str">
        <f>IFERROR(__xludf.DUMMYFUNCTION("""COMPUTED_VALUE"""),"CNN-RTC-004")</f>
        <v>CNN-RTC-004</v>
      </c>
      <c r="B806" s="3" t="str">
        <f>IFERROR(__xludf.DUMMYFUNCTION("""COMPUTED_VALUE"""),"Thiết bị rạch luống trồng chuối")</f>
        <v>Thiết bị rạch luống trồng chuối</v>
      </c>
      <c r="C806" s="5" t="str">
        <f>IFERROR(__xludf.DUMMYFUNCTION("""COMPUTED_VALUE"""),"CGLĐ DP")</f>
        <v>CGLĐ DP</v>
      </c>
      <c r="D806" s="5" t="str">
        <f>IFERROR(__xludf.DUMMYFUNCTION("""COMPUTED_VALUE"""),"THACO AGRI")</f>
        <v>THACO AGRI</v>
      </c>
      <c r="E806" s="5"/>
      <c r="F806" s="5"/>
      <c r="G806" s="5" t="str">
        <f>IFERROR(__xludf.DUMMYFUNCTION("""COMPUTED_VALUE"""),"2026")</f>
        <v>2026</v>
      </c>
      <c r="H806" s="5"/>
      <c r="I806" s="5"/>
      <c r="J806" s="5"/>
      <c r="K806" s="5">
        <f>IFERROR(__xludf.DUMMYFUNCTION("""COMPUTED_VALUE"""),6.5)</f>
        <v>6.5</v>
      </c>
      <c r="L806" s="5" t="str">
        <f>IFERROR(__xludf.DUMMYFUNCTION("""COMPUTED_VALUE"""),"KLH")</f>
        <v>KLH</v>
      </c>
    </row>
    <row r="807">
      <c r="A807" s="168" t="str">
        <f>IFERROR(__xludf.DUMMYFUNCTION("""COMPUTED_VALUE"""),"CNN-RTC-005")</f>
        <v>CNN-RTC-005</v>
      </c>
      <c r="B807" s="3" t="str">
        <f>IFERROR(__xludf.DUMMYFUNCTION("""COMPUTED_VALUE"""),"Thiết bị rạch luống trồng chuối")</f>
        <v>Thiết bị rạch luống trồng chuối</v>
      </c>
      <c r="C807" s="5" t="str">
        <f>IFERROR(__xludf.DUMMYFUNCTION("""COMPUTED_VALUE"""),"CGLĐ DP")</f>
        <v>CGLĐ DP</v>
      </c>
      <c r="D807" s="5" t="str">
        <f>IFERROR(__xludf.DUMMYFUNCTION("""COMPUTED_VALUE"""),"THACO AGRI")</f>
        <v>THACO AGRI</v>
      </c>
      <c r="E807" s="5"/>
      <c r="F807" s="5"/>
      <c r="G807" s="5" t="str">
        <f>IFERROR(__xludf.DUMMYFUNCTION("""COMPUTED_VALUE"""),"2026")</f>
        <v>2026</v>
      </c>
      <c r="H807" s="5"/>
      <c r="I807" s="5"/>
      <c r="J807" s="5"/>
      <c r="K807" s="5">
        <f>IFERROR(__xludf.DUMMYFUNCTION("""COMPUTED_VALUE"""),6.5)</f>
        <v>6.5</v>
      </c>
      <c r="L807" s="5" t="str">
        <f>IFERROR(__xludf.DUMMYFUNCTION("""COMPUTED_VALUE"""),"KLH")</f>
        <v>KLH</v>
      </c>
    </row>
    <row r="808">
      <c r="A808" s="168" t="str">
        <f>IFERROR(__xludf.DUMMYFUNCTION("""COMPUTED_VALUE"""),"CNN-RTC-006")</f>
        <v>CNN-RTC-006</v>
      </c>
      <c r="B808" s="3" t="str">
        <f>IFERROR(__xludf.DUMMYFUNCTION("""COMPUTED_VALUE"""),"Thiết bị rạch luống trồng chuối")</f>
        <v>Thiết bị rạch luống trồng chuối</v>
      </c>
      <c r="C808" s="5" t="str">
        <f>IFERROR(__xludf.DUMMYFUNCTION("""COMPUTED_VALUE"""),"CGLĐ DP")</f>
        <v>CGLĐ DP</v>
      </c>
      <c r="D808" s="5" t="str">
        <f>IFERROR(__xludf.DUMMYFUNCTION("""COMPUTED_VALUE"""),"THACO AGRI")</f>
        <v>THACO AGRI</v>
      </c>
      <c r="E808" s="5"/>
      <c r="F808" s="5"/>
      <c r="G808" s="5" t="str">
        <f>IFERROR(__xludf.DUMMYFUNCTION("""COMPUTED_VALUE"""),"2026")</f>
        <v>2026</v>
      </c>
      <c r="H808" s="5"/>
      <c r="I808" s="5"/>
      <c r="J808" s="5"/>
      <c r="K808" s="5">
        <f>IFERROR(__xludf.DUMMYFUNCTION("""COMPUTED_VALUE"""),6.5)</f>
        <v>6.5</v>
      </c>
      <c r="L808" s="5" t="str">
        <f>IFERROR(__xludf.DUMMYFUNCTION("""COMPUTED_VALUE"""),"KLH")</f>
        <v>KLH</v>
      </c>
    </row>
    <row r="809">
      <c r="A809" s="168" t="str">
        <f>IFERROR(__xludf.DUMMYFUNCTION("""COMPUTED_VALUE"""),"CNN-RTC-007")</f>
        <v>CNN-RTC-007</v>
      </c>
      <c r="B809" s="3" t="str">
        <f>IFERROR(__xludf.DUMMYFUNCTION("""COMPUTED_VALUE"""),"Thiết bị rạch luống trồng chuối")</f>
        <v>Thiết bị rạch luống trồng chuối</v>
      </c>
      <c r="C809" s="5" t="str">
        <f>IFERROR(__xludf.DUMMYFUNCTION("""COMPUTED_VALUE"""),"CGLĐ DP")</f>
        <v>CGLĐ DP</v>
      </c>
      <c r="D809" s="5" t="str">
        <f>IFERROR(__xludf.DUMMYFUNCTION("""COMPUTED_VALUE"""),"THACO AGRI")</f>
        <v>THACO AGRI</v>
      </c>
      <c r="E809" s="5"/>
      <c r="F809" s="5"/>
      <c r="G809" s="5" t="str">
        <f>IFERROR(__xludf.DUMMYFUNCTION("""COMPUTED_VALUE"""),"2026")</f>
        <v>2026</v>
      </c>
      <c r="H809" s="5"/>
      <c r="I809" s="5"/>
      <c r="J809" s="5"/>
      <c r="K809" s="5">
        <f>IFERROR(__xludf.DUMMYFUNCTION("""COMPUTED_VALUE"""),6.5)</f>
        <v>6.5</v>
      </c>
      <c r="L809" s="5" t="str">
        <f>IFERROR(__xludf.DUMMYFUNCTION("""COMPUTED_VALUE"""),"KLH")</f>
        <v>KLH</v>
      </c>
    </row>
    <row r="810">
      <c r="A810" s="168" t="str">
        <f>IFERROR(__xludf.DUMMYFUNCTION("""COMPUTED_VALUE"""),"CNN-DXP-001")</f>
        <v>CNN-DXP-001</v>
      </c>
      <c r="B810" s="3" t="str">
        <f>IFERROR(__xludf.DUMMYFUNCTION("""COMPUTED_VALUE"""),"Thiết bị xới phân")</f>
        <v>Thiết bị xới phân</v>
      </c>
      <c r="C810" s="5" t="str">
        <f>IFERROR(__xludf.DUMMYFUNCTION("""COMPUTED_VALUE"""),"CGLĐ DP")</f>
        <v>CGLĐ DP</v>
      </c>
      <c r="D810" s="5" t="str">
        <f>IFERROR(__xludf.DUMMYFUNCTION("""COMPUTED_VALUE"""),"THACO AGRI")</f>
        <v>THACO AGRI</v>
      </c>
      <c r="E810" s="5" t="str">
        <f>IFERROR(__xludf.DUMMYFUNCTION("""COMPUTED_VALUE"""),"CK-DXP-01")</f>
        <v>CK-DXP-01</v>
      </c>
      <c r="F810" s="5"/>
      <c r="G810" s="5" t="str">
        <f>IFERROR(__xludf.DUMMYFUNCTION("""COMPUTED_VALUE"""),"2025")</f>
        <v>2025</v>
      </c>
      <c r="H810" s="5" t="str">
        <f>IFERROR(__xludf.DUMMYFUNCTION("""COMPUTED_VALUE"""),"3.5x1x3.6")</f>
        <v>3.5x1x3.6</v>
      </c>
      <c r="I810" s="5"/>
      <c r="J810" s="5"/>
      <c r="K810" s="5"/>
      <c r="L810" s="5" t="str">
        <f>IFERROR(__xludf.DUMMYFUNCTION("""COMPUTED_VALUE"""),"KLH")</f>
        <v>KLH</v>
      </c>
    </row>
    <row r="811">
      <c r="A811" s="168" t="str">
        <f>IFERROR(__xludf.DUMMYFUNCTION("""COMPUTED_VALUE"""),"CNN-DRP-001")</f>
        <v>CNN-DRP-001</v>
      </c>
      <c r="B811" s="3" t="str">
        <f>IFERROR(__xludf.DUMMYFUNCTION("""COMPUTED_VALUE"""),"Dàn rải phân (10m3)")</f>
        <v>Dàn rải phân (10m3)</v>
      </c>
      <c r="C811" s="5" t="str">
        <f>IFERROR(__xludf.DUMMYFUNCTION("""COMPUTED_VALUE"""),"CGLĐ DP")</f>
        <v>CGLĐ DP</v>
      </c>
      <c r="D811" s="5" t="str">
        <f>IFERROR(__xludf.DUMMYFUNCTION("""COMPUTED_VALUE"""),"THACO INDUSTRY")</f>
        <v>THACO INDUSTRY</v>
      </c>
      <c r="E811" s="5" t="str">
        <f>IFERROR(__xludf.DUMMYFUNCTION("""COMPUTED_VALUE"""),"10M3")</f>
        <v>10M3</v>
      </c>
      <c r="F811" s="5"/>
      <c r="G811" s="5" t="str">
        <f>IFERROR(__xludf.DUMMYFUNCTION("""COMPUTED_VALUE"""),"2025")</f>
        <v>2025</v>
      </c>
      <c r="H811" s="5" t="str">
        <f>IFERROR(__xludf.DUMMYFUNCTION("""COMPUTED_VALUE"""),"7")</f>
        <v>7</v>
      </c>
      <c r="I811" s="5"/>
      <c r="J811" s="5"/>
      <c r="K811" s="5">
        <f>IFERROR(__xludf.DUMMYFUNCTION("""COMPUTED_VALUE"""),3.5)</f>
        <v>3.5</v>
      </c>
      <c r="L811" s="5" t="str">
        <f>IFERROR(__xludf.DUMMYFUNCTION("""COMPUTED_VALUE"""),"KLH")</f>
        <v>KLH</v>
      </c>
    </row>
    <row r="812">
      <c r="A812" s="168" t="str">
        <f>IFERROR(__xludf.DUMMYFUNCTION("""COMPUTED_VALUE"""),"CNN-DRP-004")</f>
        <v>CNN-DRP-004</v>
      </c>
      <c r="B812" s="3" t="str">
        <f>IFERROR(__xludf.DUMMYFUNCTION("""COMPUTED_VALUE"""),"Dàn rải phân (10m3)")</f>
        <v>Dàn rải phân (10m3)</v>
      </c>
      <c r="C812" s="5" t="str">
        <f>IFERROR(__xludf.DUMMYFUNCTION("""COMPUTED_VALUE"""),"CGLĐ DP")</f>
        <v>CGLĐ DP</v>
      </c>
      <c r="D812" s="5" t="str">
        <f>IFERROR(__xludf.DUMMYFUNCTION("""COMPUTED_VALUE"""),"THACO INDUSTRY")</f>
        <v>THACO INDUSTRY</v>
      </c>
      <c r="E812" s="5" t="str">
        <f>IFERROR(__xludf.DUMMYFUNCTION("""COMPUTED_VALUE"""),"10M3")</f>
        <v>10M3</v>
      </c>
      <c r="F812" s="5"/>
      <c r="G812" s="5" t="str">
        <f>IFERROR(__xludf.DUMMYFUNCTION("""COMPUTED_VALUE"""),"2025")</f>
        <v>2025</v>
      </c>
      <c r="H812" s="5" t="str">
        <f>IFERROR(__xludf.DUMMYFUNCTION("""COMPUTED_VALUE"""),"RMFNUU109ASC001754")</f>
        <v>RMFNUU109ASC001754</v>
      </c>
      <c r="I812" s="5" t="str">
        <f>IFERROR(__xludf.DUMMYFUNCTION("""COMPUTED_VALUE"""),"16")</f>
        <v>16</v>
      </c>
      <c r="J812" s="5"/>
      <c r="K812" s="5">
        <f>IFERROR(__xludf.DUMMYFUNCTION("""COMPUTED_VALUE"""),3.5)</f>
        <v>3.5</v>
      </c>
      <c r="L812" s="5" t="str">
        <f>IFERROR(__xludf.DUMMYFUNCTION("""COMPUTED_VALUE"""),"KLH")</f>
        <v>KLH</v>
      </c>
    </row>
    <row r="813">
      <c r="A813" s="168" t="str">
        <f>IFERROR(__xludf.DUMMYFUNCTION("""COMPUTED_VALUE"""),"CNN-DRP-005")</f>
        <v>CNN-DRP-005</v>
      </c>
      <c r="B813" s="3" t="str">
        <f>IFERROR(__xludf.DUMMYFUNCTION("""COMPUTED_VALUE"""),"Dàn rải phân (10m3)")</f>
        <v>Dàn rải phân (10m3)</v>
      </c>
      <c r="C813" s="5" t="str">
        <f>IFERROR(__xludf.DUMMYFUNCTION("""COMPUTED_VALUE"""),"CGLĐ DP")</f>
        <v>CGLĐ DP</v>
      </c>
      <c r="D813" s="5" t="str">
        <f>IFERROR(__xludf.DUMMYFUNCTION("""COMPUTED_VALUE"""),"THACO INDUSTRY")</f>
        <v>THACO INDUSTRY</v>
      </c>
      <c r="E813" s="5" t="str">
        <f>IFERROR(__xludf.DUMMYFUNCTION("""COMPUTED_VALUE"""),"10M3")</f>
        <v>10M3</v>
      </c>
      <c r="F813" s="5"/>
      <c r="G813" s="5" t="str">
        <f>IFERROR(__xludf.DUMMYFUNCTION("""COMPUTED_VALUE"""),"2025")</f>
        <v>2025</v>
      </c>
      <c r="H813" s="5" t="str">
        <f>IFERROR(__xludf.DUMMYFUNCTION("""COMPUTED_VALUE"""),"RMFNU109ASC001755")</f>
        <v>RMFNU109ASC001755</v>
      </c>
      <c r="I813" s="5" t="str">
        <f>IFERROR(__xludf.DUMMYFUNCTION("""COMPUTED_VALUE"""),"18")</f>
        <v>18</v>
      </c>
      <c r="J813" s="5"/>
      <c r="K813" s="5">
        <f>IFERROR(__xludf.DUMMYFUNCTION("""COMPUTED_VALUE"""),3.5)</f>
        <v>3.5</v>
      </c>
      <c r="L813" s="5" t="str">
        <f>IFERROR(__xludf.DUMMYFUNCTION("""COMPUTED_VALUE"""),"KLH")</f>
        <v>KLH</v>
      </c>
    </row>
    <row r="814">
      <c r="A814" s="168" t="str">
        <f>IFERROR(__xludf.DUMMYFUNCTION("""COMPUTED_VALUE"""),"CNN-DRP-006")</f>
        <v>CNN-DRP-006</v>
      </c>
      <c r="B814" s="3" t="str">
        <f>IFERROR(__xludf.DUMMYFUNCTION("""COMPUTED_VALUE"""),"Dàn rải phân (10m3)")</f>
        <v>Dàn rải phân (10m3)</v>
      </c>
      <c r="C814" s="5" t="str">
        <f>IFERROR(__xludf.DUMMYFUNCTION("""COMPUTED_VALUE"""),"CGLĐ DP")</f>
        <v>CGLĐ DP</v>
      </c>
      <c r="D814" s="5" t="str">
        <f>IFERROR(__xludf.DUMMYFUNCTION("""COMPUTED_VALUE"""),"THACO INDUSTRY")</f>
        <v>THACO INDUSTRY</v>
      </c>
      <c r="E814" s="5" t="str">
        <f>IFERROR(__xludf.DUMMYFUNCTION("""COMPUTED_VALUE"""),"10M3")</f>
        <v>10M3</v>
      </c>
      <c r="F814" s="5"/>
      <c r="G814" s="5" t="str">
        <f>IFERROR(__xludf.DUMMYFUNCTION("""COMPUTED_VALUE"""),"2025")</f>
        <v>2025</v>
      </c>
      <c r="H814" s="5" t="str">
        <f>IFERROR(__xludf.DUMMYFUNCTION("""COMPUTED_VALUE"""),"RMFNU109ATC002205")</f>
        <v>RMFNU109ATC002205</v>
      </c>
      <c r="I814" s="5" t="str">
        <f>IFERROR(__xludf.DUMMYFUNCTION("""COMPUTED_VALUE"""),"19")</f>
        <v>19</v>
      </c>
      <c r="J814" s="5"/>
      <c r="K814" s="5">
        <f>IFERROR(__xludf.DUMMYFUNCTION("""COMPUTED_VALUE"""),3.5)</f>
        <v>3.5</v>
      </c>
      <c r="L814" s="5" t="str">
        <f>IFERROR(__xludf.DUMMYFUNCTION("""COMPUTED_VALUE"""),"KLH")</f>
        <v>KLH</v>
      </c>
    </row>
    <row r="815">
      <c r="A815" s="168" t="str">
        <f>IFERROR(__xludf.DUMMYFUNCTION("""COMPUTED_VALUE"""),"CNN-DRT-001")</f>
        <v>CNN-DRT-001</v>
      </c>
      <c r="B815" s="3" t="str">
        <f>IFERROR(__xludf.DUMMYFUNCTION("""COMPUTED_VALUE"""),"Thiết bị đào rãnh đặt ống tưới")</f>
        <v>Thiết bị đào rãnh đặt ống tưới</v>
      </c>
      <c r="C815" s="5" t="str">
        <f>IFERROR(__xludf.DUMMYFUNCTION("""COMPUTED_VALUE"""),"CGLĐ DP")</f>
        <v>CGLĐ DP</v>
      </c>
      <c r="D815" s="5" t="str">
        <f>IFERROR(__xludf.DUMMYFUNCTION("""COMPUTED_VALUE"""),"THACO INDUSTRY")</f>
        <v>THACO INDUSTRY</v>
      </c>
      <c r="E815" s="5" t="str">
        <f>IFERROR(__xludf.DUMMYFUNCTION("""COMPUTED_VALUE"""),"Đĩa quay")</f>
        <v>Đĩa quay</v>
      </c>
      <c r="F815" s="5"/>
      <c r="G815" s="5" t="str">
        <f>IFERROR(__xludf.DUMMYFUNCTION("""COMPUTED_VALUE"""),"2025")</f>
        <v>2025</v>
      </c>
      <c r="H815" s="5"/>
      <c r="I815" s="5" t="str">
        <f>IFERROR(__xludf.DUMMYFUNCTION("""COMPUTED_VALUE"""),"DTR1")</f>
        <v>DTR1</v>
      </c>
      <c r="J815" s="5"/>
      <c r="K815" s="5"/>
      <c r="L815" s="5" t="str">
        <f>IFERROR(__xludf.DUMMYFUNCTION("""COMPUTED_VALUE"""),"KLH")</f>
        <v>KLH</v>
      </c>
    </row>
    <row r="816">
      <c r="A816" s="168" t="str">
        <f>IFERROR(__xludf.DUMMYFUNCTION("""COMPUTED_VALUE"""),"CNN-DRT-002")</f>
        <v>CNN-DRT-002</v>
      </c>
      <c r="B816" s="3" t="str">
        <f>IFERROR(__xludf.DUMMYFUNCTION("""COMPUTED_VALUE"""),"Thiết bị đào rãnh đặt ống tưới")</f>
        <v>Thiết bị đào rãnh đặt ống tưới</v>
      </c>
      <c r="C816" s="5" t="str">
        <f>IFERROR(__xludf.DUMMYFUNCTION("""COMPUTED_VALUE"""),"CGLĐ DP")</f>
        <v>CGLĐ DP</v>
      </c>
      <c r="D816" s="5" t="str">
        <f>IFERROR(__xludf.DUMMYFUNCTION("""COMPUTED_VALUE"""),"THACO INDUSTRY")</f>
        <v>THACO INDUSTRY</v>
      </c>
      <c r="E816" s="5" t="str">
        <f>IFERROR(__xludf.DUMMYFUNCTION("""COMPUTED_VALUE"""),"Đĩa quay")</f>
        <v>Đĩa quay</v>
      </c>
      <c r="F816" s="5"/>
      <c r="G816" s="5" t="str">
        <f>IFERROR(__xludf.DUMMYFUNCTION("""COMPUTED_VALUE"""),"2025")</f>
        <v>2025</v>
      </c>
      <c r="H816" s="5"/>
      <c r="I816" s="5" t="str">
        <f>IFERROR(__xludf.DUMMYFUNCTION("""COMPUTED_VALUE"""),"DTR2")</f>
        <v>DTR2</v>
      </c>
      <c r="J816" s="5"/>
      <c r="K816" s="5"/>
      <c r="L816" s="5" t="str">
        <f>IFERROR(__xludf.DUMMYFUNCTION("""COMPUTED_VALUE"""),"KLH")</f>
        <v>KLH</v>
      </c>
    </row>
    <row r="817">
      <c r="A817" s="168" t="str">
        <f>IFERROR(__xludf.DUMMYFUNCTION("""COMPUTED_VALUE"""),"CNN-DRT-003")</f>
        <v>CNN-DRT-003</v>
      </c>
      <c r="B817" s="3" t="str">
        <f>IFERROR(__xludf.DUMMYFUNCTION("""COMPUTED_VALUE"""),"Thiết bị đào rãnh đặt ống tưới")</f>
        <v>Thiết bị đào rãnh đặt ống tưới</v>
      </c>
      <c r="C817" s="5" t="str">
        <f>IFERROR(__xludf.DUMMYFUNCTION("""COMPUTED_VALUE"""),"CGLĐ DP")</f>
        <v>CGLĐ DP</v>
      </c>
      <c r="D817" s="5" t="str">
        <f>IFERROR(__xludf.DUMMYFUNCTION("""COMPUTED_VALUE"""),"THACO INDUSTRY")</f>
        <v>THACO INDUSTRY</v>
      </c>
      <c r="E817" s="5" t="str">
        <f>IFERROR(__xludf.DUMMYFUNCTION("""COMPUTED_VALUE"""),"Đĩa quay")</f>
        <v>Đĩa quay</v>
      </c>
      <c r="F817" s="5"/>
      <c r="G817" s="5" t="str">
        <f>IFERROR(__xludf.DUMMYFUNCTION("""COMPUTED_VALUE"""),"2025")</f>
        <v>2025</v>
      </c>
      <c r="H817" s="5"/>
      <c r="I817" s="5" t="str">
        <f>IFERROR(__xludf.DUMMYFUNCTION("""COMPUTED_VALUE"""),"DTR4")</f>
        <v>DTR4</v>
      </c>
      <c r="J817" s="5"/>
      <c r="K817" s="5"/>
      <c r="L817" s="5" t="str">
        <f>IFERROR(__xludf.DUMMYFUNCTION("""COMPUTED_VALUE"""),"KLH")</f>
        <v>KLH</v>
      </c>
    </row>
    <row r="818">
      <c r="A818" s="168" t="str">
        <f>IFERROR(__xludf.DUMMYFUNCTION("""COMPUTED_VALUE"""),"Cơ giới làm đất LP")</f>
        <v>Cơ giới làm đất LP</v>
      </c>
      <c r="B818" s="3"/>
      <c r="C818" s="5"/>
      <c r="D818" s="5"/>
      <c r="E818" s="5"/>
      <c r="F818" s="5"/>
      <c r="G818" s="5"/>
      <c r="H818" s="5"/>
      <c r="I818" s="5"/>
      <c r="J818" s="5"/>
      <c r="K818" s="5"/>
      <c r="L818" s="5" t="str">
        <f>IFERROR(__xludf.DUMMYFUNCTION("""COMPUTED_VALUE"""),"KLH")</f>
        <v>KLH</v>
      </c>
    </row>
    <row r="819">
      <c r="A819" s="168" t="str">
        <f>IFERROR(__xludf.DUMMYFUNCTION("""COMPUTED_VALUE"""),"CNN-CCH-004")</f>
        <v>CNN-CCH-004</v>
      </c>
      <c r="B819" s="3" t="str">
        <f>IFERROR(__xludf.DUMMYFUNCTION("""COMPUTED_VALUE"""),"Thiết Bị Cày 3 Chảo")</f>
        <v>Thiết Bị Cày 3 Chảo</v>
      </c>
      <c r="C819" s="5" t="str">
        <f>IFERROR(__xludf.DUMMYFUNCTION("""COMPUTED_VALUE"""),"CGLĐ LP")</f>
        <v>CGLĐ LP</v>
      </c>
      <c r="D819" s="5" t="str">
        <f>IFERROR(__xludf.DUMMYFUNCTION("""COMPUTED_VALUE"""),"CAMBODIA")</f>
        <v>CAMBODIA</v>
      </c>
      <c r="E819" s="5" t="str">
        <f>IFERROR(__xludf.DUMMYFUNCTION("""COMPUTED_VALUE"""),"3 chảo")</f>
        <v>3 chảo</v>
      </c>
      <c r="F819" s="5"/>
      <c r="G819" s="5"/>
      <c r="H819" s="5"/>
      <c r="I819" s="5"/>
      <c r="J819" s="5"/>
      <c r="K819" s="5"/>
      <c r="L819" s="5" t="str">
        <f>IFERROR(__xludf.DUMMYFUNCTION("""COMPUTED_VALUE"""),"KLH")</f>
        <v>KLH</v>
      </c>
    </row>
    <row r="820">
      <c r="A820" s="168" t="str">
        <f>IFERROR(__xludf.DUMMYFUNCTION("""COMPUTED_VALUE"""),"CNN-CCH-005")</f>
        <v>CNN-CCH-005</v>
      </c>
      <c r="B820" s="3" t="str">
        <f>IFERROR(__xludf.DUMMYFUNCTION("""COMPUTED_VALUE"""),"Thiết Bị Cày 3 Chảo")</f>
        <v>Thiết Bị Cày 3 Chảo</v>
      </c>
      <c r="C820" s="5" t="str">
        <f>IFERROR(__xludf.DUMMYFUNCTION("""COMPUTED_VALUE"""),"CGLĐ LP")</f>
        <v>CGLĐ LP</v>
      </c>
      <c r="D820" s="5" t="str">
        <f>IFERROR(__xludf.DUMMYFUNCTION("""COMPUTED_VALUE"""),"CAMBODIA")</f>
        <v>CAMBODIA</v>
      </c>
      <c r="E820" s="5" t="str">
        <f>IFERROR(__xludf.DUMMYFUNCTION("""COMPUTED_VALUE"""),"3 chảo")</f>
        <v>3 chảo</v>
      </c>
      <c r="F820" s="5"/>
      <c r="G820" s="5"/>
      <c r="H820" s="5"/>
      <c r="I820" s="5"/>
      <c r="J820" s="5"/>
      <c r="K820" s="5"/>
      <c r="L820" s="5" t="str">
        <f>IFERROR(__xludf.DUMMYFUNCTION("""COMPUTED_VALUE"""),"KLH")</f>
        <v>KLH</v>
      </c>
    </row>
    <row r="821">
      <c r="A821" s="168" t="str">
        <f>IFERROR(__xludf.DUMMYFUNCTION("""COMPUTED_VALUE"""),"CNN-CCH-006")</f>
        <v>CNN-CCH-006</v>
      </c>
      <c r="B821" s="3" t="str">
        <f>IFERROR(__xludf.DUMMYFUNCTION("""COMPUTED_VALUE"""),"Thiết Bị Cày 3 Chảo")</f>
        <v>Thiết Bị Cày 3 Chảo</v>
      </c>
      <c r="C821" s="5" t="str">
        <f>IFERROR(__xludf.DUMMYFUNCTION("""COMPUTED_VALUE"""),"CGLĐ LP")</f>
        <v>CGLĐ LP</v>
      </c>
      <c r="D821" s="5" t="str">
        <f>IFERROR(__xludf.DUMMYFUNCTION("""COMPUTED_VALUE"""),"CAMBODIA")</f>
        <v>CAMBODIA</v>
      </c>
      <c r="E821" s="5" t="str">
        <f>IFERROR(__xludf.DUMMYFUNCTION("""COMPUTED_VALUE"""),"3 chảo")</f>
        <v>3 chảo</v>
      </c>
      <c r="F821" s="5"/>
      <c r="G821" s="5"/>
      <c r="H821" s="5"/>
      <c r="I821" s="5"/>
      <c r="J821" s="5"/>
      <c r="K821" s="5"/>
      <c r="L821" s="5" t="str">
        <f>IFERROR(__xludf.DUMMYFUNCTION("""COMPUTED_VALUE"""),"KLH")</f>
        <v>KLH</v>
      </c>
    </row>
    <row r="822">
      <c r="A822" s="168" t="str">
        <f>IFERROR(__xludf.DUMMYFUNCTION("""COMPUTED_VALUE"""),"CNN-BUA-005")</f>
        <v>CNN-BUA-005</v>
      </c>
      <c r="B822" s="3" t="str">
        <f>IFERROR(__xludf.DUMMYFUNCTION("""COMPUTED_VALUE"""),"Thiết Bị Bừa 8 Chảo")</f>
        <v>Thiết Bị Bừa 8 Chảo</v>
      </c>
      <c r="C822" s="5" t="str">
        <f>IFERROR(__xludf.DUMMYFUNCTION("""COMPUTED_VALUE"""),"CGLĐ LP")</f>
        <v>CGLĐ LP</v>
      </c>
      <c r="D822" s="5" t="str">
        <f>IFERROR(__xludf.DUMMYFUNCTION("""COMPUTED_VALUE"""),"CAMBODIA")</f>
        <v>CAMBODIA</v>
      </c>
      <c r="E822" s="5" t="str">
        <f>IFERROR(__xludf.DUMMYFUNCTION("""COMPUTED_VALUE"""),"8 chảo")</f>
        <v>8 chảo</v>
      </c>
      <c r="F822" s="5"/>
      <c r="G822" s="5"/>
      <c r="H822" s="5"/>
      <c r="I822" s="5"/>
      <c r="J822" s="5"/>
      <c r="K822" s="5"/>
      <c r="L822" s="5" t="str">
        <f>IFERROR(__xludf.DUMMYFUNCTION("""COMPUTED_VALUE"""),"KLH")</f>
        <v>KLH</v>
      </c>
    </row>
    <row r="823">
      <c r="A823" s="168" t="str">
        <f>IFERROR(__xludf.DUMMYFUNCTION("""COMPUTED_VALUE"""),"CNN-BUA-006")</f>
        <v>CNN-BUA-006</v>
      </c>
      <c r="B823" s="3" t="str">
        <f>IFERROR(__xludf.DUMMYFUNCTION("""COMPUTED_VALUE"""),"Thiết Bị Bừa 32 Chảo")</f>
        <v>Thiết Bị Bừa 32 Chảo</v>
      </c>
      <c r="C823" s="5" t="str">
        <f>IFERROR(__xludf.DUMMYFUNCTION("""COMPUTED_VALUE"""),"CGLĐ LP")</f>
        <v>CGLĐ LP</v>
      </c>
      <c r="D823" s="5" t="str">
        <f>IFERROR(__xludf.DUMMYFUNCTION("""COMPUTED_VALUE"""),"CAMBODIA")</f>
        <v>CAMBODIA</v>
      </c>
      <c r="E823" s="5" t="str">
        <f>IFERROR(__xludf.DUMMYFUNCTION("""COMPUTED_VALUE"""),"32 chảo")</f>
        <v>32 chảo</v>
      </c>
      <c r="F823" s="5"/>
      <c r="G823" s="5"/>
      <c r="H823" s="5"/>
      <c r="I823" s="5"/>
      <c r="J823" s="5"/>
      <c r="K823" s="5"/>
      <c r="L823" s="5" t="str">
        <f>IFERROR(__xludf.DUMMYFUNCTION("""COMPUTED_VALUE"""),"KLH")</f>
        <v>KLH</v>
      </c>
    </row>
    <row r="824">
      <c r="A824" s="168" t="str">
        <f>IFERROR(__xludf.DUMMYFUNCTION("""COMPUTED_VALUE"""),"CNN-BUA-012")</f>
        <v>CNN-BUA-012</v>
      </c>
      <c r="B824" s="3" t="str">
        <f>IFERROR(__xludf.DUMMYFUNCTION("""COMPUTED_VALUE"""),"Thiết bị bừa 24 chảo")</f>
        <v>Thiết bị bừa 24 chảo</v>
      </c>
      <c r="C824" s="5" t="str">
        <f>IFERROR(__xludf.DUMMYFUNCTION("""COMPUTED_VALUE"""),"CGLĐ LP")</f>
        <v>CGLĐ LP</v>
      </c>
      <c r="D824" s="5" t="str">
        <f>IFERROR(__xludf.DUMMYFUNCTION("""COMPUTED_VALUE"""),"CAMBODIA")</f>
        <v>CAMBODIA</v>
      </c>
      <c r="E824" s="5" t="str">
        <f>IFERROR(__xludf.DUMMYFUNCTION("""COMPUTED_VALUE"""),"24 chảo")</f>
        <v>24 chảo</v>
      </c>
      <c r="F824" s="5"/>
      <c r="G824" s="5"/>
      <c r="H824" s="5"/>
      <c r="I824" s="5"/>
      <c r="J824" s="5"/>
      <c r="K824" s="5"/>
      <c r="L824" s="5" t="str">
        <f>IFERROR(__xludf.DUMMYFUNCTION("""COMPUTED_VALUE"""),"KLH")</f>
        <v>KLH</v>
      </c>
    </row>
    <row r="825">
      <c r="A825" s="168" t="str">
        <f>IFERROR(__xludf.DUMMYFUNCTION("""COMPUTED_VALUE"""),"CNN-XOI-004")</f>
        <v>CNN-XOI-004</v>
      </c>
      <c r="B825" s="3" t="str">
        <f>IFERROR(__xludf.DUMMYFUNCTION("""COMPUTED_VALUE"""),"Thiết bị xới đất 2.2m")</f>
        <v>Thiết bị xới đất 2.2m</v>
      </c>
      <c r="C825" s="5" t="str">
        <f>IFERROR(__xludf.DUMMYFUNCTION("""COMPUTED_VALUE"""),"CGLĐ LP")</f>
        <v>CGLĐ LP</v>
      </c>
      <c r="D825" s="5" t="str">
        <f>IFERROR(__xludf.DUMMYFUNCTION("""COMPUTED_VALUE"""),"CAMBODIA")</f>
        <v>CAMBODIA</v>
      </c>
      <c r="E825" s="5" t="str">
        <f>IFERROR(__xludf.DUMMYFUNCTION("""COMPUTED_VALUE"""),"2.2m")</f>
        <v>2.2m</v>
      </c>
      <c r="F825" s="5"/>
      <c r="G825" s="5"/>
      <c r="H825" s="5"/>
      <c r="I825" s="5"/>
      <c r="J825" s="5"/>
      <c r="K825" s="5">
        <f>IFERROR(__xludf.DUMMYFUNCTION("""COMPUTED_VALUE"""),6.0)</f>
        <v>6</v>
      </c>
      <c r="L825" s="5" t="str">
        <f>IFERROR(__xludf.DUMMYFUNCTION("""COMPUTED_VALUE"""),"KLH")</f>
        <v>KLH</v>
      </c>
    </row>
    <row r="826">
      <c r="A826" s="168" t="str">
        <f>IFERROR(__xludf.DUMMYFUNCTION("""COMPUTED_VALUE"""),"CNN-VMU-002")</f>
        <v>CNN-VMU-002</v>
      </c>
      <c r="B826" s="3" t="str">
        <f>IFERROR(__xludf.DUMMYFUNCTION("""COMPUTED_VALUE"""),"Thiết bị vét mương 2 đĩa quay")</f>
        <v>Thiết bị vét mương 2 đĩa quay</v>
      </c>
      <c r="C826" s="5" t="str">
        <f>IFERROR(__xludf.DUMMYFUNCTION("""COMPUTED_VALUE"""),"CGLĐ LP")</f>
        <v>CGLĐ LP</v>
      </c>
      <c r="D826" s="5" t="str">
        <f>IFERROR(__xludf.DUMMYFUNCTION("""COMPUTED_VALUE"""),"CAMBODIA")</f>
        <v>CAMBODIA</v>
      </c>
      <c r="E826" s="5" t="str">
        <f>IFERROR(__xludf.DUMMYFUNCTION("""COMPUTED_VALUE"""),"2 đĩa  quay")</f>
        <v>2 đĩa  quay</v>
      </c>
      <c r="F826" s="5"/>
      <c r="G826" s="5"/>
      <c r="H826" s="5"/>
      <c r="I826" s="5"/>
      <c r="J826" s="5"/>
      <c r="K826" s="5"/>
      <c r="L826" s="5" t="str">
        <f>IFERROR(__xludf.DUMMYFUNCTION("""COMPUTED_VALUE"""),"KLH")</f>
        <v>KLH</v>
      </c>
    </row>
    <row r="827">
      <c r="A827" s="168" t="str">
        <f>IFERROR(__xludf.DUMMYFUNCTION("""COMPUTED_VALUE"""),"CNN-CNA-002")</f>
        <v>CNN-CNA-002</v>
      </c>
      <c r="B827" s="3" t="str">
        <f>IFERROR(__xludf.DUMMYFUNCTION("""COMPUTED_VALUE"""),"Thiết bị cày ngầm 3 trụ")</f>
        <v>Thiết bị cày ngầm 3 trụ</v>
      </c>
      <c r="C827" s="5" t="str">
        <f>IFERROR(__xludf.DUMMYFUNCTION("""COMPUTED_VALUE"""),"CGLĐ LP")</f>
        <v>CGLĐ LP</v>
      </c>
      <c r="D827" s="5" t="str">
        <f>IFERROR(__xludf.DUMMYFUNCTION("""COMPUTED_VALUE"""),"CAMBODIA")</f>
        <v>CAMBODIA</v>
      </c>
      <c r="E827" s="5" t="str">
        <f>IFERROR(__xludf.DUMMYFUNCTION("""COMPUTED_VALUE"""),"3 trụ")</f>
        <v>3 trụ</v>
      </c>
      <c r="F827" s="5"/>
      <c r="G827" s="5"/>
      <c r="H827" s="5"/>
      <c r="I827" s="5"/>
      <c r="J827" s="5"/>
      <c r="K827" s="5">
        <f>IFERROR(__xludf.DUMMYFUNCTION("""COMPUTED_VALUE"""),13.0)</f>
        <v>13</v>
      </c>
      <c r="L827" s="5" t="str">
        <f>IFERROR(__xludf.DUMMYFUNCTION("""COMPUTED_VALUE"""),"KLH")</f>
        <v>KLH</v>
      </c>
    </row>
    <row r="828">
      <c r="A828" s="168" t="str">
        <f>IFERROR(__xludf.DUMMYFUNCTION("""COMPUTED_VALUE"""),"CNN-RLT-003")</f>
        <v>CNN-RLT-003</v>
      </c>
      <c r="B828" s="3" t="str">
        <f>IFERROR(__xludf.DUMMYFUNCTION("""COMPUTED_VALUE"""),"Thiết bị rạch định vị hàng trồng 2 lưỡi")</f>
        <v>Thiết bị rạch định vị hàng trồng 2 lưỡi</v>
      </c>
      <c r="C828" s="5" t="str">
        <f>IFERROR(__xludf.DUMMYFUNCTION("""COMPUTED_VALUE"""),"CGLĐ LP")</f>
        <v>CGLĐ LP</v>
      </c>
      <c r="D828" s="5" t="str">
        <f>IFERROR(__xludf.DUMMYFUNCTION("""COMPUTED_VALUE"""),"CAMBODIA")</f>
        <v>CAMBODIA</v>
      </c>
      <c r="E828" s="5"/>
      <c r="F828" s="5"/>
      <c r="G828" s="5"/>
      <c r="H828" s="5"/>
      <c r="I828" s="5"/>
      <c r="J828" s="5"/>
      <c r="K828" s="5"/>
      <c r="L828" s="5" t="str">
        <f>IFERROR(__xludf.DUMMYFUNCTION("""COMPUTED_VALUE"""),"KLH")</f>
        <v>KLH</v>
      </c>
    </row>
    <row r="829">
      <c r="A829" s="168" t="str">
        <f>IFERROR(__xludf.DUMMYFUNCTION("""COMPUTED_VALUE"""),"CNN-TBG-002")</f>
        <v>CNN-TBG-002</v>
      </c>
      <c r="B829" s="3" t="str">
        <f>IFERROR(__xludf.DUMMYFUNCTION("""COMPUTED_VALUE"""),"Thiết bị gom gốc gắn máy kéo")</f>
        <v>Thiết bị gom gốc gắn máy kéo</v>
      </c>
      <c r="C829" s="5" t="str">
        <f>IFERROR(__xludf.DUMMYFUNCTION("""COMPUTED_VALUE"""),"CGLĐ LP")</f>
        <v>CGLĐ LP</v>
      </c>
      <c r="D829" s="5" t="str">
        <f>IFERROR(__xludf.DUMMYFUNCTION("""COMPUTED_VALUE"""),"THACO AGRI")</f>
        <v>THACO AGRI</v>
      </c>
      <c r="E829" s="5"/>
      <c r="F829" s="5"/>
      <c r="G829" s="5"/>
      <c r="H829" s="5" t="str">
        <f>IFERROR(__xludf.DUMMYFUNCTION("""COMPUTED_VALUE"""),"1.8x3x1.5")</f>
        <v>1.8x3x1.5</v>
      </c>
      <c r="I829" s="5"/>
      <c r="J829" s="5"/>
      <c r="K829" s="5"/>
      <c r="L829" s="5" t="str">
        <f>IFERROR(__xludf.DUMMYFUNCTION("""COMPUTED_VALUE"""),"KLH")</f>
        <v>KLH</v>
      </c>
    </row>
    <row r="830">
      <c r="A830" s="168" t="str">
        <f>IFERROR(__xludf.DUMMYFUNCTION("""COMPUTED_VALUE"""),"CNN-RVO-003")</f>
        <v>CNN-RVO-003</v>
      </c>
      <c r="B830" s="3" t="str">
        <f>IFERROR(__xludf.DUMMYFUNCTION("""COMPUTED_VALUE"""),"Thiết bị phun vôi/rải vô cơ")</f>
        <v>Thiết bị phun vôi/rải vô cơ</v>
      </c>
      <c r="C830" s="5" t="str">
        <f>IFERROR(__xludf.DUMMYFUNCTION("""COMPUTED_VALUE"""),"CGLĐ LP")</f>
        <v>CGLĐ LP</v>
      </c>
      <c r="D830" s="5" t="str">
        <f>IFERROR(__xludf.DUMMYFUNCTION("""COMPUTED_VALUE"""),"CAMBODIA")</f>
        <v>CAMBODIA</v>
      </c>
      <c r="E830" s="5"/>
      <c r="F830" s="5"/>
      <c r="G830" s="5"/>
      <c r="H830" s="5"/>
      <c r="I830" s="5"/>
      <c r="J830" s="5"/>
      <c r="K830" s="5">
        <f>IFERROR(__xludf.DUMMYFUNCTION("""COMPUTED_VALUE"""),3.8)</f>
        <v>3.8</v>
      </c>
      <c r="L830" s="5" t="str">
        <f>IFERROR(__xludf.DUMMYFUNCTION("""COMPUTED_VALUE"""),"KLH")</f>
        <v>KLH</v>
      </c>
    </row>
    <row r="831">
      <c r="A831" s="168" t="str">
        <f>IFERROR(__xludf.DUMMYFUNCTION("""COMPUTED_VALUE"""),"CNN-RVO-006")</f>
        <v>CNN-RVO-006</v>
      </c>
      <c r="B831" s="3" t="str">
        <f>IFERROR(__xludf.DUMMYFUNCTION("""COMPUTED_VALUE"""),"Thiết bị phun vôi/rải vô cơ")</f>
        <v>Thiết bị phun vôi/rải vô cơ</v>
      </c>
      <c r="C831" s="5" t="str">
        <f>IFERROR(__xludf.DUMMYFUNCTION("""COMPUTED_VALUE"""),"CGLĐ LP")</f>
        <v>CGLĐ LP</v>
      </c>
      <c r="D831" s="5" t="str">
        <f>IFERROR(__xludf.DUMMYFUNCTION("""COMPUTED_VALUE"""),"SHAKTIMAN")</f>
        <v>SHAKTIMAN</v>
      </c>
      <c r="E831" s="5" t="str">
        <f>IFERROR(__xludf.DUMMYFUNCTION("""COMPUTED_VALUE"""),"SFB-1000DD")</f>
        <v>SFB-1000DD</v>
      </c>
      <c r="F831" s="5"/>
      <c r="G831" s="5" t="str">
        <f>IFERROR(__xludf.DUMMYFUNCTION("""COMPUTED_VALUE"""),"2024")</f>
        <v>2024</v>
      </c>
      <c r="H831" s="5"/>
      <c r="I831" s="5" t="str">
        <f>IFERROR(__xludf.DUMMYFUNCTION("""COMPUTED_VALUE"""),"BACE112101899")</f>
        <v>BACE112101899</v>
      </c>
      <c r="J831" s="5"/>
      <c r="K831" s="5">
        <f>IFERROR(__xludf.DUMMYFUNCTION("""COMPUTED_VALUE"""),3.8)</f>
        <v>3.8</v>
      </c>
      <c r="L831" s="5" t="str">
        <f>IFERROR(__xludf.DUMMYFUNCTION("""COMPUTED_VALUE"""),"KLH")</f>
        <v>KLH</v>
      </c>
    </row>
    <row r="832">
      <c r="A832" s="168" t="str">
        <f>IFERROR(__xludf.DUMMYFUNCTION("""COMPUTED_VALUE"""),"CNN-XOI-003")</f>
        <v>CNN-XOI-003</v>
      </c>
      <c r="B832" s="3" t="str">
        <f>IFERROR(__xludf.DUMMYFUNCTION("""COMPUTED_VALUE"""),"Thiết bị xới đất 2.2m")</f>
        <v>Thiết bị xới đất 2.2m</v>
      </c>
      <c r="C832" s="5" t="str">
        <f>IFERROR(__xludf.DUMMYFUNCTION("""COMPUTED_VALUE"""),"CGLĐ LP")</f>
        <v>CGLĐ LP</v>
      </c>
      <c r="D832" s="5" t="str">
        <f>IFERROR(__xludf.DUMMYFUNCTION("""COMPUTED_VALUE"""),"CAMBODIA")</f>
        <v>CAMBODIA</v>
      </c>
      <c r="E832" s="5" t="str">
        <f>IFERROR(__xludf.DUMMYFUNCTION("""COMPUTED_VALUE"""),"2.2m")</f>
        <v>2.2m</v>
      </c>
      <c r="F832" s="5"/>
      <c r="G832" s="5"/>
      <c r="H832" s="5"/>
      <c r="I832" s="5"/>
      <c r="J832" s="5"/>
      <c r="K832" s="5">
        <f>IFERROR(__xludf.DUMMYFUNCTION("""COMPUTED_VALUE"""),6.0)</f>
        <v>6</v>
      </c>
      <c r="L832" s="5" t="str">
        <f>IFERROR(__xludf.DUMMYFUNCTION("""COMPUTED_VALUE"""),"KLH")</f>
        <v>KLH</v>
      </c>
    </row>
    <row r="833">
      <c r="A833" s="168" t="str">
        <f>IFERROR(__xludf.DUMMYFUNCTION("""COMPUTED_VALUE"""),"CNN-XOI-009")</f>
        <v>CNN-XOI-009</v>
      </c>
      <c r="B833" s="3" t="str">
        <f>IFERROR(__xludf.DUMMYFUNCTION("""COMPUTED_VALUE"""),"Thiết bị xới đất 2.2m")</f>
        <v>Thiết bị xới đất 2.2m</v>
      </c>
      <c r="C833" s="5" t="str">
        <f>IFERROR(__xludf.DUMMYFUNCTION("""COMPUTED_VALUE"""),"CGLĐ LP")</f>
        <v>CGLĐ LP</v>
      </c>
      <c r="D833" s="5" t="str">
        <f>IFERROR(__xludf.DUMMYFUNCTION("""COMPUTED_VALUE"""),"CAMBODIA")</f>
        <v>CAMBODIA</v>
      </c>
      <c r="E833" s="5" t="str">
        <f>IFERROR(__xludf.DUMMYFUNCTION("""COMPUTED_VALUE"""),"2.2m")</f>
        <v>2.2m</v>
      </c>
      <c r="F833" s="5"/>
      <c r="G833" s="5"/>
      <c r="H833" s="5"/>
      <c r="I833" s="5"/>
      <c r="J833" s="5"/>
      <c r="K833" s="5">
        <f>IFERROR(__xludf.DUMMYFUNCTION("""COMPUTED_VALUE"""),6.0)</f>
        <v>6</v>
      </c>
      <c r="L833" s="5" t="str">
        <f>IFERROR(__xludf.DUMMYFUNCTION("""COMPUTED_VALUE"""),"KLH")</f>
        <v>KLH</v>
      </c>
    </row>
    <row r="834">
      <c r="A834" s="168" t="str">
        <f>IFERROR(__xludf.DUMMYFUNCTION("""COMPUTED_VALUE"""),"CNN-CNA-004")</f>
        <v>CNN-CNA-004</v>
      </c>
      <c r="B834" s="3" t="str">
        <f>IFERROR(__xludf.DUMMYFUNCTION("""COMPUTED_VALUE"""),"Thiết bị cày ngầm 3 trụ")</f>
        <v>Thiết bị cày ngầm 3 trụ</v>
      </c>
      <c r="C834" s="5" t="str">
        <f>IFERROR(__xludf.DUMMYFUNCTION("""COMPUTED_VALUE"""),"CGLĐ LP")</f>
        <v>CGLĐ LP</v>
      </c>
      <c r="D834" s="5" t="str">
        <f>IFERROR(__xludf.DUMMYFUNCTION("""COMPUTED_VALUE"""),"CAMBODIA")</f>
        <v>CAMBODIA</v>
      </c>
      <c r="E834" s="5" t="str">
        <f>IFERROR(__xludf.DUMMYFUNCTION("""COMPUTED_VALUE"""),"3 trụ")</f>
        <v>3 trụ</v>
      </c>
      <c r="F834" s="5"/>
      <c r="G834" s="5"/>
      <c r="H834" s="5" t="str">
        <f>IFERROR(__xludf.DUMMYFUNCTION("""COMPUTED_VALUE"""),"1.4*1.8*1.6")</f>
        <v>1.4*1.8*1.6</v>
      </c>
      <c r="I834" s="5"/>
      <c r="J834" s="5"/>
      <c r="K834" s="5">
        <f>IFERROR(__xludf.DUMMYFUNCTION("""COMPUTED_VALUE"""),13.0)</f>
        <v>13</v>
      </c>
      <c r="L834" s="5" t="str">
        <f>IFERROR(__xludf.DUMMYFUNCTION("""COMPUTED_VALUE"""),"KLH")</f>
        <v>KLH</v>
      </c>
    </row>
    <row r="835">
      <c r="A835" s="168" t="str">
        <f>IFERROR(__xludf.DUMMYFUNCTION("""COMPUTED_VALUE"""),"CNN-CNA-006")</f>
        <v>CNN-CNA-006</v>
      </c>
      <c r="B835" s="3" t="str">
        <f>IFERROR(__xludf.DUMMYFUNCTION("""COMPUTED_VALUE"""),"Thiết bị cày ngầm 3 trụ")</f>
        <v>Thiết bị cày ngầm 3 trụ</v>
      </c>
      <c r="C835" s="5" t="str">
        <f>IFERROR(__xludf.DUMMYFUNCTION("""COMPUTED_VALUE"""),"CGLĐ LP")</f>
        <v>CGLĐ LP</v>
      </c>
      <c r="D835" s="5" t="str">
        <f>IFERROR(__xludf.DUMMYFUNCTION("""COMPUTED_VALUE"""),"THACO AGRI")</f>
        <v>THACO AGRI</v>
      </c>
      <c r="E835" s="5"/>
      <c r="F835" s="5"/>
      <c r="G835" s="5"/>
      <c r="H835" s="5"/>
      <c r="I835" s="5"/>
      <c r="J835" s="5"/>
      <c r="K835" s="5">
        <f>IFERROR(__xludf.DUMMYFUNCTION("""COMPUTED_VALUE"""),13.0)</f>
        <v>13</v>
      </c>
      <c r="L835" s="5" t="str">
        <f>IFERROR(__xludf.DUMMYFUNCTION("""COMPUTED_VALUE"""),"KLH")</f>
        <v>KLH</v>
      </c>
    </row>
    <row r="836">
      <c r="A836" s="168" t="str">
        <f>IFERROR(__xludf.DUMMYFUNCTION("""COMPUTED_VALUE"""),"CNN-CNA-007")</f>
        <v>CNN-CNA-007</v>
      </c>
      <c r="B836" s="3" t="str">
        <f>IFERROR(__xludf.DUMMYFUNCTION("""COMPUTED_VALUE"""),"Thiết bị cày ngầm 3 trụ")</f>
        <v>Thiết bị cày ngầm 3 trụ</v>
      </c>
      <c r="C836" s="5" t="str">
        <f>IFERROR(__xludf.DUMMYFUNCTION("""COMPUTED_VALUE"""),"CGLĐ LP")</f>
        <v>CGLĐ LP</v>
      </c>
      <c r="D836" s="5"/>
      <c r="E836" s="5"/>
      <c r="F836" s="5"/>
      <c r="G836" s="5"/>
      <c r="H836" s="5"/>
      <c r="I836" s="5"/>
      <c r="J836" s="5"/>
      <c r="K836" s="5">
        <f>IFERROR(__xludf.DUMMYFUNCTION("""COMPUTED_VALUE"""),13.0)</f>
        <v>13</v>
      </c>
      <c r="L836" s="5" t="str">
        <f>IFERROR(__xludf.DUMMYFUNCTION("""COMPUTED_VALUE"""),"KLH")</f>
        <v>KLH</v>
      </c>
    </row>
    <row r="837">
      <c r="A837" s="168" t="str">
        <f>IFERROR(__xludf.DUMMYFUNCTION("""COMPUTED_VALUE"""),"CNN-BLT-002")</f>
        <v>CNN-BLT-002</v>
      </c>
      <c r="B837" s="3" t="str">
        <f>IFERROR(__xludf.DUMMYFUNCTION("""COMPUTED_VALUE"""),"Bộ bánh lồng thép")</f>
        <v>Bộ bánh lồng thép</v>
      </c>
      <c r="C837" s="5" t="str">
        <f>IFERROR(__xludf.DUMMYFUNCTION("""COMPUTED_VALUE"""),"CGLĐ LP")</f>
        <v>CGLĐ LP</v>
      </c>
      <c r="D837" s="5" t="str">
        <f>IFERROR(__xludf.DUMMYFUNCTION("""COMPUTED_VALUE"""),"THACO AGRI")</f>
        <v>THACO AGRI</v>
      </c>
      <c r="E837" s="5" t="str">
        <f>IFERROR(__xludf.DUMMYFUNCTION("""COMPUTED_VALUE"""),"JDR100-D150")</f>
        <v>JDR100-D150</v>
      </c>
      <c r="F837" s="5"/>
      <c r="G837" s="5" t="str">
        <f>IFERROR(__xludf.DUMMYFUNCTION("""COMPUTED_VALUE"""),"2024")</f>
        <v>2024</v>
      </c>
      <c r="H837" s="5" t="str">
        <f>IFERROR(__xludf.DUMMYFUNCTION("""COMPUTED_VALUE"""),"Đường kính 1.49xRộng 1.3m/cái")</f>
        <v>Đường kính 1.49xRộng 1.3m/cái</v>
      </c>
      <c r="I837" s="5"/>
      <c r="J837" s="5"/>
      <c r="K837" s="5"/>
      <c r="L837" s="5" t="str">
        <f>IFERROR(__xludf.DUMMYFUNCTION("""COMPUTED_VALUE"""),"KLH")</f>
        <v>KLH</v>
      </c>
    </row>
    <row r="838">
      <c r="A838" s="168" t="str">
        <f>IFERROR(__xludf.DUMMYFUNCTION("""COMPUTED_VALUE"""),"CNN-BLT-003")</f>
        <v>CNN-BLT-003</v>
      </c>
      <c r="B838" s="3" t="str">
        <f>IFERROR(__xludf.DUMMYFUNCTION("""COMPUTED_VALUE"""),"Bộ bánh lồng thép")</f>
        <v>Bộ bánh lồng thép</v>
      </c>
      <c r="C838" s="5" t="str">
        <f>IFERROR(__xludf.DUMMYFUNCTION("""COMPUTED_VALUE"""),"CGLĐ LP")</f>
        <v>CGLĐ LP</v>
      </c>
      <c r="D838" s="5" t="str">
        <f>IFERROR(__xludf.DUMMYFUNCTION("""COMPUTED_VALUE"""),"THACO AGRI")</f>
        <v>THACO AGRI</v>
      </c>
      <c r="E838" s="5" t="str">
        <f>IFERROR(__xludf.DUMMYFUNCTION("""COMPUTED_VALUE"""),"FDR100-D150")</f>
        <v>FDR100-D150</v>
      </c>
      <c r="F838" s="5"/>
      <c r="G838" s="5" t="str">
        <f>IFERROR(__xludf.DUMMYFUNCTION("""COMPUTED_VALUE"""),"2024")</f>
        <v>2024</v>
      </c>
      <c r="H838" s="5" t="str">
        <f>IFERROR(__xludf.DUMMYFUNCTION("""COMPUTED_VALUE"""),"Đường kính 1.49xRộng 1.1m/cái")</f>
        <v>Đường kính 1.49xRộng 1.1m/cái</v>
      </c>
      <c r="I838" s="5"/>
      <c r="J838" s="5"/>
      <c r="K838" s="5"/>
      <c r="L838" s="5" t="str">
        <f>IFERROR(__xludf.DUMMYFUNCTION("""COMPUTED_VALUE"""),"KLH")</f>
        <v>KLH</v>
      </c>
    </row>
    <row r="839">
      <c r="A839" s="168" t="str">
        <f>IFERROR(__xludf.DUMMYFUNCTION("""COMPUTED_VALUE"""),"CNN-BUA-016")</f>
        <v>CNN-BUA-016</v>
      </c>
      <c r="B839" s="3" t="str">
        <f>IFERROR(__xludf.DUMMYFUNCTION("""COMPUTED_VALUE"""),"Thiết bị bừa 30 chảo")</f>
        <v>Thiết bị bừa 30 chảo</v>
      </c>
      <c r="C839" s="5" t="str">
        <f>IFERROR(__xludf.DUMMYFUNCTION("""COMPUTED_VALUE"""),"CGLĐ LP")</f>
        <v>CGLĐ LP</v>
      </c>
      <c r="D839" s="5" t="str">
        <f>IFERROR(__xludf.DUMMYFUNCTION("""COMPUTED_VALUE"""),"INRODA")</f>
        <v>INRODA</v>
      </c>
      <c r="E839" s="5" t="str">
        <f>IFERROR(__xludf.DUMMYFUNCTION("""COMPUTED_VALUE"""),"GASP24235")</f>
        <v>GASP24235</v>
      </c>
      <c r="F839" s="5"/>
      <c r="G839" s="5" t="str">
        <f>IFERROR(__xludf.DUMMYFUNCTION("""COMPUTED_VALUE"""),"2024")</f>
        <v>2024</v>
      </c>
      <c r="H839" s="5"/>
      <c r="I839" s="5" t="str">
        <f>IFERROR(__xludf.DUMMYFUNCTION("""COMPUTED_VALUE"""),"3453783")</f>
        <v>3453783</v>
      </c>
      <c r="J839" s="5"/>
      <c r="K839" s="5"/>
      <c r="L839" s="5" t="str">
        <f>IFERROR(__xludf.DUMMYFUNCTION("""COMPUTED_VALUE"""),"KLH")</f>
        <v>KLH</v>
      </c>
    </row>
    <row r="840">
      <c r="A840" s="168" t="str">
        <f>IFERROR(__xludf.DUMMYFUNCTION("""COMPUTED_VALUE"""),"CNN-DUL-001")</f>
        <v>CNN-DUL-001</v>
      </c>
      <c r="B840" s="3" t="str">
        <f>IFERROR(__xludf.DUMMYFUNCTION("""COMPUTED_VALUE"""),"Thiết bị úp luống 6 chảo đôi")</f>
        <v>Thiết bị úp luống 6 chảo đôi</v>
      </c>
      <c r="C840" s="5" t="str">
        <f>IFERROR(__xludf.DUMMYFUNCTION("""COMPUTED_VALUE"""),"CGLĐ LP")</f>
        <v>CGLĐ LP</v>
      </c>
      <c r="D840" s="5" t="str">
        <f>IFERROR(__xludf.DUMMYFUNCTION("""COMPUTED_VALUE"""),"THACO AGRI")</f>
        <v>THACO AGRI</v>
      </c>
      <c r="E840" s="5" t="str">
        <f>IFERROR(__xludf.DUMMYFUNCTION("""COMPUTED_VALUE"""),"CK-DUL-01")</f>
        <v>CK-DUL-01</v>
      </c>
      <c r="F840" s="5"/>
      <c r="G840" s="5" t="str">
        <f>IFERROR(__xludf.DUMMYFUNCTION("""COMPUTED_VALUE"""),"2024")</f>
        <v>2024</v>
      </c>
      <c r="H840" s="5"/>
      <c r="I840" s="5"/>
      <c r="J840" s="5"/>
      <c r="K840" s="5">
        <f>IFERROR(__xludf.DUMMYFUNCTION("""COMPUTED_VALUE"""),9.5)</f>
        <v>9.5</v>
      </c>
      <c r="L840" s="5" t="str">
        <f>IFERROR(__xludf.DUMMYFUNCTION("""COMPUTED_VALUE"""),"KLH")</f>
        <v>KLH</v>
      </c>
    </row>
    <row r="841">
      <c r="A841" s="168" t="str">
        <f>IFERROR(__xludf.DUMMYFUNCTION("""COMPUTED_VALUE"""),"CNN-C1B-002")</f>
        <v>CNN-C1B-002</v>
      </c>
      <c r="B841" s="3" t="str">
        <f>IFERROR(__xludf.DUMMYFUNCTION("""COMPUTED_VALUE"""),"Thiết bị cắt cỏ 1 bên ")</f>
        <v>Thiết bị cắt cỏ 1 bên </v>
      </c>
      <c r="C841" s="5" t="str">
        <f>IFERROR(__xludf.DUMMYFUNCTION("""COMPUTED_VALUE"""),"CGLĐ LP")</f>
        <v>CGLĐ LP</v>
      </c>
      <c r="D841" s="5" t="str">
        <f>IFERROR(__xludf.DUMMYFUNCTION("""COMPUTED_VALUE"""),"GATTINI")</f>
        <v>GATTINI</v>
      </c>
      <c r="E841" s="5" t="str">
        <f>IFERROR(__xludf.DUMMYFUNCTION("""COMPUTED_VALUE"""),"Flail Mower 1800mm")</f>
        <v>Flail Mower 1800mm</v>
      </c>
      <c r="F841" s="5"/>
      <c r="G841" s="5" t="str">
        <f>IFERROR(__xludf.DUMMYFUNCTION("""COMPUTED_VALUE"""),"2024")</f>
        <v>2024</v>
      </c>
      <c r="H841" s="5"/>
      <c r="I841" s="5" t="str">
        <f>IFERROR(__xludf.DUMMYFUNCTION("""COMPUTED_VALUE"""),"202400390003")</f>
        <v>202400390003</v>
      </c>
      <c r="J841" s="5"/>
      <c r="K841" s="5"/>
      <c r="L841" s="5" t="str">
        <f>IFERROR(__xludf.DUMMYFUNCTION("""COMPUTED_VALUE"""),"KLH")</f>
        <v>KLH</v>
      </c>
    </row>
    <row r="842">
      <c r="A842" s="168" t="str">
        <f>IFERROR(__xludf.DUMMYFUNCTION("""COMPUTED_VALUE"""),"CNN-CCH-015")</f>
        <v>CNN-CCH-015</v>
      </c>
      <c r="B842" s="3" t="str">
        <f>IFERROR(__xludf.DUMMYFUNCTION("""COMPUTED_VALUE"""),"Thiết bị cày 4 chảo")</f>
        <v>Thiết bị cày 4 chảo</v>
      </c>
      <c r="C842" s="5" t="str">
        <f>IFERROR(__xludf.DUMMYFUNCTION("""COMPUTED_VALUE"""),"CGLĐ LP")</f>
        <v>CGLĐ LP</v>
      </c>
      <c r="D842" s="5" t="str">
        <f>IFERROR(__xludf.DUMMYFUNCTION("""COMPUTED_VALUE"""),"KUBOTA")</f>
        <v>KUBOTA</v>
      </c>
      <c r="E842" s="5" t="str">
        <f>IFERROR(__xludf.DUMMYFUNCTION("""COMPUTED_VALUE"""),"4 CHẢO")</f>
        <v>4 CHẢO</v>
      </c>
      <c r="F842" s="5"/>
      <c r="G842" s="5" t="str">
        <f>IFERROR(__xludf.DUMMYFUNCTION("""COMPUTED_VALUE"""),"2025")</f>
        <v>2025</v>
      </c>
      <c r="H842" s="5"/>
      <c r="I842" s="5"/>
      <c r="J842" s="5"/>
      <c r="K842" s="5"/>
      <c r="L842" s="5" t="str">
        <f>IFERROR(__xludf.DUMMYFUNCTION("""COMPUTED_VALUE"""),"KLH")</f>
        <v>KLH</v>
      </c>
    </row>
    <row r="843">
      <c r="A843" s="168" t="str">
        <f>IFERROR(__xludf.DUMMYFUNCTION("""COMPUTED_VALUE"""),"CNN-DTR-003")</f>
        <v>CNN-DTR-003</v>
      </c>
      <c r="B843" s="3" t="str">
        <f>IFERROR(__xludf.DUMMYFUNCTION("""COMPUTED_VALUE"""),"Thiết bị tạo rãnh ống tưới")</f>
        <v>Thiết bị tạo rãnh ống tưới</v>
      </c>
      <c r="C843" s="5" t="str">
        <f>IFERROR(__xludf.DUMMYFUNCTION("""COMPUTED_VALUE"""),"CGLĐ LP")</f>
        <v>CGLĐ LP</v>
      </c>
      <c r="D843" s="5" t="str">
        <f>IFERROR(__xludf.DUMMYFUNCTION("""COMPUTED_VALUE"""),"THACO AGRI")</f>
        <v>THACO AGRI</v>
      </c>
      <c r="E843" s="5" t="str">
        <f>IFERROR(__xludf.DUMMYFUNCTION("""COMPUTED_VALUE"""),"CK-DTR-03")</f>
        <v>CK-DTR-03</v>
      </c>
      <c r="F843" s="5"/>
      <c r="G843" s="5" t="str">
        <f>IFERROR(__xludf.DUMMYFUNCTION("""COMPUTED_VALUE"""),"2025")</f>
        <v>2025</v>
      </c>
      <c r="H843" s="5"/>
      <c r="I843" s="5"/>
      <c r="J843" s="5"/>
      <c r="K843" s="5">
        <f>IFERROR(__xludf.DUMMYFUNCTION("""COMPUTED_VALUE"""),14.0)</f>
        <v>14</v>
      </c>
      <c r="L843" s="5" t="str">
        <f>IFERROR(__xludf.DUMMYFUNCTION("""COMPUTED_VALUE"""),"KLH")</f>
        <v>KLH</v>
      </c>
    </row>
    <row r="844">
      <c r="A844" s="168" t="str">
        <f>IFERROR(__xludf.DUMMYFUNCTION("""COMPUTED_VALUE"""),"CNN-DTR-004")</f>
        <v>CNN-DTR-004</v>
      </c>
      <c r="B844" s="3" t="str">
        <f>IFERROR(__xludf.DUMMYFUNCTION("""COMPUTED_VALUE"""),"Thiết bị tạo rãnh ống tưới")</f>
        <v>Thiết bị tạo rãnh ống tưới</v>
      </c>
      <c r="C844" s="5" t="str">
        <f>IFERROR(__xludf.DUMMYFUNCTION("""COMPUTED_VALUE"""),"CGLĐ LP")</f>
        <v>CGLĐ LP</v>
      </c>
      <c r="D844" s="5" t="str">
        <f>IFERROR(__xludf.DUMMYFUNCTION("""COMPUTED_VALUE"""),"THACO AGRI")</f>
        <v>THACO AGRI</v>
      </c>
      <c r="E844" s="5" t="str">
        <f>IFERROR(__xludf.DUMMYFUNCTION("""COMPUTED_VALUE"""),"CK-DTR-04")</f>
        <v>CK-DTR-04</v>
      </c>
      <c r="F844" s="5"/>
      <c r="G844" s="5" t="str">
        <f>IFERROR(__xludf.DUMMYFUNCTION("""COMPUTED_VALUE"""),"2025")</f>
        <v>2025</v>
      </c>
      <c r="H844" s="5"/>
      <c r="I844" s="5"/>
      <c r="J844" s="5"/>
      <c r="K844" s="5">
        <f>IFERROR(__xludf.DUMMYFUNCTION("""COMPUTED_VALUE"""),14.0)</f>
        <v>14</v>
      </c>
      <c r="L844" s="5" t="str">
        <f>IFERROR(__xludf.DUMMYFUNCTION("""COMPUTED_VALUE"""),"KLH")</f>
        <v>KLH</v>
      </c>
    </row>
    <row r="845">
      <c r="A845" s="168" t="str">
        <f>IFERROR(__xludf.DUMMYFUNCTION("""COMPUTED_VALUE"""),"CNN-DRT-004")</f>
        <v>CNN-DRT-004</v>
      </c>
      <c r="B845" s="3" t="str">
        <f>IFERROR(__xludf.DUMMYFUNCTION("""COMPUTED_VALUE"""),"Thiết bị đào rãnh đặt ống tưới")</f>
        <v>Thiết bị đào rãnh đặt ống tưới</v>
      </c>
      <c r="C845" s="5" t="str">
        <f>IFERROR(__xludf.DUMMYFUNCTION("""COMPUTED_VALUE"""),"CGLĐ LP")</f>
        <v>CGLĐ LP</v>
      </c>
      <c r="D845" s="5" t="str">
        <f>IFERROR(__xludf.DUMMYFUNCTION("""COMPUTED_VALUE"""),"THACO INDUSTRY")</f>
        <v>THACO INDUSTRY</v>
      </c>
      <c r="E845" s="5" t="str">
        <f>IFERROR(__xludf.DUMMYFUNCTION("""COMPUTED_VALUE"""),"Đĩa quay")</f>
        <v>Đĩa quay</v>
      </c>
      <c r="F845" s="5"/>
      <c r="G845" s="5" t="str">
        <f>IFERROR(__xludf.DUMMYFUNCTION("""COMPUTED_VALUE"""),"2025")</f>
        <v>2025</v>
      </c>
      <c r="H845" s="5"/>
      <c r="I845" s="5" t="str">
        <f>IFERROR(__xludf.DUMMYFUNCTION("""COMPUTED_VALUE"""),"DTR3")</f>
        <v>DTR3</v>
      </c>
      <c r="J845" s="5"/>
      <c r="K845" s="5"/>
      <c r="L845" s="5" t="str">
        <f>IFERROR(__xludf.DUMMYFUNCTION("""COMPUTED_VALUE"""),"KLH")</f>
        <v>KLH</v>
      </c>
    </row>
    <row r="846">
      <c r="A846" s="168" t="str">
        <f>IFERROR(__xludf.DUMMYFUNCTION("""COMPUTED_VALUE"""),"CNN-DRT-005")</f>
        <v>CNN-DRT-005</v>
      </c>
      <c r="B846" s="3" t="str">
        <f>IFERROR(__xludf.DUMMYFUNCTION("""COMPUTED_VALUE"""),"Thiết bị đào rãnh đặt ống tưới")</f>
        <v>Thiết bị đào rãnh đặt ống tưới</v>
      </c>
      <c r="C846" s="5" t="str">
        <f>IFERROR(__xludf.DUMMYFUNCTION("""COMPUTED_VALUE"""),"CGLĐ LP")</f>
        <v>CGLĐ LP</v>
      </c>
      <c r="D846" s="5" t="str">
        <f>IFERROR(__xludf.DUMMYFUNCTION("""COMPUTED_VALUE"""),"THACO INDUSTRY")</f>
        <v>THACO INDUSTRY</v>
      </c>
      <c r="E846" s="5" t="str">
        <f>IFERROR(__xludf.DUMMYFUNCTION("""COMPUTED_VALUE"""),"Đĩa quay")</f>
        <v>Đĩa quay</v>
      </c>
      <c r="F846" s="5"/>
      <c r="G846" s="5" t="str">
        <f>IFERROR(__xludf.DUMMYFUNCTION("""COMPUTED_VALUE"""),"2025")</f>
        <v>2025</v>
      </c>
      <c r="H846" s="5"/>
      <c r="I846" s="5" t="str">
        <f>IFERROR(__xludf.DUMMYFUNCTION("""COMPUTED_VALUE"""),"DTR5")</f>
        <v>DTR5</v>
      </c>
      <c r="J846" s="5"/>
      <c r="K846" s="5"/>
      <c r="L846" s="5" t="str">
        <f>IFERROR(__xludf.DUMMYFUNCTION("""COMPUTED_VALUE"""),"KLH")</f>
        <v>KLH</v>
      </c>
    </row>
    <row r="847">
      <c r="A847" s="168" t="str">
        <f>IFERROR(__xludf.DUMMYFUNCTION("""COMPUTED_VALUE"""),"CNN-RTC-003")</f>
        <v>CNN-RTC-003</v>
      </c>
      <c r="B847" s="3" t="str">
        <f>IFERROR(__xludf.DUMMYFUNCTION("""COMPUTED_VALUE"""),"Thiết bị rạch luống trồng chuối")</f>
        <v>Thiết bị rạch luống trồng chuối</v>
      </c>
      <c r="C847" s="5" t="str">
        <f>IFERROR(__xludf.DUMMYFUNCTION("""COMPUTED_VALUE"""),"CGLĐ LP")</f>
        <v>CGLĐ LP</v>
      </c>
      <c r="D847" s="5" t="str">
        <f>IFERROR(__xludf.DUMMYFUNCTION("""COMPUTED_VALUE"""),"THACO AGRI")</f>
        <v>THACO AGRI</v>
      </c>
      <c r="E847" s="5" t="str">
        <f>IFERROR(__xludf.DUMMYFUNCTION("""COMPUTED_VALUE"""),"CK-DTC-03")</f>
        <v>CK-DTC-03</v>
      </c>
      <c r="F847" s="5"/>
      <c r="G847" s="5" t="str">
        <f>IFERROR(__xludf.DUMMYFUNCTION("""COMPUTED_VALUE"""),"2025")</f>
        <v>2025</v>
      </c>
      <c r="H847" s="5"/>
      <c r="I847" s="5"/>
      <c r="J847" s="5"/>
      <c r="K847" s="5">
        <f>IFERROR(__xludf.DUMMYFUNCTION("""COMPUTED_VALUE"""),6.5)</f>
        <v>6.5</v>
      </c>
      <c r="L847" s="5" t="str">
        <f>IFERROR(__xludf.DUMMYFUNCTION("""COMPUTED_VALUE"""),"KLH")</f>
        <v>KLH</v>
      </c>
    </row>
    <row r="848">
      <c r="A848" s="168" t="str">
        <f>IFERROR(__xludf.DUMMYFUNCTION("""COMPUTED_VALUE"""),"CNN-DRP-003")</f>
        <v>CNN-DRP-003</v>
      </c>
      <c r="B848" s="3" t="str">
        <f>IFERROR(__xludf.DUMMYFUNCTION("""COMPUTED_VALUE"""),"Dàn rải phân (10m3)")</f>
        <v>Dàn rải phân (10m3)</v>
      </c>
      <c r="C848" s="5" t="str">
        <f>IFERROR(__xludf.DUMMYFUNCTION("""COMPUTED_VALUE"""),"CGLĐ LP")</f>
        <v>CGLĐ LP</v>
      </c>
      <c r="D848" s="5" t="str">
        <f>IFERROR(__xludf.DUMMYFUNCTION("""COMPUTED_VALUE"""),"THACO INDUSTRIES")</f>
        <v>THACO INDUSTRIES</v>
      </c>
      <c r="E848" s="5"/>
      <c r="F848" s="5"/>
      <c r="G848" s="5" t="str">
        <f>IFERROR(__xludf.DUMMYFUNCTION("""COMPUTED_VALUE"""),"2025")</f>
        <v>2025</v>
      </c>
      <c r="H848" s="5" t="str">
        <f>IFERROR(__xludf.DUMMYFUNCTION("""COMPUTED_VALUE"""),"RMFNUU109ASC001753")</f>
        <v>RMFNUU109ASC001753</v>
      </c>
      <c r="I848" s="5" t="str">
        <f>IFERROR(__xludf.DUMMYFUNCTION("""COMPUTED_VALUE"""),"14")</f>
        <v>14</v>
      </c>
      <c r="J848" s="5"/>
      <c r="K848" s="5">
        <f>IFERROR(__xludf.DUMMYFUNCTION("""COMPUTED_VALUE"""),3.5)</f>
        <v>3.5</v>
      </c>
      <c r="L848" s="5" t="str">
        <f>IFERROR(__xludf.DUMMYFUNCTION("""COMPUTED_VALUE"""),"KLH")</f>
        <v>KLH</v>
      </c>
    </row>
    <row r="849">
      <c r="A849" s="168" t="str">
        <f>IFERROR(__xludf.DUMMYFUNCTION("""COMPUTED_VALUE"""),"Cơ giới làm đất XNB")</f>
        <v>Cơ giới làm đất XNB</v>
      </c>
      <c r="B849" s="3"/>
      <c r="C849" s="5"/>
      <c r="D849" s="5"/>
      <c r="E849" s="5"/>
      <c r="F849" s="5"/>
      <c r="G849" s="5"/>
      <c r="H849" s="5"/>
      <c r="I849" s="5"/>
      <c r="J849" s="5"/>
      <c r="K849" s="5"/>
      <c r="L849" s="5" t="str">
        <f>IFERROR(__xludf.DUMMYFUNCTION("""COMPUTED_VALUE"""),"KLH")</f>
        <v>KLH</v>
      </c>
    </row>
    <row r="850">
      <c r="A850" s="168" t="str">
        <f>IFERROR(__xludf.DUMMYFUNCTION("""COMPUTED_VALUE"""),"CNN-CCH-007")</f>
        <v>CNN-CCH-007</v>
      </c>
      <c r="B850" s="3" t="str">
        <f>IFERROR(__xludf.DUMMYFUNCTION("""COMPUTED_VALUE"""),"Thiết Bị Cày 3 Chảo")</f>
        <v>Thiết Bị Cày 3 Chảo</v>
      </c>
      <c r="C850" s="5" t="str">
        <f>IFERROR(__xludf.DUMMYFUNCTION("""COMPUTED_VALUE"""),"XN Bò AD")</f>
        <v>XN Bò AD</v>
      </c>
      <c r="D850" s="5" t="str">
        <f>IFERROR(__xludf.DUMMYFUNCTION("""COMPUTED_VALUE"""),"CAMBODIA")</f>
        <v>CAMBODIA</v>
      </c>
      <c r="E850" s="5" t="str">
        <f>IFERROR(__xludf.DUMMYFUNCTION("""COMPUTED_VALUE"""),"3 chảo")</f>
        <v>3 chảo</v>
      </c>
      <c r="F850" s="5"/>
      <c r="G850" s="5"/>
      <c r="H850" s="5"/>
      <c r="I850" s="5"/>
      <c r="J850" s="5"/>
      <c r="K850" s="5"/>
      <c r="L850" s="5" t="str">
        <f>IFERROR(__xludf.DUMMYFUNCTION("""COMPUTED_VALUE"""),"KLH")</f>
        <v>KLH</v>
      </c>
    </row>
    <row r="851">
      <c r="A851" s="168" t="str">
        <f>IFERROR(__xludf.DUMMYFUNCTION("""COMPUTED_VALUE"""),"CNN-CCH-008")</f>
        <v>CNN-CCH-008</v>
      </c>
      <c r="B851" s="3" t="str">
        <f>IFERROR(__xludf.DUMMYFUNCTION("""COMPUTED_VALUE"""),"Thiết Bị Cày 3 Chảo")</f>
        <v>Thiết Bị Cày 3 Chảo</v>
      </c>
      <c r="C851" s="5" t="str">
        <f>IFERROR(__xludf.DUMMYFUNCTION("""COMPUTED_VALUE"""),"XN Bò AD")</f>
        <v>XN Bò AD</v>
      </c>
      <c r="D851" s="5" t="str">
        <f>IFERROR(__xludf.DUMMYFUNCTION("""COMPUTED_VALUE"""),"CAMBODIA")</f>
        <v>CAMBODIA</v>
      </c>
      <c r="E851" s="5" t="str">
        <f>IFERROR(__xludf.DUMMYFUNCTION("""COMPUTED_VALUE"""),"3 chảo")</f>
        <v>3 chảo</v>
      </c>
      <c r="F851" s="5"/>
      <c r="G851" s="5"/>
      <c r="H851" s="5"/>
      <c r="I851" s="5"/>
      <c r="J851" s="5"/>
      <c r="K851" s="5"/>
      <c r="L851" s="5" t="str">
        <f>IFERROR(__xludf.DUMMYFUNCTION("""COMPUTED_VALUE"""),"KLH")</f>
        <v>KLH</v>
      </c>
    </row>
    <row r="852">
      <c r="A852" s="168" t="str">
        <f>IFERROR(__xludf.DUMMYFUNCTION("""COMPUTED_VALUE"""),"CNN-CCH-009")</f>
        <v>CNN-CCH-009</v>
      </c>
      <c r="B852" s="3" t="str">
        <f>IFERROR(__xludf.DUMMYFUNCTION("""COMPUTED_VALUE"""),"Thiết Bị Cày 3 Chảo")</f>
        <v>Thiết Bị Cày 3 Chảo</v>
      </c>
      <c r="C852" s="5" t="str">
        <f>IFERROR(__xludf.DUMMYFUNCTION("""COMPUTED_VALUE"""),"XN Bò AD")</f>
        <v>XN Bò AD</v>
      </c>
      <c r="D852" s="5" t="str">
        <f>IFERROR(__xludf.DUMMYFUNCTION("""COMPUTED_VALUE"""),"CAMBODIA")</f>
        <v>CAMBODIA</v>
      </c>
      <c r="E852" s="5" t="str">
        <f>IFERROR(__xludf.DUMMYFUNCTION("""COMPUTED_VALUE"""),"3 chảo")</f>
        <v>3 chảo</v>
      </c>
      <c r="F852" s="5"/>
      <c r="G852" s="5"/>
      <c r="H852" s="5"/>
      <c r="I852" s="5"/>
      <c r="J852" s="5"/>
      <c r="K852" s="5"/>
      <c r="L852" s="5" t="str">
        <f>IFERROR(__xludf.DUMMYFUNCTION("""COMPUTED_VALUE"""),"KLH")</f>
        <v>KLH</v>
      </c>
    </row>
    <row r="853">
      <c r="A853" s="168" t="str">
        <f>IFERROR(__xludf.DUMMYFUNCTION("""COMPUTED_VALUE"""),"CNN-CCH-010")</f>
        <v>CNN-CCH-010</v>
      </c>
      <c r="B853" s="3" t="str">
        <f>IFERROR(__xludf.DUMMYFUNCTION("""COMPUTED_VALUE"""),"Thiết Bị Cày 3 Chảo")</f>
        <v>Thiết Bị Cày 3 Chảo</v>
      </c>
      <c r="C853" s="5" t="str">
        <f>IFERROR(__xludf.DUMMYFUNCTION("""COMPUTED_VALUE"""),"XN Bò AD")</f>
        <v>XN Bò AD</v>
      </c>
      <c r="D853" s="5" t="str">
        <f>IFERROR(__xludf.DUMMYFUNCTION("""COMPUTED_VALUE"""),"CAMBODIA")</f>
        <v>CAMBODIA</v>
      </c>
      <c r="E853" s="5" t="str">
        <f>IFERROR(__xludf.DUMMYFUNCTION("""COMPUTED_VALUE"""),"3 chảo")</f>
        <v>3 chảo</v>
      </c>
      <c r="F853" s="5"/>
      <c r="G853" s="5"/>
      <c r="H853" s="5"/>
      <c r="I853" s="5"/>
      <c r="J853" s="5"/>
      <c r="K853" s="5"/>
      <c r="L853" s="5" t="str">
        <f>IFERROR(__xludf.DUMMYFUNCTION("""COMPUTED_VALUE"""),"KLH")</f>
        <v>KLH</v>
      </c>
    </row>
    <row r="854">
      <c r="A854" s="168" t="str">
        <f>IFERROR(__xludf.DUMMYFUNCTION("""COMPUTED_VALUE"""),"CNN-CCH-011")</f>
        <v>CNN-CCH-011</v>
      </c>
      <c r="B854" s="3" t="str">
        <f>IFERROR(__xludf.DUMMYFUNCTION("""COMPUTED_VALUE"""),"Thiết Bị Cày 3 Chảo")</f>
        <v>Thiết Bị Cày 3 Chảo</v>
      </c>
      <c r="C854" s="5" t="str">
        <f>IFERROR(__xludf.DUMMYFUNCTION("""COMPUTED_VALUE"""),"XN Bò AD")</f>
        <v>XN Bò AD</v>
      </c>
      <c r="D854" s="5" t="str">
        <f>IFERROR(__xludf.DUMMYFUNCTION("""COMPUTED_VALUE"""),"CAMBODIA")</f>
        <v>CAMBODIA</v>
      </c>
      <c r="E854" s="5" t="str">
        <f>IFERROR(__xludf.DUMMYFUNCTION("""COMPUTED_VALUE"""),"3 chảo")</f>
        <v>3 chảo</v>
      </c>
      <c r="F854" s="5"/>
      <c r="G854" s="5"/>
      <c r="H854" s="5"/>
      <c r="I854" s="5"/>
      <c r="J854" s="5"/>
      <c r="K854" s="5"/>
      <c r="L854" s="5" t="str">
        <f>IFERROR(__xludf.DUMMYFUNCTION("""COMPUTED_VALUE"""),"KLH")</f>
        <v>KLH</v>
      </c>
    </row>
    <row r="855">
      <c r="A855" s="168" t="str">
        <f>IFERROR(__xludf.DUMMYFUNCTION("""COMPUTED_VALUE"""),"CNN-BUA-008")</f>
        <v>CNN-BUA-008</v>
      </c>
      <c r="B855" s="3" t="str">
        <f>IFERROR(__xludf.DUMMYFUNCTION("""COMPUTED_VALUE"""),"Thiết bị bừa 8 chảo")</f>
        <v>Thiết bị bừa 8 chảo</v>
      </c>
      <c r="C855" s="5" t="str">
        <f>IFERROR(__xludf.DUMMYFUNCTION("""COMPUTED_VALUE"""),"XN Bò AD")</f>
        <v>XN Bò AD</v>
      </c>
      <c r="D855" s="5" t="str">
        <f>IFERROR(__xludf.DUMMYFUNCTION("""COMPUTED_VALUE"""),"CAMBODIA")</f>
        <v>CAMBODIA</v>
      </c>
      <c r="E855" s="5" t="str">
        <f>IFERROR(__xludf.DUMMYFUNCTION("""COMPUTED_VALUE"""),"8 chảo")</f>
        <v>8 chảo</v>
      </c>
      <c r="F855" s="5"/>
      <c r="G855" s="5"/>
      <c r="H855" s="5"/>
      <c r="I855" s="5"/>
      <c r="J855" s="5"/>
      <c r="K855" s="5"/>
      <c r="L855" s="5" t="str">
        <f>IFERROR(__xludf.DUMMYFUNCTION("""COMPUTED_VALUE"""),"KLH")</f>
        <v>KLH</v>
      </c>
    </row>
    <row r="856">
      <c r="A856" s="168" t="str">
        <f>IFERROR(__xludf.DUMMYFUNCTION("""COMPUTED_VALUE"""),"CNN-BUA-009")</f>
        <v>CNN-BUA-009</v>
      </c>
      <c r="B856" s="3" t="str">
        <f>IFERROR(__xludf.DUMMYFUNCTION("""COMPUTED_VALUE"""),"Thiết bị bừa 8 chảo")</f>
        <v>Thiết bị bừa 8 chảo</v>
      </c>
      <c r="C856" s="5" t="str">
        <f>IFERROR(__xludf.DUMMYFUNCTION("""COMPUTED_VALUE"""),"XN Bò AD")</f>
        <v>XN Bò AD</v>
      </c>
      <c r="D856" s="5" t="str">
        <f>IFERROR(__xludf.DUMMYFUNCTION("""COMPUTED_VALUE"""),"CAMBODIA")</f>
        <v>CAMBODIA</v>
      </c>
      <c r="E856" s="5" t="str">
        <f>IFERROR(__xludf.DUMMYFUNCTION("""COMPUTED_VALUE"""),"8 chảo")</f>
        <v>8 chảo</v>
      </c>
      <c r="F856" s="5"/>
      <c r="G856" s="5"/>
      <c r="H856" s="5"/>
      <c r="I856" s="5"/>
      <c r="J856" s="5"/>
      <c r="K856" s="5"/>
      <c r="L856" s="5" t="str">
        <f>IFERROR(__xludf.DUMMYFUNCTION("""COMPUTED_VALUE"""),"KLH")</f>
        <v>KLH</v>
      </c>
    </row>
    <row r="857">
      <c r="A857" s="168" t="str">
        <f>IFERROR(__xludf.DUMMYFUNCTION("""COMPUTED_VALUE"""),"CNN-BUA-010")</f>
        <v>CNN-BUA-010</v>
      </c>
      <c r="B857" s="3" t="str">
        <f>IFERROR(__xludf.DUMMYFUNCTION("""COMPUTED_VALUE"""),"Thiết bị bừa 7 chảo")</f>
        <v>Thiết bị bừa 7 chảo</v>
      </c>
      <c r="C857" s="5" t="str">
        <f>IFERROR(__xludf.DUMMYFUNCTION("""COMPUTED_VALUE"""),"XN Bò AD")</f>
        <v>XN Bò AD</v>
      </c>
      <c r="D857" s="5" t="str">
        <f>IFERROR(__xludf.DUMMYFUNCTION("""COMPUTED_VALUE"""),"CAMBODIA")</f>
        <v>CAMBODIA</v>
      </c>
      <c r="E857" s="5" t="str">
        <f>IFERROR(__xludf.DUMMYFUNCTION("""COMPUTED_VALUE"""),"7 chảo")</f>
        <v>7 chảo</v>
      </c>
      <c r="F857" s="5"/>
      <c r="G857" s="5"/>
      <c r="H857" s="5"/>
      <c r="I857" s="5"/>
      <c r="J857" s="5"/>
      <c r="K857" s="5"/>
      <c r="L857" s="5" t="str">
        <f>IFERROR(__xludf.DUMMYFUNCTION("""COMPUTED_VALUE"""),"KLH")</f>
        <v>KLH</v>
      </c>
    </row>
    <row r="858">
      <c r="A858" s="168" t="str">
        <f>IFERROR(__xludf.DUMMYFUNCTION("""COMPUTED_VALUE"""),"CNN-BUA-013")</f>
        <v>CNN-BUA-013</v>
      </c>
      <c r="B858" s="3" t="str">
        <f>IFERROR(__xludf.DUMMYFUNCTION("""COMPUTED_VALUE"""),"Thiết bị bừa 36 chảo")</f>
        <v>Thiết bị bừa 36 chảo</v>
      </c>
      <c r="C858" s="5" t="str">
        <f>IFERROR(__xludf.DUMMYFUNCTION("""COMPUTED_VALUE"""),"XN Bò AD")</f>
        <v>XN Bò AD</v>
      </c>
      <c r="D858" s="5" t="str">
        <f>IFERROR(__xludf.DUMMYFUNCTION("""COMPUTED_VALUE"""),"CAMBODIA")</f>
        <v>CAMBODIA</v>
      </c>
      <c r="E858" s="5" t="str">
        <f>IFERROR(__xludf.DUMMYFUNCTION("""COMPUTED_VALUE"""),"36 chảo")</f>
        <v>36 chảo</v>
      </c>
      <c r="F858" s="5"/>
      <c r="G858" s="5"/>
      <c r="H858" s="5"/>
      <c r="I858" s="5"/>
      <c r="J858" s="5"/>
      <c r="K858" s="5"/>
      <c r="L858" s="5" t="str">
        <f>IFERROR(__xludf.DUMMYFUNCTION("""COMPUTED_VALUE"""),"KLH")</f>
        <v>KLH</v>
      </c>
    </row>
    <row r="859">
      <c r="A859" s="168" t="str">
        <f>IFERROR(__xludf.DUMMYFUNCTION("""COMPUTED_VALUE"""),"CNN-XOI-006")</f>
        <v>CNN-XOI-006</v>
      </c>
      <c r="B859" s="3" t="str">
        <f>IFERROR(__xludf.DUMMYFUNCTION("""COMPUTED_VALUE"""),"Thiết bị xới đất 2.2m")</f>
        <v>Thiết bị xới đất 2.2m</v>
      </c>
      <c r="C859" s="5" t="str">
        <f>IFERROR(__xludf.DUMMYFUNCTION("""COMPUTED_VALUE"""),"XN Bò AD")</f>
        <v>XN Bò AD</v>
      </c>
      <c r="D859" s="5" t="str">
        <f>IFERROR(__xludf.DUMMYFUNCTION("""COMPUTED_VALUE"""),"CAMBODIA")</f>
        <v>CAMBODIA</v>
      </c>
      <c r="E859" s="5" t="str">
        <f>IFERROR(__xludf.DUMMYFUNCTION("""COMPUTED_VALUE"""),"2.2m")</f>
        <v>2.2m</v>
      </c>
      <c r="F859" s="5"/>
      <c r="G859" s="5"/>
      <c r="H859" s="5"/>
      <c r="I859" s="5"/>
      <c r="J859" s="5"/>
      <c r="K859" s="5"/>
      <c r="L859" s="5" t="str">
        <f>IFERROR(__xludf.DUMMYFUNCTION("""COMPUTED_VALUE"""),"KLH")</f>
        <v>KLH</v>
      </c>
    </row>
    <row r="860">
      <c r="A860" s="168" t="str">
        <f>IFERROR(__xludf.DUMMYFUNCTION("""COMPUTED_VALUE"""),"CNN-RVO-004")</f>
        <v>CNN-RVO-004</v>
      </c>
      <c r="B860" s="3" t="str">
        <f>IFERROR(__xludf.DUMMYFUNCTION("""COMPUTED_VALUE"""),"Thiết bị phun vôi/rải vô cơ")</f>
        <v>Thiết bị phun vôi/rải vô cơ</v>
      </c>
      <c r="C860" s="5" t="str">
        <f>IFERROR(__xludf.DUMMYFUNCTION("""COMPUTED_VALUE"""),"XN Bò AD")</f>
        <v>XN Bò AD</v>
      </c>
      <c r="D860" s="5" t="str">
        <f>IFERROR(__xludf.DUMMYFUNCTION("""COMPUTED_VALUE"""),"CAMBODIA")</f>
        <v>CAMBODIA</v>
      </c>
      <c r="E860" s="5"/>
      <c r="F860" s="5"/>
      <c r="G860" s="5"/>
      <c r="H860" s="5"/>
      <c r="I860" s="5"/>
      <c r="J860" s="5"/>
      <c r="K860" s="5"/>
      <c r="L860" s="5" t="str">
        <f>IFERROR(__xludf.DUMMYFUNCTION("""COMPUTED_VALUE"""),"KLH")</f>
        <v>KLH</v>
      </c>
    </row>
    <row r="861">
      <c r="A861" s="168" t="str">
        <f>IFERROR(__xludf.DUMMYFUNCTION("""COMPUTED_VALUE"""),"CNN-VMU-003")</f>
        <v>CNN-VMU-003</v>
      </c>
      <c r="B861" s="3" t="str">
        <f>IFERROR(__xludf.DUMMYFUNCTION("""COMPUTED_VALUE"""),"Thiết bị đào mương DBR 75/32-540")</f>
        <v>Thiết bị đào mương DBR 75/32-540</v>
      </c>
      <c r="C861" s="5" t="str">
        <f>IFERROR(__xludf.DUMMYFUNCTION("""COMPUTED_VALUE"""),"XN Bò AD")</f>
        <v>XN Bò AD</v>
      </c>
      <c r="D861" s="5" t="str">
        <f>IFERROR(__xludf.DUMMYFUNCTION("""COMPUTED_VALUE"""),"CAMBODIA")</f>
        <v>CAMBODIA</v>
      </c>
      <c r="E861" s="5" t="str">
        <f>IFERROR(__xludf.DUMMYFUNCTION("""COMPUTED_VALUE"""),"DBR")</f>
        <v>DBR</v>
      </c>
      <c r="F861" s="5"/>
      <c r="G861" s="5"/>
      <c r="H861" s="5"/>
      <c r="I861" s="5"/>
      <c r="J861" s="5"/>
      <c r="K861" s="5"/>
      <c r="L861" s="5" t="str">
        <f>IFERROR(__xludf.DUMMYFUNCTION("""COMPUTED_VALUE"""),"KLH")</f>
        <v>KLH</v>
      </c>
    </row>
    <row r="862">
      <c r="A862" s="168" t="str">
        <f>IFERROR(__xludf.DUMMYFUNCTION("""COMPUTED_VALUE"""),"CNN-VMU-004")</f>
        <v>CNN-VMU-004</v>
      </c>
      <c r="B862" s="3" t="str">
        <f>IFERROR(__xludf.DUMMYFUNCTION("""COMPUTED_VALUE"""),"Thiết bị đào mương DBR 75/32-540")</f>
        <v>Thiết bị đào mương DBR 75/32-540</v>
      </c>
      <c r="C862" s="5" t="str">
        <f>IFERROR(__xludf.DUMMYFUNCTION("""COMPUTED_VALUE"""),"XN Bò AD")</f>
        <v>XN Bò AD</v>
      </c>
      <c r="D862" s="5" t="str">
        <f>IFERROR(__xludf.DUMMYFUNCTION("""COMPUTED_VALUE"""),"CAMBODIA")</f>
        <v>CAMBODIA</v>
      </c>
      <c r="E862" s="5" t="str">
        <f>IFERROR(__xludf.DUMMYFUNCTION("""COMPUTED_VALUE"""),"DBR")</f>
        <v>DBR</v>
      </c>
      <c r="F862" s="5"/>
      <c r="G862" s="5"/>
      <c r="H862" s="5"/>
      <c r="I862" s="5"/>
      <c r="J862" s="5"/>
      <c r="K862" s="5"/>
      <c r="L862" s="5" t="str">
        <f>IFERROR(__xludf.DUMMYFUNCTION("""COMPUTED_VALUE"""),"KLH")</f>
        <v>KLH</v>
      </c>
    </row>
    <row r="863">
      <c r="A863" s="168" t="str">
        <f>IFERROR(__xludf.DUMMYFUNCTION("""COMPUTED_VALUE"""),"CNN-CNA-003")</f>
        <v>CNN-CNA-003</v>
      </c>
      <c r="B863" s="3" t="str">
        <f>IFERROR(__xludf.DUMMYFUNCTION("""COMPUTED_VALUE"""),"Thiết bị cày ngầm 3 trụ")</f>
        <v>Thiết bị cày ngầm 3 trụ</v>
      </c>
      <c r="C863" s="5" t="str">
        <f>IFERROR(__xludf.DUMMYFUNCTION("""COMPUTED_VALUE"""),"XN Bò AD")</f>
        <v>XN Bò AD</v>
      </c>
      <c r="D863" s="5" t="str">
        <f>IFERROR(__xludf.DUMMYFUNCTION("""COMPUTED_VALUE"""),"CAMBODIA")</f>
        <v>CAMBODIA</v>
      </c>
      <c r="E863" s="5" t="str">
        <f>IFERROR(__xludf.DUMMYFUNCTION("""COMPUTED_VALUE"""),"3 trụ")</f>
        <v>3 trụ</v>
      </c>
      <c r="F863" s="5"/>
      <c r="G863" s="5"/>
      <c r="H863" s="5"/>
      <c r="I863" s="5"/>
      <c r="J863" s="5"/>
      <c r="K863" s="5"/>
      <c r="L863" s="5" t="str">
        <f>IFERROR(__xludf.DUMMYFUNCTION("""COMPUTED_VALUE"""),"KLH")</f>
        <v>KLH</v>
      </c>
    </row>
    <row r="864">
      <c r="A864" s="168" t="str">
        <f>IFERROR(__xludf.DUMMYFUNCTION("""COMPUTED_VALUE"""),"CNN-RLT-004")</f>
        <v>CNN-RLT-004</v>
      </c>
      <c r="B864" s="3" t="str">
        <f>IFERROR(__xludf.DUMMYFUNCTION("""COMPUTED_VALUE"""),"Thiết bị rạch định vị hàng trồng 2 lưỡi")</f>
        <v>Thiết bị rạch định vị hàng trồng 2 lưỡi</v>
      </c>
      <c r="C864" s="5" t="str">
        <f>IFERROR(__xludf.DUMMYFUNCTION("""COMPUTED_VALUE"""),"XN Bò AD")</f>
        <v>XN Bò AD</v>
      </c>
      <c r="D864" s="5" t="str">
        <f>IFERROR(__xludf.DUMMYFUNCTION("""COMPUTED_VALUE"""),"CAMBODIA")</f>
        <v>CAMBODIA</v>
      </c>
      <c r="E864" s="5"/>
      <c r="F864" s="5"/>
      <c r="G864" s="5"/>
      <c r="H864" s="5"/>
      <c r="I864" s="5"/>
      <c r="J864" s="5"/>
      <c r="K864" s="5"/>
      <c r="L864" s="5" t="str">
        <f>IFERROR(__xludf.DUMMYFUNCTION("""COMPUTED_VALUE"""),"KLH")</f>
        <v>KLH</v>
      </c>
    </row>
    <row r="865">
      <c r="A865" s="168" t="str">
        <f>IFERROR(__xludf.DUMMYFUNCTION("""COMPUTED_VALUE"""),"CNN-VLU-002")</f>
        <v>CNN-VLU-002</v>
      </c>
      <c r="B865" s="3" t="str">
        <f>IFERROR(__xludf.DUMMYFUNCTION("""COMPUTED_VALUE"""),"Thiết bị lên luống 2 chảo")</f>
        <v>Thiết bị lên luống 2 chảo</v>
      </c>
      <c r="C865" s="5" t="str">
        <f>IFERROR(__xludf.DUMMYFUNCTION("""COMPUTED_VALUE"""),"XN Bò AD")</f>
        <v>XN Bò AD</v>
      </c>
      <c r="D865" s="5" t="str">
        <f>IFERROR(__xludf.DUMMYFUNCTION("""COMPUTED_VALUE"""),"CAMBODIA")</f>
        <v>CAMBODIA</v>
      </c>
      <c r="E865" s="5" t="str">
        <f>IFERROR(__xludf.DUMMYFUNCTION("""COMPUTED_VALUE"""),"2 chảo")</f>
        <v>2 chảo</v>
      </c>
      <c r="F865" s="5"/>
      <c r="G865" s="5"/>
      <c r="H865" s="5"/>
      <c r="I865" s="5"/>
      <c r="J865" s="5"/>
      <c r="K865" s="5"/>
      <c r="L865" s="5" t="str">
        <f>IFERROR(__xludf.DUMMYFUNCTION("""COMPUTED_VALUE"""),"KLH")</f>
        <v>KLH</v>
      </c>
    </row>
    <row r="866">
      <c r="A866" s="168" t="str">
        <f>IFERROR(__xludf.DUMMYFUNCTION("""COMPUTED_VALUE"""),"CNN-VLU-003")</f>
        <v>CNN-VLU-003</v>
      </c>
      <c r="B866" s="3" t="str">
        <f>IFERROR(__xludf.DUMMYFUNCTION("""COMPUTED_VALUE"""),"Thiết bị lên luống dứa")</f>
        <v>Thiết bị lên luống dứa</v>
      </c>
      <c r="C866" s="5" t="str">
        <f>IFERROR(__xludf.DUMMYFUNCTION("""COMPUTED_VALUE"""),"XN Bò AD")</f>
        <v>XN Bò AD</v>
      </c>
      <c r="D866" s="5" t="str">
        <f>IFERROR(__xludf.DUMMYFUNCTION("""COMPUTED_VALUE"""),"CAMBODIA")</f>
        <v>CAMBODIA</v>
      </c>
      <c r="E866" s="5"/>
      <c r="F866" s="5"/>
      <c r="G866" s="5"/>
      <c r="H866" s="5"/>
      <c r="I866" s="5"/>
      <c r="J866" s="5"/>
      <c r="K866" s="5"/>
      <c r="L866" s="5" t="str">
        <f>IFERROR(__xludf.DUMMYFUNCTION("""COMPUTED_VALUE"""),"KLH")</f>
        <v>KLH</v>
      </c>
    </row>
    <row r="867">
      <c r="A867" s="168" t="str">
        <f>IFERROR(__xludf.DUMMYFUNCTION("""COMPUTED_VALUE"""),"CNN-BLC-052")</f>
        <v>CNN-BLC-052</v>
      </c>
      <c r="B867" s="3" t="str">
        <f>IFERROR(__xludf.DUMMYFUNCTION("""COMPUTED_VALUE"""),"Thiết bị trang mặt bằng luống chuối")</f>
        <v>Thiết bị trang mặt bằng luống chuối</v>
      </c>
      <c r="C867" s="5" t="str">
        <f>IFERROR(__xludf.DUMMYFUNCTION("""COMPUTED_VALUE"""),"XN Bò AD")</f>
        <v>XN Bò AD</v>
      </c>
      <c r="D867" s="5" t="str">
        <f>IFERROR(__xludf.DUMMYFUNCTION("""COMPUTED_VALUE"""),"CAMBODIA")</f>
        <v>CAMBODIA</v>
      </c>
      <c r="E867" s="5"/>
      <c r="F867" s="5"/>
      <c r="G867" s="5"/>
      <c r="H867" s="5"/>
      <c r="I867" s="5"/>
      <c r="J867" s="5"/>
      <c r="K867" s="5"/>
      <c r="L867" s="5" t="str">
        <f>IFERROR(__xludf.DUMMYFUNCTION("""COMPUTED_VALUE"""),"KLH")</f>
        <v>KLH</v>
      </c>
    </row>
    <row r="868">
      <c r="A868" s="168" t="str">
        <f>IFERROR(__xludf.DUMMYFUNCTION("""COMPUTED_VALUE"""),"CNN-DRP-002")</f>
        <v>CNN-DRP-002</v>
      </c>
      <c r="B868" s="3" t="str">
        <f>IFERROR(__xludf.DUMMYFUNCTION("""COMPUTED_VALUE"""),"Dàn rải phân (10m3)")</f>
        <v>Dàn rải phân (10m3)</v>
      </c>
      <c r="C868" s="5" t="str">
        <f>IFERROR(__xludf.DUMMYFUNCTION("""COMPUTED_VALUE"""),"XN Bò AD")</f>
        <v>XN Bò AD</v>
      </c>
      <c r="D868" s="5" t="str">
        <f>IFERROR(__xludf.DUMMYFUNCTION("""COMPUTED_VALUE"""),"THACO INDUSTRIES")</f>
        <v>THACO INDUSTRIES</v>
      </c>
      <c r="E868" s="5" t="str">
        <f>IFERROR(__xludf.DUMMYFUNCTION("""COMPUTED_VALUE"""),"10M3")</f>
        <v>10M3</v>
      </c>
      <c r="F868" s="5"/>
      <c r="G868" s="5" t="str">
        <f>IFERROR(__xludf.DUMMYFUNCTION("""COMPUTED_VALUE"""),"2025")</f>
        <v>2025</v>
      </c>
      <c r="H868" s="5"/>
      <c r="I868" s="5" t="str">
        <f>IFERROR(__xludf.DUMMYFUNCTION("""COMPUTED_VALUE"""),"2025-02-13")</f>
        <v>2025-02-13</v>
      </c>
      <c r="J868" s="5"/>
      <c r="K868" s="5"/>
      <c r="L868" s="5" t="str">
        <f>IFERROR(__xludf.DUMMYFUNCTION("""COMPUTED_VALUE"""),"KLH")</f>
        <v>KLH</v>
      </c>
    </row>
    <row r="869">
      <c r="A869" s="168" t="str">
        <f>IFERROR(__xludf.DUMMYFUNCTION("""COMPUTED_VALUE"""),"SẢN XUẤT TRỒNG TRỌT")</f>
        <v>SẢN XUẤT TRỒNG TRỌT</v>
      </c>
      <c r="B869" s="3"/>
      <c r="C869" s="5"/>
      <c r="D869" s="5"/>
      <c r="E869" s="5"/>
      <c r="F869" s="5"/>
      <c r="G869" s="5"/>
      <c r="H869" s="5"/>
      <c r="I869" s="5"/>
      <c r="J869" s="5"/>
      <c r="K869" s="5"/>
      <c r="L869" s="5" t="str">
        <f>IFERROR(__xludf.DUMMYFUNCTION("""COMPUTED_VALUE"""),"KLH")</f>
        <v>KLH</v>
      </c>
    </row>
    <row r="870">
      <c r="A870" s="168" t="str">
        <f>IFERROR(__xludf.DUMMYFUNCTION("""COMPUTED_VALUE"""),"Xí nghiệp chuối DP1")</f>
        <v>Xí nghiệp chuối DP1</v>
      </c>
      <c r="B870" s="3"/>
      <c r="C870" s="5"/>
      <c r="D870" s="5"/>
      <c r="E870" s="5"/>
      <c r="F870" s="5"/>
      <c r="G870" s="5"/>
      <c r="H870" s="5"/>
      <c r="I870" s="5"/>
      <c r="J870" s="5"/>
      <c r="K870" s="5"/>
      <c r="L870" s="5" t="str">
        <f>IFERROR(__xludf.DUMMYFUNCTION("""COMPUTED_VALUE"""),"KLH")</f>
        <v>KLH</v>
      </c>
    </row>
    <row r="871">
      <c r="A871" s="168" t="str">
        <f>IFERROR(__xludf.DUMMYFUNCTION("""COMPUTED_VALUE"""),"XD1-RMC-001")</f>
        <v>XD1-RMC-001</v>
      </c>
      <c r="B871" s="3" t="str">
        <f>IFERROR(__xludf.DUMMYFUNCTION("""COMPUTED_VALUE"""),"Rơ mooc thu hoạch")</f>
        <v>Rơ mooc thu hoạch</v>
      </c>
      <c r="C871" s="5" t="str">
        <f>IFERROR(__xludf.DUMMYFUNCTION("""COMPUTED_VALUE"""),"XN Chuối DP1")</f>
        <v>XN Chuối DP1</v>
      </c>
      <c r="D871" s="5" t="str">
        <f>IFERROR(__xludf.DUMMYFUNCTION("""COMPUTED_VALUE"""),"THACO AGRI")</f>
        <v>THACO AGRI</v>
      </c>
      <c r="E871" s="5"/>
      <c r="F871" s="5"/>
      <c r="G871" s="5"/>
      <c r="H871" s="5"/>
      <c r="I871" s="5" t="str">
        <f>IFERROR(__xludf.DUMMYFUNCTION("""COMPUTED_VALUE"""),"44")</f>
        <v>44</v>
      </c>
      <c r="J871" s="5"/>
      <c r="K871" s="5"/>
      <c r="L871" s="5" t="str">
        <f>IFERROR(__xludf.DUMMYFUNCTION("""COMPUTED_VALUE"""),"KLH")</f>
        <v>KLH</v>
      </c>
    </row>
    <row r="872">
      <c r="A872" s="168" t="str">
        <f>IFERROR(__xludf.DUMMYFUNCTION("""COMPUTED_VALUE"""),"XD1-RMC-002")</f>
        <v>XD1-RMC-002</v>
      </c>
      <c r="B872" s="3" t="str">
        <f>IFERROR(__xludf.DUMMYFUNCTION("""COMPUTED_VALUE"""),"Rơ mooc thu hoạch")</f>
        <v>Rơ mooc thu hoạch</v>
      </c>
      <c r="C872" s="5" t="str">
        <f>IFERROR(__xludf.DUMMYFUNCTION("""COMPUTED_VALUE"""),"XN Chuối DP1")</f>
        <v>XN Chuối DP1</v>
      </c>
      <c r="D872" s="5" t="str">
        <f>IFERROR(__xludf.DUMMYFUNCTION("""COMPUTED_VALUE"""),"THACO AGRI")</f>
        <v>THACO AGRI</v>
      </c>
      <c r="E872" s="5"/>
      <c r="F872" s="5"/>
      <c r="G872" s="5"/>
      <c r="H872" s="5"/>
      <c r="I872" s="5" t="str">
        <f>IFERROR(__xludf.DUMMYFUNCTION("""COMPUTED_VALUE"""),"40")</f>
        <v>40</v>
      </c>
      <c r="J872" s="5"/>
      <c r="K872" s="5"/>
      <c r="L872" s="5" t="str">
        <f>IFERROR(__xludf.DUMMYFUNCTION("""COMPUTED_VALUE"""),"KLH")</f>
        <v>KLH</v>
      </c>
    </row>
    <row r="873">
      <c r="A873" s="168" t="str">
        <f>IFERROR(__xludf.DUMMYFUNCTION("""COMPUTED_VALUE"""),"XD1-RMC-006")</f>
        <v>XD1-RMC-006</v>
      </c>
      <c r="B873" s="3" t="str">
        <f>IFERROR(__xludf.DUMMYFUNCTION("""COMPUTED_VALUE"""),"Rơ mooc thu hoạch")</f>
        <v>Rơ mooc thu hoạch</v>
      </c>
      <c r="C873" s="5" t="str">
        <f>IFERROR(__xludf.DUMMYFUNCTION("""COMPUTED_VALUE"""),"XN Chuối DP1")</f>
        <v>XN Chuối DP1</v>
      </c>
      <c r="D873" s="5" t="str">
        <f>IFERROR(__xludf.DUMMYFUNCTION("""COMPUTED_VALUE"""),"THACO AGRI")</f>
        <v>THACO AGRI</v>
      </c>
      <c r="E873" s="5"/>
      <c r="F873" s="5"/>
      <c r="G873" s="5"/>
      <c r="H873" s="5"/>
      <c r="I873" s="5"/>
      <c r="J873" s="5"/>
      <c r="K873" s="5"/>
      <c r="L873" s="5" t="str">
        <f>IFERROR(__xludf.DUMMYFUNCTION("""COMPUTED_VALUE"""),"KLH")</f>
        <v>KLH</v>
      </c>
    </row>
    <row r="874">
      <c r="A874" s="168" t="str">
        <f>IFERROR(__xludf.DUMMYFUNCTION("""COMPUTED_VALUE"""),"XD1-RMK-001")</f>
        <v>XD1-RMK-001</v>
      </c>
      <c r="B874" s="3" t="str">
        <f>IFERROR(__xludf.DUMMYFUNCTION("""COMPUTED_VALUE"""),"Rơ mooc kéo máy băm")</f>
        <v>Rơ mooc kéo máy băm</v>
      </c>
      <c r="C874" s="5" t="str">
        <f>IFERROR(__xludf.DUMMYFUNCTION("""COMPUTED_VALUE"""),"XN Chuối DP1")</f>
        <v>XN Chuối DP1</v>
      </c>
      <c r="D874" s="5" t="str">
        <f>IFERROR(__xludf.DUMMYFUNCTION("""COMPUTED_VALUE"""),"THACO AGRI")</f>
        <v>THACO AGRI</v>
      </c>
      <c r="E874" s="5"/>
      <c r="F874" s="5"/>
      <c r="G874" s="5"/>
      <c r="H874" s="5"/>
      <c r="I874" s="5"/>
      <c r="J874" s="5"/>
      <c r="K874" s="5"/>
      <c r="L874" s="5" t="str">
        <f>IFERROR(__xludf.DUMMYFUNCTION("""COMPUTED_VALUE"""),"KLH")</f>
        <v>KLH</v>
      </c>
    </row>
    <row r="875">
      <c r="A875" s="168" t="str">
        <f>IFERROR(__xludf.DUMMYFUNCTION("""COMPUTED_VALUE"""),"XD1-MCA-001")</f>
        <v>XD1-MCA-001</v>
      </c>
      <c r="B875" s="3" t="str">
        <f>IFERROR(__xludf.DUMMYFUNCTION("""COMPUTED_VALUE"""),"Máy cao áp phun thuốc")</f>
        <v>Máy cao áp phun thuốc</v>
      </c>
      <c r="C875" s="5" t="str">
        <f>IFERROR(__xludf.DUMMYFUNCTION("""COMPUTED_VALUE"""),"XN Chuối DP1")</f>
        <v>XN Chuối DP1</v>
      </c>
      <c r="D875" s="5" t="str">
        <f>IFERROR(__xludf.DUMMYFUNCTION("""COMPUTED_VALUE"""),"CAMBODIA")</f>
        <v>CAMBODIA</v>
      </c>
      <c r="E875" s="5"/>
      <c r="F875" s="5"/>
      <c r="G875" s="5"/>
      <c r="H875" s="5"/>
      <c r="I875" s="5"/>
      <c r="J875" s="5"/>
      <c r="K875" s="5"/>
      <c r="L875" s="5" t="str">
        <f>IFERROR(__xludf.DUMMYFUNCTION("""COMPUTED_VALUE"""),"KLH")</f>
        <v>KLH</v>
      </c>
    </row>
    <row r="876">
      <c r="A876" s="168" t="str">
        <f>IFERROR(__xludf.DUMMYFUNCTION("""COMPUTED_VALUE"""),"XD1-MCA-002")</f>
        <v>XD1-MCA-002</v>
      </c>
      <c r="B876" s="3" t="str">
        <f>IFERROR(__xludf.DUMMYFUNCTION("""COMPUTED_VALUE"""),"Máy cao áp phun thuốc")</f>
        <v>Máy cao áp phun thuốc</v>
      </c>
      <c r="C876" s="5" t="str">
        <f>IFERROR(__xludf.DUMMYFUNCTION("""COMPUTED_VALUE"""),"XN Chuối DP1")</f>
        <v>XN Chuối DP1</v>
      </c>
      <c r="D876" s="5" t="str">
        <f>IFERROR(__xludf.DUMMYFUNCTION("""COMPUTED_VALUE"""),"CAMBODIA")</f>
        <v>CAMBODIA</v>
      </c>
      <c r="E876" s="5"/>
      <c r="F876" s="5"/>
      <c r="G876" s="5"/>
      <c r="H876" s="5"/>
      <c r="I876" s="5"/>
      <c r="J876" s="5"/>
      <c r="K876" s="5"/>
      <c r="L876" s="5" t="str">
        <f>IFERROR(__xludf.DUMMYFUNCTION("""COMPUTED_VALUE"""),"KLH")</f>
        <v>KLH</v>
      </c>
    </row>
    <row r="877">
      <c r="A877" s="168" t="str">
        <f>IFERROR(__xludf.DUMMYFUNCTION("""COMPUTED_VALUE"""),"XD1-MCA-003")</f>
        <v>XD1-MCA-003</v>
      </c>
      <c r="B877" s="3" t="str">
        <f>IFERROR(__xludf.DUMMYFUNCTION("""COMPUTED_VALUE"""),"Máy cao áp phun thuốc")</f>
        <v>Máy cao áp phun thuốc</v>
      </c>
      <c r="C877" s="5" t="str">
        <f>IFERROR(__xludf.DUMMYFUNCTION("""COMPUTED_VALUE"""),"XN Chuối DP1")</f>
        <v>XN Chuối DP1</v>
      </c>
      <c r="D877" s="5" t="str">
        <f>IFERROR(__xludf.DUMMYFUNCTION("""COMPUTED_VALUE"""),"CAMBODIA")</f>
        <v>CAMBODIA</v>
      </c>
      <c r="E877" s="5"/>
      <c r="F877" s="5"/>
      <c r="G877" s="5"/>
      <c r="H877" s="5"/>
      <c r="I877" s="5"/>
      <c r="J877" s="5"/>
      <c r="K877" s="5"/>
      <c r="L877" s="5" t="str">
        <f>IFERROR(__xludf.DUMMYFUNCTION("""COMPUTED_VALUE"""),"KLH")</f>
        <v>KLH</v>
      </c>
    </row>
    <row r="878">
      <c r="A878" s="168" t="str">
        <f>IFERROR(__xludf.DUMMYFUNCTION("""COMPUTED_VALUE"""),"XD1-MCA-004")</f>
        <v>XD1-MCA-004</v>
      </c>
      <c r="B878" s="3" t="str">
        <f>IFERROR(__xludf.DUMMYFUNCTION("""COMPUTED_VALUE"""),"Máy cao áp phun thuốc")</f>
        <v>Máy cao áp phun thuốc</v>
      </c>
      <c r="C878" s="5" t="str">
        <f>IFERROR(__xludf.DUMMYFUNCTION("""COMPUTED_VALUE"""),"XN Chuối DP1")</f>
        <v>XN Chuối DP1</v>
      </c>
      <c r="D878" s="5" t="str">
        <f>IFERROR(__xludf.DUMMYFUNCTION("""COMPUTED_VALUE"""),"CAMBODIA")</f>
        <v>CAMBODIA</v>
      </c>
      <c r="E878" s="5"/>
      <c r="F878" s="5"/>
      <c r="G878" s="5"/>
      <c r="H878" s="5"/>
      <c r="I878" s="5"/>
      <c r="J878" s="5"/>
      <c r="K878" s="5"/>
      <c r="L878" s="5" t="str">
        <f>IFERROR(__xludf.DUMMYFUNCTION("""COMPUTED_VALUE"""),"KLH")</f>
        <v>KLH</v>
      </c>
    </row>
    <row r="879">
      <c r="A879" s="168" t="str">
        <f>IFERROR(__xludf.DUMMYFUNCTION("""COMPUTED_VALUE"""),"XD1-MCA-005")</f>
        <v>XD1-MCA-005</v>
      </c>
      <c r="B879" s="3" t="str">
        <f>IFERROR(__xludf.DUMMYFUNCTION("""COMPUTED_VALUE"""),"Máy cao áp phun thuốc")</f>
        <v>Máy cao áp phun thuốc</v>
      </c>
      <c r="C879" s="5" t="str">
        <f>IFERROR(__xludf.DUMMYFUNCTION("""COMPUTED_VALUE"""),"XN Chuối DP1")</f>
        <v>XN Chuối DP1</v>
      </c>
      <c r="D879" s="5" t="str">
        <f>IFERROR(__xludf.DUMMYFUNCTION("""COMPUTED_VALUE"""),"CAMBODIA")</f>
        <v>CAMBODIA</v>
      </c>
      <c r="E879" s="5"/>
      <c r="F879" s="5"/>
      <c r="G879" s="5"/>
      <c r="H879" s="5"/>
      <c r="I879" s="5"/>
      <c r="J879" s="5"/>
      <c r="K879" s="5"/>
      <c r="L879" s="5" t="str">
        <f>IFERROR(__xludf.DUMMYFUNCTION("""COMPUTED_VALUE"""),"KLH")</f>
        <v>KLH</v>
      </c>
    </row>
    <row r="880">
      <c r="A880" s="168" t="str">
        <f>IFERROR(__xludf.DUMMYFUNCTION("""COMPUTED_VALUE"""),"XD1-MCA-006")</f>
        <v>XD1-MCA-006</v>
      </c>
      <c r="B880" s="3" t="str">
        <f>IFERROR(__xludf.DUMMYFUNCTION("""COMPUTED_VALUE"""),"Máy cao áp phun thuốc")</f>
        <v>Máy cao áp phun thuốc</v>
      </c>
      <c r="C880" s="5" t="str">
        <f>IFERROR(__xludf.DUMMYFUNCTION("""COMPUTED_VALUE"""),"XN Chuối DP1")</f>
        <v>XN Chuối DP1</v>
      </c>
      <c r="D880" s="5" t="str">
        <f>IFERROR(__xludf.DUMMYFUNCTION("""COMPUTED_VALUE"""),"CAMBODIA")</f>
        <v>CAMBODIA</v>
      </c>
      <c r="E880" s="5"/>
      <c r="F880" s="5"/>
      <c r="G880" s="5"/>
      <c r="H880" s="5"/>
      <c r="I880" s="5"/>
      <c r="J880" s="5"/>
      <c r="K880" s="5"/>
      <c r="L880" s="5" t="str">
        <f>IFERROR(__xludf.DUMMYFUNCTION("""COMPUTED_VALUE"""),"KLH")</f>
        <v>KLH</v>
      </c>
    </row>
    <row r="881">
      <c r="A881" s="168" t="str">
        <f>IFERROR(__xludf.DUMMYFUNCTION("""COMPUTED_VALUE"""),"XD1-MCA-007")</f>
        <v>XD1-MCA-007</v>
      </c>
      <c r="B881" s="3" t="str">
        <f>IFERROR(__xludf.DUMMYFUNCTION("""COMPUTED_VALUE"""),"Máy cao áp phun thuốc")</f>
        <v>Máy cao áp phun thuốc</v>
      </c>
      <c r="C881" s="5" t="str">
        <f>IFERROR(__xludf.DUMMYFUNCTION("""COMPUTED_VALUE"""),"XN Chuối DP1")</f>
        <v>XN Chuối DP1</v>
      </c>
      <c r="D881" s="5" t="str">
        <f>IFERROR(__xludf.DUMMYFUNCTION("""COMPUTED_VALUE"""),"CAMBODIA")</f>
        <v>CAMBODIA</v>
      </c>
      <c r="E881" s="5"/>
      <c r="F881" s="5"/>
      <c r="G881" s="5"/>
      <c r="H881" s="5"/>
      <c r="I881" s="5"/>
      <c r="J881" s="5"/>
      <c r="K881" s="5"/>
      <c r="L881" s="5" t="str">
        <f>IFERROR(__xludf.DUMMYFUNCTION("""COMPUTED_VALUE"""),"KLH")</f>
        <v>KLH</v>
      </c>
    </row>
    <row r="882">
      <c r="A882" s="168" t="str">
        <f>IFERROR(__xludf.DUMMYFUNCTION("""COMPUTED_VALUE"""),"XD1-MCA-008")</f>
        <v>XD1-MCA-008</v>
      </c>
      <c r="B882" s="3" t="str">
        <f>IFERROR(__xludf.DUMMYFUNCTION("""COMPUTED_VALUE"""),"Máy cao áp phun thuốc")</f>
        <v>Máy cao áp phun thuốc</v>
      </c>
      <c r="C882" s="5" t="str">
        <f>IFERROR(__xludf.DUMMYFUNCTION("""COMPUTED_VALUE"""),"XN Chuối DP1")</f>
        <v>XN Chuối DP1</v>
      </c>
      <c r="D882" s="5" t="str">
        <f>IFERROR(__xludf.DUMMYFUNCTION("""COMPUTED_VALUE"""),"CAMBODIA")</f>
        <v>CAMBODIA</v>
      </c>
      <c r="E882" s="5"/>
      <c r="F882" s="5"/>
      <c r="G882" s="5"/>
      <c r="H882" s="5"/>
      <c r="I882" s="5"/>
      <c r="J882" s="5"/>
      <c r="K882" s="5"/>
      <c r="L882" s="5" t="str">
        <f>IFERROR(__xludf.DUMMYFUNCTION("""COMPUTED_VALUE"""),"KLH")</f>
        <v>KLH</v>
      </c>
    </row>
    <row r="883">
      <c r="A883" s="168" t="str">
        <f>IFERROR(__xludf.DUMMYFUNCTION("""COMPUTED_VALUE"""),"XD1-MCA-009")</f>
        <v>XD1-MCA-009</v>
      </c>
      <c r="B883" s="3" t="str">
        <f>IFERROR(__xludf.DUMMYFUNCTION("""COMPUTED_VALUE"""),"Máy cao áp phun thuốc")</f>
        <v>Máy cao áp phun thuốc</v>
      </c>
      <c r="C883" s="5" t="str">
        <f>IFERROR(__xludf.DUMMYFUNCTION("""COMPUTED_VALUE"""),"XN Chuối DP1")</f>
        <v>XN Chuối DP1</v>
      </c>
      <c r="D883" s="5" t="str">
        <f>IFERROR(__xludf.DUMMYFUNCTION("""COMPUTED_VALUE"""),"CAMBODIA")</f>
        <v>CAMBODIA</v>
      </c>
      <c r="E883" s="5"/>
      <c r="F883" s="5"/>
      <c r="G883" s="5"/>
      <c r="H883" s="5"/>
      <c r="I883" s="5"/>
      <c r="J883" s="5"/>
      <c r="K883" s="5"/>
      <c r="L883" s="5" t="str">
        <f>IFERROR(__xludf.DUMMYFUNCTION("""COMPUTED_VALUE"""),"KLH")</f>
        <v>KLH</v>
      </c>
    </row>
    <row r="884">
      <c r="A884" s="168" t="str">
        <f>IFERROR(__xludf.DUMMYFUNCTION("""COMPUTED_VALUE"""),"XD1-SPT-001")</f>
        <v>XD1-SPT-001</v>
      </c>
      <c r="B884" s="3" t="str">
        <f>IFERROR(__xludf.DUMMYFUNCTION("""COMPUTED_VALUE"""),"Súng phun thuốc Hansung")</f>
        <v>Súng phun thuốc Hansung</v>
      </c>
      <c r="C884" s="5" t="str">
        <f>IFERROR(__xludf.DUMMYFUNCTION("""COMPUTED_VALUE"""),"XN Chuối DP1")</f>
        <v>XN Chuối DP1</v>
      </c>
      <c r="D884" s="5" t="str">
        <f>IFERROR(__xludf.DUMMYFUNCTION("""COMPUTED_VALUE"""),"HÀN QUỐC")</f>
        <v>HÀN QUỐC</v>
      </c>
      <c r="E884" s="5" t="str">
        <f>IFERROR(__xludf.DUMMYFUNCTION("""COMPUTED_VALUE"""),"HANSUNG")</f>
        <v>HANSUNG</v>
      </c>
      <c r="F884" s="5"/>
      <c r="G884" s="5"/>
      <c r="H884" s="5"/>
      <c r="I884" s="5" t="str">
        <f>IFERROR(__xludf.DUMMYFUNCTION("""COMPUTED_VALUE"""),"HS128-TK317")</f>
        <v>HS128-TK317</v>
      </c>
      <c r="J884" s="5"/>
      <c r="K884" s="5">
        <f>IFERROR(__xludf.DUMMYFUNCTION("""COMPUTED_VALUE"""),8.47)</f>
        <v>8.47</v>
      </c>
      <c r="L884" s="5" t="str">
        <f>IFERROR(__xludf.DUMMYFUNCTION("""COMPUTED_VALUE"""),"KLH")</f>
        <v>KLH</v>
      </c>
    </row>
    <row r="885">
      <c r="A885" s="168" t="str">
        <f>IFERROR(__xludf.DUMMYFUNCTION("""COMPUTED_VALUE"""),"XD1-MXM-001")</f>
        <v>XD1-MXM-001</v>
      </c>
      <c r="B885" s="3" t="str">
        <f>IFERROR(__xludf.DUMMYFUNCTION("""COMPUTED_VALUE"""),"Rơ mooc gắn sau xe máy")</f>
        <v>Rơ mooc gắn sau xe máy</v>
      </c>
      <c r="C885" s="5" t="str">
        <f>IFERROR(__xludf.DUMMYFUNCTION("""COMPUTED_VALUE"""),"XN Chuối DP1")</f>
        <v>XN Chuối DP1</v>
      </c>
      <c r="D885" s="5" t="str">
        <f>IFERROR(__xludf.DUMMYFUNCTION("""COMPUTED_VALUE"""),"THACO AGRI")</f>
        <v>THACO AGRI</v>
      </c>
      <c r="E885" s="5"/>
      <c r="F885" s="5"/>
      <c r="G885" s="5"/>
      <c r="H885" s="5" t="str">
        <f>IFERROR(__xludf.DUMMYFUNCTION("""COMPUTED_VALUE"""),"DxRxC: 3x1.6x1.2m")</f>
        <v>DxRxC: 3x1.6x1.2m</v>
      </c>
      <c r="I885" s="5"/>
      <c r="J885" s="5"/>
      <c r="K885" s="5"/>
      <c r="L885" s="5" t="str">
        <f>IFERROR(__xludf.DUMMYFUNCTION("""COMPUTED_VALUE"""),"KLH")</f>
        <v>KLH</v>
      </c>
    </row>
    <row r="886">
      <c r="A886" s="168" t="str">
        <f>IFERROR(__xludf.DUMMYFUNCTION("""COMPUTED_VALUE"""),"XD1-MXM-002")</f>
        <v>XD1-MXM-002</v>
      </c>
      <c r="B886" s="3" t="str">
        <f>IFERROR(__xludf.DUMMYFUNCTION("""COMPUTED_VALUE"""),"Rơ mooc gắn sau xe máy")</f>
        <v>Rơ mooc gắn sau xe máy</v>
      </c>
      <c r="C886" s="5" t="str">
        <f>IFERROR(__xludf.DUMMYFUNCTION("""COMPUTED_VALUE"""),"XN Chuối DP1")</f>
        <v>XN Chuối DP1</v>
      </c>
      <c r="D886" s="5" t="str">
        <f>IFERROR(__xludf.DUMMYFUNCTION("""COMPUTED_VALUE"""),"THACO AGRI")</f>
        <v>THACO AGRI</v>
      </c>
      <c r="E886" s="5"/>
      <c r="F886" s="5"/>
      <c r="G886" s="5"/>
      <c r="H886" s="5" t="str">
        <f>IFERROR(__xludf.DUMMYFUNCTION("""COMPUTED_VALUE"""),"DxRxC: 3x1.6x1.2m")</f>
        <v>DxRxC: 3x1.6x1.2m</v>
      </c>
      <c r="I886" s="5"/>
      <c r="J886" s="5"/>
      <c r="K886" s="5"/>
      <c r="L886" s="5" t="str">
        <f>IFERROR(__xludf.DUMMYFUNCTION("""COMPUTED_VALUE"""),"KLH")</f>
        <v>KLH</v>
      </c>
    </row>
    <row r="887">
      <c r="A887" s="168" t="str">
        <f>IFERROR(__xludf.DUMMYFUNCTION("""COMPUTED_VALUE"""),"XD1-MXM-003")</f>
        <v>XD1-MXM-003</v>
      </c>
      <c r="B887" s="3" t="str">
        <f>IFERROR(__xludf.DUMMYFUNCTION("""COMPUTED_VALUE"""),"Rơ mooc gắn sau xe máy")</f>
        <v>Rơ mooc gắn sau xe máy</v>
      </c>
      <c r="C887" s="5" t="str">
        <f>IFERROR(__xludf.DUMMYFUNCTION("""COMPUTED_VALUE"""),"XN Chuối DP1")</f>
        <v>XN Chuối DP1</v>
      </c>
      <c r="D887" s="5" t="str">
        <f>IFERROR(__xludf.DUMMYFUNCTION("""COMPUTED_VALUE"""),"THACO AGRI")</f>
        <v>THACO AGRI</v>
      </c>
      <c r="E887" s="5"/>
      <c r="F887" s="5"/>
      <c r="G887" s="5"/>
      <c r="H887" s="5" t="str">
        <f>IFERROR(__xludf.DUMMYFUNCTION("""COMPUTED_VALUE"""),"DxRxC: 3x1.6x1.2m")</f>
        <v>DxRxC: 3x1.6x1.2m</v>
      </c>
      <c r="I887" s="5"/>
      <c r="J887" s="5"/>
      <c r="K887" s="5"/>
      <c r="L887" s="5" t="str">
        <f>IFERROR(__xludf.DUMMYFUNCTION("""COMPUTED_VALUE"""),"KLH")</f>
        <v>KLH</v>
      </c>
    </row>
    <row r="888">
      <c r="A888" s="168" t="str">
        <f>IFERROR(__xludf.DUMMYFUNCTION("""COMPUTED_VALUE"""),"XD1-MXM-004")</f>
        <v>XD1-MXM-004</v>
      </c>
      <c r="B888" s="3" t="str">
        <f>IFERROR(__xludf.DUMMYFUNCTION("""COMPUTED_VALUE"""),"Rơ mooc gắn sau xe máy")</f>
        <v>Rơ mooc gắn sau xe máy</v>
      </c>
      <c r="C888" s="5" t="str">
        <f>IFERROR(__xludf.DUMMYFUNCTION("""COMPUTED_VALUE"""),"XN Chuối DP1")</f>
        <v>XN Chuối DP1</v>
      </c>
      <c r="D888" s="5" t="str">
        <f>IFERROR(__xludf.DUMMYFUNCTION("""COMPUTED_VALUE"""),"THACO AGRI")</f>
        <v>THACO AGRI</v>
      </c>
      <c r="E888" s="5"/>
      <c r="F888" s="5"/>
      <c r="G888" s="5"/>
      <c r="H888" s="5" t="str">
        <f>IFERROR(__xludf.DUMMYFUNCTION("""COMPUTED_VALUE"""),"DxRxC: 3x1.6x1.2m")</f>
        <v>DxRxC: 3x1.6x1.2m</v>
      </c>
      <c r="I888" s="5"/>
      <c r="J888" s="5"/>
      <c r="K888" s="5"/>
      <c r="L888" s="5" t="str">
        <f>IFERROR(__xludf.DUMMYFUNCTION("""COMPUTED_VALUE"""),"KLH")</f>
        <v>KLH</v>
      </c>
    </row>
    <row r="889">
      <c r="A889" s="168" t="str">
        <f>IFERROR(__xludf.DUMMYFUNCTION("""COMPUTED_VALUE"""),"XD1-MXM-005")</f>
        <v>XD1-MXM-005</v>
      </c>
      <c r="B889" s="3" t="str">
        <f>IFERROR(__xludf.DUMMYFUNCTION("""COMPUTED_VALUE"""),"Rơ mooc gắn sau xe máy")</f>
        <v>Rơ mooc gắn sau xe máy</v>
      </c>
      <c r="C889" s="5" t="str">
        <f>IFERROR(__xludf.DUMMYFUNCTION("""COMPUTED_VALUE"""),"XN Chuối DP1")</f>
        <v>XN Chuối DP1</v>
      </c>
      <c r="D889" s="5" t="str">
        <f>IFERROR(__xludf.DUMMYFUNCTION("""COMPUTED_VALUE"""),"THACO AGRI")</f>
        <v>THACO AGRI</v>
      </c>
      <c r="E889" s="5"/>
      <c r="F889" s="5"/>
      <c r="G889" s="5"/>
      <c r="H889" s="5" t="str">
        <f>IFERROR(__xludf.DUMMYFUNCTION("""COMPUTED_VALUE"""),"DxRxC: 3x1.6x1.2m")</f>
        <v>DxRxC: 3x1.6x1.2m</v>
      </c>
      <c r="I889" s="5"/>
      <c r="J889" s="5"/>
      <c r="K889" s="5"/>
      <c r="L889" s="5" t="str">
        <f>IFERROR(__xludf.DUMMYFUNCTION("""COMPUTED_VALUE"""),"KLH")</f>
        <v>KLH</v>
      </c>
    </row>
    <row r="890">
      <c r="A890" s="168" t="str">
        <f>IFERROR(__xludf.DUMMYFUNCTION("""COMPUTED_VALUE"""),"XD1-MXM-006")</f>
        <v>XD1-MXM-006</v>
      </c>
      <c r="B890" s="3" t="str">
        <f>IFERROR(__xludf.DUMMYFUNCTION("""COMPUTED_VALUE"""),"Rơ mooc gắn sau xe máy")</f>
        <v>Rơ mooc gắn sau xe máy</v>
      </c>
      <c r="C890" s="5" t="str">
        <f>IFERROR(__xludf.DUMMYFUNCTION("""COMPUTED_VALUE"""),"XN Chuối DP1")</f>
        <v>XN Chuối DP1</v>
      </c>
      <c r="D890" s="5" t="str">
        <f>IFERROR(__xludf.DUMMYFUNCTION("""COMPUTED_VALUE"""),"THACO AGRI")</f>
        <v>THACO AGRI</v>
      </c>
      <c r="E890" s="5"/>
      <c r="F890" s="5"/>
      <c r="G890" s="5"/>
      <c r="H890" s="5" t="str">
        <f>IFERROR(__xludf.DUMMYFUNCTION("""COMPUTED_VALUE"""),"DxRxC: 3x1.6x1.2m")</f>
        <v>DxRxC: 3x1.6x1.2m</v>
      </c>
      <c r="I890" s="5"/>
      <c r="J890" s="5"/>
      <c r="K890" s="5"/>
      <c r="L890" s="5" t="str">
        <f>IFERROR(__xludf.DUMMYFUNCTION("""COMPUTED_VALUE"""),"KLH")</f>
        <v>KLH</v>
      </c>
    </row>
    <row r="891">
      <c r="A891" s="168" t="str">
        <f>IFERROR(__xludf.DUMMYFUNCTION("""COMPUTED_VALUE"""),"XD1-MXM-007")</f>
        <v>XD1-MXM-007</v>
      </c>
      <c r="B891" s="3" t="str">
        <f>IFERROR(__xludf.DUMMYFUNCTION("""COMPUTED_VALUE"""),"Rơ mooc gắn sau xe máy")</f>
        <v>Rơ mooc gắn sau xe máy</v>
      </c>
      <c r="C891" s="5" t="str">
        <f>IFERROR(__xludf.DUMMYFUNCTION("""COMPUTED_VALUE"""),"XN Chuối DP1")</f>
        <v>XN Chuối DP1</v>
      </c>
      <c r="D891" s="5" t="str">
        <f>IFERROR(__xludf.DUMMYFUNCTION("""COMPUTED_VALUE"""),"THACO AGRI")</f>
        <v>THACO AGRI</v>
      </c>
      <c r="E891" s="5"/>
      <c r="F891" s="5"/>
      <c r="G891" s="5"/>
      <c r="H891" s="5" t="str">
        <f>IFERROR(__xludf.DUMMYFUNCTION("""COMPUTED_VALUE"""),"DxRxC: 3x1.6x1.2m")</f>
        <v>DxRxC: 3x1.6x1.2m</v>
      </c>
      <c r="I891" s="5"/>
      <c r="J891" s="5"/>
      <c r="K891" s="5"/>
      <c r="L891" s="5" t="str">
        <f>IFERROR(__xludf.DUMMYFUNCTION("""COMPUTED_VALUE"""),"KLH")</f>
        <v>KLH</v>
      </c>
    </row>
    <row r="892">
      <c r="A892" s="168" t="str">
        <f>IFERROR(__xludf.DUMMYFUNCTION("""COMPUTED_VALUE"""),"XD1-MXM-008")</f>
        <v>XD1-MXM-008</v>
      </c>
      <c r="B892" s="3" t="str">
        <f>IFERROR(__xludf.DUMMYFUNCTION("""COMPUTED_VALUE"""),"Rơ mooc gắn sau xe máy ")</f>
        <v>Rơ mooc gắn sau xe máy </v>
      </c>
      <c r="C892" s="5" t="str">
        <f>IFERROR(__xludf.DUMMYFUNCTION("""COMPUTED_VALUE"""),"XN Chuối DP1")</f>
        <v>XN Chuối DP1</v>
      </c>
      <c r="D892" s="5" t="str">
        <f>IFERROR(__xludf.DUMMYFUNCTION("""COMPUTED_VALUE"""),"THACO AGRI")</f>
        <v>THACO AGRI</v>
      </c>
      <c r="E892" s="5"/>
      <c r="F892" s="5"/>
      <c r="G892" s="5"/>
      <c r="H892" s="5"/>
      <c r="I892" s="5"/>
      <c r="J892" s="5"/>
      <c r="K892" s="5"/>
      <c r="L892" s="5" t="str">
        <f>IFERROR(__xludf.DUMMYFUNCTION("""COMPUTED_VALUE"""),"KLH")</f>
        <v>KLH</v>
      </c>
    </row>
    <row r="893">
      <c r="A893" s="168" t="str">
        <f>IFERROR(__xludf.DUMMYFUNCTION("""COMPUTED_VALUE"""),"XD1-RMĐ-001")</f>
        <v>XD1-RMĐ-001</v>
      </c>
      <c r="B893" s="3" t="str">
        <f>IFERROR(__xludf.DUMMYFUNCTION("""COMPUTED_VALUE"""),"Rơ mooc vận chuyển M.đào 03")</f>
        <v>Rơ mooc vận chuyển M.đào 03</v>
      </c>
      <c r="C893" s="5" t="str">
        <f>IFERROR(__xludf.DUMMYFUNCTION("""COMPUTED_VALUE"""),"XN Chuối DP1")</f>
        <v>XN Chuối DP1</v>
      </c>
      <c r="D893" s="5" t="str">
        <f>IFERROR(__xludf.DUMMYFUNCTION("""COMPUTED_VALUE"""),"THACO AGRI")</f>
        <v>THACO AGRI</v>
      </c>
      <c r="E893" s="5"/>
      <c r="F893" s="5"/>
      <c r="G893" s="5"/>
      <c r="H893" s="5" t="str">
        <f>IFERROR(__xludf.DUMMYFUNCTION("""COMPUTED_VALUE"""),"DxRxC: 6.1x2.4x0.9m")</f>
        <v>DxRxC: 6.1x2.4x0.9m</v>
      </c>
      <c r="I893" s="5"/>
      <c r="J893" s="5"/>
      <c r="K893" s="5"/>
      <c r="L893" s="5" t="str">
        <f>IFERROR(__xludf.DUMMYFUNCTION("""COMPUTED_VALUE"""),"KLH")</f>
        <v>KLH</v>
      </c>
    </row>
    <row r="894">
      <c r="A894" s="168" t="str">
        <f>IFERROR(__xludf.DUMMYFUNCTION("""COMPUTED_VALUE"""),"XD1-GMĐ-001")</f>
        <v>XD1-GMĐ-001</v>
      </c>
      <c r="B894" s="3" t="str">
        <f>IFERROR(__xludf.DUMMYFUNCTION("""COMPUTED_VALUE"""),"Gàu máy đào 05 (50*100*100cm)")</f>
        <v>Gàu máy đào 05 (50*100*100cm)</v>
      </c>
      <c r="C894" s="5" t="str">
        <f>IFERROR(__xludf.DUMMYFUNCTION("""COMPUTED_VALUE"""),"XN Chuối DP1")</f>
        <v>XN Chuối DP1</v>
      </c>
      <c r="D894" s="5" t="str">
        <f>IFERROR(__xludf.DUMMYFUNCTION("""COMPUTED_VALUE"""),"THACO AGRI")</f>
        <v>THACO AGRI</v>
      </c>
      <c r="E894" s="5"/>
      <c r="F894" s="5"/>
      <c r="G894" s="5"/>
      <c r="H894" s="5"/>
      <c r="I894" s="5"/>
      <c r="J894" s="5"/>
      <c r="K894" s="5"/>
      <c r="L894" s="5" t="str">
        <f>IFERROR(__xludf.DUMMYFUNCTION("""COMPUTED_VALUE"""),"KLH")</f>
        <v>KLH</v>
      </c>
    </row>
    <row r="895">
      <c r="A895" s="168" t="str">
        <f>IFERROR(__xludf.DUMMYFUNCTION("""COMPUTED_VALUE"""),"XD1-GMĐ-002")</f>
        <v>XD1-GMĐ-002</v>
      </c>
      <c r="B895" s="3" t="str">
        <f>IFERROR(__xludf.DUMMYFUNCTION("""COMPUTED_VALUE"""),"Gàu máy đào 05 (50*100*150cm)")</f>
        <v>Gàu máy đào 05 (50*100*150cm)</v>
      </c>
      <c r="C895" s="5" t="str">
        <f>IFERROR(__xludf.DUMMYFUNCTION("""COMPUTED_VALUE"""),"XN Chuối DP1")</f>
        <v>XN Chuối DP1</v>
      </c>
      <c r="D895" s="5" t="str">
        <f>IFERROR(__xludf.DUMMYFUNCTION("""COMPUTED_VALUE"""),"THACO AGRI")</f>
        <v>THACO AGRI</v>
      </c>
      <c r="E895" s="5"/>
      <c r="F895" s="5"/>
      <c r="G895" s="5"/>
      <c r="H895" s="5"/>
      <c r="I895" s="5"/>
      <c r="J895" s="5"/>
      <c r="K895" s="5"/>
      <c r="L895" s="5" t="str">
        <f>IFERROR(__xludf.DUMMYFUNCTION("""COMPUTED_VALUE"""),"KLH")</f>
        <v>KLH</v>
      </c>
    </row>
    <row r="896">
      <c r="A896" s="168" t="str">
        <f>IFERROR(__xludf.DUMMYFUNCTION("""COMPUTED_VALUE"""),"XD1-GMĐ-003")</f>
        <v>XD1-GMĐ-003</v>
      </c>
      <c r="B896" s="3" t="str">
        <f>IFERROR(__xludf.DUMMYFUNCTION("""COMPUTED_VALUE"""),"Gàu máy đào 03 (40*80*100cm)")</f>
        <v>Gàu máy đào 03 (40*80*100cm)</v>
      </c>
      <c r="C896" s="5" t="str">
        <f>IFERROR(__xludf.DUMMYFUNCTION("""COMPUTED_VALUE"""),"XN Chuối DP1")</f>
        <v>XN Chuối DP1</v>
      </c>
      <c r="D896" s="5" t="str">
        <f>IFERROR(__xludf.DUMMYFUNCTION("""COMPUTED_VALUE"""),"THACO AGRI")</f>
        <v>THACO AGRI</v>
      </c>
      <c r="E896" s="5"/>
      <c r="F896" s="5"/>
      <c r="G896" s="5"/>
      <c r="H896" s="5"/>
      <c r="I896" s="5"/>
      <c r="J896" s="5"/>
      <c r="K896" s="5"/>
      <c r="L896" s="5" t="str">
        <f>IFERROR(__xludf.DUMMYFUNCTION("""COMPUTED_VALUE"""),"KLH")</f>
        <v>KLH</v>
      </c>
    </row>
    <row r="897">
      <c r="A897" s="168" t="str">
        <f>IFERROR(__xludf.DUMMYFUNCTION("""COMPUTED_VALUE"""),"XD1-GĐH-001")</f>
        <v>XD1-GĐH-001</v>
      </c>
      <c r="B897" s="3" t="str">
        <f>IFERROR(__xludf.DUMMYFUNCTION("""COMPUTED_VALUE"""),"Gàu định hình đào mương thoát nước")</f>
        <v>Gàu định hình đào mương thoát nước</v>
      </c>
      <c r="C897" s="5" t="str">
        <f>IFERROR(__xludf.DUMMYFUNCTION("""COMPUTED_VALUE"""),"XN Chuối DP1")</f>
        <v>XN Chuối DP1</v>
      </c>
      <c r="D897" s="5" t="str">
        <f>IFERROR(__xludf.DUMMYFUNCTION("""COMPUTED_VALUE"""),"THACO AGRI")</f>
        <v>THACO AGRI</v>
      </c>
      <c r="E897" s="5"/>
      <c r="F897" s="5"/>
      <c r="G897" s="5" t="str">
        <f>IFERROR(__xludf.DUMMYFUNCTION("""COMPUTED_VALUE"""),"2025")</f>
        <v>2025</v>
      </c>
      <c r="H897" s="5" t="str">
        <f>IFERROR(__xludf.DUMMYFUNCTION("""COMPUTED_VALUE"""),"350x200x400")</f>
        <v>350x200x400</v>
      </c>
      <c r="I897" s="5"/>
      <c r="J897" s="5"/>
      <c r="K897" s="5"/>
      <c r="L897" s="5" t="str">
        <f>IFERROR(__xludf.DUMMYFUNCTION("""COMPUTED_VALUE"""),"KLH")</f>
        <v>KLH</v>
      </c>
    </row>
    <row r="898">
      <c r="A898" s="168" t="str">
        <f>IFERROR(__xludf.DUMMYFUNCTION("""COMPUTED_VALUE"""),"XD1-GĐH-002")</f>
        <v>XD1-GĐH-002</v>
      </c>
      <c r="B898" s="3" t="str">
        <f>IFERROR(__xludf.DUMMYFUNCTION("""COMPUTED_VALUE"""),"Gàu định hình đào mương thoát nước")</f>
        <v>Gàu định hình đào mương thoát nước</v>
      </c>
      <c r="C898" s="5" t="str">
        <f>IFERROR(__xludf.DUMMYFUNCTION("""COMPUTED_VALUE"""),"XN Chuối DP1")</f>
        <v>XN Chuối DP1</v>
      </c>
      <c r="D898" s="5" t="str">
        <f>IFERROR(__xludf.DUMMYFUNCTION("""COMPUTED_VALUE"""),"THACO AGRI")</f>
        <v>THACO AGRI</v>
      </c>
      <c r="E898" s="5"/>
      <c r="F898" s="5"/>
      <c r="G898" s="5" t="str">
        <f>IFERROR(__xludf.DUMMYFUNCTION("""COMPUTED_VALUE"""),"2025")</f>
        <v>2025</v>
      </c>
      <c r="H898" s="5" t="str">
        <f>IFERROR(__xludf.DUMMYFUNCTION("""COMPUTED_VALUE"""),"350x200x400")</f>
        <v>350x200x400</v>
      </c>
      <c r="I898" s="5"/>
      <c r="J898" s="5"/>
      <c r="K898" s="5"/>
      <c r="L898" s="5" t="str">
        <f>IFERROR(__xludf.DUMMYFUNCTION("""COMPUTED_VALUE"""),"KLH")</f>
        <v>KLH</v>
      </c>
    </row>
    <row r="899">
      <c r="A899" s="168" t="str">
        <f>IFERROR(__xludf.DUMMYFUNCTION("""COMPUTED_VALUE"""),"XD1-GĐH-003")</f>
        <v>XD1-GĐH-003</v>
      </c>
      <c r="B899" s="3" t="str">
        <f>IFERROR(__xludf.DUMMYFUNCTION("""COMPUTED_VALUE"""),"Gàu định hình đào mương thoát nước")</f>
        <v>Gàu định hình đào mương thoát nước</v>
      </c>
      <c r="C899" s="5" t="str">
        <f>IFERROR(__xludf.DUMMYFUNCTION("""COMPUTED_VALUE"""),"XN Chuối DP1")</f>
        <v>XN Chuối DP1</v>
      </c>
      <c r="D899" s="5" t="str">
        <f>IFERROR(__xludf.DUMMYFUNCTION("""COMPUTED_VALUE"""),"THACO AGRI")</f>
        <v>THACO AGRI</v>
      </c>
      <c r="E899" s="5"/>
      <c r="F899" s="5"/>
      <c r="G899" s="5" t="str">
        <f>IFERROR(__xludf.DUMMYFUNCTION("""COMPUTED_VALUE"""),"2025")</f>
        <v>2025</v>
      </c>
      <c r="H899" s="5" t="str">
        <f>IFERROR(__xludf.DUMMYFUNCTION("""COMPUTED_VALUE"""),"350x200x400")</f>
        <v>350x200x400</v>
      </c>
      <c r="I899" s="5"/>
      <c r="J899" s="5"/>
      <c r="K899" s="5"/>
      <c r="L899" s="5" t="str">
        <f>IFERROR(__xludf.DUMMYFUNCTION("""COMPUTED_VALUE"""),"KLH")</f>
        <v>KLH</v>
      </c>
    </row>
    <row r="900">
      <c r="A900" s="168" t="str">
        <f>IFERROR(__xludf.DUMMYFUNCTION("""COMPUTED_VALUE"""),"XD1-GĐH-004")</f>
        <v>XD1-GĐH-004</v>
      </c>
      <c r="B900" s="3" t="str">
        <f>IFERROR(__xludf.DUMMYFUNCTION("""COMPUTED_VALUE"""),"Gàu định hình đào mương thoát nước")</f>
        <v>Gàu định hình đào mương thoát nước</v>
      </c>
      <c r="C900" s="5" t="str">
        <f>IFERROR(__xludf.DUMMYFUNCTION("""COMPUTED_VALUE"""),"XN Chuối DP1")</f>
        <v>XN Chuối DP1</v>
      </c>
      <c r="D900" s="5" t="str">
        <f>IFERROR(__xludf.DUMMYFUNCTION("""COMPUTED_VALUE"""),"THACO AGRI")</f>
        <v>THACO AGRI</v>
      </c>
      <c r="E900" s="5"/>
      <c r="F900" s="5"/>
      <c r="G900" s="5" t="str">
        <f>IFERROR(__xludf.DUMMYFUNCTION("""COMPUTED_VALUE"""),"2025")</f>
        <v>2025</v>
      </c>
      <c r="H900" s="5" t="str">
        <f>IFERROR(__xludf.DUMMYFUNCTION("""COMPUTED_VALUE"""),"350x200x400")</f>
        <v>350x200x400</v>
      </c>
      <c r="I900" s="5"/>
      <c r="J900" s="5"/>
      <c r="K900" s="5"/>
      <c r="L900" s="5" t="str">
        <f>IFERROR(__xludf.DUMMYFUNCTION("""COMPUTED_VALUE"""),"KLH")</f>
        <v>KLH</v>
      </c>
    </row>
    <row r="901">
      <c r="A901" s="168" t="str">
        <f>IFERROR(__xludf.DUMMYFUNCTION("""COMPUTED_VALUE"""),"XD1-GĐH-005")</f>
        <v>XD1-GĐH-005</v>
      </c>
      <c r="B901" s="3" t="str">
        <f>IFERROR(__xludf.DUMMYFUNCTION("""COMPUTED_VALUE"""),"Gàu định hình đào mương thoát nước")</f>
        <v>Gàu định hình đào mương thoát nước</v>
      </c>
      <c r="C901" s="5" t="str">
        <f>IFERROR(__xludf.DUMMYFUNCTION("""COMPUTED_VALUE"""),"XN Chuối DP1")</f>
        <v>XN Chuối DP1</v>
      </c>
      <c r="D901" s="5" t="str">
        <f>IFERROR(__xludf.DUMMYFUNCTION("""COMPUTED_VALUE"""),"THACO AGRI")</f>
        <v>THACO AGRI</v>
      </c>
      <c r="E901" s="5"/>
      <c r="F901" s="5"/>
      <c r="G901" s="5" t="str">
        <f>IFERROR(__xludf.DUMMYFUNCTION("""COMPUTED_VALUE"""),"2025")</f>
        <v>2025</v>
      </c>
      <c r="H901" s="5" t="str">
        <f>IFERROR(__xludf.DUMMYFUNCTION("""COMPUTED_VALUE"""),"350x200x400")</f>
        <v>350x200x400</v>
      </c>
      <c r="I901" s="5"/>
      <c r="J901" s="5"/>
      <c r="K901" s="5"/>
      <c r="L901" s="5" t="str">
        <f>IFERROR(__xludf.DUMMYFUNCTION("""COMPUTED_VALUE"""),"KLH")</f>
        <v>KLH</v>
      </c>
    </row>
    <row r="902">
      <c r="A902" s="168" t="str">
        <f>IFERROR(__xludf.DUMMYFUNCTION("""COMPUTED_VALUE"""),"XD1-GĐH-006")</f>
        <v>XD1-GĐH-006</v>
      </c>
      <c r="B902" s="3" t="str">
        <f>IFERROR(__xludf.DUMMYFUNCTION("""COMPUTED_VALUE"""),"Gàu định hình đào mương thoát nước")</f>
        <v>Gàu định hình đào mương thoát nước</v>
      </c>
      <c r="C902" s="5" t="str">
        <f>IFERROR(__xludf.DUMMYFUNCTION("""COMPUTED_VALUE"""),"XN Chuối DP1")</f>
        <v>XN Chuối DP1</v>
      </c>
      <c r="D902" s="5" t="str">
        <f>IFERROR(__xludf.DUMMYFUNCTION("""COMPUTED_VALUE"""),"THACO AGRI")</f>
        <v>THACO AGRI</v>
      </c>
      <c r="E902" s="5"/>
      <c r="F902" s="5"/>
      <c r="G902" s="5" t="str">
        <f>IFERROR(__xludf.DUMMYFUNCTION("""COMPUTED_VALUE"""),"2025")</f>
        <v>2025</v>
      </c>
      <c r="H902" s="5" t="str">
        <f>IFERROR(__xludf.DUMMYFUNCTION("""COMPUTED_VALUE"""),"350x200x400")</f>
        <v>350x200x400</v>
      </c>
      <c r="I902" s="5"/>
      <c r="J902" s="5"/>
      <c r="K902" s="5"/>
      <c r="L902" s="5" t="str">
        <f>IFERROR(__xludf.DUMMYFUNCTION("""COMPUTED_VALUE"""),"KLH")</f>
        <v>KLH</v>
      </c>
    </row>
    <row r="903">
      <c r="A903" s="168" t="str">
        <f>IFERROR(__xludf.DUMMYFUNCTION("""COMPUTED_VALUE"""),"XD1-MNK-001")</f>
        <v>XD1-MNK-001</v>
      </c>
      <c r="B903" s="3" t="str">
        <f>IFERROR(__xludf.DUMMYFUNCTION("""COMPUTED_VALUE"""),"Máy nén khí 5HP")</f>
        <v>Máy nén khí 5HP</v>
      </c>
      <c r="C903" s="5" t="str">
        <f>IFERROR(__xludf.DUMMYFUNCTION("""COMPUTED_VALUE"""),"XN Chuối DP1")</f>
        <v>XN Chuối DP1</v>
      </c>
      <c r="D903" s="5" t="str">
        <f>IFERROR(__xludf.DUMMYFUNCTION("""COMPUTED_VALUE"""),"CAMBODIA")</f>
        <v>CAMBODIA</v>
      </c>
      <c r="E903" s="5" t="str">
        <f>IFERROR(__xludf.DUMMYFUNCTION("""COMPUTED_VALUE"""),"SWAN-5HP")</f>
        <v>SWAN-5HP</v>
      </c>
      <c r="F903" s="5"/>
      <c r="G903" s="5"/>
      <c r="H903" s="5" t="str">
        <f>IFERROR(__xludf.DUMMYFUNCTION("""COMPUTED_VALUE"""),"125psi")</f>
        <v>125psi</v>
      </c>
      <c r="I903" s="5"/>
      <c r="J903" s="5"/>
      <c r="K903" s="5"/>
      <c r="L903" s="5" t="str">
        <f>IFERROR(__xludf.DUMMYFUNCTION("""COMPUTED_VALUE"""),"KLH")</f>
        <v>KLH</v>
      </c>
    </row>
    <row r="904">
      <c r="A904" s="168" t="str">
        <f>IFERROR(__xludf.DUMMYFUNCTION("""COMPUTED_VALUE"""),"XD1-DNL-001")</f>
        <v>XD1-DNL-001</v>
      </c>
      <c r="B904" s="3" t="str">
        <f>IFERROR(__xludf.DUMMYFUNCTION("""COMPUTED_VALUE"""),"Thiết bị nén lá chuối khô")</f>
        <v>Thiết bị nén lá chuối khô</v>
      </c>
      <c r="C904" s="5" t="str">
        <f>IFERROR(__xludf.DUMMYFUNCTION("""COMPUTED_VALUE"""),"XN Chuối DP1")</f>
        <v>XN Chuối DP1</v>
      </c>
      <c r="D904" s="5" t="str">
        <f>IFERROR(__xludf.DUMMYFUNCTION("""COMPUTED_VALUE"""),"THACO AGRI")</f>
        <v>THACO AGRI</v>
      </c>
      <c r="E904" s="5" t="str">
        <f>IFERROR(__xludf.DUMMYFUNCTION("""COMPUTED_VALUE"""),"THACOAGRI")</f>
        <v>THACOAGRI</v>
      </c>
      <c r="F904" s="5"/>
      <c r="G904" s="5" t="str">
        <f>IFERROR(__xludf.DUMMYFUNCTION("""COMPUTED_VALUE"""),"2024")</f>
        <v>2024</v>
      </c>
      <c r="H904" s="5" t="str">
        <f>IFERROR(__xludf.DUMMYFUNCTION("""COMPUTED_VALUE"""),"3,8x2x3,6m")</f>
        <v>3,8x2x3,6m</v>
      </c>
      <c r="I904" s="5"/>
      <c r="J904" s="5"/>
      <c r="K904" s="5"/>
      <c r="L904" s="5" t="str">
        <f>IFERROR(__xludf.DUMMYFUNCTION("""COMPUTED_VALUE"""),"KLH")</f>
        <v>KLH</v>
      </c>
    </row>
    <row r="905">
      <c r="A905" s="168" t="str">
        <f>IFERROR(__xludf.DUMMYFUNCTION("""COMPUTED_VALUE"""),"XD1-TBG-001")</f>
        <v>XD1-TBG-001</v>
      </c>
      <c r="B905" s="3" t="str">
        <f>IFERROR(__xludf.DUMMYFUNCTION("""COMPUTED_VALUE"""),"Thiết bị gắp lá chuối")</f>
        <v>Thiết bị gắp lá chuối</v>
      </c>
      <c r="C905" s="5" t="str">
        <f>IFERROR(__xludf.DUMMYFUNCTION("""COMPUTED_VALUE"""),"XN Chuối DP1")</f>
        <v>XN Chuối DP1</v>
      </c>
      <c r="D905" s="5" t="str">
        <f>IFERROR(__xludf.DUMMYFUNCTION("""COMPUTED_VALUE"""),"THACO AGRI")</f>
        <v>THACO AGRI</v>
      </c>
      <c r="E905" s="5"/>
      <c r="F905" s="5"/>
      <c r="G905" s="5"/>
      <c r="H905" s="5" t="str">
        <f>IFERROR(__xludf.DUMMYFUNCTION("""COMPUTED_VALUE"""),"Dài 1m x Rộng 0.35m")</f>
        <v>Dài 1m x Rộng 0.35m</v>
      </c>
      <c r="I905" s="5"/>
      <c r="J905" s="5"/>
      <c r="K905" s="5"/>
      <c r="L905" s="5" t="str">
        <f>IFERROR(__xludf.DUMMYFUNCTION("""COMPUTED_VALUE"""),"KLH")</f>
        <v>KLH</v>
      </c>
    </row>
    <row r="906">
      <c r="A906" s="168" t="str">
        <f>IFERROR(__xludf.DUMMYFUNCTION("""COMPUTED_VALUE"""),"XD1-MKC-001")</f>
        <v>XD1-MKC-001</v>
      </c>
      <c r="B906" s="3" t="str">
        <f>IFERROR(__xludf.DUMMYFUNCTION("""COMPUTED_VALUE"""),"Máy kéo chuối (Xăng)")</f>
        <v>Máy kéo chuối (Xăng)</v>
      </c>
      <c r="C906" s="5" t="str">
        <f>IFERROR(__xludf.DUMMYFUNCTION("""COMPUTED_VALUE"""),"XN Chuối DP1")</f>
        <v>XN Chuối DP1</v>
      </c>
      <c r="D906" s="5" t="str">
        <f>IFERROR(__xludf.DUMMYFUNCTION("""COMPUTED_VALUE"""),"DREAM")</f>
        <v>DREAM</v>
      </c>
      <c r="E906" s="5" t="str">
        <f>IFERROR(__xludf.DUMMYFUNCTION("""COMPUTED_VALUE"""),"CGH-MKC-DREAM")</f>
        <v>CGH-MKC-DREAM</v>
      </c>
      <c r="F906" s="5"/>
      <c r="G906" s="5" t="str">
        <f>IFERROR(__xludf.DUMMYFUNCTION("""COMPUTED_VALUE"""),"2025")</f>
        <v>2025</v>
      </c>
      <c r="H906" s="5"/>
      <c r="I906" s="5" t="str">
        <f>IFERROR(__xludf.DUMMYFUNCTION("""COMPUTED_VALUE"""),"10")</f>
        <v>10</v>
      </c>
      <c r="J906" s="5"/>
      <c r="K906" s="5">
        <f>IFERROR(__xludf.DUMMYFUNCTION("""COMPUTED_VALUE"""),0.56)</f>
        <v>0.56</v>
      </c>
      <c r="L906" s="5" t="str">
        <f>IFERROR(__xludf.DUMMYFUNCTION("""COMPUTED_VALUE"""),"KLH")</f>
        <v>KLH</v>
      </c>
    </row>
    <row r="907">
      <c r="A907" s="168" t="str">
        <f>IFERROR(__xludf.DUMMYFUNCTION("""COMPUTED_VALUE"""),"XD1-MKC-002")</f>
        <v>XD1-MKC-002</v>
      </c>
      <c r="B907" s="3" t="str">
        <f>IFERROR(__xludf.DUMMYFUNCTION("""COMPUTED_VALUE"""),"Máy kéo chuối (Xăng)")</f>
        <v>Máy kéo chuối (Xăng)</v>
      </c>
      <c r="C907" s="5" t="str">
        <f>IFERROR(__xludf.DUMMYFUNCTION("""COMPUTED_VALUE"""),"XN Chuối DP1")</f>
        <v>XN Chuối DP1</v>
      </c>
      <c r="D907" s="5" t="str">
        <f>IFERROR(__xludf.DUMMYFUNCTION("""COMPUTED_VALUE"""),"DREAM")</f>
        <v>DREAM</v>
      </c>
      <c r="E907" s="5" t="str">
        <f>IFERROR(__xludf.DUMMYFUNCTION("""COMPUTED_VALUE"""),"CGH-MKC-DREAM")</f>
        <v>CGH-MKC-DREAM</v>
      </c>
      <c r="F907" s="5"/>
      <c r="G907" s="5" t="str">
        <f>IFERROR(__xludf.DUMMYFUNCTION("""COMPUTED_VALUE"""),"2025")</f>
        <v>2025</v>
      </c>
      <c r="H907" s="5"/>
      <c r="I907" s="5" t="str">
        <f>IFERROR(__xludf.DUMMYFUNCTION("""COMPUTED_VALUE"""),"11")</f>
        <v>11</v>
      </c>
      <c r="J907" s="5"/>
      <c r="K907" s="5">
        <f>IFERROR(__xludf.DUMMYFUNCTION("""COMPUTED_VALUE"""),0.56)</f>
        <v>0.56</v>
      </c>
      <c r="L907" s="5" t="str">
        <f>IFERROR(__xludf.DUMMYFUNCTION("""COMPUTED_VALUE"""),"KLH")</f>
        <v>KLH</v>
      </c>
    </row>
    <row r="908">
      <c r="A908" s="168" t="str">
        <f>IFERROR(__xludf.DUMMYFUNCTION("""COMPUTED_VALUE"""),"XD1-MKC-003")</f>
        <v>XD1-MKC-003</v>
      </c>
      <c r="B908" s="3" t="str">
        <f>IFERROR(__xludf.DUMMYFUNCTION("""COMPUTED_VALUE"""),"Máy kéo chuối (Xăng)")</f>
        <v>Máy kéo chuối (Xăng)</v>
      </c>
      <c r="C908" s="5" t="str">
        <f>IFERROR(__xludf.DUMMYFUNCTION("""COMPUTED_VALUE"""),"XN Chuối DP1")</f>
        <v>XN Chuối DP1</v>
      </c>
      <c r="D908" s="5" t="str">
        <f>IFERROR(__xludf.DUMMYFUNCTION("""COMPUTED_VALUE"""),"DREAM")</f>
        <v>DREAM</v>
      </c>
      <c r="E908" s="5" t="str">
        <f>IFERROR(__xludf.DUMMYFUNCTION("""COMPUTED_VALUE"""),"CGH-MKC-DREAM")</f>
        <v>CGH-MKC-DREAM</v>
      </c>
      <c r="F908" s="5"/>
      <c r="G908" s="5" t="str">
        <f>IFERROR(__xludf.DUMMYFUNCTION("""COMPUTED_VALUE"""),"2024")</f>
        <v>2024</v>
      </c>
      <c r="H908" s="5" t="str">
        <f>IFERROR(__xludf.DUMMYFUNCTION("""COMPUTED_VALUE"""),"9.25HP")</f>
        <v>9.25HP</v>
      </c>
      <c r="I908" s="5" t="str">
        <f>IFERROR(__xludf.DUMMYFUNCTION("""COMPUTED_VALUE"""),"13L05694")</f>
        <v>13L05694</v>
      </c>
      <c r="J908" s="5"/>
      <c r="K908" s="5">
        <f>IFERROR(__xludf.DUMMYFUNCTION("""COMPUTED_VALUE"""),0.56)</f>
        <v>0.56</v>
      </c>
      <c r="L908" s="5" t="str">
        <f>IFERROR(__xludf.DUMMYFUNCTION("""COMPUTED_VALUE"""),"KLH")</f>
        <v>KLH</v>
      </c>
    </row>
    <row r="909">
      <c r="A909" s="168" t="str">
        <f>IFERROR(__xludf.DUMMYFUNCTION("""COMPUTED_VALUE"""),"XD1-MKC-004")</f>
        <v>XD1-MKC-004</v>
      </c>
      <c r="B909" s="3" t="str">
        <f>IFERROR(__xludf.DUMMYFUNCTION("""COMPUTED_VALUE"""),"Máy kéo chuối (Xăng)")</f>
        <v>Máy kéo chuối (Xăng)</v>
      </c>
      <c r="C909" s="5" t="str">
        <f>IFERROR(__xludf.DUMMYFUNCTION("""COMPUTED_VALUE"""),"XN Chuối DP1")</f>
        <v>XN Chuối DP1</v>
      </c>
      <c r="D909" s="5" t="str">
        <f>IFERROR(__xludf.DUMMYFUNCTION("""COMPUTED_VALUE"""),"DREAM")</f>
        <v>DREAM</v>
      </c>
      <c r="E909" s="5" t="str">
        <f>IFERROR(__xludf.DUMMYFUNCTION("""COMPUTED_VALUE"""),"CGH-MKC-DREAM")</f>
        <v>CGH-MKC-DREAM</v>
      </c>
      <c r="F909" s="5"/>
      <c r="G909" s="5" t="str">
        <f>IFERROR(__xludf.DUMMYFUNCTION("""COMPUTED_VALUE"""),"2025")</f>
        <v>2025</v>
      </c>
      <c r="H909" s="5" t="str">
        <f>IFERROR(__xludf.DUMMYFUNCTION("""COMPUTED_VALUE"""),"9.25HP")</f>
        <v>9.25HP</v>
      </c>
      <c r="I909" s="5" t="str">
        <f>IFERROR(__xludf.DUMMYFUNCTION("""COMPUTED_VALUE"""),"11h02011A")</f>
        <v>11h02011A</v>
      </c>
      <c r="J909" s="5"/>
      <c r="K909" s="5">
        <f>IFERROR(__xludf.DUMMYFUNCTION("""COMPUTED_VALUE"""),0.56)</f>
        <v>0.56</v>
      </c>
      <c r="L909" s="5" t="str">
        <f>IFERROR(__xludf.DUMMYFUNCTION("""COMPUTED_VALUE"""),"KLH")</f>
        <v>KLH</v>
      </c>
    </row>
    <row r="910">
      <c r="A910" s="168" t="str">
        <f>IFERROR(__xludf.DUMMYFUNCTION("""COMPUTED_VALUE"""),"XD1-MKC-005")</f>
        <v>XD1-MKC-005</v>
      </c>
      <c r="B910" s="3" t="str">
        <f>IFERROR(__xludf.DUMMYFUNCTION("""COMPUTED_VALUE"""),"Máy kéo chuối (Xăng)")</f>
        <v>Máy kéo chuối (Xăng)</v>
      </c>
      <c r="C910" s="5" t="str">
        <f>IFERROR(__xludf.DUMMYFUNCTION("""COMPUTED_VALUE"""),"XN Chuối DP1")</f>
        <v>XN Chuối DP1</v>
      </c>
      <c r="D910" s="5" t="str">
        <f>IFERROR(__xludf.DUMMYFUNCTION("""COMPUTED_VALUE"""),"DREAM")</f>
        <v>DREAM</v>
      </c>
      <c r="E910" s="5" t="str">
        <f>IFERROR(__xludf.DUMMYFUNCTION("""COMPUTED_VALUE"""),"CGH-MKC-DREAM")</f>
        <v>CGH-MKC-DREAM</v>
      </c>
      <c r="F910" s="5"/>
      <c r="G910" s="5" t="str">
        <f>IFERROR(__xludf.DUMMYFUNCTION("""COMPUTED_VALUE"""),"2025")</f>
        <v>2025</v>
      </c>
      <c r="H910" s="5" t="str">
        <f>IFERROR(__xludf.DUMMYFUNCTION("""COMPUTED_VALUE"""),"9.25HP")</f>
        <v>9.25HP</v>
      </c>
      <c r="I910" s="5"/>
      <c r="J910" s="5"/>
      <c r="K910" s="5">
        <f>IFERROR(__xludf.DUMMYFUNCTION("""COMPUTED_VALUE"""),0.56)</f>
        <v>0.56</v>
      </c>
      <c r="L910" s="5" t="str">
        <f>IFERROR(__xludf.DUMMYFUNCTION("""COMPUTED_VALUE"""),"KLH")</f>
        <v>KLH</v>
      </c>
    </row>
    <row r="911">
      <c r="A911" s="168" t="str">
        <f>IFERROR(__xludf.DUMMYFUNCTION("""COMPUTED_VALUE"""),"XD1-MKC-006")</f>
        <v>XD1-MKC-006</v>
      </c>
      <c r="B911" s="3" t="str">
        <f>IFERROR(__xludf.DUMMYFUNCTION("""COMPUTED_VALUE"""),"Máy kéo chuối (Xăng)")</f>
        <v>Máy kéo chuối (Xăng)</v>
      </c>
      <c r="C911" s="5" t="str">
        <f>IFERROR(__xludf.DUMMYFUNCTION("""COMPUTED_VALUE"""),"XN Chuối DP1")</f>
        <v>XN Chuối DP1</v>
      </c>
      <c r="D911" s="5" t="str">
        <f>IFERROR(__xludf.DUMMYFUNCTION("""COMPUTED_VALUE"""),"DREAM")</f>
        <v>DREAM</v>
      </c>
      <c r="E911" s="5" t="str">
        <f>IFERROR(__xludf.DUMMYFUNCTION("""COMPUTED_VALUE"""),"XKC-11")</f>
        <v>XKC-11</v>
      </c>
      <c r="F911" s="5"/>
      <c r="G911" s="5" t="str">
        <f>IFERROR(__xludf.DUMMYFUNCTION("""COMPUTED_VALUE"""),"2025")</f>
        <v>2025</v>
      </c>
      <c r="H911" s="5" t="str">
        <f>IFERROR(__xludf.DUMMYFUNCTION("""COMPUTED_VALUE"""),"9.25HP")</f>
        <v>9.25HP</v>
      </c>
      <c r="I911" s="5" t="str">
        <f>IFERROR(__xludf.DUMMYFUNCTION("""COMPUTED_VALUE"""),"11")</f>
        <v>11</v>
      </c>
      <c r="J911" s="5"/>
      <c r="K911" s="5">
        <f>IFERROR(__xludf.DUMMYFUNCTION("""COMPUTED_VALUE"""),0.56)</f>
        <v>0.56</v>
      </c>
      <c r="L911" s="5" t="str">
        <f>IFERROR(__xludf.DUMMYFUNCTION("""COMPUTED_VALUE"""),"KLH")</f>
        <v>KLH</v>
      </c>
    </row>
    <row r="912">
      <c r="A912" s="168" t="str">
        <f>IFERROR(__xludf.DUMMYFUNCTION("""COMPUTED_VALUE"""),"XD1-MKC-007")</f>
        <v>XD1-MKC-007</v>
      </c>
      <c r="B912" s="3" t="str">
        <f>IFERROR(__xludf.DUMMYFUNCTION("""COMPUTED_VALUE"""),"Máy kéo chuối (Xăng)")</f>
        <v>Máy kéo chuối (Xăng)</v>
      </c>
      <c r="C912" s="5" t="str">
        <f>IFERROR(__xludf.DUMMYFUNCTION("""COMPUTED_VALUE"""),"XN Chuối DP1")</f>
        <v>XN Chuối DP1</v>
      </c>
      <c r="D912" s="5" t="str">
        <f>IFERROR(__xludf.DUMMYFUNCTION("""COMPUTED_VALUE"""),"DREAM")</f>
        <v>DREAM</v>
      </c>
      <c r="E912" s="5" t="str">
        <f>IFERROR(__xludf.DUMMYFUNCTION("""COMPUTED_VALUE"""),"XKC-11")</f>
        <v>XKC-11</v>
      </c>
      <c r="F912" s="5"/>
      <c r="G912" s="5" t="str">
        <f>IFERROR(__xludf.DUMMYFUNCTION("""COMPUTED_VALUE"""),"2025")</f>
        <v>2025</v>
      </c>
      <c r="H912" s="5" t="str">
        <f>IFERROR(__xludf.DUMMYFUNCTION("""COMPUTED_VALUE"""),"9.25HP")</f>
        <v>9.25HP</v>
      </c>
      <c r="I912" s="5" t="str">
        <f>IFERROR(__xludf.DUMMYFUNCTION("""COMPUTED_VALUE"""),"11")</f>
        <v>11</v>
      </c>
      <c r="J912" s="5"/>
      <c r="K912" s="5">
        <f>IFERROR(__xludf.DUMMYFUNCTION("""COMPUTED_VALUE"""),0.56)</f>
        <v>0.56</v>
      </c>
      <c r="L912" s="5" t="str">
        <f>IFERROR(__xludf.DUMMYFUNCTION("""COMPUTED_VALUE"""),"KLH")</f>
        <v>KLH</v>
      </c>
    </row>
    <row r="913">
      <c r="A913" s="168" t="str">
        <f>IFERROR(__xludf.DUMMYFUNCTION("""COMPUTED_VALUE"""),"XD1-MKC-008")</f>
        <v>XD1-MKC-008</v>
      </c>
      <c r="B913" s="3" t="str">
        <f>IFERROR(__xludf.DUMMYFUNCTION("""COMPUTED_VALUE"""),"Máy kéo chuối (Xăng)")</f>
        <v>Máy kéo chuối (Xăng)</v>
      </c>
      <c r="C913" s="5" t="str">
        <f>IFERROR(__xludf.DUMMYFUNCTION("""COMPUTED_VALUE"""),"XN Chuối DP1")</f>
        <v>XN Chuối DP1</v>
      </c>
      <c r="D913" s="5" t="str">
        <f>IFERROR(__xludf.DUMMYFUNCTION("""COMPUTED_VALUE"""),"DREAM")</f>
        <v>DREAM</v>
      </c>
      <c r="E913" s="5" t="str">
        <f>IFERROR(__xludf.DUMMYFUNCTION("""COMPUTED_VALUE"""),"XKC-16")</f>
        <v>XKC-16</v>
      </c>
      <c r="F913" s="5"/>
      <c r="G913" s="5" t="str">
        <f>IFERROR(__xludf.DUMMYFUNCTION("""COMPUTED_VALUE"""),"2025")</f>
        <v>2025</v>
      </c>
      <c r="H913" s="5" t="str">
        <f>IFERROR(__xludf.DUMMYFUNCTION("""COMPUTED_VALUE"""),"9,5 HP")</f>
        <v>9,5 HP</v>
      </c>
      <c r="I913" s="5" t="str">
        <f>IFERROR(__xludf.DUMMYFUNCTION("""COMPUTED_VALUE"""),"18")</f>
        <v>18</v>
      </c>
      <c r="J913" s="5"/>
      <c r="K913" s="5">
        <f>IFERROR(__xludf.DUMMYFUNCTION("""COMPUTED_VALUE"""),0.56)</f>
        <v>0.56</v>
      </c>
      <c r="L913" s="5" t="str">
        <f>IFERROR(__xludf.DUMMYFUNCTION("""COMPUTED_VALUE"""),"KLH")</f>
        <v>KLH</v>
      </c>
    </row>
    <row r="914">
      <c r="A914" s="168" t="str">
        <f>IFERROR(__xludf.DUMMYFUNCTION("""COMPUTED_VALUE"""),"XD1-MKC-009")</f>
        <v>XD1-MKC-009</v>
      </c>
      <c r="B914" s="3" t="str">
        <f>IFERROR(__xludf.DUMMYFUNCTION("""COMPUTED_VALUE"""),"Máy kéo chuối (Xăng)")</f>
        <v>Máy kéo chuối (Xăng)</v>
      </c>
      <c r="C914" s="5" t="str">
        <f>IFERROR(__xludf.DUMMYFUNCTION("""COMPUTED_VALUE"""),"XN Chuối DP1")</f>
        <v>XN Chuối DP1</v>
      </c>
      <c r="D914" s="5" t="str">
        <f>IFERROR(__xludf.DUMMYFUNCTION("""COMPUTED_VALUE"""),"THACO AGRI")</f>
        <v>THACO AGRI</v>
      </c>
      <c r="E914" s="5" t="str">
        <f>IFERROR(__xludf.DUMMYFUNCTION("""COMPUTED_VALUE"""),"XKC-24")</f>
        <v>XKC-24</v>
      </c>
      <c r="F914" s="5"/>
      <c r="G914" s="5" t="str">
        <f>IFERROR(__xludf.DUMMYFUNCTION("""COMPUTED_VALUE"""),"2025")</f>
        <v>2025</v>
      </c>
      <c r="H914" s="5" t="str">
        <f>IFERROR(__xludf.DUMMYFUNCTION("""COMPUTED_VALUE"""),"9,5 HP")</f>
        <v>9,5 HP</v>
      </c>
      <c r="I914" s="5" t="str">
        <f>IFERROR(__xludf.DUMMYFUNCTION("""COMPUTED_VALUE"""),"24")</f>
        <v>24</v>
      </c>
      <c r="J914" s="5"/>
      <c r="K914" s="5">
        <f>IFERROR(__xludf.DUMMYFUNCTION("""COMPUTED_VALUE"""),0.56)</f>
        <v>0.56</v>
      </c>
      <c r="L914" s="5" t="str">
        <f>IFERROR(__xludf.DUMMYFUNCTION("""COMPUTED_VALUE"""),"KLH")</f>
        <v>KLH</v>
      </c>
    </row>
    <row r="915">
      <c r="A915" s="168" t="str">
        <f>IFERROR(__xludf.DUMMYFUNCTION("""COMPUTED_VALUE"""),"XD1-MKC-010")</f>
        <v>XD1-MKC-010</v>
      </c>
      <c r="B915" s="3" t="str">
        <f>IFERROR(__xludf.DUMMYFUNCTION("""COMPUTED_VALUE"""),"Máy kéo chuối (Xăng)")</f>
        <v>Máy kéo chuối (Xăng)</v>
      </c>
      <c r="C915" s="5" t="str">
        <f>IFERROR(__xludf.DUMMYFUNCTION("""COMPUTED_VALUE"""),"XN Chuối DP1")</f>
        <v>XN Chuối DP1</v>
      </c>
      <c r="D915" s="5" t="str">
        <f>IFERROR(__xludf.DUMMYFUNCTION("""COMPUTED_VALUE"""),"DREAM")</f>
        <v>DREAM</v>
      </c>
      <c r="E915" s="5" t="str">
        <f>IFERROR(__xludf.DUMMYFUNCTION("""COMPUTED_VALUE"""),"XKC-30")</f>
        <v>XKC-30</v>
      </c>
      <c r="F915" s="5"/>
      <c r="G915" s="5" t="str">
        <f>IFERROR(__xludf.DUMMYFUNCTION("""COMPUTED_VALUE"""),"2025")</f>
        <v>2025</v>
      </c>
      <c r="H915" s="5"/>
      <c r="I915" s="5"/>
      <c r="J915" s="5"/>
      <c r="K915" s="5">
        <f>IFERROR(__xludf.DUMMYFUNCTION("""COMPUTED_VALUE"""),0.56)</f>
        <v>0.56</v>
      </c>
      <c r="L915" s="5" t="str">
        <f>IFERROR(__xludf.DUMMYFUNCTION("""COMPUTED_VALUE"""),"KLH")</f>
        <v>KLH</v>
      </c>
    </row>
    <row r="916">
      <c r="A916" s="168" t="str">
        <f>IFERROR(__xludf.DUMMYFUNCTION("""COMPUTED_VALUE"""),"XD1-MKC-011")</f>
        <v>XD1-MKC-011</v>
      </c>
      <c r="B916" s="3" t="str">
        <f>IFERROR(__xludf.DUMMYFUNCTION("""COMPUTED_VALUE"""),"Máy kéo chuối (Xăng)")</f>
        <v>Máy kéo chuối (Xăng)</v>
      </c>
      <c r="C916" s="5" t="str">
        <f>IFERROR(__xludf.DUMMYFUNCTION("""COMPUTED_VALUE"""),"XN Chuối DP1")</f>
        <v>XN Chuối DP1</v>
      </c>
      <c r="D916" s="5" t="str">
        <f>IFERROR(__xludf.DUMMYFUNCTION("""COMPUTED_VALUE"""),"DREAM")</f>
        <v>DREAM</v>
      </c>
      <c r="E916" s="5" t="str">
        <f>IFERROR(__xludf.DUMMYFUNCTION("""COMPUTED_VALUE"""),"XKC-28")</f>
        <v>XKC-28</v>
      </c>
      <c r="F916" s="5"/>
      <c r="G916" s="5" t="str">
        <f>IFERROR(__xludf.DUMMYFUNCTION("""COMPUTED_VALUE"""),"2025")</f>
        <v>2025</v>
      </c>
      <c r="H916" s="5"/>
      <c r="I916" s="5"/>
      <c r="J916" s="5"/>
      <c r="K916" s="5">
        <f>IFERROR(__xludf.DUMMYFUNCTION("""COMPUTED_VALUE"""),0.56)</f>
        <v>0.56</v>
      </c>
      <c r="L916" s="5" t="str">
        <f>IFERROR(__xludf.DUMMYFUNCTION("""COMPUTED_VALUE"""),"KLH")</f>
        <v>KLH</v>
      </c>
    </row>
    <row r="917">
      <c r="A917" s="168" t="str">
        <f>IFERROR(__xludf.DUMMYFUNCTION("""COMPUTED_VALUE"""),"XD1-MKC-012")</f>
        <v>XD1-MKC-012</v>
      </c>
      <c r="B917" s="3" t="str">
        <f>IFERROR(__xludf.DUMMYFUNCTION("""COMPUTED_VALUE"""),"Máy kéo chuối (Xăng)")</f>
        <v>Máy kéo chuối (Xăng)</v>
      </c>
      <c r="C917" s="5" t="str">
        <f>IFERROR(__xludf.DUMMYFUNCTION("""COMPUTED_VALUE"""),"XN Chuối DP1")</f>
        <v>XN Chuối DP1</v>
      </c>
      <c r="D917" s="5" t="str">
        <f>IFERROR(__xludf.DUMMYFUNCTION("""COMPUTED_VALUE"""),"DREAM")</f>
        <v>DREAM</v>
      </c>
      <c r="E917" s="5" t="str">
        <f>IFERROR(__xludf.DUMMYFUNCTION("""COMPUTED_VALUE"""),"XKC-033")</f>
        <v>XKC-033</v>
      </c>
      <c r="F917" s="5"/>
      <c r="G917" s="5" t="str">
        <f>IFERROR(__xludf.DUMMYFUNCTION("""COMPUTED_VALUE"""),"2025")</f>
        <v>2025</v>
      </c>
      <c r="H917" s="5"/>
      <c r="I917" s="5"/>
      <c r="J917" s="5"/>
      <c r="K917" s="5">
        <f>IFERROR(__xludf.DUMMYFUNCTION("""COMPUTED_VALUE"""),0.56)</f>
        <v>0.56</v>
      </c>
      <c r="L917" s="5" t="str">
        <f>IFERROR(__xludf.DUMMYFUNCTION("""COMPUTED_VALUE"""),"KLH")</f>
        <v>KLH</v>
      </c>
    </row>
    <row r="918">
      <c r="A918" s="168" t="str">
        <f>IFERROR(__xludf.DUMMYFUNCTION("""COMPUTED_VALUE"""),"XD1-MKC-013")</f>
        <v>XD1-MKC-013</v>
      </c>
      <c r="B918" s="3" t="str">
        <f>IFERROR(__xludf.DUMMYFUNCTION("""COMPUTED_VALUE"""),"Máy kéo chuối (Xăng)")</f>
        <v>Máy kéo chuối (Xăng)</v>
      </c>
      <c r="C918" s="5" t="str">
        <f>IFERROR(__xludf.DUMMYFUNCTION("""COMPUTED_VALUE"""),"XN Chuối DP1")</f>
        <v>XN Chuối DP1</v>
      </c>
      <c r="D918" s="5" t="str">
        <f>IFERROR(__xludf.DUMMYFUNCTION("""COMPUTED_VALUE"""),"DREAM")</f>
        <v>DREAM</v>
      </c>
      <c r="E918" s="5" t="str">
        <f>IFERROR(__xludf.DUMMYFUNCTION("""COMPUTED_VALUE"""),"XKC-39")</f>
        <v>XKC-39</v>
      </c>
      <c r="F918" s="5"/>
      <c r="G918" s="5" t="str">
        <f>IFERROR(__xludf.DUMMYFUNCTION("""COMPUTED_VALUE"""),"2025")</f>
        <v>2025</v>
      </c>
      <c r="H918" s="5"/>
      <c r="I918" s="5"/>
      <c r="J918" s="5"/>
      <c r="K918" s="5">
        <f>IFERROR(__xludf.DUMMYFUNCTION("""COMPUTED_VALUE"""),0.56)</f>
        <v>0.56</v>
      </c>
      <c r="L918" s="5" t="str">
        <f>IFERROR(__xludf.DUMMYFUNCTION("""COMPUTED_VALUE"""),"KLH")</f>
        <v>KLH</v>
      </c>
    </row>
    <row r="919">
      <c r="A919" s="168" t="str">
        <f>IFERROR(__xludf.DUMMYFUNCTION("""COMPUTED_VALUE"""),"XD1-MKC-014")</f>
        <v>XD1-MKC-014</v>
      </c>
      <c r="B919" s="3" t="str">
        <f>IFERROR(__xludf.DUMMYFUNCTION("""COMPUTED_VALUE"""),"Máy kéo chuối (Xăng)")</f>
        <v>Máy kéo chuối (Xăng)</v>
      </c>
      <c r="C919" s="5" t="str">
        <f>IFERROR(__xludf.DUMMYFUNCTION("""COMPUTED_VALUE"""),"XN Chuối DP1")</f>
        <v>XN Chuối DP1</v>
      </c>
      <c r="D919" s="5" t="str">
        <f>IFERROR(__xludf.DUMMYFUNCTION("""COMPUTED_VALUE"""),"DREAM")</f>
        <v>DREAM</v>
      </c>
      <c r="E919" s="5" t="str">
        <f>IFERROR(__xludf.DUMMYFUNCTION("""COMPUTED_VALUE"""),"XKC-46")</f>
        <v>XKC-46</v>
      </c>
      <c r="F919" s="5"/>
      <c r="G919" s="5" t="str">
        <f>IFERROR(__xludf.DUMMYFUNCTION("""COMPUTED_VALUE"""),"2025")</f>
        <v>2025</v>
      </c>
      <c r="H919" s="5"/>
      <c r="I919" s="5"/>
      <c r="J919" s="5"/>
      <c r="K919" s="5">
        <f>IFERROR(__xludf.DUMMYFUNCTION("""COMPUTED_VALUE"""),0.56)</f>
        <v>0.56</v>
      </c>
      <c r="L919" s="5" t="str">
        <f>IFERROR(__xludf.DUMMYFUNCTION("""COMPUTED_VALUE"""),"KLH")</f>
        <v>KLH</v>
      </c>
    </row>
    <row r="920">
      <c r="A920" s="168" t="str">
        <f>IFERROR(__xludf.DUMMYFUNCTION("""COMPUTED_VALUE"""),"XD1-MKC-015")</f>
        <v>XD1-MKC-015</v>
      </c>
      <c r="B920" s="3" t="str">
        <f>IFERROR(__xludf.DUMMYFUNCTION("""COMPUTED_VALUE"""),"Máy kéo chuối (Xăng)")</f>
        <v>Máy kéo chuối (Xăng)</v>
      </c>
      <c r="C920" s="5" t="str">
        <f>IFERROR(__xludf.DUMMYFUNCTION("""COMPUTED_VALUE"""),"XN Chuối DP1")</f>
        <v>XN Chuối DP1</v>
      </c>
      <c r="D920" s="5" t="str">
        <f>IFERROR(__xludf.DUMMYFUNCTION("""COMPUTED_VALUE"""),"DREAM")</f>
        <v>DREAM</v>
      </c>
      <c r="E920" s="5" t="str">
        <f>IFERROR(__xludf.DUMMYFUNCTION("""COMPUTED_VALUE"""),"XKC-51")</f>
        <v>XKC-51</v>
      </c>
      <c r="F920" s="5"/>
      <c r="G920" s="5" t="str">
        <f>IFERROR(__xludf.DUMMYFUNCTION("""COMPUTED_VALUE"""),"2025")</f>
        <v>2025</v>
      </c>
      <c r="H920" s="5"/>
      <c r="I920" s="5"/>
      <c r="J920" s="5"/>
      <c r="K920" s="5">
        <f>IFERROR(__xludf.DUMMYFUNCTION("""COMPUTED_VALUE"""),0.56)</f>
        <v>0.56</v>
      </c>
      <c r="L920" s="5" t="str">
        <f>IFERROR(__xludf.DUMMYFUNCTION("""COMPUTED_VALUE"""),"KLH")</f>
        <v>KLH</v>
      </c>
    </row>
    <row r="921">
      <c r="A921" s="168" t="str">
        <f>IFERROR(__xludf.DUMMYFUNCTION("""COMPUTED_VALUE"""),"XD1-MKC-016")</f>
        <v>XD1-MKC-016</v>
      </c>
      <c r="B921" s="3" t="str">
        <f>IFERROR(__xludf.DUMMYFUNCTION("""COMPUTED_VALUE"""),"Máy kéo chuối (Xăng)")</f>
        <v>Máy kéo chuối (Xăng)</v>
      </c>
      <c r="C921" s="5" t="str">
        <f>IFERROR(__xludf.DUMMYFUNCTION("""COMPUTED_VALUE"""),"XN Chuối DP1")</f>
        <v>XN Chuối DP1</v>
      </c>
      <c r="D921" s="5" t="str">
        <f>IFERROR(__xludf.DUMMYFUNCTION("""COMPUTED_VALUE"""),"DREAM")</f>
        <v>DREAM</v>
      </c>
      <c r="E921" s="5" t="str">
        <f>IFERROR(__xludf.DUMMYFUNCTION("""COMPUTED_VALUE"""),"XKC-54")</f>
        <v>XKC-54</v>
      </c>
      <c r="F921" s="5"/>
      <c r="G921" s="5" t="str">
        <f>IFERROR(__xludf.DUMMYFUNCTION("""COMPUTED_VALUE"""),"2025")</f>
        <v>2025</v>
      </c>
      <c r="H921" s="5"/>
      <c r="I921" s="5"/>
      <c r="J921" s="5"/>
      <c r="K921" s="5">
        <f>IFERROR(__xludf.DUMMYFUNCTION("""COMPUTED_VALUE"""),0.56)</f>
        <v>0.56</v>
      </c>
      <c r="L921" s="5" t="str">
        <f>IFERROR(__xludf.DUMMYFUNCTION("""COMPUTED_VALUE"""),"KLH")</f>
        <v>KLH</v>
      </c>
    </row>
    <row r="922">
      <c r="A922" s="168" t="str">
        <f>IFERROR(__xludf.DUMMYFUNCTION("""COMPUTED_VALUE"""),"XD1-MBC-001")</f>
        <v>XD1-MBC-001</v>
      </c>
      <c r="B922" s="3" t="str">
        <f>IFERROR(__xludf.DUMMYFUNCTION("""COMPUTED_VALUE"""),"Máy băm công nghiệp cố định 15Kw")</f>
        <v>Máy băm công nghiệp cố định 15Kw</v>
      </c>
      <c r="C922" s="5" t="str">
        <f>IFERROR(__xludf.DUMMYFUNCTION("""COMPUTED_VALUE"""),"XN Chuối DP1")</f>
        <v>XN Chuối DP1</v>
      </c>
      <c r="D922" s="5" t="str">
        <f>IFERROR(__xludf.DUMMYFUNCTION("""COMPUTED_VALUE"""),"THACO AGRI")</f>
        <v>THACO AGRI</v>
      </c>
      <c r="E922" s="5" t="str">
        <f>IFERROR(__xludf.DUMMYFUNCTION("""COMPUTED_VALUE"""),"15Kw")</f>
        <v>15Kw</v>
      </c>
      <c r="F922" s="5"/>
      <c r="G922" s="5"/>
      <c r="H922" s="5"/>
      <c r="I922" s="5"/>
      <c r="J922" s="5"/>
      <c r="K922" s="5"/>
      <c r="L922" s="5" t="str">
        <f>IFERROR(__xludf.DUMMYFUNCTION("""COMPUTED_VALUE"""),"KLH")</f>
        <v>KLH</v>
      </c>
    </row>
    <row r="923">
      <c r="A923" s="168" t="str">
        <f>IFERROR(__xludf.DUMMYFUNCTION("""COMPUTED_VALUE"""),"XD1-MBC-003")</f>
        <v>XD1-MBC-003</v>
      </c>
      <c r="B923" s="3" t="str">
        <f>IFERROR(__xludf.DUMMYFUNCTION("""COMPUTED_VALUE"""),"Máy băm cố định")</f>
        <v>Máy băm cố định</v>
      </c>
      <c r="C923" s="5" t="str">
        <f>IFERROR(__xludf.DUMMYFUNCTION("""COMPUTED_VALUE"""),"XN Chuối DP1")</f>
        <v>XN Chuối DP1</v>
      </c>
      <c r="D923" s="5" t="str">
        <f>IFERROR(__xludf.DUMMYFUNCTION("""COMPUTED_VALUE"""),"THACO AGRI")</f>
        <v>THACO AGRI</v>
      </c>
      <c r="E923" s="5"/>
      <c r="F923" s="5"/>
      <c r="G923" s="5"/>
      <c r="H923" s="5"/>
      <c r="I923" s="5"/>
      <c r="J923" s="5"/>
      <c r="K923" s="5"/>
      <c r="L923" s="5" t="str">
        <f>IFERROR(__xludf.DUMMYFUNCTION("""COMPUTED_VALUE"""),"KLH")</f>
        <v>KLH</v>
      </c>
    </row>
    <row r="924">
      <c r="A924" s="168" t="str">
        <f>IFERROR(__xludf.DUMMYFUNCTION("""COMPUTED_VALUE"""),"XD1-MPT-001")</f>
        <v>XD1-MPT-001</v>
      </c>
      <c r="B924" s="3" t="str">
        <f>IFERROR(__xludf.DUMMYFUNCTION("""COMPUTED_VALUE"""),"Máy phun thuốc RELOAD 7045")</f>
        <v>Máy phun thuốc RELOAD 7045</v>
      </c>
      <c r="C924" s="5" t="str">
        <f>IFERROR(__xludf.DUMMYFUNCTION("""COMPUTED_VALUE"""),"XN Chuối DP1")</f>
        <v>XN Chuối DP1</v>
      </c>
      <c r="D924" s="5" t="str">
        <f>IFERROR(__xludf.DUMMYFUNCTION("""COMPUTED_VALUE"""),"RELOAD")</f>
        <v>RELOAD</v>
      </c>
      <c r="E924" s="5" t="str">
        <f>IFERROR(__xludf.DUMMYFUNCTION("""COMPUTED_VALUE"""),"7045")</f>
        <v>7045</v>
      </c>
      <c r="F924" s="5"/>
      <c r="G924" s="5" t="str">
        <f>IFERROR(__xludf.DUMMYFUNCTION("""COMPUTED_VALUE"""),"2025")</f>
        <v>2025</v>
      </c>
      <c r="H924" s="5" t="str">
        <f>IFERROR(__xludf.DUMMYFUNCTION("""COMPUTED_VALUE"""),"7 Hp")</f>
        <v>7 Hp</v>
      </c>
      <c r="I924" s="5" t="str">
        <f>IFERROR(__xludf.DUMMYFUNCTION("""COMPUTED_VALUE"""),"H0058740")</f>
        <v>H0058740</v>
      </c>
      <c r="J924" s="5"/>
      <c r="K924" s="5">
        <f>IFERROR(__xludf.DUMMYFUNCTION("""COMPUTED_VALUE"""),1.2)</f>
        <v>1.2</v>
      </c>
      <c r="L924" s="5" t="str">
        <f>IFERROR(__xludf.DUMMYFUNCTION("""COMPUTED_VALUE"""),"KLH")</f>
        <v>KLH</v>
      </c>
    </row>
    <row r="925">
      <c r="A925" s="168" t="str">
        <f>IFERROR(__xludf.DUMMYFUNCTION("""COMPUTED_VALUE"""),"XD1-MPT-002")</f>
        <v>XD1-MPT-002</v>
      </c>
      <c r="B925" s="3" t="str">
        <f>IFERROR(__xludf.DUMMYFUNCTION("""COMPUTED_VALUE"""),"Máy phun thuốc RELOAD 7045")</f>
        <v>Máy phun thuốc RELOAD 7045</v>
      </c>
      <c r="C925" s="5" t="str">
        <f>IFERROR(__xludf.DUMMYFUNCTION("""COMPUTED_VALUE"""),"XN Chuối DP1")</f>
        <v>XN Chuối DP1</v>
      </c>
      <c r="D925" s="5" t="str">
        <f>IFERROR(__xludf.DUMMYFUNCTION("""COMPUTED_VALUE"""),"RELOAD")</f>
        <v>RELOAD</v>
      </c>
      <c r="E925" s="5" t="str">
        <f>IFERROR(__xludf.DUMMYFUNCTION("""COMPUTED_VALUE"""),"7045")</f>
        <v>7045</v>
      </c>
      <c r="F925" s="5"/>
      <c r="G925" s="5" t="str">
        <f>IFERROR(__xludf.DUMMYFUNCTION("""COMPUTED_VALUE"""),"2025")</f>
        <v>2025</v>
      </c>
      <c r="H925" s="5" t="str">
        <f>IFERROR(__xludf.DUMMYFUNCTION("""COMPUTED_VALUE"""),"7 Hp")</f>
        <v>7 Hp</v>
      </c>
      <c r="I925" s="5" t="str">
        <f>IFERROR(__xludf.DUMMYFUNCTION("""COMPUTED_VALUE"""),"H0058744")</f>
        <v>H0058744</v>
      </c>
      <c r="J925" s="5"/>
      <c r="K925" s="5">
        <f>IFERROR(__xludf.DUMMYFUNCTION("""COMPUTED_VALUE"""),1.2)</f>
        <v>1.2</v>
      </c>
      <c r="L925" s="5" t="str">
        <f>IFERROR(__xludf.DUMMYFUNCTION("""COMPUTED_VALUE"""),"KLH")</f>
        <v>KLH</v>
      </c>
    </row>
    <row r="926">
      <c r="A926" s="168" t="str">
        <f>IFERROR(__xludf.DUMMYFUNCTION("""COMPUTED_VALUE"""),"XD1-MPT-003")</f>
        <v>XD1-MPT-003</v>
      </c>
      <c r="B926" s="3" t="str">
        <f>IFERROR(__xludf.DUMMYFUNCTION("""COMPUTED_VALUE"""),"Máy phun thuốc RELOAD 7045")</f>
        <v>Máy phun thuốc RELOAD 7045</v>
      </c>
      <c r="C926" s="5" t="str">
        <f>IFERROR(__xludf.DUMMYFUNCTION("""COMPUTED_VALUE"""),"XN Chuối DP1")</f>
        <v>XN Chuối DP1</v>
      </c>
      <c r="D926" s="5" t="str">
        <f>IFERROR(__xludf.DUMMYFUNCTION("""COMPUTED_VALUE"""),"RELOAD")</f>
        <v>RELOAD</v>
      </c>
      <c r="E926" s="5" t="str">
        <f>IFERROR(__xludf.DUMMYFUNCTION("""COMPUTED_VALUE"""),"7045")</f>
        <v>7045</v>
      </c>
      <c r="F926" s="5"/>
      <c r="G926" s="5" t="str">
        <f>IFERROR(__xludf.DUMMYFUNCTION("""COMPUTED_VALUE"""),"2025")</f>
        <v>2025</v>
      </c>
      <c r="H926" s="5" t="str">
        <f>IFERROR(__xludf.DUMMYFUNCTION("""COMPUTED_VALUE"""),"7 Hp")</f>
        <v>7 Hp</v>
      </c>
      <c r="I926" s="5" t="str">
        <f>IFERROR(__xludf.DUMMYFUNCTION("""COMPUTED_VALUE"""),"H0058759")</f>
        <v>H0058759</v>
      </c>
      <c r="J926" s="5"/>
      <c r="K926" s="5">
        <f>IFERROR(__xludf.DUMMYFUNCTION("""COMPUTED_VALUE"""),1.2)</f>
        <v>1.2</v>
      </c>
      <c r="L926" s="5" t="str">
        <f>IFERROR(__xludf.DUMMYFUNCTION("""COMPUTED_VALUE"""),"KLH")</f>
        <v>KLH</v>
      </c>
    </row>
    <row r="927">
      <c r="A927" s="168" t="str">
        <f>IFERROR(__xludf.DUMMYFUNCTION("""COMPUTED_VALUE"""),"XD1-MPT-004")</f>
        <v>XD1-MPT-004</v>
      </c>
      <c r="B927" s="3" t="str">
        <f>IFERROR(__xludf.DUMMYFUNCTION("""COMPUTED_VALUE"""),"Máy phun thuốc RELOAD 7045")</f>
        <v>Máy phun thuốc RELOAD 7045</v>
      </c>
      <c r="C927" s="5" t="str">
        <f>IFERROR(__xludf.DUMMYFUNCTION("""COMPUTED_VALUE"""),"XN Chuối DP1")</f>
        <v>XN Chuối DP1</v>
      </c>
      <c r="D927" s="5" t="str">
        <f>IFERROR(__xludf.DUMMYFUNCTION("""COMPUTED_VALUE"""),"RELOAD")</f>
        <v>RELOAD</v>
      </c>
      <c r="E927" s="5" t="str">
        <f>IFERROR(__xludf.DUMMYFUNCTION("""COMPUTED_VALUE"""),"7045")</f>
        <v>7045</v>
      </c>
      <c r="F927" s="5"/>
      <c r="G927" s="5" t="str">
        <f>IFERROR(__xludf.DUMMYFUNCTION("""COMPUTED_VALUE"""),"2025")</f>
        <v>2025</v>
      </c>
      <c r="H927" s="5" t="str">
        <f>IFERROR(__xludf.DUMMYFUNCTION("""COMPUTED_VALUE"""),"7 Hp")</f>
        <v>7 Hp</v>
      </c>
      <c r="I927" s="5" t="str">
        <f>IFERROR(__xludf.DUMMYFUNCTION("""COMPUTED_VALUE"""),"H0058786")</f>
        <v>H0058786</v>
      </c>
      <c r="J927" s="5"/>
      <c r="K927" s="5">
        <f>IFERROR(__xludf.DUMMYFUNCTION("""COMPUTED_VALUE"""),1.2)</f>
        <v>1.2</v>
      </c>
      <c r="L927" s="5" t="str">
        <f>IFERROR(__xludf.DUMMYFUNCTION("""COMPUTED_VALUE"""),"KLH")</f>
        <v>KLH</v>
      </c>
    </row>
    <row r="928">
      <c r="A928" s="168" t="str">
        <f>IFERROR(__xludf.DUMMYFUNCTION("""COMPUTED_VALUE"""),"Xí nghiệp chuối DP2")</f>
        <v>Xí nghiệp chuối DP2</v>
      </c>
      <c r="B928" s="3"/>
      <c r="C928" s="5"/>
      <c r="D928" s="5"/>
      <c r="E928" s="5"/>
      <c r="F928" s="5"/>
      <c r="G928" s="5"/>
      <c r="H928" s="5"/>
      <c r="I928" s="5"/>
      <c r="J928" s="5"/>
      <c r="K928" s="5"/>
      <c r="L928" s="5" t="str">
        <f>IFERROR(__xludf.DUMMYFUNCTION("""COMPUTED_VALUE"""),"KLH")</f>
        <v>KLH</v>
      </c>
    </row>
    <row r="929">
      <c r="A929" s="168" t="str">
        <f>IFERROR(__xludf.DUMMYFUNCTION("""COMPUTED_VALUE"""),"XD2-RMC-002")</f>
        <v>XD2-RMC-002</v>
      </c>
      <c r="B929" s="3" t="str">
        <f>IFERROR(__xludf.DUMMYFUNCTION("""COMPUTED_VALUE"""),"Rơ mooc thu hoạch")</f>
        <v>Rơ mooc thu hoạch</v>
      </c>
      <c r="C929" s="5" t="str">
        <f>IFERROR(__xludf.DUMMYFUNCTION("""COMPUTED_VALUE"""),"XN Chuối DP2")</f>
        <v>XN Chuối DP2</v>
      </c>
      <c r="D929" s="5" t="str">
        <f>IFERROR(__xludf.DUMMYFUNCTION("""COMPUTED_VALUE"""),"THACO AGRI")</f>
        <v>THACO AGRI</v>
      </c>
      <c r="E929" s="5"/>
      <c r="F929" s="5"/>
      <c r="G929" s="5"/>
      <c r="H929" s="5"/>
      <c r="I929" s="5" t="str">
        <f>IFERROR(__xludf.DUMMYFUNCTION("""COMPUTED_VALUE"""),"40")</f>
        <v>40</v>
      </c>
      <c r="J929" s="5"/>
      <c r="K929" s="5"/>
      <c r="L929" s="5" t="str">
        <f>IFERROR(__xludf.DUMMYFUNCTION("""COMPUTED_VALUE"""),"KLH")</f>
        <v>KLH</v>
      </c>
    </row>
    <row r="930">
      <c r="A930" s="168" t="str">
        <f>IFERROR(__xludf.DUMMYFUNCTION("""COMPUTED_VALUE"""),"XD2-RMC-003")</f>
        <v>XD2-RMC-003</v>
      </c>
      <c r="B930" s="3" t="str">
        <f>IFERROR(__xludf.DUMMYFUNCTION("""COMPUTED_VALUE"""),"Rơ mooc thu hoạch")</f>
        <v>Rơ mooc thu hoạch</v>
      </c>
      <c r="C930" s="5" t="str">
        <f>IFERROR(__xludf.DUMMYFUNCTION("""COMPUTED_VALUE"""),"XN Chuối DP2")</f>
        <v>XN Chuối DP2</v>
      </c>
      <c r="D930" s="5" t="str">
        <f>IFERROR(__xludf.DUMMYFUNCTION("""COMPUTED_VALUE"""),"THACO AGRI")</f>
        <v>THACO AGRI</v>
      </c>
      <c r="E930" s="5"/>
      <c r="F930" s="5"/>
      <c r="G930" s="5"/>
      <c r="H930" s="5"/>
      <c r="I930" s="5" t="str">
        <f>IFERROR(__xludf.DUMMYFUNCTION("""COMPUTED_VALUE"""),"40")</f>
        <v>40</v>
      </c>
      <c r="J930" s="5"/>
      <c r="K930" s="5"/>
      <c r="L930" s="5" t="str">
        <f>IFERROR(__xludf.DUMMYFUNCTION("""COMPUTED_VALUE"""),"KLH")</f>
        <v>KLH</v>
      </c>
    </row>
    <row r="931">
      <c r="A931" s="168" t="str">
        <f>IFERROR(__xludf.DUMMYFUNCTION("""COMPUTED_VALUE"""),"XD2-RMC-004")</f>
        <v>XD2-RMC-004</v>
      </c>
      <c r="B931" s="3" t="str">
        <f>IFERROR(__xludf.DUMMYFUNCTION("""COMPUTED_VALUE"""),"Rơ mooc thu hoạch")</f>
        <v>Rơ mooc thu hoạch</v>
      </c>
      <c r="C931" s="5" t="str">
        <f>IFERROR(__xludf.DUMMYFUNCTION("""COMPUTED_VALUE"""),"XN Chuối DP2")</f>
        <v>XN Chuối DP2</v>
      </c>
      <c r="D931" s="5" t="str">
        <f>IFERROR(__xludf.DUMMYFUNCTION("""COMPUTED_VALUE"""),"THACO AGRI")</f>
        <v>THACO AGRI</v>
      </c>
      <c r="E931" s="5"/>
      <c r="F931" s="5"/>
      <c r="G931" s="5"/>
      <c r="H931" s="5"/>
      <c r="I931" s="5" t="str">
        <f>IFERROR(__xludf.DUMMYFUNCTION("""COMPUTED_VALUE"""),"40")</f>
        <v>40</v>
      </c>
      <c r="J931" s="5"/>
      <c r="K931" s="5"/>
      <c r="L931" s="5" t="str">
        <f>IFERROR(__xludf.DUMMYFUNCTION("""COMPUTED_VALUE"""),"KLH")</f>
        <v>KLH</v>
      </c>
    </row>
    <row r="932">
      <c r="A932" s="168" t="str">
        <f>IFERROR(__xludf.DUMMYFUNCTION("""COMPUTED_VALUE"""),"XD2-RMC-005")</f>
        <v>XD2-RMC-005</v>
      </c>
      <c r="B932" s="3" t="str">
        <f>IFERROR(__xludf.DUMMYFUNCTION("""COMPUTED_VALUE"""),"Rơ mooc thu hoạch")</f>
        <v>Rơ mooc thu hoạch</v>
      </c>
      <c r="C932" s="5" t="str">
        <f>IFERROR(__xludf.DUMMYFUNCTION("""COMPUTED_VALUE"""),"XN Chuối DP2")</f>
        <v>XN Chuối DP2</v>
      </c>
      <c r="D932" s="5" t="str">
        <f>IFERROR(__xludf.DUMMYFUNCTION("""COMPUTED_VALUE"""),"THACO AGRI")</f>
        <v>THACO AGRI</v>
      </c>
      <c r="E932" s="5"/>
      <c r="F932" s="5"/>
      <c r="G932" s="5"/>
      <c r="H932" s="5"/>
      <c r="I932" s="5" t="str">
        <f>IFERROR(__xludf.DUMMYFUNCTION("""COMPUTED_VALUE"""),"44")</f>
        <v>44</v>
      </c>
      <c r="J932" s="5"/>
      <c r="K932" s="5"/>
      <c r="L932" s="5" t="str">
        <f>IFERROR(__xludf.DUMMYFUNCTION("""COMPUTED_VALUE"""),"KLH")</f>
        <v>KLH</v>
      </c>
    </row>
    <row r="933">
      <c r="A933" s="168" t="str">
        <f>IFERROR(__xludf.DUMMYFUNCTION("""COMPUTED_VALUE"""),"XD2-RMB-001")</f>
        <v>XD2-RMB-001</v>
      </c>
      <c r="B933" s="3" t="str">
        <f>IFERROR(__xludf.DUMMYFUNCTION("""COMPUTED_VALUE"""),"Rơ mooc thùng ben")</f>
        <v>Rơ mooc thùng ben</v>
      </c>
      <c r="C933" s="5" t="str">
        <f>IFERROR(__xludf.DUMMYFUNCTION("""COMPUTED_VALUE"""),"XN Chuối DP2")</f>
        <v>XN Chuối DP2</v>
      </c>
      <c r="D933" s="5" t="str">
        <f>IFERROR(__xludf.DUMMYFUNCTION("""COMPUTED_VALUE"""),"THACO AGRI")</f>
        <v>THACO AGRI</v>
      </c>
      <c r="E933" s="5"/>
      <c r="F933" s="5"/>
      <c r="G933" s="5"/>
      <c r="H933" s="5"/>
      <c r="I933" s="5" t="str">
        <f>IFERROR(__xludf.DUMMYFUNCTION("""COMPUTED_VALUE"""),"Thùng ben 2m3")</f>
        <v>Thùng ben 2m3</v>
      </c>
      <c r="J933" s="5"/>
      <c r="K933" s="5"/>
      <c r="L933" s="5" t="str">
        <f>IFERROR(__xludf.DUMMYFUNCTION("""COMPUTED_VALUE"""),"KLH")</f>
        <v>KLH</v>
      </c>
    </row>
    <row r="934">
      <c r="A934" s="168" t="str">
        <f>IFERROR(__xludf.DUMMYFUNCTION("""COMPUTED_VALUE"""),"XD2-RMB-002")</f>
        <v>XD2-RMB-002</v>
      </c>
      <c r="B934" s="3" t="str">
        <f>IFERROR(__xludf.DUMMYFUNCTION("""COMPUTED_VALUE"""),"Rơ mooc thùng ben")</f>
        <v>Rơ mooc thùng ben</v>
      </c>
      <c r="C934" s="5" t="str">
        <f>IFERROR(__xludf.DUMMYFUNCTION("""COMPUTED_VALUE"""),"XN Chuối DP2")</f>
        <v>XN Chuối DP2</v>
      </c>
      <c r="D934" s="5" t="str">
        <f>IFERROR(__xludf.DUMMYFUNCTION("""COMPUTED_VALUE"""),"THACO AGRI")</f>
        <v>THACO AGRI</v>
      </c>
      <c r="E934" s="5"/>
      <c r="F934" s="5"/>
      <c r="G934" s="5"/>
      <c r="H934" s="5"/>
      <c r="I934" s="5" t="str">
        <f>IFERROR(__xludf.DUMMYFUNCTION("""COMPUTED_VALUE"""),"Thùng ben 2m3")</f>
        <v>Thùng ben 2m3</v>
      </c>
      <c r="J934" s="5"/>
      <c r="K934" s="5"/>
      <c r="L934" s="5" t="str">
        <f>IFERROR(__xludf.DUMMYFUNCTION("""COMPUTED_VALUE"""),"KLH")</f>
        <v>KLH</v>
      </c>
    </row>
    <row r="935">
      <c r="A935" s="168" t="str">
        <f>IFERROR(__xludf.DUMMYFUNCTION("""COMPUTED_VALUE"""),"XD2-SPT-002")</f>
        <v>XD2-SPT-002</v>
      </c>
      <c r="B935" s="3" t="str">
        <f>IFERROR(__xludf.DUMMYFUNCTION("""COMPUTED_VALUE"""),"Súng phun thuốc Hansung")</f>
        <v>Súng phun thuốc Hansung</v>
      </c>
      <c r="C935" s="5" t="str">
        <f>IFERROR(__xludf.DUMMYFUNCTION("""COMPUTED_VALUE"""),"XN Chuối DP2")</f>
        <v>XN Chuối DP2</v>
      </c>
      <c r="D935" s="5" t="str">
        <f>IFERROR(__xludf.DUMMYFUNCTION("""COMPUTED_VALUE"""),"THACO AGRI")</f>
        <v>THACO AGRI</v>
      </c>
      <c r="E935" s="5" t="str">
        <f>IFERROR(__xludf.DUMMYFUNCTION("""COMPUTED_VALUE"""),"HANSUNG")</f>
        <v>HANSUNG</v>
      </c>
      <c r="F935" s="5"/>
      <c r="G935" s="5"/>
      <c r="H935" s="5"/>
      <c r="I935" s="5" t="str">
        <f>IFERROR(__xludf.DUMMYFUNCTION("""COMPUTED_VALUE"""),"HS128-DK335")</f>
        <v>HS128-DK335</v>
      </c>
      <c r="J935" s="5"/>
      <c r="K935" s="5">
        <f>IFERROR(__xludf.DUMMYFUNCTION("""COMPUTED_VALUE"""),8.47)</f>
        <v>8.47</v>
      </c>
      <c r="L935" s="5" t="str">
        <f>IFERROR(__xludf.DUMMYFUNCTION("""COMPUTED_VALUE"""),"KLH")</f>
        <v>KLH</v>
      </c>
    </row>
    <row r="936">
      <c r="A936" s="168" t="str">
        <f>IFERROR(__xludf.DUMMYFUNCTION("""COMPUTED_VALUE"""),"XD2-RMG-001")</f>
        <v>XD2-RMG-001</v>
      </c>
      <c r="B936" s="3" t="str">
        <f>IFERROR(__xludf.DUMMYFUNCTION("""COMPUTED_VALUE"""),"Rơ mooc chở giống")</f>
        <v>Rơ mooc chở giống</v>
      </c>
      <c r="C936" s="5" t="str">
        <f>IFERROR(__xludf.DUMMYFUNCTION("""COMPUTED_VALUE"""),"XN Chuối DP2")</f>
        <v>XN Chuối DP2</v>
      </c>
      <c r="D936" s="5" t="str">
        <f>IFERROR(__xludf.DUMMYFUNCTION("""COMPUTED_VALUE"""),"THACO AGRI")</f>
        <v>THACO AGRI</v>
      </c>
      <c r="E936" s="5"/>
      <c r="F936" s="5"/>
      <c r="G936" s="5"/>
      <c r="H936" s="5"/>
      <c r="I936" s="5" t="str">
        <f>IFERROR(__xludf.DUMMYFUNCTION("""COMPUTED_VALUE"""),"44 buồng")</f>
        <v>44 buồng</v>
      </c>
      <c r="J936" s="5"/>
      <c r="K936" s="5"/>
      <c r="L936" s="5" t="str">
        <f>IFERROR(__xludf.DUMMYFUNCTION("""COMPUTED_VALUE"""),"KLH")</f>
        <v>KLH</v>
      </c>
    </row>
    <row r="937">
      <c r="A937" s="168" t="str">
        <f>IFERROR(__xludf.DUMMYFUNCTION("""COMPUTED_VALUE"""),"XD2-RMG-002")</f>
        <v>XD2-RMG-002</v>
      </c>
      <c r="B937" s="3" t="str">
        <f>IFERROR(__xludf.DUMMYFUNCTION("""COMPUTED_VALUE"""),"Rơ mooc chở giống")</f>
        <v>Rơ mooc chở giống</v>
      </c>
      <c r="C937" s="5" t="str">
        <f>IFERROR(__xludf.DUMMYFUNCTION("""COMPUTED_VALUE"""),"XN Chuối DP2")</f>
        <v>XN Chuối DP2</v>
      </c>
      <c r="D937" s="5" t="str">
        <f>IFERROR(__xludf.DUMMYFUNCTION("""COMPUTED_VALUE"""),"THACO AGRI")</f>
        <v>THACO AGRI</v>
      </c>
      <c r="E937" s="5"/>
      <c r="F937" s="5"/>
      <c r="G937" s="5"/>
      <c r="H937" s="5"/>
      <c r="I937" s="5"/>
      <c r="J937" s="5"/>
      <c r="K937" s="5"/>
      <c r="L937" s="5" t="str">
        <f>IFERROR(__xludf.DUMMYFUNCTION("""COMPUTED_VALUE"""),"KLH")</f>
        <v>KLH</v>
      </c>
    </row>
    <row r="938">
      <c r="A938" s="168" t="str">
        <f>IFERROR(__xludf.DUMMYFUNCTION("""COMPUTED_VALUE"""),"XD2-RMĐ-001")</f>
        <v>XD2-RMĐ-001</v>
      </c>
      <c r="B938" s="3" t="str">
        <f>IFERROR(__xludf.DUMMYFUNCTION("""COMPUTED_VALUE"""),"Rơ mooc vận chuyển M.đào 03")</f>
        <v>Rơ mooc vận chuyển M.đào 03</v>
      </c>
      <c r="C938" s="5" t="str">
        <f>IFERROR(__xludf.DUMMYFUNCTION("""COMPUTED_VALUE"""),"XN Chuối DP2")</f>
        <v>XN Chuối DP2</v>
      </c>
      <c r="D938" s="5" t="str">
        <f>IFERROR(__xludf.DUMMYFUNCTION("""COMPUTED_VALUE"""),"THACO AGRI")</f>
        <v>THACO AGRI</v>
      </c>
      <c r="E938" s="5"/>
      <c r="F938" s="5"/>
      <c r="G938" s="5"/>
      <c r="H938" s="5"/>
      <c r="I938" s="5"/>
      <c r="J938" s="5"/>
      <c r="K938" s="5"/>
      <c r="L938" s="5" t="str">
        <f>IFERROR(__xludf.DUMMYFUNCTION("""COMPUTED_VALUE"""),"KLH")</f>
        <v>KLH</v>
      </c>
    </row>
    <row r="939">
      <c r="A939" s="168" t="str">
        <f>IFERROR(__xludf.DUMMYFUNCTION("""COMPUTED_VALUE"""),"XD2-RML-001")</f>
        <v>XD2-RML-001</v>
      </c>
      <c r="B939" s="3" t="str">
        <f>IFERROR(__xludf.DUMMYFUNCTION("""COMPUTED_VALUE"""),"Rơ mooc lưới")</f>
        <v>Rơ mooc lưới</v>
      </c>
      <c r="C939" s="5" t="str">
        <f>IFERROR(__xludf.DUMMYFUNCTION("""COMPUTED_VALUE"""),"XN Chuối DP2")</f>
        <v>XN Chuối DP2</v>
      </c>
      <c r="D939" s="5" t="str">
        <f>IFERROR(__xludf.DUMMYFUNCTION("""COMPUTED_VALUE"""),"THACO AGRI")</f>
        <v>THACO AGRI</v>
      </c>
      <c r="E939" s="5"/>
      <c r="F939" s="5"/>
      <c r="G939" s="5"/>
      <c r="H939" s="5" t="str">
        <f>IFERROR(__xludf.DUMMYFUNCTION("""COMPUTED_VALUE"""),"DxRxC: 5.5m*2.5m*2.4m")</f>
        <v>DxRxC: 5.5m*2.5m*2.4m</v>
      </c>
      <c r="I939" s="5"/>
      <c r="J939" s="5"/>
      <c r="K939" s="5"/>
      <c r="L939" s="5" t="str">
        <f>IFERROR(__xludf.DUMMYFUNCTION("""COMPUTED_VALUE"""),"KLH")</f>
        <v>KLH</v>
      </c>
    </row>
    <row r="940">
      <c r="A940" s="168" t="str">
        <f>IFERROR(__xludf.DUMMYFUNCTION("""COMPUTED_VALUE"""),"XD2-GĐH-001")</f>
        <v>XD2-GĐH-001</v>
      </c>
      <c r="B940" s="3" t="str">
        <f>IFERROR(__xludf.DUMMYFUNCTION("""COMPUTED_VALUE"""),"Gàu định hình đào mương thoát nước")</f>
        <v>Gàu định hình đào mương thoát nước</v>
      </c>
      <c r="C940" s="5" t="str">
        <f>IFERROR(__xludf.DUMMYFUNCTION("""COMPUTED_VALUE"""),"XN Chuối DP2")</f>
        <v>XN Chuối DP2</v>
      </c>
      <c r="D940" s="5" t="str">
        <f>IFERROR(__xludf.DUMMYFUNCTION("""COMPUTED_VALUE"""),"THACO AGRI")</f>
        <v>THACO AGRI</v>
      </c>
      <c r="E940" s="5"/>
      <c r="F940" s="5"/>
      <c r="G940" s="5" t="str">
        <f>IFERROR(__xludf.DUMMYFUNCTION("""COMPUTED_VALUE"""),"2025")</f>
        <v>2025</v>
      </c>
      <c r="H940" s="5" t="str">
        <f>IFERROR(__xludf.DUMMYFUNCTION("""COMPUTED_VALUE"""),"350x200x400")</f>
        <v>350x200x400</v>
      </c>
      <c r="I940" s="5"/>
      <c r="J940" s="5"/>
      <c r="K940" s="5"/>
      <c r="L940" s="5" t="str">
        <f>IFERROR(__xludf.DUMMYFUNCTION("""COMPUTED_VALUE"""),"KLH")</f>
        <v>KLH</v>
      </c>
    </row>
    <row r="941">
      <c r="A941" s="168" t="str">
        <f>IFERROR(__xludf.DUMMYFUNCTION("""COMPUTED_VALUE"""),"XD2-GĐH-002")</f>
        <v>XD2-GĐH-002</v>
      </c>
      <c r="B941" s="3" t="str">
        <f>IFERROR(__xludf.DUMMYFUNCTION("""COMPUTED_VALUE"""),"Gàu định hình đào mương thoát nước")</f>
        <v>Gàu định hình đào mương thoát nước</v>
      </c>
      <c r="C941" s="5" t="str">
        <f>IFERROR(__xludf.DUMMYFUNCTION("""COMPUTED_VALUE"""),"XN Chuối DP2")</f>
        <v>XN Chuối DP2</v>
      </c>
      <c r="D941" s="5" t="str">
        <f>IFERROR(__xludf.DUMMYFUNCTION("""COMPUTED_VALUE"""),"THACO AGRI")</f>
        <v>THACO AGRI</v>
      </c>
      <c r="E941" s="5"/>
      <c r="F941" s="5"/>
      <c r="G941" s="5" t="str">
        <f>IFERROR(__xludf.DUMMYFUNCTION("""COMPUTED_VALUE"""),"2025")</f>
        <v>2025</v>
      </c>
      <c r="H941" s="5" t="str">
        <f>IFERROR(__xludf.DUMMYFUNCTION("""COMPUTED_VALUE"""),"350x200x400")</f>
        <v>350x200x400</v>
      </c>
      <c r="I941" s="5"/>
      <c r="J941" s="5"/>
      <c r="K941" s="5"/>
      <c r="L941" s="5" t="str">
        <f>IFERROR(__xludf.DUMMYFUNCTION("""COMPUTED_VALUE"""),"KLH")</f>
        <v>KLH</v>
      </c>
    </row>
    <row r="942">
      <c r="A942" s="168" t="str">
        <f>IFERROR(__xludf.DUMMYFUNCTION("""COMPUTED_VALUE"""),"XD2-MCA-001")</f>
        <v>XD2-MCA-001</v>
      </c>
      <c r="B942" s="3" t="str">
        <f>IFERROR(__xludf.DUMMYFUNCTION("""COMPUTED_VALUE"""),"Máy cao áp phun thuốc")</f>
        <v>Máy cao áp phun thuốc</v>
      </c>
      <c r="C942" s="5" t="str">
        <f>IFERROR(__xludf.DUMMYFUNCTION("""COMPUTED_VALUE"""),"XN Chuối DP2")</f>
        <v>XN Chuối DP2</v>
      </c>
      <c r="D942" s="5" t="str">
        <f>IFERROR(__xludf.DUMMYFUNCTION("""COMPUTED_VALUE"""),"CAMBODIA")</f>
        <v>CAMBODIA</v>
      </c>
      <c r="E942" s="5" t="str">
        <f>IFERROR(__xludf.DUMMYFUNCTION("""COMPUTED_VALUE"""),"NILE N-680A")</f>
        <v>NILE N-680A</v>
      </c>
      <c r="F942" s="5"/>
      <c r="G942" s="5"/>
      <c r="H942" s="5" t="str">
        <f>IFERROR(__xludf.DUMMYFUNCTION("""COMPUTED_VALUE"""),"7.5HP")</f>
        <v>7.5HP</v>
      </c>
      <c r="I942" s="5"/>
      <c r="J942" s="5"/>
      <c r="K942" s="5"/>
      <c r="L942" s="5" t="str">
        <f>IFERROR(__xludf.DUMMYFUNCTION("""COMPUTED_VALUE"""),"KLH")</f>
        <v>KLH</v>
      </c>
    </row>
    <row r="943">
      <c r="A943" s="168" t="str">
        <f>IFERROR(__xludf.DUMMYFUNCTION("""COMPUTED_VALUE"""),"XD2-MCA-002")</f>
        <v>XD2-MCA-002</v>
      </c>
      <c r="B943" s="3" t="str">
        <f>IFERROR(__xludf.DUMMYFUNCTION("""COMPUTED_VALUE"""),"Máy cao áp phun thuốc")</f>
        <v>Máy cao áp phun thuốc</v>
      </c>
      <c r="C943" s="5" t="str">
        <f>IFERROR(__xludf.DUMMYFUNCTION("""COMPUTED_VALUE"""),"XN Chuối DP2")</f>
        <v>XN Chuối DP2</v>
      </c>
      <c r="D943" s="5" t="str">
        <f>IFERROR(__xludf.DUMMYFUNCTION("""COMPUTED_VALUE"""),"CAMBODIA")</f>
        <v>CAMBODIA</v>
      </c>
      <c r="E943" s="5" t="str">
        <f>IFERROR(__xludf.DUMMYFUNCTION("""COMPUTED_VALUE"""),"NILE N-680A")</f>
        <v>NILE N-680A</v>
      </c>
      <c r="F943" s="5"/>
      <c r="G943" s="5"/>
      <c r="H943" s="5" t="str">
        <f>IFERROR(__xludf.DUMMYFUNCTION("""COMPUTED_VALUE"""),"7.5HP")</f>
        <v>7.5HP</v>
      </c>
      <c r="I943" s="5"/>
      <c r="J943" s="5"/>
      <c r="K943" s="5"/>
      <c r="L943" s="5" t="str">
        <f>IFERROR(__xludf.DUMMYFUNCTION("""COMPUTED_VALUE"""),"KLH")</f>
        <v>KLH</v>
      </c>
    </row>
    <row r="944">
      <c r="A944" s="168" t="str">
        <f>IFERROR(__xludf.DUMMYFUNCTION("""COMPUTED_VALUE"""),"XD2-MCA-003")</f>
        <v>XD2-MCA-003</v>
      </c>
      <c r="B944" s="3" t="str">
        <f>IFERROR(__xludf.DUMMYFUNCTION("""COMPUTED_VALUE"""),"Máy cao áp phun thuốc")</f>
        <v>Máy cao áp phun thuốc</v>
      </c>
      <c r="C944" s="5" t="str">
        <f>IFERROR(__xludf.DUMMYFUNCTION("""COMPUTED_VALUE"""),"XN Chuối DP2")</f>
        <v>XN Chuối DP2</v>
      </c>
      <c r="D944" s="5" t="str">
        <f>IFERROR(__xludf.DUMMYFUNCTION("""COMPUTED_VALUE"""),"CAMBODIA")</f>
        <v>CAMBODIA</v>
      </c>
      <c r="E944" s="5" t="str">
        <f>IFERROR(__xludf.DUMMYFUNCTION("""COMPUTED_VALUE"""),"MR-48")</f>
        <v>MR-48</v>
      </c>
      <c r="F944" s="5"/>
      <c r="G944" s="5"/>
      <c r="H944" s="5" t="str">
        <f>IFERROR(__xludf.DUMMYFUNCTION("""COMPUTED_VALUE"""),"3HP")</f>
        <v>3HP</v>
      </c>
      <c r="I944" s="5"/>
      <c r="J944" s="5"/>
      <c r="K944" s="5"/>
      <c r="L944" s="5" t="str">
        <f>IFERROR(__xludf.DUMMYFUNCTION("""COMPUTED_VALUE"""),"KLH")</f>
        <v>KLH</v>
      </c>
    </row>
    <row r="945">
      <c r="A945" s="168" t="str">
        <f>IFERROR(__xludf.DUMMYFUNCTION("""COMPUTED_VALUE"""),"XD2-MCA-004")</f>
        <v>XD2-MCA-004</v>
      </c>
      <c r="B945" s="3" t="str">
        <f>IFERROR(__xludf.DUMMYFUNCTION("""COMPUTED_VALUE"""),"Máy cao áp phun thuốc")</f>
        <v>Máy cao áp phun thuốc</v>
      </c>
      <c r="C945" s="5" t="str">
        <f>IFERROR(__xludf.DUMMYFUNCTION("""COMPUTED_VALUE"""),"XN Chuối DP2")</f>
        <v>XN Chuối DP2</v>
      </c>
      <c r="D945" s="5" t="str">
        <f>IFERROR(__xludf.DUMMYFUNCTION("""COMPUTED_VALUE"""),"CAMBODIA")</f>
        <v>CAMBODIA</v>
      </c>
      <c r="E945" s="5" t="str">
        <f>IFERROR(__xludf.DUMMYFUNCTION("""COMPUTED_VALUE"""),"MR-48")</f>
        <v>MR-48</v>
      </c>
      <c r="F945" s="5"/>
      <c r="G945" s="5"/>
      <c r="H945" s="5" t="str">
        <f>IFERROR(__xludf.DUMMYFUNCTION("""COMPUTED_VALUE"""),"3HP")</f>
        <v>3HP</v>
      </c>
      <c r="I945" s="5"/>
      <c r="J945" s="5"/>
      <c r="K945" s="5"/>
      <c r="L945" s="5" t="str">
        <f>IFERROR(__xludf.DUMMYFUNCTION("""COMPUTED_VALUE"""),"KLH")</f>
        <v>KLH</v>
      </c>
    </row>
    <row r="946">
      <c r="A946" s="168" t="str">
        <f>IFERROR(__xludf.DUMMYFUNCTION("""COMPUTED_VALUE"""),"XD2-MCA-005")</f>
        <v>XD2-MCA-005</v>
      </c>
      <c r="B946" s="3" t="str">
        <f>IFERROR(__xludf.DUMMYFUNCTION("""COMPUTED_VALUE"""),"Máy cao áp phun thuốc")</f>
        <v>Máy cao áp phun thuốc</v>
      </c>
      <c r="C946" s="5" t="str">
        <f>IFERROR(__xludf.DUMMYFUNCTION("""COMPUTED_VALUE"""),"XN Chuối DP2")</f>
        <v>XN Chuối DP2</v>
      </c>
      <c r="D946" s="5" t="str">
        <f>IFERROR(__xludf.DUMMYFUNCTION("""COMPUTED_VALUE"""),"CAMBODIA")</f>
        <v>CAMBODIA</v>
      </c>
      <c r="E946" s="5" t="str">
        <f>IFERROR(__xludf.DUMMYFUNCTION("""COMPUTED_VALUE"""),"MR-48")</f>
        <v>MR-48</v>
      </c>
      <c r="F946" s="5"/>
      <c r="G946" s="5"/>
      <c r="H946" s="5" t="str">
        <f>IFERROR(__xludf.DUMMYFUNCTION("""COMPUTED_VALUE"""),"3HP")</f>
        <v>3HP</v>
      </c>
      <c r="I946" s="5"/>
      <c r="J946" s="5"/>
      <c r="K946" s="5"/>
      <c r="L946" s="5" t="str">
        <f>IFERROR(__xludf.DUMMYFUNCTION("""COMPUTED_VALUE"""),"KLH")</f>
        <v>KLH</v>
      </c>
    </row>
    <row r="947">
      <c r="A947" s="168" t="str">
        <f>IFERROR(__xludf.DUMMYFUNCTION("""COMPUTED_VALUE"""),"XD2-MCA-006")</f>
        <v>XD2-MCA-006</v>
      </c>
      <c r="B947" s="3" t="str">
        <f>IFERROR(__xludf.DUMMYFUNCTION("""COMPUTED_VALUE"""),"Máy cao áp phun thuốc")</f>
        <v>Máy cao áp phun thuốc</v>
      </c>
      <c r="C947" s="5" t="str">
        <f>IFERROR(__xludf.DUMMYFUNCTION("""COMPUTED_VALUE"""),"XN Chuối DP2")</f>
        <v>XN Chuối DP2</v>
      </c>
      <c r="D947" s="5" t="str">
        <f>IFERROR(__xludf.DUMMYFUNCTION("""COMPUTED_VALUE"""),"CAMBODIA")</f>
        <v>CAMBODIA</v>
      </c>
      <c r="E947" s="5" t="str">
        <f>IFERROR(__xludf.DUMMYFUNCTION("""COMPUTED_VALUE"""),"MR-48")</f>
        <v>MR-48</v>
      </c>
      <c r="F947" s="5"/>
      <c r="G947" s="5"/>
      <c r="H947" s="5" t="str">
        <f>IFERROR(__xludf.DUMMYFUNCTION("""COMPUTED_VALUE"""),"3HP")</f>
        <v>3HP</v>
      </c>
      <c r="I947" s="5"/>
      <c r="J947" s="5"/>
      <c r="K947" s="5"/>
      <c r="L947" s="5" t="str">
        <f>IFERROR(__xludf.DUMMYFUNCTION("""COMPUTED_VALUE"""),"KLH")</f>
        <v>KLH</v>
      </c>
    </row>
    <row r="948">
      <c r="A948" s="168" t="str">
        <f>IFERROR(__xludf.DUMMYFUNCTION("""COMPUTED_VALUE"""),"XD2-MCA-007")</f>
        <v>XD2-MCA-007</v>
      </c>
      <c r="B948" s="3" t="str">
        <f>IFERROR(__xludf.DUMMYFUNCTION("""COMPUTED_VALUE"""),"Máy cao áp phun thuốc")</f>
        <v>Máy cao áp phun thuốc</v>
      </c>
      <c r="C948" s="5" t="str">
        <f>IFERROR(__xludf.DUMMYFUNCTION("""COMPUTED_VALUE"""),"XN Chuối DP2")</f>
        <v>XN Chuối DP2</v>
      </c>
      <c r="D948" s="5" t="str">
        <f>IFERROR(__xludf.DUMMYFUNCTION("""COMPUTED_VALUE"""),"CAMBODIA")</f>
        <v>CAMBODIA</v>
      </c>
      <c r="E948" s="5" t="str">
        <f>IFERROR(__xludf.DUMMYFUNCTION("""COMPUTED_VALUE"""),"MR-28")</f>
        <v>MR-28</v>
      </c>
      <c r="F948" s="5"/>
      <c r="G948" s="5"/>
      <c r="H948" s="5" t="str">
        <f>IFERROR(__xludf.DUMMYFUNCTION("""COMPUTED_VALUE"""),"1.5HP")</f>
        <v>1.5HP</v>
      </c>
      <c r="I948" s="5"/>
      <c r="J948" s="5"/>
      <c r="K948" s="5"/>
      <c r="L948" s="5" t="str">
        <f>IFERROR(__xludf.DUMMYFUNCTION("""COMPUTED_VALUE"""),"KLH")</f>
        <v>KLH</v>
      </c>
    </row>
    <row r="949">
      <c r="A949" s="168" t="str">
        <f>IFERROR(__xludf.DUMMYFUNCTION("""COMPUTED_VALUE"""),"XD2-MCA-008")</f>
        <v>XD2-MCA-008</v>
      </c>
      <c r="B949" s="3" t="str">
        <f>IFERROR(__xludf.DUMMYFUNCTION("""COMPUTED_VALUE"""),"Máy cao áp phun thuốc")</f>
        <v>Máy cao áp phun thuốc</v>
      </c>
      <c r="C949" s="5" t="str">
        <f>IFERROR(__xludf.DUMMYFUNCTION("""COMPUTED_VALUE"""),"XN Chuối DP2")</f>
        <v>XN Chuối DP2</v>
      </c>
      <c r="D949" s="5" t="str">
        <f>IFERROR(__xludf.DUMMYFUNCTION("""COMPUTED_VALUE"""),"CAMBODIA")</f>
        <v>CAMBODIA</v>
      </c>
      <c r="E949" s="5" t="str">
        <f>IFERROR(__xludf.DUMMYFUNCTION("""COMPUTED_VALUE"""),"KB-530 + Motor")</f>
        <v>KB-530 + Motor</v>
      </c>
      <c r="F949" s="5"/>
      <c r="G949" s="5"/>
      <c r="H949" s="5" t="str">
        <f>IFERROR(__xludf.DUMMYFUNCTION("""COMPUTED_VALUE"""),"2HP")</f>
        <v>2HP</v>
      </c>
      <c r="I949" s="5"/>
      <c r="J949" s="5"/>
      <c r="K949" s="5"/>
      <c r="L949" s="5" t="str">
        <f>IFERROR(__xludf.DUMMYFUNCTION("""COMPUTED_VALUE"""),"KLH")</f>
        <v>KLH</v>
      </c>
    </row>
    <row r="950">
      <c r="A950" s="168" t="str">
        <f>IFERROR(__xludf.DUMMYFUNCTION("""COMPUTED_VALUE"""),"XD2-MCA-009")</f>
        <v>XD2-MCA-009</v>
      </c>
      <c r="B950" s="3" t="str">
        <f>IFERROR(__xludf.DUMMYFUNCTION("""COMPUTED_VALUE"""),"Máy cao áp phun thuốc")</f>
        <v>Máy cao áp phun thuốc</v>
      </c>
      <c r="C950" s="5" t="str">
        <f>IFERROR(__xludf.DUMMYFUNCTION("""COMPUTED_VALUE"""),"XN Chuối DP2")</f>
        <v>XN Chuối DP2</v>
      </c>
      <c r="D950" s="5" t="str">
        <f>IFERROR(__xludf.DUMMYFUNCTION("""COMPUTED_VALUE"""),"CAMBODIA")</f>
        <v>CAMBODIA</v>
      </c>
      <c r="E950" s="5" t="str">
        <f>IFERROR(__xludf.DUMMYFUNCTION("""COMPUTED_VALUE"""),"KB-530 + Motor")</f>
        <v>KB-530 + Motor</v>
      </c>
      <c r="F950" s="5"/>
      <c r="G950" s="5"/>
      <c r="H950" s="5" t="str">
        <f>IFERROR(__xludf.DUMMYFUNCTION("""COMPUTED_VALUE"""),"2HP")</f>
        <v>2HP</v>
      </c>
      <c r="I950" s="5"/>
      <c r="J950" s="5"/>
      <c r="K950" s="5"/>
      <c r="L950" s="5" t="str">
        <f>IFERROR(__xludf.DUMMYFUNCTION("""COMPUTED_VALUE"""),"KLH")</f>
        <v>KLH</v>
      </c>
    </row>
    <row r="951">
      <c r="A951" s="168" t="str">
        <f>IFERROR(__xludf.DUMMYFUNCTION("""COMPUTED_VALUE"""),"XD2-MCA-010")</f>
        <v>XD2-MCA-010</v>
      </c>
      <c r="B951" s="3" t="str">
        <f>IFERROR(__xludf.DUMMYFUNCTION("""COMPUTED_VALUE"""),"Máy cao áp phun thuốc")</f>
        <v>Máy cao áp phun thuốc</v>
      </c>
      <c r="C951" s="5" t="str">
        <f>IFERROR(__xludf.DUMMYFUNCTION("""COMPUTED_VALUE"""),"XN Chuối DP2")</f>
        <v>XN Chuối DP2</v>
      </c>
      <c r="D951" s="5" t="str">
        <f>IFERROR(__xludf.DUMMYFUNCTION("""COMPUTED_VALUE"""),"CAMBODIA")</f>
        <v>CAMBODIA</v>
      </c>
      <c r="E951" s="5" t="str">
        <f>IFERROR(__xludf.DUMMYFUNCTION("""COMPUTED_VALUE"""),"KB-530 + Motor")</f>
        <v>KB-530 + Motor</v>
      </c>
      <c r="F951" s="5"/>
      <c r="G951" s="5"/>
      <c r="H951" s="5" t="str">
        <f>IFERROR(__xludf.DUMMYFUNCTION("""COMPUTED_VALUE"""),"2HP")</f>
        <v>2HP</v>
      </c>
      <c r="I951" s="5"/>
      <c r="J951" s="5"/>
      <c r="K951" s="5"/>
      <c r="L951" s="5" t="str">
        <f>IFERROR(__xludf.DUMMYFUNCTION("""COMPUTED_VALUE"""),"KLH")</f>
        <v>KLH</v>
      </c>
    </row>
    <row r="952">
      <c r="A952" s="168" t="str">
        <f>IFERROR(__xludf.DUMMYFUNCTION("""COMPUTED_VALUE"""),"XD2-MCA-011")</f>
        <v>XD2-MCA-011</v>
      </c>
      <c r="B952" s="3" t="str">
        <f>IFERROR(__xludf.DUMMYFUNCTION("""COMPUTED_VALUE"""),"Máy cao áp phun thuốc")</f>
        <v>Máy cao áp phun thuốc</v>
      </c>
      <c r="C952" s="5" t="str">
        <f>IFERROR(__xludf.DUMMYFUNCTION("""COMPUTED_VALUE"""),"XN Chuối DP2")</f>
        <v>XN Chuối DP2</v>
      </c>
      <c r="D952" s="5" t="str">
        <f>IFERROR(__xludf.DUMMYFUNCTION("""COMPUTED_VALUE"""),"CAMBODIA")</f>
        <v>CAMBODIA</v>
      </c>
      <c r="E952" s="5" t="str">
        <f>IFERROR(__xludf.DUMMYFUNCTION("""COMPUTED_VALUE"""),"KB-530 + Motor")</f>
        <v>KB-530 + Motor</v>
      </c>
      <c r="F952" s="5"/>
      <c r="G952" s="5"/>
      <c r="H952" s="5" t="str">
        <f>IFERROR(__xludf.DUMMYFUNCTION("""COMPUTED_VALUE"""),"2HP")</f>
        <v>2HP</v>
      </c>
      <c r="I952" s="5"/>
      <c r="J952" s="5"/>
      <c r="K952" s="5"/>
      <c r="L952" s="5" t="str">
        <f>IFERROR(__xludf.DUMMYFUNCTION("""COMPUTED_VALUE"""),"KLH")</f>
        <v>KLH</v>
      </c>
    </row>
    <row r="953">
      <c r="A953" s="168" t="str">
        <f>IFERROR(__xludf.DUMMYFUNCTION("""COMPUTED_VALUE"""),"XD2-MCA-012")</f>
        <v>XD2-MCA-012</v>
      </c>
      <c r="B953" s="3" t="str">
        <f>IFERROR(__xludf.DUMMYFUNCTION("""COMPUTED_VALUE"""),"Máy cao áp phun thuốc")</f>
        <v>Máy cao áp phun thuốc</v>
      </c>
      <c r="C953" s="5" t="str">
        <f>IFERROR(__xludf.DUMMYFUNCTION("""COMPUTED_VALUE"""),"XN Chuối DP2")</f>
        <v>XN Chuối DP2</v>
      </c>
      <c r="D953" s="5" t="str">
        <f>IFERROR(__xludf.DUMMYFUNCTION("""COMPUTED_VALUE"""),"CAMBODIA")</f>
        <v>CAMBODIA</v>
      </c>
      <c r="E953" s="5" t="str">
        <f>IFERROR(__xludf.DUMMYFUNCTION("""COMPUTED_VALUE"""),"KB-80")</f>
        <v>KB-80</v>
      </c>
      <c r="F953" s="5"/>
      <c r="G953" s="5"/>
      <c r="H953" s="5" t="str">
        <f>IFERROR(__xludf.DUMMYFUNCTION("""COMPUTED_VALUE"""),"7.5HP")</f>
        <v>7.5HP</v>
      </c>
      <c r="I953" s="5"/>
      <c r="J953" s="5"/>
      <c r="K953" s="5"/>
      <c r="L953" s="5" t="str">
        <f>IFERROR(__xludf.DUMMYFUNCTION("""COMPUTED_VALUE"""),"KLH")</f>
        <v>KLH</v>
      </c>
    </row>
    <row r="954">
      <c r="A954" s="168" t="str">
        <f>IFERROR(__xludf.DUMMYFUNCTION("""COMPUTED_VALUE"""),"XD2-MCA-013")</f>
        <v>XD2-MCA-013</v>
      </c>
      <c r="B954" s="3" t="str">
        <f>IFERROR(__xludf.DUMMYFUNCTION("""COMPUTED_VALUE"""),"Máy cao áp phun thuốc")</f>
        <v>Máy cao áp phun thuốc</v>
      </c>
      <c r="C954" s="5" t="str">
        <f>IFERROR(__xludf.DUMMYFUNCTION("""COMPUTED_VALUE"""),"XN Chuối DP2")</f>
        <v>XN Chuối DP2</v>
      </c>
      <c r="D954" s="5" t="str">
        <f>IFERROR(__xludf.DUMMYFUNCTION("""COMPUTED_VALUE"""),"CAMBODIA")</f>
        <v>CAMBODIA</v>
      </c>
      <c r="E954" s="5" t="str">
        <f>IFERROR(__xludf.DUMMYFUNCTION("""COMPUTED_VALUE"""),"KB-80")</f>
        <v>KB-80</v>
      </c>
      <c r="F954" s="5"/>
      <c r="G954" s="5"/>
      <c r="H954" s="5" t="str">
        <f>IFERROR(__xludf.DUMMYFUNCTION("""COMPUTED_VALUE"""),"7.5HP")</f>
        <v>7.5HP</v>
      </c>
      <c r="I954" s="5"/>
      <c r="J954" s="5"/>
      <c r="K954" s="5"/>
      <c r="L954" s="5" t="str">
        <f>IFERROR(__xludf.DUMMYFUNCTION("""COMPUTED_VALUE"""),"KLH")</f>
        <v>KLH</v>
      </c>
    </row>
    <row r="955">
      <c r="A955" s="168" t="str">
        <f>IFERROR(__xludf.DUMMYFUNCTION("""COMPUTED_VALUE"""),"XD2-MCA-014")</f>
        <v>XD2-MCA-014</v>
      </c>
      <c r="B955" s="3" t="str">
        <f>IFERROR(__xludf.DUMMYFUNCTION("""COMPUTED_VALUE"""),"Máy cao áp phun thuốc")</f>
        <v>Máy cao áp phun thuốc</v>
      </c>
      <c r="C955" s="5" t="str">
        <f>IFERROR(__xludf.DUMMYFUNCTION("""COMPUTED_VALUE"""),"XN Chuối DP2")</f>
        <v>XN Chuối DP2</v>
      </c>
      <c r="D955" s="5" t="str">
        <f>IFERROR(__xludf.DUMMYFUNCTION("""COMPUTED_VALUE"""),"CAMBODIA")</f>
        <v>CAMBODIA</v>
      </c>
      <c r="E955" s="5" t="str">
        <f>IFERROR(__xludf.DUMMYFUNCTION("""COMPUTED_VALUE"""),"KB-80")</f>
        <v>KB-80</v>
      </c>
      <c r="F955" s="5"/>
      <c r="G955" s="5"/>
      <c r="H955" s="5" t="str">
        <f>IFERROR(__xludf.DUMMYFUNCTION("""COMPUTED_VALUE"""),"7.5HP")</f>
        <v>7.5HP</v>
      </c>
      <c r="I955" s="5"/>
      <c r="J955" s="5"/>
      <c r="K955" s="5"/>
      <c r="L955" s="5" t="str">
        <f>IFERROR(__xludf.DUMMYFUNCTION("""COMPUTED_VALUE"""),"KLH")</f>
        <v>KLH</v>
      </c>
    </row>
    <row r="956">
      <c r="A956" s="168" t="str">
        <f>IFERROR(__xludf.DUMMYFUNCTION("""COMPUTED_VALUE"""),"XD2-MCA-015")</f>
        <v>XD2-MCA-015</v>
      </c>
      <c r="B956" s="3" t="str">
        <f>IFERROR(__xludf.DUMMYFUNCTION("""COMPUTED_VALUE"""),"Máy cao áp phun thuốc")</f>
        <v>Máy cao áp phun thuốc</v>
      </c>
      <c r="C956" s="5" t="str">
        <f>IFERROR(__xludf.DUMMYFUNCTION("""COMPUTED_VALUE"""),"XN Chuối DP2")</f>
        <v>XN Chuối DP2</v>
      </c>
      <c r="D956" s="5" t="str">
        <f>IFERROR(__xludf.DUMMYFUNCTION("""COMPUTED_VALUE"""),"CAMBODIA")</f>
        <v>CAMBODIA</v>
      </c>
      <c r="E956" s="5" t="str">
        <f>IFERROR(__xludf.DUMMYFUNCTION("""COMPUTED_VALUE"""),"KB-80")</f>
        <v>KB-80</v>
      </c>
      <c r="F956" s="5"/>
      <c r="G956" s="5"/>
      <c r="H956" s="5" t="str">
        <f>IFERROR(__xludf.DUMMYFUNCTION("""COMPUTED_VALUE"""),"7.5HP")</f>
        <v>7.5HP</v>
      </c>
      <c r="I956" s="5"/>
      <c r="J956" s="5"/>
      <c r="K956" s="5"/>
      <c r="L956" s="5" t="str">
        <f>IFERROR(__xludf.DUMMYFUNCTION("""COMPUTED_VALUE"""),"KLH")</f>
        <v>KLH</v>
      </c>
    </row>
    <row r="957">
      <c r="A957" s="168" t="str">
        <f>IFERROR(__xludf.DUMMYFUNCTION("""COMPUTED_VALUE"""),"XD2-MCA-016")</f>
        <v>XD2-MCA-016</v>
      </c>
      <c r="B957" s="3" t="str">
        <f>IFERROR(__xludf.DUMMYFUNCTION("""COMPUTED_VALUE"""),"Máy cao áp phun thuốc")</f>
        <v>Máy cao áp phun thuốc</v>
      </c>
      <c r="C957" s="5" t="str">
        <f>IFERROR(__xludf.DUMMYFUNCTION("""COMPUTED_VALUE"""),"XN Chuối DP2")</f>
        <v>XN Chuối DP2</v>
      </c>
      <c r="D957" s="5" t="str">
        <f>IFERROR(__xludf.DUMMYFUNCTION("""COMPUTED_VALUE"""),"CAMBODIA")</f>
        <v>CAMBODIA</v>
      </c>
      <c r="E957" s="5" t="str">
        <f>IFERROR(__xludf.DUMMYFUNCTION("""COMPUTED_VALUE"""),"1.5HP")</f>
        <v>1.5HP</v>
      </c>
      <c r="F957" s="5"/>
      <c r="G957" s="5"/>
      <c r="H957" s="5" t="str">
        <f>IFERROR(__xludf.DUMMYFUNCTION("""COMPUTED_VALUE"""),"1.5HP")</f>
        <v>1.5HP</v>
      </c>
      <c r="I957" s="5"/>
      <c r="J957" s="5"/>
      <c r="K957" s="5"/>
      <c r="L957" s="5" t="str">
        <f>IFERROR(__xludf.DUMMYFUNCTION("""COMPUTED_VALUE"""),"KLH")</f>
        <v>KLH</v>
      </c>
    </row>
    <row r="958">
      <c r="A958" s="168" t="str">
        <f>IFERROR(__xludf.DUMMYFUNCTION("""COMPUTED_VALUE"""),"XD2-MCA-017")</f>
        <v>XD2-MCA-017</v>
      </c>
      <c r="B958" s="3" t="str">
        <f>IFERROR(__xludf.DUMMYFUNCTION("""COMPUTED_VALUE"""),"Máy cao áp phun thuốc")</f>
        <v>Máy cao áp phun thuốc</v>
      </c>
      <c r="C958" s="5" t="str">
        <f>IFERROR(__xludf.DUMMYFUNCTION("""COMPUTED_VALUE"""),"XN Chuối DP2")</f>
        <v>XN Chuối DP2</v>
      </c>
      <c r="D958" s="5" t="str">
        <f>IFERROR(__xludf.DUMMYFUNCTION("""COMPUTED_VALUE"""),"CAMBODIA")</f>
        <v>CAMBODIA</v>
      </c>
      <c r="E958" s="5" t="str">
        <f>IFERROR(__xludf.DUMMYFUNCTION("""COMPUTED_VALUE"""),"1.5HP")</f>
        <v>1.5HP</v>
      </c>
      <c r="F958" s="5"/>
      <c r="G958" s="5"/>
      <c r="H958" s="5" t="str">
        <f>IFERROR(__xludf.DUMMYFUNCTION("""COMPUTED_VALUE"""),"1.5HP")</f>
        <v>1.5HP</v>
      </c>
      <c r="I958" s="5"/>
      <c r="J958" s="5"/>
      <c r="K958" s="5"/>
      <c r="L958" s="5" t="str">
        <f>IFERROR(__xludf.DUMMYFUNCTION("""COMPUTED_VALUE"""),"KLH")</f>
        <v>KLH</v>
      </c>
    </row>
    <row r="959">
      <c r="A959" s="168" t="str">
        <f>IFERROR(__xludf.DUMMYFUNCTION("""COMPUTED_VALUE"""),"XD2-MCA-018")</f>
        <v>XD2-MCA-018</v>
      </c>
      <c r="B959" s="3" t="str">
        <f>IFERROR(__xludf.DUMMYFUNCTION("""COMPUTED_VALUE"""),"Máy cao áp phun thuốc")</f>
        <v>Máy cao áp phun thuốc</v>
      </c>
      <c r="C959" s="5" t="str">
        <f>IFERROR(__xludf.DUMMYFUNCTION("""COMPUTED_VALUE"""),"XN Chuối DP2")</f>
        <v>XN Chuối DP2</v>
      </c>
      <c r="D959" s="5" t="str">
        <f>IFERROR(__xludf.DUMMYFUNCTION("""COMPUTED_VALUE"""),"CAMBODIA")</f>
        <v>CAMBODIA</v>
      </c>
      <c r="E959" s="5" t="str">
        <f>IFERROR(__xludf.DUMMYFUNCTION("""COMPUTED_VALUE"""),"1.5HP")</f>
        <v>1.5HP</v>
      </c>
      <c r="F959" s="5"/>
      <c r="G959" s="5"/>
      <c r="H959" s="5" t="str">
        <f>IFERROR(__xludf.DUMMYFUNCTION("""COMPUTED_VALUE"""),"1.5HP")</f>
        <v>1.5HP</v>
      </c>
      <c r="I959" s="5"/>
      <c r="J959" s="5"/>
      <c r="K959" s="5"/>
      <c r="L959" s="5" t="str">
        <f>IFERROR(__xludf.DUMMYFUNCTION("""COMPUTED_VALUE"""),"KLH")</f>
        <v>KLH</v>
      </c>
    </row>
    <row r="960">
      <c r="A960" s="168" t="str">
        <f>IFERROR(__xludf.DUMMYFUNCTION("""COMPUTED_VALUE"""),"XD2-MCA-019")</f>
        <v>XD2-MCA-019</v>
      </c>
      <c r="B960" s="3" t="str">
        <f>IFERROR(__xludf.DUMMYFUNCTION("""COMPUTED_VALUE"""),"Máy cao áp phun thuốc")</f>
        <v>Máy cao áp phun thuốc</v>
      </c>
      <c r="C960" s="5" t="str">
        <f>IFERROR(__xludf.DUMMYFUNCTION("""COMPUTED_VALUE"""),"XN Chuối DP2")</f>
        <v>XN Chuối DP2</v>
      </c>
      <c r="D960" s="5" t="str">
        <f>IFERROR(__xludf.DUMMYFUNCTION("""COMPUTED_VALUE"""),"CAMBODIA")</f>
        <v>CAMBODIA</v>
      </c>
      <c r="E960" s="5" t="str">
        <f>IFERROR(__xludf.DUMMYFUNCTION("""COMPUTED_VALUE"""),"1.5HP")</f>
        <v>1.5HP</v>
      </c>
      <c r="F960" s="5"/>
      <c r="G960" s="5"/>
      <c r="H960" s="5" t="str">
        <f>IFERROR(__xludf.DUMMYFUNCTION("""COMPUTED_VALUE"""),"1.5HP")</f>
        <v>1.5HP</v>
      </c>
      <c r="I960" s="5"/>
      <c r="J960" s="5"/>
      <c r="K960" s="5"/>
      <c r="L960" s="5" t="str">
        <f>IFERROR(__xludf.DUMMYFUNCTION("""COMPUTED_VALUE"""),"KLH")</f>
        <v>KLH</v>
      </c>
    </row>
    <row r="961">
      <c r="A961" s="168" t="str">
        <f>IFERROR(__xludf.DUMMYFUNCTION("""COMPUTED_VALUE"""),"XD2-MBC-003")</f>
        <v>XD2-MBC-003</v>
      </c>
      <c r="B961" s="3" t="str">
        <f>IFERROR(__xludf.DUMMYFUNCTION("""COMPUTED_VALUE"""),"Máy băm cố định")</f>
        <v>Máy băm cố định</v>
      </c>
      <c r="C961" s="5" t="str">
        <f>IFERROR(__xludf.DUMMYFUNCTION("""COMPUTED_VALUE"""),"XN Chuối DP2")</f>
        <v>XN Chuối DP2</v>
      </c>
      <c r="D961" s="5" t="str">
        <f>IFERROR(__xludf.DUMMYFUNCTION("""COMPUTED_VALUE"""),"THACO AGRI")</f>
        <v>THACO AGRI</v>
      </c>
      <c r="E961" s="5" t="str">
        <f>IFERROR(__xludf.DUMMYFUNCTION("""COMPUTED_VALUE"""),"CK-MB-22")</f>
        <v>CK-MB-22</v>
      </c>
      <c r="F961" s="5"/>
      <c r="G961" s="5" t="str">
        <f>IFERROR(__xludf.DUMMYFUNCTION("""COMPUTED_VALUE"""),"2024")</f>
        <v>2024</v>
      </c>
      <c r="H961" s="5" t="str">
        <f>IFERROR(__xludf.DUMMYFUNCTION("""COMPUTED_VALUE"""),"Đ.CƠ điện 380v")</f>
        <v>Đ.CƠ điện 380v</v>
      </c>
      <c r="I961" s="5"/>
      <c r="J961" s="5"/>
      <c r="K961" s="5"/>
      <c r="L961" s="5" t="str">
        <f>IFERROR(__xludf.DUMMYFUNCTION("""COMPUTED_VALUE"""),"KLH")</f>
        <v>KLH</v>
      </c>
    </row>
    <row r="962">
      <c r="A962" s="168" t="str">
        <f>IFERROR(__xludf.DUMMYFUNCTION("""COMPUTED_VALUE"""),"XD2-MBC-005")</f>
        <v>XD2-MBC-005</v>
      </c>
      <c r="B962" s="3" t="str">
        <f>IFERROR(__xludf.DUMMYFUNCTION("""COMPUTED_VALUE"""),"Máy băm cố định")</f>
        <v>Máy băm cố định</v>
      </c>
      <c r="C962" s="5" t="str">
        <f>IFERROR(__xludf.DUMMYFUNCTION("""COMPUTED_VALUE"""),"XN Chuối DP2")</f>
        <v>XN Chuối DP2</v>
      </c>
      <c r="D962" s="5" t="str">
        <f>IFERROR(__xludf.DUMMYFUNCTION("""COMPUTED_VALUE"""),"THACO AGRI")</f>
        <v>THACO AGRI</v>
      </c>
      <c r="E962" s="5" t="str">
        <f>IFERROR(__xludf.DUMMYFUNCTION("""COMPUTED_VALUE"""),"CK-MB-22")</f>
        <v>CK-MB-22</v>
      </c>
      <c r="F962" s="5"/>
      <c r="G962" s="5" t="str">
        <f>IFERROR(__xludf.DUMMYFUNCTION("""COMPUTED_VALUE"""),"2025")</f>
        <v>2025</v>
      </c>
      <c r="H962" s="5" t="str">
        <f>IFERROR(__xludf.DUMMYFUNCTION("""COMPUTED_VALUE"""),"2,25x0,8x3,7m")</f>
        <v>2,25x0,8x3,7m</v>
      </c>
      <c r="I962" s="5"/>
      <c r="J962" s="5"/>
      <c r="K962" s="5"/>
      <c r="L962" s="5" t="str">
        <f>IFERROR(__xludf.DUMMYFUNCTION("""COMPUTED_VALUE"""),"KLH")</f>
        <v>KLH</v>
      </c>
    </row>
    <row r="963">
      <c r="A963" s="168" t="str">
        <f>IFERROR(__xludf.DUMMYFUNCTION("""COMPUTED_VALUE"""),"XD2-MBC-006")</f>
        <v>XD2-MBC-006</v>
      </c>
      <c r="B963" s="3" t="str">
        <f>IFERROR(__xludf.DUMMYFUNCTION("""COMPUTED_VALUE"""),"Máy băm cố định")</f>
        <v>Máy băm cố định</v>
      </c>
      <c r="C963" s="5" t="str">
        <f>IFERROR(__xludf.DUMMYFUNCTION("""COMPUTED_VALUE"""),"XN Chuối DP2")</f>
        <v>XN Chuối DP2</v>
      </c>
      <c r="D963" s="5" t="str">
        <f>IFERROR(__xludf.DUMMYFUNCTION("""COMPUTED_VALUE"""),"THACO AGRI")</f>
        <v>THACO AGRI</v>
      </c>
      <c r="E963" s="5"/>
      <c r="F963" s="5"/>
      <c r="G963" s="5"/>
      <c r="H963" s="5"/>
      <c r="I963" s="5"/>
      <c r="J963" s="5"/>
      <c r="K963" s="5"/>
      <c r="L963" s="5" t="str">
        <f>IFERROR(__xludf.DUMMYFUNCTION("""COMPUTED_VALUE"""),"KLH")</f>
        <v>KLH</v>
      </c>
    </row>
    <row r="964">
      <c r="A964" s="168" t="str">
        <f>IFERROR(__xludf.DUMMYFUNCTION("""COMPUTED_VALUE"""),"XD2-MXM-001")</f>
        <v>XD2-MXM-001</v>
      </c>
      <c r="B964" s="3" t="str">
        <f>IFERROR(__xludf.DUMMYFUNCTION("""COMPUTED_VALUE"""),"Rơ mooc gắn sau xe máy")</f>
        <v>Rơ mooc gắn sau xe máy</v>
      </c>
      <c r="C964" s="5" t="str">
        <f>IFERROR(__xludf.DUMMYFUNCTION("""COMPUTED_VALUE"""),"XN Chuối DP2")</f>
        <v>XN Chuối DP2</v>
      </c>
      <c r="D964" s="5" t="str">
        <f>IFERROR(__xludf.DUMMYFUNCTION("""COMPUTED_VALUE"""),"THACO AGRI")</f>
        <v>THACO AGRI</v>
      </c>
      <c r="E964" s="5"/>
      <c r="F964" s="5"/>
      <c r="G964" s="5"/>
      <c r="H964" s="5"/>
      <c r="I964" s="5"/>
      <c r="J964" s="5"/>
      <c r="K964" s="5"/>
      <c r="L964" s="5" t="str">
        <f>IFERROR(__xludf.DUMMYFUNCTION("""COMPUTED_VALUE"""),"KLH")</f>
        <v>KLH</v>
      </c>
    </row>
    <row r="965">
      <c r="A965" s="168" t="str">
        <f>IFERROR(__xludf.DUMMYFUNCTION("""COMPUTED_VALUE"""),"XD2-MXM-002")</f>
        <v>XD2-MXM-002</v>
      </c>
      <c r="B965" s="3" t="str">
        <f>IFERROR(__xludf.DUMMYFUNCTION("""COMPUTED_VALUE"""),"Rơ mooc gắn sau xe máy")</f>
        <v>Rơ mooc gắn sau xe máy</v>
      </c>
      <c r="C965" s="5" t="str">
        <f>IFERROR(__xludf.DUMMYFUNCTION("""COMPUTED_VALUE"""),"XN Chuối DP2")</f>
        <v>XN Chuối DP2</v>
      </c>
      <c r="D965" s="5" t="str">
        <f>IFERROR(__xludf.DUMMYFUNCTION("""COMPUTED_VALUE"""),"THACO AGRI")</f>
        <v>THACO AGRI</v>
      </c>
      <c r="E965" s="5"/>
      <c r="F965" s="5"/>
      <c r="G965" s="5"/>
      <c r="H965" s="5"/>
      <c r="I965" s="5"/>
      <c r="J965" s="5"/>
      <c r="K965" s="5"/>
      <c r="L965" s="5" t="str">
        <f>IFERROR(__xludf.DUMMYFUNCTION("""COMPUTED_VALUE"""),"KLH")</f>
        <v>KLH</v>
      </c>
    </row>
    <row r="966">
      <c r="A966" s="168" t="str">
        <f>IFERROR(__xludf.DUMMYFUNCTION("""COMPUTED_VALUE"""),"XD2-MXM-003")</f>
        <v>XD2-MXM-003</v>
      </c>
      <c r="B966" s="3" t="str">
        <f>IFERROR(__xludf.DUMMYFUNCTION("""COMPUTED_VALUE"""),"Rơ mooc gắn sau xe máy")</f>
        <v>Rơ mooc gắn sau xe máy</v>
      </c>
      <c r="C966" s="5" t="str">
        <f>IFERROR(__xludf.DUMMYFUNCTION("""COMPUTED_VALUE"""),"XN Chuối DP2")</f>
        <v>XN Chuối DP2</v>
      </c>
      <c r="D966" s="5" t="str">
        <f>IFERROR(__xludf.DUMMYFUNCTION("""COMPUTED_VALUE"""),"THACO AGRI")</f>
        <v>THACO AGRI</v>
      </c>
      <c r="E966" s="5"/>
      <c r="F966" s="5"/>
      <c r="G966" s="5"/>
      <c r="H966" s="5"/>
      <c r="I966" s="5"/>
      <c r="J966" s="5"/>
      <c r="K966" s="5"/>
      <c r="L966" s="5" t="str">
        <f>IFERROR(__xludf.DUMMYFUNCTION("""COMPUTED_VALUE"""),"KLH")</f>
        <v>KLH</v>
      </c>
    </row>
    <row r="967">
      <c r="A967" s="168" t="str">
        <f>IFERROR(__xludf.DUMMYFUNCTION("""COMPUTED_VALUE"""),"XD2-MXM-004")</f>
        <v>XD2-MXM-004</v>
      </c>
      <c r="B967" s="3" t="str">
        <f>IFERROR(__xludf.DUMMYFUNCTION("""COMPUTED_VALUE"""),"Rơ mooc gắn sau xe máy")</f>
        <v>Rơ mooc gắn sau xe máy</v>
      </c>
      <c r="C967" s="5" t="str">
        <f>IFERROR(__xludf.DUMMYFUNCTION("""COMPUTED_VALUE"""),"XN Chuối DP2")</f>
        <v>XN Chuối DP2</v>
      </c>
      <c r="D967" s="5" t="str">
        <f>IFERROR(__xludf.DUMMYFUNCTION("""COMPUTED_VALUE"""),"THACO AGRI")</f>
        <v>THACO AGRI</v>
      </c>
      <c r="E967" s="5"/>
      <c r="F967" s="5"/>
      <c r="G967" s="5"/>
      <c r="H967" s="5"/>
      <c r="I967" s="5"/>
      <c r="J967" s="5"/>
      <c r="K967" s="5"/>
      <c r="L967" s="5" t="str">
        <f>IFERROR(__xludf.DUMMYFUNCTION("""COMPUTED_VALUE"""),"KLH")</f>
        <v>KLH</v>
      </c>
    </row>
    <row r="968">
      <c r="A968" s="168" t="str">
        <f>IFERROR(__xludf.DUMMYFUNCTION("""COMPUTED_VALUE"""),"XD2-MXM-005")</f>
        <v>XD2-MXM-005</v>
      </c>
      <c r="B968" s="3" t="str">
        <f>IFERROR(__xludf.DUMMYFUNCTION("""COMPUTED_VALUE"""),"Rơ mooc gắn sau xe máy")</f>
        <v>Rơ mooc gắn sau xe máy</v>
      </c>
      <c r="C968" s="5" t="str">
        <f>IFERROR(__xludf.DUMMYFUNCTION("""COMPUTED_VALUE"""),"XN Chuối DP2")</f>
        <v>XN Chuối DP2</v>
      </c>
      <c r="D968" s="5" t="str">
        <f>IFERROR(__xludf.DUMMYFUNCTION("""COMPUTED_VALUE"""),"THACO AGRI")</f>
        <v>THACO AGRI</v>
      </c>
      <c r="E968" s="5"/>
      <c r="F968" s="5"/>
      <c r="G968" s="5"/>
      <c r="H968" s="5"/>
      <c r="I968" s="5"/>
      <c r="J968" s="5"/>
      <c r="K968" s="5"/>
      <c r="L968" s="5" t="str">
        <f>IFERROR(__xludf.DUMMYFUNCTION("""COMPUTED_VALUE"""),"KLH")</f>
        <v>KLH</v>
      </c>
    </row>
    <row r="969">
      <c r="A969" s="168" t="str">
        <f>IFERROR(__xludf.DUMMYFUNCTION("""COMPUTED_VALUE"""),"XD2-MXM-006")</f>
        <v>XD2-MXM-006</v>
      </c>
      <c r="B969" s="3" t="str">
        <f>IFERROR(__xludf.DUMMYFUNCTION("""COMPUTED_VALUE"""),"Rơ mooc gắn sau xe máy")</f>
        <v>Rơ mooc gắn sau xe máy</v>
      </c>
      <c r="C969" s="5" t="str">
        <f>IFERROR(__xludf.DUMMYFUNCTION("""COMPUTED_VALUE"""),"XN Chuối DP2")</f>
        <v>XN Chuối DP2</v>
      </c>
      <c r="D969" s="5" t="str">
        <f>IFERROR(__xludf.DUMMYFUNCTION("""COMPUTED_VALUE"""),"THACO AGRI")</f>
        <v>THACO AGRI</v>
      </c>
      <c r="E969" s="5"/>
      <c r="F969" s="5"/>
      <c r="G969" s="5"/>
      <c r="H969" s="5"/>
      <c r="I969" s="5"/>
      <c r="J969" s="5"/>
      <c r="K969" s="5"/>
      <c r="L969" s="5" t="str">
        <f>IFERROR(__xludf.DUMMYFUNCTION("""COMPUTED_VALUE"""),"KLH")</f>
        <v>KLH</v>
      </c>
    </row>
    <row r="970">
      <c r="A970" s="168" t="str">
        <f>IFERROR(__xludf.DUMMYFUNCTION("""COMPUTED_VALUE"""),"XD2-MXM-007")</f>
        <v>XD2-MXM-007</v>
      </c>
      <c r="B970" s="3" t="str">
        <f>IFERROR(__xludf.DUMMYFUNCTION("""COMPUTED_VALUE"""),"Rơ mooc gắn sau xe máy")</f>
        <v>Rơ mooc gắn sau xe máy</v>
      </c>
      <c r="C970" s="5" t="str">
        <f>IFERROR(__xludf.DUMMYFUNCTION("""COMPUTED_VALUE"""),"XN Chuối DP2")</f>
        <v>XN Chuối DP2</v>
      </c>
      <c r="D970" s="5" t="str">
        <f>IFERROR(__xludf.DUMMYFUNCTION("""COMPUTED_VALUE"""),"THACO AGRI")</f>
        <v>THACO AGRI</v>
      </c>
      <c r="E970" s="5"/>
      <c r="F970" s="5"/>
      <c r="G970" s="5"/>
      <c r="H970" s="5"/>
      <c r="I970" s="5"/>
      <c r="J970" s="5"/>
      <c r="K970" s="5"/>
      <c r="L970" s="5" t="str">
        <f>IFERROR(__xludf.DUMMYFUNCTION("""COMPUTED_VALUE"""),"KLH")</f>
        <v>KLH</v>
      </c>
    </row>
    <row r="971">
      <c r="A971" s="168" t="str">
        <f>IFERROR(__xludf.DUMMYFUNCTION("""COMPUTED_VALUE"""),"XD2-MXM-008")</f>
        <v>XD2-MXM-008</v>
      </c>
      <c r="B971" s="3" t="str">
        <f>IFERROR(__xludf.DUMMYFUNCTION("""COMPUTED_VALUE"""),"Rơ mooc gắn sau xe máy")</f>
        <v>Rơ mooc gắn sau xe máy</v>
      </c>
      <c r="C971" s="5" t="str">
        <f>IFERROR(__xludf.DUMMYFUNCTION("""COMPUTED_VALUE"""),"XN Chuối DP2")</f>
        <v>XN Chuối DP2</v>
      </c>
      <c r="D971" s="5" t="str">
        <f>IFERROR(__xludf.DUMMYFUNCTION("""COMPUTED_VALUE"""),"THACO AGRI")</f>
        <v>THACO AGRI</v>
      </c>
      <c r="E971" s="5"/>
      <c r="F971" s="5"/>
      <c r="G971" s="5"/>
      <c r="H971" s="5"/>
      <c r="I971" s="5"/>
      <c r="J971" s="5"/>
      <c r="K971" s="5"/>
      <c r="L971" s="5" t="str">
        <f>IFERROR(__xludf.DUMMYFUNCTION("""COMPUTED_VALUE"""),"KLH")</f>
        <v>KLH</v>
      </c>
    </row>
    <row r="972">
      <c r="A972" s="168" t="str">
        <f>IFERROR(__xludf.DUMMYFUNCTION("""COMPUTED_VALUE"""),"XD2-MCL-001")</f>
        <v>XD2-MCL-001</v>
      </c>
      <c r="B972" s="3" t="str">
        <f>IFERROR(__xludf.DUMMYFUNCTION("""COMPUTED_VALUE"""),"Rơ mooc clethon")</f>
        <v>Rơ mooc clethon</v>
      </c>
      <c r="C972" s="5" t="str">
        <f>IFERROR(__xludf.DUMMYFUNCTION("""COMPUTED_VALUE"""),"XN Chuối DP2")</f>
        <v>XN Chuối DP2</v>
      </c>
      <c r="D972" s="5" t="str">
        <f>IFERROR(__xludf.DUMMYFUNCTION("""COMPUTED_VALUE"""),"THACO AGRI")</f>
        <v>THACO AGRI</v>
      </c>
      <c r="E972" s="5"/>
      <c r="F972" s="5"/>
      <c r="G972" s="5"/>
      <c r="H972" s="5" t="str">
        <f>IFERROR(__xludf.DUMMYFUNCTION("""COMPUTED_VALUE"""),"4.5x2.5x1.4")</f>
        <v>4.5x2.5x1.4</v>
      </c>
      <c r="I972" s="5"/>
      <c r="J972" s="5"/>
      <c r="K972" s="5"/>
      <c r="L972" s="5" t="str">
        <f>IFERROR(__xludf.DUMMYFUNCTION("""COMPUTED_VALUE"""),"KLH")</f>
        <v>KLH</v>
      </c>
    </row>
    <row r="973">
      <c r="A973" s="168" t="str">
        <f>IFERROR(__xludf.DUMMYFUNCTION("""COMPUTED_VALUE"""),"XD2-MCL-002")</f>
        <v>XD2-MCL-002</v>
      </c>
      <c r="B973" s="3" t="str">
        <f>IFERROR(__xludf.DUMMYFUNCTION("""COMPUTED_VALUE"""),"Rơ mooc clethon")</f>
        <v>Rơ mooc clethon</v>
      </c>
      <c r="C973" s="5" t="str">
        <f>IFERROR(__xludf.DUMMYFUNCTION("""COMPUTED_VALUE"""),"XN Chuối DP2")</f>
        <v>XN Chuối DP2</v>
      </c>
      <c r="D973" s="5" t="str">
        <f>IFERROR(__xludf.DUMMYFUNCTION("""COMPUTED_VALUE"""),"THACO AGRI")</f>
        <v>THACO AGRI</v>
      </c>
      <c r="E973" s="5"/>
      <c r="F973" s="5"/>
      <c r="G973" s="5"/>
      <c r="H973" s="5" t="str">
        <f>IFERROR(__xludf.DUMMYFUNCTION("""COMPUTED_VALUE"""),"4.5x2.5x1.4")</f>
        <v>4.5x2.5x1.4</v>
      </c>
      <c r="I973" s="5"/>
      <c r="J973" s="5"/>
      <c r="K973" s="5"/>
      <c r="L973" s="5" t="str">
        <f>IFERROR(__xludf.DUMMYFUNCTION("""COMPUTED_VALUE"""),"KLH")</f>
        <v>KLH</v>
      </c>
    </row>
    <row r="974">
      <c r="A974" s="168" t="str">
        <f>IFERROR(__xludf.DUMMYFUNCTION("""COMPUTED_VALUE"""),"XD2-MKC-001")</f>
        <v>XD2-MKC-001</v>
      </c>
      <c r="B974" s="3" t="str">
        <f>IFERROR(__xludf.DUMMYFUNCTION("""COMPUTED_VALUE"""),"Máy kéo chuối (Xăng)")</f>
        <v>Máy kéo chuối (Xăng)</v>
      </c>
      <c r="C974" s="5" t="str">
        <f>IFERROR(__xludf.DUMMYFUNCTION("""COMPUTED_VALUE"""),"XN Chuối DP2")</f>
        <v>XN Chuối DP2</v>
      </c>
      <c r="D974" s="5" t="str">
        <f>IFERROR(__xludf.DUMMYFUNCTION("""COMPUTED_VALUE"""),"DREAM")</f>
        <v>DREAM</v>
      </c>
      <c r="E974" s="5" t="str">
        <f>IFERROR(__xludf.DUMMYFUNCTION("""COMPUTED_VALUE"""),"CGH-MKC-DREAM")</f>
        <v>CGH-MKC-DREAM</v>
      </c>
      <c r="F974" s="5"/>
      <c r="G974" s="5" t="str">
        <f>IFERROR(__xludf.DUMMYFUNCTION("""COMPUTED_VALUE"""),"2024")</f>
        <v>2024</v>
      </c>
      <c r="H974" s="5" t="str">
        <f>IFERROR(__xludf.DUMMYFUNCTION("""COMPUTED_VALUE"""),"9.25HP")</f>
        <v>9.25HP</v>
      </c>
      <c r="I974" s="5" t="str">
        <f>IFERROR(__xludf.DUMMYFUNCTION("""COMPUTED_VALUE"""),"10H05075")</f>
        <v>10H05075</v>
      </c>
      <c r="J974" s="5"/>
      <c r="K974" s="5">
        <f>IFERROR(__xludf.DUMMYFUNCTION("""COMPUTED_VALUE"""),0.56)</f>
        <v>0.56</v>
      </c>
      <c r="L974" s="5" t="str">
        <f>IFERROR(__xludf.DUMMYFUNCTION("""COMPUTED_VALUE"""),"KLH")</f>
        <v>KLH</v>
      </c>
    </row>
    <row r="975">
      <c r="A975" s="168" t="str">
        <f>IFERROR(__xludf.DUMMYFUNCTION("""COMPUTED_VALUE"""),"XD2-MKC-002")</f>
        <v>XD2-MKC-002</v>
      </c>
      <c r="B975" s="3" t="str">
        <f>IFERROR(__xludf.DUMMYFUNCTION("""COMPUTED_VALUE"""),"Máy kéo chuối (Xăng)")</f>
        <v>Máy kéo chuối (Xăng)</v>
      </c>
      <c r="C975" s="5" t="str">
        <f>IFERROR(__xludf.DUMMYFUNCTION("""COMPUTED_VALUE"""),"XN Chuối DP2")</f>
        <v>XN Chuối DP2</v>
      </c>
      <c r="D975" s="5" t="str">
        <f>IFERROR(__xludf.DUMMYFUNCTION("""COMPUTED_VALUE"""),"DREAM")</f>
        <v>DREAM</v>
      </c>
      <c r="E975" s="5" t="str">
        <f>IFERROR(__xludf.DUMMYFUNCTION("""COMPUTED_VALUE"""),"CGH-MKC-DREAM")</f>
        <v>CGH-MKC-DREAM</v>
      </c>
      <c r="F975" s="5"/>
      <c r="G975" s="5" t="str">
        <f>IFERROR(__xludf.DUMMYFUNCTION("""COMPUTED_VALUE"""),"2024")</f>
        <v>2024</v>
      </c>
      <c r="H975" s="5" t="str">
        <f>IFERROR(__xludf.DUMMYFUNCTION("""COMPUTED_VALUE"""),"9.25HP")</f>
        <v>9.25HP</v>
      </c>
      <c r="I975" s="5" t="str">
        <f>IFERROR(__xludf.DUMMYFUNCTION("""COMPUTED_VALUE"""),"10D66471")</f>
        <v>10D66471</v>
      </c>
      <c r="J975" s="5"/>
      <c r="K975" s="5">
        <f>IFERROR(__xludf.DUMMYFUNCTION("""COMPUTED_VALUE"""),0.56)</f>
        <v>0.56</v>
      </c>
      <c r="L975" s="5" t="str">
        <f>IFERROR(__xludf.DUMMYFUNCTION("""COMPUTED_VALUE"""),"KLH")</f>
        <v>KLH</v>
      </c>
    </row>
    <row r="976">
      <c r="A976" s="168" t="str">
        <f>IFERROR(__xludf.DUMMYFUNCTION("""COMPUTED_VALUE"""),"XD2-MKC-003")</f>
        <v>XD2-MKC-003</v>
      </c>
      <c r="B976" s="3" t="str">
        <f>IFERROR(__xludf.DUMMYFUNCTION("""COMPUTED_VALUE"""),"Máy kéo chuối (Xăng)")</f>
        <v>Máy kéo chuối (Xăng)</v>
      </c>
      <c r="C976" s="5" t="str">
        <f>IFERROR(__xludf.DUMMYFUNCTION("""COMPUTED_VALUE"""),"XN Chuối DP2")</f>
        <v>XN Chuối DP2</v>
      </c>
      <c r="D976" s="5" t="str">
        <f>IFERROR(__xludf.DUMMYFUNCTION("""COMPUTED_VALUE"""),"DREAM")</f>
        <v>DREAM</v>
      </c>
      <c r="E976" s="5" t="str">
        <f>IFERROR(__xludf.DUMMYFUNCTION("""COMPUTED_VALUE"""),"CGH-MKC-DREAM")</f>
        <v>CGH-MKC-DREAM</v>
      </c>
      <c r="F976" s="5"/>
      <c r="G976" s="5" t="str">
        <f>IFERROR(__xludf.DUMMYFUNCTION("""COMPUTED_VALUE"""),"2025")</f>
        <v>2025</v>
      </c>
      <c r="H976" s="5" t="str">
        <f>IFERROR(__xludf.DUMMYFUNCTION("""COMPUTED_VALUE"""),"9.25HP")</f>
        <v>9.25HP</v>
      </c>
      <c r="I976" s="5" t="str">
        <f>IFERROR(__xludf.DUMMYFUNCTION("""COMPUTED_VALUE"""),"Mất sm")</f>
        <v>Mất sm</v>
      </c>
      <c r="J976" s="5"/>
      <c r="K976" s="5">
        <f>IFERROR(__xludf.DUMMYFUNCTION("""COMPUTED_VALUE"""),0.56)</f>
        <v>0.56</v>
      </c>
      <c r="L976" s="5" t="str">
        <f>IFERROR(__xludf.DUMMYFUNCTION("""COMPUTED_VALUE"""),"KLH")</f>
        <v>KLH</v>
      </c>
    </row>
    <row r="977">
      <c r="A977" s="168" t="str">
        <f>IFERROR(__xludf.DUMMYFUNCTION("""COMPUTED_VALUE"""),"XD2-MKC-004")</f>
        <v>XD2-MKC-004</v>
      </c>
      <c r="B977" s="3" t="str">
        <f>IFERROR(__xludf.DUMMYFUNCTION("""COMPUTED_VALUE"""),"Máy kéo chuối (Xăng)")</f>
        <v>Máy kéo chuối (Xăng)</v>
      </c>
      <c r="C977" s="5" t="str">
        <f>IFERROR(__xludf.DUMMYFUNCTION("""COMPUTED_VALUE"""),"XN Chuối DP2")</f>
        <v>XN Chuối DP2</v>
      </c>
      <c r="D977" s="5" t="str">
        <f>IFERROR(__xludf.DUMMYFUNCTION("""COMPUTED_VALUE"""),"DREAM")</f>
        <v>DREAM</v>
      </c>
      <c r="E977" s="5" t="str">
        <f>IFERROR(__xludf.DUMMYFUNCTION("""COMPUTED_VALUE"""),"CGH-MKC-DREAM")</f>
        <v>CGH-MKC-DREAM</v>
      </c>
      <c r="F977" s="5"/>
      <c r="G977" s="5" t="str">
        <f>IFERROR(__xludf.DUMMYFUNCTION("""COMPUTED_VALUE"""),"2025")</f>
        <v>2025</v>
      </c>
      <c r="H977" s="5" t="str">
        <f>IFERROR(__xludf.DUMMYFUNCTION("""COMPUTED_VALUE"""),"9.25HP")</f>
        <v>9.25HP</v>
      </c>
      <c r="I977" s="5" t="str">
        <f>IFERROR(__xludf.DUMMYFUNCTION("""COMPUTED_VALUE"""),"09H71220")</f>
        <v>09H71220</v>
      </c>
      <c r="J977" s="5"/>
      <c r="K977" s="5">
        <f>IFERROR(__xludf.DUMMYFUNCTION("""COMPUTED_VALUE"""),0.56)</f>
        <v>0.56</v>
      </c>
      <c r="L977" s="5" t="str">
        <f>IFERROR(__xludf.DUMMYFUNCTION("""COMPUTED_VALUE"""),"KLH")</f>
        <v>KLH</v>
      </c>
    </row>
    <row r="978">
      <c r="A978" s="168" t="str">
        <f>IFERROR(__xludf.DUMMYFUNCTION("""COMPUTED_VALUE"""),"XD2-MKC-005")</f>
        <v>XD2-MKC-005</v>
      </c>
      <c r="B978" s="3" t="str">
        <f>IFERROR(__xludf.DUMMYFUNCTION("""COMPUTED_VALUE"""),"Máy kéo chuối (Xăng)")</f>
        <v>Máy kéo chuối (Xăng)</v>
      </c>
      <c r="C978" s="5" t="str">
        <f>IFERROR(__xludf.DUMMYFUNCTION("""COMPUTED_VALUE"""),"XN Chuối DP2")</f>
        <v>XN Chuối DP2</v>
      </c>
      <c r="D978" s="5" t="str">
        <f>IFERROR(__xludf.DUMMYFUNCTION("""COMPUTED_VALUE"""),"DREAM")</f>
        <v>DREAM</v>
      </c>
      <c r="E978" s="5" t="str">
        <f>IFERROR(__xludf.DUMMYFUNCTION("""COMPUTED_VALUE"""),"XKC-25")</f>
        <v>XKC-25</v>
      </c>
      <c r="F978" s="5"/>
      <c r="G978" s="5" t="str">
        <f>IFERROR(__xludf.DUMMYFUNCTION("""COMPUTED_VALUE"""),"2025")</f>
        <v>2025</v>
      </c>
      <c r="H978" s="5" t="str">
        <f>IFERROR(__xludf.DUMMYFUNCTION("""COMPUTED_VALUE"""),"9.25HP")</f>
        <v>9.25HP</v>
      </c>
      <c r="I978" s="5" t="str">
        <f>IFERROR(__xludf.DUMMYFUNCTION("""COMPUTED_VALUE"""),"25")</f>
        <v>25</v>
      </c>
      <c r="J978" s="5"/>
      <c r="K978" s="5">
        <f>IFERROR(__xludf.DUMMYFUNCTION("""COMPUTED_VALUE"""),0.56)</f>
        <v>0.56</v>
      </c>
      <c r="L978" s="5" t="str">
        <f>IFERROR(__xludf.DUMMYFUNCTION("""COMPUTED_VALUE"""),"KLH")</f>
        <v>KLH</v>
      </c>
    </row>
    <row r="979">
      <c r="A979" s="168" t="str">
        <f>IFERROR(__xludf.DUMMYFUNCTION("""COMPUTED_VALUE"""),"XD2-MKC-006")</f>
        <v>XD2-MKC-006</v>
      </c>
      <c r="B979" s="3" t="str">
        <f>IFERROR(__xludf.DUMMYFUNCTION("""COMPUTED_VALUE"""),"Máy kéo chuối (Xăng)")</f>
        <v>Máy kéo chuối (Xăng)</v>
      </c>
      <c r="C979" s="5" t="str">
        <f>IFERROR(__xludf.DUMMYFUNCTION("""COMPUTED_VALUE"""),"XN Chuối DP2")</f>
        <v>XN Chuối DP2</v>
      </c>
      <c r="D979" s="5" t="str">
        <f>IFERROR(__xludf.DUMMYFUNCTION("""COMPUTED_VALUE"""),"DREAM")</f>
        <v>DREAM</v>
      </c>
      <c r="E979" s="5" t="str">
        <f>IFERROR(__xludf.DUMMYFUNCTION("""COMPUTED_VALUE"""),"XKC-27")</f>
        <v>XKC-27</v>
      </c>
      <c r="F979" s="5"/>
      <c r="G979" s="5" t="str">
        <f>IFERROR(__xludf.DUMMYFUNCTION("""COMPUTED_VALUE"""),"2025")</f>
        <v>2025</v>
      </c>
      <c r="H979" s="5" t="str">
        <f>IFERROR(__xludf.DUMMYFUNCTION("""COMPUTED_VALUE"""),"9.25HP")</f>
        <v>9.25HP</v>
      </c>
      <c r="I979" s="5" t="str">
        <f>IFERROR(__xludf.DUMMYFUNCTION("""COMPUTED_VALUE"""),"27")</f>
        <v>27</v>
      </c>
      <c r="J979" s="5"/>
      <c r="K979" s="5">
        <f>IFERROR(__xludf.DUMMYFUNCTION("""COMPUTED_VALUE"""),0.56)</f>
        <v>0.56</v>
      </c>
      <c r="L979" s="5" t="str">
        <f>IFERROR(__xludf.DUMMYFUNCTION("""COMPUTED_VALUE"""),"KLH")</f>
        <v>KLH</v>
      </c>
    </row>
    <row r="980">
      <c r="A980" s="168" t="str">
        <f>IFERROR(__xludf.DUMMYFUNCTION("""COMPUTED_VALUE"""),"XD2-MKC-007")</f>
        <v>XD2-MKC-007</v>
      </c>
      <c r="B980" s="3" t="str">
        <f>IFERROR(__xludf.DUMMYFUNCTION("""COMPUTED_VALUE"""),"Máy kéo chuối (Xăng)")</f>
        <v>Máy kéo chuối (Xăng)</v>
      </c>
      <c r="C980" s="5" t="str">
        <f>IFERROR(__xludf.DUMMYFUNCTION("""COMPUTED_VALUE"""),"XN Chuối DP2")</f>
        <v>XN Chuối DP2</v>
      </c>
      <c r="D980" s="5" t="str">
        <f>IFERROR(__xludf.DUMMYFUNCTION("""COMPUTED_VALUE"""),"DREAM")</f>
        <v>DREAM</v>
      </c>
      <c r="E980" s="5" t="str">
        <f>IFERROR(__xludf.DUMMYFUNCTION("""COMPUTED_VALUE"""),"XKC-37")</f>
        <v>XKC-37</v>
      </c>
      <c r="F980" s="5"/>
      <c r="G980" s="5" t="str">
        <f>IFERROR(__xludf.DUMMYFUNCTION("""COMPUTED_VALUE"""),"2025")</f>
        <v>2025</v>
      </c>
      <c r="H980" s="5" t="str">
        <f>IFERROR(__xludf.DUMMYFUNCTION("""COMPUTED_VALUE"""),"9.25HP")</f>
        <v>9.25HP</v>
      </c>
      <c r="I980" s="5"/>
      <c r="J980" s="5"/>
      <c r="K980" s="5">
        <f>IFERROR(__xludf.DUMMYFUNCTION("""COMPUTED_VALUE"""),0.56)</f>
        <v>0.56</v>
      </c>
      <c r="L980" s="5" t="str">
        <f>IFERROR(__xludf.DUMMYFUNCTION("""COMPUTED_VALUE"""),"KLH")</f>
        <v>KLH</v>
      </c>
    </row>
    <row r="981">
      <c r="A981" s="168" t="str">
        <f>IFERROR(__xludf.DUMMYFUNCTION("""COMPUTED_VALUE"""),"XD2-MKC-008")</f>
        <v>XD2-MKC-008</v>
      </c>
      <c r="B981" s="3" t="str">
        <f>IFERROR(__xludf.DUMMYFUNCTION("""COMPUTED_VALUE"""),"Máy kéo chuối (Xăng)")</f>
        <v>Máy kéo chuối (Xăng)</v>
      </c>
      <c r="C981" s="5" t="str">
        <f>IFERROR(__xludf.DUMMYFUNCTION("""COMPUTED_VALUE"""),"XN Chuối DP2")</f>
        <v>XN Chuối DP2</v>
      </c>
      <c r="D981" s="5" t="str">
        <f>IFERROR(__xludf.DUMMYFUNCTION("""COMPUTED_VALUE"""),"DREAM")</f>
        <v>DREAM</v>
      </c>
      <c r="E981" s="5" t="str">
        <f>IFERROR(__xludf.DUMMYFUNCTION("""COMPUTED_VALUE"""),"XKC-42")</f>
        <v>XKC-42</v>
      </c>
      <c r="F981" s="5"/>
      <c r="G981" s="5" t="str">
        <f>IFERROR(__xludf.DUMMYFUNCTION("""COMPUTED_VALUE"""),"2025")</f>
        <v>2025</v>
      </c>
      <c r="H981" s="5" t="str">
        <f>IFERROR(__xludf.DUMMYFUNCTION("""COMPUTED_VALUE"""),"9.25HP")</f>
        <v>9.25HP</v>
      </c>
      <c r="I981" s="5"/>
      <c r="J981" s="5"/>
      <c r="K981" s="5">
        <f>IFERROR(__xludf.DUMMYFUNCTION("""COMPUTED_VALUE"""),0.56)</f>
        <v>0.56</v>
      </c>
      <c r="L981" s="5" t="str">
        <f>IFERROR(__xludf.DUMMYFUNCTION("""COMPUTED_VALUE"""),"KLH")</f>
        <v>KLH</v>
      </c>
    </row>
    <row r="982">
      <c r="A982" s="168" t="str">
        <f>IFERROR(__xludf.DUMMYFUNCTION("""COMPUTED_VALUE"""),"XD2-MKC-009")</f>
        <v>XD2-MKC-009</v>
      </c>
      <c r="B982" s="3" t="str">
        <f>IFERROR(__xludf.DUMMYFUNCTION("""COMPUTED_VALUE"""),"Máy kéo chuối (Xăng)")</f>
        <v>Máy kéo chuối (Xăng)</v>
      </c>
      <c r="C982" s="5" t="str">
        <f>IFERROR(__xludf.DUMMYFUNCTION("""COMPUTED_VALUE"""),"XN Chuối DP2")</f>
        <v>XN Chuối DP2</v>
      </c>
      <c r="D982" s="5" t="str">
        <f>IFERROR(__xludf.DUMMYFUNCTION("""COMPUTED_VALUE"""),"DREAM")</f>
        <v>DREAM</v>
      </c>
      <c r="E982" s="5" t="str">
        <f>IFERROR(__xludf.DUMMYFUNCTION("""COMPUTED_VALUE"""),"XKC-43")</f>
        <v>XKC-43</v>
      </c>
      <c r="F982" s="5"/>
      <c r="G982" s="5" t="str">
        <f>IFERROR(__xludf.DUMMYFUNCTION("""COMPUTED_VALUE"""),"2025")</f>
        <v>2025</v>
      </c>
      <c r="H982" s="5" t="str">
        <f>IFERROR(__xludf.DUMMYFUNCTION("""COMPUTED_VALUE"""),"9.25HP")</f>
        <v>9.25HP</v>
      </c>
      <c r="I982" s="5"/>
      <c r="J982" s="5"/>
      <c r="K982" s="5">
        <f>IFERROR(__xludf.DUMMYFUNCTION("""COMPUTED_VALUE"""),0.56)</f>
        <v>0.56</v>
      </c>
      <c r="L982" s="5" t="str">
        <f>IFERROR(__xludf.DUMMYFUNCTION("""COMPUTED_VALUE"""),"KLH")</f>
        <v>KLH</v>
      </c>
    </row>
    <row r="983">
      <c r="A983" s="168" t="str">
        <f>IFERROR(__xludf.DUMMYFUNCTION("""COMPUTED_VALUE"""),"XD2-MKC-010")</f>
        <v>XD2-MKC-010</v>
      </c>
      <c r="B983" s="3" t="str">
        <f>IFERROR(__xludf.DUMMYFUNCTION("""COMPUTED_VALUE"""),"Máy kéo chuối (Xăng)")</f>
        <v>Máy kéo chuối (Xăng)</v>
      </c>
      <c r="C983" s="5" t="str">
        <f>IFERROR(__xludf.DUMMYFUNCTION("""COMPUTED_VALUE"""),"XN Chuối DP2")</f>
        <v>XN Chuối DP2</v>
      </c>
      <c r="D983" s="5" t="str">
        <f>IFERROR(__xludf.DUMMYFUNCTION("""COMPUTED_VALUE"""),"DREAM")</f>
        <v>DREAM</v>
      </c>
      <c r="E983" s="5" t="str">
        <f>IFERROR(__xludf.DUMMYFUNCTION("""COMPUTED_VALUE"""),"XKC-44")</f>
        <v>XKC-44</v>
      </c>
      <c r="F983" s="5"/>
      <c r="G983" s="5" t="str">
        <f>IFERROR(__xludf.DUMMYFUNCTION("""COMPUTED_VALUE"""),"2025")</f>
        <v>2025</v>
      </c>
      <c r="H983" s="5" t="str">
        <f>IFERROR(__xludf.DUMMYFUNCTION("""COMPUTED_VALUE"""),"9.25HP")</f>
        <v>9.25HP</v>
      </c>
      <c r="I983" s="5"/>
      <c r="J983" s="5"/>
      <c r="K983" s="5">
        <f>IFERROR(__xludf.DUMMYFUNCTION("""COMPUTED_VALUE"""),0.56)</f>
        <v>0.56</v>
      </c>
      <c r="L983" s="5" t="str">
        <f>IFERROR(__xludf.DUMMYFUNCTION("""COMPUTED_VALUE"""),"KLH")</f>
        <v>KLH</v>
      </c>
    </row>
    <row r="984">
      <c r="A984" s="168" t="str">
        <f>IFERROR(__xludf.DUMMYFUNCTION("""COMPUTED_VALUE"""),"XD2-MKC-011")</f>
        <v>XD2-MKC-011</v>
      </c>
      <c r="B984" s="3" t="str">
        <f>IFERROR(__xludf.DUMMYFUNCTION("""COMPUTED_VALUE"""),"Máy kéo chuối (Xăng)")</f>
        <v>Máy kéo chuối (Xăng)</v>
      </c>
      <c r="C984" s="5" t="str">
        <f>IFERROR(__xludf.DUMMYFUNCTION("""COMPUTED_VALUE"""),"XN Chuối DP2")</f>
        <v>XN Chuối DP2</v>
      </c>
      <c r="D984" s="5" t="str">
        <f>IFERROR(__xludf.DUMMYFUNCTION("""COMPUTED_VALUE"""),"DREAM")</f>
        <v>DREAM</v>
      </c>
      <c r="E984" s="5" t="str">
        <f>IFERROR(__xludf.DUMMYFUNCTION("""COMPUTED_VALUE"""),"XKC-45")</f>
        <v>XKC-45</v>
      </c>
      <c r="F984" s="5"/>
      <c r="G984" s="5" t="str">
        <f>IFERROR(__xludf.DUMMYFUNCTION("""COMPUTED_VALUE"""),"2025")</f>
        <v>2025</v>
      </c>
      <c r="H984" s="5" t="str">
        <f>IFERROR(__xludf.DUMMYFUNCTION("""COMPUTED_VALUE"""),"9.25HP")</f>
        <v>9.25HP</v>
      </c>
      <c r="I984" s="5"/>
      <c r="J984" s="5"/>
      <c r="K984" s="5">
        <f>IFERROR(__xludf.DUMMYFUNCTION("""COMPUTED_VALUE"""),0.56)</f>
        <v>0.56</v>
      </c>
      <c r="L984" s="5" t="str">
        <f>IFERROR(__xludf.DUMMYFUNCTION("""COMPUTED_VALUE"""),"KLH")</f>
        <v>KLH</v>
      </c>
    </row>
    <row r="985">
      <c r="A985" s="168" t="str">
        <f>IFERROR(__xludf.DUMMYFUNCTION("""COMPUTED_VALUE"""),"XD2-MKC-012")</f>
        <v>XD2-MKC-012</v>
      </c>
      <c r="B985" s="3" t="str">
        <f>IFERROR(__xludf.DUMMYFUNCTION("""COMPUTED_VALUE"""),"Máy kéo chuối (Xăng)")</f>
        <v>Máy kéo chuối (Xăng)</v>
      </c>
      <c r="C985" s="5" t="str">
        <f>IFERROR(__xludf.DUMMYFUNCTION("""COMPUTED_VALUE"""),"XN Chuối DP2")</f>
        <v>XN Chuối DP2</v>
      </c>
      <c r="D985" s="5"/>
      <c r="E985" s="5"/>
      <c r="F985" s="5"/>
      <c r="G985" s="5"/>
      <c r="H985" s="5"/>
      <c r="I985" s="5"/>
      <c r="J985" s="5"/>
      <c r="K985" s="5">
        <f>IFERROR(__xludf.DUMMYFUNCTION("""COMPUTED_VALUE"""),0.56)</f>
        <v>0.56</v>
      </c>
      <c r="L985" s="5" t="str">
        <f>IFERROR(__xludf.DUMMYFUNCTION("""COMPUTED_VALUE"""),"KLH")</f>
        <v>KLH</v>
      </c>
    </row>
    <row r="986">
      <c r="A986" s="168" t="str">
        <f>IFERROR(__xludf.DUMMYFUNCTION("""COMPUTED_VALUE"""),"XD2-MKC-013")</f>
        <v>XD2-MKC-013</v>
      </c>
      <c r="B986" s="3" t="str">
        <f>IFERROR(__xludf.DUMMYFUNCTION("""COMPUTED_VALUE"""),"Máy kéo chuối (Xăng)")</f>
        <v>Máy kéo chuối (Xăng)</v>
      </c>
      <c r="C986" s="5" t="str">
        <f>IFERROR(__xludf.DUMMYFUNCTION("""COMPUTED_VALUE"""),"XN Chuối DP2")</f>
        <v>XN Chuối DP2</v>
      </c>
      <c r="D986" s="5"/>
      <c r="E986" s="5"/>
      <c r="F986" s="5"/>
      <c r="G986" s="5"/>
      <c r="H986" s="5"/>
      <c r="I986" s="5"/>
      <c r="J986" s="5"/>
      <c r="K986" s="5">
        <f>IFERROR(__xludf.DUMMYFUNCTION("""COMPUTED_VALUE"""),0.56)</f>
        <v>0.56</v>
      </c>
      <c r="L986" s="5" t="str">
        <f>IFERROR(__xludf.DUMMYFUNCTION("""COMPUTED_VALUE"""),"KLH")</f>
        <v>KLH</v>
      </c>
    </row>
    <row r="987">
      <c r="A987" s="168" t="str">
        <f>IFERROR(__xludf.DUMMYFUNCTION("""COMPUTED_VALUE"""),"Xí nghiệp chuối DP3")</f>
        <v>Xí nghiệp chuối DP3</v>
      </c>
      <c r="B987" s="3" t="str">
        <f>IFERROR(__xludf.DUMMYFUNCTION("""COMPUTED_VALUE"""),"16")</f>
        <v>16</v>
      </c>
      <c r="C987" s="5"/>
      <c r="D987" s="5"/>
      <c r="E987" s="5"/>
      <c r="F987" s="5"/>
      <c r="G987" s="5"/>
      <c r="H987" s="5"/>
      <c r="I987" s="5"/>
      <c r="J987" s="5"/>
      <c r="K987" s="5"/>
      <c r="L987" s="5" t="str">
        <f>IFERROR(__xludf.DUMMYFUNCTION("""COMPUTED_VALUE"""),"KLH")</f>
        <v>KLH</v>
      </c>
    </row>
    <row r="988">
      <c r="A988" s="168" t="str">
        <f>IFERROR(__xludf.DUMMYFUNCTION("""COMPUTED_VALUE"""),"XD3-MCA-001")</f>
        <v>XD3-MCA-001</v>
      </c>
      <c r="B988" s="3" t="str">
        <f>IFERROR(__xludf.DUMMYFUNCTION("""COMPUTED_VALUE"""),"Máy cao áp phun thuốc")</f>
        <v>Máy cao áp phun thuốc</v>
      </c>
      <c r="C988" s="5" t="str">
        <f>IFERROR(__xludf.DUMMYFUNCTION("""COMPUTED_VALUE"""),"XN Chuối DP3")</f>
        <v>XN Chuối DP3</v>
      </c>
      <c r="D988" s="5" t="str">
        <f>IFERROR(__xludf.DUMMYFUNCTION("""COMPUTED_VALUE"""),"CAMBODIA")</f>
        <v>CAMBODIA</v>
      </c>
      <c r="E988" s="5" t="str">
        <f>IFERROR(__xludf.DUMMYFUNCTION("""COMPUTED_VALUE"""),"3HP")</f>
        <v>3HP</v>
      </c>
      <c r="F988" s="5"/>
      <c r="G988" s="5"/>
      <c r="H988" s="5" t="str">
        <f>IFERROR(__xludf.DUMMYFUNCTION("""COMPUTED_VALUE"""),"3HP")</f>
        <v>3HP</v>
      </c>
      <c r="I988" s="5"/>
      <c r="J988" s="5"/>
      <c r="K988" s="5"/>
      <c r="L988" s="5" t="str">
        <f>IFERROR(__xludf.DUMMYFUNCTION("""COMPUTED_VALUE"""),"KLH")</f>
        <v>KLH</v>
      </c>
    </row>
    <row r="989">
      <c r="A989" s="168" t="str">
        <f>IFERROR(__xludf.DUMMYFUNCTION("""COMPUTED_VALUE"""),"XD3-MCA-002")</f>
        <v>XD3-MCA-002</v>
      </c>
      <c r="B989" s="3" t="str">
        <f>IFERROR(__xludf.DUMMYFUNCTION("""COMPUTED_VALUE"""),"Máy cao áp phun thuốc")</f>
        <v>Máy cao áp phun thuốc</v>
      </c>
      <c r="C989" s="5" t="str">
        <f>IFERROR(__xludf.DUMMYFUNCTION("""COMPUTED_VALUE"""),"XN Chuối DP3")</f>
        <v>XN Chuối DP3</v>
      </c>
      <c r="D989" s="5" t="str">
        <f>IFERROR(__xludf.DUMMYFUNCTION("""COMPUTED_VALUE"""),"CAMBODIA")</f>
        <v>CAMBODIA</v>
      </c>
      <c r="E989" s="5" t="str">
        <f>IFERROR(__xludf.DUMMYFUNCTION("""COMPUTED_VALUE"""),"3HP")</f>
        <v>3HP</v>
      </c>
      <c r="F989" s="5"/>
      <c r="G989" s="5"/>
      <c r="H989" s="5" t="str">
        <f>IFERROR(__xludf.DUMMYFUNCTION("""COMPUTED_VALUE"""),"3HP")</f>
        <v>3HP</v>
      </c>
      <c r="I989" s="5"/>
      <c r="J989" s="5"/>
      <c r="K989" s="5"/>
      <c r="L989" s="5" t="str">
        <f>IFERROR(__xludf.DUMMYFUNCTION("""COMPUTED_VALUE"""),"KLH")</f>
        <v>KLH</v>
      </c>
    </row>
    <row r="990">
      <c r="A990" s="168" t="str">
        <f>IFERROR(__xludf.DUMMYFUNCTION("""COMPUTED_VALUE"""),"XD3-MCA-003")</f>
        <v>XD3-MCA-003</v>
      </c>
      <c r="B990" s="3" t="str">
        <f>IFERROR(__xludf.DUMMYFUNCTION("""COMPUTED_VALUE"""),"Máy cao áp phun thuốc")</f>
        <v>Máy cao áp phun thuốc</v>
      </c>
      <c r="C990" s="5" t="str">
        <f>IFERROR(__xludf.DUMMYFUNCTION("""COMPUTED_VALUE"""),"XN Chuối DP3")</f>
        <v>XN Chuối DP3</v>
      </c>
      <c r="D990" s="5" t="str">
        <f>IFERROR(__xludf.DUMMYFUNCTION("""COMPUTED_VALUE"""),"CAMBODIA")</f>
        <v>CAMBODIA</v>
      </c>
      <c r="E990" s="5" t="str">
        <f>IFERROR(__xludf.DUMMYFUNCTION("""COMPUTED_VALUE"""),"3HP")</f>
        <v>3HP</v>
      </c>
      <c r="F990" s="5"/>
      <c r="G990" s="5"/>
      <c r="H990" s="5" t="str">
        <f>IFERROR(__xludf.DUMMYFUNCTION("""COMPUTED_VALUE"""),"3HP")</f>
        <v>3HP</v>
      </c>
      <c r="I990" s="5"/>
      <c r="J990" s="5"/>
      <c r="K990" s="5"/>
      <c r="L990" s="5" t="str">
        <f>IFERROR(__xludf.DUMMYFUNCTION("""COMPUTED_VALUE"""),"KLH")</f>
        <v>KLH</v>
      </c>
    </row>
    <row r="991">
      <c r="A991" s="168" t="str">
        <f>IFERROR(__xludf.DUMMYFUNCTION("""COMPUTED_VALUE"""),"XD3-MCA-004")</f>
        <v>XD3-MCA-004</v>
      </c>
      <c r="B991" s="3" t="str">
        <f>IFERROR(__xludf.DUMMYFUNCTION("""COMPUTED_VALUE"""),"Máy cao áp phun thuốc")</f>
        <v>Máy cao áp phun thuốc</v>
      </c>
      <c r="C991" s="5" t="str">
        <f>IFERROR(__xludf.DUMMYFUNCTION("""COMPUTED_VALUE"""),"XN Chuối DP3")</f>
        <v>XN Chuối DP3</v>
      </c>
      <c r="D991" s="5" t="str">
        <f>IFERROR(__xludf.DUMMYFUNCTION("""COMPUTED_VALUE"""),"CAMBODIA")</f>
        <v>CAMBODIA</v>
      </c>
      <c r="E991" s="5" t="str">
        <f>IFERROR(__xludf.DUMMYFUNCTION("""COMPUTED_VALUE"""),"3HP")</f>
        <v>3HP</v>
      </c>
      <c r="F991" s="5"/>
      <c r="G991" s="5"/>
      <c r="H991" s="5" t="str">
        <f>IFERROR(__xludf.DUMMYFUNCTION("""COMPUTED_VALUE"""),"3HP")</f>
        <v>3HP</v>
      </c>
      <c r="I991" s="5"/>
      <c r="J991" s="5"/>
      <c r="K991" s="5"/>
      <c r="L991" s="5" t="str">
        <f>IFERROR(__xludf.DUMMYFUNCTION("""COMPUTED_VALUE"""),"KLH")</f>
        <v>KLH</v>
      </c>
    </row>
    <row r="992">
      <c r="A992" s="168" t="str">
        <f>IFERROR(__xludf.DUMMYFUNCTION("""COMPUTED_VALUE"""),"XD3-MCA-005")</f>
        <v>XD3-MCA-005</v>
      </c>
      <c r="B992" s="3" t="str">
        <f>IFERROR(__xludf.DUMMYFUNCTION("""COMPUTED_VALUE"""),"Máy cao áp phun thuốc")</f>
        <v>Máy cao áp phun thuốc</v>
      </c>
      <c r="C992" s="5" t="str">
        <f>IFERROR(__xludf.DUMMYFUNCTION("""COMPUTED_VALUE"""),"XN Chuối DP3")</f>
        <v>XN Chuối DP3</v>
      </c>
      <c r="D992" s="5" t="str">
        <f>IFERROR(__xludf.DUMMYFUNCTION("""COMPUTED_VALUE"""),"CAMBODIA")</f>
        <v>CAMBODIA</v>
      </c>
      <c r="E992" s="5" t="str">
        <f>IFERROR(__xludf.DUMMYFUNCTION("""COMPUTED_VALUE"""),"3HP")</f>
        <v>3HP</v>
      </c>
      <c r="F992" s="5"/>
      <c r="G992" s="5"/>
      <c r="H992" s="5" t="str">
        <f>IFERROR(__xludf.DUMMYFUNCTION("""COMPUTED_VALUE"""),"3HP")</f>
        <v>3HP</v>
      </c>
      <c r="I992" s="5"/>
      <c r="J992" s="5"/>
      <c r="K992" s="5"/>
      <c r="L992" s="5" t="str">
        <f>IFERROR(__xludf.DUMMYFUNCTION("""COMPUTED_VALUE"""),"KLH")</f>
        <v>KLH</v>
      </c>
    </row>
    <row r="993">
      <c r="A993" s="168" t="str">
        <f>IFERROR(__xludf.DUMMYFUNCTION("""COMPUTED_VALUE"""),"XD3-MCA-006")</f>
        <v>XD3-MCA-006</v>
      </c>
      <c r="B993" s="3" t="str">
        <f>IFERROR(__xludf.DUMMYFUNCTION("""COMPUTED_VALUE"""),"Máy cao áp phun thuốc")</f>
        <v>Máy cao áp phun thuốc</v>
      </c>
      <c r="C993" s="5" t="str">
        <f>IFERROR(__xludf.DUMMYFUNCTION("""COMPUTED_VALUE"""),"XN Chuối DP3")</f>
        <v>XN Chuối DP3</v>
      </c>
      <c r="D993" s="5" t="str">
        <f>IFERROR(__xludf.DUMMYFUNCTION("""COMPUTED_VALUE"""),"CAMBODIA")</f>
        <v>CAMBODIA</v>
      </c>
      <c r="E993" s="5" t="str">
        <f>IFERROR(__xludf.DUMMYFUNCTION("""COMPUTED_VALUE"""),"3HP")</f>
        <v>3HP</v>
      </c>
      <c r="F993" s="5"/>
      <c r="G993" s="5"/>
      <c r="H993" s="5" t="str">
        <f>IFERROR(__xludf.DUMMYFUNCTION("""COMPUTED_VALUE"""),"3HP")</f>
        <v>3HP</v>
      </c>
      <c r="I993" s="5"/>
      <c r="J993" s="5"/>
      <c r="K993" s="5"/>
      <c r="L993" s="5" t="str">
        <f>IFERROR(__xludf.DUMMYFUNCTION("""COMPUTED_VALUE"""),"KLH")</f>
        <v>KLH</v>
      </c>
    </row>
    <row r="994">
      <c r="A994" s="168" t="str">
        <f>IFERROR(__xludf.DUMMYFUNCTION("""COMPUTED_VALUE"""),"XD3-MCA-007")</f>
        <v>XD3-MCA-007</v>
      </c>
      <c r="B994" s="3" t="str">
        <f>IFERROR(__xludf.DUMMYFUNCTION("""COMPUTED_VALUE"""),"Máy cao áp phun thuốc")</f>
        <v>Máy cao áp phun thuốc</v>
      </c>
      <c r="C994" s="5" t="str">
        <f>IFERROR(__xludf.DUMMYFUNCTION("""COMPUTED_VALUE"""),"XN Chuối DP3")</f>
        <v>XN Chuối DP3</v>
      </c>
      <c r="D994" s="5" t="str">
        <f>IFERROR(__xludf.DUMMYFUNCTION("""COMPUTED_VALUE"""),"CAMBODIA")</f>
        <v>CAMBODIA</v>
      </c>
      <c r="E994" s="5" t="str">
        <f>IFERROR(__xludf.DUMMYFUNCTION("""COMPUTED_VALUE"""),"3HP")</f>
        <v>3HP</v>
      </c>
      <c r="F994" s="5"/>
      <c r="G994" s="5"/>
      <c r="H994" s="5" t="str">
        <f>IFERROR(__xludf.DUMMYFUNCTION("""COMPUTED_VALUE"""),"3HP")</f>
        <v>3HP</v>
      </c>
      <c r="I994" s="5"/>
      <c r="J994" s="5"/>
      <c r="K994" s="5"/>
      <c r="L994" s="5" t="str">
        <f>IFERROR(__xludf.DUMMYFUNCTION("""COMPUTED_VALUE"""),"KLH")</f>
        <v>KLH</v>
      </c>
    </row>
    <row r="995">
      <c r="A995" s="168" t="str">
        <f>IFERROR(__xludf.DUMMYFUNCTION("""COMPUTED_VALUE"""),"XD3-MCA-008")</f>
        <v>XD3-MCA-008</v>
      </c>
      <c r="B995" s="3" t="str">
        <f>IFERROR(__xludf.DUMMYFUNCTION("""COMPUTED_VALUE"""),"Máy cao áp phun thuốc")</f>
        <v>Máy cao áp phun thuốc</v>
      </c>
      <c r="C995" s="5" t="str">
        <f>IFERROR(__xludf.DUMMYFUNCTION("""COMPUTED_VALUE"""),"XN Chuối DP3")</f>
        <v>XN Chuối DP3</v>
      </c>
      <c r="D995" s="5" t="str">
        <f>IFERROR(__xludf.DUMMYFUNCTION("""COMPUTED_VALUE"""),"CAMBODIA")</f>
        <v>CAMBODIA</v>
      </c>
      <c r="E995" s="5" t="str">
        <f>IFERROR(__xludf.DUMMYFUNCTION("""COMPUTED_VALUE"""),"3HP")</f>
        <v>3HP</v>
      </c>
      <c r="F995" s="5"/>
      <c r="G995" s="5"/>
      <c r="H995" s="5" t="str">
        <f>IFERROR(__xludf.DUMMYFUNCTION("""COMPUTED_VALUE"""),"3HP")</f>
        <v>3HP</v>
      </c>
      <c r="I995" s="5"/>
      <c r="J995" s="5"/>
      <c r="K995" s="5"/>
      <c r="L995" s="5" t="str">
        <f>IFERROR(__xludf.DUMMYFUNCTION("""COMPUTED_VALUE"""),"KLH")</f>
        <v>KLH</v>
      </c>
    </row>
    <row r="996">
      <c r="A996" s="168" t="str">
        <f>IFERROR(__xludf.DUMMYFUNCTION("""COMPUTED_VALUE"""),"XD3-MCA-009")</f>
        <v>XD3-MCA-009</v>
      </c>
      <c r="B996" s="3" t="str">
        <f>IFERROR(__xludf.DUMMYFUNCTION("""COMPUTED_VALUE"""),"Máy cao áp phun thuốc")</f>
        <v>Máy cao áp phun thuốc</v>
      </c>
      <c r="C996" s="5" t="str">
        <f>IFERROR(__xludf.DUMMYFUNCTION("""COMPUTED_VALUE"""),"XN Chuối DP3")</f>
        <v>XN Chuối DP3</v>
      </c>
      <c r="D996" s="5" t="str">
        <f>IFERROR(__xludf.DUMMYFUNCTION("""COMPUTED_VALUE"""),"CAMBODIA")</f>
        <v>CAMBODIA</v>
      </c>
      <c r="E996" s="5" t="str">
        <f>IFERROR(__xludf.DUMMYFUNCTION("""COMPUTED_VALUE"""),"3HP")</f>
        <v>3HP</v>
      </c>
      <c r="F996" s="5"/>
      <c r="G996" s="5"/>
      <c r="H996" s="5" t="str">
        <f>IFERROR(__xludf.DUMMYFUNCTION("""COMPUTED_VALUE"""),"3HP")</f>
        <v>3HP</v>
      </c>
      <c r="I996" s="5"/>
      <c r="J996" s="5"/>
      <c r="K996" s="5"/>
      <c r="L996" s="5" t="str">
        <f>IFERROR(__xludf.DUMMYFUNCTION("""COMPUTED_VALUE"""),"KLH")</f>
        <v>KLH</v>
      </c>
    </row>
    <row r="997">
      <c r="A997" s="168" t="str">
        <f>IFERROR(__xludf.DUMMYFUNCTION("""COMPUTED_VALUE"""),"XD3-MCA-010")</f>
        <v>XD3-MCA-010</v>
      </c>
      <c r="B997" s="3" t="str">
        <f>IFERROR(__xludf.DUMMYFUNCTION("""COMPUTED_VALUE"""),"Máy cao áp phun thuốc")</f>
        <v>Máy cao áp phun thuốc</v>
      </c>
      <c r="C997" s="5" t="str">
        <f>IFERROR(__xludf.DUMMYFUNCTION("""COMPUTED_VALUE"""),"XN Chuối DP3")</f>
        <v>XN Chuối DP3</v>
      </c>
      <c r="D997" s="5" t="str">
        <f>IFERROR(__xludf.DUMMYFUNCTION("""COMPUTED_VALUE"""),"CAMBODIA")</f>
        <v>CAMBODIA</v>
      </c>
      <c r="E997" s="5" t="str">
        <f>IFERROR(__xludf.DUMMYFUNCTION("""COMPUTED_VALUE"""),"3HP")</f>
        <v>3HP</v>
      </c>
      <c r="F997" s="5"/>
      <c r="G997" s="5"/>
      <c r="H997" s="5" t="str">
        <f>IFERROR(__xludf.DUMMYFUNCTION("""COMPUTED_VALUE"""),"3HP")</f>
        <v>3HP</v>
      </c>
      <c r="I997" s="5"/>
      <c r="J997" s="5"/>
      <c r="K997" s="5"/>
      <c r="L997" s="5" t="str">
        <f>IFERROR(__xludf.DUMMYFUNCTION("""COMPUTED_VALUE"""),"KLH")</f>
        <v>KLH</v>
      </c>
    </row>
    <row r="998">
      <c r="A998" s="168" t="str">
        <f>IFERROR(__xludf.DUMMYFUNCTION("""COMPUTED_VALUE"""),"XD3-MCA-011")</f>
        <v>XD3-MCA-011</v>
      </c>
      <c r="B998" s="3" t="str">
        <f>IFERROR(__xludf.DUMMYFUNCTION("""COMPUTED_VALUE"""),"Máy cao áp phun thuốc")</f>
        <v>Máy cao áp phun thuốc</v>
      </c>
      <c r="C998" s="5" t="str">
        <f>IFERROR(__xludf.DUMMYFUNCTION("""COMPUTED_VALUE"""),"XN Chuối DP3")</f>
        <v>XN Chuối DP3</v>
      </c>
      <c r="D998" s="5" t="str">
        <f>IFERROR(__xludf.DUMMYFUNCTION("""COMPUTED_VALUE"""),"CAMBODIA")</f>
        <v>CAMBODIA</v>
      </c>
      <c r="E998" s="5" t="str">
        <f>IFERROR(__xludf.DUMMYFUNCTION("""COMPUTED_VALUE"""),"1.5HP")</f>
        <v>1.5HP</v>
      </c>
      <c r="F998" s="5"/>
      <c r="G998" s="5"/>
      <c r="H998" s="5" t="str">
        <f>IFERROR(__xludf.DUMMYFUNCTION("""COMPUTED_VALUE"""),"1.5HP")</f>
        <v>1.5HP</v>
      </c>
      <c r="I998" s="5"/>
      <c r="J998" s="5"/>
      <c r="K998" s="5"/>
      <c r="L998" s="5" t="str">
        <f>IFERROR(__xludf.DUMMYFUNCTION("""COMPUTED_VALUE"""),"KLH")</f>
        <v>KLH</v>
      </c>
    </row>
    <row r="999">
      <c r="A999" s="168" t="str">
        <f>IFERROR(__xludf.DUMMYFUNCTION("""COMPUTED_VALUE"""),"XD3-MCA-012")</f>
        <v>XD3-MCA-012</v>
      </c>
      <c r="B999" s="3" t="str">
        <f>IFERROR(__xludf.DUMMYFUNCTION("""COMPUTED_VALUE"""),"Máy cao áp phun thuốc")</f>
        <v>Máy cao áp phun thuốc</v>
      </c>
      <c r="C999" s="5" t="str">
        <f>IFERROR(__xludf.DUMMYFUNCTION("""COMPUTED_VALUE"""),"XN Chuối DP3")</f>
        <v>XN Chuối DP3</v>
      </c>
      <c r="D999" s="5" t="str">
        <f>IFERROR(__xludf.DUMMYFUNCTION("""COMPUTED_VALUE"""),"CAMBODIA")</f>
        <v>CAMBODIA</v>
      </c>
      <c r="E999" s="5" t="str">
        <f>IFERROR(__xludf.DUMMYFUNCTION("""COMPUTED_VALUE"""),"1.5HP")</f>
        <v>1.5HP</v>
      </c>
      <c r="F999" s="5"/>
      <c r="G999" s="5"/>
      <c r="H999" s="5" t="str">
        <f>IFERROR(__xludf.DUMMYFUNCTION("""COMPUTED_VALUE"""),"1.5HP")</f>
        <v>1.5HP</v>
      </c>
      <c r="I999" s="5"/>
      <c r="J999" s="5"/>
      <c r="K999" s="5"/>
      <c r="L999" s="5" t="str">
        <f>IFERROR(__xludf.DUMMYFUNCTION("""COMPUTED_VALUE"""),"KLH")</f>
        <v>KLH</v>
      </c>
    </row>
    <row r="1000">
      <c r="A1000" s="168" t="str">
        <f>IFERROR(__xludf.DUMMYFUNCTION("""COMPUTED_VALUE"""),"XD3-MCA-013")</f>
        <v>XD3-MCA-013</v>
      </c>
      <c r="B1000" s="3" t="str">
        <f>IFERROR(__xludf.DUMMYFUNCTION("""COMPUTED_VALUE"""),"Máy cao áp phun thuốc")</f>
        <v>Máy cao áp phun thuốc</v>
      </c>
      <c r="C1000" s="5" t="str">
        <f>IFERROR(__xludf.DUMMYFUNCTION("""COMPUTED_VALUE"""),"XN Chuối DP3")</f>
        <v>XN Chuối DP3</v>
      </c>
      <c r="D1000" s="5" t="str">
        <f>IFERROR(__xludf.DUMMYFUNCTION("""COMPUTED_VALUE"""),"CAMBODIA")</f>
        <v>CAMBODIA</v>
      </c>
      <c r="E1000" s="5" t="str">
        <f>IFERROR(__xludf.DUMMYFUNCTION("""COMPUTED_VALUE"""),"1.5HP")</f>
        <v>1.5HP</v>
      </c>
      <c r="F1000" s="5"/>
      <c r="G1000" s="5"/>
      <c r="H1000" s="5" t="str">
        <f>IFERROR(__xludf.DUMMYFUNCTION("""COMPUTED_VALUE"""),"1.5HP")</f>
        <v>1.5HP</v>
      </c>
      <c r="I1000" s="5"/>
      <c r="J1000" s="5"/>
      <c r="K1000" s="5"/>
      <c r="L1000" s="5" t="str">
        <f>IFERROR(__xludf.DUMMYFUNCTION("""COMPUTED_VALUE"""),"KLH")</f>
        <v>KLH</v>
      </c>
    </row>
    <row r="1001">
      <c r="A1001" s="168" t="str">
        <f>IFERROR(__xludf.DUMMYFUNCTION("""COMPUTED_VALUE"""),"XD3-MCA-014")</f>
        <v>XD3-MCA-014</v>
      </c>
      <c r="B1001" s="3" t="str">
        <f>IFERROR(__xludf.DUMMYFUNCTION("""COMPUTED_VALUE"""),"Máy cao áp phun thuốc")</f>
        <v>Máy cao áp phun thuốc</v>
      </c>
      <c r="C1001" s="5" t="str">
        <f>IFERROR(__xludf.DUMMYFUNCTION("""COMPUTED_VALUE"""),"XN Chuối DP3")</f>
        <v>XN Chuối DP3</v>
      </c>
      <c r="D1001" s="5" t="str">
        <f>IFERROR(__xludf.DUMMYFUNCTION("""COMPUTED_VALUE"""),"CAMBODIA")</f>
        <v>CAMBODIA</v>
      </c>
      <c r="E1001" s="5" t="str">
        <f>IFERROR(__xludf.DUMMYFUNCTION("""COMPUTED_VALUE"""),"1.5HP")</f>
        <v>1.5HP</v>
      </c>
      <c r="F1001" s="5"/>
      <c r="G1001" s="5"/>
      <c r="H1001" s="5" t="str">
        <f>IFERROR(__xludf.DUMMYFUNCTION("""COMPUTED_VALUE"""),"1.5HP")</f>
        <v>1.5HP</v>
      </c>
      <c r="I1001" s="5"/>
      <c r="J1001" s="5"/>
      <c r="K1001" s="5"/>
      <c r="L1001" s="5" t="str">
        <f>IFERROR(__xludf.DUMMYFUNCTION("""COMPUTED_VALUE"""),"KLH")</f>
        <v>KLH</v>
      </c>
    </row>
    <row r="1002">
      <c r="A1002" s="168" t="str">
        <f>IFERROR(__xludf.DUMMYFUNCTION("""COMPUTED_VALUE"""),"XD3-MCA-015")</f>
        <v>XD3-MCA-015</v>
      </c>
      <c r="B1002" s="3" t="str">
        <f>IFERROR(__xludf.DUMMYFUNCTION("""COMPUTED_VALUE"""),"Máy cao áp phun thuốc")</f>
        <v>Máy cao áp phun thuốc</v>
      </c>
      <c r="C1002" s="5" t="str">
        <f>IFERROR(__xludf.DUMMYFUNCTION("""COMPUTED_VALUE"""),"XN Chuối DP3")</f>
        <v>XN Chuối DP3</v>
      </c>
      <c r="D1002" s="5" t="str">
        <f>IFERROR(__xludf.DUMMYFUNCTION("""COMPUTED_VALUE"""),"CAMBODIA")</f>
        <v>CAMBODIA</v>
      </c>
      <c r="E1002" s="5" t="str">
        <f>IFERROR(__xludf.DUMMYFUNCTION("""COMPUTED_VALUE"""),"1.5HP")</f>
        <v>1.5HP</v>
      </c>
      <c r="F1002" s="5"/>
      <c r="G1002" s="5"/>
      <c r="H1002" s="5" t="str">
        <f>IFERROR(__xludf.DUMMYFUNCTION("""COMPUTED_VALUE"""),"1.5HP")</f>
        <v>1.5HP</v>
      </c>
      <c r="I1002" s="5"/>
      <c r="J1002" s="5"/>
      <c r="K1002" s="5"/>
      <c r="L1002" s="5" t="str">
        <f>IFERROR(__xludf.DUMMYFUNCTION("""COMPUTED_VALUE"""),"KLH")</f>
        <v>KLH</v>
      </c>
    </row>
    <row r="1003">
      <c r="A1003" s="168" t="str">
        <f>IFERROR(__xludf.DUMMYFUNCTION("""COMPUTED_VALUE"""),"XD3-MCA-016")</f>
        <v>XD3-MCA-016</v>
      </c>
      <c r="B1003" s="3" t="str">
        <f>IFERROR(__xludf.DUMMYFUNCTION("""COMPUTED_VALUE"""),"Máy cao áp phun thuốc")</f>
        <v>Máy cao áp phun thuốc</v>
      </c>
      <c r="C1003" s="5" t="str">
        <f>IFERROR(__xludf.DUMMYFUNCTION("""COMPUTED_VALUE"""),"XN Chuối DP3")</f>
        <v>XN Chuối DP3</v>
      </c>
      <c r="D1003" s="5" t="str">
        <f>IFERROR(__xludf.DUMMYFUNCTION("""COMPUTED_VALUE"""),"CAMBODIA")</f>
        <v>CAMBODIA</v>
      </c>
      <c r="E1003" s="5" t="str">
        <f>IFERROR(__xludf.DUMMYFUNCTION("""COMPUTED_VALUE"""),"1.5HP")</f>
        <v>1.5HP</v>
      </c>
      <c r="F1003" s="5"/>
      <c r="G1003" s="5"/>
      <c r="H1003" s="5" t="str">
        <f>IFERROR(__xludf.DUMMYFUNCTION("""COMPUTED_VALUE"""),"1.5HP")</f>
        <v>1.5HP</v>
      </c>
      <c r="I1003" s="5"/>
      <c r="J1003" s="5"/>
      <c r="K1003" s="5"/>
      <c r="L1003" s="5" t="str">
        <f>IFERROR(__xludf.DUMMYFUNCTION("""COMPUTED_VALUE"""),"KLH")</f>
        <v>KLH</v>
      </c>
    </row>
    <row r="1004">
      <c r="A1004" s="168" t="str">
        <f>IFERROR(__xludf.DUMMYFUNCTION("""COMPUTED_VALUE"""),"XD3-MCA-017")</f>
        <v>XD3-MCA-017</v>
      </c>
      <c r="B1004" s="3" t="str">
        <f>IFERROR(__xludf.DUMMYFUNCTION("""COMPUTED_VALUE"""),"Máy cao áp phun thuốc")</f>
        <v>Máy cao áp phun thuốc</v>
      </c>
      <c r="C1004" s="5" t="str">
        <f>IFERROR(__xludf.DUMMYFUNCTION("""COMPUTED_VALUE"""),"XN Chuối DP3")</f>
        <v>XN Chuối DP3</v>
      </c>
      <c r="D1004" s="5" t="str">
        <f>IFERROR(__xludf.DUMMYFUNCTION("""COMPUTED_VALUE"""),"CAMBODIA")</f>
        <v>CAMBODIA</v>
      </c>
      <c r="E1004" s="5" t="str">
        <f>IFERROR(__xludf.DUMMYFUNCTION("""COMPUTED_VALUE"""),"7HP")</f>
        <v>7HP</v>
      </c>
      <c r="F1004" s="5"/>
      <c r="G1004" s="5"/>
      <c r="H1004" s="5"/>
      <c r="I1004" s="5"/>
      <c r="J1004" s="5"/>
      <c r="K1004" s="5"/>
      <c r="L1004" s="5" t="str">
        <f>IFERROR(__xludf.DUMMYFUNCTION("""COMPUTED_VALUE"""),"KLH")</f>
        <v>KLH</v>
      </c>
    </row>
    <row r="1005">
      <c r="A1005" s="168" t="str">
        <f>IFERROR(__xludf.DUMMYFUNCTION("""COMPUTED_VALUE"""),"XD3-MPT-001")</f>
        <v>XD3-MPT-001</v>
      </c>
      <c r="B1005" s="3" t="str">
        <f>IFERROR(__xludf.DUMMYFUNCTION("""COMPUTED_VALUE"""),"Máy phun thuốc RELOAD 7045")</f>
        <v>Máy phun thuốc RELOAD 7045</v>
      </c>
      <c r="C1005" s="5" t="str">
        <f>IFERROR(__xludf.DUMMYFUNCTION("""COMPUTED_VALUE"""),"XN Chuối DP3")</f>
        <v>XN Chuối DP3</v>
      </c>
      <c r="D1005" s="5" t="str">
        <f>IFERROR(__xludf.DUMMYFUNCTION("""COMPUTED_VALUE"""),"RELOAD")</f>
        <v>RELOAD</v>
      </c>
      <c r="E1005" s="5" t="str">
        <f>IFERROR(__xludf.DUMMYFUNCTION("""COMPUTED_VALUE"""),"7045")</f>
        <v>7045</v>
      </c>
      <c r="F1005" s="5"/>
      <c r="G1005" s="5" t="str">
        <f>IFERROR(__xludf.DUMMYFUNCTION("""COMPUTED_VALUE"""),"2025")</f>
        <v>2025</v>
      </c>
      <c r="H1005" s="5" t="str">
        <f>IFERROR(__xludf.DUMMYFUNCTION("""COMPUTED_VALUE"""),"7 Hp")</f>
        <v>7 Hp</v>
      </c>
      <c r="I1005" s="5" t="str">
        <f>IFERROR(__xludf.DUMMYFUNCTION("""COMPUTED_VALUE"""),"H0058772")</f>
        <v>H0058772</v>
      </c>
      <c r="J1005" s="5"/>
      <c r="K1005" s="5">
        <f>IFERROR(__xludf.DUMMYFUNCTION("""COMPUTED_VALUE"""),1.2)</f>
        <v>1.2</v>
      </c>
      <c r="L1005" s="5" t="str">
        <f>IFERROR(__xludf.DUMMYFUNCTION("""COMPUTED_VALUE"""),"KLH")</f>
        <v>KLH</v>
      </c>
    </row>
    <row r="1006">
      <c r="A1006" s="168" t="str">
        <f>IFERROR(__xludf.DUMMYFUNCTION("""COMPUTED_VALUE"""),"XD3-MPT-002")</f>
        <v>XD3-MPT-002</v>
      </c>
      <c r="B1006" s="3" t="str">
        <f>IFERROR(__xludf.DUMMYFUNCTION("""COMPUTED_VALUE"""),"Máy phun thuốc RELOAD 7045")</f>
        <v>Máy phun thuốc RELOAD 7045</v>
      </c>
      <c r="C1006" s="5" t="str">
        <f>IFERROR(__xludf.DUMMYFUNCTION("""COMPUTED_VALUE"""),"XN Chuối DP3")</f>
        <v>XN Chuối DP3</v>
      </c>
      <c r="D1006" s="5" t="str">
        <f>IFERROR(__xludf.DUMMYFUNCTION("""COMPUTED_VALUE"""),"RELOAD")</f>
        <v>RELOAD</v>
      </c>
      <c r="E1006" s="5" t="str">
        <f>IFERROR(__xludf.DUMMYFUNCTION("""COMPUTED_VALUE"""),"7045")</f>
        <v>7045</v>
      </c>
      <c r="F1006" s="5"/>
      <c r="G1006" s="5" t="str">
        <f>IFERROR(__xludf.DUMMYFUNCTION("""COMPUTED_VALUE"""),"2025")</f>
        <v>2025</v>
      </c>
      <c r="H1006" s="5" t="str">
        <f>IFERROR(__xludf.DUMMYFUNCTION("""COMPUTED_VALUE"""),"7 Hp")</f>
        <v>7 Hp</v>
      </c>
      <c r="I1006" s="5" t="str">
        <f>IFERROR(__xludf.DUMMYFUNCTION("""COMPUTED_VALUE"""),"H0058807")</f>
        <v>H0058807</v>
      </c>
      <c r="J1006" s="5"/>
      <c r="K1006" s="5">
        <f>IFERROR(__xludf.DUMMYFUNCTION("""COMPUTED_VALUE"""),1.2)</f>
        <v>1.2</v>
      </c>
      <c r="L1006" s="5" t="str">
        <f>IFERROR(__xludf.DUMMYFUNCTION("""COMPUTED_VALUE"""),"KLH")</f>
        <v>KLH</v>
      </c>
    </row>
    <row r="1007">
      <c r="A1007" s="168" t="str">
        <f>IFERROR(__xludf.DUMMYFUNCTION("""COMPUTED_VALUE"""),"XD3-MPT-003")</f>
        <v>XD3-MPT-003</v>
      </c>
      <c r="B1007" s="3" t="str">
        <f>IFERROR(__xludf.DUMMYFUNCTION("""COMPUTED_VALUE"""),"Máy phun thuốc RELOAD 7045")</f>
        <v>Máy phun thuốc RELOAD 7045</v>
      </c>
      <c r="C1007" s="5" t="str">
        <f>IFERROR(__xludf.DUMMYFUNCTION("""COMPUTED_VALUE"""),"XN Chuối DP3")</f>
        <v>XN Chuối DP3</v>
      </c>
      <c r="D1007" s="5" t="str">
        <f>IFERROR(__xludf.DUMMYFUNCTION("""COMPUTED_VALUE"""),"RELOAD")</f>
        <v>RELOAD</v>
      </c>
      <c r="E1007" s="5" t="str">
        <f>IFERROR(__xludf.DUMMYFUNCTION("""COMPUTED_VALUE"""),"7045")</f>
        <v>7045</v>
      </c>
      <c r="F1007" s="5"/>
      <c r="G1007" s="5" t="str">
        <f>IFERROR(__xludf.DUMMYFUNCTION("""COMPUTED_VALUE"""),"2025")</f>
        <v>2025</v>
      </c>
      <c r="H1007" s="5" t="str">
        <f>IFERROR(__xludf.DUMMYFUNCTION("""COMPUTED_VALUE"""),"7 Hp")</f>
        <v>7 Hp</v>
      </c>
      <c r="I1007" s="5" t="str">
        <f>IFERROR(__xludf.DUMMYFUNCTION("""COMPUTED_VALUE"""),"H0058809")</f>
        <v>H0058809</v>
      </c>
      <c r="J1007" s="5"/>
      <c r="K1007" s="5">
        <f>IFERROR(__xludf.DUMMYFUNCTION("""COMPUTED_VALUE"""),1.2)</f>
        <v>1.2</v>
      </c>
      <c r="L1007" s="5" t="str">
        <f>IFERROR(__xludf.DUMMYFUNCTION("""COMPUTED_VALUE"""),"KLH")</f>
        <v>KLH</v>
      </c>
    </row>
    <row r="1008">
      <c r="A1008" s="168" t="str">
        <f>IFERROR(__xludf.DUMMYFUNCTION("""COMPUTED_VALUE"""),"XD3-MPT-004")</f>
        <v>XD3-MPT-004</v>
      </c>
      <c r="B1008" s="3" t="str">
        <f>IFERROR(__xludf.DUMMYFUNCTION("""COMPUTED_VALUE"""),"Máy phun thuốc RELOAD 7045")</f>
        <v>Máy phun thuốc RELOAD 7045</v>
      </c>
      <c r="C1008" s="5" t="str">
        <f>IFERROR(__xludf.DUMMYFUNCTION("""COMPUTED_VALUE"""),"XN Chuối DP3")</f>
        <v>XN Chuối DP3</v>
      </c>
      <c r="D1008" s="5" t="str">
        <f>IFERROR(__xludf.DUMMYFUNCTION("""COMPUTED_VALUE"""),"RELOAD")</f>
        <v>RELOAD</v>
      </c>
      <c r="E1008" s="5" t="str">
        <f>IFERROR(__xludf.DUMMYFUNCTION("""COMPUTED_VALUE"""),"7045")</f>
        <v>7045</v>
      </c>
      <c r="F1008" s="5"/>
      <c r="G1008" s="5" t="str">
        <f>IFERROR(__xludf.DUMMYFUNCTION("""COMPUTED_VALUE"""),"2025")</f>
        <v>2025</v>
      </c>
      <c r="H1008" s="5" t="str">
        <f>IFERROR(__xludf.DUMMYFUNCTION("""COMPUTED_VALUE"""),"7 Hp")</f>
        <v>7 Hp</v>
      </c>
      <c r="I1008" s="5" t="str">
        <f>IFERROR(__xludf.DUMMYFUNCTION("""COMPUTED_VALUE"""),"H0058817")</f>
        <v>H0058817</v>
      </c>
      <c r="J1008" s="5"/>
      <c r="K1008" s="5">
        <f>IFERROR(__xludf.DUMMYFUNCTION("""COMPUTED_VALUE"""),1.2)</f>
        <v>1.2</v>
      </c>
      <c r="L1008" s="5" t="str">
        <f>IFERROR(__xludf.DUMMYFUNCTION("""COMPUTED_VALUE"""),"KLH")</f>
        <v>KLH</v>
      </c>
    </row>
    <row r="1009">
      <c r="A1009" s="168" t="str">
        <f>IFERROR(__xludf.DUMMYFUNCTION("""COMPUTED_VALUE"""),"XD3-MPT-005")</f>
        <v>XD3-MPT-005</v>
      </c>
      <c r="B1009" s="3" t="str">
        <f>IFERROR(__xludf.DUMMYFUNCTION("""COMPUTED_VALUE"""),"Máy phun thuốc RELOAD 7045")</f>
        <v>Máy phun thuốc RELOAD 7045</v>
      </c>
      <c r="C1009" s="5" t="str">
        <f>IFERROR(__xludf.DUMMYFUNCTION("""COMPUTED_VALUE"""),"XN Chuối DP3")</f>
        <v>XN Chuối DP3</v>
      </c>
      <c r="D1009" s="5" t="str">
        <f>IFERROR(__xludf.DUMMYFUNCTION("""COMPUTED_VALUE"""),"RELOAD")</f>
        <v>RELOAD</v>
      </c>
      <c r="E1009" s="5" t="str">
        <f>IFERROR(__xludf.DUMMYFUNCTION("""COMPUTED_VALUE"""),"7045")</f>
        <v>7045</v>
      </c>
      <c r="F1009" s="5"/>
      <c r="G1009" s="5" t="str">
        <f>IFERROR(__xludf.DUMMYFUNCTION("""COMPUTED_VALUE"""),"2025")</f>
        <v>2025</v>
      </c>
      <c r="H1009" s="5" t="str">
        <f>IFERROR(__xludf.DUMMYFUNCTION("""COMPUTED_VALUE"""),"7 Hp")</f>
        <v>7 Hp</v>
      </c>
      <c r="I1009" s="5" t="str">
        <f>IFERROR(__xludf.DUMMYFUNCTION("""COMPUTED_VALUE"""),"H0058822")</f>
        <v>H0058822</v>
      </c>
      <c r="J1009" s="5"/>
      <c r="K1009" s="5">
        <f>IFERROR(__xludf.DUMMYFUNCTION("""COMPUTED_VALUE"""),1.2)</f>
        <v>1.2</v>
      </c>
      <c r="L1009" s="5" t="str">
        <f>IFERROR(__xludf.DUMMYFUNCTION("""COMPUTED_VALUE"""),"KLH")</f>
        <v>KLH</v>
      </c>
    </row>
    <row r="1010">
      <c r="A1010" s="234" t="str">
        <f>IFERROR(__xludf.DUMMYFUNCTION("""COMPUTED_VALUE"""),"XD3-SPT-001")</f>
        <v>XD3-SPT-001</v>
      </c>
      <c r="B1010" s="3" t="str">
        <f>IFERROR(__xludf.DUMMYFUNCTION("""COMPUTED_VALUE"""),"Súng phun thuốc Hansung")</f>
        <v>Súng phun thuốc Hansung</v>
      </c>
      <c r="C1010" s="5" t="str">
        <f>IFERROR(__xludf.DUMMYFUNCTION("""COMPUTED_VALUE"""),"XN Chuối DP3")</f>
        <v>XN Chuối DP3</v>
      </c>
      <c r="D1010" s="5" t="str">
        <f>IFERROR(__xludf.DUMMYFUNCTION("""COMPUTED_VALUE"""),"HANSUNG")</f>
        <v>HANSUNG</v>
      </c>
      <c r="E1010" s="5" t="str">
        <f>IFERROR(__xludf.DUMMYFUNCTION("""COMPUTED_VALUE"""),"THACO")</f>
        <v>THACO</v>
      </c>
      <c r="F1010" s="5"/>
      <c r="G1010" s="5"/>
      <c r="H1010" s="5"/>
      <c r="I1010" s="5" t="str">
        <f>IFERROR(__xludf.DUMMYFUNCTION("""COMPUTED_VALUE"""),"HS 128-DP342")</f>
        <v>HS 128-DP342</v>
      </c>
      <c r="J1010" s="5"/>
      <c r="K1010" s="5">
        <f>IFERROR(__xludf.DUMMYFUNCTION("""COMPUTED_VALUE"""),8.47)</f>
        <v>8.47</v>
      </c>
      <c r="L1010" s="5" t="str">
        <f>IFERROR(__xludf.DUMMYFUNCTION("""COMPUTED_VALUE"""),"KLH")</f>
        <v>KLH</v>
      </c>
    </row>
    <row r="1011">
      <c r="A1011" s="234" t="str">
        <f>IFERROR(__xludf.DUMMYFUNCTION("""COMPUTED_VALUE"""),"XD3-RMC-006")</f>
        <v>XD3-RMC-006</v>
      </c>
      <c r="B1011" s="3" t="str">
        <f>IFERROR(__xludf.DUMMYFUNCTION("""COMPUTED_VALUE"""),"Rơ mooc thu hoạch")</f>
        <v>Rơ mooc thu hoạch</v>
      </c>
      <c r="C1011" s="5" t="str">
        <f>IFERROR(__xludf.DUMMYFUNCTION("""COMPUTED_VALUE"""),"XN Chuối DP3")</f>
        <v>XN Chuối DP3</v>
      </c>
      <c r="D1011" s="5" t="str">
        <f>IFERROR(__xludf.DUMMYFUNCTION("""COMPUTED_VALUE"""),"THACO AGRI")</f>
        <v>THACO AGRI</v>
      </c>
      <c r="E1011" s="5"/>
      <c r="F1011" s="5"/>
      <c r="G1011" s="5"/>
      <c r="H1011" s="5"/>
      <c r="I1011" s="5" t="str">
        <f>IFERROR(__xludf.DUMMYFUNCTION("""COMPUTED_VALUE"""),"44")</f>
        <v>44</v>
      </c>
      <c r="J1011" s="5"/>
      <c r="K1011" s="5"/>
      <c r="L1011" s="5" t="str">
        <f>IFERROR(__xludf.DUMMYFUNCTION("""COMPUTED_VALUE"""),"KLH")</f>
        <v>KLH</v>
      </c>
    </row>
    <row r="1012">
      <c r="A1012" s="234" t="str">
        <f>IFERROR(__xludf.DUMMYFUNCTION("""COMPUTED_VALUE"""),"XD3-RMC-008")</f>
        <v>XD3-RMC-008</v>
      </c>
      <c r="B1012" s="3" t="str">
        <f>IFERROR(__xludf.DUMMYFUNCTION("""COMPUTED_VALUE"""),"Rơ mooc thu hoạch")</f>
        <v>Rơ mooc thu hoạch</v>
      </c>
      <c r="C1012" s="5" t="str">
        <f>IFERROR(__xludf.DUMMYFUNCTION("""COMPUTED_VALUE"""),"XN Chuối DP3")</f>
        <v>XN Chuối DP3</v>
      </c>
      <c r="D1012" s="5" t="str">
        <f>IFERROR(__xludf.DUMMYFUNCTION("""COMPUTED_VALUE"""),"THACO AGRI")</f>
        <v>THACO AGRI</v>
      </c>
      <c r="E1012" s="5"/>
      <c r="F1012" s="5"/>
      <c r="G1012" s="5"/>
      <c r="H1012" s="5"/>
      <c r="I1012" s="5" t="str">
        <f>IFERROR(__xludf.DUMMYFUNCTION("""COMPUTED_VALUE"""),"44")</f>
        <v>44</v>
      </c>
      <c r="J1012" s="5"/>
      <c r="K1012" s="5"/>
      <c r="L1012" s="5" t="str">
        <f>IFERROR(__xludf.DUMMYFUNCTION("""COMPUTED_VALUE"""),"KLH")</f>
        <v>KLH</v>
      </c>
    </row>
    <row r="1013">
      <c r="A1013" s="234" t="str">
        <f>IFERROR(__xludf.DUMMYFUNCTION("""COMPUTED_VALUE"""),"XD3-RMC-009")</f>
        <v>XD3-RMC-009</v>
      </c>
      <c r="B1013" s="3" t="str">
        <f>IFERROR(__xludf.DUMMYFUNCTION("""COMPUTED_VALUE"""),"Rơ mooc thu hoạch")</f>
        <v>Rơ mooc thu hoạch</v>
      </c>
      <c r="C1013" s="5" t="str">
        <f>IFERROR(__xludf.DUMMYFUNCTION("""COMPUTED_VALUE"""),"XN Chuối DP3")</f>
        <v>XN Chuối DP3</v>
      </c>
      <c r="D1013" s="5" t="str">
        <f>IFERROR(__xludf.DUMMYFUNCTION("""COMPUTED_VALUE"""),"THACO AGRI")</f>
        <v>THACO AGRI</v>
      </c>
      <c r="E1013" s="5"/>
      <c r="F1013" s="5"/>
      <c r="G1013" s="5"/>
      <c r="H1013" s="5"/>
      <c r="I1013" s="5" t="str">
        <f>IFERROR(__xludf.DUMMYFUNCTION("""COMPUTED_VALUE"""),"50")</f>
        <v>50</v>
      </c>
      <c r="J1013" s="5"/>
      <c r="K1013" s="5"/>
      <c r="L1013" s="5" t="str">
        <f>IFERROR(__xludf.DUMMYFUNCTION("""COMPUTED_VALUE"""),"KLH")</f>
        <v>KLH</v>
      </c>
    </row>
    <row r="1014">
      <c r="A1014" s="234" t="str">
        <f>IFERROR(__xludf.DUMMYFUNCTION("""COMPUTED_VALUE"""),"XD3-RMC-010")</f>
        <v>XD3-RMC-010</v>
      </c>
      <c r="B1014" s="3" t="str">
        <f>IFERROR(__xludf.DUMMYFUNCTION("""COMPUTED_VALUE"""),"Rơ mooc thu hoạch")</f>
        <v>Rơ mooc thu hoạch</v>
      </c>
      <c r="C1014" s="5" t="str">
        <f>IFERROR(__xludf.DUMMYFUNCTION("""COMPUTED_VALUE"""),"XN Chuối DP3")</f>
        <v>XN Chuối DP3</v>
      </c>
      <c r="D1014" s="5" t="str">
        <f>IFERROR(__xludf.DUMMYFUNCTION("""COMPUTED_VALUE"""),"THACO AGRI")</f>
        <v>THACO AGRI</v>
      </c>
      <c r="E1014" s="5"/>
      <c r="F1014" s="5"/>
      <c r="G1014" s="5"/>
      <c r="H1014" s="5"/>
      <c r="I1014" s="5" t="str">
        <f>IFERROR(__xludf.DUMMYFUNCTION("""COMPUTED_VALUE"""),"44")</f>
        <v>44</v>
      </c>
      <c r="J1014" s="5"/>
      <c r="K1014" s="5"/>
      <c r="L1014" s="5" t="str">
        <f>IFERROR(__xludf.DUMMYFUNCTION("""COMPUTED_VALUE"""),"KLH")</f>
        <v>KLH</v>
      </c>
    </row>
    <row r="1015">
      <c r="A1015" s="234" t="str">
        <f>IFERROR(__xludf.DUMMYFUNCTION("""COMPUTED_VALUE"""),"XD3-RMB-001")</f>
        <v>XD3-RMB-001</v>
      </c>
      <c r="B1015" s="3" t="str">
        <f>IFERROR(__xludf.DUMMYFUNCTION("""COMPUTED_VALUE"""),"Rơ mooc thùng ben")</f>
        <v>Rơ mooc thùng ben</v>
      </c>
      <c r="C1015" s="5" t="str">
        <f>IFERROR(__xludf.DUMMYFUNCTION("""COMPUTED_VALUE"""),"XN Chuối DP3")</f>
        <v>XN Chuối DP3</v>
      </c>
      <c r="D1015" s="5" t="str">
        <f>IFERROR(__xludf.DUMMYFUNCTION("""COMPUTED_VALUE"""),"THACO AGRI")</f>
        <v>THACO AGRI</v>
      </c>
      <c r="E1015" s="5"/>
      <c r="F1015" s="5"/>
      <c r="G1015" s="5"/>
      <c r="H1015" s="5"/>
      <c r="I1015" s="5" t="str">
        <f>IFERROR(__xludf.DUMMYFUNCTION("""COMPUTED_VALUE"""),"Thùng ben 2m3")</f>
        <v>Thùng ben 2m3</v>
      </c>
      <c r="J1015" s="5"/>
      <c r="K1015" s="5"/>
      <c r="L1015" s="5" t="str">
        <f>IFERROR(__xludf.DUMMYFUNCTION("""COMPUTED_VALUE"""),"KLH")</f>
        <v>KLH</v>
      </c>
    </row>
    <row r="1016">
      <c r="A1016" s="234" t="str">
        <f>IFERROR(__xludf.DUMMYFUNCTION("""COMPUTED_VALUE"""),"XD3-RMB-003")</f>
        <v>XD3-RMB-003</v>
      </c>
      <c r="B1016" s="3" t="str">
        <f>IFERROR(__xludf.DUMMYFUNCTION("""COMPUTED_VALUE"""),"Rơ mooc thùng ben")</f>
        <v>Rơ mooc thùng ben</v>
      </c>
      <c r="C1016" s="5" t="str">
        <f>IFERROR(__xludf.DUMMYFUNCTION("""COMPUTED_VALUE"""),"XN Chuối DP3")</f>
        <v>XN Chuối DP3</v>
      </c>
      <c r="D1016" s="5" t="str">
        <f>IFERROR(__xludf.DUMMYFUNCTION("""COMPUTED_VALUE"""),"THACO AGRI")</f>
        <v>THACO AGRI</v>
      </c>
      <c r="E1016" s="5"/>
      <c r="F1016" s="5"/>
      <c r="G1016" s="5"/>
      <c r="H1016" s="5"/>
      <c r="I1016" s="5" t="str">
        <f>IFERROR(__xludf.DUMMYFUNCTION("""COMPUTED_VALUE"""),"Thùng ben 2m3")</f>
        <v>Thùng ben 2m3</v>
      </c>
      <c r="J1016" s="5"/>
      <c r="K1016" s="5"/>
      <c r="L1016" s="5" t="str">
        <f>IFERROR(__xludf.DUMMYFUNCTION("""COMPUTED_VALUE"""),"KLH")</f>
        <v>KLH</v>
      </c>
    </row>
    <row r="1017">
      <c r="A1017" s="234" t="str">
        <f>IFERROR(__xludf.DUMMYFUNCTION("""COMPUTED_VALUE"""),"XD3-RMB-005")</f>
        <v>XD3-RMB-005</v>
      </c>
      <c r="B1017" s="3" t="str">
        <f>IFERROR(__xludf.DUMMYFUNCTION("""COMPUTED_VALUE"""),"Rơ mooc thùng ben")</f>
        <v>Rơ mooc thùng ben</v>
      </c>
      <c r="C1017" s="5" t="str">
        <f>IFERROR(__xludf.DUMMYFUNCTION("""COMPUTED_VALUE"""),"XN Chuối DP3")</f>
        <v>XN Chuối DP3</v>
      </c>
      <c r="D1017" s="5" t="str">
        <f>IFERROR(__xludf.DUMMYFUNCTION("""COMPUTED_VALUE"""),"THACO AGRI")</f>
        <v>THACO AGRI</v>
      </c>
      <c r="E1017" s="5"/>
      <c r="F1017" s="5"/>
      <c r="G1017" s="5"/>
      <c r="H1017" s="5"/>
      <c r="I1017" s="5" t="str">
        <f>IFERROR(__xludf.DUMMYFUNCTION("""COMPUTED_VALUE"""),"thùng ben 2m3")</f>
        <v>thùng ben 2m3</v>
      </c>
      <c r="J1017" s="5"/>
      <c r="K1017" s="5"/>
      <c r="L1017" s="5" t="str">
        <f>IFERROR(__xludf.DUMMYFUNCTION("""COMPUTED_VALUE"""),"KLH")</f>
        <v>KLH</v>
      </c>
    </row>
    <row r="1018">
      <c r="A1018" s="234" t="str">
        <f>IFERROR(__xludf.DUMMYFUNCTION("""COMPUTED_VALUE"""),"XD3-RMB-006")</f>
        <v>XD3-RMB-006</v>
      </c>
      <c r="B1018" s="3" t="str">
        <f>IFERROR(__xludf.DUMMYFUNCTION("""COMPUTED_VALUE"""),"Rơ mooc thùng ben")</f>
        <v>Rơ mooc thùng ben</v>
      </c>
      <c r="C1018" s="5" t="str">
        <f>IFERROR(__xludf.DUMMYFUNCTION("""COMPUTED_VALUE"""),"XN Chuối DP3")</f>
        <v>XN Chuối DP3</v>
      </c>
      <c r="D1018" s="5" t="str">
        <f>IFERROR(__xludf.DUMMYFUNCTION("""COMPUTED_VALUE"""),"THACO AGRI")</f>
        <v>THACO AGRI</v>
      </c>
      <c r="E1018" s="5"/>
      <c r="F1018" s="5"/>
      <c r="G1018" s="5"/>
      <c r="H1018" s="5"/>
      <c r="I1018" s="5" t="str">
        <f>IFERROR(__xludf.DUMMYFUNCTION("""COMPUTED_VALUE"""),"thùng ben 2m3")</f>
        <v>thùng ben 2m3</v>
      </c>
      <c r="J1018" s="5"/>
      <c r="K1018" s="5"/>
      <c r="L1018" s="5" t="str">
        <f>IFERROR(__xludf.DUMMYFUNCTION("""COMPUTED_VALUE"""),"KLH")</f>
        <v>KLH</v>
      </c>
    </row>
    <row r="1019">
      <c r="A1019" s="234" t="str">
        <f>IFERROR(__xludf.DUMMYFUNCTION("""COMPUTED_VALUE"""),"XD3-MXM-001")</f>
        <v>XD3-MXM-001</v>
      </c>
      <c r="B1019" s="3" t="str">
        <f>IFERROR(__xludf.DUMMYFUNCTION("""COMPUTED_VALUE"""),"Rơ mooc gắn sau xe máy")</f>
        <v>Rơ mooc gắn sau xe máy</v>
      </c>
      <c r="C1019" s="5" t="str">
        <f>IFERROR(__xludf.DUMMYFUNCTION("""COMPUTED_VALUE"""),"XN Chuối DP3")</f>
        <v>XN Chuối DP3</v>
      </c>
      <c r="D1019" s="5" t="str">
        <f>IFERROR(__xludf.DUMMYFUNCTION("""COMPUTED_VALUE"""),"THACO AGRI")</f>
        <v>THACO AGRI</v>
      </c>
      <c r="E1019" s="5"/>
      <c r="F1019" s="5"/>
      <c r="G1019" s="5"/>
      <c r="H1019" s="5"/>
      <c r="I1019" s="5"/>
      <c r="J1019" s="5"/>
      <c r="K1019" s="5"/>
      <c r="L1019" s="5" t="str">
        <f>IFERROR(__xludf.DUMMYFUNCTION("""COMPUTED_VALUE"""),"KLH")</f>
        <v>KLH</v>
      </c>
    </row>
    <row r="1020">
      <c r="A1020" s="234" t="str">
        <f>IFERROR(__xludf.DUMMYFUNCTION("""COMPUTED_VALUE"""),"XD3-MXM-002")</f>
        <v>XD3-MXM-002</v>
      </c>
      <c r="B1020" s="3" t="str">
        <f>IFERROR(__xludf.DUMMYFUNCTION("""COMPUTED_VALUE"""),"Rơ mooc gắn sau xe máy")</f>
        <v>Rơ mooc gắn sau xe máy</v>
      </c>
      <c r="C1020" s="5" t="str">
        <f>IFERROR(__xludf.DUMMYFUNCTION("""COMPUTED_VALUE"""),"XN Chuối DP3")</f>
        <v>XN Chuối DP3</v>
      </c>
      <c r="D1020" s="5" t="str">
        <f>IFERROR(__xludf.DUMMYFUNCTION("""COMPUTED_VALUE"""),"THACO AGRI")</f>
        <v>THACO AGRI</v>
      </c>
      <c r="E1020" s="5"/>
      <c r="F1020" s="5"/>
      <c r="G1020" s="5"/>
      <c r="H1020" s="5"/>
      <c r="I1020" s="5"/>
      <c r="J1020" s="5"/>
      <c r="K1020" s="5"/>
      <c r="L1020" s="5" t="str">
        <f>IFERROR(__xludf.DUMMYFUNCTION("""COMPUTED_VALUE"""),"KLH")</f>
        <v>KLH</v>
      </c>
    </row>
    <row r="1021">
      <c r="A1021" s="5" t="str">
        <f>IFERROR(__xludf.DUMMYFUNCTION("""COMPUTED_VALUE"""),"XD3-MXM-003")</f>
        <v>XD3-MXM-003</v>
      </c>
      <c r="B1021" s="3" t="str">
        <f>IFERROR(__xludf.DUMMYFUNCTION("""COMPUTED_VALUE"""),"Rơ mooc gắn sau xe máy")</f>
        <v>Rơ mooc gắn sau xe máy</v>
      </c>
      <c r="C1021" s="5" t="str">
        <f>IFERROR(__xludf.DUMMYFUNCTION("""COMPUTED_VALUE"""),"XN Chuối DP3")</f>
        <v>XN Chuối DP3</v>
      </c>
      <c r="D1021" s="5" t="str">
        <f>IFERROR(__xludf.DUMMYFUNCTION("""COMPUTED_VALUE"""),"THACO AGRI")</f>
        <v>THACO AGRI</v>
      </c>
      <c r="E1021" s="5"/>
      <c r="F1021" s="5"/>
      <c r="G1021" s="5"/>
      <c r="H1021" s="5"/>
      <c r="I1021" s="5"/>
      <c r="J1021" s="5"/>
      <c r="K1021" s="5"/>
      <c r="L1021" s="5" t="str">
        <f>IFERROR(__xludf.DUMMYFUNCTION("""COMPUTED_VALUE"""),"KLH")</f>
        <v>KLH</v>
      </c>
    </row>
    <row r="1022">
      <c r="A1022" s="5" t="str">
        <f>IFERROR(__xludf.DUMMYFUNCTION("""COMPUTED_VALUE"""),"XD3-MXM-004")</f>
        <v>XD3-MXM-004</v>
      </c>
      <c r="B1022" s="3" t="str">
        <f>IFERROR(__xludf.DUMMYFUNCTION("""COMPUTED_VALUE"""),"Rơ mooc gắn sau xe máy")</f>
        <v>Rơ mooc gắn sau xe máy</v>
      </c>
      <c r="C1022" s="5" t="str">
        <f>IFERROR(__xludf.DUMMYFUNCTION("""COMPUTED_VALUE"""),"XN Chuối DP3")</f>
        <v>XN Chuối DP3</v>
      </c>
      <c r="D1022" s="5" t="str">
        <f>IFERROR(__xludf.DUMMYFUNCTION("""COMPUTED_VALUE"""),"THACO AGRI")</f>
        <v>THACO AGRI</v>
      </c>
      <c r="E1022" s="5"/>
      <c r="F1022" s="5"/>
      <c r="G1022" s="5"/>
      <c r="H1022" s="5"/>
      <c r="I1022" s="5"/>
      <c r="J1022" s="5"/>
      <c r="K1022" s="5"/>
      <c r="L1022" s="5" t="str">
        <f>IFERROR(__xludf.DUMMYFUNCTION("""COMPUTED_VALUE"""),"KLH")</f>
        <v>KLH</v>
      </c>
    </row>
    <row r="1023">
      <c r="A1023" s="5" t="str">
        <f>IFERROR(__xludf.DUMMYFUNCTION("""COMPUTED_VALUE"""),"XD3-MXM-005")</f>
        <v>XD3-MXM-005</v>
      </c>
      <c r="B1023" s="3" t="str">
        <f>IFERROR(__xludf.DUMMYFUNCTION("""COMPUTED_VALUE"""),"Rơ mooc gắn sau xe máy")</f>
        <v>Rơ mooc gắn sau xe máy</v>
      </c>
      <c r="C1023" s="5" t="str">
        <f>IFERROR(__xludf.DUMMYFUNCTION("""COMPUTED_VALUE"""),"XN Chuối DP3")</f>
        <v>XN Chuối DP3</v>
      </c>
      <c r="D1023" s="5" t="str">
        <f>IFERROR(__xludf.DUMMYFUNCTION("""COMPUTED_VALUE"""),"THACO AGRI")</f>
        <v>THACO AGRI</v>
      </c>
      <c r="E1023" s="5"/>
      <c r="F1023" s="5"/>
      <c r="G1023" s="5"/>
      <c r="H1023" s="5"/>
      <c r="I1023" s="5"/>
      <c r="J1023" s="5"/>
      <c r="K1023" s="5"/>
      <c r="L1023" s="5" t="str">
        <f>IFERROR(__xludf.DUMMYFUNCTION("""COMPUTED_VALUE"""),"KLH")</f>
        <v>KLH</v>
      </c>
    </row>
    <row r="1024">
      <c r="A1024" s="5" t="str">
        <f>IFERROR(__xludf.DUMMYFUNCTION("""COMPUTED_VALUE"""),"XD3-MXM-006")</f>
        <v>XD3-MXM-006</v>
      </c>
      <c r="B1024" s="3" t="str">
        <f>IFERROR(__xludf.DUMMYFUNCTION("""COMPUTED_VALUE"""),"Rơ mooc gắn sau xe máy")</f>
        <v>Rơ mooc gắn sau xe máy</v>
      </c>
      <c r="C1024" s="5" t="str">
        <f>IFERROR(__xludf.DUMMYFUNCTION("""COMPUTED_VALUE"""),"XN Chuối DP3")</f>
        <v>XN Chuối DP3</v>
      </c>
      <c r="D1024" s="5" t="str">
        <f>IFERROR(__xludf.DUMMYFUNCTION("""COMPUTED_VALUE"""),"THACO AGRI")</f>
        <v>THACO AGRI</v>
      </c>
      <c r="E1024" s="5"/>
      <c r="F1024" s="5"/>
      <c r="G1024" s="5"/>
      <c r="H1024" s="5"/>
      <c r="I1024" s="5"/>
      <c r="J1024" s="5"/>
      <c r="K1024" s="5"/>
      <c r="L1024" s="5" t="str">
        <f>IFERROR(__xludf.DUMMYFUNCTION("""COMPUTED_VALUE"""),"KLH")</f>
        <v>KLH</v>
      </c>
    </row>
    <row r="1025">
      <c r="A1025" s="5" t="str">
        <f>IFERROR(__xludf.DUMMYFUNCTION("""COMPUTED_VALUE"""),"XD3-RMĐ-001")</f>
        <v>XD3-RMĐ-001</v>
      </c>
      <c r="B1025" s="3" t="str">
        <f>IFERROR(__xludf.DUMMYFUNCTION("""COMPUTED_VALUE"""),"Rơ mooc vận chuyển M.đào 03")</f>
        <v>Rơ mooc vận chuyển M.đào 03</v>
      </c>
      <c r="C1025" s="5" t="str">
        <f>IFERROR(__xludf.DUMMYFUNCTION("""COMPUTED_VALUE"""),"XN Chuối DP3")</f>
        <v>XN Chuối DP3</v>
      </c>
      <c r="D1025" s="5" t="str">
        <f>IFERROR(__xludf.DUMMYFUNCTION("""COMPUTED_VALUE"""),"THACO AGRI")</f>
        <v>THACO AGRI</v>
      </c>
      <c r="E1025" s="5"/>
      <c r="F1025" s="5"/>
      <c r="G1025" s="5"/>
      <c r="H1025" s="5" t="str">
        <f>IFERROR(__xludf.DUMMYFUNCTION("""COMPUTED_VALUE"""),"DxRxC: 6.1x2.4x0.9m")</f>
        <v>DxRxC: 6.1x2.4x0.9m</v>
      </c>
      <c r="I1025" s="5"/>
      <c r="J1025" s="5"/>
      <c r="K1025" s="5"/>
      <c r="L1025" s="5" t="str">
        <f>IFERROR(__xludf.DUMMYFUNCTION("""COMPUTED_VALUE"""),"KLH")</f>
        <v>KLH</v>
      </c>
    </row>
    <row r="1026">
      <c r="A1026" s="5" t="str">
        <f>IFERROR(__xludf.DUMMYFUNCTION("""COMPUTED_VALUE"""),"XD3-RML-001")</f>
        <v>XD3-RML-001</v>
      </c>
      <c r="B1026" s="3" t="str">
        <f>IFERROR(__xludf.DUMMYFUNCTION("""COMPUTED_VALUE"""),"Rơ mooc lưới")</f>
        <v>Rơ mooc lưới</v>
      </c>
      <c r="C1026" s="5" t="str">
        <f>IFERROR(__xludf.DUMMYFUNCTION("""COMPUTED_VALUE"""),"XN Chuối DP3")</f>
        <v>XN Chuối DP3</v>
      </c>
      <c r="D1026" s="5" t="str">
        <f>IFERROR(__xludf.DUMMYFUNCTION("""COMPUTED_VALUE"""),"THACO AGRI")</f>
        <v>THACO AGRI</v>
      </c>
      <c r="E1026" s="5" t="str">
        <f>IFERROR(__xludf.DUMMYFUNCTION("""COMPUTED_VALUE"""),"RM lưới")</f>
        <v>RM lưới</v>
      </c>
      <c r="F1026" s="5"/>
      <c r="G1026" s="5"/>
      <c r="H1026" s="5"/>
      <c r="I1026" s="5"/>
      <c r="J1026" s="5"/>
      <c r="K1026" s="5"/>
      <c r="L1026" s="5" t="str">
        <f>IFERROR(__xludf.DUMMYFUNCTION("""COMPUTED_VALUE"""),"KLH")</f>
        <v>KLH</v>
      </c>
    </row>
    <row r="1027">
      <c r="A1027" s="5" t="str">
        <f>IFERROR(__xludf.DUMMYFUNCTION("""COMPUTED_VALUE"""),"XD3-RMR-001")</f>
        <v>XD3-RMR-001</v>
      </c>
      <c r="B1027" s="3" t="str">
        <f>IFERROR(__xludf.DUMMYFUNCTION("""COMPUTED_VALUE"""),"Rơ mooc thùng ben rải phân hữu cơ")</f>
        <v>Rơ mooc thùng ben rải phân hữu cơ</v>
      </c>
      <c r="C1027" s="5" t="str">
        <f>IFERROR(__xludf.DUMMYFUNCTION("""COMPUTED_VALUE"""),"XN Chuối DP3")</f>
        <v>XN Chuối DP3</v>
      </c>
      <c r="D1027" s="5" t="str">
        <f>IFERROR(__xludf.DUMMYFUNCTION("""COMPUTED_VALUE"""),"THACO AGRI")</f>
        <v>THACO AGRI</v>
      </c>
      <c r="E1027" s="5"/>
      <c r="F1027" s="5"/>
      <c r="G1027" s="5"/>
      <c r="H1027" s="5" t="str">
        <f>IFERROR(__xludf.DUMMYFUNCTION("""COMPUTED_VALUE"""),"4.5x2x1.5")</f>
        <v>4.5x2x1.5</v>
      </c>
      <c r="I1027" s="5" t="str">
        <f>IFERROR(__xludf.DUMMYFUNCTION("""COMPUTED_VALUE"""),"Kèm trục ben(xy lanh phi 160mm)")</f>
        <v>Kèm trục ben(xy lanh phi 160mm)</v>
      </c>
      <c r="J1027" s="5"/>
      <c r="K1027" s="5"/>
      <c r="L1027" s="5" t="str">
        <f>IFERROR(__xludf.DUMMYFUNCTION("""COMPUTED_VALUE"""),"KLH")</f>
        <v>KLH</v>
      </c>
    </row>
    <row r="1028">
      <c r="A1028" s="5" t="str">
        <f>IFERROR(__xludf.DUMMYFUNCTION("""COMPUTED_VALUE"""),"XD3-MBC-001")</f>
        <v>XD3-MBC-001</v>
      </c>
      <c r="B1028" s="3" t="str">
        <f>IFERROR(__xludf.DUMMYFUNCTION("""COMPUTED_VALUE"""),"Máy băm cố định")</f>
        <v>Máy băm cố định</v>
      </c>
      <c r="C1028" s="5" t="str">
        <f>IFERROR(__xludf.DUMMYFUNCTION("""COMPUTED_VALUE"""),"XN Chuối DP3")</f>
        <v>XN Chuối DP3</v>
      </c>
      <c r="D1028" s="5" t="str">
        <f>IFERROR(__xludf.DUMMYFUNCTION("""COMPUTED_VALUE"""),"THACO AGRI")</f>
        <v>THACO AGRI</v>
      </c>
      <c r="E1028" s="5" t="str">
        <f>IFERROR(__xludf.DUMMYFUNCTION("""COMPUTED_VALUE"""),"CK-MB-23")</f>
        <v>CK-MB-23</v>
      </c>
      <c r="F1028" s="5"/>
      <c r="G1028" s="5" t="str">
        <f>IFERROR(__xludf.DUMMYFUNCTION("""COMPUTED_VALUE"""),"2024")</f>
        <v>2024</v>
      </c>
      <c r="H1028" s="5" t="str">
        <f>IFERROR(__xludf.DUMMYFUNCTION("""COMPUTED_VALUE"""),"đcơ điện 380v")</f>
        <v>đcơ điện 380v</v>
      </c>
      <c r="I1028" s="5"/>
      <c r="J1028" s="5"/>
      <c r="K1028" s="5"/>
      <c r="L1028" s="5" t="str">
        <f>IFERROR(__xludf.DUMMYFUNCTION("""COMPUTED_VALUE"""),"KLH")</f>
        <v>KLH</v>
      </c>
    </row>
    <row r="1029">
      <c r="A1029" s="5" t="str">
        <f>IFERROR(__xludf.DUMMYFUNCTION("""COMPUTED_VALUE"""),"XD3-MBC-002")</f>
        <v>XD3-MBC-002</v>
      </c>
      <c r="B1029" s="3" t="str">
        <f>IFERROR(__xludf.DUMMYFUNCTION("""COMPUTED_VALUE"""),"Máy băm cố định")</f>
        <v>Máy băm cố định</v>
      </c>
      <c r="C1029" s="5" t="str">
        <f>IFERROR(__xludf.DUMMYFUNCTION("""COMPUTED_VALUE"""),"XN Chuối DP3")</f>
        <v>XN Chuối DP3</v>
      </c>
      <c r="D1029" s="5" t="str">
        <f>IFERROR(__xludf.DUMMYFUNCTION("""COMPUTED_VALUE"""),"THACO AGRI")</f>
        <v>THACO AGRI</v>
      </c>
      <c r="E1029" s="5" t="str">
        <f>IFERROR(__xludf.DUMMYFUNCTION("""COMPUTED_VALUE"""),"CK-MB")</f>
        <v>CK-MB</v>
      </c>
      <c r="F1029" s="5"/>
      <c r="G1029" s="5" t="str">
        <f>IFERROR(__xludf.DUMMYFUNCTION("""COMPUTED_VALUE"""),"2025")</f>
        <v>2025</v>
      </c>
      <c r="H1029" s="5"/>
      <c r="I1029" s="5"/>
      <c r="J1029" s="5"/>
      <c r="K1029" s="5"/>
      <c r="L1029" s="5" t="str">
        <f>IFERROR(__xludf.DUMMYFUNCTION("""COMPUTED_VALUE"""),"KLH")</f>
        <v>KLH</v>
      </c>
    </row>
    <row r="1030">
      <c r="A1030" s="5" t="str">
        <f>IFERROR(__xludf.DUMMYFUNCTION("""COMPUTED_VALUE"""),"XD3-MKC-002")</f>
        <v>XD3-MKC-002</v>
      </c>
      <c r="B1030" s="3" t="str">
        <f>IFERROR(__xludf.DUMMYFUNCTION("""COMPUTED_VALUE"""),"Máy kéo chuối (Xăng)")</f>
        <v>Máy kéo chuối (Xăng)</v>
      </c>
      <c r="C1030" s="5" t="str">
        <f>IFERROR(__xludf.DUMMYFUNCTION("""COMPUTED_VALUE"""),"XN Chuối DP3")</f>
        <v>XN Chuối DP3</v>
      </c>
      <c r="D1030" s="5" t="str">
        <f>IFERROR(__xludf.DUMMYFUNCTION("""COMPUTED_VALUE"""),"THACO AGRI")</f>
        <v>THACO AGRI</v>
      </c>
      <c r="E1030" s="5" t="str">
        <f>IFERROR(__xludf.DUMMYFUNCTION("""COMPUTED_VALUE"""),"CGH-MKC-DREAM")</f>
        <v>CGH-MKC-DREAM</v>
      </c>
      <c r="F1030" s="5"/>
      <c r="G1030" s="5" t="str">
        <f>IFERROR(__xludf.DUMMYFUNCTION("""COMPUTED_VALUE"""),"2025")</f>
        <v>2025</v>
      </c>
      <c r="H1030" s="5" t="str">
        <f>IFERROR(__xludf.DUMMYFUNCTION("""COMPUTED_VALUE"""),"9.25HP")</f>
        <v>9.25HP</v>
      </c>
      <c r="I1030" s="5" t="str">
        <f>IFERROR(__xludf.DUMMYFUNCTION("""COMPUTED_VALUE"""),"Mất")</f>
        <v>Mất</v>
      </c>
      <c r="J1030" s="5"/>
      <c r="K1030" s="5">
        <f>IFERROR(__xludf.DUMMYFUNCTION("""COMPUTED_VALUE"""),0.56)</f>
        <v>0.56</v>
      </c>
      <c r="L1030" s="5" t="str">
        <f>IFERROR(__xludf.DUMMYFUNCTION("""COMPUTED_VALUE"""),"KLH")</f>
        <v>KLH</v>
      </c>
    </row>
    <row r="1031">
      <c r="A1031" s="5" t="str">
        <f>IFERROR(__xludf.DUMMYFUNCTION("""COMPUTED_VALUE"""),"XD3-MKC-003")</f>
        <v>XD3-MKC-003</v>
      </c>
      <c r="B1031" s="3" t="str">
        <f>IFERROR(__xludf.DUMMYFUNCTION("""COMPUTED_VALUE"""),"Máy kéo chuối (Xăng)")</f>
        <v>Máy kéo chuối (Xăng)</v>
      </c>
      <c r="C1031" s="5" t="str">
        <f>IFERROR(__xludf.DUMMYFUNCTION("""COMPUTED_VALUE"""),"XN Chuối DP3")</f>
        <v>XN Chuối DP3</v>
      </c>
      <c r="D1031" s="5" t="str">
        <f>IFERROR(__xludf.DUMMYFUNCTION("""COMPUTED_VALUE"""),"THACO AGRI")</f>
        <v>THACO AGRI</v>
      </c>
      <c r="E1031" s="5" t="str">
        <f>IFERROR(__xludf.DUMMYFUNCTION("""COMPUTED_VALUE"""),"CGH-MKC-DREAM")</f>
        <v>CGH-MKC-DREAM</v>
      </c>
      <c r="F1031" s="5"/>
      <c r="G1031" s="5" t="str">
        <f>IFERROR(__xludf.DUMMYFUNCTION("""COMPUTED_VALUE"""),"2025")</f>
        <v>2025</v>
      </c>
      <c r="H1031" s="5" t="str">
        <f>IFERROR(__xludf.DUMMYFUNCTION("""COMPUTED_VALUE"""),"9.25HP")</f>
        <v>9.25HP</v>
      </c>
      <c r="I1031" s="5"/>
      <c r="J1031" s="5"/>
      <c r="K1031" s="5">
        <f>IFERROR(__xludf.DUMMYFUNCTION("""COMPUTED_VALUE"""),0.56)</f>
        <v>0.56</v>
      </c>
      <c r="L1031" s="5" t="str">
        <f>IFERROR(__xludf.DUMMYFUNCTION("""COMPUTED_VALUE"""),"KLH")</f>
        <v>KLH</v>
      </c>
    </row>
    <row r="1032">
      <c r="A1032" s="5" t="str">
        <f>IFERROR(__xludf.DUMMYFUNCTION("""COMPUTED_VALUE"""),"XD3-MKC-004")</f>
        <v>XD3-MKC-004</v>
      </c>
      <c r="B1032" s="3" t="str">
        <f>IFERROR(__xludf.DUMMYFUNCTION("""COMPUTED_VALUE"""),"Máy kéo chuối (Xăng)")</f>
        <v>Máy kéo chuối (Xăng)</v>
      </c>
      <c r="C1032" s="5" t="str">
        <f>IFERROR(__xludf.DUMMYFUNCTION("""COMPUTED_VALUE"""),"XN Chuối DP3")</f>
        <v>XN Chuối DP3</v>
      </c>
      <c r="D1032" s="5" t="str">
        <f>IFERROR(__xludf.DUMMYFUNCTION("""COMPUTED_VALUE"""),"THACO AGRI")</f>
        <v>THACO AGRI</v>
      </c>
      <c r="E1032" s="5" t="str">
        <f>IFERROR(__xludf.DUMMYFUNCTION("""COMPUTED_VALUE"""),"CGH-MKC-DREAM")</f>
        <v>CGH-MKC-DREAM</v>
      </c>
      <c r="F1032" s="5"/>
      <c r="G1032" s="5" t="str">
        <f>IFERROR(__xludf.DUMMYFUNCTION("""COMPUTED_VALUE"""),"2025")</f>
        <v>2025</v>
      </c>
      <c r="H1032" s="5" t="str">
        <f>IFERROR(__xludf.DUMMYFUNCTION("""COMPUTED_VALUE"""),"9.25HP")</f>
        <v>9.25HP</v>
      </c>
      <c r="I1032" s="5"/>
      <c r="J1032" s="5"/>
      <c r="K1032" s="5">
        <f>IFERROR(__xludf.DUMMYFUNCTION("""COMPUTED_VALUE"""),0.56)</f>
        <v>0.56</v>
      </c>
      <c r="L1032" s="5" t="str">
        <f>IFERROR(__xludf.DUMMYFUNCTION("""COMPUTED_VALUE"""),"KLH")</f>
        <v>KLH</v>
      </c>
    </row>
    <row r="1033">
      <c r="A1033" s="5" t="str">
        <f>IFERROR(__xludf.DUMMYFUNCTION("""COMPUTED_VALUE"""),"XD3-MKC-005")</f>
        <v>XD3-MKC-005</v>
      </c>
      <c r="B1033" s="3" t="str">
        <f>IFERROR(__xludf.DUMMYFUNCTION("""COMPUTED_VALUE"""),"Máy kéo chuối (Xăng)")</f>
        <v>Máy kéo chuối (Xăng)</v>
      </c>
      <c r="C1033" s="5" t="str">
        <f>IFERROR(__xludf.DUMMYFUNCTION("""COMPUTED_VALUE"""),"XN Chuối DP3")</f>
        <v>XN Chuối DP3</v>
      </c>
      <c r="D1033" s="5" t="str">
        <f>IFERROR(__xludf.DUMMYFUNCTION("""COMPUTED_VALUE"""),"THACO AGRI")</f>
        <v>THACO AGRI</v>
      </c>
      <c r="E1033" s="5" t="str">
        <f>IFERROR(__xludf.DUMMYFUNCTION("""COMPUTED_VALUE"""),"XKC-12")</f>
        <v>XKC-12</v>
      </c>
      <c r="F1033" s="5"/>
      <c r="G1033" s="5" t="str">
        <f>IFERROR(__xludf.DUMMYFUNCTION("""COMPUTED_VALUE"""),"2025")</f>
        <v>2025</v>
      </c>
      <c r="H1033" s="5" t="str">
        <f>IFERROR(__xludf.DUMMYFUNCTION("""COMPUTED_VALUE"""),"9.25HP")</f>
        <v>9.25HP</v>
      </c>
      <c r="I1033" s="5" t="str">
        <f>IFERROR(__xludf.DUMMYFUNCTION("""COMPUTED_VALUE"""),"12")</f>
        <v>12</v>
      </c>
      <c r="J1033" s="5"/>
      <c r="K1033" s="5">
        <f>IFERROR(__xludf.DUMMYFUNCTION("""COMPUTED_VALUE"""),0.56)</f>
        <v>0.56</v>
      </c>
      <c r="L1033" s="5" t="str">
        <f>IFERROR(__xludf.DUMMYFUNCTION("""COMPUTED_VALUE"""),"KLH")</f>
        <v>KLH</v>
      </c>
    </row>
    <row r="1034">
      <c r="A1034" s="5" t="str">
        <f>IFERROR(__xludf.DUMMYFUNCTION("""COMPUTED_VALUE"""),"XD3-MKC-006")</f>
        <v>XD3-MKC-006</v>
      </c>
      <c r="B1034" s="3" t="str">
        <f>IFERROR(__xludf.DUMMYFUNCTION("""COMPUTED_VALUE"""),"Máy kéo chuối (Xăng)")</f>
        <v>Máy kéo chuối (Xăng)</v>
      </c>
      <c r="C1034" s="5" t="str">
        <f>IFERROR(__xludf.DUMMYFUNCTION("""COMPUTED_VALUE"""),"XN Chuối DP3")</f>
        <v>XN Chuối DP3</v>
      </c>
      <c r="D1034" s="5" t="str">
        <f>IFERROR(__xludf.DUMMYFUNCTION("""COMPUTED_VALUE"""),"THACO AGRI")</f>
        <v>THACO AGRI</v>
      </c>
      <c r="E1034" s="5" t="str">
        <f>IFERROR(__xludf.DUMMYFUNCTION("""COMPUTED_VALUE"""),"XKC-13")</f>
        <v>XKC-13</v>
      </c>
      <c r="F1034" s="5"/>
      <c r="G1034" s="5" t="str">
        <f>IFERROR(__xludf.DUMMYFUNCTION("""COMPUTED_VALUE"""),"2025")</f>
        <v>2025</v>
      </c>
      <c r="H1034" s="5" t="str">
        <f>IFERROR(__xludf.DUMMYFUNCTION("""COMPUTED_VALUE"""),"9.25HP")</f>
        <v>9.25HP</v>
      </c>
      <c r="I1034" s="5" t="str">
        <f>IFERROR(__xludf.DUMMYFUNCTION("""COMPUTED_VALUE"""),"13")</f>
        <v>13</v>
      </c>
      <c r="J1034" s="5"/>
      <c r="K1034" s="5">
        <f>IFERROR(__xludf.DUMMYFUNCTION("""COMPUTED_VALUE"""),0.56)</f>
        <v>0.56</v>
      </c>
      <c r="L1034" s="5" t="str">
        <f>IFERROR(__xludf.DUMMYFUNCTION("""COMPUTED_VALUE"""),"KLH")</f>
        <v>KLH</v>
      </c>
    </row>
    <row r="1035">
      <c r="A1035" s="5" t="str">
        <f>IFERROR(__xludf.DUMMYFUNCTION("""COMPUTED_VALUE"""),"XD3-MKC-007")</f>
        <v>XD3-MKC-007</v>
      </c>
      <c r="B1035" s="3" t="str">
        <f>IFERROR(__xludf.DUMMYFUNCTION("""COMPUTED_VALUE"""),"Máy kéo chuối (Xăng)")</f>
        <v>Máy kéo chuối (Xăng)</v>
      </c>
      <c r="C1035" s="5" t="str">
        <f>IFERROR(__xludf.DUMMYFUNCTION("""COMPUTED_VALUE"""),"XN Chuối DP3")</f>
        <v>XN Chuối DP3</v>
      </c>
      <c r="D1035" s="5" t="str">
        <f>IFERROR(__xludf.DUMMYFUNCTION("""COMPUTED_VALUE"""),"THACO AGRI")</f>
        <v>THACO AGRI</v>
      </c>
      <c r="E1035" s="5" t="str">
        <f>IFERROR(__xludf.DUMMYFUNCTION("""COMPUTED_VALUE"""),"XKC-13")</f>
        <v>XKC-13</v>
      </c>
      <c r="F1035" s="5"/>
      <c r="G1035" s="5" t="str">
        <f>IFERROR(__xludf.DUMMYFUNCTION("""COMPUTED_VALUE"""),"2025")</f>
        <v>2025</v>
      </c>
      <c r="H1035" s="5" t="str">
        <f>IFERROR(__xludf.DUMMYFUNCTION("""COMPUTED_VALUE"""),"9,5 HP")</f>
        <v>9,5 HP</v>
      </c>
      <c r="I1035" s="5"/>
      <c r="J1035" s="5"/>
      <c r="K1035" s="5">
        <f>IFERROR(__xludf.DUMMYFUNCTION("""COMPUTED_VALUE"""),0.56)</f>
        <v>0.56</v>
      </c>
      <c r="L1035" s="5" t="str">
        <f>IFERROR(__xludf.DUMMYFUNCTION("""COMPUTED_VALUE"""),"KLH")</f>
        <v>KLH</v>
      </c>
    </row>
    <row r="1036">
      <c r="A1036" s="5" t="str">
        <f>IFERROR(__xludf.DUMMYFUNCTION("""COMPUTED_VALUE"""),"XD3-MKC-008")</f>
        <v>XD3-MKC-008</v>
      </c>
      <c r="B1036" s="3" t="str">
        <f>IFERROR(__xludf.DUMMYFUNCTION("""COMPUTED_VALUE"""),"Máy kéo chuối (Xăng)")</f>
        <v>Máy kéo chuối (Xăng)</v>
      </c>
      <c r="C1036" s="5" t="str">
        <f>IFERROR(__xludf.DUMMYFUNCTION("""COMPUTED_VALUE"""),"XN Chuối DP3")</f>
        <v>XN Chuối DP3</v>
      </c>
      <c r="D1036" s="5" t="str">
        <f>IFERROR(__xludf.DUMMYFUNCTION("""COMPUTED_VALUE"""),"THACO AGRI")</f>
        <v>THACO AGRI</v>
      </c>
      <c r="E1036" s="5" t="str">
        <f>IFERROR(__xludf.DUMMYFUNCTION("""COMPUTED_VALUE"""),"XKC-23")</f>
        <v>XKC-23</v>
      </c>
      <c r="F1036" s="5"/>
      <c r="G1036" s="5" t="str">
        <f>IFERROR(__xludf.DUMMYFUNCTION("""COMPUTED_VALUE"""),"2025")</f>
        <v>2025</v>
      </c>
      <c r="H1036" s="5" t="str">
        <f>IFERROR(__xludf.DUMMYFUNCTION("""COMPUTED_VALUE"""),"9,5 HP")</f>
        <v>9,5 HP</v>
      </c>
      <c r="I1036" s="5"/>
      <c r="J1036" s="5"/>
      <c r="K1036" s="5">
        <f>IFERROR(__xludf.DUMMYFUNCTION("""COMPUTED_VALUE"""),0.56)</f>
        <v>0.56</v>
      </c>
      <c r="L1036" s="5" t="str">
        <f>IFERROR(__xludf.DUMMYFUNCTION("""COMPUTED_VALUE"""),"KLH")</f>
        <v>KLH</v>
      </c>
    </row>
    <row r="1037">
      <c r="A1037" s="5" t="str">
        <f>IFERROR(__xludf.DUMMYFUNCTION("""COMPUTED_VALUE"""),"XD3-MKC-009")</f>
        <v>XD3-MKC-009</v>
      </c>
      <c r="B1037" s="3" t="str">
        <f>IFERROR(__xludf.DUMMYFUNCTION("""COMPUTED_VALUE"""),"Máy kéo chuối (Điện)")</f>
        <v>Máy kéo chuối (Điện)</v>
      </c>
      <c r="C1037" s="5" t="str">
        <f>IFERROR(__xludf.DUMMYFUNCTION("""COMPUTED_VALUE"""),"XN Chuối DP3")</f>
        <v>XN Chuối DP3</v>
      </c>
      <c r="D1037" s="5" t="str">
        <f>IFERROR(__xludf.DUMMYFUNCTION("""COMPUTED_VALUE"""),"THACO AGRI")</f>
        <v>THACO AGRI</v>
      </c>
      <c r="E1037" s="5"/>
      <c r="F1037" s="5"/>
      <c r="G1037" s="5" t="str">
        <f>IFERROR(__xludf.DUMMYFUNCTION("""COMPUTED_VALUE"""),"2025")</f>
        <v>2025</v>
      </c>
      <c r="H1037" s="5" t="str">
        <f>IFERROR(__xludf.DUMMYFUNCTION("""COMPUTED_VALUE"""),"1500W")</f>
        <v>1500W</v>
      </c>
      <c r="I1037" s="5" t="str">
        <f>IFERROR(__xludf.DUMMYFUNCTION("""COMPUTED_VALUE"""),"60A-4CÁI")</f>
        <v>60A-4CÁI</v>
      </c>
      <c r="J1037" s="5"/>
      <c r="K1037" s="5"/>
      <c r="L1037" s="5" t="str">
        <f>IFERROR(__xludf.DUMMYFUNCTION("""COMPUTED_VALUE"""),"KLH")</f>
        <v>KLH</v>
      </c>
    </row>
    <row r="1038">
      <c r="A1038" s="5" t="str">
        <f>IFERROR(__xludf.DUMMYFUNCTION("""COMPUTED_VALUE"""),"XD3-MKC-010")</f>
        <v>XD3-MKC-010</v>
      </c>
      <c r="B1038" s="3" t="str">
        <f>IFERROR(__xludf.DUMMYFUNCTION("""COMPUTED_VALUE"""),"Máy kéo chuối (Xăng)")</f>
        <v>Máy kéo chuối (Xăng)</v>
      </c>
      <c r="C1038" s="5" t="str">
        <f>IFERROR(__xludf.DUMMYFUNCTION("""COMPUTED_VALUE"""),"XN Chuối DP3")</f>
        <v>XN Chuối DP3</v>
      </c>
      <c r="D1038" s="5" t="str">
        <f>IFERROR(__xludf.DUMMYFUNCTION("""COMPUTED_VALUE"""),"THACO AGRI")</f>
        <v>THACO AGRI</v>
      </c>
      <c r="E1038" s="5" t="str">
        <f>IFERROR(__xludf.DUMMYFUNCTION("""COMPUTED_VALUE"""),"XKC-26")</f>
        <v>XKC-26</v>
      </c>
      <c r="F1038" s="5"/>
      <c r="G1038" s="5" t="str">
        <f>IFERROR(__xludf.DUMMYFUNCTION("""COMPUTED_VALUE"""),"2025")</f>
        <v>2025</v>
      </c>
      <c r="H1038" s="5"/>
      <c r="I1038" s="5"/>
      <c r="J1038" s="5"/>
      <c r="K1038" s="5">
        <f>IFERROR(__xludf.DUMMYFUNCTION("""COMPUTED_VALUE"""),0.56)</f>
        <v>0.56</v>
      </c>
      <c r="L1038" s="5" t="str">
        <f>IFERROR(__xludf.DUMMYFUNCTION("""COMPUTED_VALUE"""),"KLH")</f>
        <v>KLH</v>
      </c>
    </row>
    <row r="1039">
      <c r="A1039" s="5" t="str">
        <f>IFERROR(__xludf.DUMMYFUNCTION("""COMPUTED_VALUE"""),"XD3-MKC-011")</f>
        <v>XD3-MKC-011</v>
      </c>
      <c r="B1039" s="3" t="str">
        <f>IFERROR(__xludf.DUMMYFUNCTION("""COMPUTED_VALUE"""),"Máy kéo chuối (Xăng)")</f>
        <v>Máy kéo chuối (Xăng)</v>
      </c>
      <c r="C1039" s="5" t="str">
        <f>IFERROR(__xludf.DUMMYFUNCTION("""COMPUTED_VALUE"""),"XN Chuối DP3")</f>
        <v>XN Chuối DP3</v>
      </c>
      <c r="D1039" s="5" t="str">
        <f>IFERROR(__xludf.DUMMYFUNCTION("""COMPUTED_VALUE"""),"THACO AGRI")</f>
        <v>THACO AGRI</v>
      </c>
      <c r="E1039" s="5" t="str">
        <f>IFERROR(__xludf.DUMMYFUNCTION("""COMPUTED_VALUE"""),"XKC-31")</f>
        <v>XKC-31</v>
      </c>
      <c r="F1039" s="5"/>
      <c r="G1039" s="5" t="str">
        <f>IFERROR(__xludf.DUMMYFUNCTION("""COMPUTED_VALUE"""),"2025")</f>
        <v>2025</v>
      </c>
      <c r="H1039" s="5"/>
      <c r="I1039" s="5"/>
      <c r="J1039" s="5"/>
      <c r="K1039" s="5">
        <f>IFERROR(__xludf.DUMMYFUNCTION("""COMPUTED_VALUE"""),0.56)</f>
        <v>0.56</v>
      </c>
      <c r="L1039" s="5" t="str">
        <f>IFERROR(__xludf.DUMMYFUNCTION("""COMPUTED_VALUE"""),"KLH")</f>
        <v>KLH</v>
      </c>
    </row>
    <row r="1040">
      <c r="A1040" s="5" t="str">
        <f>IFERROR(__xludf.DUMMYFUNCTION("""COMPUTED_VALUE"""),"XD3-MKC-012")</f>
        <v>XD3-MKC-012</v>
      </c>
      <c r="B1040" s="3" t="str">
        <f>IFERROR(__xludf.DUMMYFUNCTION("""COMPUTED_VALUE"""),"Máy kéo chuối (Xăng)")</f>
        <v>Máy kéo chuối (Xăng)</v>
      </c>
      <c r="C1040" s="5" t="str">
        <f>IFERROR(__xludf.DUMMYFUNCTION("""COMPUTED_VALUE"""),"XN Chuối DP3")</f>
        <v>XN Chuối DP3</v>
      </c>
      <c r="D1040" s="5" t="str">
        <f>IFERROR(__xludf.DUMMYFUNCTION("""COMPUTED_VALUE"""),"THACO AGRI")</f>
        <v>THACO AGRI</v>
      </c>
      <c r="E1040" s="5" t="str">
        <f>IFERROR(__xludf.DUMMYFUNCTION("""COMPUTED_VALUE"""),"XKC-034")</f>
        <v>XKC-034</v>
      </c>
      <c r="F1040" s="5"/>
      <c r="G1040" s="5" t="str">
        <f>IFERROR(__xludf.DUMMYFUNCTION("""COMPUTED_VALUE"""),"2025")</f>
        <v>2025</v>
      </c>
      <c r="H1040" s="5"/>
      <c r="I1040" s="5"/>
      <c r="J1040" s="5"/>
      <c r="K1040" s="5">
        <f>IFERROR(__xludf.DUMMYFUNCTION("""COMPUTED_VALUE"""),0.56)</f>
        <v>0.56</v>
      </c>
      <c r="L1040" s="5" t="str">
        <f>IFERROR(__xludf.DUMMYFUNCTION("""COMPUTED_VALUE"""),"KLH")</f>
        <v>KLH</v>
      </c>
    </row>
    <row r="1041">
      <c r="A1041" s="5" t="str">
        <f>IFERROR(__xludf.DUMMYFUNCTION("""COMPUTED_VALUE"""),"XD3-MKC-013")</f>
        <v>XD3-MKC-013</v>
      </c>
      <c r="B1041" s="3" t="str">
        <f>IFERROR(__xludf.DUMMYFUNCTION("""COMPUTED_VALUE"""),"Máy kéo chuối (Xăng)")</f>
        <v>Máy kéo chuối (Xăng)</v>
      </c>
      <c r="C1041" s="5" t="str">
        <f>IFERROR(__xludf.DUMMYFUNCTION("""COMPUTED_VALUE"""),"XN Chuối DP3")</f>
        <v>XN Chuối DP3</v>
      </c>
      <c r="D1041" s="5" t="str">
        <f>IFERROR(__xludf.DUMMYFUNCTION("""COMPUTED_VALUE"""),"THACO AGRI")</f>
        <v>THACO AGRI</v>
      </c>
      <c r="E1041" s="5" t="str">
        <f>IFERROR(__xludf.DUMMYFUNCTION("""COMPUTED_VALUE"""),"XKC-38")</f>
        <v>XKC-38</v>
      </c>
      <c r="F1041" s="5"/>
      <c r="G1041" s="5" t="str">
        <f>IFERROR(__xludf.DUMMYFUNCTION("""COMPUTED_VALUE"""),"2025")</f>
        <v>2025</v>
      </c>
      <c r="H1041" s="5"/>
      <c r="I1041" s="5"/>
      <c r="J1041" s="5"/>
      <c r="K1041" s="5">
        <f>IFERROR(__xludf.DUMMYFUNCTION("""COMPUTED_VALUE"""),0.56)</f>
        <v>0.56</v>
      </c>
      <c r="L1041" s="5" t="str">
        <f>IFERROR(__xludf.DUMMYFUNCTION("""COMPUTED_VALUE"""),"KLH")</f>
        <v>KLH</v>
      </c>
    </row>
    <row r="1042">
      <c r="A1042" s="5" t="str">
        <f>IFERROR(__xludf.DUMMYFUNCTION("""COMPUTED_VALUE"""),"XD3-MKC-014")</f>
        <v>XD3-MKC-014</v>
      </c>
      <c r="B1042" s="3" t="str">
        <f>IFERROR(__xludf.DUMMYFUNCTION("""COMPUTED_VALUE"""),"Máy kéo chuối (Xăng)")</f>
        <v>Máy kéo chuối (Xăng)</v>
      </c>
      <c r="C1042" s="5" t="str">
        <f>IFERROR(__xludf.DUMMYFUNCTION("""COMPUTED_VALUE"""),"XN Chuối DP3")</f>
        <v>XN Chuối DP3</v>
      </c>
      <c r="D1042" s="5" t="str">
        <f>IFERROR(__xludf.DUMMYFUNCTION("""COMPUTED_VALUE"""),"THACO AGRI")</f>
        <v>THACO AGRI</v>
      </c>
      <c r="E1042" s="5" t="str">
        <f>IFERROR(__xludf.DUMMYFUNCTION("""COMPUTED_VALUE"""),"XKC-40")</f>
        <v>XKC-40</v>
      </c>
      <c r="F1042" s="5"/>
      <c r="G1042" s="5" t="str">
        <f>IFERROR(__xludf.DUMMYFUNCTION("""COMPUTED_VALUE"""),"2025")</f>
        <v>2025</v>
      </c>
      <c r="H1042" s="5"/>
      <c r="I1042" s="5"/>
      <c r="J1042" s="5"/>
      <c r="K1042" s="5">
        <f>IFERROR(__xludf.DUMMYFUNCTION("""COMPUTED_VALUE"""),0.56)</f>
        <v>0.56</v>
      </c>
      <c r="L1042" s="5" t="str">
        <f>IFERROR(__xludf.DUMMYFUNCTION("""COMPUTED_VALUE"""),"KLH")</f>
        <v>KLH</v>
      </c>
    </row>
    <row r="1043">
      <c r="A1043" s="5" t="str">
        <f>IFERROR(__xludf.DUMMYFUNCTION("""COMPUTED_VALUE"""),"XD3-MKC-015")</f>
        <v>XD3-MKC-015</v>
      </c>
      <c r="B1043" s="3" t="str">
        <f>IFERROR(__xludf.DUMMYFUNCTION("""COMPUTED_VALUE"""),"Máy kéo chuối (Xăng)")</f>
        <v>Máy kéo chuối (Xăng)</v>
      </c>
      <c r="C1043" s="5" t="str">
        <f>IFERROR(__xludf.DUMMYFUNCTION("""COMPUTED_VALUE"""),"XN Chuối DP3")</f>
        <v>XN Chuối DP3</v>
      </c>
      <c r="D1043" s="5" t="str">
        <f>IFERROR(__xludf.DUMMYFUNCTION("""COMPUTED_VALUE"""),"THACO AGRI")</f>
        <v>THACO AGRI</v>
      </c>
      <c r="E1043" s="5" t="str">
        <f>IFERROR(__xludf.DUMMYFUNCTION("""COMPUTED_VALUE"""),"XKC-47")</f>
        <v>XKC-47</v>
      </c>
      <c r="F1043" s="5"/>
      <c r="G1043" s="5" t="str">
        <f>IFERROR(__xludf.DUMMYFUNCTION("""COMPUTED_VALUE"""),"2025")</f>
        <v>2025</v>
      </c>
      <c r="H1043" s="5" t="str">
        <f>IFERROR(__xludf.DUMMYFUNCTION("""COMPUTED_VALUE"""),"9.5HP")</f>
        <v>9.5HP</v>
      </c>
      <c r="I1043" s="5" t="str">
        <f>IFERROR(__xludf.DUMMYFUNCTION("""COMPUTED_VALUE"""),"47")</f>
        <v>47</v>
      </c>
      <c r="J1043" s="5"/>
      <c r="K1043" s="5">
        <f>IFERROR(__xludf.DUMMYFUNCTION("""COMPUTED_VALUE"""),0.56)</f>
        <v>0.56</v>
      </c>
      <c r="L1043" s="5" t="str">
        <f>IFERROR(__xludf.DUMMYFUNCTION("""COMPUTED_VALUE"""),"KLH")</f>
        <v>KLH</v>
      </c>
    </row>
    <row r="1044">
      <c r="A1044" s="5" t="str">
        <f>IFERROR(__xludf.DUMMYFUNCTION("""COMPUTED_VALUE"""),"XD3-MKC-016")</f>
        <v>XD3-MKC-016</v>
      </c>
      <c r="B1044" s="3" t="str">
        <f>IFERROR(__xludf.DUMMYFUNCTION("""COMPUTED_VALUE"""),"Máy kéo chuối (Xăng)")</f>
        <v>Máy kéo chuối (Xăng)</v>
      </c>
      <c r="C1044" s="5" t="str">
        <f>IFERROR(__xludf.DUMMYFUNCTION("""COMPUTED_VALUE"""),"XN Chuối DP3")</f>
        <v>XN Chuối DP3</v>
      </c>
      <c r="D1044" s="5"/>
      <c r="E1044" s="5"/>
      <c r="F1044" s="5"/>
      <c r="G1044" s="5"/>
      <c r="H1044" s="5"/>
      <c r="I1044" s="5"/>
      <c r="J1044" s="5"/>
      <c r="K1044" s="5">
        <f>IFERROR(__xludf.DUMMYFUNCTION("""COMPUTED_VALUE"""),0.56)</f>
        <v>0.56</v>
      </c>
      <c r="L1044" s="5" t="str">
        <f>IFERROR(__xludf.DUMMYFUNCTION("""COMPUTED_VALUE"""),"KLH")</f>
        <v>KLH</v>
      </c>
    </row>
    <row r="1045">
      <c r="A1045" s="5" t="str">
        <f>IFERROR(__xludf.DUMMYFUNCTION("""COMPUTED_VALUE"""),"XD3-MKC-017")</f>
        <v>XD3-MKC-017</v>
      </c>
      <c r="B1045" s="3" t="str">
        <f>IFERROR(__xludf.DUMMYFUNCTION("""COMPUTED_VALUE"""),"Máy kéo chuối (Xăng)")</f>
        <v>Máy kéo chuối (Xăng)</v>
      </c>
      <c r="C1045" s="5" t="str">
        <f>IFERROR(__xludf.DUMMYFUNCTION("""COMPUTED_VALUE"""),"XN Chuối DP3")</f>
        <v>XN Chuối DP3</v>
      </c>
      <c r="D1045" s="5"/>
      <c r="E1045" s="5"/>
      <c r="F1045" s="5"/>
      <c r="G1045" s="5"/>
      <c r="H1045" s="5"/>
      <c r="I1045" s="5"/>
      <c r="J1045" s="5"/>
      <c r="K1045" s="5">
        <f>IFERROR(__xludf.DUMMYFUNCTION("""COMPUTED_VALUE"""),0.56)</f>
        <v>0.56</v>
      </c>
      <c r="L1045" s="5" t="str">
        <f>IFERROR(__xludf.DUMMYFUNCTION("""COMPUTED_VALUE"""),"KLH")</f>
        <v>KLH</v>
      </c>
    </row>
    <row r="1046">
      <c r="A1046" s="5" t="str">
        <f>IFERROR(__xludf.DUMMYFUNCTION("""COMPUTED_VALUE"""),"XD3-GĐH-001")</f>
        <v>XD3-GĐH-001</v>
      </c>
      <c r="B1046" s="3" t="str">
        <f>IFERROR(__xludf.DUMMYFUNCTION("""COMPUTED_VALUE"""),"Gàu định hình đào mương thoát nước")</f>
        <v>Gàu định hình đào mương thoát nước</v>
      </c>
      <c r="C1046" s="5" t="str">
        <f>IFERROR(__xludf.DUMMYFUNCTION("""COMPUTED_VALUE"""),"XN Chuối DP3")</f>
        <v>XN Chuối DP3</v>
      </c>
      <c r="D1046" s="5" t="str">
        <f>IFERROR(__xludf.DUMMYFUNCTION("""COMPUTED_VALUE"""),"THACO AGRI")</f>
        <v>THACO AGRI</v>
      </c>
      <c r="E1046" s="5"/>
      <c r="F1046" s="5"/>
      <c r="G1046" s="5" t="str">
        <f>IFERROR(__xludf.DUMMYFUNCTION("""COMPUTED_VALUE"""),"2025")</f>
        <v>2025</v>
      </c>
      <c r="H1046" s="5" t="str">
        <f>IFERROR(__xludf.DUMMYFUNCTION("""COMPUTED_VALUE"""),"350x200x400")</f>
        <v>350x200x400</v>
      </c>
      <c r="I1046" s="5"/>
      <c r="J1046" s="5"/>
      <c r="K1046" s="5"/>
      <c r="L1046" s="5" t="str">
        <f>IFERROR(__xludf.DUMMYFUNCTION("""COMPUTED_VALUE"""),"KLH")</f>
        <v>KLH</v>
      </c>
    </row>
    <row r="1047">
      <c r="A1047" s="5" t="str">
        <f>IFERROR(__xludf.DUMMYFUNCTION("""COMPUTED_VALUE"""),"XD3-GĐH-002")</f>
        <v>XD3-GĐH-002</v>
      </c>
      <c r="B1047" s="3" t="str">
        <f>IFERROR(__xludf.DUMMYFUNCTION("""COMPUTED_VALUE"""),"Gàu định hình đào mương thoát nước")</f>
        <v>Gàu định hình đào mương thoát nước</v>
      </c>
      <c r="C1047" s="5" t="str">
        <f>IFERROR(__xludf.DUMMYFUNCTION("""COMPUTED_VALUE"""),"XN Chuối DP3")</f>
        <v>XN Chuối DP3</v>
      </c>
      <c r="D1047" s="5" t="str">
        <f>IFERROR(__xludf.DUMMYFUNCTION("""COMPUTED_VALUE"""),"THACO AGRI")</f>
        <v>THACO AGRI</v>
      </c>
      <c r="E1047" s="5"/>
      <c r="F1047" s="5"/>
      <c r="G1047" s="5" t="str">
        <f>IFERROR(__xludf.DUMMYFUNCTION("""COMPUTED_VALUE"""),"2025")</f>
        <v>2025</v>
      </c>
      <c r="H1047" s="5" t="str">
        <f>IFERROR(__xludf.DUMMYFUNCTION("""COMPUTED_VALUE"""),"350x200x400")</f>
        <v>350x200x400</v>
      </c>
      <c r="I1047" s="5"/>
      <c r="J1047" s="5"/>
      <c r="K1047" s="5"/>
      <c r="L1047" s="5" t="str">
        <f>IFERROR(__xludf.DUMMYFUNCTION("""COMPUTED_VALUE"""),"KLH")</f>
        <v>KLH</v>
      </c>
    </row>
    <row r="1048">
      <c r="A1048" s="5" t="str">
        <f>IFERROR(__xludf.DUMMYFUNCTION("""COMPUTED_VALUE"""),"XD3-GĐH-003")</f>
        <v>XD3-GĐH-003</v>
      </c>
      <c r="B1048" s="3" t="str">
        <f>IFERROR(__xludf.DUMMYFUNCTION("""COMPUTED_VALUE"""),"Gàu định hình đào mương thoát nước")</f>
        <v>Gàu định hình đào mương thoát nước</v>
      </c>
      <c r="C1048" s="5" t="str">
        <f>IFERROR(__xludf.DUMMYFUNCTION("""COMPUTED_VALUE"""),"XN Chuối DP3")</f>
        <v>XN Chuối DP3</v>
      </c>
      <c r="D1048" s="5" t="str">
        <f>IFERROR(__xludf.DUMMYFUNCTION("""COMPUTED_VALUE"""),"THACO AGRI")</f>
        <v>THACO AGRI</v>
      </c>
      <c r="E1048" s="5"/>
      <c r="F1048" s="5"/>
      <c r="G1048" s="5" t="str">
        <f>IFERROR(__xludf.DUMMYFUNCTION("""COMPUTED_VALUE"""),"2025")</f>
        <v>2025</v>
      </c>
      <c r="H1048" s="5" t="str">
        <f>IFERROR(__xludf.DUMMYFUNCTION("""COMPUTED_VALUE"""),"350x200x400")</f>
        <v>350x200x400</v>
      </c>
      <c r="I1048" s="5"/>
      <c r="J1048" s="5"/>
      <c r="K1048" s="5"/>
      <c r="L1048" s="5" t="str">
        <f>IFERROR(__xludf.DUMMYFUNCTION("""COMPUTED_VALUE"""),"KLH")</f>
        <v>KLH</v>
      </c>
    </row>
    <row r="1049">
      <c r="A1049" s="5" t="str">
        <f>IFERROR(__xludf.DUMMYFUNCTION("""COMPUTED_VALUE"""),"XD3-GĐH-004")</f>
        <v>XD3-GĐH-004</v>
      </c>
      <c r="B1049" s="3" t="str">
        <f>IFERROR(__xludf.DUMMYFUNCTION("""COMPUTED_VALUE"""),"Gàu định hình đào mương thoát nước")</f>
        <v>Gàu định hình đào mương thoát nước</v>
      </c>
      <c r="C1049" s="5" t="str">
        <f>IFERROR(__xludf.DUMMYFUNCTION("""COMPUTED_VALUE"""),"XN Chuối DP3")</f>
        <v>XN Chuối DP3</v>
      </c>
      <c r="D1049" s="5" t="str">
        <f>IFERROR(__xludf.DUMMYFUNCTION("""COMPUTED_VALUE"""),"THACO AGRI")</f>
        <v>THACO AGRI</v>
      </c>
      <c r="E1049" s="5"/>
      <c r="F1049" s="5"/>
      <c r="G1049" s="5" t="str">
        <f>IFERROR(__xludf.DUMMYFUNCTION("""COMPUTED_VALUE"""),"2025")</f>
        <v>2025</v>
      </c>
      <c r="H1049" s="5" t="str">
        <f>IFERROR(__xludf.DUMMYFUNCTION("""COMPUTED_VALUE"""),"350x200x400")</f>
        <v>350x200x400</v>
      </c>
      <c r="I1049" s="5"/>
      <c r="J1049" s="5"/>
      <c r="K1049" s="5"/>
      <c r="L1049" s="5" t="str">
        <f>IFERROR(__xludf.DUMMYFUNCTION("""COMPUTED_VALUE"""),"KLH")</f>
        <v>KLH</v>
      </c>
    </row>
    <row r="1050">
      <c r="A1050" s="5" t="str">
        <f>IFERROR(__xludf.DUMMYFUNCTION("""COMPUTED_VALUE"""),"CNN-TBC-001")</f>
        <v>CNN-TBC-001</v>
      </c>
      <c r="B1050" s="3" t="str">
        <f>IFERROR(__xludf.DUMMYFUNCTION("""COMPUTED_VALUE"""),"Thiết bị cắt cỏ")</f>
        <v>Thiết bị cắt cỏ</v>
      </c>
      <c r="C1050" s="5" t="str">
        <f>IFERROR(__xludf.DUMMYFUNCTION("""COMPUTED_VALUE"""),"XN Chuối DP3")</f>
        <v>XN Chuối DP3</v>
      </c>
      <c r="D1050" s="5" t="str">
        <f>IFERROR(__xludf.DUMMYFUNCTION("""COMPUTED_VALUE"""),"AIO")</f>
        <v>AIO</v>
      </c>
      <c r="E1050" s="5" t="str">
        <f>IFERROR(__xludf.DUMMYFUNCTION("""COMPUTED_VALUE"""),"AIO-CC01")</f>
        <v>AIO-CC01</v>
      </c>
      <c r="F1050" s="5"/>
      <c r="G1050" s="5"/>
      <c r="H1050" s="5"/>
      <c r="I1050" s="5" t="str">
        <f>IFERROR(__xludf.DUMMYFUNCTION("""COMPUTED_VALUE"""),"AIO-CC01")</f>
        <v>AIO-CC01</v>
      </c>
      <c r="J1050" s="5"/>
      <c r="K1050" s="5"/>
      <c r="L1050" s="5" t="str">
        <f>IFERROR(__xludf.DUMMYFUNCTION("""COMPUTED_VALUE"""),"KLH")</f>
        <v>KLH</v>
      </c>
    </row>
    <row r="1051">
      <c r="A1051" s="5" t="str">
        <f>IFERROR(__xludf.DUMMYFUNCTION("""COMPUTED_VALUE"""),"Xí nghiệp chuối LP1")</f>
        <v>Xí nghiệp chuối LP1</v>
      </c>
      <c r="B1051" s="3"/>
      <c r="C1051" s="5"/>
      <c r="D1051" s="5"/>
      <c r="E1051" s="5"/>
      <c r="F1051" s="5"/>
      <c r="G1051" s="5"/>
      <c r="H1051" s="5"/>
      <c r="I1051" s="5"/>
      <c r="J1051" s="5"/>
      <c r="K1051" s="5"/>
      <c r="L1051" s="5" t="str">
        <f>IFERROR(__xludf.DUMMYFUNCTION("""COMPUTED_VALUE"""),"KLH")</f>
        <v>KLH</v>
      </c>
    </row>
    <row r="1052">
      <c r="A1052" s="5" t="str">
        <f>IFERROR(__xludf.DUMMYFUNCTION("""COMPUTED_VALUE"""),"XL1-MNK-001")</f>
        <v>XL1-MNK-001</v>
      </c>
      <c r="B1052" s="3" t="str">
        <f>IFERROR(__xludf.DUMMYFUNCTION("""COMPUTED_VALUE"""),"Máy nén khí 10HP")</f>
        <v>Máy nén khí 10HP</v>
      </c>
      <c r="C1052" s="5" t="str">
        <f>IFERROR(__xludf.DUMMYFUNCTION("""COMPUTED_VALUE"""),"XN Chuối LP1")</f>
        <v>XN Chuối LP1</v>
      </c>
      <c r="D1052" s="5" t="str">
        <f>IFERROR(__xludf.DUMMYFUNCTION("""COMPUTED_VALUE"""),"TRUNG QUỐC")</f>
        <v>TRUNG QUỐC</v>
      </c>
      <c r="E1052" s="5" t="str">
        <f>IFERROR(__xludf.DUMMYFUNCTION("""COMPUTED_VALUE"""),"SVP205")</f>
        <v>SVP205</v>
      </c>
      <c r="F1052" s="5"/>
      <c r="G1052" s="5" t="str">
        <f>IFERROR(__xludf.DUMMYFUNCTION("""COMPUTED_VALUE"""),"2014")</f>
        <v>2014</v>
      </c>
      <c r="H1052" s="5" t="str">
        <f>IFERROR(__xludf.DUMMYFUNCTION("""COMPUTED_VALUE"""),"Dung tích: 155")</f>
        <v>Dung tích: 155</v>
      </c>
      <c r="I1052" s="5" t="str">
        <f>IFERROR(__xludf.DUMMYFUNCTION("""COMPUTED_VALUE"""),"14163379")</f>
        <v>14163379</v>
      </c>
      <c r="J1052" s="5"/>
      <c r="K1052" s="5"/>
      <c r="L1052" s="5" t="str">
        <f>IFERROR(__xludf.DUMMYFUNCTION("""COMPUTED_VALUE"""),"KLH")</f>
        <v>KLH</v>
      </c>
    </row>
    <row r="1053">
      <c r="A1053" s="5" t="str">
        <f>IFERROR(__xludf.DUMMYFUNCTION("""COMPUTED_VALUE"""),"XL1-TBL-001")</f>
        <v>XL1-TBL-001</v>
      </c>
      <c r="B1053" s="3" t="str">
        <f>IFERROR(__xludf.DUMMYFUNCTION("""COMPUTED_VALUE"""),"Thiết bị lu")</f>
        <v>Thiết bị lu</v>
      </c>
      <c r="C1053" s="5" t="str">
        <f>IFERROR(__xludf.DUMMYFUNCTION("""COMPUTED_VALUE"""),"XN Chuối LP1")</f>
        <v>XN Chuối LP1</v>
      </c>
      <c r="D1053" s="5" t="str">
        <f>IFERROR(__xludf.DUMMYFUNCTION("""COMPUTED_VALUE"""),"THACO AGRI")</f>
        <v>THACO AGRI</v>
      </c>
      <c r="E1053" s="5" t="str">
        <f>IFERROR(__xludf.DUMMYFUNCTION("""COMPUTED_VALUE"""),"CK-MPC-03")</f>
        <v>CK-MPC-03</v>
      </c>
      <c r="F1053" s="5"/>
      <c r="G1053" s="5" t="str">
        <f>IFERROR(__xludf.DUMMYFUNCTION("""COMPUTED_VALUE"""),"2024")</f>
        <v>2024</v>
      </c>
      <c r="H1053" s="5" t="str">
        <f>IFERROR(__xludf.DUMMYFUNCTION("""COMPUTED_VALUE"""),"3x2.4x1.4m")</f>
        <v>3x2.4x1.4m</v>
      </c>
      <c r="I1053" s="5"/>
      <c r="J1053" s="5"/>
      <c r="K1053" s="5"/>
      <c r="L1053" s="5" t="str">
        <f>IFERROR(__xludf.DUMMYFUNCTION("""COMPUTED_VALUE"""),"KLH")</f>
        <v>KLH</v>
      </c>
    </row>
    <row r="1054">
      <c r="A1054" s="5" t="str">
        <f>IFERROR(__xludf.DUMMYFUNCTION("""COMPUTED_VALUE"""),"XL1-MCO-001")</f>
        <v>XL1-MCO-001</v>
      </c>
      <c r="B1054" s="3" t="str">
        <f>IFERROR(__xludf.DUMMYFUNCTION("""COMPUTED_VALUE"""),"Máy cuộn cỏ (gắn sau máy kéo)")</f>
        <v>Máy cuộn cỏ (gắn sau máy kéo)</v>
      </c>
      <c r="C1054" s="5" t="str">
        <f>IFERROR(__xludf.DUMMYFUNCTION("""COMPUTED_VALUE"""),"XN Chuối LP1")</f>
        <v>XN Chuối LP1</v>
      </c>
      <c r="D1054" s="5" t="str">
        <f>IFERROR(__xludf.DUMMYFUNCTION("""COMPUTED_VALUE"""),"TAMICO-S")</f>
        <v>TAMICO-S</v>
      </c>
      <c r="E1054" s="5" t="str">
        <f>IFERROR(__xludf.DUMMYFUNCTION("""COMPUTED_VALUE"""),"YTAMI")</f>
        <v>YTAMI</v>
      </c>
      <c r="F1054" s="5"/>
      <c r="G1054" s="5" t="str">
        <f>IFERROR(__xludf.DUMMYFUNCTION("""COMPUTED_VALUE"""),"2023")</f>
        <v>2023</v>
      </c>
      <c r="H1054" s="5"/>
      <c r="I1054" s="5"/>
      <c r="J1054" s="5"/>
      <c r="K1054" s="5">
        <f>IFERROR(__xludf.DUMMYFUNCTION("""COMPUTED_VALUE"""),0.3)</f>
        <v>0.3</v>
      </c>
      <c r="L1054" s="5" t="str">
        <f>IFERROR(__xludf.DUMMYFUNCTION("""COMPUTED_VALUE"""),"KLH")</f>
        <v>KLH</v>
      </c>
    </row>
    <row r="1055">
      <c r="A1055" s="5" t="str">
        <f>IFERROR(__xludf.DUMMYFUNCTION("""COMPUTED_VALUE"""),"XL1-RMC-002")</f>
        <v>XL1-RMC-002</v>
      </c>
      <c r="B1055" s="3" t="str">
        <f>IFERROR(__xludf.DUMMYFUNCTION("""COMPUTED_VALUE"""),"Rơ mooc thu hoạch")</f>
        <v>Rơ mooc thu hoạch</v>
      </c>
      <c r="C1055" s="5" t="str">
        <f>IFERROR(__xludf.DUMMYFUNCTION("""COMPUTED_VALUE"""),"XN Chuối LP1")</f>
        <v>XN Chuối LP1</v>
      </c>
      <c r="D1055" s="5" t="str">
        <f>IFERROR(__xludf.DUMMYFUNCTION("""COMPUTED_VALUE"""),"THACO AGRI")</f>
        <v>THACO AGRI</v>
      </c>
      <c r="E1055" s="5"/>
      <c r="F1055" s="5"/>
      <c r="G1055" s="5"/>
      <c r="H1055" s="5"/>
      <c r="I1055" s="5"/>
      <c r="J1055" s="5"/>
      <c r="K1055" s="5"/>
      <c r="L1055" s="5" t="str">
        <f>IFERROR(__xludf.DUMMYFUNCTION("""COMPUTED_VALUE"""),"KLH")</f>
        <v>KLH</v>
      </c>
    </row>
    <row r="1056">
      <c r="A1056" s="5" t="str">
        <f>IFERROR(__xludf.DUMMYFUNCTION("""COMPUTED_VALUE"""),"XL1-RMC-003")</f>
        <v>XL1-RMC-003</v>
      </c>
      <c r="B1056" s="3" t="str">
        <f>IFERROR(__xludf.DUMMYFUNCTION("""COMPUTED_VALUE"""),"Rơ mooc thu hoạch")</f>
        <v>Rơ mooc thu hoạch</v>
      </c>
      <c r="C1056" s="5" t="str">
        <f>IFERROR(__xludf.DUMMYFUNCTION("""COMPUTED_VALUE"""),"XN Chuối LP1")</f>
        <v>XN Chuối LP1</v>
      </c>
      <c r="D1056" s="5" t="str">
        <f>IFERROR(__xludf.DUMMYFUNCTION("""COMPUTED_VALUE"""),"THACO AGRI")</f>
        <v>THACO AGRI</v>
      </c>
      <c r="E1056" s="5"/>
      <c r="F1056" s="5"/>
      <c r="G1056" s="5"/>
      <c r="H1056" s="5"/>
      <c r="I1056" s="5"/>
      <c r="J1056" s="5"/>
      <c r="K1056" s="5"/>
      <c r="L1056" s="5" t="str">
        <f>IFERROR(__xludf.DUMMYFUNCTION("""COMPUTED_VALUE"""),"KLH")</f>
        <v>KLH</v>
      </c>
    </row>
    <row r="1057">
      <c r="A1057" s="5" t="str">
        <f>IFERROR(__xludf.DUMMYFUNCTION("""COMPUTED_VALUE"""),"XL1-RMC-006")</f>
        <v>XL1-RMC-006</v>
      </c>
      <c r="B1057" s="3" t="str">
        <f>IFERROR(__xludf.DUMMYFUNCTION("""COMPUTED_VALUE"""),"Rơ mooc thu hoạch")</f>
        <v>Rơ mooc thu hoạch</v>
      </c>
      <c r="C1057" s="5" t="str">
        <f>IFERROR(__xludf.DUMMYFUNCTION("""COMPUTED_VALUE"""),"XN Chuối LP1")</f>
        <v>XN Chuối LP1</v>
      </c>
      <c r="D1057" s="5" t="str">
        <f>IFERROR(__xludf.DUMMYFUNCTION("""COMPUTED_VALUE"""),"THACO AGRI")</f>
        <v>THACO AGRI</v>
      </c>
      <c r="E1057" s="5"/>
      <c r="F1057" s="5"/>
      <c r="G1057" s="5"/>
      <c r="H1057" s="5"/>
      <c r="I1057" s="5" t="str">
        <f>IFERROR(__xludf.DUMMYFUNCTION("""COMPUTED_VALUE"""),"40 BUỒNG")</f>
        <v>40 BUỒNG</v>
      </c>
      <c r="J1057" s="5"/>
      <c r="K1057" s="5"/>
      <c r="L1057" s="5" t="str">
        <f>IFERROR(__xludf.DUMMYFUNCTION("""COMPUTED_VALUE"""),"KLH")</f>
        <v>KLH</v>
      </c>
    </row>
    <row r="1058">
      <c r="A1058" s="5" t="str">
        <f>IFERROR(__xludf.DUMMYFUNCTION("""COMPUTED_VALUE"""),"XL1-RMR-001")</f>
        <v>XL1-RMR-001</v>
      </c>
      <c r="B1058" s="3" t="str">
        <f>IFERROR(__xludf.DUMMYFUNCTION("""COMPUTED_VALUE"""),"Rơ mooc ben rải phân")</f>
        <v>Rơ mooc ben rải phân</v>
      </c>
      <c r="C1058" s="5" t="str">
        <f>IFERROR(__xludf.DUMMYFUNCTION("""COMPUTED_VALUE"""),"XN Chuối LP1")</f>
        <v>XN Chuối LP1</v>
      </c>
      <c r="D1058" s="5" t="str">
        <f>IFERROR(__xludf.DUMMYFUNCTION("""COMPUTED_VALUE"""),"THACO AGRI")</f>
        <v>THACO AGRI</v>
      </c>
      <c r="E1058" s="5"/>
      <c r="F1058" s="5"/>
      <c r="G1058" s="5"/>
      <c r="H1058" s="5" t="str">
        <f>IFERROR(__xludf.DUMMYFUNCTION("""COMPUTED_VALUE"""),"Dài4m Rộng 2.4mx Cao 1.5m")</f>
        <v>Dài4m Rộng 2.4mx Cao 1.5m</v>
      </c>
      <c r="I1058" s="5"/>
      <c r="J1058" s="5"/>
      <c r="K1058" s="5"/>
      <c r="L1058" s="5" t="str">
        <f>IFERROR(__xludf.DUMMYFUNCTION("""COMPUTED_VALUE"""),"KLH")</f>
        <v>KLH</v>
      </c>
    </row>
    <row r="1059">
      <c r="A1059" s="5" t="str">
        <f>IFERROR(__xludf.DUMMYFUNCTION("""COMPUTED_VALUE"""),"XL1-RML-001")</f>
        <v>XL1-RML-001</v>
      </c>
      <c r="B1059" s="3" t="str">
        <f>IFERROR(__xludf.DUMMYFUNCTION("""COMPUTED_VALUE"""),"Rơ mooc lưới")</f>
        <v>Rơ mooc lưới</v>
      </c>
      <c r="C1059" s="5" t="str">
        <f>IFERROR(__xludf.DUMMYFUNCTION("""COMPUTED_VALUE"""),"XN Chuối LP1")</f>
        <v>XN Chuối LP1</v>
      </c>
      <c r="D1059" s="5" t="str">
        <f>IFERROR(__xludf.DUMMYFUNCTION("""COMPUTED_VALUE"""),"THACO AGRI")</f>
        <v>THACO AGRI</v>
      </c>
      <c r="E1059" s="5"/>
      <c r="F1059" s="5"/>
      <c r="G1059" s="5"/>
      <c r="H1059" s="5" t="str">
        <f>IFERROR(__xludf.DUMMYFUNCTION("""COMPUTED_VALUE"""),"5.5*2.5*2.4")</f>
        <v>5.5*2.5*2.4</v>
      </c>
      <c r="I1059" s="5"/>
      <c r="J1059" s="5"/>
      <c r="K1059" s="5"/>
      <c r="L1059" s="5" t="str">
        <f>IFERROR(__xludf.DUMMYFUNCTION("""COMPUTED_VALUE"""),"KLH")</f>
        <v>KLH</v>
      </c>
    </row>
    <row r="1060">
      <c r="A1060" s="5" t="str">
        <f>IFERROR(__xludf.DUMMYFUNCTION("""COMPUTED_VALUE"""),"XL1-RMX-001")</f>
        <v>XL1-RMX-001</v>
      </c>
      <c r="B1060" s="3" t="str">
        <f>IFERROR(__xludf.DUMMYFUNCTION("""COMPUTED_VALUE"""),"Rơ mooc chở xốp")</f>
        <v>Rơ mooc chở xốp</v>
      </c>
      <c r="C1060" s="5" t="str">
        <f>IFERROR(__xludf.DUMMYFUNCTION("""COMPUTED_VALUE"""),"XN Chuối LP1")</f>
        <v>XN Chuối LP1</v>
      </c>
      <c r="D1060" s="5" t="str">
        <f>IFERROR(__xludf.DUMMYFUNCTION("""COMPUTED_VALUE"""),"THACO AGRI")</f>
        <v>THACO AGRI</v>
      </c>
      <c r="E1060" s="5"/>
      <c r="F1060" s="5"/>
      <c r="G1060" s="5"/>
      <c r="H1060" s="5"/>
      <c r="I1060" s="5"/>
      <c r="J1060" s="5"/>
      <c r="K1060" s="5"/>
      <c r="L1060" s="5" t="str">
        <f>IFERROR(__xludf.DUMMYFUNCTION("""COMPUTED_VALUE"""),"KLH")</f>
        <v>KLH</v>
      </c>
    </row>
    <row r="1061">
      <c r="A1061" s="5" t="str">
        <f>IFERROR(__xludf.DUMMYFUNCTION("""COMPUTED_VALUE"""),"XL1-RMĐ-001")</f>
        <v>XL1-RMĐ-001</v>
      </c>
      <c r="B1061" s="3" t="str">
        <f>IFERROR(__xludf.DUMMYFUNCTION("""COMPUTED_VALUE"""),"Rơ mooc vận chuyển M.đào 03")</f>
        <v>Rơ mooc vận chuyển M.đào 03</v>
      </c>
      <c r="C1061" s="5" t="str">
        <f>IFERROR(__xludf.DUMMYFUNCTION("""COMPUTED_VALUE"""),"XN Chuối LP1")</f>
        <v>XN Chuối LP1</v>
      </c>
      <c r="D1061" s="5" t="str">
        <f>IFERROR(__xludf.DUMMYFUNCTION("""COMPUTED_VALUE"""),"THACO AGRI")</f>
        <v>THACO AGRI</v>
      </c>
      <c r="E1061" s="5"/>
      <c r="F1061" s="5"/>
      <c r="G1061" s="5"/>
      <c r="H1061" s="5"/>
      <c r="I1061" s="5"/>
      <c r="J1061" s="5"/>
      <c r="K1061" s="5"/>
      <c r="L1061" s="5" t="str">
        <f>IFERROR(__xludf.DUMMYFUNCTION("""COMPUTED_VALUE"""),"KLH")</f>
        <v>KLH</v>
      </c>
    </row>
    <row r="1062">
      <c r="A1062" s="5" t="str">
        <f>IFERROR(__xludf.DUMMYFUNCTION("""COMPUTED_VALUE"""),"XL1-BLT-001")</f>
        <v>XL1-BLT-001</v>
      </c>
      <c r="B1062" s="3" t="str">
        <f>IFERROR(__xludf.DUMMYFUNCTION("""COMPUTED_VALUE"""),"Bộ bánh lồng thép")</f>
        <v>Bộ bánh lồng thép</v>
      </c>
      <c r="C1062" s="5" t="str">
        <f>IFERROR(__xludf.DUMMYFUNCTION("""COMPUTED_VALUE"""),"XN Chuối LP1")</f>
        <v>XN Chuối LP1</v>
      </c>
      <c r="D1062" s="5" t="str">
        <f>IFERROR(__xludf.DUMMYFUNCTION("""COMPUTED_VALUE"""),"THACO AGRI")</f>
        <v>THACO AGRI</v>
      </c>
      <c r="E1062" s="5" t="str">
        <f>IFERROR(__xludf.DUMMYFUNCTION("""COMPUTED_VALUE"""),"CLE-D85-R35")</f>
        <v>CLE-D85-R35</v>
      </c>
      <c r="F1062" s="5"/>
      <c r="G1062" s="5" t="str">
        <f>IFERROR(__xludf.DUMMYFUNCTION("""COMPUTED_VALUE"""),"2024")</f>
        <v>2024</v>
      </c>
      <c r="H1062" s="5" t="str">
        <f>IFERROR(__xludf.DUMMYFUNCTION("""COMPUTED_VALUE"""),"D850xR350/Cái")</f>
        <v>D850xR350/Cái</v>
      </c>
      <c r="I1062" s="5"/>
      <c r="J1062" s="5"/>
      <c r="K1062" s="5"/>
      <c r="L1062" s="5" t="str">
        <f>IFERROR(__xludf.DUMMYFUNCTION("""COMPUTED_VALUE"""),"KLH")</f>
        <v>KLH</v>
      </c>
    </row>
    <row r="1063">
      <c r="A1063" s="5" t="str">
        <f>IFERROR(__xludf.DUMMYFUNCTION("""COMPUTED_VALUE"""),"XL1-MXM-001")</f>
        <v>XL1-MXM-001</v>
      </c>
      <c r="B1063" s="3" t="str">
        <f>IFERROR(__xludf.DUMMYFUNCTION("""COMPUTED_VALUE"""),"Rơ mooc gắn sau xe máy ")</f>
        <v>Rơ mooc gắn sau xe máy </v>
      </c>
      <c r="C1063" s="5" t="str">
        <f>IFERROR(__xludf.DUMMYFUNCTION("""COMPUTED_VALUE"""),"XN Chuối LP1")</f>
        <v>XN Chuối LP1</v>
      </c>
      <c r="D1063" s="5" t="str">
        <f>IFERROR(__xludf.DUMMYFUNCTION("""COMPUTED_VALUE"""),"THACO AGRI")</f>
        <v>THACO AGRI</v>
      </c>
      <c r="E1063" s="5"/>
      <c r="F1063" s="5"/>
      <c r="G1063" s="5"/>
      <c r="H1063" s="5"/>
      <c r="I1063" s="5"/>
      <c r="J1063" s="5"/>
      <c r="K1063" s="5"/>
      <c r="L1063" s="5" t="str">
        <f>IFERROR(__xludf.DUMMYFUNCTION("""COMPUTED_VALUE"""),"KLH")</f>
        <v>KLH</v>
      </c>
    </row>
    <row r="1064">
      <c r="A1064" s="5" t="str">
        <f>IFERROR(__xludf.DUMMYFUNCTION("""COMPUTED_VALUE"""),"XL1-MXM-002")</f>
        <v>XL1-MXM-002</v>
      </c>
      <c r="B1064" s="3" t="str">
        <f>IFERROR(__xludf.DUMMYFUNCTION("""COMPUTED_VALUE"""),"Rơ mooc gắn sau xe máy ")</f>
        <v>Rơ mooc gắn sau xe máy </v>
      </c>
      <c r="C1064" s="5" t="str">
        <f>IFERROR(__xludf.DUMMYFUNCTION("""COMPUTED_VALUE"""),"XN Chuối LP1")</f>
        <v>XN Chuối LP1</v>
      </c>
      <c r="D1064" s="5" t="str">
        <f>IFERROR(__xludf.DUMMYFUNCTION("""COMPUTED_VALUE"""),"THACO AGRI")</f>
        <v>THACO AGRI</v>
      </c>
      <c r="E1064" s="5"/>
      <c r="F1064" s="5"/>
      <c r="G1064" s="5"/>
      <c r="H1064" s="5"/>
      <c r="I1064" s="5"/>
      <c r="J1064" s="5"/>
      <c r="K1064" s="5"/>
      <c r="L1064" s="5" t="str">
        <f>IFERROR(__xludf.DUMMYFUNCTION("""COMPUTED_VALUE"""),"KLH")</f>
        <v>KLH</v>
      </c>
    </row>
    <row r="1065">
      <c r="A1065" s="5" t="str">
        <f>IFERROR(__xludf.DUMMYFUNCTION("""COMPUTED_VALUE"""),"XL1-MXM-003")</f>
        <v>XL1-MXM-003</v>
      </c>
      <c r="B1065" s="3" t="str">
        <f>IFERROR(__xludf.DUMMYFUNCTION("""COMPUTED_VALUE"""),"Rơ mooc gắn sau xe máy ")</f>
        <v>Rơ mooc gắn sau xe máy </v>
      </c>
      <c r="C1065" s="5" t="str">
        <f>IFERROR(__xludf.DUMMYFUNCTION("""COMPUTED_VALUE"""),"XN Chuối LP1")</f>
        <v>XN Chuối LP1</v>
      </c>
      <c r="D1065" s="5" t="str">
        <f>IFERROR(__xludf.DUMMYFUNCTION("""COMPUTED_VALUE"""),"THACO AGRI")</f>
        <v>THACO AGRI</v>
      </c>
      <c r="E1065" s="5"/>
      <c r="F1065" s="5"/>
      <c r="G1065" s="5"/>
      <c r="H1065" s="5"/>
      <c r="I1065" s="5"/>
      <c r="J1065" s="5"/>
      <c r="K1065" s="5"/>
      <c r="L1065" s="5" t="str">
        <f>IFERROR(__xludf.DUMMYFUNCTION("""COMPUTED_VALUE"""),"KLH")</f>
        <v>KLH</v>
      </c>
    </row>
    <row r="1066">
      <c r="A1066" s="5" t="str">
        <f>IFERROR(__xludf.DUMMYFUNCTION("""COMPUTED_VALUE"""),"XL1-MXM-004")</f>
        <v>XL1-MXM-004</v>
      </c>
      <c r="B1066" s="3" t="str">
        <f>IFERROR(__xludf.DUMMYFUNCTION("""COMPUTED_VALUE"""),"Rơ mooc gắn sau xe máy ")</f>
        <v>Rơ mooc gắn sau xe máy </v>
      </c>
      <c r="C1066" s="5" t="str">
        <f>IFERROR(__xludf.DUMMYFUNCTION("""COMPUTED_VALUE"""),"XN Chuối LP1")</f>
        <v>XN Chuối LP1</v>
      </c>
      <c r="D1066" s="5" t="str">
        <f>IFERROR(__xludf.DUMMYFUNCTION("""COMPUTED_VALUE"""),"THACO AGRI")</f>
        <v>THACO AGRI</v>
      </c>
      <c r="E1066" s="5"/>
      <c r="F1066" s="5"/>
      <c r="G1066" s="5"/>
      <c r="H1066" s="5"/>
      <c r="I1066" s="5"/>
      <c r="J1066" s="5"/>
      <c r="K1066" s="5"/>
      <c r="L1066" s="5" t="str">
        <f>IFERROR(__xludf.DUMMYFUNCTION("""COMPUTED_VALUE"""),"KLH")</f>
        <v>KLH</v>
      </c>
    </row>
    <row r="1067">
      <c r="A1067" s="5" t="str">
        <f>IFERROR(__xludf.DUMMYFUNCTION("""COMPUTED_VALUE"""),"XL1-DPC-001")</f>
        <v>XL1-DPC-001</v>
      </c>
      <c r="B1067" s="3" t="str">
        <f>IFERROR(__xludf.DUMMYFUNCTION("""COMPUTED_VALUE"""),"Thiết bị phay cỏ 1.5m")</f>
        <v>Thiết bị phay cỏ 1.5m</v>
      </c>
      <c r="C1067" s="5" t="str">
        <f>IFERROR(__xludf.DUMMYFUNCTION("""COMPUTED_VALUE"""),"XN Chuối LP1")</f>
        <v>XN Chuối LP1</v>
      </c>
      <c r="D1067" s="5" t="str">
        <f>IFERROR(__xludf.DUMMYFUNCTION("""COMPUTED_VALUE"""),"THACO AGRI")</f>
        <v>THACO AGRI</v>
      </c>
      <c r="E1067" s="5" t="str">
        <f>IFERROR(__xludf.DUMMYFUNCTION("""COMPUTED_VALUE"""),"CK-MPC-03")</f>
        <v>CK-MPC-03</v>
      </c>
      <c r="F1067" s="5"/>
      <c r="G1067" s="5" t="str">
        <f>IFERROR(__xludf.DUMMYFUNCTION("""COMPUTED_VALUE"""),"2024")</f>
        <v>2024</v>
      </c>
      <c r="H1067" s="5" t="str">
        <f>IFERROR(__xludf.DUMMYFUNCTION("""COMPUTED_VALUE"""),"1.7x1.5x1m")</f>
        <v>1.7x1.5x1m</v>
      </c>
      <c r="I1067" s="5"/>
      <c r="J1067" s="5"/>
      <c r="K1067" s="5">
        <f>IFERROR(__xludf.DUMMYFUNCTION("""COMPUTED_VALUE"""),6.14)</f>
        <v>6.14</v>
      </c>
      <c r="L1067" s="5" t="str">
        <f>IFERROR(__xludf.DUMMYFUNCTION("""COMPUTED_VALUE"""),"KLH")</f>
        <v>KLH</v>
      </c>
    </row>
    <row r="1068">
      <c r="A1068" s="5" t="str">
        <f>IFERROR(__xludf.DUMMYFUNCTION("""COMPUTED_VALUE"""),"XL1-MKC-001")</f>
        <v>XL1-MKC-001</v>
      </c>
      <c r="B1068" s="3" t="str">
        <f>IFERROR(__xludf.DUMMYFUNCTION("""COMPUTED_VALUE"""),"Máy kéo chuối (Xăng)")</f>
        <v>Máy kéo chuối (Xăng)</v>
      </c>
      <c r="C1068" s="5" t="str">
        <f>IFERROR(__xludf.DUMMYFUNCTION("""COMPUTED_VALUE"""),"XN Chuối LP1")</f>
        <v>XN Chuối LP1</v>
      </c>
      <c r="D1068" s="5" t="str">
        <f>IFERROR(__xludf.DUMMYFUNCTION("""COMPUTED_VALUE"""),"THACO AGRI")</f>
        <v>THACO AGRI</v>
      </c>
      <c r="E1068" s="5" t="str">
        <f>IFERROR(__xludf.DUMMYFUNCTION("""COMPUTED_VALUE"""),"CGH-MKC-DREAM")</f>
        <v>CGH-MKC-DREAM</v>
      </c>
      <c r="F1068" s="5"/>
      <c r="G1068" s="5" t="str">
        <f>IFERROR(__xludf.DUMMYFUNCTION("""COMPUTED_VALUE"""),"2025")</f>
        <v>2025</v>
      </c>
      <c r="H1068" s="5" t="str">
        <f>IFERROR(__xludf.DUMMYFUNCTION("""COMPUTED_VALUE"""),"9.25HP")</f>
        <v>9.25HP</v>
      </c>
      <c r="I1068" s="5" t="str">
        <f>IFERROR(__xludf.DUMMYFUNCTION("""COMPUTED_VALUE"""),"14C04017")</f>
        <v>14C04017</v>
      </c>
      <c r="J1068" s="5"/>
      <c r="K1068" s="5">
        <f>IFERROR(__xludf.DUMMYFUNCTION("""COMPUTED_VALUE"""),0.56)</f>
        <v>0.56</v>
      </c>
      <c r="L1068" s="5" t="str">
        <f>IFERROR(__xludf.DUMMYFUNCTION("""COMPUTED_VALUE"""),"KLH")</f>
        <v>KLH</v>
      </c>
    </row>
    <row r="1069">
      <c r="A1069" s="5" t="str">
        <f>IFERROR(__xludf.DUMMYFUNCTION("""COMPUTED_VALUE"""),"XL1-MKC-002")</f>
        <v>XL1-MKC-002</v>
      </c>
      <c r="B1069" s="3" t="str">
        <f>IFERROR(__xludf.DUMMYFUNCTION("""COMPUTED_VALUE"""),"Máy kéo chuối (Xăng)")</f>
        <v>Máy kéo chuối (Xăng)</v>
      </c>
      <c r="C1069" s="5" t="str">
        <f>IFERROR(__xludf.DUMMYFUNCTION("""COMPUTED_VALUE"""),"XN Chuối LP1")</f>
        <v>XN Chuối LP1</v>
      </c>
      <c r="D1069" s="5" t="str">
        <f>IFERROR(__xludf.DUMMYFUNCTION("""COMPUTED_VALUE"""),"THACO AGRI")</f>
        <v>THACO AGRI</v>
      </c>
      <c r="E1069" s="5" t="str">
        <f>IFERROR(__xludf.DUMMYFUNCTION("""COMPUTED_VALUE"""),"CGH-MKC-DREAM")</f>
        <v>CGH-MKC-DREAM</v>
      </c>
      <c r="F1069" s="5"/>
      <c r="G1069" s="5" t="str">
        <f>IFERROR(__xludf.DUMMYFUNCTION("""COMPUTED_VALUE"""),"2025")</f>
        <v>2025</v>
      </c>
      <c r="H1069" s="5" t="str">
        <f>IFERROR(__xludf.DUMMYFUNCTION("""COMPUTED_VALUE"""),"9.25HP")</f>
        <v>9.25HP</v>
      </c>
      <c r="I1069" s="5" t="str">
        <f>IFERROR(__xludf.DUMMYFUNCTION("""COMPUTED_VALUE"""),"09G72821")</f>
        <v>09G72821</v>
      </c>
      <c r="J1069" s="5"/>
      <c r="K1069" s="5">
        <f>IFERROR(__xludf.DUMMYFUNCTION("""COMPUTED_VALUE"""),0.56)</f>
        <v>0.56</v>
      </c>
      <c r="L1069" s="5" t="str">
        <f>IFERROR(__xludf.DUMMYFUNCTION("""COMPUTED_VALUE"""),"KLH")</f>
        <v>KLH</v>
      </c>
    </row>
    <row r="1070">
      <c r="A1070" s="5" t="str">
        <f>IFERROR(__xludf.DUMMYFUNCTION("""COMPUTED_VALUE"""),"XL1-MKC-003")</f>
        <v>XL1-MKC-003</v>
      </c>
      <c r="B1070" s="3" t="str">
        <f>IFERROR(__xludf.DUMMYFUNCTION("""COMPUTED_VALUE"""),"Máy kéo chuối (Xăng)")</f>
        <v>Máy kéo chuối (Xăng)</v>
      </c>
      <c r="C1070" s="5" t="str">
        <f>IFERROR(__xludf.DUMMYFUNCTION("""COMPUTED_VALUE"""),"XN Chuối LP1")</f>
        <v>XN Chuối LP1</v>
      </c>
      <c r="D1070" s="5" t="str">
        <f>IFERROR(__xludf.DUMMYFUNCTION("""COMPUTED_VALUE"""),"THACO AGRI")</f>
        <v>THACO AGRI</v>
      </c>
      <c r="E1070" s="5"/>
      <c r="F1070" s="5"/>
      <c r="G1070" s="5" t="str">
        <f>IFERROR(__xludf.DUMMYFUNCTION("""COMPUTED_VALUE"""),"2025")</f>
        <v>2025</v>
      </c>
      <c r="H1070" s="5"/>
      <c r="I1070" s="5"/>
      <c r="J1070" s="5"/>
      <c r="K1070" s="5">
        <f>IFERROR(__xludf.DUMMYFUNCTION("""COMPUTED_VALUE"""),0.56)</f>
        <v>0.56</v>
      </c>
      <c r="L1070" s="5" t="str">
        <f>IFERROR(__xludf.DUMMYFUNCTION("""COMPUTED_VALUE"""),"KLH")</f>
        <v>KLH</v>
      </c>
    </row>
    <row r="1071">
      <c r="A1071" s="5" t="str">
        <f>IFERROR(__xludf.DUMMYFUNCTION("""COMPUTED_VALUE"""),"XL1-MKC-004")</f>
        <v>XL1-MKC-004</v>
      </c>
      <c r="B1071" s="3" t="str">
        <f>IFERROR(__xludf.DUMMYFUNCTION("""COMPUTED_VALUE"""),"Máy kéo chuối (Xăng)")</f>
        <v>Máy kéo chuối (Xăng)</v>
      </c>
      <c r="C1071" s="5" t="str">
        <f>IFERROR(__xludf.DUMMYFUNCTION("""COMPUTED_VALUE"""),"XN Chuối LP1")</f>
        <v>XN Chuối LP1</v>
      </c>
      <c r="D1071" s="5" t="str">
        <f>IFERROR(__xludf.DUMMYFUNCTION("""COMPUTED_VALUE"""),"THACO AGRI")</f>
        <v>THACO AGRI</v>
      </c>
      <c r="E1071" s="5" t="str">
        <f>IFERROR(__xludf.DUMMYFUNCTION("""COMPUTED_VALUE"""),"XKC-016")</f>
        <v>XKC-016</v>
      </c>
      <c r="F1071" s="5"/>
      <c r="G1071" s="5" t="str">
        <f>IFERROR(__xludf.DUMMYFUNCTION("""COMPUTED_VALUE"""),"2025")</f>
        <v>2025</v>
      </c>
      <c r="H1071" s="5"/>
      <c r="I1071" s="5" t="str">
        <f>IFERROR(__xludf.DUMMYFUNCTION("""COMPUTED_VALUE"""),"16")</f>
        <v>16</v>
      </c>
      <c r="J1071" s="5"/>
      <c r="K1071" s="5">
        <f>IFERROR(__xludf.DUMMYFUNCTION("""COMPUTED_VALUE"""),0.56)</f>
        <v>0.56</v>
      </c>
      <c r="L1071" s="5" t="str">
        <f>IFERROR(__xludf.DUMMYFUNCTION("""COMPUTED_VALUE"""),"KLH")</f>
        <v>KLH</v>
      </c>
    </row>
    <row r="1072">
      <c r="A1072" s="5" t="str">
        <f>IFERROR(__xludf.DUMMYFUNCTION("""COMPUTED_VALUE"""),"XL1-MKC-005")</f>
        <v>XL1-MKC-005</v>
      </c>
      <c r="B1072" s="3" t="str">
        <f>IFERROR(__xludf.DUMMYFUNCTION("""COMPUTED_VALUE"""),"Máy kéo chuối (Xăng)")</f>
        <v>Máy kéo chuối (Xăng)</v>
      </c>
      <c r="C1072" s="5" t="str">
        <f>IFERROR(__xludf.DUMMYFUNCTION("""COMPUTED_VALUE"""),"XN Chuối LP1")</f>
        <v>XN Chuối LP1</v>
      </c>
      <c r="D1072" s="5" t="str">
        <f>IFERROR(__xludf.DUMMYFUNCTION("""COMPUTED_VALUE"""),"THACO AGRI")</f>
        <v>THACO AGRI</v>
      </c>
      <c r="E1072" s="5" t="str">
        <f>IFERROR(__xludf.DUMMYFUNCTION("""COMPUTED_VALUE"""),"XKC-016")</f>
        <v>XKC-016</v>
      </c>
      <c r="F1072" s="5"/>
      <c r="G1072" s="5" t="str">
        <f>IFERROR(__xludf.DUMMYFUNCTION("""COMPUTED_VALUE"""),"2025")</f>
        <v>2025</v>
      </c>
      <c r="H1072" s="5"/>
      <c r="I1072" s="5" t="str">
        <f>IFERROR(__xludf.DUMMYFUNCTION("""COMPUTED_VALUE"""),"17")</f>
        <v>17</v>
      </c>
      <c r="J1072" s="5"/>
      <c r="K1072" s="5">
        <f>IFERROR(__xludf.DUMMYFUNCTION("""COMPUTED_VALUE"""),0.56)</f>
        <v>0.56</v>
      </c>
      <c r="L1072" s="5" t="str">
        <f>IFERROR(__xludf.DUMMYFUNCTION("""COMPUTED_VALUE"""),"KLH")</f>
        <v>KLH</v>
      </c>
    </row>
    <row r="1073">
      <c r="A1073" s="5" t="str">
        <f>IFERROR(__xludf.DUMMYFUNCTION("""COMPUTED_VALUE"""),"XL1-MKC-006")</f>
        <v>XL1-MKC-006</v>
      </c>
      <c r="B1073" s="3" t="str">
        <f>IFERROR(__xludf.DUMMYFUNCTION("""COMPUTED_VALUE"""),"Máy kéo chuối (Xăng)")</f>
        <v>Máy kéo chuối (Xăng)</v>
      </c>
      <c r="C1073" s="5" t="str">
        <f>IFERROR(__xludf.DUMMYFUNCTION("""COMPUTED_VALUE"""),"XN Chuối LP1")</f>
        <v>XN Chuối LP1</v>
      </c>
      <c r="D1073" s="5" t="str">
        <f>IFERROR(__xludf.DUMMYFUNCTION("""COMPUTED_VALUE"""),"THACO AGRI")</f>
        <v>THACO AGRI</v>
      </c>
      <c r="E1073" s="5" t="str">
        <f>IFERROR(__xludf.DUMMYFUNCTION("""COMPUTED_VALUE"""),"XKC-20")</f>
        <v>XKC-20</v>
      </c>
      <c r="F1073" s="5"/>
      <c r="G1073" s="5" t="str">
        <f>IFERROR(__xludf.DUMMYFUNCTION("""COMPUTED_VALUE"""),"2025")</f>
        <v>2025</v>
      </c>
      <c r="H1073" s="5"/>
      <c r="I1073" s="5"/>
      <c r="J1073" s="5"/>
      <c r="K1073" s="5">
        <f>IFERROR(__xludf.DUMMYFUNCTION("""COMPUTED_VALUE"""),0.56)</f>
        <v>0.56</v>
      </c>
      <c r="L1073" s="5" t="str">
        <f>IFERROR(__xludf.DUMMYFUNCTION("""COMPUTED_VALUE"""),"KLH")</f>
        <v>KLH</v>
      </c>
    </row>
    <row r="1074">
      <c r="A1074" s="5" t="str">
        <f>IFERROR(__xludf.DUMMYFUNCTION("""COMPUTED_VALUE"""),"XL1-MKC-007")</f>
        <v>XL1-MKC-007</v>
      </c>
      <c r="B1074" s="3" t="str">
        <f>IFERROR(__xludf.DUMMYFUNCTION("""COMPUTED_VALUE"""),"Máy kéo chuối (Xăng)")</f>
        <v>Máy kéo chuối (Xăng)</v>
      </c>
      <c r="C1074" s="5" t="str">
        <f>IFERROR(__xludf.DUMMYFUNCTION("""COMPUTED_VALUE"""),"XN Chuối LP1")</f>
        <v>XN Chuối LP1</v>
      </c>
      <c r="D1074" s="5" t="str">
        <f>IFERROR(__xludf.DUMMYFUNCTION("""COMPUTED_VALUE"""),"THACO AGRI")</f>
        <v>THACO AGRI</v>
      </c>
      <c r="E1074" s="5" t="str">
        <f>IFERROR(__xludf.DUMMYFUNCTION("""COMPUTED_VALUE"""),"XKC-21")</f>
        <v>XKC-21</v>
      </c>
      <c r="F1074" s="5"/>
      <c r="G1074" s="5" t="str">
        <f>IFERROR(__xludf.DUMMYFUNCTION("""COMPUTED_VALUE"""),"2025")</f>
        <v>2025</v>
      </c>
      <c r="H1074" s="5"/>
      <c r="I1074" s="5"/>
      <c r="J1074" s="5"/>
      <c r="K1074" s="5">
        <f>IFERROR(__xludf.DUMMYFUNCTION("""COMPUTED_VALUE"""),0.56)</f>
        <v>0.56</v>
      </c>
      <c r="L1074" s="5" t="str">
        <f>IFERROR(__xludf.DUMMYFUNCTION("""COMPUTED_VALUE"""),"KLH")</f>
        <v>KLH</v>
      </c>
    </row>
    <row r="1075">
      <c r="A1075" s="5" t="str">
        <f>IFERROR(__xludf.DUMMYFUNCTION("""COMPUTED_VALUE"""),"XL1-MKC-008")</f>
        <v>XL1-MKC-008</v>
      </c>
      <c r="B1075" s="3" t="str">
        <f>IFERROR(__xludf.DUMMYFUNCTION("""COMPUTED_VALUE"""),"Máy kéo chuối (Xăng)")</f>
        <v>Máy kéo chuối (Xăng)</v>
      </c>
      <c r="C1075" s="5" t="str">
        <f>IFERROR(__xludf.DUMMYFUNCTION("""COMPUTED_VALUE"""),"XN Chuối LP1")</f>
        <v>XN Chuối LP1</v>
      </c>
      <c r="D1075" s="5" t="str">
        <f>IFERROR(__xludf.DUMMYFUNCTION("""COMPUTED_VALUE"""),"DREAM")</f>
        <v>DREAM</v>
      </c>
      <c r="E1075" s="5" t="str">
        <f>IFERROR(__xludf.DUMMYFUNCTION("""COMPUTED_VALUE"""),"XKC-24")</f>
        <v>XKC-24</v>
      </c>
      <c r="F1075" s="5"/>
      <c r="G1075" s="5" t="str">
        <f>IFERROR(__xludf.DUMMYFUNCTION("""COMPUTED_VALUE"""),"2025")</f>
        <v>2025</v>
      </c>
      <c r="H1075" s="5"/>
      <c r="I1075" s="5"/>
      <c r="J1075" s="5"/>
      <c r="K1075" s="5">
        <f>IFERROR(__xludf.DUMMYFUNCTION("""COMPUTED_VALUE"""),0.56)</f>
        <v>0.56</v>
      </c>
      <c r="L1075" s="5" t="str">
        <f>IFERROR(__xludf.DUMMYFUNCTION("""COMPUTED_VALUE"""),"KLH")</f>
        <v>KLH</v>
      </c>
    </row>
    <row r="1076">
      <c r="A1076" s="5" t="str">
        <f>IFERROR(__xludf.DUMMYFUNCTION("""COMPUTED_VALUE"""),"XL1-MKC-009")</f>
        <v>XL1-MKC-009</v>
      </c>
      <c r="B1076" s="3" t="str">
        <f>IFERROR(__xludf.DUMMYFUNCTION("""COMPUTED_VALUE"""),"Máy kéo chuối (Xăng)")</f>
        <v>Máy kéo chuối (Xăng)</v>
      </c>
      <c r="C1076" s="5" t="str">
        <f>IFERROR(__xludf.DUMMYFUNCTION("""COMPUTED_VALUE"""),"XN Chuối LP1")</f>
        <v>XN Chuối LP1</v>
      </c>
      <c r="D1076" s="5" t="str">
        <f>IFERROR(__xludf.DUMMYFUNCTION("""COMPUTED_VALUE"""),"DREAM")</f>
        <v>DREAM</v>
      </c>
      <c r="E1076" s="5" t="str">
        <f>IFERROR(__xludf.DUMMYFUNCTION("""COMPUTED_VALUE"""),"XKC-32")</f>
        <v>XKC-32</v>
      </c>
      <c r="F1076" s="5"/>
      <c r="G1076" s="5" t="str">
        <f>IFERROR(__xludf.DUMMYFUNCTION("""COMPUTED_VALUE"""),"2025")</f>
        <v>2025</v>
      </c>
      <c r="H1076" s="5"/>
      <c r="I1076" s="5"/>
      <c r="J1076" s="5"/>
      <c r="K1076" s="5">
        <f>IFERROR(__xludf.DUMMYFUNCTION("""COMPUTED_VALUE"""),0.56)</f>
        <v>0.56</v>
      </c>
      <c r="L1076" s="5" t="str">
        <f>IFERROR(__xludf.DUMMYFUNCTION("""COMPUTED_VALUE"""),"KLH")</f>
        <v>KLH</v>
      </c>
    </row>
    <row r="1077">
      <c r="A1077" s="5" t="str">
        <f>IFERROR(__xludf.DUMMYFUNCTION("""COMPUTED_VALUE"""),"XL1-MKC-010")</f>
        <v>XL1-MKC-010</v>
      </c>
      <c r="B1077" s="3" t="str">
        <f>IFERROR(__xludf.DUMMYFUNCTION("""COMPUTED_VALUE"""),"Máy kéo chuối (Xăng)")</f>
        <v>Máy kéo chuối (Xăng)</v>
      </c>
      <c r="C1077" s="5" t="str">
        <f>IFERROR(__xludf.DUMMYFUNCTION("""COMPUTED_VALUE"""),"XN Chuối LP1")</f>
        <v>XN Chuối LP1</v>
      </c>
      <c r="D1077" s="5" t="str">
        <f>IFERROR(__xludf.DUMMYFUNCTION("""COMPUTED_VALUE"""),"DREAM")</f>
        <v>DREAM</v>
      </c>
      <c r="E1077" s="5" t="str">
        <f>IFERROR(__xludf.DUMMYFUNCTION("""COMPUTED_VALUE"""),"XKC-35")</f>
        <v>XKC-35</v>
      </c>
      <c r="F1077" s="5"/>
      <c r="G1077" s="5" t="str">
        <f>IFERROR(__xludf.DUMMYFUNCTION("""COMPUTED_VALUE"""),"2025")</f>
        <v>2025</v>
      </c>
      <c r="H1077" s="5"/>
      <c r="I1077" s="5"/>
      <c r="J1077" s="5"/>
      <c r="K1077" s="5">
        <f>IFERROR(__xludf.DUMMYFUNCTION("""COMPUTED_VALUE"""),0.56)</f>
        <v>0.56</v>
      </c>
      <c r="L1077" s="5" t="str">
        <f>IFERROR(__xludf.DUMMYFUNCTION("""COMPUTED_VALUE"""),"KLH")</f>
        <v>KLH</v>
      </c>
    </row>
    <row r="1078">
      <c r="A1078" s="5" t="str">
        <f>IFERROR(__xludf.DUMMYFUNCTION("""COMPUTED_VALUE"""),"XL1-MKC-011")</f>
        <v>XL1-MKC-011</v>
      </c>
      <c r="B1078" s="3" t="str">
        <f>IFERROR(__xludf.DUMMYFUNCTION("""COMPUTED_VALUE"""),"Máy kéo chuối (Xăng)")</f>
        <v>Máy kéo chuối (Xăng)</v>
      </c>
      <c r="C1078" s="5" t="str">
        <f>IFERROR(__xludf.DUMMYFUNCTION("""COMPUTED_VALUE"""),"XN Chuối LP1")</f>
        <v>XN Chuối LP1</v>
      </c>
      <c r="D1078" s="5" t="str">
        <f>IFERROR(__xludf.DUMMYFUNCTION("""COMPUTED_VALUE"""),"DREAM")</f>
        <v>DREAM</v>
      </c>
      <c r="E1078" s="5" t="str">
        <f>IFERROR(__xludf.DUMMYFUNCTION("""COMPUTED_VALUE"""),"XKC-36")</f>
        <v>XKC-36</v>
      </c>
      <c r="F1078" s="5"/>
      <c r="G1078" s="5" t="str">
        <f>IFERROR(__xludf.DUMMYFUNCTION("""COMPUTED_VALUE"""),"2025")</f>
        <v>2025</v>
      </c>
      <c r="H1078" s="5"/>
      <c r="I1078" s="5"/>
      <c r="J1078" s="5"/>
      <c r="K1078" s="5">
        <f>IFERROR(__xludf.DUMMYFUNCTION("""COMPUTED_VALUE"""),0.56)</f>
        <v>0.56</v>
      </c>
      <c r="L1078" s="5" t="str">
        <f>IFERROR(__xludf.DUMMYFUNCTION("""COMPUTED_VALUE"""),"KLH")</f>
        <v>KLH</v>
      </c>
    </row>
    <row r="1079">
      <c r="A1079" s="5" t="str">
        <f>IFERROR(__xludf.DUMMYFUNCTION("""COMPUTED_VALUE"""),"XL1-MKC-012")</f>
        <v>XL1-MKC-012</v>
      </c>
      <c r="B1079" s="3" t="str">
        <f>IFERROR(__xludf.DUMMYFUNCTION("""COMPUTED_VALUE"""),"Máy kéo chuối (Xăng)")</f>
        <v>Máy kéo chuối (Xăng)</v>
      </c>
      <c r="C1079" s="5" t="str">
        <f>IFERROR(__xludf.DUMMYFUNCTION("""COMPUTED_VALUE"""),"XN Chuối LP1")</f>
        <v>XN Chuối LP1</v>
      </c>
      <c r="D1079" s="5" t="str">
        <f>IFERROR(__xludf.DUMMYFUNCTION("""COMPUTED_VALUE"""),"DREAM")</f>
        <v>DREAM</v>
      </c>
      <c r="E1079" s="5" t="str">
        <f>IFERROR(__xludf.DUMMYFUNCTION("""COMPUTED_VALUE"""),"XKC-52")</f>
        <v>XKC-52</v>
      </c>
      <c r="F1079" s="5"/>
      <c r="G1079" s="5" t="str">
        <f>IFERROR(__xludf.DUMMYFUNCTION("""COMPUTED_VALUE"""),"2025")</f>
        <v>2025</v>
      </c>
      <c r="H1079" s="5"/>
      <c r="I1079" s="5"/>
      <c r="J1079" s="5"/>
      <c r="K1079" s="5">
        <f>IFERROR(__xludf.DUMMYFUNCTION("""COMPUTED_VALUE"""),0.56)</f>
        <v>0.56</v>
      </c>
      <c r="L1079" s="5" t="str">
        <f>IFERROR(__xludf.DUMMYFUNCTION("""COMPUTED_VALUE"""),"KLH")</f>
        <v>KLH</v>
      </c>
    </row>
    <row r="1080">
      <c r="A1080" s="5" t="str">
        <f>IFERROR(__xludf.DUMMYFUNCTION("""COMPUTED_VALUE"""),"XL1-MKC-013")</f>
        <v>XL1-MKC-013</v>
      </c>
      <c r="B1080" s="3" t="str">
        <f>IFERROR(__xludf.DUMMYFUNCTION("""COMPUTED_VALUE"""),"Máy kéo chuối (Xăng)")</f>
        <v>Máy kéo chuối (Xăng)</v>
      </c>
      <c r="C1080" s="5" t="str">
        <f>IFERROR(__xludf.DUMMYFUNCTION("""COMPUTED_VALUE"""),"XN Chuối LP1")</f>
        <v>XN Chuối LP1</v>
      </c>
      <c r="D1080" s="5" t="str">
        <f>IFERROR(__xludf.DUMMYFUNCTION("""COMPUTED_VALUE"""),"DREAM")</f>
        <v>DREAM</v>
      </c>
      <c r="E1080" s="5" t="str">
        <f>IFERROR(__xludf.DUMMYFUNCTION("""COMPUTED_VALUE"""),"XKC-53")</f>
        <v>XKC-53</v>
      </c>
      <c r="F1080" s="5"/>
      <c r="G1080" s="5" t="str">
        <f>IFERROR(__xludf.DUMMYFUNCTION("""COMPUTED_VALUE"""),"2025")</f>
        <v>2025</v>
      </c>
      <c r="H1080" s="5"/>
      <c r="I1080" s="5"/>
      <c r="J1080" s="5"/>
      <c r="K1080" s="5">
        <f>IFERROR(__xludf.DUMMYFUNCTION("""COMPUTED_VALUE"""),0.56)</f>
        <v>0.56</v>
      </c>
      <c r="L1080" s="5" t="str">
        <f>IFERROR(__xludf.DUMMYFUNCTION("""COMPUTED_VALUE"""),"KLH")</f>
        <v>KLH</v>
      </c>
    </row>
    <row r="1081">
      <c r="A1081" s="5" t="str">
        <f>IFERROR(__xludf.DUMMYFUNCTION("""COMPUTED_VALUE"""),"XL1-SPT-001")</f>
        <v>XL1-SPT-001</v>
      </c>
      <c r="B1081" s="3" t="str">
        <f>IFERROR(__xludf.DUMMYFUNCTION("""COMPUTED_VALUE"""),"Súng phun thuốc Hansung")</f>
        <v>Súng phun thuốc Hansung</v>
      </c>
      <c r="C1081" s="5" t="str">
        <f>IFERROR(__xludf.DUMMYFUNCTION("""COMPUTED_VALUE"""),"XN Chuối LP1")</f>
        <v>XN Chuối LP1</v>
      </c>
      <c r="D1081" s="5" t="str">
        <f>IFERROR(__xludf.DUMMYFUNCTION("""COMPUTED_VALUE"""),"HÀN QUỐC")</f>
        <v>HÀN QUỐC</v>
      </c>
      <c r="E1081" s="5" t="str">
        <f>IFERROR(__xludf.DUMMYFUNCTION("""COMPUTED_VALUE"""),"HANSUNG")</f>
        <v>HANSUNG</v>
      </c>
      <c r="F1081" s="5"/>
      <c r="G1081" s="5"/>
      <c r="H1081" s="5"/>
      <c r="I1081" s="5"/>
      <c r="J1081" s="5"/>
      <c r="K1081" s="5">
        <f>IFERROR(__xludf.DUMMYFUNCTION("""COMPUTED_VALUE"""),8.47)</f>
        <v>8.47</v>
      </c>
      <c r="L1081" s="5" t="str">
        <f>IFERROR(__xludf.DUMMYFUNCTION("""COMPUTED_VALUE"""),"KLH")</f>
        <v>KLH</v>
      </c>
    </row>
    <row r="1082">
      <c r="A1082" s="5" t="str">
        <f>IFERROR(__xludf.DUMMYFUNCTION("""COMPUTED_VALUE"""),"XL1-GĐH-001")</f>
        <v>XL1-GĐH-001</v>
      </c>
      <c r="B1082" s="3" t="str">
        <f>IFERROR(__xludf.DUMMYFUNCTION("""COMPUTED_VALUE"""),"Gàu định hình đào mương thoát nước")</f>
        <v>Gàu định hình đào mương thoát nước</v>
      </c>
      <c r="C1082" s="5" t="str">
        <f>IFERROR(__xludf.DUMMYFUNCTION("""COMPUTED_VALUE"""),"XN Chuối LP1")</f>
        <v>XN Chuối LP1</v>
      </c>
      <c r="D1082" s="5" t="str">
        <f>IFERROR(__xludf.DUMMYFUNCTION("""COMPUTED_VALUE"""),"THACO AGRI")</f>
        <v>THACO AGRI</v>
      </c>
      <c r="E1082" s="5"/>
      <c r="F1082" s="5"/>
      <c r="G1082" s="5"/>
      <c r="H1082" s="5" t="str">
        <f>IFERROR(__xludf.DUMMYFUNCTION("""COMPUTED_VALUE"""),"350x200x400")</f>
        <v>350x200x400</v>
      </c>
      <c r="I1082" s="5"/>
      <c r="J1082" s="5"/>
      <c r="K1082" s="5"/>
      <c r="L1082" s="5" t="str">
        <f>IFERROR(__xludf.DUMMYFUNCTION("""COMPUTED_VALUE"""),"KLH")</f>
        <v>KLH</v>
      </c>
    </row>
    <row r="1083">
      <c r="A1083" s="5" t="str">
        <f>IFERROR(__xludf.DUMMYFUNCTION("""COMPUTED_VALUE"""),"XL1-GĐH-002")</f>
        <v>XL1-GĐH-002</v>
      </c>
      <c r="B1083" s="3" t="str">
        <f>IFERROR(__xludf.DUMMYFUNCTION("""COMPUTED_VALUE"""),"Gàu định hình đào mương thoát nước")</f>
        <v>Gàu định hình đào mương thoát nước</v>
      </c>
      <c r="C1083" s="5" t="str">
        <f>IFERROR(__xludf.DUMMYFUNCTION("""COMPUTED_VALUE"""),"XN Chuối LP1")</f>
        <v>XN Chuối LP1</v>
      </c>
      <c r="D1083" s="5" t="str">
        <f>IFERROR(__xludf.DUMMYFUNCTION("""COMPUTED_VALUE"""),"THACO AGRI")</f>
        <v>THACO AGRI</v>
      </c>
      <c r="E1083" s="5"/>
      <c r="F1083" s="5"/>
      <c r="G1083" s="5"/>
      <c r="H1083" s="5" t="str">
        <f>IFERROR(__xludf.DUMMYFUNCTION("""COMPUTED_VALUE"""),"350x200x400")</f>
        <v>350x200x400</v>
      </c>
      <c r="I1083" s="5"/>
      <c r="J1083" s="5"/>
      <c r="K1083" s="5"/>
      <c r="L1083" s="5" t="str">
        <f>IFERROR(__xludf.DUMMYFUNCTION("""COMPUTED_VALUE"""),"KLH")</f>
        <v>KLH</v>
      </c>
    </row>
    <row r="1084">
      <c r="A1084" s="5" t="str">
        <f>IFERROR(__xludf.DUMMYFUNCTION("""COMPUTED_VALUE"""),"XL1-GĐH-003")</f>
        <v>XL1-GĐH-003</v>
      </c>
      <c r="B1084" s="3" t="str">
        <f>IFERROR(__xludf.DUMMYFUNCTION("""COMPUTED_VALUE"""),"Gàu định hình đào mương thoát nước")</f>
        <v>Gàu định hình đào mương thoát nước</v>
      </c>
      <c r="C1084" s="5" t="str">
        <f>IFERROR(__xludf.DUMMYFUNCTION("""COMPUTED_VALUE"""),"XN Chuối LP1")</f>
        <v>XN Chuối LP1</v>
      </c>
      <c r="D1084" s="5" t="str">
        <f>IFERROR(__xludf.DUMMYFUNCTION("""COMPUTED_VALUE"""),"THACO AGRI")</f>
        <v>THACO AGRI</v>
      </c>
      <c r="E1084" s="5"/>
      <c r="F1084" s="5"/>
      <c r="G1084" s="5"/>
      <c r="H1084" s="5" t="str">
        <f>IFERROR(__xludf.DUMMYFUNCTION("""COMPUTED_VALUE"""),"350x200x400")</f>
        <v>350x200x400</v>
      </c>
      <c r="I1084" s="5"/>
      <c r="J1084" s="5"/>
      <c r="K1084" s="5"/>
      <c r="L1084" s="5" t="str">
        <f>IFERROR(__xludf.DUMMYFUNCTION("""COMPUTED_VALUE"""),"KLH")</f>
        <v>KLH</v>
      </c>
    </row>
    <row r="1085">
      <c r="A1085" s="5" t="str">
        <f>IFERROR(__xludf.DUMMYFUNCTION("""COMPUTED_VALUE"""),"XL1-GĐH-004")</f>
        <v>XL1-GĐH-004</v>
      </c>
      <c r="B1085" s="3" t="str">
        <f>IFERROR(__xludf.DUMMYFUNCTION("""COMPUTED_VALUE"""),"Gàu định hình đào mương thoát nước")</f>
        <v>Gàu định hình đào mương thoát nước</v>
      </c>
      <c r="C1085" s="5" t="str">
        <f>IFERROR(__xludf.DUMMYFUNCTION("""COMPUTED_VALUE"""),"XN Chuối LP1")</f>
        <v>XN Chuối LP1</v>
      </c>
      <c r="D1085" s="5" t="str">
        <f>IFERROR(__xludf.DUMMYFUNCTION("""COMPUTED_VALUE"""),"THACO AGRI")</f>
        <v>THACO AGRI</v>
      </c>
      <c r="E1085" s="5"/>
      <c r="F1085" s="5"/>
      <c r="G1085" s="5"/>
      <c r="H1085" s="5" t="str">
        <f>IFERROR(__xludf.DUMMYFUNCTION("""COMPUTED_VALUE"""),"350x200x400")</f>
        <v>350x200x400</v>
      </c>
      <c r="I1085" s="5"/>
      <c r="J1085" s="5"/>
      <c r="K1085" s="5"/>
      <c r="L1085" s="5" t="str">
        <f>IFERROR(__xludf.DUMMYFUNCTION("""COMPUTED_VALUE"""),"KLH")</f>
        <v>KLH</v>
      </c>
    </row>
    <row r="1086">
      <c r="A1086" s="5" t="str">
        <f>IFERROR(__xludf.DUMMYFUNCTION("""COMPUTED_VALUE"""),"XL1-GĐH-005")</f>
        <v>XL1-GĐH-005</v>
      </c>
      <c r="B1086" s="3" t="str">
        <f>IFERROR(__xludf.DUMMYFUNCTION("""COMPUTED_VALUE"""),"Gàu định hình đào mương thoát nước")</f>
        <v>Gàu định hình đào mương thoát nước</v>
      </c>
      <c r="C1086" s="5" t="str">
        <f>IFERROR(__xludf.DUMMYFUNCTION("""COMPUTED_VALUE"""),"XN Chuối LP1")</f>
        <v>XN Chuối LP1</v>
      </c>
      <c r="D1086" s="5" t="str">
        <f>IFERROR(__xludf.DUMMYFUNCTION("""COMPUTED_VALUE"""),"THACO AGRI")</f>
        <v>THACO AGRI</v>
      </c>
      <c r="E1086" s="5"/>
      <c r="F1086" s="5"/>
      <c r="G1086" s="5"/>
      <c r="H1086" s="5" t="str">
        <f>IFERROR(__xludf.DUMMYFUNCTION("""COMPUTED_VALUE"""),"350x200x400")</f>
        <v>350x200x400</v>
      </c>
      <c r="I1086" s="5"/>
      <c r="J1086" s="5"/>
      <c r="K1086" s="5"/>
      <c r="L1086" s="5" t="str">
        <f>IFERROR(__xludf.DUMMYFUNCTION("""COMPUTED_VALUE"""),"KLH")</f>
        <v>KLH</v>
      </c>
    </row>
    <row r="1087">
      <c r="A1087" s="5" t="str">
        <f>IFERROR(__xludf.DUMMYFUNCTION("""COMPUTED_VALUE"""),"XL1-GĐH-006")</f>
        <v>XL1-GĐH-006</v>
      </c>
      <c r="B1087" s="3" t="str">
        <f>IFERROR(__xludf.DUMMYFUNCTION("""COMPUTED_VALUE"""),"Gàu định hình đào mương thoát nước")</f>
        <v>Gàu định hình đào mương thoát nước</v>
      </c>
      <c r="C1087" s="5" t="str">
        <f>IFERROR(__xludf.DUMMYFUNCTION("""COMPUTED_VALUE"""),"XN Chuối LP1")</f>
        <v>XN Chuối LP1</v>
      </c>
      <c r="D1087" s="5" t="str">
        <f>IFERROR(__xludf.DUMMYFUNCTION("""COMPUTED_VALUE"""),"THACO AGRI")</f>
        <v>THACO AGRI</v>
      </c>
      <c r="E1087" s="5"/>
      <c r="F1087" s="5"/>
      <c r="G1087" s="5"/>
      <c r="H1087" s="5" t="str">
        <f>IFERROR(__xludf.DUMMYFUNCTION("""COMPUTED_VALUE"""),"350x200x400")</f>
        <v>350x200x400</v>
      </c>
      <c r="I1087" s="5"/>
      <c r="J1087" s="5"/>
      <c r="K1087" s="5"/>
      <c r="L1087" s="5" t="str">
        <f>IFERROR(__xludf.DUMMYFUNCTION("""COMPUTED_VALUE"""),"KLH")</f>
        <v>KLH</v>
      </c>
    </row>
    <row r="1088">
      <c r="A1088" s="5" t="str">
        <f>IFERROR(__xludf.DUMMYFUNCTION("""COMPUTED_VALUE"""),"XL1-GĐH-007")</f>
        <v>XL1-GĐH-007</v>
      </c>
      <c r="B1088" s="3" t="str">
        <f>IFERROR(__xludf.DUMMYFUNCTION("""COMPUTED_VALUE"""),"Gàu định hình đào mương thoát nước")</f>
        <v>Gàu định hình đào mương thoát nước</v>
      </c>
      <c r="C1088" s="5" t="str">
        <f>IFERROR(__xludf.DUMMYFUNCTION("""COMPUTED_VALUE"""),"XN Chuối LP1")</f>
        <v>XN Chuối LP1</v>
      </c>
      <c r="D1088" s="5" t="str">
        <f>IFERROR(__xludf.DUMMYFUNCTION("""COMPUTED_VALUE"""),"THACO AGRI")</f>
        <v>THACO AGRI</v>
      </c>
      <c r="E1088" s="5"/>
      <c r="F1088" s="5"/>
      <c r="G1088" s="5"/>
      <c r="H1088" s="5" t="str">
        <f>IFERROR(__xludf.DUMMYFUNCTION("""COMPUTED_VALUE"""),"350x200x400")</f>
        <v>350x200x400</v>
      </c>
      <c r="I1088" s="5"/>
      <c r="J1088" s="5"/>
      <c r="K1088" s="5"/>
      <c r="L1088" s="5" t="str">
        <f>IFERROR(__xludf.DUMMYFUNCTION("""COMPUTED_VALUE"""),"KLH")</f>
        <v>KLH</v>
      </c>
    </row>
    <row r="1089">
      <c r="A1089" s="5" t="str">
        <f>IFERROR(__xludf.DUMMYFUNCTION("""COMPUTED_VALUE"""),"XL1-GĐH-008")</f>
        <v>XL1-GĐH-008</v>
      </c>
      <c r="B1089" s="3" t="str">
        <f>IFERROR(__xludf.DUMMYFUNCTION("""COMPUTED_VALUE"""),"Gàu định hình đào mương thoát nước")</f>
        <v>Gàu định hình đào mương thoát nước</v>
      </c>
      <c r="C1089" s="5" t="str">
        <f>IFERROR(__xludf.DUMMYFUNCTION("""COMPUTED_VALUE"""),"XN Chuối LP1")</f>
        <v>XN Chuối LP1</v>
      </c>
      <c r="D1089" s="5" t="str">
        <f>IFERROR(__xludf.DUMMYFUNCTION("""COMPUTED_VALUE"""),"THACO AGRI")</f>
        <v>THACO AGRI</v>
      </c>
      <c r="E1089" s="5"/>
      <c r="F1089" s="5"/>
      <c r="G1089" s="5"/>
      <c r="H1089" s="5" t="str">
        <f>IFERROR(__xludf.DUMMYFUNCTION("""COMPUTED_VALUE"""),"350x200x400")</f>
        <v>350x200x400</v>
      </c>
      <c r="I1089" s="5"/>
      <c r="J1089" s="5"/>
      <c r="K1089" s="5"/>
      <c r="L1089" s="5" t="str">
        <f>IFERROR(__xludf.DUMMYFUNCTION("""COMPUTED_VALUE"""),"KLH")</f>
        <v>KLH</v>
      </c>
    </row>
    <row r="1090">
      <c r="A1090" s="5" t="str">
        <f>IFERROR(__xludf.DUMMYFUNCTION("""COMPUTED_VALUE"""),"XL1-MPT-001")</f>
        <v>XL1-MPT-001</v>
      </c>
      <c r="B1090" s="3" t="str">
        <f>IFERROR(__xludf.DUMMYFUNCTION("""COMPUTED_VALUE"""),"Máy phun thuốc RELOAD 7045")</f>
        <v>Máy phun thuốc RELOAD 7045</v>
      </c>
      <c r="C1090" s="5" t="str">
        <f>IFERROR(__xludf.DUMMYFUNCTION("""COMPUTED_VALUE"""),"XN Chuối LP1")</f>
        <v>XN Chuối LP1</v>
      </c>
      <c r="D1090" s="5" t="str">
        <f>IFERROR(__xludf.DUMMYFUNCTION("""COMPUTED_VALUE"""),"RELOAD")</f>
        <v>RELOAD</v>
      </c>
      <c r="E1090" s="5" t="str">
        <f>IFERROR(__xludf.DUMMYFUNCTION("""COMPUTED_VALUE"""),"7045")</f>
        <v>7045</v>
      </c>
      <c r="F1090" s="5"/>
      <c r="G1090" s="5" t="str">
        <f>IFERROR(__xludf.DUMMYFUNCTION("""COMPUTED_VALUE"""),"2025")</f>
        <v>2025</v>
      </c>
      <c r="H1090" s="5" t="str">
        <f>IFERROR(__xludf.DUMMYFUNCTION("""COMPUTED_VALUE"""),"7 Hp")</f>
        <v>7 Hp</v>
      </c>
      <c r="I1090" s="5" t="str">
        <f>IFERROR(__xludf.DUMMYFUNCTION("""COMPUTED_VALUE"""),"H0058741")</f>
        <v>H0058741</v>
      </c>
      <c r="J1090" s="5"/>
      <c r="K1090" s="5">
        <f>IFERROR(__xludf.DUMMYFUNCTION("""COMPUTED_VALUE"""),1.2)</f>
        <v>1.2</v>
      </c>
      <c r="L1090" s="5" t="str">
        <f>IFERROR(__xludf.DUMMYFUNCTION("""COMPUTED_VALUE"""),"KLH")</f>
        <v>KLH</v>
      </c>
    </row>
    <row r="1091">
      <c r="A1091" s="5" t="str">
        <f>IFERROR(__xludf.DUMMYFUNCTION("""COMPUTED_VALUE"""),"XL1-MPT-002")</f>
        <v>XL1-MPT-002</v>
      </c>
      <c r="B1091" s="3" t="str">
        <f>IFERROR(__xludf.DUMMYFUNCTION("""COMPUTED_VALUE"""),"Máy phun thuốc RELOAD 7045")</f>
        <v>Máy phun thuốc RELOAD 7045</v>
      </c>
      <c r="C1091" s="5" t="str">
        <f>IFERROR(__xludf.DUMMYFUNCTION("""COMPUTED_VALUE"""),"XN Chuối LP1")</f>
        <v>XN Chuối LP1</v>
      </c>
      <c r="D1091" s="5" t="str">
        <f>IFERROR(__xludf.DUMMYFUNCTION("""COMPUTED_VALUE"""),"RELOAD")</f>
        <v>RELOAD</v>
      </c>
      <c r="E1091" s="5" t="str">
        <f>IFERROR(__xludf.DUMMYFUNCTION("""COMPUTED_VALUE"""),"7045")</f>
        <v>7045</v>
      </c>
      <c r="F1091" s="5"/>
      <c r="G1091" s="5" t="str">
        <f>IFERROR(__xludf.DUMMYFUNCTION("""COMPUTED_VALUE"""),"2025")</f>
        <v>2025</v>
      </c>
      <c r="H1091" s="5" t="str">
        <f>IFERROR(__xludf.DUMMYFUNCTION("""COMPUTED_VALUE"""),"7 Hp")</f>
        <v>7 Hp</v>
      </c>
      <c r="I1091" s="5" t="str">
        <f>IFERROR(__xludf.DUMMYFUNCTION("""COMPUTED_VALUE"""),"H0058808")</f>
        <v>H0058808</v>
      </c>
      <c r="J1091" s="5"/>
      <c r="K1091" s="5">
        <f>IFERROR(__xludf.DUMMYFUNCTION("""COMPUTED_VALUE"""),1.2)</f>
        <v>1.2</v>
      </c>
      <c r="L1091" s="5" t="str">
        <f>IFERROR(__xludf.DUMMYFUNCTION("""COMPUTED_VALUE"""),"KLH")</f>
        <v>KLH</v>
      </c>
    </row>
    <row r="1092">
      <c r="A1092" s="5" t="str">
        <f>IFERROR(__xludf.DUMMYFUNCTION("""COMPUTED_VALUE"""),"XL1-MPT-003")</f>
        <v>XL1-MPT-003</v>
      </c>
      <c r="B1092" s="3" t="str">
        <f>IFERROR(__xludf.DUMMYFUNCTION("""COMPUTED_VALUE"""),"Máy phun thuốc RELOAD 7045")</f>
        <v>Máy phun thuốc RELOAD 7045</v>
      </c>
      <c r="C1092" s="5" t="str">
        <f>IFERROR(__xludf.DUMMYFUNCTION("""COMPUTED_VALUE"""),"XN Chuối LP1")</f>
        <v>XN Chuối LP1</v>
      </c>
      <c r="D1092" s="5" t="str">
        <f>IFERROR(__xludf.DUMMYFUNCTION("""COMPUTED_VALUE"""),"RELOAD")</f>
        <v>RELOAD</v>
      </c>
      <c r="E1092" s="5" t="str">
        <f>IFERROR(__xludf.DUMMYFUNCTION("""COMPUTED_VALUE"""),"7045")</f>
        <v>7045</v>
      </c>
      <c r="F1092" s="5"/>
      <c r="G1092" s="5" t="str">
        <f>IFERROR(__xludf.DUMMYFUNCTION("""COMPUTED_VALUE"""),"2025")</f>
        <v>2025</v>
      </c>
      <c r="H1092" s="5" t="str">
        <f>IFERROR(__xludf.DUMMYFUNCTION("""COMPUTED_VALUE"""),"7 Hp")</f>
        <v>7 Hp</v>
      </c>
      <c r="I1092" s="5" t="str">
        <f>IFERROR(__xludf.DUMMYFUNCTION("""COMPUTED_VALUE"""),"H0058778")</f>
        <v>H0058778</v>
      </c>
      <c r="J1092" s="5"/>
      <c r="K1092" s="5">
        <f>IFERROR(__xludf.DUMMYFUNCTION("""COMPUTED_VALUE"""),1.2)</f>
        <v>1.2</v>
      </c>
      <c r="L1092" s="5" t="str">
        <f>IFERROR(__xludf.DUMMYFUNCTION("""COMPUTED_VALUE"""),"KLH")</f>
        <v>KLH</v>
      </c>
    </row>
    <row r="1093">
      <c r="A1093" s="5" t="str">
        <f>IFERROR(__xludf.DUMMYFUNCTION("""COMPUTED_VALUE"""),"XL1-MPT-004")</f>
        <v>XL1-MPT-004</v>
      </c>
      <c r="B1093" s="3" t="str">
        <f>IFERROR(__xludf.DUMMYFUNCTION("""COMPUTED_VALUE"""),"Máy phun thuốc RELOAD 7045")</f>
        <v>Máy phun thuốc RELOAD 7045</v>
      </c>
      <c r="C1093" s="5" t="str">
        <f>IFERROR(__xludf.DUMMYFUNCTION("""COMPUTED_VALUE"""),"XN Chuối LP1")</f>
        <v>XN Chuối LP1</v>
      </c>
      <c r="D1093" s="5" t="str">
        <f>IFERROR(__xludf.DUMMYFUNCTION("""COMPUTED_VALUE"""),"RELOAD")</f>
        <v>RELOAD</v>
      </c>
      <c r="E1093" s="5" t="str">
        <f>IFERROR(__xludf.DUMMYFUNCTION("""COMPUTED_VALUE"""),"7045")</f>
        <v>7045</v>
      </c>
      <c r="F1093" s="5"/>
      <c r="G1093" s="5" t="str">
        <f>IFERROR(__xludf.DUMMYFUNCTION("""COMPUTED_VALUE"""),"2025")</f>
        <v>2025</v>
      </c>
      <c r="H1093" s="5" t="str">
        <f>IFERROR(__xludf.DUMMYFUNCTION("""COMPUTED_VALUE"""),"7 Hp")</f>
        <v>7 Hp</v>
      </c>
      <c r="I1093" s="5" t="str">
        <f>IFERROR(__xludf.DUMMYFUNCTION("""COMPUTED_VALUE"""),"H0058732")</f>
        <v>H0058732</v>
      </c>
      <c r="J1093" s="5"/>
      <c r="K1093" s="5">
        <f>IFERROR(__xludf.DUMMYFUNCTION("""COMPUTED_VALUE"""),1.2)</f>
        <v>1.2</v>
      </c>
      <c r="L1093" s="5" t="str">
        <f>IFERROR(__xludf.DUMMYFUNCTION("""COMPUTED_VALUE"""),"KLH")</f>
        <v>KLH</v>
      </c>
    </row>
    <row r="1094">
      <c r="A1094" s="5" t="str">
        <f>IFERROR(__xludf.DUMMYFUNCTION("""COMPUTED_VALUE"""),"XL1-MBC-001")</f>
        <v>XL1-MBC-001</v>
      </c>
      <c r="B1094" s="3" t="str">
        <f>IFERROR(__xludf.DUMMYFUNCTION("""COMPUTED_VALUE"""),"Máy băm cố định")</f>
        <v>Máy băm cố định</v>
      </c>
      <c r="C1094" s="5" t="str">
        <f>IFERROR(__xludf.DUMMYFUNCTION("""COMPUTED_VALUE"""),"XN Chuối LP1")</f>
        <v>XN Chuối LP1</v>
      </c>
      <c r="D1094" s="5" t="str">
        <f>IFERROR(__xludf.DUMMYFUNCTION("""COMPUTED_VALUE"""),"THACO AGRI")</f>
        <v>THACO AGRI</v>
      </c>
      <c r="E1094" s="5" t="str">
        <f>IFERROR(__xludf.DUMMYFUNCTION("""COMPUTED_VALUE"""),"CK-MB")</f>
        <v>CK-MB</v>
      </c>
      <c r="F1094" s="5"/>
      <c r="G1094" s="5" t="str">
        <f>IFERROR(__xludf.DUMMYFUNCTION("""COMPUTED_VALUE"""),"2025")</f>
        <v>2025</v>
      </c>
      <c r="H1094" s="5"/>
      <c r="I1094" s="5"/>
      <c r="J1094" s="5"/>
      <c r="K1094" s="5"/>
      <c r="L1094" s="5" t="str">
        <f>IFERROR(__xludf.DUMMYFUNCTION("""COMPUTED_VALUE"""),"KLH")</f>
        <v>KLH</v>
      </c>
    </row>
    <row r="1095">
      <c r="A1095" s="5" t="str">
        <f>IFERROR(__xludf.DUMMYFUNCTION("""COMPUTED_VALUE"""),"XL1-MĐR-001")</f>
        <v>XL1-MĐR-001</v>
      </c>
      <c r="B1095" s="3" t="str">
        <f>IFERROR(__xludf.DUMMYFUNCTION("""COMPUTED_VALUE"""),"Máy đào rảnh xích cầm tay")</f>
        <v>Máy đào rảnh xích cầm tay</v>
      </c>
      <c r="C1095" s="5" t="str">
        <f>IFERROR(__xludf.DUMMYFUNCTION("""COMPUTED_VALUE"""),"XN Chuối LP1")</f>
        <v>XN Chuối LP1</v>
      </c>
      <c r="D1095" s="5" t="str">
        <f>IFERROR(__xludf.DUMMYFUNCTION("""COMPUTED_VALUE"""),"TÂY NGUYÊN")</f>
        <v>TÂY NGUYÊN</v>
      </c>
      <c r="E1095" s="5" t="str">
        <f>IFERROR(__xludf.DUMMYFUNCTION("""COMPUTED_VALUE"""),"VIỆT NAM")</f>
        <v>VIỆT NAM</v>
      </c>
      <c r="F1095" s="5">
        <f>IFERROR(__xludf.DUMMYFUNCTION("""COMPUTED_VALUE"""),2024.0)</f>
        <v>2024</v>
      </c>
      <c r="G1095" s="5" t="str">
        <f>IFERROR(__xludf.DUMMYFUNCTION("""COMPUTED_VALUE""")," CG195F")</f>
        <v> CG195F</v>
      </c>
      <c r="H1095" s="5" t="str">
        <f>IFERROR(__xludf.DUMMYFUNCTION("""COMPUTED_VALUE"""),"12HP")</f>
        <v>12HP</v>
      </c>
      <c r="I1095" s="5" t="str">
        <f>IFERROR(__xludf.DUMMYFUNCTION("""COMPUTED_VALUE"""),"210311293")</f>
        <v>210311293</v>
      </c>
      <c r="J1095" s="5"/>
      <c r="K1095" s="5"/>
      <c r="L1095" s="5" t="str">
        <f>IFERROR(__xludf.DUMMYFUNCTION("""COMPUTED_VALUE"""),"KLH")</f>
        <v>KLH</v>
      </c>
    </row>
    <row r="1096">
      <c r="A1096" s="5" t="str">
        <f>IFERROR(__xludf.DUMMYFUNCTION("""COMPUTED_VALUE"""),"Xí nghiệp chuối LP3")</f>
        <v>Xí nghiệp chuối LP3</v>
      </c>
      <c r="B1096" s="3"/>
      <c r="C1096" s="5"/>
      <c r="D1096" s="5"/>
      <c r="E1096" s="5"/>
      <c r="F1096" s="5"/>
      <c r="G1096" s="5"/>
      <c r="H1096" s="5"/>
      <c r="I1096" s="5"/>
      <c r="J1096" s="5"/>
      <c r="K1096" s="5"/>
      <c r="L1096" s="5" t="str">
        <f>IFERROR(__xludf.DUMMYFUNCTION("""COMPUTED_VALUE"""),"KLH")</f>
        <v>KLH</v>
      </c>
    </row>
    <row r="1097">
      <c r="A1097" s="5" t="str">
        <f>IFERROR(__xludf.DUMMYFUNCTION("""COMPUTED_VALUE"""),"XL3-DPC-002")</f>
        <v>XL3-DPC-002</v>
      </c>
      <c r="B1097" s="3" t="str">
        <f>IFERROR(__xludf.DUMMYFUNCTION("""COMPUTED_VALUE"""),"Thiết bị phay cỏ 1.5m")</f>
        <v>Thiết bị phay cỏ 1.5m</v>
      </c>
      <c r="C1097" s="5" t="str">
        <f>IFERROR(__xludf.DUMMYFUNCTION("""COMPUTED_VALUE"""),"XN Chuối LP3")</f>
        <v>XN Chuối LP3</v>
      </c>
      <c r="D1097" s="5" t="str">
        <f>IFERROR(__xludf.DUMMYFUNCTION("""COMPUTED_VALUE"""),"THACO AGRI")</f>
        <v>THACO AGRI</v>
      </c>
      <c r="E1097" s="5"/>
      <c r="F1097" s="5"/>
      <c r="G1097" s="5"/>
      <c r="H1097" s="5" t="str">
        <f>IFERROR(__xludf.DUMMYFUNCTION("""COMPUTED_VALUE"""),"1.5*1.5*0.9m")</f>
        <v>1.5*1.5*0.9m</v>
      </c>
      <c r="I1097" s="5"/>
      <c r="J1097" s="5"/>
      <c r="K1097" s="5">
        <f>IFERROR(__xludf.DUMMYFUNCTION("""COMPUTED_VALUE"""),6.14)</f>
        <v>6.14</v>
      </c>
      <c r="L1097" s="5" t="str">
        <f>IFERROR(__xludf.DUMMYFUNCTION("""COMPUTED_VALUE"""),"KLH")</f>
        <v>KLH</v>
      </c>
    </row>
    <row r="1098">
      <c r="A1098" s="5" t="str">
        <f>IFERROR(__xludf.DUMMYFUNCTION("""COMPUTED_VALUE"""),"XL3-GĐH-001")</f>
        <v>XL3-GĐH-001</v>
      </c>
      <c r="B1098" s="3" t="str">
        <f>IFERROR(__xludf.DUMMYFUNCTION("""COMPUTED_VALUE"""),"Gàu định hình đào mương thoát nước")</f>
        <v>Gàu định hình đào mương thoát nước</v>
      </c>
      <c r="C1098" s="5" t="str">
        <f>IFERROR(__xludf.DUMMYFUNCTION("""COMPUTED_VALUE"""),"XN Chuối LP3")</f>
        <v>XN Chuối LP3</v>
      </c>
      <c r="D1098" s="5" t="str">
        <f>IFERROR(__xludf.DUMMYFUNCTION("""COMPUTED_VALUE"""),"THACO AGRI")</f>
        <v>THACO AGRI</v>
      </c>
      <c r="E1098" s="5"/>
      <c r="F1098" s="5"/>
      <c r="G1098" s="5" t="str">
        <f>IFERROR(__xludf.DUMMYFUNCTION("""COMPUTED_VALUE"""),"2024")</f>
        <v>2024</v>
      </c>
      <c r="H1098" s="5" t="str">
        <f>IFERROR(__xludf.DUMMYFUNCTION("""COMPUTED_VALUE"""),"350x200x400")</f>
        <v>350x200x400</v>
      </c>
      <c r="I1098" s="5"/>
      <c r="J1098" s="5"/>
      <c r="K1098" s="5"/>
      <c r="L1098" s="5" t="str">
        <f>IFERROR(__xludf.DUMMYFUNCTION("""COMPUTED_VALUE"""),"KLH")</f>
        <v>KLH</v>
      </c>
    </row>
    <row r="1099">
      <c r="A1099" s="5" t="str">
        <f>IFERROR(__xludf.DUMMYFUNCTION("""COMPUTED_VALUE"""),"XL3-GĐH-002")</f>
        <v>XL3-GĐH-002</v>
      </c>
      <c r="B1099" s="3" t="str">
        <f>IFERROR(__xludf.DUMMYFUNCTION("""COMPUTED_VALUE"""),"Gàu định hình đào mương thoát nước")</f>
        <v>Gàu định hình đào mương thoát nước</v>
      </c>
      <c r="C1099" s="5" t="str">
        <f>IFERROR(__xludf.DUMMYFUNCTION("""COMPUTED_VALUE"""),"XN Chuối LP3")</f>
        <v>XN Chuối LP3</v>
      </c>
      <c r="D1099" s="5" t="str">
        <f>IFERROR(__xludf.DUMMYFUNCTION("""COMPUTED_VALUE"""),"THACO AGRI")</f>
        <v>THACO AGRI</v>
      </c>
      <c r="E1099" s="5"/>
      <c r="F1099" s="5"/>
      <c r="G1099" s="5" t="str">
        <f>IFERROR(__xludf.DUMMYFUNCTION("""COMPUTED_VALUE"""),"2024")</f>
        <v>2024</v>
      </c>
      <c r="H1099" s="5" t="str">
        <f>IFERROR(__xludf.DUMMYFUNCTION("""COMPUTED_VALUE"""),"500x200x700")</f>
        <v>500x200x700</v>
      </c>
      <c r="I1099" s="5"/>
      <c r="J1099" s="5"/>
      <c r="K1099" s="5"/>
      <c r="L1099" s="5" t="str">
        <f>IFERROR(__xludf.DUMMYFUNCTION("""COMPUTED_VALUE"""),"KLH")</f>
        <v>KLH</v>
      </c>
    </row>
    <row r="1100">
      <c r="A1100" s="5" t="str">
        <f>IFERROR(__xludf.DUMMYFUNCTION("""COMPUTED_VALUE"""),"XL3-GĐH-003")</f>
        <v>XL3-GĐH-003</v>
      </c>
      <c r="B1100" s="3" t="str">
        <f>IFERROR(__xludf.DUMMYFUNCTION("""COMPUTED_VALUE"""),"Gàu định hình đào mương thoát nước")</f>
        <v>Gàu định hình đào mương thoát nước</v>
      </c>
      <c r="C1100" s="5" t="str">
        <f>IFERROR(__xludf.DUMMYFUNCTION("""COMPUTED_VALUE"""),"XN Chuối LP3")</f>
        <v>XN Chuối LP3</v>
      </c>
      <c r="D1100" s="5" t="str">
        <f>IFERROR(__xludf.DUMMYFUNCTION("""COMPUTED_VALUE"""),"THACO AGRI")</f>
        <v>THACO AGRI</v>
      </c>
      <c r="E1100" s="5"/>
      <c r="F1100" s="5"/>
      <c r="G1100" s="5" t="str">
        <f>IFERROR(__xludf.DUMMYFUNCTION("""COMPUTED_VALUE"""),"2024")</f>
        <v>2024</v>
      </c>
      <c r="H1100" s="5" t="str">
        <f>IFERROR(__xludf.DUMMYFUNCTION("""COMPUTED_VALUE"""),"500x200x700")</f>
        <v>500x200x700</v>
      </c>
      <c r="I1100" s="5"/>
      <c r="J1100" s="5"/>
      <c r="K1100" s="5"/>
      <c r="L1100" s="5" t="str">
        <f>IFERROR(__xludf.DUMMYFUNCTION("""COMPUTED_VALUE"""),"KLH")</f>
        <v>KLH</v>
      </c>
    </row>
    <row r="1101">
      <c r="A1101" s="5" t="str">
        <f>IFERROR(__xludf.DUMMYFUNCTION("""COMPUTED_VALUE"""),"XL3-GĐH-004")</f>
        <v>XL3-GĐH-004</v>
      </c>
      <c r="B1101" s="3" t="str">
        <f>IFERROR(__xludf.DUMMYFUNCTION("""COMPUTED_VALUE"""),"Gàu định hình đào mương thoát nước")</f>
        <v>Gàu định hình đào mương thoát nước</v>
      </c>
      <c r="C1101" s="5" t="str">
        <f>IFERROR(__xludf.DUMMYFUNCTION("""COMPUTED_VALUE"""),"XN Chuối LP3")</f>
        <v>XN Chuối LP3</v>
      </c>
      <c r="D1101" s="5" t="str">
        <f>IFERROR(__xludf.DUMMYFUNCTION("""COMPUTED_VALUE"""),"THACO AGRI")</f>
        <v>THACO AGRI</v>
      </c>
      <c r="E1101" s="5"/>
      <c r="F1101" s="5"/>
      <c r="G1101" s="5" t="str">
        <f>IFERROR(__xludf.DUMMYFUNCTION("""COMPUTED_VALUE"""),"2025")</f>
        <v>2025</v>
      </c>
      <c r="H1101" s="5" t="str">
        <f>IFERROR(__xludf.DUMMYFUNCTION("""COMPUTED_VALUE"""),"350*200*407")</f>
        <v>350*200*407</v>
      </c>
      <c r="I1101" s="5"/>
      <c r="J1101" s="5"/>
      <c r="K1101" s="5"/>
      <c r="L1101" s="5" t="str">
        <f>IFERROR(__xludf.DUMMYFUNCTION("""COMPUTED_VALUE"""),"KLH")</f>
        <v>KLH</v>
      </c>
    </row>
    <row r="1102">
      <c r="A1102" s="5" t="str">
        <f>IFERROR(__xludf.DUMMYFUNCTION("""COMPUTED_VALUE"""),"XL3-GĐH-005")</f>
        <v>XL3-GĐH-005</v>
      </c>
      <c r="B1102" s="3" t="str">
        <f>IFERROR(__xludf.DUMMYFUNCTION("""COMPUTED_VALUE"""),"Gàu định hình đào mương thoát nước")</f>
        <v>Gàu định hình đào mương thoát nước</v>
      </c>
      <c r="C1102" s="5" t="str">
        <f>IFERROR(__xludf.DUMMYFUNCTION("""COMPUTED_VALUE"""),"XN Chuối LP3")</f>
        <v>XN Chuối LP3</v>
      </c>
      <c r="D1102" s="5" t="str">
        <f>IFERROR(__xludf.DUMMYFUNCTION("""COMPUTED_VALUE"""),"THACO AGRI")</f>
        <v>THACO AGRI</v>
      </c>
      <c r="E1102" s="5"/>
      <c r="F1102" s="5"/>
      <c r="G1102" s="5" t="str">
        <f>IFERROR(__xludf.DUMMYFUNCTION("""COMPUTED_VALUE"""),"2025")</f>
        <v>2025</v>
      </c>
      <c r="H1102" s="5" t="str">
        <f>IFERROR(__xludf.DUMMYFUNCTION("""COMPUTED_VALUE"""),"350*200*407")</f>
        <v>350*200*407</v>
      </c>
      <c r="I1102" s="5"/>
      <c r="J1102" s="5"/>
      <c r="K1102" s="5"/>
      <c r="L1102" s="5" t="str">
        <f>IFERROR(__xludf.DUMMYFUNCTION("""COMPUTED_VALUE"""),"KLH")</f>
        <v>KLH</v>
      </c>
    </row>
    <row r="1103">
      <c r="A1103" s="5" t="str">
        <f>IFERROR(__xludf.DUMMYFUNCTION("""COMPUTED_VALUE"""),"XL3-GĐH-006")</f>
        <v>XL3-GĐH-006</v>
      </c>
      <c r="B1103" s="3" t="str">
        <f>IFERROR(__xludf.DUMMYFUNCTION("""COMPUTED_VALUE"""),"Gàu định hình đào mương thoát nước")</f>
        <v>Gàu định hình đào mương thoát nước</v>
      </c>
      <c r="C1103" s="5" t="str">
        <f>IFERROR(__xludf.DUMMYFUNCTION("""COMPUTED_VALUE"""),"XN Chuối LP3")</f>
        <v>XN Chuối LP3</v>
      </c>
      <c r="D1103" s="5" t="str">
        <f>IFERROR(__xludf.DUMMYFUNCTION("""COMPUTED_VALUE"""),"THACO AGRI")</f>
        <v>THACO AGRI</v>
      </c>
      <c r="E1103" s="5"/>
      <c r="F1103" s="5"/>
      <c r="G1103" s="5" t="str">
        <f>IFERROR(__xludf.DUMMYFUNCTION("""COMPUTED_VALUE"""),"2025")</f>
        <v>2025</v>
      </c>
      <c r="H1103" s="5" t="str">
        <f>IFERROR(__xludf.DUMMYFUNCTION("""COMPUTED_VALUE"""),"350*200*407")</f>
        <v>350*200*407</v>
      </c>
      <c r="I1103" s="5"/>
      <c r="J1103" s="5"/>
      <c r="K1103" s="5"/>
      <c r="L1103" s="5" t="str">
        <f>IFERROR(__xludf.DUMMYFUNCTION("""COMPUTED_VALUE"""),"KLH")</f>
        <v>KLH</v>
      </c>
    </row>
    <row r="1104">
      <c r="A1104" s="5" t="str">
        <f>IFERROR(__xludf.DUMMYFUNCTION("""COMPUTED_VALUE"""),"XL3-RMC-001")</f>
        <v>XL3-RMC-001</v>
      </c>
      <c r="B1104" s="3" t="str">
        <f>IFERROR(__xludf.DUMMYFUNCTION("""COMPUTED_VALUE"""),"Rơ mooc thu hoạch")</f>
        <v>Rơ mooc thu hoạch</v>
      </c>
      <c r="C1104" s="5" t="str">
        <f>IFERROR(__xludf.DUMMYFUNCTION("""COMPUTED_VALUE"""),"XN Chuối LP3")</f>
        <v>XN Chuối LP3</v>
      </c>
      <c r="D1104" s="5" t="str">
        <f>IFERROR(__xludf.DUMMYFUNCTION("""COMPUTED_VALUE"""),"THACO AGRI")</f>
        <v>THACO AGRI</v>
      </c>
      <c r="E1104" s="5"/>
      <c r="F1104" s="5"/>
      <c r="G1104" s="5"/>
      <c r="H1104" s="5"/>
      <c r="I1104" s="5"/>
      <c r="J1104" s="5"/>
      <c r="K1104" s="5"/>
      <c r="L1104" s="5" t="str">
        <f>IFERROR(__xludf.DUMMYFUNCTION("""COMPUTED_VALUE"""),"KLH")</f>
        <v>KLH</v>
      </c>
    </row>
    <row r="1105">
      <c r="A1105" s="5" t="str">
        <f>IFERROR(__xludf.DUMMYFUNCTION("""COMPUTED_VALUE"""),"XL3-RMC-002")</f>
        <v>XL3-RMC-002</v>
      </c>
      <c r="B1105" s="3" t="str">
        <f>IFERROR(__xludf.DUMMYFUNCTION("""COMPUTED_VALUE"""),"Rơ mooc thu hoạch")</f>
        <v>Rơ mooc thu hoạch</v>
      </c>
      <c r="C1105" s="5" t="str">
        <f>IFERROR(__xludf.DUMMYFUNCTION("""COMPUTED_VALUE"""),"XN Chuối LP3")</f>
        <v>XN Chuối LP3</v>
      </c>
      <c r="D1105" s="5" t="str">
        <f>IFERROR(__xludf.DUMMYFUNCTION("""COMPUTED_VALUE"""),"THACO AGRI")</f>
        <v>THACO AGRI</v>
      </c>
      <c r="E1105" s="5"/>
      <c r="F1105" s="5"/>
      <c r="G1105" s="5"/>
      <c r="H1105" s="5"/>
      <c r="I1105" s="5"/>
      <c r="J1105" s="5"/>
      <c r="K1105" s="5"/>
      <c r="L1105" s="5" t="str">
        <f>IFERROR(__xludf.DUMMYFUNCTION("""COMPUTED_VALUE"""),"KLH")</f>
        <v>KLH</v>
      </c>
    </row>
    <row r="1106">
      <c r="A1106" s="5" t="str">
        <f>IFERROR(__xludf.DUMMYFUNCTION("""COMPUTED_VALUE"""),"XL3-RMC-003")</f>
        <v>XL3-RMC-003</v>
      </c>
      <c r="B1106" s="3" t="str">
        <f>IFERROR(__xludf.DUMMYFUNCTION("""COMPUTED_VALUE"""),"Rơ mooc thu hoạch")</f>
        <v>Rơ mooc thu hoạch</v>
      </c>
      <c r="C1106" s="5" t="str">
        <f>IFERROR(__xludf.DUMMYFUNCTION("""COMPUTED_VALUE"""),"XN Chuối LP3")</f>
        <v>XN Chuối LP3</v>
      </c>
      <c r="D1106" s="5" t="str">
        <f>IFERROR(__xludf.DUMMYFUNCTION("""COMPUTED_VALUE"""),"THACO AGRI")</f>
        <v>THACO AGRI</v>
      </c>
      <c r="E1106" s="5"/>
      <c r="F1106" s="5"/>
      <c r="G1106" s="5"/>
      <c r="H1106" s="5"/>
      <c r="I1106" s="5"/>
      <c r="J1106" s="5"/>
      <c r="K1106" s="5"/>
      <c r="L1106" s="5" t="str">
        <f>IFERROR(__xludf.DUMMYFUNCTION("""COMPUTED_VALUE"""),"KLH")</f>
        <v>KLH</v>
      </c>
    </row>
    <row r="1107">
      <c r="A1107" s="5" t="str">
        <f>IFERROR(__xludf.DUMMYFUNCTION("""COMPUTED_VALUE"""),"XL3-RMC-004")</f>
        <v>XL3-RMC-004</v>
      </c>
      <c r="B1107" s="3" t="str">
        <f>IFERROR(__xludf.DUMMYFUNCTION("""COMPUTED_VALUE"""),"Rơ mooc thu hoạch")</f>
        <v>Rơ mooc thu hoạch</v>
      </c>
      <c r="C1107" s="5" t="str">
        <f>IFERROR(__xludf.DUMMYFUNCTION("""COMPUTED_VALUE"""),"XN Chuối LP3")</f>
        <v>XN Chuối LP3</v>
      </c>
      <c r="D1107" s="5" t="str">
        <f>IFERROR(__xludf.DUMMYFUNCTION("""COMPUTED_VALUE"""),"THACO AGRI")</f>
        <v>THACO AGRI</v>
      </c>
      <c r="E1107" s="5"/>
      <c r="F1107" s="5"/>
      <c r="G1107" s="5"/>
      <c r="H1107" s="5"/>
      <c r="I1107" s="5"/>
      <c r="J1107" s="5"/>
      <c r="K1107" s="5"/>
      <c r="L1107" s="5" t="str">
        <f>IFERROR(__xludf.DUMMYFUNCTION("""COMPUTED_VALUE"""),"KLH")</f>
        <v>KLH</v>
      </c>
    </row>
    <row r="1108">
      <c r="A1108" s="5" t="str">
        <f>IFERROR(__xludf.DUMMYFUNCTION("""COMPUTED_VALUE"""),"XL3-RMC-005")</f>
        <v>XL3-RMC-005</v>
      </c>
      <c r="B1108" s="3" t="str">
        <f>IFERROR(__xludf.DUMMYFUNCTION("""COMPUTED_VALUE"""),"Rơ mooc thu hoạch")</f>
        <v>Rơ mooc thu hoạch</v>
      </c>
      <c r="C1108" s="5" t="str">
        <f>IFERROR(__xludf.DUMMYFUNCTION("""COMPUTED_VALUE"""),"XN Chuối LP3")</f>
        <v>XN Chuối LP3</v>
      </c>
      <c r="D1108" s="5" t="str">
        <f>IFERROR(__xludf.DUMMYFUNCTION("""COMPUTED_VALUE"""),"THACO AGRI")</f>
        <v>THACO AGRI</v>
      </c>
      <c r="E1108" s="5"/>
      <c r="F1108" s="5"/>
      <c r="G1108" s="5"/>
      <c r="H1108" s="5"/>
      <c r="I1108" s="5" t="str">
        <f>IFERROR(__xludf.DUMMYFUNCTION("""COMPUTED_VALUE"""),"44 buồng")</f>
        <v>44 buồng</v>
      </c>
      <c r="J1108" s="5"/>
      <c r="K1108" s="5"/>
      <c r="L1108" s="5" t="str">
        <f>IFERROR(__xludf.DUMMYFUNCTION("""COMPUTED_VALUE"""),"KLH")</f>
        <v>KLH</v>
      </c>
    </row>
    <row r="1109">
      <c r="A1109" s="5" t="str">
        <f>IFERROR(__xludf.DUMMYFUNCTION("""COMPUTED_VALUE"""),"XL3-RMC-006")</f>
        <v>XL3-RMC-006</v>
      </c>
      <c r="B1109" s="3" t="str">
        <f>IFERROR(__xludf.DUMMYFUNCTION("""COMPUTED_VALUE"""),"Rơ mooc thu hoạch")</f>
        <v>Rơ mooc thu hoạch</v>
      </c>
      <c r="C1109" s="5" t="str">
        <f>IFERROR(__xludf.DUMMYFUNCTION("""COMPUTED_VALUE"""),"XN Chuối LP3")</f>
        <v>XN Chuối LP3</v>
      </c>
      <c r="D1109" s="5" t="str">
        <f>IFERROR(__xludf.DUMMYFUNCTION("""COMPUTED_VALUE"""),"THACO AGRI")</f>
        <v>THACO AGRI</v>
      </c>
      <c r="E1109" s="5"/>
      <c r="F1109" s="5"/>
      <c r="G1109" s="5"/>
      <c r="H1109" s="5"/>
      <c r="I1109" s="5" t="str">
        <f>IFERROR(__xludf.DUMMYFUNCTION("""COMPUTED_VALUE"""),"44 buồng")</f>
        <v>44 buồng</v>
      </c>
      <c r="J1109" s="5"/>
      <c r="K1109" s="5"/>
      <c r="L1109" s="5" t="str">
        <f>IFERROR(__xludf.DUMMYFUNCTION("""COMPUTED_VALUE"""),"KLH")</f>
        <v>KLH</v>
      </c>
    </row>
    <row r="1110">
      <c r="A1110" s="5" t="str">
        <f>IFERROR(__xludf.DUMMYFUNCTION("""COMPUTED_VALUE"""),"XL3-RMĐ-001")</f>
        <v>XL3-RMĐ-001</v>
      </c>
      <c r="B1110" s="3" t="str">
        <f>IFERROR(__xludf.DUMMYFUNCTION("""COMPUTED_VALUE"""),"Rơ mooc vận chuyển M.Đào 03")</f>
        <v>Rơ mooc vận chuyển M.Đào 03</v>
      </c>
      <c r="C1110" s="5" t="str">
        <f>IFERROR(__xludf.DUMMYFUNCTION("""COMPUTED_VALUE"""),"XN Chuối LP3")</f>
        <v>XN Chuối LP3</v>
      </c>
      <c r="D1110" s="5" t="str">
        <f>IFERROR(__xludf.DUMMYFUNCTION("""COMPUTED_VALUE"""),"THACO AGRI")</f>
        <v>THACO AGRI</v>
      </c>
      <c r="E1110" s="5"/>
      <c r="F1110" s="5"/>
      <c r="G1110" s="5"/>
      <c r="H1110" s="5"/>
      <c r="I1110" s="5"/>
      <c r="J1110" s="5"/>
      <c r="K1110" s="5"/>
      <c r="L1110" s="5" t="str">
        <f>IFERROR(__xludf.DUMMYFUNCTION("""COMPUTED_VALUE"""),"KLH")</f>
        <v>KLH</v>
      </c>
    </row>
    <row r="1111">
      <c r="A1111" s="5" t="str">
        <f>IFERROR(__xludf.DUMMYFUNCTION("""COMPUTED_VALUE"""),"XL3-MCL-001")</f>
        <v>XL3-MCL-001</v>
      </c>
      <c r="B1111" s="3" t="str">
        <f>IFERROR(__xludf.DUMMYFUNCTION("""COMPUTED_VALUE"""),"Rơ mooc clethon")</f>
        <v>Rơ mooc clethon</v>
      </c>
      <c r="C1111" s="5" t="str">
        <f>IFERROR(__xludf.DUMMYFUNCTION("""COMPUTED_VALUE"""),"XN Chuối LP3")</f>
        <v>XN Chuối LP3</v>
      </c>
      <c r="D1111" s="5" t="str">
        <f>IFERROR(__xludf.DUMMYFUNCTION("""COMPUTED_VALUE"""),"THACO AGRI")</f>
        <v>THACO AGRI</v>
      </c>
      <c r="E1111" s="5" t="str">
        <f>IFERROR(__xludf.DUMMYFUNCTION("""COMPUTED_VALUE"""),"CK-MCL")</f>
        <v>CK-MCL</v>
      </c>
      <c r="F1111" s="5"/>
      <c r="G1111" s="5"/>
      <c r="H1111" s="5"/>
      <c r="I1111" s="5" t="str">
        <f>IFERROR(__xludf.DUMMYFUNCTION("""COMPUTED_VALUE"""),"5,4x1,8x0,9")</f>
        <v>5,4x1,8x0,9</v>
      </c>
      <c r="J1111" s="5"/>
      <c r="K1111" s="5"/>
      <c r="L1111" s="5" t="str">
        <f>IFERROR(__xludf.DUMMYFUNCTION("""COMPUTED_VALUE"""),"KLH")</f>
        <v>KLH</v>
      </c>
    </row>
    <row r="1112">
      <c r="A1112" s="5" t="str">
        <f>IFERROR(__xludf.DUMMYFUNCTION("""COMPUTED_VALUE"""),"XL3-MCL-002")</f>
        <v>XL3-MCL-002</v>
      </c>
      <c r="B1112" s="3" t="str">
        <f>IFERROR(__xludf.DUMMYFUNCTION("""COMPUTED_VALUE"""),"Rơ mooc clethon")</f>
        <v>Rơ mooc clethon</v>
      </c>
      <c r="C1112" s="5" t="str">
        <f>IFERROR(__xludf.DUMMYFUNCTION("""COMPUTED_VALUE"""),"XN Chuối LP3")</f>
        <v>XN Chuối LP3</v>
      </c>
      <c r="D1112" s="5" t="str">
        <f>IFERROR(__xludf.DUMMYFUNCTION("""COMPUTED_VALUE"""),"THACO AGRI")</f>
        <v>THACO AGRI</v>
      </c>
      <c r="E1112" s="5" t="str">
        <f>IFERROR(__xludf.DUMMYFUNCTION("""COMPUTED_VALUE"""),"CK-MCL")</f>
        <v>CK-MCL</v>
      </c>
      <c r="F1112" s="5"/>
      <c r="G1112" s="5"/>
      <c r="H1112" s="5"/>
      <c r="I1112" s="5"/>
      <c r="J1112" s="5"/>
      <c r="K1112" s="5"/>
      <c r="L1112" s="5" t="str">
        <f>IFERROR(__xludf.DUMMYFUNCTION("""COMPUTED_VALUE"""),"KLH")</f>
        <v>KLH</v>
      </c>
    </row>
    <row r="1113">
      <c r="A1113" s="5" t="str">
        <f>IFERROR(__xludf.DUMMYFUNCTION("""COMPUTED_VALUE"""),"XL3-MCL-003")</f>
        <v>XL3-MCL-003</v>
      </c>
      <c r="B1113" s="3" t="str">
        <f>IFERROR(__xludf.DUMMYFUNCTION("""COMPUTED_VALUE"""),"Rơ mooc clethon")</f>
        <v>Rơ mooc clethon</v>
      </c>
      <c r="C1113" s="5" t="str">
        <f>IFERROR(__xludf.DUMMYFUNCTION("""COMPUTED_VALUE"""),"XN Chuối LP3")</f>
        <v>XN Chuối LP3</v>
      </c>
      <c r="D1113" s="5" t="str">
        <f>IFERROR(__xludf.DUMMYFUNCTION("""COMPUTED_VALUE"""),"THACO AGRI")</f>
        <v>THACO AGRI</v>
      </c>
      <c r="E1113" s="5" t="str">
        <f>IFERROR(__xludf.DUMMYFUNCTION("""COMPUTED_VALUE"""),"CK-MCL")</f>
        <v>CK-MCL</v>
      </c>
      <c r="F1113" s="5"/>
      <c r="G1113" s="5"/>
      <c r="H1113" s="5"/>
      <c r="I1113" s="5"/>
      <c r="J1113" s="5"/>
      <c r="K1113" s="5"/>
      <c r="L1113" s="5" t="str">
        <f>IFERROR(__xludf.DUMMYFUNCTION("""COMPUTED_VALUE"""),"KLH")</f>
        <v>KLH</v>
      </c>
    </row>
    <row r="1114">
      <c r="A1114" s="5" t="str">
        <f>IFERROR(__xludf.DUMMYFUNCTION("""COMPUTED_VALUE"""),"XL3-MCL-004")</f>
        <v>XL3-MCL-004</v>
      </c>
      <c r="B1114" s="3" t="str">
        <f>IFERROR(__xludf.DUMMYFUNCTION("""COMPUTED_VALUE"""),"Rơ mooc clethon")</f>
        <v>Rơ mooc clethon</v>
      </c>
      <c r="C1114" s="5" t="str">
        <f>IFERROR(__xludf.DUMMYFUNCTION("""COMPUTED_VALUE"""),"XN Chuối LP3")</f>
        <v>XN Chuối LP3</v>
      </c>
      <c r="D1114" s="5" t="str">
        <f>IFERROR(__xludf.DUMMYFUNCTION("""COMPUTED_VALUE"""),"THACO AGRI")</f>
        <v>THACO AGRI</v>
      </c>
      <c r="E1114" s="5" t="str">
        <f>IFERROR(__xludf.DUMMYFUNCTION("""COMPUTED_VALUE"""),"CK-MCL")</f>
        <v>CK-MCL</v>
      </c>
      <c r="F1114" s="5"/>
      <c r="G1114" s="5"/>
      <c r="H1114" s="5"/>
      <c r="I1114" s="5"/>
      <c r="J1114" s="5"/>
      <c r="K1114" s="5"/>
      <c r="L1114" s="5" t="str">
        <f>IFERROR(__xludf.DUMMYFUNCTION("""COMPUTED_VALUE"""),"KLH")</f>
        <v>KLH</v>
      </c>
    </row>
    <row r="1115">
      <c r="A1115" s="5" t="str">
        <f>IFERROR(__xludf.DUMMYFUNCTION("""COMPUTED_VALUE"""),"XL3-SPT-001")</f>
        <v>XL3-SPT-001</v>
      </c>
      <c r="B1115" s="3" t="str">
        <f>IFERROR(__xludf.DUMMYFUNCTION("""COMPUTED_VALUE"""),"Súng phun thuốc Hansung")</f>
        <v>Súng phun thuốc Hansung</v>
      </c>
      <c r="C1115" s="5" t="str">
        <f>IFERROR(__xludf.DUMMYFUNCTION("""COMPUTED_VALUE"""),"XN Chuối LP3")</f>
        <v>XN Chuối LP3</v>
      </c>
      <c r="D1115" s="5" t="str">
        <f>IFERROR(__xludf.DUMMYFUNCTION("""COMPUTED_VALUE"""),"HÀN QUỐC")</f>
        <v>HÀN QUỐC</v>
      </c>
      <c r="E1115" s="5" t="str">
        <f>IFERROR(__xludf.DUMMYFUNCTION("""COMPUTED_VALUE"""),"HANSUNG")</f>
        <v>HANSUNG</v>
      </c>
      <c r="F1115" s="5"/>
      <c r="G1115" s="5"/>
      <c r="H1115" s="5"/>
      <c r="I1115" s="5" t="str">
        <f>IFERROR(__xludf.DUMMYFUNCTION("""COMPUTED_VALUE"""),"HS128-NS305")</f>
        <v>HS128-NS305</v>
      </c>
      <c r="J1115" s="5"/>
      <c r="K1115" s="5">
        <f>IFERROR(__xludf.DUMMYFUNCTION("""COMPUTED_VALUE"""),8.47)</f>
        <v>8.47</v>
      </c>
      <c r="L1115" s="5" t="str">
        <f>IFERROR(__xludf.DUMMYFUNCTION("""COMPUTED_VALUE"""),"KLH")</f>
        <v>KLH</v>
      </c>
    </row>
    <row r="1116">
      <c r="A1116" s="5" t="str">
        <f>IFERROR(__xludf.DUMMYFUNCTION("""COMPUTED_VALUE"""),"XL3-SPT-002")</f>
        <v>XL3-SPT-002</v>
      </c>
      <c r="B1116" s="3" t="str">
        <f>IFERROR(__xludf.DUMMYFUNCTION("""COMPUTED_VALUE"""),"Súng phun thuốc Hansung")</f>
        <v>Súng phun thuốc Hansung</v>
      </c>
      <c r="C1116" s="5" t="str">
        <f>IFERROR(__xludf.DUMMYFUNCTION("""COMPUTED_VALUE"""),"XN Chuối LP3")</f>
        <v>XN Chuối LP3</v>
      </c>
      <c r="D1116" s="5" t="str">
        <f>IFERROR(__xludf.DUMMYFUNCTION("""COMPUTED_VALUE"""),"HÀN QUỐC")</f>
        <v>HÀN QUỐC</v>
      </c>
      <c r="E1116" s="5" t="str">
        <f>IFERROR(__xludf.DUMMYFUNCTION("""COMPUTED_VALUE"""),"HANSUNG")</f>
        <v>HANSUNG</v>
      </c>
      <c r="F1116" s="5"/>
      <c r="G1116" s="5"/>
      <c r="H1116" s="5"/>
      <c r="I1116" s="5" t="str">
        <f>IFERROR(__xludf.DUMMYFUNCTION("""COMPUTED_VALUE"""),"HS128-DP343")</f>
        <v>HS128-DP343</v>
      </c>
      <c r="J1116" s="5"/>
      <c r="K1116" s="5">
        <f>IFERROR(__xludf.DUMMYFUNCTION("""COMPUTED_VALUE"""),8.47)</f>
        <v>8.47</v>
      </c>
      <c r="L1116" s="5" t="str">
        <f>IFERROR(__xludf.DUMMYFUNCTION("""COMPUTED_VALUE"""),"KLH")</f>
        <v>KLH</v>
      </c>
    </row>
    <row r="1117">
      <c r="A1117" s="5" t="str">
        <f>IFERROR(__xludf.DUMMYFUNCTION("""COMPUTED_VALUE"""),"XL3-RMG-001")</f>
        <v>XL3-RMG-001</v>
      </c>
      <c r="B1117" s="3" t="str">
        <f>IFERROR(__xludf.DUMMYFUNCTION("""COMPUTED_VALUE"""),"Rơ mooc chở giống")</f>
        <v>Rơ mooc chở giống</v>
      </c>
      <c r="C1117" s="5" t="str">
        <f>IFERROR(__xludf.DUMMYFUNCTION("""COMPUTED_VALUE"""),"XN Chuối LP3")</f>
        <v>XN Chuối LP3</v>
      </c>
      <c r="D1117" s="5" t="str">
        <f>IFERROR(__xludf.DUMMYFUNCTION("""COMPUTED_VALUE"""),"THACO AGRI")</f>
        <v>THACO AGRI</v>
      </c>
      <c r="E1117" s="5"/>
      <c r="F1117" s="5"/>
      <c r="G1117" s="5"/>
      <c r="H1117" s="5" t="str">
        <f>IFERROR(__xludf.DUMMYFUNCTION("""COMPUTED_VALUE"""),"6.8*2.*2.2m")</f>
        <v>6.8*2.*2.2m</v>
      </c>
      <c r="I1117" s="5" t="str">
        <f>IFERROR(__xludf.DUMMYFUNCTION("""COMPUTED_VALUE"""),"Chở giống")</f>
        <v>Chở giống</v>
      </c>
      <c r="J1117" s="5"/>
      <c r="K1117" s="5"/>
      <c r="L1117" s="5" t="str">
        <f>IFERROR(__xludf.DUMMYFUNCTION("""COMPUTED_VALUE"""),"KLH")</f>
        <v>KLH</v>
      </c>
    </row>
    <row r="1118">
      <c r="A1118" s="5" t="str">
        <f>IFERROR(__xludf.DUMMYFUNCTION("""COMPUTED_VALUE"""),"XL3-RMB-001")</f>
        <v>XL3-RMB-001</v>
      </c>
      <c r="B1118" s="3" t="str">
        <f>IFERROR(__xludf.DUMMYFUNCTION("""COMPUTED_VALUE"""),"Rơ mooc thùng ben")</f>
        <v>Rơ mooc thùng ben</v>
      </c>
      <c r="C1118" s="5" t="str">
        <f>IFERROR(__xludf.DUMMYFUNCTION("""COMPUTED_VALUE"""),"XN Chuối LP3")</f>
        <v>XN Chuối LP3</v>
      </c>
      <c r="D1118" s="5" t="str">
        <f>IFERROR(__xludf.DUMMYFUNCTION("""COMPUTED_VALUE"""),"THACO AGRI")</f>
        <v>THACO AGRI</v>
      </c>
      <c r="E1118" s="5"/>
      <c r="F1118" s="5"/>
      <c r="G1118" s="5"/>
      <c r="H1118" s="5"/>
      <c r="I1118" s="5" t="str">
        <f>IFERROR(__xludf.DUMMYFUNCTION("""COMPUTED_VALUE"""),"thùng ben 2m3")</f>
        <v>thùng ben 2m3</v>
      </c>
      <c r="J1118" s="5"/>
      <c r="K1118" s="5"/>
      <c r="L1118" s="5" t="str">
        <f>IFERROR(__xludf.DUMMYFUNCTION("""COMPUTED_VALUE"""),"KLH")</f>
        <v>KLH</v>
      </c>
    </row>
    <row r="1119">
      <c r="A1119" s="5" t="str">
        <f>IFERROR(__xludf.DUMMYFUNCTION("""COMPUTED_VALUE"""),"XL3-RMR-001")</f>
        <v>XL3-RMR-001</v>
      </c>
      <c r="B1119" s="3" t="str">
        <f>IFERROR(__xludf.DUMMYFUNCTION("""COMPUTED_VALUE"""),"Rơ mooc thùng ben rải phân hữu cơ")</f>
        <v>Rơ mooc thùng ben rải phân hữu cơ</v>
      </c>
      <c r="C1119" s="5" t="str">
        <f>IFERROR(__xludf.DUMMYFUNCTION("""COMPUTED_VALUE"""),"XN Chuối LP3")</f>
        <v>XN Chuối LP3</v>
      </c>
      <c r="D1119" s="5" t="str">
        <f>IFERROR(__xludf.DUMMYFUNCTION("""COMPUTED_VALUE"""),"THACO AGRI")</f>
        <v>THACO AGRI</v>
      </c>
      <c r="E1119" s="5"/>
      <c r="F1119" s="5"/>
      <c r="G1119" s="5"/>
      <c r="H1119" s="5" t="str">
        <f>IFERROR(__xludf.DUMMYFUNCTION("""COMPUTED_VALUE"""),"4.5**1.5m")</f>
        <v>4.5**1.5m</v>
      </c>
      <c r="I1119" s="5" t="str">
        <f>IFERROR(__xludf.DUMMYFUNCTION("""COMPUTED_VALUE"""),"Rải phân bò")</f>
        <v>Rải phân bò</v>
      </c>
      <c r="J1119" s="5"/>
      <c r="K1119" s="5"/>
      <c r="L1119" s="5" t="str">
        <f>IFERROR(__xludf.DUMMYFUNCTION("""COMPUTED_VALUE"""),"KLH")</f>
        <v>KLH</v>
      </c>
    </row>
    <row r="1120">
      <c r="A1120" s="5" t="str">
        <f>IFERROR(__xludf.DUMMYFUNCTION("""COMPUTED_VALUE"""),"XL3-MXM-001")</f>
        <v>XL3-MXM-001</v>
      </c>
      <c r="B1120" s="3" t="str">
        <f>IFERROR(__xludf.DUMMYFUNCTION("""COMPUTED_VALUE"""),"Rơ mooc gắn sau xe máy ")</f>
        <v>Rơ mooc gắn sau xe máy </v>
      </c>
      <c r="C1120" s="5" t="str">
        <f>IFERROR(__xludf.DUMMYFUNCTION("""COMPUTED_VALUE"""),"XN Chuối LP3")</f>
        <v>XN Chuối LP3</v>
      </c>
      <c r="D1120" s="5" t="str">
        <f>IFERROR(__xludf.DUMMYFUNCTION("""COMPUTED_VALUE"""),"THACO AGRI")</f>
        <v>THACO AGRI</v>
      </c>
      <c r="E1120" s="5"/>
      <c r="F1120" s="5"/>
      <c r="G1120" s="5"/>
      <c r="H1120" s="5" t="str">
        <f>IFERROR(__xludf.DUMMYFUNCTION("""COMPUTED_VALUE"""),"DxRxC: 3m*1.6m*1.2m")</f>
        <v>DxRxC: 3m*1.6m*1.2m</v>
      </c>
      <c r="I1120" s="5"/>
      <c r="J1120" s="5"/>
      <c r="K1120" s="5"/>
      <c r="L1120" s="5" t="str">
        <f>IFERROR(__xludf.DUMMYFUNCTION("""COMPUTED_VALUE"""),"KLH")</f>
        <v>KLH</v>
      </c>
    </row>
    <row r="1121">
      <c r="A1121" s="5" t="str">
        <f>IFERROR(__xludf.DUMMYFUNCTION("""COMPUTED_VALUE"""),"XL3-MXM-002")</f>
        <v>XL3-MXM-002</v>
      </c>
      <c r="B1121" s="3" t="str">
        <f>IFERROR(__xludf.DUMMYFUNCTION("""COMPUTED_VALUE"""),"Rơ mooc gắn sau xe máy ")</f>
        <v>Rơ mooc gắn sau xe máy </v>
      </c>
      <c r="C1121" s="5" t="str">
        <f>IFERROR(__xludf.DUMMYFUNCTION("""COMPUTED_VALUE"""),"XN Chuối LP3")</f>
        <v>XN Chuối LP3</v>
      </c>
      <c r="D1121" s="5" t="str">
        <f>IFERROR(__xludf.DUMMYFUNCTION("""COMPUTED_VALUE"""),"THACO AGRI")</f>
        <v>THACO AGRI</v>
      </c>
      <c r="E1121" s="5"/>
      <c r="F1121" s="5"/>
      <c r="G1121" s="5"/>
      <c r="H1121" s="5" t="str">
        <f>IFERROR(__xludf.DUMMYFUNCTION("""COMPUTED_VALUE"""),"DxRxC: 3m*1.6m*1.2m")</f>
        <v>DxRxC: 3m*1.6m*1.2m</v>
      </c>
      <c r="I1121" s="5"/>
      <c r="J1121" s="5"/>
      <c r="K1121" s="5"/>
      <c r="L1121" s="5" t="str">
        <f>IFERROR(__xludf.DUMMYFUNCTION("""COMPUTED_VALUE"""),"KLH")</f>
        <v>KLH</v>
      </c>
    </row>
    <row r="1122">
      <c r="A1122" s="5" t="str">
        <f>IFERROR(__xludf.DUMMYFUNCTION("""COMPUTED_VALUE"""),"XL3-MXM-003")</f>
        <v>XL3-MXM-003</v>
      </c>
      <c r="B1122" s="3" t="str">
        <f>IFERROR(__xludf.DUMMYFUNCTION("""COMPUTED_VALUE"""),"Rơ mooc gắn sau xe máy ")</f>
        <v>Rơ mooc gắn sau xe máy </v>
      </c>
      <c r="C1122" s="5" t="str">
        <f>IFERROR(__xludf.DUMMYFUNCTION("""COMPUTED_VALUE"""),"XN Chuối LP3")</f>
        <v>XN Chuối LP3</v>
      </c>
      <c r="D1122" s="5" t="str">
        <f>IFERROR(__xludf.DUMMYFUNCTION("""COMPUTED_VALUE"""),"THACO AGRI")</f>
        <v>THACO AGRI</v>
      </c>
      <c r="E1122" s="5"/>
      <c r="F1122" s="5"/>
      <c r="G1122" s="5"/>
      <c r="H1122" s="5" t="str">
        <f>IFERROR(__xludf.DUMMYFUNCTION("""COMPUTED_VALUE"""),"DxRxC: 3m*1.6m*1.2m")</f>
        <v>DxRxC: 3m*1.6m*1.2m</v>
      </c>
      <c r="I1122" s="5"/>
      <c r="J1122" s="5"/>
      <c r="K1122" s="5"/>
      <c r="L1122" s="5" t="str">
        <f>IFERROR(__xludf.DUMMYFUNCTION("""COMPUTED_VALUE"""),"KLH")</f>
        <v>KLH</v>
      </c>
    </row>
    <row r="1123">
      <c r="A1123" s="5" t="str">
        <f>IFERROR(__xludf.DUMMYFUNCTION("""COMPUTED_VALUE"""),"XL3-MXM-004")</f>
        <v>XL3-MXM-004</v>
      </c>
      <c r="B1123" s="3" t="str">
        <f>IFERROR(__xludf.DUMMYFUNCTION("""COMPUTED_VALUE"""),"Rơ mooc gắn sau xe máy ")</f>
        <v>Rơ mooc gắn sau xe máy </v>
      </c>
      <c r="C1123" s="5" t="str">
        <f>IFERROR(__xludf.DUMMYFUNCTION("""COMPUTED_VALUE"""),"XN Chuối LP3")</f>
        <v>XN Chuối LP3</v>
      </c>
      <c r="D1123" s="5" t="str">
        <f>IFERROR(__xludf.DUMMYFUNCTION("""COMPUTED_VALUE"""),"THACO AGRI")</f>
        <v>THACO AGRI</v>
      </c>
      <c r="E1123" s="5"/>
      <c r="F1123" s="5"/>
      <c r="G1123" s="5"/>
      <c r="H1123" s="5" t="str">
        <f>IFERROR(__xludf.DUMMYFUNCTION("""COMPUTED_VALUE"""),"DxRxC: 3m*1.6m*1.2m")</f>
        <v>DxRxC: 3m*1.6m*1.2m</v>
      </c>
      <c r="I1123" s="5"/>
      <c r="J1123" s="5"/>
      <c r="K1123" s="5"/>
      <c r="L1123" s="5" t="str">
        <f>IFERROR(__xludf.DUMMYFUNCTION("""COMPUTED_VALUE"""),"KLH")</f>
        <v>KLH</v>
      </c>
    </row>
    <row r="1124">
      <c r="A1124" s="5" t="str">
        <f>IFERROR(__xludf.DUMMYFUNCTION("""COMPUTED_VALUE"""),"XL3-MXM-005")</f>
        <v>XL3-MXM-005</v>
      </c>
      <c r="B1124" s="3" t="str">
        <f>IFERROR(__xludf.DUMMYFUNCTION("""COMPUTED_VALUE"""),"Rơ mooc gắn sau xe máy ")</f>
        <v>Rơ mooc gắn sau xe máy </v>
      </c>
      <c r="C1124" s="5" t="str">
        <f>IFERROR(__xludf.DUMMYFUNCTION("""COMPUTED_VALUE"""),"XN Chuối LP3")</f>
        <v>XN Chuối LP3</v>
      </c>
      <c r="D1124" s="5" t="str">
        <f>IFERROR(__xludf.DUMMYFUNCTION("""COMPUTED_VALUE"""),"THACO AGRI")</f>
        <v>THACO AGRI</v>
      </c>
      <c r="E1124" s="5"/>
      <c r="F1124" s="5"/>
      <c r="G1124" s="5"/>
      <c r="H1124" s="5" t="str">
        <f>IFERROR(__xludf.DUMMYFUNCTION("""COMPUTED_VALUE"""),"DxRxC: 3m*1.6m*1.2m")</f>
        <v>DxRxC: 3m*1.6m*1.2m</v>
      </c>
      <c r="I1124" s="5"/>
      <c r="J1124" s="5"/>
      <c r="K1124" s="5"/>
      <c r="L1124" s="5" t="str">
        <f>IFERROR(__xludf.DUMMYFUNCTION("""COMPUTED_VALUE"""),"KLH")</f>
        <v>KLH</v>
      </c>
    </row>
    <row r="1125">
      <c r="A1125" s="5" t="str">
        <f>IFERROR(__xludf.DUMMYFUNCTION("""COMPUTED_VALUE"""),"XL3-MXM-006")</f>
        <v>XL3-MXM-006</v>
      </c>
      <c r="B1125" s="3" t="str">
        <f>IFERROR(__xludf.DUMMYFUNCTION("""COMPUTED_VALUE"""),"Rơ mooc gắn sau xe máy ")</f>
        <v>Rơ mooc gắn sau xe máy </v>
      </c>
      <c r="C1125" s="5" t="str">
        <f>IFERROR(__xludf.DUMMYFUNCTION("""COMPUTED_VALUE"""),"XN Chuối LP3")</f>
        <v>XN Chuối LP3</v>
      </c>
      <c r="D1125" s="5" t="str">
        <f>IFERROR(__xludf.DUMMYFUNCTION("""COMPUTED_VALUE"""),"THACO AGRI")</f>
        <v>THACO AGRI</v>
      </c>
      <c r="E1125" s="5"/>
      <c r="F1125" s="5"/>
      <c r="G1125" s="5"/>
      <c r="H1125" s="5" t="str">
        <f>IFERROR(__xludf.DUMMYFUNCTION("""COMPUTED_VALUE"""),"DxRxC: 3m*1.6m*1.2m")</f>
        <v>DxRxC: 3m*1.6m*1.2m</v>
      </c>
      <c r="I1125" s="5"/>
      <c r="J1125" s="5"/>
      <c r="K1125" s="5"/>
      <c r="L1125" s="5" t="str">
        <f>IFERROR(__xludf.DUMMYFUNCTION("""COMPUTED_VALUE"""),"KLH")</f>
        <v>KLH</v>
      </c>
    </row>
    <row r="1126">
      <c r="A1126" s="5" t="str">
        <f>IFERROR(__xludf.DUMMYFUNCTION("""COMPUTED_VALUE"""),"XL3-MXM-007")</f>
        <v>XL3-MXM-007</v>
      </c>
      <c r="B1126" s="3" t="str">
        <f>IFERROR(__xludf.DUMMYFUNCTION("""COMPUTED_VALUE"""),"Rơ mooc gắn sau xe máy ")</f>
        <v>Rơ mooc gắn sau xe máy </v>
      </c>
      <c r="C1126" s="5" t="str">
        <f>IFERROR(__xludf.DUMMYFUNCTION("""COMPUTED_VALUE"""),"XN Chuối LP3")</f>
        <v>XN Chuối LP3</v>
      </c>
      <c r="D1126" s="5" t="str">
        <f>IFERROR(__xludf.DUMMYFUNCTION("""COMPUTED_VALUE"""),"THACO AGRI")</f>
        <v>THACO AGRI</v>
      </c>
      <c r="E1126" s="5"/>
      <c r="F1126" s="5"/>
      <c r="G1126" s="5"/>
      <c r="H1126" s="5" t="str">
        <f>IFERROR(__xludf.DUMMYFUNCTION("""COMPUTED_VALUE"""),"DxRxC: 3m*1.6m*1.2m")</f>
        <v>DxRxC: 3m*1.6m*1.2m</v>
      </c>
      <c r="I1126" s="5"/>
      <c r="J1126" s="5"/>
      <c r="K1126" s="5"/>
      <c r="L1126" s="5" t="str">
        <f>IFERROR(__xludf.DUMMYFUNCTION("""COMPUTED_VALUE"""),"KLH")</f>
        <v>KLH</v>
      </c>
    </row>
    <row r="1127">
      <c r="A1127" s="5" t="str">
        <f>IFERROR(__xludf.DUMMYFUNCTION("""COMPUTED_VALUE"""),"XL3-MXM-008")</f>
        <v>XL3-MXM-008</v>
      </c>
      <c r="B1127" s="3" t="str">
        <f>IFERROR(__xludf.DUMMYFUNCTION("""COMPUTED_VALUE"""),"Rơ mooc gắn sau xe máy ")</f>
        <v>Rơ mooc gắn sau xe máy </v>
      </c>
      <c r="C1127" s="5" t="str">
        <f>IFERROR(__xludf.DUMMYFUNCTION("""COMPUTED_VALUE"""),"XN Chuối LP3")</f>
        <v>XN Chuối LP3</v>
      </c>
      <c r="D1127" s="5" t="str">
        <f>IFERROR(__xludf.DUMMYFUNCTION("""COMPUTED_VALUE"""),"THACO AGRI")</f>
        <v>THACO AGRI</v>
      </c>
      <c r="E1127" s="5"/>
      <c r="F1127" s="5"/>
      <c r="G1127" s="5"/>
      <c r="H1127" s="5" t="str">
        <f>IFERROR(__xludf.DUMMYFUNCTION("""COMPUTED_VALUE"""),"DxRxC: 3m*1.6m*1.2m")</f>
        <v>DxRxC: 3m*1.6m*1.2m</v>
      </c>
      <c r="I1127" s="5"/>
      <c r="J1127" s="5"/>
      <c r="K1127" s="5"/>
      <c r="L1127" s="5" t="str">
        <f>IFERROR(__xludf.DUMMYFUNCTION("""COMPUTED_VALUE"""),"KLH")</f>
        <v>KLH</v>
      </c>
    </row>
    <row r="1128">
      <c r="A1128" s="5" t="str">
        <f>IFERROR(__xludf.DUMMYFUNCTION("""COMPUTED_VALUE"""),"XL3-GMĐ-001")</f>
        <v>XL3-GMĐ-001</v>
      </c>
      <c r="B1128" s="3" t="str">
        <f>IFERROR(__xludf.DUMMYFUNCTION("""COMPUTED_VALUE"""),"Gàu máy đào 05 gia công quy cách 1M")</f>
        <v>Gàu máy đào 05 gia công quy cách 1M</v>
      </c>
      <c r="C1128" s="5" t="str">
        <f>IFERROR(__xludf.DUMMYFUNCTION("""COMPUTED_VALUE"""),"XN Chuối LP3")</f>
        <v>XN Chuối LP3</v>
      </c>
      <c r="D1128" s="5" t="str">
        <f>IFERROR(__xludf.DUMMYFUNCTION("""COMPUTED_VALUE"""),"THACO AGRI")</f>
        <v>THACO AGRI</v>
      </c>
      <c r="E1128" s="5"/>
      <c r="F1128" s="5"/>
      <c r="G1128" s="5"/>
      <c r="H1128" s="5" t="str">
        <f>IFERROR(__xludf.DUMMYFUNCTION("""COMPUTED_VALUE"""),"DxRxC: 1.5m*0.7m*1.3m")</f>
        <v>DxRxC: 1.5m*0.7m*1.3m</v>
      </c>
      <c r="I1128" s="5"/>
      <c r="J1128" s="5"/>
      <c r="K1128" s="5"/>
      <c r="L1128" s="5" t="str">
        <f>IFERROR(__xludf.DUMMYFUNCTION("""COMPUTED_VALUE"""),"KLH")</f>
        <v>KLH</v>
      </c>
    </row>
    <row r="1129">
      <c r="A1129" s="5" t="str">
        <f>IFERROR(__xludf.DUMMYFUNCTION("""COMPUTED_VALUE"""),"XL3-MKC-001")</f>
        <v>XL3-MKC-001</v>
      </c>
      <c r="B1129" s="3" t="str">
        <f>IFERROR(__xludf.DUMMYFUNCTION("""COMPUTED_VALUE"""),"Máy kéo chuối (Xăng)")</f>
        <v>Máy kéo chuối (Xăng)</v>
      </c>
      <c r="C1129" s="5" t="str">
        <f>IFERROR(__xludf.DUMMYFUNCTION("""COMPUTED_VALUE"""),"XN Chuối LP3")</f>
        <v>XN Chuối LP3</v>
      </c>
      <c r="D1129" s="5" t="str">
        <f>IFERROR(__xludf.DUMMYFUNCTION("""COMPUTED_VALUE"""),"DREAM")</f>
        <v>DREAM</v>
      </c>
      <c r="E1129" s="5" t="str">
        <f>IFERROR(__xludf.DUMMYFUNCTION("""COMPUTED_VALUE"""),"CGH-MKC-DREAM")</f>
        <v>CGH-MKC-DREAM</v>
      </c>
      <c r="F1129" s="5"/>
      <c r="G1129" s="5" t="str">
        <f>IFERROR(__xludf.DUMMYFUNCTION("""COMPUTED_VALUE"""),"2024")</f>
        <v>2024</v>
      </c>
      <c r="H1129" s="5" t="str">
        <f>IFERROR(__xludf.DUMMYFUNCTION("""COMPUTED_VALUE"""),"125CC-9.25HP")</f>
        <v>125CC-9.25HP</v>
      </c>
      <c r="I1129" s="5"/>
      <c r="J1129" s="5"/>
      <c r="K1129" s="5">
        <f>IFERROR(__xludf.DUMMYFUNCTION("""COMPUTED_VALUE"""),0.56)</f>
        <v>0.56</v>
      </c>
      <c r="L1129" s="5" t="str">
        <f>IFERROR(__xludf.DUMMYFUNCTION("""COMPUTED_VALUE"""),"KLH")</f>
        <v>KLH</v>
      </c>
    </row>
    <row r="1130">
      <c r="A1130" s="5" t="str">
        <f>IFERROR(__xludf.DUMMYFUNCTION("""COMPUTED_VALUE"""),"XL3-MKC-002")</f>
        <v>XL3-MKC-002</v>
      </c>
      <c r="B1130" s="3" t="str">
        <f>IFERROR(__xludf.DUMMYFUNCTION("""COMPUTED_VALUE"""),"Máy kéo chuối (Xăng)")</f>
        <v>Máy kéo chuối (Xăng)</v>
      </c>
      <c r="C1130" s="5" t="str">
        <f>IFERROR(__xludf.DUMMYFUNCTION("""COMPUTED_VALUE"""),"XN Chuối LP3")</f>
        <v>XN Chuối LP3</v>
      </c>
      <c r="D1130" s="5" t="str">
        <f>IFERROR(__xludf.DUMMYFUNCTION("""COMPUTED_VALUE"""),"DREAM")</f>
        <v>DREAM</v>
      </c>
      <c r="E1130" s="5" t="str">
        <f>IFERROR(__xludf.DUMMYFUNCTION("""COMPUTED_VALUE"""),"CGH-MKC-DREAM")</f>
        <v>CGH-MKC-DREAM</v>
      </c>
      <c r="F1130" s="5"/>
      <c r="G1130" s="5" t="str">
        <f>IFERROR(__xludf.DUMMYFUNCTION("""COMPUTED_VALUE"""),"2024")</f>
        <v>2024</v>
      </c>
      <c r="H1130" s="5" t="str">
        <f>IFERROR(__xludf.DUMMYFUNCTION("""COMPUTED_VALUE"""),"125CC-9.25HP")</f>
        <v>125CC-9.25HP</v>
      </c>
      <c r="I1130" s="5" t="str">
        <f>IFERROR(__xludf.DUMMYFUNCTION("""COMPUTED_VALUE"""),"11F06426")</f>
        <v>11F06426</v>
      </c>
      <c r="J1130" s="5"/>
      <c r="K1130" s="5">
        <f>IFERROR(__xludf.DUMMYFUNCTION("""COMPUTED_VALUE"""),0.56)</f>
        <v>0.56</v>
      </c>
      <c r="L1130" s="5" t="str">
        <f>IFERROR(__xludf.DUMMYFUNCTION("""COMPUTED_VALUE"""),"KLH")</f>
        <v>KLH</v>
      </c>
    </row>
    <row r="1131">
      <c r="A1131" s="5" t="str">
        <f>IFERROR(__xludf.DUMMYFUNCTION("""COMPUTED_VALUE"""),"XL3-MKC-003")</f>
        <v>XL3-MKC-003</v>
      </c>
      <c r="B1131" s="3" t="str">
        <f>IFERROR(__xludf.DUMMYFUNCTION("""COMPUTED_VALUE"""),"Máy kéo chuối (Xăng)")</f>
        <v>Máy kéo chuối (Xăng)</v>
      </c>
      <c r="C1131" s="5" t="str">
        <f>IFERROR(__xludf.DUMMYFUNCTION("""COMPUTED_VALUE"""),"XN Chuối LP3")</f>
        <v>XN Chuối LP3</v>
      </c>
      <c r="D1131" s="5" t="str">
        <f>IFERROR(__xludf.DUMMYFUNCTION("""COMPUTED_VALUE"""),"DREAM")</f>
        <v>DREAM</v>
      </c>
      <c r="E1131" s="5" t="str">
        <f>IFERROR(__xludf.DUMMYFUNCTION("""COMPUTED_VALUE"""),"CGH-MKC-DREAM")</f>
        <v>CGH-MKC-DREAM</v>
      </c>
      <c r="F1131" s="5"/>
      <c r="G1131" s="5" t="str">
        <f>IFERROR(__xludf.DUMMYFUNCTION("""COMPUTED_VALUE"""),"2024")</f>
        <v>2024</v>
      </c>
      <c r="H1131" s="5" t="str">
        <f>IFERROR(__xludf.DUMMYFUNCTION("""COMPUTED_VALUE"""),"125CC-9.25HP")</f>
        <v>125CC-9.25HP</v>
      </c>
      <c r="I1131" s="5" t="str">
        <f>IFERROR(__xludf.DUMMYFUNCTION("""COMPUTED_VALUE"""),"13F05237")</f>
        <v>13F05237</v>
      </c>
      <c r="J1131" s="5"/>
      <c r="K1131" s="5">
        <f>IFERROR(__xludf.DUMMYFUNCTION("""COMPUTED_VALUE"""),0.56)</f>
        <v>0.56</v>
      </c>
      <c r="L1131" s="5" t="str">
        <f>IFERROR(__xludf.DUMMYFUNCTION("""COMPUTED_VALUE"""),"KLH")</f>
        <v>KLH</v>
      </c>
    </row>
    <row r="1132">
      <c r="A1132" s="5" t="str">
        <f>IFERROR(__xludf.DUMMYFUNCTION("""COMPUTED_VALUE"""),"XL3-MKC-004")</f>
        <v>XL3-MKC-004</v>
      </c>
      <c r="B1132" s="3" t="str">
        <f>IFERROR(__xludf.DUMMYFUNCTION("""COMPUTED_VALUE"""),"Máy kéo chuối (Xăng)")</f>
        <v>Máy kéo chuối (Xăng)</v>
      </c>
      <c r="C1132" s="5" t="str">
        <f>IFERROR(__xludf.DUMMYFUNCTION("""COMPUTED_VALUE"""),"XN Chuối LP3")</f>
        <v>XN Chuối LP3</v>
      </c>
      <c r="D1132" s="5" t="str">
        <f>IFERROR(__xludf.DUMMYFUNCTION("""COMPUTED_VALUE"""),"DREAM")</f>
        <v>DREAM</v>
      </c>
      <c r="E1132" s="5" t="str">
        <f>IFERROR(__xludf.DUMMYFUNCTION("""COMPUTED_VALUE"""),"CGH-MKC-DREAM")</f>
        <v>CGH-MKC-DREAM</v>
      </c>
      <c r="F1132" s="5"/>
      <c r="G1132" s="5" t="str">
        <f>IFERROR(__xludf.DUMMYFUNCTION("""COMPUTED_VALUE"""),"2024")</f>
        <v>2024</v>
      </c>
      <c r="H1132" s="5" t="str">
        <f>IFERROR(__xludf.DUMMYFUNCTION("""COMPUTED_VALUE"""),"125CC-9.25HP")</f>
        <v>125CC-9.25HP</v>
      </c>
      <c r="I1132" s="5" t="str">
        <f>IFERROR(__xludf.DUMMYFUNCTION("""COMPUTED_VALUE"""),"2D01842")</f>
        <v>2D01842</v>
      </c>
      <c r="J1132" s="5"/>
      <c r="K1132" s="5">
        <f>IFERROR(__xludf.DUMMYFUNCTION("""COMPUTED_VALUE"""),0.56)</f>
        <v>0.56</v>
      </c>
      <c r="L1132" s="5" t="str">
        <f>IFERROR(__xludf.DUMMYFUNCTION("""COMPUTED_VALUE"""),"KLH")</f>
        <v>KLH</v>
      </c>
    </row>
    <row r="1133">
      <c r="A1133" s="5" t="str">
        <f>IFERROR(__xludf.DUMMYFUNCTION("""COMPUTED_VALUE"""),"XL3-MKC-005")</f>
        <v>XL3-MKC-005</v>
      </c>
      <c r="B1133" s="3" t="str">
        <f>IFERROR(__xludf.DUMMYFUNCTION("""COMPUTED_VALUE"""),"Máy kéo chuối (Xăng)")</f>
        <v>Máy kéo chuối (Xăng)</v>
      </c>
      <c r="C1133" s="5" t="str">
        <f>IFERROR(__xludf.DUMMYFUNCTION("""COMPUTED_VALUE"""),"XN Chuối LP3")</f>
        <v>XN Chuối LP3</v>
      </c>
      <c r="D1133" s="5" t="str">
        <f>IFERROR(__xludf.DUMMYFUNCTION("""COMPUTED_VALUE"""),"DREAM")</f>
        <v>DREAM</v>
      </c>
      <c r="E1133" s="5" t="str">
        <f>IFERROR(__xludf.DUMMYFUNCTION("""COMPUTED_VALUE"""),"CGH-MKC-DREAM")</f>
        <v>CGH-MKC-DREAM</v>
      </c>
      <c r="F1133" s="5"/>
      <c r="G1133" s="5" t="str">
        <f>IFERROR(__xludf.DUMMYFUNCTION("""COMPUTED_VALUE"""),"2024")</f>
        <v>2024</v>
      </c>
      <c r="H1133" s="5" t="str">
        <f>IFERROR(__xludf.DUMMYFUNCTION("""COMPUTED_VALUE"""),"125cc")</f>
        <v>125cc</v>
      </c>
      <c r="I1133" s="5" t="str">
        <f>IFERROR(__xludf.DUMMYFUNCTION("""COMPUTED_VALUE"""),"lốc cũ: 12A07675
lốc mới 14.03.2025: 09G72821")</f>
        <v>lốc cũ: 12A07675
lốc mới 14.03.2025: 09G72821</v>
      </c>
      <c r="J1133" s="5"/>
      <c r="K1133" s="5">
        <f>IFERROR(__xludf.DUMMYFUNCTION("""COMPUTED_VALUE"""),0.56)</f>
        <v>0.56</v>
      </c>
      <c r="L1133" s="5" t="str">
        <f>IFERROR(__xludf.DUMMYFUNCTION("""COMPUTED_VALUE"""),"KLH")</f>
        <v>KLH</v>
      </c>
    </row>
    <row r="1134">
      <c r="A1134" s="5" t="str">
        <f>IFERROR(__xludf.DUMMYFUNCTION("""COMPUTED_VALUE"""),"XL3-MKC-006")</f>
        <v>XL3-MKC-006</v>
      </c>
      <c r="B1134" s="3" t="str">
        <f>IFERROR(__xludf.DUMMYFUNCTION("""COMPUTED_VALUE"""),"Máy kéo chuối (Xăng)")</f>
        <v>Máy kéo chuối (Xăng)</v>
      </c>
      <c r="C1134" s="5" t="str">
        <f>IFERROR(__xludf.DUMMYFUNCTION("""COMPUTED_VALUE"""),"XN Chuối LP3")</f>
        <v>XN Chuối LP3</v>
      </c>
      <c r="D1134" s="5" t="str">
        <f>IFERROR(__xludf.DUMMYFUNCTION("""COMPUTED_VALUE"""),"DREAM")</f>
        <v>DREAM</v>
      </c>
      <c r="E1134" s="5" t="str">
        <f>IFERROR(__xludf.DUMMYFUNCTION("""COMPUTED_VALUE"""),"CGH-MKC-DREAM")</f>
        <v>CGH-MKC-DREAM</v>
      </c>
      <c r="F1134" s="5"/>
      <c r="G1134" s="5" t="str">
        <f>IFERROR(__xludf.DUMMYFUNCTION("""COMPUTED_VALUE"""),"2025")</f>
        <v>2025</v>
      </c>
      <c r="H1134" s="5" t="str">
        <f>IFERROR(__xludf.DUMMYFUNCTION("""COMPUTED_VALUE"""),"125cc")</f>
        <v>125cc</v>
      </c>
      <c r="I1134" s="5" t="str">
        <f>IFERROR(__xludf.DUMMYFUNCTION("""COMPUTED_VALUE"""),"12K06124")</f>
        <v>12K06124</v>
      </c>
      <c r="J1134" s="5"/>
      <c r="K1134" s="5">
        <f>IFERROR(__xludf.DUMMYFUNCTION("""COMPUTED_VALUE"""),0.56)</f>
        <v>0.56</v>
      </c>
      <c r="L1134" s="5" t="str">
        <f>IFERROR(__xludf.DUMMYFUNCTION("""COMPUTED_VALUE"""),"KLH")</f>
        <v>KLH</v>
      </c>
    </row>
    <row r="1135">
      <c r="A1135" s="5" t="str">
        <f>IFERROR(__xludf.DUMMYFUNCTION("""COMPUTED_VALUE"""),"XL3-MKC-007")</f>
        <v>XL3-MKC-007</v>
      </c>
      <c r="B1135" s="3" t="str">
        <f>IFERROR(__xludf.DUMMYFUNCTION("""COMPUTED_VALUE"""),"Máy kéo chuối (Xăng)")</f>
        <v>Máy kéo chuối (Xăng)</v>
      </c>
      <c r="C1135" s="5" t="str">
        <f>IFERROR(__xludf.DUMMYFUNCTION("""COMPUTED_VALUE"""),"XN Chuối LP3")</f>
        <v>XN Chuối LP3</v>
      </c>
      <c r="D1135" s="5" t="str">
        <f>IFERROR(__xludf.DUMMYFUNCTION("""COMPUTED_VALUE"""),"DREAM")</f>
        <v>DREAM</v>
      </c>
      <c r="E1135" s="5" t="str">
        <f>IFERROR(__xludf.DUMMYFUNCTION("""COMPUTED_VALUE"""),"CGH-MKC-DREAM")</f>
        <v>CGH-MKC-DREAM</v>
      </c>
      <c r="F1135" s="5"/>
      <c r="G1135" s="5" t="str">
        <f>IFERROR(__xludf.DUMMYFUNCTION("""COMPUTED_VALUE"""),"2025")</f>
        <v>2025</v>
      </c>
      <c r="H1135" s="5" t="str">
        <f>IFERROR(__xludf.DUMMYFUNCTION("""COMPUTED_VALUE"""),"125cc")</f>
        <v>125cc</v>
      </c>
      <c r="I1135" s="5"/>
      <c r="J1135" s="5"/>
      <c r="K1135" s="5">
        <f>IFERROR(__xludf.DUMMYFUNCTION("""COMPUTED_VALUE"""),0.56)</f>
        <v>0.56</v>
      </c>
      <c r="L1135" s="5" t="str">
        <f>IFERROR(__xludf.DUMMYFUNCTION("""COMPUTED_VALUE"""),"KLH")</f>
        <v>KLH</v>
      </c>
    </row>
    <row r="1136">
      <c r="A1136" s="5" t="str">
        <f>IFERROR(__xludf.DUMMYFUNCTION("""COMPUTED_VALUE"""),"XL3-MKC-008")</f>
        <v>XL3-MKC-008</v>
      </c>
      <c r="B1136" s="3" t="str">
        <f>IFERROR(__xludf.DUMMYFUNCTION("""COMPUTED_VALUE"""),"Máy kéo chuối (Xăng)")</f>
        <v>Máy kéo chuối (Xăng)</v>
      </c>
      <c r="C1136" s="5" t="str">
        <f>IFERROR(__xludf.DUMMYFUNCTION("""COMPUTED_VALUE"""),"XN Chuối LP3")</f>
        <v>XN Chuối LP3</v>
      </c>
      <c r="D1136" s="5" t="str">
        <f>IFERROR(__xludf.DUMMYFUNCTION("""COMPUTED_VALUE"""),"DREAM")</f>
        <v>DREAM</v>
      </c>
      <c r="E1136" s="5" t="str">
        <f>IFERROR(__xludf.DUMMYFUNCTION("""COMPUTED_VALUE"""),"CGH-MKC-DREAM")</f>
        <v>CGH-MKC-DREAM</v>
      </c>
      <c r="F1136" s="5"/>
      <c r="G1136" s="5" t="str">
        <f>IFERROR(__xludf.DUMMYFUNCTION("""COMPUTED_VALUE"""),"2025")</f>
        <v>2025</v>
      </c>
      <c r="H1136" s="5" t="str">
        <f>IFERROR(__xludf.DUMMYFUNCTION("""COMPUTED_VALUE"""),"125cc")</f>
        <v>125cc</v>
      </c>
      <c r="I1136" s="5"/>
      <c r="J1136" s="5"/>
      <c r="K1136" s="5">
        <f>IFERROR(__xludf.DUMMYFUNCTION("""COMPUTED_VALUE"""),0.56)</f>
        <v>0.56</v>
      </c>
      <c r="L1136" s="5" t="str">
        <f>IFERROR(__xludf.DUMMYFUNCTION("""COMPUTED_VALUE"""),"KLH")</f>
        <v>KLH</v>
      </c>
    </row>
    <row r="1137">
      <c r="A1137" s="5" t="str">
        <f>IFERROR(__xludf.DUMMYFUNCTION("""COMPUTED_VALUE"""),"XL3-MKC-009")</f>
        <v>XL3-MKC-009</v>
      </c>
      <c r="B1137" s="3" t="str">
        <f>IFERROR(__xludf.DUMMYFUNCTION("""COMPUTED_VALUE"""),"Máy kéo chuối (Xăng)")</f>
        <v>Máy kéo chuối (Xăng)</v>
      </c>
      <c r="C1137" s="5" t="str">
        <f>IFERROR(__xludf.DUMMYFUNCTION("""COMPUTED_VALUE"""),"XN Chuối LP3")</f>
        <v>XN Chuối LP3</v>
      </c>
      <c r="D1137" s="5" t="str">
        <f>IFERROR(__xludf.DUMMYFUNCTION("""COMPUTED_VALUE"""),"DREAM")</f>
        <v>DREAM</v>
      </c>
      <c r="E1137" s="5" t="str">
        <f>IFERROR(__xludf.DUMMYFUNCTION("""COMPUTED_VALUE"""),"XKC-14")</f>
        <v>XKC-14</v>
      </c>
      <c r="F1137" s="5"/>
      <c r="G1137" s="5" t="str">
        <f>IFERROR(__xludf.DUMMYFUNCTION("""COMPUTED_VALUE"""),"2025")</f>
        <v>2025</v>
      </c>
      <c r="H1137" s="5" t="str">
        <f>IFERROR(__xludf.DUMMYFUNCTION("""COMPUTED_VALUE"""),"125cc")</f>
        <v>125cc</v>
      </c>
      <c r="I1137" s="5" t="str">
        <f>IFERROR(__xludf.DUMMYFUNCTION("""COMPUTED_VALUE"""),"14")</f>
        <v>14</v>
      </c>
      <c r="J1137" s="5"/>
      <c r="K1137" s="5">
        <f>IFERROR(__xludf.DUMMYFUNCTION("""COMPUTED_VALUE"""),0.56)</f>
        <v>0.56</v>
      </c>
      <c r="L1137" s="5" t="str">
        <f>IFERROR(__xludf.DUMMYFUNCTION("""COMPUTED_VALUE"""),"KLH")</f>
        <v>KLH</v>
      </c>
    </row>
    <row r="1138">
      <c r="A1138" s="5" t="str">
        <f>IFERROR(__xludf.DUMMYFUNCTION("""COMPUTED_VALUE"""),"XL3-MKC-010")</f>
        <v>XL3-MKC-010</v>
      </c>
      <c r="B1138" s="3" t="str">
        <f>IFERROR(__xludf.DUMMYFUNCTION("""COMPUTED_VALUE"""),"Máy kéo chuối (Xăng)")</f>
        <v>Máy kéo chuối (Xăng)</v>
      </c>
      <c r="C1138" s="5" t="str">
        <f>IFERROR(__xludf.DUMMYFUNCTION("""COMPUTED_VALUE"""),"XN Chuối LP3")</f>
        <v>XN Chuối LP3</v>
      </c>
      <c r="D1138" s="5" t="str">
        <f>IFERROR(__xludf.DUMMYFUNCTION("""COMPUTED_VALUE"""),"DREAM")</f>
        <v>DREAM</v>
      </c>
      <c r="E1138" s="5" t="str">
        <f>IFERROR(__xludf.DUMMYFUNCTION("""COMPUTED_VALUE"""),"XKC-22")</f>
        <v>XKC-22</v>
      </c>
      <c r="F1138" s="5"/>
      <c r="G1138" s="5" t="str">
        <f>IFERROR(__xludf.DUMMYFUNCTION("""COMPUTED_VALUE"""),"2025")</f>
        <v>2025</v>
      </c>
      <c r="H1138" s="5" t="str">
        <f>IFERROR(__xludf.DUMMYFUNCTION("""COMPUTED_VALUE"""),"125cc")</f>
        <v>125cc</v>
      </c>
      <c r="I1138" s="5"/>
      <c r="J1138" s="5"/>
      <c r="K1138" s="5">
        <f>IFERROR(__xludf.DUMMYFUNCTION("""COMPUTED_VALUE"""),0.56)</f>
        <v>0.56</v>
      </c>
      <c r="L1138" s="5" t="str">
        <f>IFERROR(__xludf.DUMMYFUNCTION("""COMPUTED_VALUE"""),"KLH")</f>
        <v>KLH</v>
      </c>
    </row>
    <row r="1139">
      <c r="A1139" s="5" t="str">
        <f>IFERROR(__xludf.DUMMYFUNCTION("""COMPUTED_VALUE"""),"XL3-MKC-011")</f>
        <v>XL3-MKC-011</v>
      </c>
      <c r="B1139" s="3" t="str">
        <f>IFERROR(__xludf.DUMMYFUNCTION("""COMPUTED_VALUE"""),"Máy kéo chuối (Xăng)")</f>
        <v>Máy kéo chuối (Xăng)</v>
      </c>
      <c r="C1139" s="5" t="str">
        <f>IFERROR(__xludf.DUMMYFUNCTION("""COMPUTED_VALUE"""),"XN Chuối LP3")</f>
        <v>XN Chuối LP3</v>
      </c>
      <c r="D1139" s="5" t="str">
        <f>IFERROR(__xludf.DUMMYFUNCTION("""COMPUTED_VALUE"""),"DREAM")</f>
        <v>DREAM</v>
      </c>
      <c r="E1139" s="5" t="str">
        <f>IFERROR(__xludf.DUMMYFUNCTION("""COMPUTED_VALUE"""),"XKC-29")</f>
        <v>XKC-29</v>
      </c>
      <c r="F1139" s="5"/>
      <c r="G1139" s="5" t="str">
        <f>IFERROR(__xludf.DUMMYFUNCTION("""COMPUTED_VALUE"""),"2025")</f>
        <v>2025</v>
      </c>
      <c r="H1139" s="5" t="str">
        <f>IFERROR(__xludf.DUMMYFUNCTION("""COMPUTED_VALUE"""),"125cc")</f>
        <v>125cc</v>
      </c>
      <c r="I1139" s="5"/>
      <c r="J1139" s="5"/>
      <c r="K1139" s="5">
        <f>IFERROR(__xludf.DUMMYFUNCTION("""COMPUTED_VALUE"""),0.56)</f>
        <v>0.56</v>
      </c>
      <c r="L1139" s="5" t="str">
        <f>IFERROR(__xludf.DUMMYFUNCTION("""COMPUTED_VALUE"""),"KLH")</f>
        <v>KLH</v>
      </c>
    </row>
    <row r="1140">
      <c r="A1140" s="5" t="str">
        <f>IFERROR(__xludf.DUMMYFUNCTION("""COMPUTED_VALUE"""),"XL3-MKC-012")</f>
        <v>XL3-MKC-012</v>
      </c>
      <c r="B1140" s="3" t="str">
        <f>IFERROR(__xludf.DUMMYFUNCTION("""COMPUTED_VALUE"""),"Máy kéo chuối (Điện)")</f>
        <v>Máy kéo chuối (Điện)</v>
      </c>
      <c r="C1140" s="5" t="str">
        <f>IFERROR(__xludf.DUMMYFUNCTION("""COMPUTED_VALUE"""),"XN Chuối LP3")</f>
        <v>XN Chuối LP3</v>
      </c>
      <c r="D1140" s="5" t="str">
        <f>IFERROR(__xludf.DUMMYFUNCTION("""COMPUTED_VALUE"""),"ĐC ĐIỆN")</f>
        <v>ĐC ĐIỆN</v>
      </c>
      <c r="E1140" s="5"/>
      <c r="F1140" s="5"/>
      <c r="G1140" s="5" t="str">
        <f>IFERROR(__xludf.DUMMYFUNCTION("""COMPUTED_VALUE"""),"2025")</f>
        <v>2025</v>
      </c>
      <c r="H1140" s="5" t="str">
        <f>IFERROR(__xludf.DUMMYFUNCTION("""COMPUTED_VALUE"""),"1500W")</f>
        <v>1500W</v>
      </c>
      <c r="I1140" s="5" t="str">
        <f>IFERROR(__xludf.DUMMYFUNCTION("""COMPUTED_VALUE"""),"60A-4CÁI")</f>
        <v>60A-4CÁI</v>
      </c>
      <c r="J1140" s="5"/>
      <c r="K1140" s="5"/>
      <c r="L1140" s="5" t="str">
        <f>IFERROR(__xludf.DUMMYFUNCTION("""COMPUTED_VALUE"""),"KLH")</f>
        <v>KLH</v>
      </c>
    </row>
    <row r="1141">
      <c r="A1141" s="5" t="str">
        <f>IFERROR(__xludf.DUMMYFUNCTION("""COMPUTED_VALUE"""),"XL3-MKC-013")</f>
        <v>XL3-MKC-013</v>
      </c>
      <c r="B1141" s="3" t="str">
        <f>IFERROR(__xludf.DUMMYFUNCTION("""COMPUTED_VALUE"""),"Máy kéo chuối (Xăng)")</f>
        <v>Máy kéo chuối (Xăng)</v>
      </c>
      <c r="C1141" s="5" t="str">
        <f>IFERROR(__xludf.DUMMYFUNCTION("""COMPUTED_VALUE"""),"XN Chuối LP3")</f>
        <v>XN Chuối LP3</v>
      </c>
      <c r="D1141" s="5" t="str">
        <f>IFERROR(__xludf.DUMMYFUNCTION("""COMPUTED_VALUE"""),"DREAM")</f>
        <v>DREAM</v>
      </c>
      <c r="E1141" s="5" t="str">
        <f>IFERROR(__xludf.DUMMYFUNCTION("""COMPUTED_VALUE"""),"XKC-41")</f>
        <v>XKC-41</v>
      </c>
      <c r="F1141" s="5"/>
      <c r="G1141" s="5" t="str">
        <f>IFERROR(__xludf.DUMMYFUNCTION("""COMPUTED_VALUE"""),"2025")</f>
        <v>2025</v>
      </c>
      <c r="H1141" s="5" t="str">
        <f>IFERROR(__xludf.DUMMYFUNCTION("""COMPUTED_VALUE"""),"125cc")</f>
        <v>125cc</v>
      </c>
      <c r="I1141" s="5"/>
      <c r="J1141" s="5"/>
      <c r="K1141" s="5">
        <f>IFERROR(__xludf.DUMMYFUNCTION("""COMPUTED_VALUE"""),0.56)</f>
        <v>0.56</v>
      </c>
      <c r="L1141" s="5" t="str">
        <f>IFERROR(__xludf.DUMMYFUNCTION("""COMPUTED_VALUE"""),"KLH")</f>
        <v>KLH</v>
      </c>
    </row>
    <row r="1142">
      <c r="A1142" s="5" t="str">
        <f>IFERROR(__xludf.DUMMYFUNCTION("""COMPUTED_VALUE"""),"XL3-MKC-014")</f>
        <v>XL3-MKC-014</v>
      </c>
      <c r="B1142" s="3" t="str">
        <f>IFERROR(__xludf.DUMMYFUNCTION("""COMPUTED_VALUE"""),"Máy kéo chuối (Xăng)")</f>
        <v>Máy kéo chuối (Xăng)</v>
      </c>
      <c r="C1142" s="5" t="str">
        <f>IFERROR(__xludf.DUMMYFUNCTION("""COMPUTED_VALUE"""),"XN Chuối LP3")</f>
        <v>XN Chuối LP3</v>
      </c>
      <c r="D1142" s="5"/>
      <c r="E1142" s="5" t="str">
        <f>IFERROR(__xludf.DUMMYFUNCTION("""COMPUTED_VALUE"""),"XKC-49")</f>
        <v>XKC-49</v>
      </c>
      <c r="F1142" s="5"/>
      <c r="G1142" s="5" t="str">
        <f>IFERROR(__xludf.DUMMYFUNCTION("""COMPUTED_VALUE"""),"2025")</f>
        <v>2025</v>
      </c>
      <c r="H1142" s="5" t="str">
        <f>IFERROR(__xludf.DUMMYFUNCTION("""COMPUTED_VALUE"""),"125cc")</f>
        <v>125cc</v>
      </c>
      <c r="I1142" s="5"/>
      <c r="J1142" s="5"/>
      <c r="K1142" s="5">
        <f>IFERROR(__xludf.DUMMYFUNCTION("""COMPUTED_VALUE"""),0.56)</f>
        <v>0.56</v>
      </c>
      <c r="L1142" s="5" t="str">
        <f>IFERROR(__xludf.DUMMYFUNCTION("""COMPUTED_VALUE"""),"KLH")</f>
        <v>KLH</v>
      </c>
    </row>
    <row r="1143">
      <c r="A1143" s="5" t="str">
        <f>IFERROR(__xludf.DUMMYFUNCTION("""COMPUTED_VALUE"""),"XL3-MKC-015")</f>
        <v>XL3-MKC-015</v>
      </c>
      <c r="B1143" s="3" t="str">
        <f>IFERROR(__xludf.DUMMYFUNCTION("""COMPUTED_VALUE"""),"Máy kéo chuối (Xăng)")</f>
        <v>Máy kéo chuối (Xăng)</v>
      </c>
      <c r="C1143" s="5" t="str">
        <f>IFERROR(__xludf.DUMMYFUNCTION("""COMPUTED_VALUE"""),"XN Chuối LP3")</f>
        <v>XN Chuối LP3</v>
      </c>
      <c r="D1143" s="5"/>
      <c r="E1143" s="5" t="str">
        <f>IFERROR(__xludf.DUMMYFUNCTION("""COMPUTED_VALUE"""),"XKC-50")</f>
        <v>XKC-50</v>
      </c>
      <c r="F1143" s="5"/>
      <c r="G1143" s="5" t="str">
        <f>IFERROR(__xludf.DUMMYFUNCTION("""COMPUTED_VALUE"""),"2025")</f>
        <v>2025</v>
      </c>
      <c r="H1143" s="5" t="str">
        <f>IFERROR(__xludf.DUMMYFUNCTION("""COMPUTED_VALUE"""),"125cc")</f>
        <v>125cc</v>
      </c>
      <c r="I1143" s="5"/>
      <c r="J1143" s="5"/>
      <c r="K1143" s="5">
        <f>IFERROR(__xludf.DUMMYFUNCTION("""COMPUTED_VALUE"""),0.56)</f>
        <v>0.56</v>
      </c>
      <c r="L1143" s="5" t="str">
        <f>IFERROR(__xludf.DUMMYFUNCTION("""COMPUTED_VALUE"""),"KLH")</f>
        <v>KLH</v>
      </c>
    </row>
    <row r="1144">
      <c r="A1144" s="5" t="str">
        <f>IFERROR(__xludf.DUMMYFUNCTION("""COMPUTED_VALUE"""),"XL3-MKC-016")</f>
        <v>XL3-MKC-016</v>
      </c>
      <c r="B1144" s="3" t="str">
        <f>IFERROR(__xludf.DUMMYFUNCTION("""COMPUTED_VALUE"""),"Máy kéo chuối (Xăng)")</f>
        <v>Máy kéo chuối (Xăng)</v>
      </c>
      <c r="C1144" s="5" t="str">
        <f>IFERROR(__xludf.DUMMYFUNCTION("""COMPUTED_VALUE"""),"XN Chuối LP3")</f>
        <v>XN Chuối LP3</v>
      </c>
      <c r="D1144" s="5"/>
      <c r="E1144" s="5"/>
      <c r="F1144" s="5"/>
      <c r="G1144" s="5"/>
      <c r="H1144" s="5"/>
      <c r="I1144" s="5"/>
      <c r="J1144" s="5"/>
      <c r="K1144" s="5">
        <f>IFERROR(__xludf.DUMMYFUNCTION("""COMPUTED_VALUE"""),0.56)</f>
        <v>0.56</v>
      </c>
      <c r="L1144" s="5" t="str">
        <f>IFERROR(__xludf.DUMMYFUNCTION("""COMPUTED_VALUE"""),"KLH")</f>
        <v>KLH</v>
      </c>
    </row>
    <row r="1145">
      <c r="A1145" s="5" t="str">
        <f>IFERROR(__xludf.DUMMYFUNCTION("""COMPUTED_VALUE"""),"XL3-MKC-017")</f>
        <v>XL3-MKC-017</v>
      </c>
      <c r="B1145" s="3" t="str">
        <f>IFERROR(__xludf.DUMMYFUNCTION("""COMPUTED_VALUE"""),"Máy kéo chuối (Điện)")</f>
        <v>Máy kéo chuối (Điện)</v>
      </c>
      <c r="C1145" s="5" t="str">
        <f>IFERROR(__xludf.DUMMYFUNCTION("""COMPUTED_VALUE"""),"XN Chuối LP3")</f>
        <v>XN Chuối LP3</v>
      </c>
      <c r="D1145" s="5" t="str">
        <f>IFERROR(__xludf.DUMMYFUNCTION("""COMPUTED_VALUE"""),"ĐC ĐIỆN")</f>
        <v>ĐC ĐIỆN</v>
      </c>
      <c r="E1145" s="5"/>
      <c r="F1145" s="5"/>
      <c r="G1145" s="5" t="str">
        <f>IFERROR(__xludf.DUMMYFUNCTION("""COMPUTED_VALUE"""),"2026")</f>
        <v>2026</v>
      </c>
      <c r="H1145" s="5" t="str">
        <f>IFERROR(__xludf.DUMMYFUNCTION("""COMPUTED_VALUE"""),"1500W")</f>
        <v>1500W</v>
      </c>
      <c r="I1145" s="5" t="str">
        <f>IFERROR(__xludf.DUMMYFUNCTION("""COMPUTED_VALUE"""),"60A-4CÁI")</f>
        <v>60A-4CÁI</v>
      </c>
      <c r="J1145" s="5"/>
      <c r="K1145" s="5"/>
      <c r="L1145" s="5" t="str">
        <f>IFERROR(__xludf.DUMMYFUNCTION("""COMPUTED_VALUE"""),"KLH")</f>
        <v>KLH</v>
      </c>
    </row>
    <row r="1146">
      <c r="A1146" s="5" t="str">
        <f>IFERROR(__xludf.DUMMYFUNCTION("""COMPUTED_VALUE"""),"XL3-MBC-002")</f>
        <v>XL3-MBC-002</v>
      </c>
      <c r="B1146" s="3" t="str">
        <f>IFERROR(__xludf.DUMMYFUNCTION("""COMPUTED_VALUE"""),"Máy băm công nghiệp cố định 30Kw")</f>
        <v>Máy băm công nghiệp cố định 30Kw</v>
      </c>
      <c r="C1146" s="5" t="str">
        <f>IFERROR(__xludf.DUMMYFUNCTION("""COMPUTED_VALUE"""),"XN Chuối LP3")</f>
        <v>XN Chuối LP3</v>
      </c>
      <c r="D1146" s="5" t="str">
        <f>IFERROR(__xludf.DUMMYFUNCTION("""COMPUTED_VALUE"""),"THACO AGRI")</f>
        <v>THACO AGRI</v>
      </c>
      <c r="E1146" s="5" t="str">
        <f>IFERROR(__xludf.DUMMYFUNCTION("""COMPUTED_VALUE"""),"30KW")</f>
        <v>30KW</v>
      </c>
      <c r="F1146" s="5"/>
      <c r="G1146" s="5"/>
      <c r="H1146" s="5" t="str">
        <f>IFERROR(__xludf.DUMMYFUNCTION("""COMPUTED_VALUE"""),"3 dao băm, motor 30kw")</f>
        <v>3 dao băm, motor 30kw</v>
      </c>
      <c r="I1146" s="5"/>
      <c r="J1146" s="5"/>
      <c r="K1146" s="5"/>
      <c r="L1146" s="5" t="str">
        <f>IFERROR(__xludf.DUMMYFUNCTION("""COMPUTED_VALUE"""),"KLH")</f>
        <v>KLH</v>
      </c>
    </row>
    <row r="1147">
      <c r="A1147" s="5" t="str">
        <f>IFERROR(__xludf.DUMMYFUNCTION("""COMPUTED_VALUE"""),"XL3-MBC-003")</f>
        <v>XL3-MBC-003</v>
      </c>
      <c r="B1147" s="3" t="str">
        <f>IFERROR(__xludf.DUMMYFUNCTION("""COMPUTED_VALUE"""),"Máy băm công nghiệp cố định 30Kw")</f>
        <v>Máy băm công nghiệp cố định 30Kw</v>
      </c>
      <c r="C1147" s="5" t="str">
        <f>IFERROR(__xludf.DUMMYFUNCTION("""COMPUTED_VALUE"""),"XN Chuối LP3")</f>
        <v>XN Chuối LP3</v>
      </c>
      <c r="D1147" s="5" t="str">
        <f>IFERROR(__xludf.DUMMYFUNCTION("""COMPUTED_VALUE"""),"THACO AGRI")</f>
        <v>THACO AGRI</v>
      </c>
      <c r="E1147" s="5" t="str">
        <f>IFERROR(__xludf.DUMMYFUNCTION("""COMPUTED_VALUE"""),"30KW")</f>
        <v>30KW</v>
      </c>
      <c r="F1147" s="5"/>
      <c r="G1147" s="5"/>
      <c r="H1147" s="5" t="str">
        <f>IFERROR(__xludf.DUMMYFUNCTION("""COMPUTED_VALUE"""),"3 dao băm, motor 30kw")</f>
        <v>3 dao băm, motor 30kw</v>
      </c>
      <c r="I1147" s="5"/>
      <c r="J1147" s="5"/>
      <c r="K1147" s="5"/>
      <c r="L1147" s="5" t="str">
        <f>IFERROR(__xludf.DUMMYFUNCTION("""COMPUTED_VALUE"""),"KLH")</f>
        <v>KLH</v>
      </c>
    </row>
    <row r="1148">
      <c r="A1148" s="5" t="str">
        <f>IFERROR(__xludf.DUMMYFUNCTION("""COMPUTED_VALUE"""),"XL3-MBC-004")</f>
        <v>XL3-MBC-004</v>
      </c>
      <c r="B1148" s="3" t="str">
        <f>IFERROR(__xludf.DUMMYFUNCTION("""COMPUTED_VALUE"""),"Máy băm công nghiệp cố định 15Kw")</f>
        <v>Máy băm công nghiệp cố định 15Kw</v>
      </c>
      <c r="C1148" s="5" t="str">
        <f>IFERROR(__xludf.DUMMYFUNCTION("""COMPUTED_VALUE"""),"XN Chuối LP3")</f>
        <v>XN Chuối LP3</v>
      </c>
      <c r="D1148" s="5" t="str">
        <f>IFERROR(__xludf.DUMMYFUNCTION("""COMPUTED_VALUE"""),"THACO AGRI")</f>
        <v>THACO AGRI</v>
      </c>
      <c r="E1148" s="5" t="str">
        <f>IFERROR(__xludf.DUMMYFUNCTION("""COMPUTED_VALUE"""),"15KW")</f>
        <v>15KW</v>
      </c>
      <c r="F1148" s="5"/>
      <c r="G1148" s="5" t="str">
        <f>IFERROR(__xludf.DUMMYFUNCTION("""COMPUTED_VALUE"""),"2023")</f>
        <v>2023</v>
      </c>
      <c r="H1148" s="5" t="str">
        <f>IFERROR(__xludf.DUMMYFUNCTION("""COMPUTED_VALUE"""),"3 dao băm, motor 15kw")</f>
        <v>3 dao băm, motor 15kw</v>
      </c>
      <c r="I1148" s="5"/>
      <c r="J1148" s="5"/>
      <c r="K1148" s="5"/>
      <c r="L1148" s="5" t="str">
        <f>IFERROR(__xludf.DUMMYFUNCTION("""COMPUTED_VALUE"""),"KLH")</f>
        <v>KLH</v>
      </c>
    </row>
    <row r="1149">
      <c r="A1149" s="5" t="str">
        <f>IFERROR(__xludf.DUMMYFUNCTION("""COMPUTED_VALUE"""),"XL3-MBC-005")</f>
        <v>XL3-MBC-005</v>
      </c>
      <c r="B1149" s="3" t="str">
        <f>IFERROR(__xludf.DUMMYFUNCTION("""COMPUTED_VALUE"""),"Máy băm cố định")</f>
        <v>Máy băm cố định</v>
      </c>
      <c r="C1149" s="5" t="str">
        <f>IFERROR(__xludf.DUMMYFUNCTION("""COMPUTED_VALUE"""),"XN Chuối LP3")</f>
        <v>XN Chuối LP3</v>
      </c>
      <c r="D1149" s="5" t="str">
        <f>IFERROR(__xludf.DUMMYFUNCTION("""COMPUTED_VALUE"""),"THACO AGRI")</f>
        <v>THACO AGRI</v>
      </c>
      <c r="E1149" s="5" t="str">
        <f>IFERROR(__xludf.DUMMYFUNCTION("""COMPUTED_VALUE"""),"CK-MB-19 ")</f>
        <v>CK-MB-19 </v>
      </c>
      <c r="F1149" s="5"/>
      <c r="G1149" s="5" t="str">
        <f>IFERROR(__xludf.DUMMYFUNCTION("""COMPUTED_VALUE"""),"2025")</f>
        <v>2025</v>
      </c>
      <c r="H1149" s="5"/>
      <c r="I1149" s="5"/>
      <c r="J1149" s="5"/>
      <c r="K1149" s="5"/>
      <c r="L1149" s="5" t="str">
        <f>IFERROR(__xludf.DUMMYFUNCTION("""COMPUTED_VALUE"""),"KLH")</f>
        <v>KLH</v>
      </c>
    </row>
    <row r="1150">
      <c r="A1150" s="5" t="str">
        <f>IFERROR(__xludf.DUMMYFUNCTION("""COMPUTED_VALUE"""),"XL3-MBC-006")</f>
        <v>XL3-MBC-006</v>
      </c>
      <c r="B1150" s="3" t="str">
        <f>IFERROR(__xludf.DUMMYFUNCTION("""COMPUTED_VALUE"""),"Máy băm cố định")</f>
        <v>Máy băm cố định</v>
      </c>
      <c r="C1150" s="5" t="str">
        <f>IFERROR(__xludf.DUMMYFUNCTION("""COMPUTED_VALUE"""),"XN Chuối LP3")</f>
        <v>XN Chuối LP3</v>
      </c>
      <c r="D1150" s="5"/>
      <c r="E1150" s="5"/>
      <c r="F1150" s="5"/>
      <c r="G1150" s="5"/>
      <c r="H1150" s="5"/>
      <c r="I1150" s="5"/>
      <c r="J1150" s="5"/>
      <c r="K1150" s="5"/>
      <c r="L1150" s="5" t="str">
        <f>IFERROR(__xludf.DUMMYFUNCTION("""COMPUTED_VALUE"""),"KLH")</f>
        <v>KLH</v>
      </c>
    </row>
    <row r="1151">
      <c r="A1151" s="5" t="str">
        <f>IFERROR(__xludf.DUMMYFUNCTION("""COMPUTED_VALUE"""),"XL3-MXL-001")</f>
        <v>XL3-MXL-001</v>
      </c>
      <c r="B1151" s="3" t="str">
        <f>IFERROR(__xludf.DUMMYFUNCTION("""COMPUTED_VALUE"""),"Thiết bị xắt lát")</f>
        <v>Thiết bị xắt lát</v>
      </c>
      <c r="C1151" s="5" t="str">
        <f>IFERROR(__xludf.DUMMYFUNCTION("""COMPUTED_VALUE"""),"XN Chuối LP3")</f>
        <v>XN Chuối LP3</v>
      </c>
      <c r="D1151" s="5" t="str">
        <f>IFERROR(__xludf.DUMMYFUNCTION("""COMPUTED_VALUE"""),"THACO AGRI")</f>
        <v>THACO AGRI</v>
      </c>
      <c r="E1151" s="5"/>
      <c r="F1151" s="5"/>
      <c r="G1151" s="5" t="str">
        <f>IFERROR(__xludf.DUMMYFUNCTION("""COMPUTED_VALUE"""),"2024")</f>
        <v>2024</v>
      </c>
      <c r="H1151" s="5" t="str">
        <f>IFERROR(__xludf.DUMMYFUNCTION("""COMPUTED_VALUE"""),"0.9x1x1m")</f>
        <v>0.9x1x1m</v>
      </c>
      <c r="I1151" s="5"/>
      <c r="J1151" s="5"/>
      <c r="K1151" s="5"/>
      <c r="L1151" s="5" t="str">
        <f>IFERROR(__xludf.DUMMYFUNCTION("""COMPUTED_VALUE"""),"KLH")</f>
        <v>KLH</v>
      </c>
    </row>
    <row r="1152">
      <c r="A1152" s="5" t="str">
        <f>IFERROR(__xludf.DUMMYFUNCTION("""COMPUTED_VALUE"""),"XL3-GXP-001")</f>
        <v>XL3-GXP-001</v>
      </c>
      <c r="B1152" s="3" t="str">
        <f>IFERROR(__xludf.DUMMYFUNCTION("""COMPUTED_VALUE"""),"Gàu xúc phân")</f>
        <v>Gàu xúc phân</v>
      </c>
      <c r="C1152" s="5" t="str">
        <f>IFERROR(__xludf.DUMMYFUNCTION("""COMPUTED_VALUE"""),"XN Chuối LP3")</f>
        <v>XN Chuối LP3</v>
      </c>
      <c r="D1152" s="5" t="str">
        <f>IFERROR(__xludf.DUMMYFUNCTION("""COMPUTED_VALUE"""),"THACO AGRI")</f>
        <v>THACO AGRI</v>
      </c>
      <c r="E1152" s="5"/>
      <c r="F1152" s="5"/>
      <c r="G1152" s="5" t="str">
        <f>IFERROR(__xludf.DUMMYFUNCTION("""COMPUTED_VALUE"""),"2025")</f>
        <v>2025</v>
      </c>
      <c r="H1152" s="5"/>
      <c r="I1152" s="5"/>
      <c r="J1152" s="5"/>
      <c r="K1152" s="5"/>
      <c r="L1152" s="5" t="str">
        <f>IFERROR(__xludf.DUMMYFUNCTION("""COMPUTED_VALUE"""),"KLH")</f>
        <v>KLH</v>
      </c>
    </row>
    <row r="1153">
      <c r="A1153" s="5" t="str">
        <f>IFERROR(__xludf.DUMMYFUNCTION("""COMPUTED_VALUE"""),"XL3-MPT-001")</f>
        <v>XL3-MPT-001</v>
      </c>
      <c r="B1153" s="3" t="str">
        <f>IFERROR(__xludf.DUMMYFUNCTION("""COMPUTED_VALUE"""),"Máy phun thuốc RELOAD 7045")</f>
        <v>Máy phun thuốc RELOAD 7045</v>
      </c>
      <c r="C1153" s="5" t="str">
        <f>IFERROR(__xludf.DUMMYFUNCTION("""COMPUTED_VALUE"""),"XN Chuối LP3")</f>
        <v>XN Chuối LP3</v>
      </c>
      <c r="D1153" s="5" t="str">
        <f>IFERROR(__xludf.DUMMYFUNCTION("""COMPUTED_VALUE"""),"RELOAD")</f>
        <v>RELOAD</v>
      </c>
      <c r="E1153" s="5" t="str">
        <f>IFERROR(__xludf.DUMMYFUNCTION("""COMPUTED_VALUE"""),"7045")</f>
        <v>7045</v>
      </c>
      <c r="F1153" s="5"/>
      <c r="G1153" s="5" t="str">
        <f>IFERROR(__xludf.DUMMYFUNCTION("""COMPUTED_VALUE"""),"2025")</f>
        <v>2025</v>
      </c>
      <c r="H1153" s="5" t="str">
        <f>IFERROR(__xludf.DUMMYFUNCTION("""COMPUTED_VALUE"""),"7 Hp")</f>
        <v>7 Hp</v>
      </c>
      <c r="I1153" s="5" t="str">
        <f>IFERROR(__xludf.DUMMYFUNCTION("""COMPUTED_VALUE"""),"2412094A0021")</f>
        <v>2412094A0021</v>
      </c>
      <c r="J1153" s="5"/>
      <c r="K1153" s="5"/>
      <c r="L1153" s="5" t="str">
        <f>IFERROR(__xludf.DUMMYFUNCTION("""COMPUTED_VALUE"""),"KLH")</f>
        <v>KLH</v>
      </c>
    </row>
    <row r="1154">
      <c r="A1154" s="5" t="str">
        <f>IFERROR(__xludf.DUMMYFUNCTION("""COMPUTED_VALUE"""),"XL3-MPT-002")</f>
        <v>XL3-MPT-002</v>
      </c>
      <c r="B1154" s="3" t="str">
        <f>IFERROR(__xludf.DUMMYFUNCTION("""COMPUTED_VALUE"""),"Máy phun thuốc RELOAD 7045")</f>
        <v>Máy phun thuốc RELOAD 7045</v>
      </c>
      <c r="C1154" s="5" t="str">
        <f>IFERROR(__xludf.DUMMYFUNCTION("""COMPUTED_VALUE"""),"XN Chuối LP3")</f>
        <v>XN Chuối LP3</v>
      </c>
      <c r="D1154" s="5" t="str">
        <f>IFERROR(__xludf.DUMMYFUNCTION("""COMPUTED_VALUE"""),"RELOAD")</f>
        <v>RELOAD</v>
      </c>
      <c r="E1154" s="5" t="str">
        <f>IFERROR(__xludf.DUMMYFUNCTION("""COMPUTED_VALUE"""),"7045")</f>
        <v>7045</v>
      </c>
      <c r="F1154" s="5"/>
      <c r="G1154" s="5" t="str">
        <f>IFERROR(__xludf.DUMMYFUNCTION("""COMPUTED_VALUE"""),"2025")</f>
        <v>2025</v>
      </c>
      <c r="H1154" s="5" t="str">
        <f>IFERROR(__xludf.DUMMYFUNCTION("""COMPUTED_VALUE"""),"7 Hp")</f>
        <v>7 Hp</v>
      </c>
      <c r="I1154" s="5" t="str">
        <f>IFERROR(__xludf.DUMMYFUNCTION("""COMPUTED_VALUE"""),"2412094A0014")</f>
        <v>2412094A0014</v>
      </c>
      <c r="J1154" s="5"/>
      <c r="K1154" s="5"/>
      <c r="L1154" s="5" t="str">
        <f>IFERROR(__xludf.DUMMYFUNCTION("""COMPUTED_VALUE"""),"KLH")</f>
        <v>KLH</v>
      </c>
    </row>
    <row r="1155">
      <c r="A1155" s="5" t="str">
        <f>IFERROR(__xludf.DUMMYFUNCTION("""COMPUTED_VALUE"""),"XL3-XLT-001")</f>
        <v>XL3-XLT-001</v>
      </c>
      <c r="B1155" s="3" t="str">
        <f>IFERROR(__xludf.DUMMYFUNCTION("""COMPUTED_VALUE"""),"Xe lu tay")</f>
        <v>Xe lu tay</v>
      </c>
      <c r="C1155" s="5" t="str">
        <f>IFERROR(__xludf.DUMMYFUNCTION("""COMPUTED_VALUE"""),"XN Chuối LP3")</f>
        <v>XN Chuối LP3</v>
      </c>
      <c r="D1155" s="5" t="str">
        <f>IFERROR(__xludf.DUMMYFUNCTION("""COMPUTED_VALUE"""),"SAKAI")</f>
        <v>SAKAI</v>
      </c>
      <c r="E1155" s="5" t="str">
        <f>IFERROR(__xludf.DUMMYFUNCTION("""COMPUTED_VALUE"""),"NHẬT BẢN")</f>
        <v>NHẬT BẢN</v>
      </c>
      <c r="F1155" s="5"/>
      <c r="G1155" s="5" t="str">
        <f>IFERROR(__xludf.DUMMYFUNCTION("""COMPUTED_VALUE"""),"HS67ST")</f>
        <v>HS67ST</v>
      </c>
      <c r="H1155" s="5" t="str">
        <f>IFERROR(__xludf.DUMMYFUNCTION("""COMPUTED_VALUE"""),"710KG")</f>
        <v>710KG</v>
      </c>
      <c r="I1155" s="5" t="str">
        <f>IFERROR(__xludf.DUMMYFUNCTION("""COMPUTED_VALUE"""),"5HS2-010439")</f>
        <v>5HS2-010439</v>
      </c>
      <c r="J1155" s="5"/>
      <c r="K1155" s="5"/>
      <c r="L1155" s="5" t="str">
        <f>IFERROR(__xludf.DUMMYFUNCTION("""COMPUTED_VALUE"""),"KLH")</f>
        <v>KLH</v>
      </c>
    </row>
    <row r="1156">
      <c r="A1156" s="5" t="str">
        <f>IFERROR(__xludf.DUMMYFUNCTION("""COMPUTED_VALUE"""),"Xí nghiệp chuối LP4")</f>
        <v>Xí nghiệp chuối LP4</v>
      </c>
      <c r="B1156" s="3"/>
      <c r="C1156" s="5"/>
      <c r="D1156" s="5"/>
      <c r="E1156" s="5"/>
      <c r="F1156" s="5"/>
      <c r="G1156" s="5"/>
      <c r="H1156" s="5"/>
      <c r="I1156" s="5"/>
      <c r="J1156" s="5"/>
      <c r="K1156" s="5"/>
      <c r="L1156" s="5" t="str">
        <f>IFERROR(__xludf.DUMMYFUNCTION("""COMPUTED_VALUE"""),"KLH")</f>
        <v>KLH</v>
      </c>
    </row>
    <row r="1157">
      <c r="A1157" s="5" t="str">
        <f>IFERROR(__xludf.DUMMYFUNCTION("""COMPUTED_VALUE"""),"XL4-RMC-002")</f>
        <v>XL4-RMC-002</v>
      </c>
      <c r="B1157" s="3" t="str">
        <f>IFERROR(__xludf.DUMMYFUNCTION("""COMPUTED_VALUE"""),"Rơ mooc thu hoạch")</f>
        <v>Rơ mooc thu hoạch</v>
      </c>
      <c r="C1157" s="5" t="str">
        <f>IFERROR(__xludf.DUMMYFUNCTION("""COMPUTED_VALUE"""),"XN Chuối LP4")</f>
        <v>XN Chuối LP4</v>
      </c>
      <c r="D1157" s="5" t="str">
        <f>IFERROR(__xludf.DUMMYFUNCTION("""COMPUTED_VALUE"""),"THACO AGRI")</f>
        <v>THACO AGRI</v>
      </c>
      <c r="E1157" s="5"/>
      <c r="F1157" s="5"/>
      <c r="G1157" s="5"/>
      <c r="H1157" s="5"/>
      <c r="I1157" s="5"/>
      <c r="J1157" s="5"/>
      <c r="K1157" s="5"/>
      <c r="L1157" s="5" t="str">
        <f>IFERROR(__xludf.DUMMYFUNCTION("""COMPUTED_VALUE"""),"KLH")</f>
        <v>KLH</v>
      </c>
    </row>
    <row r="1158">
      <c r="A1158" s="5" t="str">
        <f>IFERROR(__xludf.DUMMYFUNCTION("""COMPUTED_VALUE"""),"XL4-RMB-001")</f>
        <v>XL4-RMB-001</v>
      </c>
      <c r="B1158" s="3" t="str">
        <f>IFERROR(__xludf.DUMMYFUNCTION("""COMPUTED_VALUE"""),"Rơ mooc thùng Ben")</f>
        <v>Rơ mooc thùng Ben</v>
      </c>
      <c r="C1158" s="5" t="str">
        <f>IFERROR(__xludf.DUMMYFUNCTION("""COMPUTED_VALUE"""),"XN Chuối LP4")</f>
        <v>XN Chuối LP4</v>
      </c>
      <c r="D1158" s="5" t="str">
        <f>IFERROR(__xludf.DUMMYFUNCTION("""COMPUTED_VALUE"""),"THACO AGRI")</f>
        <v>THACO AGRI</v>
      </c>
      <c r="E1158" s="5"/>
      <c r="F1158" s="5"/>
      <c r="G1158" s="5"/>
      <c r="H1158" s="5"/>
      <c r="I1158" s="5"/>
      <c r="J1158" s="5"/>
      <c r="K1158" s="5"/>
      <c r="L1158" s="5" t="str">
        <f>IFERROR(__xludf.DUMMYFUNCTION("""COMPUTED_VALUE"""),"KLH")</f>
        <v>KLH</v>
      </c>
    </row>
    <row r="1159">
      <c r="A1159" s="5" t="str">
        <f>IFERROR(__xludf.DUMMYFUNCTION("""COMPUTED_VALUE"""),"XL4-RMB-002")</f>
        <v>XL4-RMB-002</v>
      </c>
      <c r="B1159" s="3" t="str">
        <f>IFERROR(__xludf.DUMMYFUNCTION("""COMPUTED_VALUE"""),"Rơ mooc thùng ben")</f>
        <v>Rơ mooc thùng ben</v>
      </c>
      <c r="C1159" s="5" t="str">
        <f>IFERROR(__xludf.DUMMYFUNCTION("""COMPUTED_VALUE"""),"XN Chuối LP4")</f>
        <v>XN Chuối LP4</v>
      </c>
      <c r="D1159" s="5" t="str">
        <f>IFERROR(__xludf.DUMMYFUNCTION("""COMPUTED_VALUE"""),"THACO AGRI")</f>
        <v>THACO AGRI</v>
      </c>
      <c r="E1159" s="5"/>
      <c r="F1159" s="5"/>
      <c r="G1159" s="5"/>
      <c r="H1159" s="5"/>
      <c r="I1159" s="5"/>
      <c r="J1159" s="5"/>
      <c r="K1159" s="5"/>
      <c r="L1159" s="5" t="str">
        <f>IFERROR(__xludf.DUMMYFUNCTION("""COMPUTED_VALUE"""),"KLH")</f>
        <v>KLH</v>
      </c>
    </row>
    <row r="1160">
      <c r="A1160" s="5" t="str">
        <f>IFERROR(__xludf.DUMMYFUNCTION("""COMPUTED_VALUE"""),"XL4-MXM-002")</f>
        <v>XL4-MXM-002</v>
      </c>
      <c r="B1160" s="3" t="str">
        <f>IFERROR(__xludf.DUMMYFUNCTION("""COMPUTED_VALUE"""),"Rơ mooc gắn sau xe máy ")</f>
        <v>Rơ mooc gắn sau xe máy </v>
      </c>
      <c r="C1160" s="5" t="str">
        <f>IFERROR(__xludf.DUMMYFUNCTION("""COMPUTED_VALUE"""),"XN Chuối LP4")</f>
        <v>XN Chuối LP4</v>
      </c>
      <c r="D1160" s="5" t="str">
        <f>IFERROR(__xludf.DUMMYFUNCTION("""COMPUTED_VALUE"""),"THACO AGRI")</f>
        <v>THACO AGRI</v>
      </c>
      <c r="E1160" s="5"/>
      <c r="F1160" s="5"/>
      <c r="G1160" s="5"/>
      <c r="H1160" s="5"/>
      <c r="I1160" s="5"/>
      <c r="J1160" s="5"/>
      <c r="K1160" s="5"/>
      <c r="L1160" s="5" t="str">
        <f>IFERROR(__xludf.DUMMYFUNCTION("""COMPUTED_VALUE"""),"KLH")</f>
        <v>KLH</v>
      </c>
    </row>
    <row r="1161">
      <c r="A1161" s="5" t="str">
        <f>IFERROR(__xludf.DUMMYFUNCTION("""COMPUTED_VALUE"""),"XL4-MXM-003")</f>
        <v>XL4-MXM-003</v>
      </c>
      <c r="B1161" s="3" t="str">
        <f>IFERROR(__xludf.DUMMYFUNCTION("""COMPUTED_VALUE"""),"Rơ mooc gắn sau xe máy ")</f>
        <v>Rơ mooc gắn sau xe máy </v>
      </c>
      <c r="C1161" s="5" t="str">
        <f>IFERROR(__xludf.DUMMYFUNCTION("""COMPUTED_VALUE"""),"XN Chuối LP4")</f>
        <v>XN Chuối LP4</v>
      </c>
      <c r="D1161" s="5" t="str">
        <f>IFERROR(__xludf.DUMMYFUNCTION("""COMPUTED_VALUE"""),"THACO AGRI")</f>
        <v>THACO AGRI</v>
      </c>
      <c r="E1161" s="5"/>
      <c r="F1161" s="5"/>
      <c r="G1161" s="5"/>
      <c r="H1161" s="5"/>
      <c r="I1161" s="5"/>
      <c r="J1161" s="5"/>
      <c r="K1161" s="5"/>
      <c r="L1161" s="5" t="str">
        <f>IFERROR(__xludf.DUMMYFUNCTION("""COMPUTED_VALUE"""),"KLH")</f>
        <v>KLH</v>
      </c>
    </row>
    <row r="1162">
      <c r="A1162" s="5" t="str">
        <f>IFERROR(__xludf.DUMMYFUNCTION("""COMPUTED_VALUE"""),"XL4-MXM-004")</f>
        <v>XL4-MXM-004</v>
      </c>
      <c r="B1162" s="3" t="str">
        <f>IFERROR(__xludf.DUMMYFUNCTION("""COMPUTED_VALUE"""),"Rơ mooc gắn sau xe máy ")</f>
        <v>Rơ mooc gắn sau xe máy </v>
      </c>
      <c r="C1162" s="5" t="str">
        <f>IFERROR(__xludf.DUMMYFUNCTION("""COMPUTED_VALUE"""),"XN Chuối LP4")</f>
        <v>XN Chuối LP4</v>
      </c>
      <c r="D1162" s="5" t="str">
        <f>IFERROR(__xludf.DUMMYFUNCTION("""COMPUTED_VALUE"""),"THACO AGRI")</f>
        <v>THACO AGRI</v>
      </c>
      <c r="E1162" s="5"/>
      <c r="F1162" s="5"/>
      <c r="G1162" s="5"/>
      <c r="H1162" s="5"/>
      <c r="I1162" s="5"/>
      <c r="J1162" s="5"/>
      <c r="K1162" s="5"/>
      <c r="L1162" s="5" t="str">
        <f>IFERROR(__xludf.DUMMYFUNCTION("""COMPUTED_VALUE"""),"KLH")</f>
        <v>KLH</v>
      </c>
    </row>
    <row r="1163">
      <c r="A1163" s="5" t="str">
        <f>IFERROR(__xludf.DUMMYFUNCTION("""COMPUTED_VALUE"""),"Cây ăn trái")</f>
        <v>Cây ăn trái</v>
      </c>
      <c r="B1163" s="3"/>
      <c r="C1163" s="5"/>
      <c r="D1163" s="5"/>
      <c r="E1163" s="5"/>
      <c r="F1163" s="5"/>
      <c r="G1163" s="5"/>
      <c r="H1163" s="5"/>
      <c r="I1163" s="5"/>
      <c r="J1163" s="5"/>
      <c r="K1163" s="5"/>
      <c r="L1163" s="5" t="str">
        <f>IFERROR(__xludf.DUMMYFUNCTION("""COMPUTED_VALUE"""),"KLH")</f>
        <v>KLH</v>
      </c>
    </row>
    <row r="1164">
      <c r="A1164" s="5" t="str">
        <f>IFERROR(__xludf.DUMMYFUNCTION("""COMPUTED_VALUE"""),"XOÀI AD")</f>
        <v>XOÀI AD</v>
      </c>
      <c r="B1164" s="3"/>
      <c r="C1164" s="5"/>
      <c r="D1164" s="5"/>
      <c r="E1164" s="5"/>
      <c r="F1164" s="5"/>
      <c r="G1164" s="5"/>
      <c r="H1164" s="5"/>
      <c r="I1164" s="5"/>
      <c r="J1164" s="5"/>
      <c r="K1164" s="5"/>
      <c r="L1164" s="5" t="str">
        <f>IFERROR(__xludf.DUMMYFUNCTION("""COMPUTED_VALUE"""),"KLH")</f>
        <v>KLH</v>
      </c>
    </row>
    <row r="1165">
      <c r="A1165" s="5" t="str">
        <f>IFERROR(__xludf.DUMMYFUNCTION("""COMPUTED_VALUE"""),"XXA-MNO-001")</f>
        <v>XXA-MNO-001</v>
      </c>
      <c r="B1165" s="3" t="str">
        <f>IFERROR(__xludf.DUMMYFUNCTION("""COMPUTED_VALUE"""),"Máy nổ 140")</f>
        <v>Máy nổ 140</v>
      </c>
      <c r="C1165" s="5" t="str">
        <f>IFERROR(__xludf.DUMMYFUNCTION("""COMPUTED_VALUE"""),"Xoài AD")</f>
        <v>Xoài AD</v>
      </c>
      <c r="D1165" s="5" t="str">
        <f>IFERROR(__xludf.DUMMYFUNCTION("""COMPUTED_VALUE"""),"CAMBODIA")</f>
        <v>CAMBODIA</v>
      </c>
      <c r="E1165" s="5" t="str">
        <f>IFERROR(__xludf.DUMMYFUNCTION("""COMPUTED_VALUE"""),"140")</f>
        <v>140</v>
      </c>
      <c r="F1165" s="5"/>
      <c r="G1165" s="5"/>
      <c r="H1165" s="5"/>
      <c r="I1165" s="5"/>
      <c r="J1165" s="5"/>
      <c r="K1165" s="5">
        <f>IFERROR(__xludf.DUMMYFUNCTION("""COMPUTED_VALUE"""),2.0)</f>
        <v>2</v>
      </c>
      <c r="L1165" s="5" t="str">
        <f>IFERROR(__xludf.DUMMYFUNCTION("""COMPUTED_VALUE"""),"KLH")</f>
        <v>KLH</v>
      </c>
    </row>
    <row r="1166">
      <c r="A1166" s="5" t="str">
        <f>IFERROR(__xludf.DUMMYFUNCTION("""COMPUTED_VALUE"""),"XXA-MNO-002")</f>
        <v>XXA-MNO-002</v>
      </c>
      <c r="B1166" s="3" t="str">
        <f>IFERROR(__xludf.DUMMYFUNCTION("""COMPUTED_VALUE"""),"Máy nổ 140")</f>
        <v>Máy nổ 140</v>
      </c>
      <c r="C1166" s="5" t="str">
        <f>IFERROR(__xludf.DUMMYFUNCTION("""COMPUTED_VALUE"""),"Xoài AD")</f>
        <v>Xoài AD</v>
      </c>
      <c r="D1166" s="5" t="str">
        <f>IFERROR(__xludf.DUMMYFUNCTION("""COMPUTED_VALUE"""),"CAMBODIA")</f>
        <v>CAMBODIA</v>
      </c>
      <c r="E1166" s="5" t="str">
        <f>IFERROR(__xludf.DUMMYFUNCTION("""COMPUTED_VALUE"""),"140")</f>
        <v>140</v>
      </c>
      <c r="F1166" s="5"/>
      <c r="G1166" s="5"/>
      <c r="H1166" s="5"/>
      <c r="I1166" s="5"/>
      <c r="J1166" s="5"/>
      <c r="K1166" s="5">
        <f>IFERROR(__xludf.DUMMYFUNCTION("""COMPUTED_VALUE"""),2.0)</f>
        <v>2</v>
      </c>
      <c r="L1166" s="5" t="str">
        <f>IFERROR(__xludf.DUMMYFUNCTION("""COMPUTED_VALUE"""),"KLH")</f>
        <v>KLH</v>
      </c>
    </row>
    <row r="1167">
      <c r="A1167" s="5" t="str">
        <f>IFERROR(__xludf.DUMMYFUNCTION("""COMPUTED_VALUE"""),"XXA-MNO-003")</f>
        <v>XXA-MNO-003</v>
      </c>
      <c r="B1167" s="3" t="str">
        <f>IFERROR(__xludf.DUMMYFUNCTION("""COMPUTED_VALUE"""),"Máy nổ D8")</f>
        <v>Máy nổ D8</v>
      </c>
      <c r="C1167" s="5" t="str">
        <f>IFERROR(__xludf.DUMMYFUNCTION("""COMPUTED_VALUE"""),"Xoài AD")</f>
        <v>Xoài AD</v>
      </c>
      <c r="D1167" s="5" t="str">
        <f>IFERROR(__xludf.DUMMYFUNCTION("""COMPUTED_VALUE"""),"CAMBODIA")</f>
        <v>CAMBODIA</v>
      </c>
      <c r="E1167" s="5" t="str">
        <f>IFERROR(__xludf.DUMMYFUNCTION("""COMPUTED_VALUE"""),"D8")</f>
        <v>D8</v>
      </c>
      <c r="F1167" s="5"/>
      <c r="G1167" s="5"/>
      <c r="H1167" s="5"/>
      <c r="I1167" s="5"/>
      <c r="J1167" s="5"/>
      <c r="K1167" s="5">
        <f>IFERROR(__xludf.DUMMYFUNCTION("""COMPUTED_VALUE"""),3.0)</f>
        <v>3</v>
      </c>
      <c r="L1167" s="5" t="str">
        <f>IFERROR(__xludf.DUMMYFUNCTION("""COMPUTED_VALUE"""),"KLH")</f>
        <v>KLH</v>
      </c>
    </row>
    <row r="1168">
      <c r="A1168" s="5" t="str">
        <f>IFERROR(__xludf.DUMMYFUNCTION("""COMPUTED_VALUE"""),"XXA-MNO-004")</f>
        <v>XXA-MNO-004</v>
      </c>
      <c r="B1168" s="3" t="str">
        <f>IFERROR(__xludf.DUMMYFUNCTION("""COMPUTED_VALUE"""),"Máy nổ D8")</f>
        <v>Máy nổ D8</v>
      </c>
      <c r="C1168" s="5" t="str">
        <f>IFERROR(__xludf.DUMMYFUNCTION("""COMPUTED_VALUE"""),"Xoài AD")</f>
        <v>Xoài AD</v>
      </c>
      <c r="D1168" s="5" t="str">
        <f>IFERROR(__xludf.DUMMYFUNCTION("""COMPUTED_VALUE"""),"CAMBODIA")</f>
        <v>CAMBODIA</v>
      </c>
      <c r="E1168" s="5" t="str">
        <f>IFERROR(__xludf.DUMMYFUNCTION("""COMPUTED_VALUE"""),"D8")</f>
        <v>D8</v>
      </c>
      <c r="F1168" s="5"/>
      <c r="G1168" s="5"/>
      <c r="H1168" s="5"/>
      <c r="I1168" s="5"/>
      <c r="J1168" s="5"/>
      <c r="K1168" s="5">
        <f>IFERROR(__xludf.DUMMYFUNCTION("""COMPUTED_VALUE"""),3.0)</f>
        <v>3</v>
      </c>
      <c r="L1168" s="5" t="str">
        <f>IFERROR(__xludf.DUMMYFUNCTION("""COMPUTED_VALUE"""),"KLH")</f>
        <v>KLH</v>
      </c>
    </row>
    <row r="1169">
      <c r="A1169" s="5" t="str">
        <f>IFERROR(__xludf.DUMMYFUNCTION("""COMPUTED_VALUE"""),"XXA-MNO-005")</f>
        <v>XXA-MNO-005</v>
      </c>
      <c r="B1169" s="3" t="str">
        <f>IFERROR(__xludf.DUMMYFUNCTION("""COMPUTED_VALUE"""),"Máy nổ D8")</f>
        <v>Máy nổ D8</v>
      </c>
      <c r="C1169" s="5" t="str">
        <f>IFERROR(__xludf.DUMMYFUNCTION("""COMPUTED_VALUE"""),"Xoài AD")</f>
        <v>Xoài AD</v>
      </c>
      <c r="D1169" s="5" t="str">
        <f>IFERROR(__xludf.DUMMYFUNCTION("""COMPUTED_VALUE"""),"CAMBODIA")</f>
        <v>CAMBODIA</v>
      </c>
      <c r="E1169" s="5" t="str">
        <f>IFERROR(__xludf.DUMMYFUNCTION("""COMPUTED_VALUE"""),"D8")</f>
        <v>D8</v>
      </c>
      <c r="F1169" s="5"/>
      <c r="G1169" s="5"/>
      <c r="H1169" s="5"/>
      <c r="I1169" s="5"/>
      <c r="J1169" s="5"/>
      <c r="K1169" s="5">
        <f>IFERROR(__xludf.DUMMYFUNCTION("""COMPUTED_VALUE"""),3.0)</f>
        <v>3</v>
      </c>
      <c r="L1169" s="5" t="str">
        <f>IFERROR(__xludf.DUMMYFUNCTION("""COMPUTED_VALUE"""),"KLH")</f>
        <v>KLH</v>
      </c>
    </row>
    <row r="1170">
      <c r="A1170" s="5" t="str">
        <f>IFERROR(__xludf.DUMMYFUNCTION("""COMPUTED_VALUE"""),"XXA-MNO-006")</f>
        <v>XXA-MNO-006</v>
      </c>
      <c r="B1170" s="3" t="str">
        <f>IFERROR(__xludf.DUMMYFUNCTION("""COMPUTED_VALUE"""),"Máy nổ D8")</f>
        <v>Máy nổ D8</v>
      </c>
      <c r="C1170" s="5" t="str">
        <f>IFERROR(__xludf.DUMMYFUNCTION("""COMPUTED_VALUE"""),"Xoài AD")</f>
        <v>Xoài AD</v>
      </c>
      <c r="D1170" s="5" t="str">
        <f>IFERROR(__xludf.DUMMYFUNCTION("""COMPUTED_VALUE"""),"CAMBODIA")</f>
        <v>CAMBODIA</v>
      </c>
      <c r="E1170" s="5" t="str">
        <f>IFERROR(__xludf.DUMMYFUNCTION("""COMPUTED_VALUE"""),"D8")</f>
        <v>D8</v>
      </c>
      <c r="F1170" s="5"/>
      <c r="G1170" s="5"/>
      <c r="H1170" s="5"/>
      <c r="I1170" s="5"/>
      <c r="J1170" s="5"/>
      <c r="K1170" s="5">
        <f>IFERROR(__xludf.DUMMYFUNCTION("""COMPUTED_VALUE"""),3.0)</f>
        <v>3</v>
      </c>
      <c r="L1170" s="5" t="str">
        <f>IFERROR(__xludf.DUMMYFUNCTION("""COMPUTED_VALUE"""),"KLH")</f>
        <v>KLH</v>
      </c>
    </row>
    <row r="1171">
      <c r="A1171" s="5" t="str">
        <f>IFERROR(__xludf.DUMMYFUNCTION("""COMPUTED_VALUE"""),"XXA-MNO-007")</f>
        <v>XXA-MNO-007</v>
      </c>
      <c r="B1171" s="3" t="str">
        <f>IFERROR(__xludf.DUMMYFUNCTION("""COMPUTED_VALUE"""),"Máy nổ D8")</f>
        <v>Máy nổ D8</v>
      </c>
      <c r="C1171" s="5" t="str">
        <f>IFERROR(__xludf.DUMMYFUNCTION("""COMPUTED_VALUE"""),"Xoài AD")</f>
        <v>Xoài AD</v>
      </c>
      <c r="D1171" s="5" t="str">
        <f>IFERROR(__xludf.DUMMYFUNCTION("""COMPUTED_VALUE"""),"CAMBODIA")</f>
        <v>CAMBODIA</v>
      </c>
      <c r="E1171" s="5" t="str">
        <f>IFERROR(__xludf.DUMMYFUNCTION("""COMPUTED_VALUE"""),"D8")</f>
        <v>D8</v>
      </c>
      <c r="F1171" s="5"/>
      <c r="G1171" s="5"/>
      <c r="H1171" s="5"/>
      <c r="I1171" s="5"/>
      <c r="J1171" s="5"/>
      <c r="K1171" s="5">
        <f>IFERROR(__xludf.DUMMYFUNCTION("""COMPUTED_VALUE"""),3.0)</f>
        <v>3</v>
      </c>
      <c r="L1171" s="5" t="str">
        <f>IFERROR(__xludf.DUMMYFUNCTION("""COMPUTED_VALUE"""),"KLH")</f>
        <v>KLH</v>
      </c>
    </row>
    <row r="1172">
      <c r="A1172" s="5" t="str">
        <f>IFERROR(__xludf.DUMMYFUNCTION("""COMPUTED_VALUE"""),"XXA-MNO-008")</f>
        <v>XXA-MNO-008</v>
      </c>
      <c r="B1172" s="3" t="str">
        <f>IFERROR(__xludf.DUMMYFUNCTION("""COMPUTED_VALUE"""),"Máy nổ D8")</f>
        <v>Máy nổ D8</v>
      </c>
      <c r="C1172" s="5" t="str">
        <f>IFERROR(__xludf.DUMMYFUNCTION("""COMPUTED_VALUE"""),"Xoài AD")</f>
        <v>Xoài AD</v>
      </c>
      <c r="D1172" s="5" t="str">
        <f>IFERROR(__xludf.DUMMYFUNCTION("""COMPUTED_VALUE"""),"CAMBODIA")</f>
        <v>CAMBODIA</v>
      </c>
      <c r="E1172" s="5" t="str">
        <f>IFERROR(__xludf.DUMMYFUNCTION("""COMPUTED_VALUE"""),"D8")</f>
        <v>D8</v>
      </c>
      <c r="F1172" s="5"/>
      <c r="G1172" s="5"/>
      <c r="H1172" s="5"/>
      <c r="I1172" s="5"/>
      <c r="J1172" s="5"/>
      <c r="K1172" s="5">
        <f>IFERROR(__xludf.DUMMYFUNCTION("""COMPUTED_VALUE"""),3.0)</f>
        <v>3</v>
      </c>
      <c r="L1172" s="5" t="str">
        <f>IFERROR(__xludf.DUMMYFUNCTION("""COMPUTED_VALUE"""),"KLH")</f>
        <v>KLH</v>
      </c>
    </row>
    <row r="1173">
      <c r="A1173" s="5" t="str">
        <f>IFERROR(__xludf.DUMMYFUNCTION("""COMPUTED_VALUE"""),"XL3-MNO-001")</f>
        <v>XL3-MNO-001</v>
      </c>
      <c r="B1173" s="3" t="str">
        <f>IFERROR(__xludf.DUMMYFUNCTION("""COMPUTED_VALUE"""),"Máy nổ D8")</f>
        <v>Máy nổ D8</v>
      </c>
      <c r="C1173" s="5" t="str">
        <f>IFERROR(__xludf.DUMMYFUNCTION("""COMPUTED_VALUE"""),"Xoài AD")</f>
        <v>Xoài AD</v>
      </c>
      <c r="D1173" s="5" t="str">
        <f>IFERROR(__xludf.DUMMYFUNCTION("""COMPUTED_VALUE"""),"CAMBODIA")</f>
        <v>CAMBODIA</v>
      </c>
      <c r="E1173" s="5" t="str">
        <f>IFERROR(__xludf.DUMMYFUNCTION("""COMPUTED_VALUE"""),"D8")</f>
        <v>D8</v>
      </c>
      <c r="F1173" s="5"/>
      <c r="G1173" s="5"/>
      <c r="H1173" s="5"/>
      <c r="I1173" s="5" t="str">
        <f>IFERROR(__xludf.DUMMYFUNCTION("""COMPUTED_VALUE"""),"281906170429")</f>
        <v>281906170429</v>
      </c>
      <c r="J1173" s="5"/>
      <c r="K1173" s="5">
        <f>IFERROR(__xludf.DUMMYFUNCTION("""COMPUTED_VALUE"""),3.0)</f>
        <v>3</v>
      </c>
      <c r="L1173" s="5" t="str">
        <f>IFERROR(__xludf.DUMMYFUNCTION("""COMPUTED_VALUE"""),"KLH")</f>
        <v>KLH</v>
      </c>
    </row>
    <row r="1174">
      <c r="A1174" s="5" t="str">
        <f>IFERROR(__xludf.DUMMYFUNCTION("""COMPUTED_VALUE"""),"XXA-MNO-010")</f>
        <v>XXA-MNO-010</v>
      </c>
      <c r="B1174" s="3" t="str">
        <f>IFERROR(__xludf.DUMMYFUNCTION("""COMPUTED_VALUE"""),"Máy nổ D8")</f>
        <v>Máy nổ D8</v>
      </c>
      <c r="C1174" s="5" t="str">
        <f>IFERROR(__xludf.DUMMYFUNCTION("""COMPUTED_VALUE"""),"Xoài AD")</f>
        <v>Xoài AD</v>
      </c>
      <c r="D1174" s="5" t="str">
        <f>IFERROR(__xludf.DUMMYFUNCTION("""COMPUTED_VALUE"""),"CAMBODIA")</f>
        <v>CAMBODIA</v>
      </c>
      <c r="E1174" s="5" t="str">
        <f>IFERROR(__xludf.DUMMYFUNCTION("""COMPUTED_VALUE"""),"D8")</f>
        <v>D8</v>
      </c>
      <c r="F1174" s="5"/>
      <c r="G1174" s="5"/>
      <c r="H1174" s="5"/>
      <c r="I1174" s="5"/>
      <c r="J1174" s="5"/>
      <c r="K1174" s="5">
        <f>IFERROR(__xludf.DUMMYFUNCTION("""COMPUTED_VALUE"""),3.0)</f>
        <v>3</v>
      </c>
      <c r="L1174" s="5" t="str">
        <f>IFERROR(__xludf.DUMMYFUNCTION("""COMPUTED_VALUE"""),"KLH")</f>
        <v>KLH</v>
      </c>
    </row>
    <row r="1175">
      <c r="A1175" s="5" t="str">
        <f>IFERROR(__xludf.DUMMYFUNCTION("""COMPUTED_VALUE"""),"XXA-CCO-001")</f>
        <v>XXA-CCO-001</v>
      </c>
      <c r="B1175" s="3" t="str">
        <f>IFERROR(__xludf.DUMMYFUNCTION("""COMPUTED_VALUE"""),"Thiết bị phay cỏ")</f>
        <v>Thiết bị phay cỏ</v>
      </c>
      <c r="C1175" s="5" t="str">
        <f>IFERROR(__xludf.DUMMYFUNCTION("""COMPUTED_VALUE"""),"Xoài AD")</f>
        <v>Xoài AD</v>
      </c>
      <c r="D1175" s="5" t="str">
        <f>IFERROR(__xludf.DUMMYFUNCTION("""COMPUTED_VALUE"""),"CAMBODIA")</f>
        <v>CAMBODIA</v>
      </c>
      <c r="E1175" s="5" t="str">
        <f>IFERROR(__xludf.DUMMYFUNCTION("""COMPUTED_VALUE"""),"SM140")</f>
        <v>SM140</v>
      </c>
      <c r="F1175" s="5"/>
      <c r="G1175" s="5"/>
      <c r="H1175" s="5"/>
      <c r="I1175" s="5" t="str">
        <f>IFERROR(__xludf.DUMMYFUNCTION("""COMPUTED_VALUE"""),"SM140")</f>
        <v>SM140</v>
      </c>
      <c r="J1175" s="5"/>
      <c r="K1175" s="5"/>
      <c r="L1175" s="5" t="str">
        <f>IFERROR(__xludf.DUMMYFUNCTION("""COMPUTED_VALUE"""),"KLH")</f>
        <v>KLH</v>
      </c>
    </row>
    <row r="1176">
      <c r="A1176" s="5" t="str">
        <f>IFERROR(__xludf.DUMMYFUNCTION("""COMPUTED_VALUE"""),"XXA-CCO-002")</f>
        <v>XXA-CCO-002</v>
      </c>
      <c r="B1176" s="3" t="str">
        <f>IFERROR(__xludf.DUMMYFUNCTION("""COMPUTED_VALUE"""),"Thiết bị phay cỏ")</f>
        <v>Thiết bị phay cỏ</v>
      </c>
      <c r="C1176" s="5" t="str">
        <f>IFERROR(__xludf.DUMMYFUNCTION("""COMPUTED_VALUE"""),"Xoài AD")</f>
        <v>Xoài AD</v>
      </c>
      <c r="D1176" s="5" t="str">
        <f>IFERROR(__xludf.DUMMYFUNCTION("""COMPUTED_VALUE"""),"CAMBODIA")</f>
        <v>CAMBODIA</v>
      </c>
      <c r="E1176" s="5" t="str">
        <f>IFERROR(__xludf.DUMMYFUNCTION("""COMPUTED_VALUE"""),"SM140")</f>
        <v>SM140</v>
      </c>
      <c r="F1176" s="5"/>
      <c r="G1176" s="5"/>
      <c r="H1176" s="5"/>
      <c r="I1176" s="5" t="str">
        <f>IFERROR(__xludf.DUMMYFUNCTION("""COMPUTED_VALUE"""),"SM140")</f>
        <v>SM140</v>
      </c>
      <c r="J1176" s="5"/>
      <c r="K1176" s="5"/>
      <c r="L1176" s="5" t="str">
        <f>IFERROR(__xludf.DUMMYFUNCTION("""COMPUTED_VALUE"""),"KLH")</f>
        <v>KLH</v>
      </c>
    </row>
    <row r="1177">
      <c r="A1177" s="5" t="str">
        <f>IFERROR(__xludf.DUMMYFUNCTION("""COMPUTED_VALUE"""),"XXA-RML-001")</f>
        <v>XXA-RML-001</v>
      </c>
      <c r="B1177" s="3" t="str">
        <f>IFERROR(__xludf.DUMMYFUNCTION("""COMPUTED_VALUE"""),"Rơ mooc lưới")</f>
        <v>Rơ mooc lưới</v>
      </c>
      <c r="C1177" s="5" t="str">
        <f>IFERROR(__xludf.DUMMYFUNCTION("""COMPUTED_VALUE"""),"Xoài AD")</f>
        <v>Xoài AD</v>
      </c>
      <c r="D1177" s="5" t="str">
        <f>IFERROR(__xludf.DUMMYFUNCTION("""COMPUTED_VALUE"""),"THACO AGRI")</f>
        <v>THACO AGRI</v>
      </c>
      <c r="E1177" s="5"/>
      <c r="F1177" s="5"/>
      <c r="G1177" s="5"/>
      <c r="H1177" s="5"/>
      <c r="I1177" s="5"/>
      <c r="J1177" s="5"/>
      <c r="K1177" s="5"/>
      <c r="L1177" s="5" t="str">
        <f>IFERROR(__xludf.DUMMYFUNCTION("""COMPUTED_VALUE"""),"KLH")</f>
        <v>KLH</v>
      </c>
    </row>
    <row r="1178">
      <c r="A1178" s="5" t="str">
        <f>IFERROR(__xludf.DUMMYFUNCTION("""COMPUTED_VALUE"""),"XXA-RML-002")</f>
        <v>XXA-RML-002</v>
      </c>
      <c r="B1178" s="3" t="str">
        <f>IFERROR(__xludf.DUMMYFUNCTION("""COMPUTED_VALUE"""),"Rơ mooc lưới")</f>
        <v>Rơ mooc lưới</v>
      </c>
      <c r="C1178" s="5" t="str">
        <f>IFERROR(__xludf.DUMMYFUNCTION("""COMPUTED_VALUE"""),"Xoài AD")</f>
        <v>Xoài AD</v>
      </c>
      <c r="D1178" s="5" t="str">
        <f>IFERROR(__xludf.DUMMYFUNCTION("""COMPUTED_VALUE"""),"THACO AGRI")</f>
        <v>THACO AGRI</v>
      </c>
      <c r="E1178" s="5"/>
      <c r="F1178" s="5"/>
      <c r="G1178" s="5"/>
      <c r="H1178" s="5"/>
      <c r="I1178" s="5"/>
      <c r="J1178" s="5"/>
      <c r="K1178" s="5"/>
      <c r="L1178" s="5" t="str">
        <f>IFERROR(__xludf.DUMMYFUNCTION("""COMPUTED_VALUE"""),"KLH")</f>
        <v>KLH</v>
      </c>
    </row>
    <row r="1179">
      <c r="A1179" s="5" t="str">
        <f>IFERROR(__xludf.DUMMYFUNCTION("""COMPUTED_VALUE"""),"XXA-RML-003")</f>
        <v>XXA-RML-003</v>
      </c>
      <c r="B1179" s="3" t="str">
        <f>IFERROR(__xludf.DUMMYFUNCTION("""COMPUTED_VALUE"""),"Rơ mooc lưới")</f>
        <v>Rơ mooc lưới</v>
      </c>
      <c r="C1179" s="5" t="str">
        <f>IFERROR(__xludf.DUMMYFUNCTION("""COMPUTED_VALUE"""),"Xoài AD")</f>
        <v>Xoài AD</v>
      </c>
      <c r="D1179" s="5" t="str">
        <f>IFERROR(__xludf.DUMMYFUNCTION("""COMPUTED_VALUE"""),"THACO AGRI")</f>
        <v>THACO AGRI</v>
      </c>
      <c r="E1179" s="5"/>
      <c r="F1179" s="5"/>
      <c r="G1179" s="5"/>
      <c r="H1179" s="5" t="str">
        <f>IFERROR(__xludf.DUMMYFUNCTION("""COMPUTED_VALUE"""),"4.5x2.6x2m")</f>
        <v>4.5x2.6x2m</v>
      </c>
      <c r="I1179" s="5"/>
      <c r="J1179" s="5"/>
      <c r="K1179" s="5"/>
      <c r="L1179" s="5" t="str">
        <f>IFERROR(__xludf.DUMMYFUNCTION("""COMPUTED_VALUE"""),"KLH")</f>
        <v>KLH</v>
      </c>
    </row>
    <row r="1180">
      <c r="A1180" s="5" t="str">
        <f>IFERROR(__xludf.DUMMYFUNCTION("""COMPUTED_VALUE"""),"XXA-RML-004")</f>
        <v>XXA-RML-004</v>
      </c>
      <c r="B1180" s="3" t="str">
        <f>IFERROR(__xludf.DUMMYFUNCTION("""COMPUTED_VALUE"""),"Rơ mooc lưới")</f>
        <v>Rơ mooc lưới</v>
      </c>
      <c r="C1180" s="5" t="str">
        <f>IFERROR(__xludf.DUMMYFUNCTION("""COMPUTED_VALUE"""),"Xoài AD")</f>
        <v>Xoài AD</v>
      </c>
      <c r="D1180" s="5" t="str">
        <f>IFERROR(__xludf.DUMMYFUNCTION("""COMPUTED_VALUE"""),"THACO AGRI")</f>
        <v>THACO AGRI</v>
      </c>
      <c r="E1180" s="5"/>
      <c r="F1180" s="5"/>
      <c r="G1180" s="5"/>
      <c r="H1180" s="5" t="str">
        <f>IFERROR(__xludf.DUMMYFUNCTION("""COMPUTED_VALUE"""),"4.5x2.6x2m")</f>
        <v>4.5x2.6x2m</v>
      </c>
      <c r="I1180" s="5"/>
      <c r="J1180" s="5"/>
      <c r="K1180" s="5"/>
      <c r="L1180" s="5" t="str">
        <f>IFERROR(__xludf.DUMMYFUNCTION("""COMPUTED_VALUE"""),"KLH")</f>
        <v>KLH</v>
      </c>
    </row>
    <row r="1181">
      <c r="A1181" s="5" t="str">
        <f>IFERROR(__xludf.DUMMYFUNCTION("""COMPUTED_VALUE"""),"XXA-RML-005")</f>
        <v>XXA-RML-005</v>
      </c>
      <c r="B1181" s="3" t="str">
        <f>IFERROR(__xludf.DUMMYFUNCTION("""COMPUTED_VALUE"""),"Rơ mooc lưới")</f>
        <v>Rơ mooc lưới</v>
      </c>
      <c r="C1181" s="5"/>
      <c r="D1181" s="5" t="str">
        <f>IFERROR(__xludf.DUMMYFUNCTION("""COMPUTED_VALUE"""),"THACO AGRI")</f>
        <v>THACO AGRI</v>
      </c>
      <c r="E1181" s="5"/>
      <c r="F1181" s="5"/>
      <c r="G1181" s="5"/>
      <c r="H1181" s="5" t="str">
        <f>IFERROR(__xludf.DUMMYFUNCTION("""COMPUTED_VALUE"""),"4.5x2.6x2m")</f>
        <v>4.5x2.6x2m</v>
      </c>
      <c r="I1181" s="5"/>
      <c r="J1181" s="5"/>
      <c r="K1181" s="5"/>
      <c r="L1181" s="5" t="str">
        <f>IFERROR(__xludf.DUMMYFUNCTION("""COMPUTED_VALUE"""),"KLH")</f>
        <v>KLH</v>
      </c>
    </row>
    <row r="1182">
      <c r="A1182" s="5" t="str">
        <f>IFERROR(__xludf.DUMMYFUNCTION("""COMPUTED_VALUE"""),"XXA-RML-006")</f>
        <v>XXA-RML-006</v>
      </c>
      <c r="B1182" s="3" t="str">
        <f>IFERROR(__xludf.DUMMYFUNCTION("""COMPUTED_VALUE"""),"Rơ mooc lưới")</f>
        <v>Rơ mooc lưới</v>
      </c>
      <c r="C1182" s="5"/>
      <c r="D1182" s="5" t="str">
        <f>IFERROR(__xludf.DUMMYFUNCTION("""COMPUTED_VALUE"""),"THACO AGRI")</f>
        <v>THACO AGRI</v>
      </c>
      <c r="E1182" s="5"/>
      <c r="F1182" s="5"/>
      <c r="G1182" s="5"/>
      <c r="H1182" s="5" t="str">
        <f>IFERROR(__xludf.DUMMYFUNCTION("""COMPUTED_VALUE"""),"4.5x2.6x2m")</f>
        <v>4.5x2.6x2m</v>
      </c>
      <c r="I1182" s="5"/>
      <c r="J1182" s="5"/>
      <c r="K1182" s="5"/>
      <c r="L1182" s="5" t="str">
        <f>IFERROR(__xludf.DUMMYFUNCTION("""COMPUTED_VALUE"""),"KLH")</f>
        <v>KLH</v>
      </c>
    </row>
    <row r="1183">
      <c r="A1183" s="5" t="str">
        <f>IFERROR(__xludf.DUMMYFUNCTION("""COMPUTED_VALUE"""),"XXA-RML-007")</f>
        <v>XXA-RML-007</v>
      </c>
      <c r="B1183" s="3" t="str">
        <f>IFERROR(__xludf.DUMMYFUNCTION("""COMPUTED_VALUE"""),"Rơ mooc lưới")</f>
        <v>Rơ mooc lưới</v>
      </c>
      <c r="C1183" s="5"/>
      <c r="D1183" s="5" t="str">
        <f>IFERROR(__xludf.DUMMYFUNCTION("""COMPUTED_VALUE"""),"THACO AGRI")</f>
        <v>THACO AGRI</v>
      </c>
      <c r="E1183" s="5"/>
      <c r="F1183" s="5"/>
      <c r="G1183" s="5"/>
      <c r="H1183" s="5" t="str">
        <f>IFERROR(__xludf.DUMMYFUNCTION("""COMPUTED_VALUE"""),"4.5x2.6x2m")</f>
        <v>4.5x2.6x2m</v>
      </c>
      <c r="I1183" s="5"/>
      <c r="J1183" s="5"/>
      <c r="K1183" s="5"/>
      <c r="L1183" s="5" t="str">
        <f>IFERROR(__xludf.DUMMYFUNCTION("""COMPUTED_VALUE"""),"KLH")</f>
        <v>KLH</v>
      </c>
    </row>
    <row r="1184">
      <c r="A1184" s="5" t="str">
        <f>IFERROR(__xludf.DUMMYFUNCTION("""COMPUTED_VALUE"""),"XXA-RML-008")</f>
        <v>XXA-RML-008</v>
      </c>
      <c r="B1184" s="3" t="str">
        <f>IFERROR(__xludf.DUMMYFUNCTION("""COMPUTED_VALUE"""),"Rơ mooc lưới")</f>
        <v>Rơ mooc lưới</v>
      </c>
      <c r="C1184" s="5"/>
      <c r="D1184" s="5" t="str">
        <f>IFERROR(__xludf.DUMMYFUNCTION("""COMPUTED_VALUE"""),"THACO AGRI")</f>
        <v>THACO AGRI</v>
      </c>
      <c r="E1184" s="5"/>
      <c r="F1184" s="5"/>
      <c r="G1184" s="5"/>
      <c r="H1184" s="5" t="str">
        <f>IFERROR(__xludf.DUMMYFUNCTION("""COMPUTED_VALUE"""),"4.5x2.6x2m")</f>
        <v>4.5x2.6x2m</v>
      </c>
      <c r="I1184" s="5"/>
      <c r="J1184" s="5"/>
      <c r="K1184" s="5"/>
      <c r="L1184" s="5" t="str">
        <f>IFERROR(__xludf.DUMMYFUNCTION("""COMPUTED_VALUE"""),"KLH")</f>
        <v>KLH</v>
      </c>
    </row>
    <row r="1185">
      <c r="A1185" s="5" t="str">
        <f>IFERROR(__xludf.DUMMYFUNCTION("""COMPUTED_VALUE"""),"XXA-RMC-001")</f>
        <v>XXA-RMC-001</v>
      </c>
      <c r="B1185" s="3" t="str">
        <f>IFERROR(__xludf.DUMMYFUNCTION("""COMPUTED_VALUE"""),"Rơ mooc thu hoạch xoài")</f>
        <v>Rơ mooc thu hoạch xoài</v>
      </c>
      <c r="C1185" s="5" t="str">
        <f>IFERROR(__xludf.DUMMYFUNCTION("""COMPUTED_VALUE"""),"Xoài AD")</f>
        <v>Xoài AD</v>
      </c>
      <c r="D1185" s="5" t="str">
        <f>IFERROR(__xludf.DUMMYFUNCTION("""COMPUTED_VALUE"""),"THACO AGRI")</f>
        <v>THACO AGRI</v>
      </c>
      <c r="E1185" s="5"/>
      <c r="F1185" s="5"/>
      <c r="G1185" s="5"/>
      <c r="H1185" s="5"/>
      <c r="I1185" s="5"/>
      <c r="J1185" s="5"/>
      <c r="K1185" s="5"/>
      <c r="L1185" s="5" t="str">
        <f>IFERROR(__xludf.DUMMYFUNCTION("""COMPUTED_VALUE"""),"KLH")</f>
        <v>KLH</v>
      </c>
    </row>
    <row r="1186">
      <c r="A1186" s="5" t="str">
        <f>IFERROR(__xludf.DUMMYFUNCTION("""COMPUTED_VALUE"""),"XXA-RNB-001")</f>
        <v>XXA-RNB-001</v>
      </c>
      <c r="B1186" s="3" t="str">
        <f>IFERROR(__xludf.DUMMYFUNCTION("""COMPUTED_VALUE"""),"Rơ mooc chở bồn phun thuốc")</f>
        <v>Rơ mooc chở bồn phun thuốc</v>
      </c>
      <c r="C1186" s="5" t="str">
        <f>IFERROR(__xludf.DUMMYFUNCTION("""COMPUTED_VALUE"""),"Xoài AD")</f>
        <v>Xoài AD</v>
      </c>
      <c r="D1186" s="5" t="str">
        <f>IFERROR(__xludf.DUMMYFUNCTION("""COMPUTED_VALUE"""),"THACO AGRI")</f>
        <v>THACO AGRI</v>
      </c>
      <c r="E1186" s="5"/>
      <c r="F1186" s="5"/>
      <c r="G1186" s="5"/>
      <c r="H1186" s="5"/>
      <c r="I1186" s="5"/>
      <c r="J1186" s="5"/>
      <c r="K1186" s="5"/>
      <c r="L1186" s="5" t="str">
        <f>IFERROR(__xludf.DUMMYFUNCTION("""COMPUTED_VALUE"""),"KLH")</f>
        <v>KLH</v>
      </c>
    </row>
    <row r="1187">
      <c r="A1187" s="5" t="str">
        <f>IFERROR(__xludf.DUMMYFUNCTION("""COMPUTED_VALUE"""),"XXA-RNB-002")</f>
        <v>XXA-RNB-002</v>
      </c>
      <c r="B1187" s="3" t="str">
        <f>IFERROR(__xludf.DUMMYFUNCTION("""COMPUTED_VALUE"""),"Rơ mooc chở bồn phun thuốc")</f>
        <v>Rơ mooc chở bồn phun thuốc</v>
      </c>
      <c r="C1187" s="5" t="str">
        <f>IFERROR(__xludf.DUMMYFUNCTION("""COMPUTED_VALUE"""),"Xoài AD")</f>
        <v>Xoài AD</v>
      </c>
      <c r="D1187" s="5" t="str">
        <f>IFERROR(__xludf.DUMMYFUNCTION("""COMPUTED_VALUE"""),"THACO AGRI")</f>
        <v>THACO AGRI</v>
      </c>
      <c r="E1187" s="5"/>
      <c r="F1187" s="5"/>
      <c r="G1187" s="5"/>
      <c r="H1187" s="5"/>
      <c r="I1187" s="5"/>
      <c r="J1187" s="5"/>
      <c r="K1187" s="5"/>
      <c r="L1187" s="5" t="str">
        <f>IFERROR(__xludf.DUMMYFUNCTION("""COMPUTED_VALUE"""),"KLH")</f>
        <v>KLH</v>
      </c>
    </row>
    <row r="1188">
      <c r="A1188" s="5" t="str">
        <f>IFERROR(__xludf.DUMMYFUNCTION("""COMPUTED_VALUE"""),"XXA-RNB-003")</f>
        <v>XXA-RNB-003</v>
      </c>
      <c r="B1188" s="3" t="str">
        <f>IFERROR(__xludf.DUMMYFUNCTION("""COMPUTED_VALUE"""),"Rơ mooc chở bồn phun thuốc")</f>
        <v>Rơ mooc chở bồn phun thuốc</v>
      </c>
      <c r="C1188" s="5" t="str">
        <f>IFERROR(__xludf.DUMMYFUNCTION("""COMPUTED_VALUE"""),"Xoài AD")</f>
        <v>Xoài AD</v>
      </c>
      <c r="D1188" s="5" t="str">
        <f>IFERROR(__xludf.DUMMYFUNCTION("""COMPUTED_VALUE"""),"THACO AGRI")</f>
        <v>THACO AGRI</v>
      </c>
      <c r="E1188" s="5"/>
      <c r="F1188" s="5"/>
      <c r="G1188" s="5" t="str">
        <f>IFERROR(__xludf.DUMMYFUNCTION("""COMPUTED_VALUE"""),"2024")</f>
        <v>2024</v>
      </c>
      <c r="H1188" s="5" t="str">
        <f>IFERROR(__xludf.DUMMYFUNCTION("""COMPUTED_VALUE"""),"3x2.1x2.1m")</f>
        <v>3x2.1x2.1m</v>
      </c>
      <c r="I1188" s="5" t="str">
        <f>IFERROR(__xludf.DUMMYFUNCTION("""COMPUTED_VALUE"""),"Kèm bồn 2000L")</f>
        <v>Kèm bồn 2000L</v>
      </c>
      <c r="J1188" s="5"/>
      <c r="K1188" s="5"/>
      <c r="L1188" s="5" t="str">
        <f>IFERROR(__xludf.DUMMYFUNCTION("""COMPUTED_VALUE"""),"KLH")</f>
        <v>KLH</v>
      </c>
    </row>
    <row r="1189">
      <c r="A1189" s="5" t="str">
        <f>IFERROR(__xludf.DUMMYFUNCTION("""COMPUTED_VALUE"""),"XXA-RNB-004")</f>
        <v>XXA-RNB-004</v>
      </c>
      <c r="B1189" s="3" t="str">
        <f>IFERROR(__xludf.DUMMYFUNCTION("""COMPUTED_VALUE"""),"Rơ mooc chở bồn phun thuốc")</f>
        <v>Rơ mooc chở bồn phun thuốc</v>
      </c>
      <c r="C1189" s="5" t="str">
        <f>IFERROR(__xludf.DUMMYFUNCTION("""COMPUTED_VALUE"""),"Xoài AD")</f>
        <v>Xoài AD</v>
      </c>
      <c r="D1189" s="5" t="str">
        <f>IFERROR(__xludf.DUMMYFUNCTION("""COMPUTED_VALUE"""),"THACO AGRI")</f>
        <v>THACO AGRI</v>
      </c>
      <c r="E1189" s="5"/>
      <c r="F1189" s="5"/>
      <c r="G1189" s="5" t="str">
        <f>IFERROR(__xludf.DUMMYFUNCTION("""COMPUTED_VALUE"""),"2024")</f>
        <v>2024</v>
      </c>
      <c r="H1189" s="5" t="str">
        <f>IFERROR(__xludf.DUMMYFUNCTION("""COMPUTED_VALUE"""),"3.2X2.2X2.3m")</f>
        <v>3.2X2.2X2.3m</v>
      </c>
      <c r="I1189" s="5"/>
      <c r="J1189" s="5"/>
      <c r="K1189" s="5"/>
      <c r="L1189" s="5" t="str">
        <f>IFERROR(__xludf.DUMMYFUNCTION("""COMPUTED_VALUE"""),"KLH")</f>
        <v>KLH</v>
      </c>
    </row>
    <row r="1190">
      <c r="A1190" s="5" t="str">
        <f>IFERROR(__xludf.DUMMYFUNCTION("""COMPUTED_VALUE"""),"XXA-MCA-001")</f>
        <v>XXA-MCA-001</v>
      </c>
      <c r="B1190" s="3" t="str">
        <f>IFERROR(__xludf.DUMMYFUNCTION("""COMPUTED_VALUE"""),"Máy cao áp phun thuốc")</f>
        <v>Máy cao áp phun thuốc</v>
      </c>
      <c r="C1190" s="5" t="str">
        <f>IFERROR(__xludf.DUMMYFUNCTION("""COMPUTED_VALUE"""),"Xoài AD")</f>
        <v>Xoài AD</v>
      </c>
      <c r="D1190" s="5" t="str">
        <f>IFERROR(__xludf.DUMMYFUNCTION("""COMPUTED_VALUE"""),"CAMBODIA")</f>
        <v>CAMBODIA</v>
      </c>
      <c r="E1190" s="5" t="str">
        <f>IFERROR(__xludf.DUMMYFUNCTION("""COMPUTED_VALUE"""),"3.5HP")</f>
        <v>3.5HP</v>
      </c>
      <c r="F1190" s="5"/>
      <c r="G1190" s="5"/>
      <c r="H1190" s="5"/>
      <c r="I1190" s="5"/>
      <c r="J1190" s="5"/>
      <c r="K1190" s="5"/>
      <c r="L1190" s="5" t="str">
        <f>IFERROR(__xludf.DUMMYFUNCTION("""COMPUTED_VALUE"""),"KLH")</f>
        <v>KLH</v>
      </c>
    </row>
    <row r="1191">
      <c r="A1191" s="5" t="str">
        <f>IFERROR(__xludf.DUMMYFUNCTION("""COMPUTED_VALUE"""),"XXA-MCA-002")</f>
        <v>XXA-MCA-002</v>
      </c>
      <c r="B1191" s="3" t="str">
        <f>IFERROR(__xludf.DUMMYFUNCTION("""COMPUTED_VALUE"""),"Máy cao áp phun thuốc")</f>
        <v>Máy cao áp phun thuốc</v>
      </c>
      <c r="C1191" s="5" t="str">
        <f>IFERROR(__xludf.DUMMYFUNCTION("""COMPUTED_VALUE"""),"Xoài AD")</f>
        <v>Xoài AD</v>
      </c>
      <c r="D1191" s="5" t="str">
        <f>IFERROR(__xludf.DUMMYFUNCTION("""COMPUTED_VALUE"""),"CAMBODIA")</f>
        <v>CAMBODIA</v>
      </c>
      <c r="E1191" s="5" t="str">
        <f>IFERROR(__xludf.DUMMYFUNCTION("""COMPUTED_VALUE"""),"7HP")</f>
        <v>7HP</v>
      </c>
      <c r="F1191" s="5"/>
      <c r="G1191" s="5"/>
      <c r="H1191" s="5"/>
      <c r="I1191" s="5"/>
      <c r="J1191" s="5"/>
      <c r="K1191" s="5"/>
      <c r="L1191" s="5" t="str">
        <f>IFERROR(__xludf.DUMMYFUNCTION("""COMPUTED_VALUE"""),"KLH")</f>
        <v>KLH</v>
      </c>
    </row>
    <row r="1192">
      <c r="A1192" s="5" t="str">
        <f>IFERROR(__xludf.DUMMYFUNCTION("""COMPUTED_VALUE"""),"XXA-MCA-003")</f>
        <v>XXA-MCA-003</v>
      </c>
      <c r="B1192" s="3" t="str">
        <f>IFERROR(__xludf.DUMMYFUNCTION("""COMPUTED_VALUE"""),"Máy cao áp phun thuốc")</f>
        <v>Máy cao áp phun thuốc</v>
      </c>
      <c r="C1192" s="5" t="str">
        <f>IFERROR(__xludf.DUMMYFUNCTION("""COMPUTED_VALUE"""),"Xoài AD")</f>
        <v>Xoài AD</v>
      </c>
      <c r="D1192" s="5" t="str">
        <f>IFERROR(__xludf.DUMMYFUNCTION("""COMPUTED_VALUE"""),"CAMBODIA")</f>
        <v>CAMBODIA</v>
      </c>
      <c r="E1192" s="5" t="str">
        <f>IFERROR(__xludf.DUMMYFUNCTION("""COMPUTED_VALUE"""),"3.5HP")</f>
        <v>3.5HP</v>
      </c>
      <c r="F1192" s="5"/>
      <c r="G1192" s="5"/>
      <c r="H1192" s="5"/>
      <c r="I1192" s="5"/>
      <c r="J1192" s="5"/>
      <c r="K1192" s="5"/>
      <c r="L1192" s="5" t="str">
        <f>IFERROR(__xludf.DUMMYFUNCTION("""COMPUTED_VALUE"""),"KLH")</f>
        <v>KLH</v>
      </c>
    </row>
    <row r="1193">
      <c r="A1193" s="5" t="str">
        <f>IFERROR(__xludf.DUMMYFUNCTION("""COMPUTED_VALUE"""),"XXA-MCA-004")</f>
        <v>XXA-MCA-004</v>
      </c>
      <c r="B1193" s="3" t="str">
        <f>IFERROR(__xludf.DUMMYFUNCTION("""COMPUTED_VALUE"""),"Máy cao áp phun thuốc")</f>
        <v>Máy cao áp phun thuốc</v>
      </c>
      <c r="C1193" s="5" t="str">
        <f>IFERROR(__xludf.DUMMYFUNCTION("""COMPUTED_VALUE"""),"Xoài AD")</f>
        <v>Xoài AD</v>
      </c>
      <c r="D1193" s="5" t="str">
        <f>IFERROR(__xludf.DUMMYFUNCTION("""COMPUTED_VALUE"""),"CAMBODIA")</f>
        <v>CAMBODIA</v>
      </c>
      <c r="E1193" s="5" t="str">
        <f>IFERROR(__xludf.DUMMYFUNCTION("""COMPUTED_VALUE"""),"3.5HP")</f>
        <v>3.5HP</v>
      </c>
      <c r="F1193" s="5"/>
      <c r="G1193" s="5"/>
      <c r="H1193" s="5"/>
      <c r="I1193" s="5"/>
      <c r="J1193" s="5"/>
      <c r="K1193" s="5"/>
      <c r="L1193" s="5" t="str">
        <f>IFERROR(__xludf.DUMMYFUNCTION("""COMPUTED_VALUE"""),"KLH")</f>
        <v>KLH</v>
      </c>
    </row>
    <row r="1194">
      <c r="A1194" s="5" t="str">
        <f>IFERROR(__xludf.DUMMYFUNCTION("""COMPUTED_VALUE"""),"XXA-MCA-005")</f>
        <v>XXA-MCA-005</v>
      </c>
      <c r="B1194" s="3" t="str">
        <f>IFERROR(__xludf.DUMMYFUNCTION("""COMPUTED_VALUE"""),"Máy cao áp phun thuốc")</f>
        <v>Máy cao áp phun thuốc</v>
      </c>
      <c r="C1194" s="5" t="str">
        <f>IFERROR(__xludf.DUMMYFUNCTION("""COMPUTED_VALUE"""),"Xoài AD")</f>
        <v>Xoài AD</v>
      </c>
      <c r="D1194" s="5" t="str">
        <f>IFERROR(__xludf.DUMMYFUNCTION("""COMPUTED_VALUE"""),"CAMBODIA")</f>
        <v>CAMBODIA</v>
      </c>
      <c r="E1194" s="5" t="str">
        <f>IFERROR(__xludf.DUMMYFUNCTION("""COMPUTED_VALUE"""),"3.5HP")</f>
        <v>3.5HP</v>
      </c>
      <c r="F1194" s="5"/>
      <c r="G1194" s="5"/>
      <c r="H1194" s="5"/>
      <c r="I1194" s="5"/>
      <c r="J1194" s="5"/>
      <c r="K1194" s="5"/>
      <c r="L1194" s="5" t="str">
        <f>IFERROR(__xludf.DUMMYFUNCTION("""COMPUTED_VALUE"""),"KLH")</f>
        <v>KLH</v>
      </c>
    </row>
    <row r="1195">
      <c r="A1195" s="5" t="str">
        <f>IFERROR(__xludf.DUMMYFUNCTION("""COMPUTED_VALUE"""),"XXA-MCO-001")</f>
        <v>XXA-MCO-001</v>
      </c>
      <c r="B1195" s="3" t="str">
        <f>IFERROR(__xludf.DUMMYFUNCTION("""COMPUTED_VALUE"""),"Máy cuộn cỏ (gắn sau máy kéo)")</f>
        <v>Máy cuộn cỏ (gắn sau máy kéo)</v>
      </c>
      <c r="C1195" s="5" t="str">
        <f>IFERROR(__xludf.DUMMYFUNCTION("""COMPUTED_VALUE"""),"Xoài AD")</f>
        <v>Xoài AD</v>
      </c>
      <c r="D1195" s="5" t="str">
        <f>IFERROR(__xludf.DUMMYFUNCTION("""COMPUTED_VALUE"""),"TAMICO-S")</f>
        <v>TAMICO-S</v>
      </c>
      <c r="E1195" s="5" t="str">
        <f>IFERROR(__xludf.DUMMYFUNCTION("""COMPUTED_VALUE"""),"YTAMI")</f>
        <v>YTAMI</v>
      </c>
      <c r="F1195" s="5"/>
      <c r="G1195" s="5" t="str">
        <f>IFERROR(__xludf.DUMMYFUNCTION("""COMPUTED_VALUE"""),"2024")</f>
        <v>2024</v>
      </c>
      <c r="H1195" s="5" t="str">
        <f>IFERROR(__xludf.DUMMYFUNCTION("""COMPUTED_VALUE"""),"20-50HP")</f>
        <v>20-50HP</v>
      </c>
      <c r="I1195" s="5" t="str">
        <f>IFERROR(__xludf.DUMMYFUNCTION("""COMPUTED_VALUE"""),"14290")</f>
        <v>14290</v>
      </c>
      <c r="J1195" s="5"/>
      <c r="K1195" s="5">
        <f>IFERROR(__xludf.DUMMYFUNCTION("""COMPUTED_VALUE"""),0.3)</f>
        <v>0.3</v>
      </c>
      <c r="L1195" s="5" t="str">
        <f>IFERROR(__xludf.DUMMYFUNCTION("""COMPUTED_VALUE"""),"KLH")</f>
        <v>KLH</v>
      </c>
    </row>
    <row r="1196">
      <c r="A1196" s="5" t="str">
        <f>IFERROR(__xludf.DUMMYFUNCTION("""COMPUTED_VALUE"""),"XXA-MCO-002")</f>
        <v>XXA-MCO-002</v>
      </c>
      <c r="B1196" s="3" t="str">
        <f>IFERROR(__xludf.DUMMYFUNCTION("""COMPUTED_VALUE"""),"Máy cuộn cỏ (gắn sau máy kéo)")</f>
        <v>Máy cuộn cỏ (gắn sau máy kéo)</v>
      </c>
      <c r="C1196" s="5" t="str">
        <f>IFERROR(__xludf.DUMMYFUNCTION("""COMPUTED_VALUE"""),"Xoài AD")</f>
        <v>Xoài AD</v>
      </c>
      <c r="D1196" s="5" t="str">
        <f>IFERROR(__xludf.DUMMYFUNCTION("""COMPUTED_VALUE"""),"TAMICO-S")</f>
        <v>TAMICO-S</v>
      </c>
      <c r="E1196" s="5" t="str">
        <f>IFERROR(__xludf.DUMMYFUNCTION("""COMPUTED_VALUE"""),"YTAMI")</f>
        <v>YTAMI</v>
      </c>
      <c r="F1196" s="5"/>
      <c r="G1196" s="5" t="str">
        <f>IFERROR(__xludf.DUMMYFUNCTION("""COMPUTED_VALUE"""),"2024")</f>
        <v>2024</v>
      </c>
      <c r="H1196" s="5" t="str">
        <f>IFERROR(__xludf.DUMMYFUNCTION("""COMPUTED_VALUE"""),"20-50HP")</f>
        <v>20-50HP</v>
      </c>
      <c r="I1196" s="5" t="str">
        <f>IFERROR(__xludf.DUMMYFUNCTION("""COMPUTED_VALUE"""),"630745")</f>
        <v>630745</v>
      </c>
      <c r="J1196" s="5"/>
      <c r="K1196" s="5">
        <f>IFERROR(__xludf.DUMMYFUNCTION("""COMPUTED_VALUE"""),0.3)</f>
        <v>0.3</v>
      </c>
      <c r="L1196" s="5" t="str">
        <f>IFERROR(__xludf.DUMMYFUNCTION("""COMPUTED_VALUE"""),"KLH")</f>
        <v>KLH</v>
      </c>
    </row>
    <row r="1197">
      <c r="A1197" s="5" t="str">
        <f>IFERROR(__xludf.DUMMYFUNCTION("""COMPUTED_VALUE"""),"XXA-XOI-001")</f>
        <v>XXA-XOI-001</v>
      </c>
      <c r="B1197" s="3" t="str">
        <f>IFERROR(__xludf.DUMMYFUNCTION("""COMPUTED_VALUE"""),"Thiết bị xới đất 2.2m")</f>
        <v>Thiết bị xới đất 2.2m</v>
      </c>
      <c r="C1197" s="5" t="str">
        <f>IFERROR(__xludf.DUMMYFUNCTION("""COMPUTED_VALUE"""),"Xoài AD")</f>
        <v>Xoài AD</v>
      </c>
      <c r="D1197" s="5" t="str">
        <f>IFERROR(__xludf.DUMMYFUNCTION("""COMPUTED_VALUE"""),"CAMBODIA")</f>
        <v>CAMBODIA</v>
      </c>
      <c r="E1197" s="5" t="str">
        <f>IFERROR(__xludf.DUMMYFUNCTION("""COMPUTED_VALUE"""),"2.2m")</f>
        <v>2.2m</v>
      </c>
      <c r="F1197" s="5"/>
      <c r="G1197" s="5"/>
      <c r="H1197" s="5"/>
      <c r="I1197" s="5"/>
      <c r="J1197" s="5"/>
      <c r="K1197" s="5"/>
      <c r="L1197" s="5" t="str">
        <f>IFERROR(__xludf.DUMMYFUNCTION("""COMPUTED_VALUE"""),"KLH")</f>
        <v>KLH</v>
      </c>
    </row>
    <row r="1198">
      <c r="A1198" s="5" t="str">
        <f>IFERROR(__xludf.DUMMYFUNCTION("""COMPUTED_VALUE"""),"XXA-DCR-001")</f>
        <v>XXA-DCR-001</v>
      </c>
      <c r="B1198" s="3" t="str">
        <f>IFERROR(__xludf.DUMMYFUNCTION("""COMPUTED_VALUE"""),"Thiết bị cày đánh rãnh bón phân")</f>
        <v>Thiết bị cày đánh rãnh bón phân</v>
      </c>
      <c r="C1198" s="5" t="str">
        <f>IFERROR(__xludf.DUMMYFUNCTION("""COMPUTED_VALUE"""),"Xoài AD")</f>
        <v>Xoài AD</v>
      </c>
      <c r="D1198" s="5" t="str">
        <f>IFERROR(__xludf.DUMMYFUNCTION("""COMPUTED_VALUE"""),"THACO AGRI")</f>
        <v>THACO AGRI</v>
      </c>
      <c r="E1198" s="5" t="str">
        <f>IFERROR(__xludf.DUMMYFUNCTION("""COMPUTED_VALUE"""),"CK-MLB-01")</f>
        <v>CK-MLB-01</v>
      </c>
      <c r="F1198" s="5"/>
      <c r="G1198" s="5" t="str">
        <f>IFERROR(__xludf.DUMMYFUNCTION("""COMPUTED_VALUE"""),"2024")</f>
        <v>2024</v>
      </c>
      <c r="H1198" s="5" t="str">
        <f>IFERROR(__xludf.DUMMYFUNCTION("""COMPUTED_VALUE"""),"KT: 1x4x1.2 (DxRxC)")</f>
        <v>KT: 1x4x1.2 (DxRxC)</v>
      </c>
      <c r="I1198" s="5"/>
      <c r="J1198" s="5"/>
      <c r="K1198" s="5"/>
      <c r="L1198" s="5" t="str">
        <f>IFERROR(__xludf.DUMMYFUNCTION("""COMPUTED_VALUE"""),"KLH")</f>
        <v>KLH</v>
      </c>
    </row>
    <row r="1199">
      <c r="A1199" s="5" t="str">
        <f>IFERROR(__xludf.DUMMYFUNCTION("""COMPUTED_VALUE"""),"XXA-MBX-001")</f>
        <v>XXA-MBX-001</v>
      </c>
      <c r="B1199" s="3" t="str">
        <f>IFERROR(__xludf.DUMMYFUNCTION("""COMPUTED_VALUE"""),"Thiết bị băm cành xoài")</f>
        <v>Thiết bị băm cành xoài</v>
      </c>
      <c r="C1199" s="5" t="str">
        <f>IFERROR(__xludf.DUMMYFUNCTION("""COMPUTED_VALUE"""),"Xoài AD")</f>
        <v>Xoài AD</v>
      </c>
      <c r="D1199" s="5" t="str">
        <f>IFERROR(__xludf.DUMMYFUNCTION("""COMPUTED_VALUE"""),"THACO AGRI")</f>
        <v>THACO AGRI</v>
      </c>
      <c r="E1199" s="5" t="str">
        <f>IFERROR(__xludf.DUMMYFUNCTION("""COMPUTED_VALUE"""),"CK-MBC-01")</f>
        <v>CK-MBC-01</v>
      </c>
      <c r="F1199" s="5"/>
      <c r="G1199" s="5" t="str">
        <f>IFERROR(__xludf.DUMMYFUNCTION("""COMPUTED_VALUE"""),"2024")</f>
        <v>2024</v>
      </c>
      <c r="H1199" s="5" t="str">
        <f>IFERROR(__xludf.DUMMYFUNCTION("""COMPUTED_VALUE"""),"3x1.7x2.1 ")</f>
        <v>3x1.7x2.1 </v>
      </c>
      <c r="I1199" s="5"/>
      <c r="J1199" s="5"/>
      <c r="K1199" s="5"/>
      <c r="L1199" s="5" t="str">
        <f>IFERROR(__xludf.DUMMYFUNCTION("""COMPUTED_VALUE"""),"KLH")</f>
        <v>KLH</v>
      </c>
    </row>
    <row r="1200">
      <c r="A1200" s="5" t="str">
        <f>IFERROR(__xludf.DUMMYFUNCTION("""COMPUTED_VALUE"""),"XXA-MLB-001")</f>
        <v>XXA-MLB-001</v>
      </c>
      <c r="B1200" s="3" t="str">
        <f>IFERROR(__xludf.DUMMYFUNCTION("""COMPUTED_VALUE"""),"Rơ mooc lưới ben")</f>
        <v>Rơ mooc lưới ben</v>
      </c>
      <c r="C1200" s="5" t="str">
        <f>IFERROR(__xludf.DUMMYFUNCTION("""COMPUTED_VALUE"""),"Xoài AD")</f>
        <v>Xoài AD</v>
      </c>
      <c r="D1200" s="5" t="str">
        <f>IFERROR(__xludf.DUMMYFUNCTION("""COMPUTED_VALUE"""),"THACO AGRI")</f>
        <v>THACO AGRI</v>
      </c>
      <c r="E1200" s="5" t="str">
        <f>IFERROR(__xludf.DUMMYFUNCTION("""COMPUTED_VALUE"""),"CK-MLB-01")</f>
        <v>CK-MLB-01</v>
      </c>
      <c r="F1200" s="5"/>
      <c r="G1200" s="5" t="str">
        <f>IFERROR(__xludf.DUMMYFUNCTION("""COMPUTED_VALUE"""),"2024")</f>
        <v>2024</v>
      </c>
      <c r="H1200" s="5" t="str">
        <f>IFERROR(__xludf.DUMMYFUNCTION("""COMPUTED_VALUE"""),"5.4x2x2.5")</f>
        <v>5.4x2x2.5</v>
      </c>
      <c r="I1200" s="5"/>
      <c r="J1200" s="5"/>
      <c r="K1200" s="5"/>
      <c r="L1200" s="5" t="str">
        <f>IFERROR(__xludf.DUMMYFUNCTION("""COMPUTED_VALUE"""),"KLH")</f>
        <v>KLH</v>
      </c>
    </row>
    <row r="1201">
      <c r="A1201" s="5" t="str">
        <f>IFERROR(__xludf.DUMMYFUNCTION("""COMPUTED_VALUE"""),"XXA-CPP-001")</f>
        <v>XXA-CPP-001</v>
      </c>
      <c r="B1201" s="3" t="str">
        <f>IFERROR(__xludf.DUMMYFUNCTION("""COMPUTED_VALUE"""),"TB chở phụ phẩm")</f>
        <v>TB chở phụ phẩm</v>
      </c>
      <c r="C1201" s="5" t="str">
        <f>IFERROR(__xludf.DUMMYFUNCTION("""COMPUTED_VALUE"""),"Xoài AD")</f>
        <v>Xoài AD</v>
      </c>
      <c r="D1201" s="5" t="str">
        <f>IFERROR(__xludf.DUMMYFUNCTION("""COMPUTED_VALUE"""),"THACO AGRI")</f>
        <v>THACO AGRI</v>
      </c>
      <c r="E1201" s="5" t="str">
        <f>IFERROR(__xludf.DUMMYFUNCTION("""COMPUTED_VALUE"""),"CGH")</f>
        <v>CGH</v>
      </c>
      <c r="F1201" s="5"/>
      <c r="G1201" s="5" t="str">
        <f>IFERROR(__xludf.DUMMYFUNCTION("""COMPUTED_VALUE"""),"2024")</f>
        <v>2024</v>
      </c>
      <c r="H1201" s="5" t="str">
        <f>IFERROR(__xludf.DUMMYFUNCTION("""COMPUTED_VALUE"""),"2.3x0.65x1.05 (DxRxC)")</f>
        <v>2.3x0.65x1.05 (DxRxC)</v>
      </c>
      <c r="I1201" s="5"/>
      <c r="J1201" s="5"/>
      <c r="K1201" s="5"/>
      <c r="L1201" s="5" t="str">
        <f>IFERROR(__xludf.DUMMYFUNCTION("""COMPUTED_VALUE"""),"KLH")</f>
        <v>KLH</v>
      </c>
    </row>
    <row r="1202">
      <c r="A1202" s="5" t="str">
        <f>IFERROR(__xludf.DUMMYFUNCTION("""COMPUTED_VALUE"""),"XXA-C1B-001")</f>
        <v>XXA-C1B-001</v>
      </c>
      <c r="B1202" s="3" t="str">
        <f>IFERROR(__xludf.DUMMYFUNCTION("""COMPUTED_VALUE"""),"Thiết bị cắt cỏ 1 bên ")</f>
        <v>Thiết bị cắt cỏ 1 bên </v>
      </c>
      <c r="C1202" s="5" t="str">
        <f>IFERROR(__xludf.DUMMYFUNCTION("""COMPUTED_VALUE"""),"Xoài AD")</f>
        <v>Xoài AD</v>
      </c>
      <c r="D1202" s="5" t="str">
        <f>IFERROR(__xludf.DUMMYFUNCTION("""COMPUTED_VALUE"""),"GATTINI")</f>
        <v>GATTINI</v>
      </c>
      <c r="E1202" s="5" t="str">
        <f>IFERROR(__xludf.DUMMYFUNCTION("""COMPUTED_VALUE"""),"BCRLI180")</f>
        <v>BCRLI180</v>
      </c>
      <c r="F1202" s="5"/>
      <c r="G1202" s="5" t="str">
        <f>IFERROR(__xludf.DUMMYFUNCTION("""COMPUTED_VALUE"""),"2024")</f>
        <v>2024</v>
      </c>
      <c r="H1202" s="5"/>
      <c r="I1202" s="5" t="str">
        <f>IFERROR(__xludf.DUMMYFUNCTION("""COMPUTED_VALUE"""),"202400390001")</f>
        <v>202400390001</v>
      </c>
      <c r="J1202" s="5"/>
      <c r="K1202" s="5"/>
      <c r="L1202" s="5" t="str">
        <f>IFERROR(__xludf.DUMMYFUNCTION("""COMPUTED_VALUE"""),"KLH")</f>
        <v>KLH</v>
      </c>
    </row>
    <row r="1203">
      <c r="A1203" s="5" t="str">
        <f>IFERROR(__xludf.DUMMYFUNCTION("""COMPUTED_VALUE"""),"XXA-CCH-001")</f>
        <v>XXA-CCH-001</v>
      </c>
      <c r="B1203" s="3" t="str">
        <f>IFERROR(__xludf.DUMMYFUNCTION("""COMPUTED_VALUE"""),"Thiết Bị Cày 3 Chảo")</f>
        <v>Thiết Bị Cày 3 Chảo</v>
      </c>
      <c r="C1203" s="5" t="str">
        <f>IFERROR(__xludf.DUMMYFUNCTION("""COMPUTED_VALUE"""),"Xoài AD")</f>
        <v>Xoài AD</v>
      </c>
      <c r="D1203" s="5" t="str">
        <f>IFERROR(__xludf.DUMMYFUNCTION("""COMPUTED_VALUE"""),"CAMBODIA")</f>
        <v>CAMBODIA</v>
      </c>
      <c r="E1203" s="5" t="str">
        <f>IFERROR(__xludf.DUMMYFUNCTION("""COMPUTED_VALUE"""),"3 chảo")</f>
        <v>3 chảo</v>
      </c>
      <c r="F1203" s="5"/>
      <c r="G1203" s="5"/>
      <c r="H1203" s="5"/>
      <c r="I1203" s="5"/>
      <c r="J1203" s="5"/>
      <c r="K1203" s="5"/>
      <c r="L1203" s="5" t="str">
        <f>IFERROR(__xludf.DUMMYFUNCTION("""COMPUTED_VALUE"""),"KLH")</f>
        <v>KLH</v>
      </c>
    </row>
    <row r="1204">
      <c r="A1204" s="5" t="str">
        <f>IFERROR(__xludf.DUMMYFUNCTION("""COMPUTED_VALUE"""),"XXA-PTX-001")</f>
        <v>XXA-PTX-001</v>
      </c>
      <c r="B1204" s="3" t="str">
        <f>IFERROR(__xludf.DUMMYFUNCTION("""COMPUTED_VALUE"""),"Thiết bị phun thuốc Xoài")</f>
        <v>Thiết bị phun thuốc Xoài</v>
      </c>
      <c r="C1204" s="5" t="str">
        <f>IFERROR(__xludf.DUMMYFUNCTION("""COMPUTED_VALUE"""),"Xoài AD")</f>
        <v>Xoài AD</v>
      </c>
      <c r="D1204" s="5" t="str">
        <f>IFERROR(__xludf.DUMMYFUNCTION("""COMPUTED_VALUE"""),"THACO AGRI")</f>
        <v>THACO AGRI</v>
      </c>
      <c r="E1204" s="5" t="str">
        <f>IFERROR(__xludf.DUMMYFUNCTION("""COMPUTED_VALUE"""),"NM Cơ khí KLH")</f>
        <v>NM Cơ khí KLH</v>
      </c>
      <c r="F1204" s="5">
        <f>IFERROR(__xludf.DUMMYFUNCTION("""COMPUTED_VALUE"""),2026.0)</f>
        <v>2026</v>
      </c>
      <c r="G1204" s="5" t="str">
        <f>IFERROR(__xludf.DUMMYFUNCTION("""COMPUTED_VALUE"""),"CK-PTX-01")</f>
        <v>CK-PTX-01</v>
      </c>
      <c r="H1204" s="5" t="str">
        <f>IFERROR(__xludf.DUMMYFUNCTION("""COMPUTED_VALUE"""),"90 Hp")</f>
        <v>90 Hp</v>
      </c>
      <c r="I1204" s="5"/>
      <c r="J1204" s="5"/>
      <c r="K1204" s="5"/>
      <c r="L1204" s="5" t="str">
        <f>IFERROR(__xludf.DUMMYFUNCTION("""COMPUTED_VALUE"""),"KLH")</f>
        <v>KLH</v>
      </c>
    </row>
    <row r="1205">
      <c r="A1205" s="5" t="str">
        <f>IFERROR(__xludf.DUMMYFUNCTION("""COMPUTED_VALUE"""),"XOÀI DP")</f>
        <v>XOÀI DP</v>
      </c>
      <c r="B1205" s="3"/>
      <c r="C1205" s="5"/>
      <c r="D1205" s="5"/>
      <c r="E1205" s="5"/>
      <c r="F1205" s="5"/>
      <c r="G1205" s="5"/>
      <c r="H1205" s="5"/>
      <c r="I1205" s="5"/>
      <c r="J1205" s="5"/>
      <c r="K1205" s="5"/>
      <c r="L1205" s="5" t="str">
        <f>IFERROR(__xludf.DUMMYFUNCTION("""COMPUTED_VALUE"""),"KLH")</f>
        <v>KLH</v>
      </c>
    </row>
    <row r="1206">
      <c r="A1206" s="5" t="str">
        <f>IFERROR(__xludf.DUMMYFUNCTION("""COMPUTED_VALUE"""),"XXD-RML-001")</f>
        <v>XXD-RML-001</v>
      </c>
      <c r="B1206" s="3" t="str">
        <f>IFERROR(__xludf.DUMMYFUNCTION("""COMPUTED_VALUE"""),"Rơ mooc lưới")</f>
        <v>Rơ mooc lưới</v>
      </c>
      <c r="C1206" s="5" t="str">
        <f>IFERROR(__xludf.DUMMYFUNCTION("""COMPUTED_VALUE"""),"Xoài DP")</f>
        <v>Xoài DP</v>
      </c>
      <c r="D1206" s="5" t="str">
        <f>IFERROR(__xludf.DUMMYFUNCTION("""COMPUTED_VALUE"""),"THACO AGRI")</f>
        <v>THACO AGRI</v>
      </c>
      <c r="E1206" s="5"/>
      <c r="F1206" s="5"/>
      <c r="G1206" s="5"/>
      <c r="H1206" s="5" t="str">
        <f>IFERROR(__xludf.DUMMYFUNCTION("""COMPUTED_VALUE"""),"5,5x2.5x2.4")</f>
        <v>5,5x2.5x2.4</v>
      </c>
      <c r="I1206" s="5"/>
      <c r="J1206" s="5"/>
      <c r="K1206" s="5"/>
      <c r="L1206" s="5" t="str">
        <f>IFERROR(__xludf.DUMMYFUNCTION("""COMPUTED_VALUE"""),"KLH")</f>
        <v>KLH</v>
      </c>
    </row>
    <row r="1207">
      <c r="A1207" s="5" t="str">
        <f>IFERROR(__xludf.DUMMYFUNCTION("""COMPUTED_VALUE"""),"XXD-RML-002")</f>
        <v>XXD-RML-002</v>
      </c>
      <c r="B1207" s="3" t="str">
        <f>IFERROR(__xludf.DUMMYFUNCTION("""COMPUTED_VALUE"""),"Rơ mooc lưới")</f>
        <v>Rơ mooc lưới</v>
      </c>
      <c r="C1207" s="5" t="str">
        <f>IFERROR(__xludf.DUMMYFUNCTION("""COMPUTED_VALUE"""),"Xoài DP")</f>
        <v>Xoài DP</v>
      </c>
      <c r="D1207" s="5" t="str">
        <f>IFERROR(__xludf.DUMMYFUNCTION("""COMPUTED_VALUE"""),"THACO AGRI")</f>
        <v>THACO AGRI</v>
      </c>
      <c r="E1207" s="5"/>
      <c r="F1207" s="5"/>
      <c r="G1207" s="5"/>
      <c r="H1207" s="5" t="str">
        <f>IFERROR(__xludf.DUMMYFUNCTION("""COMPUTED_VALUE"""),"5,5x2.5x2.4")</f>
        <v>5,5x2.5x2.4</v>
      </c>
      <c r="I1207" s="5"/>
      <c r="J1207" s="5"/>
      <c r="K1207" s="5"/>
      <c r="L1207" s="5" t="str">
        <f>IFERROR(__xludf.DUMMYFUNCTION("""COMPUTED_VALUE"""),"KLH")</f>
        <v>KLH</v>
      </c>
    </row>
    <row r="1208">
      <c r="A1208" s="5" t="str">
        <f>IFERROR(__xludf.DUMMYFUNCTION("""COMPUTED_VALUE"""),"XXD-MCA-001")</f>
        <v>XXD-MCA-001</v>
      </c>
      <c r="B1208" s="3" t="str">
        <f>IFERROR(__xludf.DUMMYFUNCTION("""COMPUTED_VALUE"""),"Máy cao áp phun thuốc")</f>
        <v>Máy cao áp phun thuốc</v>
      </c>
      <c r="C1208" s="5" t="str">
        <f>IFERROR(__xludf.DUMMYFUNCTION("""COMPUTED_VALUE"""),"Xoài DP")</f>
        <v>Xoài DP</v>
      </c>
      <c r="D1208" s="5" t="str">
        <f>IFERROR(__xludf.DUMMYFUNCTION("""COMPUTED_VALUE"""),"CAMBODIA")</f>
        <v>CAMBODIA</v>
      </c>
      <c r="E1208" s="5" t="str">
        <f>IFERROR(__xludf.DUMMYFUNCTION("""COMPUTED_VALUE"""),"3HP")</f>
        <v>3HP</v>
      </c>
      <c r="F1208" s="5"/>
      <c r="G1208" s="5"/>
      <c r="H1208" s="5" t="str">
        <f>IFERROR(__xludf.DUMMYFUNCTION("""COMPUTED_VALUE"""),"3HP")</f>
        <v>3HP</v>
      </c>
      <c r="I1208" s="5"/>
      <c r="J1208" s="5"/>
      <c r="K1208" s="5"/>
      <c r="L1208" s="5" t="str">
        <f>IFERROR(__xludf.DUMMYFUNCTION("""COMPUTED_VALUE"""),"KLH")</f>
        <v>KLH</v>
      </c>
    </row>
    <row r="1209">
      <c r="A1209" s="5" t="str">
        <f>IFERROR(__xludf.DUMMYFUNCTION("""COMPUTED_VALUE"""),"XXD-MCA-002")</f>
        <v>XXD-MCA-002</v>
      </c>
      <c r="B1209" s="3" t="str">
        <f>IFERROR(__xludf.DUMMYFUNCTION("""COMPUTED_VALUE"""),"Máy cao áp phun thuốc")</f>
        <v>Máy cao áp phun thuốc</v>
      </c>
      <c r="C1209" s="5" t="str">
        <f>IFERROR(__xludf.DUMMYFUNCTION("""COMPUTED_VALUE"""),"Xoài DP")</f>
        <v>Xoài DP</v>
      </c>
      <c r="D1209" s="5" t="str">
        <f>IFERROR(__xludf.DUMMYFUNCTION("""COMPUTED_VALUE"""),"CAMBODIA")</f>
        <v>CAMBODIA</v>
      </c>
      <c r="E1209" s="5" t="str">
        <f>IFERROR(__xludf.DUMMYFUNCTION("""COMPUTED_VALUE"""),"3HP")</f>
        <v>3HP</v>
      </c>
      <c r="F1209" s="5"/>
      <c r="G1209" s="5"/>
      <c r="H1209" s="5" t="str">
        <f>IFERROR(__xludf.DUMMYFUNCTION("""COMPUTED_VALUE"""),"3HP")</f>
        <v>3HP</v>
      </c>
      <c r="I1209" s="5"/>
      <c r="J1209" s="5"/>
      <c r="K1209" s="5"/>
      <c r="L1209" s="5" t="str">
        <f>IFERROR(__xludf.DUMMYFUNCTION("""COMPUTED_VALUE"""),"KLH")</f>
        <v>KLH</v>
      </c>
    </row>
    <row r="1210">
      <c r="A1210" s="5" t="str">
        <f>IFERROR(__xludf.DUMMYFUNCTION("""COMPUTED_VALUE"""),"XND-MCA-001")</f>
        <v>XND-MCA-001</v>
      </c>
      <c r="B1210" s="3" t="str">
        <f>IFERROR(__xludf.DUMMYFUNCTION("""COMPUTED_VALUE"""),"Máy cao áp phun thuốc")</f>
        <v>Máy cao áp phun thuốc</v>
      </c>
      <c r="C1210" s="5" t="str">
        <f>IFERROR(__xludf.DUMMYFUNCTION("""COMPUTED_VALUE"""),"Xoài DP")</f>
        <v>Xoài DP</v>
      </c>
      <c r="D1210" s="5" t="str">
        <f>IFERROR(__xludf.DUMMYFUNCTION("""COMPUTED_VALUE"""),"CAMBODIA")</f>
        <v>CAMBODIA</v>
      </c>
      <c r="E1210" s="5" t="str">
        <f>IFERROR(__xludf.DUMMYFUNCTION("""COMPUTED_VALUE"""),"3HP")</f>
        <v>3HP</v>
      </c>
      <c r="F1210" s="5"/>
      <c r="G1210" s="5"/>
      <c r="H1210" s="5" t="str">
        <f>IFERROR(__xludf.DUMMYFUNCTION("""COMPUTED_VALUE"""),"3HP")</f>
        <v>3HP</v>
      </c>
      <c r="I1210" s="5"/>
      <c r="J1210" s="5"/>
      <c r="K1210" s="5"/>
      <c r="L1210" s="5" t="str">
        <f>IFERROR(__xludf.DUMMYFUNCTION("""COMPUTED_VALUE"""),"KLH")</f>
        <v>KLH</v>
      </c>
    </row>
    <row r="1211">
      <c r="A1211" s="5" t="str">
        <f>IFERROR(__xludf.DUMMYFUNCTION("""COMPUTED_VALUE"""),"XND-MCA-002")</f>
        <v>XND-MCA-002</v>
      </c>
      <c r="B1211" s="3" t="str">
        <f>IFERROR(__xludf.DUMMYFUNCTION("""COMPUTED_VALUE"""),"Máy cao áp phun thuốc")</f>
        <v>Máy cao áp phun thuốc</v>
      </c>
      <c r="C1211" s="5" t="str">
        <f>IFERROR(__xludf.DUMMYFUNCTION("""COMPUTED_VALUE"""),"Xoài DP")</f>
        <v>Xoài DP</v>
      </c>
      <c r="D1211" s="5" t="str">
        <f>IFERROR(__xludf.DUMMYFUNCTION("""COMPUTED_VALUE"""),"CAMBODIA")</f>
        <v>CAMBODIA</v>
      </c>
      <c r="E1211" s="5" t="str">
        <f>IFERROR(__xludf.DUMMYFUNCTION("""COMPUTED_VALUE"""),"3HP")</f>
        <v>3HP</v>
      </c>
      <c r="F1211" s="5"/>
      <c r="G1211" s="5"/>
      <c r="H1211" s="5" t="str">
        <f>IFERROR(__xludf.DUMMYFUNCTION("""COMPUTED_VALUE"""),"3HP")</f>
        <v>3HP</v>
      </c>
      <c r="I1211" s="5"/>
      <c r="J1211" s="5"/>
      <c r="K1211" s="5"/>
      <c r="L1211" s="5" t="str">
        <f>IFERROR(__xludf.DUMMYFUNCTION("""COMPUTED_VALUE"""),"KLH")</f>
        <v>KLH</v>
      </c>
    </row>
    <row r="1212">
      <c r="A1212" s="5" t="str">
        <f>IFERROR(__xludf.DUMMYFUNCTION("""COMPUTED_VALUE"""),"CHĂN NUÔI BÒ")</f>
        <v>CHĂN NUÔI BÒ</v>
      </c>
      <c r="B1212" s="3"/>
      <c r="C1212" s="5"/>
      <c r="D1212" s="5"/>
      <c r="E1212" s="5"/>
      <c r="F1212" s="5"/>
      <c r="G1212" s="5"/>
      <c r="H1212" s="5"/>
      <c r="I1212" s="5"/>
      <c r="J1212" s="5"/>
      <c r="K1212" s="5"/>
      <c r="L1212" s="5" t="str">
        <f>IFERROR(__xludf.DUMMYFUNCTION("""COMPUTED_VALUE"""),"KLH")</f>
        <v>KLH</v>
      </c>
    </row>
    <row r="1213">
      <c r="A1213" s="5" t="str">
        <f>IFERROR(__xludf.DUMMYFUNCTION("""COMPUTED_VALUE"""),"XB1-THC-001")</f>
        <v>XB1-THC-001</v>
      </c>
      <c r="B1213" s="3" t="str">
        <f>IFERROR(__xludf.DUMMYFUNCTION("""COMPUTED_VALUE"""),"Thiết bị thu hoạch cỏ CHALLENGER II")</f>
        <v>Thiết bị thu hoạch cỏ CHALLENGER II</v>
      </c>
      <c r="C1213" s="5" t="str">
        <f>IFERROR(__xludf.DUMMYFUNCTION("""COMPUTED_VALUE"""),"XN Bò AD")</f>
        <v>XN Bò AD</v>
      </c>
      <c r="D1213" s="5" t="str">
        <f>IFERROR(__xludf.DUMMYFUNCTION("""COMPUTED_VALUE"""),"CELIKEL")</f>
        <v>CELIKEL</v>
      </c>
      <c r="E1213" s="5" t="str">
        <f>IFERROR(__xludf.DUMMYFUNCTION("""COMPUTED_VALUE"""),"CHALLENGER II")</f>
        <v>CHALLENGER II</v>
      </c>
      <c r="F1213" s="5"/>
      <c r="G1213" s="5" t="str">
        <f>IFERROR(__xludf.DUMMYFUNCTION("""COMPUTED_VALUE"""),"2019")</f>
        <v>2019</v>
      </c>
      <c r="H1213" s="5"/>
      <c r="I1213" s="5"/>
      <c r="J1213" s="5"/>
      <c r="K1213" s="5">
        <f>IFERROR(__xludf.DUMMYFUNCTION("""COMPUTED_VALUE"""),10.0)</f>
        <v>10</v>
      </c>
      <c r="L1213" s="5" t="str">
        <f>IFERROR(__xludf.DUMMYFUNCTION("""COMPUTED_VALUE"""),"KLH")</f>
        <v>KLH</v>
      </c>
    </row>
    <row r="1214">
      <c r="A1214" s="5" t="str">
        <f>IFERROR(__xludf.DUMMYFUNCTION("""COMPUTED_VALUE"""),"XB1-THC-002")</f>
        <v>XB1-THC-002</v>
      </c>
      <c r="B1214" s="3" t="str">
        <f>IFERROR(__xludf.DUMMYFUNCTION("""COMPUTED_VALUE"""),"Thiết bị thu hoạch cỏ CHALLENGER II")</f>
        <v>Thiết bị thu hoạch cỏ CHALLENGER II</v>
      </c>
      <c r="C1214" s="5" t="str">
        <f>IFERROR(__xludf.DUMMYFUNCTION("""COMPUTED_VALUE"""),"XN Bò AD")</f>
        <v>XN Bò AD</v>
      </c>
      <c r="D1214" s="5" t="str">
        <f>IFERROR(__xludf.DUMMYFUNCTION("""COMPUTED_VALUE"""),"CELIKEL")</f>
        <v>CELIKEL</v>
      </c>
      <c r="E1214" s="5" t="str">
        <f>IFERROR(__xludf.DUMMYFUNCTION("""COMPUTED_VALUE"""),"CHALLENGER II")</f>
        <v>CHALLENGER II</v>
      </c>
      <c r="F1214" s="5"/>
      <c r="G1214" s="5" t="str">
        <f>IFERROR(__xludf.DUMMYFUNCTION("""COMPUTED_VALUE"""),"2022")</f>
        <v>2022</v>
      </c>
      <c r="H1214" s="5"/>
      <c r="I1214" s="5" t="str">
        <f>IFERROR(__xludf.DUMMYFUNCTION("""COMPUTED_VALUE"""),"SBM-220038")</f>
        <v>SBM-220038</v>
      </c>
      <c r="J1214" s="5"/>
      <c r="K1214" s="5">
        <f>IFERROR(__xludf.DUMMYFUNCTION("""COMPUTED_VALUE"""),10.0)</f>
        <v>10</v>
      </c>
      <c r="L1214" s="5" t="str">
        <f>IFERROR(__xludf.DUMMYFUNCTION("""COMPUTED_VALUE"""),"KLH")</f>
        <v>KLH</v>
      </c>
    </row>
    <row r="1215">
      <c r="A1215" s="5" t="str">
        <f>IFERROR(__xludf.DUMMYFUNCTION("""COMPUTED_VALUE"""),"XB1-THC-003")</f>
        <v>XB1-THC-003</v>
      </c>
      <c r="B1215" s="3" t="str">
        <f>IFERROR(__xludf.DUMMYFUNCTION("""COMPUTED_VALUE"""),"Thiết bị thu hoạch cỏ CHALLENGER II PLUS")</f>
        <v>Thiết bị thu hoạch cỏ CHALLENGER II PLUS</v>
      </c>
      <c r="C1215" s="5" t="str">
        <f>IFERROR(__xludf.DUMMYFUNCTION("""COMPUTED_VALUE"""),"XN Bò AD")</f>
        <v>XN Bò AD</v>
      </c>
      <c r="D1215" s="5" t="str">
        <f>IFERROR(__xludf.DUMMYFUNCTION("""COMPUTED_VALUE"""),"CELIKEL")</f>
        <v>CELIKEL</v>
      </c>
      <c r="E1215" s="5" t="str">
        <f>IFERROR(__xludf.DUMMYFUNCTION("""COMPUTED_VALUE"""),"CHALLENGER II PLUS")</f>
        <v>CHALLENGER II PLUS</v>
      </c>
      <c r="F1215" s="5"/>
      <c r="G1215" s="5" t="str">
        <f>IFERROR(__xludf.DUMMYFUNCTION("""COMPUTED_VALUE"""),"2022")</f>
        <v>2022</v>
      </c>
      <c r="H1215" s="5" t="str">
        <f>IFERROR(__xludf.DUMMYFUNCTION("""COMPUTED_VALUE"""),"- Kèm trục các đăng ")</f>
        <v>- Kèm trục các đăng </v>
      </c>
      <c r="I1215" s="5" t="str">
        <f>IFERROR(__xludf.DUMMYFUNCTION("""COMPUTED_VALUE"""),"SBM-221203")</f>
        <v>SBM-221203</v>
      </c>
      <c r="J1215" s="5"/>
      <c r="K1215" s="5">
        <f>IFERROR(__xludf.DUMMYFUNCTION("""COMPUTED_VALUE"""),10.0)</f>
        <v>10</v>
      </c>
      <c r="L1215" s="5" t="str">
        <f>IFERROR(__xludf.DUMMYFUNCTION("""COMPUTED_VALUE"""),"KLH")</f>
        <v>KLH</v>
      </c>
    </row>
    <row r="1216">
      <c r="A1216" s="5" t="str">
        <f>IFERROR(__xludf.DUMMYFUNCTION("""COMPUTED_VALUE"""),"XB1-THC-004")</f>
        <v>XB1-THC-004</v>
      </c>
      <c r="B1216" s="3" t="str">
        <f>IFERROR(__xludf.DUMMYFUNCTION("""COMPUTED_VALUE"""),"Thiết bị thu hoạch cỏ CHALLENGER II PLUS")</f>
        <v>Thiết bị thu hoạch cỏ CHALLENGER II PLUS</v>
      </c>
      <c r="C1216" s="5" t="str">
        <f>IFERROR(__xludf.DUMMYFUNCTION("""COMPUTED_VALUE"""),"XN Bò AD")</f>
        <v>XN Bò AD</v>
      </c>
      <c r="D1216" s="5" t="str">
        <f>IFERROR(__xludf.DUMMYFUNCTION("""COMPUTED_VALUE"""),"CELIKEL")</f>
        <v>CELIKEL</v>
      </c>
      <c r="E1216" s="5" t="str">
        <f>IFERROR(__xludf.DUMMYFUNCTION("""COMPUTED_VALUE"""),"CHALLENGER II PLUS")</f>
        <v>CHALLENGER II PLUS</v>
      </c>
      <c r="F1216" s="5"/>
      <c r="G1216" s="5" t="str">
        <f>IFERROR(__xludf.DUMMYFUNCTION("""COMPUTED_VALUE"""),"2022")</f>
        <v>2022</v>
      </c>
      <c r="H1216" s="5" t="str">
        <f>IFERROR(__xludf.DUMMYFUNCTION("""COMPUTED_VALUE"""),"- Kèm trục các đăng ")</f>
        <v>- Kèm trục các đăng </v>
      </c>
      <c r="I1216" s="5" t="str">
        <f>IFERROR(__xludf.DUMMYFUNCTION("""COMPUTED_VALUE"""),"SBM-221211")</f>
        <v>SBM-221211</v>
      </c>
      <c r="J1216" s="5"/>
      <c r="K1216" s="5">
        <f>IFERROR(__xludf.DUMMYFUNCTION("""COMPUTED_VALUE"""),10.0)</f>
        <v>10</v>
      </c>
      <c r="L1216" s="5" t="str">
        <f>IFERROR(__xludf.DUMMYFUNCTION("""COMPUTED_VALUE"""),"KLH")</f>
        <v>KLH</v>
      </c>
    </row>
    <row r="1217">
      <c r="A1217" s="5" t="str">
        <f>IFERROR(__xludf.DUMMYFUNCTION("""COMPUTED_VALUE"""),"XB1-THC-005")</f>
        <v>XB1-THC-005</v>
      </c>
      <c r="B1217" s="3" t="str">
        <f>IFERROR(__xludf.DUMMYFUNCTION("""COMPUTED_VALUE"""),"Thiết bị thu hoạch cỏ thân mềm Calabria 1800")</f>
        <v>Thiết bị thu hoạch cỏ thân mềm Calabria 1800</v>
      </c>
      <c r="C1217" s="5" t="str">
        <f>IFERROR(__xludf.DUMMYFUNCTION("""COMPUTED_VALUE"""),"XN Bò AD")</f>
        <v>XN Bò AD</v>
      </c>
      <c r="D1217" s="5" t="str">
        <f>IFERROR(__xludf.DUMMYFUNCTION("""COMPUTED_VALUE"""),"CELIKEL")</f>
        <v>CELIKEL</v>
      </c>
      <c r="E1217" s="5" t="str">
        <f>IFERROR(__xludf.DUMMYFUNCTION("""COMPUTED_VALUE"""),"CALABRIA 1800")</f>
        <v>CALABRIA 1800</v>
      </c>
      <c r="F1217" s="5"/>
      <c r="G1217" s="5" t="str">
        <f>IFERROR(__xludf.DUMMYFUNCTION("""COMPUTED_VALUE"""),"2024")</f>
        <v>2024</v>
      </c>
      <c r="H1217" s="5" t="str">
        <f>IFERROR(__xludf.DUMMYFUNCTION("""COMPUTED_VALUE"""),"- Kèm trục các đăng ")</f>
        <v>- Kèm trục các đăng </v>
      </c>
      <c r="I1217" s="5" t="str">
        <f>IFERROR(__xludf.DUMMYFUNCTION("""COMPUTED_VALUE"""),"CKM-240010")</f>
        <v>CKM-240010</v>
      </c>
      <c r="J1217" s="5"/>
      <c r="K1217" s="5">
        <f>IFERROR(__xludf.DUMMYFUNCTION("""COMPUTED_VALUE"""),10.0)</f>
        <v>10</v>
      </c>
      <c r="L1217" s="5" t="str">
        <f>IFERROR(__xludf.DUMMYFUNCTION("""COMPUTED_VALUE"""),"KLH")</f>
        <v>KLH</v>
      </c>
    </row>
    <row r="1218">
      <c r="A1218" s="5" t="str">
        <f>IFERROR(__xludf.DUMMYFUNCTION("""COMPUTED_VALUE"""),"XB1-THC-006")</f>
        <v>XB1-THC-006</v>
      </c>
      <c r="B1218" s="3" t="str">
        <f>IFERROR(__xludf.DUMMYFUNCTION("""COMPUTED_VALUE"""),"Thiết bị thu hoạch cỏ CHALLENGER IV")</f>
        <v>Thiết bị thu hoạch cỏ CHALLENGER IV</v>
      </c>
      <c r="C1218" s="5" t="str">
        <f>IFERROR(__xludf.DUMMYFUNCTION("""COMPUTED_VALUE"""),"XN Bò AD")</f>
        <v>XN Bò AD</v>
      </c>
      <c r="D1218" s="5" t="str">
        <f>IFERROR(__xludf.DUMMYFUNCTION("""COMPUTED_VALUE"""),"CELIKEL")</f>
        <v>CELIKEL</v>
      </c>
      <c r="E1218" s="5" t="str">
        <f>IFERROR(__xludf.DUMMYFUNCTION("""COMPUTED_VALUE"""),"CHALLENGER IV")</f>
        <v>CHALLENGER IV</v>
      </c>
      <c r="F1218" s="5"/>
      <c r="G1218" s="5" t="str">
        <f>IFERROR(__xludf.DUMMYFUNCTION("""COMPUTED_VALUE"""),"2024")</f>
        <v>2024</v>
      </c>
      <c r="H1218" s="5" t="str">
        <f>IFERROR(__xludf.DUMMYFUNCTION("""COMPUTED_VALUE"""),"- Kèm trục các đăng ")</f>
        <v>- Kèm trục các đăng </v>
      </c>
      <c r="I1218" s="5" t="str">
        <f>IFERROR(__xludf.DUMMYFUNCTION("""COMPUTED_VALUE"""),"4SSM-240003")</f>
        <v>4SSM-240003</v>
      </c>
      <c r="J1218" s="5"/>
      <c r="K1218" s="5">
        <f>IFERROR(__xludf.DUMMYFUNCTION("""COMPUTED_VALUE"""),10.0)</f>
        <v>10</v>
      </c>
      <c r="L1218" s="5" t="str">
        <f>IFERROR(__xludf.DUMMYFUNCTION("""COMPUTED_VALUE"""),"KLH")</f>
        <v>KLH</v>
      </c>
    </row>
    <row r="1219">
      <c r="A1219" s="5" t="str">
        <f>IFERROR(__xludf.DUMMYFUNCTION("""COMPUTED_VALUE"""),"XB1-THC-007")</f>
        <v>XB1-THC-007</v>
      </c>
      <c r="B1219" s="3" t="str">
        <f>IFERROR(__xludf.DUMMYFUNCTION("""COMPUTED_VALUE"""),"Thiết bị thu hoạch cỏ CHALLENGER IV")</f>
        <v>Thiết bị thu hoạch cỏ CHALLENGER IV</v>
      </c>
      <c r="C1219" s="5" t="str">
        <f>IFERROR(__xludf.DUMMYFUNCTION("""COMPUTED_VALUE"""),"XN Bò AD")</f>
        <v>XN Bò AD</v>
      </c>
      <c r="D1219" s="5" t="str">
        <f>IFERROR(__xludf.DUMMYFUNCTION("""COMPUTED_VALUE"""),"CELIKEL")</f>
        <v>CELIKEL</v>
      </c>
      <c r="E1219" s="5" t="str">
        <f>IFERROR(__xludf.DUMMYFUNCTION("""COMPUTED_VALUE"""),"CHALLENGER IV")</f>
        <v>CHALLENGER IV</v>
      </c>
      <c r="F1219" s="5"/>
      <c r="G1219" s="5" t="str">
        <f>IFERROR(__xludf.DUMMYFUNCTION("""COMPUTED_VALUE"""),"2024")</f>
        <v>2024</v>
      </c>
      <c r="H1219" s="5" t="str">
        <f>IFERROR(__xludf.DUMMYFUNCTION("""COMPUTED_VALUE"""),"- Kèm trục các đăng ")</f>
        <v>- Kèm trục các đăng </v>
      </c>
      <c r="I1219" s="5" t="str">
        <f>IFERROR(__xludf.DUMMYFUNCTION("""COMPUTED_VALUE"""),"4SSM-240001")</f>
        <v>4SSM-240001</v>
      </c>
      <c r="J1219" s="5"/>
      <c r="K1219" s="5">
        <f>IFERROR(__xludf.DUMMYFUNCTION("""COMPUTED_VALUE"""),10.0)</f>
        <v>10</v>
      </c>
      <c r="L1219" s="5" t="str">
        <f>IFERROR(__xludf.DUMMYFUNCTION("""COMPUTED_VALUE"""),"KLH")</f>
        <v>KLH</v>
      </c>
    </row>
    <row r="1220">
      <c r="A1220" s="5" t="str">
        <f>IFERROR(__xludf.DUMMYFUNCTION("""COMPUTED_VALUE"""),"XB1-THC-008")</f>
        <v>XB1-THC-008</v>
      </c>
      <c r="B1220" s="3" t="str">
        <f>IFERROR(__xludf.DUMMYFUNCTION("""COMPUTED_VALUE"""),"Thiết bị thu hoạch cỏ thân mềm Calabria 1800")</f>
        <v>Thiết bị thu hoạch cỏ thân mềm Calabria 1800</v>
      </c>
      <c r="C1220" s="5" t="str">
        <f>IFERROR(__xludf.DUMMYFUNCTION("""COMPUTED_VALUE"""),"XN Bò AD")</f>
        <v>XN Bò AD</v>
      </c>
      <c r="D1220" s="5" t="str">
        <f>IFERROR(__xludf.DUMMYFUNCTION("""COMPUTED_VALUE"""),"CELIKEL")</f>
        <v>CELIKEL</v>
      </c>
      <c r="E1220" s="5" t="str">
        <f>IFERROR(__xludf.DUMMYFUNCTION("""COMPUTED_VALUE"""),"CALABRIA 1800")</f>
        <v>CALABRIA 1800</v>
      </c>
      <c r="F1220" s="5"/>
      <c r="G1220" s="5" t="str">
        <f>IFERROR(__xludf.DUMMYFUNCTION("""COMPUTED_VALUE"""),"2025")</f>
        <v>2025</v>
      </c>
      <c r="H1220" s="5" t="str">
        <f>IFERROR(__xludf.DUMMYFUNCTION("""COMPUTED_VALUE"""),"- Kèm trục các đăng ")</f>
        <v>- Kèm trục các đăng </v>
      </c>
      <c r="I1220" s="5" t="str">
        <f>IFERROR(__xludf.DUMMYFUNCTION("""COMPUTED_VALUE"""),"CKM-240063")</f>
        <v>CKM-240063</v>
      </c>
      <c r="J1220" s="5"/>
      <c r="K1220" s="5">
        <f>IFERROR(__xludf.DUMMYFUNCTION("""COMPUTED_VALUE"""),10.0)</f>
        <v>10</v>
      </c>
      <c r="L1220" s="5" t="str">
        <f>IFERROR(__xludf.DUMMYFUNCTION("""COMPUTED_VALUE"""),"KLH")</f>
        <v>KLH</v>
      </c>
    </row>
    <row r="1221">
      <c r="A1221" s="5" t="str">
        <f>IFERROR(__xludf.DUMMYFUNCTION("""COMPUTED_VALUE"""),"XB1-THC-009")</f>
        <v>XB1-THC-009</v>
      </c>
      <c r="B1221" s="3" t="str">
        <f>IFERROR(__xludf.DUMMYFUNCTION("""COMPUTED_VALUE"""),"Thiết bị thu hoạch cỏ thân mềm Calabria 1800")</f>
        <v>Thiết bị thu hoạch cỏ thân mềm Calabria 1800</v>
      </c>
      <c r="C1221" s="5" t="str">
        <f>IFERROR(__xludf.DUMMYFUNCTION("""COMPUTED_VALUE"""),"XN Bò AD")</f>
        <v>XN Bò AD</v>
      </c>
      <c r="D1221" s="5" t="str">
        <f>IFERROR(__xludf.DUMMYFUNCTION("""COMPUTED_VALUE"""),"CELIKEL")</f>
        <v>CELIKEL</v>
      </c>
      <c r="E1221" s="5" t="str">
        <f>IFERROR(__xludf.DUMMYFUNCTION("""COMPUTED_VALUE"""),"CALABRIA 1800")</f>
        <v>CALABRIA 1800</v>
      </c>
      <c r="F1221" s="5"/>
      <c r="G1221" s="5" t="str">
        <f>IFERROR(__xludf.DUMMYFUNCTION("""COMPUTED_VALUE"""),"2025")</f>
        <v>2025</v>
      </c>
      <c r="H1221" s="5" t="str">
        <f>IFERROR(__xludf.DUMMYFUNCTION("""COMPUTED_VALUE"""),"- Kèm trục các đăng ")</f>
        <v>- Kèm trục các đăng </v>
      </c>
      <c r="I1221" s="5" t="str">
        <f>IFERROR(__xludf.DUMMYFUNCTION("""COMPUTED_VALUE"""),"CKM-240064")</f>
        <v>CKM-240064</v>
      </c>
      <c r="J1221" s="5"/>
      <c r="K1221" s="5">
        <f>IFERROR(__xludf.DUMMYFUNCTION("""COMPUTED_VALUE"""),10.0)</f>
        <v>10</v>
      </c>
      <c r="L1221" s="5" t="str">
        <f>IFERROR(__xludf.DUMMYFUNCTION("""COMPUTED_VALUE"""),"KLH")</f>
        <v>KLH</v>
      </c>
    </row>
    <row r="1222">
      <c r="A1222" s="5" t="str">
        <f>IFERROR(__xludf.DUMMYFUNCTION("""COMPUTED_VALUE"""),"XB1-THC-010")</f>
        <v>XB1-THC-010</v>
      </c>
      <c r="B1222" s="3" t="str">
        <f>IFERROR(__xludf.DUMMYFUNCTION("""COMPUTED_VALUE"""),"Thiết bị thu hoạch cỏ CHALLENGER IV")</f>
        <v>Thiết bị thu hoạch cỏ CHALLENGER IV</v>
      </c>
      <c r="C1222" s="5" t="str">
        <f>IFERROR(__xludf.DUMMYFUNCTION("""COMPUTED_VALUE"""),"XN Bò AD")</f>
        <v>XN Bò AD</v>
      </c>
      <c r="D1222" s="5" t="str">
        <f>IFERROR(__xludf.DUMMYFUNCTION("""COMPUTED_VALUE"""),"CELIKEL")</f>
        <v>CELIKEL</v>
      </c>
      <c r="E1222" s="5" t="str">
        <f>IFERROR(__xludf.DUMMYFUNCTION("""COMPUTED_VALUE"""),"CHALLENGER IV")</f>
        <v>CHALLENGER IV</v>
      </c>
      <c r="F1222" s="5"/>
      <c r="G1222" s="5" t="str">
        <f>IFERROR(__xludf.DUMMYFUNCTION("""COMPUTED_VALUE"""),"2025")</f>
        <v>2025</v>
      </c>
      <c r="H1222" s="5" t="str">
        <f>IFERROR(__xludf.DUMMYFUNCTION("""COMPUTED_VALUE"""),"- Kèm trục các đăng ")</f>
        <v>- Kèm trục các đăng </v>
      </c>
      <c r="I1222" s="5" t="str">
        <f>IFERROR(__xludf.DUMMYFUNCTION("""COMPUTED_VALUE"""),"4SSM-250016")</f>
        <v>4SSM-250016</v>
      </c>
      <c r="J1222" s="5"/>
      <c r="K1222" s="5">
        <f>IFERROR(__xludf.DUMMYFUNCTION("""COMPUTED_VALUE"""),10.0)</f>
        <v>10</v>
      </c>
      <c r="L1222" s="5" t="str">
        <f>IFERROR(__xludf.DUMMYFUNCTION("""COMPUTED_VALUE"""),"KLH")</f>
        <v>KLH</v>
      </c>
    </row>
    <row r="1223">
      <c r="A1223" s="5" t="str">
        <f>IFERROR(__xludf.DUMMYFUNCTION("""COMPUTED_VALUE"""),"XB1-THC-011")</f>
        <v>XB1-THC-011</v>
      </c>
      <c r="B1223" s="3" t="str">
        <f>IFERROR(__xludf.DUMMYFUNCTION("""COMPUTED_VALUE"""),"Thiết bị thu hoạch cỏ (KLH gia công)")</f>
        <v>Thiết bị thu hoạch cỏ (KLH gia công)</v>
      </c>
      <c r="C1223" s="5" t="str">
        <f>IFERROR(__xludf.DUMMYFUNCTION("""COMPUTED_VALUE"""),"XN Bò AD")</f>
        <v>XN Bò AD</v>
      </c>
      <c r="D1223" s="5"/>
      <c r="E1223" s="5"/>
      <c r="F1223" s="5"/>
      <c r="G1223" s="5"/>
      <c r="H1223" s="5"/>
      <c r="I1223" s="5"/>
      <c r="J1223" s="5"/>
      <c r="K1223" s="5">
        <f>IFERROR(__xludf.DUMMYFUNCTION("""COMPUTED_VALUE"""),10.0)</f>
        <v>10</v>
      </c>
      <c r="L1223" s="5" t="str">
        <f>IFERROR(__xludf.DUMMYFUNCTION("""COMPUTED_VALUE"""),"KLH")</f>
        <v>KLH</v>
      </c>
    </row>
    <row r="1224">
      <c r="A1224" s="5" t="str">
        <f>IFERROR(__xludf.DUMMYFUNCTION("""COMPUTED_VALUE"""),"XB1-THC-012")</f>
        <v>XB1-THC-012</v>
      </c>
      <c r="B1224" s="3" t="str">
        <f>IFERROR(__xludf.DUMMYFUNCTION("""COMPUTED_VALUE"""),"Thiết bị thu hoạch cỏ thân mềm Calabria 1800")</f>
        <v>Thiết bị thu hoạch cỏ thân mềm Calabria 1800</v>
      </c>
      <c r="C1224" s="5" t="str">
        <f>IFERROR(__xludf.DUMMYFUNCTION("""COMPUTED_VALUE"""),"XN Bò AD")</f>
        <v>XN Bò AD</v>
      </c>
      <c r="D1224" s="5" t="str">
        <f>IFERROR(__xludf.DUMMYFUNCTION("""COMPUTED_VALUE"""),"CELIKEL")</f>
        <v>CELIKEL</v>
      </c>
      <c r="E1224" s="5" t="str">
        <f>IFERROR(__xludf.DUMMYFUNCTION("""COMPUTED_VALUE"""),"THỔ NHỈ KỲ")</f>
        <v>THỔ NHỈ KỲ</v>
      </c>
      <c r="F1224" s="5">
        <f>IFERROR(__xludf.DUMMYFUNCTION("""COMPUTED_VALUE"""),2026.0)</f>
        <v>2026</v>
      </c>
      <c r="G1224" s="5" t="str">
        <f>IFERROR(__xludf.DUMMYFUNCTION("""COMPUTED_VALUE"""),"CALABRIA 1800")</f>
        <v>CALABRIA 1800</v>
      </c>
      <c r="H1224" s="5" t="str">
        <f>IFERROR(__xludf.DUMMYFUNCTION("""COMPUTED_VALUE"""),"90 HP ~")</f>
        <v>90 HP ~</v>
      </c>
      <c r="I1224" s="5" t="str">
        <f>IFERROR(__xludf.DUMMYFUNCTION("""COMPUTED_VALUE"""),"CKM-260004")</f>
        <v>CKM-260004</v>
      </c>
      <c r="J1224" s="5"/>
      <c r="K1224" s="5">
        <f>IFERROR(__xludf.DUMMYFUNCTION("""COMPUTED_VALUE"""),10.0)</f>
        <v>10</v>
      </c>
      <c r="L1224" s="5" t="str">
        <f>IFERROR(__xludf.DUMMYFUNCTION("""COMPUTED_VALUE"""),"KLH")</f>
        <v>KLH</v>
      </c>
    </row>
    <row r="1225">
      <c r="A1225" s="5" t="str">
        <f>IFERROR(__xludf.DUMMYFUNCTION("""COMPUTED_VALUE"""),"XB1-THC-013")</f>
        <v>XB1-THC-013</v>
      </c>
      <c r="B1225" s="3" t="str">
        <f>IFERROR(__xludf.DUMMYFUNCTION("""COMPUTED_VALUE"""),"Thiết bị thu hoạch cỏ thân mềm Calabria 2100")</f>
        <v>Thiết bị thu hoạch cỏ thân mềm Calabria 2100</v>
      </c>
      <c r="C1225" s="5" t="str">
        <f>IFERROR(__xludf.DUMMYFUNCTION("""COMPUTED_VALUE"""),"XN Bò AD")</f>
        <v>XN Bò AD</v>
      </c>
      <c r="D1225" s="5" t="str">
        <f>IFERROR(__xludf.DUMMYFUNCTION("""COMPUTED_VALUE"""),"CELIKEL")</f>
        <v>CELIKEL</v>
      </c>
      <c r="E1225" s="5" t="str">
        <f>IFERROR(__xludf.DUMMYFUNCTION("""COMPUTED_VALUE"""),"THỔ NHỈ KỲ")</f>
        <v>THỔ NHỈ KỲ</v>
      </c>
      <c r="F1225" s="5">
        <f>IFERROR(__xludf.DUMMYFUNCTION("""COMPUTED_VALUE"""),2026.0)</f>
        <v>2026</v>
      </c>
      <c r="G1225" s="5" t="str">
        <f>IFERROR(__xludf.DUMMYFUNCTION("""COMPUTED_VALUE"""),"CALABRIA 2100")</f>
        <v>CALABRIA 2100</v>
      </c>
      <c r="H1225" s="5" t="str">
        <f>IFERROR(__xludf.DUMMYFUNCTION("""COMPUTED_VALUE"""),"120 HP ~")</f>
        <v>120 HP ~</v>
      </c>
      <c r="I1225" s="5" t="str">
        <f>IFERROR(__xludf.DUMMYFUNCTION("""COMPUTED_VALUE"""),"CKM-260004")</f>
        <v>CKM-260004</v>
      </c>
      <c r="J1225" s="5"/>
      <c r="K1225" s="5">
        <f>IFERROR(__xludf.DUMMYFUNCTION("""COMPUTED_VALUE"""),10.0)</f>
        <v>10</v>
      </c>
      <c r="L1225" s="5" t="str">
        <f>IFERROR(__xludf.DUMMYFUNCTION("""COMPUTED_VALUE"""),"KLH")</f>
        <v>KLH</v>
      </c>
    </row>
    <row r="1226">
      <c r="A1226" s="5" t="str">
        <f>IFERROR(__xludf.DUMMYFUNCTION("""COMPUTED_VALUE"""),"XB1-ĐBC-001")</f>
        <v>XB1-ĐBC-001</v>
      </c>
      <c r="B1226" s="3" t="str">
        <f>IFERROR(__xludf.DUMMYFUNCTION("""COMPUTED_VALUE"""),"Thiết bị đóng bánh cỏ Balentine")</f>
        <v>Thiết bị đóng bánh cỏ Balentine</v>
      </c>
      <c r="C1226" s="5" t="str">
        <f>IFERROR(__xludf.DUMMYFUNCTION("""COMPUTED_VALUE"""),"XN Bò AD")</f>
        <v>XN Bò AD</v>
      </c>
      <c r="D1226" s="5" t="str">
        <f>IFERROR(__xludf.DUMMYFUNCTION("""COMPUTED_VALUE"""),"CELIKEL")</f>
        <v>CELIKEL</v>
      </c>
      <c r="E1226" s="5" t="str">
        <f>IFERROR(__xludf.DUMMYFUNCTION("""COMPUTED_VALUE"""),"BALENTINE 4")</f>
        <v>BALENTINE 4</v>
      </c>
      <c r="F1226" s="5"/>
      <c r="G1226" s="5" t="str">
        <f>IFERROR(__xludf.DUMMYFUNCTION("""COMPUTED_VALUE"""),"2024")</f>
        <v>2024</v>
      </c>
      <c r="H1226" s="5" t="str">
        <f>IFERROR(__xludf.DUMMYFUNCTION("""COMPUTED_VALUE"""),"100~150HP")</f>
        <v>100~150HP</v>
      </c>
      <c r="I1226" s="5" t="str">
        <f>IFERROR(__xludf.DUMMYFUNCTION("""COMPUTED_VALUE"""),"PBM-240131")</f>
        <v>PBM-240131</v>
      </c>
      <c r="J1226" s="5"/>
      <c r="K1226" s="5"/>
      <c r="L1226" s="5" t="str">
        <f>IFERROR(__xludf.DUMMYFUNCTION("""COMPUTED_VALUE"""),"KLH")</f>
        <v>KLH</v>
      </c>
    </row>
    <row r="1227">
      <c r="A1227" s="5" t="str">
        <f>IFERROR(__xludf.DUMMYFUNCTION("""COMPUTED_VALUE"""),"XB1-MBG-001")</f>
        <v>XB1-MBG-001</v>
      </c>
      <c r="B1227" s="3" t="str">
        <f>IFERROR(__xludf.DUMMYFUNCTION("""COMPUTED_VALUE"""),"Máy băm gỗ DIESEL-VMECH")</f>
        <v>Máy băm gỗ DIESEL-VMECH</v>
      </c>
      <c r="C1227" s="5" t="str">
        <f>IFERROR(__xludf.DUMMYFUNCTION("""COMPUTED_VALUE"""),"XN Bò AD")</f>
        <v>XN Bò AD</v>
      </c>
      <c r="D1227" s="5" t="str">
        <f>IFERROR(__xludf.DUMMYFUNCTION("""COMPUTED_VALUE"""),"CAMBODIA")</f>
        <v>CAMBODIA</v>
      </c>
      <c r="E1227" s="5"/>
      <c r="F1227" s="5"/>
      <c r="G1227" s="5"/>
      <c r="H1227" s="5"/>
      <c r="I1227" s="5"/>
      <c r="J1227" s="5"/>
      <c r="K1227" s="5"/>
      <c r="L1227" s="5" t="str">
        <f>IFERROR(__xludf.DUMMYFUNCTION("""COMPUTED_VALUE"""),"KLH")</f>
        <v>KLH</v>
      </c>
    </row>
    <row r="1228">
      <c r="A1228" s="5" t="str">
        <f>IFERROR(__xludf.DUMMYFUNCTION("""COMPUTED_VALUE"""),"XB1-MBG-002")</f>
        <v>XB1-MBG-002</v>
      </c>
      <c r="B1228" s="3" t="str">
        <f>IFERROR(__xludf.DUMMYFUNCTION("""COMPUTED_VALUE"""),"Máy băm gỗ cố định 185KW")</f>
        <v>Máy băm gỗ cố định 185KW</v>
      </c>
      <c r="C1228" s="5" t="str">
        <f>IFERROR(__xludf.DUMMYFUNCTION("""COMPUTED_VALUE"""),"XN Bò AD")</f>
        <v>XN Bò AD</v>
      </c>
      <c r="D1228" s="5" t="str">
        <f>IFERROR(__xludf.DUMMYFUNCTION("""COMPUTED_VALUE"""),"THACO AGRI")</f>
        <v>THACO AGRI</v>
      </c>
      <c r="E1228" s="5" t="str">
        <f>IFERROR(__xludf.DUMMYFUNCTION("""COMPUTED_VALUE"""),"CK-MBG-01")</f>
        <v>CK-MBG-01</v>
      </c>
      <c r="F1228" s="5"/>
      <c r="G1228" s="5" t="str">
        <f>IFERROR(__xludf.DUMMYFUNCTION("""COMPUTED_VALUE"""),"2024")</f>
        <v>2024</v>
      </c>
      <c r="H1228" s="5" t="str">
        <f>IFERROR(__xludf.DUMMYFUNCTION("""COMPUTED_VALUE"""),"3x3x2.4, 8 dao băm, motor 185 KW
-380V")</f>
        <v>3x3x2.4, 8 dao băm, motor 185 KW
-380V</v>
      </c>
      <c r="I1228" s="5"/>
      <c r="J1228" s="5"/>
      <c r="K1228" s="5"/>
      <c r="L1228" s="5" t="str">
        <f>IFERROR(__xludf.DUMMYFUNCTION("""COMPUTED_VALUE"""),"KLH")</f>
        <v>KLH</v>
      </c>
    </row>
    <row r="1229">
      <c r="A1229" s="5" t="str">
        <f>IFERROR(__xludf.DUMMYFUNCTION("""COMPUTED_VALUE"""),"XB1-MBG-003")</f>
        <v>XB1-MBG-003</v>
      </c>
      <c r="B1229" s="3" t="str">
        <f>IFERROR(__xludf.DUMMYFUNCTION("""COMPUTED_VALUE"""),"Máy băm gỗ")</f>
        <v>Máy băm gỗ</v>
      </c>
      <c r="C1229" s="5" t="str">
        <f>IFERROR(__xludf.DUMMYFUNCTION("""COMPUTED_VALUE"""),"XN Bò AD")</f>
        <v>XN Bò AD</v>
      </c>
      <c r="D1229" s="5" t="str">
        <f>IFERROR(__xludf.DUMMYFUNCTION("""COMPUTED_VALUE"""),"WEHAI")</f>
        <v>WEHAI</v>
      </c>
      <c r="E1229" s="5" t="str">
        <f>IFERROR(__xludf.DUMMYFUNCTION("""COMPUTED_VALUE"""),"WP10D238E200")</f>
        <v>WP10D238E200</v>
      </c>
      <c r="F1229" s="5"/>
      <c r="G1229" s="5" t="str">
        <f>IFERROR(__xludf.DUMMYFUNCTION("""COMPUTED_VALUE"""),"2024")</f>
        <v>2024</v>
      </c>
      <c r="H1229" s="5"/>
      <c r="I1229" s="5" t="str">
        <f>IFERROR(__xludf.DUMMYFUNCTION("""COMPUTED_VALUE"""),"1624C014353")</f>
        <v>1624C014353</v>
      </c>
      <c r="J1229" s="5"/>
      <c r="K1229" s="5"/>
      <c r="L1229" s="5" t="str">
        <f>IFERROR(__xludf.DUMMYFUNCTION("""COMPUTED_VALUE"""),"KLH")</f>
        <v>KLH</v>
      </c>
    </row>
    <row r="1230">
      <c r="A1230" s="5" t="str">
        <f>IFERROR(__xludf.DUMMYFUNCTION("""COMPUTED_VALUE"""),"XB1-MBX-001")</f>
        <v>XB1-MBX-001</v>
      </c>
      <c r="B1230" s="3" t="str">
        <f>IFERROR(__xludf.DUMMYFUNCTION("""COMPUTED_VALUE"""),"Thiết bị băm cành xoài")</f>
        <v>Thiết bị băm cành xoài</v>
      </c>
      <c r="C1230" s="5" t="str">
        <f>IFERROR(__xludf.DUMMYFUNCTION("""COMPUTED_VALUE"""),"XN Bò AD")</f>
        <v>XN Bò AD</v>
      </c>
      <c r="D1230" s="5" t="str">
        <f>IFERROR(__xludf.DUMMYFUNCTION("""COMPUTED_VALUE"""),"THACO AGRI")</f>
        <v>THACO AGRI</v>
      </c>
      <c r="E1230" s="5" t="str">
        <f>IFERROR(__xludf.DUMMYFUNCTION("""COMPUTED_VALUE"""),"CK-MBC-01")</f>
        <v>CK-MBC-01</v>
      </c>
      <c r="F1230" s="5"/>
      <c r="G1230" s="5" t="str">
        <f>IFERROR(__xludf.DUMMYFUNCTION("""COMPUTED_VALUE"""),"2024")</f>
        <v>2024</v>
      </c>
      <c r="H1230" s="5" t="str">
        <f>IFERROR(__xludf.DUMMYFUNCTION("""COMPUTED_VALUE"""),"3x1.7x2.1 ")</f>
        <v>3x1.7x2.1 </v>
      </c>
      <c r="I1230" s="5"/>
      <c r="J1230" s="5"/>
      <c r="K1230" s="5"/>
      <c r="L1230" s="5" t="str">
        <f>IFERROR(__xludf.DUMMYFUNCTION("""COMPUTED_VALUE"""),"KLH")</f>
        <v>KLH</v>
      </c>
    </row>
    <row r="1231">
      <c r="A1231" s="5" t="str">
        <f>IFERROR(__xludf.DUMMYFUNCTION("""COMPUTED_VALUE"""),"XB1-TTA-001")</f>
        <v>XB1-TTA-001</v>
      </c>
      <c r="B1231" s="3" t="str">
        <f>IFERROR(__xludf.DUMMYFUNCTION("""COMPUTED_VALUE"""),"Cối trộn thức ăn TMR")</f>
        <v>Cối trộn thức ăn TMR</v>
      </c>
      <c r="C1231" s="5" t="str">
        <f>IFERROR(__xludf.DUMMYFUNCTION("""COMPUTED_VALUE"""),"XN Bò AD")</f>
        <v>XN Bò AD</v>
      </c>
      <c r="D1231" s="5" t="str">
        <f>IFERROR(__xludf.DUMMYFUNCTION("""COMPUTED_VALUE"""),"CAMBODIA")</f>
        <v>CAMBODIA</v>
      </c>
      <c r="E1231" s="5" t="str">
        <f>IFERROR(__xludf.DUMMYFUNCTION("""COMPUTED_VALUE"""),"TMR")</f>
        <v>TMR</v>
      </c>
      <c r="F1231" s="5"/>
      <c r="G1231" s="5"/>
      <c r="H1231" s="5"/>
      <c r="I1231" s="5"/>
      <c r="J1231" s="5"/>
      <c r="K1231" s="5"/>
      <c r="L1231" s="5" t="str">
        <f>IFERROR(__xludf.DUMMYFUNCTION("""COMPUTED_VALUE"""),"KLH")</f>
        <v>KLH</v>
      </c>
    </row>
    <row r="1232">
      <c r="A1232" s="5" t="str">
        <f>IFERROR(__xludf.DUMMYFUNCTION("""COMPUTED_VALUE"""),"XB1-TTA-002")</f>
        <v>XB1-TTA-002</v>
      </c>
      <c r="B1232" s="3" t="str">
        <f>IFERROR(__xludf.DUMMYFUNCTION("""COMPUTED_VALUE"""),"Cối trộn thức ăn TMR")</f>
        <v>Cối trộn thức ăn TMR</v>
      </c>
      <c r="C1232" s="5" t="str">
        <f>IFERROR(__xludf.DUMMYFUNCTION("""COMPUTED_VALUE"""),"XN Bò AD")</f>
        <v>XN Bò AD</v>
      </c>
      <c r="D1232" s="5" t="str">
        <f>IFERROR(__xludf.DUMMYFUNCTION("""COMPUTED_VALUE"""),"CAMBODIA")</f>
        <v>CAMBODIA</v>
      </c>
      <c r="E1232" s="5" t="str">
        <f>IFERROR(__xludf.DUMMYFUNCTION("""COMPUTED_VALUE"""),"TMR")</f>
        <v>TMR</v>
      </c>
      <c r="F1232" s="5"/>
      <c r="G1232" s="5"/>
      <c r="H1232" s="5"/>
      <c r="I1232" s="5"/>
      <c r="J1232" s="5"/>
      <c r="K1232" s="5"/>
      <c r="L1232" s="5" t="str">
        <f>IFERROR(__xludf.DUMMYFUNCTION("""COMPUTED_VALUE"""),"KLH")</f>
        <v>KLH</v>
      </c>
    </row>
    <row r="1233">
      <c r="A1233" s="5" t="str">
        <f>IFERROR(__xludf.DUMMYFUNCTION("""COMPUTED_VALUE"""),"XB1-TTA-003")</f>
        <v>XB1-TTA-003</v>
      </c>
      <c r="B1233" s="3" t="str">
        <f>IFERROR(__xludf.DUMMYFUNCTION("""COMPUTED_VALUE"""),"Cối trộn thức ăn TMR")</f>
        <v>Cối trộn thức ăn TMR</v>
      </c>
      <c r="C1233" s="5" t="str">
        <f>IFERROR(__xludf.DUMMYFUNCTION("""COMPUTED_VALUE"""),"XN Bò AD")</f>
        <v>XN Bò AD</v>
      </c>
      <c r="D1233" s="5" t="str">
        <f>IFERROR(__xludf.DUMMYFUNCTION("""COMPUTED_VALUE"""),"CAMBODIA")</f>
        <v>CAMBODIA</v>
      </c>
      <c r="E1233" s="5" t="str">
        <f>IFERROR(__xludf.DUMMYFUNCTION("""COMPUTED_VALUE"""),"TMR")</f>
        <v>TMR</v>
      </c>
      <c r="F1233" s="5"/>
      <c r="G1233" s="5"/>
      <c r="H1233" s="5"/>
      <c r="I1233" s="5"/>
      <c r="J1233" s="5"/>
      <c r="K1233" s="5"/>
      <c r="L1233" s="5" t="str">
        <f>IFERROR(__xludf.DUMMYFUNCTION("""COMPUTED_VALUE"""),"KLH")</f>
        <v>KLH</v>
      </c>
    </row>
    <row r="1234">
      <c r="A1234" s="5" t="str">
        <f>IFERROR(__xludf.DUMMYFUNCTION("""COMPUTED_VALUE"""),"XB1-MBC -002")</f>
        <v>XB1-MBC -002</v>
      </c>
      <c r="B1234" s="3" t="str">
        <f>IFERROR(__xludf.DUMMYFUNCTION("""COMPUTED_VALUE"""),"Máy băm cỏ cố định")</f>
        <v>Máy băm cỏ cố định</v>
      </c>
      <c r="C1234" s="5" t="str">
        <f>IFERROR(__xludf.DUMMYFUNCTION("""COMPUTED_VALUE"""),"XN Bò AD")</f>
        <v>XN Bò AD</v>
      </c>
      <c r="D1234" s="5" t="str">
        <f>IFERROR(__xludf.DUMMYFUNCTION("""COMPUTED_VALUE"""),"THACO AGRI")</f>
        <v>THACO AGRI</v>
      </c>
      <c r="E1234" s="5" t="str">
        <f>IFERROR(__xludf.DUMMYFUNCTION("""COMPUTED_VALUE"""),"Cố định")</f>
        <v>Cố định</v>
      </c>
      <c r="F1234" s="5"/>
      <c r="G1234" s="5"/>
      <c r="H1234" s="5"/>
      <c r="I1234" s="5"/>
      <c r="J1234" s="5"/>
      <c r="K1234" s="5"/>
      <c r="L1234" s="5" t="str">
        <f>IFERROR(__xludf.DUMMYFUNCTION("""COMPUTED_VALUE"""),"KLH")</f>
        <v>KLH</v>
      </c>
    </row>
    <row r="1235">
      <c r="A1235" s="5" t="str">
        <f>IFERROR(__xludf.DUMMYFUNCTION("""COMPUTED_VALUE"""),"XB1-MBC -003")</f>
        <v>XB1-MBC -003</v>
      </c>
      <c r="B1235" s="3" t="str">
        <f>IFERROR(__xludf.DUMMYFUNCTION("""COMPUTED_VALUE"""),"Máy băm cỏ cố định")</f>
        <v>Máy băm cỏ cố định</v>
      </c>
      <c r="C1235" s="5" t="str">
        <f>IFERROR(__xludf.DUMMYFUNCTION("""COMPUTED_VALUE"""),"XN Bò AD")</f>
        <v>XN Bò AD</v>
      </c>
      <c r="D1235" s="5" t="str">
        <f>IFERROR(__xludf.DUMMYFUNCTION("""COMPUTED_VALUE"""),"THACO AGRI")</f>
        <v>THACO AGRI</v>
      </c>
      <c r="E1235" s="5" t="str">
        <f>IFERROR(__xludf.DUMMYFUNCTION("""COMPUTED_VALUE"""),"Cố định")</f>
        <v>Cố định</v>
      </c>
      <c r="F1235" s="5"/>
      <c r="G1235" s="5"/>
      <c r="H1235" s="5"/>
      <c r="I1235" s="5"/>
      <c r="J1235" s="5"/>
      <c r="K1235" s="5"/>
      <c r="L1235" s="5" t="str">
        <f>IFERROR(__xludf.DUMMYFUNCTION("""COMPUTED_VALUE"""),"KLH")</f>
        <v>KLH</v>
      </c>
    </row>
    <row r="1236">
      <c r="A1236" s="5" t="str">
        <f>IFERROR(__xludf.DUMMYFUNCTION("""COMPUTED_VALUE"""),"XB1-MBC -005")</f>
        <v>XB1-MBC -005</v>
      </c>
      <c r="B1236" s="3" t="str">
        <f>IFERROR(__xludf.DUMMYFUNCTION("""COMPUTED_VALUE"""),"Máy băm cỏ cố định")</f>
        <v>Máy băm cỏ cố định</v>
      </c>
      <c r="C1236" s="5" t="str">
        <f>IFERROR(__xludf.DUMMYFUNCTION("""COMPUTED_VALUE"""),"XN Bò AD")</f>
        <v>XN Bò AD</v>
      </c>
      <c r="D1236" s="5" t="str">
        <f>IFERROR(__xludf.DUMMYFUNCTION("""COMPUTED_VALUE"""),"THACO AGRI")</f>
        <v>THACO AGRI</v>
      </c>
      <c r="E1236" s="5" t="str">
        <f>IFERROR(__xludf.DUMMYFUNCTION("""COMPUTED_VALUE"""),"Cố định")</f>
        <v>Cố định</v>
      </c>
      <c r="F1236" s="5"/>
      <c r="G1236" s="5"/>
      <c r="H1236" s="5"/>
      <c r="I1236" s="5"/>
      <c r="J1236" s="5"/>
      <c r="K1236" s="5"/>
      <c r="L1236" s="5" t="str">
        <f>IFERROR(__xludf.DUMMYFUNCTION("""COMPUTED_VALUE"""),"KLH")</f>
        <v>KLH</v>
      </c>
    </row>
    <row r="1237">
      <c r="A1237" s="5" t="str">
        <f>IFERROR(__xludf.DUMMYFUNCTION("""COMPUTED_VALUE"""),"XB1-MBC -011")</f>
        <v>XB1-MBC -011</v>
      </c>
      <c r="B1237" s="3" t="str">
        <f>IFERROR(__xludf.DUMMYFUNCTION("""COMPUTED_VALUE"""),"Máy băm cỏ cố định")</f>
        <v>Máy băm cỏ cố định</v>
      </c>
      <c r="C1237" s="5" t="str">
        <f>IFERROR(__xludf.DUMMYFUNCTION("""COMPUTED_VALUE"""),"XN Bò AD")</f>
        <v>XN Bò AD</v>
      </c>
      <c r="D1237" s="5" t="str">
        <f>IFERROR(__xludf.DUMMYFUNCTION("""COMPUTED_VALUE"""),"THACO AGRI")</f>
        <v>THACO AGRI</v>
      </c>
      <c r="E1237" s="5" t="str">
        <f>IFERROR(__xludf.DUMMYFUNCTION("""COMPUTED_VALUE"""),"Cố định")</f>
        <v>Cố định</v>
      </c>
      <c r="F1237" s="5"/>
      <c r="G1237" s="5"/>
      <c r="H1237" s="5"/>
      <c r="I1237" s="5"/>
      <c r="J1237" s="5"/>
      <c r="K1237" s="5"/>
      <c r="L1237" s="5" t="str">
        <f>IFERROR(__xludf.DUMMYFUNCTION("""COMPUTED_VALUE"""),"KLH")</f>
        <v>KLH</v>
      </c>
    </row>
    <row r="1238">
      <c r="A1238" s="5" t="str">
        <f>IFERROR(__xludf.DUMMYFUNCTION("""COMPUTED_VALUE"""),"XB1-MBC -018")</f>
        <v>XB1-MBC -018</v>
      </c>
      <c r="B1238" s="3" t="str">
        <f>IFERROR(__xludf.DUMMYFUNCTION("""COMPUTED_VALUE"""),"Máy băm cỏ cố định")</f>
        <v>Máy băm cỏ cố định</v>
      </c>
      <c r="C1238" s="5" t="str">
        <f>IFERROR(__xludf.DUMMYFUNCTION("""COMPUTED_VALUE"""),"XN Bò AD")</f>
        <v>XN Bò AD</v>
      </c>
      <c r="D1238" s="5" t="str">
        <f>IFERROR(__xludf.DUMMYFUNCTION("""COMPUTED_VALUE"""),"THACO AGRI")</f>
        <v>THACO AGRI</v>
      </c>
      <c r="E1238" s="5" t="str">
        <f>IFERROR(__xludf.DUMMYFUNCTION("""COMPUTED_VALUE"""),"Cố định")</f>
        <v>Cố định</v>
      </c>
      <c r="F1238" s="5"/>
      <c r="G1238" s="5"/>
      <c r="H1238" s="5"/>
      <c r="I1238" s="5"/>
      <c r="J1238" s="5"/>
      <c r="K1238" s="5"/>
      <c r="L1238" s="5" t="str">
        <f>IFERROR(__xludf.DUMMYFUNCTION("""COMPUTED_VALUE"""),"KLH")</f>
        <v>KLH</v>
      </c>
    </row>
    <row r="1239">
      <c r="A1239" s="5" t="str">
        <f>IFERROR(__xludf.DUMMYFUNCTION("""COMPUTED_VALUE"""),"XB1-MBC -019")</f>
        <v>XB1-MBC -019</v>
      </c>
      <c r="B1239" s="3" t="str">
        <f>IFERROR(__xludf.DUMMYFUNCTION("""COMPUTED_VALUE"""),"Máy băm cố định")</f>
        <v>Máy băm cố định</v>
      </c>
      <c r="C1239" s="5" t="str">
        <f>IFERROR(__xludf.DUMMYFUNCTION("""COMPUTED_VALUE"""),"XN Chuối DP2")</f>
        <v>XN Chuối DP2</v>
      </c>
      <c r="D1239" s="5" t="str">
        <f>IFERROR(__xludf.DUMMYFUNCTION("""COMPUTED_VALUE"""),"THACO AGRI")</f>
        <v>THACO AGRI</v>
      </c>
      <c r="E1239" s="5" t="str">
        <f>IFERROR(__xludf.DUMMYFUNCTION("""COMPUTED_VALUE"""),"CK-MB-22")</f>
        <v>CK-MB-22</v>
      </c>
      <c r="F1239" s="5"/>
      <c r="G1239" s="5" t="str">
        <f>IFERROR(__xludf.DUMMYFUNCTION("""COMPUTED_VALUE"""),"2024")</f>
        <v>2024</v>
      </c>
      <c r="H1239" s="5" t="str">
        <f>IFERROR(__xludf.DUMMYFUNCTION("""COMPUTED_VALUE"""),"2,25x0,8x3,7m")</f>
        <v>2,25x0,8x3,7m</v>
      </c>
      <c r="I1239" s="5"/>
      <c r="J1239" s="5"/>
      <c r="K1239" s="5"/>
      <c r="L1239" s="5" t="str">
        <f>IFERROR(__xludf.DUMMYFUNCTION("""COMPUTED_VALUE"""),"KLH")</f>
        <v>KLH</v>
      </c>
    </row>
    <row r="1240">
      <c r="A1240" s="5" t="str">
        <f>IFERROR(__xludf.DUMMYFUNCTION("""COMPUTED_VALUE"""),"XB1-MBD-001")</f>
        <v>XB1-MBD-001</v>
      </c>
      <c r="B1240" s="3" t="str">
        <f>IFERROR(__xludf.DUMMYFUNCTION("""COMPUTED_VALUE"""),"Máy băm cỏ di động")</f>
        <v>Máy băm cỏ di động</v>
      </c>
      <c r="C1240" s="5" t="str">
        <f>IFERROR(__xludf.DUMMYFUNCTION("""COMPUTED_VALUE"""),"XN Bò AD")</f>
        <v>XN Bò AD</v>
      </c>
      <c r="D1240" s="5" t="str">
        <f>IFERROR(__xludf.DUMMYFUNCTION("""COMPUTED_VALUE"""),"THACO AGRI")</f>
        <v>THACO AGRI</v>
      </c>
      <c r="E1240" s="5" t="str">
        <f>IFERROR(__xludf.DUMMYFUNCTION("""COMPUTED_VALUE"""),"Di động")</f>
        <v>Di động</v>
      </c>
      <c r="F1240" s="5"/>
      <c r="G1240" s="5"/>
      <c r="H1240" s="5"/>
      <c r="I1240" s="5"/>
      <c r="J1240" s="5"/>
      <c r="K1240" s="5"/>
      <c r="L1240" s="5" t="str">
        <f>IFERROR(__xludf.DUMMYFUNCTION("""COMPUTED_VALUE"""),"KLH")</f>
        <v>KLH</v>
      </c>
    </row>
    <row r="1241">
      <c r="A1241" s="5" t="str">
        <f>IFERROR(__xludf.DUMMYFUNCTION("""COMPUTED_VALUE"""),"XB1-MBD-002")</f>
        <v>XB1-MBD-002</v>
      </c>
      <c r="B1241" s="3" t="str">
        <f>IFERROR(__xludf.DUMMYFUNCTION("""COMPUTED_VALUE"""),"Máy băm cỏ di động")</f>
        <v>Máy băm cỏ di động</v>
      </c>
      <c r="C1241" s="5" t="str">
        <f>IFERROR(__xludf.DUMMYFUNCTION("""COMPUTED_VALUE"""),"XN Bò AD")</f>
        <v>XN Bò AD</v>
      </c>
      <c r="D1241" s="5" t="str">
        <f>IFERROR(__xludf.DUMMYFUNCTION("""COMPUTED_VALUE"""),"THACO AGRI")</f>
        <v>THACO AGRI</v>
      </c>
      <c r="E1241" s="5" t="str">
        <f>IFERROR(__xludf.DUMMYFUNCTION("""COMPUTED_VALUE"""),"Di động")</f>
        <v>Di động</v>
      </c>
      <c r="F1241" s="5"/>
      <c r="G1241" s="5"/>
      <c r="H1241" s="5"/>
      <c r="I1241" s="5"/>
      <c r="J1241" s="5"/>
      <c r="K1241" s="5"/>
      <c r="L1241" s="5" t="str">
        <f>IFERROR(__xludf.DUMMYFUNCTION("""COMPUTED_VALUE"""),"KLH")</f>
        <v>KLH</v>
      </c>
    </row>
    <row r="1242">
      <c r="A1242" s="5" t="str">
        <f>IFERROR(__xludf.DUMMYFUNCTION("""COMPUTED_VALUE"""),"XB1-PVS -001")</f>
        <v>XB1-PVS -001</v>
      </c>
      <c r="B1242" s="3" t="str">
        <f>IFERROR(__xludf.DUMMYFUNCTION("""COMPUTED_VALUE"""),"Bồn phun vi sinh, khử trùng")</f>
        <v>Bồn phun vi sinh, khử trùng</v>
      </c>
      <c r="C1242" s="5" t="str">
        <f>IFERROR(__xludf.DUMMYFUNCTION("""COMPUTED_VALUE"""),"XN Bò AD")</f>
        <v>XN Bò AD</v>
      </c>
      <c r="D1242" s="5" t="str">
        <f>IFERROR(__xludf.DUMMYFUNCTION("""COMPUTED_VALUE"""),"CAMBODIA")</f>
        <v>CAMBODIA</v>
      </c>
      <c r="E1242" s="5"/>
      <c r="F1242" s="5"/>
      <c r="G1242" s="5"/>
      <c r="H1242" s="5"/>
      <c r="I1242" s="5"/>
      <c r="J1242" s="5"/>
      <c r="K1242" s="5"/>
      <c r="L1242" s="5" t="str">
        <f>IFERROR(__xludf.DUMMYFUNCTION("""COMPUTED_VALUE"""),"KLH")</f>
        <v>KLH</v>
      </c>
    </row>
    <row r="1243">
      <c r="A1243" s="5" t="str">
        <f>IFERROR(__xludf.DUMMYFUNCTION("""COMPUTED_VALUE"""),"XB1-PVS -002")</f>
        <v>XB1-PVS -002</v>
      </c>
      <c r="B1243" s="3" t="str">
        <f>IFERROR(__xludf.DUMMYFUNCTION("""COMPUTED_VALUE"""),"Bồn phun vi sinh, khử trùng")</f>
        <v>Bồn phun vi sinh, khử trùng</v>
      </c>
      <c r="C1243" s="5" t="str">
        <f>IFERROR(__xludf.DUMMYFUNCTION("""COMPUTED_VALUE"""),"XN Bò AD")</f>
        <v>XN Bò AD</v>
      </c>
      <c r="D1243" s="5" t="str">
        <f>IFERROR(__xludf.DUMMYFUNCTION("""COMPUTED_VALUE"""),"CAMBODIA")</f>
        <v>CAMBODIA</v>
      </c>
      <c r="E1243" s="5"/>
      <c r="F1243" s="5"/>
      <c r="G1243" s="5"/>
      <c r="H1243" s="5"/>
      <c r="I1243" s="5"/>
      <c r="J1243" s="5"/>
      <c r="K1243" s="5"/>
      <c r="L1243" s="5" t="str">
        <f>IFERROR(__xludf.DUMMYFUNCTION("""COMPUTED_VALUE"""),"KLH")</f>
        <v>KLH</v>
      </c>
    </row>
    <row r="1244">
      <c r="A1244" s="5" t="str">
        <f>IFERROR(__xludf.DUMMYFUNCTION("""COMPUTED_VALUE"""),"XB1-RMO-001")</f>
        <v>XB1-RMO-001</v>
      </c>
      <c r="B1244" s="3" t="str">
        <f>IFERROR(__xludf.DUMMYFUNCTION("""COMPUTED_VALUE"""),"Rơ mooc thùng")</f>
        <v>Rơ mooc thùng</v>
      </c>
      <c r="C1244" s="5" t="str">
        <f>IFERROR(__xludf.DUMMYFUNCTION("""COMPUTED_VALUE"""),"XN Bò AD")</f>
        <v>XN Bò AD</v>
      </c>
      <c r="D1244" s="5" t="str">
        <f>IFERROR(__xludf.DUMMYFUNCTION("""COMPUTED_VALUE"""),"THACO AGRI")</f>
        <v>THACO AGRI</v>
      </c>
      <c r="E1244" s="5" t="str">
        <f>IFERROR(__xludf.DUMMYFUNCTION("""COMPUTED_VALUE"""),"RM thùng")</f>
        <v>RM thùng</v>
      </c>
      <c r="F1244" s="5"/>
      <c r="G1244" s="5"/>
      <c r="H1244" s="5"/>
      <c r="I1244" s="5"/>
      <c r="J1244" s="5"/>
      <c r="K1244" s="5"/>
      <c r="L1244" s="5" t="str">
        <f>IFERROR(__xludf.DUMMYFUNCTION("""COMPUTED_VALUE"""),"KLH")</f>
        <v>KLH</v>
      </c>
    </row>
    <row r="1245">
      <c r="A1245" s="5" t="str">
        <f>IFERROR(__xludf.DUMMYFUNCTION("""COMPUTED_VALUE"""),"XB1-RMO-002")</f>
        <v>XB1-RMO-002</v>
      </c>
      <c r="B1245" s="3" t="str">
        <f>IFERROR(__xludf.DUMMYFUNCTION("""COMPUTED_VALUE"""),"Rơ mooc thùng")</f>
        <v>Rơ mooc thùng</v>
      </c>
      <c r="C1245" s="5" t="str">
        <f>IFERROR(__xludf.DUMMYFUNCTION("""COMPUTED_VALUE"""),"XN Bò AD")</f>
        <v>XN Bò AD</v>
      </c>
      <c r="D1245" s="5" t="str">
        <f>IFERROR(__xludf.DUMMYFUNCTION("""COMPUTED_VALUE"""),"THACO AGRI")</f>
        <v>THACO AGRI</v>
      </c>
      <c r="E1245" s="5" t="str">
        <f>IFERROR(__xludf.DUMMYFUNCTION("""COMPUTED_VALUE"""),"RM thùng")</f>
        <v>RM thùng</v>
      </c>
      <c r="F1245" s="5"/>
      <c r="G1245" s="5"/>
      <c r="H1245" s="5"/>
      <c r="I1245" s="5"/>
      <c r="J1245" s="5"/>
      <c r="K1245" s="5"/>
      <c r="L1245" s="5" t="str">
        <f>IFERROR(__xludf.DUMMYFUNCTION("""COMPUTED_VALUE"""),"KLH")</f>
        <v>KLH</v>
      </c>
    </row>
    <row r="1246">
      <c r="A1246" s="5" t="str">
        <f>IFERROR(__xludf.DUMMYFUNCTION("""COMPUTED_VALUE"""),"XB1-RMO-003")</f>
        <v>XB1-RMO-003</v>
      </c>
      <c r="B1246" s="3" t="str">
        <f>IFERROR(__xludf.DUMMYFUNCTION("""COMPUTED_VALUE"""),"Rơ mooc thùng")</f>
        <v>Rơ mooc thùng</v>
      </c>
      <c r="C1246" s="5" t="str">
        <f>IFERROR(__xludf.DUMMYFUNCTION("""COMPUTED_VALUE"""),"XN Bò AD")</f>
        <v>XN Bò AD</v>
      </c>
      <c r="D1246" s="5" t="str">
        <f>IFERROR(__xludf.DUMMYFUNCTION("""COMPUTED_VALUE"""),"THACO AGRI")</f>
        <v>THACO AGRI</v>
      </c>
      <c r="E1246" s="5" t="str">
        <f>IFERROR(__xludf.DUMMYFUNCTION("""COMPUTED_VALUE"""),"RM thùng")</f>
        <v>RM thùng</v>
      </c>
      <c r="F1246" s="5"/>
      <c r="G1246" s="5"/>
      <c r="H1246" s="5"/>
      <c r="I1246" s="5"/>
      <c r="J1246" s="5"/>
      <c r="K1246" s="5"/>
      <c r="L1246" s="5" t="str">
        <f>IFERROR(__xludf.DUMMYFUNCTION("""COMPUTED_VALUE"""),"KLH")</f>
        <v>KLH</v>
      </c>
    </row>
    <row r="1247">
      <c r="A1247" s="5" t="str">
        <f>IFERROR(__xludf.DUMMYFUNCTION("""COMPUTED_VALUE"""),"XB1-RMO-004")</f>
        <v>XB1-RMO-004</v>
      </c>
      <c r="B1247" s="3" t="str">
        <f>IFERROR(__xludf.DUMMYFUNCTION("""COMPUTED_VALUE"""),"Rơ mooc thùng")</f>
        <v>Rơ mooc thùng</v>
      </c>
      <c r="C1247" s="5" t="str">
        <f>IFERROR(__xludf.DUMMYFUNCTION("""COMPUTED_VALUE"""),"XN Bò AD")</f>
        <v>XN Bò AD</v>
      </c>
      <c r="D1247" s="5" t="str">
        <f>IFERROR(__xludf.DUMMYFUNCTION("""COMPUTED_VALUE"""),"THACO AGRI")</f>
        <v>THACO AGRI</v>
      </c>
      <c r="E1247" s="5" t="str">
        <f>IFERROR(__xludf.DUMMYFUNCTION("""COMPUTED_VALUE"""),"RM thùng")</f>
        <v>RM thùng</v>
      </c>
      <c r="F1247" s="5"/>
      <c r="G1247" s="5"/>
      <c r="H1247" s="5"/>
      <c r="I1247" s="5"/>
      <c r="J1247" s="5"/>
      <c r="K1247" s="5"/>
      <c r="L1247" s="5" t="str">
        <f>IFERROR(__xludf.DUMMYFUNCTION("""COMPUTED_VALUE"""),"KLH")</f>
        <v>KLH</v>
      </c>
    </row>
    <row r="1248">
      <c r="A1248" s="5" t="str">
        <f>IFERROR(__xludf.DUMMYFUNCTION("""COMPUTED_VALUE"""),"XB1-RMO-005")</f>
        <v>XB1-RMO-005</v>
      </c>
      <c r="B1248" s="3" t="str">
        <f>IFERROR(__xludf.DUMMYFUNCTION("""COMPUTED_VALUE"""),"Rơ mooc đi cùng shibaura")</f>
        <v>Rơ mooc đi cùng shibaura</v>
      </c>
      <c r="C1248" s="5" t="str">
        <f>IFERROR(__xludf.DUMMYFUNCTION("""COMPUTED_VALUE"""),"XN Bò AD")</f>
        <v>XN Bò AD</v>
      </c>
      <c r="D1248" s="5" t="str">
        <f>IFERROR(__xludf.DUMMYFUNCTION("""COMPUTED_VALUE"""),"THACO AGRI")</f>
        <v>THACO AGRI</v>
      </c>
      <c r="E1248" s="5"/>
      <c r="F1248" s="5"/>
      <c r="G1248" s="5"/>
      <c r="H1248" s="5"/>
      <c r="I1248" s="5"/>
      <c r="J1248" s="5"/>
      <c r="K1248" s="5"/>
      <c r="L1248" s="5" t="str">
        <f>IFERROR(__xludf.DUMMYFUNCTION("""COMPUTED_VALUE"""),"KLH")</f>
        <v>KLH</v>
      </c>
    </row>
    <row r="1249">
      <c r="A1249" s="5" t="str">
        <f>IFERROR(__xludf.DUMMYFUNCTION("""COMPUTED_VALUE"""),"XB1-RMC-006")</f>
        <v>XB1-RMC-006</v>
      </c>
      <c r="B1249" s="3" t="str">
        <f>IFERROR(__xludf.DUMMYFUNCTION("""COMPUTED_VALUE"""),"Rơ mooc thu hoạch")</f>
        <v>Rơ mooc thu hoạch</v>
      </c>
      <c r="C1249" s="5" t="str">
        <f>IFERROR(__xludf.DUMMYFUNCTION("""COMPUTED_VALUE"""),"XN Bò AD")</f>
        <v>XN Bò AD</v>
      </c>
      <c r="D1249" s="5" t="str">
        <f>IFERROR(__xludf.DUMMYFUNCTION("""COMPUTED_VALUE"""),"THACO AGRI")</f>
        <v>THACO AGRI</v>
      </c>
      <c r="E1249" s="5" t="str">
        <f>IFERROR(__xludf.DUMMYFUNCTION("""COMPUTED_VALUE"""),"RM thu hoạch")</f>
        <v>RM thu hoạch</v>
      </c>
      <c r="F1249" s="5"/>
      <c r="G1249" s="5"/>
      <c r="H1249" s="5"/>
      <c r="I1249" s="5"/>
      <c r="J1249" s="5"/>
      <c r="K1249" s="5"/>
      <c r="L1249" s="5" t="str">
        <f>IFERROR(__xludf.DUMMYFUNCTION("""COMPUTED_VALUE"""),"KLH")</f>
        <v>KLH</v>
      </c>
    </row>
    <row r="1250">
      <c r="A1250" s="5" t="str">
        <f>IFERROR(__xludf.DUMMYFUNCTION("""COMPUTED_VALUE"""),"XB1-RMC-007")</f>
        <v>XB1-RMC-007</v>
      </c>
      <c r="B1250" s="3" t="str">
        <f>IFERROR(__xludf.DUMMYFUNCTION("""COMPUTED_VALUE"""),"Rơ mooc thu hoạch")</f>
        <v>Rơ mooc thu hoạch</v>
      </c>
      <c r="C1250" s="5" t="str">
        <f>IFERROR(__xludf.DUMMYFUNCTION("""COMPUTED_VALUE"""),"XN Bò AD")</f>
        <v>XN Bò AD</v>
      </c>
      <c r="D1250" s="5" t="str">
        <f>IFERROR(__xludf.DUMMYFUNCTION("""COMPUTED_VALUE"""),"THACO AGRI")</f>
        <v>THACO AGRI</v>
      </c>
      <c r="E1250" s="5" t="str">
        <f>IFERROR(__xludf.DUMMYFUNCTION("""COMPUTED_VALUE"""),"RM thu hoạch")</f>
        <v>RM thu hoạch</v>
      </c>
      <c r="F1250" s="5"/>
      <c r="G1250" s="5"/>
      <c r="H1250" s="5"/>
      <c r="I1250" s="5"/>
      <c r="J1250" s="5"/>
      <c r="K1250" s="5"/>
      <c r="L1250" s="5" t="str">
        <f>IFERROR(__xludf.DUMMYFUNCTION("""COMPUTED_VALUE"""),"KLH")</f>
        <v>KLH</v>
      </c>
    </row>
    <row r="1251">
      <c r="A1251" s="5" t="str">
        <f>IFERROR(__xludf.DUMMYFUNCTION("""COMPUTED_VALUE"""),"XB1-RMC-008")</f>
        <v>XB1-RMC-008</v>
      </c>
      <c r="B1251" s="3" t="str">
        <f>IFERROR(__xludf.DUMMYFUNCTION("""COMPUTED_VALUE"""),"Rơ mooc thu hoạch")</f>
        <v>Rơ mooc thu hoạch</v>
      </c>
      <c r="C1251" s="5" t="str">
        <f>IFERROR(__xludf.DUMMYFUNCTION("""COMPUTED_VALUE"""),"XN Bò AD")</f>
        <v>XN Bò AD</v>
      </c>
      <c r="D1251" s="5" t="str">
        <f>IFERROR(__xludf.DUMMYFUNCTION("""COMPUTED_VALUE"""),"THACO AGRI")</f>
        <v>THACO AGRI</v>
      </c>
      <c r="E1251" s="5" t="str">
        <f>IFERROR(__xludf.DUMMYFUNCTION("""COMPUTED_VALUE"""),"RM thu hoạch")</f>
        <v>RM thu hoạch</v>
      </c>
      <c r="F1251" s="5"/>
      <c r="G1251" s="5"/>
      <c r="H1251" s="5"/>
      <c r="I1251" s="5"/>
      <c r="J1251" s="5"/>
      <c r="K1251" s="5"/>
      <c r="L1251" s="5" t="str">
        <f>IFERROR(__xludf.DUMMYFUNCTION("""COMPUTED_VALUE"""),"KLH")</f>
        <v>KLH</v>
      </c>
    </row>
    <row r="1252">
      <c r="A1252" s="5" t="str">
        <f>IFERROR(__xludf.DUMMYFUNCTION("""COMPUTED_VALUE"""),"XB1-RMB-001")</f>
        <v>XB1-RMB-001</v>
      </c>
      <c r="B1252" s="3" t="str">
        <f>IFERROR(__xludf.DUMMYFUNCTION("""COMPUTED_VALUE"""),"Rơ mooc thùng ben")</f>
        <v>Rơ mooc thùng ben</v>
      </c>
      <c r="C1252" s="5" t="str">
        <f>IFERROR(__xludf.DUMMYFUNCTION("""COMPUTED_VALUE"""),"XN Bò AD")</f>
        <v>XN Bò AD</v>
      </c>
      <c r="D1252" s="5" t="str">
        <f>IFERROR(__xludf.DUMMYFUNCTION("""COMPUTED_VALUE"""),"THACO AGRI")</f>
        <v>THACO AGRI</v>
      </c>
      <c r="E1252" s="5" t="str">
        <f>IFERROR(__xludf.DUMMYFUNCTION("""COMPUTED_VALUE"""),"RM thùng ben")</f>
        <v>RM thùng ben</v>
      </c>
      <c r="F1252" s="5"/>
      <c r="G1252" s="5"/>
      <c r="H1252" s="5"/>
      <c r="I1252" s="5"/>
      <c r="J1252" s="5"/>
      <c r="K1252" s="5"/>
      <c r="L1252" s="5" t="str">
        <f>IFERROR(__xludf.DUMMYFUNCTION("""COMPUTED_VALUE"""),"KLH")</f>
        <v>KLH</v>
      </c>
    </row>
    <row r="1253">
      <c r="A1253" s="5" t="str">
        <f>IFERROR(__xludf.DUMMYFUNCTION("""COMPUTED_VALUE"""),"XB1-RMB-002")</f>
        <v>XB1-RMB-002</v>
      </c>
      <c r="B1253" s="3" t="str">
        <f>IFERROR(__xludf.DUMMYFUNCTION("""COMPUTED_VALUE"""),"Rơ mooc thùng ben")</f>
        <v>Rơ mooc thùng ben</v>
      </c>
      <c r="C1253" s="5" t="str">
        <f>IFERROR(__xludf.DUMMYFUNCTION("""COMPUTED_VALUE"""),"XN Bò AD")</f>
        <v>XN Bò AD</v>
      </c>
      <c r="D1253" s="5" t="str">
        <f>IFERROR(__xludf.DUMMYFUNCTION("""COMPUTED_VALUE"""),"THACO AGRI")</f>
        <v>THACO AGRI</v>
      </c>
      <c r="E1253" s="5" t="str">
        <f>IFERROR(__xludf.DUMMYFUNCTION("""COMPUTED_VALUE"""),"RM thùng ben")</f>
        <v>RM thùng ben</v>
      </c>
      <c r="F1253" s="5"/>
      <c r="G1253" s="5"/>
      <c r="H1253" s="5"/>
      <c r="I1253" s="5"/>
      <c r="J1253" s="5"/>
      <c r="K1253" s="5"/>
      <c r="L1253" s="5" t="str">
        <f>IFERROR(__xludf.DUMMYFUNCTION("""COMPUTED_VALUE"""),"KLH")</f>
        <v>KLH</v>
      </c>
    </row>
    <row r="1254">
      <c r="A1254" s="5" t="str">
        <f>IFERROR(__xludf.DUMMYFUNCTION("""COMPUTED_VALUE"""),"XB1-RML-001")</f>
        <v>XB1-RML-001</v>
      </c>
      <c r="B1254" s="3" t="str">
        <f>IFERROR(__xludf.DUMMYFUNCTION("""COMPUTED_VALUE"""),"Rơ mooc lưới")</f>
        <v>Rơ mooc lưới</v>
      </c>
      <c r="C1254" s="5" t="str">
        <f>IFERROR(__xludf.DUMMYFUNCTION("""COMPUTED_VALUE"""),"XN Bò AD")</f>
        <v>XN Bò AD</v>
      </c>
      <c r="D1254" s="5" t="str">
        <f>IFERROR(__xludf.DUMMYFUNCTION("""COMPUTED_VALUE"""),"THACO AGRI")</f>
        <v>THACO AGRI</v>
      </c>
      <c r="E1254" s="5" t="str">
        <f>IFERROR(__xludf.DUMMYFUNCTION("""COMPUTED_VALUE"""),"RM lưới")</f>
        <v>RM lưới</v>
      </c>
      <c r="F1254" s="5"/>
      <c r="G1254" s="5"/>
      <c r="H1254" s="5"/>
      <c r="I1254" s="5"/>
      <c r="J1254" s="5"/>
      <c r="K1254" s="5"/>
      <c r="L1254" s="5" t="str">
        <f>IFERROR(__xludf.DUMMYFUNCTION("""COMPUTED_VALUE"""),"KLH")</f>
        <v>KLH</v>
      </c>
    </row>
    <row r="1255">
      <c r="A1255" s="5" t="str">
        <f>IFERROR(__xludf.DUMMYFUNCTION("""COMPUTED_VALUE"""),"XB1-RML-003")</f>
        <v>XB1-RML-003</v>
      </c>
      <c r="B1255" s="3" t="str">
        <f>IFERROR(__xludf.DUMMYFUNCTION("""COMPUTED_VALUE"""),"Rơ mooc lưới")</f>
        <v>Rơ mooc lưới</v>
      </c>
      <c r="C1255" s="5" t="str">
        <f>IFERROR(__xludf.DUMMYFUNCTION("""COMPUTED_VALUE"""),"XN Bò AD")</f>
        <v>XN Bò AD</v>
      </c>
      <c r="D1255" s="5" t="str">
        <f>IFERROR(__xludf.DUMMYFUNCTION("""COMPUTED_VALUE"""),"THACO AGRI")</f>
        <v>THACO AGRI</v>
      </c>
      <c r="E1255" s="5" t="str">
        <f>IFERROR(__xludf.DUMMYFUNCTION("""COMPUTED_VALUE"""),"RM lưới")</f>
        <v>RM lưới</v>
      </c>
      <c r="F1255" s="5"/>
      <c r="G1255" s="5"/>
      <c r="H1255" s="5"/>
      <c r="I1255" s="5"/>
      <c r="J1255" s="5"/>
      <c r="K1255" s="5"/>
      <c r="L1255" s="5" t="str">
        <f>IFERROR(__xludf.DUMMYFUNCTION("""COMPUTED_VALUE"""),"KLH")</f>
        <v>KLH</v>
      </c>
    </row>
    <row r="1256">
      <c r="A1256" s="5" t="str">
        <f>IFERROR(__xludf.DUMMYFUNCTION("""COMPUTED_VALUE"""),"XB1-RML-004")</f>
        <v>XB1-RML-004</v>
      </c>
      <c r="B1256" s="3" t="str">
        <f>IFERROR(__xludf.DUMMYFUNCTION("""COMPUTED_VALUE"""),"Rơ mooc lưới")</f>
        <v>Rơ mooc lưới</v>
      </c>
      <c r="C1256" s="5" t="str">
        <f>IFERROR(__xludf.DUMMYFUNCTION("""COMPUTED_VALUE"""),"XN Bò AD")</f>
        <v>XN Bò AD</v>
      </c>
      <c r="D1256" s="5" t="str">
        <f>IFERROR(__xludf.DUMMYFUNCTION("""COMPUTED_VALUE"""),"THACO AGRI")</f>
        <v>THACO AGRI</v>
      </c>
      <c r="E1256" s="5" t="str">
        <f>IFERROR(__xludf.DUMMYFUNCTION("""COMPUTED_VALUE"""),"RM lưới")</f>
        <v>RM lưới</v>
      </c>
      <c r="F1256" s="5"/>
      <c r="G1256" s="5"/>
      <c r="H1256" s="5"/>
      <c r="I1256" s="5"/>
      <c r="J1256" s="5"/>
      <c r="K1256" s="5"/>
      <c r="L1256" s="5" t="str">
        <f>IFERROR(__xludf.DUMMYFUNCTION("""COMPUTED_VALUE"""),"KLH")</f>
        <v>KLH</v>
      </c>
    </row>
    <row r="1257">
      <c r="A1257" s="5" t="str">
        <f>IFERROR(__xludf.DUMMYFUNCTION("""COMPUTED_VALUE"""),"XB1-RML-005")</f>
        <v>XB1-RML-005</v>
      </c>
      <c r="B1257" s="3" t="str">
        <f>IFERROR(__xludf.DUMMYFUNCTION("""COMPUTED_VALUE"""),"Rơ mooc lưới")</f>
        <v>Rơ mooc lưới</v>
      </c>
      <c r="C1257" s="5" t="str">
        <f>IFERROR(__xludf.DUMMYFUNCTION("""COMPUTED_VALUE"""),"XN Bò AD")</f>
        <v>XN Bò AD</v>
      </c>
      <c r="D1257" s="5" t="str">
        <f>IFERROR(__xludf.DUMMYFUNCTION("""COMPUTED_VALUE"""),"THACO AGRI")</f>
        <v>THACO AGRI</v>
      </c>
      <c r="E1257" s="5" t="str">
        <f>IFERROR(__xludf.DUMMYFUNCTION("""COMPUTED_VALUE"""),"RM lưới")</f>
        <v>RM lưới</v>
      </c>
      <c r="F1257" s="5"/>
      <c r="G1257" s="5"/>
      <c r="H1257" s="5"/>
      <c r="I1257" s="5"/>
      <c r="J1257" s="5"/>
      <c r="K1257" s="5"/>
      <c r="L1257" s="5" t="str">
        <f>IFERROR(__xludf.DUMMYFUNCTION("""COMPUTED_VALUE"""),"KLH")</f>
        <v>KLH</v>
      </c>
    </row>
    <row r="1258">
      <c r="A1258" s="5" t="str">
        <f>IFERROR(__xludf.DUMMYFUNCTION("""COMPUTED_VALUE"""),"XB1-RML-006")</f>
        <v>XB1-RML-006</v>
      </c>
      <c r="B1258" s="3" t="str">
        <f>IFERROR(__xludf.DUMMYFUNCTION("""COMPUTED_VALUE"""),"Rơ mooc lưới")</f>
        <v>Rơ mooc lưới</v>
      </c>
      <c r="C1258" s="5" t="str">
        <f>IFERROR(__xludf.DUMMYFUNCTION("""COMPUTED_VALUE"""),"XN Bò AD")</f>
        <v>XN Bò AD</v>
      </c>
      <c r="D1258" s="5" t="str">
        <f>IFERROR(__xludf.DUMMYFUNCTION("""COMPUTED_VALUE"""),"THACO AGRI")</f>
        <v>THACO AGRI</v>
      </c>
      <c r="E1258" s="5" t="str">
        <f>IFERROR(__xludf.DUMMYFUNCTION("""COMPUTED_VALUE"""),"RM lưới")</f>
        <v>RM lưới</v>
      </c>
      <c r="F1258" s="5"/>
      <c r="G1258" s="5"/>
      <c r="H1258" s="5"/>
      <c r="I1258" s="5"/>
      <c r="J1258" s="5"/>
      <c r="K1258" s="5"/>
      <c r="L1258" s="5" t="str">
        <f>IFERROR(__xludf.DUMMYFUNCTION("""COMPUTED_VALUE"""),"KLH")</f>
        <v>KLH</v>
      </c>
    </row>
    <row r="1259">
      <c r="A1259" s="5" t="str">
        <f>IFERROR(__xludf.DUMMYFUNCTION("""COMPUTED_VALUE"""),"XB1-RML-008")</f>
        <v>XB1-RML-008</v>
      </c>
      <c r="B1259" s="3" t="str">
        <f>IFERROR(__xludf.DUMMYFUNCTION("""COMPUTED_VALUE"""),"Rơ mooc lưới")</f>
        <v>Rơ mooc lưới</v>
      </c>
      <c r="C1259" s="5" t="str">
        <f>IFERROR(__xludf.DUMMYFUNCTION("""COMPUTED_VALUE"""),"XN Bò AD")</f>
        <v>XN Bò AD</v>
      </c>
      <c r="D1259" s="5" t="str">
        <f>IFERROR(__xludf.DUMMYFUNCTION("""COMPUTED_VALUE"""),"THACO AGRI")</f>
        <v>THACO AGRI</v>
      </c>
      <c r="E1259" s="5" t="str">
        <f>IFERROR(__xludf.DUMMYFUNCTION("""COMPUTED_VALUE"""),"RM lưới")</f>
        <v>RM lưới</v>
      </c>
      <c r="F1259" s="5"/>
      <c r="G1259" s="5"/>
      <c r="H1259" s="5" t="str">
        <f>IFERROR(__xludf.DUMMYFUNCTION("""COMPUTED_VALUE"""),"3.24x2.1x1.39")</f>
        <v>3.24x2.1x1.39</v>
      </c>
      <c r="I1259" s="5" t="str">
        <f>IFERROR(__xludf.DUMMYFUNCTION("""COMPUTED_VALUE"""),"CK-RML-008")</f>
        <v>CK-RML-008</v>
      </c>
      <c r="J1259" s="5"/>
      <c r="K1259" s="5"/>
      <c r="L1259" s="5" t="str">
        <f>IFERROR(__xludf.DUMMYFUNCTION("""COMPUTED_VALUE"""),"KLH")</f>
        <v>KLH</v>
      </c>
    </row>
    <row r="1260">
      <c r="A1260" s="5" t="str">
        <f>IFERROR(__xludf.DUMMYFUNCTION("""COMPUTED_VALUE"""),"XB1-MLB-001")</f>
        <v>XB1-MLB-001</v>
      </c>
      <c r="B1260" s="3" t="str">
        <f>IFERROR(__xludf.DUMMYFUNCTION("""COMPUTED_VALUE"""),"Rơ mooc lưới ben")</f>
        <v>Rơ mooc lưới ben</v>
      </c>
      <c r="C1260" s="5" t="str">
        <f>IFERROR(__xludf.DUMMYFUNCTION("""COMPUTED_VALUE"""),"XN Bò AD")</f>
        <v>XN Bò AD</v>
      </c>
      <c r="D1260" s="5" t="str">
        <f>IFERROR(__xludf.DUMMYFUNCTION("""COMPUTED_VALUE"""),"THACO AGRI")</f>
        <v>THACO AGRI</v>
      </c>
      <c r="E1260" s="5" t="str">
        <f>IFERROR(__xludf.DUMMYFUNCTION("""COMPUTED_VALUE"""),"RM lưới")</f>
        <v>RM lưới</v>
      </c>
      <c r="F1260" s="5"/>
      <c r="G1260" s="5" t="str">
        <f>IFERROR(__xludf.DUMMYFUNCTION("""COMPUTED_VALUE"""),"2024")</f>
        <v>2024</v>
      </c>
      <c r="H1260" s="5" t="str">
        <f>IFERROR(__xludf.DUMMYFUNCTION("""COMPUTED_VALUE"""),"3.9x2.3x2.5")</f>
        <v>3.9x2.3x2.5</v>
      </c>
      <c r="I1260" s="5"/>
      <c r="J1260" s="5"/>
      <c r="K1260" s="5"/>
      <c r="L1260" s="5" t="str">
        <f>IFERROR(__xludf.DUMMYFUNCTION("""COMPUTED_VALUE"""),"KLH")</f>
        <v>KLH</v>
      </c>
    </row>
    <row r="1261">
      <c r="A1261" s="5" t="str">
        <f>IFERROR(__xludf.DUMMYFUNCTION("""COMPUTED_VALUE"""),"XB1-RMĐ-001")</f>
        <v>XB1-RMĐ-001</v>
      </c>
      <c r="B1261" s="3" t="str">
        <f>IFERROR(__xludf.DUMMYFUNCTION("""COMPUTED_VALUE"""),"Rơ mooc vận chuyển M.đào 03")</f>
        <v>Rơ mooc vận chuyển M.đào 03</v>
      </c>
      <c r="C1261" s="5" t="str">
        <f>IFERROR(__xludf.DUMMYFUNCTION("""COMPUTED_VALUE"""),"XN Bò AD")</f>
        <v>XN Bò AD</v>
      </c>
      <c r="D1261" s="5" t="str">
        <f>IFERROR(__xludf.DUMMYFUNCTION("""COMPUTED_VALUE"""),"THACO AGRI")</f>
        <v>THACO AGRI</v>
      </c>
      <c r="E1261" s="5" t="str">
        <f>IFERROR(__xludf.DUMMYFUNCTION("""COMPUTED_VALUE"""),"RM lưới ben")</f>
        <v>RM lưới ben</v>
      </c>
      <c r="F1261" s="5"/>
      <c r="G1261" s="5"/>
      <c r="H1261" s="5"/>
      <c r="I1261" s="5"/>
      <c r="J1261" s="5"/>
      <c r="K1261" s="5"/>
      <c r="L1261" s="5" t="str">
        <f>IFERROR(__xludf.DUMMYFUNCTION("""COMPUTED_VALUE"""),"KLH")</f>
        <v>KLH</v>
      </c>
    </row>
    <row r="1262">
      <c r="A1262" s="5" t="str">
        <f>IFERROR(__xludf.DUMMYFUNCTION("""COMPUTED_VALUE"""),"XB1-MCD-001")</f>
        <v>XB1-MCD-001</v>
      </c>
      <c r="B1262" s="3" t="str">
        <f>IFERROR(__xludf.DUMMYFUNCTION("""COMPUTED_VALUE"""),"Rơ mooc chuyên dụng vận chuyển (MMTB)")</f>
        <v>Rơ mooc chuyên dụng vận chuyển (MMTB)</v>
      </c>
      <c r="C1262" s="5" t="str">
        <f>IFERROR(__xludf.DUMMYFUNCTION("""COMPUTED_VALUE"""),"XN Bò AD")</f>
        <v>XN Bò AD</v>
      </c>
      <c r="D1262" s="5" t="str">
        <f>IFERROR(__xludf.DUMMYFUNCTION("""COMPUTED_VALUE"""),"THACO AGRI")</f>
        <v>THACO AGRI</v>
      </c>
      <c r="E1262" s="5" t="str">
        <f>IFERROR(__xludf.DUMMYFUNCTION("""COMPUTED_VALUE"""),"NM Cơ khí KLH")</f>
        <v>NM Cơ khí KLH</v>
      </c>
      <c r="F1262" s="5">
        <f>IFERROR(__xludf.DUMMYFUNCTION("""COMPUTED_VALUE"""),2026.0)</f>
        <v>2026</v>
      </c>
      <c r="G1262" s="5" t="str">
        <f>IFERROR(__xludf.DUMMYFUNCTION("""COMPUTED_VALUE"""),"Lốp đôi")</f>
        <v>Lốp đôi</v>
      </c>
      <c r="H1262" s="5"/>
      <c r="I1262" s="5"/>
      <c r="J1262" s="5"/>
      <c r="K1262" s="5"/>
      <c r="L1262" s="5" t="str">
        <f>IFERROR(__xludf.DUMMYFUNCTION("""COMPUTED_VALUE"""),"KLH")</f>
        <v>KLH</v>
      </c>
    </row>
    <row r="1263">
      <c r="A1263" s="5" t="str">
        <f>IFERROR(__xludf.DUMMYFUNCTION("""COMPUTED_VALUE"""),"XB1-SMR-001")</f>
        <v>XB1-SMR-001</v>
      </c>
      <c r="B1263" s="3" t="str">
        <f>IFERROR(__xludf.DUMMYFUNCTION("""COMPUTED_VALUE"""),"SMRM vận chuyển 50M3")</f>
        <v>SMRM vận chuyển 50M3</v>
      </c>
      <c r="C1263" s="5" t="str">
        <f>IFERROR(__xludf.DUMMYFUNCTION("""COMPUTED_VALUE"""),"XN Bò AD")</f>
        <v>XN Bò AD</v>
      </c>
      <c r="D1263" s="5" t="str">
        <f>IFERROR(__xludf.DUMMYFUNCTION("""COMPUTED_VALUE"""),"INDUSTRY")</f>
        <v>INDUSTRY</v>
      </c>
      <c r="E1263" s="5" t="str">
        <f>IFERROR(__xludf.DUMMYFUNCTION("""COMPUTED_VALUE"""),"50m3")</f>
        <v>50m3</v>
      </c>
      <c r="F1263" s="5"/>
      <c r="G1263" s="5" t="str">
        <f>IFERROR(__xludf.DUMMYFUNCTION("""COMPUTED_VALUE"""),"2017")</f>
        <v>2017</v>
      </c>
      <c r="H1263" s="5" t="str">
        <f>IFERROR(__xludf.DUMMYFUNCTION("""COMPUTED_VALUE"""),"50M3")</f>
        <v>50M3</v>
      </c>
      <c r="I1263" s="5" t="str">
        <f>IFERROR(__xludf.DUMMYFUNCTION("""COMPUTED_VALUE"""),"RN0GA339BK004311")</f>
        <v>RN0GA339BK004311</v>
      </c>
      <c r="J1263" s="5"/>
      <c r="K1263" s="5"/>
      <c r="L1263" s="5" t="str">
        <f>IFERROR(__xludf.DUMMYFUNCTION("""COMPUTED_VALUE"""),"KLH")</f>
        <v>KLH</v>
      </c>
    </row>
    <row r="1264">
      <c r="A1264" s="5" t="str">
        <f>IFERROR(__xludf.DUMMYFUNCTION("""COMPUTED_VALUE"""),"XB1-MRT-002")</f>
        <v>XB1-MRT-002</v>
      </c>
      <c r="B1264" s="3" t="str">
        <f>IFERROR(__xludf.DUMMYFUNCTION("""COMPUTED_VALUE"""),"SMRM rải thức ăn TMR 50M3")</f>
        <v>SMRM rải thức ăn TMR 50M3</v>
      </c>
      <c r="C1264" s="5" t="str">
        <f>IFERROR(__xludf.DUMMYFUNCTION("""COMPUTED_VALUE"""),"XN Bò AD")</f>
        <v>XN Bò AD</v>
      </c>
      <c r="D1264" s="5" t="str">
        <f>IFERROR(__xludf.DUMMYFUNCTION("""COMPUTED_VALUE"""),"INDUSTRY")</f>
        <v>INDUSTRY</v>
      </c>
      <c r="E1264" s="5" t="str">
        <f>IFERROR(__xludf.DUMMYFUNCTION("""COMPUTED_VALUE"""),"50m3")</f>
        <v>50m3</v>
      </c>
      <c r="F1264" s="5"/>
      <c r="G1264" s="5" t="str">
        <f>IFERROR(__xludf.DUMMYFUNCTION("""COMPUTED_VALUE"""),"2025")</f>
        <v>2025</v>
      </c>
      <c r="H1264" s="5" t="str">
        <f>IFERROR(__xludf.DUMMYFUNCTION("""COMPUTED_VALUE"""),"50M3")</f>
        <v>50M3</v>
      </c>
      <c r="I1264" s="5" t="str">
        <f>IFERROR(__xludf.DUMMYFUNCTION("""COMPUTED_VALUE"""),"RN0GA339BK1344231")</f>
        <v>RN0GA339BK1344231</v>
      </c>
      <c r="J1264" s="5"/>
      <c r="K1264" s="5">
        <f>IFERROR(__xludf.DUMMYFUNCTION("""COMPUTED_VALUE"""),5.25)</f>
        <v>5.25</v>
      </c>
      <c r="L1264" s="5" t="str">
        <f>IFERROR(__xludf.DUMMYFUNCTION("""COMPUTED_VALUE"""),"KLH")</f>
        <v>KLH</v>
      </c>
    </row>
    <row r="1265">
      <c r="A1265" s="5" t="str">
        <f>IFERROR(__xludf.DUMMYFUNCTION("""COMPUTED_VALUE"""),"XB1-MRT-003")</f>
        <v>XB1-MRT-003</v>
      </c>
      <c r="B1265" s="3" t="str">
        <f>IFERROR(__xludf.DUMMYFUNCTION("""COMPUTED_VALUE"""),"SMRM rải thức ăn TMR 50M3")</f>
        <v>SMRM rải thức ăn TMR 50M3</v>
      </c>
      <c r="C1265" s="5" t="str">
        <f>IFERROR(__xludf.DUMMYFUNCTION("""COMPUTED_VALUE"""),"XN Bò AD")</f>
        <v>XN Bò AD</v>
      </c>
      <c r="D1265" s="5" t="str">
        <f>IFERROR(__xludf.DUMMYFUNCTION("""COMPUTED_VALUE"""),"INDUSTRY")</f>
        <v>INDUSTRY</v>
      </c>
      <c r="E1265" s="5" t="str">
        <f>IFERROR(__xludf.DUMMYFUNCTION("""COMPUTED_VALUE"""),"50m3")</f>
        <v>50m3</v>
      </c>
      <c r="F1265" s="5"/>
      <c r="G1265" s="5" t="str">
        <f>IFERROR(__xludf.DUMMYFUNCTION("""COMPUTED_VALUE"""),"2025")</f>
        <v>2025</v>
      </c>
      <c r="H1265" s="5" t="str">
        <f>IFERROR(__xludf.DUMMYFUNCTION("""COMPUTED_VALUE"""),"50M3")</f>
        <v>50M3</v>
      </c>
      <c r="I1265" s="5" t="str">
        <f>IFERROR(__xludf.DUMMYFUNCTION("""COMPUTED_VALUE"""),"RMFLS232ASC001299")</f>
        <v>RMFLS232ASC001299</v>
      </c>
      <c r="J1265" s="5"/>
      <c r="K1265" s="5">
        <f>IFERROR(__xludf.DUMMYFUNCTION("""COMPUTED_VALUE"""),5.25)</f>
        <v>5.25</v>
      </c>
      <c r="L1265" s="5" t="str">
        <f>IFERROR(__xludf.DUMMYFUNCTION("""COMPUTED_VALUE"""),"KLH")</f>
        <v>KLH</v>
      </c>
    </row>
    <row r="1266">
      <c r="A1266" s="5" t="str">
        <f>IFERROR(__xludf.DUMMYFUNCTION("""COMPUTED_VALUE"""),"XB1-MRT-004")</f>
        <v>XB1-MRT-004</v>
      </c>
      <c r="B1266" s="3" t="str">
        <f>IFERROR(__xludf.DUMMYFUNCTION("""COMPUTED_VALUE"""),"SMRM rải thức ăn TMR 50M3")</f>
        <v>SMRM rải thức ăn TMR 50M3</v>
      </c>
      <c r="C1266" s="5" t="str">
        <f>IFERROR(__xludf.DUMMYFUNCTION("""COMPUTED_VALUE"""),"XN Bò AD")</f>
        <v>XN Bò AD</v>
      </c>
      <c r="D1266" s="5" t="str">
        <f>IFERROR(__xludf.DUMMYFUNCTION("""COMPUTED_VALUE"""),"INDUSTRY")</f>
        <v>INDUSTRY</v>
      </c>
      <c r="E1266" s="5" t="str">
        <f>IFERROR(__xludf.DUMMYFUNCTION("""COMPUTED_VALUE"""),"50m3")</f>
        <v>50m3</v>
      </c>
      <c r="F1266" s="5"/>
      <c r="G1266" s="5" t="str">
        <f>IFERROR(__xludf.DUMMYFUNCTION("""COMPUTED_VALUE"""),"2025")</f>
        <v>2025</v>
      </c>
      <c r="H1266" s="5" t="str">
        <f>IFERROR(__xludf.DUMMYFUNCTION("""COMPUTED_VALUE"""),"50M3")</f>
        <v>50M3</v>
      </c>
      <c r="I1266" s="5" t="str">
        <f>IFERROR(__xludf.DUMMYFUNCTION("""COMPUTED_VALUE"""),"RMFLS232ASC001303")</f>
        <v>RMFLS232ASC001303</v>
      </c>
      <c r="J1266" s="5"/>
      <c r="K1266" s="5">
        <f>IFERROR(__xludf.DUMMYFUNCTION("""COMPUTED_VALUE"""),5.25)</f>
        <v>5.25</v>
      </c>
      <c r="L1266" s="5" t="str">
        <f>IFERROR(__xludf.DUMMYFUNCTION("""COMPUTED_VALUE"""),"KLH")</f>
        <v>KLH</v>
      </c>
    </row>
    <row r="1267">
      <c r="A1267" s="5" t="str">
        <f>IFERROR(__xludf.DUMMYFUNCTION("""COMPUTED_VALUE"""),"XB1-MRT-005")</f>
        <v>XB1-MRT-005</v>
      </c>
      <c r="B1267" s="3" t="str">
        <f>IFERROR(__xludf.DUMMYFUNCTION("""COMPUTED_VALUE"""),"SMRM rải thức ăn TMR 50M3")</f>
        <v>SMRM rải thức ăn TMR 50M3</v>
      </c>
      <c r="C1267" s="5" t="str">
        <f>IFERROR(__xludf.DUMMYFUNCTION("""COMPUTED_VALUE"""),"XN Bò AD")</f>
        <v>XN Bò AD</v>
      </c>
      <c r="D1267" s="5" t="str">
        <f>IFERROR(__xludf.DUMMYFUNCTION("""COMPUTED_VALUE"""),"INDUSTRY")</f>
        <v>INDUSTRY</v>
      </c>
      <c r="E1267" s="5" t="str">
        <f>IFERROR(__xludf.DUMMYFUNCTION("""COMPUTED_VALUE"""),"50m3")</f>
        <v>50m3</v>
      </c>
      <c r="F1267" s="5"/>
      <c r="G1267" s="5" t="str">
        <f>IFERROR(__xludf.DUMMYFUNCTION("""COMPUTED_VALUE"""),"2025")</f>
        <v>2025</v>
      </c>
      <c r="H1267" s="5" t="str">
        <f>IFERROR(__xludf.DUMMYFUNCTION("""COMPUTED_VALUE"""),"50M3")</f>
        <v>50M3</v>
      </c>
      <c r="I1267" s="5" t="str">
        <f>IFERROR(__xludf.DUMMYFUNCTION("""COMPUTED_VALUE"""),"RMFLS232ASC001304")</f>
        <v>RMFLS232ASC001304</v>
      </c>
      <c r="J1267" s="5"/>
      <c r="K1267" s="5">
        <f>IFERROR(__xludf.DUMMYFUNCTION("""COMPUTED_VALUE"""),5.25)</f>
        <v>5.25</v>
      </c>
      <c r="L1267" s="5" t="str">
        <f>IFERROR(__xludf.DUMMYFUNCTION("""COMPUTED_VALUE"""),"KLH")</f>
        <v>KLH</v>
      </c>
    </row>
    <row r="1268">
      <c r="A1268" s="5" t="str">
        <f>IFERROR(__xludf.DUMMYFUNCTION("""COMPUTED_VALUE"""),"XB1-MRT-006")</f>
        <v>XB1-MRT-006</v>
      </c>
      <c r="B1268" s="3" t="str">
        <f>IFERROR(__xludf.DUMMYFUNCTION("""COMPUTED_VALUE"""),"SMRM rải thức ăn TMR 50M3")</f>
        <v>SMRM rải thức ăn TMR 50M3</v>
      </c>
      <c r="C1268" s="5" t="str">
        <f>IFERROR(__xludf.DUMMYFUNCTION("""COMPUTED_VALUE"""),"XN Bò AD")</f>
        <v>XN Bò AD</v>
      </c>
      <c r="D1268" s="5" t="str">
        <f>IFERROR(__xludf.DUMMYFUNCTION("""COMPUTED_VALUE"""),"INDUSTRY")</f>
        <v>INDUSTRY</v>
      </c>
      <c r="E1268" s="5" t="str">
        <f>IFERROR(__xludf.DUMMYFUNCTION("""COMPUTED_VALUE"""),"50m3")</f>
        <v>50m3</v>
      </c>
      <c r="F1268" s="5"/>
      <c r="G1268" s="5" t="str">
        <f>IFERROR(__xludf.DUMMYFUNCTION("""COMPUTED_VALUE"""),"2025")</f>
        <v>2025</v>
      </c>
      <c r="H1268" s="5" t="str">
        <f>IFERROR(__xludf.DUMMYFUNCTION("""COMPUTED_VALUE"""),"50M3")</f>
        <v>50M3</v>
      </c>
      <c r="I1268" s="5" t="str">
        <f>IFERROR(__xludf.DUMMYFUNCTION("""COMPUTED_VALUE"""),"RMFLS232ASC001305")</f>
        <v>RMFLS232ASC001305</v>
      </c>
      <c r="J1268" s="5"/>
      <c r="K1268" s="5">
        <f>IFERROR(__xludf.DUMMYFUNCTION("""COMPUTED_VALUE"""),5.25)</f>
        <v>5.25</v>
      </c>
      <c r="L1268" s="5" t="str">
        <f>IFERROR(__xludf.DUMMYFUNCTION("""COMPUTED_VALUE"""),"KLH")</f>
        <v>KLH</v>
      </c>
    </row>
    <row r="1269">
      <c r="A1269" s="5" t="str">
        <f>IFERROR(__xludf.DUMMYFUNCTION("""COMPUTED_VALUE"""),"XB1-MRT-007")</f>
        <v>XB1-MRT-007</v>
      </c>
      <c r="B1269" s="3" t="str">
        <f>IFERROR(__xludf.DUMMYFUNCTION("""COMPUTED_VALUE"""),"SMRM rải thức ăn TMR 50M3")</f>
        <v>SMRM rải thức ăn TMR 50M3</v>
      </c>
      <c r="C1269" s="5" t="str">
        <f>IFERROR(__xludf.DUMMYFUNCTION("""COMPUTED_VALUE"""),"XN Bò AD")</f>
        <v>XN Bò AD</v>
      </c>
      <c r="D1269" s="5" t="str">
        <f>IFERROR(__xludf.DUMMYFUNCTION("""COMPUTED_VALUE"""),"INDUSTRY")</f>
        <v>INDUSTRY</v>
      </c>
      <c r="E1269" s="5" t="str">
        <f>IFERROR(__xludf.DUMMYFUNCTION("""COMPUTED_VALUE"""),"50m3")</f>
        <v>50m3</v>
      </c>
      <c r="F1269" s="5"/>
      <c r="G1269" s="5" t="str">
        <f>IFERROR(__xludf.DUMMYFUNCTION("""COMPUTED_VALUE"""),"2025")</f>
        <v>2025</v>
      </c>
      <c r="H1269" s="5" t="str">
        <f>IFERROR(__xludf.DUMMYFUNCTION("""COMPUTED_VALUE"""),"50M3")</f>
        <v>50M3</v>
      </c>
      <c r="I1269" s="5" t="str">
        <f>IFERROR(__xludf.DUMMYFUNCTION("""COMPUTED_VALUE"""),"RMFLS232ASC001306")</f>
        <v>RMFLS232ASC001306</v>
      </c>
      <c r="J1269" s="5"/>
      <c r="K1269" s="5">
        <f>IFERROR(__xludf.DUMMYFUNCTION("""COMPUTED_VALUE"""),5.25)</f>
        <v>5.25</v>
      </c>
      <c r="L1269" s="5" t="str">
        <f>IFERROR(__xludf.DUMMYFUNCTION("""COMPUTED_VALUE"""),"KLH")</f>
        <v>KLH</v>
      </c>
    </row>
    <row r="1270">
      <c r="A1270" s="5" t="str">
        <f>IFERROR(__xludf.DUMMYFUNCTION("""COMPUTED_VALUE"""),"XB1-MRT-008")</f>
        <v>XB1-MRT-008</v>
      </c>
      <c r="B1270" s="3" t="str">
        <f>IFERROR(__xludf.DUMMYFUNCTION("""COMPUTED_VALUE"""),"SMRM rải thức ăn TMR 50M3")</f>
        <v>SMRM rải thức ăn TMR 50M3</v>
      </c>
      <c r="C1270" s="5" t="str">
        <f>IFERROR(__xludf.DUMMYFUNCTION("""COMPUTED_VALUE"""),"XN Bò AD")</f>
        <v>XN Bò AD</v>
      </c>
      <c r="D1270" s="5" t="str">
        <f>IFERROR(__xludf.DUMMYFUNCTION("""COMPUTED_VALUE"""),"INDUSTRY")</f>
        <v>INDUSTRY</v>
      </c>
      <c r="E1270" s="5" t="str">
        <f>IFERROR(__xludf.DUMMYFUNCTION("""COMPUTED_VALUE"""),"50m3")</f>
        <v>50m3</v>
      </c>
      <c r="F1270" s="5"/>
      <c r="G1270" s="5" t="str">
        <f>IFERROR(__xludf.DUMMYFUNCTION("""COMPUTED_VALUE"""),"2025")</f>
        <v>2025</v>
      </c>
      <c r="H1270" s="5" t="str">
        <f>IFERROR(__xludf.DUMMYFUNCTION("""COMPUTED_VALUE"""),"50M3")</f>
        <v>50M3</v>
      </c>
      <c r="I1270" s="5" t="str">
        <f>IFERROR(__xludf.DUMMYFUNCTION("""COMPUTED_VALUE"""),"RMFLS232ASC001309")</f>
        <v>RMFLS232ASC001309</v>
      </c>
      <c r="J1270" s="5"/>
      <c r="K1270" s="5">
        <f>IFERROR(__xludf.DUMMYFUNCTION("""COMPUTED_VALUE"""),5.25)</f>
        <v>5.25</v>
      </c>
      <c r="L1270" s="5" t="str">
        <f>IFERROR(__xludf.DUMMYFUNCTION("""COMPUTED_VALUE"""),"KLH")</f>
        <v>KLH</v>
      </c>
    </row>
    <row r="1271">
      <c r="A1271" s="5" t="str">
        <f>IFERROR(__xludf.DUMMYFUNCTION("""COMPUTED_VALUE"""),"XB1-MRT-009")</f>
        <v>XB1-MRT-009</v>
      </c>
      <c r="B1271" s="3" t="str">
        <f>IFERROR(__xludf.DUMMYFUNCTION("""COMPUTED_VALUE"""),"SMRM rải thức ăn TMR 50M3")</f>
        <v>SMRM rải thức ăn TMR 50M3</v>
      </c>
      <c r="C1271" s="5" t="str">
        <f>IFERROR(__xludf.DUMMYFUNCTION("""COMPUTED_VALUE"""),"XN Bò AD")</f>
        <v>XN Bò AD</v>
      </c>
      <c r="D1271" s="5" t="str">
        <f>IFERROR(__xludf.DUMMYFUNCTION("""COMPUTED_VALUE"""),"INDUSTRY")</f>
        <v>INDUSTRY</v>
      </c>
      <c r="E1271" s="5" t="str">
        <f>IFERROR(__xludf.DUMMYFUNCTION("""COMPUTED_VALUE"""),"50m3")</f>
        <v>50m3</v>
      </c>
      <c r="F1271" s="5"/>
      <c r="G1271" s="5" t="str">
        <f>IFERROR(__xludf.DUMMYFUNCTION("""COMPUTED_VALUE"""),"2025")</f>
        <v>2025</v>
      </c>
      <c r="H1271" s="5" t="str">
        <f>IFERROR(__xludf.DUMMYFUNCTION("""COMPUTED_VALUE"""),"50M3")</f>
        <v>50M3</v>
      </c>
      <c r="I1271" s="5" t="str">
        <f>IFERROR(__xludf.DUMMYFUNCTION("""COMPUTED_VALUE"""),"RMFLS232ASC001310")</f>
        <v>RMFLS232ASC001310</v>
      </c>
      <c r="J1271" s="5"/>
      <c r="K1271" s="5">
        <f>IFERROR(__xludf.DUMMYFUNCTION("""COMPUTED_VALUE"""),5.25)</f>
        <v>5.25</v>
      </c>
      <c r="L1271" s="5" t="str">
        <f>IFERROR(__xludf.DUMMYFUNCTION("""COMPUTED_VALUE"""),"KLH")</f>
        <v>KLH</v>
      </c>
    </row>
    <row r="1272">
      <c r="A1272" s="5" t="str">
        <f>IFERROR(__xludf.DUMMYFUNCTION("""COMPUTED_VALUE"""),"XB1-TPC-001")</f>
        <v>XB1-TPC-001</v>
      </c>
      <c r="B1272" s="3" t="str">
        <f>IFERROR(__xludf.DUMMYFUNCTION("""COMPUTED_VALUE"""),"SMRM trung chuyển phân - CĐC 18/23M3")</f>
        <v>SMRM trung chuyển phân - CĐC 18/23M3</v>
      </c>
      <c r="C1272" s="5" t="str">
        <f>IFERROR(__xludf.DUMMYFUNCTION("""COMPUTED_VALUE"""),"XN Bò AD")</f>
        <v>XN Bò AD</v>
      </c>
      <c r="D1272" s="5" t="str">
        <f>IFERROR(__xludf.DUMMYFUNCTION("""COMPUTED_VALUE"""),"INDUSTRY")</f>
        <v>INDUSTRY</v>
      </c>
      <c r="E1272" s="5" t="str">
        <f>IFERROR(__xludf.DUMMYFUNCTION("""COMPUTED_VALUE"""),"18/23M3")</f>
        <v>18/23M3</v>
      </c>
      <c r="F1272" s="5"/>
      <c r="G1272" s="5" t="str">
        <f>IFERROR(__xludf.DUMMYFUNCTION("""COMPUTED_VALUE"""),"2025")</f>
        <v>2025</v>
      </c>
      <c r="H1272" s="5" t="str">
        <f>IFERROR(__xludf.DUMMYFUNCTION("""COMPUTED_VALUE"""),"18/23M3")</f>
        <v>18/23M3</v>
      </c>
      <c r="I1272" s="5" t="str">
        <f>IFERROR(__xludf.DUMMYFUNCTION("""COMPUTED_VALUE"""),"202410001")</f>
        <v>202410001</v>
      </c>
      <c r="J1272" s="5"/>
      <c r="K1272" s="5"/>
      <c r="L1272" s="5" t="str">
        <f>IFERROR(__xludf.DUMMYFUNCTION("""COMPUTED_VALUE"""),"KLH")</f>
        <v>KLH</v>
      </c>
    </row>
    <row r="1273">
      <c r="A1273" s="5" t="str">
        <f>IFERROR(__xludf.DUMMYFUNCTION("""COMPUTED_VALUE"""),"XB1-TPC-002")</f>
        <v>XB1-TPC-002</v>
      </c>
      <c r="B1273" s="3" t="str">
        <f>IFERROR(__xludf.DUMMYFUNCTION("""COMPUTED_VALUE"""),"SMRM trung chuyển phân - CĐC 45M3")</f>
        <v>SMRM trung chuyển phân - CĐC 45M3</v>
      </c>
      <c r="C1273" s="5" t="str">
        <f>IFERROR(__xludf.DUMMYFUNCTION("""COMPUTED_VALUE"""),"XN Bò AD")</f>
        <v>XN Bò AD</v>
      </c>
      <c r="D1273" s="5" t="str">
        <f>IFERROR(__xludf.DUMMYFUNCTION("""COMPUTED_VALUE"""),"INDUSTRY")</f>
        <v>INDUSTRY</v>
      </c>
      <c r="E1273" s="5" t="str">
        <f>IFERROR(__xludf.DUMMYFUNCTION("""COMPUTED_VALUE"""),"45M3")</f>
        <v>45M3</v>
      </c>
      <c r="F1273" s="5"/>
      <c r="G1273" s="5" t="str">
        <f>IFERROR(__xludf.DUMMYFUNCTION("""COMPUTED_VALUE"""),"2025")</f>
        <v>2025</v>
      </c>
      <c r="H1273" s="5" t="str">
        <f>IFERROR(__xludf.DUMMYFUNCTION("""COMPUTED_VALUE"""),"45M3")</f>
        <v>45M3</v>
      </c>
      <c r="I1273" s="5" t="str">
        <f>IFERROR(__xludf.DUMMYFUNCTION("""COMPUTED_VALUE"""),"RMFNU241ASC001750")</f>
        <v>RMFNU241ASC001750</v>
      </c>
      <c r="J1273" s="5"/>
      <c r="K1273" s="5"/>
      <c r="L1273" s="5" t="str">
        <f>IFERROR(__xludf.DUMMYFUNCTION("""COMPUTED_VALUE"""),"KLH")</f>
        <v>KLH</v>
      </c>
    </row>
    <row r="1274">
      <c r="A1274" s="5" t="str">
        <f>IFERROR(__xludf.DUMMYFUNCTION("""COMPUTED_VALUE"""),"XB1-TPC-003")</f>
        <v>XB1-TPC-003</v>
      </c>
      <c r="B1274" s="3" t="str">
        <f>IFERROR(__xludf.DUMMYFUNCTION("""COMPUTED_VALUE"""),"SMRM trung chuyển phân - CĐC 45M3")</f>
        <v>SMRM trung chuyển phân - CĐC 45M3</v>
      </c>
      <c r="C1274" s="5" t="str">
        <f>IFERROR(__xludf.DUMMYFUNCTION("""COMPUTED_VALUE"""),"XN Bò AD")</f>
        <v>XN Bò AD</v>
      </c>
      <c r="D1274" s="5" t="str">
        <f>IFERROR(__xludf.DUMMYFUNCTION("""COMPUTED_VALUE"""),"INDUSTRY")</f>
        <v>INDUSTRY</v>
      </c>
      <c r="E1274" s="5" t="str">
        <f>IFERROR(__xludf.DUMMYFUNCTION("""COMPUTED_VALUE"""),"45M3")</f>
        <v>45M3</v>
      </c>
      <c r="F1274" s="5"/>
      <c r="G1274" s="5" t="str">
        <f>IFERROR(__xludf.DUMMYFUNCTION("""COMPUTED_VALUE"""),"2025")</f>
        <v>2025</v>
      </c>
      <c r="H1274" s="5" t="str">
        <f>IFERROR(__xludf.DUMMYFUNCTION("""COMPUTED_VALUE"""),"45M3")</f>
        <v>45M3</v>
      </c>
      <c r="I1274" s="5" t="str">
        <f>IFERROR(__xludf.DUMMYFUNCTION("""COMPUTED_VALUE"""),"RNONU241ASC002592")</f>
        <v>RNONU241ASC002592</v>
      </c>
      <c r="J1274" s="5"/>
      <c r="K1274" s="5"/>
      <c r="L1274" s="5" t="str">
        <f>IFERROR(__xludf.DUMMYFUNCTION("""COMPUTED_VALUE"""),"KLH")</f>
        <v>KLH</v>
      </c>
    </row>
    <row r="1275">
      <c r="A1275" s="5" t="str">
        <f>IFERROR(__xludf.DUMMYFUNCTION("""COMPUTED_VALUE"""),"XB1-TPC-004")</f>
        <v>XB1-TPC-004</v>
      </c>
      <c r="B1275" s="3" t="str">
        <f>IFERROR(__xludf.DUMMYFUNCTION("""COMPUTED_VALUE"""),"SMRM trung chuyển phân - CĐC 45M3")</f>
        <v>SMRM trung chuyển phân - CĐC 45M3</v>
      </c>
      <c r="C1275" s="5" t="str">
        <f>IFERROR(__xludf.DUMMYFUNCTION("""COMPUTED_VALUE"""),"XN Bò AD")</f>
        <v>XN Bò AD</v>
      </c>
      <c r="D1275" s="5" t="str">
        <f>IFERROR(__xludf.DUMMYFUNCTION("""COMPUTED_VALUE"""),"INDUSTRY")</f>
        <v>INDUSTRY</v>
      </c>
      <c r="E1275" s="5" t="str">
        <f>IFERROR(__xludf.DUMMYFUNCTION("""COMPUTED_VALUE"""),"45M3")</f>
        <v>45M3</v>
      </c>
      <c r="F1275" s="5"/>
      <c r="G1275" s="5" t="str">
        <f>IFERROR(__xludf.DUMMYFUNCTION("""COMPUTED_VALUE"""),"2025")</f>
        <v>2025</v>
      </c>
      <c r="H1275" s="5" t="str">
        <f>IFERROR(__xludf.DUMMYFUNCTION("""COMPUTED_VALUE"""),"45M3")</f>
        <v>45M3</v>
      </c>
      <c r="I1275" s="5" t="str">
        <f>IFERROR(__xludf.DUMMYFUNCTION("""COMPUTED_VALUE"""),"RNONU241ASC002593")</f>
        <v>RNONU241ASC002593</v>
      </c>
      <c r="J1275" s="5"/>
      <c r="K1275" s="5"/>
      <c r="L1275" s="5" t="str">
        <f>IFERROR(__xludf.DUMMYFUNCTION("""COMPUTED_VALUE"""),"KLH")</f>
        <v>KLH</v>
      </c>
    </row>
    <row r="1276">
      <c r="A1276" s="5" t="str">
        <f>IFERROR(__xludf.DUMMYFUNCTION("""COMPUTED_VALUE"""),"XB1-TPC-005")</f>
        <v>XB1-TPC-005</v>
      </c>
      <c r="B1276" s="3" t="str">
        <f>IFERROR(__xludf.DUMMYFUNCTION("""COMPUTED_VALUE"""),"SMRM trung chuyển phân - CĐC 45M3")</f>
        <v>SMRM trung chuyển phân - CĐC 45M3</v>
      </c>
      <c r="C1276" s="5" t="str">
        <f>IFERROR(__xludf.DUMMYFUNCTION("""COMPUTED_VALUE"""),"XN Bò AD")</f>
        <v>XN Bò AD</v>
      </c>
      <c r="D1276" s="5" t="str">
        <f>IFERROR(__xludf.DUMMYFUNCTION("""COMPUTED_VALUE"""),"INDUSTRY")</f>
        <v>INDUSTRY</v>
      </c>
      <c r="E1276" s="5" t="str">
        <f>IFERROR(__xludf.DUMMYFUNCTION("""COMPUTED_VALUE"""),"45M3")</f>
        <v>45M3</v>
      </c>
      <c r="F1276" s="5"/>
      <c r="G1276" s="5" t="str">
        <f>IFERROR(__xludf.DUMMYFUNCTION("""COMPUTED_VALUE"""),"2025")</f>
        <v>2025</v>
      </c>
      <c r="H1276" s="5" t="str">
        <f>IFERROR(__xludf.DUMMYFUNCTION("""COMPUTED_VALUE"""),"45M3")</f>
        <v>45M3</v>
      </c>
      <c r="I1276" s="5" t="str">
        <f>IFERROR(__xludf.DUMMYFUNCTION("""COMPUTED_VALUE"""),"RNONU241ASC002594")</f>
        <v>RNONU241ASC002594</v>
      </c>
      <c r="J1276" s="5"/>
      <c r="K1276" s="5"/>
      <c r="L1276" s="5" t="str">
        <f>IFERROR(__xludf.DUMMYFUNCTION("""COMPUTED_VALUE"""),"KLH")</f>
        <v>KLH</v>
      </c>
    </row>
    <row r="1277">
      <c r="A1277" s="5" t="str">
        <f>IFERROR(__xludf.DUMMYFUNCTION("""COMPUTED_VALUE"""),"XB1-TPC-006")</f>
        <v>XB1-TPC-006</v>
      </c>
      <c r="B1277" s="3" t="str">
        <f>IFERROR(__xludf.DUMMYFUNCTION("""COMPUTED_VALUE"""),"SMRM trung chuyển phân - CĐC 45M3")</f>
        <v>SMRM trung chuyển phân - CĐC 45M3</v>
      </c>
      <c r="C1277" s="5" t="str">
        <f>IFERROR(__xludf.DUMMYFUNCTION("""COMPUTED_VALUE"""),"XN Bò AD")</f>
        <v>XN Bò AD</v>
      </c>
      <c r="D1277" s="5" t="str">
        <f>IFERROR(__xludf.DUMMYFUNCTION("""COMPUTED_VALUE"""),"INDUSTRY")</f>
        <v>INDUSTRY</v>
      </c>
      <c r="E1277" s="5" t="str">
        <f>IFERROR(__xludf.DUMMYFUNCTION("""COMPUTED_VALUE"""),"45M3")</f>
        <v>45M3</v>
      </c>
      <c r="F1277" s="5"/>
      <c r="G1277" s="5" t="str">
        <f>IFERROR(__xludf.DUMMYFUNCTION("""COMPUTED_VALUE"""),"2025")</f>
        <v>2025</v>
      </c>
      <c r="H1277" s="5" t="str">
        <f>IFERROR(__xludf.DUMMYFUNCTION("""COMPUTED_VALUE"""),"45M3")</f>
        <v>45M3</v>
      </c>
      <c r="I1277" s="5" t="str">
        <f>IFERROR(__xludf.DUMMYFUNCTION("""COMPUTED_VALUE"""),"RNONU241ASC002595")</f>
        <v>RNONU241ASC002595</v>
      </c>
      <c r="J1277" s="5"/>
      <c r="K1277" s="5"/>
      <c r="L1277" s="5" t="str">
        <f>IFERROR(__xludf.DUMMYFUNCTION("""COMPUTED_VALUE"""),"KLH")</f>
        <v>KLH</v>
      </c>
    </row>
    <row r="1278">
      <c r="A1278" s="5" t="str">
        <f>IFERROR(__xludf.DUMMYFUNCTION("""COMPUTED_VALUE"""),"XB1-TPC-007")</f>
        <v>XB1-TPC-007</v>
      </c>
      <c r="B1278" s="3" t="str">
        <f>IFERROR(__xludf.DUMMYFUNCTION("""COMPUTED_VALUE"""),"SMRM trung chuyển phân - CĐC 45M3")</f>
        <v>SMRM trung chuyển phân - CĐC 45M3</v>
      </c>
      <c r="C1278" s="5" t="str">
        <f>IFERROR(__xludf.DUMMYFUNCTION("""COMPUTED_VALUE"""),"XN Bò AD")</f>
        <v>XN Bò AD</v>
      </c>
      <c r="D1278" s="5" t="str">
        <f>IFERROR(__xludf.DUMMYFUNCTION("""COMPUTED_VALUE"""),"INDUSTRY")</f>
        <v>INDUSTRY</v>
      </c>
      <c r="E1278" s="5" t="str">
        <f>IFERROR(__xludf.DUMMYFUNCTION("""COMPUTED_VALUE"""),"45M3")</f>
        <v>45M3</v>
      </c>
      <c r="F1278" s="5"/>
      <c r="G1278" s="5" t="str">
        <f>IFERROR(__xludf.DUMMYFUNCTION("""COMPUTED_VALUE"""),"2025")</f>
        <v>2025</v>
      </c>
      <c r="H1278" s="5" t="str">
        <f>IFERROR(__xludf.DUMMYFUNCTION("""COMPUTED_VALUE"""),"45M3")</f>
        <v>45M3</v>
      </c>
      <c r="I1278" s="5" t="str">
        <f>IFERROR(__xludf.DUMMYFUNCTION("""COMPUTED_VALUE"""),"RNONU241ASC002596")</f>
        <v>RNONU241ASC002596</v>
      </c>
      <c r="J1278" s="5"/>
      <c r="K1278" s="5"/>
      <c r="L1278" s="5" t="str">
        <f>IFERROR(__xludf.DUMMYFUNCTION("""COMPUTED_VALUE"""),"KLH")</f>
        <v>KLH</v>
      </c>
    </row>
    <row r="1279">
      <c r="A1279" s="5" t="str">
        <f>IFERROR(__xludf.DUMMYFUNCTION("""COMPUTED_VALUE"""),"XB1-TPC-008")</f>
        <v>XB1-TPC-008</v>
      </c>
      <c r="B1279" s="3" t="str">
        <f>IFERROR(__xludf.DUMMYFUNCTION("""COMPUTED_VALUE"""),"SMRM trung chuyển phân - CĐC 45M3")</f>
        <v>SMRM trung chuyển phân - CĐC 45M3</v>
      </c>
      <c r="C1279" s="5" t="str">
        <f>IFERROR(__xludf.DUMMYFUNCTION("""COMPUTED_VALUE"""),"XN Bò AD")</f>
        <v>XN Bò AD</v>
      </c>
      <c r="D1279" s="5" t="str">
        <f>IFERROR(__xludf.DUMMYFUNCTION("""COMPUTED_VALUE"""),"INDUSTRY")</f>
        <v>INDUSTRY</v>
      </c>
      <c r="E1279" s="5" t="str">
        <f>IFERROR(__xludf.DUMMYFUNCTION("""COMPUTED_VALUE"""),"45M3")</f>
        <v>45M3</v>
      </c>
      <c r="F1279" s="5"/>
      <c r="G1279" s="5" t="str">
        <f>IFERROR(__xludf.DUMMYFUNCTION("""COMPUTED_VALUE"""),"2025")</f>
        <v>2025</v>
      </c>
      <c r="H1279" s="5" t="str">
        <f>IFERROR(__xludf.DUMMYFUNCTION("""COMPUTED_VALUE"""),"45M3")</f>
        <v>45M3</v>
      </c>
      <c r="I1279" s="5" t="str">
        <f>IFERROR(__xludf.DUMMYFUNCTION("""COMPUTED_VALUE"""),"RNONU241ASC002598")</f>
        <v>RNONU241ASC002598</v>
      </c>
      <c r="J1279" s="5"/>
      <c r="K1279" s="5"/>
      <c r="L1279" s="5" t="str">
        <f>IFERROR(__xludf.DUMMYFUNCTION("""COMPUTED_VALUE"""),"KLH")</f>
        <v>KLH</v>
      </c>
    </row>
    <row r="1280">
      <c r="A1280" s="5" t="str">
        <f>IFERROR(__xludf.DUMMYFUNCTION("""COMPUTED_VALUE"""),"XB1-TPC-009")</f>
        <v>XB1-TPC-009</v>
      </c>
      <c r="B1280" s="3" t="str">
        <f>IFERROR(__xludf.DUMMYFUNCTION("""COMPUTED_VALUE"""),"SMRM trung chuyển phân - CĐC 45M3")</f>
        <v>SMRM trung chuyển phân - CĐC 45M3</v>
      </c>
      <c r="C1280" s="5" t="str">
        <f>IFERROR(__xludf.DUMMYFUNCTION("""COMPUTED_VALUE"""),"XN Bò AD")</f>
        <v>XN Bò AD</v>
      </c>
      <c r="D1280" s="5" t="str">
        <f>IFERROR(__xludf.DUMMYFUNCTION("""COMPUTED_VALUE"""),"INDUSTRY")</f>
        <v>INDUSTRY</v>
      </c>
      <c r="E1280" s="5" t="str">
        <f>IFERROR(__xludf.DUMMYFUNCTION("""COMPUTED_VALUE"""),"45M3")</f>
        <v>45M3</v>
      </c>
      <c r="F1280" s="5"/>
      <c r="G1280" s="5" t="str">
        <f>IFERROR(__xludf.DUMMYFUNCTION("""COMPUTED_VALUE"""),"2025")</f>
        <v>2025</v>
      </c>
      <c r="H1280" s="5" t="str">
        <f>IFERROR(__xludf.DUMMYFUNCTION("""COMPUTED_VALUE"""),"45M3")</f>
        <v>45M3</v>
      </c>
      <c r="I1280" s="5" t="str">
        <f>IFERROR(__xludf.DUMMYFUNCTION("""COMPUTED_VALUE"""),"RNONU241ASC002599")</f>
        <v>RNONU241ASC002599</v>
      </c>
      <c r="J1280" s="5"/>
      <c r="K1280" s="5"/>
      <c r="L1280" s="5" t="str">
        <f>IFERROR(__xludf.DUMMYFUNCTION("""COMPUTED_VALUE"""),"KLH")</f>
        <v>KLH</v>
      </c>
    </row>
    <row r="1281">
      <c r="A1281" s="5" t="str">
        <f>IFERROR(__xludf.DUMMYFUNCTION("""COMPUTED_VALUE"""),"XB1-TPC-010")</f>
        <v>XB1-TPC-010</v>
      </c>
      <c r="B1281" s="3" t="str">
        <f>IFERROR(__xludf.DUMMYFUNCTION("""COMPUTED_VALUE"""),"SMRM trung chuyển phân - CĐC 45M3")</f>
        <v>SMRM trung chuyển phân - CĐC 45M3</v>
      </c>
      <c r="C1281" s="5" t="str">
        <f>IFERROR(__xludf.DUMMYFUNCTION("""COMPUTED_VALUE"""),"XN Bò AD")</f>
        <v>XN Bò AD</v>
      </c>
      <c r="D1281" s="5" t="str">
        <f>IFERROR(__xludf.DUMMYFUNCTION("""COMPUTED_VALUE"""),"INDUSTRY")</f>
        <v>INDUSTRY</v>
      </c>
      <c r="E1281" s="5" t="str">
        <f>IFERROR(__xludf.DUMMYFUNCTION("""COMPUTED_VALUE"""),"45M3")</f>
        <v>45M3</v>
      </c>
      <c r="F1281" s="5"/>
      <c r="G1281" s="5" t="str">
        <f>IFERROR(__xludf.DUMMYFUNCTION("""COMPUTED_VALUE"""),"2025")</f>
        <v>2025</v>
      </c>
      <c r="H1281" s="5" t="str">
        <f>IFERROR(__xludf.DUMMYFUNCTION("""COMPUTED_VALUE"""),"45M3")</f>
        <v>45M3</v>
      </c>
      <c r="I1281" s="5" t="str">
        <f>IFERROR(__xludf.DUMMYFUNCTION("""COMPUTED_VALUE"""),"RNONU241ASC002600")</f>
        <v>RNONU241ASC002600</v>
      </c>
      <c r="J1281" s="5"/>
      <c r="K1281" s="5"/>
      <c r="L1281" s="5" t="str">
        <f>IFERROR(__xludf.DUMMYFUNCTION("""COMPUTED_VALUE"""),"KLH")</f>
        <v>KLH</v>
      </c>
    </row>
    <row r="1282">
      <c r="A1282" s="5" t="str">
        <f>IFERROR(__xludf.DUMMYFUNCTION("""COMPUTED_VALUE"""),"XB1-MRP-001")</f>
        <v>XB1-MRP-001</v>
      </c>
      <c r="B1282" s="3" t="str">
        <f>IFERROR(__xludf.DUMMYFUNCTION("""COMPUTED_VALUE"""),"Thiết bị rải phân chuồng")</f>
        <v>Thiết bị rải phân chuồng</v>
      </c>
      <c r="C1282" s="5" t="str">
        <f>IFERROR(__xludf.DUMMYFUNCTION("""COMPUTED_VALUE"""),"XN Bò AD")</f>
        <v>XN Bò AD</v>
      </c>
      <c r="D1282" s="5" t="str">
        <f>IFERROR(__xludf.DUMMYFUNCTION("""COMPUTED_VALUE"""),"THACO AGRI")</f>
        <v>THACO AGRI</v>
      </c>
      <c r="E1282" s="5"/>
      <c r="F1282" s="5"/>
      <c r="G1282" s="5"/>
      <c r="H1282" s="5"/>
      <c r="I1282" s="5"/>
      <c r="J1282" s="5"/>
      <c r="K1282" s="5"/>
      <c r="L1282" s="5" t="str">
        <f>IFERROR(__xludf.DUMMYFUNCTION("""COMPUTED_VALUE"""),"KLH")</f>
        <v>KLH</v>
      </c>
    </row>
    <row r="1283">
      <c r="A1283" s="5" t="str">
        <f>IFERROR(__xludf.DUMMYFUNCTION("""COMPUTED_VALUE"""),"XB1-RVO-001")</f>
        <v>XB1-RVO-001</v>
      </c>
      <c r="B1283" s="3" t="str">
        <f>IFERROR(__xludf.DUMMYFUNCTION("""COMPUTED_VALUE"""),"Thiết bị phun vôi/rải vô cơ")</f>
        <v>Thiết bị phun vôi/rải vô cơ</v>
      </c>
      <c r="C1283" s="5" t="str">
        <f>IFERROR(__xludf.DUMMYFUNCTION("""COMPUTED_VALUE"""),"XN Bò AD")</f>
        <v>XN Bò AD</v>
      </c>
      <c r="D1283" s="5" t="str">
        <f>IFERROR(__xludf.DUMMYFUNCTION("""COMPUTED_VALUE"""),"THACO AGRI")</f>
        <v>THACO AGRI</v>
      </c>
      <c r="E1283" s="5"/>
      <c r="F1283" s="5"/>
      <c r="G1283" s="5"/>
      <c r="H1283" s="5"/>
      <c r="I1283" s="5"/>
      <c r="J1283" s="5"/>
      <c r="K1283" s="5"/>
      <c r="L1283" s="5" t="str">
        <f>IFERROR(__xludf.DUMMYFUNCTION("""COMPUTED_VALUE"""),"KLH")</f>
        <v>KLH</v>
      </c>
    </row>
    <row r="1284">
      <c r="A1284" s="5" t="str">
        <f>IFERROR(__xludf.DUMMYFUNCTION("""COMPUTED_VALUE"""),"XB1-RVO-002")</f>
        <v>XB1-RVO-002</v>
      </c>
      <c r="B1284" s="3" t="str">
        <f>IFERROR(__xludf.DUMMYFUNCTION("""COMPUTED_VALUE"""),"Thiết bị phun vôi/rải vô cơ")</f>
        <v>Thiết bị phun vôi/rải vô cơ</v>
      </c>
      <c r="C1284" s="5" t="str">
        <f>IFERROR(__xludf.DUMMYFUNCTION("""COMPUTED_VALUE"""),"XN Bò AD")</f>
        <v>XN Bò AD</v>
      </c>
      <c r="D1284" s="5" t="str">
        <f>IFERROR(__xludf.DUMMYFUNCTION("""COMPUTED_VALUE"""),"THACO AGRI")</f>
        <v>THACO AGRI</v>
      </c>
      <c r="E1284" s="5"/>
      <c r="F1284" s="5"/>
      <c r="G1284" s="5"/>
      <c r="H1284" s="5"/>
      <c r="I1284" s="5"/>
      <c r="J1284" s="5"/>
      <c r="K1284" s="5"/>
      <c r="L1284" s="5" t="str">
        <f>IFERROR(__xludf.DUMMYFUNCTION("""COMPUTED_VALUE"""),"KLH")</f>
        <v>KLH</v>
      </c>
    </row>
    <row r="1285">
      <c r="A1285" s="5" t="str">
        <f>IFERROR(__xludf.DUMMYFUNCTION("""COMPUTED_VALUE"""),"XB1-RVO-003")</f>
        <v>XB1-RVO-003</v>
      </c>
      <c r="B1285" s="3" t="str">
        <f>IFERROR(__xludf.DUMMYFUNCTION("""COMPUTED_VALUE"""),"Thiết bị phun vôi/rải vô cơ")</f>
        <v>Thiết bị phun vôi/rải vô cơ</v>
      </c>
      <c r="C1285" s="5" t="str">
        <f>IFERROR(__xludf.DUMMYFUNCTION("""COMPUTED_VALUE"""),"XN Bò AD")</f>
        <v>XN Bò AD</v>
      </c>
      <c r="D1285" s="5" t="str">
        <f>IFERROR(__xludf.DUMMYFUNCTION("""COMPUTED_VALUE"""),"THACO INDUSTRIES")</f>
        <v>THACO INDUSTRIES</v>
      </c>
      <c r="E1285" s="5" t="str">
        <f>IFERROR(__xludf.DUMMYFUNCTION("""COMPUTED_VALUE"""),"0.8M3")</f>
        <v>0.8M3</v>
      </c>
      <c r="F1285" s="5"/>
      <c r="G1285" s="5" t="str">
        <f>IFERROR(__xludf.DUMMYFUNCTION("""COMPUTED_VALUE"""),"2025")</f>
        <v>2025</v>
      </c>
      <c r="H1285" s="5"/>
      <c r="I1285" s="5"/>
      <c r="J1285" s="5"/>
      <c r="K1285" s="5"/>
      <c r="L1285" s="5" t="str">
        <f>IFERROR(__xludf.DUMMYFUNCTION("""COMPUTED_VALUE"""),"KLH")</f>
        <v>KLH</v>
      </c>
    </row>
    <row r="1286">
      <c r="A1286" s="5" t="str">
        <f>IFERROR(__xludf.DUMMYFUNCTION("""COMPUTED_VALUE"""),"XB1-BRN-001")</f>
        <v>XB1-BRN-001</v>
      </c>
      <c r="B1286" s="3" t="str">
        <f>IFERROR(__xludf.DUMMYFUNCTION("""COMPUTED_VALUE"""),"Bồn rỉ mật 5m3")</f>
        <v>Bồn rỉ mật 5m3</v>
      </c>
      <c r="C1286" s="5" t="str">
        <f>IFERROR(__xludf.DUMMYFUNCTION("""COMPUTED_VALUE"""),"XN Bò AD")</f>
        <v>XN Bò AD</v>
      </c>
      <c r="D1286" s="5" t="str">
        <f>IFERROR(__xludf.DUMMYFUNCTION("""COMPUTED_VALUE"""),"THACO AGRI")</f>
        <v>THACO AGRI</v>
      </c>
      <c r="E1286" s="5" t="str">
        <f>IFERROR(__xludf.DUMMYFUNCTION("""COMPUTED_VALUE"""),"5M3")</f>
        <v>5M3</v>
      </c>
      <c r="F1286" s="5"/>
      <c r="G1286" s="5"/>
      <c r="H1286" s="5"/>
      <c r="I1286" s="5"/>
      <c r="J1286" s="5"/>
      <c r="K1286" s="5"/>
      <c r="L1286" s="5" t="str">
        <f>IFERROR(__xludf.DUMMYFUNCTION("""COMPUTED_VALUE"""),"KLH")</f>
        <v>KLH</v>
      </c>
    </row>
    <row r="1287">
      <c r="A1287" s="5" t="str">
        <f>IFERROR(__xludf.DUMMYFUNCTION("""COMPUTED_VALUE"""),"XB1-MDP-001")</f>
        <v>XB1-MDP-001</v>
      </c>
      <c r="B1287" s="3" t="str">
        <f>IFERROR(__xludf.DUMMYFUNCTION("""COMPUTED_VALUE"""),"Máy đảo trộn phân hữu cơ")</f>
        <v>Máy đảo trộn phân hữu cơ</v>
      </c>
      <c r="C1287" s="5" t="str">
        <f>IFERROR(__xludf.DUMMYFUNCTION("""COMPUTED_VALUE"""),"XN Bò AD")</f>
        <v>XN Bò AD</v>
      </c>
      <c r="D1287" s="5" t="str">
        <f>IFERROR(__xludf.DUMMYFUNCTION("""COMPUTED_VALUE"""),"THACO AGRI")</f>
        <v>THACO AGRI</v>
      </c>
      <c r="E1287" s="5"/>
      <c r="F1287" s="5"/>
      <c r="G1287" s="5"/>
      <c r="H1287" s="5"/>
      <c r="I1287" s="5"/>
      <c r="J1287" s="5"/>
      <c r="K1287" s="5"/>
      <c r="L1287" s="5" t="str">
        <f>IFERROR(__xludf.DUMMYFUNCTION("""COMPUTED_VALUE"""),"KLH")</f>
        <v>KLH</v>
      </c>
    </row>
    <row r="1288">
      <c r="A1288" s="5" t="str">
        <f>IFERROR(__xludf.DUMMYFUNCTION("""COMPUTED_VALUE"""),"XB1-RPC-001")</f>
        <v>XB1-RPC-001</v>
      </c>
      <c r="B1288" s="3" t="str">
        <f>IFERROR(__xludf.DUMMYFUNCTION("""COMPUTED_VALUE"""),"Rải phân chuồng")</f>
        <v>Rải phân chuồng</v>
      </c>
      <c r="C1288" s="5" t="str">
        <f>IFERROR(__xludf.DUMMYFUNCTION("""COMPUTED_VALUE"""),"XN Bò AD")</f>
        <v>XN Bò AD</v>
      </c>
      <c r="D1288" s="5" t="str">
        <f>IFERROR(__xludf.DUMMYFUNCTION("""COMPUTED_VALUE"""),"THACO AGRI")</f>
        <v>THACO AGRI</v>
      </c>
      <c r="E1288" s="5"/>
      <c r="F1288" s="5"/>
      <c r="G1288" s="5"/>
      <c r="H1288" s="5"/>
      <c r="I1288" s="5"/>
      <c r="J1288" s="5"/>
      <c r="K1288" s="5"/>
      <c r="L1288" s="5" t="str">
        <f>IFERROR(__xludf.DUMMYFUNCTION("""COMPUTED_VALUE"""),"KLH")</f>
        <v>KLH</v>
      </c>
    </row>
    <row r="1289">
      <c r="A1289" s="5" t="str">
        <f>IFERROR(__xludf.DUMMYFUNCTION("""COMPUTED_VALUE"""),"XB1-CRL-001")</f>
        <v>XB1-CRL-001</v>
      </c>
      <c r="B1289" s="3" t="str">
        <f>IFERROR(__xludf.DUMMYFUNCTION("""COMPUTED_VALUE"""),"Cày rạch luống 4 rãnh")</f>
        <v>Cày rạch luống 4 rãnh</v>
      </c>
      <c r="C1289" s="5" t="str">
        <f>IFERROR(__xludf.DUMMYFUNCTION("""COMPUTED_VALUE"""),"XN Bò AD")</f>
        <v>XN Bò AD</v>
      </c>
      <c r="D1289" s="5" t="str">
        <f>IFERROR(__xludf.DUMMYFUNCTION("""COMPUTED_VALUE"""),"THACO AGRI")</f>
        <v>THACO AGRI</v>
      </c>
      <c r="E1289" s="5" t="str">
        <f>IFERROR(__xludf.DUMMYFUNCTION("""COMPUTED_VALUE"""),"4 rãnh")</f>
        <v>4 rãnh</v>
      </c>
      <c r="F1289" s="5"/>
      <c r="G1289" s="5"/>
      <c r="H1289" s="5"/>
      <c r="I1289" s="5"/>
      <c r="J1289" s="5"/>
      <c r="K1289" s="5"/>
      <c r="L1289" s="5" t="str">
        <f>IFERROR(__xludf.DUMMYFUNCTION("""COMPUTED_VALUE"""),"KLH")</f>
        <v>KLH</v>
      </c>
    </row>
    <row r="1290">
      <c r="A1290" s="5" t="str">
        <f>IFERROR(__xludf.DUMMYFUNCTION("""COMPUTED_VALUE"""),"XB1-CRL-002")</f>
        <v>XB1-CRL-002</v>
      </c>
      <c r="B1290" s="3" t="str">
        <f>IFERROR(__xludf.DUMMYFUNCTION("""COMPUTED_VALUE"""),"Cày rạch luống 2 rãnh")</f>
        <v>Cày rạch luống 2 rãnh</v>
      </c>
      <c r="C1290" s="5" t="str">
        <f>IFERROR(__xludf.DUMMYFUNCTION("""COMPUTED_VALUE"""),"XN Bò AD")</f>
        <v>XN Bò AD</v>
      </c>
      <c r="D1290" s="5" t="str">
        <f>IFERROR(__xludf.DUMMYFUNCTION("""COMPUTED_VALUE"""),"THACO AGRI")</f>
        <v>THACO AGRI</v>
      </c>
      <c r="E1290" s="5" t="str">
        <f>IFERROR(__xludf.DUMMYFUNCTION("""COMPUTED_VALUE"""),"2 rãnh")</f>
        <v>2 rãnh</v>
      </c>
      <c r="F1290" s="5"/>
      <c r="G1290" s="5"/>
      <c r="H1290" s="5"/>
      <c r="I1290" s="5"/>
      <c r="J1290" s="5"/>
      <c r="K1290" s="5"/>
      <c r="L1290" s="5" t="str">
        <f>IFERROR(__xludf.DUMMYFUNCTION("""COMPUTED_VALUE"""),"KLH")</f>
        <v>KLH</v>
      </c>
    </row>
    <row r="1291">
      <c r="A1291" s="5" t="str">
        <f>IFERROR(__xludf.DUMMYFUNCTION("""COMPUTED_VALUE"""),"XB1-CCG-001")</f>
        <v>XB1-CCG-001</v>
      </c>
      <c r="B1291" s="3" t="str">
        <f>IFERROR(__xludf.DUMMYFUNCTION("""COMPUTED_VALUE"""),"Cắt cỏ gốc")</f>
        <v>Cắt cỏ gốc</v>
      </c>
      <c r="C1291" s="5" t="str">
        <f>IFERROR(__xludf.DUMMYFUNCTION("""COMPUTED_VALUE"""),"XN Bò AD")</f>
        <v>XN Bò AD</v>
      </c>
      <c r="D1291" s="5" t="str">
        <f>IFERROR(__xludf.DUMMYFUNCTION("""COMPUTED_VALUE"""),"THACO AGRI")</f>
        <v>THACO AGRI</v>
      </c>
      <c r="E1291" s="5"/>
      <c r="F1291" s="5"/>
      <c r="G1291" s="5"/>
      <c r="H1291" s="5"/>
      <c r="I1291" s="5"/>
      <c r="J1291" s="5"/>
      <c r="K1291" s="5"/>
      <c r="L1291" s="5" t="str">
        <f>IFERROR(__xludf.DUMMYFUNCTION("""COMPUTED_VALUE"""),"KLH")</f>
        <v>KLH</v>
      </c>
    </row>
    <row r="1292">
      <c r="A1292" s="5" t="str">
        <f>IFERROR(__xludf.DUMMYFUNCTION("""COMPUTED_VALUE"""),"XB1-CCG-002")</f>
        <v>XB1-CCG-002</v>
      </c>
      <c r="B1292" s="3" t="str">
        <f>IFERROR(__xludf.DUMMYFUNCTION("""COMPUTED_VALUE"""),"Cắt cỏ gốc")</f>
        <v>Cắt cỏ gốc</v>
      </c>
      <c r="C1292" s="5" t="str">
        <f>IFERROR(__xludf.DUMMYFUNCTION("""COMPUTED_VALUE"""),"XN Bò AD")</f>
        <v>XN Bò AD</v>
      </c>
      <c r="D1292" s="5" t="str">
        <f>IFERROR(__xludf.DUMMYFUNCTION("""COMPUTED_VALUE"""),"THACO AGRI")</f>
        <v>THACO AGRI</v>
      </c>
      <c r="E1292" s="5"/>
      <c r="F1292" s="5"/>
      <c r="G1292" s="5"/>
      <c r="H1292" s="5"/>
      <c r="I1292" s="5"/>
      <c r="J1292" s="5"/>
      <c r="K1292" s="5"/>
      <c r="L1292" s="5" t="str">
        <f>IFERROR(__xludf.DUMMYFUNCTION("""COMPUTED_VALUE"""),"KLH")</f>
        <v>KLH</v>
      </c>
    </row>
    <row r="1293">
      <c r="A1293" s="5" t="str">
        <f>IFERROR(__xludf.DUMMYFUNCTION("""COMPUTED_VALUE"""),"XB1-DGC-001")</f>
        <v>XB1-DGC-001</v>
      </c>
      <c r="B1293" s="3" t="str">
        <f>IFERROR(__xludf.DUMMYFUNCTION("""COMPUTED_VALUE"""),"Gom cỏ,chuối")</f>
        <v>Gom cỏ,chuối</v>
      </c>
      <c r="C1293" s="5" t="str">
        <f>IFERROR(__xludf.DUMMYFUNCTION("""COMPUTED_VALUE"""),"XN Bò AD")</f>
        <v>XN Bò AD</v>
      </c>
      <c r="D1293" s="5" t="str">
        <f>IFERROR(__xludf.DUMMYFUNCTION("""COMPUTED_VALUE"""),"THACO AGRI")</f>
        <v>THACO AGRI</v>
      </c>
      <c r="E1293" s="5"/>
      <c r="F1293" s="5"/>
      <c r="G1293" s="5"/>
      <c r="H1293" s="5"/>
      <c r="I1293" s="5"/>
      <c r="J1293" s="5"/>
      <c r="K1293" s="5"/>
      <c r="L1293" s="5" t="str">
        <f>IFERROR(__xludf.DUMMYFUNCTION("""COMPUTED_VALUE"""),"KLH")</f>
        <v>KLH</v>
      </c>
    </row>
    <row r="1294">
      <c r="A1294" s="5" t="str">
        <f>IFERROR(__xludf.DUMMYFUNCTION("""COMPUTED_VALUE"""),"XB1-GTB-001")</f>
        <v>XB1-GTB-001</v>
      </c>
      <c r="B1294" s="3" t="str">
        <f>IFERROR(__xludf.DUMMYFUNCTION("""COMPUTED_VALUE"""),"Thiết bị tỉa bắp")</f>
        <v>Thiết bị tỉa bắp</v>
      </c>
      <c r="C1294" s="5" t="str">
        <f>IFERROR(__xludf.DUMMYFUNCTION("""COMPUTED_VALUE"""),"XN Bò AD")</f>
        <v>XN Bò AD</v>
      </c>
      <c r="D1294" s="5" t="str">
        <f>IFERROR(__xludf.DUMMYFUNCTION("""COMPUTED_VALUE"""),"THACO AGRI")</f>
        <v>THACO AGRI</v>
      </c>
      <c r="E1294" s="5"/>
      <c r="F1294" s="5"/>
      <c r="G1294" s="5"/>
      <c r="H1294" s="5"/>
      <c r="I1294" s="5"/>
      <c r="J1294" s="5"/>
      <c r="K1294" s="5"/>
      <c r="L1294" s="5" t="str">
        <f>IFERROR(__xludf.DUMMYFUNCTION("""COMPUTED_VALUE"""),"KLH")</f>
        <v>KLH</v>
      </c>
    </row>
    <row r="1295">
      <c r="A1295" s="5" t="str">
        <f>IFERROR(__xludf.DUMMYFUNCTION("""COMPUTED_VALUE"""),"XB1-GTB-002")</f>
        <v>XB1-GTB-002</v>
      </c>
      <c r="B1295" s="3" t="str">
        <f>IFERROR(__xludf.DUMMYFUNCTION("""COMPUTED_VALUE"""),"Thiết bị tỉa bắp")</f>
        <v>Thiết bị tỉa bắp</v>
      </c>
      <c r="C1295" s="5" t="str">
        <f>IFERROR(__xludf.DUMMYFUNCTION("""COMPUTED_VALUE"""),"XN Bò AD")</f>
        <v>XN Bò AD</v>
      </c>
      <c r="D1295" s="5" t="str">
        <f>IFERROR(__xludf.DUMMYFUNCTION("""COMPUTED_VALUE"""),"THACO AGRI")</f>
        <v>THACO AGRI</v>
      </c>
      <c r="E1295" s="5"/>
      <c r="F1295" s="5"/>
      <c r="G1295" s="5"/>
      <c r="H1295" s="5"/>
      <c r="I1295" s="5"/>
      <c r="J1295" s="5"/>
      <c r="K1295" s="5"/>
      <c r="L1295" s="5" t="str">
        <f>IFERROR(__xludf.DUMMYFUNCTION("""COMPUTED_VALUE"""),"KLH")</f>
        <v>KLH</v>
      </c>
    </row>
    <row r="1296">
      <c r="A1296" s="5" t="str">
        <f>IFERROR(__xludf.DUMMYFUNCTION("""COMPUTED_VALUE"""),"XB1-MTP-001")</f>
        <v>XB1-MTP-001</v>
      </c>
      <c r="B1296" s="3" t="str">
        <f>IFERROR(__xludf.DUMMYFUNCTION("""COMPUTED_VALUE"""),"Máy trộn premix ")</f>
        <v>Máy trộn premix </v>
      </c>
      <c r="C1296" s="5" t="str">
        <f>IFERROR(__xludf.DUMMYFUNCTION("""COMPUTED_VALUE"""),"XN Bò AD")</f>
        <v>XN Bò AD</v>
      </c>
      <c r="D1296" s="5" t="str">
        <f>IFERROR(__xludf.DUMMYFUNCTION("""COMPUTED_VALUE"""),"THACO AGRI")</f>
        <v>THACO AGRI</v>
      </c>
      <c r="E1296" s="5" t="str">
        <f>IFERROR(__xludf.DUMMYFUNCTION("""COMPUTED_VALUE"""),"Premix")</f>
        <v>Premix</v>
      </c>
      <c r="F1296" s="5"/>
      <c r="G1296" s="5"/>
      <c r="H1296" s="5"/>
      <c r="I1296" s="5"/>
      <c r="J1296" s="5"/>
      <c r="K1296" s="5"/>
      <c r="L1296" s="5" t="str">
        <f>IFERROR(__xludf.DUMMYFUNCTION("""COMPUTED_VALUE"""),"KLH")</f>
        <v>KLH</v>
      </c>
    </row>
    <row r="1297">
      <c r="A1297" s="5" t="str">
        <f>IFERROR(__xludf.DUMMYFUNCTION("""COMPUTED_VALUE"""),"XB1-MTP-002")</f>
        <v>XB1-MTP-002</v>
      </c>
      <c r="B1297" s="3" t="str">
        <f>IFERROR(__xludf.DUMMYFUNCTION("""COMPUTED_VALUE"""),"Máy trộn premix ")</f>
        <v>Máy trộn premix </v>
      </c>
      <c r="C1297" s="5" t="str">
        <f>IFERROR(__xludf.DUMMYFUNCTION("""COMPUTED_VALUE"""),"XN Bò AD")</f>
        <v>XN Bò AD</v>
      </c>
      <c r="D1297" s="5" t="str">
        <f>IFERROR(__xludf.DUMMYFUNCTION("""COMPUTED_VALUE"""),"THACO AGRI")</f>
        <v>THACO AGRI</v>
      </c>
      <c r="E1297" s="5" t="str">
        <f>IFERROR(__xludf.DUMMYFUNCTION("""COMPUTED_VALUE"""),"Premix")</f>
        <v>Premix</v>
      </c>
      <c r="F1297" s="5"/>
      <c r="G1297" s="5"/>
      <c r="H1297" s="5"/>
      <c r="I1297" s="5"/>
      <c r="J1297" s="5"/>
      <c r="K1297" s="5"/>
      <c r="L1297" s="5" t="str">
        <f>IFERROR(__xludf.DUMMYFUNCTION("""COMPUTED_VALUE"""),"KLH")</f>
        <v>KLH</v>
      </c>
    </row>
    <row r="1298">
      <c r="A1298" s="5" t="str">
        <f>IFERROR(__xludf.DUMMYFUNCTION("""COMPUTED_VALUE"""),"XB1-TCT-001")</f>
        <v>XB1-TCT-001</v>
      </c>
      <c r="B1298" s="3" t="str">
        <f>IFERROR(__xludf.DUMMYFUNCTION("""COMPUTED_VALUE"""),"Máy trộn thức ăn tinh ")</f>
        <v>Máy trộn thức ăn tinh </v>
      </c>
      <c r="C1298" s="5" t="str">
        <f>IFERROR(__xludf.DUMMYFUNCTION("""COMPUTED_VALUE"""),"XN Bò AD")</f>
        <v>XN Bò AD</v>
      </c>
      <c r="D1298" s="5" t="str">
        <f>IFERROR(__xludf.DUMMYFUNCTION("""COMPUTED_VALUE"""),"THACO AGRI")</f>
        <v>THACO AGRI</v>
      </c>
      <c r="E1298" s="5"/>
      <c r="F1298" s="5"/>
      <c r="G1298" s="5"/>
      <c r="H1298" s="5"/>
      <c r="I1298" s="5"/>
      <c r="J1298" s="5"/>
      <c r="K1298" s="5"/>
      <c r="L1298" s="5" t="str">
        <f>IFERROR(__xludf.DUMMYFUNCTION("""COMPUTED_VALUE"""),"KLH")</f>
        <v>KLH</v>
      </c>
    </row>
    <row r="1299">
      <c r="A1299" s="5" t="str">
        <f>IFERROR(__xludf.DUMMYFUNCTION("""COMPUTED_VALUE"""),"XB1-TCT-002")</f>
        <v>XB1-TCT-002</v>
      </c>
      <c r="B1299" s="3" t="str">
        <f>IFERROR(__xludf.DUMMYFUNCTION("""COMPUTED_VALUE"""),"Máy trộn thức ăn tinh")</f>
        <v>Máy trộn thức ăn tinh</v>
      </c>
      <c r="C1299" s="5" t="str">
        <f>IFERROR(__xludf.DUMMYFUNCTION("""COMPUTED_VALUE"""),"XN Bò AD")</f>
        <v>XN Bò AD</v>
      </c>
      <c r="D1299" s="5" t="str">
        <f>IFERROR(__xludf.DUMMYFUNCTION("""COMPUTED_VALUE"""),"THACO AGRI")</f>
        <v>THACO AGRI</v>
      </c>
      <c r="E1299" s="5"/>
      <c r="F1299" s="5"/>
      <c r="G1299" s="5"/>
      <c r="H1299" s="5"/>
      <c r="I1299" s="5"/>
      <c r="J1299" s="5"/>
      <c r="K1299" s="5"/>
      <c r="L1299" s="5" t="str">
        <f>IFERROR(__xludf.DUMMYFUNCTION("""COMPUTED_VALUE"""),"KLH")</f>
        <v>KLH</v>
      </c>
    </row>
    <row r="1300">
      <c r="A1300" s="5" t="str">
        <f>IFERROR(__xludf.DUMMYFUNCTION("""COMPUTED_VALUE"""),"XB1-XĐL-002")</f>
        <v>XB1-XĐL-002</v>
      </c>
      <c r="B1300" s="3" t="str">
        <f>IFERROR(__xludf.DUMMYFUNCTION("""COMPUTED_VALUE"""),"Máy xay đậu lupin")</f>
        <v>Máy xay đậu lupin</v>
      </c>
      <c r="C1300" s="5" t="str">
        <f>IFERROR(__xludf.DUMMYFUNCTION("""COMPUTED_VALUE"""),"XN Bò AD")</f>
        <v>XN Bò AD</v>
      </c>
      <c r="D1300" s="5" t="str">
        <f>IFERROR(__xludf.DUMMYFUNCTION("""COMPUTED_VALUE"""),"THACO AGRI")</f>
        <v>THACO AGRI</v>
      </c>
      <c r="E1300" s="5"/>
      <c r="F1300" s="5"/>
      <c r="G1300" s="5"/>
      <c r="H1300" s="5"/>
      <c r="I1300" s="5"/>
      <c r="J1300" s="5"/>
      <c r="K1300" s="5"/>
      <c r="L1300" s="5" t="str">
        <f>IFERROR(__xludf.DUMMYFUNCTION("""COMPUTED_VALUE"""),"KLH")</f>
        <v>KLH</v>
      </c>
    </row>
    <row r="1301">
      <c r="A1301" s="5" t="str">
        <f>IFERROR(__xludf.DUMMYFUNCTION("""COMPUTED_VALUE"""),"XB1-GKM-001")</f>
        <v>XB1-GKM-001</v>
      </c>
      <c r="B1301" s="3" t="str">
        <f>IFERROR(__xludf.DUMMYFUNCTION("""COMPUTED_VALUE"""),"Thiết bị khoan mẹ")</f>
        <v>Thiết bị khoan mẹ</v>
      </c>
      <c r="C1301" s="5" t="str">
        <f>IFERROR(__xludf.DUMMYFUNCTION("""COMPUTED_VALUE"""),"XN Bò AD")</f>
        <v>XN Bò AD</v>
      </c>
      <c r="D1301" s="5" t="str">
        <f>IFERROR(__xludf.DUMMYFUNCTION("""COMPUTED_VALUE"""),"THACO AGRI")</f>
        <v>THACO AGRI</v>
      </c>
      <c r="E1301" s="5"/>
      <c r="F1301" s="5"/>
      <c r="G1301" s="5"/>
      <c r="H1301" s="5"/>
      <c r="I1301" s="5"/>
      <c r="J1301" s="5"/>
      <c r="K1301" s="5"/>
      <c r="L1301" s="5" t="str">
        <f>IFERROR(__xludf.DUMMYFUNCTION("""COMPUTED_VALUE"""),"KLH")</f>
        <v>KLH</v>
      </c>
    </row>
    <row r="1302">
      <c r="A1302" s="5" t="str">
        <f>IFERROR(__xludf.DUMMYFUNCTION("""COMPUTED_VALUE"""),"XB1-DKL-001")</f>
        <v>XB1-DKL-001</v>
      </c>
      <c r="B1302" s="3" t="str">
        <f>IFERROR(__xludf.DUMMYFUNCTION("""COMPUTED_VALUE"""),"Thiết bị khoan lỗ")</f>
        <v>Thiết bị khoan lỗ</v>
      </c>
      <c r="C1302" s="5" t="str">
        <f>IFERROR(__xludf.DUMMYFUNCTION("""COMPUTED_VALUE"""),"XN Bò AD")</f>
        <v>XN Bò AD</v>
      </c>
      <c r="D1302" s="5" t="str">
        <f>IFERROR(__xludf.DUMMYFUNCTION("""COMPUTED_VALUE"""),"THACO AGRI")</f>
        <v>THACO AGRI</v>
      </c>
      <c r="E1302" s="5"/>
      <c r="F1302" s="5"/>
      <c r="G1302" s="5"/>
      <c r="H1302" s="5" t="str">
        <f>IFERROR(__xludf.DUMMYFUNCTION("""COMPUTED_VALUE"""),"DxRxC: 2.5m*0.8m*2.5m
1 bộ TB kèm cardang và mũi khoan phi 800*800mm")</f>
        <v>DxRxC: 2.5m*0.8m*2.5m
1 bộ TB kèm cardang và mũi khoan phi 800*800mm</v>
      </c>
      <c r="I1302" s="5"/>
      <c r="J1302" s="5"/>
      <c r="K1302" s="5"/>
      <c r="L1302" s="5" t="str">
        <f>IFERROR(__xludf.DUMMYFUNCTION("""COMPUTED_VALUE"""),"KLH")</f>
        <v>KLH</v>
      </c>
    </row>
    <row r="1303">
      <c r="A1303" s="5" t="str">
        <f>IFERROR(__xludf.DUMMYFUNCTION("""COMPUTED_VALUE"""),"XB1-DKL-002")</f>
        <v>XB1-DKL-002</v>
      </c>
      <c r="B1303" s="3" t="str">
        <f>IFERROR(__xludf.DUMMYFUNCTION("""COMPUTED_VALUE"""),"Thiết bị khoan lỗ")</f>
        <v>Thiết bị khoan lỗ</v>
      </c>
      <c r="C1303" s="5" t="str">
        <f>IFERROR(__xludf.DUMMYFUNCTION("""COMPUTED_VALUE"""),"XN Bò AD")</f>
        <v>XN Bò AD</v>
      </c>
      <c r="D1303" s="5" t="str">
        <f>IFERROR(__xludf.DUMMYFUNCTION("""COMPUTED_VALUE"""),"THACO AGRI")</f>
        <v>THACO AGRI</v>
      </c>
      <c r="E1303" s="5"/>
      <c r="F1303" s="5"/>
      <c r="G1303" s="5"/>
      <c r="H1303" s="5"/>
      <c r="I1303" s="5"/>
      <c r="J1303" s="5"/>
      <c r="K1303" s="5"/>
      <c r="L1303" s="5" t="str">
        <f>IFERROR(__xludf.DUMMYFUNCTION("""COMPUTED_VALUE"""),"KLH")</f>
        <v>KLH</v>
      </c>
    </row>
    <row r="1304">
      <c r="A1304" s="5" t="str">
        <f>IFERROR(__xludf.DUMMYFUNCTION("""COMPUTED_VALUE"""),"XB1-MCC-001")</f>
        <v>XB1-MCC-001</v>
      </c>
      <c r="B1304" s="3" t="str">
        <f>IFERROR(__xludf.DUMMYFUNCTION("""COMPUTED_VALUE"""),"Máy cắt lát chuối cho bê")</f>
        <v>Máy cắt lát chuối cho bê</v>
      </c>
      <c r="C1304" s="5" t="str">
        <f>IFERROR(__xludf.DUMMYFUNCTION("""COMPUTED_VALUE"""),"XN Bò AD")</f>
        <v>XN Bò AD</v>
      </c>
      <c r="D1304" s="5" t="str">
        <f>IFERROR(__xludf.DUMMYFUNCTION("""COMPUTED_VALUE"""),"THACO AGRI")</f>
        <v>THACO AGRI</v>
      </c>
      <c r="E1304" s="5"/>
      <c r="F1304" s="5"/>
      <c r="G1304" s="5"/>
      <c r="H1304" s="5"/>
      <c r="I1304" s="5"/>
      <c r="J1304" s="5"/>
      <c r="K1304" s="5"/>
      <c r="L1304" s="5" t="str">
        <f>IFERROR(__xludf.DUMMYFUNCTION("""COMPUTED_VALUE"""),"KLH")</f>
        <v>KLH</v>
      </c>
    </row>
    <row r="1305">
      <c r="A1305" s="5" t="str">
        <f>IFERROR(__xludf.DUMMYFUNCTION("""COMPUTED_VALUE"""),"XB1-MCO-001")</f>
        <v>XB1-MCO-001</v>
      </c>
      <c r="B1305" s="3" t="str">
        <f>IFERROR(__xludf.DUMMYFUNCTION("""COMPUTED_VALUE"""),"Máy cuộn cỏ (gắn sau máy kéo)")</f>
        <v>Máy cuộn cỏ (gắn sau máy kéo)</v>
      </c>
      <c r="C1305" s="5" t="str">
        <f>IFERROR(__xludf.DUMMYFUNCTION("""COMPUTED_VALUE"""),"XN Bò AD")</f>
        <v>XN Bò AD</v>
      </c>
      <c r="D1305" s="5" t="str">
        <f>IFERROR(__xludf.DUMMYFUNCTION("""COMPUTED_VALUE"""),"TAMICO-S")</f>
        <v>TAMICO-S</v>
      </c>
      <c r="E1305" s="5" t="str">
        <f>IFERROR(__xludf.DUMMYFUNCTION("""COMPUTED_VALUE"""),"YTAMI")</f>
        <v>YTAMI</v>
      </c>
      <c r="F1305" s="5"/>
      <c r="G1305" s="5" t="str">
        <f>IFERROR(__xludf.DUMMYFUNCTION("""COMPUTED_VALUE"""),"2023")</f>
        <v>2023</v>
      </c>
      <c r="H1305" s="5" t="str">
        <f>IFERROR(__xludf.DUMMYFUNCTION("""COMPUTED_VALUE"""),"- Công suất: 20-50HP
- YTAMI_0870")</f>
        <v>- Công suất: 20-50HP
- YTAMI_0870</v>
      </c>
      <c r="I1305" s="5" t="str">
        <f>IFERROR(__xludf.DUMMYFUNCTION("""COMPUTED_VALUE"""),"YTAMI-MRB0870-03/CB-14290")</f>
        <v>YTAMI-MRB0870-03/CB-14290</v>
      </c>
      <c r="J1305" s="5"/>
      <c r="K1305" s="5">
        <f>IFERROR(__xludf.DUMMYFUNCTION("""COMPUTED_VALUE"""),0.3)</f>
        <v>0.3</v>
      </c>
      <c r="L1305" s="5" t="str">
        <f>IFERROR(__xludf.DUMMYFUNCTION("""COMPUTED_VALUE"""),"KLH")</f>
        <v>KLH</v>
      </c>
    </row>
    <row r="1306">
      <c r="A1306" s="5" t="str">
        <f>IFERROR(__xludf.DUMMYFUNCTION("""COMPUTED_VALUE"""),"XB1-MCO-002")</f>
        <v>XB1-MCO-002</v>
      </c>
      <c r="B1306" s="3" t="str">
        <f>IFERROR(__xludf.DUMMYFUNCTION("""COMPUTED_VALUE"""),"Máy cuộn cỏ (gắn sau máy kéo)")</f>
        <v>Máy cuộn cỏ (gắn sau máy kéo)</v>
      </c>
      <c r="C1306" s="5" t="str">
        <f>IFERROR(__xludf.DUMMYFUNCTION("""COMPUTED_VALUE"""),"XN Bò AD")</f>
        <v>XN Bò AD</v>
      </c>
      <c r="D1306" s="5" t="str">
        <f>IFERROR(__xludf.DUMMYFUNCTION("""COMPUTED_VALUE"""),"TAMICO-S")</f>
        <v>TAMICO-S</v>
      </c>
      <c r="E1306" s="5" t="str">
        <f>IFERROR(__xludf.DUMMYFUNCTION("""COMPUTED_VALUE"""),"YTAMI")</f>
        <v>YTAMI</v>
      </c>
      <c r="F1306" s="5"/>
      <c r="G1306" s="5" t="str">
        <f>IFERROR(__xludf.DUMMYFUNCTION("""COMPUTED_VALUE"""),"2023")</f>
        <v>2023</v>
      </c>
      <c r="H1306" s="5" t="str">
        <f>IFERROR(__xludf.DUMMYFUNCTION("""COMPUTED_VALUE"""),"- Công suất: 20-50HP
- YTAMI_0870")</f>
        <v>- Công suất: 20-50HP
- YTAMI_0870</v>
      </c>
      <c r="I1306" s="5" t="str">
        <f>IFERROR(__xludf.DUMMYFUNCTION("""COMPUTED_VALUE"""),"631513")</f>
        <v>631513</v>
      </c>
      <c r="J1306" s="5"/>
      <c r="K1306" s="5">
        <f>IFERROR(__xludf.DUMMYFUNCTION("""COMPUTED_VALUE"""),0.3)</f>
        <v>0.3</v>
      </c>
      <c r="L1306" s="5" t="str">
        <f>IFERROR(__xludf.DUMMYFUNCTION("""COMPUTED_VALUE"""),"KLH")</f>
        <v>KLH</v>
      </c>
    </row>
    <row r="1307">
      <c r="A1307" s="5" t="str">
        <f>IFERROR(__xludf.DUMMYFUNCTION("""COMPUTED_VALUE"""),"XB1-MCO-003")</f>
        <v>XB1-MCO-003</v>
      </c>
      <c r="B1307" s="3" t="str">
        <f>IFERROR(__xludf.DUMMYFUNCTION("""COMPUTED_VALUE"""),"Máy cuộn cỏ (gắn sau máy kéo)")</f>
        <v>Máy cuộn cỏ (gắn sau máy kéo)</v>
      </c>
      <c r="C1307" s="5" t="str">
        <f>IFERROR(__xludf.DUMMYFUNCTION("""COMPUTED_VALUE"""),"XN Bò AD")</f>
        <v>XN Bò AD</v>
      </c>
      <c r="D1307" s="5" t="str">
        <f>IFERROR(__xludf.DUMMYFUNCTION("""COMPUTED_VALUE"""),"TAMICO-S")</f>
        <v>TAMICO-S</v>
      </c>
      <c r="E1307" s="5" t="str">
        <f>IFERROR(__xludf.DUMMYFUNCTION("""COMPUTED_VALUE"""),"YTAMI")</f>
        <v>YTAMI</v>
      </c>
      <c r="F1307" s="5"/>
      <c r="G1307" s="5" t="str">
        <f>IFERROR(__xludf.DUMMYFUNCTION("""COMPUTED_VALUE"""),"2023")</f>
        <v>2023</v>
      </c>
      <c r="H1307" s="5" t="str">
        <f>IFERROR(__xludf.DUMMYFUNCTION("""COMPUTED_VALUE"""),"- Công suất: 20-50HP
- YTAMI_0870")</f>
        <v>- Công suất: 20-50HP
- YTAMI_0870</v>
      </c>
      <c r="I1307" s="5" t="str">
        <f>IFERROR(__xludf.DUMMYFUNCTION("""COMPUTED_VALUE"""),"631514")</f>
        <v>631514</v>
      </c>
      <c r="J1307" s="5"/>
      <c r="K1307" s="5">
        <f>IFERROR(__xludf.DUMMYFUNCTION("""COMPUTED_VALUE"""),0.3)</f>
        <v>0.3</v>
      </c>
      <c r="L1307" s="5" t="str">
        <f>IFERROR(__xludf.DUMMYFUNCTION("""COMPUTED_VALUE"""),"KLH")</f>
        <v>KLH</v>
      </c>
    </row>
    <row r="1308">
      <c r="A1308" s="5" t="str">
        <f>IFERROR(__xludf.DUMMYFUNCTION("""COMPUTED_VALUE"""),"XB1-MCO-004")</f>
        <v>XB1-MCO-004</v>
      </c>
      <c r="B1308" s="3" t="str">
        <f>IFERROR(__xludf.DUMMYFUNCTION("""COMPUTED_VALUE"""),"Máy cuộn cỏ (gắn sau máy kéo)")</f>
        <v>Máy cuộn cỏ (gắn sau máy kéo)</v>
      </c>
      <c r="C1308" s="5" t="str">
        <f>IFERROR(__xludf.DUMMYFUNCTION("""COMPUTED_VALUE"""),"XN Bò AD")</f>
        <v>XN Bò AD</v>
      </c>
      <c r="D1308" s="5" t="str">
        <f>IFERROR(__xludf.DUMMYFUNCTION("""COMPUTED_VALUE"""),"TAMICO-S")</f>
        <v>TAMICO-S</v>
      </c>
      <c r="E1308" s="5" t="str">
        <f>IFERROR(__xludf.DUMMYFUNCTION("""COMPUTED_VALUE"""),"YTAMI")</f>
        <v>YTAMI</v>
      </c>
      <c r="F1308" s="5"/>
      <c r="G1308" s="5" t="str">
        <f>IFERROR(__xludf.DUMMYFUNCTION("""COMPUTED_VALUE"""),"2024")</f>
        <v>2024</v>
      </c>
      <c r="H1308" s="5" t="str">
        <f>IFERROR(__xludf.DUMMYFUNCTION("""COMPUTED_VALUE"""),"- Công suất: 20-50HP
- YTAMI_0870")</f>
        <v>- Công suất: 20-50HP
- YTAMI_0870</v>
      </c>
      <c r="I1308" s="5" t="str">
        <f>IFERROR(__xludf.DUMMYFUNCTION("""COMPUTED_VALUE"""),"631512")</f>
        <v>631512</v>
      </c>
      <c r="J1308" s="5"/>
      <c r="K1308" s="5">
        <f>IFERROR(__xludf.DUMMYFUNCTION("""COMPUTED_VALUE"""),0.3)</f>
        <v>0.3</v>
      </c>
      <c r="L1308" s="5" t="str">
        <f>IFERROR(__xludf.DUMMYFUNCTION("""COMPUTED_VALUE"""),"KLH")</f>
        <v>KLH</v>
      </c>
    </row>
    <row r="1309">
      <c r="A1309" s="5" t="str">
        <f>IFERROR(__xludf.DUMMYFUNCTION("""COMPUTED_VALUE"""),"XB1-MCO-005")</f>
        <v>XB1-MCO-005</v>
      </c>
      <c r="B1309" s="3" t="str">
        <f>IFERROR(__xludf.DUMMYFUNCTION("""COMPUTED_VALUE"""),"Máy cuộn cỏ (gắn sau máy kéo)")</f>
        <v>Máy cuộn cỏ (gắn sau máy kéo)</v>
      </c>
      <c r="C1309" s="5" t="str">
        <f>IFERROR(__xludf.DUMMYFUNCTION("""COMPUTED_VALUE"""),"XN Bò AD")</f>
        <v>XN Bò AD</v>
      </c>
      <c r="D1309" s="5" t="str">
        <f>IFERROR(__xludf.DUMMYFUNCTION("""COMPUTED_VALUE"""),"TAMICO-S")</f>
        <v>TAMICO-S</v>
      </c>
      <c r="E1309" s="5" t="str">
        <f>IFERROR(__xludf.DUMMYFUNCTION("""COMPUTED_VALUE"""),"YTAMI")</f>
        <v>YTAMI</v>
      </c>
      <c r="F1309" s="5"/>
      <c r="G1309" s="5" t="str">
        <f>IFERROR(__xludf.DUMMYFUNCTION("""COMPUTED_VALUE"""),"2024")</f>
        <v>2024</v>
      </c>
      <c r="H1309" s="5" t="str">
        <f>IFERROR(__xludf.DUMMYFUNCTION("""COMPUTED_VALUE"""),"20-50HP")</f>
        <v>20-50HP</v>
      </c>
      <c r="I1309" s="5" t="str">
        <f>IFERROR(__xludf.DUMMYFUNCTION("""COMPUTED_VALUE"""),"631511")</f>
        <v>631511</v>
      </c>
      <c r="J1309" s="5"/>
      <c r="K1309" s="5">
        <f>IFERROR(__xludf.DUMMYFUNCTION("""COMPUTED_VALUE"""),0.3)</f>
        <v>0.3</v>
      </c>
      <c r="L1309" s="5" t="str">
        <f>IFERROR(__xludf.DUMMYFUNCTION("""COMPUTED_VALUE"""),"KLH")</f>
        <v>KLH</v>
      </c>
    </row>
    <row r="1310">
      <c r="A1310" s="5" t="str">
        <f>IFERROR(__xludf.DUMMYFUNCTION("""COMPUTED_VALUE"""),"XB1-MCO-006")</f>
        <v>XB1-MCO-006</v>
      </c>
      <c r="B1310" s="3" t="str">
        <f>IFERROR(__xludf.DUMMYFUNCTION("""COMPUTED_VALUE"""),"Máy cuộn cỏ (gắn sau máy kéo)")</f>
        <v>Máy cuộn cỏ (gắn sau máy kéo)</v>
      </c>
      <c r="C1310" s="5" t="str">
        <f>IFERROR(__xludf.DUMMYFUNCTION("""COMPUTED_VALUE"""),"XN Bò AD")</f>
        <v>XN Bò AD</v>
      </c>
      <c r="D1310" s="5" t="str">
        <f>IFERROR(__xludf.DUMMYFUNCTION("""COMPUTED_VALUE"""),"TAMICO-S")</f>
        <v>TAMICO-S</v>
      </c>
      <c r="E1310" s="5" t="str">
        <f>IFERROR(__xludf.DUMMYFUNCTION("""COMPUTED_VALUE"""),"YTAMI")</f>
        <v>YTAMI</v>
      </c>
      <c r="F1310" s="5"/>
      <c r="G1310" s="5" t="str">
        <f>IFERROR(__xludf.DUMMYFUNCTION("""COMPUTED_VALUE"""),"2024")</f>
        <v>2024</v>
      </c>
      <c r="H1310" s="5" t="str">
        <f>IFERROR(__xludf.DUMMYFUNCTION("""COMPUTED_VALUE"""),"20-50HP")</f>
        <v>20-50HP</v>
      </c>
      <c r="I1310" s="5" t="str">
        <f>IFERROR(__xludf.DUMMYFUNCTION("""COMPUTED_VALUE"""),"630745")</f>
        <v>630745</v>
      </c>
      <c r="J1310" s="5"/>
      <c r="K1310" s="5">
        <f>IFERROR(__xludf.DUMMYFUNCTION("""COMPUTED_VALUE"""),0.3)</f>
        <v>0.3</v>
      </c>
      <c r="L1310" s="5" t="str">
        <f>IFERROR(__xludf.DUMMYFUNCTION("""COMPUTED_VALUE"""),"KLH")</f>
        <v>KLH</v>
      </c>
    </row>
    <row r="1311">
      <c r="A1311" s="5" t="str">
        <f>IFERROR(__xludf.DUMMYFUNCTION("""COMPUTED_VALUE"""),"XB1-MTO-001")</f>
        <v>XB1-MTO-001</v>
      </c>
      <c r="B1311" s="3" t="str">
        <f>IFERROR(__xludf.DUMMYFUNCTION("""COMPUTED_VALUE"""),"Máy tời xe máy 3.5T")</f>
        <v>Máy tời xe máy 3.5T</v>
      </c>
      <c r="C1311" s="5" t="str">
        <f>IFERROR(__xludf.DUMMYFUNCTION("""COMPUTED_VALUE"""),"XN Bò AD")</f>
        <v>XN Bò AD</v>
      </c>
      <c r="D1311" s="5" t="str">
        <f>IFERROR(__xludf.DUMMYFUNCTION("""COMPUTED_VALUE"""),"SYM")</f>
        <v>SYM</v>
      </c>
      <c r="E1311" s="5" t="str">
        <f>IFERROR(__xludf.DUMMYFUNCTION("""COMPUTED_VALUE"""),"SANYANG MOTOR")</f>
        <v>SANYANG MOTOR</v>
      </c>
      <c r="F1311" s="5"/>
      <c r="G1311" s="5" t="str">
        <f>IFERROR(__xludf.DUMMYFUNCTION("""COMPUTED_VALUE"""),"-")</f>
        <v>-</v>
      </c>
      <c r="H1311" s="5"/>
      <c r="I1311" s="5" t="str">
        <f>IFERROR(__xludf.DUMMYFUNCTION("""COMPUTED_VALUE"""),"VAVLC152FMH009586")</f>
        <v>VAVLC152FMH009586</v>
      </c>
      <c r="J1311" s="5"/>
      <c r="K1311" s="5"/>
      <c r="L1311" s="5" t="str">
        <f>IFERROR(__xludf.DUMMYFUNCTION("""COMPUTED_VALUE"""),"KLH")</f>
        <v>KLH</v>
      </c>
    </row>
    <row r="1312">
      <c r="A1312" s="5" t="str">
        <f>IFERROR(__xludf.DUMMYFUNCTION("""COMPUTED_VALUE"""),"XB1-MTO-002")</f>
        <v>XB1-MTO-002</v>
      </c>
      <c r="B1312" s="3" t="str">
        <f>IFERROR(__xludf.DUMMYFUNCTION("""COMPUTED_VALUE"""),"Máy tời xe máy 3.5T")</f>
        <v>Máy tời xe máy 3.5T</v>
      </c>
      <c r="C1312" s="5" t="str">
        <f>IFERROR(__xludf.DUMMYFUNCTION("""COMPUTED_VALUE"""),"XN Bò AD")</f>
        <v>XN Bò AD</v>
      </c>
      <c r="D1312" s="5" t="str">
        <f>IFERROR(__xludf.DUMMYFUNCTION("""COMPUTED_VALUE"""),"SYM")</f>
        <v>SYM</v>
      </c>
      <c r="E1312" s="5" t="str">
        <f>IFERROR(__xludf.DUMMYFUNCTION("""COMPUTED_VALUE"""),"SANYANG MOTOR")</f>
        <v>SANYANG MOTOR</v>
      </c>
      <c r="F1312" s="5"/>
      <c r="G1312" s="5"/>
      <c r="H1312" s="5" t="str">
        <f>IFERROR(__xludf.DUMMYFUNCTION("""COMPUTED_VALUE"""),"-")</f>
        <v>-</v>
      </c>
      <c r="I1312" s="5" t="str">
        <f>IFERROR(__xludf.DUMMYFUNCTION("""COMPUTED_VALUE"""),"-")</f>
        <v>-</v>
      </c>
      <c r="J1312" s="5"/>
      <c r="K1312" s="5"/>
      <c r="L1312" s="5" t="str">
        <f>IFERROR(__xludf.DUMMYFUNCTION("""COMPUTED_VALUE"""),"KLH")</f>
        <v>KLH</v>
      </c>
    </row>
    <row r="1313">
      <c r="A1313" s="5" t="str">
        <f>IFERROR(__xludf.DUMMYFUNCTION("""COMPUTED_VALUE"""),"XB1-MTO-003")</f>
        <v>XB1-MTO-003</v>
      </c>
      <c r="B1313" s="3" t="str">
        <f>IFERROR(__xludf.DUMMYFUNCTION("""COMPUTED_VALUE"""),"Máy tời xe máy 3.5T")</f>
        <v>Máy tời xe máy 3.5T</v>
      </c>
      <c r="C1313" s="5" t="str">
        <f>IFERROR(__xludf.DUMMYFUNCTION("""COMPUTED_VALUE"""),"XN Bò AD")</f>
        <v>XN Bò AD</v>
      </c>
      <c r="D1313" s="5" t="str">
        <f>IFERROR(__xludf.DUMMYFUNCTION("""COMPUTED_VALUE"""),"SYM")</f>
        <v>SYM</v>
      </c>
      <c r="E1313" s="5" t="str">
        <f>IFERROR(__xludf.DUMMYFUNCTION("""COMPUTED_VALUE"""),"SANYANG MOTOR")</f>
        <v>SANYANG MOTOR</v>
      </c>
      <c r="F1313" s="5"/>
      <c r="G1313" s="5"/>
      <c r="H1313" s="5"/>
      <c r="I1313" s="5" t="str">
        <f>IFERROR(__xludf.DUMMYFUNCTION("""COMPUTED_VALUE"""),"LC150FM-00085896")</f>
        <v>LC150FM-00085896</v>
      </c>
      <c r="J1313" s="5"/>
      <c r="K1313" s="5"/>
      <c r="L1313" s="5" t="str">
        <f>IFERROR(__xludf.DUMMYFUNCTION("""COMPUTED_VALUE"""),"KLH")</f>
        <v>KLH</v>
      </c>
    </row>
    <row r="1314">
      <c r="A1314" s="5" t="str">
        <f>IFERROR(__xludf.DUMMYFUNCTION("""COMPUTED_VALUE"""),"XB1-MTO-004")</f>
        <v>XB1-MTO-004</v>
      </c>
      <c r="B1314" s="3" t="str">
        <f>IFERROR(__xludf.DUMMYFUNCTION("""COMPUTED_VALUE"""),"Máy tời xe máy 3.5T")</f>
        <v>Máy tời xe máy 3.5T</v>
      </c>
      <c r="C1314" s="5" t="str">
        <f>IFERROR(__xludf.DUMMYFUNCTION("""COMPUTED_VALUE"""),"XN Bò AD")</f>
        <v>XN Bò AD</v>
      </c>
      <c r="D1314" s="5" t="str">
        <f>IFERROR(__xludf.DUMMYFUNCTION("""COMPUTED_VALUE"""),"SYM")</f>
        <v>SYM</v>
      </c>
      <c r="E1314" s="5" t="str">
        <f>IFERROR(__xludf.DUMMYFUNCTION("""COMPUTED_VALUE"""),"SANYANG MOTOR")</f>
        <v>SANYANG MOTOR</v>
      </c>
      <c r="F1314" s="5"/>
      <c r="G1314" s="5"/>
      <c r="H1314" s="5"/>
      <c r="I1314" s="5" t="str">
        <f>IFERROR(__xludf.DUMMYFUNCTION("""COMPUTED_VALUE"""),"46200892")</f>
        <v>46200892</v>
      </c>
      <c r="J1314" s="5"/>
      <c r="K1314" s="5"/>
      <c r="L1314" s="5" t="str">
        <f>IFERROR(__xludf.DUMMYFUNCTION("""COMPUTED_VALUE"""),"KLH")</f>
        <v>KLH</v>
      </c>
    </row>
    <row r="1315">
      <c r="A1315" s="5" t="str">
        <f>IFERROR(__xludf.DUMMYFUNCTION("""COMPUTED_VALUE"""),"XB1-MTO-005")</f>
        <v>XB1-MTO-005</v>
      </c>
      <c r="B1315" s="3" t="str">
        <f>IFERROR(__xludf.DUMMYFUNCTION("""COMPUTED_VALUE"""),"Máy tời xe máy 3.5T")</f>
        <v>Máy tời xe máy 3.5T</v>
      </c>
      <c r="C1315" s="5" t="str">
        <f>IFERROR(__xludf.DUMMYFUNCTION("""COMPUTED_VALUE"""),"XN Bò AD")</f>
        <v>XN Bò AD</v>
      </c>
      <c r="D1315" s="5" t="str">
        <f>IFERROR(__xludf.DUMMYFUNCTION("""COMPUTED_VALUE"""),"SYM")</f>
        <v>SYM</v>
      </c>
      <c r="E1315" s="5" t="str">
        <f>IFERROR(__xludf.DUMMYFUNCTION("""COMPUTED_VALUE"""),"SANYANG MOTOR")</f>
        <v>SANYANG MOTOR</v>
      </c>
      <c r="F1315" s="5"/>
      <c r="G1315" s="5"/>
      <c r="H1315" s="5"/>
      <c r="I1315" s="5" t="str">
        <f>IFERROR(__xludf.DUMMYFUNCTION("""COMPUTED_VALUE"""),"VTTJL1P52FMH-E001739")</f>
        <v>VTTJL1P52FMH-E001739</v>
      </c>
      <c r="J1315" s="5"/>
      <c r="K1315" s="5"/>
      <c r="L1315" s="5" t="str">
        <f>IFERROR(__xludf.DUMMYFUNCTION("""COMPUTED_VALUE"""),"KLH")</f>
        <v>KLH</v>
      </c>
    </row>
    <row r="1316">
      <c r="A1316" s="5" t="str">
        <f>IFERROR(__xludf.DUMMYFUNCTION("""COMPUTED_VALUE"""),"XB1-MTO-006")</f>
        <v>XB1-MTO-006</v>
      </c>
      <c r="B1316" s="3" t="str">
        <f>IFERROR(__xludf.DUMMYFUNCTION("""COMPUTED_VALUE"""),"Máy tời xe máy 3.5T")</f>
        <v>Máy tời xe máy 3.5T</v>
      </c>
      <c r="C1316" s="5" t="str">
        <f>IFERROR(__xludf.DUMMYFUNCTION("""COMPUTED_VALUE"""),"XN Bò AD")</f>
        <v>XN Bò AD</v>
      </c>
      <c r="D1316" s="5" t="str">
        <f>IFERROR(__xludf.DUMMYFUNCTION("""COMPUTED_VALUE"""),"SYM")</f>
        <v>SYM</v>
      </c>
      <c r="E1316" s="5" t="str">
        <f>IFERROR(__xludf.DUMMYFUNCTION("""COMPUTED_VALUE"""),"SANYANG MOTOR")</f>
        <v>SANYANG MOTOR</v>
      </c>
      <c r="F1316" s="5"/>
      <c r="G1316" s="5"/>
      <c r="H1316" s="5"/>
      <c r="I1316" s="5" t="str">
        <f>IFERROR(__xludf.DUMMYFUNCTION("""COMPUTED_VALUE"""),"VTTJL1P52FMH-E4001768")</f>
        <v>VTTJL1P52FMH-E4001768</v>
      </c>
      <c r="J1316" s="5"/>
      <c r="K1316" s="5"/>
      <c r="L1316" s="5" t="str">
        <f>IFERROR(__xludf.DUMMYFUNCTION("""COMPUTED_VALUE"""),"KLH")</f>
        <v>KLH</v>
      </c>
    </row>
    <row r="1317">
      <c r="A1317" s="5" t="str">
        <f>IFERROR(__xludf.DUMMYFUNCTION("""COMPUTED_VALUE"""),"XB1-MCA-001")</f>
        <v>XB1-MCA-001</v>
      </c>
      <c r="B1317" s="3" t="str">
        <f>IFERROR(__xludf.DUMMYFUNCTION("""COMPUTED_VALUE"""),"Máy cao áp phun thuốc")</f>
        <v>Máy cao áp phun thuốc</v>
      </c>
      <c r="C1317" s="5" t="str">
        <f>IFERROR(__xludf.DUMMYFUNCTION("""COMPUTED_VALUE"""),"XN Bò AD")</f>
        <v>XN Bò AD</v>
      </c>
      <c r="D1317" s="5" t="str">
        <f>IFERROR(__xludf.DUMMYFUNCTION("""COMPUTED_VALUE"""),"NILE")</f>
        <v>NILE</v>
      </c>
      <c r="E1317" s="5" t="str">
        <f>IFERROR(__xludf.DUMMYFUNCTION("""COMPUTED_VALUE"""),"N680A")</f>
        <v>N680A</v>
      </c>
      <c r="F1317" s="5"/>
      <c r="G1317" s="5"/>
      <c r="H1317" s="5"/>
      <c r="I1317" s="5" t="str">
        <f>IFERROR(__xludf.DUMMYFUNCTION("""COMPUTED_VALUE"""),"N680A-240014")</f>
        <v>N680A-240014</v>
      </c>
      <c r="J1317" s="5"/>
      <c r="K1317" s="5"/>
      <c r="L1317" s="5" t="str">
        <f>IFERROR(__xludf.DUMMYFUNCTION("""COMPUTED_VALUE"""),"KLH")</f>
        <v>KLH</v>
      </c>
    </row>
    <row r="1318">
      <c r="A1318" s="5" t="str">
        <f>IFERROR(__xludf.DUMMYFUNCTION("""COMPUTED_VALUE"""),"XB1-MCA-002")</f>
        <v>XB1-MCA-002</v>
      </c>
      <c r="B1318" s="3" t="str">
        <f>IFERROR(__xludf.DUMMYFUNCTION("""COMPUTED_VALUE"""),"Máy cao áp phun thuốc")</f>
        <v>Máy cao áp phun thuốc</v>
      </c>
      <c r="C1318" s="5" t="str">
        <f>IFERROR(__xludf.DUMMYFUNCTION("""COMPUTED_VALUE"""),"XN Bò AD")</f>
        <v>XN Bò AD</v>
      </c>
      <c r="D1318" s="5" t="str">
        <f>IFERROR(__xludf.DUMMYFUNCTION("""COMPUTED_VALUE"""),"NILE")</f>
        <v>NILE</v>
      </c>
      <c r="E1318" s="5" t="str">
        <f>IFERROR(__xludf.DUMMYFUNCTION("""COMPUTED_VALUE"""),"N680A")</f>
        <v>N680A</v>
      </c>
      <c r="F1318" s="5"/>
      <c r="G1318" s="5"/>
      <c r="H1318" s="5"/>
      <c r="I1318" s="5" t="str">
        <f>IFERROR(__xludf.DUMMYFUNCTION("""COMPUTED_VALUE"""),"N680A-240012")</f>
        <v>N680A-240012</v>
      </c>
      <c r="J1318" s="5"/>
      <c r="K1318" s="5"/>
      <c r="L1318" s="5" t="str">
        <f>IFERROR(__xludf.DUMMYFUNCTION("""COMPUTED_VALUE"""),"KLH")</f>
        <v>KLH</v>
      </c>
    </row>
    <row r="1319">
      <c r="A1319" s="5" t="str">
        <f>IFERROR(__xludf.DUMMYFUNCTION("""COMPUTED_VALUE"""),"XB1-MCA-003")</f>
        <v>XB1-MCA-003</v>
      </c>
      <c r="B1319" s="3" t="str">
        <f>IFERROR(__xludf.DUMMYFUNCTION("""COMPUTED_VALUE"""),"Máy cao áp phun thuốc")</f>
        <v>Máy cao áp phun thuốc</v>
      </c>
      <c r="C1319" s="5" t="str">
        <f>IFERROR(__xludf.DUMMYFUNCTION("""COMPUTED_VALUE"""),"XN Bò AD")</f>
        <v>XN Bò AD</v>
      </c>
      <c r="D1319" s="5" t="str">
        <f>IFERROR(__xludf.DUMMYFUNCTION("""COMPUTED_VALUE"""),"NILE")</f>
        <v>NILE</v>
      </c>
      <c r="E1319" s="5" t="str">
        <f>IFERROR(__xludf.DUMMYFUNCTION("""COMPUTED_VALUE"""),"N680A")</f>
        <v>N680A</v>
      </c>
      <c r="F1319" s="5"/>
      <c r="G1319" s="5"/>
      <c r="H1319" s="5"/>
      <c r="I1319" s="5" t="str">
        <f>IFERROR(__xludf.DUMMYFUNCTION("""COMPUTED_VALUE"""),"N680A-240010")</f>
        <v>N680A-240010</v>
      </c>
      <c r="J1319" s="5"/>
      <c r="K1319" s="5"/>
      <c r="L1319" s="5" t="str">
        <f>IFERROR(__xludf.DUMMYFUNCTION("""COMPUTED_VALUE"""),"KLH")</f>
        <v>KLH</v>
      </c>
    </row>
    <row r="1320">
      <c r="A1320" s="5" t="str">
        <f>IFERROR(__xludf.DUMMYFUNCTION("""COMPUTED_VALUE"""),"XB1-BUA-001")</f>
        <v>XB1-BUA-001</v>
      </c>
      <c r="B1320" s="3" t="str">
        <f>IFERROR(__xludf.DUMMYFUNCTION("""COMPUTED_VALUE"""),"Thiết bị bừa 32 chảo")</f>
        <v>Thiết bị bừa 32 chảo</v>
      </c>
      <c r="C1320" s="5" t="str">
        <f>IFERROR(__xludf.DUMMYFUNCTION("""COMPUTED_VALUE"""),"XN Bò AD")</f>
        <v>XN Bò AD</v>
      </c>
      <c r="D1320" s="5" t="str">
        <f>IFERROR(__xludf.DUMMYFUNCTION("""COMPUTED_VALUE"""),"NILE")</f>
        <v>NILE</v>
      </c>
      <c r="E1320" s="5" t="str">
        <f>IFERROR(__xludf.DUMMYFUNCTION("""COMPUTED_VALUE"""),"N680A")</f>
        <v>N680A</v>
      </c>
      <c r="F1320" s="5"/>
      <c r="G1320" s="5"/>
      <c r="H1320" s="5"/>
      <c r="I1320" s="5"/>
      <c r="J1320" s="5"/>
      <c r="K1320" s="5"/>
      <c r="L1320" s="5" t="str">
        <f>IFERROR(__xludf.DUMMYFUNCTION("""COMPUTED_VALUE"""),"KLH")</f>
        <v>KLH</v>
      </c>
    </row>
    <row r="1321">
      <c r="A1321" s="5" t="str">
        <f>IFERROR(__xludf.DUMMYFUNCTION("""COMPUTED_VALUE"""),"XB1-BUA-002")</f>
        <v>XB1-BUA-002</v>
      </c>
      <c r="B1321" s="3" t="str">
        <f>IFERROR(__xludf.DUMMYFUNCTION("""COMPUTED_VALUE"""),"Thiết bị bừa 24 chảo")</f>
        <v>Thiết bị bừa 24 chảo</v>
      </c>
      <c r="C1321" s="5" t="str">
        <f>IFERROR(__xludf.DUMMYFUNCTION("""COMPUTED_VALUE"""),"XN Bò AD")</f>
        <v>XN Bò AD</v>
      </c>
      <c r="D1321" s="5" t="str">
        <f>IFERROR(__xludf.DUMMYFUNCTION("""COMPUTED_VALUE"""),"INRODA")</f>
        <v>INRODA</v>
      </c>
      <c r="E1321" s="5" t="str">
        <f>IFERROR(__xludf.DUMMYFUNCTION("""COMPUTED_VALUE"""),"GASP24235")</f>
        <v>GASP24235</v>
      </c>
      <c r="F1321" s="5"/>
      <c r="G1321" s="5" t="str">
        <f>IFERROR(__xludf.DUMMYFUNCTION("""COMPUTED_VALUE"""),"2024")</f>
        <v>2024</v>
      </c>
      <c r="H1321" s="5"/>
      <c r="I1321" s="5" t="str">
        <f>IFERROR(__xludf.DUMMYFUNCTION("""COMPUTED_VALUE"""),"3453782")</f>
        <v>3453782</v>
      </c>
      <c r="J1321" s="5"/>
      <c r="K1321" s="5"/>
      <c r="L1321" s="5" t="str">
        <f>IFERROR(__xludf.DUMMYFUNCTION("""COMPUTED_VALUE"""),"KLH")</f>
        <v>KLH</v>
      </c>
    </row>
    <row r="1322">
      <c r="A1322" s="5" t="str">
        <f>IFERROR(__xludf.DUMMYFUNCTION("""COMPUTED_VALUE"""),"XB1-BUA-003")</f>
        <v>XB1-BUA-003</v>
      </c>
      <c r="B1322" s="3" t="str">
        <f>IFERROR(__xludf.DUMMYFUNCTION("""COMPUTED_VALUE"""),"Thiết bị bừa 24 chảo")</f>
        <v>Thiết bị bừa 24 chảo</v>
      </c>
      <c r="C1322" s="5" t="str">
        <f>IFERROR(__xludf.DUMMYFUNCTION("""COMPUTED_VALUE"""),"XN Bò AD")</f>
        <v>XN Bò AD</v>
      </c>
      <c r="D1322" s="5"/>
      <c r="E1322" s="5"/>
      <c r="F1322" s="5"/>
      <c r="G1322" s="5" t="str">
        <f>IFERROR(__xludf.DUMMYFUNCTION("""COMPUTED_VALUE"""),"2025")</f>
        <v>2025</v>
      </c>
      <c r="H1322" s="5"/>
      <c r="I1322" s="5"/>
      <c r="J1322" s="5"/>
      <c r="K1322" s="5"/>
      <c r="L1322" s="5" t="str">
        <f>IFERROR(__xludf.DUMMYFUNCTION("""COMPUTED_VALUE"""),"KLH")</f>
        <v>KLH</v>
      </c>
    </row>
    <row r="1323">
      <c r="A1323" s="5" t="str">
        <f>IFERROR(__xludf.DUMMYFUNCTION("""COMPUTED_VALUE"""),"XB1-BUA-004")</f>
        <v>XB1-BUA-004</v>
      </c>
      <c r="B1323" s="3" t="str">
        <f>IFERROR(__xludf.DUMMYFUNCTION("""COMPUTED_VALUE"""),"Thiết bị bừa 32 chảo")</f>
        <v>Thiết bị bừa 32 chảo</v>
      </c>
      <c r="C1323" s="5" t="str">
        <f>IFERROR(__xludf.DUMMYFUNCTION("""COMPUTED_VALUE"""),"XN Bò AD")</f>
        <v>XN Bò AD</v>
      </c>
      <c r="D1323" s="5"/>
      <c r="E1323" s="5"/>
      <c r="F1323" s="5"/>
      <c r="G1323" s="5" t="str">
        <f>IFERROR(__xludf.DUMMYFUNCTION("""COMPUTED_VALUE"""),"2025")</f>
        <v>2025</v>
      </c>
      <c r="H1323" s="5"/>
      <c r="I1323" s="5"/>
      <c r="J1323" s="5"/>
      <c r="K1323" s="5"/>
      <c r="L1323" s="5" t="str">
        <f>IFERROR(__xludf.DUMMYFUNCTION("""COMPUTED_VALUE"""),"KLH")</f>
        <v>KLH</v>
      </c>
    </row>
    <row r="1324">
      <c r="A1324" s="5" t="str">
        <f>IFERROR(__xludf.DUMMYFUNCTION("""COMPUTED_VALUE"""),"XB1-DTP-001")</f>
        <v>XB1-DTP-001</v>
      </c>
      <c r="B1324" s="3" t="str">
        <f>IFERROR(__xludf.DUMMYFUNCTION("""COMPUTED_VALUE"""),"Thiết bị tung phân hữu cơ")</f>
        <v>Thiết bị tung phân hữu cơ</v>
      </c>
      <c r="C1324" s="5" t="str">
        <f>IFERROR(__xludf.DUMMYFUNCTION("""COMPUTED_VALUE"""),"XN Bò AD")</f>
        <v>XN Bò AD</v>
      </c>
      <c r="D1324" s="5" t="str">
        <f>IFERROR(__xludf.DUMMYFUNCTION("""COMPUTED_VALUE"""),"THACO INDUSTRIES")</f>
        <v>THACO INDUSTRIES</v>
      </c>
      <c r="E1324" s="5" t="str">
        <f>IFERROR(__xludf.DUMMYFUNCTION("""COMPUTED_VALUE"""),"10M3")</f>
        <v>10M3</v>
      </c>
      <c r="F1324" s="5"/>
      <c r="G1324" s="5" t="str">
        <f>IFERROR(__xludf.DUMMYFUNCTION("""COMPUTED_VALUE"""),"2023")</f>
        <v>2023</v>
      </c>
      <c r="H1324" s="5"/>
      <c r="I1324" s="5"/>
      <c r="J1324" s="5"/>
      <c r="K1324" s="5"/>
      <c r="L1324" s="5" t="str">
        <f>IFERROR(__xludf.DUMMYFUNCTION("""COMPUTED_VALUE"""),"KLH")</f>
        <v>KLH</v>
      </c>
    </row>
    <row r="1325">
      <c r="A1325" s="5" t="str">
        <f>IFERROR(__xludf.DUMMYFUNCTION("""COMPUTED_VALUE"""),"XB1-DTP-002")</f>
        <v>XB1-DTP-002</v>
      </c>
      <c r="B1325" s="3" t="str">
        <f>IFERROR(__xludf.DUMMYFUNCTION("""COMPUTED_VALUE"""),"Thiết bị tung phân hữu cơ")</f>
        <v>Thiết bị tung phân hữu cơ</v>
      </c>
      <c r="C1325" s="5" t="str">
        <f>IFERROR(__xludf.DUMMYFUNCTION("""COMPUTED_VALUE"""),"XN Bò AD")</f>
        <v>XN Bò AD</v>
      </c>
      <c r="D1325" s="5" t="str">
        <f>IFERROR(__xludf.DUMMYFUNCTION("""COMPUTED_VALUE"""),"THACO INDUSTRIES")</f>
        <v>THACO INDUSTRIES</v>
      </c>
      <c r="E1325" s="5" t="str">
        <f>IFERROR(__xludf.DUMMYFUNCTION("""COMPUTED_VALUE"""),"10M3")</f>
        <v>10M3</v>
      </c>
      <c r="F1325" s="5"/>
      <c r="G1325" s="5" t="str">
        <f>IFERROR(__xludf.DUMMYFUNCTION("""COMPUTED_VALUE"""),"2024")</f>
        <v>2024</v>
      </c>
      <c r="H1325" s="5" t="str">
        <f>IFERROR(__xludf.DUMMYFUNCTION("""COMPUTED_VALUE"""),"&gt;= 90HP")</f>
        <v>&gt;= 90HP</v>
      </c>
      <c r="I1325" s="5"/>
      <c r="J1325" s="5"/>
      <c r="K1325" s="5"/>
      <c r="L1325" s="5" t="str">
        <f>IFERROR(__xludf.DUMMYFUNCTION("""COMPUTED_VALUE"""),"KLH")</f>
        <v>KLH</v>
      </c>
    </row>
    <row r="1326">
      <c r="A1326" s="5" t="str">
        <f>IFERROR(__xludf.DUMMYFUNCTION("""COMPUTED_VALUE"""),"XB1-DTP-003")</f>
        <v>XB1-DTP-003</v>
      </c>
      <c r="B1326" s="3" t="str">
        <f>IFERROR(__xludf.DUMMYFUNCTION("""COMPUTED_VALUE"""),"Thiết bị tung phân hữu cơ")</f>
        <v>Thiết bị tung phân hữu cơ</v>
      </c>
      <c r="C1326" s="5" t="str">
        <f>IFERROR(__xludf.DUMMYFUNCTION("""COMPUTED_VALUE"""),"XN Bò AD")</f>
        <v>XN Bò AD</v>
      </c>
      <c r="D1326" s="5" t="str">
        <f>IFERROR(__xludf.DUMMYFUNCTION("""COMPUTED_VALUE"""),"THACO INDUSTRIES")</f>
        <v>THACO INDUSTRIES</v>
      </c>
      <c r="E1326" s="5" t="str">
        <f>IFERROR(__xludf.DUMMYFUNCTION("""COMPUTED_VALUE"""),"10M3")</f>
        <v>10M3</v>
      </c>
      <c r="F1326" s="5"/>
      <c r="G1326" s="5" t="str">
        <f>IFERROR(__xludf.DUMMYFUNCTION("""COMPUTED_VALUE"""),"2026")</f>
        <v>2026</v>
      </c>
      <c r="H1326" s="5"/>
      <c r="I1326" s="5" t="str">
        <f>IFERROR(__xludf.DUMMYFUNCTION("""COMPUTED_VALUE"""),"RMFNU109BTC002417")</f>
        <v>RMFNU109BTC002417</v>
      </c>
      <c r="J1326" s="5"/>
      <c r="K1326" s="5"/>
      <c r="L1326" s="5" t="str">
        <f>IFERROR(__xludf.DUMMYFUNCTION("""COMPUTED_VALUE"""),"KLH")</f>
        <v>KLH</v>
      </c>
    </row>
    <row r="1327">
      <c r="A1327" s="5" t="str">
        <f>IFERROR(__xludf.DUMMYFUNCTION("""COMPUTED_VALUE"""),"XB1-DRP-002")</f>
        <v>XB1-DRP-002</v>
      </c>
      <c r="B1327" s="3" t="str">
        <f>IFERROR(__xludf.DUMMYFUNCTION("""COMPUTED_VALUE"""),"Dàn rải phân (10m3)")</f>
        <v>Dàn rải phân (10m3)</v>
      </c>
      <c r="C1327" s="5" t="str">
        <f>IFERROR(__xludf.DUMMYFUNCTION("""COMPUTED_VALUE"""),"XN Bò AD")</f>
        <v>XN Bò AD</v>
      </c>
      <c r="D1327" s="5" t="str">
        <f>IFERROR(__xludf.DUMMYFUNCTION("""COMPUTED_VALUE"""),"THACO INDUSTRIES")</f>
        <v>THACO INDUSTRIES</v>
      </c>
      <c r="E1327" s="5" t="str">
        <f>IFERROR(__xludf.DUMMYFUNCTION("""COMPUTED_VALUE"""),"CHU LAI")</f>
        <v>CHU LAI</v>
      </c>
      <c r="F1327" s="5">
        <f>IFERROR(__xludf.DUMMYFUNCTION("""COMPUTED_VALUE"""),2025.0)</f>
        <v>2025</v>
      </c>
      <c r="G1327" s="5" t="str">
        <f>IFERROR(__xludf.DUMMYFUNCTION("""COMPUTED_VALUE"""),"14 (10m3)")</f>
        <v>14 (10m3)</v>
      </c>
      <c r="H1327" s="5" t="str">
        <f>IFERROR(__xludf.DUMMYFUNCTION("""COMPUTED_VALUE"""),"90 HP ~")</f>
        <v>90 HP ~</v>
      </c>
      <c r="I1327" s="5" t="str">
        <f>IFERROR(__xludf.DUMMYFUNCTION("""COMPUTED_VALUE"""),"RMFNUU109ASC001753")</f>
        <v>RMFNUU109ASC001753</v>
      </c>
      <c r="J1327" s="5"/>
      <c r="K1327" s="5"/>
      <c r="L1327" s="5" t="str">
        <f>IFERROR(__xludf.DUMMYFUNCTION("""COMPUTED_VALUE"""),"KLH")</f>
        <v>KLH</v>
      </c>
    </row>
    <row r="1328">
      <c r="A1328" s="5" t="str">
        <f>IFERROR(__xludf.DUMMYFUNCTION("""COMPUTED_VALUE"""),"XB1-DNL-001")</f>
        <v>XB1-DNL-001</v>
      </c>
      <c r="B1328" s="3" t="str">
        <f>IFERROR(__xludf.DUMMYFUNCTION("""COMPUTED_VALUE"""),"Thiết bị nén lá chuối khô")</f>
        <v>Thiết bị nén lá chuối khô</v>
      </c>
      <c r="C1328" s="5" t="str">
        <f>IFERROR(__xludf.DUMMYFUNCTION("""COMPUTED_VALUE"""),"XN Bò AD")</f>
        <v>XN Bò AD</v>
      </c>
      <c r="D1328" s="5" t="str">
        <f>IFERROR(__xludf.DUMMYFUNCTION("""COMPUTED_VALUE"""),"THACO AGRI")</f>
        <v>THACO AGRI</v>
      </c>
      <c r="E1328" s="5"/>
      <c r="F1328" s="5"/>
      <c r="G1328" s="5"/>
      <c r="H1328" s="5" t="str">
        <f>IFERROR(__xludf.DUMMYFUNCTION("""COMPUTED_VALUE"""),"3.8*2*3.6")</f>
        <v>3.8*2*3.6</v>
      </c>
      <c r="I1328" s="5"/>
      <c r="J1328" s="5"/>
      <c r="K1328" s="5"/>
      <c r="L1328" s="5" t="str">
        <f>IFERROR(__xludf.DUMMYFUNCTION("""COMPUTED_VALUE"""),"KLH")</f>
        <v>KLH</v>
      </c>
    </row>
    <row r="1329">
      <c r="A1329" s="5" t="str">
        <f>IFERROR(__xludf.DUMMYFUNCTION("""COMPUTED_VALUE"""),"XB1-TBT-001")</f>
        <v>XB1-TBT-001</v>
      </c>
      <c r="B1329" s="3" t="str">
        <f>IFERROR(__xludf.DUMMYFUNCTION("""COMPUTED_VALUE"""),"Thiết bị trồng bắp")</f>
        <v>Thiết bị trồng bắp</v>
      </c>
      <c r="C1329" s="5" t="str">
        <f>IFERROR(__xludf.DUMMYFUNCTION("""COMPUTED_VALUE"""),"XN Bò AD")</f>
        <v>XN Bò AD</v>
      </c>
      <c r="D1329" s="5" t="str">
        <f>IFERROR(__xludf.DUMMYFUNCTION("""COMPUTED_VALUE"""),"THACO AGRI")</f>
        <v>THACO AGRI</v>
      </c>
      <c r="E1329" s="5"/>
      <c r="F1329" s="5"/>
      <c r="G1329" s="5"/>
      <c r="H1329" s="5"/>
      <c r="I1329" s="5"/>
      <c r="J1329" s="5"/>
      <c r="K1329" s="5"/>
      <c r="L1329" s="5" t="str">
        <f>IFERROR(__xludf.DUMMYFUNCTION("""COMPUTED_VALUE"""),"KLH")</f>
        <v>KLH</v>
      </c>
    </row>
    <row r="1330">
      <c r="A1330" s="5" t="str">
        <f>IFERROR(__xludf.DUMMYFUNCTION("""COMPUTED_VALUE"""),"XB1-TBB-001")</f>
        <v>XB1-TBB-001</v>
      </c>
      <c r="B1330" s="3" t="str">
        <f>IFERROR(__xludf.DUMMYFUNCTION("""COMPUTED_VALUE"""),"Máy băm công nghiệp")</f>
        <v>Máy băm công nghiệp</v>
      </c>
      <c r="C1330" s="5" t="str">
        <f>IFERROR(__xludf.DUMMYFUNCTION("""COMPUTED_VALUE"""),"XN Bò AD")</f>
        <v>XN Bò AD</v>
      </c>
      <c r="D1330" s="5" t="str">
        <f>IFERROR(__xludf.DUMMYFUNCTION("""COMPUTED_VALUE"""),"THACO AGRI")</f>
        <v>THACO AGRI</v>
      </c>
      <c r="E1330" s="5"/>
      <c r="F1330" s="5"/>
      <c r="G1330" s="5"/>
      <c r="H1330" s="5" t="str">
        <f>IFERROR(__xludf.DUMMYFUNCTION("""COMPUTED_VALUE"""),"DxRxC: 2.5m*1.8m*3m")</f>
        <v>DxRxC: 2.5m*1.8m*3m</v>
      </c>
      <c r="I1330" s="5"/>
      <c r="J1330" s="5"/>
      <c r="K1330" s="5"/>
      <c r="L1330" s="5" t="str">
        <f>IFERROR(__xludf.DUMMYFUNCTION("""COMPUTED_VALUE"""),"KLH")</f>
        <v>KLH</v>
      </c>
    </row>
    <row r="1331">
      <c r="A1331" s="5" t="str">
        <f>IFERROR(__xludf.DUMMYFUNCTION("""COMPUTED_VALUE"""),"XB1-DPC-001")</f>
        <v>XB1-DPC-001</v>
      </c>
      <c r="B1331" s="3" t="str">
        <f>IFERROR(__xludf.DUMMYFUNCTION("""COMPUTED_VALUE"""),"Thiết bị phay cỏ 1.5m")</f>
        <v>Thiết bị phay cỏ 1.5m</v>
      </c>
      <c r="C1331" s="5" t="str">
        <f>IFERROR(__xludf.DUMMYFUNCTION("""COMPUTED_VALUE"""),"XN Bò AD")</f>
        <v>XN Bò AD</v>
      </c>
      <c r="D1331" s="5" t="str">
        <f>IFERROR(__xludf.DUMMYFUNCTION("""COMPUTED_VALUE"""),"THACO AGRI")</f>
        <v>THACO AGRI</v>
      </c>
      <c r="E1331" s="5" t="str">
        <f>IFERROR(__xludf.DUMMYFUNCTION("""COMPUTED_VALUE"""),"1.5m")</f>
        <v>1.5m</v>
      </c>
      <c r="F1331" s="5"/>
      <c r="G1331" s="5"/>
      <c r="H1331" s="5" t="str">
        <f>IFERROR(__xludf.DUMMYFUNCTION("""COMPUTED_VALUE"""),"1.5*1.5m")</f>
        <v>1.5*1.5m</v>
      </c>
      <c r="I1331" s="5"/>
      <c r="J1331" s="5"/>
      <c r="K1331" s="5">
        <f>IFERROR(__xludf.DUMMYFUNCTION("""COMPUTED_VALUE"""),6.14)</f>
        <v>6.14</v>
      </c>
      <c r="L1331" s="5" t="str">
        <f>IFERROR(__xludf.DUMMYFUNCTION("""COMPUTED_VALUE"""),"KLH")</f>
        <v>KLH</v>
      </c>
    </row>
    <row r="1332">
      <c r="A1332" s="5" t="str">
        <f>IFERROR(__xludf.DUMMYFUNCTION("""COMPUTED_VALUE"""),"XB1-DPC-002")</f>
        <v>XB1-DPC-002</v>
      </c>
      <c r="B1332" s="3" t="str">
        <f>IFERROR(__xludf.DUMMYFUNCTION("""COMPUTED_VALUE"""),"Thiết bị phay cỏ (2 luống)")</f>
        <v>Thiết bị phay cỏ (2 luống)</v>
      </c>
      <c r="C1332" s="5" t="str">
        <f>IFERROR(__xludf.DUMMYFUNCTION("""COMPUTED_VALUE"""),"XN Bò AD")</f>
        <v>XN Bò AD</v>
      </c>
      <c r="D1332" s="5" t="str">
        <f>IFERROR(__xludf.DUMMYFUNCTION("""COMPUTED_VALUE"""),"THACO AGRI")</f>
        <v>THACO AGRI</v>
      </c>
      <c r="E1332" s="5" t="str">
        <f>IFERROR(__xludf.DUMMYFUNCTION("""COMPUTED_VALUE"""),"2 luống")</f>
        <v>2 luống</v>
      </c>
      <c r="F1332" s="5"/>
      <c r="G1332" s="5" t="str">
        <f>IFERROR(__xludf.DUMMYFUNCTION("""COMPUTED_VALUE"""),"2024")</f>
        <v>2024</v>
      </c>
      <c r="H1332" s="5" t="str">
        <f>IFERROR(__xludf.DUMMYFUNCTION("""COMPUTED_VALUE"""),"2100x800x1100(mm)")</f>
        <v>2100x800x1100(mm)</v>
      </c>
      <c r="I1332" s="5" t="str">
        <f>IFERROR(__xludf.DUMMYFUNCTION("""COMPUTED_VALUE"""),"Bề rộng luống phay 500mm")</f>
        <v>Bề rộng luống phay 500mm</v>
      </c>
      <c r="J1332" s="5"/>
      <c r="K1332" s="5">
        <f>IFERROR(__xludf.DUMMYFUNCTION("""COMPUTED_VALUE"""),6.14)</f>
        <v>6.14</v>
      </c>
      <c r="L1332" s="5" t="str">
        <f>IFERROR(__xludf.DUMMYFUNCTION("""COMPUTED_VALUE"""),"KLH")</f>
        <v>KLH</v>
      </c>
    </row>
    <row r="1333">
      <c r="A1333" s="5" t="str">
        <f>IFERROR(__xludf.DUMMYFUNCTION("""COMPUTED_VALUE"""),"XB1-DPC-003")</f>
        <v>XB1-DPC-003</v>
      </c>
      <c r="B1333" s="3" t="str">
        <f>IFERROR(__xludf.DUMMYFUNCTION("""COMPUTED_VALUE"""),"Thiết bị phay cỏ 1.5m")</f>
        <v>Thiết bị phay cỏ 1.5m</v>
      </c>
      <c r="C1333" s="5" t="str">
        <f>IFERROR(__xludf.DUMMYFUNCTION("""COMPUTED_VALUE"""),"XN Bò AD")</f>
        <v>XN Bò AD</v>
      </c>
      <c r="D1333" s="5" t="str">
        <f>IFERROR(__xludf.DUMMYFUNCTION("""COMPUTED_VALUE"""),"THACO AGRI")</f>
        <v>THACO AGRI</v>
      </c>
      <c r="E1333" s="5" t="str">
        <f>IFERROR(__xludf.DUMMYFUNCTION("""COMPUTED_VALUE"""),"CK-MPC-04")</f>
        <v>CK-MPC-04</v>
      </c>
      <c r="F1333" s="5"/>
      <c r="G1333" s="5" t="str">
        <f>IFERROR(__xludf.DUMMYFUNCTION("""COMPUTED_VALUE"""),"2024")</f>
        <v>2024</v>
      </c>
      <c r="H1333" s="5" t="str">
        <f>IFERROR(__xludf.DUMMYFUNCTION("""COMPUTED_VALUE"""),"1.4x1.4x1")</f>
        <v>1.4x1.4x1</v>
      </c>
      <c r="I1333" s="5"/>
      <c r="J1333" s="5"/>
      <c r="K1333" s="5">
        <f>IFERROR(__xludf.DUMMYFUNCTION("""COMPUTED_VALUE"""),6.14)</f>
        <v>6.14</v>
      </c>
      <c r="L1333" s="5" t="str">
        <f>IFERROR(__xludf.DUMMYFUNCTION("""COMPUTED_VALUE"""),"KLH")</f>
        <v>KLH</v>
      </c>
    </row>
    <row r="1334">
      <c r="A1334" s="5" t="str">
        <f>IFERROR(__xludf.DUMMYFUNCTION("""COMPUTED_VALUE"""),"XB1-DPC-004")</f>
        <v>XB1-DPC-004</v>
      </c>
      <c r="B1334" s="3" t="str">
        <f>IFERROR(__xludf.DUMMYFUNCTION("""COMPUTED_VALUE"""),"Thiết bị phay cỏ 1.5m")</f>
        <v>Thiết bị phay cỏ 1.5m</v>
      </c>
      <c r="C1334" s="5" t="str">
        <f>IFERROR(__xludf.DUMMYFUNCTION("""COMPUTED_VALUE"""),"XN Bò AD")</f>
        <v>XN Bò AD</v>
      </c>
      <c r="D1334" s="5" t="str">
        <f>IFERROR(__xludf.DUMMYFUNCTION("""COMPUTED_VALUE"""),"THACO AGRI")</f>
        <v>THACO AGRI</v>
      </c>
      <c r="E1334" s="5" t="str">
        <f>IFERROR(__xludf.DUMMYFUNCTION("""COMPUTED_VALUE"""),"CK-MPC-05")</f>
        <v>CK-MPC-05</v>
      </c>
      <c r="F1334" s="5"/>
      <c r="G1334" s="5" t="str">
        <f>IFERROR(__xludf.DUMMYFUNCTION("""COMPUTED_VALUE"""),"2025")</f>
        <v>2025</v>
      </c>
      <c r="H1334" s="5" t="str">
        <f>IFERROR(__xludf.DUMMYFUNCTION("""COMPUTED_VALUE"""),"1.4x1.4x1")</f>
        <v>1.4x1.4x1</v>
      </c>
      <c r="I1334" s="5"/>
      <c r="J1334" s="5"/>
      <c r="K1334" s="5">
        <f>IFERROR(__xludf.DUMMYFUNCTION("""COMPUTED_VALUE"""),6.14)</f>
        <v>6.14</v>
      </c>
      <c r="L1334" s="5" t="str">
        <f>IFERROR(__xludf.DUMMYFUNCTION("""COMPUTED_VALUE"""),"KLH")</f>
        <v>KLH</v>
      </c>
    </row>
    <row r="1335">
      <c r="A1335" s="5" t="str">
        <f>IFERROR(__xludf.DUMMYFUNCTION("""COMPUTED_VALUE"""),"XB1-DPC-005")</f>
        <v>XB1-DPC-005</v>
      </c>
      <c r="B1335" s="3" t="str">
        <f>IFERROR(__xludf.DUMMYFUNCTION("""COMPUTED_VALUE"""),"Thiết bị phay cỏ 1.5m")</f>
        <v>Thiết bị phay cỏ 1.5m</v>
      </c>
      <c r="C1335" s="5" t="str">
        <f>IFERROR(__xludf.DUMMYFUNCTION("""COMPUTED_VALUE"""),"XN Bò AD")</f>
        <v>XN Bò AD</v>
      </c>
      <c r="D1335" s="5" t="str">
        <f>IFERROR(__xludf.DUMMYFUNCTION("""COMPUTED_VALUE"""),"THACO AGRI")</f>
        <v>THACO AGRI</v>
      </c>
      <c r="E1335" s="5" t="str">
        <f>IFERROR(__xludf.DUMMYFUNCTION("""COMPUTED_VALUE"""),"CK-MPC-06")</f>
        <v>CK-MPC-06</v>
      </c>
      <c r="F1335" s="5"/>
      <c r="G1335" s="5" t="str">
        <f>IFERROR(__xludf.DUMMYFUNCTION("""COMPUTED_VALUE"""),"2025")</f>
        <v>2025</v>
      </c>
      <c r="H1335" s="5" t="str">
        <f>IFERROR(__xludf.DUMMYFUNCTION("""COMPUTED_VALUE"""),"1.4x1.4x1")</f>
        <v>1.4x1.4x1</v>
      </c>
      <c r="I1335" s="5"/>
      <c r="J1335" s="5"/>
      <c r="K1335" s="5">
        <f>IFERROR(__xludf.DUMMYFUNCTION("""COMPUTED_VALUE"""),6.14)</f>
        <v>6.14</v>
      </c>
      <c r="L1335" s="5" t="str">
        <f>IFERROR(__xludf.DUMMYFUNCTION("""COMPUTED_VALUE"""),"KLH")</f>
        <v>KLH</v>
      </c>
    </row>
    <row r="1336">
      <c r="A1336" s="5" t="str">
        <f>IFERROR(__xludf.DUMMYFUNCTION("""COMPUTED_VALUE"""),"XB1-DPC-006")</f>
        <v>XB1-DPC-006</v>
      </c>
      <c r="B1336" s="3" t="str">
        <f>IFERROR(__xludf.DUMMYFUNCTION("""COMPUTED_VALUE"""),"Thiết bị phay cỏ 1.5m")</f>
        <v>Thiết bị phay cỏ 1.5m</v>
      </c>
      <c r="C1336" s="5" t="str">
        <f>IFERROR(__xludf.DUMMYFUNCTION("""COMPUTED_VALUE"""),"XN Bò AD")</f>
        <v>XN Bò AD</v>
      </c>
      <c r="D1336" s="5" t="str">
        <f>IFERROR(__xludf.DUMMYFUNCTION("""COMPUTED_VALUE"""),"THACO AGRI")</f>
        <v>THACO AGRI</v>
      </c>
      <c r="E1336" s="5" t="str">
        <f>IFERROR(__xludf.DUMMYFUNCTION("""COMPUTED_VALUE"""),"CK-MPC-07")</f>
        <v>CK-MPC-07</v>
      </c>
      <c r="F1336" s="5"/>
      <c r="G1336" s="5" t="str">
        <f>IFERROR(__xludf.DUMMYFUNCTION("""COMPUTED_VALUE"""),"2025")</f>
        <v>2025</v>
      </c>
      <c r="H1336" s="5" t="str">
        <f>IFERROR(__xludf.DUMMYFUNCTION("""COMPUTED_VALUE"""),"1.4x1.4x1")</f>
        <v>1.4x1.4x1</v>
      </c>
      <c r="I1336" s="5"/>
      <c r="J1336" s="5"/>
      <c r="K1336" s="5">
        <f>IFERROR(__xludf.DUMMYFUNCTION("""COMPUTED_VALUE"""),6.14)</f>
        <v>6.14</v>
      </c>
      <c r="L1336" s="5" t="str">
        <f>IFERROR(__xludf.DUMMYFUNCTION("""COMPUTED_VALUE"""),"KLH")</f>
        <v>KLH</v>
      </c>
    </row>
    <row r="1337">
      <c r="A1337" s="5" t="str">
        <f>IFERROR(__xludf.DUMMYFUNCTION("""COMPUTED_VALUE"""),"XB1-DPC-007")</f>
        <v>XB1-DPC-007</v>
      </c>
      <c r="B1337" s="3" t="str">
        <f>IFERROR(__xludf.DUMMYFUNCTION("""COMPUTED_VALUE"""),"Thiết bị phay cỏ 1.5m")</f>
        <v>Thiết bị phay cỏ 1.5m</v>
      </c>
      <c r="C1337" s="5" t="str">
        <f>IFERROR(__xludf.DUMMYFUNCTION("""COMPUTED_VALUE"""),"XN Bò AD")</f>
        <v>XN Bò AD</v>
      </c>
      <c r="D1337" s="5" t="str">
        <f>IFERROR(__xludf.DUMMYFUNCTION("""COMPUTED_VALUE"""),"THACO AGRI")</f>
        <v>THACO AGRI</v>
      </c>
      <c r="E1337" s="5" t="str">
        <f>IFERROR(__xludf.DUMMYFUNCTION("""COMPUTED_VALUE"""),"CK-MPC-08")</f>
        <v>CK-MPC-08</v>
      </c>
      <c r="F1337" s="5"/>
      <c r="G1337" s="5" t="str">
        <f>IFERROR(__xludf.DUMMYFUNCTION("""COMPUTED_VALUE"""),"2025")</f>
        <v>2025</v>
      </c>
      <c r="H1337" s="5" t="str">
        <f>IFERROR(__xludf.DUMMYFUNCTION("""COMPUTED_VALUE"""),"1.4x1.4x1")</f>
        <v>1.4x1.4x1</v>
      </c>
      <c r="I1337" s="5"/>
      <c r="J1337" s="5"/>
      <c r="K1337" s="5">
        <f>IFERROR(__xludf.DUMMYFUNCTION("""COMPUTED_VALUE"""),6.14)</f>
        <v>6.14</v>
      </c>
      <c r="L1337" s="5" t="str">
        <f>IFERROR(__xludf.DUMMYFUNCTION("""COMPUTED_VALUE"""),"KLH")</f>
        <v>KLH</v>
      </c>
    </row>
    <row r="1338">
      <c r="A1338" s="5" t="str">
        <f>IFERROR(__xludf.DUMMYFUNCTION("""COMPUTED_VALUE"""),"XB1-DPC-008")</f>
        <v>XB1-DPC-008</v>
      </c>
      <c r="B1338" s="3" t="str">
        <f>IFERROR(__xludf.DUMMYFUNCTION("""COMPUTED_VALUE"""),"Thiết bị phay cỏ 1.5m")</f>
        <v>Thiết bị phay cỏ 1.5m</v>
      </c>
      <c r="C1338" s="5" t="str">
        <f>IFERROR(__xludf.DUMMYFUNCTION("""COMPUTED_VALUE"""),"XN Bò AD")</f>
        <v>XN Bò AD</v>
      </c>
      <c r="D1338" s="5" t="str">
        <f>IFERROR(__xludf.DUMMYFUNCTION("""COMPUTED_VALUE"""),"THACO AGRI")</f>
        <v>THACO AGRI</v>
      </c>
      <c r="E1338" s="5" t="str">
        <f>IFERROR(__xludf.DUMMYFUNCTION("""COMPUTED_VALUE"""),"CK-MPC-09")</f>
        <v>CK-MPC-09</v>
      </c>
      <c r="F1338" s="5"/>
      <c r="G1338" s="5" t="str">
        <f>IFERROR(__xludf.DUMMYFUNCTION("""COMPUTED_VALUE"""),"2025")</f>
        <v>2025</v>
      </c>
      <c r="H1338" s="5" t="str">
        <f>IFERROR(__xludf.DUMMYFUNCTION("""COMPUTED_VALUE"""),"1.4x1.4x1")</f>
        <v>1.4x1.4x1</v>
      </c>
      <c r="I1338" s="5"/>
      <c r="J1338" s="5"/>
      <c r="K1338" s="5">
        <f>IFERROR(__xludf.DUMMYFUNCTION("""COMPUTED_VALUE"""),6.14)</f>
        <v>6.14</v>
      </c>
      <c r="L1338" s="5" t="str">
        <f>IFERROR(__xludf.DUMMYFUNCTION("""COMPUTED_VALUE"""),"KLH")</f>
        <v>KLH</v>
      </c>
    </row>
    <row r="1339">
      <c r="A1339" s="5" t="str">
        <f>IFERROR(__xludf.DUMMYFUNCTION("""COMPUTED_VALUE"""),"XB1-DPC-009")</f>
        <v>XB1-DPC-009</v>
      </c>
      <c r="B1339" s="3" t="str">
        <f>IFERROR(__xludf.DUMMYFUNCTION("""COMPUTED_VALUE"""),"Thiết bị phay cỏ 1.5m")</f>
        <v>Thiết bị phay cỏ 1.5m</v>
      </c>
      <c r="C1339" s="5" t="str">
        <f>IFERROR(__xludf.DUMMYFUNCTION("""COMPUTED_VALUE"""),"XN Bò AD")</f>
        <v>XN Bò AD</v>
      </c>
      <c r="D1339" s="5"/>
      <c r="E1339" s="5"/>
      <c r="F1339" s="5"/>
      <c r="G1339" s="5"/>
      <c r="H1339" s="5"/>
      <c r="I1339" s="5"/>
      <c r="J1339" s="5"/>
      <c r="K1339" s="5">
        <f>IFERROR(__xludf.DUMMYFUNCTION("""COMPUTED_VALUE"""),6.14)</f>
        <v>6.14</v>
      </c>
      <c r="L1339" s="5" t="str">
        <f>IFERROR(__xludf.DUMMYFUNCTION("""COMPUTED_VALUE"""),"KLH")</f>
        <v>KLH</v>
      </c>
    </row>
    <row r="1340">
      <c r="A1340" s="5" t="str">
        <f>IFERROR(__xludf.DUMMYFUNCTION("""COMPUTED_VALUE"""),"XB1-DPC-010")</f>
        <v>XB1-DPC-010</v>
      </c>
      <c r="B1340" s="3" t="str">
        <f>IFERROR(__xludf.DUMMYFUNCTION("""COMPUTED_VALUE"""),"Thiết bị phay cỏ 1.5m")</f>
        <v>Thiết bị phay cỏ 1.5m</v>
      </c>
      <c r="C1340" s="5" t="str">
        <f>IFERROR(__xludf.DUMMYFUNCTION("""COMPUTED_VALUE"""),"XN Bò AD")</f>
        <v>XN Bò AD</v>
      </c>
      <c r="D1340" s="5"/>
      <c r="E1340" s="5"/>
      <c r="F1340" s="5"/>
      <c r="G1340" s="5"/>
      <c r="H1340" s="5"/>
      <c r="I1340" s="5"/>
      <c r="J1340" s="5"/>
      <c r="K1340" s="5">
        <f>IFERROR(__xludf.DUMMYFUNCTION("""COMPUTED_VALUE"""),6.14)</f>
        <v>6.14</v>
      </c>
      <c r="L1340" s="5" t="str">
        <f>IFERROR(__xludf.DUMMYFUNCTION("""COMPUTED_VALUE"""),"KLH")</f>
        <v>KLH</v>
      </c>
    </row>
    <row r="1341">
      <c r="A1341" s="5" t="str">
        <f>IFERROR(__xludf.DUMMYFUNCTION("""COMPUTED_VALUE"""),"XB1-KGX-001")</f>
        <v>XB1-KGX-001</v>
      </c>
      <c r="B1341" s="3" t="str">
        <f>IFERROR(__xludf.DUMMYFUNCTION("""COMPUTED_VALUE"""),"Kẹp gỗ xoay 360 độ")</f>
        <v>Kẹp gỗ xoay 360 độ</v>
      </c>
      <c r="C1341" s="5" t="str">
        <f>IFERROR(__xludf.DUMMYFUNCTION("""COMPUTED_VALUE"""),"XN Bò AD")</f>
        <v>XN Bò AD</v>
      </c>
      <c r="D1341" s="5" t="str">
        <f>IFERROR(__xludf.DUMMYFUNCTION("""COMPUTED_VALUE"""),"HÀN QUỐC")</f>
        <v>HÀN QUỐC</v>
      </c>
      <c r="E1341" s="5" t="str">
        <f>IFERROR(__xludf.DUMMYFUNCTION("""COMPUTED_VALUE"""),"HYUNG JE")</f>
        <v>HYUNG JE</v>
      </c>
      <c r="F1341" s="5"/>
      <c r="G1341" s="5"/>
      <c r="H1341" s="5" t="str">
        <f>IFERROR(__xludf.DUMMYFUNCTION("""COMPUTED_VALUE"""),"Có đường kim")</f>
        <v>Có đường kim</v>
      </c>
      <c r="I1341" s="5"/>
      <c r="J1341" s="5"/>
      <c r="K1341" s="5"/>
      <c r="L1341" s="5" t="str">
        <f>IFERROR(__xludf.DUMMYFUNCTION("""COMPUTED_VALUE"""),"KLH")</f>
        <v>KLH</v>
      </c>
    </row>
    <row r="1342">
      <c r="A1342" s="5" t="str">
        <f>IFERROR(__xludf.DUMMYFUNCTION("""COMPUTED_VALUE"""),"XB1-MCL-001")</f>
        <v>XB1-MCL-001</v>
      </c>
      <c r="B1342" s="3" t="str">
        <f>IFERROR(__xludf.DUMMYFUNCTION("""COMPUTED_VALUE"""),"Rơ mooc clethon")</f>
        <v>Rơ mooc clethon</v>
      </c>
      <c r="C1342" s="5" t="str">
        <f>IFERROR(__xludf.DUMMYFUNCTION("""COMPUTED_VALUE"""),"XN Bò AD")</f>
        <v>XN Bò AD</v>
      </c>
      <c r="D1342" s="5" t="str">
        <f>IFERROR(__xludf.DUMMYFUNCTION("""COMPUTED_VALUE"""),"THACO AGRI")</f>
        <v>THACO AGRI</v>
      </c>
      <c r="E1342" s="5" t="str">
        <f>IFERROR(__xludf.DUMMYFUNCTION("""COMPUTED_VALUE"""),"CLT")</f>
        <v>CLT</v>
      </c>
      <c r="F1342" s="5"/>
      <c r="G1342" s="5" t="str">
        <f>IFERROR(__xludf.DUMMYFUNCTION("""COMPUTED_VALUE"""),"2024")</f>
        <v>2024</v>
      </c>
      <c r="H1342" s="5" t="str">
        <f>IFERROR(__xludf.DUMMYFUNCTION("""COMPUTED_VALUE"""),"5,5x1,9x2,21m")</f>
        <v>5,5x1,9x2,21m</v>
      </c>
      <c r="I1342" s="5"/>
      <c r="J1342" s="5"/>
      <c r="K1342" s="5"/>
      <c r="L1342" s="5" t="str">
        <f>IFERROR(__xludf.DUMMYFUNCTION("""COMPUTED_VALUE"""),"KLH")</f>
        <v>KLH</v>
      </c>
    </row>
    <row r="1343">
      <c r="A1343" s="5" t="str">
        <f>IFERROR(__xludf.DUMMYFUNCTION("""COMPUTED_VALUE"""),"XB1-MCL-002")</f>
        <v>XB1-MCL-002</v>
      </c>
      <c r="B1343" s="3" t="str">
        <f>IFERROR(__xludf.DUMMYFUNCTION("""COMPUTED_VALUE"""),"Rơ mooc clethon")</f>
        <v>Rơ mooc clethon</v>
      </c>
      <c r="C1343" s="5" t="str">
        <f>IFERROR(__xludf.DUMMYFUNCTION("""COMPUTED_VALUE"""),"XN Bò AD")</f>
        <v>XN Bò AD</v>
      </c>
      <c r="D1343" s="5" t="str">
        <f>IFERROR(__xludf.DUMMYFUNCTION("""COMPUTED_VALUE"""),"THACO AGRI")</f>
        <v>THACO AGRI</v>
      </c>
      <c r="E1343" s="5" t="str">
        <f>IFERROR(__xludf.DUMMYFUNCTION("""COMPUTED_VALUE"""),"CLT")</f>
        <v>CLT</v>
      </c>
      <c r="F1343" s="5"/>
      <c r="G1343" s="5" t="str">
        <f>IFERROR(__xludf.DUMMYFUNCTION("""COMPUTED_VALUE"""),"2024")</f>
        <v>2024</v>
      </c>
      <c r="H1343" s="5" t="str">
        <f>IFERROR(__xludf.DUMMYFUNCTION("""COMPUTED_VALUE"""),"5,5x1,9x2,21m")</f>
        <v>5,5x1,9x2,21m</v>
      </c>
      <c r="I1343" s="5"/>
      <c r="J1343" s="5"/>
      <c r="K1343" s="5"/>
      <c r="L1343" s="5" t="str">
        <f>IFERROR(__xludf.DUMMYFUNCTION("""COMPUTED_VALUE"""),"KLH")</f>
        <v>KLH</v>
      </c>
    </row>
    <row r="1344">
      <c r="A1344" s="5" t="str">
        <f>IFERROR(__xludf.DUMMYFUNCTION("""COMPUTED_VALUE"""),"XB1-DXC-001")</f>
        <v>XB1-DXC-001</v>
      </c>
      <c r="B1344" s="3" t="str">
        <f>IFERROR(__xludf.DUMMYFUNCTION("""COMPUTED_VALUE"""),"Thiết bị xới cỏ")</f>
        <v>Thiết bị xới cỏ</v>
      </c>
      <c r="C1344" s="5" t="str">
        <f>IFERROR(__xludf.DUMMYFUNCTION("""COMPUTED_VALUE"""),"XN Bò AD")</f>
        <v>XN Bò AD</v>
      </c>
      <c r="D1344" s="5" t="str">
        <f>IFERROR(__xludf.DUMMYFUNCTION("""COMPUTED_VALUE"""),"THACO AGRI")</f>
        <v>THACO AGRI</v>
      </c>
      <c r="E1344" s="5" t="str">
        <f>IFERROR(__xludf.DUMMYFUNCTION("""COMPUTED_VALUE"""),"CK-DXC-01")</f>
        <v>CK-DXC-01</v>
      </c>
      <c r="F1344" s="5"/>
      <c r="G1344" s="5" t="str">
        <f>IFERROR(__xludf.DUMMYFUNCTION("""COMPUTED_VALUE"""),"2024")</f>
        <v>2024</v>
      </c>
      <c r="H1344" s="5" t="str">
        <f>IFERROR(__xludf.DUMMYFUNCTION("""COMPUTED_VALUE"""),"3x3x1,4m")</f>
        <v>3x3x1,4m</v>
      </c>
      <c r="I1344" s="5"/>
      <c r="J1344" s="5"/>
      <c r="K1344" s="5"/>
      <c r="L1344" s="5" t="str">
        <f>IFERROR(__xludf.DUMMYFUNCTION("""COMPUTED_VALUE"""),"KLH")</f>
        <v>KLH</v>
      </c>
    </row>
    <row r="1345">
      <c r="A1345" s="5" t="str">
        <f>IFERROR(__xludf.DUMMYFUNCTION("""COMPUTED_VALUE"""),"XB1-DCC-001")</f>
        <v>XB1-DCC-001</v>
      </c>
      <c r="B1345" s="3" t="str">
        <f>IFERROR(__xludf.DUMMYFUNCTION("""COMPUTED_VALUE"""),"Thiết bị cắt cỏ - Mower")</f>
        <v>Thiết bị cắt cỏ - Mower</v>
      </c>
      <c r="C1345" s="5" t="str">
        <f>IFERROR(__xludf.DUMMYFUNCTION("""COMPUTED_VALUE"""),"XN Bò AD")</f>
        <v>XN Bò AD</v>
      </c>
      <c r="D1345" s="5" t="str">
        <f>IFERROR(__xludf.DUMMYFUNCTION("""COMPUTED_VALUE"""),"TRUNG QUỐC")</f>
        <v>TRUNG QUỐC</v>
      </c>
      <c r="E1345" s="5" t="str">
        <f>IFERROR(__xludf.DUMMYFUNCTION("""COMPUTED_VALUE"""),"Mower")</f>
        <v>Mower</v>
      </c>
      <c r="F1345" s="5"/>
      <c r="G1345" s="5" t="str">
        <f>IFERROR(__xludf.DUMMYFUNCTION("""COMPUTED_VALUE"""),"2024")</f>
        <v>2024</v>
      </c>
      <c r="H1345" s="5" t="str">
        <f>IFERROR(__xludf.DUMMYFUNCTION("""COMPUTED_VALUE"""),"Bề rộng cắt cỏ 185-3210cm
Chiều rộng tạo hàng cỏ sau khi cắt 80-90cm
Công suất 60-90HP")</f>
        <v>Bề rộng cắt cỏ 185-3210cm
Chiều rộng tạo hàng cỏ sau khi cắt 80-90cm
Công suất 60-90HP</v>
      </c>
      <c r="I1345" s="5"/>
      <c r="J1345" s="5"/>
      <c r="K1345" s="5"/>
      <c r="L1345" s="5" t="str">
        <f>IFERROR(__xludf.DUMMYFUNCTION("""COMPUTED_VALUE"""),"KLH")</f>
        <v>KLH</v>
      </c>
    </row>
    <row r="1346">
      <c r="A1346" s="5" t="str">
        <f>IFERROR(__xludf.DUMMYFUNCTION("""COMPUTED_VALUE"""),"XB1-DCC-002")</f>
        <v>XB1-DCC-002</v>
      </c>
      <c r="B1346" s="3" t="str">
        <f>IFERROR(__xludf.DUMMYFUNCTION("""COMPUTED_VALUE"""),"Thiết bị cắt cỏ - Mower")</f>
        <v>Thiết bị cắt cỏ - Mower</v>
      </c>
      <c r="C1346" s="5" t="str">
        <f>IFERROR(__xludf.DUMMYFUNCTION("""COMPUTED_VALUE"""),"XN Bò AD")</f>
        <v>XN Bò AD</v>
      </c>
      <c r="D1346" s="5" t="str">
        <f>IFERROR(__xludf.DUMMYFUNCTION("""COMPUTED_VALUE"""),"TRUNG QUỐC")</f>
        <v>TRUNG QUỐC</v>
      </c>
      <c r="E1346" s="5" t="str">
        <f>IFERROR(__xludf.DUMMYFUNCTION("""COMPUTED_VALUE"""),"Mower")</f>
        <v>Mower</v>
      </c>
      <c r="F1346" s="5"/>
      <c r="G1346" s="5" t="str">
        <f>IFERROR(__xludf.DUMMYFUNCTION("""COMPUTED_VALUE"""),"2024")</f>
        <v>2024</v>
      </c>
      <c r="H1346" s="5" t="str">
        <f>IFERROR(__xludf.DUMMYFUNCTION("""COMPUTED_VALUE"""),"Bề rộng cắt cỏ 185-3210cm
Chiều rộng tạo hàng cỏ sau khi cắt 80-90cm
Công suất 60-90HP")</f>
        <v>Bề rộng cắt cỏ 185-3210cm
Chiều rộng tạo hàng cỏ sau khi cắt 80-90cm
Công suất 60-90HP</v>
      </c>
      <c r="I1346" s="5"/>
      <c r="J1346" s="5"/>
      <c r="K1346" s="5"/>
      <c r="L1346" s="5" t="str">
        <f>IFERROR(__xludf.DUMMYFUNCTION("""COMPUTED_VALUE"""),"KLH")</f>
        <v>KLH</v>
      </c>
    </row>
    <row r="1347">
      <c r="A1347" s="5" t="str">
        <f>IFERROR(__xludf.DUMMYFUNCTION("""COMPUTED_VALUE"""),"XB1-TBN-001")</f>
        <v>XB1-TBN-001</v>
      </c>
      <c r="B1347" s="3" t="str">
        <f>IFERROR(__xludf.DUMMYFUNCTION("""COMPUTED_VALUE"""),"Thiết bị nghiền dăm gỗ")</f>
        <v>Thiết bị nghiền dăm gỗ</v>
      </c>
      <c r="C1347" s="5" t="str">
        <f>IFERROR(__xludf.DUMMYFUNCTION("""COMPUTED_VALUE"""),"XN Bò AD")</f>
        <v>XN Bò AD</v>
      </c>
      <c r="D1347" s="5" t="str">
        <f>IFERROR(__xludf.DUMMYFUNCTION("""COMPUTED_VALUE"""),"THACO AGRI")</f>
        <v>THACO AGRI</v>
      </c>
      <c r="E1347" s="5"/>
      <c r="F1347" s="5"/>
      <c r="G1347" s="5" t="str">
        <f>IFERROR(__xludf.DUMMYFUNCTION("""COMPUTED_VALUE"""),"2024")</f>
        <v>2024</v>
      </c>
      <c r="H1347" s="5"/>
      <c r="I1347" s="5"/>
      <c r="J1347" s="5"/>
      <c r="K1347" s="5"/>
      <c r="L1347" s="5" t="str">
        <f>IFERROR(__xludf.DUMMYFUNCTION("""COMPUTED_VALUE"""),"KLH")</f>
        <v>KLH</v>
      </c>
    </row>
    <row r="1348">
      <c r="A1348" s="5" t="str">
        <f>IFERROR(__xludf.DUMMYFUNCTION("""COMPUTED_VALUE"""),"XB1-CĐQ-001")</f>
        <v>XB1-CĐQ-001</v>
      </c>
      <c r="B1348" s="3" t="str">
        <f>IFERROR(__xludf.DUMMYFUNCTION("""COMPUTED_VALUE"""),"Thiết bị cắt cỏ đĩa quay")</f>
        <v>Thiết bị cắt cỏ đĩa quay</v>
      </c>
      <c r="C1348" s="5" t="str">
        <f>IFERROR(__xludf.DUMMYFUNCTION("""COMPUTED_VALUE"""),"XN Bò AD")</f>
        <v>XN Bò AD</v>
      </c>
      <c r="D1348" s="5" t="str">
        <f>IFERROR(__xludf.DUMMYFUNCTION("""COMPUTED_VALUE"""),"THACO AGRI")</f>
        <v>THACO AGRI</v>
      </c>
      <c r="E1348" s="5" t="str">
        <f>IFERROR(__xludf.DUMMYFUNCTION("""COMPUTED_VALUE"""),"Đĩa quay")</f>
        <v>Đĩa quay</v>
      </c>
      <c r="F1348" s="5"/>
      <c r="G1348" s="5" t="str">
        <f>IFERROR(__xludf.DUMMYFUNCTION("""COMPUTED_VALUE"""),"2024")</f>
        <v>2024</v>
      </c>
      <c r="H1348" s="5" t="str">
        <f>IFERROR(__xludf.DUMMYFUNCTION("""COMPUTED_VALUE"""),"2x2.3x1.4")</f>
        <v>2x2.3x1.4</v>
      </c>
      <c r="I1348" s="5"/>
      <c r="J1348" s="5"/>
      <c r="K1348" s="5"/>
      <c r="L1348" s="5" t="str">
        <f>IFERROR(__xludf.DUMMYFUNCTION("""COMPUTED_VALUE"""),"KLH")</f>
        <v>KLH</v>
      </c>
    </row>
    <row r="1349">
      <c r="A1349" s="5" t="str">
        <f>IFERROR(__xludf.DUMMYFUNCTION("""COMPUTED_VALUE"""),"XB1-CĐQ-002")</f>
        <v>XB1-CĐQ-002</v>
      </c>
      <c r="B1349" s="3" t="str">
        <f>IFERROR(__xludf.DUMMYFUNCTION("""COMPUTED_VALUE"""),"Thiết bị cắt cỏ đĩa quay")</f>
        <v>Thiết bị cắt cỏ đĩa quay</v>
      </c>
      <c r="C1349" s="5" t="str">
        <f>IFERROR(__xludf.DUMMYFUNCTION("""COMPUTED_VALUE"""),"XN Bò AD")</f>
        <v>XN Bò AD</v>
      </c>
      <c r="D1349" s="5" t="str">
        <f>IFERROR(__xludf.DUMMYFUNCTION("""COMPUTED_VALUE"""),"THACO AGRI")</f>
        <v>THACO AGRI</v>
      </c>
      <c r="E1349" s="5" t="str">
        <f>IFERROR(__xludf.DUMMYFUNCTION("""COMPUTED_VALUE"""),"Đĩa quay")</f>
        <v>Đĩa quay</v>
      </c>
      <c r="F1349" s="5"/>
      <c r="G1349" s="5"/>
      <c r="H1349" s="5"/>
      <c r="I1349" s="5"/>
      <c r="J1349" s="5"/>
      <c r="K1349" s="5"/>
      <c r="L1349" s="5" t="str">
        <f>IFERROR(__xludf.DUMMYFUNCTION("""COMPUTED_VALUE"""),"KLH")</f>
        <v>KLH</v>
      </c>
    </row>
    <row r="1350">
      <c r="A1350" s="5" t="str">
        <f>IFERROR(__xludf.DUMMYFUNCTION("""COMPUTED_VALUE"""),"XB1-CĐQ-003")</f>
        <v>XB1-CĐQ-003</v>
      </c>
      <c r="B1350" s="3" t="str">
        <f>IFERROR(__xludf.DUMMYFUNCTION("""COMPUTED_VALUE"""),"Thiết bị cắt cỏ đĩa quay")</f>
        <v>Thiết bị cắt cỏ đĩa quay</v>
      </c>
      <c r="C1350" s="5" t="str">
        <f>IFERROR(__xludf.DUMMYFUNCTION("""COMPUTED_VALUE"""),"XN Bò AD")</f>
        <v>XN Bò AD</v>
      </c>
      <c r="D1350" s="5" t="str">
        <f>IFERROR(__xludf.DUMMYFUNCTION("""COMPUTED_VALUE"""),"THACO AGRI")</f>
        <v>THACO AGRI</v>
      </c>
      <c r="E1350" s="5" t="str">
        <f>IFERROR(__xludf.DUMMYFUNCTION("""COMPUTED_VALUE"""),"CK-DCC-03")</f>
        <v>CK-DCC-03</v>
      </c>
      <c r="F1350" s="5"/>
      <c r="G1350" s="5" t="str">
        <f>IFERROR(__xludf.DUMMYFUNCTION("""COMPUTED_VALUE"""),"2024")</f>
        <v>2024</v>
      </c>
      <c r="H1350" s="5" t="str">
        <f>IFERROR(__xludf.DUMMYFUNCTION("""COMPUTED_VALUE"""),"2x2.3x1.4m")</f>
        <v>2x2.3x1.4m</v>
      </c>
      <c r="I1350" s="5"/>
      <c r="J1350" s="5"/>
      <c r="K1350" s="5"/>
      <c r="L1350" s="5" t="str">
        <f>IFERROR(__xludf.DUMMYFUNCTION("""COMPUTED_VALUE"""),"KLH")</f>
        <v>KLH</v>
      </c>
    </row>
    <row r="1351">
      <c r="A1351" s="5" t="str">
        <f>IFERROR(__xludf.DUMMYFUNCTION("""COMPUTED_VALUE"""),"XB1-CĐQ-004")</f>
        <v>XB1-CĐQ-004</v>
      </c>
      <c r="B1351" s="3" t="str">
        <f>IFERROR(__xludf.DUMMYFUNCTION("""COMPUTED_VALUE"""),"Thiết bị cắt cỏ đĩa quay")</f>
        <v>Thiết bị cắt cỏ đĩa quay</v>
      </c>
      <c r="C1351" s="5" t="str">
        <f>IFERROR(__xludf.DUMMYFUNCTION("""COMPUTED_VALUE"""),"XN Bò AD")</f>
        <v>XN Bò AD</v>
      </c>
      <c r="D1351" s="5" t="str">
        <f>IFERROR(__xludf.DUMMYFUNCTION("""COMPUTED_VALUE"""),"THACO AGRI")</f>
        <v>THACO AGRI</v>
      </c>
      <c r="E1351" s="5" t="str">
        <f>IFERROR(__xludf.DUMMYFUNCTION("""COMPUTED_VALUE"""),"CK-DCC-CLT-01")</f>
        <v>CK-DCC-CLT-01</v>
      </c>
      <c r="F1351" s="5"/>
      <c r="G1351" s="5" t="str">
        <f>IFERROR(__xludf.DUMMYFUNCTION("""COMPUTED_VALUE"""),"2024")</f>
        <v>2024</v>
      </c>
      <c r="H1351" s="5"/>
      <c r="I1351" s="5"/>
      <c r="J1351" s="5"/>
      <c r="K1351" s="5"/>
      <c r="L1351" s="5" t="str">
        <f>IFERROR(__xludf.DUMMYFUNCTION("""COMPUTED_VALUE"""),"KLH")</f>
        <v>KLH</v>
      </c>
    </row>
    <row r="1352">
      <c r="A1352" s="5" t="str">
        <f>IFERROR(__xludf.DUMMYFUNCTION("""COMPUTED_VALUE"""),"XB1-TBR-001")</f>
        <v>XB1-TBR-001</v>
      </c>
      <c r="B1352" s="3" t="str">
        <f>IFERROR(__xludf.DUMMYFUNCTION("""COMPUTED_VALUE"""),"Thiết bị rãi phân hữu cơ")</f>
        <v>Thiết bị rãi phân hữu cơ</v>
      </c>
      <c r="C1352" s="5" t="str">
        <f>IFERROR(__xludf.DUMMYFUNCTION("""COMPUTED_VALUE"""),"XN Bò AD")</f>
        <v>XN Bò AD</v>
      </c>
      <c r="D1352" s="5" t="str">
        <f>IFERROR(__xludf.DUMMYFUNCTION("""COMPUTED_VALUE"""),"THACO AGRI")</f>
        <v>THACO AGRI</v>
      </c>
      <c r="E1352" s="5" t="str">
        <f>IFERROR(__xludf.DUMMYFUNCTION("""COMPUTED_VALUE"""),"CK-TBBPX-01")</f>
        <v>CK-TBBPX-01</v>
      </c>
      <c r="F1352" s="5"/>
      <c r="G1352" s="5"/>
      <c r="H1352" s="5" t="str">
        <f>IFERROR(__xludf.DUMMYFUNCTION("""COMPUTED_VALUE"""),"3.5x2.2x2.15 (DxRxC)")</f>
        <v>3.5x2.2x2.15 (DxRxC)</v>
      </c>
      <c r="I1352" s="5"/>
      <c r="J1352" s="5"/>
      <c r="K1352" s="5"/>
      <c r="L1352" s="5" t="str">
        <f>IFERROR(__xludf.DUMMYFUNCTION("""COMPUTED_VALUE"""),"KLH")</f>
        <v>KLH</v>
      </c>
    </row>
    <row r="1353">
      <c r="A1353" s="5" t="str">
        <f>IFERROR(__xludf.DUMMYFUNCTION("""COMPUTED_VALUE"""),"XB1-RP4-001")</f>
        <v>XB1-RP4-001</v>
      </c>
      <c r="B1353" s="3" t="str">
        <f>IFERROR(__xludf.DUMMYFUNCTION("""COMPUTED_VALUE"""),"Thiết bị rải phân hữu cơ 4 hàng")</f>
        <v>Thiết bị rải phân hữu cơ 4 hàng</v>
      </c>
      <c r="C1353" s="5" t="str">
        <f>IFERROR(__xludf.DUMMYFUNCTION("""COMPUTED_VALUE"""),"XN Bò AD")</f>
        <v>XN Bò AD</v>
      </c>
      <c r="D1353" s="5" t="str">
        <f>IFERROR(__xludf.DUMMYFUNCTION("""COMPUTED_VALUE"""),"THÀNH ĐẠT")</f>
        <v>THÀNH ĐẠT</v>
      </c>
      <c r="E1353" s="5" t="str">
        <f>IFERROR(__xludf.DUMMYFUNCTION("""COMPUTED_VALUE"""),"4 HÀNG")</f>
        <v>4 HÀNG</v>
      </c>
      <c r="F1353" s="5"/>
      <c r="G1353" s="5" t="str">
        <f>IFERROR(__xludf.DUMMYFUNCTION("""COMPUTED_VALUE"""),"2024")</f>
        <v>2024</v>
      </c>
      <c r="H1353" s="5"/>
      <c r="I1353" s="5" t="str">
        <f>IFERROR(__xludf.DUMMYFUNCTION("""COMPUTED_VALUE"""),"RP4-01")</f>
        <v>RP4-01</v>
      </c>
      <c r="J1353" s="5"/>
      <c r="K1353" s="5"/>
      <c r="L1353" s="5" t="str">
        <f>IFERROR(__xludf.DUMMYFUNCTION("""COMPUTED_VALUE"""),"KLH")</f>
        <v>KLH</v>
      </c>
    </row>
    <row r="1354">
      <c r="A1354" s="5" t="str">
        <f>IFERROR(__xludf.DUMMYFUNCTION("""COMPUTED_VALUE"""),"XB1-RP4-002")</f>
        <v>XB1-RP4-002</v>
      </c>
      <c r="B1354" s="3" t="str">
        <f>IFERROR(__xludf.DUMMYFUNCTION("""COMPUTED_VALUE"""),"Thiết bị rải phân hữu cơ 4 hàng")</f>
        <v>Thiết bị rải phân hữu cơ 4 hàng</v>
      </c>
      <c r="C1354" s="5" t="str">
        <f>IFERROR(__xludf.DUMMYFUNCTION("""COMPUTED_VALUE"""),"XN Bò AD")</f>
        <v>XN Bò AD</v>
      </c>
      <c r="D1354" s="5" t="str">
        <f>IFERROR(__xludf.DUMMYFUNCTION("""COMPUTED_VALUE"""),"THÀNH ĐẠT")</f>
        <v>THÀNH ĐẠT</v>
      </c>
      <c r="E1354" s="5" t="str">
        <f>IFERROR(__xludf.DUMMYFUNCTION("""COMPUTED_VALUE"""),"4 HÀNG")</f>
        <v>4 HÀNG</v>
      </c>
      <c r="F1354" s="5"/>
      <c r="G1354" s="5" t="str">
        <f>IFERROR(__xludf.DUMMYFUNCTION("""COMPUTED_VALUE"""),"2024")</f>
        <v>2024</v>
      </c>
      <c r="H1354" s="5"/>
      <c r="I1354" s="5" t="str">
        <f>IFERROR(__xludf.DUMMYFUNCTION("""COMPUTED_VALUE"""),"RP4-02")</f>
        <v>RP4-02</v>
      </c>
      <c r="J1354" s="5"/>
      <c r="K1354" s="5"/>
      <c r="L1354" s="5" t="str">
        <f>IFERROR(__xludf.DUMMYFUNCTION("""COMPUTED_VALUE"""),"KLH")</f>
        <v>KLH</v>
      </c>
    </row>
    <row r="1355">
      <c r="A1355" s="5" t="str">
        <f>IFERROR(__xludf.DUMMYFUNCTION("""COMPUTED_VALUE"""),"XB1-XĐP-001")</f>
        <v>XB1-XĐP-001</v>
      </c>
      <c r="B1355" s="3" t="str">
        <f>IFERROR(__xludf.DUMMYFUNCTION("""COMPUTED_VALUE"""),"Thiết bị xới đảo phân")</f>
        <v>Thiết bị xới đảo phân</v>
      </c>
      <c r="C1355" s="5" t="str">
        <f>IFERROR(__xludf.DUMMYFUNCTION("""COMPUTED_VALUE"""),"XN Bò AD")</f>
        <v>XN Bò AD</v>
      </c>
      <c r="D1355" s="5" t="str">
        <f>IFERROR(__xludf.DUMMYFUNCTION("""COMPUTED_VALUE"""),"THACO INDUSTRIES")</f>
        <v>THACO INDUSTRIES</v>
      </c>
      <c r="E1355" s="5"/>
      <c r="F1355" s="5"/>
      <c r="G1355" s="5" t="str">
        <f>IFERROR(__xludf.DUMMYFUNCTION("""COMPUTED_VALUE"""),"2024")</f>
        <v>2024</v>
      </c>
      <c r="H1355" s="5"/>
      <c r="I1355" s="5"/>
      <c r="J1355" s="5"/>
      <c r="K1355" s="5"/>
      <c r="L1355" s="5" t="str">
        <f>IFERROR(__xludf.DUMMYFUNCTION("""COMPUTED_VALUE"""),"KLH")</f>
        <v>KLH</v>
      </c>
    </row>
    <row r="1356">
      <c r="A1356" s="5" t="str">
        <f>IFERROR(__xludf.DUMMYFUNCTION("""COMPUTED_VALUE"""),"XB1-RLT-001")</f>
        <v>XB1-RLT-001</v>
      </c>
      <c r="B1356" s="3" t="str">
        <f>IFERROR(__xludf.DUMMYFUNCTION("""COMPUTED_VALUE"""),"Thiết bị rạch luống trồng cỏ (6 hàng)")</f>
        <v>Thiết bị rạch luống trồng cỏ (6 hàng)</v>
      </c>
      <c r="C1356" s="5" t="str">
        <f>IFERROR(__xludf.DUMMYFUNCTION("""COMPUTED_VALUE"""),"XN Bò AD")</f>
        <v>XN Bò AD</v>
      </c>
      <c r="D1356" s="5" t="str">
        <f>IFERROR(__xludf.DUMMYFUNCTION("""COMPUTED_VALUE"""),"THACO AGRI")</f>
        <v>THACO AGRI</v>
      </c>
      <c r="E1356" s="5" t="str">
        <f>IFERROR(__xludf.DUMMYFUNCTION("""COMPUTED_VALUE"""),"6 hàng")</f>
        <v>6 hàng</v>
      </c>
      <c r="F1356" s="5"/>
      <c r="G1356" s="5"/>
      <c r="H1356" s="5"/>
      <c r="I1356" s="5"/>
      <c r="J1356" s="5"/>
      <c r="K1356" s="5"/>
      <c r="L1356" s="5" t="str">
        <f>IFERROR(__xludf.DUMMYFUNCTION("""COMPUTED_VALUE"""),"KLH")</f>
        <v>KLH</v>
      </c>
    </row>
    <row r="1357">
      <c r="A1357" s="5" t="str">
        <f>IFERROR(__xludf.DUMMYFUNCTION("""COMPUTED_VALUE"""),"XB1-RLT-002")</f>
        <v>XB1-RLT-002</v>
      </c>
      <c r="B1357" s="3" t="str">
        <f>IFERROR(__xludf.DUMMYFUNCTION("""COMPUTED_VALUE"""),"Thiết bị rạch luống trồng cỏ (4 hàng)")</f>
        <v>Thiết bị rạch luống trồng cỏ (4 hàng)</v>
      </c>
      <c r="C1357" s="5" t="str">
        <f>IFERROR(__xludf.DUMMYFUNCTION("""COMPUTED_VALUE"""),"XN Bò AD")</f>
        <v>XN Bò AD</v>
      </c>
      <c r="D1357" s="5" t="str">
        <f>IFERROR(__xludf.DUMMYFUNCTION("""COMPUTED_VALUE"""),"THACO AGRI")</f>
        <v>THACO AGRI</v>
      </c>
      <c r="E1357" s="5" t="str">
        <f>IFERROR(__xludf.DUMMYFUNCTION("""COMPUTED_VALUE"""),"CK-DTC-03")</f>
        <v>CK-DTC-03</v>
      </c>
      <c r="F1357" s="5"/>
      <c r="G1357" s="5" t="str">
        <f>IFERROR(__xludf.DUMMYFUNCTION("""COMPUTED_VALUE"""),"2025")</f>
        <v>2025</v>
      </c>
      <c r="H1357" s="5" t="str">
        <f>IFERROR(__xludf.DUMMYFUNCTION("""COMPUTED_VALUE"""),"3.6x2.7x1.34")</f>
        <v>3.6x2.7x1.34</v>
      </c>
      <c r="I1357" s="5" t="str">
        <f>IFERROR(__xludf.DUMMYFUNCTION("""COMPUTED_VALUE"""),"3")</f>
        <v>3</v>
      </c>
      <c r="J1357" s="5"/>
      <c r="K1357" s="5"/>
      <c r="L1357" s="5" t="str">
        <f>IFERROR(__xludf.DUMMYFUNCTION("""COMPUTED_VALUE"""),"KLH")</f>
        <v>KLH</v>
      </c>
    </row>
    <row r="1358">
      <c r="A1358" s="5" t="str">
        <f>IFERROR(__xludf.DUMMYFUNCTION("""COMPUTED_VALUE"""),"XB1-RLT-003")</f>
        <v>XB1-RLT-003</v>
      </c>
      <c r="B1358" s="3" t="str">
        <f>IFERROR(__xludf.DUMMYFUNCTION("""COMPUTED_VALUE"""),"Thiết bị rạch luống trồng cỏ (4 hàng)")</f>
        <v>Thiết bị rạch luống trồng cỏ (4 hàng)</v>
      </c>
      <c r="C1358" s="5" t="str">
        <f>IFERROR(__xludf.DUMMYFUNCTION("""COMPUTED_VALUE"""),"XN Bò AD")</f>
        <v>XN Bò AD</v>
      </c>
      <c r="D1358" s="5" t="str">
        <f>IFERROR(__xludf.DUMMYFUNCTION("""COMPUTED_VALUE"""),"THACO AGRI")</f>
        <v>THACO AGRI</v>
      </c>
      <c r="E1358" s="5" t="str">
        <f>IFERROR(__xludf.DUMMYFUNCTION("""COMPUTED_VALUE"""),"CK-DTC-04")</f>
        <v>CK-DTC-04</v>
      </c>
      <c r="F1358" s="5"/>
      <c r="G1358" s="5" t="str">
        <f>IFERROR(__xludf.DUMMYFUNCTION("""COMPUTED_VALUE"""),"2025")</f>
        <v>2025</v>
      </c>
      <c r="H1358" s="5" t="str">
        <f>IFERROR(__xludf.DUMMYFUNCTION("""COMPUTED_VALUE"""),"3.6x2.7x1.34")</f>
        <v>3.6x2.7x1.34</v>
      </c>
      <c r="I1358" s="5"/>
      <c r="J1358" s="5"/>
      <c r="K1358" s="5"/>
      <c r="L1358" s="5" t="str">
        <f>IFERROR(__xludf.DUMMYFUNCTION("""COMPUTED_VALUE"""),"KLH")</f>
        <v>KLH</v>
      </c>
    </row>
    <row r="1359">
      <c r="A1359" s="5" t="str">
        <f>IFERROR(__xludf.DUMMYFUNCTION("""COMPUTED_VALUE"""),"XB1-RLT-004")</f>
        <v>XB1-RLT-004</v>
      </c>
      <c r="B1359" s="3" t="str">
        <f>IFERROR(__xludf.DUMMYFUNCTION("""COMPUTED_VALUE"""),"Thiết bị rạch luống trồng cỏ (4 hàng)")</f>
        <v>Thiết bị rạch luống trồng cỏ (4 hàng)</v>
      </c>
      <c r="C1359" s="5" t="str">
        <f>IFERROR(__xludf.DUMMYFUNCTION("""COMPUTED_VALUE"""),"XN Bò AD")</f>
        <v>XN Bò AD</v>
      </c>
      <c r="D1359" s="5" t="str">
        <f>IFERROR(__xludf.DUMMYFUNCTION("""COMPUTED_VALUE"""),"THACO AGRI")</f>
        <v>THACO AGRI</v>
      </c>
      <c r="E1359" s="5" t="str">
        <f>IFERROR(__xludf.DUMMYFUNCTION("""COMPUTED_VALUE"""),"CK-DTC-05")</f>
        <v>CK-DTC-05</v>
      </c>
      <c r="F1359" s="5"/>
      <c r="G1359" s="5" t="str">
        <f>IFERROR(__xludf.DUMMYFUNCTION("""COMPUTED_VALUE"""),"2025")</f>
        <v>2025</v>
      </c>
      <c r="H1359" s="5" t="str">
        <f>IFERROR(__xludf.DUMMYFUNCTION("""COMPUTED_VALUE"""),"3.6x2.7x1.34")</f>
        <v>3.6x2.7x1.34</v>
      </c>
      <c r="I1359" s="5"/>
      <c r="J1359" s="5"/>
      <c r="K1359" s="5"/>
      <c r="L1359" s="5" t="str">
        <f>IFERROR(__xludf.DUMMYFUNCTION("""COMPUTED_VALUE"""),"KLH")</f>
        <v>KLH</v>
      </c>
    </row>
    <row r="1360">
      <c r="A1360" s="5" t="str">
        <f>IFERROR(__xludf.DUMMYFUNCTION("""COMPUTED_VALUE"""),"XB1-RLT-005")</f>
        <v>XB1-RLT-005</v>
      </c>
      <c r="B1360" s="3" t="str">
        <f>IFERROR(__xludf.DUMMYFUNCTION("""COMPUTED_VALUE"""),"Thiết bị rạch luống trồng cỏ (2 hàng)")</f>
        <v>Thiết bị rạch luống trồng cỏ (2 hàng)</v>
      </c>
      <c r="C1360" s="5" t="str">
        <f>IFERROR(__xludf.DUMMYFUNCTION("""COMPUTED_VALUE"""),"XN Bò AD")</f>
        <v>XN Bò AD</v>
      </c>
      <c r="D1360" s="5" t="str">
        <f>IFERROR(__xludf.DUMMYFUNCTION("""COMPUTED_VALUE"""),"Kasetkollakarn Banpong")</f>
        <v>Kasetkollakarn Banpong</v>
      </c>
      <c r="E1360" s="5" t="str">
        <f>IFERROR(__xludf.DUMMYFUNCTION("""COMPUTED_VALUE"""),"Thái Lan")</f>
        <v>Thái Lan</v>
      </c>
      <c r="F1360" s="5">
        <f>IFERROR(__xludf.DUMMYFUNCTION("""COMPUTED_VALUE"""),2025.0)</f>
        <v>2025</v>
      </c>
      <c r="G1360" s="5" t="str">
        <f>IFERROR(__xludf.DUMMYFUNCTION("""COMPUTED_VALUE"""),"SP-40C-SR")</f>
        <v>SP-40C-SR</v>
      </c>
      <c r="H1360" s="5" t="str">
        <f>IFERROR(__xludf.DUMMYFUNCTION("""COMPUTED_VALUE"""),"60 HP ~")</f>
        <v>60 HP ~</v>
      </c>
      <c r="I1360" s="5" t="str">
        <f>IFERROR(__xludf.DUMMYFUNCTION("""COMPUTED_VALUE"""),"1224-TZAU")</f>
        <v>1224-TZAU</v>
      </c>
      <c r="J1360" s="5"/>
      <c r="K1360" s="5"/>
      <c r="L1360" s="5" t="str">
        <f>IFERROR(__xludf.DUMMYFUNCTION("""COMPUTED_VALUE"""),"KLH")</f>
        <v>KLH</v>
      </c>
    </row>
    <row r="1361">
      <c r="A1361" s="5" t="str">
        <f>IFERROR(__xludf.DUMMYFUNCTION("""COMPUTED_VALUE"""),"XB1-MXM-001")</f>
        <v>XB1-MXM-001</v>
      </c>
      <c r="B1361" s="3" t="str">
        <f>IFERROR(__xludf.DUMMYFUNCTION("""COMPUTED_VALUE"""),"Rơ mooc gắn sau xe máy ")</f>
        <v>Rơ mooc gắn sau xe máy </v>
      </c>
      <c r="C1361" s="5" t="str">
        <f>IFERROR(__xludf.DUMMYFUNCTION("""COMPUTED_VALUE"""),"XN Bò AD")</f>
        <v>XN Bò AD</v>
      </c>
      <c r="D1361" s="5" t="str">
        <f>IFERROR(__xludf.DUMMYFUNCTION("""COMPUTED_VALUE"""),"THACO AGRI")</f>
        <v>THACO AGRI</v>
      </c>
      <c r="E1361" s="5"/>
      <c r="F1361" s="5"/>
      <c r="G1361" s="5"/>
      <c r="H1361" s="5"/>
      <c r="I1361" s="5"/>
      <c r="J1361" s="5"/>
      <c r="K1361" s="5"/>
      <c r="L1361" s="5" t="str">
        <f>IFERROR(__xludf.DUMMYFUNCTION("""COMPUTED_VALUE"""),"KLH")</f>
        <v>KLH</v>
      </c>
    </row>
    <row r="1362">
      <c r="A1362" s="5" t="str">
        <f>IFERROR(__xludf.DUMMYFUNCTION("""COMPUTED_VALUE"""),"XB1-MXM-002")</f>
        <v>XB1-MXM-002</v>
      </c>
      <c r="B1362" s="3" t="str">
        <f>IFERROR(__xludf.DUMMYFUNCTION("""COMPUTED_VALUE"""),"Rơ mooc gắn sau xe máy ")</f>
        <v>Rơ mooc gắn sau xe máy </v>
      </c>
      <c r="C1362" s="5" t="str">
        <f>IFERROR(__xludf.DUMMYFUNCTION("""COMPUTED_VALUE"""),"XN Bò AD")</f>
        <v>XN Bò AD</v>
      </c>
      <c r="D1362" s="5" t="str">
        <f>IFERROR(__xludf.DUMMYFUNCTION("""COMPUTED_VALUE"""),"THACO AGRI")</f>
        <v>THACO AGRI</v>
      </c>
      <c r="E1362" s="5"/>
      <c r="F1362" s="5"/>
      <c r="G1362" s="5"/>
      <c r="H1362" s="5"/>
      <c r="I1362" s="5"/>
      <c r="J1362" s="5"/>
      <c r="K1362" s="5"/>
      <c r="L1362" s="5" t="str">
        <f>IFERROR(__xludf.DUMMYFUNCTION("""COMPUTED_VALUE"""),"KLH")</f>
        <v>KLH</v>
      </c>
    </row>
    <row r="1363">
      <c r="A1363" s="5" t="str">
        <f>IFERROR(__xludf.DUMMYFUNCTION("""COMPUTED_VALUE"""),"XB1-CCB-001")</f>
        <v>XB1-CCB-001</v>
      </c>
      <c r="B1363" s="3" t="str">
        <f>IFERROR(__xludf.DUMMYFUNCTION("""COMPUTED_VALUE"""),"Thiết bị cày chăm bắp")</f>
        <v>Thiết bị cày chăm bắp</v>
      </c>
      <c r="C1363" s="5" t="str">
        <f>IFERROR(__xludf.DUMMYFUNCTION("""COMPUTED_VALUE"""),"XN Bò AD")</f>
        <v>XN Bò AD</v>
      </c>
      <c r="D1363" s="5" t="str">
        <f>IFERROR(__xludf.DUMMYFUNCTION("""COMPUTED_VALUE"""),"THACO AGRI")</f>
        <v>THACO AGRI</v>
      </c>
      <c r="E1363" s="5" t="str">
        <f>IFERROR(__xludf.DUMMYFUNCTION("""COMPUTED_VALUE"""),"CK-DX-01")</f>
        <v>CK-DX-01</v>
      </c>
      <c r="F1363" s="5"/>
      <c r="G1363" s="5" t="str">
        <f>IFERROR(__xludf.DUMMYFUNCTION("""COMPUTED_VALUE"""),"2025")</f>
        <v>2025</v>
      </c>
      <c r="H1363" s="5" t="str">
        <f>IFERROR(__xludf.DUMMYFUNCTION("""COMPUTED_VALUE"""),"1.4x0.9x1.1")</f>
        <v>1.4x0.9x1.1</v>
      </c>
      <c r="I1363" s="5"/>
      <c r="J1363" s="5"/>
      <c r="K1363" s="5"/>
      <c r="L1363" s="5" t="str">
        <f>IFERROR(__xludf.DUMMYFUNCTION("""COMPUTED_VALUE"""),"KLH")</f>
        <v>KLH</v>
      </c>
    </row>
    <row r="1364">
      <c r="A1364" s="5" t="str">
        <f>IFERROR(__xludf.DUMMYFUNCTION("""COMPUTED_VALUE"""),"XB1-PTB-001")</f>
        <v>XB1-PTB-001</v>
      </c>
      <c r="B1364" s="3" t="str">
        <f>IFERROR(__xludf.DUMMYFUNCTION("""COMPUTED_VALUE"""),"Thiết bị phun thuốc bắp")</f>
        <v>Thiết bị phun thuốc bắp</v>
      </c>
      <c r="C1364" s="5" t="str">
        <f>IFERROR(__xludf.DUMMYFUNCTION("""COMPUTED_VALUE"""),"XN Bò AD")</f>
        <v>XN Bò AD</v>
      </c>
      <c r="D1364" s="5" t="str">
        <f>IFERROR(__xludf.DUMMYFUNCTION("""COMPUTED_VALUE"""),"CHOKTAWEE")</f>
        <v>CHOKTAWEE</v>
      </c>
      <c r="E1364" s="5" t="str">
        <f>IFERROR(__xludf.DUMMYFUNCTION("""COMPUTED_VALUE"""),"ARN-SPY600")</f>
        <v>ARN-SPY600</v>
      </c>
      <c r="F1364" s="5"/>
      <c r="G1364" s="5" t="str">
        <f>IFERROR(__xludf.DUMMYFUNCTION("""COMPUTED_VALUE"""),"2025")</f>
        <v>2025</v>
      </c>
      <c r="H1364" s="5" t="str">
        <f>IFERROR(__xludf.DUMMYFUNCTION("""COMPUTED_VALUE"""),"600 LÍT - 50HP")</f>
        <v>600 LÍT - 50HP</v>
      </c>
      <c r="I1364" s="5"/>
      <c r="J1364" s="5"/>
      <c r="K1364" s="5"/>
      <c r="L1364" s="5" t="str">
        <f>IFERROR(__xludf.DUMMYFUNCTION("""COMPUTED_VALUE"""),"KLH")</f>
        <v>KLH</v>
      </c>
    </row>
    <row r="1365">
      <c r="A1365" s="5" t="str">
        <f>IFERROR(__xludf.DUMMYFUNCTION("""COMPUTED_VALUE"""),"XB1-PTB-002")</f>
        <v>XB1-PTB-002</v>
      </c>
      <c r="B1365" s="3" t="str">
        <f>IFERROR(__xludf.DUMMYFUNCTION("""COMPUTED_VALUE"""),"Thiết bị phun thuốc bắp")</f>
        <v>Thiết bị phun thuốc bắp</v>
      </c>
      <c r="C1365" s="5" t="str">
        <f>IFERROR(__xludf.DUMMYFUNCTION("""COMPUTED_VALUE"""),"XN Bò AD")</f>
        <v>XN Bò AD</v>
      </c>
      <c r="D1365" s="5" t="str">
        <f>IFERROR(__xludf.DUMMYFUNCTION("""COMPUTED_VALUE"""),"CHOKTAWEE")</f>
        <v>CHOKTAWEE</v>
      </c>
      <c r="E1365" s="5" t="str">
        <f>IFERROR(__xludf.DUMMYFUNCTION("""COMPUTED_VALUE"""),"ARN-SPY600")</f>
        <v>ARN-SPY600</v>
      </c>
      <c r="F1365" s="5"/>
      <c r="G1365" s="5" t="str">
        <f>IFERROR(__xludf.DUMMYFUNCTION("""COMPUTED_VALUE"""),"2025")</f>
        <v>2025</v>
      </c>
      <c r="H1365" s="5" t="str">
        <f>IFERROR(__xludf.DUMMYFUNCTION("""COMPUTED_VALUE"""),"600 LÍT - 50HP")</f>
        <v>600 LÍT - 50HP</v>
      </c>
      <c r="I1365" s="5"/>
      <c r="J1365" s="5"/>
      <c r="K1365" s="5"/>
      <c r="L1365" s="5" t="str">
        <f>IFERROR(__xludf.DUMMYFUNCTION("""COMPUTED_VALUE"""),"KLH")</f>
        <v>KLH</v>
      </c>
    </row>
    <row r="1366">
      <c r="A1366" s="5" t="str">
        <f>IFERROR(__xludf.DUMMYFUNCTION("""COMPUTED_VALUE"""),"XB1-GHC-001")</f>
        <v>XB1-GHC-001</v>
      </c>
      <c r="B1366" s="3" t="str">
        <f>IFERROR(__xludf.DUMMYFUNCTION("""COMPUTED_VALUE"""),"Thiết bị gieo hạt cỏ")</f>
        <v>Thiết bị gieo hạt cỏ</v>
      </c>
      <c r="C1366" s="5" t="str">
        <f>IFERROR(__xludf.DUMMYFUNCTION("""COMPUTED_VALUE"""),"XN Bò AD")</f>
        <v>XN Bò AD</v>
      </c>
      <c r="D1366" s="5" t="str">
        <f>IFERROR(__xludf.DUMMYFUNCTION("""COMPUTED_VALUE"""),"VIRDI")</f>
        <v>VIRDI</v>
      </c>
      <c r="E1366" s="5" t="str">
        <f>IFERROR(__xludf.DUMMYFUNCTION("""COMPUTED_VALUE"""),"GRASS MAESTRO")</f>
        <v>GRASS MAESTRO</v>
      </c>
      <c r="F1366" s="5"/>
      <c r="G1366" s="5" t="str">
        <f>IFERROR(__xludf.DUMMYFUNCTION("""COMPUTED_VALUE"""),"2025")</f>
        <v>2025</v>
      </c>
      <c r="H1366" s="5" t="str">
        <f>IFERROR(__xludf.DUMMYFUNCTION("""COMPUTED_VALUE"""),"35HP")</f>
        <v>35HP</v>
      </c>
      <c r="I1366" s="5" t="str">
        <f>IFERROR(__xludf.DUMMYFUNCTION("""COMPUTED_VALUE"""),"GM2502")</f>
        <v>GM2502</v>
      </c>
      <c r="J1366" s="5"/>
      <c r="K1366" s="5"/>
      <c r="L1366" s="5" t="str">
        <f>IFERROR(__xludf.DUMMYFUNCTION("""COMPUTED_VALUE"""),"KLH")</f>
        <v>KLH</v>
      </c>
    </row>
    <row r="1367">
      <c r="A1367" s="5" t="str">
        <f>IFERROR(__xludf.DUMMYFUNCTION("""COMPUTED_VALUE"""),"XB1-GHC-002")</f>
        <v>XB1-GHC-002</v>
      </c>
      <c r="B1367" s="3" t="str">
        <f>IFERROR(__xludf.DUMMYFUNCTION("""COMPUTED_VALUE"""),"Thiết bị gieo hạt cỏ")</f>
        <v>Thiết bị gieo hạt cỏ</v>
      </c>
      <c r="C1367" s="5" t="str">
        <f>IFERROR(__xludf.DUMMYFUNCTION("""COMPUTED_VALUE"""),"XN Bò AD")</f>
        <v>XN Bò AD</v>
      </c>
      <c r="D1367" s="5" t="str">
        <f>IFERROR(__xludf.DUMMYFUNCTION("""COMPUTED_VALUE"""),"VIRDI")</f>
        <v>VIRDI</v>
      </c>
      <c r="E1367" s="5" t="str">
        <f>IFERROR(__xludf.DUMMYFUNCTION("""COMPUTED_VALUE"""),"GRASS MAESTRO")</f>
        <v>GRASS MAESTRO</v>
      </c>
      <c r="F1367" s="5"/>
      <c r="G1367" s="5" t="str">
        <f>IFERROR(__xludf.DUMMYFUNCTION("""COMPUTED_VALUE"""),"2025")</f>
        <v>2025</v>
      </c>
      <c r="H1367" s="5" t="str">
        <f>IFERROR(__xludf.DUMMYFUNCTION("""COMPUTED_VALUE"""),"35Hp ~")</f>
        <v>35Hp ~</v>
      </c>
      <c r="I1367" s="5" t="str">
        <f>IFERROR(__xludf.DUMMYFUNCTION("""COMPUTED_VALUE"""),"GM2501")</f>
        <v>GM2501</v>
      </c>
      <c r="J1367" s="5"/>
      <c r="K1367" s="5"/>
      <c r="L1367" s="5" t="str">
        <f>IFERROR(__xludf.DUMMYFUNCTION("""COMPUTED_VALUE"""),"KLH")</f>
        <v>KLH</v>
      </c>
    </row>
    <row r="1368">
      <c r="A1368" s="5" t="str">
        <f>IFERROR(__xludf.DUMMYFUNCTION("""COMPUTED_VALUE"""),"XB1-RBP-001")</f>
        <v>XB1-RBP-001</v>
      </c>
      <c r="B1368" s="3" t="str">
        <f>IFERROR(__xludf.DUMMYFUNCTION("""COMPUTED_VALUE"""),"Thiết bị rạch hàng bón phân vô cơ (6 hàng)")</f>
        <v>Thiết bị rạch hàng bón phân vô cơ (6 hàng)</v>
      </c>
      <c r="C1368" s="5" t="str">
        <f>IFERROR(__xludf.DUMMYFUNCTION("""COMPUTED_VALUE"""),"XN Bò AD")</f>
        <v>XN Bò AD</v>
      </c>
      <c r="D1368" s="5" t="str">
        <f>IFERROR(__xludf.DUMMYFUNCTION("""COMPUTED_VALUE"""),"THACO INDUSTRIES")</f>
        <v>THACO INDUSTRIES</v>
      </c>
      <c r="E1368" s="5"/>
      <c r="F1368" s="5"/>
      <c r="G1368" s="5" t="str">
        <f>IFERROR(__xludf.DUMMYFUNCTION("""COMPUTED_VALUE"""),"2025")</f>
        <v>2025</v>
      </c>
      <c r="H1368" s="5"/>
      <c r="I1368" s="5"/>
      <c r="J1368" s="5"/>
      <c r="K1368" s="5"/>
      <c r="L1368" s="5" t="str">
        <f>IFERROR(__xludf.DUMMYFUNCTION("""COMPUTED_VALUE"""),"KLH")</f>
        <v>KLH</v>
      </c>
    </row>
    <row r="1369">
      <c r="A1369" s="5" t="str">
        <f>IFERROR(__xludf.DUMMYFUNCTION("""COMPUTED_VALUE"""),"XB1-RBP-002")</f>
        <v>XB1-RBP-002</v>
      </c>
      <c r="B1369" s="3" t="str">
        <f>IFERROR(__xludf.DUMMYFUNCTION("""COMPUTED_VALUE"""),"Thiết bị rạch hàng bón phân vô cơ (6 hàng)")</f>
        <v>Thiết bị rạch hàng bón phân vô cơ (6 hàng)</v>
      </c>
      <c r="C1369" s="5" t="str">
        <f>IFERROR(__xludf.DUMMYFUNCTION("""COMPUTED_VALUE"""),"XN Bò AD")</f>
        <v>XN Bò AD</v>
      </c>
      <c r="D1369" s="5" t="str">
        <f>IFERROR(__xludf.DUMMYFUNCTION("""COMPUTED_VALUE"""),"THACO INDUSTRIES")</f>
        <v>THACO INDUSTRIES</v>
      </c>
      <c r="E1369" s="5"/>
      <c r="F1369" s="5"/>
      <c r="G1369" s="5" t="str">
        <f>IFERROR(__xludf.DUMMYFUNCTION("""COMPUTED_VALUE"""),"2025")</f>
        <v>2025</v>
      </c>
      <c r="H1369" s="5"/>
      <c r="I1369" s="5"/>
      <c r="J1369" s="5"/>
      <c r="K1369" s="5"/>
      <c r="L1369" s="5" t="str">
        <f>IFERROR(__xludf.DUMMYFUNCTION("""COMPUTED_VALUE"""),"KLH")</f>
        <v>KLH</v>
      </c>
    </row>
    <row r="1370">
      <c r="A1370" s="5" t="str">
        <f>IFERROR(__xludf.DUMMYFUNCTION("""COMPUTED_VALUE"""),"XB1-RHC-001")</f>
        <v>XB1-RHC-001</v>
      </c>
      <c r="B1370" s="3" t="str">
        <f>IFERROR(__xludf.DUMMYFUNCTION("""COMPUTED_VALUE"""),"Thiết bị ra hom cỏ giống")</f>
        <v>Thiết bị ra hom cỏ giống</v>
      </c>
      <c r="C1370" s="5" t="str">
        <f>IFERROR(__xludf.DUMMYFUNCTION("""COMPUTED_VALUE"""),"XN Bò AD")</f>
        <v>XN Bò AD</v>
      </c>
      <c r="D1370" s="5" t="str">
        <f>IFERROR(__xludf.DUMMYFUNCTION("""COMPUTED_VALUE"""),"THACO AGRI")</f>
        <v>THACO AGRI</v>
      </c>
      <c r="E1370" s="5"/>
      <c r="F1370" s="5"/>
      <c r="G1370" s="5" t="str">
        <f>IFERROR(__xludf.DUMMYFUNCTION("""COMPUTED_VALUE"""),"2025")</f>
        <v>2025</v>
      </c>
      <c r="H1370" s="5"/>
      <c r="I1370" s="5"/>
      <c r="J1370" s="5"/>
      <c r="K1370" s="5"/>
      <c r="L1370" s="5" t="str">
        <f>IFERROR(__xludf.DUMMYFUNCTION("""COMPUTED_VALUE"""),"KLH")</f>
        <v>KLH</v>
      </c>
    </row>
    <row r="1371">
      <c r="A1371" s="5" t="str">
        <f>IFERROR(__xludf.DUMMYFUNCTION("""COMPUTED_VALUE"""),"XB1-CXV-001")</f>
        <v>XB1-CXV-001</v>
      </c>
      <c r="B1371" s="3" t="str">
        <f>IFERROR(__xludf.DUMMYFUNCTION("""COMPUTED_VALUE"""),"Thiết bị cào xới váng")</f>
        <v>Thiết bị cào xới váng</v>
      </c>
      <c r="C1371" s="5" t="str">
        <f>IFERROR(__xludf.DUMMYFUNCTION("""COMPUTED_VALUE"""),"XN Bò AD")</f>
        <v>XN Bò AD</v>
      </c>
      <c r="D1371" s="5" t="str">
        <f>IFERROR(__xludf.DUMMYFUNCTION("""COMPUTED_VALUE"""),"THACO AGRI")</f>
        <v>THACO AGRI</v>
      </c>
      <c r="E1371" s="5" t="str">
        <f>IFERROR(__xludf.DUMMYFUNCTION("""COMPUTED_VALUE"""),"CXV-01")</f>
        <v>CXV-01</v>
      </c>
      <c r="F1371" s="5"/>
      <c r="G1371" s="5" t="str">
        <f>IFERROR(__xludf.DUMMYFUNCTION("""COMPUTED_VALUE"""),"2025")</f>
        <v>2025</v>
      </c>
      <c r="H1371" s="5" t="str">
        <f>IFERROR(__xludf.DUMMYFUNCTION("""COMPUTED_VALUE"""),"1.195x4.2x1.148")</f>
        <v>1.195x4.2x1.148</v>
      </c>
      <c r="I1371" s="5" t="str">
        <f>IFERROR(__xludf.DUMMYFUNCTION("""COMPUTED_VALUE"""),"CK-CXV-01")</f>
        <v>CK-CXV-01</v>
      </c>
      <c r="J1371" s="5"/>
      <c r="K1371" s="5"/>
      <c r="L1371" s="5" t="str">
        <f>IFERROR(__xludf.DUMMYFUNCTION("""COMPUTED_VALUE"""),"KLH")</f>
        <v>KLH</v>
      </c>
    </row>
    <row r="1372">
      <c r="A1372" s="5" t="str">
        <f>IFERROR(__xludf.DUMMYFUNCTION("""COMPUTED_VALUE"""),"XB1-CXV-002")</f>
        <v>XB1-CXV-002</v>
      </c>
      <c r="B1372" s="3" t="str">
        <f>IFERROR(__xludf.DUMMYFUNCTION("""COMPUTED_VALUE"""),"Thiết bị cào xới váng")</f>
        <v>Thiết bị cào xới váng</v>
      </c>
      <c r="C1372" s="5" t="str">
        <f>IFERROR(__xludf.DUMMYFUNCTION("""COMPUTED_VALUE"""),"XN Bò AD")</f>
        <v>XN Bò AD</v>
      </c>
      <c r="D1372" s="5" t="str">
        <f>IFERROR(__xludf.DUMMYFUNCTION("""COMPUTED_VALUE"""),"THACO AGRI")</f>
        <v>THACO AGRI</v>
      </c>
      <c r="E1372" s="5" t="str">
        <f>IFERROR(__xludf.DUMMYFUNCTION("""COMPUTED_VALUE"""),"KLH SNUOL")</f>
        <v>KLH SNUOL</v>
      </c>
      <c r="F1372" s="5">
        <f>IFERROR(__xludf.DUMMYFUNCTION("""COMPUTED_VALUE"""),2025.0)</f>
        <v>2025</v>
      </c>
      <c r="G1372" s="5" t="str">
        <f>IFERROR(__xludf.DUMMYFUNCTION("""COMPUTED_VALUE"""),"4  lưỡi xới")</f>
        <v>4  lưỡi xới</v>
      </c>
      <c r="H1372" s="5" t="str">
        <f>IFERROR(__xludf.DUMMYFUNCTION("""COMPUTED_VALUE"""),"90 HP ~")</f>
        <v>90 HP ~</v>
      </c>
      <c r="I1372" s="5"/>
      <c r="J1372" s="5"/>
      <c r="K1372" s="5"/>
      <c r="L1372" s="5" t="str">
        <f>IFERROR(__xludf.DUMMYFUNCTION("""COMPUTED_VALUE"""),"KLH")</f>
        <v>KLH</v>
      </c>
    </row>
    <row r="1373">
      <c r="A1373" s="5" t="str">
        <f>IFERROR(__xludf.DUMMYFUNCTION("""COMPUTED_VALUE"""),"XB1-DRC-001")</f>
        <v>XB1-DRC-001</v>
      </c>
      <c r="B1373" s="3" t="str">
        <f>IFERROR(__xludf.DUMMYFUNCTION("""COMPUTED_VALUE"""),"Thiết bị rạch - tung phân cỏ chăn thả")</f>
        <v>Thiết bị rạch - tung phân cỏ chăn thả</v>
      </c>
      <c r="C1373" s="5" t="str">
        <f>IFERROR(__xludf.DUMMYFUNCTION("""COMPUTED_VALUE"""),"XN Bò AD")</f>
        <v>XN Bò AD</v>
      </c>
      <c r="D1373" s="5" t="str">
        <f>IFERROR(__xludf.DUMMYFUNCTION("""COMPUTED_VALUE"""),"THACO AGRI")</f>
        <v>THACO AGRI</v>
      </c>
      <c r="E1373" s="5" t="str">
        <f>IFERROR(__xludf.DUMMYFUNCTION("""COMPUTED_VALUE"""),"KLH SNUOL")</f>
        <v>KLH SNUOL</v>
      </c>
      <c r="F1373" s="5">
        <f>IFERROR(__xludf.DUMMYFUNCTION("""COMPUTED_VALUE"""),2025.0)</f>
        <v>2025</v>
      </c>
      <c r="G1373" s="5" t="str">
        <f>IFERROR(__xludf.DUMMYFUNCTION("""COMPUTED_VALUE"""),"6 đĩa rạch")</f>
        <v>6 đĩa rạch</v>
      </c>
      <c r="H1373" s="5" t="str">
        <f>IFERROR(__xludf.DUMMYFUNCTION("""COMPUTED_VALUE"""),"90 HP ~")</f>
        <v>90 HP ~</v>
      </c>
      <c r="I1373" s="5"/>
      <c r="J1373" s="5"/>
      <c r="K1373" s="5"/>
      <c r="L1373" s="5" t="str">
        <f>IFERROR(__xludf.DUMMYFUNCTION("""COMPUTED_VALUE"""),"KLH")</f>
        <v>KLH</v>
      </c>
    </row>
    <row r="1374">
      <c r="A1374" s="5" t="str">
        <f>IFERROR(__xludf.DUMMYFUNCTION("""COMPUTED_VALUE"""),"XB1-DRC-002")</f>
        <v>XB1-DRC-002</v>
      </c>
      <c r="B1374" s="3" t="str">
        <f>IFERROR(__xludf.DUMMYFUNCTION("""COMPUTED_VALUE"""),"Thiết bị rạch - tung phân cỏ chăn thả")</f>
        <v>Thiết bị rạch - tung phân cỏ chăn thả</v>
      </c>
      <c r="C1374" s="5" t="str">
        <f>IFERROR(__xludf.DUMMYFUNCTION("""COMPUTED_VALUE"""),"XN Bò AD")</f>
        <v>XN Bò AD</v>
      </c>
      <c r="D1374" s="5" t="str">
        <f>IFERROR(__xludf.DUMMYFUNCTION("""COMPUTED_VALUE"""),"THACO AGRI")</f>
        <v>THACO AGRI</v>
      </c>
      <c r="E1374" s="5" t="str">
        <f>IFERROR(__xludf.DUMMYFUNCTION("""COMPUTED_VALUE"""),"Xưởng GCM CGH")</f>
        <v>Xưởng GCM CGH</v>
      </c>
      <c r="F1374" s="5">
        <f>IFERROR(__xludf.DUMMYFUNCTION("""COMPUTED_VALUE"""),2026.0)</f>
        <v>2026</v>
      </c>
      <c r="G1374" s="5" t="str">
        <f>IFERROR(__xludf.DUMMYFUNCTION("""COMPUTED_VALUE"""),"11 đĩa rạch")</f>
        <v>11 đĩa rạch</v>
      </c>
      <c r="H1374" s="5" t="str">
        <f>IFERROR(__xludf.DUMMYFUNCTION("""COMPUTED_VALUE"""),"90 Hp")</f>
        <v>90 Hp</v>
      </c>
      <c r="I1374" s="5"/>
      <c r="J1374" s="5"/>
      <c r="K1374" s="5"/>
      <c r="L1374" s="5" t="str">
        <f>IFERROR(__xludf.DUMMYFUNCTION("""COMPUTED_VALUE"""),"KLH")</f>
        <v>KLH</v>
      </c>
    </row>
    <row r="1375">
      <c r="A1375" s="5" t="str">
        <f>IFERROR(__xludf.DUMMYFUNCTION("""COMPUTED_VALUE"""),"XB1-DRC-003")</f>
        <v>XB1-DRC-003</v>
      </c>
      <c r="B1375" s="3" t="str">
        <f>IFERROR(__xludf.DUMMYFUNCTION("""COMPUTED_VALUE"""),"Thiết bị rạch - tung phân cỏ chăn thả")</f>
        <v>Thiết bị rạch - tung phân cỏ chăn thả</v>
      </c>
      <c r="C1375" s="5" t="str">
        <f>IFERROR(__xludf.DUMMYFUNCTION("""COMPUTED_VALUE"""),"XN Bò AD")</f>
        <v>XN Bò AD</v>
      </c>
      <c r="D1375" s="5" t="str">
        <f>IFERROR(__xludf.DUMMYFUNCTION("""COMPUTED_VALUE"""),"THACO AGRI")</f>
        <v>THACO AGRI</v>
      </c>
      <c r="E1375" s="5" t="str">
        <f>IFERROR(__xludf.DUMMYFUNCTION("""COMPUTED_VALUE"""),"Xưởng GCM CGH")</f>
        <v>Xưởng GCM CGH</v>
      </c>
      <c r="F1375" s="5">
        <f>IFERROR(__xludf.DUMMYFUNCTION("""COMPUTED_VALUE"""),2026.0)</f>
        <v>2026</v>
      </c>
      <c r="G1375" s="5" t="str">
        <f>IFERROR(__xludf.DUMMYFUNCTION("""COMPUTED_VALUE"""),"11 đĩa rạch")</f>
        <v>11 đĩa rạch</v>
      </c>
      <c r="H1375" s="5" t="str">
        <f>IFERROR(__xludf.DUMMYFUNCTION("""COMPUTED_VALUE"""),"90 Hp")</f>
        <v>90 Hp</v>
      </c>
      <c r="I1375" s="5"/>
      <c r="J1375" s="5"/>
      <c r="K1375" s="5"/>
      <c r="L1375" s="5" t="str">
        <f>IFERROR(__xludf.DUMMYFUNCTION("""COMPUTED_VALUE"""),"KLH")</f>
        <v>KLH</v>
      </c>
    </row>
    <row r="1376">
      <c r="A1376" s="5" t="str">
        <f>IFERROR(__xludf.DUMMYFUNCTION("""COMPUTED_VALUE"""),"XB1-DRC-004")</f>
        <v>XB1-DRC-004</v>
      </c>
      <c r="B1376" s="3" t="str">
        <f>IFERROR(__xludf.DUMMYFUNCTION("""COMPUTED_VALUE"""),"Thiết bị rạch - tung phân cỏ chăn thả")</f>
        <v>Thiết bị rạch - tung phân cỏ chăn thả</v>
      </c>
      <c r="C1376" s="5" t="str">
        <f>IFERROR(__xludf.DUMMYFUNCTION("""COMPUTED_VALUE"""),"XN Bò AD")</f>
        <v>XN Bò AD</v>
      </c>
      <c r="D1376" s="5" t="str">
        <f>IFERROR(__xludf.DUMMYFUNCTION("""COMPUTED_VALUE"""),"THACO AGRI")</f>
        <v>THACO AGRI</v>
      </c>
      <c r="E1376" s="5" t="str">
        <f>IFERROR(__xludf.DUMMYFUNCTION("""COMPUTED_VALUE"""),"Xưởng GCM CGH")</f>
        <v>Xưởng GCM CGH</v>
      </c>
      <c r="F1376" s="5">
        <f>IFERROR(__xludf.DUMMYFUNCTION("""COMPUTED_VALUE"""),2026.0)</f>
        <v>2026</v>
      </c>
      <c r="G1376" s="5" t="str">
        <f>IFERROR(__xludf.DUMMYFUNCTION("""COMPUTED_VALUE"""),"11 đĩa rạch")</f>
        <v>11 đĩa rạch</v>
      </c>
      <c r="H1376" s="5" t="str">
        <f>IFERROR(__xludf.DUMMYFUNCTION("""COMPUTED_VALUE"""),"90 Hp")</f>
        <v>90 Hp</v>
      </c>
      <c r="I1376" s="5"/>
      <c r="J1376" s="5"/>
      <c r="K1376" s="5"/>
      <c r="L1376" s="5" t="str">
        <f>IFERROR(__xludf.DUMMYFUNCTION("""COMPUTED_VALUE"""),"KLH")</f>
        <v>KLH</v>
      </c>
    </row>
    <row r="1377">
      <c r="A1377" s="5" t="str">
        <f>IFERROR(__xludf.DUMMYFUNCTION("""COMPUTED_VALUE"""),"XB1-DRC-005")</f>
        <v>XB1-DRC-005</v>
      </c>
      <c r="B1377" s="3" t="str">
        <f>IFERROR(__xludf.DUMMYFUNCTION("""COMPUTED_VALUE"""),"Thiết bị rạch - tung phân cỏ chăn thả")</f>
        <v>Thiết bị rạch - tung phân cỏ chăn thả</v>
      </c>
      <c r="C1377" s="5" t="str">
        <f>IFERROR(__xludf.DUMMYFUNCTION("""COMPUTED_VALUE"""),"XN Bò AD")</f>
        <v>XN Bò AD</v>
      </c>
      <c r="D1377" s="5" t="str">
        <f>IFERROR(__xludf.DUMMYFUNCTION("""COMPUTED_VALUE"""),"THACO AGRI")</f>
        <v>THACO AGRI</v>
      </c>
      <c r="E1377" s="5" t="str">
        <f>IFERROR(__xludf.DUMMYFUNCTION("""COMPUTED_VALUE"""),"Xưởng GCM CGH")</f>
        <v>Xưởng GCM CGH</v>
      </c>
      <c r="F1377" s="5">
        <f>IFERROR(__xludf.DUMMYFUNCTION("""COMPUTED_VALUE"""),2026.0)</f>
        <v>2026</v>
      </c>
      <c r="G1377" s="5" t="str">
        <f>IFERROR(__xludf.DUMMYFUNCTION("""COMPUTED_VALUE"""),"11 đĩa rạch")</f>
        <v>11 đĩa rạch</v>
      </c>
      <c r="H1377" s="5" t="str">
        <f>IFERROR(__xludf.DUMMYFUNCTION("""COMPUTED_VALUE"""),"90 Hp")</f>
        <v>90 Hp</v>
      </c>
      <c r="I1377" s="5"/>
      <c r="J1377" s="5"/>
      <c r="K1377" s="5"/>
      <c r="L1377" s="5" t="str">
        <f>IFERROR(__xludf.DUMMYFUNCTION("""COMPUTED_VALUE"""),"KLH")</f>
        <v>KLH</v>
      </c>
    </row>
    <row r="1378">
      <c r="A1378" s="5" t="str">
        <f>IFERROR(__xludf.DUMMYFUNCTION("""COMPUTED_VALUE"""),"XB1-RRP-001")</f>
        <v>XB1-RRP-001</v>
      </c>
      <c r="B1378" s="3" t="str">
        <f>IFERROR(__xludf.DUMMYFUNCTION("""COMPUTED_VALUE"""),"Thiết bị rạch - rải phân cỏ tập trung")</f>
        <v>Thiết bị rạch - rải phân cỏ tập trung</v>
      </c>
      <c r="C1378" s="5" t="str">
        <f>IFERROR(__xludf.DUMMYFUNCTION("""COMPUTED_VALUE"""),"XN Bò AD")</f>
        <v>XN Bò AD</v>
      </c>
      <c r="D1378" s="5" t="str">
        <f>IFERROR(__xludf.DUMMYFUNCTION("""COMPUTED_VALUE"""),"THACO AGRI")</f>
        <v>THACO AGRI</v>
      </c>
      <c r="E1378" s="5" t="str">
        <f>IFERROR(__xludf.DUMMYFUNCTION("""COMPUTED_VALUE"""),"Xưởng GCM CGH")</f>
        <v>Xưởng GCM CGH</v>
      </c>
      <c r="F1378" s="5">
        <f>IFERROR(__xludf.DUMMYFUNCTION("""COMPUTED_VALUE"""),2026.0)</f>
        <v>2026</v>
      </c>
      <c r="G1378" s="5" t="str">
        <f>IFERROR(__xludf.DUMMYFUNCTION("""COMPUTED_VALUE"""),"1 đĩa 2 răng rạch")</f>
        <v>1 đĩa 2 răng rạch</v>
      </c>
      <c r="H1378" s="5" t="str">
        <f>IFERROR(__xludf.DUMMYFUNCTION("""COMPUTED_VALUE"""),"90 Hp")</f>
        <v>90 Hp</v>
      </c>
      <c r="I1378" s="5"/>
      <c r="J1378" s="5"/>
      <c r="K1378" s="5"/>
      <c r="L1378" s="5" t="str">
        <f>IFERROR(__xludf.DUMMYFUNCTION("""COMPUTED_VALUE"""),"KLH")</f>
        <v>KLH</v>
      </c>
    </row>
    <row r="1379">
      <c r="A1379" s="5" t="str">
        <f>IFERROR(__xludf.DUMMYFUNCTION("""COMPUTED_VALUE"""),"XB1-RRP-002")</f>
        <v>XB1-RRP-002</v>
      </c>
      <c r="B1379" s="3" t="str">
        <f>IFERROR(__xludf.DUMMYFUNCTION("""COMPUTED_VALUE"""),"Thiết bị rạch - rải phân cỏ tập trung")</f>
        <v>Thiết bị rạch - rải phân cỏ tập trung</v>
      </c>
      <c r="C1379" s="5" t="str">
        <f>IFERROR(__xludf.DUMMYFUNCTION("""COMPUTED_VALUE"""),"XN Bò AD")</f>
        <v>XN Bò AD</v>
      </c>
      <c r="D1379" s="5" t="str">
        <f>IFERROR(__xludf.DUMMYFUNCTION("""COMPUTED_VALUE"""),"THACO AGRI")</f>
        <v>THACO AGRI</v>
      </c>
      <c r="E1379" s="5" t="str">
        <f>IFERROR(__xludf.DUMMYFUNCTION("""COMPUTED_VALUE"""),"Xưởng GCM CGH")</f>
        <v>Xưởng GCM CGH</v>
      </c>
      <c r="F1379" s="5">
        <f>IFERROR(__xludf.DUMMYFUNCTION("""COMPUTED_VALUE"""),2026.0)</f>
        <v>2026</v>
      </c>
      <c r="G1379" s="5" t="str">
        <f>IFERROR(__xludf.DUMMYFUNCTION("""COMPUTED_VALUE"""),"1 đĩa 2 răng rạch")</f>
        <v>1 đĩa 2 răng rạch</v>
      </c>
      <c r="H1379" s="5" t="str">
        <f>IFERROR(__xludf.DUMMYFUNCTION("""COMPUTED_VALUE"""),"90 Hp")</f>
        <v>90 Hp</v>
      </c>
      <c r="I1379" s="5"/>
      <c r="J1379" s="5"/>
      <c r="K1379" s="5"/>
      <c r="L1379" s="5"/>
    </row>
    <row r="1380">
      <c r="A1380" s="5" t="str">
        <f>IFERROR(__xludf.DUMMYFUNCTION("""COMPUTED_VALUE"""),"XB1-TGC-001")</f>
        <v>XB1-TGC-001</v>
      </c>
      <c r="B1380" s="3" t="str">
        <f>IFERROR(__xludf.DUMMYFUNCTION("""COMPUTED_VALUE"""),"Thiết bị tề gốc cỏ 3.5m")</f>
        <v>Thiết bị tề gốc cỏ 3.5m</v>
      </c>
      <c r="C1380" s="5" t="str">
        <f>IFERROR(__xludf.DUMMYFUNCTION("""COMPUTED_VALUE"""),"XN Bò AD")</f>
        <v>XN Bò AD</v>
      </c>
      <c r="D1380" s="5"/>
      <c r="E1380" s="5" t="str">
        <f>IFERROR(__xludf.DUMMYFUNCTION("""COMPUTED_VALUE"""),"CHINA")</f>
        <v>CHINA</v>
      </c>
      <c r="F1380" s="5">
        <f>IFERROR(__xludf.DUMMYFUNCTION("""COMPUTED_VALUE"""),2026.0)</f>
        <v>2026</v>
      </c>
      <c r="G1380" s="5" t="str">
        <f>IFERROR(__xludf.DUMMYFUNCTION("""COMPUTED_VALUE"""),"9GXZ-3.5")</f>
        <v>9GXZ-3.5</v>
      </c>
      <c r="H1380" s="5" t="str">
        <f>IFERROR(__xludf.DUMMYFUNCTION("""COMPUTED_VALUE"""),"100~150 Hp")</f>
        <v>100~150 Hp</v>
      </c>
      <c r="I1380" s="5" t="str">
        <f>IFERROR(__xludf.DUMMYFUNCTION("""COMPUTED_VALUE"""),"XYJXCK-9GXZ-3.5-003")</f>
        <v>XYJXCK-9GXZ-3.5-003</v>
      </c>
      <c r="J1380" s="5"/>
      <c r="K1380" s="5"/>
      <c r="L1380" s="5"/>
    </row>
    <row r="1381">
      <c r="A1381" s="5" t="str">
        <f>IFERROR(__xludf.DUMMYFUNCTION("""COMPUTED_VALUE"""),"GIAO NHẬN VẬN CHUYẺN")</f>
        <v>GIAO NHẬN VẬN CHUYẺN</v>
      </c>
      <c r="B1381" s="3"/>
      <c r="C1381" s="5"/>
      <c r="D1381" s="5"/>
      <c r="E1381" s="5"/>
      <c r="F1381" s="5"/>
      <c r="G1381" s="5"/>
      <c r="H1381" s="5"/>
      <c r="I1381" s="5"/>
      <c r="J1381" s="5"/>
      <c r="K1381" s="5"/>
      <c r="L1381" s="5"/>
    </row>
    <row r="1382">
      <c r="A1382" s="5" t="str">
        <f>IFERROR(__xludf.DUMMYFUNCTION("""COMPUTED_VALUE"""),"TND-RML-001")</f>
        <v>TND-RML-001</v>
      </c>
      <c r="B1382" s="3" t="str">
        <f>IFERROR(__xludf.DUMMYFUNCTION("""COMPUTED_VALUE"""),"SMRM LCD")</f>
        <v>SMRM LCD</v>
      </c>
      <c r="C1382" s="5" t="str">
        <f>IFERROR(__xludf.DUMMYFUNCTION("""COMPUTED_VALUE"""),"Phòng GNVC")</f>
        <v>Phòng GNVC</v>
      </c>
      <c r="D1382" s="5" t="str">
        <f>IFERROR(__xludf.DUMMYFUNCTION("""COMPUTED_VALUE"""),"CAMBODIA")</f>
        <v>CAMBODIA</v>
      </c>
      <c r="E1382" s="5" t="str">
        <f>IFERROR(__xludf.DUMMYFUNCTION("""COMPUTED_VALUE"""),"Mooc LCD 2T")</f>
        <v>Mooc LCD 2T</v>
      </c>
      <c r="F1382" s="5"/>
      <c r="G1382" s="5"/>
      <c r="H1382" s="5"/>
      <c r="I1382" s="5" t="str">
        <f>IFERROR(__xludf.DUMMYFUNCTION("""COMPUTED_VALUE"""),"RN0PD230AKC000913")</f>
        <v>RN0PD230AKC000913</v>
      </c>
      <c r="J1382" s="5"/>
      <c r="K1382" s="5"/>
      <c r="L1382" s="5"/>
    </row>
    <row r="1383">
      <c r="A1383" s="5" t="str">
        <f>IFERROR(__xludf.DUMMYFUNCTION("""COMPUTED_VALUE"""),"TND-RML-003")</f>
        <v>TND-RML-003</v>
      </c>
      <c r="B1383" s="3" t="str">
        <f>IFERROR(__xludf.DUMMYFUNCTION("""COMPUTED_VALUE"""),"SMRM LCD")</f>
        <v>SMRM LCD</v>
      </c>
      <c r="C1383" s="5" t="str">
        <f>IFERROR(__xludf.DUMMYFUNCTION("""COMPUTED_VALUE"""),"Phòng GNVC")</f>
        <v>Phòng GNVC</v>
      </c>
      <c r="D1383" s="5" t="str">
        <f>IFERROR(__xludf.DUMMYFUNCTION("""COMPUTED_VALUE"""),"CAMBODIA")</f>
        <v>CAMBODIA</v>
      </c>
      <c r="E1383" s="5" t="str">
        <f>IFERROR(__xludf.DUMMYFUNCTION("""COMPUTED_VALUE"""),"Mooc LCD 2T")</f>
        <v>Mooc LCD 2T</v>
      </c>
      <c r="F1383" s="5"/>
      <c r="G1383" s="5"/>
      <c r="H1383" s="5"/>
      <c r="I1383" s="5" t="str">
        <f>IFERROR(__xludf.DUMMYFUNCTION("""COMPUTED_VALUE"""),"RN0PD230AKC000920")</f>
        <v>RN0PD230AKC000920</v>
      </c>
      <c r="J1383" s="5"/>
      <c r="K1383" s="5"/>
      <c r="L1383" s="5"/>
    </row>
    <row r="1384">
      <c r="A1384" s="5" t="str">
        <f>IFERROR(__xludf.DUMMYFUNCTION("""COMPUTED_VALUE"""),"TND-RML-005")</f>
        <v>TND-RML-005</v>
      </c>
      <c r="B1384" s="3" t="str">
        <f>IFERROR(__xludf.DUMMYFUNCTION("""COMPUTED_VALUE"""),"SMRM LCD")</f>
        <v>SMRM LCD</v>
      </c>
      <c r="C1384" s="5" t="str">
        <f>IFERROR(__xludf.DUMMYFUNCTION("""COMPUTED_VALUE"""),"Phòng GNVC")</f>
        <v>Phòng GNVC</v>
      </c>
      <c r="D1384" s="5" t="str">
        <f>IFERROR(__xludf.DUMMYFUNCTION("""COMPUTED_VALUE"""),"CAMBODIA")</f>
        <v>CAMBODIA</v>
      </c>
      <c r="E1384" s="5" t="str">
        <f>IFERROR(__xludf.DUMMYFUNCTION("""COMPUTED_VALUE"""),"Mooc LCD 2T")</f>
        <v>Mooc LCD 2T</v>
      </c>
      <c r="F1384" s="5"/>
      <c r="G1384" s="5"/>
      <c r="H1384" s="5"/>
      <c r="I1384" s="5" t="str">
        <f>IFERROR(__xludf.DUMMYFUNCTION("""COMPUTED_VALUE"""),"RN0PD230AKC000915")</f>
        <v>RN0PD230AKC000915</v>
      </c>
      <c r="J1384" s="5"/>
      <c r="K1384" s="5"/>
      <c r="L1384" s="5"/>
    </row>
    <row r="1385">
      <c r="A1385" s="5" t="str">
        <f>IFERROR(__xludf.DUMMYFUNCTION("""COMPUTED_VALUE"""),"TND-RML-006")</f>
        <v>TND-RML-006</v>
      </c>
      <c r="B1385" s="3" t="str">
        <f>IFERROR(__xludf.DUMMYFUNCTION("""COMPUTED_VALUE"""),"SMRM LCD")</f>
        <v>SMRM LCD</v>
      </c>
      <c r="C1385" s="5" t="str">
        <f>IFERROR(__xludf.DUMMYFUNCTION("""COMPUTED_VALUE"""),"Phòng GNVC")</f>
        <v>Phòng GNVC</v>
      </c>
      <c r="D1385" s="5" t="str">
        <f>IFERROR(__xludf.DUMMYFUNCTION("""COMPUTED_VALUE"""),"CAMBODIA")</f>
        <v>CAMBODIA</v>
      </c>
      <c r="E1385" s="5" t="str">
        <f>IFERROR(__xludf.DUMMYFUNCTION("""COMPUTED_VALUE"""),"Mooc LCD 2T")</f>
        <v>Mooc LCD 2T</v>
      </c>
      <c r="F1385" s="5"/>
      <c r="G1385" s="5"/>
      <c r="H1385" s="5"/>
      <c r="I1385" s="5" t="str">
        <f>IFERROR(__xludf.DUMMYFUNCTION("""COMPUTED_VALUE"""),"RN0PD230AKC000918")</f>
        <v>RN0PD230AKC000918</v>
      </c>
      <c r="J1385" s="5"/>
      <c r="K1385" s="5"/>
      <c r="L1385" s="5"/>
    </row>
    <row r="1386">
      <c r="A1386" s="5" t="str">
        <f>IFERROR(__xludf.DUMMYFUNCTION("""COMPUTED_VALUE"""),"TND-RML-007")</f>
        <v>TND-RML-007</v>
      </c>
      <c r="B1386" s="3" t="str">
        <f>IFERROR(__xludf.DUMMYFUNCTION("""COMPUTED_VALUE"""),"SMRM LCD")</f>
        <v>SMRM LCD</v>
      </c>
      <c r="C1386" s="5" t="str">
        <f>IFERROR(__xludf.DUMMYFUNCTION("""COMPUTED_VALUE"""),"Phòng GNVC")</f>
        <v>Phòng GNVC</v>
      </c>
      <c r="D1386" s="5" t="str">
        <f>IFERROR(__xludf.DUMMYFUNCTION("""COMPUTED_VALUE"""),"CAMBODIA")</f>
        <v>CAMBODIA</v>
      </c>
      <c r="E1386" s="5" t="str">
        <f>IFERROR(__xludf.DUMMYFUNCTION("""COMPUTED_VALUE"""),"Mooc LCD 2T")</f>
        <v>Mooc LCD 2T</v>
      </c>
      <c r="F1386" s="5"/>
      <c r="G1386" s="5"/>
      <c r="H1386" s="5"/>
      <c r="I1386" s="5" t="str">
        <f>IFERROR(__xludf.DUMMYFUNCTION("""COMPUTED_VALUE"""),"RN0PD230AKC000904")</f>
        <v>RN0PD230AKC000904</v>
      </c>
      <c r="J1386" s="5"/>
      <c r="K1386" s="5"/>
      <c r="L1386" s="5"/>
    </row>
    <row r="1387">
      <c r="A1387" s="5" t="str">
        <f>IFERROR(__xludf.DUMMYFUNCTION("""COMPUTED_VALUE"""),"TND-RML-008")</f>
        <v>TND-RML-008</v>
      </c>
      <c r="B1387" s="3" t="str">
        <f>IFERROR(__xludf.DUMMYFUNCTION("""COMPUTED_VALUE"""),"SMRM LCD")</f>
        <v>SMRM LCD</v>
      </c>
      <c r="C1387" s="5" t="str">
        <f>IFERROR(__xludf.DUMMYFUNCTION("""COMPUTED_VALUE"""),"Phòng GNVC")</f>
        <v>Phòng GNVC</v>
      </c>
      <c r="D1387" s="5" t="str">
        <f>IFERROR(__xludf.DUMMYFUNCTION("""COMPUTED_VALUE"""),"CAMBODIA")</f>
        <v>CAMBODIA</v>
      </c>
      <c r="E1387" s="5" t="str">
        <f>IFERROR(__xludf.DUMMYFUNCTION("""COMPUTED_VALUE"""),"Mooc LCD 2T")</f>
        <v>Mooc LCD 2T</v>
      </c>
      <c r="F1387" s="5"/>
      <c r="G1387" s="5"/>
      <c r="H1387" s="5"/>
      <c r="I1387" s="5" t="str">
        <f>IFERROR(__xludf.DUMMYFUNCTION("""COMPUTED_VALUE"""),"RN0PD230AKC000926")</f>
        <v>RN0PD230AKC000926</v>
      </c>
      <c r="J1387" s="5"/>
      <c r="K1387" s="5"/>
      <c r="L1387" s="5"/>
    </row>
    <row r="1388">
      <c r="A1388" s="5" t="str">
        <f>IFERROR(__xludf.DUMMYFUNCTION("""COMPUTED_VALUE"""),"TND-RML-009")</f>
        <v>TND-RML-009</v>
      </c>
      <c r="B1388" s="3" t="str">
        <f>IFERROR(__xludf.DUMMYFUNCTION("""COMPUTED_VALUE"""),"SMRM LCD")</f>
        <v>SMRM LCD</v>
      </c>
      <c r="C1388" s="5" t="str">
        <f>IFERROR(__xludf.DUMMYFUNCTION("""COMPUTED_VALUE"""),"Phòng GNVC")</f>
        <v>Phòng GNVC</v>
      </c>
      <c r="D1388" s="5" t="str">
        <f>IFERROR(__xludf.DUMMYFUNCTION("""COMPUTED_VALUE"""),"CAMBODIA")</f>
        <v>CAMBODIA</v>
      </c>
      <c r="E1388" s="5" t="str">
        <f>IFERROR(__xludf.DUMMYFUNCTION("""COMPUTED_VALUE"""),"Mooc LCD 2T")</f>
        <v>Mooc LCD 2T</v>
      </c>
      <c r="F1388" s="5"/>
      <c r="G1388" s="5"/>
      <c r="H1388" s="5"/>
      <c r="I1388" s="5" t="str">
        <f>IFERROR(__xludf.DUMMYFUNCTION("""COMPUTED_VALUE"""),"RN0PD230AKC000927")</f>
        <v>RN0PD230AKC000927</v>
      </c>
      <c r="J1388" s="5"/>
      <c r="K1388" s="5"/>
      <c r="L1388" s="5"/>
    </row>
    <row r="1389">
      <c r="A1389" s="5" t="str">
        <f>IFERROR(__xludf.DUMMYFUNCTION("""COMPUTED_VALUE"""),"TND-RML-014")</f>
        <v>TND-RML-014</v>
      </c>
      <c r="B1389" s="3" t="str">
        <f>IFERROR(__xludf.DUMMYFUNCTION("""COMPUTED_VALUE"""),"SMRM xương sàn/mooc OPT")</f>
        <v>SMRM xương sàn/mooc OPT</v>
      </c>
      <c r="C1389" s="5" t="str">
        <f>IFERROR(__xludf.DUMMYFUNCTION("""COMPUTED_VALUE"""),"Phòng GNVC")</f>
        <v>Phòng GNVC</v>
      </c>
      <c r="D1389" s="5" t="str">
        <f>IFERROR(__xludf.DUMMYFUNCTION("""COMPUTED_VALUE"""),"CAMBODIA")</f>
        <v>CAMBODIA</v>
      </c>
      <c r="E1389" s="5" t="str">
        <f>IFERROR(__xludf.DUMMYFUNCTION("""COMPUTED_VALUE"""),"SMRM 3T")</f>
        <v>SMRM 3T</v>
      </c>
      <c r="F1389" s="5"/>
      <c r="G1389" s="5"/>
      <c r="H1389" s="5"/>
      <c r="I1389" s="5" t="str">
        <f>IFERROR(__xludf.DUMMYFUNCTION("""COMPUTED_VALUE"""),"RN0P3800AFC063963")</f>
        <v>RN0P3800AFC063963</v>
      </c>
      <c r="J1389" s="5"/>
      <c r="K1389" s="5"/>
      <c r="L1389" s="5"/>
    </row>
    <row r="1390">
      <c r="A1390" s="5" t="str">
        <f>IFERROR(__xludf.DUMMYFUNCTION("""COMPUTED_VALUE"""),"TND-RML-015")</f>
        <v>TND-RML-015</v>
      </c>
      <c r="B1390" s="3" t="str">
        <f>IFERROR(__xludf.DUMMYFUNCTION("""COMPUTED_VALUE"""),"SMRM xương sàn/mooc OPT")</f>
        <v>SMRM xương sàn/mooc OPT</v>
      </c>
      <c r="C1390" s="5" t="str">
        <f>IFERROR(__xludf.DUMMYFUNCTION("""COMPUTED_VALUE"""),"Phòng GNVC")</f>
        <v>Phòng GNVC</v>
      </c>
      <c r="D1390" s="5" t="str">
        <f>IFERROR(__xludf.DUMMYFUNCTION("""COMPUTED_VALUE"""),"CAMBODIA")</f>
        <v>CAMBODIA</v>
      </c>
      <c r="E1390" s="5" t="str">
        <f>IFERROR(__xludf.DUMMYFUNCTION("""COMPUTED_VALUE"""),"SMRM 2T")</f>
        <v>SMRM 2T</v>
      </c>
      <c r="F1390" s="5"/>
      <c r="G1390" s="5"/>
      <c r="H1390" s="5"/>
      <c r="I1390" s="5" t="str">
        <f>IFERROR(__xludf.DUMMYFUNCTION("""COMPUTED_VALUE"""),"RN0AA232AKC000909")</f>
        <v>RN0AA232AKC000909</v>
      </c>
      <c r="J1390" s="5"/>
      <c r="K1390" s="5"/>
      <c r="L1390" s="5"/>
    </row>
    <row r="1391">
      <c r="A1391" s="5" t="str">
        <f>IFERROR(__xludf.DUMMYFUNCTION("""COMPUTED_VALUE"""),"TND-RML-017")</f>
        <v>TND-RML-017</v>
      </c>
      <c r="B1391" s="3" t="str">
        <f>IFERROR(__xludf.DUMMYFUNCTION("""COMPUTED_VALUE"""),"SMRM LCD")</f>
        <v>SMRM LCD</v>
      </c>
      <c r="C1391" s="5" t="str">
        <f>IFERROR(__xludf.DUMMYFUNCTION("""COMPUTED_VALUE"""),"Phòng GNVC")</f>
        <v>Phòng GNVC</v>
      </c>
      <c r="D1391" s="5" t="str">
        <f>IFERROR(__xludf.DUMMYFUNCTION("""COMPUTED_VALUE"""),"CAMBODIA")</f>
        <v>CAMBODIA</v>
      </c>
      <c r="E1391" s="5" t="str">
        <f>IFERROR(__xludf.DUMMYFUNCTION("""COMPUTED_VALUE"""),"Mooc LCD 2T")</f>
        <v>Mooc LCD 2T</v>
      </c>
      <c r="F1391" s="5"/>
      <c r="G1391" s="5"/>
      <c r="H1391" s="5"/>
      <c r="I1391" s="5" t="str">
        <f>IFERROR(__xludf.DUMMYFUNCTION("""COMPUTED_VALUE"""),"RN0PD230AKC000928")</f>
        <v>RN0PD230AKC000928</v>
      </c>
      <c r="J1391" s="5"/>
      <c r="K1391" s="5"/>
      <c r="L1391" s="5"/>
    </row>
    <row r="1392">
      <c r="A1392" s="5" t="str">
        <f>IFERROR(__xludf.DUMMYFUNCTION("""COMPUTED_VALUE"""),"TND-RML-020")</f>
        <v>TND-RML-020</v>
      </c>
      <c r="B1392" s="3" t="str">
        <f>IFERROR(__xludf.DUMMYFUNCTION("""COMPUTED_VALUE"""),"SMRM xương sàn/mooc OPT")</f>
        <v>SMRM xương sàn/mooc OPT</v>
      </c>
      <c r="C1392" s="5" t="str">
        <f>IFERROR(__xludf.DUMMYFUNCTION("""COMPUTED_VALUE"""),"Phòng GNVC")</f>
        <v>Phòng GNVC</v>
      </c>
      <c r="D1392" s="5" t="str">
        <f>IFERROR(__xludf.DUMMYFUNCTION("""COMPUTED_VALUE"""),"CAMBODIA")</f>
        <v>CAMBODIA</v>
      </c>
      <c r="E1392" s="5" t="str">
        <f>IFERROR(__xludf.DUMMYFUNCTION("""COMPUTED_VALUE"""),"SMRM 2T")</f>
        <v>SMRM 2T</v>
      </c>
      <c r="F1392" s="5"/>
      <c r="G1392" s="5"/>
      <c r="H1392" s="5"/>
      <c r="I1392" s="5" t="str">
        <f>IFERROR(__xludf.DUMMYFUNCTION("""COMPUTED_VALUE"""),"RN0AA232AKC000911")</f>
        <v>RN0AA232AKC000911</v>
      </c>
      <c r="J1392" s="5"/>
      <c r="K1392" s="5"/>
      <c r="L1392" s="5"/>
    </row>
    <row r="1393">
      <c r="A1393" s="5" t="str">
        <f>IFERROR(__xludf.DUMMYFUNCTION("""COMPUTED_VALUE"""),"TND-RML-021")</f>
        <v>TND-RML-021</v>
      </c>
      <c r="B1393" s="3" t="str">
        <f>IFERROR(__xludf.DUMMYFUNCTION("""COMPUTED_VALUE"""),"SMRM xương sàn/mooc OPT")</f>
        <v>SMRM xương sàn/mooc OPT</v>
      </c>
      <c r="C1393" s="5" t="str">
        <f>IFERROR(__xludf.DUMMYFUNCTION("""COMPUTED_VALUE"""),"Phòng GNVC")</f>
        <v>Phòng GNVC</v>
      </c>
      <c r="D1393" s="5" t="str">
        <f>IFERROR(__xludf.DUMMYFUNCTION("""COMPUTED_VALUE"""),"CAMBODIA")</f>
        <v>CAMBODIA</v>
      </c>
      <c r="E1393" s="5" t="str">
        <f>IFERROR(__xludf.DUMMYFUNCTION("""COMPUTED_VALUE"""),"SMRM 3T")</f>
        <v>SMRM 3T</v>
      </c>
      <c r="F1393" s="5"/>
      <c r="G1393" s="5"/>
      <c r="H1393" s="5"/>
      <c r="I1393" s="5" t="str">
        <f>IFERROR(__xludf.DUMMYFUNCTION("""COMPUTED_VALUE"""),"RN0AA339DJC000778")</f>
        <v>RN0AA339DJC000778</v>
      </c>
      <c r="J1393" s="5"/>
      <c r="K1393" s="5"/>
      <c r="L1393" s="5"/>
    </row>
    <row r="1394">
      <c r="A1394" s="5" t="str">
        <f>IFERROR(__xludf.DUMMYFUNCTION("""COMPUTED_VALUE"""),"TND-RML-022")</f>
        <v>TND-RML-022</v>
      </c>
      <c r="B1394" s="3" t="str">
        <f>IFERROR(__xludf.DUMMYFUNCTION("""COMPUTED_VALUE"""),"SMRM xương sàn/mooc OPT")</f>
        <v>SMRM xương sàn/mooc OPT</v>
      </c>
      <c r="C1394" s="5" t="str">
        <f>IFERROR(__xludf.DUMMYFUNCTION("""COMPUTED_VALUE"""),"Phòng GNVC")</f>
        <v>Phòng GNVC</v>
      </c>
      <c r="D1394" s="5" t="str">
        <f>IFERROR(__xludf.DUMMYFUNCTION("""COMPUTED_VALUE"""),"CAMBODIA")</f>
        <v>CAMBODIA</v>
      </c>
      <c r="E1394" s="5" t="str">
        <f>IFERROR(__xludf.DUMMYFUNCTION("""COMPUTED_VALUE"""),"SMRM 3T")</f>
        <v>SMRM 3T</v>
      </c>
      <c r="F1394" s="5"/>
      <c r="G1394" s="5"/>
      <c r="H1394" s="5"/>
      <c r="I1394" s="5" t="str">
        <f>IFERROR(__xludf.DUMMYFUNCTION("""COMPUTED_VALUE"""),"RN0AA339DJC000777")</f>
        <v>RN0AA339DJC000777</v>
      </c>
      <c r="J1394" s="5"/>
      <c r="K1394" s="5"/>
      <c r="L1394" s="5"/>
    </row>
    <row r="1395">
      <c r="A1395" s="5" t="str">
        <f>IFERROR(__xludf.DUMMYFUNCTION("""COMPUTED_VALUE"""),"TND-RML-023")</f>
        <v>TND-RML-023</v>
      </c>
      <c r="B1395" s="3" t="str">
        <f>IFERROR(__xludf.DUMMYFUNCTION("""COMPUTED_VALUE"""),"SMRM xương sàn/mooc OPT")</f>
        <v>SMRM xương sàn/mooc OPT</v>
      </c>
      <c r="C1395" s="5" t="str">
        <f>IFERROR(__xludf.DUMMYFUNCTION("""COMPUTED_VALUE"""),"Phòng GNVC")</f>
        <v>Phòng GNVC</v>
      </c>
      <c r="D1395" s="5" t="str">
        <f>IFERROR(__xludf.DUMMYFUNCTION("""COMPUTED_VALUE"""),"CAMBODIA")</f>
        <v>CAMBODIA</v>
      </c>
      <c r="E1395" s="5" t="str">
        <f>IFERROR(__xludf.DUMMYFUNCTION("""COMPUTED_VALUE"""),"SMRM 3T")</f>
        <v>SMRM 3T</v>
      </c>
      <c r="F1395" s="5"/>
      <c r="G1395" s="5"/>
      <c r="H1395" s="5"/>
      <c r="I1395" s="5" t="str">
        <f>IFERROR(__xludf.DUMMYFUNCTION("""COMPUTED_VALUE"""),"RNHR3910AGC063968")</f>
        <v>RNHR3910AGC063968</v>
      </c>
      <c r="J1395" s="5"/>
      <c r="K1395" s="5"/>
      <c r="L1395" s="5"/>
    </row>
    <row r="1396">
      <c r="A1396" s="5" t="str">
        <f>IFERROR(__xludf.DUMMYFUNCTION("""COMPUTED_VALUE"""),"TND-RML-024")</f>
        <v>TND-RML-024</v>
      </c>
      <c r="B1396" s="3" t="str">
        <f>IFERROR(__xludf.DUMMYFUNCTION("""COMPUTED_VALUE"""),"SMRM LCD")</f>
        <v>SMRM LCD</v>
      </c>
      <c r="C1396" s="5" t="str">
        <f>IFERROR(__xludf.DUMMYFUNCTION("""COMPUTED_VALUE"""),"Phòng GNVC")</f>
        <v>Phòng GNVC</v>
      </c>
      <c r="D1396" s="5"/>
      <c r="E1396" s="5" t="str">
        <f>IFERROR(__xludf.DUMMYFUNCTION("""COMPUTED_VALUE"""),"SMRM 3T")</f>
        <v>SMRM 3T</v>
      </c>
      <c r="F1396" s="5"/>
      <c r="G1396" s="5"/>
      <c r="H1396" s="5"/>
      <c r="I1396" s="5" t="str">
        <f>IFERROR(__xludf.DUMMYFUNCTION("""COMPUTED_VALUE"""),"RN0PD230AKC000973")</f>
        <v>RN0PD230AKC000973</v>
      </c>
      <c r="J1396" s="5"/>
      <c r="K1396" s="5"/>
      <c r="L1396" s="5"/>
    </row>
    <row r="1397">
      <c r="A1397" s="5" t="str">
        <f>IFERROR(__xludf.DUMMYFUNCTION("""COMPUTED_VALUE"""),"TND-RML-025")</f>
        <v>TND-RML-025</v>
      </c>
      <c r="B1397" s="3" t="str">
        <f>IFERROR(__xludf.DUMMYFUNCTION("""COMPUTED_VALUE"""),"SMRM LCD")</f>
        <v>SMRM LCD</v>
      </c>
      <c r="C1397" s="5" t="str">
        <f>IFERROR(__xludf.DUMMYFUNCTION("""COMPUTED_VALUE"""),"Phòng GNVC")</f>
        <v>Phòng GNVC</v>
      </c>
      <c r="D1397" s="5"/>
      <c r="E1397" s="5" t="str">
        <f>IFERROR(__xludf.DUMMYFUNCTION("""COMPUTED_VALUE"""),"SMRM 3T")</f>
        <v>SMRM 3T</v>
      </c>
      <c r="F1397" s="5"/>
      <c r="G1397" s="5"/>
      <c r="H1397" s="5"/>
      <c r="I1397" s="5" t="str">
        <f>IFERROR(__xludf.DUMMYFUNCTION("""COMPUTED_VALUE"""),"RN0PD230AKC000929")</f>
        <v>RN0PD230AKC000929</v>
      </c>
      <c r="J1397" s="5"/>
      <c r="K1397" s="5"/>
      <c r="L1397" s="5"/>
    </row>
    <row r="1398">
      <c r="A1398" s="5" t="str">
        <f>IFERROR(__xludf.DUMMYFUNCTION("""COMPUTED_VALUE"""),"TND-RML-026")</f>
        <v>TND-RML-026</v>
      </c>
      <c r="B1398" s="3" t="str">
        <f>IFERROR(__xludf.DUMMYFUNCTION("""COMPUTED_VALUE"""),"SMRM LCD")</f>
        <v>SMRM LCD</v>
      </c>
      <c r="C1398" s="5" t="str">
        <f>IFERROR(__xludf.DUMMYFUNCTION("""COMPUTED_VALUE"""),"Phòng GNVC")</f>
        <v>Phòng GNVC</v>
      </c>
      <c r="D1398" s="5"/>
      <c r="E1398" s="5" t="str">
        <f>IFERROR(__xludf.DUMMYFUNCTION("""COMPUTED_VALUE"""),"SMRM 2T")</f>
        <v>SMRM 2T</v>
      </c>
      <c r="F1398" s="5"/>
      <c r="G1398" s="5"/>
      <c r="H1398" s="5"/>
      <c r="I1398" s="5" t="str">
        <f>IFERROR(__xludf.DUMMYFUNCTION("""COMPUTED_VALUE"""),"RN0PD230AKC000923")</f>
        <v>RN0PD230AKC000923</v>
      </c>
      <c r="J1398" s="5"/>
      <c r="K1398" s="5"/>
      <c r="L1398" s="5"/>
    </row>
    <row r="1399">
      <c r="A1399" s="5" t="str">
        <f>IFERROR(__xludf.DUMMYFUNCTION("""COMPUTED_VALUE"""),"TND-RML-027")</f>
        <v>TND-RML-027</v>
      </c>
      <c r="B1399" s="3" t="str">
        <f>IFERROR(__xludf.DUMMYFUNCTION("""COMPUTED_VALUE"""),"SMRM xương sàn/mooc OPT")</f>
        <v>SMRM xương sàn/mooc OPT</v>
      </c>
      <c r="C1399" s="5" t="str">
        <f>IFERROR(__xludf.DUMMYFUNCTION("""COMPUTED_VALUE"""),"Phòng GNVC")</f>
        <v>Phòng GNVC</v>
      </c>
      <c r="D1399" s="5"/>
      <c r="E1399" s="5"/>
      <c r="F1399" s="5"/>
      <c r="G1399" s="5"/>
      <c r="H1399" s="5"/>
      <c r="I1399" s="5"/>
      <c r="J1399" s="5"/>
      <c r="K1399" s="5"/>
      <c r="L1399" s="5"/>
    </row>
    <row r="1400">
      <c r="A1400" s="5" t="str">
        <f>IFERROR(__xludf.DUMMYFUNCTION("""COMPUTED_VALUE"""),"MOOC THUÊ NGOÀI XN")</f>
        <v>MOOC THUÊ NGOÀI XN</v>
      </c>
      <c r="B1400" s="3"/>
      <c r="C1400" s="5"/>
      <c r="D1400" s="5"/>
      <c r="E1400" s="5"/>
      <c r="F1400" s="5"/>
      <c r="G1400" s="5"/>
      <c r="H1400" s="5"/>
      <c r="I1400" s="5"/>
      <c r="J1400" s="5"/>
      <c r="K1400" s="5"/>
      <c r="L1400" s="5"/>
    </row>
    <row r="1401">
      <c r="A1401" s="5" t="str">
        <f>IFERROR(__xludf.DUMMYFUNCTION("""COMPUTED_VALUE"""),"TND-RML-024")</f>
        <v>TND-RML-024</v>
      </c>
      <c r="B1401" s="3" t="str">
        <f>IFERROR(__xludf.DUMMYFUNCTION("""COMPUTED_VALUE"""),"SMRM xương sàn/mooc OPT")</f>
        <v>SMRM xương sàn/mooc OPT</v>
      </c>
      <c r="C1401" s="5" t="str">
        <f>IFERROR(__xludf.DUMMYFUNCTION("""COMPUTED_VALUE"""),"XN Chuối DP3")</f>
        <v>XN Chuối DP3</v>
      </c>
      <c r="D1401" s="5" t="str">
        <f>IFERROR(__xludf.DUMMYFUNCTION("""COMPUTED_VALUE"""),"CAMBODIA")</f>
        <v>CAMBODIA</v>
      </c>
      <c r="E1401" s="5" t="str">
        <f>IFERROR(__xludf.DUMMYFUNCTION("""COMPUTED_VALUE"""),"OPT")</f>
        <v>OPT</v>
      </c>
      <c r="F1401" s="5"/>
      <c r="G1401" s="5"/>
      <c r="H1401" s="5"/>
      <c r="I1401" s="5" t="str">
        <f>IFERROR(__xludf.DUMMYFUNCTION("""COMPUTED_VALUE"""),"RN0PD339AKC000990")</f>
        <v>RN0PD339AKC000990</v>
      </c>
      <c r="J1401" s="5"/>
      <c r="K1401" s="5"/>
      <c r="L1401" s="5"/>
    </row>
    <row r="1402">
      <c r="A1402" s="5" t="str">
        <f>IFERROR(__xludf.DUMMYFUNCTION("""COMPUTED_VALUE"""),"TND-RML-025")</f>
        <v>TND-RML-025</v>
      </c>
      <c r="B1402" s="3" t="str">
        <f>IFERROR(__xludf.DUMMYFUNCTION("""COMPUTED_VALUE"""),"SMRM xương sàn/mooc OPT (ĐÔNG LẠNH)")</f>
        <v>SMRM xương sàn/mooc OPT (ĐÔNG LẠNH)</v>
      </c>
      <c r="C1402" s="5" t="str">
        <f>IFERROR(__xludf.DUMMYFUNCTION("""COMPUTED_VALUE"""),"Hành chính KLH")</f>
        <v>Hành chính KLH</v>
      </c>
      <c r="D1402" s="5" t="str">
        <f>IFERROR(__xludf.DUMMYFUNCTION("""COMPUTED_VALUE"""),"CAMBODIA")</f>
        <v>CAMBODIA</v>
      </c>
      <c r="E1402" s="5" t="str">
        <f>IFERROR(__xludf.DUMMYFUNCTION("""COMPUTED_VALUE"""),"OPT")</f>
        <v>OPT</v>
      </c>
      <c r="F1402" s="5"/>
      <c r="G1402" s="5"/>
      <c r="H1402" s="5"/>
      <c r="I1402" s="5" t="str">
        <f>IFERROR(__xludf.DUMMYFUNCTION("""COMPUTED_VALUE"""),"RN0PD230AKC000925")</f>
        <v>RN0PD230AKC000925</v>
      </c>
      <c r="J1402" s="5"/>
      <c r="K1402" s="5"/>
      <c r="L1402" s="5"/>
    </row>
    <row r="1403">
      <c r="A1403" s="5" t="str">
        <f>IFERROR(__xludf.DUMMYFUNCTION("""COMPUTED_VALUE"""),"CÁC BỘ PHẬN KHÁC ")</f>
        <v>CÁC BỘ PHẬN KHÁC </v>
      </c>
      <c r="B1403" s="3"/>
      <c r="C1403" s="5"/>
      <c r="D1403" s="5"/>
      <c r="E1403" s="5"/>
      <c r="F1403" s="5"/>
      <c r="G1403" s="5"/>
      <c r="H1403" s="5"/>
      <c r="I1403" s="5"/>
      <c r="J1403" s="5"/>
      <c r="K1403" s="5"/>
      <c r="L1403" s="5"/>
    </row>
    <row r="1404">
      <c r="A1404" s="5" t="str">
        <f>IFERROR(__xludf.DUMMYFUNCTION("""COMPUTED_VALUE"""),"HCA-RMC-001")</f>
        <v>HCA-RMC-001</v>
      </c>
      <c r="B1404" s="3" t="str">
        <f>IFERROR(__xludf.DUMMYFUNCTION("""COMPUTED_VALUE"""),"Rơ mooc gắn máy kéo")</f>
        <v>Rơ mooc gắn máy kéo</v>
      </c>
      <c r="C1404" s="5" t="str">
        <f>IFERROR(__xludf.DUMMYFUNCTION("""COMPUTED_VALUE"""),"Hành chính KLH")</f>
        <v>Hành chính KLH</v>
      </c>
      <c r="D1404" s="5" t="str">
        <f>IFERROR(__xludf.DUMMYFUNCTION("""COMPUTED_VALUE"""),"THACO AGRI")</f>
        <v>THACO AGRI</v>
      </c>
      <c r="E1404" s="5"/>
      <c r="F1404" s="5"/>
      <c r="G1404" s="5"/>
      <c r="H1404" s="5" t="str">
        <f>IFERROR(__xludf.DUMMYFUNCTION("""COMPUTED_VALUE"""),"2x4x0.7m")</f>
        <v>2x4x0.7m</v>
      </c>
      <c r="I1404" s="5"/>
      <c r="J1404" s="5"/>
      <c r="K1404" s="5"/>
      <c r="L1404" s="5"/>
    </row>
    <row r="1405">
      <c r="A1405" s="5" t="str">
        <f>IFERROR(__xludf.DUMMYFUNCTION("""COMPUTED_VALUE"""),"CKD-RMC-001")</f>
        <v>CKD-RMC-001</v>
      </c>
      <c r="B1405" s="3" t="str">
        <f>IFERROR(__xludf.DUMMYFUNCTION("""COMPUTED_VALUE"""),"Rơ mooc RMHA")</f>
        <v>Rơ mooc RMHA</v>
      </c>
      <c r="C1405" s="5" t="str">
        <f>IFERROR(__xludf.DUMMYFUNCTION("""COMPUTED_VALUE"""),"Xưởng Cơ khí DP")</f>
        <v>Xưởng Cơ khí DP</v>
      </c>
      <c r="D1405" s="5" t="str">
        <f>IFERROR(__xludf.DUMMYFUNCTION("""COMPUTED_VALUE"""),"THACO AGRI")</f>
        <v>THACO AGRI</v>
      </c>
      <c r="E1405" s="5"/>
      <c r="F1405" s="5"/>
      <c r="G1405" s="5"/>
      <c r="H1405" s="5"/>
      <c r="I1405" s="5"/>
      <c r="J1405" s="5"/>
      <c r="K1405" s="5"/>
      <c r="L1405" s="5"/>
    </row>
    <row r="1406">
      <c r="A1406" s="5" t="str">
        <f>IFERROR(__xludf.DUMMYFUNCTION("""COMPUTED_VALUE"""),"CKD-RMC-002")</f>
        <v>CKD-RMC-002</v>
      </c>
      <c r="B1406" s="3" t="str">
        <f>IFERROR(__xludf.DUMMYFUNCTION("""COMPUTED_VALUE"""),"Rơ mooc RMHA")</f>
        <v>Rơ mooc RMHA</v>
      </c>
      <c r="C1406" s="5" t="str">
        <f>IFERROR(__xludf.DUMMYFUNCTION("""COMPUTED_VALUE"""),"Xưởng Cơ khí DP")</f>
        <v>Xưởng Cơ khí DP</v>
      </c>
      <c r="D1406" s="5" t="str">
        <f>IFERROR(__xludf.DUMMYFUNCTION("""COMPUTED_VALUE"""),"THACO AGRI")</f>
        <v>THACO AGRI</v>
      </c>
      <c r="E1406" s="5"/>
      <c r="F1406" s="5"/>
      <c r="G1406" s="5"/>
      <c r="H1406" s="5"/>
      <c r="I1406" s="5"/>
      <c r="J1406" s="5"/>
      <c r="K1406" s="5"/>
      <c r="L1406" s="5"/>
    </row>
    <row r="1407">
      <c r="A1407" s="5" t="str">
        <f>IFERROR(__xludf.DUMMYFUNCTION("""COMPUTED_VALUE"""),"CKD-RMC-003")</f>
        <v>CKD-RMC-003</v>
      </c>
      <c r="B1407" s="3" t="str">
        <f>IFERROR(__xludf.DUMMYFUNCTION("""COMPUTED_VALUE"""),"Rơ mooc RMHA")</f>
        <v>Rơ mooc RMHA</v>
      </c>
      <c r="C1407" s="5" t="str">
        <f>IFERROR(__xludf.DUMMYFUNCTION("""COMPUTED_VALUE"""),"Xưởng Cơ khí DP")</f>
        <v>Xưởng Cơ khí DP</v>
      </c>
      <c r="D1407" s="5" t="str">
        <f>IFERROR(__xludf.DUMMYFUNCTION("""COMPUTED_VALUE"""),"THACO AGRI")</f>
        <v>THACO AGRI</v>
      </c>
      <c r="E1407" s="5"/>
      <c r="F1407" s="5"/>
      <c r="G1407" s="5"/>
      <c r="H1407" s="5"/>
      <c r="I1407" s="5"/>
      <c r="J1407" s="5"/>
      <c r="K1407" s="5"/>
      <c r="L1407" s="5"/>
    </row>
    <row r="1408">
      <c r="A1408" s="5" t="str">
        <f>IFERROR(__xludf.DUMMYFUNCTION("""COMPUTED_VALUE"""),"CKD-RMC-004")</f>
        <v>CKD-RMC-004</v>
      </c>
      <c r="B1408" s="3" t="str">
        <f>IFERROR(__xludf.DUMMYFUNCTION("""COMPUTED_VALUE"""),"Rơ mooc RMHA")</f>
        <v>Rơ mooc RMHA</v>
      </c>
      <c r="C1408" s="5" t="str">
        <f>IFERROR(__xludf.DUMMYFUNCTION("""COMPUTED_VALUE"""),"Xưởng Cơ khí DP")</f>
        <v>Xưởng Cơ khí DP</v>
      </c>
      <c r="D1408" s="5" t="str">
        <f>IFERROR(__xludf.DUMMYFUNCTION("""COMPUTED_VALUE"""),"THACO AGRI")</f>
        <v>THACO AGRI</v>
      </c>
      <c r="E1408" s="5"/>
      <c r="F1408" s="5"/>
      <c r="G1408" s="5"/>
      <c r="H1408" s="5"/>
      <c r="I1408" s="5"/>
      <c r="J1408" s="5"/>
      <c r="K1408" s="5"/>
      <c r="L1408" s="5"/>
    </row>
    <row r="1409">
      <c r="A1409" s="5" t="str">
        <f>IFERROR(__xludf.DUMMYFUNCTION("""COMPUTED_VALUE"""),"CKD-MKC-001")</f>
        <v>CKD-MKC-001</v>
      </c>
      <c r="B1409" s="3" t="str">
        <f>IFERROR(__xludf.DUMMYFUNCTION("""COMPUTED_VALUE"""),"Máy kéo chuối")</f>
        <v>Máy kéo chuối</v>
      </c>
      <c r="C1409" s="5" t="str">
        <f>IFERROR(__xludf.DUMMYFUNCTION("""COMPUTED_VALUE"""),"Xưởng Cơ khí DP")</f>
        <v>Xưởng Cơ khí DP</v>
      </c>
      <c r="D1409" s="5" t="str">
        <f>IFERROR(__xludf.DUMMYFUNCTION("""COMPUTED_VALUE"""),"THACO AGRI")</f>
        <v>THACO AGRI</v>
      </c>
      <c r="E1409" s="5"/>
      <c r="F1409" s="5"/>
      <c r="G1409" s="5"/>
      <c r="H1409" s="5"/>
      <c r="I1409" s="5"/>
      <c r="J1409" s="5"/>
      <c r="K1409" s="5">
        <f>IFERROR(__xludf.DUMMYFUNCTION("""COMPUTED_VALUE"""),0.56)</f>
        <v>0.56</v>
      </c>
      <c r="L1409" s="5"/>
    </row>
    <row r="1410">
      <c r="A1410" s="5" t="str">
        <f>IFERROR(__xludf.DUMMYFUNCTION("""COMPUTED_VALUE"""),"ĐNA-RMC-002")</f>
        <v>ĐNA-RMC-002</v>
      </c>
      <c r="B1410" s="3" t="str">
        <f>IFERROR(__xludf.DUMMYFUNCTION("""COMPUTED_VALUE"""),"Rơ mooc thu hoạch")</f>
        <v>Rơ mooc thu hoạch</v>
      </c>
      <c r="C1410" s="5" t="str">
        <f>IFERROR(__xludf.DUMMYFUNCTION("""COMPUTED_VALUE"""),"XN Chuối AD2")</f>
        <v>XN Chuối AD2</v>
      </c>
      <c r="D1410" s="5" t="str">
        <f>IFERROR(__xludf.DUMMYFUNCTION("""COMPUTED_VALUE"""),"THACO AGRI")</f>
        <v>THACO AGRI</v>
      </c>
      <c r="E1410" s="5"/>
      <c r="F1410" s="5"/>
      <c r="G1410" s="5"/>
      <c r="H1410" s="5"/>
      <c r="I1410" s="5" t="str">
        <f>IFERROR(__xludf.DUMMYFUNCTION("""COMPUTED_VALUE"""),"40 BUỒNG")</f>
        <v>40 BUỒNG</v>
      </c>
      <c r="J1410" s="5"/>
      <c r="K1410" s="5"/>
      <c r="L1410" s="5"/>
    </row>
    <row r="1411">
      <c r="A1411" s="5" t="str">
        <f>IFERROR(__xludf.DUMMYFUNCTION("""COMPUTED_VALUE"""),"ĐNA-RMC-001")</f>
        <v>ĐNA-RMC-001</v>
      </c>
      <c r="B1411" s="3" t="str">
        <f>IFERROR(__xludf.DUMMYFUNCTION("""COMPUTED_VALUE"""),"Rơ mooc RMHA")</f>
        <v>Rơ mooc RMHA</v>
      </c>
      <c r="C1411" s="5" t="str">
        <f>IFERROR(__xludf.DUMMYFUNCTION("""COMPUTED_VALUE"""),"Ban Điện nước")</f>
        <v>Ban Điện nước</v>
      </c>
      <c r="D1411" s="5" t="str">
        <f>IFERROR(__xludf.DUMMYFUNCTION("""COMPUTED_VALUE"""),"THACO AGRI")</f>
        <v>THACO AGRI</v>
      </c>
      <c r="E1411" s="5"/>
      <c r="F1411" s="5"/>
      <c r="G1411" s="5"/>
      <c r="H1411" s="5"/>
      <c r="I1411" s="5"/>
      <c r="J1411" s="5"/>
      <c r="K1411" s="5"/>
      <c r="L1411" s="5"/>
    </row>
    <row r="1412">
      <c r="A1412" s="5" t="str">
        <f>IFERROR(__xludf.DUMMYFUNCTION("""COMPUTED_VALUE"""),"ĐNA-GĐH-001")</f>
        <v>ĐNA-GĐH-001</v>
      </c>
      <c r="B1412" s="3" t="str">
        <f>IFERROR(__xludf.DUMMYFUNCTION("""COMPUTED_VALUE"""),"Gàu định hình đào rãnh bỏ ống nước")</f>
        <v>Gàu định hình đào rãnh bỏ ống nước</v>
      </c>
      <c r="C1412" s="5" t="str">
        <f>IFERROR(__xludf.DUMMYFUNCTION("""COMPUTED_VALUE"""),"Ban Điện nước")</f>
        <v>Ban Điện nước</v>
      </c>
      <c r="D1412" s="5" t="str">
        <f>IFERROR(__xludf.DUMMYFUNCTION("""COMPUTED_VALUE"""),"THACO AGRI")</f>
        <v>THACO AGRI</v>
      </c>
      <c r="E1412" s="5"/>
      <c r="F1412" s="5"/>
      <c r="G1412" s="5" t="str">
        <f>IFERROR(__xludf.DUMMYFUNCTION("""COMPUTED_VALUE"""),"2024")</f>
        <v>2024</v>
      </c>
      <c r="H1412" s="5" t="str">
        <f>IFERROR(__xludf.DUMMYFUNCTION("""COMPUTED_VALUE"""),"350x200x400")</f>
        <v>350x200x400</v>
      </c>
      <c r="I1412" s="5"/>
      <c r="J1412" s="5"/>
      <c r="K1412" s="5"/>
      <c r="L1412" s="5"/>
    </row>
    <row r="1413">
      <c r="A1413" s="5" t="str">
        <f>IFERROR(__xludf.DUMMYFUNCTION("""COMPUTED_VALUE"""),"ĐNA-GĐH-002")</f>
        <v>ĐNA-GĐH-002</v>
      </c>
      <c r="B1413" s="3" t="str">
        <f>IFERROR(__xludf.DUMMYFUNCTION("""COMPUTED_VALUE"""),"Gàu định hình đào rãnh bỏ ống nước")</f>
        <v>Gàu định hình đào rãnh bỏ ống nước</v>
      </c>
      <c r="C1413" s="5" t="str">
        <f>IFERROR(__xludf.DUMMYFUNCTION("""COMPUTED_VALUE"""),"Ban Điện nước")</f>
        <v>Ban Điện nước</v>
      </c>
      <c r="D1413" s="5" t="str">
        <f>IFERROR(__xludf.DUMMYFUNCTION("""COMPUTED_VALUE"""),"THACO AGRI")</f>
        <v>THACO AGRI</v>
      </c>
      <c r="E1413" s="5"/>
      <c r="F1413" s="5"/>
      <c r="G1413" s="5" t="str">
        <f>IFERROR(__xludf.DUMMYFUNCTION("""COMPUTED_VALUE"""),"2024")</f>
        <v>2024</v>
      </c>
      <c r="H1413" s="5" t="str">
        <f>IFERROR(__xludf.DUMMYFUNCTION("""COMPUTED_VALUE"""),"350x200x400")</f>
        <v>350x200x400</v>
      </c>
      <c r="I1413" s="5"/>
      <c r="J1413" s="5"/>
      <c r="K1413" s="5"/>
      <c r="L1413" s="5"/>
    </row>
    <row r="1414">
      <c r="A1414" s="5" t="str">
        <f>IFERROR(__xludf.DUMMYFUNCTION("""COMPUTED_VALUE"""),"ĐNA-GĐH-003")</f>
        <v>ĐNA-GĐH-003</v>
      </c>
      <c r="B1414" s="3" t="str">
        <f>IFERROR(__xludf.DUMMYFUNCTION("""COMPUTED_VALUE"""),"Gàu định hình đào rãnh bỏ ống nước")</f>
        <v>Gàu định hình đào rãnh bỏ ống nước</v>
      </c>
      <c r="C1414" s="5" t="str">
        <f>IFERROR(__xludf.DUMMYFUNCTION("""COMPUTED_VALUE"""),"Ban Điện nước")</f>
        <v>Ban Điện nước</v>
      </c>
      <c r="D1414" s="5" t="str">
        <f>IFERROR(__xludf.DUMMYFUNCTION("""COMPUTED_VALUE"""),"THACO AGRI")</f>
        <v>THACO AGRI</v>
      </c>
      <c r="E1414" s="5"/>
      <c r="F1414" s="5"/>
      <c r="G1414" s="5" t="str">
        <f>IFERROR(__xludf.DUMMYFUNCTION("""COMPUTED_VALUE"""),"2024")</f>
        <v>2024</v>
      </c>
      <c r="H1414" s="5" t="str">
        <f>IFERROR(__xludf.DUMMYFUNCTION("""COMPUTED_VALUE"""),"350x200x400")</f>
        <v>350x200x400</v>
      </c>
      <c r="I1414" s="5"/>
      <c r="J1414" s="5"/>
      <c r="K1414" s="5"/>
      <c r="L1414" s="5"/>
    </row>
    <row r="1415">
      <c r="A1415" s="5" t="str">
        <f>IFERROR(__xludf.DUMMYFUNCTION("""COMPUTED_VALUE"""),"ĐNA-GĐH-004")</f>
        <v>ĐNA-GĐH-004</v>
      </c>
      <c r="B1415" s="3" t="str">
        <f>IFERROR(__xludf.DUMMYFUNCTION("""COMPUTED_VALUE"""),"Gàu định hình đào rãnh bỏ ống nước")</f>
        <v>Gàu định hình đào rãnh bỏ ống nước</v>
      </c>
      <c r="C1415" s="5" t="str">
        <f>IFERROR(__xludf.DUMMYFUNCTION("""COMPUTED_VALUE"""),"Ban Điện nước")</f>
        <v>Ban Điện nước</v>
      </c>
      <c r="D1415" s="5" t="str">
        <f>IFERROR(__xludf.DUMMYFUNCTION("""COMPUTED_VALUE"""),"THACO AGRI")</f>
        <v>THACO AGRI</v>
      </c>
      <c r="E1415" s="5"/>
      <c r="F1415" s="5"/>
      <c r="G1415" s="5" t="str">
        <f>IFERROR(__xludf.DUMMYFUNCTION("""COMPUTED_VALUE"""),"2024")</f>
        <v>2024</v>
      </c>
      <c r="H1415" s="5" t="str">
        <f>IFERROR(__xludf.DUMMYFUNCTION("""COMPUTED_VALUE"""),"350x200x400")</f>
        <v>350x200x400</v>
      </c>
      <c r="I1415" s="5"/>
      <c r="J1415" s="5"/>
      <c r="K1415" s="5"/>
      <c r="L1415" s="5"/>
    </row>
    <row r="1416">
      <c r="A1416" s="5" t="str">
        <f>IFERROR(__xludf.DUMMYFUNCTION("""COMPUTED_VALUE"""),"ĐNA-GĐH-005")</f>
        <v>ĐNA-GĐH-005</v>
      </c>
      <c r="B1416" s="3" t="str">
        <f>IFERROR(__xludf.DUMMYFUNCTION("""COMPUTED_VALUE"""),"Gàu định hình đào rãnh bỏ ống nước")</f>
        <v>Gàu định hình đào rãnh bỏ ống nước</v>
      </c>
      <c r="C1416" s="5" t="str">
        <f>IFERROR(__xludf.DUMMYFUNCTION("""COMPUTED_VALUE"""),"Ban Điện nước")</f>
        <v>Ban Điện nước</v>
      </c>
      <c r="D1416" s="5" t="str">
        <f>IFERROR(__xludf.DUMMYFUNCTION("""COMPUTED_VALUE"""),"THACO AGRI")</f>
        <v>THACO AGRI</v>
      </c>
      <c r="E1416" s="5"/>
      <c r="F1416" s="5"/>
      <c r="G1416" s="5" t="str">
        <f>IFERROR(__xludf.DUMMYFUNCTION("""COMPUTED_VALUE"""),"2024")</f>
        <v>2024</v>
      </c>
      <c r="H1416" s="5" t="str">
        <f>IFERROR(__xludf.DUMMYFUNCTION("""COMPUTED_VALUE"""),"350x200x400")</f>
        <v>350x200x400</v>
      </c>
      <c r="I1416" s="5"/>
      <c r="J1416" s="5"/>
      <c r="K1416" s="5"/>
      <c r="L1416" s="5"/>
    </row>
    <row r="1417">
      <c r="A1417" s="5" t="str">
        <f>IFERROR(__xludf.DUMMYFUNCTION("""COMPUTED_VALUE"""),"ĐNA-GĐH-006")</f>
        <v>ĐNA-GĐH-006</v>
      </c>
      <c r="B1417" s="3" t="str">
        <f>IFERROR(__xludf.DUMMYFUNCTION("""COMPUTED_VALUE"""),"Gàu định hình đào rãnh bỏ ống nước")</f>
        <v>Gàu định hình đào rãnh bỏ ống nước</v>
      </c>
      <c r="C1417" s="5" t="str">
        <f>IFERROR(__xludf.DUMMYFUNCTION("""COMPUTED_VALUE"""),"Ban Điện nước")</f>
        <v>Ban Điện nước</v>
      </c>
      <c r="D1417" s="5" t="str">
        <f>IFERROR(__xludf.DUMMYFUNCTION("""COMPUTED_VALUE"""),"THACO AGRI")</f>
        <v>THACO AGRI</v>
      </c>
      <c r="E1417" s="5"/>
      <c r="F1417" s="5"/>
      <c r="G1417" s="5" t="str">
        <f>IFERROR(__xludf.DUMMYFUNCTION("""COMPUTED_VALUE"""),"2024")</f>
        <v>2024</v>
      </c>
      <c r="H1417" s="5" t="str">
        <f>IFERROR(__xludf.DUMMYFUNCTION("""COMPUTED_VALUE"""),"350x200x400")</f>
        <v>350x200x400</v>
      </c>
      <c r="I1417" s="5"/>
      <c r="J1417" s="5"/>
      <c r="K1417" s="5"/>
      <c r="L1417" s="5"/>
    </row>
    <row r="1418">
      <c r="A1418" s="5" t="str">
        <f>IFERROR(__xludf.DUMMYFUNCTION("""COMPUTED_VALUE"""),"ĐNA-GĐH-007")</f>
        <v>ĐNA-GĐH-007</v>
      </c>
      <c r="B1418" s="3" t="str">
        <f>IFERROR(__xludf.DUMMYFUNCTION("""COMPUTED_VALUE"""),"Gàu định hình đào rãnh bỏ ống nước")</f>
        <v>Gàu định hình đào rãnh bỏ ống nước</v>
      </c>
      <c r="C1418" s="5" t="str">
        <f>IFERROR(__xludf.DUMMYFUNCTION("""COMPUTED_VALUE"""),"Ban Điện nước")</f>
        <v>Ban Điện nước</v>
      </c>
      <c r="D1418" s="5" t="str">
        <f>IFERROR(__xludf.DUMMYFUNCTION("""COMPUTED_VALUE"""),"THACO AGRI")</f>
        <v>THACO AGRI</v>
      </c>
      <c r="E1418" s="5"/>
      <c r="F1418" s="5"/>
      <c r="G1418" s="5" t="str">
        <f>IFERROR(__xludf.DUMMYFUNCTION("""COMPUTED_VALUE"""),"2024")</f>
        <v>2024</v>
      </c>
      <c r="H1418" s="5" t="str">
        <f>IFERROR(__xludf.DUMMYFUNCTION("""COMPUTED_VALUE"""),"350x200x400")</f>
        <v>350x200x400</v>
      </c>
      <c r="I1418" s="5"/>
      <c r="J1418" s="5"/>
      <c r="K1418" s="5"/>
      <c r="L1418" s="5"/>
    </row>
    <row r="1419">
      <c r="A1419" s="5" t="str">
        <f>IFERROR(__xludf.DUMMYFUNCTION("""COMPUTED_VALUE"""),"ĐNA-GĐH-008")</f>
        <v>ĐNA-GĐH-008</v>
      </c>
      <c r="B1419" s="3" t="str">
        <f>IFERROR(__xludf.DUMMYFUNCTION("""COMPUTED_VALUE"""),"Gàu định hình đào rãnh bỏ ống nước")</f>
        <v>Gàu định hình đào rãnh bỏ ống nước</v>
      </c>
      <c r="C1419" s="5" t="str">
        <f>IFERROR(__xludf.DUMMYFUNCTION("""COMPUTED_VALUE"""),"Ban Điện nước")</f>
        <v>Ban Điện nước</v>
      </c>
      <c r="D1419" s="5" t="str">
        <f>IFERROR(__xludf.DUMMYFUNCTION("""COMPUTED_VALUE"""),"THACO AGRI")</f>
        <v>THACO AGRI</v>
      </c>
      <c r="E1419" s="5"/>
      <c r="F1419" s="5"/>
      <c r="G1419" s="5" t="str">
        <f>IFERROR(__xludf.DUMMYFUNCTION("""COMPUTED_VALUE"""),"2024")</f>
        <v>2024</v>
      </c>
      <c r="H1419" s="5" t="str">
        <f>IFERROR(__xludf.DUMMYFUNCTION("""COMPUTED_VALUE"""),"350x200x400")</f>
        <v>350x200x400</v>
      </c>
      <c r="I1419" s="5"/>
      <c r="J1419" s="5"/>
      <c r="K1419" s="5"/>
      <c r="L1419" s="5"/>
    </row>
    <row r="1420">
      <c r="A1420" s="5" t="str">
        <f>IFERROR(__xludf.DUMMYFUNCTION("""COMPUTED_VALUE"""),"TDC-CBT-001")</f>
        <v>TDC-CBT-001</v>
      </c>
      <c r="B1420" s="3" t="str">
        <f>IFERROR(__xludf.DUMMYFUNCTION("""COMPUTED_VALUE"""),"Máy cắt bê tông ZS1110")</f>
        <v>Máy cắt bê tông ZS1110</v>
      </c>
      <c r="C1420" s="5" t="str">
        <f>IFERROR(__xludf.DUMMYFUNCTION("""COMPUTED_VALUE"""),"Thadicons A&amp;I")</f>
        <v>Thadicons A&amp;I</v>
      </c>
      <c r="D1420" s="5" t="str">
        <f>IFERROR(__xludf.DUMMYFUNCTION("""COMPUTED_VALUE"""),"CHANGCHAI")</f>
        <v>CHANGCHAI</v>
      </c>
      <c r="E1420" s="5" t="str">
        <f>IFERROR(__xludf.DUMMYFUNCTION("""COMPUTED_VALUE"""),"TRUNG QUỐC")</f>
        <v>TRUNG QUỐC</v>
      </c>
      <c r="F1420" s="5"/>
      <c r="G1420" s="5" t="str">
        <f>IFERROR(__xludf.DUMMYFUNCTION("""COMPUTED_VALUE"""),"ZS1110")</f>
        <v>ZS1110</v>
      </c>
      <c r="H1420" s="5" t="str">
        <f>IFERROR(__xludf.DUMMYFUNCTION("""COMPUTED_VALUE"""),"15HP")</f>
        <v>15HP</v>
      </c>
      <c r="I1420" s="5" t="str">
        <f>IFERROR(__xludf.DUMMYFUNCTION("""COMPUTED_VALUE"""),"216281")</f>
        <v>216281</v>
      </c>
      <c r="J1420" s="5"/>
      <c r="K1420" s="5"/>
      <c r="L1420" s="5"/>
    </row>
    <row r="1421">
      <c r="A1421" s="5" t="str">
        <f>IFERROR(__xludf.DUMMYFUNCTION("""COMPUTED_VALUE"""),"LƯU KHO MÁY MÓC CƠ GIỚI KHU LIÊN HỢP")</f>
        <v>LƯU KHO MÁY MÓC CƠ GIỚI KHU LIÊN HỢP</v>
      </c>
      <c r="B1421" s="3"/>
      <c r="C1421" s="5"/>
      <c r="D1421" s="5"/>
      <c r="E1421" s="5"/>
      <c r="F1421" s="5"/>
      <c r="G1421" s="5"/>
      <c r="H1421" s="5"/>
      <c r="I1421" s="5"/>
      <c r="J1421" s="5"/>
      <c r="K1421" s="5"/>
      <c r="L1421" s="5"/>
    </row>
    <row r="1422">
      <c r="A1422" s="5" t="str">
        <f>IFERROR(__xludf.DUMMYFUNCTION("""COMPUTED_VALUE"""),"THIẾT BỊ CHỜ PHÂN BỔ")</f>
        <v>THIẾT BỊ CHỜ PHÂN BỔ</v>
      </c>
      <c r="B1422" s="3"/>
      <c r="C1422" s="5"/>
      <c r="D1422" s="5"/>
      <c r="E1422" s="5"/>
      <c r="F1422" s="5"/>
      <c r="G1422" s="5"/>
      <c r="H1422" s="5"/>
      <c r="I1422" s="5"/>
      <c r="J1422" s="5"/>
      <c r="K1422" s="5"/>
      <c r="L1422" s="5"/>
    </row>
    <row r="1423">
      <c r="A1423" s="5" t="str">
        <f>IFERROR(__xludf.DUMMYFUNCTION("""COMPUTED_VALUE"""),"XD2-RMC-001")</f>
        <v>XD2-RMC-001</v>
      </c>
      <c r="B1423" s="3" t="str">
        <f>IFERROR(__xludf.DUMMYFUNCTION("""COMPUTED_VALUE"""),"Rơ mooc thu hoạch")</f>
        <v>Rơ mooc thu hoạch</v>
      </c>
      <c r="C1423" s="5" t="str">
        <f>IFERROR(__xludf.DUMMYFUNCTION("""COMPUTED_VALUE"""),"XN Chuối DP2")</f>
        <v>XN Chuối DP2</v>
      </c>
      <c r="D1423" s="5" t="str">
        <f>IFERROR(__xludf.DUMMYFUNCTION("""COMPUTED_VALUE"""),"THACO AGRI")</f>
        <v>THACO AGRI</v>
      </c>
      <c r="E1423" s="5"/>
      <c r="F1423" s="5"/>
      <c r="G1423" s="5"/>
      <c r="H1423" s="5"/>
      <c r="I1423" s="5"/>
      <c r="J1423" s="5"/>
      <c r="K1423" s="5"/>
      <c r="L1423" s="5"/>
    </row>
    <row r="1424">
      <c r="A1424" s="5" t="str">
        <f>IFERROR(__xludf.DUMMYFUNCTION("""COMPUTED_VALUE"""),"XD2-RMB-003")</f>
        <v>XD2-RMB-003</v>
      </c>
      <c r="B1424" s="3" t="str">
        <f>IFERROR(__xludf.DUMMYFUNCTION("""COMPUTED_VALUE"""),"Rơ mooc thùng ben")</f>
        <v>Rơ mooc thùng ben</v>
      </c>
      <c r="C1424" s="5" t="str">
        <f>IFERROR(__xludf.DUMMYFUNCTION("""COMPUTED_VALUE"""),"XN Chuối DP2")</f>
        <v>XN Chuối DP2</v>
      </c>
      <c r="D1424" s="5" t="str">
        <f>IFERROR(__xludf.DUMMYFUNCTION("""COMPUTED_VALUE"""),"THACO AGRI")</f>
        <v>THACO AGRI</v>
      </c>
      <c r="E1424" s="5"/>
      <c r="F1424" s="5"/>
      <c r="G1424" s="5"/>
      <c r="H1424" s="5"/>
      <c r="I1424" s="5"/>
      <c r="J1424" s="5"/>
      <c r="K1424" s="5"/>
      <c r="L1424" s="5"/>
    </row>
    <row r="1425">
      <c r="A1425" s="5" t="str">
        <f>IFERROR(__xludf.DUMMYFUNCTION("""COMPUTED_VALUE"""),"XD2-RMB-004")</f>
        <v>XD2-RMB-004</v>
      </c>
      <c r="B1425" s="3" t="str">
        <f>IFERROR(__xludf.DUMMYFUNCTION("""COMPUTED_VALUE"""),"Rơ mooc thùng ben")</f>
        <v>Rơ mooc thùng ben</v>
      </c>
      <c r="C1425" s="5" t="str">
        <f>IFERROR(__xludf.DUMMYFUNCTION("""COMPUTED_VALUE"""),"XN Chuối DP2")</f>
        <v>XN Chuối DP2</v>
      </c>
      <c r="D1425" s="5" t="str">
        <f>IFERROR(__xludf.DUMMYFUNCTION("""COMPUTED_VALUE"""),"THACO AGRI")</f>
        <v>THACO AGRI</v>
      </c>
      <c r="E1425" s="5"/>
      <c r="F1425" s="5"/>
      <c r="G1425" s="5"/>
      <c r="H1425" s="5"/>
      <c r="I1425" s="5"/>
      <c r="J1425" s="5"/>
      <c r="K1425" s="5"/>
      <c r="L1425" s="5"/>
    </row>
    <row r="1426">
      <c r="A1426" s="5" t="str">
        <f>IFERROR(__xludf.DUMMYFUNCTION("""COMPUTED_VALUE"""),"XD3-RMC-004")</f>
        <v>XD3-RMC-004</v>
      </c>
      <c r="B1426" s="3" t="str">
        <f>IFERROR(__xludf.DUMMYFUNCTION("""COMPUTED_VALUE"""),"Rơ mooc thu hoạch")</f>
        <v>Rơ mooc thu hoạch</v>
      </c>
      <c r="C1426" s="5" t="str">
        <f>IFERROR(__xludf.DUMMYFUNCTION("""COMPUTED_VALUE"""),"XN Chuối DP3")</f>
        <v>XN Chuối DP3</v>
      </c>
      <c r="D1426" s="5" t="str">
        <f>IFERROR(__xludf.DUMMYFUNCTION("""COMPUTED_VALUE"""),"THACO AGRI")</f>
        <v>THACO AGRI</v>
      </c>
      <c r="E1426" s="5"/>
      <c r="F1426" s="5"/>
      <c r="G1426" s="5"/>
      <c r="H1426" s="5"/>
      <c r="I1426" s="5"/>
      <c r="J1426" s="5"/>
      <c r="K1426" s="5"/>
      <c r="L1426" s="5"/>
    </row>
    <row r="1427">
      <c r="A1427" s="5" t="str">
        <f>IFERROR(__xludf.DUMMYFUNCTION("""COMPUTED_VALUE"""),"XD3-RMC-001")</f>
        <v>XD3-RMC-001</v>
      </c>
      <c r="B1427" s="3" t="str">
        <f>IFERROR(__xludf.DUMMYFUNCTION("""COMPUTED_VALUE"""),"Rơ mooc thu hoạch")</f>
        <v>Rơ mooc thu hoạch</v>
      </c>
      <c r="C1427" s="5" t="str">
        <f>IFERROR(__xludf.DUMMYFUNCTION("""COMPUTED_VALUE"""),"XN Chuối DP3")</f>
        <v>XN Chuối DP3</v>
      </c>
      <c r="D1427" s="5" t="str">
        <f>IFERROR(__xludf.DUMMYFUNCTION("""COMPUTED_VALUE"""),"THACO AGRI")</f>
        <v>THACO AGRI</v>
      </c>
      <c r="E1427" s="5"/>
      <c r="F1427" s="5"/>
      <c r="G1427" s="5"/>
      <c r="H1427" s="5"/>
      <c r="I1427" s="5"/>
      <c r="J1427" s="5"/>
      <c r="K1427" s="5"/>
      <c r="L1427" s="5"/>
    </row>
    <row r="1428">
      <c r="A1428" s="5" t="str">
        <f>IFERROR(__xludf.DUMMYFUNCTION("""COMPUTED_VALUE"""),"XD3-RMC-007")</f>
        <v>XD3-RMC-007</v>
      </c>
      <c r="B1428" s="3" t="str">
        <f>IFERROR(__xludf.DUMMYFUNCTION("""COMPUTED_VALUE"""),"Rơ mooc thu hoạch")</f>
        <v>Rơ mooc thu hoạch</v>
      </c>
      <c r="C1428" s="5" t="str">
        <f>IFERROR(__xludf.DUMMYFUNCTION("""COMPUTED_VALUE"""),"XN Chuối DP3")</f>
        <v>XN Chuối DP3</v>
      </c>
      <c r="D1428" s="5" t="str">
        <f>IFERROR(__xludf.DUMMYFUNCTION("""COMPUTED_VALUE"""),"THACO AGRI")</f>
        <v>THACO AGRI</v>
      </c>
      <c r="E1428" s="5"/>
      <c r="F1428" s="5"/>
      <c r="G1428" s="5"/>
      <c r="H1428" s="5"/>
      <c r="I1428" s="5"/>
      <c r="J1428" s="5"/>
      <c r="K1428" s="5"/>
      <c r="L1428" s="5"/>
    </row>
    <row r="1429">
      <c r="A1429" s="5" t="str">
        <f>IFERROR(__xludf.DUMMYFUNCTION("""COMPUTED_VALUE"""),"XD3-RMC-011")</f>
        <v>XD3-RMC-011</v>
      </c>
      <c r="B1429" s="3" t="str">
        <f>IFERROR(__xludf.DUMMYFUNCTION("""COMPUTED_VALUE"""),"Rơ mooc thu hoạch")</f>
        <v>Rơ mooc thu hoạch</v>
      </c>
      <c r="C1429" s="5" t="str">
        <f>IFERROR(__xludf.DUMMYFUNCTION("""COMPUTED_VALUE"""),"XN Chuối DP3")</f>
        <v>XN Chuối DP3</v>
      </c>
      <c r="D1429" s="5" t="str">
        <f>IFERROR(__xludf.DUMMYFUNCTION("""COMPUTED_VALUE"""),"THACO AGRI")</f>
        <v>THACO AGRI</v>
      </c>
      <c r="E1429" s="5" t="str">
        <f>IFERROR(__xludf.DUMMYFUNCTION("""COMPUTED_VALUE"""),"THACO")</f>
        <v>THACO</v>
      </c>
      <c r="F1429" s="5"/>
      <c r="G1429" s="5"/>
      <c r="H1429" s="5"/>
      <c r="I1429" s="5" t="str">
        <f>IFERROR(__xludf.DUMMYFUNCTION("""COMPUTED_VALUE"""),"44")</f>
        <v>44</v>
      </c>
      <c r="J1429" s="5"/>
      <c r="K1429" s="5"/>
      <c r="L1429" s="5"/>
    </row>
    <row r="1430">
      <c r="A1430" s="5" t="str">
        <f>IFERROR(__xludf.DUMMYFUNCTION("""COMPUTED_VALUE"""),"XD2-SPT-001")</f>
        <v>XD2-SPT-001</v>
      </c>
      <c r="B1430" s="3" t="str">
        <f>IFERROR(__xludf.DUMMYFUNCTION("""COMPUTED_VALUE"""),"Súng phun thuốc Hansung")</f>
        <v>Súng phun thuốc Hansung</v>
      </c>
      <c r="C1430" s="5" t="str">
        <f>IFERROR(__xludf.DUMMYFUNCTION("""COMPUTED_VALUE"""),"XN Chuối DP2")</f>
        <v>XN Chuối DP2</v>
      </c>
      <c r="D1430" s="5"/>
      <c r="E1430" s="5" t="str">
        <f>IFERROR(__xludf.DUMMYFUNCTION("""COMPUTED_VALUE"""),"THACO")</f>
        <v>THACO</v>
      </c>
      <c r="F1430" s="5"/>
      <c r="G1430" s="5"/>
      <c r="H1430" s="5"/>
      <c r="I1430" s="5" t="str">
        <f>IFERROR(__xludf.DUMMYFUNCTION("""COMPUTED_VALUE"""),"SK;HS128.DP344")</f>
        <v>SK;HS128.DP344</v>
      </c>
      <c r="J1430" s="5"/>
      <c r="K1430" s="5">
        <f>IFERROR(__xludf.DUMMYFUNCTION("""COMPUTED_VALUE"""),8.47)</f>
        <v>8.47</v>
      </c>
      <c r="L1430" s="5"/>
    </row>
    <row r="1431">
      <c r="A1431" s="5" t="str">
        <f>IFERROR(__xludf.DUMMYFUNCTION("""COMPUTED_VALUE"""),"XB1-CXL-001")</f>
        <v>XB1-CXL-001</v>
      </c>
      <c r="B1431" s="3" t="str">
        <f>IFERROR(__xludf.DUMMYFUNCTION("""COMPUTED_VALUE"""),"Càng xúc lật gắn máy cày (0.68m3)")</f>
        <v>Càng xúc lật gắn máy cày (0.68m3)</v>
      </c>
      <c r="C1431" s="5" t="str">
        <f>IFERROR(__xludf.DUMMYFUNCTION("""COMPUTED_VALUE"""),"XN Bò AD")</f>
        <v>XN Bò AD</v>
      </c>
      <c r="D1431" s="5" t="str">
        <f>IFERROR(__xludf.DUMMYFUNCTION("""COMPUTED_VALUE"""),"THACO AGRI")</f>
        <v>THACO AGRI</v>
      </c>
      <c r="E1431" s="5"/>
      <c r="F1431" s="5"/>
      <c r="G1431" s="5"/>
      <c r="H1431" s="5"/>
      <c r="I1431" s="5"/>
      <c r="J1431" s="5"/>
      <c r="K1431" s="5"/>
      <c r="L1431" s="5"/>
    </row>
    <row r="1432">
      <c r="A1432" s="5" t="str">
        <f>IFERROR(__xludf.DUMMYFUNCTION("""COMPUTED_VALUE"""),"XD3-RMB-002")</f>
        <v>XD3-RMB-002</v>
      </c>
      <c r="B1432" s="3" t="str">
        <f>IFERROR(__xludf.DUMMYFUNCTION("""COMPUTED_VALUE"""),"Rơ mooc thùng ben")</f>
        <v>Rơ mooc thùng ben</v>
      </c>
      <c r="C1432" s="5" t="str">
        <f>IFERROR(__xludf.DUMMYFUNCTION("""COMPUTED_VALUE"""),"XN Chuối DP3")</f>
        <v>XN Chuối DP3</v>
      </c>
      <c r="D1432" s="5" t="str">
        <f>IFERROR(__xludf.DUMMYFUNCTION("""COMPUTED_VALUE"""),"THACO AGRI")</f>
        <v>THACO AGRI</v>
      </c>
      <c r="E1432" s="5" t="str">
        <f>IFERROR(__xludf.DUMMYFUNCTION("""COMPUTED_VALUE"""),"THACO")</f>
        <v>THACO</v>
      </c>
      <c r="F1432" s="5"/>
      <c r="G1432" s="5"/>
      <c r="H1432" s="5"/>
      <c r="I1432" s="5" t="str">
        <f>IFERROR(__xludf.DUMMYFUNCTION("""COMPUTED_VALUE"""),"Thùng ben 2m3")</f>
        <v>Thùng ben 2m3</v>
      </c>
      <c r="J1432" s="5"/>
      <c r="K1432" s="5"/>
      <c r="L1432" s="5"/>
    </row>
    <row r="1433">
      <c r="A1433" s="5" t="str">
        <f>IFERROR(__xludf.DUMMYFUNCTION("""COMPUTED_VALUE"""),"XAD-RMC-017(XA2-RMC-004)")</f>
        <v>XAD-RMC-017(XA2-RMC-004)</v>
      </c>
      <c r="B1433" s="3" t="str">
        <f>IFERROR(__xludf.DUMMYFUNCTION("""COMPUTED_VALUE"""),"Rơ mooc thu hoạch")</f>
        <v>Rơ mooc thu hoạch</v>
      </c>
      <c r="C1433" s="5" t="str">
        <f>IFERROR(__xludf.DUMMYFUNCTION("""COMPUTED_VALUE"""),"XN Chuối AD2")</f>
        <v>XN Chuối AD2</v>
      </c>
      <c r="D1433" s="5" t="str">
        <f>IFERROR(__xludf.DUMMYFUNCTION("""COMPUTED_VALUE"""),"THACO AGRI")</f>
        <v>THACO AGRI</v>
      </c>
      <c r="E1433" s="5"/>
      <c r="F1433" s="5"/>
      <c r="G1433" s="5"/>
      <c r="H1433" s="5"/>
      <c r="I1433" s="5" t="str">
        <f>IFERROR(__xludf.DUMMYFUNCTION("""COMPUTED_VALUE"""),"40 BUỒNG")</f>
        <v>40 BUỒNG</v>
      </c>
      <c r="J1433" s="5"/>
      <c r="K1433" s="5"/>
      <c r="L1433" s="5"/>
    </row>
    <row r="1434">
      <c r="A1434" s="5" t="str">
        <f>IFERROR(__xludf.DUMMYFUNCTION("""COMPUTED_VALUE"""),"XA2-RMC-007")</f>
        <v>XA2-RMC-007</v>
      </c>
      <c r="B1434" s="3" t="str">
        <f>IFERROR(__xludf.DUMMYFUNCTION("""COMPUTED_VALUE"""),"Rơ mooc thu hoạch")</f>
        <v>Rơ mooc thu hoạch</v>
      </c>
      <c r="C1434" s="5" t="str">
        <f>IFERROR(__xludf.DUMMYFUNCTION("""COMPUTED_VALUE"""),"XN Chuối AD2")</f>
        <v>XN Chuối AD2</v>
      </c>
      <c r="D1434" s="5" t="str">
        <f>IFERROR(__xludf.DUMMYFUNCTION("""COMPUTED_VALUE"""),"THACO AGRI")</f>
        <v>THACO AGRI</v>
      </c>
      <c r="E1434" s="5"/>
      <c r="F1434" s="5"/>
      <c r="G1434" s="5"/>
      <c r="H1434" s="5"/>
      <c r="I1434" s="5" t="str">
        <f>IFERROR(__xludf.DUMMYFUNCTION("""COMPUTED_VALUE"""),"44 BUỒNG")</f>
        <v>44 BUỒNG</v>
      </c>
      <c r="J1434" s="5"/>
      <c r="K1434" s="5"/>
      <c r="L1434" s="5"/>
    </row>
    <row r="1435">
      <c r="A1435" s="5" t="str">
        <f>IFERROR(__xludf.DUMMYFUNCTION("""COMPUTED_VALUE"""),"XA2-SPT-001")</f>
        <v>XA2-SPT-001</v>
      </c>
      <c r="B1435" s="3" t="str">
        <f>IFERROR(__xludf.DUMMYFUNCTION("""COMPUTED_VALUE"""),"Súng phun thuốc Hansung")</f>
        <v>Súng phun thuốc Hansung</v>
      </c>
      <c r="C1435" s="5" t="str">
        <f>IFERROR(__xludf.DUMMYFUNCTION("""COMPUTED_VALUE"""),"XN Chuối AD2")</f>
        <v>XN Chuối AD2</v>
      </c>
      <c r="D1435" s="5"/>
      <c r="E1435" s="5"/>
      <c r="F1435" s="5"/>
      <c r="G1435" s="5"/>
      <c r="H1435" s="5"/>
      <c r="I1435" s="5" t="str">
        <f>IFERROR(__xludf.DUMMYFUNCTION("""COMPUTED_VALUE"""),"HS128-TH313")</f>
        <v>HS128-TH313</v>
      </c>
      <c r="J1435" s="5"/>
      <c r="K1435" s="5">
        <f>IFERROR(__xludf.DUMMYFUNCTION("""COMPUTED_VALUE"""),8.47)</f>
        <v>8.47</v>
      </c>
      <c r="L1435" s="5"/>
    </row>
    <row r="1436">
      <c r="A1436" s="5" t="str">
        <f>IFERROR(__xludf.DUMMYFUNCTION("""COMPUTED_VALUE"""),"HƯ HỎNG NẶNG LOẠI BIÊN")</f>
        <v>HƯ HỎNG NẶNG LOẠI BIÊN</v>
      </c>
      <c r="B1436" s="3"/>
      <c r="C1436" s="5"/>
      <c r="D1436" s="5"/>
      <c r="E1436" s="5"/>
      <c r="F1436" s="5"/>
      <c r="G1436" s="5"/>
      <c r="H1436" s="5"/>
      <c r="I1436" s="5"/>
      <c r="J1436" s="5"/>
      <c r="K1436" s="5"/>
      <c r="L1436" s="5"/>
    </row>
    <row r="1437">
      <c r="A1437" s="5" t="str">
        <f>IFERROR(__xludf.DUMMYFUNCTION("""COMPUTED_VALUE"""),"XXA-MCA-006")</f>
        <v>XXA-MCA-006</v>
      </c>
      <c r="B1437" s="3" t="str">
        <f>IFERROR(__xludf.DUMMYFUNCTION("""COMPUTED_VALUE"""),"Máy cao áp 3.5HP")</f>
        <v>Máy cao áp 3.5HP</v>
      </c>
      <c r="C1437" s="5" t="str">
        <f>IFERROR(__xludf.DUMMYFUNCTION("""COMPUTED_VALUE"""),"Loại biên")</f>
        <v>Loại biên</v>
      </c>
      <c r="D1437" s="5" t="str">
        <f>IFERROR(__xludf.DUMMYFUNCTION("""COMPUTED_VALUE"""),"CAMBODIA")</f>
        <v>CAMBODIA</v>
      </c>
      <c r="E1437" s="5" t="str">
        <f>IFERROR(__xludf.DUMMYFUNCTION("""COMPUTED_VALUE"""),"3.5HP")</f>
        <v>3.5HP</v>
      </c>
      <c r="F1437" s="5"/>
      <c r="G1437" s="5"/>
      <c r="H1437" s="5"/>
      <c r="I1437" s="5"/>
      <c r="J1437" s="5"/>
      <c r="K1437" s="5"/>
      <c r="L1437" s="5"/>
    </row>
    <row r="1438">
      <c r="A1438" s="5" t="str">
        <f>IFERROR(__xludf.DUMMYFUNCTION("""COMPUTED_VALUE"""),"XXA-MCA-007")</f>
        <v>XXA-MCA-007</v>
      </c>
      <c r="B1438" s="3" t="str">
        <f>IFERROR(__xludf.DUMMYFUNCTION("""COMPUTED_VALUE"""),"Máy cao áp 3.5HP")</f>
        <v>Máy cao áp 3.5HP</v>
      </c>
      <c r="C1438" s="5" t="str">
        <f>IFERROR(__xludf.DUMMYFUNCTION("""COMPUTED_VALUE"""),"Loại biên")</f>
        <v>Loại biên</v>
      </c>
      <c r="D1438" s="5" t="str">
        <f>IFERROR(__xludf.DUMMYFUNCTION("""COMPUTED_VALUE"""),"CAMBODIA")</f>
        <v>CAMBODIA</v>
      </c>
      <c r="E1438" s="5" t="str">
        <f>IFERROR(__xludf.DUMMYFUNCTION("""COMPUTED_VALUE"""),"3.5HP")</f>
        <v>3.5HP</v>
      </c>
      <c r="F1438" s="5"/>
      <c r="G1438" s="5"/>
      <c r="H1438" s="5"/>
      <c r="I1438" s="5"/>
      <c r="J1438" s="5"/>
      <c r="K1438" s="5"/>
      <c r="L1438" s="5"/>
    </row>
    <row r="1439">
      <c r="A1439" s="5" t="str">
        <f>IFERROR(__xludf.DUMMYFUNCTION("""COMPUTED_VALUE"""),"XXA-MCA-008")</f>
        <v>XXA-MCA-008</v>
      </c>
      <c r="B1439" s="3" t="str">
        <f>IFERROR(__xludf.DUMMYFUNCTION("""COMPUTED_VALUE"""),"Máy cao áp 3.5HP")</f>
        <v>Máy cao áp 3.5HP</v>
      </c>
      <c r="C1439" s="5" t="str">
        <f>IFERROR(__xludf.DUMMYFUNCTION("""COMPUTED_VALUE"""),"Loại biên")</f>
        <v>Loại biên</v>
      </c>
      <c r="D1439" s="5" t="str">
        <f>IFERROR(__xludf.DUMMYFUNCTION("""COMPUTED_VALUE"""),"CAMBODIA")</f>
        <v>CAMBODIA</v>
      </c>
      <c r="E1439" s="5" t="str">
        <f>IFERROR(__xludf.DUMMYFUNCTION("""COMPUTED_VALUE"""),"3.5HP")</f>
        <v>3.5HP</v>
      </c>
      <c r="F1439" s="5"/>
      <c r="G1439" s="5"/>
      <c r="H1439" s="5"/>
      <c r="I1439" s="5"/>
      <c r="J1439" s="5"/>
      <c r="K1439" s="5"/>
      <c r="L1439" s="5"/>
    </row>
    <row r="1440">
      <c r="A1440" s="5" t="str">
        <f>IFERROR(__xludf.DUMMYFUNCTION("""COMPUTED_VALUE"""),"XL3-DPC-001")</f>
        <v>XL3-DPC-001</v>
      </c>
      <c r="B1440" s="3" t="str">
        <f>IFERROR(__xludf.DUMMYFUNCTION("""COMPUTED_VALUE"""),"Thiết bị phay cỏ")</f>
        <v>Thiết bị phay cỏ</v>
      </c>
      <c r="C1440" s="5" t="str">
        <f>IFERROR(__xludf.DUMMYFUNCTION("""COMPUTED_VALUE"""),"Loại biên")</f>
        <v>Loại biên</v>
      </c>
      <c r="D1440" s="5" t="str">
        <f>IFERROR(__xludf.DUMMYFUNCTION("""COMPUTED_VALUE"""),"THACO AGRI")</f>
        <v>THACO AGRI</v>
      </c>
      <c r="E1440" s="5"/>
      <c r="F1440" s="5"/>
      <c r="G1440" s="5"/>
      <c r="H1440" s="5" t="str">
        <f>IFERROR(__xludf.DUMMYFUNCTION("""COMPUTED_VALUE"""),"1.5*1.5*1.1m ")</f>
        <v>1.5*1.5*1.1m </v>
      </c>
      <c r="I1440" s="5"/>
      <c r="J1440" s="5"/>
      <c r="K1440" s="5"/>
      <c r="L1440" s="5"/>
    </row>
    <row r="1441">
      <c r="A1441" s="5" t="str">
        <f>IFERROR(__xludf.DUMMYFUNCTION("""COMPUTED_VALUE"""),"XD1-RMC-003")</f>
        <v>XD1-RMC-003</v>
      </c>
      <c r="B1441" s="3" t="str">
        <f>IFERROR(__xludf.DUMMYFUNCTION("""COMPUTED_VALUE"""),"Rơ mooc thu hoạch")</f>
        <v>Rơ mooc thu hoạch</v>
      </c>
      <c r="C1441" s="5" t="str">
        <f>IFERROR(__xludf.DUMMYFUNCTION("""COMPUTED_VALUE"""),"Loại biên")</f>
        <v>Loại biên</v>
      </c>
      <c r="D1441" s="5" t="str">
        <f>IFERROR(__xludf.DUMMYFUNCTION("""COMPUTED_VALUE"""),"THACO AGRI")</f>
        <v>THACO AGRI</v>
      </c>
      <c r="E1441" s="5"/>
      <c r="F1441" s="5"/>
      <c r="G1441" s="5"/>
      <c r="H1441" s="5"/>
      <c r="I1441" s="5" t="str">
        <f>IFERROR(__xludf.DUMMYFUNCTION("""COMPUTED_VALUE"""),"40")</f>
        <v>40</v>
      </c>
      <c r="J1441" s="5"/>
      <c r="K1441" s="5"/>
      <c r="L1441" s="5"/>
    </row>
    <row r="1442">
      <c r="A1442" s="5" t="str">
        <f>IFERROR(__xludf.DUMMYFUNCTION("""COMPUTED_VALUE"""),"XD1-RMC-004")</f>
        <v>XD1-RMC-004</v>
      </c>
      <c r="B1442" s="3" t="str">
        <f>IFERROR(__xludf.DUMMYFUNCTION("""COMPUTED_VALUE"""),"Rơ mooc thu hoạch")</f>
        <v>Rơ mooc thu hoạch</v>
      </c>
      <c r="C1442" s="5" t="str">
        <f>IFERROR(__xludf.DUMMYFUNCTION("""COMPUTED_VALUE"""),"Loại biên")</f>
        <v>Loại biên</v>
      </c>
      <c r="D1442" s="5" t="str">
        <f>IFERROR(__xludf.DUMMYFUNCTION("""COMPUTED_VALUE"""),"THACO AGRI")</f>
        <v>THACO AGRI</v>
      </c>
      <c r="E1442" s="5"/>
      <c r="F1442" s="5"/>
      <c r="G1442" s="5"/>
      <c r="H1442" s="5"/>
      <c r="I1442" s="5" t="str">
        <f>IFERROR(__xludf.DUMMYFUNCTION("""COMPUTED_VALUE"""),"50")</f>
        <v>50</v>
      </c>
      <c r="J1442" s="5"/>
      <c r="K1442" s="5"/>
      <c r="L1442" s="5"/>
    </row>
    <row r="1443">
      <c r="A1443" s="5" t="str">
        <f>IFERROR(__xludf.DUMMYFUNCTION("""COMPUTED_VALUE"""),"CNN-RVO-002")</f>
        <v>CNN-RVO-002</v>
      </c>
      <c r="B1443" s="3" t="str">
        <f>IFERROR(__xludf.DUMMYFUNCTION("""COMPUTED_VALUE"""),"Thiết bị phun vôi/rải vô cơ")</f>
        <v>Thiết bị phun vôi/rải vô cơ</v>
      </c>
      <c r="C1443" s="5" t="str">
        <f>IFERROR(__xludf.DUMMYFUNCTION("""COMPUTED_VALUE"""),"Loại biên")</f>
        <v>Loại biên</v>
      </c>
      <c r="D1443" s="5" t="str">
        <f>IFERROR(__xludf.DUMMYFUNCTION("""COMPUTED_VALUE"""),"TRUNG QUỐC")</f>
        <v>TRUNG QUỐC</v>
      </c>
      <c r="E1443" s="5"/>
      <c r="F1443" s="5"/>
      <c r="G1443" s="5"/>
      <c r="H1443" s="5"/>
      <c r="I1443" s="5"/>
      <c r="J1443" s="5"/>
      <c r="K1443" s="5"/>
      <c r="L1443" s="5"/>
    </row>
    <row r="1444">
      <c r="A1444" s="5" t="str">
        <f>IFERROR(__xludf.DUMMYFUNCTION("""COMPUTED_VALUE"""),"TB ĐIỀU CHUYỂN ĐI KLH KHÁC")</f>
        <v>TB ĐIỀU CHUYỂN ĐI KLH KHÁC</v>
      </c>
      <c r="B1444" s="3"/>
      <c r="C1444" s="5"/>
      <c r="D1444" s="5"/>
      <c r="E1444" s="5"/>
      <c r="F1444" s="5"/>
      <c r="G1444" s="5"/>
      <c r="H1444" s="5"/>
      <c r="I1444" s="5"/>
      <c r="J1444" s="5"/>
      <c r="K1444" s="5"/>
      <c r="L1444" s="5"/>
    </row>
    <row r="1445">
      <c r="A1445" s="5" t="str">
        <f>IFERROR(__xludf.DUMMYFUNCTION("""COMPUTED_VALUE"""),"XD1-MBC-002")</f>
        <v>XD1-MBC-002</v>
      </c>
      <c r="B1445" s="3" t="str">
        <f>IFERROR(__xludf.DUMMYFUNCTION("""COMPUTED_VALUE"""),"Máy băm công nghiệp cố định 30Kw")</f>
        <v>Máy băm công nghiệp cố định 30Kw</v>
      </c>
      <c r="C1445" s="5" t="str">
        <f>IFERROR(__xludf.DUMMYFUNCTION("""COMPUTED_VALUE"""),"KLH SNOUL")</f>
        <v>KLH SNOUL</v>
      </c>
      <c r="D1445" s="5"/>
      <c r="E1445" s="5"/>
      <c r="F1445" s="5"/>
      <c r="G1445" s="5" t="str">
        <f>IFERROR(__xludf.DUMMYFUNCTION("""COMPUTED_VALUE"""),"2024")</f>
        <v>2024</v>
      </c>
      <c r="H1445" s="5" t="str">
        <f>IFERROR(__xludf.DUMMYFUNCTION("""COMPUTED_VALUE"""),"2.5x1.8x3.6")</f>
        <v>2.5x1.8x3.6</v>
      </c>
      <c r="I1445" s="5"/>
      <c r="J1445" s="5"/>
      <c r="K1445" s="5"/>
      <c r="L1445" s="5"/>
    </row>
    <row r="1446">
      <c r="A1446" s="5" t="str">
        <f>IFERROR(__xludf.DUMMYFUNCTION("""COMPUTED_VALUE"""),"XD1-XMA-003")</f>
        <v>XD1-XMA-003</v>
      </c>
      <c r="B1446" s="3" t="str">
        <f>IFERROR(__xludf.DUMMYFUNCTION("""COMPUTED_VALUE"""),"Xe máy thu hoạch")</f>
        <v>Xe máy thu hoạch</v>
      </c>
      <c r="C1446" s="5" t="str">
        <f>IFERROR(__xludf.DUMMYFUNCTION("""COMPUTED_VALUE"""),"XN Chuối DP1")</f>
        <v>XN Chuối DP1</v>
      </c>
      <c r="D1446" s="5" t="str">
        <f>IFERROR(__xludf.DUMMYFUNCTION("""COMPUTED_VALUE"""),"HONDA")</f>
        <v>HONDA</v>
      </c>
      <c r="E1446" s="5" t="str">
        <f>IFERROR(__xludf.DUMMYFUNCTION("""COMPUTED_VALUE"""),"VIỆT NAM")</f>
        <v>VIỆT NAM</v>
      </c>
      <c r="F1446" s="5"/>
      <c r="G1446" s="5" t="str">
        <f>IFERROR(__xludf.DUMMYFUNCTION("""COMPUTED_VALUE"""),"WAVE A")</f>
        <v>WAVE A</v>
      </c>
      <c r="H1446" s="5" t="str">
        <f>IFERROR(__xludf.DUMMYFUNCTION("""COMPUTED_VALUE"""),"110cc")</f>
        <v>110cc</v>
      </c>
      <c r="I1446" s="5" t="str">
        <f>IFERROR(__xludf.DUMMYFUNCTION("""COMPUTED_VALUE"""),"RLHJA3917KY439666")</f>
        <v>RLHJA3917KY439666</v>
      </c>
      <c r="J1446" s="5" t="str">
        <f>IFERROR(__xludf.DUMMYFUNCTION("""COMPUTED_VALUE"""),"JA39E1310566")</f>
        <v>JA39E1310566</v>
      </c>
      <c r="K1446" s="5">
        <f>IFERROR(__xludf.DUMMYFUNCTION("""COMPUTED_VALUE"""),0.5)</f>
        <v>0.5</v>
      </c>
      <c r="L1446" s="5" t="str">
        <f>IFERROR(__xludf.DUMMYFUNCTION("""COMPUTED_VALUE"""),"KLH")</f>
        <v>KLH</v>
      </c>
    </row>
    <row r="1447">
      <c r="A1447" s="5" t="str">
        <f>IFERROR(__xludf.DUMMYFUNCTION("""COMPUTED_VALUE"""),"XD1-XMA-004")</f>
        <v>XD1-XMA-004</v>
      </c>
      <c r="B1447" s="3" t="str">
        <f>IFERROR(__xludf.DUMMYFUNCTION("""COMPUTED_VALUE"""),"Xe máy thu hoạch")</f>
        <v>Xe máy thu hoạch</v>
      </c>
      <c r="C1447" s="5" t="str">
        <f>IFERROR(__xludf.DUMMYFUNCTION("""COMPUTED_VALUE"""),"XN Chuối DP1")</f>
        <v>XN Chuối DP1</v>
      </c>
      <c r="D1447" s="5" t="str">
        <f>IFERROR(__xludf.DUMMYFUNCTION("""COMPUTED_VALUE"""),"HONDA")</f>
        <v>HONDA</v>
      </c>
      <c r="E1447" s="5" t="str">
        <f>IFERROR(__xludf.DUMMYFUNCTION("""COMPUTED_VALUE"""),"VIỆT NAM")</f>
        <v>VIỆT NAM</v>
      </c>
      <c r="F1447" s="5"/>
      <c r="G1447" s="5" t="str">
        <f>IFERROR(__xludf.DUMMYFUNCTION("""COMPUTED_VALUE"""),"WAVE A")</f>
        <v>WAVE A</v>
      </c>
      <c r="H1447" s="5" t="str">
        <f>IFERROR(__xludf.DUMMYFUNCTION("""COMPUTED_VALUE"""),"110cc")</f>
        <v>110cc</v>
      </c>
      <c r="I1447" s="5" t="str">
        <f>IFERROR(__xludf.DUMMYFUNCTION("""COMPUTED_VALUE"""),"RLHJA3902HY618732")</f>
        <v>RLHJA3902HY618732</v>
      </c>
      <c r="J1447" s="5" t="str">
        <f>IFERROR(__xludf.DUMMYFUNCTION("""COMPUTED_VALUE"""),"JA39E0589870")</f>
        <v>JA39E0589870</v>
      </c>
      <c r="K1447" s="5">
        <f>IFERROR(__xludf.DUMMYFUNCTION("""COMPUTED_VALUE"""),0.5)</f>
        <v>0.5</v>
      </c>
      <c r="L1447" s="5" t="str">
        <f>IFERROR(__xludf.DUMMYFUNCTION("""COMPUTED_VALUE"""),"KLH")</f>
        <v>KLH</v>
      </c>
    </row>
    <row r="1448">
      <c r="A1448" s="5" t="str">
        <f>IFERROR(__xludf.DUMMYFUNCTION("""COMPUTED_VALUE"""),"XD1-XMA-005")</f>
        <v>XD1-XMA-005</v>
      </c>
      <c r="B1448" s="3" t="str">
        <f>IFERROR(__xludf.DUMMYFUNCTION("""COMPUTED_VALUE"""),"Xe máy thu hoạch")</f>
        <v>Xe máy thu hoạch</v>
      </c>
      <c r="C1448" s="5" t="str">
        <f>IFERROR(__xludf.DUMMYFUNCTION("""COMPUTED_VALUE"""),"XN Chuối DP1")</f>
        <v>XN Chuối DP1</v>
      </c>
      <c r="D1448" s="5" t="str">
        <f>IFERROR(__xludf.DUMMYFUNCTION("""COMPUTED_VALUE"""),"HONDA")</f>
        <v>HONDA</v>
      </c>
      <c r="E1448" s="5" t="str">
        <f>IFERROR(__xludf.DUMMYFUNCTION("""COMPUTED_VALUE"""),"VIỆT NAM")</f>
        <v>VIỆT NAM</v>
      </c>
      <c r="F1448" s="5"/>
      <c r="G1448" s="5" t="str">
        <f>IFERROR(__xludf.DUMMYFUNCTION("""COMPUTED_VALUE"""),"WAVE A")</f>
        <v>WAVE A</v>
      </c>
      <c r="H1448" s="5" t="str">
        <f>IFERROR(__xludf.DUMMYFUNCTION("""COMPUTED_VALUE"""),"110cc")</f>
        <v>110cc</v>
      </c>
      <c r="I1448" s="5" t="str">
        <f>IFERROR(__xludf.DUMMYFUNCTION("""COMPUTED_VALUE"""),"RLHJA3915KY114711")</f>
        <v>RLHJA3915KY114711</v>
      </c>
      <c r="J1448" s="5" t="str">
        <f>IFERROR(__xludf.DUMMYFUNCTION("""COMPUTED_VALUE"""),"JA39E0971106")</f>
        <v>JA39E0971106</v>
      </c>
      <c r="K1448" s="5">
        <f>IFERROR(__xludf.DUMMYFUNCTION("""COMPUTED_VALUE"""),0.5)</f>
        <v>0.5</v>
      </c>
      <c r="L1448" s="5" t="str">
        <f>IFERROR(__xludf.DUMMYFUNCTION("""COMPUTED_VALUE"""),"KLH")</f>
        <v>KLH</v>
      </c>
    </row>
    <row r="1449">
      <c r="A1449" s="5" t="str">
        <f>IFERROR(__xludf.DUMMYFUNCTION("""COMPUTED_VALUE"""),"XD1-XMA-006")</f>
        <v>XD1-XMA-006</v>
      </c>
      <c r="B1449" s="3" t="str">
        <f>IFERROR(__xludf.DUMMYFUNCTION("""COMPUTED_VALUE"""),"Xe máy thu hoạch")</f>
        <v>Xe máy thu hoạch</v>
      </c>
      <c r="C1449" s="5" t="str">
        <f>IFERROR(__xludf.DUMMYFUNCTION("""COMPUTED_VALUE"""),"XN Chuối DP1")</f>
        <v>XN Chuối DP1</v>
      </c>
      <c r="D1449" s="5" t="str">
        <f>IFERROR(__xludf.DUMMYFUNCTION("""COMPUTED_VALUE"""),"HONDA")</f>
        <v>HONDA</v>
      </c>
      <c r="E1449" s="5" t="str">
        <f>IFERROR(__xludf.DUMMYFUNCTION("""COMPUTED_VALUE"""),"VIỆT NAM")</f>
        <v>VIỆT NAM</v>
      </c>
      <c r="F1449" s="5"/>
      <c r="G1449" s="5" t="str">
        <f>IFERROR(__xludf.DUMMYFUNCTION("""COMPUTED_VALUE"""),"WAVE A")</f>
        <v>WAVE A</v>
      </c>
      <c r="H1449" s="5" t="str">
        <f>IFERROR(__xludf.DUMMYFUNCTION("""COMPUTED_VALUE"""),"110cc")</f>
        <v>110cc</v>
      </c>
      <c r="I1449" s="5" t="str">
        <f>IFERROR(__xludf.DUMMYFUNCTION("""COMPUTED_VALUE"""),"RLHJA3928NY234676")</f>
        <v>RLHJA3928NY234676</v>
      </c>
      <c r="J1449" s="5" t="str">
        <f>IFERROR(__xludf.DUMMYFUNCTION("""COMPUTED_VALUE"""),"JA39E2731736")</f>
        <v>JA39E2731736</v>
      </c>
      <c r="K1449" s="5">
        <f>IFERROR(__xludf.DUMMYFUNCTION("""COMPUTED_VALUE"""),0.5)</f>
        <v>0.5</v>
      </c>
      <c r="L1449" s="5" t="str">
        <f>IFERROR(__xludf.DUMMYFUNCTION("""COMPUTED_VALUE"""),"KLH")</f>
        <v>KLH</v>
      </c>
    </row>
    <row r="1450">
      <c r="A1450" s="5" t="str">
        <f>IFERROR(__xludf.DUMMYFUNCTION("""COMPUTED_VALUE"""),"XD1-XMA-007")</f>
        <v>XD1-XMA-007</v>
      </c>
      <c r="B1450" s="3" t="str">
        <f>IFERROR(__xludf.DUMMYFUNCTION("""COMPUTED_VALUE"""),"Xe máy thu hoạch")</f>
        <v>Xe máy thu hoạch</v>
      </c>
      <c r="C1450" s="5" t="str">
        <f>IFERROR(__xludf.DUMMYFUNCTION("""COMPUTED_VALUE"""),"XN Chuối DP1")</f>
        <v>XN Chuối DP1</v>
      </c>
      <c r="D1450" s="5" t="str">
        <f>IFERROR(__xludf.DUMMYFUNCTION("""COMPUTED_VALUE"""),"HONDA")</f>
        <v>HONDA</v>
      </c>
      <c r="E1450" s="5" t="str">
        <f>IFERROR(__xludf.DUMMYFUNCTION("""COMPUTED_VALUE"""),"VIỆT NAM")</f>
        <v>VIỆT NAM</v>
      </c>
      <c r="F1450" s="5"/>
      <c r="G1450" s="5" t="str">
        <f>IFERROR(__xludf.DUMMYFUNCTION("""COMPUTED_VALUE"""),"WAVE A")</f>
        <v>WAVE A</v>
      </c>
      <c r="H1450" s="5" t="str">
        <f>IFERROR(__xludf.DUMMYFUNCTION("""COMPUTED_VALUE"""),"110cc")</f>
        <v>110cc</v>
      </c>
      <c r="I1450" s="5" t="str">
        <f>IFERROR(__xludf.DUMMYFUNCTION("""COMPUTED_VALUE"""),"RLHJA3910KY340347")</f>
        <v>RLHJA3910KY340347</v>
      </c>
      <c r="J1450" s="5" t="str">
        <f>IFERROR(__xludf.DUMMYFUNCTION("""COMPUTED_VALUE"""),"JA3951206095")</f>
        <v>JA3951206095</v>
      </c>
      <c r="K1450" s="5">
        <f>IFERROR(__xludf.DUMMYFUNCTION("""COMPUTED_VALUE"""),0.5)</f>
        <v>0.5</v>
      </c>
      <c r="L1450" s="5" t="str">
        <f>IFERROR(__xludf.DUMMYFUNCTION("""COMPUTED_VALUE"""),"KLH")</f>
        <v>KLH</v>
      </c>
    </row>
    <row r="1451">
      <c r="A1451" s="5" t="str">
        <f>IFERROR(__xludf.DUMMYFUNCTION("""COMPUTED_VALUE"""),"XD1-XMA-008")</f>
        <v>XD1-XMA-008</v>
      </c>
      <c r="B1451" s="3" t="str">
        <f>IFERROR(__xludf.DUMMYFUNCTION("""COMPUTED_VALUE"""),"Xe máy thu hoạch")</f>
        <v>Xe máy thu hoạch</v>
      </c>
      <c r="C1451" s="5" t="str">
        <f>IFERROR(__xludf.DUMMYFUNCTION("""COMPUTED_VALUE"""),"XN Chuối DP1")</f>
        <v>XN Chuối DP1</v>
      </c>
      <c r="D1451" s="5" t="str">
        <f>IFERROR(__xludf.DUMMYFUNCTION("""COMPUTED_VALUE"""),"HONDA")</f>
        <v>HONDA</v>
      </c>
      <c r="E1451" s="5" t="str">
        <f>IFERROR(__xludf.DUMMYFUNCTION("""COMPUTED_VALUE"""),"VIỆT NAM")</f>
        <v>VIỆT NAM</v>
      </c>
      <c r="F1451" s="5"/>
      <c r="G1451" s="5" t="str">
        <f>IFERROR(__xludf.DUMMYFUNCTION("""COMPUTED_VALUE"""),"WAVE A")</f>
        <v>WAVE A</v>
      </c>
      <c r="H1451" s="5" t="str">
        <f>IFERROR(__xludf.DUMMYFUNCTION("""COMPUTED_VALUE"""),"110cc")</f>
        <v>110cc</v>
      </c>
      <c r="I1451" s="5" t="str">
        <f>IFERROR(__xludf.DUMMYFUNCTION("""COMPUTED_VALUE"""),"RLHJA390GHY276699")</f>
        <v>RLHJA390GHY276699</v>
      </c>
      <c r="J1451" s="5" t="str">
        <f>IFERROR(__xludf.DUMMYFUNCTION("""COMPUTED_VALUE"""),"JAS9E-0276691")</f>
        <v>JAS9E-0276691</v>
      </c>
      <c r="K1451" s="5">
        <f>IFERROR(__xludf.DUMMYFUNCTION("""COMPUTED_VALUE"""),0.5)</f>
        <v>0.5</v>
      </c>
      <c r="L1451" s="5" t="str">
        <f>IFERROR(__xludf.DUMMYFUNCTION("""COMPUTED_VALUE"""),"KLH")</f>
        <v>KLH</v>
      </c>
    </row>
    <row r="1452">
      <c r="A1452" s="5" t="str">
        <f>IFERROR(__xludf.DUMMYFUNCTION("""COMPUTED_VALUE"""),"XD1-XMA-011")</f>
        <v>XD1-XMA-011</v>
      </c>
      <c r="B1452" s="3" t="str">
        <f>IFERROR(__xludf.DUMMYFUNCTION("""COMPUTED_VALUE"""),"Xe máy thu hoạch")</f>
        <v>Xe máy thu hoạch</v>
      </c>
      <c r="C1452" s="5" t="str">
        <f>IFERROR(__xludf.DUMMYFUNCTION("""COMPUTED_VALUE"""),"XN Chuối DP1")</f>
        <v>XN Chuối DP1</v>
      </c>
      <c r="D1452" s="5" t="str">
        <f>IFERROR(__xludf.DUMMYFUNCTION("""COMPUTED_VALUE"""),"HONDA")</f>
        <v>HONDA</v>
      </c>
      <c r="E1452" s="5" t="str">
        <f>IFERROR(__xludf.DUMMYFUNCTION("""COMPUTED_VALUE"""),"VIỆT NAM")</f>
        <v>VIỆT NAM</v>
      </c>
      <c r="F1452" s="5"/>
      <c r="G1452" s="5" t="str">
        <f>IFERROR(__xludf.DUMMYFUNCTION("""COMPUTED_VALUE"""),"WAVE A")</f>
        <v>WAVE A</v>
      </c>
      <c r="H1452" s="5" t="str">
        <f>IFERROR(__xludf.DUMMYFUNCTION("""COMPUTED_VALUE"""),"110cc")</f>
        <v>110cc</v>
      </c>
      <c r="I1452" s="5" t="str">
        <f>IFERROR(__xludf.DUMMYFUNCTION("""COMPUTED_VALUE"""),"RLHJA391XLY039134")</f>
        <v>RLHJA391XLY039134</v>
      </c>
      <c r="J1452" s="5" t="str">
        <f>IFERROR(__xludf.DUMMYFUNCTION("""COMPUTED_VALUE"""),"JAS9E-1373865")</f>
        <v>JAS9E-1373865</v>
      </c>
      <c r="K1452" s="5">
        <f>IFERROR(__xludf.DUMMYFUNCTION("""COMPUTED_VALUE"""),0.5)</f>
        <v>0.5</v>
      </c>
      <c r="L1452" s="5" t="str">
        <f>IFERROR(__xludf.DUMMYFUNCTION("""COMPUTED_VALUE"""),"KLH")</f>
        <v>KLH</v>
      </c>
    </row>
    <row r="1453">
      <c r="A1453" s="5" t="str">
        <f>IFERROR(__xludf.DUMMYFUNCTION("""COMPUTED_VALUE"""),"XD1-XMA-015")</f>
        <v>XD1-XMA-015</v>
      </c>
      <c r="B1453" s="3" t="str">
        <f>IFERROR(__xludf.DUMMYFUNCTION("""COMPUTED_VALUE"""),"Xe máy thu hoạch")</f>
        <v>Xe máy thu hoạch</v>
      </c>
      <c r="C1453" s="5" t="str">
        <f>IFERROR(__xludf.DUMMYFUNCTION("""COMPUTED_VALUE"""),"XN Chuối DP1")</f>
        <v>XN Chuối DP1</v>
      </c>
      <c r="D1453" s="5" t="str">
        <f>IFERROR(__xludf.DUMMYFUNCTION("""COMPUTED_VALUE"""),"HONDA")</f>
        <v>HONDA</v>
      </c>
      <c r="E1453" s="5" t="str">
        <f>IFERROR(__xludf.DUMMYFUNCTION("""COMPUTED_VALUE"""),"VIỆT NAM")</f>
        <v>VIỆT NAM</v>
      </c>
      <c r="F1453" s="5"/>
      <c r="G1453" s="5" t="str">
        <f>IFERROR(__xludf.DUMMYFUNCTION("""COMPUTED_VALUE"""),"WAVE A")</f>
        <v>WAVE A</v>
      </c>
      <c r="H1453" s="5" t="str">
        <f>IFERROR(__xludf.DUMMYFUNCTION("""COMPUTED_VALUE"""),"110cc")</f>
        <v>110cc</v>
      </c>
      <c r="I1453" s="5" t="str">
        <f>IFERROR(__xludf.DUMMYFUNCTION("""COMPUTED_VALUE"""),"RLHJA39HY-582682")</f>
        <v>RLHJA39HY-582682</v>
      </c>
      <c r="J1453" s="5" t="str">
        <f>IFERROR(__xludf.DUMMYFUNCTION("""COMPUTED_VALUE"""),"JA39E-0557832")</f>
        <v>JA39E-0557832</v>
      </c>
      <c r="K1453" s="5">
        <f>IFERROR(__xludf.DUMMYFUNCTION("""COMPUTED_VALUE"""),0.5)</f>
        <v>0.5</v>
      </c>
      <c r="L1453" s="5" t="str">
        <f>IFERROR(__xludf.DUMMYFUNCTION("""COMPUTED_VALUE"""),"KLH")</f>
        <v>KLH</v>
      </c>
    </row>
    <row r="1454">
      <c r="A1454" s="5" t="str">
        <f>IFERROR(__xludf.DUMMYFUNCTION("""COMPUTED_VALUE"""),"XN DP2")</f>
        <v>XN DP2</v>
      </c>
      <c r="B1454" s="3"/>
      <c r="C1454" s="5"/>
      <c r="D1454" s="5"/>
      <c r="E1454" s="5"/>
      <c r="F1454" s="5"/>
      <c r="G1454" s="5"/>
      <c r="H1454" s="5"/>
      <c r="I1454" s="5"/>
      <c r="J1454" s="5"/>
      <c r="K1454" s="5"/>
      <c r="L1454" s="5" t="str">
        <f>IFERROR(__xludf.DUMMYFUNCTION("""COMPUTED_VALUE"""),"KLH")</f>
        <v>KLH</v>
      </c>
    </row>
    <row r="1455">
      <c r="A1455" s="5" t="str">
        <f>IFERROR(__xludf.DUMMYFUNCTION("""COMPUTED_VALUE"""),"XD2-XMA-003")</f>
        <v>XD2-XMA-003</v>
      </c>
      <c r="B1455" s="3" t="str">
        <f>IFERROR(__xludf.DUMMYFUNCTION("""COMPUTED_VALUE"""),"Xe máy thu hoạch")</f>
        <v>Xe máy thu hoạch</v>
      </c>
      <c r="C1455" s="5" t="str">
        <f>IFERROR(__xludf.DUMMYFUNCTION("""COMPUTED_VALUE"""),"XN Chuối DP2")</f>
        <v>XN Chuối DP2</v>
      </c>
      <c r="D1455" s="5" t="str">
        <f>IFERROR(__xludf.DUMMYFUNCTION("""COMPUTED_VALUE"""),"HONDA")</f>
        <v>HONDA</v>
      </c>
      <c r="E1455" s="5" t="str">
        <f>IFERROR(__xludf.DUMMYFUNCTION("""COMPUTED_VALUE"""),"VIỆT NAM")</f>
        <v>VIỆT NAM</v>
      </c>
      <c r="F1455" s="5"/>
      <c r="G1455" s="5" t="str">
        <f>IFERROR(__xludf.DUMMYFUNCTION("""COMPUTED_VALUE"""),"WAVE A")</f>
        <v>WAVE A</v>
      </c>
      <c r="H1455" s="5" t="str">
        <f>IFERROR(__xludf.DUMMYFUNCTION("""COMPUTED_VALUE"""),"110cc")</f>
        <v>110cc</v>
      </c>
      <c r="I1455" s="5" t="str">
        <f>IFERROR(__xludf.DUMMYFUNCTION("""COMPUTED_VALUE"""),"RLA139251023176")</f>
        <v>RLA139251023176</v>
      </c>
      <c r="J1455" s="5" t="str">
        <f>IFERROR(__xludf.DUMMYFUNCTION("""COMPUTED_VALUE"""),"JA39E-2163180")</f>
        <v>JA39E-2163180</v>
      </c>
      <c r="K1455" s="5">
        <f>IFERROR(__xludf.DUMMYFUNCTION("""COMPUTED_VALUE"""),0.5)</f>
        <v>0.5</v>
      </c>
      <c r="L1455" s="5" t="str">
        <f>IFERROR(__xludf.DUMMYFUNCTION("""COMPUTED_VALUE"""),"KLH")</f>
        <v>KLH</v>
      </c>
    </row>
    <row r="1456">
      <c r="A1456" s="5" t="str">
        <f>IFERROR(__xludf.DUMMYFUNCTION("""COMPUTED_VALUE"""),"XD2-XMA-005")</f>
        <v>XD2-XMA-005</v>
      </c>
      <c r="B1456" s="3" t="str">
        <f>IFERROR(__xludf.DUMMYFUNCTION("""COMPUTED_VALUE"""),"Xe máy thu hoạch")</f>
        <v>Xe máy thu hoạch</v>
      </c>
      <c r="C1456" s="5" t="str">
        <f>IFERROR(__xludf.DUMMYFUNCTION("""COMPUTED_VALUE"""),"XN Chuối DP2")</f>
        <v>XN Chuối DP2</v>
      </c>
      <c r="D1456" s="5" t="str">
        <f>IFERROR(__xludf.DUMMYFUNCTION("""COMPUTED_VALUE"""),"HONDA")</f>
        <v>HONDA</v>
      </c>
      <c r="E1456" s="5" t="str">
        <f>IFERROR(__xludf.DUMMYFUNCTION("""COMPUTED_VALUE"""),"VIỆT NAM")</f>
        <v>VIỆT NAM</v>
      </c>
      <c r="F1456" s="5"/>
      <c r="G1456" s="5" t="str">
        <f>IFERROR(__xludf.DUMMYFUNCTION("""COMPUTED_VALUE"""),"WAVE A")</f>
        <v>WAVE A</v>
      </c>
      <c r="H1456" s="5" t="str">
        <f>IFERROR(__xludf.DUMMYFUNCTION("""COMPUTED_VALUE"""),"110cc")</f>
        <v>110cc</v>
      </c>
      <c r="I1456" s="5" t="str">
        <f>IFERROR(__xludf.DUMMYFUNCTION("""COMPUTED_VALUE"""),"RLHJA13924LY002900")</f>
        <v>RLHJA13924LY002900</v>
      </c>
      <c r="J1456" s="5" t="str">
        <f>IFERROR(__xludf.DUMMYFUNCTION("""COMPUTED_VALUE"""),"JA39E-2002957")</f>
        <v>JA39E-2002957</v>
      </c>
      <c r="K1456" s="5">
        <f>IFERROR(__xludf.DUMMYFUNCTION("""COMPUTED_VALUE"""),0.5)</f>
        <v>0.5</v>
      </c>
      <c r="L1456" s="5" t="str">
        <f>IFERROR(__xludf.DUMMYFUNCTION("""COMPUTED_VALUE"""),"KLH")</f>
        <v>KLH</v>
      </c>
    </row>
    <row r="1457">
      <c r="A1457" s="5" t="str">
        <f>IFERROR(__xludf.DUMMYFUNCTION("""COMPUTED_VALUE"""),"XD2-XMA-006")</f>
        <v>XD2-XMA-006</v>
      </c>
      <c r="B1457" s="3" t="str">
        <f>IFERROR(__xludf.DUMMYFUNCTION("""COMPUTED_VALUE"""),"Xe máy thu hoạch")</f>
        <v>Xe máy thu hoạch</v>
      </c>
      <c r="C1457" s="5" t="str">
        <f>IFERROR(__xludf.DUMMYFUNCTION("""COMPUTED_VALUE"""),"XN Chuối DP2")</f>
        <v>XN Chuối DP2</v>
      </c>
      <c r="D1457" s="5" t="str">
        <f>IFERROR(__xludf.DUMMYFUNCTION("""COMPUTED_VALUE"""),"HONDA")</f>
        <v>HONDA</v>
      </c>
      <c r="E1457" s="5" t="str">
        <f>IFERROR(__xludf.DUMMYFUNCTION("""COMPUTED_VALUE"""),"VIỆT NAM")</f>
        <v>VIỆT NAM</v>
      </c>
      <c r="F1457" s="5"/>
      <c r="G1457" s="5" t="str">
        <f>IFERROR(__xludf.DUMMYFUNCTION("""COMPUTED_VALUE"""),"WAVE A")</f>
        <v>WAVE A</v>
      </c>
      <c r="H1457" s="5" t="str">
        <f>IFERROR(__xludf.DUMMYFUNCTION("""COMPUTED_VALUE"""),"110cc")</f>
        <v>110cc</v>
      </c>
      <c r="I1457" s="5" t="str">
        <f>IFERROR(__xludf.DUMMYFUNCTION("""COMPUTED_VALUE"""),"RLHJA3901HY174923")</f>
        <v>RLHJA3901HY174923</v>
      </c>
      <c r="J1457" s="5" t="str">
        <f>IFERROR(__xludf.DUMMYFUNCTION("""COMPUTED_VALUE"""),"JA39E-'0174954")</f>
        <v>JA39E-'0174954</v>
      </c>
      <c r="K1457" s="5">
        <f>IFERROR(__xludf.DUMMYFUNCTION("""COMPUTED_VALUE"""),0.5)</f>
        <v>0.5</v>
      </c>
      <c r="L1457" s="5" t="str">
        <f>IFERROR(__xludf.DUMMYFUNCTION("""COMPUTED_VALUE"""),"KLH")</f>
        <v>KLH</v>
      </c>
    </row>
    <row r="1458">
      <c r="A1458" s="5" t="str">
        <f>IFERROR(__xludf.DUMMYFUNCTION("""COMPUTED_VALUE"""),"XD2-XMA-009")</f>
        <v>XD2-XMA-009</v>
      </c>
      <c r="B1458" s="3" t="str">
        <f>IFERROR(__xludf.DUMMYFUNCTION("""COMPUTED_VALUE"""),"Xe máy thu hoạch")</f>
        <v>Xe máy thu hoạch</v>
      </c>
      <c r="C1458" s="5" t="str">
        <f>IFERROR(__xludf.DUMMYFUNCTION("""COMPUTED_VALUE"""),"XN Chuối DP2")</f>
        <v>XN Chuối DP2</v>
      </c>
      <c r="D1458" s="5" t="str">
        <f>IFERROR(__xludf.DUMMYFUNCTION("""COMPUTED_VALUE"""),"HONDA")</f>
        <v>HONDA</v>
      </c>
      <c r="E1458" s="5" t="str">
        <f>IFERROR(__xludf.DUMMYFUNCTION("""COMPUTED_VALUE"""),"VIỆT NAM")</f>
        <v>VIỆT NAM</v>
      </c>
      <c r="F1458" s="5"/>
      <c r="G1458" s="5" t="str">
        <f>IFERROR(__xludf.DUMMYFUNCTION("""COMPUTED_VALUE"""),"WAVE A")</f>
        <v>WAVE A</v>
      </c>
      <c r="H1458" s="5" t="str">
        <f>IFERROR(__xludf.DUMMYFUNCTION("""COMPUTED_VALUE"""),"110cc")</f>
        <v>110cc</v>
      </c>
      <c r="I1458" s="5" t="str">
        <f>IFERROR(__xludf.DUMMYFUNCTION("""COMPUTED_VALUE"""),"RLHJ3907HY88986")</f>
        <v>RLHJ3907HY88986</v>
      </c>
      <c r="J1458" s="5" t="str">
        <f>IFERROR(__xludf.DUMMYFUNCTION("""COMPUTED_VALUE"""),"JA39E-'0189341")</f>
        <v>JA39E-'0189341</v>
      </c>
      <c r="K1458" s="5">
        <f>IFERROR(__xludf.DUMMYFUNCTION("""COMPUTED_VALUE"""),0.5)</f>
        <v>0.5</v>
      </c>
      <c r="L1458" s="5" t="str">
        <f>IFERROR(__xludf.DUMMYFUNCTION("""COMPUTED_VALUE"""),"KLH")</f>
        <v>KLH</v>
      </c>
    </row>
    <row r="1459">
      <c r="A1459" s="5" t="str">
        <f>IFERROR(__xludf.DUMMYFUNCTION("""COMPUTED_VALUE"""),"XD2-XMA-010")</f>
        <v>XD2-XMA-010</v>
      </c>
      <c r="B1459" s="3" t="str">
        <f>IFERROR(__xludf.DUMMYFUNCTION("""COMPUTED_VALUE"""),"Xe máy thu hoạch")</f>
        <v>Xe máy thu hoạch</v>
      </c>
      <c r="C1459" s="5" t="str">
        <f>IFERROR(__xludf.DUMMYFUNCTION("""COMPUTED_VALUE"""),"XN Chuối DP2")</f>
        <v>XN Chuối DP2</v>
      </c>
      <c r="D1459" s="5" t="str">
        <f>IFERROR(__xludf.DUMMYFUNCTION("""COMPUTED_VALUE"""),"HONDA")</f>
        <v>HONDA</v>
      </c>
      <c r="E1459" s="5" t="str">
        <f>IFERROR(__xludf.DUMMYFUNCTION("""COMPUTED_VALUE"""),"VIỆT NAM")</f>
        <v>VIỆT NAM</v>
      </c>
      <c r="F1459" s="5"/>
      <c r="G1459" s="5" t="str">
        <f>IFERROR(__xludf.DUMMYFUNCTION("""COMPUTED_VALUE"""),"WAVE A")</f>
        <v>WAVE A</v>
      </c>
      <c r="H1459" s="5" t="str">
        <f>IFERROR(__xludf.DUMMYFUNCTION("""COMPUTED_VALUE"""),"110cc")</f>
        <v>110cc</v>
      </c>
      <c r="I1459" s="5" t="str">
        <f>IFERROR(__xludf.DUMMYFUNCTION("""COMPUTED_VALUE"""),"RLHJA3924HY22080")</f>
        <v>RLHJA3924HY22080</v>
      </c>
      <c r="J1459" s="5" t="str">
        <f>IFERROR(__xludf.DUMMYFUNCTION("""COMPUTED_VALUE"""),"JA39E-'022080")</f>
        <v>JA39E-'022080</v>
      </c>
      <c r="K1459" s="5">
        <f>IFERROR(__xludf.DUMMYFUNCTION("""COMPUTED_VALUE"""),0.5)</f>
        <v>0.5</v>
      </c>
      <c r="L1459" s="5" t="str">
        <f>IFERROR(__xludf.DUMMYFUNCTION("""COMPUTED_VALUE"""),"KLH")</f>
        <v>KLH</v>
      </c>
    </row>
    <row r="1460">
      <c r="A1460" s="5" t="str">
        <f>IFERROR(__xludf.DUMMYFUNCTION("""COMPUTED_VALUE"""),"XD2-XMA-011")</f>
        <v>XD2-XMA-011</v>
      </c>
      <c r="B1460" s="3" t="str">
        <f>IFERROR(__xludf.DUMMYFUNCTION("""COMPUTED_VALUE"""),"Xe máy thu hoạch")</f>
        <v>Xe máy thu hoạch</v>
      </c>
      <c r="C1460" s="5" t="str">
        <f>IFERROR(__xludf.DUMMYFUNCTION("""COMPUTED_VALUE"""),"XN Chuối DP2")</f>
        <v>XN Chuối DP2</v>
      </c>
      <c r="D1460" s="5" t="str">
        <f>IFERROR(__xludf.DUMMYFUNCTION("""COMPUTED_VALUE"""),"HONDA")</f>
        <v>HONDA</v>
      </c>
      <c r="E1460" s="5" t="str">
        <f>IFERROR(__xludf.DUMMYFUNCTION("""COMPUTED_VALUE"""),"VIỆT NAM")</f>
        <v>VIỆT NAM</v>
      </c>
      <c r="F1460" s="5"/>
      <c r="G1460" s="5" t="str">
        <f>IFERROR(__xludf.DUMMYFUNCTION("""COMPUTED_VALUE"""),"WAVE A")</f>
        <v>WAVE A</v>
      </c>
      <c r="H1460" s="5" t="str">
        <f>IFERROR(__xludf.DUMMYFUNCTION("""COMPUTED_VALUE"""),"110cc")</f>
        <v>110cc</v>
      </c>
      <c r="I1460" s="5" t="str">
        <f>IFERROR(__xludf.DUMMYFUNCTION("""COMPUTED_VALUE"""),"RLHJA3908HY135231")</f>
        <v>RLHJA3908HY135231</v>
      </c>
      <c r="J1460" s="5" t="str">
        <f>IFERROR(__xludf.DUMMYFUNCTION("""COMPUTED_VALUE"""),"JA39E-'013523")</f>
        <v>JA39E-'013523</v>
      </c>
      <c r="K1460" s="5">
        <f>IFERROR(__xludf.DUMMYFUNCTION("""COMPUTED_VALUE"""),0.5)</f>
        <v>0.5</v>
      </c>
      <c r="L1460" s="5" t="str">
        <f>IFERROR(__xludf.DUMMYFUNCTION("""COMPUTED_VALUE"""),"KLH")</f>
        <v>KLH</v>
      </c>
    </row>
    <row r="1461">
      <c r="A1461" s="5" t="str">
        <f>IFERROR(__xludf.DUMMYFUNCTION("""COMPUTED_VALUE"""),"XD2-XMA-013")</f>
        <v>XD2-XMA-013</v>
      </c>
      <c r="B1461" s="3" t="str">
        <f>IFERROR(__xludf.DUMMYFUNCTION("""COMPUTED_VALUE"""),"Xe máy thu hoạch")</f>
        <v>Xe máy thu hoạch</v>
      </c>
      <c r="C1461" s="5" t="str">
        <f>IFERROR(__xludf.DUMMYFUNCTION("""COMPUTED_VALUE"""),"XN Chuối DP2")</f>
        <v>XN Chuối DP2</v>
      </c>
      <c r="D1461" s="5" t="str">
        <f>IFERROR(__xludf.DUMMYFUNCTION("""COMPUTED_VALUE"""),"HONDA")</f>
        <v>HONDA</v>
      </c>
      <c r="E1461" s="5" t="str">
        <f>IFERROR(__xludf.DUMMYFUNCTION("""COMPUTED_VALUE"""),"VIỆT NAM")</f>
        <v>VIỆT NAM</v>
      </c>
      <c r="F1461" s="5"/>
      <c r="G1461" s="5" t="str">
        <f>IFERROR(__xludf.DUMMYFUNCTION("""COMPUTED_VALUE"""),"WAVE A")</f>
        <v>WAVE A</v>
      </c>
      <c r="H1461" s="5" t="str">
        <f>IFERROR(__xludf.DUMMYFUNCTION("""COMPUTED_VALUE"""),"110cc")</f>
        <v>110cc</v>
      </c>
      <c r="I1461" s="5" t="str">
        <f>IFERROR(__xludf.DUMMYFUNCTION("""COMPUTED_VALUE"""),"RLHJA13923HY066928")</f>
        <v>RLHJA13923HY066928</v>
      </c>
      <c r="J1461" s="5" t="str">
        <f>IFERROR(__xludf.DUMMYFUNCTION("""COMPUTED_VALUE"""),"JA39E-2184232")</f>
        <v>JA39E-2184232</v>
      </c>
      <c r="K1461" s="5">
        <f>IFERROR(__xludf.DUMMYFUNCTION("""COMPUTED_VALUE"""),0.5)</f>
        <v>0.5</v>
      </c>
      <c r="L1461" s="5" t="str">
        <f>IFERROR(__xludf.DUMMYFUNCTION("""COMPUTED_VALUE"""),"KLH")</f>
        <v>KLH</v>
      </c>
    </row>
    <row r="1462">
      <c r="A1462" s="5" t="str">
        <f>IFERROR(__xludf.DUMMYFUNCTION("""COMPUTED_VALUE"""),"XD2-XMA-014")</f>
        <v>XD2-XMA-014</v>
      </c>
      <c r="B1462" s="3" t="str">
        <f>IFERROR(__xludf.DUMMYFUNCTION("""COMPUTED_VALUE"""),"Xe máy thu hoạch")</f>
        <v>Xe máy thu hoạch</v>
      </c>
      <c r="C1462" s="5" t="str">
        <f>IFERROR(__xludf.DUMMYFUNCTION("""COMPUTED_VALUE"""),"XN Chuối DP2")</f>
        <v>XN Chuối DP2</v>
      </c>
      <c r="D1462" s="5" t="str">
        <f>IFERROR(__xludf.DUMMYFUNCTION("""COMPUTED_VALUE"""),"HONDA")</f>
        <v>HONDA</v>
      </c>
      <c r="E1462" s="5" t="str">
        <f>IFERROR(__xludf.DUMMYFUNCTION("""COMPUTED_VALUE"""),"VIỆT NAM")</f>
        <v>VIỆT NAM</v>
      </c>
      <c r="F1462" s="5"/>
      <c r="G1462" s="5" t="str">
        <f>IFERROR(__xludf.DUMMYFUNCTION("""COMPUTED_VALUE"""),"WAVE A")</f>
        <v>WAVE A</v>
      </c>
      <c r="H1462" s="5" t="str">
        <f>IFERROR(__xludf.DUMMYFUNCTION("""COMPUTED_VALUE"""),"110cc")</f>
        <v>110cc</v>
      </c>
      <c r="I1462" s="5" t="str">
        <f>IFERROR(__xludf.DUMMYFUNCTION("""COMPUTED_VALUE"""),"RLHJA391XKY3991273")</f>
        <v>RLHJA391XKY3991273</v>
      </c>
      <c r="J1462" s="5" t="str">
        <f>IFERROR(__xludf.DUMMYFUNCTION("""COMPUTED_VALUE"""),"JA39E -1259607")</f>
        <v>JA39E -1259607</v>
      </c>
      <c r="K1462" s="5">
        <f>IFERROR(__xludf.DUMMYFUNCTION("""COMPUTED_VALUE"""),0.5)</f>
        <v>0.5</v>
      </c>
      <c r="L1462" s="5" t="str">
        <f>IFERROR(__xludf.DUMMYFUNCTION("""COMPUTED_VALUE"""),"KLH")</f>
        <v>KLH</v>
      </c>
    </row>
    <row r="1463">
      <c r="A1463" s="5" t="str">
        <f>IFERROR(__xludf.DUMMYFUNCTION("""COMPUTED_VALUE"""),"XN DP3")</f>
        <v>XN DP3</v>
      </c>
      <c r="B1463" s="3"/>
      <c r="C1463" s="5"/>
      <c r="D1463" s="5"/>
      <c r="E1463" s="5"/>
      <c r="F1463" s="5"/>
      <c r="G1463" s="5"/>
      <c r="H1463" s="5"/>
      <c r="I1463" s="5"/>
      <c r="J1463" s="5"/>
      <c r="K1463" s="5"/>
      <c r="L1463" s="5" t="str">
        <f>IFERROR(__xludf.DUMMYFUNCTION("""COMPUTED_VALUE"""),"KLH")</f>
        <v>KLH</v>
      </c>
    </row>
    <row r="1464">
      <c r="A1464" s="5" t="str">
        <f>IFERROR(__xludf.DUMMYFUNCTION("""COMPUTED_VALUE"""),"XD3-XMA-001")</f>
        <v>XD3-XMA-001</v>
      </c>
      <c r="B1464" s="3" t="str">
        <f>IFERROR(__xludf.DUMMYFUNCTION("""COMPUTED_VALUE"""),"Xe máy thu hoạch")</f>
        <v>Xe máy thu hoạch</v>
      </c>
      <c r="C1464" s="5" t="str">
        <f>IFERROR(__xludf.DUMMYFUNCTION("""COMPUTED_VALUE"""),"XN Chuối DP3")</f>
        <v>XN Chuối DP3</v>
      </c>
      <c r="D1464" s="5" t="str">
        <f>IFERROR(__xludf.DUMMYFUNCTION("""COMPUTED_VALUE"""),"HONDA")</f>
        <v>HONDA</v>
      </c>
      <c r="E1464" s="5" t="str">
        <f>IFERROR(__xludf.DUMMYFUNCTION("""COMPUTED_VALUE"""),"VIỆT NAM")</f>
        <v>VIỆT NAM</v>
      </c>
      <c r="F1464" s="5"/>
      <c r="G1464" s="5" t="str">
        <f>IFERROR(__xludf.DUMMYFUNCTION("""COMPUTED_VALUE"""),"WAVE A")</f>
        <v>WAVE A</v>
      </c>
      <c r="H1464" s="5" t="str">
        <f>IFERROR(__xludf.DUMMYFUNCTION("""COMPUTED_VALUE"""),"110cc")</f>
        <v>110cc</v>
      </c>
      <c r="I1464" s="5" t="str">
        <f>IFERROR(__xludf.DUMMYFUNCTION("""COMPUTED_VALUE"""),"RLHJA3923NY298611")</f>
        <v>RLHJA3923NY298611</v>
      </c>
      <c r="J1464" s="5" t="str">
        <f>IFERROR(__xludf.DUMMYFUNCTION("""COMPUTED_VALUE"""),"JA39E- 2795538")</f>
        <v>JA39E- 2795538</v>
      </c>
      <c r="K1464" s="5">
        <f>IFERROR(__xludf.DUMMYFUNCTION("""COMPUTED_VALUE"""),0.5)</f>
        <v>0.5</v>
      </c>
      <c r="L1464" s="5" t="str">
        <f>IFERROR(__xludf.DUMMYFUNCTION("""COMPUTED_VALUE"""),"KLH")</f>
        <v>KLH</v>
      </c>
    </row>
    <row r="1465">
      <c r="A1465" s="5" t="str">
        <f>IFERROR(__xludf.DUMMYFUNCTION("""COMPUTED_VALUE"""),"XD3-XMA-002")</f>
        <v>XD3-XMA-002</v>
      </c>
      <c r="B1465" s="3" t="str">
        <f>IFERROR(__xludf.DUMMYFUNCTION("""COMPUTED_VALUE"""),"Xe máy thu hoạch")</f>
        <v>Xe máy thu hoạch</v>
      </c>
      <c r="C1465" s="5" t="str">
        <f>IFERROR(__xludf.DUMMYFUNCTION("""COMPUTED_VALUE"""),"XN Chuối DP3")</f>
        <v>XN Chuối DP3</v>
      </c>
      <c r="D1465" s="5" t="str">
        <f>IFERROR(__xludf.DUMMYFUNCTION("""COMPUTED_VALUE"""),"HONDA")</f>
        <v>HONDA</v>
      </c>
      <c r="E1465" s="5" t="str">
        <f>IFERROR(__xludf.DUMMYFUNCTION("""COMPUTED_VALUE"""),"VIỆT NAM")</f>
        <v>VIỆT NAM</v>
      </c>
      <c r="F1465" s="5"/>
      <c r="G1465" s="5" t="str">
        <f>IFERROR(__xludf.DUMMYFUNCTION("""COMPUTED_VALUE"""),"WAVE A")</f>
        <v>WAVE A</v>
      </c>
      <c r="H1465" s="5" t="str">
        <f>IFERROR(__xludf.DUMMYFUNCTION("""COMPUTED_VALUE"""),"110cc")</f>
        <v>110cc</v>
      </c>
      <c r="I1465" s="5" t="str">
        <f>IFERROR(__xludf.DUMMYFUNCTION("""COMPUTED_VALUE"""),"RLHJA3913KY391096")</f>
        <v>RLHJA3913KY391096</v>
      </c>
      <c r="J1465" s="5" t="str">
        <f>IFERROR(__xludf.DUMMYFUNCTION("""COMPUTED_VALUE"""),"JA39E- 1259486")</f>
        <v>JA39E- 1259486</v>
      </c>
      <c r="K1465" s="5">
        <f>IFERROR(__xludf.DUMMYFUNCTION("""COMPUTED_VALUE"""),0.5)</f>
        <v>0.5</v>
      </c>
      <c r="L1465" s="5" t="str">
        <f>IFERROR(__xludf.DUMMYFUNCTION("""COMPUTED_VALUE"""),"KLH")</f>
        <v>KLH</v>
      </c>
    </row>
    <row r="1466">
      <c r="A1466" s="5" t="str">
        <f>IFERROR(__xludf.DUMMYFUNCTION("""COMPUTED_VALUE"""),"XD3-XMA-005")</f>
        <v>XD3-XMA-005</v>
      </c>
      <c r="B1466" s="3" t="str">
        <f>IFERROR(__xludf.DUMMYFUNCTION("""COMPUTED_VALUE"""),"Xe máy thu hoạch")</f>
        <v>Xe máy thu hoạch</v>
      </c>
      <c r="C1466" s="5" t="str">
        <f>IFERROR(__xludf.DUMMYFUNCTION("""COMPUTED_VALUE"""),"XN Chuối DP3")</f>
        <v>XN Chuối DP3</v>
      </c>
      <c r="D1466" s="5" t="str">
        <f>IFERROR(__xludf.DUMMYFUNCTION("""COMPUTED_VALUE"""),"HONDA")</f>
        <v>HONDA</v>
      </c>
      <c r="E1466" s="5" t="str">
        <f>IFERROR(__xludf.DUMMYFUNCTION("""COMPUTED_VALUE"""),"VIỆT NAM")</f>
        <v>VIỆT NAM</v>
      </c>
      <c r="F1466" s="5"/>
      <c r="G1466" s="5" t="str">
        <f>IFERROR(__xludf.DUMMYFUNCTION("""COMPUTED_VALUE"""),"WAVE A")</f>
        <v>WAVE A</v>
      </c>
      <c r="H1466" s="5" t="str">
        <f>IFERROR(__xludf.DUMMYFUNCTION("""COMPUTED_VALUE"""),"110cc")</f>
        <v>110cc</v>
      </c>
      <c r="I1466" s="5" t="str">
        <f>IFERROR(__xludf.DUMMYFUNCTION("""COMPUTED_VALUE"""),"RLHJA3909HY203553")</f>
        <v>RLHJA3909HY203553</v>
      </c>
      <c r="J1466" s="5" t="str">
        <f>IFERROR(__xludf.DUMMYFUNCTION("""COMPUTED_VALUE"""),"JA39E- 0203613")</f>
        <v>JA39E- 0203613</v>
      </c>
      <c r="K1466" s="5">
        <f>IFERROR(__xludf.DUMMYFUNCTION("""COMPUTED_VALUE"""),0.5)</f>
        <v>0.5</v>
      </c>
      <c r="L1466" s="5" t="str">
        <f>IFERROR(__xludf.DUMMYFUNCTION("""COMPUTED_VALUE"""),"KLH")</f>
        <v>KLH</v>
      </c>
    </row>
    <row r="1467">
      <c r="A1467" s="5" t="str">
        <f>IFERROR(__xludf.DUMMYFUNCTION("""COMPUTED_VALUE"""),"XD3-XMA-006")</f>
        <v>XD3-XMA-006</v>
      </c>
      <c r="B1467" s="3" t="str">
        <f>IFERROR(__xludf.DUMMYFUNCTION("""COMPUTED_VALUE"""),"Xe máy thu hoạch")</f>
        <v>Xe máy thu hoạch</v>
      </c>
      <c r="C1467" s="5" t="str">
        <f>IFERROR(__xludf.DUMMYFUNCTION("""COMPUTED_VALUE"""),"XN Chuối DP3")</f>
        <v>XN Chuối DP3</v>
      </c>
      <c r="D1467" s="5" t="str">
        <f>IFERROR(__xludf.DUMMYFUNCTION("""COMPUTED_VALUE"""),"HONDA")</f>
        <v>HONDA</v>
      </c>
      <c r="E1467" s="5" t="str">
        <f>IFERROR(__xludf.DUMMYFUNCTION("""COMPUTED_VALUE"""),"VIỆT NAM")</f>
        <v>VIỆT NAM</v>
      </c>
      <c r="F1467" s="5"/>
      <c r="G1467" s="5" t="str">
        <f>IFERROR(__xludf.DUMMYFUNCTION("""COMPUTED_VALUE"""),"WAVE A")</f>
        <v>WAVE A</v>
      </c>
      <c r="H1467" s="5" t="str">
        <f>IFERROR(__xludf.DUMMYFUNCTION("""COMPUTED_VALUE"""),"110cc")</f>
        <v>110cc</v>
      </c>
      <c r="I1467" s="5" t="str">
        <f>IFERROR(__xludf.DUMMYFUNCTION("""COMPUTED_VALUE"""),"RLHGA3915KY189229")</f>
        <v>RLHGA3915KY189229</v>
      </c>
      <c r="J1467" s="5" t="str">
        <f>IFERROR(__xludf.DUMMYFUNCTION("""COMPUTED_VALUE"""),"JA39E- 1046928")</f>
        <v>JA39E- 1046928</v>
      </c>
      <c r="K1467" s="5">
        <f>IFERROR(__xludf.DUMMYFUNCTION("""COMPUTED_VALUE"""),0.5)</f>
        <v>0.5</v>
      </c>
      <c r="L1467" s="5" t="str">
        <f>IFERROR(__xludf.DUMMYFUNCTION("""COMPUTED_VALUE"""),"KLH")</f>
        <v>KLH</v>
      </c>
    </row>
    <row r="1468">
      <c r="A1468" s="5" t="str">
        <f>IFERROR(__xludf.DUMMYFUNCTION("""COMPUTED_VALUE"""),"XD3-XMA-009")</f>
        <v>XD3-XMA-009</v>
      </c>
      <c r="B1468" s="3" t="str">
        <f>IFERROR(__xludf.DUMMYFUNCTION("""COMPUTED_VALUE"""),"Xe máy thu hoạch")</f>
        <v>Xe máy thu hoạch</v>
      </c>
      <c r="C1468" s="5" t="str">
        <f>IFERROR(__xludf.DUMMYFUNCTION("""COMPUTED_VALUE"""),"XN Chuối DP3")</f>
        <v>XN Chuối DP3</v>
      </c>
      <c r="D1468" s="5" t="str">
        <f>IFERROR(__xludf.DUMMYFUNCTION("""COMPUTED_VALUE"""),"HONDA")</f>
        <v>HONDA</v>
      </c>
      <c r="E1468" s="5" t="str">
        <f>IFERROR(__xludf.DUMMYFUNCTION("""COMPUTED_VALUE"""),"VIỆT NAM")</f>
        <v>VIỆT NAM</v>
      </c>
      <c r="F1468" s="5"/>
      <c r="G1468" s="5" t="str">
        <f>IFERROR(__xludf.DUMMYFUNCTION("""COMPUTED_VALUE"""),"WAVE A")</f>
        <v>WAVE A</v>
      </c>
      <c r="H1468" s="5" t="str">
        <f>IFERROR(__xludf.DUMMYFUNCTION("""COMPUTED_VALUE"""),"110cc")</f>
        <v>110cc</v>
      </c>
      <c r="I1468" s="5" t="str">
        <f>IFERROR(__xludf.DUMMYFUNCTION("""COMPUTED_VALUE"""),"RLHJA3923MY182260")</f>
        <v>RLHJA3923MY182260</v>
      </c>
      <c r="J1468" s="5" t="str">
        <f>IFERROR(__xludf.DUMMYFUNCTION("""COMPUTED_VALUE"""),"JA39E- 2300426")</f>
        <v>JA39E- 2300426</v>
      </c>
      <c r="K1468" s="5">
        <f>IFERROR(__xludf.DUMMYFUNCTION("""COMPUTED_VALUE"""),0.5)</f>
        <v>0.5</v>
      </c>
      <c r="L1468" s="5" t="str">
        <f>IFERROR(__xludf.DUMMYFUNCTION("""COMPUTED_VALUE"""),"KLH")</f>
        <v>KLH</v>
      </c>
    </row>
    <row r="1469">
      <c r="A1469" s="5" t="str">
        <f>IFERROR(__xludf.DUMMYFUNCTION("""COMPUTED_VALUE"""),"XD3-XMA-013")</f>
        <v>XD3-XMA-013</v>
      </c>
      <c r="B1469" s="3" t="str">
        <f>IFERROR(__xludf.DUMMYFUNCTION("""COMPUTED_VALUE"""),"Xe máy thu hoạch")</f>
        <v>Xe máy thu hoạch</v>
      </c>
      <c r="C1469" s="5" t="str">
        <f>IFERROR(__xludf.DUMMYFUNCTION("""COMPUTED_VALUE"""),"XN Chuối DP3")</f>
        <v>XN Chuối DP3</v>
      </c>
      <c r="D1469" s="5" t="str">
        <f>IFERROR(__xludf.DUMMYFUNCTION("""COMPUTED_VALUE"""),"HONDA")</f>
        <v>HONDA</v>
      </c>
      <c r="E1469" s="5" t="str">
        <f>IFERROR(__xludf.DUMMYFUNCTION("""COMPUTED_VALUE"""),"VIỆT NAM")</f>
        <v>VIỆT NAM</v>
      </c>
      <c r="F1469" s="5"/>
      <c r="G1469" s="5" t="str">
        <f>IFERROR(__xludf.DUMMYFUNCTION("""COMPUTED_VALUE"""),"WAVE A")</f>
        <v>WAVE A</v>
      </c>
      <c r="H1469" s="5" t="str">
        <f>IFERROR(__xludf.DUMMYFUNCTION("""COMPUTED_VALUE"""),"110cc")</f>
        <v>110cc</v>
      </c>
      <c r="I1469" s="5" t="str">
        <f>IFERROR(__xludf.DUMMYFUNCTION("""COMPUTED_VALUE"""),"RLHJA3926NY123625")</f>
        <v>RLHJA3926NY123625</v>
      </c>
      <c r="J1469" s="5" t="str">
        <f>IFERROR(__xludf.DUMMYFUNCTION("""COMPUTED_VALUE"""),"JA39E- 2620533")</f>
        <v>JA39E- 2620533</v>
      </c>
      <c r="K1469" s="5">
        <f>IFERROR(__xludf.DUMMYFUNCTION("""COMPUTED_VALUE"""),0.5)</f>
        <v>0.5</v>
      </c>
      <c r="L1469" s="5" t="str">
        <f>IFERROR(__xludf.DUMMYFUNCTION("""COMPUTED_VALUE"""),"KLH")</f>
        <v>KLH</v>
      </c>
    </row>
    <row r="1470">
      <c r="A1470" s="5" t="str">
        <f>IFERROR(__xludf.DUMMYFUNCTION("""COMPUTED_VALUE"""),"XD3-XMA-016")</f>
        <v>XD3-XMA-016</v>
      </c>
      <c r="B1470" s="3" t="str">
        <f>IFERROR(__xludf.DUMMYFUNCTION("""COMPUTED_VALUE"""),"Xe máy thu hoạch")</f>
        <v>Xe máy thu hoạch</v>
      </c>
      <c r="C1470" s="5" t="str">
        <f>IFERROR(__xludf.DUMMYFUNCTION("""COMPUTED_VALUE"""),"XN Chuối DP3")</f>
        <v>XN Chuối DP3</v>
      </c>
      <c r="D1470" s="5" t="str">
        <f>IFERROR(__xludf.DUMMYFUNCTION("""COMPUTED_VALUE"""),"HONDA")</f>
        <v>HONDA</v>
      </c>
      <c r="E1470" s="5" t="str">
        <f>IFERROR(__xludf.DUMMYFUNCTION("""COMPUTED_VALUE"""),"VIỆT NAM")</f>
        <v>VIỆT NAM</v>
      </c>
      <c r="F1470" s="5"/>
      <c r="G1470" s="5" t="str">
        <f>IFERROR(__xludf.DUMMYFUNCTION("""COMPUTED_VALUE"""),"WAVE A")</f>
        <v>WAVE A</v>
      </c>
      <c r="H1470" s="5" t="str">
        <f>IFERROR(__xludf.DUMMYFUNCTION("""COMPUTED_VALUE"""),"110cc")</f>
        <v>110cc</v>
      </c>
      <c r="I1470" s="5" t="str">
        <f>IFERROR(__xludf.DUMMYFUNCTION("""COMPUTED_VALUE"""),"RLHJA3905HY412319")</f>
        <v>RLHJA3905HY412319</v>
      </c>
      <c r="J1470" s="5" t="str">
        <f>IFERROR(__xludf.DUMMYFUNCTION("""COMPUTED_VALUE"""),"JA39E- 0387468")</f>
        <v>JA39E- 0387468</v>
      </c>
      <c r="K1470" s="5">
        <f>IFERROR(__xludf.DUMMYFUNCTION("""COMPUTED_VALUE"""),0.5)</f>
        <v>0.5</v>
      </c>
      <c r="L1470" s="5" t="str">
        <f>IFERROR(__xludf.DUMMYFUNCTION("""COMPUTED_VALUE"""),"KLH")</f>
        <v>KLH</v>
      </c>
    </row>
    <row r="1471">
      <c r="A1471" s="5" t="str">
        <f>IFERROR(__xludf.DUMMYFUNCTION("""COMPUTED_VALUE"""),"XD3-XMA-017")</f>
        <v>XD3-XMA-017</v>
      </c>
      <c r="B1471" s="3" t="str">
        <f>IFERROR(__xludf.DUMMYFUNCTION("""COMPUTED_VALUE"""),"Xe máy thu hoạch")</f>
        <v>Xe máy thu hoạch</v>
      </c>
      <c r="C1471" s="5" t="str">
        <f>IFERROR(__xludf.DUMMYFUNCTION("""COMPUTED_VALUE"""),"XN Chuối DP3")</f>
        <v>XN Chuối DP3</v>
      </c>
      <c r="D1471" s="5" t="str">
        <f>IFERROR(__xludf.DUMMYFUNCTION("""COMPUTED_VALUE"""),"HONDA")</f>
        <v>HONDA</v>
      </c>
      <c r="E1471" s="5" t="str">
        <f>IFERROR(__xludf.DUMMYFUNCTION("""COMPUTED_VALUE"""),"VIỆT NAM")</f>
        <v>VIỆT NAM</v>
      </c>
      <c r="F1471" s="5"/>
      <c r="G1471" s="5" t="str">
        <f>IFERROR(__xludf.DUMMYFUNCTION("""COMPUTED_VALUE"""),"WAVE A")</f>
        <v>WAVE A</v>
      </c>
      <c r="H1471" s="5" t="str">
        <f>IFERROR(__xludf.DUMMYFUNCTION("""COMPUTED_VALUE"""),"110cc")</f>
        <v>110cc</v>
      </c>
      <c r="I1471" s="5" t="str">
        <f>IFERROR(__xludf.DUMMYFUNCTION("""COMPUTED_VALUE"""),"RLHJA6928MY089626")</f>
        <v>RLHJA6928MY089626</v>
      </c>
      <c r="J1471" s="5" t="str">
        <f>IFERROR(__xludf.DUMMYFUNCTION("""COMPUTED_VALUE"""),"JH69E-2206942")</f>
        <v>JH69E-2206942</v>
      </c>
      <c r="K1471" s="5">
        <f>IFERROR(__xludf.DUMMYFUNCTION("""COMPUTED_VALUE"""),0.5)</f>
        <v>0.5</v>
      </c>
      <c r="L1471" s="5" t="str">
        <f>IFERROR(__xludf.DUMMYFUNCTION("""COMPUTED_VALUE"""),"KLH")</f>
        <v>KLH</v>
      </c>
    </row>
    <row r="1472">
      <c r="A1472" s="5" t="str">
        <f>IFERROR(__xludf.DUMMYFUNCTION("""COMPUTED_VALUE"""),"CAT DP")</f>
        <v>CAT DP</v>
      </c>
      <c r="B1472" s="3"/>
      <c r="C1472" s="5"/>
      <c r="D1472" s="5"/>
      <c r="E1472" s="5"/>
      <c r="F1472" s="5"/>
      <c r="G1472" s="5"/>
      <c r="H1472" s="5"/>
      <c r="I1472" s="5"/>
      <c r="J1472" s="5"/>
      <c r="K1472" s="5"/>
      <c r="L1472" s="5" t="str">
        <f>IFERROR(__xludf.DUMMYFUNCTION("""COMPUTED_VALUE"""),"KLH")</f>
        <v>KLH</v>
      </c>
    </row>
    <row r="1473">
      <c r="A1473" s="5" t="str">
        <f>IFERROR(__xludf.DUMMYFUNCTION("""COMPUTED_VALUE"""),"LUMPHAT")</f>
        <v>LUMPHAT</v>
      </c>
      <c r="B1473" s="3"/>
      <c r="C1473" s="5"/>
      <c r="D1473" s="5"/>
      <c r="E1473" s="5"/>
      <c r="F1473" s="5"/>
      <c r="G1473" s="5"/>
      <c r="H1473" s="5"/>
      <c r="I1473" s="5"/>
      <c r="J1473" s="5"/>
      <c r="K1473" s="5"/>
      <c r="L1473" s="5" t="str">
        <f>IFERROR(__xludf.DUMMYFUNCTION("""COMPUTED_VALUE"""),"KLH")</f>
        <v>KLH</v>
      </c>
    </row>
    <row r="1474">
      <c r="A1474" s="5" t="str">
        <f>IFERROR(__xludf.DUMMYFUNCTION("""COMPUTED_VALUE"""),"LP1")</f>
        <v>LP1</v>
      </c>
      <c r="B1474" s="3"/>
      <c r="C1474" s="5"/>
      <c r="D1474" s="5"/>
      <c r="E1474" s="5"/>
      <c r="F1474" s="5"/>
      <c r="G1474" s="5"/>
      <c r="H1474" s="5"/>
      <c r="I1474" s="5"/>
      <c r="J1474" s="5"/>
      <c r="K1474" s="5"/>
      <c r="L1474" s="5" t="str">
        <f>IFERROR(__xludf.DUMMYFUNCTION("""COMPUTED_VALUE"""),"KLH")</f>
        <v>KLH</v>
      </c>
    </row>
    <row r="1475">
      <c r="A1475" s="5" t="str">
        <f>IFERROR(__xludf.DUMMYFUNCTION("""COMPUTED_VALUE"""),"XL1-XMA-005")</f>
        <v>XL1-XMA-005</v>
      </c>
      <c r="B1475" s="3" t="str">
        <f>IFERROR(__xludf.DUMMYFUNCTION("""COMPUTED_VALUE"""),"Xe máy thu hoạch")</f>
        <v>Xe máy thu hoạch</v>
      </c>
      <c r="C1475" s="5" t="str">
        <f>IFERROR(__xludf.DUMMYFUNCTION("""COMPUTED_VALUE"""),"XN Chuối LP1")</f>
        <v>XN Chuối LP1</v>
      </c>
      <c r="D1475" s="5" t="str">
        <f>IFERROR(__xludf.DUMMYFUNCTION("""COMPUTED_VALUE"""),"HONDA")</f>
        <v>HONDA</v>
      </c>
      <c r="E1475" s="5" t="str">
        <f>IFERROR(__xludf.DUMMYFUNCTION("""COMPUTED_VALUE"""),"VIỆT NAM")</f>
        <v>VIỆT NAM</v>
      </c>
      <c r="F1475" s="5"/>
      <c r="G1475" s="5" t="str">
        <f>IFERROR(__xludf.DUMMYFUNCTION("""COMPUTED_VALUE"""),"WAVE A")</f>
        <v>WAVE A</v>
      </c>
      <c r="H1475" s="5" t="str">
        <f>IFERROR(__xludf.DUMMYFUNCTION("""COMPUTED_VALUE"""),"110cc")</f>
        <v>110cc</v>
      </c>
      <c r="I1475" s="5" t="str">
        <f>IFERROR(__xludf.DUMMYFUNCTION("""COMPUTED_VALUE"""),"RLHJA391XKY384792")</f>
        <v>RLHJA391XKY384792</v>
      </c>
      <c r="J1475" s="5" t="str">
        <f>IFERROR(__xludf.DUMMYFUNCTION("""COMPUTED_VALUE"""),"JA39E1252802")</f>
        <v>JA39E1252802</v>
      </c>
      <c r="K1475" s="5">
        <f>IFERROR(__xludf.DUMMYFUNCTION("""COMPUTED_VALUE"""),0.5)</f>
        <v>0.5</v>
      </c>
      <c r="L1475" s="5" t="str">
        <f>IFERROR(__xludf.DUMMYFUNCTION("""COMPUTED_VALUE"""),"KLH")</f>
        <v>KLH</v>
      </c>
    </row>
    <row r="1476">
      <c r="A1476" s="5" t="str">
        <f>IFERROR(__xludf.DUMMYFUNCTION("""COMPUTED_VALUE"""),"XL1-XMA-006")</f>
        <v>XL1-XMA-006</v>
      </c>
      <c r="B1476" s="3" t="str">
        <f>IFERROR(__xludf.DUMMYFUNCTION("""COMPUTED_VALUE"""),"Xe máy thu hoạch")</f>
        <v>Xe máy thu hoạch</v>
      </c>
      <c r="C1476" s="5" t="str">
        <f>IFERROR(__xludf.DUMMYFUNCTION("""COMPUTED_VALUE"""),"XN Chuối LP1")</f>
        <v>XN Chuối LP1</v>
      </c>
      <c r="D1476" s="5" t="str">
        <f>IFERROR(__xludf.DUMMYFUNCTION("""COMPUTED_VALUE"""),"HONDA")</f>
        <v>HONDA</v>
      </c>
      <c r="E1476" s="5" t="str">
        <f>IFERROR(__xludf.DUMMYFUNCTION("""COMPUTED_VALUE"""),"VIỆT NAM")</f>
        <v>VIỆT NAM</v>
      </c>
      <c r="F1476" s="5"/>
      <c r="G1476" s="5" t="str">
        <f>IFERROR(__xludf.DUMMYFUNCTION("""COMPUTED_VALUE"""),"WAVE A")</f>
        <v>WAVE A</v>
      </c>
      <c r="H1476" s="5" t="str">
        <f>IFERROR(__xludf.DUMMYFUNCTION("""COMPUTED_VALUE"""),"110cc")</f>
        <v>110cc</v>
      </c>
      <c r="I1476" s="5" t="str">
        <f>IFERROR(__xludf.DUMMYFUNCTION("""COMPUTED_VALUE"""),"RLHJA3909HY071023")</f>
        <v>RLHJA3909HY071023</v>
      </c>
      <c r="J1476" s="5" t="str">
        <f>IFERROR(__xludf.DUMMYFUNCTION("""COMPUTED_VALUE"""),"JA39E0071005")</f>
        <v>JA39E0071005</v>
      </c>
      <c r="K1476" s="5">
        <f>IFERROR(__xludf.DUMMYFUNCTION("""COMPUTED_VALUE"""),0.5)</f>
        <v>0.5</v>
      </c>
      <c r="L1476" s="5" t="str">
        <f>IFERROR(__xludf.DUMMYFUNCTION("""COMPUTED_VALUE"""),"KLH")</f>
        <v>KLH</v>
      </c>
    </row>
    <row r="1477">
      <c r="A1477" s="5" t="str">
        <f>IFERROR(__xludf.DUMMYFUNCTION("""COMPUTED_VALUE"""),"XL1-XMA-007")</f>
        <v>XL1-XMA-007</v>
      </c>
      <c r="B1477" s="3" t="str">
        <f>IFERROR(__xludf.DUMMYFUNCTION("""COMPUTED_VALUE"""),"Xe máy thu hoạch")</f>
        <v>Xe máy thu hoạch</v>
      </c>
      <c r="C1477" s="5" t="str">
        <f>IFERROR(__xludf.DUMMYFUNCTION("""COMPUTED_VALUE"""),"XN Chuối LP1")</f>
        <v>XN Chuối LP1</v>
      </c>
      <c r="D1477" s="5" t="str">
        <f>IFERROR(__xludf.DUMMYFUNCTION("""COMPUTED_VALUE"""),"HONDA")</f>
        <v>HONDA</v>
      </c>
      <c r="E1477" s="5" t="str">
        <f>IFERROR(__xludf.DUMMYFUNCTION("""COMPUTED_VALUE"""),"VIỆT NAM")</f>
        <v>VIỆT NAM</v>
      </c>
      <c r="F1477" s="5"/>
      <c r="G1477" s="5" t="str">
        <f>IFERROR(__xludf.DUMMYFUNCTION("""COMPUTED_VALUE"""),"WAVE A")</f>
        <v>WAVE A</v>
      </c>
      <c r="H1477" s="5" t="str">
        <f>IFERROR(__xludf.DUMMYFUNCTION("""COMPUTED_VALUE"""),"110cc")</f>
        <v>110cc</v>
      </c>
      <c r="I1477" s="5" t="str">
        <f>IFERROR(__xludf.DUMMYFUNCTION("""COMPUTED_VALUE"""),"RLHJA392XMY130611")</f>
        <v>RLHJA392XMY130611</v>
      </c>
      <c r="J1477" s="5" t="str">
        <f>IFERROR(__xludf.DUMMYFUNCTION("""COMPUTED_VALUE"""),"JA39E2247937")</f>
        <v>JA39E2247937</v>
      </c>
      <c r="K1477" s="5">
        <f>IFERROR(__xludf.DUMMYFUNCTION("""COMPUTED_VALUE"""),0.5)</f>
        <v>0.5</v>
      </c>
      <c r="L1477" s="5" t="str">
        <f>IFERROR(__xludf.DUMMYFUNCTION("""COMPUTED_VALUE"""),"KLH")</f>
        <v>KLH</v>
      </c>
    </row>
    <row r="1478">
      <c r="A1478" s="5" t="str">
        <f>IFERROR(__xludf.DUMMYFUNCTION("""COMPUTED_VALUE"""),"XL1-XMA-008")</f>
        <v>XL1-XMA-008</v>
      </c>
      <c r="B1478" s="3" t="str">
        <f>IFERROR(__xludf.DUMMYFUNCTION("""COMPUTED_VALUE"""),"Xe máy thu hoạch")</f>
        <v>Xe máy thu hoạch</v>
      </c>
      <c r="C1478" s="5" t="str">
        <f>IFERROR(__xludf.DUMMYFUNCTION("""COMPUTED_VALUE"""),"XN Chuối LP1")</f>
        <v>XN Chuối LP1</v>
      </c>
      <c r="D1478" s="5" t="str">
        <f>IFERROR(__xludf.DUMMYFUNCTION("""COMPUTED_VALUE"""),"HONDA")</f>
        <v>HONDA</v>
      </c>
      <c r="E1478" s="5" t="str">
        <f>IFERROR(__xludf.DUMMYFUNCTION("""COMPUTED_VALUE"""),"VIỆT NAM")</f>
        <v>VIỆT NAM</v>
      </c>
      <c r="F1478" s="5"/>
      <c r="G1478" s="5" t="str">
        <f>IFERROR(__xludf.DUMMYFUNCTION("""COMPUTED_VALUE"""),"WAVE A")</f>
        <v>WAVE A</v>
      </c>
      <c r="H1478" s="5" t="str">
        <f>IFERROR(__xludf.DUMMYFUNCTION("""COMPUTED_VALUE"""),"110cc")</f>
        <v>110cc</v>
      </c>
      <c r="I1478" s="5" t="str">
        <f>IFERROR(__xludf.DUMMYFUNCTION("""COMPUTED_VALUE"""),"GLHJA39 03HI838879")</f>
        <v>GLHJA39 03HI838879</v>
      </c>
      <c r="J1478" s="5" t="str">
        <f>IFERROR(__xludf.DUMMYFUNCTION("""COMPUTED_VALUE"""),"JA39E- 0819006")</f>
        <v>JA39E- 0819006</v>
      </c>
      <c r="K1478" s="5">
        <f>IFERROR(__xludf.DUMMYFUNCTION("""COMPUTED_VALUE"""),0.5)</f>
        <v>0.5</v>
      </c>
      <c r="L1478" s="5" t="str">
        <f>IFERROR(__xludf.DUMMYFUNCTION("""COMPUTED_VALUE"""),"KLH")</f>
        <v>KLH</v>
      </c>
    </row>
    <row r="1479">
      <c r="A1479" s="5" t="str">
        <f>IFERROR(__xludf.DUMMYFUNCTION("""COMPUTED_VALUE"""),"XL1-XMA-009")</f>
        <v>XL1-XMA-009</v>
      </c>
      <c r="B1479" s="3" t="str">
        <f>IFERROR(__xludf.DUMMYFUNCTION("""COMPUTED_VALUE"""),"Xe máy thu hoạch")</f>
        <v>Xe máy thu hoạch</v>
      </c>
      <c r="C1479" s="5" t="str">
        <f>IFERROR(__xludf.DUMMYFUNCTION("""COMPUTED_VALUE"""),"XN Chuối LP1")</f>
        <v>XN Chuối LP1</v>
      </c>
      <c r="D1479" s="5" t="str">
        <f>IFERROR(__xludf.DUMMYFUNCTION("""COMPUTED_VALUE"""),"HONDA")</f>
        <v>HONDA</v>
      </c>
      <c r="E1479" s="5" t="str">
        <f>IFERROR(__xludf.DUMMYFUNCTION("""COMPUTED_VALUE"""),"VIỆT NAM")</f>
        <v>VIỆT NAM</v>
      </c>
      <c r="F1479" s="5"/>
      <c r="G1479" s="5" t="str">
        <f>IFERROR(__xludf.DUMMYFUNCTION("""COMPUTED_VALUE"""),"WAVE A")</f>
        <v>WAVE A</v>
      </c>
      <c r="H1479" s="5" t="str">
        <f>IFERROR(__xludf.DUMMYFUNCTION("""COMPUTED_VALUE"""),"110cc")</f>
        <v>110cc</v>
      </c>
      <c r="I1479" s="5" t="str">
        <f>IFERROR(__xludf.DUMMYFUNCTION("""COMPUTED_VALUE"""),"RLHJA3917KY085020")</f>
        <v>RLHJA3917KY085020</v>
      </c>
      <c r="J1479" s="5" t="str">
        <f>IFERROR(__xludf.DUMMYFUNCTION("""COMPUTED_VALUE"""),"JA39E0941401")</f>
        <v>JA39E0941401</v>
      </c>
      <c r="K1479" s="5">
        <f>IFERROR(__xludf.DUMMYFUNCTION("""COMPUTED_VALUE"""),0.5)</f>
        <v>0.5</v>
      </c>
      <c r="L1479" s="5" t="str">
        <f>IFERROR(__xludf.DUMMYFUNCTION("""COMPUTED_VALUE"""),"KLH")</f>
        <v>KLH</v>
      </c>
    </row>
    <row r="1480">
      <c r="A1480" s="5" t="str">
        <f>IFERROR(__xludf.DUMMYFUNCTION("""COMPUTED_VALUE"""),"XL1-XMA-010")</f>
        <v>XL1-XMA-010</v>
      </c>
      <c r="B1480" s="3" t="str">
        <f>IFERROR(__xludf.DUMMYFUNCTION("""COMPUTED_VALUE"""),"Xe máy thu hoạch")</f>
        <v>Xe máy thu hoạch</v>
      </c>
      <c r="C1480" s="5" t="str">
        <f>IFERROR(__xludf.DUMMYFUNCTION("""COMPUTED_VALUE"""),"XN Chuối LP1")</f>
        <v>XN Chuối LP1</v>
      </c>
      <c r="D1480" s="5" t="str">
        <f>IFERROR(__xludf.DUMMYFUNCTION("""COMPUTED_VALUE"""),"HONDA")</f>
        <v>HONDA</v>
      </c>
      <c r="E1480" s="5" t="str">
        <f>IFERROR(__xludf.DUMMYFUNCTION("""COMPUTED_VALUE"""),"VIỆT NAM")</f>
        <v>VIỆT NAM</v>
      </c>
      <c r="F1480" s="5"/>
      <c r="G1480" s="5" t="str">
        <f>IFERROR(__xludf.DUMMYFUNCTION("""COMPUTED_VALUE"""),"WAVE A")</f>
        <v>WAVE A</v>
      </c>
      <c r="H1480" s="5" t="str">
        <f>IFERROR(__xludf.DUMMYFUNCTION("""COMPUTED_VALUE"""),"110cc")</f>
        <v>110cc</v>
      </c>
      <c r="I1480" s="5" t="str">
        <f>IFERROR(__xludf.DUMMYFUNCTION("""COMPUTED_VALUE"""),"GLHJA39 19LI038864")</f>
        <v>GLHJA39 19LI038864</v>
      </c>
      <c r="J1480" s="5" t="str">
        <f>IFERROR(__xludf.DUMMYFUNCTION("""COMPUTED_VALUE"""),"JA39E- 1373550")</f>
        <v>JA39E- 1373550</v>
      </c>
      <c r="K1480" s="5">
        <f>IFERROR(__xludf.DUMMYFUNCTION("""COMPUTED_VALUE"""),0.5)</f>
        <v>0.5</v>
      </c>
      <c r="L1480" s="5" t="str">
        <f>IFERROR(__xludf.DUMMYFUNCTION("""COMPUTED_VALUE"""),"KLH")</f>
        <v>KLH</v>
      </c>
    </row>
    <row r="1481">
      <c r="A1481" s="5" t="str">
        <f>IFERROR(__xludf.DUMMYFUNCTION("""COMPUTED_VALUE"""),"XL1-XMA-011")</f>
        <v>XL1-XMA-011</v>
      </c>
      <c r="B1481" s="3" t="str">
        <f>IFERROR(__xludf.DUMMYFUNCTION("""COMPUTED_VALUE"""),"Xe máy thu hoạch")</f>
        <v>Xe máy thu hoạch</v>
      </c>
      <c r="C1481" s="5" t="str">
        <f>IFERROR(__xludf.DUMMYFUNCTION("""COMPUTED_VALUE"""),"XN Chuối LP1")</f>
        <v>XN Chuối LP1</v>
      </c>
      <c r="D1481" s="5" t="str">
        <f>IFERROR(__xludf.DUMMYFUNCTION("""COMPUTED_VALUE"""),"HONDA")</f>
        <v>HONDA</v>
      </c>
      <c r="E1481" s="5" t="str">
        <f>IFERROR(__xludf.DUMMYFUNCTION("""COMPUTED_VALUE"""),"VIỆT NAM")</f>
        <v>VIỆT NAM</v>
      </c>
      <c r="F1481" s="5"/>
      <c r="G1481" s="5" t="str">
        <f>IFERROR(__xludf.DUMMYFUNCTION("""COMPUTED_VALUE"""),"WAVE A")</f>
        <v>WAVE A</v>
      </c>
      <c r="H1481" s="5" t="str">
        <f>IFERROR(__xludf.DUMMYFUNCTION("""COMPUTED_VALUE"""),"110cc")</f>
        <v>110cc</v>
      </c>
      <c r="I1481" s="5" t="str">
        <f>IFERROR(__xludf.DUMMYFUNCTION("""COMPUTED_VALUE"""),"GLHJA39 12KI033889")</f>
        <v>GLHJA39 12KI033889</v>
      </c>
      <c r="J1481" s="5" t="str">
        <f>IFERROR(__xludf.DUMMYFUNCTION("""COMPUTED_VALUE"""),"JA39E- 0889883")</f>
        <v>JA39E- 0889883</v>
      </c>
      <c r="K1481" s="5">
        <f>IFERROR(__xludf.DUMMYFUNCTION("""COMPUTED_VALUE"""),0.5)</f>
        <v>0.5</v>
      </c>
      <c r="L1481" s="5" t="str">
        <f>IFERROR(__xludf.DUMMYFUNCTION("""COMPUTED_VALUE"""),"KLH")</f>
        <v>KLH</v>
      </c>
    </row>
    <row r="1482">
      <c r="A1482" s="5" t="str">
        <f>IFERROR(__xludf.DUMMYFUNCTION("""COMPUTED_VALUE"""),"XL1-XMA-012")</f>
        <v>XL1-XMA-012</v>
      </c>
      <c r="B1482" s="3" t="str">
        <f>IFERROR(__xludf.DUMMYFUNCTION("""COMPUTED_VALUE"""),"Xe máy thu hoạch")</f>
        <v>Xe máy thu hoạch</v>
      </c>
      <c r="C1482" s="5" t="str">
        <f>IFERROR(__xludf.DUMMYFUNCTION("""COMPUTED_VALUE"""),"XN Chuối LP1")</f>
        <v>XN Chuối LP1</v>
      </c>
      <c r="D1482" s="5" t="str">
        <f>IFERROR(__xludf.DUMMYFUNCTION("""COMPUTED_VALUE"""),"HONDA")</f>
        <v>HONDA</v>
      </c>
      <c r="E1482" s="5" t="str">
        <f>IFERROR(__xludf.DUMMYFUNCTION("""COMPUTED_VALUE"""),"VIỆT NAM")</f>
        <v>VIỆT NAM</v>
      </c>
      <c r="F1482" s="5"/>
      <c r="G1482" s="5" t="str">
        <f>IFERROR(__xludf.DUMMYFUNCTION("""COMPUTED_VALUE"""),"WAVE A")</f>
        <v>WAVE A</v>
      </c>
      <c r="H1482" s="5" t="str">
        <f>IFERROR(__xludf.DUMMYFUNCTION("""COMPUTED_VALUE"""),"110cc")</f>
        <v>110cc</v>
      </c>
      <c r="I1482" s="5" t="str">
        <f>IFERROR(__xludf.DUMMYFUNCTION("""COMPUTED_VALUE"""),"RLHJA3915LY021205")</f>
        <v>RLHJA3915LY021205</v>
      </c>
      <c r="J1482" s="5" t="str">
        <f>IFERROR(__xludf.DUMMYFUNCTION("""COMPUTED_VALUE"""),"3A39E1354794")</f>
        <v>3A39E1354794</v>
      </c>
      <c r="K1482" s="5">
        <f>IFERROR(__xludf.DUMMYFUNCTION("""COMPUTED_VALUE"""),0.5)</f>
        <v>0.5</v>
      </c>
      <c r="L1482" s="5" t="str">
        <f>IFERROR(__xludf.DUMMYFUNCTION("""COMPUTED_VALUE"""),"KLH")</f>
        <v>KLH</v>
      </c>
    </row>
    <row r="1483">
      <c r="A1483" s="5" t="str">
        <f>IFERROR(__xludf.DUMMYFUNCTION("""COMPUTED_VALUE"""),"XL1-XMA-013")</f>
        <v>XL1-XMA-013</v>
      </c>
      <c r="B1483" s="3" t="str">
        <f>IFERROR(__xludf.DUMMYFUNCTION("""COMPUTED_VALUE"""),"Xe máy thu hoạch")</f>
        <v>Xe máy thu hoạch</v>
      </c>
      <c r="C1483" s="5" t="str">
        <f>IFERROR(__xludf.DUMMYFUNCTION("""COMPUTED_VALUE"""),"XN Chuối LP1")</f>
        <v>XN Chuối LP1</v>
      </c>
      <c r="D1483" s="5" t="str">
        <f>IFERROR(__xludf.DUMMYFUNCTION("""COMPUTED_VALUE"""),"HONDA")</f>
        <v>HONDA</v>
      </c>
      <c r="E1483" s="5" t="str">
        <f>IFERROR(__xludf.DUMMYFUNCTION("""COMPUTED_VALUE"""),"VIỆT NAM")</f>
        <v>VIỆT NAM</v>
      </c>
      <c r="F1483" s="5"/>
      <c r="G1483" s="5" t="str">
        <f>IFERROR(__xludf.DUMMYFUNCTION("""COMPUTED_VALUE"""),"WAVE A")</f>
        <v>WAVE A</v>
      </c>
      <c r="H1483" s="5" t="str">
        <f>IFERROR(__xludf.DUMMYFUNCTION("""COMPUTED_VALUE"""),"110cc")</f>
        <v>110cc</v>
      </c>
      <c r="I1483" s="5" t="str">
        <f>IFERROR(__xludf.DUMMYFUNCTION("""COMPUTED_VALUE"""),"RLHJA3912KY-132342")</f>
        <v>RLHJA3912KY-132342</v>
      </c>
      <c r="J1483" s="5" t="str">
        <f>IFERROR(__xludf.DUMMYFUNCTION("""COMPUTED_VALUE"""),"JA39E-0989374")</f>
        <v>JA39E-0989374</v>
      </c>
      <c r="K1483" s="5">
        <f>IFERROR(__xludf.DUMMYFUNCTION("""COMPUTED_VALUE"""),0.5)</f>
        <v>0.5</v>
      </c>
      <c r="L1483" s="5" t="str">
        <f>IFERROR(__xludf.DUMMYFUNCTION("""COMPUTED_VALUE"""),"KLH")</f>
        <v>KLH</v>
      </c>
    </row>
    <row r="1484">
      <c r="A1484" s="5" t="str">
        <f>IFERROR(__xludf.DUMMYFUNCTION("""COMPUTED_VALUE"""),"XL1-XMA-014")</f>
        <v>XL1-XMA-014</v>
      </c>
      <c r="B1484" s="3" t="str">
        <f>IFERROR(__xludf.DUMMYFUNCTION("""COMPUTED_VALUE"""),"Xe máy thu hoạch")</f>
        <v>Xe máy thu hoạch</v>
      </c>
      <c r="C1484" s="5" t="str">
        <f>IFERROR(__xludf.DUMMYFUNCTION("""COMPUTED_VALUE"""),"XN Chuối LP1")</f>
        <v>XN Chuối LP1</v>
      </c>
      <c r="D1484" s="5" t="str">
        <f>IFERROR(__xludf.DUMMYFUNCTION("""COMPUTED_VALUE"""),"HONDA")</f>
        <v>HONDA</v>
      </c>
      <c r="E1484" s="5" t="str">
        <f>IFERROR(__xludf.DUMMYFUNCTION("""COMPUTED_VALUE"""),"VIỆT NAM")</f>
        <v>VIỆT NAM</v>
      </c>
      <c r="F1484" s="5"/>
      <c r="G1484" s="5" t="str">
        <f>IFERROR(__xludf.DUMMYFUNCTION("""COMPUTED_VALUE"""),"WAVE A")</f>
        <v>WAVE A</v>
      </c>
      <c r="H1484" s="5" t="str">
        <f>IFERROR(__xludf.DUMMYFUNCTION("""COMPUTED_VALUE"""),"110cc")</f>
        <v>110cc</v>
      </c>
      <c r="I1484" s="5" t="str">
        <f>IFERROR(__xludf.DUMMYFUNCTION("""COMPUTED_VALUE"""),"RLHJA3908HY-031953")</f>
        <v>RLHJA3908HY-031953</v>
      </c>
      <c r="J1484" s="5" t="str">
        <f>IFERROR(__xludf.DUMMYFUNCTION("""COMPUTED_VALUE"""),"JA39E-0032012")</f>
        <v>JA39E-0032012</v>
      </c>
      <c r="K1484" s="5">
        <f>IFERROR(__xludf.DUMMYFUNCTION("""COMPUTED_VALUE"""),0.5)</f>
        <v>0.5</v>
      </c>
      <c r="L1484" s="5" t="str">
        <f>IFERROR(__xludf.DUMMYFUNCTION("""COMPUTED_VALUE"""),"KLH")</f>
        <v>KLH</v>
      </c>
    </row>
    <row r="1485">
      <c r="A1485" s="5" t="str">
        <f>IFERROR(__xludf.DUMMYFUNCTION("""COMPUTED_VALUE"""),"XL1-XMA-015")</f>
        <v>XL1-XMA-015</v>
      </c>
      <c r="B1485" s="3" t="str">
        <f>IFERROR(__xludf.DUMMYFUNCTION("""COMPUTED_VALUE"""),"Xe máy thu hoạch")</f>
        <v>Xe máy thu hoạch</v>
      </c>
      <c r="C1485" s="5" t="str">
        <f>IFERROR(__xludf.DUMMYFUNCTION("""COMPUTED_VALUE"""),"XN Chuối LP1")</f>
        <v>XN Chuối LP1</v>
      </c>
      <c r="D1485" s="5" t="str">
        <f>IFERROR(__xludf.DUMMYFUNCTION("""COMPUTED_VALUE"""),"HONDA")</f>
        <v>HONDA</v>
      </c>
      <c r="E1485" s="5" t="str">
        <f>IFERROR(__xludf.DUMMYFUNCTION("""COMPUTED_VALUE"""),"VIỆT NAM")</f>
        <v>VIỆT NAM</v>
      </c>
      <c r="F1485" s="5"/>
      <c r="G1485" s="5" t="str">
        <f>IFERROR(__xludf.DUMMYFUNCTION("""COMPUTED_VALUE"""),"WAVE A")</f>
        <v>WAVE A</v>
      </c>
      <c r="H1485" s="5" t="str">
        <f>IFERROR(__xludf.DUMMYFUNCTION("""COMPUTED_VALUE"""),"110cc")</f>
        <v>110cc</v>
      </c>
      <c r="I1485" s="5" t="str">
        <f>IFERROR(__xludf.DUMMYFUNCTION("""COMPUTED_VALUE"""),"RLHJA3913KY-204763")</f>
        <v>RLHJA3913KY-204763</v>
      </c>
      <c r="J1485" s="5" t="str">
        <f>IFERROR(__xludf.DUMMYFUNCTION("""COMPUTED_VALUE"""),"JA39E-1062607")</f>
        <v>JA39E-1062607</v>
      </c>
      <c r="K1485" s="5">
        <f>IFERROR(__xludf.DUMMYFUNCTION("""COMPUTED_VALUE"""),0.5)</f>
        <v>0.5</v>
      </c>
      <c r="L1485" s="5" t="str">
        <f>IFERROR(__xludf.DUMMYFUNCTION("""COMPUTED_VALUE"""),"KLH")</f>
        <v>KLH</v>
      </c>
    </row>
    <row r="1486">
      <c r="A1486" s="5" t="str">
        <f>IFERROR(__xludf.DUMMYFUNCTION("""COMPUTED_VALUE"""),"LP3")</f>
        <v>LP3</v>
      </c>
      <c r="B1486" s="3"/>
      <c r="C1486" s="5"/>
      <c r="D1486" s="5"/>
      <c r="E1486" s="5"/>
      <c r="F1486" s="5"/>
      <c r="G1486" s="5"/>
      <c r="H1486" s="5"/>
      <c r="I1486" s="5"/>
      <c r="J1486" s="5"/>
      <c r="K1486" s="5"/>
      <c r="L1486" s="5" t="str">
        <f>IFERROR(__xludf.DUMMYFUNCTION("""COMPUTED_VALUE"""),"KLH")</f>
        <v>KLH</v>
      </c>
    </row>
    <row r="1487">
      <c r="A1487" s="5" t="str">
        <f>IFERROR(__xludf.DUMMYFUNCTION("""COMPUTED_VALUE"""),"XL3-XMA-001")</f>
        <v>XL3-XMA-001</v>
      </c>
      <c r="B1487" s="3" t="str">
        <f>IFERROR(__xludf.DUMMYFUNCTION("""COMPUTED_VALUE"""),"Xe máy thu hoạch")</f>
        <v>Xe máy thu hoạch</v>
      </c>
      <c r="C1487" s="5" t="str">
        <f>IFERROR(__xludf.DUMMYFUNCTION("""COMPUTED_VALUE"""),"XN Chuối LP3")</f>
        <v>XN Chuối LP3</v>
      </c>
      <c r="D1487" s="5" t="str">
        <f>IFERROR(__xludf.DUMMYFUNCTION("""COMPUTED_VALUE"""),"HONDA")</f>
        <v>HONDA</v>
      </c>
      <c r="E1487" s="5" t="str">
        <f>IFERROR(__xludf.DUMMYFUNCTION("""COMPUTED_VALUE"""),"VIỆT NAM")</f>
        <v>VIỆT NAM</v>
      </c>
      <c r="F1487" s="5"/>
      <c r="G1487" s="5" t="str">
        <f>IFERROR(__xludf.DUMMYFUNCTION("""COMPUTED_VALUE"""),"WAVE A")</f>
        <v>WAVE A</v>
      </c>
      <c r="H1487" s="5" t="str">
        <f>IFERROR(__xludf.DUMMYFUNCTION("""COMPUTED_VALUE"""),"110cc")</f>
        <v>110cc</v>
      </c>
      <c r="I1487" s="5" t="str">
        <f>IFERROR(__xludf.DUMMYFUNCTION("""COMPUTED_VALUE"""),"RLHJA3914KY139020")</f>
        <v>RLHJA3914KY139020</v>
      </c>
      <c r="J1487" s="5" t="str">
        <f>IFERROR(__xludf.DUMMYFUNCTION("""COMPUTED_VALUE"""),"JA39E099626")</f>
        <v>JA39E099626</v>
      </c>
      <c r="K1487" s="5">
        <f>IFERROR(__xludf.DUMMYFUNCTION("""COMPUTED_VALUE"""),0.5)</f>
        <v>0.5</v>
      </c>
      <c r="L1487" s="5" t="str">
        <f>IFERROR(__xludf.DUMMYFUNCTION("""COMPUTED_VALUE"""),"KLH")</f>
        <v>KLH</v>
      </c>
    </row>
    <row r="1488">
      <c r="A1488" s="5" t="str">
        <f>IFERROR(__xludf.DUMMYFUNCTION("""COMPUTED_VALUE"""),"XL3-XMA-002")</f>
        <v>XL3-XMA-002</v>
      </c>
      <c r="B1488" s="3" t="str">
        <f>IFERROR(__xludf.DUMMYFUNCTION("""COMPUTED_VALUE"""),"Xe máy thu hoạch")</f>
        <v>Xe máy thu hoạch</v>
      </c>
      <c r="C1488" s="5" t="str">
        <f>IFERROR(__xludf.DUMMYFUNCTION("""COMPUTED_VALUE"""),"XN Chuối LP3")</f>
        <v>XN Chuối LP3</v>
      </c>
      <c r="D1488" s="5" t="str">
        <f>IFERROR(__xludf.DUMMYFUNCTION("""COMPUTED_VALUE"""),"HONDA")</f>
        <v>HONDA</v>
      </c>
      <c r="E1488" s="5" t="str">
        <f>IFERROR(__xludf.DUMMYFUNCTION("""COMPUTED_VALUE"""),"VIỆT NAM")</f>
        <v>VIỆT NAM</v>
      </c>
      <c r="F1488" s="5"/>
      <c r="G1488" s="5" t="str">
        <f>IFERROR(__xludf.DUMMYFUNCTION("""COMPUTED_VALUE"""),"WAVE A")</f>
        <v>WAVE A</v>
      </c>
      <c r="H1488" s="5" t="str">
        <f>IFERROR(__xludf.DUMMYFUNCTION("""COMPUTED_VALUE"""),"110cc")</f>
        <v>110cc</v>
      </c>
      <c r="I1488" s="5" t="str">
        <f>IFERROR(__xludf.DUMMYFUNCTION("""COMPUTED_VALUE"""),"RLHJA3929MY402890")</f>
        <v>RLHJA3929MY402890</v>
      </c>
      <c r="J1488" s="5" t="str">
        <f>IFERROR(__xludf.DUMMYFUNCTION("""COMPUTED_VALUE"""),"JA39E2428102")</f>
        <v>JA39E2428102</v>
      </c>
      <c r="K1488" s="5">
        <f>IFERROR(__xludf.DUMMYFUNCTION("""COMPUTED_VALUE"""),0.5)</f>
        <v>0.5</v>
      </c>
      <c r="L1488" s="5" t="str">
        <f>IFERROR(__xludf.DUMMYFUNCTION("""COMPUTED_VALUE"""),"KLH")</f>
        <v>KLH</v>
      </c>
    </row>
    <row r="1489">
      <c r="A1489" s="5" t="str">
        <f>IFERROR(__xludf.DUMMYFUNCTION("""COMPUTED_VALUE"""),"XL3-XMA-003")</f>
        <v>XL3-XMA-003</v>
      </c>
      <c r="B1489" s="3" t="str">
        <f>IFERROR(__xludf.DUMMYFUNCTION("""COMPUTED_VALUE"""),"Xe máy thu hoạch")</f>
        <v>Xe máy thu hoạch</v>
      </c>
      <c r="C1489" s="5" t="str">
        <f>IFERROR(__xludf.DUMMYFUNCTION("""COMPUTED_VALUE"""),"XN Chuối LP3")</f>
        <v>XN Chuối LP3</v>
      </c>
      <c r="D1489" s="5" t="str">
        <f>IFERROR(__xludf.DUMMYFUNCTION("""COMPUTED_VALUE"""),"HONDA")</f>
        <v>HONDA</v>
      </c>
      <c r="E1489" s="5" t="str">
        <f>IFERROR(__xludf.DUMMYFUNCTION("""COMPUTED_VALUE"""),"VIỆT NAM")</f>
        <v>VIỆT NAM</v>
      </c>
      <c r="F1489" s="5"/>
      <c r="G1489" s="5" t="str">
        <f>IFERROR(__xludf.DUMMYFUNCTION("""COMPUTED_VALUE"""),"WAVE A")</f>
        <v>WAVE A</v>
      </c>
      <c r="H1489" s="5" t="str">
        <f>IFERROR(__xludf.DUMMYFUNCTION("""COMPUTED_VALUE"""),"110cc")</f>
        <v>110cc</v>
      </c>
      <c r="I1489" s="5" t="str">
        <f>IFERROR(__xludf.DUMMYFUNCTION("""COMPUTED_VALUE"""),"RLHJA390XHY264944")</f>
        <v>RLHJA390XHY264944</v>
      </c>
      <c r="J1489" s="5" t="str">
        <f>IFERROR(__xludf.DUMMYFUNCTION("""COMPUTED_VALUE"""),"JAS9E0264795")</f>
        <v>JAS9E0264795</v>
      </c>
      <c r="K1489" s="5">
        <f>IFERROR(__xludf.DUMMYFUNCTION("""COMPUTED_VALUE"""),0.5)</f>
        <v>0.5</v>
      </c>
      <c r="L1489" s="5" t="str">
        <f>IFERROR(__xludf.DUMMYFUNCTION("""COMPUTED_VALUE"""),"KLH")</f>
        <v>KLH</v>
      </c>
    </row>
    <row r="1490">
      <c r="A1490" s="5" t="str">
        <f>IFERROR(__xludf.DUMMYFUNCTION("""COMPUTED_VALUE"""),"XL3-XMA-004")</f>
        <v>XL3-XMA-004</v>
      </c>
      <c r="B1490" s="3" t="str">
        <f>IFERROR(__xludf.DUMMYFUNCTION("""COMPUTED_VALUE"""),"Xe máy thu hoạch")</f>
        <v>Xe máy thu hoạch</v>
      </c>
      <c r="C1490" s="5" t="str">
        <f>IFERROR(__xludf.DUMMYFUNCTION("""COMPUTED_VALUE"""),"XN Chuối LP3")</f>
        <v>XN Chuối LP3</v>
      </c>
      <c r="D1490" s="5" t="str">
        <f>IFERROR(__xludf.DUMMYFUNCTION("""COMPUTED_VALUE"""),"HONDA")</f>
        <v>HONDA</v>
      </c>
      <c r="E1490" s="5" t="str">
        <f>IFERROR(__xludf.DUMMYFUNCTION("""COMPUTED_VALUE"""),"VIỆT NAM")</f>
        <v>VIỆT NAM</v>
      </c>
      <c r="F1490" s="5"/>
      <c r="G1490" s="5" t="str">
        <f>IFERROR(__xludf.DUMMYFUNCTION("""COMPUTED_VALUE"""),"WAVE A")</f>
        <v>WAVE A</v>
      </c>
      <c r="H1490" s="5" t="str">
        <f>IFERROR(__xludf.DUMMYFUNCTION("""COMPUTED_VALUE"""),"110cc")</f>
        <v>110cc</v>
      </c>
      <c r="I1490" s="5" t="str">
        <f>IFERROR(__xludf.DUMMYFUNCTION("""COMPUTED_VALUE"""),"RLHJA391XKY316394")</f>
        <v>RLHJA391XKY316394</v>
      </c>
      <c r="J1490" s="5" t="str">
        <f>IFERROR(__xludf.DUMMYFUNCTION("""COMPUTED_VALUE"""),"JAS9E1180159")</f>
        <v>JAS9E1180159</v>
      </c>
      <c r="K1490" s="5">
        <f>IFERROR(__xludf.DUMMYFUNCTION("""COMPUTED_VALUE"""),0.5)</f>
        <v>0.5</v>
      </c>
      <c r="L1490" s="5" t="str">
        <f>IFERROR(__xludf.DUMMYFUNCTION("""COMPUTED_VALUE"""),"KLH")</f>
        <v>KLH</v>
      </c>
    </row>
    <row r="1491">
      <c r="A1491" s="5" t="str">
        <f>IFERROR(__xludf.DUMMYFUNCTION("""COMPUTED_VALUE"""),"XL3-XMA-005")</f>
        <v>XL3-XMA-005</v>
      </c>
      <c r="B1491" s="3" t="str">
        <f>IFERROR(__xludf.DUMMYFUNCTION("""COMPUTED_VALUE"""),"Xe máy thu hoạch")</f>
        <v>Xe máy thu hoạch</v>
      </c>
      <c r="C1491" s="5" t="str">
        <f>IFERROR(__xludf.DUMMYFUNCTION("""COMPUTED_VALUE"""),"XN Chuối LP3")</f>
        <v>XN Chuối LP3</v>
      </c>
      <c r="D1491" s="5" t="str">
        <f>IFERROR(__xludf.DUMMYFUNCTION("""COMPUTED_VALUE"""),"HONDA")</f>
        <v>HONDA</v>
      </c>
      <c r="E1491" s="5" t="str">
        <f>IFERROR(__xludf.DUMMYFUNCTION("""COMPUTED_VALUE"""),"VIỆT NAM")</f>
        <v>VIỆT NAM</v>
      </c>
      <c r="F1491" s="5"/>
      <c r="G1491" s="5" t="str">
        <f>IFERROR(__xludf.DUMMYFUNCTION("""COMPUTED_VALUE"""),"WAVE A")</f>
        <v>WAVE A</v>
      </c>
      <c r="H1491" s="5" t="str">
        <f>IFERROR(__xludf.DUMMYFUNCTION("""COMPUTED_VALUE"""),"110cc")</f>
        <v>110cc</v>
      </c>
      <c r="I1491" s="5" t="str">
        <f>IFERROR(__xludf.DUMMYFUNCTION("""COMPUTED_VALUE"""),"RLHJA3900HX167090")</f>
        <v>RLHJA3900HX167090</v>
      </c>
      <c r="J1491" s="5" t="str">
        <f>IFERROR(__xludf.DUMMYFUNCTION("""COMPUTED_VALUE"""),"JA39E0167142")</f>
        <v>JA39E0167142</v>
      </c>
      <c r="K1491" s="5">
        <f>IFERROR(__xludf.DUMMYFUNCTION("""COMPUTED_VALUE"""),0.5)</f>
        <v>0.5</v>
      </c>
      <c r="L1491" s="5" t="str">
        <f>IFERROR(__xludf.DUMMYFUNCTION("""COMPUTED_VALUE"""),"KLH")</f>
        <v>KLH</v>
      </c>
    </row>
    <row r="1492">
      <c r="A1492" s="5" t="str">
        <f>IFERROR(__xludf.DUMMYFUNCTION("""COMPUTED_VALUE"""),"XL3-XMA-006")</f>
        <v>XL3-XMA-006</v>
      </c>
      <c r="B1492" s="3" t="str">
        <f>IFERROR(__xludf.DUMMYFUNCTION("""COMPUTED_VALUE"""),"Xe máy thu hoạch")</f>
        <v>Xe máy thu hoạch</v>
      </c>
      <c r="C1492" s="5" t="str">
        <f>IFERROR(__xludf.DUMMYFUNCTION("""COMPUTED_VALUE"""),"XN Chuối LP3")</f>
        <v>XN Chuối LP3</v>
      </c>
      <c r="D1492" s="5" t="str">
        <f>IFERROR(__xludf.DUMMYFUNCTION("""COMPUTED_VALUE"""),"HONDA")</f>
        <v>HONDA</v>
      </c>
      <c r="E1492" s="5" t="str">
        <f>IFERROR(__xludf.DUMMYFUNCTION("""COMPUTED_VALUE"""),"VIỆT NAM")</f>
        <v>VIỆT NAM</v>
      </c>
      <c r="F1492" s="5"/>
      <c r="G1492" s="5" t="str">
        <f>IFERROR(__xludf.DUMMYFUNCTION("""COMPUTED_VALUE"""),"WAVE A")</f>
        <v>WAVE A</v>
      </c>
      <c r="H1492" s="5" t="str">
        <f>IFERROR(__xludf.DUMMYFUNCTION("""COMPUTED_VALUE"""),"110cc")</f>
        <v>110cc</v>
      </c>
      <c r="I1492" s="5" t="str">
        <f>IFERROR(__xludf.DUMMYFUNCTION("""COMPUTED_VALUE"""),"RLHJA3914KY116255")</f>
        <v>RLHJA3914KY116255</v>
      </c>
      <c r="J1492" s="5" t="str">
        <f>IFERROR(__xludf.DUMMYFUNCTION("""COMPUTED_VALUE"""),"JA39E0972655")</f>
        <v>JA39E0972655</v>
      </c>
      <c r="K1492" s="5">
        <f>IFERROR(__xludf.DUMMYFUNCTION("""COMPUTED_VALUE"""),0.5)</f>
        <v>0.5</v>
      </c>
      <c r="L1492" s="5" t="str">
        <f>IFERROR(__xludf.DUMMYFUNCTION("""COMPUTED_VALUE"""),"KLH")</f>
        <v>KLH</v>
      </c>
    </row>
    <row r="1493">
      <c r="A1493" s="5" t="str">
        <f>IFERROR(__xludf.DUMMYFUNCTION("""COMPUTED_VALUE"""),"XL3-XMA-007")</f>
        <v>XL3-XMA-007</v>
      </c>
      <c r="B1493" s="3" t="str">
        <f>IFERROR(__xludf.DUMMYFUNCTION("""COMPUTED_VALUE"""),"Xe máy thu hoạch")</f>
        <v>Xe máy thu hoạch</v>
      </c>
      <c r="C1493" s="5" t="str">
        <f>IFERROR(__xludf.DUMMYFUNCTION("""COMPUTED_VALUE"""),"XN Chuối LP3")</f>
        <v>XN Chuối LP3</v>
      </c>
      <c r="D1493" s="5" t="str">
        <f>IFERROR(__xludf.DUMMYFUNCTION("""COMPUTED_VALUE"""),"HONDA")</f>
        <v>HONDA</v>
      </c>
      <c r="E1493" s="5" t="str">
        <f>IFERROR(__xludf.DUMMYFUNCTION("""COMPUTED_VALUE"""),"VIỆT NAM")</f>
        <v>VIỆT NAM</v>
      </c>
      <c r="F1493" s="5"/>
      <c r="G1493" s="5" t="str">
        <f>IFERROR(__xludf.DUMMYFUNCTION("""COMPUTED_VALUE"""),"WAVE A")</f>
        <v>WAVE A</v>
      </c>
      <c r="H1493" s="5" t="str">
        <f>IFERROR(__xludf.DUMMYFUNCTION("""COMPUTED_VALUE"""),"110cc")</f>
        <v>110cc</v>
      </c>
      <c r="I1493" s="5" t="str">
        <f>IFERROR(__xludf.DUMMYFUNCTION("""COMPUTED_VALUE"""),"RLHJA3917KY410040")</f>
        <v>RLHJA3917KY410040</v>
      </c>
      <c r="J1493" s="5" t="str">
        <f>IFERROR(__xludf.DUMMYFUNCTION("""COMPUTED_VALUE"""),"JA39E1279621")</f>
        <v>JA39E1279621</v>
      </c>
      <c r="K1493" s="5">
        <f>IFERROR(__xludf.DUMMYFUNCTION("""COMPUTED_VALUE"""),0.5)</f>
        <v>0.5</v>
      </c>
      <c r="L1493" s="5" t="str">
        <f>IFERROR(__xludf.DUMMYFUNCTION("""COMPUTED_VALUE"""),"KLH")</f>
        <v>KLH</v>
      </c>
    </row>
    <row r="1494">
      <c r="A1494" s="5" t="str">
        <f>IFERROR(__xludf.DUMMYFUNCTION("""COMPUTED_VALUE"""),"XL3-XMA-008")</f>
        <v>XL3-XMA-008</v>
      </c>
      <c r="B1494" s="3" t="str">
        <f>IFERROR(__xludf.DUMMYFUNCTION("""COMPUTED_VALUE"""),"Xe máy thu hoạch")</f>
        <v>Xe máy thu hoạch</v>
      </c>
      <c r="C1494" s="5" t="str">
        <f>IFERROR(__xludf.DUMMYFUNCTION("""COMPUTED_VALUE"""),"XN Chuối LP3")</f>
        <v>XN Chuối LP3</v>
      </c>
      <c r="D1494" s="5" t="str">
        <f>IFERROR(__xludf.DUMMYFUNCTION("""COMPUTED_VALUE"""),"HONDA")</f>
        <v>HONDA</v>
      </c>
      <c r="E1494" s="5" t="str">
        <f>IFERROR(__xludf.DUMMYFUNCTION("""COMPUTED_VALUE"""),"VIỆT NAM")</f>
        <v>VIỆT NAM</v>
      </c>
      <c r="F1494" s="5"/>
      <c r="G1494" s="5" t="str">
        <f>IFERROR(__xludf.DUMMYFUNCTION("""COMPUTED_VALUE"""),"WAVE A")</f>
        <v>WAVE A</v>
      </c>
      <c r="H1494" s="5" t="str">
        <f>IFERROR(__xludf.DUMMYFUNCTION("""COMPUTED_VALUE"""),"110cc")</f>
        <v>110cc</v>
      </c>
      <c r="I1494" s="5" t="str">
        <f>IFERROR(__xludf.DUMMYFUNCTION("""COMPUTED_VALUE"""),"RLHJA3922MY130361")</f>
        <v>RLHJA3922MY130361</v>
      </c>
      <c r="J1494" s="5" t="str">
        <f>IFERROR(__xludf.DUMMYFUNCTION("""COMPUTED_VALUE"""),"JA39E2247683")</f>
        <v>JA39E2247683</v>
      </c>
      <c r="K1494" s="5">
        <f>IFERROR(__xludf.DUMMYFUNCTION("""COMPUTED_VALUE"""),0.5)</f>
        <v>0.5</v>
      </c>
      <c r="L1494" s="5" t="str">
        <f>IFERROR(__xludf.DUMMYFUNCTION("""COMPUTED_VALUE"""),"KLH")</f>
        <v>KLH</v>
      </c>
    </row>
    <row r="1495">
      <c r="A1495" s="5" t="str">
        <f>IFERROR(__xludf.DUMMYFUNCTION("""COMPUTED_VALUE"""),"XL3-XMA-009")</f>
        <v>XL3-XMA-009</v>
      </c>
      <c r="B1495" s="3" t="str">
        <f>IFERROR(__xludf.DUMMYFUNCTION("""COMPUTED_VALUE"""),"Xe máy thu hoạch")</f>
        <v>Xe máy thu hoạch</v>
      </c>
      <c r="C1495" s="5" t="str">
        <f>IFERROR(__xludf.DUMMYFUNCTION("""COMPUTED_VALUE"""),"XN Chuối LP3")</f>
        <v>XN Chuối LP3</v>
      </c>
      <c r="D1495" s="5" t="str">
        <f>IFERROR(__xludf.DUMMYFUNCTION("""COMPUTED_VALUE"""),"HONDA")</f>
        <v>HONDA</v>
      </c>
      <c r="E1495" s="5" t="str">
        <f>IFERROR(__xludf.DUMMYFUNCTION("""COMPUTED_VALUE"""),"VIỆT NAM")</f>
        <v>VIỆT NAM</v>
      </c>
      <c r="F1495" s="5"/>
      <c r="G1495" s="5" t="str">
        <f>IFERROR(__xludf.DUMMYFUNCTION("""COMPUTED_VALUE"""),"WAVE A")</f>
        <v>WAVE A</v>
      </c>
      <c r="H1495" s="5" t="str">
        <f>IFERROR(__xludf.DUMMYFUNCTION("""COMPUTED_VALUE"""),"110cc")</f>
        <v>110cc</v>
      </c>
      <c r="I1495" s="5" t="str">
        <f>IFERROR(__xludf.DUMMYFUNCTION("""COMPUTED_VALUE"""),"RLHJA3915LY190446")</f>
        <v>RLHJA3915LY190446</v>
      </c>
      <c r="J1495" s="5" t="str">
        <f>IFERROR(__xludf.DUMMYFUNCTION("""COMPUTED_VALUE"""),"JA39E1528276")</f>
        <v>JA39E1528276</v>
      </c>
      <c r="K1495" s="5">
        <f>IFERROR(__xludf.DUMMYFUNCTION("""COMPUTED_VALUE"""),0.5)</f>
        <v>0.5</v>
      </c>
      <c r="L1495" s="5" t="str">
        <f>IFERROR(__xludf.DUMMYFUNCTION("""COMPUTED_VALUE"""),"KLH")</f>
        <v>KLH</v>
      </c>
    </row>
    <row r="1496">
      <c r="A1496" s="5" t="str">
        <f>IFERROR(__xludf.DUMMYFUNCTION("""COMPUTED_VALUE"""),"XL3-XMA-010")</f>
        <v>XL3-XMA-010</v>
      </c>
      <c r="B1496" s="3" t="str">
        <f>IFERROR(__xludf.DUMMYFUNCTION("""COMPUTED_VALUE"""),"Xe máy thu hoạch")</f>
        <v>Xe máy thu hoạch</v>
      </c>
      <c r="C1496" s="5" t="str">
        <f>IFERROR(__xludf.DUMMYFUNCTION("""COMPUTED_VALUE"""),"XN Chuối LP3")</f>
        <v>XN Chuối LP3</v>
      </c>
      <c r="D1496" s="5" t="str">
        <f>IFERROR(__xludf.DUMMYFUNCTION("""COMPUTED_VALUE"""),"HONDA")</f>
        <v>HONDA</v>
      </c>
      <c r="E1496" s="5" t="str">
        <f>IFERROR(__xludf.DUMMYFUNCTION("""COMPUTED_VALUE"""),"VIỆT NAM")</f>
        <v>VIỆT NAM</v>
      </c>
      <c r="F1496" s="5"/>
      <c r="G1496" s="5" t="str">
        <f>IFERROR(__xludf.DUMMYFUNCTION("""COMPUTED_VALUE"""),"WAVE A")</f>
        <v>WAVE A</v>
      </c>
      <c r="H1496" s="5" t="str">
        <f>IFERROR(__xludf.DUMMYFUNCTION("""COMPUTED_VALUE"""),"110cc")</f>
        <v>110cc</v>
      </c>
      <c r="I1496" s="5" t="str">
        <f>IFERROR(__xludf.DUMMYFUNCTION("""COMPUTED_VALUE"""),"RLHJA3911LY16899")</f>
        <v>RLHJA3911LY16899</v>
      </c>
      <c r="J1496" s="5" t="str">
        <f>IFERROR(__xludf.DUMMYFUNCTION("""COMPUTED_VALUE"""),"JA39E1506840")</f>
        <v>JA39E1506840</v>
      </c>
      <c r="K1496" s="5">
        <f>IFERROR(__xludf.DUMMYFUNCTION("""COMPUTED_VALUE"""),0.5)</f>
        <v>0.5</v>
      </c>
      <c r="L1496" s="5" t="str">
        <f>IFERROR(__xludf.DUMMYFUNCTION("""COMPUTED_VALUE"""),"KLH")</f>
        <v>KLH</v>
      </c>
    </row>
    <row r="1497">
      <c r="A1497" s="5" t="str">
        <f>IFERROR(__xludf.DUMMYFUNCTION("""COMPUTED_VALUE"""),"XL3-XMA-011")</f>
        <v>XL3-XMA-011</v>
      </c>
      <c r="B1497" s="3" t="str">
        <f>IFERROR(__xludf.DUMMYFUNCTION("""COMPUTED_VALUE"""),"Xe máy thu hoạch")</f>
        <v>Xe máy thu hoạch</v>
      </c>
      <c r="C1497" s="5" t="str">
        <f>IFERROR(__xludf.DUMMYFUNCTION("""COMPUTED_VALUE"""),"XN Chuối LP3")</f>
        <v>XN Chuối LP3</v>
      </c>
      <c r="D1497" s="5" t="str">
        <f>IFERROR(__xludf.DUMMYFUNCTION("""COMPUTED_VALUE"""),"HONDA")</f>
        <v>HONDA</v>
      </c>
      <c r="E1497" s="5" t="str">
        <f>IFERROR(__xludf.DUMMYFUNCTION("""COMPUTED_VALUE"""),"VIỆT NAM")</f>
        <v>VIỆT NAM</v>
      </c>
      <c r="F1497" s="5"/>
      <c r="G1497" s="5" t="str">
        <f>IFERROR(__xludf.DUMMYFUNCTION("""COMPUTED_VALUE"""),"WAVE A")</f>
        <v>WAVE A</v>
      </c>
      <c r="H1497" s="5" t="str">
        <f>IFERROR(__xludf.DUMMYFUNCTION("""COMPUTED_VALUE"""),"110cc")</f>
        <v>110cc</v>
      </c>
      <c r="I1497" s="5" t="str">
        <f>IFERROR(__xludf.DUMMYFUNCTION("""COMPUTED_VALUE"""),"RLHJA391XKY204081")</f>
        <v>RLHJA391XKY204081</v>
      </c>
      <c r="J1497" s="5" t="str">
        <f>IFERROR(__xludf.DUMMYFUNCTION("""COMPUTED_VALUE"""),"JA39E-1061910")</f>
        <v>JA39E-1061910</v>
      </c>
      <c r="K1497" s="5"/>
      <c r="L1497" s="5" t="str">
        <f>IFERROR(__xludf.DUMMYFUNCTION("""COMPUTED_VALUE"""),"KLH")</f>
        <v>KLH</v>
      </c>
    </row>
    <row r="1498">
      <c r="A1498" s="5" t="str">
        <f>IFERROR(__xludf.DUMMYFUNCTION("""COMPUTED_VALUE"""),"XL3-XMA-012")</f>
        <v>XL3-XMA-012</v>
      </c>
      <c r="B1498" s="3" t="str">
        <f>IFERROR(__xludf.DUMMYFUNCTION("""COMPUTED_VALUE"""),"Xe máy thu hoạch")</f>
        <v>Xe máy thu hoạch</v>
      </c>
      <c r="C1498" s="5" t="str">
        <f>IFERROR(__xludf.DUMMYFUNCTION("""COMPUTED_VALUE"""),"XN Chuối LP3")</f>
        <v>XN Chuối LP3</v>
      </c>
      <c r="D1498" s="5" t="str">
        <f>IFERROR(__xludf.DUMMYFUNCTION("""COMPUTED_VALUE"""),"HONDA")</f>
        <v>HONDA</v>
      </c>
      <c r="E1498" s="5" t="str">
        <f>IFERROR(__xludf.DUMMYFUNCTION("""COMPUTED_VALUE"""),"VIỆT NAM")</f>
        <v>VIỆT NAM</v>
      </c>
      <c r="F1498" s="5"/>
      <c r="G1498" s="5" t="str">
        <f>IFERROR(__xludf.DUMMYFUNCTION("""COMPUTED_VALUE"""),"WAVE A")</f>
        <v>WAVE A</v>
      </c>
      <c r="H1498" s="5" t="str">
        <f>IFERROR(__xludf.DUMMYFUNCTION("""COMPUTED_VALUE"""),"110cc")</f>
        <v>110cc</v>
      </c>
      <c r="I1498" s="5" t="str">
        <f>IFERROR(__xludf.DUMMYFUNCTION("""COMPUTED_VALUE"""),"RLH3A3905HY477232")</f>
        <v>RLH3A3905HY477232</v>
      </c>
      <c r="J1498" s="5"/>
      <c r="K1498" s="5"/>
      <c r="L1498" s="5" t="str">
        <f>IFERROR(__xludf.DUMMYFUNCTION("""COMPUTED_VALUE"""),"KLH")</f>
        <v>KLH</v>
      </c>
    </row>
    <row r="1499">
      <c r="A1499" s="5" t="str">
        <f>IFERROR(__xludf.DUMMYFUNCTION("""COMPUTED_VALUE"""),"XL3-XMA-013")</f>
        <v>XL3-XMA-013</v>
      </c>
      <c r="B1499" s="3" t="str">
        <f>IFERROR(__xludf.DUMMYFUNCTION("""COMPUTED_VALUE"""),"Xe máy thu hoạch")</f>
        <v>Xe máy thu hoạch</v>
      </c>
      <c r="C1499" s="5" t="str">
        <f>IFERROR(__xludf.DUMMYFUNCTION("""COMPUTED_VALUE"""),"XN Chuối LP3")</f>
        <v>XN Chuối LP3</v>
      </c>
      <c r="D1499" s="5" t="str">
        <f>IFERROR(__xludf.DUMMYFUNCTION("""COMPUTED_VALUE"""),"HONDA")</f>
        <v>HONDA</v>
      </c>
      <c r="E1499" s="5" t="str">
        <f>IFERROR(__xludf.DUMMYFUNCTION("""COMPUTED_VALUE"""),"VIỆT NAM")</f>
        <v>VIỆT NAM</v>
      </c>
      <c r="F1499" s="5"/>
      <c r="G1499" s="5" t="str">
        <f>IFERROR(__xludf.DUMMYFUNCTION("""COMPUTED_VALUE"""),"WAVE A")</f>
        <v>WAVE A</v>
      </c>
      <c r="H1499" s="5" t="str">
        <f>IFERROR(__xludf.DUMMYFUNCTION("""COMPUTED_VALUE"""),"110cc")</f>
        <v>110cc</v>
      </c>
      <c r="I1499" s="5" t="str">
        <f>IFERROR(__xludf.DUMMYFUNCTION("""COMPUTED_VALUE"""),"RLHLUJA3913KY306760")</f>
        <v>RLHLUJA3913KY306760</v>
      </c>
      <c r="J1499" s="5"/>
      <c r="K1499" s="5"/>
      <c r="L1499" s="5" t="str">
        <f>IFERROR(__xludf.DUMMYFUNCTION("""COMPUTED_VALUE"""),"KLH")</f>
        <v>KLH</v>
      </c>
    </row>
    <row r="1500">
      <c r="A1500" s="5" t="str">
        <f>IFERROR(__xludf.DUMMYFUNCTION("""COMPUTED_VALUE"""),"XL3-XMA-014")</f>
        <v>XL3-XMA-014</v>
      </c>
      <c r="B1500" s="3" t="str">
        <f>IFERROR(__xludf.DUMMYFUNCTION("""COMPUTED_VALUE"""),"Xe máy thu hoạch")</f>
        <v>Xe máy thu hoạch</v>
      </c>
      <c r="C1500" s="5" t="str">
        <f>IFERROR(__xludf.DUMMYFUNCTION("""COMPUTED_VALUE"""),"XN Chuối LP3")</f>
        <v>XN Chuối LP3</v>
      </c>
      <c r="D1500" s="5" t="str">
        <f>IFERROR(__xludf.DUMMYFUNCTION("""COMPUTED_VALUE"""),"HONDA")</f>
        <v>HONDA</v>
      </c>
      <c r="E1500" s="5" t="str">
        <f>IFERROR(__xludf.DUMMYFUNCTION("""COMPUTED_VALUE"""),"VIỆT NAM")</f>
        <v>VIỆT NAM</v>
      </c>
      <c r="F1500" s="5"/>
      <c r="G1500" s="5" t="str">
        <f>IFERROR(__xludf.DUMMYFUNCTION("""COMPUTED_VALUE"""),"WAVE A")</f>
        <v>WAVE A</v>
      </c>
      <c r="H1500" s="5" t="str">
        <f>IFERROR(__xludf.DUMMYFUNCTION("""COMPUTED_VALUE"""),"110cc")</f>
        <v>110cc</v>
      </c>
      <c r="I1500" s="5" t="str">
        <f>IFERROR(__xludf.DUMMYFUNCTION("""COMPUTED_VALUE"""),"RLHJA3913KY291211")</f>
        <v>RLHJA3913KY291211</v>
      </c>
      <c r="J1500" s="5" t="str">
        <f>IFERROR(__xludf.DUMMYFUNCTION("""COMPUTED_VALUE"""),"JA39E-1153196")</f>
        <v>JA39E-1153196</v>
      </c>
      <c r="K1500" s="5"/>
      <c r="L1500" s="5" t="str">
        <f>IFERROR(__xludf.DUMMYFUNCTION("""COMPUTED_VALUE"""),"KLH")</f>
        <v>KLH</v>
      </c>
    </row>
    <row r="1501">
      <c r="A1501" s="5" t="str">
        <f>IFERROR(__xludf.DUMMYFUNCTION("""COMPUTED_VALUE"""),"LP4")</f>
        <v>LP4</v>
      </c>
      <c r="B1501" s="3"/>
      <c r="C1501" s="5"/>
      <c r="D1501" s="5"/>
      <c r="E1501" s="5"/>
      <c r="F1501" s="5"/>
      <c r="G1501" s="5"/>
      <c r="H1501" s="5"/>
      <c r="I1501" s="5"/>
      <c r="J1501" s="5"/>
      <c r="K1501" s="5"/>
      <c r="L1501" s="5" t="str">
        <f>IFERROR(__xludf.DUMMYFUNCTION("""COMPUTED_VALUE"""),"KLH")</f>
        <v>KLH</v>
      </c>
    </row>
    <row r="1502">
      <c r="A1502" s="5" t="str">
        <f>IFERROR(__xludf.DUMMYFUNCTION("""COMPUTED_VALUE"""),"XL4-XMA-001")</f>
        <v>XL4-XMA-001</v>
      </c>
      <c r="B1502" s="3" t="str">
        <f>IFERROR(__xludf.DUMMYFUNCTION("""COMPUTED_VALUE"""),"Xe máy thu hoạch")</f>
        <v>Xe máy thu hoạch</v>
      </c>
      <c r="C1502" s="5" t="str">
        <f>IFERROR(__xludf.DUMMYFUNCTION("""COMPUTED_VALUE"""),"XN Chuối LP4")</f>
        <v>XN Chuối LP4</v>
      </c>
      <c r="D1502" s="5" t="str">
        <f>IFERROR(__xludf.DUMMYFUNCTION("""COMPUTED_VALUE"""),"HONDA")</f>
        <v>HONDA</v>
      </c>
      <c r="E1502" s="5" t="str">
        <f>IFERROR(__xludf.DUMMYFUNCTION("""COMPUTED_VALUE"""),"VIỆT NAM")</f>
        <v>VIỆT NAM</v>
      </c>
      <c r="F1502" s="5"/>
      <c r="G1502" s="5" t="str">
        <f>IFERROR(__xludf.DUMMYFUNCTION("""COMPUTED_VALUE"""),"WAVE A")</f>
        <v>WAVE A</v>
      </c>
      <c r="H1502" s="5" t="str">
        <f>IFERROR(__xludf.DUMMYFUNCTION("""COMPUTED_VALUE"""),"110cc")</f>
        <v>110cc</v>
      </c>
      <c r="I1502" s="5" t="str">
        <f>IFERROR(__xludf.DUMMYFUNCTION("""COMPUTED_VALUE"""),"GLHJA39 16LI197793")</f>
        <v>GLHJA39 16LI197793</v>
      </c>
      <c r="J1502" s="5" t="str">
        <f>IFERROR(__xludf.DUMMYFUNCTION("""COMPUTED_VALUE"""),"JA39E-1535675")</f>
        <v>JA39E-1535675</v>
      </c>
      <c r="K1502" s="5">
        <f>IFERROR(__xludf.DUMMYFUNCTION("""COMPUTED_VALUE"""),0.5)</f>
        <v>0.5</v>
      </c>
      <c r="L1502" s="5" t="str">
        <f>IFERROR(__xludf.DUMMYFUNCTION("""COMPUTED_VALUE"""),"KLH")</f>
        <v>KLH</v>
      </c>
    </row>
    <row r="1503">
      <c r="A1503" s="5" t="str">
        <f>IFERROR(__xludf.DUMMYFUNCTION("""COMPUTED_VALUE"""),"XL4-XMA-002")</f>
        <v>XL4-XMA-002</v>
      </c>
      <c r="B1503" s="3" t="str">
        <f>IFERROR(__xludf.DUMMYFUNCTION("""COMPUTED_VALUE"""),"Xe máy thu hoạch")</f>
        <v>Xe máy thu hoạch</v>
      </c>
      <c r="C1503" s="5" t="str">
        <f>IFERROR(__xludf.DUMMYFUNCTION("""COMPUTED_VALUE"""),"XN Chuối LP4")</f>
        <v>XN Chuối LP4</v>
      </c>
      <c r="D1503" s="5" t="str">
        <f>IFERROR(__xludf.DUMMYFUNCTION("""COMPUTED_VALUE"""),"HONDA")</f>
        <v>HONDA</v>
      </c>
      <c r="E1503" s="5" t="str">
        <f>IFERROR(__xludf.DUMMYFUNCTION("""COMPUTED_VALUE"""),"VIỆT NAM")</f>
        <v>VIỆT NAM</v>
      </c>
      <c r="F1503" s="5"/>
      <c r="G1503" s="5" t="str">
        <f>IFERROR(__xludf.DUMMYFUNCTION("""COMPUTED_VALUE"""),"WAVE A")</f>
        <v>WAVE A</v>
      </c>
      <c r="H1503" s="5" t="str">
        <f>IFERROR(__xludf.DUMMYFUNCTION("""COMPUTED_VALUE"""),"110cc")</f>
        <v>110cc</v>
      </c>
      <c r="I1503" s="5" t="str">
        <f>IFERROR(__xludf.DUMMYFUNCTION("""COMPUTED_VALUE"""),"GLHJA39 00HI028447")</f>
        <v>GLHJA39 00HI028447</v>
      </c>
      <c r="J1503" s="5" t="str">
        <f>IFERROR(__xludf.DUMMYFUNCTION("""COMPUTED_VALUE"""),"JA39E-0028489")</f>
        <v>JA39E-0028489</v>
      </c>
      <c r="K1503" s="5">
        <f>IFERROR(__xludf.DUMMYFUNCTION("""COMPUTED_VALUE"""),0.5)</f>
        <v>0.5</v>
      </c>
      <c r="L1503" s="5" t="str">
        <f>IFERROR(__xludf.DUMMYFUNCTION("""COMPUTED_VALUE"""),"KLH")</f>
        <v>KLH</v>
      </c>
    </row>
    <row r="1504">
      <c r="A1504" s="5" t="str">
        <f>IFERROR(__xludf.DUMMYFUNCTION("""COMPUTED_VALUE"""),"XL4-XMA-007")</f>
        <v>XL4-XMA-007</v>
      </c>
      <c r="B1504" s="3" t="str">
        <f>IFERROR(__xludf.DUMMYFUNCTION("""COMPUTED_VALUE"""),"Xe máy thu hoạch")</f>
        <v>Xe máy thu hoạch</v>
      </c>
      <c r="C1504" s="5" t="str">
        <f>IFERROR(__xludf.DUMMYFUNCTION("""COMPUTED_VALUE"""),"XN Chuối LP4")</f>
        <v>XN Chuối LP4</v>
      </c>
      <c r="D1504" s="5" t="str">
        <f>IFERROR(__xludf.DUMMYFUNCTION("""COMPUTED_VALUE"""),"HONDA")</f>
        <v>HONDA</v>
      </c>
      <c r="E1504" s="5" t="str">
        <f>IFERROR(__xludf.DUMMYFUNCTION("""COMPUTED_VALUE"""),"VIỆT NAM")</f>
        <v>VIỆT NAM</v>
      </c>
      <c r="F1504" s="5"/>
      <c r="G1504" s="5" t="str">
        <f>IFERROR(__xludf.DUMMYFUNCTION("""COMPUTED_VALUE"""),"WAVE A")</f>
        <v>WAVE A</v>
      </c>
      <c r="H1504" s="5" t="str">
        <f>IFERROR(__xludf.DUMMYFUNCTION("""COMPUTED_VALUE"""),"110cc")</f>
        <v>110cc</v>
      </c>
      <c r="I1504" s="5" t="str">
        <f>IFERROR(__xludf.DUMMYFUNCTION("""COMPUTED_VALUE"""),"GLHJA39 08HI707513")</f>
        <v>GLHJA39 08HI707513</v>
      </c>
      <c r="J1504" s="5" t="str">
        <f>IFERROR(__xludf.DUMMYFUNCTION("""COMPUTED_VALUE"""),"JA39E- 0687658")</f>
        <v>JA39E- 0687658</v>
      </c>
      <c r="K1504" s="5">
        <f>IFERROR(__xludf.DUMMYFUNCTION("""COMPUTED_VALUE"""),0.5)</f>
        <v>0.5</v>
      </c>
      <c r="L1504" s="5" t="str">
        <f>IFERROR(__xludf.DUMMYFUNCTION("""COMPUTED_VALUE"""),"KLH")</f>
        <v>KLH</v>
      </c>
    </row>
    <row r="1505">
      <c r="A1505" s="5" t="str">
        <f>IFERROR(__xludf.DUMMYFUNCTION("""COMPUTED_VALUE"""),"XL4-XMA-008")</f>
        <v>XL4-XMA-008</v>
      </c>
      <c r="B1505" s="3" t="str">
        <f>IFERROR(__xludf.DUMMYFUNCTION("""COMPUTED_VALUE"""),"Xe máy thu hoạch")</f>
        <v>Xe máy thu hoạch</v>
      </c>
      <c r="C1505" s="5" t="str">
        <f>IFERROR(__xludf.DUMMYFUNCTION("""COMPUTED_VALUE"""),"XN Chuối LP4")</f>
        <v>XN Chuối LP4</v>
      </c>
      <c r="D1505" s="5" t="str">
        <f>IFERROR(__xludf.DUMMYFUNCTION("""COMPUTED_VALUE"""),"HONDA")</f>
        <v>HONDA</v>
      </c>
      <c r="E1505" s="5" t="str">
        <f>IFERROR(__xludf.DUMMYFUNCTION("""COMPUTED_VALUE"""),"VIỆT NAM")</f>
        <v>VIỆT NAM</v>
      </c>
      <c r="F1505" s="5"/>
      <c r="G1505" s="5" t="str">
        <f>IFERROR(__xludf.DUMMYFUNCTION("""COMPUTED_VALUE"""),"WAVE A")</f>
        <v>WAVE A</v>
      </c>
      <c r="H1505" s="5" t="str">
        <f>IFERROR(__xludf.DUMMYFUNCTION("""COMPUTED_VALUE"""),"110cc")</f>
        <v>110cc</v>
      </c>
      <c r="I1505" s="5" t="str">
        <f>IFERROR(__xludf.DUMMYFUNCTION("""COMPUTED_VALUE"""),"RLHJA3912LY166024")</f>
        <v>RLHJA3912LY166024</v>
      </c>
      <c r="J1505" s="5" t="str">
        <f>IFERROR(__xludf.DUMMYFUNCTION("""COMPUTED_VALUE"""),"JA39E1503930")</f>
        <v>JA39E1503930</v>
      </c>
      <c r="K1505" s="5">
        <f>IFERROR(__xludf.DUMMYFUNCTION("""COMPUTED_VALUE"""),0.5)</f>
        <v>0.5</v>
      </c>
      <c r="L1505" s="5" t="str">
        <f>IFERROR(__xludf.DUMMYFUNCTION("""COMPUTED_VALUE"""),"KLH")</f>
        <v>KLH</v>
      </c>
    </row>
    <row r="1506">
      <c r="A1506" s="5" t="str">
        <f>IFERROR(__xludf.DUMMYFUNCTION("""COMPUTED_VALUE"""),"ANDONGMEAS")</f>
        <v>ANDONGMEAS</v>
      </c>
      <c r="B1506" s="3"/>
      <c r="C1506" s="5"/>
      <c r="D1506" s="5"/>
      <c r="E1506" s="5"/>
      <c r="F1506" s="5"/>
      <c r="G1506" s="5"/>
      <c r="H1506" s="5"/>
      <c r="I1506" s="5"/>
      <c r="J1506" s="5"/>
      <c r="K1506" s="5"/>
      <c r="L1506" s="5" t="str">
        <f>IFERROR(__xludf.DUMMYFUNCTION("""COMPUTED_VALUE"""),"KLH")</f>
        <v>KLH</v>
      </c>
    </row>
    <row r="1507">
      <c r="A1507" s="5" t="str">
        <f>IFERROR(__xludf.DUMMYFUNCTION("""COMPUTED_VALUE"""),"XN AD2")</f>
        <v>XN AD2</v>
      </c>
      <c r="B1507" s="3"/>
      <c r="C1507" s="5"/>
      <c r="D1507" s="5"/>
      <c r="E1507" s="5"/>
      <c r="F1507" s="5"/>
      <c r="G1507" s="5"/>
      <c r="H1507" s="5"/>
      <c r="I1507" s="5"/>
      <c r="J1507" s="5"/>
      <c r="K1507" s="5"/>
      <c r="L1507" s="5" t="str">
        <f>IFERROR(__xludf.DUMMYFUNCTION("""COMPUTED_VALUE"""),"KLH")</f>
        <v>KLH</v>
      </c>
    </row>
    <row r="1508">
      <c r="A1508" s="5" t="str">
        <f>IFERROR(__xludf.DUMMYFUNCTION("""COMPUTED_VALUE"""),"XA2-XMA-001")</f>
        <v>XA2-XMA-001</v>
      </c>
      <c r="B1508" s="3" t="str">
        <f>IFERROR(__xludf.DUMMYFUNCTION("""COMPUTED_VALUE"""),"Xe máy thu hoạch")</f>
        <v>Xe máy thu hoạch</v>
      </c>
      <c r="C1508" s="5" t="str">
        <f>IFERROR(__xludf.DUMMYFUNCTION("""COMPUTED_VALUE"""),"XN Chuối AD2")</f>
        <v>XN Chuối AD2</v>
      </c>
      <c r="D1508" s="5" t="str">
        <f>IFERROR(__xludf.DUMMYFUNCTION("""COMPUTED_VALUE"""),"HONDA")</f>
        <v>HONDA</v>
      </c>
      <c r="E1508" s="5" t="str">
        <f>IFERROR(__xludf.DUMMYFUNCTION("""COMPUTED_VALUE"""),"VIỆT NAM")</f>
        <v>VIỆT NAM</v>
      </c>
      <c r="F1508" s="5"/>
      <c r="G1508" s="5" t="str">
        <f>IFERROR(__xludf.DUMMYFUNCTION("""COMPUTED_VALUE"""),"WAVE A")</f>
        <v>WAVE A</v>
      </c>
      <c r="H1508" s="5" t="str">
        <f>IFERROR(__xludf.DUMMYFUNCTION("""COMPUTED_VALUE"""),"110cc")</f>
        <v>110cc</v>
      </c>
      <c r="I1508" s="5" t="str">
        <f>IFERROR(__xludf.DUMMYFUNCTION("""COMPUTED_VALUE"""),"RLHHC1204AY200315")</f>
        <v>RLHHC1204AY200315</v>
      </c>
      <c r="J1508" s="5" t="str">
        <f>IFERROR(__xludf.DUMMYFUNCTION("""COMPUTED_VALUE"""),"HC12E-2700316")</f>
        <v>HC12E-2700316</v>
      </c>
      <c r="K1508" s="5">
        <f>IFERROR(__xludf.DUMMYFUNCTION("""COMPUTED_VALUE"""),0.5)</f>
        <v>0.5</v>
      </c>
      <c r="L1508" s="5" t="str">
        <f>IFERROR(__xludf.DUMMYFUNCTION("""COMPUTED_VALUE"""),"KLH")</f>
        <v>KLH</v>
      </c>
    </row>
    <row r="1509">
      <c r="A1509" s="5" t="str">
        <f>IFERROR(__xludf.DUMMYFUNCTION("""COMPUTED_VALUE"""),"XA2-XMA-002")</f>
        <v>XA2-XMA-002</v>
      </c>
      <c r="B1509" s="3" t="str">
        <f>IFERROR(__xludf.DUMMYFUNCTION("""COMPUTED_VALUE"""),"Xe máy thu hoạch")</f>
        <v>Xe máy thu hoạch</v>
      </c>
      <c r="C1509" s="5" t="str">
        <f>IFERROR(__xludf.DUMMYFUNCTION("""COMPUTED_VALUE"""),"XN Chuối AD2")</f>
        <v>XN Chuối AD2</v>
      </c>
      <c r="D1509" s="5" t="str">
        <f>IFERROR(__xludf.DUMMYFUNCTION("""COMPUTED_VALUE"""),"HONDA")</f>
        <v>HONDA</v>
      </c>
      <c r="E1509" s="5" t="str">
        <f>IFERROR(__xludf.DUMMYFUNCTION("""COMPUTED_VALUE"""),"VIỆT NAM")</f>
        <v>VIỆT NAM</v>
      </c>
      <c r="F1509" s="5"/>
      <c r="G1509" s="5" t="str">
        <f>IFERROR(__xludf.DUMMYFUNCTION("""COMPUTED_VALUE"""),"WAVE A")</f>
        <v>WAVE A</v>
      </c>
      <c r="H1509" s="5" t="str">
        <f>IFERROR(__xludf.DUMMYFUNCTION("""COMPUTED_VALUE"""),"110cc")</f>
        <v>110cc</v>
      </c>
      <c r="I1509" s="5" t="str">
        <f>IFERROR(__xludf.DUMMYFUNCTION("""COMPUTED_VALUE"""),"RLHJA3918KYI48402")</f>
        <v>RLHJA3918KYI48402</v>
      </c>
      <c r="J1509" s="5" t="str">
        <f>IFERROR(__xludf.DUMMYFUNCTION("""COMPUTED_VALUE"""),"JA39E1005640")</f>
        <v>JA39E1005640</v>
      </c>
      <c r="K1509" s="5">
        <f>IFERROR(__xludf.DUMMYFUNCTION("""COMPUTED_VALUE"""),0.5)</f>
        <v>0.5</v>
      </c>
      <c r="L1509" s="5" t="str">
        <f>IFERROR(__xludf.DUMMYFUNCTION("""COMPUTED_VALUE"""),"KLH")</f>
        <v>KLH</v>
      </c>
    </row>
    <row r="1510">
      <c r="A1510" s="5" t="str">
        <f>IFERROR(__xludf.DUMMYFUNCTION("""COMPUTED_VALUE"""),"XA2-XMA-004")</f>
        <v>XA2-XMA-004</v>
      </c>
      <c r="B1510" s="3" t="str">
        <f>IFERROR(__xludf.DUMMYFUNCTION("""COMPUTED_VALUE"""),"Xe máy thu hoạch")</f>
        <v>Xe máy thu hoạch</v>
      </c>
      <c r="C1510" s="5" t="str">
        <f>IFERROR(__xludf.DUMMYFUNCTION("""COMPUTED_VALUE"""),"XN Chuối AD2")</f>
        <v>XN Chuối AD2</v>
      </c>
      <c r="D1510" s="5" t="str">
        <f>IFERROR(__xludf.DUMMYFUNCTION("""COMPUTED_VALUE"""),"HONDA")</f>
        <v>HONDA</v>
      </c>
      <c r="E1510" s="5" t="str">
        <f>IFERROR(__xludf.DUMMYFUNCTION("""COMPUTED_VALUE"""),"VIỆT NAM")</f>
        <v>VIỆT NAM</v>
      </c>
      <c r="F1510" s="5"/>
      <c r="G1510" s="5" t="str">
        <f>IFERROR(__xludf.DUMMYFUNCTION("""COMPUTED_VALUE"""),"WAVE A")</f>
        <v>WAVE A</v>
      </c>
      <c r="H1510" s="5" t="str">
        <f>IFERROR(__xludf.DUMMYFUNCTION("""COMPUTED_VALUE"""),"110cc")</f>
        <v>110cc</v>
      </c>
      <c r="I1510" s="5" t="str">
        <f>IFERROR(__xludf.DUMMYFUNCTION("""COMPUTED_VALUE"""),"RLHJC43119Y635265")</f>
        <v>RLHJC43119Y635265</v>
      </c>
      <c r="J1510" s="5" t="str">
        <f>IFERROR(__xludf.DUMMYFUNCTION("""COMPUTED_VALUE"""),"JC43E-0612013")</f>
        <v>JC43E-0612013</v>
      </c>
      <c r="K1510" s="5">
        <f>IFERROR(__xludf.DUMMYFUNCTION("""COMPUTED_VALUE"""),0.5)</f>
        <v>0.5</v>
      </c>
      <c r="L1510" s="5" t="str">
        <f>IFERROR(__xludf.DUMMYFUNCTION("""COMPUTED_VALUE"""),"KLH")</f>
        <v>KLH</v>
      </c>
    </row>
    <row r="1511">
      <c r="A1511" s="5" t="str">
        <f>IFERROR(__xludf.DUMMYFUNCTION("""COMPUTED_VALUE"""),"XA2-XMA-012")</f>
        <v>XA2-XMA-012</v>
      </c>
      <c r="B1511" s="3" t="str">
        <f>IFERROR(__xludf.DUMMYFUNCTION("""COMPUTED_VALUE"""),"Xe máy thu hoạch")</f>
        <v>Xe máy thu hoạch</v>
      </c>
      <c r="C1511" s="5" t="str">
        <f>IFERROR(__xludf.DUMMYFUNCTION("""COMPUTED_VALUE"""),"XN Chuối AD2")</f>
        <v>XN Chuối AD2</v>
      </c>
      <c r="D1511" s="5" t="str">
        <f>IFERROR(__xludf.DUMMYFUNCTION("""COMPUTED_VALUE"""),"HONDA")</f>
        <v>HONDA</v>
      </c>
      <c r="E1511" s="5" t="str">
        <f>IFERROR(__xludf.DUMMYFUNCTION("""COMPUTED_VALUE"""),"VIỆT NAM")</f>
        <v>VIỆT NAM</v>
      </c>
      <c r="F1511" s="5"/>
      <c r="G1511" s="5" t="str">
        <f>IFERROR(__xludf.DUMMYFUNCTION("""COMPUTED_VALUE"""),"WAVE A")</f>
        <v>WAVE A</v>
      </c>
      <c r="H1511" s="5" t="str">
        <f>IFERROR(__xludf.DUMMYFUNCTION("""COMPUTED_VALUE"""),"110cc")</f>
        <v>110cc</v>
      </c>
      <c r="I1511" s="5" t="str">
        <f>IFERROR(__xludf.DUMMYFUNCTION("""COMPUTED_VALUE"""),"RLHJA3907HY030321")</f>
        <v>RLHJA3907HY030321</v>
      </c>
      <c r="J1511" s="5" t="str">
        <f>IFERROR(__xludf.DUMMYFUNCTION("""COMPUTED_VALUE"""),"JA39E-0030568")</f>
        <v>JA39E-0030568</v>
      </c>
      <c r="K1511" s="5">
        <f>IFERROR(__xludf.DUMMYFUNCTION("""COMPUTED_VALUE"""),0.5)</f>
        <v>0.5</v>
      </c>
      <c r="L1511" s="5" t="str">
        <f>IFERROR(__xludf.DUMMYFUNCTION("""COMPUTED_VALUE"""),"KLH")</f>
        <v>KLH</v>
      </c>
    </row>
    <row r="1512">
      <c r="A1512" s="5" t="str">
        <f>IFERROR(__xludf.DUMMYFUNCTION("""COMPUTED_VALUE"""),"XA2-XMA-014")</f>
        <v>XA2-XMA-014</v>
      </c>
      <c r="B1512" s="3" t="str">
        <f>IFERROR(__xludf.DUMMYFUNCTION("""COMPUTED_VALUE"""),"Xe máy thu hoạch")</f>
        <v>Xe máy thu hoạch</v>
      </c>
      <c r="C1512" s="5" t="str">
        <f>IFERROR(__xludf.DUMMYFUNCTION("""COMPUTED_VALUE"""),"XN Chuối AD2")</f>
        <v>XN Chuối AD2</v>
      </c>
      <c r="D1512" s="5" t="str">
        <f>IFERROR(__xludf.DUMMYFUNCTION("""COMPUTED_VALUE"""),"HONDA")</f>
        <v>HONDA</v>
      </c>
      <c r="E1512" s="5" t="str">
        <f>IFERROR(__xludf.DUMMYFUNCTION("""COMPUTED_VALUE"""),"VIỆT NAM")</f>
        <v>VIỆT NAM</v>
      </c>
      <c r="F1512" s="5"/>
      <c r="G1512" s="5" t="str">
        <f>IFERROR(__xludf.DUMMYFUNCTION("""COMPUTED_VALUE"""),"WAVE A")</f>
        <v>WAVE A</v>
      </c>
      <c r="H1512" s="5" t="str">
        <f>IFERROR(__xludf.DUMMYFUNCTION("""COMPUTED_VALUE"""),"110cc")</f>
        <v>110cc</v>
      </c>
      <c r="I1512" s="5" t="str">
        <f>IFERROR(__xludf.DUMMYFUNCTION("""COMPUTED_VALUE"""),"RLHJA3904HY069180")</f>
        <v>RLHJA3904HY069180</v>
      </c>
      <c r="J1512" s="5" t="str">
        <f>IFERROR(__xludf.DUMMYFUNCTION("""COMPUTED_VALUE"""),"JA39E-0069213")</f>
        <v>JA39E-0069213</v>
      </c>
      <c r="K1512" s="5">
        <f>IFERROR(__xludf.DUMMYFUNCTION("""COMPUTED_VALUE"""),0.5)</f>
        <v>0.5</v>
      </c>
      <c r="L1512" s="5" t="str">
        <f>IFERROR(__xludf.DUMMYFUNCTION("""COMPUTED_VALUE"""),"KLH")</f>
        <v>KLH</v>
      </c>
    </row>
    <row r="1513">
      <c r="A1513" s="5" t="str">
        <f>IFERROR(__xludf.DUMMYFUNCTION("""COMPUTED_VALUE"""),"XA2-XMA-016")</f>
        <v>XA2-XMA-016</v>
      </c>
      <c r="B1513" s="3" t="str">
        <f>IFERROR(__xludf.DUMMYFUNCTION("""COMPUTED_VALUE"""),"Xe máy thu hoạch")</f>
        <v>Xe máy thu hoạch</v>
      </c>
      <c r="C1513" s="5" t="str">
        <f>IFERROR(__xludf.DUMMYFUNCTION("""COMPUTED_VALUE"""),"XN Chuối AD2")</f>
        <v>XN Chuối AD2</v>
      </c>
      <c r="D1513" s="5" t="str">
        <f>IFERROR(__xludf.DUMMYFUNCTION("""COMPUTED_VALUE"""),"HONDA")</f>
        <v>HONDA</v>
      </c>
      <c r="E1513" s="5" t="str">
        <f>IFERROR(__xludf.DUMMYFUNCTION("""COMPUTED_VALUE"""),"VIỆT NAM")</f>
        <v>VIỆT NAM</v>
      </c>
      <c r="F1513" s="5"/>
      <c r="G1513" s="5" t="str">
        <f>IFERROR(__xludf.DUMMYFUNCTION("""COMPUTED_VALUE"""),"WAVE A")</f>
        <v>WAVE A</v>
      </c>
      <c r="H1513" s="5" t="str">
        <f>IFERROR(__xludf.DUMMYFUNCTION("""COMPUTED_VALUE"""),"110cc")</f>
        <v>110cc</v>
      </c>
      <c r="I1513" s="5" t="str">
        <f>IFERROR(__xludf.DUMMYFUNCTION("""COMPUTED_VALUE"""),"RLHJA3906HY-751817")</f>
        <v>RLHJA3906HY-751817</v>
      </c>
      <c r="J1513" s="5" t="str">
        <f>IFERROR(__xludf.DUMMYFUNCTION("""COMPUTED_VALUE"""),"JA39E-0731967")</f>
        <v>JA39E-0731967</v>
      </c>
      <c r="K1513" s="5">
        <f>IFERROR(__xludf.DUMMYFUNCTION("""COMPUTED_VALUE"""),0.5)</f>
        <v>0.5</v>
      </c>
      <c r="L1513" s="5" t="str">
        <f>IFERROR(__xludf.DUMMYFUNCTION("""COMPUTED_VALUE"""),"KLH")</f>
        <v>KLH</v>
      </c>
    </row>
    <row r="1514">
      <c r="A1514" s="5" t="str">
        <f>IFERROR(__xludf.DUMMYFUNCTION("""COMPUTED_VALUE"""),"XA2-XMA-019")</f>
        <v>XA2-XMA-019</v>
      </c>
      <c r="B1514" s="3" t="str">
        <f>IFERROR(__xludf.DUMMYFUNCTION("""COMPUTED_VALUE"""),"Xe máy thu hoạch")</f>
        <v>Xe máy thu hoạch</v>
      </c>
      <c r="C1514" s="5" t="str">
        <f>IFERROR(__xludf.DUMMYFUNCTION("""COMPUTED_VALUE"""),"XN Chuối AD2")</f>
        <v>XN Chuối AD2</v>
      </c>
      <c r="D1514" s="5" t="str">
        <f>IFERROR(__xludf.DUMMYFUNCTION("""COMPUTED_VALUE"""),"HONDA")</f>
        <v>HONDA</v>
      </c>
      <c r="E1514" s="5" t="str">
        <f>IFERROR(__xludf.DUMMYFUNCTION("""COMPUTED_VALUE"""),"VIỆT NAM")</f>
        <v>VIỆT NAM</v>
      </c>
      <c r="F1514" s="5"/>
      <c r="G1514" s="5" t="str">
        <f>IFERROR(__xludf.DUMMYFUNCTION("""COMPUTED_VALUE"""),"WAVE A")</f>
        <v>WAVE A</v>
      </c>
      <c r="H1514" s="5" t="str">
        <f>IFERROR(__xludf.DUMMYFUNCTION("""COMPUTED_VALUE"""),"110cc")</f>
        <v>110cc</v>
      </c>
      <c r="I1514" s="5" t="str">
        <f>IFERROR(__xludf.DUMMYFUNCTION("""COMPUTED_VALUE"""),"RLHJA3900HY-490331")</f>
        <v>RLHJA3900HY-490331</v>
      </c>
      <c r="J1514" s="5" t="str">
        <f>IFERROR(__xludf.DUMMYFUNCTION("""COMPUTED_VALUE"""),"JA39E-0465461")</f>
        <v>JA39E-0465461</v>
      </c>
      <c r="K1514" s="5">
        <f>IFERROR(__xludf.DUMMYFUNCTION("""COMPUTED_VALUE"""),0.5)</f>
        <v>0.5</v>
      </c>
      <c r="L1514" s="5" t="str">
        <f>IFERROR(__xludf.DUMMYFUNCTION("""COMPUTED_VALUE"""),"KLH")</f>
        <v>KLH</v>
      </c>
    </row>
    <row r="1515">
      <c r="A1515" s="5" t="str">
        <f>IFERROR(__xludf.DUMMYFUNCTION("""COMPUTED_VALUE"""),"CAT AD")</f>
        <v>CAT AD</v>
      </c>
      <c r="B1515" s="3"/>
      <c r="C1515" s="5"/>
      <c r="D1515" s="5"/>
      <c r="E1515" s="5"/>
      <c r="F1515" s="5"/>
      <c r="G1515" s="5"/>
      <c r="H1515" s="5"/>
      <c r="I1515" s="5"/>
      <c r="J1515" s="5"/>
      <c r="K1515" s="5"/>
      <c r="L1515" s="5" t="str">
        <f>IFERROR(__xludf.DUMMYFUNCTION("""COMPUTED_VALUE"""),"KLH")</f>
        <v>KLH</v>
      </c>
    </row>
    <row r="1516">
      <c r="A1516" s="5" t="str">
        <f>IFERROR(__xludf.DUMMYFUNCTION("""COMPUTED_VALUE"""),"XN BÒ")</f>
        <v>XN BÒ</v>
      </c>
      <c r="B1516" s="3"/>
      <c r="C1516" s="5"/>
      <c r="D1516" s="5"/>
      <c r="E1516" s="5"/>
      <c r="F1516" s="5"/>
      <c r="G1516" s="5"/>
      <c r="H1516" s="5"/>
      <c r="I1516" s="5"/>
      <c r="J1516" s="5"/>
      <c r="K1516" s="5"/>
      <c r="L1516" s="5" t="str">
        <f>IFERROR(__xludf.DUMMYFUNCTION("""COMPUTED_VALUE"""),"KLH")</f>
        <v>KLH</v>
      </c>
    </row>
    <row r="1517">
      <c r="A1517" s="5" t="str">
        <f>IFERROR(__xludf.DUMMYFUNCTION("""COMPUTED_VALUE"""),"XB1-XMA-001")</f>
        <v>XB1-XMA-001</v>
      </c>
      <c r="B1517" s="3" t="str">
        <f>IFERROR(__xludf.DUMMYFUNCTION("""COMPUTED_VALUE"""),"Xe máy thu hoạch")</f>
        <v>Xe máy thu hoạch</v>
      </c>
      <c r="C1517" s="5" t="str">
        <f>IFERROR(__xludf.DUMMYFUNCTION("""COMPUTED_VALUE"""),"XN Bò AD")</f>
        <v>XN Bò AD</v>
      </c>
      <c r="D1517" s="5" t="str">
        <f>IFERROR(__xludf.DUMMYFUNCTION("""COMPUTED_VALUE"""),"HONDA")</f>
        <v>HONDA</v>
      </c>
      <c r="E1517" s="5" t="str">
        <f>IFERROR(__xludf.DUMMYFUNCTION("""COMPUTED_VALUE"""),"VIỆT NAM")</f>
        <v>VIỆT NAM</v>
      </c>
      <c r="F1517" s="5"/>
      <c r="G1517" s="5" t="str">
        <f>IFERROR(__xludf.DUMMYFUNCTION("""COMPUTED_VALUE"""),"WAVE A")</f>
        <v>WAVE A</v>
      </c>
      <c r="H1517" s="5" t="str">
        <f>IFERROR(__xludf.DUMMYFUNCTION("""COMPUTED_VALUE"""),"110cc")</f>
        <v>110cc</v>
      </c>
      <c r="I1517" s="5" t="str">
        <f>IFERROR(__xludf.DUMMYFUNCTION("""COMPUTED_VALUE"""),"RLHJA3905HY-353370")</f>
        <v>RLHJA3905HY-353370</v>
      </c>
      <c r="J1517" s="5" t="str">
        <f>IFERROR(__xludf.DUMMYFUNCTION("""COMPUTED_VALUE"""),"JA39E-0353405")</f>
        <v>JA39E-0353405</v>
      </c>
      <c r="K1517" s="5">
        <f>IFERROR(__xludf.DUMMYFUNCTION("""COMPUTED_VALUE"""),0.5)</f>
        <v>0.5</v>
      </c>
      <c r="L1517" s="5" t="str">
        <f>IFERROR(__xludf.DUMMYFUNCTION("""COMPUTED_VALUE"""),"KLH")</f>
        <v>KLH</v>
      </c>
    </row>
    <row r="1518">
      <c r="A1518" s="5" t="str">
        <f>IFERROR(__xludf.DUMMYFUNCTION("""COMPUTED_VALUE"""),"NM CƠ KHÍ")</f>
        <v>NM CƠ KHÍ</v>
      </c>
      <c r="B1518" s="3"/>
      <c r="C1518" s="5"/>
      <c r="D1518" s="5"/>
      <c r="E1518" s="5"/>
      <c r="F1518" s="5"/>
      <c r="G1518" s="5"/>
      <c r="H1518" s="5"/>
      <c r="I1518" s="5"/>
      <c r="J1518" s="5"/>
      <c r="K1518" s="5"/>
      <c r="L1518" s="5" t="str">
        <f>IFERROR(__xludf.DUMMYFUNCTION("""COMPUTED_VALUE"""),"KLH")</f>
        <v>KLH</v>
      </c>
    </row>
    <row r="1519">
      <c r="A1519" s="5" t="str">
        <f>IFERROR(__xludf.DUMMYFUNCTION("""COMPUTED_VALUE"""),"XA2-XMA-011")</f>
        <v>XA2-XMA-011</v>
      </c>
      <c r="B1519" s="3" t="str">
        <f>IFERROR(__xludf.DUMMYFUNCTION("""COMPUTED_VALUE"""),"Xe máy thu hoạch")</f>
        <v>Xe máy thu hoạch</v>
      </c>
      <c r="C1519" s="5" t="str">
        <f>IFERROR(__xludf.DUMMYFUNCTION("""COMPUTED_VALUE"""),"XN Chuối AD2")</f>
        <v>XN Chuối AD2</v>
      </c>
      <c r="D1519" s="5" t="str">
        <f>IFERROR(__xludf.DUMMYFUNCTION("""COMPUTED_VALUE"""),"HONDA")</f>
        <v>HONDA</v>
      </c>
      <c r="E1519" s="5" t="str">
        <f>IFERROR(__xludf.DUMMYFUNCTION("""COMPUTED_VALUE"""),"VIỆT NAM")</f>
        <v>VIỆT NAM</v>
      </c>
      <c r="F1519" s="5"/>
      <c r="G1519" s="5" t="str">
        <f>IFERROR(__xludf.DUMMYFUNCTION("""COMPUTED_VALUE"""),"WAVE A")</f>
        <v>WAVE A</v>
      </c>
      <c r="H1519" s="5" t="str">
        <f>IFERROR(__xludf.DUMMYFUNCTION("""COMPUTED_VALUE"""),"HONDA")</f>
        <v>HONDA</v>
      </c>
      <c r="I1519" s="5" t="str">
        <f>IFERROR(__xludf.DUMMYFUNCTION("""COMPUTED_VALUE"""),"RLHJA3915KY170258")</f>
        <v>RLHJA3915KY170258</v>
      </c>
      <c r="J1519" s="5" t="str">
        <f>IFERROR(__xludf.DUMMYFUNCTION("""COMPUTED_VALUE"""),"JA39E-1027928")</f>
        <v>JA39E-1027928</v>
      </c>
      <c r="K1519" s="5">
        <f>IFERROR(__xludf.DUMMYFUNCTION("""COMPUTED_VALUE"""),0.5)</f>
        <v>0.5</v>
      </c>
      <c r="L1519" s="5" t="str">
        <f>IFERROR(__xludf.DUMMYFUNCTION("""COMPUTED_VALUE"""),"KLH")</f>
        <v>KLH</v>
      </c>
    </row>
    <row r="1520">
      <c r="A1520" s="5" t="str">
        <f>IFERROR(__xludf.DUMMYFUNCTION("""COMPUTED_VALUE"""),"XA2-XMA-013")</f>
        <v>XA2-XMA-013</v>
      </c>
      <c r="B1520" s="3" t="str">
        <f>IFERROR(__xludf.DUMMYFUNCTION("""COMPUTED_VALUE"""),"Xe máy thu hoạch")</f>
        <v>Xe máy thu hoạch</v>
      </c>
      <c r="C1520" s="5" t="str">
        <f>IFERROR(__xludf.DUMMYFUNCTION("""COMPUTED_VALUE"""),"XN Chuối AD2")</f>
        <v>XN Chuối AD2</v>
      </c>
      <c r="D1520" s="5" t="str">
        <f>IFERROR(__xludf.DUMMYFUNCTION("""COMPUTED_VALUE"""),"HONDA")</f>
        <v>HONDA</v>
      </c>
      <c r="E1520" s="5" t="str">
        <f>IFERROR(__xludf.DUMMYFUNCTION("""COMPUTED_VALUE"""),"VIỆT NAM")</f>
        <v>VIỆT NAM</v>
      </c>
      <c r="F1520" s="5"/>
      <c r="G1520" s="5" t="str">
        <f>IFERROR(__xludf.DUMMYFUNCTION("""COMPUTED_VALUE"""),"WAVE A")</f>
        <v>WAVE A</v>
      </c>
      <c r="H1520" s="5" t="str">
        <f>IFERROR(__xludf.DUMMYFUNCTION("""COMPUTED_VALUE"""),"110cc")</f>
        <v>110cc</v>
      </c>
      <c r="I1520" s="5" t="str">
        <f>IFERROR(__xludf.DUMMYFUNCTION("""COMPUTED_VALUE"""),"RLHJA3929MY087704")</f>
        <v>RLHJA3929MY087704</v>
      </c>
      <c r="J1520" s="5" t="str">
        <f>IFERROR(__xludf.DUMMYFUNCTION("""COMPUTED_VALUE"""),"JA39E-2205040")</f>
        <v>JA39E-2205040</v>
      </c>
      <c r="K1520" s="5">
        <f>IFERROR(__xludf.DUMMYFUNCTION("""COMPUTED_VALUE"""),0.5)</f>
        <v>0.5</v>
      </c>
      <c r="L1520" s="5" t="str">
        <f>IFERROR(__xludf.DUMMYFUNCTION("""COMPUTED_VALUE"""),"KLH")</f>
        <v>KLH</v>
      </c>
    </row>
    <row r="1521">
      <c r="A1521" s="5" t="str">
        <f>IFERROR(__xludf.DUMMYFUNCTION("""COMPUTED_VALUE"""),"XE MÁY LOẠI BIÊN")</f>
        <v>XE MÁY LOẠI BIÊN</v>
      </c>
      <c r="B1521" s="3"/>
      <c r="C1521" s="5"/>
      <c r="D1521" s="5"/>
      <c r="E1521" s="5"/>
      <c r="F1521" s="5"/>
      <c r="G1521" s="5"/>
      <c r="H1521" s="5"/>
      <c r="I1521" s="5"/>
      <c r="J1521" s="5"/>
      <c r="K1521" s="5"/>
      <c r="L1521" s="5" t="str">
        <f>IFERROR(__xludf.DUMMYFUNCTION("""COMPUTED_VALUE"""),"KLH")</f>
        <v>KLH</v>
      </c>
    </row>
    <row r="1522">
      <c r="A1522" s="5" t="str">
        <f>IFERROR(__xludf.DUMMYFUNCTION("""COMPUTED_VALUE"""),"XD1-XMA-001")</f>
        <v>XD1-XMA-001</v>
      </c>
      <c r="B1522" s="3" t="str">
        <f>IFERROR(__xludf.DUMMYFUNCTION("""COMPUTED_VALUE"""),"Xe máy thu hoạch")</f>
        <v>Xe máy thu hoạch</v>
      </c>
      <c r="C1522" s="5" t="str">
        <f>IFERROR(__xludf.DUMMYFUNCTION("""COMPUTED_VALUE"""),"Loại biên")</f>
        <v>Loại biên</v>
      </c>
      <c r="D1522" s="5" t="str">
        <f>IFERROR(__xludf.DUMMYFUNCTION("""COMPUTED_VALUE"""),"HONDA")</f>
        <v>HONDA</v>
      </c>
      <c r="E1522" s="5" t="str">
        <f>IFERROR(__xludf.DUMMYFUNCTION("""COMPUTED_VALUE"""),"VIỆT NAM")</f>
        <v>VIỆT NAM</v>
      </c>
      <c r="F1522" s="5"/>
      <c r="G1522" s="5" t="str">
        <f>IFERROR(__xludf.DUMMYFUNCTION("""COMPUTED_VALUE"""),"WAVE A")</f>
        <v>WAVE A</v>
      </c>
      <c r="H1522" s="5" t="str">
        <f>IFERROR(__xludf.DUMMYFUNCTION("""COMPUTED_VALUE"""),"110cc")</f>
        <v>110cc</v>
      </c>
      <c r="I1522" s="5" t="str">
        <f>IFERROR(__xludf.DUMMYFUNCTION("""COMPUTED_VALUE"""),"RLHJA3900HY033079")</f>
        <v>RLHJA3900HY033079</v>
      </c>
      <c r="J1522" s="5" t="str">
        <f>IFERROR(__xludf.DUMMYFUNCTION("""COMPUTED_VALUE"""),"JA39E-0033093")</f>
        <v>JA39E-0033093</v>
      </c>
      <c r="K1522" s="5">
        <f>IFERROR(__xludf.DUMMYFUNCTION("""COMPUTED_VALUE"""),0.5)</f>
        <v>0.5</v>
      </c>
      <c r="L1522" s="5" t="str">
        <f>IFERROR(__xludf.DUMMYFUNCTION("""COMPUTED_VALUE"""),"Loại biên")</f>
        <v>Loại biên</v>
      </c>
    </row>
    <row r="1523">
      <c r="A1523" s="5" t="str">
        <f>IFERROR(__xludf.DUMMYFUNCTION("""COMPUTED_VALUE"""),"XD1-XMA-002")</f>
        <v>XD1-XMA-002</v>
      </c>
      <c r="B1523" s="3" t="str">
        <f>IFERROR(__xludf.DUMMYFUNCTION("""COMPUTED_VALUE"""),"Xe máy thu hoạch")</f>
        <v>Xe máy thu hoạch</v>
      </c>
      <c r="C1523" s="5" t="str">
        <f>IFERROR(__xludf.DUMMYFUNCTION("""COMPUTED_VALUE"""),"Loại biên")</f>
        <v>Loại biên</v>
      </c>
      <c r="D1523" s="5" t="str">
        <f>IFERROR(__xludf.DUMMYFUNCTION("""COMPUTED_VALUE"""),"HONDA")</f>
        <v>HONDA</v>
      </c>
      <c r="E1523" s="5" t="str">
        <f>IFERROR(__xludf.DUMMYFUNCTION("""COMPUTED_VALUE"""),"VIỆT NAM")</f>
        <v>VIỆT NAM</v>
      </c>
      <c r="F1523" s="5"/>
      <c r="G1523" s="5" t="str">
        <f>IFERROR(__xludf.DUMMYFUNCTION("""COMPUTED_VALUE"""),"WAVE A")</f>
        <v>WAVE A</v>
      </c>
      <c r="H1523" s="5" t="str">
        <f>IFERROR(__xludf.DUMMYFUNCTION("""COMPUTED_VALUE"""),"110cc")</f>
        <v>110cc</v>
      </c>
      <c r="I1523" s="5" t="str">
        <f>IFERROR(__xludf.DUMMYFUNCTION("""COMPUTED_VALUE"""),"REHHC121XDY137597")</f>
        <v>REHHC121XDY137597</v>
      </c>
      <c r="J1523" s="5" t="str">
        <f>IFERROR(__xludf.DUMMYFUNCTION("""COMPUTED_VALUE"""),"HC12E-6187662")</f>
        <v>HC12E-6187662</v>
      </c>
      <c r="K1523" s="5">
        <f>IFERROR(__xludf.DUMMYFUNCTION("""COMPUTED_VALUE"""),0.5)</f>
        <v>0.5</v>
      </c>
      <c r="L1523" s="5" t="str">
        <f>IFERROR(__xludf.DUMMYFUNCTION("""COMPUTED_VALUE"""),"Loại biên")</f>
        <v>Loại biên</v>
      </c>
    </row>
    <row r="1524">
      <c r="A1524" s="5" t="str">
        <f>IFERROR(__xludf.DUMMYFUNCTION("""COMPUTED_VALUE"""),"XD1-XMA-009")</f>
        <v>XD1-XMA-009</v>
      </c>
      <c r="B1524" s="3" t="str">
        <f>IFERROR(__xludf.DUMMYFUNCTION("""COMPUTED_VALUE"""),"Xe máy thu hoạch")</f>
        <v>Xe máy thu hoạch</v>
      </c>
      <c r="C1524" s="5" t="str">
        <f>IFERROR(__xludf.DUMMYFUNCTION("""COMPUTED_VALUE"""),"Loại biên")</f>
        <v>Loại biên</v>
      </c>
      <c r="D1524" s="5" t="str">
        <f>IFERROR(__xludf.DUMMYFUNCTION("""COMPUTED_VALUE"""),"HONDA")</f>
        <v>HONDA</v>
      </c>
      <c r="E1524" s="5" t="str">
        <f>IFERROR(__xludf.DUMMYFUNCTION("""COMPUTED_VALUE"""),"VIỆT NAM")</f>
        <v>VIỆT NAM</v>
      </c>
      <c r="F1524" s="5"/>
      <c r="G1524" s="5" t="str">
        <f>IFERROR(__xludf.DUMMYFUNCTION("""COMPUTED_VALUE"""),"WAVE A")</f>
        <v>WAVE A</v>
      </c>
      <c r="H1524" s="5" t="str">
        <f>IFERROR(__xludf.DUMMYFUNCTION("""COMPUTED_VALUE"""),"110cc")</f>
        <v>110cc</v>
      </c>
      <c r="I1524" s="5" t="str">
        <f>IFERROR(__xludf.DUMMYFUNCTION("""COMPUTED_VALUE"""),"RLHJA391GLY082756")</f>
        <v>RLHJA391GLY082756</v>
      </c>
      <c r="J1524" s="5" t="str">
        <f>IFERROR(__xludf.DUMMYFUNCTION("""COMPUTED_VALUE"""),"JAG9E-1419680")</f>
        <v>JAG9E-1419680</v>
      </c>
      <c r="K1524" s="5">
        <f>IFERROR(__xludf.DUMMYFUNCTION("""COMPUTED_VALUE"""),0.5)</f>
        <v>0.5</v>
      </c>
      <c r="L1524" s="5" t="str">
        <f>IFERROR(__xludf.DUMMYFUNCTION("""COMPUTED_VALUE"""),"Loại biên")</f>
        <v>Loại biên</v>
      </c>
    </row>
    <row r="1525">
      <c r="A1525" s="5" t="str">
        <f>IFERROR(__xludf.DUMMYFUNCTION("""COMPUTED_VALUE"""),"XD1-XMA-010")</f>
        <v>XD1-XMA-010</v>
      </c>
      <c r="B1525" s="3" t="str">
        <f>IFERROR(__xludf.DUMMYFUNCTION("""COMPUTED_VALUE"""),"Xe máy thu hoạch")</f>
        <v>Xe máy thu hoạch</v>
      </c>
      <c r="C1525" s="5" t="str">
        <f>IFERROR(__xludf.DUMMYFUNCTION("""COMPUTED_VALUE"""),"Loại biên")</f>
        <v>Loại biên</v>
      </c>
      <c r="D1525" s="5" t="str">
        <f>IFERROR(__xludf.DUMMYFUNCTION("""COMPUTED_VALUE"""),"HONDA")</f>
        <v>HONDA</v>
      </c>
      <c r="E1525" s="5" t="str">
        <f>IFERROR(__xludf.DUMMYFUNCTION("""COMPUTED_VALUE"""),"VIỆT NAM")</f>
        <v>VIỆT NAM</v>
      </c>
      <c r="F1525" s="5"/>
      <c r="G1525" s="5" t="str">
        <f>IFERROR(__xludf.DUMMYFUNCTION("""COMPUTED_VALUE"""),"WAVE A")</f>
        <v>WAVE A</v>
      </c>
      <c r="H1525" s="5" t="str">
        <f>IFERROR(__xludf.DUMMYFUNCTION("""COMPUTED_VALUE"""),"110cc")</f>
        <v>110cc</v>
      </c>
      <c r="I1525" s="5" t="str">
        <f>IFERROR(__xludf.DUMMYFUNCTION("""COMPUTED_VALUE"""),"RLHJA3901HY299937")</f>
        <v>RLHJA3901HY299937</v>
      </c>
      <c r="J1525" s="5" t="str">
        <f>IFERROR(__xludf.DUMMYFUNCTION("""COMPUTED_VALUE"""),"JA39E-0299960")</f>
        <v>JA39E-0299960</v>
      </c>
      <c r="K1525" s="5">
        <f>IFERROR(__xludf.DUMMYFUNCTION("""COMPUTED_VALUE"""),0.5)</f>
        <v>0.5</v>
      </c>
      <c r="L1525" s="5" t="str">
        <f>IFERROR(__xludf.DUMMYFUNCTION("""COMPUTED_VALUE"""),"Loại biên")</f>
        <v>Loại biên</v>
      </c>
    </row>
    <row r="1526">
      <c r="A1526" s="5" t="str">
        <f>IFERROR(__xludf.DUMMYFUNCTION("""COMPUTED_VALUE"""),"XD1-XMA-012")</f>
        <v>XD1-XMA-012</v>
      </c>
      <c r="B1526" s="3" t="str">
        <f>IFERROR(__xludf.DUMMYFUNCTION("""COMPUTED_VALUE"""),"Xe máy thu hoạch")</f>
        <v>Xe máy thu hoạch</v>
      </c>
      <c r="C1526" s="5" t="str">
        <f>IFERROR(__xludf.DUMMYFUNCTION("""COMPUTED_VALUE"""),"Loại biên")</f>
        <v>Loại biên</v>
      </c>
      <c r="D1526" s="5" t="str">
        <f>IFERROR(__xludf.DUMMYFUNCTION("""COMPUTED_VALUE"""),"HONDA")</f>
        <v>HONDA</v>
      </c>
      <c r="E1526" s="5" t="str">
        <f>IFERROR(__xludf.DUMMYFUNCTION("""COMPUTED_VALUE"""),"VIỆT NAM")</f>
        <v>VIỆT NAM</v>
      </c>
      <c r="F1526" s="5"/>
      <c r="G1526" s="5" t="str">
        <f>IFERROR(__xludf.DUMMYFUNCTION("""COMPUTED_VALUE"""),"WAVE A")</f>
        <v>WAVE A</v>
      </c>
      <c r="H1526" s="5" t="str">
        <f>IFERROR(__xludf.DUMMYFUNCTION("""COMPUTED_VALUE"""),"110cc")</f>
        <v>110cc</v>
      </c>
      <c r="I1526" s="5" t="str">
        <f>IFERROR(__xludf.DUMMYFUNCTION("""COMPUTED_VALUE"""),"RLHJA3918LY123162")</f>
        <v>RLHJA3918LY123162</v>
      </c>
      <c r="J1526" s="5" t="str">
        <f>IFERROR(__xludf.DUMMYFUNCTION("""COMPUTED_VALUE"""),"JA39E-1461012")</f>
        <v>JA39E-1461012</v>
      </c>
      <c r="K1526" s="5">
        <f>IFERROR(__xludf.DUMMYFUNCTION("""COMPUTED_VALUE"""),0.5)</f>
        <v>0.5</v>
      </c>
      <c r="L1526" s="5" t="str">
        <f>IFERROR(__xludf.DUMMYFUNCTION("""COMPUTED_VALUE"""),"Loại biên")</f>
        <v>Loại biên</v>
      </c>
    </row>
    <row r="1527">
      <c r="A1527" s="5" t="str">
        <f>IFERROR(__xludf.DUMMYFUNCTION("""COMPUTED_VALUE"""),"XD1-XMA-013")</f>
        <v>XD1-XMA-013</v>
      </c>
      <c r="B1527" s="3" t="str">
        <f>IFERROR(__xludf.DUMMYFUNCTION("""COMPUTED_VALUE"""),"Xe máy thu hoạch")</f>
        <v>Xe máy thu hoạch</v>
      </c>
      <c r="C1527" s="5" t="str">
        <f>IFERROR(__xludf.DUMMYFUNCTION("""COMPUTED_VALUE"""),"Loại biên")</f>
        <v>Loại biên</v>
      </c>
      <c r="D1527" s="5" t="str">
        <f>IFERROR(__xludf.DUMMYFUNCTION("""COMPUTED_VALUE"""),"HONDA")</f>
        <v>HONDA</v>
      </c>
      <c r="E1527" s="5" t="str">
        <f>IFERROR(__xludf.DUMMYFUNCTION("""COMPUTED_VALUE"""),"VIỆT NAM")</f>
        <v>VIỆT NAM</v>
      </c>
      <c r="F1527" s="5"/>
      <c r="G1527" s="5" t="str">
        <f>IFERROR(__xludf.DUMMYFUNCTION("""COMPUTED_VALUE"""),"WAVE A")</f>
        <v>WAVE A</v>
      </c>
      <c r="H1527" s="5" t="str">
        <f>IFERROR(__xludf.DUMMYFUNCTION("""COMPUTED_VALUE"""),"110cc")</f>
        <v>110cc</v>
      </c>
      <c r="I1527" s="5" t="str">
        <f>IFERROR(__xludf.DUMMYFUNCTION("""COMPUTED_VALUE"""),"RLHJA3906HY524672")</f>
        <v>RLHJA3906HY524672</v>
      </c>
      <c r="J1527" s="5" t="str">
        <f>IFERROR(__xludf.DUMMYFUNCTION("""COMPUTED_VALUE"""),"JA39E0509834")</f>
        <v>JA39E0509834</v>
      </c>
      <c r="K1527" s="5">
        <f>IFERROR(__xludf.DUMMYFUNCTION("""COMPUTED_VALUE"""),0.5)</f>
        <v>0.5</v>
      </c>
      <c r="L1527" s="5" t="str">
        <f>IFERROR(__xludf.DUMMYFUNCTION("""COMPUTED_VALUE"""),"Loại biên")</f>
        <v>Loại biên</v>
      </c>
    </row>
    <row r="1528">
      <c r="A1528" s="5" t="str">
        <f>IFERROR(__xludf.DUMMYFUNCTION("""COMPUTED_VALUE"""),"XD2-XMA-001")</f>
        <v>XD2-XMA-001</v>
      </c>
      <c r="B1528" s="3" t="str">
        <f>IFERROR(__xludf.DUMMYFUNCTION("""COMPUTED_VALUE"""),"Xe máy thu hoạch")</f>
        <v>Xe máy thu hoạch</v>
      </c>
      <c r="C1528" s="5" t="str">
        <f>IFERROR(__xludf.DUMMYFUNCTION("""COMPUTED_VALUE"""),"Loại biên")</f>
        <v>Loại biên</v>
      </c>
      <c r="D1528" s="5" t="str">
        <f>IFERROR(__xludf.DUMMYFUNCTION("""COMPUTED_VALUE"""),"HONDA")</f>
        <v>HONDA</v>
      </c>
      <c r="E1528" s="5" t="str">
        <f>IFERROR(__xludf.DUMMYFUNCTION("""COMPUTED_VALUE"""),"VIỆT NAM")</f>
        <v>VIỆT NAM</v>
      </c>
      <c r="F1528" s="5"/>
      <c r="G1528" s="5" t="str">
        <f>IFERROR(__xludf.DUMMYFUNCTION("""COMPUTED_VALUE"""),"WAVE A")</f>
        <v>WAVE A</v>
      </c>
      <c r="H1528" s="5" t="str">
        <f>IFERROR(__xludf.DUMMYFUNCTION("""COMPUTED_VALUE"""),"110cc")</f>
        <v>110cc</v>
      </c>
      <c r="I1528" s="5" t="str">
        <f>IFERROR(__xludf.DUMMYFUNCTION("""COMPUTED_VALUE"""),"RLHJA3915KY199579")</f>
        <v>RLHJA3915KY199579</v>
      </c>
      <c r="J1528" s="5" t="str">
        <f>IFERROR(__xludf.DUMMYFUNCTION("""COMPUTED_VALUE"""),"JA39E-1057287")</f>
        <v>JA39E-1057287</v>
      </c>
      <c r="K1528" s="5">
        <f>IFERROR(__xludf.DUMMYFUNCTION("""COMPUTED_VALUE"""),0.5)</f>
        <v>0.5</v>
      </c>
      <c r="L1528" s="5" t="str">
        <f>IFERROR(__xludf.DUMMYFUNCTION("""COMPUTED_VALUE"""),"Loại biên")</f>
        <v>Loại biên</v>
      </c>
    </row>
    <row r="1529">
      <c r="A1529" s="5" t="str">
        <f>IFERROR(__xludf.DUMMYFUNCTION("""COMPUTED_VALUE"""),"XD2-XMA-002")</f>
        <v>XD2-XMA-002</v>
      </c>
      <c r="B1529" s="3" t="str">
        <f>IFERROR(__xludf.DUMMYFUNCTION("""COMPUTED_VALUE"""),"Xe máy thu hoạch")</f>
        <v>Xe máy thu hoạch</v>
      </c>
      <c r="C1529" s="5" t="str">
        <f>IFERROR(__xludf.DUMMYFUNCTION("""COMPUTED_VALUE"""),"Loại biên")</f>
        <v>Loại biên</v>
      </c>
      <c r="D1529" s="5" t="str">
        <f>IFERROR(__xludf.DUMMYFUNCTION("""COMPUTED_VALUE"""),"HONDA")</f>
        <v>HONDA</v>
      </c>
      <c r="E1529" s="5" t="str">
        <f>IFERROR(__xludf.DUMMYFUNCTION("""COMPUTED_VALUE"""),"VIỆT NAM")</f>
        <v>VIỆT NAM</v>
      </c>
      <c r="F1529" s="5"/>
      <c r="G1529" s="5" t="str">
        <f>IFERROR(__xludf.DUMMYFUNCTION("""COMPUTED_VALUE"""),"WAVE A")</f>
        <v>WAVE A</v>
      </c>
      <c r="H1529" s="5" t="str">
        <f>IFERROR(__xludf.DUMMYFUNCTION("""COMPUTED_VALUE"""),"110cc")</f>
        <v>110cc</v>
      </c>
      <c r="I1529" s="5" t="str">
        <f>IFERROR(__xludf.DUMMYFUNCTION("""COMPUTED_VALUE"""),"RLHJA3526M726524")</f>
        <v>RLHJA3526M726524</v>
      </c>
      <c r="J1529" s="5" t="str">
        <f>IFERROR(__xludf.DUMMYFUNCTION("""COMPUTED_VALUE"""),"JA39E-8243855")</f>
        <v>JA39E-8243855</v>
      </c>
      <c r="K1529" s="5">
        <f>IFERROR(__xludf.DUMMYFUNCTION("""COMPUTED_VALUE"""),0.5)</f>
        <v>0.5</v>
      </c>
      <c r="L1529" s="5" t="str">
        <f>IFERROR(__xludf.DUMMYFUNCTION("""COMPUTED_VALUE"""),"Loại biên")</f>
        <v>Loại biên</v>
      </c>
    </row>
    <row r="1530">
      <c r="A1530" s="5" t="str">
        <f>IFERROR(__xludf.DUMMYFUNCTION("""COMPUTED_VALUE"""),"XD2-XMA-007")</f>
        <v>XD2-XMA-007</v>
      </c>
      <c r="B1530" s="3" t="str">
        <f>IFERROR(__xludf.DUMMYFUNCTION("""COMPUTED_VALUE"""),"Xe máy thu hoạch")</f>
        <v>Xe máy thu hoạch</v>
      </c>
      <c r="C1530" s="5" t="str">
        <f>IFERROR(__xludf.DUMMYFUNCTION("""COMPUTED_VALUE"""),"Loại biên")</f>
        <v>Loại biên</v>
      </c>
      <c r="D1530" s="5" t="str">
        <f>IFERROR(__xludf.DUMMYFUNCTION("""COMPUTED_VALUE"""),"HONDA")</f>
        <v>HONDA</v>
      </c>
      <c r="E1530" s="5" t="str">
        <f>IFERROR(__xludf.DUMMYFUNCTION("""COMPUTED_VALUE"""),"VIỆT NAM")</f>
        <v>VIỆT NAM</v>
      </c>
      <c r="F1530" s="5"/>
      <c r="G1530" s="5" t="str">
        <f>IFERROR(__xludf.DUMMYFUNCTION("""COMPUTED_VALUE"""),"WAVE A")</f>
        <v>WAVE A</v>
      </c>
      <c r="H1530" s="5" t="str">
        <f>IFERROR(__xludf.DUMMYFUNCTION("""COMPUTED_VALUE"""),"110cc")</f>
        <v>110cc</v>
      </c>
      <c r="I1530" s="5" t="str">
        <f>IFERROR(__xludf.DUMMYFUNCTION("""COMPUTED_VALUE"""),"RLHJA3907HY285508")</f>
        <v>RLHJA3907HY285508</v>
      </c>
      <c r="J1530" s="5" t="str">
        <f>IFERROR(__xludf.DUMMYFUNCTION("""COMPUTED_VALUE"""),"JA39E-'0285560")</f>
        <v>JA39E-'0285560</v>
      </c>
      <c r="K1530" s="5">
        <f>IFERROR(__xludf.DUMMYFUNCTION("""COMPUTED_VALUE"""),0.5)</f>
        <v>0.5</v>
      </c>
      <c r="L1530" s="5" t="str">
        <f>IFERROR(__xludf.DUMMYFUNCTION("""COMPUTED_VALUE"""),"Loại biên")</f>
        <v>Loại biên</v>
      </c>
    </row>
    <row r="1531">
      <c r="A1531" s="5" t="str">
        <f>IFERROR(__xludf.DUMMYFUNCTION("""COMPUTED_VALUE"""),"XD2-XMA-008")</f>
        <v>XD2-XMA-008</v>
      </c>
      <c r="B1531" s="3" t="str">
        <f>IFERROR(__xludf.DUMMYFUNCTION("""COMPUTED_VALUE"""),"Xe máy thu hoạch")</f>
        <v>Xe máy thu hoạch</v>
      </c>
      <c r="C1531" s="5" t="str">
        <f>IFERROR(__xludf.DUMMYFUNCTION("""COMPUTED_VALUE"""),"Loại biên")</f>
        <v>Loại biên</v>
      </c>
      <c r="D1531" s="5" t="str">
        <f>IFERROR(__xludf.DUMMYFUNCTION("""COMPUTED_VALUE"""),"HONDA")</f>
        <v>HONDA</v>
      </c>
      <c r="E1531" s="5" t="str">
        <f>IFERROR(__xludf.DUMMYFUNCTION("""COMPUTED_VALUE"""),"VIỆT NAM")</f>
        <v>VIỆT NAM</v>
      </c>
      <c r="F1531" s="5"/>
      <c r="G1531" s="5" t="str">
        <f>IFERROR(__xludf.DUMMYFUNCTION("""COMPUTED_VALUE"""),"WAVE A")</f>
        <v>WAVE A</v>
      </c>
      <c r="H1531" s="5" t="str">
        <f>IFERROR(__xludf.DUMMYFUNCTION("""COMPUTED_VALUE"""),"110cc")</f>
        <v>110cc</v>
      </c>
      <c r="I1531" s="5" t="str">
        <f>IFERROR(__xludf.DUMMYFUNCTION("""COMPUTED_VALUE"""),"RLHJA3901HY756228")</f>
        <v>RLHJA3901HY756228</v>
      </c>
      <c r="J1531" s="5" t="str">
        <f>IFERROR(__xludf.DUMMYFUNCTION("""COMPUTED_VALUE"""),"JA39E-'0736387")</f>
        <v>JA39E-'0736387</v>
      </c>
      <c r="K1531" s="5">
        <f>IFERROR(__xludf.DUMMYFUNCTION("""COMPUTED_VALUE"""),0.5)</f>
        <v>0.5</v>
      </c>
      <c r="L1531" s="5" t="str">
        <f>IFERROR(__xludf.DUMMYFUNCTION("""COMPUTED_VALUE"""),"Loại biên")</f>
        <v>Loại biên</v>
      </c>
    </row>
    <row r="1532">
      <c r="A1532" s="5" t="str">
        <f>IFERROR(__xludf.DUMMYFUNCTION("""COMPUTED_VALUE"""),"XD2-XMA-004")</f>
        <v>XD2-XMA-004</v>
      </c>
      <c r="B1532" s="3" t="str">
        <f>IFERROR(__xludf.DUMMYFUNCTION("""COMPUTED_VALUE"""),"Xe máy thu hoạch")</f>
        <v>Xe máy thu hoạch</v>
      </c>
      <c r="C1532" s="5" t="str">
        <f>IFERROR(__xludf.DUMMYFUNCTION("""COMPUTED_VALUE"""),"Loại biên")</f>
        <v>Loại biên</v>
      </c>
      <c r="D1532" s="5" t="str">
        <f>IFERROR(__xludf.DUMMYFUNCTION("""COMPUTED_VALUE"""),"HONDA")</f>
        <v>HONDA</v>
      </c>
      <c r="E1532" s="5" t="str">
        <f>IFERROR(__xludf.DUMMYFUNCTION("""COMPUTED_VALUE"""),"VIỆT NAM")</f>
        <v>VIỆT NAM</v>
      </c>
      <c r="F1532" s="5"/>
      <c r="G1532" s="5" t="str">
        <f>IFERROR(__xludf.DUMMYFUNCTION("""COMPUTED_VALUE"""),"WAVE A")</f>
        <v>WAVE A</v>
      </c>
      <c r="H1532" s="5" t="str">
        <f>IFERROR(__xludf.DUMMYFUNCTION("""COMPUTED_VALUE"""),"110cc")</f>
        <v>110cc</v>
      </c>
      <c r="I1532" s="5" t="str">
        <f>IFERROR(__xludf.DUMMYFUNCTION("""COMPUTED_VALUE"""),"RLHJA3916LY025909")</f>
        <v>RLHJA3916LY025909</v>
      </c>
      <c r="J1532" s="5" t="str">
        <f>IFERROR(__xludf.DUMMYFUNCTION("""COMPUTED_VALUE"""),"JA39E-1360043")</f>
        <v>JA39E-1360043</v>
      </c>
      <c r="K1532" s="5">
        <f>IFERROR(__xludf.DUMMYFUNCTION("""COMPUTED_VALUE"""),0.5)</f>
        <v>0.5</v>
      </c>
      <c r="L1532" s="5" t="str">
        <f>IFERROR(__xludf.DUMMYFUNCTION("""COMPUTED_VALUE"""),"Loại biên")</f>
        <v>Loại biên</v>
      </c>
    </row>
    <row r="1533">
      <c r="A1533" s="5" t="str">
        <f>IFERROR(__xludf.DUMMYFUNCTION("""COMPUTED_VALUE"""),"XD2-XMA-012")</f>
        <v>XD2-XMA-012</v>
      </c>
      <c r="B1533" s="3" t="str">
        <f>IFERROR(__xludf.DUMMYFUNCTION("""COMPUTED_VALUE"""),"Xe máy thu hoạch")</f>
        <v>Xe máy thu hoạch</v>
      </c>
      <c r="C1533" s="5" t="str">
        <f>IFERROR(__xludf.DUMMYFUNCTION("""COMPUTED_VALUE"""),"Loại biên")</f>
        <v>Loại biên</v>
      </c>
      <c r="D1533" s="5" t="str">
        <f>IFERROR(__xludf.DUMMYFUNCTION("""COMPUTED_VALUE"""),"HONDA")</f>
        <v>HONDA</v>
      </c>
      <c r="E1533" s="5" t="str">
        <f>IFERROR(__xludf.DUMMYFUNCTION("""COMPUTED_VALUE"""),"VIỆT NAM")</f>
        <v>VIỆT NAM</v>
      </c>
      <c r="F1533" s="5"/>
      <c r="G1533" s="5" t="str">
        <f>IFERROR(__xludf.DUMMYFUNCTION("""COMPUTED_VALUE"""),"WAVE A")</f>
        <v>WAVE A</v>
      </c>
      <c r="H1533" s="5" t="str">
        <f>IFERROR(__xludf.DUMMYFUNCTION("""COMPUTED_VALUE"""),"110cc")</f>
        <v>110cc</v>
      </c>
      <c r="I1533" s="5" t="str">
        <f>IFERROR(__xludf.DUMMYFUNCTION("""COMPUTED_VALUE"""),"RLHJA3954HY09815")</f>
        <v>RLHJA3954HY09815</v>
      </c>
      <c r="J1533" s="5" t="str">
        <f>IFERROR(__xludf.DUMMYFUNCTION("""COMPUTED_VALUE"""),"JA39E-'000804")</f>
        <v>JA39E-'000804</v>
      </c>
      <c r="K1533" s="5">
        <f>IFERROR(__xludf.DUMMYFUNCTION("""COMPUTED_VALUE"""),0.5)</f>
        <v>0.5</v>
      </c>
      <c r="L1533" s="5" t="str">
        <f>IFERROR(__xludf.DUMMYFUNCTION("""COMPUTED_VALUE"""),"Loại biên")</f>
        <v>Loại biên</v>
      </c>
    </row>
    <row r="1534">
      <c r="A1534" s="5" t="str">
        <f>IFERROR(__xludf.DUMMYFUNCTION("""COMPUTED_VALUE"""),"XD3-XMA-003")</f>
        <v>XD3-XMA-003</v>
      </c>
      <c r="B1534" s="3" t="str">
        <f>IFERROR(__xludf.DUMMYFUNCTION("""COMPUTED_VALUE"""),"Xe máy thu hoạch")</f>
        <v>Xe máy thu hoạch</v>
      </c>
      <c r="C1534" s="5" t="str">
        <f>IFERROR(__xludf.DUMMYFUNCTION("""COMPUTED_VALUE"""),"Loại biên")</f>
        <v>Loại biên</v>
      </c>
      <c r="D1534" s="5" t="str">
        <f>IFERROR(__xludf.DUMMYFUNCTION("""COMPUTED_VALUE"""),"HONDA")</f>
        <v>HONDA</v>
      </c>
      <c r="E1534" s="5" t="str">
        <f>IFERROR(__xludf.DUMMYFUNCTION("""COMPUTED_VALUE"""),"VIỆT NAM")</f>
        <v>VIỆT NAM</v>
      </c>
      <c r="F1534" s="5"/>
      <c r="G1534" s="5" t="str">
        <f>IFERROR(__xludf.DUMMYFUNCTION("""COMPUTED_VALUE"""),"WAVE A")</f>
        <v>WAVE A</v>
      </c>
      <c r="H1534" s="5" t="str">
        <f>IFERROR(__xludf.DUMMYFUNCTION("""COMPUTED_VALUE"""),"110cc")</f>
        <v>110cc</v>
      </c>
      <c r="I1534" s="5" t="str">
        <f>IFERROR(__xludf.DUMMYFUNCTION("""COMPUTED_VALUE"""),"RLHJA3925MY105258")</f>
        <v>RLHJA3925MY105258</v>
      </c>
      <c r="J1534" s="5" t="str">
        <f>IFERROR(__xludf.DUMMYFUNCTION("""COMPUTED_VALUE"""),"JA39E- 2222553")</f>
        <v>JA39E- 2222553</v>
      </c>
      <c r="K1534" s="5">
        <f>IFERROR(__xludf.DUMMYFUNCTION("""COMPUTED_VALUE"""),0.5)</f>
        <v>0.5</v>
      </c>
      <c r="L1534" s="5" t="str">
        <f>IFERROR(__xludf.DUMMYFUNCTION("""COMPUTED_VALUE"""),"Loại biên")</f>
        <v>Loại biên</v>
      </c>
    </row>
    <row r="1535">
      <c r="A1535" s="5" t="str">
        <f>IFERROR(__xludf.DUMMYFUNCTION("""COMPUTED_VALUE"""),"XD3-XMA-004")</f>
        <v>XD3-XMA-004</v>
      </c>
      <c r="B1535" s="3" t="str">
        <f>IFERROR(__xludf.DUMMYFUNCTION("""COMPUTED_VALUE"""),"Xe máy thu hoạch")</f>
        <v>Xe máy thu hoạch</v>
      </c>
      <c r="C1535" s="5" t="str">
        <f>IFERROR(__xludf.DUMMYFUNCTION("""COMPUTED_VALUE"""),"Loại biên")</f>
        <v>Loại biên</v>
      </c>
      <c r="D1535" s="5" t="str">
        <f>IFERROR(__xludf.DUMMYFUNCTION("""COMPUTED_VALUE"""),"HONDA")</f>
        <v>HONDA</v>
      </c>
      <c r="E1535" s="5" t="str">
        <f>IFERROR(__xludf.DUMMYFUNCTION("""COMPUTED_VALUE"""),"VIỆT NAM")</f>
        <v>VIỆT NAM</v>
      </c>
      <c r="F1535" s="5"/>
      <c r="G1535" s="5" t="str">
        <f>IFERROR(__xludf.DUMMYFUNCTION("""COMPUTED_VALUE"""),"WAVE A")</f>
        <v>WAVE A</v>
      </c>
      <c r="H1535" s="5" t="str">
        <f>IFERROR(__xludf.DUMMYFUNCTION("""COMPUTED_VALUE"""),"110cc")</f>
        <v>110cc</v>
      </c>
      <c r="I1535" s="5" t="str">
        <f>IFERROR(__xludf.DUMMYFUNCTION("""COMPUTED_VALUE"""),"RLHJA3900HY622634")</f>
        <v>RLHJA3900HY622634</v>
      </c>
      <c r="J1535" s="5" t="str">
        <f>IFERROR(__xludf.DUMMYFUNCTION("""COMPUTED_VALUE"""),"JA39E- 0597757")</f>
        <v>JA39E- 0597757</v>
      </c>
      <c r="K1535" s="5">
        <f>IFERROR(__xludf.DUMMYFUNCTION("""COMPUTED_VALUE"""),0.5)</f>
        <v>0.5</v>
      </c>
      <c r="L1535" s="5" t="str">
        <f>IFERROR(__xludf.DUMMYFUNCTION("""COMPUTED_VALUE"""),"Loại biên")</f>
        <v>Loại biên</v>
      </c>
    </row>
    <row r="1536">
      <c r="A1536" s="5" t="str">
        <f>IFERROR(__xludf.DUMMYFUNCTION("""COMPUTED_VALUE"""),"XD3-XMA-007")</f>
        <v>XD3-XMA-007</v>
      </c>
      <c r="B1536" s="3" t="str">
        <f>IFERROR(__xludf.DUMMYFUNCTION("""COMPUTED_VALUE"""),"Xe máy thu hoạch")</f>
        <v>Xe máy thu hoạch</v>
      </c>
      <c r="C1536" s="5" t="str">
        <f>IFERROR(__xludf.DUMMYFUNCTION("""COMPUTED_VALUE"""),"Loại biên")</f>
        <v>Loại biên</v>
      </c>
      <c r="D1536" s="5" t="str">
        <f>IFERROR(__xludf.DUMMYFUNCTION("""COMPUTED_VALUE"""),"HONDA")</f>
        <v>HONDA</v>
      </c>
      <c r="E1536" s="5" t="str">
        <f>IFERROR(__xludf.DUMMYFUNCTION("""COMPUTED_VALUE"""),"VIỆT NAM")</f>
        <v>VIỆT NAM</v>
      </c>
      <c r="F1536" s="5"/>
      <c r="G1536" s="5" t="str">
        <f>IFERROR(__xludf.DUMMYFUNCTION("""COMPUTED_VALUE"""),"WAVE A")</f>
        <v>WAVE A</v>
      </c>
      <c r="H1536" s="5" t="str">
        <f>IFERROR(__xludf.DUMMYFUNCTION("""COMPUTED_VALUE"""),"110cc")</f>
        <v>110cc</v>
      </c>
      <c r="I1536" s="5" t="str">
        <f>IFERROR(__xludf.DUMMYFUNCTION("""COMPUTED_VALUE"""),"RLHJA3907HY729888")</f>
        <v>RLHJA3907HY729888</v>
      </c>
      <c r="J1536" s="5" t="str">
        <f>IFERROR(__xludf.DUMMYFUNCTION("""COMPUTED_VALUE"""),"JA39E- 0710044")</f>
        <v>JA39E- 0710044</v>
      </c>
      <c r="K1536" s="5">
        <f>IFERROR(__xludf.DUMMYFUNCTION("""COMPUTED_VALUE"""),0.5)</f>
        <v>0.5</v>
      </c>
      <c r="L1536" s="5" t="str">
        <f>IFERROR(__xludf.DUMMYFUNCTION("""COMPUTED_VALUE"""),"Loại biên")</f>
        <v>Loại biên</v>
      </c>
    </row>
    <row r="1537">
      <c r="A1537" s="5" t="str">
        <f>IFERROR(__xludf.DUMMYFUNCTION("""COMPUTED_VALUE"""),"XD3-XMA-008")</f>
        <v>XD3-XMA-008</v>
      </c>
      <c r="B1537" s="3" t="str">
        <f>IFERROR(__xludf.DUMMYFUNCTION("""COMPUTED_VALUE"""),"Xe máy thu hoạch")</f>
        <v>Xe máy thu hoạch</v>
      </c>
      <c r="C1537" s="5" t="str">
        <f>IFERROR(__xludf.DUMMYFUNCTION("""COMPUTED_VALUE"""),"Loại biên")</f>
        <v>Loại biên</v>
      </c>
      <c r="D1537" s="5" t="str">
        <f>IFERROR(__xludf.DUMMYFUNCTION("""COMPUTED_VALUE"""),"HONDA")</f>
        <v>HONDA</v>
      </c>
      <c r="E1537" s="5" t="str">
        <f>IFERROR(__xludf.DUMMYFUNCTION("""COMPUTED_VALUE"""),"VIỆT NAM")</f>
        <v>VIỆT NAM</v>
      </c>
      <c r="F1537" s="5"/>
      <c r="G1537" s="5" t="str">
        <f>IFERROR(__xludf.DUMMYFUNCTION("""COMPUTED_VALUE"""),"WAVE A")</f>
        <v>WAVE A</v>
      </c>
      <c r="H1537" s="5" t="str">
        <f>IFERROR(__xludf.DUMMYFUNCTION("""COMPUTED_VALUE"""),"110cc")</f>
        <v>110cc</v>
      </c>
      <c r="I1537" s="5" t="str">
        <f>IFERROR(__xludf.DUMMYFUNCTION("""COMPUTED_VALUE"""),"RLHJA3918KY151008")</f>
        <v>RLHJA3918KY151008</v>
      </c>
      <c r="J1537" s="5" t="str">
        <f>IFERROR(__xludf.DUMMYFUNCTION("""COMPUTED_VALUE"""),"JA39E- 1008288")</f>
        <v>JA39E- 1008288</v>
      </c>
      <c r="K1537" s="5">
        <f>IFERROR(__xludf.DUMMYFUNCTION("""COMPUTED_VALUE"""),0.5)</f>
        <v>0.5</v>
      </c>
      <c r="L1537" s="5" t="str">
        <f>IFERROR(__xludf.DUMMYFUNCTION("""COMPUTED_VALUE"""),"Loại biên")</f>
        <v>Loại biên</v>
      </c>
    </row>
    <row r="1538">
      <c r="A1538" s="5" t="str">
        <f>IFERROR(__xludf.DUMMYFUNCTION("""COMPUTED_VALUE"""),"XD3-XMA-010")</f>
        <v>XD3-XMA-010</v>
      </c>
      <c r="B1538" s="3" t="str">
        <f>IFERROR(__xludf.DUMMYFUNCTION("""COMPUTED_VALUE"""),"Xe máy thu hoạch")</f>
        <v>Xe máy thu hoạch</v>
      </c>
      <c r="C1538" s="5" t="str">
        <f>IFERROR(__xludf.DUMMYFUNCTION("""COMPUTED_VALUE"""),"Loại biên")</f>
        <v>Loại biên</v>
      </c>
      <c r="D1538" s="5" t="str">
        <f>IFERROR(__xludf.DUMMYFUNCTION("""COMPUTED_VALUE"""),"HONDA")</f>
        <v>HONDA</v>
      </c>
      <c r="E1538" s="5" t="str">
        <f>IFERROR(__xludf.DUMMYFUNCTION("""COMPUTED_VALUE"""),"VIỆT NAM")</f>
        <v>VIỆT NAM</v>
      </c>
      <c r="F1538" s="5"/>
      <c r="G1538" s="5" t="str">
        <f>IFERROR(__xludf.DUMMYFUNCTION("""COMPUTED_VALUE"""),"WAVE A")</f>
        <v>WAVE A</v>
      </c>
      <c r="H1538" s="5" t="str">
        <f>IFERROR(__xludf.DUMMYFUNCTION("""COMPUTED_VALUE"""),"110cc")</f>
        <v>110cc</v>
      </c>
      <c r="I1538" s="5" t="str">
        <f>IFERROR(__xludf.DUMMYFUNCTION("""COMPUTED_VALUE"""),"RLHJA3921MY025097")</f>
        <v>RLHJA3921MY025097</v>
      </c>
      <c r="J1538" s="5" t="str">
        <f>IFERROR(__xludf.DUMMYFUNCTION("""COMPUTED_VALUE"""),"JA39E- 2140082")</f>
        <v>JA39E- 2140082</v>
      </c>
      <c r="K1538" s="5">
        <f>IFERROR(__xludf.DUMMYFUNCTION("""COMPUTED_VALUE"""),0.5)</f>
        <v>0.5</v>
      </c>
      <c r="L1538" s="5" t="str">
        <f>IFERROR(__xludf.DUMMYFUNCTION("""COMPUTED_VALUE"""),"Loại biên")</f>
        <v>Loại biên</v>
      </c>
    </row>
    <row r="1539">
      <c r="A1539" s="5" t="str">
        <f>IFERROR(__xludf.DUMMYFUNCTION("""COMPUTED_VALUE"""),"XD3-XMA-011")</f>
        <v>XD3-XMA-011</v>
      </c>
      <c r="B1539" s="3" t="str">
        <f>IFERROR(__xludf.DUMMYFUNCTION("""COMPUTED_VALUE"""),"Xe máy thu hoạch")</f>
        <v>Xe máy thu hoạch</v>
      </c>
      <c r="C1539" s="5" t="str">
        <f>IFERROR(__xludf.DUMMYFUNCTION("""COMPUTED_VALUE"""),"Loại biên")</f>
        <v>Loại biên</v>
      </c>
      <c r="D1539" s="5" t="str">
        <f>IFERROR(__xludf.DUMMYFUNCTION("""COMPUTED_VALUE"""),"HONDA")</f>
        <v>HONDA</v>
      </c>
      <c r="E1539" s="5" t="str">
        <f>IFERROR(__xludf.DUMMYFUNCTION("""COMPUTED_VALUE"""),"VIỆT NAM")</f>
        <v>VIỆT NAM</v>
      </c>
      <c r="F1539" s="5"/>
      <c r="G1539" s="5" t="str">
        <f>IFERROR(__xludf.DUMMYFUNCTION("""COMPUTED_VALUE"""),"WAVE A")</f>
        <v>WAVE A</v>
      </c>
      <c r="H1539" s="5" t="str">
        <f>IFERROR(__xludf.DUMMYFUNCTION("""COMPUTED_VALUE"""),"110cc")</f>
        <v>110cc</v>
      </c>
      <c r="I1539" s="5" t="str">
        <f>IFERROR(__xludf.DUMMYFUNCTION("""COMPUTED_VALUE"""),"RLHJA3927MY142893")</f>
        <v>RLHJA3927MY142893</v>
      </c>
      <c r="J1539" s="5" t="str">
        <f>IFERROR(__xludf.DUMMYFUNCTION("""COMPUTED_VALUE"""),"JA39E- 2260197")</f>
        <v>JA39E- 2260197</v>
      </c>
      <c r="K1539" s="5">
        <f>IFERROR(__xludf.DUMMYFUNCTION("""COMPUTED_VALUE"""),0.5)</f>
        <v>0.5</v>
      </c>
      <c r="L1539" s="5" t="str">
        <f>IFERROR(__xludf.DUMMYFUNCTION("""COMPUTED_VALUE"""),"Loại biên")</f>
        <v>Loại biên</v>
      </c>
    </row>
    <row r="1540">
      <c r="A1540" s="5" t="str">
        <f>IFERROR(__xludf.DUMMYFUNCTION("""COMPUTED_VALUE"""),"XD3-XMA-012")</f>
        <v>XD3-XMA-012</v>
      </c>
      <c r="B1540" s="3" t="str">
        <f>IFERROR(__xludf.DUMMYFUNCTION("""COMPUTED_VALUE"""),"Xe máy thu hoạch")</f>
        <v>Xe máy thu hoạch</v>
      </c>
      <c r="C1540" s="5" t="str">
        <f>IFERROR(__xludf.DUMMYFUNCTION("""COMPUTED_VALUE"""),"Loại biên")</f>
        <v>Loại biên</v>
      </c>
      <c r="D1540" s="5" t="str">
        <f>IFERROR(__xludf.DUMMYFUNCTION("""COMPUTED_VALUE"""),"HONDA")</f>
        <v>HONDA</v>
      </c>
      <c r="E1540" s="5" t="str">
        <f>IFERROR(__xludf.DUMMYFUNCTION("""COMPUTED_VALUE"""),"VIỆT NAM")</f>
        <v>VIỆT NAM</v>
      </c>
      <c r="F1540" s="5"/>
      <c r="G1540" s="5" t="str">
        <f>IFERROR(__xludf.DUMMYFUNCTION("""COMPUTED_VALUE"""),"WAVE A")</f>
        <v>WAVE A</v>
      </c>
      <c r="H1540" s="5" t="str">
        <f>IFERROR(__xludf.DUMMYFUNCTION("""COMPUTED_VALUE"""),"110cc")</f>
        <v>110cc</v>
      </c>
      <c r="I1540" s="5" t="str">
        <f>IFERROR(__xludf.DUMMYFUNCTION("""COMPUTED_VALUE"""),"RLHJA3900HY612315")</f>
        <v>RLHJA3900HY612315</v>
      </c>
      <c r="J1540" s="5" t="str">
        <f>IFERROR(__xludf.DUMMYFUNCTION("""COMPUTED_VALUE"""),"JA39E- 0587469")</f>
        <v>JA39E- 0587469</v>
      </c>
      <c r="K1540" s="5">
        <f>IFERROR(__xludf.DUMMYFUNCTION("""COMPUTED_VALUE"""),0.5)</f>
        <v>0.5</v>
      </c>
      <c r="L1540" s="5" t="str">
        <f>IFERROR(__xludf.DUMMYFUNCTION("""COMPUTED_VALUE"""),"Loại biên")</f>
        <v>Loại biên</v>
      </c>
    </row>
    <row r="1541">
      <c r="A1541" s="5" t="str">
        <f>IFERROR(__xludf.DUMMYFUNCTION("""COMPUTED_VALUE"""),"XD3-XMA-014")</f>
        <v>XD3-XMA-014</v>
      </c>
      <c r="B1541" s="3" t="str">
        <f>IFERROR(__xludf.DUMMYFUNCTION("""COMPUTED_VALUE"""),"Xe máy thu hoạch")</f>
        <v>Xe máy thu hoạch</v>
      </c>
      <c r="C1541" s="5" t="str">
        <f>IFERROR(__xludf.DUMMYFUNCTION("""COMPUTED_VALUE"""),"Loại biên")</f>
        <v>Loại biên</v>
      </c>
      <c r="D1541" s="5" t="str">
        <f>IFERROR(__xludf.DUMMYFUNCTION("""COMPUTED_VALUE"""),"HONDA")</f>
        <v>HONDA</v>
      </c>
      <c r="E1541" s="5" t="str">
        <f>IFERROR(__xludf.DUMMYFUNCTION("""COMPUTED_VALUE"""),"VIỆT NAM")</f>
        <v>VIỆT NAM</v>
      </c>
      <c r="F1541" s="5"/>
      <c r="G1541" s="5" t="str">
        <f>IFERROR(__xludf.DUMMYFUNCTION("""COMPUTED_VALUE"""),"WAVE A")</f>
        <v>WAVE A</v>
      </c>
      <c r="H1541" s="5" t="str">
        <f>IFERROR(__xludf.DUMMYFUNCTION("""COMPUTED_VALUE"""),"110cc")</f>
        <v>110cc</v>
      </c>
      <c r="I1541" s="5" t="str">
        <f>IFERROR(__xludf.DUMMYFUNCTION("""COMPUTED_VALUE"""),"RLHJA3906HY161018")</f>
        <v>RLHJA3906HY161018</v>
      </c>
      <c r="J1541" s="5" t="str">
        <f>IFERROR(__xludf.DUMMYFUNCTION("""COMPUTED_VALUE"""),"JA39E- 0160916")</f>
        <v>JA39E- 0160916</v>
      </c>
      <c r="K1541" s="5">
        <f>IFERROR(__xludf.DUMMYFUNCTION("""COMPUTED_VALUE"""),0.5)</f>
        <v>0.5</v>
      </c>
      <c r="L1541" s="5" t="str">
        <f>IFERROR(__xludf.DUMMYFUNCTION("""COMPUTED_VALUE"""),"Loại biên")</f>
        <v>Loại biên</v>
      </c>
    </row>
    <row r="1542">
      <c r="A1542" s="5" t="str">
        <f>IFERROR(__xludf.DUMMYFUNCTION("""COMPUTED_VALUE"""),"XD3-XMA-015")</f>
        <v>XD3-XMA-015</v>
      </c>
      <c r="B1542" s="3" t="str">
        <f>IFERROR(__xludf.DUMMYFUNCTION("""COMPUTED_VALUE"""),"Xe máy thu hoạch")</f>
        <v>Xe máy thu hoạch</v>
      </c>
      <c r="C1542" s="5" t="str">
        <f>IFERROR(__xludf.DUMMYFUNCTION("""COMPUTED_VALUE"""),"Loại biên")</f>
        <v>Loại biên</v>
      </c>
      <c r="D1542" s="5" t="str">
        <f>IFERROR(__xludf.DUMMYFUNCTION("""COMPUTED_VALUE"""),"HONDA")</f>
        <v>HONDA</v>
      </c>
      <c r="E1542" s="5" t="str">
        <f>IFERROR(__xludf.DUMMYFUNCTION("""COMPUTED_VALUE"""),"VIỆT NAM")</f>
        <v>VIỆT NAM</v>
      </c>
      <c r="F1542" s="5"/>
      <c r="G1542" s="5" t="str">
        <f>IFERROR(__xludf.DUMMYFUNCTION("""COMPUTED_VALUE"""),"WAVE A")</f>
        <v>WAVE A</v>
      </c>
      <c r="H1542" s="5" t="str">
        <f>IFERROR(__xludf.DUMMYFUNCTION("""COMPUTED_VALUE"""),"110cc")</f>
        <v>110cc</v>
      </c>
      <c r="I1542" s="5" t="str">
        <f>IFERROR(__xludf.DUMMYFUNCTION("""COMPUTED_VALUE"""),"RLHJA3924LY046265")</f>
        <v>RLHJA3924LY046265</v>
      </c>
      <c r="J1542" s="5" t="str">
        <f>IFERROR(__xludf.DUMMYFUNCTION("""COMPUTED_VALUE"""),"JA39E- 2049217")</f>
        <v>JA39E- 2049217</v>
      </c>
      <c r="K1542" s="5">
        <f>IFERROR(__xludf.DUMMYFUNCTION("""COMPUTED_VALUE"""),0.5)</f>
        <v>0.5</v>
      </c>
      <c r="L1542" s="5" t="str">
        <f>IFERROR(__xludf.DUMMYFUNCTION("""COMPUTED_VALUE"""),"Loại biên")</f>
        <v>Loại biên</v>
      </c>
    </row>
    <row r="1543">
      <c r="A1543" s="5" t="str">
        <f>IFERROR(__xludf.DUMMYFUNCTION("""COMPUTED_VALUE"""),"TỔNG KLH")</f>
        <v>TỔNG KLH</v>
      </c>
      <c r="B1543" s="3"/>
      <c r="C1543" s="5"/>
      <c r="D1543" s="5"/>
      <c r="E1543" s="5"/>
      <c r="F1543" s="5"/>
      <c r="G1543" s="5"/>
      <c r="H1543" s="5"/>
      <c r="I1543" s="5"/>
      <c r="J1543" s="5"/>
      <c r="K1543" s="5"/>
      <c r="L1543" s="5" t="str">
        <f>IFERROR(__xludf.DUMMYFUNCTION("""COMPUTED_VALUE"""),"KLH")</f>
        <v>KLH</v>
      </c>
    </row>
    <row r="1544">
      <c r="A1544" s="5" t="str">
        <f>IFERROR(__xludf.DUMMYFUNCTION("""COMPUTED_VALUE"""),"XB1-MPC-027")</f>
        <v>XB1-MPC-027</v>
      </c>
      <c r="B1544" s="3" t="str">
        <f>IFERROR(__xludf.DUMMYFUNCTION("""COMPUTED_VALUE"""),"Máy phát cỏ 2 thì")</f>
        <v>Máy phát cỏ 2 thì</v>
      </c>
      <c r="C1544" s="5" t="str">
        <f>IFERROR(__xludf.DUMMYFUNCTION("""COMPUTED_VALUE"""),"XN Bò AD")</f>
        <v>XN Bò AD</v>
      </c>
      <c r="D1544" s="5" t="str">
        <f>IFERROR(__xludf.DUMMYFUNCTION("""COMPUTED_VALUE"""),"NAGATA")</f>
        <v>NAGATA</v>
      </c>
      <c r="E1544" s="5" t="str">
        <f>IFERROR(__xludf.DUMMYFUNCTION("""COMPUTED_VALUE"""),"TRUNG QUỐC")</f>
        <v>TRUNG QUỐC</v>
      </c>
      <c r="F1544" s="5"/>
      <c r="G1544" s="5" t="str">
        <f>IFERROR(__xludf.DUMMYFUNCTION("""COMPUTED_VALUE"""),"CG411")</f>
        <v>CG411</v>
      </c>
      <c r="H1544" s="5" t="str">
        <f>IFERROR(__xludf.DUMMYFUNCTION("""COMPUTED_VALUE"""),"1.8HP")</f>
        <v>1.8HP</v>
      </c>
      <c r="I1544" s="5"/>
      <c r="J1544" s="5"/>
      <c r="K1544" s="5">
        <f>IFERROR(__xludf.DUMMYFUNCTION("""COMPUTED_VALUE"""),1.0)</f>
        <v>1</v>
      </c>
      <c r="L1544" s="5" t="str">
        <f>IFERROR(__xludf.DUMMYFUNCTION("""COMPUTED_VALUE"""),"KLH")</f>
        <v>KLH</v>
      </c>
    </row>
    <row r="1545">
      <c r="A1545" s="5" t="str">
        <f>IFERROR(__xludf.DUMMYFUNCTION("""COMPUTED_VALUE"""),"XB1-MPC-028")</f>
        <v>XB1-MPC-028</v>
      </c>
      <c r="B1545" s="3" t="str">
        <f>IFERROR(__xludf.DUMMYFUNCTION("""COMPUTED_VALUE"""),"Máy phát cỏ 2 thì")</f>
        <v>Máy phát cỏ 2 thì</v>
      </c>
      <c r="C1545" s="5" t="str">
        <f>IFERROR(__xludf.DUMMYFUNCTION("""COMPUTED_VALUE"""),"XN Bò AD")</f>
        <v>XN Bò AD</v>
      </c>
      <c r="D1545" s="5" t="str">
        <f>IFERROR(__xludf.DUMMYFUNCTION("""COMPUTED_VALUE"""),"NAGATA")</f>
        <v>NAGATA</v>
      </c>
      <c r="E1545" s="5" t="str">
        <f>IFERROR(__xludf.DUMMYFUNCTION("""COMPUTED_VALUE"""),"TRUNG QUỐC")</f>
        <v>TRUNG QUỐC</v>
      </c>
      <c r="F1545" s="5"/>
      <c r="G1545" s="5" t="str">
        <f>IFERROR(__xludf.DUMMYFUNCTION("""COMPUTED_VALUE"""),"CG411")</f>
        <v>CG411</v>
      </c>
      <c r="H1545" s="5" t="str">
        <f>IFERROR(__xludf.DUMMYFUNCTION("""COMPUTED_VALUE"""),"1.8HP")</f>
        <v>1.8HP</v>
      </c>
      <c r="I1545" s="5"/>
      <c r="J1545" s="5"/>
      <c r="K1545" s="5">
        <f>IFERROR(__xludf.DUMMYFUNCTION("""COMPUTED_VALUE"""),1.0)</f>
        <v>1</v>
      </c>
      <c r="L1545" s="5" t="str">
        <f>IFERROR(__xludf.DUMMYFUNCTION("""COMPUTED_VALUE"""),"KLH")</f>
        <v>KLH</v>
      </c>
    </row>
    <row r="1546">
      <c r="A1546" s="5" t="str">
        <f>IFERROR(__xludf.DUMMYFUNCTION("""COMPUTED_VALUE"""),"XB1-MPC-029")</f>
        <v>XB1-MPC-029</v>
      </c>
      <c r="B1546" s="3" t="str">
        <f>IFERROR(__xludf.DUMMYFUNCTION("""COMPUTED_VALUE"""),"Máy phát cỏ 2 thì")</f>
        <v>Máy phát cỏ 2 thì</v>
      </c>
      <c r="C1546" s="5" t="str">
        <f>IFERROR(__xludf.DUMMYFUNCTION("""COMPUTED_VALUE"""),"XN Bò AD")</f>
        <v>XN Bò AD</v>
      </c>
      <c r="D1546" s="5" t="str">
        <f>IFERROR(__xludf.DUMMYFUNCTION("""COMPUTED_VALUE"""),"NAGATA")</f>
        <v>NAGATA</v>
      </c>
      <c r="E1546" s="5" t="str">
        <f>IFERROR(__xludf.DUMMYFUNCTION("""COMPUTED_VALUE"""),"TRUNG QUỐC")</f>
        <v>TRUNG QUỐC</v>
      </c>
      <c r="F1546" s="5"/>
      <c r="G1546" s="5" t="str">
        <f>IFERROR(__xludf.DUMMYFUNCTION("""COMPUTED_VALUE"""),"CG411")</f>
        <v>CG411</v>
      </c>
      <c r="H1546" s="5" t="str">
        <f>IFERROR(__xludf.DUMMYFUNCTION("""COMPUTED_VALUE"""),"1.8HP")</f>
        <v>1.8HP</v>
      </c>
      <c r="I1546" s="5"/>
      <c r="J1546" s="5"/>
      <c r="K1546" s="5">
        <f>IFERROR(__xludf.DUMMYFUNCTION("""COMPUTED_VALUE"""),1.0)</f>
        <v>1</v>
      </c>
      <c r="L1546" s="5" t="str">
        <f>IFERROR(__xludf.DUMMYFUNCTION("""COMPUTED_VALUE"""),"KLH")</f>
        <v>KLH</v>
      </c>
    </row>
    <row r="1547">
      <c r="A1547" s="5" t="str">
        <f>IFERROR(__xludf.DUMMYFUNCTION("""COMPUTED_VALUE"""),"XB1-MPC-030")</f>
        <v>XB1-MPC-030</v>
      </c>
      <c r="B1547" s="3" t="str">
        <f>IFERROR(__xludf.DUMMYFUNCTION("""COMPUTED_VALUE"""),"Máy phát cỏ 2 thì")</f>
        <v>Máy phát cỏ 2 thì</v>
      </c>
      <c r="C1547" s="5" t="str">
        <f>IFERROR(__xludf.DUMMYFUNCTION("""COMPUTED_VALUE"""),"XN Bò AD")</f>
        <v>XN Bò AD</v>
      </c>
      <c r="D1547" s="5" t="str">
        <f>IFERROR(__xludf.DUMMYFUNCTION("""COMPUTED_VALUE"""),"NAGATA")</f>
        <v>NAGATA</v>
      </c>
      <c r="E1547" s="5" t="str">
        <f>IFERROR(__xludf.DUMMYFUNCTION("""COMPUTED_VALUE"""),"TRUNG QUỐC")</f>
        <v>TRUNG QUỐC</v>
      </c>
      <c r="F1547" s="5"/>
      <c r="G1547" s="5" t="str">
        <f>IFERROR(__xludf.DUMMYFUNCTION("""COMPUTED_VALUE"""),"CG411")</f>
        <v>CG411</v>
      </c>
      <c r="H1547" s="5" t="str">
        <f>IFERROR(__xludf.DUMMYFUNCTION("""COMPUTED_VALUE"""),"1.8HP")</f>
        <v>1.8HP</v>
      </c>
      <c r="I1547" s="5"/>
      <c r="J1547" s="5"/>
      <c r="K1547" s="5">
        <f>IFERROR(__xludf.DUMMYFUNCTION("""COMPUTED_VALUE"""),1.0)</f>
        <v>1</v>
      </c>
      <c r="L1547" s="5" t="str">
        <f>IFERROR(__xludf.DUMMYFUNCTION("""COMPUTED_VALUE"""),"KLH")</f>
        <v>KLH</v>
      </c>
    </row>
    <row r="1548">
      <c r="A1548" s="5" t="str">
        <f>IFERROR(__xludf.DUMMYFUNCTION("""COMPUTED_VALUE"""),"XB1-MPC-032")</f>
        <v>XB1-MPC-032</v>
      </c>
      <c r="B1548" s="3" t="str">
        <f>IFERROR(__xludf.DUMMYFUNCTION("""COMPUTED_VALUE"""),"Máy phát cỏ 2 thì")</f>
        <v>Máy phát cỏ 2 thì</v>
      </c>
      <c r="C1548" s="5" t="str">
        <f>IFERROR(__xludf.DUMMYFUNCTION("""COMPUTED_VALUE"""),"XN Bò AD")</f>
        <v>XN Bò AD</v>
      </c>
      <c r="D1548" s="5" t="str">
        <f>IFERROR(__xludf.DUMMYFUNCTION("""COMPUTED_VALUE"""),"NAGATA")</f>
        <v>NAGATA</v>
      </c>
      <c r="E1548" s="5" t="str">
        <f>IFERROR(__xludf.DUMMYFUNCTION("""COMPUTED_VALUE"""),"TRUNG QUỐC")</f>
        <v>TRUNG QUỐC</v>
      </c>
      <c r="F1548" s="5"/>
      <c r="G1548" s="5" t="str">
        <f>IFERROR(__xludf.DUMMYFUNCTION("""COMPUTED_VALUE"""),"CG411")</f>
        <v>CG411</v>
      </c>
      <c r="H1548" s="5" t="str">
        <f>IFERROR(__xludf.DUMMYFUNCTION("""COMPUTED_VALUE"""),"1.8HP")</f>
        <v>1.8HP</v>
      </c>
      <c r="I1548" s="5"/>
      <c r="J1548" s="5"/>
      <c r="K1548" s="5">
        <f>IFERROR(__xludf.DUMMYFUNCTION("""COMPUTED_VALUE"""),1.0)</f>
        <v>1</v>
      </c>
      <c r="L1548" s="5" t="str">
        <f>IFERROR(__xludf.DUMMYFUNCTION("""COMPUTED_VALUE"""),"KLH")</f>
        <v>KLH</v>
      </c>
    </row>
    <row r="1549">
      <c r="A1549" s="5" t="str">
        <f>IFERROR(__xludf.DUMMYFUNCTION("""COMPUTED_VALUE"""),"XB1-MPC-033")</f>
        <v>XB1-MPC-033</v>
      </c>
      <c r="B1549" s="3" t="str">
        <f>IFERROR(__xludf.DUMMYFUNCTION("""COMPUTED_VALUE"""),"Máy phát cỏ 2 thì")</f>
        <v>Máy phát cỏ 2 thì</v>
      </c>
      <c r="C1549" s="5" t="str">
        <f>IFERROR(__xludf.DUMMYFUNCTION("""COMPUTED_VALUE"""),"XN Bò AD")</f>
        <v>XN Bò AD</v>
      </c>
      <c r="D1549" s="5" t="str">
        <f>IFERROR(__xludf.DUMMYFUNCTION("""COMPUTED_VALUE"""),"NAGATA")</f>
        <v>NAGATA</v>
      </c>
      <c r="E1549" s="5" t="str">
        <f>IFERROR(__xludf.DUMMYFUNCTION("""COMPUTED_VALUE"""),"TRUNG QUỐC")</f>
        <v>TRUNG QUỐC</v>
      </c>
      <c r="F1549" s="5"/>
      <c r="G1549" s="5" t="str">
        <f>IFERROR(__xludf.DUMMYFUNCTION("""COMPUTED_VALUE"""),"CG411")</f>
        <v>CG411</v>
      </c>
      <c r="H1549" s="5" t="str">
        <f>IFERROR(__xludf.DUMMYFUNCTION("""COMPUTED_VALUE"""),"1.8HP")</f>
        <v>1.8HP</v>
      </c>
      <c r="I1549" s="5"/>
      <c r="J1549" s="5"/>
      <c r="K1549" s="5">
        <f>IFERROR(__xludf.DUMMYFUNCTION("""COMPUTED_VALUE"""),1.0)</f>
        <v>1</v>
      </c>
      <c r="L1549" s="5" t="str">
        <f>IFERROR(__xludf.DUMMYFUNCTION("""COMPUTED_VALUE"""),"KLH")</f>
        <v>KLH</v>
      </c>
    </row>
    <row r="1550">
      <c r="A1550" s="5" t="str">
        <f>IFERROR(__xludf.DUMMYFUNCTION("""COMPUTED_VALUE"""),"XB1-MPC-035")</f>
        <v>XB1-MPC-035</v>
      </c>
      <c r="B1550" s="3" t="str">
        <f>IFERROR(__xludf.DUMMYFUNCTION("""COMPUTED_VALUE"""),"Máy phát cỏ 2 thì")</f>
        <v>Máy phát cỏ 2 thì</v>
      </c>
      <c r="C1550" s="5" t="str">
        <f>IFERROR(__xludf.DUMMYFUNCTION("""COMPUTED_VALUE"""),"XN Bò AD")</f>
        <v>XN Bò AD</v>
      </c>
      <c r="D1550" s="5" t="str">
        <f>IFERROR(__xludf.DUMMYFUNCTION("""COMPUTED_VALUE"""),"NAGATA")</f>
        <v>NAGATA</v>
      </c>
      <c r="E1550" s="5" t="str">
        <f>IFERROR(__xludf.DUMMYFUNCTION("""COMPUTED_VALUE"""),"TRUNG QUỐC")</f>
        <v>TRUNG QUỐC</v>
      </c>
      <c r="F1550" s="5"/>
      <c r="G1550" s="5" t="str">
        <f>IFERROR(__xludf.DUMMYFUNCTION("""COMPUTED_VALUE"""),"CG411")</f>
        <v>CG411</v>
      </c>
      <c r="H1550" s="5" t="str">
        <f>IFERROR(__xludf.DUMMYFUNCTION("""COMPUTED_VALUE"""),"1.8HP")</f>
        <v>1.8HP</v>
      </c>
      <c r="I1550" s="5"/>
      <c r="J1550" s="5"/>
      <c r="K1550" s="5">
        <f>IFERROR(__xludf.DUMMYFUNCTION("""COMPUTED_VALUE"""),1.0)</f>
        <v>1</v>
      </c>
      <c r="L1550" s="5" t="str">
        <f>IFERROR(__xludf.DUMMYFUNCTION("""COMPUTED_VALUE"""),"KLH")</f>
        <v>KLH</v>
      </c>
    </row>
    <row r="1551">
      <c r="A1551" s="5" t="str">
        <f>IFERROR(__xludf.DUMMYFUNCTION("""COMPUTED_VALUE"""),"XB1-MPC-036")</f>
        <v>XB1-MPC-036</v>
      </c>
      <c r="B1551" s="3" t="str">
        <f>IFERROR(__xludf.DUMMYFUNCTION("""COMPUTED_VALUE"""),"Máy phát cỏ 2 thì")</f>
        <v>Máy phát cỏ 2 thì</v>
      </c>
      <c r="C1551" s="5" t="str">
        <f>IFERROR(__xludf.DUMMYFUNCTION("""COMPUTED_VALUE"""),"XN Bò AD")</f>
        <v>XN Bò AD</v>
      </c>
      <c r="D1551" s="5" t="str">
        <f>IFERROR(__xludf.DUMMYFUNCTION("""COMPUTED_VALUE"""),"NAGATA")</f>
        <v>NAGATA</v>
      </c>
      <c r="E1551" s="5" t="str">
        <f>IFERROR(__xludf.DUMMYFUNCTION("""COMPUTED_VALUE"""),"TRUNG QUỐC")</f>
        <v>TRUNG QUỐC</v>
      </c>
      <c r="F1551" s="5"/>
      <c r="G1551" s="5" t="str">
        <f>IFERROR(__xludf.DUMMYFUNCTION("""COMPUTED_VALUE"""),"CG411")</f>
        <v>CG411</v>
      </c>
      <c r="H1551" s="5" t="str">
        <f>IFERROR(__xludf.DUMMYFUNCTION("""COMPUTED_VALUE"""),"1.8HP")</f>
        <v>1.8HP</v>
      </c>
      <c r="I1551" s="5"/>
      <c r="J1551" s="5"/>
      <c r="K1551" s="5">
        <f>IFERROR(__xludf.DUMMYFUNCTION("""COMPUTED_VALUE"""),1.0)</f>
        <v>1</v>
      </c>
      <c r="L1551" s="5" t="str">
        <f>IFERROR(__xludf.DUMMYFUNCTION("""COMPUTED_VALUE"""),"KLH")</f>
        <v>KLH</v>
      </c>
    </row>
    <row r="1552">
      <c r="A1552" s="5" t="str">
        <f>IFERROR(__xludf.DUMMYFUNCTION("""COMPUTED_VALUE"""),"XB1-MPC-037")</f>
        <v>XB1-MPC-037</v>
      </c>
      <c r="B1552" s="3" t="str">
        <f>IFERROR(__xludf.DUMMYFUNCTION("""COMPUTED_VALUE"""),"Máy phát cỏ 2 thì")</f>
        <v>Máy phát cỏ 2 thì</v>
      </c>
      <c r="C1552" s="5" t="str">
        <f>IFERROR(__xludf.DUMMYFUNCTION("""COMPUTED_VALUE"""),"XN Bò AD")</f>
        <v>XN Bò AD</v>
      </c>
      <c r="D1552" s="5" t="str">
        <f>IFERROR(__xludf.DUMMYFUNCTION("""COMPUTED_VALUE"""),"NAGATA")</f>
        <v>NAGATA</v>
      </c>
      <c r="E1552" s="5" t="str">
        <f>IFERROR(__xludf.DUMMYFUNCTION("""COMPUTED_VALUE"""),"TRUNG QUỐC")</f>
        <v>TRUNG QUỐC</v>
      </c>
      <c r="F1552" s="5"/>
      <c r="G1552" s="5" t="str">
        <f>IFERROR(__xludf.DUMMYFUNCTION("""COMPUTED_VALUE"""),"CG411")</f>
        <v>CG411</v>
      </c>
      <c r="H1552" s="5" t="str">
        <f>IFERROR(__xludf.DUMMYFUNCTION("""COMPUTED_VALUE"""),"1.8HP")</f>
        <v>1.8HP</v>
      </c>
      <c r="I1552" s="5"/>
      <c r="J1552" s="5"/>
      <c r="K1552" s="5">
        <f>IFERROR(__xludf.DUMMYFUNCTION("""COMPUTED_VALUE"""),1.0)</f>
        <v>1</v>
      </c>
      <c r="L1552" s="5" t="str">
        <f>IFERROR(__xludf.DUMMYFUNCTION("""COMPUTED_VALUE"""),"KLH")</f>
        <v>KLH</v>
      </c>
    </row>
    <row r="1553">
      <c r="A1553" s="5" t="str">
        <f>IFERROR(__xludf.DUMMYFUNCTION("""COMPUTED_VALUE"""),"XB1-MPC-038")</f>
        <v>XB1-MPC-038</v>
      </c>
      <c r="B1553" s="3" t="str">
        <f>IFERROR(__xludf.DUMMYFUNCTION("""COMPUTED_VALUE"""),"Máy phát cỏ 2 thì")</f>
        <v>Máy phát cỏ 2 thì</v>
      </c>
      <c r="C1553" s="5" t="str">
        <f>IFERROR(__xludf.DUMMYFUNCTION("""COMPUTED_VALUE"""),"XN Bò AD")</f>
        <v>XN Bò AD</v>
      </c>
      <c r="D1553" s="5" t="str">
        <f>IFERROR(__xludf.DUMMYFUNCTION("""COMPUTED_VALUE"""),"NAGATA")</f>
        <v>NAGATA</v>
      </c>
      <c r="E1553" s="5" t="str">
        <f>IFERROR(__xludf.DUMMYFUNCTION("""COMPUTED_VALUE"""),"TRUNG QUỐC")</f>
        <v>TRUNG QUỐC</v>
      </c>
      <c r="F1553" s="5"/>
      <c r="G1553" s="5" t="str">
        <f>IFERROR(__xludf.DUMMYFUNCTION("""COMPUTED_VALUE"""),"CG411")</f>
        <v>CG411</v>
      </c>
      <c r="H1553" s="5" t="str">
        <f>IFERROR(__xludf.DUMMYFUNCTION("""COMPUTED_VALUE"""),"1.8HP")</f>
        <v>1.8HP</v>
      </c>
      <c r="I1553" s="5"/>
      <c r="J1553" s="5"/>
      <c r="K1553" s="5">
        <f>IFERROR(__xludf.DUMMYFUNCTION("""COMPUTED_VALUE"""),1.0)</f>
        <v>1</v>
      </c>
      <c r="L1553" s="5" t="str">
        <f>IFERROR(__xludf.DUMMYFUNCTION("""COMPUTED_VALUE"""),"KLH")</f>
        <v>KLH</v>
      </c>
    </row>
    <row r="1554">
      <c r="A1554" s="5" t="str">
        <f>IFERROR(__xludf.DUMMYFUNCTION("""COMPUTED_VALUE"""),"XB1-MPC-039")</f>
        <v>XB1-MPC-039</v>
      </c>
      <c r="B1554" s="3" t="str">
        <f>IFERROR(__xludf.DUMMYFUNCTION("""COMPUTED_VALUE"""),"Máy phát cỏ 2 thì")</f>
        <v>Máy phát cỏ 2 thì</v>
      </c>
      <c r="C1554" s="5" t="str">
        <f>IFERROR(__xludf.DUMMYFUNCTION("""COMPUTED_VALUE"""),"XN Bò AD")</f>
        <v>XN Bò AD</v>
      </c>
      <c r="D1554" s="5" t="str">
        <f>IFERROR(__xludf.DUMMYFUNCTION("""COMPUTED_VALUE"""),"NAGATA")</f>
        <v>NAGATA</v>
      </c>
      <c r="E1554" s="5" t="str">
        <f>IFERROR(__xludf.DUMMYFUNCTION("""COMPUTED_VALUE"""),"TRUNG QUỐC")</f>
        <v>TRUNG QUỐC</v>
      </c>
      <c r="F1554" s="5"/>
      <c r="G1554" s="5" t="str">
        <f>IFERROR(__xludf.DUMMYFUNCTION("""COMPUTED_VALUE"""),"CG411")</f>
        <v>CG411</v>
      </c>
      <c r="H1554" s="5" t="str">
        <f>IFERROR(__xludf.DUMMYFUNCTION("""COMPUTED_VALUE"""),"1.8HP")</f>
        <v>1.8HP</v>
      </c>
      <c r="I1554" s="5"/>
      <c r="J1554" s="5"/>
      <c r="K1554" s="5">
        <f>IFERROR(__xludf.DUMMYFUNCTION("""COMPUTED_VALUE"""),1.0)</f>
        <v>1</v>
      </c>
      <c r="L1554" s="5" t="str">
        <f>IFERROR(__xludf.DUMMYFUNCTION("""COMPUTED_VALUE"""),"KLH")</f>
        <v>KLH</v>
      </c>
    </row>
    <row r="1555">
      <c r="A1555" s="5" t="str">
        <f>IFERROR(__xludf.DUMMYFUNCTION("""COMPUTED_VALUE"""),"XB1-MPC-040")</f>
        <v>XB1-MPC-040</v>
      </c>
      <c r="B1555" s="3" t="str">
        <f>IFERROR(__xludf.DUMMYFUNCTION("""COMPUTED_VALUE"""),"Máy phát cỏ 2 thì")</f>
        <v>Máy phát cỏ 2 thì</v>
      </c>
      <c r="C1555" s="5" t="str">
        <f>IFERROR(__xludf.DUMMYFUNCTION("""COMPUTED_VALUE"""),"XN Bò AD")</f>
        <v>XN Bò AD</v>
      </c>
      <c r="D1555" s="5" t="str">
        <f>IFERROR(__xludf.DUMMYFUNCTION("""COMPUTED_VALUE"""),"NAGATA")</f>
        <v>NAGATA</v>
      </c>
      <c r="E1555" s="5" t="str">
        <f>IFERROR(__xludf.DUMMYFUNCTION("""COMPUTED_VALUE"""),"TRUNG QUỐC")</f>
        <v>TRUNG QUỐC</v>
      </c>
      <c r="F1555" s="5"/>
      <c r="G1555" s="5" t="str">
        <f>IFERROR(__xludf.DUMMYFUNCTION("""COMPUTED_VALUE"""),"CG411")</f>
        <v>CG411</v>
      </c>
      <c r="H1555" s="5" t="str">
        <f>IFERROR(__xludf.DUMMYFUNCTION("""COMPUTED_VALUE"""),"1.8HP")</f>
        <v>1.8HP</v>
      </c>
      <c r="I1555" s="5"/>
      <c r="J1555" s="5"/>
      <c r="K1555" s="5">
        <f>IFERROR(__xludf.DUMMYFUNCTION("""COMPUTED_VALUE"""),1.0)</f>
        <v>1</v>
      </c>
      <c r="L1555" s="5" t="str">
        <f>IFERROR(__xludf.DUMMYFUNCTION("""COMPUTED_VALUE"""),"KLH")</f>
        <v>KLH</v>
      </c>
    </row>
    <row r="1556">
      <c r="A1556" s="5" t="str">
        <f>IFERROR(__xludf.DUMMYFUNCTION("""COMPUTED_VALUE"""),"XB1-MPC-041")</f>
        <v>XB1-MPC-041</v>
      </c>
      <c r="B1556" s="3" t="str">
        <f>IFERROR(__xludf.DUMMYFUNCTION("""COMPUTED_VALUE"""),"Máy phát cỏ 2 thì")</f>
        <v>Máy phát cỏ 2 thì</v>
      </c>
      <c r="C1556" s="5" t="str">
        <f>IFERROR(__xludf.DUMMYFUNCTION("""COMPUTED_VALUE"""),"XN Bò AD")</f>
        <v>XN Bò AD</v>
      </c>
      <c r="D1556" s="5" t="str">
        <f>IFERROR(__xludf.DUMMYFUNCTION("""COMPUTED_VALUE"""),"NAGATA")</f>
        <v>NAGATA</v>
      </c>
      <c r="E1556" s="5" t="str">
        <f>IFERROR(__xludf.DUMMYFUNCTION("""COMPUTED_VALUE"""),"TRUNG QUỐC")</f>
        <v>TRUNG QUỐC</v>
      </c>
      <c r="F1556" s="5"/>
      <c r="G1556" s="5" t="str">
        <f>IFERROR(__xludf.DUMMYFUNCTION("""COMPUTED_VALUE"""),"CG411")</f>
        <v>CG411</v>
      </c>
      <c r="H1556" s="5" t="str">
        <f>IFERROR(__xludf.DUMMYFUNCTION("""COMPUTED_VALUE"""),"1.8HP")</f>
        <v>1.8HP</v>
      </c>
      <c r="I1556" s="5"/>
      <c r="J1556" s="5"/>
      <c r="K1556" s="5">
        <f>IFERROR(__xludf.DUMMYFUNCTION("""COMPUTED_VALUE"""),1.0)</f>
        <v>1</v>
      </c>
      <c r="L1556" s="5" t="str">
        <f>IFERROR(__xludf.DUMMYFUNCTION("""COMPUTED_VALUE"""),"KLH")</f>
        <v>KLH</v>
      </c>
    </row>
    <row r="1557">
      <c r="A1557" s="5" t="str">
        <f>IFERROR(__xludf.DUMMYFUNCTION("""COMPUTED_VALUE"""),"XB1-MPC-042")</f>
        <v>XB1-MPC-042</v>
      </c>
      <c r="B1557" s="3" t="str">
        <f>IFERROR(__xludf.DUMMYFUNCTION("""COMPUTED_VALUE"""),"Máy phát cỏ 2 thì")</f>
        <v>Máy phát cỏ 2 thì</v>
      </c>
      <c r="C1557" s="5" t="str">
        <f>IFERROR(__xludf.DUMMYFUNCTION("""COMPUTED_VALUE"""),"XN Bò AD")</f>
        <v>XN Bò AD</v>
      </c>
      <c r="D1557" s="5" t="str">
        <f>IFERROR(__xludf.DUMMYFUNCTION("""COMPUTED_VALUE"""),"NAGATA")</f>
        <v>NAGATA</v>
      </c>
      <c r="E1557" s="5" t="str">
        <f>IFERROR(__xludf.DUMMYFUNCTION("""COMPUTED_VALUE"""),"TRUNG QUỐC")</f>
        <v>TRUNG QUỐC</v>
      </c>
      <c r="F1557" s="5"/>
      <c r="G1557" s="5" t="str">
        <f>IFERROR(__xludf.DUMMYFUNCTION("""COMPUTED_VALUE"""),"CG411")</f>
        <v>CG411</v>
      </c>
      <c r="H1557" s="5" t="str">
        <f>IFERROR(__xludf.DUMMYFUNCTION("""COMPUTED_VALUE"""),"1.8HP")</f>
        <v>1.8HP</v>
      </c>
      <c r="I1557" s="5"/>
      <c r="J1557" s="5"/>
      <c r="K1557" s="5">
        <f>IFERROR(__xludf.DUMMYFUNCTION("""COMPUTED_VALUE"""),1.0)</f>
        <v>1</v>
      </c>
      <c r="L1557" s="5" t="str">
        <f>IFERROR(__xludf.DUMMYFUNCTION("""COMPUTED_VALUE"""),"KLH")</f>
        <v>KLH</v>
      </c>
    </row>
    <row r="1558">
      <c r="A1558" s="5" t="str">
        <f>IFERROR(__xludf.DUMMYFUNCTION("""COMPUTED_VALUE"""),"XB1-MPC-043")</f>
        <v>XB1-MPC-043</v>
      </c>
      <c r="B1558" s="3" t="str">
        <f>IFERROR(__xludf.DUMMYFUNCTION("""COMPUTED_VALUE"""),"Máy phát cỏ 2 thì")</f>
        <v>Máy phát cỏ 2 thì</v>
      </c>
      <c r="C1558" s="5" t="str">
        <f>IFERROR(__xludf.DUMMYFUNCTION("""COMPUTED_VALUE"""),"XN Bò AD")</f>
        <v>XN Bò AD</v>
      </c>
      <c r="D1558" s="5" t="str">
        <f>IFERROR(__xludf.DUMMYFUNCTION("""COMPUTED_VALUE"""),"NAGATA")</f>
        <v>NAGATA</v>
      </c>
      <c r="E1558" s="5" t="str">
        <f>IFERROR(__xludf.DUMMYFUNCTION("""COMPUTED_VALUE"""),"TRUNG QUỐC")</f>
        <v>TRUNG QUỐC</v>
      </c>
      <c r="F1558" s="5"/>
      <c r="G1558" s="5" t="str">
        <f>IFERROR(__xludf.DUMMYFUNCTION("""COMPUTED_VALUE"""),"CG411")</f>
        <v>CG411</v>
      </c>
      <c r="H1558" s="5" t="str">
        <f>IFERROR(__xludf.DUMMYFUNCTION("""COMPUTED_VALUE"""),"1.8HP")</f>
        <v>1.8HP</v>
      </c>
      <c r="I1558" s="5"/>
      <c r="J1558" s="5"/>
      <c r="K1558" s="5">
        <f>IFERROR(__xludf.DUMMYFUNCTION("""COMPUTED_VALUE"""),1.0)</f>
        <v>1</v>
      </c>
      <c r="L1558" s="5" t="str">
        <f>IFERROR(__xludf.DUMMYFUNCTION("""COMPUTED_VALUE"""),"KLH")</f>
        <v>KLH</v>
      </c>
    </row>
    <row r="1559">
      <c r="A1559" s="5" t="str">
        <f>IFERROR(__xludf.DUMMYFUNCTION("""COMPUTED_VALUE"""),"XB1-MPC-044")</f>
        <v>XB1-MPC-044</v>
      </c>
      <c r="B1559" s="3" t="str">
        <f>IFERROR(__xludf.DUMMYFUNCTION("""COMPUTED_VALUE"""),"Máy phát cỏ 2 thì")</f>
        <v>Máy phát cỏ 2 thì</v>
      </c>
      <c r="C1559" s="5" t="str">
        <f>IFERROR(__xludf.DUMMYFUNCTION("""COMPUTED_VALUE"""),"XN Bò AD")</f>
        <v>XN Bò AD</v>
      </c>
      <c r="D1559" s="5" t="str">
        <f>IFERROR(__xludf.DUMMYFUNCTION("""COMPUTED_VALUE"""),"NAGATA")</f>
        <v>NAGATA</v>
      </c>
      <c r="E1559" s="5" t="str">
        <f>IFERROR(__xludf.DUMMYFUNCTION("""COMPUTED_VALUE"""),"TRUNG QUỐC")</f>
        <v>TRUNG QUỐC</v>
      </c>
      <c r="F1559" s="5"/>
      <c r="G1559" s="5" t="str">
        <f>IFERROR(__xludf.DUMMYFUNCTION("""COMPUTED_VALUE"""),"CG411")</f>
        <v>CG411</v>
      </c>
      <c r="H1559" s="5" t="str">
        <f>IFERROR(__xludf.DUMMYFUNCTION("""COMPUTED_VALUE"""),"1.8HP")</f>
        <v>1.8HP</v>
      </c>
      <c r="I1559" s="5"/>
      <c r="J1559" s="5"/>
      <c r="K1559" s="5">
        <f>IFERROR(__xludf.DUMMYFUNCTION("""COMPUTED_VALUE"""),1.0)</f>
        <v>1</v>
      </c>
      <c r="L1559" s="5" t="str">
        <f>IFERROR(__xludf.DUMMYFUNCTION("""COMPUTED_VALUE"""),"KLH")</f>
        <v>KLH</v>
      </c>
    </row>
    <row r="1560">
      <c r="A1560" s="5" t="str">
        <f>IFERROR(__xludf.DUMMYFUNCTION("""COMPUTED_VALUE"""),"XB1-MPC-045")</f>
        <v>XB1-MPC-045</v>
      </c>
      <c r="B1560" s="3" t="str">
        <f>IFERROR(__xludf.DUMMYFUNCTION("""COMPUTED_VALUE"""),"Máy phát cỏ 2 thì")</f>
        <v>Máy phát cỏ 2 thì</v>
      </c>
      <c r="C1560" s="5" t="str">
        <f>IFERROR(__xludf.DUMMYFUNCTION("""COMPUTED_VALUE"""),"XN Bò AD")</f>
        <v>XN Bò AD</v>
      </c>
      <c r="D1560" s="5" t="str">
        <f>IFERROR(__xludf.DUMMYFUNCTION("""COMPUTED_VALUE"""),"NAGATA")</f>
        <v>NAGATA</v>
      </c>
      <c r="E1560" s="5" t="str">
        <f>IFERROR(__xludf.DUMMYFUNCTION("""COMPUTED_VALUE"""),"TRUNG QUỐC")</f>
        <v>TRUNG QUỐC</v>
      </c>
      <c r="F1560" s="5"/>
      <c r="G1560" s="5" t="str">
        <f>IFERROR(__xludf.DUMMYFUNCTION("""COMPUTED_VALUE"""),"CG411")</f>
        <v>CG411</v>
      </c>
      <c r="H1560" s="5" t="str">
        <f>IFERROR(__xludf.DUMMYFUNCTION("""COMPUTED_VALUE"""),"1.8HP")</f>
        <v>1.8HP</v>
      </c>
      <c r="I1560" s="5"/>
      <c r="J1560" s="5"/>
      <c r="K1560" s="5">
        <f>IFERROR(__xludf.DUMMYFUNCTION("""COMPUTED_VALUE"""),1.0)</f>
        <v>1</v>
      </c>
      <c r="L1560" s="5" t="str">
        <f>IFERROR(__xludf.DUMMYFUNCTION("""COMPUTED_VALUE"""),"KLH")</f>
        <v>KLH</v>
      </c>
    </row>
    <row r="1561">
      <c r="A1561" s="5" t="str">
        <f>IFERROR(__xludf.DUMMYFUNCTION("""COMPUTED_VALUE"""),"XB1-MPC-046")</f>
        <v>XB1-MPC-046</v>
      </c>
      <c r="B1561" s="3" t="str">
        <f>IFERROR(__xludf.DUMMYFUNCTION("""COMPUTED_VALUE"""),"Máy phát cỏ 2 thì")</f>
        <v>Máy phát cỏ 2 thì</v>
      </c>
      <c r="C1561" s="5" t="str">
        <f>IFERROR(__xludf.DUMMYFUNCTION("""COMPUTED_VALUE"""),"XN Bò AD")</f>
        <v>XN Bò AD</v>
      </c>
      <c r="D1561" s="5" t="str">
        <f>IFERROR(__xludf.DUMMYFUNCTION("""COMPUTED_VALUE"""),"NAGATA")</f>
        <v>NAGATA</v>
      </c>
      <c r="E1561" s="5" t="str">
        <f>IFERROR(__xludf.DUMMYFUNCTION("""COMPUTED_VALUE"""),"TRUNG QUỐC")</f>
        <v>TRUNG QUỐC</v>
      </c>
      <c r="F1561" s="5"/>
      <c r="G1561" s="5" t="str">
        <f>IFERROR(__xludf.DUMMYFUNCTION("""COMPUTED_VALUE"""),"CG411")</f>
        <v>CG411</v>
      </c>
      <c r="H1561" s="5" t="str">
        <f>IFERROR(__xludf.DUMMYFUNCTION("""COMPUTED_VALUE"""),"1.8HP")</f>
        <v>1.8HP</v>
      </c>
      <c r="I1561" s="5"/>
      <c r="J1561" s="5"/>
      <c r="K1561" s="5">
        <f>IFERROR(__xludf.DUMMYFUNCTION("""COMPUTED_VALUE"""),1.0)</f>
        <v>1</v>
      </c>
      <c r="L1561" s="5" t="str">
        <f>IFERROR(__xludf.DUMMYFUNCTION("""COMPUTED_VALUE"""),"KLH")</f>
        <v>KLH</v>
      </c>
    </row>
    <row r="1562">
      <c r="A1562" s="5" t="str">
        <f>IFERROR(__xludf.DUMMYFUNCTION("""COMPUTED_VALUE"""),"XB1-MPC-047")</f>
        <v>XB1-MPC-047</v>
      </c>
      <c r="B1562" s="3" t="str">
        <f>IFERROR(__xludf.DUMMYFUNCTION("""COMPUTED_VALUE"""),"Máy phát cỏ 2 thì")</f>
        <v>Máy phát cỏ 2 thì</v>
      </c>
      <c r="C1562" s="5" t="str">
        <f>IFERROR(__xludf.DUMMYFUNCTION("""COMPUTED_VALUE"""),"XN Bò AD")</f>
        <v>XN Bò AD</v>
      </c>
      <c r="D1562" s="5" t="str">
        <f>IFERROR(__xludf.DUMMYFUNCTION("""COMPUTED_VALUE"""),"NAGATA")</f>
        <v>NAGATA</v>
      </c>
      <c r="E1562" s="5" t="str">
        <f>IFERROR(__xludf.DUMMYFUNCTION("""COMPUTED_VALUE"""),"TRUNG QUỐC")</f>
        <v>TRUNG QUỐC</v>
      </c>
      <c r="F1562" s="5"/>
      <c r="G1562" s="5" t="str">
        <f>IFERROR(__xludf.DUMMYFUNCTION("""COMPUTED_VALUE"""),"CG411")</f>
        <v>CG411</v>
      </c>
      <c r="H1562" s="5" t="str">
        <f>IFERROR(__xludf.DUMMYFUNCTION("""COMPUTED_VALUE"""),"1.8HP")</f>
        <v>1.8HP</v>
      </c>
      <c r="I1562" s="5"/>
      <c r="J1562" s="5"/>
      <c r="K1562" s="5">
        <f>IFERROR(__xludf.DUMMYFUNCTION("""COMPUTED_VALUE"""),1.0)</f>
        <v>1</v>
      </c>
      <c r="L1562" s="5" t="str">
        <f>IFERROR(__xludf.DUMMYFUNCTION("""COMPUTED_VALUE"""),"KLH")</f>
        <v>KLH</v>
      </c>
    </row>
    <row r="1563">
      <c r="A1563" s="5" t="str">
        <f>IFERROR(__xludf.DUMMYFUNCTION("""COMPUTED_VALUE"""),"XB1-MPC-048")</f>
        <v>XB1-MPC-048</v>
      </c>
      <c r="B1563" s="3" t="str">
        <f>IFERROR(__xludf.DUMMYFUNCTION("""COMPUTED_VALUE"""),"Máy phát cỏ 2 thì")</f>
        <v>Máy phát cỏ 2 thì</v>
      </c>
      <c r="C1563" s="5" t="str">
        <f>IFERROR(__xludf.DUMMYFUNCTION("""COMPUTED_VALUE"""),"XN Bò AD")</f>
        <v>XN Bò AD</v>
      </c>
      <c r="D1563" s="5" t="str">
        <f>IFERROR(__xludf.DUMMYFUNCTION("""COMPUTED_VALUE"""),"NAGATA")</f>
        <v>NAGATA</v>
      </c>
      <c r="E1563" s="5" t="str">
        <f>IFERROR(__xludf.DUMMYFUNCTION("""COMPUTED_VALUE"""),"TRUNG QUỐC")</f>
        <v>TRUNG QUỐC</v>
      </c>
      <c r="F1563" s="5"/>
      <c r="G1563" s="5" t="str">
        <f>IFERROR(__xludf.DUMMYFUNCTION("""COMPUTED_VALUE"""),"CG411")</f>
        <v>CG411</v>
      </c>
      <c r="H1563" s="5" t="str">
        <f>IFERROR(__xludf.DUMMYFUNCTION("""COMPUTED_VALUE"""),"1.8HP")</f>
        <v>1.8HP</v>
      </c>
      <c r="I1563" s="5"/>
      <c r="J1563" s="5"/>
      <c r="K1563" s="5">
        <f>IFERROR(__xludf.DUMMYFUNCTION("""COMPUTED_VALUE"""),1.0)</f>
        <v>1</v>
      </c>
      <c r="L1563" s="5" t="str">
        <f>IFERROR(__xludf.DUMMYFUNCTION("""COMPUTED_VALUE"""),"KLH")</f>
        <v>KLH</v>
      </c>
    </row>
    <row r="1564">
      <c r="A1564" s="5" t="str">
        <f>IFERROR(__xludf.DUMMYFUNCTION("""COMPUTED_VALUE"""),"XB1-MPC-049")</f>
        <v>XB1-MPC-049</v>
      </c>
      <c r="B1564" s="3" t="str">
        <f>IFERROR(__xludf.DUMMYFUNCTION("""COMPUTED_VALUE"""),"Máy phát cỏ 2 thì")</f>
        <v>Máy phát cỏ 2 thì</v>
      </c>
      <c r="C1564" s="5" t="str">
        <f>IFERROR(__xludf.DUMMYFUNCTION("""COMPUTED_VALUE"""),"XN Bò AD")</f>
        <v>XN Bò AD</v>
      </c>
      <c r="D1564" s="5" t="str">
        <f>IFERROR(__xludf.DUMMYFUNCTION("""COMPUTED_VALUE"""),"NAGATA")</f>
        <v>NAGATA</v>
      </c>
      <c r="E1564" s="5" t="str">
        <f>IFERROR(__xludf.DUMMYFUNCTION("""COMPUTED_VALUE"""),"TRUNG QUỐC")</f>
        <v>TRUNG QUỐC</v>
      </c>
      <c r="F1564" s="5"/>
      <c r="G1564" s="5" t="str">
        <f>IFERROR(__xludf.DUMMYFUNCTION("""COMPUTED_VALUE"""),"CG411")</f>
        <v>CG411</v>
      </c>
      <c r="H1564" s="5" t="str">
        <f>IFERROR(__xludf.DUMMYFUNCTION("""COMPUTED_VALUE"""),"1.8HP")</f>
        <v>1.8HP</v>
      </c>
      <c r="I1564" s="5"/>
      <c r="J1564" s="5"/>
      <c r="K1564" s="5">
        <f>IFERROR(__xludf.DUMMYFUNCTION("""COMPUTED_VALUE"""),1.0)</f>
        <v>1</v>
      </c>
      <c r="L1564" s="5" t="str">
        <f>IFERROR(__xludf.DUMMYFUNCTION("""COMPUTED_VALUE"""),"KLH")</f>
        <v>KLH</v>
      </c>
    </row>
    <row r="1565">
      <c r="A1565" s="5" t="str">
        <f>IFERROR(__xludf.DUMMYFUNCTION("""COMPUTED_VALUE"""),"XB1-MPC-050")</f>
        <v>XB1-MPC-050</v>
      </c>
      <c r="B1565" s="3" t="str">
        <f>IFERROR(__xludf.DUMMYFUNCTION("""COMPUTED_VALUE"""),"Máy phát cỏ 2 thì")</f>
        <v>Máy phát cỏ 2 thì</v>
      </c>
      <c r="C1565" s="5" t="str">
        <f>IFERROR(__xludf.DUMMYFUNCTION("""COMPUTED_VALUE"""),"XN Bò AD")</f>
        <v>XN Bò AD</v>
      </c>
      <c r="D1565" s="5" t="str">
        <f>IFERROR(__xludf.DUMMYFUNCTION("""COMPUTED_VALUE"""),"NAGATA")</f>
        <v>NAGATA</v>
      </c>
      <c r="E1565" s="5" t="str">
        <f>IFERROR(__xludf.DUMMYFUNCTION("""COMPUTED_VALUE"""),"TRUNG QUỐC")</f>
        <v>TRUNG QUỐC</v>
      </c>
      <c r="F1565" s="5"/>
      <c r="G1565" s="5" t="str">
        <f>IFERROR(__xludf.DUMMYFUNCTION("""COMPUTED_VALUE"""),"CG411")</f>
        <v>CG411</v>
      </c>
      <c r="H1565" s="5" t="str">
        <f>IFERROR(__xludf.DUMMYFUNCTION("""COMPUTED_VALUE"""),"1.8HP")</f>
        <v>1.8HP</v>
      </c>
      <c r="I1565" s="5"/>
      <c r="J1565" s="5"/>
      <c r="K1565" s="5">
        <f>IFERROR(__xludf.DUMMYFUNCTION("""COMPUTED_VALUE"""),1.0)</f>
        <v>1</v>
      </c>
      <c r="L1565" s="5" t="str">
        <f>IFERROR(__xludf.DUMMYFUNCTION("""COMPUTED_VALUE"""),"KLH")</f>
        <v>KLH</v>
      </c>
    </row>
    <row r="1566">
      <c r="A1566" s="5" t="str">
        <f>IFERROR(__xludf.DUMMYFUNCTION("""COMPUTED_VALUE"""),"XB1-MPC-051")</f>
        <v>XB1-MPC-051</v>
      </c>
      <c r="B1566" s="3" t="str">
        <f>IFERROR(__xludf.DUMMYFUNCTION("""COMPUTED_VALUE"""),"Máy phát cỏ 2 thì")</f>
        <v>Máy phát cỏ 2 thì</v>
      </c>
      <c r="C1566" s="5" t="str">
        <f>IFERROR(__xludf.DUMMYFUNCTION("""COMPUTED_VALUE"""),"XN Bò AD")</f>
        <v>XN Bò AD</v>
      </c>
      <c r="D1566" s="5" t="str">
        <f>IFERROR(__xludf.DUMMYFUNCTION("""COMPUTED_VALUE"""),"NAGATA")</f>
        <v>NAGATA</v>
      </c>
      <c r="E1566" s="5" t="str">
        <f>IFERROR(__xludf.DUMMYFUNCTION("""COMPUTED_VALUE"""),"TRUNG QUỐC")</f>
        <v>TRUNG QUỐC</v>
      </c>
      <c r="F1566" s="5"/>
      <c r="G1566" s="5" t="str">
        <f>IFERROR(__xludf.DUMMYFUNCTION("""COMPUTED_VALUE"""),"CG411")</f>
        <v>CG411</v>
      </c>
      <c r="H1566" s="5" t="str">
        <f>IFERROR(__xludf.DUMMYFUNCTION("""COMPUTED_VALUE"""),"1.8HP")</f>
        <v>1.8HP</v>
      </c>
      <c r="I1566" s="5"/>
      <c r="J1566" s="5"/>
      <c r="K1566" s="5">
        <f>IFERROR(__xludf.DUMMYFUNCTION("""COMPUTED_VALUE"""),1.0)</f>
        <v>1</v>
      </c>
      <c r="L1566" s="5" t="str">
        <f>IFERROR(__xludf.DUMMYFUNCTION("""COMPUTED_VALUE"""),"KLH")</f>
        <v>KLH</v>
      </c>
    </row>
    <row r="1567">
      <c r="A1567" s="5" t="str">
        <f>IFERROR(__xludf.DUMMYFUNCTION("""COMPUTED_VALUE"""),"XB1-MPC-052")</f>
        <v>XB1-MPC-052</v>
      </c>
      <c r="B1567" s="3" t="str">
        <f>IFERROR(__xludf.DUMMYFUNCTION("""COMPUTED_VALUE"""),"Máy phát cỏ 2 thì")</f>
        <v>Máy phát cỏ 2 thì</v>
      </c>
      <c r="C1567" s="5" t="str">
        <f>IFERROR(__xludf.DUMMYFUNCTION("""COMPUTED_VALUE"""),"XN Bò AD")</f>
        <v>XN Bò AD</v>
      </c>
      <c r="D1567" s="5" t="str">
        <f>IFERROR(__xludf.DUMMYFUNCTION("""COMPUTED_VALUE"""),"NAGATA")</f>
        <v>NAGATA</v>
      </c>
      <c r="E1567" s="5" t="str">
        <f>IFERROR(__xludf.DUMMYFUNCTION("""COMPUTED_VALUE"""),"TRUNG QUỐC")</f>
        <v>TRUNG QUỐC</v>
      </c>
      <c r="F1567" s="5"/>
      <c r="G1567" s="5" t="str">
        <f>IFERROR(__xludf.DUMMYFUNCTION("""COMPUTED_VALUE"""),"CG411")</f>
        <v>CG411</v>
      </c>
      <c r="H1567" s="5" t="str">
        <f>IFERROR(__xludf.DUMMYFUNCTION("""COMPUTED_VALUE"""),"1.8HP")</f>
        <v>1.8HP</v>
      </c>
      <c r="I1567" s="5"/>
      <c r="J1567" s="5"/>
      <c r="K1567" s="5">
        <f>IFERROR(__xludf.DUMMYFUNCTION("""COMPUTED_VALUE"""),1.0)</f>
        <v>1</v>
      </c>
      <c r="L1567" s="5" t="str">
        <f>IFERROR(__xludf.DUMMYFUNCTION("""COMPUTED_VALUE"""),"KLH")</f>
        <v>KLH</v>
      </c>
    </row>
    <row r="1568">
      <c r="A1568" s="5" t="str">
        <f>IFERROR(__xludf.DUMMYFUNCTION("""COMPUTED_VALUE"""),"XB1-MPC-053")</f>
        <v>XB1-MPC-053</v>
      </c>
      <c r="B1568" s="3" t="str">
        <f>IFERROR(__xludf.DUMMYFUNCTION("""COMPUTED_VALUE"""),"Máy phát cỏ 2 thì")</f>
        <v>Máy phát cỏ 2 thì</v>
      </c>
      <c r="C1568" s="5" t="str">
        <f>IFERROR(__xludf.DUMMYFUNCTION("""COMPUTED_VALUE"""),"XN Bò AD")</f>
        <v>XN Bò AD</v>
      </c>
      <c r="D1568" s="5" t="str">
        <f>IFERROR(__xludf.DUMMYFUNCTION("""COMPUTED_VALUE"""),"NAGATA")</f>
        <v>NAGATA</v>
      </c>
      <c r="E1568" s="5" t="str">
        <f>IFERROR(__xludf.DUMMYFUNCTION("""COMPUTED_VALUE"""),"TRUNG QUỐC")</f>
        <v>TRUNG QUỐC</v>
      </c>
      <c r="F1568" s="5"/>
      <c r="G1568" s="5" t="str">
        <f>IFERROR(__xludf.DUMMYFUNCTION("""COMPUTED_VALUE"""),"CG411")</f>
        <v>CG411</v>
      </c>
      <c r="H1568" s="5" t="str">
        <f>IFERROR(__xludf.DUMMYFUNCTION("""COMPUTED_VALUE"""),"1.8HP")</f>
        <v>1.8HP</v>
      </c>
      <c r="I1568" s="5"/>
      <c r="J1568" s="5"/>
      <c r="K1568" s="5">
        <f>IFERROR(__xludf.DUMMYFUNCTION("""COMPUTED_VALUE"""),1.0)</f>
        <v>1</v>
      </c>
      <c r="L1568" s="5" t="str">
        <f>IFERROR(__xludf.DUMMYFUNCTION("""COMPUTED_VALUE"""),"KLH")</f>
        <v>KLH</v>
      </c>
    </row>
    <row r="1569">
      <c r="A1569" s="5" t="str">
        <f>IFERROR(__xludf.DUMMYFUNCTION("""COMPUTED_VALUE"""),"XB1-MPC-054")</f>
        <v>XB1-MPC-054</v>
      </c>
      <c r="B1569" s="3" t="str">
        <f>IFERROR(__xludf.DUMMYFUNCTION("""COMPUTED_VALUE"""),"Máy phát cỏ 2 thì")</f>
        <v>Máy phát cỏ 2 thì</v>
      </c>
      <c r="C1569" s="5" t="str">
        <f>IFERROR(__xludf.DUMMYFUNCTION("""COMPUTED_VALUE"""),"XN Bò AD")</f>
        <v>XN Bò AD</v>
      </c>
      <c r="D1569" s="5" t="str">
        <f>IFERROR(__xludf.DUMMYFUNCTION("""COMPUTED_VALUE"""),"NAGATA")</f>
        <v>NAGATA</v>
      </c>
      <c r="E1569" s="5" t="str">
        <f>IFERROR(__xludf.DUMMYFUNCTION("""COMPUTED_VALUE"""),"TRUNG QUỐC")</f>
        <v>TRUNG QUỐC</v>
      </c>
      <c r="F1569" s="5"/>
      <c r="G1569" s="5" t="str">
        <f>IFERROR(__xludf.DUMMYFUNCTION("""COMPUTED_VALUE"""),"CG411")</f>
        <v>CG411</v>
      </c>
      <c r="H1569" s="5" t="str">
        <f>IFERROR(__xludf.DUMMYFUNCTION("""COMPUTED_VALUE"""),"1.8HP")</f>
        <v>1.8HP</v>
      </c>
      <c r="I1569" s="5"/>
      <c r="J1569" s="5"/>
      <c r="K1569" s="5">
        <f>IFERROR(__xludf.DUMMYFUNCTION("""COMPUTED_VALUE"""),1.0)</f>
        <v>1</v>
      </c>
      <c r="L1569" s="5" t="str">
        <f>IFERROR(__xludf.DUMMYFUNCTION("""COMPUTED_VALUE"""),"KLH")</f>
        <v>KLH</v>
      </c>
    </row>
    <row r="1570">
      <c r="A1570" s="5" t="str">
        <f>IFERROR(__xludf.DUMMYFUNCTION("""COMPUTED_VALUE"""),"XB1-MPC-055")</f>
        <v>XB1-MPC-055</v>
      </c>
      <c r="B1570" s="3" t="str">
        <f>IFERROR(__xludf.DUMMYFUNCTION("""COMPUTED_VALUE"""),"Máy phát cỏ 2 thì")</f>
        <v>Máy phát cỏ 2 thì</v>
      </c>
      <c r="C1570" s="5" t="str">
        <f>IFERROR(__xludf.DUMMYFUNCTION("""COMPUTED_VALUE"""),"XN Bò AD")</f>
        <v>XN Bò AD</v>
      </c>
      <c r="D1570" s="5" t="str">
        <f>IFERROR(__xludf.DUMMYFUNCTION("""COMPUTED_VALUE"""),"NAGATA")</f>
        <v>NAGATA</v>
      </c>
      <c r="E1570" s="5" t="str">
        <f>IFERROR(__xludf.DUMMYFUNCTION("""COMPUTED_VALUE"""),"TRUNG QUỐC")</f>
        <v>TRUNG QUỐC</v>
      </c>
      <c r="F1570" s="5"/>
      <c r="G1570" s="5" t="str">
        <f>IFERROR(__xludf.DUMMYFUNCTION("""COMPUTED_VALUE"""),"CG411")</f>
        <v>CG411</v>
      </c>
      <c r="H1570" s="5" t="str">
        <f>IFERROR(__xludf.DUMMYFUNCTION("""COMPUTED_VALUE"""),"1.8HP")</f>
        <v>1.8HP</v>
      </c>
      <c r="I1570" s="5"/>
      <c r="J1570" s="5"/>
      <c r="K1570" s="5">
        <f>IFERROR(__xludf.DUMMYFUNCTION("""COMPUTED_VALUE"""),1.0)</f>
        <v>1</v>
      </c>
      <c r="L1570" s="5" t="str">
        <f>IFERROR(__xludf.DUMMYFUNCTION("""COMPUTED_VALUE"""),"KLH")</f>
        <v>KLH</v>
      </c>
    </row>
    <row r="1571">
      <c r="A1571" s="5" t="str">
        <f>IFERROR(__xludf.DUMMYFUNCTION("""COMPUTED_VALUE"""),"XB1-MPC-056")</f>
        <v>XB1-MPC-056</v>
      </c>
      <c r="B1571" s="3" t="str">
        <f>IFERROR(__xludf.DUMMYFUNCTION("""COMPUTED_VALUE"""),"Máy phát cỏ 2 thì")</f>
        <v>Máy phát cỏ 2 thì</v>
      </c>
      <c r="C1571" s="5" t="str">
        <f>IFERROR(__xludf.DUMMYFUNCTION("""COMPUTED_VALUE"""),"XN Bò AD")</f>
        <v>XN Bò AD</v>
      </c>
      <c r="D1571" s="5" t="str">
        <f>IFERROR(__xludf.DUMMYFUNCTION("""COMPUTED_VALUE"""),"NAGATA")</f>
        <v>NAGATA</v>
      </c>
      <c r="E1571" s="5" t="str">
        <f>IFERROR(__xludf.DUMMYFUNCTION("""COMPUTED_VALUE"""),"TRUNG QUỐC")</f>
        <v>TRUNG QUỐC</v>
      </c>
      <c r="F1571" s="5"/>
      <c r="G1571" s="5" t="str">
        <f>IFERROR(__xludf.DUMMYFUNCTION("""COMPUTED_VALUE"""),"CG411")</f>
        <v>CG411</v>
      </c>
      <c r="H1571" s="5" t="str">
        <f>IFERROR(__xludf.DUMMYFUNCTION("""COMPUTED_VALUE"""),"1.8HP")</f>
        <v>1.8HP</v>
      </c>
      <c r="I1571" s="5"/>
      <c r="J1571" s="5"/>
      <c r="K1571" s="5">
        <f>IFERROR(__xludf.DUMMYFUNCTION("""COMPUTED_VALUE"""),1.0)</f>
        <v>1</v>
      </c>
      <c r="L1571" s="5" t="str">
        <f>IFERROR(__xludf.DUMMYFUNCTION("""COMPUTED_VALUE"""),"KLH")</f>
        <v>KLH</v>
      </c>
    </row>
    <row r="1572">
      <c r="A1572" s="5" t="str">
        <f>IFERROR(__xludf.DUMMYFUNCTION("""COMPUTED_VALUE"""),"XB1-MPC-057")</f>
        <v>XB1-MPC-057</v>
      </c>
      <c r="B1572" s="3" t="str">
        <f>IFERROR(__xludf.DUMMYFUNCTION("""COMPUTED_VALUE"""),"Máy phát cỏ 2 thì")</f>
        <v>Máy phát cỏ 2 thì</v>
      </c>
      <c r="C1572" s="5" t="str">
        <f>IFERROR(__xludf.DUMMYFUNCTION("""COMPUTED_VALUE"""),"XN Bò AD")</f>
        <v>XN Bò AD</v>
      </c>
      <c r="D1572" s="5" t="str">
        <f>IFERROR(__xludf.DUMMYFUNCTION("""COMPUTED_VALUE"""),"NAGATA")</f>
        <v>NAGATA</v>
      </c>
      <c r="E1572" s="5" t="str">
        <f>IFERROR(__xludf.DUMMYFUNCTION("""COMPUTED_VALUE"""),"TRUNG QUỐC")</f>
        <v>TRUNG QUỐC</v>
      </c>
      <c r="F1572" s="5"/>
      <c r="G1572" s="5" t="str">
        <f>IFERROR(__xludf.DUMMYFUNCTION("""COMPUTED_VALUE"""),"CG411")</f>
        <v>CG411</v>
      </c>
      <c r="H1572" s="5" t="str">
        <f>IFERROR(__xludf.DUMMYFUNCTION("""COMPUTED_VALUE"""),"1.8HP")</f>
        <v>1.8HP</v>
      </c>
      <c r="I1572" s="5"/>
      <c r="J1572" s="5"/>
      <c r="K1572" s="5">
        <f>IFERROR(__xludf.DUMMYFUNCTION("""COMPUTED_VALUE"""),1.0)</f>
        <v>1</v>
      </c>
      <c r="L1572" s="5" t="str">
        <f>IFERROR(__xludf.DUMMYFUNCTION("""COMPUTED_VALUE"""),"KLH")</f>
        <v>KLH</v>
      </c>
    </row>
    <row r="1573">
      <c r="A1573" s="5" t="str">
        <f>IFERROR(__xludf.DUMMYFUNCTION("""COMPUTED_VALUE"""),"XB1-MPC-058")</f>
        <v>XB1-MPC-058</v>
      </c>
      <c r="B1573" s="3" t="str">
        <f>IFERROR(__xludf.DUMMYFUNCTION("""COMPUTED_VALUE"""),"Máy phát cỏ 2 thì")</f>
        <v>Máy phát cỏ 2 thì</v>
      </c>
      <c r="C1573" s="5" t="str">
        <f>IFERROR(__xludf.DUMMYFUNCTION("""COMPUTED_VALUE"""),"XN Bò AD")</f>
        <v>XN Bò AD</v>
      </c>
      <c r="D1573" s="5" t="str">
        <f>IFERROR(__xludf.DUMMYFUNCTION("""COMPUTED_VALUE"""),"NAGATA")</f>
        <v>NAGATA</v>
      </c>
      <c r="E1573" s="5" t="str">
        <f>IFERROR(__xludf.DUMMYFUNCTION("""COMPUTED_VALUE"""),"TRUNG QUỐC")</f>
        <v>TRUNG QUỐC</v>
      </c>
      <c r="F1573" s="5"/>
      <c r="G1573" s="5" t="str">
        <f>IFERROR(__xludf.DUMMYFUNCTION("""COMPUTED_VALUE"""),"CG411")</f>
        <v>CG411</v>
      </c>
      <c r="H1573" s="5" t="str">
        <f>IFERROR(__xludf.DUMMYFUNCTION("""COMPUTED_VALUE"""),"1.8HP")</f>
        <v>1.8HP</v>
      </c>
      <c r="I1573" s="5"/>
      <c r="J1573" s="5"/>
      <c r="K1573" s="5">
        <f>IFERROR(__xludf.DUMMYFUNCTION("""COMPUTED_VALUE"""),1.0)</f>
        <v>1</v>
      </c>
      <c r="L1573" s="5" t="str">
        <f>IFERROR(__xludf.DUMMYFUNCTION("""COMPUTED_VALUE"""),"KLH")</f>
        <v>KLH</v>
      </c>
    </row>
    <row r="1574">
      <c r="A1574" s="5" t="str">
        <f>IFERROR(__xludf.DUMMYFUNCTION("""COMPUTED_VALUE"""),"XB1-MPC-059")</f>
        <v>XB1-MPC-059</v>
      </c>
      <c r="B1574" s="3" t="str">
        <f>IFERROR(__xludf.DUMMYFUNCTION("""COMPUTED_VALUE"""),"Máy phát cỏ 2 thì")</f>
        <v>Máy phát cỏ 2 thì</v>
      </c>
      <c r="C1574" s="5" t="str">
        <f>IFERROR(__xludf.DUMMYFUNCTION("""COMPUTED_VALUE"""),"XN Bò AD")</f>
        <v>XN Bò AD</v>
      </c>
      <c r="D1574" s="5" t="str">
        <f>IFERROR(__xludf.DUMMYFUNCTION("""COMPUTED_VALUE"""),"NAGATA")</f>
        <v>NAGATA</v>
      </c>
      <c r="E1574" s="5" t="str">
        <f>IFERROR(__xludf.DUMMYFUNCTION("""COMPUTED_VALUE"""),"TRUNG QUỐC")</f>
        <v>TRUNG QUỐC</v>
      </c>
      <c r="F1574" s="5"/>
      <c r="G1574" s="5" t="str">
        <f>IFERROR(__xludf.DUMMYFUNCTION("""COMPUTED_VALUE"""),"CG411")</f>
        <v>CG411</v>
      </c>
      <c r="H1574" s="5" t="str">
        <f>IFERROR(__xludf.DUMMYFUNCTION("""COMPUTED_VALUE"""),"1.8HP")</f>
        <v>1.8HP</v>
      </c>
      <c r="I1574" s="5"/>
      <c r="J1574" s="5"/>
      <c r="K1574" s="5">
        <f>IFERROR(__xludf.DUMMYFUNCTION("""COMPUTED_VALUE"""),1.0)</f>
        <v>1</v>
      </c>
      <c r="L1574" s="5" t="str">
        <f>IFERROR(__xludf.DUMMYFUNCTION("""COMPUTED_VALUE"""),"KLH")</f>
        <v>KLH</v>
      </c>
    </row>
    <row r="1575">
      <c r="A1575" s="5" t="str">
        <f>IFERROR(__xludf.DUMMYFUNCTION("""COMPUTED_VALUE"""),"XB1-MPC-060")</f>
        <v>XB1-MPC-060</v>
      </c>
      <c r="B1575" s="3" t="str">
        <f>IFERROR(__xludf.DUMMYFUNCTION("""COMPUTED_VALUE"""),"Máy phát cỏ 2 thì")</f>
        <v>Máy phát cỏ 2 thì</v>
      </c>
      <c r="C1575" s="5" t="str">
        <f>IFERROR(__xludf.DUMMYFUNCTION("""COMPUTED_VALUE"""),"XN Bò AD")</f>
        <v>XN Bò AD</v>
      </c>
      <c r="D1575" s="5" t="str">
        <f>IFERROR(__xludf.DUMMYFUNCTION("""COMPUTED_VALUE"""),"NAGATA")</f>
        <v>NAGATA</v>
      </c>
      <c r="E1575" s="5" t="str">
        <f>IFERROR(__xludf.DUMMYFUNCTION("""COMPUTED_VALUE"""),"TRUNG QUỐC")</f>
        <v>TRUNG QUỐC</v>
      </c>
      <c r="F1575" s="5"/>
      <c r="G1575" s="5" t="str">
        <f>IFERROR(__xludf.DUMMYFUNCTION("""COMPUTED_VALUE"""),"CG411")</f>
        <v>CG411</v>
      </c>
      <c r="H1575" s="5" t="str">
        <f>IFERROR(__xludf.DUMMYFUNCTION("""COMPUTED_VALUE"""),"1.8HP")</f>
        <v>1.8HP</v>
      </c>
      <c r="I1575" s="5"/>
      <c r="J1575" s="5"/>
      <c r="K1575" s="5">
        <f>IFERROR(__xludf.DUMMYFUNCTION("""COMPUTED_VALUE"""),1.0)</f>
        <v>1</v>
      </c>
      <c r="L1575" s="5" t="str">
        <f>IFERROR(__xludf.DUMMYFUNCTION("""COMPUTED_VALUE"""),"KLH")</f>
        <v>KLH</v>
      </c>
    </row>
    <row r="1576">
      <c r="A1576" s="5" t="str">
        <f>IFERROR(__xludf.DUMMYFUNCTION("""COMPUTED_VALUE"""),"XB1-MPC-061")</f>
        <v>XB1-MPC-061</v>
      </c>
      <c r="B1576" s="3" t="str">
        <f>IFERROR(__xludf.DUMMYFUNCTION("""COMPUTED_VALUE"""),"Máy phát cỏ 2 thì")</f>
        <v>Máy phát cỏ 2 thì</v>
      </c>
      <c r="C1576" s="5" t="str">
        <f>IFERROR(__xludf.DUMMYFUNCTION("""COMPUTED_VALUE"""),"XN Bò AD")</f>
        <v>XN Bò AD</v>
      </c>
      <c r="D1576" s="5" t="str">
        <f>IFERROR(__xludf.DUMMYFUNCTION("""COMPUTED_VALUE"""),"NAGATA")</f>
        <v>NAGATA</v>
      </c>
      <c r="E1576" s="5" t="str">
        <f>IFERROR(__xludf.DUMMYFUNCTION("""COMPUTED_VALUE"""),"TRUNG QUỐC")</f>
        <v>TRUNG QUỐC</v>
      </c>
      <c r="F1576" s="5"/>
      <c r="G1576" s="5" t="str">
        <f>IFERROR(__xludf.DUMMYFUNCTION("""COMPUTED_VALUE"""),"CG411")</f>
        <v>CG411</v>
      </c>
      <c r="H1576" s="5" t="str">
        <f>IFERROR(__xludf.DUMMYFUNCTION("""COMPUTED_VALUE"""),"1.8HP")</f>
        <v>1.8HP</v>
      </c>
      <c r="I1576" s="5"/>
      <c r="J1576" s="5"/>
      <c r="K1576" s="5">
        <f>IFERROR(__xludf.DUMMYFUNCTION("""COMPUTED_VALUE"""),1.0)</f>
        <v>1</v>
      </c>
      <c r="L1576" s="5" t="str">
        <f>IFERROR(__xludf.DUMMYFUNCTION("""COMPUTED_VALUE"""),"KLH")</f>
        <v>KLH</v>
      </c>
    </row>
    <row r="1577">
      <c r="A1577" s="5" t="str">
        <f>IFERROR(__xludf.DUMMYFUNCTION("""COMPUTED_VALUE"""),"XB1-MPC-062")</f>
        <v>XB1-MPC-062</v>
      </c>
      <c r="B1577" s="3" t="str">
        <f>IFERROR(__xludf.DUMMYFUNCTION("""COMPUTED_VALUE"""),"Máy phát cỏ 2 thì")</f>
        <v>Máy phát cỏ 2 thì</v>
      </c>
      <c r="C1577" s="5" t="str">
        <f>IFERROR(__xludf.DUMMYFUNCTION("""COMPUTED_VALUE"""),"XN Bò AD")</f>
        <v>XN Bò AD</v>
      </c>
      <c r="D1577" s="5" t="str">
        <f>IFERROR(__xludf.DUMMYFUNCTION("""COMPUTED_VALUE"""),"NAGATA")</f>
        <v>NAGATA</v>
      </c>
      <c r="E1577" s="5" t="str">
        <f>IFERROR(__xludf.DUMMYFUNCTION("""COMPUTED_VALUE"""),"TRUNG QUỐC")</f>
        <v>TRUNG QUỐC</v>
      </c>
      <c r="F1577" s="5"/>
      <c r="G1577" s="5" t="str">
        <f>IFERROR(__xludf.DUMMYFUNCTION("""COMPUTED_VALUE"""),"CG411")</f>
        <v>CG411</v>
      </c>
      <c r="H1577" s="5" t="str">
        <f>IFERROR(__xludf.DUMMYFUNCTION("""COMPUTED_VALUE"""),"1.8HP")</f>
        <v>1.8HP</v>
      </c>
      <c r="I1577" s="5"/>
      <c r="J1577" s="5"/>
      <c r="K1577" s="5">
        <f>IFERROR(__xludf.DUMMYFUNCTION("""COMPUTED_VALUE"""),1.0)</f>
        <v>1</v>
      </c>
      <c r="L1577" s="5" t="str">
        <f>IFERROR(__xludf.DUMMYFUNCTION("""COMPUTED_VALUE"""),"KLH")</f>
        <v>KLH</v>
      </c>
    </row>
    <row r="1578">
      <c r="A1578" s="5" t="str">
        <f>IFERROR(__xludf.DUMMYFUNCTION("""COMPUTED_VALUE"""),"XB1-MPC-063")</f>
        <v>XB1-MPC-063</v>
      </c>
      <c r="B1578" s="3" t="str">
        <f>IFERROR(__xludf.DUMMYFUNCTION("""COMPUTED_VALUE"""),"Máy phát cỏ 2 thì")</f>
        <v>Máy phát cỏ 2 thì</v>
      </c>
      <c r="C1578" s="5" t="str">
        <f>IFERROR(__xludf.DUMMYFUNCTION("""COMPUTED_VALUE"""),"XN Bò AD")</f>
        <v>XN Bò AD</v>
      </c>
      <c r="D1578" s="5" t="str">
        <f>IFERROR(__xludf.DUMMYFUNCTION("""COMPUTED_VALUE"""),"NAGATA")</f>
        <v>NAGATA</v>
      </c>
      <c r="E1578" s="5" t="str">
        <f>IFERROR(__xludf.DUMMYFUNCTION("""COMPUTED_VALUE"""),"TRUNG QUỐC")</f>
        <v>TRUNG QUỐC</v>
      </c>
      <c r="F1578" s="5"/>
      <c r="G1578" s="5" t="str">
        <f>IFERROR(__xludf.DUMMYFUNCTION("""COMPUTED_VALUE"""),"CG411")</f>
        <v>CG411</v>
      </c>
      <c r="H1578" s="5" t="str">
        <f>IFERROR(__xludf.DUMMYFUNCTION("""COMPUTED_VALUE"""),"1.8HP")</f>
        <v>1.8HP</v>
      </c>
      <c r="I1578" s="5"/>
      <c r="J1578" s="5"/>
      <c r="K1578" s="5">
        <f>IFERROR(__xludf.DUMMYFUNCTION("""COMPUTED_VALUE"""),1.0)</f>
        <v>1</v>
      </c>
      <c r="L1578" s="5" t="str">
        <f>IFERROR(__xludf.DUMMYFUNCTION("""COMPUTED_VALUE"""),"KLH")</f>
        <v>KLH</v>
      </c>
    </row>
    <row r="1579">
      <c r="A1579" s="5" t="str">
        <f>IFERROR(__xludf.DUMMYFUNCTION("""COMPUTED_VALUE"""),"XB1-MPC-064")</f>
        <v>XB1-MPC-064</v>
      </c>
      <c r="B1579" s="3" t="str">
        <f>IFERROR(__xludf.DUMMYFUNCTION("""COMPUTED_VALUE"""),"Máy phát cỏ 2 thì")</f>
        <v>Máy phát cỏ 2 thì</v>
      </c>
      <c r="C1579" s="5" t="str">
        <f>IFERROR(__xludf.DUMMYFUNCTION("""COMPUTED_VALUE"""),"XN Bò AD")</f>
        <v>XN Bò AD</v>
      </c>
      <c r="D1579" s="5" t="str">
        <f>IFERROR(__xludf.DUMMYFUNCTION("""COMPUTED_VALUE"""),"NAGATA")</f>
        <v>NAGATA</v>
      </c>
      <c r="E1579" s="5" t="str">
        <f>IFERROR(__xludf.DUMMYFUNCTION("""COMPUTED_VALUE"""),"TRUNG QUỐC")</f>
        <v>TRUNG QUỐC</v>
      </c>
      <c r="F1579" s="5"/>
      <c r="G1579" s="5" t="str">
        <f>IFERROR(__xludf.DUMMYFUNCTION("""COMPUTED_VALUE"""),"CG411")</f>
        <v>CG411</v>
      </c>
      <c r="H1579" s="5" t="str">
        <f>IFERROR(__xludf.DUMMYFUNCTION("""COMPUTED_VALUE"""),"1.8HP")</f>
        <v>1.8HP</v>
      </c>
      <c r="I1579" s="5"/>
      <c r="J1579" s="5"/>
      <c r="K1579" s="5">
        <f>IFERROR(__xludf.DUMMYFUNCTION("""COMPUTED_VALUE"""),1.0)</f>
        <v>1</v>
      </c>
      <c r="L1579" s="5" t="str">
        <f>IFERROR(__xludf.DUMMYFUNCTION("""COMPUTED_VALUE"""),"KLH")</f>
        <v>KLH</v>
      </c>
    </row>
    <row r="1580">
      <c r="A1580" s="5" t="str">
        <f>IFERROR(__xludf.DUMMYFUNCTION("""COMPUTED_VALUE"""),"XB1-MPC-065")</f>
        <v>XB1-MPC-065</v>
      </c>
      <c r="B1580" s="3" t="str">
        <f>IFERROR(__xludf.DUMMYFUNCTION("""COMPUTED_VALUE"""),"Máy phát cỏ 2 thì")</f>
        <v>Máy phát cỏ 2 thì</v>
      </c>
      <c r="C1580" s="5" t="str">
        <f>IFERROR(__xludf.DUMMYFUNCTION("""COMPUTED_VALUE"""),"XN Bò AD")</f>
        <v>XN Bò AD</v>
      </c>
      <c r="D1580" s="5" t="str">
        <f>IFERROR(__xludf.DUMMYFUNCTION("""COMPUTED_VALUE"""),"NAGATA")</f>
        <v>NAGATA</v>
      </c>
      <c r="E1580" s="5" t="str">
        <f>IFERROR(__xludf.DUMMYFUNCTION("""COMPUTED_VALUE"""),"TRUNG QUỐC")</f>
        <v>TRUNG QUỐC</v>
      </c>
      <c r="F1580" s="5"/>
      <c r="G1580" s="5" t="str">
        <f>IFERROR(__xludf.DUMMYFUNCTION("""COMPUTED_VALUE"""),"CG411")</f>
        <v>CG411</v>
      </c>
      <c r="H1580" s="5" t="str">
        <f>IFERROR(__xludf.DUMMYFUNCTION("""COMPUTED_VALUE"""),"1.8HP")</f>
        <v>1.8HP</v>
      </c>
      <c r="I1580" s="5"/>
      <c r="J1580" s="5"/>
      <c r="K1580" s="5">
        <f>IFERROR(__xludf.DUMMYFUNCTION("""COMPUTED_VALUE"""),1.0)</f>
        <v>1</v>
      </c>
      <c r="L1580" s="5" t="str">
        <f>IFERROR(__xludf.DUMMYFUNCTION("""COMPUTED_VALUE"""),"KLH")</f>
        <v>KLH</v>
      </c>
    </row>
    <row r="1581">
      <c r="A1581" s="5" t="str">
        <f>IFERROR(__xludf.DUMMYFUNCTION("""COMPUTED_VALUE"""),"XB1-MPC-066")</f>
        <v>XB1-MPC-066</v>
      </c>
      <c r="B1581" s="3" t="str">
        <f>IFERROR(__xludf.DUMMYFUNCTION("""COMPUTED_VALUE"""),"Máy phát cỏ 2 thì")</f>
        <v>Máy phát cỏ 2 thì</v>
      </c>
      <c r="C1581" s="5" t="str">
        <f>IFERROR(__xludf.DUMMYFUNCTION("""COMPUTED_VALUE"""),"XN Bò AD")</f>
        <v>XN Bò AD</v>
      </c>
      <c r="D1581" s="5" t="str">
        <f>IFERROR(__xludf.DUMMYFUNCTION("""COMPUTED_VALUE"""),"NAGATA")</f>
        <v>NAGATA</v>
      </c>
      <c r="E1581" s="5" t="str">
        <f>IFERROR(__xludf.DUMMYFUNCTION("""COMPUTED_VALUE"""),"TRUNG QUỐC")</f>
        <v>TRUNG QUỐC</v>
      </c>
      <c r="F1581" s="5"/>
      <c r="G1581" s="5" t="str">
        <f>IFERROR(__xludf.DUMMYFUNCTION("""COMPUTED_VALUE"""),"CG411")</f>
        <v>CG411</v>
      </c>
      <c r="H1581" s="5" t="str">
        <f>IFERROR(__xludf.DUMMYFUNCTION("""COMPUTED_VALUE"""),"1.8HP")</f>
        <v>1.8HP</v>
      </c>
      <c r="I1581" s="5"/>
      <c r="J1581" s="5"/>
      <c r="K1581" s="5">
        <f>IFERROR(__xludf.DUMMYFUNCTION("""COMPUTED_VALUE"""),1.0)</f>
        <v>1</v>
      </c>
      <c r="L1581" s="5" t="str">
        <f>IFERROR(__xludf.DUMMYFUNCTION("""COMPUTED_VALUE"""),"KLH")</f>
        <v>KLH</v>
      </c>
    </row>
    <row r="1582">
      <c r="A1582" s="5" t="str">
        <f>IFERROR(__xludf.DUMMYFUNCTION("""COMPUTED_VALUE"""),"XB1-MPC-067")</f>
        <v>XB1-MPC-067</v>
      </c>
      <c r="B1582" s="3" t="str">
        <f>IFERROR(__xludf.DUMMYFUNCTION("""COMPUTED_VALUE"""),"Máy phát cỏ 2 thì")</f>
        <v>Máy phát cỏ 2 thì</v>
      </c>
      <c r="C1582" s="5" t="str">
        <f>IFERROR(__xludf.DUMMYFUNCTION("""COMPUTED_VALUE"""),"XN Bò AD")</f>
        <v>XN Bò AD</v>
      </c>
      <c r="D1582" s="5" t="str">
        <f>IFERROR(__xludf.DUMMYFUNCTION("""COMPUTED_VALUE"""),"NAGATA")</f>
        <v>NAGATA</v>
      </c>
      <c r="E1582" s="5" t="str">
        <f>IFERROR(__xludf.DUMMYFUNCTION("""COMPUTED_VALUE"""),"TRUNG QUỐC")</f>
        <v>TRUNG QUỐC</v>
      </c>
      <c r="F1582" s="5"/>
      <c r="G1582" s="5" t="str">
        <f>IFERROR(__xludf.DUMMYFUNCTION("""COMPUTED_VALUE"""),"CG411")</f>
        <v>CG411</v>
      </c>
      <c r="H1582" s="5" t="str">
        <f>IFERROR(__xludf.DUMMYFUNCTION("""COMPUTED_VALUE"""),"1.8HP")</f>
        <v>1.8HP</v>
      </c>
      <c r="I1582" s="5"/>
      <c r="J1582" s="5"/>
      <c r="K1582" s="5">
        <f>IFERROR(__xludf.DUMMYFUNCTION("""COMPUTED_VALUE"""),1.0)</f>
        <v>1</v>
      </c>
      <c r="L1582" s="5" t="str">
        <f>IFERROR(__xludf.DUMMYFUNCTION("""COMPUTED_VALUE"""),"KLH")</f>
        <v>KLH</v>
      </c>
    </row>
    <row r="1583">
      <c r="A1583" s="5" t="str">
        <f>IFERROR(__xludf.DUMMYFUNCTION("""COMPUTED_VALUE"""),"XB1-MPC-068")</f>
        <v>XB1-MPC-068</v>
      </c>
      <c r="B1583" s="3" t="str">
        <f>IFERROR(__xludf.DUMMYFUNCTION("""COMPUTED_VALUE"""),"Máy phát cỏ 2 thì")</f>
        <v>Máy phát cỏ 2 thì</v>
      </c>
      <c r="C1583" s="5" t="str">
        <f>IFERROR(__xludf.DUMMYFUNCTION("""COMPUTED_VALUE"""),"XN Bò AD")</f>
        <v>XN Bò AD</v>
      </c>
      <c r="D1583" s="5" t="str">
        <f>IFERROR(__xludf.DUMMYFUNCTION("""COMPUTED_VALUE"""),"NAGATA")</f>
        <v>NAGATA</v>
      </c>
      <c r="E1583" s="5" t="str">
        <f>IFERROR(__xludf.DUMMYFUNCTION("""COMPUTED_VALUE"""),"TRUNG QUỐC")</f>
        <v>TRUNG QUỐC</v>
      </c>
      <c r="F1583" s="5"/>
      <c r="G1583" s="5" t="str">
        <f>IFERROR(__xludf.DUMMYFUNCTION("""COMPUTED_VALUE"""),"CG411")</f>
        <v>CG411</v>
      </c>
      <c r="H1583" s="5" t="str">
        <f>IFERROR(__xludf.DUMMYFUNCTION("""COMPUTED_VALUE"""),"1.8HP")</f>
        <v>1.8HP</v>
      </c>
      <c r="I1583" s="5"/>
      <c r="J1583" s="5"/>
      <c r="K1583" s="5">
        <f>IFERROR(__xludf.DUMMYFUNCTION("""COMPUTED_VALUE"""),1.0)</f>
        <v>1</v>
      </c>
      <c r="L1583" s="5" t="str">
        <f>IFERROR(__xludf.DUMMYFUNCTION("""COMPUTED_VALUE"""),"KLH")</f>
        <v>KLH</v>
      </c>
    </row>
    <row r="1584">
      <c r="A1584" s="5" t="str">
        <f>IFERROR(__xludf.DUMMYFUNCTION("""COMPUTED_VALUE"""),"XB1-MPC-069")</f>
        <v>XB1-MPC-069</v>
      </c>
      <c r="B1584" s="3" t="str">
        <f>IFERROR(__xludf.DUMMYFUNCTION("""COMPUTED_VALUE"""),"Máy phát cỏ 2 thì")</f>
        <v>Máy phát cỏ 2 thì</v>
      </c>
      <c r="C1584" s="5" t="str">
        <f>IFERROR(__xludf.DUMMYFUNCTION("""COMPUTED_VALUE"""),"XN Bò AD")</f>
        <v>XN Bò AD</v>
      </c>
      <c r="D1584" s="5" t="str">
        <f>IFERROR(__xludf.DUMMYFUNCTION("""COMPUTED_VALUE"""),"NAGATA")</f>
        <v>NAGATA</v>
      </c>
      <c r="E1584" s="5" t="str">
        <f>IFERROR(__xludf.DUMMYFUNCTION("""COMPUTED_VALUE"""),"TRUNG QUỐC")</f>
        <v>TRUNG QUỐC</v>
      </c>
      <c r="F1584" s="5"/>
      <c r="G1584" s="5" t="str">
        <f>IFERROR(__xludf.DUMMYFUNCTION("""COMPUTED_VALUE"""),"CG411")</f>
        <v>CG411</v>
      </c>
      <c r="H1584" s="5" t="str">
        <f>IFERROR(__xludf.DUMMYFUNCTION("""COMPUTED_VALUE"""),"1.8HP")</f>
        <v>1.8HP</v>
      </c>
      <c r="I1584" s="5"/>
      <c r="J1584" s="5"/>
      <c r="K1584" s="5">
        <f>IFERROR(__xludf.DUMMYFUNCTION("""COMPUTED_VALUE"""),1.0)</f>
        <v>1</v>
      </c>
      <c r="L1584" s="5" t="str">
        <f>IFERROR(__xludf.DUMMYFUNCTION("""COMPUTED_VALUE"""),"KLH")</f>
        <v>KLH</v>
      </c>
    </row>
    <row r="1585">
      <c r="A1585" s="5" t="str">
        <f>IFERROR(__xludf.DUMMYFUNCTION("""COMPUTED_VALUE"""),"XB1-MPC-070")</f>
        <v>XB1-MPC-070</v>
      </c>
      <c r="B1585" s="3" t="str">
        <f>IFERROR(__xludf.DUMMYFUNCTION("""COMPUTED_VALUE"""),"Máy phát cỏ 2 thì")</f>
        <v>Máy phát cỏ 2 thì</v>
      </c>
      <c r="C1585" s="5" t="str">
        <f>IFERROR(__xludf.DUMMYFUNCTION("""COMPUTED_VALUE"""),"XN Bò AD")</f>
        <v>XN Bò AD</v>
      </c>
      <c r="D1585" s="5" t="str">
        <f>IFERROR(__xludf.DUMMYFUNCTION("""COMPUTED_VALUE"""),"NAGATA")</f>
        <v>NAGATA</v>
      </c>
      <c r="E1585" s="5" t="str">
        <f>IFERROR(__xludf.DUMMYFUNCTION("""COMPUTED_VALUE"""),"TRUNG QUỐC")</f>
        <v>TRUNG QUỐC</v>
      </c>
      <c r="F1585" s="5"/>
      <c r="G1585" s="5" t="str">
        <f>IFERROR(__xludf.DUMMYFUNCTION("""COMPUTED_VALUE"""),"CG411")</f>
        <v>CG411</v>
      </c>
      <c r="H1585" s="5" t="str">
        <f>IFERROR(__xludf.DUMMYFUNCTION("""COMPUTED_VALUE"""),"1.8HP")</f>
        <v>1.8HP</v>
      </c>
      <c r="I1585" s="5"/>
      <c r="J1585" s="5"/>
      <c r="K1585" s="5">
        <f>IFERROR(__xludf.DUMMYFUNCTION("""COMPUTED_VALUE"""),1.0)</f>
        <v>1</v>
      </c>
      <c r="L1585" s="5" t="str">
        <f>IFERROR(__xludf.DUMMYFUNCTION("""COMPUTED_VALUE"""),"KLH")</f>
        <v>KLH</v>
      </c>
    </row>
    <row r="1586">
      <c r="A1586" s="5" t="str">
        <f>IFERROR(__xludf.DUMMYFUNCTION("""COMPUTED_VALUE"""),"XB1-MPC-071")</f>
        <v>XB1-MPC-071</v>
      </c>
      <c r="B1586" s="3" t="str">
        <f>IFERROR(__xludf.DUMMYFUNCTION("""COMPUTED_VALUE"""),"Máy phát cỏ 2 thì")</f>
        <v>Máy phát cỏ 2 thì</v>
      </c>
      <c r="C1586" s="5" t="str">
        <f>IFERROR(__xludf.DUMMYFUNCTION("""COMPUTED_VALUE"""),"XN Bò AD")</f>
        <v>XN Bò AD</v>
      </c>
      <c r="D1586" s="5" t="str">
        <f>IFERROR(__xludf.DUMMYFUNCTION("""COMPUTED_VALUE"""),"NAGATA")</f>
        <v>NAGATA</v>
      </c>
      <c r="E1586" s="5" t="str">
        <f>IFERROR(__xludf.DUMMYFUNCTION("""COMPUTED_VALUE"""),"TRUNG QUỐC")</f>
        <v>TRUNG QUỐC</v>
      </c>
      <c r="F1586" s="5"/>
      <c r="G1586" s="5" t="str">
        <f>IFERROR(__xludf.DUMMYFUNCTION("""COMPUTED_VALUE"""),"CG411")</f>
        <v>CG411</v>
      </c>
      <c r="H1586" s="5" t="str">
        <f>IFERROR(__xludf.DUMMYFUNCTION("""COMPUTED_VALUE"""),"1.8HP")</f>
        <v>1.8HP</v>
      </c>
      <c r="I1586" s="5"/>
      <c r="J1586" s="5"/>
      <c r="K1586" s="5">
        <f>IFERROR(__xludf.DUMMYFUNCTION("""COMPUTED_VALUE"""),1.0)</f>
        <v>1</v>
      </c>
      <c r="L1586" s="5" t="str">
        <f>IFERROR(__xludf.DUMMYFUNCTION("""COMPUTED_VALUE"""),"KLH")</f>
        <v>KLH</v>
      </c>
    </row>
    <row r="1587">
      <c r="A1587" s="5" t="str">
        <f>IFERROR(__xludf.DUMMYFUNCTION("""COMPUTED_VALUE"""),"XB1-MPC-072")</f>
        <v>XB1-MPC-072</v>
      </c>
      <c r="B1587" s="3" t="str">
        <f>IFERROR(__xludf.DUMMYFUNCTION("""COMPUTED_VALUE"""),"Máy phát cỏ 2 thì")</f>
        <v>Máy phát cỏ 2 thì</v>
      </c>
      <c r="C1587" s="5" t="str">
        <f>IFERROR(__xludf.DUMMYFUNCTION("""COMPUTED_VALUE"""),"XN Bò AD")</f>
        <v>XN Bò AD</v>
      </c>
      <c r="D1587" s="5" t="str">
        <f>IFERROR(__xludf.DUMMYFUNCTION("""COMPUTED_VALUE"""),"NAGATA")</f>
        <v>NAGATA</v>
      </c>
      <c r="E1587" s="5" t="str">
        <f>IFERROR(__xludf.DUMMYFUNCTION("""COMPUTED_VALUE"""),"TRUNG QUỐC")</f>
        <v>TRUNG QUỐC</v>
      </c>
      <c r="F1587" s="5"/>
      <c r="G1587" s="5" t="str">
        <f>IFERROR(__xludf.DUMMYFUNCTION("""COMPUTED_VALUE"""),"CG411")</f>
        <v>CG411</v>
      </c>
      <c r="H1587" s="5" t="str">
        <f>IFERROR(__xludf.DUMMYFUNCTION("""COMPUTED_VALUE"""),"1.8HP")</f>
        <v>1.8HP</v>
      </c>
      <c r="I1587" s="5"/>
      <c r="J1587" s="5"/>
      <c r="K1587" s="5">
        <f>IFERROR(__xludf.DUMMYFUNCTION("""COMPUTED_VALUE"""),1.0)</f>
        <v>1</v>
      </c>
      <c r="L1587" s="5" t="str">
        <f>IFERROR(__xludf.DUMMYFUNCTION("""COMPUTED_VALUE"""),"KLH")</f>
        <v>KLH</v>
      </c>
    </row>
    <row r="1588">
      <c r="A1588" s="5" t="str">
        <f>IFERROR(__xludf.DUMMYFUNCTION("""COMPUTED_VALUE"""),"XB1-MPC-073")</f>
        <v>XB1-MPC-073</v>
      </c>
      <c r="B1588" s="3" t="str">
        <f>IFERROR(__xludf.DUMMYFUNCTION("""COMPUTED_VALUE"""),"Máy phát cỏ 2 thì")</f>
        <v>Máy phát cỏ 2 thì</v>
      </c>
      <c r="C1588" s="5" t="str">
        <f>IFERROR(__xludf.DUMMYFUNCTION("""COMPUTED_VALUE"""),"XN Bò AD")</f>
        <v>XN Bò AD</v>
      </c>
      <c r="D1588" s="5" t="str">
        <f>IFERROR(__xludf.DUMMYFUNCTION("""COMPUTED_VALUE"""),"NAGATA")</f>
        <v>NAGATA</v>
      </c>
      <c r="E1588" s="5" t="str">
        <f>IFERROR(__xludf.DUMMYFUNCTION("""COMPUTED_VALUE"""),"TRUNG QUỐC")</f>
        <v>TRUNG QUỐC</v>
      </c>
      <c r="F1588" s="5"/>
      <c r="G1588" s="5" t="str">
        <f>IFERROR(__xludf.DUMMYFUNCTION("""COMPUTED_VALUE"""),"CG411")</f>
        <v>CG411</v>
      </c>
      <c r="H1588" s="5" t="str">
        <f>IFERROR(__xludf.DUMMYFUNCTION("""COMPUTED_VALUE"""),"1.8HP")</f>
        <v>1.8HP</v>
      </c>
      <c r="I1588" s="5"/>
      <c r="J1588" s="5"/>
      <c r="K1588" s="5">
        <f>IFERROR(__xludf.DUMMYFUNCTION("""COMPUTED_VALUE"""),1.0)</f>
        <v>1</v>
      </c>
      <c r="L1588" s="5" t="str">
        <f>IFERROR(__xludf.DUMMYFUNCTION("""COMPUTED_VALUE"""),"KLH")</f>
        <v>KLH</v>
      </c>
    </row>
    <row r="1589">
      <c r="A1589" s="5" t="str">
        <f>IFERROR(__xludf.DUMMYFUNCTION("""COMPUTED_VALUE"""),"XB1-MPC-074")</f>
        <v>XB1-MPC-074</v>
      </c>
      <c r="B1589" s="3" t="str">
        <f>IFERROR(__xludf.DUMMYFUNCTION("""COMPUTED_VALUE"""),"Máy phát cỏ 2 thì")</f>
        <v>Máy phát cỏ 2 thì</v>
      </c>
      <c r="C1589" s="5" t="str">
        <f>IFERROR(__xludf.DUMMYFUNCTION("""COMPUTED_VALUE"""),"XN Bò AD")</f>
        <v>XN Bò AD</v>
      </c>
      <c r="D1589" s="5" t="str">
        <f>IFERROR(__xludf.DUMMYFUNCTION("""COMPUTED_VALUE"""),"NAGATA")</f>
        <v>NAGATA</v>
      </c>
      <c r="E1589" s="5" t="str">
        <f>IFERROR(__xludf.DUMMYFUNCTION("""COMPUTED_VALUE"""),"TRUNG QUỐC")</f>
        <v>TRUNG QUỐC</v>
      </c>
      <c r="F1589" s="5"/>
      <c r="G1589" s="5" t="str">
        <f>IFERROR(__xludf.DUMMYFUNCTION("""COMPUTED_VALUE"""),"CG411")</f>
        <v>CG411</v>
      </c>
      <c r="H1589" s="5" t="str">
        <f>IFERROR(__xludf.DUMMYFUNCTION("""COMPUTED_VALUE"""),"1.8HP")</f>
        <v>1.8HP</v>
      </c>
      <c r="I1589" s="5"/>
      <c r="J1589" s="5"/>
      <c r="K1589" s="5">
        <f>IFERROR(__xludf.DUMMYFUNCTION("""COMPUTED_VALUE"""),1.0)</f>
        <v>1</v>
      </c>
      <c r="L1589" s="5" t="str">
        <f>IFERROR(__xludf.DUMMYFUNCTION("""COMPUTED_VALUE"""),"KLH")</f>
        <v>KLH</v>
      </c>
    </row>
    <row r="1590">
      <c r="A1590" s="5" t="str">
        <f>IFERROR(__xludf.DUMMYFUNCTION("""COMPUTED_VALUE"""),"XB1-MPC-075")</f>
        <v>XB1-MPC-075</v>
      </c>
      <c r="B1590" s="3" t="str">
        <f>IFERROR(__xludf.DUMMYFUNCTION("""COMPUTED_VALUE"""),"Máy phát cỏ 2 thì")</f>
        <v>Máy phát cỏ 2 thì</v>
      </c>
      <c r="C1590" s="5" t="str">
        <f>IFERROR(__xludf.DUMMYFUNCTION("""COMPUTED_VALUE"""),"XN Bò AD")</f>
        <v>XN Bò AD</v>
      </c>
      <c r="D1590" s="5" t="str">
        <f>IFERROR(__xludf.DUMMYFUNCTION("""COMPUTED_VALUE"""),"NAGATA")</f>
        <v>NAGATA</v>
      </c>
      <c r="E1590" s="5" t="str">
        <f>IFERROR(__xludf.DUMMYFUNCTION("""COMPUTED_VALUE"""),"TRUNG QUỐC")</f>
        <v>TRUNG QUỐC</v>
      </c>
      <c r="F1590" s="5"/>
      <c r="G1590" s="5" t="str">
        <f>IFERROR(__xludf.DUMMYFUNCTION("""COMPUTED_VALUE"""),"CG411")</f>
        <v>CG411</v>
      </c>
      <c r="H1590" s="5" t="str">
        <f>IFERROR(__xludf.DUMMYFUNCTION("""COMPUTED_VALUE"""),"1.8HP")</f>
        <v>1.8HP</v>
      </c>
      <c r="I1590" s="5"/>
      <c r="J1590" s="5"/>
      <c r="K1590" s="5">
        <f>IFERROR(__xludf.DUMMYFUNCTION("""COMPUTED_VALUE"""),1.0)</f>
        <v>1</v>
      </c>
      <c r="L1590" s="5" t="str">
        <f>IFERROR(__xludf.DUMMYFUNCTION("""COMPUTED_VALUE"""),"KLH")</f>
        <v>KLH</v>
      </c>
    </row>
    <row r="1591">
      <c r="A1591" s="5" t="str">
        <f>IFERROR(__xludf.DUMMYFUNCTION("""COMPUTED_VALUE"""),"XB1-MPC-076")</f>
        <v>XB1-MPC-076</v>
      </c>
      <c r="B1591" s="3" t="str">
        <f>IFERROR(__xludf.DUMMYFUNCTION("""COMPUTED_VALUE"""),"Máy phát cỏ 2 thì")</f>
        <v>Máy phát cỏ 2 thì</v>
      </c>
      <c r="C1591" s="5" t="str">
        <f>IFERROR(__xludf.DUMMYFUNCTION("""COMPUTED_VALUE"""),"XN Bò AD")</f>
        <v>XN Bò AD</v>
      </c>
      <c r="D1591" s="5" t="str">
        <f>IFERROR(__xludf.DUMMYFUNCTION("""COMPUTED_VALUE"""),"NAGATA")</f>
        <v>NAGATA</v>
      </c>
      <c r="E1591" s="5" t="str">
        <f>IFERROR(__xludf.DUMMYFUNCTION("""COMPUTED_VALUE"""),"TRUNG QUỐC")</f>
        <v>TRUNG QUỐC</v>
      </c>
      <c r="F1591" s="5"/>
      <c r="G1591" s="5" t="str">
        <f>IFERROR(__xludf.DUMMYFUNCTION("""COMPUTED_VALUE"""),"CG411")</f>
        <v>CG411</v>
      </c>
      <c r="H1591" s="5" t="str">
        <f>IFERROR(__xludf.DUMMYFUNCTION("""COMPUTED_VALUE"""),"1.8HP")</f>
        <v>1.8HP</v>
      </c>
      <c r="I1591" s="5"/>
      <c r="J1591" s="5"/>
      <c r="K1591" s="5">
        <f>IFERROR(__xludf.DUMMYFUNCTION("""COMPUTED_VALUE"""),1.0)</f>
        <v>1</v>
      </c>
      <c r="L1591" s="5" t="str">
        <f>IFERROR(__xludf.DUMMYFUNCTION("""COMPUTED_VALUE"""),"KLH")</f>
        <v>KLH</v>
      </c>
    </row>
    <row r="1592">
      <c r="A1592" s="5" t="str">
        <f>IFERROR(__xludf.DUMMYFUNCTION("""COMPUTED_VALUE"""),"XB1-MPC-077")</f>
        <v>XB1-MPC-077</v>
      </c>
      <c r="B1592" s="3" t="str">
        <f>IFERROR(__xludf.DUMMYFUNCTION("""COMPUTED_VALUE"""),"Máy phát cỏ 2 thì")</f>
        <v>Máy phát cỏ 2 thì</v>
      </c>
      <c r="C1592" s="5" t="str">
        <f>IFERROR(__xludf.DUMMYFUNCTION("""COMPUTED_VALUE"""),"XN Bò AD")</f>
        <v>XN Bò AD</v>
      </c>
      <c r="D1592" s="5" t="str">
        <f>IFERROR(__xludf.DUMMYFUNCTION("""COMPUTED_VALUE"""),"NAGATA")</f>
        <v>NAGATA</v>
      </c>
      <c r="E1592" s="5" t="str">
        <f>IFERROR(__xludf.DUMMYFUNCTION("""COMPUTED_VALUE"""),"TRUNG QUỐC")</f>
        <v>TRUNG QUỐC</v>
      </c>
      <c r="F1592" s="5"/>
      <c r="G1592" s="5" t="str">
        <f>IFERROR(__xludf.DUMMYFUNCTION("""COMPUTED_VALUE"""),"CG411")</f>
        <v>CG411</v>
      </c>
      <c r="H1592" s="5" t="str">
        <f>IFERROR(__xludf.DUMMYFUNCTION("""COMPUTED_VALUE"""),"1.8HP")</f>
        <v>1.8HP</v>
      </c>
      <c r="I1592" s="5"/>
      <c r="J1592" s="5"/>
      <c r="K1592" s="5">
        <f>IFERROR(__xludf.DUMMYFUNCTION("""COMPUTED_VALUE"""),1.0)</f>
        <v>1</v>
      </c>
      <c r="L1592" s="5" t="str">
        <f>IFERROR(__xludf.DUMMYFUNCTION("""COMPUTED_VALUE"""),"KLH")</f>
        <v>KLH</v>
      </c>
    </row>
    <row r="1593">
      <c r="A1593" s="5" t="str">
        <f>IFERROR(__xludf.DUMMYFUNCTION("""COMPUTED_VALUE"""),"XB1-MPC-078")</f>
        <v>XB1-MPC-078</v>
      </c>
      <c r="B1593" s="3" t="str">
        <f>IFERROR(__xludf.DUMMYFUNCTION("""COMPUTED_VALUE"""),"Máy phát cỏ 2 thì")</f>
        <v>Máy phát cỏ 2 thì</v>
      </c>
      <c r="C1593" s="5" t="str">
        <f>IFERROR(__xludf.DUMMYFUNCTION("""COMPUTED_VALUE"""),"XN Bò AD")</f>
        <v>XN Bò AD</v>
      </c>
      <c r="D1593" s="5" t="str">
        <f>IFERROR(__xludf.DUMMYFUNCTION("""COMPUTED_VALUE"""),"NAGATA")</f>
        <v>NAGATA</v>
      </c>
      <c r="E1593" s="5" t="str">
        <f>IFERROR(__xludf.DUMMYFUNCTION("""COMPUTED_VALUE"""),"TRUNG QUỐC")</f>
        <v>TRUNG QUỐC</v>
      </c>
      <c r="F1593" s="5"/>
      <c r="G1593" s="5" t="str">
        <f>IFERROR(__xludf.DUMMYFUNCTION("""COMPUTED_VALUE"""),"CG411")</f>
        <v>CG411</v>
      </c>
      <c r="H1593" s="5" t="str">
        <f>IFERROR(__xludf.DUMMYFUNCTION("""COMPUTED_VALUE"""),"1.8HP")</f>
        <v>1.8HP</v>
      </c>
      <c r="I1593" s="5"/>
      <c r="J1593" s="5"/>
      <c r="K1593" s="5">
        <f>IFERROR(__xludf.DUMMYFUNCTION("""COMPUTED_VALUE"""),1.0)</f>
        <v>1</v>
      </c>
      <c r="L1593" s="5" t="str">
        <f>IFERROR(__xludf.DUMMYFUNCTION("""COMPUTED_VALUE"""),"KLH")</f>
        <v>KLH</v>
      </c>
    </row>
    <row r="1594">
      <c r="A1594" s="5" t="str">
        <f>IFERROR(__xludf.DUMMYFUNCTION("""COMPUTED_VALUE"""),"XB1-MPC-079")</f>
        <v>XB1-MPC-079</v>
      </c>
      <c r="B1594" s="3" t="str">
        <f>IFERROR(__xludf.DUMMYFUNCTION("""COMPUTED_VALUE"""),"Máy phát cỏ 2 thì")</f>
        <v>Máy phát cỏ 2 thì</v>
      </c>
      <c r="C1594" s="5" t="str">
        <f>IFERROR(__xludf.DUMMYFUNCTION("""COMPUTED_VALUE"""),"XN Bò AD")</f>
        <v>XN Bò AD</v>
      </c>
      <c r="D1594" s="5" t="str">
        <f>IFERROR(__xludf.DUMMYFUNCTION("""COMPUTED_VALUE"""),"NAGATA")</f>
        <v>NAGATA</v>
      </c>
      <c r="E1594" s="5" t="str">
        <f>IFERROR(__xludf.DUMMYFUNCTION("""COMPUTED_VALUE"""),"TRUNG QUỐC")</f>
        <v>TRUNG QUỐC</v>
      </c>
      <c r="F1594" s="5"/>
      <c r="G1594" s="5" t="str">
        <f>IFERROR(__xludf.DUMMYFUNCTION("""COMPUTED_VALUE"""),"CG411")</f>
        <v>CG411</v>
      </c>
      <c r="H1594" s="5" t="str">
        <f>IFERROR(__xludf.DUMMYFUNCTION("""COMPUTED_VALUE"""),"1.8HP")</f>
        <v>1.8HP</v>
      </c>
      <c r="I1594" s="5"/>
      <c r="J1594" s="5"/>
      <c r="K1594" s="5">
        <f>IFERROR(__xludf.DUMMYFUNCTION("""COMPUTED_VALUE"""),1.0)</f>
        <v>1</v>
      </c>
      <c r="L1594" s="5" t="str">
        <f>IFERROR(__xludf.DUMMYFUNCTION("""COMPUTED_VALUE"""),"KLH")</f>
        <v>KLH</v>
      </c>
    </row>
    <row r="1595">
      <c r="A1595" s="5" t="str">
        <f>IFERROR(__xludf.DUMMYFUNCTION("""COMPUTED_VALUE"""),"XB1-MPC-080")</f>
        <v>XB1-MPC-080</v>
      </c>
      <c r="B1595" s="3" t="str">
        <f>IFERROR(__xludf.DUMMYFUNCTION("""COMPUTED_VALUE"""),"Máy phát cỏ 2 thì")</f>
        <v>Máy phát cỏ 2 thì</v>
      </c>
      <c r="C1595" s="5" t="str">
        <f>IFERROR(__xludf.DUMMYFUNCTION("""COMPUTED_VALUE"""),"XN Bò AD")</f>
        <v>XN Bò AD</v>
      </c>
      <c r="D1595" s="5" t="str">
        <f>IFERROR(__xludf.DUMMYFUNCTION("""COMPUTED_VALUE"""),"NAGATA")</f>
        <v>NAGATA</v>
      </c>
      <c r="E1595" s="5" t="str">
        <f>IFERROR(__xludf.DUMMYFUNCTION("""COMPUTED_VALUE"""),"TRUNG QUỐC")</f>
        <v>TRUNG QUỐC</v>
      </c>
      <c r="F1595" s="5"/>
      <c r="G1595" s="5" t="str">
        <f>IFERROR(__xludf.DUMMYFUNCTION("""COMPUTED_VALUE"""),"CG411")</f>
        <v>CG411</v>
      </c>
      <c r="H1595" s="5" t="str">
        <f>IFERROR(__xludf.DUMMYFUNCTION("""COMPUTED_VALUE"""),"1.8HP")</f>
        <v>1.8HP</v>
      </c>
      <c r="I1595" s="5"/>
      <c r="J1595" s="5"/>
      <c r="K1595" s="5">
        <f>IFERROR(__xludf.DUMMYFUNCTION("""COMPUTED_VALUE"""),1.0)</f>
        <v>1</v>
      </c>
      <c r="L1595" s="5" t="str">
        <f>IFERROR(__xludf.DUMMYFUNCTION("""COMPUTED_VALUE"""),"KLH")</f>
        <v>KLH</v>
      </c>
    </row>
    <row r="1596">
      <c r="A1596" s="5" t="str">
        <f>IFERROR(__xludf.DUMMYFUNCTION("""COMPUTED_VALUE"""),"XB1-MPC-081")</f>
        <v>XB1-MPC-081</v>
      </c>
      <c r="B1596" s="3" t="str">
        <f>IFERROR(__xludf.DUMMYFUNCTION("""COMPUTED_VALUE"""),"Máy phát cỏ 4 thì")</f>
        <v>Máy phát cỏ 4 thì</v>
      </c>
      <c r="C1596" s="5" t="str">
        <f>IFERROR(__xludf.DUMMYFUNCTION("""COMPUTED_VALUE"""),"XN Bò AD")</f>
        <v>XN Bò AD</v>
      </c>
      <c r="D1596" s="5" t="str">
        <f>IFERROR(__xludf.DUMMYFUNCTION("""COMPUTED_VALUE"""),"HINOTA")</f>
        <v>HINOTA</v>
      </c>
      <c r="E1596" s="5" t="str">
        <f>IFERROR(__xludf.DUMMYFUNCTION("""COMPUTED_VALUE"""),"Nhật Bản")</f>
        <v>Nhật Bản</v>
      </c>
      <c r="F1596" s="5"/>
      <c r="G1596" s="5" t="str">
        <f>IFERROR(__xludf.DUMMYFUNCTION("""COMPUTED_VALUE"""),"CG435")</f>
        <v>CG435</v>
      </c>
      <c r="H1596" s="5" t="str">
        <f>IFERROR(__xludf.DUMMYFUNCTION("""COMPUTED_VALUE"""),"1.2HP")</f>
        <v>1.2HP</v>
      </c>
      <c r="I1596" s="5"/>
      <c r="J1596" s="5"/>
      <c r="K1596" s="5">
        <f>IFERROR(__xludf.DUMMYFUNCTION("""COMPUTED_VALUE"""),0.5)</f>
        <v>0.5</v>
      </c>
      <c r="L1596" s="5" t="str">
        <f>IFERROR(__xludf.DUMMYFUNCTION("""COMPUTED_VALUE"""),"KLH")</f>
        <v>KLH</v>
      </c>
    </row>
    <row r="1597">
      <c r="A1597" s="5" t="str">
        <f>IFERROR(__xludf.DUMMYFUNCTION("""COMPUTED_VALUE"""),"XB1-MPC-082")</f>
        <v>XB1-MPC-082</v>
      </c>
      <c r="B1597" s="3" t="str">
        <f>IFERROR(__xludf.DUMMYFUNCTION("""COMPUTED_VALUE"""),"Máy phát cỏ 4 thì")</f>
        <v>Máy phát cỏ 4 thì</v>
      </c>
      <c r="C1597" s="5" t="str">
        <f>IFERROR(__xludf.DUMMYFUNCTION("""COMPUTED_VALUE"""),"XN Bò AD")</f>
        <v>XN Bò AD</v>
      </c>
      <c r="D1597" s="5" t="str">
        <f>IFERROR(__xludf.DUMMYFUNCTION("""COMPUTED_VALUE"""),"HINOTA")</f>
        <v>HINOTA</v>
      </c>
      <c r="E1597" s="5" t="str">
        <f>IFERROR(__xludf.DUMMYFUNCTION("""COMPUTED_VALUE"""),"Nhật Bản")</f>
        <v>Nhật Bản</v>
      </c>
      <c r="F1597" s="5"/>
      <c r="G1597" s="5" t="str">
        <f>IFERROR(__xludf.DUMMYFUNCTION("""COMPUTED_VALUE"""),"CG435")</f>
        <v>CG435</v>
      </c>
      <c r="H1597" s="5" t="str">
        <f>IFERROR(__xludf.DUMMYFUNCTION("""COMPUTED_VALUE"""),"1.2HP")</f>
        <v>1.2HP</v>
      </c>
      <c r="I1597" s="5"/>
      <c r="J1597" s="5"/>
      <c r="K1597" s="5">
        <f>IFERROR(__xludf.DUMMYFUNCTION("""COMPUTED_VALUE"""),0.5)</f>
        <v>0.5</v>
      </c>
      <c r="L1597" s="5" t="str">
        <f>IFERROR(__xludf.DUMMYFUNCTION("""COMPUTED_VALUE"""),"KLH")</f>
        <v>KLH</v>
      </c>
    </row>
    <row r="1598">
      <c r="A1598" s="5" t="str">
        <f>IFERROR(__xludf.DUMMYFUNCTION("""COMPUTED_VALUE"""),"XB1-MPC-083")</f>
        <v>XB1-MPC-083</v>
      </c>
      <c r="B1598" s="3" t="str">
        <f>IFERROR(__xludf.DUMMYFUNCTION("""COMPUTED_VALUE"""),"Máy phát cỏ 4 thì")</f>
        <v>Máy phát cỏ 4 thì</v>
      </c>
      <c r="C1598" s="5" t="str">
        <f>IFERROR(__xludf.DUMMYFUNCTION("""COMPUTED_VALUE"""),"XN Bò AD")</f>
        <v>XN Bò AD</v>
      </c>
      <c r="D1598" s="5" t="str">
        <f>IFERROR(__xludf.DUMMYFUNCTION("""COMPUTED_VALUE"""),"HINOTA")</f>
        <v>HINOTA</v>
      </c>
      <c r="E1598" s="5" t="str">
        <f>IFERROR(__xludf.DUMMYFUNCTION("""COMPUTED_VALUE"""),"Nhật Bản")</f>
        <v>Nhật Bản</v>
      </c>
      <c r="F1598" s="5"/>
      <c r="G1598" s="5" t="str">
        <f>IFERROR(__xludf.DUMMYFUNCTION("""COMPUTED_VALUE"""),"CG435")</f>
        <v>CG435</v>
      </c>
      <c r="H1598" s="5" t="str">
        <f>IFERROR(__xludf.DUMMYFUNCTION("""COMPUTED_VALUE"""),"1.2HP")</f>
        <v>1.2HP</v>
      </c>
      <c r="I1598" s="5"/>
      <c r="J1598" s="5"/>
      <c r="K1598" s="5">
        <f>IFERROR(__xludf.DUMMYFUNCTION("""COMPUTED_VALUE"""),0.5)</f>
        <v>0.5</v>
      </c>
      <c r="L1598" s="5" t="str">
        <f>IFERROR(__xludf.DUMMYFUNCTION("""COMPUTED_VALUE"""),"KLH")</f>
        <v>KLH</v>
      </c>
    </row>
    <row r="1599">
      <c r="A1599" s="5" t="str">
        <f>IFERROR(__xludf.DUMMYFUNCTION("""COMPUTED_VALUE"""),"XB1-MPC-084")</f>
        <v>XB1-MPC-084</v>
      </c>
      <c r="B1599" s="3" t="str">
        <f>IFERROR(__xludf.DUMMYFUNCTION("""COMPUTED_VALUE"""),"Máy phát cỏ 4 thì")</f>
        <v>Máy phát cỏ 4 thì</v>
      </c>
      <c r="C1599" s="5" t="str">
        <f>IFERROR(__xludf.DUMMYFUNCTION("""COMPUTED_VALUE"""),"XN Bò AD")</f>
        <v>XN Bò AD</v>
      </c>
      <c r="D1599" s="5" t="str">
        <f>IFERROR(__xludf.DUMMYFUNCTION("""COMPUTED_VALUE"""),"HINOTA")</f>
        <v>HINOTA</v>
      </c>
      <c r="E1599" s="5" t="str">
        <f>IFERROR(__xludf.DUMMYFUNCTION("""COMPUTED_VALUE"""),"Nhật Bản")</f>
        <v>Nhật Bản</v>
      </c>
      <c r="F1599" s="5"/>
      <c r="G1599" s="5" t="str">
        <f>IFERROR(__xludf.DUMMYFUNCTION("""COMPUTED_VALUE"""),"CG435")</f>
        <v>CG435</v>
      </c>
      <c r="H1599" s="5" t="str">
        <f>IFERROR(__xludf.DUMMYFUNCTION("""COMPUTED_VALUE"""),"1.2HP")</f>
        <v>1.2HP</v>
      </c>
      <c r="I1599" s="5"/>
      <c r="J1599" s="5"/>
      <c r="K1599" s="5">
        <f>IFERROR(__xludf.DUMMYFUNCTION("""COMPUTED_VALUE"""),0.5)</f>
        <v>0.5</v>
      </c>
      <c r="L1599" s="5" t="str">
        <f>IFERROR(__xludf.DUMMYFUNCTION("""COMPUTED_VALUE"""),"KLH")</f>
        <v>KLH</v>
      </c>
    </row>
    <row r="1600">
      <c r="A1600" s="5" t="str">
        <f>IFERROR(__xludf.DUMMYFUNCTION("""COMPUTED_VALUE"""),"XB1-MPC-085")</f>
        <v>XB1-MPC-085</v>
      </c>
      <c r="B1600" s="3" t="str">
        <f>IFERROR(__xludf.DUMMYFUNCTION("""COMPUTED_VALUE"""),"Máy phát cỏ 2 thì")</f>
        <v>Máy phát cỏ 2 thì</v>
      </c>
      <c r="C1600" s="5" t="str">
        <f>IFERROR(__xludf.DUMMYFUNCTION("""COMPUTED_VALUE"""),"XN Bò AD")</f>
        <v>XN Bò AD</v>
      </c>
      <c r="D1600" s="5" t="str">
        <f>IFERROR(__xludf.DUMMYFUNCTION("""COMPUTED_VALUE"""),"WASAKI")</f>
        <v>WASAKI</v>
      </c>
      <c r="E1600" s="5" t="str">
        <f>IFERROR(__xludf.DUMMYFUNCTION("""COMPUTED_VALUE"""),"Nhật Bản")</f>
        <v>Nhật Bản</v>
      </c>
      <c r="F1600" s="5"/>
      <c r="G1600" s="5" t="str">
        <f>IFERROR(__xludf.DUMMYFUNCTION("""COMPUTED_VALUE"""),"RBC411")</f>
        <v>RBC411</v>
      </c>
      <c r="H1600" s="5" t="str">
        <f>IFERROR(__xludf.DUMMYFUNCTION("""COMPUTED_VALUE"""),"1.9HP")</f>
        <v>1.9HP</v>
      </c>
      <c r="I1600" s="5"/>
      <c r="J1600" s="5"/>
      <c r="K1600" s="5">
        <f>IFERROR(__xludf.DUMMYFUNCTION("""COMPUTED_VALUE"""),1.0)</f>
        <v>1</v>
      </c>
      <c r="L1600" s="5" t="str">
        <f>IFERROR(__xludf.DUMMYFUNCTION("""COMPUTED_VALUE"""),"KLH")</f>
        <v>KLH</v>
      </c>
    </row>
    <row r="1601">
      <c r="A1601" s="5" t="str">
        <f>IFERROR(__xludf.DUMMYFUNCTION("""COMPUTED_VALUE"""),"XB1-MPC-086")</f>
        <v>XB1-MPC-086</v>
      </c>
      <c r="B1601" s="3" t="str">
        <f>IFERROR(__xludf.DUMMYFUNCTION("""COMPUTED_VALUE"""),"Máy phát cỏ 2 thì")</f>
        <v>Máy phát cỏ 2 thì</v>
      </c>
      <c r="C1601" s="5" t="str">
        <f>IFERROR(__xludf.DUMMYFUNCTION("""COMPUTED_VALUE"""),"XN Bò AD")</f>
        <v>XN Bò AD</v>
      </c>
      <c r="D1601" s="5" t="str">
        <f>IFERROR(__xludf.DUMMYFUNCTION("""COMPUTED_VALUE"""),"WASAKI")</f>
        <v>WASAKI</v>
      </c>
      <c r="E1601" s="5" t="str">
        <f>IFERROR(__xludf.DUMMYFUNCTION("""COMPUTED_VALUE"""),"Nhật Bản")</f>
        <v>Nhật Bản</v>
      </c>
      <c r="F1601" s="5"/>
      <c r="G1601" s="5" t="str">
        <f>IFERROR(__xludf.DUMMYFUNCTION("""COMPUTED_VALUE"""),"RBC411")</f>
        <v>RBC411</v>
      </c>
      <c r="H1601" s="5" t="str">
        <f>IFERROR(__xludf.DUMMYFUNCTION("""COMPUTED_VALUE"""),"1.9HP")</f>
        <v>1.9HP</v>
      </c>
      <c r="I1601" s="5"/>
      <c r="J1601" s="5"/>
      <c r="K1601" s="5">
        <f>IFERROR(__xludf.DUMMYFUNCTION("""COMPUTED_VALUE"""),1.0)</f>
        <v>1</v>
      </c>
      <c r="L1601" s="5" t="str">
        <f>IFERROR(__xludf.DUMMYFUNCTION("""COMPUTED_VALUE"""),"KLH")</f>
        <v>KLH</v>
      </c>
    </row>
    <row r="1602">
      <c r="A1602" s="5" t="str">
        <f>IFERROR(__xludf.DUMMYFUNCTION("""COMPUTED_VALUE"""),"XB1-MPC-087")</f>
        <v>XB1-MPC-087</v>
      </c>
      <c r="B1602" s="3" t="str">
        <f>IFERROR(__xludf.DUMMYFUNCTION("""COMPUTED_VALUE"""),"Máy phát cỏ 2 thì")</f>
        <v>Máy phát cỏ 2 thì</v>
      </c>
      <c r="C1602" s="5" t="str">
        <f>IFERROR(__xludf.DUMMYFUNCTION("""COMPUTED_VALUE"""),"XN Bò AD")</f>
        <v>XN Bò AD</v>
      </c>
      <c r="D1602" s="5" t="str">
        <f>IFERROR(__xludf.DUMMYFUNCTION("""COMPUTED_VALUE"""),"WASAKI")</f>
        <v>WASAKI</v>
      </c>
      <c r="E1602" s="5" t="str">
        <f>IFERROR(__xludf.DUMMYFUNCTION("""COMPUTED_VALUE"""),"Nhật Bản")</f>
        <v>Nhật Bản</v>
      </c>
      <c r="F1602" s="5"/>
      <c r="G1602" s="5" t="str">
        <f>IFERROR(__xludf.DUMMYFUNCTION("""COMPUTED_VALUE"""),"RBC411")</f>
        <v>RBC411</v>
      </c>
      <c r="H1602" s="5" t="str">
        <f>IFERROR(__xludf.DUMMYFUNCTION("""COMPUTED_VALUE"""),"1.9HP")</f>
        <v>1.9HP</v>
      </c>
      <c r="I1602" s="5"/>
      <c r="J1602" s="5"/>
      <c r="K1602" s="5">
        <f>IFERROR(__xludf.DUMMYFUNCTION("""COMPUTED_VALUE"""),1.0)</f>
        <v>1</v>
      </c>
      <c r="L1602" s="5" t="str">
        <f>IFERROR(__xludf.DUMMYFUNCTION("""COMPUTED_VALUE"""),"KLH")</f>
        <v>KLH</v>
      </c>
    </row>
    <row r="1603">
      <c r="A1603" s="5" t="str">
        <f>IFERROR(__xludf.DUMMYFUNCTION("""COMPUTED_VALUE"""),"XB1-MPC-088")</f>
        <v>XB1-MPC-088</v>
      </c>
      <c r="B1603" s="3" t="str">
        <f>IFERROR(__xludf.DUMMYFUNCTION("""COMPUTED_VALUE"""),"Máy phát cỏ 2 thì")</f>
        <v>Máy phát cỏ 2 thì</v>
      </c>
      <c r="C1603" s="5" t="str">
        <f>IFERROR(__xludf.DUMMYFUNCTION("""COMPUTED_VALUE"""),"XN Bò AD")</f>
        <v>XN Bò AD</v>
      </c>
      <c r="D1603" s="5" t="str">
        <f>IFERROR(__xludf.DUMMYFUNCTION("""COMPUTED_VALUE"""),"WASAKI")</f>
        <v>WASAKI</v>
      </c>
      <c r="E1603" s="5" t="str">
        <f>IFERROR(__xludf.DUMMYFUNCTION("""COMPUTED_VALUE"""),"Nhật Bản")</f>
        <v>Nhật Bản</v>
      </c>
      <c r="F1603" s="5"/>
      <c r="G1603" s="5" t="str">
        <f>IFERROR(__xludf.DUMMYFUNCTION("""COMPUTED_VALUE"""),"RBC411")</f>
        <v>RBC411</v>
      </c>
      <c r="H1603" s="5" t="str">
        <f>IFERROR(__xludf.DUMMYFUNCTION("""COMPUTED_VALUE"""),"1.9HP")</f>
        <v>1.9HP</v>
      </c>
      <c r="I1603" s="5"/>
      <c r="J1603" s="5"/>
      <c r="K1603" s="5">
        <f>IFERROR(__xludf.DUMMYFUNCTION("""COMPUTED_VALUE"""),1.0)</f>
        <v>1</v>
      </c>
      <c r="L1603" s="5" t="str">
        <f>IFERROR(__xludf.DUMMYFUNCTION("""COMPUTED_VALUE"""),"KLH")</f>
        <v>KLH</v>
      </c>
    </row>
    <row r="1604">
      <c r="A1604" s="5" t="str">
        <f>IFERROR(__xludf.DUMMYFUNCTION("""COMPUTED_VALUE"""),"XB1-MPC-089")</f>
        <v>XB1-MPC-089</v>
      </c>
      <c r="B1604" s="3" t="str">
        <f>IFERROR(__xludf.DUMMYFUNCTION("""COMPUTED_VALUE"""),"Máy phát cỏ 2 thì")</f>
        <v>Máy phát cỏ 2 thì</v>
      </c>
      <c r="C1604" s="5" t="str">
        <f>IFERROR(__xludf.DUMMYFUNCTION("""COMPUTED_VALUE"""),"XN Bò AD")</f>
        <v>XN Bò AD</v>
      </c>
      <c r="D1604" s="5" t="str">
        <f>IFERROR(__xludf.DUMMYFUNCTION("""COMPUTED_VALUE"""),"WASAKI")</f>
        <v>WASAKI</v>
      </c>
      <c r="E1604" s="5" t="str">
        <f>IFERROR(__xludf.DUMMYFUNCTION("""COMPUTED_VALUE"""),"Nhật Bản")</f>
        <v>Nhật Bản</v>
      </c>
      <c r="F1604" s="5"/>
      <c r="G1604" s="5" t="str">
        <f>IFERROR(__xludf.DUMMYFUNCTION("""COMPUTED_VALUE"""),"RBC411")</f>
        <v>RBC411</v>
      </c>
      <c r="H1604" s="5" t="str">
        <f>IFERROR(__xludf.DUMMYFUNCTION("""COMPUTED_VALUE"""),"1.9HP")</f>
        <v>1.9HP</v>
      </c>
      <c r="I1604" s="5"/>
      <c r="J1604" s="5"/>
      <c r="K1604" s="5">
        <f>IFERROR(__xludf.DUMMYFUNCTION("""COMPUTED_VALUE"""),1.0)</f>
        <v>1</v>
      </c>
      <c r="L1604" s="5" t="str">
        <f>IFERROR(__xludf.DUMMYFUNCTION("""COMPUTED_VALUE"""),"KLH")</f>
        <v>KLH</v>
      </c>
    </row>
    <row r="1605">
      <c r="A1605" s="5" t="str">
        <f>IFERROR(__xludf.DUMMYFUNCTION("""COMPUTED_VALUE"""),"XB1-MPC-090")</f>
        <v>XB1-MPC-090</v>
      </c>
      <c r="B1605" s="3" t="str">
        <f>IFERROR(__xludf.DUMMYFUNCTION("""COMPUTED_VALUE"""),"Máy phát cỏ 2 thì")</f>
        <v>Máy phát cỏ 2 thì</v>
      </c>
      <c r="C1605" s="5" t="str">
        <f>IFERROR(__xludf.DUMMYFUNCTION("""COMPUTED_VALUE"""),"XN Bò AD")</f>
        <v>XN Bò AD</v>
      </c>
      <c r="D1605" s="5" t="str">
        <f>IFERROR(__xludf.DUMMYFUNCTION("""COMPUTED_VALUE"""),"WASAKI")</f>
        <v>WASAKI</v>
      </c>
      <c r="E1605" s="5" t="str">
        <f>IFERROR(__xludf.DUMMYFUNCTION("""COMPUTED_VALUE"""),"Nhật Bản")</f>
        <v>Nhật Bản</v>
      </c>
      <c r="F1605" s="5"/>
      <c r="G1605" s="5" t="str">
        <f>IFERROR(__xludf.DUMMYFUNCTION("""COMPUTED_VALUE"""),"RBC411")</f>
        <v>RBC411</v>
      </c>
      <c r="H1605" s="5" t="str">
        <f>IFERROR(__xludf.DUMMYFUNCTION("""COMPUTED_VALUE"""),"1.9HP")</f>
        <v>1.9HP</v>
      </c>
      <c r="I1605" s="5"/>
      <c r="J1605" s="5"/>
      <c r="K1605" s="5">
        <f>IFERROR(__xludf.DUMMYFUNCTION("""COMPUTED_VALUE"""),1.0)</f>
        <v>1</v>
      </c>
      <c r="L1605" s="5" t="str">
        <f>IFERROR(__xludf.DUMMYFUNCTION("""COMPUTED_VALUE"""),"KLH")</f>
        <v>KLH</v>
      </c>
    </row>
    <row r="1606">
      <c r="A1606" s="5" t="str">
        <f>IFERROR(__xludf.DUMMYFUNCTION("""COMPUTED_VALUE"""),"XB1-MPC-091")</f>
        <v>XB1-MPC-091</v>
      </c>
      <c r="B1606" s="3" t="str">
        <f>IFERROR(__xludf.DUMMYFUNCTION("""COMPUTED_VALUE"""),"Máy phát cỏ 2 thì")</f>
        <v>Máy phát cỏ 2 thì</v>
      </c>
      <c r="C1606" s="5" t="str">
        <f>IFERROR(__xludf.DUMMYFUNCTION("""COMPUTED_VALUE"""),"XN Bò AD")</f>
        <v>XN Bò AD</v>
      </c>
      <c r="D1606" s="5" t="str">
        <f>IFERROR(__xludf.DUMMYFUNCTION("""COMPUTED_VALUE"""),"WASAKI")</f>
        <v>WASAKI</v>
      </c>
      <c r="E1606" s="5" t="str">
        <f>IFERROR(__xludf.DUMMYFUNCTION("""COMPUTED_VALUE"""),"Nhật Bản")</f>
        <v>Nhật Bản</v>
      </c>
      <c r="F1606" s="5"/>
      <c r="G1606" s="5" t="str">
        <f>IFERROR(__xludf.DUMMYFUNCTION("""COMPUTED_VALUE"""),"RBC411")</f>
        <v>RBC411</v>
      </c>
      <c r="H1606" s="5" t="str">
        <f>IFERROR(__xludf.DUMMYFUNCTION("""COMPUTED_VALUE"""),"1.9HP")</f>
        <v>1.9HP</v>
      </c>
      <c r="I1606" s="5"/>
      <c r="J1606" s="5"/>
      <c r="K1606" s="5">
        <f>IFERROR(__xludf.DUMMYFUNCTION("""COMPUTED_VALUE"""),1.0)</f>
        <v>1</v>
      </c>
      <c r="L1606" s="5" t="str">
        <f>IFERROR(__xludf.DUMMYFUNCTION("""COMPUTED_VALUE"""),"KLH")</f>
        <v>KLH</v>
      </c>
    </row>
    <row r="1607">
      <c r="A1607" s="5" t="str">
        <f>IFERROR(__xludf.DUMMYFUNCTION("""COMPUTED_VALUE"""),"XB1-MPC-092")</f>
        <v>XB1-MPC-092</v>
      </c>
      <c r="B1607" s="3" t="str">
        <f>IFERROR(__xludf.DUMMYFUNCTION("""COMPUTED_VALUE"""),"Máy phát cỏ 2 thì")</f>
        <v>Máy phát cỏ 2 thì</v>
      </c>
      <c r="C1607" s="5" t="str">
        <f>IFERROR(__xludf.DUMMYFUNCTION("""COMPUTED_VALUE"""),"XN Bò AD")</f>
        <v>XN Bò AD</v>
      </c>
      <c r="D1607" s="5" t="str">
        <f>IFERROR(__xludf.DUMMYFUNCTION("""COMPUTED_VALUE"""),"WASAKI")</f>
        <v>WASAKI</v>
      </c>
      <c r="E1607" s="5" t="str">
        <f>IFERROR(__xludf.DUMMYFUNCTION("""COMPUTED_VALUE"""),"Nhật Bản")</f>
        <v>Nhật Bản</v>
      </c>
      <c r="F1607" s="5"/>
      <c r="G1607" s="5" t="str">
        <f>IFERROR(__xludf.DUMMYFUNCTION("""COMPUTED_VALUE"""),"RBC411")</f>
        <v>RBC411</v>
      </c>
      <c r="H1607" s="5" t="str">
        <f>IFERROR(__xludf.DUMMYFUNCTION("""COMPUTED_VALUE"""),"1.9HP")</f>
        <v>1.9HP</v>
      </c>
      <c r="I1607" s="5"/>
      <c r="J1607" s="5"/>
      <c r="K1607" s="5">
        <f>IFERROR(__xludf.DUMMYFUNCTION("""COMPUTED_VALUE"""),1.0)</f>
        <v>1</v>
      </c>
      <c r="L1607" s="5" t="str">
        <f>IFERROR(__xludf.DUMMYFUNCTION("""COMPUTED_VALUE"""),"KLH")</f>
        <v>KLH</v>
      </c>
    </row>
    <row r="1608">
      <c r="A1608" s="5" t="str">
        <f>IFERROR(__xludf.DUMMYFUNCTION("""COMPUTED_VALUE"""),"XB1-MPC-093")</f>
        <v>XB1-MPC-093</v>
      </c>
      <c r="B1608" s="3" t="str">
        <f>IFERROR(__xludf.DUMMYFUNCTION("""COMPUTED_VALUE"""),"Máy phát cỏ 2 thì")</f>
        <v>Máy phát cỏ 2 thì</v>
      </c>
      <c r="C1608" s="5" t="str">
        <f>IFERROR(__xludf.DUMMYFUNCTION("""COMPUTED_VALUE"""),"XN Bò AD")</f>
        <v>XN Bò AD</v>
      </c>
      <c r="D1608" s="5" t="str">
        <f>IFERROR(__xludf.DUMMYFUNCTION("""COMPUTED_VALUE"""),"WASAKI")</f>
        <v>WASAKI</v>
      </c>
      <c r="E1608" s="5" t="str">
        <f>IFERROR(__xludf.DUMMYFUNCTION("""COMPUTED_VALUE"""),"Nhật Bản")</f>
        <v>Nhật Bản</v>
      </c>
      <c r="F1608" s="5"/>
      <c r="G1608" s="5" t="str">
        <f>IFERROR(__xludf.DUMMYFUNCTION("""COMPUTED_VALUE"""),"RBC411")</f>
        <v>RBC411</v>
      </c>
      <c r="H1608" s="5" t="str">
        <f>IFERROR(__xludf.DUMMYFUNCTION("""COMPUTED_VALUE"""),"1.9HP")</f>
        <v>1.9HP</v>
      </c>
      <c r="I1608" s="5"/>
      <c r="J1608" s="5"/>
      <c r="K1608" s="5">
        <f>IFERROR(__xludf.DUMMYFUNCTION("""COMPUTED_VALUE"""),1.0)</f>
        <v>1</v>
      </c>
      <c r="L1608" s="5" t="str">
        <f>IFERROR(__xludf.DUMMYFUNCTION("""COMPUTED_VALUE"""),"KLH")</f>
        <v>KLH</v>
      </c>
    </row>
    <row r="1609">
      <c r="A1609" s="5" t="str">
        <f>IFERROR(__xludf.DUMMYFUNCTION("""COMPUTED_VALUE"""),"XB1-MPC-094")</f>
        <v>XB1-MPC-094</v>
      </c>
      <c r="B1609" s="3" t="str">
        <f>IFERROR(__xludf.DUMMYFUNCTION("""COMPUTED_VALUE"""),"Máy phát cỏ 2 thì")</f>
        <v>Máy phát cỏ 2 thì</v>
      </c>
      <c r="C1609" s="5" t="str">
        <f>IFERROR(__xludf.DUMMYFUNCTION("""COMPUTED_VALUE"""),"XN Bò AD")</f>
        <v>XN Bò AD</v>
      </c>
      <c r="D1609" s="5" t="str">
        <f>IFERROR(__xludf.DUMMYFUNCTION("""COMPUTED_VALUE"""),"WASAKI")</f>
        <v>WASAKI</v>
      </c>
      <c r="E1609" s="5" t="str">
        <f>IFERROR(__xludf.DUMMYFUNCTION("""COMPUTED_VALUE"""),"Nhật Bản")</f>
        <v>Nhật Bản</v>
      </c>
      <c r="F1609" s="5"/>
      <c r="G1609" s="5" t="str">
        <f>IFERROR(__xludf.DUMMYFUNCTION("""COMPUTED_VALUE"""),"RBC411")</f>
        <v>RBC411</v>
      </c>
      <c r="H1609" s="5" t="str">
        <f>IFERROR(__xludf.DUMMYFUNCTION("""COMPUTED_VALUE"""),"1.9HP")</f>
        <v>1.9HP</v>
      </c>
      <c r="I1609" s="5"/>
      <c r="J1609" s="5"/>
      <c r="K1609" s="5">
        <f>IFERROR(__xludf.DUMMYFUNCTION("""COMPUTED_VALUE"""),1.0)</f>
        <v>1</v>
      </c>
      <c r="L1609" s="5" t="str">
        <f>IFERROR(__xludf.DUMMYFUNCTION("""COMPUTED_VALUE"""),"KLH")</f>
        <v>KLH</v>
      </c>
    </row>
    <row r="1610">
      <c r="A1610" s="5" t="str">
        <f>IFERROR(__xludf.DUMMYFUNCTION("""COMPUTED_VALUE"""),"XB1-MPC-095")</f>
        <v>XB1-MPC-095</v>
      </c>
      <c r="B1610" s="3" t="str">
        <f>IFERROR(__xludf.DUMMYFUNCTION("""COMPUTED_VALUE"""),"Máy phát cỏ 2 thì")</f>
        <v>Máy phát cỏ 2 thì</v>
      </c>
      <c r="C1610" s="5" t="str">
        <f>IFERROR(__xludf.DUMMYFUNCTION("""COMPUTED_VALUE"""),"XN Bò AD")</f>
        <v>XN Bò AD</v>
      </c>
      <c r="D1610" s="5" t="str">
        <f>IFERROR(__xludf.DUMMYFUNCTION("""COMPUTED_VALUE"""),"WASAKI")</f>
        <v>WASAKI</v>
      </c>
      <c r="E1610" s="5" t="str">
        <f>IFERROR(__xludf.DUMMYFUNCTION("""COMPUTED_VALUE"""),"Nhật Bản")</f>
        <v>Nhật Bản</v>
      </c>
      <c r="F1610" s="5"/>
      <c r="G1610" s="5" t="str">
        <f>IFERROR(__xludf.DUMMYFUNCTION("""COMPUTED_VALUE"""),"RBC411")</f>
        <v>RBC411</v>
      </c>
      <c r="H1610" s="5" t="str">
        <f>IFERROR(__xludf.DUMMYFUNCTION("""COMPUTED_VALUE"""),"1.9HP")</f>
        <v>1.9HP</v>
      </c>
      <c r="I1610" s="5"/>
      <c r="J1610" s="5"/>
      <c r="K1610" s="5">
        <f>IFERROR(__xludf.DUMMYFUNCTION("""COMPUTED_VALUE"""),1.0)</f>
        <v>1</v>
      </c>
      <c r="L1610" s="5" t="str">
        <f>IFERROR(__xludf.DUMMYFUNCTION("""COMPUTED_VALUE"""),"KLH")</f>
        <v>KLH</v>
      </c>
    </row>
    <row r="1611">
      <c r="A1611" s="5" t="str">
        <f>IFERROR(__xludf.DUMMYFUNCTION("""COMPUTED_VALUE"""),"XB1-MPC-096")</f>
        <v>XB1-MPC-096</v>
      </c>
      <c r="B1611" s="3" t="str">
        <f>IFERROR(__xludf.DUMMYFUNCTION("""COMPUTED_VALUE"""),"Máy phát cỏ 2 thì")</f>
        <v>Máy phát cỏ 2 thì</v>
      </c>
      <c r="C1611" s="5" t="str">
        <f>IFERROR(__xludf.DUMMYFUNCTION("""COMPUTED_VALUE"""),"XN Bò AD")</f>
        <v>XN Bò AD</v>
      </c>
      <c r="D1611" s="5" t="str">
        <f>IFERROR(__xludf.DUMMYFUNCTION("""COMPUTED_VALUE"""),"WASAKI")</f>
        <v>WASAKI</v>
      </c>
      <c r="E1611" s="5" t="str">
        <f>IFERROR(__xludf.DUMMYFUNCTION("""COMPUTED_VALUE"""),"Nhật Bản")</f>
        <v>Nhật Bản</v>
      </c>
      <c r="F1611" s="5"/>
      <c r="G1611" s="5" t="str">
        <f>IFERROR(__xludf.DUMMYFUNCTION("""COMPUTED_VALUE"""),"RBC411")</f>
        <v>RBC411</v>
      </c>
      <c r="H1611" s="5" t="str">
        <f>IFERROR(__xludf.DUMMYFUNCTION("""COMPUTED_VALUE"""),"1.9HP")</f>
        <v>1.9HP</v>
      </c>
      <c r="I1611" s="5"/>
      <c r="J1611" s="5"/>
      <c r="K1611" s="5">
        <f>IFERROR(__xludf.DUMMYFUNCTION("""COMPUTED_VALUE"""),1.0)</f>
        <v>1</v>
      </c>
      <c r="L1611" s="5" t="str">
        <f>IFERROR(__xludf.DUMMYFUNCTION("""COMPUTED_VALUE"""),"KLH")</f>
        <v>KLH</v>
      </c>
    </row>
    <row r="1612">
      <c r="A1612" s="5" t="str">
        <f>IFERROR(__xludf.DUMMYFUNCTION("""COMPUTED_VALUE"""),"XB1-MPC-097")</f>
        <v>XB1-MPC-097</v>
      </c>
      <c r="B1612" s="3" t="str">
        <f>IFERROR(__xludf.DUMMYFUNCTION("""COMPUTED_VALUE"""),"Máy phát cỏ 2 thì")</f>
        <v>Máy phát cỏ 2 thì</v>
      </c>
      <c r="C1612" s="5" t="str">
        <f>IFERROR(__xludf.DUMMYFUNCTION("""COMPUTED_VALUE"""),"XN Bò AD")</f>
        <v>XN Bò AD</v>
      </c>
      <c r="D1612" s="5" t="str">
        <f>IFERROR(__xludf.DUMMYFUNCTION("""COMPUTED_VALUE"""),"WASAKI")</f>
        <v>WASAKI</v>
      </c>
      <c r="E1612" s="5" t="str">
        <f>IFERROR(__xludf.DUMMYFUNCTION("""COMPUTED_VALUE"""),"Nhật Bản")</f>
        <v>Nhật Bản</v>
      </c>
      <c r="F1612" s="5"/>
      <c r="G1612" s="5" t="str">
        <f>IFERROR(__xludf.DUMMYFUNCTION("""COMPUTED_VALUE"""),"RBC411")</f>
        <v>RBC411</v>
      </c>
      <c r="H1612" s="5" t="str">
        <f>IFERROR(__xludf.DUMMYFUNCTION("""COMPUTED_VALUE"""),"1.9HP")</f>
        <v>1.9HP</v>
      </c>
      <c r="I1612" s="5"/>
      <c r="J1612" s="5"/>
      <c r="K1612" s="5">
        <f>IFERROR(__xludf.DUMMYFUNCTION("""COMPUTED_VALUE"""),1.0)</f>
        <v>1</v>
      </c>
      <c r="L1612" s="5" t="str">
        <f>IFERROR(__xludf.DUMMYFUNCTION("""COMPUTED_VALUE"""),"KLH")</f>
        <v>KLH</v>
      </c>
    </row>
    <row r="1613">
      <c r="A1613" s="5" t="str">
        <f>IFERROR(__xludf.DUMMYFUNCTION("""COMPUTED_VALUE"""),"XB1-MPC-098")</f>
        <v>XB1-MPC-098</v>
      </c>
      <c r="B1613" s="3" t="str">
        <f>IFERROR(__xludf.DUMMYFUNCTION("""COMPUTED_VALUE"""),"Máy phát cỏ 2 thì")</f>
        <v>Máy phát cỏ 2 thì</v>
      </c>
      <c r="C1613" s="5" t="str">
        <f>IFERROR(__xludf.DUMMYFUNCTION("""COMPUTED_VALUE"""),"XN Bò AD")</f>
        <v>XN Bò AD</v>
      </c>
      <c r="D1613" s="5" t="str">
        <f>IFERROR(__xludf.DUMMYFUNCTION("""COMPUTED_VALUE"""),"WASAKI")</f>
        <v>WASAKI</v>
      </c>
      <c r="E1613" s="5" t="str">
        <f>IFERROR(__xludf.DUMMYFUNCTION("""COMPUTED_VALUE"""),"Nhật Bản")</f>
        <v>Nhật Bản</v>
      </c>
      <c r="F1613" s="5"/>
      <c r="G1613" s="5" t="str">
        <f>IFERROR(__xludf.DUMMYFUNCTION("""COMPUTED_VALUE"""),"RBC411")</f>
        <v>RBC411</v>
      </c>
      <c r="H1613" s="5" t="str">
        <f>IFERROR(__xludf.DUMMYFUNCTION("""COMPUTED_VALUE"""),"1.9HP")</f>
        <v>1.9HP</v>
      </c>
      <c r="I1613" s="5"/>
      <c r="J1613" s="5"/>
      <c r="K1613" s="5">
        <f>IFERROR(__xludf.DUMMYFUNCTION("""COMPUTED_VALUE"""),1.0)</f>
        <v>1</v>
      </c>
      <c r="L1613" s="5" t="str">
        <f>IFERROR(__xludf.DUMMYFUNCTION("""COMPUTED_VALUE"""),"KLH")</f>
        <v>KLH</v>
      </c>
    </row>
    <row r="1614">
      <c r="A1614" s="5" t="str">
        <f>IFERROR(__xludf.DUMMYFUNCTION("""COMPUTED_VALUE"""),"XB1-MPC-099")</f>
        <v>XB1-MPC-099</v>
      </c>
      <c r="B1614" s="3" t="str">
        <f>IFERROR(__xludf.DUMMYFUNCTION("""COMPUTED_VALUE"""),"Máy phát cỏ 2 thì")</f>
        <v>Máy phát cỏ 2 thì</v>
      </c>
      <c r="C1614" s="5" t="str">
        <f>IFERROR(__xludf.DUMMYFUNCTION("""COMPUTED_VALUE"""),"XN Bò AD")</f>
        <v>XN Bò AD</v>
      </c>
      <c r="D1614" s="5" t="str">
        <f>IFERROR(__xludf.DUMMYFUNCTION("""COMPUTED_VALUE"""),"WASAKI")</f>
        <v>WASAKI</v>
      </c>
      <c r="E1614" s="5" t="str">
        <f>IFERROR(__xludf.DUMMYFUNCTION("""COMPUTED_VALUE"""),"Nhật Bản")</f>
        <v>Nhật Bản</v>
      </c>
      <c r="F1614" s="5"/>
      <c r="G1614" s="5" t="str">
        <f>IFERROR(__xludf.DUMMYFUNCTION("""COMPUTED_VALUE"""),"RBC411")</f>
        <v>RBC411</v>
      </c>
      <c r="H1614" s="5" t="str">
        <f>IFERROR(__xludf.DUMMYFUNCTION("""COMPUTED_VALUE"""),"1.9HP")</f>
        <v>1.9HP</v>
      </c>
      <c r="I1614" s="5"/>
      <c r="J1614" s="5"/>
      <c r="K1614" s="5">
        <f>IFERROR(__xludf.DUMMYFUNCTION("""COMPUTED_VALUE"""),1.0)</f>
        <v>1</v>
      </c>
      <c r="L1614" s="5" t="str">
        <f>IFERROR(__xludf.DUMMYFUNCTION("""COMPUTED_VALUE"""),"KLH")</f>
        <v>KLH</v>
      </c>
    </row>
    <row r="1615">
      <c r="A1615" s="5" t="str">
        <f>IFERROR(__xludf.DUMMYFUNCTION("""COMPUTED_VALUE"""),"XB1-MPC-100")</f>
        <v>XB1-MPC-100</v>
      </c>
      <c r="B1615" s="3" t="str">
        <f>IFERROR(__xludf.DUMMYFUNCTION("""COMPUTED_VALUE"""),"Máy phát cỏ 2 thì")</f>
        <v>Máy phát cỏ 2 thì</v>
      </c>
      <c r="C1615" s="5" t="str">
        <f>IFERROR(__xludf.DUMMYFUNCTION("""COMPUTED_VALUE"""),"XN Bò AD")</f>
        <v>XN Bò AD</v>
      </c>
      <c r="D1615" s="5" t="str">
        <f>IFERROR(__xludf.DUMMYFUNCTION("""COMPUTED_VALUE"""),"MARATA")</f>
        <v>MARATA</v>
      </c>
      <c r="E1615" s="5" t="str">
        <f>IFERROR(__xludf.DUMMYFUNCTION("""COMPUTED_VALUE"""),"TRUNG QUỐC")</f>
        <v>TRUNG QUỐC</v>
      </c>
      <c r="F1615" s="5"/>
      <c r="G1615" s="5" t="str">
        <f>IFERROR(__xludf.DUMMYFUNCTION("""COMPUTED_VALUE"""),"CG412")</f>
        <v>CG412</v>
      </c>
      <c r="H1615" s="5" t="str">
        <f>IFERROR(__xludf.DUMMYFUNCTION("""COMPUTED_VALUE"""),"1.8HP")</f>
        <v>1.8HP</v>
      </c>
      <c r="I1615" s="5"/>
      <c r="J1615" s="5"/>
      <c r="K1615" s="5">
        <f>IFERROR(__xludf.DUMMYFUNCTION("""COMPUTED_VALUE"""),1.0)</f>
        <v>1</v>
      </c>
      <c r="L1615" s="5" t="str">
        <f>IFERROR(__xludf.DUMMYFUNCTION("""COMPUTED_VALUE"""),"KLH")</f>
        <v>KLH</v>
      </c>
    </row>
    <row r="1616">
      <c r="A1616" s="5" t="str">
        <f>IFERROR(__xludf.DUMMYFUNCTION("""COMPUTED_VALUE"""),"XB1-MPC-101")</f>
        <v>XB1-MPC-101</v>
      </c>
      <c r="B1616" s="3" t="str">
        <f>IFERROR(__xludf.DUMMYFUNCTION("""COMPUTED_VALUE"""),"Máy phát cỏ 2 thì")</f>
        <v>Máy phát cỏ 2 thì</v>
      </c>
      <c r="C1616" s="5" t="str">
        <f>IFERROR(__xludf.DUMMYFUNCTION("""COMPUTED_VALUE"""),"XN Bò AD")</f>
        <v>XN Bò AD</v>
      </c>
      <c r="D1616" s="5" t="str">
        <f>IFERROR(__xludf.DUMMYFUNCTION("""COMPUTED_VALUE"""),"MARATA")</f>
        <v>MARATA</v>
      </c>
      <c r="E1616" s="5" t="str">
        <f>IFERROR(__xludf.DUMMYFUNCTION("""COMPUTED_VALUE"""),"TRUNG QUỐC")</f>
        <v>TRUNG QUỐC</v>
      </c>
      <c r="F1616" s="5"/>
      <c r="G1616" s="5" t="str">
        <f>IFERROR(__xludf.DUMMYFUNCTION("""COMPUTED_VALUE"""),"CG412")</f>
        <v>CG412</v>
      </c>
      <c r="H1616" s="5" t="str">
        <f>IFERROR(__xludf.DUMMYFUNCTION("""COMPUTED_VALUE"""),"1.8HP")</f>
        <v>1.8HP</v>
      </c>
      <c r="I1616" s="5"/>
      <c r="J1616" s="5"/>
      <c r="K1616" s="5">
        <f>IFERROR(__xludf.DUMMYFUNCTION("""COMPUTED_VALUE"""),1.0)</f>
        <v>1</v>
      </c>
      <c r="L1616" s="5" t="str">
        <f>IFERROR(__xludf.DUMMYFUNCTION("""COMPUTED_VALUE"""),"KLH")</f>
        <v>KLH</v>
      </c>
    </row>
    <row r="1617">
      <c r="A1617" s="5" t="str">
        <f>IFERROR(__xludf.DUMMYFUNCTION("""COMPUTED_VALUE"""),"XB1-MPC-102")</f>
        <v>XB1-MPC-102</v>
      </c>
      <c r="B1617" s="3" t="str">
        <f>IFERROR(__xludf.DUMMYFUNCTION("""COMPUTED_VALUE"""),"Máy phát cỏ 2 thì")</f>
        <v>Máy phát cỏ 2 thì</v>
      </c>
      <c r="C1617" s="5" t="str">
        <f>IFERROR(__xludf.DUMMYFUNCTION("""COMPUTED_VALUE"""),"XN Bò AD")</f>
        <v>XN Bò AD</v>
      </c>
      <c r="D1617" s="5" t="str">
        <f>IFERROR(__xludf.DUMMYFUNCTION("""COMPUTED_VALUE"""),"MARATA")</f>
        <v>MARATA</v>
      </c>
      <c r="E1617" s="5" t="str">
        <f>IFERROR(__xludf.DUMMYFUNCTION("""COMPUTED_VALUE"""),"TRUNG QUỐC")</f>
        <v>TRUNG QUỐC</v>
      </c>
      <c r="F1617" s="5"/>
      <c r="G1617" s="5" t="str">
        <f>IFERROR(__xludf.DUMMYFUNCTION("""COMPUTED_VALUE"""),"CG412")</f>
        <v>CG412</v>
      </c>
      <c r="H1617" s="5" t="str">
        <f>IFERROR(__xludf.DUMMYFUNCTION("""COMPUTED_VALUE"""),"1.8HP")</f>
        <v>1.8HP</v>
      </c>
      <c r="I1617" s="5"/>
      <c r="J1617" s="5"/>
      <c r="K1617" s="5">
        <f>IFERROR(__xludf.DUMMYFUNCTION("""COMPUTED_VALUE"""),1.0)</f>
        <v>1</v>
      </c>
      <c r="L1617" s="5" t="str">
        <f>IFERROR(__xludf.DUMMYFUNCTION("""COMPUTED_VALUE"""),"KLH")</f>
        <v>KLH</v>
      </c>
    </row>
    <row r="1618">
      <c r="A1618" s="5" t="str">
        <f>IFERROR(__xludf.DUMMYFUNCTION("""COMPUTED_VALUE"""),"XB1-MPC-103")</f>
        <v>XB1-MPC-103</v>
      </c>
      <c r="B1618" s="3" t="str">
        <f>IFERROR(__xludf.DUMMYFUNCTION("""COMPUTED_VALUE"""),"Máy phát cỏ 2 thì")</f>
        <v>Máy phát cỏ 2 thì</v>
      </c>
      <c r="C1618" s="5" t="str">
        <f>IFERROR(__xludf.DUMMYFUNCTION("""COMPUTED_VALUE"""),"XN Bò AD")</f>
        <v>XN Bò AD</v>
      </c>
      <c r="D1618" s="5" t="str">
        <f>IFERROR(__xludf.DUMMYFUNCTION("""COMPUTED_VALUE"""),"MARATA")</f>
        <v>MARATA</v>
      </c>
      <c r="E1618" s="5" t="str">
        <f>IFERROR(__xludf.DUMMYFUNCTION("""COMPUTED_VALUE"""),"TRUNG QUỐC")</f>
        <v>TRUNG QUỐC</v>
      </c>
      <c r="F1618" s="5"/>
      <c r="G1618" s="5" t="str">
        <f>IFERROR(__xludf.DUMMYFUNCTION("""COMPUTED_VALUE"""),"CG412")</f>
        <v>CG412</v>
      </c>
      <c r="H1618" s="5" t="str">
        <f>IFERROR(__xludf.DUMMYFUNCTION("""COMPUTED_VALUE"""),"1.8HP")</f>
        <v>1.8HP</v>
      </c>
      <c r="I1618" s="5"/>
      <c r="J1618" s="5"/>
      <c r="K1618" s="5">
        <f>IFERROR(__xludf.DUMMYFUNCTION("""COMPUTED_VALUE"""),1.0)</f>
        <v>1</v>
      </c>
      <c r="L1618" s="5" t="str">
        <f>IFERROR(__xludf.DUMMYFUNCTION("""COMPUTED_VALUE"""),"KLH")</f>
        <v>KLH</v>
      </c>
    </row>
    <row r="1619">
      <c r="A1619" s="5" t="str">
        <f>IFERROR(__xludf.DUMMYFUNCTION("""COMPUTED_VALUE"""),"XB1-MPC-104")</f>
        <v>XB1-MPC-104</v>
      </c>
      <c r="B1619" s="3" t="str">
        <f>IFERROR(__xludf.DUMMYFUNCTION("""COMPUTED_VALUE"""),"Máy phát cỏ 2 thì")</f>
        <v>Máy phát cỏ 2 thì</v>
      </c>
      <c r="C1619" s="5" t="str">
        <f>IFERROR(__xludf.DUMMYFUNCTION("""COMPUTED_VALUE"""),"XN Bò AD")</f>
        <v>XN Bò AD</v>
      </c>
      <c r="D1619" s="5" t="str">
        <f>IFERROR(__xludf.DUMMYFUNCTION("""COMPUTED_VALUE"""),"MARATA")</f>
        <v>MARATA</v>
      </c>
      <c r="E1619" s="5" t="str">
        <f>IFERROR(__xludf.DUMMYFUNCTION("""COMPUTED_VALUE"""),"TRUNG QUỐC")</f>
        <v>TRUNG QUỐC</v>
      </c>
      <c r="F1619" s="5"/>
      <c r="G1619" s="5" t="str">
        <f>IFERROR(__xludf.DUMMYFUNCTION("""COMPUTED_VALUE"""),"CG412")</f>
        <v>CG412</v>
      </c>
      <c r="H1619" s="5" t="str">
        <f>IFERROR(__xludf.DUMMYFUNCTION("""COMPUTED_VALUE"""),"1.8HP")</f>
        <v>1.8HP</v>
      </c>
      <c r="I1619" s="5"/>
      <c r="J1619" s="5"/>
      <c r="K1619" s="5">
        <f>IFERROR(__xludf.DUMMYFUNCTION("""COMPUTED_VALUE"""),1.0)</f>
        <v>1</v>
      </c>
      <c r="L1619" s="5" t="str">
        <f>IFERROR(__xludf.DUMMYFUNCTION("""COMPUTED_VALUE"""),"KLH")</f>
        <v>KLH</v>
      </c>
    </row>
    <row r="1620">
      <c r="A1620" s="5" t="str">
        <f>IFERROR(__xludf.DUMMYFUNCTION("""COMPUTED_VALUE"""),"XB1-MPC-105")</f>
        <v>XB1-MPC-105</v>
      </c>
      <c r="B1620" s="3" t="str">
        <f>IFERROR(__xludf.DUMMYFUNCTION("""COMPUTED_VALUE"""),"Máy phát cỏ 2 thì")</f>
        <v>Máy phát cỏ 2 thì</v>
      </c>
      <c r="C1620" s="5" t="str">
        <f>IFERROR(__xludf.DUMMYFUNCTION("""COMPUTED_VALUE"""),"XN Bò AD")</f>
        <v>XN Bò AD</v>
      </c>
      <c r="D1620" s="5" t="str">
        <f>IFERROR(__xludf.DUMMYFUNCTION("""COMPUTED_VALUE"""),"MARATA")</f>
        <v>MARATA</v>
      </c>
      <c r="E1620" s="5" t="str">
        <f>IFERROR(__xludf.DUMMYFUNCTION("""COMPUTED_VALUE"""),"TRUNG QUỐC")</f>
        <v>TRUNG QUỐC</v>
      </c>
      <c r="F1620" s="5"/>
      <c r="G1620" s="5" t="str">
        <f>IFERROR(__xludf.DUMMYFUNCTION("""COMPUTED_VALUE"""),"CG412")</f>
        <v>CG412</v>
      </c>
      <c r="H1620" s="5" t="str">
        <f>IFERROR(__xludf.DUMMYFUNCTION("""COMPUTED_VALUE"""),"1.8HP")</f>
        <v>1.8HP</v>
      </c>
      <c r="I1620" s="5"/>
      <c r="J1620" s="5"/>
      <c r="K1620" s="5">
        <f>IFERROR(__xludf.DUMMYFUNCTION("""COMPUTED_VALUE"""),1.0)</f>
        <v>1</v>
      </c>
      <c r="L1620" s="5" t="str">
        <f>IFERROR(__xludf.DUMMYFUNCTION("""COMPUTED_VALUE"""),"KLH")</f>
        <v>KLH</v>
      </c>
    </row>
    <row r="1621">
      <c r="A1621" s="5" t="str">
        <f>IFERROR(__xludf.DUMMYFUNCTION("""COMPUTED_VALUE"""),"XB1-MPC-106")</f>
        <v>XB1-MPC-106</v>
      </c>
      <c r="B1621" s="3" t="str">
        <f>IFERROR(__xludf.DUMMYFUNCTION("""COMPUTED_VALUE"""),"Máy phát cỏ 2 thì")</f>
        <v>Máy phát cỏ 2 thì</v>
      </c>
      <c r="C1621" s="5" t="str">
        <f>IFERROR(__xludf.DUMMYFUNCTION("""COMPUTED_VALUE"""),"XN Bò AD")</f>
        <v>XN Bò AD</v>
      </c>
      <c r="D1621" s="5" t="str">
        <f>IFERROR(__xludf.DUMMYFUNCTION("""COMPUTED_VALUE"""),"MARATA")</f>
        <v>MARATA</v>
      </c>
      <c r="E1621" s="5" t="str">
        <f>IFERROR(__xludf.DUMMYFUNCTION("""COMPUTED_VALUE"""),"TRUNG QUỐC")</f>
        <v>TRUNG QUỐC</v>
      </c>
      <c r="F1621" s="5"/>
      <c r="G1621" s="5" t="str">
        <f>IFERROR(__xludf.DUMMYFUNCTION("""COMPUTED_VALUE"""),"CG412")</f>
        <v>CG412</v>
      </c>
      <c r="H1621" s="5" t="str">
        <f>IFERROR(__xludf.DUMMYFUNCTION("""COMPUTED_VALUE"""),"1.8HP")</f>
        <v>1.8HP</v>
      </c>
      <c r="I1621" s="5"/>
      <c r="J1621" s="5"/>
      <c r="K1621" s="5">
        <f>IFERROR(__xludf.DUMMYFUNCTION("""COMPUTED_VALUE"""),1.0)</f>
        <v>1</v>
      </c>
      <c r="L1621" s="5" t="str">
        <f>IFERROR(__xludf.DUMMYFUNCTION("""COMPUTED_VALUE"""),"KLH")</f>
        <v>KLH</v>
      </c>
    </row>
    <row r="1622">
      <c r="A1622" s="5" t="str">
        <f>IFERROR(__xludf.DUMMYFUNCTION("""COMPUTED_VALUE"""),"XB1-MPC-107")</f>
        <v>XB1-MPC-107</v>
      </c>
      <c r="B1622" s="3" t="str">
        <f>IFERROR(__xludf.DUMMYFUNCTION("""COMPUTED_VALUE"""),"Máy phát cỏ 2 thì")</f>
        <v>Máy phát cỏ 2 thì</v>
      </c>
      <c r="C1622" s="5" t="str">
        <f>IFERROR(__xludf.DUMMYFUNCTION("""COMPUTED_VALUE"""),"XN Bò AD")</f>
        <v>XN Bò AD</v>
      </c>
      <c r="D1622" s="5" t="str">
        <f>IFERROR(__xludf.DUMMYFUNCTION("""COMPUTED_VALUE"""),"MARATA")</f>
        <v>MARATA</v>
      </c>
      <c r="E1622" s="5" t="str">
        <f>IFERROR(__xludf.DUMMYFUNCTION("""COMPUTED_VALUE"""),"TRUNG QUỐC")</f>
        <v>TRUNG QUỐC</v>
      </c>
      <c r="F1622" s="5"/>
      <c r="G1622" s="5" t="str">
        <f>IFERROR(__xludf.DUMMYFUNCTION("""COMPUTED_VALUE"""),"CG412")</f>
        <v>CG412</v>
      </c>
      <c r="H1622" s="5" t="str">
        <f>IFERROR(__xludf.DUMMYFUNCTION("""COMPUTED_VALUE"""),"1.8HP")</f>
        <v>1.8HP</v>
      </c>
      <c r="I1622" s="5"/>
      <c r="J1622" s="5"/>
      <c r="K1622" s="5">
        <f>IFERROR(__xludf.DUMMYFUNCTION("""COMPUTED_VALUE"""),1.0)</f>
        <v>1</v>
      </c>
      <c r="L1622" s="5" t="str">
        <f>IFERROR(__xludf.DUMMYFUNCTION("""COMPUTED_VALUE"""),"KLH")</f>
        <v>KLH</v>
      </c>
    </row>
    <row r="1623">
      <c r="A1623" s="5" t="str">
        <f>IFERROR(__xludf.DUMMYFUNCTION("""COMPUTED_VALUE"""),"XB1-MPC-108")</f>
        <v>XB1-MPC-108</v>
      </c>
      <c r="B1623" s="3" t="str">
        <f>IFERROR(__xludf.DUMMYFUNCTION("""COMPUTED_VALUE"""),"Máy phát cỏ 2 thì")</f>
        <v>Máy phát cỏ 2 thì</v>
      </c>
      <c r="C1623" s="5" t="str">
        <f>IFERROR(__xludf.DUMMYFUNCTION("""COMPUTED_VALUE"""),"XN Bò AD")</f>
        <v>XN Bò AD</v>
      </c>
      <c r="D1623" s="5" t="str">
        <f>IFERROR(__xludf.DUMMYFUNCTION("""COMPUTED_VALUE"""),"MARATA")</f>
        <v>MARATA</v>
      </c>
      <c r="E1623" s="5" t="str">
        <f>IFERROR(__xludf.DUMMYFUNCTION("""COMPUTED_VALUE"""),"TRUNG QUỐC")</f>
        <v>TRUNG QUỐC</v>
      </c>
      <c r="F1623" s="5"/>
      <c r="G1623" s="5" t="str">
        <f>IFERROR(__xludf.DUMMYFUNCTION("""COMPUTED_VALUE"""),"CG412")</f>
        <v>CG412</v>
      </c>
      <c r="H1623" s="5" t="str">
        <f>IFERROR(__xludf.DUMMYFUNCTION("""COMPUTED_VALUE"""),"1.8HP")</f>
        <v>1.8HP</v>
      </c>
      <c r="I1623" s="5"/>
      <c r="J1623" s="5"/>
      <c r="K1623" s="5">
        <f>IFERROR(__xludf.DUMMYFUNCTION("""COMPUTED_VALUE"""),1.0)</f>
        <v>1</v>
      </c>
      <c r="L1623" s="5" t="str">
        <f>IFERROR(__xludf.DUMMYFUNCTION("""COMPUTED_VALUE"""),"KLH")</f>
        <v>KLH</v>
      </c>
    </row>
    <row r="1624">
      <c r="A1624" s="5" t="str">
        <f>IFERROR(__xludf.DUMMYFUNCTION("""COMPUTED_VALUE"""),"XB1-MPC-109")</f>
        <v>XB1-MPC-109</v>
      </c>
      <c r="B1624" s="3" t="str">
        <f>IFERROR(__xludf.DUMMYFUNCTION("""COMPUTED_VALUE"""),"Máy phát cỏ 2 thì")</f>
        <v>Máy phát cỏ 2 thì</v>
      </c>
      <c r="C1624" s="5" t="str">
        <f>IFERROR(__xludf.DUMMYFUNCTION("""COMPUTED_VALUE"""),"XN Bò AD")</f>
        <v>XN Bò AD</v>
      </c>
      <c r="D1624" s="5" t="str">
        <f>IFERROR(__xludf.DUMMYFUNCTION("""COMPUTED_VALUE"""),"MARATA")</f>
        <v>MARATA</v>
      </c>
      <c r="E1624" s="5" t="str">
        <f>IFERROR(__xludf.DUMMYFUNCTION("""COMPUTED_VALUE"""),"TRUNG QUỐC")</f>
        <v>TRUNG QUỐC</v>
      </c>
      <c r="F1624" s="5"/>
      <c r="G1624" s="5" t="str">
        <f>IFERROR(__xludf.DUMMYFUNCTION("""COMPUTED_VALUE"""),"CG412")</f>
        <v>CG412</v>
      </c>
      <c r="H1624" s="5" t="str">
        <f>IFERROR(__xludf.DUMMYFUNCTION("""COMPUTED_VALUE"""),"1.8HP")</f>
        <v>1.8HP</v>
      </c>
      <c r="I1624" s="5"/>
      <c r="J1624" s="5"/>
      <c r="K1624" s="5">
        <f>IFERROR(__xludf.DUMMYFUNCTION("""COMPUTED_VALUE"""),1.0)</f>
        <v>1</v>
      </c>
      <c r="L1624" s="5" t="str">
        <f>IFERROR(__xludf.DUMMYFUNCTION("""COMPUTED_VALUE"""),"KLH")</f>
        <v>KLH</v>
      </c>
    </row>
    <row r="1625">
      <c r="A1625" s="5" t="str">
        <f>IFERROR(__xludf.DUMMYFUNCTION("""COMPUTED_VALUE"""),"XB1-MPC-110")</f>
        <v>XB1-MPC-110</v>
      </c>
      <c r="B1625" s="3" t="str">
        <f>IFERROR(__xludf.DUMMYFUNCTION("""COMPUTED_VALUE"""),"Máy phát cỏ 2 thì")</f>
        <v>Máy phát cỏ 2 thì</v>
      </c>
      <c r="C1625" s="5" t="str">
        <f>IFERROR(__xludf.DUMMYFUNCTION("""COMPUTED_VALUE"""),"XN Bò AD")</f>
        <v>XN Bò AD</v>
      </c>
      <c r="D1625" s="5" t="str">
        <f>IFERROR(__xludf.DUMMYFUNCTION("""COMPUTED_VALUE"""),"MARATA")</f>
        <v>MARATA</v>
      </c>
      <c r="E1625" s="5" t="str">
        <f>IFERROR(__xludf.DUMMYFUNCTION("""COMPUTED_VALUE"""),"TRUNG QUỐC")</f>
        <v>TRUNG QUỐC</v>
      </c>
      <c r="F1625" s="5"/>
      <c r="G1625" s="5" t="str">
        <f>IFERROR(__xludf.DUMMYFUNCTION("""COMPUTED_VALUE"""),"CG412")</f>
        <v>CG412</v>
      </c>
      <c r="H1625" s="5" t="str">
        <f>IFERROR(__xludf.DUMMYFUNCTION("""COMPUTED_VALUE"""),"1.8HP")</f>
        <v>1.8HP</v>
      </c>
      <c r="I1625" s="5"/>
      <c r="J1625" s="5"/>
      <c r="K1625" s="5">
        <f>IFERROR(__xludf.DUMMYFUNCTION("""COMPUTED_VALUE"""),1.0)</f>
        <v>1</v>
      </c>
      <c r="L1625" s="5" t="str">
        <f>IFERROR(__xludf.DUMMYFUNCTION("""COMPUTED_VALUE"""),"KLH")</f>
        <v>KLH</v>
      </c>
    </row>
    <row r="1626">
      <c r="A1626" s="5" t="str">
        <f>IFERROR(__xludf.DUMMYFUNCTION("""COMPUTED_VALUE"""),"XB1-MPC-111")</f>
        <v>XB1-MPC-111</v>
      </c>
      <c r="B1626" s="3" t="str">
        <f>IFERROR(__xludf.DUMMYFUNCTION("""COMPUTED_VALUE"""),"Máy phát cỏ 2 thì")</f>
        <v>Máy phát cỏ 2 thì</v>
      </c>
      <c r="C1626" s="5" t="str">
        <f>IFERROR(__xludf.DUMMYFUNCTION("""COMPUTED_VALUE"""),"XN Bò AD")</f>
        <v>XN Bò AD</v>
      </c>
      <c r="D1626" s="5" t="str">
        <f>IFERROR(__xludf.DUMMYFUNCTION("""COMPUTED_VALUE"""),"MARATA")</f>
        <v>MARATA</v>
      </c>
      <c r="E1626" s="5" t="str">
        <f>IFERROR(__xludf.DUMMYFUNCTION("""COMPUTED_VALUE"""),"TRUNG QUỐC")</f>
        <v>TRUNG QUỐC</v>
      </c>
      <c r="F1626" s="5"/>
      <c r="G1626" s="5" t="str">
        <f>IFERROR(__xludf.DUMMYFUNCTION("""COMPUTED_VALUE"""),"CG412")</f>
        <v>CG412</v>
      </c>
      <c r="H1626" s="5" t="str">
        <f>IFERROR(__xludf.DUMMYFUNCTION("""COMPUTED_VALUE"""),"1.8HP")</f>
        <v>1.8HP</v>
      </c>
      <c r="I1626" s="5"/>
      <c r="J1626" s="5"/>
      <c r="K1626" s="5">
        <f>IFERROR(__xludf.DUMMYFUNCTION("""COMPUTED_VALUE"""),1.0)</f>
        <v>1</v>
      </c>
      <c r="L1626" s="5" t="str">
        <f>IFERROR(__xludf.DUMMYFUNCTION("""COMPUTED_VALUE"""),"KLH")</f>
        <v>KLH</v>
      </c>
    </row>
    <row r="1627">
      <c r="A1627" s="5" t="str">
        <f>IFERROR(__xludf.DUMMYFUNCTION("""COMPUTED_VALUE"""),"XB1-MPC-112")</f>
        <v>XB1-MPC-112</v>
      </c>
      <c r="B1627" s="3" t="str">
        <f>IFERROR(__xludf.DUMMYFUNCTION("""COMPUTED_VALUE"""),"Máy phát cỏ 2 thì")</f>
        <v>Máy phát cỏ 2 thì</v>
      </c>
      <c r="C1627" s="5" t="str">
        <f>IFERROR(__xludf.DUMMYFUNCTION("""COMPUTED_VALUE"""),"XN Bò AD")</f>
        <v>XN Bò AD</v>
      </c>
      <c r="D1627" s="5" t="str">
        <f>IFERROR(__xludf.DUMMYFUNCTION("""COMPUTED_VALUE"""),"MARATA")</f>
        <v>MARATA</v>
      </c>
      <c r="E1627" s="5" t="str">
        <f>IFERROR(__xludf.DUMMYFUNCTION("""COMPUTED_VALUE"""),"TRUNG QUỐC")</f>
        <v>TRUNG QUỐC</v>
      </c>
      <c r="F1627" s="5"/>
      <c r="G1627" s="5" t="str">
        <f>IFERROR(__xludf.DUMMYFUNCTION("""COMPUTED_VALUE"""),"CG412")</f>
        <v>CG412</v>
      </c>
      <c r="H1627" s="5" t="str">
        <f>IFERROR(__xludf.DUMMYFUNCTION("""COMPUTED_VALUE"""),"1.8HP")</f>
        <v>1.8HP</v>
      </c>
      <c r="I1627" s="5"/>
      <c r="J1627" s="5"/>
      <c r="K1627" s="5">
        <f>IFERROR(__xludf.DUMMYFUNCTION("""COMPUTED_VALUE"""),1.0)</f>
        <v>1</v>
      </c>
      <c r="L1627" s="5" t="str">
        <f>IFERROR(__xludf.DUMMYFUNCTION("""COMPUTED_VALUE"""),"KLH")</f>
        <v>KLH</v>
      </c>
    </row>
    <row r="1628">
      <c r="A1628" s="5" t="str">
        <f>IFERROR(__xludf.DUMMYFUNCTION("""COMPUTED_VALUE"""),"XB1-MPC-113")</f>
        <v>XB1-MPC-113</v>
      </c>
      <c r="B1628" s="3" t="str">
        <f>IFERROR(__xludf.DUMMYFUNCTION("""COMPUTED_VALUE"""),"Máy phát cỏ 2 thì")</f>
        <v>Máy phát cỏ 2 thì</v>
      </c>
      <c r="C1628" s="5" t="str">
        <f>IFERROR(__xludf.DUMMYFUNCTION("""COMPUTED_VALUE"""),"XN Bò AD")</f>
        <v>XN Bò AD</v>
      </c>
      <c r="D1628" s="5" t="str">
        <f>IFERROR(__xludf.DUMMYFUNCTION("""COMPUTED_VALUE"""),"MARATA")</f>
        <v>MARATA</v>
      </c>
      <c r="E1628" s="5" t="str">
        <f>IFERROR(__xludf.DUMMYFUNCTION("""COMPUTED_VALUE"""),"TRUNG QUỐC")</f>
        <v>TRUNG QUỐC</v>
      </c>
      <c r="F1628" s="5"/>
      <c r="G1628" s="5" t="str">
        <f>IFERROR(__xludf.DUMMYFUNCTION("""COMPUTED_VALUE"""),"CG412")</f>
        <v>CG412</v>
      </c>
      <c r="H1628" s="5" t="str">
        <f>IFERROR(__xludf.DUMMYFUNCTION("""COMPUTED_VALUE"""),"1.8HP")</f>
        <v>1.8HP</v>
      </c>
      <c r="I1628" s="5"/>
      <c r="J1628" s="5"/>
      <c r="K1628" s="5">
        <f>IFERROR(__xludf.DUMMYFUNCTION("""COMPUTED_VALUE"""),1.0)</f>
        <v>1</v>
      </c>
      <c r="L1628" s="5" t="str">
        <f>IFERROR(__xludf.DUMMYFUNCTION("""COMPUTED_VALUE"""),"KLH")</f>
        <v>KLH</v>
      </c>
    </row>
    <row r="1629">
      <c r="A1629" s="5" t="str">
        <f>IFERROR(__xludf.DUMMYFUNCTION("""COMPUTED_VALUE"""),"XB1-MPC-114")</f>
        <v>XB1-MPC-114</v>
      </c>
      <c r="B1629" s="3" t="str">
        <f>IFERROR(__xludf.DUMMYFUNCTION("""COMPUTED_VALUE"""),"Máy phát cỏ 2 thì")</f>
        <v>Máy phát cỏ 2 thì</v>
      </c>
      <c r="C1629" s="5" t="str">
        <f>IFERROR(__xludf.DUMMYFUNCTION("""COMPUTED_VALUE"""),"XN Bò AD")</f>
        <v>XN Bò AD</v>
      </c>
      <c r="D1629" s="5" t="str">
        <f>IFERROR(__xludf.DUMMYFUNCTION("""COMPUTED_VALUE"""),"MARATA")</f>
        <v>MARATA</v>
      </c>
      <c r="E1629" s="5" t="str">
        <f>IFERROR(__xludf.DUMMYFUNCTION("""COMPUTED_VALUE"""),"TRUNG QUỐC")</f>
        <v>TRUNG QUỐC</v>
      </c>
      <c r="F1629" s="5"/>
      <c r="G1629" s="5" t="str">
        <f>IFERROR(__xludf.DUMMYFUNCTION("""COMPUTED_VALUE"""),"CG412")</f>
        <v>CG412</v>
      </c>
      <c r="H1629" s="5" t="str">
        <f>IFERROR(__xludf.DUMMYFUNCTION("""COMPUTED_VALUE"""),"1.8HP")</f>
        <v>1.8HP</v>
      </c>
      <c r="I1629" s="5"/>
      <c r="J1629" s="5"/>
      <c r="K1629" s="5">
        <f>IFERROR(__xludf.DUMMYFUNCTION("""COMPUTED_VALUE"""),1.0)</f>
        <v>1</v>
      </c>
      <c r="L1629" s="5" t="str">
        <f>IFERROR(__xludf.DUMMYFUNCTION("""COMPUTED_VALUE"""),"KLH")</f>
        <v>KLH</v>
      </c>
    </row>
    <row r="1630">
      <c r="A1630" s="5" t="str">
        <f>IFERROR(__xludf.DUMMYFUNCTION("""COMPUTED_VALUE"""),"XB1-MPC-115")</f>
        <v>XB1-MPC-115</v>
      </c>
      <c r="B1630" s="3" t="str">
        <f>IFERROR(__xludf.DUMMYFUNCTION("""COMPUTED_VALUE"""),"Máy phát cỏ 2 thì")</f>
        <v>Máy phát cỏ 2 thì</v>
      </c>
      <c r="C1630" s="5" t="str">
        <f>IFERROR(__xludf.DUMMYFUNCTION("""COMPUTED_VALUE"""),"XN Bò AD")</f>
        <v>XN Bò AD</v>
      </c>
      <c r="D1630" s="5" t="str">
        <f>IFERROR(__xludf.DUMMYFUNCTION("""COMPUTED_VALUE"""),"MARATA")</f>
        <v>MARATA</v>
      </c>
      <c r="E1630" s="5" t="str">
        <f>IFERROR(__xludf.DUMMYFUNCTION("""COMPUTED_VALUE"""),"TRUNG QUỐC")</f>
        <v>TRUNG QUỐC</v>
      </c>
      <c r="F1630" s="5"/>
      <c r="G1630" s="5" t="str">
        <f>IFERROR(__xludf.DUMMYFUNCTION("""COMPUTED_VALUE"""),"CG412")</f>
        <v>CG412</v>
      </c>
      <c r="H1630" s="5" t="str">
        <f>IFERROR(__xludf.DUMMYFUNCTION("""COMPUTED_VALUE"""),"1.8HP")</f>
        <v>1.8HP</v>
      </c>
      <c r="I1630" s="5"/>
      <c r="J1630" s="5"/>
      <c r="K1630" s="5">
        <f>IFERROR(__xludf.DUMMYFUNCTION("""COMPUTED_VALUE"""),1.0)</f>
        <v>1</v>
      </c>
      <c r="L1630" s="5" t="str">
        <f>IFERROR(__xludf.DUMMYFUNCTION("""COMPUTED_VALUE"""),"KLH")</f>
        <v>KLH</v>
      </c>
    </row>
    <row r="1631">
      <c r="A1631" s="5" t="str">
        <f>IFERROR(__xludf.DUMMYFUNCTION("""COMPUTED_VALUE"""),"XB1-MPC-116")</f>
        <v>XB1-MPC-116</v>
      </c>
      <c r="B1631" s="3" t="str">
        <f>IFERROR(__xludf.DUMMYFUNCTION("""COMPUTED_VALUE"""),"Máy phát cỏ 2 thì")</f>
        <v>Máy phát cỏ 2 thì</v>
      </c>
      <c r="C1631" s="5" t="str">
        <f>IFERROR(__xludf.DUMMYFUNCTION("""COMPUTED_VALUE"""),"XN Bò AD")</f>
        <v>XN Bò AD</v>
      </c>
      <c r="D1631" s="5" t="str">
        <f>IFERROR(__xludf.DUMMYFUNCTION("""COMPUTED_VALUE"""),"MARATA")</f>
        <v>MARATA</v>
      </c>
      <c r="E1631" s="5" t="str">
        <f>IFERROR(__xludf.DUMMYFUNCTION("""COMPUTED_VALUE"""),"TRUNG QUỐC")</f>
        <v>TRUNG QUỐC</v>
      </c>
      <c r="F1631" s="5"/>
      <c r="G1631" s="5" t="str">
        <f>IFERROR(__xludf.DUMMYFUNCTION("""COMPUTED_VALUE"""),"CG412")</f>
        <v>CG412</v>
      </c>
      <c r="H1631" s="5" t="str">
        <f>IFERROR(__xludf.DUMMYFUNCTION("""COMPUTED_VALUE"""),"1.8HP")</f>
        <v>1.8HP</v>
      </c>
      <c r="I1631" s="5"/>
      <c r="J1631" s="5"/>
      <c r="K1631" s="5">
        <f>IFERROR(__xludf.DUMMYFUNCTION("""COMPUTED_VALUE"""),1.0)</f>
        <v>1</v>
      </c>
      <c r="L1631" s="5" t="str">
        <f>IFERROR(__xludf.DUMMYFUNCTION("""COMPUTED_VALUE"""),"KLH")</f>
        <v>KLH</v>
      </c>
    </row>
    <row r="1632">
      <c r="A1632" s="5" t="str">
        <f>IFERROR(__xludf.DUMMYFUNCTION("""COMPUTED_VALUE"""),"XB1-MPC-117")</f>
        <v>XB1-MPC-117</v>
      </c>
      <c r="B1632" s="3" t="str">
        <f>IFERROR(__xludf.DUMMYFUNCTION("""COMPUTED_VALUE"""),"Máy phát cỏ 2 thì")</f>
        <v>Máy phát cỏ 2 thì</v>
      </c>
      <c r="C1632" s="5" t="str">
        <f>IFERROR(__xludf.DUMMYFUNCTION("""COMPUTED_VALUE"""),"XN Bò AD")</f>
        <v>XN Bò AD</v>
      </c>
      <c r="D1632" s="5" t="str">
        <f>IFERROR(__xludf.DUMMYFUNCTION("""COMPUTED_VALUE"""),"MARATA")</f>
        <v>MARATA</v>
      </c>
      <c r="E1632" s="5" t="str">
        <f>IFERROR(__xludf.DUMMYFUNCTION("""COMPUTED_VALUE"""),"TRUNG QUỐC")</f>
        <v>TRUNG QUỐC</v>
      </c>
      <c r="F1632" s="5"/>
      <c r="G1632" s="5" t="str">
        <f>IFERROR(__xludf.DUMMYFUNCTION("""COMPUTED_VALUE"""),"CG412")</f>
        <v>CG412</v>
      </c>
      <c r="H1632" s="5" t="str">
        <f>IFERROR(__xludf.DUMMYFUNCTION("""COMPUTED_VALUE"""),"1.8HP")</f>
        <v>1.8HP</v>
      </c>
      <c r="I1632" s="5"/>
      <c r="J1632" s="5"/>
      <c r="K1632" s="5">
        <f>IFERROR(__xludf.DUMMYFUNCTION("""COMPUTED_VALUE"""),1.0)</f>
        <v>1</v>
      </c>
      <c r="L1632" s="5" t="str">
        <f>IFERROR(__xludf.DUMMYFUNCTION("""COMPUTED_VALUE"""),"KLH")</f>
        <v>KLH</v>
      </c>
    </row>
    <row r="1633">
      <c r="A1633" s="5" t="str">
        <f>IFERROR(__xludf.DUMMYFUNCTION("""COMPUTED_VALUE"""),"XB1-MPC-118")</f>
        <v>XB1-MPC-118</v>
      </c>
      <c r="B1633" s="3" t="str">
        <f>IFERROR(__xludf.DUMMYFUNCTION("""COMPUTED_VALUE"""),"Máy phát cỏ 2 thì")</f>
        <v>Máy phát cỏ 2 thì</v>
      </c>
      <c r="C1633" s="5" t="str">
        <f>IFERROR(__xludf.DUMMYFUNCTION("""COMPUTED_VALUE"""),"XN Bò AD")</f>
        <v>XN Bò AD</v>
      </c>
      <c r="D1633" s="5" t="str">
        <f>IFERROR(__xludf.DUMMYFUNCTION("""COMPUTED_VALUE"""),"MARATA")</f>
        <v>MARATA</v>
      </c>
      <c r="E1633" s="5" t="str">
        <f>IFERROR(__xludf.DUMMYFUNCTION("""COMPUTED_VALUE"""),"TRUNG QUỐC")</f>
        <v>TRUNG QUỐC</v>
      </c>
      <c r="F1633" s="5"/>
      <c r="G1633" s="5" t="str">
        <f>IFERROR(__xludf.DUMMYFUNCTION("""COMPUTED_VALUE"""),"CG412")</f>
        <v>CG412</v>
      </c>
      <c r="H1633" s="5" t="str">
        <f>IFERROR(__xludf.DUMMYFUNCTION("""COMPUTED_VALUE"""),"1.8HP")</f>
        <v>1.8HP</v>
      </c>
      <c r="I1633" s="5"/>
      <c r="J1633" s="5"/>
      <c r="K1633" s="5">
        <f>IFERROR(__xludf.DUMMYFUNCTION("""COMPUTED_VALUE"""),1.0)</f>
        <v>1</v>
      </c>
      <c r="L1633" s="5" t="str">
        <f>IFERROR(__xludf.DUMMYFUNCTION("""COMPUTED_VALUE"""),"KLH")</f>
        <v>KLH</v>
      </c>
    </row>
    <row r="1634">
      <c r="A1634" s="5" t="str">
        <f>IFERROR(__xludf.DUMMYFUNCTION("""COMPUTED_VALUE"""),"XB1-MPC-119")</f>
        <v>XB1-MPC-119</v>
      </c>
      <c r="B1634" s="3" t="str">
        <f>IFERROR(__xludf.DUMMYFUNCTION("""COMPUTED_VALUE"""),"Máy phát cỏ 2 thì")</f>
        <v>Máy phát cỏ 2 thì</v>
      </c>
      <c r="C1634" s="5" t="str">
        <f>IFERROR(__xludf.DUMMYFUNCTION("""COMPUTED_VALUE"""),"XN Bò AD")</f>
        <v>XN Bò AD</v>
      </c>
      <c r="D1634" s="5" t="str">
        <f>IFERROR(__xludf.DUMMYFUNCTION("""COMPUTED_VALUE"""),"MARATA")</f>
        <v>MARATA</v>
      </c>
      <c r="E1634" s="5" t="str">
        <f>IFERROR(__xludf.DUMMYFUNCTION("""COMPUTED_VALUE"""),"TRUNG QUỐC")</f>
        <v>TRUNG QUỐC</v>
      </c>
      <c r="F1634" s="5"/>
      <c r="G1634" s="5" t="str">
        <f>IFERROR(__xludf.DUMMYFUNCTION("""COMPUTED_VALUE"""),"CG412")</f>
        <v>CG412</v>
      </c>
      <c r="H1634" s="5" t="str">
        <f>IFERROR(__xludf.DUMMYFUNCTION("""COMPUTED_VALUE"""),"1.8HP")</f>
        <v>1.8HP</v>
      </c>
      <c r="I1634" s="5"/>
      <c r="J1634" s="5"/>
      <c r="K1634" s="5">
        <f>IFERROR(__xludf.DUMMYFUNCTION("""COMPUTED_VALUE"""),1.0)</f>
        <v>1</v>
      </c>
      <c r="L1634" s="5" t="str">
        <f>IFERROR(__xludf.DUMMYFUNCTION("""COMPUTED_VALUE"""),"KLH")</f>
        <v>KLH</v>
      </c>
    </row>
    <row r="1635">
      <c r="A1635" s="5" t="str">
        <f>IFERROR(__xludf.DUMMYFUNCTION("""COMPUTED_VALUE"""),"XB1-MPC-120")</f>
        <v>XB1-MPC-120</v>
      </c>
      <c r="B1635" s="3" t="str">
        <f>IFERROR(__xludf.DUMMYFUNCTION("""COMPUTED_VALUE"""),"Máy phát cỏ 2 thì")</f>
        <v>Máy phát cỏ 2 thì</v>
      </c>
      <c r="C1635" s="5" t="str">
        <f>IFERROR(__xludf.DUMMYFUNCTION("""COMPUTED_VALUE"""),"XN Bò AD")</f>
        <v>XN Bò AD</v>
      </c>
      <c r="D1635" s="5" t="str">
        <f>IFERROR(__xludf.DUMMYFUNCTION("""COMPUTED_VALUE"""),"MARATA")</f>
        <v>MARATA</v>
      </c>
      <c r="E1635" s="5" t="str">
        <f>IFERROR(__xludf.DUMMYFUNCTION("""COMPUTED_VALUE"""),"TRUNG QUỐC")</f>
        <v>TRUNG QUỐC</v>
      </c>
      <c r="F1635" s="5"/>
      <c r="G1635" s="5" t="str">
        <f>IFERROR(__xludf.DUMMYFUNCTION("""COMPUTED_VALUE"""),"CG412")</f>
        <v>CG412</v>
      </c>
      <c r="H1635" s="5" t="str">
        <f>IFERROR(__xludf.DUMMYFUNCTION("""COMPUTED_VALUE"""),"1.8HP")</f>
        <v>1.8HP</v>
      </c>
      <c r="I1635" s="5"/>
      <c r="J1635" s="5"/>
      <c r="K1635" s="5">
        <f>IFERROR(__xludf.DUMMYFUNCTION("""COMPUTED_VALUE"""),1.0)</f>
        <v>1</v>
      </c>
      <c r="L1635" s="5" t="str">
        <f>IFERROR(__xludf.DUMMYFUNCTION("""COMPUTED_VALUE"""),"KLH")</f>
        <v>KLH</v>
      </c>
    </row>
    <row r="1636">
      <c r="A1636" s="5" t="str">
        <f>IFERROR(__xludf.DUMMYFUNCTION("""COMPUTED_VALUE"""),"XB1-MPC-121")</f>
        <v>XB1-MPC-121</v>
      </c>
      <c r="B1636" s="3" t="str">
        <f>IFERROR(__xludf.DUMMYFUNCTION("""COMPUTED_VALUE"""),"Máy phát cỏ 2 thì")</f>
        <v>Máy phát cỏ 2 thì</v>
      </c>
      <c r="C1636" s="5" t="str">
        <f>IFERROR(__xludf.DUMMYFUNCTION("""COMPUTED_VALUE"""),"XN Bò AD")</f>
        <v>XN Bò AD</v>
      </c>
      <c r="D1636" s="5" t="str">
        <f>IFERROR(__xludf.DUMMYFUNCTION("""COMPUTED_VALUE"""),"MARATA")</f>
        <v>MARATA</v>
      </c>
      <c r="E1636" s="5" t="str">
        <f>IFERROR(__xludf.DUMMYFUNCTION("""COMPUTED_VALUE"""),"TRUNG QUỐC")</f>
        <v>TRUNG QUỐC</v>
      </c>
      <c r="F1636" s="5"/>
      <c r="G1636" s="5" t="str">
        <f>IFERROR(__xludf.DUMMYFUNCTION("""COMPUTED_VALUE"""),"CG412")</f>
        <v>CG412</v>
      </c>
      <c r="H1636" s="5" t="str">
        <f>IFERROR(__xludf.DUMMYFUNCTION("""COMPUTED_VALUE"""),"1.8HP")</f>
        <v>1.8HP</v>
      </c>
      <c r="I1636" s="5"/>
      <c r="J1636" s="5"/>
      <c r="K1636" s="5">
        <f>IFERROR(__xludf.DUMMYFUNCTION("""COMPUTED_VALUE"""),1.0)</f>
        <v>1</v>
      </c>
      <c r="L1636" s="5" t="str">
        <f>IFERROR(__xludf.DUMMYFUNCTION("""COMPUTED_VALUE"""),"KLH")</f>
        <v>KLH</v>
      </c>
    </row>
    <row r="1637">
      <c r="A1637" s="5" t="str">
        <f>IFERROR(__xludf.DUMMYFUNCTION("""COMPUTED_VALUE"""),"XB1-MPC-122")</f>
        <v>XB1-MPC-122</v>
      </c>
      <c r="B1637" s="3" t="str">
        <f>IFERROR(__xludf.DUMMYFUNCTION("""COMPUTED_VALUE"""),"Máy phát cỏ 2 thì")</f>
        <v>Máy phát cỏ 2 thì</v>
      </c>
      <c r="C1637" s="5" t="str">
        <f>IFERROR(__xludf.DUMMYFUNCTION("""COMPUTED_VALUE"""),"XN Bò AD")</f>
        <v>XN Bò AD</v>
      </c>
      <c r="D1637" s="5" t="str">
        <f>IFERROR(__xludf.DUMMYFUNCTION("""COMPUTED_VALUE"""),"MARATA")</f>
        <v>MARATA</v>
      </c>
      <c r="E1637" s="5" t="str">
        <f>IFERROR(__xludf.DUMMYFUNCTION("""COMPUTED_VALUE"""),"TRUNG QUỐC")</f>
        <v>TRUNG QUỐC</v>
      </c>
      <c r="F1637" s="5"/>
      <c r="G1637" s="5" t="str">
        <f>IFERROR(__xludf.DUMMYFUNCTION("""COMPUTED_VALUE"""),"CG412")</f>
        <v>CG412</v>
      </c>
      <c r="H1637" s="5" t="str">
        <f>IFERROR(__xludf.DUMMYFUNCTION("""COMPUTED_VALUE"""),"1.8HP")</f>
        <v>1.8HP</v>
      </c>
      <c r="I1637" s="5"/>
      <c r="J1637" s="5"/>
      <c r="K1637" s="5">
        <f>IFERROR(__xludf.DUMMYFUNCTION("""COMPUTED_VALUE"""),1.0)</f>
        <v>1</v>
      </c>
      <c r="L1637" s="5" t="str">
        <f>IFERROR(__xludf.DUMMYFUNCTION("""COMPUTED_VALUE"""),"KLH")</f>
        <v>KLH</v>
      </c>
    </row>
    <row r="1638">
      <c r="A1638" s="5" t="str">
        <f>IFERROR(__xludf.DUMMYFUNCTION("""COMPUTED_VALUE"""),"XB1-MPC-123")</f>
        <v>XB1-MPC-123</v>
      </c>
      <c r="B1638" s="3" t="str">
        <f>IFERROR(__xludf.DUMMYFUNCTION("""COMPUTED_VALUE"""),"Máy phát cỏ 2 thì")</f>
        <v>Máy phát cỏ 2 thì</v>
      </c>
      <c r="C1638" s="5" t="str">
        <f>IFERROR(__xludf.DUMMYFUNCTION("""COMPUTED_VALUE"""),"XN Bò AD")</f>
        <v>XN Bò AD</v>
      </c>
      <c r="D1638" s="5" t="str">
        <f>IFERROR(__xludf.DUMMYFUNCTION("""COMPUTED_VALUE"""),"MARATA")</f>
        <v>MARATA</v>
      </c>
      <c r="E1638" s="5" t="str">
        <f>IFERROR(__xludf.DUMMYFUNCTION("""COMPUTED_VALUE"""),"TRUNG QUỐC")</f>
        <v>TRUNG QUỐC</v>
      </c>
      <c r="F1638" s="5"/>
      <c r="G1638" s="5" t="str">
        <f>IFERROR(__xludf.DUMMYFUNCTION("""COMPUTED_VALUE"""),"CG412")</f>
        <v>CG412</v>
      </c>
      <c r="H1638" s="5" t="str">
        <f>IFERROR(__xludf.DUMMYFUNCTION("""COMPUTED_VALUE"""),"1.8HP")</f>
        <v>1.8HP</v>
      </c>
      <c r="I1638" s="5"/>
      <c r="J1638" s="5"/>
      <c r="K1638" s="5">
        <f>IFERROR(__xludf.DUMMYFUNCTION("""COMPUTED_VALUE"""),1.0)</f>
        <v>1</v>
      </c>
      <c r="L1638" s="5" t="str">
        <f>IFERROR(__xludf.DUMMYFUNCTION("""COMPUTED_VALUE"""),"KLH")</f>
        <v>KLH</v>
      </c>
    </row>
    <row r="1639">
      <c r="A1639" s="5" t="str">
        <f>IFERROR(__xludf.DUMMYFUNCTION("""COMPUTED_VALUE"""),"XB1-MPC-124")</f>
        <v>XB1-MPC-124</v>
      </c>
      <c r="B1639" s="3" t="str">
        <f>IFERROR(__xludf.DUMMYFUNCTION("""COMPUTED_VALUE"""),"Máy phát cỏ 2 thì")</f>
        <v>Máy phát cỏ 2 thì</v>
      </c>
      <c r="C1639" s="5" t="str">
        <f>IFERROR(__xludf.DUMMYFUNCTION("""COMPUTED_VALUE"""),"XN Bò AD")</f>
        <v>XN Bò AD</v>
      </c>
      <c r="D1639" s="5" t="str">
        <f>IFERROR(__xludf.DUMMYFUNCTION("""COMPUTED_VALUE"""),"MARATA")</f>
        <v>MARATA</v>
      </c>
      <c r="E1639" s="5" t="str">
        <f>IFERROR(__xludf.DUMMYFUNCTION("""COMPUTED_VALUE"""),"TRUNG QUỐC")</f>
        <v>TRUNG QUỐC</v>
      </c>
      <c r="F1639" s="5"/>
      <c r="G1639" s="5" t="str">
        <f>IFERROR(__xludf.DUMMYFUNCTION("""COMPUTED_VALUE"""),"CG412")</f>
        <v>CG412</v>
      </c>
      <c r="H1639" s="5" t="str">
        <f>IFERROR(__xludf.DUMMYFUNCTION("""COMPUTED_VALUE"""),"1.8HP")</f>
        <v>1.8HP</v>
      </c>
      <c r="I1639" s="5"/>
      <c r="J1639" s="5"/>
      <c r="K1639" s="5">
        <f>IFERROR(__xludf.DUMMYFUNCTION("""COMPUTED_VALUE"""),1.0)</f>
        <v>1</v>
      </c>
      <c r="L1639" s="5" t="str">
        <f>IFERROR(__xludf.DUMMYFUNCTION("""COMPUTED_VALUE"""),"KLH")</f>
        <v>KLH</v>
      </c>
    </row>
    <row r="1640">
      <c r="A1640" s="5" t="str">
        <f>IFERROR(__xludf.DUMMYFUNCTION("""COMPUTED_VALUE"""),"XB1-MPC-125")</f>
        <v>XB1-MPC-125</v>
      </c>
      <c r="B1640" s="3" t="str">
        <f>IFERROR(__xludf.DUMMYFUNCTION("""COMPUTED_VALUE"""),"Máy phát cỏ 2 thì")</f>
        <v>Máy phát cỏ 2 thì</v>
      </c>
      <c r="C1640" s="5" t="str">
        <f>IFERROR(__xludf.DUMMYFUNCTION("""COMPUTED_VALUE"""),"XN Bò AD")</f>
        <v>XN Bò AD</v>
      </c>
      <c r="D1640" s="5" t="str">
        <f>IFERROR(__xludf.DUMMYFUNCTION("""COMPUTED_VALUE"""),"MARATA")</f>
        <v>MARATA</v>
      </c>
      <c r="E1640" s="5" t="str">
        <f>IFERROR(__xludf.DUMMYFUNCTION("""COMPUTED_VALUE"""),"TRUNG QUỐC")</f>
        <v>TRUNG QUỐC</v>
      </c>
      <c r="F1640" s="5"/>
      <c r="G1640" s="5" t="str">
        <f>IFERROR(__xludf.DUMMYFUNCTION("""COMPUTED_VALUE"""),"CG412")</f>
        <v>CG412</v>
      </c>
      <c r="H1640" s="5" t="str">
        <f>IFERROR(__xludf.DUMMYFUNCTION("""COMPUTED_VALUE"""),"1.8HP")</f>
        <v>1.8HP</v>
      </c>
      <c r="I1640" s="5"/>
      <c r="J1640" s="5"/>
      <c r="K1640" s="5">
        <f>IFERROR(__xludf.DUMMYFUNCTION("""COMPUTED_VALUE"""),1.0)</f>
        <v>1</v>
      </c>
      <c r="L1640" s="5" t="str">
        <f>IFERROR(__xludf.DUMMYFUNCTION("""COMPUTED_VALUE"""),"KLH")</f>
        <v>KLH</v>
      </c>
    </row>
    <row r="1641">
      <c r="A1641" s="5" t="str">
        <f>IFERROR(__xludf.DUMMYFUNCTION("""COMPUTED_VALUE"""),"XB1-MPC-126")</f>
        <v>XB1-MPC-126</v>
      </c>
      <c r="B1641" s="3" t="str">
        <f>IFERROR(__xludf.DUMMYFUNCTION("""COMPUTED_VALUE"""),"Máy phát cỏ 2 thì")</f>
        <v>Máy phát cỏ 2 thì</v>
      </c>
      <c r="C1641" s="5" t="str">
        <f>IFERROR(__xludf.DUMMYFUNCTION("""COMPUTED_VALUE"""),"XN Bò AD")</f>
        <v>XN Bò AD</v>
      </c>
      <c r="D1641" s="5" t="str">
        <f>IFERROR(__xludf.DUMMYFUNCTION("""COMPUTED_VALUE"""),"MARATA")</f>
        <v>MARATA</v>
      </c>
      <c r="E1641" s="5" t="str">
        <f>IFERROR(__xludf.DUMMYFUNCTION("""COMPUTED_VALUE"""),"TRUNG QUỐC")</f>
        <v>TRUNG QUỐC</v>
      </c>
      <c r="F1641" s="5"/>
      <c r="G1641" s="5" t="str">
        <f>IFERROR(__xludf.DUMMYFUNCTION("""COMPUTED_VALUE"""),"CG412")</f>
        <v>CG412</v>
      </c>
      <c r="H1641" s="5" t="str">
        <f>IFERROR(__xludf.DUMMYFUNCTION("""COMPUTED_VALUE"""),"1.8HP")</f>
        <v>1.8HP</v>
      </c>
      <c r="I1641" s="5"/>
      <c r="J1641" s="5"/>
      <c r="K1641" s="5">
        <f>IFERROR(__xludf.DUMMYFUNCTION("""COMPUTED_VALUE"""),1.0)</f>
        <v>1</v>
      </c>
      <c r="L1641" s="5" t="str">
        <f>IFERROR(__xludf.DUMMYFUNCTION("""COMPUTED_VALUE"""),"KLH")</f>
        <v>KLH</v>
      </c>
    </row>
    <row r="1642">
      <c r="A1642" s="5" t="str">
        <f>IFERROR(__xludf.DUMMYFUNCTION("""COMPUTED_VALUE"""),"XB1-MPC-127")</f>
        <v>XB1-MPC-127</v>
      </c>
      <c r="B1642" s="3" t="str">
        <f>IFERROR(__xludf.DUMMYFUNCTION("""COMPUTED_VALUE"""),"Máy phát cỏ 2 thì")</f>
        <v>Máy phát cỏ 2 thì</v>
      </c>
      <c r="C1642" s="5" t="str">
        <f>IFERROR(__xludf.DUMMYFUNCTION("""COMPUTED_VALUE"""),"XN Bò AD")</f>
        <v>XN Bò AD</v>
      </c>
      <c r="D1642" s="5" t="str">
        <f>IFERROR(__xludf.DUMMYFUNCTION("""COMPUTED_VALUE"""),"MARATA")</f>
        <v>MARATA</v>
      </c>
      <c r="E1642" s="5" t="str">
        <f>IFERROR(__xludf.DUMMYFUNCTION("""COMPUTED_VALUE"""),"TRUNG QUỐC")</f>
        <v>TRUNG QUỐC</v>
      </c>
      <c r="F1642" s="5"/>
      <c r="G1642" s="5" t="str">
        <f>IFERROR(__xludf.DUMMYFUNCTION("""COMPUTED_VALUE"""),"CG412")</f>
        <v>CG412</v>
      </c>
      <c r="H1642" s="5" t="str">
        <f>IFERROR(__xludf.DUMMYFUNCTION("""COMPUTED_VALUE"""),"1.8HP")</f>
        <v>1.8HP</v>
      </c>
      <c r="I1642" s="5"/>
      <c r="J1642" s="5"/>
      <c r="K1642" s="5">
        <f>IFERROR(__xludf.DUMMYFUNCTION("""COMPUTED_VALUE"""),1.0)</f>
        <v>1</v>
      </c>
      <c r="L1642" s="5" t="str">
        <f>IFERROR(__xludf.DUMMYFUNCTION("""COMPUTED_VALUE"""),"KLH")</f>
        <v>KLH</v>
      </c>
    </row>
    <row r="1643">
      <c r="A1643" s="5" t="str">
        <f>IFERROR(__xludf.DUMMYFUNCTION("""COMPUTED_VALUE"""),"XB1-MPC-128")</f>
        <v>XB1-MPC-128</v>
      </c>
      <c r="B1643" s="3" t="str">
        <f>IFERROR(__xludf.DUMMYFUNCTION("""COMPUTED_VALUE"""),"Máy phát cỏ 2 thì")</f>
        <v>Máy phát cỏ 2 thì</v>
      </c>
      <c r="C1643" s="5" t="str">
        <f>IFERROR(__xludf.DUMMYFUNCTION("""COMPUTED_VALUE"""),"XN Bò AD")</f>
        <v>XN Bò AD</v>
      </c>
      <c r="D1643" s="5" t="str">
        <f>IFERROR(__xludf.DUMMYFUNCTION("""COMPUTED_VALUE"""),"MARATA")</f>
        <v>MARATA</v>
      </c>
      <c r="E1643" s="5" t="str">
        <f>IFERROR(__xludf.DUMMYFUNCTION("""COMPUTED_VALUE"""),"TRUNG QUỐC")</f>
        <v>TRUNG QUỐC</v>
      </c>
      <c r="F1643" s="5"/>
      <c r="G1643" s="5" t="str">
        <f>IFERROR(__xludf.DUMMYFUNCTION("""COMPUTED_VALUE"""),"CG412")</f>
        <v>CG412</v>
      </c>
      <c r="H1643" s="5" t="str">
        <f>IFERROR(__xludf.DUMMYFUNCTION("""COMPUTED_VALUE"""),"1.8HP")</f>
        <v>1.8HP</v>
      </c>
      <c r="I1643" s="5"/>
      <c r="J1643" s="5"/>
      <c r="K1643" s="5">
        <f>IFERROR(__xludf.DUMMYFUNCTION("""COMPUTED_VALUE"""),1.0)</f>
        <v>1</v>
      </c>
      <c r="L1643" s="5" t="str">
        <f>IFERROR(__xludf.DUMMYFUNCTION("""COMPUTED_VALUE"""),"KLH")</f>
        <v>KLH</v>
      </c>
    </row>
    <row r="1644">
      <c r="A1644" s="5" t="str">
        <f>IFERROR(__xludf.DUMMYFUNCTION("""COMPUTED_VALUE"""),"XB1-MPC-129")</f>
        <v>XB1-MPC-129</v>
      </c>
      <c r="B1644" s="3" t="str">
        <f>IFERROR(__xludf.DUMMYFUNCTION("""COMPUTED_VALUE"""),"Máy phát cỏ 2 thì")</f>
        <v>Máy phát cỏ 2 thì</v>
      </c>
      <c r="C1644" s="5" t="str">
        <f>IFERROR(__xludf.DUMMYFUNCTION("""COMPUTED_VALUE"""),"XN Bò AD")</f>
        <v>XN Bò AD</v>
      </c>
      <c r="D1644" s="5" t="str">
        <f>IFERROR(__xludf.DUMMYFUNCTION("""COMPUTED_VALUE"""),"MARATA")</f>
        <v>MARATA</v>
      </c>
      <c r="E1644" s="5" t="str">
        <f>IFERROR(__xludf.DUMMYFUNCTION("""COMPUTED_VALUE"""),"TRUNG QUỐC")</f>
        <v>TRUNG QUỐC</v>
      </c>
      <c r="F1644" s="5"/>
      <c r="G1644" s="5" t="str">
        <f>IFERROR(__xludf.DUMMYFUNCTION("""COMPUTED_VALUE"""),"CG412")</f>
        <v>CG412</v>
      </c>
      <c r="H1644" s="5" t="str">
        <f>IFERROR(__xludf.DUMMYFUNCTION("""COMPUTED_VALUE"""),"1.8HP")</f>
        <v>1.8HP</v>
      </c>
      <c r="I1644" s="5"/>
      <c r="J1644" s="5"/>
      <c r="K1644" s="5">
        <f>IFERROR(__xludf.DUMMYFUNCTION("""COMPUTED_VALUE"""),1.0)</f>
        <v>1</v>
      </c>
      <c r="L1644" s="5" t="str">
        <f>IFERROR(__xludf.DUMMYFUNCTION("""COMPUTED_VALUE"""),"KLH")</f>
        <v>KLH</v>
      </c>
    </row>
    <row r="1645">
      <c r="A1645" s="5" t="str">
        <f>IFERROR(__xludf.DUMMYFUNCTION("""COMPUTED_VALUE"""),"XB1-MPC-130")</f>
        <v>XB1-MPC-130</v>
      </c>
      <c r="B1645" s="3" t="str">
        <f>IFERROR(__xludf.DUMMYFUNCTION("""COMPUTED_VALUE"""),"Máy phát cỏ 2 thì")</f>
        <v>Máy phát cỏ 2 thì</v>
      </c>
      <c r="C1645" s="5" t="str">
        <f>IFERROR(__xludf.DUMMYFUNCTION("""COMPUTED_VALUE"""),"XN Bò AD")</f>
        <v>XN Bò AD</v>
      </c>
      <c r="D1645" s="5" t="str">
        <f>IFERROR(__xludf.DUMMYFUNCTION("""COMPUTED_VALUE"""),"MARATA")</f>
        <v>MARATA</v>
      </c>
      <c r="E1645" s="5" t="str">
        <f>IFERROR(__xludf.DUMMYFUNCTION("""COMPUTED_VALUE"""),"TRUNG QUỐC")</f>
        <v>TRUNG QUỐC</v>
      </c>
      <c r="F1645" s="5"/>
      <c r="G1645" s="5" t="str">
        <f>IFERROR(__xludf.DUMMYFUNCTION("""COMPUTED_VALUE"""),"CG412")</f>
        <v>CG412</v>
      </c>
      <c r="H1645" s="5" t="str">
        <f>IFERROR(__xludf.DUMMYFUNCTION("""COMPUTED_VALUE"""),"1.8HP")</f>
        <v>1.8HP</v>
      </c>
      <c r="I1645" s="5"/>
      <c r="J1645" s="5"/>
      <c r="K1645" s="5"/>
      <c r="L1645" s="5" t="str">
        <f>IFERROR(__xludf.DUMMYFUNCTION("""COMPUTED_VALUE"""),"KLH")</f>
        <v>KLH</v>
      </c>
    </row>
    <row r="1646">
      <c r="A1646" s="5" t="str">
        <f>IFERROR(__xludf.DUMMYFUNCTION("""COMPUTED_VALUE"""),"XB1-MPC-131")</f>
        <v>XB1-MPC-131</v>
      </c>
      <c r="B1646" s="3" t="str">
        <f>IFERROR(__xludf.DUMMYFUNCTION("""COMPUTED_VALUE"""),"Máy phát cỏ 2 thì")</f>
        <v>Máy phát cỏ 2 thì</v>
      </c>
      <c r="C1646" s="5" t="str">
        <f>IFERROR(__xludf.DUMMYFUNCTION("""COMPUTED_VALUE"""),"XN Bò AD")</f>
        <v>XN Bò AD</v>
      </c>
      <c r="D1646" s="5" t="str">
        <f>IFERROR(__xludf.DUMMYFUNCTION("""COMPUTED_VALUE"""),"MARATA")</f>
        <v>MARATA</v>
      </c>
      <c r="E1646" s="5" t="str">
        <f>IFERROR(__xludf.DUMMYFUNCTION("""COMPUTED_VALUE"""),"TRUNG QUỐC")</f>
        <v>TRUNG QUỐC</v>
      </c>
      <c r="F1646" s="5"/>
      <c r="G1646" s="5" t="str">
        <f>IFERROR(__xludf.DUMMYFUNCTION("""COMPUTED_VALUE"""),"CG412")</f>
        <v>CG412</v>
      </c>
      <c r="H1646" s="5" t="str">
        <f>IFERROR(__xludf.DUMMYFUNCTION("""COMPUTED_VALUE"""),"1.8HP")</f>
        <v>1.8HP</v>
      </c>
      <c r="I1646" s="5"/>
      <c r="J1646" s="5"/>
      <c r="K1646" s="5"/>
      <c r="L1646" s="5" t="str">
        <f>IFERROR(__xludf.DUMMYFUNCTION("""COMPUTED_VALUE"""),"KLH")</f>
        <v>KLH</v>
      </c>
    </row>
    <row r="1647">
      <c r="A1647" s="5" t="str">
        <f>IFERROR(__xludf.DUMMYFUNCTION("""COMPUTED_VALUE"""),"XB1-MPC-132")</f>
        <v>XB1-MPC-132</v>
      </c>
      <c r="B1647" s="3" t="str">
        <f>IFERROR(__xludf.DUMMYFUNCTION("""COMPUTED_VALUE"""),"Máy phát cỏ 2 thì")</f>
        <v>Máy phát cỏ 2 thì</v>
      </c>
      <c r="C1647" s="5" t="str">
        <f>IFERROR(__xludf.DUMMYFUNCTION("""COMPUTED_VALUE"""),"XN Bò AD")</f>
        <v>XN Bò AD</v>
      </c>
      <c r="D1647" s="5" t="str">
        <f>IFERROR(__xludf.DUMMYFUNCTION("""COMPUTED_VALUE"""),"MARATA")</f>
        <v>MARATA</v>
      </c>
      <c r="E1647" s="5" t="str">
        <f>IFERROR(__xludf.DUMMYFUNCTION("""COMPUTED_VALUE"""),"TRUNG QUỐC")</f>
        <v>TRUNG QUỐC</v>
      </c>
      <c r="F1647" s="5"/>
      <c r="G1647" s="5" t="str">
        <f>IFERROR(__xludf.DUMMYFUNCTION("""COMPUTED_VALUE"""),"CG412")</f>
        <v>CG412</v>
      </c>
      <c r="H1647" s="5" t="str">
        <f>IFERROR(__xludf.DUMMYFUNCTION("""COMPUTED_VALUE"""),"1.8HP")</f>
        <v>1.8HP</v>
      </c>
      <c r="I1647" s="5"/>
      <c r="J1647" s="5"/>
      <c r="K1647" s="5"/>
      <c r="L1647" s="5" t="str">
        <f>IFERROR(__xludf.DUMMYFUNCTION("""COMPUTED_VALUE"""),"KLH")</f>
        <v>KLH</v>
      </c>
    </row>
    <row r="1648">
      <c r="A1648" s="5" t="str">
        <f>IFERROR(__xludf.DUMMYFUNCTION("""COMPUTED_VALUE"""),"XB1-MPC-133")</f>
        <v>XB1-MPC-133</v>
      </c>
      <c r="B1648" s="3" t="str">
        <f>IFERROR(__xludf.DUMMYFUNCTION("""COMPUTED_VALUE"""),"Máy phát cỏ 2 thì")</f>
        <v>Máy phát cỏ 2 thì</v>
      </c>
      <c r="C1648" s="5" t="str">
        <f>IFERROR(__xludf.DUMMYFUNCTION("""COMPUTED_VALUE"""),"XN Bò AD")</f>
        <v>XN Bò AD</v>
      </c>
      <c r="D1648" s="5" t="str">
        <f>IFERROR(__xludf.DUMMYFUNCTION("""COMPUTED_VALUE"""),"MARATA")</f>
        <v>MARATA</v>
      </c>
      <c r="E1648" s="5" t="str">
        <f>IFERROR(__xludf.DUMMYFUNCTION("""COMPUTED_VALUE"""),"TRUNG QUỐC")</f>
        <v>TRUNG QUỐC</v>
      </c>
      <c r="F1648" s="5"/>
      <c r="G1648" s="5" t="str">
        <f>IFERROR(__xludf.DUMMYFUNCTION("""COMPUTED_VALUE"""),"CG412")</f>
        <v>CG412</v>
      </c>
      <c r="H1648" s="5" t="str">
        <f>IFERROR(__xludf.DUMMYFUNCTION("""COMPUTED_VALUE"""),"1.8HP")</f>
        <v>1.8HP</v>
      </c>
      <c r="I1648" s="5"/>
      <c r="J1648" s="5"/>
      <c r="K1648" s="5"/>
      <c r="L1648" s="5" t="str">
        <f>IFERROR(__xludf.DUMMYFUNCTION("""COMPUTED_VALUE"""),"KLH")</f>
        <v>KLH</v>
      </c>
    </row>
    <row r="1649">
      <c r="A1649" s="5" t="str">
        <f>IFERROR(__xludf.DUMMYFUNCTION("""COMPUTED_VALUE"""),"XB1-MPC-134")</f>
        <v>XB1-MPC-134</v>
      </c>
      <c r="B1649" s="3" t="str">
        <f>IFERROR(__xludf.DUMMYFUNCTION("""COMPUTED_VALUE"""),"Máy phát cỏ 2 thì")</f>
        <v>Máy phát cỏ 2 thì</v>
      </c>
      <c r="C1649" s="5" t="str">
        <f>IFERROR(__xludf.DUMMYFUNCTION("""COMPUTED_VALUE"""),"XN Bò AD")</f>
        <v>XN Bò AD</v>
      </c>
      <c r="D1649" s="5" t="str">
        <f>IFERROR(__xludf.DUMMYFUNCTION("""COMPUTED_VALUE"""),"MARATA")</f>
        <v>MARATA</v>
      </c>
      <c r="E1649" s="5" t="str">
        <f>IFERROR(__xludf.DUMMYFUNCTION("""COMPUTED_VALUE"""),"TRUNG QUỐC")</f>
        <v>TRUNG QUỐC</v>
      </c>
      <c r="F1649" s="5"/>
      <c r="G1649" s="5" t="str">
        <f>IFERROR(__xludf.DUMMYFUNCTION("""COMPUTED_VALUE"""),"CG412")</f>
        <v>CG412</v>
      </c>
      <c r="H1649" s="5" t="str">
        <f>IFERROR(__xludf.DUMMYFUNCTION("""COMPUTED_VALUE"""),"1.8HP")</f>
        <v>1.8HP</v>
      </c>
      <c r="I1649" s="5"/>
      <c r="J1649" s="5"/>
      <c r="K1649" s="5"/>
      <c r="L1649" s="5" t="str">
        <f>IFERROR(__xludf.DUMMYFUNCTION("""COMPUTED_VALUE"""),"KLH")</f>
        <v>KLH</v>
      </c>
    </row>
    <row r="1650">
      <c r="A1650" s="5" t="str">
        <f>IFERROR(__xludf.DUMMYFUNCTION("""COMPUTED_VALUE"""),"XB1-MPC-135")</f>
        <v>XB1-MPC-135</v>
      </c>
      <c r="B1650" s="3" t="str">
        <f>IFERROR(__xludf.DUMMYFUNCTION("""COMPUTED_VALUE"""),"Máy phát cỏ 2 thì")</f>
        <v>Máy phát cỏ 2 thì</v>
      </c>
      <c r="C1650" s="5" t="str">
        <f>IFERROR(__xludf.DUMMYFUNCTION("""COMPUTED_VALUE"""),"XN Bò AD")</f>
        <v>XN Bò AD</v>
      </c>
      <c r="D1650" s="5" t="str">
        <f>IFERROR(__xludf.DUMMYFUNCTION("""COMPUTED_VALUE"""),"MARATA")</f>
        <v>MARATA</v>
      </c>
      <c r="E1650" s="5" t="str">
        <f>IFERROR(__xludf.DUMMYFUNCTION("""COMPUTED_VALUE"""),"TRUNG QUỐC")</f>
        <v>TRUNG QUỐC</v>
      </c>
      <c r="F1650" s="5"/>
      <c r="G1650" s="5" t="str">
        <f>IFERROR(__xludf.DUMMYFUNCTION("""COMPUTED_VALUE"""),"CG412")</f>
        <v>CG412</v>
      </c>
      <c r="H1650" s="5" t="str">
        <f>IFERROR(__xludf.DUMMYFUNCTION("""COMPUTED_VALUE"""),"1.8HP")</f>
        <v>1.8HP</v>
      </c>
      <c r="I1650" s="5"/>
      <c r="J1650" s="5"/>
      <c r="K1650" s="5"/>
      <c r="L1650" s="5" t="str">
        <f>IFERROR(__xludf.DUMMYFUNCTION("""COMPUTED_VALUE"""),"KLH")</f>
        <v>KLH</v>
      </c>
    </row>
    <row r="1651">
      <c r="A1651" s="5" t="str">
        <f>IFERROR(__xludf.DUMMYFUNCTION("""COMPUTED_VALUE"""),"XB1-MPC-136")</f>
        <v>XB1-MPC-136</v>
      </c>
      <c r="B1651" s="3" t="str">
        <f>IFERROR(__xludf.DUMMYFUNCTION("""COMPUTED_VALUE"""),"Máy phát cỏ 2 thì")</f>
        <v>Máy phát cỏ 2 thì</v>
      </c>
      <c r="C1651" s="5" t="str">
        <f>IFERROR(__xludf.DUMMYFUNCTION("""COMPUTED_VALUE"""),"XN Bò AD")</f>
        <v>XN Bò AD</v>
      </c>
      <c r="D1651" s="5" t="str">
        <f>IFERROR(__xludf.DUMMYFUNCTION("""COMPUTED_VALUE"""),"MARATA")</f>
        <v>MARATA</v>
      </c>
      <c r="E1651" s="5" t="str">
        <f>IFERROR(__xludf.DUMMYFUNCTION("""COMPUTED_VALUE"""),"TRUNG QUỐC")</f>
        <v>TRUNG QUỐC</v>
      </c>
      <c r="F1651" s="5"/>
      <c r="G1651" s="5" t="str">
        <f>IFERROR(__xludf.DUMMYFUNCTION("""COMPUTED_VALUE"""),"CG412")</f>
        <v>CG412</v>
      </c>
      <c r="H1651" s="5" t="str">
        <f>IFERROR(__xludf.DUMMYFUNCTION("""COMPUTED_VALUE"""),"1.8HP")</f>
        <v>1.8HP</v>
      </c>
      <c r="I1651" s="5"/>
      <c r="J1651" s="5"/>
      <c r="K1651" s="5"/>
      <c r="L1651" s="5" t="str">
        <f>IFERROR(__xludf.DUMMYFUNCTION("""COMPUTED_VALUE"""),"KLH")</f>
        <v>KLH</v>
      </c>
    </row>
    <row r="1652">
      <c r="A1652" s="5" t="str">
        <f>IFERROR(__xludf.DUMMYFUNCTION("""COMPUTED_VALUE"""),"XB1-MPC-137")</f>
        <v>XB1-MPC-137</v>
      </c>
      <c r="B1652" s="3" t="str">
        <f>IFERROR(__xludf.DUMMYFUNCTION("""COMPUTED_VALUE"""),"Máy phát cỏ 2 thì")</f>
        <v>Máy phát cỏ 2 thì</v>
      </c>
      <c r="C1652" s="5" t="str">
        <f>IFERROR(__xludf.DUMMYFUNCTION("""COMPUTED_VALUE"""),"XN Bò AD")</f>
        <v>XN Bò AD</v>
      </c>
      <c r="D1652" s="5" t="str">
        <f>IFERROR(__xludf.DUMMYFUNCTION("""COMPUTED_VALUE"""),"MARATA")</f>
        <v>MARATA</v>
      </c>
      <c r="E1652" s="5" t="str">
        <f>IFERROR(__xludf.DUMMYFUNCTION("""COMPUTED_VALUE"""),"TRUNG QUỐC")</f>
        <v>TRUNG QUỐC</v>
      </c>
      <c r="F1652" s="5"/>
      <c r="G1652" s="5" t="str">
        <f>IFERROR(__xludf.DUMMYFUNCTION("""COMPUTED_VALUE"""),"CG412")</f>
        <v>CG412</v>
      </c>
      <c r="H1652" s="5" t="str">
        <f>IFERROR(__xludf.DUMMYFUNCTION("""COMPUTED_VALUE"""),"1.8HP")</f>
        <v>1.8HP</v>
      </c>
      <c r="I1652" s="5"/>
      <c r="J1652" s="5"/>
      <c r="K1652" s="5"/>
      <c r="L1652" s="5" t="str">
        <f>IFERROR(__xludf.DUMMYFUNCTION("""COMPUTED_VALUE"""),"KLH")</f>
        <v>KLH</v>
      </c>
    </row>
    <row r="1653">
      <c r="A1653" s="5" t="str">
        <f>IFERROR(__xludf.DUMMYFUNCTION("""COMPUTED_VALUE"""),"XB1-MPC-138")</f>
        <v>XB1-MPC-138</v>
      </c>
      <c r="B1653" s="3" t="str">
        <f>IFERROR(__xludf.DUMMYFUNCTION("""COMPUTED_VALUE"""),"Máy phát cỏ 2 thì")</f>
        <v>Máy phát cỏ 2 thì</v>
      </c>
      <c r="C1653" s="5" t="str">
        <f>IFERROR(__xludf.DUMMYFUNCTION("""COMPUTED_VALUE"""),"XN Bò AD")</f>
        <v>XN Bò AD</v>
      </c>
      <c r="D1653" s="5" t="str">
        <f>IFERROR(__xludf.DUMMYFUNCTION("""COMPUTED_VALUE"""),"MARATA")</f>
        <v>MARATA</v>
      </c>
      <c r="E1653" s="5" t="str">
        <f>IFERROR(__xludf.DUMMYFUNCTION("""COMPUTED_VALUE"""),"TRUNG QUỐC")</f>
        <v>TRUNG QUỐC</v>
      </c>
      <c r="F1653" s="5"/>
      <c r="G1653" s="5" t="str">
        <f>IFERROR(__xludf.DUMMYFUNCTION("""COMPUTED_VALUE"""),"CG412")</f>
        <v>CG412</v>
      </c>
      <c r="H1653" s="5" t="str">
        <f>IFERROR(__xludf.DUMMYFUNCTION("""COMPUTED_VALUE"""),"1.8HP")</f>
        <v>1.8HP</v>
      </c>
      <c r="I1653" s="5"/>
      <c r="J1653" s="5"/>
      <c r="K1653" s="5"/>
      <c r="L1653" s="5" t="str">
        <f>IFERROR(__xludf.DUMMYFUNCTION("""COMPUTED_VALUE"""),"KLH")</f>
        <v>KLH</v>
      </c>
    </row>
    <row r="1654">
      <c r="A1654" s="5" t="str">
        <f>IFERROR(__xludf.DUMMYFUNCTION("""COMPUTED_VALUE"""),"XB1-MPC-139")</f>
        <v>XB1-MPC-139</v>
      </c>
      <c r="B1654" s="3" t="str">
        <f>IFERROR(__xludf.DUMMYFUNCTION("""COMPUTED_VALUE"""),"Máy phát cỏ 2 thì")</f>
        <v>Máy phát cỏ 2 thì</v>
      </c>
      <c r="C1654" s="5" t="str">
        <f>IFERROR(__xludf.DUMMYFUNCTION("""COMPUTED_VALUE"""),"XN Bò AD")</f>
        <v>XN Bò AD</v>
      </c>
      <c r="D1654" s="5" t="str">
        <f>IFERROR(__xludf.DUMMYFUNCTION("""COMPUTED_VALUE"""),"MARATA")</f>
        <v>MARATA</v>
      </c>
      <c r="E1654" s="5" t="str">
        <f>IFERROR(__xludf.DUMMYFUNCTION("""COMPUTED_VALUE"""),"TRUNG QUỐC")</f>
        <v>TRUNG QUỐC</v>
      </c>
      <c r="F1654" s="5"/>
      <c r="G1654" s="5" t="str">
        <f>IFERROR(__xludf.DUMMYFUNCTION("""COMPUTED_VALUE"""),"CG412")</f>
        <v>CG412</v>
      </c>
      <c r="H1654" s="5" t="str">
        <f>IFERROR(__xludf.DUMMYFUNCTION("""COMPUTED_VALUE"""),"1.8HP")</f>
        <v>1.8HP</v>
      </c>
      <c r="I1654" s="5"/>
      <c r="J1654" s="5"/>
      <c r="K1654" s="5"/>
      <c r="L1654" s="5" t="str">
        <f>IFERROR(__xludf.DUMMYFUNCTION("""COMPUTED_VALUE"""),"KLH")</f>
        <v>KLH</v>
      </c>
    </row>
    <row r="1655">
      <c r="A1655" s="5" t="str">
        <f>IFERROR(__xludf.DUMMYFUNCTION("""COMPUTED_VALUE"""),"XB1-MPC-140")</f>
        <v>XB1-MPC-140</v>
      </c>
      <c r="B1655" s="3" t="str">
        <f>IFERROR(__xludf.DUMMYFUNCTION("""COMPUTED_VALUE"""),"Máy phát cỏ 2 thì")</f>
        <v>Máy phát cỏ 2 thì</v>
      </c>
      <c r="C1655" s="5" t="str">
        <f>IFERROR(__xludf.DUMMYFUNCTION("""COMPUTED_VALUE"""),"XN Bò AD")</f>
        <v>XN Bò AD</v>
      </c>
      <c r="D1655" s="5" t="str">
        <f>IFERROR(__xludf.DUMMYFUNCTION("""COMPUTED_VALUE"""),"MARATA")</f>
        <v>MARATA</v>
      </c>
      <c r="E1655" s="5" t="str">
        <f>IFERROR(__xludf.DUMMYFUNCTION("""COMPUTED_VALUE"""),"TRUNG QUỐC")</f>
        <v>TRUNG QUỐC</v>
      </c>
      <c r="F1655" s="5"/>
      <c r="G1655" s="5" t="str">
        <f>IFERROR(__xludf.DUMMYFUNCTION("""COMPUTED_VALUE"""),"CG412")</f>
        <v>CG412</v>
      </c>
      <c r="H1655" s="5" t="str">
        <f>IFERROR(__xludf.DUMMYFUNCTION("""COMPUTED_VALUE"""),"1.8HP")</f>
        <v>1.8HP</v>
      </c>
      <c r="I1655" s="5"/>
      <c r="J1655" s="5"/>
      <c r="K1655" s="5"/>
      <c r="L1655" s="5" t="str">
        <f>IFERROR(__xludf.DUMMYFUNCTION("""COMPUTED_VALUE"""),"KLH")</f>
        <v>KLH</v>
      </c>
    </row>
    <row r="1656">
      <c r="A1656" s="5" t="str">
        <f>IFERROR(__xludf.DUMMYFUNCTION("""COMPUTED_VALUE"""),"XB1-MPC-141")</f>
        <v>XB1-MPC-141</v>
      </c>
      <c r="B1656" s="3" t="str">
        <f>IFERROR(__xludf.DUMMYFUNCTION("""COMPUTED_VALUE"""),"Máy phát cỏ 2 thì")</f>
        <v>Máy phát cỏ 2 thì</v>
      </c>
      <c r="C1656" s="5" t="str">
        <f>IFERROR(__xludf.DUMMYFUNCTION("""COMPUTED_VALUE"""),"XN Bò AD")</f>
        <v>XN Bò AD</v>
      </c>
      <c r="D1656" s="5" t="str">
        <f>IFERROR(__xludf.DUMMYFUNCTION("""COMPUTED_VALUE"""),"MARATA")</f>
        <v>MARATA</v>
      </c>
      <c r="E1656" s="5" t="str">
        <f>IFERROR(__xludf.DUMMYFUNCTION("""COMPUTED_VALUE"""),"TRUNG QUỐC")</f>
        <v>TRUNG QUỐC</v>
      </c>
      <c r="F1656" s="5"/>
      <c r="G1656" s="5" t="str">
        <f>IFERROR(__xludf.DUMMYFUNCTION("""COMPUTED_VALUE"""),"CG412")</f>
        <v>CG412</v>
      </c>
      <c r="H1656" s="5" t="str">
        <f>IFERROR(__xludf.DUMMYFUNCTION("""COMPUTED_VALUE"""),"1.8HP")</f>
        <v>1.8HP</v>
      </c>
      <c r="I1656" s="5"/>
      <c r="J1656" s="5"/>
      <c r="K1656" s="5"/>
      <c r="L1656" s="5" t="str">
        <f>IFERROR(__xludf.DUMMYFUNCTION("""COMPUTED_VALUE"""),"KLH")</f>
        <v>KLH</v>
      </c>
    </row>
    <row r="1657">
      <c r="A1657" s="5" t="str">
        <f>IFERROR(__xludf.DUMMYFUNCTION("""COMPUTED_VALUE"""),"XB1-MPC-142")</f>
        <v>XB1-MPC-142</v>
      </c>
      <c r="B1657" s="3" t="str">
        <f>IFERROR(__xludf.DUMMYFUNCTION("""COMPUTED_VALUE"""),"Máy phát cỏ 2 thì")</f>
        <v>Máy phát cỏ 2 thì</v>
      </c>
      <c r="C1657" s="5" t="str">
        <f>IFERROR(__xludf.DUMMYFUNCTION("""COMPUTED_VALUE"""),"XN Bò AD")</f>
        <v>XN Bò AD</v>
      </c>
      <c r="D1657" s="5" t="str">
        <f>IFERROR(__xludf.DUMMYFUNCTION("""COMPUTED_VALUE"""),"MARATA")</f>
        <v>MARATA</v>
      </c>
      <c r="E1657" s="5" t="str">
        <f>IFERROR(__xludf.DUMMYFUNCTION("""COMPUTED_VALUE"""),"TRUNG QUỐC")</f>
        <v>TRUNG QUỐC</v>
      </c>
      <c r="F1657" s="5"/>
      <c r="G1657" s="5" t="str">
        <f>IFERROR(__xludf.DUMMYFUNCTION("""COMPUTED_VALUE"""),"CG412")</f>
        <v>CG412</v>
      </c>
      <c r="H1657" s="5" t="str">
        <f>IFERROR(__xludf.DUMMYFUNCTION("""COMPUTED_VALUE"""),"1.8HP")</f>
        <v>1.8HP</v>
      </c>
      <c r="I1657" s="5"/>
      <c r="J1657" s="5"/>
      <c r="K1657" s="5"/>
      <c r="L1657" s="5" t="str">
        <f>IFERROR(__xludf.DUMMYFUNCTION("""COMPUTED_VALUE"""),"KLH")</f>
        <v>KLH</v>
      </c>
    </row>
    <row r="1658">
      <c r="A1658" s="5" t="str">
        <f>IFERROR(__xludf.DUMMYFUNCTION("""COMPUTED_VALUE"""),"XB1-MPC-143")</f>
        <v>XB1-MPC-143</v>
      </c>
      <c r="B1658" s="3" t="str">
        <f>IFERROR(__xludf.DUMMYFUNCTION("""COMPUTED_VALUE"""),"Máy phát cỏ 2 thì")</f>
        <v>Máy phát cỏ 2 thì</v>
      </c>
      <c r="C1658" s="5" t="str">
        <f>IFERROR(__xludf.DUMMYFUNCTION("""COMPUTED_VALUE"""),"XN Bò AD")</f>
        <v>XN Bò AD</v>
      </c>
      <c r="D1658" s="5" t="str">
        <f>IFERROR(__xludf.DUMMYFUNCTION("""COMPUTED_VALUE"""),"MARATA")</f>
        <v>MARATA</v>
      </c>
      <c r="E1658" s="5" t="str">
        <f>IFERROR(__xludf.DUMMYFUNCTION("""COMPUTED_VALUE"""),"TRUNG QUỐC")</f>
        <v>TRUNG QUỐC</v>
      </c>
      <c r="F1658" s="5"/>
      <c r="G1658" s="5" t="str">
        <f>IFERROR(__xludf.DUMMYFUNCTION("""COMPUTED_VALUE"""),"CG412")</f>
        <v>CG412</v>
      </c>
      <c r="H1658" s="5" t="str">
        <f>IFERROR(__xludf.DUMMYFUNCTION("""COMPUTED_VALUE"""),"1.8HP")</f>
        <v>1.8HP</v>
      </c>
      <c r="I1658" s="5"/>
      <c r="J1658" s="5"/>
      <c r="K1658" s="5"/>
      <c r="L1658" s="5" t="str">
        <f>IFERROR(__xludf.DUMMYFUNCTION("""COMPUTED_VALUE"""),"KLH")</f>
        <v>KLH</v>
      </c>
    </row>
    <row r="1659">
      <c r="A1659" s="5" t="str">
        <f>IFERROR(__xludf.DUMMYFUNCTION("""COMPUTED_VALUE"""),"XB1-MPC-144")</f>
        <v>XB1-MPC-144</v>
      </c>
      <c r="B1659" s="3" t="str">
        <f>IFERROR(__xludf.DUMMYFUNCTION("""COMPUTED_VALUE"""),"Máy phát cỏ 2 thì")</f>
        <v>Máy phát cỏ 2 thì</v>
      </c>
      <c r="C1659" s="5" t="str">
        <f>IFERROR(__xludf.DUMMYFUNCTION("""COMPUTED_VALUE"""),"XN Bò AD")</f>
        <v>XN Bò AD</v>
      </c>
      <c r="D1659" s="5" t="str">
        <f>IFERROR(__xludf.DUMMYFUNCTION("""COMPUTED_VALUE"""),"MARATA")</f>
        <v>MARATA</v>
      </c>
      <c r="E1659" s="5" t="str">
        <f>IFERROR(__xludf.DUMMYFUNCTION("""COMPUTED_VALUE"""),"TRUNG QUỐC")</f>
        <v>TRUNG QUỐC</v>
      </c>
      <c r="F1659" s="5"/>
      <c r="G1659" s="5" t="str">
        <f>IFERROR(__xludf.DUMMYFUNCTION("""COMPUTED_VALUE"""),"CG412")</f>
        <v>CG412</v>
      </c>
      <c r="H1659" s="5" t="str">
        <f>IFERROR(__xludf.DUMMYFUNCTION("""COMPUTED_VALUE"""),"1.8HP")</f>
        <v>1.8HP</v>
      </c>
      <c r="I1659" s="5"/>
      <c r="J1659" s="5"/>
      <c r="K1659" s="5"/>
      <c r="L1659" s="5" t="str">
        <f>IFERROR(__xludf.DUMMYFUNCTION("""COMPUTED_VALUE"""),"KLH")</f>
        <v>KLH</v>
      </c>
    </row>
    <row r="1660">
      <c r="A1660" s="5" t="str">
        <f>IFERROR(__xludf.DUMMYFUNCTION("""COMPUTED_VALUE"""),"XB1-MPC-145")</f>
        <v>XB1-MPC-145</v>
      </c>
      <c r="B1660" s="3" t="str">
        <f>IFERROR(__xludf.DUMMYFUNCTION("""COMPUTED_VALUE"""),"Máy phát cỏ 2 thì")</f>
        <v>Máy phát cỏ 2 thì</v>
      </c>
      <c r="C1660" s="5" t="str">
        <f>IFERROR(__xludf.DUMMYFUNCTION("""COMPUTED_VALUE"""),"XN Bò AD")</f>
        <v>XN Bò AD</v>
      </c>
      <c r="D1660" s="5" t="str">
        <f>IFERROR(__xludf.DUMMYFUNCTION("""COMPUTED_VALUE"""),"MARATA")</f>
        <v>MARATA</v>
      </c>
      <c r="E1660" s="5" t="str">
        <f>IFERROR(__xludf.DUMMYFUNCTION("""COMPUTED_VALUE"""),"TRUNG QUỐC")</f>
        <v>TRUNG QUỐC</v>
      </c>
      <c r="F1660" s="5"/>
      <c r="G1660" s="5" t="str">
        <f>IFERROR(__xludf.DUMMYFUNCTION("""COMPUTED_VALUE"""),"CG412")</f>
        <v>CG412</v>
      </c>
      <c r="H1660" s="5" t="str">
        <f>IFERROR(__xludf.DUMMYFUNCTION("""COMPUTED_VALUE"""),"1.8HP")</f>
        <v>1.8HP</v>
      </c>
      <c r="I1660" s="5"/>
      <c r="J1660" s="5"/>
      <c r="K1660" s="5"/>
      <c r="L1660" s="5" t="str">
        <f>IFERROR(__xludf.DUMMYFUNCTION("""COMPUTED_VALUE"""),"KLH")</f>
        <v>KLH</v>
      </c>
    </row>
    <row r="1661">
      <c r="A1661" s="5" t="str">
        <f>IFERROR(__xludf.DUMMYFUNCTION("""COMPUTED_VALUE"""),"XB1-MPC-146")</f>
        <v>XB1-MPC-146</v>
      </c>
      <c r="B1661" s="3" t="str">
        <f>IFERROR(__xludf.DUMMYFUNCTION("""COMPUTED_VALUE"""),"Máy phát cỏ 2 thì")</f>
        <v>Máy phát cỏ 2 thì</v>
      </c>
      <c r="C1661" s="5" t="str">
        <f>IFERROR(__xludf.DUMMYFUNCTION("""COMPUTED_VALUE"""),"XN Bò AD")</f>
        <v>XN Bò AD</v>
      </c>
      <c r="D1661" s="5" t="str">
        <f>IFERROR(__xludf.DUMMYFUNCTION("""COMPUTED_VALUE"""),"MARATA")</f>
        <v>MARATA</v>
      </c>
      <c r="E1661" s="5" t="str">
        <f>IFERROR(__xludf.DUMMYFUNCTION("""COMPUTED_VALUE"""),"TRUNG QUỐC")</f>
        <v>TRUNG QUỐC</v>
      </c>
      <c r="F1661" s="5"/>
      <c r="G1661" s="5" t="str">
        <f>IFERROR(__xludf.DUMMYFUNCTION("""COMPUTED_VALUE"""),"CG412")</f>
        <v>CG412</v>
      </c>
      <c r="H1661" s="5" t="str">
        <f>IFERROR(__xludf.DUMMYFUNCTION("""COMPUTED_VALUE"""),"1.8HP")</f>
        <v>1.8HP</v>
      </c>
      <c r="I1661" s="5"/>
      <c r="J1661" s="5"/>
      <c r="K1661" s="5"/>
      <c r="L1661" s="5" t="str">
        <f>IFERROR(__xludf.DUMMYFUNCTION("""COMPUTED_VALUE"""),"KLH")</f>
        <v>KLH</v>
      </c>
    </row>
    <row r="1662">
      <c r="A1662" s="5" t="str">
        <f>IFERROR(__xludf.DUMMYFUNCTION("""COMPUTED_VALUE"""),"XB1-MPC-147")</f>
        <v>XB1-MPC-147</v>
      </c>
      <c r="B1662" s="3" t="str">
        <f>IFERROR(__xludf.DUMMYFUNCTION("""COMPUTED_VALUE"""),"Máy phát cỏ 2 thì")</f>
        <v>Máy phát cỏ 2 thì</v>
      </c>
      <c r="C1662" s="5" t="str">
        <f>IFERROR(__xludf.DUMMYFUNCTION("""COMPUTED_VALUE"""),"XN Bò AD")</f>
        <v>XN Bò AD</v>
      </c>
      <c r="D1662" s="5" t="str">
        <f>IFERROR(__xludf.DUMMYFUNCTION("""COMPUTED_VALUE"""),"MARATA")</f>
        <v>MARATA</v>
      </c>
      <c r="E1662" s="5" t="str">
        <f>IFERROR(__xludf.DUMMYFUNCTION("""COMPUTED_VALUE"""),"TRUNG QUỐC")</f>
        <v>TRUNG QUỐC</v>
      </c>
      <c r="F1662" s="5"/>
      <c r="G1662" s="5" t="str">
        <f>IFERROR(__xludf.DUMMYFUNCTION("""COMPUTED_VALUE"""),"CG412")</f>
        <v>CG412</v>
      </c>
      <c r="H1662" s="5" t="str">
        <f>IFERROR(__xludf.DUMMYFUNCTION("""COMPUTED_VALUE"""),"1.8HP")</f>
        <v>1.8HP</v>
      </c>
      <c r="I1662" s="5"/>
      <c r="J1662" s="5"/>
      <c r="K1662" s="5"/>
      <c r="L1662" s="5" t="str">
        <f>IFERROR(__xludf.DUMMYFUNCTION("""COMPUTED_VALUE"""),"KLH")</f>
        <v>KLH</v>
      </c>
    </row>
    <row r="1663">
      <c r="A1663" s="5" t="str">
        <f>IFERROR(__xludf.DUMMYFUNCTION("""COMPUTED_VALUE"""),"XB1-MPC-148")</f>
        <v>XB1-MPC-148</v>
      </c>
      <c r="B1663" s="3" t="str">
        <f>IFERROR(__xludf.DUMMYFUNCTION("""COMPUTED_VALUE"""),"Máy phát cỏ 2 thì")</f>
        <v>Máy phát cỏ 2 thì</v>
      </c>
      <c r="C1663" s="5" t="str">
        <f>IFERROR(__xludf.DUMMYFUNCTION("""COMPUTED_VALUE"""),"XN Bò AD")</f>
        <v>XN Bò AD</v>
      </c>
      <c r="D1663" s="5" t="str">
        <f>IFERROR(__xludf.DUMMYFUNCTION("""COMPUTED_VALUE"""),"MARATA")</f>
        <v>MARATA</v>
      </c>
      <c r="E1663" s="5" t="str">
        <f>IFERROR(__xludf.DUMMYFUNCTION("""COMPUTED_VALUE"""),"TRUNG QUỐC")</f>
        <v>TRUNG QUỐC</v>
      </c>
      <c r="F1663" s="5"/>
      <c r="G1663" s="5" t="str">
        <f>IFERROR(__xludf.DUMMYFUNCTION("""COMPUTED_VALUE"""),"CG412")</f>
        <v>CG412</v>
      </c>
      <c r="H1663" s="5" t="str">
        <f>IFERROR(__xludf.DUMMYFUNCTION("""COMPUTED_VALUE"""),"1.8HP")</f>
        <v>1.8HP</v>
      </c>
      <c r="I1663" s="5"/>
      <c r="J1663" s="5"/>
      <c r="K1663" s="5"/>
      <c r="L1663" s="5" t="str">
        <f>IFERROR(__xludf.DUMMYFUNCTION("""COMPUTED_VALUE"""),"KLH")</f>
        <v>KLH</v>
      </c>
    </row>
    <row r="1664">
      <c r="A1664" s="5" t="str">
        <f>IFERROR(__xludf.DUMMYFUNCTION("""COMPUTED_VALUE"""),"XB1-MPC-149")</f>
        <v>XB1-MPC-149</v>
      </c>
      <c r="B1664" s="3" t="str">
        <f>IFERROR(__xludf.DUMMYFUNCTION("""COMPUTED_VALUE"""),"Máy phát cỏ 2 thì")</f>
        <v>Máy phát cỏ 2 thì</v>
      </c>
      <c r="C1664" s="5" t="str">
        <f>IFERROR(__xludf.DUMMYFUNCTION("""COMPUTED_VALUE"""),"XN Bò AD")</f>
        <v>XN Bò AD</v>
      </c>
      <c r="D1664" s="5" t="str">
        <f>IFERROR(__xludf.DUMMYFUNCTION("""COMPUTED_VALUE"""),"MARATA")</f>
        <v>MARATA</v>
      </c>
      <c r="E1664" s="5" t="str">
        <f>IFERROR(__xludf.DUMMYFUNCTION("""COMPUTED_VALUE"""),"TRUNG QUỐC")</f>
        <v>TRUNG QUỐC</v>
      </c>
      <c r="F1664" s="5"/>
      <c r="G1664" s="5" t="str">
        <f>IFERROR(__xludf.DUMMYFUNCTION("""COMPUTED_VALUE"""),"CG412")</f>
        <v>CG412</v>
      </c>
      <c r="H1664" s="5" t="str">
        <f>IFERROR(__xludf.DUMMYFUNCTION("""COMPUTED_VALUE"""),"1.8HP")</f>
        <v>1.8HP</v>
      </c>
      <c r="I1664" s="5"/>
      <c r="J1664" s="5"/>
      <c r="K1664" s="5"/>
      <c r="L1664" s="5" t="str">
        <f>IFERROR(__xludf.DUMMYFUNCTION("""COMPUTED_VALUE"""),"KLH")</f>
        <v>KLH</v>
      </c>
    </row>
    <row r="1665">
      <c r="A1665" s="5" t="str">
        <f>IFERROR(__xludf.DUMMYFUNCTION("""COMPUTED_VALUE"""),"XB1-MPC-150")</f>
        <v>XB1-MPC-150</v>
      </c>
      <c r="B1665" s="3" t="str">
        <f>IFERROR(__xludf.DUMMYFUNCTION("""COMPUTED_VALUE"""),"Máy phát cỏ 2 thì")</f>
        <v>Máy phát cỏ 2 thì</v>
      </c>
      <c r="C1665" s="5" t="str">
        <f>IFERROR(__xludf.DUMMYFUNCTION("""COMPUTED_VALUE"""),"XN Bò AD")</f>
        <v>XN Bò AD</v>
      </c>
      <c r="D1665" s="5" t="str">
        <f>IFERROR(__xludf.DUMMYFUNCTION("""COMPUTED_VALUE"""),"MARATA")</f>
        <v>MARATA</v>
      </c>
      <c r="E1665" s="5" t="str">
        <f>IFERROR(__xludf.DUMMYFUNCTION("""COMPUTED_VALUE"""),"TRUNG QUỐC")</f>
        <v>TRUNG QUỐC</v>
      </c>
      <c r="F1665" s="5"/>
      <c r="G1665" s="5" t="str">
        <f>IFERROR(__xludf.DUMMYFUNCTION("""COMPUTED_VALUE"""),"CG412")</f>
        <v>CG412</v>
      </c>
      <c r="H1665" s="5" t="str">
        <f>IFERROR(__xludf.DUMMYFUNCTION("""COMPUTED_VALUE"""),"1.8HP")</f>
        <v>1.8HP</v>
      </c>
      <c r="I1665" s="5"/>
      <c r="J1665" s="5"/>
      <c r="K1665" s="5"/>
      <c r="L1665" s="5" t="str">
        <f>IFERROR(__xludf.DUMMYFUNCTION("""COMPUTED_VALUE"""),"KLH")</f>
        <v>KLH</v>
      </c>
    </row>
    <row r="1666">
      <c r="A1666" s="5" t="str">
        <f>IFERROR(__xludf.DUMMYFUNCTION("""COMPUTED_VALUE"""),"XB1-MPC-151")</f>
        <v>XB1-MPC-151</v>
      </c>
      <c r="B1666" s="3" t="str">
        <f>IFERROR(__xludf.DUMMYFUNCTION("""COMPUTED_VALUE"""),"Máy phát cỏ 2 thì")</f>
        <v>Máy phát cỏ 2 thì</v>
      </c>
      <c r="C1666" s="5" t="str">
        <f>IFERROR(__xludf.DUMMYFUNCTION("""COMPUTED_VALUE"""),"XN Bò AD")</f>
        <v>XN Bò AD</v>
      </c>
      <c r="D1666" s="5" t="str">
        <f>IFERROR(__xludf.DUMMYFUNCTION("""COMPUTED_VALUE"""),"MARATA")</f>
        <v>MARATA</v>
      </c>
      <c r="E1666" s="5" t="str">
        <f>IFERROR(__xludf.DUMMYFUNCTION("""COMPUTED_VALUE"""),"TRUNG QUỐC")</f>
        <v>TRUNG QUỐC</v>
      </c>
      <c r="F1666" s="5"/>
      <c r="G1666" s="5" t="str">
        <f>IFERROR(__xludf.DUMMYFUNCTION("""COMPUTED_VALUE"""),"CG412")</f>
        <v>CG412</v>
      </c>
      <c r="H1666" s="5" t="str">
        <f>IFERROR(__xludf.DUMMYFUNCTION("""COMPUTED_VALUE"""),"1.8HP")</f>
        <v>1.8HP</v>
      </c>
      <c r="I1666" s="5"/>
      <c r="J1666" s="5"/>
      <c r="K1666" s="5"/>
      <c r="L1666" s="5" t="str">
        <f>IFERROR(__xludf.DUMMYFUNCTION("""COMPUTED_VALUE"""),"KLH")</f>
        <v>KLH</v>
      </c>
    </row>
    <row r="1667">
      <c r="A1667" s="5" t="str">
        <f>IFERROR(__xludf.DUMMYFUNCTION("""COMPUTED_VALUE"""),"XB1-MPC-152")</f>
        <v>XB1-MPC-152</v>
      </c>
      <c r="B1667" s="3" t="str">
        <f>IFERROR(__xludf.DUMMYFUNCTION("""COMPUTED_VALUE"""),"Máy phát cỏ 2 thì")</f>
        <v>Máy phát cỏ 2 thì</v>
      </c>
      <c r="C1667" s="5" t="str">
        <f>IFERROR(__xludf.DUMMYFUNCTION("""COMPUTED_VALUE"""),"XN Bò AD")</f>
        <v>XN Bò AD</v>
      </c>
      <c r="D1667" s="5" t="str">
        <f>IFERROR(__xludf.DUMMYFUNCTION("""COMPUTED_VALUE"""),"MARATA")</f>
        <v>MARATA</v>
      </c>
      <c r="E1667" s="5" t="str">
        <f>IFERROR(__xludf.DUMMYFUNCTION("""COMPUTED_VALUE"""),"TRUNG QUỐC")</f>
        <v>TRUNG QUỐC</v>
      </c>
      <c r="F1667" s="5"/>
      <c r="G1667" s="5" t="str">
        <f>IFERROR(__xludf.DUMMYFUNCTION("""COMPUTED_VALUE"""),"CG412")</f>
        <v>CG412</v>
      </c>
      <c r="H1667" s="5" t="str">
        <f>IFERROR(__xludf.DUMMYFUNCTION("""COMPUTED_VALUE"""),"1.8HP")</f>
        <v>1.8HP</v>
      </c>
      <c r="I1667" s="5"/>
      <c r="J1667" s="5"/>
      <c r="K1667" s="5"/>
      <c r="L1667" s="5" t="str">
        <f>IFERROR(__xludf.DUMMYFUNCTION("""COMPUTED_VALUE"""),"KLH")</f>
        <v>KLH</v>
      </c>
    </row>
    <row r="1668">
      <c r="A1668" s="5" t="str">
        <f>IFERROR(__xludf.DUMMYFUNCTION("""COMPUTED_VALUE"""),"XB1-MPC-153")</f>
        <v>XB1-MPC-153</v>
      </c>
      <c r="B1668" s="3" t="str">
        <f>IFERROR(__xludf.DUMMYFUNCTION("""COMPUTED_VALUE"""),"Máy phát cỏ 2 thì")</f>
        <v>Máy phát cỏ 2 thì</v>
      </c>
      <c r="C1668" s="5" t="str">
        <f>IFERROR(__xludf.DUMMYFUNCTION("""COMPUTED_VALUE"""),"XN Bò AD")</f>
        <v>XN Bò AD</v>
      </c>
      <c r="D1668" s="5" t="str">
        <f>IFERROR(__xludf.DUMMYFUNCTION("""COMPUTED_VALUE"""),"MARATA")</f>
        <v>MARATA</v>
      </c>
      <c r="E1668" s="5" t="str">
        <f>IFERROR(__xludf.DUMMYFUNCTION("""COMPUTED_VALUE"""),"TRUNG QUỐC")</f>
        <v>TRUNG QUỐC</v>
      </c>
      <c r="F1668" s="5"/>
      <c r="G1668" s="5" t="str">
        <f>IFERROR(__xludf.DUMMYFUNCTION("""COMPUTED_VALUE"""),"CG412")</f>
        <v>CG412</v>
      </c>
      <c r="H1668" s="5" t="str">
        <f>IFERROR(__xludf.DUMMYFUNCTION("""COMPUTED_VALUE"""),"1.8HP")</f>
        <v>1.8HP</v>
      </c>
      <c r="I1668" s="5"/>
      <c r="J1668" s="5"/>
      <c r="K1668" s="5"/>
      <c r="L1668" s="5" t="str">
        <f>IFERROR(__xludf.DUMMYFUNCTION("""COMPUTED_VALUE"""),"KLH")</f>
        <v>KLH</v>
      </c>
    </row>
    <row r="1669">
      <c r="A1669" s="5" t="str">
        <f>IFERROR(__xludf.DUMMYFUNCTION("""COMPUTED_VALUE"""),"XB1-MPC-154")</f>
        <v>XB1-MPC-154</v>
      </c>
      <c r="B1669" s="3" t="str">
        <f>IFERROR(__xludf.DUMMYFUNCTION("""COMPUTED_VALUE"""),"Máy phát cỏ 2 thì")</f>
        <v>Máy phát cỏ 2 thì</v>
      </c>
      <c r="C1669" s="5" t="str">
        <f>IFERROR(__xludf.DUMMYFUNCTION("""COMPUTED_VALUE"""),"XN Bò AD")</f>
        <v>XN Bò AD</v>
      </c>
      <c r="D1669" s="5" t="str">
        <f>IFERROR(__xludf.DUMMYFUNCTION("""COMPUTED_VALUE"""),"MARATA")</f>
        <v>MARATA</v>
      </c>
      <c r="E1669" s="5" t="str">
        <f>IFERROR(__xludf.DUMMYFUNCTION("""COMPUTED_VALUE"""),"TRUNG QUỐC")</f>
        <v>TRUNG QUỐC</v>
      </c>
      <c r="F1669" s="5"/>
      <c r="G1669" s="5" t="str">
        <f>IFERROR(__xludf.DUMMYFUNCTION("""COMPUTED_VALUE"""),"CG412")</f>
        <v>CG412</v>
      </c>
      <c r="H1669" s="5" t="str">
        <f>IFERROR(__xludf.DUMMYFUNCTION("""COMPUTED_VALUE"""),"1.8HP")</f>
        <v>1.8HP</v>
      </c>
      <c r="I1669" s="5"/>
      <c r="J1669" s="5"/>
      <c r="K1669" s="5"/>
      <c r="L1669" s="5" t="str">
        <f>IFERROR(__xludf.DUMMYFUNCTION("""COMPUTED_VALUE"""),"KLH")</f>
        <v>KLH</v>
      </c>
    </row>
    <row r="1670">
      <c r="A1670" s="5" t="str">
        <f>IFERROR(__xludf.DUMMYFUNCTION("""COMPUTED_VALUE"""),"XB1-MPC-155")</f>
        <v>XB1-MPC-155</v>
      </c>
      <c r="B1670" s="3" t="str">
        <f>IFERROR(__xludf.DUMMYFUNCTION("""COMPUTED_VALUE"""),"Máy phát cỏ 2 thì")</f>
        <v>Máy phát cỏ 2 thì</v>
      </c>
      <c r="C1670" s="5" t="str">
        <f>IFERROR(__xludf.DUMMYFUNCTION("""COMPUTED_VALUE"""),"XN Bò AD")</f>
        <v>XN Bò AD</v>
      </c>
      <c r="D1670" s="5" t="str">
        <f>IFERROR(__xludf.DUMMYFUNCTION("""COMPUTED_VALUE"""),"MARATA")</f>
        <v>MARATA</v>
      </c>
      <c r="E1670" s="5" t="str">
        <f>IFERROR(__xludf.DUMMYFUNCTION("""COMPUTED_VALUE"""),"TRUNG QUỐC")</f>
        <v>TRUNG QUỐC</v>
      </c>
      <c r="F1670" s="5"/>
      <c r="G1670" s="5" t="str">
        <f>IFERROR(__xludf.DUMMYFUNCTION("""COMPUTED_VALUE"""),"CG412")</f>
        <v>CG412</v>
      </c>
      <c r="H1670" s="5" t="str">
        <f>IFERROR(__xludf.DUMMYFUNCTION("""COMPUTED_VALUE"""),"1.8HP")</f>
        <v>1.8HP</v>
      </c>
      <c r="I1670" s="5"/>
      <c r="J1670" s="5"/>
      <c r="K1670" s="5"/>
      <c r="L1670" s="5" t="str">
        <f>IFERROR(__xludf.DUMMYFUNCTION("""COMPUTED_VALUE"""),"KLH")</f>
        <v>KLH</v>
      </c>
    </row>
    <row r="1671">
      <c r="A1671" s="5" t="str">
        <f>IFERROR(__xludf.DUMMYFUNCTION("""COMPUTED_VALUE"""),"XB1-MPC-156")</f>
        <v>XB1-MPC-156</v>
      </c>
      <c r="B1671" s="3" t="str">
        <f>IFERROR(__xludf.DUMMYFUNCTION("""COMPUTED_VALUE"""),"Máy phát cỏ 2 thì")</f>
        <v>Máy phát cỏ 2 thì</v>
      </c>
      <c r="C1671" s="5" t="str">
        <f>IFERROR(__xludf.DUMMYFUNCTION("""COMPUTED_VALUE"""),"XN Bò AD")</f>
        <v>XN Bò AD</v>
      </c>
      <c r="D1671" s="5" t="str">
        <f>IFERROR(__xludf.DUMMYFUNCTION("""COMPUTED_VALUE"""),"MARATA")</f>
        <v>MARATA</v>
      </c>
      <c r="E1671" s="5" t="str">
        <f>IFERROR(__xludf.DUMMYFUNCTION("""COMPUTED_VALUE"""),"TRUNG QUỐC")</f>
        <v>TRUNG QUỐC</v>
      </c>
      <c r="F1671" s="5"/>
      <c r="G1671" s="5" t="str">
        <f>IFERROR(__xludf.DUMMYFUNCTION("""COMPUTED_VALUE"""),"CG412")</f>
        <v>CG412</v>
      </c>
      <c r="H1671" s="5" t="str">
        <f>IFERROR(__xludf.DUMMYFUNCTION("""COMPUTED_VALUE"""),"1.8HP")</f>
        <v>1.8HP</v>
      </c>
      <c r="I1671" s="5"/>
      <c r="J1671" s="5"/>
      <c r="K1671" s="5"/>
      <c r="L1671" s="5" t="str">
        <f>IFERROR(__xludf.DUMMYFUNCTION("""COMPUTED_VALUE"""),"KLH")</f>
        <v>KLH</v>
      </c>
    </row>
    <row r="1672">
      <c r="A1672" s="5" t="str">
        <f>IFERROR(__xludf.DUMMYFUNCTION("""COMPUTED_VALUE"""),"XB1-MPC-157")</f>
        <v>XB1-MPC-157</v>
      </c>
      <c r="B1672" s="3" t="str">
        <f>IFERROR(__xludf.DUMMYFUNCTION("""COMPUTED_VALUE"""),"Máy phát cỏ 2 thì")</f>
        <v>Máy phát cỏ 2 thì</v>
      </c>
      <c r="C1672" s="5" t="str">
        <f>IFERROR(__xludf.DUMMYFUNCTION("""COMPUTED_VALUE"""),"XN Bò AD")</f>
        <v>XN Bò AD</v>
      </c>
      <c r="D1672" s="5" t="str">
        <f>IFERROR(__xludf.DUMMYFUNCTION("""COMPUTED_VALUE"""),"MARATA")</f>
        <v>MARATA</v>
      </c>
      <c r="E1672" s="5" t="str">
        <f>IFERROR(__xludf.DUMMYFUNCTION("""COMPUTED_VALUE"""),"TRUNG QUỐC")</f>
        <v>TRUNG QUỐC</v>
      </c>
      <c r="F1672" s="5"/>
      <c r="G1672" s="5" t="str">
        <f>IFERROR(__xludf.DUMMYFUNCTION("""COMPUTED_VALUE"""),"CG412")</f>
        <v>CG412</v>
      </c>
      <c r="H1672" s="5" t="str">
        <f>IFERROR(__xludf.DUMMYFUNCTION("""COMPUTED_VALUE"""),"1.8HP")</f>
        <v>1.8HP</v>
      </c>
      <c r="I1672" s="5"/>
      <c r="J1672" s="5"/>
      <c r="K1672" s="5"/>
      <c r="L1672" s="5" t="str">
        <f>IFERROR(__xludf.DUMMYFUNCTION("""COMPUTED_VALUE"""),"KLH")</f>
        <v>KLH</v>
      </c>
    </row>
    <row r="1673">
      <c r="A1673" s="5" t="str">
        <f>IFERROR(__xludf.DUMMYFUNCTION("""COMPUTED_VALUE"""),"XB1-MPC-158")</f>
        <v>XB1-MPC-158</v>
      </c>
      <c r="B1673" s="3" t="str">
        <f>IFERROR(__xludf.DUMMYFUNCTION("""COMPUTED_VALUE"""),"Máy phát cỏ 2 thì")</f>
        <v>Máy phát cỏ 2 thì</v>
      </c>
      <c r="C1673" s="5" t="str">
        <f>IFERROR(__xludf.DUMMYFUNCTION("""COMPUTED_VALUE"""),"XN Bò AD")</f>
        <v>XN Bò AD</v>
      </c>
      <c r="D1673" s="5" t="str">
        <f>IFERROR(__xludf.DUMMYFUNCTION("""COMPUTED_VALUE"""),"MARATA")</f>
        <v>MARATA</v>
      </c>
      <c r="E1673" s="5" t="str">
        <f>IFERROR(__xludf.DUMMYFUNCTION("""COMPUTED_VALUE"""),"TRUNG QUỐC")</f>
        <v>TRUNG QUỐC</v>
      </c>
      <c r="F1673" s="5"/>
      <c r="G1673" s="5" t="str">
        <f>IFERROR(__xludf.DUMMYFUNCTION("""COMPUTED_VALUE"""),"CG412")</f>
        <v>CG412</v>
      </c>
      <c r="H1673" s="5" t="str">
        <f>IFERROR(__xludf.DUMMYFUNCTION("""COMPUTED_VALUE"""),"1.8HP")</f>
        <v>1.8HP</v>
      </c>
      <c r="I1673" s="5"/>
      <c r="J1673" s="5"/>
      <c r="K1673" s="5"/>
      <c r="L1673" s="5" t="str">
        <f>IFERROR(__xludf.DUMMYFUNCTION("""COMPUTED_VALUE"""),"KLH")</f>
        <v>KLH</v>
      </c>
    </row>
    <row r="1674">
      <c r="A1674" s="5" t="str">
        <f>IFERROR(__xludf.DUMMYFUNCTION("""COMPUTED_VALUE"""),"XB1-MPC-159")</f>
        <v>XB1-MPC-159</v>
      </c>
      <c r="B1674" s="3" t="str">
        <f>IFERROR(__xludf.DUMMYFUNCTION("""COMPUTED_VALUE"""),"Máy phát cỏ 2 thì")</f>
        <v>Máy phát cỏ 2 thì</v>
      </c>
      <c r="C1674" s="5" t="str">
        <f>IFERROR(__xludf.DUMMYFUNCTION("""COMPUTED_VALUE"""),"XN Bò AD")</f>
        <v>XN Bò AD</v>
      </c>
      <c r="D1674" s="5" t="str">
        <f>IFERROR(__xludf.DUMMYFUNCTION("""COMPUTED_VALUE"""),"MARATA")</f>
        <v>MARATA</v>
      </c>
      <c r="E1674" s="5" t="str">
        <f>IFERROR(__xludf.DUMMYFUNCTION("""COMPUTED_VALUE"""),"TRUNG QUỐC")</f>
        <v>TRUNG QUỐC</v>
      </c>
      <c r="F1674" s="5"/>
      <c r="G1674" s="5" t="str">
        <f>IFERROR(__xludf.DUMMYFUNCTION("""COMPUTED_VALUE"""),"CG412")</f>
        <v>CG412</v>
      </c>
      <c r="H1674" s="5" t="str">
        <f>IFERROR(__xludf.DUMMYFUNCTION("""COMPUTED_VALUE"""),"1.8HP")</f>
        <v>1.8HP</v>
      </c>
      <c r="I1674" s="5"/>
      <c r="J1674" s="5"/>
      <c r="K1674" s="5"/>
      <c r="L1674" s="5" t="str">
        <f>IFERROR(__xludf.DUMMYFUNCTION("""COMPUTED_VALUE"""),"KLH")</f>
        <v>KLH</v>
      </c>
    </row>
    <row r="1675">
      <c r="A1675" s="5" t="str">
        <f>IFERROR(__xludf.DUMMYFUNCTION("""COMPUTED_VALUE"""),"NT XOÀI AD")</f>
        <v>NT XOÀI AD</v>
      </c>
      <c r="B1675" s="3"/>
      <c r="C1675" s="5"/>
      <c r="D1675" s="5"/>
      <c r="E1675" s="5"/>
      <c r="F1675" s="5"/>
      <c r="G1675" s="5"/>
      <c r="H1675" s="5"/>
      <c r="I1675" s="5"/>
      <c r="J1675" s="5"/>
      <c r="K1675" s="5"/>
      <c r="L1675" s="5" t="str">
        <f>IFERROR(__xludf.DUMMYFUNCTION("""COMPUTED_VALUE"""),"KLH")</f>
        <v>KLH</v>
      </c>
    </row>
    <row r="1676">
      <c r="A1676" s="5" t="str">
        <f>IFERROR(__xludf.DUMMYFUNCTION("""COMPUTED_VALUE"""),"XXA-MPC-017")</f>
        <v>XXA-MPC-017</v>
      </c>
      <c r="B1676" s="3" t="str">
        <f>IFERROR(__xludf.DUMMYFUNCTION("""COMPUTED_VALUE"""),"Máy phát cỏ 4 thì")</f>
        <v>Máy phát cỏ 4 thì</v>
      </c>
      <c r="C1676" s="5" t="str">
        <f>IFERROR(__xludf.DUMMYFUNCTION("""COMPUTED_VALUE"""),"XOÀI AD")</f>
        <v>XOÀI AD</v>
      </c>
      <c r="D1676" s="5" t="str">
        <f>IFERROR(__xludf.DUMMYFUNCTION("""COMPUTED_VALUE"""),"HINOTA  ")</f>
        <v>HINOTA  </v>
      </c>
      <c r="E1676" s="5" t="str">
        <f>IFERROR(__xludf.DUMMYFUNCTION("""COMPUTED_VALUE"""),"Trung Quốc")</f>
        <v>Trung Quốc</v>
      </c>
      <c r="F1676" s="5"/>
      <c r="G1676" s="5" t="str">
        <f>IFERROR(__xludf.DUMMYFUNCTION("""COMPUTED_VALUE"""),"CG435")</f>
        <v>CG435</v>
      </c>
      <c r="H1676" s="5" t="str">
        <f>IFERROR(__xludf.DUMMYFUNCTION("""COMPUTED_VALUE"""),"1.2HP")</f>
        <v>1.2HP</v>
      </c>
      <c r="I1676" s="5" t="str">
        <f>IFERROR(__xludf.DUMMYFUNCTION("""COMPUTED_VALUE"""),"220511/ZOZC1-1M")</f>
        <v>220511/ZOZC1-1M</v>
      </c>
      <c r="J1676" s="5"/>
      <c r="K1676" s="5">
        <f>IFERROR(__xludf.DUMMYFUNCTION("""COMPUTED_VALUE"""),0.5)</f>
        <v>0.5</v>
      </c>
      <c r="L1676" s="5" t="str">
        <f>IFERROR(__xludf.DUMMYFUNCTION("""COMPUTED_VALUE"""),"KLH")</f>
        <v>KLH</v>
      </c>
    </row>
    <row r="1677">
      <c r="A1677" s="5" t="str">
        <f>IFERROR(__xludf.DUMMYFUNCTION("""COMPUTED_VALUE"""),"XXA-MPC-018")</f>
        <v>XXA-MPC-018</v>
      </c>
      <c r="B1677" s="3" t="str">
        <f>IFERROR(__xludf.DUMMYFUNCTION("""COMPUTED_VALUE"""),"Máy phát cỏ 4 thì")</f>
        <v>Máy phát cỏ 4 thì</v>
      </c>
      <c r="C1677" s="5" t="str">
        <f>IFERROR(__xludf.DUMMYFUNCTION("""COMPUTED_VALUE"""),"XOÀI AD")</f>
        <v>XOÀI AD</v>
      </c>
      <c r="D1677" s="5" t="str">
        <f>IFERROR(__xludf.DUMMYFUNCTION("""COMPUTED_VALUE"""),"HINOTA  ")</f>
        <v>HINOTA  </v>
      </c>
      <c r="E1677" s="5" t="str">
        <f>IFERROR(__xludf.DUMMYFUNCTION("""COMPUTED_VALUE"""),"Trung Quốc")</f>
        <v>Trung Quốc</v>
      </c>
      <c r="F1677" s="5"/>
      <c r="G1677" s="5" t="str">
        <f>IFERROR(__xludf.DUMMYFUNCTION("""COMPUTED_VALUE"""),"CG435")</f>
        <v>CG435</v>
      </c>
      <c r="H1677" s="5" t="str">
        <f>IFERROR(__xludf.DUMMYFUNCTION("""COMPUTED_VALUE"""),"1.2HP")</f>
        <v>1.2HP</v>
      </c>
      <c r="I1677" s="5" t="str">
        <f>IFERROR(__xludf.DUMMYFUNCTION("""COMPUTED_VALUE"""),"220511/ZOZC1-1M")</f>
        <v>220511/ZOZC1-1M</v>
      </c>
      <c r="J1677" s="5"/>
      <c r="K1677" s="5">
        <f>IFERROR(__xludf.DUMMYFUNCTION("""COMPUTED_VALUE"""),0.5)</f>
        <v>0.5</v>
      </c>
      <c r="L1677" s="5" t="str">
        <f>IFERROR(__xludf.DUMMYFUNCTION("""COMPUTED_VALUE"""),"KLH")</f>
        <v>KLH</v>
      </c>
    </row>
    <row r="1678">
      <c r="A1678" s="5" t="str">
        <f>IFERROR(__xludf.DUMMYFUNCTION("""COMPUTED_VALUE"""),"XXA-MPC-044")</f>
        <v>XXA-MPC-044</v>
      </c>
      <c r="B1678" s="3" t="str">
        <f>IFERROR(__xludf.DUMMYFUNCTION("""COMPUTED_VALUE"""),"Máy phát cỏ 4 thì")</f>
        <v>Máy phát cỏ 4 thì</v>
      </c>
      <c r="C1678" s="5" t="str">
        <f>IFERROR(__xludf.DUMMYFUNCTION("""COMPUTED_VALUE"""),"XOÀI AD")</f>
        <v>XOÀI AD</v>
      </c>
      <c r="D1678" s="5" t="str">
        <f>IFERROR(__xludf.DUMMYFUNCTION("""COMPUTED_VALUE"""),"HONDA")</f>
        <v>HONDA</v>
      </c>
      <c r="E1678" s="5" t="str">
        <f>IFERROR(__xludf.DUMMYFUNCTION("""COMPUTED_VALUE"""),"TRUNG QUỐC")</f>
        <v>TRUNG QUỐC</v>
      </c>
      <c r="F1678" s="5"/>
      <c r="G1678" s="5" t="str">
        <f>IFERROR(__xludf.DUMMYFUNCTION("""COMPUTED_VALUE"""),"GX35")</f>
        <v>GX35</v>
      </c>
      <c r="H1678" s="5" t="str">
        <f>IFERROR(__xludf.DUMMYFUNCTION("""COMPUTED_VALUE"""),"1.6HP")</f>
        <v>1.6HP</v>
      </c>
      <c r="I1678" s="5" t="str">
        <f>IFERROR(__xludf.DUMMYFUNCTION("""COMPUTED_VALUE"""),"GCAMT-7677939")</f>
        <v>GCAMT-7677939</v>
      </c>
      <c r="J1678" s="5"/>
      <c r="K1678" s="5">
        <f>IFERROR(__xludf.DUMMYFUNCTION("""COMPUTED_VALUE"""),0.5)</f>
        <v>0.5</v>
      </c>
      <c r="L1678" s="5" t="str">
        <f>IFERROR(__xludf.DUMMYFUNCTION("""COMPUTED_VALUE"""),"KLH")</f>
        <v>KLH</v>
      </c>
    </row>
    <row r="1679">
      <c r="A1679" s="5" t="str">
        <f>IFERROR(__xludf.DUMMYFUNCTION("""COMPUTED_VALUE"""),"XXA-MPC-045")</f>
        <v>XXA-MPC-045</v>
      </c>
      <c r="B1679" s="3" t="str">
        <f>IFERROR(__xludf.DUMMYFUNCTION("""COMPUTED_VALUE"""),"Máy phát cỏ 4 thì")</f>
        <v>Máy phát cỏ 4 thì</v>
      </c>
      <c r="C1679" s="5" t="str">
        <f>IFERROR(__xludf.DUMMYFUNCTION("""COMPUTED_VALUE"""),"XOÀI AD")</f>
        <v>XOÀI AD</v>
      </c>
      <c r="D1679" s="5" t="str">
        <f>IFERROR(__xludf.DUMMYFUNCTION("""COMPUTED_VALUE"""),"HONDA")</f>
        <v>HONDA</v>
      </c>
      <c r="E1679" s="5" t="str">
        <f>IFERROR(__xludf.DUMMYFUNCTION("""COMPUTED_VALUE"""),"TRUNG QUỐC")</f>
        <v>TRUNG QUỐC</v>
      </c>
      <c r="F1679" s="5"/>
      <c r="G1679" s="5" t="str">
        <f>IFERROR(__xludf.DUMMYFUNCTION("""COMPUTED_VALUE"""),"GX35")</f>
        <v>GX35</v>
      </c>
      <c r="H1679" s="5" t="str">
        <f>IFERROR(__xludf.DUMMYFUNCTION("""COMPUTED_VALUE"""),"1.6HP")</f>
        <v>1.6HP</v>
      </c>
      <c r="I1679" s="5" t="str">
        <f>IFERROR(__xludf.DUMMYFUNCTION("""COMPUTED_VALUE"""),"GCAMT-7676251")</f>
        <v>GCAMT-7676251</v>
      </c>
      <c r="J1679" s="5"/>
      <c r="K1679" s="5">
        <f>IFERROR(__xludf.DUMMYFUNCTION("""COMPUTED_VALUE"""),0.5)</f>
        <v>0.5</v>
      </c>
      <c r="L1679" s="5" t="str">
        <f>IFERROR(__xludf.DUMMYFUNCTION("""COMPUTED_VALUE"""),"KLH")</f>
        <v>KLH</v>
      </c>
    </row>
    <row r="1680">
      <c r="A1680" s="5" t="str">
        <f>IFERROR(__xludf.DUMMYFUNCTION("""COMPUTED_VALUE"""),"XXA-MPC-046")</f>
        <v>XXA-MPC-046</v>
      </c>
      <c r="B1680" s="3" t="str">
        <f>IFERROR(__xludf.DUMMYFUNCTION("""COMPUTED_VALUE"""),"Máy phát cỏ 4 thì")</f>
        <v>Máy phát cỏ 4 thì</v>
      </c>
      <c r="C1680" s="5" t="str">
        <f>IFERROR(__xludf.DUMMYFUNCTION("""COMPUTED_VALUE"""),"XOÀI AD")</f>
        <v>XOÀI AD</v>
      </c>
      <c r="D1680" s="5" t="str">
        <f>IFERROR(__xludf.DUMMYFUNCTION("""COMPUTED_VALUE"""),"HONDA")</f>
        <v>HONDA</v>
      </c>
      <c r="E1680" s="5" t="str">
        <f>IFERROR(__xludf.DUMMYFUNCTION("""COMPUTED_VALUE"""),"TRUNG QUỐC")</f>
        <v>TRUNG QUỐC</v>
      </c>
      <c r="F1680" s="5"/>
      <c r="G1680" s="5" t="str">
        <f>IFERROR(__xludf.DUMMYFUNCTION("""COMPUTED_VALUE"""),"GX35")</f>
        <v>GX35</v>
      </c>
      <c r="H1680" s="5" t="str">
        <f>IFERROR(__xludf.DUMMYFUNCTION("""COMPUTED_VALUE"""),"1.6HP")</f>
        <v>1.6HP</v>
      </c>
      <c r="I1680" s="5" t="str">
        <f>IFERROR(__xludf.DUMMYFUNCTION("""COMPUTED_VALUE"""),"GCAMT-7677960")</f>
        <v>GCAMT-7677960</v>
      </c>
      <c r="J1680" s="5"/>
      <c r="K1680" s="5">
        <f>IFERROR(__xludf.DUMMYFUNCTION("""COMPUTED_VALUE"""),0.5)</f>
        <v>0.5</v>
      </c>
      <c r="L1680" s="5" t="str">
        <f>IFERROR(__xludf.DUMMYFUNCTION("""COMPUTED_VALUE"""),"KLH")</f>
        <v>KLH</v>
      </c>
    </row>
    <row r="1681">
      <c r="A1681" s="5" t="str">
        <f>IFERROR(__xludf.DUMMYFUNCTION("""COMPUTED_VALUE"""),"XXA-MPC-047")</f>
        <v>XXA-MPC-047</v>
      </c>
      <c r="B1681" s="3" t="str">
        <f>IFERROR(__xludf.DUMMYFUNCTION("""COMPUTED_VALUE"""),"Máy phát cỏ 4 thì")</f>
        <v>Máy phát cỏ 4 thì</v>
      </c>
      <c r="C1681" s="5" t="str">
        <f>IFERROR(__xludf.DUMMYFUNCTION("""COMPUTED_VALUE"""),"XOÀI AD")</f>
        <v>XOÀI AD</v>
      </c>
      <c r="D1681" s="5" t="str">
        <f>IFERROR(__xludf.DUMMYFUNCTION("""COMPUTED_VALUE"""),"HONDA")</f>
        <v>HONDA</v>
      </c>
      <c r="E1681" s="5" t="str">
        <f>IFERROR(__xludf.DUMMYFUNCTION("""COMPUTED_VALUE"""),"TRUNG QUỐC")</f>
        <v>TRUNG QUỐC</v>
      </c>
      <c r="F1681" s="5"/>
      <c r="G1681" s="5" t="str">
        <f>IFERROR(__xludf.DUMMYFUNCTION("""COMPUTED_VALUE"""),"GX35")</f>
        <v>GX35</v>
      </c>
      <c r="H1681" s="5" t="str">
        <f>IFERROR(__xludf.DUMMYFUNCTION("""COMPUTED_VALUE"""),"1.6HP")</f>
        <v>1.6HP</v>
      </c>
      <c r="I1681" s="5" t="str">
        <f>IFERROR(__xludf.DUMMYFUNCTION("""COMPUTED_VALUE"""),"GCAMT-7655192")</f>
        <v>GCAMT-7655192</v>
      </c>
      <c r="J1681" s="5"/>
      <c r="K1681" s="5">
        <f>IFERROR(__xludf.DUMMYFUNCTION("""COMPUTED_VALUE"""),0.5)</f>
        <v>0.5</v>
      </c>
      <c r="L1681" s="5" t="str">
        <f>IFERROR(__xludf.DUMMYFUNCTION("""COMPUTED_VALUE"""),"KLH")</f>
        <v>KLH</v>
      </c>
    </row>
    <row r="1682">
      <c r="A1682" s="5" t="str">
        <f>IFERROR(__xludf.DUMMYFUNCTION("""COMPUTED_VALUE"""),"XXA-MPC-048")</f>
        <v>XXA-MPC-048</v>
      </c>
      <c r="B1682" s="3" t="str">
        <f>IFERROR(__xludf.DUMMYFUNCTION("""COMPUTED_VALUE"""),"Máy phát cỏ 4 thì")</f>
        <v>Máy phát cỏ 4 thì</v>
      </c>
      <c r="C1682" s="5" t="str">
        <f>IFERROR(__xludf.DUMMYFUNCTION("""COMPUTED_VALUE"""),"XOÀI AD")</f>
        <v>XOÀI AD</v>
      </c>
      <c r="D1682" s="5" t="str">
        <f>IFERROR(__xludf.DUMMYFUNCTION("""COMPUTED_VALUE"""),"HONDA")</f>
        <v>HONDA</v>
      </c>
      <c r="E1682" s="5" t="str">
        <f>IFERROR(__xludf.DUMMYFUNCTION("""COMPUTED_VALUE"""),"TRUNG QUỐC")</f>
        <v>TRUNG QUỐC</v>
      </c>
      <c r="F1682" s="5"/>
      <c r="G1682" s="5" t="str">
        <f>IFERROR(__xludf.DUMMYFUNCTION("""COMPUTED_VALUE"""),"GX35")</f>
        <v>GX35</v>
      </c>
      <c r="H1682" s="5" t="str">
        <f>IFERROR(__xludf.DUMMYFUNCTION("""COMPUTED_VALUE"""),"1.6HP")</f>
        <v>1.6HP</v>
      </c>
      <c r="I1682" s="5" t="str">
        <f>IFERROR(__xludf.DUMMYFUNCTION("""COMPUTED_VALUE"""),"GCAMT-7655158")</f>
        <v>GCAMT-7655158</v>
      </c>
      <c r="J1682" s="5"/>
      <c r="K1682" s="5">
        <f>IFERROR(__xludf.DUMMYFUNCTION("""COMPUTED_VALUE"""),0.5)</f>
        <v>0.5</v>
      </c>
      <c r="L1682" s="5" t="str">
        <f>IFERROR(__xludf.DUMMYFUNCTION("""COMPUTED_VALUE"""),"KLH")</f>
        <v>KLH</v>
      </c>
    </row>
    <row r="1683">
      <c r="A1683" s="5" t="str">
        <f>IFERROR(__xludf.DUMMYFUNCTION("""COMPUTED_VALUE"""),"XXA-MPC-049")</f>
        <v>XXA-MPC-049</v>
      </c>
      <c r="B1683" s="3" t="str">
        <f>IFERROR(__xludf.DUMMYFUNCTION("""COMPUTED_VALUE"""),"Máy phát cỏ 4 thì")</f>
        <v>Máy phát cỏ 4 thì</v>
      </c>
      <c r="C1683" s="5" t="str">
        <f>IFERROR(__xludf.DUMMYFUNCTION("""COMPUTED_VALUE"""),"XOÀI AD")</f>
        <v>XOÀI AD</v>
      </c>
      <c r="D1683" s="5" t="str">
        <f>IFERROR(__xludf.DUMMYFUNCTION("""COMPUTED_VALUE"""),"HONDA")</f>
        <v>HONDA</v>
      </c>
      <c r="E1683" s="5" t="str">
        <f>IFERROR(__xludf.DUMMYFUNCTION("""COMPUTED_VALUE"""),"TRUNG QUỐC")</f>
        <v>TRUNG QUỐC</v>
      </c>
      <c r="F1683" s="5"/>
      <c r="G1683" s="5" t="str">
        <f>IFERROR(__xludf.DUMMYFUNCTION("""COMPUTED_VALUE"""),"GX35")</f>
        <v>GX35</v>
      </c>
      <c r="H1683" s="5" t="str">
        <f>IFERROR(__xludf.DUMMYFUNCTION("""COMPUTED_VALUE"""),"1.6HP")</f>
        <v>1.6HP</v>
      </c>
      <c r="I1683" s="5" t="str">
        <f>IFERROR(__xludf.DUMMYFUNCTION("""COMPUTED_VALUE"""),"GCAMT-7657287")</f>
        <v>GCAMT-7657287</v>
      </c>
      <c r="J1683" s="5"/>
      <c r="K1683" s="5">
        <f>IFERROR(__xludf.DUMMYFUNCTION("""COMPUTED_VALUE"""),0.5)</f>
        <v>0.5</v>
      </c>
      <c r="L1683" s="5" t="str">
        <f>IFERROR(__xludf.DUMMYFUNCTION("""COMPUTED_VALUE"""),"KLH")</f>
        <v>KLH</v>
      </c>
    </row>
    <row r="1684">
      <c r="A1684" s="5" t="str">
        <f>IFERROR(__xludf.DUMMYFUNCTION("""COMPUTED_VALUE"""),"XXA-MPC-050")</f>
        <v>XXA-MPC-050</v>
      </c>
      <c r="B1684" s="3" t="str">
        <f>IFERROR(__xludf.DUMMYFUNCTION("""COMPUTED_VALUE"""),"Máy phát cỏ 4 thì")</f>
        <v>Máy phát cỏ 4 thì</v>
      </c>
      <c r="C1684" s="5" t="str">
        <f>IFERROR(__xludf.DUMMYFUNCTION("""COMPUTED_VALUE"""),"XOÀI AD")</f>
        <v>XOÀI AD</v>
      </c>
      <c r="D1684" s="5" t="str">
        <f>IFERROR(__xludf.DUMMYFUNCTION("""COMPUTED_VALUE"""),"HONDA")</f>
        <v>HONDA</v>
      </c>
      <c r="E1684" s="5" t="str">
        <f>IFERROR(__xludf.DUMMYFUNCTION("""COMPUTED_VALUE"""),"TRUNG QUỐC")</f>
        <v>TRUNG QUỐC</v>
      </c>
      <c r="F1684" s="5"/>
      <c r="G1684" s="5" t="str">
        <f>IFERROR(__xludf.DUMMYFUNCTION("""COMPUTED_VALUE"""),"GX35")</f>
        <v>GX35</v>
      </c>
      <c r="H1684" s="5" t="str">
        <f>IFERROR(__xludf.DUMMYFUNCTION("""COMPUTED_VALUE"""),"1.6HP")</f>
        <v>1.6HP</v>
      </c>
      <c r="I1684" s="5" t="str">
        <f>IFERROR(__xludf.DUMMYFUNCTION("""COMPUTED_VALUE"""),"GCAMT-7655395")</f>
        <v>GCAMT-7655395</v>
      </c>
      <c r="J1684" s="5"/>
      <c r="K1684" s="5">
        <f>IFERROR(__xludf.DUMMYFUNCTION("""COMPUTED_VALUE"""),0.5)</f>
        <v>0.5</v>
      </c>
      <c r="L1684" s="5" t="str">
        <f>IFERROR(__xludf.DUMMYFUNCTION("""COMPUTED_VALUE"""),"KLH")</f>
        <v>KLH</v>
      </c>
    </row>
    <row r="1685">
      <c r="A1685" s="5" t="str">
        <f>IFERROR(__xludf.DUMMYFUNCTION("""COMPUTED_VALUE"""),"XXA-MPC-051")</f>
        <v>XXA-MPC-051</v>
      </c>
      <c r="B1685" s="3" t="str">
        <f>IFERROR(__xludf.DUMMYFUNCTION("""COMPUTED_VALUE"""),"Máy phát cỏ 2 thì")</f>
        <v>Máy phát cỏ 2 thì</v>
      </c>
      <c r="C1685" s="5" t="str">
        <f>IFERROR(__xludf.DUMMYFUNCTION("""COMPUTED_VALUE"""),"XOÀI AD")</f>
        <v>XOÀI AD</v>
      </c>
      <c r="D1685" s="5" t="str">
        <f>IFERROR(__xludf.DUMMYFUNCTION("""COMPUTED_VALUE"""),"MARATA")</f>
        <v>MARATA</v>
      </c>
      <c r="E1685" s="5" t="str">
        <f>IFERROR(__xludf.DUMMYFUNCTION("""COMPUTED_VALUE"""),"TRUNG QUỐC")</f>
        <v>TRUNG QUỐC</v>
      </c>
      <c r="F1685" s="5"/>
      <c r="G1685" s="5" t="str">
        <f>IFERROR(__xludf.DUMMYFUNCTION("""COMPUTED_VALUE"""),"CG411")</f>
        <v>CG411</v>
      </c>
      <c r="H1685" s="5" t="str">
        <f>IFERROR(__xludf.DUMMYFUNCTION("""COMPUTED_VALUE"""),"1.8HP")</f>
        <v>1.8HP</v>
      </c>
      <c r="I1685" s="5"/>
      <c r="J1685" s="5"/>
      <c r="K1685" s="5"/>
      <c r="L1685" s="5" t="str">
        <f>IFERROR(__xludf.DUMMYFUNCTION("""COMPUTED_VALUE"""),"KLH")</f>
        <v>KLH</v>
      </c>
    </row>
    <row r="1686">
      <c r="A1686" s="5" t="str">
        <f>IFERROR(__xludf.DUMMYFUNCTION("""COMPUTED_VALUE"""),"XXA-MPC-052")</f>
        <v>XXA-MPC-052</v>
      </c>
      <c r="B1686" s="3" t="str">
        <f>IFERROR(__xludf.DUMMYFUNCTION("""COMPUTED_VALUE"""),"Máy phát cỏ 2 thì")</f>
        <v>Máy phát cỏ 2 thì</v>
      </c>
      <c r="C1686" s="5" t="str">
        <f>IFERROR(__xludf.DUMMYFUNCTION("""COMPUTED_VALUE"""),"XOÀI AD")</f>
        <v>XOÀI AD</v>
      </c>
      <c r="D1686" s="5" t="str">
        <f>IFERROR(__xludf.DUMMYFUNCTION("""COMPUTED_VALUE"""),"MARATA")</f>
        <v>MARATA</v>
      </c>
      <c r="E1686" s="5" t="str">
        <f>IFERROR(__xludf.DUMMYFUNCTION("""COMPUTED_VALUE"""),"TRUNG QUỐC")</f>
        <v>TRUNG QUỐC</v>
      </c>
      <c r="F1686" s="5"/>
      <c r="G1686" s="5" t="str">
        <f>IFERROR(__xludf.DUMMYFUNCTION("""COMPUTED_VALUE"""),"CG411")</f>
        <v>CG411</v>
      </c>
      <c r="H1686" s="5" t="str">
        <f>IFERROR(__xludf.DUMMYFUNCTION("""COMPUTED_VALUE"""),"1.8HP")</f>
        <v>1.8HP</v>
      </c>
      <c r="I1686" s="5"/>
      <c r="J1686" s="5"/>
      <c r="K1686" s="5"/>
      <c r="L1686" s="5" t="str">
        <f>IFERROR(__xludf.DUMMYFUNCTION("""COMPUTED_VALUE"""),"KLH")</f>
        <v>KLH</v>
      </c>
    </row>
    <row r="1687">
      <c r="A1687" s="5" t="str">
        <f>IFERROR(__xludf.DUMMYFUNCTION("""COMPUTED_VALUE"""),"XXA-MPC-053")</f>
        <v>XXA-MPC-053</v>
      </c>
      <c r="B1687" s="3" t="str">
        <f>IFERROR(__xludf.DUMMYFUNCTION("""COMPUTED_VALUE"""),"Máy phát cỏ 2 thì")</f>
        <v>Máy phát cỏ 2 thì</v>
      </c>
      <c r="C1687" s="5" t="str">
        <f>IFERROR(__xludf.DUMMYFUNCTION("""COMPUTED_VALUE"""),"XOÀI AD")</f>
        <v>XOÀI AD</v>
      </c>
      <c r="D1687" s="5" t="str">
        <f>IFERROR(__xludf.DUMMYFUNCTION("""COMPUTED_VALUE"""),"MARATA")</f>
        <v>MARATA</v>
      </c>
      <c r="E1687" s="5" t="str">
        <f>IFERROR(__xludf.DUMMYFUNCTION("""COMPUTED_VALUE"""),"TRUNG QUỐC")</f>
        <v>TRUNG QUỐC</v>
      </c>
      <c r="F1687" s="5"/>
      <c r="G1687" s="5" t="str">
        <f>IFERROR(__xludf.DUMMYFUNCTION("""COMPUTED_VALUE"""),"CG411")</f>
        <v>CG411</v>
      </c>
      <c r="H1687" s="5" t="str">
        <f>IFERROR(__xludf.DUMMYFUNCTION("""COMPUTED_VALUE"""),"1.8HP")</f>
        <v>1.8HP</v>
      </c>
      <c r="I1687" s="5"/>
      <c r="J1687" s="5"/>
      <c r="K1687" s="5"/>
      <c r="L1687" s="5" t="str">
        <f>IFERROR(__xludf.DUMMYFUNCTION("""COMPUTED_VALUE"""),"KLH")</f>
        <v>KLH</v>
      </c>
    </row>
    <row r="1688">
      <c r="A1688" s="5" t="str">
        <f>IFERROR(__xludf.DUMMYFUNCTION("""COMPUTED_VALUE"""),"XXA-MPC-054")</f>
        <v>XXA-MPC-054</v>
      </c>
      <c r="B1688" s="3" t="str">
        <f>IFERROR(__xludf.DUMMYFUNCTION("""COMPUTED_VALUE"""),"Máy phát cỏ 2 thì")</f>
        <v>Máy phát cỏ 2 thì</v>
      </c>
      <c r="C1688" s="5" t="str">
        <f>IFERROR(__xludf.DUMMYFUNCTION("""COMPUTED_VALUE"""),"XOÀI AD")</f>
        <v>XOÀI AD</v>
      </c>
      <c r="D1688" s="5" t="str">
        <f>IFERROR(__xludf.DUMMYFUNCTION("""COMPUTED_VALUE"""),"MARATA")</f>
        <v>MARATA</v>
      </c>
      <c r="E1688" s="5" t="str">
        <f>IFERROR(__xludf.DUMMYFUNCTION("""COMPUTED_VALUE"""),"TRUNG QUỐC")</f>
        <v>TRUNG QUỐC</v>
      </c>
      <c r="F1688" s="5"/>
      <c r="G1688" s="5" t="str">
        <f>IFERROR(__xludf.DUMMYFUNCTION("""COMPUTED_VALUE"""),"CG411")</f>
        <v>CG411</v>
      </c>
      <c r="H1688" s="5" t="str">
        <f>IFERROR(__xludf.DUMMYFUNCTION("""COMPUTED_VALUE"""),"1.8HP")</f>
        <v>1.8HP</v>
      </c>
      <c r="I1688" s="5"/>
      <c r="J1688" s="5"/>
      <c r="K1688" s="5"/>
      <c r="L1688" s="5" t="str">
        <f>IFERROR(__xludf.DUMMYFUNCTION("""COMPUTED_VALUE"""),"KLH")</f>
        <v>KLH</v>
      </c>
    </row>
    <row r="1689">
      <c r="A1689" s="5" t="str">
        <f>IFERROR(__xludf.DUMMYFUNCTION("""COMPUTED_VALUE"""),"XXA-MPC-055")</f>
        <v>XXA-MPC-055</v>
      </c>
      <c r="B1689" s="3" t="str">
        <f>IFERROR(__xludf.DUMMYFUNCTION("""COMPUTED_VALUE"""),"Máy phát cỏ 2 thì")</f>
        <v>Máy phát cỏ 2 thì</v>
      </c>
      <c r="C1689" s="5" t="str">
        <f>IFERROR(__xludf.DUMMYFUNCTION("""COMPUTED_VALUE"""),"XOÀI AD")</f>
        <v>XOÀI AD</v>
      </c>
      <c r="D1689" s="5" t="str">
        <f>IFERROR(__xludf.DUMMYFUNCTION("""COMPUTED_VALUE"""),"MARATA")</f>
        <v>MARATA</v>
      </c>
      <c r="E1689" s="5" t="str">
        <f>IFERROR(__xludf.DUMMYFUNCTION("""COMPUTED_VALUE"""),"TRUNG QUỐC")</f>
        <v>TRUNG QUỐC</v>
      </c>
      <c r="F1689" s="5"/>
      <c r="G1689" s="5" t="str">
        <f>IFERROR(__xludf.DUMMYFUNCTION("""COMPUTED_VALUE"""),"CG411")</f>
        <v>CG411</v>
      </c>
      <c r="H1689" s="5" t="str">
        <f>IFERROR(__xludf.DUMMYFUNCTION("""COMPUTED_VALUE"""),"1.8HP")</f>
        <v>1.8HP</v>
      </c>
      <c r="I1689" s="5"/>
      <c r="J1689" s="5"/>
      <c r="K1689" s="5"/>
      <c r="L1689" s="5" t="str">
        <f>IFERROR(__xludf.DUMMYFUNCTION("""COMPUTED_VALUE"""),"KLH")</f>
        <v>KLH</v>
      </c>
    </row>
    <row r="1690">
      <c r="A1690" s="5" t="str">
        <f>IFERROR(__xludf.DUMMYFUNCTION("""COMPUTED_VALUE"""),"XXA-MPC-056")</f>
        <v>XXA-MPC-056</v>
      </c>
      <c r="B1690" s="3" t="str">
        <f>IFERROR(__xludf.DUMMYFUNCTION("""COMPUTED_VALUE"""),"Máy phát cỏ 2 thì")</f>
        <v>Máy phát cỏ 2 thì</v>
      </c>
      <c r="C1690" s="5" t="str">
        <f>IFERROR(__xludf.DUMMYFUNCTION("""COMPUTED_VALUE"""),"XOÀI AD")</f>
        <v>XOÀI AD</v>
      </c>
      <c r="D1690" s="5" t="str">
        <f>IFERROR(__xludf.DUMMYFUNCTION("""COMPUTED_VALUE"""),"MARATA")</f>
        <v>MARATA</v>
      </c>
      <c r="E1690" s="5" t="str">
        <f>IFERROR(__xludf.DUMMYFUNCTION("""COMPUTED_VALUE"""),"TRUNG QUỐC")</f>
        <v>TRUNG QUỐC</v>
      </c>
      <c r="F1690" s="5"/>
      <c r="G1690" s="5" t="str">
        <f>IFERROR(__xludf.DUMMYFUNCTION("""COMPUTED_VALUE"""),"CG411")</f>
        <v>CG411</v>
      </c>
      <c r="H1690" s="5" t="str">
        <f>IFERROR(__xludf.DUMMYFUNCTION("""COMPUTED_VALUE"""),"1.8HP")</f>
        <v>1.8HP</v>
      </c>
      <c r="I1690" s="5"/>
      <c r="J1690" s="5"/>
      <c r="K1690" s="5"/>
      <c r="L1690" s="5" t="str">
        <f>IFERROR(__xludf.DUMMYFUNCTION("""COMPUTED_VALUE"""),"KLH")</f>
        <v>KLH</v>
      </c>
    </row>
    <row r="1691">
      <c r="A1691" s="5" t="str">
        <f>IFERROR(__xludf.DUMMYFUNCTION("""COMPUTED_VALUE"""),"XXA-MPC-057")</f>
        <v>XXA-MPC-057</v>
      </c>
      <c r="B1691" s="3" t="str">
        <f>IFERROR(__xludf.DUMMYFUNCTION("""COMPUTED_VALUE"""),"Máy phát cỏ 2 thì")</f>
        <v>Máy phát cỏ 2 thì</v>
      </c>
      <c r="C1691" s="5" t="str">
        <f>IFERROR(__xludf.DUMMYFUNCTION("""COMPUTED_VALUE"""),"XOÀI AD")</f>
        <v>XOÀI AD</v>
      </c>
      <c r="D1691" s="5" t="str">
        <f>IFERROR(__xludf.DUMMYFUNCTION("""COMPUTED_VALUE"""),"MARATA")</f>
        <v>MARATA</v>
      </c>
      <c r="E1691" s="5" t="str">
        <f>IFERROR(__xludf.DUMMYFUNCTION("""COMPUTED_VALUE"""),"TRUNG QUỐC")</f>
        <v>TRUNG QUỐC</v>
      </c>
      <c r="F1691" s="5"/>
      <c r="G1691" s="5" t="str">
        <f>IFERROR(__xludf.DUMMYFUNCTION("""COMPUTED_VALUE"""),"CG411")</f>
        <v>CG411</v>
      </c>
      <c r="H1691" s="5" t="str">
        <f>IFERROR(__xludf.DUMMYFUNCTION("""COMPUTED_VALUE"""),"1.8HP")</f>
        <v>1.8HP</v>
      </c>
      <c r="I1691" s="5"/>
      <c r="J1691" s="5"/>
      <c r="K1691" s="5"/>
      <c r="L1691" s="5" t="str">
        <f>IFERROR(__xludf.DUMMYFUNCTION("""COMPUTED_VALUE"""),"KLH")</f>
        <v>KLH</v>
      </c>
    </row>
    <row r="1692">
      <c r="A1692" s="5" t="str">
        <f>IFERROR(__xludf.DUMMYFUNCTION("""COMPUTED_VALUE"""),"XXA-MPC-058")</f>
        <v>XXA-MPC-058</v>
      </c>
      <c r="B1692" s="3" t="str">
        <f>IFERROR(__xludf.DUMMYFUNCTION("""COMPUTED_VALUE"""),"Máy phát cỏ 2 thì")</f>
        <v>Máy phát cỏ 2 thì</v>
      </c>
      <c r="C1692" s="5" t="str">
        <f>IFERROR(__xludf.DUMMYFUNCTION("""COMPUTED_VALUE"""),"XOÀI AD")</f>
        <v>XOÀI AD</v>
      </c>
      <c r="D1692" s="5" t="str">
        <f>IFERROR(__xludf.DUMMYFUNCTION("""COMPUTED_VALUE"""),"MARATA")</f>
        <v>MARATA</v>
      </c>
      <c r="E1692" s="5" t="str">
        <f>IFERROR(__xludf.DUMMYFUNCTION("""COMPUTED_VALUE"""),"TRUNG QUỐC")</f>
        <v>TRUNG QUỐC</v>
      </c>
      <c r="F1692" s="5"/>
      <c r="G1692" s="5" t="str">
        <f>IFERROR(__xludf.DUMMYFUNCTION("""COMPUTED_VALUE"""),"CG411")</f>
        <v>CG411</v>
      </c>
      <c r="H1692" s="5" t="str">
        <f>IFERROR(__xludf.DUMMYFUNCTION("""COMPUTED_VALUE"""),"1.8HP")</f>
        <v>1.8HP</v>
      </c>
      <c r="I1692" s="5"/>
      <c r="J1692" s="5"/>
      <c r="K1692" s="5"/>
      <c r="L1692" s="5" t="str">
        <f>IFERROR(__xludf.DUMMYFUNCTION("""COMPUTED_VALUE"""),"KLH")</f>
        <v>KLH</v>
      </c>
    </row>
    <row r="1693">
      <c r="A1693" s="5" t="str">
        <f>IFERROR(__xludf.DUMMYFUNCTION("""COMPUTED_VALUE"""),"XXA-MPC-059")</f>
        <v>XXA-MPC-059</v>
      </c>
      <c r="B1693" s="3" t="str">
        <f>IFERROR(__xludf.DUMMYFUNCTION("""COMPUTED_VALUE"""),"Máy phát cỏ 2 thì")</f>
        <v>Máy phát cỏ 2 thì</v>
      </c>
      <c r="C1693" s="5" t="str">
        <f>IFERROR(__xludf.DUMMYFUNCTION("""COMPUTED_VALUE"""),"XOÀI AD")</f>
        <v>XOÀI AD</v>
      </c>
      <c r="D1693" s="5" t="str">
        <f>IFERROR(__xludf.DUMMYFUNCTION("""COMPUTED_VALUE"""),"MARATA")</f>
        <v>MARATA</v>
      </c>
      <c r="E1693" s="5" t="str">
        <f>IFERROR(__xludf.DUMMYFUNCTION("""COMPUTED_VALUE"""),"TRUNG QUỐC")</f>
        <v>TRUNG QUỐC</v>
      </c>
      <c r="F1693" s="5"/>
      <c r="G1693" s="5" t="str">
        <f>IFERROR(__xludf.DUMMYFUNCTION("""COMPUTED_VALUE"""),"CG411")</f>
        <v>CG411</v>
      </c>
      <c r="H1693" s="5" t="str">
        <f>IFERROR(__xludf.DUMMYFUNCTION("""COMPUTED_VALUE"""),"1.8HP")</f>
        <v>1.8HP</v>
      </c>
      <c r="I1693" s="5"/>
      <c r="J1693" s="5"/>
      <c r="K1693" s="5"/>
      <c r="L1693" s="5" t="str">
        <f>IFERROR(__xludf.DUMMYFUNCTION("""COMPUTED_VALUE"""),"KLH")</f>
        <v>KLH</v>
      </c>
    </row>
    <row r="1694">
      <c r="A1694" s="5" t="str">
        <f>IFERROR(__xludf.DUMMYFUNCTION("""COMPUTED_VALUE"""),"XXA-MPC-060")</f>
        <v>XXA-MPC-060</v>
      </c>
      <c r="B1694" s="3" t="str">
        <f>IFERROR(__xludf.DUMMYFUNCTION("""COMPUTED_VALUE"""),"Máy phát cỏ 2 thì")</f>
        <v>Máy phát cỏ 2 thì</v>
      </c>
      <c r="C1694" s="5" t="str">
        <f>IFERROR(__xludf.DUMMYFUNCTION("""COMPUTED_VALUE"""),"XOÀI AD")</f>
        <v>XOÀI AD</v>
      </c>
      <c r="D1694" s="5" t="str">
        <f>IFERROR(__xludf.DUMMYFUNCTION("""COMPUTED_VALUE"""),"MARATA")</f>
        <v>MARATA</v>
      </c>
      <c r="E1694" s="5" t="str">
        <f>IFERROR(__xludf.DUMMYFUNCTION("""COMPUTED_VALUE"""),"TRUNG QUỐC")</f>
        <v>TRUNG QUỐC</v>
      </c>
      <c r="F1694" s="5"/>
      <c r="G1694" s="5" t="str">
        <f>IFERROR(__xludf.DUMMYFUNCTION("""COMPUTED_VALUE"""),"CG411")</f>
        <v>CG411</v>
      </c>
      <c r="H1694" s="5" t="str">
        <f>IFERROR(__xludf.DUMMYFUNCTION("""COMPUTED_VALUE"""),"1.8HP")</f>
        <v>1.8HP</v>
      </c>
      <c r="I1694" s="5"/>
      <c r="J1694" s="5"/>
      <c r="K1694" s="5"/>
      <c r="L1694" s="5" t="str">
        <f>IFERROR(__xludf.DUMMYFUNCTION("""COMPUTED_VALUE"""),"KLH")</f>
        <v>KLH</v>
      </c>
    </row>
    <row r="1695">
      <c r="A1695" s="5" t="str">
        <f>IFERROR(__xludf.DUMMYFUNCTION("""COMPUTED_VALUE"""),"XXA-MPC-061")</f>
        <v>XXA-MPC-061</v>
      </c>
      <c r="B1695" s="3" t="str">
        <f>IFERROR(__xludf.DUMMYFUNCTION("""COMPUTED_VALUE"""),"Máy phát cỏ 2 thì")</f>
        <v>Máy phát cỏ 2 thì</v>
      </c>
      <c r="C1695" s="5" t="str">
        <f>IFERROR(__xludf.DUMMYFUNCTION("""COMPUTED_VALUE"""),"XOÀI AD")</f>
        <v>XOÀI AD</v>
      </c>
      <c r="D1695" s="5" t="str">
        <f>IFERROR(__xludf.DUMMYFUNCTION("""COMPUTED_VALUE"""),"MARATA")</f>
        <v>MARATA</v>
      </c>
      <c r="E1695" s="5" t="str">
        <f>IFERROR(__xludf.DUMMYFUNCTION("""COMPUTED_VALUE"""),"TRUNG QUỐC")</f>
        <v>TRUNG QUỐC</v>
      </c>
      <c r="F1695" s="5"/>
      <c r="G1695" s="5" t="str">
        <f>IFERROR(__xludf.DUMMYFUNCTION("""COMPUTED_VALUE"""),"CG411")</f>
        <v>CG411</v>
      </c>
      <c r="H1695" s="5" t="str">
        <f>IFERROR(__xludf.DUMMYFUNCTION("""COMPUTED_VALUE"""),"1.8HP")</f>
        <v>1.8HP</v>
      </c>
      <c r="I1695" s="5"/>
      <c r="J1695" s="5"/>
      <c r="K1695" s="5"/>
      <c r="L1695" s="5" t="str">
        <f>IFERROR(__xludf.DUMMYFUNCTION("""COMPUTED_VALUE"""),"KLH")</f>
        <v>KLH</v>
      </c>
    </row>
    <row r="1696">
      <c r="A1696" s="5" t="str">
        <f>IFERROR(__xludf.DUMMYFUNCTION("""COMPUTED_VALUE"""),"XXA-MPC-062")</f>
        <v>XXA-MPC-062</v>
      </c>
      <c r="B1696" s="3" t="str">
        <f>IFERROR(__xludf.DUMMYFUNCTION("""COMPUTED_VALUE"""),"Máy phát cỏ 2 thì")</f>
        <v>Máy phát cỏ 2 thì</v>
      </c>
      <c r="C1696" s="5" t="str">
        <f>IFERROR(__xludf.DUMMYFUNCTION("""COMPUTED_VALUE"""),"XOÀI AD")</f>
        <v>XOÀI AD</v>
      </c>
      <c r="D1696" s="5" t="str">
        <f>IFERROR(__xludf.DUMMYFUNCTION("""COMPUTED_VALUE"""),"MARATA")</f>
        <v>MARATA</v>
      </c>
      <c r="E1696" s="5" t="str">
        <f>IFERROR(__xludf.DUMMYFUNCTION("""COMPUTED_VALUE"""),"TRUNG QUỐC")</f>
        <v>TRUNG QUỐC</v>
      </c>
      <c r="F1696" s="5"/>
      <c r="G1696" s="5" t="str">
        <f>IFERROR(__xludf.DUMMYFUNCTION("""COMPUTED_VALUE"""),"CG411")</f>
        <v>CG411</v>
      </c>
      <c r="H1696" s="5" t="str">
        <f>IFERROR(__xludf.DUMMYFUNCTION("""COMPUTED_VALUE"""),"1.8HP")</f>
        <v>1.8HP</v>
      </c>
      <c r="I1696" s="5"/>
      <c r="J1696" s="5"/>
      <c r="K1696" s="5"/>
      <c r="L1696" s="5" t="str">
        <f>IFERROR(__xludf.DUMMYFUNCTION("""COMPUTED_VALUE"""),"KLH")</f>
        <v>KLH</v>
      </c>
    </row>
    <row r="1697">
      <c r="A1697" s="5" t="str">
        <f>IFERROR(__xludf.DUMMYFUNCTION("""COMPUTED_VALUE"""),"XXA-MPC-063")</f>
        <v>XXA-MPC-063</v>
      </c>
      <c r="B1697" s="3" t="str">
        <f>IFERROR(__xludf.DUMMYFUNCTION("""COMPUTED_VALUE"""),"Máy phát cỏ 2 thì")</f>
        <v>Máy phát cỏ 2 thì</v>
      </c>
      <c r="C1697" s="5" t="str">
        <f>IFERROR(__xludf.DUMMYFUNCTION("""COMPUTED_VALUE"""),"XOÀI AD")</f>
        <v>XOÀI AD</v>
      </c>
      <c r="D1697" s="5" t="str">
        <f>IFERROR(__xludf.DUMMYFUNCTION("""COMPUTED_VALUE"""),"MARATA")</f>
        <v>MARATA</v>
      </c>
      <c r="E1697" s="5" t="str">
        <f>IFERROR(__xludf.DUMMYFUNCTION("""COMPUTED_VALUE"""),"TRUNG QUỐC")</f>
        <v>TRUNG QUỐC</v>
      </c>
      <c r="F1697" s="5"/>
      <c r="G1697" s="5" t="str">
        <f>IFERROR(__xludf.DUMMYFUNCTION("""COMPUTED_VALUE"""),"CG411")</f>
        <v>CG411</v>
      </c>
      <c r="H1697" s="5" t="str">
        <f>IFERROR(__xludf.DUMMYFUNCTION("""COMPUTED_VALUE"""),"1.8HP")</f>
        <v>1.8HP</v>
      </c>
      <c r="I1697" s="5"/>
      <c r="J1697" s="5"/>
      <c r="K1697" s="5"/>
      <c r="L1697" s="5" t="str">
        <f>IFERROR(__xludf.DUMMYFUNCTION("""COMPUTED_VALUE"""),"KLH")</f>
        <v>KLH</v>
      </c>
    </row>
    <row r="1698">
      <c r="A1698" s="5" t="str">
        <f>IFERROR(__xludf.DUMMYFUNCTION("""COMPUTED_VALUE"""),"XXA-MPC-064")</f>
        <v>XXA-MPC-064</v>
      </c>
      <c r="B1698" s="3" t="str">
        <f>IFERROR(__xludf.DUMMYFUNCTION("""COMPUTED_VALUE"""),"Máy phát cỏ 2 thì")</f>
        <v>Máy phát cỏ 2 thì</v>
      </c>
      <c r="C1698" s="5" t="str">
        <f>IFERROR(__xludf.DUMMYFUNCTION("""COMPUTED_VALUE"""),"XOÀI AD")</f>
        <v>XOÀI AD</v>
      </c>
      <c r="D1698" s="5" t="str">
        <f>IFERROR(__xludf.DUMMYFUNCTION("""COMPUTED_VALUE"""),"MARATA")</f>
        <v>MARATA</v>
      </c>
      <c r="E1698" s="5" t="str">
        <f>IFERROR(__xludf.DUMMYFUNCTION("""COMPUTED_VALUE"""),"TRUNG QUỐC")</f>
        <v>TRUNG QUỐC</v>
      </c>
      <c r="F1698" s="5"/>
      <c r="G1698" s="5" t="str">
        <f>IFERROR(__xludf.DUMMYFUNCTION("""COMPUTED_VALUE"""),"CG411")</f>
        <v>CG411</v>
      </c>
      <c r="H1698" s="5" t="str">
        <f>IFERROR(__xludf.DUMMYFUNCTION("""COMPUTED_VALUE"""),"1.8HP")</f>
        <v>1.8HP</v>
      </c>
      <c r="I1698" s="5"/>
      <c r="J1698" s="5"/>
      <c r="K1698" s="5"/>
      <c r="L1698" s="5" t="str">
        <f>IFERROR(__xludf.DUMMYFUNCTION("""COMPUTED_VALUE"""),"KLH")</f>
        <v>KLH</v>
      </c>
    </row>
    <row r="1699">
      <c r="A1699" s="5" t="str">
        <f>IFERROR(__xludf.DUMMYFUNCTION("""COMPUTED_VALUE"""),"XXA-MPC-065")</f>
        <v>XXA-MPC-065</v>
      </c>
      <c r="B1699" s="3" t="str">
        <f>IFERROR(__xludf.DUMMYFUNCTION("""COMPUTED_VALUE"""),"Máy phát cỏ 2 thì")</f>
        <v>Máy phát cỏ 2 thì</v>
      </c>
      <c r="C1699" s="5" t="str">
        <f>IFERROR(__xludf.DUMMYFUNCTION("""COMPUTED_VALUE"""),"XOÀI AD")</f>
        <v>XOÀI AD</v>
      </c>
      <c r="D1699" s="5" t="str">
        <f>IFERROR(__xludf.DUMMYFUNCTION("""COMPUTED_VALUE"""),"MARATA")</f>
        <v>MARATA</v>
      </c>
      <c r="E1699" s="5" t="str">
        <f>IFERROR(__xludf.DUMMYFUNCTION("""COMPUTED_VALUE"""),"TRUNG QUỐC")</f>
        <v>TRUNG QUỐC</v>
      </c>
      <c r="F1699" s="5"/>
      <c r="G1699" s="5" t="str">
        <f>IFERROR(__xludf.DUMMYFUNCTION("""COMPUTED_VALUE"""),"CG411")</f>
        <v>CG411</v>
      </c>
      <c r="H1699" s="5" t="str">
        <f>IFERROR(__xludf.DUMMYFUNCTION("""COMPUTED_VALUE"""),"1.8HP")</f>
        <v>1.8HP</v>
      </c>
      <c r="I1699" s="5"/>
      <c r="J1699" s="5"/>
      <c r="K1699" s="5"/>
      <c r="L1699" s="5" t="str">
        <f>IFERROR(__xludf.DUMMYFUNCTION("""COMPUTED_VALUE"""),"KLH")</f>
        <v>KLH</v>
      </c>
    </row>
    <row r="1700">
      <c r="A1700" s="5" t="str">
        <f>IFERROR(__xludf.DUMMYFUNCTION("""COMPUTED_VALUE"""),"XXA-MPC-066")</f>
        <v>XXA-MPC-066</v>
      </c>
      <c r="B1700" s="3" t="str">
        <f>IFERROR(__xludf.DUMMYFUNCTION("""COMPUTED_VALUE"""),"Máy phát cỏ 2 thì")</f>
        <v>Máy phát cỏ 2 thì</v>
      </c>
      <c r="C1700" s="5" t="str">
        <f>IFERROR(__xludf.DUMMYFUNCTION("""COMPUTED_VALUE"""),"XOÀI AD")</f>
        <v>XOÀI AD</v>
      </c>
      <c r="D1700" s="5" t="str">
        <f>IFERROR(__xludf.DUMMYFUNCTION("""COMPUTED_VALUE"""),"MARATA")</f>
        <v>MARATA</v>
      </c>
      <c r="E1700" s="5" t="str">
        <f>IFERROR(__xludf.DUMMYFUNCTION("""COMPUTED_VALUE"""),"TRUNG QUỐC")</f>
        <v>TRUNG QUỐC</v>
      </c>
      <c r="F1700" s="5"/>
      <c r="G1700" s="5" t="str">
        <f>IFERROR(__xludf.DUMMYFUNCTION("""COMPUTED_VALUE"""),"CG411")</f>
        <v>CG411</v>
      </c>
      <c r="H1700" s="5" t="str">
        <f>IFERROR(__xludf.DUMMYFUNCTION("""COMPUTED_VALUE"""),"1.8HP")</f>
        <v>1.8HP</v>
      </c>
      <c r="I1700" s="5"/>
      <c r="J1700" s="5"/>
      <c r="K1700" s="5"/>
      <c r="L1700" s="5" t="str">
        <f>IFERROR(__xludf.DUMMYFUNCTION("""COMPUTED_VALUE"""),"KLH")</f>
        <v>KLH</v>
      </c>
    </row>
    <row r="1701">
      <c r="A1701" s="5" t="str">
        <f>IFERROR(__xludf.DUMMYFUNCTION("""COMPUTED_VALUE"""),"XXA-MPC-067")</f>
        <v>XXA-MPC-067</v>
      </c>
      <c r="B1701" s="3" t="str">
        <f>IFERROR(__xludf.DUMMYFUNCTION("""COMPUTED_VALUE"""),"Máy phát cỏ 2 thì")</f>
        <v>Máy phát cỏ 2 thì</v>
      </c>
      <c r="C1701" s="5" t="str">
        <f>IFERROR(__xludf.DUMMYFUNCTION("""COMPUTED_VALUE"""),"XOÀI AD")</f>
        <v>XOÀI AD</v>
      </c>
      <c r="D1701" s="5" t="str">
        <f>IFERROR(__xludf.DUMMYFUNCTION("""COMPUTED_VALUE"""),"MARATA")</f>
        <v>MARATA</v>
      </c>
      <c r="E1701" s="5" t="str">
        <f>IFERROR(__xludf.DUMMYFUNCTION("""COMPUTED_VALUE"""),"TRUNG QUỐC")</f>
        <v>TRUNG QUỐC</v>
      </c>
      <c r="F1701" s="5"/>
      <c r="G1701" s="5" t="str">
        <f>IFERROR(__xludf.DUMMYFUNCTION("""COMPUTED_VALUE"""),"CG411")</f>
        <v>CG411</v>
      </c>
      <c r="H1701" s="5" t="str">
        <f>IFERROR(__xludf.DUMMYFUNCTION("""COMPUTED_VALUE"""),"1.8HP")</f>
        <v>1.8HP</v>
      </c>
      <c r="I1701" s="5"/>
      <c r="J1701" s="5"/>
      <c r="K1701" s="5"/>
      <c r="L1701" s="5" t="str">
        <f>IFERROR(__xludf.DUMMYFUNCTION("""COMPUTED_VALUE"""),"KLH")</f>
        <v>KLH</v>
      </c>
    </row>
    <row r="1702">
      <c r="A1702" s="5" t="str">
        <f>IFERROR(__xludf.DUMMYFUNCTION("""COMPUTED_VALUE"""),"XXA-MPC-068")</f>
        <v>XXA-MPC-068</v>
      </c>
      <c r="B1702" s="3" t="str">
        <f>IFERROR(__xludf.DUMMYFUNCTION("""COMPUTED_VALUE"""),"Máy phát cỏ 2 thì")</f>
        <v>Máy phát cỏ 2 thì</v>
      </c>
      <c r="C1702" s="5" t="str">
        <f>IFERROR(__xludf.DUMMYFUNCTION("""COMPUTED_VALUE"""),"XOÀI AD")</f>
        <v>XOÀI AD</v>
      </c>
      <c r="D1702" s="5" t="str">
        <f>IFERROR(__xludf.DUMMYFUNCTION("""COMPUTED_VALUE"""),"MARATA")</f>
        <v>MARATA</v>
      </c>
      <c r="E1702" s="5" t="str">
        <f>IFERROR(__xludf.DUMMYFUNCTION("""COMPUTED_VALUE"""),"TRUNG QUỐC")</f>
        <v>TRUNG QUỐC</v>
      </c>
      <c r="F1702" s="5"/>
      <c r="G1702" s="5" t="str">
        <f>IFERROR(__xludf.DUMMYFUNCTION("""COMPUTED_VALUE"""),"CG412")</f>
        <v>CG412</v>
      </c>
      <c r="H1702" s="5" t="str">
        <f>IFERROR(__xludf.DUMMYFUNCTION("""COMPUTED_VALUE"""),"1.8HP")</f>
        <v>1.8HP</v>
      </c>
      <c r="I1702" s="5"/>
      <c r="J1702" s="5"/>
      <c r="K1702" s="5"/>
      <c r="L1702" s="5" t="str">
        <f>IFERROR(__xludf.DUMMYFUNCTION("""COMPUTED_VALUE"""),"KLH")</f>
        <v>KLH</v>
      </c>
    </row>
    <row r="1703">
      <c r="A1703" s="5" t="str">
        <f>IFERROR(__xludf.DUMMYFUNCTION("""COMPUTED_VALUE"""),"NT BƯỞI AD")</f>
        <v>NT BƯỞI AD</v>
      </c>
      <c r="B1703" s="3"/>
      <c r="C1703" s="5"/>
      <c r="D1703" s="5"/>
      <c r="E1703" s="5"/>
      <c r="F1703" s="5"/>
      <c r="G1703" s="5"/>
      <c r="H1703" s="5"/>
      <c r="I1703" s="5"/>
      <c r="J1703" s="5"/>
      <c r="K1703" s="5"/>
      <c r="L1703" s="5" t="str">
        <f>IFERROR(__xludf.DUMMYFUNCTION("""COMPUTED_VALUE"""),"KLH")</f>
        <v>KLH</v>
      </c>
    </row>
    <row r="1704">
      <c r="A1704" s="5" t="str">
        <f>IFERROR(__xludf.DUMMYFUNCTION("""COMPUTED_VALUE"""),"XBA-MPC-012")</f>
        <v>XBA-MPC-012</v>
      </c>
      <c r="B1704" s="3" t="str">
        <f>IFERROR(__xludf.DUMMYFUNCTION("""COMPUTED_VALUE"""),"Máy phát cỏ 4 thì")</f>
        <v>Máy phát cỏ 4 thì</v>
      </c>
      <c r="C1704" s="5" t="str">
        <f>IFERROR(__xludf.DUMMYFUNCTION("""COMPUTED_VALUE"""),"BƯỞI AD")</f>
        <v>BƯỞI AD</v>
      </c>
      <c r="D1704" s="5" t="str">
        <f>IFERROR(__xludf.DUMMYFUNCTION("""COMPUTED_VALUE"""),"HONDA")</f>
        <v>HONDA</v>
      </c>
      <c r="E1704" s="5" t="str">
        <f>IFERROR(__xludf.DUMMYFUNCTION("""COMPUTED_VALUE"""),"TRUNG QUỐC")</f>
        <v>TRUNG QUỐC</v>
      </c>
      <c r="F1704" s="5"/>
      <c r="G1704" s="5" t="str">
        <f>IFERROR(__xludf.DUMMYFUNCTION("""COMPUTED_VALUE"""),"GX35")</f>
        <v>GX35</v>
      </c>
      <c r="H1704" s="5" t="str">
        <f>IFERROR(__xludf.DUMMYFUNCTION("""COMPUTED_VALUE"""),"1.6HP")</f>
        <v>1.6HP</v>
      </c>
      <c r="I1704" s="5" t="str">
        <f>IFERROR(__xludf.DUMMYFUNCTION("""COMPUTED_VALUE"""),"GCAMT-4487493")</f>
        <v>GCAMT-4487493</v>
      </c>
      <c r="J1704" s="5"/>
      <c r="K1704" s="5">
        <f>IFERROR(__xludf.DUMMYFUNCTION("""COMPUTED_VALUE"""),0.5)</f>
        <v>0.5</v>
      </c>
      <c r="L1704" s="5" t="str">
        <f>IFERROR(__xludf.DUMMYFUNCTION("""COMPUTED_VALUE"""),"KLH")</f>
        <v>KLH</v>
      </c>
    </row>
    <row r="1705">
      <c r="A1705" s="5" t="str">
        <f>IFERROR(__xludf.DUMMYFUNCTION("""COMPUTED_VALUE"""),"XBA-MPC-016")</f>
        <v>XBA-MPC-016</v>
      </c>
      <c r="B1705" s="3" t="str">
        <f>IFERROR(__xludf.DUMMYFUNCTION("""COMPUTED_VALUE"""),"Máy phát cỏ 4 thì")</f>
        <v>Máy phát cỏ 4 thì</v>
      </c>
      <c r="C1705" s="5" t="str">
        <f>IFERROR(__xludf.DUMMYFUNCTION("""COMPUTED_VALUE"""),"BƯỞI AD")</f>
        <v>BƯỞI AD</v>
      </c>
      <c r="D1705" s="5" t="str">
        <f>IFERROR(__xludf.DUMMYFUNCTION("""COMPUTED_VALUE"""),"HONDA")</f>
        <v>HONDA</v>
      </c>
      <c r="E1705" s="5" t="str">
        <f>IFERROR(__xludf.DUMMYFUNCTION("""COMPUTED_VALUE"""),"TRUNG QUỐC")</f>
        <v>TRUNG QUỐC</v>
      </c>
      <c r="F1705" s="5"/>
      <c r="G1705" s="5" t="str">
        <f>IFERROR(__xludf.DUMMYFUNCTION("""COMPUTED_VALUE"""),"GX35")</f>
        <v>GX35</v>
      </c>
      <c r="H1705" s="5" t="str">
        <f>IFERROR(__xludf.DUMMYFUNCTION("""COMPUTED_VALUE"""),"1.6HP")</f>
        <v>1.6HP</v>
      </c>
      <c r="I1705" s="5" t="str">
        <f>IFERROR(__xludf.DUMMYFUNCTION("""COMPUTED_VALUE"""),"GCAMT-7676279")</f>
        <v>GCAMT-7676279</v>
      </c>
      <c r="J1705" s="5"/>
      <c r="K1705" s="5">
        <f>IFERROR(__xludf.DUMMYFUNCTION("""COMPUTED_VALUE"""),0.5)</f>
        <v>0.5</v>
      </c>
      <c r="L1705" s="5" t="str">
        <f>IFERROR(__xludf.DUMMYFUNCTION("""COMPUTED_VALUE"""),"KLH")</f>
        <v>KLH</v>
      </c>
    </row>
    <row r="1706">
      <c r="A1706" s="5" t="str">
        <f>IFERROR(__xludf.DUMMYFUNCTION("""COMPUTED_VALUE"""),"XBA-MPC-017")</f>
        <v>XBA-MPC-017</v>
      </c>
      <c r="B1706" s="3" t="str">
        <f>IFERROR(__xludf.DUMMYFUNCTION("""COMPUTED_VALUE"""),"Máy phát cỏ 4 thì")</f>
        <v>Máy phát cỏ 4 thì</v>
      </c>
      <c r="C1706" s="5" t="str">
        <f>IFERROR(__xludf.DUMMYFUNCTION("""COMPUTED_VALUE"""),"BƯỞI AD")</f>
        <v>BƯỞI AD</v>
      </c>
      <c r="D1706" s="5" t="str">
        <f>IFERROR(__xludf.DUMMYFUNCTION("""COMPUTED_VALUE"""),"HONDA")</f>
        <v>HONDA</v>
      </c>
      <c r="E1706" s="5" t="str">
        <f>IFERROR(__xludf.DUMMYFUNCTION("""COMPUTED_VALUE"""),"TRUNG QUỐC")</f>
        <v>TRUNG QUỐC</v>
      </c>
      <c r="F1706" s="5"/>
      <c r="G1706" s="5" t="str">
        <f>IFERROR(__xludf.DUMMYFUNCTION("""COMPUTED_VALUE"""),"GX35")</f>
        <v>GX35</v>
      </c>
      <c r="H1706" s="5" t="str">
        <f>IFERROR(__xludf.DUMMYFUNCTION("""COMPUTED_VALUE"""),"1.6HP")</f>
        <v>1.6HP</v>
      </c>
      <c r="I1706" s="5" t="str">
        <f>IFERROR(__xludf.DUMMYFUNCTION("""COMPUTED_VALUE"""),"GCAMT-765534")</f>
        <v>GCAMT-765534</v>
      </c>
      <c r="J1706" s="5"/>
      <c r="K1706" s="5">
        <f>IFERROR(__xludf.DUMMYFUNCTION("""COMPUTED_VALUE"""),0.5)</f>
        <v>0.5</v>
      </c>
      <c r="L1706" s="5" t="str">
        <f>IFERROR(__xludf.DUMMYFUNCTION("""COMPUTED_VALUE"""),"KLH")</f>
        <v>KLH</v>
      </c>
    </row>
    <row r="1707">
      <c r="A1707" s="5" t="str">
        <f>IFERROR(__xludf.DUMMYFUNCTION("""COMPUTED_VALUE"""),"XBA-MPC-018")</f>
        <v>XBA-MPC-018</v>
      </c>
      <c r="B1707" s="3" t="str">
        <f>IFERROR(__xludf.DUMMYFUNCTION("""COMPUTED_VALUE"""),"Máy phát cỏ 2 thì")</f>
        <v>Máy phát cỏ 2 thì</v>
      </c>
      <c r="C1707" s="5" t="str">
        <f>IFERROR(__xludf.DUMMYFUNCTION("""COMPUTED_VALUE"""),"BƯỞI AD")</f>
        <v>BƯỞI AD</v>
      </c>
      <c r="D1707" s="5" t="str">
        <f>IFERROR(__xludf.DUMMYFUNCTION("""COMPUTED_VALUE"""),"MARATA")</f>
        <v>MARATA</v>
      </c>
      <c r="E1707" s="5" t="str">
        <f>IFERROR(__xludf.DUMMYFUNCTION("""COMPUTED_VALUE"""),"TRUNG QUỐC")</f>
        <v>TRUNG QUỐC</v>
      </c>
      <c r="F1707" s="5"/>
      <c r="G1707" s="5" t="str">
        <f>IFERROR(__xludf.DUMMYFUNCTION("""COMPUTED_VALUE"""),"CG411")</f>
        <v>CG411</v>
      </c>
      <c r="H1707" s="5" t="str">
        <f>IFERROR(__xludf.DUMMYFUNCTION("""COMPUTED_VALUE"""),"1.8HP")</f>
        <v>1.8HP</v>
      </c>
      <c r="I1707" s="5"/>
      <c r="J1707" s="5"/>
      <c r="K1707" s="5"/>
      <c r="L1707" s="5" t="str">
        <f>IFERROR(__xludf.DUMMYFUNCTION("""COMPUTED_VALUE"""),"KLH")</f>
        <v>KLH</v>
      </c>
    </row>
    <row r="1708">
      <c r="A1708" s="5" t="str">
        <f>IFERROR(__xludf.DUMMYFUNCTION("""COMPUTED_VALUE"""),"XBA-MPC-019")</f>
        <v>XBA-MPC-019</v>
      </c>
      <c r="B1708" s="3" t="str">
        <f>IFERROR(__xludf.DUMMYFUNCTION("""COMPUTED_VALUE"""),"Máy phát cỏ 2 thì")</f>
        <v>Máy phát cỏ 2 thì</v>
      </c>
      <c r="C1708" s="5" t="str">
        <f>IFERROR(__xludf.DUMMYFUNCTION("""COMPUTED_VALUE"""),"BƯỞI AD")</f>
        <v>BƯỞI AD</v>
      </c>
      <c r="D1708" s="5" t="str">
        <f>IFERROR(__xludf.DUMMYFUNCTION("""COMPUTED_VALUE"""),"MARATA")</f>
        <v>MARATA</v>
      </c>
      <c r="E1708" s="5" t="str">
        <f>IFERROR(__xludf.DUMMYFUNCTION("""COMPUTED_VALUE"""),"TRUNG QUỐC")</f>
        <v>TRUNG QUỐC</v>
      </c>
      <c r="F1708" s="5"/>
      <c r="G1708" s="5" t="str">
        <f>IFERROR(__xludf.DUMMYFUNCTION("""COMPUTED_VALUE"""),"CG411")</f>
        <v>CG411</v>
      </c>
      <c r="H1708" s="5" t="str">
        <f>IFERROR(__xludf.DUMMYFUNCTION("""COMPUTED_VALUE"""),"1.8HP")</f>
        <v>1.8HP</v>
      </c>
      <c r="I1708" s="5"/>
      <c r="J1708" s="5"/>
      <c r="K1708" s="5"/>
      <c r="L1708" s="5" t="str">
        <f>IFERROR(__xludf.DUMMYFUNCTION("""COMPUTED_VALUE"""),"KLH")</f>
        <v>KLH</v>
      </c>
    </row>
    <row r="1709">
      <c r="A1709" s="5" t="str">
        <f>IFERROR(__xludf.DUMMYFUNCTION("""COMPUTED_VALUE"""),"XBA-MPC-020")</f>
        <v>XBA-MPC-020</v>
      </c>
      <c r="B1709" s="3" t="str">
        <f>IFERROR(__xludf.DUMMYFUNCTION("""COMPUTED_VALUE"""),"Máy phát cỏ 2 thì")</f>
        <v>Máy phát cỏ 2 thì</v>
      </c>
      <c r="C1709" s="5" t="str">
        <f>IFERROR(__xludf.DUMMYFUNCTION("""COMPUTED_VALUE"""),"BƯỞI AD")</f>
        <v>BƯỞI AD</v>
      </c>
      <c r="D1709" s="5" t="str">
        <f>IFERROR(__xludf.DUMMYFUNCTION("""COMPUTED_VALUE"""),"MARATA")</f>
        <v>MARATA</v>
      </c>
      <c r="E1709" s="5" t="str">
        <f>IFERROR(__xludf.DUMMYFUNCTION("""COMPUTED_VALUE"""),"TRUNG QUỐC")</f>
        <v>TRUNG QUỐC</v>
      </c>
      <c r="F1709" s="5"/>
      <c r="G1709" s="5" t="str">
        <f>IFERROR(__xludf.DUMMYFUNCTION("""COMPUTED_VALUE"""),"CG411")</f>
        <v>CG411</v>
      </c>
      <c r="H1709" s="5" t="str">
        <f>IFERROR(__xludf.DUMMYFUNCTION("""COMPUTED_VALUE"""),"1.8HP")</f>
        <v>1.8HP</v>
      </c>
      <c r="I1709" s="5"/>
      <c r="J1709" s="5"/>
      <c r="K1709" s="5"/>
      <c r="L1709" s="5" t="str">
        <f>IFERROR(__xludf.DUMMYFUNCTION("""COMPUTED_VALUE"""),"KLH")</f>
        <v>KLH</v>
      </c>
    </row>
    <row r="1710">
      <c r="A1710" s="5" t="str">
        <f>IFERROR(__xludf.DUMMYFUNCTION("""COMPUTED_VALUE"""),"XBA-MPC-021")</f>
        <v>XBA-MPC-021</v>
      </c>
      <c r="B1710" s="3" t="str">
        <f>IFERROR(__xludf.DUMMYFUNCTION("""COMPUTED_VALUE"""),"Máy phát cỏ 2 thì")</f>
        <v>Máy phát cỏ 2 thì</v>
      </c>
      <c r="C1710" s="5" t="str">
        <f>IFERROR(__xludf.DUMMYFUNCTION("""COMPUTED_VALUE"""),"BƯỞI AD")</f>
        <v>BƯỞI AD</v>
      </c>
      <c r="D1710" s="5" t="str">
        <f>IFERROR(__xludf.DUMMYFUNCTION("""COMPUTED_VALUE"""),"MARATA")</f>
        <v>MARATA</v>
      </c>
      <c r="E1710" s="5" t="str">
        <f>IFERROR(__xludf.DUMMYFUNCTION("""COMPUTED_VALUE"""),"TRUNG QUỐC")</f>
        <v>TRUNG QUỐC</v>
      </c>
      <c r="F1710" s="5"/>
      <c r="G1710" s="5" t="str">
        <f>IFERROR(__xludf.DUMMYFUNCTION("""COMPUTED_VALUE"""),"CG411")</f>
        <v>CG411</v>
      </c>
      <c r="H1710" s="5" t="str">
        <f>IFERROR(__xludf.DUMMYFUNCTION("""COMPUTED_VALUE"""),"1.8HP")</f>
        <v>1.8HP</v>
      </c>
      <c r="I1710" s="5"/>
      <c r="J1710" s="5"/>
      <c r="K1710" s="5"/>
      <c r="L1710" s="5" t="str">
        <f>IFERROR(__xludf.DUMMYFUNCTION("""COMPUTED_VALUE"""),"KLH")</f>
        <v>KLH</v>
      </c>
    </row>
    <row r="1711">
      <c r="A1711" s="5" t="str">
        <f>IFERROR(__xludf.DUMMYFUNCTION("""COMPUTED_VALUE"""),"XBA-MPC-022")</f>
        <v>XBA-MPC-022</v>
      </c>
      <c r="B1711" s="3" t="str">
        <f>IFERROR(__xludf.DUMMYFUNCTION("""COMPUTED_VALUE"""),"Máy phát cỏ 2 thì")</f>
        <v>Máy phát cỏ 2 thì</v>
      </c>
      <c r="C1711" s="5" t="str">
        <f>IFERROR(__xludf.DUMMYFUNCTION("""COMPUTED_VALUE"""),"BƯỞI AD")</f>
        <v>BƯỞI AD</v>
      </c>
      <c r="D1711" s="5" t="str">
        <f>IFERROR(__xludf.DUMMYFUNCTION("""COMPUTED_VALUE"""),"MARATA")</f>
        <v>MARATA</v>
      </c>
      <c r="E1711" s="5" t="str">
        <f>IFERROR(__xludf.DUMMYFUNCTION("""COMPUTED_VALUE"""),"TRUNG QUỐC")</f>
        <v>TRUNG QUỐC</v>
      </c>
      <c r="F1711" s="5"/>
      <c r="G1711" s="5" t="str">
        <f>IFERROR(__xludf.DUMMYFUNCTION("""COMPUTED_VALUE"""),"CG411")</f>
        <v>CG411</v>
      </c>
      <c r="H1711" s="5" t="str">
        <f>IFERROR(__xludf.DUMMYFUNCTION("""COMPUTED_VALUE"""),"1.8HP")</f>
        <v>1.8HP</v>
      </c>
      <c r="I1711" s="5"/>
      <c r="J1711" s="5"/>
      <c r="K1711" s="5"/>
      <c r="L1711" s="5" t="str">
        <f>IFERROR(__xludf.DUMMYFUNCTION("""COMPUTED_VALUE"""),"KLH")</f>
        <v>KLH</v>
      </c>
    </row>
    <row r="1712">
      <c r="A1712" s="5" t="str">
        <f>IFERROR(__xludf.DUMMYFUNCTION("""COMPUTED_VALUE"""),"XBA-MPC-023")</f>
        <v>XBA-MPC-023</v>
      </c>
      <c r="B1712" s="3" t="str">
        <f>IFERROR(__xludf.DUMMYFUNCTION("""COMPUTED_VALUE"""),"Máy phát cỏ 2 thì")</f>
        <v>Máy phát cỏ 2 thì</v>
      </c>
      <c r="C1712" s="5" t="str">
        <f>IFERROR(__xludf.DUMMYFUNCTION("""COMPUTED_VALUE"""),"BƯỞI AD")</f>
        <v>BƯỞI AD</v>
      </c>
      <c r="D1712" s="5" t="str">
        <f>IFERROR(__xludf.DUMMYFUNCTION("""COMPUTED_VALUE"""),"MARATA")</f>
        <v>MARATA</v>
      </c>
      <c r="E1712" s="5" t="str">
        <f>IFERROR(__xludf.DUMMYFUNCTION("""COMPUTED_VALUE"""),"TRUNG QUỐC")</f>
        <v>TRUNG QUỐC</v>
      </c>
      <c r="F1712" s="5"/>
      <c r="G1712" s="5" t="str">
        <f>IFERROR(__xludf.DUMMYFUNCTION("""COMPUTED_VALUE"""),"CG411")</f>
        <v>CG411</v>
      </c>
      <c r="H1712" s="5" t="str">
        <f>IFERROR(__xludf.DUMMYFUNCTION("""COMPUTED_VALUE"""),"1.8HP")</f>
        <v>1.8HP</v>
      </c>
      <c r="I1712" s="5"/>
      <c r="J1712" s="5"/>
      <c r="K1712" s="5"/>
      <c r="L1712" s="5" t="str">
        <f>IFERROR(__xludf.DUMMYFUNCTION("""COMPUTED_VALUE"""),"KLH")</f>
        <v>KLH</v>
      </c>
    </row>
    <row r="1713">
      <c r="A1713" s="5" t="str">
        <f>IFERROR(__xludf.DUMMYFUNCTION("""COMPUTED_VALUE"""),"XBA-MPC-024")</f>
        <v>XBA-MPC-024</v>
      </c>
      <c r="B1713" s="3" t="str">
        <f>IFERROR(__xludf.DUMMYFUNCTION("""COMPUTED_VALUE"""),"Máy phát cỏ 2 thì")</f>
        <v>Máy phát cỏ 2 thì</v>
      </c>
      <c r="C1713" s="5" t="str">
        <f>IFERROR(__xludf.DUMMYFUNCTION("""COMPUTED_VALUE"""),"BƯỞI AD")</f>
        <v>BƯỞI AD</v>
      </c>
      <c r="D1713" s="5" t="str">
        <f>IFERROR(__xludf.DUMMYFUNCTION("""COMPUTED_VALUE"""),"MARATA")</f>
        <v>MARATA</v>
      </c>
      <c r="E1713" s="5" t="str">
        <f>IFERROR(__xludf.DUMMYFUNCTION("""COMPUTED_VALUE"""),"TRUNG QUỐC")</f>
        <v>TRUNG QUỐC</v>
      </c>
      <c r="F1713" s="5"/>
      <c r="G1713" s="5" t="str">
        <f>IFERROR(__xludf.DUMMYFUNCTION("""COMPUTED_VALUE"""),"CG411")</f>
        <v>CG411</v>
      </c>
      <c r="H1713" s="5" t="str">
        <f>IFERROR(__xludf.DUMMYFUNCTION("""COMPUTED_VALUE"""),"1.8HP")</f>
        <v>1.8HP</v>
      </c>
      <c r="I1713" s="5"/>
      <c r="J1713" s="5"/>
      <c r="K1713" s="5"/>
      <c r="L1713" s="5" t="str">
        <f>IFERROR(__xludf.DUMMYFUNCTION("""COMPUTED_VALUE"""),"KLH")</f>
        <v>KLH</v>
      </c>
    </row>
    <row r="1714">
      <c r="A1714" s="5" t="str">
        <f>IFERROR(__xludf.DUMMYFUNCTION("""COMPUTED_VALUE"""),"XBA-MPC-025")</f>
        <v>XBA-MPC-025</v>
      </c>
      <c r="B1714" s="3" t="str">
        <f>IFERROR(__xludf.DUMMYFUNCTION("""COMPUTED_VALUE"""),"Máy phát cỏ 2 thì")</f>
        <v>Máy phát cỏ 2 thì</v>
      </c>
      <c r="C1714" s="5" t="str">
        <f>IFERROR(__xludf.DUMMYFUNCTION("""COMPUTED_VALUE"""),"BƯỞI AD")</f>
        <v>BƯỞI AD</v>
      </c>
      <c r="D1714" s="5" t="str">
        <f>IFERROR(__xludf.DUMMYFUNCTION("""COMPUTED_VALUE"""),"MARATA")</f>
        <v>MARATA</v>
      </c>
      <c r="E1714" s="5" t="str">
        <f>IFERROR(__xludf.DUMMYFUNCTION("""COMPUTED_VALUE"""),"TRUNG QUỐC")</f>
        <v>TRUNG QUỐC</v>
      </c>
      <c r="F1714" s="5"/>
      <c r="G1714" s="5" t="str">
        <f>IFERROR(__xludf.DUMMYFUNCTION("""COMPUTED_VALUE"""),"CG411")</f>
        <v>CG411</v>
      </c>
      <c r="H1714" s="5" t="str">
        <f>IFERROR(__xludf.DUMMYFUNCTION("""COMPUTED_VALUE"""),"1.8HP")</f>
        <v>1.8HP</v>
      </c>
      <c r="I1714" s="5"/>
      <c r="J1714" s="5"/>
      <c r="K1714" s="5"/>
      <c r="L1714" s="5" t="str">
        <f>IFERROR(__xludf.DUMMYFUNCTION("""COMPUTED_VALUE"""),"KLH")</f>
        <v>KLH</v>
      </c>
    </row>
    <row r="1715">
      <c r="A1715" s="5" t="str">
        <f>IFERROR(__xludf.DUMMYFUNCTION("""COMPUTED_VALUE"""),"XBA-MPC-026")</f>
        <v>XBA-MPC-026</v>
      </c>
      <c r="B1715" s="3" t="str">
        <f>IFERROR(__xludf.DUMMYFUNCTION("""COMPUTED_VALUE"""),"Máy phát cỏ 2 thì")</f>
        <v>Máy phát cỏ 2 thì</v>
      </c>
      <c r="C1715" s="5" t="str">
        <f>IFERROR(__xludf.DUMMYFUNCTION("""COMPUTED_VALUE"""),"BƯỞI AD")</f>
        <v>BƯỞI AD</v>
      </c>
      <c r="D1715" s="5" t="str">
        <f>IFERROR(__xludf.DUMMYFUNCTION("""COMPUTED_VALUE"""),"MARATA")</f>
        <v>MARATA</v>
      </c>
      <c r="E1715" s="5" t="str">
        <f>IFERROR(__xludf.DUMMYFUNCTION("""COMPUTED_VALUE"""),"TRUNG QUỐC")</f>
        <v>TRUNG QUỐC</v>
      </c>
      <c r="F1715" s="5"/>
      <c r="G1715" s="5" t="str">
        <f>IFERROR(__xludf.DUMMYFUNCTION("""COMPUTED_VALUE"""),"CG411")</f>
        <v>CG411</v>
      </c>
      <c r="H1715" s="5" t="str">
        <f>IFERROR(__xludf.DUMMYFUNCTION("""COMPUTED_VALUE"""),"1.8HP")</f>
        <v>1.8HP</v>
      </c>
      <c r="I1715" s="5"/>
      <c r="J1715" s="5"/>
      <c r="K1715" s="5"/>
      <c r="L1715" s="5" t="str">
        <f>IFERROR(__xludf.DUMMYFUNCTION("""COMPUTED_VALUE"""),"KLH")</f>
        <v>KLH</v>
      </c>
    </row>
    <row r="1716">
      <c r="A1716" s="5" t="str">
        <f>IFERROR(__xludf.DUMMYFUNCTION("""COMPUTED_VALUE"""),"XBA-MPC-027")</f>
        <v>XBA-MPC-027</v>
      </c>
      <c r="B1716" s="3" t="str">
        <f>IFERROR(__xludf.DUMMYFUNCTION("""COMPUTED_VALUE"""),"Máy phát cỏ 2 thì")</f>
        <v>Máy phát cỏ 2 thì</v>
      </c>
      <c r="C1716" s="5" t="str">
        <f>IFERROR(__xludf.DUMMYFUNCTION("""COMPUTED_VALUE"""),"BƯỞI AD")</f>
        <v>BƯỞI AD</v>
      </c>
      <c r="D1716" s="5" t="str">
        <f>IFERROR(__xludf.DUMMYFUNCTION("""COMPUTED_VALUE"""),"MARATA")</f>
        <v>MARATA</v>
      </c>
      <c r="E1716" s="5" t="str">
        <f>IFERROR(__xludf.DUMMYFUNCTION("""COMPUTED_VALUE"""),"TRUNG QUỐC")</f>
        <v>TRUNG QUỐC</v>
      </c>
      <c r="F1716" s="5"/>
      <c r="G1716" s="5" t="str">
        <f>IFERROR(__xludf.DUMMYFUNCTION("""COMPUTED_VALUE"""),"CG411")</f>
        <v>CG411</v>
      </c>
      <c r="H1716" s="5" t="str">
        <f>IFERROR(__xludf.DUMMYFUNCTION("""COMPUTED_VALUE"""),"1.8HP")</f>
        <v>1.8HP</v>
      </c>
      <c r="I1716" s="5"/>
      <c r="J1716" s="5"/>
      <c r="K1716" s="5"/>
      <c r="L1716" s="5" t="str">
        <f>IFERROR(__xludf.DUMMYFUNCTION("""COMPUTED_VALUE"""),"KLH")</f>
        <v>KLH</v>
      </c>
    </row>
    <row r="1717">
      <c r="A1717" s="5" t="str">
        <f>IFERROR(__xludf.DUMMYFUNCTION("""COMPUTED_VALUE"""),"LUMPHAT")</f>
        <v>LUMPHAT</v>
      </c>
      <c r="B1717" s="3"/>
      <c r="C1717" s="5"/>
      <c r="D1717" s="5"/>
      <c r="E1717" s="5"/>
      <c r="F1717" s="5"/>
      <c r="G1717" s="5"/>
      <c r="H1717" s="5"/>
      <c r="I1717" s="5"/>
      <c r="J1717" s="5"/>
      <c r="K1717" s="5"/>
      <c r="L1717" s="5" t="str">
        <f>IFERROR(__xludf.DUMMYFUNCTION("""COMPUTED_VALUE"""),"KLH")</f>
        <v>KLH</v>
      </c>
    </row>
    <row r="1718">
      <c r="A1718" s="5" t="str">
        <f>IFERROR(__xludf.DUMMYFUNCTION("""COMPUTED_VALUE"""),"XN LP1")</f>
        <v>XN LP1</v>
      </c>
      <c r="B1718" s="3"/>
      <c r="C1718" s="5"/>
      <c r="D1718" s="5"/>
      <c r="E1718" s="5"/>
      <c r="F1718" s="5"/>
      <c r="G1718" s="5"/>
      <c r="H1718" s="5"/>
      <c r="I1718" s="5"/>
      <c r="J1718" s="5"/>
      <c r="K1718" s="5"/>
      <c r="L1718" s="5" t="str">
        <f>IFERROR(__xludf.DUMMYFUNCTION("""COMPUTED_VALUE"""),"KLH")</f>
        <v>KLH</v>
      </c>
    </row>
    <row r="1719">
      <c r="A1719" s="5" t="str">
        <f>IFERROR(__xludf.DUMMYFUNCTION("""COMPUTED_VALUE"""),"XL1-MPC-045")</f>
        <v>XL1-MPC-045</v>
      </c>
      <c r="B1719" s="3" t="str">
        <f>IFERROR(__xludf.DUMMYFUNCTION("""COMPUTED_VALUE"""),"Máy phát cỏ 4 thì")</f>
        <v>Máy phát cỏ 4 thì</v>
      </c>
      <c r="C1719" s="5" t="str">
        <f>IFERROR(__xludf.DUMMYFUNCTION("""COMPUTED_VALUE"""),"XN Chuối LP1")</f>
        <v>XN Chuối LP1</v>
      </c>
      <c r="D1719" s="5" t="str">
        <f>IFERROR(__xludf.DUMMYFUNCTION("""COMPUTED_VALUE"""),"HONDA")</f>
        <v>HONDA</v>
      </c>
      <c r="E1719" s="5" t="str">
        <f>IFERROR(__xludf.DUMMYFUNCTION("""COMPUTED_VALUE"""),"NHật Bản")</f>
        <v>NHật Bản</v>
      </c>
      <c r="F1719" s="5"/>
      <c r="G1719" s="5" t="str">
        <f>IFERROR(__xludf.DUMMYFUNCTION("""COMPUTED_VALUE"""),"GX35")</f>
        <v>GX35</v>
      </c>
      <c r="H1719" s="5" t="str">
        <f>IFERROR(__xludf.DUMMYFUNCTION("""COMPUTED_VALUE"""),"1.6HP")</f>
        <v>1.6HP</v>
      </c>
      <c r="I1719" s="5"/>
      <c r="J1719" s="5"/>
      <c r="K1719" s="5">
        <f>IFERROR(__xludf.DUMMYFUNCTION("""COMPUTED_VALUE"""),0.5)</f>
        <v>0.5</v>
      </c>
      <c r="L1719" s="5" t="str">
        <f>IFERROR(__xludf.DUMMYFUNCTION("""COMPUTED_VALUE"""),"KLH")</f>
        <v>KLH</v>
      </c>
    </row>
    <row r="1720">
      <c r="A1720" s="5" t="str">
        <f>IFERROR(__xludf.DUMMYFUNCTION("""COMPUTED_VALUE"""),"XL1-MPC-046")</f>
        <v>XL1-MPC-046</v>
      </c>
      <c r="B1720" s="3" t="str">
        <f>IFERROR(__xludf.DUMMYFUNCTION("""COMPUTED_VALUE"""),"Máy phát cỏ 4 thì")</f>
        <v>Máy phát cỏ 4 thì</v>
      </c>
      <c r="C1720" s="5" t="str">
        <f>IFERROR(__xludf.DUMMYFUNCTION("""COMPUTED_VALUE"""),"XN Chuối LP1")</f>
        <v>XN Chuối LP1</v>
      </c>
      <c r="D1720" s="5" t="str">
        <f>IFERROR(__xludf.DUMMYFUNCTION("""COMPUTED_VALUE"""),"HONDA")</f>
        <v>HONDA</v>
      </c>
      <c r="E1720" s="5" t="str">
        <f>IFERROR(__xludf.DUMMYFUNCTION("""COMPUTED_VALUE"""),"NHật Bản")</f>
        <v>NHật Bản</v>
      </c>
      <c r="F1720" s="5"/>
      <c r="G1720" s="5" t="str">
        <f>IFERROR(__xludf.DUMMYFUNCTION("""COMPUTED_VALUE"""),"GX35")</f>
        <v>GX35</v>
      </c>
      <c r="H1720" s="5" t="str">
        <f>IFERROR(__xludf.DUMMYFUNCTION("""COMPUTED_VALUE"""),"1.6HP")</f>
        <v>1.6HP</v>
      </c>
      <c r="I1720" s="5"/>
      <c r="J1720" s="5"/>
      <c r="K1720" s="5">
        <f>IFERROR(__xludf.DUMMYFUNCTION("""COMPUTED_VALUE"""),0.5)</f>
        <v>0.5</v>
      </c>
      <c r="L1720" s="5" t="str">
        <f>IFERROR(__xludf.DUMMYFUNCTION("""COMPUTED_VALUE"""),"KLH")</f>
        <v>KLH</v>
      </c>
    </row>
    <row r="1721">
      <c r="A1721" s="5" t="str">
        <f>IFERROR(__xludf.DUMMYFUNCTION("""COMPUTED_VALUE"""),"XL1-MPC-047")</f>
        <v>XL1-MPC-047</v>
      </c>
      <c r="B1721" s="3" t="str">
        <f>IFERROR(__xludf.DUMMYFUNCTION("""COMPUTED_VALUE"""),"Máy phát cỏ 4 thì")</f>
        <v>Máy phát cỏ 4 thì</v>
      </c>
      <c r="C1721" s="5" t="str">
        <f>IFERROR(__xludf.DUMMYFUNCTION("""COMPUTED_VALUE"""),"XN Chuối LP1")</f>
        <v>XN Chuối LP1</v>
      </c>
      <c r="D1721" s="5" t="str">
        <f>IFERROR(__xludf.DUMMYFUNCTION("""COMPUTED_VALUE"""),"HONDA")</f>
        <v>HONDA</v>
      </c>
      <c r="E1721" s="5" t="str">
        <f>IFERROR(__xludf.DUMMYFUNCTION("""COMPUTED_VALUE"""),"NHật Bản")</f>
        <v>NHật Bản</v>
      </c>
      <c r="F1721" s="5"/>
      <c r="G1721" s="5" t="str">
        <f>IFERROR(__xludf.DUMMYFUNCTION("""COMPUTED_VALUE"""),"GX35")</f>
        <v>GX35</v>
      </c>
      <c r="H1721" s="5" t="str">
        <f>IFERROR(__xludf.DUMMYFUNCTION("""COMPUTED_VALUE"""),"1.6HP")</f>
        <v>1.6HP</v>
      </c>
      <c r="I1721" s="5"/>
      <c r="J1721" s="5"/>
      <c r="K1721" s="5">
        <f>IFERROR(__xludf.DUMMYFUNCTION("""COMPUTED_VALUE"""),0.5)</f>
        <v>0.5</v>
      </c>
      <c r="L1721" s="5" t="str">
        <f>IFERROR(__xludf.DUMMYFUNCTION("""COMPUTED_VALUE"""),"KLH")</f>
        <v>KLH</v>
      </c>
    </row>
    <row r="1722">
      <c r="A1722" s="5" t="str">
        <f>IFERROR(__xludf.DUMMYFUNCTION("""COMPUTED_VALUE"""),"XL1-MPC-048")</f>
        <v>XL1-MPC-048</v>
      </c>
      <c r="B1722" s="3" t="str">
        <f>IFERROR(__xludf.DUMMYFUNCTION("""COMPUTED_VALUE"""),"Máy phát cỏ 4 thì")</f>
        <v>Máy phát cỏ 4 thì</v>
      </c>
      <c r="C1722" s="5" t="str">
        <f>IFERROR(__xludf.DUMMYFUNCTION("""COMPUTED_VALUE"""),"XN Chuối LP1")</f>
        <v>XN Chuối LP1</v>
      </c>
      <c r="D1722" s="5" t="str">
        <f>IFERROR(__xludf.DUMMYFUNCTION("""COMPUTED_VALUE"""),"HONDA")</f>
        <v>HONDA</v>
      </c>
      <c r="E1722" s="5" t="str">
        <f>IFERROR(__xludf.DUMMYFUNCTION("""COMPUTED_VALUE"""),"NHật Bản")</f>
        <v>NHật Bản</v>
      </c>
      <c r="F1722" s="5"/>
      <c r="G1722" s="5" t="str">
        <f>IFERROR(__xludf.DUMMYFUNCTION("""COMPUTED_VALUE"""),"GX35")</f>
        <v>GX35</v>
      </c>
      <c r="H1722" s="5" t="str">
        <f>IFERROR(__xludf.DUMMYFUNCTION("""COMPUTED_VALUE"""),"1.6HP")</f>
        <v>1.6HP</v>
      </c>
      <c r="I1722" s="5"/>
      <c r="J1722" s="5"/>
      <c r="K1722" s="5">
        <f>IFERROR(__xludf.DUMMYFUNCTION("""COMPUTED_VALUE"""),0.5)</f>
        <v>0.5</v>
      </c>
      <c r="L1722" s="5" t="str">
        <f>IFERROR(__xludf.DUMMYFUNCTION("""COMPUTED_VALUE"""),"KLH")</f>
        <v>KLH</v>
      </c>
    </row>
    <row r="1723">
      <c r="A1723" s="5" t="str">
        <f>IFERROR(__xludf.DUMMYFUNCTION("""COMPUTED_VALUE"""),"XL1-MPC-049")</f>
        <v>XL1-MPC-049</v>
      </c>
      <c r="B1723" s="3" t="str">
        <f>IFERROR(__xludf.DUMMYFUNCTION("""COMPUTED_VALUE"""),"Máy phát cỏ 4 thì")</f>
        <v>Máy phát cỏ 4 thì</v>
      </c>
      <c r="C1723" s="5" t="str">
        <f>IFERROR(__xludf.DUMMYFUNCTION("""COMPUTED_VALUE"""),"XN Chuối LP1")</f>
        <v>XN Chuối LP1</v>
      </c>
      <c r="D1723" s="5" t="str">
        <f>IFERROR(__xludf.DUMMYFUNCTION("""COMPUTED_VALUE"""),"HONDA")</f>
        <v>HONDA</v>
      </c>
      <c r="E1723" s="5" t="str">
        <f>IFERROR(__xludf.DUMMYFUNCTION("""COMPUTED_VALUE"""),"NHật Bản")</f>
        <v>NHật Bản</v>
      </c>
      <c r="F1723" s="5"/>
      <c r="G1723" s="5" t="str">
        <f>IFERROR(__xludf.DUMMYFUNCTION("""COMPUTED_VALUE"""),"GX35")</f>
        <v>GX35</v>
      </c>
      <c r="H1723" s="5" t="str">
        <f>IFERROR(__xludf.DUMMYFUNCTION("""COMPUTED_VALUE"""),"1.6HP")</f>
        <v>1.6HP</v>
      </c>
      <c r="I1723" s="5"/>
      <c r="J1723" s="5"/>
      <c r="K1723" s="5">
        <f>IFERROR(__xludf.DUMMYFUNCTION("""COMPUTED_VALUE"""),0.5)</f>
        <v>0.5</v>
      </c>
      <c r="L1723" s="5" t="str">
        <f>IFERROR(__xludf.DUMMYFUNCTION("""COMPUTED_VALUE"""),"KLH")</f>
        <v>KLH</v>
      </c>
    </row>
    <row r="1724">
      <c r="A1724" s="5" t="str">
        <f>IFERROR(__xludf.DUMMYFUNCTION("""COMPUTED_VALUE"""),"XL1-MPC-050")</f>
        <v>XL1-MPC-050</v>
      </c>
      <c r="B1724" s="3" t="str">
        <f>IFERROR(__xludf.DUMMYFUNCTION("""COMPUTED_VALUE"""),"Máy phát cỏ 4 thì")</f>
        <v>Máy phát cỏ 4 thì</v>
      </c>
      <c r="C1724" s="5" t="str">
        <f>IFERROR(__xludf.DUMMYFUNCTION("""COMPUTED_VALUE"""),"XN Chuối LP1")</f>
        <v>XN Chuối LP1</v>
      </c>
      <c r="D1724" s="5" t="str">
        <f>IFERROR(__xludf.DUMMYFUNCTION("""COMPUTED_VALUE"""),"HONDA")</f>
        <v>HONDA</v>
      </c>
      <c r="E1724" s="5" t="str">
        <f>IFERROR(__xludf.DUMMYFUNCTION("""COMPUTED_VALUE"""),"NHật Bản")</f>
        <v>NHật Bản</v>
      </c>
      <c r="F1724" s="5"/>
      <c r="G1724" s="5" t="str">
        <f>IFERROR(__xludf.DUMMYFUNCTION("""COMPUTED_VALUE"""),"GX35")</f>
        <v>GX35</v>
      </c>
      <c r="H1724" s="5" t="str">
        <f>IFERROR(__xludf.DUMMYFUNCTION("""COMPUTED_VALUE"""),"1.6HP")</f>
        <v>1.6HP</v>
      </c>
      <c r="I1724" s="5"/>
      <c r="J1724" s="5"/>
      <c r="K1724" s="5">
        <f>IFERROR(__xludf.DUMMYFUNCTION("""COMPUTED_VALUE"""),0.5)</f>
        <v>0.5</v>
      </c>
      <c r="L1724" s="5" t="str">
        <f>IFERROR(__xludf.DUMMYFUNCTION("""COMPUTED_VALUE"""),"KLH")</f>
        <v>KLH</v>
      </c>
    </row>
    <row r="1725">
      <c r="A1725" s="5" t="str">
        <f>IFERROR(__xludf.DUMMYFUNCTION("""COMPUTED_VALUE"""),"XL1-MPC-051")</f>
        <v>XL1-MPC-051</v>
      </c>
      <c r="B1725" s="3" t="str">
        <f>IFERROR(__xludf.DUMMYFUNCTION("""COMPUTED_VALUE"""),"Máy phát cỏ 4 thì")</f>
        <v>Máy phát cỏ 4 thì</v>
      </c>
      <c r="C1725" s="5" t="str">
        <f>IFERROR(__xludf.DUMMYFUNCTION("""COMPUTED_VALUE"""),"XN Chuối LP1")</f>
        <v>XN Chuối LP1</v>
      </c>
      <c r="D1725" s="5" t="str">
        <f>IFERROR(__xludf.DUMMYFUNCTION("""COMPUTED_VALUE"""),"HONDA")</f>
        <v>HONDA</v>
      </c>
      <c r="E1725" s="5" t="str">
        <f>IFERROR(__xludf.DUMMYFUNCTION("""COMPUTED_VALUE"""),"NHật Bản")</f>
        <v>NHật Bản</v>
      </c>
      <c r="F1725" s="5"/>
      <c r="G1725" s="5" t="str">
        <f>IFERROR(__xludf.DUMMYFUNCTION("""COMPUTED_VALUE"""),"GX35")</f>
        <v>GX35</v>
      </c>
      <c r="H1725" s="5" t="str">
        <f>IFERROR(__xludf.DUMMYFUNCTION("""COMPUTED_VALUE"""),"1.6HP")</f>
        <v>1.6HP</v>
      </c>
      <c r="I1725" s="5"/>
      <c r="J1725" s="5"/>
      <c r="K1725" s="5">
        <f>IFERROR(__xludf.DUMMYFUNCTION("""COMPUTED_VALUE"""),0.5)</f>
        <v>0.5</v>
      </c>
      <c r="L1725" s="5" t="str">
        <f>IFERROR(__xludf.DUMMYFUNCTION("""COMPUTED_VALUE"""),"KLH")</f>
        <v>KLH</v>
      </c>
    </row>
    <row r="1726">
      <c r="A1726" s="5" t="str">
        <f>IFERROR(__xludf.DUMMYFUNCTION("""COMPUTED_VALUE"""),"XL1-MPC-052")</f>
        <v>XL1-MPC-052</v>
      </c>
      <c r="B1726" s="3" t="str">
        <f>IFERROR(__xludf.DUMMYFUNCTION("""COMPUTED_VALUE"""),"Máy phát cỏ 4 thì")</f>
        <v>Máy phát cỏ 4 thì</v>
      </c>
      <c r="C1726" s="5" t="str">
        <f>IFERROR(__xludf.DUMMYFUNCTION("""COMPUTED_VALUE"""),"XN Chuối LP1")</f>
        <v>XN Chuối LP1</v>
      </c>
      <c r="D1726" s="5" t="str">
        <f>IFERROR(__xludf.DUMMYFUNCTION("""COMPUTED_VALUE"""),"HONDA")</f>
        <v>HONDA</v>
      </c>
      <c r="E1726" s="5" t="str">
        <f>IFERROR(__xludf.DUMMYFUNCTION("""COMPUTED_VALUE"""),"NHật Bản")</f>
        <v>NHật Bản</v>
      </c>
      <c r="F1726" s="5"/>
      <c r="G1726" s="5" t="str">
        <f>IFERROR(__xludf.DUMMYFUNCTION("""COMPUTED_VALUE"""),"GX35")</f>
        <v>GX35</v>
      </c>
      <c r="H1726" s="5" t="str">
        <f>IFERROR(__xludf.DUMMYFUNCTION("""COMPUTED_VALUE"""),"1.6HP")</f>
        <v>1.6HP</v>
      </c>
      <c r="I1726" s="5"/>
      <c r="J1726" s="5"/>
      <c r="K1726" s="5">
        <f>IFERROR(__xludf.DUMMYFUNCTION("""COMPUTED_VALUE"""),0.5)</f>
        <v>0.5</v>
      </c>
      <c r="L1726" s="5" t="str">
        <f>IFERROR(__xludf.DUMMYFUNCTION("""COMPUTED_VALUE"""),"KLH")</f>
        <v>KLH</v>
      </c>
    </row>
    <row r="1727">
      <c r="A1727" s="5" t="str">
        <f>IFERROR(__xludf.DUMMYFUNCTION("""COMPUTED_VALUE"""),"XL1-MPC-053")</f>
        <v>XL1-MPC-053</v>
      </c>
      <c r="B1727" s="3" t="str">
        <f>IFERROR(__xludf.DUMMYFUNCTION("""COMPUTED_VALUE"""),"Máy phát cỏ 4 thì")</f>
        <v>Máy phát cỏ 4 thì</v>
      </c>
      <c r="C1727" s="5" t="str">
        <f>IFERROR(__xludf.DUMMYFUNCTION("""COMPUTED_VALUE"""),"XN Chuối LP1")</f>
        <v>XN Chuối LP1</v>
      </c>
      <c r="D1727" s="5" t="str">
        <f>IFERROR(__xludf.DUMMYFUNCTION("""COMPUTED_VALUE"""),"HONDA")</f>
        <v>HONDA</v>
      </c>
      <c r="E1727" s="5" t="str">
        <f>IFERROR(__xludf.DUMMYFUNCTION("""COMPUTED_VALUE"""),"NHật Bản")</f>
        <v>NHật Bản</v>
      </c>
      <c r="F1727" s="5"/>
      <c r="G1727" s="5" t="str">
        <f>IFERROR(__xludf.DUMMYFUNCTION("""COMPUTED_VALUE"""),"GX35")</f>
        <v>GX35</v>
      </c>
      <c r="H1727" s="5" t="str">
        <f>IFERROR(__xludf.DUMMYFUNCTION("""COMPUTED_VALUE"""),"1.6HP")</f>
        <v>1.6HP</v>
      </c>
      <c r="I1727" s="5"/>
      <c r="J1727" s="5"/>
      <c r="K1727" s="5">
        <f>IFERROR(__xludf.DUMMYFUNCTION("""COMPUTED_VALUE"""),0.5)</f>
        <v>0.5</v>
      </c>
      <c r="L1727" s="5" t="str">
        <f>IFERROR(__xludf.DUMMYFUNCTION("""COMPUTED_VALUE"""),"KLH")</f>
        <v>KLH</v>
      </c>
    </row>
    <row r="1728">
      <c r="A1728" s="5" t="str">
        <f>IFERROR(__xludf.DUMMYFUNCTION("""COMPUTED_VALUE"""),"XL1-MPC-054")</f>
        <v>XL1-MPC-054</v>
      </c>
      <c r="B1728" s="3" t="str">
        <f>IFERROR(__xludf.DUMMYFUNCTION("""COMPUTED_VALUE"""),"Máy phát cỏ 4 thì")</f>
        <v>Máy phát cỏ 4 thì</v>
      </c>
      <c r="C1728" s="5" t="str">
        <f>IFERROR(__xludf.DUMMYFUNCTION("""COMPUTED_VALUE"""),"XN Chuối LP1")</f>
        <v>XN Chuối LP1</v>
      </c>
      <c r="D1728" s="5" t="str">
        <f>IFERROR(__xludf.DUMMYFUNCTION("""COMPUTED_VALUE"""),"HONDA")</f>
        <v>HONDA</v>
      </c>
      <c r="E1728" s="5" t="str">
        <f>IFERROR(__xludf.DUMMYFUNCTION("""COMPUTED_VALUE"""),"NHật Bản")</f>
        <v>NHật Bản</v>
      </c>
      <c r="F1728" s="5"/>
      <c r="G1728" s="5" t="str">
        <f>IFERROR(__xludf.DUMMYFUNCTION("""COMPUTED_VALUE"""),"GX35")</f>
        <v>GX35</v>
      </c>
      <c r="H1728" s="5" t="str">
        <f>IFERROR(__xludf.DUMMYFUNCTION("""COMPUTED_VALUE"""),"1.6HP")</f>
        <v>1.6HP</v>
      </c>
      <c r="I1728" s="5"/>
      <c r="J1728" s="5"/>
      <c r="K1728" s="5">
        <f>IFERROR(__xludf.DUMMYFUNCTION("""COMPUTED_VALUE"""),0.5)</f>
        <v>0.5</v>
      </c>
      <c r="L1728" s="5" t="str">
        <f>IFERROR(__xludf.DUMMYFUNCTION("""COMPUTED_VALUE"""),"KLH")</f>
        <v>KLH</v>
      </c>
    </row>
    <row r="1729">
      <c r="A1729" s="5" t="str">
        <f>IFERROR(__xludf.DUMMYFUNCTION("""COMPUTED_VALUE"""),"XL1-MPC-055")</f>
        <v>XL1-MPC-055</v>
      </c>
      <c r="B1729" s="3" t="str">
        <f>IFERROR(__xludf.DUMMYFUNCTION("""COMPUTED_VALUE"""),"Máy phát cỏ 4 thì")</f>
        <v>Máy phát cỏ 4 thì</v>
      </c>
      <c r="C1729" s="5" t="str">
        <f>IFERROR(__xludf.DUMMYFUNCTION("""COMPUTED_VALUE"""),"XN Chuối LP1")</f>
        <v>XN Chuối LP1</v>
      </c>
      <c r="D1729" s="5" t="str">
        <f>IFERROR(__xludf.DUMMYFUNCTION("""COMPUTED_VALUE"""),"HONDA")</f>
        <v>HONDA</v>
      </c>
      <c r="E1729" s="5" t="str">
        <f>IFERROR(__xludf.DUMMYFUNCTION("""COMPUTED_VALUE"""),"NHật Bản")</f>
        <v>NHật Bản</v>
      </c>
      <c r="F1729" s="5"/>
      <c r="G1729" s="5" t="str">
        <f>IFERROR(__xludf.DUMMYFUNCTION("""COMPUTED_VALUE"""),"GX35")</f>
        <v>GX35</v>
      </c>
      <c r="H1729" s="5" t="str">
        <f>IFERROR(__xludf.DUMMYFUNCTION("""COMPUTED_VALUE"""),"1.6HP")</f>
        <v>1.6HP</v>
      </c>
      <c r="I1729" s="5"/>
      <c r="J1729" s="5"/>
      <c r="K1729" s="5">
        <f>IFERROR(__xludf.DUMMYFUNCTION("""COMPUTED_VALUE"""),0.5)</f>
        <v>0.5</v>
      </c>
      <c r="L1729" s="5" t="str">
        <f>IFERROR(__xludf.DUMMYFUNCTION("""COMPUTED_VALUE"""),"KLH")</f>
        <v>KLH</v>
      </c>
    </row>
    <row r="1730">
      <c r="A1730" s="5" t="str">
        <f>IFERROR(__xludf.DUMMYFUNCTION("""COMPUTED_VALUE"""),"XL1-MPC-056")</f>
        <v>XL1-MPC-056</v>
      </c>
      <c r="B1730" s="3" t="str">
        <f>IFERROR(__xludf.DUMMYFUNCTION("""COMPUTED_VALUE"""),"Máy phát cỏ 4 thì")</f>
        <v>Máy phát cỏ 4 thì</v>
      </c>
      <c r="C1730" s="5" t="str">
        <f>IFERROR(__xludf.DUMMYFUNCTION("""COMPUTED_VALUE"""),"XN Chuối LP1")</f>
        <v>XN Chuối LP1</v>
      </c>
      <c r="D1730" s="5" t="str">
        <f>IFERROR(__xludf.DUMMYFUNCTION("""COMPUTED_VALUE"""),"HONDA")</f>
        <v>HONDA</v>
      </c>
      <c r="E1730" s="5" t="str">
        <f>IFERROR(__xludf.DUMMYFUNCTION("""COMPUTED_VALUE"""),"NHật Bản")</f>
        <v>NHật Bản</v>
      </c>
      <c r="F1730" s="5"/>
      <c r="G1730" s="5" t="str">
        <f>IFERROR(__xludf.DUMMYFUNCTION("""COMPUTED_VALUE"""),"GX35")</f>
        <v>GX35</v>
      </c>
      <c r="H1730" s="5" t="str">
        <f>IFERROR(__xludf.DUMMYFUNCTION("""COMPUTED_VALUE"""),"1.6HP")</f>
        <v>1.6HP</v>
      </c>
      <c r="I1730" s="5"/>
      <c r="J1730" s="5"/>
      <c r="K1730" s="5">
        <f>IFERROR(__xludf.DUMMYFUNCTION("""COMPUTED_VALUE"""),0.5)</f>
        <v>0.5</v>
      </c>
      <c r="L1730" s="5" t="str">
        <f>IFERROR(__xludf.DUMMYFUNCTION("""COMPUTED_VALUE"""),"KLH")</f>
        <v>KLH</v>
      </c>
    </row>
    <row r="1731">
      <c r="A1731" s="5" t="str">
        <f>IFERROR(__xludf.DUMMYFUNCTION("""COMPUTED_VALUE"""),"XL1-MPC-057")</f>
        <v>XL1-MPC-057</v>
      </c>
      <c r="B1731" s="3" t="str">
        <f>IFERROR(__xludf.DUMMYFUNCTION("""COMPUTED_VALUE"""),"Máy phát cỏ 2 thì")</f>
        <v>Máy phát cỏ 2 thì</v>
      </c>
      <c r="C1731" s="5" t="str">
        <f>IFERROR(__xludf.DUMMYFUNCTION("""COMPUTED_VALUE"""),"XN Chuối LP1")</f>
        <v>XN Chuối LP1</v>
      </c>
      <c r="D1731" s="5" t="str">
        <f>IFERROR(__xludf.DUMMYFUNCTION("""COMPUTED_VALUE"""),"MARRATA")</f>
        <v>MARRATA</v>
      </c>
      <c r="E1731" s="5"/>
      <c r="F1731" s="5"/>
      <c r="G1731" s="5" t="str">
        <f>IFERROR(__xludf.DUMMYFUNCTION("""COMPUTED_VALUE"""),"CG411")</f>
        <v>CG411</v>
      </c>
      <c r="H1731" s="5" t="str">
        <f>IFERROR(__xludf.DUMMYFUNCTION("""COMPUTED_VALUE"""),"1.8HP")</f>
        <v>1.8HP</v>
      </c>
      <c r="I1731" s="5"/>
      <c r="J1731" s="5"/>
      <c r="K1731" s="5">
        <f>IFERROR(__xludf.DUMMYFUNCTION("""COMPUTED_VALUE"""),1.0)</f>
        <v>1</v>
      </c>
      <c r="L1731" s="5" t="str">
        <f>IFERROR(__xludf.DUMMYFUNCTION("""COMPUTED_VALUE"""),"KLH")</f>
        <v>KLH</v>
      </c>
    </row>
    <row r="1732">
      <c r="A1732" s="5" t="str">
        <f>IFERROR(__xludf.DUMMYFUNCTION("""COMPUTED_VALUE"""),"XL1-MPC-058")</f>
        <v>XL1-MPC-058</v>
      </c>
      <c r="B1732" s="3" t="str">
        <f>IFERROR(__xludf.DUMMYFUNCTION("""COMPUTED_VALUE"""),"Máy phát cỏ 2 thì")</f>
        <v>Máy phát cỏ 2 thì</v>
      </c>
      <c r="C1732" s="5" t="str">
        <f>IFERROR(__xludf.DUMMYFUNCTION("""COMPUTED_VALUE"""),"XN Chuối LP1")</f>
        <v>XN Chuối LP1</v>
      </c>
      <c r="D1732" s="5" t="str">
        <f>IFERROR(__xludf.DUMMYFUNCTION("""COMPUTED_VALUE"""),"MARRATA")</f>
        <v>MARRATA</v>
      </c>
      <c r="E1732" s="5"/>
      <c r="F1732" s="5"/>
      <c r="G1732" s="5" t="str">
        <f>IFERROR(__xludf.DUMMYFUNCTION("""COMPUTED_VALUE"""),"CG411")</f>
        <v>CG411</v>
      </c>
      <c r="H1732" s="5" t="str">
        <f>IFERROR(__xludf.DUMMYFUNCTION("""COMPUTED_VALUE"""),"1.8HP")</f>
        <v>1.8HP</v>
      </c>
      <c r="I1732" s="5"/>
      <c r="J1732" s="5"/>
      <c r="K1732" s="5">
        <f>IFERROR(__xludf.DUMMYFUNCTION("""COMPUTED_VALUE"""),1.0)</f>
        <v>1</v>
      </c>
      <c r="L1732" s="5" t="str">
        <f>IFERROR(__xludf.DUMMYFUNCTION("""COMPUTED_VALUE"""),"KLH")</f>
        <v>KLH</v>
      </c>
    </row>
    <row r="1733">
      <c r="A1733" s="5" t="str">
        <f>IFERROR(__xludf.DUMMYFUNCTION("""COMPUTED_VALUE"""),"XL1-MPC-059")</f>
        <v>XL1-MPC-059</v>
      </c>
      <c r="B1733" s="3" t="str">
        <f>IFERROR(__xludf.DUMMYFUNCTION("""COMPUTED_VALUE"""),"Máy phát cỏ 2 thì")</f>
        <v>Máy phát cỏ 2 thì</v>
      </c>
      <c r="C1733" s="5" t="str">
        <f>IFERROR(__xludf.DUMMYFUNCTION("""COMPUTED_VALUE"""),"XN Chuối LP1")</f>
        <v>XN Chuối LP1</v>
      </c>
      <c r="D1733" s="5" t="str">
        <f>IFERROR(__xludf.DUMMYFUNCTION("""COMPUTED_VALUE"""),"MARRATA")</f>
        <v>MARRATA</v>
      </c>
      <c r="E1733" s="5"/>
      <c r="F1733" s="5"/>
      <c r="G1733" s="5" t="str">
        <f>IFERROR(__xludf.DUMMYFUNCTION("""COMPUTED_VALUE"""),"CG411")</f>
        <v>CG411</v>
      </c>
      <c r="H1733" s="5" t="str">
        <f>IFERROR(__xludf.DUMMYFUNCTION("""COMPUTED_VALUE"""),"1.8HP")</f>
        <v>1.8HP</v>
      </c>
      <c r="I1733" s="5"/>
      <c r="J1733" s="5"/>
      <c r="K1733" s="5">
        <f>IFERROR(__xludf.DUMMYFUNCTION("""COMPUTED_VALUE"""),1.0)</f>
        <v>1</v>
      </c>
      <c r="L1733" s="5" t="str">
        <f>IFERROR(__xludf.DUMMYFUNCTION("""COMPUTED_VALUE"""),"KLH")</f>
        <v>KLH</v>
      </c>
    </row>
    <row r="1734">
      <c r="A1734" s="5" t="str">
        <f>IFERROR(__xludf.DUMMYFUNCTION("""COMPUTED_VALUE"""),"XL1-MPC-060")</f>
        <v>XL1-MPC-060</v>
      </c>
      <c r="B1734" s="3" t="str">
        <f>IFERROR(__xludf.DUMMYFUNCTION("""COMPUTED_VALUE"""),"Máy phát cỏ 2 thì")</f>
        <v>Máy phát cỏ 2 thì</v>
      </c>
      <c r="C1734" s="5" t="str">
        <f>IFERROR(__xludf.DUMMYFUNCTION("""COMPUTED_VALUE"""),"XN Chuối LP1")</f>
        <v>XN Chuối LP1</v>
      </c>
      <c r="D1734" s="5" t="str">
        <f>IFERROR(__xludf.DUMMYFUNCTION("""COMPUTED_VALUE"""),"MARRATA")</f>
        <v>MARRATA</v>
      </c>
      <c r="E1734" s="5"/>
      <c r="F1734" s="5"/>
      <c r="G1734" s="5" t="str">
        <f>IFERROR(__xludf.DUMMYFUNCTION("""COMPUTED_VALUE"""),"CG411")</f>
        <v>CG411</v>
      </c>
      <c r="H1734" s="5" t="str">
        <f>IFERROR(__xludf.DUMMYFUNCTION("""COMPUTED_VALUE"""),"1.8HP")</f>
        <v>1.8HP</v>
      </c>
      <c r="I1734" s="5"/>
      <c r="J1734" s="5"/>
      <c r="K1734" s="5">
        <f>IFERROR(__xludf.DUMMYFUNCTION("""COMPUTED_VALUE"""),1.0)</f>
        <v>1</v>
      </c>
      <c r="L1734" s="5" t="str">
        <f>IFERROR(__xludf.DUMMYFUNCTION("""COMPUTED_VALUE"""),"KLH")</f>
        <v>KLH</v>
      </c>
    </row>
    <row r="1735">
      <c r="A1735" s="5" t="str">
        <f>IFERROR(__xludf.DUMMYFUNCTION("""COMPUTED_VALUE"""),"XL1-MPC-061")</f>
        <v>XL1-MPC-061</v>
      </c>
      <c r="B1735" s="3" t="str">
        <f>IFERROR(__xludf.DUMMYFUNCTION("""COMPUTED_VALUE"""),"Máy phát cỏ 2 thì")</f>
        <v>Máy phát cỏ 2 thì</v>
      </c>
      <c r="C1735" s="5" t="str">
        <f>IFERROR(__xludf.DUMMYFUNCTION("""COMPUTED_VALUE"""),"XN Chuối LP1")</f>
        <v>XN Chuối LP1</v>
      </c>
      <c r="D1735" s="5" t="str">
        <f>IFERROR(__xludf.DUMMYFUNCTION("""COMPUTED_VALUE"""),"MARRATA")</f>
        <v>MARRATA</v>
      </c>
      <c r="E1735" s="5"/>
      <c r="F1735" s="5"/>
      <c r="G1735" s="5" t="str">
        <f>IFERROR(__xludf.DUMMYFUNCTION("""COMPUTED_VALUE"""),"CG411")</f>
        <v>CG411</v>
      </c>
      <c r="H1735" s="5" t="str">
        <f>IFERROR(__xludf.DUMMYFUNCTION("""COMPUTED_VALUE"""),"1.8HP")</f>
        <v>1.8HP</v>
      </c>
      <c r="I1735" s="5"/>
      <c r="J1735" s="5"/>
      <c r="K1735" s="5">
        <f>IFERROR(__xludf.DUMMYFUNCTION("""COMPUTED_VALUE"""),1.0)</f>
        <v>1</v>
      </c>
      <c r="L1735" s="5" t="str">
        <f>IFERROR(__xludf.DUMMYFUNCTION("""COMPUTED_VALUE"""),"KLH")</f>
        <v>KLH</v>
      </c>
    </row>
    <row r="1736">
      <c r="A1736" s="5" t="str">
        <f>IFERROR(__xludf.DUMMYFUNCTION("""COMPUTED_VALUE"""),"XL1-MPC-062")</f>
        <v>XL1-MPC-062</v>
      </c>
      <c r="B1736" s="3" t="str">
        <f>IFERROR(__xludf.DUMMYFUNCTION("""COMPUTED_VALUE"""),"Máy phát cỏ 2 thì")</f>
        <v>Máy phát cỏ 2 thì</v>
      </c>
      <c r="C1736" s="5" t="str">
        <f>IFERROR(__xludf.DUMMYFUNCTION("""COMPUTED_VALUE"""),"XN Chuối LP1")</f>
        <v>XN Chuối LP1</v>
      </c>
      <c r="D1736" s="5" t="str">
        <f>IFERROR(__xludf.DUMMYFUNCTION("""COMPUTED_VALUE"""),"MARRATA")</f>
        <v>MARRATA</v>
      </c>
      <c r="E1736" s="5"/>
      <c r="F1736" s="5"/>
      <c r="G1736" s="5" t="str">
        <f>IFERROR(__xludf.DUMMYFUNCTION("""COMPUTED_VALUE"""),"CG411")</f>
        <v>CG411</v>
      </c>
      <c r="H1736" s="5" t="str">
        <f>IFERROR(__xludf.DUMMYFUNCTION("""COMPUTED_VALUE"""),"1.8HP")</f>
        <v>1.8HP</v>
      </c>
      <c r="I1736" s="5"/>
      <c r="J1736" s="5"/>
      <c r="K1736" s="5">
        <f>IFERROR(__xludf.DUMMYFUNCTION("""COMPUTED_VALUE"""),1.0)</f>
        <v>1</v>
      </c>
      <c r="L1736" s="5" t="str">
        <f>IFERROR(__xludf.DUMMYFUNCTION("""COMPUTED_VALUE"""),"KLH")</f>
        <v>KLH</v>
      </c>
    </row>
    <row r="1737">
      <c r="A1737" s="5" t="str">
        <f>IFERROR(__xludf.DUMMYFUNCTION("""COMPUTED_VALUE"""),"XL1-MPC-063")</f>
        <v>XL1-MPC-063</v>
      </c>
      <c r="B1737" s="3" t="str">
        <f>IFERROR(__xludf.DUMMYFUNCTION("""COMPUTED_VALUE"""),"Máy phát cỏ 2 thì")</f>
        <v>Máy phát cỏ 2 thì</v>
      </c>
      <c r="C1737" s="5" t="str">
        <f>IFERROR(__xludf.DUMMYFUNCTION("""COMPUTED_VALUE"""),"XN Chuối LP1")</f>
        <v>XN Chuối LP1</v>
      </c>
      <c r="D1737" s="5" t="str">
        <f>IFERROR(__xludf.DUMMYFUNCTION("""COMPUTED_VALUE"""),"MARRATA")</f>
        <v>MARRATA</v>
      </c>
      <c r="E1737" s="5"/>
      <c r="F1737" s="5"/>
      <c r="G1737" s="5" t="str">
        <f>IFERROR(__xludf.DUMMYFUNCTION("""COMPUTED_VALUE"""),"CG411")</f>
        <v>CG411</v>
      </c>
      <c r="H1737" s="5" t="str">
        <f>IFERROR(__xludf.DUMMYFUNCTION("""COMPUTED_VALUE"""),"1.8HP")</f>
        <v>1.8HP</v>
      </c>
      <c r="I1737" s="5"/>
      <c r="J1737" s="5"/>
      <c r="K1737" s="5">
        <f>IFERROR(__xludf.DUMMYFUNCTION("""COMPUTED_VALUE"""),1.0)</f>
        <v>1</v>
      </c>
      <c r="L1737" s="5" t="str">
        <f>IFERROR(__xludf.DUMMYFUNCTION("""COMPUTED_VALUE"""),"KLH")</f>
        <v>KLH</v>
      </c>
    </row>
    <row r="1738">
      <c r="A1738" s="5" t="str">
        <f>IFERROR(__xludf.DUMMYFUNCTION("""COMPUTED_VALUE"""),"XL1-MPC-064")</f>
        <v>XL1-MPC-064</v>
      </c>
      <c r="B1738" s="3" t="str">
        <f>IFERROR(__xludf.DUMMYFUNCTION("""COMPUTED_VALUE"""),"Máy phát cỏ 2 thì")</f>
        <v>Máy phát cỏ 2 thì</v>
      </c>
      <c r="C1738" s="5" t="str">
        <f>IFERROR(__xludf.DUMMYFUNCTION("""COMPUTED_VALUE"""),"XN Chuối LP1")</f>
        <v>XN Chuối LP1</v>
      </c>
      <c r="D1738" s="5" t="str">
        <f>IFERROR(__xludf.DUMMYFUNCTION("""COMPUTED_VALUE"""),"MARRATA")</f>
        <v>MARRATA</v>
      </c>
      <c r="E1738" s="5"/>
      <c r="F1738" s="5"/>
      <c r="G1738" s="5" t="str">
        <f>IFERROR(__xludf.DUMMYFUNCTION("""COMPUTED_VALUE"""),"CG411")</f>
        <v>CG411</v>
      </c>
      <c r="H1738" s="5" t="str">
        <f>IFERROR(__xludf.DUMMYFUNCTION("""COMPUTED_VALUE"""),"1.8HP")</f>
        <v>1.8HP</v>
      </c>
      <c r="I1738" s="5"/>
      <c r="J1738" s="5"/>
      <c r="K1738" s="5">
        <f>IFERROR(__xludf.DUMMYFUNCTION("""COMPUTED_VALUE"""),1.0)</f>
        <v>1</v>
      </c>
      <c r="L1738" s="5" t="str">
        <f>IFERROR(__xludf.DUMMYFUNCTION("""COMPUTED_VALUE"""),"KLH")</f>
        <v>KLH</v>
      </c>
    </row>
    <row r="1739">
      <c r="A1739" s="5" t="str">
        <f>IFERROR(__xludf.DUMMYFUNCTION("""COMPUTED_VALUE"""),"XL1-MPC-065")</f>
        <v>XL1-MPC-065</v>
      </c>
      <c r="B1739" s="3" t="str">
        <f>IFERROR(__xludf.DUMMYFUNCTION("""COMPUTED_VALUE"""),"Máy phát cỏ 2 thì")</f>
        <v>Máy phát cỏ 2 thì</v>
      </c>
      <c r="C1739" s="5" t="str">
        <f>IFERROR(__xludf.DUMMYFUNCTION("""COMPUTED_VALUE"""),"XN Chuối LP1")</f>
        <v>XN Chuối LP1</v>
      </c>
      <c r="D1739" s="5" t="str">
        <f>IFERROR(__xludf.DUMMYFUNCTION("""COMPUTED_VALUE"""),"MARRATA")</f>
        <v>MARRATA</v>
      </c>
      <c r="E1739" s="5"/>
      <c r="F1739" s="5"/>
      <c r="G1739" s="5" t="str">
        <f>IFERROR(__xludf.DUMMYFUNCTION("""COMPUTED_VALUE"""),"CG411")</f>
        <v>CG411</v>
      </c>
      <c r="H1739" s="5" t="str">
        <f>IFERROR(__xludf.DUMMYFUNCTION("""COMPUTED_VALUE"""),"1.8HP")</f>
        <v>1.8HP</v>
      </c>
      <c r="I1739" s="5"/>
      <c r="J1739" s="5"/>
      <c r="K1739" s="5">
        <f>IFERROR(__xludf.DUMMYFUNCTION("""COMPUTED_VALUE"""),1.0)</f>
        <v>1</v>
      </c>
      <c r="L1739" s="5" t="str">
        <f>IFERROR(__xludf.DUMMYFUNCTION("""COMPUTED_VALUE"""),"KLH")</f>
        <v>KLH</v>
      </c>
    </row>
    <row r="1740">
      <c r="A1740" s="5" t="str">
        <f>IFERROR(__xludf.DUMMYFUNCTION("""COMPUTED_VALUE"""),"XL1-MPC-066")</f>
        <v>XL1-MPC-066</v>
      </c>
      <c r="B1740" s="3" t="str">
        <f>IFERROR(__xludf.DUMMYFUNCTION("""COMPUTED_VALUE"""),"Máy phát cỏ 2 thì")</f>
        <v>Máy phát cỏ 2 thì</v>
      </c>
      <c r="C1740" s="5" t="str">
        <f>IFERROR(__xludf.DUMMYFUNCTION("""COMPUTED_VALUE"""),"XN Chuối LP1")</f>
        <v>XN Chuối LP1</v>
      </c>
      <c r="D1740" s="5" t="str">
        <f>IFERROR(__xludf.DUMMYFUNCTION("""COMPUTED_VALUE"""),"MARRATA")</f>
        <v>MARRATA</v>
      </c>
      <c r="E1740" s="5"/>
      <c r="F1740" s="5"/>
      <c r="G1740" s="5" t="str">
        <f>IFERROR(__xludf.DUMMYFUNCTION("""COMPUTED_VALUE"""),"CG411")</f>
        <v>CG411</v>
      </c>
      <c r="H1740" s="5" t="str">
        <f>IFERROR(__xludf.DUMMYFUNCTION("""COMPUTED_VALUE"""),"1.8HP")</f>
        <v>1.8HP</v>
      </c>
      <c r="I1740" s="5"/>
      <c r="J1740" s="5"/>
      <c r="K1740" s="5">
        <f>IFERROR(__xludf.DUMMYFUNCTION("""COMPUTED_VALUE"""),1.0)</f>
        <v>1</v>
      </c>
      <c r="L1740" s="5" t="str">
        <f>IFERROR(__xludf.DUMMYFUNCTION("""COMPUTED_VALUE"""),"KLH")</f>
        <v>KLH</v>
      </c>
    </row>
    <row r="1741">
      <c r="A1741" s="5" t="str">
        <f>IFERROR(__xludf.DUMMYFUNCTION("""COMPUTED_VALUE"""),"XL1-MPC-067")</f>
        <v>XL1-MPC-067</v>
      </c>
      <c r="B1741" s="3" t="str">
        <f>IFERROR(__xludf.DUMMYFUNCTION("""COMPUTED_VALUE"""),"Máy phát cỏ 2 thì")</f>
        <v>Máy phát cỏ 2 thì</v>
      </c>
      <c r="C1741" s="5" t="str">
        <f>IFERROR(__xludf.DUMMYFUNCTION("""COMPUTED_VALUE"""),"XN Chuối LP1")</f>
        <v>XN Chuối LP1</v>
      </c>
      <c r="D1741" s="5" t="str">
        <f>IFERROR(__xludf.DUMMYFUNCTION("""COMPUTED_VALUE"""),"MARRATA")</f>
        <v>MARRATA</v>
      </c>
      <c r="E1741" s="5"/>
      <c r="F1741" s="5"/>
      <c r="G1741" s="5" t="str">
        <f>IFERROR(__xludf.DUMMYFUNCTION("""COMPUTED_VALUE"""),"CG411")</f>
        <v>CG411</v>
      </c>
      <c r="H1741" s="5" t="str">
        <f>IFERROR(__xludf.DUMMYFUNCTION("""COMPUTED_VALUE"""),"1.8HP")</f>
        <v>1.8HP</v>
      </c>
      <c r="I1741" s="5"/>
      <c r="J1741" s="5"/>
      <c r="K1741" s="5">
        <f>IFERROR(__xludf.DUMMYFUNCTION("""COMPUTED_VALUE"""),1.0)</f>
        <v>1</v>
      </c>
      <c r="L1741" s="5" t="str">
        <f>IFERROR(__xludf.DUMMYFUNCTION("""COMPUTED_VALUE"""),"KLH")</f>
        <v>KLH</v>
      </c>
    </row>
    <row r="1742">
      <c r="A1742" s="5" t="str">
        <f>IFERROR(__xludf.DUMMYFUNCTION("""COMPUTED_VALUE"""),"XL1-MPC-068")</f>
        <v>XL1-MPC-068</v>
      </c>
      <c r="B1742" s="3" t="str">
        <f>IFERROR(__xludf.DUMMYFUNCTION("""COMPUTED_VALUE"""),"Máy phát cỏ 2 thì")</f>
        <v>Máy phát cỏ 2 thì</v>
      </c>
      <c r="C1742" s="5" t="str">
        <f>IFERROR(__xludf.DUMMYFUNCTION("""COMPUTED_VALUE"""),"XN Chuối LP1")</f>
        <v>XN Chuối LP1</v>
      </c>
      <c r="D1742" s="5" t="str">
        <f>IFERROR(__xludf.DUMMYFUNCTION("""COMPUTED_VALUE"""),"MARRATA")</f>
        <v>MARRATA</v>
      </c>
      <c r="E1742" s="5"/>
      <c r="F1742" s="5"/>
      <c r="G1742" s="5" t="str">
        <f>IFERROR(__xludf.DUMMYFUNCTION("""COMPUTED_VALUE"""),"CG411")</f>
        <v>CG411</v>
      </c>
      <c r="H1742" s="5" t="str">
        <f>IFERROR(__xludf.DUMMYFUNCTION("""COMPUTED_VALUE"""),"1.8HP")</f>
        <v>1.8HP</v>
      </c>
      <c r="I1742" s="5"/>
      <c r="J1742" s="5"/>
      <c r="K1742" s="5">
        <f>IFERROR(__xludf.DUMMYFUNCTION("""COMPUTED_VALUE"""),1.0)</f>
        <v>1</v>
      </c>
      <c r="L1742" s="5" t="str">
        <f>IFERROR(__xludf.DUMMYFUNCTION("""COMPUTED_VALUE"""),"KLH")</f>
        <v>KLH</v>
      </c>
    </row>
    <row r="1743">
      <c r="A1743" s="5" t="str">
        <f>IFERROR(__xludf.DUMMYFUNCTION("""COMPUTED_VALUE"""),"XL1-MPC-069")</f>
        <v>XL1-MPC-069</v>
      </c>
      <c r="B1743" s="3" t="str">
        <f>IFERROR(__xludf.DUMMYFUNCTION("""COMPUTED_VALUE"""),"Máy phát cỏ 2 thì")</f>
        <v>Máy phát cỏ 2 thì</v>
      </c>
      <c r="C1743" s="5" t="str">
        <f>IFERROR(__xludf.DUMMYFUNCTION("""COMPUTED_VALUE"""),"XN Chuối LP1")</f>
        <v>XN Chuối LP1</v>
      </c>
      <c r="D1743" s="5" t="str">
        <f>IFERROR(__xludf.DUMMYFUNCTION("""COMPUTED_VALUE"""),"MARRATA")</f>
        <v>MARRATA</v>
      </c>
      <c r="E1743" s="5"/>
      <c r="F1743" s="5"/>
      <c r="G1743" s="5" t="str">
        <f>IFERROR(__xludf.DUMMYFUNCTION("""COMPUTED_VALUE"""),"CG411")</f>
        <v>CG411</v>
      </c>
      <c r="H1743" s="5" t="str">
        <f>IFERROR(__xludf.DUMMYFUNCTION("""COMPUTED_VALUE"""),"1.8HP")</f>
        <v>1.8HP</v>
      </c>
      <c r="I1743" s="5"/>
      <c r="J1743" s="5"/>
      <c r="K1743" s="5"/>
      <c r="L1743" s="5" t="str">
        <f>IFERROR(__xludf.DUMMYFUNCTION("""COMPUTED_VALUE"""),"KLH")</f>
        <v>KLH</v>
      </c>
    </row>
    <row r="1744">
      <c r="A1744" s="5" t="str">
        <f>IFERROR(__xludf.DUMMYFUNCTION("""COMPUTED_VALUE"""),"XL1-MPC-070")</f>
        <v>XL1-MPC-070</v>
      </c>
      <c r="B1744" s="3" t="str">
        <f>IFERROR(__xludf.DUMMYFUNCTION("""COMPUTED_VALUE"""),"Máy phát cỏ 2 thì")</f>
        <v>Máy phát cỏ 2 thì</v>
      </c>
      <c r="C1744" s="5" t="str">
        <f>IFERROR(__xludf.DUMMYFUNCTION("""COMPUTED_VALUE"""),"XN Chuối LP1")</f>
        <v>XN Chuối LP1</v>
      </c>
      <c r="D1744" s="5" t="str">
        <f>IFERROR(__xludf.DUMMYFUNCTION("""COMPUTED_VALUE"""),"MARRATA")</f>
        <v>MARRATA</v>
      </c>
      <c r="E1744" s="5"/>
      <c r="F1744" s="5"/>
      <c r="G1744" s="5" t="str">
        <f>IFERROR(__xludf.DUMMYFUNCTION("""COMPUTED_VALUE"""),"CG411")</f>
        <v>CG411</v>
      </c>
      <c r="H1744" s="5" t="str">
        <f>IFERROR(__xludf.DUMMYFUNCTION("""COMPUTED_VALUE"""),"1.8HP")</f>
        <v>1.8HP</v>
      </c>
      <c r="I1744" s="5"/>
      <c r="J1744" s="5"/>
      <c r="K1744" s="5"/>
      <c r="L1744" s="5" t="str">
        <f>IFERROR(__xludf.DUMMYFUNCTION("""COMPUTED_VALUE"""),"KLH")</f>
        <v>KLH</v>
      </c>
    </row>
    <row r="1745">
      <c r="A1745" s="5" t="str">
        <f>IFERROR(__xludf.DUMMYFUNCTION("""COMPUTED_VALUE"""),"XL1-MPC-071")</f>
        <v>XL1-MPC-071</v>
      </c>
      <c r="B1745" s="3" t="str">
        <f>IFERROR(__xludf.DUMMYFUNCTION("""COMPUTED_VALUE"""),"Máy phát cỏ 2 thì")</f>
        <v>Máy phát cỏ 2 thì</v>
      </c>
      <c r="C1745" s="5" t="str">
        <f>IFERROR(__xludf.DUMMYFUNCTION("""COMPUTED_VALUE"""),"XN Chuối LP1")</f>
        <v>XN Chuối LP1</v>
      </c>
      <c r="D1745" s="5" t="str">
        <f>IFERROR(__xludf.DUMMYFUNCTION("""COMPUTED_VALUE"""),"MARRATA")</f>
        <v>MARRATA</v>
      </c>
      <c r="E1745" s="5"/>
      <c r="F1745" s="5"/>
      <c r="G1745" s="5" t="str">
        <f>IFERROR(__xludf.DUMMYFUNCTION("""COMPUTED_VALUE"""),"CG411")</f>
        <v>CG411</v>
      </c>
      <c r="H1745" s="5" t="str">
        <f>IFERROR(__xludf.DUMMYFUNCTION("""COMPUTED_VALUE"""),"1.8HP")</f>
        <v>1.8HP</v>
      </c>
      <c r="I1745" s="5"/>
      <c r="J1745" s="5"/>
      <c r="K1745" s="5"/>
      <c r="L1745" s="5" t="str">
        <f>IFERROR(__xludf.DUMMYFUNCTION("""COMPUTED_VALUE"""),"KLH")</f>
        <v>KLH</v>
      </c>
    </row>
    <row r="1746">
      <c r="A1746" s="5" t="str">
        <f>IFERROR(__xludf.DUMMYFUNCTION("""COMPUTED_VALUE"""),"XL1-MPC-072")</f>
        <v>XL1-MPC-072</v>
      </c>
      <c r="B1746" s="3" t="str">
        <f>IFERROR(__xludf.DUMMYFUNCTION("""COMPUTED_VALUE"""),"Máy phát cỏ 2 thì")</f>
        <v>Máy phát cỏ 2 thì</v>
      </c>
      <c r="C1746" s="5" t="str">
        <f>IFERROR(__xludf.DUMMYFUNCTION("""COMPUTED_VALUE"""),"XN Chuối LP1")</f>
        <v>XN Chuối LP1</v>
      </c>
      <c r="D1746" s="5" t="str">
        <f>IFERROR(__xludf.DUMMYFUNCTION("""COMPUTED_VALUE"""),"MARRATA")</f>
        <v>MARRATA</v>
      </c>
      <c r="E1746" s="5"/>
      <c r="F1746" s="5"/>
      <c r="G1746" s="5" t="str">
        <f>IFERROR(__xludf.DUMMYFUNCTION("""COMPUTED_VALUE"""),"CG411")</f>
        <v>CG411</v>
      </c>
      <c r="H1746" s="5" t="str">
        <f>IFERROR(__xludf.DUMMYFUNCTION("""COMPUTED_VALUE"""),"1.8HP")</f>
        <v>1.8HP</v>
      </c>
      <c r="I1746" s="5"/>
      <c r="J1746" s="5"/>
      <c r="K1746" s="5"/>
      <c r="L1746" s="5" t="str">
        <f>IFERROR(__xludf.DUMMYFUNCTION("""COMPUTED_VALUE"""),"KLH")</f>
        <v>KLH</v>
      </c>
    </row>
    <row r="1747">
      <c r="A1747" s="5" t="str">
        <f>IFERROR(__xludf.DUMMYFUNCTION("""COMPUTED_VALUE"""),"XL1-MPC-073")</f>
        <v>XL1-MPC-073</v>
      </c>
      <c r="B1747" s="3" t="str">
        <f>IFERROR(__xludf.DUMMYFUNCTION("""COMPUTED_VALUE"""),"Máy phát cỏ 2 thì")</f>
        <v>Máy phát cỏ 2 thì</v>
      </c>
      <c r="C1747" s="5" t="str">
        <f>IFERROR(__xludf.DUMMYFUNCTION("""COMPUTED_VALUE"""),"XN Chuối LP1")</f>
        <v>XN Chuối LP1</v>
      </c>
      <c r="D1747" s="5" t="str">
        <f>IFERROR(__xludf.DUMMYFUNCTION("""COMPUTED_VALUE"""),"MARRATA")</f>
        <v>MARRATA</v>
      </c>
      <c r="E1747" s="5"/>
      <c r="F1747" s="5"/>
      <c r="G1747" s="5" t="str">
        <f>IFERROR(__xludf.DUMMYFUNCTION("""COMPUTED_VALUE"""),"CG411")</f>
        <v>CG411</v>
      </c>
      <c r="H1747" s="5" t="str">
        <f>IFERROR(__xludf.DUMMYFUNCTION("""COMPUTED_VALUE"""),"1.8HP")</f>
        <v>1.8HP</v>
      </c>
      <c r="I1747" s="5"/>
      <c r="J1747" s="5"/>
      <c r="K1747" s="5"/>
      <c r="L1747" s="5" t="str">
        <f>IFERROR(__xludf.DUMMYFUNCTION("""COMPUTED_VALUE"""),"KLH")</f>
        <v>KLH</v>
      </c>
    </row>
    <row r="1748">
      <c r="A1748" s="5" t="str">
        <f>IFERROR(__xludf.DUMMYFUNCTION("""COMPUTED_VALUE"""),"XL1-MPC-074")</f>
        <v>XL1-MPC-074</v>
      </c>
      <c r="B1748" s="3" t="str">
        <f>IFERROR(__xludf.DUMMYFUNCTION("""COMPUTED_VALUE"""),"Máy phát cỏ 2 thì")</f>
        <v>Máy phát cỏ 2 thì</v>
      </c>
      <c r="C1748" s="5" t="str">
        <f>IFERROR(__xludf.DUMMYFUNCTION("""COMPUTED_VALUE"""),"XN Chuối LP1")</f>
        <v>XN Chuối LP1</v>
      </c>
      <c r="D1748" s="5" t="str">
        <f>IFERROR(__xludf.DUMMYFUNCTION("""COMPUTED_VALUE"""),"MARRATA")</f>
        <v>MARRATA</v>
      </c>
      <c r="E1748" s="5"/>
      <c r="F1748" s="5"/>
      <c r="G1748" s="5" t="str">
        <f>IFERROR(__xludf.DUMMYFUNCTION("""COMPUTED_VALUE"""),"CG411")</f>
        <v>CG411</v>
      </c>
      <c r="H1748" s="5" t="str">
        <f>IFERROR(__xludf.DUMMYFUNCTION("""COMPUTED_VALUE"""),"1.8HP")</f>
        <v>1.8HP</v>
      </c>
      <c r="I1748" s="5"/>
      <c r="J1748" s="5"/>
      <c r="K1748" s="5"/>
      <c r="L1748" s="5" t="str">
        <f>IFERROR(__xludf.DUMMYFUNCTION("""COMPUTED_VALUE"""),"KLH")</f>
        <v>KLH</v>
      </c>
    </row>
    <row r="1749">
      <c r="A1749" s="5" t="str">
        <f>IFERROR(__xludf.DUMMYFUNCTION("""COMPUTED_VALUE"""),"XL1-MPC-075")</f>
        <v>XL1-MPC-075</v>
      </c>
      <c r="B1749" s="3" t="str">
        <f>IFERROR(__xludf.DUMMYFUNCTION("""COMPUTED_VALUE"""),"Máy phát cỏ 2 thì")</f>
        <v>Máy phát cỏ 2 thì</v>
      </c>
      <c r="C1749" s="5" t="str">
        <f>IFERROR(__xludf.DUMMYFUNCTION("""COMPUTED_VALUE"""),"XN Chuối LP1")</f>
        <v>XN Chuối LP1</v>
      </c>
      <c r="D1749" s="5" t="str">
        <f>IFERROR(__xludf.DUMMYFUNCTION("""COMPUTED_VALUE"""),"MARRATA")</f>
        <v>MARRATA</v>
      </c>
      <c r="E1749" s="5"/>
      <c r="F1749" s="5"/>
      <c r="G1749" s="5" t="str">
        <f>IFERROR(__xludf.DUMMYFUNCTION("""COMPUTED_VALUE"""),"CG411")</f>
        <v>CG411</v>
      </c>
      <c r="H1749" s="5" t="str">
        <f>IFERROR(__xludf.DUMMYFUNCTION("""COMPUTED_VALUE"""),"1.8HP")</f>
        <v>1.8HP</v>
      </c>
      <c r="I1749" s="5"/>
      <c r="J1749" s="5"/>
      <c r="K1749" s="5"/>
      <c r="L1749" s="5" t="str">
        <f>IFERROR(__xludf.DUMMYFUNCTION("""COMPUTED_VALUE"""),"KLH")</f>
        <v>KLH</v>
      </c>
    </row>
    <row r="1750">
      <c r="A1750" s="5" t="str">
        <f>IFERROR(__xludf.DUMMYFUNCTION("""COMPUTED_VALUE"""),"XL1-MPC-076")</f>
        <v>XL1-MPC-076</v>
      </c>
      <c r="B1750" s="3" t="str">
        <f>IFERROR(__xludf.DUMMYFUNCTION("""COMPUTED_VALUE"""),"Máy phát cỏ 2 thì")</f>
        <v>Máy phát cỏ 2 thì</v>
      </c>
      <c r="C1750" s="5" t="str">
        <f>IFERROR(__xludf.DUMMYFUNCTION("""COMPUTED_VALUE"""),"XN Chuối LP1")</f>
        <v>XN Chuối LP1</v>
      </c>
      <c r="D1750" s="5" t="str">
        <f>IFERROR(__xludf.DUMMYFUNCTION("""COMPUTED_VALUE"""),"MARRATA")</f>
        <v>MARRATA</v>
      </c>
      <c r="E1750" s="5"/>
      <c r="F1750" s="5"/>
      <c r="G1750" s="5" t="str">
        <f>IFERROR(__xludf.DUMMYFUNCTION("""COMPUTED_VALUE"""),"CG411")</f>
        <v>CG411</v>
      </c>
      <c r="H1750" s="5" t="str">
        <f>IFERROR(__xludf.DUMMYFUNCTION("""COMPUTED_VALUE"""),"1.8HP")</f>
        <v>1.8HP</v>
      </c>
      <c r="I1750" s="5"/>
      <c r="J1750" s="5"/>
      <c r="K1750" s="5"/>
      <c r="L1750" s="5" t="str">
        <f>IFERROR(__xludf.DUMMYFUNCTION("""COMPUTED_VALUE"""),"KLH")</f>
        <v>KLH</v>
      </c>
    </row>
    <row r="1751">
      <c r="A1751" s="5" t="str">
        <f>IFERROR(__xludf.DUMMYFUNCTION("""COMPUTED_VALUE"""),"XL1-MPC-077")</f>
        <v>XL1-MPC-077</v>
      </c>
      <c r="B1751" s="3" t="str">
        <f>IFERROR(__xludf.DUMMYFUNCTION("""COMPUTED_VALUE"""),"Máy phát cỏ 2 thì")</f>
        <v>Máy phát cỏ 2 thì</v>
      </c>
      <c r="C1751" s="5" t="str">
        <f>IFERROR(__xludf.DUMMYFUNCTION("""COMPUTED_VALUE"""),"XN Chuối LP1")</f>
        <v>XN Chuối LP1</v>
      </c>
      <c r="D1751" s="5" t="str">
        <f>IFERROR(__xludf.DUMMYFUNCTION("""COMPUTED_VALUE"""),"MARRATA")</f>
        <v>MARRATA</v>
      </c>
      <c r="E1751" s="5"/>
      <c r="F1751" s="5"/>
      <c r="G1751" s="5" t="str">
        <f>IFERROR(__xludf.DUMMYFUNCTION("""COMPUTED_VALUE"""),"CG411")</f>
        <v>CG411</v>
      </c>
      <c r="H1751" s="5" t="str">
        <f>IFERROR(__xludf.DUMMYFUNCTION("""COMPUTED_VALUE"""),"1.8HP")</f>
        <v>1.8HP</v>
      </c>
      <c r="I1751" s="5"/>
      <c r="J1751" s="5"/>
      <c r="K1751" s="5"/>
      <c r="L1751" s="5" t="str">
        <f>IFERROR(__xludf.DUMMYFUNCTION("""COMPUTED_VALUE"""),"KLH")</f>
        <v>KLH</v>
      </c>
    </row>
    <row r="1752">
      <c r="A1752" s="5" t="str">
        <f>IFERROR(__xludf.DUMMYFUNCTION("""COMPUTED_VALUE"""),"XL1-MPC-078")</f>
        <v>XL1-MPC-078</v>
      </c>
      <c r="B1752" s="3" t="str">
        <f>IFERROR(__xludf.DUMMYFUNCTION("""COMPUTED_VALUE"""),"Máy phát cỏ 2 thì")</f>
        <v>Máy phát cỏ 2 thì</v>
      </c>
      <c r="C1752" s="5" t="str">
        <f>IFERROR(__xludf.DUMMYFUNCTION("""COMPUTED_VALUE"""),"XN Chuối LP1")</f>
        <v>XN Chuối LP1</v>
      </c>
      <c r="D1752" s="5" t="str">
        <f>IFERROR(__xludf.DUMMYFUNCTION("""COMPUTED_VALUE"""),"MARRATA")</f>
        <v>MARRATA</v>
      </c>
      <c r="E1752" s="5"/>
      <c r="F1752" s="5"/>
      <c r="G1752" s="5" t="str">
        <f>IFERROR(__xludf.DUMMYFUNCTION("""COMPUTED_VALUE"""),"CG411")</f>
        <v>CG411</v>
      </c>
      <c r="H1752" s="5" t="str">
        <f>IFERROR(__xludf.DUMMYFUNCTION("""COMPUTED_VALUE"""),"1.8HP")</f>
        <v>1.8HP</v>
      </c>
      <c r="I1752" s="5"/>
      <c r="J1752" s="5"/>
      <c r="K1752" s="5"/>
      <c r="L1752" s="5" t="str">
        <f>IFERROR(__xludf.DUMMYFUNCTION("""COMPUTED_VALUE"""),"KLH")</f>
        <v>KLH</v>
      </c>
    </row>
    <row r="1753">
      <c r="A1753" s="5" t="str">
        <f>IFERROR(__xludf.DUMMYFUNCTION("""COMPUTED_VALUE"""),"XL1-MPC-079")</f>
        <v>XL1-MPC-079</v>
      </c>
      <c r="B1753" s="3" t="str">
        <f>IFERROR(__xludf.DUMMYFUNCTION("""COMPUTED_VALUE"""),"Máy phát cỏ 2 thì")</f>
        <v>Máy phát cỏ 2 thì</v>
      </c>
      <c r="C1753" s="5" t="str">
        <f>IFERROR(__xludf.DUMMYFUNCTION("""COMPUTED_VALUE"""),"XN Chuối LP1")</f>
        <v>XN Chuối LP1</v>
      </c>
      <c r="D1753" s="5" t="str">
        <f>IFERROR(__xludf.DUMMYFUNCTION("""COMPUTED_VALUE"""),"MARRATA")</f>
        <v>MARRATA</v>
      </c>
      <c r="E1753" s="5"/>
      <c r="F1753" s="5"/>
      <c r="G1753" s="5" t="str">
        <f>IFERROR(__xludf.DUMMYFUNCTION("""COMPUTED_VALUE"""),"CG411")</f>
        <v>CG411</v>
      </c>
      <c r="H1753" s="5" t="str">
        <f>IFERROR(__xludf.DUMMYFUNCTION("""COMPUTED_VALUE"""),"1.8HP")</f>
        <v>1.8HP</v>
      </c>
      <c r="I1753" s="5"/>
      <c r="J1753" s="5"/>
      <c r="K1753" s="5"/>
      <c r="L1753" s="5" t="str">
        <f>IFERROR(__xludf.DUMMYFUNCTION("""COMPUTED_VALUE"""),"KLH")</f>
        <v>KLH</v>
      </c>
    </row>
    <row r="1754">
      <c r="A1754" s="5" t="str">
        <f>IFERROR(__xludf.DUMMYFUNCTION("""COMPUTED_VALUE"""),"XL1-MPC-080")</f>
        <v>XL1-MPC-080</v>
      </c>
      <c r="B1754" s="3" t="str">
        <f>IFERROR(__xludf.DUMMYFUNCTION("""COMPUTED_VALUE"""),"Máy phát cỏ 2 thì")</f>
        <v>Máy phát cỏ 2 thì</v>
      </c>
      <c r="C1754" s="5" t="str">
        <f>IFERROR(__xludf.DUMMYFUNCTION("""COMPUTED_VALUE"""),"XN Chuối LP1")</f>
        <v>XN Chuối LP1</v>
      </c>
      <c r="D1754" s="5" t="str">
        <f>IFERROR(__xludf.DUMMYFUNCTION("""COMPUTED_VALUE"""),"MARRATA")</f>
        <v>MARRATA</v>
      </c>
      <c r="E1754" s="5"/>
      <c r="F1754" s="5"/>
      <c r="G1754" s="5" t="str">
        <f>IFERROR(__xludf.DUMMYFUNCTION("""COMPUTED_VALUE"""),"CG411")</f>
        <v>CG411</v>
      </c>
      <c r="H1754" s="5" t="str">
        <f>IFERROR(__xludf.DUMMYFUNCTION("""COMPUTED_VALUE"""),"1.8HP")</f>
        <v>1.8HP</v>
      </c>
      <c r="I1754" s="5"/>
      <c r="J1754" s="5"/>
      <c r="K1754" s="5"/>
      <c r="L1754" s="5" t="str">
        <f>IFERROR(__xludf.DUMMYFUNCTION("""COMPUTED_VALUE"""),"KLH")</f>
        <v>KLH</v>
      </c>
    </row>
    <row r="1755">
      <c r="A1755" s="5" t="str">
        <f>IFERROR(__xludf.DUMMYFUNCTION("""COMPUTED_VALUE"""),"XL1-MPC-081")</f>
        <v>XL1-MPC-081</v>
      </c>
      <c r="B1755" s="3" t="str">
        <f>IFERROR(__xludf.DUMMYFUNCTION("""COMPUTED_VALUE"""),"Máy phát cỏ 2 thì")</f>
        <v>Máy phát cỏ 2 thì</v>
      </c>
      <c r="C1755" s="5" t="str">
        <f>IFERROR(__xludf.DUMMYFUNCTION("""COMPUTED_VALUE"""),"XN Chuối LP1")</f>
        <v>XN Chuối LP1</v>
      </c>
      <c r="D1755" s="5" t="str">
        <f>IFERROR(__xludf.DUMMYFUNCTION("""COMPUTED_VALUE"""),"MARRATA")</f>
        <v>MARRATA</v>
      </c>
      <c r="E1755" s="5"/>
      <c r="F1755" s="5"/>
      <c r="G1755" s="5" t="str">
        <f>IFERROR(__xludf.DUMMYFUNCTION("""COMPUTED_VALUE"""),"CG411")</f>
        <v>CG411</v>
      </c>
      <c r="H1755" s="5" t="str">
        <f>IFERROR(__xludf.DUMMYFUNCTION("""COMPUTED_VALUE"""),"1.8HP")</f>
        <v>1.8HP</v>
      </c>
      <c r="I1755" s="5"/>
      <c r="J1755" s="5"/>
      <c r="K1755" s="5"/>
      <c r="L1755" s="5" t="str">
        <f>IFERROR(__xludf.DUMMYFUNCTION("""COMPUTED_VALUE"""),"KLH")</f>
        <v>KLH</v>
      </c>
    </row>
    <row r="1756">
      <c r="A1756" s="5" t="str">
        <f>IFERROR(__xludf.DUMMYFUNCTION("""COMPUTED_VALUE"""),"XL1-MPC-082")</f>
        <v>XL1-MPC-082</v>
      </c>
      <c r="B1756" s="3" t="str">
        <f>IFERROR(__xludf.DUMMYFUNCTION("""COMPUTED_VALUE"""),"Máy phát cỏ 2 thì")</f>
        <v>Máy phát cỏ 2 thì</v>
      </c>
      <c r="C1756" s="5" t="str">
        <f>IFERROR(__xludf.DUMMYFUNCTION("""COMPUTED_VALUE"""),"XN Chuối LP1")</f>
        <v>XN Chuối LP1</v>
      </c>
      <c r="D1756" s="5" t="str">
        <f>IFERROR(__xludf.DUMMYFUNCTION("""COMPUTED_VALUE"""),"MARRATA")</f>
        <v>MARRATA</v>
      </c>
      <c r="E1756" s="5"/>
      <c r="F1756" s="5"/>
      <c r="G1756" s="5" t="str">
        <f>IFERROR(__xludf.DUMMYFUNCTION("""COMPUTED_VALUE"""),"CG411")</f>
        <v>CG411</v>
      </c>
      <c r="H1756" s="5" t="str">
        <f>IFERROR(__xludf.DUMMYFUNCTION("""COMPUTED_VALUE"""),"1.8HP")</f>
        <v>1.8HP</v>
      </c>
      <c r="I1756" s="5"/>
      <c r="J1756" s="5"/>
      <c r="K1756" s="5"/>
      <c r="L1756" s="5" t="str">
        <f>IFERROR(__xludf.DUMMYFUNCTION("""COMPUTED_VALUE"""),"KLH")</f>
        <v>KLH</v>
      </c>
    </row>
    <row r="1757">
      <c r="A1757" s="5" t="str">
        <f>IFERROR(__xludf.DUMMYFUNCTION("""COMPUTED_VALUE"""),"XL1-MPC-083")</f>
        <v>XL1-MPC-083</v>
      </c>
      <c r="B1757" s="3" t="str">
        <f>IFERROR(__xludf.DUMMYFUNCTION("""COMPUTED_VALUE"""),"Máy phát cỏ 2 thì")</f>
        <v>Máy phát cỏ 2 thì</v>
      </c>
      <c r="C1757" s="5" t="str">
        <f>IFERROR(__xludf.DUMMYFUNCTION("""COMPUTED_VALUE"""),"XN Chuối LP1")</f>
        <v>XN Chuối LP1</v>
      </c>
      <c r="D1757" s="5" t="str">
        <f>IFERROR(__xludf.DUMMYFUNCTION("""COMPUTED_VALUE"""),"MARRATA")</f>
        <v>MARRATA</v>
      </c>
      <c r="E1757" s="5"/>
      <c r="F1757" s="5"/>
      <c r="G1757" s="5" t="str">
        <f>IFERROR(__xludf.DUMMYFUNCTION("""COMPUTED_VALUE"""),"CG411")</f>
        <v>CG411</v>
      </c>
      <c r="H1757" s="5" t="str">
        <f>IFERROR(__xludf.DUMMYFUNCTION("""COMPUTED_VALUE"""),"1.8HP")</f>
        <v>1.8HP</v>
      </c>
      <c r="I1757" s="5"/>
      <c r="J1757" s="5"/>
      <c r="K1757" s="5"/>
      <c r="L1757" s="5" t="str">
        <f>IFERROR(__xludf.DUMMYFUNCTION("""COMPUTED_VALUE"""),"KLH")</f>
        <v>KLH</v>
      </c>
    </row>
    <row r="1758">
      <c r="A1758" s="5" t="str">
        <f>IFERROR(__xludf.DUMMYFUNCTION("""COMPUTED_VALUE"""),"XL1-MPC-084")</f>
        <v>XL1-MPC-084</v>
      </c>
      <c r="B1758" s="3" t="str">
        <f>IFERROR(__xludf.DUMMYFUNCTION("""COMPUTED_VALUE"""),"Máy phát cỏ 2 thì")</f>
        <v>Máy phát cỏ 2 thì</v>
      </c>
      <c r="C1758" s="5" t="str">
        <f>IFERROR(__xludf.DUMMYFUNCTION("""COMPUTED_VALUE"""),"XN Chuối LP1")</f>
        <v>XN Chuối LP1</v>
      </c>
      <c r="D1758" s="5" t="str">
        <f>IFERROR(__xludf.DUMMYFUNCTION("""COMPUTED_VALUE"""),"MARRATA")</f>
        <v>MARRATA</v>
      </c>
      <c r="E1758" s="5"/>
      <c r="F1758" s="5"/>
      <c r="G1758" s="5" t="str">
        <f>IFERROR(__xludf.DUMMYFUNCTION("""COMPUTED_VALUE"""),"CG411")</f>
        <v>CG411</v>
      </c>
      <c r="H1758" s="5" t="str">
        <f>IFERROR(__xludf.DUMMYFUNCTION("""COMPUTED_VALUE"""),"1.8HP")</f>
        <v>1.8HP</v>
      </c>
      <c r="I1758" s="5"/>
      <c r="J1758" s="5"/>
      <c r="K1758" s="5"/>
      <c r="L1758" s="5" t="str">
        <f>IFERROR(__xludf.DUMMYFUNCTION("""COMPUTED_VALUE"""),"KLH")</f>
        <v>KLH</v>
      </c>
    </row>
    <row r="1759">
      <c r="A1759" s="5" t="str">
        <f>IFERROR(__xludf.DUMMYFUNCTION("""COMPUTED_VALUE"""),"XL1-MPC-085")</f>
        <v>XL1-MPC-085</v>
      </c>
      <c r="B1759" s="3" t="str">
        <f>IFERROR(__xludf.DUMMYFUNCTION("""COMPUTED_VALUE"""),"Máy phát cỏ 2 thì")</f>
        <v>Máy phát cỏ 2 thì</v>
      </c>
      <c r="C1759" s="5" t="str">
        <f>IFERROR(__xludf.DUMMYFUNCTION("""COMPUTED_VALUE"""),"XN Chuối LP1")</f>
        <v>XN Chuối LP1</v>
      </c>
      <c r="D1759" s="5" t="str">
        <f>IFERROR(__xludf.DUMMYFUNCTION("""COMPUTED_VALUE"""),"MARRATA")</f>
        <v>MARRATA</v>
      </c>
      <c r="E1759" s="5"/>
      <c r="F1759" s="5"/>
      <c r="G1759" s="5" t="str">
        <f>IFERROR(__xludf.DUMMYFUNCTION("""COMPUTED_VALUE"""),"CG411")</f>
        <v>CG411</v>
      </c>
      <c r="H1759" s="5" t="str">
        <f>IFERROR(__xludf.DUMMYFUNCTION("""COMPUTED_VALUE"""),"1.8HP")</f>
        <v>1.8HP</v>
      </c>
      <c r="I1759" s="5"/>
      <c r="J1759" s="5"/>
      <c r="K1759" s="5"/>
      <c r="L1759" s="5" t="str">
        <f>IFERROR(__xludf.DUMMYFUNCTION("""COMPUTED_VALUE"""),"KLH")</f>
        <v>KLH</v>
      </c>
    </row>
    <row r="1760">
      <c r="A1760" s="5" t="str">
        <f>IFERROR(__xludf.DUMMYFUNCTION("""COMPUTED_VALUE"""),"XL1-MPC-086")</f>
        <v>XL1-MPC-086</v>
      </c>
      <c r="B1760" s="3" t="str">
        <f>IFERROR(__xludf.DUMMYFUNCTION("""COMPUTED_VALUE"""),"Máy phát cỏ 2 thì")</f>
        <v>Máy phát cỏ 2 thì</v>
      </c>
      <c r="C1760" s="5" t="str">
        <f>IFERROR(__xludf.DUMMYFUNCTION("""COMPUTED_VALUE"""),"XN Chuối LP1")</f>
        <v>XN Chuối LP1</v>
      </c>
      <c r="D1760" s="5" t="str">
        <f>IFERROR(__xludf.DUMMYFUNCTION("""COMPUTED_VALUE"""),"MARRATA")</f>
        <v>MARRATA</v>
      </c>
      <c r="E1760" s="5"/>
      <c r="F1760" s="5"/>
      <c r="G1760" s="5" t="str">
        <f>IFERROR(__xludf.DUMMYFUNCTION("""COMPUTED_VALUE"""),"CG411")</f>
        <v>CG411</v>
      </c>
      <c r="H1760" s="5" t="str">
        <f>IFERROR(__xludf.DUMMYFUNCTION("""COMPUTED_VALUE"""),"1.8HP")</f>
        <v>1.8HP</v>
      </c>
      <c r="I1760" s="5"/>
      <c r="J1760" s="5"/>
      <c r="K1760" s="5"/>
      <c r="L1760" s="5" t="str">
        <f>IFERROR(__xludf.DUMMYFUNCTION("""COMPUTED_VALUE"""),"KLH")</f>
        <v>KLH</v>
      </c>
    </row>
    <row r="1761">
      <c r="A1761" s="5" t="str">
        <f>IFERROR(__xludf.DUMMYFUNCTION("""COMPUTED_VALUE"""),"XL1-MPC-087")</f>
        <v>XL1-MPC-087</v>
      </c>
      <c r="B1761" s="3" t="str">
        <f>IFERROR(__xludf.DUMMYFUNCTION("""COMPUTED_VALUE"""),"Máy phát cỏ 2 thì")</f>
        <v>Máy phát cỏ 2 thì</v>
      </c>
      <c r="C1761" s="5" t="str">
        <f>IFERROR(__xludf.DUMMYFUNCTION("""COMPUTED_VALUE"""),"XN Chuối LP1")</f>
        <v>XN Chuối LP1</v>
      </c>
      <c r="D1761" s="5" t="str">
        <f>IFERROR(__xludf.DUMMYFUNCTION("""COMPUTED_VALUE"""),"MARRATA")</f>
        <v>MARRATA</v>
      </c>
      <c r="E1761" s="5"/>
      <c r="F1761" s="5"/>
      <c r="G1761" s="5" t="str">
        <f>IFERROR(__xludf.DUMMYFUNCTION("""COMPUTED_VALUE"""),"CG411")</f>
        <v>CG411</v>
      </c>
      <c r="H1761" s="5" t="str">
        <f>IFERROR(__xludf.DUMMYFUNCTION("""COMPUTED_VALUE"""),"1.8HP")</f>
        <v>1.8HP</v>
      </c>
      <c r="I1761" s="5"/>
      <c r="J1761" s="5"/>
      <c r="K1761" s="5"/>
      <c r="L1761" s="5" t="str">
        <f>IFERROR(__xludf.DUMMYFUNCTION("""COMPUTED_VALUE"""),"KLH")</f>
        <v>KLH</v>
      </c>
    </row>
    <row r="1762">
      <c r="A1762" s="5" t="str">
        <f>IFERROR(__xludf.DUMMYFUNCTION("""COMPUTED_VALUE"""),"XL1-MPC-088")</f>
        <v>XL1-MPC-088</v>
      </c>
      <c r="B1762" s="3" t="str">
        <f>IFERROR(__xludf.DUMMYFUNCTION("""COMPUTED_VALUE"""),"Máy phát cỏ 2 thì")</f>
        <v>Máy phát cỏ 2 thì</v>
      </c>
      <c r="C1762" s="5" t="str">
        <f>IFERROR(__xludf.DUMMYFUNCTION("""COMPUTED_VALUE"""),"XN Chuối LP1")</f>
        <v>XN Chuối LP1</v>
      </c>
      <c r="D1762" s="5" t="str">
        <f>IFERROR(__xludf.DUMMYFUNCTION("""COMPUTED_VALUE"""),"MARRATA")</f>
        <v>MARRATA</v>
      </c>
      <c r="E1762" s="5"/>
      <c r="F1762" s="5"/>
      <c r="G1762" s="5" t="str">
        <f>IFERROR(__xludf.DUMMYFUNCTION("""COMPUTED_VALUE"""),"CG411")</f>
        <v>CG411</v>
      </c>
      <c r="H1762" s="5" t="str">
        <f>IFERROR(__xludf.DUMMYFUNCTION("""COMPUTED_VALUE"""),"1.8HP")</f>
        <v>1.8HP</v>
      </c>
      <c r="I1762" s="5"/>
      <c r="J1762" s="5"/>
      <c r="K1762" s="5"/>
      <c r="L1762" s="5" t="str">
        <f>IFERROR(__xludf.DUMMYFUNCTION("""COMPUTED_VALUE"""),"KLH")</f>
        <v>KLH</v>
      </c>
    </row>
    <row r="1763">
      <c r="A1763" s="5" t="str">
        <f>IFERROR(__xludf.DUMMYFUNCTION("""COMPUTED_VALUE"""),"XN LP3")</f>
        <v>XN LP3</v>
      </c>
      <c r="B1763" s="3"/>
      <c r="C1763" s="5"/>
      <c r="D1763" s="5"/>
      <c r="E1763" s="5"/>
      <c r="F1763" s="5"/>
      <c r="G1763" s="5"/>
      <c r="H1763" s="5"/>
      <c r="I1763" s="5"/>
      <c r="J1763" s="5"/>
      <c r="K1763" s="5"/>
      <c r="L1763" s="5" t="str">
        <f>IFERROR(__xludf.DUMMYFUNCTION("""COMPUTED_VALUE"""),"KLH")</f>
        <v>KLH</v>
      </c>
    </row>
    <row r="1764">
      <c r="A1764" s="5" t="str">
        <f>IFERROR(__xludf.DUMMYFUNCTION("""COMPUTED_VALUE"""),"XL3-MPC-013")</f>
        <v>XL3-MPC-013</v>
      </c>
      <c r="B1764" s="3" t="str">
        <f>IFERROR(__xludf.DUMMYFUNCTION("""COMPUTED_VALUE"""),"Máy phát cỏ 4 thì")</f>
        <v>Máy phát cỏ 4 thì</v>
      </c>
      <c r="C1764" s="5" t="str">
        <f>IFERROR(__xludf.DUMMYFUNCTION("""COMPUTED_VALUE"""),"XN Chuối LP3")</f>
        <v>XN Chuối LP3</v>
      </c>
      <c r="D1764" s="5" t="str">
        <f>IFERROR(__xludf.DUMMYFUNCTION("""COMPUTED_VALUE"""),"HONDA")</f>
        <v>HONDA</v>
      </c>
      <c r="E1764" s="5" t="str">
        <f>IFERROR(__xludf.DUMMYFUNCTION("""COMPUTED_VALUE"""),"THÁI LAN")</f>
        <v>THÁI LAN</v>
      </c>
      <c r="F1764" s="5"/>
      <c r="G1764" s="5" t="str">
        <f>IFERROR(__xludf.DUMMYFUNCTION("""COMPUTED_VALUE"""),"GX35")</f>
        <v>GX35</v>
      </c>
      <c r="H1764" s="5" t="str">
        <f>IFERROR(__xludf.DUMMYFUNCTION("""COMPUTED_VALUE"""),"1.6HP")</f>
        <v>1.6HP</v>
      </c>
      <c r="I1764" s="5" t="str">
        <f>IFERROR(__xludf.DUMMYFUNCTION("""COMPUTED_VALUE"""),"GCAMT-7676873")</f>
        <v>GCAMT-7676873</v>
      </c>
      <c r="J1764" s="5"/>
      <c r="K1764" s="5">
        <f>IFERROR(__xludf.DUMMYFUNCTION("""COMPUTED_VALUE"""),0.5)</f>
        <v>0.5</v>
      </c>
      <c r="L1764" s="5" t="str">
        <f>IFERROR(__xludf.DUMMYFUNCTION("""COMPUTED_VALUE"""),"KLH")</f>
        <v>KLH</v>
      </c>
    </row>
    <row r="1765">
      <c r="A1765" s="5" t="str">
        <f>IFERROR(__xludf.DUMMYFUNCTION("""COMPUTED_VALUE"""),"XL3-MPC-014")</f>
        <v>XL3-MPC-014</v>
      </c>
      <c r="B1765" s="3" t="str">
        <f>IFERROR(__xludf.DUMMYFUNCTION("""COMPUTED_VALUE"""),"Máy phát cỏ 4 thì")</f>
        <v>Máy phát cỏ 4 thì</v>
      </c>
      <c r="C1765" s="5" t="str">
        <f>IFERROR(__xludf.DUMMYFUNCTION("""COMPUTED_VALUE"""),"XN Chuối LP3")</f>
        <v>XN Chuối LP3</v>
      </c>
      <c r="D1765" s="5" t="str">
        <f>IFERROR(__xludf.DUMMYFUNCTION("""COMPUTED_VALUE"""),"HONDA")</f>
        <v>HONDA</v>
      </c>
      <c r="E1765" s="5" t="str">
        <f>IFERROR(__xludf.DUMMYFUNCTION("""COMPUTED_VALUE"""),"THÁI LAN")</f>
        <v>THÁI LAN</v>
      </c>
      <c r="F1765" s="5"/>
      <c r="G1765" s="5" t="str">
        <f>IFERROR(__xludf.DUMMYFUNCTION("""COMPUTED_VALUE"""),"GX35")</f>
        <v>GX35</v>
      </c>
      <c r="H1765" s="5" t="str">
        <f>IFERROR(__xludf.DUMMYFUNCTION("""COMPUTED_VALUE"""),"1.6HP")</f>
        <v>1.6HP</v>
      </c>
      <c r="I1765" s="5" t="str">
        <f>IFERROR(__xludf.DUMMYFUNCTION("""COMPUTED_VALUE"""),"GCAMT-7674881")</f>
        <v>GCAMT-7674881</v>
      </c>
      <c r="J1765" s="5"/>
      <c r="K1765" s="5">
        <f>IFERROR(__xludf.DUMMYFUNCTION("""COMPUTED_VALUE"""),0.5)</f>
        <v>0.5</v>
      </c>
      <c r="L1765" s="5" t="str">
        <f>IFERROR(__xludf.DUMMYFUNCTION("""COMPUTED_VALUE"""),"KLH")</f>
        <v>KLH</v>
      </c>
    </row>
    <row r="1766">
      <c r="A1766" s="5" t="str">
        <f>IFERROR(__xludf.DUMMYFUNCTION("""COMPUTED_VALUE"""),"XL3-MPC-017")</f>
        <v>XL3-MPC-017</v>
      </c>
      <c r="B1766" s="3" t="str">
        <f>IFERROR(__xludf.DUMMYFUNCTION("""COMPUTED_VALUE"""),"Máy phát cỏ 4 thì")</f>
        <v>Máy phát cỏ 4 thì</v>
      </c>
      <c r="C1766" s="5" t="str">
        <f>IFERROR(__xludf.DUMMYFUNCTION("""COMPUTED_VALUE"""),"XN Chuối LP3")</f>
        <v>XN Chuối LP3</v>
      </c>
      <c r="D1766" s="5" t="str">
        <f>IFERROR(__xludf.DUMMYFUNCTION("""COMPUTED_VALUE"""),"HONDA")</f>
        <v>HONDA</v>
      </c>
      <c r="E1766" s="5" t="str">
        <f>IFERROR(__xludf.DUMMYFUNCTION("""COMPUTED_VALUE"""),"THÁI LAN")</f>
        <v>THÁI LAN</v>
      </c>
      <c r="F1766" s="5"/>
      <c r="G1766" s="5" t="str">
        <f>IFERROR(__xludf.DUMMYFUNCTION("""COMPUTED_VALUE"""),"GX35")</f>
        <v>GX35</v>
      </c>
      <c r="H1766" s="5" t="str">
        <f>IFERROR(__xludf.DUMMYFUNCTION("""COMPUTED_VALUE"""),"1.6HP")</f>
        <v>1.6HP</v>
      </c>
      <c r="I1766" s="5" t="str">
        <f>IFERROR(__xludf.DUMMYFUNCTION("""COMPUTED_VALUE"""),"GCAMT-7656192")</f>
        <v>GCAMT-7656192</v>
      </c>
      <c r="J1766" s="5"/>
      <c r="K1766" s="5">
        <f>IFERROR(__xludf.DUMMYFUNCTION("""COMPUTED_VALUE"""),0.5)</f>
        <v>0.5</v>
      </c>
      <c r="L1766" s="5" t="str">
        <f>IFERROR(__xludf.DUMMYFUNCTION("""COMPUTED_VALUE"""),"KLH")</f>
        <v>KLH</v>
      </c>
    </row>
    <row r="1767">
      <c r="A1767" s="5" t="str">
        <f>IFERROR(__xludf.DUMMYFUNCTION("""COMPUTED_VALUE"""),"XL3-MPC-018")</f>
        <v>XL3-MPC-018</v>
      </c>
      <c r="B1767" s="3" t="str">
        <f>IFERROR(__xludf.DUMMYFUNCTION("""COMPUTED_VALUE"""),"Máy phát cỏ 4 thì")</f>
        <v>Máy phát cỏ 4 thì</v>
      </c>
      <c r="C1767" s="5" t="str">
        <f>IFERROR(__xludf.DUMMYFUNCTION("""COMPUTED_VALUE"""),"XN Chuối LP3")</f>
        <v>XN Chuối LP3</v>
      </c>
      <c r="D1767" s="5" t="str">
        <f>IFERROR(__xludf.DUMMYFUNCTION("""COMPUTED_VALUE"""),"HONDA")</f>
        <v>HONDA</v>
      </c>
      <c r="E1767" s="5" t="str">
        <f>IFERROR(__xludf.DUMMYFUNCTION("""COMPUTED_VALUE"""),"THÁI LAN")</f>
        <v>THÁI LAN</v>
      </c>
      <c r="F1767" s="5"/>
      <c r="G1767" s="5" t="str">
        <f>IFERROR(__xludf.DUMMYFUNCTION("""COMPUTED_VALUE"""),"GX35")</f>
        <v>GX35</v>
      </c>
      <c r="H1767" s="5" t="str">
        <f>IFERROR(__xludf.DUMMYFUNCTION("""COMPUTED_VALUE"""),"1.6HP")</f>
        <v>1.6HP</v>
      </c>
      <c r="I1767" s="5" t="str">
        <f>IFERROR(__xludf.DUMMYFUNCTION("""COMPUTED_VALUE"""),"GCAMT-7656214")</f>
        <v>GCAMT-7656214</v>
      </c>
      <c r="J1767" s="5"/>
      <c r="K1767" s="5">
        <f>IFERROR(__xludf.DUMMYFUNCTION("""COMPUTED_VALUE"""),0.5)</f>
        <v>0.5</v>
      </c>
      <c r="L1767" s="5" t="str">
        <f>IFERROR(__xludf.DUMMYFUNCTION("""COMPUTED_VALUE"""),"KLH")</f>
        <v>KLH</v>
      </c>
    </row>
    <row r="1768">
      <c r="A1768" s="5" t="str">
        <f>IFERROR(__xludf.DUMMYFUNCTION("""COMPUTED_VALUE"""),"XL3-MPC-019")</f>
        <v>XL3-MPC-019</v>
      </c>
      <c r="B1768" s="3" t="str">
        <f>IFERROR(__xludf.DUMMYFUNCTION("""COMPUTED_VALUE"""),"Máy phát cỏ 4 thì")</f>
        <v>Máy phát cỏ 4 thì</v>
      </c>
      <c r="C1768" s="5" t="str">
        <f>IFERROR(__xludf.DUMMYFUNCTION("""COMPUTED_VALUE"""),"XN Chuối LP3")</f>
        <v>XN Chuối LP3</v>
      </c>
      <c r="D1768" s="5" t="str">
        <f>IFERROR(__xludf.DUMMYFUNCTION("""COMPUTED_VALUE"""),"HONDA")</f>
        <v>HONDA</v>
      </c>
      <c r="E1768" s="5" t="str">
        <f>IFERROR(__xludf.DUMMYFUNCTION("""COMPUTED_VALUE"""),"THÁI LAN")</f>
        <v>THÁI LAN</v>
      </c>
      <c r="F1768" s="5"/>
      <c r="G1768" s="5" t="str">
        <f>IFERROR(__xludf.DUMMYFUNCTION("""COMPUTED_VALUE"""),"GX35")</f>
        <v>GX35</v>
      </c>
      <c r="H1768" s="5" t="str">
        <f>IFERROR(__xludf.DUMMYFUNCTION("""COMPUTED_VALUE"""),"1.6HP")</f>
        <v>1.6HP</v>
      </c>
      <c r="I1768" s="5" t="str">
        <f>IFERROR(__xludf.DUMMYFUNCTION("""COMPUTED_VALUE"""),"GCAMT-7656163")</f>
        <v>GCAMT-7656163</v>
      </c>
      <c r="J1768" s="5"/>
      <c r="K1768" s="5">
        <f>IFERROR(__xludf.DUMMYFUNCTION("""COMPUTED_VALUE"""),0.5)</f>
        <v>0.5</v>
      </c>
      <c r="L1768" s="5" t="str">
        <f>IFERROR(__xludf.DUMMYFUNCTION("""COMPUTED_VALUE"""),"KLH")</f>
        <v>KLH</v>
      </c>
    </row>
    <row r="1769">
      <c r="A1769" s="5" t="str">
        <f>IFERROR(__xludf.DUMMYFUNCTION("""COMPUTED_VALUE"""),"XL3-MPC-022")</f>
        <v>XL3-MPC-022</v>
      </c>
      <c r="B1769" s="3" t="str">
        <f>IFERROR(__xludf.DUMMYFUNCTION("""COMPUTED_VALUE"""),"Máy phát cỏ 4 thì")</f>
        <v>Máy phát cỏ 4 thì</v>
      </c>
      <c r="C1769" s="5" t="str">
        <f>IFERROR(__xludf.DUMMYFUNCTION("""COMPUTED_VALUE"""),"XN Chuối LP3")</f>
        <v>XN Chuối LP3</v>
      </c>
      <c r="D1769" s="5" t="str">
        <f>IFERROR(__xludf.DUMMYFUNCTION("""COMPUTED_VALUE"""),"HONDA")</f>
        <v>HONDA</v>
      </c>
      <c r="E1769" s="5" t="str">
        <f>IFERROR(__xludf.DUMMYFUNCTION("""COMPUTED_VALUE"""),"THÁI LAN")</f>
        <v>THÁI LAN</v>
      </c>
      <c r="F1769" s="5"/>
      <c r="G1769" s="5" t="str">
        <f>IFERROR(__xludf.DUMMYFUNCTION("""COMPUTED_VALUE"""),"GX35")</f>
        <v>GX35</v>
      </c>
      <c r="H1769" s="5" t="str">
        <f>IFERROR(__xludf.DUMMYFUNCTION("""COMPUTED_VALUE"""),"1.6HP")</f>
        <v>1.6HP</v>
      </c>
      <c r="I1769" s="5" t="str">
        <f>IFERROR(__xludf.DUMMYFUNCTION("""COMPUTED_VALUE"""),"GCAMT-7659035")</f>
        <v>GCAMT-7659035</v>
      </c>
      <c r="J1769" s="5"/>
      <c r="K1769" s="5">
        <f>IFERROR(__xludf.DUMMYFUNCTION("""COMPUTED_VALUE"""),0.5)</f>
        <v>0.5</v>
      </c>
      <c r="L1769" s="5" t="str">
        <f>IFERROR(__xludf.DUMMYFUNCTION("""COMPUTED_VALUE"""),"KLH")</f>
        <v>KLH</v>
      </c>
    </row>
    <row r="1770">
      <c r="A1770" s="5" t="str">
        <f>IFERROR(__xludf.DUMMYFUNCTION("""COMPUTED_VALUE"""),"XL3-MPC-023")</f>
        <v>XL3-MPC-023</v>
      </c>
      <c r="B1770" s="3" t="str">
        <f>IFERROR(__xludf.DUMMYFUNCTION("""COMPUTED_VALUE"""),"Máy phát cỏ 4 thì")</f>
        <v>Máy phát cỏ 4 thì</v>
      </c>
      <c r="C1770" s="5" t="str">
        <f>IFERROR(__xludf.DUMMYFUNCTION("""COMPUTED_VALUE"""),"XN Chuối LP3")</f>
        <v>XN Chuối LP3</v>
      </c>
      <c r="D1770" s="5" t="str">
        <f>IFERROR(__xludf.DUMMYFUNCTION("""COMPUTED_VALUE"""),"HONDA")</f>
        <v>HONDA</v>
      </c>
      <c r="E1770" s="5" t="str">
        <f>IFERROR(__xludf.DUMMYFUNCTION("""COMPUTED_VALUE"""),"THÁI LAN")</f>
        <v>THÁI LAN</v>
      </c>
      <c r="F1770" s="5"/>
      <c r="G1770" s="5" t="str">
        <f>IFERROR(__xludf.DUMMYFUNCTION("""COMPUTED_VALUE"""),"GX35")</f>
        <v>GX35</v>
      </c>
      <c r="H1770" s="5" t="str">
        <f>IFERROR(__xludf.DUMMYFUNCTION("""COMPUTED_VALUE"""),"1.6HP")</f>
        <v>1.6HP</v>
      </c>
      <c r="I1770" s="5" t="str">
        <f>IFERROR(__xludf.DUMMYFUNCTION("""COMPUTED_VALUE"""),"GCAMT-7674893")</f>
        <v>GCAMT-7674893</v>
      </c>
      <c r="J1770" s="5"/>
      <c r="K1770" s="5">
        <f>IFERROR(__xludf.DUMMYFUNCTION("""COMPUTED_VALUE"""),0.5)</f>
        <v>0.5</v>
      </c>
      <c r="L1770" s="5" t="str">
        <f>IFERROR(__xludf.DUMMYFUNCTION("""COMPUTED_VALUE"""),"KLH")</f>
        <v>KLH</v>
      </c>
    </row>
    <row r="1771">
      <c r="A1771" s="5" t="str">
        <f>IFERROR(__xludf.DUMMYFUNCTION("""COMPUTED_VALUE"""),"XL3-MPC-024")</f>
        <v>XL3-MPC-024</v>
      </c>
      <c r="B1771" s="3" t="str">
        <f>IFERROR(__xludf.DUMMYFUNCTION("""COMPUTED_VALUE"""),"Máy phát cỏ 4 thì")</f>
        <v>Máy phát cỏ 4 thì</v>
      </c>
      <c r="C1771" s="5" t="str">
        <f>IFERROR(__xludf.DUMMYFUNCTION("""COMPUTED_VALUE"""),"XN Chuối LP3")</f>
        <v>XN Chuối LP3</v>
      </c>
      <c r="D1771" s="5" t="str">
        <f>IFERROR(__xludf.DUMMYFUNCTION("""COMPUTED_VALUE"""),"HONDA")</f>
        <v>HONDA</v>
      </c>
      <c r="E1771" s="5" t="str">
        <f>IFERROR(__xludf.DUMMYFUNCTION("""COMPUTED_VALUE"""),"THÁI LAN")</f>
        <v>THÁI LAN</v>
      </c>
      <c r="F1771" s="5"/>
      <c r="G1771" s="5" t="str">
        <f>IFERROR(__xludf.DUMMYFUNCTION("""COMPUTED_VALUE"""),"GX35")</f>
        <v>GX35</v>
      </c>
      <c r="H1771" s="5" t="str">
        <f>IFERROR(__xludf.DUMMYFUNCTION("""COMPUTED_VALUE"""),"1.6HP")</f>
        <v>1.6HP</v>
      </c>
      <c r="I1771" s="5" t="str">
        <f>IFERROR(__xludf.DUMMYFUNCTION("""COMPUTED_VALUE"""),"GCAMT-7624376")</f>
        <v>GCAMT-7624376</v>
      </c>
      <c r="J1771" s="5"/>
      <c r="K1771" s="5">
        <f>IFERROR(__xludf.DUMMYFUNCTION("""COMPUTED_VALUE"""),0.5)</f>
        <v>0.5</v>
      </c>
      <c r="L1771" s="5" t="str">
        <f>IFERROR(__xludf.DUMMYFUNCTION("""COMPUTED_VALUE"""),"KLH")</f>
        <v>KLH</v>
      </c>
    </row>
    <row r="1772">
      <c r="A1772" s="5" t="str">
        <f>IFERROR(__xludf.DUMMYFUNCTION("""COMPUTED_VALUE"""),"XL3-MPC-025")</f>
        <v>XL3-MPC-025</v>
      </c>
      <c r="B1772" s="3" t="str">
        <f>IFERROR(__xludf.DUMMYFUNCTION("""COMPUTED_VALUE"""),"Máy phát cỏ 4 thì")</f>
        <v>Máy phát cỏ 4 thì</v>
      </c>
      <c r="C1772" s="5" t="str">
        <f>IFERROR(__xludf.DUMMYFUNCTION("""COMPUTED_VALUE"""),"XN Chuối LP3")</f>
        <v>XN Chuối LP3</v>
      </c>
      <c r="D1772" s="5" t="str">
        <f>IFERROR(__xludf.DUMMYFUNCTION("""COMPUTED_VALUE"""),"HONDA")</f>
        <v>HONDA</v>
      </c>
      <c r="E1772" s="5" t="str">
        <f>IFERROR(__xludf.DUMMYFUNCTION("""COMPUTED_VALUE"""),"THÁI LAN")</f>
        <v>THÁI LAN</v>
      </c>
      <c r="F1772" s="5"/>
      <c r="G1772" s="5" t="str">
        <f>IFERROR(__xludf.DUMMYFUNCTION("""COMPUTED_VALUE"""),"GX35")</f>
        <v>GX35</v>
      </c>
      <c r="H1772" s="5" t="str">
        <f>IFERROR(__xludf.DUMMYFUNCTION("""COMPUTED_VALUE"""),"1.6HP")</f>
        <v>1.6HP</v>
      </c>
      <c r="I1772" s="5" t="str">
        <f>IFERROR(__xludf.DUMMYFUNCTION("""COMPUTED_VALUE"""),"GCAMT-7624445")</f>
        <v>GCAMT-7624445</v>
      </c>
      <c r="J1772" s="5"/>
      <c r="K1772" s="5">
        <f>IFERROR(__xludf.DUMMYFUNCTION("""COMPUTED_VALUE"""),0.5)</f>
        <v>0.5</v>
      </c>
      <c r="L1772" s="5" t="str">
        <f>IFERROR(__xludf.DUMMYFUNCTION("""COMPUTED_VALUE"""),"KLH")</f>
        <v>KLH</v>
      </c>
    </row>
    <row r="1773">
      <c r="A1773" s="5" t="str">
        <f>IFERROR(__xludf.DUMMYFUNCTION("""COMPUTED_VALUE"""),"XL3-MPC-026")</f>
        <v>XL3-MPC-026</v>
      </c>
      <c r="B1773" s="3" t="str">
        <f>IFERROR(__xludf.DUMMYFUNCTION("""COMPUTED_VALUE"""),"Máy phát cỏ 4 thì")</f>
        <v>Máy phát cỏ 4 thì</v>
      </c>
      <c r="C1773" s="5" t="str">
        <f>IFERROR(__xludf.DUMMYFUNCTION("""COMPUTED_VALUE"""),"XN Chuối LP3")</f>
        <v>XN Chuối LP3</v>
      </c>
      <c r="D1773" s="5" t="str">
        <f>IFERROR(__xludf.DUMMYFUNCTION("""COMPUTED_VALUE"""),"HONDA")</f>
        <v>HONDA</v>
      </c>
      <c r="E1773" s="5" t="str">
        <f>IFERROR(__xludf.DUMMYFUNCTION("""COMPUTED_VALUE"""),"THÁI LAN")</f>
        <v>THÁI LAN</v>
      </c>
      <c r="F1773" s="5"/>
      <c r="G1773" s="5" t="str">
        <f>IFERROR(__xludf.DUMMYFUNCTION("""COMPUTED_VALUE"""),"GX35")</f>
        <v>GX35</v>
      </c>
      <c r="H1773" s="5" t="str">
        <f>IFERROR(__xludf.DUMMYFUNCTION("""COMPUTED_VALUE"""),"1.6HP")</f>
        <v>1.6HP</v>
      </c>
      <c r="I1773" s="5" t="str">
        <f>IFERROR(__xludf.DUMMYFUNCTION("""COMPUTED_VALUE"""),"GCAMT-7646574")</f>
        <v>GCAMT-7646574</v>
      </c>
      <c r="J1773" s="5"/>
      <c r="K1773" s="5">
        <f>IFERROR(__xludf.DUMMYFUNCTION("""COMPUTED_VALUE"""),0.5)</f>
        <v>0.5</v>
      </c>
      <c r="L1773" s="5" t="str">
        <f>IFERROR(__xludf.DUMMYFUNCTION("""COMPUTED_VALUE"""),"KLH")</f>
        <v>KLH</v>
      </c>
    </row>
    <row r="1774">
      <c r="A1774" s="5" t="str">
        <f>IFERROR(__xludf.DUMMYFUNCTION("""COMPUTED_VALUE"""),"XL3-MPC-029")</f>
        <v>XL3-MPC-029</v>
      </c>
      <c r="B1774" s="3" t="str">
        <f>IFERROR(__xludf.DUMMYFUNCTION("""COMPUTED_VALUE"""),"Máy phát cỏ 4 thì")</f>
        <v>Máy phát cỏ 4 thì</v>
      </c>
      <c r="C1774" s="5" t="str">
        <f>IFERROR(__xludf.DUMMYFUNCTION("""COMPUTED_VALUE"""),"XN Chuối LP3")</f>
        <v>XN Chuối LP3</v>
      </c>
      <c r="D1774" s="5" t="str">
        <f>IFERROR(__xludf.DUMMYFUNCTION("""COMPUTED_VALUE"""),"HONDA")</f>
        <v>HONDA</v>
      </c>
      <c r="E1774" s="5" t="str">
        <f>IFERROR(__xludf.DUMMYFUNCTION("""COMPUTED_VALUE"""),"THÁI LAN")</f>
        <v>THÁI LAN</v>
      </c>
      <c r="F1774" s="5"/>
      <c r="G1774" s="5" t="str">
        <f>IFERROR(__xludf.DUMMYFUNCTION("""COMPUTED_VALUE"""),"GX35")</f>
        <v>GX35</v>
      </c>
      <c r="H1774" s="5" t="str">
        <f>IFERROR(__xludf.DUMMYFUNCTION("""COMPUTED_VALUE"""),"1.6HP")</f>
        <v>1.6HP</v>
      </c>
      <c r="I1774" s="5" t="str">
        <f>IFERROR(__xludf.DUMMYFUNCTION("""COMPUTED_VALUE"""),"GCAMT-7674892")</f>
        <v>GCAMT-7674892</v>
      </c>
      <c r="J1774" s="5"/>
      <c r="K1774" s="5">
        <f>IFERROR(__xludf.DUMMYFUNCTION("""COMPUTED_VALUE"""),0.5)</f>
        <v>0.5</v>
      </c>
      <c r="L1774" s="5" t="str">
        <f>IFERROR(__xludf.DUMMYFUNCTION("""COMPUTED_VALUE"""),"KLH")</f>
        <v>KLH</v>
      </c>
    </row>
    <row r="1775">
      <c r="A1775" s="5" t="str">
        <f>IFERROR(__xludf.DUMMYFUNCTION("""COMPUTED_VALUE"""),"XL3-MPC-030")</f>
        <v>XL3-MPC-030</v>
      </c>
      <c r="B1775" s="3" t="str">
        <f>IFERROR(__xludf.DUMMYFUNCTION("""COMPUTED_VALUE"""),"Máy phát cỏ 4 thì")</f>
        <v>Máy phát cỏ 4 thì</v>
      </c>
      <c r="C1775" s="5" t="str">
        <f>IFERROR(__xludf.DUMMYFUNCTION("""COMPUTED_VALUE"""),"XN Chuối LP3")</f>
        <v>XN Chuối LP3</v>
      </c>
      <c r="D1775" s="5" t="str">
        <f>IFERROR(__xludf.DUMMYFUNCTION("""COMPUTED_VALUE"""),"HONDA")</f>
        <v>HONDA</v>
      </c>
      <c r="E1775" s="5" t="str">
        <f>IFERROR(__xludf.DUMMYFUNCTION("""COMPUTED_VALUE"""),"THÁI LAN")</f>
        <v>THÁI LAN</v>
      </c>
      <c r="F1775" s="5"/>
      <c r="G1775" s="5" t="str">
        <f>IFERROR(__xludf.DUMMYFUNCTION("""COMPUTED_VALUE"""),"GX35")</f>
        <v>GX35</v>
      </c>
      <c r="H1775" s="5" t="str">
        <f>IFERROR(__xludf.DUMMYFUNCTION("""COMPUTED_VALUE"""),"1.6HP")</f>
        <v>1.6HP</v>
      </c>
      <c r="I1775" s="5" t="str">
        <f>IFERROR(__xludf.DUMMYFUNCTION("""COMPUTED_VALUE"""),"GCAMT-7659063")</f>
        <v>GCAMT-7659063</v>
      </c>
      <c r="J1775" s="5"/>
      <c r="K1775" s="5">
        <f>IFERROR(__xludf.DUMMYFUNCTION("""COMPUTED_VALUE"""),0.5)</f>
        <v>0.5</v>
      </c>
      <c r="L1775" s="5" t="str">
        <f>IFERROR(__xludf.DUMMYFUNCTION("""COMPUTED_VALUE"""),"KLH")</f>
        <v>KLH</v>
      </c>
    </row>
    <row r="1776">
      <c r="A1776" s="5" t="str">
        <f>IFERROR(__xludf.DUMMYFUNCTION("""COMPUTED_VALUE"""),"XL3-MPC-032")</f>
        <v>XL3-MPC-032</v>
      </c>
      <c r="B1776" s="3" t="str">
        <f>IFERROR(__xludf.DUMMYFUNCTION("""COMPUTED_VALUE"""),"Máy phát cỏ 4 thì")</f>
        <v>Máy phát cỏ 4 thì</v>
      </c>
      <c r="C1776" s="5" t="str">
        <f>IFERROR(__xludf.DUMMYFUNCTION("""COMPUTED_VALUE"""),"XN Chuối LP3")</f>
        <v>XN Chuối LP3</v>
      </c>
      <c r="D1776" s="5" t="str">
        <f>IFERROR(__xludf.DUMMYFUNCTION("""COMPUTED_VALUE"""),"HONDA")</f>
        <v>HONDA</v>
      </c>
      <c r="E1776" s="5" t="str">
        <f>IFERROR(__xludf.DUMMYFUNCTION("""COMPUTED_VALUE"""),"THÁI LAN")</f>
        <v>THÁI LAN</v>
      </c>
      <c r="F1776" s="5"/>
      <c r="G1776" s="5" t="str">
        <f>IFERROR(__xludf.DUMMYFUNCTION("""COMPUTED_VALUE"""),"GX35")</f>
        <v>GX35</v>
      </c>
      <c r="H1776" s="5" t="str">
        <f>IFERROR(__xludf.DUMMYFUNCTION("""COMPUTED_VALUE"""),"1.6HP")</f>
        <v>1.6HP</v>
      </c>
      <c r="I1776" s="5" t="str">
        <f>IFERROR(__xludf.DUMMYFUNCTION("""COMPUTED_VALUE"""),"GCAMT-7674876")</f>
        <v>GCAMT-7674876</v>
      </c>
      <c r="J1776" s="5"/>
      <c r="K1776" s="5">
        <f>IFERROR(__xludf.DUMMYFUNCTION("""COMPUTED_VALUE"""),0.5)</f>
        <v>0.5</v>
      </c>
      <c r="L1776" s="5" t="str">
        <f>IFERROR(__xludf.DUMMYFUNCTION("""COMPUTED_VALUE"""),"KLH")</f>
        <v>KLH</v>
      </c>
    </row>
    <row r="1777">
      <c r="A1777" s="5" t="str">
        <f>IFERROR(__xludf.DUMMYFUNCTION("""COMPUTED_VALUE"""),"XL3-MPC-033")</f>
        <v>XL3-MPC-033</v>
      </c>
      <c r="B1777" s="3" t="str">
        <f>IFERROR(__xludf.DUMMYFUNCTION("""COMPUTED_VALUE"""),"Máy phát cỏ 4 thì")</f>
        <v>Máy phát cỏ 4 thì</v>
      </c>
      <c r="C1777" s="5" t="str">
        <f>IFERROR(__xludf.DUMMYFUNCTION("""COMPUTED_VALUE"""),"XN Chuối LP3")</f>
        <v>XN Chuối LP3</v>
      </c>
      <c r="D1777" s="5" t="str">
        <f>IFERROR(__xludf.DUMMYFUNCTION("""COMPUTED_VALUE"""),"HONDA")</f>
        <v>HONDA</v>
      </c>
      <c r="E1777" s="5" t="str">
        <f>IFERROR(__xludf.DUMMYFUNCTION("""COMPUTED_VALUE"""),"THÁI LAN")</f>
        <v>THÁI LAN</v>
      </c>
      <c r="F1777" s="5"/>
      <c r="G1777" s="5" t="str">
        <f>IFERROR(__xludf.DUMMYFUNCTION("""COMPUTED_VALUE"""),"GX35")</f>
        <v>GX35</v>
      </c>
      <c r="H1777" s="5" t="str">
        <f>IFERROR(__xludf.DUMMYFUNCTION("""COMPUTED_VALUE"""),"1.6HP")</f>
        <v>1.6HP</v>
      </c>
      <c r="I1777" s="5" t="str">
        <f>IFERROR(__xludf.DUMMYFUNCTION("""COMPUTED_VALUE"""),"GCAMT-7656212")</f>
        <v>GCAMT-7656212</v>
      </c>
      <c r="J1777" s="5"/>
      <c r="K1777" s="5">
        <f>IFERROR(__xludf.DUMMYFUNCTION("""COMPUTED_VALUE"""),0.5)</f>
        <v>0.5</v>
      </c>
      <c r="L1777" s="5" t="str">
        <f>IFERROR(__xludf.DUMMYFUNCTION("""COMPUTED_VALUE"""),"KLH")</f>
        <v>KLH</v>
      </c>
    </row>
    <row r="1778">
      <c r="A1778" s="5" t="str">
        <f>IFERROR(__xludf.DUMMYFUNCTION("""COMPUTED_VALUE"""),"XL3-MPC-034")</f>
        <v>XL3-MPC-034</v>
      </c>
      <c r="B1778" s="3" t="str">
        <f>IFERROR(__xludf.DUMMYFUNCTION("""COMPUTED_VALUE"""),"Máy phát cỏ 4 thì")</f>
        <v>Máy phát cỏ 4 thì</v>
      </c>
      <c r="C1778" s="5" t="str">
        <f>IFERROR(__xludf.DUMMYFUNCTION("""COMPUTED_VALUE"""),"XN Chuối LP3")</f>
        <v>XN Chuối LP3</v>
      </c>
      <c r="D1778" s="5" t="str">
        <f>IFERROR(__xludf.DUMMYFUNCTION("""COMPUTED_VALUE"""),"HONDA")</f>
        <v>HONDA</v>
      </c>
      <c r="E1778" s="5" t="str">
        <f>IFERROR(__xludf.DUMMYFUNCTION("""COMPUTED_VALUE"""),"THÁI LAN")</f>
        <v>THÁI LAN</v>
      </c>
      <c r="F1778" s="5"/>
      <c r="G1778" s="5" t="str">
        <f>IFERROR(__xludf.DUMMYFUNCTION("""COMPUTED_VALUE"""),"GX35")</f>
        <v>GX35</v>
      </c>
      <c r="H1778" s="5" t="str">
        <f>IFERROR(__xludf.DUMMYFUNCTION("""COMPUTED_VALUE"""),"1.6HP")</f>
        <v>1.6HP</v>
      </c>
      <c r="I1778" s="5" t="str">
        <f>IFERROR(__xludf.DUMMYFUNCTION("""COMPUTED_VALUE"""),"GCAMT-7717575")</f>
        <v>GCAMT-7717575</v>
      </c>
      <c r="J1778" s="5"/>
      <c r="K1778" s="5">
        <f>IFERROR(__xludf.DUMMYFUNCTION("""COMPUTED_VALUE"""),0.5)</f>
        <v>0.5</v>
      </c>
      <c r="L1778" s="5" t="str">
        <f>IFERROR(__xludf.DUMMYFUNCTION("""COMPUTED_VALUE"""),"KLH")</f>
        <v>KLH</v>
      </c>
    </row>
    <row r="1779">
      <c r="A1779" s="5" t="str">
        <f>IFERROR(__xludf.DUMMYFUNCTION("""COMPUTED_VALUE"""),"XL3-MPC-036")</f>
        <v>XL3-MPC-036</v>
      </c>
      <c r="B1779" s="3" t="str">
        <f>IFERROR(__xludf.DUMMYFUNCTION("""COMPUTED_VALUE"""),"Máy phát cỏ 4 thì")</f>
        <v>Máy phát cỏ 4 thì</v>
      </c>
      <c r="C1779" s="5" t="str">
        <f>IFERROR(__xludf.DUMMYFUNCTION("""COMPUTED_VALUE"""),"XN Chuối LP3")</f>
        <v>XN Chuối LP3</v>
      </c>
      <c r="D1779" s="5" t="str">
        <f>IFERROR(__xludf.DUMMYFUNCTION("""COMPUTED_VALUE"""),"HONDA")</f>
        <v>HONDA</v>
      </c>
      <c r="E1779" s="5" t="str">
        <f>IFERROR(__xludf.DUMMYFUNCTION("""COMPUTED_VALUE"""),"THÁI LAN")</f>
        <v>THÁI LAN</v>
      </c>
      <c r="F1779" s="5"/>
      <c r="G1779" s="5" t="str">
        <f>IFERROR(__xludf.DUMMYFUNCTION("""COMPUTED_VALUE"""),"GX35")</f>
        <v>GX35</v>
      </c>
      <c r="H1779" s="5" t="str">
        <f>IFERROR(__xludf.DUMMYFUNCTION("""COMPUTED_VALUE"""),"1.6HP")</f>
        <v>1.6HP</v>
      </c>
      <c r="I1779" s="5" t="str">
        <f>IFERROR(__xludf.DUMMYFUNCTION("""COMPUTED_VALUE"""),"GCAMT-7716999")</f>
        <v>GCAMT-7716999</v>
      </c>
      <c r="J1779" s="5"/>
      <c r="K1779" s="5">
        <f>IFERROR(__xludf.DUMMYFUNCTION("""COMPUTED_VALUE"""),0.5)</f>
        <v>0.5</v>
      </c>
      <c r="L1779" s="5" t="str">
        <f>IFERROR(__xludf.DUMMYFUNCTION("""COMPUTED_VALUE"""),"KLH")</f>
        <v>KLH</v>
      </c>
    </row>
    <row r="1780">
      <c r="A1780" s="5" t="str">
        <f>IFERROR(__xludf.DUMMYFUNCTION("""COMPUTED_VALUE"""),"XL3-MPC-041")</f>
        <v>XL3-MPC-041</v>
      </c>
      <c r="B1780" s="3" t="str">
        <f>IFERROR(__xludf.DUMMYFUNCTION("""COMPUTED_VALUE"""),"Máy phát cỏ 2 thì")</f>
        <v>Máy phát cỏ 2 thì</v>
      </c>
      <c r="C1780" s="5" t="str">
        <f>IFERROR(__xludf.DUMMYFUNCTION("""COMPUTED_VALUE"""),"XN Chuối LP3")</f>
        <v>XN Chuối LP3</v>
      </c>
      <c r="D1780" s="5" t="str">
        <f>IFERROR(__xludf.DUMMYFUNCTION("""COMPUTED_VALUE"""),"WASAKI")</f>
        <v>WASAKI</v>
      </c>
      <c r="E1780" s="5" t="str">
        <f>IFERROR(__xludf.DUMMYFUNCTION("""COMPUTED_VALUE"""),"Nhật Bản")</f>
        <v>Nhật Bản</v>
      </c>
      <c r="F1780" s="5"/>
      <c r="G1780" s="5" t="str">
        <f>IFERROR(__xludf.DUMMYFUNCTION("""COMPUTED_VALUE"""),"RBC411")</f>
        <v>RBC411</v>
      </c>
      <c r="H1780" s="5" t="str">
        <f>IFERROR(__xludf.DUMMYFUNCTION("""COMPUTED_VALUE"""),"1.9HP")</f>
        <v>1.9HP</v>
      </c>
      <c r="I1780" s="5"/>
      <c r="J1780" s="5"/>
      <c r="K1780" s="5">
        <f>IFERROR(__xludf.DUMMYFUNCTION("""COMPUTED_VALUE"""),1.0)</f>
        <v>1</v>
      </c>
      <c r="L1780" s="5" t="str">
        <f>IFERROR(__xludf.DUMMYFUNCTION("""COMPUTED_VALUE"""),"KLH")</f>
        <v>KLH</v>
      </c>
    </row>
    <row r="1781">
      <c r="A1781" s="5" t="str">
        <f>IFERROR(__xludf.DUMMYFUNCTION("""COMPUTED_VALUE"""),"XL3-MPC-042")</f>
        <v>XL3-MPC-042</v>
      </c>
      <c r="B1781" s="3" t="str">
        <f>IFERROR(__xludf.DUMMYFUNCTION("""COMPUTED_VALUE"""),"Máy phát cỏ 2 thì")</f>
        <v>Máy phát cỏ 2 thì</v>
      </c>
      <c r="C1781" s="5" t="str">
        <f>IFERROR(__xludf.DUMMYFUNCTION("""COMPUTED_VALUE"""),"XN Chuối LP3")</f>
        <v>XN Chuối LP3</v>
      </c>
      <c r="D1781" s="5" t="str">
        <f>IFERROR(__xludf.DUMMYFUNCTION("""COMPUTED_VALUE"""),"WASAKI")</f>
        <v>WASAKI</v>
      </c>
      <c r="E1781" s="5" t="str">
        <f>IFERROR(__xludf.DUMMYFUNCTION("""COMPUTED_VALUE"""),"Nhật Bản")</f>
        <v>Nhật Bản</v>
      </c>
      <c r="F1781" s="5"/>
      <c r="G1781" s="5" t="str">
        <f>IFERROR(__xludf.DUMMYFUNCTION("""COMPUTED_VALUE"""),"RBC411")</f>
        <v>RBC411</v>
      </c>
      <c r="H1781" s="5" t="str">
        <f>IFERROR(__xludf.DUMMYFUNCTION("""COMPUTED_VALUE"""),"1.9HP")</f>
        <v>1.9HP</v>
      </c>
      <c r="I1781" s="5"/>
      <c r="J1781" s="5"/>
      <c r="K1781" s="5">
        <f>IFERROR(__xludf.DUMMYFUNCTION("""COMPUTED_VALUE"""),1.0)</f>
        <v>1</v>
      </c>
      <c r="L1781" s="5" t="str">
        <f>IFERROR(__xludf.DUMMYFUNCTION("""COMPUTED_VALUE"""),"KLH")</f>
        <v>KLH</v>
      </c>
    </row>
    <row r="1782">
      <c r="A1782" s="5" t="str">
        <f>IFERROR(__xludf.DUMMYFUNCTION("""COMPUTED_VALUE"""),"XL3-MPC-043")</f>
        <v>XL3-MPC-043</v>
      </c>
      <c r="B1782" s="3" t="str">
        <f>IFERROR(__xludf.DUMMYFUNCTION("""COMPUTED_VALUE"""),"Máy phát cỏ 2 thì")</f>
        <v>Máy phát cỏ 2 thì</v>
      </c>
      <c r="C1782" s="5" t="str">
        <f>IFERROR(__xludf.DUMMYFUNCTION("""COMPUTED_VALUE"""),"XN Chuối LP3")</f>
        <v>XN Chuối LP3</v>
      </c>
      <c r="D1782" s="5" t="str">
        <f>IFERROR(__xludf.DUMMYFUNCTION("""COMPUTED_VALUE"""),"WASAKI")</f>
        <v>WASAKI</v>
      </c>
      <c r="E1782" s="5" t="str">
        <f>IFERROR(__xludf.DUMMYFUNCTION("""COMPUTED_VALUE"""),"Nhật Bản")</f>
        <v>Nhật Bản</v>
      </c>
      <c r="F1782" s="5"/>
      <c r="G1782" s="5" t="str">
        <f>IFERROR(__xludf.DUMMYFUNCTION("""COMPUTED_VALUE"""),"RBC411")</f>
        <v>RBC411</v>
      </c>
      <c r="H1782" s="5" t="str">
        <f>IFERROR(__xludf.DUMMYFUNCTION("""COMPUTED_VALUE"""),"1.9HP")</f>
        <v>1.9HP</v>
      </c>
      <c r="I1782" s="5"/>
      <c r="J1782" s="5"/>
      <c r="K1782" s="5">
        <f>IFERROR(__xludf.DUMMYFUNCTION("""COMPUTED_VALUE"""),1.0)</f>
        <v>1</v>
      </c>
      <c r="L1782" s="5" t="str">
        <f>IFERROR(__xludf.DUMMYFUNCTION("""COMPUTED_VALUE"""),"KLH")</f>
        <v>KLH</v>
      </c>
    </row>
    <row r="1783">
      <c r="A1783" s="5" t="str">
        <f>IFERROR(__xludf.DUMMYFUNCTION("""COMPUTED_VALUE"""),"XL3-MPC-044")</f>
        <v>XL3-MPC-044</v>
      </c>
      <c r="B1783" s="3" t="str">
        <f>IFERROR(__xludf.DUMMYFUNCTION("""COMPUTED_VALUE"""),"Máy phát cỏ 2 thì")</f>
        <v>Máy phát cỏ 2 thì</v>
      </c>
      <c r="C1783" s="5" t="str">
        <f>IFERROR(__xludf.DUMMYFUNCTION("""COMPUTED_VALUE"""),"XN Chuối LP3")</f>
        <v>XN Chuối LP3</v>
      </c>
      <c r="D1783" s="5" t="str">
        <f>IFERROR(__xludf.DUMMYFUNCTION("""COMPUTED_VALUE"""),"WASAKI")</f>
        <v>WASAKI</v>
      </c>
      <c r="E1783" s="5" t="str">
        <f>IFERROR(__xludf.DUMMYFUNCTION("""COMPUTED_VALUE"""),"Nhật Bản")</f>
        <v>Nhật Bản</v>
      </c>
      <c r="F1783" s="5"/>
      <c r="G1783" s="5" t="str">
        <f>IFERROR(__xludf.DUMMYFUNCTION("""COMPUTED_VALUE"""),"RBC411")</f>
        <v>RBC411</v>
      </c>
      <c r="H1783" s="5" t="str">
        <f>IFERROR(__xludf.DUMMYFUNCTION("""COMPUTED_VALUE"""),"1.9HP")</f>
        <v>1.9HP</v>
      </c>
      <c r="I1783" s="5"/>
      <c r="J1783" s="5"/>
      <c r="K1783" s="5">
        <f>IFERROR(__xludf.DUMMYFUNCTION("""COMPUTED_VALUE"""),1.0)</f>
        <v>1</v>
      </c>
      <c r="L1783" s="5" t="str">
        <f>IFERROR(__xludf.DUMMYFUNCTION("""COMPUTED_VALUE"""),"KLH")</f>
        <v>KLH</v>
      </c>
    </row>
    <row r="1784">
      <c r="A1784" s="5" t="str">
        <f>IFERROR(__xludf.DUMMYFUNCTION("""COMPUTED_VALUE"""),"XL3-MPC-045")</f>
        <v>XL3-MPC-045</v>
      </c>
      <c r="B1784" s="3" t="str">
        <f>IFERROR(__xludf.DUMMYFUNCTION("""COMPUTED_VALUE"""),"Máy phát cỏ 2 thì")</f>
        <v>Máy phát cỏ 2 thì</v>
      </c>
      <c r="C1784" s="5" t="str">
        <f>IFERROR(__xludf.DUMMYFUNCTION("""COMPUTED_VALUE"""),"XN Chuối LP3")</f>
        <v>XN Chuối LP3</v>
      </c>
      <c r="D1784" s="5" t="str">
        <f>IFERROR(__xludf.DUMMYFUNCTION("""COMPUTED_VALUE"""),"WASAKI")</f>
        <v>WASAKI</v>
      </c>
      <c r="E1784" s="5" t="str">
        <f>IFERROR(__xludf.DUMMYFUNCTION("""COMPUTED_VALUE"""),"Nhật Bản")</f>
        <v>Nhật Bản</v>
      </c>
      <c r="F1784" s="5"/>
      <c r="G1784" s="5" t="str">
        <f>IFERROR(__xludf.DUMMYFUNCTION("""COMPUTED_VALUE"""),"RBC411")</f>
        <v>RBC411</v>
      </c>
      <c r="H1784" s="5" t="str">
        <f>IFERROR(__xludf.DUMMYFUNCTION("""COMPUTED_VALUE"""),"1.9HP")</f>
        <v>1.9HP</v>
      </c>
      <c r="I1784" s="5"/>
      <c r="J1784" s="5"/>
      <c r="K1784" s="5">
        <f>IFERROR(__xludf.DUMMYFUNCTION("""COMPUTED_VALUE"""),1.0)</f>
        <v>1</v>
      </c>
      <c r="L1784" s="5" t="str">
        <f>IFERROR(__xludf.DUMMYFUNCTION("""COMPUTED_VALUE"""),"KLH")</f>
        <v>KLH</v>
      </c>
    </row>
    <row r="1785">
      <c r="A1785" s="5" t="str">
        <f>IFERROR(__xludf.DUMMYFUNCTION("""COMPUTED_VALUE"""),"XL3-MPC-046")</f>
        <v>XL3-MPC-046</v>
      </c>
      <c r="B1785" s="3" t="str">
        <f>IFERROR(__xludf.DUMMYFUNCTION("""COMPUTED_VALUE"""),"Máy phát cỏ 2 thì")</f>
        <v>Máy phát cỏ 2 thì</v>
      </c>
      <c r="C1785" s="5" t="str">
        <f>IFERROR(__xludf.DUMMYFUNCTION("""COMPUTED_VALUE"""),"XN Chuối LP3")</f>
        <v>XN Chuối LP3</v>
      </c>
      <c r="D1785" s="5" t="str">
        <f>IFERROR(__xludf.DUMMYFUNCTION("""COMPUTED_VALUE"""),"WASAKI")</f>
        <v>WASAKI</v>
      </c>
      <c r="E1785" s="5" t="str">
        <f>IFERROR(__xludf.DUMMYFUNCTION("""COMPUTED_VALUE"""),"Nhật Bản")</f>
        <v>Nhật Bản</v>
      </c>
      <c r="F1785" s="5"/>
      <c r="G1785" s="5" t="str">
        <f>IFERROR(__xludf.DUMMYFUNCTION("""COMPUTED_VALUE"""),"RBC411")</f>
        <v>RBC411</v>
      </c>
      <c r="H1785" s="5" t="str">
        <f>IFERROR(__xludf.DUMMYFUNCTION("""COMPUTED_VALUE"""),"1.9HP")</f>
        <v>1.9HP</v>
      </c>
      <c r="I1785" s="5"/>
      <c r="J1785" s="5"/>
      <c r="K1785" s="5">
        <f>IFERROR(__xludf.DUMMYFUNCTION("""COMPUTED_VALUE"""),1.0)</f>
        <v>1</v>
      </c>
      <c r="L1785" s="5" t="str">
        <f>IFERROR(__xludf.DUMMYFUNCTION("""COMPUTED_VALUE"""),"KLH")</f>
        <v>KLH</v>
      </c>
    </row>
    <row r="1786">
      <c r="A1786" s="5" t="str">
        <f>IFERROR(__xludf.DUMMYFUNCTION("""COMPUTED_VALUE"""),"XL3-MPC-047")</f>
        <v>XL3-MPC-047</v>
      </c>
      <c r="B1786" s="3" t="str">
        <f>IFERROR(__xludf.DUMMYFUNCTION("""COMPUTED_VALUE"""),"Máy phát cỏ 2 thì")</f>
        <v>Máy phát cỏ 2 thì</v>
      </c>
      <c r="C1786" s="5" t="str">
        <f>IFERROR(__xludf.DUMMYFUNCTION("""COMPUTED_VALUE"""),"XN Chuối LP3")</f>
        <v>XN Chuối LP3</v>
      </c>
      <c r="D1786" s="5" t="str">
        <f>IFERROR(__xludf.DUMMYFUNCTION("""COMPUTED_VALUE"""),"WASAKI")</f>
        <v>WASAKI</v>
      </c>
      <c r="E1786" s="5" t="str">
        <f>IFERROR(__xludf.DUMMYFUNCTION("""COMPUTED_VALUE"""),"Nhật Bản")</f>
        <v>Nhật Bản</v>
      </c>
      <c r="F1786" s="5"/>
      <c r="G1786" s="5" t="str">
        <f>IFERROR(__xludf.DUMMYFUNCTION("""COMPUTED_VALUE"""),"RBC411")</f>
        <v>RBC411</v>
      </c>
      <c r="H1786" s="5" t="str">
        <f>IFERROR(__xludf.DUMMYFUNCTION("""COMPUTED_VALUE"""),"1.9HP")</f>
        <v>1.9HP</v>
      </c>
      <c r="I1786" s="5"/>
      <c r="J1786" s="5"/>
      <c r="K1786" s="5">
        <f>IFERROR(__xludf.DUMMYFUNCTION("""COMPUTED_VALUE"""),1.0)</f>
        <v>1</v>
      </c>
      <c r="L1786" s="5" t="str">
        <f>IFERROR(__xludf.DUMMYFUNCTION("""COMPUTED_VALUE"""),"KLH")</f>
        <v>KLH</v>
      </c>
    </row>
    <row r="1787">
      <c r="A1787" s="5" t="str">
        <f>IFERROR(__xludf.DUMMYFUNCTION("""COMPUTED_VALUE"""),"XL3-MPC-048")</f>
        <v>XL3-MPC-048</v>
      </c>
      <c r="B1787" s="3" t="str">
        <f>IFERROR(__xludf.DUMMYFUNCTION("""COMPUTED_VALUE"""),"Máy phát cỏ 2 thì")</f>
        <v>Máy phát cỏ 2 thì</v>
      </c>
      <c r="C1787" s="5" t="str">
        <f>IFERROR(__xludf.DUMMYFUNCTION("""COMPUTED_VALUE"""),"XN Chuối LP3")</f>
        <v>XN Chuối LP3</v>
      </c>
      <c r="D1787" s="5" t="str">
        <f>IFERROR(__xludf.DUMMYFUNCTION("""COMPUTED_VALUE"""),"WASAKI")</f>
        <v>WASAKI</v>
      </c>
      <c r="E1787" s="5" t="str">
        <f>IFERROR(__xludf.DUMMYFUNCTION("""COMPUTED_VALUE"""),"Nhật Bản")</f>
        <v>Nhật Bản</v>
      </c>
      <c r="F1787" s="5"/>
      <c r="G1787" s="5" t="str">
        <f>IFERROR(__xludf.DUMMYFUNCTION("""COMPUTED_VALUE"""),"RBC411")</f>
        <v>RBC411</v>
      </c>
      <c r="H1787" s="5" t="str">
        <f>IFERROR(__xludf.DUMMYFUNCTION("""COMPUTED_VALUE"""),"1.9HP")</f>
        <v>1.9HP</v>
      </c>
      <c r="I1787" s="5"/>
      <c r="J1787" s="5"/>
      <c r="K1787" s="5">
        <f>IFERROR(__xludf.DUMMYFUNCTION("""COMPUTED_VALUE"""),1.0)</f>
        <v>1</v>
      </c>
      <c r="L1787" s="5" t="str">
        <f>IFERROR(__xludf.DUMMYFUNCTION("""COMPUTED_VALUE"""),"KLH")</f>
        <v>KLH</v>
      </c>
    </row>
    <row r="1788">
      <c r="A1788" s="5" t="str">
        <f>IFERROR(__xludf.DUMMYFUNCTION("""COMPUTED_VALUE"""),"XL3-MPC-049")</f>
        <v>XL3-MPC-049</v>
      </c>
      <c r="B1788" s="3" t="str">
        <f>IFERROR(__xludf.DUMMYFUNCTION("""COMPUTED_VALUE"""),"Máy phát cỏ 2 thì")</f>
        <v>Máy phát cỏ 2 thì</v>
      </c>
      <c r="C1788" s="5" t="str">
        <f>IFERROR(__xludf.DUMMYFUNCTION("""COMPUTED_VALUE"""),"XN Chuối LP3")</f>
        <v>XN Chuối LP3</v>
      </c>
      <c r="D1788" s="5" t="str">
        <f>IFERROR(__xludf.DUMMYFUNCTION("""COMPUTED_VALUE"""),"WASAKI")</f>
        <v>WASAKI</v>
      </c>
      <c r="E1788" s="5" t="str">
        <f>IFERROR(__xludf.DUMMYFUNCTION("""COMPUTED_VALUE"""),"Nhật Bản")</f>
        <v>Nhật Bản</v>
      </c>
      <c r="F1788" s="5"/>
      <c r="G1788" s="5" t="str">
        <f>IFERROR(__xludf.DUMMYFUNCTION("""COMPUTED_VALUE"""),"RBC411")</f>
        <v>RBC411</v>
      </c>
      <c r="H1788" s="5" t="str">
        <f>IFERROR(__xludf.DUMMYFUNCTION("""COMPUTED_VALUE"""),"1.9HP")</f>
        <v>1.9HP</v>
      </c>
      <c r="I1788" s="5"/>
      <c r="J1788" s="5"/>
      <c r="K1788" s="5">
        <f>IFERROR(__xludf.DUMMYFUNCTION("""COMPUTED_VALUE"""),1.0)</f>
        <v>1</v>
      </c>
      <c r="L1788" s="5" t="str">
        <f>IFERROR(__xludf.DUMMYFUNCTION("""COMPUTED_VALUE"""),"KLH")</f>
        <v>KLH</v>
      </c>
    </row>
    <row r="1789">
      <c r="A1789" s="5" t="str">
        <f>IFERROR(__xludf.DUMMYFUNCTION("""COMPUTED_VALUE"""),"XL3-MPC-050")</f>
        <v>XL3-MPC-050</v>
      </c>
      <c r="B1789" s="3" t="str">
        <f>IFERROR(__xludf.DUMMYFUNCTION("""COMPUTED_VALUE"""),"Máy phát cỏ 2 thì")</f>
        <v>Máy phát cỏ 2 thì</v>
      </c>
      <c r="C1789" s="5" t="str">
        <f>IFERROR(__xludf.DUMMYFUNCTION("""COMPUTED_VALUE"""),"XN Chuối LP3")</f>
        <v>XN Chuối LP3</v>
      </c>
      <c r="D1789" s="5" t="str">
        <f>IFERROR(__xludf.DUMMYFUNCTION("""COMPUTED_VALUE"""),"WASAKI")</f>
        <v>WASAKI</v>
      </c>
      <c r="E1789" s="5" t="str">
        <f>IFERROR(__xludf.DUMMYFUNCTION("""COMPUTED_VALUE"""),"Nhật Bản")</f>
        <v>Nhật Bản</v>
      </c>
      <c r="F1789" s="5"/>
      <c r="G1789" s="5" t="str">
        <f>IFERROR(__xludf.DUMMYFUNCTION("""COMPUTED_VALUE"""),"RBC411")</f>
        <v>RBC411</v>
      </c>
      <c r="H1789" s="5" t="str">
        <f>IFERROR(__xludf.DUMMYFUNCTION("""COMPUTED_VALUE"""),"1.9HP")</f>
        <v>1.9HP</v>
      </c>
      <c r="I1789" s="5"/>
      <c r="J1789" s="5"/>
      <c r="K1789" s="5">
        <f>IFERROR(__xludf.DUMMYFUNCTION("""COMPUTED_VALUE"""),1.0)</f>
        <v>1</v>
      </c>
      <c r="L1789" s="5" t="str">
        <f>IFERROR(__xludf.DUMMYFUNCTION("""COMPUTED_VALUE"""),"KLH")</f>
        <v>KLH</v>
      </c>
    </row>
    <row r="1790">
      <c r="A1790" s="5" t="str">
        <f>IFERROR(__xludf.DUMMYFUNCTION("""COMPUTED_VALUE"""),"XL3-MPC-051")</f>
        <v>XL3-MPC-051</v>
      </c>
      <c r="B1790" s="3" t="str">
        <f>IFERROR(__xludf.DUMMYFUNCTION("""COMPUTED_VALUE"""),"Máy phát cỏ 2 thì")</f>
        <v>Máy phát cỏ 2 thì</v>
      </c>
      <c r="C1790" s="5" t="str">
        <f>IFERROR(__xludf.DUMMYFUNCTION("""COMPUTED_VALUE"""),"XN Chuối LP3")</f>
        <v>XN Chuối LP3</v>
      </c>
      <c r="D1790" s="5" t="str">
        <f>IFERROR(__xludf.DUMMYFUNCTION("""COMPUTED_VALUE"""),"NAGATA")</f>
        <v>NAGATA</v>
      </c>
      <c r="E1790" s="5"/>
      <c r="F1790" s="5"/>
      <c r="G1790" s="5" t="str">
        <f>IFERROR(__xludf.DUMMYFUNCTION("""COMPUTED_VALUE"""),"CG411")</f>
        <v>CG411</v>
      </c>
      <c r="H1790" s="5" t="str">
        <f>IFERROR(__xludf.DUMMYFUNCTION("""COMPUTED_VALUE"""),"1.8HP")</f>
        <v>1.8HP</v>
      </c>
      <c r="I1790" s="5"/>
      <c r="J1790" s="5"/>
      <c r="K1790" s="5">
        <f>IFERROR(__xludf.DUMMYFUNCTION("""COMPUTED_VALUE"""),1.0)</f>
        <v>1</v>
      </c>
      <c r="L1790" s="5" t="str">
        <f>IFERROR(__xludf.DUMMYFUNCTION("""COMPUTED_VALUE"""),"KLH")</f>
        <v>KLH</v>
      </c>
    </row>
    <row r="1791">
      <c r="A1791" s="5" t="str">
        <f>IFERROR(__xludf.DUMMYFUNCTION("""COMPUTED_VALUE"""),"XL3-MPC-052")</f>
        <v>XL3-MPC-052</v>
      </c>
      <c r="B1791" s="3" t="str">
        <f>IFERROR(__xludf.DUMMYFUNCTION("""COMPUTED_VALUE"""),"Máy phát cỏ 2 thì")</f>
        <v>Máy phát cỏ 2 thì</v>
      </c>
      <c r="C1791" s="5" t="str">
        <f>IFERROR(__xludf.DUMMYFUNCTION("""COMPUTED_VALUE"""),"XN Chuối LP3")</f>
        <v>XN Chuối LP3</v>
      </c>
      <c r="D1791" s="5" t="str">
        <f>IFERROR(__xludf.DUMMYFUNCTION("""COMPUTED_VALUE"""),"NAGATA")</f>
        <v>NAGATA</v>
      </c>
      <c r="E1791" s="5"/>
      <c r="F1791" s="5"/>
      <c r="G1791" s="5" t="str">
        <f>IFERROR(__xludf.DUMMYFUNCTION("""COMPUTED_VALUE"""),"CG411")</f>
        <v>CG411</v>
      </c>
      <c r="H1791" s="5" t="str">
        <f>IFERROR(__xludf.DUMMYFUNCTION("""COMPUTED_VALUE"""),"1.8HP")</f>
        <v>1.8HP</v>
      </c>
      <c r="I1791" s="5"/>
      <c r="J1791" s="5"/>
      <c r="K1791" s="5">
        <f>IFERROR(__xludf.DUMMYFUNCTION("""COMPUTED_VALUE"""),1.0)</f>
        <v>1</v>
      </c>
      <c r="L1791" s="5" t="str">
        <f>IFERROR(__xludf.DUMMYFUNCTION("""COMPUTED_VALUE"""),"KLH")</f>
        <v>KLH</v>
      </c>
    </row>
    <row r="1792">
      <c r="A1792" s="5" t="str">
        <f>IFERROR(__xludf.DUMMYFUNCTION("""COMPUTED_VALUE"""),"XL3-MPC-053")</f>
        <v>XL3-MPC-053</v>
      </c>
      <c r="B1792" s="3" t="str">
        <f>IFERROR(__xludf.DUMMYFUNCTION("""COMPUTED_VALUE"""),"Máy phát cỏ 2 thì")</f>
        <v>Máy phát cỏ 2 thì</v>
      </c>
      <c r="C1792" s="5" t="str">
        <f>IFERROR(__xludf.DUMMYFUNCTION("""COMPUTED_VALUE"""),"XN Chuối LP3")</f>
        <v>XN Chuối LP3</v>
      </c>
      <c r="D1792" s="5" t="str">
        <f>IFERROR(__xludf.DUMMYFUNCTION("""COMPUTED_VALUE"""),"NAGATA")</f>
        <v>NAGATA</v>
      </c>
      <c r="E1792" s="5"/>
      <c r="F1792" s="5"/>
      <c r="G1792" s="5" t="str">
        <f>IFERROR(__xludf.DUMMYFUNCTION("""COMPUTED_VALUE"""),"CG411")</f>
        <v>CG411</v>
      </c>
      <c r="H1792" s="5" t="str">
        <f>IFERROR(__xludf.DUMMYFUNCTION("""COMPUTED_VALUE"""),"1.8HP")</f>
        <v>1.8HP</v>
      </c>
      <c r="I1792" s="5"/>
      <c r="J1792" s="5"/>
      <c r="K1792" s="5">
        <f>IFERROR(__xludf.DUMMYFUNCTION("""COMPUTED_VALUE"""),1.0)</f>
        <v>1</v>
      </c>
      <c r="L1792" s="5" t="str">
        <f>IFERROR(__xludf.DUMMYFUNCTION("""COMPUTED_VALUE"""),"KLH")</f>
        <v>KLH</v>
      </c>
    </row>
    <row r="1793">
      <c r="A1793" s="5" t="str">
        <f>IFERROR(__xludf.DUMMYFUNCTION("""COMPUTED_VALUE"""),"XL3-MPC-054")</f>
        <v>XL3-MPC-054</v>
      </c>
      <c r="B1793" s="3" t="str">
        <f>IFERROR(__xludf.DUMMYFUNCTION("""COMPUTED_VALUE"""),"Máy phát cỏ 2 thì")</f>
        <v>Máy phát cỏ 2 thì</v>
      </c>
      <c r="C1793" s="5" t="str">
        <f>IFERROR(__xludf.DUMMYFUNCTION("""COMPUTED_VALUE"""),"XN Chuối LP3")</f>
        <v>XN Chuối LP3</v>
      </c>
      <c r="D1793" s="5" t="str">
        <f>IFERROR(__xludf.DUMMYFUNCTION("""COMPUTED_VALUE"""),"NAGATA")</f>
        <v>NAGATA</v>
      </c>
      <c r="E1793" s="5"/>
      <c r="F1793" s="5"/>
      <c r="G1793" s="5" t="str">
        <f>IFERROR(__xludf.DUMMYFUNCTION("""COMPUTED_VALUE"""),"CG411")</f>
        <v>CG411</v>
      </c>
      <c r="H1793" s="5" t="str">
        <f>IFERROR(__xludf.DUMMYFUNCTION("""COMPUTED_VALUE"""),"1.8HP")</f>
        <v>1.8HP</v>
      </c>
      <c r="I1793" s="5"/>
      <c r="J1793" s="5"/>
      <c r="K1793" s="5">
        <f>IFERROR(__xludf.DUMMYFUNCTION("""COMPUTED_VALUE"""),1.0)</f>
        <v>1</v>
      </c>
      <c r="L1793" s="5" t="str">
        <f>IFERROR(__xludf.DUMMYFUNCTION("""COMPUTED_VALUE"""),"KLH")</f>
        <v>KLH</v>
      </c>
    </row>
    <row r="1794">
      <c r="A1794" s="5" t="str">
        <f>IFERROR(__xludf.DUMMYFUNCTION("""COMPUTED_VALUE"""),"XL3-MPC-055")</f>
        <v>XL3-MPC-055</v>
      </c>
      <c r="B1794" s="3" t="str">
        <f>IFERROR(__xludf.DUMMYFUNCTION("""COMPUTED_VALUE"""),"Máy phát cỏ 2 thì")</f>
        <v>Máy phát cỏ 2 thì</v>
      </c>
      <c r="C1794" s="5" t="str">
        <f>IFERROR(__xludf.DUMMYFUNCTION("""COMPUTED_VALUE"""),"XN Chuối LP3")</f>
        <v>XN Chuối LP3</v>
      </c>
      <c r="D1794" s="5" t="str">
        <f>IFERROR(__xludf.DUMMYFUNCTION("""COMPUTED_VALUE"""),"NAGATA")</f>
        <v>NAGATA</v>
      </c>
      <c r="E1794" s="5"/>
      <c r="F1794" s="5"/>
      <c r="G1794" s="5" t="str">
        <f>IFERROR(__xludf.DUMMYFUNCTION("""COMPUTED_VALUE"""),"CG411")</f>
        <v>CG411</v>
      </c>
      <c r="H1794" s="5" t="str">
        <f>IFERROR(__xludf.DUMMYFUNCTION("""COMPUTED_VALUE"""),"1.8HP")</f>
        <v>1.8HP</v>
      </c>
      <c r="I1794" s="5"/>
      <c r="J1794" s="5"/>
      <c r="K1794" s="5">
        <f>IFERROR(__xludf.DUMMYFUNCTION("""COMPUTED_VALUE"""),1.0)</f>
        <v>1</v>
      </c>
      <c r="L1794" s="5" t="str">
        <f>IFERROR(__xludf.DUMMYFUNCTION("""COMPUTED_VALUE"""),"KLH")</f>
        <v>KLH</v>
      </c>
    </row>
    <row r="1795">
      <c r="A1795" s="5" t="str">
        <f>IFERROR(__xludf.DUMMYFUNCTION("""COMPUTED_VALUE"""),"XL3-MPC-056")</f>
        <v>XL3-MPC-056</v>
      </c>
      <c r="B1795" s="3" t="str">
        <f>IFERROR(__xludf.DUMMYFUNCTION("""COMPUTED_VALUE"""),"Máy phát cỏ 2 thì")</f>
        <v>Máy phát cỏ 2 thì</v>
      </c>
      <c r="C1795" s="5" t="str">
        <f>IFERROR(__xludf.DUMMYFUNCTION("""COMPUTED_VALUE"""),"XN Chuối LP3")</f>
        <v>XN Chuối LP3</v>
      </c>
      <c r="D1795" s="5" t="str">
        <f>IFERROR(__xludf.DUMMYFUNCTION("""COMPUTED_VALUE"""),"NAGATA")</f>
        <v>NAGATA</v>
      </c>
      <c r="E1795" s="5"/>
      <c r="F1795" s="5"/>
      <c r="G1795" s="5" t="str">
        <f>IFERROR(__xludf.DUMMYFUNCTION("""COMPUTED_VALUE"""),"CG411")</f>
        <v>CG411</v>
      </c>
      <c r="H1795" s="5" t="str">
        <f>IFERROR(__xludf.DUMMYFUNCTION("""COMPUTED_VALUE"""),"1.8HP")</f>
        <v>1.8HP</v>
      </c>
      <c r="I1795" s="5"/>
      <c r="J1795" s="5"/>
      <c r="K1795" s="5">
        <f>IFERROR(__xludf.DUMMYFUNCTION("""COMPUTED_VALUE"""),1.0)</f>
        <v>1</v>
      </c>
      <c r="L1795" s="5" t="str">
        <f>IFERROR(__xludf.DUMMYFUNCTION("""COMPUTED_VALUE"""),"KLH")</f>
        <v>KLH</v>
      </c>
    </row>
    <row r="1796">
      <c r="A1796" s="5" t="str">
        <f>IFERROR(__xludf.DUMMYFUNCTION("""COMPUTED_VALUE"""),"XL3-MPC-057")</f>
        <v>XL3-MPC-057</v>
      </c>
      <c r="B1796" s="3" t="str">
        <f>IFERROR(__xludf.DUMMYFUNCTION("""COMPUTED_VALUE"""),"Máy phát cỏ 2 thì")</f>
        <v>Máy phát cỏ 2 thì</v>
      </c>
      <c r="C1796" s="5" t="str">
        <f>IFERROR(__xludf.DUMMYFUNCTION("""COMPUTED_VALUE"""),"XN Chuối LP3")</f>
        <v>XN Chuối LP3</v>
      </c>
      <c r="D1796" s="5" t="str">
        <f>IFERROR(__xludf.DUMMYFUNCTION("""COMPUTED_VALUE"""),"NAGATA")</f>
        <v>NAGATA</v>
      </c>
      <c r="E1796" s="5"/>
      <c r="F1796" s="5"/>
      <c r="G1796" s="5" t="str">
        <f>IFERROR(__xludf.DUMMYFUNCTION("""COMPUTED_VALUE"""),"CG411")</f>
        <v>CG411</v>
      </c>
      <c r="H1796" s="5" t="str">
        <f>IFERROR(__xludf.DUMMYFUNCTION("""COMPUTED_VALUE"""),"1.8HP")</f>
        <v>1.8HP</v>
      </c>
      <c r="I1796" s="5"/>
      <c r="J1796" s="5"/>
      <c r="K1796" s="5">
        <f>IFERROR(__xludf.DUMMYFUNCTION("""COMPUTED_VALUE"""),1.0)</f>
        <v>1</v>
      </c>
      <c r="L1796" s="5" t="str">
        <f>IFERROR(__xludf.DUMMYFUNCTION("""COMPUTED_VALUE"""),"KLH")</f>
        <v>KLH</v>
      </c>
    </row>
    <row r="1797">
      <c r="A1797" s="5" t="str">
        <f>IFERROR(__xludf.DUMMYFUNCTION("""COMPUTED_VALUE"""),"XL3-MPC-058")</f>
        <v>XL3-MPC-058</v>
      </c>
      <c r="B1797" s="3" t="str">
        <f>IFERROR(__xludf.DUMMYFUNCTION("""COMPUTED_VALUE"""),"Máy phát cỏ 2 thì")</f>
        <v>Máy phát cỏ 2 thì</v>
      </c>
      <c r="C1797" s="5" t="str">
        <f>IFERROR(__xludf.DUMMYFUNCTION("""COMPUTED_VALUE"""),"XN Chuối LP3")</f>
        <v>XN Chuối LP3</v>
      </c>
      <c r="D1797" s="5" t="str">
        <f>IFERROR(__xludf.DUMMYFUNCTION("""COMPUTED_VALUE"""),"NAGATA")</f>
        <v>NAGATA</v>
      </c>
      <c r="E1797" s="5"/>
      <c r="F1797" s="5"/>
      <c r="G1797" s="5" t="str">
        <f>IFERROR(__xludf.DUMMYFUNCTION("""COMPUTED_VALUE"""),"CG411")</f>
        <v>CG411</v>
      </c>
      <c r="H1797" s="5" t="str">
        <f>IFERROR(__xludf.DUMMYFUNCTION("""COMPUTED_VALUE"""),"1.8HP")</f>
        <v>1.8HP</v>
      </c>
      <c r="I1797" s="5"/>
      <c r="J1797" s="5"/>
      <c r="K1797" s="5">
        <f>IFERROR(__xludf.DUMMYFUNCTION("""COMPUTED_VALUE"""),1.0)</f>
        <v>1</v>
      </c>
      <c r="L1797" s="5" t="str">
        <f>IFERROR(__xludf.DUMMYFUNCTION("""COMPUTED_VALUE"""),"KLH")</f>
        <v>KLH</v>
      </c>
    </row>
    <row r="1798">
      <c r="A1798" s="5" t="str">
        <f>IFERROR(__xludf.DUMMYFUNCTION("""COMPUTED_VALUE"""),"XL3-MPC-059")</f>
        <v>XL3-MPC-059</v>
      </c>
      <c r="B1798" s="3" t="str">
        <f>IFERROR(__xludf.DUMMYFUNCTION("""COMPUTED_VALUE"""),"Máy phát cỏ 2 thì")</f>
        <v>Máy phát cỏ 2 thì</v>
      </c>
      <c r="C1798" s="5" t="str">
        <f>IFERROR(__xludf.DUMMYFUNCTION("""COMPUTED_VALUE"""),"XN Chuối LP3")</f>
        <v>XN Chuối LP3</v>
      </c>
      <c r="D1798" s="5" t="str">
        <f>IFERROR(__xludf.DUMMYFUNCTION("""COMPUTED_VALUE"""),"NAGATA")</f>
        <v>NAGATA</v>
      </c>
      <c r="E1798" s="5"/>
      <c r="F1798" s="5"/>
      <c r="G1798" s="5" t="str">
        <f>IFERROR(__xludf.DUMMYFUNCTION("""COMPUTED_VALUE"""),"CG411")</f>
        <v>CG411</v>
      </c>
      <c r="H1798" s="5" t="str">
        <f>IFERROR(__xludf.DUMMYFUNCTION("""COMPUTED_VALUE"""),"1.8HP")</f>
        <v>1.8HP</v>
      </c>
      <c r="I1798" s="5"/>
      <c r="J1798" s="5"/>
      <c r="K1798" s="5">
        <f>IFERROR(__xludf.DUMMYFUNCTION("""COMPUTED_VALUE"""),1.0)</f>
        <v>1</v>
      </c>
      <c r="L1798" s="5" t="str">
        <f>IFERROR(__xludf.DUMMYFUNCTION("""COMPUTED_VALUE"""),"KLH")</f>
        <v>KLH</v>
      </c>
    </row>
    <row r="1799">
      <c r="A1799" s="5" t="str">
        <f>IFERROR(__xludf.DUMMYFUNCTION("""COMPUTED_VALUE"""),"XL3-MPC-060")</f>
        <v>XL3-MPC-060</v>
      </c>
      <c r="B1799" s="3" t="str">
        <f>IFERROR(__xludf.DUMMYFUNCTION("""COMPUTED_VALUE"""),"Máy phát cỏ 2 thì")</f>
        <v>Máy phát cỏ 2 thì</v>
      </c>
      <c r="C1799" s="5" t="str">
        <f>IFERROR(__xludf.DUMMYFUNCTION("""COMPUTED_VALUE"""),"XN Chuối LP3")</f>
        <v>XN Chuối LP3</v>
      </c>
      <c r="D1799" s="5" t="str">
        <f>IFERROR(__xludf.DUMMYFUNCTION("""COMPUTED_VALUE"""),"NAGATA")</f>
        <v>NAGATA</v>
      </c>
      <c r="E1799" s="5"/>
      <c r="F1799" s="5"/>
      <c r="G1799" s="5" t="str">
        <f>IFERROR(__xludf.DUMMYFUNCTION("""COMPUTED_VALUE"""),"CG411")</f>
        <v>CG411</v>
      </c>
      <c r="H1799" s="5" t="str">
        <f>IFERROR(__xludf.DUMMYFUNCTION("""COMPUTED_VALUE"""),"1.8HP")</f>
        <v>1.8HP</v>
      </c>
      <c r="I1799" s="5"/>
      <c r="J1799" s="5"/>
      <c r="K1799" s="5">
        <f>IFERROR(__xludf.DUMMYFUNCTION("""COMPUTED_VALUE"""),1.0)</f>
        <v>1</v>
      </c>
      <c r="L1799" s="5" t="str">
        <f>IFERROR(__xludf.DUMMYFUNCTION("""COMPUTED_VALUE"""),"KLH")</f>
        <v>KLH</v>
      </c>
    </row>
    <row r="1800">
      <c r="A1800" s="5" t="str">
        <f>IFERROR(__xludf.DUMMYFUNCTION("""COMPUTED_VALUE"""),"XL3-MPC-061")</f>
        <v>XL3-MPC-061</v>
      </c>
      <c r="B1800" s="3" t="str">
        <f>IFERROR(__xludf.DUMMYFUNCTION("""COMPUTED_VALUE"""),"Máy phát cỏ 2 thì")</f>
        <v>Máy phát cỏ 2 thì</v>
      </c>
      <c r="C1800" s="5" t="str">
        <f>IFERROR(__xludf.DUMMYFUNCTION("""COMPUTED_VALUE"""),"XN Chuối LP3")</f>
        <v>XN Chuối LP3</v>
      </c>
      <c r="D1800" s="5" t="str">
        <f>IFERROR(__xludf.DUMMYFUNCTION("""COMPUTED_VALUE"""),"NAGATA")</f>
        <v>NAGATA</v>
      </c>
      <c r="E1800" s="5"/>
      <c r="F1800" s="5"/>
      <c r="G1800" s="5" t="str">
        <f>IFERROR(__xludf.DUMMYFUNCTION("""COMPUTED_VALUE"""),"CG411")</f>
        <v>CG411</v>
      </c>
      <c r="H1800" s="5" t="str">
        <f>IFERROR(__xludf.DUMMYFUNCTION("""COMPUTED_VALUE"""),"1.8HP")</f>
        <v>1.8HP</v>
      </c>
      <c r="I1800" s="5"/>
      <c r="J1800" s="5"/>
      <c r="K1800" s="5">
        <f>IFERROR(__xludf.DUMMYFUNCTION("""COMPUTED_VALUE"""),1.0)</f>
        <v>1</v>
      </c>
      <c r="L1800" s="5" t="str">
        <f>IFERROR(__xludf.DUMMYFUNCTION("""COMPUTED_VALUE"""),"KLH")</f>
        <v>KLH</v>
      </c>
    </row>
    <row r="1801">
      <c r="A1801" s="5" t="str">
        <f>IFERROR(__xludf.DUMMYFUNCTION("""COMPUTED_VALUE"""),"XL3-MPC-062")</f>
        <v>XL3-MPC-062</v>
      </c>
      <c r="B1801" s="3" t="str">
        <f>IFERROR(__xludf.DUMMYFUNCTION("""COMPUTED_VALUE"""),"Máy phát cỏ 2 thì")</f>
        <v>Máy phát cỏ 2 thì</v>
      </c>
      <c r="C1801" s="5" t="str">
        <f>IFERROR(__xludf.DUMMYFUNCTION("""COMPUTED_VALUE"""),"XN Chuối LP3")</f>
        <v>XN Chuối LP3</v>
      </c>
      <c r="D1801" s="5" t="str">
        <f>IFERROR(__xludf.DUMMYFUNCTION("""COMPUTED_VALUE"""),"NAGATA")</f>
        <v>NAGATA</v>
      </c>
      <c r="E1801" s="5"/>
      <c r="F1801" s="5"/>
      <c r="G1801" s="5" t="str">
        <f>IFERROR(__xludf.DUMMYFUNCTION("""COMPUTED_VALUE"""),"CG411")</f>
        <v>CG411</v>
      </c>
      <c r="H1801" s="5" t="str">
        <f>IFERROR(__xludf.DUMMYFUNCTION("""COMPUTED_VALUE"""),"1.8HP")</f>
        <v>1.8HP</v>
      </c>
      <c r="I1801" s="5"/>
      <c r="J1801" s="5"/>
      <c r="K1801" s="5">
        <f>IFERROR(__xludf.DUMMYFUNCTION("""COMPUTED_VALUE"""),1.0)</f>
        <v>1</v>
      </c>
      <c r="L1801" s="5" t="str">
        <f>IFERROR(__xludf.DUMMYFUNCTION("""COMPUTED_VALUE"""),"KLH")</f>
        <v>KLH</v>
      </c>
    </row>
    <row r="1802">
      <c r="A1802" s="5" t="str">
        <f>IFERROR(__xludf.DUMMYFUNCTION("""COMPUTED_VALUE"""),"XL3-MPC-063")</f>
        <v>XL3-MPC-063</v>
      </c>
      <c r="B1802" s="3" t="str">
        <f>IFERROR(__xludf.DUMMYFUNCTION("""COMPUTED_VALUE"""),"Máy phát cỏ 2 thì")</f>
        <v>Máy phát cỏ 2 thì</v>
      </c>
      <c r="C1802" s="5" t="str">
        <f>IFERROR(__xludf.DUMMYFUNCTION("""COMPUTED_VALUE"""),"XN Chuối LP3")</f>
        <v>XN Chuối LP3</v>
      </c>
      <c r="D1802" s="5" t="str">
        <f>IFERROR(__xludf.DUMMYFUNCTION("""COMPUTED_VALUE"""),"NAGATA")</f>
        <v>NAGATA</v>
      </c>
      <c r="E1802" s="5"/>
      <c r="F1802" s="5"/>
      <c r="G1802" s="5" t="str">
        <f>IFERROR(__xludf.DUMMYFUNCTION("""COMPUTED_VALUE"""),"CG411")</f>
        <v>CG411</v>
      </c>
      <c r="H1802" s="5" t="str">
        <f>IFERROR(__xludf.DUMMYFUNCTION("""COMPUTED_VALUE"""),"1.8HP")</f>
        <v>1.8HP</v>
      </c>
      <c r="I1802" s="5"/>
      <c r="J1802" s="5"/>
      <c r="K1802" s="5">
        <f>IFERROR(__xludf.DUMMYFUNCTION("""COMPUTED_VALUE"""),1.0)</f>
        <v>1</v>
      </c>
      <c r="L1802" s="5" t="str">
        <f>IFERROR(__xludf.DUMMYFUNCTION("""COMPUTED_VALUE"""),"KLH")</f>
        <v>KLH</v>
      </c>
    </row>
    <row r="1803">
      <c r="A1803" s="5" t="str">
        <f>IFERROR(__xludf.DUMMYFUNCTION("""COMPUTED_VALUE"""),"XL3-MPC-064")</f>
        <v>XL3-MPC-064</v>
      </c>
      <c r="B1803" s="3" t="str">
        <f>IFERROR(__xludf.DUMMYFUNCTION("""COMPUTED_VALUE"""),"Máy phát cỏ 2 thì")</f>
        <v>Máy phát cỏ 2 thì</v>
      </c>
      <c r="C1803" s="5" t="str">
        <f>IFERROR(__xludf.DUMMYFUNCTION("""COMPUTED_VALUE"""),"XN Chuối LP3")</f>
        <v>XN Chuối LP3</v>
      </c>
      <c r="D1803" s="5" t="str">
        <f>IFERROR(__xludf.DUMMYFUNCTION("""COMPUTED_VALUE"""),"NAGATA")</f>
        <v>NAGATA</v>
      </c>
      <c r="E1803" s="5"/>
      <c r="F1803" s="5"/>
      <c r="G1803" s="5" t="str">
        <f>IFERROR(__xludf.DUMMYFUNCTION("""COMPUTED_VALUE"""),"CG411")</f>
        <v>CG411</v>
      </c>
      <c r="H1803" s="5" t="str">
        <f>IFERROR(__xludf.DUMMYFUNCTION("""COMPUTED_VALUE"""),"1.8HP")</f>
        <v>1.8HP</v>
      </c>
      <c r="I1803" s="5"/>
      <c r="J1803" s="5"/>
      <c r="K1803" s="5">
        <f>IFERROR(__xludf.DUMMYFUNCTION("""COMPUTED_VALUE"""),1.0)</f>
        <v>1</v>
      </c>
      <c r="L1803" s="5" t="str">
        <f>IFERROR(__xludf.DUMMYFUNCTION("""COMPUTED_VALUE"""),"KLH")</f>
        <v>KLH</v>
      </c>
    </row>
    <row r="1804">
      <c r="A1804" s="5" t="str">
        <f>IFERROR(__xludf.DUMMYFUNCTION("""COMPUTED_VALUE"""),"XL3-MPC-065")</f>
        <v>XL3-MPC-065</v>
      </c>
      <c r="B1804" s="3" t="str">
        <f>IFERROR(__xludf.DUMMYFUNCTION("""COMPUTED_VALUE"""),"Máy phát cỏ 2 thì")</f>
        <v>Máy phát cỏ 2 thì</v>
      </c>
      <c r="C1804" s="5" t="str">
        <f>IFERROR(__xludf.DUMMYFUNCTION("""COMPUTED_VALUE"""),"XN Chuối LP3")</f>
        <v>XN Chuối LP3</v>
      </c>
      <c r="D1804" s="5" t="str">
        <f>IFERROR(__xludf.DUMMYFUNCTION("""COMPUTED_VALUE"""),"NAGATA")</f>
        <v>NAGATA</v>
      </c>
      <c r="E1804" s="5"/>
      <c r="F1804" s="5"/>
      <c r="G1804" s="5" t="str">
        <f>IFERROR(__xludf.DUMMYFUNCTION("""COMPUTED_VALUE"""),"CG411")</f>
        <v>CG411</v>
      </c>
      <c r="H1804" s="5" t="str">
        <f>IFERROR(__xludf.DUMMYFUNCTION("""COMPUTED_VALUE"""),"1.8HP")</f>
        <v>1.8HP</v>
      </c>
      <c r="I1804" s="5"/>
      <c r="J1804" s="5"/>
      <c r="K1804" s="5">
        <f>IFERROR(__xludf.DUMMYFUNCTION("""COMPUTED_VALUE"""),1.0)</f>
        <v>1</v>
      </c>
      <c r="L1804" s="5" t="str">
        <f>IFERROR(__xludf.DUMMYFUNCTION("""COMPUTED_VALUE"""),"KLH")</f>
        <v>KLH</v>
      </c>
    </row>
    <row r="1805">
      <c r="A1805" s="5" t="str">
        <f>IFERROR(__xludf.DUMMYFUNCTION("""COMPUTED_VALUE"""),"XL3-MPC-066")</f>
        <v>XL3-MPC-066</v>
      </c>
      <c r="B1805" s="3" t="str">
        <f>IFERROR(__xludf.DUMMYFUNCTION("""COMPUTED_VALUE"""),"Máy phát cỏ 2 thì")</f>
        <v>Máy phát cỏ 2 thì</v>
      </c>
      <c r="C1805" s="5" t="str">
        <f>IFERROR(__xludf.DUMMYFUNCTION("""COMPUTED_VALUE"""),"XN Chuối LP3")</f>
        <v>XN Chuối LP3</v>
      </c>
      <c r="D1805" s="5" t="str">
        <f>IFERROR(__xludf.DUMMYFUNCTION("""COMPUTED_VALUE"""),"NAGATA")</f>
        <v>NAGATA</v>
      </c>
      <c r="E1805" s="5"/>
      <c r="F1805" s="5"/>
      <c r="G1805" s="5" t="str">
        <f>IFERROR(__xludf.DUMMYFUNCTION("""COMPUTED_VALUE"""),"CG411")</f>
        <v>CG411</v>
      </c>
      <c r="H1805" s="5" t="str">
        <f>IFERROR(__xludf.DUMMYFUNCTION("""COMPUTED_VALUE"""),"1.8HP")</f>
        <v>1.8HP</v>
      </c>
      <c r="I1805" s="5"/>
      <c r="J1805" s="5"/>
      <c r="K1805" s="5">
        <f>IFERROR(__xludf.DUMMYFUNCTION("""COMPUTED_VALUE"""),1.0)</f>
        <v>1</v>
      </c>
      <c r="L1805" s="5" t="str">
        <f>IFERROR(__xludf.DUMMYFUNCTION("""COMPUTED_VALUE"""),"KLH")</f>
        <v>KLH</v>
      </c>
    </row>
    <row r="1806">
      <c r="A1806" s="5" t="str">
        <f>IFERROR(__xludf.DUMMYFUNCTION("""COMPUTED_VALUE"""),"XL3-MPC-067")</f>
        <v>XL3-MPC-067</v>
      </c>
      <c r="B1806" s="3" t="str">
        <f>IFERROR(__xludf.DUMMYFUNCTION("""COMPUTED_VALUE"""),"Máy phát cỏ 2 thì")</f>
        <v>Máy phát cỏ 2 thì</v>
      </c>
      <c r="C1806" s="5" t="str">
        <f>IFERROR(__xludf.DUMMYFUNCTION("""COMPUTED_VALUE"""),"XN Chuối LP3")</f>
        <v>XN Chuối LP3</v>
      </c>
      <c r="D1806" s="5" t="str">
        <f>IFERROR(__xludf.DUMMYFUNCTION("""COMPUTED_VALUE"""),"NAGATA")</f>
        <v>NAGATA</v>
      </c>
      <c r="E1806" s="5"/>
      <c r="F1806" s="5"/>
      <c r="G1806" s="5" t="str">
        <f>IFERROR(__xludf.DUMMYFUNCTION("""COMPUTED_VALUE"""),"CG411")</f>
        <v>CG411</v>
      </c>
      <c r="H1806" s="5" t="str">
        <f>IFERROR(__xludf.DUMMYFUNCTION("""COMPUTED_VALUE"""),"1.8HP")</f>
        <v>1.8HP</v>
      </c>
      <c r="I1806" s="5"/>
      <c r="J1806" s="5"/>
      <c r="K1806" s="5">
        <f>IFERROR(__xludf.DUMMYFUNCTION("""COMPUTED_VALUE"""),1.0)</f>
        <v>1</v>
      </c>
      <c r="L1806" s="5" t="str">
        <f>IFERROR(__xludf.DUMMYFUNCTION("""COMPUTED_VALUE"""),"KLH")</f>
        <v>KLH</v>
      </c>
    </row>
    <row r="1807">
      <c r="A1807" s="5" t="str">
        <f>IFERROR(__xludf.DUMMYFUNCTION("""COMPUTED_VALUE"""),"XL3-MPC-068")</f>
        <v>XL3-MPC-068</v>
      </c>
      <c r="B1807" s="3" t="str">
        <f>IFERROR(__xludf.DUMMYFUNCTION("""COMPUTED_VALUE"""),"Máy phát cỏ 2 thì")</f>
        <v>Máy phát cỏ 2 thì</v>
      </c>
      <c r="C1807" s="5" t="str">
        <f>IFERROR(__xludf.DUMMYFUNCTION("""COMPUTED_VALUE"""),"XN Chuối LP3")</f>
        <v>XN Chuối LP3</v>
      </c>
      <c r="D1807" s="5" t="str">
        <f>IFERROR(__xludf.DUMMYFUNCTION("""COMPUTED_VALUE"""),"NAGATA")</f>
        <v>NAGATA</v>
      </c>
      <c r="E1807" s="5"/>
      <c r="F1807" s="5"/>
      <c r="G1807" s="5" t="str">
        <f>IFERROR(__xludf.DUMMYFUNCTION("""COMPUTED_VALUE"""),"CG411")</f>
        <v>CG411</v>
      </c>
      <c r="H1807" s="5" t="str">
        <f>IFERROR(__xludf.DUMMYFUNCTION("""COMPUTED_VALUE"""),"1.8HP")</f>
        <v>1.8HP</v>
      </c>
      <c r="I1807" s="5"/>
      <c r="J1807" s="5"/>
      <c r="K1807" s="5">
        <f>IFERROR(__xludf.DUMMYFUNCTION("""COMPUTED_VALUE"""),1.0)</f>
        <v>1</v>
      </c>
      <c r="L1807" s="5" t="str">
        <f>IFERROR(__xludf.DUMMYFUNCTION("""COMPUTED_VALUE"""),"KLH")</f>
        <v>KLH</v>
      </c>
    </row>
    <row r="1808">
      <c r="A1808" s="5" t="str">
        <f>IFERROR(__xludf.DUMMYFUNCTION("""COMPUTED_VALUE"""),"XL3-MPC-069")</f>
        <v>XL3-MPC-069</v>
      </c>
      <c r="B1808" s="3" t="str">
        <f>IFERROR(__xludf.DUMMYFUNCTION("""COMPUTED_VALUE"""),"Máy phát cỏ 2 thì")</f>
        <v>Máy phát cỏ 2 thì</v>
      </c>
      <c r="C1808" s="5" t="str">
        <f>IFERROR(__xludf.DUMMYFUNCTION("""COMPUTED_VALUE"""),"XN Chuối LP3")</f>
        <v>XN Chuối LP3</v>
      </c>
      <c r="D1808" s="5" t="str">
        <f>IFERROR(__xludf.DUMMYFUNCTION("""COMPUTED_VALUE"""),"NAGATA")</f>
        <v>NAGATA</v>
      </c>
      <c r="E1808" s="5"/>
      <c r="F1808" s="5"/>
      <c r="G1808" s="5" t="str">
        <f>IFERROR(__xludf.DUMMYFUNCTION("""COMPUTED_VALUE"""),"CG411")</f>
        <v>CG411</v>
      </c>
      <c r="H1808" s="5" t="str">
        <f>IFERROR(__xludf.DUMMYFUNCTION("""COMPUTED_VALUE"""),"1.8HP")</f>
        <v>1.8HP</v>
      </c>
      <c r="I1808" s="5"/>
      <c r="J1808" s="5"/>
      <c r="K1808" s="5">
        <f>IFERROR(__xludf.DUMMYFUNCTION("""COMPUTED_VALUE"""),1.0)</f>
        <v>1</v>
      </c>
      <c r="L1808" s="5" t="str">
        <f>IFERROR(__xludf.DUMMYFUNCTION("""COMPUTED_VALUE"""),"KLH")</f>
        <v>KLH</v>
      </c>
    </row>
    <row r="1809">
      <c r="A1809" s="5" t="str">
        <f>IFERROR(__xludf.DUMMYFUNCTION("""COMPUTED_VALUE"""),"XL3-MPC-070")</f>
        <v>XL3-MPC-070</v>
      </c>
      <c r="B1809" s="3" t="str">
        <f>IFERROR(__xludf.DUMMYFUNCTION("""COMPUTED_VALUE"""),"Máy phát cỏ 2 thì")</f>
        <v>Máy phát cỏ 2 thì</v>
      </c>
      <c r="C1809" s="5" t="str">
        <f>IFERROR(__xludf.DUMMYFUNCTION("""COMPUTED_VALUE"""),"XN Chuối LP3")</f>
        <v>XN Chuối LP3</v>
      </c>
      <c r="D1809" s="5" t="str">
        <f>IFERROR(__xludf.DUMMYFUNCTION("""COMPUTED_VALUE"""),"NAGATA")</f>
        <v>NAGATA</v>
      </c>
      <c r="E1809" s="5"/>
      <c r="F1809" s="5"/>
      <c r="G1809" s="5" t="str">
        <f>IFERROR(__xludf.DUMMYFUNCTION("""COMPUTED_VALUE"""),"CG411")</f>
        <v>CG411</v>
      </c>
      <c r="H1809" s="5" t="str">
        <f>IFERROR(__xludf.DUMMYFUNCTION("""COMPUTED_VALUE"""),"1.8HP")</f>
        <v>1.8HP</v>
      </c>
      <c r="I1809" s="5"/>
      <c r="J1809" s="5"/>
      <c r="K1809" s="5">
        <f>IFERROR(__xludf.DUMMYFUNCTION("""COMPUTED_VALUE"""),1.0)</f>
        <v>1</v>
      </c>
      <c r="L1809" s="5" t="str">
        <f>IFERROR(__xludf.DUMMYFUNCTION("""COMPUTED_VALUE"""),"KLH")</f>
        <v>KLH</v>
      </c>
    </row>
    <row r="1810">
      <c r="A1810" s="5" t="str">
        <f>IFERROR(__xludf.DUMMYFUNCTION("""COMPUTED_VALUE"""),"DAUNPENH")</f>
        <v>DAUNPENH</v>
      </c>
      <c r="B1810" s="3"/>
      <c r="C1810" s="5"/>
      <c r="D1810" s="5"/>
      <c r="E1810" s="5"/>
      <c r="F1810" s="5"/>
      <c r="G1810" s="5"/>
      <c r="H1810" s="5"/>
      <c r="I1810" s="5"/>
      <c r="J1810" s="5"/>
      <c r="K1810" s="5"/>
      <c r="L1810" s="5" t="str">
        <f>IFERROR(__xludf.DUMMYFUNCTION("""COMPUTED_VALUE"""),"KLH")</f>
        <v>KLH</v>
      </c>
    </row>
    <row r="1811">
      <c r="A1811" s="5" t="str">
        <f>IFERROR(__xludf.DUMMYFUNCTION("""COMPUTED_VALUE"""),"XN DP1")</f>
        <v>XN DP1</v>
      </c>
      <c r="B1811" s="3"/>
      <c r="C1811" s="5"/>
      <c r="D1811" s="5"/>
      <c r="E1811" s="5"/>
      <c r="F1811" s="5"/>
      <c r="G1811" s="5"/>
      <c r="H1811" s="5"/>
      <c r="I1811" s="5"/>
      <c r="J1811" s="5"/>
      <c r="K1811" s="5"/>
      <c r="L1811" s="5" t="str">
        <f>IFERROR(__xludf.DUMMYFUNCTION("""COMPUTED_VALUE"""),"KLH")</f>
        <v>KLH</v>
      </c>
    </row>
    <row r="1812">
      <c r="A1812" s="5" t="str">
        <f>IFERROR(__xludf.DUMMYFUNCTION("""COMPUTED_VALUE"""),"XD1-MPC-020")</f>
        <v>XD1-MPC-020</v>
      </c>
      <c r="B1812" s="3" t="str">
        <f>IFERROR(__xludf.DUMMYFUNCTION("""COMPUTED_VALUE"""),"Máy phát cỏ 4 thì")</f>
        <v>Máy phát cỏ 4 thì</v>
      </c>
      <c r="C1812" s="5" t="str">
        <f>IFERROR(__xludf.DUMMYFUNCTION("""COMPUTED_VALUE"""),"XN Chuối DP1")</f>
        <v>XN Chuối DP1</v>
      </c>
      <c r="D1812" s="5" t="str">
        <f>IFERROR(__xludf.DUMMYFUNCTION("""COMPUTED_VALUE"""),"HONDA")</f>
        <v>HONDA</v>
      </c>
      <c r="E1812" s="5" t="str">
        <f>IFERROR(__xludf.DUMMYFUNCTION("""COMPUTED_VALUE"""),"Trung Quốc")</f>
        <v>Trung Quốc</v>
      </c>
      <c r="F1812" s="5"/>
      <c r="G1812" s="5" t="str">
        <f>IFERROR(__xludf.DUMMYFUNCTION("""COMPUTED_VALUE"""),"GX35")</f>
        <v>GX35</v>
      </c>
      <c r="H1812" s="5" t="str">
        <f>IFERROR(__xludf.DUMMYFUNCTION("""COMPUTED_VALUE"""),"1.6HP")</f>
        <v>1.6HP</v>
      </c>
      <c r="I1812" s="5"/>
      <c r="J1812" s="5"/>
      <c r="K1812" s="5">
        <f>IFERROR(__xludf.DUMMYFUNCTION("""COMPUTED_VALUE"""),0.5)</f>
        <v>0.5</v>
      </c>
      <c r="L1812" s="5" t="str">
        <f>IFERROR(__xludf.DUMMYFUNCTION("""COMPUTED_VALUE"""),"KLH")</f>
        <v>KLH</v>
      </c>
    </row>
    <row r="1813">
      <c r="A1813" s="5" t="str">
        <f>IFERROR(__xludf.DUMMYFUNCTION("""COMPUTED_VALUE"""),"XD1-MPC-021")</f>
        <v>XD1-MPC-021</v>
      </c>
      <c r="B1813" s="3" t="str">
        <f>IFERROR(__xludf.DUMMYFUNCTION("""COMPUTED_VALUE"""),"Máy phát cỏ 4 thì")</f>
        <v>Máy phát cỏ 4 thì</v>
      </c>
      <c r="C1813" s="5" t="str">
        <f>IFERROR(__xludf.DUMMYFUNCTION("""COMPUTED_VALUE"""),"XN Chuối DP1")</f>
        <v>XN Chuối DP1</v>
      </c>
      <c r="D1813" s="5" t="str">
        <f>IFERROR(__xludf.DUMMYFUNCTION("""COMPUTED_VALUE"""),"HONDA")</f>
        <v>HONDA</v>
      </c>
      <c r="E1813" s="5" t="str">
        <f>IFERROR(__xludf.DUMMYFUNCTION("""COMPUTED_VALUE"""),"Trung Quốc")</f>
        <v>Trung Quốc</v>
      </c>
      <c r="F1813" s="5"/>
      <c r="G1813" s="5" t="str">
        <f>IFERROR(__xludf.DUMMYFUNCTION("""COMPUTED_VALUE"""),"GX35")</f>
        <v>GX35</v>
      </c>
      <c r="H1813" s="5" t="str">
        <f>IFERROR(__xludf.DUMMYFUNCTION("""COMPUTED_VALUE"""),"1.6HP")</f>
        <v>1.6HP</v>
      </c>
      <c r="I1813" s="5"/>
      <c r="J1813" s="5"/>
      <c r="K1813" s="5">
        <f>IFERROR(__xludf.DUMMYFUNCTION("""COMPUTED_VALUE"""),0.5)</f>
        <v>0.5</v>
      </c>
      <c r="L1813" s="5" t="str">
        <f>IFERROR(__xludf.DUMMYFUNCTION("""COMPUTED_VALUE"""),"KLH")</f>
        <v>KLH</v>
      </c>
    </row>
    <row r="1814">
      <c r="A1814" s="5" t="str">
        <f>IFERROR(__xludf.DUMMYFUNCTION("""COMPUTED_VALUE"""),"XD1-MPC-022")</f>
        <v>XD1-MPC-022</v>
      </c>
      <c r="B1814" s="3" t="str">
        <f>IFERROR(__xludf.DUMMYFUNCTION("""COMPUTED_VALUE"""),"Máy phát cỏ 4 thì")</f>
        <v>Máy phát cỏ 4 thì</v>
      </c>
      <c r="C1814" s="5" t="str">
        <f>IFERROR(__xludf.DUMMYFUNCTION("""COMPUTED_VALUE"""),"XN Chuối DP1")</f>
        <v>XN Chuối DP1</v>
      </c>
      <c r="D1814" s="5" t="str">
        <f>IFERROR(__xludf.DUMMYFUNCTION("""COMPUTED_VALUE"""),"HONDA")</f>
        <v>HONDA</v>
      </c>
      <c r="E1814" s="5" t="str">
        <f>IFERROR(__xludf.DUMMYFUNCTION("""COMPUTED_VALUE"""),"Trung Quốc")</f>
        <v>Trung Quốc</v>
      </c>
      <c r="F1814" s="5"/>
      <c r="G1814" s="5" t="str">
        <f>IFERROR(__xludf.DUMMYFUNCTION("""COMPUTED_VALUE"""),"GX35")</f>
        <v>GX35</v>
      </c>
      <c r="H1814" s="5" t="str">
        <f>IFERROR(__xludf.DUMMYFUNCTION("""COMPUTED_VALUE"""),"1.6HP")</f>
        <v>1.6HP</v>
      </c>
      <c r="I1814" s="5"/>
      <c r="J1814" s="5"/>
      <c r="K1814" s="5">
        <f>IFERROR(__xludf.DUMMYFUNCTION("""COMPUTED_VALUE"""),0.5)</f>
        <v>0.5</v>
      </c>
      <c r="L1814" s="5" t="str">
        <f>IFERROR(__xludf.DUMMYFUNCTION("""COMPUTED_VALUE"""),"KLH")</f>
        <v>KLH</v>
      </c>
    </row>
    <row r="1815">
      <c r="A1815" s="5" t="str">
        <f>IFERROR(__xludf.DUMMYFUNCTION("""COMPUTED_VALUE"""),"XD1-MPC-023")</f>
        <v>XD1-MPC-023</v>
      </c>
      <c r="B1815" s="3" t="str">
        <f>IFERROR(__xludf.DUMMYFUNCTION("""COMPUTED_VALUE"""),"Máy phát cỏ 4 thì")</f>
        <v>Máy phát cỏ 4 thì</v>
      </c>
      <c r="C1815" s="5" t="str">
        <f>IFERROR(__xludf.DUMMYFUNCTION("""COMPUTED_VALUE"""),"XN Chuối DP1")</f>
        <v>XN Chuối DP1</v>
      </c>
      <c r="D1815" s="5" t="str">
        <f>IFERROR(__xludf.DUMMYFUNCTION("""COMPUTED_VALUE"""),"HONDA")</f>
        <v>HONDA</v>
      </c>
      <c r="E1815" s="5" t="str">
        <f>IFERROR(__xludf.DUMMYFUNCTION("""COMPUTED_VALUE"""),"Trung Quốc")</f>
        <v>Trung Quốc</v>
      </c>
      <c r="F1815" s="5"/>
      <c r="G1815" s="5" t="str">
        <f>IFERROR(__xludf.DUMMYFUNCTION("""COMPUTED_VALUE"""),"GX35")</f>
        <v>GX35</v>
      </c>
      <c r="H1815" s="5" t="str">
        <f>IFERROR(__xludf.DUMMYFUNCTION("""COMPUTED_VALUE"""),"1.6HP")</f>
        <v>1.6HP</v>
      </c>
      <c r="I1815" s="5"/>
      <c r="J1815" s="5"/>
      <c r="K1815" s="5">
        <f>IFERROR(__xludf.DUMMYFUNCTION("""COMPUTED_VALUE"""),0.5)</f>
        <v>0.5</v>
      </c>
      <c r="L1815" s="5" t="str">
        <f>IFERROR(__xludf.DUMMYFUNCTION("""COMPUTED_VALUE"""),"KLH")</f>
        <v>KLH</v>
      </c>
    </row>
    <row r="1816">
      <c r="A1816" s="5" t="str">
        <f>IFERROR(__xludf.DUMMYFUNCTION("""COMPUTED_VALUE"""),"XD1-MPC-024")</f>
        <v>XD1-MPC-024</v>
      </c>
      <c r="B1816" s="3" t="str">
        <f>IFERROR(__xludf.DUMMYFUNCTION("""COMPUTED_VALUE"""),"Máy phát cỏ 4 thì")</f>
        <v>Máy phát cỏ 4 thì</v>
      </c>
      <c r="C1816" s="5" t="str">
        <f>IFERROR(__xludf.DUMMYFUNCTION("""COMPUTED_VALUE"""),"XN Chuối DP1")</f>
        <v>XN Chuối DP1</v>
      </c>
      <c r="D1816" s="5" t="str">
        <f>IFERROR(__xludf.DUMMYFUNCTION("""COMPUTED_VALUE"""),"HONDA")</f>
        <v>HONDA</v>
      </c>
      <c r="E1816" s="5" t="str">
        <f>IFERROR(__xludf.DUMMYFUNCTION("""COMPUTED_VALUE"""),"Trung Quốc")</f>
        <v>Trung Quốc</v>
      </c>
      <c r="F1816" s="5"/>
      <c r="G1816" s="5" t="str">
        <f>IFERROR(__xludf.DUMMYFUNCTION("""COMPUTED_VALUE"""),"GX35")</f>
        <v>GX35</v>
      </c>
      <c r="H1816" s="5" t="str">
        <f>IFERROR(__xludf.DUMMYFUNCTION("""COMPUTED_VALUE"""),"1.6HP")</f>
        <v>1.6HP</v>
      </c>
      <c r="I1816" s="5"/>
      <c r="J1816" s="5"/>
      <c r="K1816" s="5">
        <f>IFERROR(__xludf.DUMMYFUNCTION("""COMPUTED_VALUE"""),0.5)</f>
        <v>0.5</v>
      </c>
      <c r="L1816" s="5" t="str">
        <f>IFERROR(__xludf.DUMMYFUNCTION("""COMPUTED_VALUE"""),"KLH")</f>
        <v>KLH</v>
      </c>
    </row>
    <row r="1817">
      <c r="A1817" s="5" t="str">
        <f>IFERROR(__xludf.DUMMYFUNCTION("""COMPUTED_VALUE"""),"XD1-MPC-025")</f>
        <v>XD1-MPC-025</v>
      </c>
      <c r="B1817" s="3" t="str">
        <f>IFERROR(__xludf.DUMMYFUNCTION("""COMPUTED_VALUE"""),"Máy phát cỏ 4 thì")</f>
        <v>Máy phát cỏ 4 thì</v>
      </c>
      <c r="C1817" s="5" t="str">
        <f>IFERROR(__xludf.DUMMYFUNCTION("""COMPUTED_VALUE"""),"XN Chuối DP1")</f>
        <v>XN Chuối DP1</v>
      </c>
      <c r="D1817" s="5" t="str">
        <f>IFERROR(__xludf.DUMMYFUNCTION("""COMPUTED_VALUE"""),"HONDA")</f>
        <v>HONDA</v>
      </c>
      <c r="E1817" s="5" t="str">
        <f>IFERROR(__xludf.DUMMYFUNCTION("""COMPUTED_VALUE"""),"Trung Quốc")</f>
        <v>Trung Quốc</v>
      </c>
      <c r="F1817" s="5"/>
      <c r="G1817" s="5" t="str">
        <f>IFERROR(__xludf.DUMMYFUNCTION("""COMPUTED_VALUE"""),"GX35")</f>
        <v>GX35</v>
      </c>
      <c r="H1817" s="5" t="str">
        <f>IFERROR(__xludf.DUMMYFUNCTION("""COMPUTED_VALUE"""),"1.6HP")</f>
        <v>1.6HP</v>
      </c>
      <c r="I1817" s="5"/>
      <c r="J1817" s="5"/>
      <c r="K1817" s="5">
        <f>IFERROR(__xludf.DUMMYFUNCTION("""COMPUTED_VALUE"""),0.5)</f>
        <v>0.5</v>
      </c>
      <c r="L1817" s="5" t="str">
        <f>IFERROR(__xludf.DUMMYFUNCTION("""COMPUTED_VALUE"""),"KLH")</f>
        <v>KLH</v>
      </c>
    </row>
    <row r="1818">
      <c r="A1818" s="5" t="str">
        <f>IFERROR(__xludf.DUMMYFUNCTION("""COMPUTED_VALUE"""),"XD1-MPC-026")</f>
        <v>XD1-MPC-026</v>
      </c>
      <c r="B1818" s="3" t="str">
        <f>IFERROR(__xludf.DUMMYFUNCTION("""COMPUTED_VALUE"""),"Máy phát cỏ 4 thì")</f>
        <v>Máy phát cỏ 4 thì</v>
      </c>
      <c r="C1818" s="5" t="str">
        <f>IFERROR(__xludf.DUMMYFUNCTION("""COMPUTED_VALUE"""),"XN Chuối DP1")</f>
        <v>XN Chuối DP1</v>
      </c>
      <c r="D1818" s="5" t="str">
        <f>IFERROR(__xludf.DUMMYFUNCTION("""COMPUTED_VALUE"""),"HONDA")</f>
        <v>HONDA</v>
      </c>
      <c r="E1818" s="5" t="str">
        <f>IFERROR(__xludf.DUMMYFUNCTION("""COMPUTED_VALUE"""),"Trung Quốc")</f>
        <v>Trung Quốc</v>
      </c>
      <c r="F1818" s="5"/>
      <c r="G1818" s="5" t="str">
        <f>IFERROR(__xludf.DUMMYFUNCTION("""COMPUTED_VALUE"""),"GX35")</f>
        <v>GX35</v>
      </c>
      <c r="H1818" s="5" t="str">
        <f>IFERROR(__xludf.DUMMYFUNCTION("""COMPUTED_VALUE"""),"1.6HP")</f>
        <v>1.6HP</v>
      </c>
      <c r="I1818" s="5"/>
      <c r="J1818" s="5"/>
      <c r="K1818" s="5">
        <f>IFERROR(__xludf.DUMMYFUNCTION("""COMPUTED_VALUE"""),0.5)</f>
        <v>0.5</v>
      </c>
      <c r="L1818" s="5" t="str">
        <f>IFERROR(__xludf.DUMMYFUNCTION("""COMPUTED_VALUE"""),"KLH")</f>
        <v>KLH</v>
      </c>
    </row>
    <row r="1819">
      <c r="A1819" s="5" t="str">
        <f>IFERROR(__xludf.DUMMYFUNCTION("""COMPUTED_VALUE"""),"XD1-MPC-027")</f>
        <v>XD1-MPC-027</v>
      </c>
      <c r="B1819" s="3" t="str">
        <f>IFERROR(__xludf.DUMMYFUNCTION("""COMPUTED_VALUE"""),"Máy phát cỏ 4 thì")</f>
        <v>Máy phát cỏ 4 thì</v>
      </c>
      <c r="C1819" s="5" t="str">
        <f>IFERROR(__xludf.DUMMYFUNCTION("""COMPUTED_VALUE"""),"XN Chuối DP1")</f>
        <v>XN Chuối DP1</v>
      </c>
      <c r="D1819" s="5" t="str">
        <f>IFERROR(__xludf.DUMMYFUNCTION("""COMPUTED_VALUE"""),"HONDA")</f>
        <v>HONDA</v>
      </c>
      <c r="E1819" s="5" t="str">
        <f>IFERROR(__xludf.DUMMYFUNCTION("""COMPUTED_VALUE"""),"Trung Quốc")</f>
        <v>Trung Quốc</v>
      </c>
      <c r="F1819" s="5"/>
      <c r="G1819" s="5" t="str">
        <f>IFERROR(__xludf.DUMMYFUNCTION("""COMPUTED_VALUE"""),"GX35")</f>
        <v>GX35</v>
      </c>
      <c r="H1819" s="5" t="str">
        <f>IFERROR(__xludf.DUMMYFUNCTION("""COMPUTED_VALUE"""),"1.6HP")</f>
        <v>1.6HP</v>
      </c>
      <c r="I1819" s="5"/>
      <c r="J1819" s="5"/>
      <c r="K1819" s="5">
        <f>IFERROR(__xludf.DUMMYFUNCTION("""COMPUTED_VALUE"""),0.5)</f>
        <v>0.5</v>
      </c>
      <c r="L1819" s="5" t="str">
        <f>IFERROR(__xludf.DUMMYFUNCTION("""COMPUTED_VALUE"""),"KLH")</f>
        <v>KLH</v>
      </c>
    </row>
    <row r="1820">
      <c r="A1820" s="5" t="str">
        <f>IFERROR(__xludf.DUMMYFUNCTION("""COMPUTED_VALUE"""),"XD1-MPC-028")</f>
        <v>XD1-MPC-028</v>
      </c>
      <c r="B1820" s="3" t="str">
        <f>IFERROR(__xludf.DUMMYFUNCTION("""COMPUTED_VALUE"""),"Máy phát cỏ 4 thì")</f>
        <v>Máy phát cỏ 4 thì</v>
      </c>
      <c r="C1820" s="5" t="str">
        <f>IFERROR(__xludf.DUMMYFUNCTION("""COMPUTED_VALUE"""),"XN Chuối DP1")</f>
        <v>XN Chuối DP1</v>
      </c>
      <c r="D1820" s="5" t="str">
        <f>IFERROR(__xludf.DUMMYFUNCTION("""COMPUTED_VALUE"""),"HONDA")</f>
        <v>HONDA</v>
      </c>
      <c r="E1820" s="5" t="str">
        <f>IFERROR(__xludf.DUMMYFUNCTION("""COMPUTED_VALUE"""),"Trung Quốc")</f>
        <v>Trung Quốc</v>
      </c>
      <c r="F1820" s="5"/>
      <c r="G1820" s="5" t="str">
        <f>IFERROR(__xludf.DUMMYFUNCTION("""COMPUTED_VALUE"""),"GX35")</f>
        <v>GX35</v>
      </c>
      <c r="H1820" s="5" t="str">
        <f>IFERROR(__xludf.DUMMYFUNCTION("""COMPUTED_VALUE"""),"1.6HP")</f>
        <v>1.6HP</v>
      </c>
      <c r="I1820" s="5"/>
      <c r="J1820" s="5"/>
      <c r="K1820" s="5">
        <f>IFERROR(__xludf.DUMMYFUNCTION("""COMPUTED_VALUE"""),0.5)</f>
        <v>0.5</v>
      </c>
      <c r="L1820" s="5" t="str">
        <f>IFERROR(__xludf.DUMMYFUNCTION("""COMPUTED_VALUE"""),"KLH")</f>
        <v>KLH</v>
      </c>
    </row>
    <row r="1821">
      <c r="A1821" s="5" t="str">
        <f>IFERROR(__xludf.DUMMYFUNCTION("""COMPUTED_VALUE"""),"XD1-MPC-029")</f>
        <v>XD1-MPC-029</v>
      </c>
      <c r="B1821" s="3" t="str">
        <f>IFERROR(__xludf.DUMMYFUNCTION("""COMPUTED_VALUE"""),"Máy phát cỏ 4 thì")</f>
        <v>Máy phát cỏ 4 thì</v>
      </c>
      <c r="C1821" s="5" t="str">
        <f>IFERROR(__xludf.DUMMYFUNCTION("""COMPUTED_VALUE"""),"XN Chuối DP1")</f>
        <v>XN Chuối DP1</v>
      </c>
      <c r="D1821" s="5" t="str">
        <f>IFERROR(__xludf.DUMMYFUNCTION("""COMPUTED_VALUE"""),"HONDA")</f>
        <v>HONDA</v>
      </c>
      <c r="E1821" s="5" t="str">
        <f>IFERROR(__xludf.DUMMYFUNCTION("""COMPUTED_VALUE"""),"Trung Quốc")</f>
        <v>Trung Quốc</v>
      </c>
      <c r="F1821" s="5"/>
      <c r="G1821" s="5" t="str">
        <f>IFERROR(__xludf.DUMMYFUNCTION("""COMPUTED_VALUE"""),"GX35")</f>
        <v>GX35</v>
      </c>
      <c r="H1821" s="5" t="str">
        <f>IFERROR(__xludf.DUMMYFUNCTION("""COMPUTED_VALUE"""),"1.6HP")</f>
        <v>1.6HP</v>
      </c>
      <c r="I1821" s="5"/>
      <c r="J1821" s="5"/>
      <c r="K1821" s="5">
        <f>IFERROR(__xludf.DUMMYFUNCTION("""COMPUTED_VALUE"""),0.5)</f>
        <v>0.5</v>
      </c>
      <c r="L1821" s="5" t="str">
        <f>IFERROR(__xludf.DUMMYFUNCTION("""COMPUTED_VALUE"""),"KLH")</f>
        <v>KLH</v>
      </c>
    </row>
    <row r="1822">
      <c r="A1822" s="5" t="str">
        <f>IFERROR(__xludf.DUMMYFUNCTION("""COMPUTED_VALUE"""),"XD1-MPC-030")</f>
        <v>XD1-MPC-030</v>
      </c>
      <c r="B1822" s="3" t="str">
        <f>IFERROR(__xludf.DUMMYFUNCTION("""COMPUTED_VALUE"""),"Máy phát cỏ 4 thì")</f>
        <v>Máy phát cỏ 4 thì</v>
      </c>
      <c r="C1822" s="5" t="str">
        <f>IFERROR(__xludf.DUMMYFUNCTION("""COMPUTED_VALUE"""),"XN Chuối DP1")</f>
        <v>XN Chuối DP1</v>
      </c>
      <c r="D1822" s="5" t="str">
        <f>IFERROR(__xludf.DUMMYFUNCTION("""COMPUTED_VALUE"""),"HONDA")</f>
        <v>HONDA</v>
      </c>
      <c r="E1822" s="5" t="str">
        <f>IFERROR(__xludf.DUMMYFUNCTION("""COMPUTED_VALUE"""),"Trung Quốc")</f>
        <v>Trung Quốc</v>
      </c>
      <c r="F1822" s="5"/>
      <c r="G1822" s="5" t="str">
        <f>IFERROR(__xludf.DUMMYFUNCTION("""COMPUTED_VALUE"""),"GX35")</f>
        <v>GX35</v>
      </c>
      <c r="H1822" s="5" t="str">
        <f>IFERROR(__xludf.DUMMYFUNCTION("""COMPUTED_VALUE"""),"1.6HP")</f>
        <v>1.6HP</v>
      </c>
      <c r="I1822" s="5"/>
      <c r="J1822" s="5"/>
      <c r="K1822" s="5">
        <f>IFERROR(__xludf.DUMMYFUNCTION("""COMPUTED_VALUE"""),0.5)</f>
        <v>0.5</v>
      </c>
      <c r="L1822" s="5" t="str">
        <f>IFERROR(__xludf.DUMMYFUNCTION("""COMPUTED_VALUE"""),"KLH")</f>
        <v>KLH</v>
      </c>
    </row>
    <row r="1823">
      <c r="A1823" s="5" t="str">
        <f>IFERROR(__xludf.DUMMYFUNCTION("""COMPUTED_VALUE"""),"XD1-MPC-031")</f>
        <v>XD1-MPC-031</v>
      </c>
      <c r="B1823" s="3" t="str">
        <f>IFERROR(__xludf.DUMMYFUNCTION("""COMPUTED_VALUE"""),"Máy phát cỏ 4 thì")</f>
        <v>Máy phát cỏ 4 thì</v>
      </c>
      <c r="C1823" s="5" t="str">
        <f>IFERROR(__xludf.DUMMYFUNCTION("""COMPUTED_VALUE"""),"XN Chuối DP1")</f>
        <v>XN Chuối DP1</v>
      </c>
      <c r="D1823" s="5" t="str">
        <f>IFERROR(__xludf.DUMMYFUNCTION("""COMPUTED_VALUE"""),"HONDA")</f>
        <v>HONDA</v>
      </c>
      <c r="E1823" s="5" t="str">
        <f>IFERROR(__xludf.DUMMYFUNCTION("""COMPUTED_VALUE"""),"Trung Quốc")</f>
        <v>Trung Quốc</v>
      </c>
      <c r="F1823" s="5"/>
      <c r="G1823" s="5" t="str">
        <f>IFERROR(__xludf.DUMMYFUNCTION("""COMPUTED_VALUE"""),"GX35")</f>
        <v>GX35</v>
      </c>
      <c r="H1823" s="5" t="str">
        <f>IFERROR(__xludf.DUMMYFUNCTION("""COMPUTED_VALUE"""),"1.6HP")</f>
        <v>1.6HP</v>
      </c>
      <c r="I1823" s="5"/>
      <c r="J1823" s="5"/>
      <c r="K1823" s="5">
        <f>IFERROR(__xludf.DUMMYFUNCTION("""COMPUTED_VALUE"""),0.5)</f>
        <v>0.5</v>
      </c>
      <c r="L1823" s="5" t="str">
        <f>IFERROR(__xludf.DUMMYFUNCTION("""COMPUTED_VALUE"""),"KLH")</f>
        <v>KLH</v>
      </c>
    </row>
    <row r="1824">
      <c r="A1824" s="5" t="str">
        <f>IFERROR(__xludf.DUMMYFUNCTION("""COMPUTED_VALUE"""),"XD1-MPC-032")</f>
        <v>XD1-MPC-032</v>
      </c>
      <c r="B1824" s="3" t="str">
        <f>IFERROR(__xludf.DUMMYFUNCTION("""COMPUTED_VALUE"""),"Máy phát cỏ 4 thì")</f>
        <v>Máy phát cỏ 4 thì</v>
      </c>
      <c r="C1824" s="5" t="str">
        <f>IFERROR(__xludf.DUMMYFUNCTION("""COMPUTED_VALUE"""),"XN Chuối DP1")</f>
        <v>XN Chuối DP1</v>
      </c>
      <c r="D1824" s="5" t="str">
        <f>IFERROR(__xludf.DUMMYFUNCTION("""COMPUTED_VALUE"""),"HONDA")</f>
        <v>HONDA</v>
      </c>
      <c r="E1824" s="5" t="str">
        <f>IFERROR(__xludf.DUMMYFUNCTION("""COMPUTED_VALUE"""),"Trung Quốc")</f>
        <v>Trung Quốc</v>
      </c>
      <c r="F1824" s="5"/>
      <c r="G1824" s="5" t="str">
        <f>IFERROR(__xludf.DUMMYFUNCTION("""COMPUTED_VALUE"""),"GX35")</f>
        <v>GX35</v>
      </c>
      <c r="H1824" s="5" t="str">
        <f>IFERROR(__xludf.DUMMYFUNCTION("""COMPUTED_VALUE"""),"1.6HP")</f>
        <v>1.6HP</v>
      </c>
      <c r="I1824" s="5"/>
      <c r="J1824" s="5"/>
      <c r="K1824" s="5">
        <f>IFERROR(__xludf.DUMMYFUNCTION("""COMPUTED_VALUE"""),0.5)</f>
        <v>0.5</v>
      </c>
      <c r="L1824" s="5" t="str">
        <f>IFERROR(__xludf.DUMMYFUNCTION("""COMPUTED_VALUE"""),"KLH")</f>
        <v>KLH</v>
      </c>
    </row>
    <row r="1825">
      <c r="A1825" s="5" t="str">
        <f>IFERROR(__xludf.DUMMYFUNCTION("""COMPUTED_VALUE"""),"XD1-MPC-033")</f>
        <v>XD1-MPC-033</v>
      </c>
      <c r="B1825" s="3" t="str">
        <f>IFERROR(__xludf.DUMMYFUNCTION("""COMPUTED_VALUE"""),"Máy phát cỏ 4 thì")</f>
        <v>Máy phát cỏ 4 thì</v>
      </c>
      <c r="C1825" s="5" t="str">
        <f>IFERROR(__xludf.DUMMYFUNCTION("""COMPUTED_VALUE"""),"XN Chuối DP1")</f>
        <v>XN Chuối DP1</v>
      </c>
      <c r="D1825" s="5" t="str">
        <f>IFERROR(__xludf.DUMMYFUNCTION("""COMPUTED_VALUE"""),"HONDA")</f>
        <v>HONDA</v>
      </c>
      <c r="E1825" s="5" t="str">
        <f>IFERROR(__xludf.DUMMYFUNCTION("""COMPUTED_VALUE"""),"Trung Quốc")</f>
        <v>Trung Quốc</v>
      </c>
      <c r="F1825" s="5"/>
      <c r="G1825" s="5" t="str">
        <f>IFERROR(__xludf.DUMMYFUNCTION("""COMPUTED_VALUE"""),"GX35")</f>
        <v>GX35</v>
      </c>
      <c r="H1825" s="5" t="str">
        <f>IFERROR(__xludf.DUMMYFUNCTION("""COMPUTED_VALUE"""),"1.6HP")</f>
        <v>1.6HP</v>
      </c>
      <c r="I1825" s="5"/>
      <c r="J1825" s="5"/>
      <c r="K1825" s="5">
        <f>IFERROR(__xludf.DUMMYFUNCTION("""COMPUTED_VALUE"""),0.5)</f>
        <v>0.5</v>
      </c>
      <c r="L1825" s="5" t="str">
        <f>IFERROR(__xludf.DUMMYFUNCTION("""COMPUTED_VALUE"""),"KLH")</f>
        <v>KLH</v>
      </c>
    </row>
    <row r="1826">
      <c r="A1826" s="5" t="str">
        <f>IFERROR(__xludf.DUMMYFUNCTION("""COMPUTED_VALUE"""),"XD1-MPC-034")</f>
        <v>XD1-MPC-034</v>
      </c>
      <c r="B1826" s="3" t="str">
        <f>IFERROR(__xludf.DUMMYFUNCTION("""COMPUTED_VALUE"""),"Máy phát cỏ 4 thì")</f>
        <v>Máy phát cỏ 4 thì</v>
      </c>
      <c r="C1826" s="5" t="str">
        <f>IFERROR(__xludf.DUMMYFUNCTION("""COMPUTED_VALUE"""),"XN Chuối DP1")</f>
        <v>XN Chuối DP1</v>
      </c>
      <c r="D1826" s="5" t="str">
        <f>IFERROR(__xludf.DUMMYFUNCTION("""COMPUTED_VALUE"""),"HONDA")</f>
        <v>HONDA</v>
      </c>
      <c r="E1826" s="5" t="str">
        <f>IFERROR(__xludf.DUMMYFUNCTION("""COMPUTED_VALUE"""),"Trung Quốc")</f>
        <v>Trung Quốc</v>
      </c>
      <c r="F1826" s="5"/>
      <c r="G1826" s="5" t="str">
        <f>IFERROR(__xludf.DUMMYFUNCTION("""COMPUTED_VALUE"""),"GX35")</f>
        <v>GX35</v>
      </c>
      <c r="H1826" s="5" t="str">
        <f>IFERROR(__xludf.DUMMYFUNCTION("""COMPUTED_VALUE"""),"1.6HP")</f>
        <v>1.6HP</v>
      </c>
      <c r="I1826" s="5"/>
      <c r="J1826" s="5"/>
      <c r="K1826" s="5">
        <f>IFERROR(__xludf.DUMMYFUNCTION("""COMPUTED_VALUE"""),0.5)</f>
        <v>0.5</v>
      </c>
      <c r="L1826" s="5" t="str">
        <f>IFERROR(__xludf.DUMMYFUNCTION("""COMPUTED_VALUE"""),"KLH")</f>
        <v>KLH</v>
      </c>
    </row>
    <row r="1827">
      <c r="A1827" s="5" t="str">
        <f>IFERROR(__xludf.DUMMYFUNCTION("""COMPUTED_VALUE"""),"XD1-MPC-035")</f>
        <v>XD1-MPC-035</v>
      </c>
      <c r="B1827" s="3" t="str">
        <f>IFERROR(__xludf.DUMMYFUNCTION("""COMPUTED_VALUE"""),"Máy phát cỏ 4 thì")</f>
        <v>Máy phát cỏ 4 thì</v>
      </c>
      <c r="C1827" s="5" t="str">
        <f>IFERROR(__xludf.DUMMYFUNCTION("""COMPUTED_VALUE"""),"XN Chuối DP1")</f>
        <v>XN Chuối DP1</v>
      </c>
      <c r="D1827" s="5" t="str">
        <f>IFERROR(__xludf.DUMMYFUNCTION("""COMPUTED_VALUE"""),"HONDA")</f>
        <v>HONDA</v>
      </c>
      <c r="E1827" s="5" t="str">
        <f>IFERROR(__xludf.DUMMYFUNCTION("""COMPUTED_VALUE"""),"Trung Quốc")</f>
        <v>Trung Quốc</v>
      </c>
      <c r="F1827" s="5"/>
      <c r="G1827" s="5" t="str">
        <f>IFERROR(__xludf.DUMMYFUNCTION("""COMPUTED_VALUE"""),"GX35")</f>
        <v>GX35</v>
      </c>
      <c r="H1827" s="5" t="str">
        <f>IFERROR(__xludf.DUMMYFUNCTION("""COMPUTED_VALUE"""),"1.6HP")</f>
        <v>1.6HP</v>
      </c>
      <c r="I1827" s="5"/>
      <c r="J1827" s="5"/>
      <c r="K1827" s="5">
        <f>IFERROR(__xludf.DUMMYFUNCTION("""COMPUTED_VALUE"""),0.5)</f>
        <v>0.5</v>
      </c>
      <c r="L1827" s="5" t="str">
        <f>IFERROR(__xludf.DUMMYFUNCTION("""COMPUTED_VALUE"""),"KLH")</f>
        <v>KLH</v>
      </c>
    </row>
    <row r="1828">
      <c r="A1828" s="5" t="str">
        <f>IFERROR(__xludf.DUMMYFUNCTION("""COMPUTED_VALUE"""),"XD1-MPC-036")</f>
        <v>XD1-MPC-036</v>
      </c>
      <c r="B1828" s="3" t="str">
        <f>IFERROR(__xludf.DUMMYFUNCTION("""COMPUTED_VALUE"""),"Máy phát cỏ 4 thì")</f>
        <v>Máy phát cỏ 4 thì</v>
      </c>
      <c r="C1828" s="5" t="str">
        <f>IFERROR(__xludf.DUMMYFUNCTION("""COMPUTED_VALUE"""),"XN Chuối DP1")</f>
        <v>XN Chuối DP1</v>
      </c>
      <c r="D1828" s="5" t="str">
        <f>IFERROR(__xludf.DUMMYFUNCTION("""COMPUTED_VALUE"""),"HONDA")</f>
        <v>HONDA</v>
      </c>
      <c r="E1828" s="5" t="str">
        <f>IFERROR(__xludf.DUMMYFUNCTION("""COMPUTED_VALUE"""),"Trung Quốc")</f>
        <v>Trung Quốc</v>
      </c>
      <c r="F1828" s="5"/>
      <c r="G1828" s="5" t="str">
        <f>IFERROR(__xludf.DUMMYFUNCTION("""COMPUTED_VALUE"""),"GX35")</f>
        <v>GX35</v>
      </c>
      <c r="H1828" s="5" t="str">
        <f>IFERROR(__xludf.DUMMYFUNCTION("""COMPUTED_VALUE"""),"1.6HP")</f>
        <v>1.6HP</v>
      </c>
      <c r="I1828" s="5"/>
      <c r="J1828" s="5"/>
      <c r="K1828" s="5">
        <f>IFERROR(__xludf.DUMMYFUNCTION("""COMPUTED_VALUE"""),0.5)</f>
        <v>0.5</v>
      </c>
      <c r="L1828" s="5" t="str">
        <f>IFERROR(__xludf.DUMMYFUNCTION("""COMPUTED_VALUE"""),"KLH")</f>
        <v>KLH</v>
      </c>
    </row>
    <row r="1829">
      <c r="A1829" s="5" t="str">
        <f>IFERROR(__xludf.DUMMYFUNCTION("""COMPUTED_VALUE"""),"XD1-MPC-037")</f>
        <v>XD1-MPC-037</v>
      </c>
      <c r="B1829" s="3" t="str">
        <f>IFERROR(__xludf.DUMMYFUNCTION("""COMPUTED_VALUE"""),"Máy phát cỏ 4 thì")</f>
        <v>Máy phát cỏ 4 thì</v>
      </c>
      <c r="C1829" s="5" t="str">
        <f>IFERROR(__xludf.DUMMYFUNCTION("""COMPUTED_VALUE"""),"XN Chuối DP1")</f>
        <v>XN Chuối DP1</v>
      </c>
      <c r="D1829" s="5" t="str">
        <f>IFERROR(__xludf.DUMMYFUNCTION("""COMPUTED_VALUE"""),"HONDA")</f>
        <v>HONDA</v>
      </c>
      <c r="E1829" s="5" t="str">
        <f>IFERROR(__xludf.DUMMYFUNCTION("""COMPUTED_VALUE"""),"Trung Quốc")</f>
        <v>Trung Quốc</v>
      </c>
      <c r="F1829" s="5"/>
      <c r="G1829" s="5" t="str">
        <f>IFERROR(__xludf.DUMMYFUNCTION("""COMPUTED_VALUE"""),"GX35")</f>
        <v>GX35</v>
      </c>
      <c r="H1829" s="5" t="str">
        <f>IFERROR(__xludf.DUMMYFUNCTION("""COMPUTED_VALUE"""),"1.6HP")</f>
        <v>1.6HP</v>
      </c>
      <c r="I1829" s="5"/>
      <c r="J1829" s="5"/>
      <c r="K1829" s="5">
        <f>IFERROR(__xludf.DUMMYFUNCTION("""COMPUTED_VALUE"""),0.5)</f>
        <v>0.5</v>
      </c>
      <c r="L1829" s="5" t="str">
        <f>IFERROR(__xludf.DUMMYFUNCTION("""COMPUTED_VALUE"""),"KLH")</f>
        <v>KLH</v>
      </c>
    </row>
    <row r="1830">
      <c r="A1830" s="5" t="str">
        <f>IFERROR(__xludf.DUMMYFUNCTION("""COMPUTED_VALUE"""),"XD1-MPC-038")</f>
        <v>XD1-MPC-038</v>
      </c>
      <c r="B1830" s="3" t="str">
        <f>IFERROR(__xludf.DUMMYFUNCTION("""COMPUTED_VALUE"""),"Máy phát cỏ 2 thì")</f>
        <v>Máy phát cỏ 2 thì</v>
      </c>
      <c r="C1830" s="5" t="str">
        <f>IFERROR(__xludf.DUMMYFUNCTION("""COMPUTED_VALUE"""),"XN Chuối DP1")</f>
        <v>XN Chuối DP1</v>
      </c>
      <c r="D1830" s="5" t="str">
        <f>IFERROR(__xludf.DUMMYFUNCTION("""COMPUTED_VALUE"""),"MARRATA")</f>
        <v>MARRATA</v>
      </c>
      <c r="E1830" s="5"/>
      <c r="F1830" s="5"/>
      <c r="G1830" s="5" t="str">
        <f>IFERROR(__xludf.DUMMYFUNCTION("""COMPUTED_VALUE"""),"CG411")</f>
        <v>CG411</v>
      </c>
      <c r="H1830" s="5" t="str">
        <f>IFERROR(__xludf.DUMMYFUNCTION("""COMPUTED_VALUE"""),"1.8HP")</f>
        <v>1.8HP</v>
      </c>
      <c r="I1830" s="5"/>
      <c r="J1830" s="5"/>
      <c r="K1830" s="5">
        <f>IFERROR(__xludf.DUMMYFUNCTION("""COMPUTED_VALUE"""),1.0)</f>
        <v>1</v>
      </c>
      <c r="L1830" s="5" t="str">
        <f>IFERROR(__xludf.DUMMYFUNCTION("""COMPUTED_VALUE"""),"KLH")</f>
        <v>KLH</v>
      </c>
    </row>
    <row r="1831">
      <c r="A1831" s="5" t="str">
        <f>IFERROR(__xludf.DUMMYFUNCTION("""COMPUTED_VALUE"""),"XD1-MPC-039")</f>
        <v>XD1-MPC-039</v>
      </c>
      <c r="B1831" s="3" t="str">
        <f>IFERROR(__xludf.DUMMYFUNCTION("""COMPUTED_VALUE"""),"Máy phát cỏ 2 thì")</f>
        <v>Máy phát cỏ 2 thì</v>
      </c>
      <c r="C1831" s="5" t="str">
        <f>IFERROR(__xludf.DUMMYFUNCTION("""COMPUTED_VALUE"""),"XN Chuối DP1")</f>
        <v>XN Chuối DP1</v>
      </c>
      <c r="D1831" s="5" t="str">
        <f>IFERROR(__xludf.DUMMYFUNCTION("""COMPUTED_VALUE"""),"MARRATA")</f>
        <v>MARRATA</v>
      </c>
      <c r="E1831" s="5"/>
      <c r="F1831" s="5"/>
      <c r="G1831" s="5" t="str">
        <f>IFERROR(__xludf.DUMMYFUNCTION("""COMPUTED_VALUE"""),"CG411")</f>
        <v>CG411</v>
      </c>
      <c r="H1831" s="5" t="str">
        <f>IFERROR(__xludf.DUMMYFUNCTION("""COMPUTED_VALUE"""),"1.8HP")</f>
        <v>1.8HP</v>
      </c>
      <c r="I1831" s="5"/>
      <c r="J1831" s="5"/>
      <c r="K1831" s="5">
        <f>IFERROR(__xludf.DUMMYFUNCTION("""COMPUTED_VALUE"""),1.0)</f>
        <v>1</v>
      </c>
      <c r="L1831" s="5" t="str">
        <f>IFERROR(__xludf.DUMMYFUNCTION("""COMPUTED_VALUE"""),"KLH")</f>
        <v>KLH</v>
      </c>
    </row>
    <row r="1832">
      <c r="A1832" s="5" t="str">
        <f>IFERROR(__xludf.DUMMYFUNCTION("""COMPUTED_VALUE"""),"XD1-MPC-040")</f>
        <v>XD1-MPC-040</v>
      </c>
      <c r="B1832" s="3" t="str">
        <f>IFERROR(__xludf.DUMMYFUNCTION("""COMPUTED_VALUE"""),"Máy phát cỏ 2 thì")</f>
        <v>Máy phát cỏ 2 thì</v>
      </c>
      <c r="C1832" s="5" t="str">
        <f>IFERROR(__xludf.DUMMYFUNCTION("""COMPUTED_VALUE"""),"XN Chuối DP1")</f>
        <v>XN Chuối DP1</v>
      </c>
      <c r="D1832" s="5" t="str">
        <f>IFERROR(__xludf.DUMMYFUNCTION("""COMPUTED_VALUE"""),"MARRATA")</f>
        <v>MARRATA</v>
      </c>
      <c r="E1832" s="5"/>
      <c r="F1832" s="5"/>
      <c r="G1832" s="5" t="str">
        <f>IFERROR(__xludf.DUMMYFUNCTION("""COMPUTED_VALUE"""),"CG411")</f>
        <v>CG411</v>
      </c>
      <c r="H1832" s="5" t="str">
        <f>IFERROR(__xludf.DUMMYFUNCTION("""COMPUTED_VALUE"""),"1.8HP")</f>
        <v>1.8HP</v>
      </c>
      <c r="I1832" s="5"/>
      <c r="J1832" s="5"/>
      <c r="K1832" s="5">
        <f>IFERROR(__xludf.DUMMYFUNCTION("""COMPUTED_VALUE"""),1.0)</f>
        <v>1</v>
      </c>
      <c r="L1832" s="5" t="str">
        <f>IFERROR(__xludf.DUMMYFUNCTION("""COMPUTED_VALUE"""),"KLH")</f>
        <v>KLH</v>
      </c>
    </row>
    <row r="1833">
      <c r="A1833" s="5" t="str">
        <f>IFERROR(__xludf.DUMMYFUNCTION("""COMPUTED_VALUE"""),"XD1-MPC-041")</f>
        <v>XD1-MPC-041</v>
      </c>
      <c r="B1833" s="3" t="str">
        <f>IFERROR(__xludf.DUMMYFUNCTION("""COMPUTED_VALUE"""),"Máy phát cỏ 2 thì")</f>
        <v>Máy phát cỏ 2 thì</v>
      </c>
      <c r="C1833" s="5" t="str">
        <f>IFERROR(__xludf.DUMMYFUNCTION("""COMPUTED_VALUE"""),"XN Chuối DP1")</f>
        <v>XN Chuối DP1</v>
      </c>
      <c r="D1833" s="5" t="str">
        <f>IFERROR(__xludf.DUMMYFUNCTION("""COMPUTED_VALUE"""),"MARRATA")</f>
        <v>MARRATA</v>
      </c>
      <c r="E1833" s="5"/>
      <c r="F1833" s="5"/>
      <c r="G1833" s="5" t="str">
        <f>IFERROR(__xludf.DUMMYFUNCTION("""COMPUTED_VALUE"""),"CG411")</f>
        <v>CG411</v>
      </c>
      <c r="H1833" s="5" t="str">
        <f>IFERROR(__xludf.DUMMYFUNCTION("""COMPUTED_VALUE"""),"1.8HP")</f>
        <v>1.8HP</v>
      </c>
      <c r="I1833" s="5"/>
      <c r="J1833" s="5"/>
      <c r="K1833" s="5">
        <f>IFERROR(__xludf.DUMMYFUNCTION("""COMPUTED_VALUE"""),1.0)</f>
        <v>1</v>
      </c>
      <c r="L1833" s="5" t="str">
        <f>IFERROR(__xludf.DUMMYFUNCTION("""COMPUTED_VALUE"""),"KLH")</f>
        <v>KLH</v>
      </c>
    </row>
    <row r="1834">
      <c r="A1834" s="5" t="str">
        <f>IFERROR(__xludf.DUMMYFUNCTION("""COMPUTED_VALUE"""),"XD1-MPC-042")</f>
        <v>XD1-MPC-042</v>
      </c>
      <c r="B1834" s="3" t="str">
        <f>IFERROR(__xludf.DUMMYFUNCTION("""COMPUTED_VALUE"""),"Máy phát cỏ 2 thì")</f>
        <v>Máy phát cỏ 2 thì</v>
      </c>
      <c r="C1834" s="5" t="str">
        <f>IFERROR(__xludf.DUMMYFUNCTION("""COMPUTED_VALUE"""),"XN Chuối DP1")</f>
        <v>XN Chuối DP1</v>
      </c>
      <c r="D1834" s="5" t="str">
        <f>IFERROR(__xludf.DUMMYFUNCTION("""COMPUTED_VALUE"""),"MARRATA")</f>
        <v>MARRATA</v>
      </c>
      <c r="E1834" s="5"/>
      <c r="F1834" s="5"/>
      <c r="G1834" s="5" t="str">
        <f>IFERROR(__xludf.DUMMYFUNCTION("""COMPUTED_VALUE"""),"CG411")</f>
        <v>CG411</v>
      </c>
      <c r="H1834" s="5" t="str">
        <f>IFERROR(__xludf.DUMMYFUNCTION("""COMPUTED_VALUE"""),"1.8HP")</f>
        <v>1.8HP</v>
      </c>
      <c r="I1834" s="5"/>
      <c r="J1834" s="5"/>
      <c r="K1834" s="5">
        <f>IFERROR(__xludf.DUMMYFUNCTION("""COMPUTED_VALUE"""),1.0)</f>
        <v>1</v>
      </c>
      <c r="L1834" s="5" t="str">
        <f>IFERROR(__xludf.DUMMYFUNCTION("""COMPUTED_VALUE"""),"KLH")</f>
        <v>KLH</v>
      </c>
    </row>
    <row r="1835">
      <c r="A1835" s="5" t="str">
        <f>IFERROR(__xludf.DUMMYFUNCTION("""COMPUTED_VALUE"""),"XD1-MPC-043")</f>
        <v>XD1-MPC-043</v>
      </c>
      <c r="B1835" s="3" t="str">
        <f>IFERROR(__xludf.DUMMYFUNCTION("""COMPUTED_VALUE"""),"Máy phát cỏ 2 thì")</f>
        <v>Máy phát cỏ 2 thì</v>
      </c>
      <c r="C1835" s="5" t="str">
        <f>IFERROR(__xludf.DUMMYFUNCTION("""COMPUTED_VALUE"""),"XN Chuối DP1")</f>
        <v>XN Chuối DP1</v>
      </c>
      <c r="D1835" s="5" t="str">
        <f>IFERROR(__xludf.DUMMYFUNCTION("""COMPUTED_VALUE"""),"MARRATA")</f>
        <v>MARRATA</v>
      </c>
      <c r="E1835" s="5"/>
      <c r="F1835" s="5"/>
      <c r="G1835" s="5" t="str">
        <f>IFERROR(__xludf.DUMMYFUNCTION("""COMPUTED_VALUE"""),"CG411")</f>
        <v>CG411</v>
      </c>
      <c r="H1835" s="5" t="str">
        <f>IFERROR(__xludf.DUMMYFUNCTION("""COMPUTED_VALUE"""),"1.8HP")</f>
        <v>1.8HP</v>
      </c>
      <c r="I1835" s="5"/>
      <c r="J1835" s="5"/>
      <c r="K1835" s="5">
        <f>IFERROR(__xludf.DUMMYFUNCTION("""COMPUTED_VALUE"""),1.0)</f>
        <v>1</v>
      </c>
      <c r="L1835" s="5" t="str">
        <f>IFERROR(__xludf.DUMMYFUNCTION("""COMPUTED_VALUE"""),"KLH")</f>
        <v>KLH</v>
      </c>
    </row>
    <row r="1836">
      <c r="A1836" s="5" t="str">
        <f>IFERROR(__xludf.DUMMYFUNCTION("""COMPUTED_VALUE"""),"XD1-MPC-044")</f>
        <v>XD1-MPC-044</v>
      </c>
      <c r="B1836" s="3" t="str">
        <f>IFERROR(__xludf.DUMMYFUNCTION("""COMPUTED_VALUE"""),"Máy phát cỏ 2 thì")</f>
        <v>Máy phát cỏ 2 thì</v>
      </c>
      <c r="C1836" s="5" t="str">
        <f>IFERROR(__xludf.DUMMYFUNCTION("""COMPUTED_VALUE"""),"XN Chuối DP1")</f>
        <v>XN Chuối DP1</v>
      </c>
      <c r="D1836" s="5" t="str">
        <f>IFERROR(__xludf.DUMMYFUNCTION("""COMPUTED_VALUE"""),"MARRATA")</f>
        <v>MARRATA</v>
      </c>
      <c r="E1836" s="5"/>
      <c r="F1836" s="5"/>
      <c r="G1836" s="5" t="str">
        <f>IFERROR(__xludf.DUMMYFUNCTION("""COMPUTED_VALUE"""),"CG411")</f>
        <v>CG411</v>
      </c>
      <c r="H1836" s="5" t="str">
        <f>IFERROR(__xludf.DUMMYFUNCTION("""COMPUTED_VALUE"""),"1.8HP")</f>
        <v>1.8HP</v>
      </c>
      <c r="I1836" s="5"/>
      <c r="J1836" s="5"/>
      <c r="K1836" s="5">
        <f>IFERROR(__xludf.DUMMYFUNCTION("""COMPUTED_VALUE"""),1.0)</f>
        <v>1</v>
      </c>
      <c r="L1836" s="5" t="str">
        <f>IFERROR(__xludf.DUMMYFUNCTION("""COMPUTED_VALUE"""),"KLH")</f>
        <v>KLH</v>
      </c>
    </row>
    <row r="1837">
      <c r="A1837" s="5" t="str">
        <f>IFERROR(__xludf.DUMMYFUNCTION("""COMPUTED_VALUE"""),"XD1-MPC-045")</f>
        <v>XD1-MPC-045</v>
      </c>
      <c r="B1837" s="3" t="str">
        <f>IFERROR(__xludf.DUMMYFUNCTION("""COMPUTED_VALUE"""),"Máy phát cỏ 2 thì")</f>
        <v>Máy phát cỏ 2 thì</v>
      </c>
      <c r="C1837" s="5" t="str">
        <f>IFERROR(__xludf.DUMMYFUNCTION("""COMPUTED_VALUE"""),"XN Chuối DP1")</f>
        <v>XN Chuối DP1</v>
      </c>
      <c r="D1837" s="5" t="str">
        <f>IFERROR(__xludf.DUMMYFUNCTION("""COMPUTED_VALUE"""),"MARRATA")</f>
        <v>MARRATA</v>
      </c>
      <c r="E1837" s="5"/>
      <c r="F1837" s="5"/>
      <c r="G1837" s="5" t="str">
        <f>IFERROR(__xludf.DUMMYFUNCTION("""COMPUTED_VALUE"""),"CG411")</f>
        <v>CG411</v>
      </c>
      <c r="H1837" s="5" t="str">
        <f>IFERROR(__xludf.DUMMYFUNCTION("""COMPUTED_VALUE"""),"1.8HP")</f>
        <v>1.8HP</v>
      </c>
      <c r="I1837" s="5"/>
      <c r="J1837" s="5"/>
      <c r="K1837" s="5">
        <f>IFERROR(__xludf.DUMMYFUNCTION("""COMPUTED_VALUE"""),1.0)</f>
        <v>1</v>
      </c>
      <c r="L1837" s="5" t="str">
        <f>IFERROR(__xludf.DUMMYFUNCTION("""COMPUTED_VALUE"""),"KLH")</f>
        <v>KLH</v>
      </c>
    </row>
    <row r="1838">
      <c r="A1838" s="5" t="str">
        <f>IFERROR(__xludf.DUMMYFUNCTION("""COMPUTED_VALUE"""),"XD1-MPC-046")</f>
        <v>XD1-MPC-046</v>
      </c>
      <c r="B1838" s="3" t="str">
        <f>IFERROR(__xludf.DUMMYFUNCTION("""COMPUTED_VALUE"""),"Máy phát cỏ 2 thì")</f>
        <v>Máy phát cỏ 2 thì</v>
      </c>
      <c r="C1838" s="5" t="str">
        <f>IFERROR(__xludf.DUMMYFUNCTION("""COMPUTED_VALUE"""),"XN Chuối DP1")</f>
        <v>XN Chuối DP1</v>
      </c>
      <c r="D1838" s="5" t="str">
        <f>IFERROR(__xludf.DUMMYFUNCTION("""COMPUTED_VALUE"""),"MARRATA")</f>
        <v>MARRATA</v>
      </c>
      <c r="E1838" s="5"/>
      <c r="F1838" s="5"/>
      <c r="G1838" s="5" t="str">
        <f>IFERROR(__xludf.DUMMYFUNCTION("""COMPUTED_VALUE"""),"CG411")</f>
        <v>CG411</v>
      </c>
      <c r="H1838" s="5" t="str">
        <f>IFERROR(__xludf.DUMMYFUNCTION("""COMPUTED_VALUE"""),"1.8HP")</f>
        <v>1.8HP</v>
      </c>
      <c r="I1838" s="5"/>
      <c r="J1838" s="5"/>
      <c r="K1838" s="5">
        <f>IFERROR(__xludf.DUMMYFUNCTION("""COMPUTED_VALUE"""),1.0)</f>
        <v>1</v>
      </c>
      <c r="L1838" s="5" t="str">
        <f>IFERROR(__xludf.DUMMYFUNCTION("""COMPUTED_VALUE"""),"KLH")</f>
        <v>KLH</v>
      </c>
    </row>
    <row r="1839">
      <c r="A1839" s="5" t="str">
        <f>IFERROR(__xludf.DUMMYFUNCTION("""COMPUTED_VALUE"""),"XD1-MPC-047")</f>
        <v>XD1-MPC-047</v>
      </c>
      <c r="B1839" s="3" t="str">
        <f>IFERROR(__xludf.DUMMYFUNCTION("""COMPUTED_VALUE"""),"Máy phát cỏ 2 thì")</f>
        <v>Máy phát cỏ 2 thì</v>
      </c>
      <c r="C1839" s="5" t="str">
        <f>IFERROR(__xludf.DUMMYFUNCTION("""COMPUTED_VALUE"""),"XN Chuối DP1")</f>
        <v>XN Chuối DP1</v>
      </c>
      <c r="D1839" s="5" t="str">
        <f>IFERROR(__xludf.DUMMYFUNCTION("""COMPUTED_VALUE"""),"MARRATA")</f>
        <v>MARRATA</v>
      </c>
      <c r="E1839" s="5"/>
      <c r="F1839" s="5"/>
      <c r="G1839" s="5" t="str">
        <f>IFERROR(__xludf.DUMMYFUNCTION("""COMPUTED_VALUE"""),"CG411")</f>
        <v>CG411</v>
      </c>
      <c r="H1839" s="5" t="str">
        <f>IFERROR(__xludf.DUMMYFUNCTION("""COMPUTED_VALUE"""),"1.8HP")</f>
        <v>1.8HP</v>
      </c>
      <c r="I1839" s="5"/>
      <c r="J1839" s="5"/>
      <c r="K1839" s="5">
        <f>IFERROR(__xludf.DUMMYFUNCTION("""COMPUTED_VALUE"""),1.0)</f>
        <v>1</v>
      </c>
      <c r="L1839" s="5" t="str">
        <f>IFERROR(__xludf.DUMMYFUNCTION("""COMPUTED_VALUE"""),"KLH")</f>
        <v>KLH</v>
      </c>
    </row>
    <row r="1840">
      <c r="A1840" s="5" t="str">
        <f>IFERROR(__xludf.DUMMYFUNCTION("""COMPUTED_VALUE"""),"XD1-MPC-048")</f>
        <v>XD1-MPC-048</v>
      </c>
      <c r="B1840" s="3" t="str">
        <f>IFERROR(__xludf.DUMMYFUNCTION("""COMPUTED_VALUE"""),"Máy phát cỏ 2 thì")</f>
        <v>Máy phát cỏ 2 thì</v>
      </c>
      <c r="C1840" s="5" t="str">
        <f>IFERROR(__xludf.DUMMYFUNCTION("""COMPUTED_VALUE"""),"XN Chuối DP1")</f>
        <v>XN Chuối DP1</v>
      </c>
      <c r="D1840" s="5" t="str">
        <f>IFERROR(__xludf.DUMMYFUNCTION("""COMPUTED_VALUE"""),"MARRATA")</f>
        <v>MARRATA</v>
      </c>
      <c r="E1840" s="5"/>
      <c r="F1840" s="5"/>
      <c r="G1840" s="5" t="str">
        <f>IFERROR(__xludf.DUMMYFUNCTION("""COMPUTED_VALUE"""),"CG411")</f>
        <v>CG411</v>
      </c>
      <c r="H1840" s="5" t="str">
        <f>IFERROR(__xludf.DUMMYFUNCTION("""COMPUTED_VALUE"""),"1.8HP")</f>
        <v>1.8HP</v>
      </c>
      <c r="I1840" s="5"/>
      <c r="J1840" s="5"/>
      <c r="K1840" s="5">
        <f>IFERROR(__xludf.DUMMYFUNCTION("""COMPUTED_VALUE"""),1.0)</f>
        <v>1</v>
      </c>
      <c r="L1840" s="5" t="str">
        <f>IFERROR(__xludf.DUMMYFUNCTION("""COMPUTED_VALUE"""),"KLH")</f>
        <v>KLH</v>
      </c>
    </row>
    <row r="1841">
      <c r="A1841" s="5" t="str">
        <f>IFERROR(__xludf.DUMMYFUNCTION("""COMPUTED_VALUE"""),"XD1-MPC-049")</f>
        <v>XD1-MPC-049</v>
      </c>
      <c r="B1841" s="3" t="str">
        <f>IFERROR(__xludf.DUMMYFUNCTION("""COMPUTED_VALUE"""),"Máy phát cỏ 2 thì")</f>
        <v>Máy phát cỏ 2 thì</v>
      </c>
      <c r="C1841" s="5" t="str">
        <f>IFERROR(__xludf.DUMMYFUNCTION("""COMPUTED_VALUE"""),"XN Chuối DP1")</f>
        <v>XN Chuối DP1</v>
      </c>
      <c r="D1841" s="5" t="str">
        <f>IFERROR(__xludf.DUMMYFUNCTION("""COMPUTED_VALUE"""),"MARRATA")</f>
        <v>MARRATA</v>
      </c>
      <c r="E1841" s="5"/>
      <c r="F1841" s="5"/>
      <c r="G1841" s="5" t="str">
        <f>IFERROR(__xludf.DUMMYFUNCTION("""COMPUTED_VALUE"""),"CG411")</f>
        <v>CG411</v>
      </c>
      <c r="H1841" s="5" t="str">
        <f>IFERROR(__xludf.DUMMYFUNCTION("""COMPUTED_VALUE"""),"1.8HP")</f>
        <v>1.8HP</v>
      </c>
      <c r="I1841" s="5"/>
      <c r="J1841" s="5"/>
      <c r="K1841" s="5">
        <f>IFERROR(__xludf.DUMMYFUNCTION("""COMPUTED_VALUE"""),1.0)</f>
        <v>1</v>
      </c>
      <c r="L1841" s="5" t="str">
        <f>IFERROR(__xludf.DUMMYFUNCTION("""COMPUTED_VALUE"""),"KLH")</f>
        <v>KLH</v>
      </c>
    </row>
    <row r="1842">
      <c r="A1842" s="5" t="str">
        <f>IFERROR(__xludf.DUMMYFUNCTION("""COMPUTED_VALUE"""),"XD1-MPC-050")</f>
        <v>XD1-MPC-050</v>
      </c>
      <c r="B1842" s="3" t="str">
        <f>IFERROR(__xludf.DUMMYFUNCTION("""COMPUTED_VALUE"""),"Máy phát cỏ 2 thì")</f>
        <v>Máy phát cỏ 2 thì</v>
      </c>
      <c r="C1842" s="5" t="str">
        <f>IFERROR(__xludf.DUMMYFUNCTION("""COMPUTED_VALUE"""),"XN Chuối DP1")</f>
        <v>XN Chuối DP1</v>
      </c>
      <c r="D1842" s="5" t="str">
        <f>IFERROR(__xludf.DUMMYFUNCTION("""COMPUTED_VALUE"""),"MARRATA")</f>
        <v>MARRATA</v>
      </c>
      <c r="E1842" s="5"/>
      <c r="F1842" s="5"/>
      <c r="G1842" s="5" t="str">
        <f>IFERROR(__xludf.DUMMYFUNCTION("""COMPUTED_VALUE"""),"CG411")</f>
        <v>CG411</v>
      </c>
      <c r="H1842" s="5" t="str">
        <f>IFERROR(__xludf.DUMMYFUNCTION("""COMPUTED_VALUE"""),"1.8HP")</f>
        <v>1.8HP</v>
      </c>
      <c r="I1842" s="5"/>
      <c r="J1842" s="5"/>
      <c r="K1842" s="5">
        <f>IFERROR(__xludf.DUMMYFUNCTION("""COMPUTED_VALUE"""),1.0)</f>
        <v>1</v>
      </c>
      <c r="L1842" s="5" t="str">
        <f>IFERROR(__xludf.DUMMYFUNCTION("""COMPUTED_VALUE"""),"KLH")</f>
        <v>KLH</v>
      </c>
    </row>
    <row r="1843">
      <c r="A1843" s="5" t="str">
        <f>IFERROR(__xludf.DUMMYFUNCTION("""COMPUTED_VALUE"""),"XD1-MPC-051")</f>
        <v>XD1-MPC-051</v>
      </c>
      <c r="B1843" s="3" t="str">
        <f>IFERROR(__xludf.DUMMYFUNCTION("""COMPUTED_VALUE"""),"Máy phát cỏ 2 thì")</f>
        <v>Máy phát cỏ 2 thì</v>
      </c>
      <c r="C1843" s="5" t="str">
        <f>IFERROR(__xludf.DUMMYFUNCTION("""COMPUTED_VALUE"""),"XN Chuối DP1")</f>
        <v>XN Chuối DP1</v>
      </c>
      <c r="D1843" s="5" t="str">
        <f>IFERROR(__xludf.DUMMYFUNCTION("""COMPUTED_VALUE"""),"MARRATA")</f>
        <v>MARRATA</v>
      </c>
      <c r="E1843" s="5"/>
      <c r="F1843" s="5"/>
      <c r="G1843" s="5" t="str">
        <f>IFERROR(__xludf.DUMMYFUNCTION("""COMPUTED_VALUE"""),"CG411")</f>
        <v>CG411</v>
      </c>
      <c r="H1843" s="5" t="str">
        <f>IFERROR(__xludf.DUMMYFUNCTION("""COMPUTED_VALUE"""),"1.8HP")</f>
        <v>1.8HP</v>
      </c>
      <c r="I1843" s="5"/>
      <c r="J1843" s="5"/>
      <c r="K1843" s="5">
        <f>IFERROR(__xludf.DUMMYFUNCTION("""COMPUTED_VALUE"""),1.0)</f>
        <v>1</v>
      </c>
      <c r="L1843" s="5" t="str">
        <f>IFERROR(__xludf.DUMMYFUNCTION("""COMPUTED_VALUE"""),"KLH")</f>
        <v>KLH</v>
      </c>
    </row>
    <row r="1844">
      <c r="A1844" s="5" t="str">
        <f>IFERROR(__xludf.DUMMYFUNCTION("""COMPUTED_VALUE"""),"XD1-MPC-052")</f>
        <v>XD1-MPC-052</v>
      </c>
      <c r="B1844" s="3" t="str">
        <f>IFERROR(__xludf.DUMMYFUNCTION("""COMPUTED_VALUE"""),"Máy phát cỏ 2 thì")</f>
        <v>Máy phát cỏ 2 thì</v>
      </c>
      <c r="C1844" s="5" t="str">
        <f>IFERROR(__xludf.DUMMYFUNCTION("""COMPUTED_VALUE"""),"XN Chuối DP1")</f>
        <v>XN Chuối DP1</v>
      </c>
      <c r="D1844" s="5" t="str">
        <f>IFERROR(__xludf.DUMMYFUNCTION("""COMPUTED_VALUE"""),"MARRATA")</f>
        <v>MARRATA</v>
      </c>
      <c r="E1844" s="5"/>
      <c r="F1844" s="5"/>
      <c r="G1844" s="5" t="str">
        <f>IFERROR(__xludf.DUMMYFUNCTION("""COMPUTED_VALUE"""),"CG411")</f>
        <v>CG411</v>
      </c>
      <c r="H1844" s="5" t="str">
        <f>IFERROR(__xludf.DUMMYFUNCTION("""COMPUTED_VALUE"""),"1.8HP")</f>
        <v>1.8HP</v>
      </c>
      <c r="I1844" s="5"/>
      <c r="J1844" s="5"/>
      <c r="K1844" s="5">
        <f>IFERROR(__xludf.DUMMYFUNCTION("""COMPUTED_VALUE"""),1.0)</f>
        <v>1</v>
      </c>
      <c r="L1844" s="5" t="str">
        <f>IFERROR(__xludf.DUMMYFUNCTION("""COMPUTED_VALUE"""),"KLH")</f>
        <v>KLH</v>
      </c>
    </row>
    <row r="1845">
      <c r="A1845" s="5" t="str">
        <f>IFERROR(__xludf.DUMMYFUNCTION("""COMPUTED_VALUE"""),"XD1-MPC-053")</f>
        <v>XD1-MPC-053</v>
      </c>
      <c r="B1845" s="3" t="str">
        <f>IFERROR(__xludf.DUMMYFUNCTION("""COMPUTED_VALUE"""),"Máy phát cỏ 2 thì")</f>
        <v>Máy phát cỏ 2 thì</v>
      </c>
      <c r="C1845" s="5" t="str">
        <f>IFERROR(__xludf.DUMMYFUNCTION("""COMPUTED_VALUE"""),"XN Chuối DP1")</f>
        <v>XN Chuối DP1</v>
      </c>
      <c r="D1845" s="5" t="str">
        <f>IFERROR(__xludf.DUMMYFUNCTION("""COMPUTED_VALUE"""),"MARRATA")</f>
        <v>MARRATA</v>
      </c>
      <c r="E1845" s="5"/>
      <c r="F1845" s="5"/>
      <c r="G1845" s="5" t="str">
        <f>IFERROR(__xludf.DUMMYFUNCTION("""COMPUTED_VALUE"""),"CG411")</f>
        <v>CG411</v>
      </c>
      <c r="H1845" s="5" t="str">
        <f>IFERROR(__xludf.DUMMYFUNCTION("""COMPUTED_VALUE"""),"1.8HP")</f>
        <v>1.8HP</v>
      </c>
      <c r="I1845" s="5"/>
      <c r="J1845" s="5"/>
      <c r="K1845" s="5">
        <f>IFERROR(__xludf.DUMMYFUNCTION("""COMPUTED_VALUE"""),1.0)</f>
        <v>1</v>
      </c>
      <c r="L1845" s="5" t="str">
        <f>IFERROR(__xludf.DUMMYFUNCTION("""COMPUTED_VALUE"""),"KLH")</f>
        <v>KLH</v>
      </c>
    </row>
    <row r="1846">
      <c r="A1846" s="5" t="str">
        <f>IFERROR(__xludf.DUMMYFUNCTION("""COMPUTED_VALUE"""),"XD1-MPC-054")</f>
        <v>XD1-MPC-054</v>
      </c>
      <c r="B1846" s="3" t="str">
        <f>IFERROR(__xludf.DUMMYFUNCTION("""COMPUTED_VALUE"""),"Máy phát cỏ 2 thì")</f>
        <v>Máy phát cỏ 2 thì</v>
      </c>
      <c r="C1846" s="5" t="str">
        <f>IFERROR(__xludf.DUMMYFUNCTION("""COMPUTED_VALUE"""),"XN Chuối DP1")</f>
        <v>XN Chuối DP1</v>
      </c>
      <c r="D1846" s="5" t="str">
        <f>IFERROR(__xludf.DUMMYFUNCTION("""COMPUTED_VALUE"""),"MARRATA")</f>
        <v>MARRATA</v>
      </c>
      <c r="E1846" s="5"/>
      <c r="F1846" s="5"/>
      <c r="G1846" s="5" t="str">
        <f>IFERROR(__xludf.DUMMYFUNCTION("""COMPUTED_VALUE"""),"CG411")</f>
        <v>CG411</v>
      </c>
      <c r="H1846" s="5" t="str">
        <f>IFERROR(__xludf.DUMMYFUNCTION("""COMPUTED_VALUE"""),"1.8HP")</f>
        <v>1.8HP</v>
      </c>
      <c r="I1846" s="5"/>
      <c r="J1846" s="5"/>
      <c r="K1846" s="5">
        <f>IFERROR(__xludf.DUMMYFUNCTION("""COMPUTED_VALUE"""),1.0)</f>
        <v>1</v>
      </c>
      <c r="L1846" s="5" t="str">
        <f>IFERROR(__xludf.DUMMYFUNCTION("""COMPUTED_VALUE"""),"KLH")</f>
        <v>KLH</v>
      </c>
    </row>
    <row r="1847">
      <c r="A1847" s="5" t="str">
        <f>IFERROR(__xludf.DUMMYFUNCTION("""COMPUTED_VALUE"""),"XD1-MPC-055")</f>
        <v>XD1-MPC-055</v>
      </c>
      <c r="B1847" s="3" t="str">
        <f>IFERROR(__xludf.DUMMYFUNCTION("""COMPUTED_VALUE"""),"Máy phát cỏ 2 thì")</f>
        <v>Máy phát cỏ 2 thì</v>
      </c>
      <c r="C1847" s="5" t="str">
        <f>IFERROR(__xludf.DUMMYFUNCTION("""COMPUTED_VALUE"""),"XN Chuối DP1")</f>
        <v>XN Chuối DP1</v>
      </c>
      <c r="D1847" s="5" t="str">
        <f>IFERROR(__xludf.DUMMYFUNCTION("""COMPUTED_VALUE"""),"MARRATA")</f>
        <v>MARRATA</v>
      </c>
      <c r="E1847" s="5"/>
      <c r="F1847" s="5"/>
      <c r="G1847" s="5" t="str">
        <f>IFERROR(__xludf.DUMMYFUNCTION("""COMPUTED_VALUE"""),"CG411")</f>
        <v>CG411</v>
      </c>
      <c r="H1847" s="5" t="str">
        <f>IFERROR(__xludf.DUMMYFUNCTION("""COMPUTED_VALUE"""),"1.8HP")</f>
        <v>1.8HP</v>
      </c>
      <c r="I1847" s="5"/>
      <c r="J1847" s="5"/>
      <c r="K1847" s="5"/>
      <c r="L1847" s="5" t="str">
        <f>IFERROR(__xludf.DUMMYFUNCTION("""COMPUTED_VALUE"""),"KLH")</f>
        <v>KLH</v>
      </c>
    </row>
    <row r="1848">
      <c r="A1848" s="5" t="str">
        <f>IFERROR(__xludf.DUMMYFUNCTION("""COMPUTED_VALUE"""),"XD1-MPC-056")</f>
        <v>XD1-MPC-056</v>
      </c>
      <c r="B1848" s="3" t="str">
        <f>IFERROR(__xludf.DUMMYFUNCTION("""COMPUTED_VALUE"""),"Máy phát cỏ 2 thì")</f>
        <v>Máy phát cỏ 2 thì</v>
      </c>
      <c r="C1848" s="5" t="str">
        <f>IFERROR(__xludf.DUMMYFUNCTION("""COMPUTED_VALUE"""),"XN Chuối DP1")</f>
        <v>XN Chuối DP1</v>
      </c>
      <c r="D1848" s="5" t="str">
        <f>IFERROR(__xludf.DUMMYFUNCTION("""COMPUTED_VALUE"""),"MARRATA")</f>
        <v>MARRATA</v>
      </c>
      <c r="E1848" s="5"/>
      <c r="F1848" s="5"/>
      <c r="G1848" s="5" t="str">
        <f>IFERROR(__xludf.DUMMYFUNCTION("""COMPUTED_VALUE"""),"CG411")</f>
        <v>CG411</v>
      </c>
      <c r="H1848" s="5" t="str">
        <f>IFERROR(__xludf.DUMMYFUNCTION("""COMPUTED_VALUE"""),"1.8HP")</f>
        <v>1.8HP</v>
      </c>
      <c r="I1848" s="5"/>
      <c r="J1848" s="5"/>
      <c r="K1848" s="5"/>
      <c r="L1848" s="5" t="str">
        <f>IFERROR(__xludf.DUMMYFUNCTION("""COMPUTED_VALUE"""),"KLH")</f>
        <v>KLH</v>
      </c>
    </row>
    <row r="1849">
      <c r="A1849" s="5" t="str">
        <f>IFERROR(__xludf.DUMMYFUNCTION("""COMPUTED_VALUE"""),"XD1-MPC-057")</f>
        <v>XD1-MPC-057</v>
      </c>
      <c r="B1849" s="3" t="str">
        <f>IFERROR(__xludf.DUMMYFUNCTION("""COMPUTED_VALUE"""),"Máy phát cỏ 2 thì")</f>
        <v>Máy phát cỏ 2 thì</v>
      </c>
      <c r="C1849" s="5" t="str">
        <f>IFERROR(__xludf.DUMMYFUNCTION("""COMPUTED_VALUE"""),"XN Chuối DP1")</f>
        <v>XN Chuối DP1</v>
      </c>
      <c r="D1849" s="5" t="str">
        <f>IFERROR(__xludf.DUMMYFUNCTION("""COMPUTED_VALUE"""),"MARRATA")</f>
        <v>MARRATA</v>
      </c>
      <c r="E1849" s="5"/>
      <c r="F1849" s="5"/>
      <c r="G1849" s="5" t="str">
        <f>IFERROR(__xludf.DUMMYFUNCTION("""COMPUTED_VALUE"""),"CG411")</f>
        <v>CG411</v>
      </c>
      <c r="H1849" s="5" t="str">
        <f>IFERROR(__xludf.DUMMYFUNCTION("""COMPUTED_VALUE"""),"1.8HP")</f>
        <v>1.8HP</v>
      </c>
      <c r="I1849" s="5"/>
      <c r="J1849" s="5"/>
      <c r="K1849" s="5"/>
      <c r="L1849" s="5" t="str">
        <f>IFERROR(__xludf.DUMMYFUNCTION("""COMPUTED_VALUE"""),"KLH")</f>
        <v>KLH</v>
      </c>
    </row>
    <row r="1850">
      <c r="A1850" s="5" t="str">
        <f>IFERROR(__xludf.DUMMYFUNCTION("""COMPUTED_VALUE"""),"XD1-MPC-058")</f>
        <v>XD1-MPC-058</v>
      </c>
      <c r="B1850" s="3" t="str">
        <f>IFERROR(__xludf.DUMMYFUNCTION("""COMPUTED_VALUE"""),"Máy phát cỏ 2 thì")</f>
        <v>Máy phát cỏ 2 thì</v>
      </c>
      <c r="C1850" s="5" t="str">
        <f>IFERROR(__xludf.DUMMYFUNCTION("""COMPUTED_VALUE"""),"XN Chuối DP1")</f>
        <v>XN Chuối DP1</v>
      </c>
      <c r="D1850" s="5" t="str">
        <f>IFERROR(__xludf.DUMMYFUNCTION("""COMPUTED_VALUE"""),"MARRATA")</f>
        <v>MARRATA</v>
      </c>
      <c r="E1850" s="5"/>
      <c r="F1850" s="5"/>
      <c r="G1850" s="5" t="str">
        <f>IFERROR(__xludf.DUMMYFUNCTION("""COMPUTED_VALUE"""),"CG411")</f>
        <v>CG411</v>
      </c>
      <c r="H1850" s="5" t="str">
        <f>IFERROR(__xludf.DUMMYFUNCTION("""COMPUTED_VALUE"""),"1.8HP")</f>
        <v>1.8HP</v>
      </c>
      <c r="I1850" s="5"/>
      <c r="J1850" s="5"/>
      <c r="K1850" s="5"/>
      <c r="L1850" s="5" t="str">
        <f>IFERROR(__xludf.DUMMYFUNCTION("""COMPUTED_VALUE"""),"KLH")</f>
        <v>KLH</v>
      </c>
    </row>
    <row r="1851">
      <c r="A1851" s="5" t="str">
        <f>IFERROR(__xludf.DUMMYFUNCTION("""COMPUTED_VALUE"""),"XD1-MPC-059")</f>
        <v>XD1-MPC-059</v>
      </c>
      <c r="B1851" s="3" t="str">
        <f>IFERROR(__xludf.DUMMYFUNCTION("""COMPUTED_VALUE"""),"Máy phát cỏ 2 thì")</f>
        <v>Máy phát cỏ 2 thì</v>
      </c>
      <c r="C1851" s="5" t="str">
        <f>IFERROR(__xludf.DUMMYFUNCTION("""COMPUTED_VALUE"""),"XN Chuối DP1")</f>
        <v>XN Chuối DP1</v>
      </c>
      <c r="D1851" s="5" t="str">
        <f>IFERROR(__xludf.DUMMYFUNCTION("""COMPUTED_VALUE"""),"MARRATA")</f>
        <v>MARRATA</v>
      </c>
      <c r="E1851" s="5"/>
      <c r="F1851" s="5"/>
      <c r="G1851" s="5" t="str">
        <f>IFERROR(__xludf.DUMMYFUNCTION("""COMPUTED_VALUE"""),"CG411")</f>
        <v>CG411</v>
      </c>
      <c r="H1851" s="5" t="str">
        <f>IFERROR(__xludf.DUMMYFUNCTION("""COMPUTED_VALUE"""),"1.8HP")</f>
        <v>1.8HP</v>
      </c>
      <c r="I1851" s="5"/>
      <c r="J1851" s="5"/>
      <c r="K1851" s="5"/>
      <c r="L1851" s="5" t="str">
        <f>IFERROR(__xludf.DUMMYFUNCTION("""COMPUTED_VALUE"""),"KLH")</f>
        <v>KLH</v>
      </c>
    </row>
    <row r="1852">
      <c r="A1852" s="5" t="str">
        <f>IFERROR(__xludf.DUMMYFUNCTION("""COMPUTED_VALUE"""),"XD1-MPC-060")</f>
        <v>XD1-MPC-060</v>
      </c>
      <c r="B1852" s="3" t="str">
        <f>IFERROR(__xludf.DUMMYFUNCTION("""COMPUTED_VALUE"""),"Máy phát cỏ 2 thì")</f>
        <v>Máy phát cỏ 2 thì</v>
      </c>
      <c r="C1852" s="5" t="str">
        <f>IFERROR(__xludf.DUMMYFUNCTION("""COMPUTED_VALUE"""),"XN Chuối DP1")</f>
        <v>XN Chuối DP1</v>
      </c>
      <c r="D1852" s="5" t="str">
        <f>IFERROR(__xludf.DUMMYFUNCTION("""COMPUTED_VALUE"""),"MARRATA")</f>
        <v>MARRATA</v>
      </c>
      <c r="E1852" s="5"/>
      <c r="F1852" s="5"/>
      <c r="G1852" s="5" t="str">
        <f>IFERROR(__xludf.DUMMYFUNCTION("""COMPUTED_VALUE"""),"CG411")</f>
        <v>CG411</v>
      </c>
      <c r="H1852" s="5" t="str">
        <f>IFERROR(__xludf.DUMMYFUNCTION("""COMPUTED_VALUE"""),"1.8HP")</f>
        <v>1.8HP</v>
      </c>
      <c r="I1852" s="5"/>
      <c r="J1852" s="5"/>
      <c r="K1852" s="5"/>
      <c r="L1852" s="5" t="str">
        <f>IFERROR(__xludf.DUMMYFUNCTION("""COMPUTED_VALUE"""),"KLH")</f>
        <v>KLH</v>
      </c>
    </row>
    <row r="1853">
      <c r="A1853" s="5" t="str">
        <f>IFERROR(__xludf.DUMMYFUNCTION("""COMPUTED_VALUE"""),"XD1-MPC-061")</f>
        <v>XD1-MPC-061</v>
      </c>
      <c r="B1853" s="3" t="str">
        <f>IFERROR(__xludf.DUMMYFUNCTION("""COMPUTED_VALUE"""),"Máy phát cỏ 2 thì")</f>
        <v>Máy phát cỏ 2 thì</v>
      </c>
      <c r="C1853" s="5" t="str">
        <f>IFERROR(__xludf.DUMMYFUNCTION("""COMPUTED_VALUE"""),"XN Chuối DP1")</f>
        <v>XN Chuối DP1</v>
      </c>
      <c r="D1853" s="5" t="str">
        <f>IFERROR(__xludf.DUMMYFUNCTION("""COMPUTED_VALUE"""),"MARRATA")</f>
        <v>MARRATA</v>
      </c>
      <c r="E1853" s="5"/>
      <c r="F1853" s="5"/>
      <c r="G1853" s="5" t="str">
        <f>IFERROR(__xludf.DUMMYFUNCTION("""COMPUTED_VALUE"""),"CG411")</f>
        <v>CG411</v>
      </c>
      <c r="H1853" s="5" t="str">
        <f>IFERROR(__xludf.DUMMYFUNCTION("""COMPUTED_VALUE"""),"1.8HP")</f>
        <v>1.8HP</v>
      </c>
      <c r="I1853" s="5"/>
      <c r="J1853" s="5"/>
      <c r="K1853" s="5"/>
      <c r="L1853" s="5" t="str">
        <f>IFERROR(__xludf.DUMMYFUNCTION("""COMPUTED_VALUE"""),"KLH")</f>
        <v>KLH</v>
      </c>
    </row>
    <row r="1854">
      <c r="A1854" s="5" t="str">
        <f>IFERROR(__xludf.DUMMYFUNCTION("""COMPUTED_VALUE"""),"XD1-MPC-062")</f>
        <v>XD1-MPC-062</v>
      </c>
      <c r="B1854" s="3" t="str">
        <f>IFERROR(__xludf.DUMMYFUNCTION("""COMPUTED_VALUE"""),"Máy phát cỏ 2 thì")</f>
        <v>Máy phát cỏ 2 thì</v>
      </c>
      <c r="C1854" s="5" t="str">
        <f>IFERROR(__xludf.DUMMYFUNCTION("""COMPUTED_VALUE"""),"XN Chuối DP1")</f>
        <v>XN Chuối DP1</v>
      </c>
      <c r="D1854" s="5" t="str">
        <f>IFERROR(__xludf.DUMMYFUNCTION("""COMPUTED_VALUE"""),"MARRATA")</f>
        <v>MARRATA</v>
      </c>
      <c r="E1854" s="5"/>
      <c r="F1854" s="5"/>
      <c r="G1854" s="5" t="str">
        <f>IFERROR(__xludf.DUMMYFUNCTION("""COMPUTED_VALUE"""),"CG411")</f>
        <v>CG411</v>
      </c>
      <c r="H1854" s="5" t="str">
        <f>IFERROR(__xludf.DUMMYFUNCTION("""COMPUTED_VALUE"""),"1.8HP")</f>
        <v>1.8HP</v>
      </c>
      <c r="I1854" s="5"/>
      <c r="J1854" s="5"/>
      <c r="K1854" s="5"/>
      <c r="L1854" s="5" t="str">
        <f>IFERROR(__xludf.DUMMYFUNCTION("""COMPUTED_VALUE"""),"KLH")</f>
        <v>KLH</v>
      </c>
    </row>
    <row r="1855">
      <c r="A1855" s="5" t="str">
        <f>IFERROR(__xludf.DUMMYFUNCTION("""COMPUTED_VALUE"""),"XD1-MPC-063")</f>
        <v>XD1-MPC-063</v>
      </c>
      <c r="B1855" s="3" t="str">
        <f>IFERROR(__xludf.DUMMYFUNCTION("""COMPUTED_VALUE"""),"Máy phát cỏ 2 thì")</f>
        <v>Máy phát cỏ 2 thì</v>
      </c>
      <c r="C1855" s="5" t="str">
        <f>IFERROR(__xludf.DUMMYFUNCTION("""COMPUTED_VALUE"""),"XN Chuối DP1")</f>
        <v>XN Chuối DP1</v>
      </c>
      <c r="D1855" s="5" t="str">
        <f>IFERROR(__xludf.DUMMYFUNCTION("""COMPUTED_VALUE"""),"MARRATA")</f>
        <v>MARRATA</v>
      </c>
      <c r="E1855" s="5"/>
      <c r="F1855" s="5"/>
      <c r="G1855" s="5" t="str">
        <f>IFERROR(__xludf.DUMMYFUNCTION("""COMPUTED_VALUE"""),"CG411")</f>
        <v>CG411</v>
      </c>
      <c r="H1855" s="5" t="str">
        <f>IFERROR(__xludf.DUMMYFUNCTION("""COMPUTED_VALUE"""),"1.8HP")</f>
        <v>1.8HP</v>
      </c>
      <c r="I1855" s="5"/>
      <c r="J1855" s="5"/>
      <c r="K1855" s="5"/>
      <c r="L1855" s="5" t="str">
        <f>IFERROR(__xludf.DUMMYFUNCTION("""COMPUTED_VALUE"""),"KLH")</f>
        <v>KLH</v>
      </c>
    </row>
    <row r="1856">
      <c r="A1856" s="5" t="str">
        <f>IFERROR(__xludf.DUMMYFUNCTION("""COMPUTED_VALUE"""),"XD1-MPC-064")</f>
        <v>XD1-MPC-064</v>
      </c>
      <c r="B1856" s="3" t="str">
        <f>IFERROR(__xludf.DUMMYFUNCTION("""COMPUTED_VALUE"""),"Máy phát cỏ 2 thì")</f>
        <v>Máy phát cỏ 2 thì</v>
      </c>
      <c r="C1856" s="5" t="str">
        <f>IFERROR(__xludf.DUMMYFUNCTION("""COMPUTED_VALUE"""),"XN Chuối DP1")</f>
        <v>XN Chuối DP1</v>
      </c>
      <c r="D1856" s="5" t="str">
        <f>IFERROR(__xludf.DUMMYFUNCTION("""COMPUTED_VALUE"""),"MARRATA")</f>
        <v>MARRATA</v>
      </c>
      <c r="E1856" s="5"/>
      <c r="F1856" s="5"/>
      <c r="G1856" s="5" t="str">
        <f>IFERROR(__xludf.DUMMYFUNCTION("""COMPUTED_VALUE"""),"CG411")</f>
        <v>CG411</v>
      </c>
      <c r="H1856" s="5" t="str">
        <f>IFERROR(__xludf.DUMMYFUNCTION("""COMPUTED_VALUE"""),"1.8HP")</f>
        <v>1.8HP</v>
      </c>
      <c r="I1856" s="5"/>
      <c r="J1856" s="5"/>
      <c r="K1856" s="5"/>
      <c r="L1856" s="5" t="str">
        <f>IFERROR(__xludf.DUMMYFUNCTION("""COMPUTED_VALUE"""),"KLH")</f>
        <v>KLH</v>
      </c>
    </row>
    <row r="1857">
      <c r="A1857" s="5" t="str">
        <f>IFERROR(__xludf.DUMMYFUNCTION("""COMPUTED_VALUE"""),"XD1-MPC-065")</f>
        <v>XD1-MPC-065</v>
      </c>
      <c r="B1857" s="3" t="str">
        <f>IFERROR(__xludf.DUMMYFUNCTION("""COMPUTED_VALUE"""),"Máy phát cỏ 2 thì")</f>
        <v>Máy phát cỏ 2 thì</v>
      </c>
      <c r="C1857" s="5" t="str">
        <f>IFERROR(__xludf.DUMMYFUNCTION("""COMPUTED_VALUE"""),"XN Chuối DP1")</f>
        <v>XN Chuối DP1</v>
      </c>
      <c r="D1857" s="5" t="str">
        <f>IFERROR(__xludf.DUMMYFUNCTION("""COMPUTED_VALUE"""),"MARRATA")</f>
        <v>MARRATA</v>
      </c>
      <c r="E1857" s="5"/>
      <c r="F1857" s="5"/>
      <c r="G1857" s="5" t="str">
        <f>IFERROR(__xludf.DUMMYFUNCTION("""COMPUTED_VALUE"""),"CG411")</f>
        <v>CG411</v>
      </c>
      <c r="H1857" s="5" t="str">
        <f>IFERROR(__xludf.DUMMYFUNCTION("""COMPUTED_VALUE"""),"1.8HP")</f>
        <v>1.8HP</v>
      </c>
      <c r="I1857" s="5"/>
      <c r="J1857" s="5"/>
      <c r="K1857" s="5"/>
      <c r="L1857" s="5" t="str">
        <f>IFERROR(__xludf.DUMMYFUNCTION("""COMPUTED_VALUE"""),"KLH")</f>
        <v>KLH</v>
      </c>
    </row>
    <row r="1858">
      <c r="A1858" s="5" t="str">
        <f>IFERROR(__xludf.DUMMYFUNCTION("""COMPUTED_VALUE"""),"XD1-MPC-066")</f>
        <v>XD1-MPC-066</v>
      </c>
      <c r="B1858" s="3" t="str">
        <f>IFERROR(__xludf.DUMMYFUNCTION("""COMPUTED_VALUE"""),"Máy phát cỏ 2 thì")</f>
        <v>Máy phát cỏ 2 thì</v>
      </c>
      <c r="C1858" s="5" t="str">
        <f>IFERROR(__xludf.DUMMYFUNCTION("""COMPUTED_VALUE"""),"XN Chuối DP1")</f>
        <v>XN Chuối DP1</v>
      </c>
      <c r="D1858" s="5" t="str">
        <f>IFERROR(__xludf.DUMMYFUNCTION("""COMPUTED_VALUE"""),"MARRATA")</f>
        <v>MARRATA</v>
      </c>
      <c r="E1858" s="5"/>
      <c r="F1858" s="5"/>
      <c r="G1858" s="5" t="str">
        <f>IFERROR(__xludf.DUMMYFUNCTION("""COMPUTED_VALUE"""),"CG411")</f>
        <v>CG411</v>
      </c>
      <c r="H1858" s="5" t="str">
        <f>IFERROR(__xludf.DUMMYFUNCTION("""COMPUTED_VALUE"""),"1.8HP")</f>
        <v>1.8HP</v>
      </c>
      <c r="I1858" s="5"/>
      <c r="J1858" s="5"/>
      <c r="K1858" s="5"/>
      <c r="L1858" s="5" t="str">
        <f>IFERROR(__xludf.DUMMYFUNCTION("""COMPUTED_VALUE"""),"KLH")</f>
        <v>KLH</v>
      </c>
    </row>
    <row r="1859">
      <c r="A1859" s="5" t="str">
        <f>IFERROR(__xludf.DUMMYFUNCTION("""COMPUTED_VALUE"""),"XD1-MPC-067")</f>
        <v>XD1-MPC-067</v>
      </c>
      <c r="B1859" s="3" t="str">
        <f>IFERROR(__xludf.DUMMYFUNCTION("""COMPUTED_VALUE"""),"Máy phát cỏ 2 thì")</f>
        <v>Máy phát cỏ 2 thì</v>
      </c>
      <c r="C1859" s="5" t="str">
        <f>IFERROR(__xludf.DUMMYFUNCTION("""COMPUTED_VALUE"""),"XN Chuối DP1")</f>
        <v>XN Chuối DP1</v>
      </c>
      <c r="D1859" s="5" t="str">
        <f>IFERROR(__xludf.DUMMYFUNCTION("""COMPUTED_VALUE"""),"MARRATA")</f>
        <v>MARRATA</v>
      </c>
      <c r="E1859" s="5"/>
      <c r="F1859" s="5"/>
      <c r="G1859" s="5" t="str">
        <f>IFERROR(__xludf.DUMMYFUNCTION("""COMPUTED_VALUE"""),"CG411")</f>
        <v>CG411</v>
      </c>
      <c r="H1859" s="5" t="str">
        <f>IFERROR(__xludf.DUMMYFUNCTION("""COMPUTED_VALUE"""),"1.8HP")</f>
        <v>1.8HP</v>
      </c>
      <c r="I1859" s="5"/>
      <c r="J1859" s="5"/>
      <c r="K1859" s="5"/>
      <c r="L1859" s="5" t="str">
        <f>IFERROR(__xludf.DUMMYFUNCTION("""COMPUTED_VALUE"""),"KLH")</f>
        <v>KLH</v>
      </c>
    </row>
    <row r="1860">
      <c r="A1860" s="5" t="str">
        <f>IFERROR(__xludf.DUMMYFUNCTION("""COMPUTED_VALUE"""),"XD1-MPC-068")</f>
        <v>XD1-MPC-068</v>
      </c>
      <c r="B1860" s="3" t="str">
        <f>IFERROR(__xludf.DUMMYFUNCTION("""COMPUTED_VALUE"""),"Máy phát cỏ 2 thì")</f>
        <v>Máy phát cỏ 2 thì</v>
      </c>
      <c r="C1860" s="5" t="str">
        <f>IFERROR(__xludf.DUMMYFUNCTION("""COMPUTED_VALUE"""),"XN Chuối DP1")</f>
        <v>XN Chuối DP1</v>
      </c>
      <c r="D1860" s="5" t="str">
        <f>IFERROR(__xludf.DUMMYFUNCTION("""COMPUTED_VALUE"""),"MARRATA")</f>
        <v>MARRATA</v>
      </c>
      <c r="E1860" s="5"/>
      <c r="F1860" s="5"/>
      <c r="G1860" s="5" t="str">
        <f>IFERROR(__xludf.DUMMYFUNCTION("""COMPUTED_VALUE"""),"CG411")</f>
        <v>CG411</v>
      </c>
      <c r="H1860" s="5" t="str">
        <f>IFERROR(__xludf.DUMMYFUNCTION("""COMPUTED_VALUE"""),"1.8HP")</f>
        <v>1.8HP</v>
      </c>
      <c r="I1860" s="5"/>
      <c r="J1860" s="5"/>
      <c r="K1860" s="5"/>
      <c r="L1860" s="5" t="str">
        <f>IFERROR(__xludf.DUMMYFUNCTION("""COMPUTED_VALUE"""),"KLH")</f>
        <v>KLH</v>
      </c>
    </row>
    <row r="1861">
      <c r="A1861" s="5" t="str">
        <f>IFERROR(__xludf.DUMMYFUNCTION("""COMPUTED_VALUE"""),"XD1-MPC-069")</f>
        <v>XD1-MPC-069</v>
      </c>
      <c r="B1861" s="3" t="str">
        <f>IFERROR(__xludf.DUMMYFUNCTION("""COMPUTED_VALUE"""),"Máy phát cỏ 2 thì")</f>
        <v>Máy phát cỏ 2 thì</v>
      </c>
      <c r="C1861" s="5" t="str">
        <f>IFERROR(__xludf.DUMMYFUNCTION("""COMPUTED_VALUE"""),"XN Chuối DP1")</f>
        <v>XN Chuối DP1</v>
      </c>
      <c r="D1861" s="5" t="str">
        <f>IFERROR(__xludf.DUMMYFUNCTION("""COMPUTED_VALUE"""),"MARRATA")</f>
        <v>MARRATA</v>
      </c>
      <c r="E1861" s="5"/>
      <c r="F1861" s="5"/>
      <c r="G1861" s="5" t="str">
        <f>IFERROR(__xludf.DUMMYFUNCTION("""COMPUTED_VALUE"""),"CG411")</f>
        <v>CG411</v>
      </c>
      <c r="H1861" s="5" t="str">
        <f>IFERROR(__xludf.DUMMYFUNCTION("""COMPUTED_VALUE"""),"1.8HP")</f>
        <v>1.8HP</v>
      </c>
      <c r="I1861" s="5"/>
      <c r="J1861" s="5"/>
      <c r="K1861" s="5"/>
      <c r="L1861" s="5" t="str">
        <f>IFERROR(__xludf.DUMMYFUNCTION("""COMPUTED_VALUE"""),"KLH")</f>
        <v>KLH</v>
      </c>
    </row>
    <row r="1862">
      <c r="A1862" s="5" t="str">
        <f>IFERROR(__xludf.DUMMYFUNCTION("""COMPUTED_VALUE"""),"XD1-MPC-070")</f>
        <v>XD1-MPC-070</v>
      </c>
      <c r="B1862" s="3" t="str">
        <f>IFERROR(__xludf.DUMMYFUNCTION("""COMPUTED_VALUE"""),"Máy phát cỏ 2 thì")</f>
        <v>Máy phát cỏ 2 thì</v>
      </c>
      <c r="C1862" s="5" t="str">
        <f>IFERROR(__xludf.DUMMYFUNCTION("""COMPUTED_VALUE"""),"XN Chuối DP1")</f>
        <v>XN Chuối DP1</v>
      </c>
      <c r="D1862" s="5" t="str">
        <f>IFERROR(__xludf.DUMMYFUNCTION("""COMPUTED_VALUE"""),"MARRATA")</f>
        <v>MARRATA</v>
      </c>
      <c r="E1862" s="5"/>
      <c r="F1862" s="5"/>
      <c r="G1862" s="5" t="str">
        <f>IFERROR(__xludf.DUMMYFUNCTION("""COMPUTED_VALUE"""),"CG411")</f>
        <v>CG411</v>
      </c>
      <c r="H1862" s="5" t="str">
        <f>IFERROR(__xludf.DUMMYFUNCTION("""COMPUTED_VALUE"""),"1.8HP")</f>
        <v>1.8HP</v>
      </c>
      <c r="I1862" s="5"/>
      <c r="J1862" s="5"/>
      <c r="K1862" s="5"/>
      <c r="L1862" s="5" t="str">
        <f>IFERROR(__xludf.DUMMYFUNCTION("""COMPUTED_VALUE"""),"KLH")</f>
        <v>KLH</v>
      </c>
    </row>
    <row r="1863">
      <c r="A1863" s="5" t="str">
        <f>IFERROR(__xludf.DUMMYFUNCTION("""COMPUTED_VALUE"""),"XD1-MPC-071")</f>
        <v>XD1-MPC-071</v>
      </c>
      <c r="B1863" s="3" t="str">
        <f>IFERROR(__xludf.DUMMYFUNCTION("""COMPUTED_VALUE"""),"Máy phát cỏ 2 thì")</f>
        <v>Máy phát cỏ 2 thì</v>
      </c>
      <c r="C1863" s="5" t="str">
        <f>IFERROR(__xludf.DUMMYFUNCTION("""COMPUTED_VALUE"""),"XN Chuối DP1")</f>
        <v>XN Chuối DP1</v>
      </c>
      <c r="D1863" s="5" t="str">
        <f>IFERROR(__xludf.DUMMYFUNCTION("""COMPUTED_VALUE"""),"MARRATA")</f>
        <v>MARRATA</v>
      </c>
      <c r="E1863" s="5"/>
      <c r="F1863" s="5"/>
      <c r="G1863" s="5" t="str">
        <f>IFERROR(__xludf.DUMMYFUNCTION("""COMPUTED_VALUE"""),"CG411")</f>
        <v>CG411</v>
      </c>
      <c r="H1863" s="5" t="str">
        <f>IFERROR(__xludf.DUMMYFUNCTION("""COMPUTED_VALUE"""),"1.8HP")</f>
        <v>1.8HP</v>
      </c>
      <c r="I1863" s="5"/>
      <c r="J1863" s="5"/>
      <c r="K1863" s="5"/>
      <c r="L1863" s="5" t="str">
        <f>IFERROR(__xludf.DUMMYFUNCTION("""COMPUTED_VALUE"""),"KLH")</f>
        <v>KLH</v>
      </c>
    </row>
    <row r="1864">
      <c r="A1864" s="5" t="str">
        <f>IFERROR(__xludf.DUMMYFUNCTION("""COMPUTED_VALUE"""),"XD1-MPC-072")</f>
        <v>XD1-MPC-072</v>
      </c>
      <c r="B1864" s="3" t="str">
        <f>IFERROR(__xludf.DUMMYFUNCTION("""COMPUTED_VALUE"""),"Máy phát cỏ 2 thì")</f>
        <v>Máy phát cỏ 2 thì</v>
      </c>
      <c r="C1864" s="5" t="str">
        <f>IFERROR(__xludf.DUMMYFUNCTION("""COMPUTED_VALUE"""),"XN Chuối DP1")</f>
        <v>XN Chuối DP1</v>
      </c>
      <c r="D1864" s="5" t="str">
        <f>IFERROR(__xludf.DUMMYFUNCTION("""COMPUTED_VALUE"""),"MARRATA")</f>
        <v>MARRATA</v>
      </c>
      <c r="E1864" s="5"/>
      <c r="F1864" s="5"/>
      <c r="G1864" s="5" t="str">
        <f>IFERROR(__xludf.DUMMYFUNCTION("""COMPUTED_VALUE"""),"CG411")</f>
        <v>CG411</v>
      </c>
      <c r="H1864" s="5" t="str">
        <f>IFERROR(__xludf.DUMMYFUNCTION("""COMPUTED_VALUE"""),"1.8HP")</f>
        <v>1.8HP</v>
      </c>
      <c r="I1864" s="5"/>
      <c r="J1864" s="5"/>
      <c r="K1864" s="5"/>
      <c r="L1864" s="5" t="str">
        <f>IFERROR(__xludf.DUMMYFUNCTION("""COMPUTED_VALUE"""),"KLH")</f>
        <v>KLH</v>
      </c>
    </row>
    <row r="1865">
      <c r="A1865" s="5" t="str">
        <f>IFERROR(__xludf.DUMMYFUNCTION("""COMPUTED_VALUE"""),"XD1-MPC-073")</f>
        <v>XD1-MPC-073</v>
      </c>
      <c r="B1865" s="3" t="str">
        <f>IFERROR(__xludf.DUMMYFUNCTION("""COMPUTED_VALUE"""),"Máy phát cỏ 2 thì")</f>
        <v>Máy phát cỏ 2 thì</v>
      </c>
      <c r="C1865" s="5" t="str">
        <f>IFERROR(__xludf.DUMMYFUNCTION("""COMPUTED_VALUE"""),"XN Chuối DP1")</f>
        <v>XN Chuối DP1</v>
      </c>
      <c r="D1865" s="5" t="str">
        <f>IFERROR(__xludf.DUMMYFUNCTION("""COMPUTED_VALUE"""),"MARRATA")</f>
        <v>MARRATA</v>
      </c>
      <c r="E1865" s="5"/>
      <c r="F1865" s="5"/>
      <c r="G1865" s="5" t="str">
        <f>IFERROR(__xludf.DUMMYFUNCTION("""COMPUTED_VALUE"""),"CG411")</f>
        <v>CG411</v>
      </c>
      <c r="H1865" s="5" t="str">
        <f>IFERROR(__xludf.DUMMYFUNCTION("""COMPUTED_VALUE"""),"1.8HP")</f>
        <v>1.8HP</v>
      </c>
      <c r="I1865" s="5"/>
      <c r="J1865" s="5"/>
      <c r="K1865" s="5"/>
      <c r="L1865" s="5" t="str">
        <f>IFERROR(__xludf.DUMMYFUNCTION("""COMPUTED_VALUE"""),"KLH")</f>
        <v>KLH</v>
      </c>
    </row>
    <row r="1866">
      <c r="A1866" s="5" t="str">
        <f>IFERROR(__xludf.DUMMYFUNCTION("""COMPUTED_VALUE"""),"XD1-MPC-074")</f>
        <v>XD1-MPC-074</v>
      </c>
      <c r="B1866" s="3" t="str">
        <f>IFERROR(__xludf.DUMMYFUNCTION("""COMPUTED_VALUE"""),"Máy phát cỏ 2 thì")</f>
        <v>Máy phát cỏ 2 thì</v>
      </c>
      <c r="C1866" s="5" t="str">
        <f>IFERROR(__xludf.DUMMYFUNCTION("""COMPUTED_VALUE"""),"XN Chuối DP1")</f>
        <v>XN Chuối DP1</v>
      </c>
      <c r="D1866" s="5" t="str">
        <f>IFERROR(__xludf.DUMMYFUNCTION("""COMPUTED_VALUE"""),"MARRATA")</f>
        <v>MARRATA</v>
      </c>
      <c r="E1866" s="5"/>
      <c r="F1866" s="5"/>
      <c r="G1866" s="5" t="str">
        <f>IFERROR(__xludf.DUMMYFUNCTION("""COMPUTED_VALUE"""),"CG411")</f>
        <v>CG411</v>
      </c>
      <c r="H1866" s="5" t="str">
        <f>IFERROR(__xludf.DUMMYFUNCTION("""COMPUTED_VALUE"""),"1.8HP")</f>
        <v>1.8HP</v>
      </c>
      <c r="I1866" s="5"/>
      <c r="J1866" s="5"/>
      <c r="K1866" s="5"/>
      <c r="L1866" s="5" t="str">
        <f>IFERROR(__xludf.DUMMYFUNCTION("""COMPUTED_VALUE"""),"KLH")</f>
        <v>KLH</v>
      </c>
    </row>
    <row r="1867">
      <c r="A1867" s="5" t="str">
        <f>IFERROR(__xludf.DUMMYFUNCTION("""COMPUTED_VALUE"""),"XN DP2")</f>
        <v>XN DP2</v>
      </c>
      <c r="B1867" s="3"/>
      <c r="C1867" s="5"/>
      <c r="D1867" s="5"/>
      <c r="E1867" s="5"/>
      <c r="F1867" s="5"/>
      <c r="G1867" s="5"/>
      <c r="H1867" s="5"/>
      <c r="I1867" s="5"/>
      <c r="J1867" s="5"/>
      <c r="K1867" s="5"/>
      <c r="L1867" s="5" t="str">
        <f>IFERROR(__xludf.DUMMYFUNCTION("""COMPUTED_VALUE"""),"KLH")</f>
        <v>KLH</v>
      </c>
    </row>
    <row r="1868">
      <c r="A1868" s="5" t="str">
        <f>IFERROR(__xludf.DUMMYFUNCTION("""COMPUTED_VALUE"""),"XD2-MPC-005")</f>
        <v>XD2-MPC-005</v>
      </c>
      <c r="B1868" s="3" t="str">
        <f>IFERROR(__xludf.DUMMYFUNCTION("""COMPUTED_VALUE"""),"Máy phát cỏ 4 thì")</f>
        <v>Máy phát cỏ 4 thì</v>
      </c>
      <c r="C1868" s="5" t="str">
        <f>IFERROR(__xludf.DUMMYFUNCTION("""COMPUTED_VALUE"""),"XN Chuối DP2")</f>
        <v>XN Chuối DP2</v>
      </c>
      <c r="D1868" s="5" t="str">
        <f>IFERROR(__xludf.DUMMYFUNCTION("""COMPUTED_VALUE"""),"HINOTA")</f>
        <v>HINOTA</v>
      </c>
      <c r="E1868" s="5" t="str">
        <f>IFERROR(__xludf.DUMMYFUNCTION("""COMPUTED_VALUE"""),"Trung Quốc")</f>
        <v>Trung Quốc</v>
      </c>
      <c r="F1868" s="5"/>
      <c r="G1868" s="5" t="str">
        <f>IFERROR(__xludf.DUMMYFUNCTION("""COMPUTED_VALUE"""),"CG435")</f>
        <v>CG435</v>
      </c>
      <c r="H1868" s="5" t="str">
        <f>IFERROR(__xludf.DUMMYFUNCTION("""COMPUTED_VALUE"""),"1.2HP")</f>
        <v>1.2HP</v>
      </c>
      <c r="I1868" s="5"/>
      <c r="J1868" s="5"/>
      <c r="K1868" s="5">
        <f>IFERROR(__xludf.DUMMYFUNCTION("""COMPUTED_VALUE"""),0.5)</f>
        <v>0.5</v>
      </c>
      <c r="L1868" s="5" t="str">
        <f>IFERROR(__xludf.DUMMYFUNCTION("""COMPUTED_VALUE"""),"KLH")</f>
        <v>KLH</v>
      </c>
    </row>
    <row r="1869">
      <c r="A1869" s="5" t="str">
        <f>IFERROR(__xludf.DUMMYFUNCTION("""COMPUTED_VALUE"""),"XD2-MPC-012")</f>
        <v>XD2-MPC-012</v>
      </c>
      <c r="B1869" s="3" t="str">
        <f>IFERROR(__xludf.DUMMYFUNCTION("""COMPUTED_VALUE"""),"Máy phát cỏ 4 thì")</f>
        <v>Máy phát cỏ 4 thì</v>
      </c>
      <c r="C1869" s="5" t="str">
        <f>IFERROR(__xludf.DUMMYFUNCTION("""COMPUTED_VALUE"""),"XN Chuối DP2")</f>
        <v>XN Chuối DP2</v>
      </c>
      <c r="D1869" s="5" t="str">
        <f>IFERROR(__xludf.DUMMYFUNCTION("""COMPUTED_VALUE"""),"HINOTA")</f>
        <v>HINOTA</v>
      </c>
      <c r="E1869" s="5" t="str">
        <f>IFERROR(__xludf.DUMMYFUNCTION("""COMPUTED_VALUE"""),"Trung Quốc")</f>
        <v>Trung Quốc</v>
      </c>
      <c r="F1869" s="5"/>
      <c r="G1869" s="5" t="str">
        <f>IFERROR(__xludf.DUMMYFUNCTION("""COMPUTED_VALUE"""),"CG435")</f>
        <v>CG435</v>
      </c>
      <c r="H1869" s="5" t="str">
        <f>IFERROR(__xludf.DUMMYFUNCTION("""COMPUTED_VALUE"""),"1.2HP")</f>
        <v>1.2HP</v>
      </c>
      <c r="I1869" s="5"/>
      <c r="J1869" s="5"/>
      <c r="K1869" s="5">
        <f>IFERROR(__xludf.DUMMYFUNCTION("""COMPUTED_VALUE"""),0.5)</f>
        <v>0.5</v>
      </c>
      <c r="L1869" s="5" t="str">
        <f>IFERROR(__xludf.DUMMYFUNCTION("""COMPUTED_VALUE"""),"KLH")</f>
        <v>KLH</v>
      </c>
    </row>
    <row r="1870">
      <c r="A1870" s="5" t="str">
        <f>IFERROR(__xludf.DUMMYFUNCTION("""COMPUTED_VALUE"""),"XD2-MPC-013")</f>
        <v>XD2-MPC-013</v>
      </c>
      <c r="B1870" s="3" t="str">
        <f>IFERROR(__xludf.DUMMYFUNCTION("""COMPUTED_VALUE"""),"Máy phát cỏ 4 thì")</f>
        <v>Máy phát cỏ 4 thì</v>
      </c>
      <c r="C1870" s="5" t="str">
        <f>IFERROR(__xludf.DUMMYFUNCTION("""COMPUTED_VALUE"""),"XN Chuối DP2")</f>
        <v>XN Chuối DP2</v>
      </c>
      <c r="D1870" s="5" t="str">
        <f>IFERROR(__xludf.DUMMYFUNCTION("""COMPUTED_VALUE"""),"HINOTA")</f>
        <v>HINOTA</v>
      </c>
      <c r="E1870" s="5" t="str">
        <f>IFERROR(__xludf.DUMMYFUNCTION("""COMPUTED_VALUE"""),"Trung Quốc")</f>
        <v>Trung Quốc</v>
      </c>
      <c r="F1870" s="5"/>
      <c r="G1870" s="5" t="str">
        <f>IFERROR(__xludf.DUMMYFUNCTION("""COMPUTED_VALUE"""),"CG435")</f>
        <v>CG435</v>
      </c>
      <c r="H1870" s="5" t="str">
        <f>IFERROR(__xludf.DUMMYFUNCTION("""COMPUTED_VALUE"""),"1.2HP")</f>
        <v>1.2HP</v>
      </c>
      <c r="I1870" s="5"/>
      <c r="J1870" s="5"/>
      <c r="K1870" s="5">
        <f>IFERROR(__xludf.DUMMYFUNCTION("""COMPUTED_VALUE"""),0.5)</f>
        <v>0.5</v>
      </c>
      <c r="L1870" s="5" t="str">
        <f>IFERROR(__xludf.DUMMYFUNCTION("""COMPUTED_VALUE"""),"KLH")</f>
        <v>KLH</v>
      </c>
    </row>
    <row r="1871">
      <c r="A1871" s="5" t="str">
        <f>IFERROR(__xludf.DUMMYFUNCTION("""COMPUTED_VALUE"""),"XD2-MPC-019")</f>
        <v>XD2-MPC-019</v>
      </c>
      <c r="B1871" s="3" t="str">
        <f>IFERROR(__xludf.DUMMYFUNCTION("""COMPUTED_VALUE"""),"Máy phát cỏ 4 thì")</f>
        <v>Máy phát cỏ 4 thì</v>
      </c>
      <c r="C1871" s="5" t="str">
        <f>IFERROR(__xludf.DUMMYFUNCTION("""COMPUTED_VALUE"""),"XN Chuối DP2")</f>
        <v>XN Chuối DP2</v>
      </c>
      <c r="D1871" s="5" t="str">
        <f>IFERROR(__xludf.DUMMYFUNCTION("""COMPUTED_VALUE"""),"HINOTA")</f>
        <v>HINOTA</v>
      </c>
      <c r="E1871" s="5" t="str">
        <f>IFERROR(__xludf.DUMMYFUNCTION("""COMPUTED_VALUE"""),"Trung Quốc")</f>
        <v>Trung Quốc</v>
      </c>
      <c r="F1871" s="5"/>
      <c r="G1871" s="5" t="str">
        <f>IFERROR(__xludf.DUMMYFUNCTION("""COMPUTED_VALUE"""),"CG435")</f>
        <v>CG435</v>
      </c>
      <c r="H1871" s="5" t="str">
        <f>IFERROR(__xludf.DUMMYFUNCTION("""COMPUTED_VALUE"""),"1.2HP")</f>
        <v>1.2HP</v>
      </c>
      <c r="I1871" s="5"/>
      <c r="J1871" s="5"/>
      <c r="K1871" s="5">
        <f>IFERROR(__xludf.DUMMYFUNCTION("""COMPUTED_VALUE"""),0.5)</f>
        <v>0.5</v>
      </c>
      <c r="L1871" s="5" t="str">
        <f>IFERROR(__xludf.DUMMYFUNCTION("""COMPUTED_VALUE"""),"KLH")</f>
        <v>KLH</v>
      </c>
    </row>
    <row r="1872">
      <c r="A1872" s="5" t="str">
        <f>IFERROR(__xludf.DUMMYFUNCTION("""COMPUTED_VALUE"""),"XD2-MPC-024")</f>
        <v>XD2-MPC-024</v>
      </c>
      <c r="B1872" s="3" t="str">
        <f>IFERROR(__xludf.DUMMYFUNCTION("""COMPUTED_VALUE"""),"Máy phát cỏ 4 thì")</f>
        <v>Máy phát cỏ 4 thì</v>
      </c>
      <c r="C1872" s="5" t="str">
        <f>IFERROR(__xludf.DUMMYFUNCTION("""COMPUTED_VALUE"""),"XN Chuối DP2")</f>
        <v>XN Chuối DP2</v>
      </c>
      <c r="D1872" s="5" t="str">
        <f>IFERROR(__xludf.DUMMYFUNCTION("""COMPUTED_VALUE"""),"HINOTA")</f>
        <v>HINOTA</v>
      </c>
      <c r="E1872" s="5" t="str">
        <f>IFERROR(__xludf.DUMMYFUNCTION("""COMPUTED_VALUE"""),"Trung Quốc")</f>
        <v>Trung Quốc</v>
      </c>
      <c r="F1872" s="5"/>
      <c r="G1872" s="5" t="str">
        <f>IFERROR(__xludf.DUMMYFUNCTION("""COMPUTED_VALUE"""),"CG435")</f>
        <v>CG435</v>
      </c>
      <c r="H1872" s="5" t="str">
        <f>IFERROR(__xludf.DUMMYFUNCTION("""COMPUTED_VALUE"""),"1.2HP")</f>
        <v>1.2HP</v>
      </c>
      <c r="I1872" s="5"/>
      <c r="J1872" s="5"/>
      <c r="K1872" s="5">
        <f>IFERROR(__xludf.DUMMYFUNCTION("""COMPUTED_VALUE"""),0.5)</f>
        <v>0.5</v>
      </c>
      <c r="L1872" s="5" t="str">
        <f>IFERROR(__xludf.DUMMYFUNCTION("""COMPUTED_VALUE"""),"KLH")</f>
        <v>KLH</v>
      </c>
    </row>
    <row r="1873">
      <c r="A1873" s="5" t="str">
        <f>IFERROR(__xludf.DUMMYFUNCTION("""COMPUTED_VALUE"""),"XD2-MPC-027")</f>
        <v>XD2-MPC-027</v>
      </c>
      <c r="B1873" s="3" t="str">
        <f>IFERROR(__xludf.DUMMYFUNCTION("""COMPUTED_VALUE"""),"Máy phát cỏ 4 thì")</f>
        <v>Máy phát cỏ 4 thì</v>
      </c>
      <c r="C1873" s="5" t="str">
        <f>IFERROR(__xludf.DUMMYFUNCTION("""COMPUTED_VALUE"""),"XN Chuối DP2")</f>
        <v>XN Chuối DP2</v>
      </c>
      <c r="D1873" s="5" t="str">
        <f>IFERROR(__xludf.DUMMYFUNCTION("""COMPUTED_VALUE"""),"HONDA")</f>
        <v>HONDA</v>
      </c>
      <c r="E1873" s="5" t="str">
        <f>IFERROR(__xludf.DUMMYFUNCTION("""COMPUTED_VALUE"""),"THÁI LAN")</f>
        <v>THÁI LAN</v>
      </c>
      <c r="F1873" s="5"/>
      <c r="G1873" s="5" t="str">
        <f>IFERROR(__xludf.DUMMYFUNCTION("""COMPUTED_VALUE"""),"GX35")</f>
        <v>GX35</v>
      </c>
      <c r="H1873" s="5" t="str">
        <f>IFERROR(__xludf.DUMMYFUNCTION("""COMPUTED_VALUE"""),"1.6HP")</f>
        <v>1.6HP</v>
      </c>
      <c r="I1873" s="5"/>
      <c r="J1873" s="5"/>
      <c r="K1873" s="5">
        <f>IFERROR(__xludf.DUMMYFUNCTION("""COMPUTED_VALUE"""),0.5)</f>
        <v>0.5</v>
      </c>
      <c r="L1873" s="5" t="str">
        <f>IFERROR(__xludf.DUMMYFUNCTION("""COMPUTED_VALUE"""),"KLH")</f>
        <v>KLH</v>
      </c>
    </row>
    <row r="1874">
      <c r="A1874" s="5" t="str">
        <f>IFERROR(__xludf.DUMMYFUNCTION("""COMPUTED_VALUE"""),"XD2-MPC-028")</f>
        <v>XD2-MPC-028</v>
      </c>
      <c r="B1874" s="3" t="str">
        <f>IFERROR(__xludf.DUMMYFUNCTION("""COMPUTED_VALUE"""),"Máy phát cỏ 4 thì")</f>
        <v>Máy phát cỏ 4 thì</v>
      </c>
      <c r="C1874" s="5" t="str">
        <f>IFERROR(__xludf.DUMMYFUNCTION("""COMPUTED_VALUE"""),"XN Chuối DP2")</f>
        <v>XN Chuối DP2</v>
      </c>
      <c r="D1874" s="5" t="str">
        <f>IFERROR(__xludf.DUMMYFUNCTION("""COMPUTED_VALUE"""),"HONDA")</f>
        <v>HONDA</v>
      </c>
      <c r="E1874" s="5" t="str">
        <f>IFERROR(__xludf.DUMMYFUNCTION("""COMPUTED_VALUE"""),"THÁI LAN")</f>
        <v>THÁI LAN</v>
      </c>
      <c r="F1874" s="5"/>
      <c r="G1874" s="5" t="str">
        <f>IFERROR(__xludf.DUMMYFUNCTION("""COMPUTED_VALUE"""),"GX35")</f>
        <v>GX35</v>
      </c>
      <c r="H1874" s="5" t="str">
        <f>IFERROR(__xludf.DUMMYFUNCTION("""COMPUTED_VALUE"""),"1.6HP")</f>
        <v>1.6HP</v>
      </c>
      <c r="I1874" s="5"/>
      <c r="J1874" s="5"/>
      <c r="K1874" s="5">
        <f>IFERROR(__xludf.DUMMYFUNCTION("""COMPUTED_VALUE"""),0.5)</f>
        <v>0.5</v>
      </c>
      <c r="L1874" s="5" t="str">
        <f>IFERROR(__xludf.DUMMYFUNCTION("""COMPUTED_VALUE"""),"KLH")</f>
        <v>KLH</v>
      </c>
    </row>
    <row r="1875">
      <c r="A1875" s="5" t="str">
        <f>IFERROR(__xludf.DUMMYFUNCTION("""COMPUTED_VALUE"""),"XD2-MPC-029")</f>
        <v>XD2-MPC-029</v>
      </c>
      <c r="B1875" s="3" t="str">
        <f>IFERROR(__xludf.DUMMYFUNCTION("""COMPUTED_VALUE"""),"Máy phát cỏ 4 thì")</f>
        <v>Máy phát cỏ 4 thì</v>
      </c>
      <c r="C1875" s="5" t="str">
        <f>IFERROR(__xludf.DUMMYFUNCTION("""COMPUTED_VALUE"""),"XN Chuối DP2")</f>
        <v>XN Chuối DP2</v>
      </c>
      <c r="D1875" s="5" t="str">
        <f>IFERROR(__xludf.DUMMYFUNCTION("""COMPUTED_VALUE"""),"HONDA")</f>
        <v>HONDA</v>
      </c>
      <c r="E1875" s="5" t="str">
        <f>IFERROR(__xludf.DUMMYFUNCTION("""COMPUTED_VALUE"""),"THÁI LAN")</f>
        <v>THÁI LAN</v>
      </c>
      <c r="F1875" s="5"/>
      <c r="G1875" s="5" t="str">
        <f>IFERROR(__xludf.DUMMYFUNCTION("""COMPUTED_VALUE"""),"GX35")</f>
        <v>GX35</v>
      </c>
      <c r="H1875" s="5" t="str">
        <f>IFERROR(__xludf.DUMMYFUNCTION("""COMPUTED_VALUE"""),"1.6HP")</f>
        <v>1.6HP</v>
      </c>
      <c r="I1875" s="5"/>
      <c r="J1875" s="5"/>
      <c r="K1875" s="5">
        <f>IFERROR(__xludf.DUMMYFUNCTION("""COMPUTED_VALUE"""),0.5)</f>
        <v>0.5</v>
      </c>
      <c r="L1875" s="5" t="str">
        <f>IFERROR(__xludf.DUMMYFUNCTION("""COMPUTED_VALUE"""),"KLH")</f>
        <v>KLH</v>
      </c>
    </row>
    <row r="1876">
      <c r="A1876" s="5" t="str">
        <f>IFERROR(__xludf.DUMMYFUNCTION("""COMPUTED_VALUE"""),"XD2-MPC-030")</f>
        <v>XD2-MPC-030</v>
      </c>
      <c r="B1876" s="3" t="str">
        <f>IFERROR(__xludf.DUMMYFUNCTION("""COMPUTED_VALUE"""),"Máy phát cỏ 4 thì")</f>
        <v>Máy phát cỏ 4 thì</v>
      </c>
      <c r="C1876" s="5" t="str">
        <f>IFERROR(__xludf.DUMMYFUNCTION("""COMPUTED_VALUE"""),"XN Chuối DP2")</f>
        <v>XN Chuối DP2</v>
      </c>
      <c r="D1876" s="5" t="str">
        <f>IFERROR(__xludf.DUMMYFUNCTION("""COMPUTED_VALUE"""),"HONDA")</f>
        <v>HONDA</v>
      </c>
      <c r="E1876" s="5" t="str">
        <f>IFERROR(__xludf.DUMMYFUNCTION("""COMPUTED_VALUE"""),"THÁI LAN")</f>
        <v>THÁI LAN</v>
      </c>
      <c r="F1876" s="5"/>
      <c r="G1876" s="5" t="str">
        <f>IFERROR(__xludf.DUMMYFUNCTION("""COMPUTED_VALUE"""),"GX35")</f>
        <v>GX35</v>
      </c>
      <c r="H1876" s="5" t="str">
        <f>IFERROR(__xludf.DUMMYFUNCTION("""COMPUTED_VALUE"""),"1.6HP")</f>
        <v>1.6HP</v>
      </c>
      <c r="I1876" s="5"/>
      <c r="J1876" s="5"/>
      <c r="K1876" s="5">
        <f>IFERROR(__xludf.DUMMYFUNCTION("""COMPUTED_VALUE"""),0.5)</f>
        <v>0.5</v>
      </c>
      <c r="L1876" s="5" t="str">
        <f>IFERROR(__xludf.DUMMYFUNCTION("""COMPUTED_VALUE"""),"KLH")</f>
        <v>KLH</v>
      </c>
    </row>
    <row r="1877">
      <c r="A1877" s="5" t="str">
        <f>IFERROR(__xludf.DUMMYFUNCTION("""COMPUTED_VALUE"""),"XD2-MPC-031")</f>
        <v>XD2-MPC-031</v>
      </c>
      <c r="B1877" s="3" t="str">
        <f>IFERROR(__xludf.DUMMYFUNCTION("""COMPUTED_VALUE"""),"Máy phát cỏ 4 thì")</f>
        <v>Máy phát cỏ 4 thì</v>
      </c>
      <c r="C1877" s="5" t="str">
        <f>IFERROR(__xludf.DUMMYFUNCTION("""COMPUTED_VALUE"""),"XN Chuối DP2")</f>
        <v>XN Chuối DP2</v>
      </c>
      <c r="D1877" s="5" t="str">
        <f>IFERROR(__xludf.DUMMYFUNCTION("""COMPUTED_VALUE"""),"HONDA")</f>
        <v>HONDA</v>
      </c>
      <c r="E1877" s="5" t="str">
        <f>IFERROR(__xludf.DUMMYFUNCTION("""COMPUTED_VALUE"""),"THÁI LAN")</f>
        <v>THÁI LAN</v>
      </c>
      <c r="F1877" s="5"/>
      <c r="G1877" s="5" t="str">
        <f>IFERROR(__xludf.DUMMYFUNCTION("""COMPUTED_VALUE"""),"GX35")</f>
        <v>GX35</v>
      </c>
      <c r="H1877" s="5" t="str">
        <f>IFERROR(__xludf.DUMMYFUNCTION("""COMPUTED_VALUE"""),"1.6HP")</f>
        <v>1.6HP</v>
      </c>
      <c r="I1877" s="5"/>
      <c r="J1877" s="5"/>
      <c r="K1877" s="5">
        <f>IFERROR(__xludf.DUMMYFUNCTION("""COMPUTED_VALUE"""),0.5)</f>
        <v>0.5</v>
      </c>
      <c r="L1877" s="5" t="str">
        <f>IFERROR(__xludf.DUMMYFUNCTION("""COMPUTED_VALUE"""),"KLH")</f>
        <v>KLH</v>
      </c>
    </row>
    <row r="1878">
      <c r="A1878" s="5" t="str">
        <f>IFERROR(__xludf.DUMMYFUNCTION("""COMPUTED_VALUE"""),"XD2-MPC-032")</f>
        <v>XD2-MPC-032</v>
      </c>
      <c r="B1878" s="3" t="str">
        <f>IFERROR(__xludf.DUMMYFUNCTION("""COMPUTED_VALUE"""),"Máy phát cỏ 4 thì")</f>
        <v>Máy phát cỏ 4 thì</v>
      </c>
      <c r="C1878" s="5" t="str">
        <f>IFERROR(__xludf.DUMMYFUNCTION("""COMPUTED_VALUE"""),"XN Chuối DP2")</f>
        <v>XN Chuối DP2</v>
      </c>
      <c r="D1878" s="5" t="str">
        <f>IFERROR(__xludf.DUMMYFUNCTION("""COMPUTED_VALUE"""),"HONDA")</f>
        <v>HONDA</v>
      </c>
      <c r="E1878" s="5" t="str">
        <f>IFERROR(__xludf.DUMMYFUNCTION("""COMPUTED_VALUE"""),"THÁI LAN")</f>
        <v>THÁI LAN</v>
      </c>
      <c r="F1878" s="5"/>
      <c r="G1878" s="5" t="str">
        <f>IFERROR(__xludf.DUMMYFUNCTION("""COMPUTED_VALUE"""),"GX35")</f>
        <v>GX35</v>
      </c>
      <c r="H1878" s="5" t="str">
        <f>IFERROR(__xludf.DUMMYFUNCTION("""COMPUTED_VALUE"""),"1.6HP")</f>
        <v>1.6HP</v>
      </c>
      <c r="I1878" s="5"/>
      <c r="J1878" s="5"/>
      <c r="K1878" s="5">
        <f>IFERROR(__xludf.DUMMYFUNCTION("""COMPUTED_VALUE"""),0.5)</f>
        <v>0.5</v>
      </c>
      <c r="L1878" s="5" t="str">
        <f>IFERROR(__xludf.DUMMYFUNCTION("""COMPUTED_VALUE"""),"KLH")</f>
        <v>KLH</v>
      </c>
    </row>
    <row r="1879">
      <c r="A1879" s="5" t="str">
        <f>IFERROR(__xludf.DUMMYFUNCTION("""COMPUTED_VALUE"""),"XD2-MPC-033")</f>
        <v>XD2-MPC-033</v>
      </c>
      <c r="B1879" s="3" t="str">
        <f>IFERROR(__xludf.DUMMYFUNCTION("""COMPUTED_VALUE"""),"Máy phát cỏ 2 thì")</f>
        <v>Máy phát cỏ 2 thì</v>
      </c>
      <c r="C1879" s="5" t="str">
        <f>IFERROR(__xludf.DUMMYFUNCTION("""COMPUTED_VALUE"""),"XN Chuối DP2")</f>
        <v>XN Chuối DP2</v>
      </c>
      <c r="D1879" s="5" t="str">
        <f>IFERROR(__xludf.DUMMYFUNCTION("""COMPUTED_VALUE"""),"MARRATA")</f>
        <v>MARRATA</v>
      </c>
      <c r="E1879" s="5"/>
      <c r="F1879" s="5"/>
      <c r="G1879" s="5" t="str">
        <f>IFERROR(__xludf.DUMMYFUNCTION("""COMPUTED_VALUE"""),"CG411")</f>
        <v>CG411</v>
      </c>
      <c r="H1879" s="5" t="str">
        <f>IFERROR(__xludf.DUMMYFUNCTION("""COMPUTED_VALUE"""),"1.8HP")</f>
        <v>1.8HP</v>
      </c>
      <c r="I1879" s="5"/>
      <c r="J1879" s="5"/>
      <c r="K1879" s="5">
        <f>IFERROR(__xludf.DUMMYFUNCTION("""COMPUTED_VALUE"""),1.0)</f>
        <v>1</v>
      </c>
      <c r="L1879" s="5" t="str">
        <f>IFERROR(__xludf.DUMMYFUNCTION("""COMPUTED_VALUE"""),"KLH")</f>
        <v>KLH</v>
      </c>
    </row>
    <row r="1880">
      <c r="A1880" s="5" t="str">
        <f>IFERROR(__xludf.DUMMYFUNCTION("""COMPUTED_VALUE"""),"XD2-MPC-034")</f>
        <v>XD2-MPC-034</v>
      </c>
      <c r="B1880" s="3" t="str">
        <f>IFERROR(__xludf.DUMMYFUNCTION("""COMPUTED_VALUE"""),"Máy phát cỏ 2 thì")</f>
        <v>Máy phát cỏ 2 thì</v>
      </c>
      <c r="C1880" s="5" t="str">
        <f>IFERROR(__xludf.DUMMYFUNCTION("""COMPUTED_VALUE"""),"XN Chuối DP2")</f>
        <v>XN Chuối DP2</v>
      </c>
      <c r="D1880" s="5" t="str">
        <f>IFERROR(__xludf.DUMMYFUNCTION("""COMPUTED_VALUE"""),"MARRATA")</f>
        <v>MARRATA</v>
      </c>
      <c r="E1880" s="5"/>
      <c r="F1880" s="5"/>
      <c r="G1880" s="5" t="str">
        <f>IFERROR(__xludf.DUMMYFUNCTION("""COMPUTED_VALUE"""),"CG411")</f>
        <v>CG411</v>
      </c>
      <c r="H1880" s="5" t="str">
        <f>IFERROR(__xludf.DUMMYFUNCTION("""COMPUTED_VALUE"""),"1.8HP")</f>
        <v>1.8HP</v>
      </c>
      <c r="I1880" s="5"/>
      <c r="J1880" s="5"/>
      <c r="K1880" s="5">
        <f>IFERROR(__xludf.DUMMYFUNCTION("""COMPUTED_VALUE"""),1.0)</f>
        <v>1</v>
      </c>
      <c r="L1880" s="5" t="str">
        <f>IFERROR(__xludf.DUMMYFUNCTION("""COMPUTED_VALUE"""),"KLH")</f>
        <v>KLH</v>
      </c>
    </row>
    <row r="1881">
      <c r="A1881" s="5" t="str">
        <f>IFERROR(__xludf.DUMMYFUNCTION("""COMPUTED_VALUE"""),"XD2-MPC-035")</f>
        <v>XD2-MPC-035</v>
      </c>
      <c r="B1881" s="3" t="str">
        <f>IFERROR(__xludf.DUMMYFUNCTION("""COMPUTED_VALUE"""),"Máy phát cỏ 2 thì")</f>
        <v>Máy phát cỏ 2 thì</v>
      </c>
      <c r="C1881" s="5" t="str">
        <f>IFERROR(__xludf.DUMMYFUNCTION("""COMPUTED_VALUE"""),"XN Chuối DP2")</f>
        <v>XN Chuối DP2</v>
      </c>
      <c r="D1881" s="5" t="str">
        <f>IFERROR(__xludf.DUMMYFUNCTION("""COMPUTED_VALUE"""),"MARRATA")</f>
        <v>MARRATA</v>
      </c>
      <c r="E1881" s="5"/>
      <c r="F1881" s="5"/>
      <c r="G1881" s="5" t="str">
        <f>IFERROR(__xludf.DUMMYFUNCTION("""COMPUTED_VALUE"""),"CG411")</f>
        <v>CG411</v>
      </c>
      <c r="H1881" s="5" t="str">
        <f>IFERROR(__xludf.DUMMYFUNCTION("""COMPUTED_VALUE"""),"1.8HP")</f>
        <v>1.8HP</v>
      </c>
      <c r="I1881" s="5"/>
      <c r="J1881" s="5"/>
      <c r="K1881" s="5">
        <f>IFERROR(__xludf.DUMMYFUNCTION("""COMPUTED_VALUE"""),1.0)</f>
        <v>1</v>
      </c>
      <c r="L1881" s="5" t="str">
        <f>IFERROR(__xludf.DUMMYFUNCTION("""COMPUTED_VALUE"""),"KLH")</f>
        <v>KLH</v>
      </c>
    </row>
    <row r="1882">
      <c r="A1882" s="5" t="str">
        <f>IFERROR(__xludf.DUMMYFUNCTION("""COMPUTED_VALUE"""),"XD2-MPC-036")</f>
        <v>XD2-MPC-036</v>
      </c>
      <c r="B1882" s="3" t="str">
        <f>IFERROR(__xludf.DUMMYFUNCTION("""COMPUTED_VALUE"""),"Máy phát cỏ 2 thì")</f>
        <v>Máy phát cỏ 2 thì</v>
      </c>
      <c r="C1882" s="5" t="str">
        <f>IFERROR(__xludf.DUMMYFUNCTION("""COMPUTED_VALUE"""),"XN Chuối DP2")</f>
        <v>XN Chuối DP2</v>
      </c>
      <c r="D1882" s="5" t="str">
        <f>IFERROR(__xludf.DUMMYFUNCTION("""COMPUTED_VALUE"""),"MARRATA")</f>
        <v>MARRATA</v>
      </c>
      <c r="E1882" s="5"/>
      <c r="F1882" s="5"/>
      <c r="G1882" s="5" t="str">
        <f>IFERROR(__xludf.DUMMYFUNCTION("""COMPUTED_VALUE"""),"CG411")</f>
        <v>CG411</v>
      </c>
      <c r="H1882" s="5" t="str">
        <f>IFERROR(__xludf.DUMMYFUNCTION("""COMPUTED_VALUE"""),"1.8HP")</f>
        <v>1.8HP</v>
      </c>
      <c r="I1882" s="5"/>
      <c r="J1882" s="5"/>
      <c r="K1882" s="5">
        <f>IFERROR(__xludf.DUMMYFUNCTION("""COMPUTED_VALUE"""),1.0)</f>
        <v>1</v>
      </c>
      <c r="L1882" s="5" t="str">
        <f>IFERROR(__xludf.DUMMYFUNCTION("""COMPUTED_VALUE"""),"KLH")</f>
        <v>KLH</v>
      </c>
    </row>
    <row r="1883">
      <c r="A1883" s="5" t="str">
        <f>IFERROR(__xludf.DUMMYFUNCTION("""COMPUTED_VALUE"""),"XD2-MPC-037")</f>
        <v>XD2-MPC-037</v>
      </c>
      <c r="B1883" s="3" t="str">
        <f>IFERROR(__xludf.DUMMYFUNCTION("""COMPUTED_VALUE"""),"Máy phát cỏ 2 thì")</f>
        <v>Máy phát cỏ 2 thì</v>
      </c>
      <c r="C1883" s="5" t="str">
        <f>IFERROR(__xludf.DUMMYFUNCTION("""COMPUTED_VALUE"""),"XN Chuối DP2")</f>
        <v>XN Chuối DP2</v>
      </c>
      <c r="D1883" s="5" t="str">
        <f>IFERROR(__xludf.DUMMYFUNCTION("""COMPUTED_VALUE"""),"MARRATA")</f>
        <v>MARRATA</v>
      </c>
      <c r="E1883" s="5"/>
      <c r="F1883" s="5"/>
      <c r="G1883" s="5" t="str">
        <f>IFERROR(__xludf.DUMMYFUNCTION("""COMPUTED_VALUE"""),"CG411")</f>
        <v>CG411</v>
      </c>
      <c r="H1883" s="5" t="str">
        <f>IFERROR(__xludf.DUMMYFUNCTION("""COMPUTED_VALUE"""),"1.8HP")</f>
        <v>1.8HP</v>
      </c>
      <c r="I1883" s="5"/>
      <c r="J1883" s="5"/>
      <c r="K1883" s="5">
        <f>IFERROR(__xludf.DUMMYFUNCTION("""COMPUTED_VALUE"""),1.0)</f>
        <v>1</v>
      </c>
      <c r="L1883" s="5" t="str">
        <f>IFERROR(__xludf.DUMMYFUNCTION("""COMPUTED_VALUE"""),"KLH")</f>
        <v>KLH</v>
      </c>
    </row>
    <row r="1884">
      <c r="A1884" s="5" t="str">
        <f>IFERROR(__xludf.DUMMYFUNCTION("""COMPUTED_VALUE"""),"XD2-MPC-038")</f>
        <v>XD2-MPC-038</v>
      </c>
      <c r="B1884" s="3" t="str">
        <f>IFERROR(__xludf.DUMMYFUNCTION("""COMPUTED_VALUE"""),"Máy phát cỏ 2 thì")</f>
        <v>Máy phát cỏ 2 thì</v>
      </c>
      <c r="C1884" s="5" t="str">
        <f>IFERROR(__xludf.DUMMYFUNCTION("""COMPUTED_VALUE"""),"XN Chuối DP2")</f>
        <v>XN Chuối DP2</v>
      </c>
      <c r="D1884" s="5" t="str">
        <f>IFERROR(__xludf.DUMMYFUNCTION("""COMPUTED_VALUE"""),"MARRATA")</f>
        <v>MARRATA</v>
      </c>
      <c r="E1884" s="5"/>
      <c r="F1884" s="5"/>
      <c r="G1884" s="5" t="str">
        <f>IFERROR(__xludf.DUMMYFUNCTION("""COMPUTED_VALUE"""),"CG411")</f>
        <v>CG411</v>
      </c>
      <c r="H1884" s="5" t="str">
        <f>IFERROR(__xludf.DUMMYFUNCTION("""COMPUTED_VALUE"""),"1.8HP")</f>
        <v>1.8HP</v>
      </c>
      <c r="I1884" s="5"/>
      <c r="J1884" s="5"/>
      <c r="K1884" s="5">
        <f>IFERROR(__xludf.DUMMYFUNCTION("""COMPUTED_VALUE"""),1.0)</f>
        <v>1</v>
      </c>
      <c r="L1884" s="5" t="str">
        <f>IFERROR(__xludf.DUMMYFUNCTION("""COMPUTED_VALUE"""),"KLH")</f>
        <v>KLH</v>
      </c>
    </row>
    <row r="1885">
      <c r="A1885" s="5" t="str">
        <f>IFERROR(__xludf.DUMMYFUNCTION("""COMPUTED_VALUE"""),"XD2-MPC-039")</f>
        <v>XD2-MPC-039</v>
      </c>
      <c r="B1885" s="3" t="str">
        <f>IFERROR(__xludf.DUMMYFUNCTION("""COMPUTED_VALUE"""),"Máy phát cỏ 2 thì")</f>
        <v>Máy phát cỏ 2 thì</v>
      </c>
      <c r="C1885" s="5" t="str">
        <f>IFERROR(__xludf.DUMMYFUNCTION("""COMPUTED_VALUE"""),"XN Chuối DP2")</f>
        <v>XN Chuối DP2</v>
      </c>
      <c r="D1885" s="5" t="str">
        <f>IFERROR(__xludf.DUMMYFUNCTION("""COMPUTED_VALUE"""),"MARRATA")</f>
        <v>MARRATA</v>
      </c>
      <c r="E1885" s="5"/>
      <c r="F1885" s="5"/>
      <c r="G1885" s="5" t="str">
        <f>IFERROR(__xludf.DUMMYFUNCTION("""COMPUTED_VALUE"""),"CG411")</f>
        <v>CG411</v>
      </c>
      <c r="H1885" s="5" t="str">
        <f>IFERROR(__xludf.DUMMYFUNCTION("""COMPUTED_VALUE"""),"1.8HP")</f>
        <v>1.8HP</v>
      </c>
      <c r="I1885" s="5"/>
      <c r="J1885" s="5"/>
      <c r="K1885" s="5">
        <f>IFERROR(__xludf.DUMMYFUNCTION("""COMPUTED_VALUE"""),1.0)</f>
        <v>1</v>
      </c>
      <c r="L1885" s="5" t="str">
        <f>IFERROR(__xludf.DUMMYFUNCTION("""COMPUTED_VALUE"""),"KLH")</f>
        <v>KLH</v>
      </c>
    </row>
    <row r="1886">
      <c r="A1886" s="5" t="str">
        <f>IFERROR(__xludf.DUMMYFUNCTION("""COMPUTED_VALUE"""),"XD2-MPC-040")</f>
        <v>XD2-MPC-040</v>
      </c>
      <c r="B1886" s="3" t="str">
        <f>IFERROR(__xludf.DUMMYFUNCTION("""COMPUTED_VALUE"""),"Máy phát cỏ 2 thì")</f>
        <v>Máy phát cỏ 2 thì</v>
      </c>
      <c r="C1886" s="5" t="str">
        <f>IFERROR(__xludf.DUMMYFUNCTION("""COMPUTED_VALUE"""),"XN Chuối DP2")</f>
        <v>XN Chuối DP2</v>
      </c>
      <c r="D1886" s="5" t="str">
        <f>IFERROR(__xludf.DUMMYFUNCTION("""COMPUTED_VALUE"""),"MARRATA")</f>
        <v>MARRATA</v>
      </c>
      <c r="E1886" s="5"/>
      <c r="F1886" s="5"/>
      <c r="G1886" s="5" t="str">
        <f>IFERROR(__xludf.DUMMYFUNCTION("""COMPUTED_VALUE"""),"CG411")</f>
        <v>CG411</v>
      </c>
      <c r="H1886" s="5" t="str">
        <f>IFERROR(__xludf.DUMMYFUNCTION("""COMPUTED_VALUE"""),"1.8HP")</f>
        <v>1.8HP</v>
      </c>
      <c r="I1886" s="5"/>
      <c r="J1886" s="5"/>
      <c r="K1886" s="5">
        <f>IFERROR(__xludf.DUMMYFUNCTION("""COMPUTED_VALUE"""),1.0)</f>
        <v>1</v>
      </c>
      <c r="L1886" s="5" t="str">
        <f>IFERROR(__xludf.DUMMYFUNCTION("""COMPUTED_VALUE"""),"KLH")</f>
        <v>KLH</v>
      </c>
    </row>
    <row r="1887">
      <c r="A1887" s="5" t="str">
        <f>IFERROR(__xludf.DUMMYFUNCTION("""COMPUTED_VALUE"""),"XD2-MPC-041")</f>
        <v>XD2-MPC-041</v>
      </c>
      <c r="B1887" s="3" t="str">
        <f>IFERROR(__xludf.DUMMYFUNCTION("""COMPUTED_VALUE"""),"Máy phát cỏ 2 thì")</f>
        <v>Máy phát cỏ 2 thì</v>
      </c>
      <c r="C1887" s="5" t="str">
        <f>IFERROR(__xludf.DUMMYFUNCTION("""COMPUTED_VALUE"""),"XN Chuối DP2")</f>
        <v>XN Chuối DP2</v>
      </c>
      <c r="D1887" s="5" t="str">
        <f>IFERROR(__xludf.DUMMYFUNCTION("""COMPUTED_VALUE"""),"MARRATA")</f>
        <v>MARRATA</v>
      </c>
      <c r="E1887" s="5"/>
      <c r="F1887" s="5"/>
      <c r="G1887" s="5" t="str">
        <f>IFERROR(__xludf.DUMMYFUNCTION("""COMPUTED_VALUE"""),"CG411")</f>
        <v>CG411</v>
      </c>
      <c r="H1887" s="5" t="str">
        <f>IFERROR(__xludf.DUMMYFUNCTION("""COMPUTED_VALUE"""),"1.8HP")</f>
        <v>1.8HP</v>
      </c>
      <c r="I1887" s="5"/>
      <c r="J1887" s="5"/>
      <c r="K1887" s="5">
        <f>IFERROR(__xludf.DUMMYFUNCTION("""COMPUTED_VALUE"""),1.0)</f>
        <v>1</v>
      </c>
      <c r="L1887" s="5" t="str">
        <f>IFERROR(__xludf.DUMMYFUNCTION("""COMPUTED_VALUE"""),"KLH")</f>
        <v>KLH</v>
      </c>
    </row>
    <row r="1888">
      <c r="A1888" s="5" t="str">
        <f>IFERROR(__xludf.DUMMYFUNCTION("""COMPUTED_VALUE"""),"XD2-MPC-042")</f>
        <v>XD2-MPC-042</v>
      </c>
      <c r="B1888" s="3" t="str">
        <f>IFERROR(__xludf.DUMMYFUNCTION("""COMPUTED_VALUE"""),"Máy phát cỏ 2 thì")</f>
        <v>Máy phát cỏ 2 thì</v>
      </c>
      <c r="C1888" s="5" t="str">
        <f>IFERROR(__xludf.DUMMYFUNCTION("""COMPUTED_VALUE"""),"XN Chuối DP2")</f>
        <v>XN Chuối DP2</v>
      </c>
      <c r="D1888" s="5" t="str">
        <f>IFERROR(__xludf.DUMMYFUNCTION("""COMPUTED_VALUE"""),"MARRATA")</f>
        <v>MARRATA</v>
      </c>
      <c r="E1888" s="5"/>
      <c r="F1888" s="5"/>
      <c r="G1888" s="5" t="str">
        <f>IFERROR(__xludf.DUMMYFUNCTION("""COMPUTED_VALUE"""),"CG411")</f>
        <v>CG411</v>
      </c>
      <c r="H1888" s="5" t="str">
        <f>IFERROR(__xludf.DUMMYFUNCTION("""COMPUTED_VALUE"""),"1.8HP")</f>
        <v>1.8HP</v>
      </c>
      <c r="I1888" s="5"/>
      <c r="J1888" s="5"/>
      <c r="K1888" s="5">
        <f>IFERROR(__xludf.DUMMYFUNCTION("""COMPUTED_VALUE"""),1.0)</f>
        <v>1</v>
      </c>
      <c r="L1888" s="5" t="str">
        <f>IFERROR(__xludf.DUMMYFUNCTION("""COMPUTED_VALUE"""),"KLH")</f>
        <v>KLH</v>
      </c>
    </row>
    <row r="1889">
      <c r="A1889" s="5" t="str">
        <f>IFERROR(__xludf.DUMMYFUNCTION("""COMPUTED_VALUE"""),"XD2-MPC-043")</f>
        <v>XD2-MPC-043</v>
      </c>
      <c r="B1889" s="3" t="str">
        <f>IFERROR(__xludf.DUMMYFUNCTION("""COMPUTED_VALUE"""),"Máy phát cỏ 2 thì")</f>
        <v>Máy phát cỏ 2 thì</v>
      </c>
      <c r="C1889" s="5" t="str">
        <f>IFERROR(__xludf.DUMMYFUNCTION("""COMPUTED_VALUE"""),"XN Chuối DP2")</f>
        <v>XN Chuối DP2</v>
      </c>
      <c r="D1889" s="5" t="str">
        <f>IFERROR(__xludf.DUMMYFUNCTION("""COMPUTED_VALUE"""),"MARRATA")</f>
        <v>MARRATA</v>
      </c>
      <c r="E1889" s="5"/>
      <c r="F1889" s="5"/>
      <c r="G1889" s="5" t="str">
        <f>IFERROR(__xludf.DUMMYFUNCTION("""COMPUTED_VALUE"""),"CG411")</f>
        <v>CG411</v>
      </c>
      <c r="H1889" s="5" t="str">
        <f>IFERROR(__xludf.DUMMYFUNCTION("""COMPUTED_VALUE"""),"1.8HP")</f>
        <v>1.8HP</v>
      </c>
      <c r="I1889" s="5"/>
      <c r="J1889" s="5"/>
      <c r="K1889" s="5">
        <f>IFERROR(__xludf.DUMMYFUNCTION("""COMPUTED_VALUE"""),1.0)</f>
        <v>1</v>
      </c>
      <c r="L1889" s="5" t="str">
        <f>IFERROR(__xludf.DUMMYFUNCTION("""COMPUTED_VALUE"""),"KLH")</f>
        <v>KLH</v>
      </c>
    </row>
    <row r="1890">
      <c r="A1890" s="5" t="str">
        <f>IFERROR(__xludf.DUMMYFUNCTION("""COMPUTED_VALUE"""),"XD2-MPC-044")</f>
        <v>XD2-MPC-044</v>
      </c>
      <c r="B1890" s="3" t="str">
        <f>IFERROR(__xludf.DUMMYFUNCTION("""COMPUTED_VALUE"""),"Máy phát cỏ 2 thì")</f>
        <v>Máy phát cỏ 2 thì</v>
      </c>
      <c r="C1890" s="5" t="str">
        <f>IFERROR(__xludf.DUMMYFUNCTION("""COMPUTED_VALUE"""),"XN Chuối DP2")</f>
        <v>XN Chuối DP2</v>
      </c>
      <c r="D1890" s="5" t="str">
        <f>IFERROR(__xludf.DUMMYFUNCTION("""COMPUTED_VALUE"""),"MARRATA")</f>
        <v>MARRATA</v>
      </c>
      <c r="E1890" s="5"/>
      <c r="F1890" s="5"/>
      <c r="G1890" s="5" t="str">
        <f>IFERROR(__xludf.DUMMYFUNCTION("""COMPUTED_VALUE"""),"CG411")</f>
        <v>CG411</v>
      </c>
      <c r="H1890" s="5" t="str">
        <f>IFERROR(__xludf.DUMMYFUNCTION("""COMPUTED_VALUE"""),"1.8HP")</f>
        <v>1.8HP</v>
      </c>
      <c r="I1890" s="5"/>
      <c r="J1890" s="5"/>
      <c r="K1890" s="5">
        <f>IFERROR(__xludf.DUMMYFUNCTION("""COMPUTED_VALUE"""),1.0)</f>
        <v>1</v>
      </c>
      <c r="L1890" s="5" t="str">
        <f>IFERROR(__xludf.DUMMYFUNCTION("""COMPUTED_VALUE"""),"KLH")</f>
        <v>KLH</v>
      </c>
    </row>
    <row r="1891">
      <c r="A1891" s="5" t="str">
        <f>IFERROR(__xludf.DUMMYFUNCTION("""COMPUTED_VALUE"""),"XD2-MPC-045")</f>
        <v>XD2-MPC-045</v>
      </c>
      <c r="B1891" s="3" t="str">
        <f>IFERROR(__xludf.DUMMYFUNCTION("""COMPUTED_VALUE"""),"Máy phát cỏ 2 thì")</f>
        <v>Máy phát cỏ 2 thì</v>
      </c>
      <c r="C1891" s="5" t="str">
        <f>IFERROR(__xludf.DUMMYFUNCTION("""COMPUTED_VALUE"""),"XN Chuối DP2")</f>
        <v>XN Chuối DP2</v>
      </c>
      <c r="D1891" s="5" t="str">
        <f>IFERROR(__xludf.DUMMYFUNCTION("""COMPUTED_VALUE"""),"MARRATA")</f>
        <v>MARRATA</v>
      </c>
      <c r="E1891" s="5"/>
      <c r="F1891" s="5"/>
      <c r="G1891" s="5" t="str">
        <f>IFERROR(__xludf.DUMMYFUNCTION("""COMPUTED_VALUE"""),"CG411")</f>
        <v>CG411</v>
      </c>
      <c r="H1891" s="5" t="str">
        <f>IFERROR(__xludf.DUMMYFUNCTION("""COMPUTED_VALUE"""),"1.8HP")</f>
        <v>1.8HP</v>
      </c>
      <c r="I1891" s="5"/>
      <c r="J1891" s="5"/>
      <c r="K1891" s="5"/>
      <c r="L1891" s="5" t="str">
        <f>IFERROR(__xludf.DUMMYFUNCTION("""COMPUTED_VALUE"""),"KLH")</f>
        <v>KLH</v>
      </c>
    </row>
    <row r="1892">
      <c r="A1892" s="5" t="str">
        <f>IFERROR(__xludf.DUMMYFUNCTION("""COMPUTED_VALUE"""),"XD2-MPC-046")</f>
        <v>XD2-MPC-046</v>
      </c>
      <c r="B1892" s="3" t="str">
        <f>IFERROR(__xludf.DUMMYFUNCTION("""COMPUTED_VALUE"""),"Máy phát cỏ 2 thì")</f>
        <v>Máy phát cỏ 2 thì</v>
      </c>
      <c r="C1892" s="5" t="str">
        <f>IFERROR(__xludf.DUMMYFUNCTION("""COMPUTED_VALUE"""),"XN Chuối DP2")</f>
        <v>XN Chuối DP2</v>
      </c>
      <c r="D1892" s="5" t="str">
        <f>IFERROR(__xludf.DUMMYFUNCTION("""COMPUTED_VALUE"""),"MARRATA")</f>
        <v>MARRATA</v>
      </c>
      <c r="E1892" s="5"/>
      <c r="F1892" s="5"/>
      <c r="G1892" s="5" t="str">
        <f>IFERROR(__xludf.DUMMYFUNCTION("""COMPUTED_VALUE"""),"CG411")</f>
        <v>CG411</v>
      </c>
      <c r="H1892" s="5" t="str">
        <f>IFERROR(__xludf.DUMMYFUNCTION("""COMPUTED_VALUE"""),"1.8HP")</f>
        <v>1.8HP</v>
      </c>
      <c r="I1892" s="5"/>
      <c r="J1892" s="5"/>
      <c r="K1892" s="5"/>
      <c r="L1892" s="5" t="str">
        <f>IFERROR(__xludf.DUMMYFUNCTION("""COMPUTED_VALUE"""),"KLH")</f>
        <v>KLH</v>
      </c>
    </row>
    <row r="1893">
      <c r="A1893" s="5" t="str">
        <f>IFERROR(__xludf.DUMMYFUNCTION("""COMPUTED_VALUE"""),"XD2-MPC-047")</f>
        <v>XD2-MPC-047</v>
      </c>
      <c r="B1893" s="3" t="str">
        <f>IFERROR(__xludf.DUMMYFUNCTION("""COMPUTED_VALUE"""),"Máy phát cỏ 2 thì")</f>
        <v>Máy phát cỏ 2 thì</v>
      </c>
      <c r="C1893" s="5" t="str">
        <f>IFERROR(__xludf.DUMMYFUNCTION("""COMPUTED_VALUE"""),"XN Chuối DP2")</f>
        <v>XN Chuối DP2</v>
      </c>
      <c r="D1893" s="5" t="str">
        <f>IFERROR(__xludf.DUMMYFUNCTION("""COMPUTED_VALUE"""),"MARRATA")</f>
        <v>MARRATA</v>
      </c>
      <c r="E1893" s="5"/>
      <c r="F1893" s="5"/>
      <c r="G1893" s="5" t="str">
        <f>IFERROR(__xludf.DUMMYFUNCTION("""COMPUTED_VALUE"""),"CG411")</f>
        <v>CG411</v>
      </c>
      <c r="H1893" s="5" t="str">
        <f>IFERROR(__xludf.DUMMYFUNCTION("""COMPUTED_VALUE"""),"1.8HP")</f>
        <v>1.8HP</v>
      </c>
      <c r="I1893" s="5"/>
      <c r="J1893" s="5"/>
      <c r="K1893" s="5"/>
      <c r="L1893" s="5" t="str">
        <f>IFERROR(__xludf.DUMMYFUNCTION("""COMPUTED_VALUE"""),"KLH")</f>
        <v>KLH</v>
      </c>
    </row>
    <row r="1894">
      <c r="A1894" s="5" t="str">
        <f>IFERROR(__xludf.DUMMYFUNCTION("""COMPUTED_VALUE"""),"XD2-MPC-048")</f>
        <v>XD2-MPC-048</v>
      </c>
      <c r="B1894" s="3" t="str">
        <f>IFERROR(__xludf.DUMMYFUNCTION("""COMPUTED_VALUE"""),"Máy phát cỏ 2 thì")</f>
        <v>Máy phát cỏ 2 thì</v>
      </c>
      <c r="C1894" s="5" t="str">
        <f>IFERROR(__xludf.DUMMYFUNCTION("""COMPUTED_VALUE"""),"XN Chuối DP2")</f>
        <v>XN Chuối DP2</v>
      </c>
      <c r="D1894" s="5" t="str">
        <f>IFERROR(__xludf.DUMMYFUNCTION("""COMPUTED_VALUE"""),"MARRATA")</f>
        <v>MARRATA</v>
      </c>
      <c r="E1894" s="5"/>
      <c r="F1894" s="5"/>
      <c r="G1894" s="5" t="str">
        <f>IFERROR(__xludf.DUMMYFUNCTION("""COMPUTED_VALUE"""),"CG411")</f>
        <v>CG411</v>
      </c>
      <c r="H1894" s="5" t="str">
        <f>IFERROR(__xludf.DUMMYFUNCTION("""COMPUTED_VALUE"""),"1.8HP")</f>
        <v>1.8HP</v>
      </c>
      <c r="I1894" s="5"/>
      <c r="J1894" s="5"/>
      <c r="K1894" s="5"/>
      <c r="L1894" s="5" t="str">
        <f>IFERROR(__xludf.DUMMYFUNCTION("""COMPUTED_VALUE"""),"KLH")</f>
        <v>KLH</v>
      </c>
    </row>
    <row r="1895">
      <c r="A1895" s="5" t="str">
        <f>IFERROR(__xludf.DUMMYFUNCTION("""COMPUTED_VALUE"""),"XD2-MPC-049")</f>
        <v>XD2-MPC-049</v>
      </c>
      <c r="B1895" s="3" t="str">
        <f>IFERROR(__xludf.DUMMYFUNCTION("""COMPUTED_VALUE"""),"Máy phát cỏ 2 thì")</f>
        <v>Máy phát cỏ 2 thì</v>
      </c>
      <c r="C1895" s="5" t="str">
        <f>IFERROR(__xludf.DUMMYFUNCTION("""COMPUTED_VALUE"""),"XN Chuối DP2")</f>
        <v>XN Chuối DP2</v>
      </c>
      <c r="D1895" s="5" t="str">
        <f>IFERROR(__xludf.DUMMYFUNCTION("""COMPUTED_VALUE"""),"MARRATA")</f>
        <v>MARRATA</v>
      </c>
      <c r="E1895" s="5"/>
      <c r="F1895" s="5"/>
      <c r="G1895" s="5" t="str">
        <f>IFERROR(__xludf.DUMMYFUNCTION("""COMPUTED_VALUE"""),"CG411")</f>
        <v>CG411</v>
      </c>
      <c r="H1895" s="5" t="str">
        <f>IFERROR(__xludf.DUMMYFUNCTION("""COMPUTED_VALUE"""),"1.8HP")</f>
        <v>1.8HP</v>
      </c>
      <c r="I1895" s="5"/>
      <c r="J1895" s="5"/>
      <c r="K1895" s="5"/>
      <c r="L1895" s="5" t="str">
        <f>IFERROR(__xludf.DUMMYFUNCTION("""COMPUTED_VALUE"""),"KLH")</f>
        <v>KLH</v>
      </c>
    </row>
    <row r="1896">
      <c r="A1896" s="5" t="str">
        <f>IFERROR(__xludf.DUMMYFUNCTION("""COMPUTED_VALUE"""),"XD2-MPC-050")</f>
        <v>XD2-MPC-050</v>
      </c>
      <c r="B1896" s="3" t="str">
        <f>IFERROR(__xludf.DUMMYFUNCTION("""COMPUTED_VALUE"""),"Máy phát cỏ 2 thì")</f>
        <v>Máy phát cỏ 2 thì</v>
      </c>
      <c r="C1896" s="5" t="str">
        <f>IFERROR(__xludf.DUMMYFUNCTION("""COMPUTED_VALUE"""),"XN Chuối DP2")</f>
        <v>XN Chuối DP2</v>
      </c>
      <c r="D1896" s="5" t="str">
        <f>IFERROR(__xludf.DUMMYFUNCTION("""COMPUTED_VALUE"""),"MARRATA")</f>
        <v>MARRATA</v>
      </c>
      <c r="E1896" s="5"/>
      <c r="F1896" s="5"/>
      <c r="G1896" s="5" t="str">
        <f>IFERROR(__xludf.DUMMYFUNCTION("""COMPUTED_VALUE"""),"CG411")</f>
        <v>CG411</v>
      </c>
      <c r="H1896" s="5" t="str">
        <f>IFERROR(__xludf.DUMMYFUNCTION("""COMPUTED_VALUE"""),"1.8HP")</f>
        <v>1.8HP</v>
      </c>
      <c r="I1896" s="5"/>
      <c r="J1896" s="5"/>
      <c r="K1896" s="5"/>
      <c r="L1896" s="5" t="str">
        <f>IFERROR(__xludf.DUMMYFUNCTION("""COMPUTED_VALUE"""),"KLH")</f>
        <v>KLH</v>
      </c>
    </row>
    <row r="1897">
      <c r="A1897" s="5" t="str">
        <f>IFERROR(__xludf.DUMMYFUNCTION("""COMPUTED_VALUE"""),"XD2-MPC-051")</f>
        <v>XD2-MPC-051</v>
      </c>
      <c r="B1897" s="3" t="str">
        <f>IFERROR(__xludf.DUMMYFUNCTION("""COMPUTED_VALUE"""),"Máy phát cỏ 2 thì")</f>
        <v>Máy phát cỏ 2 thì</v>
      </c>
      <c r="C1897" s="5" t="str">
        <f>IFERROR(__xludf.DUMMYFUNCTION("""COMPUTED_VALUE"""),"XN Chuối DP2")</f>
        <v>XN Chuối DP2</v>
      </c>
      <c r="D1897" s="5" t="str">
        <f>IFERROR(__xludf.DUMMYFUNCTION("""COMPUTED_VALUE"""),"MARRATA")</f>
        <v>MARRATA</v>
      </c>
      <c r="E1897" s="5"/>
      <c r="F1897" s="5"/>
      <c r="G1897" s="5" t="str">
        <f>IFERROR(__xludf.DUMMYFUNCTION("""COMPUTED_VALUE"""),"CG411")</f>
        <v>CG411</v>
      </c>
      <c r="H1897" s="5" t="str">
        <f>IFERROR(__xludf.DUMMYFUNCTION("""COMPUTED_VALUE"""),"1.8HP")</f>
        <v>1.8HP</v>
      </c>
      <c r="I1897" s="5"/>
      <c r="J1897" s="5"/>
      <c r="K1897" s="5"/>
      <c r="L1897" s="5" t="str">
        <f>IFERROR(__xludf.DUMMYFUNCTION("""COMPUTED_VALUE"""),"KLH")</f>
        <v>KLH</v>
      </c>
    </row>
    <row r="1898">
      <c r="A1898" s="5" t="str">
        <f>IFERROR(__xludf.DUMMYFUNCTION("""COMPUTED_VALUE"""),"XD2-MPC-052")</f>
        <v>XD2-MPC-052</v>
      </c>
      <c r="B1898" s="3" t="str">
        <f>IFERROR(__xludf.DUMMYFUNCTION("""COMPUTED_VALUE"""),"Máy phát cỏ 2 thì")</f>
        <v>Máy phát cỏ 2 thì</v>
      </c>
      <c r="C1898" s="5" t="str">
        <f>IFERROR(__xludf.DUMMYFUNCTION("""COMPUTED_VALUE"""),"XN Chuối DP2")</f>
        <v>XN Chuối DP2</v>
      </c>
      <c r="D1898" s="5" t="str">
        <f>IFERROR(__xludf.DUMMYFUNCTION("""COMPUTED_VALUE"""),"MARRATA")</f>
        <v>MARRATA</v>
      </c>
      <c r="E1898" s="5"/>
      <c r="F1898" s="5"/>
      <c r="G1898" s="5" t="str">
        <f>IFERROR(__xludf.DUMMYFUNCTION("""COMPUTED_VALUE"""),"CG411")</f>
        <v>CG411</v>
      </c>
      <c r="H1898" s="5" t="str">
        <f>IFERROR(__xludf.DUMMYFUNCTION("""COMPUTED_VALUE"""),"1.8HP")</f>
        <v>1.8HP</v>
      </c>
      <c r="I1898" s="5"/>
      <c r="J1898" s="5"/>
      <c r="K1898" s="5"/>
      <c r="L1898" s="5" t="str">
        <f>IFERROR(__xludf.DUMMYFUNCTION("""COMPUTED_VALUE"""),"KLH")</f>
        <v>KLH</v>
      </c>
    </row>
    <row r="1899">
      <c r="A1899" s="5" t="str">
        <f>IFERROR(__xludf.DUMMYFUNCTION("""COMPUTED_VALUE"""),"XD2-MPC-053")</f>
        <v>XD2-MPC-053</v>
      </c>
      <c r="B1899" s="3" t="str">
        <f>IFERROR(__xludf.DUMMYFUNCTION("""COMPUTED_VALUE"""),"Máy phát cỏ 2 thì")</f>
        <v>Máy phát cỏ 2 thì</v>
      </c>
      <c r="C1899" s="5" t="str">
        <f>IFERROR(__xludf.DUMMYFUNCTION("""COMPUTED_VALUE"""),"XN Chuối DP2")</f>
        <v>XN Chuối DP2</v>
      </c>
      <c r="D1899" s="5" t="str">
        <f>IFERROR(__xludf.DUMMYFUNCTION("""COMPUTED_VALUE"""),"MARRATA")</f>
        <v>MARRATA</v>
      </c>
      <c r="E1899" s="5"/>
      <c r="F1899" s="5"/>
      <c r="G1899" s="5" t="str">
        <f>IFERROR(__xludf.DUMMYFUNCTION("""COMPUTED_VALUE"""),"CG411")</f>
        <v>CG411</v>
      </c>
      <c r="H1899" s="5" t="str">
        <f>IFERROR(__xludf.DUMMYFUNCTION("""COMPUTED_VALUE"""),"1.8HP")</f>
        <v>1.8HP</v>
      </c>
      <c r="I1899" s="5"/>
      <c r="J1899" s="5"/>
      <c r="K1899" s="5"/>
      <c r="L1899" s="5" t="str">
        <f>IFERROR(__xludf.DUMMYFUNCTION("""COMPUTED_VALUE"""),"KLH")</f>
        <v>KLH</v>
      </c>
    </row>
    <row r="1900">
      <c r="A1900" s="5" t="str">
        <f>IFERROR(__xludf.DUMMYFUNCTION("""COMPUTED_VALUE"""),"XD2-MPC-054")</f>
        <v>XD2-MPC-054</v>
      </c>
      <c r="B1900" s="3" t="str">
        <f>IFERROR(__xludf.DUMMYFUNCTION("""COMPUTED_VALUE"""),"Máy phát cỏ 2 thì")</f>
        <v>Máy phát cỏ 2 thì</v>
      </c>
      <c r="C1900" s="5" t="str">
        <f>IFERROR(__xludf.DUMMYFUNCTION("""COMPUTED_VALUE"""),"XN Chuối DP2")</f>
        <v>XN Chuối DP2</v>
      </c>
      <c r="D1900" s="5" t="str">
        <f>IFERROR(__xludf.DUMMYFUNCTION("""COMPUTED_VALUE"""),"MARRATA")</f>
        <v>MARRATA</v>
      </c>
      <c r="E1900" s="5"/>
      <c r="F1900" s="5"/>
      <c r="G1900" s="5" t="str">
        <f>IFERROR(__xludf.DUMMYFUNCTION("""COMPUTED_VALUE"""),"CG411")</f>
        <v>CG411</v>
      </c>
      <c r="H1900" s="5" t="str">
        <f>IFERROR(__xludf.DUMMYFUNCTION("""COMPUTED_VALUE"""),"1.8HP")</f>
        <v>1.8HP</v>
      </c>
      <c r="I1900" s="5"/>
      <c r="J1900" s="5"/>
      <c r="K1900" s="5"/>
      <c r="L1900" s="5" t="str">
        <f>IFERROR(__xludf.DUMMYFUNCTION("""COMPUTED_VALUE"""),"KLH")</f>
        <v>KLH</v>
      </c>
    </row>
    <row r="1901">
      <c r="A1901" s="5" t="str">
        <f>IFERROR(__xludf.DUMMYFUNCTION("""COMPUTED_VALUE"""),"XD2-MPC-055")</f>
        <v>XD2-MPC-055</v>
      </c>
      <c r="B1901" s="3" t="str">
        <f>IFERROR(__xludf.DUMMYFUNCTION("""COMPUTED_VALUE"""),"Máy phát cỏ 2 thì")</f>
        <v>Máy phát cỏ 2 thì</v>
      </c>
      <c r="C1901" s="5" t="str">
        <f>IFERROR(__xludf.DUMMYFUNCTION("""COMPUTED_VALUE"""),"XN Chuối DP2")</f>
        <v>XN Chuối DP2</v>
      </c>
      <c r="D1901" s="5" t="str">
        <f>IFERROR(__xludf.DUMMYFUNCTION("""COMPUTED_VALUE"""),"MARRATA")</f>
        <v>MARRATA</v>
      </c>
      <c r="E1901" s="5"/>
      <c r="F1901" s="5"/>
      <c r="G1901" s="5" t="str">
        <f>IFERROR(__xludf.DUMMYFUNCTION("""COMPUTED_VALUE"""),"CG411")</f>
        <v>CG411</v>
      </c>
      <c r="H1901" s="5" t="str">
        <f>IFERROR(__xludf.DUMMYFUNCTION("""COMPUTED_VALUE"""),"1.8HP")</f>
        <v>1.8HP</v>
      </c>
      <c r="I1901" s="5"/>
      <c r="J1901" s="5"/>
      <c r="K1901" s="5"/>
      <c r="L1901" s="5" t="str">
        <f>IFERROR(__xludf.DUMMYFUNCTION("""COMPUTED_VALUE"""),"KLH")</f>
        <v>KLH</v>
      </c>
    </row>
    <row r="1902">
      <c r="A1902" s="5" t="str">
        <f>IFERROR(__xludf.DUMMYFUNCTION("""COMPUTED_VALUE"""),"XD2-MPC-056")</f>
        <v>XD2-MPC-056</v>
      </c>
      <c r="B1902" s="3" t="str">
        <f>IFERROR(__xludf.DUMMYFUNCTION("""COMPUTED_VALUE"""),"Máy phát cỏ 2 thì")</f>
        <v>Máy phát cỏ 2 thì</v>
      </c>
      <c r="C1902" s="5" t="str">
        <f>IFERROR(__xludf.DUMMYFUNCTION("""COMPUTED_VALUE"""),"XN Chuối DP2")</f>
        <v>XN Chuối DP2</v>
      </c>
      <c r="D1902" s="5" t="str">
        <f>IFERROR(__xludf.DUMMYFUNCTION("""COMPUTED_VALUE"""),"MARRATA")</f>
        <v>MARRATA</v>
      </c>
      <c r="E1902" s="5"/>
      <c r="F1902" s="5"/>
      <c r="G1902" s="5" t="str">
        <f>IFERROR(__xludf.DUMMYFUNCTION("""COMPUTED_VALUE"""),"CG411")</f>
        <v>CG411</v>
      </c>
      <c r="H1902" s="5" t="str">
        <f>IFERROR(__xludf.DUMMYFUNCTION("""COMPUTED_VALUE"""),"1.8HP")</f>
        <v>1.8HP</v>
      </c>
      <c r="I1902" s="5"/>
      <c r="J1902" s="5"/>
      <c r="K1902" s="5"/>
      <c r="L1902" s="5" t="str">
        <f>IFERROR(__xludf.DUMMYFUNCTION("""COMPUTED_VALUE"""),"KLH")</f>
        <v>KLH</v>
      </c>
    </row>
    <row r="1903">
      <c r="A1903" s="5" t="str">
        <f>IFERROR(__xludf.DUMMYFUNCTION("""COMPUTED_VALUE"""),"XD2-MPC-057")</f>
        <v>XD2-MPC-057</v>
      </c>
      <c r="B1903" s="3" t="str">
        <f>IFERROR(__xludf.DUMMYFUNCTION("""COMPUTED_VALUE"""),"Máy phát cỏ 2 thì")</f>
        <v>Máy phát cỏ 2 thì</v>
      </c>
      <c r="C1903" s="5" t="str">
        <f>IFERROR(__xludf.DUMMYFUNCTION("""COMPUTED_VALUE"""),"XN Chuối DP2")</f>
        <v>XN Chuối DP2</v>
      </c>
      <c r="D1903" s="5" t="str">
        <f>IFERROR(__xludf.DUMMYFUNCTION("""COMPUTED_VALUE"""),"MARRATA")</f>
        <v>MARRATA</v>
      </c>
      <c r="E1903" s="5"/>
      <c r="F1903" s="5"/>
      <c r="G1903" s="5" t="str">
        <f>IFERROR(__xludf.DUMMYFUNCTION("""COMPUTED_VALUE"""),"CG411")</f>
        <v>CG411</v>
      </c>
      <c r="H1903" s="5" t="str">
        <f>IFERROR(__xludf.DUMMYFUNCTION("""COMPUTED_VALUE"""),"1.8HP")</f>
        <v>1.8HP</v>
      </c>
      <c r="I1903" s="5"/>
      <c r="J1903" s="5"/>
      <c r="K1903" s="5"/>
      <c r="L1903" s="5" t="str">
        <f>IFERROR(__xludf.DUMMYFUNCTION("""COMPUTED_VALUE"""),"KLH")</f>
        <v>KLH</v>
      </c>
    </row>
    <row r="1904">
      <c r="A1904" s="5" t="str">
        <f>IFERROR(__xludf.DUMMYFUNCTION("""COMPUTED_VALUE"""),"XD2-MPC-058")</f>
        <v>XD2-MPC-058</v>
      </c>
      <c r="B1904" s="3" t="str">
        <f>IFERROR(__xludf.DUMMYFUNCTION("""COMPUTED_VALUE"""),"Máy phát cỏ 2 thì")</f>
        <v>Máy phát cỏ 2 thì</v>
      </c>
      <c r="C1904" s="5" t="str">
        <f>IFERROR(__xludf.DUMMYFUNCTION("""COMPUTED_VALUE"""),"XN Chuối DP2")</f>
        <v>XN Chuối DP2</v>
      </c>
      <c r="D1904" s="5" t="str">
        <f>IFERROR(__xludf.DUMMYFUNCTION("""COMPUTED_VALUE"""),"MARRATA")</f>
        <v>MARRATA</v>
      </c>
      <c r="E1904" s="5"/>
      <c r="F1904" s="5"/>
      <c r="G1904" s="5" t="str">
        <f>IFERROR(__xludf.DUMMYFUNCTION("""COMPUTED_VALUE"""),"CG411")</f>
        <v>CG411</v>
      </c>
      <c r="H1904" s="5" t="str">
        <f>IFERROR(__xludf.DUMMYFUNCTION("""COMPUTED_VALUE"""),"1.8HP")</f>
        <v>1.8HP</v>
      </c>
      <c r="I1904" s="5"/>
      <c r="J1904" s="5"/>
      <c r="K1904" s="5"/>
      <c r="L1904" s="5" t="str">
        <f>IFERROR(__xludf.DUMMYFUNCTION("""COMPUTED_VALUE"""),"KLH")</f>
        <v>KLH</v>
      </c>
    </row>
    <row r="1905">
      <c r="A1905" s="5" t="str">
        <f>IFERROR(__xludf.DUMMYFUNCTION("""COMPUTED_VALUE"""),"XD2-MPC-059")</f>
        <v>XD2-MPC-059</v>
      </c>
      <c r="B1905" s="3" t="str">
        <f>IFERROR(__xludf.DUMMYFUNCTION("""COMPUTED_VALUE"""),"Máy phát cỏ 2 thì")</f>
        <v>Máy phát cỏ 2 thì</v>
      </c>
      <c r="C1905" s="5" t="str">
        <f>IFERROR(__xludf.DUMMYFUNCTION("""COMPUTED_VALUE"""),"XN Chuối DP2")</f>
        <v>XN Chuối DP2</v>
      </c>
      <c r="D1905" s="5" t="str">
        <f>IFERROR(__xludf.DUMMYFUNCTION("""COMPUTED_VALUE"""),"MARRATA")</f>
        <v>MARRATA</v>
      </c>
      <c r="E1905" s="5"/>
      <c r="F1905" s="5"/>
      <c r="G1905" s="5" t="str">
        <f>IFERROR(__xludf.DUMMYFUNCTION("""COMPUTED_VALUE"""),"CG411")</f>
        <v>CG411</v>
      </c>
      <c r="H1905" s="5" t="str">
        <f>IFERROR(__xludf.DUMMYFUNCTION("""COMPUTED_VALUE"""),"1.8HP")</f>
        <v>1.8HP</v>
      </c>
      <c r="I1905" s="5"/>
      <c r="J1905" s="5"/>
      <c r="K1905" s="5"/>
      <c r="L1905" s="5" t="str">
        <f>IFERROR(__xludf.DUMMYFUNCTION("""COMPUTED_VALUE"""),"KLH")</f>
        <v>KLH</v>
      </c>
    </row>
    <row r="1906">
      <c r="A1906" s="5" t="str">
        <f>IFERROR(__xludf.DUMMYFUNCTION("""COMPUTED_VALUE"""),"XN DP3")</f>
        <v>XN DP3</v>
      </c>
      <c r="B1906" s="3"/>
      <c r="C1906" s="5"/>
      <c r="D1906" s="5"/>
      <c r="E1906" s="5"/>
      <c r="F1906" s="5"/>
      <c r="G1906" s="5"/>
      <c r="H1906" s="5"/>
      <c r="I1906" s="5"/>
      <c r="J1906" s="5"/>
      <c r="K1906" s="5"/>
      <c r="L1906" s="5" t="str">
        <f>IFERROR(__xludf.DUMMYFUNCTION("""COMPUTED_VALUE"""),"KLH")</f>
        <v>KLH</v>
      </c>
    </row>
    <row r="1907">
      <c r="A1907" s="5" t="str">
        <f>IFERROR(__xludf.DUMMYFUNCTION("""COMPUTED_VALUE"""),"XD3-MPC-008")</f>
        <v>XD3-MPC-008</v>
      </c>
      <c r="B1907" s="3" t="str">
        <f>IFERROR(__xludf.DUMMYFUNCTION("""COMPUTED_VALUE"""),"Máy phát cỏ 4 thì")</f>
        <v>Máy phát cỏ 4 thì</v>
      </c>
      <c r="C1907" s="5" t="str">
        <f>IFERROR(__xludf.DUMMYFUNCTION("""COMPUTED_VALUE"""),"XN Chuối DP3")</f>
        <v>XN Chuối DP3</v>
      </c>
      <c r="D1907" s="5" t="str">
        <f>IFERROR(__xludf.DUMMYFUNCTION("""COMPUTED_VALUE"""),"HINOTA")</f>
        <v>HINOTA</v>
      </c>
      <c r="E1907" s="5" t="str">
        <f>IFERROR(__xludf.DUMMYFUNCTION("""COMPUTED_VALUE"""),"Trung Quốc")</f>
        <v>Trung Quốc</v>
      </c>
      <c r="F1907" s="5"/>
      <c r="G1907" s="5" t="str">
        <f>IFERROR(__xludf.DUMMYFUNCTION("""COMPUTED_VALUE"""),"CG435")</f>
        <v>CG435</v>
      </c>
      <c r="H1907" s="5" t="str">
        <f>IFERROR(__xludf.DUMMYFUNCTION("""COMPUTED_VALUE"""),"1.2HP")</f>
        <v>1.2HP</v>
      </c>
      <c r="I1907" s="5"/>
      <c r="J1907" s="5"/>
      <c r="K1907" s="5">
        <f>IFERROR(__xludf.DUMMYFUNCTION("""COMPUTED_VALUE"""),0.5)</f>
        <v>0.5</v>
      </c>
      <c r="L1907" s="5" t="str">
        <f>IFERROR(__xludf.DUMMYFUNCTION("""COMPUTED_VALUE"""),"KLH")</f>
        <v>KLH</v>
      </c>
    </row>
    <row r="1908">
      <c r="A1908" s="5" t="str">
        <f>IFERROR(__xludf.DUMMYFUNCTION("""COMPUTED_VALUE"""),"XD3-MPC-022")</f>
        <v>XD3-MPC-022</v>
      </c>
      <c r="B1908" s="3" t="str">
        <f>IFERROR(__xludf.DUMMYFUNCTION("""COMPUTED_VALUE"""),"Máy phát cỏ 4 thì")</f>
        <v>Máy phát cỏ 4 thì</v>
      </c>
      <c r="C1908" s="5" t="str">
        <f>IFERROR(__xludf.DUMMYFUNCTION("""COMPUTED_VALUE"""),"XN Chuối DP3")</f>
        <v>XN Chuối DP3</v>
      </c>
      <c r="D1908" s="5" t="str">
        <f>IFERROR(__xludf.DUMMYFUNCTION("""COMPUTED_VALUE"""),"HINOTA")</f>
        <v>HINOTA</v>
      </c>
      <c r="E1908" s="5" t="str">
        <f>IFERROR(__xludf.DUMMYFUNCTION("""COMPUTED_VALUE"""),"Trung Quốc")</f>
        <v>Trung Quốc</v>
      </c>
      <c r="F1908" s="5"/>
      <c r="G1908" s="5" t="str">
        <f>IFERROR(__xludf.DUMMYFUNCTION("""COMPUTED_VALUE"""),"CG435")</f>
        <v>CG435</v>
      </c>
      <c r="H1908" s="5" t="str">
        <f>IFERROR(__xludf.DUMMYFUNCTION("""COMPUTED_VALUE"""),"1.2HP")</f>
        <v>1.2HP</v>
      </c>
      <c r="I1908" s="5"/>
      <c r="J1908" s="5"/>
      <c r="K1908" s="5">
        <f>IFERROR(__xludf.DUMMYFUNCTION("""COMPUTED_VALUE"""),0.5)</f>
        <v>0.5</v>
      </c>
      <c r="L1908" s="5" t="str">
        <f>IFERROR(__xludf.DUMMYFUNCTION("""COMPUTED_VALUE"""),"KLH")</f>
        <v>KLH</v>
      </c>
    </row>
    <row r="1909">
      <c r="A1909" s="5" t="str">
        <f>IFERROR(__xludf.DUMMYFUNCTION("""COMPUTED_VALUE"""),"XD3-MPC-029")</f>
        <v>XD3-MPC-029</v>
      </c>
      <c r="B1909" s="3" t="str">
        <f>IFERROR(__xludf.DUMMYFUNCTION("""COMPUTED_VALUE"""),"Máy phát cỏ 4 thì")</f>
        <v>Máy phát cỏ 4 thì</v>
      </c>
      <c r="C1909" s="5" t="str">
        <f>IFERROR(__xludf.DUMMYFUNCTION("""COMPUTED_VALUE"""),"XN Chuối DP3")</f>
        <v>XN Chuối DP3</v>
      </c>
      <c r="D1909" s="5" t="str">
        <f>IFERROR(__xludf.DUMMYFUNCTION("""COMPUTED_VALUE"""),"HINOTA")</f>
        <v>HINOTA</v>
      </c>
      <c r="E1909" s="5" t="str">
        <f>IFERROR(__xludf.DUMMYFUNCTION("""COMPUTED_VALUE"""),"Trung Quốc")</f>
        <v>Trung Quốc</v>
      </c>
      <c r="F1909" s="5"/>
      <c r="G1909" s="5" t="str">
        <f>IFERROR(__xludf.DUMMYFUNCTION("""COMPUTED_VALUE"""),"CG435")</f>
        <v>CG435</v>
      </c>
      <c r="H1909" s="5" t="str">
        <f>IFERROR(__xludf.DUMMYFUNCTION("""COMPUTED_VALUE"""),"1.2HP")</f>
        <v>1.2HP</v>
      </c>
      <c r="I1909" s="5"/>
      <c r="J1909" s="5"/>
      <c r="K1909" s="5">
        <f>IFERROR(__xludf.DUMMYFUNCTION("""COMPUTED_VALUE"""),0.5)</f>
        <v>0.5</v>
      </c>
      <c r="L1909" s="5" t="str">
        <f>IFERROR(__xludf.DUMMYFUNCTION("""COMPUTED_VALUE"""),"KLH")</f>
        <v>KLH</v>
      </c>
    </row>
    <row r="1910">
      <c r="A1910" s="5" t="str">
        <f>IFERROR(__xludf.DUMMYFUNCTION("""COMPUTED_VALUE"""),"XD3-MPC-030")</f>
        <v>XD3-MPC-030</v>
      </c>
      <c r="B1910" s="3" t="str">
        <f>IFERROR(__xludf.DUMMYFUNCTION("""COMPUTED_VALUE"""),"Máy phát cỏ 4 thì")</f>
        <v>Máy phát cỏ 4 thì</v>
      </c>
      <c r="C1910" s="5" t="str">
        <f>IFERROR(__xludf.DUMMYFUNCTION("""COMPUTED_VALUE"""),"XN Chuối DP3")</f>
        <v>XN Chuối DP3</v>
      </c>
      <c r="D1910" s="5" t="str">
        <f>IFERROR(__xludf.DUMMYFUNCTION("""COMPUTED_VALUE"""),"HONDA")</f>
        <v>HONDA</v>
      </c>
      <c r="E1910" s="5" t="str">
        <f>IFERROR(__xludf.DUMMYFUNCTION("""COMPUTED_VALUE"""),"THÁI LAN")</f>
        <v>THÁI LAN</v>
      </c>
      <c r="F1910" s="5"/>
      <c r="G1910" s="5" t="str">
        <f>IFERROR(__xludf.DUMMYFUNCTION("""COMPUTED_VALUE"""),"GX35")</f>
        <v>GX35</v>
      </c>
      <c r="H1910" s="5" t="str">
        <f>IFERROR(__xludf.DUMMYFUNCTION("""COMPUTED_VALUE"""),"1.6HP")</f>
        <v>1.6HP</v>
      </c>
      <c r="I1910" s="5"/>
      <c r="J1910" s="5"/>
      <c r="K1910" s="5">
        <f>IFERROR(__xludf.DUMMYFUNCTION("""COMPUTED_VALUE"""),0.5)</f>
        <v>0.5</v>
      </c>
      <c r="L1910" s="5" t="str">
        <f>IFERROR(__xludf.DUMMYFUNCTION("""COMPUTED_VALUE"""),"KLH")</f>
        <v>KLH</v>
      </c>
    </row>
    <row r="1911">
      <c r="A1911" s="5" t="str">
        <f>IFERROR(__xludf.DUMMYFUNCTION("""COMPUTED_VALUE"""),"XD3-MPC-031")</f>
        <v>XD3-MPC-031</v>
      </c>
      <c r="B1911" s="3" t="str">
        <f>IFERROR(__xludf.DUMMYFUNCTION("""COMPUTED_VALUE"""),"Máy phát cỏ 4 thì")</f>
        <v>Máy phát cỏ 4 thì</v>
      </c>
      <c r="C1911" s="5" t="str">
        <f>IFERROR(__xludf.DUMMYFUNCTION("""COMPUTED_VALUE"""),"XN Chuối DP3")</f>
        <v>XN Chuối DP3</v>
      </c>
      <c r="D1911" s="5" t="str">
        <f>IFERROR(__xludf.DUMMYFUNCTION("""COMPUTED_VALUE"""),"HONDA")</f>
        <v>HONDA</v>
      </c>
      <c r="E1911" s="5" t="str">
        <f>IFERROR(__xludf.DUMMYFUNCTION("""COMPUTED_VALUE"""),"THÁI LAN")</f>
        <v>THÁI LAN</v>
      </c>
      <c r="F1911" s="5"/>
      <c r="G1911" s="5" t="str">
        <f>IFERROR(__xludf.DUMMYFUNCTION("""COMPUTED_VALUE"""),"GX35")</f>
        <v>GX35</v>
      </c>
      <c r="H1911" s="5" t="str">
        <f>IFERROR(__xludf.DUMMYFUNCTION("""COMPUTED_VALUE"""),"1.6HP")</f>
        <v>1.6HP</v>
      </c>
      <c r="I1911" s="5"/>
      <c r="J1911" s="5"/>
      <c r="K1911" s="5">
        <f>IFERROR(__xludf.DUMMYFUNCTION("""COMPUTED_VALUE"""),0.5)</f>
        <v>0.5</v>
      </c>
      <c r="L1911" s="5" t="str">
        <f>IFERROR(__xludf.DUMMYFUNCTION("""COMPUTED_VALUE"""),"KLH")</f>
        <v>KLH</v>
      </c>
    </row>
    <row r="1912">
      <c r="A1912" s="5" t="str">
        <f>IFERROR(__xludf.DUMMYFUNCTION("""COMPUTED_VALUE"""),"XD3-MPC-036")</f>
        <v>XD3-MPC-036</v>
      </c>
      <c r="B1912" s="3" t="str">
        <f>IFERROR(__xludf.DUMMYFUNCTION("""COMPUTED_VALUE"""),"Máy phát cỏ 4 thì")</f>
        <v>Máy phát cỏ 4 thì</v>
      </c>
      <c r="C1912" s="5" t="str">
        <f>IFERROR(__xludf.DUMMYFUNCTION("""COMPUTED_VALUE"""),"XN Chuối DP3")</f>
        <v>XN Chuối DP3</v>
      </c>
      <c r="D1912" s="5" t="str">
        <f>IFERROR(__xludf.DUMMYFUNCTION("""COMPUTED_VALUE"""),"HONDA")</f>
        <v>HONDA</v>
      </c>
      <c r="E1912" s="5" t="str">
        <f>IFERROR(__xludf.DUMMYFUNCTION("""COMPUTED_VALUE"""),"THÁI LAN")</f>
        <v>THÁI LAN</v>
      </c>
      <c r="F1912" s="5"/>
      <c r="G1912" s="5" t="str">
        <f>IFERROR(__xludf.DUMMYFUNCTION("""COMPUTED_VALUE"""),"GX35")</f>
        <v>GX35</v>
      </c>
      <c r="H1912" s="5" t="str">
        <f>IFERROR(__xludf.DUMMYFUNCTION("""COMPUTED_VALUE"""),"1.6HP")</f>
        <v>1.6HP</v>
      </c>
      <c r="I1912" s="5"/>
      <c r="J1912" s="5"/>
      <c r="K1912" s="5">
        <f>IFERROR(__xludf.DUMMYFUNCTION("""COMPUTED_VALUE"""),0.5)</f>
        <v>0.5</v>
      </c>
      <c r="L1912" s="5" t="str">
        <f>IFERROR(__xludf.DUMMYFUNCTION("""COMPUTED_VALUE"""),"KLH")</f>
        <v>KLH</v>
      </c>
    </row>
    <row r="1913">
      <c r="A1913" s="5" t="str">
        <f>IFERROR(__xludf.DUMMYFUNCTION("""COMPUTED_VALUE"""),"XD3-MPC-037")</f>
        <v>XD3-MPC-037</v>
      </c>
      <c r="B1913" s="3" t="str">
        <f>IFERROR(__xludf.DUMMYFUNCTION("""COMPUTED_VALUE"""),"Máy phát cỏ 4 thì")</f>
        <v>Máy phát cỏ 4 thì</v>
      </c>
      <c r="C1913" s="5" t="str">
        <f>IFERROR(__xludf.DUMMYFUNCTION("""COMPUTED_VALUE"""),"XN Chuối DP3")</f>
        <v>XN Chuối DP3</v>
      </c>
      <c r="D1913" s="5" t="str">
        <f>IFERROR(__xludf.DUMMYFUNCTION("""COMPUTED_VALUE"""),"HONDA")</f>
        <v>HONDA</v>
      </c>
      <c r="E1913" s="5" t="str">
        <f>IFERROR(__xludf.DUMMYFUNCTION("""COMPUTED_VALUE"""),"THÁI LAN")</f>
        <v>THÁI LAN</v>
      </c>
      <c r="F1913" s="5"/>
      <c r="G1913" s="5" t="str">
        <f>IFERROR(__xludf.DUMMYFUNCTION("""COMPUTED_VALUE"""),"GX35")</f>
        <v>GX35</v>
      </c>
      <c r="H1913" s="5" t="str">
        <f>IFERROR(__xludf.DUMMYFUNCTION("""COMPUTED_VALUE"""),"1.6HP")</f>
        <v>1.6HP</v>
      </c>
      <c r="I1913" s="5" t="str">
        <f>IFERROR(__xludf.DUMMYFUNCTION("""COMPUTED_VALUE"""),"GCAMT-7717017")</f>
        <v>GCAMT-7717017</v>
      </c>
      <c r="J1913" s="5"/>
      <c r="K1913" s="5">
        <f>IFERROR(__xludf.DUMMYFUNCTION("""COMPUTED_VALUE"""),0.5)</f>
        <v>0.5</v>
      </c>
      <c r="L1913" s="5" t="str">
        <f>IFERROR(__xludf.DUMMYFUNCTION("""COMPUTED_VALUE"""),"KLH")</f>
        <v>KLH</v>
      </c>
    </row>
    <row r="1914">
      <c r="A1914" s="5" t="str">
        <f>IFERROR(__xludf.DUMMYFUNCTION("""COMPUTED_VALUE"""),"XD3-MPC-040")</f>
        <v>XD3-MPC-040</v>
      </c>
      <c r="B1914" s="3" t="str">
        <f>IFERROR(__xludf.DUMMYFUNCTION("""COMPUTED_VALUE"""),"Máy phát cỏ 4 thì")</f>
        <v>Máy phát cỏ 4 thì</v>
      </c>
      <c r="C1914" s="5" t="str">
        <f>IFERROR(__xludf.DUMMYFUNCTION("""COMPUTED_VALUE"""),"XN Chuối DP3")</f>
        <v>XN Chuối DP3</v>
      </c>
      <c r="D1914" s="5" t="str">
        <f>IFERROR(__xludf.DUMMYFUNCTION("""COMPUTED_VALUE"""),"HONDA")</f>
        <v>HONDA</v>
      </c>
      <c r="E1914" s="5" t="str">
        <f>IFERROR(__xludf.DUMMYFUNCTION("""COMPUTED_VALUE"""),"THÁI LAN")</f>
        <v>THÁI LAN</v>
      </c>
      <c r="F1914" s="5"/>
      <c r="G1914" s="5" t="str">
        <f>IFERROR(__xludf.DUMMYFUNCTION("""COMPUTED_VALUE"""),"GX35")</f>
        <v>GX35</v>
      </c>
      <c r="H1914" s="5" t="str">
        <f>IFERROR(__xludf.DUMMYFUNCTION("""COMPUTED_VALUE"""),"1.6HP")</f>
        <v>1.6HP</v>
      </c>
      <c r="I1914" s="5" t="str">
        <f>IFERROR(__xludf.DUMMYFUNCTION("""COMPUTED_VALUE"""),"GCAMT-7717631")</f>
        <v>GCAMT-7717631</v>
      </c>
      <c r="J1914" s="5"/>
      <c r="K1914" s="5">
        <f>IFERROR(__xludf.DUMMYFUNCTION("""COMPUTED_VALUE"""),0.5)</f>
        <v>0.5</v>
      </c>
      <c r="L1914" s="5" t="str">
        <f>IFERROR(__xludf.DUMMYFUNCTION("""COMPUTED_VALUE"""),"KLH")</f>
        <v>KLH</v>
      </c>
    </row>
    <row r="1915">
      <c r="A1915" s="5" t="str">
        <f>IFERROR(__xludf.DUMMYFUNCTION("""COMPUTED_VALUE"""),"XD3-MPC-041")</f>
        <v>XD3-MPC-041</v>
      </c>
      <c r="B1915" s="3" t="str">
        <f>IFERROR(__xludf.DUMMYFUNCTION("""COMPUTED_VALUE"""),"Máy phát cỏ 4 thì")</f>
        <v>Máy phát cỏ 4 thì</v>
      </c>
      <c r="C1915" s="5" t="str">
        <f>IFERROR(__xludf.DUMMYFUNCTION("""COMPUTED_VALUE"""),"XN Chuối DP3")</f>
        <v>XN Chuối DP3</v>
      </c>
      <c r="D1915" s="5" t="str">
        <f>IFERROR(__xludf.DUMMYFUNCTION("""COMPUTED_VALUE"""),"HONDA")</f>
        <v>HONDA</v>
      </c>
      <c r="E1915" s="5" t="str">
        <f>IFERROR(__xludf.DUMMYFUNCTION("""COMPUTED_VALUE"""),"THÁI LAN")</f>
        <v>THÁI LAN</v>
      </c>
      <c r="F1915" s="5"/>
      <c r="G1915" s="5" t="str">
        <f>IFERROR(__xludf.DUMMYFUNCTION("""COMPUTED_VALUE"""),"GX35")</f>
        <v>GX35</v>
      </c>
      <c r="H1915" s="5" t="str">
        <f>IFERROR(__xludf.DUMMYFUNCTION("""COMPUTED_VALUE"""),"1.6HP")</f>
        <v>1.6HP</v>
      </c>
      <c r="I1915" s="5" t="str">
        <f>IFERROR(__xludf.DUMMYFUNCTION("""COMPUTED_VALUE"""),"GCAMT-7716974")</f>
        <v>GCAMT-7716974</v>
      </c>
      <c r="J1915" s="5"/>
      <c r="K1915" s="5">
        <f>IFERROR(__xludf.DUMMYFUNCTION("""COMPUTED_VALUE"""),0.5)</f>
        <v>0.5</v>
      </c>
      <c r="L1915" s="5" t="str">
        <f>IFERROR(__xludf.DUMMYFUNCTION("""COMPUTED_VALUE"""),"KLH")</f>
        <v>KLH</v>
      </c>
    </row>
    <row r="1916">
      <c r="A1916" s="5" t="str">
        <f>IFERROR(__xludf.DUMMYFUNCTION("""COMPUTED_VALUE"""),"XD3-MPC-042")</f>
        <v>XD3-MPC-042</v>
      </c>
      <c r="B1916" s="3" t="str">
        <f>IFERROR(__xludf.DUMMYFUNCTION("""COMPUTED_VALUE"""),"Máy phát cỏ 4 thì")</f>
        <v>Máy phát cỏ 4 thì</v>
      </c>
      <c r="C1916" s="5" t="str">
        <f>IFERROR(__xludf.DUMMYFUNCTION("""COMPUTED_VALUE"""),"XN Chuối DP3")</f>
        <v>XN Chuối DP3</v>
      </c>
      <c r="D1916" s="5" t="str">
        <f>IFERROR(__xludf.DUMMYFUNCTION("""COMPUTED_VALUE"""),"HONDA")</f>
        <v>HONDA</v>
      </c>
      <c r="E1916" s="5" t="str">
        <f>IFERROR(__xludf.DUMMYFUNCTION("""COMPUTED_VALUE"""),"THÁI LAN")</f>
        <v>THÁI LAN</v>
      </c>
      <c r="F1916" s="5"/>
      <c r="G1916" s="5" t="str">
        <f>IFERROR(__xludf.DUMMYFUNCTION("""COMPUTED_VALUE"""),"GX35")</f>
        <v>GX35</v>
      </c>
      <c r="H1916" s="5" t="str">
        <f>IFERROR(__xludf.DUMMYFUNCTION("""COMPUTED_VALUE"""),"1.6HP")</f>
        <v>1.6HP</v>
      </c>
      <c r="I1916" s="5" t="str">
        <f>IFERROR(__xludf.DUMMYFUNCTION("""COMPUTED_VALUE"""),"GCAMT-7717594")</f>
        <v>GCAMT-7717594</v>
      </c>
      <c r="J1916" s="5"/>
      <c r="K1916" s="5">
        <f>IFERROR(__xludf.DUMMYFUNCTION("""COMPUTED_VALUE"""),0.5)</f>
        <v>0.5</v>
      </c>
      <c r="L1916" s="5" t="str">
        <f>IFERROR(__xludf.DUMMYFUNCTION("""COMPUTED_VALUE"""),"KLH")</f>
        <v>KLH</v>
      </c>
    </row>
    <row r="1917">
      <c r="A1917" s="5" t="str">
        <f>IFERROR(__xludf.DUMMYFUNCTION("""COMPUTED_VALUE"""),"XD3-MPC-043")</f>
        <v>XD3-MPC-043</v>
      </c>
      <c r="B1917" s="3" t="str">
        <f>IFERROR(__xludf.DUMMYFUNCTION("""COMPUTED_VALUE"""),"Máy phát cỏ 4 thì")</f>
        <v>Máy phát cỏ 4 thì</v>
      </c>
      <c r="C1917" s="5" t="str">
        <f>IFERROR(__xludf.DUMMYFUNCTION("""COMPUTED_VALUE"""),"XN Chuối DP3")</f>
        <v>XN Chuối DP3</v>
      </c>
      <c r="D1917" s="5" t="str">
        <f>IFERROR(__xludf.DUMMYFUNCTION("""COMPUTED_VALUE"""),"HONDA")</f>
        <v>HONDA</v>
      </c>
      <c r="E1917" s="5" t="str">
        <f>IFERROR(__xludf.DUMMYFUNCTION("""COMPUTED_VALUE"""),"THÁI LAN")</f>
        <v>THÁI LAN</v>
      </c>
      <c r="F1917" s="5"/>
      <c r="G1917" s="5" t="str">
        <f>IFERROR(__xludf.DUMMYFUNCTION("""COMPUTED_VALUE"""),"GX35")</f>
        <v>GX35</v>
      </c>
      <c r="H1917" s="5" t="str">
        <f>IFERROR(__xludf.DUMMYFUNCTION("""COMPUTED_VALUE"""),"1.6HP")</f>
        <v>1.6HP</v>
      </c>
      <c r="I1917" s="5" t="str">
        <f>IFERROR(__xludf.DUMMYFUNCTION("""COMPUTED_VALUE"""),"GCAMT-7717610")</f>
        <v>GCAMT-7717610</v>
      </c>
      <c r="J1917" s="5"/>
      <c r="K1917" s="5">
        <f>IFERROR(__xludf.DUMMYFUNCTION("""COMPUTED_VALUE"""),0.5)</f>
        <v>0.5</v>
      </c>
      <c r="L1917" s="5" t="str">
        <f>IFERROR(__xludf.DUMMYFUNCTION("""COMPUTED_VALUE"""),"KLH")</f>
        <v>KLH</v>
      </c>
    </row>
    <row r="1918">
      <c r="A1918" s="5" t="str">
        <f>IFERROR(__xludf.DUMMYFUNCTION("""COMPUTED_VALUE"""),"XD3-MPC-044")</f>
        <v>XD3-MPC-044</v>
      </c>
      <c r="B1918" s="3" t="str">
        <f>IFERROR(__xludf.DUMMYFUNCTION("""COMPUTED_VALUE"""),"Máy phát cỏ 4 thì")</f>
        <v>Máy phát cỏ 4 thì</v>
      </c>
      <c r="C1918" s="5" t="str">
        <f>IFERROR(__xludf.DUMMYFUNCTION("""COMPUTED_VALUE"""),"XN Chuối DP3")</f>
        <v>XN Chuối DP3</v>
      </c>
      <c r="D1918" s="5" t="str">
        <f>IFERROR(__xludf.DUMMYFUNCTION("""COMPUTED_VALUE"""),"HONDA")</f>
        <v>HONDA</v>
      </c>
      <c r="E1918" s="5" t="str">
        <f>IFERROR(__xludf.DUMMYFUNCTION("""COMPUTED_VALUE"""),"THÁI LAN")</f>
        <v>THÁI LAN</v>
      </c>
      <c r="F1918" s="5"/>
      <c r="G1918" s="5" t="str">
        <f>IFERROR(__xludf.DUMMYFUNCTION("""COMPUTED_VALUE"""),"GX35")</f>
        <v>GX35</v>
      </c>
      <c r="H1918" s="5" t="str">
        <f>IFERROR(__xludf.DUMMYFUNCTION("""COMPUTED_VALUE"""),"1.6HP")</f>
        <v>1.6HP</v>
      </c>
      <c r="I1918" s="5"/>
      <c r="J1918" s="5"/>
      <c r="K1918" s="5">
        <f>IFERROR(__xludf.DUMMYFUNCTION("""COMPUTED_VALUE"""),0.5)</f>
        <v>0.5</v>
      </c>
      <c r="L1918" s="5" t="str">
        <f>IFERROR(__xludf.DUMMYFUNCTION("""COMPUTED_VALUE"""),"KLH")</f>
        <v>KLH</v>
      </c>
    </row>
    <row r="1919">
      <c r="A1919" s="5" t="str">
        <f>IFERROR(__xludf.DUMMYFUNCTION("""COMPUTED_VALUE"""),"XD3-MPC-045")</f>
        <v>XD3-MPC-045</v>
      </c>
      <c r="B1919" s="3" t="str">
        <f>IFERROR(__xludf.DUMMYFUNCTION("""COMPUTED_VALUE"""),"Máy phát cỏ 4 thì")</f>
        <v>Máy phát cỏ 4 thì</v>
      </c>
      <c r="C1919" s="5" t="str">
        <f>IFERROR(__xludf.DUMMYFUNCTION("""COMPUTED_VALUE"""),"XN Chuối DP3")</f>
        <v>XN Chuối DP3</v>
      </c>
      <c r="D1919" s="5" t="str">
        <f>IFERROR(__xludf.DUMMYFUNCTION("""COMPUTED_VALUE"""),"HONDA")</f>
        <v>HONDA</v>
      </c>
      <c r="E1919" s="5" t="str">
        <f>IFERROR(__xludf.DUMMYFUNCTION("""COMPUTED_VALUE"""),"THÁI LAN")</f>
        <v>THÁI LAN</v>
      </c>
      <c r="F1919" s="5"/>
      <c r="G1919" s="5" t="str">
        <f>IFERROR(__xludf.DUMMYFUNCTION("""COMPUTED_VALUE"""),"GX35")</f>
        <v>GX35</v>
      </c>
      <c r="H1919" s="5" t="str">
        <f>IFERROR(__xludf.DUMMYFUNCTION("""COMPUTED_VALUE"""),"1.6HP")</f>
        <v>1.6HP</v>
      </c>
      <c r="I1919" s="5"/>
      <c r="J1919" s="5"/>
      <c r="K1919" s="5">
        <f>IFERROR(__xludf.DUMMYFUNCTION("""COMPUTED_VALUE"""),0.5)</f>
        <v>0.5</v>
      </c>
      <c r="L1919" s="5" t="str">
        <f>IFERROR(__xludf.DUMMYFUNCTION("""COMPUTED_VALUE"""),"KLH")</f>
        <v>KLH</v>
      </c>
    </row>
    <row r="1920">
      <c r="A1920" s="5" t="str">
        <f>IFERROR(__xludf.DUMMYFUNCTION("""COMPUTED_VALUE"""),"XD3-MPC-046")</f>
        <v>XD3-MPC-046</v>
      </c>
      <c r="B1920" s="3" t="str">
        <f>IFERROR(__xludf.DUMMYFUNCTION("""COMPUTED_VALUE"""),"Máy phát cỏ 4 thì")</f>
        <v>Máy phát cỏ 4 thì</v>
      </c>
      <c r="C1920" s="5" t="str">
        <f>IFERROR(__xludf.DUMMYFUNCTION("""COMPUTED_VALUE"""),"XN Chuối DP3")</f>
        <v>XN Chuối DP3</v>
      </c>
      <c r="D1920" s="5" t="str">
        <f>IFERROR(__xludf.DUMMYFUNCTION("""COMPUTED_VALUE"""),"HONDA")</f>
        <v>HONDA</v>
      </c>
      <c r="E1920" s="5" t="str">
        <f>IFERROR(__xludf.DUMMYFUNCTION("""COMPUTED_VALUE"""),"THÁI LAN")</f>
        <v>THÁI LAN</v>
      </c>
      <c r="F1920" s="5"/>
      <c r="G1920" s="5" t="str">
        <f>IFERROR(__xludf.DUMMYFUNCTION("""COMPUTED_VALUE"""),"GX35")</f>
        <v>GX35</v>
      </c>
      <c r="H1920" s="5" t="str">
        <f>IFERROR(__xludf.DUMMYFUNCTION("""COMPUTED_VALUE"""),"1.6HP")</f>
        <v>1.6HP</v>
      </c>
      <c r="I1920" s="5"/>
      <c r="J1920" s="5"/>
      <c r="K1920" s="5">
        <f>IFERROR(__xludf.DUMMYFUNCTION("""COMPUTED_VALUE"""),0.5)</f>
        <v>0.5</v>
      </c>
      <c r="L1920" s="5" t="str">
        <f>IFERROR(__xludf.DUMMYFUNCTION("""COMPUTED_VALUE"""),"KLH")</f>
        <v>KLH</v>
      </c>
    </row>
    <row r="1921">
      <c r="A1921" s="5" t="str">
        <f>IFERROR(__xludf.DUMMYFUNCTION("""COMPUTED_VALUE"""),"XD3-MPC-047")</f>
        <v>XD3-MPC-047</v>
      </c>
      <c r="B1921" s="3" t="str">
        <f>IFERROR(__xludf.DUMMYFUNCTION("""COMPUTED_VALUE"""),"Máy phát cỏ 4 thì")</f>
        <v>Máy phát cỏ 4 thì</v>
      </c>
      <c r="C1921" s="5" t="str">
        <f>IFERROR(__xludf.DUMMYFUNCTION("""COMPUTED_VALUE"""),"XN Chuối DP3")</f>
        <v>XN Chuối DP3</v>
      </c>
      <c r="D1921" s="5" t="str">
        <f>IFERROR(__xludf.DUMMYFUNCTION("""COMPUTED_VALUE"""),"HONDA")</f>
        <v>HONDA</v>
      </c>
      <c r="E1921" s="5" t="str">
        <f>IFERROR(__xludf.DUMMYFUNCTION("""COMPUTED_VALUE"""),"THÁI LAN")</f>
        <v>THÁI LAN</v>
      </c>
      <c r="F1921" s="5"/>
      <c r="G1921" s="5" t="str">
        <f>IFERROR(__xludf.DUMMYFUNCTION("""COMPUTED_VALUE"""),"GX35")</f>
        <v>GX35</v>
      </c>
      <c r="H1921" s="5" t="str">
        <f>IFERROR(__xludf.DUMMYFUNCTION("""COMPUTED_VALUE"""),"1.6HP")</f>
        <v>1.6HP</v>
      </c>
      <c r="I1921" s="5"/>
      <c r="J1921" s="5"/>
      <c r="K1921" s="5">
        <f>IFERROR(__xludf.DUMMYFUNCTION("""COMPUTED_VALUE"""),0.5)</f>
        <v>0.5</v>
      </c>
      <c r="L1921" s="5" t="str">
        <f>IFERROR(__xludf.DUMMYFUNCTION("""COMPUTED_VALUE"""),"KLH")</f>
        <v>KLH</v>
      </c>
    </row>
    <row r="1922">
      <c r="A1922" s="5" t="str">
        <f>IFERROR(__xludf.DUMMYFUNCTION("""COMPUTED_VALUE"""),"XD3-MPC-048")</f>
        <v>XD3-MPC-048</v>
      </c>
      <c r="B1922" s="3" t="str">
        <f>IFERROR(__xludf.DUMMYFUNCTION("""COMPUTED_VALUE"""),"Máy phát cỏ 4 thì")</f>
        <v>Máy phát cỏ 4 thì</v>
      </c>
      <c r="C1922" s="5" t="str">
        <f>IFERROR(__xludf.DUMMYFUNCTION("""COMPUTED_VALUE"""),"XN Chuối DP3")</f>
        <v>XN Chuối DP3</v>
      </c>
      <c r="D1922" s="5" t="str">
        <f>IFERROR(__xludf.DUMMYFUNCTION("""COMPUTED_VALUE"""),"HONDA")</f>
        <v>HONDA</v>
      </c>
      <c r="E1922" s="5" t="str">
        <f>IFERROR(__xludf.DUMMYFUNCTION("""COMPUTED_VALUE"""),"THÁI LAN")</f>
        <v>THÁI LAN</v>
      </c>
      <c r="F1922" s="5"/>
      <c r="G1922" s="5" t="str">
        <f>IFERROR(__xludf.DUMMYFUNCTION("""COMPUTED_VALUE"""),"GX35")</f>
        <v>GX35</v>
      </c>
      <c r="H1922" s="5" t="str">
        <f>IFERROR(__xludf.DUMMYFUNCTION("""COMPUTED_VALUE"""),"1.6HP")</f>
        <v>1.6HP</v>
      </c>
      <c r="I1922" s="5"/>
      <c r="J1922" s="5"/>
      <c r="K1922" s="5">
        <f>IFERROR(__xludf.DUMMYFUNCTION("""COMPUTED_VALUE"""),0.5)</f>
        <v>0.5</v>
      </c>
      <c r="L1922" s="5" t="str">
        <f>IFERROR(__xludf.DUMMYFUNCTION("""COMPUTED_VALUE"""),"KLH")</f>
        <v>KLH</v>
      </c>
    </row>
    <row r="1923">
      <c r="A1923" s="5" t="str">
        <f>IFERROR(__xludf.DUMMYFUNCTION("""COMPUTED_VALUE"""),"XD3-MPC-049")</f>
        <v>XD3-MPC-049</v>
      </c>
      <c r="B1923" s="3" t="str">
        <f>IFERROR(__xludf.DUMMYFUNCTION("""COMPUTED_VALUE"""),"Máy phát cỏ 4 thì")</f>
        <v>Máy phát cỏ 4 thì</v>
      </c>
      <c r="C1923" s="5" t="str">
        <f>IFERROR(__xludf.DUMMYFUNCTION("""COMPUTED_VALUE"""),"XN Chuối DP3")</f>
        <v>XN Chuối DP3</v>
      </c>
      <c r="D1923" s="5" t="str">
        <f>IFERROR(__xludf.DUMMYFUNCTION("""COMPUTED_VALUE"""),"HONDA")</f>
        <v>HONDA</v>
      </c>
      <c r="E1923" s="5" t="str">
        <f>IFERROR(__xludf.DUMMYFUNCTION("""COMPUTED_VALUE"""),"THÁI LAN")</f>
        <v>THÁI LAN</v>
      </c>
      <c r="F1923" s="5"/>
      <c r="G1923" s="5" t="str">
        <f>IFERROR(__xludf.DUMMYFUNCTION("""COMPUTED_VALUE"""),"GX35")</f>
        <v>GX35</v>
      </c>
      <c r="H1923" s="5" t="str">
        <f>IFERROR(__xludf.DUMMYFUNCTION("""COMPUTED_VALUE"""),"1.6HP")</f>
        <v>1.6HP</v>
      </c>
      <c r="I1923" s="5"/>
      <c r="J1923" s="5"/>
      <c r="K1923" s="5">
        <f>IFERROR(__xludf.DUMMYFUNCTION("""COMPUTED_VALUE"""),0.5)</f>
        <v>0.5</v>
      </c>
      <c r="L1923" s="5" t="str">
        <f>IFERROR(__xludf.DUMMYFUNCTION("""COMPUTED_VALUE"""),"KLH")</f>
        <v>KLH</v>
      </c>
    </row>
    <row r="1924">
      <c r="A1924" s="5" t="str">
        <f>IFERROR(__xludf.DUMMYFUNCTION("""COMPUTED_VALUE"""),"XD3-MPC-050")</f>
        <v>XD3-MPC-050</v>
      </c>
      <c r="B1924" s="3" t="str">
        <f>IFERROR(__xludf.DUMMYFUNCTION("""COMPUTED_VALUE"""),"Máy phát cỏ 4 thì")</f>
        <v>Máy phát cỏ 4 thì</v>
      </c>
      <c r="C1924" s="5" t="str">
        <f>IFERROR(__xludf.DUMMYFUNCTION("""COMPUTED_VALUE"""),"XN Chuối DP3")</f>
        <v>XN Chuối DP3</v>
      </c>
      <c r="D1924" s="5" t="str">
        <f>IFERROR(__xludf.DUMMYFUNCTION("""COMPUTED_VALUE"""),"HONDA")</f>
        <v>HONDA</v>
      </c>
      <c r="E1924" s="5" t="str">
        <f>IFERROR(__xludf.DUMMYFUNCTION("""COMPUTED_VALUE"""),"THÁI LAN")</f>
        <v>THÁI LAN</v>
      </c>
      <c r="F1924" s="5"/>
      <c r="G1924" s="5" t="str">
        <f>IFERROR(__xludf.DUMMYFUNCTION("""COMPUTED_VALUE"""),"GX35")</f>
        <v>GX35</v>
      </c>
      <c r="H1924" s="5" t="str">
        <f>IFERROR(__xludf.DUMMYFUNCTION("""COMPUTED_VALUE"""),"1.6HP")</f>
        <v>1.6HP</v>
      </c>
      <c r="I1924" s="5"/>
      <c r="J1924" s="5"/>
      <c r="K1924" s="5">
        <f>IFERROR(__xludf.DUMMYFUNCTION("""COMPUTED_VALUE"""),0.5)</f>
        <v>0.5</v>
      </c>
      <c r="L1924" s="5" t="str">
        <f>IFERROR(__xludf.DUMMYFUNCTION("""COMPUTED_VALUE"""),"KLH")</f>
        <v>KLH</v>
      </c>
    </row>
    <row r="1925">
      <c r="A1925" s="5" t="str">
        <f>IFERROR(__xludf.DUMMYFUNCTION("""COMPUTED_VALUE"""),"XD3-MPC-051")</f>
        <v>XD3-MPC-051</v>
      </c>
      <c r="B1925" s="3" t="str">
        <f>IFERROR(__xludf.DUMMYFUNCTION("""COMPUTED_VALUE"""),"Máy phát cỏ 4 thì")</f>
        <v>Máy phát cỏ 4 thì</v>
      </c>
      <c r="C1925" s="5" t="str">
        <f>IFERROR(__xludf.DUMMYFUNCTION("""COMPUTED_VALUE"""),"XN Chuối DP3")</f>
        <v>XN Chuối DP3</v>
      </c>
      <c r="D1925" s="5" t="str">
        <f>IFERROR(__xludf.DUMMYFUNCTION("""COMPUTED_VALUE"""),"HONDA")</f>
        <v>HONDA</v>
      </c>
      <c r="E1925" s="5" t="str">
        <f>IFERROR(__xludf.DUMMYFUNCTION("""COMPUTED_VALUE"""),"THÁI LAN")</f>
        <v>THÁI LAN</v>
      </c>
      <c r="F1925" s="5"/>
      <c r="G1925" s="5" t="str">
        <f>IFERROR(__xludf.DUMMYFUNCTION("""COMPUTED_VALUE"""),"GX35")</f>
        <v>GX35</v>
      </c>
      <c r="H1925" s="5" t="str">
        <f>IFERROR(__xludf.DUMMYFUNCTION("""COMPUTED_VALUE"""),"1.6HP")</f>
        <v>1.6HP</v>
      </c>
      <c r="I1925" s="5"/>
      <c r="J1925" s="5"/>
      <c r="K1925" s="5">
        <f>IFERROR(__xludf.DUMMYFUNCTION("""COMPUTED_VALUE"""),0.5)</f>
        <v>0.5</v>
      </c>
      <c r="L1925" s="5" t="str">
        <f>IFERROR(__xludf.DUMMYFUNCTION("""COMPUTED_VALUE"""),"KLH")</f>
        <v>KLH</v>
      </c>
    </row>
    <row r="1926">
      <c r="A1926" s="5" t="str">
        <f>IFERROR(__xludf.DUMMYFUNCTION("""COMPUTED_VALUE"""),"XD3-MPC-052")</f>
        <v>XD3-MPC-052</v>
      </c>
      <c r="B1926" s="3" t="str">
        <f>IFERROR(__xludf.DUMMYFUNCTION("""COMPUTED_VALUE"""),"Máy phát cỏ 4 thì")</f>
        <v>Máy phát cỏ 4 thì</v>
      </c>
      <c r="C1926" s="5" t="str">
        <f>IFERROR(__xludf.DUMMYFUNCTION("""COMPUTED_VALUE"""),"XN Chuối DP3")</f>
        <v>XN Chuối DP3</v>
      </c>
      <c r="D1926" s="5" t="str">
        <f>IFERROR(__xludf.DUMMYFUNCTION("""COMPUTED_VALUE"""),"HONDA")</f>
        <v>HONDA</v>
      </c>
      <c r="E1926" s="5" t="str">
        <f>IFERROR(__xludf.DUMMYFUNCTION("""COMPUTED_VALUE"""),"THÁI LAN")</f>
        <v>THÁI LAN</v>
      </c>
      <c r="F1926" s="5"/>
      <c r="G1926" s="5" t="str">
        <f>IFERROR(__xludf.DUMMYFUNCTION("""COMPUTED_VALUE"""),"GX35")</f>
        <v>GX35</v>
      </c>
      <c r="H1926" s="5" t="str">
        <f>IFERROR(__xludf.DUMMYFUNCTION("""COMPUTED_VALUE"""),"1.6HP")</f>
        <v>1.6HP</v>
      </c>
      <c r="I1926" s="5"/>
      <c r="J1926" s="5"/>
      <c r="K1926" s="5">
        <f>IFERROR(__xludf.DUMMYFUNCTION("""COMPUTED_VALUE"""),0.5)</f>
        <v>0.5</v>
      </c>
      <c r="L1926" s="5" t="str">
        <f>IFERROR(__xludf.DUMMYFUNCTION("""COMPUTED_VALUE"""),"KLH")</f>
        <v>KLH</v>
      </c>
    </row>
    <row r="1927">
      <c r="A1927" s="5" t="str">
        <f>IFERROR(__xludf.DUMMYFUNCTION("""COMPUTED_VALUE"""),"XD3-MPC-053")</f>
        <v>XD3-MPC-053</v>
      </c>
      <c r="B1927" s="3" t="str">
        <f>IFERROR(__xludf.DUMMYFUNCTION("""COMPUTED_VALUE"""),"Máy phát cỏ 4 thì")</f>
        <v>Máy phát cỏ 4 thì</v>
      </c>
      <c r="C1927" s="5" t="str">
        <f>IFERROR(__xludf.DUMMYFUNCTION("""COMPUTED_VALUE"""),"XN Chuối DP3")</f>
        <v>XN Chuối DP3</v>
      </c>
      <c r="D1927" s="5" t="str">
        <f>IFERROR(__xludf.DUMMYFUNCTION("""COMPUTED_VALUE"""),"HONDA")</f>
        <v>HONDA</v>
      </c>
      <c r="E1927" s="5" t="str">
        <f>IFERROR(__xludf.DUMMYFUNCTION("""COMPUTED_VALUE"""),"THÁI LAN")</f>
        <v>THÁI LAN</v>
      </c>
      <c r="F1927" s="5"/>
      <c r="G1927" s="5" t="str">
        <f>IFERROR(__xludf.DUMMYFUNCTION("""COMPUTED_VALUE"""),"GX35")</f>
        <v>GX35</v>
      </c>
      <c r="H1927" s="5" t="str">
        <f>IFERROR(__xludf.DUMMYFUNCTION("""COMPUTED_VALUE"""),"1.6HP")</f>
        <v>1.6HP</v>
      </c>
      <c r="I1927" s="5"/>
      <c r="J1927" s="5"/>
      <c r="K1927" s="5">
        <f>IFERROR(__xludf.DUMMYFUNCTION("""COMPUTED_VALUE"""),0.5)</f>
        <v>0.5</v>
      </c>
      <c r="L1927" s="5" t="str">
        <f>IFERROR(__xludf.DUMMYFUNCTION("""COMPUTED_VALUE"""),"KLH")</f>
        <v>KLH</v>
      </c>
    </row>
    <row r="1928">
      <c r="A1928" s="5" t="str">
        <f>IFERROR(__xludf.DUMMYFUNCTION("""COMPUTED_VALUE"""),"XD3-MPC-054")</f>
        <v>XD3-MPC-054</v>
      </c>
      <c r="B1928" s="3" t="str">
        <f>IFERROR(__xludf.DUMMYFUNCTION("""COMPUTED_VALUE"""),"Máy phát cỏ 4 thì")</f>
        <v>Máy phát cỏ 4 thì</v>
      </c>
      <c r="C1928" s="5" t="str">
        <f>IFERROR(__xludf.DUMMYFUNCTION("""COMPUTED_VALUE"""),"XN Chuối DP3")</f>
        <v>XN Chuối DP3</v>
      </c>
      <c r="D1928" s="5" t="str">
        <f>IFERROR(__xludf.DUMMYFUNCTION("""COMPUTED_VALUE"""),"HONDA")</f>
        <v>HONDA</v>
      </c>
      <c r="E1928" s="5" t="str">
        <f>IFERROR(__xludf.DUMMYFUNCTION("""COMPUTED_VALUE"""),"THÁI LAN")</f>
        <v>THÁI LAN</v>
      </c>
      <c r="F1928" s="5"/>
      <c r="G1928" s="5" t="str">
        <f>IFERROR(__xludf.DUMMYFUNCTION("""COMPUTED_VALUE"""),"GX35")</f>
        <v>GX35</v>
      </c>
      <c r="H1928" s="5" t="str">
        <f>IFERROR(__xludf.DUMMYFUNCTION("""COMPUTED_VALUE"""),"1.6HP")</f>
        <v>1.6HP</v>
      </c>
      <c r="I1928" s="5"/>
      <c r="J1928" s="5"/>
      <c r="K1928" s="5">
        <f>IFERROR(__xludf.DUMMYFUNCTION("""COMPUTED_VALUE"""),0.5)</f>
        <v>0.5</v>
      </c>
      <c r="L1928" s="5" t="str">
        <f>IFERROR(__xludf.DUMMYFUNCTION("""COMPUTED_VALUE"""),"KLH")</f>
        <v>KLH</v>
      </c>
    </row>
    <row r="1929">
      <c r="A1929" s="5" t="str">
        <f>IFERROR(__xludf.DUMMYFUNCTION("""COMPUTED_VALUE"""),"XD3-MPC-055")</f>
        <v>XD3-MPC-055</v>
      </c>
      <c r="B1929" s="3" t="str">
        <f>IFERROR(__xludf.DUMMYFUNCTION("""COMPUTED_VALUE"""),"Máy phát cỏ 4 thì")</f>
        <v>Máy phát cỏ 4 thì</v>
      </c>
      <c r="C1929" s="5" t="str">
        <f>IFERROR(__xludf.DUMMYFUNCTION("""COMPUTED_VALUE"""),"XN Chuối DP3")</f>
        <v>XN Chuối DP3</v>
      </c>
      <c r="D1929" s="5" t="str">
        <f>IFERROR(__xludf.DUMMYFUNCTION("""COMPUTED_VALUE"""),"HONDA")</f>
        <v>HONDA</v>
      </c>
      <c r="E1929" s="5" t="str">
        <f>IFERROR(__xludf.DUMMYFUNCTION("""COMPUTED_VALUE"""),"THÁI LAN")</f>
        <v>THÁI LAN</v>
      </c>
      <c r="F1929" s="5"/>
      <c r="G1929" s="5" t="str">
        <f>IFERROR(__xludf.DUMMYFUNCTION("""COMPUTED_VALUE"""),"GX35")</f>
        <v>GX35</v>
      </c>
      <c r="H1929" s="5" t="str">
        <f>IFERROR(__xludf.DUMMYFUNCTION("""COMPUTED_VALUE"""),"1.6HP")</f>
        <v>1.6HP</v>
      </c>
      <c r="I1929" s="5"/>
      <c r="J1929" s="5"/>
      <c r="K1929" s="5">
        <f>IFERROR(__xludf.DUMMYFUNCTION("""COMPUTED_VALUE"""),0.5)</f>
        <v>0.5</v>
      </c>
      <c r="L1929" s="5" t="str">
        <f>IFERROR(__xludf.DUMMYFUNCTION("""COMPUTED_VALUE"""),"KLH")</f>
        <v>KLH</v>
      </c>
    </row>
    <row r="1930">
      <c r="A1930" s="5" t="str">
        <f>IFERROR(__xludf.DUMMYFUNCTION("""COMPUTED_VALUE"""),"XD3-MPC-056")</f>
        <v>XD3-MPC-056</v>
      </c>
      <c r="B1930" s="3" t="str">
        <f>IFERROR(__xludf.DUMMYFUNCTION("""COMPUTED_VALUE"""),"Máy phát cỏ 2 thì")</f>
        <v>Máy phát cỏ 2 thì</v>
      </c>
      <c r="C1930" s="5" t="str">
        <f>IFERROR(__xludf.DUMMYFUNCTION("""COMPUTED_VALUE"""),"XN Chuối DP3")</f>
        <v>XN Chuối DP3</v>
      </c>
      <c r="D1930" s="5" t="str">
        <f>IFERROR(__xludf.DUMMYFUNCTION("""COMPUTED_VALUE"""),"MARRATA")</f>
        <v>MARRATA</v>
      </c>
      <c r="E1930" s="5"/>
      <c r="F1930" s="5"/>
      <c r="G1930" s="5" t="str">
        <f>IFERROR(__xludf.DUMMYFUNCTION("""COMPUTED_VALUE"""),"CG411")</f>
        <v>CG411</v>
      </c>
      <c r="H1930" s="5" t="str">
        <f>IFERROR(__xludf.DUMMYFUNCTION("""COMPUTED_VALUE"""),"1.8HP")</f>
        <v>1.8HP</v>
      </c>
      <c r="I1930" s="5"/>
      <c r="J1930" s="5"/>
      <c r="K1930" s="5">
        <f>IFERROR(__xludf.DUMMYFUNCTION("""COMPUTED_VALUE"""),1.0)</f>
        <v>1</v>
      </c>
      <c r="L1930" s="5" t="str">
        <f>IFERROR(__xludf.DUMMYFUNCTION("""COMPUTED_VALUE"""),"KLH")</f>
        <v>KLH</v>
      </c>
    </row>
    <row r="1931">
      <c r="A1931" s="5" t="str">
        <f>IFERROR(__xludf.DUMMYFUNCTION("""COMPUTED_VALUE"""),"XD3-MPC-057")</f>
        <v>XD3-MPC-057</v>
      </c>
      <c r="B1931" s="3" t="str">
        <f>IFERROR(__xludf.DUMMYFUNCTION("""COMPUTED_VALUE"""),"Máy phát cỏ 2 thì")</f>
        <v>Máy phát cỏ 2 thì</v>
      </c>
      <c r="C1931" s="5" t="str">
        <f>IFERROR(__xludf.DUMMYFUNCTION("""COMPUTED_VALUE"""),"XN Chuối DP3")</f>
        <v>XN Chuối DP3</v>
      </c>
      <c r="D1931" s="5" t="str">
        <f>IFERROR(__xludf.DUMMYFUNCTION("""COMPUTED_VALUE"""),"MARRATA")</f>
        <v>MARRATA</v>
      </c>
      <c r="E1931" s="5"/>
      <c r="F1931" s="5"/>
      <c r="G1931" s="5" t="str">
        <f>IFERROR(__xludf.DUMMYFUNCTION("""COMPUTED_VALUE"""),"CG411")</f>
        <v>CG411</v>
      </c>
      <c r="H1931" s="5" t="str">
        <f>IFERROR(__xludf.DUMMYFUNCTION("""COMPUTED_VALUE"""),"1.8HP")</f>
        <v>1.8HP</v>
      </c>
      <c r="I1931" s="5"/>
      <c r="J1931" s="5"/>
      <c r="K1931" s="5">
        <f>IFERROR(__xludf.DUMMYFUNCTION("""COMPUTED_VALUE"""),1.0)</f>
        <v>1</v>
      </c>
      <c r="L1931" s="5" t="str">
        <f>IFERROR(__xludf.DUMMYFUNCTION("""COMPUTED_VALUE"""),"KLH")</f>
        <v>KLH</v>
      </c>
    </row>
    <row r="1932">
      <c r="A1932" s="5" t="str">
        <f>IFERROR(__xludf.DUMMYFUNCTION("""COMPUTED_VALUE"""),"XD3-MPC-058")</f>
        <v>XD3-MPC-058</v>
      </c>
      <c r="B1932" s="3" t="str">
        <f>IFERROR(__xludf.DUMMYFUNCTION("""COMPUTED_VALUE"""),"Máy phát cỏ 2 thì")</f>
        <v>Máy phát cỏ 2 thì</v>
      </c>
      <c r="C1932" s="5" t="str">
        <f>IFERROR(__xludf.DUMMYFUNCTION("""COMPUTED_VALUE"""),"XN Chuối DP3")</f>
        <v>XN Chuối DP3</v>
      </c>
      <c r="D1932" s="5" t="str">
        <f>IFERROR(__xludf.DUMMYFUNCTION("""COMPUTED_VALUE"""),"MARRATA")</f>
        <v>MARRATA</v>
      </c>
      <c r="E1932" s="5"/>
      <c r="F1932" s="5"/>
      <c r="G1932" s="5" t="str">
        <f>IFERROR(__xludf.DUMMYFUNCTION("""COMPUTED_VALUE"""),"CG411")</f>
        <v>CG411</v>
      </c>
      <c r="H1932" s="5" t="str">
        <f>IFERROR(__xludf.DUMMYFUNCTION("""COMPUTED_VALUE"""),"1.8HP")</f>
        <v>1.8HP</v>
      </c>
      <c r="I1932" s="5"/>
      <c r="J1932" s="5"/>
      <c r="K1932" s="5">
        <f>IFERROR(__xludf.DUMMYFUNCTION("""COMPUTED_VALUE"""),1.0)</f>
        <v>1</v>
      </c>
      <c r="L1932" s="5" t="str">
        <f>IFERROR(__xludf.DUMMYFUNCTION("""COMPUTED_VALUE"""),"KLH")</f>
        <v>KLH</v>
      </c>
    </row>
    <row r="1933">
      <c r="A1933" s="5" t="str">
        <f>IFERROR(__xludf.DUMMYFUNCTION("""COMPUTED_VALUE"""),"XD3-MPC-059")</f>
        <v>XD3-MPC-059</v>
      </c>
      <c r="B1933" s="3" t="str">
        <f>IFERROR(__xludf.DUMMYFUNCTION("""COMPUTED_VALUE"""),"Máy phát cỏ 2 thì")</f>
        <v>Máy phát cỏ 2 thì</v>
      </c>
      <c r="C1933" s="5" t="str">
        <f>IFERROR(__xludf.DUMMYFUNCTION("""COMPUTED_VALUE"""),"XN Chuối DP3")</f>
        <v>XN Chuối DP3</v>
      </c>
      <c r="D1933" s="5" t="str">
        <f>IFERROR(__xludf.DUMMYFUNCTION("""COMPUTED_VALUE"""),"MARRATA")</f>
        <v>MARRATA</v>
      </c>
      <c r="E1933" s="5"/>
      <c r="F1933" s="5"/>
      <c r="G1933" s="5" t="str">
        <f>IFERROR(__xludf.DUMMYFUNCTION("""COMPUTED_VALUE"""),"CG411")</f>
        <v>CG411</v>
      </c>
      <c r="H1933" s="5" t="str">
        <f>IFERROR(__xludf.DUMMYFUNCTION("""COMPUTED_VALUE"""),"1.8HP")</f>
        <v>1.8HP</v>
      </c>
      <c r="I1933" s="5"/>
      <c r="J1933" s="5"/>
      <c r="K1933" s="5">
        <f>IFERROR(__xludf.DUMMYFUNCTION("""COMPUTED_VALUE"""),1.0)</f>
        <v>1</v>
      </c>
      <c r="L1933" s="5" t="str">
        <f>IFERROR(__xludf.DUMMYFUNCTION("""COMPUTED_VALUE"""),"KLH")</f>
        <v>KLH</v>
      </c>
    </row>
    <row r="1934">
      <c r="A1934" s="5" t="str">
        <f>IFERROR(__xludf.DUMMYFUNCTION("""COMPUTED_VALUE"""),"XD3-MPC-060")</f>
        <v>XD3-MPC-060</v>
      </c>
      <c r="B1934" s="3" t="str">
        <f>IFERROR(__xludf.DUMMYFUNCTION("""COMPUTED_VALUE"""),"Máy phát cỏ 2 thì")</f>
        <v>Máy phát cỏ 2 thì</v>
      </c>
      <c r="C1934" s="5" t="str">
        <f>IFERROR(__xludf.DUMMYFUNCTION("""COMPUTED_VALUE"""),"XN Chuối DP3")</f>
        <v>XN Chuối DP3</v>
      </c>
      <c r="D1934" s="5" t="str">
        <f>IFERROR(__xludf.DUMMYFUNCTION("""COMPUTED_VALUE"""),"MARRATA")</f>
        <v>MARRATA</v>
      </c>
      <c r="E1934" s="5"/>
      <c r="F1934" s="5"/>
      <c r="G1934" s="5" t="str">
        <f>IFERROR(__xludf.DUMMYFUNCTION("""COMPUTED_VALUE"""),"CG411")</f>
        <v>CG411</v>
      </c>
      <c r="H1934" s="5" t="str">
        <f>IFERROR(__xludf.DUMMYFUNCTION("""COMPUTED_VALUE"""),"1.8HP")</f>
        <v>1.8HP</v>
      </c>
      <c r="I1934" s="5"/>
      <c r="J1934" s="5"/>
      <c r="K1934" s="5">
        <f>IFERROR(__xludf.DUMMYFUNCTION("""COMPUTED_VALUE"""),1.0)</f>
        <v>1</v>
      </c>
      <c r="L1934" s="5" t="str">
        <f>IFERROR(__xludf.DUMMYFUNCTION("""COMPUTED_VALUE"""),"KLH")</f>
        <v>KLH</v>
      </c>
    </row>
    <row r="1935">
      <c r="A1935" s="5" t="str">
        <f>IFERROR(__xludf.DUMMYFUNCTION("""COMPUTED_VALUE"""),"XD3-MPC-061")</f>
        <v>XD3-MPC-061</v>
      </c>
      <c r="B1935" s="3" t="str">
        <f>IFERROR(__xludf.DUMMYFUNCTION("""COMPUTED_VALUE"""),"Máy phát cỏ 2 thì")</f>
        <v>Máy phát cỏ 2 thì</v>
      </c>
      <c r="C1935" s="5" t="str">
        <f>IFERROR(__xludf.DUMMYFUNCTION("""COMPUTED_VALUE"""),"XN Chuối DP3")</f>
        <v>XN Chuối DP3</v>
      </c>
      <c r="D1935" s="5" t="str">
        <f>IFERROR(__xludf.DUMMYFUNCTION("""COMPUTED_VALUE"""),"MARRATA")</f>
        <v>MARRATA</v>
      </c>
      <c r="E1935" s="5"/>
      <c r="F1935" s="5"/>
      <c r="G1935" s="5" t="str">
        <f>IFERROR(__xludf.DUMMYFUNCTION("""COMPUTED_VALUE"""),"CG411")</f>
        <v>CG411</v>
      </c>
      <c r="H1935" s="5" t="str">
        <f>IFERROR(__xludf.DUMMYFUNCTION("""COMPUTED_VALUE"""),"1.8HP")</f>
        <v>1.8HP</v>
      </c>
      <c r="I1935" s="5"/>
      <c r="J1935" s="5"/>
      <c r="K1935" s="5">
        <f>IFERROR(__xludf.DUMMYFUNCTION("""COMPUTED_VALUE"""),1.0)</f>
        <v>1</v>
      </c>
      <c r="L1935" s="5" t="str">
        <f>IFERROR(__xludf.DUMMYFUNCTION("""COMPUTED_VALUE"""),"KLH")</f>
        <v>KLH</v>
      </c>
    </row>
    <row r="1936">
      <c r="A1936" s="5" t="str">
        <f>IFERROR(__xludf.DUMMYFUNCTION("""COMPUTED_VALUE"""),"XD3-MPC-062")</f>
        <v>XD3-MPC-062</v>
      </c>
      <c r="B1936" s="3" t="str">
        <f>IFERROR(__xludf.DUMMYFUNCTION("""COMPUTED_VALUE"""),"Máy phát cỏ 2 thì")</f>
        <v>Máy phát cỏ 2 thì</v>
      </c>
      <c r="C1936" s="5" t="str">
        <f>IFERROR(__xludf.DUMMYFUNCTION("""COMPUTED_VALUE"""),"XN Chuối DP3")</f>
        <v>XN Chuối DP3</v>
      </c>
      <c r="D1936" s="5" t="str">
        <f>IFERROR(__xludf.DUMMYFUNCTION("""COMPUTED_VALUE"""),"MARRATA")</f>
        <v>MARRATA</v>
      </c>
      <c r="E1936" s="5"/>
      <c r="F1936" s="5"/>
      <c r="G1936" s="5" t="str">
        <f>IFERROR(__xludf.DUMMYFUNCTION("""COMPUTED_VALUE"""),"CG411")</f>
        <v>CG411</v>
      </c>
      <c r="H1936" s="5" t="str">
        <f>IFERROR(__xludf.DUMMYFUNCTION("""COMPUTED_VALUE"""),"1.8HP")</f>
        <v>1.8HP</v>
      </c>
      <c r="I1936" s="5"/>
      <c r="J1936" s="5"/>
      <c r="K1936" s="5">
        <f>IFERROR(__xludf.DUMMYFUNCTION("""COMPUTED_VALUE"""),1.0)</f>
        <v>1</v>
      </c>
      <c r="L1936" s="5" t="str">
        <f>IFERROR(__xludf.DUMMYFUNCTION("""COMPUTED_VALUE"""),"KLH")</f>
        <v>KLH</v>
      </c>
    </row>
    <row r="1937">
      <c r="A1937" s="5" t="str">
        <f>IFERROR(__xludf.DUMMYFUNCTION("""COMPUTED_VALUE"""),"XD3-MPC-063")</f>
        <v>XD3-MPC-063</v>
      </c>
      <c r="B1937" s="3" t="str">
        <f>IFERROR(__xludf.DUMMYFUNCTION("""COMPUTED_VALUE"""),"Máy phát cỏ 2 thì")</f>
        <v>Máy phát cỏ 2 thì</v>
      </c>
      <c r="C1937" s="5" t="str">
        <f>IFERROR(__xludf.DUMMYFUNCTION("""COMPUTED_VALUE"""),"XN Chuối DP3")</f>
        <v>XN Chuối DP3</v>
      </c>
      <c r="D1937" s="5" t="str">
        <f>IFERROR(__xludf.DUMMYFUNCTION("""COMPUTED_VALUE"""),"MARRATA")</f>
        <v>MARRATA</v>
      </c>
      <c r="E1937" s="5"/>
      <c r="F1937" s="5"/>
      <c r="G1937" s="5" t="str">
        <f>IFERROR(__xludf.DUMMYFUNCTION("""COMPUTED_VALUE"""),"CG411")</f>
        <v>CG411</v>
      </c>
      <c r="H1937" s="5" t="str">
        <f>IFERROR(__xludf.DUMMYFUNCTION("""COMPUTED_VALUE"""),"1.8HP")</f>
        <v>1.8HP</v>
      </c>
      <c r="I1937" s="5"/>
      <c r="J1937" s="5"/>
      <c r="K1937" s="5">
        <f>IFERROR(__xludf.DUMMYFUNCTION("""COMPUTED_VALUE"""),1.0)</f>
        <v>1</v>
      </c>
      <c r="L1937" s="5" t="str">
        <f>IFERROR(__xludf.DUMMYFUNCTION("""COMPUTED_VALUE"""),"KLH")</f>
        <v>KLH</v>
      </c>
    </row>
    <row r="1938">
      <c r="A1938" s="5" t="str">
        <f>IFERROR(__xludf.DUMMYFUNCTION("""COMPUTED_VALUE"""),"XD3-MPC-064")</f>
        <v>XD3-MPC-064</v>
      </c>
      <c r="B1938" s="3" t="str">
        <f>IFERROR(__xludf.DUMMYFUNCTION("""COMPUTED_VALUE"""),"Máy phát cỏ 2 thì")</f>
        <v>Máy phát cỏ 2 thì</v>
      </c>
      <c r="C1938" s="5" t="str">
        <f>IFERROR(__xludf.DUMMYFUNCTION("""COMPUTED_VALUE"""),"XN Chuối DP3")</f>
        <v>XN Chuối DP3</v>
      </c>
      <c r="D1938" s="5" t="str">
        <f>IFERROR(__xludf.DUMMYFUNCTION("""COMPUTED_VALUE"""),"MARRATA")</f>
        <v>MARRATA</v>
      </c>
      <c r="E1938" s="5"/>
      <c r="F1938" s="5"/>
      <c r="G1938" s="5" t="str">
        <f>IFERROR(__xludf.DUMMYFUNCTION("""COMPUTED_VALUE"""),"CG411")</f>
        <v>CG411</v>
      </c>
      <c r="H1938" s="5" t="str">
        <f>IFERROR(__xludf.DUMMYFUNCTION("""COMPUTED_VALUE"""),"1.8HP")</f>
        <v>1.8HP</v>
      </c>
      <c r="I1938" s="5"/>
      <c r="J1938" s="5"/>
      <c r="K1938" s="5">
        <f>IFERROR(__xludf.DUMMYFUNCTION("""COMPUTED_VALUE"""),1.0)</f>
        <v>1</v>
      </c>
      <c r="L1938" s="5" t="str">
        <f>IFERROR(__xludf.DUMMYFUNCTION("""COMPUTED_VALUE"""),"KLH")</f>
        <v>KLH</v>
      </c>
    </row>
    <row r="1939">
      <c r="A1939" s="5" t="str">
        <f>IFERROR(__xludf.DUMMYFUNCTION("""COMPUTED_VALUE"""),"XD3-MPC-065")</f>
        <v>XD3-MPC-065</v>
      </c>
      <c r="B1939" s="3" t="str">
        <f>IFERROR(__xludf.DUMMYFUNCTION("""COMPUTED_VALUE"""),"Máy phát cỏ 2 thì")</f>
        <v>Máy phát cỏ 2 thì</v>
      </c>
      <c r="C1939" s="5" t="str">
        <f>IFERROR(__xludf.DUMMYFUNCTION("""COMPUTED_VALUE"""),"XN Chuối DP3")</f>
        <v>XN Chuối DP3</v>
      </c>
      <c r="D1939" s="5" t="str">
        <f>IFERROR(__xludf.DUMMYFUNCTION("""COMPUTED_VALUE"""),"MARRATA")</f>
        <v>MARRATA</v>
      </c>
      <c r="E1939" s="5"/>
      <c r="F1939" s="5"/>
      <c r="G1939" s="5" t="str">
        <f>IFERROR(__xludf.DUMMYFUNCTION("""COMPUTED_VALUE"""),"CG411")</f>
        <v>CG411</v>
      </c>
      <c r="H1939" s="5" t="str">
        <f>IFERROR(__xludf.DUMMYFUNCTION("""COMPUTED_VALUE"""),"1.8HP")</f>
        <v>1.8HP</v>
      </c>
      <c r="I1939" s="5"/>
      <c r="J1939" s="5"/>
      <c r="K1939" s="5">
        <f>IFERROR(__xludf.DUMMYFUNCTION("""COMPUTED_VALUE"""),1.0)</f>
        <v>1</v>
      </c>
      <c r="L1939" s="5" t="str">
        <f>IFERROR(__xludf.DUMMYFUNCTION("""COMPUTED_VALUE"""),"KLH")</f>
        <v>KLH</v>
      </c>
    </row>
    <row r="1940">
      <c r="A1940" s="5" t="str">
        <f>IFERROR(__xludf.DUMMYFUNCTION("""COMPUTED_VALUE"""),"XD3-MPC-066")</f>
        <v>XD3-MPC-066</v>
      </c>
      <c r="B1940" s="3" t="str">
        <f>IFERROR(__xludf.DUMMYFUNCTION("""COMPUTED_VALUE"""),"Máy phát cỏ 2 thì")</f>
        <v>Máy phát cỏ 2 thì</v>
      </c>
      <c r="C1940" s="5" t="str">
        <f>IFERROR(__xludf.DUMMYFUNCTION("""COMPUTED_VALUE"""),"XN Chuối DP3")</f>
        <v>XN Chuối DP3</v>
      </c>
      <c r="D1940" s="5" t="str">
        <f>IFERROR(__xludf.DUMMYFUNCTION("""COMPUTED_VALUE"""),"NAGATA")</f>
        <v>NAGATA</v>
      </c>
      <c r="E1940" s="5"/>
      <c r="F1940" s="5"/>
      <c r="G1940" s="5" t="str">
        <f>IFERROR(__xludf.DUMMYFUNCTION("""COMPUTED_VALUE"""),"CG411")</f>
        <v>CG411</v>
      </c>
      <c r="H1940" s="5" t="str">
        <f>IFERROR(__xludf.DUMMYFUNCTION("""COMPUTED_VALUE"""),"1.8HP")</f>
        <v>1.8HP</v>
      </c>
      <c r="I1940" s="5"/>
      <c r="J1940" s="5"/>
      <c r="K1940" s="5">
        <f>IFERROR(__xludf.DUMMYFUNCTION("""COMPUTED_VALUE"""),1.0)</f>
        <v>1</v>
      </c>
      <c r="L1940" s="5" t="str">
        <f>IFERROR(__xludf.DUMMYFUNCTION("""COMPUTED_VALUE"""),"KLH")</f>
        <v>KLH</v>
      </c>
    </row>
    <row r="1941">
      <c r="A1941" s="5" t="str">
        <f>IFERROR(__xludf.DUMMYFUNCTION("""COMPUTED_VALUE"""),"XD3-MPC-067")</f>
        <v>XD3-MPC-067</v>
      </c>
      <c r="B1941" s="3" t="str">
        <f>IFERROR(__xludf.DUMMYFUNCTION("""COMPUTED_VALUE"""),"Máy phát cỏ 2 thì")</f>
        <v>Máy phát cỏ 2 thì</v>
      </c>
      <c r="C1941" s="5" t="str">
        <f>IFERROR(__xludf.DUMMYFUNCTION("""COMPUTED_VALUE"""),"XN Chuối DP3")</f>
        <v>XN Chuối DP3</v>
      </c>
      <c r="D1941" s="5" t="str">
        <f>IFERROR(__xludf.DUMMYFUNCTION("""COMPUTED_VALUE"""),"NAGATA")</f>
        <v>NAGATA</v>
      </c>
      <c r="E1941" s="5"/>
      <c r="F1941" s="5"/>
      <c r="G1941" s="5" t="str">
        <f>IFERROR(__xludf.DUMMYFUNCTION("""COMPUTED_VALUE"""),"CG411")</f>
        <v>CG411</v>
      </c>
      <c r="H1941" s="5" t="str">
        <f>IFERROR(__xludf.DUMMYFUNCTION("""COMPUTED_VALUE"""),"1.8HP")</f>
        <v>1.8HP</v>
      </c>
      <c r="I1941" s="5"/>
      <c r="J1941" s="5"/>
      <c r="K1941" s="5"/>
      <c r="L1941" s="5" t="str">
        <f>IFERROR(__xludf.DUMMYFUNCTION("""COMPUTED_VALUE"""),"KLH")</f>
        <v>KLH</v>
      </c>
    </row>
    <row r="1942">
      <c r="A1942" s="5" t="str">
        <f>IFERROR(__xludf.DUMMYFUNCTION("""COMPUTED_VALUE"""),"XD3-MPC-068")</f>
        <v>XD3-MPC-068</v>
      </c>
      <c r="B1942" s="3" t="str">
        <f>IFERROR(__xludf.DUMMYFUNCTION("""COMPUTED_VALUE"""),"Máy phát cỏ 2 thì")</f>
        <v>Máy phát cỏ 2 thì</v>
      </c>
      <c r="C1942" s="5" t="str">
        <f>IFERROR(__xludf.DUMMYFUNCTION("""COMPUTED_VALUE"""),"XN Chuối DP3")</f>
        <v>XN Chuối DP3</v>
      </c>
      <c r="D1942" s="5" t="str">
        <f>IFERROR(__xludf.DUMMYFUNCTION("""COMPUTED_VALUE"""),"NAGATA")</f>
        <v>NAGATA</v>
      </c>
      <c r="E1942" s="5"/>
      <c r="F1942" s="5"/>
      <c r="G1942" s="5" t="str">
        <f>IFERROR(__xludf.DUMMYFUNCTION("""COMPUTED_VALUE"""),"CG411")</f>
        <v>CG411</v>
      </c>
      <c r="H1942" s="5" t="str">
        <f>IFERROR(__xludf.DUMMYFUNCTION("""COMPUTED_VALUE"""),"1.8HP")</f>
        <v>1.8HP</v>
      </c>
      <c r="I1942" s="5"/>
      <c r="J1942" s="5"/>
      <c r="K1942" s="5"/>
      <c r="L1942" s="5" t="str">
        <f>IFERROR(__xludf.DUMMYFUNCTION("""COMPUTED_VALUE"""),"KLH")</f>
        <v>KLH</v>
      </c>
    </row>
    <row r="1943">
      <c r="A1943" s="5" t="str">
        <f>IFERROR(__xludf.DUMMYFUNCTION("""COMPUTED_VALUE"""),"XD3-MPC-069")</f>
        <v>XD3-MPC-069</v>
      </c>
      <c r="B1943" s="3" t="str">
        <f>IFERROR(__xludf.DUMMYFUNCTION("""COMPUTED_VALUE"""),"Máy phát cỏ 2 thì")</f>
        <v>Máy phát cỏ 2 thì</v>
      </c>
      <c r="C1943" s="5" t="str">
        <f>IFERROR(__xludf.DUMMYFUNCTION("""COMPUTED_VALUE"""),"XN Chuối DP3")</f>
        <v>XN Chuối DP3</v>
      </c>
      <c r="D1943" s="5" t="str">
        <f>IFERROR(__xludf.DUMMYFUNCTION("""COMPUTED_VALUE"""),"NAGATA")</f>
        <v>NAGATA</v>
      </c>
      <c r="E1943" s="5"/>
      <c r="F1943" s="5"/>
      <c r="G1943" s="5" t="str">
        <f>IFERROR(__xludf.DUMMYFUNCTION("""COMPUTED_VALUE"""),"CG411")</f>
        <v>CG411</v>
      </c>
      <c r="H1943" s="5" t="str">
        <f>IFERROR(__xludf.DUMMYFUNCTION("""COMPUTED_VALUE"""),"1.8HP")</f>
        <v>1.8HP</v>
      </c>
      <c r="I1943" s="5"/>
      <c r="J1943" s="5"/>
      <c r="K1943" s="5"/>
      <c r="L1943" s="5" t="str">
        <f>IFERROR(__xludf.DUMMYFUNCTION("""COMPUTED_VALUE"""),"KLH")</f>
        <v>KLH</v>
      </c>
    </row>
    <row r="1944">
      <c r="A1944" s="5" t="str">
        <f>IFERROR(__xludf.DUMMYFUNCTION("""COMPUTED_VALUE"""),"XD3-MPC-070")</f>
        <v>XD3-MPC-070</v>
      </c>
      <c r="B1944" s="3" t="str">
        <f>IFERROR(__xludf.DUMMYFUNCTION("""COMPUTED_VALUE"""),"Máy phát cỏ 2 thì")</f>
        <v>Máy phát cỏ 2 thì</v>
      </c>
      <c r="C1944" s="5" t="str">
        <f>IFERROR(__xludf.DUMMYFUNCTION("""COMPUTED_VALUE"""),"XN Chuối DP3")</f>
        <v>XN Chuối DP3</v>
      </c>
      <c r="D1944" s="5" t="str">
        <f>IFERROR(__xludf.DUMMYFUNCTION("""COMPUTED_VALUE"""),"NAGATA")</f>
        <v>NAGATA</v>
      </c>
      <c r="E1944" s="5"/>
      <c r="F1944" s="5"/>
      <c r="G1944" s="5" t="str">
        <f>IFERROR(__xludf.DUMMYFUNCTION("""COMPUTED_VALUE"""),"CG411")</f>
        <v>CG411</v>
      </c>
      <c r="H1944" s="5" t="str">
        <f>IFERROR(__xludf.DUMMYFUNCTION("""COMPUTED_VALUE"""),"1.8HP")</f>
        <v>1.8HP</v>
      </c>
      <c r="I1944" s="5"/>
      <c r="J1944" s="5"/>
      <c r="K1944" s="5"/>
      <c r="L1944" s="5" t="str">
        <f>IFERROR(__xludf.DUMMYFUNCTION("""COMPUTED_VALUE"""),"KLH")</f>
        <v>KLH</v>
      </c>
    </row>
    <row r="1945">
      <c r="A1945" s="5" t="str">
        <f>IFERROR(__xludf.DUMMYFUNCTION("""COMPUTED_VALUE"""),"XD3-MPC-071")</f>
        <v>XD3-MPC-071</v>
      </c>
      <c r="B1945" s="3" t="str">
        <f>IFERROR(__xludf.DUMMYFUNCTION("""COMPUTED_VALUE"""),"Máy phát cỏ 2 thì")</f>
        <v>Máy phát cỏ 2 thì</v>
      </c>
      <c r="C1945" s="5" t="str">
        <f>IFERROR(__xludf.DUMMYFUNCTION("""COMPUTED_VALUE"""),"XN Chuối DP3")</f>
        <v>XN Chuối DP3</v>
      </c>
      <c r="D1945" s="5" t="str">
        <f>IFERROR(__xludf.DUMMYFUNCTION("""COMPUTED_VALUE"""),"NAGATA")</f>
        <v>NAGATA</v>
      </c>
      <c r="E1945" s="5"/>
      <c r="F1945" s="5"/>
      <c r="G1945" s="5" t="str">
        <f>IFERROR(__xludf.DUMMYFUNCTION("""COMPUTED_VALUE"""),"CG411")</f>
        <v>CG411</v>
      </c>
      <c r="H1945" s="5" t="str">
        <f>IFERROR(__xludf.DUMMYFUNCTION("""COMPUTED_VALUE"""),"1.8HP")</f>
        <v>1.8HP</v>
      </c>
      <c r="I1945" s="5"/>
      <c r="J1945" s="5"/>
      <c r="K1945" s="5"/>
      <c r="L1945" s="5" t="str">
        <f>IFERROR(__xludf.DUMMYFUNCTION("""COMPUTED_VALUE"""),"KLH")</f>
        <v>KLH</v>
      </c>
    </row>
    <row r="1946">
      <c r="A1946" s="5" t="str">
        <f>IFERROR(__xludf.DUMMYFUNCTION("""COMPUTED_VALUE"""),"XD3-MPC-072")</f>
        <v>XD3-MPC-072</v>
      </c>
      <c r="B1946" s="3" t="str">
        <f>IFERROR(__xludf.DUMMYFUNCTION("""COMPUTED_VALUE"""),"Máy phát cỏ 2 thì")</f>
        <v>Máy phát cỏ 2 thì</v>
      </c>
      <c r="C1946" s="5" t="str">
        <f>IFERROR(__xludf.DUMMYFUNCTION("""COMPUTED_VALUE"""),"XN Chuối DP3")</f>
        <v>XN Chuối DP3</v>
      </c>
      <c r="D1946" s="5" t="str">
        <f>IFERROR(__xludf.DUMMYFUNCTION("""COMPUTED_VALUE"""),"NAGATA")</f>
        <v>NAGATA</v>
      </c>
      <c r="E1946" s="5"/>
      <c r="F1946" s="5"/>
      <c r="G1946" s="5" t="str">
        <f>IFERROR(__xludf.DUMMYFUNCTION("""COMPUTED_VALUE"""),"CG411")</f>
        <v>CG411</v>
      </c>
      <c r="H1946" s="5" t="str">
        <f>IFERROR(__xludf.DUMMYFUNCTION("""COMPUTED_VALUE"""),"1.8HP")</f>
        <v>1.8HP</v>
      </c>
      <c r="I1946" s="5"/>
      <c r="J1946" s="5"/>
      <c r="K1946" s="5"/>
      <c r="L1946" s="5" t="str">
        <f>IFERROR(__xludf.DUMMYFUNCTION("""COMPUTED_VALUE"""),"KLH")</f>
        <v>KLH</v>
      </c>
    </row>
    <row r="1947">
      <c r="A1947" s="5" t="str">
        <f>IFERROR(__xludf.DUMMYFUNCTION("""COMPUTED_VALUE"""),"XD3-MPC-073")</f>
        <v>XD3-MPC-073</v>
      </c>
      <c r="B1947" s="3" t="str">
        <f>IFERROR(__xludf.DUMMYFUNCTION("""COMPUTED_VALUE"""),"Máy phát cỏ 2 thì")</f>
        <v>Máy phát cỏ 2 thì</v>
      </c>
      <c r="C1947" s="5" t="str">
        <f>IFERROR(__xludf.DUMMYFUNCTION("""COMPUTED_VALUE"""),"XN Chuối DP3")</f>
        <v>XN Chuối DP3</v>
      </c>
      <c r="D1947" s="5" t="str">
        <f>IFERROR(__xludf.DUMMYFUNCTION("""COMPUTED_VALUE"""),"NAGATA")</f>
        <v>NAGATA</v>
      </c>
      <c r="E1947" s="5"/>
      <c r="F1947" s="5"/>
      <c r="G1947" s="5" t="str">
        <f>IFERROR(__xludf.DUMMYFUNCTION("""COMPUTED_VALUE"""),"CG411")</f>
        <v>CG411</v>
      </c>
      <c r="H1947" s="5" t="str">
        <f>IFERROR(__xludf.DUMMYFUNCTION("""COMPUTED_VALUE"""),"1.8HP")</f>
        <v>1.8HP</v>
      </c>
      <c r="I1947" s="5"/>
      <c r="J1947" s="5"/>
      <c r="K1947" s="5"/>
      <c r="L1947" s="5" t="str">
        <f>IFERROR(__xludf.DUMMYFUNCTION("""COMPUTED_VALUE"""),"KLH")</f>
        <v>KLH</v>
      </c>
    </row>
    <row r="1948">
      <c r="A1948" s="5" t="str">
        <f>IFERROR(__xludf.DUMMYFUNCTION("""COMPUTED_VALUE"""),"XD3-MPC-074")</f>
        <v>XD3-MPC-074</v>
      </c>
      <c r="B1948" s="3" t="str">
        <f>IFERROR(__xludf.DUMMYFUNCTION("""COMPUTED_VALUE"""),"Máy phát cỏ 2 thì")</f>
        <v>Máy phát cỏ 2 thì</v>
      </c>
      <c r="C1948" s="5" t="str">
        <f>IFERROR(__xludf.DUMMYFUNCTION("""COMPUTED_VALUE"""),"XN Chuối DP3")</f>
        <v>XN Chuối DP3</v>
      </c>
      <c r="D1948" s="5" t="str">
        <f>IFERROR(__xludf.DUMMYFUNCTION("""COMPUTED_VALUE"""),"NAGATA")</f>
        <v>NAGATA</v>
      </c>
      <c r="E1948" s="5"/>
      <c r="F1948" s="5"/>
      <c r="G1948" s="5" t="str">
        <f>IFERROR(__xludf.DUMMYFUNCTION("""COMPUTED_VALUE"""),"CG411")</f>
        <v>CG411</v>
      </c>
      <c r="H1948" s="5" t="str">
        <f>IFERROR(__xludf.DUMMYFUNCTION("""COMPUTED_VALUE"""),"1.8HP")</f>
        <v>1.8HP</v>
      </c>
      <c r="I1948" s="5"/>
      <c r="J1948" s="5"/>
      <c r="K1948" s="5"/>
      <c r="L1948" s="5" t="str">
        <f>IFERROR(__xludf.DUMMYFUNCTION("""COMPUTED_VALUE"""),"KLH")</f>
        <v>KLH</v>
      </c>
    </row>
    <row r="1949">
      <c r="A1949" s="5" t="str">
        <f>IFERROR(__xludf.DUMMYFUNCTION("""COMPUTED_VALUE"""),"XD3-MPC-075")</f>
        <v>XD3-MPC-075</v>
      </c>
      <c r="B1949" s="3" t="str">
        <f>IFERROR(__xludf.DUMMYFUNCTION("""COMPUTED_VALUE"""),"Máy phát cỏ 2 thì")</f>
        <v>Máy phát cỏ 2 thì</v>
      </c>
      <c r="C1949" s="5" t="str">
        <f>IFERROR(__xludf.DUMMYFUNCTION("""COMPUTED_VALUE"""),"XN Chuối DP3")</f>
        <v>XN Chuối DP3</v>
      </c>
      <c r="D1949" s="5" t="str">
        <f>IFERROR(__xludf.DUMMYFUNCTION("""COMPUTED_VALUE"""),"NAGATA")</f>
        <v>NAGATA</v>
      </c>
      <c r="E1949" s="5"/>
      <c r="F1949" s="5"/>
      <c r="G1949" s="5" t="str">
        <f>IFERROR(__xludf.DUMMYFUNCTION("""COMPUTED_VALUE"""),"CG411")</f>
        <v>CG411</v>
      </c>
      <c r="H1949" s="5" t="str">
        <f>IFERROR(__xludf.DUMMYFUNCTION("""COMPUTED_VALUE"""),"1.8HP")</f>
        <v>1.8HP</v>
      </c>
      <c r="I1949" s="5"/>
      <c r="J1949" s="5"/>
      <c r="K1949" s="5"/>
      <c r="L1949" s="5" t="str">
        <f>IFERROR(__xludf.DUMMYFUNCTION("""COMPUTED_VALUE"""),"KLH")</f>
        <v>KLH</v>
      </c>
    </row>
    <row r="1950">
      <c r="A1950" s="5" t="str">
        <f>IFERROR(__xludf.DUMMYFUNCTION("""COMPUTED_VALUE"""),"XD3-MPC-076")</f>
        <v>XD3-MPC-076</v>
      </c>
      <c r="B1950" s="3" t="str">
        <f>IFERROR(__xludf.DUMMYFUNCTION("""COMPUTED_VALUE"""),"Máy phát cỏ 2 thì")</f>
        <v>Máy phát cỏ 2 thì</v>
      </c>
      <c r="C1950" s="5" t="str">
        <f>IFERROR(__xludf.DUMMYFUNCTION("""COMPUTED_VALUE"""),"XN Chuối DP3")</f>
        <v>XN Chuối DP3</v>
      </c>
      <c r="D1950" s="5" t="str">
        <f>IFERROR(__xludf.DUMMYFUNCTION("""COMPUTED_VALUE"""),"NAGATA")</f>
        <v>NAGATA</v>
      </c>
      <c r="E1950" s="5"/>
      <c r="F1950" s="5"/>
      <c r="G1950" s="5" t="str">
        <f>IFERROR(__xludf.DUMMYFUNCTION("""COMPUTED_VALUE"""),"CG411")</f>
        <v>CG411</v>
      </c>
      <c r="H1950" s="5" t="str">
        <f>IFERROR(__xludf.DUMMYFUNCTION("""COMPUTED_VALUE"""),"1.8HP")</f>
        <v>1.8HP</v>
      </c>
      <c r="I1950" s="5"/>
      <c r="J1950" s="5"/>
      <c r="K1950" s="5"/>
      <c r="L1950" s="5" t="str">
        <f>IFERROR(__xludf.DUMMYFUNCTION("""COMPUTED_VALUE"""),"KLH")</f>
        <v>KLH</v>
      </c>
    </row>
    <row r="1951">
      <c r="A1951" s="5" t="str">
        <f>IFERROR(__xludf.DUMMYFUNCTION("""COMPUTED_VALUE"""),"XD3-MPC-077")</f>
        <v>XD3-MPC-077</v>
      </c>
      <c r="B1951" s="3" t="str">
        <f>IFERROR(__xludf.DUMMYFUNCTION("""COMPUTED_VALUE"""),"Máy phát cỏ 2 thì")</f>
        <v>Máy phát cỏ 2 thì</v>
      </c>
      <c r="C1951" s="5" t="str">
        <f>IFERROR(__xludf.DUMMYFUNCTION("""COMPUTED_VALUE"""),"XN Chuối DP3")</f>
        <v>XN Chuối DP3</v>
      </c>
      <c r="D1951" s="5" t="str">
        <f>IFERROR(__xludf.DUMMYFUNCTION("""COMPUTED_VALUE"""),"NAGATA")</f>
        <v>NAGATA</v>
      </c>
      <c r="E1951" s="5"/>
      <c r="F1951" s="5"/>
      <c r="G1951" s="5" t="str">
        <f>IFERROR(__xludf.DUMMYFUNCTION("""COMPUTED_VALUE"""),"CG411")</f>
        <v>CG411</v>
      </c>
      <c r="H1951" s="5" t="str">
        <f>IFERROR(__xludf.DUMMYFUNCTION("""COMPUTED_VALUE"""),"1.8HP")</f>
        <v>1.8HP</v>
      </c>
      <c r="I1951" s="5"/>
      <c r="J1951" s="5"/>
      <c r="K1951" s="5"/>
      <c r="L1951" s="5" t="str">
        <f>IFERROR(__xludf.DUMMYFUNCTION("""COMPUTED_VALUE"""),"KLH")</f>
        <v>KLH</v>
      </c>
    </row>
    <row r="1952">
      <c r="A1952" s="5" t="str">
        <f>IFERROR(__xludf.DUMMYFUNCTION("""COMPUTED_VALUE"""),"XD3-MPC-078")</f>
        <v>XD3-MPC-078</v>
      </c>
      <c r="B1952" s="3" t="str">
        <f>IFERROR(__xludf.DUMMYFUNCTION("""COMPUTED_VALUE"""),"Máy phát cỏ 2 thì")</f>
        <v>Máy phát cỏ 2 thì</v>
      </c>
      <c r="C1952" s="5" t="str">
        <f>IFERROR(__xludf.DUMMYFUNCTION("""COMPUTED_VALUE"""),"XN Chuối DP3")</f>
        <v>XN Chuối DP3</v>
      </c>
      <c r="D1952" s="5" t="str">
        <f>IFERROR(__xludf.DUMMYFUNCTION("""COMPUTED_VALUE"""),"NAGATA")</f>
        <v>NAGATA</v>
      </c>
      <c r="E1952" s="5"/>
      <c r="F1952" s="5"/>
      <c r="G1952" s="5" t="str">
        <f>IFERROR(__xludf.DUMMYFUNCTION("""COMPUTED_VALUE"""),"CG411")</f>
        <v>CG411</v>
      </c>
      <c r="H1952" s="5" t="str">
        <f>IFERROR(__xludf.DUMMYFUNCTION("""COMPUTED_VALUE"""),"1.8HP")</f>
        <v>1.8HP</v>
      </c>
      <c r="I1952" s="5"/>
      <c r="J1952" s="5"/>
      <c r="K1952" s="5"/>
      <c r="L1952" s="5" t="str">
        <f>IFERROR(__xludf.DUMMYFUNCTION("""COMPUTED_VALUE"""),"KLH")</f>
        <v>KLH</v>
      </c>
    </row>
    <row r="1953">
      <c r="A1953" s="5" t="str">
        <f>IFERROR(__xludf.DUMMYFUNCTION("""COMPUTED_VALUE"""),"XD3-MPC-079")</f>
        <v>XD3-MPC-079</v>
      </c>
      <c r="B1953" s="3" t="str">
        <f>IFERROR(__xludf.DUMMYFUNCTION("""COMPUTED_VALUE"""),"Máy phát cỏ 2 thì")</f>
        <v>Máy phát cỏ 2 thì</v>
      </c>
      <c r="C1953" s="5" t="str">
        <f>IFERROR(__xludf.DUMMYFUNCTION("""COMPUTED_VALUE"""),"XN Chuối DP3")</f>
        <v>XN Chuối DP3</v>
      </c>
      <c r="D1953" s="5" t="str">
        <f>IFERROR(__xludf.DUMMYFUNCTION("""COMPUTED_VALUE"""),"NAGATA")</f>
        <v>NAGATA</v>
      </c>
      <c r="E1953" s="5"/>
      <c r="F1953" s="5"/>
      <c r="G1953" s="5" t="str">
        <f>IFERROR(__xludf.DUMMYFUNCTION("""COMPUTED_VALUE"""),"CG411")</f>
        <v>CG411</v>
      </c>
      <c r="H1953" s="5" t="str">
        <f>IFERROR(__xludf.DUMMYFUNCTION("""COMPUTED_VALUE"""),"1.8HP")</f>
        <v>1.8HP</v>
      </c>
      <c r="I1953" s="5"/>
      <c r="J1953" s="5"/>
      <c r="K1953" s="5"/>
      <c r="L1953" s="5" t="str">
        <f>IFERROR(__xludf.DUMMYFUNCTION("""COMPUTED_VALUE"""),"KLH")</f>
        <v>KLH</v>
      </c>
    </row>
    <row r="1954">
      <c r="A1954" s="5" t="str">
        <f>IFERROR(__xludf.DUMMYFUNCTION("""COMPUTED_VALUE"""),"XD3-MPC-080")</f>
        <v>XD3-MPC-080</v>
      </c>
      <c r="B1954" s="3" t="str">
        <f>IFERROR(__xludf.DUMMYFUNCTION("""COMPUTED_VALUE"""),"Máy phát cỏ 2 thì")</f>
        <v>Máy phát cỏ 2 thì</v>
      </c>
      <c r="C1954" s="5" t="str">
        <f>IFERROR(__xludf.DUMMYFUNCTION("""COMPUTED_VALUE"""),"XN Chuối DP3")</f>
        <v>XN Chuối DP3</v>
      </c>
      <c r="D1954" s="5" t="str">
        <f>IFERROR(__xludf.DUMMYFUNCTION("""COMPUTED_VALUE"""),"NAGATA")</f>
        <v>NAGATA</v>
      </c>
      <c r="E1954" s="5"/>
      <c r="F1954" s="5"/>
      <c r="G1954" s="5" t="str">
        <f>IFERROR(__xludf.DUMMYFUNCTION("""COMPUTED_VALUE"""),"CG411")</f>
        <v>CG411</v>
      </c>
      <c r="H1954" s="5" t="str">
        <f>IFERROR(__xludf.DUMMYFUNCTION("""COMPUTED_VALUE"""),"1.8HP")</f>
        <v>1.8HP</v>
      </c>
      <c r="I1954" s="5"/>
      <c r="J1954" s="5"/>
      <c r="K1954" s="5"/>
      <c r="L1954" s="5" t="str">
        <f>IFERROR(__xludf.DUMMYFUNCTION("""COMPUTED_VALUE"""),"KLH")</f>
        <v>KLH</v>
      </c>
    </row>
    <row r="1955">
      <c r="A1955" s="5" t="str">
        <f>IFERROR(__xludf.DUMMYFUNCTION("""COMPUTED_VALUE"""),"XD3-MPC-081")</f>
        <v>XD3-MPC-081</v>
      </c>
      <c r="B1955" s="3" t="str">
        <f>IFERROR(__xludf.DUMMYFUNCTION("""COMPUTED_VALUE"""),"Máy phát cỏ 2 thì")</f>
        <v>Máy phát cỏ 2 thì</v>
      </c>
      <c r="C1955" s="5" t="str">
        <f>IFERROR(__xludf.DUMMYFUNCTION("""COMPUTED_VALUE"""),"XN Chuối DP3")</f>
        <v>XN Chuối DP3</v>
      </c>
      <c r="D1955" s="5" t="str">
        <f>IFERROR(__xludf.DUMMYFUNCTION("""COMPUTED_VALUE"""),"NAGATA")</f>
        <v>NAGATA</v>
      </c>
      <c r="E1955" s="5"/>
      <c r="F1955" s="5"/>
      <c r="G1955" s="5" t="str">
        <f>IFERROR(__xludf.DUMMYFUNCTION("""COMPUTED_VALUE"""),"CG411")</f>
        <v>CG411</v>
      </c>
      <c r="H1955" s="5" t="str">
        <f>IFERROR(__xludf.DUMMYFUNCTION("""COMPUTED_VALUE"""),"1.8HP")</f>
        <v>1.8HP</v>
      </c>
      <c r="I1955" s="5"/>
      <c r="J1955" s="5"/>
      <c r="K1955" s="5"/>
      <c r="L1955" s="5" t="str">
        <f>IFERROR(__xludf.DUMMYFUNCTION("""COMPUTED_VALUE"""),"KLH")</f>
        <v>KLH</v>
      </c>
    </row>
    <row r="1956">
      <c r="A1956" s="5" t="str">
        <f>IFERROR(__xludf.DUMMYFUNCTION("""COMPUTED_VALUE"""),"XD3-MPC-082")</f>
        <v>XD3-MPC-082</v>
      </c>
      <c r="B1956" s="3" t="str">
        <f>IFERROR(__xludf.DUMMYFUNCTION("""COMPUTED_VALUE"""),"Máy phát cỏ 2 thì")</f>
        <v>Máy phát cỏ 2 thì</v>
      </c>
      <c r="C1956" s="5" t="str">
        <f>IFERROR(__xludf.DUMMYFUNCTION("""COMPUTED_VALUE"""),"XN Chuối DP3")</f>
        <v>XN Chuối DP3</v>
      </c>
      <c r="D1956" s="5" t="str">
        <f>IFERROR(__xludf.DUMMYFUNCTION("""COMPUTED_VALUE"""),"NAGATA")</f>
        <v>NAGATA</v>
      </c>
      <c r="E1956" s="5"/>
      <c r="F1956" s="5"/>
      <c r="G1956" s="5" t="str">
        <f>IFERROR(__xludf.DUMMYFUNCTION("""COMPUTED_VALUE"""),"CG411")</f>
        <v>CG411</v>
      </c>
      <c r="H1956" s="5" t="str">
        <f>IFERROR(__xludf.DUMMYFUNCTION("""COMPUTED_VALUE"""),"1.8HP")</f>
        <v>1.8HP</v>
      </c>
      <c r="I1956" s="5"/>
      <c r="J1956" s="5"/>
      <c r="K1956" s="5"/>
      <c r="L1956" s="5" t="str">
        <f>IFERROR(__xludf.DUMMYFUNCTION("""COMPUTED_VALUE"""),"KLH")</f>
        <v>KLH</v>
      </c>
    </row>
    <row r="1957">
      <c r="A1957" s="5" t="str">
        <f>IFERROR(__xludf.DUMMYFUNCTION("""COMPUTED_VALUE"""),"XD3-MPC-083")</f>
        <v>XD3-MPC-083</v>
      </c>
      <c r="B1957" s="3" t="str">
        <f>IFERROR(__xludf.DUMMYFUNCTION("""COMPUTED_VALUE"""),"Máy phát cỏ 2 thì")</f>
        <v>Máy phát cỏ 2 thì</v>
      </c>
      <c r="C1957" s="5" t="str">
        <f>IFERROR(__xludf.DUMMYFUNCTION("""COMPUTED_VALUE"""),"XN Chuối DP3")</f>
        <v>XN Chuối DP3</v>
      </c>
      <c r="D1957" s="5" t="str">
        <f>IFERROR(__xludf.DUMMYFUNCTION("""COMPUTED_VALUE"""),"NAGATA")</f>
        <v>NAGATA</v>
      </c>
      <c r="E1957" s="5"/>
      <c r="F1957" s="5"/>
      <c r="G1957" s="5" t="str">
        <f>IFERROR(__xludf.DUMMYFUNCTION("""COMPUTED_VALUE"""),"CG411")</f>
        <v>CG411</v>
      </c>
      <c r="H1957" s="5" t="str">
        <f>IFERROR(__xludf.DUMMYFUNCTION("""COMPUTED_VALUE"""),"1.8HP")</f>
        <v>1.8HP</v>
      </c>
      <c r="I1957" s="5"/>
      <c r="J1957" s="5"/>
      <c r="K1957" s="5"/>
      <c r="L1957" s="5" t="str">
        <f>IFERROR(__xludf.DUMMYFUNCTION("""COMPUTED_VALUE"""),"KLH")</f>
        <v>KLH</v>
      </c>
    </row>
    <row r="1958">
      <c r="A1958" s="5" t="str">
        <f>IFERROR(__xludf.DUMMYFUNCTION("""COMPUTED_VALUE"""),"XD3-MPC-084")</f>
        <v>XD3-MPC-084</v>
      </c>
      <c r="B1958" s="3" t="str">
        <f>IFERROR(__xludf.DUMMYFUNCTION("""COMPUTED_VALUE"""),"Máy phát cỏ 2 thì")</f>
        <v>Máy phát cỏ 2 thì</v>
      </c>
      <c r="C1958" s="5" t="str">
        <f>IFERROR(__xludf.DUMMYFUNCTION("""COMPUTED_VALUE"""),"XN Chuối DP3")</f>
        <v>XN Chuối DP3</v>
      </c>
      <c r="D1958" s="5" t="str">
        <f>IFERROR(__xludf.DUMMYFUNCTION("""COMPUTED_VALUE"""),"NAGATA")</f>
        <v>NAGATA</v>
      </c>
      <c r="E1958" s="5"/>
      <c r="F1958" s="5"/>
      <c r="G1958" s="5" t="str">
        <f>IFERROR(__xludf.DUMMYFUNCTION("""COMPUTED_VALUE"""),"CG411")</f>
        <v>CG411</v>
      </c>
      <c r="H1958" s="5" t="str">
        <f>IFERROR(__xludf.DUMMYFUNCTION("""COMPUTED_VALUE"""),"1.8HP")</f>
        <v>1.8HP</v>
      </c>
      <c r="I1958" s="5"/>
      <c r="J1958" s="5"/>
      <c r="K1958" s="5"/>
      <c r="L1958" s="5" t="str">
        <f>IFERROR(__xludf.DUMMYFUNCTION("""COMPUTED_VALUE"""),"KLH")</f>
        <v>KLH</v>
      </c>
    </row>
    <row r="1959">
      <c r="A1959" s="5" t="str">
        <f>IFERROR(__xludf.DUMMYFUNCTION("""COMPUTED_VALUE"""),"XD3-MPC-085")</f>
        <v>XD3-MPC-085</v>
      </c>
      <c r="B1959" s="3" t="str">
        <f>IFERROR(__xludf.DUMMYFUNCTION("""COMPUTED_VALUE"""),"Máy phát cỏ 4 thì")</f>
        <v>Máy phát cỏ 4 thì</v>
      </c>
      <c r="C1959" s="5" t="str">
        <f>IFERROR(__xludf.DUMMYFUNCTION("""COMPUTED_VALUE"""),"XN Chuối DP3")</f>
        <v>XN Chuối DP3</v>
      </c>
      <c r="D1959" s="5" t="str">
        <f>IFERROR(__xludf.DUMMYFUNCTION("""COMPUTED_VALUE"""),"HONDA")</f>
        <v>HONDA</v>
      </c>
      <c r="E1959" s="5"/>
      <c r="F1959" s="5"/>
      <c r="G1959" s="5" t="str">
        <f>IFERROR(__xludf.DUMMYFUNCTION("""COMPUTED_VALUE"""),"GX35")</f>
        <v>GX35</v>
      </c>
      <c r="H1959" s="5" t="str">
        <f>IFERROR(__xludf.DUMMYFUNCTION("""COMPUTED_VALUE"""),"1.6HP")</f>
        <v>1.6HP</v>
      </c>
      <c r="I1959" s="5" t="str">
        <f>IFERROR(__xludf.DUMMYFUNCTION("""COMPUTED_VALUE"""),"GCAMT-7784135")</f>
        <v>GCAMT-7784135</v>
      </c>
      <c r="J1959" s="5"/>
      <c r="K1959" s="5"/>
      <c r="L1959" s="5" t="str">
        <f>IFERROR(__xludf.DUMMYFUNCTION("""COMPUTED_VALUE"""),"KLH")</f>
        <v>KLH</v>
      </c>
    </row>
    <row r="1960">
      <c r="A1960" s="5" t="str">
        <f>IFERROR(__xludf.DUMMYFUNCTION("""COMPUTED_VALUE"""),"XD3-MPC-086")</f>
        <v>XD3-MPC-086</v>
      </c>
      <c r="B1960" s="3" t="str">
        <f>IFERROR(__xludf.DUMMYFUNCTION("""COMPUTED_VALUE"""),"Máy phát cỏ 4 thì")</f>
        <v>Máy phát cỏ 4 thì</v>
      </c>
      <c r="C1960" s="5" t="str">
        <f>IFERROR(__xludf.DUMMYFUNCTION("""COMPUTED_VALUE"""),"XN Chuối DP3")</f>
        <v>XN Chuối DP3</v>
      </c>
      <c r="D1960" s="5" t="str">
        <f>IFERROR(__xludf.DUMMYFUNCTION("""COMPUTED_VALUE"""),"HONDA")</f>
        <v>HONDA</v>
      </c>
      <c r="E1960" s="5"/>
      <c r="F1960" s="5"/>
      <c r="G1960" s="5" t="str">
        <f>IFERROR(__xludf.DUMMYFUNCTION("""COMPUTED_VALUE"""),"GX35")</f>
        <v>GX35</v>
      </c>
      <c r="H1960" s="5" t="str">
        <f>IFERROR(__xludf.DUMMYFUNCTION("""COMPUTED_VALUE"""),"1.6HP")</f>
        <v>1.6HP</v>
      </c>
      <c r="I1960" s="5" t="str">
        <f>IFERROR(__xludf.DUMMYFUNCTION("""COMPUTED_VALUE"""),"GCAMT-7784268")</f>
        <v>GCAMT-7784268</v>
      </c>
      <c r="J1960" s="5"/>
      <c r="K1960" s="5"/>
      <c r="L1960" s="5" t="str">
        <f>IFERROR(__xludf.DUMMYFUNCTION("""COMPUTED_VALUE"""),"KLH")</f>
        <v>KLH</v>
      </c>
    </row>
    <row r="1961">
      <c r="A1961" s="5" t="str">
        <f>IFERROR(__xludf.DUMMYFUNCTION("""COMPUTED_VALUE"""),"XD3-MPC-087")</f>
        <v>XD3-MPC-087</v>
      </c>
      <c r="B1961" s="3" t="str">
        <f>IFERROR(__xludf.DUMMYFUNCTION("""COMPUTED_VALUE"""),"Máy phát cỏ 4 thì")</f>
        <v>Máy phát cỏ 4 thì</v>
      </c>
      <c r="C1961" s="5" t="str">
        <f>IFERROR(__xludf.DUMMYFUNCTION("""COMPUTED_VALUE"""),"XN Chuối DP3")</f>
        <v>XN Chuối DP3</v>
      </c>
      <c r="D1961" s="5" t="str">
        <f>IFERROR(__xludf.DUMMYFUNCTION("""COMPUTED_VALUE"""),"HONDA")</f>
        <v>HONDA</v>
      </c>
      <c r="E1961" s="5"/>
      <c r="F1961" s="5"/>
      <c r="G1961" s="5" t="str">
        <f>IFERROR(__xludf.DUMMYFUNCTION("""COMPUTED_VALUE"""),"GX35")</f>
        <v>GX35</v>
      </c>
      <c r="H1961" s="5" t="str">
        <f>IFERROR(__xludf.DUMMYFUNCTION("""COMPUTED_VALUE"""),"1.6HP")</f>
        <v>1.6HP</v>
      </c>
      <c r="I1961" s="5" t="str">
        <f>IFERROR(__xludf.DUMMYFUNCTION("""COMPUTED_VALUE"""),"GCAMT-7783570")</f>
        <v>GCAMT-7783570</v>
      </c>
      <c r="J1961" s="5"/>
      <c r="K1961" s="5"/>
      <c r="L1961" s="5" t="str">
        <f>IFERROR(__xludf.DUMMYFUNCTION("""COMPUTED_VALUE"""),"KLH")</f>
        <v>KLH</v>
      </c>
    </row>
    <row r="1962">
      <c r="A1962" s="5" t="str">
        <f>IFERROR(__xludf.DUMMYFUNCTION("""COMPUTED_VALUE"""),"XD3-MPC-088")</f>
        <v>XD3-MPC-088</v>
      </c>
      <c r="B1962" s="3" t="str">
        <f>IFERROR(__xludf.DUMMYFUNCTION("""COMPUTED_VALUE"""),"Máy phát cỏ 4 thì")</f>
        <v>Máy phát cỏ 4 thì</v>
      </c>
      <c r="C1962" s="5" t="str">
        <f>IFERROR(__xludf.DUMMYFUNCTION("""COMPUTED_VALUE"""),"XN Chuối DP3")</f>
        <v>XN Chuối DP3</v>
      </c>
      <c r="D1962" s="5" t="str">
        <f>IFERROR(__xludf.DUMMYFUNCTION("""COMPUTED_VALUE"""),"HONDA")</f>
        <v>HONDA</v>
      </c>
      <c r="E1962" s="5"/>
      <c r="F1962" s="5"/>
      <c r="G1962" s="5" t="str">
        <f>IFERROR(__xludf.DUMMYFUNCTION("""COMPUTED_VALUE"""),"GX35")</f>
        <v>GX35</v>
      </c>
      <c r="H1962" s="5" t="str">
        <f>IFERROR(__xludf.DUMMYFUNCTION("""COMPUTED_VALUE"""),"1.6HP")</f>
        <v>1.6HP</v>
      </c>
      <c r="I1962" s="5" t="str">
        <f>IFERROR(__xludf.DUMMYFUNCTION("""COMPUTED_VALUE"""),"GCAMT-7782021")</f>
        <v>GCAMT-7782021</v>
      </c>
      <c r="J1962" s="5"/>
      <c r="K1962" s="5"/>
      <c r="L1962" s="5" t="str">
        <f>IFERROR(__xludf.DUMMYFUNCTION("""COMPUTED_VALUE"""),"KLH")</f>
        <v>KLH</v>
      </c>
    </row>
    <row r="1963">
      <c r="A1963" s="5" t="str">
        <f>IFERROR(__xludf.DUMMYFUNCTION("""COMPUTED_VALUE"""),"XD3-MPC-089")</f>
        <v>XD3-MPC-089</v>
      </c>
      <c r="B1963" s="3" t="str">
        <f>IFERROR(__xludf.DUMMYFUNCTION("""COMPUTED_VALUE"""),"Máy phát cỏ 4 thì")</f>
        <v>Máy phát cỏ 4 thì</v>
      </c>
      <c r="C1963" s="5" t="str">
        <f>IFERROR(__xludf.DUMMYFUNCTION("""COMPUTED_VALUE"""),"XN Chuối DP3")</f>
        <v>XN Chuối DP3</v>
      </c>
      <c r="D1963" s="5" t="str">
        <f>IFERROR(__xludf.DUMMYFUNCTION("""COMPUTED_VALUE"""),"HONDA")</f>
        <v>HONDA</v>
      </c>
      <c r="E1963" s="5"/>
      <c r="F1963" s="5"/>
      <c r="G1963" s="5" t="str">
        <f>IFERROR(__xludf.DUMMYFUNCTION("""COMPUTED_VALUE"""),"GX35")</f>
        <v>GX35</v>
      </c>
      <c r="H1963" s="5" t="str">
        <f>IFERROR(__xludf.DUMMYFUNCTION("""COMPUTED_VALUE"""),"1.6HP")</f>
        <v>1.6HP</v>
      </c>
      <c r="I1963" s="5" t="str">
        <f>IFERROR(__xludf.DUMMYFUNCTION("""COMPUTED_VALUE"""),"GCAMT-7768188")</f>
        <v>GCAMT-7768188</v>
      </c>
      <c r="J1963" s="5"/>
      <c r="K1963" s="5"/>
      <c r="L1963" s="5" t="str">
        <f>IFERROR(__xludf.DUMMYFUNCTION("""COMPUTED_VALUE"""),"KLH")</f>
        <v>KLH</v>
      </c>
    </row>
    <row r="1964">
      <c r="A1964" s="5" t="str">
        <f>IFERROR(__xludf.DUMMYFUNCTION("""COMPUTED_VALUE"""),"XD3-MPC-090")</f>
        <v>XD3-MPC-090</v>
      </c>
      <c r="B1964" s="3" t="str">
        <f>IFERROR(__xludf.DUMMYFUNCTION("""COMPUTED_VALUE"""),"Máy phát cỏ 4 thì")</f>
        <v>Máy phát cỏ 4 thì</v>
      </c>
      <c r="C1964" s="5" t="str">
        <f>IFERROR(__xludf.DUMMYFUNCTION("""COMPUTED_VALUE"""),"XN Chuối DP3")</f>
        <v>XN Chuối DP3</v>
      </c>
      <c r="D1964" s="5" t="str">
        <f>IFERROR(__xludf.DUMMYFUNCTION("""COMPUTED_VALUE"""),"HONDA")</f>
        <v>HONDA</v>
      </c>
      <c r="E1964" s="5"/>
      <c r="F1964" s="5"/>
      <c r="G1964" s="5" t="str">
        <f>IFERROR(__xludf.DUMMYFUNCTION("""COMPUTED_VALUE"""),"GX35")</f>
        <v>GX35</v>
      </c>
      <c r="H1964" s="5" t="str">
        <f>IFERROR(__xludf.DUMMYFUNCTION("""COMPUTED_VALUE"""),"1.6HP")</f>
        <v>1.6HP</v>
      </c>
      <c r="I1964" s="5" t="str">
        <f>IFERROR(__xludf.DUMMYFUNCTION("""COMPUTED_VALUE"""),"GCAMT-7767017")</f>
        <v>GCAMT-7767017</v>
      </c>
      <c r="J1964" s="5"/>
      <c r="K1964" s="5"/>
      <c r="L1964" s="5" t="str">
        <f>IFERROR(__xludf.DUMMYFUNCTION("""COMPUTED_VALUE"""),"KLH")</f>
        <v>KLH</v>
      </c>
    </row>
    <row r="1965">
      <c r="A1965" s="5" t="str">
        <f>IFERROR(__xludf.DUMMYFUNCTION("""COMPUTED_VALUE"""),"XD3-MPC-091")</f>
        <v>XD3-MPC-091</v>
      </c>
      <c r="B1965" s="3" t="str">
        <f>IFERROR(__xludf.DUMMYFUNCTION("""COMPUTED_VALUE"""),"Máy phát cỏ 4 thì")</f>
        <v>Máy phát cỏ 4 thì</v>
      </c>
      <c r="C1965" s="5" t="str">
        <f>IFERROR(__xludf.DUMMYFUNCTION("""COMPUTED_VALUE"""),"XN Chuối DP3")</f>
        <v>XN Chuối DP3</v>
      </c>
      <c r="D1965" s="5" t="str">
        <f>IFERROR(__xludf.DUMMYFUNCTION("""COMPUTED_VALUE"""),"HONDA")</f>
        <v>HONDA</v>
      </c>
      <c r="E1965" s="5"/>
      <c r="F1965" s="5"/>
      <c r="G1965" s="5" t="str">
        <f>IFERROR(__xludf.DUMMYFUNCTION("""COMPUTED_VALUE"""),"GX35")</f>
        <v>GX35</v>
      </c>
      <c r="H1965" s="5" t="str">
        <f>IFERROR(__xludf.DUMMYFUNCTION("""COMPUTED_VALUE"""),"1.6HP")</f>
        <v>1.6HP</v>
      </c>
      <c r="I1965" s="5" t="str">
        <f>IFERROR(__xludf.DUMMYFUNCTION("""COMPUTED_VALUE"""),"GCAMT-7783525")</f>
        <v>GCAMT-7783525</v>
      </c>
      <c r="J1965" s="5"/>
      <c r="K1965" s="5"/>
      <c r="L1965" s="5" t="str">
        <f>IFERROR(__xludf.DUMMYFUNCTION("""COMPUTED_VALUE"""),"KLH")</f>
        <v>KLH</v>
      </c>
    </row>
    <row r="1966">
      <c r="A1966" s="5" t="str">
        <f>IFERROR(__xludf.DUMMYFUNCTION("""COMPUTED_VALUE"""),"XD3-MPC-092")</f>
        <v>XD3-MPC-092</v>
      </c>
      <c r="B1966" s="3" t="str">
        <f>IFERROR(__xludf.DUMMYFUNCTION("""COMPUTED_VALUE"""),"Máy phát cỏ 4 thì")</f>
        <v>Máy phát cỏ 4 thì</v>
      </c>
      <c r="C1966" s="5" t="str">
        <f>IFERROR(__xludf.DUMMYFUNCTION("""COMPUTED_VALUE"""),"XN Chuối DP3")</f>
        <v>XN Chuối DP3</v>
      </c>
      <c r="D1966" s="5" t="str">
        <f>IFERROR(__xludf.DUMMYFUNCTION("""COMPUTED_VALUE"""),"HONDA")</f>
        <v>HONDA</v>
      </c>
      <c r="E1966" s="5"/>
      <c r="F1966" s="5"/>
      <c r="G1966" s="5" t="str">
        <f>IFERROR(__xludf.DUMMYFUNCTION("""COMPUTED_VALUE"""),"GX35")</f>
        <v>GX35</v>
      </c>
      <c r="H1966" s="5" t="str">
        <f>IFERROR(__xludf.DUMMYFUNCTION("""COMPUTED_VALUE"""),"1.6HP")</f>
        <v>1.6HP</v>
      </c>
      <c r="I1966" s="5" t="str">
        <f>IFERROR(__xludf.DUMMYFUNCTION("""COMPUTED_VALUE"""),"GCAMT-7811396")</f>
        <v>GCAMT-7811396</v>
      </c>
      <c r="J1966" s="5"/>
      <c r="K1966" s="5"/>
      <c r="L1966" s="5" t="str">
        <f>IFERROR(__xludf.DUMMYFUNCTION("""COMPUTED_VALUE"""),"KLH")</f>
        <v>KLH</v>
      </c>
    </row>
    <row r="1967">
      <c r="A1967" s="5" t="str">
        <f>IFERROR(__xludf.DUMMYFUNCTION("""COMPUTED_VALUE"""),"XD3-MPC-093")</f>
        <v>XD3-MPC-093</v>
      </c>
      <c r="B1967" s="3" t="str">
        <f>IFERROR(__xludf.DUMMYFUNCTION("""COMPUTED_VALUE"""),"Máy phát cỏ 4 thì")</f>
        <v>Máy phát cỏ 4 thì</v>
      </c>
      <c r="C1967" s="5" t="str">
        <f>IFERROR(__xludf.DUMMYFUNCTION("""COMPUTED_VALUE"""),"XN Chuối DP3")</f>
        <v>XN Chuối DP3</v>
      </c>
      <c r="D1967" s="5" t="str">
        <f>IFERROR(__xludf.DUMMYFUNCTION("""COMPUTED_VALUE"""),"HONDA")</f>
        <v>HONDA</v>
      </c>
      <c r="E1967" s="5"/>
      <c r="F1967" s="5"/>
      <c r="G1967" s="5" t="str">
        <f>IFERROR(__xludf.DUMMYFUNCTION("""COMPUTED_VALUE"""),"GX35")</f>
        <v>GX35</v>
      </c>
      <c r="H1967" s="5" t="str">
        <f>IFERROR(__xludf.DUMMYFUNCTION("""COMPUTED_VALUE"""),"1.6HP")</f>
        <v>1.6HP</v>
      </c>
      <c r="I1967" s="5" t="str">
        <f>IFERROR(__xludf.DUMMYFUNCTION("""COMPUTED_VALUE"""),"GCAMT-7782003")</f>
        <v>GCAMT-7782003</v>
      </c>
      <c r="J1967" s="5"/>
      <c r="K1967" s="5"/>
      <c r="L1967" s="5" t="str">
        <f>IFERROR(__xludf.DUMMYFUNCTION("""COMPUTED_VALUE"""),"KLH")</f>
        <v>KLH</v>
      </c>
    </row>
    <row r="1968">
      <c r="A1968" s="5" t="str">
        <f>IFERROR(__xludf.DUMMYFUNCTION("""COMPUTED_VALUE"""),"XD3-MPC-094")</f>
        <v>XD3-MPC-094</v>
      </c>
      <c r="B1968" s="3" t="str">
        <f>IFERROR(__xludf.DUMMYFUNCTION("""COMPUTED_VALUE"""),"Máy phát cỏ 4 thì")</f>
        <v>Máy phát cỏ 4 thì</v>
      </c>
      <c r="C1968" s="5" t="str">
        <f>IFERROR(__xludf.DUMMYFUNCTION("""COMPUTED_VALUE"""),"XN Chuối DP3")</f>
        <v>XN Chuối DP3</v>
      </c>
      <c r="D1968" s="5" t="str">
        <f>IFERROR(__xludf.DUMMYFUNCTION("""COMPUTED_VALUE"""),"HONDA")</f>
        <v>HONDA</v>
      </c>
      <c r="E1968" s="5"/>
      <c r="F1968" s="5"/>
      <c r="G1968" s="5" t="str">
        <f>IFERROR(__xludf.DUMMYFUNCTION("""COMPUTED_VALUE"""),"GX35")</f>
        <v>GX35</v>
      </c>
      <c r="H1968" s="5" t="str">
        <f>IFERROR(__xludf.DUMMYFUNCTION("""COMPUTED_VALUE"""),"1.6HP")</f>
        <v>1.6HP</v>
      </c>
      <c r="I1968" s="5" t="str">
        <f>IFERROR(__xludf.DUMMYFUNCTION("""COMPUTED_VALUE"""),"GCAMT-7782005")</f>
        <v>GCAMT-7782005</v>
      </c>
      <c r="J1968" s="5"/>
      <c r="K1968" s="5"/>
      <c r="L1968" s="5" t="str">
        <f>IFERROR(__xludf.DUMMYFUNCTION("""COMPUTED_VALUE"""),"KLH")</f>
        <v>KLH</v>
      </c>
    </row>
    <row r="1969">
      <c r="A1969" s="5" t="str">
        <f>IFERROR(__xludf.DUMMYFUNCTION("""COMPUTED_VALUE"""),"XD3-MPC-095")</f>
        <v>XD3-MPC-095</v>
      </c>
      <c r="B1969" s="3" t="str">
        <f>IFERROR(__xludf.DUMMYFUNCTION("""COMPUTED_VALUE"""),"Máy phát cỏ 4 thì")</f>
        <v>Máy phát cỏ 4 thì</v>
      </c>
      <c r="C1969" s="5" t="str">
        <f>IFERROR(__xludf.DUMMYFUNCTION("""COMPUTED_VALUE"""),"XN Chuối DP3")</f>
        <v>XN Chuối DP3</v>
      </c>
      <c r="D1969" s="5" t="str">
        <f>IFERROR(__xludf.DUMMYFUNCTION("""COMPUTED_VALUE"""),"HONDA")</f>
        <v>HONDA</v>
      </c>
      <c r="E1969" s="5"/>
      <c r="F1969" s="5"/>
      <c r="G1969" s="5" t="str">
        <f>IFERROR(__xludf.DUMMYFUNCTION("""COMPUTED_VALUE"""),"GX35")</f>
        <v>GX35</v>
      </c>
      <c r="H1969" s="5" t="str">
        <f>IFERROR(__xludf.DUMMYFUNCTION("""COMPUTED_VALUE"""),"1.6HP")</f>
        <v>1.6HP</v>
      </c>
      <c r="I1969" s="5" t="str">
        <f>IFERROR(__xludf.DUMMYFUNCTION("""COMPUTED_VALUE"""),"GCAMT-7783544")</f>
        <v>GCAMT-7783544</v>
      </c>
      <c r="J1969" s="5"/>
      <c r="K1969" s="5"/>
      <c r="L1969" s="5" t="str">
        <f>IFERROR(__xludf.DUMMYFUNCTION("""COMPUTED_VALUE"""),"KLH")</f>
        <v>KLH</v>
      </c>
    </row>
    <row r="1970">
      <c r="A1970" s="5" t="str">
        <f>IFERROR(__xludf.DUMMYFUNCTION("""COMPUTED_VALUE"""),"NT XOÀI DP")</f>
        <v>NT XOÀI DP</v>
      </c>
      <c r="B1970" s="3"/>
      <c r="C1970" s="5"/>
      <c r="D1970" s="5"/>
      <c r="E1970" s="5"/>
      <c r="F1970" s="5"/>
      <c r="G1970" s="5"/>
      <c r="H1970" s="5"/>
      <c r="I1970" s="5"/>
      <c r="J1970" s="5"/>
      <c r="K1970" s="5"/>
      <c r="L1970" s="5" t="str">
        <f>IFERROR(__xludf.DUMMYFUNCTION("""COMPUTED_VALUE"""),"KLH")</f>
        <v>KLH</v>
      </c>
    </row>
    <row r="1971">
      <c r="A1971" s="5" t="str">
        <f>IFERROR(__xludf.DUMMYFUNCTION("""COMPUTED_VALUE"""),"XXD-MPC-009")</f>
        <v>XXD-MPC-009</v>
      </c>
      <c r="B1971" s="3" t="str">
        <f>IFERROR(__xludf.DUMMYFUNCTION("""COMPUTED_VALUE"""),"Máy phát cỏ 4 thì")</f>
        <v>Máy phát cỏ 4 thì</v>
      </c>
      <c r="C1971" s="5" t="str">
        <f>IFERROR(__xludf.DUMMYFUNCTION("""COMPUTED_VALUE"""),"Xoài DP")</f>
        <v>Xoài DP</v>
      </c>
      <c r="D1971" s="5" t="str">
        <f>IFERROR(__xludf.DUMMYFUNCTION("""COMPUTED_VALUE"""),"HINOTA")</f>
        <v>HINOTA</v>
      </c>
      <c r="E1971" s="5" t="str">
        <f>IFERROR(__xludf.DUMMYFUNCTION("""COMPUTED_VALUE"""),"Trung Quốc")</f>
        <v>Trung Quốc</v>
      </c>
      <c r="F1971" s="5"/>
      <c r="G1971" s="5" t="str">
        <f>IFERROR(__xludf.DUMMYFUNCTION("""COMPUTED_VALUE"""),"CG435")</f>
        <v>CG435</v>
      </c>
      <c r="H1971" s="5" t="str">
        <f>IFERROR(__xludf.DUMMYFUNCTION("""COMPUTED_VALUE"""),"1.2HP")</f>
        <v>1.2HP</v>
      </c>
      <c r="I1971" s="5" t="str">
        <f>IFERROR(__xludf.DUMMYFUNCTION("""COMPUTED_VALUE"""),"220317")</f>
        <v>220317</v>
      </c>
      <c r="J1971" s="5"/>
      <c r="K1971" s="5">
        <f>IFERROR(__xludf.DUMMYFUNCTION("""COMPUTED_VALUE"""),0.5)</f>
        <v>0.5</v>
      </c>
      <c r="L1971" s="5" t="str">
        <f>IFERROR(__xludf.DUMMYFUNCTION("""COMPUTED_VALUE"""),"KLH")</f>
        <v>KLH</v>
      </c>
    </row>
    <row r="1972">
      <c r="A1972" s="5" t="str">
        <f>IFERROR(__xludf.DUMMYFUNCTION("""COMPUTED_VALUE"""),"XXD-MPC-010")</f>
        <v>XXD-MPC-010</v>
      </c>
      <c r="B1972" s="3" t="str">
        <f>IFERROR(__xludf.DUMMYFUNCTION("""COMPUTED_VALUE"""),"Máy phát cỏ 4 thì")</f>
        <v>Máy phát cỏ 4 thì</v>
      </c>
      <c r="C1972" s="5" t="str">
        <f>IFERROR(__xludf.DUMMYFUNCTION("""COMPUTED_VALUE"""),"Xoài DP")</f>
        <v>Xoài DP</v>
      </c>
      <c r="D1972" s="5" t="str">
        <f>IFERROR(__xludf.DUMMYFUNCTION("""COMPUTED_VALUE"""),"HINOTA")</f>
        <v>HINOTA</v>
      </c>
      <c r="E1972" s="5" t="str">
        <f>IFERROR(__xludf.DUMMYFUNCTION("""COMPUTED_VALUE"""),"Trung Quốc")</f>
        <v>Trung Quốc</v>
      </c>
      <c r="F1972" s="5"/>
      <c r="G1972" s="5" t="str">
        <f>IFERROR(__xludf.DUMMYFUNCTION("""COMPUTED_VALUE"""),"CG435")</f>
        <v>CG435</v>
      </c>
      <c r="H1972" s="5" t="str">
        <f>IFERROR(__xludf.DUMMYFUNCTION("""COMPUTED_VALUE"""),"1.2HP")</f>
        <v>1.2HP</v>
      </c>
      <c r="I1972" s="5" t="str">
        <f>IFERROR(__xludf.DUMMYFUNCTION("""COMPUTED_VALUE"""),"201511")</f>
        <v>201511</v>
      </c>
      <c r="J1972" s="5"/>
      <c r="K1972" s="5">
        <f>IFERROR(__xludf.DUMMYFUNCTION("""COMPUTED_VALUE"""),0.5)</f>
        <v>0.5</v>
      </c>
      <c r="L1972" s="5" t="str">
        <f>IFERROR(__xludf.DUMMYFUNCTION("""COMPUTED_VALUE"""),"KLH")</f>
        <v>KLH</v>
      </c>
    </row>
    <row r="1973">
      <c r="A1973" s="5" t="str">
        <f>IFERROR(__xludf.DUMMYFUNCTION("""COMPUTED_VALUE"""),"XXD-MPC-011")</f>
        <v>XXD-MPC-011</v>
      </c>
      <c r="B1973" s="3" t="str">
        <f>IFERROR(__xludf.DUMMYFUNCTION("""COMPUTED_VALUE"""),"Máy phát cỏ 4 thì")</f>
        <v>Máy phát cỏ 4 thì</v>
      </c>
      <c r="C1973" s="5" t="str">
        <f>IFERROR(__xludf.DUMMYFUNCTION("""COMPUTED_VALUE"""),"Xoài DP")</f>
        <v>Xoài DP</v>
      </c>
      <c r="D1973" s="5" t="str">
        <f>IFERROR(__xludf.DUMMYFUNCTION("""COMPUTED_VALUE"""),"HINOTA")</f>
        <v>HINOTA</v>
      </c>
      <c r="E1973" s="5" t="str">
        <f>IFERROR(__xludf.DUMMYFUNCTION("""COMPUTED_VALUE"""),"Trung Quốc")</f>
        <v>Trung Quốc</v>
      </c>
      <c r="F1973" s="5"/>
      <c r="G1973" s="5" t="str">
        <f>IFERROR(__xludf.DUMMYFUNCTION("""COMPUTED_VALUE"""),"CG435")</f>
        <v>CG435</v>
      </c>
      <c r="H1973" s="5" t="str">
        <f>IFERROR(__xludf.DUMMYFUNCTION("""COMPUTED_VALUE"""),"1.2HP")</f>
        <v>1.2HP</v>
      </c>
      <c r="I1973" s="5" t="str">
        <f>IFERROR(__xludf.DUMMYFUNCTION("""COMPUTED_VALUE"""),"220330")</f>
        <v>220330</v>
      </c>
      <c r="J1973" s="5"/>
      <c r="K1973" s="5">
        <f>IFERROR(__xludf.DUMMYFUNCTION("""COMPUTED_VALUE"""),0.5)</f>
        <v>0.5</v>
      </c>
      <c r="L1973" s="5" t="str">
        <f>IFERROR(__xludf.DUMMYFUNCTION("""COMPUTED_VALUE"""),"KLH")</f>
        <v>KLH</v>
      </c>
    </row>
    <row r="1974">
      <c r="A1974" s="5" t="str">
        <f>IFERROR(__xludf.DUMMYFUNCTION("""COMPUTED_VALUE"""),"XXD-MPC-012")</f>
        <v>XXD-MPC-012</v>
      </c>
      <c r="B1974" s="3" t="str">
        <f>IFERROR(__xludf.DUMMYFUNCTION("""COMPUTED_VALUE"""),"Máy phát cỏ 4 thì")</f>
        <v>Máy phát cỏ 4 thì</v>
      </c>
      <c r="C1974" s="5" t="str">
        <f>IFERROR(__xludf.DUMMYFUNCTION("""COMPUTED_VALUE"""),"Xoài DP")</f>
        <v>Xoài DP</v>
      </c>
      <c r="D1974" s="5" t="str">
        <f>IFERROR(__xludf.DUMMYFUNCTION("""COMPUTED_VALUE"""),"HINOTA")</f>
        <v>HINOTA</v>
      </c>
      <c r="E1974" s="5" t="str">
        <f>IFERROR(__xludf.DUMMYFUNCTION("""COMPUTED_VALUE"""),"Trung Quốc")</f>
        <v>Trung Quốc</v>
      </c>
      <c r="F1974" s="5"/>
      <c r="G1974" s="5" t="str">
        <f>IFERROR(__xludf.DUMMYFUNCTION("""COMPUTED_VALUE"""),"CG435")</f>
        <v>CG435</v>
      </c>
      <c r="H1974" s="5" t="str">
        <f>IFERROR(__xludf.DUMMYFUNCTION("""COMPUTED_VALUE"""),"1.2HP")</f>
        <v>1.2HP</v>
      </c>
      <c r="I1974" s="5" t="str">
        <f>IFERROR(__xludf.DUMMYFUNCTION("""COMPUTED_VALUE"""),"220330")</f>
        <v>220330</v>
      </c>
      <c r="J1974" s="5"/>
      <c r="K1974" s="5">
        <f>IFERROR(__xludf.DUMMYFUNCTION("""COMPUTED_VALUE"""),0.5)</f>
        <v>0.5</v>
      </c>
      <c r="L1974" s="5" t="str">
        <f>IFERROR(__xludf.DUMMYFUNCTION("""COMPUTED_VALUE"""),"KLH")</f>
        <v>KLH</v>
      </c>
    </row>
    <row r="1975">
      <c r="A1975" s="5" t="str">
        <f>IFERROR(__xludf.DUMMYFUNCTION("""COMPUTED_VALUE"""),"XXD-MPC-013")</f>
        <v>XXD-MPC-013</v>
      </c>
      <c r="B1975" s="3" t="str">
        <f>IFERROR(__xludf.DUMMYFUNCTION("""COMPUTED_VALUE"""),"Máy phát cỏ 4 thì")</f>
        <v>Máy phát cỏ 4 thì</v>
      </c>
      <c r="C1975" s="5" t="str">
        <f>IFERROR(__xludf.DUMMYFUNCTION("""COMPUTED_VALUE"""),"Xoài DP")</f>
        <v>Xoài DP</v>
      </c>
      <c r="D1975" s="5" t="str">
        <f>IFERROR(__xludf.DUMMYFUNCTION("""COMPUTED_VALUE"""),"HONDA")</f>
        <v>HONDA</v>
      </c>
      <c r="E1975" s="5" t="str">
        <f>IFERROR(__xludf.DUMMYFUNCTION("""COMPUTED_VALUE"""),"Trung Quốc")</f>
        <v>Trung Quốc</v>
      </c>
      <c r="F1975" s="5"/>
      <c r="G1975" s="5" t="str">
        <f>IFERROR(__xludf.DUMMYFUNCTION("""COMPUTED_VALUE"""),"GX35")</f>
        <v>GX35</v>
      </c>
      <c r="H1975" s="5" t="str">
        <f>IFERROR(__xludf.DUMMYFUNCTION("""COMPUTED_VALUE"""),"1.6HP")</f>
        <v>1.6HP</v>
      </c>
      <c r="I1975" s="5" t="str">
        <f>IFERROR(__xludf.DUMMYFUNCTION("""COMPUTED_VALUE"""),"220112")</f>
        <v>220112</v>
      </c>
      <c r="J1975" s="5"/>
      <c r="K1975" s="5">
        <f>IFERROR(__xludf.DUMMYFUNCTION("""COMPUTED_VALUE"""),0.5)</f>
        <v>0.5</v>
      </c>
      <c r="L1975" s="5" t="str">
        <f>IFERROR(__xludf.DUMMYFUNCTION("""COMPUTED_VALUE"""),"KLH")</f>
        <v>KLH</v>
      </c>
    </row>
    <row r="1976">
      <c r="A1976" s="5" t="str">
        <f>IFERROR(__xludf.DUMMYFUNCTION("""COMPUTED_VALUE"""),"XXD-MPC-015")</f>
        <v>XXD-MPC-015</v>
      </c>
      <c r="B1976" s="3" t="str">
        <f>IFERROR(__xludf.DUMMYFUNCTION("""COMPUTED_VALUE"""),"Máy phát cỏ 4 thì")</f>
        <v>Máy phát cỏ 4 thì</v>
      </c>
      <c r="C1976" s="5" t="str">
        <f>IFERROR(__xludf.DUMMYFUNCTION("""COMPUTED_VALUE"""),"Xoài DP")</f>
        <v>Xoài DP</v>
      </c>
      <c r="D1976" s="5" t="str">
        <f>IFERROR(__xludf.DUMMYFUNCTION("""COMPUTED_VALUE"""),"HONDA")</f>
        <v>HONDA</v>
      </c>
      <c r="E1976" s="5" t="str">
        <f>IFERROR(__xludf.DUMMYFUNCTION("""COMPUTED_VALUE"""),"Trung Quốc")</f>
        <v>Trung Quốc</v>
      </c>
      <c r="F1976" s="5"/>
      <c r="G1976" s="5" t="str">
        <f>IFERROR(__xludf.DUMMYFUNCTION("""COMPUTED_VALUE"""),"GX35")</f>
        <v>GX35</v>
      </c>
      <c r="H1976" s="5" t="str">
        <f>IFERROR(__xludf.DUMMYFUNCTION("""COMPUTED_VALUE"""),"1.6HP")</f>
        <v>1.6HP</v>
      </c>
      <c r="I1976" s="5"/>
      <c r="J1976" s="5"/>
      <c r="K1976" s="5">
        <f>IFERROR(__xludf.DUMMYFUNCTION("""COMPUTED_VALUE"""),0.5)</f>
        <v>0.5</v>
      </c>
      <c r="L1976" s="5" t="str">
        <f>IFERROR(__xludf.DUMMYFUNCTION("""COMPUTED_VALUE"""),"KLH")</f>
        <v>KLH</v>
      </c>
    </row>
    <row r="1977">
      <c r="A1977" s="5" t="str">
        <f>IFERROR(__xludf.DUMMYFUNCTION("""COMPUTED_VALUE"""),"XXD-MPC-017")</f>
        <v>XXD-MPC-017</v>
      </c>
      <c r="B1977" s="3" t="str">
        <f>IFERROR(__xludf.DUMMYFUNCTION("""COMPUTED_VALUE"""),"Máy phát cỏ 4 thì")</f>
        <v>Máy phát cỏ 4 thì</v>
      </c>
      <c r="C1977" s="5" t="str">
        <f>IFERROR(__xludf.DUMMYFUNCTION("""COMPUTED_VALUE"""),"Xoài DP")</f>
        <v>Xoài DP</v>
      </c>
      <c r="D1977" s="5" t="str">
        <f>IFERROR(__xludf.DUMMYFUNCTION("""COMPUTED_VALUE"""),"HONDA")</f>
        <v>HONDA</v>
      </c>
      <c r="E1977" s="5" t="str">
        <f>IFERROR(__xludf.DUMMYFUNCTION("""COMPUTED_VALUE"""),"Trung Quốc")</f>
        <v>Trung Quốc</v>
      </c>
      <c r="F1977" s="5"/>
      <c r="G1977" s="5" t="str">
        <f>IFERROR(__xludf.DUMMYFUNCTION("""COMPUTED_VALUE"""),"GX35")</f>
        <v>GX35</v>
      </c>
      <c r="H1977" s="5" t="str">
        <f>IFERROR(__xludf.DUMMYFUNCTION("""COMPUTED_VALUE"""),"1.6HP")</f>
        <v>1.6HP</v>
      </c>
      <c r="I1977" s="5" t="str">
        <f>IFERROR(__xludf.DUMMYFUNCTION("""COMPUTED_VALUE"""),"100124")</f>
        <v>100124</v>
      </c>
      <c r="J1977" s="5"/>
      <c r="K1977" s="5">
        <f>IFERROR(__xludf.DUMMYFUNCTION("""COMPUTED_VALUE"""),0.5)</f>
        <v>0.5</v>
      </c>
      <c r="L1977" s="5" t="str">
        <f>IFERROR(__xludf.DUMMYFUNCTION("""COMPUTED_VALUE"""),"KLH")</f>
        <v>KLH</v>
      </c>
    </row>
    <row r="1978">
      <c r="A1978" s="5" t="str">
        <f>IFERROR(__xludf.DUMMYFUNCTION("""COMPUTED_VALUE"""),"XXD-MPC-022")</f>
        <v>XXD-MPC-022</v>
      </c>
      <c r="B1978" s="3" t="str">
        <f>IFERROR(__xludf.DUMMYFUNCTION("""COMPUTED_VALUE"""),"Máy phát cỏ 4 thì")</f>
        <v>Máy phát cỏ 4 thì</v>
      </c>
      <c r="C1978" s="5" t="str">
        <f>IFERROR(__xludf.DUMMYFUNCTION("""COMPUTED_VALUE"""),"Xoài DP")</f>
        <v>Xoài DP</v>
      </c>
      <c r="D1978" s="5" t="str">
        <f>IFERROR(__xludf.DUMMYFUNCTION("""COMPUTED_VALUE"""),"HONDA")</f>
        <v>HONDA</v>
      </c>
      <c r="E1978" s="5" t="str">
        <f>IFERROR(__xludf.DUMMYFUNCTION("""COMPUTED_VALUE"""),"Trung Quốc")</f>
        <v>Trung Quốc</v>
      </c>
      <c r="F1978" s="5"/>
      <c r="G1978" s="5" t="str">
        <f>IFERROR(__xludf.DUMMYFUNCTION("""COMPUTED_VALUE"""),"GX35")</f>
        <v>GX35</v>
      </c>
      <c r="H1978" s="5" t="str">
        <f>IFERROR(__xludf.DUMMYFUNCTION("""COMPUTED_VALUE"""),"1.6HP")</f>
        <v>1.6HP</v>
      </c>
      <c r="I1978" s="5" t="str">
        <f>IFERROR(__xludf.DUMMYFUNCTION("""COMPUTED_VALUE"""),"GCAMT-7708410")</f>
        <v>GCAMT-7708410</v>
      </c>
      <c r="J1978" s="5"/>
      <c r="K1978" s="5">
        <f>IFERROR(__xludf.DUMMYFUNCTION("""COMPUTED_VALUE"""),0.5)</f>
        <v>0.5</v>
      </c>
      <c r="L1978" s="5" t="str">
        <f>IFERROR(__xludf.DUMMYFUNCTION("""COMPUTED_VALUE"""),"KLH")</f>
        <v>KLH</v>
      </c>
    </row>
    <row r="1979">
      <c r="A1979" s="5" t="str">
        <f>IFERROR(__xludf.DUMMYFUNCTION("""COMPUTED_VALUE"""),"XXD-MPC-023")</f>
        <v>XXD-MPC-023</v>
      </c>
      <c r="B1979" s="3" t="str">
        <f>IFERROR(__xludf.DUMMYFUNCTION("""COMPUTED_VALUE"""),"Máy phát cỏ 4 thì")</f>
        <v>Máy phát cỏ 4 thì</v>
      </c>
      <c r="C1979" s="5" t="str">
        <f>IFERROR(__xludf.DUMMYFUNCTION("""COMPUTED_VALUE"""),"Xoài DP")</f>
        <v>Xoài DP</v>
      </c>
      <c r="D1979" s="5" t="str">
        <f>IFERROR(__xludf.DUMMYFUNCTION("""COMPUTED_VALUE"""),"HONDA")</f>
        <v>HONDA</v>
      </c>
      <c r="E1979" s="5" t="str">
        <f>IFERROR(__xludf.DUMMYFUNCTION("""COMPUTED_VALUE"""),"Trung Quốc")</f>
        <v>Trung Quốc</v>
      </c>
      <c r="F1979" s="5"/>
      <c r="G1979" s="5" t="str">
        <f>IFERROR(__xludf.DUMMYFUNCTION("""COMPUTED_VALUE"""),"GX35")</f>
        <v>GX35</v>
      </c>
      <c r="H1979" s="5" t="str">
        <f>IFERROR(__xludf.DUMMYFUNCTION("""COMPUTED_VALUE"""),"1.6HP")</f>
        <v>1.6HP</v>
      </c>
      <c r="I1979" s="5" t="str">
        <f>IFERROR(__xludf.DUMMYFUNCTION("""COMPUTED_VALUE"""),"GCAMT-7707551")</f>
        <v>GCAMT-7707551</v>
      </c>
      <c r="J1979" s="5"/>
      <c r="K1979" s="5">
        <f>IFERROR(__xludf.DUMMYFUNCTION("""COMPUTED_VALUE"""),0.5)</f>
        <v>0.5</v>
      </c>
      <c r="L1979" s="5" t="str">
        <f>IFERROR(__xludf.DUMMYFUNCTION("""COMPUTED_VALUE"""),"KLH")</f>
        <v>KLH</v>
      </c>
    </row>
    <row r="1980">
      <c r="A1980" s="5" t="str">
        <f>IFERROR(__xludf.DUMMYFUNCTION("""COMPUTED_VALUE"""),"XXD-MPC-028")</f>
        <v>XXD-MPC-028</v>
      </c>
      <c r="B1980" s="3" t="str">
        <f>IFERROR(__xludf.DUMMYFUNCTION("""COMPUTED_VALUE"""),"Máy phát cỏ 2 thì")</f>
        <v>Máy phát cỏ 2 thì</v>
      </c>
      <c r="C1980" s="5" t="str">
        <f>IFERROR(__xludf.DUMMYFUNCTION("""COMPUTED_VALUE"""),"Xoài DP")</f>
        <v>Xoài DP</v>
      </c>
      <c r="D1980" s="5" t="str">
        <f>IFERROR(__xludf.DUMMYFUNCTION("""COMPUTED_VALUE"""),"MARRATA")</f>
        <v>MARRATA</v>
      </c>
      <c r="E1980" s="5"/>
      <c r="F1980" s="5"/>
      <c r="G1980" s="5" t="str">
        <f>IFERROR(__xludf.DUMMYFUNCTION("""COMPUTED_VALUE"""),"CG411")</f>
        <v>CG411</v>
      </c>
      <c r="H1980" s="5" t="str">
        <f>IFERROR(__xludf.DUMMYFUNCTION("""COMPUTED_VALUE"""),"1.8HP")</f>
        <v>1.8HP</v>
      </c>
      <c r="I1980" s="5"/>
      <c r="J1980" s="5"/>
      <c r="K1980" s="5"/>
      <c r="L1980" s="5" t="str">
        <f>IFERROR(__xludf.DUMMYFUNCTION("""COMPUTED_VALUE"""),"KLH")</f>
        <v>KLH</v>
      </c>
    </row>
    <row r="1981">
      <c r="A1981" s="5" t="str">
        <f>IFERROR(__xludf.DUMMYFUNCTION("""COMPUTED_VALUE"""),"XXD-MPC-029")</f>
        <v>XXD-MPC-029</v>
      </c>
      <c r="B1981" s="3" t="str">
        <f>IFERROR(__xludf.DUMMYFUNCTION("""COMPUTED_VALUE"""),"Máy phát cỏ 2 thì")</f>
        <v>Máy phát cỏ 2 thì</v>
      </c>
      <c r="C1981" s="5" t="str">
        <f>IFERROR(__xludf.DUMMYFUNCTION("""COMPUTED_VALUE"""),"Xoài DP")</f>
        <v>Xoài DP</v>
      </c>
      <c r="D1981" s="5" t="str">
        <f>IFERROR(__xludf.DUMMYFUNCTION("""COMPUTED_VALUE"""),"MARRATA")</f>
        <v>MARRATA</v>
      </c>
      <c r="E1981" s="5"/>
      <c r="F1981" s="5"/>
      <c r="G1981" s="5" t="str">
        <f>IFERROR(__xludf.DUMMYFUNCTION("""COMPUTED_VALUE"""),"CG411")</f>
        <v>CG411</v>
      </c>
      <c r="H1981" s="5" t="str">
        <f>IFERROR(__xludf.DUMMYFUNCTION("""COMPUTED_VALUE"""),"1.8HP")</f>
        <v>1.8HP</v>
      </c>
      <c r="I1981" s="5"/>
      <c r="J1981" s="5"/>
      <c r="K1981" s="5"/>
      <c r="L1981" s="5" t="str">
        <f>IFERROR(__xludf.DUMMYFUNCTION("""COMPUTED_VALUE"""),"KLH")</f>
        <v>KLH</v>
      </c>
    </row>
    <row r="1982">
      <c r="A1982" s="5" t="str">
        <f>IFERROR(__xludf.DUMMYFUNCTION("""COMPUTED_VALUE"""),"NT NHÃN DP")</f>
        <v>NT NHÃN DP</v>
      </c>
      <c r="B1982" s="3"/>
      <c r="C1982" s="5"/>
      <c r="D1982" s="5"/>
      <c r="E1982" s="5"/>
      <c r="F1982" s="5"/>
      <c r="G1982" s="5"/>
      <c r="H1982" s="5"/>
      <c r="I1982" s="5"/>
      <c r="J1982" s="5"/>
      <c r="K1982" s="5"/>
      <c r="L1982" s="5" t="str">
        <f>IFERROR(__xludf.DUMMYFUNCTION("""COMPUTED_VALUE"""),"KLH")</f>
        <v>KLH</v>
      </c>
    </row>
    <row r="1983">
      <c r="A1983" s="5" t="str">
        <f>IFERROR(__xludf.DUMMYFUNCTION("""COMPUTED_VALUE"""),"XND-MPC-001")</f>
        <v>XND-MPC-001</v>
      </c>
      <c r="B1983" s="3" t="str">
        <f>IFERROR(__xludf.DUMMYFUNCTION("""COMPUTED_VALUE"""),"Máy phát cỏ 4 thì")</f>
        <v>Máy phát cỏ 4 thì</v>
      </c>
      <c r="C1983" s="5" t="str">
        <f>IFERROR(__xludf.DUMMYFUNCTION("""COMPUTED_VALUE"""),"Nhãn DP")</f>
        <v>Nhãn DP</v>
      </c>
      <c r="D1983" s="5" t="str">
        <f>IFERROR(__xludf.DUMMYFUNCTION("""COMPUTED_VALUE"""),"HINOTA")</f>
        <v>HINOTA</v>
      </c>
      <c r="E1983" s="5" t="str">
        <f>IFERROR(__xludf.DUMMYFUNCTION("""COMPUTED_VALUE"""),"Trung Quốc")</f>
        <v>Trung Quốc</v>
      </c>
      <c r="F1983" s="5"/>
      <c r="G1983" s="5" t="str">
        <f>IFERROR(__xludf.DUMMYFUNCTION("""COMPUTED_VALUE"""),"CG435")</f>
        <v>CG435</v>
      </c>
      <c r="H1983" s="5" t="str">
        <f>IFERROR(__xludf.DUMMYFUNCTION("""COMPUTED_VALUE"""),"1.2HP")</f>
        <v>1.2HP</v>
      </c>
      <c r="I1983" s="5" t="str">
        <f>IFERROR(__xludf.DUMMYFUNCTION("""COMPUTED_VALUE"""),"220330")</f>
        <v>220330</v>
      </c>
      <c r="J1983" s="5"/>
      <c r="K1983" s="5">
        <f>IFERROR(__xludf.DUMMYFUNCTION("""COMPUTED_VALUE"""),0.5)</f>
        <v>0.5</v>
      </c>
      <c r="L1983" s="5" t="str">
        <f>IFERROR(__xludf.DUMMYFUNCTION("""COMPUTED_VALUE"""),"KLH")</f>
        <v>KLH</v>
      </c>
    </row>
    <row r="1984">
      <c r="A1984" s="5" t="str">
        <f>IFERROR(__xludf.DUMMYFUNCTION("""COMPUTED_VALUE"""),"XND-MPC-002")</f>
        <v>XND-MPC-002</v>
      </c>
      <c r="B1984" s="3" t="str">
        <f>IFERROR(__xludf.DUMMYFUNCTION("""COMPUTED_VALUE"""),"Máy phát cỏ 4 thì")</f>
        <v>Máy phát cỏ 4 thì</v>
      </c>
      <c r="C1984" s="5" t="str">
        <f>IFERROR(__xludf.DUMMYFUNCTION("""COMPUTED_VALUE"""),"Nhãn DP")</f>
        <v>Nhãn DP</v>
      </c>
      <c r="D1984" s="5" t="str">
        <f>IFERROR(__xludf.DUMMYFUNCTION("""COMPUTED_VALUE"""),"HINOTA")</f>
        <v>HINOTA</v>
      </c>
      <c r="E1984" s="5" t="str">
        <f>IFERROR(__xludf.DUMMYFUNCTION("""COMPUTED_VALUE"""),"Trung Quốc")</f>
        <v>Trung Quốc</v>
      </c>
      <c r="F1984" s="5"/>
      <c r="G1984" s="5" t="str">
        <f>IFERROR(__xludf.DUMMYFUNCTION("""COMPUTED_VALUE"""),"CG435")</f>
        <v>CG435</v>
      </c>
      <c r="H1984" s="5" t="str">
        <f>IFERROR(__xludf.DUMMYFUNCTION("""COMPUTED_VALUE"""),"1.2HP")</f>
        <v>1.2HP</v>
      </c>
      <c r="I1984" s="5" t="str">
        <f>IFERROR(__xludf.DUMMYFUNCTION("""COMPUTED_VALUE"""),"220112")</f>
        <v>220112</v>
      </c>
      <c r="J1984" s="5"/>
      <c r="K1984" s="5">
        <f>IFERROR(__xludf.DUMMYFUNCTION("""COMPUTED_VALUE"""),0.5)</f>
        <v>0.5</v>
      </c>
      <c r="L1984" s="5" t="str">
        <f>IFERROR(__xludf.DUMMYFUNCTION("""COMPUTED_VALUE"""),"KLH")</f>
        <v>KLH</v>
      </c>
    </row>
    <row r="1985">
      <c r="A1985" s="5" t="str">
        <f>IFERROR(__xludf.DUMMYFUNCTION("""COMPUTED_VALUE"""),"XND-MPC-003")</f>
        <v>XND-MPC-003</v>
      </c>
      <c r="B1985" s="3" t="str">
        <f>IFERROR(__xludf.DUMMYFUNCTION("""COMPUTED_VALUE"""),"Máy phát cỏ 4 thì")</f>
        <v>Máy phát cỏ 4 thì</v>
      </c>
      <c r="C1985" s="5" t="str">
        <f>IFERROR(__xludf.DUMMYFUNCTION("""COMPUTED_VALUE"""),"Nhãn DP")</f>
        <v>Nhãn DP</v>
      </c>
      <c r="D1985" s="5" t="str">
        <f>IFERROR(__xludf.DUMMYFUNCTION("""COMPUTED_VALUE"""),"HINOTA")</f>
        <v>HINOTA</v>
      </c>
      <c r="E1985" s="5" t="str">
        <f>IFERROR(__xludf.DUMMYFUNCTION("""COMPUTED_VALUE"""),"Trung Quốc")</f>
        <v>Trung Quốc</v>
      </c>
      <c r="F1985" s="5"/>
      <c r="G1985" s="5" t="str">
        <f>IFERROR(__xludf.DUMMYFUNCTION("""COMPUTED_VALUE"""),"CG435")</f>
        <v>CG435</v>
      </c>
      <c r="H1985" s="5" t="str">
        <f>IFERROR(__xludf.DUMMYFUNCTION("""COMPUTED_VALUE"""),"1.2HP")</f>
        <v>1.2HP</v>
      </c>
      <c r="I1985" s="5" t="str">
        <f>IFERROR(__xludf.DUMMYFUNCTION("""COMPUTED_VALUE"""),"220511")</f>
        <v>220511</v>
      </c>
      <c r="J1985" s="5"/>
      <c r="K1985" s="5">
        <f>IFERROR(__xludf.DUMMYFUNCTION("""COMPUTED_VALUE"""),0.5)</f>
        <v>0.5</v>
      </c>
      <c r="L1985" s="5" t="str">
        <f>IFERROR(__xludf.DUMMYFUNCTION("""COMPUTED_VALUE"""),"KLH")</f>
        <v>KLH</v>
      </c>
    </row>
    <row r="1986">
      <c r="A1986" s="5" t="str">
        <f>IFERROR(__xludf.DUMMYFUNCTION("""COMPUTED_VALUE"""),"XND-MPC-004")</f>
        <v>XND-MPC-004</v>
      </c>
      <c r="B1986" s="3" t="str">
        <f>IFERROR(__xludf.DUMMYFUNCTION("""COMPUTED_VALUE"""),"Máy phát cỏ 4 thì")</f>
        <v>Máy phát cỏ 4 thì</v>
      </c>
      <c r="C1986" s="5" t="str">
        <f>IFERROR(__xludf.DUMMYFUNCTION("""COMPUTED_VALUE"""),"Nhãn DP")</f>
        <v>Nhãn DP</v>
      </c>
      <c r="D1986" s="5" t="str">
        <f>IFERROR(__xludf.DUMMYFUNCTION("""COMPUTED_VALUE"""),"HINOTA")</f>
        <v>HINOTA</v>
      </c>
      <c r="E1986" s="5" t="str">
        <f>IFERROR(__xludf.DUMMYFUNCTION("""COMPUTED_VALUE"""),"Trung Quốc")</f>
        <v>Trung Quốc</v>
      </c>
      <c r="F1986" s="5"/>
      <c r="G1986" s="5" t="str">
        <f>IFERROR(__xludf.DUMMYFUNCTION("""COMPUTED_VALUE"""),"CG435")</f>
        <v>CG435</v>
      </c>
      <c r="H1986" s="5" t="str">
        <f>IFERROR(__xludf.DUMMYFUNCTION("""COMPUTED_VALUE"""),"1.2HP")</f>
        <v>1.2HP</v>
      </c>
      <c r="I1986" s="5" t="str">
        <f>IFERROR(__xludf.DUMMYFUNCTION("""COMPUTED_VALUE"""),"220330")</f>
        <v>220330</v>
      </c>
      <c r="J1986" s="5"/>
      <c r="K1986" s="5">
        <f>IFERROR(__xludf.DUMMYFUNCTION("""COMPUTED_VALUE"""),0.5)</f>
        <v>0.5</v>
      </c>
      <c r="L1986" s="5" t="str">
        <f>IFERROR(__xludf.DUMMYFUNCTION("""COMPUTED_VALUE"""),"KLH")</f>
        <v>KLH</v>
      </c>
    </row>
    <row r="1987">
      <c r="A1987" s="5" t="str">
        <f>IFERROR(__xludf.DUMMYFUNCTION("""COMPUTED_VALUE"""),"XND-MPC-005")</f>
        <v>XND-MPC-005</v>
      </c>
      <c r="B1987" s="3" t="str">
        <f>IFERROR(__xludf.DUMMYFUNCTION("""COMPUTED_VALUE"""),"Máy phát cỏ 4 thì")</f>
        <v>Máy phát cỏ 4 thì</v>
      </c>
      <c r="C1987" s="5" t="str">
        <f>IFERROR(__xludf.DUMMYFUNCTION("""COMPUTED_VALUE"""),"Nhãn DP")</f>
        <v>Nhãn DP</v>
      </c>
      <c r="D1987" s="5" t="str">
        <f>IFERROR(__xludf.DUMMYFUNCTION("""COMPUTED_VALUE"""),"HINOTA")</f>
        <v>HINOTA</v>
      </c>
      <c r="E1987" s="5" t="str">
        <f>IFERROR(__xludf.DUMMYFUNCTION("""COMPUTED_VALUE"""),"Trung Quốc")</f>
        <v>Trung Quốc</v>
      </c>
      <c r="F1987" s="5"/>
      <c r="G1987" s="5" t="str">
        <f>IFERROR(__xludf.DUMMYFUNCTION("""COMPUTED_VALUE"""),"CG435")</f>
        <v>CG435</v>
      </c>
      <c r="H1987" s="5" t="str">
        <f>IFERROR(__xludf.DUMMYFUNCTION("""COMPUTED_VALUE"""),"1.2HP")</f>
        <v>1.2HP</v>
      </c>
      <c r="I1987" s="5" t="str">
        <f>IFERROR(__xludf.DUMMYFUNCTION("""COMPUTED_VALUE"""),"220317")</f>
        <v>220317</v>
      </c>
      <c r="J1987" s="5"/>
      <c r="K1987" s="5">
        <f>IFERROR(__xludf.DUMMYFUNCTION("""COMPUTED_VALUE"""),0.5)</f>
        <v>0.5</v>
      </c>
      <c r="L1987" s="5" t="str">
        <f>IFERROR(__xludf.DUMMYFUNCTION("""COMPUTED_VALUE"""),"KLH")</f>
        <v>KLH</v>
      </c>
    </row>
    <row r="1988">
      <c r="A1988" s="5" t="str">
        <f>IFERROR(__xludf.DUMMYFUNCTION("""COMPUTED_VALUE"""),"XND-MPC-006")</f>
        <v>XND-MPC-006</v>
      </c>
      <c r="B1988" s="3" t="str">
        <f>IFERROR(__xludf.DUMMYFUNCTION("""COMPUTED_VALUE"""),"Máy phát cỏ 4 thì")</f>
        <v>Máy phát cỏ 4 thì</v>
      </c>
      <c r="C1988" s="5" t="str">
        <f>IFERROR(__xludf.DUMMYFUNCTION("""COMPUTED_VALUE"""),"Nhãn DP")</f>
        <v>Nhãn DP</v>
      </c>
      <c r="D1988" s="5" t="str">
        <f>IFERROR(__xludf.DUMMYFUNCTION("""COMPUTED_VALUE"""),"HINOTA")</f>
        <v>HINOTA</v>
      </c>
      <c r="E1988" s="5" t="str">
        <f>IFERROR(__xludf.DUMMYFUNCTION("""COMPUTED_VALUE"""),"Trung Quốc")</f>
        <v>Trung Quốc</v>
      </c>
      <c r="F1988" s="5"/>
      <c r="G1988" s="5" t="str">
        <f>IFERROR(__xludf.DUMMYFUNCTION("""COMPUTED_VALUE"""),"CG435")</f>
        <v>CG435</v>
      </c>
      <c r="H1988" s="5" t="str">
        <f>IFERROR(__xludf.DUMMYFUNCTION("""COMPUTED_VALUE"""),"1.2HP")</f>
        <v>1.2HP</v>
      </c>
      <c r="I1988" s="5" t="str">
        <f>IFERROR(__xludf.DUMMYFUNCTION("""COMPUTED_VALUE"""),"220112")</f>
        <v>220112</v>
      </c>
      <c r="J1988" s="5"/>
      <c r="K1988" s="5">
        <f>IFERROR(__xludf.DUMMYFUNCTION("""COMPUTED_VALUE"""),0.5)</f>
        <v>0.5</v>
      </c>
      <c r="L1988" s="5" t="str">
        <f>IFERROR(__xludf.DUMMYFUNCTION("""COMPUTED_VALUE"""),"KLH")</f>
        <v>KLH</v>
      </c>
    </row>
    <row r="1989">
      <c r="A1989" s="5" t="str">
        <f>IFERROR(__xludf.DUMMYFUNCTION("""COMPUTED_VALUE"""),"CÁC ĐƠN VỊ KHÁC'")</f>
        <v>CÁC ĐƠN VỊ KHÁC'</v>
      </c>
      <c r="B1989" s="3"/>
      <c r="C1989" s="5"/>
      <c r="D1989" s="5"/>
      <c r="E1989" s="5"/>
      <c r="F1989" s="5"/>
      <c r="G1989" s="5"/>
      <c r="H1989" s="5"/>
      <c r="I1989" s="5"/>
      <c r="J1989" s="5"/>
      <c r="K1989" s="5"/>
      <c r="L1989" s="5" t="str">
        <f>IFERROR(__xludf.DUMMYFUNCTION("""COMPUTED_VALUE"""),"KLH")</f>
        <v>KLH</v>
      </c>
    </row>
    <row r="1990">
      <c r="A1990" s="5" t="str">
        <f>IFERROR(__xludf.DUMMYFUNCTION("""COMPUTED_VALUE"""),"P.HÀNH CHÍNH")</f>
        <v>P.HÀNH CHÍNH</v>
      </c>
      <c r="B1990" s="3"/>
      <c r="C1990" s="5"/>
      <c r="D1990" s="5"/>
      <c r="E1990" s="5"/>
      <c r="F1990" s="5"/>
      <c r="G1990" s="5"/>
      <c r="H1990" s="5"/>
      <c r="I1990" s="5"/>
      <c r="J1990" s="5"/>
      <c r="K1990" s="5"/>
      <c r="L1990" s="5" t="str">
        <f>IFERROR(__xludf.DUMMYFUNCTION("""COMPUTED_VALUE"""),"KLH")</f>
        <v>KLH</v>
      </c>
    </row>
    <row r="1991">
      <c r="A1991" s="5" t="str">
        <f>IFERROR(__xludf.DUMMYFUNCTION("""COMPUTED_VALUE"""),"HCD-MPC-001")</f>
        <v>HCD-MPC-001</v>
      </c>
      <c r="B1991" s="3" t="str">
        <f>IFERROR(__xludf.DUMMYFUNCTION("""COMPUTED_VALUE"""),"Máy phát cỏ 2 thì")</f>
        <v>Máy phát cỏ 2 thì</v>
      </c>
      <c r="C1991" s="5" t="str">
        <f>IFERROR(__xludf.DUMMYFUNCTION("""COMPUTED_VALUE"""),"HÀNH CHÍNH KLH")</f>
        <v>HÀNH CHÍNH KLH</v>
      </c>
      <c r="D1991" s="5" t="str">
        <f>IFERROR(__xludf.DUMMYFUNCTION("""COMPUTED_VALUE"""),"KAMASTSU")</f>
        <v>KAMASTSU</v>
      </c>
      <c r="E1991" s="5"/>
      <c r="F1991" s="5"/>
      <c r="G1991" s="5" t="str">
        <f>IFERROR(__xludf.DUMMYFUNCTION("""COMPUTED_VALUE"""),"KM430")</f>
        <v>KM430</v>
      </c>
      <c r="H1991" s="5" t="str">
        <f>IFERROR(__xludf.DUMMYFUNCTION("""COMPUTED_VALUE"""),"1.7HP")</f>
        <v>1.7HP</v>
      </c>
      <c r="I1991" s="5"/>
      <c r="J1991" s="5"/>
      <c r="K1991" s="5">
        <f>IFERROR(__xludf.DUMMYFUNCTION("""COMPUTED_VALUE"""),1.0)</f>
        <v>1</v>
      </c>
      <c r="L1991" s="5" t="str">
        <f>IFERROR(__xludf.DUMMYFUNCTION("""COMPUTED_VALUE"""),"KLH")</f>
        <v>KLH</v>
      </c>
    </row>
    <row r="1992">
      <c r="A1992" s="5" t="str">
        <f>IFERROR(__xludf.DUMMYFUNCTION("""COMPUTED_VALUE"""),"HCD-MPC-002")</f>
        <v>HCD-MPC-002</v>
      </c>
      <c r="B1992" s="3" t="str">
        <f>IFERROR(__xludf.DUMMYFUNCTION("""COMPUTED_VALUE"""),"Máy phát cỏ 2 thì")</f>
        <v>Máy phát cỏ 2 thì</v>
      </c>
      <c r="C1992" s="5" t="str">
        <f>IFERROR(__xludf.DUMMYFUNCTION("""COMPUTED_VALUE"""),"HÀNH CHÍNH KLH")</f>
        <v>HÀNH CHÍNH KLH</v>
      </c>
      <c r="D1992" s="5" t="str">
        <f>IFERROR(__xludf.DUMMYFUNCTION("""COMPUTED_VALUE"""),"KAMASTSU")</f>
        <v>KAMASTSU</v>
      </c>
      <c r="E1992" s="5"/>
      <c r="F1992" s="5"/>
      <c r="G1992" s="5" t="str">
        <f>IFERROR(__xludf.DUMMYFUNCTION("""COMPUTED_VALUE"""),"KM430")</f>
        <v>KM430</v>
      </c>
      <c r="H1992" s="5" t="str">
        <f>IFERROR(__xludf.DUMMYFUNCTION("""COMPUTED_VALUE"""),"1.7HP")</f>
        <v>1.7HP</v>
      </c>
      <c r="I1992" s="5"/>
      <c r="J1992" s="5"/>
      <c r="K1992" s="5">
        <f>IFERROR(__xludf.DUMMYFUNCTION("""COMPUTED_VALUE"""),1.0)</f>
        <v>1</v>
      </c>
      <c r="L1992" s="5" t="str">
        <f>IFERROR(__xludf.DUMMYFUNCTION("""COMPUTED_VALUE"""),"KLH")</f>
        <v>KLH</v>
      </c>
    </row>
    <row r="1993">
      <c r="A1993" s="5" t="str">
        <f>IFERROR(__xludf.DUMMYFUNCTION("""COMPUTED_VALUE"""),"HCA-MPC-001")</f>
        <v>HCA-MPC-001</v>
      </c>
      <c r="B1993" s="3" t="str">
        <f>IFERROR(__xludf.DUMMYFUNCTION("""COMPUTED_VALUE"""),"Máy phát cỏ 2 thì")</f>
        <v>Máy phát cỏ 2 thì</v>
      </c>
      <c r="C1993" s="5" t="str">
        <f>IFERROR(__xludf.DUMMYFUNCTION("""COMPUTED_VALUE"""),"HÀNH CHÍNH KLH")</f>
        <v>HÀNH CHÍNH KLH</v>
      </c>
      <c r="D1993" s="5" t="str">
        <f>IFERROR(__xludf.DUMMYFUNCTION("""COMPUTED_VALUE"""),"TASCO")</f>
        <v>TASCO</v>
      </c>
      <c r="E1993" s="5" t="str">
        <f>IFERROR(__xludf.DUMMYFUNCTION("""COMPUTED_VALUE"""),"TRUNG QUỐC")</f>
        <v>TRUNG QUỐC</v>
      </c>
      <c r="F1993" s="5"/>
      <c r="G1993" s="5" t="str">
        <f>IFERROR(__xludf.DUMMYFUNCTION("""COMPUTED_VALUE"""),"T-338")</f>
        <v>T-338</v>
      </c>
      <c r="H1993" s="5" t="str">
        <f>IFERROR(__xludf.DUMMYFUNCTION("""COMPUTED_VALUE"""),"1.1HP")</f>
        <v>1.1HP</v>
      </c>
      <c r="I1993" s="5"/>
      <c r="J1993" s="5"/>
      <c r="K1993" s="5">
        <f>IFERROR(__xludf.DUMMYFUNCTION("""COMPUTED_VALUE"""),1.0)</f>
        <v>1</v>
      </c>
      <c r="L1993" s="5" t="str">
        <f>IFERROR(__xludf.DUMMYFUNCTION("""COMPUTED_VALUE"""),"KLH")</f>
        <v>KLH</v>
      </c>
    </row>
    <row r="1994">
      <c r="A1994" s="5" t="str">
        <f>IFERROR(__xludf.DUMMYFUNCTION("""COMPUTED_VALUE"""),"HCA-MPC-002")</f>
        <v>HCA-MPC-002</v>
      </c>
      <c r="B1994" s="3" t="str">
        <f>IFERROR(__xludf.DUMMYFUNCTION("""COMPUTED_VALUE"""),"Máy phát cỏ 2 thì")</f>
        <v>Máy phát cỏ 2 thì</v>
      </c>
      <c r="C1994" s="5" t="str">
        <f>IFERROR(__xludf.DUMMYFUNCTION("""COMPUTED_VALUE"""),"HÀNH CHÍNH KLH")</f>
        <v>HÀNH CHÍNH KLH</v>
      </c>
      <c r="D1994" s="5" t="str">
        <f>IFERROR(__xludf.DUMMYFUNCTION("""COMPUTED_VALUE"""),"TASCO")</f>
        <v>TASCO</v>
      </c>
      <c r="E1994" s="5" t="str">
        <f>IFERROR(__xludf.DUMMYFUNCTION("""COMPUTED_VALUE"""),"TRUNG QUỐC")</f>
        <v>TRUNG QUỐC</v>
      </c>
      <c r="F1994" s="5"/>
      <c r="G1994" s="5" t="str">
        <f>IFERROR(__xludf.DUMMYFUNCTION("""COMPUTED_VALUE"""),"T-338")</f>
        <v>T-338</v>
      </c>
      <c r="H1994" s="5" t="str">
        <f>IFERROR(__xludf.DUMMYFUNCTION("""COMPUTED_VALUE"""),"1.1HP")</f>
        <v>1.1HP</v>
      </c>
      <c r="I1994" s="5"/>
      <c r="J1994" s="5"/>
      <c r="K1994" s="5">
        <f>IFERROR(__xludf.DUMMYFUNCTION("""COMPUTED_VALUE"""),1.0)</f>
        <v>1</v>
      </c>
      <c r="L1994" s="5" t="str">
        <f>IFERROR(__xludf.DUMMYFUNCTION("""COMPUTED_VALUE"""),"KLH")</f>
        <v>KLH</v>
      </c>
    </row>
    <row r="1995">
      <c r="A1995" s="5" t="str">
        <f>IFERROR(__xludf.DUMMYFUNCTION("""COMPUTED_VALUE"""),"BAN ĐIỆN NƯỚC")</f>
        <v>BAN ĐIỆN NƯỚC</v>
      </c>
      <c r="B1995" s="3"/>
      <c r="C1995" s="5"/>
      <c r="D1995" s="5"/>
      <c r="E1995" s="5"/>
      <c r="F1995" s="5"/>
      <c r="G1995" s="5"/>
      <c r="H1995" s="5"/>
      <c r="I1995" s="5"/>
      <c r="J1995" s="5"/>
      <c r="K1995" s="5"/>
      <c r="L1995" s="5" t="str">
        <f>IFERROR(__xludf.DUMMYFUNCTION("""COMPUTED_VALUE"""),"KLH")</f>
        <v>KLH</v>
      </c>
    </row>
    <row r="1996">
      <c r="A1996" s="5" t="str">
        <f>IFERROR(__xludf.DUMMYFUNCTION("""COMPUTED_VALUE"""),"ĐNA-MPC-001")</f>
        <v>ĐNA-MPC-001</v>
      </c>
      <c r="B1996" s="3" t="str">
        <f>IFERROR(__xludf.DUMMYFUNCTION("""COMPUTED_VALUE"""),"Máy phát cỏ 4 thì")</f>
        <v>Máy phát cỏ 4 thì</v>
      </c>
      <c r="C1996" s="5" t="str">
        <f>IFERROR(__xludf.DUMMYFUNCTION("""COMPUTED_VALUE"""),"BAN ĐIỆN NƯỚC")</f>
        <v>BAN ĐIỆN NƯỚC</v>
      </c>
      <c r="D1996" s="5" t="str">
        <f>IFERROR(__xludf.DUMMYFUNCTION("""COMPUTED_VALUE"""),"HONDA")</f>
        <v>HONDA</v>
      </c>
      <c r="E1996" s="5"/>
      <c r="F1996" s="5"/>
      <c r="G1996" s="5" t="str">
        <f>IFERROR(__xludf.DUMMYFUNCTION("""COMPUTED_VALUE"""),"GX35")</f>
        <v>GX35</v>
      </c>
      <c r="H1996" s="5" t="str">
        <f>IFERROR(__xludf.DUMMYFUNCTION("""COMPUTED_VALUE"""),"1.6HP")</f>
        <v>1.6HP</v>
      </c>
      <c r="I1996" s="5"/>
      <c r="J1996" s="5"/>
      <c r="K1996" s="5">
        <f>IFERROR(__xludf.DUMMYFUNCTION("""COMPUTED_VALUE"""),0.5)</f>
        <v>0.5</v>
      </c>
      <c r="L1996" s="5" t="str">
        <f>IFERROR(__xludf.DUMMYFUNCTION("""COMPUTED_VALUE"""),"KLH")</f>
        <v>KLH</v>
      </c>
    </row>
    <row r="1997">
      <c r="A1997" s="5" t="str">
        <f>IFERROR(__xludf.DUMMYFUNCTION("""COMPUTED_VALUE"""),"ĐNA-MPC-002")</f>
        <v>ĐNA-MPC-002</v>
      </c>
      <c r="B1997" s="3" t="str">
        <f>IFERROR(__xludf.DUMMYFUNCTION("""COMPUTED_VALUE"""),"Máy phát cỏ 4 thì")</f>
        <v>Máy phát cỏ 4 thì</v>
      </c>
      <c r="C1997" s="5" t="str">
        <f>IFERROR(__xludf.DUMMYFUNCTION("""COMPUTED_VALUE"""),"BAN ĐIỆN NƯỚC")</f>
        <v>BAN ĐIỆN NƯỚC</v>
      </c>
      <c r="D1997" s="5" t="str">
        <f>IFERROR(__xludf.DUMMYFUNCTION("""COMPUTED_VALUE"""),"HONDA")</f>
        <v>HONDA</v>
      </c>
      <c r="E1997" s="5"/>
      <c r="F1997" s="5"/>
      <c r="G1997" s="5" t="str">
        <f>IFERROR(__xludf.DUMMYFUNCTION("""COMPUTED_VALUE"""),"GX35")</f>
        <v>GX35</v>
      </c>
      <c r="H1997" s="5" t="str">
        <f>IFERROR(__xludf.DUMMYFUNCTION("""COMPUTED_VALUE"""),"1.6HP")</f>
        <v>1.6HP</v>
      </c>
      <c r="I1997" s="5"/>
      <c r="J1997" s="5"/>
      <c r="K1997" s="5">
        <f>IFERROR(__xludf.DUMMYFUNCTION("""COMPUTED_VALUE"""),0.5)</f>
        <v>0.5</v>
      </c>
      <c r="L1997" s="5" t="str">
        <f>IFERROR(__xludf.DUMMYFUNCTION("""COMPUTED_VALUE"""),"KLH")</f>
        <v>KLH</v>
      </c>
    </row>
    <row r="1998">
      <c r="A1998" s="5" t="str">
        <f>IFERROR(__xludf.DUMMYFUNCTION("""COMPUTED_VALUE"""),"ĐNA-MPC-003")</f>
        <v>ĐNA-MPC-003</v>
      </c>
      <c r="B1998" s="3" t="str">
        <f>IFERROR(__xludf.DUMMYFUNCTION("""COMPUTED_VALUE"""),"Máy phát cỏ 4 thì")</f>
        <v>Máy phát cỏ 4 thì</v>
      </c>
      <c r="C1998" s="5" t="str">
        <f>IFERROR(__xludf.DUMMYFUNCTION("""COMPUTED_VALUE"""),"BAN ĐIỆN NƯỚC")</f>
        <v>BAN ĐIỆN NƯỚC</v>
      </c>
      <c r="D1998" s="5" t="str">
        <f>IFERROR(__xludf.DUMMYFUNCTION("""COMPUTED_VALUE"""),"HONDA")</f>
        <v>HONDA</v>
      </c>
      <c r="E1998" s="5"/>
      <c r="F1998" s="5"/>
      <c r="G1998" s="5" t="str">
        <f>IFERROR(__xludf.DUMMYFUNCTION("""COMPUTED_VALUE"""),"GX35")</f>
        <v>GX35</v>
      </c>
      <c r="H1998" s="5" t="str">
        <f>IFERROR(__xludf.DUMMYFUNCTION("""COMPUTED_VALUE"""),"1.6HP")</f>
        <v>1.6HP</v>
      </c>
      <c r="I1998" s="5"/>
      <c r="J1998" s="5"/>
      <c r="K1998" s="5">
        <f>IFERROR(__xludf.DUMMYFUNCTION("""COMPUTED_VALUE"""),0.5)</f>
        <v>0.5</v>
      </c>
      <c r="L1998" s="5" t="str">
        <f>IFERROR(__xludf.DUMMYFUNCTION("""COMPUTED_VALUE"""),"KLH")</f>
        <v>KLH</v>
      </c>
    </row>
    <row r="1999">
      <c r="A1999" s="5" t="str">
        <f>IFERROR(__xludf.DUMMYFUNCTION("""COMPUTED_VALUE"""),"ĐNA-MPC-004")</f>
        <v>ĐNA-MPC-004</v>
      </c>
      <c r="B1999" s="3" t="str">
        <f>IFERROR(__xludf.DUMMYFUNCTION("""COMPUTED_VALUE"""),"Máy phát cỏ 4 thì")</f>
        <v>Máy phát cỏ 4 thì</v>
      </c>
      <c r="C1999" s="5" t="str">
        <f>IFERROR(__xludf.DUMMYFUNCTION("""COMPUTED_VALUE"""),"BAN ĐIỆN NƯỚC")</f>
        <v>BAN ĐIỆN NƯỚC</v>
      </c>
      <c r="D1999" s="5" t="str">
        <f>IFERROR(__xludf.DUMMYFUNCTION("""COMPUTED_VALUE"""),"HONDA")</f>
        <v>HONDA</v>
      </c>
      <c r="E1999" s="5"/>
      <c r="F1999" s="5"/>
      <c r="G1999" s="5" t="str">
        <f>IFERROR(__xludf.DUMMYFUNCTION("""COMPUTED_VALUE"""),"GX35")</f>
        <v>GX35</v>
      </c>
      <c r="H1999" s="5" t="str">
        <f>IFERROR(__xludf.DUMMYFUNCTION("""COMPUTED_VALUE"""),"1.6HP")</f>
        <v>1.6HP</v>
      </c>
      <c r="I1999" s="5"/>
      <c r="J1999" s="5"/>
      <c r="K1999" s="5">
        <f>IFERROR(__xludf.DUMMYFUNCTION("""COMPUTED_VALUE"""),0.5)</f>
        <v>0.5</v>
      </c>
      <c r="L1999" s="5" t="str">
        <f>IFERROR(__xludf.DUMMYFUNCTION("""COMPUTED_VALUE"""),"KLH")</f>
        <v>KLH</v>
      </c>
    </row>
    <row r="2000">
      <c r="A2000" s="5" t="str">
        <f>IFERROR(__xludf.DUMMYFUNCTION("""COMPUTED_VALUE"""),"KLH")</f>
        <v>KLH</v>
      </c>
      <c r="B2000" s="3"/>
      <c r="C2000" s="5"/>
      <c r="D2000" s="5"/>
      <c r="E2000" s="5"/>
      <c r="F2000" s="5"/>
      <c r="G2000" s="5"/>
      <c r="H2000" s="5"/>
      <c r="I2000" s="5"/>
      <c r="J2000" s="5"/>
      <c r="K2000" s="5"/>
      <c r="L2000" s="5" t="str">
        <f>IFERROR(__xludf.DUMMYFUNCTION("""COMPUTED_VALUE"""),"KLH")</f>
        <v>KLH</v>
      </c>
    </row>
    <row r="2001">
      <c r="A2001" s="5" t="str">
        <f>IFERROR(__xludf.DUMMYFUNCTION("""COMPUTED_VALUE"""),"KLH")</f>
        <v>KLH</v>
      </c>
      <c r="B2001" s="3"/>
      <c r="C2001" s="5"/>
      <c r="D2001" s="5"/>
      <c r="E2001" s="5"/>
      <c r="F2001" s="5"/>
      <c r="G2001" s="5"/>
      <c r="H2001" s="5"/>
      <c r="I2001" s="5"/>
      <c r="J2001" s="5"/>
      <c r="K2001" s="5"/>
      <c r="L2001" s="5" t="str">
        <f>IFERROR(__xludf.DUMMYFUNCTION("""COMPUTED_VALUE"""),"KLH")</f>
        <v>KLH</v>
      </c>
    </row>
    <row r="2002">
      <c r="A2002" s="5" t="str">
        <f>IFERROR(__xludf.DUMMYFUNCTION("""COMPUTED_VALUE"""),"XD3-MPC-001")</f>
        <v>XD3-MPC-001</v>
      </c>
      <c r="B2002" s="3" t="str">
        <f>IFERROR(__xludf.DUMMYFUNCTION("""COMPUTED_VALUE"""),"Máy phát cỏ 4 thì")</f>
        <v>Máy phát cỏ 4 thì</v>
      </c>
      <c r="C2002" s="5" t="str">
        <f>IFERROR(__xludf.DUMMYFUNCTION("""COMPUTED_VALUE"""),"Loại biên")</f>
        <v>Loại biên</v>
      </c>
      <c r="D2002" s="5" t="str">
        <f>IFERROR(__xludf.DUMMYFUNCTION("""COMPUTED_VALUE"""),"HINOTA")</f>
        <v>HINOTA</v>
      </c>
      <c r="E2002" s="5" t="str">
        <f>IFERROR(__xludf.DUMMYFUNCTION("""COMPUTED_VALUE"""),"Trung Quốc")</f>
        <v>Trung Quốc</v>
      </c>
      <c r="F2002" s="5"/>
      <c r="G2002" s="5" t="str">
        <f>IFERROR(__xludf.DUMMYFUNCTION("""COMPUTED_VALUE"""),"CG435")</f>
        <v>CG435</v>
      </c>
      <c r="H2002" s="5" t="str">
        <f>IFERROR(__xludf.DUMMYFUNCTION("""COMPUTED_VALUE"""),"1.2HP")</f>
        <v>1.2HP</v>
      </c>
      <c r="I2002" s="5"/>
      <c r="J2002" s="5"/>
      <c r="K2002" s="5">
        <f>IFERROR(__xludf.DUMMYFUNCTION("""COMPUTED_VALUE"""),0.5)</f>
        <v>0.5</v>
      </c>
      <c r="L2002" s="5" t="str">
        <f>IFERROR(__xludf.DUMMYFUNCTION("""COMPUTED_VALUE"""),"Loại biên")</f>
        <v>Loại biên</v>
      </c>
    </row>
    <row r="2003">
      <c r="A2003" s="5" t="str">
        <f>IFERROR(__xludf.DUMMYFUNCTION("""COMPUTED_VALUE"""),"XD3-MPC-002")</f>
        <v>XD3-MPC-002</v>
      </c>
      <c r="B2003" s="3" t="str">
        <f>IFERROR(__xludf.DUMMYFUNCTION("""COMPUTED_VALUE"""),"Máy phát cỏ 4 thì")</f>
        <v>Máy phát cỏ 4 thì</v>
      </c>
      <c r="C2003" s="5" t="str">
        <f>IFERROR(__xludf.DUMMYFUNCTION("""COMPUTED_VALUE"""),"Loại biên")</f>
        <v>Loại biên</v>
      </c>
      <c r="D2003" s="5" t="str">
        <f>IFERROR(__xludf.DUMMYFUNCTION("""COMPUTED_VALUE"""),"HINOTA")</f>
        <v>HINOTA</v>
      </c>
      <c r="E2003" s="5" t="str">
        <f>IFERROR(__xludf.DUMMYFUNCTION("""COMPUTED_VALUE"""),"Trung Quốc")</f>
        <v>Trung Quốc</v>
      </c>
      <c r="F2003" s="5"/>
      <c r="G2003" s="5" t="str">
        <f>IFERROR(__xludf.DUMMYFUNCTION("""COMPUTED_VALUE"""),"CG435")</f>
        <v>CG435</v>
      </c>
      <c r="H2003" s="5" t="str">
        <f>IFERROR(__xludf.DUMMYFUNCTION("""COMPUTED_VALUE"""),"1.2HP")</f>
        <v>1.2HP</v>
      </c>
      <c r="I2003" s="5"/>
      <c r="J2003" s="5"/>
      <c r="K2003" s="5">
        <f>IFERROR(__xludf.DUMMYFUNCTION("""COMPUTED_VALUE"""),0.5)</f>
        <v>0.5</v>
      </c>
      <c r="L2003" s="5" t="str">
        <f>IFERROR(__xludf.DUMMYFUNCTION("""COMPUTED_VALUE"""),"Loại biên")</f>
        <v>Loại biên</v>
      </c>
    </row>
    <row r="2004">
      <c r="A2004" s="5" t="str">
        <f>IFERROR(__xludf.DUMMYFUNCTION("""COMPUTED_VALUE"""),"XD3-MPC-003")</f>
        <v>XD3-MPC-003</v>
      </c>
      <c r="B2004" s="3" t="str">
        <f>IFERROR(__xludf.DUMMYFUNCTION("""COMPUTED_VALUE"""),"Máy phát cỏ 4 thì")</f>
        <v>Máy phát cỏ 4 thì</v>
      </c>
      <c r="C2004" s="5" t="str">
        <f>IFERROR(__xludf.DUMMYFUNCTION("""COMPUTED_VALUE"""),"Loại biên")</f>
        <v>Loại biên</v>
      </c>
      <c r="D2004" s="5" t="str">
        <f>IFERROR(__xludf.DUMMYFUNCTION("""COMPUTED_VALUE"""),"HINOTA")</f>
        <v>HINOTA</v>
      </c>
      <c r="E2004" s="5" t="str">
        <f>IFERROR(__xludf.DUMMYFUNCTION("""COMPUTED_VALUE"""),"Trung Quốc")</f>
        <v>Trung Quốc</v>
      </c>
      <c r="F2004" s="5"/>
      <c r="G2004" s="5" t="str">
        <f>IFERROR(__xludf.DUMMYFUNCTION("""COMPUTED_VALUE"""),"CG435")</f>
        <v>CG435</v>
      </c>
      <c r="H2004" s="5" t="str">
        <f>IFERROR(__xludf.DUMMYFUNCTION("""COMPUTED_VALUE"""),"1.2HP")</f>
        <v>1.2HP</v>
      </c>
      <c r="I2004" s="5"/>
      <c r="J2004" s="5"/>
      <c r="K2004" s="5">
        <f>IFERROR(__xludf.DUMMYFUNCTION("""COMPUTED_VALUE"""),0.5)</f>
        <v>0.5</v>
      </c>
      <c r="L2004" s="5" t="str">
        <f>IFERROR(__xludf.DUMMYFUNCTION("""COMPUTED_VALUE"""),"Loại biên")</f>
        <v>Loại biên</v>
      </c>
    </row>
    <row r="2005">
      <c r="A2005" s="5" t="str">
        <f>IFERROR(__xludf.DUMMYFUNCTION("""COMPUTED_VALUE"""),"XD3-MPC-004")</f>
        <v>XD3-MPC-004</v>
      </c>
      <c r="B2005" s="3" t="str">
        <f>IFERROR(__xludf.DUMMYFUNCTION("""COMPUTED_VALUE"""),"Máy phát cỏ 4 thì")</f>
        <v>Máy phát cỏ 4 thì</v>
      </c>
      <c r="C2005" s="5" t="str">
        <f>IFERROR(__xludf.DUMMYFUNCTION("""COMPUTED_VALUE"""),"Loại biên")</f>
        <v>Loại biên</v>
      </c>
      <c r="D2005" s="5" t="str">
        <f>IFERROR(__xludf.DUMMYFUNCTION("""COMPUTED_VALUE"""),"HINOTA")</f>
        <v>HINOTA</v>
      </c>
      <c r="E2005" s="5" t="str">
        <f>IFERROR(__xludf.DUMMYFUNCTION("""COMPUTED_VALUE"""),"Trung Quốc")</f>
        <v>Trung Quốc</v>
      </c>
      <c r="F2005" s="5"/>
      <c r="G2005" s="5" t="str">
        <f>IFERROR(__xludf.DUMMYFUNCTION("""COMPUTED_VALUE"""),"CG435")</f>
        <v>CG435</v>
      </c>
      <c r="H2005" s="5" t="str">
        <f>IFERROR(__xludf.DUMMYFUNCTION("""COMPUTED_VALUE"""),"1.2HP")</f>
        <v>1.2HP</v>
      </c>
      <c r="I2005" s="5"/>
      <c r="J2005" s="5"/>
      <c r="K2005" s="5">
        <f>IFERROR(__xludf.DUMMYFUNCTION("""COMPUTED_VALUE"""),0.5)</f>
        <v>0.5</v>
      </c>
      <c r="L2005" s="5" t="str">
        <f>IFERROR(__xludf.DUMMYFUNCTION("""COMPUTED_VALUE"""),"Loại biên")</f>
        <v>Loại biên</v>
      </c>
    </row>
    <row r="2006">
      <c r="A2006" s="5" t="str">
        <f>IFERROR(__xludf.DUMMYFUNCTION("""COMPUTED_VALUE"""),"XD3-MPC-005")</f>
        <v>XD3-MPC-005</v>
      </c>
      <c r="B2006" s="3" t="str">
        <f>IFERROR(__xludf.DUMMYFUNCTION("""COMPUTED_VALUE"""),"Máy phát cỏ 4 thì")</f>
        <v>Máy phát cỏ 4 thì</v>
      </c>
      <c r="C2006" s="5" t="str">
        <f>IFERROR(__xludf.DUMMYFUNCTION("""COMPUTED_VALUE"""),"Loại biên")</f>
        <v>Loại biên</v>
      </c>
      <c r="D2006" s="5" t="str">
        <f>IFERROR(__xludf.DUMMYFUNCTION("""COMPUTED_VALUE"""),"HINOTA")</f>
        <v>HINOTA</v>
      </c>
      <c r="E2006" s="5" t="str">
        <f>IFERROR(__xludf.DUMMYFUNCTION("""COMPUTED_VALUE"""),"Trung Quốc")</f>
        <v>Trung Quốc</v>
      </c>
      <c r="F2006" s="5"/>
      <c r="G2006" s="5" t="str">
        <f>IFERROR(__xludf.DUMMYFUNCTION("""COMPUTED_VALUE"""),"CG435")</f>
        <v>CG435</v>
      </c>
      <c r="H2006" s="5" t="str">
        <f>IFERROR(__xludf.DUMMYFUNCTION("""COMPUTED_VALUE"""),"1.2HP")</f>
        <v>1.2HP</v>
      </c>
      <c r="I2006" s="5"/>
      <c r="J2006" s="5"/>
      <c r="K2006" s="5">
        <f>IFERROR(__xludf.DUMMYFUNCTION("""COMPUTED_VALUE"""),0.5)</f>
        <v>0.5</v>
      </c>
      <c r="L2006" s="5" t="str">
        <f>IFERROR(__xludf.DUMMYFUNCTION("""COMPUTED_VALUE"""),"Loại biên")</f>
        <v>Loại biên</v>
      </c>
    </row>
    <row r="2007">
      <c r="A2007" s="5" t="str">
        <f>IFERROR(__xludf.DUMMYFUNCTION("""COMPUTED_VALUE"""),"XD3-MPC-012")</f>
        <v>XD3-MPC-012</v>
      </c>
      <c r="B2007" s="3" t="str">
        <f>IFERROR(__xludf.DUMMYFUNCTION("""COMPUTED_VALUE"""),"Máy phát cỏ 4 thì")</f>
        <v>Máy phát cỏ 4 thì</v>
      </c>
      <c r="C2007" s="5" t="str">
        <f>IFERROR(__xludf.DUMMYFUNCTION("""COMPUTED_VALUE"""),"Loại biên")</f>
        <v>Loại biên</v>
      </c>
      <c r="D2007" s="5" t="str">
        <f>IFERROR(__xludf.DUMMYFUNCTION("""COMPUTED_VALUE"""),"HINOTA")</f>
        <v>HINOTA</v>
      </c>
      <c r="E2007" s="5" t="str">
        <f>IFERROR(__xludf.DUMMYFUNCTION("""COMPUTED_VALUE"""),"Trung Quốc")</f>
        <v>Trung Quốc</v>
      </c>
      <c r="F2007" s="5"/>
      <c r="G2007" s="5" t="str">
        <f>IFERROR(__xludf.DUMMYFUNCTION("""COMPUTED_VALUE"""),"CG435")</f>
        <v>CG435</v>
      </c>
      <c r="H2007" s="5" t="str">
        <f>IFERROR(__xludf.DUMMYFUNCTION("""COMPUTED_VALUE"""),"1.2HP")</f>
        <v>1.2HP</v>
      </c>
      <c r="I2007" s="5"/>
      <c r="J2007" s="5"/>
      <c r="K2007" s="5">
        <f>IFERROR(__xludf.DUMMYFUNCTION("""COMPUTED_VALUE"""),0.5)</f>
        <v>0.5</v>
      </c>
      <c r="L2007" s="5" t="str">
        <f>IFERROR(__xludf.DUMMYFUNCTION("""COMPUTED_VALUE"""),"Loại biên")</f>
        <v>Loại biên</v>
      </c>
    </row>
    <row r="2008">
      <c r="A2008" s="5" t="str">
        <f>IFERROR(__xludf.DUMMYFUNCTION("""COMPUTED_VALUE"""),"XD3-MPC-013")</f>
        <v>XD3-MPC-013</v>
      </c>
      <c r="B2008" s="3" t="str">
        <f>IFERROR(__xludf.DUMMYFUNCTION("""COMPUTED_VALUE"""),"Máy phát cỏ 4 thì")</f>
        <v>Máy phát cỏ 4 thì</v>
      </c>
      <c r="C2008" s="5" t="str">
        <f>IFERROR(__xludf.DUMMYFUNCTION("""COMPUTED_VALUE"""),"Loại biên")</f>
        <v>Loại biên</v>
      </c>
      <c r="D2008" s="5" t="str">
        <f>IFERROR(__xludf.DUMMYFUNCTION("""COMPUTED_VALUE"""),"HINOTA")</f>
        <v>HINOTA</v>
      </c>
      <c r="E2008" s="5" t="str">
        <f>IFERROR(__xludf.DUMMYFUNCTION("""COMPUTED_VALUE"""),"Trung Quốc")</f>
        <v>Trung Quốc</v>
      </c>
      <c r="F2008" s="5"/>
      <c r="G2008" s="5" t="str">
        <f>IFERROR(__xludf.DUMMYFUNCTION("""COMPUTED_VALUE"""),"CG435")</f>
        <v>CG435</v>
      </c>
      <c r="H2008" s="5" t="str">
        <f>IFERROR(__xludf.DUMMYFUNCTION("""COMPUTED_VALUE"""),"1.2HP")</f>
        <v>1.2HP</v>
      </c>
      <c r="I2008" s="5"/>
      <c r="J2008" s="5"/>
      <c r="K2008" s="5">
        <f>IFERROR(__xludf.DUMMYFUNCTION("""COMPUTED_VALUE"""),0.5)</f>
        <v>0.5</v>
      </c>
      <c r="L2008" s="5" t="str">
        <f>IFERROR(__xludf.DUMMYFUNCTION("""COMPUTED_VALUE"""),"Loại biên")</f>
        <v>Loại biên</v>
      </c>
    </row>
    <row r="2009">
      <c r="A2009" s="5" t="str">
        <f>IFERROR(__xludf.DUMMYFUNCTION("""COMPUTED_VALUE"""),"XD3-MPC-015")</f>
        <v>XD3-MPC-015</v>
      </c>
      <c r="B2009" s="3" t="str">
        <f>IFERROR(__xludf.DUMMYFUNCTION("""COMPUTED_VALUE"""),"Máy phát cỏ 4 thì")</f>
        <v>Máy phát cỏ 4 thì</v>
      </c>
      <c r="C2009" s="5" t="str">
        <f>IFERROR(__xludf.DUMMYFUNCTION("""COMPUTED_VALUE"""),"Loại biên")</f>
        <v>Loại biên</v>
      </c>
      <c r="D2009" s="5" t="str">
        <f>IFERROR(__xludf.DUMMYFUNCTION("""COMPUTED_VALUE"""),"HINOTA")</f>
        <v>HINOTA</v>
      </c>
      <c r="E2009" s="5" t="str">
        <f>IFERROR(__xludf.DUMMYFUNCTION("""COMPUTED_VALUE"""),"Trung Quốc")</f>
        <v>Trung Quốc</v>
      </c>
      <c r="F2009" s="5"/>
      <c r="G2009" s="5" t="str">
        <f>IFERROR(__xludf.DUMMYFUNCTION("""COMPUTED_VALUE"""),"CG435")</f>
        <v>CG435</v>
      </c>
      <c r="H2009" s="5" t="str">
        <f>IFERROR(__xludf.DUMMYFUNCTION("""COMPUTED_VALUE"""),"1.2HP")</f>
        <v>1.2HP</v>
      </c>
      <c r="I2009" s="5"/>
      <c r="J2009" s="5"/>
      <c r="K2009" s="5">
        <f>IFERROR(__xludf.DUMMYFUNCTION("""COMPUTED_VALUE"""),0.5)</f>
        <v>0.5</v>
      </c>
      <c r="L2009" s="5" t="str">
        <f>IFERROR(__xludf.DUMMYFUNCTION("""COMPUTED_VALUE"""),"Loại biên")</f>
        <v>Loại biên</v>
      </c>
    </row>
    <row r="2010">
      <c r="A2010" s="5" t="str">
        <f>IFERROR(__xludf.DUMMYFUNCTION("""COMPUTED_VALUE"""),"XD3-MPC-017")</f>
        <v>XD3-MPC-017</v>
      </c>
      <c r="B2010" s="3" t="str">
        <f>IFERROR(__xludf.DUMMYFUNCTION("""COMPUTED_VALUE"""),"Máy phát cỏ 4 thì")</f>
        <v>Máy phát cỏ 4 thì</v>
      </c>
      <c r="C2010" s="5" t="str">
        <f>IFERROR(__xludf.DUMMYFUNCTION("""COMPUTED_VALUE"""),"Loại biên")</f>
        <v>Loại biên</v>
      </c>
      <c r="D2010" s="5" t="str">
        <f>IFERROR(__xludf.DUMMYFUNCTION("""COMPUTED_VALUE"""),"HINOTA")</f>
        <v>HINOTA</v>
      </c>
      <c r="E2010" s="5" t="str">
        <f>IFERROR(__xludf.DUMMYFUNCTION("""COMPUTED_VALUE"""),"Trung Quốc")</f>
        <v>Trung Quốc</v>
      </c>
      <c r="F2010" s="5"/>
      <c r="G2010" s="5" t="str">
        <f>IFERROR(__xludf.DUMMYFUNCTION("""COMPUTED_VALUE"""),"CG435")</f>
        <v>CG435</v>
      </c>
      <c r="H2010" s="5" t="str">
        <f>IFERROR(__xludf.DUMMYFUNCTION("""COMPUTED_VALUE"""),"1.2HP")</f>
        <v>1.2HP</v>
      </c>
      <c r="I2010" s="5"/>
      <c r="J2010" s="5"/>
      <c r="K2010" s="5">
        <f>IFERROR(__xludf.DUMMYFUNCTION("""COMPUTED_VALUE"""),0.5)</f>
        <v>0.5</v>
      </c>
      <c r="L2010" s="5" t="str">
        <f>IFERROR(__xludf.DUMMYFUNCTION("""COMPUTED_VALUE"""),"Loại biên")</f>
        <v>Loại biên</v>
      </c>
    </row>
    <row r="2011">
      <c r="A2011" s="5" t="str">
        <f>IFERROR(__xludf.DUMMYFUNCTION("""COMPUTED_VALUE"""),"XD3-MPC-021")</f>
        <v>XD3-MPC-021</v>
      </c>
      <c r="B2011" s="3" t="str">
        <f>IFERROR(__xludf.DUMMYFUNCTION("""COMPUTED_VALUE"""),"Máy phát cỏ 4 thì")</f>
        <v>Máy phát cỏ 4 thì</v>
      </c>
      <c r="C2011" s="5" t="str">
        <f>IFERROR(__xludf.DUMMYFUNCTION("""COMPUTED_VALUE"""),"Loại biên")</f>
        <v>Loại biên</v>
      </c>
      <c r="D2011" s="5" t="str">
        <f>IFERROR(__xludf.DUMMYFUNCTION("""COMPUTED_VALUE"""),"HINOTA")</f>
        <v>HINOTA</v>
      </c>
      <c r="E2011" s="5" t="str">
        <f>IFERROR(__xludf.DUMMYFUNCTION("""COMPUTED_VALUE"""),"Trung Quốc")</f>
        <v>Trung Quốc</v>
      </c>
      <c r="F2011" s="5"/>
      <c r="G2011" s="5" t="str">
        <f>IFERROR(__xludf.DUMMYFUNCTION("""COMPUTED_VALUE"""),"CG435")</f>
        <v>CG435</v>
      </c>
      <c r="H2011" s="5" t="str">
        <f>IFERROR(__xludf.DUMMYFUNCTION("""COMPUTED_VALUE"""),"1.2HP")</f>
        <v>1.2HP</v>
      </c>
      <c r="I2011" s="5"/>
      <c r="J2011" s="5"/>
      <c r="K2011" s="5">
        <f>IFERROR(__xludf.DUMMYFUNCTION("""COMPUTED_VALUE"""),0.5)</f>
        <v>0.5</v>
      </c>
      <c r="L2011" s="5" t="str">
        <f>IFERROR(__xludf.DUMMYFUNCTION("""COMPUTED_VALUE"""),"Loại biên")</f>
        <v>Loại biên</v>
      </c>
    </row>
    <row r="2012">
      <c r="A2012" s="5" t="str">
        <f>IFERROR(__xludf.DUMMYFUNCTION("""COMPUTED_VALUE"""),"XD3-MPC-024")</f>
        <v>XD3-MPC-024</v>
      </c>
      <c r="B2012" s="3" t="str">
        <f>IFERROR(__xludf.DUMMYFUNCTION("""COMPUTED_VALUE"""),"Máy phát cỏ 4 thì")</f>
        <v>Máy phát cỏ 4 thì</v>
      </c>
      <c r="C2012" s="5" t="str">
        <f>IFERROR(__xludf.DUMMYFUNCTION("""COMPUTED_VALUE"""),"Loại biên")</f>
        <v>Loại biên</v>
      </c>
      <c r="D2012" s="5" t="str">
        <f>IFERROR(__xludf.DUMMYFUNCTION("""COMPUTED_VALUE"""),"HINOTA")</f>
        <v>HINOTA</v>
      </c>
      <c r="E2012" s="5" t="str">
        <f>IFERROR(__xludf.DUMMYFUNCTION("""COMPUTED_VALUE"""),"Trung Quốc")</f>
        <v>Trung Quốc</v>
      </c>
      <c r="F2012" s="5"/>
      <c r="G2012" s="5" t="str">
        <f>IFERROR(__xludf.DUMMYFUNCTION("""COMPUTED_VALUE"""),"CG435")</f>
        <v>CG435</v>
      </c>
      <c r="H2012" s="5" t="str">
        <f>IFERROR(__xludf.DUMMYFUNCTION("""COMPUTED_VALUE"""),"1.2HP")</f>
        <v>1.2HP</v>
      </c>
      <c r="I2012" s="5"/>
      <c r="J2012" s="5"/>
      <c r="K2012" s="5">
        <f>IFERROR(__xludf.DUMMYFUNCTION("""COMPUTED_VALUE"""),0.5)</f>
        <v>0.5</v>
      </c>
      <c r="L2012" s="5" t="str">
        <f>IFERROR(__xludf.DUMMYFUNCTION("""COMPUTED_VALUE"""),"Loại biên")</f>
        <v>Loại biên</v>
      </c>
    </row>
    <row r="2013">
      <c r="A2013" s="5" t="str">
        <f>IFERROR(__xludf.DUMMYFUNCTION("""COMPUTED_VALUE"""),"XD3-MPC-025")</f>
        <v>XD3-MPC-025</v>
      </c>
      <c r="B2013" s="3" t="str">
        <f>IFERROR(__xludf.DUMMYFUNCTION("""COMPUTED_VALUE"""),"Máy phát cỏ 4 thì")</f>
        <v>Máy phát cỏ 4 thì</v>
      </c>
      <c r="C2013" s="5" t="str">
        <f>IFERROR(__xludf.DUMMYFUNCTION("""COMPUTED_VALUE"""),"Loại biên")</f>
        <v>Loại biên</v>
      </c>
      <c r="D2013" s="5" t="str">
        <f>IFERROR(__xludf.DUMMYFUNCTION("""COMPUTED_VALUE"""),"HINOTA")</f>
        <v>HINOTA</v>
      </c>
      <c r="E2013" s="5" t="str">
        <f>IFERROR(__xludf.DUMMYFUNCTION("""COMPUTED_VALUE"""),"Trung Quốc")</f>
        <v>Trung Quốc</v>
      </c>
      <c r="F2013" s="5"/>
      <c r="G2013" s="5" t="str">
        <f>IFERROR(__xludf.DUMMYFUNCTION("""COMPUTED_VALUE"""),"CG435")</f>
        <v>CG435</v>
      </c>
      <c r="H2013" s="5" t="str">
        <f>IFERROR(__xludf.DUMMYFUNCTION("""COMPUTED_VALUE"""),"1.2HP")</f>
        <v>1.2HP</v>
      </c>
      <c r="I2013" s="5"/>
      <c r="J2013" s="5"/>
      <c r="K2013" s="5">
        <f>IFERROR(__xludf.DUMMYFUNCTION("""COMPUTED_VALUE"""),0.5)</f>
        <v>0.5</v>
      </c>
      <c r="L2013" s="5" t="str">
        <f>IFERROR(__xludf.DUMMYFUNCTION("""COMPUTED_VALUE"""),"Loại biên")</f>
        <v>Loại biên</v>
      </c>
    </row>
    <row r="2014">
      <c r="A2014" s="5" t="str">
        <f>IFERROR(__xludf.DUMMYFUNCTION("""COMPUTED_VALUE"""),"XD2-MPC-006")</f>
        <v>XD2-MPC-006</v>
      </c>
      <c r="B2014" s="3" t="str">
        <f>IFERROR(__xludf.DUMMYFUNCTION("""COMPUTED_VALUE"""),"Máy phát cỏ 4 thì")</f>
        <v>Máy phát cỏ 4 thì</v>
      </c>
      <c r="C2014" s="5" t="str">
        <f>IFERROR(__xludf.DUMMYFUNCTION("""COMPUTED_VALUE"""),"Loại biên")</f>
        <v>Loại biên</v>
      </c>
      <c r="D2014" s="5" t="str">
        <f>IFERROR(__xludf.DUMMYFUNCTION("""COMPUTED_VALUE"""),"HINOTA")</f>
        <v>HINOTA</v>
      </c>
      <c r="E2014" s="5" t="str">
        <f>IFERROR(__xludf.DUMMYFUNCTION("""COMPUTED_VALUE"""),"Trung Quốc")</f>
        <v>Trung Quốc</v>
      </c>
      <c r="F2014" s="5"/>
      <c r="G2014" s="5" t="str">
        <f>IFERROR(__xludf.DUMMYFUNCTION("""COMPUTED_VALUE"""),"CG435")</f>
        <v>CG435</v>
      </c>
      <c r="H2014" s="5" t="str">
        <f>IFERROR(__xludf.DUMMYFUNCTION("""COMPUTED_VALUE"""),"1.2HP")</f>
        <v>1.2HP</v>
      </c>
      <c r="I2014" s="5"/>
      <c r="J2014" s="5"/>
      <c r="K2014" s="5">
        <f>IFERROR(__xludf.DUMMYFUNCTION("""COMPUTED_VALUE"""),0.5)</f>
        <v>0.5</v>
      </c>
      <c r="L2014" s="5" t="str">
        <f>IFERROR(__xludf.DUMMYFUNCTION("""COMPUTED_VALUE"""),"Loại biên")</f>
        <v>Loại biên</v>
      </c>
    </row>
    <row r="2015">
      <c r="A2015" s="5" t="str">
        <f>IFERROR(__xludf.DUMMYFUNCTION("""COMPUTED_VALUE"""),"XD2-MPC-007")</f>
        <v>XD2-MPC-007</v>
      </c>
      <c r="B2015" s="3" t="str">
        <f>IFERROR(__xludf.DUMMYFUNCTION("""COMPUTED_VALUE"""),"Máy phát cỏ 4 thì")</f>
        <v>Máy phát cỏ 4 thì</v>
      </c>
      <c r="C2015" s="5" t="str">
        <f>IFERROR(__xludf.DUMMYFUNCTION("""COMPUTED_VALUE"""),"Loại biên")</f>
        <v>Loại biên</v>
      </c>
      <c r="D2015" s="5" t="str">
        <f>IFERROR(__xludf.DUMMYFUNCTION("""COMPUTED_VALUE"""),"HINOTA")</f>
        <v>HINOTA</v>
      </c>
      <c r="E2015" s="5" t="str">
        <f>IFERROR(__xludf.DUMMYFUNCTION("""COMPUTED_VALUE"""),"Trung Quốc")</f>
        <v>Trung Quốc</v>
      </c>
      <c r="F2015" s="5"/>
      <c r="G2015" s="5" t="str">
        <f>IFERROR(__xludf.DUMMYFUNCTION("""COMPUTED_VALUE"""),"CG435")</f>
        <v>CG435</v>
      </c>
      <c r="H2015" s="5" t="str">
        <f>IFERROR(__xludf.DUMMYFUNCTION("""COMPUTED_VALUE"""),"1.2HP")</f>
        <v>1.2HP</v>
      </c>
      <c r="I2015" s="5"/>
      <c r="J2015" s="5"/>
      <c r="K2015" s="5">
        <f>IFERROR(__xludf.DUMMYFUNCTION("""COMPUTED_VALUE"""),0.5)</f>
        <v>0.5</v>
      </c>
      <c r="L2015" s="5" t="str">
        <f>IFERROR(__xludf.DUMMYFUNCTION("""COMPUTED_VALUE"""),"Loại biên")</f>
        <v>Loại biên</v>
      </c>
    </row>
    <row r="2016">
      <c r="A2016" s="5" t="str">
        <f>IFERROR(__xludf.DUMMYFUNCTION("""COMPUTED_VALUE"""),"XD2-MPC-008")</f>
        <v>XD2-MPC-008</v>
      </c>
      <c r="B2016" s="3" t="str">
        <f>IFERROR(__xludf.DUMMYFUNCTION("""COMPUTED_VALUE"""),"Máy phát cỏ 4 thì")</f>
        <v>Máy phát cỏ 4 thì</v>
      </c>
      <c r="C2016" s="5" t="str">
        <f>IFERROR(__xludf.DUMMYFUNCTION("""COMPUTED_VALUE"""),"Loại biên")</f>
        <v>Loại biên</v>
      </c>
      <c r="D2016" s="5" t="str">
        <f>IFERROR(__xludf.DUMMYFUNCTION("""COMPUTED_VALUE"""),"HINOTA")</f>
        <v>HINOTA</v>
      </c>
      <c r="E2016" s="5" t="str">
        <f>IFERROR(__xludf.DUMMYFUNCTION("""COMPUTED_VALUE"""),"Trung Quốc")</f>
        <v>Trung Quốc</v>
      </c>
      <c r="F2016" s="5"/>
      <c r="G2016" s="5" t="str">
        <f>IFERROR(__xludf.DUMMYFUNCTION("""COMPUTED_VALUE"""),"CG435")</f>
        <v>CG435</v>
      </c>
      <c r="H2016" s="5" t="str">
        <f>IFERROR(__xludf.DUMMYFUNCTION("""COMPUTED_VALUE"""),"1.2HP")</f>
        <v>1.2HP</v>
      </c>
      <c r="I2016" s="5"/>
      <c r="J2016" s="5"/>
      <c r="K2016" s="5">
        <f>IFERROR(__xludf.DUMMYFUNCTION("""COMPUTED_VALUE"""),0.5)</f>
        <v>0.5</v>
      </c>
      <c r="L2016" s="5" t="str">
        <f>IFERROR(__xludf.DUMMYFUNCTION("""COMPUTED_VALUE"""),"Loại biên")</f>
        <v>Loại biên</v>
      </c>
    </row>
    <row r="2017">
      <c r="A2017" s="5" t="str">
        <f>IFERROR(__xludf.DUMMYFUNCTION("""COMPUTED_VALUE"""),"XD2-MPC-010")</f>
        <v>XD2-MPC-010</v>
      </c>
      <c r="B2017" s="3" t="str">
        <f>IFERROR(__xludf.DUMMYFUNCTION("""COMPUTED_VALUE"""),"Máy phát cỏ 4 thì")</f>
        <v>Máy phát cỏ 4 thì</v>
      </c>
      <c r="C2017" s="5" t="str">
        <f>IFERROR(__xludf.DUMMYFUNCTION("""COMPUTED_VALUE"""),"Loại biên")</f>
        <v>Loại biên</v>
      </c>
      <c r="D2017" s="5" t="str">
        <f>IFERROR(__xludf.DUMMYFUNCTION("""COMPUTED_VALUE"""),"HINOTA")</f>
        <v>HINOTA</v>
      </c>
      <c r="E2017" s="5" t="str">
        <f>IFERROR(__xludf.DUMMYFUNCTION("""COMPUTED_VALUE"""),"Trung Quốc")</f>
        <v>Trung Quốc</v>
      </c>
      <c r="F2017" s="5"/>
      <c r="G2017" s="5" t="str">
        <f>IFERROR(__xludf.DUMMYFUNCTION("""COMPUTED_VALUE"""),"CG435")</f>
        <v>CG435</v>
      </c>
      <c r="H2017" s="5" t="str">
        <f>IFERROR(__xludf.DUMMYFUNCTION("""COMPUTED_VALUE"""),"1.2HP")</f>
        <v>1.2HP</v>
      </c>
      <c r="I2017" s="5"/>
      <c r="J2017" s="5"/>
      <c r="K2017" s="5">
        <f>IFERROR(__xludf.DUMMYFUNCTION("""COMPUTED_VALUE"""),0.5)</f>
        <v>0.5</v>
      </c>
      <c r="L2017" s="5" t="str">
        <f>IFERROR(__xludf.DUMMYFUNCTION("""COMPUTED_VALUE"""),"Loại biên")</f>
        <v>Loại biên</v>
      </c>
    </row>
    <row r="2018">
      <c r="A2018" s="5" t="str">
        <f>IFERROR(__xludf.DUMMYFUNCTION("""COMPUTED_VALUE"""),"XD2-MPC-017")</f>
        <v>XD2-MPC-017</v>
      </c>
      <c r="B2018" s="3" t="str">
        <f>IFERROR(__xludf.DUMMYFUNCTION("""COMPUTED_VALUE"""),"Máy phát cỏ 4 thì")</f>
        <v>Máy phát cỏ 4 thì</v>
      </c>
      <c r="C2018" s="5" t="str">
        <f>IFERROR(__xludf.DUMMYFUNCTION("""COMPUTED_VALUE"""),"Loại biên")</f>
        <v>Loại biên</v>
      </c>
      <c r="D2018" s="5" t="str">
        <f>IFERROR(__xludf.DUMMYFUNCTION("""COMPUTED_VALUE"""),"HINOTA")</f>
        <v>HINOTA</v>
      </c>
      <c r="E2018" s="5" t="str">
        <f>IFERROR(__xludf.DUMMYFUNCTION("""COMPUTED_VALUE"""),"Trung Quốc")</f>
        <v>Trung Quốc</v>
      </c>
      <c r="F2018" s="5"/>
      <c r="G2018" s="5" t="str">
        <f>IFERROR(__xludf.DUMMYFUNCTION("""COMPUTED_VALUE"""),"CG435")</f>
        <v>CG435</v>
      </c>
      <c r="H2018" s="5" t="str">
        <f>IFERROR(__xludf.DUMMYFUNCTION("""COMPUTED_VALUE"""),"1.2HP")</f>
        <v>1.2HP</v>
      </c>
      <c r="I2018" s="5"/>
      <c r="J2018" s="5"/>
      <c r="K2018" s="5">
        <f>IFERROR(__xludf.DUMMYFUNCTION("""COMPUTED_VALUE"""),0.5)</f>
        <v>0.5</v>
      </c>
      <c r="L2018" s="5" t="str">
        <f>IFERROR(__xludf.DUMMYFUNCTION("""COMPUTED_VALUE"""),"Loại biên")</f>
        <v>Loại biên</v>
      </c>
    </row>
    <row r="2019">
      <c r="A2019" s="5" t="str">
        <f>IFERROR(__xludf.DUMMYFUNCTION("""COMPUTED_VALUE"""),"XD2-MPC-021")</f>
        <v>XD2-MPC-021</v>
      </c>
      <c r="B2019" s="3" t="str">
        <f>IFERROR(__xludf.DUMMYFUNCTION("""COMPUTED_VALUE"""),"Máy phát cỏ 4 thì")</f>
        <v>Máy phát cỏ 4 thì</v>
      </c>
      <c r="C2019" s="5" t="str">
        <f>IFERROR(__xludf.DUMMYFUNCTION("""COMPUTED_VALUE"""),"Loại biên")</f>
        <v>Loại biên</v>
      </c>
      <c r="D2019" s="5" t="str">
        <f>IFERROR(__xludf.DUMMYFUNCTION("""COMPUTED_VALUE"""),"HINOTA")</f>
        <v>HINOTA</v>
      </c>
      <c r="E2019" s="5" t="str">
        <f>IFERROR(__xludf.DUMMYFUNCTION("""COMPUTED_VALUE"""),"Trung Quốc")</f>
        <v>Trung Quốc</v>
      </c>
      <c r="F2019" s="5"/>
      <c r="G2019" s="5" t="str">
        <f>IFERROR(__xludf.DUMMYFUNCTION("""COMPUTED_VALUE"""),"CG435")</f>
        <v>CG435</v>
      </c>
      <c r="H2019" s="5" t="str">
        <f>IFERROR(__xludf.DUMMYFUNCTION("""COMPUTED_VALUE"""),"1.2HP")</f>
        <v>1.2HP</v>
      </c>
      <c r="I2019" s="5"/>
      <c r="J2019" s="5"/>
      <c r="K2019" s="5">
        <f>IFERROR(__xludf.DUMMYFUNCTION("""COMPUTED_VALUE"""),0.5)</f>
        <v>0.5</v>
      </c>
      <c r="L2019" s="5" t="str">
        <f>IFERROR(__xludf.DUMMYFUNCTION("""COMPUTED_VALUE"""),"Loại biên")</f>
        <v>Loại biên</v>
      </c>
    </row>
    <row r="2020">
      <c r="A2020" s="5" t="str">
        <f>IFERROR(__xludf.DUMMYFUNCTION("""COMPUTED_VALUE"""),"XD1-MPC-006")</f>
        <v>XD1-MPC-006</v>
      </c>
      <c r="B2020" s="3" t="str">
        <f>IFERROR(__xludf.DUMMYFUNCTION("""COMPUTED_VALUE"""),"Máy phát cỏ 4 thì")</f>
        <v>Máy phát cỏ 4 thì</v>
      </c>
      <c r="C2020" s="5" t="str">
        <f>IFERROR(__xludf.DUMMYFUNCTION("""COMPUTED_VALUE"""),"Loại biên")</f>
        <v>Loại biên</v>
      </c>
      <c r="D2020" s="5" t="str">
        <f>IFERROR(__xludf.DUMMYFUNCTION("""COMPUTED_VALUE"""),"HINOTA")</f>
        <v>HINOTA</v>
      </c>
      <c r="E2020" s="5" t="str">
        <f>IFERROR(__xludf.DUMMYFUNCTION("""COMPUTED_VALUE"""),"Trung Quốc")</f>
        <v>Trung Quốc</v>
      </c>
      <c r="F2020" s="5"/>
      <c r="G2020" s="5" t="str">
        <f>IFERROR(__xludf.DUMMYFUNCTION("""COMPUTED_VALUE"""),"CG435")</f>
        <v>CG435</v>
      </c>
      <c r="H2020" s="5" t="str">
        <f>IFERROR(__xludf.DUMMYFUNCTION("""COMPUTED_VALUE"""),"1.2HP")</f>
        <v>1.2HP</v>
      </c>
      <c r="I2020" s="5"/>
      <c r="J2020" s="5"/>
      <c r="K2020" s="5">
        <f>IFERROR(__xludf.DUMMYFUNCTION("""COMPUTED_VALUE"""),0.5)</f>
        <v>0.5</v>
      </c>
      <c r="L2020" s="5" t="str">
        <f>IFERROR(__xludf.DUMMYFUNCTION("""COMPUTED_VALUE"""),"Loại biên")</f>
        <v>Loại biên</v>
      </c>
    </row>
    <row r="2021">
      <c r="A2021" s="5" t="str">
        <f>IFERROR(__xludf.DUMMYFUNCTION("""COMPUTED_VALUE"""),"XD1-MPC-007")</f>
        <v>XD1-MPC-007</v>
      </c>
      <c r="B2021" s="3" t="str">
        <f>IFERROR(__xludf.DUMMYFUNCTION("""COMPUTED_VALUE"""),"Máy phát cỏ 4 thì")</f>
        <v>Máy phát cỏ 4 thì</v>
      </c>
      <c r="C2021" s="5" t="str">
        <f>IFERROR(__xludf.DUMMYFUNCTION("""COMPUTED_VALUE"""),"Loại biên")</f>
        <v>Loại biên</v>
      </c>
      <c r="D2021" s="5" t="str">
        <f>IFERROR(__xludf.DUMMYFUNCTION("""COMPUTED_VALUE"""),"HINOTA")</f>
        <v>HINOTA</v>
      </c>
      <c r="E2021" s="5" t="str">
        <f>IFERROR(__xludf.DUMMYFUNCTION("""COMPUTED_VALUE"""),"Trung Quốc")</f>
        <v>Trung Quốc</v>
      </c>
      <c r="F2021" s="5"/>
      <c r="G2021" s="5" t="str">
        <f>IFERROR(__xludf.DUMMYFUNCTION("""COMPUTED_VALUE"""),"CG435")</f>
        <v>CG435</v>
      </c>
      <c r="H2021" s="5" t="str">
        <f>IFERROR(__xludf.DUMMYFUNCTION("""COMPUTED_VALUE"""),"1.2HP")</f>
        <v>1.2HP</v>
      </c>
      <c r="I2021" s="5"/>
      <c r="J2021" s="5"/>
      <c r="K2021" s="5">
        <f>IFERROR(__xludf.DUMMYFUNCTION("""COMPUTED_VALUE"""),0.5)</f>
        <v>0.5</v>
      </c>
      <c r="L2021" s="5" t="str">
        <f>IFERROR(__xludf.DUMMYFUNCTION("""COMPUTED_VALUE"""),"Loại biên")</f>
        <v>Loại biên</v>
      </c>
    </row>
    <row r="2022">
      <c r="A2022" s="5" t="str">
        <f>IFERROR(__xludf.DUMMYFUNCTION("""COMPUTED_VALUE"""),"XD1-MPC-008")</f>
        <v>XD1-MPC-008</v>
      </c>
      <c r="B2022" s="3" t="str">
        <f>IFERROR(__xludf.DUMMYFUNCTION("""COMPUTED_VALUE"""),"Máy phát cỏ 4 thì")</f>
        <v>Máy phát cỏ 4 thì</v>
      </c>
      <c r="C2022" s="5" t="str">
        <f>IFERROR(__xludf.DUMMYFUNCTION("""COMPUTED_VALUE"""),"Loại biên")</f>
        <v>Loại biên</v>
      </c>
      <c r="D2022" s="5" t="str">
        <f>IFERROR(__xludf.DUMMYFUNCTION("""COMPUTED_VALUE"""),"HINOTA")</f>
        <v>HINOTA</v>
      </c>
      <c r="E2022" s="5" t="str">
        <f>IFERROR(__xludf.DUMMYFUNCTION("""COMPUTED_VALUE"""),"Trung Quốc")</f>
        <v>Trung Quốc</v>
      </c>
      <c r="F2022" s="5"/>
      <c r="G2022" s="5" t="str">
        <f>IFERROR(__xludf.DUMMYFUNCTION("""COMPUTED_VALUE"""),"CG435")</f>
        <v>CG435</v>
      </c>
      <c r="H2022" s="5" t="str">
        <f>IFERROR(__xludf.DUMMYFUNCTION("""COMPUTED_VALUE"""),"1.2HP")</f>
        <v>1.2HP</v>
      </c>
      <c r="I2022" s="5"/>
      <c r="J2022" s="5"/>
      <c r="K2022" s="5">
        <f>IFERROR(__xludf.DUMMYFUNCTION("""COMPUTED_VALUE"""),0.5)</f>
        <v>0.5</v>
      </c>
      <c r="L2022" s="5" t="str">
        <f>IFERROR(__xludf.DUMMYFUNCTION("""COMPUTED_VALUE"""),"Loại biên")</f>
        <v>Loại biên</v>
      </c>
    </row>
    <row r="2023">
      <c r="A2023" s="5" t="str">
        <f>IFERROR(__xludf.DUMMYFUNCTION("""COMPUTED_VALUE"""),"XD1-MPC-009")</f>
        <v>XD1-MPC-009</v>
      </c>
      <c r="B2023" s="3" t="str">
        <f>IFERROR(__xludf.DUMMYFUNCTION("""COMPUTED_VALUE"""),"Máy phát cỏ 4 thì")</f>
        <v>Máy phát cỏ 4 thì</v>
      </c>
      <c r="C2023" s="5" t="str">
        <f>IFERROR(__xludf.DUMMYFUNCTION("""COMPUTED_VALUE"""),"Loại biên")</f>
        <v>Loại biên</v>
      </c>
      <c r="D2023" s="5" t="str">
        <f>IFERROR(__xludf.DUMMYFUNCTION("""COMPUTED_VALUE"""),"HINOTA")</f>
        <v>HINOTA</v>
      </c>
      <c r="E2023" s="5" t="str">
        <f>IFERROR(__xludf.DUMMYFUNCTION("""COMPUTED_VALUE"""),"Trung Quốc")</f>
        <v>Trung Quốc</v>
      </c>
      <c r="F2023" s="5"/>
      <c r="G2023" s="5" t="str">
        <f>IFERROR(__xludf.DUMMYFUNCTION("""COMPUTED_VALUE"""),"CG435")</f>
        <v>CG435</v>
      </c>
      <c r="H2023" s="5" t="str">
        <f>IFERROR(__xludf.DUMMYFUNCTION("""COMPUTED_VALUE"""),"1.2HP")</f>
        <v>1.2HP</v>
      </c>
      <c r="I2023" s="5"/>
      <c r="J2023" s="5"/>
      <c r="K2023" s="5">
        <f>IFERROR(__xludf.DUMMYFUNCTION("""COMPUTED_VALUE"""),0.5)</f>
        <v>0.5</v>
      </c>
      <c r="L2023" s="5" t="str">
        <f>IFERROR(__xludf.DUMMYFUNCTION("""COMPUTED_VALUE"""),"Loại biên")</f>
        <v>Loại biên</v>
      </c>
    </row>
    <row r="2024">
      <c r="A2024" s="5" t="str">
        <f>IFERROR(__xludf.DUMMYFUNCTION("""COMPUTED_VALUE"""),"XD1-MPC-010")</f>
        <v>XD1-MPC-010</v>
      </c>
      <c r="B2024" s="3" t="str">
        <f>IFERROR(__xludf.DUMMYFUNCTION("""COMPUTED_VALUE"""),"Máy phát cỏ 4 thì")</f>
        <v>Máy phát cỏ 4 thì</v>
      </c>
      <c r="C2024" s="5" t="str">
        <f>IFERROR(__xludf.DUMMYFUNCTION("""COMPUTED_VALUE"""),"Loại biên")</f>
        <v>Loại biên</v>
      </c>
      <c r="D2024" s="5" t="str">
        <f>IFERROR(__xludf.DUMMYFUNCTION("""COMPUTED_VALUE"""),"HINOTA")</f>
        <v>HINOTA</v>
      </c>
      <c r="E2024" s="5" t="str">
        <f>IFERROR(__xludf.DUMMYFUNCTION("""COMPUTED_VALUE"""),"Trung Quốc")</f>
        <v>Trung Quốc</v>
      </c>
      <c r="F2024" s="5"/>
      <c r="G2024" s="5" t="str">
        <f>IFERROR(__xludf.DUMMYFUNCTION("""COMPUTED_VALUE"""),"CG435")</f>
        <v>CG435</v>
      </c>
      <c r="H2024" s="5" t="str">
        <f>IFERROR(__xludf.DUMMYFUNCTION("""COMPUTED_VALUE"""),"1.2HP")</f>
        <v>1.2HP</v>
      </c>
      <c r="I2024" s="5"/>
      <c r="J2024" s="5"/>
      <c r="K2024" s="5">
        <f>IFERROR(__xludf.DUMMYFUNCTION("""COMPUTED_VALUE"""),0.5)</f>
        <v>0.5</v>
      </c>
      <c r="L2024" s="5" t="str">
        <f>IFERROR(__xludf.DUMMYFUNCTION("""COMPUTED_VALUE"""),"Loại biên")</f>
        <v>Loại biên</v>
      </c>
    </row>
    <row r="2025">
      <c r="A2025" s="5" t="str">
        <f>IFERROR(__xludf.DUMMYFUNCTION("""COMPUTED_VALUE"""),"XD1-MPC-012")</f>
        <v>XD1-MPC-012</v>
      </c>
      <c r="B2025" s="3" t="str">
        <f>IFERROR(__xludf.DUMMYFUNCTION("""COMPUTED_VALUE"""),"Máy phát cỏ 4 thì")</f>
        <v>Máy phát cỏ 4 thì</v>
      </c>
      <c r="C2025" s="5" t="str">
        <f>IFERROR(__xludf.DUMMYFUNCTION("""COMPUTED_VALUE"""),"Loại biên")</f>
        <v>Loại biên</v>
      </c>
      <c r="D2025" s="5" t="str">
        <f>IFERROR(__xludf.DUMMYFUNCTION("""COMPUTED_VALUE"""),"HINOTA")</f>
        <v>HINOTA</v>
      </c>
      <c r="E2025" s="5" t="str">
        <f>IFERROR(__xludf.DUMMYFUNCTION("""COMPUTED_VALUE"""),"Trung Quốc")</f>
        <v>Trung Quốc</v>
      </c>
      <c r="F2025" s="5"/>
      <c r="G2025" s="5" t="str">
        <f>IFERROR(__xludf.DUMMYFUNCTION("""COMPUTED_VALUE"""),"CG435")</f>
        <v>CG435</v>
      </c>
      <c r="H2025" s="5" t="str">
        <f>IFERROR(__xludf.DUMMYFUNCTION("""COMPUTED_VALUE"""),"1.2HP")</f>
        <v>1.2HP</v>
      </c>
      <c r="I2025" s="5"/>
      <c r="J2025" s="5"/>
      <c r="K2025" s="5">
        <f>IFERROR(__xludf.DUMMYFUNCTION("""COMPUTED_VALUE"""),0.5)</f>
        <v>0.5</v>
      </c>
      <c r="L2025" s="5" t="str">
        <f>IFERROR(__xludf.DUMMYFUNCTION("""COMPUTED_VALUE"""),"Loại biên")</f>
        <v>Loại biên</v>
      </c>
    </row>
    <row r="2026">
      <c r="A2026" s="5" t="str">
        <f>IFERROR(__xludf.DUMMYFUNCTION("""COMPUTED_VALUE"""),"XD1-MPC-013")</f>
        <v>XD1-MPC-013</v>
      </c>
      <c r="B2026" s="3" t="str">
        <f>IFERROR(__xludf.DUMMYFUNCTION("""COMPUTED_VALUE"""),"Máy phát cỏ 4 thì")</f>
        <v>Máy phát cỏ 4 thì</v>
      </c>
      <c r="C2026" s="5" t="str">
        <f>IFERROR(__xludf.DUMMYFUNCTION("""COMPUTED_VALUE"""),"Loại biên")</f>
        <v>Loại biên</v>
      </c>
      <c r="D2026" s="5" t="str">
        <f>IFERROR(__xludf.DUMMYFUNCTION("""COMPUTED_VALUE"""),"HINOTA")</f>
        <v>HINOTA</v>
      </c>
      <c r="E2026" s="5" t="str">
        <f>IFERROR(__xludf.DUMMYFUNCTION("""COMPUTED_VALUE"""),"Trung Quốc")</f>
        <v>Trung Quốc</v>
      </c>
      <c r="F2026" s="5"/>
      <c r="G2026" s="5" t="str">
        <f>IFERROR(__xludf.DUMMYFUNCTION("""COMPUTED_VALUE"""),"CG435")</f>
        <v>CG435</v>
      </c>
      <c r="H2026" s="5" t="str">
        <f>IFERROR(__xludf.DUMMYFUNCTION("""COMPUTED_VALUE"""),"1.2HP")</f>
        <v>1.2HP</v>
      </c>
      <c r="I2026" s="5"/>
      <c r="J2026" s="5"/>
      <c r="K2026" s="5">
        <f>IFERROR(__xludf.DUMMYFUNCTION("""COMPUTED_VALUE"""),0.5)</f>
        <v>0.5</v>
      </c>
      <c r="L2026" s="5" t="str">
        <f>IFERROR(__xludf.DUMMYFUNCTION("""COMPUTED_VALUE"""),"Loại biên")</f>
        <v>Loại biên</v>
      </c>
    </row>
    <row r="2027">
      <c r="A2027" s="5" t="str">
        <f>IFERROR(__xludf.DUMMYFUNCTION("""COMPUTED_VALUE"""),"XD1-MPC-014")</f>
        <v>XD1-MPC-014</v>
      </c>
      <c r="B2027" s="3" t="str">
        <f>IFERROR(__xludf.DUMMYFUNCTION("""COMPUTED_VALUE"""),"Máy phát cỏ 4 thì")</f>
        <v>Máy phát cỏ 4 thì</v>
      </c>
      <c r="C2027" s="5" t="str">
        <f>IFERROR(__xludf.DUMMYFUNCTION("""COMPUTED_VALUE"""),"Loại biên")</f>
        <v>Loại biên</v>
      </c>
      <c r="D2027" s="5" t="str">
        <f>IFERROR(__xludf.DUMMYFUNCTION("""COMPUTED_VALUE"""),"HINOTA")</f>
        <v>HINOTA</v>
      </c>
      <c r="E2027" s="5" t="str">
        <f>IFERROR(__xludf.DUMMYFUNCTION("""COMPUTED_VALUE"""),"Trung Quốc")</f>
        <v>Trung Quốc</v>
      </c>
      <c r="F2027" s="5"/>
      <c r="G2027" s="5" t="str">
        <f>IFERROR(__xludf.DUMMYFUNCTION("""COMPUTED_VALUE"""),"CG435")</f>
        <v>CG435</v>
      </c>
      <c r="H2027" s="5" t="str">
        <f>IFERROR(__xludf.DUMMYFUNCTION("""COMPUTED_VALUE"""),"1.2HP")</f>
        <v>1.2HP</v>
      </c>
      <c r="I2027" s="5"/>
      <c r="J2027" s="5"/>
      <c r="K2027" s="5">
        <f>IFERROR(__xludf.DUMMYFUNCTION("""COMPUTED_VALUE"""),0.5)</f>
        <v>0.5</v>
      </c>
      <c r="L2027" s="5" t="str">
        <f>IFERROR(__xludf.DUMMYFUNCTION("""COMPUTED_VALUE"""),"Loại biên")</f>
        <v>Loại biên</v>
      </c>
    </row>
    <row r="2028">
      <c r="A2028" s="5" t="str">
        <f>IFERROR(__xludf.DUMMYFUNCTION("""COMPUTED_VALUE"""),"XD1-MPC-015")</f>
        <v>XD1-MPC-015</v>
      </c>
      <c r="B2028" s="3" t="str">
        <f>IFERROR(__xludf.DUMMYFUNCTION("""COMPUTED_VALUE"""),"Máy phát cỏ 4 thì")</f>
        <v>Máy phát cỏ 4 thì</v>
      </c>
      <c r="C2028" s="5" t="str">
        <f>IFERROR(__xludf.DUMMYFUNCTION("""COMPUTED_VALUE"""),"Loại biên")</f>
        <v>Loại biên</v>
      </c>
      <c r="D2028" s="5" t="str">
        <f>IFERROR(__xludf.DUMMYFUNCTION("""COMPUTED_VALUE"""),"HINOTA")</f>
        <v>HINOTA</v>
      </c>
      <c r="E2028" s="5" t="str">
        <f>IFERROR(__xludf.DUMMYFUNCTION("""COMPUTED_VALUE"""),"Trung Quốc")</f>
        <v>Trung Quốc</v>
      </c>
      <c r="F2028" s="5"/>
      <c r="G2028" s="5" t="str">
        <f>IFERROR(__xludf.DUMMYFUNCTION("""COMPUTED_VALUE"""),"CG435")</f>
        <v>CG435</v>
      </c>
      <c r="H2028" s="5" t="str">
        <f>IFERROR(__xludf.DUMMYFUNCTION("""COMPUTED_VALUE"""),"1.2HP")</f>
        <v>1.2HP</v>
      </c>
      <c r="I2028" s="5"/>
      <c r="J2028" s="5"/>
      <c r="K2028" s="5">
        <f>IFERROR(__xludf.DUMMYFUNCTION("""COMPUTED_VALUE"""),0.5)</f>
        <v>0.5</v>
      </c>
      <c r="L2028" s="5" t="str">
        <f>IFERROR(__xludf.DUMMYFUNCTION("""COMPUTED_VALUE"""),"Loại biên")</f>
        <v>Loại biên</v>
      </c>
    </row>
    <row r="2029">
      <c r="A2029" s="5" t="str">
        <f>IFERROR(__xludf.DUMMYFUNCTION("""COMPUTED_VALUE"""),"XD1-MPC-016")</f>
        <v>XD1-MPC-016</v>
      </c>
      <c r="B2029" s="3" t="str">
        <f>IFERROR(__xludf.DUMMYFUNCTION("""COMPUTED_VALUE"""),"Máy phát cỏ 4 thì")</f>
        <v>Máy phát cỏ 4 thì</v>
      </c>
      <c r="C2029" s="5" t="str">
        <f>IFERROR(__xludf.DUMMYFUNCTION("""COMPUTED_VALUE"""),"Loại biên")</f>
        <v>Loại biên</v>
      </c>
      <c r="D2029" s="5" t="str">
        <f>IFERROR(__xludf.DUMMYFUNCTION("""COMPUTED_VALUE"""),"HINOTA")</f>
        <v>HINOTA</v>
      </c>
      <c r="E2029" s="5" t="str">
        <f>IFERROR(__xludf.DUMMYFUNCTION("""COMPUTED_VALUE"""),"Trung Quốc")</f>
        <v>Trung Quốc</v>
      </c>
      <c r="F2029" s="5"/>
      <c r="G2029" s="5" t="str">
        <f>IFERROR(__xludf.DUMMYFUNCTION("""COMPUTED_VALUE"""),"CG435")</f>
        <v>CG435</v>
      </c>
      <c r="H2029" s="5" t="str">
        <f>IFERROR(__xludf.DUMMYFUNCTION("""COMPUTED_VALUE"""),"1.2HP")</f>
        <v>1.2HP</v>
      </c>
      <c r="I2029" s="5"/>
      <c r="J2029" s="5"/>
      <c r="K2029" s="5">
        <f>IFERROR(__xludf.DUMMYFUNCTION("""COMPUTED_VALUE"""),0.5)</f>
        <v>0.5</v>
      </c>
      <c r="L2029" s="5" t="str">
        <f>IFERROR(__xludf.DUMMYFUNCTION("""COMPUTED_VALUE"""),"Loại biên")</f>
        <v>Loại biên</v>
      </c>
    </row>
    <row r="2030">
      <c r="A2030" s="5" t="str">
        <f>IFERROR(__xludf.DUMMYFUNCTION("""COMPUTED_VALUE"""),"XD1-MPC-020")</f>
        <v>XD1-MPC-020</v>
      </c>
      <c r="B2030" s="3" t="str">
        <f>IFERROR(__xludf.DUMMYFUNCTION("""COMPUTED_VALUE"""),"Máy phát cỏ 4 thì")</f>
        <v>Máy phát cỏ 4 thì</v>
      </c>
      <c r="C2030" s="5" t="str">
        <f>IFERROR(__xludf.DUMMYFUNCTION("""COMPUTED_VALUE"""),"Loại biên")</f>
        <v>Loại biên</v>
      </c>
      <c r="D2030" s="5" t="str">
        <f>IFERROR(__xludf.DUMMYFUNCTION("""COMPUTED_VALUE"""),"HONDA")</f>
        <v>HONDA</v>
      </c>
      <c r="E2030" s="5" t="str">
        <f>IFERROR(__xludf.DUMMYFUNCTION("""COMPUTED_VALUE"""),"Trung Quốc")</f>
        <v>Trung Quốc</v>
      </c>
      <c r="F2030" s="5"/>
      <c r="G2030" s="5" t="str">
        <f>IFERROR(__xludf.DUMMYFUNCTION("""COMPUTED_VALUE"""),"GX35")</f>
        <v>GX35</v>
      </c>
      <c r="H2030" s="5" t="str">
        <f>IFERROR(__xludf.DUMMYFUNCTION("""COMPUTED_VALUE"""),"1.6HP")</f>
        <v>1.6HP</v>
      </c>
      <c r="I2030" s="5" t="str">
        <f>IFERROR(__xludf.DUMMYFUNCTION("""COMPUTED_VALUE"""),"ZOZC1-1M-0511")</f>
        <v>ZOZC1-1M-0511</v>
      </c>
      <c r="J2030" s="5"/>
      <c r="K2030" s="5">
        <f>IFERROR(__xludf.DUMMYFUNCTION("""COMPUTED_VALUE"""),0.5)</f>
        <v>0.5</v>
      </c>
      <c r="L2030" s="5" t="str">
        <f>IFERROR(__xludf.DUMMYFUNCTION("""COMPUTED_VALUE"""),"Loại biên")</f>
        <v>Loại biên</v>
      </c>
    </row>
    <row r="2031">
      <c r="A2031" s="5" t="str">
        <f>IFERROR(__xludf.DUMMYFUNCTION("""COMPUTED_VALUE"""),"XD1-MPC-021")</f>
        <v>XD1-MPC-021</v>
      </c>
      <c r="B2031" s="3" t="str">
        <f>IFERROR(__xludf.DUMMYFUNCTION("""COMPUTED_VALUE"""),"Máy phát cỏ 4 thì")</f>
        <v>Máy phát cỏ 4 thì</v>
      </c>
      <c r="C2031" s="5" t="str">
        <f>IFERROR(__xludf.DUMMYFUNCTION("""COMPUTED_VALUE"""),"Loại biên")</f>
        <v>Loại biên</v>
      </c>
      <c r="D2031" s="5" t="str">
        <f>IFERROR(__xludf.DUMMYFUNCTION("""COMPUTED_VALUE"""),"HONDA")</f>
        <v>HONDA</v>
      </c>
      <c r="E2031" s="5" t="str">
        <f>IFERROR(__xludf.DUMMYFUNCTION("""COMPUTED_VALUE"""),"Trung Quốc")</f>
        <v>Trung Quốc</v>
      </c>
      <c r="F2031" s="5"/>
      <c r="G2031" s="5" t="str">
        <f>IFERROR(__xludf.DUMMYFUNCTION("""COMPUTED_VALUE"""),"GX35")</f>
        <v>GX35</v>
      </c>
      <c r="H2031" s="5" t="str">
        <f>IFERROR(__xludf.DUMMYFUNCTION("""COMPUTED_VALUE"""),"1.6HP")</f>
        <v>1.6HP</v>
      </c>
      <c r="I2031" s="5" t="str">
        <f>IFERROR(__xludf.DUMMYFUNCTION("""COMPUTED_VALUE"""),"ZOZC1-1M-0511")</f>
        <v>ZOZC1-1M-0511</v>
      </c>
      <c r="J2031" s="5"/>
      <c r="K2031" s="5">
        <f>IFERROR(__xludf.DUMMYFUNCTION("""COMPUTED_VALUE"""),0.5)</f>
        <v>0.5</v>
      </c>
      <c r="L2031" s="5" t="str">
        <f>IFERROR(__xludf.DUMMYFUNCTION("""COMPUTED_VALUE"""),"Loại biên")</f>
        <v>Loại biên</v>
      </c>
    </row>
    <row r="2032">
      <c r="A2032" s="5" t="str">
        <f>IFERROR(__xludf.DUMMYFUNCTION("""COMPUTED_VALUE"""),"XD1-MPC-022")</f>
        <v>XD1-MPC-022</v>
      </c>
      <c r="B2032" s="3" t="str">
        <f>IFERROR(__xludf.DUMMYFUNCTION("""COMPUTED_VALUE"""),"Máy phát cỏ 4 thì")</f>
        <v>Máy phát cỏ 4 thì</v>
      </c>
      <c r="C2032" s="5" t="str">
        <f>IFERROR(__xludf.DUMMYFUNCTION("""COMPUTED_VALUE"""),"Loại biên")</f>
        <v>Loại biên</v>
      </c>
      <c r="D2032" s="5" t="str">
        <f>IFERROR(__xludf.DUMMYFUNCTION("""COMPUTED_VALUE"""),"HONDA")</f>
        <v>HONDA</v>
      </c>
      <c r="E2032" s="5" t="str">
        <f>IFERROR(__xludf.DUMMYFUNCTION("""COMPUTED_VALUE"""),"Trung Quốc")</f>
        <v>Trung Quốc</v>
      </c>
      <c r="F2032" s="5"/>
      <c r="G2032" s="5" t="str">
        <f>IFERROR(__xludf.DUMMYFUNCTION("""COMPUTED_VALUE"""),"GX35")</f>
        <v>GX35</v>
      </c>
      <c r="H2032" s="5" t="str">
        <f>IFERROR(__xludf.DUMMYFUNCTION("""COMPUTED_VALUE"""),"1.6HP")</f>
        <v>1.6HP</v>
      </c>
      <c r="I2032" s="5" t="str">
        <f>IFERROR(__xludf.DUMMYFUNCTION("""COMPUTED_VALUE"""),"ZOZC1-1M-0511")</f>
        <v>ZOZC1-1M-0511</v>
      </c>
      <c r="J2032" s="5"/>
      <c r="K2032" s="5">
        <f>IFERROR(__xludf.DUMMYFUNCTION("""COMPUTED_VALUE"""),0.5)</f>
        <v>0.5</v>
      </c>
      <c r="L2032" s="5" t="str">
        <f>IFERROR(__xludf.DUMMYFUNCTION("""COMPUTED_VALUE"""),"Loại biên")</f>
        <v>Loại biên</v>
      </c>
    </row>
    <row r="2033">
      <c r="A2033" s="5" t="str">
        <f>IFERROR(__xludf.DUMMYFUNCTION("""COMPUTED_VALUE"""),"XD1-MPC-023")</f>
        <v>XD1-MPC-023</v>
      </c>
      <c r="B2033" s="3" t="str">
        <f>IFERROR(__xludf.DUMMYFUNCTION("""COMPUTED_VALUE"""),"Máy phát cỏ 4 thì")</f>
        <v>Máy phát cỏ 4 thì</v>
      </c>
      <c r="C2033" s="5" t="str">
        <f>IFERROR(__xludf.DUMMYFUNCTION("""COMPUTED_VALUE"""),"Loại biên")</f>
        <v>Loại biên</v>
      </c>
      <c r="D2033" s="5" t="str">
        <f>IFERROR(__xludf.DUMMYFUNCTION("""COMPUTED_VALUE"""),"HONDA")</f>
        <v>HONDA</v>
      </c>
      <c r="E2033" s="5" t="str">
        <f>IFERROR(__xludf.DUMMYFUNCTION("""COMPUTED_VALUE"""),"Trung Quốc")</f>
        <v>Trung Quốc</v>
      </c>
      <c r="F2033" s="5"/>
      <c r="G2033" s="5" t="str">
        <f>IFERROR(__xludf.DUMMYFUNCTION("""COMPUTED_VALUE"""),"GX35")</f>
        <v>GX35</v>
      </c>
      <c r="H2033" s="5" t="str">
        <f>IFERROR(__xludf.DUMMYFUNCTION("""COMPUTED_VALUE"""),"1.6HP")</f>
        <v>1.6HP</v>
      </c>
      <c r="I2033" s="5" t="str">
        <f>IFERROR(__xludf.DUMMYFUNCTION("""COMPUTED_VALUE"""),"ZOZC1-1M-0511")</f>
        <v>ZOZC1-1M-0511</v>
      </c>
      <c r="J2033" s="5"/>
      <c r="K2033" s="5">
        <f>IFERROR(__xludf.DUMMYFUNCTION("""COMPUTED_VALUE"""),0.5)</f>
        <v>0.5</v>
      </c>
      <c r="L2033" s="5" t="str">
        <f>IFERROR(__xludf.DUMMYFUNCTION("""COMPUTED_VALUE"""),"Loại biên")</f>
        <v>Loại biên</v>
      </c>
    </row>
    <row r="2034">
      <c r="A2034" s="5" t="str">
        <f>IFERROR(__xludf.DUMMYFUNCTION("""COMPUTED_VALUE"""),"XD1-MPC-024")</f>
        <v>XD1-MPC-024</v>
      </c>
      <c r="B2034" s="3" t="str">
        <f>IFERROR(__xludf.DUMMYFUNCTION("""COMPUTED_VALUE"""),"Máy phát cỏ 4 thì")</f>
        <v>Máy phát cỏ 4 thì</v>
      </c>
      <c r="C2034" s="5" t="str">
        <f>IFERROR(__xludf.DUMMYFUNCTION("""COMPUTED_VALUE"""),"Loại biên")</f>
        <v>Loại biên</v>
      </c>
      <c r="D2034" s="5" t="str">
        <f>IFERROR(__xludf.DUMMYFUNCTION("""COMPUTED_VALUE"""),"HONDA")</f>
        <v>HONDA</v>
      </c>
      <c r="E2034" s="5" t="str">
        <f>IFERROR(__xludf.DUMMYFUNCTION("""COMPUTED_VALUE"""),"Trung Quốc")</f>
        <v>Trung Quốc</v>
      </c>
      <c r="F2034" s="5"/>
      <c r="G2034" s="5" t="str">
        <f>IFERROR(__xludf.DUMMYFUNCTION("""COMPUTED_VALUE"""),"GX35")</f>
        <v>GX35</v>
      </c>
      <c r="H2034" s="5" t="str">
        <f>IFERROR(__xludf.DUMMYFUNCTION("""COMPUTED_VALUE"""),"1.6HP")</f>
        <v>1.6HP</v>
      </c>
      <c r="I2034" s="5" t="str">
        <f>IFERROR(__xludf.DUMMYFUNCTION("""COMPUTED_VALUE"""),"ZOZC1-1M-0511")</f>
        <v>ZOZC1-1M-0511</v>
      </c>
      <c r="J2034" s="5"/>
      <c r="K2034" s="5">
        <f>IFERROR(__xludf.DUMMYFUNCTION("""COMPUTED_VALUE"""),0.5)</f>
        <v>0.5</v>
      </c>
      <c r="L2034" s="5" t="str">
        <f>IFERROR(__xludf.DUMMYFUNCTION("""COMPUTED_VALUE"""),"Loại biên")</f>
        <v>Loại biên</v>
      </c>
    </row>
    <row r="2035">
      <c r="A2035" s="5" t="str">
        <f>IFERROR(__xludf.DUMMYFUNCTION("""COMPUTED_VALUE"""),"XL3-MPC-001")</f>
        <v>XL3-MPC-001</v>
      </c>
      <c r="B2035" s="3" t="str">
        <f>IFERROR(__xludf.DUMMYFUNCTION("""COMPUTED_VALUE"""),"Máy phát cỏ 4 thì")</f>
        <v>Máy phát cỏ 4 thì</v>
      </c>
      <c r="C2035" s="5" t="str">
        <f>IFERROR(__xludf.DUMMYFUNCTION("""COMPUTED_VALUE"""),"Loại biên")</f>
        <v>Loại biên</v>
      </c>
      <c r="D2035" s="5" t="str">
        <f>IFERROR(__xludf.DUMMYFUNCTION("""COMPUTED_VALUE"""),"HINOTA")</f>
        <v>HINOTA</v>
      </c>
      <c r="E2035" s="5" t="str">
        <f>IFERROR(__xludf.DUMMYFUNCTION("""COMPUTED_VALUE"""),"Trung Quốc")</f>
        <v>Trung Quốc</v>
      </c>
      <c r="F2035" s="5"/>
      <c r="G2035" s="5" t="str">
        <f>IFERROR(__xludf.DUMMYFUNCTION("""COMPUTED_VALUE"""),"CG435")</f>
        <v>CG435</v>
      </c>
      <c r="H2035" s="5" t="str">
        <f>IFERROR(__xludf.DUMMYFUNCTION("""COMPUTED_VALUE"""),"1.2HP")</f>
        <v>1.2HP</v>
      </c>
      <c r="I2035" s="5"/>
      <c r="J2035" s="5"/>
      <c r="K2035" s="5">
        <f>IFERROR(__xludf.DUMMYFUNCTION("""COMPUTED_VALUE"""),0.5)</f>
        <v>0.5</v>
      </c>
      <c r="L2035" s="5" t="str">
        <f>IFERROR(__xludf.DUMMYFUNCTION("""COMPUTED_VALUE"""),"Loại biên")</f>
        <v>Loại biên</v>
      </c>
    </row>
    <row r="2036">
      <c r="A2036" s="5" t="str">
        <f>IFERROR(__xludf.DUMMYFUNCTION("""COMPUTED_VALUE"""),"XL3-MPC-002")</f>
        <v>XL3-MPC-002</v>
      </c>
      <c r="B2036" s="3" t="str">
        <f>IFERROR(__xludf.DUMMYFUNCTION("""COMPUTED_VALUE"""),"Máy phát cỏ 4 thì")</f>
        <v>Máy phát cỏ 4 thì</v>
      </c>
      <c r="C2036" s="5" t="str">
        <f>IFERROR(__xludf.DUMMYFUNCTION("""COMPUTED_VALUE"""),"Loại biên")</f>
        <v>Loại biên</v>
      </c>
      <c r="D2036" s="5" t="str">
        <f>IFERROR(__xludf.DUMMYFUNCTION("""COMPUTED_VALUE"""),"HINOTA")</f>
        <v>HINOTA</v>
      </c>
      <c r="E2036" s="5" t="str">
        <f>IFERROR(__xludf.DUMMYFUNCTION("""COMPUTED_VALUE"""),"Trung Quốc")</f>
        <v>Trung Quốc</v>
      </c>
      <c r="F2036" s="5"/>
      <c r="G2036" s="5" t="str">
        <f>IFERROR(__xludf.DUMMYFUNCTION("""COMPUTED_VALUE"""),"CG435")</f>
        <v>CG435</v>
      </c>
      <c r="H2036" s="5" t="str">
        <f>IFERROR(__xludf.DUMMYFUNCTION("""COMPUTED_VALUE"""),"1.2HP")</f>
        <v>1.2HP</v>
      </c>
      <c r="I2036" s="5"/>
      <c r="J2036" s="5"/>
      <c r="K2036" s="5">
        <f>IFERROR(__xludf.DUMMYFUNCTION("""COMPUTED_VALUE"""),0.5)</f>
        <v>0.5</v>
      </c>
      <c r="L2036" s="5" t="str">
        <f>IFERROR(__xludf.DUMMYFUNCTION("""COMPUTED_VALUE"""),"Loại biên")</f>
        <v>Loại biên</v>
      </c>
    </row>
    <row r="2037">
      <c r="A2037" s="5" t="str">
        <f>IFERROR(__xludf.DUMMYFUNCTION("""COMPUTED_VALUE"""),"XL3-MPC-003")</f>
        <v>XL3-MPC-003</v>
      </c>
      <c r="B2037" s="3" t="str">
        <f>IFERROR(__xludf.DUMMYFUNCTION("""COMPUTED_VALUE"""),"Máy phát cỏ 4 thì")</f>
        <v>Máy phát cỏ 4 thì</v>
      </c>
      <c r="C2037" s="5" t="str">
        <f>IFERROR(__xludf.DUMMYFUNCTION("""COMPUTED_VALUE"""),"Loại biên")</f>
        <v>Loại biên</v>
      </c>
      <c r="D2037" s="5" t="str">
        <f>IFERROR(__xludf.DUMMYFUNCTION("""COMPUTED_VALUE"""),"HINOTA")</f>
        <v>HINOTA</v>
      </c>
      <c r="E2037" s="5" t="str">
        <f>IFERROR(__xludf.DUMMYFUNCTION("""COMPUTED_VALUE"""),"Trung Quốc")</f>
        <v>Trung Quốc</v>
      </c>
      <c r="F2037" s="5"/>
      <c r="G2037" s="5" t="str">
        <f>IFERROR(__xludf.DUMMYFUNCTION("""COMPUTED_VALUE"""),"CG435")</f>
        <v>CG435</v>
      </c>
      <c r="H2037" s="5" t="str">
        <f>IFERROR(__xludf.DUMMYFUNCTION("""COMPUTED_VALUE"""),"1.2HP")</f>
        <v>1.2HP</v>
      </c>
      <c r="I2037" s="5"/>
      <c r="J2037" s="5"/>
      <c r="K2037" s="5">
        <f>IFERROR(__xludf.DUMMYFUNCTION("""COMPUTED_VALUE"""),0.5)</f>
        <v>0.5</v>
      </c>
      <c r="L2037" s="5" t="str">
        <f>IFERROR(__xludf.DUMMYFUNCTION("""COMPUTED_VALUE"""),"Loại biên")</f>
        <v>Loại biên</v>
      </c>
    </row>
    <row r="2038">
      <c r="A2038" s="5" t="str">
        <f>IFERROR(__xludf.DUMMYFUNCTION("""COMPUTED_VALUE"""),"XL3-MPC-004")</f>
        <v>XL3-MPC-004</v>
      </c>
      <c r="B2038" s="3" t="str">
        <f>IFERROR(__xludf.DUMMYFUNCTION("""COMPUTED_VALUE"""),"Máy phát cỏ 4 thì")</f>
        <v>Máy phát cỏ 4 thì</v>
      </c>
      <c r="C2038" s="5" t="str">
        <f>IFERROR(__xludf.DUMMYFUNCTION("""COMPUTED_VALUE"""),"Loại biên")</f>
        <v>Loại biên</v>
      </c>
      <c r="D2038" s="5" t="str">
        <f>IFERROR(__xludf.DUMMYFUNCTION("""COMPUTED_VALUE"""),"HINOTA")</f>
        <v>HINOTA</v>
      </c>
      <c r="E2038" s="5" t="str">
        <f>IFERROR(__xludf.DUMMYFUNCTION("""COMPUTED_VALUE"""),"Trung Quốc")</f>
        <v>Trung Quốc</v>
      </c>
      <c r="F2038" s="5"/>
      <c r="G2038" s="5" t="str">
        <f>IFERROR(__xludf.DUMMYFUNCTION("""COMPUTED_VALUE"""),"CG435")</f>
        <v>CG435</v>
      </c>
      <c r="H2038" s="5" t="str">
        <f>IFERROR(__xludf.DUMMYFUNCTION("""COMPUTED_VALUE"""),"1.2HP")</f>
        <v>1.2HP</v>
      </c>
      <c r="I2038" s="5"/>
      <c r="J2038" s="5"/>
      <c r="K2038" s="5">
        <f>IFERROR(__xludf.DUMMYFUNCTION("""COMPUTED_VALUE"""),0.5)</f>
        <v>0.5</v>
      </c>
      <c r="L2038" s="5" t="str">
        <f>IFERROR(__xludf.DUMMYFUNCTION("""COMPUTED_VALUE"""),"Loại biên")</f>
        <v>Loại biên</v>
      </c>
    </row>
    <row r="2039">
      <c r="A2039" s="5" t="str">
        <f>IFERROR(__xludf.DUMMYFUNCTION("""COMPUTED_VALUE"""),"XL3-MPC-005")</f>
        <v>XL3-MPC-005</v>
      </c>
      <c r="B2039" s="3" t="str">
        <f>IFERROR(__xludf.DUMMYFUNCTION("""COMPUTED_VALUE"""),"Máy phát cỏ 4 thì")</f>
        <v>Máy phát cỏ 4 thì</v>
      </c>
      <c r="C2039" s="5" t="str">
        <f>IFERROR(__xludf.DUMMYFUNCTION("""COMPUTED_VALUE"""),"Loại biên")</f>
        <v>Loại biên</v>
      </c>
      <c r="D2039" s="5" t="str">
        <f>IFERROR(__xludf.DUMMYFUNCTION("""COMPUTED_VALUE"""),"HINOTA")</f>
        <v>HINOTA</v>
      </c>
      <c r="E2039" s="5" t="str">
        <f>IFERROR(__xludf.DUMMYFUNCTION("""COMPUTED_VALUE"""),"Trung Quốc")</f>
        <v>Trung Quốc</v>
      </c>
      <c r="F2039" s="5"/>
      <c r="G2039" s="5" t="str">
        <f>IFERROR(__xludf.DUMMYFUNCTION("""COMPUTED_VALUE"""),"CG435")</f>
        <v>CG435</v>
      </c>
      <c r="H2039" s="5" t="str">
        <f>IFERROR(__xludf.DUMMYFUNCTION("""COMPUTED_VALUE"""),"1.2HP")</f>
        <v>1.2HP</v>
      </c>
      <c r="I2039" s="5"/>
      <c r="J2039" s="5"/>
      <c r="K2039" s="5">
        <f>IFERROR(__xludf.DUMMYFUNCTION("""COMPUTED_VALUE"""),0.5)</f>
        <v>0.5</v>
      </c>
      <c r="L2039" s="5" t="str">
        <f>IFERROR(__xludf.DUMMYFUNCTION("""COMPUTED_VALUE"""),"Loại biên")</f>
        <v>Loại biên</v>
      </c>
    </row>
    <row r="2040">
      <c r="A2040" s="5" t="str">
        <f>IFERROR(__xludf.DUMMYFUNCTION("""COMPUTED_VALUE"""),"XL3-MPC-006")</f>
        <v>XL3-MPC-006</v>
      </c>
      <c r="B2040" s="3" t="str">
        <f>IFERROR(__xludf.DUMMYFUNCTION("""COMPUTED_VALUE"""),"Máy phát cỏ 4 thì")</f>
        <v>Máy phát cỏ 4 thì</v>
      </c>
      <c r="C2040" s="5" t="str">
        <f>IFERROR(__xludf.DUMMYFUNCTION("""COMPUTED_VALUE"""),"Loại biên")</f>
        <v>Loại biên</v>
      </c>
      <c r="D2040" s="5" t="str">
        <f>IFERROR(__xludf.DUMMYFUNCTION("""COMPUTED_VALUE"""),"HINOTA")</f>
        <v>HINOTA</v>
      </c>
      <c r="E2040" s="5" t="str">
        <f>IFERROR(__xludf.DUMMYFUNCTION("""COMPUTED_VALUE"""),"Trung Quốc")</f>
        <v>Trung Quốc</v>
      </c>
      <c r="F2040" s="5"/>
      <c r="G2040" s="5" t="str">
        <f>IFERROR(__xludf.DUMMYFUNCTION("""COMPUTED_VALUE"""),"CG435")</f>
        <v>CG435</v>
      </c>
      <c r="H2040" s="5" t="str">
        <f>IFERROR(__xludf.DUMMYFUNCTION("""COMPUTED_VALUE"""),"1.2HP")</f>
        <v>1.2HP</v>
      </c>
      <c r="I2040" s="5"/>
      <c r="J2040" s="5"/>
      <c r="K2040" s="5">
        <f>IFERROR(__xludf.DUMMYFUNCTION("""COMPUTED_VALUE"""),0.5)</f>
        <v>0.5</v>
      </c>
      <c r="L2040" s="5" t="str">
        <f>IFERROR(__xludf.DUMMYFUNCTION("""COMPUTED_VALUE"""),"Loại biên")</f>
        <v>Loại biên</v>
      </c>
    </row>
    <row r="2041">
      <c r="A2041" s="5" t="str">
        <f>IFERROR(__xludf.DUMMYFUNCTION("""COMPUTED_VALUE"""),"XL3-MPC-007")</f>
        <v>XL3-MPC-007</v>
      </c>
      <c r="B2041" s="3" t="str">
        <f>IFERROR(__xludf.DUMMYFUNCTION("""COMPUTED_VALUE"""),"Máy phát cỏ 4 thì")</f>
        <v>Máy phát cỏ 4 thì</v>
      </c>
      <c r="C2041" s="5" t="str">
        <f>IFERROR(__xludf.DUMMYFUNCTION("""COMPUTED_VALUE"""),"Loại biên")</f>
        <v>Loại biên</v>
      </c>
      <c r="D2041" s="5" t="str">
        <f>IFERROR(__xludf.DUMMYFUNCTION("""COMPUTED_VALUE"""),"HINOTA")</f>
        <v>HINOTA</v>
      </c>
      <c r="E2041" s="5" t="str">
        <f>IFERROR(__xludf.DUMMYFUNCTION("""COMPUTED_VALUE"""),"Trung Quốc")</f>
        <v>Trung Quốc</v>
      </c>
      <c r="F2041" s="5"/>
      <c r="G2041" s="5" t="str">
        <f>IFERROR(__xludf.DUMMYFUNCTION("""COMPUTED_VALUE"""),"CG435")</f>
        <v>CG435</v>
      </c>
      <c r="H2041" s="5" t="str">
        <f>IFERROR(__xludf.DUMMYFUNCTION("""COMPUTED_VALUE"""),"1.2HP")</f>
        <v>1.2HP</v>
      </c>
      <c r="I2041" s="5"/>
      <c r="J2041" s="5"/>
      <c r="K2041" s="5">
        <f>IFERROR(__xludf.DUMMYFUNCTION("""COMPUTED_VALUE"""),0.5)</f>
        <v>0.5</v>
      </c>
      <c r="L2041" s="5" t="str">
        <f>IFERROR(__xludf.DUMMYFUNCTION("""COMPUTED_VALUE"""),"Loại biên")</f>
        <v>Loại biên</v>
      </c>
    </row>
    <row r="2042">
      <c r="A2042" s="5" t="str">
        <f>IFERROR(__xludf.DUMMYFUNCTION("""COMPUTED_VALUE"""),"XL3-MPC-008")</f>
        <v>XL3-MPC-008</v>
      </c>
      <c r="B2042" s="3" t="str">
        <f>IFERROR(__xludf.DUMMYFUNCTION("""COMPUTED_VALUE"""),"Máy phát cỏ 4 thì")</f>
        <v>Máy phát cỏ 4 thì</v>
      </c>
      <c r="C2042" s="5" t="str">
        <f>IFERROR(__xludf.DUMMYFUNCTION("""COMPUTED_VALUE"""),"Loại biên")</f>
        <v>Loại biên</v>
      </c>
      <c r="D2042" s="5" t="str">
        <f>IFERROR(__xludf.DUMMYFUNCTION("""COMPUTED_VALUE"""),"HINOTA")</f>
        <v>HINOTA</v>
      </c>
      <c r="E2042" s="5" t="str">
        <f>IFERROR(__xludf.DUMMYFUNCTION("""COMPUTED_VALUE"""),"Trung Quốc")</f>
        <v>Trung Quốc</v>
      </c>
      <c r="F2042" s="5"/>
      <c r="G2042" s="5" t="str">
        <f>IFERROR(__xludf.DUMMYFUNCTION("""COMPUTED_VALUE"""),"CG435")</f>
        <v>CG435</v>
      </c>
      <c r="H2042" s="5" t="str">
        <f>IFERROR(__xludf.DUMMYFUNCTION("""COMPUTED_VALUE"""),"1.2HP")</f>
        <v>1.2HP</v>
      </c>
      <c r="I2042" s="5"/>
      <c r="J2042" s="5"/>
      <c r="K2042" s="5">
        <f>IFERROR(__xludf.DUMMYFUNCTION("""COMPUTED_VALUE"""),0.5)</f>
        <v>0.5</v>
      </c>
      <c r="L2042" s="5" t="str">
        <f>IFERROR(__xludf.DUMMYFUNCTION("""COMPUTED_VALUE"""),"Loại biên")</f>
        <v>Loại biên</v>
      </c>
    </row>
    <row r="2043">
      <c r="A2043" s="5" t="str">
        <f>IFERROR(__xludf.DUMMYFUNCTION("""COMPUTED_VALUE"""),"XL3-MPC-009")</f>
        <v>XL3-MPC-009</v>
      </c>
      <c r="B2043" s="3" t="str">
        <f>IFERROR(__xludf.DUMMYFUNCTION("""COMPUTED_VALUE"""),"Máy phát cỏ 4 thì")</f>
        <v>Máy phát cỏ 4 thì</v>
      </c>
      <c r="C2043" s="5" t="str">
        <f>IFERROR(__xludf.DUMMYFUNCTION("""COMPUTED_VALUE"""),"Loại biên")</f>
        <v>Loại biên</v>
      </c>
      <c r="D2043" s="5" t="str">
        <f>IFERROR(__xludf.DUMMYFUNCTION("""COMPUTED_VALUE"""),"HINOTA")</f>
        <v>HINOTA</v>
      </c>
      <c r="E2043" s="5" t="str">
        <f>IFERROR(__xludf.DUMMYFUNCTION("""COMPUTED_VALUE"""),"Trung Quốc")</f>
        <v>Trung Quốc</v>
      </c>
      <c r="F2043" s="5"/>
      <c r="G2043" s="5" t="str">
        <f>IFERROR(__xludf.DUMMYFUNCTION("""COMPUTED_VALUE"""),"CG435")</f>
        <v>CG435</v>
      </c>
      <c r="H2043" s="5" t="str">
        <f>IFERROR(__xludf.DUMMYFUNCTION("""COMPUTED_VALUE"""),"1.2HP")</f>
        <v>1.2HP</v>
      </c>
      <c r="I2043" s="5"/>
      <c r="J2043" s="5"/>
      <c r="K2043" s="5">
        <f>IFERROR(__xludf.DUMMYFUNCTION("""COMPUTED_VALUE"""),0.5)</f>
        <v>0.5</v>
      </c>
      <c r="L2043" s="5" t="str">
        <f>IFERROR(__xludf.DUMMYFUNCTION("""COMPUTED_VALUE"""),"Loại biên")</f>
        <v>Loại biên</v>
      </c>
    </row>
    <row r="2044">
      <c r="A2044" s="5" t="str">
        <f>IFERROR(__xludf.DUMMYFUNCTION("""COMPUTED_VALUE"""),"XL3-MPC-010")</f>
        <v>XL3-MPC-010</v>
      </c>
      <c r="B2044" s="3" t="str">
        <f>IFERROR(__xludf.DUMMYFUNCTION("""COMPUTED_VALUE"""),"Máy phát cỏ 4 thì")</f>
        <v>Máy phát cỏ 4 thì</v>
      </c>
      <c r="C2044" s="5" t="str">
        <f>IFERROR(__xludf.DUMMYFUNCTION("""COMPUTED_VALUE"""),"Loại biên")</f>
        <v>Loại biên</v>
      </c>
      <c r="D2044" s="5" t="str">
        <f>IFERROR(__xludf.DUMMYFUNCTION("""COMPUTED_VALUE"""),"HINOTA")</f>
        <v>HINOTA</v>
      </c>
      <c r="E2044" s="5" t="str">
        <f>IFERROR(__xludf.DUMMYFUNCTION("""COMPUTED_VALUE"""),"Trung Quốc")</f>
        <v>Trung Quốc</v>
      </c>
      <c r="F2044" s="5"/>
      <c r="G2044" s="5" t="str">
        <f>IFERROR(__xludf.DUMMYFUNCTION("""COMPUTED_VALUE"""),"CG435")</f>
        <v>CG435</v>
      </c>
      <c r="H2044" s="5" t="str">
        <f>IFERROR(__xludf.DUMMYFUNCTION("""COMPUTED_VALUE"""),"1.2HP")</f>
        <v>1.2HP</v>
      </c>
      <c r="I2044" s="5"/>
      <c r="J2044" s="5"/>
      <c r="K2044" s="5">
        <f>IFERROR(__xludf.DUMMYFUNCTION("""COMPUTED_VALUE"""),0.5)</f>
        <v>0.5</v>
      </c>
      <c r="L2044" s="5" t="str">
        <f>IFERROR(__xludf.DUMMYFUNCTION("""COMPUTED_VALUE"""),"Loại biên")</f>
        <v>Loại biên</v>
      </c>
    </row>
    <row r="2045">
      <c r="A2045" s="5" t="str">
        <f>IFERROR(__xludf.DUMMYFUNCTION("""COMPUTED_VALUE"""),"XL3-MPC-011")</f>
        <v>XL3-MPC-011</v>
      </c>
      <c r="B2045" s="3" t="str">
        <f>IFERROR(__xludf.DUMMYFUNCTION("""COMPUTED_VALUE"""),"Máy phát cỏ 4 thì")</f>
        <v>Máy phát cỏ 4 thì</v>
      </c>
      <c r="C2045" s="5" t="str">
        <f>IFERROR(__xludf.DUMMYFUNCTION("""COMPUTED_VALUE"""),"Loại biên")</f>
        <v>Loại biên</v>
      </c>
      <c r="D2045" s="5" t="str">
        <f>IFERROR(__xludf.DUMMYFUNCTION("""COMPUTED_VALUE"""),"HINOTA")</f>
        <v>HINOTA</v>
      </c>
      <c r="E2045" s="5" t="str">
        <f>IFERROR(__xludf.DUMMYFUNCTION("""COMPUTED_VALUE"""),"Trung Quốc")</f>
        <v>Trung Quốc</v>
      </c>
      <c r="F2045" s="5"/>
      <c r="G2045" s="5" t="str">
        <f>IFERROR(__xludf.DUMMYFUNCTION("""COMPUTED_VALUE"""),"CG435")</f>
        <v>CG435</v>
      </c>
      <c r="H2045" s="5" t="str">
        <f>IFERROR(__xludf.DUMMYFUNCTION("""COMPUTED_VALUE"""),"1.2HP")</f>
        <v>1.2HP</v>
      </c>
      <c r="I2045" s="5"/>
      <c r="J2045" s="5"/>
      <c r="K2045" s="5">
        <f>IFERROR(__xludf.DUMMYFUNCTION("""COMPUTED_VALUE"""),0.5)</f>
        <v>0.5</v>
      </c>
      <c r="L2045" s="5" t="str">
        <f>IFERROR(__xludf.DUMMYFUNCTION("""COMPUTED_VALUE"""),"Loại biên")</f>
        <v>Loại biên</v>
      </c>
    </row>
    <row r="2046">
      <c r="A2046" s="5" t="str">
        <f>IFERROR(__xludf.DUMMYFUNCTION("""COMPUTED_VALUE"""),"XL3-MPC-012")</f>
        <v>XL3-MPC-012</v>
      </c>
      <c r="B2046" s="3" t="str">
        <f>IFERROR(__xludf.DUMMYFUNCTION("""COMPUTED_VALUE"""),"Máy phát cỏ 4 thì")</f>
        <v>Máy phát cỏ 4 thì</v>
      </c>
      <c r="C2046" s="5" t="str">
        <f>IFERROR(__xludf.DUMMYFUNCTION("""COMPUTED_VALUE"""),"Loại biên")</f>
        <v>Loại biên</v>
      </c>
      <c r="D2046" s="5" t="str">
        <f>IFERROR(__xludf.DUMMYFUNCTION("""COMPUTED_VALUE"""),"HINOTA")</f>
        <v>HINOTA</v>
      </c>
      <c r="E2046" s="5" t="str">
        <f>IFERROR(__xludf.DUMMYFUNCTION("""COMPUTED_VALUE"""),"Trung Quốc")</f>
        <v>Trung Quốc</v>
      </c>
      <c r="F2046" s="5"/>
      <c r="G2046" s="5" t="str">
        <f>IFERROR(__xludf.DUMMYFUNCTION("""COMPUTED_VALUE"""),"CG435")</f>
        <v>CG435</v>
      </c>
      <c r="H2046" s="5" t="str">
        <f>IFERROR(__xludf.DUMMYFUNCTION("""COMPUTED_VALUE"""),"1.2HP")</f>
        <v>1.2HP</v>
      </c>
      <c r="I2046" s="5"/>
      <c r="J2046" s="5"/>
      <c r="K2046" s="5">
        <f>IFERROR(__xludf.DUMMYFUNCTION("""COMPUTED_VALUE"""),0.5)</f>
        <v>0.5</v>
      </c>
      <c r="L2046" s="5" t="str">
        <f>IFERROR(__xludf.DUMMYFUNCTION("""COMPUTED_VALUE"""),"Loại biên")</f>
        <v>Loại biên</v>
      </c>
    </row>
    <row r="2047">
      <c r="A2047" s="5" t="str">
        <f>IFERROR(__xludf.DUMMYFUNCTION("""COMPUTED_VALUE"""),"XL3-MPC-015")</f>
        <v>XL3-MPC-015</v>
      </c>
      <c r="B2047" s="3" t="str">
        <f>IFERROR(__xludf.DUMMYFUNCTION("""COMPUTED_VALUE"""),"Máy phát cỏ 4 thì")</f>
        <v>Máy phát cỏ 4 thì</v>
      </c>
      <c r="C2047" s="5" t="str">
        <f>IFERROR(__xludf.DUMMYFUNCTION("""COMPUTED_VALUE"""),"Loại biên")</f>
        <v>Loại biên</v>
      </c>
      <c r="D2047" s="5" t="str">
        <f>IFERROR(__xludf.DUMMYFUNCTION("""COMPUTED_VALUE"""),"HONDA")</f>
        <v>HONDA</v>
      </c>
      <c r="E2047" s="5" t="str">
        <f>IFERROR(__xludf.DUMMYFUNCTION("""COMPUTED_VALUE"""),"THÁI LAN")</f>
        <v>THÁI LAN</v>
      </c>
      <c r="F2047" s="5"/>
      <c r="G2047" s="5" t="str">
        <f>IFERROR(__xludf.DUMMYFUNCTION("""COMPUTED_VALUE"""),"GX35")</f>
        <v>GX35</v>
      </c>
      <c r="H2047" s="5" t="str">
        <f>IFERROR(__xludf.DUMMYFUNCTION("""COMPUTED_VALUE"""),"1.6HP")</f>
        <v>1.6HP</v>
      </c>
      <c r="I2047" s="5" t="str">
        <f>IFERROR(__xludf.DUMMYFUNCTION("""COMPUTED_VALUE"""),"GCAMT-7623984")</f>
        <v>GCAMT-7623984</v>
      </c>
      <c r="J2047" s="5"/>
      <c r="K2047" s="5">
        <f>IFERROR(__xludf.DUMMYFUNCTION("""COMPUTED_VALUE"""),0.5)</f>
        <v>0.5</v>
      </c>
      <c r="L2047" s="5" t="str">
        <f>IFERROR(__xludf.DUMMYFUNCTION("""COMPUTED_VALUE"""),"Loại biên")</f>
        <v>Loại biên</v>
      </c>
    </row>
    <row r="2048">
      <c r="A2048" s="5" t="str">
        <f>IFERROR(__xludf.DUMMYFUNCTION("""COMPUTED_VALUE"""),"XL3-MPC-016")</f>
        <v>XL3-MPC-016</v>
      </c>
      <c r="B2048" s="3" t="str">
        <f>IFERROR(__xludf.DUMMYFUNCTION("""COMPUTED_VALUE"""),"Máy phát cỏ 4 thì")</f>
        <v>Máy phát cỏ 4 thì</v>
      </c>
      <c r="C2048" s="5" t="str">
        <f>IFERROR(__xludf.DUMMYFUNCTION("""COMPUTED_VALUE"""),"Loại biên")</f>
        <v>Loại biên</v>
      </c>
      <c r="D2048" s="5" t="str">
        <f>IFERROR(__xludf.DUMMYFUNCTION("""COMPUTED_VALUE"""),"HONDA")</f>
        <v>HONDA</v>
      </c>
      <c r="E2048" s="5" t="str">
        <f>IFERROR(__xludf.DUMMYFUNCTION("""COMPUTED_VALUE"""),"THÁI LAN")</f>
        <v>THÁI LAN</v>
      </c>
      <c r="F2048" s="5"/>
      <c r="G2048" s="5" t="str">
        <f>IFERROR(__xludf.DUMMYFUNCTION("""COMPUTED_VALUE"""),"GX35")</f>
        <v>GX35</v>
      </c>
      <c r="H2048" s="5" t="str">
        <f>IFERROR(__xludf.DUMMYFUNCTION("""COMPUTED_VALUE"""),"1.6HP")</f>
        <v>1.6HP</v>
      </c>
      <c r="I2048" s="5" t="str">
        <f>IFERROR(__xludf.DUMMYFUNCTION("""COMPUTED_VALUE"""),"GCAMT-7659061")</f>
        <v>GCAMT-7659061</v>
      </c>
      <c r="J2048" s="5"/>
      <c r="K2048" s="5">
        <f>IFERROR(__xludf.DUMMYFUNCTION("""COMPUTED_VALUE"""),0.5)</f>
        <v>0.5</v>
      </c>
      <c r="L2048" s="5" t="str">
        <f>IFERROR(__xludf.DUMMYFUNCTION("""COMPUTED_VALUE"""),"Loại biên")</f>
        <v>Loại biên</v>
      </c>
    </row>
    <row r="2049">
      <c r="A2049" s="5" t="str">
        <f>IFERROR(__xludf.DUMMYFUNCTION("""COMPUTED_VALUE"""),"XL3-MPC-020")</f>
        <v>XL3-MPC-020</v>
      </c>
      <c r="B2049" s="3" t="str">
        <f>IFERROR(__xludf.DUMMYFUNCTION("""COMPUTED_VALUE"""),"Máy phát cỏ 4 thì")</f>
        <v>Máy phát cỏ 4 thì</v>
      </c>
      <c r="C2049" s="5" t="str">
        <f>IFERROR(__xludf.DUMMYFUNCTION("""COMPUTED_VALUE"""),"Loại biên")</f>
        <v>Loại biên</v>
      </c>
      <c r="D2049" s="5" t="str">
        <f>IFERROR(__xludf.DUMMYFUNCTION("""COMPUTED_VALUE"""),"HONDA")</f>
        <v>HONDA</v>
      </c>
      <c r="E2049" s="5" t="str">
        <f>IFERROR(__xludf.DUMMYFUNCTION("""COMPUTED_VALUE"""),"THÁI LAN")</f>
        <v>THÁI LAN</v>
      </c>
      <c r="F2049" s="5"/>
      <c r="G2049" s="5" t="str">
        <f>IFERROR(__xludf.DUMMYFUNCTION("""COMPUTED_VALUE"""),"GX35")</f>
        <v>GX35</v>
      </c>
      <c r="H2049" s="5" t="str">
        <f>IFERROR(__xludf.DUMMYFUNCTION("""COMPUTED_VALUE"""),"1.6HP")</f>
        <v>1.6HP</v>
      </c>
      <c r="I2049" s="5" t="str">
        <f>IFERROR(__xludf.DUMMYFUNCTION("""COMPUTED_VALUE"""),"GCAMT-7674856")</f>
        <v>GCAMT-7674856</v>
      </c>
      <c r="J2049" s="5"/>
      <c r="K2049" s="5">
        <f>IFERROR(__xludf.DUMMYFUNCTION("""COMPUTED_VALUE"""),0.5)</f>
        <v>0.5</v>
      </c>
      <c r="L2049" s="5" t="str">
        <f>IFERROR(__xludf.DUMMYFUNCTION("""COMPUTED_VALUE"""),"Loại biên")</f>
        <v>Loại biên</v>
      </c>
    </row>
    <row r="2050">
      <c r="A2050" s="5" t="str">
        <f>IFERROR(__xludf.DUMMYFUNCTION("""COMPUTED_VALUE"""),"XL3-MPC-021")</f>
        <v>XL3-MPC-021</v>
      </c>
      <c r="B2050" s="3" t="str">
        <f>IFERROR(__xludf.DUMMYFUNCTION("""COMPUTED_VALUE"""),"Máy phát cỏ 4 thì")</f>
        <v>Máy phát cỏ 4 thì</v>
      </c>
      <c r="C2050" s="5" t="str">
        <f>IFERROR(__xludf.DUMMYFUNCTION("""COMPUTED_VALUE"""),"Loại biên")</f>
        <v>Loại biên</v>
      </c>
      <c r="D2050" s="5" t="str">
        <f>IFERROR(__xludf.DUMMYFUNCTION("""COMPUTED_VALUE"""),"HONDA")</f>
        <v>HONDA</v>
      </c>
      <c r="E2050" s="5" t="str">
        <f>IFERROR(__xludf.DUMMYFUNCTION("""COMPUTED_VALUE"""),"THÁI LAN")</f>
        <v>THÁI LAN</v>
      </c>
      <c r="F2050" s="5"/>
      <c r="G2050" s="5" t="str">
        <f>IFERROR(__xludf.DUMMYFUNCTION("""COMPUTED_VALUE"""),"GX35")</f>
        <v>GX35</v>
      </c>
      <c r="H2050" s="5" t="str">
        <f>IFERROR(__xludf.DUMMYFUNCTION("""COMPUTED_VALUE"""),"1.6HP")</f>
        <v>1.6HP</v>
      </c>
      <c r="I2050" s="5" t="str">
        <f>IFERROR(__xludf.DUMMYFUNCTION("""COMPUTED_VALUE"""),"GCAMT-7674867")</f>
        <v>GCAMT-7674867</v>
      </c>
      <c r="J2050" s="5"/>
      <c r="K2050" s="5">
        <f>IFERROR(__xludf.DUMMYFUNCTION("""COMPUTED_VALUE"""),0.5)</f>
        <v>0.5</v>
      </c>
      <c r="L2050" s="5" t="str">
        <f>IFERROR(__xludf.DUMMYFUNCTION("""COMPUTED_VALUE"""),"Loại biên")</f>
        <v>Loại biên</v>
      </c>
    </row>
    <row r="2051">
      <c r="A2051" s="5" t="str">
        <f>IFERROR(__xludf.DUMMYFUNCTION("""COMPUTED_VALUE"""),"XL3-MPC-027")</f>
        <v>XL3-MPC-027</v>
      </c>
      <c r="B2051" s="3" t="str">
        <f>IFERROR(__xludf.DUMMYFUNCTION("""COMPUTED_VALUE"""),"Máy phát cỏ 4 thì")</f>
        <v>Máy phát cỏ 4 thì</v>
      </c>
      <c r="C2051" s="5" t="str">
        <f>IFERROR(__xludf.DUMMYFUNCTION("""COMPUTED_VALUE"""),"Loại biên")</f>
        <v>Loại biên</v>
      </c>
      <c r="D2051" s="5" t="str">
        <f>IFERROR(__xludf.DUMMYFUNCTION("""COMPUTED_VALUE"""),"HONDA")</f>
        <v>HONDA</v>
      </c>
      <c r="E2051" s="5" t="str">
        <f>IFERROR(__xludf.DUMMYFUNCTION("""COMPUTED_VALUE"""),"THÁI LAN")</f>
        <v>THÁI LAN</v>
      </c>
      <c r="F2051" s="5"/>
      <c r="G2051" s="5" t="str">
        <f>IFERROR(__xludf.DUMMYFUNCTION("""COMPUTED_VALUE"""),"GX35")</f>
        <v>GX35</v>
      </c>
      <c r="H2051" s="5" t="str">
        <f>IFERROR(__xludf.DUMMYFUNCTION("""COMPUTED_VALUE"""),"1.6HP")</f>
        <v>1.6HP</v>
      </c>
      <c r="I2051" s="5" t="str">
        <f>IFERROR(__xludf.DUMMYFUNCTION("""COMPUTED_VALUE"""),"GCAMT-764888")</f>
        <v>GCAMT-764888</v>
      </c>
      <c r="J2051" s="5"/>
      <c r="K2051" s="5">
        <f>IFERROR(__xludf.DUMMYFUNCTION("""COMPUTED_VALUE"""),0.5)</f>
        <v>0.5</v>
      </c>
      <c r="L2051" s="5" t="str">
        <f>IFERROR(__xludf.DUMMYFUNCTION("""COMPUTED_VALUE"""),"Loại biên")</f>
        <v>Loại biên</v>
      </c>
    </row>
    <row r="2052">
      <c r="A2052" s="5" t="str">
        <f>IFERROR(__xludf.DUMMYFUNCTION("""COMPUTED_VALUE"""),"XL3-MPC-028")</f>
        <v>XL3-MPC-028</v>
      </c>
      <c r="B2052" s="3" t="str">
        <f>IFERROR(__xludf.DUMMYFUNCTION("""COMPUTED_VALUE"""),"Máy phát cỏ 4 thì")</f>
        <v>Máy phát cỏ 4 thì</v>
      </c>
      <c r="C2052" s="5" t="str">
        <f>IFERROR(__xludf.DUMMYFUNCTION("""COMPUTED_VALUE"""),"Loại biên")</f>
        <v>Loại biên</v>
      </c>
      <c r="D2052" s="5" t="str">
        <f>IFERROR(__xludf.DUMMYFUNCTION("""COMPUTED_VALUE"""),"HONDA")</f>
        <v>HONDA</v>
      </c>
      <c r="E2052" s="5" t="str">
        <f>IFERROR(__xludf.DUMMYFUNCTION("""COMPUTED_VALUE"""),"THÁI LAN")</f>
        <v>THÁI LAN</v>
      </c>
      <c r="F2052" s="5"/>
      <c r="G2052" s="5" t="str">
        <f>IFERROR(__xludf.DUMMYFUNCTION("""COMPUTED_VALUE"""),"GX35")</f>
        <v>GX35</v>
      </c>
      <c r="H2052" s="5" t="str">
        <f>IFERROR(__xludf.DUMMYFUNCTION("""COMPUTED_VALUE"""),"1.6HP")</f>
        <v>1.6HP</v>
      </c>
      <c r="I2052" s="5" t="str">
        <f>IFERROR(__xludf.DUMMYFUNCTION("""COMPUTED_VALUE"""),"GCAMT-7656178")</f>
        <v>GCAMT-7656178</v>
      </c>
      <c r="J2052" s="5"/>
      <c r="K2052" s="5">
        <f>IFERROR(__xludf.DUMMYFUNCTION("""COMPUTED_VALUE"""),0.5)</f>
        <v>0.5</v>
      </c>
      <c r="L2052" s="5" t="str">
        <f>IFERROR(__xludf.DUMMYFUNCTION("""COMPUTED_VALUE"""),"Loại biên")</f>
        <v>Loại biên</v>
      </c>
    </row>
    <row r="2053">
      <c r="A2053" s="5" t="str">
        <f>IFERROR(__xludf.DUMMYFUNCTION("""COMPUTED_VALUE"""),"XL3-MPC-031")</f>
        <v>XL3-MPC-031</v>
      </c>
      <c r="B2053" s="3" t="str">
        <f>IFERROR(__xludf.DUMMYFUNCTION("""COMPUTED_VALUE"""),"Máy phát cỏ 4 thì")</f>
        <v>Máy phát cỏ 4 thì</v>
      </c>
      <c r="C2053" s="5" t="str">
        <f>IFERROR(__xludf.DUMMYFUNCTION("""COMPUTED_VALUE"""),"Loại biên")</f>
        <v>Loại biên</v>
      </c>
      <c r="D2053" s="5" t="str">
        <f>IFERROR(__xludf.DUMMYFUNCTION("""COMPUTED_VALUE"""),"HONDA")</f>
        <v>HONDA</v>
      </c>
      <c r="E2053" s="5" t="str">
        <f>IFERROR(__xludf.DUMMYFUNCTION("""COMPUTED_VALUE"""),"THÁI LAN")</f>
        <v>THÁI LAN</v>
      </c>
      <c r="F2053" s="5"/>
      <c r="G2053" s="5" t="str">
        <f>IFERROR(__xludf.DUMMYFUNCTION("""COMPUTED_VALUE"""),"GX35")</f>
        <v>GX35</v>
      </c>
      <c r="H2053" s="5" t="str">
        <f>IFERROR(__xludf.DUMMYFUNCTION("""COMPUTED_VALUE"""),"1.6HP")</f>
        <v>1.6HP</v>
      </c>
      <c r="I2053" s="5" t="str">
        <f>IFERROR(__xludf.DUMMYFUNCTION("""COMPUTED_VALUE"""),"GCAMT-7674889")</f>
        <v>GCAMT-7674889</v>
      </c>
      <c r="J2053" s="5"/>
      <c r="K2053" s="5">
        <f>IFERROR(__xludf.DUMMYFUNCTION("""COMPUTED_VALUE"""),0.5)</f>
        <v>0.5</v>
      </c>
      <c r="L2053" s="5" t="str">
        <f>IFERROR(__xludf.DUMMYFUNCTION("""COMPUTED_VALUE"""),"Loại biên")</f>
        <v>Loại biên</v>
      </c>
    </row>
    <row r="2054">
      <c r="A2054" s="5" t="str">
        <f>IFERROR(__xludf.DUMMYFUNCTION("""COMPUTED_VALUE"""),"XL3-MPC-035")</f>
        <v>XL3-MPC-035</v>
      </c>
      <c r="B2054" s="3" t="str">
        <f>IFERROR(__xludf.DUMMYFUNCTION("""COMPUTED_VALUE"""),"Máy phát cỏ 4 thì")</f>
        <v>Máy phát cỏ 4 thì</v>
      </c>
      <c r="C2054" s="5" t="str">
        <f>IFERROR(__xludf.DUMMYFUNCTION("""COMPUTED_VALUE"""),"Loại biên")</f>
        <v>Loại biên</v>
      </c>
      <c r="D2054" s="5" t="str">
        <f>IFERROR(__xludf.DUMMYFUNCTION("""COMPUTED_VALUE"""),"HONDA")</f>
        <v>HONDA</v>
      </c>
      <c r="E2054" s="5" t="str">
        <f>IFERROR(__xludf.DUMMYFUNCTION("""COMPUTED_VALUE"""),"THÁI LAN")</f>
        <v>THÁI LAN</v>
      </c>
      <c r="F2054" s="5"/>
      <c r="G2054" s="5" t="str">
        <f>IFERROR(__xludf.DUMMYFUNCTION("""COMPUTED_VALUE"""),"GX35")</f>
        <v>GX35</v>
      </c>
      <c r="H2054" s="5" t="str">
        <f>IFERROR(__xludf.DUMMYFUNCTION("""COMPUTED_VALUE"""),"1.6HP")</f>
        <v>1.6HP</v>
      </c>
      <c r="I2054" s="5" t="str">
        <f>IFERROR(__xludf.DUMMYFUNCTION("""COMPUTED_VALUE"""),"GCAMT-7716944")</f>
        <v>GCAMT-7716944</v>
      </c>
      <c r="J2054" s="5"/>
      <c r="K2054" s="5">
        <f>IFERROR(__xludf.DUMMYFUNCTION("""COMPUTED_VALUE"""),0.5)</f>
        <v>0.5</v>
      </c>
      <c r="L2054" s="5" t="str">
        <f>IFERROR(__xludf.DUMMYFUNCTION("""COMPUTED_VALUE"""),"Loại biên")</f>
        <v>Loại biên</v>
      </c>
    </row>
    <row r="2055">
      <c r="A2055" s="5" t="str">
        <f>IFERROR(__xludf.DUMMYFUNCTION("""COMPUTED_VALUE"""),"XL3-MPC-037")</f>
        <v>XL3-MPC-037</v>
      </c>
      <c r="B2055" s="3" t="str">
        <f>IFERROR(__xludf.DUMMYFUNCTION("""COMPUTED_VALUE"""),"Máy phát cỏ 4 thì")</f>
        <v>Máy phát cỏ 4 thì</v>
      </c>
      <c r="C2055" s="5" t="str">
        <f>IFERROR(__xludf.DUMMYFUNCTION("""COMPUTED_VALUE"""),"Loại biên")</f>
        <v>Loại biên</v>
      </c>
      <c r="D2055" s="5" t="str">
        <f>IFERROR(__xludf.DUMMYFUNCTION("""COMPUTED_VALUE"""),"HONDA")</f>
        <v>HONDA</v>
      </c>
      <c r="E2055" s="5" t="str">
        <f>IFERROR(__xludf.DUMMYFUNCTION("""COMPUTED_VALUE"""),"THÁI LAN")</f>
        <v>THÁI LAN</v>
      </c>
      <c r="F2055" s="5"/>
      <c r="G2055" s="5" t="str">
        <f>IFERROR(__xludf.DUMMYFUNCTION("""COMPUTED_VALUE"""),"GX35")</f>
        <v>GX35</v>
      </c>
      <c r="H2055" s="5" t="str">
        <f>IFERROR(__xludf.DUMMYFUNCTION("""COMPUTED_VALUE"""),"1.6HP")</f>
        <v>1.6HP</v>
      </c>
      <c r="I2055" s="5" t="str">
        <f>IFERROR(__xludf.DUMMYFUNCTION("""COMPUTED_VALUE"""),"GCAMT-7716990")</f>
        <v>GCAMT-7716990</v>
      </c>
      <c r="J2055" s="5"/>
      <c r="K2055" s="5">
        <f>IFERROR(__xludf.DUMMYFUNCTION("""COMPUTED_VALUE"""),0.5)</f>
        <v>0.5</v>
      </c>
      <c r="L2055" s="5" t="str">
        <f>IFERROR(__xludf.DUMMYFUNCTION("""COMPUTED_VALUE"""),"Loại biên")</f>
        <v>Loại biên</v>
      </c>
    </row>
    <row r="2056">
      <c r="A2056" s="5" t="str">
        <f>IFERROR(__xludf.DUMMYFUNCTION("""COMPUTED_VALUE"""),"XL3-MPC-038")</f>
        <v>XL3-MPC-038</v>
      </c>
      <c r="B2056" s="3" t="str">
        <f>IFERROR(__xludf.DUMMYFUNCTION("""COMPUTED_VALUE"""),"Máy phát cỏ 4 thì")</f>
        <v>Máy phát cỏ 4 thì</v>
      </c>
      <c r="C2056" s="5" t="str">
        <f>IFERROR(__xludf.DUMMYFUNCTION("""COMPUTED_VALUE"""),"Loại biên")</f>
        <v>Loại biên</v>
      </c>
      <c r="D2056" s="5" t="str">
        <f>IFERROR(__xludf.DUMMYFUNCTION("""COMPUTED_VALUE"""),"HINOTA")</f>
        <v>HINOTA</v>
      </c>
      <c r="E2056" s="5" t="str">
        <f>IFERROR(__xludf.DUMMYFUNCTION("""COMPUTED_VALUE"""),"Nhật Bản")</f>
        <v>Nhật Bản</v>
      </c>
      <c r="F2056" s="5"/>
      <c r="G2056" s="5" t="str">
        <f>IFERROR(__xludf.DUMMYFUNCTION("""COMPUTED_VALUE"""),"CG435")</f>
        <v>CG435</v>
      </c>
      <c r="H2056" s="5" t="str">
        <f>IFERROR(__xludf.DUMMYFUNCTION("""COMPUTED_VALUE"""),"1.2HP")</f>
        <v>1.2HP</v>
      </c>
      <c r="I2056" s="5"/>
      <c r="J2056" s="5"/>
      <c r="K2056" s="5">
        <f>IFERROR(__xludf.DUMMYFUNCTION("""COMPUTED_VALUE"""),0.5)</f>
        <v>0.5</v>
      </c>
      <c r="L2056" s="5" t="str">
        <f>IFERROR(__xludf.DUMMYFUNCTION("""COMPUTED_VALUE"""),"Loại biên")</f>
        <v>Loại biên</v>
      </c>
    </row>
    <row r="2057">
      <c r="A2057" s="5" t="str">
        <f>IFERROR(__xludf.DUMMYFUNCTION("""COMPUTED_VALUE"""),"XL3-MPC-039")</f>
        <v>XL3-MPC-039</v>
      </c>
      <c r="B2057" s="3" t="str">
        <f>IFERROR(__xludf.DUMMYFUNCTION("""COMPUTED_VALUE"""),"Máy phát cỏ 4 thì")</f>
        <v>Máy phát cỏ 4 thì</v>
      </c>
      <c r="C2057" s="5" t="str">
        <f>IFERROR(__xludf.DUMMYFUNCTION("""COMPUTED_VALUE"""),"Loại biên")</f>
        <v>Loại biên</v>
      </c>
      <c r="D2057" s="5" t="str">
        <f>IFERROR(__xludf.DUMMYFUNCTION("""COMPUTED_VALUE"""),"HINOTA")</f>
        <v>HINOTA</v>
      </c>
      <c r="E2057" s="5" t="str">
        <f>IFERROR(__xludf.DUMMYFUNCTION("""COMPUTED_VALUE"""),"Nhật Bản")</f>
        <v>Nhật Bản</v>
      </c>
      <c r="F2057" s="5"/>
      <c r="G2057" s="5" t="str">
        <f>IFERROR(__xludf.DUMMYFUNCTION("""COMPUTED_VALUE"""),"CG435")</f>
        <v>CG435</v>
      </c>
      <c r="H2057" s="5" t="str">
        <f>IFERROR(__xludf.DUMMYFUNCTION("""COMPUTED_VALUE"""),"1.2HP")</f>
        <v>1.2HP</v>
      </c>
      <c r="I2057" s="5"/>
      <c r="J2057" s="5"/>
      <c r="K2057" s="5">
        <f>IFERROR(__xludf.DUMMYFUNCTION("""COMPUTED_VALUE"""),0.5)</f>
        <v>0.5</v>
      </c>
      <c r="L2057" s="5" t="str">
        <f>IFERROR(__xludf.DUMMYFUNCTION("""COMPUTED_VALUE"""),"Loại biên")</f>
        <v>Loại biên</v>
      </c>
    </row>
    <row r="2058">
      <c r="A2058" s="5" t="str">
        <f>IFERROR(__xludf.DUMMYFUNCTION("""COMPUTED_VALUE"""),"XL3-MPC-040")</f>
        <v>XL3-MPC-040</v>
      </c>
      <c r="B2058" s="3" t="str">
        <f>IFERROR(__xludf.DUMMYFUNCTION("""COMPUTED_VALUE"""),"Máy phát cỏ 4 thì")</f>
        <v>Máy phát cỏ 4 thì</v>
      </c>
      <c r="C2058" s="5" t="str">
        <f>IFERROR(__xludf.DUMMYFUNCTION("""COMPUTED_VALUE"""),"Loại biên")</f>
        <v>Loại biên</v>
      </c>
      <c r="D2058" s="5" t="str">
        <f>IFERROR(__xludf.DUMMYFUNCTION("""COMPUTED_VALUE"""),"HINOTA")</f>
        <v>HINOTA</v>
      </c>
      <c r="E2058" s="5" t="str">
        <f>IFERROR(__xludf.DUMMYFUNCTION("""COMPUTED_VALUE"""),"Nhật Bản")</f>
        <v>Nhật Bản</v>
      </c>
      <c r="F2058" s="5"/>
      <c r="G2058" s="5" t="str">
        <f>IFERROR(__xludf.DUMMYFUNCTION("""COMPUTED_VALUE"""),"CG435")</f>
        <v>CG435</v>
      </c>
      <c r="H2058" s="5" t="str">
        <f>IFERROR(__xludf.DUMMYFUNCTION("""COMPUTED_VALUE"""),"1.2HP")</f>
        <v>1.2HP</v>
      </c>
      <c r="I2058" s="5"/>
      <c r="J2058" s="5"/>
      <c r="K2058" s="5">
        <f>IFERROR(__xludf.DUMMYFUNCTION("""COMPUTED_VALUE"""),0.5)</f>
        <v>0.5</v>
      </c>
      <c r="L2058" s="5" t="str">
        <f>IFERROR(__xludf.DUMMYFUNCTION("""COMPUTED_VALUE"""),"Loại biên")</f>
        <v>Loại biên</v>
      </c>
    </row>
    <row r="2059">
      <c r="A2059" s="5" t="str">
        <f>IFERROR(__xludf.DUMMYFUNCTION("""COMPUTED_VALUE"""),"XB1-MPC-001")</f>
        <v>XB1-MPC-001</v>
      </c>
      <c r="B2059" s="3" t="str">
        <f>IFERROR(__xludf.DUMMYFUNCTION("""COMPUTED_VALUE"""),"Máy phát cỏ 2 thì")</f>
        <v>Máy phát cỏ 2 thì</v>
      </c>
      <c r="C2059" s="5" t="str">
        <f>IFERROR(__xludf.DUMMYFUNCTION("""COMPUTED_VALUE"""),"Loại biên")</f>
        <v>Loại biên</v>
      </c>
      <c r="D2059" s="5" t="str">
        <f>IFERROR(__xludf.DUMMYFUNCTION("""COMPUTED_VALUE"""),"NAGATA")</f>
        <v>NAGATA</v>
      </c>
      <c r="E2059" s="5" t="str">
        <f>IFERROR(__xludf.DUMMYFUNCTION("""COMPUTED_VALUE"""),"TRUNG QUỐC")</f>
        <v>TRUNG QUỐC</v>
      </c>
      <c r="F2059" s="5"/>
      <c r="G2059" s="5" t="str">
        <f>IFERROR(__xludf.DUMMYFUNCTION("""COMPUTED_VALUE"""),"CG411")</f>
        <v>CG411</v>
      </c>
      <c r="H2059" s="5" t="str">
        <f>IFERROR(__xludf.DUMMYFUNCTION("""COMPUTED_VALUE"""),"1.8HP")</f>
        <v>1.8HP</v>
      </c>
      <c r="I2059" s="5"/>
      <c r="J2059" s="5"/>
      <c r="K2059" s="5">
        <f>IFERROR(__xludf.DUMMYFUNCTION("""COMPUTED_VALUE"""),1.0)</f>
        <v>1</v>
      </c>
      <c r="L2059" s="5" t="str">
        <f>IFERROR(__xludf.DUMMYFUNCTION("""COMPUTED_VALUE"""),"Loại biên")</f>
        <v>Loại biên</v>
      </c>
    </row>
    <row r="2060">
      <c r="A2060" s="5" t="str">
        <f>IFERROR(__xludf.DUMMYFUNCTION("""COMPUTED_VALUE"""),"XB1-MPC-002")</f>
        <v>XB1-MPC-002</v>
      </c>
      <c r="B2060" s="3" t="str">
        <f>IFERROR(__xludf.DUMMYFUNCTION("""COMPUTED_VALUE"""),"Máy phát cỏ 2 thì")</f>
        <v>Máy phát cỏ 2 thì</v>
      </c>
      <c r="C2060" s="5" t="str">
        <f>IFERROR(__xludf.DUMMYFUNCTION("""COMPUTED_VALUE"""),"Loại biên")</f>
        <v>Loại biên</v>
      </c>
      <c r="D2060" s="5" t="str">
        <f>IFERROR(__xludf.DUMMYFUNCTION("""COMPUTED_VALUE"""),"NAGATA")</f>
        <v>NAGATA</v>
      </c>
      <c r="E2060" s="5" t="str">
        <f>IFERROR(__xludf.DUMMYFUNCTION("""COMPUTED_VALUE"""),"TRUNG QUỐC")</f>
        <v>TRUNG QUỐC</v>
      </c>
      <c r="F2060" s="5"/>
      <c r="G2060" s="5" t="str">
        <f>IFERROR(__xludf.DUMMYFUNCTION("""COMPUTED_VALUE"""),"CG411")</f>
        <v>CG411</v>
      </c>
      <c r="H2060" s="5" t="str">
        <f>IFERROR(__xludf.DUMMYFUNCTION("""COMPUTED_VALUE"""),"1.8HP")</f>
        <v>1.8HP</v>
      </c>
      <c r="I2060" s="5"/>
      <c r="J2060" s="5"/>
      <c r="K2060" s="5">
        <f>IFERROR(__xludf.DUMMYFUNCTION("""COMPUTED_VALUE"""),1.0)</f>
        <v>1</v>
      </c>
      <c r="L2060" s="5" t="str">
        <f>IFERROR(__xludf.DUMMYFUNCTION("""COMPUTED_VALUE"""),"Loại biên")</f>
        <v>Loại biên</v>
      </c>
    </row>
    <row r="2061">
      <c r="A2061" s="5" t="str">
        <f>IFERROR(__xludf.DUMMYFUNCTION("""COMPUTED_VALUE"""),"XB1-MPC-003")</f>
        <v>XB1-MPC-003</v>
      </c>
      <c r="B2061" s="3" t="str">
        <f>IFERROR(__xludf.DUMMYFUNCTION("""COMPUTED_VALUE"""),"Máy phát cỏ 2 thì")</f>
        <v>Máy phát cỏ 2 thì</v>
      </c>
      <c r="C2061" s="5" t="str">
        <f>IFERROR(__xludf.DUMMYFUNCTION("""COMPUTED_VALUE"""),"Loại biên")</f>
        <v>Loại biên</v>
      </c>
      <c r="D2061" s="5" t="str">
        <f>IFERROR(__xludf.DUMMYFUNCTION("""COMPUTED_VALUE"""),"NAGATA")</f>
        <v>NAGATA</v>
      </c>
      <c r="E2061" s="5" t="str">
        <f>IFERROR(__xludf.DUMMYFUNCTION("""COMPUTED_VALUE"""),"TRUNG QUỐC")</f>
        <v>TRUNG QUỐC</v>
      </c>
      <c r="F2061" s="5"/>
      <c r="G2061" s="5" t="str">
        <f>IFERROR(__xludf.DUMMYFUNCTION("""COMPUTED_VALUE"""),"CG411")</f>
        <v>CG411</v>
      </c>
      <c r="H2061" s="5" t="str">
        <f>IFERROR(__xludf.DUMMYFUNCTION("""COMPUTED_VALUE"""),"1.8HP")</f>
        <v>1.8HP</v>
      </c>
      <c r="I2061" s="5"/>
      <c r="J2061" s="5"/>
      <c r="K2061" s="5">
        <f>IFERROR(__xludf.DUMMYFUNCTION("""COMPUTED_VALUE"""),1.0)</f>
        <v>1</v>
      </c>
      <c r="L2061" s="5" t="str">
        <f>IFERROR(__xludf.DUMMYFUNCTION("""COMPUTED_VALUE"""),"Loại biên")</f>
        <v>Loại biên</v>
      </c>
    </row>
    <row r="2062">
      <c r="A2062" s="5" t="str">
        <f>IFERROR(__xludf.DUMMYFUNCTION("""COMPUTED_VALUE"""),"XB1-MPC-004")</f>
        <v>XB1-MPC-004</v>
      </c>
      <c r="B2062" s="3" t="str">
        <f>IFERROR(__xludf.DUMMYFUNCTION("""COMPUTED_VALUE"""),"Máy phát cỏ 2 thì")</f>
        <v>Máy phát cỏ 2 thì</v>
      </c>
      <c r="C2062" s="5" t="str">
        <f>IFERROR(__xludf.DUMMYFUNCTION("""COMPUTED_VALUE"""),"Loại biên")</f>
        <v>Loại biên</v>
      </c>
      <c r="D2062" s="5" t="str">
        <f>IFERROR(__xludf.DUMMYFUNCTION("""COMPUTED_VALUE"""),"NAGATA")</f>
        <v>NAGATA</v>
      </c>
      <c r="E2062" s="5" t="str">
        <f>IFERROR(__xludf.DUMMYFUNCTION("""COMPUTED_VALUE"""),"TRUNG QUỐC")</f>
        <v>TRUNG QUỐC</v>
      </c>
      <c r="F2062" s="5"/>
      <c r="G2062" s="5" t="str">
        <f>IFERROR(__xludf.DUMMYFUNCTION("""COMPUTED_VALUE"""),"CG411")</f>
        <v>CG411</v>
      </c>
      <c r="H2062" s="5" t="str">
        <f>IFERROR(__xludf.DUMMYFUNCTION("""COMPUTED_VALUE"""),"1.8HP")</f>
        <v>1.8HP</v>
      </c>
      <c r="I2062" s="5"/>
      <c r="J2062" s="5"/>
      <c r="K2062" s="5">
        <f>IFERROR(__xludf.DUMMYFUNCTION("""COMPUTED_VALUE"""),1.0)</f>
        <v>1</v>
      </c>
      <c r="L2062" s="5" t="str">
        <f>IFERROR(__xludf.DUMMYFUNCTION("""COMPUTED_VALUE"""),"Loại biên")</f>
        <v>Loại biên</v>
      </c>
    </row>
    <row r="2063">
      <c r="A2063" s="5" t="str">
        <f>IFERROR(__xludf.DUMMYFUNCTION("""COMPUTED_VALUE"""),"XB1-MPC-005")</f>
        <v>XB1-MPC-005</v>
      </c>
      <c r="B2063" s="3" t="str">
        <f>IFERROR(__xludf.DUMMYFUNCTION("""COMPUTED_VALUE"""),"Máy phát cỏ 2 thì")</f>
        <v>Máy phát cỏ 2 thì</v>
      </c>
      <c r="C2063" s="5" t="str">
        <f>IFERROR(__xludf.DUMMYFUNCTION("""COMPUTED_VALUE"""),"Loại biên")</f>
        <v>Loại biên</v>
      </c>
      <c r="D2063" s="5" t="str">
        <f>IFERROR(__xludf.DUMMYFUNCTION("""COMPUTED_VALUE"""),"NAGATA")</f>
        <v>NAGATA</v>
      </c>
      <c r="E2063" s="5" t="str">
        <f>IFERROR(__xludf.DUMMYFUNCTION("""COMPUTED_VALUE"""),"TRUNG QUỐC")</f>
        <v>TRUNG QUỐC</v>
      </c>
      <c r="F2063" s="5"/>
      <c r="G2063" s="5" t="str">
        <f>IFERROR(__xludf.DUMMYFUNCTION("""COMPUTED_VALUE"""),"CG411")</f>
        <v>CG411</v>
      </c>
      <c r="H2063" s="5" t="str">
        <f>IFERROR(__xludf.DUMMYFUNCTION("""COMPUTED_VALUE"""),"1.8HP")</f>
        <v>1.8HP</v>
      </c>
      <c r="I2063" s="5"/>
      <c r="J2063" s="5"/>
      <c r="K2063" s="5">
        <f>IFERROR(__xludf.DUMMYFUNCTION("""COMPUTED_VALUE"""),1.0)</f>
        <v>1</v>
      </c>
      <c r="L2063" s="5" t="str">
        <f>IFERROR(__xludf.DUMMYFUNCTION("""COMPUTED_VALUE"""),"Loại biên")</f>
        <v>Loại biên</v>
      </c>
    </row>
    <row r="2064">
      <c r="A2064" s="5" t="str">
        <f>IFERROR(__xludf.DUMMYFUNCTION("""COMPUTED_VALUE"""),"XB1-MPC-006")</f>
        <v>XB1-MPC-006</v>
      </c>
      <c r="B2064" s="3" t="str">
        <f>IFERROR(__xludf.DUMMYFUNCTION("""COMPUTED_VALUE"""),"Máy phát cỏ 2 thì")</f>
        <v>Máy phát cỏ 2 thì</v>
      </c>
      <c r="C2064" s="5" t="str">
        <f>IFERROR(__xludf.DUMMYFUNCTION("""COMPUTED_VALUE"""),"Loại biên")</f>
        <v>Loại biên</v>
      </c>
      <c r="D2064" s="5" t="str">
        <f>IFERROR(__xludf.DUMMYFUNCTION("""COMPUTED_VALUE"""),"NAGATA")</f>
        <v>NAGATA</v>
      </c>
      <c r="E2064" s="5" t="str">
        <f>IFERROR(__xludf.DUMMYFUNCTION("""COMPUTED_VALUE"""),"TRUNG QUỐC")</f>
        <v>TRUNG QUỐC</v>
      </c>
      <c r="F2064" s="5"/>
      <c r="G2064" s="5" t="str">
        <f>IFERROR(__xludf.DUMMYFUNCTION("""COMPUTED_VALUE"""),"CG411")</f>
        <v>CG411</v>
      </c>
      <c r="H2064" s="5" t="str">
        <f>IFERROR(__xludf.DUMMYFUNCTION("""COMPUTED_VALUE"""),"1.8HP")</f>
        <v>1.8HP</v>
      </c>
      <c r="I2064" s="5"/>
      <c r="J2064" s="5"/>
      <c r="K2064" s="5">
        <f>IFERROR(__xludf.DUMMYFUNCTION("""COMPUTED_VALUE"""),1.0)</f>
        <v>1</v>
      </c>
      <c r="L2064" s="5" t="str">
        <f>IFERROR(__xludf.DUMMYFUNCTION("""COMPUTED_VALUE"""),"Loại biên")</f>
        <v>Loại biên</v>
      </c>
    </row>
    <row r="2065">
      <c r="A2065" s="5" t="str">
        <f>IFERROR(__xludf.DUMMYFUNCTION("""COMPUTED_VALUE"""),"XB1-MPC-007")</f>
        <v>XB1-MPC-007</v>
      </c>
      <c r="B2065" s="3" t="str">
        <f>IFERROR(__xludf.DUMMYFUNCTION("""COMPUTED_VALUE"""),"Máy phát cỏ 2 thì")</f>
        <v>Máy phát cỏ 2 thì</v>
      </c>
      <c r="C2065" s="5" t="str">
        <f>IFERROR(__xludf.DUMMYFUNCTION("""COMPUTED_VALUE"""),"Loại biên")</f>
        <v>Loại biên</v>
      </c>
      <c r="D2065" s="5" t="str">
        <f>IFERROR(__xludf.DUMMYFUNCTION("""COMPUTED_VALUE"""),"NAGATA")</f>
        <v>NAGATA</v>
      </c>
      <c r="E2065" s="5" t="str">
        <f>IFERROR(__xludf.DUMMYFUNCTION("""COMPUTED_VALUE"""),"TRUNG QUỐC")</f>
        <v>TRUNG QUỐC</v>
      </c>
      <c r="F2065" s="5"/>
      <c r="G2065" s="5" t="str">
        <f>IFERROR(__xludf.DUMMYFUNCTION("""COMPUTED_VALUE"""),"CG411")</f>
        <v>CG411</v>
      </c>
      <c r="H2065" s="5" t="str">
        <f>IFERROR(__xludf.DUMMYFUNCTION("""COMPUTED_VALUE"""),"1.8HP")</f>
        <v>1.8HP</v>
      </c>
      <c r="I2065" s="5"/>
      <c r="J2065" s="5"/>
      <c r="K2065" s="5">
        <f>IFERROR(__xludf.DUMMYFUNCTION("""COMPUTED_VALUE"""),1.0)</f>
        <v>1</v>
      </c>
      <c r="L2065" s="5" t="str">
        <f>IFERROR(__xludf.DUMMYFUNCTION("""COMPUTED_VALUE"""),"Loại biên")</f>
        <v>Loại biên</v>
      </c>
    </row>
    <row r="2066">
      <c r="A2066" s="5" t="str">
        <f>IFERROR(__xludf.DUMMYFUNCTION("""COMPUTED_VALUE"""),"XB1-MPC-008")</f>
        <v>XB1-MPC-008</v>
      </c>
      <c r="B2066" s="3" t="str">
        <f>IFERROR(__xludf.DUMMYFUNCTION("""COMPUTED_VALUE"""),"Máy phát cỏ 2 thì")</f>
        <v>Máy phát cỏ 2 thì</v>
      </c>
      <c r="C2066" s="5" t="str">
        <f>IFERROR(__xludf.DUMMYFUNCTION("""COMPUTED_VALUE"""),"Loại biên")</f>
        <v>Loại biên</v>
      </c>
      <c r="D2066" s="5" t="str">
        <f>IFERROR(__xludf.DUMMYFUNCTION("""COMPUTED_VALUE"""),"NAGATA")</f>
        <v>NAGATA</v>
      </c>
      <c r="E2066" s="5" t="str">
        <f>IFERROR(__xludf.DUMMYFUNCTION("""COMPUTED_VALUE"""),"TRUNG QUỐC")</f>
        <v>TRUNG QUỐC</v>
      </c>
      <c r="F2066" s="5"/>
      <c r="G2066" s="5" t="str">
        <f>IFERROR(__xludf.DUMMYFUNCTION("""COMPUTED_VALUE"""),"CG411")</f>
        <v>CG411</v>
      </c>
      <c r="H2066" s="5" t="str">
        <f>IFERROR(__xludf.DUMMYFUNCTION("""COMPUTED_VALUE"""),"1.8HP")</f>
        <v>1.8HP</v>
      </c>
      <c r="I2066" s="5"/>
      <c r="J2066" s="5"/>
      <c r="K2066" s="5">
        <f>IFERROR(__xludf.DUMMYFUNCTION("""COMPUTED_VALUE"""),1.0)</f>
        <v>1</v>
      </c>
      <c r="L2066" s="5" t="str">
        <f>IFERROR(__xludf.DUMMYFUNCTION("""COMPUTED_VALUE"""),"Loại biên")</f>
        <v>Loại biên</v>
      </c>
    </row>
    <row r="2067">
      <c r="A2067" s="5" t="str">
        <f>IFERROR(__xludf.DUMMYFUNCTION("""COMPUTED_VALUE"""),"XB1-MPC-009")</f>
        <v>XB1-MPC-009</v>
      </c>
      <c r="B2067" s="3" t="str">
        <f>IFERROR(__xludf.DUMMYFUNCTION("""COMPUTED_VALUE"""),"Máy phát cỏ 2 thì")</f>
        <v>Máy phát cỏ 2 thì</v>
      </c>
      <c r="C2067" s="5" t="str">
        <f>IFERROR(__xludf.DUMMYFUNCTION("""COMPUTED_VALUE"""),"Loại biên")</f>
        <v>Loại biên</v>
      </c>
      <c r="D2067" s="5" t="str">
        <f>IFERROR(__xludf.DUMMYFUNCTION("""COMPUTED_VALUE"""),"NAGATA")</f>
        <v>NAGATA</v>
      </c>
      <c r="E2067" s="5" t="str">
        <f>IFERROR(__xludf.DUMMYFUNCTION("""COMPUTED_VALUE"""),"TRUNG QUỐC")</f>
        <v>TRUNG QUỐC</v>
      </c>
      <c r="F2067" s="5"/>
      <c r="G2067" s="5" t="str">
        <f>IFERROR(__xludf.DUMMYFUNCTION("""COMPUTED_VALUE"""),"CG411")</f>
        <v>CG411</v>
      </c>
      <c r="H2067" s="5" t="str">
        <f>IFERROR(__xludf.DUMMYFUNCTION("""COMPUTED_VALUE"""),"1.8HP")</f>
        <v>1.8HP</v>
      </c>
      <c r="I2067" s="5"/>
      <c r="J2067" s="5"/>
      <c r="K2067" s="5">
        <f>IFERROR(__xludf.DUMMYFUNCTION("""COMPUTED_VALUE"""),1.0)</f>
        <v>1</v>
      </c>
      <c r="L2067" s="5" t="str">
        <f>IFERROR(__xludf.DUMMYFUNCTION("""COMPUTED_VALUE"""),"Loại biên")</f>
        <v>Loại biên</v>
      </c>
    </row>
    <row r="2068">
      <c r="A2068" s="5" t="str">
        <f>IFERROR(__xludf.DUMMYFUNCTION("""COMPUTED_VALUE"""),"XB1-MPC-010")</f>
        <v>XB1-MPC-010</v>
      </c>
      <c r="B2068" s="3" t="str">
        <f>IFERROR(__xludf.DUMMYFUNCTION("""COMPUTED_VALUE"""),"Máy phát cỏ 2 thì")</f>
        <v>Máy phát cỏ 2 thì</v>
      </c>
      <c r="C2068" s="5" t="str">
        <f>IFERROR(__xludf.DUMMYFUNCTION("""COMPUTED_VALUE"""),"Loại biên")</f>
        <v>Loại biên</v>
      </c>
      <c r="D2068" s="5" t="str">
        <f>IFERROR(__xludf.DUMMYFUNCTION("""COMPUTED_VALUE"""),"NAGATA")</f>
        <v>NAGATA</v>
      </c>
      <c r="E2068" s="5" t="str">
        <f>IFERROR(__xludf.DUMMYFUNCTION("""COMPUTED_VALUE"""),"TRUNG QUỐC")</f>
        <v>TRUNG QUỐC</v>
      </c>
      <c r="F2068" s="5"/>
      <c r="G2068" s="5" t="str">
        <f>IFERROR(__xludf.DUMMYFUNCTION("""COMPUTED_VALUE"""),"CG411")</f>
        <v>CG411</v>
      </c>
      <c r="H2068" s="5" t="str">
        <f>IFERROR(__xludf.DUMMYFUNCTION("""COMPUTED_VALUE"""),"1.8HP")</f>
        <v>1.8HP</v>
      </c>
      <c r="I2068" s="5"/>
      <c r="J2068" s="5"/>
      <c r="K2068" s="5">
        <f>IFERROR(__xludf.DUMMYFUNCTION("""COMPUTED_VALUE"""),1.0)</f>
        <v>1</v>
      </c>
      <c r="L2068" s="5" t="str">
        <f>IFERROR(__xludf.DUMMYFUNCTION("""COMPUTED_VALUE"""),"Loại biên")</f>
        <v>Loại biên</v>
      </c>
    </row>
    <row r="2069">
      <c r="A2069" s="5" t="str">
        <f>IFERROR(__xludf.DUMMYFUNCTION("""COMPUTED_VALUE"""),"XB1-MPC-011")</f>
        <v>XB1-MPC-011</v>
      </c>
      <c r="B2069" s="3" t="str">
        <f>IFERROR(__xludf.DUMMYFUNCTION("""COMPUTED_VALUE"""),"Máy phát cỏ 2 thì")</f>
        <v>Máy phát cỏ 2 thì</v>
      </c>
      <c r="C2069" s="5" t="str">
        <f>IFERROR(__xludf.DUMMYFUNCTION("""COMPUTED_VALUE"""),"Loại biên")</f>
        <v>Loại biên</v>
      </c>
      <c r="D2069" s="5" t="str">
        <f>IFERROR(__xludf.DUMMYFUNCTION("""COMPUTED_VALUE"""),"NAGATA")</f>
        <v>NAGATA</v>
      </c>
      <c r="E2069" s="5" t="str">
        <f>IFERROR(__xludf.DUMMYFUNCTION("""COMPUTED_VALUE"""),"TRUNG QUỐC")</f>
        <v>TRUNG QUỐC</v>
      </c>
      <c r="F2069" s="5"/>
      <c r="G2069" s="5" t="str">
        <f>IFERROR(__xludf.DUMMYFUNCTION("""COMPUTED_VALUE"""),"CG411")</f>
        <v>CG411</v>
      </c>
      <c r="H2069" s="5" t="str">
        <f>IFERROR(__xludf.DUMMYFUNCTION("""COMPUTED_VALUE"""),"1.8HP")</f>
        <v>1.8HP</v>
      </c>
      <c r="I2069" s="5"/>
      <c r="J2069" s="5"/>
      <c r="K2069" s="5">
        <f>IFERROR(__xludf.DUMMYFUNCTION("""COMPUTED_VALUE"""),1.0)</f>
        <v>1</v>
      </c>
      <c r="L2069" s="5" t="str">
        <f>IFERROR(__xludf.DUMMYFUNCTION("""COMPUTED_VALUE"""),"Loại biên")</f>
        <v>Loại biên</v>
      </c>
    </row>
    <row r="2070">
      <c r="A2070" s="5" t="str">
        <f>IFERROR(__xludf.DUMMYFUNCTION("""COMPUTED_VALUE"""),"XB1-MPC-012")</f>
        <v>XB1-MPC-012</v>
      </c>
      <c r="B2070" s="3" t="str">
        <f>IFERROR(__xludf.DUMMYFUNCTION("""COMPUTED_VALUE"""),"Máy phát cỏ 2 thì")</f>
        <v>Máy phát cỏ 2 thì</v>
      </c>
      <c r="C2070" s="5" t="str">
        <f>IFERROR(__xludf.DUMMYFUNCTION("""COMPUTED_VALUE"""),"Loại biên")</f>
        <v>Loại biên</v>
      </c>
      <c r="D2070" s="5" t="str">
        <f>IFERROR(__xludf.DUMMYFUNCTION("""COMPUTED_VALUE"""),"NAGATA")</f>
        <v>NAGATA</v>
      </c>
      <c r="E2070" s="5" t="str">
        <f>IFERROR(__xludf.DUMMYFUNCTION("""COMPUTED_VALUE"""),"TRUNG QUỐC")</f>
        <v>TRUNG QUỐC</v>
      </c>
      <c r="F2070" s="5"/>
      <c r="G2070" s="5" t="str">
        <f>IFERROR(__xludf.DUMMYFUNCTION("""COMPUTED_VALUE"""),"CG411")</f>
        <v>CG411</v>
      </c>
      <c r="H2070" s="5" t="str">
        <f>IFERROR(__xludf.DUMMYFUNCTION("""COMPUTED_VALUE"""),"1.8HP")</f>
        <v>1.8HP</v>
      </c>
      <c r="I2070" s="5"/>
      <c r="J2070" s="5"/>
      <c r="K2070" s="5">
        <f>IFERROR(__xludf.DUMMYFUNCTION("""COMPUTED_VALUE"""),1.0)</f>
        <v>1</v>
      </c>
      <c r="L2070" s="5" t="str">
        <f>IFERROR(__xludf.DUMMYFUNCTION("""COMPUTED_VALUE"""),"Loại biên")</f>
        <v>Loại biên</v>
      </c>
    </row>
    <row r="2071">
      <c r="A2071" s="5" t="str">
        <f>IFERROR(__xludf.DUMMYFUNCTION("""COMPUTED_VALUE"""),"XB1-MPC-013")</f>
        <v>XB1-MPC-013</v>
      </c>
      <c r="B2071" s="3" t="str">
        <f>IFERROR(__xludf.DUMMYFUNCTION("""COMPUTED_VALUE"""),"Máy phát cỏ 2 thì")</f>
        <v>Máy phát cỏ 2 thì</v>
      </c>
      <c r="C2071" s="5" t="str">
        <f>IFERROR(__xludf.DUMMYFUNCTION("""COMPUTED_VALUE"""),"Loại biên")</f>
        <v>Loại biên</v>
      </c>
      <c r="D2071" s="5" t="str">
        <f>IFERROR(__xludf.DUMMYFUNCTION("""COMPUTED_VALUE"""),"NAGATA")</f>
        <v>NAGATA</v>
      </c>
      <c r="E2071" s="5" t="str">
        <f>IFERROR(__xludf.DUMMYFUNCTION("""COMPUTED_VALUE"""),"TRUNG QUỐC")</f>
        <v>TRUNG QUỐC</v>
      </c>
      <c r="F2071" s="5"/>
      <c r="G2071" s="5" t="str">
        <f>IFERROR(__xludf.DUMMYFUNCTION("""COMPUTED_VALUE"""),"CG411")</f>
        <v>CG411</v>
      </c>
      <c r="H2071" s="5" t="str">
        <f>IFERROR(__xludf.DUMMYFUNCTION("""COMPUTED_VALUE"""),"1.8HP")</f>
        <v>1.8HP</v>
      </c>
      <c r="I2071" s="5"/>
      <c r="J2071" s="5"/>
      <c r="K2071" s="5">
        <f>IFERROR(__xludf.DUMMYFUNCTION("""COMPUTED_VALUE"""),1.0)</f>
        <v>1</v>
      </c>
      <c r="L2071" s="5" t="str">
        <f>IFERROR(__xludf.DUMMYFUNCTION("""COMPUTED_VALUE"""),"Loại biên")</f>
        <v>Loại biên</v>
      </c>
    </row>
    <row r="2072">
      <c r="A2072" s="5" t="str">
        <f>IFERROR(__xludf.DUMMYFUNCTION("""COMPUTED_VALUE"""),"XB1-MPC-014")</f>
        <v>XB1-MPC-014</v>
      </c>
      <c r="B2072" s="3" t="str">
        <f>IFERROR(__xludf.DUMMYFUNCTION("""COMPUTED_VALUE"""),"Máy phát cỏ 2 thì")</f>
        <v>Máy phát cỏ 2 thì</v>
      </c>
      <c r="C2072" s="5" t="str">
        <f>IFERROR(__xludf.DUMMYFUNCTION("""COMPUTED_VALUE"""),"Loại biên")</f>
        <v>Loại biên</v>
      </c>
      <c r="D2072" s="5" t="str">
        <f>IFERROR(__xludf.DUMMYFUNCTION("""COMPUTED_VALUE"""),"NAGATA")</f>
        <v>NAGATA</v>
      </c>
      <c r="E2072" s="5" t="str">
        <f>IFERROR(__xludf.DUMMYFUNCTION("""COMPUTED_VALUE"""),"TRUNG QUỐC")</f>
        <v>TRUNG QUỐC</v>
      </c>
      <c r="F2072" s="5"/>
      <c r="G2072" s="5" t="str">
        <f>IFERROR(__xludf.DUMMYFUNCTION("""COMPUTED_VALUE"""),"CG411")</f>
        <v>CG411</v>
      </c>
      <c r="H2072" s="5" t="str">
        <f>IFERROR(__xludf.DUMMYFUNCTION("""COMPUTED_VALUE"""),"1.8HP")</f>
        <v>1.8HP</v>
      </c>
      <c r="I2072" s="5"/>
      <c r="J2072" s="5"/>
      <c r="K2072" s="5">
        <f>IFERROR(__xludf.DUMMYFUNCTION("""COMPUTED_VALUE"""),1.0)</f>
        <v>1</v>
      </c>
      <c r="L2072" s="5" t="str">
        <f>IFERROR(__xludf.DUMMYFUNCTION("""COMPUTED_VALUE"""),"Loại biên")</f>
        <v>Loại biên</v>
      </c>
    </row>
    <row r="2073">
      <c r="A2073" s="5" t="str">
        <f>IFERROR(__xludf.DUMMYFUNCTION("""COMPUTED_VALUE"""),"XB1-MPC-015")</f>
        <v>XB1-MPC-015</v>
      </c>
      <c r="B2073" s="3" t="str">
        <f>IFERROR(__xludf.DUMMYFUNCTION("""COMPUTED_VALUE"""),"Máy phát cỏ 2 thì")</f>
        <v>Máy phát cỏ 2 thì</v>
      </c>
      <c r="C2073" s="5" t="str">
        <f>IFERROR(__xludf.DUMMYFUNCTION("""COMPUTED_VALUE"""),"Loại biên")</f>
        <v>Loại biên</v>
      </c>
      <c r="D2073" s="5" t="str">
        <f>IFERROR(__xludf.DUMMYFUNCTION("""COMPUTED_VALUE"""),"NAGATA")</f>
        <v>NAGATA</v>
      </c>
      <c r="E2073" s="5" t="str">
        <f>IFERROR(__xludf.DUMMYFUNCTION("""COMPUTED_VALUE"""),"TRUNG QUỐC")</f>
        <v>TRUNG QUỐC</v>
      </c>
      <c r="F2073" s="5"/>
      <c r="G2073" s="5" t="str">
        <f>IFERROR(__xludf.DUMMYFUNCTION("""COMPUTED_VALUE"""),"CG411")</f>
        <v>CG411</v>
      </c>
      <c r="H2073" s="5" t="str">
        <f>IFERROR(__xludf.DUMMYFUNCTION("""COMPUTED_VALUE"""),"1.8HP")</f>
        <v>1.8HP</v>
      </c>
      <c r="I2073" s="5"/>
      <c r="J2073" s="5"/>
      <c r="K2073" s="5">
        <f>IFERROR(__xludf.DUMMYFUNCTION("""COMPUTED_VALUE"""),1.0)</f>
        <v>1</v>
      </c>
      <c r="L2073" s="5" t="str">
        <f>IFERROR(__xludf.DUMMYFUNCTION("""COMPUTED_VALUE"""),"Loại biên")</f>
        <v>Loại biên</v>
      </c>
    </row>
    <row r="2074">
      <c r="A2074" s="5" t="str">
        <f>IFERROR(__xludf.DUMMYFUNCTION("""COMPUTED_VALUE"""),"XB1-MPC-016")</f>
        <v>XB1-MPC-016</v>
      </c>
      <c r="B2074" s="3" t="str">
        <f>IFERROR(__xludf.DUMMYFUNCTION("""COMPUTED_VALUE"""),"Máy phát cỏ 2 thì")</f>
        <v>Máy phát cỏ 2 thì</v>
      </c>
      <c r="C2074" s="5" t="str">
        <f>IFERROR(__xludf.DUMMYFUNCTION("""COMPUTED_VALUE"""),"Loại biên")</f>
        <v>Loại biên</v>
      </c>
      <c r="D2074" s="5" t="str">
        <f>IFERROR(__xludf.DUMMYFUNCTION("""COMPUTED_VALUE"""),"NAGATA")</f>
        <v>NAGATA</v>
      </c>
      <c r="E2074" s="5" t="str">
        <f>IFERROR(__xludf.DUMMYFUNCTION("""COMPUTED_VALUE"""),"TRUNG QUỐC")</f>
        <v>TRUNG QUỐC</v>
      </c>
      <c r="F2074" s="5"/>
      <c r="G2074" s="5" t="str">
        <f>IFERROR(__xludf.DUMMYFUNCTION("""COMPUTED_VALUE"""),"CG411")</f>
        <v>CG411</v>
      </c>
      <c r="H2074" s="5" t="str">
        <f>IFERROR(__xludf.DUMMYFUNCTION("""COMPUTED_VALUE"""),"1.8HP")</f>
        <v>1.8HP</v>
      </c>
      <c r="I2074" s="5"/>
      <c r="J2074" s="5"/>
      <c r="K2074" s="5">
        <f>IFERROR(__xludf.DUMMYFUNCTION("""COMPUTED_VALUE"""),1.0)</f>
        <v>1</v>
      </c>
      <c r="L2074" s="5" t="str">
        <f>IFERROR(__xludf.DUMMYFUNCTION("""COMPUTED_VALUE"""),"Loại biên")</f>
        <v>Loại biên</v>
      </c>
    </row>
    <row r="2075">
      <c r="A2075" s="5" t="str">
        <f>IFERROR(__xludf.DUMMYFUNCTION("""COMPUTED_VALUE"""),"XB1-MPC-017")</f>
        <v>XB1-MPC-017</v>
      </c>
      <c r="B2075" s="3" t="str">
        <f>IFERROR(__xludf.DUMMYFUNCTION("""COMPUTED_VALUE"""),"Máy phát cỏ 2 thì")</f>
        <v>Máy phát cỏ 2 thì</v>
      </c>
      <c r="C2075" s="5" t="str">
        <f>IFERROR(__xludf.DUMMYFUNCTION("""COMPUTED_VALUE"""),"Loại biên")</f>
        <v>Loại biên</v>
      </c>
      <c r="D2075" s="5" t="str">
        <f>IFERROR(__xludf.DUMMYFUNCTION("""COMPUTED_VALUE"""),"NAGATA")</f>
        <v>NAGATA</v>
      </c>
      <c r="E2075" s="5" t="str">
        <f>IFERROR(__xludf.DUMMYFUNCTION("""COMPUTED_VALUE"""),"TRUNG QUỐC")</f>
        <v>TRUNG QUỐC</v>
      </c>
      <c r="F2075" s="5"/>
      <c r="G2075" s="5" t="str">
        <f>IFERROR(__xludf.DUMMYFUNCTION("""COMPUTED_VALUE"""),"CG411")</f>
        <v>CG411</v>
      </c>
      <c r="H2075" s="5" t="str">
        <f>IFERROR(__xludf.DUMMYFUNCTION("""COMPUTED_VALUE"""),"1.8HP")</f>
        <v>1.8HP</v>
      </c>
      <c r="I2075" s="5"/>
      <c r="J2075" s="5"/>
      <c r="K2075" s="5">
        <f>IFERROR(__xludf.DUMMYFUNCTION("""COMPUTED_VALUE"""),1.0)</f>
        <v>1</v>
      </c>
      <c r="L2075" s="5" t="str">
        <f>IFERROR(__xludf.DUMMYFUNCTION("""COMPUTED_VALUE"""),"Loại biên")</f>
        <v>Loại biên</v>
      </c>
    </row>
    <row r="2076">
      <c r="A2076" s="5" t="str">
        <f>IFERROR(__xludf.DUMMYFUNCTION("""COMPUTED_VALUE"""),"XB1-MPC-018")</f>
        <v>XB1-MPC-018</v>
      </c>
      <c r="B2076" s="3" t="str">
        <f>IFERROR(__xludf.DUMMYFUNCTION("""COMPUTED_VALUE"""),"Máy phát cỏ 2 thì")</f>
        <v>Máy phát cỏ 2 thì</v>
      </c>
      <c r="C2076" s="5" t="str">
        <f>IFERROR(__xludf.DUMMYFUNCTION("""COMPUTED_VALUE"""),"Loại biên")</f>
        <v>Loại biên</v>
      </c>
      <c r="D2076" s="5" t="str">
        <f>IFERROR(__xludf.DUMMYFUNCTION("""COMPUTED_VALUE"""),"NAGATA")</f>
        <v>NAGATA</v>
      </c>
      <c r="E2076" s="5" t="str">
        <f>IFERROR(__xludf.DUMMYFUNCTION("""COMPUTED_VALUE"""),"TRUNG QUỐC")</f>
        <v>TRUNG QUỐC</v>
      </c>
      <c r="F2076" s="5"/>
      <c r="G2076" s="5" t="str">
        <f>IFERROR(__xludf.DUMMYFUNCTION("""COMPUTED_VALUE"""),"CG411")</f>
        <v>CG411</v>
      </c>
      <c r="H2076" s="5" t="str">
        <f>IFERROR(__xludf.DUMMYFUNCTION("""COMPUTED_VALUE"""),"1.8HP")</f>
        <v>1.8HP</v>
      </c>
      <c r="I2076" s="5"/>
      <c r="J2076" s="5"/>
      <c r="K2076" s="5">
        <f>IFERROR(__xludf.DUMMYFUNCTION("""COMPUTED_VALUE"""),1.0)</f>
        <v>1</v>
      </c>
      <c r="L2076" s="5" t="str">
        <f>IFERROR(__xludf.DUMMYFUNCTION("""COMPUTED_VALUE"""),"Loại biên")</f>
        <v>Loại biên</v>
      </c>
    </row>
    <row r="2077">
      <c r="A2077" s="5" t="str">
        <f>IFERROR(__xludf.DUMMYFUNCTION("""COMPUTED_VALUE"""),"XB1-MPC-019")</f>
        <v>XB1-MPC-019</v>
      </c>
      <c r="B2077" s="3" t="str">
        <f>IFERROR(__xludf.DUMMYFUNCTION("""COMPUTED_VALUE"""),"Máy phát cỏ 2 thì")</f>
        <v>Máy phát cỏ 2 thì</v>
      </c>
      <c r="C2077" s="5" t="str">
        <f>IFERROR(__xludf.DUMMYFUNCTION("""COMPUTED_VALUE"""),"Loại biên")</f>
        <v>Loại biên</v>
      </c>
      <c r="D2077" s="5" t="str">
        <f>IFERROR(__xludf.DUMMYFUNCTION("""COMPUTED_VALUE"""),"NAGATA")</f>
        <v>NAGATA</v>
      </c>
      <c r="E2077" s="5" t="str">
        <f>IFERROR(__xludf.DUMMYFUNCTION("""COMPUTED_VALUE"""),"TRUNG QUỐC")</f>
        <v>TRUNG QUỐC</v>
      </c>
      <c r="F2077" s="5"/>
      <c r="G2077" s="5" t="str">
        <f>IFERROR(__xludf.DUMMYFUNCTION("""COMPUTED_VALUE"""),"CG411")</f>
        <v>CG411</v>
      </c>
      <c r="H2077" s="5" t="str">
        <f>IFERROR(__xludf.DUMMYFUNCTION("""COMPUTED_VALUE"""),"1.8HP")</f>
        <v>1.8HP</v>
      </c>
      <c r="I2077" s="5"/>
      <c r="J2077" s="5"/>
      <c r="K2077" s="5">
        <f>IFERROR(__xludf.DUMMYFUNCTION("""COMPUTED_VALUE"""),1.0)</f>
        <v>1</v>
      </c>
      <c r="L2077" s="5" t="str">
        <f>IFERROR(__xludf.DUMMYFUNCTION("""COMPUTED_VALUE"""),"Loại biên")</f>
        <v>Loại biên</v>
      </c>
    </row>
    <row r="2078">
      <c r="A2078" s="5" t="str">
        <f>IFERROR(__xludf.DUMMYFUNCTION("""COMPUTED_VALUE"""),"XB1-MPC-020")</f>
        <v>XB1-MPC-020</v>
      </c>
      <c r="B2078" s="3" t="str">
        <f>IFERROR(__xludf.DUMMYFUNCTION("""COMPUTED_VALUE"""),"Máy phát cỏ 2 thì")</f>
        <v>Máy phát cỏ 2 thì</v>
      </c>
      <c r="C2078" s="5" t="str">
        <f>IFERROR(__xludf.DUMMYFUNCTION("""COMPUTED_VALUE"""),"Loại biên")</f>
        <v>Loại biên</v>
      </c>
      <c r="D2078" s="5" t="str">
        <f>IFERROR(__xludf.DUMMYFUNCTION("""COMPUTED_VALUE"""),"NAGATA")</f>
        <v>NAGATA</v>
      </c>
      <c r="E2078" s="5" t="str">
        <f>IFERROR(__xludf.DUMMYFUNCTION("""COMPUTED_VALUE"""),"TRUNG QUỐC")</f>
        <v>TRUNG QUỐC</v>
      </c>
      <c r="F2078" s="5"/>
      <c r="G2078" s="5" t="str">
        <f>IFERROR(__xludf.DUMMYFUNCTION("""COMPUTED_VALUE"""),"CG411")</f>
        <v>CG411</v>
      </c>
      <c r="H2078" s="5" t="str">
        <f>IFERROR(__xludf.DUMMYFUNCTION("""COMPUTED_VALUE"""),"1.8HP")</f>
        <v>1.8HP</v>
      </c>
      <c r="I2078" s="5"/>
      <c r="J2078" s="5"/>
      <c r="K2078" s="5">
        <f>IFERROR(__xludf.DUMMYFUNCTION("""COMPUTED_VALUE"""),1.0)</f>
        <v>1</v>
      </c>
      <c r="L2078" s="5" t="str">
        <f>IFERROR(__xludf.DUMMYFUNCTION("""COMPUTED_VALUE"""),"Loại biên")</f>
        <v>Loại biên</v>
      </c>
    </row>
    <row r="2079">
      <c r="A2079" s="5" t="str">
        <f>IFERROR(__xludf.DUMMYFUNCTION("""COMPUTED_VALUE"""),"XB1-MPC-021")</f>
        <v>XB1-MPC-021</v>
      </c>
      <c r="B2079" s="3" t="str">
        <f>IFERROR(__xludf.DUMMYFUNCTION("""COMPUTED_VALUE"""),"Máy phát cỏ 2 thì")</f>
        <v>Máy phát cỏ 2 thì</v>
      </c>
      <c r="C2079" s="5" t="str">
        <f>IFERROR(__xludf.DUMMYFUNCTION("""COMPUTED_VALUE"""),"Loại biên")</f>
        <v>Loại biên</v>
      </c>
      <c r="D2079" s="5" t="str">
        <f>IFERROR(__xludf.DUMMYFUNCTION("""COMPUTED_VALUE"""),"NAGATA")</f>
        <v>NAGATA</v>
      </c>
      <c r="E2079" s="5" t="str">
        <f>IFERROR(__xludf.DUMMYFUNCTION("""COMPUTED_VALUE"""),"TRUNG QUỐC")</f>
        <v>TRUNG QUỐC</v>
      </c>
      <c r="F2079" s="5"/>
      <c r="G2079" s="5" t="str">
        <f>IFERROR(__xludf.DUMMYFUNCTION("""COMPUTED_VALUE"""),"CG411")</f>
        <v>CG411</v>
      </c>
      <c r="H2079" s="5" t="str">
        <f>IFERROR(__xludf.DUMMYFUNCTION("""COMPUTED_VALUE"""),"1.8HP")</f>
        <v>1.8HP</v>
      </c>
      <c r="I2079" s="5"/>
      <c r="J2079" s="5"/>
      <c r="K2079" s="5">
        <f>IFERROR(__xludf.DUMMYFUNCTION("""COMPUTED_VALUE"""),1.0)</f>
        <v>1</v>
      </c>
      <c r="L2079" s="5" t="str">
        <f>IFERROR(__xludf.DUMMYFUNCTION("""COMPUTED_VALUE"""),"Loại biên")</f>
        <v>Loại biên</v>
      </c>
    </row>
    <row r="2080">
      <c r="A2080" s="5" t="str">
        <f>IFERROR(__xludf.DUMMYFUNCTION("""COMPUTED_VALUE"""),"XB1-MPC-022")</f>
        <v>XB1-MPC-022</v>
      </c>
      <c r="B2080" s="3" t="str">
        <f>IFERROR(__xludf.DUMMYFUNCTION("""COMPUTED_VALUE"""),"Máy phát cỏ 2 thì")</f>
        <v>Máy phát cỏ 2 thì</v>
      </c>
      <c r="C2080" s="5" t="str">
        <f>IFERROR(__xludf.DUMMYFUNCTION("""COMPUTED_VALUE"""),"Loại biên")</f>
        <v>Loại biên</v>
      </c>
      <c r="D2080" s="5" t="str">
        <f>IFERROR(__xludf.DUMMYFUNCTION("""COMPUTED_VALUE"""),"NAGATA")</f>
        <v>NAGATA</v>
      </c>
      <c r="E2080" s="5" t="str">
        <f>IFERROR(__xludf.DUMMYFUNCTION("""COMPUTED_VALUE"""),"TRUNG QUỐC")</f>
        <v>TRUNG QUỐC</v>
      </c>
      <c r="F2080" s="5"/>
      <c r="G2080" s="5" t="str">
        <f>IFERROR(__xludf.DUMMYFUNCTION("""COMPUTED_VALUE"""),"CG411")</f>
        <v>CG411</v>
      </c>
      <c r="H2080" s="5" t="str">
        <f>IFERROR(__xludf.DUMMYFUNCTION("""COMPUTED_VALUE"""),"1.8HP")</f>
        <v>1.8HP</v>
      </c>
      <c r="I2080" s="5"/>
      <c r="J2080" s="5"/>
      <c r="K2080" s="5">
        <f>IFERROR(__xludf.DUMMYFUNCTION("""COMPUTED_VALUE"""),1.0)</f>
        <v>1</v>
      </c>
      <c r="L2080" s="5" t="str">
        <f>IFERROR(__xludf.DUMMYFUNCTION("""COMPUTED_VALUE"""),"Loại biên")</f>
        <v>Loại biên</v>
      </c>
    </row>
    <row r="2081">
      <c r="A2081" s="5" t="str">
        <f>IFERROR(__xludf.DUMMYFUNCTION("""COMPUTED_VALUE"""),"XB1-MPC-023")</f>
        <v>XB1-MPC-023</v>
      </c>
      <c r="B2081" s="3" t="str">
        <f>IFERROR(__xludf.DUMMYFUNCTION("""COMPUTED_VALUE"""),"Máy phát cỏ 2 thì")</f>
        <v>Máy phát cỏ 2 thì</v>
      </c>
      <c r="C2081" s="5" t="str">
        <f>IFERROR(__xludf.DUMMYFUNCTION("""COMPUTED_VALUE"""),"Loại biên")</f>
        <v>Loại biên</v>
      </c>
      <c r="D2081" s="5" t="str">
        <f>IFERROR(__xludf.DUMMYFUNCTION("""COMPUTED_VALUE"""),"NAGATA")</f>
        <v>NAGATA</v>
      </c>
      <c r="E2081" s="5" t="str">
        <f>IFERROR(__xludf.DUMMYFUNCTION("""COMPUTED_VALUE"""),"TRUNG QUỐC")</f>
        <v>TRUNG QUỐC</v>
      </c>
      <c r="F2081" s="5"/>
      <c r="G2081" s="5" t="str">
        <f>IFERROR(__xludf.DUMMYFUNCTION("""COMPUTED_VALUE"""),"CG411")</f>
        <v>CG411</v>
      </c>
      <c r="H2081" s="5" t="str">
        <f>IFERROR(__xludf.DUMMYFUNCTION("""COMPUTED_VALUE"""),"1.8HP")</f>
        <v>1.8HP</v>
      </c>
      <c r="I2081" s="5"/>
      <c r="J2081" s="5"/>
      <c r="K2081" s="5">
        <f>IFERROR(__xludf.DUMMYFUNCTION("""COMPUTED_VALUE"""),1.0)</f>
        <v>1</v>
      </c>
      <c r="L2081" s="5" t="str">
        <f>IFERROR(__xludf.DUMMYFUNCTION("""COMPUTED_VALUE"""),"Loại biên")</f>
        <v>Loại biên</v>
      </c>
    </row>
    <row r="2082">
      <c r="A2082" s="5" t="str">
        <f>IFERROR(__xludf.DUMMYFUNCTION("""COMPUTED_VALUE"""),"XB1-MPC-024")</f>
        <v>XB1-MPC-024</v>
      </c>
      <c r="B2082" s="3" t="str">
        <f>IFERROR(__xludf.DUMMYFUNCTION("""COMPUTED_VALUE"""),"Máy phát cỏ 2 thì")</f>
        <v>Máy phát cỏ 2 thì</v>
      </c>
      <c r="C2082" s="5" t="str">
        <f>IFERROR(__xludf.DUMMYFUNCTION("""COMPUTED_VALUE"""),"Loại biên")</f>
        <v>Loại biên</v>
      </c>
      <c r="D2082" s="5" t="str">
        <f>IFERROR(__xludf.DUMMYFUNCTION("""COMPUTED_VALUE"""),"NAGATA")</f>
        <v>NAGATA</v>
      </c>
      <c r="E2082" s="5" t="str">
        <f>IFERROR(__xludf.DUMMYFUNCTION("""COMPUTED_VALUE"""),"TRUNG QUỐC")</f>
        <v>TRUNG QUỐC</v>
      </c>
      <c r="F2082" s="5"/>
      <c r="G2082" s="5" t="str">
        <f>IFERROR(__xludf.DUMMYFUNCTION("""COMPUTED_VALUE"""),"CG411")</f>
        <v>CG411</v>
      </c>
      <c r="H2082" s="5" t="str">
        <f>IFERROR(__xludf.DUMMYFUNCTION("""COMPUTED_VALUE"""),"1.8HP")</f>
        <v>1.8HP</v>
      </c>
      <c r="I2082" s="5"/>
      <c r="J2082" s="5"/>
      <c r="K2082" s="5">
        <f>IFERROR(__xludf.DUMMYFUNCTION("""COMPUTED_VALUE"""),1.0)</f>
        <v>1</v>
      </c>
      <c r="L2082" s="5" t="str">
        <f>IFERROR(__xludf.DUMMYFUNCTION("""COMPUTED_VALUE"""),"Loại biên")</f>
        <v>Loại biên</v>
      </c>
    </row>
    <row r="2083">
      <c r="A2083" s="5" t="str">
        <f>IFERROR(__xludf.DUMMYFUNCTION("""COMPUTED_VALUE"""),"XB1-MPC-025")</f>
        <v>XB1-MPC-025</v>
      </c>
      <c r="B2083" s="3" t="str">
        <f>IFERROR(__xludf.DUMMYFUNCTION("""COMPUTED_VALUE"""),"Máy phát cỏ 2 thì")</f>
        <v>Máy phát cỏ 2 thì</v>
      </c>
      <c r="C2083" s="5"/>
      <c r="D2083" s="5" t="str">
        <f>IFERROR(__xludf.DUMMYFUNCTION("""COMPUTED_VALUE"""),"NAGATA")</f>
        <v>NAGATA</v>
      </c>
      <c r="E2083" s="5" t="str">
        <f>IFERROR(__xludf.DUMMYFUNCTION("""COMPUTED_VALUE"""),"TRUNG QUỐC")</f>
        <v>TRUNG QUỐC</v>
      </c>
      <c r="F2083" s="5"/>
      <c r="G2083" s="5" t="str">
        <f>IFERROR(__xludf.DUMMYFUNCTION("""COMPUTED_VALUE"""),"CG411")</f>
        <v>CG411</v>
      </c>
      <c r="H2083" s="5" t="str">
        <f>IFERROR(__xludf.DUMMYFUNCTION("""COMPUTED_VALUE"""),"1.8HP")</f>
        <v>1.8HP</v>
      </c>
      <c r="I2083" s="5"/>
      <c r="J2083" s="5"/>
      <c r="K2083" s="5">
        <f>IFERROR(__xludf.DUMMYFUNCTION("""COMPUTED_VALUE"""),1.0)</f>
        <v>1</v>
      </c>
      <c r="L2083" s="5" t="str">
        <f>IFERROR(__xludf.DUMMYFUNCTION("""COMPUTED_VALUE"""),"KLH")</f>
        <v>KLH</v>
      </c>
    </row>
    <row r="2084">
      <c r="A2084" s="5" t="str">
        <f>IFERROR(__xludf.DUMMYFUNCTION("""COMPUTED_VALUE"""),"XB1-MPC-031")</f>
        <v>XB1-MPC-031</v>
      </c>
      <c r="B2084" s="3" t="str">
        <f>IFERROR(__xludf.DUMMYFUNCTION("""COMPUTED_VALUE"""),"Máy phát cỏ 2 thì")</f>
        <v>Máy phát cỏ 2 thì</v>
      </c>
      <c r="C2084" s="5" t="str">
        <f>IFERROR(__xludf.DUMMYFUNCTION("""COMPUTED_VALUE"""),"Loại biên")</f>
        <v>Loại biên</v>
      </c>
      <c r="D2084" s="5" t="str">
        <f>IFERROR(__xludf.DUMMYFUNCTION("""COMPUTED_VALUE"""),"NAGATA")</f>
        <v>NAGATA</v>
      </c>
      <c r="E2084" s="5" t="str">
        <f>IFERROR(__xludf.DUMMYFUNCTION("""COMPUTED_VALUE"""),"TRUNG QUỐC")</f>
        <v>TRUNG QUỐC</v>
      </c>
      <c r="F2084" s="5"/>
      <c r="G2084" s="5" t="str">
        <f>IFERROR(__xludf.DUMMYFUNCTION("""COMPUTED_VALUE"""),"CG411")</f>
        <v>CG411</v>
      </c>
      <c r="H2084" s="5" t="str">
        <f>IFERROR(__xludf.DUMMYFUNCTION("""COMPUTED_VALUE"""),"1.8HP")</f>
        <v>1.8HP</v>
      </c>
      <c r="I2084" s="5"/>
      <c r="J2084" s="5"/>
      <c r="K2084" s="5">
        <f>IFERROR(__xludf.DUMMYFUNCTION("""COMPUTED_VALUE"""),1.0)</f>
        <v>1</v>
      </c>
      <c r="L2084" s="5" t="str">
        <f>IFERROR(__xludf.DUMMYFUNCTION("""COMPUTED_VALUE"""),"Loại biên")</f>
        <v>Loại biên</v>
      </c>
    </row>
    <row r="2085">
      <c r="A2085" s="5" t="str">
        <f>IFERROR(__xludf.DUMMYFUNCTION("""COMPUTED_VALUE"""),"XB1-MPC-034")</f>
        <v>XB1-MPC-034</v>
      </c>
      <c r="B2085" s="3" t="str">
        <f>IFERROR(__xludf.DUMMYFUNCTION("""COMPUTED_VALUE"""),"Máy phát cỏ 2 thì")</f>
        <v>Máy phát cỏ 2 thì</v>
      </c>
      <c r="C2085" s="5" t="str">
        <f>IFERROR(__xludf.DUMMYFUNCTION("""COMPUTED_VALUE"""),"Loại biên")</f>
        <v>Loại biên</v>
      </c>
      <c r="D2085" s="5" t="str">
        <f>IFERROR(__xludf.DUMMYFUNCTION("""COMPUTED_VALUE"""),"NAGATA")</f>
        <v>NAGATA</v>
      </c>
      <c r="E2085" s="5" t="str">
        <f>IFERROR(__xludf.DUMMYFUNCTION("""COMPUTED_VALUE"""),"TRUNG QUỐC")</f>
        <v>TRUNG QUỐC</v>
      </c>
      <c r="F2085" s="5"/>
      <c r="G2085" s="5" t="str">
        <f>IFERROR(__xludf.DUMMYFUNCTION("""COMPUTED_VALUE"""),"CG411")</f>
        <v>CG411</v>
      </c>
      <c r="H2085" s="5" t="str">
        <f>IFERROR(__xludf.DUMMYFUNCTION("""COMPUTED_VALUE"""),"1.8HP")</f>
        <v>1.8HP</v>
      </c>
      <c r="I2085" s="5"/>
      <c r="J2085" s="5"/>
      <c r="K2085" s="5">
        <f>IFERROR(__xludf.DUMMYFUNCTION("""COMPUTED_VALUE"""),1.0)</f>
        <v>1</v>
      </c>
      <c r="L2085" s="5" t="str">
        <f>IFERROR(__xludf.DUMMYFUNCTION("""COMPUTED_VALUE"""),"Loại biên")</f>
        <v>Loại biên</v>
      </c>
    </row>
    <row r="2086">
      <c r="A2086" s="5" t="str">
        <f>IFERROR(__xludf.DUMMYFUNCTION("""COMPUTED_VALUE"""),"XB1-MPC-026")</f>
        <v>XB1-MPC-026</v>
      </c>
      <c r="B2086" s="3" t="str">
        <f>IFERROR(__xludf.DUMMYFUNCTION("""COMPUTED_VALUE"""),"Máy phát cỏ 2 thì")</f>
        <v>Máy phát cỏ 2 thì</v>
      </c>
      <c r="C2086" s="5" t="str">
        <f>IFERROR(__xludf.DUMMYFUNCTION("""COMPUTED_VALUE"""),"Loại biên")</f>
        <v>Loại biên</v>
      </c>
      <c r="D2086" s="5" t="str">
        <f>IFERROR(__xludf.DUMMYFUNCTION("""COMPUTED_VALUE"""),"NAGATA")</f>
        <v>NAGATA</v>
      </c>
      <c r="E2086" s="5" t="str">
        <f>IFERROR(__xludf.DUMMYFUNCTION("""COMPUTED_VALUE"""),"TRUNG QUỐC")</f>
        <v>TRUNG QUỐC</v>
      </c>
      <c r="F2086" s="5"/>
      <c r="G2086" s="5" t="str">
        <f>IFERROR(__xludf.DUMMYFUNCTION("""COMPUTED_VALUE"""),"CG411")</f>
        <v>CG411</v>
      </c>
      <c r="H2086" s="5" t="str">
        <f>IFERROR(__xludf.DUMMYFUNCTION("""COMPUTED_VALUE"""),"1.8HP")</f>
        <v>1.8HP</v>
      </c>
      <c r="I2086" s="5"/>
      <c r="J2086" s="5"/>
      <c r="K2086" s="5">
        <f>IFERROR(__xludf.DUMMYFUNCTION("""COMPUTED_VALUE"""),1.0)</f>
        <v>1</v>
      </c>
      <c r="L2086" s="5" t="str">
        <f>IFERROR(__xludf.DUMMYFUNCTION("""COMPUTED_VALUE"""),"Loại biên")</f>
        <v>Loại biên</v>
      </c>
    </row>
    <row r="2087">
      <c r="A2087" s="5" t="str">
        <f>IFERROR(__xludf.DUMMYFUNCTION("""COMPUTED_VALUE"""),"XXD-MPC-001")</f>
        <v>XXD-MPC-001</v>
      </c>
      <c r="B2087" s="3" t="str">
        <f>IFERROR(__xludf.DUMMYFUNCTION("""COMPUTED_VALUE"""),"Máy phát cỏ 4 thì")</f>
        <v>Máy phát cỏ 4 thì</v>
      </c>
      <c r="C2087" s="5" t="str">
        <f>IFERROR(__xludf.DUMMYFUNCTION("""COMPUTED_VALUE"""),"Loại biên")</f>
        <v>Loại biên</v>
      </c>
      <c r="D2087" s="5" t="str">
        <f>IFERROR(__xludf.DUMMYFUNCTION("""COMPUTED_VALUE"""),"HINOTA")</f>
        <v>HINOTA</v>
      </c>
      <c r="E2087" s="5" t="str">
        <f>IFERROR(__xludf.DUMMYFUNCTION("""COMPUTED_VALUE"""),"Trung Quốc")</f>
        <v>Trung Quốc</v>
      </c>
      <c r="F2087" s="5"/>
      <c r="G2087" s="5" t="str">
        <f>IFERROR(__xludf.DUMMYFUNCTION("""COMPUTED_VALUE"""),"CG435")</f>
        <v>CG435</v>
      </c>
      <c r="H2087" s="5" t="str">
        <f>IFERROR(__xludf.DUMMYFUNCTION("""COMPUTED_VALUE"""),"1.2HP")</f>
        <v>1.2HP</v>
      </c>
      <c r="I2087" s="5" t="str">
        <f>IFERROR(__xludf.DUMMYFUNCTION("""COMPUTED_VALUE"""),"220330")</f>
        <v>220330</v>
      </c>
      <c r="J2087" s="5"/>
      <c r="K2087" s="5">
        <f>IFERROR(__xludf.DUMMYFUNCTION("""COMPUTED_VALUE"""),0.5)</f>
        <v>0.5</v>
      </c>
      <c r="L2087" s="5" t="str">
        <f>IFERROR(__xludf.DUMMYFUNCTION("""COMPUTED_VALUE"""),"Loại biên")</f>
        <v>Loại biên</v>
      </c>
    </row>
    <row r="2088">
      <c r="A2088" s="5" t="str">
        <f>IFERROR(__xludf.DUMMYFUNCTION("""COMPUTED_VALUE"""),"XXD-MPC-002")</f>
        <v>XXD-MPC-002</v>
      </c>
      <c r="B2088" s="3" t="str">
        <f>IFERROR(__xludf.DUMMYFUNCTION("""COMPUTED_VALUE"""),"Máy phát cỏ 4 thì")</f>
        <v>Máy phát cỏ 4 thì</v>
      </c>
      <c r="C2088" s="5" t="str">
        <f>IFERROR(__xludf.DUMMYFUNCTION("""COMPUTED_VALUE"""),"Loại biên")</f>
        <v>Loại biên</v>
      </c>
      <c r="D2088" s="5" t="str">
        <f>IFERROR(__xludf.DUMMYFUNCTION("""COMPUTED_VALUE"""),"HINOTA")</f>
        <v>HINOTA</v>
      </c>
      <c r="E2088" s="5" t="str">
        <f>IFERROR(__xludf.DUMMYFUNCTION("""COMPUTED_VALUE"""),"Trung Quốc")</f>
        <v>Trung Quốc</v>
      </c>
      <c r="F2088" s="5"/>
      <c r="G2088" s="5" t="str">
        <f>IFERROR(__xludf.DUMMYFUNCTION("""COMPUTED_VALUE"""),"CG435")</f>
        <v>CG435</v>
      </c>
      <c r="H2088" s="5" t="str">
        <f>IFERROR(__xludf.DUMMYFUNCTION("""COMPUTED_VALUE"""),"1.2HP")</f>
        <v>1.2HP</v>
      </c>
      <c r="I2088" s="5" t="str">
        <f>IFERROR(__xludf.DUMMYFUNCTION("""COMPUTED_VALUE"""),"201511")</f>
        <v>201511</v>
      </c>
      <c r="J2088" s="5"/>
      <c r="K2088" s="5">
        <f>IFERROR(__xludf.DUMMYFUNCTION("""COMPUTED_VALUE"""),0.5)</f>
        <v>0.5</v>
      </c>
      <c r="L2088" s="5" t="str">
        <f>IFERROR(__xludf.DUMMYFUNCTION("""COMPUTED_VALUE"""),"Loại biên")</f>
        <v>Loại biên</v>
      </c>
    </row>
    <row r="2089">
      <c r="A2089" s="5" t="str">
        <f>IFERROR(__xludf.DUMMYFUNCTION("""COMPUTED_VALUE"""),"XXD-MPC-003")</f>
        <v>XXD-MPC-003</v>
      </c>
      <c r="B2089" s="3" t="str">
        <f>IFERROR(__xludf.DUMMYFUNCTION("""COMPUTED_VALUE"""),"Máy phát cỏ 4 thì")</f>
        <v>Máy phát cỏ 4 thì</v>
      </c>
      <c r="C2089" s="5" t="str">
        <f>IFERROR(__xludf.DUMMYFUNCTION("""COMPUTED_VALUE"""),"Loại biên")</f>
        <v>Loại biên</v>
      </c>
      <c r="D2089" s="5" t="str">
        <f>IFERROR(__xludf.DUMMYFUNCTION("""COMPUTED_VALUE"""),"HINOTA")</f>
        <v>HINOTA</v>
      </c>
      <c r="E2089" s="5" t="str">
        <f>IFERROR(__xludf.DUMMYFUNCTION("""COMPUTED_VALUE"""),"Trung Quốc")</f>
        <v>Trung Quốc</v>
      </c>
      <c r="F2089" s="5"/>
      <c r="G2089" s="5" t="str">
        <f>IFERROR(__xludf.DUMMYFUNCTION("""COMPUTED_VALUE"""),"CG435")</f>
        <v>CG435</v>
      </c>
      <c r="H2089" s="5" t="str">
        <f>IFERROR(__xludf.DUMMYFUNCTION("""COMPUTED_VALUE"""),"1.2HP")</f>
        <v>1.2HP</v>
      </c>
      <c r="I2089" s="5" t="str">
        <f>IFERROR(__xludf.DUMMYFUNCTION("""COMPUTED_VALUE"""),"230317")</f>
        <v>230317</v>
      </c>
      <c r="J2089" s="5"/>
      <c r="K2089" s="5">
        <f>IFERROR(__xludf.DUMMYFUNCTION("""COMPUTED_VALUE"""),0.5)</f>
        <v>0.5</v>
      </c>
      <c r="L2089" s="5" t="str">
        <f>IFERROR(__xludf.DUMMYFUNCTION("""COMPUTED_VALUE"""),"Loại biên")</f>
        <v>Loại biên</v>
      </c>
    </row>
    <row r="2090">
      <c r="A2090" s="5" t="str">
        <f>IFERROR(__xludf.DUMMYFUNCTION("""COMPUTED_VALUE"""),"XXD-MPC-004")</f>
        <v>XXD-MPC-004</v>
      </c>
      <c r="B2090" s="3" t="str">
        <f>IFERROR(__xludf.DUMMYFUNCTION("""COMPUTED_VALUE"""),"Máy phát cỏ 4 thì")</f>
        <v>Máy phát cỏ 4 thì</v>
      </c>
      <c r="C2090" s="5" t="str">
        <f>IFERROR(__xludf.DUMMYFUNCTION("""COMPUTED_VALUE"""),"Loại biên")</f>
        <v>Loại biên</v>
      </c>
      <c r="D2090" s="5" t="str">
        <f>IFERROR(__xludf.DUMMYFUNCTION("""COMPUTED_VALUE"""),"HINOTA")</f>
        <v>HINOTA</v>
      </c>
      <c r="E2090" s="5" t="str">
        <f>IFERROR(__xludf.DUMMYFUNCTION("""COMPUTED_VALUE"""),"Trung Quốc")</f>
        <v>Trung Quốc</v>
      </c>
      <c r="F2090" s="5"/>
      <c r="G2090" s="5" t="str">
        <f>IFERROR(__xludf.DUMMYFUNCTION("""COMPUTED_VALUE"""),"CG435")</f>
        <v>CG435</v>
      </c>
      <c r="H2090" s="5" t="str">
        <f>IFERROR(__xludf.DUMMYFUNCTION("""COMPUTED_VALUE"""),"1.2HP")</f>
        <v>1.2HP</v>
      </c>
      <c r="I2090" s="5" t="str">
        <f>IFERROR(__xludf.DUMMYFUNCTION("""COMPUTED_VALUE"""),"220330")</f>
        <v>220330</v>
      </c>
      <c r="J2090" s="5"/>
      <c r="K2090" s="5">
        <f>IFERROR(__xludf.DUMMYFUNCTION("""COMPUTED_VALUE"""),0.5)</f>
        <v>0.5</v>
      </c>
      <c r="L2090" s="5" t="str">
        <f>IFERROR(__xludf.DUMMYFUNCTION("""COMPUTED_VALUE"""),"Loại biên")</f>
        <v>Loại biên</v>
      </c>
    </row>
    <row r="2091">
      <c r="A2091" s="5" t="str">
        <f>IFERROR(__xludf.DUMMYFUNCTION("""COMPUTED_VALUE"""),"XXD-MPC-005")</f>
        <v>XXD-MPC-005</v>
      </c>
      <c r="B2091" s="3" t="str">
        <f>IFERROR(__xludf.DUMMYFUNCTION("""COMPUTED_VALUE"""),"Máy phát cỏ 4 thì")</f>
        <v>Máy phát cỏ 4 thì</v>
      </c>
      <c r="C2091" s="5" t="str">
        <f>IFERROR(__xludf.DUMMYFUNCTION("""COMPUTED_VALUE"""),"Loại biên")</f>
        <v>Loại biên</v>
      </c>
      <c r="D2091" s="5" t="str">
        <f>IFERROR(__xludf.DUMMYFUNCTION("""COMPUTED_VALUE"""),"HINOTA")</f>
        <v>HINOTA</v>
      </c>
      <c r="E2091" s="5" t="str">
        <f>IFERROR(__xludf.DUMMYFUNCTION("""COMPUTED_VALUE"""),"Trung Quốc")</f>
        <v>Trung Quốc</v>
      </c>
      <c r="F2091" s="5"/>
      <c r="G2091" s="5" t="str">
        <f>IFERROR(__xludf.DUMMYFUNCTION("""COMPUTED_VALUE"""),"CG435")</f>
        <v>CG435</v>
      </c>
      <c r="H2091" s="5" t="str">
        <f>IFERROR(__xludf.DUMMYFUNCTION("""COMPUTED_VALUE"""),"1.2HP")</f>
        <v>1.2HP</v>
      </c>
      <c r="I2091" s="5" t="str">
        <f>IFERROR(__xludf.DUMMYFUNCTION("""COMPUTED_VALUE"""),"201511")</f>
        <v>201511</v>
      </c>
      <c r="J2091" s="5"/>
      <c r="K2091" s="5">
        <f>IFERROR(__xludf.DUMMYFUNCTION("""COMPUTED_VALUE"""),0.5)</f>
        <v>0.5</v>
      </c>
      <c r="L2091" s="5" t="str">
        <f>IFERROR(__xludf.DUMMYFUNCTION("""COMPUTED_VALUE"""),"Loại biên")</f>
        <v>Loại biên</v>
      </c>
    </row>
    <row r="2092">
      <c r="A2092" s="5" t="str">
        <f>IFERROR(__xludf.DUMMYFUNCTION("""COMPUTED_VALUE"""),"XXD-MPC-006")</f>
        <v>XXD-MPC-006</v>
      </c>
      <c r="B2092" s="3" t="str">
        <f>IFERROR(__xludf.DUMMYFUNCTION("""COMPUTED_VALUE"""),"Máy phát cỏ 4 thì")</f>
        <v>Máy phát cỏ 4 thì</v>
      </c>
      <c r="C2092" s="5" t="str">
        <f>IFERROR(__xludf.DUMMYFUNCTION("""COMPUTED_VALUE"""),"Loại biên")</f>
        <v>Loại biên</v>
      </c>
      <c r="D2092" s="5" t="str">
        <f>IFERROR(__xludf.DUMMYFUNCTION("""COMPUTED_VALUE"""),"HINOTA")</f>
        <v>HINOTA</v>
      </c>
      <c r="E2092" s="5" t="str">
        <f>IFERROR(__xludf.DUMMYFUNCTION("""COMPUTED_VALUE"""),"Trung Quốc")</f>
        <v>Trung Quốc</v>
      </c>
      <c r="F2092" s="5"/>
      <c r="G2092" s="5" t="str">
        <f>IFERROR(__xludf.DUMMYFUNCTION("""COMPUTED_VALUE"""),"CG435")</f>
        <v>CG435</v>
      </c>
      <c r="H2092" s="5" t="str">
        <f>IFERROR(__xludf.DUMMYFUNCTION("""COMPUTED_VALUE"""),"1.2HP")</f>
        <v>1.2HP</v>
      </c>
      <c r="I2092" s="5" t="str">
        <f>IFERROR(__xludf.DUMMYFUNCTION("""COMPUTED_VALUE"""),"220317")</f>
        <v>220317</v>
      </c>
      <c r="J2092" s="5"/>
      <c r="K2092" s="5">
        <f>IFERROR(__xludf.DUMMYFUNCTION("""COMPUTED_VALUE"""),0.5)</f>
        <v>0.5</v>
      </c>
      <c r="L2092" s="5" t="str">
        <f>IFERROR(__xludf.DUMMYFUNCTION("""COMPUTED_VALUE"""),"Loại biên")</f>
        <v>Loại biên</v>
      </c>
    </row>
    <row r="2093">
      <c r="A2093" s="5" t="str">
        <f>IFERROR(__xludf.DUMMYFUNCTION("""COMPUTED_VALUE"""),"XXD-MPC-007")</f>
        <v>XXD-MPC-007</v>
      </c>
      <c r="B2093" s="3" t="str">
        <f>IFERROR(__xludf.DUMMYFUNCTION("""COMPUTED_VALUE"""),"Máy phát cỏ 4 thì")</f>
        <v>Máy phát cỏ 4 thì</v>
      </c>
      <c r="C2093" s="5" t="str">
        <f>IFERROR(__xludf.DUMMYFUNCTION("""COMPUTED_VALUE"""),"Loại biên")</f>
        <v>Loại biên</v>
      </c>
      <c r="D2093" s="5" t="str">
        <f>IFERROR(__xludf.DUMMYFUNCTION("""COMPUTED_VALUE"""),"HINOTA")</f>
        <v>HINOTA</v>
      </c>
      <c r="E2093" s="5" t="str">
        <f>IFERROR(__xludf.DUMMYFUNCTION("""COMPUTED_VALUE"""),"Trung Quốc")</f>
        <v>Trung Quốc</v>
      </c>
      <c r="F2093" s="5"/>
      <c r="G2093" s="5" t="str">
        <f>IFERROR(__xludf.DUMMYFUNCTION("""COMPUTED_VALUE"""),"CG435")</f>
        <v>CG435</v>
      </c>
      <c r="H2093" s="5" t="str">
        <f>IFERROR(__xludf.DUMMYFUNCTION("""COMPUTED_VALUE"""),"1.2HP")</f>
        <v>1.2HP</v>
      </c>
      <c r="I2093" s="5" t="str">
        <f>IFERROR(__xludf.DUMMYFUNCTION("""COMPUTED_VALUE"""),"220317")</f>
        <v>220317</v>
      </c>
      <c r="J2093" s="5"/>
      <c r="K2093" s="5">
        <f>IFERROR(__xludf.DUMMYFUNCTION("""COMPUTED_VALUE"""),0.5)</f>
        <v>0.5</v>
      </c>
      <c r="L2093" s="5" t="str">
        <f>IFERROR(__xludf.DUMMYFUNCTION("""COMPUTED_VALUE"""),"Loại biên")</f>
        <v>Loại biên</v>
      </c>
    </row>
    <row r="2094">
      <c r="A2094" s="5" t="str">
        <f>IFERROR(__xludf.DUMMYFUNCTION("""COMPUTED_VALUE"""),"XXD-MPC-008")</f>
        <v>XXD-MPC-008</v>
      </c>
      <c r="B2094" s="3" t="str">
        <f>IFERROR(__xludf.DUMMYFUNCTION("""COMPUTED_VALUE"""),"Máy phát cỏ 4 thì")</f>
        <v>Máy phát cỏ 4 thì</v>
      </c>
      <c r="C2094" s="5" t="str">
        <f>IFERROR(__xludf.DUMMYFUNCTION("""COMPUTED_VALUE"""),"Loại biên")</f>
        <v>Loại biên</v>
      </c>
      <c r="D2094" s="5" t="str">
        <f>IFERROR(__xludf.DUMMYFUNCTION("""COMPUTED_VALUE"""),"HINOTA")</f>
        <v>HINOTA</v>
      </c>
      <c r="E2094" s="5" t="str">
        <f>IFERROR(__xludf.DUMMYFUNCTION("""COMPUTED_VALUE"""),"Trung Quốc")</f>
        <v>Trung Quốc</v>
      </c>
      <c r="F2094" s="5"/>
      <c r="G2094" s="5" t="str">
        <f>IFERROR(__xludf.DUMMYFUNCTION("""COMPUTED_VALUE"""),"CG435")</f>
        <v>CG435</v>
      </c>
      <c r="H2094" s="5" t="str">
        <f>IFERROR(__xludf.DUMMYFUNCTION("""COMPUTED_VALUE"""),"1.2HP")</f>
        <v>1.2HP</v>
      </c>
      <c r="I2094" s="5" t="str">
        <f>IFERROR(__xludf.DUMMYFUNCTION("""COMPUTED_VALUE"""),"220317")</f>
        <v>220317</v>
      </c>
      <c r="J2094" s="5"/>
      <c r="K2094" s="5">
        <f>IFERROR(__xludf.DUMMYFUNCTION("""COMPUTED_VALUE"""),0.5)</f>
        <v>0.5</v>
      </c>
      <c r="L2094" s="5" t="str">
        <f>IFERROR(__xludf.DUMMYFUNCTION("""COMPUTED_VALUE"""),"Loại biên")</f>
        <v>Loại biên</v>
      </c>
    </row>
    <row r="2095">
      <c r="A2095" s="5" t="str">
        <f>IFERROR(__xludf.DUMMYFUNCTION("""COMPUTED_VALUE"""),"XXD-MPC-024")</f>
        <v>XXD-MPC-024</v>
      </c>
      <c r="B2095" s="3" t="str">
        <f>IFERROR(__xludf.DUMMYFUNCTION("""COMPUTED_VALUE"""),"Máy phát cỏ 4 thì")</f>
        <v>Máy phát cỏ 4 thì</v>
      </c>
      <c r="C2095" s="5" t="str">
        <f>IFERROR(__xludf.DUMMYFUNCTION("""COMPUTED_VALUE"""),"Loại biên")</f>
        <v>Loại biên</v>
      </c>
      <c r="D2095" s="5" t="str">
        <f>IFERROR(__xludf.DUMMYFUNCTION("""COMPUTED_VALUE"""),"HONDA")</f>
        <v>HONDA</v>
      </c>
      <c r="E2095" s="5" t="str">
        <f>IFERROR(__xludf.DUMMYFUNCTION("""COMPUTED_VALUE"""),"Trung Quốc")</f>
        <v>Trung Quốc</v>
      </c>
      <c r="F2095" s="5"/>
      <c r="G2095" s="5" t="str">
        <f>IFERROR(__xludf.DUMMYFUNCTION("""COMPUTED_VALUE"""),"GX35")</f>
        <v>GX35</v>
      </c>
      <c r="H2095" s="5" t="str">
        <f>IFERROR(__xludf.DUMMYFUNCTION("""COMPUTED_VALUE"""),"1.6HP")</f>
        <v>1.6HP</v>
      </c>
      <c r="I2095" s="5" t="str">
        <f>IFERROR(__xludf.DUMMYFUNCTION("""COMPUTED_VALUE"""),"GCAMT-7635885")</f>
        <v>GCAMT-7635885</v>
      </c>
      <c r="J2095" s="5"/>
      <c r="K2095" s="5">
        <f>IFERROR(__xludf.DUMMYFUNCTION("""COMPUTED_VALUE"""),0.5)</f>
        <v>0.5</v>
      </c>
      <c r="L2095" s="5" t="str">
        <f>IFERROR(__xludf.DUMMYFUNCTION("""COMPUTED_VALUE"""),"Loại biên")</f>
        <v>Loại biên</v>
      </c>
    </row>
    <row r="2096">
      <c r="A2096" s="5" t="str">
        <f>IFERROR(__xludf.DUMMYFUNCTION("""COMPUTED_VALUE"""),"XXD-MPC-025")</f>
        <v>XXD-MPC-025</v>
      </c>
      <c r="B2096" s="3" t="str">
        <f>IFERROR(__xludf.DUMMYFUNCTION("""COMPUTED_VALUE"""),"Máy phát cỏ 4 thì")</f>
        <v>Máy phát cỏ 4 thì</v>
      </c>
      <c r="C2096" s="5" t="str">
        <f>IFERROR(__xludf.DUMMYFUNCTION("""COMPUTED_VALUE"""),"Loại biên")</f>
        <v>Loại biên</v>
      </c>
      <c r="D2096" s="5" t="str">
        <f>IFERROR(__xludf.DUMMYFUNCTION("""COMPUTED_VALUE"""),"HONDA")</f>
        <v>HONDA</v>
      </c>
      <c r="E2096" s="5" t="str">
        <f>IFERROR(__xludf.DUMMYFUNCTION("""COMPUTED_VALUE"""),"Trung Quốc")</f>
        <v>Trung Quốc</v>
      </c>
      <c r="F2096" s="5"/>
      <c r="G2096" s="5" t="str">
        <f>IFERROR(__xludf.DUMMYFUNCTION("""COMPUTED_VALUE"""),"GX35")</f>
        <v>GX35</v>
      </c>
      <c r="H2096" s="5" t="str">
        <f>IFERROR(__xludf.DUMMYFUNCTION("""COMPUTED_VALUE"""),"1.6HP")</f>
        <v>1.6HP</v>
      </c>
      <c r="I2096" s="5" t="str">
        <f>IFERROR(__xludf.DUMMYFUNCTION("""COMPUTED_VALUE"""),"GCAMT-7654048")</f>
        <v>GCAMT-7654048</v>
      </c>
      <c r="J2096" s="5"/>
      <c r="K2096" s="5">
        <f>IFERROR(__xludf.DUMMYFUNCTION("""COMPUTED_VALUE"""),0.5)</f>
        <v>0.5</v>
      </c>
      <c r="L2096" s="5" t="str">
        <f>IFERROR(__xludf.DUMMYFUNCTION("""COMPUTED_VALUE"""),"Loại biên")</f>
        <v>Loại biên</v>
      </c>
    </row>
    <row r="2097">
      <c r="A2097" s="5" t="str">
        <f>IFERROR(__xludf.DUMMYFUNCTION("""COMPUTED_VALUE"""),"XXD-MPC-026")</f>
        <v>XXD-MPC-026</v>
      </c>
      <c r="B2097" s="3" t="str">
        <f>IFERROR(__xludf.DUMMYFUNCTION("""COMPUTED_VALUE"""),"Máy phát cỏ 4 thì")</f>
        <v>Máy phát cỏ 4 thì</v>
      </c>
      <c r="C2097" s="5" t="str">
        <f>IFERROR(__xludf.DUMMYFUNCTION("""COMPUTED_VALUE"""),"Loại biên")</f>
        <v>Loại biên</v>
      </c>
      <c r="D2097" s="5" t="str">
        <f>IFERROR(__xludf.DUMMYFUNCTION("""COMPUTED_VALUE"""),"HONDA")</f>
        <v>HONDA</v>
      </c>
      <c r="E2097" s="5" t="str">
        <f>IFERROR(__xludf.DUMMYFUNCTION("""COMPUTED_VALUE"""),"Trung Quốc")</f>
        <v>Trung Quốc</v>
      </c>
      <c r="F2097" s="5"/>
      <c r="G2097" s="5" t="str">
        <f>IFERROR(__xludf.DUMMYFUNCTION("""COMPUTED_VALUE"""),"GX35")</f>
        <v>GX35</v>
      </c>
      <c r="H2097" s="5" t="str">
        <f>IFERROR(__xludf.DUMMYFUNCTION("""COMPUTED_VALUE"""),"1.6HP")</f>
        <v>1.6HP</v>
      </c>
      <c r="I2097" s="5" t="str">
        <f>IFERROR(__xludf.DUMMYFUNCTION("""COMPUTED_VALUE"""),"GCAMT-7707916")</f>
        <v>GCAMT-7707916</v>
      </c>
      <c r="J2097" s="5"/>
      <c r="K2097" s="5">
        <f>IFERROR(__xludf.DUMMYFUNCTION("""COMPUTED_VALUE"""),0.5)</f>
        <v>0.5</v>
      </c>
      <c r="L2097" s="5" t="str">
        <f>IFERROR(__xludf.DUMMYFUNCTION("""COMPUTED_VALUE"""),"Loại biên")</f>
        <v>Loại biên</v>
      </c>
    </row>
    <row r="2098">
      <c r="A2098" s="5" t="str">
        <f>IFERROR(__xludf.DUMMYFUNCTION("""COMPUTED_VALUE"""),"XXD-MPC-027")</f>
        <v>XXD-MPC-027</v>
      </c>
      <c r="B2098" s="3" t="str">
        <f>IFERROR(__xludf.DUMMYFUNCTION("""COMPUTED_VALUE"""),"Máy phát cỏ 4 thì")</f>
        <v>Máy phát cỏ 4 thì</v>
      </c>
      <c r="C2098" s="5" t="str">
        <f>IFERROR(__xludf.DUMMYFUNCTION("""COMPUTED_VALUE"""),"Loại biên")</f>
        <v>Loại biên</v>
      </c>
      <c r="D2098" s="5" t="str">
        <f>IFERROR(__xludf.DUMMYFUNCTION("""COMPUTED_VALUE"""),"HONDA")</f>
        <v>HONDA</v>
      </c>
      <c r="E2098" s="5" t="str">
        <f>IFERROR(__xludf.DUMMYFUNCTION("""COMPUTED_VALUE"""),"Trung Quốc")</f>
        <v>Trung Quốc</v>
      </c>
      <c r="F2098" s="5"/>
      <c r="G2098" s="5" t="str">
        <f>IFERROR(__xludf.DUMMYFUNCTION("""COMPUTED_VALUE"""),"GX35")</f>
        <v>GX35</v>
      </c>
      <c r="H2098" s="5" t="str">
        <f>IFERROR(__xludf.DUMMYFUNCTION("""COMPUTED_VALUE"""),"1.6HP")</f>
        <v>1.6HP</v>
      </c>
      <c r="I2098" s="5" t="str">
        <f>IFERROR(__xludf.DUMMYFUNCTION("""COMPUTED_VALUE"""),"GCAMT-7707913")</f>
        <v>GCAMT-7707913</v>
      </c>
      <c r="J2098" s="5"/>
      <c r="K2098" s="5">
        <f>IFERROR(__xludf.DUMMYFUNCTION("""COMPUTED_VALUE"""),0.5)</f>
        <v>0.5</v>
      </c>
      <c r="L2098" s="5" t="str">
        <f>IFERROR(__xludf.DUMMYFUNCTION("""COMPUTED_VALUE"""),"Loại biên")</f>
        <v>Loại biên</v>
      </c>
    </row>
    <row r="2099">
      <c r="A2099" s="5" t="str">
        <f>IFERROR(__xludf.DUMMYFUNCTION("""COMPUTED_VALUE"""),"XXD-MPC-018")</f>
        <v>XXD-MPC-018</v>
      </c>
      <c r="B2099" s="3" t="str">
        <f>IFERROR(__xludf.DUMMYFUNCTION("""COMPUTED_VALUE"""),"Máy phát cỏ 4 thì")</f>
        <v>Máy phát cỏ 4 thì</v>
      </c>
      <c r="C2099" s="5" t="str">
        <f>IFERROR(__xludf.DUMMYFUNCTION("""COMPUTED_VALUE"""),"Loại biên")</f>
        <v>Loại biên</v>
      </c>
      <c r="D2099" s="5" t="str">
        <f>IFERROR(__xludf.DUMMYFUNCTION("""COMPUTED_VALUE"""),"HONDA")</f>
        <v>HONDA</v>
      </c>
      <c r="E2099" s="5" t="str">
        <f>IFERROR(__xludf.DUMMYFUNCTION("""COMPUTED_VALUE"""),"Trung Quốc")</f>
        <v>Trung Quốc</v>
      </c>
      <c r="F2099" s="5"/>
      <c r="G2099" s="5" t="str">
        <f>IFERROR(__xludf.DUMMYFUNCTION("""COMPUTED_VALUE"""),"GX35")</f>
        <v>GX35</v>
      </c>
      <c r="H2099" s="5" t="str">
        <f>IFERROR(__xludf.DUMMYFUNCTION("""COMPUTED_VALUE"""),"1.6HP")</f>
        <v>1.6HP</v>
      </c>
      <c r="I2099" s="5"/>
      <c r="J2099" s="5"/>
      <c r="K2099" s="5">
        <f>IFERROR(__xludf.DUMMYFUNCTION("""COMPUTED_VALUE"""),0.5)</f>
        <v>0.5</v>
      </c>
      <c r="L2099" s="5" t="str">
        <f>IFERROR(__xludf.DUMMYFUNCTION("""COMPUTED_VALUE"""),"Loại biên")</f>
        <v>Loại biên</v>
      </c>
    </row>
    <row r="2100">
      <c r="A2100" s="5" t="str">
        <f>IFERROR(__xludf.DUMMYFUNCTION("""COMPUTED_VALUE"""),"XXD-MPC-019")</f>
        <v>XXD-MPC-019</v>
      </c>
      <c r="B2100" s="3" t="str">
        <f>IFERROR(__xludf.DUMMYFUNCTION("""COMPUTED_VALUE"""),"Máy phát cỏ 4 thì")</f>
        <v>Máy phát cỏ 4 thì</v>
      </c>
      <c r="C2100" s="5" t="str">
        <f>IFERROR(__xludf.DUMMYFUNCTION("""COMPUTED_VALUE"""),"Loại biên")</f>
        <v>Loại biên</v>
      </c>
      <c r="D2100" s="5" t="str">
        <f>IFERROR(__xludf.DUMMYFUNCTION("""COMPUTED_VALUE"""),"HONDA")</f>
        <v>HONDA</v>
      </c>
      <c r="E2100" s="5" t="str">
        <f>IFERROR(__xludf.DUMMYFUNCTION("""COMPUTED_VALUE"""),"Trung Quốc")</f>
        <v>Trung Quốc</v>
      </c>
      <c r="F2100" s="5"/>
      <c r="G2100" s="5" t="str">
        <f>IFERROR(__xludf.DUMMYFUNCTION("""COMPUTED_VALUE"""),"GX35")</f>
        <v>GX35</v>
      </c>
      <c r="H2100" s="5" t="str">
        <f>IFERROR(__xludf.DUMMYFUNCTION("""COMPUTED_VALUE"""),"1.6HP")</f>
        <v>1.6HP</v>
      </c>
      <c r="I2100" s="5"/>
      <c r="J2100" s="5"/>
      <c r="K2100" s="5">
        <f>IFERROR(__xludf.DUMMYFUNCTION("""COMPUTED_VALUE"""),0.5)</f>
        <v>0.5</v>
      </c>
      <c r="L2100" s="5" t="str">
        <f>IFERROR(__xludf.DUMMYFUNCTION("""COMPUTED_VALUE"""),"Loại biên")</f>
        <v>Loại biên</v>
      </c>
    </row>
    <row r="2101">
      <c r="A2101" s="5" t="str">
        <f>IFERROR(__xludf.DUMMYFUNCTION("""COMPUTED_VALUE"""),"XXD-MPC-020")</f>
        <v>XXD-MPC-020</v>
      </c>
      <c r="B2101" s="3" t="str">
        <f>IFERROR(__xludf.DUMMYFUNCTION("""COMPUTED_VALUE"""),"Máy phát cỏ 4 thì")</f>
        <v>Máy phát cỏ 4 thì</v>
      </c>
      <c r="C2101" s="5" t="str">
        <f>IFERROR(__xludf.DUMMYFUNCTION("""COMPUTED_VALUE"""),"Loại biên")</f>
        <v>Loại biên</v>
      </c>
      <c r="D2101" s="5" t="str">
        <f>IFERROR(__xludf.DUMMYFUNCTION("""COMPUTED_VALUE"""),"HINOTA")</f>
        <v>HINOTA</v>
      </c>
      <c r="E2101" s="5" t="str">
        <f>IFERROR(__xludf.DUMMYFUNCTION("""COMPUTED_VALUE"""),"Trung Quốc")</f>
        <v>Trung Quốc</v>
      </c>
      <c r="F2101" s="5"/>
      <c r="G2101" s="5" t="str">
        <f>IFERROR(__xludf.DUMMYFUNCTION("""COMPUTED_VALUE"""),"CG435")</f>
        <v>CG435</v>
      </c>
      <c r="H2101" s="5" t="str">
        <f>IFERROR(__xludf.DUMMYFUNCTION("""COMPUTED_VALUE"""),"1.2HP")</f>
        <v>1.2HP</v>
      </c>
      <c r="I2101" s="5"/>
      <c r="J2101" s="5"/>
      <c r="K2101" s="5">
        <f>IFERROR(__xludf.DUMMYFUNCTION("""COMPUTED_VALUE"""),0.5)</f>
        <v>0.5</v>
      </c>
      <c r="L2101" s="5" t="str">
        <f>IFERROR(__xludf.DUMMYFUNCTION("""COMPUTED_VALUE"""),"Loại biên")</f>
        <v>Loại biên</v>
      </c>
    </row>
    <row r="2102">
      <c r="A2102" s="5" t="str">
        <f>IFERROR(__xludf.DUMMYFUNCTION("""COMPUTED_VALUE"""),"XXD-MPC-021")</f>
        <v>XXD-MPC-021</v>
      </c>
      <c r="B2102" s="3" t="str">
        <f>IFERROR(__xludf.DUMMYFUNCTION("""COMPUTED_VALUE"""),"Máy phát cỏ 4 thì")</f>
        <v>Máy phát cỏ 4 thì</v>
      </c>
      <c r="C2102" s="5" t="str">
        <f>IFERROR(__xludf.DUMMYFUNCTION("""COMPUTED_VALUE"""),"Loại biên")</f>
        <v>Loại biên</v>
      </c>
      <c r="D2102" s="5" t="str">
        <f>IFERROR(__xludf.DUMMYFUNCTION("""COMPUTED_VALUE"""),"HONDA")</f>
        <v>HONDA</v>
      </c>
      <c r="E2102" s="5" t="str">
        <f>IFERROR(__xludf.DUMMYFUNCTION("""COMPUTED_VALUE"""),"Trung Quốc")</f>
        <v>Trung Quốc</v>
      </c>
      <c r="F2102" s="5"/>
      <c r="G2102" s="5" t="str">
        <f>IFERROR(__xludf.DUMMYFUNCTION("""COMPUTED_VALUE"""),"GX35")</f>
        <v>GX35</v>
      </c>
      <c r="H2102" s="5" t="str">
        <f>IFERROR(__xludf.DUMMYFUNCTION("""COMPUTED_VALUE"""),"1.6HP")</f>
        <v>1.6HP</v>
      </c>
      <c r="I2102" s="5" t="str">
        <f>IFERROR(__xludf.DUMMYFUNCTION("""COMPUTED_VALUE"""),"GCAMT-7708416")</f>
        <v>GCAMT-7708416</v>
      </c>
      <c r="J2102" s="5"/>
      <c r="K2102" s="5">
        <f>IFERROR(__xludf.DUMMYFUNCTION("""COMPUTED_VALUE"""),0.5)</f>
        <v>0.5</v>
      </c>
      <c r="L2102" s="5" t="str">
        <f>IFERROR(__xludf.DUMMYFUNCTION("""COMPUTED_VALUE"""),"Loại biên")</f>
        <v>Loại biên</v>
      </c>
    </row>
    <row r="2103">
      <c r="A2103" s="5" t="str">
        <f>IFERROR(__xludf.DUMMYFUNCTION("""COMPUTED_VALUE"""),"XXD-MPC-014")</f>
        <v>XXD-MPC-014</v>
      </c>
      <c r="B2103" s="3" t="str">
        <f>IFERROR(__xludf.DUMMYFUNCTION("""COMPUTED_VALUE"""),"Máy phát cỏ 4 thì")</f>
        <v>Máy phát cỏ 4 thì</v>
      </c>
      <c r="C2103" s="5" t="str">
        <f>IFERROR(__xludf.DUMMYFUNCTION("""COMPUTED_VALUE"""),"Loại biên")</f>
        <v>Loại biên</v>
      </c>
      <c r="D2103" s="5" t="str">
        <f>IFERROR(__xludf.DUMMYFUNCTION("""COMPUTED_VALUE"""),"HONDA")</f>
        <v>HONDA</v>
      </c>
      <c r="E2103" s="5" t="str">
        <f>IFERROR(__xludf.DUMMYFUNCTION("""COMPUTED_VALUE"""),"Trung Quốc")</f>
        <v>Trung Quốc</v>
      </c>
      <c r="F2103" s="5"/>
      <c r="G2103" s="5" t="str">
        <f>IFERROR(__xludf.DUMMYFUNCTION("""COMPUTED_VALUE"""),"GX35")</f>
        <v>GX35</v>
      </c>
      <c r="H2103" s="5" t="str">
        <f>IFERROR(__xludf.DUMMYFUNCTION("""COMPUTED_VALUE"""),"1.6HP")</f>
        <v>1.6HP</v>
      </c>
      <c r="I2103" s="5"/>
      <c r="J2103" s="5"/>
      <c r="K2103" s="5">
        <f>IFERROR(__xludf.DUMMYFUNCTION("""COMPUTED_VALUE"""),0.5)</f>
        <v>0.5</v>
      </c>
      <c r="L2103" s="5" t="str">
        <f>IFERROR(__xludf.DUMMYFUNCTION("""COMPUTED_VALUE"""),"Loại biên")</f>
        <v>Loại biên</v>
      </c>
    </row>
    <row r="2104">
      <c r="A2104" s="5" t="str">
        <f>IFERROR(__xludf.DUMMYFUNCTION("""COMPUTED_VALUE"""),"XXD-MPC-016")</f>
        <v>XXD-MPC-016</v>
      </c>
      <c r="B2104" s="3" t="str">
        <f>IFERROR(__xludf.DUMMYFUNCTION("""COMPUTED_VALUE"""),"Máy phát cỏ 4 thì")</f>
        <v>Máy phát cỏ 4 thì</v>
      </c>
      <c r="C2104" s="5" t="str">
        <f>IFERROR(__xludf.DUMMYFUNCTION("""COMPUTED_VALUE"""),"Loại biên")</f>
        <v>Loại biên</v>
      </c>
      <c r="D2104" s="5" t="str">
        <f>IFERROR(__xludf.DUMMYFUNCTION("""COMPUTED_VALUE"""),"HONDA")</f>
        <v>HONDA</v>
      </c>
      <c r="E2104" s="5" t="str">
        <f>IFERROR(__xludf.DUMMYFUNCTION("""COMPUTED_VALUE"""),"Trung Quốc")</f>
        <v>Trung Quốc</v>
      </c>
      <c r="F2104" s="5"/>
      <c r="G2104" s="5" t="str">
        <f>IFERROR(__xludf.DUMMYFUNCTION("""COMPUTED_VALUE"""),"GX35")</f>
        <v>GX35</v>
      </c>
      <c r="H2104" s="5" t="str">
        <f>IFERROR(__xludf.DUMMYFUNCTION("""COMPUTED_VALUE"""),"1.6HP")</f>
        <v>1.6HP</v>
      </c>
      <c r="I2104" s="5" t="str">
        <f>IFERROR(__xludf.DUMMYFUNCTION("""COMPUTED_VALUE"""),"120124")</f>
        <v>120124</v>
      </c>
      <c r="J2104" s="5"/>
      <c r="K2104" s="5">
        <f>IFERROR(__xludf.DUMMYFUNCTION("""COMPUTED_VALUE"""),0.5)</f>
        <v>0.5</v>
      </c>
      <c r="L2104" s="5" t="str">
        <f>IFERROR(__xludf.DUMMYFUNCTION("""COMPUTED_VALUE"""),"Loại biên")</f>
        <v>Loại biên</v>
      </c>
    </row>
    <row r="2105">
      <c r="A2105" s="5" t="str">
        <f>IFERROR(__xludf.DUMMYFUNCTION("""COMPUTED_VALUE"""),"XL1-MPC-013")</f>
        <v>XL1-MPC-013</v>
      </c>
      <c r="B2105" s="3" t="str">
        <f>IFERROR(__xludf.DUMMYFUNCTION("""COMPUTED_VALUE"""),"Máy phát cỏ 4 thì")</f>
        <v>Máy phát cỏ 4 thì</v>
      </c>
      <c r="C2105" s="5" t="str">
        <f>IFERROR(__xludf.DUMMYFUNCTION("""COMPUTED_VALUE"""),"Loại biên")</f>
        <v>Loại biên</v>
      </c>
      <c r="D2105" s="5" t="str">
        <f>IFERROR(__xludf.DUMMYFUNCTION("""COMPUTED_VALUE"""),"HINOTA")</f>
        <v>HINOTA</v>
      </c>
      <c r="E2105" s="5" t="str">
        <f>IFERROR(__xludf.DUMMYFUNCTION("""COMPUTED_VALUE"""),"Trung Quốc")</f>
        <v>Trung Quốc</v>
      </c>
      <c r="F2105" s="5"/>
      <c r="G2105" s="5" t="str">
        <f>IFERROR(__xludf.DUMMYFUNCTION("""COMPUTED_VALUE"""),"CG435")</f>
        <v>CG435</v>
      </c>
      <c r="H2105" s="5" t="str">
        <f>IFERROR(__xludf.DUMMYFUNCTION("""COMPUTED_VALUE"""),"1.2HP")</f>
        <v>1.2HP</v>
      </c>
      <c r="I2105" s="5"/>
      <c r="J2105" s="5"/>
      <c r="K2105" s="5">
        <f>IFERROR(__xludf.DUMMYFUNCTION("""COMPUTED_VALUE"""),0.5)</f>
        <v>0.5</v>
      </c>
      <c r="L2105" s="5" t="str">
        <f>IFERROR(__xludf.DUMMYFUNCTION("""COMPUTED_VALUE"""),"Loại biên")</f>
        <v>Loại biên</v>
      </c>
    </row>
    <row r="2106">
      <c r="A2106" s="5" t="str">
        <f>IFERROR(__xludf.DUMMYFUNCTION("""COMPUTED_VALUE"""),"XL1-MPC-014")</f>
        <v>XL1-MPC-014</v>
      </c>
      <c r="B2106" s="3" t="str">
        <f>IFERROR(__xludf.DUMMYFUNCTION("""COMPUTED_VALUE"""),"Máy phát cỏ 4 thì")</f>
        <v>Máy phát cỏ 4 thì</v>
      </c>
      <c r="C2106" s="5" t="str">
        <f>IFERROR(__xludf.DUMMYFUNCTION("""COMPUTED_VALUE"""),"Loại biên")</f>
        <v>Loại biên</v>
      </c>
      <c r="D2106" s="5" t="str">
        <f>IFERROR(__xludf.DUMMYFUNCTION("""COMPUTED_VALUE"""),"HINOTA")</f>
        <v>HINOTA</v>
      </c>
      <c r="E2106" s="5" t="str">
        <f>IFERROR(__xludf.DUMMYFUNCTION("""COMPUTED_VALUE"""),"Trung Quốc")</f>
        <v>Trung Quốc</v>
      </c>
      <c r="F2106" s="5"/>
      <c r="G2106" s="5" t="str">
        <f>IFERROR(__xludf.DUMMYFUNCTION("""COMPUTED_VALUE"""),"CG435")</f>
        <v>CG435</v>
      </c>
      <c r="H2106" s="5" t="str">
        <f>IFERROR(__xludf.DUMMYFUNCTION("""COMPUTED_VALUE"""),"1.2HP")</f>
        <v>1.2HP</v>
      </c>
      <c r="I2106" s="5"/>
      <c r="J2106" s="5"/>
      <c r="K2106" s="5">
        <f>IFERROR(__xludf.DUMMYFUNCTION("""COMPUTED_VALUE"""),0.5)</f>
        <v>0.5</v>
      </c>
      <c r="L2106" s="5" t="str">
        <f>IFERROR(__xludf.DUMMYFUNCTION("""COMPUTED_VALUE"""),"Loại biên")</f>
        <v>Loại biên</v>
      </c>
    </row>
    <row r="2107">
      <c r="A2107" s="5" t="str">
        <f>IFERROR(__xludf.DUMMYFUNCTION("""COMPUTED_VALUE"""),"XL1-MPC-015")</f>
        <v>XL1-MPC-015</v>
      </c>
      <c r="B2107" s="3" t="str">
        <f>IFERROR(__xludf.DUMMYFUNCTION("""COMPUTED_VALUE"""),"Máy phát cỏ 4 thì")</f>
        <v>Máy phát cỏ 4 thì</v>
      </c>
      <c r="C2107" s="5" t="str">
        <f>IFERROR(__xludf.DUMMYFUNCTION("""COMPUTED_VALUE"""),"Loại biên")</f>
        <v>Loại biên</v>
      </c>
      <c r="D2107" s="5" t="str">
        <f>IFERROR(__xludf.DUMMYFUNCTION("""COMPUTED_VALUE"""),"HINOTA")</f>
        <v>HINOTA</v>
      </c>
      <c r="E2107" s="5" t="str">
        <f>IFERROR(__xludf.DUMMYFUNCTION("""COMPUTED_VALUE"""),"Trung Quốc")</f>
        <v>Trung Quốc</v>
      </c>
      <c r="F2107" s="5"/>
      <c r="G2107" s="5" t="str">
        <f>IFERROR(__xludf.DUMMYFUNCTION("""COMPUTED_VALUE"""),"CG435")</f>
        <v>CG435</v>
      </c>
      <c r="H2107" s="5" t="str">
        <f>IFERROR(__xludf.DUMMYFUNCTION("""COMPUTED_VALUE"""),"1.2HP")</f>
        <v>1.2HP</v>
      </c>
      <c r="I2107" s="5"/>
      <c r="J2107" s="5"/>
      <c r="K2107" s="5">
        <f>IFERROR(__xludf.DUMMYFUNCTION("""COMPUTED_VALUE"""),0.5)</f>
        <v>0.5</v>
      </c>
      <c r="L2107" s="5" t="str">
        <f>IFERROR(__xludf.DUMMYFUNCTION("""COMPUTED_VALUE"""),"Loại biên")</f>
        <v>Loại biên</v>
      </c>
    </row>
    <row r="2108">
      <c r="A2108" s="5" t="str">
        <f>IFERROR(__xludf.DUMMYFUNCTION("""COMPUTED_VALUE"""),"XL1-MPC-016")</f>
        <v>XL1-MPC-016</v>
      </c>
      <c r="B2108" s="3" t="str">
        <f>IFERROR(__xludf.DUMMYFUNCTION("""COMPUTED_VALUE"""),"Máy phát cỏ 4 thì")</f>
        <v>Máy phát cỏ 4 thì</v>
      </c>
      <c r="C2108" s="5" t="str">
        <f>IFERROR(__xludf.DUMMYFUNCTION("""COMPUTED_VALUE"""),"Loại biên")</f>
        <v>Loại biên</v>
      </c>
      <c r="D2108" s="5" t="str">
        <f>IFERROR(__xludf.DUMMYFUNCTION("""COMPUTED_VALUE"""),"HINOTA")</f>
        <v>HINOTA</v>
      </c>
      <c r="E2108" s="5" t="str">
        <f>IFERROR(__xludf.DUMMYFUNCTION("""COMPUTED_VALUE"""),"Trung Quốc")</f>
        <v>Trung Quốc</v>
      </c>
      <c r="F2108" s="5"/>
      <c r="G2108" s="5" t="str">
        <f>IFERROR(__xludf.DUMMYFUNCTION("""COMPUTED_VALUE"""),"CG435")</f>
        <v>CG435</v>
      </c>
      <c r="H2108" s="5" t="str">
        <f>IFERROR(__xludf.DUMMYFUNCTION("""COMPUTED_VALUE"""),"1.2HP")</f>
        <v>1.2HP</v>
      </c>
      <c r="I2108" s="5"/>
      <c r="J2108" s="5"/>
      <c r="K2108" s="5">
        <f>IFERROR(__xludf.DUMMYFUNCTION("""COMPUTED_VALUE"""),0.5)</f>
        <v>0.5</v>
      </c>
      <c r="L2108" s="5" t="str">
        <f>IFERROR(__xludf.DUMMYFUNCTION("""COMPUTED_VALUE"""),"Loại biên")</f>
        <v>Loại biên</v>
      </c>
    </row>
    <row r="2109">
      <c r="A2109" s="5" t="str">
        <f>IFERROR(__xludf.DUMMYFUNCTION("""COMPUTED_VALUE"""),"XL1-MPC-017")</f>
        <v>XL1-MPC-017</v>
      </c>
      <c r="B2109" s="3" t="str">
        <f>IFERROR(__xludf.DUMMYFUNCTION("""COMPUTED_VALUE"""),"Máy phát cỏ 4 thì")</f>
        <v>Máy phát cỏ 4 thì</v>
      </c>
      <c r="C2109" s="5" t="str">
        <f>IFERROR(__xludf.DUMMYFUNCTION("""COMPUTED_VALUE"""),"Loại biên")</f>
        <v>Loại biên</v>
      </c>
      <c r="D2109" s="5" t="str">
        <f>IFERROR(__xludf.DUMMYFUNCTION("""COMPUTED_VALUE"""),"HINOTA")</f>
        <v>HINOTA</v>
      </c>
      <c r="E2109" s="5" t="str">
        <f>IFERROR(__xludf.DUMMYFUNCTION("""COMPUTED_VALUE"""),"Trung Quốc")</f>
        <v>Trung Quốc</v>
      </c>
      <c r="F2109" s="5"/>
      <c r="G2109" s="5" t="str">
        <f>IFERROR(__xludf.DUMMYFUNCTION("""COMPUTED_VALUE"""),"CG435")</f>
        <v>CG435</v>
      </c>
      <c r="H2109" s="5" t="str">
        <f>IFERROR(__xludf.DUMMYFUNCTION("""COMPUTED_VALUE"""),"1.2HP")</f>
        <v>1.2HP</v>
      </c>
      <c r="I2109" s="5"/>
      <c r="J2109" s="5"/>
      <c r="K2109" s="5">
        <f>IFERROR(__xludf.DUMMYFUNCTION("""COMPUTED_VALUE"""),0.5)</f>
        <v>0.5</v>
      </c>
      <c r="L2109" s="5" t="str">
        <f>IFERROR(__xludf.DUMMYFUNCTION("""COMPUTED_VALUE"""),"Loại biên")</f>
        <v>Loại biên</v>
      </c>
    </row>
    <row r="2110">
      <c r="A2110" s="5" t="str">
        <f>IFERROR(__xludf.DUMMYFUNCTION("""COMPUTED_VALUE"""),"XL1-MPC-018")</f>
        <v>XL1-MPC-018</v>
      </c>
      <c r="B2110" s="3" t="str">
        <f>IFERROR(__xludf.DUMMYFUNCTION("""COMPUTED_VALUE"""),"Máy phát cỏ 4 thì")</f>
        <v>Máy phát cỏ 4 thì</v>
      </c>
      <c r="C2110" s="5" t="str">
        <f>IFERROR(__xludf.DUMMYFUNCTION("""COMPUTED_VALUE"""),"Loại biên")</f>
        <v>Loại biên</v>
      </c>
      <c r="D2110" s="5" t="str">
        <f>IFERROR(__xludf.DUMMYFUNCTION("""COMPUTED_VALUE"""),"HINOTA")</f>
        <v>HINOTA</v>
      </c>
      <c r="E2110" s="5" t="str">
        <f>IFERROR(__xludf.DUMMYFUNCTION("""COMPUTED_VALUE"""),"Trung Quốc")</f>
        <v>Trung Quốc</v>
      </c>
      <c r="F2110" s="5"/>
      <c r="G2110" s="5" t="str">
        <f>IFERROR(__xludf.DUMMYFUNCTION("""COMPUTED_VALUE"""),"CG435")</f>
        <v>CG435</v>
      </c>
      <c r="H2110" s="5" t="str">
        <f>IFERROR(__xludf.DUMMYFUNCTION("""COMPUTED_VALUE"""),"1.2HP")</f>
        <v>1.2HP</v>
      </c>
      <c r="I2110" s="5"/>
      <c r="J2110" s="5"/>
      <c r="K2110" s="5">
        <f>IFERROR(__xludf.DUMMYFUNCTION("""COMPUTED_VALUE"""),0.5)</f>
        <v>0.5</v>
      </c>
      <c r="L2110" s="5" t="str">
        <f>IFERROR(__xludf.DUMMYFUNCTION("""COMPUTED_VALUE"""),"Loại biên")</f>
        <v>Loại biên</v>
      </c>
    </row>
    <row r="2111">
      <c r="A2111" s="5" t="str">
        <f>IFERROR(__xludf.DUMMYFUNCTION("""COMPUTED_VALUE"""),"XL1-MPC-019")</f>
        <v>XL1-MPC-019</v>
      </c>
      <c r="B2111" s="3" t="str">
        <f>IFERROR(__xludf.DUMMYFUNCTION("""COMPUTED_VALUE"""),"Máy phát cỏ 4 thì")</f>
        <v>Máy phát cỏ 4 thì</v>
      </c>
      <c r="C2111" s="5" t="str">
        <f>IFERROR(__xludf.DUMMYFUNCTION("""COMPUTED_VALUE"""),"Loại biên")</f>
        <v>Loại biên</v>
      </c>
      <c r="D2111" s="5" t="str">
        <f>IFERROR(__xludf.DUMMYFUNCTION("""COMPUTED_VALUE"""),"HINOTA")</f>
        <v>HINOTA</v>
      </c>
      <c r="E2111" s="5" t="str">
        <f>IFERROR(__xludf.DUMMYFUNCTION("""COMPUTED_VALUE"""),"Trung Quốc")</f>
        <v>Trung Quốc</v>
      </c>
      <c r="F2111" s="5"/>
      <c r="G2111" s="5" t="str">
        <f>IFERROR(__xludf.DUMMYFUNCTION("""COMPUTED_VALUE"""),"CG435")</f>
        <v>CG435</v>
      </c>
      <c r="H2111" s="5" t="str">
        <f>IFERROR(__xludf.DUMMYFUNCTION("""COMPUTED_VALUE"""),"1.2HP")</f>
        <v>1.2HP</v>
      </c>
      <c r="I2111" s="5"/>
      <c r="J2111" s="5"/>
      <c r="K2111" s="5">
        <f>IFERROR(__xludf.DUMMYFUNCTION("""COMPUTED_VALUE"""),0.5)</f>
        <v>0.5</v>
      </c>
      <c r="L2111" s="5" t="str">
        <f>IFERROR(__xludf.DUMMYFUNCTION("""COMPUTED_VALUE"""),"Loại biên")</f>
        <v>Loại biên</v>
      </c>
    </row>
    <row r="2112">
      <c r="A2112" s="5" t="str">
        <f>IFERROR(__xludf.DUMMYFUNCTION("""COMPUTED_VALUE"""),"XL1-MPC-020")</f>
        <v>XL1-MPC-020</v>
      </c>
      <c r="B2112" s="3" t="str">
        <f>IFERROR(__xludf.DUMMYFUNCTION("""COMPUTED_VALUE"""),"Máy phát cỏ 4 thì")</f>
        <v>Máy phát cỏ 4 thì</v>
      </c>
      <c r="C2112" s="5" t="str">
        <f>IFERROR(__xludf.DUMMYFUNCTION("""COMPUTED_VALUE"""),"Loại biên")</f>
        <v>Loại biên</v>
      </c>
      <c r="D2112" s="5" t="str">
        <f>IFERROR(__xludf.DUMMYFUNCTION("""COMPUTED_VALUE"""),"HINOTA")</f>
        <v>HINOTA</v>
      </c>
      <c r="E2112" s="5" t="str">
        <f>IFERROR(__xludf.DUMMYFUNCTION("""COMPUTED_VALUE"""),"Trung Quốc")</f>
        <v>Trung Quốc</v>
      </c>
      <c r="F2112" s="5"/>
      <c r="G2112" s="5" t="str">
        <f>IFERROR(__xludf.DUMMYFUNCTION("""COMPUTED_VALUE"""),"CG435")</f>
        <v>CG435</v>
      </c>
      <c r="H2112" s="5" t="str">
        <f>IFERROR(__xludf.DUMMYFUNCTION("""COMPUTED_VALUE"""),"1.2HP")</f>
        <v>1.2HP</v>
      </c>
      <c r="I2112" s="5"/>
      <c r="J2112" s="5"/>
      <c r="K2112" s="5">
        <f>IFERROR(__xludf.DUMMYFUNCTION("""COMPUTED_VALUE"""),0.5)</f>
        <v>0.5</v>
      </c>
      <c r="L2112" s="5" t="str">
        <f>IFERROR(__xludf.DUMMYFUNCTION("""COMPUTED_VALUE"""),"Loại biên")</f>
        <v>Loại biên</v>
      </c>
    </row>
    <row r="2113">
      <c r="A2113" s="5" t="str">
        <f>IFERROR(__xludf.DUMMYFUNCTION("""COMPUTED_VALUE"""),"XL1-MPC-021")</f>
        <v>XL1-MPC-021</v>
      </c>
      <c r="B2113" s="3" t="str">
        <f>IFERROR(__xludf.DUMMYFUNCTION("""COMPUTED_VALUE"""),"Máy phát cỏ 4 thì")</f>
        <v>Máy phát cỏ 4 thì</v>
      </c>
      <c r="C2113" s="5" t="str">
        <f>IFERROR(__xludf.DUMMYFUNCTION("""COMPUTED_VALUE"""),"Loại biên")</f>
        <v>Loại biên</v>
      </c>
      <c r="D2113" s="5" t="str">
        <f>IFERROR(__xludf.DUMMYFUNCTION("""COMPUTED_VALUE"""),"HINOTA")</f>
        <v>HINOTA</v>
      </c>
      <c r="E2113" s="5" t="str">
        <f>IFERROR(__xludf.DUMMYFUNCTION("""COMPUTED_VALUE"""),"Trung Quốc")</f>
        <v>Trung Quốc</v>
      </c>
      <c r="F2113" s="5"/>
      <c r="G2113" s="5" t="str">
        <f>IFERROR(__xludf.DUMMYFUNCTION("""COMPUTED_VALUE"""),"CG435")</f>
        <v>CG435</v>
      </c>
      <c r="H2113" s="5" t="str">
        <f>IFERROR(__xludf.DUMMYFUNCTION("""COMPUTED_VALUE"""),"1.2HP")</f>
        <v>1.2HP</v>
      </c>
      <c r="I2113" s="5"/>
      <c r="J2113" s="5"/>
      <c r="K2113" s="5">
        <f>IFERROR(__xludf.DUMMYFUNCTION("""COMPUTED_VALUE"""),0.5)</f>
        <v>0.5</v>
      </c>
      <c r="L2113" s="5" t="str">
        <f>IFERROR(__xludf.DUMMYFUNCTION("""COMPUTED_VALUE"""),"Loại biên")</f>
        <v>Loại biên</v>
      </c>
    </row>
    <row r="2114">
      <c r="A2114" s="5" t="str">
        <f>IFERROR(__xludf.DUMMYFUNCTION("""COMPUTED_VALUE"""),"XL1-MPC-022")</f>
        <v>XL1-MPC-022</v>
      </c>
      <c r="B2114" s="3" t="str">
        <f>IFERROR(__xludf.DUMMYFUNCTION("""COMPUTED_VALUE"""),"Máy phát cỏ 4 thì")</f>
        <v>Máy phát cỏ 4 thì</v>
      </c>
      <c r="C2114" s="5" t="str">
        <f>IFERROR(__xludf.DUMMYFUNCTION("""COMPUTED_VALUE"""),"Loại biên")</f>
        <v>Loại biên</v>
      </c>
      <c r="D2114" s="5" t="str">
        <f>IFERROR(__xludf.DUMMYFUNCTION("""COMPUTED_VALUE"""),"HINOTA")</f>
        <v>HINOTA</v>
      </c>
      <c r="E2114" s="5" t="str">
        <f>IFERROR(__xludf.DUMMYFUNCTION("""COMPUTED_VALUE"""),"Trung Quốc")</f>
        <v>Trung Quốc</v>
      </c>
      <c r="F2114" s="5"/>
      <c r="G2114" s="5" t="str">
        <f>IFERROR(__xludf.DUMMYFUNCTION("""COMPUTED_VALUE"""),"CG435")</f>
        <v>CG435</v>
      </c>
      <c r="H2114" s="5" t="str">
        <f>IFERROR(__xludf.DUMMYFUNCTION("""COMPUTED_VALUE"""),"1.2HP")</f>
        <v>1.2HP</v>
      </c>
      <c r="I2114" s="5"/>
      <c r="J2114" s="5"/>
      <c r="K2114" s="5">
        <f>IFERROR(__xludf.DUMMYFUNCTION("""COMPUTED_VALUE"""),0.5)</f>
        <v>0.5</v>
      </c>
      <c r="L2114" s="5" t="str">
        <f>IFERROR(__xludf.DUMMYFUNCTION("""COMPUTED_VALUE"""),"Loại biên")</f>
        <v>Loại biên</v>
      </c>
    </row>
    <row r="2115">
      <c r="A2115" s="5" t="str">
        <f>IFERROR(__xludf.DUMMYFUNCTION("""COMPUTED_VALUE"""),"XL1-MPC-023")</f>
        <v>XL1-MPC-023</v>
      </c>
      <c r="B2115" s="3" t="str">
        <f>IFERROR(__xludf.DUMMYFUNCTION("""COMPUTED_VALUE"""),"Máy phát cỏ 4 thì")</f>
        <v>Máy phát cỏ 4 thì</v>
      </c>
      <c r="C2115" s="5" t="str">
        <f>IFERROR(__xludf.DUMMYFUNCTION("""COMPUTED_VALUE"""),"Loại biên")</f>
        <v>Loại biên</v>
      </c>
      <c r="D2115" s="5" t="str">
        <f>IFERROR(__xludf.DUMMYFUNCTION("""COMPUTED_VALUE"""),"HINOTA")</f>
        <v>HINOTA</v>
      </c>
      <c r="E2115" s="5" t="str">
        <f>IFERROR(__xludf.DUMMYFUNCTION("""COMPUTED_VALUE"""),"Trung Quốc")</f>
        <v>Trung Quốc</v>
      </c>
      <c r="F2115" s="5"/>
      <c r="G2115" s="5" t="str">
        <f>IFERROR(__xludf.DUMMYFUNCTION("""COMPUTED_VALUE"""),"CG435")</f>
        <v>CG435</v>
      </c>
      <c r="H2115" s="5" t="str">
        <f>IFERROR(__xludf.DUMMYFUNCTION("""COMPUTED_VALUE"""),"1.2HP")</f>
        <v>1.2HP</v>
      </c>
      <c r="I2115" s="5"/>
      <c r="J2115" s="5"/>
      <c r="K2115" s="5">
        <f>IFERROR(__xludf.DUMMYFUNCTION("""COMPUTED_VALUE"""),0.5)</f>
        <v>0.5</v>
      </c>
      <c r="L2115" s="5" t="str">
        <f>IFERROR(__xludf.DUMMYFUNCTION("""COMPUTED_VALUE"""),"Loại biên")</f>
        <v>Loại biên</v>
      </c>
    </row>
    <row r="2116">
      <c r="A2116" s="5" t="str">
        <f>IFERROR(__xludf.DUMMYFUNCTION("""COMPUTED_VALUE"""),"XL1-MPC-024")</f>
        <v>XL1-MPC-024</v>
      </c>
      <c r="B2116" s="3" t="str">
        <f>IFERROR(__xludf.DUMMYFUNCTION("""COMPUTED_VALUE"""),"Máy phát cỏ 4 thì")</f>
        <v>Máy phát cỏ 4 thì</v>
      </c>
      <c r="C2116" s="5" t="str">
        <f>IFERROR(__xludf.DUMMYFUNCTION("""COMPUTED_VALUE"""),"Loại biên")</f>
        <v>Loại biên</v>
      </c>
      <c r="D2116" s="5" t="str">
        <f>IFERROR(__xludf.DUMMYFUNCTION("""COMPUTED_VALUE"""),"HINOTA")</f>
        <v>HINOTA</v>
      </c>
      <c r="E2116" s="5" t="str">
        <f>IFERROR(__xludf.DUMMYFUNCTION("""COMPUTED_VALUE"""),"Trung Quốc")</f>
        <v>Trung Quốc</v>
      </c>
      <c r="F2116" s="5"/>
      <c r="G2116" s="5" t="str">
        <f>IFERROR(__xludf.DUMMYFUNCTION("""COMPUTED_VALUE"""),"CG435")</f>
        <v>CG435</v>
      </c>
      <c r="H2116" s="5" t="str">
        <f>IFERROR(__xludf.DUMMYFUNCTION("""COMPUTED_VALUE"""),"1.2HP")</f>
        <v>1.2HP</v>
      </c>
      <c r="I2116" s="5"/>
      <c r="J2116" s="5"/>
      <c r="K2116" s="5">
        <f>IFERROR(__xludf.DUMMYFUNCTION("""COMPUTED_VALUE"""),0.5)</f>
        <v>0.5</v>
      </c>
      <c r="L2116" s="5" t="str">
        <f>IFERROR(__xludf.DUMMYFUNCTION("""COMPUTED_VALUE"""),"Loại biên")</f>
        <v>Loại biên</v>
      </c>
    </row>
    <row r="2117">
      <c r="A2117" s="5" t="str">
        <f>IFERROR(__xludf.DUMMYFUNCTION("""COMPUTED_VALUE"""),"XL1-MPC-025")</f>
        <v>XL1-MPC-025</v>
      </c>
      <c r="B2117" s="3" t="str">
        <f>IFERROR(__xludf.DUMMYFUNCTION("""COMPUTED_VALUE"""),"Máy phát cỏ 4 thì")</f>
        <v>Máy phát cỏ 4 thì</v>
      </c>
      <c r="C2117" s="5" t="str">
        <f>IFERROR(__xludf.DUMMYFUNCTION("""COMPUTED_VALUE"""),"Loại biên")</f>
        <v>Loại biên</v>
      </c>
      <c r="D2117" s="5" t="str">
        <f>IFERROR(__xludf.DUMMYFUNCTION("""COMPUTED_VALUE"""),"HINOTA")</f>
        <v>HINOTA</v>
      </c>
      <c r="E2117" s="5" t="str">
        <f>IFERROR(__xludf.DUMMYFUNCTION("""COMPUTED_VALUE"""),"Trung Quốc")</f>
        <v>Trung Quốc</v>
      </c>
      <c r="F2117" s="5"/>
      <c r="G2117" s="5" t="str">
        <f>IFERROR(__xludf.DUMMYFUNCTION("""COMPUTED_VALUE"""),"CG435")</f>
        <v>CG435</v>
      </c>
      <c r="H2117" s="5" t="str">
        <f>IFERROR(__xludf.DUMMYFUNCTION("""COMPUTED_VALUE"""),"1.2HP")</f>
        <v>1.2HP</v>
      </c>
      <c r="I2117" s="5"/>
      <c r="J2117" s="5"/>
      <c r="K2117" s="5">
        <f>IFERROR(__xludf.DUMMYFUNCTION("""COMPUTED_VALUE"""),0.5)</f>
        <v>0.5</v>
      </c>
      <c r="L2117" s="5" t="str">
        <f>IFERROR(__xludf.DUMMYFUNCTION("""COMPUTED_VALUE"""),"Loại biên")</f>
        <v>Loại biên</v>
      </c>
    </row>
    <row r="2118">
      <c r="A2118" s="5" t="str">
        <f>IFERROR(__xludf.DUMMYFUNCTION("""COMPUTED_VALUE"""),"XL1-MPC-026")</f>
        <v>XL1-MPC-026</v>
      </c>
      <c r="B2118" s="3" t="str">
        <f>IFERROR(__xludf.DUMMYFUNCTION("""COMPUTED_VALUE"""),"Máy phát cỏ 4 thì")</f>
        <v>Máy phát cỏ 4 thì</v>
      </c>
      <c r="C2118" s="5" t="str">
        <f>IFERROR(__xludf.DUMMYFUNCTION("""COMPUTED_VALUE"""),"Loại biên")</f>
        <v>Loại biên</v>
      </c>
      <c r="D2118" s="5" t="str">
        <f>IFERROR(__xludf.DUMMYFUNCTION("""COMPUTED_VALUE"""),"HINOTA")</f>
        <v>HINOTA</v>
      </c>
      <c r="E2118" s="5" t="str">
        <f>IFERROR(__xludf.DUMMYFUNCTION("""COMPUTED_VALUE"""),"Trung Quốc")</f>
        <v>Trung Quốc</v>
      </c>
      <c r="F2118" s="5"/>
      <c r="G2118" s="5" t="str">
        <f>IFERROR(__xludf.DUMMYFUNCTION("""COMPUTED_VALUE"""),"CG435")</f>
        <v>CG435</v>
      </c>
      <c r="H2118" s="5" t="str">
        <f>IFERROR(__xludf.DUMMYFUNCTION("""COMPUTED_VALUE"""),"1.2HP")</f>
        <v>1.2HP</v>
      </c>
      <c r="I2118" s="5"/>
      <c r="J2118" s="5"/>
      <c r="K2118" s="5">
        <f>IFERROR(__xludf.DUMMYFUNCTION("""COMPUTED_VALUE"""),0.5)</f>
        <v>0.5</v>
      </c>
      <c r="L2118" s="5" t="str">
        <f>IFERROR(__xludf.DUMMYFUNCTION("""COMPUTED_VALUE"""),"Loại biên")</f>
        <v>Loại biên</v>
      </c>
    </row>
    <row r="2119">
      <c r="A2119" s="5" t="str">
        <f>IFERROR(__xludf.DUMMYFUNCTION("""COMPUTED_VALUE"""),"XL1-MPC-027")</f>
        <v>XL1-MPC-027</v>
      </c>
      <c r="B2119" s="3" t="str">
        <f>IFERROR(__xludf.DUMMYFUNCTION("""COMPUTED_VALUE"""),"Máy phát cỏ 4 thì")</f>
        <v>Máy phát cỏ 4 thì</v>
      </c>
      <c r="C2119" s="5" t="str">
        <f>IFERROR(__xludf.DUMMYFUNCTION("""COMPUTED_VALUE"""),"Loại biên")</f>
        <v>Loại biên</v>
      </c>
      <c r="D2119" s="5" t="str">
        <f>IFERROR(__xludf.DUMMYFUNCTION("""COMPUTED_VALUE"""),"HINOTA")</f>
        <v>HINOTA</v>
      </c>
      <c r="E2119" s="5" t="str">
        <f>IFERROR(__xludf.DUMMYFUNCTION("""COMPUTED_VALUE"""),"Trung Quốc")</f>
        <v>Trung Quốc</v>
      </c>
      <c r="F2119" s="5"/>
      <c r="G2119" s="5" t="str">
        <f>IFERROR(__xludf.DUMMYFUNCTION("""COMPUTED_VALUE"""),"CG435")</f>
        <v>CG435</v>
      </c>
      <c r="H2119" s="5" t="str">
        <f>IFERROR(__xludf.DUMMYFUNCTION("""COMPUTED_VALUE"""),"1.2HP")</f>
        <v>1.2HP</v>
      </c>
      <c r="I2119" s="5"/>
      <c r="J2119" s="5"/>
      <c r="K2119" s="5">
        <f>IFERROR(__xludf.DUMMYFUNCTION("""COMPUTED_VALUE"""),0.5)</f>
        <v>0.5</v>
      </c>
      <c r="L2119" s="5" t="str">
        <f>IFERROR(__xludf.DUMMYFUNCTION("""COMPUTED_VALUE"""),"Loại biên")</f>
        <v>Loại biên</v>
      </c>
    </row>
    <row r="2120">
      <c r="A2120" s="5" t="str">
        <f>IFERROR(__xludf.DUMMYFUNCTION("""COMPUTED_VALUE"""),"XL1-MPC-028")</f>
        <v>XL1-MPC-028</v>
      </c>
      <c r="B2120" s="3" t="str">
        <f>IFERROR(__xludf.DUMMYFUNCTION("""COMPUTED_VALUE"""),"Máy phát cỏ 4 thì")</f>
        <v>Máy phát cỏ 4 thì</v>
      </c>
      <c r="C2120" s="5" t="str">
        <f>IFERROR(__xludf.DUMMYFUNCTION("""COMPUTED_VALUE"""),"Loại biên")</f>
        <v>Loại biên</v>
      </c>
      <c r="D2120" s="5" t="str">
        <f>IFERROR(__xludf.DUMMYFUNCTION("""COMPUTED_VALUE"""),"HINOTA")</f>
        <v>HINOTA</v>
      </c>
      <c r="E2120" s="5" t="str">
        <f>IFERROR(__xludf.DUMMYFUNCTION("""COMPUTED_VALUE"""),"Trung Quốc")</f>
        <v>Trung Quốc</v>
      </c>
      <c r="F2120" s="5"/>
      <c r="G2120" s="5" t="str">
        <f>IFERROR(__xludf.DUMMYFUNCTION("""COMPUTED_VALUE"""),"CG435")</f>
        <v>CG435</v>
      </c>
      <c r="H2120" s="5" t="str">
        <f>IFERROR(__xludf.DUMMYFUNCTION("""COMPUTED_VALUE"""),"1.2HP")</f>
        <v>1.2HP</v>
      </c>
      <c r="I2120" s="5"/>
      <c r="J2120" s="5"/>
      <c r="K2120" s="5">
        <f>IFERROR(__xludf.DUMMYFUNCTION("""COMPUTED_VALUE"""),0.5)</f>
        <v>0.5</v>
      </c>
      <c r="L2120" s="5" t="str">
        <f>IFERROR(__xludf.DUMMYFUNCTION("""COMPUTED_VALUE"""),"Loại biên")</f>
        <v>Loại biên</v>
      </c>
    </row>
    <row r="2121">
      <c r="A2121" s="5" t="str">
        <f>IFERROR(__xludf.DUMMYFUNCTION("""COMPUTED_VALUE"""),"XL1-MPC-029")</f>
        <v>XL1-MPC-029</v>
      </c>
      <c r="B2121" s="3" t="str">
        <f>IFERROR(__xludf.DUMMYFUNCTION("""COMPUTED_VALUE"""),"Máy phát cỏ 4 thì")</f>
        <v>Máy phát cỏ 4 thì</v>
      </c>
      <c r="C2121" s="5" t="str">
        <f>IFERROR(__xludf.DUMMYFUNCTION("""COMPUTED_VALUE"""),"Loại biên")</f>
        <v>Loại biên</v>
      </c>
      <c r="D2121" s="5" t="str">
        <f>IFERROR(__xludf.DUMMYFUNCTION("""COMPUTED_VALUE"""),"HINOTA")</f>
        <v>HINOTA</v>
      </c>
      <c r="E2121" s="5" t="str">
        <f>IFERROR(__xludf.DUMMYFUNCTION("""COMPUTED_VALUE"""),"Trung Quốc")</f>
        <v>Trung Quốc</v>
      </c>
      <c r="F2121" s="5"/>
      <c r="G2121" s="5" t="str">
        <f>IFERROR(__xludf.DUMMYFUNCTION("""COMPUTED_VALUE"""),"CG435")</f>
        <v>CG435</v>
      </c>
      <c r="H2121" s="5" t="str">
        <f>IFERROR(__xludf.DUMMYFUNCTION("""COMPUTED_VALUE"""),"1.2HP")</f>
        <v>1.2HP</v>
      </c>
      <c r="I2121" s="5" t="str">
        <f>IFERROR(__xludf.DUMMYFUNCTION("""COMPUTED_VALUE"""),"ZOZC11M1")</f>
        <v>ZOZC11M1</v>
      </c>
      <c r="J2121" s="5"/>
      <c r="K2121" s="5">
        <f>IFERROR(__xludf.DUMMYFUNCTION("""COMPUTED_VALUE"""),0.5)</f>
        <v>0.5</v>
      </c>
      <c r="L2121" s="5" t="str">
        <f>IFERROR(__xludf.DUMMYFUNCTION("""COMPUTED_VALUE"""),"Loại biên")</f>
        <v>Loại biên</v>
      </c>
    </row>
    <row r="2122">
      <c r="A2122" s="5" t="str">
        <f>IFERROR(__xludf.DUMMYFUNCTION("""COMPUTED_VALUE"""),"XL1-MPC-030")</f>
        <v>XL1-MPC-030</v>
      </c>
      <c r="B2122" s="3" t="str">
        <f>IFERROR(__xludf.DUMMYFUNCTION("""COMPUTED_VALUE"""),"Máy phát cỏ 4 thì")</f>
        <v>Máy phát cỏ 4 thì</v>
      </c>
      <c r="C2122" s="5" t="str">
        <f>IFERROR(__xludf.DUMMYFUNCTION("""COMPUTED_VALUE"""),"Loại biên")</f>
        <v>Loại biên</v>
      </c>
      <c r="D2122" s="5" t="str">
        <f>IFERROR(__xludf.DUMMYFUNCTION("""COMPUTED_VALUE"""),"HINOTA")</f>
        <v>HINOTA</v>
      </c>
      <c r="E2122" s="5" t="str">
        <f>IFERROR(__xludf.DUMMYFUNCTION("""COMPUTED_VALUE"""),"Trung Quốc")</f>
        <v>Trung Quốc</v>
      </c>
      <c r="F2122" s="5"/>
      <c r="G2122" s="5" t="str">
        <f>IFERROR(__xludf.DUMMYFUNCTION("""COMPUTED_VALUE"""),"CG435")</f>
        <v>CG435</v>
      </c>
      <c r="H2122" s="5" t="str">
        <f>IFERROR(__xludf.DUMMYFUNCTION("""COMPUTED_VALUE"""),"1.2HP")</f>
        <v>1.2HP</v>
      </c>
      <c r="I2122" s="5" t="str">
        <f>IFERROR(__xludf.DUMMYFUNCTION("""COMPUTED_VALUE"""),"ZOZC11M2")</f>
        <v>ZOZC11M2</v>
      </c>
      <c r="J2122" s="5"/>
      <c r="K2122" s="5">
        <f>IFERROR(__xludf.DUMMYFUNCTION("""COMPUTED_VALUE"""),0.5)</f>
        <v>0.5</v>
      </c>
      <c r="L2122" s="5" t="str">
        <f>IFERROR(__xludf.DUMMYFUNCTION("""COMPUTED_VALUE"""),"Loại biên")</f>
        <v>Loại biên</v>
      </c>
    </row>
    <row r="2123">
      <c r="A2123" s="5" t="str">
        <f>IFERROR(__xludf.DUMMYFUNCTION("""COMPUTED_VALUE"""),"XL1-MPC-031")</f>
        <v>XL1-MPC-031</v>
      </c>
      <c r="B2123" s="3" t="str">
        <f>IFERROR(__xludf.DUMMYFUNCTION("""COMPUTED_VALUE"""),"Máy phát cỏ 4 thì")</f>
        <v>Máy phát cỏ 4 thì</v>
      </c>
      <c r="C2123" s="5" t="str">
        <f>IFERROR(__xludf.DUMMYFUNCTION("""COMPUTED_VALUE"""),"Loại biên")</f>
        <v>Loại biên</v>
      </c>
      <c r="D2123" s="5" t="str">
        <f>IFERROR(__xludf.DUMMYFUNCTION("""COMPUTED_VALUE"""),"HINOTA")</f>
        <v>HINOTA</v>
      </c>
      <c r="E2123" s="5" t="str">
        <f>IFERROR(__xludf.DUMMYFUNCTION("""COMPUTED_VALUE"""),"Trung Quốc")</f>
        <v>Trung Quốc</v>
      </c>
      <c r="F2123" s="5"/>
      <c r="G2123" s="5" t="str">
        <f>IFERROR(__xludf.DUMMYFUNCTION("""COMPUTED_VALUE"""),"CG435")</f>
        <v>CG435</v>
      </c>
      <c r="H2123" s="5" t="str">
        <f>IFERROR(__xludf.DUMMYFUNCTION("""COMPUTED_VALUE"""),"1.2HP")</f>
        <v>1.2HP</v>
      </c>
      <c r="I2123" s="5" t="str">
        <f>IFERROR(__xludf.DUMMYFUNCTION("""COMPUTED_VALUE"""),"ZOZC11M3")</f>
        <v>ZOZC11M3</v>
      </c>
      <c r="J2123" s="5"/>
      <c r="K2123" s="5">
        <f>IFERROR(__xludf.DUMMYFUNCTION("""COMPUTED_VALUE"""),0.5)</f>
        <v>0.5</v>
      </c>
      <c r="L2123" s="5" t="str">
        <f>IFERROR(__xludf.DUMMYFUNCTION("""COMPUTED_VALUE"""),"Loại biên")</f>
        <v>Loại biên</v>
      </c>
    </row>
    <row r="2124">
      <c r="A2124" s="5" t="str">
        <f>IFERROR(__xludf.DUMMYFUNCTION("""COMPUTED_VALUE"""),"XL1-MPC-032")</f>
        <v>XL1-MPC-032</v>
      </c>
      <c r="B2124" s="3" t="str">
        <f>IFERROR(__xludf.DUMMYFUNCTION("""COMPUTED_VALUE"""),"Máy phát cỏ 4 thì")</f>
        <v>Máy phát cỏ 4 thì</v>
      </c>
      <c r="C2124" s="5" t="str">
        <f>IFERROR(__xludf.DUMMYFUNCTION("""COMPUTED_VALUE"""),"Loại biên")</f>
        <v>Loại biên</v>
      </c>
      <c r="D2124" s="5" t="str">
        <f>IFERROR(__xludf.DUMMYFUNCTION("""COMPUTED_VALUE"""),"HINOTA")</f>
        <v>HINOTA</v>
      </c>
      <c r="E2124" s="5" t="str">
        <f>IFERROR(__xludf.DUMMYFUNCTION("""COMPUTED_VALUE"""),"Trung Quốc")</f>
        <v>Trung Quốc</v>
      </c>
      <c r="F2124" s="5"/>
      <c r="G2124" s="5" t="str">
        <f>IFERROR(__xludf.DUMMYFUNCTION("""COMPUTED_VALUE"""),"CG435")</f>
        <v>CG435</v>
      </c>
      <c r="H2124" s="5" t="str">
        <f>IFERROR(__xludf.DUMMYFUNCTION("""COMPUTED_VALUE"""),"1.2HP")</f>
        <v>1.2HP</v>
      </c>
      <c r="I2124" s="5" t="str">
        <f>IFERROR(__xludf.DUMMYFUNCTION("""COMPUTED_VALUE"""),"ZOZC11M4")</f>
        <v>ZOZC11M4</v>
      </c>
      <c r="J2124" s="5"/>
      <c r="K2124" s="5">
        <f>IFERROR(__xludf.DUMMYFUNCTION("""COMPUTED_VALUE"""),0.5)</f>
        <v>0.5</v>
      </c>
      <c r="L2124" s="5" t="str">
        <f>IFERROR(__xludf.DUMMYFUNCTION("""COMPUTED_VALUE"""),"Loại biên")</f>
        <v>Loại biên</v>
      </c>
    </row>
    <row r="2125">
      <c r="A2125" s="5" t="str">
        <f>IFERROR(__xludf.DUMMYFUNCTION("""COMPUTED_VALUE"""),"XL1-MPC-033")</f>
        <v>XL1-MPC-033</v>
      </c>
      <c r="B2125" s="3" t="str">
        <f>IFERROR(__xludf.DUMMYFUNCTION("""COMPUTED_VALUE"""),"Máy phát cỏ 4 thì")</f>
        <v>Máy phát cỏ 4 thì</v>
      </c>
      <c r="C2125" s="5" t="str">
        <f>IFERROR(__xludf.DUMMYFUNCTION("""COMPUTED_VALUE"""),"Loại biên")</f>
        <v>Loại biên</v>
      </c>
      <c r="D2125" s="5" t="str">
        <f>IFERROR(__xludf.DUMMYFUNCTION("""COMPUTED_VALUE"""),"HINOTA")</f>
        <v>HINOTA</v>
      </c>
      <c r="E2125" s="5" t="str">
        <f>IFERROR(__xludf.DUMMYFUNCTION("""COMPUTED_VALUE"""),"Nhật Bản")</f>
        <v>Nhật Bản</v>
      </c>
      <c r="F2125" s="5"/>
      <c r="G2125" s="5" t="str">
        <f>IFERROR(__xludf.DUMMYFUNCTION("""COMPUTED_VALUE"""),"CG435")</f>
        <v>CG435</v>
      </c>
      <c r="H2125" s="5" t="str">
        <f>IFERROR(__xludf.DUMMYFUNCTION("""COMPUTED_VALUE"""),"1.2HP")</f>
        <v>1.2HP</v>
      </c>
      <c r="I2125" s="5"/>
      <c r="J2125" s="5"/>
      <c r="K2125" s="5">
        <f>IFERROR(__xludf.DUMMYFUNCTION("""COMPUTED_VALUE"""),0.5)</f>
        <v>0.5</v>
      </c>
      <c r="L2125" s="5" t="str">
        <f>IFERROR(__xludf.DUMMYFUNCTION("""COMPUTED_VALUE"""),"Loại biên")</f>
        <v>Loại biên</v>
      </c>
    </row>
    <row r="2126">
      <c r="A2126" s="5" t="str">
        <f>IFERROR(__xludf.DUMMYFUNCTION("""COMPUTED_VALUE"""),"XL1-MPC-034")</f>
        <v>XL1-MPC-034</v>
      </c>
      <c r="B2126" s="3" t="str">
        <f>IFERROR(__xludf.DUMMYFUNCTION("""COMPUTED_VALUE"""),"Máy phát cỏ 4 thì")</f>
        <v>Máy phát cỏ 4 thì</v>
      </c>
      <c r="C2126" s="5" t="str">
        <f>IFERROR(__xludf.DUMMYFUNCTION("""COMPUTED_VALUE"""),"Loại biên")</f>
        <v>Loại biên</v>
      </c>
      <c r="D2126" s="5" t="str">
        <f>IFERROR(__xludf.DUMMYFUNCTION("""COMPUTED_VALUE"""),"HINOTA")</f>
        <v>HINOTA</v>
      </c>
      <c r="E2126" s="5" t="str">
        <f>IFERROR(__xludf.DUMMYFUNCTION("""COMPUTED_VALUE"""),"Nhật Bản")</f>
        <v>Nhật Bản</v>
      </c>
      <c r="F2126" s="5"/>
      <c r="G2126" s="5" t="str">
        <f>IFERROR(__xludf.DUMMYFUNCTION("""COMPUTED_VALUE"""),"CG435")</f>
        <v>CG435</v>
      </c>
      <c r="H2126" s="5" t="str">
        <f>IFERROR(__xludf.DUMMYFUNCTION("""COMPUTED_VALUE"""),"1.2HP")</f>
        <v>1.2HP</v>
      </c>
      <c r="I2126" s="5"/>
      <c r="J2126" s="5"/>
      <c r="K2126" s="5">
        <f>IFERROR(__xludf.DUMMYFUNCTION("""COMPUTED_VALUE"""),0.5)</f>
        <v>0.5</v>
      </c>
      <c r="L2126" s="5" t="str">
        <f>IFERROR(__xludf.DUMMYFUNCTION("""COMPUTED_VALUE"""),"Loại biên")</f>
        <v>Loại biên</v>
      </c>
    </row>
    <row r="2127">
      <c r="A2127" s="5" t="str">
        <f>IFERROR(__xludf.DUMMYFUNCTION("""COMPUTED_VALUE"""),"XL1-MPC-035")</f>
        <v>XL1-MPC-035</v>
      </c>
      <c r="B2127" s="3" t="str">
        <f>IFERROR(__xludf.DUMMYFUNCTION("""COMPUTED_VALUE"""),"Máy phát cỏ 4 thì")</f>
        <v>Máy phát cỏ 4 thì</v>
      </c>
      <c r="C2127" s="5" t="str">
        <f>IFERROR(__xludf.DUMMYFUNCTION("""COMPUTED_VALUE"""),"Loại biên")</f>
        <v>Loại biên</v>
      </c>
      <c r="D2127" s="5" t="str">
        <f>IFERROR(__xludf.DUMMYFUNCTION("""COMPUTED_VALUE"""),"HINOTA")</f>
        <v>HINOTA</v>
      </c>
      <c r="E2127" s="5" t="str">
        <f>IFERROR(__xludf.DUMMYFUNCTION("""COMPUTED_VALUE"""),"Nhật Bản")</f>
        <v>Nhật Bản</v>
      </c>
      <c r="F2127" s="5"/>
      <c r="G2127" s="5" t="str">
        <f>IFERROR(__xludf.DUMMYFUNCTION("""COMPUTED_VALUE"""),"CG435")</f>
        <v>CG435</v>
      </c>
      <c r="H2127" s="5" t="str">
        <f>IFERROR(__xludf.DUMMYFUNCTION("""COMPUTED_VALUE"""),"1.2HP")</f>
        <v>1.2HP</v>
      </c>
      <c r="I2127" s="5"/>
      <c r="J2127" s="5"/>
      <c r="K2127" s="5">
        <f>IFERROR(__xludf.DUMMYFUNCTION("""COMPUTED_VALUE"""),0.5)</f>
        <v>0.5</v>
      </c>
      <c r="L2127" s="5" t="str">
        <f>IFERROR(__xludf.DUMMYFUNCTION("""COMPUTED_VALUE"""),"Loại biên")</f>
        <v>Loại biên</v>
      </c>
    </row>
    <row r="2128">
      <c r="A2128" s="5" t="str">
        <f>IFERROR(__xludf.DUMMYFUNCTION("""COMPUTED_VALUE"""),"XL1-MPC-036")</f>
        <v>XL1-MPC-036</v>
      </c>
      <c r="B2128" s="3" t="str">
        <f>IFERROR(__xludf.DUMMYFUNCTION("""COMPUTED_VALUE"""),"Máy phát cỏ 4 thì")</f>
        <v>Máy phát cỏ 4 thì</v>
      </c>
      <c r="C2128" s="5" t="str">
        <f>IFERROR(__xludf.DUMMYFUNCTION("""COMPUTED_VALUE"""),"Loại biên")</f>
        <v>Loại biên</v>
      </c>
      <c r="D2128" s="5" t="str">
        <f>IFERROR(__xludf.DUMMYFUNCTION("""COMPUTED_VALUE"""),"HONDA")</f>
        <v>HONDA</v>
      </c>
      <c r="E2128" s="5" t="str">
        <f>IFERROR(__xludf.DUMMYFUNCTION("""COMPUTED_VALUE"""),"Nhật Bản")</f>
        <v>Nhật Bản</v>
      </c>
      <c r="F2128" s="5"/>
      <c r="G2128" s="5" t="str">
        <f>IFERROR(__xludf.DUMMYFUNCTION("""COMPUTED_VALUE"""),"GX35")</f>
        <v>GX35</v>
      </c>
      <c r="H2128" s="5" t="str">
        <f>IFERROR(__xludf.DUMMYFUNCTION("""COMPUTED_VALUE"""),"1.6HP")</f>
        <v>1.6HP</v>
      </c>
      <c r="I2128" s="5"/>
      <c r="J2128" s="5" t="str">
        <f>IFERROR(__xludf.DUMMYFUNCTION("""COMPUTED_VALUE"""),"GCAMT-7646514")</f>
        <v>GCAMT-7646514</v>
      </c>
      <c r="K2128" s="5">
        <f>IFERROR(__xludf.DUMMYFUNCTION("""COMPUTED_VALUE"""),0.5)</f>
        <v>0.5</v>
      </c>
      <c r="L2128" s="5" t="str">
        <f>IFERROR(__xludf.DUMMYFUNCTION("""COMPUTED_VALUE"""),"Loại biên")</f>
        <v>Loại biên</v>
      </c>
    </row>
    <row r="2129">
      <c r="A2129" s="5" t="str">
        <f>IFERROR(__xludf.DUMMYFUNCTION("""COMPUTED_VALUE"""),"XL1-MPC-037")</f>
        <v>XL1-MPC-037</v>
      </c>
      <c r="B2129" s="3" t="str">
        <f>IFERROR(__xludf.DUMMYFUNCTION("""COMPUTED_VALUE"""),"Máy phát cỏ 4 thì")</f>
        <v>Máy phát cỏ 4 thì</v>
      </c>
      <c r="C2129" s="5" t="str">
        <f>IFERROR(__xludf.DUMMYFUNCTION("""COMPUTED_VALUE"""),"Loại biên")</f>
        <v>Loại biên</v>
      </c>
      <c r="D2129" s="5" t="str">
        <f>IFERROR(__xludf.DUMMYFUNCTION("""COMPUTED_VALUE"""),"HONDA")</f>
        <v>HONDA</v>
      </c>
      <c r="E2129" s="5" t="str">
        <f>IFERROR(__xludf.DUMMYFUNCTION("""COMPUTED_VALUE"""),"Nhật Bản")</f>
        <v>Nhật Bản</v>
      </c>
      <c r="F2129" s="5"/>
      <c r="G2129" s="5" t="str">
        <f>IFERROR(__xludf.DUMMYFUNCTION("""COMPUTED_VALUE"""),"GX35")</f>
        <v>GX35</v>
      </c>
      <c r="H2129" s="5" t="str">
        <f>IFERROR(__xludf.DUMMYFUNCTION("""COMPUTED_VALUE"""),"1.6HP")</f>
        <v>1.6HP</v>
      </c>
      <c r="I2129" s="5"/>
      <c r="J2129" s="5" t="str">
        <f>IFERROR(__xludf.DUMMYFUNCTION("""COMPUTED_VALUE"""),"GCAMT-7589271")</f>
        <v>GCAMT-7589271</v>
      </c>
      <c r="K2129" s="5">
        <f>IFERROR(__xludf.DUMMYFUNCTION("""COMPUTED_VALUE"""),0.5)</f>
        <v>0.5</v>
      </c>
      <c r="L2129" s="5" t="str">
        <f>IFERROR(__xludf.DUMMYFUNCTION("""COMPUTED_VALUE"""),"Loại biên")</f>
        <v>Loại biên</v>
      </c>
    </row>
    <row r="2130">
      <c r="A2130" s="5" t="str">
        <f>IFERROR(__xludf.DUMMYFUNCTION("""COMPUTED_VALUE"""),"XL1-MPC-038")</f>
        <v>XL1-MPC-038</v>
      </c>
      <c r="B2130" s="3" t="str">
        <f>IFERROR(__xludf.DUMMYFUNCTION("""COMPUTED_VALUE"""),"Máy phát cỏ 4 thì")</f>
        <v>Máy phát cỏ 4 thì</v>
      </c>
      <c r="C2130" s="5" t="str">
        <f>IFERROR(__xludf.DUMMYFUNCTION("""COMPUTED_VALUE"""),"Loại biên")</f>
        <v>Loại biên</v>
      </c>
      <c r="D2130" s="5" t="str">
        <f>IFERROR(__xludf.DUMMYFUNCTION("""COMPUTED_VALUE"""),"HONDA")</f>
        <v>HONDA</v>
      </c>
      <c r="E2130" s="5" t="str">
        <f>IFERROR(__xludf.DUMMYFUNCTION("""COMPUTED_VALUE"""),"Nhật Bản")</f>
        <v>Nhật Bản</v>
      </c>
      <c r="F2130" s="5"/>
      <c r="G2130" s="5" t="str">
        <f>IFERROR(__xludf.DUMMYFUNCTION("""COMPUTED_VALUE"""),"GX35")</f>
        <v>GX35</v>
      </c>
      <c r="H2130" s="5" t="str">
        <f>IFERROR(__xludf.DUMMYFUNCTION("""COMPUTED_VALUE"""),"1.6HP")</f>
        <v>1.6HP</v>
      </c>
      <c r="I2130" s="5"/>
      <c r="J2130" s="5" t="str">
        <f>IFERROR(__xludf.DUMMYFUNCTION("""COMPUTED_VALUE"""),"GCAMT-7589275")</f>
        <v>GCAMT-7589275</v>
      </c>
      <c r="K2130" s="5">
        <f>IFERROR(__xludf.DUMMYFUNCTION("""COMPUTED_VALUE"""),0.5)</f>
        <v>0.5</v>
      </c>
      <c r="L2130" s="5" t="str">
        <f>IFERROR(__xludf.DUMMYFUNCTION("""COMPUTED_VALUE"""),"Loại biên")</f>
        <v>Loại biên</v>
      </c>
    </row>
    <row r="2131">
      <c r="A2131" s="5" t="str">
        <f>IFERROR(__xludf.DUMMYFUNCTION("""COMPUTED_VALUE"""),"XL1-MPC-039")</f>
        <v>XL1-MPC-039</v>
      </c>
      <c r="B2131" s="3" t="str">
        <f>IFERROR(__xludf.DUMMYFUNCTION("""COMPUTED_VALUE"""),"Máy phát cỏ 4 thì")</f>
        <v>Máy phát cỏ 4 thì</v>
      </c>
      <c r="C2131" s="5" t="str">
        <f>IFERROR(__xludf.DUMMYFUNCTION("""COMPUTED_VALUE"""),"Loại biên")</f>
        <v>Loại biên</v>
      </c>
      <c r="D2131" s="5" t="str">
        <f>IFERROR(__xludf.DUMMYFUNCTION("""COMPUTED_VALUE"""),"HONDA")</f>
        <v>HONDA</v>
      </c>
      <c r="E2131" s="5" t="str">
        <f>IFERROR(__xludf.DUMMYFUNCTION("""COMPUTED_VALUE"""),"Nhật Bản")</f>
        <v>Nhật Bản</v>
      </c>
      <c r="F2131" s="5"/>
      <c r="G2131" s="5" t="str">
        <f>IFERROR(__xludf.DUMMYFUNCTION("""COMPUTED_VALUE"""),"GX35")</f>
        <v>GX35</v>
      </c>
      <c r="H2131" s="5" t="str">
        <f>IFERROR(__xludf.DUMMYFUNCTION("""COMPUTED_VALUE"""),"1.6HP")</f>
        <v>1.6HP</v>
      </c>
      <c r="I2131" s="5"/>
      <c r="J2131" s="5" t="str">
        <f>IFERROR(__xludf.DUMMYFUNCTION("""COMPUTED_VALUE"""),"GCAMT-7589282")</f>
        <v>GCAMT-7589282</v>
      </c>
      <c r="K2131" s="5">
        <f>IFERROR(__xludf.DUMMYFUNCTION("""COMPUTED_VALUE"""),0.5)</f>
        <v>0.5</v>
      </c>
      <c r="L2131" s="5" t="str">
        <f>IFERROR(__xludf.DUMMYFUNCTION("""COMPUTED_VALUE"""),"Loại biên")</f>
        <v>Loại biên</v>
      </c>
    </row>
    <row r="2132">
      <c r="A2132" s="5" t="str">
        <f>IFERROR(__xludf.DUMMYFUNCTION("""COMPUTED_VALUE"""),"XL1-MPC-040")</f>
        <v>XL1-MPC-040</v>
      </c>
      <c r="B2132" s="3" t="str">
        <f>IFERROR(__xludf.DUMMYFUNCTION("""COMPUTED_VALUE"""),"Máy phát cỏ 4 thì")</f>
        <v>Máy phát cỏ 4 thì</v>
      </c>
      <c r="C2132" s="5" t="str">
        <f>IFERROR(__xludf.DUMMYFUNCTION("""COMPUTED_VALUE"""),"Loại biên")</f>
        <v>Loại biên</v>
      </c>
      <c r="D2132" s="5" t="str">
        <f>IFERROR(__xludf.DUMMYFUNCTION("""COMPUTED_VALUE"""),"HONDA")</f>
        <v>HONDA</v>
      </c>
      <c r="E2132" s="5" t="str">
        <f>IFERROR(__xludf.DUMMYFUNCTION("""COMPUTED_VALUE"""),"Nhật Bản")</f>
        <v>Nhật Bản</v>
      </c>
      <c r="F2132" s="5"/>
      <c r="G2132" s="5" t="str">
        <f>IFERROR(__xludf.DUMMYFUNCTION("""COMPUTED_VALUE"""),"GX35")</f>
        <v>GX35</v>
      </c>
      <c r="H2132" s="5" t="str">
        <f>IFERROR(__xludf.DUMMYFUNCTION("""COMPUTED_VALUE"""),"1.6HP")</f>
        <v>1.6HP</v>
      </c>
      <c r="I2132" s="5"/>
      <c r="J2132" s="5" t="str">
        <f>IFERROR(__xludf.DUMMYFUNCTION("""COMPUTED_VALUE"""),"GCAMT-7635278")</f>
        <v>GCAMT-7635278</v>
      </c>
      <c r="K2132" s="5">
        <f>IFERROR(__xludf.DUMMYFUNCTION("""COMPUTED_VALUE"""),0.5)</f>
        <v>0.5</v>
      </c>
      <c r="L2132" s="5" t="str">
        <f>IFERROR(__xludf.DUMMYFUNCTION("""COMPUTED_VALUE"""),"Loại biên")</f>
        <v>Loại biên</v>
      </c>
    </row>
    <row r="2133">
      <c r="A2133" s="5" t="str">
        <f>IFERROR(__xludf.DUMMYFUNCTION("""COMPUTED_VALUE"""),"XL1-MPC-041")</f>
        <v>XL1-MPC-041</v>
      </c>
      <c r="B2133" s="3" t="str">
        <f>IFERROR(__xludf.DUMMYFUNCTION("""COMPUTED_VALUE"""),"Máy phát cỏ 4 thì")</f>
        <v>Máy phát cỏ 4 thì</v>
      </c>
      <c r="C2133" s="5" t="str">
        <f>IFERROR(__xludf.DUMMYFUNCTION("""COMPUTED_VALUE"""),"Loại biên")</f>
        <v>Loại biên</v>
      </c>
      <c r="D2133" s="5" t="str">
        <f>IFERROR(__xludf.DUMMYFUNCTION("""COMPUTED_VALUE"""),"HONDA")</f>
        <v>HONDA</v>
      </c>
      <c r="E2133" s="5" t="str">
        <f>IFERROR(__xludf.DUMMYFUNCTION("""COMPUTED_VALUE"""),"Nhật Bản")</f>
        <v>Nhật Bản</v>
      </c>
      <c r="F2133" s="5"/>
      <c r="G2133" s="5" t="str">
        <f>IFERROR(__xludf.DUMMYFUNCTION("""COMPUTED_VALUE"""),"GX35")</f>
        <v>GX35</v>
      </c>
      <c r="H2133" s="5" t="str">
        <f>IFERROR(__xludf.DUMMYFUNCTION("""COMPUTED_VALUE"""),"1.6HP")</f>
        <v>1.6HP</v>
      </c>
      <c r="I2133" s="5"/>
      <c r="J2133" s="5" t="str">
        <f>IFERROR(__xludf.DUMMYFUNCTION("""COMPUTED_VALUE"""),"GCAMT-7633997")</f>
        <v>GCAMT-7633997</v>
      </c>
      <c r="K2133" s="5">
        <f>IFERROR(__xludf.DUMMYFUNCTION("""COMPUTED_VALUE"""),0.5)</f>
        <v>0.5</v>
      </c>
      <c r="L2133" s="5" t="str">
        <f>IFERROR(__xludf.DUMMYFUNCTION("""COMPUTED_VALUE"""),"Loại biên")</f>
        <v>Loại biên</v>
      </c>
    </row>
    <row r="2134">
      <c r="A2134" s="5" t="str">
        <f>IFERROR(__xludf.DUMMYFUNCTION("""COMPUTED_VALUE"""),"XL1-MPC-042")</f>
        <v>XL1-MPC-042</v>
      </c>
      <c r="B2134" s="3" t="str">
        <f>IFERROR(__xludf.DUMMYFUNCTION("""COMPUTED_VALUE"""),"Máy phát cỏ 4 thì")</f>
        <v>Máy phát cỏ 4 thì</v>
      </c>
      <c r="C2134" s="5" t="str">
        <f>IFERROR(__xludf.DUMMYFUNCTION("""COMPUTED_VALUE"""),"Loại biên")</f>
        <v>Loại biên</v>
      </c>
      <c r="D2134" s="5" t="str">
        <f>IFERROR(__xludf.DUMMYFUNCTION("""COMPUTED_VALUE"""),"HINOTA")</f>
        <v>HINOTA</v>
      </c>
      <c r="E2134" s="5" t="str">
        <f>IFERROR(__xludf.DUMMYFUNCTION("""COMPUTED_VALUE"""),"Nhật Bản")</f>
        <v>Nhật Bản</v>
      </c>
      <c r="F2134" s="5"/>
      <c r="G2134" s="5" t="str">
        <f>IFERROR(__xludf.DUMMYFUNCTION("""COMPUTED_VALUE"""),"CG435")</f>
        <v>CG435</v>
      </c>
      <c r="H2134" s="5" t="str">
        <f>IFERROR(__xludf.DUMMYFUNCTION("""COMPUTED_VALUE"""),"1.2HP")</f>
        <v>1.2HP</v>
      </c>
      <c r="I2134" s="5"/>
      <c r="J2134" s="5"/>
      <c r="K2134" s="5">
        <f>IFERROR(__xludf.DUMMYFUNCTION("""COMPUTED_VALUE"""),0.5)</f>
        <v>0.5</v>
      </c>
      <c r="L2134" s="5" t="str">
        <f>IFERROR(__xludf.DUMMYFUNCTION("""COMPUTED_VALUE"""),"Loại biên")</f>
        <v>Loại biên</v>
      </c>
    </row>
    <row r="2135">
      <c r="A2135" s="5" t="str">
        <f>IFERROR(__xludf.DUMMYFUNCTION("""COMPUTED_VALUE"""),"XL1-MPC-043")</f>
        <v>XL1-MPC-043</v>
      </c>
      <c r="B2135" s="3" t="str">
        <f>IFERROR(__xludf.DUMMYFUNCTION("""COMPUTED_VALUE"""),"Máy phát cỏ 4 thì")</f>
        <v>Máy phát cỏ 4 thì</v>
      </c>
      <c r="C2135" s="5" t="str">
        <f>IFERROR(__xludf.DUMMYFUNCTION("""COMPUTED_VALUE"""),"Loại biên")</f>
        <v>Loại biên</v>
      </c>
      <c r="D2135" s="5" t="str">
        <f>IFERROR(__xludf.DUMMYFUNCTION("""COMPUTED_VALUE"""),"HINOTA")</f>
        <v>HINOTA</v>
      </c>
      <c r="E2135" s="5" t="str">
        <f>IFERROR(__xludf.DUMMYFUNCTION("""COMPUTED_VALUE"""),"Nhật Bản")</f>
        <v>Nhật Bản</v>
      </c>
      <c r="F2135" s="5"/>
      <c r="G2135" s="5" t="str">
        <f>IFERROR(__xludf.DUMMYFUNCTION("""COMPUTED_VALUE"""),"CG435")</f>
        <v>CG435</v>
      </c>
      <c r="H2135" s="5" t="str">
        <f>IFERROR(__xludf.DUMMYFUNCTION("""COMPUTED_VALUE"""),"1.2HP")</f>
        <v>1.2HP</v>
      </c>
      <c r="I2135" s="5"/>
      <c r="J2135" s="5"/>
      <c r="K2135" s="5">
        <f>IFERROR(__xludf.DUMMYFUNCTION("""COMPUTED_VALUE"""),0.5)</f>
        <v>0.5</v>
      </c>
      <c r="L2135" s="5" t="str">
        <f>IFERROR(__xludf.DUMMYFUNCTION("""COMPUTED_VALUE"""),"Loại biên")</f>
        <v>Loại biên</v>
      </c>
    </row>
    <row r="2136">
      <c r="A2136" s="5" t="str">
        <f>IFERROR(__xludf.DUMMYFUNCTION("""COMPUTED_VALUE"""),"XL1-MPC-044")</f>
        <v>XL1-MPC-044</v>
      </c>
      <c r="B2136" s="3" t="str">
        <f>IFERROR(__xludf.DUMMYFUNCTION("""COMPUTED_VALUE"""),"Máy phát cỏ 4 thì")</f>
        <v>Máy phát cỏ 4 thì</v>
      </c>
      <c r="C2136" s="5" t="str">
        <f>IFERROR(__xludf.DUMMYFUNCTION("""COMPUTED_VALUE"""),"Loại biên")</f>
        <v>Loại biên</v>
      </c>
      <c r="D2136" s="5" t="str">
        <f>IFERROR(__xludf.DUMMYFUNCTION("""COMPUTED_VALUE"""),"HINOTA")</f>
        <v>HINOTA</v>
      </c>
      <c r="E2136" s="5" t="str">
        <f>IFERROR(__xludf.DUMMYFUNCTION("""COMPUTED_VALUE"""),"Nhật Bản")</f>
        <v>Nhật Bản</v>
      </c>
      <c r="F2136" s="5"/>
      <c r="G2136" s="5" t="str">
        <f>IFERROR(__xludf.DUMMYFUNCTION("""COMPUTED_VALUE"""),"CG435")</f>
        <v>CG435</v>
      </c>
      <c r="H2136" s="5" t="str">
        <f>IFERROR(__xludf.DUMMYFUNCTION("""COMPUTED_VALUE"""),"1.2HP")</f>
        <v>1.2HP</v>
      </c>
      <c r="I2136" s="5"/>
      <c r="J2136" s="5"/>
      <c r="K2136" s="5">
        <f>IFERROR(__xludf.DUMMYFUNCTION("""COMPUTED_VALUE"""),0.5)</f>
        <v>0.5</v>
      </c>
      <c r="L2136" s="5" t="str">
        <f>IFERROR(__xludf.DUMMYFUNCTION("""COMPUTED_VALUE"""),"Loại biên")</f>
        <v>Loại biên</v>
      </c>
    </row>
    <row r="2137">
      <c r="A2137" s="5" t="str">
        <f>IFERROR(__xludf.DUMMYFUNCTION("""COMPUTED_VALUE"""),"XD1-MPC-001")</f>
        <v>XD1-MPC-001</v>
      </c>
      <c r="B2137" s="3" t="str">
        <f>IFERROR(__xludf.DUMMYFUNCTION("""COMPUTED_VALUE"""),"Máy phát cỏ 4 thì")</f>
        <v>Máy phát cỏ 4 thì</v>
      </c>
      <c r="C2137" s="5" t="str">
        <f>IFERROR(__xludf.DUMMYFUNCTION("""COMPUTED_VALUE"""),"Loại biên")</f>
        <v>Loại biên</v>
      </c>
      <c r="D2137" s="5" t="str">
        <f>IFERROR(__xludf.DUMMYFUNCTION("""COMPUTED_VALUE"""),"HINOTA")</f>
        <v>HINOTA</v>
      </c>
      <c r="E2137" s="5" t="str">
        <f>IFERROR(__xludf.DUMMYFUNCTION("""COMPUTED_VALUE"""),"Trung Quốc")</f>
        <v>Trung Quốc</v>
      </c>
      <c r="F2137" s="5"/>
      <c r="G2137" s="5" t="str">
        <f>IFERROR(__xludf.DUMMYFUNCTION("""COMPUTED_VALUE"""),"CG435")</f>
        <v>CG435</v>
      </c>
      <c r="H2137" s="5" t="str">
        <f>IFERROR(__xludf.DUMMYFUNCTION("""COMPUTED_VALUE"""),"1.2HP")</f>
        <v>1.2HP</v>
      </c>
      <c r="I2137" s="5"/>
      <c r="J2137" s="5"/>
      <c r="K2137" s="5">
        <f>IFERROR(__xludf.DUMMYFUNCTION("""COMPUTED_VALUE"""),0.5)</f>
        <v>0.5</v>
      </c>
      <c r="L2137" s="5" t="str">
        <f>IFERROR(__xludf.DUMMYFUNCTION("""COMPUTED_VALUE"""),"Loại biên")</f>
        <v>Loại biên</v>
      </c>
    </row>
    <row r="2138">
      <c r="A2138" s="5" t="str">
        <f>IFERROR(__xludf.DUMMYFUNCTION("""COMPUTED_VALUE"""),"XD1-MPC-002")</f>
        <v>XD1-MPC-002</v>
      </c>
      <c r="B2138" s="3" t="str">
        <f>IFERROR(__xludf.DUMMYFUNCTION("""COMPUTED_VALUE"""),"Máy phát cỏ 4 thì")</f>
        <v>Máy phát cỏ 4 thì</v>
      </c>
      <c r="C2138" s="5" t="str">
        <f>IFERROR(__xludf.DUMMYFUNCTION("""COMPUTED_VALUE"""),"Loại biên")</f>
        <v>Loại biên</v>
      </c>
      <c r="D2138" s="5" t="str">
        <f>IFERROR(__xludf.DUMMYFUNCTION("""COMPUTED_VALUE"""),"HINOTA")</f>
        <v>HINOTA</v>
      </c>
      <c r="E2138" s="5" t="str">
        <f>IFERROR(__xludf.DUMMYFUNCTION("""COMPUTED_VALUE"""),"Trung Quốc")</f>
        <v>Trung Quốc</v>
      </c>
      <c r="F2138" s="5"/>
      <c r="G2138" s="5" t="str">
        <f>IFERROR(__xludf.DUMMYFUNCTION("""COMPUTED_VALUE"""),"CG435")</f>
        <v>CG435</v>
      </c>
      <c r="H2138" s="5" t="str">
        <f>IFERROR(__xludf.DUMMYFUNCTION("""COMPUTED_VALUE"""),"1.2HP")</f>
        <v>1.2HP</v>
      </c>
      <c r="I2138" s="5"/>
      <c r="J2138" s="5"/>
      <c r="K2138" s="5">
        <f>IFERROR(__xludf.DUMMYFUNCTION("""COMPUTED_VALUE"""),0.5)</f>
        <v>0.5</v>
      </c>
      <c r="L2138" s="5" t="str">
        <f>IFERROR(__xludf.DUMMYFUNCTION("""COMPUTED_VALUE"""),"Loại biên")</f>
        <v>Loại biên</v>
      </c>
    </row>
    <row r="2139">
      <c r="A2139" s="5" t="str">
        <f>IFERROR(__xludf.DUMMYFUNCTION("""COMPUTED_VALUE"""),"XD1-MPC-003")</f>
        <v>XD1-MPC-003</v>
      </c>
      <c r="B2139" s="3" t="str">
        <f>IFERROR(__xludf.DUMMYFUNCTION("""COMPUTED_VALUE"""),"Máy phát cỏ 4 thì")</f>
        <v>Máy phát cỏ 4 thì</v>
      </c>
      <c r="C2139" s="5" t="str">
        <f>IFERROR(__xludf.DUMMYFUNCTION("""COMPUTED_VALUE"""),"Loại biên")</f>
        <v>Loại biên</v>
      </c>
      <c r="D2139" s="5" t="str">
        <f>IFERROR(__xludf.DUMMYFUNCTION("""COMPUTED_VALUE"""),"HINOTA")</f>
        <v>HINOTA</v>
      </c>
      <c r="E2139" s="5" t="str">
        <f>IFERROR(__xludf.DUMMYFUNCTION("""COMPUTED_VALUE"""),"Trung Quốc")</f>
        <v>Trung Quốc</v>
      </c>
      <c r="F2139" s="5"/>
      <c r="G2139" s="5" t="str">
        <f>IFERROR(__xludf.DUMMYFUNCTION("""COMPUTED_VALUE"""),"CG435")</f>
        <v>CG435</v>
      </c>
      <c r="H2139" s="5" t="str">
        <f>IFERROR(__xludf.DUMMYFUNCTION("""COMPUTED_VALUE"""),"1.2HP")</f>
        <v>1.2HP</v>
      </c>
      <c r="I2139" s="5"/>
      <c r="J2139" s="5"/>
      <c r="K2139" s="5">
        <f>IFERROR(__xludf.DUMMYFUNCTION("""COMPUTED_VALUE"""),0.5)</f>
        <v>0.5</v>
      </c>
      <c r="L2139" s="5" t="str">
        <f>IFERROR(__xludf.DUMMYFUNCTION("""COMPUTED_VALUE"""),"Loại biên")</f>
        <v>Loại biên</v>
      </c>
    </row>
    <row r="2140">
      <c r="A2140" s="5" t="str">
        <f>IFERROR(__xludf.DUMMYFUNCTION("""COMPUTED_VALUE"""),"XD1-MPC-004")</f>
        <v>XD1-MPC-004</v>
      </c>
      <c r="B2140" s="3" t="str">
        <f>IFERROR(__xludf.DUMMYFUNCTION("""COMPUTED_VALUE"""),"Máy phát cỏ 4 thì")</f>
        <v>Máy phát cỏ 4 thì</v>
      </c>
      <c r="C2140" s="5" t="str">
        <f>IFERROR(__xludf.DUMMYFUNCTION("""COMPUTED_VALUE"""),"Loại biên")</f>
        <v>Loại biên</v>
      </c>
      <c r="D2140" s="5" t="str">
        <f>IFERROR(__xludf.DUMMYFUNCTION("""COMPUTED_VALUE"""),"HINOTA")</f>
        <v>HINOTA</v>
      </c>
      <c r="E2140" s="5" t="str">
        <f>IFERROR(__xludf.DUMMYFUNCTION("""COMPUTED_VALUE"""),"Trung Quốc")</f>
        <v>Trung Quốc</v>
      </c>
      <c r="F2140" s="5"/>
      <c r="G2140" s="5" t="str">
        <f>IFERROR(__xludf.DUMMYFUNCTION("""COMPUTED_VALUE"""),"CG435")</f>
        <v>CG435</v>
      </c>
      <c r="H2140" s="5" t="str">
        <f>IFERROR(__xludf.DUMMYFUNCTION("""COMPUTED_VALUE"""),"1.2HP")</f>
        <v>1.2HP</v>
      </c>
      <c r="I2140" s="5"/>
      <c r="J2140" s="5"/>
      <c r="K2140" s="5">
        <f>IFERROR(__xludf.DUMMYFUNCTION("""COMPUTED_VALUE"""),0.5)</f>
        <v>0.5</v>
      </c>
      <c r="L2140" s="5" t="str">
        <f>IFERROR(__xludf.DUMMYFUNCTION("""COMPUTED_VALUE"""),"Loại biên")</f>
        <v>Loại biên</v>
      </c>
    </row>
    <row r="2141">
      <c r="A2141" s="5" t="str">
        <f>IFERROR(__xludf.DUMMYFUNCTION("""COMPUTED_VALUE"""),"XD1-MPC-005")</f>
        <v>XD1-MPC-005</v>
      </c>
      <c r="B2141" s="3" t="str">
        <f>IFERROR(__xludf.DUMMYFUNCTION("""COMPUTED_VALUE"""),"Máy phát cỏ 4 thì")</f>
        <v>Máy phát cỏ 4 thì</v>
      </c>
      <c r="C2141" s="5" t="str">
        <f>IFERROR(__xludf.DUMMYFUNCTION("""COMPUTED_VALUE"""),"Loại biên")</f>
        <v>Loại biên</v>
      </c>
      <c r="D2141" s="5" t="str">
        <f>IFERROR(__xludf.DUMMYFUNCTION("""COMPUTED_VALUE"""),"HINOTA")</f>
        <v>HINOTA</v>
      </c>
      <c r="E2141" s="5" t="str">
        <f>IFERROR(__xludf.DUMMYFUNCTION("""COMPUTED_VALUE"""),"Trung Quốc")</f>
        <v>Trung Quốc</v>
      </c>
      <c r="F2141" s="5"/>
      <c r="G2141" s="5" t="str">
        <f>IFERROR(__xludf.DUMMYFUNCTION("""COMPUTED_VALUE"""),"CG435")</f>
        <v>CG435</v>
      </c>
      <c r="H2141" s="5" t="str">
        <f>IFERROR(__xludf.DUMMYFUNCTION("""COMPUTED_VALUE"""),"1.2HP")</f>
        <v>1.2HP</v>
      </c>
      <c r="I2141" s="5"/>
      <c r="J2141" s="5"/>
      <c r="K2141" s="5">
        <f>IFERROR(__xludf.DUMMYFUNCTION("""COMPUTED_VALUE"""),0.5)</f>
        <v>0.5</v>
      </c>
      <c r="L2141" s="5" t="str">
        <f>IFERROR(__xludf.DUMMYFUNCTION("""COMPUTED_VALUE"""),"Loại biên")</f>
        <v>Loại biên</v>
      </c>
    </row>
    <row r="2142">
      <c r="A2142" s="5" t="str">
        <f>IFERROR(__xludf.DUMMYFUNCTION("""COMPUTED_VALUE"""),"XD1-MPC-011")</f>
        <v>XD1-MPC-011</v>
      </c>
      <c r="B2142" s="3" t="str">
        <f>IFERROR(__xludf.DUMMYFUNCTION("""COMPUTED_VALUE"""),"Máy phát cỏ 4 thì")</f>
        <v>Máy phát cỏ 4 thì</v>
      </c>
      <c r="C2142" s="5" t="str">
        <f>IFERROR(__xludf.DUMMYFUNCTION("""COMPUTED_VALUE"""),"Loại biên")</f>
        <v>Loại biên</v>
      </c>
      <c r="D2142" s="5" t="str">
        <f>IFERROR(__xludf.DUMMYFUNCTION("""COMPUTED_VALUE"""),"HINOTA")</f>
        <v>HINOTA</v>
      </c>
      <c r="E2142" s="5" t="str">
        <f>IFERROR(__xludf.DUMMYFUNCTION("""COMPUTED_VALUE"""),"Trung Quốc")</f>
        <v>Trung Quốc</v>
      </c>
      <c r="F2142" s="5"/>
      <c r="G2142" s="5" t="str">
        <f>IFERROR(__xludf.DUMMYFUNCTION("""COMPUTED_VALUE"""),"CG435")</f>
        <v>CG435</v>
      </c>
      <c r="H2142" s="5" t="str">
        <f>IFERROR(__xludf.DUMMYFUNCTION("""COMPUTED_VALUE"""),"1.2HP")</f>
        <v>1.2HP</v>
      </c>
      <c r="I2142" s="5"/>
      <c r="J2142" s="5"/>
      <c r="K2142" s="5">
        <f>IFERROR(__xludf.DUMMYFUNCTION("""COMPUTED_VALUE"""),0.5)</f>
        <v>0.5</v>
      </c>
      <c r="L2142" s="5" t="str">
        <f>IFERROR(__xludf.DUMMYFUNCTION("""COMPUTED_VALUE"""),"Loại biên")</f>
        <v>Loại biên</v>
      </c>
    </row>
    <row r="2143">
      <c r="A2143" s="5" t="str">
        <f>IFERROR(__xludf.DUMMYFUNCTION("""COMPUTED_VALUE"""),"XD1-MPC-017")</f>
        <v>XD1-MPC-017</v>
      </c>
      <c r="B2143" s="3" t="str">
        <f>IFERROR(__xludf.DUMMYFUNCTION("""COMPUTED_VALUE"""),"Máy phát cỏ 4 thì")</f>
        <v>Máy phát cỏ 4 thì</v>
      </c>
      <c r="C2143" s="5" t="str">
        <f>IFERROR(__xludf.DUMMYFUNCTION("""COMPUTED_VALUE"""),"Loại biên")</f>
        <v>Loại biên</v>
      </c>
      <c r="D2143" s="5" t="str">
        <f>IFERROR(__xludf.DUMMYFUNCTION("""COMPUTED_VALUE"""),"HONDA")</f>
        <v>HONDA</v>
      </c>
      <c r="E2143" s="5" t="str">
        <f>IFERROR(__xludf.DUMMYFUNCTION("""COMPUTED_VALUE"""),"Trung Quốc")</f>
        <v>Trung Quốc</v>
      </c>
      <c r="F2143" s="5"/>
      <c r="G2143" s="5" t="str">
        <f>IFERROR(__xludf.DUMMYFUNCTION("""COMPUTED_VALUE"""),"GX35")</f>
        <v>GX35</v>
      </c>
      <c r="H2143" s="5" t="str">
        <f>IFERROR(__xludf.DUMMYFUNCTION("""COMPUTED_VALUE"""),"1.6HP")</f>
        <v>1.6HP</v>
      </c>
      <c r="I2143" s="5" t="str">
        <f>IFERROR(__xludf.DUMMYFUNCTION("""COMPUTED_VALUE"""),"ZOZC1-1M-0511")</f>
        <v>ZOZC1-1M-0511</v>
      </c>
      <c r="J2143" s="5"/>
      <c r="K2143" s="5">
        <f>IFERROR(__xludf.DUMMYFUNCTION("""COMPUTED_VALUE"""),0.5)</f>
        <v>0.5</v>
      </c>
      <c r="L2143" s="5" t="str">
        <f>IFERROR(__xludf.DUMMYFUNCTION("""COMPUTED_VALUE"""),"Loại biên")</f>
        <v>Loại biên</v>
      </c>
    </row>
    <row r="2144">
      <c r="A2144" s="5" t="str">
        <f>IFERROR(__xludf.DUMMYFUNCTION("""COMPUTED_VALUE"""),"XD1-MPC-018")</f>
        <v>XD1-MPC-018</v>
      </c>
      <c r="B2144" s="3" t="str">
        <f>IFERROR(__xludf.DUMMYFUNCTION("""COMPUTED_VALUE"""),"Máy phát cỏ 4 thì")</f>
        <v>Máy phát cỏ 4 thì</v>
      </c>
      <c r="C2144" s="5" t="str">
        <f>IFERROR(__xludf.DUMMYFUNCTION("""COMPUTED_VALUE"""),"Loại biên")</f>
        <v>Loại biên</v>
      </c>
      <c r="D2144" s="5" t="str">
        <f>IFERROR(__xludf.DUMMYFUNCTION("""COMPUTED_VALUE"""),"HONDA")</f>
        <v>HONDA</v>
      </c>
      <c r="E2144" s="5" t="str">
        <f>IFERROR(__xludf.DUMMYFUNCTION("""COMPUTED_VALUE"""),"Trung Quốc")</f>
        <v>Trung Quốc</v>
      </c>
      <c r="F2144" s="5"/>
      <c r="G2144" s="5" t="str">
        <f>IFERROR(__xludf.DUMMYFUNCTION("""COMPUTED_VALUE"""),"GX35")</f>
        <v>GX35</v>
      </c>
      <c r="H2144" s="5" t="str">
        <f>IFERROR(__xludf.DUMMYFUNCTION("""COMPUTED_VALUE"""),"1.6HP")</f>
        <v>1.6HP</v>
      </c>
      <c r="I2144" s="5" t="str">
        <f>IFERROR(__xludf.DUMMYFUNCTION("""COMPUTED_VALUE"""),"ZOZC1-1M-0511")</f>
        <v>ZOZC1-1M-0511</v>
      </c>
      <c r="J2144" s="5"/>
      <c r="K2144" s="5">
        <f>IFERROR(__xludf.DUMMYFUNCTION("""COMPUTED_VALUE"""),0.5)</f>
        <v>0.5</v>
      </c>
      <c r="L2144" s="5" t="str">
        <f>IFERROR(__xludf.DUMMYFUNCTION("""COMPUTED_VALUE"""),"Loại biên")</f>
        <v>Loại biên</v>
      </c>
    </row>
    <row r="2145">
      <c r="A2145" s="5" t="str">
        <f>IFERROR(__xludf.DUMMYFUNCTION("""COMPUTED_VALUE"""),"XD1-MPC-019")</f>
        <v>XD1-MPC-019</v>
      </c>
      <c r="B2145" s="3" t="str">
        <f>IFERROR(__xludf.DUMMYFUNCTION("""COMPUTED_VALUE"""),"Máy phát cỏ 4 thì")</f>
        <v>Máy phát cỏ 4 thì</v>
      </c>
      <c r="C2145" s="5" t="str">
        <f>IFERROR(__xludf.DUMMYFUNCTION("""COMPUTED_VALUE"""),"Loại biên")</f>
        <v>Loại biên</v>
      </c>
      <c r="D2145" s="5" t="str">
        <f>IFERROR(__xludf.DUMMYFUNCTION("""COMPUTED_VALUE"""),"HONDA")</f>
        <v>HONDA</v>
      </c>
      <c r="E2145" s="5" t="str">
        <f>IFERROR(__xludf.DUMMYFUNCTION("""COMPUTED_VALUE"""),"Trung Quốc")</f>
        <v>Trung Quốc</v>
      </c>
      <c r="F2145" s="5"/>
      <c r="G2145" s="5" t="str">
        <f>IFERROR(__xludf.DUMMYFUNCTION("""COMPUTED_VALUE"""),"GX35")</f>
        <v>GX35</v>
      </c>
      <c r="H2145" s="5" t="str">
        <f>IFERROR(__xludf.DUMMYFUNCTION("""COMPUTED_VALUE"""),"1.6HP")</f>
        <v>1.6HP</v>
      </c>
      <c r="I2145" s="5" t="str">
        <f>IFERROR(__xludf.DUMMYFUNCTION("""COMPUTED_VALUE"""),"ZOZC1-1M-0511")</f>
        <v>ZOZC1-1M-0511</v>
      </c>
      <c r="J2145" s="5"/>
      <c r="K2145" s="5">
        <f>IFERROR(__xludf.DUMMYFUNCTION("""COMPUTED_VALUE"""),0.5)</f>
        <v>0.5</v>
      </c>
      <c r="L2145" s="5" t="str">
        <f>IFERROR(__xludf.DUMMYFUNCTION("""COMPUTED_VALUE"""),"Loại biên")</f>
        <v>Loại biên</v>
      </c>
    </row>
    <row r="2146">
      <c r="A2146" s="5" t="str">
        <f>IFERROR(__xludf.DUMMYFUNCTION("""COMPUTED_VALUE"""),"XD2-MPC-001")</f>
        <v>XD2-MPC-001</v>
      </c>
      <c r="B2146" s="3" t="str">
        <f>IFERROR(__xludf.DUMMYFUNCTION("""COMPUTED_VALUE"""),"Máy phát cỏ 4 thì")</f>
        <v>Máy phát cỏ 4 thì</v>
      </c>
      <c r="C2146" s="5" t="str">
        <f>IFERROR(__xludf.DUMMYFUNCTION("""COMPUTED_VALUE"""),"Loại biên")</f>
        <v>Loại biên</v>
      </c>
      <c r="D2146" s="5" t="str">
        <f>IFERROR(__xludf.DUMMYFUNCTION("""COMPUTED_VALUE"""),"HINOTA")</f>
        <v>HINOTA</v>
      </c>
      <c r="E2146" s="5" t="str">
        <f>IFERROR(__xludf.DUMMYFUNCTION("""COMPUTED_VALUE"""),"Trung Quốc")</f>
        <v>Trung Quốc</v>
      </c>
      <c r="F2146" s="5"/>
      <c r="G2146" s="5" t="str">
        <f>IFERROR(__xludf.DUMMYFUNCTION("""COMPUTED_VALUE"""),"CG435")</f>
        <v>CG435</v>
      </c>
      <c r="H2146" s="5" t="str">
        <f>IFERROR(__xludf.DUMMYFUNCTION("""COMPUTED_VALUE"""),"1.2HP")</f>
        <v>1.2HP</v>
      </c>
      <c r="I2146" s="5"/>
      <c r="J2146" s="5"/>
      <c r="K2146" s="5">
        <f>IFERROR(__xludf.DUMMYFUNCTION("""COMPUTED_VALUE"""),0.5)</f>
        <v>0.5</v>
      </c>
      <c r="L2146" s="5" t="str">
        <f>IFERROR(__xludf.DUMMYFUNCTION("""COMPUTED_VALUE"""),"Loại biên")</f>
        <v>Loại biên</v>
      </c>
    </row>
    <row r="2147">
      <c r="A2147" s="5" t="str">
        <f>IFERROR(__xludf.DUMMYFUNCTION("""COMPUTED_VALUE"""),"XD2-MPC-002")</f>
        <v>XD2-MPC-002</v>
      </c>
      <c r="B2147" s="3" t="str">
        <f>IFERROR(__xludf.DUMMYFUNCTION("""COMPUTED_VALUE"""),"Máy phát cỏ 4 thì")</f>
        <v>Máy phát cỏ 4 thì</v>
      </c>
      <c r="C2147" s="5" t="str">
        <f>IFERROR(__xludf.DUMMYFUNCTION("""COMPUTED_VALUE"""),"Loại biên")</f>
        <v>Loại biên</v>
      </c>
      <c r="D2147" s="5" t="str">
        <f>IFERROR(__xludf.DUMMYFUNCTION("""COMPUTED_VALUE"""),"HINOTA")</f>
        <v>HINOTA</v>
      </c>
      <c r="E2147" s="5" t="str">
        <f>IFERROR(__xludf.DUMMYFUNCTION("""COMPUTED_VALUE"""),"Trung Quốc")</f>
        <v>Trung Quốc</v>
      </c>
      <c r="F2147" s="5"/>
      <c r="G2147" s="5" t="str">
        <f>IFERROR(__xludf.DUMMYFUNCTION("""COMPUTED_VALUE"""),"CG435")</f>
        <v>CG435</v>
      </c>
      <c r="H2147" s="5" t="str">
        <f>IFERROR(__xludf.DUMMYFUNCTION("""COMPUTED_VALUE"""),"1.2HP")</f>
        <v>1.2HP</v>
      </c>
      <c r="I2147" s="5"/>
      <c r="J2147" s="5"/>
      <c r="K2147" s="5">
        <f>IFERROR(__xludf.DUMMYFUNCTION("""COMPUTED_VALUE"""),0.5)</f>
        <v>0.5</v>
      </c>
      <c r="L2147" s="5" t="str">
        <f>IFERROR(__xludf.DUMMYFUNCTION("""COMPUTED_VALUE"""),"Loại biên")</f>
        <v>Loại biên</v>
      </c>
    </row>
    <row r="2148">
      <c r="A2148" s="5" t="str">
        <f>IFERROR(__xludf.DUMMYFUNCTION("""COMPUTED_VALUE"""),"XD2-MPC-003")</f>
        <v>XD2-MPC-003</v>
      </c>
      <c r="B2148" s="3" t="str">
        <f>IFERROR(__xludf.DUMMYFUNCTION("""COMPUTED_VALUE"""),"Máy phát cỏ 4 thì")</f>
        <v>Máy phát cỏ 4 thì</v>
      </c>
      <c r="C2148" s="5" t="str">
        <f>IFERROR(__xludf.DUMMYFUNCTION("""COMPUTED_VALUE"""),"Loại biên")</f>
        <v>Loại biên</v>
      </c>
      <c r="D2148" s="5" t="str">
        <f>IFERROR(__xludf.DUMMYFUNCTION("""COMPUTED_VALUE"""),"HINOTA")</f>
        <v>HINOTA</v>
      </c>
      <c r="E2148" s="5" t="str">
        <f>IFERROR(__xludf.DUMMYFUNCTION("""COMPUTED_VALUE"""),"Trung Quốc")</f>
        <v>Trung Quốc</v>
      </c>
      <c r="F2148" s="5"/>
      <c r="G2148" s="5" t="str">
        <f>IFERROR(__xludf.DUMMYFUNCTION("""COMPUTED_VALUE"""),"CG435")</f>
        <v>CG435</v>
      </c>
      <c r="H2148" s="5" t="str">
        <f>IFERROR(__xludf.DUMMYFUNCTION("""COMPUTED_VALUE"""),"1.2HP")</f>
        <v>1.2HP</v>
      </c>
      <c r="I2148" s="5"/>
      <c r="J2148" s="5"/>
      <c r="K2148" s="5">
        <f>IFERROR(__xludf.DUMMYFUNCTION("""COMPUTED_VALUE"""),0.5)</f>
        <v>0.5</v>
      </c>
      <c r="L2148" s="5" t="str">
        <f>IFERROR(__xludf.DUMMYFUNCTION("""COMPUTED_VALUE"""),"Loại biên")</f>
        <v>Loại biên</v>
      </c>
    </row>
    <row r="2149">
      <c r="A2149" s="5" t="str">
        <f>IFERROR(__xludf.DUMMYFUNCTION("""COMPUTED_VALUE"""),"XD2-MPC-004")</f>
        <v>XD2-MPC-004</v>
      </c>
      <c r="B2149" s="3" t="str">
        <f>IFERROR(__xludf.DUMMYFUNCTION("""COMPUTED_VALUE"""),"Máy phát cỏ 4 thì")</f>
        <v>Máy phát cỏ 4 thì</v>
      </c>
      <c r="C2149" s="5" t="str">
        <f>IFERROR(__xludf.DUMMYFUNCTION("""COMPUTED_VALUE"""),"Loại biên")</f>
        <v>Loại biên</v>
      </c>
      <c r="D2149" s="5" t="str">
        <f>IFERROR(__xludf.DUMMYFUNCTION("""COMPUTED_VALUE"""),"HINOTA")</f>
        <v>HINOTA</v>
      </c>
      <c r="E2149" s="5" t="str">
        <f>IFERROR(__xludf.DUMMYFUNCTION("""COMPUTED_VALUE"""),"Trung Quốc")</f>
        <v>Trung Quốc</v>
      </c>
      <c r="F2149" s="5"/>
      <c r="G2149" s="5" t="str">
        <f>IFERROR(__xludf.DUMMYFUNCTION("""COMPUTED_VALUE"""),"CG435")</f>
        <v>CG435</v>
      </c>
      <c r="H2149" s="5" t="str">
        <f>IFERROR(__xludf.DUMMYFUNCTION("""COMPUTED_VALUE"""),"1.2HP")</f>
        <v>1.2HP</v>
      </c>
      <c r="I2149" s="5"/>
      <c r="J2149" s="5"/>
      <c r="K2149" s="5">
        <f>IFERROR(__xludf.DUMMYFUNCTION("""COMPUTED_VALUE"""),0.5)</f>
        <v>0.5</v>
      </c>
      <c r="L2149" s="5" t="str">
        <f>IFERROR(__xludf.DUMMYFUNCTION("""COMPUTED_VALUE"""),"Loại biên")</f>
        <v>Loại biên</v>
      </c>
    </row>
    <row r="2150">
      <c r="A2150" s="5" t="str">
        <f>IFERROR(__xludf.DUMMYFUNCTION("""COMPUTED_VALUE"""),"XD2-MPC-009")</f>
        <v>XD2-MPC-009</v>
      </c>
      <c r="B2150" s="3" t="str">
        <f>IFERROR(__xludf.DUMMYFUNCTION("""COMPUTED_VALUE"""),"Máy phát cỏ 4 thì")</f>
        <v>Máy phát cỏ 4 thì</v>
      </c>
      <c r="C2150" s="5" t="str">
        <f>IFERROR(__xludf.DUMMYFUNCTION("""COMPUTED_VALUE"""),"Loại biên")</f>
        <v>Loại biên</v>
      </c>
      <c r="D2150" s="5" t="str">
        <f>IFERROR(__xludf.DUMMYFUNCTION("""COMPUTED_VALUE"""),"HINOTA")</f>
        <v>HINOTA</v>
      </c>
      <c r="E2150" s="5" t="str">
        <f>IFERROR(__xludf.DUMMYFUNCTION("""COMPUTED_VALUE"""),"Trung Quốc")</f>
        <v>Trung Quốc</v>
      </c>
      <c r="F2150" s="5"/>
      <c r="G2150" s="5" t="str">
        <f>IFERROR(__xludf.DUMMYFUNCTION("""COMPUTED_VALUE"""),"CG435")</f>
        <v>CG435</v>
      </c>
      <c r="H2150" s="5" t="str">
        <f>IFERROR(__xludf.DUMMYFUNCTION("""COMPUTED_VALUE"""),"1.2HP")</f>
        <v>1.2HP</v>
      </c>
      <c r="I2150" s="5"/>
      <c r="J2150" s="5"/>
      <c r="K2150" s="5">
        <f>IFERROR(__xludf.DUMMYFUNCTION("""COMPUTED_VALUE"""),0.5)</f>
        <v>0.5</v>
      </c>
      <c r="L2150" s="5" t="str">
        <f>IFERROR(__xludf.DUMMYFUNCTION("""COMPUTED_VALUE"""),"Loại biên")</f>
        <v>Loại biên</v>
      </c>
    </row>
    <row r="2151">
      <c r="A2151" s="5" t="str">
        <f>IFERROR(__xludf.DUMMYFUNCTION("""COMPUTED_VALUE"""),"XD2-MPC-011")</f>
        <v>XD2-MPC-011</v>
      </c>
      <c r="B2151" s="3" t="str">
        <f>IFERROR(__xludf.DUMMYFUNCTION("""COMPUTED_VALUE"""),"Máy phát cỏ 4 thì")</f>
        <v>Máy phát cỏ 4 thì</v>
      </c>
      <c r="C2151" s="5" t="str">
        <f>IFERROR(__xludf.DUMMYFUNCTION("""COMPUTED_VALUE"""),"Loại biên")</f>
        <v>Loại biên</v>
      </c>
      <c r="D2151" s="5" t="str">
        <f>IFERROR(__xludf.DUMMYFUNCTION("""COMPUTED_VALUE"""),"HINOTA")</f>
        <v>HINOTA</v>
      </c>
      <c r="E2151" s="5" t="str">
        <f>IFERROR(__xludf.DUMMYFUNCTION("""COMPUTED_VALUE"""),"Trung Quốc")</f>
        <v>Trung Quốc</v>
      </c>
      <c r="F2151" s="5"/>
      <c r="G2151" s="5" t="str">
        <f>IFERROR(__xludf.DUMMYFUNCTION("""COMPUTED_VALUE"""),"CG435")</f>
        <v>CG435</v>
      </c>
      <c r="H2151" s="5" t="str">
        <f>IFERROR(__xludf.DUMMYFUNCTION("""COMPUTED_VALUE"""),"1.2HP")</f>
        <v>1.2HP</v>
      </c>
      <c r="I2151" s="5"/>
      <c r="J2151" s="5"/>
      <c r="K2151" s="5">
        <f>IFERROR(__xludf.DUMMYFUNCTION("""COMPUTED_VALUE"""),0.5)</f>
        <v>0.5</v>
      </c>
      <c r="L2151" s="5" t="str">
        <f>IFERROR(__xludf.DUMMYFUNCTION("""COMPUTED_VALUE"""),"Loại biên")</f>
        <v>Loại biên</v>
      </c>
    </row>
    <row r="2152">
      <c r="A2152" s="5" t="str">
        <f>IFERROR(__xludf.DUMMYFUNCTION("""COMPUTED_VALUE"""),"XD2-MPC-014")</f>
        <v>XD2-MPC-014</v>
      </c>
      <c r="B2152" s="3" t="str">
        <f>IFERROR(__xludf.DUMMYFUNCTION("""COMPUTED_VALUE"""),"Máy phát cỏ 4 thì")</f>
        <v>Máy phát cỏ 4 thì</v>
      </c>
      <c r="C2152" s="5" t="str">
        <f>IFERROR(__xludf.DUMMYFUNCTION("""COMPUTED_VALUE"""),"Loại biên")</f>
        <v>Loại biên</v>
      </c>
      <c r="D2152" s="5" t="str">
        <f>IFERROR(__xludf.DUMMYFUNCTION("""COMPUTED_VALUE"""),"HINOTA")</f>
        <v>HINOTA</v>
      </c>
      <c r="E2152" s="5" t="str">
        <f>IFERROR(__xludf.DUMMYFUNCTION("""COMPUTED_VALUE"""),"Trung Quốc")</f>
        <v>Trung Quốc</v>
      </c>
      <c r="F2152" s="5"/>
      <c r="G2152" s="5" t="str">
        <f>IFERROR(__xludf.DUMMYFUNCTION("""COMPUTED_VALUE"""),"CG435")</f>
        <v>CG435</v>
      </c>
      <c r="H2152" s="5" t="str">
        <f>IFERROR(__xludf.DUMMYFUNCTION("""COMPUTED_VALUE"""),"1.2HP")</f>
        <v>1.2HP</v>
      </c>
      <c r="I2152" s="5"/>
      <c r="J2152" s="5"/>
      <c r="K2152" s="5">
        <f>IFERROR(__xludf.DUMMYFUNCTION("""COMPUTED_VALUE"""),0.5)</f>
        <v>0.5</v>
      </c>
      <c r="L2152" s="5" t="str">
        <f>IFERROR(__xludf.DUMMYFUNCTION("""COMPUTED_VALUE"""),"Loại biên")</f>
        <v>Loại biên</v>
      </c>
    </row>
    <row r="2153">
      <c r="A2153" s="5" t="str">
        <f>IFERROR(__xludf.DUMMYFUNCTION("""COMPUTED_VALUE"""),"XD2-MPC-015")</f>
        <v>XD2-MPC-015</v>
      </c>
      <c r="B2153" s="3" t="str">
        <f>IFERROR(__xludf.DUMMYFUNCTION("""COMPUTED_VALUE"""),"Máy phát cỏ 4 thì")</f>
        <v>Máy phát cỏ 4 thì</v>
      </c>
      <c r="C2153" s="5" t="str">
        <f>IFERROR(__xludf.DUMMYFUNCTION("""COMPUTED_VALUE"""),"Loại biên")</f>
        <v>Loại biên</v>
      </c>
      <c r="D2153" s="5" t="str">
        <f>IFERROR(__xludf.DUMMYFUNCTION("""COMPUTED_VALUE"""),"HINOTA")</f>
        <v>HINOTA</v>
      </c>
      <c r="E2153" s="5" t="str">
        <f>IFERROR(__xludf.DUMMYFUNCTION("""COMPUTED_VALUE"""),"Trung Quốc")</f>
        <v>Trung Quốc</v>
      </c>
      <c r="F2153" s="5"/>
      <c r="G2153" s="5" t="str">
        <f>IFERROR(__xludf.DUMMYFUNCTION("""COMPUTED_VALUE"""),"CG435")</f>
        <v>CG435</v>
      </c>
      <c r="H2153" s="5" t="str">
        <f>IFERROR(__xludf.DUMMYFUNCTION("""COMPUTED_VALUE"""),"1.2HP")</f>
        <v>1.2HP</v>
      </c>
      <c r="I2153" s="5"/>
      <c r="J2153" s="5"/>
      <c r="K2153" s="5">
        <f>IFERROR(__xludf.DUMMYFUNCTION("""COMPUTED_VALUE"""),0.5)</f>
        <v>0.5</v>
      </c>
      <c r="L2153" s="5" t="str">
        <f>IFERROR(__xludf.DUMMYFUNCTION("""COMPUTED_VALUE"""),"Loại biên")</f>
        <v>Loại biên</v>
      </c>
    </row>
    <row r="2154">
      <c r="A2154" s="5" t="str">
        <f>IFERROR(__xludf.DUMMYFUNCTION("""COMPUTED_VALUE"""),"XD2-MPC-016")</f>
        <v>XD2-MPC-016</v>
      </c>
      <c r="B2154" s="3" t="str">
        <f>IFERROR(__xludf.DUMMYFUNCTION("""COMPUTED_VALUE"""),"Máy phát cỏ 4 thì")</f>
        <v>Máy phát cỏ 4 thì</v>
      </c>
      <c r="C2154" s="5" t="str">
        <f>IFERROR(__xludf.DUMMYFUNCTION("""COMPUTED_VALUE"""),"Loại biên")</f>
        <v>Loại biên</v>
      </c>
      <c r="D2154" s="5" t="str">
        <f>IFERROR(__xludf.DUMMYFUNCTION("""COMPUTED_VALUE"""),"HINOTA")</f>
        <v>HINOTA</v>
      </c>
      <c r="E2154" s="5" t="str">
        <f>IFERROR(__xludf.DUMMYFUNCTION("""COMPUTED_VALUE"""),"Trung Quốc")</f>
        <v>Trung Quốc</v>
      </c>
      <c r="F2154" s="5"/>
      <c r="G2154" s="5" t="str">
        <f>IFERROR(__xludf.DUMMYFUNCTION("""COMPUTED_VALUE"""),"CG435")</f>
        <v>CG435</v>
      </c>
      <c r="H2154" s="5" t="str">
        <f>IFERROR(__xludf.DUMMYFUNCTION("""COMPUTED_VALUE"""),"1.2HP")</f>
        <v>1.2HP</v>
      </c>
      <c r="I2154" s="5"/>
      <c r="J2154" s="5"/>
      <c r="K2154" s="5">
        <f>IFERROR(__xludf.DUMMYFUNCTION("""COMPUTED_VALUE"""),0.5)</f>
        <v>0.5</v>
      </c>
      <c r="L2154" s="5" t="str">
        <f>IFERROR(__xludf.DUMMYFUNCTION("""COMPUTED_VALUE"""),"Loại biên")</f>
        <v>Loại biên</v>
      </c>
    </row>
    <row r="2155">
      <c r="A2155" s="5" t="str">
        <f>IFERROR(__xludf.DUMMYFUNCTION("""COMPUTED_VALUE"""),"XD2-MPC-018")</f>
        <v>XD2-MPC-018</v>
      </c>
      <c r="B2155" s="3" t="str">
        <f>IFERROR(__xludf.DUMMYFUNCTION("""COMPUTED_VALUE"""),"Máy phát cỏ 4 thì")</f>
        <v>Máy phát cỏ 4 thì</v>
      </c>
      <c r="C2155" s="5" t="str">
        <f>IFERROR(__xludf.DUMMYFUNCTION("""COMPUTED_VALUE"""),"Loại biên")</f>
        <v>Loại biên</v>
      </c>
      <c r="D2155" s="5" t="str">
        <f>IFERROR(__xludf.DUMMYFUNCTION("""COMPUTED_VALUE"""),"HINOTA")</f>
        <v>HINOTA</v>
      </c>
      <c r="E2155" s="5" t="str">
        <f>IFERROR(__xludf.DUMMYFUNCTION("""COMPUTED_VALUE"""),"Trung Quốc")</f>
        <v>Trung Quốc</v>
      </c>
      <c r="F2155" s="5"/>
      <c r="G2155" s="5" t="str">
        <f>IFERROR(__xludf.DUMMYFUNCTION("""COMPUTED_VALUE"""),"CG435")</f>
        <v>CG435</v>
      </c>
      <c r="H2155" s="5" t="str">
        <f>IFERROR(__xludf.DUMMYFUNCTION("""COMPUTED_VALUE"""),"1.2HP")</f>
        <v>1.2HP</v>
      </c>
      <c r="I2155" s="5"/>
      <c r="J2155" s="5"/>
      <c r="K2155" s="5">
        <f>IFERROR(__xludf.DUMMYFUNCTION("""COMPUTED_VALUE"""),0.5)</f>
        <v>0.5</v>
      </c>
      <c r="L2155" s="5" t="str">
        <f>IFERROR(__xludf.DUMMYFUNCTION("""COMPUTED_VALUE"""),"Loại biên")</f>
        <v>Loại biên</v>
      </c>
    </row>
    <row r="2156">
      <c r="A2156" s="5" t="str">
        <f>IFERROR(__xludf.DUMMYFUNCTION("""COMPUTED_VALUE"""),"XD2-MPC-020")</f>
        <v>XD2-MPC-020</v>
      </c>
      <c r="B2156" s="3" t="str">
        <f>IFERROR(__xludf.DUMMYFUNCTION("""COMPUTED_VALUE"""),"Máy phát cỏ 4 thì")</f>
        <v>Máy phát cỏ 4 thì</v>
      </c>
      <c r="C2156" s="5" t="str">
        <f>IFERROR(__xludf.DUMMYFUNCTION("""COMPUTED_VALUE"""),"Loại biên")</f>
        <v>Loại biên</v>
      </c>
      <c r="D2156" s="5" t="str">
        <f>IFERROR(__xludf.DUMMYFUNCTION("""COMPUTED_VALUE"""),"HINOTA")</f>
        <v>HINOTA</v>
      </c>
      <c r="E2156" s="5" t="str">
        <f>IFERROR(__xludf.DUMMYFUNCTION("""COMPUTED_VALUE"""),"Trung Quốc")</f>
        <v>Trung Quốc</v>
      </c>
      <c r="F2156" s="5"/>
      <c r="G2156" s="5" t="str">
        <f>IFERROR(__xludf.DUMMYFUNCTION("""COMPUTED_VALUE"""),"CG435")</f>
        <v>CG435</v>
      </c>
      <c r="H2156" s="5" t="str">
        <f>IFERROR(__xludf.DUMMYFUNCTION("""COMPUTED_VALUE"""),"1.2HP")</f>
        <v>1.2HP</v>
      </c>
      <c r="I2156" s="5"/>
      <c r="J2156" s="5"/>
      <c r="K2156" s="5">
        <f>IFERROR(__xludf.DUMMYFUNCTION("""COMPUTED_VALUE"""),0.5)</f>
        <v>0.5</v>
      </c>
      <c r="L2156" s="5" t="str">
        <f>IFERROR(__xludf.DUMMYFUNCTION("""COMPUTED_VALUE"""),"Loại biên")</f>
        <v>Loại biên</v>
      </c>
    </row>
    <row r="2157">
      <c r="A2157" s="5" t="str">
        <f>IFERROR(__xludf.DUMMYFUNCTION("""COMPUTED_VALUE"""),"XD2-MPC-022")</f>
        <v>XD2-MPC-022</v>
      </c>
      <c r="B2157" s="3" t="str">
        <f>IFERROR(__xludf.DUMMYFUNCTION("""COMPUTED_VALUE"""),"Máy phát cỏ 4 thì")</f>
        <v>Máy phát cỏ 4 thì</v>
      </c>
      <c r="C2157" s="5" t="str">
        <f>IFERROR(__xludf.DUMMYFUNCTION("""COMPUTED_VALUE"""),"Loại biên")</f>
        <v>Loại biên</v>
      </c>
      <c r="D2157" s="5" t="str">
        <f>IFERROR(__xludf.DUMMYFUNCTION("""COMPUTED_VALUE"""),"HINOTA")</f>
        <v>HINOTA</v>
      </c>
      <c r="E2157" s="5" t="str">
        <f>IFERROR(__xludf.DUMMYFUNCTION("""COMPUTED_VALUE"""),"Trung Quốc")</f>
        <v>Trung Quốc</v>
      </c>
      <c r="F2157" s="5"/>
      <c r="G2157" s="5" t="str">
        <f>IFERROR(__xludf.DUMMYFUNCTION("""COMPUTED_VALUE"""),"CG435")</f>
        <v>CG435</v>
      </c>
      <c r="H2157" s="5" t="str">
        <f>IFERROR(__xludf.DUMMYFUNCTION("""COMPUTED_VALUE"""),"1.2HP")</f>
        <v>1.2HP</v>
      </c>
      <c r="I2157" s="5"/>
      <c r="J2157" s="5"/>
      <c r="K2157" s="5">
        <f>IFERROR(__xludf.DUMMYFUNCTION("""COMPUTED_VALUE"""),0.5)</f>
        <v>0.5</v>
      </c>
      <c r="L2157" s="5" t="str">
        <f>IFERROR(__xludf.DUMMYFUNCTION("""COMPUTED_VALUE"""),"Loại biên")</f>
        <v>Loại biên</v>
      </c>
    </row>
    <row r="2158">
      <c r="A2158" s="5" t="str">
        <f>IFERROR(__xludf.DUMMYFUNCTION("""COMPUTED_VALUE"""),"XD2-MPC-023")</f>
        <v>XD2-MPC-023</v>
      </c>
      <c r="B2158" s="3" t="str">
        <f>IFERROR(__xludf.DUMMYFUNCTION("""COMPUTED_VALUE"""),"Máy phát cỏ 4 thì")</f>
        <v>Máy phát cỏ 4 thì</v>
      </c>
      <c r="C2158" s="5" t="str">
        <f>IFERROR(__xludf.DUMMYFUNCTION("""COMPUTED_VALUE"""),"Loại biên")</f>
        <v>Loại biên</v>
      </c>
      <c r="D2158" s="5" t="str">
        <f>IFERROR(__xludf.DUMMYFUNCTION("""COMPUTED_VALUE"""),"HINOTA")</f>
        <v>HINOTA</v>
      </c>
      <c r="E2158" s="5" t="str">
        <f>IFERROR(__xludf.DUMMYFUNCTION("""COMPUTED_VALUE"""),"Trung Quốc")</f>
        <v>Trung Quốc</v>
      </c>
      <c r="F2158" s="5"/>
      <c r="G2158" s="5" t="str">
        <f>IFERROR(__xludf.DUMMYFUNCTION("""COMPUTED_VALUE"""),"CG435")</f>
        <v>CG435</v>
      </c>
      <c r="H2158" s="5" t="str">
        <f>IFERROR(__xludf.DUMMYFUNCTION("""COMPUTED_VALUE"""),"1.2HP")</f>
        <v>1.2HP</v>
      </c>
      <c r="I2158" s="5"/>
      <c r="J2158" s="5"/>
      <c r="K2158" s="5">
        <f>IFERROR(__xludf.DUMMYFUNCTION("""COMPUTED_VALUE"""),0.5)</f>
        <v>0.5</v>
      </c>
      <c r="L2158" s="5" t="str">
        <f>IFERROR(__xludf.DUMMYFUNCTION("""COMPUTED_VALUE"""),"Loại biên")</f>
        <v>Loại biên</v>
      </c>
    </row>
    <row r="2159">
      <c r="A2159" s="5" t="str">
        <f>IFERROR(__xludf.DUMMYFUNCTION("""COMPUTED_VALUE"""),"XD3-MPC-006")</f>
        <v>XD3-MPC-006</v>
      </c>
      <c r="B2159" s="3" t="str">
        <f>IFERROR(__xludf.DUMMYFUNCTION("""COMPUTED_VALUE"""),"Máy phát cỏ 4 thì")</f>
        <v>Máy phát cỏ 4 thì</v>
      </c>
      <c r="C2159" s="5" t="str">
        <f>IFERROR(__xludf.DUMMYFUNCTION("""COMPUTED_VALUE"""),"Loại biên")</f>
        <v>Loại biên</v>
      </c>
      <c r="D2159" s="5" t="str">
        <f>IFERROR(__xludf.DUMMYFUNCTION("""COMPUTED_VALUE"""),"HINOTA")</f>
        <v>HINOTA</v>
      </c>
      <c r="E2159" s="5" t="str">
        <f>IFERROR(__xludf.DUMMYFUNCTION("""COMPUTED_VALUE"""),"Trung Quốc")</f>
        <v>Trung Quốc</v>
      </c>
      <c r="F2159" s="5"/>
      <c r="G2159" s="5" t="str">
        <f>IFERROR(__xludf.DUMMYFUNCTION("""COMPUTED_VALUE"""),"CG435")</f>
        <v>CG435</v>
      </c>
      <c r="H2159" s="5" t="str">
        <f>IFERROR(__xludf.DUMMYFUNCTION("""COMPUTED_VALUE"""),"1.2HP")</f>
        <v>1.2HP</v>
      </c>
      <c r="I2159" s="5"/>
      <c r="J2159" s="5"/>
      <c r="K2159" s="5">
        <f>IFERROR(__xludf.DUMMYFUNCTION("""COMPUTED_VALUE"""),0.5)</f>
        <v>0.5</v>
      </c>
      <c r="L2159" s="5" t="str">
        <f>IFERROR(__xludf.DUMMYFUNCTION("""COMPUTED_VALUE"""),"Loại biên")</f>
        <v>Loại biên</v>
      </c>
    </row>
    <row r="2160">
      <c r="A2160" s="5" t="str">
        <f>IFERROR(__xludf.DUMMYFUNCTION("""COMPUTED_VALUE"""),"XD3-MPC-007")</f>
        <v>XD3-MPC-007</v>
      </c>
      <c r="B2160" s="3" t="str">
        <f>IFERROR(__xludf.DUMMYFUNCTION("""COMPUTED_VALUE"""),"Máy phát cỏ 4 thì")</f>
        <v>Máy phát cỏ 4 thì</v>
      </c>
      <c r="C2160" s="5" t="str">
        <f>IFERROR(__xludf.DUMMYFUNCTION("""COMPUTED_VALUE"""),"Loại biên")</f>
        <v>Loại biên</v>
      </c>
      <c r="D2160" s="5" t="str">
        <f>IFERROR(__xludf.DUMMYFUNCTION("""COMPUTED_VALUE"""),"HINOTA")</f>
        <v>HINOTA</v>
      </c>
      <c r="E2160" s="5" t="str">
        <f>IFERROR(__xludf.DUMMYFUNCTION("""COMPUTED_VALUE"""),"Trung Quốc")</f>
        <v>Trung Quốc</v>
      </c>
      <c r="F2160" s="5"/>
      <c r="G2160" s="5" t="str">
        <f>IFERROR(__xludf.DUMMYFUNCTION("""COMPUTED_VALUE"""),"CG435")</f>
        <v>CG435</v>
      </c>
      <c r="H2160" s="5" t="str">
        <f>IFERROR(__xludf.DUMMYFUNCTION("""COMPUTED_VALUE"""),"1.2HP")</f>
        <v>1.2HP</v>
      </c>
      <c r="I2160" s="5"/>
      <c r="J2160" s="5"/>
      <c r="K2160" s="5">
        <f>IFERROR(__xludf.DUMMYFUNCTION("""COMPUTED_VALUE"""),0.5)</f>
        <v>0.5</v>
      </c>
      <c r="L2160" s="5" t="str">
        <f>IFERROR(__xludf.DUMMYFUNCTION("""COMPUTED_VALUE"""),"Loại biên")</f>
        <v>Loại biên</v>
      </c>
    </row>
    <row r="2161">
      <c r="A2161" s="5" t="str">
        <f>IFERROR(__xludf.DUMMYFUNCTION("""COMPUTED_VALUE"""),"XD3-MPC-009")</f>
        <v>XD3-MPC-009</v>
      </c>
      <c r="B2161" s="3" t="str">
        <f>IFERROR(__xludf.DUMMYFUNCTION("""COMPUTED_VALUE"""),"Máy phát cỏ 4 thì")</f>
        <v>Máy phát cỏ 4 thì</v>
      </c>
      <c r="C2161" s="5" t="str">
        <f>IFERROR(__xludf.DUMMYFUNCTION("""COMPUTED_VALUE"""),"Loại biên")</f>
        <v>Loại biên</v>
      </c>
      <c r="D2161" s="5" t="str">
        <f>IFERROR(__xludf.DUMMYFUNCTION("""COMPUTED_VALUE"""),"HINOTA")</f>
        <v>HINOTA</v>
      </c>
      <c r="E2161" s="5" t="str">
        <f>IFERROR(__xludf.DUMMYFUNCTION("""COMPUTED_VALUE"""),"Trung Quốc")</f>
        <v>Trung Quốc</v>
      </c>
      <c r="F2161" s="5"/>
      <c r="G2161" s="5" t="str">
        <f>IFERROR(__xludf.DUMMYFUNCTION("""COMPUTED_VALUE"""),"CG435")</f>
        <v>CG435</v>
      </c>
      <c r="H2161" s="5" t="str">
        <f>IFERROR(__xludf.DUMMYFUNCTION("""COMPUTED_VALUE"""),"1.2HP")</f>
        <v>1.2HP</v>
      </c>
      <c r="I2161" s="5"/>
      <c r="J2161" s="5"/>
      <c r="K2161" s="5">
        <f>IFERROR(__xludf.DUMMYFUNCTION("""COMPUTED_VALUE"""),0.5)</f>
        <v>0.5</v>
      </c>
      <c r="L2161" s="5" t="str">
        <f>IFERROR(__xludf.DUMMYFUNCTION("""COMPUTED_VALUE"""),"Loại biên")</f>
        <v>Loại biên</v>
      </c>
    </row>
    <row r="2162">
      <c r="A2162" s="5" t="str">
        <f>IFERROR(__xludf.DUMMYFUNCTION("""COMPUTED_VALUE"""),"XD3-MPC-010")</f>
        <v>XD3-MPC-010</v>
      </c>
      <c r="B2162" s="3" t="str">
        <f>IFERROR(__xludf.DUMMYFUNCTION("""COMPUTED_VALUE"""),"Máy phát cỏ 4 thì")</f>
        <v>Máy phát cỏ 4 thì</v>
      </c>
      <c r="C2162" s="5" t="str">
        <f>IFERROR(__xludf.DUMMYFUNCTION("""COMPUTED_VALUE"""),"Loại biên")</f>
        <v>Loại biên</v>
      </c>
      <c r="D2162" s="5" t="str">
        <f>IFERROR(__xludf.DUMMYFUNCTION("""COMPUTED_VALUE"""),"HINOTA")</f>
        <v>HINOTA</v>
      </c>
      <c r="E2162" s="5" t="str">
        <f>IFERROR(__xludf.DUMMYFUNCTION("""COMPUTED_VALUE"""),"Trung Quốc")</f>
        <v>Trung Quốc</v>
      </c>
      <c r="F2162" s="5"/>
      <c r="G2162" s="5" t="str">
        <f>IFERROR(__xludf.DUMMYFUNCTION("""COMPUTED_VALUE"""),"CG435")</f>
        <v>CG435</v>
      </c>
      <c r="H2162" s="5" t="str">
        <f>IFERROR(__xludf.DUMMYFUNCTION("""COMPUTED_VALUE"""),"1.2HP")</f>
        <v>1.2HP</v>
      </c>
      <c r="I2162" s="5"/>
      <c r="J2162" s="5"/>
      <c r="K2162" s="5">
        <f>IFERROR(__xludf.DUMMYFUNCTION("""COMPUTED_VALUE"""),0.5)</f>
        <v>0.5</v>
      </c>
      <c r="L2162" s="5" t="str">
        <f>IFERROR(__xludf.DUMMYFUNCTION("""COMPUTED_VALUE"""),"Loại biên")</f>
        <v>Loại biên</v>
      </c>
    </row>
    <row r="2163">
      <c r="A2163" s="5" t="str">
        <f>IFERROR(__xludf.DUMMYFUNCTION("""COMPUTED_VALUE"""),"XD3-MPC-011")</f>
        <v>XD3-MPC-011</v>
      </c>
      <c r="B2163" s="3" t="str">
        <f>IFERROR(__xludf.DUMMYFUNCTION("""COMPUTED_VALUE"""),"Máy phát cỏ 4 thì")</f>
        <v>Máy phát cỏ 4 thì</v>
      </c>
      <c r="C2163" s="5" t="str">
        <f>IFERROR(__xludf.DUMMYFUNCTION("""COMPUTED_VALUE"""),"Loại biên")</f>
        <v>Loại biên</v>
      </c>
      <c r="D2163" s="5" t="str">
        <f>IFERROR(__xludf.DUMMYFUNCTION("""COMPUTED_VALUE"""),"HINOTA")</f>
        <v>HINOTA</v>
      </c>
      <c r="E2163" s="5" t="str">
        <f>IFERROR(__xludf.DUMMYFUNCTION("""COMPUTED_VALUE"""),"Trung Quốc")</f>
        <v>Trung Quốc</v>
      </c>
      <c r="F2163" s="5"/>
      <c r="G2163" s="5" t="str">
        <f>IFERROR(__xludf.DUMMYFUNCTION("""COMPUTED_VALUE"""),"CG435")</f>
        <v>CG435</v>
      </c>
      <c r="H2163" s="5" t="str">
        <f>IFERROR(__xludf.DUMMYFUNCTION("""COMPUTED_VALUE"""),"1.2HP")</f>
        <v>1.2HP</v>
      </c>
      <c r="I2163" s="5"/>
      <c r="J2163" s="5"/>
      <c r="K2163" s="5">
        <f>IFERROR(__xludf.DUMMYFUNCTION("""COMPUTED_VALUE"""),0.5)</f>
        <v>0.5</v>
      </c>
      <c r="L2163" s="5" t="str">
        <f>IFERROR(__xludf.DUMMYFUNCTION("""COMPUTED_VALUE"""),"Loại biên")</f>
        <v>Loại biên</v>
      </c>
    </row>
    <row r="2164">
      <c r="A2164" s="5" t="str">
        <f>IFERROR(__xludf.DUMMYFUNCTION("""COMPUTED_VALUE"""),"XD3-MPC-014")</f>
        <v>XD3-MPC-014</v>
      </c>
      <c r="B2164" s="3" t="str">
        <f>IFERROR(__xludf.DUMMYFUNCTION("""COMPUTED_VALUE"""),"Máy phát cỏ 4 thì")</f>
        <v>Máy phát cỏ 4 thì</v>
      </c>
      <c r="C2164" s="5" t="str">
        <f>IFERROR(__xludf.DUMMYFUNCTION("""COMPUTED_VALUE"""),"Loại biên")</f>
        <v>Loại biên</v>
      </c>
      <c r="D2164" s="5" t="str">
        <f>IFERROR(__xludf.DUMMYFUNCTION("""COMPUTED_VALUE"""),"HINOTA")</f>
        <v>HINOTA</v>
      </c>
      <c r="E2164" s="5" t="str">
        <f>IFERROR(__xludf.DUMMYFUNCTION("""COMPUTED_VALUE"""),"Trung Quốc")</f>
        <v>Trung Quốc</v>
      </c>
      <c r="F2164" s="5"/>
      <c r="G2164" s="5" t="str">
        <f>IFERROR(__xludf.DUMMYFUNCTION("""COMPUTED_VALUE"""),"CG435")</f>
        <v>CG435</v>
      </c>
      <c r="H2164" s="5" t="str">
        <f>IFERROR(__xludf.DUMMYFUNCTION("""COMPUTED_VALUE"""),"1.2HP")</f>
        <v>1.2HP</v>
      </c>
      <c r="I2164" s="5"/>
      <c r="J2164" s="5"/>
      <c r="K2164" s="5">
        <f>IFERROR(__xludf.DUMMYFUNCTION("""COMPUTED_VALUE"""),0.5)</f>
        <v>0.5</v>
      </c>
      <c r="L2164" s="5" t="str">
        <f>IFERROR(__xludf.DUMMYFUNCTION("""COMPUTED_VALUE"""),"Loại biên")</f>
        <v>Loại biên</v>
      </c>
    </row>
    <row r="2165">
      <c r="A2165" s="5" t="str">
        <f>IFERROR(__xludf.DUMMYFUNCTION("""COMPUTED_VALUE"""),"XD3-MPC-016")</f>
        <v>XD3-MPC-016</v>
      </c>
      <c r="B2165" s="3" t="str">
        <f>IFERROR(__xludf.DUMMYFUNCTION("""COMPUTED_VALUE"""),"Máy phát cỏ 4 thì")</f>
        <v>Máy phát cỏ 4 thì</v>
      </c>
      <c r="C2165" s="5" t="str">
        <f>IFERROR(__xludf.DUMMYFUNCTION("""COMPUTED_VALUE"""),"Loại biên")</f>
        <v>Loại biên</v>
      </c>
      <c r="D2165" s="5" t="str">
        <f>IFERROR(__xludf.DUMMYFUNCTION("""COMPUTED_VALUE"""),"HINOTA")</f>
        <v>HINOTA</v>
      </c>
      <c r="E2165" s="5" t="str">
        <f>IFERROR(__xludf.DUMMYFUNCTION("""COMPUTED_VALUE"""),"Trung Quốc")</f>
        <v>Trung Quốc</v>
      </c>
      <c r="F2165" s="5"/>
      <c r="G2165" s="5" t="str">
        <f>IFERROR(__xludf.DUMMYFUNCTION("""COMPUTED_VALUE"""),"CG435")</f>
        <v>CG435</v>
      </c>
      <c r="H2165" s="5" t="str">
        <f>IFERROR(__xludf.DUMMYFUNCTION("""COMPUTED_VALUE"""),"1.2HP")</f>
        <v>1.2HP</v>
      </c>
      <c r="I2165" s="5"/>
      <c r="J2165" s="5"/>
      <c r="K2165" s="5">
        <f>IFERROR(__xludf.DUMMYFUNCTION("""COMPUTED_VALUE"""),0.5)</f>
        <v>0.5</v>
      </c>
      <c r="L2165" s="5" t="str">
        <f>IFERROR(__xludf.DUMMYFUNCTION("""COMPUTED_VALUE"""),"Loại biên")</f>
        <v>Loại biên</v>
      </c>
    </row>
    <row r="2166">
      <c r="A2166" s="5" t="str">
        <f>IFERROR(__xludf.DUMMYFUNCTION("""COMPUTED_VALUE"""),"XD3-MPC-018")</f>
        <v>XD3-MPC-018</v>
      </c>
      <c r="B2166" s="3" t="str">
        <f>IFERROR(__xludf.DUMMYFUNCTION("""COMPUTED_VALUE"""),"Máy phát cỏ 4 thì")</f>
        <v>Máy phát cỏ 4 thì</v>
      </c>
      <c r="C2166" s="5" t="str">
        <f>IFERROR(__xludf.DUMMYFUNCTION("""COMPUTED_VALUE"""),"Loại biên")</f>
        <v>Loại biên</v>
      </c>
      <c r="D2166" s="5" t="str">
        <f>IFERROR(__xludf.DUMMYFUNCTION("""COMPUTED_VALUE"""),"HINOTA")</f>
        <v>HINOTA</v>
      </c>
      <c r="E2166" s="5" t="str">
        <f>IFERROR(__xludf.DUMMYFUNCTION("""COMPUTED_VALUE"""),"Trung Quốc")</f>
        <v>Trung Quốc</v>
      </c>
      <c r="F2166" s="5"/>
      <c r="G2166" s="5" t="str">
        <f>IFERROR(__xludf.DUMMYFUNCTION("""COMPUTED_VALUE"""),"CG435")</f>
        <v>CG435</v>
      </c>
      <c r="H2166" s="5" t="str">
        <f>IFERROR(__xludf.DUMMYFUNCTION("""COMPUTED_VALUE"""),"1.2HP")</f>
        <v>1.2HP</v>
      </c>
      <c r="I2166" s="5"/>
      <c r="J2166" s="5"/>
      <c r="K2166" s="5">
        <f>IFERROR(__xludf.DUMMYFUNCTION("""COMPUTED_VALUE"""),0.5)</f>
        <v>0.5</v>
      </c>
      <c r="L2166" s="5" t="str">
        <f>IFERROR(__xludf.DUMMYFUNCTION("""COMPUTED_VALUE"""),"Loại biên")</f>
        <v>Loại biên</v>
      </c>
    </row>
    <row r="2167">
      <c r="A2167" s="5" t="str">
        <f>IFERROR(__xludf.DUMMYFUNCTION("""COMPUTED_VALUE"""),"XD3-MPC-019")</f>
        <v>XD3-MPC-019</v>
      </c>
      <c r="B2167" s="3" t="str">
        <f>IFERROR(__xludf.DUMMYFUNCTION("""COMPUTED_VALUE"""),"Máy phát cỏ 4 thì")</f>
        <v>Máy phát cỏ 4 thì</v>
      </c>
      <c r="C2167" s="5" t="str">
        <f>IFERROR(__xludf.DUMMYFUNCTION("""COMPUTED_VALUE"""),"Loại biên")</f>
        <v>Loại biên</v>
      </c>
      <c r="D2167" s="5" t="str">
        <f>IFERROR(__xludf.DUMMYFUNCTION("""COMPUTED_VALUE"""),"HINOTA")</f>
        <v>HINOTA</v>
      </c>
      <c r="E2167" s="5" t="str">
        <f>IFERROR(__xludf.DUMMYFUNCTION("""COMPUTED_VALUE"""),"Trung Quốc")</f>
        <v>Trung Quốc</v>
      </c>
      <c r="F2167" s="5"/>
      <c r="G2167" s="5" t="str">
        <f>IFERROR(__xludf.DUMMYFUNCTION("""COMPUTED_VALUE"""),"CG435")</f>
        <v>CG435</v>
      </c>
      <c r="H2167" s="5" t="str">
        <f>IFERROR(__xludf.DUMMYFUNCTION("""COMPUTED_VALUE"""),"1.2HP")</f>
        <v>1.2HP</v>
      </c>
      <c r="I2167" s="5"/>
      <c r="J2167" s="5"/>
      <c r="K2167" s="5">
        <f>IFERROR(__xludf.DUMMYFUNCTION("""COMPUTED_VALUE"""),0.5)</f>
        <v>0.5</v>
      </c>
      <c r="L2167" s="5" t="str">
        <f>IFERROR(__xludf.DUMMYFUNCTION("""COMPUTED_VALUE"""),"Loại biên")</f>
        <v>Loại biên</v>
      </c>
    </row>
    <row r="2168">
      <c r="A2168" s="5" t="str">
        <f>IFERROR(__xludf.DUMMYFUNCTION("""COMPUTED_VALUE"""),"XD3-MPC-020")</f>
        <v>XD3-MPC-020</v>
      </c>
      <c r="B2168" s="3" t="str">
        <f>IFERROR(__xludf.DUMMYFUNCTION("""COMPUTED_VALUE"""),"Máy phát cỏ 4 thì")</f>
        <v>Máy phát cỏ 4 thì</v>
      </c>
      <c r="C2168" s="5" t="str">
        <f>IFERROR(__xludf.DUMMYFUNCTION("""COMPUTED_VALUE"""),"Loại biên")</f>
        <v>Loại biên</v>
      </c>
      <c r="D2168" s="5" t="str">
        <f>IFERROR(__xludf.DUMMYFUNCTION("""COMPUTED_VALUE"""),"HINOTA")</f>
        <v>HINOTA</v>
      </c>
      <c r="E2168" s="5" t="str">
        <f>IFERROR(__xludf.DUMMYFUNCTION("""COMPUTED_VALUE"""),"Trung Quốc")</f>
        <v>Trung Quốc</v>
      </c>
      <c r="F2168" s="5"/>
      <c r="G2168" s="5" t="str">
        <f>IFERROR(__xludf.DUMMYFUNCTION("""COMPUTED_VALUE"""),"CG435")</f>
        <v>CG435</v>
      </c>
      <c r="H2168" s="5" t="str">
        <f>IFERROR(__xludf.DUMMYFUNCTION("""COMPUTED_VALUE"""),"1.2HP")</f>
        <v>1.2HP</v>
      </c>
      <c r="I2168" s="5"/>
      <c r="J2168" s="5"/>
      <c r="K2168" s="5">
        <f>IFERROR(__xludf.DUMMYFUNCTION("""COMPUTED_VALUE"""),0.5)</f>
        <v>0.5</v>
      </c>
      <c r="L2168" s="5" t="str">
        <f>IFERROR(__xludf.DUMMYFUNCTION("""COMPUTED_VALUE"""),"Loại biên")</f>
        <v>Loại biên</v>
      </c>
    </row>
    <row r="2169">
      <c r="A2169" s="5" t="str">
        <f>IFERROR(__xludf.DUMMYFUNCTION("""COMPUTED_VALUE"""),"XD3-MPC-023")</f>
        <v>XD3-MPC-023</v>
      </c>
      <c r="B2169" s="3" t="str">
        <f>IFERROR(__xludf.DUMMYFUNCTION("""COMPUTED_VALUE"""),"Máy phát cỏ 4 thì")</f>
        <v>Máy phát cỏ 4 thì</v>
      </c>
      <c r="C2169" s="5" t="str">
        <f>IFERROR(__xludf.DUMMYFUNCTION("""COMPUTED_VALUE"""),"Loại biên")</f>
        <v>Loại biên</v>
      </c>
      <c r="D2169" s="5" t="str">
        <f>IFERROR(__xludf.DUMMYFUNCTION("""COMPUTED_VALUE"""),"HINOTA")</f>
        <v>HINOTA</v>
      </c>
      <c r="E2169" s="5" t="str">
        <f>IFERROR(__xludf.DUMMYFUNCTION("""COMPUTED_VALUE"""),"Trung Quốc")</f>
        <v>Trung Quốc</v>
      </c>
      <c r="F2169" s="5"/>
      <c r="G2169" s="5" t="str">
        <f>IFERROR(__xludf.DUMMYFUNCTION("""COMPUTED_VALUE"""),"CG435")</f>
        <v>CG435</v>
      </c>
      <c r="H2169" s="5" t="str">
        <f>IFERROR(__xludf.DUMMYFUNCTION("""COMPUTED_VALUE"""),"1.2HP")</f>
        <v>1.2HP</v>
      </c>
      <c r="I2169" s="5"/>
      <c r="J2169" s="5"/>
      <c r="K2169" s="5">
        <f>IFERROR(__xludf.DUMMYFUNCTION("""COMPUTED_VALUE"""),0.5)</f>
        <v>0.5</v>
      </c>
      <c r="L2169" s="5"/>
    </row>
    <row r="2170">
      <c r="A2170" s="5" t="str">
        <f>IFERROR(__xludf.DUMMYFUNCTION("""COMPUTED_VALUE"""),"XD3-MPC-026")</f>
        <v>XD3-MPC-026</v>
      </c>
      <c r="B2170" s="3" t="str">
        <f>IFERROR(__xludf.DUMMYFUNCTION("""COMPUTED_VALUE"""),"Máy phát cỏ 4 thì")</f>
        <v>Máy phát cỏ 4 thì</v>
      </c>
      <c r="C2170" s="5" t="str">
        <f>IFERROR(__xludf.DUMMYFUNCTION("""COMPUTED_VALUE"""),"Loại biên")</f>
        <v>Loại biên</v>
      </c>
      <c r="D2170" s="5" t="str">
        <f>IFERROR(__xludf.DUMMYFUNCTION("""COMPUTED_VALUE"""),"HINOTA")</f>
        <v>HINOTA</v>
      </c>
      <c r="E2170" s="5" t="str">
        <f>IFERROR(__xludf.DUMMYFUNCTION("""COMPUTED_VALUE"""),"Trung Quốc")</f>
        <v>Trung Quốc</v>
      </c>
      <c r="F2170" s="5"/>
      <c r="G2170" s="5" t="str">
        <f>IFERROR(__xludf.DUMMYFUNCTION("""COMPUTED_VALUE"""),"CG435")</f>
        <v>CG435</v>
      </c>
      <c r="H2170" s="5" t="str">
        <f>IFERROR(__xludf.DUMMYFUNCTION("""COMPUTED_VALUE"""),"1.2HP")</f>
        <v>1.2HP</v>
      </c>
      <c r="I2170" s="5"/>
      <c r="J2170" s="5"/>
      <c r="K2170" s="5">
        <f>IFERROR(__xludf.DUMMYFUNCTION("""COMPUTED_VALUE"""),0.5)</f>
        <v>0.5</v>
      </c>
      <c r="L2170" s="5"/>
    </row>
    <row r="2171">
      <c r="A2171" s="5" t="str">
        <f>IFERROR(__xludf.DUMMYFUNCTION("""COMPUTED_VALUE"""),"XD3-MPC-027")</f>
        <v>XD3-MPC-027</v>
      </c>
      <c r="B2171" s="3" t="str">
        <f>IFERROR(__xludf.DUMMYFUNCTION("""COMPUTED_VALUE"""),"Máy phát cỏ 4 thì")</f>
        <v>Máy phát cỏ 4 thì</v>
      </c>
      <c r="C2171" s="5" t="str">
        <f>IFERROR(__xludf.DUMMYFUNCTION("""COMPUTED_VALUE"""),"Loại biên")</f>
        <v>Loại biên</v>
      </c>
      <c r="D2171" s="5" t="str">
        <f>IFERROR(__xludf.DUMMYFUNCTION("""COMPUTED_VALUE"""),"HINOTA")</f>
        <v>HINOTA</v>
      </c>
      <c r="E2171" s="5" t="str">
        <f>IFERROR(__xludf.DUMMYFUNCTION("""COMPUTED_VALUE"""),"Trung Quốc")</f>
        <v>Trung Quốc</v>
      </c>
      <c r="F2171" s="5"/>
      <c r="G2171" s="5" t="str">
        <f>IFERROR(__xludf.DUMMYFUNCTION("""COMPUTED_VALUE"""),"CG435")</f>
        <v>CG435</v>
      </c>
      <c r="H2171" s="5" t="str">
        <f>IFERROR(__xludf.DUMMYFUNCTION("""COMPUTED_VALUE"""),"1.2HP")</f>
        <v>1.2HP</v>
      </c>
      <c r="I2171" s="5"/>
      <c r="J2171" s="5"/>
      <c r="K2171" s="5">
        <f>IFERROR(__xludf.DUMMYFUNCTION("""COMPUTED_VALUE"""),0.5)</f>
        <v>0.5</v>
      </c>
      <c r="L2171" s="5"/>
    </row>
    <row r="2172">
      <c r="A2172" s="5" t="str">
        <f>IFERROR(__xludf.DUMMYFUNCTION("""COMPUTED_VALUE"""),"XD3-MPC-028")</f>
        <v>XD3-MPC-028</v>
      </c>
      <c r="B2172" s="3" t="str">
        <f>IFERROR(__xludf.DUMMYFUNCTION("""COMPUTED_VALUE"""),"Máy phát cỏ 4 thì")</f>
        <v>Máy phát cỏ 4 thì</v>
      </c>
      <c r="C2172" s="5" t="str">
        <f>IFERROR(__xludf.DUMMYFUNCTION("""COMPUTED_VALUE"""),"Loại biên")</f>
        <v>Loại biên</v>
      </c>
      <c r="D2172" s="5" t="str">
        <f>IFERROR(__xludf.DUMMYFUNCTION("""COMPUTED_VALUE"""),"HINOTA")</f>
        <v>HINOTA</v>
      </c>
      <c r="E2172" s="5" t="str">
        <f>IFERROR(__xludf.DUMMYFUNCTION("""COMPUTED_VALUE"""),"Trung Quốc")</f>
        <v>Trung Quốc</v>
      </c>
      <c r="F2172" s="5"/>
      <c r="G2172" s="5" t="str">
        <f>IFERROR(__xludf.DUMMYFUNCTION("""COMPUTED_VALUE"""),"CG435")</f>
        <v>CG435</v>
      </c>
      <c r="H2172" s="5" t="str">
        <f>IFERROR(__xludf.DUMMYFUNCTION("""COMPUTED_VALUE"""),"1.2HP")</f>
        <v>1.2HP</v>
      </c>
      <c r="I2172" s="5"/>
      <c r="J2172" s="5"/>
      <c r="K2172" s="5">
        <f>IFERROR(__xludf.DUMMYFUNCTION("""COMPUTED_VALUE"""),0.5)</f>
        <v>0.5</v>
      </c>
      <c r="L2172" s="5"/>
    </row>
    <row r="2173">
      <c r="A2173" s="5" t="str">
        <f>IFERROR(__xludf.DUMMYFUNCTION("""COMPUTED_VALUE"""),"XD3-MPC-032")</f>
        <v>XD3-MPC-032</v>
      </c>
      <c r="B2173" s="3" t="str">
        <f>IFERROR(__xludf.DUMMYFUNCTION("""COMPUTED_VALUE"""),"Máy phát cỏ 4 thì")</f>
        <v>Máy phát cỏ 4 thì</v>
      </c>
      <c r="C2173" s="5" t="str">
        <f>IFERROR(__xludf.DUMMYFUNCTION("""COMPUTED_VALUE"""),"Loại biên")</f>
        <v>Loại biên</v>
      </c>
      <c r="D2173" s="5" t="str">
        <f>IFERROR(__xludf.DUMMYFUNCTION("""COMPUTED_VALUE"""),"HONDA")</f>
        <v>HONDA</v>
      </c>
      <c r="E2173" s="5" t="str">
        <f>IFERROR(__xludf.DUMMYFUNCTION("""COMPUTED_VALUE"""),"THÁI LAN")</f>
        <v>THÁI LAN</v>
      </c>
      <c r="F2173" s="5"/>
      <c r="G2173" s="5" t="str">
        <f>IFERROR(__xludf.DUMMYFUNCTION("""COMPUTED_VALUE"""),"GX35")</f>
        <v>GX35</v>
      </c>
      <c r="H2173" s="5" t="str">
        <f>IFERROR(__xludf.DUMMYFUNCTION("""COMPUTED_VALUE"""),"1.6HP")</f>
        <v>1.6HP</v>
      </c>
      <c r="I2173" s="5"/>
      <c r="J2173" s="5"/>
      <c r="K2173" s="5">
        <f>IFERROR(__xludf.DUMMYFUNCTION("""COMPUTED_VALUE"""),0.5)</f>
        <v>0.5</v>
      </c>
      <c r="L2173" s="5"/>
    </row>
    <row r="2174">
      <c r="A2174" s="5" t="str">
        <f>IFERROR(__xludf.DUMMYFUNCTION("""COMPUTED_VALUE"""),"XD3-MPC-033")</f>
        <v>XD3-MPC-033</v>
      </c>
      <c r="B2174" s="3" t="str">
        <f>IFERROR(__xludf.DUMMYFUNCTION("""COMPUTED_VALUE"""),"Máy phát cỏ 4 thì")</f>
        <v>Máy phát cỏ 4 thì</v>
      </c>
      <c r="C2174" s="5" t="str">
        <f>IFERROR(__xludf.DUMMYFUNCTION("""COMPUTED_VALUE"""),"Loại biên")</f>
        <v>Loại biên</v>
      </c>
      <c r="D2174" s="5" t="str">
        <f>IFERROR(__xludf.DUMMYFUNCTION("""COMPUTED_VALUE"""),"HONDA")</f>
        <v>HONDA</v>
      </c>
      <c r="E2174" s="5" t="str">
        <f>IFERROR(__xludf.DUMMYFUNCTION("""COMPUTED_VALUE"""),"THÁI LAN")</f>
        <v>THÁI LAN</v>
      </c>
      <c r="F2174" s="5"/>
      <c r="G2174" s="5" t="str">
        <f>IFERROR(__xludf.DUMMYFUNCTION("""COMPUTED_VALUE"""),"GX35")</f>
        <v>GX35</v>
      </c>
      <c r="H2174" s="5" t="str">
        <f>IFERROR(__xludf.DUMMYFUNCTION("""COMPUTED_VALUE"""),"1.6HP")</f>
        <v>1.6HP</v>
      </c>
      <c r="I2174" s="5"/>
      <c r="J2174" s="5"/>
      <c r="K2174" s="5">
        <f>IFERROR(__xludf.DUMMYFUNCTION("""COMPUTED_VALUE"""),0.5)</f>
        <v>0.5</v>
      </c>
      <c r="L2174" s="5"/>
    </row>
    <row r="2175">
      <c r="A2175" s="5" t="str">
        <f>IFERROR(__xludf.DUMMYFUNCTION("""COMPUTED_VALUE"""),"XD3-MPC-034")</f>
        <v>XD3-MPC-034</v>
      </c>
      <c r="B2175" s="3" t="str">
        <f>IFERROR(__xludf.DUMMYFUNCTION("""COMPUTED_VALUE"""),"Máy phát cỏ 4 thì")</f>
        <v>Máy phát cỏ 4 thì</v>
      </c>
      <c r="C2175" s="5" t="str">
        <f>IFERROR(__xludf.DUMMYFUNCTION("""COMPUTED_VALUE"""),"Loại biên")</f>
        <v>Loại biên</v>
      </c>
      <c r="D2175" s="5" t="str">
        <f>IFERROR(__xludf.DUMMYFUNCTION("""COMPUTED_VALUE"""),"HONDA")</f>
        <v>HONDA</v>
      </c>
      <c r="E2175" s="5" t="str">
        <f>IFERROR(__xludf.DUMMYFUNCTION("""COMPUTED_VALUE"""),"THÁI LAN")</f>
        <v>THÁI LAN</v>
      </c>
      <c r="F2175" s="5"/>
      <c r="G2175" s="5" t="str">
        <f>IFERROR(__xludf.DUMMYFUNCTION("""COMPUTED_VALUE"""),"GX35")</f>
        <v>GX35</v>
      </c>
      <c r="H2175" s="5" t="str">
        <f>IFERROR(__xludf.DUMMYFUNCTION("""COMPUTED_VALUE"""),"1.6HP")</f>
        <v>1.6HP</v>
      </c>
      <c r="I2175" s="5"/>
      <c r="J2175" s="5"/>
      <c r="K2175" s="5">
        <f>IFERROR(__xludf.DUMMYFUNCTION("""COMPUTED_VALUE"""),0.5)</f>
        <v>0.5</v>
      </c>
      <c r="L2175" s="5"/>
    </row>
    <row r="2176">
      <c r="A2176" s="5" t="str">
        <f>IFERROR(__xludf.DUMMYFUNCTION("""COMPUTED_VALUE"""),"XD3-MPC-035")</f>
        <v>XD3-MPC-035</v>
      </c>
      <c r="B2176" s="3" t="str">
        <f>IFERROR(__xludf.DUMMYFUNCTION("""COMPUTED_VALUE"""),"Máy phát cỏ 4 thì")</f>
        <v>Máy phát cỏ 4 thì</v>
      </c>
      <c r="C2176" s="5" t="str">
        <f>IFERROR(__xludf.DUMMYFUNCTION("""COMPUTED_VALUE"""),"Loại biên")</f>
        <v>Loại biên</v>
      </c>
      <c r="D2176" s="5" t="str">
        <f>IFERROR(__xludf.DUMMYFUNCTION("""COMPUTED_VALUE"""),"HONDA")</f>
        <v>HONDA</v>
      </c>
      <c r="E2176" s="5" t="str">
        <f>IFERROR(__xludf.DUMMYFUNCTION("""COMPUTED_VALUE"""),"THÁI LAN")</f>
        <v>THÁI LAN</v>
      </c>
      <c r="F2176" s="5"/>
      <c r="G2176" s="5" t="str">
        <f>IFERROR(__xludf.DUMMYFUNCTION("""COMPUTED_VALUE"""),"GX35")</f>
        <v>GX35</v>
      </c>
      <c r="H2176" s="5" t="str">
        <f>IFERROR(__xludf.DUMMYFUNCTION("""COMPUTED_VALUE"""),"1.6HP")</f>
        <v>1.6HP</v>
      </c>
      <c r="I2176" s="5"/>
      <c r="J2176" s="5"/>
      <c r="K2176" s="5">
        <f>IFERROR(__xludf.DUMMYFUNCTION("""COMPUTED_VALUE"""),0.5)</f>
        <v>0.5</v>
      </c>
      <c r="L2176" s="5"/>
    </row>
    <row r="2177">
      <c r="A2177" s="5" t="str">
        <f>IFERROR(__xludf.DUMMYFUNCTION("""COMPUTED_VALUE"""),"XD3-MPC-038")</f>
        <v>XD3-MPC-038</v>
      </c>
      <c r="B2177" s="3" t="str">
        <f>IFERROR(__xludf.DUMMYFUNCTION("""COMPUTED_VALUE"""),"Máy phát cỏ 4 thì")</f>
        <v>Máy phát cỏ 4 thì</v>
      </c>
      <c r="C2177" s="5" t="str">
        <f>IFERROR(__xludf.DUMMYFUNCTION("""COMPUTED_VALUE"""),"Loại biên")</f>
        <v>Loại biên</v>
      </c>
      <c r="D2177" s="5" t="str">
        <f>IFERROR(__xludf.DUMMYFUNCTION("""COMPUTED_VALUE"""),"HONDA")</f>
        <v>HONDA</v>
      </c>
      <c r="E2177" s="5" t="str">
        <f>IFERROR(__xludf.DUMMYFUNCTION("""COMPUTED_VALUE"""),"THÁI LAN")</f>
        <v>THÁI LAN</v>
      </c>
      <c r="F2177" s="5"/>
      <c r="G2177" s="5" t="str">
        <f>IFERROR(__xludf.DUMMYFUNCTION("""COMPUTED_VALUE"""),"GX35")</f>
        <v>GX35</v>
      </c>
      <c r="H2177" s="5" t="str">
        <f>IFERROR(__xludf.DUMMYFUNCTION("""COMPUTED_VALUE"""),"1.6HP")</f>
        <v>1.6HP</v>
      </c>
      <c r="I2177" s="5" t="str">
        <f>IFERROR(__xludf.DUMMYFUNCTION("""COMPUTED_VALUE"""),"GCAMT-7717622")</f>
        <v>GCAMT-7717622</v>
      </c>
      <c r="J2177" s="5"/>
      <c r="K2177" s="5">
        <f>IFERROR(__xludf.DUMMYFUNCTION("""COMPUTED_VALUE"""),0.5)</f>
        <v>0.5</v>
      </c>
      <c r="L2177" s="5"/>
    </row>
    <row r="2178">
      <c r="A2178" s="5" t="str">
        <f>IFERROR(__xludf.DUMMYFUNCTION("""COMPUTED_VALUE"""),"XD3-MPC-039")</f>
        <v>XD3-MPC-039</v>
      </c>
      <c r="B2178" s="3" t="str">
        <f>IFERROR(__xludf.DUMMYFUNCTION("""COMPUTED_VALUE"""),"Máy phát cỏ 4 thì")</f>
        <v>Máy phát cỏ 4 thì</v>
      </c>
      <c r="C2178" s="5" t="str">
        <f>IFERROR(__xludf.DUMMYFUNCTION("""COMPUTED_VALUE"""),"Loại biên")</f>
        <v>Loại biên</v>
      </c>
      <c r="D2178" s="5" t="str">
        <f>IFERROR(__xludf.DUMMYFUNCTION("""COMPUTED_VALUE"""),"HONDA")</f>
        <v>HONDA</v>
      </c>
      <c r="E2178" s="5" t="str">
        <f>IFERROR(__xludf.DUMMYFUNCTION("""COMPUTED_VALUE"""),"THÁI LAN")</f>
        <v>THÁI LAN</v>
      </c>
      <c r="F2178" s="5"/>
      <c r="G2178" s="5" t="str">
        <f>IFERROR(__xludf.DUMMYFUNCTION("""COMPUTED_VALUE"""),"GX35")</f>
        <v>GX35</v>
      </c>
      <c r="H2178" s="5" t="str">
        <f>IFERROR(__xludf.DUMMYFUNCTION("""COMPUTED_VALUE"""),"1.6HP")</f>
        <v>1.6HP</v>
      </c>
      <c r="I2178" s="5" t="str">
        <f>IFERROR(__xludf.DUMMYFUNCTION("""COMPUTED_VALUE"""),"GCAMT-7716575")</f>
        <v>GCAMT-7716575</v>
      </c>
      <c r="J2178" s="5"/>
      <c r="K2178" s="5">
        <f>IFERROR(__xludf.DUMMYFUNCTION("""COMPUTED_VALUE"""),0.5)</f>
        <v>0.5</v>
      </c>
      <c r="L2178" s="5"/>
    </row>
    <row r="2179">
      <c r="A2179" s="5" t="str">
        <f>IFERROR(__xludf.DUMMYFUNCTION("""COMPUTED_VALUE"""),"XN LP4")</f>
        <v>XN LP4</v>
      </c>
      <c r="B2179" s="3"/>
      <c r="C2179" s="5"/>
      <c r="D2179" s="5"/>
      <c r="E2179" s="5"/>
      <c r="F2179" s="5"/>
      <c r="G2179" s="5"/>
      <c r="H2179" s="5"/>
      <c r="I2179" s="5"/>
      <c r="J2179" s="5"/>
      <c r="K2179" s="5"/>
      <c r="L2179" s="5"/>
    </row>
    <row r="2180">
      <c r="A2180" s="5" t="str">
        <f>IFERROR(__xludf.DUMMYFUNCTION("""COMPUTED_VALUE"""),"XL4-MPC-003")</f>
        <v>XL4-MPC-003</v>
      </c>
      <c r="B2180" s="3" t="str">
        <f>IFERROR(__xludf.DUMMYFUNCTION("""COMPUTED_VALUE"""),"Máy phát cỏ 4 thì")</f>
        <v>Máy phát cỏ 4 thì</v>
      </c>
      <c r="C2180" s="5" t="str">
        <f>IFERROR(__xludf.DUMMYFUNCTION("""COMPUTED_VALUE"""),"Loại biên")</f>
        <v>Loại biên</v>
      </c>
      <c r="D2180" s="5" t="str">
        <f>IFERROR(__xludf.DUMMYFUNCTION("""COMPUTED_VALUE"""),"HINOTA")</f>
        <v>HINOTA</v>
      </c>
      <c r="E2180" s="5" t="str">
        <f>IFERROR(__xludf.DUMMYFUNCTION("""COMPUTED_VALUE"""),"Trung Quốc")</f>
        <v>Trung Quốc</v>
      </c>
      <c r="F2180" s="5"/>
      <c r="G2180" s="5" t="str">
        <f>IFERROR(__xludf.DUMMYFUNCTION("""COMPUTED_VALUE"""),"CG435")</f>
        <v>CG435</v>
      </c>
      <c r="H2180" s="5" t="str">
        <f>IFERROR(__xludf.DUMMYFUNCTION("""COMPUTED_VALUE"""),"1.2HP")</f>
        <v>1.2HP</v>
      </c>
      <c r="I2180" s="5"/>
      <c r="J2180" s="5"/>
      <c r="K2180" s="5">
        <f>IFERROR(__xludf.DUMMYFUNCTION("""COMPUTED_VALUE"""),0.5)</f>
        <v>0.5</v>
      </c>
      <c r="L2180" s="5"/>
    </row>
    <row r="2181">
      <c r="A2181" s="5" t="str">
        <f>IFERROR(__xludf.DUMMYFUNCTION("""COMPUTED_VALUE"""),"XL4-MPC-005")</f>
        <v>XL4-MPC-005</v>
      </c>
      <c r="B2181" s="3" t="str">
        <f>IFERROR(__xludf.DUMMYFUNCTION("""COMPUTED_VALUE"""),"Máy phát cỏ 4 thì")</f>
        <v>Máy phát cỏ 4 thì</v>
      </c>
      <c r="C2181" s="5" t="str">
        <f>IFERROR(__xludf.DUMMYFUNCTION("""COMPUTED_VALUE"""),"Loại biên")</f>
        <v>Loại biên</v>
      </c>
      <c r="D2181" s="5" t="str">
        <f>IFERROR(__xludf.DUMMYFUNCTION("""COMPUTED_VALUE"""),"HINOTA")</f>
        <v>HINOTA</v>
      </c>
      <c r="E2181" s="5" t="str">
        <f>IFERROR(__xludf.DUMMYFUNCTION("""COMPUTED_VALUE"""),"Trung Quốc")</f>
        <v>Trung Quốc</v>
      </c>
      <c r="F2181" s="5"/>
      <c r="G2181" s="5" t="str">
        <f>IFERROR(__xludf.DUMMYFUNCTION("""COMPUTED_VALUE"""),"CG435")</f>
        <v>CG435</v>
      </c>
      <c r="H2181" s="5" t="str">
        <f>IFERROR(__xludf.DUMMYFUNCTION("""COMPUTED_VALUE"""),"1.2HP")</f>
        <v>1.2HP</v>
      </c>
      <c r="I2181" s="5"/>
      <c r="J2181" s="5"/>
      <c r="K2181" s="5">
        <f>IFERROR(__xludf.DUMMYFUNCTION("""COMPUTED_VALUE"""),0.5)</f>
        <v>0.5</v>
      </c>
      <c r="L2181" s="5"/>
    </row>
    <row r="2182">
      <c r="A2182" s="5" t="str">
        <f>IFERROR(__xludf.DUMMYFUNCTION("""COMPUTED_VALUE"""),"XL4-MPC-006")</f>
        <v>XL4-MPC-006</v>
      </c>
      <c r="B2182" s="3" t="str">
        <f>IFERROR(__xludf.DUMMYFUNCTION("""COMPUTED_VALUE"""),"Máy phát cỏ 4 thì")</f>
        <v>Máy phát cỏ 4 thì</v>
      </c>
      <c r="C2182" s="5" t="str">
        <f>IFERROR(__xludf.DUMMYFUNCTION("""COMPUTED_VALUE"""),"Loại biên")</f>
        <v>Loại biên</v>
      </c>
      <c r="D2182" s="5" t="str">
        <f>IFERROR(__xludf.DUMMYFUNCTION("""COMPUTED_VALUE"""),"HINOTA")</f>
        <v>HINOTA</v>
      </c>
      <c r="E2182" s="5" t="str">
        <f>IFERROR(__xludf.DUMMYFUNCTION("""COMPUTED_VALUE"""),"Trung Quốc")</f>
        <v>Trung Quốc</v>
      </c>
      <c r="F2182" s="5"/>
      <c r="G2182" s="5" t="str">
        <f>IFERROR(__xludf.DUMMYFUNCTION("""COMPUTED_VALUE"""),"CG435")</f>
        <v>CG435</v>
      </c>
      <c r="H2182" s="5" t="str">
        <f>IFERROR(__xludf.DUMMYFUNCTION("""COMPUTED_VALUE"""),"1.2HP")</f>
        <v>1.2HP</v>
      </c>
      <c r="I2182" s="5"/>
      <c r="J2182" s="5"/>
      <c r="K2182" s="5">
        <f>IFERROR(__xludf.DUMMYFUNCTION("""COMPUTED_VALUE"""),0.5)</f>
        <v>0.5</v>
      </c>
      <c r="L2182" s="5"/>
    </row>
    <row r="2183">
      <c r="A2183" s="5" t="str">
        <f>IFERROR(__xludf.DUMMYFUNCTION("""COMPUTED_VALUE"""),"XL4-MPC-009")</f>
        <v>XL4-MPC-009</v>
      </c>
      <c r="B2183" s="3" t="str">
        <f>IFERROR(__xludf.DUMMYFUNCTION("""COMPUTED_VALUE"""),"Máy phát cỏ 4 thì")</f>
        <v>Máy phát cỏ 4 thì</v>
      </c>
      <c r="C2183" s="5" t="str">
        <f>IFERROR(__xludf.DUMMYFUNCTION("""COMPUTED_VALUE"""),"Loại biên")</f>
        <v>Loại biên</v>
      </c>
      <c r="D2183" s="5" t="str">
        <f>IFERROR(__xludf.DUMMYFUNCTION("""COMPUTED_VALUE"""),"HINOTA")</f>
        <v>HINOTA</v>
      </c>
      <c r="E2183" s="5" t="str">
        <f>IFERROR(__xludf.DUMMYFUNCTION("""COMPUTED_VALUE"""),"Trung Quốc")</f>
        <v>Trung Quốc</v>
      </c>
      <c r="F2183" s="5"/>
      <c r="G2183" s="5" t="str">
        <f>IFERROR(__xludf.DUMMYFUNCTION("""COMPUTED_VALUE"""),"CG435")</f>
        <v>CG435</v>
      </c>
      <c r="H2183" s="5" t="str">
        <f>IFERROR(__xludf.DUMMYFUNCTION("""COMPUTED_VALUE"""),"1.2HP")</f>
        <v>1.2HP</v>
      </c>
      <c r="I2183" s="5"/>
      <c r="J2183" s="5"/>
      <c r="K2183" s="5">
        <f>IFERROR(__xludf.DUMMYFUNCTION("""COMPUTED_VALUE"""),0.5)</f>
        <v>0.5</v>
      </c>
      <c r="L2183" s="5"/>
    </row>
    <row r="2184">
      <c r="A2184" s="5" t="str">
        <f>IFERROR(__xludf.DUMMYFUNCTION("""COMPUTED_VALUE"""),"XL4-MPC-011")</f>
        <v>XL4-MPC-011</v>
      </c>
      <c r="B2184" s="3" t="str">
        <f>IFERROR(__xludf.DUMMYFUNCTION("""COMPUTED_VALUE"""),"Máy phát cỏ 4 thì")</f>
        <v>Máy phát cỏ 4 thì</v>
      </c>
      <c r="C2184" s="5" t="str">
        <f>IFERROR(__xludf.DUMMYFUNCTION("""COMPUTED_VALUE"""),"Loại biên")</f>
        <v>Loại biên</v>
      </c>
      <c r="D2184" s="5" t="str">
        <f>IFERROR(__xludf.DUMMYFUNCTION("""COMPUTED_VALUE"""),"HINOTA")</f>
        <v>HINOTA</v>
      </c>
      <c r="E2184" s="5" t="str">
        <f>IFERROR(__xludf.DUMMYFUNCTION("""COMPUTED_VALUE"""),"Trung Quốc")</f>
        <v>Trung Quốc</v>
      </c>
      <c r="F2184" s="5"/>
      <c r="G2184" s="5" t="str">
        <f>IFERROR(__xludf.DUMMYFUNCTION("""COMPUTED_VALUE"""),"CG435")</f>
        <v>CG435</v>
      </c>
      <c r="H2184" s="5" t="str">
        <f>IFERROR(__xludf.DUMMYFUNCTION("""COMPUTED_VALUE"""),"1.2HP")</f>
        <v>1.2HP</v>
      </c>
      <c r="I2184" s="5"/>
      <c r="J2184" s="5"/>
      <c r="K2184" s="5">
        <f>IFERROR(__xludf.DUMMYFUNCTION("""COMPUTED_VALUE"""),0.5)</f>
        <v>0.5</v>
      </c>
      <c r="L2184" s="5"/>
    </row>
    <row r="2185">
      <c r="A2185" s="5" t="str">
        <f>IFERROR(__xludf.DUMMYFUNCTION("""COMPUTED_VALUE"""),"XL4-MPC-014")</f>
        <v>XL4-MPC-014</v>
      </c>
      <c r="B2185" s="3" t="str">
        <f>IFERROR(__xludf.DUMMYFUNCTION("""COMPUTED_VALUE"""),"Máy phát cỏ 4 thì")</f>
        <v>Máy phát cỏ 4 thì</v>
      </c>
      <c r="C2185" s="5" t="str">
        <f>IFERROR(__xludf.DUMMYFUNCTION("""COMPUTED_VALUE"""),"Loại biên")</f>
        <v>Loại biên</v>
      </c>
      <c r="D2185" s="5" t="str">
        <f>IFERROR(__xludf.DUMMYFUNCTION("""COMPUTED_VALUE"""),"HINOTA")</f>
        <v>HINOTA</v>
      </c>
      <c r="E2185" s="5" t="str">
        <f>IFERROR(__xludf.DUMMYFUNCTION("""COMPUTED_VALUE"""),"Trung Quốc")</f>
        <v>Trung Quốc</v>
      </c>
      <c r="F2185" s="5"/>
      <c r="G2185" s="5" t="str">
        <f>IFERROR(__xludf.DUMMYFUNCTION("""COMPUTED_VALUE"""),"CG435")</f>
        <v>CG435</v>
      </c>
      <c r="H2185" s="5" t="str">
        <f>IFERROR(__xludf.DUMMYFUNCTION("""COMPUTED_VALUE"""),"1.2HP")</f>
        <v>1.2HP</v>
      </c>
      <c r="I2185" s="5"/>
      <c r="J2185" s="5"/>
      <c r="K2185" s="5">
        <f>IFERROR(__xludf.DUMMYFUNCTION("""COMPUTED_VALUE"""),0.5)</f>
        <v>0.5</v>
      </c>
      <c r="L2185" s="5"/>
    </row>
    <row r="2186">
      <c r="A2186" s="5" t="str">
        <f>IFERROR(__xludf.DUMMYFUNCTION("""COMPUTED_VALUE"""),"XL4-MPC-015")</f>
        <v>XL4-MPC-015</v>
      </c>
      <c r="B2186" s="3" t="str">
        <f>IFERROR(__xludf.DUMMYFUNCTION("""COMPUTED_VALUE"""),"Máy phát cỏ 4 thì")</f>
        <v>Máy phát cỏ 4 thì</v>
      </c>
      <c r="C2186" s="5" t="str">
        <f>IFERROR(__xludf.DUMMYFUNCTION("""COMPUTED_VALUE"""),"Loại biên")</f>
        <v>Loại biên</v>
      </c>
      <c r="D2186" s="5" t="str">
        <f>IFERROR(__xludf.DUMMYFUNCTION("""COMPUTED_VALUE"""),"HINOTA")</f>
        <v>HINOTA</v>
      </c>
      <c r="E2186" s="5" t="str">
        <f>IFERROR(__xludf.DUMMYFUNCTION("""COMPUTED_VALUE"""),"Trung Quốc")</f>
        <v>Trung Quốc</v>
      </c>
      <c r="F2186" s="5"/>
      <c r="G2186" s="5" t="str">
        <f>IFERROR(__xludf.DUMMYFUNCTION("""COMPUTED_VALUE"""),"CG435")</f>
        <v>CG435</v>
      </c>
      <c r="H2186" s="5" t="str">
        <f>IFERROR(__xludf.DUMMYFUNCTION("""COMPUTED_VALUE"""),"1.2HP")</f>
        <v>1.2HP</v>
      </c>
      <c r="I2186" s="5"/>
      <c r="J2186" s="5"/>
      <c r="K2186" s="5">
        <f>IFERROR(__xludf.DUMMYFUNCTION("""COMPUTED_VALUE"""),0.5)</f>
        <v>0.5</v>
      </c>
      <c r="L2186" s="5"/>
    </row>
    <row r="2187">
      <c r="A2187" s="5" t="str">
        <f>IFERROR(__xludf.DUMMYFUNCTION("""COMPUTED_VALUE"""),"XL4-MPC-017")</f>
        <v>XL4-MPC-017</v>
      </c>
      <c r="B2187" s="3" t="str">
        <f>IFERROR(__xludf.DUMMYFUNCTION("""COMPUTED_VALUE"""),"Máy phát cỏ 4 thì")</f>
        <v>Máy phát cỏ 4 thì</v>
      </c>
      <c r="C2187" s="5" t="str">
        <f>IFERROR(__xludf.DUMMYFUNCTION("""COMPUTED_VALUE"""),"Loại biên")</f>
        <v>Loại biên</v>
      </c>
      <c r="D2187" s="5" t="str">
        <f>IFERROR(__xludf.DUMMYFUNCTION("""COMPUTED_VALUE"""),"HINOTA")</f>
        <v>HINOTA</v>
      </c>
      <c r="E2187" s="5" t="str">
        <f>IFERROR(__xludf.DUMMYFUNCTION("""COMPUTED_VALUE"""),"Trung Quốc")</f>
        <v>Trung Quốc</v>
      </c>
      <c r="F2187" s="5"/>
      <c r="G2187" s="5" t="str">
        <f>IFERROR(__xludf.DUMMYFUNCTION("""COMPUTED_VALUE"""),"CG435")</f>
        <v>CG435</v>
      </c>
      <c r="H2187" s="5" t="str">
        <f>IFERROR(__xludf.DUMMYFUNCTION("""COMPUTED_VALUE"""),"1.2HP")</f>
        <v>1.2HP</v>
      </c>
      <c r="I2187" s="5"/>
      <c r="J2187" s="5"/>
      <c r="K2187" s="5">
        <f>IFERROR(__xludf.DUMMYFUNCTION("""COMPUTED_VALUE"""),0.5)</f>
        <v>0.5</v>
      </c>
      <c r="L2187" s="5"/>
    </row>
    <row r="2188">
      <c r="A2188" s="5" t="str">
        <f>IFERROR(__xludf.DUMMYFUNCTION("""COMPUTED_VALUE"""),"XL4-MPC-019")</f>
        <v>XL4-MPC-019</v>
      </c>
      <c r="B2188" s="3" t="str">
        <f>IFERROR(__xludf.DUMMYFUNCTION("""COMPUTED_VALUE"""),"Máy phát cỏ 4 thì")</f>
        <v>Máy phát cỏ 4 thì</v>
      </c>
      <c r="C2188" s="5" t="str">
        <f>IFERROR(__xludf.DUMMYFUNCTION("""COMPUTED_VALUE"""),"Loại biên")</f>
        <v>Loại biên</v>
      </c>
      <c r="D2188" s="5" t="str">
        <f>IFERROR(__xludf.DUMMYFUNCTION("""COMPUTED_VALUE"""),"HINOTA")</f>
        <v>HINOTA</v>
      </c>
      <c r="E2188" s="5" t="str">
        <f>IFERROR(__xludf.DUMMYFUNCTION("""COMPUTED_VALUE"""),"Trung Quốc")</f>
        <v>Trung Quốc</v>
      </c>
      <c r="F2188" s="5"/>
      <c r="G2188" s="5" t="str">
        <f>IFERROR(__xludf.DUMMYFUNCTION("""COMPUTED_VALUE"""),"CG435")</f>
        <v>CG435</v>
      </c>
      <c r="H2188" s="5" t="str">
        <f>IFERROR(__xludf.DUMMYFUNCTION("""COMPUTED_VALUE"""),"1.2HP")</f>
        <v>1.2HP</v>
      </c>
      <c r="I2188" s="5"/>
      <c r="J2188" s="5"/>
      <c r="K2188" s="5">
        <f>IFERROR(__xludf.DUMMYFUNCTION("""COMPUTED_VALUE"""),0.5)</f>
        <v>0.5</v>
      </c>
      <c r="L2188" s="5"/>
    </row>
    <row r="2189">
      <c r="A2189" s="5" t="str">
        <f>IFERROR(__xludf.DUMMYFUNCTION("""COMPUTED_VALUE"""),"XL4-MPC-021")</f>
        <v>XL4-MPC-021</v>
      </c>
      <c r="B2189" s="3" t="str">
        <f>IFERROR(__xludf.DUMMYFUNCTION("""COMPUTED_VALUE"""),"Máy phát cỏ 4 thì")</f>
        <v>Máy phát cỏ 4 thì</v>
      </c>
      <c r="C2189" s="5" t="str">
        <f>IFERROR(__xludf.DUMMYFUNCTION("""COMPUTED_VALUE"""),"Loại biên")</f>
        <v>Loại biên</v>
      </c>
      <c r="D2189" s="5" t="str">
        <f>IFERROR(__xludf.DUMMYFUNCTION("""COMPUTED_VALUE"""),"HINOTA")</f>
        <v>HINOTA</v>
      </c>
      <c r="E2189" s="5" t="str">
        <f>IFERROR(__xludf.DUMMYFUNCTION("""COMPUTED_VALUE"""),"Trung Quốc")</f>
        <v>Trung Quốc</v>
      </c>
      <c r="F2189" s="5"/>
      <c r="G2189" s="5" t="str">
        <f>IFERROR(__xludf.DUMMYFUNCTION("""COMPUTED_VALUE"""),"CG435")</f>
        <v>CG435</v>
      </c>
      <c r="H2189" s="5" t="str">
        <f>IFERROR(__xludf.DUMMYFUNCTION("""COMPUTED_VALUE"""),"1.2HP")</f>
        <v>1.2HP</v>
      </c>
      <c r="I2189" s="5"/>
      <c r="J2189" s="5"/>
      <c r="K2189" s="5">
        <f>IFERROR(__xludf.DUMMYFUNCTION("""COMPUTED_VALUE"""),0.5)</f>
        <v>0.5</v>
      </c>
      <c r="L2189" s="5"/>
    </row>
    <row r="2190">
      <c r="A2190" s="5" t="str">
        <f>IFERROR(__xludf.DUMMYFUNCTION("""COMPUTED_VALUE"""),"XL4-MPC-023")</f>
        <v>XL4-MPC-023</v>
      </c>
      <c r="B2190" s="3" t="str">
        <f>IFERROR(__xludf.DUMMYFUNCTION("""COMPUTED_VALUE"""),"Máy phát cỏ 4 thì")</f>
        <v>Máy phát cỏ 4 thì</v>
      </c>
      <c r="C2190" s="5" t="str">
        <f>IFERROR(__xludf.DUMMYFUNCTION("""COMPUTED_VALUE"""),"Loại biên")</f>
        <v>Loại biên</v>
      </c>
      <c r="D2190" s="5" t="str">
        <f>IFERROR(__xludf.DUMMYFUNCTION("""COMPUTED_VALUE"""),"HINOTA")</f>
        <v>HINOTA</v>
      </c>
      <c r="E2190" s="5" t="str">
        <f>IFERROR(__xludf.DUMMYFUNCTION("""COMPUTED_VALUE"""),"Trung Quốc")</f>
        <v>Trung Quốc</v>
      </c>
      <c r="F2190" s="5"/>
      <c r="G2190" s="5" t="str">
        <f>IFERROR(__xludf.DUMMYFUNCTION("""COMPUTED_VALUE"""),"CG435")</f>
        <v>CG435</v>
      </c>
      <c r="H2190" s="5" t="str">
        <f>IFERROR(__xludf.DUMMYFUNCTION("""COMPUTED_VALUE"""),"1.2HP")</f>
        <v>1.2HP</v>
      </c>
      <c r="I2190" s="5"/>
      <c r="J2190" s="5"/>
      <c r="K2190" s="5">
        <f>IFERROR(__xludf.DUMMYFUNCTION("""COMPUTED_VALUE"""),0.5)</f>
        <v>0.5</v>
      </c>
      <c r="L2190" s="5"/>
    </row>
    <row r="2191">
      <c r="A2191" s="5" t="str">
        <f>IFERROR(__xludf.DUMMYFUNCTION("""COMPUTED_VALUE"""),"XL4-MPC-029")</f>
        <v>XL4-MPC-029</v>
      </c>
      <c r="B2191" s="3" t="str">
        <f>IFERROR(__xludf.DUMMYFUNCTION("""COMPUTED_VALUE"""),"Máy phát cỏ 4 thì")</f>
        <v>Máy phát cỏ 4 thì</v>
      </c>
      <c r="C2191" s="5" t="str">
        <f>IFERROR(__xludf.DUMMYFUNCTION("""COMPUTED_VALUE"""),"Loại biên")</f>
        <v>Loại biên</v>
      </c>
      <c r="D2191" s="5" t="str">
        <f>IFERROR(__xludf.DUMMYFUNCTION("""COMPUTED_VALUE"""),"HINOTA")</f>
        <v>HINOTA</v>
      </c>
      <c r="E2191" s="5" t="str">
        <f>IFERROR(__xludf.DUMMYFUNCTION("""COMPUTED_VALUE"""),"Trung Quốc")</f>
        <v>Trung Quốc</v>
      </c>
      <c r="F2191" s="5"/>
      <c r="G2191" s="5" t="str">
        <f>IFERROR(__xludf.DUMMYFUNCTION("""COMPUTED_VALUE"""),"CG435")</f>
        <v>CG435</v>
      </c>
      <c r="H2191" s="5" t="str">
        <f>IFERROR(__xludf.DUMMYFUNCTION("""COMPUTED_VALUE"""),"1.2HP")</f>
        <v>1.2HP</v>
      </c>
      <c r="I2191" s="5"/>
      <c r="J2191" s="5"/>
      <c r="K2191" s="5">
        <f>IFERROR(__xludf.DUMMYFUNCTION("""COMPUTED_VALUE"""),0.5)</f>
        <v>0.5</v>
      </c>
      <c r="L2191" s="5"/>
    </row>
    <row r="2192">
      <c r="A2192" s="5" t="str">
        <f>IFERROR(__xludf.DUMMYFUNCTION("""COMPUTED_VALUE"""),"XL4-MPC-030")</f>
        <v>XL4-MPC-030</v>
      </c>
      <c r="B2192" s="3" t="str">
        <f>IFERROR(__xludf.DUMMYFUNCTION("""COMPUTED_VALUE"""),"Máy phát cỏ 4 thì")</f>
        <v>Máy phát cỏ 4 thì</v>
      </c>
      <c r="C2192" s="5" t="str">
        <f>IFERROR(__xludf.DUMMYFUNCTION("""COMPUTED_VALUE"""),"Loại biên")</f>
        <v>Loại biên</v>
      </c>
      <c r="D2192" s="5" t="str">
        <f>IFERROR(__xludf.DUMMYFUNCTION("""COMPUTED_VALUE"""),"HINOTA")</f>
        <v>HINOTA</v>
      </c>
      <c r="E2192" s="5" t="str">
        <f>IFERROR(__xludf.DUMMYFUNCTION("""COMPUTED_VALUE"""),"Trung Quốc")</f>
        <v>Trung Quốc</v>
      </c>
      <c r="F2192" s="5"/>
      <c r="G2192" s="5" t="str">
        <f>IFERROR(__xludf.DUMMYFUNCTION("""COMPUTED_VALUE"""),"CG435")</f>
        <v>CG435</v>
      </c>
      <c r="H2192" s="5" t="str">
        <f>IFERROR(__xludf.DUMMYFUNCTION("""COMPUTED_VALUE"""),"1.2HP")</f>
        <v>1.2HP</v>
      </c>
      <c r="I2192" s="5"/>
      <c r="J2192" s="5"/>
      <c r="K2192" s="5">
        <f>IFERROR(__xludf.DUMMYFUNCTION("""COMPUTED_VALUE"""),0.5)</f>
        <v>0.5</v>
      </c>
      <c r="L2192" s="5"/>
    </row>
    <row r="2193">
      <c r="A2193" s="5" t="str">
        <f>IFERROR(__xludf.DUMMYFUNCTION("""COMPUTED_VALUE"""),"XN CHUỐI AD2")</f>
        <v>XN CHUỐI AD2</v>
      </c>
      <c r="B2193" s="3"/>
      <c r="C2193" s="5" t="str">
        <f>IFERROR(__xludf.DUMMYFUNCTION("""COMPUTED_VALUE"""),"Loại biên")</f>
        <v>Loại biên</v>
      </c>
      <c r="D2193" s="5"/>
      <c r="E2193" s="5"/>
      <c r="F2193" s="5"/>
      <c r="G2193" s="5"/>
      <c r="H2193" s="5"/>
      <c r="I2193" s="5"/>
      <c r="J2193" s="5"/>
      <c r="K2193" s="5"/>
      <c r="L2193" s="5"/>
    </row>
    <row r="2194">
      <c r="A2194" s="5" t="str">
        <f>IFERROR(__xludf.DUMMYFUNCTION("""COMPUTED_VALUE"""),"XA2-MPC-001")</f>
        <v>XA2-MPC-001</v>
      </c>
      <c r="B2194" s="3" t="str">
        <f>IFERROR(__xludf.DUMMYFUNCTION("""COMPUTED_VALUE"""),"Máy phát cỏ 4 thì")</f>
        <v>Máy phát cỏ 4 thì</v>
      </c>
      <c r="C2194" s="5" t="str">
        <f>IFERROR(__xludf.DUMMYFUNCTION("""COMPUTED_VALUE"""),"Loại biên")</f>
        <v>Loại biên</v>
      </c>
      <c r="D2194" s="5" t="str">
        <f>IFERROR(__xludf.DUMMYFUNCTION("""COMPUTED_VALUE"""),"HINOTA")</f>
        <v>HINOTA</v>
      </c>
      <c r="E2194" s="5" t="str">
        <f>IFERROR(__xludf.DUMMYFUNCTION("""COMPUTED_VALUE"""),"Nhật Bản")</f>
        <v>Nhật Bản</v>
      </c>
      <c r="F2194" s="5"/>
      <c r="G2194" s="5" t="str">
        <f>IFERROR(__xludf.DUMMYFUNCTION("""COMPUTED_VALUE"""),"CG435")</f>
        <v>CG435</v>
      </c>
      <c r="H2194" s="5" t="str">
        <f>IFERROR(__xludf.DUMMYFUNCTION("""COMPUTED_VALUE"""),"1.2HP")</f>
        <v>1.2HP</v>
      </c>
      <c r="I2194" s="5"/>
      <c r="J2194" s="5"/>
      <c r="K2194" s="5">
        <f>IFERROR(__xludf.DUMMYFUNCTION("""COMPUTED_VALUE"""),0.5)</f>
        <v>0.5</v>
      </c>
      <c r="L2194" s="5"/>
    </row>
    <row r="2195">
      <c r="A2195" s="5" t="str">
        <f>IFERROR(__xludf.DUMMYFUNCTION("""COMPUTED_VALUE"""),"XA2-MPC-002")</f>
        <v>XA2-MPC-002</v>
      </c>
      <c r="B2195" s="3" t="str">
        <f>IFERROR(__xludf.DUMMYFUNCTION("""COMPUTED_VALUE"""),"Máy phát cỏ 4 thì")</f>
        <v>Máy phát cỏ 4 thì</v>
      </c>
      <c r="C2195" s="5" t="str">
        <f>IFERROR(__xludf.DUMMYFUNCTION("""COMPUTED_VALUE"""),"Loại biên")</f>
        <v>Loại biên</v>
      </c>
      <c r="D2195" s="5" t="str">
        <f>IFERROR(__xludf.DUMMYFUNCTION("""COMPUTED_VALUE"""),"HINOTA")</f>
        <v>HINOTA</v>
      </c>
      <c r="E2195" s="5" t="str">
        <f>IFERROR(__xludf.DUMMYFUNCTION("""COMPUTED_VALUE"""),"Nhật Bản")</f>
        <v>Nhật Bản</v>
      </c>
      <c r="F2195" s="5"/>
      <c r="G2195" s="5" t="str">
        <f>IFERROR(__xludf.DUMMYFUNCTION("""COMPUTED_VALUE"""),"CG435")</f>
        <v>CG435</v>
      </c>
      <c r="H2195" s="5" t="str">
        <f>IFERROR(__xludf.DUMMYFUNCTION("""COMPUTED_VALUE"""),"1.2HP")</f>
        <v>1.2HP</v>
      </c>
      <c r="I2195" s="5"/>
      <c r="J2195" s="5"/>
      <c r="K2195" s="5">
        <f>IFERROR(__xludf.DUMMYFUNCTION("""COMPUTED_VALUE"""),0.5)</f>
        <v>0.5</v>
      </c>
      <c r="L2195" s="5"/>
    </row>
    <row r="2196">
      <c r="A2196" s="5" t="str">
        <f>IFERROR(__xludf.DUMMYFUNCTION("""COMPUTED_VALUE"""),"XA2-MPC-003")</f>
        <v>XA2-MPC-003</v>
      </c>
      <c r="B2196" s="3" t="str">
        <f>IFERROR(__xludf.DUMMYFUNCTION("""COMPUTED_VALUE"""),"Máy phát cỏ 4 thì")</f>
        <v>Máy phát cỏ 4 thì</v>
      </c>
      <c r="C2196" s="5" t="str">
        <f>IFERROR(__xludf.DUMMYFUNCTION("""COMPUTED_VALUE"""),"Loại biên")</f>
        <v>Loại biên</v>
      </c>
      <c r="D2196" s="5" t="str">
        <f>IFERROR(__xludf.DUMMYFUNCTION("""COMPUTED_VALUE"""),"HINOTA")</f>
        <v>HINOTA</v>
      </c>
      <c r="E2196" s="5" t="str">
        <f>IFERROR(__xludf.DUMMYFUNCTION("""COMPUTED_VALUE"""),"Nhật Bản")</f>
        <v>Nhật Bản</v>
      </c>
      <c r="F2196" s="5"/>
      <c r="G2196" s="5" t="str">
        <f>IFERROR(__xludf.DUMMYFUNCTION("""COMPUTED_VALUE"""),"CG435")</f>
        <v>CG435</v>
      </c>
      <c r="H2196" s="5" t="str">
        <f>IFERROR(__xludf.DUMMYFUNCTION("""COMPUTED_VALUE"""),"1.2HP")</f>
        <v>1.2HP</v>
      </c>
      <c r="I2196" s="5"/>
      <c r="J2196" s="5"/>
      <c r="K2196" s="5">
        <f>IFERROR(__xludf.DUMMYFUNCTION("""COMPUTED_VALUE"""),0.5)</f>
        <v>0.5</v>
      </c>
      <c r="L2196" s="5"/>
    </row>
    <row r="2197">
      <c r="A2197" s="5" t="str">
        <f>IFERROR(__xludf.DUMMYFUNCTION("""COMPUTED_VALUE"""),"XA2-MPC-004")</f>
        <v>XA2-MPC-004</v>
      </c>
      <c r="B2197" s="3" t="str">
        <f>IFERROR(__xludf.DUMMYFUNCTION("""COMPUTED_VALUE"""),"Máy phát cỏ 4 thì")</f>
        <v>Máy phát cỏ 4 thì</v>
      </c>
      <c r="C2197" s="5" t="str">
        <f>IFERROR(__xludf.DUMMYFUNCTION("""COMPUTED_VALUE"""),"Loại biên")</f>
        <v>Loại biên</v>
      </c>
      <c r="D2197" s="5" t="str">
        <f>IFERROR(__xludf.DUMMYFUNCTION("""COMPUTED_VALUE"""),"HINOTA")</f>
        <v>HINOTA</v>
      </c>
      <c r="E2197" s="5" t="str">
        <f>IFERROR(__xludf.DUMMYFUNCTION("""COMPUTED_VALUE"""),"Nhật Bản")</f>
        <v>Nhật Bản</v>
      </c>
      <c r="F2197" s="5"/>
      <c r="G2197" s="5" t="str">
        <f>IFERROR(__xludf.DUMMYFUNCTION("""COMPUTED_VALUE"""),"CG435")</f>
        <v>CG435</v>
      </c>
      <c r="H2197" s="5" t="str">
        <f>IFERROR(__xludf.DUMMYFUNCTION("""COMPUTED_VALUE"""),"1.2HP")</f>
        <v>1.2HP</v>
      </c>
      <c r="I2197" s="5"/>
      <c r="J2197" s="5"/>
      <c r="K2197" s="5">
        <f>IFERROR(__xludf.DUMMYFUNCTION("""COMPUTED_VALUE"""),0.5)</f>
        <v>0.5</v>
      </c>
      <c r="L2197" s="5"/>
    </row>
    <row r="2198">
      <c r="A2198" s="5" t="str">
        <f>IFERROR(__xludf.DUMMYFUNCTION("""COMPUTED_VALUE"""),"XA2-MPC-013")</f>
        <v>XA2-MPC-013</v>
      </c>
      <c r="B2198" s="3" t="str">
        <f>IFERROR(__xludf.DUMMYFUNCTION("""COMPUTED_VALUE"""),"Máy phát cỏ 4 thì")</f>
        <v>Máy phát cỏ 4 thì</v>
      </c>
      <c r="C2198" s="5" t="str">
        <f>IFERROR(__xludf.DUMMYFUNCTION("""COMPUTED_VALUE"""),"Loại biên")</f>
        <v>Loại biên</v>
      </c>
      <c r="D2198" s="5" t="str">
        <f>IFERROR(__xludf.DUMMYFUNCTION("""COMPUTED_VALUE"""),"HINOTA")</f>
        <v>HINOTA</v>
      </c>
      <c r="E2198" s="5" t="str">
        <f>IFERROR(__xludf.DUMMYFUNCTION("""COMPUTED_VALUE"""),"Nhật Bản")</f>
        <v>Nhật Bản</v>
      </c>
      <c r="F2198" s="5"/>
      <c r="G2198" s="5" t="str">
        <f>IFERROR(__xludf.DUMMYFUNCTION("""COMPUTED_VALUE"""),"CG435")</f>
        <v>CG435</v>
      </c>
      <c r="H2198" s="5" t="str">
        <f>IFERROR(__xludf.DUMMYFUNCTION("""COMPUTED_VALUE"""),"1.2HP")</f>
        <v>1.2HP</v>
      </c>
      <c r="I2198" s="5"/>
      <c r="J2198" s="5"/>
      <c r="K2198" s="5">
        <f>IFERROR(__xludf.DUMMYFUNCTION("""COMPUTED_VALUE"""),0.5)</f>
        <v>0.5</v>
      </c>
      <c r="L2198" s="5"/>
    </row>
    <row r="2199">
      <c r="A2199" s="5" t="str">
        <f>IFERROR(__xludf.DUMMYFUNCTION("""COMPUTED_VALUE"""),"XA2-MPC-014")</f>
        <v>XA2-MPC-014</v>
      </c>
      <c r="B2199" s="3" t="str">
        <f>IFERROR(__xludf.DUMMYFUNCTION("""COMPUTED_VALUE"""),"Máy phát cỏ 4 thì")</f>
        <v>Máy phát cỏ 4 thì</v>
      </c>
      <c r="C2199" s="5" t="str">
        <f>IFERROR(__xludf.DUMMYFUNCTION("""COMPUTED_VALUE"""),"Loại biên")</f>
        <v>Loại biên</v>
      </c>
      <c r="D2199" s="5" t="str">
        <f>IFERROR(__xludf.DUMMYFUNCTION("""COMPUTED_VALUE"""),"HINOTA")</f>
        <v>HINOTA</v>
      </c>
      <c r="E2199" s="5" t="str">
        <f>IFERROR(__xludf.DUMMYFUNCTION("""COMPUTED_VALUE"""),"Nhật Bản")</f>
        <v>Nhật Bản</v>
      </c>
      <c r="F2199" s="5"/>
      <c r="G2199" s="5" t="str">
        <f>IFERROR(__xludf.DUMMYFUNCTION("""COMPUTED_VALUE"""),"CG435")</f>
        <v>CG435</v>
      </c>
      <c r="H2199" s="5" t="str">
        <f>IFERROR(__xludf.DUMMYFUNCTION("""COMPUTED_VALUE"""),"1.2HP")</f>
        <v>1.2HP</v>
      </c>
      <c r="I2199" s="5"/>
      <c r="J2199" s="5"/>
      <c r="K2199" s="5">
        <f>IFERROR(__xludf.DUMMYFUNCTION("""COMPUTED_VALUE"""),0.5)</f>
        <v>0.5</v>
      </c>
      <c r="L2199" s="5"/>
    </row>
    <row r="2200">
      <c r="A2200" s="5" t="str">
        <f>IFERROR(__xludf.DUMMYFUNCTION("""COMPUTED_VALUE"""),"XA2-MPC-015")</f>
        <v>XA2-MPC-015</v>
      </c>
      <c r="B2200" s="3" t="str">
        <f>IFERROR(__xludf.DUMMYFUNCTION("""COMPUTED_VALUE"""),"Máy phát cỏ 4 thì")</f>
        <v>Máy phát cỏ 4 thì</v>
      </c>
      <c r="C2200" s="5" t="str">
        <f>IFERROR(__xludf.DUMMYFUNCTION("""COMPUTED_VALUE"""),"Loại biên")</f>
        <v>Loại biên</v>
      </c>
      <c r="D2200" s="5" t="str">
        <f>IFERROR(__xludf.DUMMYFUNCTION("""COMPUTED_VALUE"""),"HINOTA")</f>
        <v>HINOTA</v>
      </c>
      <c r="E2200" s="5" t="str">
        <f>IFERROR(__xludf.DUMMYFUNCTION("""COMPUTED_VALUE"""),"Nhật Bản")</f>
        <v>Nhật Bản</v>
      </c>
      <c r="F2200" s="5"/>
      <c r="G2200" s="5" t="str">
        <f>IFERROR(__xludf.DUMMYFUNCTION("""COMPUTED_VALUE"""),"CG435")</f>
        <v>CG435</v>
      </c>
      <c r="H2200" s="5" t="str">
        <f>IFERROR(__xludf.DUMMYFUNCTION("""COMPUTED_VALUE"""),"1.2HP")</f>
        <v>1.2HP</v>
      </c>
      <c r="I2200" s="5"/>
      <c r="J2200" s="5"/>
      <c r="K2200" s="5">
        <f>IFERROR(__xludf.DUMMYFUNCTION("""COMPUTED_VALUE"""),0.5)</f>
        <v>0.5</v>
      </c>
      <c r="L2200" s="5"/>
    </row>
    <row r="2201">
      <c r="A2201" s="5" t="str">
        <f>IFERROR(__xludf.DUMMYFUNCTION("""COMPUTED_VALUE"""),"XA2-MPC-018")</f>
        <v>XA2-MPC-018</v>
      </c>
      <c r="B2201" s="3" t="str">
        <f>IFERROR(__xludf.DUMMYFUNCTION("""COMPUTED_VALUE"""),"Máy phát cỏ 4 thì")</f>
        <v>Máy phát cỏ 4 thì</v>
      </c>
      <c r="C2201" s="5" t="str">
        <f>IFERROR(__xludf.DUMMYFUNCTION("""COMPUTED_VALUE"""),"Loại biên")</f>
        <v>Loại biên</v>
      </c>
      <c r="D2201" s="5" t="str">
        <f>IFERROR(__xludf.DUMMYFUNCTION("""COMPUTED_VALUE"""),"HINOTA")</f>
        <v>HINOTA</v>
      </c>
      <c r="E2201" s="5" t="str">
        <f>IFERROR(__xludf.DUMMYFUNCTION("""COMPUTED_VALUE"""),"Nhật Bản")</f>
        <v>Nhật Bản</v>
      </c>
      <c r="F2201" s="5"/>
      <c r="G2201" s="5" t="str">
        <f>IFERROR(__xludf.DUMMYFUNCTION("""COMPUTED_VALUE"""),"CG435")</f>
        <v>CG435</v>
      </c>
      <c r="H2201" s="5" t="str">
        <f>IFERROR(__xludf.DUMMYFUNCTION("""COMPUTED_VALUE"""),"1.2HP")</f>
        <v>1.2HP</v>
      </c>
      <c r="I2201" s="5"/>
      <c r="J2201" s="5"/>
      <c r="K2201" s="5">
        <f>IFERROR(__xludf.DUMMYFUNCTION("""COMPUTED_VALUE"""),0.5)</f>
        <v>0.5</v>
      </c>
      <c r="L2201" s="5"/>
    </row>
    <row r="2202">
      <c r="A2202" s="5" t="str">
        <f>IFERROR(__xludf.DUMMYFUNCTION("""COMPUTED_VALUE"""),"XA2-MPC-019")</f>
        <v>XA2-MPC-019</v>
      </c>
      <c r="B2202" s="3" t="str">
        <f>IFERROR(__xludf.DUMMYFUNCTION("""COMPUTED_VALUE"""),"Máy phát cỏ 4 thì")</f>
        <v>Máy phát cỏ 4 thì</v>
      </c>
      <c r="C2202" s="5" t="str">
        <f>IFERROR(__xludf.DUMMYFUNCTION("""COMPUTED_VALUE"""),"Loại biên")</f>
        <v>Loại biên</v>
      </c>
      <c r="D2202" s="5" t="str">
        <f>IFERROR(__xludf.DUMMYFUNCTION("""COMPUTED_VALUE"""),"HINOTA")</f>
        <v>HINOTA</v>
      </c>
      <c r="E2202" s="5" t="str">
        <f>IFERROR(__xludf.DUMMYFUNCTION("""COMPUTED_VALUE"""),"Nhật Bản")</f>
        <v>Nhật Bản</v>
      </c>
      <c r="F2202" s="5"/>
      <c r="G2202" s="5" t="str">
        <f>IFERROR(__xludf.DUMMYFUNCTION("""COMPUTED_VALUE"""),"CG435")</f>
        <v>CG435</v>
      </c>
      <c r="H2202" s="5" t="str">
        <f>IFERROR(__xludf.DUMMYFUNCTION("""COMPUTED_VALUE"""),"1.2HP")</f>
        <v>1.2HP</v>
      </c>
      <c r="I2202" s="5"/>
      <c r="J2202" s="5"/>
      <c r="K2202" s="5">
        <f>IFERROR(__xludf.DUMMYFUNCTION("""COMPUTED_VALUE"""),0.5)</f>
        <v>0.5</v>
      </c>
      <c r="L2202" s="5"/>
    </row>
    <row r="2203">
      <c r="A2203" s="5" t="str">
        <f>IFERROR(__xludf.DUMMYFUNCTION("""COMPUTED_VALUE"""),"XA2-MPC-020")</f>
        <v>XA2-MPC-020</v>
      </c>
      <c r="B2203" s="3" t="str">
        <f>IFERROR(__xludf.DUMMYFUNCTION("""COMPUTED_VALUE"""),"Máy phát cỏ 4 thì")</f>
        <v>Máy phát cỏ 4 thì</v>
      </c>
      <c r="C2203" s="5" t="str">
        <f>IFERROR(__xludf.DUMMYFUNCTION("""COMPUTED_VALUE"""),"Loại biên")</f>
        <v>Loại biên</v>
      </c>
      <c r="D2203" s="5" t="str">
        <f>IFERROR(__xludf.DUMMYFUNCTION("""COMPUTED_VALUE"""),"HINOTA")</f>
        <v>HINOTA</v>
      </c>
      <c r="E2203" s="5" t="str">
        <f>IFERROR(__xludf.DUMMYFUNCTION("""COMPUTED_VALUE"""),"Nhật Bản")</f>
        <v>Nhật Bản</v>
      </c>
      <c r="F2203" s="5"/>
      <c r="G2203" s="5" t="str">
        <f>IFERROR(__xludf.DUMMYFUNCTION("""COMPUTED_VALUE"""),"CG435")</f>
        <v>CG435</v>
      </c>
      <c r="H2203" s="5" t="str">
        <f>IFERROR(__xludf.DUMMYFUNCTION("""COMPUTED_VALUE"""),"1.2HP")</f>
        <v>1.2HP</v>
      </c>
      <c r="I2203" s="5"/>
      <c r="J2203" s="5"/>
      <c r="K2203" s="5">
        <f>IFERROR(__xludf.DUMMYFUNCTION("""COMPUTED_VALUE"""),0.5)</f>
        <v>0.5</v>
      </c>
      <c r="L2203" s="5"/>
    </row>
    <row r="2204">
      <c r="A2204" s="5" t="str">
        <f>IFERROR(__xludf.DUMMYFUNCTION("""COMPUTED_VALUE"""),"XA2-MPC-024")</f>
        <v>XA2-MPC-024</v>
      </c>
      <c r="B2204" s="3" t="str">
        <f>IFERROR(__xludf.DUMMYFUNCTION("""COMPUTED_VALUE"""),"Máy phát cỏ 4 thì")</f>
        <v>Máy phát cỏ 4 thì</v>
      </c>
      <c r="C2204" s="5" t="str">
        <f>IFERROR(__xludf.DUMMYFUNCTION("""COMPUTED_VALUE"""),"Loại biên")</f>
        <v>Loại biên</v>
      </c>
      <c r="D2204" s="5" t="str">
        <f>IFERROR(__xludf.DUMMYFUNCTION("""COMPUTED_VALUE"""),"HONDA")</f>
        <v>HONDA</v>
      </c>
      <c r="E2204" s="5" t="str">
        <f>IFERROR(__xludf.DUMMYFUNCTION("""COMPUTED_VALUE"""),"Nhật Bản")</f>
        <v>Nhật Bản</v>
      </c>
      <c r="F2204" s="5"/>
      <c r="G2204" s="5" t="str">
        <f>IFERROR(__xludf.DUMMYFUNCTION("""COMPUTED_VALUE"""),"GX35")</f>
        <v>GX35</v>
      </c>
      <c r="H2204" s="5" t="str">
        <f>IFERROR(__xludf.DUMMYFUNCTION("""COMPUTED_VALUE"""),"1.6HP")</f>
        <v>1.6HP</v>
      </c>
      <c r="I2204" s="5" t="str">
        <f>IFERROR(__xludf.DUMMYFUNCTION("""COMPUTED_VALUE"""),"HAAT-2478499")</f>
        <v>HAAT-2478499</v>
      </c>
      <c r="J2204" s="5" t="str">
        <f>IFERROR(__xludf.DUMMYFUNCTION("""COMPUTED_VALUE"""),"GCAMT-7573879")</f>
        <v>GCAMT-7573879</v>
      </c>
      <c r="K2204" s="5">
        <f>IFERROR(__xludf.DUMMYFUNCTION("""COMPUTED_VALUE"""),0.5)</f>
        <v>0.5</v>
      </c>
      <c r="L2204" s="5"/>
    </row>
    <row r="2205">
      <c r="A2205" s="5" t="str">
        <f>IFERROR(__xludf.DUMMYFUNCTION("""COMPUTED_VALUE"""),"XA2-MPC-025")</f>
        <v>XA2-MPC-025</v>
      </c>
      <c r="B2205" s="3" t="str">
        <f>IFERROR(__xludf.DUMMYFUNCTION("""COMPUTED_VALUE"""),"Máy phát cỏ 4 thì")</f>
        <v>Máy phát cỏ 4 thì</v>
      </c>
      <c r="C2205" s="5" t="str">
        <f>IFERROR(__xludf.DUMMYFUNCTION("""COMPUTED_VALUE"""),"Loại biên")</f>
        <v>Loại biên</v>
      </c>
      <c r="D2205" s="5" t="str">
        <f>IFERROR(__xludf.DUMMYFUNCTION("""COMPUTED_VALUE"""),"HONDA")</f>
        <v>HONDA</v>
      </c>
      <c r="E2205" s="5" t="str">
        <f>IFERROR(__xludf.DUMMYFUNCTION("""COMPUTED_VALUE"""),"Nhật Bản")</f>
        <v>Nhật Bản</v>
      </c>
      <c r="F2205" s="5"/>
      <c r="G2205" s="5" t="str">
        <f>IFERROR(__xludf.DUMMYFUNCTION("""COMPUTED_VALUE"""),"GX35")</f>
        <v>GX35</v>
      </c>
      <c r="H2205" s="5" t="str">
        <f>IFERROR(__xludf.DUMMYFUNCTION("""COMPUTED_VALUE"""),"1.6HP")</f>
        <v>1.6HP</v>
      </c>
      <c r="I2205" s="5" t="str">
        <f>IFERROR(__xludf.DUMMYFUNCTION("""COMPUTED_VALUE"""),"HAAT-2478502")</f>
        <v>HAAT-2478502</v>
      </c>
      <c r="J2205" s="5" t="str">
        <f>IFERROR(__xludf.DUMMYFUNCTION("""COMPUTED_VALUE"""),"GCAMT-7573882")</f>
        <v>GCAMT-7573882</v>
      </c>
      <c r="K2205" s="5">
        <f>IFERROR(__xludf.DUMMYFUNCTION("""COMPUTED_VALUE"""),0.5)</f>
        <v>0.5</v>
      </c>
      <c r="L2205" s="5"/>
    </row>
    <row r="2206">
      <c r="A2206" s="5" t="str">
        <f>IFERROR(__xludf.DUMMYFUNCTION("""COMPUTED_VALUE"""),"XA2-MPC-026")</f>
        <v>XA2-MPC-026</v>
      </c>
      <c r="B2206" s="3" t="str">
        <f>IFERROR(__xludf.DUMMYFUNCTION("""COMPUTED_VALUE"""),"Máy phát cỏ 4 thì")</f>
        <v>Máy phát cỏ 4 thì</v>
      </c>
      <c r="C2206" s="5" t="str">
        <f>IFERROR(__xludf.DUMMYFUNCTION("""COMPUTED_VALUE"""),"Loại biên")</f>
        <v>Loại biên</v>
      </c>
      <c r="D2206" s="5" t="str">
        <f>IFERROR(__xludf.DUMMYFUNCTION("""COMPUTED_VALUE"""),"HONDA")</f>
        <v>HONDA</v>
      </c>
      <c r="E2206" s="5" t="str">
        <f>IFERROR(__xludf.DUMMYFUNCTION("""COMPUTED_VALUE"""),"Nhật Bản")</f>
        <v>Nhật Bản</v>
      </c>
      <c r="F2206" s="5"/>
      <c r="G2206" s="5" t="str">
        <f>IFERROR(__xludf.DUMMYFUNCTION("""COMPUTED_VALUE"""),"GX35")</f>
        <v>GX35</v>
      </c>
      <c r="H2206" s="5" t="str">
        <f>IFERROR(__xludf.DUMMYFUNCTION("""COMPUTED_VALUE"""),"1.6HP")</f>
        <v>1.6HP</v>
      </c>
      <c r="I2206" s="5" t="str">
        <f>IFERROR(__xludf.DUMMYFUNCTION("""COMPUTED_VALUE"""),"HAAT-2478494")</f>
        <v>HAAT-2478494</v>
      </c>
      <c r="J2206" s="5" t="str">
        <f>IFERROR(__xludf.DUMMYFUNCTION("""COMPUTED_VALUE"""),"GCAMT-7573874")</f>
        <v>GCAMT-7573874</v>
      </c>
      <c r="K2206" s="5">
        <f>IFERROR(__xludf.DUMMYFUNCTION("""COMPUTED_VALUE"""),0.5)</f>
        <v>0.5</v>
      </c>
      <c r="L2206" s="5"/>
    </row>
    <row r="2207">
      <c r="A2207" s="5" t="str">
        <f>IFERROR(__xludf.DUMMYFUNCTION("""COMPUTED_VALUE"""),"XA2-MPC-027")</f>
        <v>XA2-MPC-027</v>
      </c>
      <c r="B2207" s="3" t="str">
        <f>IFERROR(__xludf.DUMMYFUNCTION("""COMPUTED_VALUE"""),"Máy phát cỏ 4 thì")</f>
        <v>Máy phát cỏ 4 thì</v>
      </c>
      <c r="C2207" s="5" t="str">
        <f>IFERROR(__xludf.DUMMYFUNCTION("""COMPUTED_VALUE"""),"Loại biên")</f>
        <v>Loại biên</v>
      </c>
      <c r="D2207" s="5" t="str">
        <f>IFERROR(__xludf.DUMMYFUNCTION("""COMPUTED_VALUE"""),"HONDA")</f>
        <v>HONDA</v>
      </c>
      <c r="E2207" s="5" t="str">
        <f>IFERROR(__xludf.DUMMYFUNCTION("""COMPUTED_VALUE"""),"Nhật Bản")</f>
        <v>Nhật Bản</v>
      </c>
      <c r="F2207" s="5"/>
      <c r="G2207" s="5" t="str">
        <f>IFERROR(__xludf.DUMMYFUNCTION("""COMPUTED_VALUE"""),"GX35")</f>
        <v>GX35</v>
      </c>
      <c r="H2207" s="5" t="str">
        <f>IFERROR(__xludf.DUMMYFUNCTION("""COMPUTED_VALUE"""),"1.6HP")</f>
        <v>1.6HP</v>
      </c>
      <c r="I2207" s="5" t="str">
        <f>IFERROR(__xludf.DUMMYFUNCTION("""COMPUTED_VALUE"""),"HAAT-2478558")</f>
        <v>HAAT-2478558</v>
      </c>
      <c r="J2207" s="5" t="str">
        <f>IFERROR(__xludf.DUMMYFUNCTION("""COMPUTED_VALUE"""),"GCAMT-7573938")</f>
        <v>GCAMT-7573938</v>
      </c>
      <c r="K2207" s="5">
        <f>IFERROR(__xludf.DUMMYFUNCTION("""COMPUTED_VALUE"""),0.5)</f>
        <v>0.5</v>
      </c>
      <c r="L2207" s="5"/>
    </row>
    <row r="2208">
      <c r="A2208" s="5" t="str">
        <f>IFERROR(__xludf.DUMMYFUNCTION("""COMPUTED_VALUE"""),"XA2-MPC-028")</f>
        <v>XA2-MPC-028</v>
      </c>
      <c r="B2208" s="3" t="str">
        <f>IFERROR(__xludf.DUMMYFUNCTION("""COMPUTED_VALUE"""),"Máy phát cỏ 4 thì")</f>
        <v>Máy phát cỏ 4 thì</v>
      </c>
      <c r="C2208" s="5" t="str">
        <f>IFERROR(__xludf.DUMMYFUNCTION("""COMPUTED_VALUE"""),"Loại biên")</f>
        <v>Loại biên</v>
      </c>
      <c r="D2208" s="5" t="str">
        <f>IFERROR(__xludf.DUMMYFUNCTION("""COMPUTED_VALUE"""),"HONDA")</f>
        <v>HONDA</v>
      </c>
      <c r="E2208" s="5" t="str">
        <f>IFERROR(__xludf.DUMMYFUNCTION("""COMPUTED_VALUE"""),"Nhật Bản")</f>
        <v>Nhật Bản</v>
      </c>
      <c r="F2208" s="5"/>
      <c r="G2208" s="5" t="str">
        <f>IFERROR(__xludf.DUMMYFUNCTION("""COMPUTED_VALUE"""),"GX35")</f>
        <v>GX35</v>
      </c>
      <c r="H2208" s="5" t="str">
        <f>IFERROR(__xludf.DUMMYFUNCTION("""COMPUTED_VALUE"""),"1.6HP")</f>
        <v>1.6HP</v>
      </c>
      <c r="I2208" s="5"/>
      <c r="J2208" s="5" t="str">
        <f>IFERROR(__xludf.DUMMYFUNCTION("""COMPUTED_VALUE"""),"GCAMT-7573900")</f>
        <v>GCAMT-7573900</v>
      </c>
      <c r="K2208" s="5">
        <f>IFERROR(__xludf.DUMMYFUNCTION("""COMPUTED_VALUE"""),0.5)</f>
        <v>0.5</v>
      </c>
      <c r="L2208" s="5"/>
    </row>
    <row r="2209">
      <c r="A2209" s="5" t="str">
        <f>IFERROR(__xludf.DUMMYFUNCTION("""COMPUTED_VALUE"""),"XA2-MPC-031")</f>
        <v>XA2-MPC-031</v>
      </c>
      <c r="B2209" s="3" t="str">
        <f>IFERROR(__xludf.DUMMYFUNCTION("""COMPUTED_VALUE"""),"Máy phát cỏ 4 thì")</f>
        <v>Máy phát cỏ 4 thì</v>
      </c>
      <c r="C2209" s="5" t="str">
        <f>IFERROR(__xludf.DUMMYFUNCTION("""COMPUTED_VALUE"""),"Loại biên")</f>
        <v>Loại biên</v>
      </c>
      <c r="D2209" s="5" t="str">
        <f>IFERROR(__xludf.DUMMYFUNCTION("""COMPUTED_VALUE"""),"HONDA")</f>
        <v>HONDA</v>
      </c>
      <c r="E2209" s="5" t="str">
        <f>IFERROR(__xludf.DUMMYFUNCTION("""COMPUTED_VALUE"""),"Nhật Bản")</f>
        <v>Nhật Bản</v>
      </c>
      <c r="F2209" s="5"/>
      <c r="G2209" s="5" t="str">
        <f>IFERROR(__xludf.DUMMYFUNCTION("""COMPUTED_VALUE"""),"GX35")</f>
        <v>GX35</v>
      </c>
      <c r="H2209" s="5" t="str">
        <f>IFERROR(__xludf.DUMMYFUNCTION("""COMPUTED_VALUE"""),"1.6HP")</f>
        <v>1.6HP</v>
      </c>
      <c r="I2209" s="5"/>
      <c r="J2209" s="5" t="str">
        <f>IFERROR(__xludf.DUMMYFUNCTION("""COMPUTED_VALUE"""),"GCAMT-7633975")</f>
        <v>GCAMT-7633975</v>
      </c>
      <c r="K2209" s="5">
        <f>IFERROR(__xludf.DUMMYFUNCTION("""COMPUTED_VALUE"""),0.5)</f>
        <v>0.5</v>
      </c>
      <c r="L2209" s="5"/>
    </row>
    <row r="2210">
      <c r="A2210" s="5" t="str">
        <f>IFERROR(__xludf.DUMMYFUNCTION("""COMPUTED_VALUE"""),"XA2-MPC-033")</f>
        <v>XA2-MPC-033</v>
      </c>
      <c r="B2210" s="3" t="str">
        <f>IFERROR(__xludf.DUMMYFUNCTION("""COMPUTED_VALUE"""),"Máy phát cỏ 4 thì")</f>
        <v>Máy phát cỏ 4 thì</v>
      </c>
      <c r="C2210" s="5" t="str">
        <f>IFERROR(__xludf.DUMMYFUNCTION("""COMPUTED_VALUE"""),"Loại biên")</f>
        <v>Loại biên</v>
      </c>
      <c r="D2210" s="5" t="str">
        <f>IFERROR(__xludf.DUMMYFUNCTION("""COMPUTED_VALUE"""),"HONDA")</f>
        <v>HONDA</v>
      </c>
      <c r="E2210" s="5" t="str">
        <f>IFERROR(__xludf.DUMMYFUNCTION("""COMPUTED_VALUE"""),"Nhật Bản")</f>
        <v>Nhật Bản</v>
      </c>
      <c r="F2210" s="5"/>
      <c r="G2210" s="5" t="str">
        <f>IFERROR(__xludf.DUMMYFUNCTION("""COMPUTED_VALUE"""),"GX35")</f>
        <v>GX35</v>
      </c>
      <c r="H2210" s="5" t="str">
        <f>IFERROR(__xludf.DUMMYFUNCTION("""COMPUTED_VALUE"""),"1.6HP")</f>
        <v>1.6HP</v>
      </c>
      <c r="I2210" s="5"/>
      <c r="J2210" s="5" t="str">
        <f>IFERROR(__xludf.DUMMYFUNCTION("""COMPUTED_VALUE"""),"GCAMT-7589300")</f>
        <v>GCAMT-7589300</v>
      </c>
      <c r="K2210" s="5">
        <f>IFERROR(__xludf.DUMMYFUNCTION("""COMPUTED_VALUE"""),0.5)</f>
        <v>0.5</v>
      </c>
      <c r="L2210" s="5"/>
    </row>
    <row r="2211">
      <c r="A2211" s="5" t="str">
        <f>IFERROR(__xludf.DUMMYFUNCTION("""COMPUTED_VALUE"""),"XA2-MPC-034")</f>
        <v>XA2-MPC-034</v>
      </c>
      <c r="B2211" s="3" t="str">
        <f>IFERROR(__xludf.DUMMYFUNCTION("""COMPUTED_VALUE"""),"Máy phát cỏ 4 thì")</f>
        <v>Máy phát cỏ 4 thì</v>
      </c>
      <c r="C2211" s="5" t="str">
        <f>IFERROR(__xludf.DUMMYFUNCTION("""COMPUTED_VALUE"""),"Loại biên")</f>
        <v>Loại biên</v>
      </c>
      <c r="D2211" s="5" t="str">
        <f>IFERROR(__xludf.DUMMYFUNCTION("""COMPUTED_VALUE"""),"HONDA")</f>
        <v>HONDA</v>
      </c>
      <c r="E2211" s="5" t="str">
        <f>IFERROR(__xludf.DUMMYFUNCTION("""COMPUTED_VALUE"""),"Nhật Bản")</f>
        <v>Nhật Bản</v>
      </c>
      <c r="F2211" s="5"/>
      <c r="G2211" s="5" t="str">
        <f>IFERROR(__xludf.DUMMYFUNCTION("""COMPUTED_VALUE"""),"GX35")</f>
        <v>GX35</v>
      </c>
      <c r="H2211" s="5" t="str">
        <f>IFERROR(__xludf.DUMMYFUNCTION("""COMPUTED_VALUE"""),"1.6HP")</f>
        <v>1.6HP</v>
      </c>
      <c r="I2211" s="5"/>
      <c r="J2211" s="5" t="str">
        <f>IFERROR(__xludf.DUMMYFUNCTION("""COMPUTED_VALUE"""),"GCAMT-7633984")</f>
        <v>GCAMT-7633984</v>
      </c>
      <c r="K2211" s="5">
        <f>IFERROR(__xludf.DUMMYFUNCTION("""COMPUTED_VALUE"""),0.5)</f>
        <v>0.5</v>
      </c>
      <c r="L2211" s="5"/>
    </row>
    <row r="2212">
      <c r="A2212" s="5" t="str">
        <f>IFERROR(__xludf.DUMMYFUNCTION("""COMPUTED_VALUE"""),"XA2-MPC-035")</f>
        <v>XA2-MPC-035</v>
      </c>
      <c r="B2212" s="3" t="str">
        <f>IFERROR(__xludf.DUMMYFUNCTION("""COMPUTED_VALUE"""),"Máy phát cỏ 4 thì")</f>
        <v>Máy phát cỏ 4 thì</v>
      </c>
      <c r="C2212" s="5" t="str">
        <f>IFERROR(__xludf.DUMMYFUNCTION("""COMPUTED_VALUE"""),"Loại biên")</f>
        <v>Loại biên</v>
      </c>
      <c r="D2212" s="5" t="str">
        <f>IFERROR(__xludf.DUMMYFUNCTION("""COMPUTED_VALUE"""),"HONDA")</f>
        <v>HONDA</v>
      </c>
      <c r="E2212" s="5" t="str">
        <f>IFERROR(__xludf.DUMMYFUNCTION("""COMPUTED_VALUE"""),"Nhật Bản")</f>
        <v>Nhật Bản</v>
      </c>
      <c r="F2212" s="5"/>
      <c r="G2212" s="5" t="str">
        <f>IFERROR(__xludf.DUMMYFUNCTION("""COMPUTED_VALUE"""),"GX35")</f>
        <v>GX35</v>
      </c>
      <c r="H2212" s="5" t="str">
        <f>IFERROR(__xludf.DUMMYFUNCTION("""COMPUTED_VALUE"""),"1.6HP")</f>
        <v>1.6HP</v>
      </c>
      <c r="I2212" s="5"/>
      <c r="J2212" s="5" t="str">
        <f>IFERROR(__xludf.DUMMYFUNCTION("""COMPUTED_VALUE"""),"GCAMT-7635285")</f>
        <v>GCAMT-7635285</v>
      </c>
      <c r="K2212" s="5">
        <f>IFERROR(__xludf.DUMMYFUNCTION("""COMPUTED_VALUE"""),0.5)</f>
        <v>0.5</v>
      </c>
      <c r="L2212" s="5"/>
    </row>
    <row r="2213">
      <c r="A2213" s="5" t="str">
        <f>IFERROR(__xludf.DUMMYFUNCTION("""COMPUTED_VALUE"""),"XA2-MPC-038")</f>
        <v>XA2-MPC-038</v>
      </c>
      <c r="B2213" s="3" t="str">
        <f>IFERROR(__xludf.DUMMYFUNCTION("""COMPUTED_VALUE"""),"Máy phát cỏ 4 thì")</f>
        <v>Máy phát cỏ 4 thì</v>
      </c>
      <c r="C2213" s="5" t="str">
        <f>IFERROR(__xludf.DUMMYFUNCTION("""COMPUTED_VALUE"""),"Loại biên")</f>
        <v>Loại biên</v>
      </c>
      <c r="D2213" s="5" t="str">
        <f>IFERROR(__xludf.DUMMYFUNCTION("""COMPUTED_VALUE"""),"HONDA")</f>
        <v>HONDA</v>
      </c>
      <c r="E2213" s="5" t="str">
        <f>IFERROR(__xludf.DUMMYFUNCTION("""COMPUTED_VALUE"""),"Nhật Bản")</f>
        <v>Nhật Bản</v>
      </c>
      <c r="F2213" s="5"/>
      <c r="G2213" s="5" t="str">
        <f>IFERROR(__xludf.DUMMYFUNCTION("""COMPUTED_VALUE"""),"GX35")</f>
        <v>GX35</v>
      </c>
      <c r="H2213" s="5" t="str">
        <f>IFERROR(__xludf.DUMMYFUNCTION("""COMPUTED_VALUE"""),"1.6HP")</f>
        <v>1.6HP</v>
      </c>
      <c r="I2213" s="5"/>
      <c r="J2213" s="5" t="str">
        <f>IFERROR(__xludf.DUMMYFUNCTION("""COMPUTED_VALUE"""),"GCAMT-7631719")</f>
        <v>GCAMT-7631719</v>
      </c>
      <c r="K2213" s="5">
        <f>IFERROR(__xludf.DUMMYFUNCTION("""COMPUTED_VALUE"""),0.5)</f>
        <v>0.5</v>
      </c>
      <c r="L2213" s="5"/>
    </row>
    <row r="2214">
      <c r="A2214" s="5" t="str">
        <f>IFERROR(__xludf.DUMMYFUNCTION("""COMPUTED_VALUE"""),"XXA-MPC-001")</f>
        <v>XXA-MPC-001</v>
      </c>
      <c r="B2214" s="3" t="str">
        <f>IFERROR(__xludf.DUMMYFUNCTION("""COMPUTED_VALUE"""),"Máy phát cỏ 4 thì")</f>
        <v>Máy phát cỏ 4 thì</v>
      </c>
      <c r="C2214" s="5" t="str">
        <f>IFERROR(__xludf.DUMMYFUNCTION("""COMPUTED_VALUE"""),"Loại biên")</f>
        <v>Loại biên</v>
      </c>
      <c r="D2214" s="5" t="str">
        <f>IFERROR(__xludf.DUMMYFUNCTION("""COMPUTED_VALUE"""),"HINOTA  ")</f>
        <v>HINOTA  </v>
      </c>
      <c r="E2214" s="5" t="str">
        <f>IFERROR(__xludf.DUMMYFUNCTION("""COMPUTED_VALUE"""),"Trung Quốc")</f>
        <v>Trung Quốc</v>
      </c>
      <c r="F2214" s="5"/>
      <c r="G2214" s="5" t="str">
        <f>IFERROR(__xludf.DUMMYFUNCTION("""COMPUTED_VALUE"""),"CG435")</f>
        <v>CG435</v>
      </c>
      <c r="H2214" s="5" t="str">
        <f>IFERROR(__xludf.DUMMYFUNCTION("""COMPUTED_VALUE"""),"1.2HP")</f>
        <v>1.2HP</v>
      </c>
      <c r="I2214" s="5" t="str">
        <f>IFERROR(__xludf.DUMMYFUNCTION("""COMPUTED_VALUE"""),"220511/ZOZC1-1M")</f>
        <v>220511/ZOZC1-1M</v>
      </c>
      <c r="J2214" s="5"/>
      <c r="K2214" s="5">
        <f>IFERROR(__xludf.DUMMYFUNCTION("""COMPUTED_VALUE"""),0.5)</f>
        <v>0.5</v>
      </c>
      <c r="L2214" s="5"/>
    </row>
    <row r="2215">
      <c r="A2215" s="5" t="str">
        <f>IFERROR(__xludf.DUMMYFUNCTION("""COMPUTED_VALUE"""),"XXA-MPC-002")</f>
        <v>XXA-MPC-002</v>
      </c>
      <c r="B2215" s="3" t="str">
        <f>IFERROR(__xludf.DUMMYFUNCTION("""COMPUTED_VALUE"""),"Máy phát cỏ 4 thì")</f>
        <v>Máy phát cỏ 4 thì</v>
      </c>
      <c r="C2215" s="5" t="str">
        <f>IFERROR(__xludf.DUMMYFUNCTION("""COMPUTED_VALUE"""),"Loại biên")</f>
        <v>Loại biên</v>
      </c>
      <c r="D2215" s="5" t="str">
        <f>IFERROR(__xludf.DUMMYFUNCTION("""COMPUTED_VALUE"""),"HINOTA  ")</f>
        <v>HINOTA  </v>
      </c>
      <c r="E2215" s="5" t="str">
        <f>IFERROR(__xludf.DUMMYFUNCTION("""COMPUTED_VALUE"""),"Trung Quốc")</f>
        <v>Trung Quốc</v>
      </c>
      <c r="F2215" s="5"/>
      <c r="G2215" s="5" t="str">
        <f>IFERROR(__xludf.DUMMYFUNCTION("""COMPUTED_VALUE"""),"CG435")</f>
        <v>CG435</v>
      </c>
      <c r="H2215" s="5" t="str">
        <f>IFERROR(__xludf.DUMMYFUNCTION("""COMPUTED_VALUE"""),"1.2HP")</f>
        <v>1.2HP</v>
      </c>
      <c r="I2215" s="5" t="str">
        <f>IFERROR(__xludf.DUMMYFUNCTION("""COMPUTED_VALUE"""),"220511/ZOZC1-1M")</f>
        <v>220511/ZOZC1-1M</v>
      </c>
      <c r="J2215" s="5"/>
      <c r="K2215" s="5">
        <f>IFERROR(__xludf.DUMMYFUNCTION("""COMPUTED_VALUE"""),0.5)</f>
        <v>0.5</v>
      </c>
      <c r="L2215" s="5"/>
    </row>
    <row r="2216">
      <c r="A2216" s="5" t="str">
        <f>IFERROR(__xludf.DUMMYFUNCTION("""COMPUTED_VALUE"""),"XXA-MPC-003")</f>
        <v>XXA-MPC-003</v>
      </c>
      <c r="B2216" s="3" t="str">
        <f>IFERROR(__xludf.DUMMYFUNCTION("""COMPUTED_VALUE"""),"Máy phát cỏ 4 thì")</f>
        <v>Máy phát cỏ 4 thì</v>
      </c>
      <c r="C2216" s="5" t="str">
        <f>IFERROR(__xludf.DUMMYFUNCTION("""COMPUTED_VALUE"""),"Loại biên")</f>
        <v>Loại biên</v>
      </c>
      <c r="D2216" s="5" t="str">
        <f>IFERROR(__xludf.DUMMYFUNCTION("""COMPUTED_VALUE"""),"HINOTA  ")</f>
        <v>HINOTA  </v>
      </c>
      <c r="E2216" s="5" t="str">
        <f>IFERROR(__xludf.DUMMYFUNCTION("""COMPUTED_VALUE"""),"Trung Quốc")</f>
        <v>Trung Quốc</v>
      </c>
      <c r="F2216" s="5"/>
      <c r="G2216" s="5" t="str">
        <f>IFERROR(__xludf.DUMMYFUNCTION("""COMPUTED_VALUE"""),"CG435")</f>
        <v>CG435</v>
      </c>
      <c r="H2216" s="5" t="str">
        <f>IFERROR(__xludf.DUMMYFUNCTION("""COMPUTED_VALUE"""),"1.2HP")</f>
        <v>1.2HP</v>
      </c>
      <c r="I2216" s="5" t="str">
        <f>IFERROR(__xludf.DUMMYFUNCTION("""COMPUTED_VALUE"""),"220511/ZOZC1-1M")</f>
        <v>220511/ZOZC1-1M</v>
      </c>
      <c r="J2216" s="5"/>
      <c r="K2216" s="5">
        <f>IFERROR(__xludf.DUMMYFUNCTION("""COMPUTED_VALUE"""),0.5)</f>
        <v>0.5</v>
      </c>
      <c r="L2216" s="5"/>
    </row>
    <row r="2217">
      <c r="A2217" s="5" t="str">
        <f>IFERROR(__xludf.DUMMYFUNCTION("""COMPUTED_VALUE"""),"XXA-MPC-004")</f>
        <v>XXA-MPC-004</v>
      </c>
      <c r="B2217" s="3" t="str">
        <f>IFERROR(__xludf.DUMMYFUNCTION("""COMPUTED_VALUE"""),"Máy phát cỏ 4 thì")</f>
        <v>Máy phát cỏ 4 thì</v>
      </c>
      <c r="C2217" s="5" t="str">
        <f>IFERROR(__xludf.DUMMYFUNCTION("""COMPUTED_VALUE"""),"Loại biên")</f>
        <v>Loại biên</v>
      </c>
      <c r="D2217" s="5" t="str">
        <f>IFERROR(__xludf.DUMMYFUNCTION("""COMPUTED_VALUE"""),"HINOTA  ")</f>
        <v>HINOTA  </v>
      </c>
      <c r="E2217" s="5" t="str">
        <f>IFERROR(__xludf.DUMMYFUNCTION("""COMPUTED_VALUE"""),"Trung Quốc")</f>
        <v>Trung Quốc</v>
      </c>
      <c r="F2217" s="5"/>
      <c r="G2217" s="5" t="str">
        <f>IFERROR(__xludf.DUMMYFUNCTION("""COMPUTED_VALUE"""),"CG435")</f>
        <v>CG435</v>
      </c>
      <c r="H2217" s="5" t="str">
        <f>IFERROR(__xludf.DUMMYFUNCTION("""COMPUTED_VALUE"""),"1.2HP")</f>
        <v>1.2HP</v>
      </c>
      <c r="I2217" s="5" t="str">
        <f>IFERROR(__xludf.DUMMYFUNCTION("""COMPUTED_VALUE"""),"220511/ZOZC1-1M")</f>
        <v>220511/ZOZC1-1M</v>
      </c>
      <c r="J2217" s="5"/>
      <c r="K2217" s="5">
        <f>IFERROR(__xludf.DUMMYFUNCTION("""COMPUTED_VALUE"""),0.5)</f>
        <v>0.5</v>
      </c>
      <c r="L2217" s="5"/>
    </row>
    <row r="2218">
      <c r="A2218" s="5" t="str">
        <f>IFERROR(__xludf.DUMMYFUNCTION("""COMPUTED_VALUE"""),"XXA-MPC-005")</f>
        <v>XXA-MPC-005</v>
      </c>
      <c r="B2218" s="3" t="str">
        <f>IFERROR(__xludf.DUMMYFUNCTION("""COMPUTED_VALUE"""),"Máy phát cỏ 4 thì")</f>
        <v>Máy phát cỏ 4 thì</v>
      </c>
      <c r="C2218" s="5" t="str">
        <f>IFERROR(__xludf.DUMMYFUNCTION("""COMPUTED_VALUE"""),"Loại biên")</f>
        <v>Loại biên</v>
      </c>
      <c r="D2218" s="5" t="str">
        <f>IFERROR(__xludf.DUMMYFUNCTION("""COMPUTED_VALUE"""),"HINOTA  ")</f>
        <v>HINOTA  </v>
      </c>
      <c r="E2218" s="5" t="str">
        <f>IFERROR(__xludf.DUMMYFUNCTION("""COMPUTED_VALUE"""),"Trung Quốc")</f>
        <v>Trung Quốc</v>
      </c>
      <c r="F2218" s="5"/>
      <c r="G2218" s="5" t="str">
        <f>IFERROR(__xludf.DUMMYFUNCTION("""COMPUTED_VALUE"""),"CG435")</f>
        <v>CG435</v>
      </c>
      <c r="H2218" s="5" t="str">
        <f>IFERROR(__xludf.DUMMYFUNCTION("""COMPUTED_VALUE"""),"1.2HP")</f>
        <v>1.2HP</v>
      </c>
      <c r="I2218" s="5" t="str">
        <f>IFERROR(__xludf.DUMMYFUNCTION("""COMPUTED_VALUE"""),"220511/ZOZC1-1M")</f>
        <v>220511/ZOZC1-1M</v>
      </c>
      <c r="J2218" s="5"/>
      <c r="K2218" s="5">
        <f>IFERROR(__xludf.DUMMYFUNCTION("""COMPUTED_VALUE"""),0.5)</f>
        <v>0.5</v>
      </c>
      <c r="L2218" s="5"/>
    </row>
    <row r="2219">
      <c r="A2219" s="5" t="str">
        <f>IFERROR(__xludf.DUMMYFUNCTION("""COMPUTED_VALUE"""),"XXA-MPC-006")</f>
        <v>XXA-MPC-006</v>
      </c>
      <c r="B2219" s="3" t="str">
        <f>IFERROR(__xludf.DUMMYFUNCTION("""COMPUTED_VALUE"""),"Máy phát cỏ 4 thì")</f>
        <v>Máy phát cỏ 4 thì</v>
      </c>
      <c r="C2219" s="5" t="str">
        <f>IFERROR(__xludf.DUMMYFUNCTION("""COMPUTED_VALUE"""),"Loại biên")</f>
        <v>Loại biên</v>
      </c>
      <c r="D2219" s="5" t="str">
        <f>IFERROR(__xludf.DUMMYFUNCTION("""COMPUTED_VALUE"""),"HINOTA  ")</f>
        <v>HINOTA  </v>
      </c>
      <c r="E2219" s="5" t="str">
        <f>IFERROR(__xludf.DUMMYFUNCTION("""COMPUTED_VALUE"""),"Trung Quốc")</f>
        <v>Trung Quốc</v>
      </c>
      <c r="F2219" s="5"/>
      <c r="G2219" s="5" t="str">
        <f>IFERROR(__xludf.DUMMYFUNCTION("""COMPUTED_VALUE"""),"CG435")</f>
        <v>CG435</v>
      </c>
      <c r="H2219" s="5" t="str">
        <f>IFERROR(__xludf.DUMMYFUNCTION("""COMPUTED_VALUE"""),"1.2HP")</f>
        <v>1.2HP</v>
      </c>
      <c r="I2219" s="5" t="str">
        <f>IFERROR(__xludf.DUMMYFUNCTION("""COMPUTED_VALUE"""),"220511/ZOZC1-1M")</f>
        <v>220511/ZOZC1-1M</v>
      </c>
      <c r="J2219" s="5"/>
      <c r="K2219" s="5">
        <f>IFERROR(__xludf.DUMMYFUNCTION("""COMPUTED_VALUE"""),0.5)</f>
        <v>0.5</v>
      </c>
      <c r="L2219" s="5"/>
    </row>
    <row r="2220">
      <c r="A2220" s="5" t="str">
        <f>IFERROR(__xludf.DUMMYFUNCTION("""COMPUTED_VALUE"""),"XXA-MPC-007")</f>
        <v>XXA-MPC-007</v>
      </c>
      <c r="B2220" s="3" t="str">
        <f>IFERROR(__xludf.DUMMYFUNCTION("""COMPUTED_VALUE"""),"Máy phát cỏ 4 thì")</f>
        <v>Máy phát cỏ 4 thì</v>
      </c>
      <c r="C2220" s="5" t="str">
        <f>IFERROR(__xludf.DUMMYFUNCTION("""COMPUTED_VALUE"""),"Loại biên")</f>
        <v>Loại biên</v>
      </c>
      <c r="D2220" s="5" t="str">
        <f>IFERROR(__xludf.DUMMYFUNCTION("""COMPUTED_VALUE"""),"HINOTA  ")</f>
        <v>HINOTA  </v>
      </c>
      <c r="E2220" s="5" t="str">
        <f>IFERROR(__xludf.DUMMYFUNCTION("""COMPUTED_VALUE"""),"Trung Quốc")</f>
        <v>Trung Quốc</v>
      </c>
      <c r="F2220" s="5"/>
      <c r="G2220" s="5" t="str">
        <f>IFERROR(__xludf.DUMMYFUNCTION("""COMPUTED_VALUE"""),"CG435")</f>
        <v>CG435</v>
      </c>
      <c r="H2220" s="5" t="str">
        <f>IFERROR(__xludf.DUMMYFUNCTION("""COMPUTED_VALUE"""),"1.2HP")</f>
        <v>1.2HP</v>
      </c>
      <c r="I2220" s="5" t="str">
        <f>IFERROR(__xludf.DUMMYFUNCTION("""COMPUTED_VALUE"""),"220511/ZOZC1-1M")</f>
        <v>220511/ZOZC1-1M</v>
      </c>
      <c r="J2220" s="5"/>
      <c r="K2220" s="5">
        <f>IFERROR(__xludf.DUMMYFUNCTION("""COMPUTED_VALUE"""),0.5)</f>
        <v>0.5</v>
      </c>
      <c r="L2220" s="5"/>
    </row>
    <row r="2221">
      <c r="A2221" s="5" t="str">
        <f>IFERROR(__xludf.DUMMYFUNCTION("""COMPUTED_VALUE"""),"XXA-MPC-008")</f>
        <v>XXA-MPC-008</v>
      </c>
      <c r="B2221" s="3" t="str">
        <f>IFERROR(__xludf.DUMMYFUNCTION("""COMPUTED_VALUE"""),"Máy phát cỏ 4 thì")</f>
        <v>Máy phát cỏ 4 thì</v>
      </c>
      <c r="C2221" s="5" t="str">
        <f>IFERROR(__xludf.DUMMYFUNCTION("""COMPUTED_VALUE"""),"Loại biên")</f>
        <v>Loại biên</v>
      </c>
      <c r="D2221" s="5" t="str">
        <f>IFERROR(__xludf.DUMMYFUNCTION("""COMPUTED_VALUE"""),"HINOTA  ")</f>
        <v>HINOTA  </v>
      </c>
      <c r="E2221" s="5" t="str">
        <f>IFERROR(__xludf.DUMMYFUNCTION("""COMPUTED_VALUE"""),"Trung Quốc")</f>
        <v>Trung Quốc</v>
      </c>
      <c r="F2221" s="5"/>
      <c r="G2221" s="5" t="str">
        <f>IFERROR(__xludf.DUMMYFUNCTION("""COMPUTED_VALUE"""),"CG435")</f>
        <v>CG435</v>
      </c>
      <c r="H2221" s="5" t="str">
        <f>IFERROR(__xludf.DUMMYFUNCTION("""COMPUTED_VALUE"""),"1.2HP")</f>
        <v>1.2HP</v>
      </c>
      <c r="I2221" s="5" t="str">
        <f>IFERROR(__xludf.DUMMYFUNCTION("""COMPUTED_VALUE"""),"220511/ZOZC1-1M")</f>
        <v>220511/ZOZC1-1M</v>
      </c>
      <c r="J2221" s="5"/>
      <c r="K2221" s="5">
        <f>IFERROR(__xludf.DUMMYFUNCTION("""COMPUTED_VALUE"""),0.5)</f>
        <v>0.5</v>
      </c>
      <c r="L2221" s="5"/>
    </row>
    <row r="2222">
      <c r="A2222" s="5" t="str">
        <f>IFERROR(__xludf.DUMMYFUNCTION("""COMPUTED_VALUE"""),"XXA-MPC-009")</f>
        <v>XXA-MPC-009</v>
      </c>
      <c r="B2222" s="3" t="str">
        <f>IFERROR(__xludf.DUMMYFUNCTION("""COMPUTED_VALUE"""),"Máy phát cỏ 4 thì")</f>
        <v>Máy phát cỏ 4 thì</v>
      </c>
      <c r="C2222" s="5" t="str">
        <f>IFERROR(__xludf.DUMMYFUNCTION("""COMPUTED_VALUE"""),"Loại biên")</f>
        <v>Loại biên</v>
      </c>
      <c r="D2222" s="5" t="str">
        <f>IFERROR(__xludf.DUMMYFUNCTION("""COMPUTED_VALUE"""),"HINOTA  ")</f>
        <v>HINOTA  </v>
      </c>
      <c r="E2222" s="5" t="str">
        <f>IFERROR(__xludf.DUMMYFUNCTION("""COMPUTED_VALUE"""),"Trung Quốc")</f>
        <v>Trung Quốc</v>
      </c>
      <c r="F2222" s="5"/>
      <c r="G2222" s="5" t="str">
        <f>IFERROR(__xludf.DUMMYFUNCTION("""COMPUTED_VALUE"""),"CG435")</f>
        <v>CG435</v>
      </c>
      <c r="H2222" s="5" t="str">
        <f>IFERROR(__xludf.DUMMYFUNCTION("""COMPUTED_VALUE"""),"1.2HP")</f>
        <v>1.2HP</v>
      </c>
      <c r="I2222" s="5" t="str">
        <f>IFERROR(__xludf.DUMMYFUNCTION("""COMPUTED_VALUE"""),"220511/ZOZC1-1M")</f>
        <v>220511/ZOZC1-1M</v>
      </c>
      <c r="J2222" s="5"/>
      <c r="K2222" s="5">
        <f>IFERROR(__xludf.DUMMYFUNCTION("""COMPUTED_VALUE"""),0.5)</f>
        <v>0.5</v>
      </c>
      <c r="L2222" s="5"/>
    </row>
    <row r="2223">
      <c r="A2223" s="5" t="str">
        <f>IFERROR(__xludf.DUMMYFUNCTION("""COMPUTED_VALUE"""),"XXA-MPC-010")</f>
        <v>XXA-MPC-010</v>
      </c>
      <c r="B2223" s="3" t="str">
        <f>IFERROR(__xludf.DUMMYFUNCTION("""COMPUTED_VALUE"""),"Máy phát cỏ 4 thì")</f>
        <v>Máy phát cỏ 4 thì</v>
      </c>
      <c r="C2223" s="5" t="str">
        <f>IFERROR(__xludf.DUMMYFUNCTION("""COMPUTED_VALUE"""),"Loại biên")</f>
        <v>Loại biên</v>
      </c>
      <c r="D2223" s="5" t="str">
        <f>IFERROR(__xludf.DUMMYFUNCTION("""COMPUTED_VALUE"""),"HINOTA  ")</f>
        <v>HINOTA  </v>
      </c>
      <c r="E2223" s="5" t="str">
        <f>IFERROR(__xludf.DUMMYFUNCTION("""COMPUTED_VALUE"""),"Trung Quốc")</f>
        <v>Trung Quốc</v>
      </c>
      <c r="F2223" s="5"/>
      <c r="G2223" s="5" t="str">
        <f>IFERROR(__xludf.DUMMYFUNCTION("""COMPUTED_VALUE"""),"CG435")</f>
        <v>CG435</v>
      </c>
      <c r="H2223" s="5" t="str">
        <f>IFERROR(__xludf.DUMMYFUNCTION("""COMPUTED_VALUE"""),"1.2HP")</f>
        <v>1.2HP</v>
      </c>
      <c r="I2223" s="5" t="str">
        <f>IFERROR(__xludf.DUMMYFUNCTION("""COMPUTED_VALUE"""),"220511/ZOZC1-1M")</f>
        <v>220511/ZOZC1-1M</v>
      </c>
      <c r="J2223" s="5"/>
      <c r="K2223" s="5">
        <f>IFERROR(__xludf.DUMMYFUNCTION("""COMPUTED_VALUE"""),0.5)</f>
        <v>0.5</v>
      </c>
      <c r="L2223" s="5"/>
    </row>
    <row r="2224">
      <c r="A2224" s="5" t="str">
        <f>IFERROR(__xludf.DUMMYFUNCTION("""COMPUTED_VALUE"""),"XXA-MPC-011")</f>
        <v>XXA-MPC-011</v>
      </c>
      <c r="B2224" s="3" t="str">
        <f>IFERROR(__xludf.DUMMYFUNCTION("""COMPUTED_VALUE"""),"Máy phát cỏ 4 thì")</f>
        <v>Máy phát cỏ 4 thì</v>
      </c>
      <c r="C2224" s="5" t="str">
        <f>IFERROR(__xludf.DUMMYFUNCTION("""COMPUTED_VALUE"""),"Loại biên")</f>
        <v>Loại biên</v>
      </c>
      <c r="D2224" s="5" t="str">
        <f>IFERROR(__xludf.DUMMYFUNCTION("""COMPUTED_VALUE"""),"HINOTA  ")</f>
        <v>HINOTA  </v>
      </c>
      <c r="E2224" s="5" t="str">
        <f>IFERROR(__xludf.DUMMYFUNCTION("""COMPUTED_VALUE"""),"Trung Quốc")</f>
        <v>Trung Quốc</v>
      </c>
      <c r="F2224" s="5"/>
      <c r="G2224" s="5" t="str">
        <f>IFERROR(__xludf.DUMMYFUNCTION("""COMPUTED_VALUE"""),"CG435")</f>
        <v>CG435</v>
      </c>
      <c r="H2224" s="5" t="str">
        <f>IFERROR(__xludf.DUMMYFUNCTION("""COMPUTED_VALUE"""),"1.2HP")</f>
        <v>1.2HP</v>
      </c>
      <c r="I2224" s="5" t="str">
        <f>IFERROR(__xludf.DUMMYFUNCTION("""COMPUTED_VALUE"""),"220511/ZOZC1-1M")</f>
        <v>220511/ZOZC1-1M</v>
      </c>
      <c r="J2224" s="5"/>
      <c r="K2224" s="5">
        <f>IFERROR(__xludf.DUMMYFUNCTION("""COMPUTED_VALUE"""),0.5)</f>
        <v>0.5</v>
      </c>
      <c r="L2224" s="5"/>
    </row>
    <row r="2225">
      <c r="A2225" s="5" t="str">
        <f>IFERROR(__xludf.DUMMYFUNCTION("""COMPUTED_VALUE"""),"XXA-MPC-012")</f>
        <v>XXA-MPC-012</v>
      </c>
      <c r="B2225" s="3" t="str">
        <f>IFERROR(__xludf.DUMMYFUNCTION("""COMPUTED_VALUE"""),"Máy phát cỏ 4 thì")</f>
        <v>Máy phát cỏ 4 thì</v>
      </c>
      <c r="C2225" s="5" t="str">
        <f>IFERROR(__xludf.DUMMYFUNCTION("""COMPUTED_VALUE"""),"Loại biên")</f>
        <v>Loại biên</v>
      </c>
      <c r="D2225" s="5" t="str">
        <f>IFERROR(__xludf.DUMMYFUNCTION("""COMPUTED_VALUE"""),"HINOTA  ")</f>
        <v>HINOTA  </v>
      </c>
      <c r="E2225" s="5" t="str">
        <f>IFERROR(__xludf.DUMMYFUNCTION("""COMPUTED_VALUE"""),"Trung Quốc")</f>
        <v>Trung Quốc</v>
      </c>
      <c r="F2225" s="5"/>
      <c r="G2225" s="5" t="str">
        <f>IFERROR(__xludf.DUMMYFUNCTION("""COMPUTED_VALUE"""),"CG435")</f>
        <v>CG435</v>
      </c>
      <c r="H2225" s="5" t="str">
        <f>IFERROR(__xludf.DUMMYFUNCTION("""COMPUTED_VALUE"""),"1.2HP")</f>
        <v>1.2HP</v>
      </c>
      <c r="I2225" s="5" t="str">
        <f>IFERROR(__xludf.DUMMYFUNCTION("""COMPUTED_VALUE"""),"220511/ZOZC1-1M")</f>
        <v>220511/ZOZC1-1M</v>
      </c>
      <c r="J2225" s="5"/>
      <c r="K2225" s="5">
        <f>IFERROR(__xludf.DUMMYFUNCTION("""COMPUTED_VALUE"""),0.5)</f>
        <v>0.5</v>
      </c>
      <c r="L2225" s="5"/>
    </row>
    <row r="2226">
      <c r="A2226" s="5" t="str">
        <f>IFERROR(__xludf.DUMMYFUNCTION("""COMPUTED_VALUE"""),"XXA-MPC-013")</f>
        <v>XXA-MPC-013</v>
      </c>
      <c r="B2226" s="3" t="str">
        <f>IFERROR(__xludf.DUMMYFUNCTION("""COMPUTED_VALUE"""),"Máy phát cỏ 4 thì")</f>
        <v>Máy phát cỏ 4 thì</v>
      </c>
      <c r="C2226" s="5" t="str">
        <f>IFERROR(__xludf.DUMMYFUNCTION("""COMPUTED_VALUE"""),"Loại biên")</f>
        <v>Loại biên</v>
      </c>
      <c r="D2226" s="5" t="str">
        <f>IFERROR(__xludf.DUMMYFUNCTION("""COMPUTED_VALUE"""),"HINOTA  ")</f>
        <v>HINOTA  </v>
      </c>
      <c r="E2226" s="5" t="str">
        <f>IFERROR(__xludf.DUMMYFUNCTION("""COMPUTED_VALUE"""),"Trung Quốc")</f>
        <v>Trung Quốc</v>
      </c>
      <c r="F2226" s="5"/>
      <c r="G2226" s="5" t="str">
        <f>IFERROR(__xludf.DUMMYFUNCTION("""COMPUTED_VALUE"""),"CG435")</f>
        <v>CG435</v>
      </c>
      <c r="H2226" s="5" t="str">
        <f>IFERROR(__xludf.DUMMYFUNCTION("""COMPUTED_VALUE"""),"1.2HP")</f>
        <v>1.2HP</v>
      </c>
      <c r="I2226" s="5" t="str">
        <f>IFERROR(__xludf.DUMMYFUNCTION("""COMPUTED_VALUE"""),"220511/ZOZC1-1M")</f>
        <v>220511/ZOZC1-1M</v>
      </c>
      <c r="J2226" s="5"/>
      <c r="K2226" s="5">
        <f>IFERROR(__xludf.DUMMYFUNCTION("""COMPUTED_VALUE"""),0.5)</f>
        <v>0.5</v>
      </c>
      <c r="L2226" s="5"/>
    </row>
    <row r="2227">
      <c r="A2227" s="5" t="str">
        <f>IFERROR(__xludf.DUMMYFUNCTION("""COMPUTED_VALUE"""),"XXA-MPC-014")</f>
        <v>XXA-MPC-014</v>
      </c>
      <c r="B2227" s="3" t="str">
        <f>IFERROR(__xludf.DUMMYFUNCTION("""COMPUTED_VALUE"""),"Máy phát cỏ 4 thì")</f>
        <v>Máy phát cỏ 4 thì</v>
      </c>
      <c r="C2227" s="5" t="str">
        <f>IFERROR(__xludf.DUMMYFUNCTION("""COMPUTED_VALUE"""),"Loại biên")</f>
        <v>Loại biên</v>
      </c>
      <c r="D2227" s="5" t="str">
        <f>IFERROR(__xludf.DUMMYFUNCTION("""COMPUTED_VALUE"""),"HINOTA  ")</f>
        <v>HINOTA  </v>
      </c>
      <c r="E2227" s="5" t="str">
        <f>IFERROR(__xludf.DUMMYFUNCTION("""COMPUTED_VALUE"""),"Trung Quốc")</f>
        <v>Trung Quốc</v>
      </c>
      <c r="F2227" s="5"/>
      <c r="G2227" s="5" t="str">
        <f>IFERROR(__xludf.DUMMYFUNCTION("""COMPUTED_VALUE"""),"CG435")</f>
        <v>CG435</v>
      </c>
      <c r="H2227" s="5" t="str">
        <f>IFERROR(__xludf.DUMMYFUNCTION("""COMPUTED_VALUE"""),"1.2HP")</f>
        <v>1.2HP</v>
      </c>
      <c r="I2227" s="5" t="str">
        <f>IFERROR(__xludf.DUMMYFUNCTION("""COMPUTED_VALUE"""),"220511/ZOZC1-1M")</f>
        <v>220511/ZOZC1-1M</v>
      </c>
      <c r="J2227" s="5"/>
      <c r="K2227" s="5">
        <f>IFERROR(__xludf.DUMMYFUNCTION("""COMPUTED_VALUE"""),0.5)</f>
        <v>0.5</v>
      </c>
      <c r="L2227" s="5"/>
    </row>
    <row r="2228">
      <c r="A2228" s="5" t="str">
        <f>IFERROR(__xludf.DUMMYFUNCTION("""COMPUTED_VALUE"""),"XXA-MPC-015")</f>
        <v>XXA-MPC-015</v>
      </c>
      <c r="B2228" s="3" t="str">
        <f>IFERROR(__xludf.DUMMYFUNCTION("""COMPUTED_VALUE"""),"Máy phát cỏ 4 thì")</f>
        <v>Máy phát cỏ 4 thì</v>
      </c>
      <c r="C2228" s="5" t="str">
        <f>IFERROR(__xludf.DUMMYFUNCTION("""COMPUTED_VALUE"""),"Loại biên")</f>
        <v>Loại biên</v>
      </c>
      <c r="D2228" s="5" t="str">
        <f>IFERROR(__xludf.DUMMYFUNCTION("""COMPUTED_VALUE"""),"HINOTA  ")</f>
        <v>HINOTA  </v>
      </c>
      <c r="E2228" s="5" t="str">
        <f>IFERROR(__xludf.DUMMYFUNCTION("""COMPUTED_VALUE"""),"Trung Quốc")</f>
        <v>Trung Quốc</v>
      </c>
      <c r="F2228" s="5"/>
      <c r="G2228" s="5" t="str">
        <f>IFERROR(__xludf.DUMMYFUNCTION("""COMPUTED_VALUE"""),"CG435")</f>
        <v>CG435</v>
      </c>
      <c r="H2228" s="5" t="str">
        <f>IFERROR(__xludf.DUMMYFUNCTION("""COMPUTED_VALUE"""),"1.2HP")</f>
        <v>1.2HP</v>
      </c>
      <c r="I2228" s="5" t="str">
        <f>IFERROR(__xludf.DUMMYFUNCTION("""COMPUTED_VALUE"""),"220511/ZOZC1-1M")</f>
        <v>220511/ZOZC1-1M</v>
      </c>
      <c r="J2228" s="5"/>
      <c r="K2228" s="5">
        <f>IFERROR(__xludf.DUMMYFUNCTION("""COMPUTED_VALUE"""),0.5)</f>
        <v>0.5</v>
      </c>
      <c r="L2228" s="5"/>
    </row>
    <row r="2229">
      <c r="A2229" s="5" t="str">
        <f>IFERROR(__xludf.DUMMYFUNCTION("""COMPUTED_VALUE"""),"XXA-MPC-016")</f>
        <v>XXA-MPC-016</v>
      </c>
      <c r="B2229" s="3" t="str">
        <f>IFERROR(__xludf.DUMMYFUNCTION("""COMPUTED_VALUE"""),"Máy phát cỏ 4 thì")</f>
        <v>Máy phát cỏ 4 thì</v>
      </c>
      <c r="C2229" s="5" t="str">
        <f>IFERROR(__xludf.DUMMYFUNCTION("""COMPUTED_VALUE"""),"Loại biên")</f>
        <v>Loại biên</v>
      </c>
      <c r="D2229" s="5" t="str">
        <f>IFERROR(__xludf.DUMMYFUNCTION("""COMPUTED_VALUE"""),"HINOTA  ")</f>
        <v>HINOTA  </v>
      </c>
      <c r="E2229" s="5" t="str">
        <f>IFERROR(__xludf.DUMMYFUNCTION("""COMPUTED_VALUE"""),"Trung Quốc")</f>
        <v>Trung Quốc</v>
      </c>
      <c r="F2229" s="5"/>
      <c r="G2229" s="5" t="str">
        <f>IFERROR(__xludf.DUMMYFUNCTION("""COMPUTED_VALUE"""),"CG435")</f>
        <v>CG435</v>
      </c>
      <c r="H2229" s="5" t="str">
        <f>IFERROR(__xludf.DUMMYFUNCTION("""COMPUTED_VALUE"""),"1.2HP")</f>
        <v>1.2HP</v>
      </c>
      <c r="I2229" s="5" t="str">
        <f>IFERROR(__xludf.DUMMYFUNCTION("""COMPUTED_VALUE"""),"220511/ZOZC1-1M")</f>
        <v>220511/ZOZC1-1M</v>
      </c>
      <c r="J2229" s="5"/>
      <c r="K2229" s="5">
        <f>IFERROR(__xludf.DUMMYFUNCTION("""COMPUTED_VALUE"""),0.5)</f>
        <v>0.5</v>
      </c>
      <c r="L2229" s="5"/>
    </row>
    <row r="2230">
      <c r="A2230" s="5" t="str">
        <f>IFERROR(__xludf.DUMMYFUNCTION("""COMPUTED_VALUE"""),"XXA-MPC-019")</f>
        <v>XXA-MPC-019</v>
      </c>
      <c r="B2230" s="3" t="str">
        <f>IFERROR(__xludf.DUMMYFUNCTION("""COMPUTED_VALUE"""),"Máy phát cỏ 4 thì")</f>
        <v>Máy phát cỏ 4 thì</v>
      </c>
      <c r="C2230" s="5" t="str">
        <f>IFERROR(__xludf.DUMMYFUNCTION("""COMPUTED_VALUE"""),"Loại biên")</f>
        <v>Loại biên</v>
      </c>
      <c r="D2230" s="5" t="str">
        <f>IFERROR(__xludf.DUMMYFUNCTION("""COMPUTED_VALUE"""),"HONDA")</f>
        <v>HONDA</v>
      </c>
      <c r="E2230" s="5" t="str">
        <f>IFERROR(__xludf.DUMMYFUNCTION("""COMPUTED_VALUE"""),"TRUNG QUỐC")</f>
        <v>TRUNG QUỐC</v>
      </c>
      <c r="F2230" s="5"/>
      <c r="G2230" s="5" t="str">
        <f>IFERROR(__xludf.DUMMYFUNCTION("""COMPUTED_VALUE"""),"GX35")</f>
        <v>GX35</v>
      </c>
      <c r="H2230" s="5" t="str">
        <f>IFERROR(__xludf.DUMMYFUNCTION("""COMPUTED_VALUE"""),"1.6HP")</f>
        <v>1.6HP</v>
      </c>
      <c r="I2230" s="5" t="str">
        <f>IFERROR(__xludf.DUMMYFUNCTION("""COMPUTED_VALUE"""),"GCAMT-4478384")</f>
        <v>GCAMT-4478384</v>
      </c>
      <c r="J2230" s="5"/>
      <c r="K2230" s="5">
        <f>IFERROR(__xludf.DUMMYFUNCTION("""COMPUTED_VALUE"""),0.5)</f>
        <v>0.5</v>
      </c>
      <c r="L2230" s="5"/>
    </row>
    <row r="2231">
      <c r="A2231" s="5" t="str">
        <f>IFERROR(__xludf.DUMMYFUNCTION("""COMPUTED_VALUE"""),"XXA-MPC-020")</f>
        <v>XXA-MPC-020</v>
      </c>
      <c r="B2231" s="3" t="str">
        <f>IFERROR(__xludf.DUMMYFUNCTION("""COMPUTED_VALUE"""),"Máy phát cỏ 4 thì")</f>
        <v>Máy phát cỏ 4 thì</v>
      </c>
      <c r="C2231" s="5" t="str">
        <f>IFERROR(__xludf.DUMMYFUNCTION("""COMPUTED_VALUE"""),"Loại biên")</f>
        <v>Loại biên</v>
      </c>
      <c r="D2231" s="5" t="str">
        <f>IFERROR(__xludf.DUMMYFUNCTION("""COMPUTED_VALUE"""),"HONDA")</f>
        <v>HONDA</v>
      </c>
      <c r="E2231" s="5" t="str">
        <f>IFERROR(__xludf.DUMMYFUNCTION("""COMPUTED_VALUE"""),"TRUNG QUỐC")</f>
        <v>TRUNG QUỐC</v>
      </c>
      <c r="F2231" s="5"/>
      <c r="G2231" s="5" t="str">
        <f>IFERROR(__xludf.DUMMYFUNCTION("""COMPUTED_VALUE"""),"GX35")</f>
        <v>GX35</v>
      </c>
      <c r="H2231" s="5" t="str">
        <f>IFERROR(__xludf.DUMMYFUNCTION("""COMPUTED_VALUE"""),"1.6HP")</f>
        <v>1.6HP</v>
      </c>
      <c r="I2231" s="5" t="str">
        <f>IFERROR(__xludf.DUMMYFUNCTION("""COMPUTED_VALUE"""),"GCAMT-4487062")</f>
        <v>GCAMT-4487062</v>
      </c>
      <c r="J2231" s="5"/>
      <c r="K2231" s="5">
        <f>IFERROR(__xludf.DUMMYFUNCTION("""COMPUTED_VALUE"""),0.5)</f>
        <v>0.5</v>
      </c>
      <c r="L2231" s="5"/>
    </row>
    <row r="2232">
      <c r="A2232" s="5" t="str">
        <f>IFERROR(__xludf.DUMMYFUNCTION("""COMPUTED_VALUE"""),"XXA-MPC-021")</f>
        <v>XXA-MPC-021</v>
      </c>
      <c r="B2232" s="3" t="str">
        <f>IFERROR(__xludf.DUMMYFUNCTION("""COMPUTED_VALUE"""),"Máy phát cỏ 4 thì")</f>
        <v>Máy phát cỏ 4 thì</v>
      </c>
      <c r="C2232" s="5" t="str">
        <f>IFERROR(__xludf.DUMMYFUNCTION("""COMPUTED_VALUE"""),"Loại biên")</f>
        <v>Loại biên</v>
      </c>
      <c r="D2232" s="5" t="str">
        <f>IFERROR(__xludf.DUMMYFUNCTION("""COMPUTED_VALUE"""),"HONDA")</f>
        <v>HONDA</v>
      </c>
      <c r="E2232" s="5" t="str">
        <f>IFERROR(__xludf.DUMMYFUNCTION("""COMPUTED_VALUE"""),"TRUNG QUỐC")</f>
        <v>TRUNG QUỐC</v>
      </c>
      <c r="F2232" s="5"/>
      <c r="G2232" s="5" t="str">
        <f>IFERROR(__xludf.DUMMYFUNCTION("""COMPUTED_VALUE"""),"GX35")</f>
        <v>GX35</v>
      </c>
      <c r="H2232" s="5" t="str">
        <f>IFERROR(__xludf.DUMMYFUNCTION("""COMPUTED_VALUE"""),"1.6HP")</f>
        <v>1.6HP</v>
      </c>
      <c r="I2232" s="5" t="str">
        <f>IFERROR(__xludf.DUMMYFUNCTION("""COMPUTED_VALUE"""),"GCAMT-4487469")</f>
        <v>GCAMT-4487469</v>
      </c>
      <c r="J2232" s="5"/>
      <c r="K2232" s="5">
        <f>IFERROR(__xludf.DUMMYFUNCTION("""COMPUTED_VALUE"""),0.5)</f>
        <v>0.5</v>
      </c>
      <c r="L2232" s="5"/>
    </row>
    <row r="2233">
      <c r="A2233" s="5" t="str">
        <f>IFERROR(__xludf.DUMMYFUNCTION("""COMPUTED_VALUE"""),"XXA-MPC-022")</f>
        <v>XXA-MPC-022</v>
      </c>
      <c r="B2233" s="3" t="str">
        <f>IFERROR(__xludf.DUMMYFUNCTION("""COMPUTED_VALUE"""),"Máy phát cỏ 4 thì")</f>
        <v>Máy phát cỏ 4 thì</v>
      </c>
      <c r="C2233" s="5" t="str">
        <f>IFERROR(__xludf.DUMMYFUNCTION("""COMPUTED_VALUE"""),"Loại biên")</f>
        <v>Loại biên</v>
      </c>
      <c r="D2233" s="5" t="str">
        <f>IFERROR(__xludf.DUMMYFUNCTION("""COMPUTED_VALUE"""),"HONDA")</f>
        <v>HONDA</v>
      </c>
      <c r="E2233" s="5" t="str">
        <f>IFERROR(__xludf.DUMMYFUNCTION("""COMPUTED_VALUE"""),"TRUNG QUỐC")</f>
        <v>TRUNG QUỐC</v>
      </c>
      <c r="F2233" s="5"/>
      <c r="G2233" s="5" t="str">
        <f>IFERROR(__xludf.DUMMYFUNCTION("""COMPUTED_VALUE"""),"GX35")</f>
        <v>GX35</v>
      </c>
      <c r="H2233" s="5" t="str">
        <f>IFERROR(__xludf.DUMMYFUNCTION("""COMPUTED_VALUE"""),"1.6HP")</f>
        <v>1.6HP</v>
      </c>
      <c r="I2233" s="5" t="str">
        <f>IFERROR(__xludf.DUMMYFUNCTION("""COMPUTED_VALUE"""),"GCAMT-4487083")</f>
        <v>GCAMT-4487083</v>
      </c>
      <c r="J2233" s="5"/>
      <c r="K2233" s="5">
        <f>IFERROR(__xludf.DUMMYFUNCTION("""COMPUTED_VALUE"""),0.5)</f>
        <v>0.5</v>
      </c>
      <c r="L2233" s="5"/>
    </row>
    <row r="2234">
      <c r="A2234" s="5" t="str">
        <f>IFERROR(__xludf.DUMMYFUNCTION("""COMPUTED_VALUE"""),"XXA-MPC-023")</f>
        <v>XXA-MPC-023</v>
      </c>
      <c r="B2234" s="3" t="str">
        <f>IFERROR(__xludf.DUMMYFUNCTION("""COMPUTED_VALUE"""),"Máy phát cỏ 4 thì")</f>
        <v>Máy phát cỏ 4 thì</v>
      </c>
      <c r="C2234" s="5" t="str">
        <f>IFERROR(__xludf.DUMMYFUNCTION("""COMPUTED_VALUE"""),"Loại biên")</f>
        <v>Loại biên</v>
      </c>
      <c r="D2234" s="5" t="str">
        <f>IFERROR(__xludf.DUMMYFUNCTION("""COMPUTED_VALUE"""),"HONDA")</f>
        <v>HONDA</v>
      </c>
      <c r="E2234" s="5" t="str">
        <f>IFERROR(__xludf.DUMMYFUNCTION("""COMPUTED_VALUE"""),"TRUNG QUỐC")</f>
        <v>TRUNG QUỐC</v>
      </c>
      <c r="F2234" s="5"/>
      <c r="G2234" s="5" t="str">
        <f>IFERROR(__xludf.DUMMYFUNCTION("""COMPUTED_VALUE"""),"GX35")</f>
        <v>GX35</v>
      </c>
      <c r="H2234" s="5" t="str">
        <f>IFERROR(__xludf.DUMMYFUNCTION("""COMPUTED_VALUE"""),"1.6HP")</f>
        <v>1.6HP</v>
      </c>
      <c r="I2234" s="5" t="str">
        <f>IFERROR(__xludf.DUMMYFUNCTION("""COMPUTED_VALUE"""),"GCAMT-4487399")</f>
        <v>GCAMT-4487399</v>
      </c>
      <c r="J2234" s="5"/>
      <c r="K2234" s="5">
        <f>IFERROR(__xludf.DUMMYFUNCTION("""COMPUTED_VALUE"""),0.5)</f>
        <v>0.5</v>
      </c>
      <c r="L2234" s="5"/>
    </row>
    <row r="2235">
      <c r="A2235" s="5" t="str">
        <f>IFERROR(__xludf.DUMMYFUNCTION("""COMPUTED_VALUE"""),"XXA-MPC-024")</f>
        <v>XXA-MPC-024</v>
      </c>
      <c r="B2235" s="3" t="str">
        <f>IFERROR(__xludf.DUMMYFUNCTION("""COMPUTED_VALUE"""),"Máy phát cỏ 4 thì")</f>
        <v>Máy phát cỏ 4 thì</v>
      </c>
      <c r="C2235" s="5" t="str">
        <f>IFERROR(__xludf.DUMMYFUNCTION("""COMPUTED_VALUE"""),"Loại biên")</f>
        <v>Loại biên</v>
      </c>
      <c r="D2235" s="5" t="str">
        <f>IFERROR(__xludf.DUMMYFUNCTION("""COMPUTED_VALUE"""),"HONDA")</f>
        <v>HONDA</v>
      </c>
      <c r="E2235" s="5" t="str">
        <f>IFERROR(__xludf.DUMMYFUNCTION("""COMPUTED_VALUE"""),"TRUNG QUỐC")</f>
        <v>TRUNG QUỐC</v>
      </c>
      <c r="F2235" s="5"/>
      <c r="G2235" s="5" t="str">
        <f>IFERROR(__xludf.DUMMYFUNCTION("""COMPUTED_VALUE"""),"GX35")</f>
        <v>GX35</v>
      </c>
      <c r="H2235" s="5" t="str">
        <f>IFERROR(__xludf.DUMMYFUNCTION("""COMPUTED_VALUE"""),"1.6HP")</f>
        <v>1.6HP</v>
      </c>
      <c r="I2235" s="5" t="str">
        <f>IFERROR(__xludf.DUMMYFUNCTION("""COMPUTED_VALUE"""),"GCAMT-4487117")</f>
        <v>GCAMT-4487117</v>
      </c>
      <c r="J2235" s="5"/>
      <c r="K2235" s="5">
        <f>IFERROR(__xludf.DUMMYFUNCTION("""COMPUTED_VALUE"""),0.5)</f>
        <v>0.5</v>
      </c>
      <c r="L2235" s="5"/>
    </row>
    <row r="2236">
      <c r="A2236" s="5" t="str">
        <f>IFERROR(__xludf.DUMMYFUNCTION("""COMPUTED_VALUE"""),"XXA-MPC-025")</f>
        <v>XXA-MPC-025</v>
      </c>
      <c r="B2236" s="3" t="str">
        <f>IFERROR(__xludf.DUMMYFUNCTION("""COMPUTED_VALUE"""),"Máy phát cỏ 4 thì")</f>
        <v>Máy phát cỏ 4 thì</v>
      </c>
      <c r="C2236" s="5" t="str">
        <f>IFERROR(__xludf.DUMMYFUNCTION("""COMPUTED_VALUE"""),"Loại biên")</f>
        <v>Loại biên</v>
      </c>
      <c r="D2236" s="5" t="str">
        <f>IFERROR(__xludf.DUMMYFUNCTION("""COMPUTED_VALUE"""),"HONDA")</f>
        <v>HONDA</v>
      </c>
      <c r="E2236" s="5" t="str">
        <f>IFERROR(__xludf.DUMMYFUNCTION("""COMPUTED_VALUE"""),"TRUNG QUỐC")</f>
        <v>TRUNG QUỐC</v>
      </c>
      <c r="F2236" s="5"/>
      <c r="G2236" s="5" t="str">
        <f>IFERROR(__xludf.DUMMYFUNCTION("""COMPUTED_VALUE"""),"GX35")</f>
        <v>GX35</v>
      </c>
      <c r="H2236" s="5" t="str">
        <f>IFERROR(__xludf.DUMMYFUNCTION("""COMPUTED_VALUE"""),"1.6HP")</f>
        <v>1.6HP</v>
      </c>
      <c r="I2236" s="5" t="str">
        <f>IFERROR(__xludf.DUMMYFUNCTION("""COMPUTED_VALUE"""),"GCAMT-4487116")</f>
        <v>GCAMT-4487116</v>
      </c>
      <c r="J2236" s="5"/>
      <c r="K2236" s="5">
        <f>IFERROR(__xludf.DUMMYFUNCTION("""COMPUTED_VALUE"""),0.5)</f>
        <v>0.5</v>
      </c>
      <c r="L2236" s="5"/>
    </row>
    <row r="2237">
      <c r="A2237" s="5" t="str">
        <f>IFERROR(__xludf.DUMMYFUNCTION("""COMPUTED_VALUE"""),"XXA-MPC-026")</f>
        <v>XXA-MPC-026</v>
      </c>
      <c r="B2237" s="3" t="str">
        <f>IFERROR(__xludf.DUMMYFUNCTION("""COMPUTED_VALUE"""),"Máy phát cỏ 4 thì")</f>
        <v>Máy phát cỏ 4 thì</v>
      </c>
      <c r="C2237" s="5" t="str">
        <f>IFERROR(__xludf.DUMMYFUNCTION("""COMPUTED_VALUE"""),"Loại biên")</f>
        <v>Loại biên</v>
      </c>
      <c r="D2237" s="5" t="str">
        <f>IFERROR(__xludf.DUMMYFUNCTION("""COMPUTED_VALUE"""),"HONDA")</f>
        <v>HONDA</v>
      </c>
      <c r="E2237" s="5" t="str">
        <f>IFERROR(__xludf.DUMMYFUNCTION("""COMPUTED_VALUE"""),"TRUNG QUỐC")</f>
        <v>TRUNG QUỐC</v>
      </c>
      <c r="F2237" s="5"/>
      <c r="G2237" s="5" t="str">
        <f>IFERROR(__xludf.DUMMYFUNCTION("""COMPUTED_VALUE"""),"GX35")</f>
        <v>GX35</v>
      </c>
      <c r="H2237" s="5" t="str">
        <f>IFERROR(__xludf.DUMMYFUNCTION("""COMPUTED_VALUE"""),"1.6HP")</f>
        <v>1.6HP</v>
      </c>
      <c r="I2237" s="5" t="str">
        <f>IFERROR(__xludf.DUMMYFUNCTION("""COMPUTED_VALUE"""),"GCAMT-4487480")</f>
        <v>GCAMT-4487480</v>
      </c>
      <c r="J2237" s="5"/>
      <c r="K2237" s="5">
        <f>IFERROR(__xludf.DUMMYFUNCTION("""COMPUTED_VALUE"""),0.5)</f>
        <v>0.5</v>
      </c>
      <c r="L2237" s="5"/>
    </row>
    <row r="2238">
      <c r="A2238" s="5" t="str">
        <f>IFERROR(__xludf.DUMMYFUNCTION("""COMPUTED_VALUE"""),"XXA-MPC-027")</f>
        <v>XXA-MPC-027</v>
      </c>
      <c r="B2238" s="3" t="str">
        <f>IFERROR(__xludf.DUMMYFUNCTION("""COMPUTED_VALUE"""),"Máy phát cỏ 4 thì")</f>
        <v>Máy phát cỏ 4 thì</v>
      </c>
      <c r="C2238" s="5" t="str">
        <f>IFERROR(__xludf.DUMMYFUNCTION("""COMPUTED_VALUE"""),"Loại biên")</f>
        <v>Loại biên</v>
      </c>
      <c r="D2238" s="5" t="str">
        <f>IFERROR(__xludf.DUMMYFUNCTION("""COMPUTED_VALUE"""),"HONDA")</f>
        <v>HONDA</v>
      </c>
      <c r="E2238" s="5" t="str">
        <f>IFERROR(__xludf.DUMMYFUNCTION("""COMPUTED_VALUE"""),"TRUNG QUỐC")</f>
        <v>TRUNG QUỐC</v>
      </c>
      <c r="F2238" s="5"/>
      <c r="G2238" s="5" t="str">
        <f>IFERROR(__xludf.DUMMYFUNCTION("""COMPUTED_VALUE"""),"GX35")</f>
        <v>GX35</v>
      </c>
      <c r="H2238" s="5" t="str">
        <f>IFERROR(__xludf.DUMMYFUNCTION("""COMPUTED_VALUE"""),"1.6HP")</f>
        <v>1.6HP</v>
      </c>
      <c r="I2238" s="5" t="str">
        <f>IFERROR(__xludf.DUMMYFUNCTION("""COMPUTED_VALUE"""),"GCAMT-4487001")</f>
        <v>GCAMT-4487001</v>
      </c>
      <c r="J2238" s="5"/>
      <c r="K2238" s="5">
        <f>IFERROR(__xludf.DUMMYFUNCTION("""COMPUTED_VALUE"""),0.5)</f>
        <v>0.5</v>
      </c>
      <c r="L2238" s="5"/>
    </row>
    <row r="2239">
      <c r="A2239" s="5" t="str">
        <f>IFERROR(__xludf.DUMMYFUNCTION("""COMPUTED_VALUE"""),"XXA-MPC-028")</f>
        <v>XXA-MPC-028</v>
      </c>
      <c r="B2239" s="3" t="str">
        <f>IFERROR(__xludf.DUMMYFUNCTION("""COMPUTED_VALUE"""),"Máy phát cỏ 4 thì")</f>
        <v>Máy phát cỏ 4 thì</v>
      </c>
      <c r="C2239" s="5" t="str">
        <f>IFERROR(__xludf.DUMMYFUNCTION("""COMPUTED_VALUE"""),"Loại biên")</f>
        <v>Loại biên</v>
      </c>
      <c r="D2239" s="5" t="str">
        <f>IFERROR(__xludf.DUMMYFUNCTION("""COMPUTED_VALUE"""),"HONDA")</f>
        <v>HONDA</v>
      </c>
      <c r="E2239" s="5" t="str">
        <f>IFERROR(__xludf.DUMMYFUNCTION("""COMPUTED_VALUE"""),"TRUNG QUỐC")</f>
        <v>TRUNG QUỐC</v>
      </c>
      <c r="F2239" s="5"/>
      <c r="G2239" s="5" t="str">
        <f>IFERROR(__xludf.DUMMYFUNCTION("""COMPUTED_VALUE"""),"GX35")</f>
        <v>GX35</v>
      </c>
      <c r="H2239" s="5" t="str">
        <f>IFERROR(__xludf.DUMMYFUNCTION("""COMPUTED_VALUE"""),"1.6HP")</f>
        <v>1.6HP</v>
      </c>
      <c r="I2239" s="5" t="str">
        <f>IFERROR(__xludf.DUMMYFUNCTION("""COMPUTED_VALUE"""),"GCAMT-4487023")</f>
        <v>GCAMT-4487023</v>
      </c>
      <c r="J2239" s="5"/>
      <c r="K2239" s="5">
        <f>IFERROR(__xludf.DUMMYFUNCTION("""COMPUTED_VALUE"""),0.5)</f>
        <v>0.5</v>
      </c>
      <c r="L2239" s="5"/>
    </row>
    <row r="2240">
      <c r="A2240" s="5" t="str">
        <f>IFERROR(__xludf.DUMMYFUNCTION("""COMPUTED_VALUE"""),"XXA-MPC-029")</f>
        <v>XXA-MPC-029</v>
      </c>
      <c r="B2240" s="3" t="str">
        <f>IFERROR(__xludf.DUMMYFUNCTION("""COMPUTED_VALUE"""),"Máy phát cỏ 4 thì")</f>
        <v>Máy phát cỏ 4 thì</v>
      </c>
      <c r="C2240" s="5" t="str">
        <f>IFERROR(__xludf.DUMMYFUNCTION("""COMPUTED_VALUE"""),"Loại biên")</f>
        <v>Loại biên</v>
      </c>
      <c r="D2240" s="5" t="str">
        <f>IFERROR(__xludf.DUMMYFUNCTION("""COMPUTED_VALUE"""),"HONDA")</f>
        <v>HONDA</v>
      </c>
      <c r="E2240" s="5" t="str">
        <f>IFERROR(__xludf.DUMMYFUNCTION("""COMPUTED_VALUE"""),"TRUNG QUỐC")</f>
        <v>TRUNG QUỐC</v>
      </c>
      <c r="F2240" s="5"/>
      <c r="G2240" s="5" t="str">
        <f>IFERROR(__xludf.DUMMYFUNCTION("""COMPUTED_VALUE"""),"GX35")</f>
        <v>GX35</v>
      </c>
      <c r="H2240" s="5" t="str">
        <f>IFERROR(__xludf.DUMMYFUNCTION("""COMPUTED_VALUE"""),"1.6HP")</f>
        <v>1.6HP</v>
      </c>
      <c r="I2240" s="5" t="str">
        <f>IFERROR(__xludf.DUMMYFUNCTION("""COMPUTED_VALUE"""),"GCAMT-4487082")</f>
        <v>GCAMT-4487082</v>
      </c>
      <c r="J2240" s="5"/>
      <c r="K2240" s="5">
        <f>IFERROR(__xludf.DUMMYFUNCTION("""COMPUTED_VALUE"""),0.5)</f>
        <v>0.5</v>
      </c>
      <c r="L2240" s="5"/>
    </row>
    <row r="2241">
      <c r="A2241" s="5" t="str">
        <f>IFERROR(__xludf.DUMMYFUNCTION("""COMPUTED_VALUE"""),"XXA-MPC-030")</f>
        <v>XXA-MPC-030</v>
      </c>
      <c r="B2241" s="3" t="str">
        <f>IFERROR(__xludf.DUMMYFUNCTION("""COMPUTED_VALUE"""),"Máy phát cỏ 4 thì")</f>
        <v>Máy phát cỏ 4 thì</v>
      </c>
      <c r="C2241" s="5" t="str">
        <f>IFERROR(__xludf.DUMMYFUNCTION("""COMPUTED_VALUE"""),"Loại biên")</f>
        <v>Loại biên</v>
      </c>
      <c r="D2241" s="5" t="str">
        <f>IFERROR(__xludf.DUMMYFUNCTION("""COMPUTED_VALUE"""),"HONDA")</f>
        <v>HONDA</v>
      </c>
      <c r="E2241" s="5" t="str">
        <f>IFERROR(__xludf.DUMMYFUNCTION("""COMPUTED_VALUE"""),"TRUNG QUỐC")</f>
        <v>TRUNG QUỐC</v>
      </c>
      <c r="F2241" s="5"/>
      <c r="G2241" s="5" t="str">
        <f>IFERROR(__xludf.DUMMYFUNCTION("""COMPUTED_VALUE"""),"GX35")</f>
        <v>GX35</v>
      </c>
      <c r="H2241" s="5" t="str">
        <f>IFERROR(__xludf.DUMMYFUNCTION("""COMPUTED_VALUE"""),"1.6HP")</f>
        <v>1.6HP</v>
      </c>
      <c r="I2241" s="5" t="str">
        <f>IFERROR(__xludf.DUMMYFUNCTION("""COMPUTED_VALUE"""),"GCAMT-4487276")</f>
        <v>GCAMT-4487276</v>
      </c>
      <c r="J2241" s="5"/>
      <c r="K2241" s="5">
        <f>IFERROR(__xludf.DUMMYFUNCTION("""COMPUTED_VALUE"""),0.5)</f>
        <v>0.5</v>
      </c>
      <c r="L2241" s="5"/>
    </row>
    <row r="2242">
      <c r="A2242" s="5" t="str">
        <f>IFERROR(__xludf.DUMMYFUNCTION("""COMPUTED_VALUE"""),"XXA-MPC-031")</f>
        <v>XXA-MPC-031</v>
      </c>
      <c r="B2242" s="3" t="str">
        <f>IFERROR(__xludf.DUMMYFUNCTION("""COMPUTED_VALUE"""),"Máy phát cỏ 4 thì")</f>
        <v>Máy phát cỏ 4 thì</v>
      </c>
      <c r="C2242" s="5" t="str">
        <f>IFERROR(__xludf.DUMMYFUNCTION("""COMPUTED_VALUE"""),"Loại biên")</f>
        <v>Loại biên</v>
      </c>
      <c r="D2242" s="5" t="str">
        <f>IFERROR(__xludf.DUMMYFUNCTION("""COMPUTED_VALUE"""),"HONDA")</f>
        <v>HONDA</v>
      </c>
      <c r="E2242" s="5" t="str">
        <f>IFERROR(__xludf.DUMMYFUNCTION("""COMPUTED_VALUE"""),"TRUNG QUỐC")</f>
        <v>TRUNG QUỐC</v>
      </c>
      <c r="F2242" s="5"/>
      <c r="G2242" s="5" t="str">
        <f>IFERROR(__xludf.DUMMYFUNCTION("""COMPUTED_VALUE"""),"GX35")</f>
        <v>GX35</v>
      </c>
      <c r="H2242" s="5" t="str">
        <f>IFERROR(__xludf.DUMMYFUNCTION("""COMPUTED_VALUE"""),"1.6HP")</f>
        <v>1.6HP</v>
      </c>
      <c r="I2242" s="5" t="str">
        <f>IFERROR(__xludf.DUMMYFUNCTION("""COMPUTED_VALUE"""),"GCAMT-4487271")</f>
        <v>GCAMT-4487271</v>
      </c>
      <c r="J2242" s="5"/>
      <c r="K2242" s="5">
        <f>IFERROR(__xludf.DUMMYFUNCTION("""COMPUTED_VALUE"""),0.5)</f>
        <v>0.5</v>
      </c>
      <c r="L2242" s="5"/>
    </row>
    <row r="2243">
      <c r="A2243" s="5" t="str">
        <f>IFERROR(__xludf.DUMMYFUNCTION("""COMPUTED_VALUE"""),"XXA-MPC-032")</f>
        <v>XXA-MPC-032</v>
      </c>
      <c r="B2243" s="3" t="str">
        <f>IFERROR(__xludf.DUMMYFUNCTION("""COMPUTED_VALUE"""),"Máy phát cỏ 4 thì")</f>
        <v>Máy phát cỏ 4 thì</v>
      </c>
      <c r="C2243" s="5" t="str">
        <f>IFERROR(__xludf.DUMMYFUNCTION("""COMPUTED_VALUE"""),"Loại biên")</f>
        <v>Loại biên</v>
      </c>
      <c r="D2243" s="5" t="str">
        <f>IFERROR(__xludf.DUMMYFUNCTION("""COMPUTED_VALUE"""),"HONDA")</f>
        <v>HONDA</v>
      </c>
      <c r="E2243" s="5" t="str">
        <f>IFERROR(__xludf.DUMMYFUNCTION("""COMPUTED_VALUE"""),"TRUNG QUỐC")</f>
        <v>TRUNG QUỐC</v>
      </c>
      <c r="F2243" s="5"/>
      <c r="G2243" s="5" t="str">
        <f>IFERROR(__xludf.DUMMYFUNCTION("""COMPUTED_VALUE"""),"GX35")</f>
        <v>GX35</v>
      </c>
      <c r="H2243" s="5" t="str">
        <f>IFERROR(__xludf.DUMMYFUNCTION("""COMPUTED_VALUE"""),"1.6HP")</f>
        <v>1.6HP</v>
      </c>
      <c r="I2243" s="5" t="str">
        <f>IFERROR(__xludf.DUMMYFUNCTION("""COMPUTED_VALUE"""),"GCAMT-4487296")</f>
        <v>GCAMT-4487296</v>
      </c>
      <c r="J2243" s="5"/>
      <c r="K2243" s="5">
        <f>IFERROR(__xludf.DUMMYFUNCTION("""COMPUTED_VALUE"""),0.5)</f>
        <v>0.5</v>
      </c>
      <c r="L2243" s="5"/>
    </row>
    <row r="2244">
      <c r="A2244" s="5" t="str">
        <f>IFERROR(__xludf.DUMMYFUNCTION("""COMPUTED_VALUE"""),"XXA-MPC-033")</f>
        <v>XXA-MPC-033</v>
      </c>
      <c r="B2244" s="3" t="str">
        <f>IFERROR(__xludf.DUMMYFUNCTION("""COMPUTED_VALUE"""),"Máy phát cỏ 4 thì")</f>
        <v>Máy phát cỏ 4 thì</v>
      </c>
      <c r="C2244" s="5" t="str">
        <f>IFERROR(__xludf.DUMMYFUNCTION("""COMPUTED_VALUE"""),"Loại biên")</f>
        <v>Loại biên</v>
      </c>
      <c r="D2244" s="5" t="str">
        <f>IFERROR(__xludf.DUMMYFUNCTION("""COMPUTED_VALUE"""),"HONDA")</f>
        <v>HONDA</v>
      </c>
      <c r="E2244" s="5" t="str">
        <f>IFERROR(__xludf.DUMMYFUNCTION("""COMPUTED_VALUE"""),"TRUNG QUỐC")</f>
        <v>TRUNG QUỐC</v>
      </c>
      <c r="F2244" s="5"/>
      <c r="G2244" s="5" t="str">
        <f>IFERROR(__xludf.DUMMYFUNCTION("""COMPUTED_VALUE"""),"GX35")</f>
        <v>GX35</v>
      </c>
      <c r="H2244" s="5" t="str">
        <f>IFERROR(__xludf.DUMMYFUNCTION("""COMPUTED_VALUE"""),"1.6HP")</f>
        <v>1.6HP</v>
      </c>
      <c r="I2244" s="5" t="str">
        <f>IFERROR(__xludf.DUMMYFUNCTION("""COMPUTED_VALUE"""),"GCAMT-4487485")</f>
        <v>GCAMT-4487485</v>
      </c>
      <c r="J2244" s="5"/>
      <c r="K2244" s="5">
        <f>IFERROR(__xludf.DUMMYFUNCTION("""COMPUTED_VALUE"""),0.5)</f>
        <v>0.5</v>
      </c>
      <c r="L2244" s="5"/>
    </row>
    <row r="2245">
      <c r="A2245" s="5" t="str">
        <f>IFERROR(__xludf.DUMMYFUNCTION("""COMPUTED_VALUE"""),"XXA-MPC-034")</f>
        <v>XXA-MPC-034</v>
      </c>
      <c r="B2245" s="3" t="str">
        <f>IFERROR(__xludf.DUMMYFUNCTION("""COMPUTED_VALUE"""),"Máy phát cỏ 4 thì")</f>
        <v>Máy phát cỏ 4 thì</v>
      </c>
      <c r="C2245" s="5" t="str">
        <f>IFERROR(__xludf.DUMMYFUNCTION("""COMPUTED_VALUE"""),"Loại biên")</f>
        <v>Loại biên</v>
      </c>
      <c r="D2245" s="5" t="str">
        <f>IFERROR(__xludf.DUMMYFUNCTION("""COMPUTED_VALUE"""),"HONDA")</f>
        <v>HONDA</v>
      </c>
      <c r="E2245" s="5" t="str">
        <f>IFERROR(__xludf.DUMMYFUNCTION("""COMPUTED_VALUE"""),"TRUNG QUỐC")</f>
        <v>TRUNG QUỐC</v>
      </c>
      <c r="F2245" s="5"/>
      <c r="G2245" s="5" t="str">
        <f>IFERROR(__xludf.DUMMYFUNCTION("""COMPUTED_VALUE"""),"GX35")</f>
        <v>GX35</v>
      </c>
      <c r="H2245" s="5" t="str">
        <f>IFERROR(__xludf.DUMMYFUNCTION("""COMPUTED_VALUE"""),"1.6HP")</f>
        <v>1.6HP</v>
      </c>
      <c r="I2245" s="5" t="str">
        <f>IFERROR(__xludf.DUMMYFUNCTION("""COMPUTED_VALUE"""),"GCAMT-7657284")</f>
        <v>GCAMT-7657284</v>
      </c>
      <c r="J2245" s="5"/>
      <c r="K2245" s="5">
        <f>IFERROR(__xludf.DUMMYFUNCTION("""COMPUTED_VALUE"""),0.5)</f>
        <v>0.5</v>
      </c>
      <c r="L2245" s="5"/>
    </row>
    <row r="2246">
      <c r="A2246" s="5" t="str">
        <f>IFERROR(__xludf.DUMMYFUNCTION("""COMPUTED_VALUE"""),"XXA-MPC-035")</f>
        <v>XXA-MPC-035</v>
      </c>
      <c r="B2246" s="3" t="str">
        <f>IFERROR(__xludf.DUMMYFUNCTION("""COMPUTED_VALUE"""),"Máy phát cỏ 4 thì")</f>
        <v>Máy phát cỏ 4 thì</v>
      </c>
      <c r="C2246" s="5" t="str">
        <f>IFERROR(__xludf.DUMMYFUNCTION("""COMPUTED_VALUE"""),"Loại biên")</f>
        <v>Loại biên</v>
      </c>
      <c r="D2246" s="5" t="str">
        <f>IFERROR(__xludf.DUMMYFUNCTION("""COMPUTED_VALUE"""),"HONDA")</f>
        <v>HONDA</v>
      </c>
      <c r="E2246" s="5" t="str">
        <f>IFERROR(__xludf.DUMMYFUNCTION("""COMPUTED_VALUE"""),"TRUNG QUỐC")</f>
        <v>TRUNG QUỐC</v>
      </c>
      <c r="F2246" s="5"/>
      <c r="G2246" s="5" t="str">
        <f>IFERROR(__xludf.DUMMYFUNCTION("""COMPUTED_VALUE"""),"GX35")</f>
        <v>GX35</v>
      </c>
      <c r="H2246" s="5" t="str">
        <f>IFERROR(__xludf.DUMMYFUNCTION("""COMPUTED_VALUE"""),"1.6HP")</f>
        <v>1.6HP</v>
      </c>
      <c r="I2246" s="5" t="str">
        <f>IFERROR(__xludf.DUMMYFUNCTION("""COMPUTED_VALUE"""),"GCAMT-7676275")</f>
        <v>GCAMT-7676275</v>
      </c>
      <c r="J2246" s="5"/>
      <c r="K2246" s="5">
        <f>IFERROR(__xludf.DUMMYFUNCTION("""COMPUTED_VALUE"""),0.5)</f>
        <v>0.5</v>
      </c>
      <c r="L2246" s="5"/>
    </row>
    <row r="2247">
      <c r="A2247" s="5" t="str">
        <f>IFERROR(__xludf.DUMMYFUNCTION("""COMPUTED_VALUE"""),"XXA-MPC-036")</f>
        <v>XXA-MPC-036</v>
      </c>
      <c r="B2247" s="3" t="str">
        <f>IFERROR(__xludf.DUMMYFUNCTION("""COMPUTED_VALUE"""),"Máy phát cỏ 4 thì")</f>
        <v>Máy phát cỏ 4 thì</v>
      </c>
      <c r="C2247" s="5" t="str">
        <f>IFERROR(__xludf.DUMMYFUNCTION("""COMPUTED_VALUE"""),"Loại biên")</f>
        <v>Loại biên</v>
      </c>
      <c r="D2247" s="5" t="str">
        <f>IFERROR(__xludf.DUMMYFUNCTION("""COMPUTED_VALUE"""),"HONDA")</f>
        <v>HONDA</v>
      </c>
      <c r="E2247" s="5" t="str">
        <f>IFERROR(__xludf.DUMMYFUNCTION("""COMPUTED_VALUE"""),"TRUNG QUỐC")</f>
        <v>TRUNG QUỐC</v>
      </c>
      <c r="F2247" s="5"/>
      <c r="G2247" s="5" t="str">
        <f>IFERROR(__xludf.DUMMYFUNCTION("""COMPUTED_VALUE"""),"GX35")</f>
        <v>GX35</v>
      </c>
      <c r="H2247" s="5" t="str">
        <f>IFERROR(__xludf.DUMMYFUNCTION("""COMPUTED_VALUE"""),"1.6HP")</f>
        <v>1.6HP</v>
      </c>
      <c r="I2247" s="5" t="str">
        <f>IFERROR(__xludf.DUMMYFUNCTION("""COMPUTED_VALUE"""),"GCAMT-7676395")</f>
        <v>GCAMT-7676395</v>
      </c>
      <c r="J2247" s="5"/>
      <c r="K2247" s="5">
        <f>IFERROR(__xludf.DUMMYFUNCTION("""COMPUTED_VALUE"""),0.5)</f>
        <v>0.5</v>
      </c>
      <c r="L2247" s="5"/>
    </row>
    <row r="2248">
      <c r="A2248" s="5" t="str">
        <f>IFERROR(__xludf.DUMMYFUNCTION("""COMPUTED_VALUE"""),"XXA-MPC-037")</f>
        <v>XXA-MPC-037</v>
      </c>
      <c r="B2248" s="3" t="str">
        <f>IFERROR(__xludf.DUMMYFUNCTION("""COMPUTED_VALUE"""),"Máy phát cỏ 4 thì")</f>
        <v>Máy phát cỏ 4 thì</v>
      </c>
      <c r="C2248" s="5" t="str">
        <f>IFERROR(__xludf.DUMMYFUNCTION("""COMPUTED_VALUE"""),"Loại biên")</f>
        <v>Loại biên</v>
      </c>
      <c r="D2248" s="5" t="str">
        <f>IFERROR(__xludf.DUMMYFUNCTION("""COMPUTED_VALUE"""),"HONDA")</f>
        <v>HONDA</v>
      </c>
      <c r="E2248" s="5" t="str">
        <f>IFERROR(__xludf.DUMMYFUNCTION("""COMPUTED_VALUE"""),"TRUNG QUỐC")</f>
        <v>TRUNG QUỐC</v>
      </c>
      <c r="F2248" s="5"/>
      <c r="G2248" s="5" t="str">
        <f>IFERROR(__xludf.DUMMYFUNCTION("""COMPUTED_VALUE"""),"GX35")</f>
        <v>GX35</v>
      </c>
      <c r="H2248" s="5" t="str">
        <f>IFERROR(__xludf.DUMMYFUNCTION("""COMPUTED_VALUE"""),"1.6HP")</f>
        <v>1.6HP</v>
      </c>
      <c r="I2248" s="5" t="str">
        <f>IFERROR(__xludf.DUMMYFUNCTION("""COMPUTED_VALUE"""),"GCAMT-7676316")</f>
        <v>GCAMT-7676316</v>
      </c>
      <c r="J2248" s="5"/>
      <c r="K2248" s="5">
        <f>IFERROR(__xludf.DUMMYFUNCTION("""COMPUTED_VALUE"""),0.5)</f>
        <v>0.5</v>
      </c>
      <c r="L2248" s="5"/>
    </row>
    <row r="2249">
      <c r="A2249" s="5" t="str">
        <f>IFERROR(__xludf.DUMMYFUNCTION("""COMPUTED_VALUE"""),"XXA-MPC-038")</f>
        <v>XXA-MPC-038</v>
      </c>
      <c r="B2249" s="3" t="str">
        <f>IFERROR(__xludf.DUMMYFUNCTION("""COMPUTED_VALUE"""),"Máy phát cỏ 4 thì")</f>
        <v>Máy phát cỏ 4 thì</v>
      </c>
      <c r="C2249" s="5" t="str">
        <f>IFERROR(__xludf.DUMMYFUNCTION("""COMPUTED_VALUE"""),"Loại biên")</f>
        <v>Loại biên</v>
      </c>
      <c r="D2249" s="5" t="str">
        <f>IFERROR(__xludf.DUMMYFUNCTION("""COMPUTED_VALUE"""),"HONDA")</f>
        <v>HONDA</v>
      </c>
      <c r="E2249" s="5" t="str">
        <f>IFERROR(__xludf.DUMMYFUNCTION("""COMPUTED_VALUE"""),"TRUNG QUỐC")</f>
        <v>TRUNG QUỐC</v>
      </c>
      <c r="F2249" s="5"/>
      <c r="G2249" s="5" t="str">
        <f>IFERROR(__xludf.DUMMYFUNCTION("""COMPUTED_VALUE"""),"GX35")</f>
        <v>GX35</v>
      </c>
      <c r="H2249" s="5" t="str">
        <f>IFERROR(__xludf.DUMMYFUNCTION("""COMPUTED_VALUE"""),"1.6HP")</f>
        <v>1.6HP</v>
      </c>
      <c r="I2249" s="5" t="str">
        <f>IFERROR(__xludf.DUMMYFUNCTION("""COMPUTED_VALUE"""),"GCAMT-7676264")</f>
        <v>GCAMT-7676264</v>
      </c>
      <c r="J2249" s="5"/>
      <c r="K2249" s="5">
        <f>IFERROR(__xludf.DUMMYFUNCTION("""COMPUTED_VALUE"""),0.5)</f>
        <v>0.5</v>
      </c>
      <c r="L2249" s="5"/>
    </row>
    <row r="2250">
      <c r="A2250" s="5" t="str">
        <f>IFERROR(__xludf.DUMMYFUNCTION("""COMPUTED_VALUE"""),"XXA-MPC-039")</f>
        <v>XXA-MPC-039</v>
      </c>
      <c r="B2250" s="3" t="str">
        <f>IFERROR(__xludf.DUMMYFUNCTION("""COMPUTED_VALUE"""),"Máy phát cỏ 4 thì")</f>
        <v>Máy phát cỏ 4 thì</v>
      </c>
      <c r="C2250" s="5" t="str">
        <f>IFERROR(__xludf.DUMMYFUNCTION("""COMPUTED_VALUE"""),"Loại biên")</f>
        <v>Loại biên</v>
      </c>
      <c r="D2250" s="5" t="str">
        <f>IFERROR(__xludf.DUMMYFUNCTION("""COMPUTED_VALUE"""),"HONDA")</f>
        <v>HONDA</v>
      </c>
      <c r="E2250" s="5" t="str">
        <f>IFERROR(__xludf.DUMMYFUNCTION("""COMPUTED_VALUE"""),"TRUNG QUỐC")</f>
        <v>TRUNG QUỐC</v>
      </c>
      <c r="F2250" s="5"/>
      <c r="G2250" s="5" t="str">
        <f>IFERROR(__xludf.DUMMYFUNCTION("""COMPUTED_VALUE"""),"GX35")</f>
        <v>GX35</v>
      </c>
      <c r="H2250" s="5" t="str">
        <f>IFERROR(__xludf.DUMMYFUNCTION("""COMPUTED_VALUE"""),"1.6HP")</f>
        <v>1.6HP</v>
      </c>
      <c r="I2250" s="5" t="str">
        <f>IFERROR(__xludf.DUMMYFUNCTION("""COMPUTED_VALUE"""),"GCAMT-7677968")</f>
        <v>GCAMT-7677968</v>
      </c>
      <c r="J2250" s="5"/>
      <c r="K2250" s="5">
        <f>IFERROR(__xludf.DUMMYFUNCTION("""COMPUTED_VALUE"""),0.5)</f>
        <v>0.5</v>
      </c>
      <c r="L2250" s="5"/>
    </row>
    <row r="2251">
      <c r="A2251" s="5" t="str">
        <f>IFERROR(__xludf.DUMMYFUNCTION("""COMPUTED_VALUE"""),"XXA-MPC-040")</f>
        <v>XXA-MPC-040</v>
      </c>
      <c r="B2251" s="3" t="str">
        <f>IFERROR(__xludf.DUMMYFUNCTION("""COMPUTED_VALUE"""),"Máy phát cỏ 4 thì")</f>
        <v>Máy phát cỏ 4 thì</v>
      </c>
      <c r="C2251" s="5" t="str">
        <f>IFERROR(__xludf.DUMMYFUNCTION("""COMPUTED_VALUE"""),"Loại biên")</f>
        <v>Loại biên</v>
      </c>
      <c r="D2251" s="5" t="str">
        <f>IFERROR(__xludf.DUMMYFUNCTION("""COMPUTED_VALUE"""),"HONDA")</f>
        <v>HONDA</v>
      </c>
      <c r="E2251" s="5" t="str">
        <f>IFERROR(__xludf.DUMMYFUNCTION("""COMPUTED_VALUE"""),"TRUNG QUỐC")</f>
        <v>TRUNG QUỐC</v>
      </c>
      <c r="F2251" s="5"/>
      <c r="G2251" s="5" t="str">
        <f>IFERROR(__xludf.DUMMYFUNCTION("""COMPUTED_VALUE"""),"GX35")</f>
        <v>GX35</v>
      </c>
      <c r="H2251" s="5" t="str">
        <f>IFERROR(__xludf.DUMMYFUNCTION("""COMPUTED_VALUE"""),"1.6HP")</f>
        <v>1.6HP</v>
      </c>
      <c r="I2251" s="5" t="str">
        <f>IFERROR(__xludf.DUMMYFUNCTION("""COMPUTED_VALUE"""),"GCAMT-7655347")</f>
        <v>GCAMT-7655347</v>
      </c>
      <c r="J2251" s="5"/>
      <c r="K2251" s="5">
        <f>IFERROR(__xludf.DUMMYFUNCTION("""COMPUTED_VALUE"""),0.5)</f>
        <v>0.5</v>
      </c>
      <c r="L2251" s="5"/>
    </row>
    <row r="2252">
      <c r="A2252" s="5" t="str">
        <f>IFERROR(__xludf.DUMMYFUNCTION("""COMPUTED_VALUE"""),"XXA-MPC-041")</f>
        <v>XXA-MPC-041</v>
      </c>
      <c r="B2252" s="3" t="str">
        <f>IFERROR(__xludf.DUMMYFUNCTION("""COMPUTED_VALUE"""),"Máy phát cỏ 4 thì")</f>
        <v>Máy phát cỏ 4 thì</v>
      </c>
      <c r="C2252" s="5" t="str">
        <f>IFERROR(__xludf.DUMMYFUNCTION("""COMPUTED_VALUE"""),"Loại biên")</f>
        <v>Loại biên</v>
      </c>
      <c r="D2252" s="5" t="str">
        <f>IFERROR(__xludf.DUMMYFUNCTION("""COMPUTED_VALUE"""),"HONDA")</f>
        <v>HONDA</v>
      </c>
      <c r="E2252" s="5" t="str">
        <f>IFERROR(__xludf.DUMMYFUNCTION("""COMPUTED_VALUE"""),"TRUNG QUỐC")</f>
        <v>TRUNG QUỐC</v>
      </c>
      <c r="F2252" s="5"/>
      <c r="G2252" s="5" t="str">
        <f>IFERROR(__xludf.DUMMYFUNCTION("""COMPUTED_VALUE"""),"GX35")</f>
        <v>GX35</v>
      </c>
      <c r="H2252" s="5" t="str">
        <f>IFERROR(__xludf.DUMMYFUNCTION("""COMPUTED_VALUE"""),"1.6HP")</f>
        <v>1.6HP</v>
      </c>
      <c r="I2252" s="5" t="str">
        <f>IFERROR(__xludf.DUMMYFUNCTION("""COMPUTED_VALUE"""),"GCAMT-7655401")</f>
        <v>GCAMT-7655401</v>
      </c>
      <c r="J2252" s="5"/>
      <c r="K2252" s="5">
        <f>IFERROR(__xludf.DUMMYFUNCTION("""COMPUTED_VALUE"""),0.5)</f>
        <v>0.5</v>
      </c>
      <c r="L2252" s="5"/>
    </row>
    <row r="2253">
      <c r="A2253" s="5" t="str">
        <f>IFERROR(__xludf.DUMMYFUNCTION("""COMPUTED_VALUE"""),"XXA-MPC-042")</f>
        <v>XXA-MPC-042</v>
      </c>
      <c r="B2253" s="3" t="str">
        <f>IFERROR(__xludf.DUMMYFUNCTION("""COMPUTED_VALUE"""),"Máy phát cỏ 4 thì")</f>
        <v>Máy phát cỏ 4 thì</v>
      </c>
      <c r="C2253" s="5" t="str">
        <f>IFERROR(__xludf.DUMMYFUNCTION("""COMPUTED_VALUE"""),"Loại biên")</f>
        <v>Loại biên</v>
      </c>
      <c r="D2253" s="5" t="str">
        <f>IFERROR(__xludf.DUMMYFUNCTION("""COMPUTED_VALUE"""),"HONDA")</f>
        <v>HONDA</v>
      </c>
      <c r="E2253" s="5" t="str">
        <f>IFERROR(__xludf.DUMMYFUNCTION("""COMPUTED_VALUE"""),"TRUNG QUỐC")</f>
        <v>TRUNG QUỐC</v>
      </c>
      <c r="F2253" s="5"/>
      <c r="G2253" s="5" t="str">
        <f>IFERROR(__xludf.DUMMYFUNCTION("""COMPUTED_VALUE"""),"GX35")</f>
        <v>GX35</v>
      </c>
      <c r="H2253" s="5" t="str">
        <f>IFERROR(__xludf.DUMMYFUNCTION("""COMPUTED_VALUE"""),"1.6HP")</f>
        <v>1.6HP</v>
      </c>
      <c r="I2253" s="5" t="str">
        <f>IFERROR(__xludf.DUMMYFUNCTION("""COMPUTED_VALUE"""),"GCAMT-7676273")</f>
        <v>GCAMT-7676273</v>
      </c>
      <c r="J2253" s="5"/>
      <c r="K2253" s="5">
        <f>IFERROR(__xludf.DUMMYFUNCTION("""COMPUTED_VALUE"""),0.5)</f>
        <v>0.5</v>
      </c>
      <c r="L2253" s="5"/>
    </row>
    <row r="2254">
      <c r="A2254" s="5" t="str">
        <f>IFERROR(__xludf.DUMMYFUNCTION("""COMPUTED_VALUE"""),"XXA-MPC-043")</f>
        <v>XXA-MPC-043</v>
      </c>
      <c r="B2254" s="3" t="str">
        <f>IFERROR(__xludf.DUMMYFUNCTION("""COMPUTED_VALUE"""),"Máy phát cỏ 4 thì")</f>
        <v>Máy phát cỏ 4 thì</v>
      </c>
      <c r="C2254" s="5" t="str">
        <f>IFERROR(__xludf.DUMMYFUNCTION("""COMPUTED_VALUE"""),"Loại biên")</f>
        <v>Loại biên</v>
      </c>
      <c r="D2254" s="5" t="str">
        <f>IFERROR(__xludf.DUMMYFUNCTION("""COMPUTED_VALUE"""),"HONDA")</f>
        <v>HONDA</v>
      </c>
      <c r="E2254" s="5" t="str">
        <f>IFERROR(__xludf.DUMMYFUNCTION("""COMPUTED_VALUE"""),"TRUNG QUỐC")</f>
        <v>TRUNG QUỐC</v>
      </c>
      <c r="F2254" s="5"/>
      <c r="G2254" s="5" t="str">
        <f>IFERROR(__xludf.DUMMYFUNCTION("""COMPUTED_VALUE"""),"GX35")</f>
        <v>GX35</v>
      </c>
      <c r="H2254" s="5" t="str">
        <f>IFERROR(__xludf.DUMMYFUNCTION("""COMPUTED_VALUE"""),"1.6HP")</f>
        <v>1.6HP</v>
      </c>
      <c r="I2254" s="5" t="str">
        <f>IFERROR(__xludf.DUMMYFUNCTION("""COMPUTED_VALUE"""),"GCAMT-7676367")</f>
        <v>GCAMT-7676367</v>
      </c>
      <c r="J2254" s="5"/>
      <c r="K2254" s="5">
        <f>IFERROR(__xludf.DUMMYFUNCTION("""COMPUTED_VALUE"""),0.5)</f>
        <v>0.5</v>
      </c>
      <c r="L2254" s="5"/>
    </row>
    <row r="2255">
      <c r="A2255" s="5" t="str">
        <f>IFERROR(__xludf.DUMMYFUNCTION("""COMPUTED_VALUE"""),"XBA-MPC-001")</f>
        <v>XBA-MPC-001</v>
      </c>
      <c r="B2255" s="3" t="str">
        <f>IFERROR(__xludf.DUMMYFUNCTION("""COMPUTED_VALUE"""),"Máy phát cỏ 4 thì")</f>
        <v>Máy phát cỏ 4 thì</v>
      </c>
      <c r="C2255" s="5" t="str">
        <f>IFERROR(__xludf.DUMMYFUNCTION("""COMPUTED_VALUE"""),"Loại biên")</f>
        <v>Loại biên</v>
      </c>
      <c r="D2255" s="5" t="str">
        <f>IFERROR(__xludf.DUMMYFUNCTION("""COMPUTED_VALUE"""),"HINOTA  ")</f>
        <v>HINOTA  </v>
      </c>
      <c r="E2255" s="5" t="str">
        <f>IFERROR(__xludf.DUMMYFUNCTION("""COMPUTED_VALUE"""),"Trung Quốc")</f>
        <v>Trung Quốc</v>
      </c>
      <c r="F2255" s="5"/>
      <c r="G2255" s="5" t="str">
        <f>IFERROR(__xludf.DUMMYFUNCTION("""COMPUTED_VALUE"""),"CG435")</f>
        <v>CG435</v>
      </c>
      <c r="H2255" s="5" t="str">
        <f>IFERROR(__xludf.DUMMYFUNCTION("""COMPUTED_VALUE"""),"1.2HP")</f>
        <v>1.2HP</v>
      </c>
      <c r="I2255" s="5" t="str">
        <f>IFERROR(__xludf.DUMMYFUNCTION("""COMPUTED_VALUE"""),"220511/ZOZC1-1M")</f>
        <v>220511/ZOZC1-1M</v>
      </c>
      <c r="J2255" s="5"/>
      <c r="K2255" s="5">
        <f>IFERROR(__xludf.DUMMYFUNCTION("""COMPUTED_VALUE"""),0.5)</f>
        <v>0.5</v>
      </c>
      <c r="L2255" s="5"/>
    </row>
    <row r="2256">
      <c r="A2256" s="5" t="str">
        <f>IFERROR(__xludf.DUMMYFUNCTION("""COMPUTED_VALUE"""),"XBA-MPC-002")</f>
        <v>XBA-MPC-002</v>
      </c>
      <c r="B2256" s="3" t="str">
        <f>IFERROR(__xludf.DUMMYFUNCTION("""COMPUTED_VALUE"""),"Máy phát cỏ 4 thì")</f>
        <v>Máy phát cỏ 4 thì</v>
      </c>
      <c r="C2256" s="5" t="str">
        <f>IFERROR(__xludf.DUMMYFUNCTION("""COMPUTED_VALUE"""),"Loại biên")</f>
        <v>Loại biên</v>
      </c>
      <c r="D2256" s="5" t="str">
        <f>IFERROR(__xludf.DUMMYFUNCTION("""COMPUTED_VALUE"""),"HINOTA  ")</f>
        <v>HINOTA  </v>
      </c>
      <c r="E2256" s="5" t="str">
        <f>IFERROR(__xludf.DUMMYFUNCTION("""COMPUTED_VALUE"""),"Trung Quốc")</f>
        <v>Trung Quốc</v>
      </c>
      <c r="F2256" s="5"/>
      <c r="G2256" s="5" t="str">
        <f>IFERROR(__xludf.DUMMYFUNCTION("""COMPUTED_VALUE"""),"CG435")</f>
        <v>CG435</v>
      </c>
      <c r="H2256" s="5" t="str">
        <f>IFERROR(__xludf.DUMMYFUNCTION("""COMPUTED_VALUE"""),"1.2HP")</f>
        <v>1.2HP</v>
      </c>
      <c r="I2256" s="5" t="str">
        <f>IFERROR(__xludf.DUMMYFUNCTION("""COMPUTED_VALUE"""),"220511/ZOZC1-1M")</f>
        <v>220511/ZOZC1-1M</v>
      </c>
      <c r="J2256" s="5"/>
      <c r="K2256" s="5">
        <f>IFERROR(__xludf.DUMMYFUNCTION("""COMPUTED_VALUE"""),0.5)</f>
        <v>0.5</v>
      </c>
      <c r="L2256" s="5"/>
    </row>
    <row r="2257">
      <c r="A2257" s="5" t="str">
        <f>IFERROR(__xludf.DUMMYFUNCTION("""COMPUTED_VALUE"""),"XBA-MPC-003")</f>
        <v>XBA-MPC-003</v>
      </c>
      <c r="B2257" s="3" t="str">
        <f>IFERROR(__xludf.DUMMYFUNCTION("""COMPUTED_VALUE"""),"Máy phát cỏ 4 thì")</f>
        <v>Máy phát cỏ 4 thì</v>
      </c>
      <c r="C2257" s="5" t="str">
        <f>IFERROR(__xludf.DUMMYFUNCTION("""COMPUTED_VALUE"""),"Loại biên")</f>
        <v>Loại biên</v>
      </c>
      <c r="D2257" s="5" t="str">
        <f>IFERROR(__xludf.DUMMYFUNCTION("""COMPUTED_VALUE"""),"HINOTA  ")</f>
        <v>HINOTA  </v>
      </c>
      <c r="E2257" s="5" t="str">
        <f>IFERROR(__xludf.DUMMYFUNCTION("""COMPUTED_VALUE"""),"Trung Quốc")</f>
        <v>Trung Quốc</v>
      </c>
      <c r="F2257" s="5"/>
      <c r="G2257" s="5" t="str">
        <f>IFERROR(__xludf.DUMMYFUNCTION("""COMPUTED_VALUE"""),"CG435")</f>
        <v>CG435</v>
      </c>
      <c r="H2257" s="5" t="str">
        <f>IFERROR(__xludf.DUMMYFUNCTION("""COMPUTED_VALUE"""),"1.2HP")</f>
        <v>1.2HP</v>
      </c>
      <c r="I2257" s="5" t="str">
        <f>IFERROR(__xludf.DUMMYFUNCTION("""COMPUTED_VALUE"""),"220511/ZOZC1-1M")</f>
        <v>220511/ZOZC1-1M</v>
      </c>
      <c r="J2257" s="5"/>
      <c r="K2257" s="5">
        <f>IFERROR(__xludf.DUMMYFUNCTION("""COMPUTED_VALUE"""),0.5)</f>
        <v>0.5</v>
      </c>
      <c r="L2257" s="5"/>
    </row>
    <row r="2258">
      <c r="A2258" s="5" t="str">
        <f>IFERROR(__xludf.DUMMYFUNCTION("""COMPUTED_VALUE"""),"XBA-MPC-004")</f>
        <v>XBA-MPC-004</v>
      </c>
      <c r="B2258" s="3" t="str">
        <f>IFERROR(__xludf.DUMMYFUNCTION("""COMPUTED_VALUE"""),"Máy phát cỏ 4 thì")</f>
        <v>Máy phát cỏ 4 thì</v>
      </c>
      <c r="C2258" s="5" t="str">
        <f>IFERROR(__xludf.DUMMYFUNCTION("""COMPUTED_VALUE"""),"Loại biên")</f>
        <v>Loại biên</v>
      </c>
      <c r="D2258" s="5" t="str">
        <f>IFERROR(__xludf.DUMMYFUNCTION("""COMPUTED_VALUE"""),"HINOTA  ")</f>
        <v>HINOTA  </v>
      </c>
      <c r="E2258" s="5" t="str">
        <f>IFERROR(__xludf.DUMMYFUNCTION("""COMPUTED_VALUE"""),"Trung Quốc")</f>
        <v>Trung Quốc</v>
      </c>
      <c r="F2258" s="5"/>
      <c r="G2258" s="5" t="str">
        <f>IFERROR(__xludf.DUMMYFUNCTION("""COMPUTED_VALUE"""),"CG435")</f>
        <v>CG435</v>
      </c>
      <c r="H2258" s="5" t="str">
        <f>IFERROR(__xludf.DUMMYFUNCTION("""COMPUTED_VALUE"""),"1.2HP")</f>
        <v>1.2HP</v>
      </c>
      <c r="I2258" s="5" t="str">
        <f>IFERROR(__xludf.DUMMYFUNCTION("""COMPUTED_VALUE"""),"220511/ZOZC1-1M")</f>
        <v>220511/ZOZC1-1M</v>
      </c>
      <c r="J2258" s="5"/>
      <c r="K2258" s="5">
        <f>IFERROR(__xludf.DUMMYFUNCTION("""COMPUTED_VALUE"""),0.5)</f>
        <v>0.5</v>
      </c>
      <c r="L2258" s="5"/>
    </row>
    <row r="2259">
      <c r="A2259" s="5" t="str">
        <f>IFERROR(__xludf.DUMMYFUNCTION("""COMPUTED_VALUE"""),"XBA-MPC-005")</f>
        <v>XBA-MPC-005</v>
      </c>
      <c r="B2259" s="3" t="str">
        <f>IFERROR(__xludf.DUMMYFUNCTION("""COMPUTED_VALUE"""),"Máy phát cỏ 4 thì")</f>
        <v>Máy phát cỏ 4 thì</v>
      </c>
      <c r="C2259" s="5" t="str">
        <f>IFERROR(__xludf.DUMMYFUNCTION("""COMPUTED_VALUE"""),"Loại biên")</f>
        <v>Loại biên</v>
      </c>
      <c r="D2259" s="5" t="str">
        <f>IFERROR(__xludf.DUMMYFUNCTION("""COMPUTED_VALUE"""),"HINOTA  ")</f>
        <v>HINOTA  </v>
      </c>
      <c r="E2259" s="5" t="str">
        <f>IFERROR(__xludf.DUMMYFUNCTION("""COMPUTED_VALUE"""),"Trung Quốc")</f>
        <v>Trung Quốc</v>
      </c>
      <c r="F2259" s="5"/>
      <c r="G2259" s="5" t="str">
        <f>IFERROR(__xludf.DUMMYFUNCTION("""COMPUTED_VALUE"""),"CG435")</f>
        <v>CG435</v>
      </c>
      <c r="H2259" s="5" t="str">
        <f>IFERROR(__xludf.DUMMYFUNCTION("""COMPUTED_VALUE"""),"1.2HP")</f>
        <v>1.2HP</v>
      </c>
      <c r="I2259" s="5" t="str">
        <f>IFERROR(__xludf.DUMMYFUNCTION("""COMPUTED_VALUE"""),"220511/ZOZC1-1M")</f>
        <v>220511/ZOZC1-1M</v>
      </c>
      <c r="J2259" s="5"/>
      <c r="K2259" s="5">
        <f>IFERROR(__xludf.DUMMYFUNCTION("""COMPUTED_VALUE"""),0.5)</f>
        <v>0.5</v>
      </c>
      <c r="L2259" s="5"/>
    </row>
    <row r="2260">
      <c r="A2260" s="5" t="str">
        <f>IFERROR(__xludf.DUMMYFUNCTION("""COMPUTED_VALUE"""),"XBA-MPC-006")</f>
        <v>XBA-MPC-006</v>
      </c>
      <c r="B2260" s="3" t="str">
        <f>IFERROR(__xludf.DUMMYFUNCTION("""COMPUTED_VALUE"""),"Máy phát cỏ 4 thì")</f>
        <v>Máy phát cỏ 4 thì</v>
      </c>
      <c r="C2260" s="5" t="str">
        <f>IFERROR(__xludf.DUMMYFUNCTION("""COMPUTED_VALUE"""),"Loại biên")</f>
        <v>Loại biên</v>
      </c>
      <c r="D2260" s="5" t="str">
        <f>IFERROR(__xludf.DUMMYFUNCTION("""COMPUTED_VALUE"""),"HINOTA  ")</f>
        <v>HINOTA  </v>
      </c>
      <c r="E2260" s="5" t="str">
        <f>IFERROR(__xludf.DUMMYFUNCTION("""COMPUTED_VALUE"""),"Trung Quốc")</f>
        <v>Trung Quốc</v>
      </c>
      <c r="F2260" s="5"/>
      <c r="G2260" s="5" t="str">
        <f>IFERROR(__xludf.DUMMYFUNCTION("""COMPUTED_VALUE"""),"CG435")</f>
        <v>CG435</v>
      </c>
      <c r="H2260" s="5" t="str">
        <f>IFERROR(__xludf.DUMMYFUNCTION("""COMPUTED_VALUE"""),"1.2HP")</f>
        <v>1.2HP</v>
      </c>
      <c r="I2260" s="5" t="str">
        <f>IFERROR(__xludf.DUMMYFUNCTION("""COMPUTED_VALUE"""),"220511/ZOZC1-1M")</f>
        <v>220511/ZOZC1-1M</v>
      </c>
      <c r="J2260" s="5"/>
      <c r="K2260" s="5">
        <f>IFERROR(__xludf.DUMMYFUNCTION("""COMPUTED_VALUE"""),0.5)</f>
        <v>0.5</v>
      </c>
      <c r="L2260" s="5"/>
    </row>
    <row r="2261">
      <c r="A2261" s="5" t="str">
        <f>IFERROR(__xludf.DUMMYFUNCTION("""COMPUTED_VALUE"""),"XBA-MPC-007")</f>
        <v>XBA-MPC-007</v>
      </c>
      <c r="B2261" s="3" t="str">
        <f>IFERROR(__xludf.DUMMYFUNCTION("""COMPUTED_VALUE"""),"Máy phát cỏ 4 thì")</f>
        <v>Máy phát cỏ 4 thì</v>
      </c>
      <c r="C2261" s="5" t="str">
        <f>IFERROR(__xludf.DUMMYFUNCTION("""COMPUTED_VALUE"""),"Loại biên")</f>
        <v>Loại biên</v>
      </c>
      <c r="D2261" s="5" t="str">
        <f>IFERROR(__xludf.DUMMYFUNCTION("""COMPUTED_VALUE"""),"HONDA")</f>
        <v>HONDA</v>
      </c>
      <c r="E2261" s="5" t="str">
        <f>IFERROR(__xludf.DUMMYFUNCTION("""COMPUTED_VALUE"""),"TRUNG QUỐC")</f>
        <v>TRUNG QUỐC</v>
      </c>
      <c r="F2261" s="5"/>
      <c r="G2261" s="5" t="str">
        <f>IFERROR(__xludf.DUMMYFUNCTION("""COMPUTED_VALUE"""),"GX35")</f>
        <v>GX35</v>
      </c>
      <c r="H2261" s="5" t="str">
        <f>IFERROR(__xludf.DUMMYFUNCTION("""COMPUTED_VALUE"""),"1.6HP")</f>
        <v>1.6HP</v>
      </c>
      <c r="I2261" s="5" t="str">
        <f>IFERROR(__xludf.DUMMYFUNCTION("""COMPUTED_VALUE"""),"GCAMT-4487275")</f>
        <v>GCAMT-4487275</v>
      </c>
      <c r="J2261" s="5"/>
      <c r="K2261" s="5">
        <f>IFERROR(__xludf.DUMMYFUNCTION("""COMPUTED_VALUE"""),0.5)</f>
        <v>0.5</v>
      </c>
      <c r="L2261" s="5"/>
    </row>
    <row r="2262">
      <c r="A2262" s="5" t="str">
        <f>IFERROR(__xludf.DUMMYFUNCTION("""COMPUTED_VALUE"""),"XBA-MPC-008")</f>
        <v>XBA-MPC-008</v>
      </c>
      <c r="B2262" s="3" t="str">
        <f>IFERROR(__xludf.DUMMYFUNCTION("""COMPUTED_VALUE"""),"Máy phát cỏ 4 thì")</f>
        <v>Máy phát cỏ 4 thì</v>
      </c>
      <c r="C2262" s="5" t="str">
        <f>IFERROR(__xludf.DUMMYFUNCTION("""COMPUTED_VALUE"""),"Loại biên")</f>
        <v>Loại biên</v>
      </c>
      <c r="D2262" s="5" t="str">
        <f>IFERROR(__xludf.DUMMYFUNCTION("""COMPUTED_VALUE"""),"HONDA")</f>
        <v>HONDA</v>
      </c>
      <c r="E2262" s="5" t="str">
        <f>IFERROR(__xludf.DUMMYFUNCTION("""COMPUTED_VALUE"""),"TRUNG QUỐC")</f>
        <v>TRUNG QUỐC</v>
      </c>
      <c r="F2262" s="5"/>
      <c r="G2262" s="5" t="str">
        <f>IFERROR(__xludf.DUMMYFUNCTION("""COMPUTED_VALUE"""),"GX35")</f>
        <v>GX35</v>
      </c>
      <c r="H2262" s="5" t="str">
        <f>IFERROR(__xludf.DUMMYFUNCTION("""COMPUTED_VALUE"""),"1.6HP")</f>
        <v>1.6HP</v>
      </c>
      <c r="I2262" s="5" t="str">
        <f>IFERROR(__xludf.DUMMYFUNCTION("""COMPUTED_VALUE"""),"GCAMT-4487389")</f>
        <v>GCAMT-4487389</v>
      </c>
      <c r="J2262" s="5"/>
      <c r="K2262" s="5">
        <f>IFERROR(__xludf.DUMMYFUNCTION("""COMPUTED_VALUE"""),0.5)</f>
        <v>0.5</v>
      </c>
      <c r="L2262" s="5"/>
    </row>
    <row r="2263">
      <c r="A2263" s="5" t="str">
        <f>IFERROR(__xludf.DUMMYFUNCTION("""COMPUTED_VALUE"""),"XBA-MPC-009")</f>
        <v>XBA-MPC-009</v>
      </c>
      <c r="B2263" s="3" t="str">
        <f>IFERROR(__xludf.DUMMYFUNCTION("""COMPUTED_VALUE"""),"Máy phát cỏ 4 thì")</f>
        <v>Máy phát cỏ 4 thì</v>
      </c>
      <c r="C2263" s="5" t="str">
        <f>IFERROR(__xludf.DUMMYFUNCTION("""COMPUTED_VALUE"""),"Loại biên")</f>
        <v>Loại biên</v>
      </c>
      <c r="D2263" s="5" t="str">
        <f>IFERROR(__xludf.DUMMYFUNCTION("""COMPUTED_VALUE"""),"HONDA")</f>
        <v>HONDA</v>
      </c>
      <c r="E2263" s="5" t="str">
        <f>IFERROR(__xludf.DUMMYFUNCTION("""COMPUTED_VALUE"""),"TRUNG QUỐC")</f>
        <v>TRUNG QUỐC</v>
      </c>
      <c r="F2263" s="5"/>
      <c r="G2263" s="5" t="str">
        <f>IFERROR(__xludf.DUMMYFUNCTION("""COMPUTED_VALUE"""),"GX35")</f>
        <v>GX35</v>
      </c>
      <c r="H2263" s="5" t="str">
        <f>IFERROR(__xludf.DUMMYFUNCTION("""COMPUTED_VALUE"""),"1.6HP")</f>
        <v>1.6HP</v>
      </c>
      <c r="I2263" s="5" t="str">
        <f>IFERROR(__xludf.DUMMYFUNCTION("""COMPUTED_VALUE"""),"GCAMT-4487022")</f>
        <v>GCAMT-4487022</v>
      </c>
      <c r="J2263" s="5"/>
      <c r="K2263" s="5">
        <f>IFERROR(__xludf.DUMMYFUNCTION("""COMPUTED_VALUE"""),0.5)</f>
        <v>0.5</v>
      </c>
      <c r="L2263" s="5"/>
    </row>
    <row r="2264">
      <c r="A2264" s="5" t="str">
        <f>IFERROR(__xludf.DUMMYFUNCTION("""COMPUTED_VALUE"""),"XBA-MPC-010")</f>
        <v>XBA-MPC-010</v>
      </c>
      <c r="B2264" s="3" t="str">
        <f>IFERROR(__xludf.DUMMYFUNCTION("""COMPUTED_VALUE"""),"Máy phát cỏ 4 thì")</f>
        <v>Máy phát cỏ 4 thì</v>
      </c>
      <c r="C2264" s="5" t="str">
        <f>IFERROR(__xludf.DUMMYFUNCTION("""COMPUTED_VALUE"""),"Loại biên")</f>
        <v>Loại biên</v>
      </c>
      <c r="D2264" s="5" t="str">
        <f>IFERROR(__xludf.DUMMYFUNCTION("""COMPUTED_VALUE"""),"HONDA")</f>
        <v>HONDA</v>
      </c>
      <c r="E2264" s="5" t="str">
        <f>IFERROR(__xludf.DUMMYFUNCTION("""COMPUTED_VALUE"""),"TRUNG QUỐC")</f>
        <v>TRUNG QUỐC</v>
      </c>
      <c r="F2264" s="5"/>
      <c r="G2264" s="5" t="str">
        <f>IFERROR(__xludf.DUMMYFUNCTION("""COMPUTED_VALUE"""),"GX35")</f>
        <v>GX35</v>
      </c>
      <c r="H2264" s="5" t="str">
        <f>IFERROR(__xludf.DUMMYFUNCTION("""COMPUTED_VALUE"""),"1.6HP")</f>
        <v>1.6HP</v>
      </c>
      <c r="I2264" s="5" t="str">
        <f>IFERROR(__xludf.DUMMYFUNCTION("""COMPUTED_VALUE"""),"GCAMT-4487009")</f>
        <v>GCAMT-4487009</v>
      </c>
      <c r="J2264" s="5"/>
      <c r="K2264" s="5">
        <f>IFERROR(__xludf.DUMMYFUNCTION("""COMPUTED_VALUE"""),0.5)</f>
        <v>0.5</v>
      </c>
      <c r="L2264" s="5"/>
    </row>
    <row r="2265">
      <c r="A2265" s="5" t="str">
        <f>IFERROR(__xludf.DUMMYFUNCTION("""COMPUTED_VALUE"""),"XBA-MPC-011")</f>
        <v>XBA-MPC-011</v>
      </c>
      <c r="B2265" s="3" t="str">
        <f>IFERROR(__xludf.DUMMYFUNCTION("""COMPUTED_VALUE"""),"Máy phát cỏ 4 thì")</f>
        <v>Máy phát cỏ 4 thì</v>
      </c>
      <c r="C2265" s="5" t="str">
        <f>IFERROR(__xludf.DUMMYFUNCTION("""COMPUTED_VALUE"""),"Loại biên")</f>
        <v>Loại biên</v>
      </c>
      <c r="D2265" s="5" t="str">
        <f>IFERROR(__xludf.DUMMYFUNCTION("""COMPUTED_VALUE"""),"HONDA")</f>
        <v>HONDA</v>
      </c>
      <c r="E2265" s="5" t="str">
        <f>IFERROR(__xludf.DUMMYFUNCTION("""COMPUTED_VALUE"""),"TRUNG QUỐC")</f>
        <v>TRUNG QUỐC</v>
      </c>
      <c r="F2265" s="5"/>
      <c r="G2265" s="5" t="str">
        <f>IFERROR(__xludf.DUMMYFUNCTION("""COMPUTED_VALUE"""),"GX35")</f>
        <v>GX35</v>
      </c>
      <c r="H2265" s="5" t="str">
        <f>IFERROR(__xludf.DUMMYFUNCTION("""COMPUTED_VALUE"""),"1.6HP")</f>
        <v>1.6HP</v>
      </c>
      <c r="I2265" s="5" t="str">
        <f>IFERROR(__xludf.DUMMYFUNCTION("""COMPUTED_VALUE"""),"GCAMT-4487449")</f>
        <v>GCAMT-4487449</v>
      </c>
      <c r="J2265" s="5"/>
      <c r="K2265" s="5">
        <f>IFERROR(__xludf.DUMMYFUNCTION("""COMPUTED_VALUE"""),0.5)</f>
        <v>0.5</v>
      </c>
      <c r="L2265" s="5"/>
    </row>
    <row r="2266">
      <c r="A2266" s="5" t="str">
        <f>IFERROR(__xludf.DUMMYFUNCTION("""COMPUTED_VALUE"""),"XBA-MPC-013")</f>
        <v>XBA-MPC-013</v>
      </c>
      <c r="B2266" s="3" t="str">
        <f>IFERROR(__xludf.DUMMYFUNCTION("""COMPUTED_VALUE"""),"Máy phát cỏ 4 thì")</f>
        <v>Máy phát cỏ 4 thì</v>
      </c>
      <c r="C2266" s="5" t="str">
        <f>IFERROR(__xludf.DUMMYFUNCTION("""COMPUTED_VALUE"""),"Loại biên")</f>
        <v>Loại biên</v>
      </c>
      <c r="D2266" s="5" t="str">
        <f>IFERROR(__xludf.DUMMYFUNCTION("""COMPUTED_VALUE"""),"HONDA")</f>
        <v>HONDA</v>
      </c>
      <c r="E2266" s="5" t="str">
        <f>IFERROR(__xludf.DUMMYFUNCTION("""COMPUTED_VALUE"""),"TRUNG QUỐC")</f>
        <v>TRUNG QUỐC</v>
      </c>
      <c r="F2266" s="5"/>
      <c r="G2266" s="5" t="str">
        <f>IFERROR(__xludf.DUMMYFUNCTION("""COMPUTED_VALUE"""),"GX35")</f>
        <v>GX35</v>
      </c>
      <c r="H2266" s="5" t="str">
        <f>IFERROR(__xludf.DUMMYFUNCTION("""COMPUTED_VALUE"""),"1.6HP")</f>
        <v>1.6HP</v>
      </c>
      <c r="I2266" s="5" t="str">
        <f>IFERROR(__xludf.DUMMYFUNCTION("""COMPUTED_VALUE"""),"GCAMT-7676330")</f>
        <v>GCAMT-7676330</v>
      </c>
      <c r="J2266" s="5"/>
      <c r="K2266" s="5">
        <f>IFERROR(__xludf.DUMMYFUNCTION("""COMPUTED_VALUE"""),0.5)</f>
        <v>0.5</v>
      </c>
      <c r="L2266" s="5"/>
    </row>
    <row r="2267">
      <c r="A2267" s="5" t="str">
        <f>IFERROR(__xludf.DUMMYFUNCTION("""COMPUTED_VALUE"""),"XBA-MPC-014")</f>
        <v>XBA-MPC-014</v>
      </c>
      <c r="B2267" s="3" t="str">
        <f>IFERROR(__xludf.DUMMYFUNCTION("""COMPUTED_VALUE"""),"Máy phát cỏ 4 thì")</f>
        <v>Máy phát cỏ 4 thì</v>
      </c>
      <c r="C2267" s="5" t="str">
        <f>IFERROR(__xludf.DUMMYFUNCTION("""COMPUTED_VALUE"""),"Loại biên")</f>
        <v>Loại biên</v>
      </c>
      <c r="D2267" s="5" t="str">
        <f>IFERROR(__xludf.DUMMYFUNCTION("""COMPUTED_VALUE"""),"HONDA")</f>
        <v>HONDA</v>
      </c>
      <c r="E2267" s="5" t="str">
        <f>IFERROR(__xludf.DUMMYFUNCTION("""COMPUTED_VALUE"""),"TRUNG QUỐC")</f>
        <v>TRUNG QUỐC</v>
      </c>
      <c r="F2267" s="5"/>
      <c r="G2267" s="5" t="str">
        <f>IFERROR(__xludf.DUMMYFUNCTION("""COMPUTED_VALUE"""),"GX35")</f>
        <v>GX35</v>
      </c>
      <c r="H2267" s="5" t="str">
        <f>IFERROR(__xludf.DUMMYFUNCTION("""COMPUTED_VALUE"""),"1.6HP")</f>
        <v>1.6HP</v>
      </c>
      <c r="I2267" s="5" t="str">
        <f>IFERROR(__xludf.DUMMYFUNCTION("""COMPUTED_VALUE"""),"GCAMT-7655299")</f>
        <v>GCAMT-7655299</v>
      </c>
      <c r="J2267" s="5"/>
      <c r="K2267" s="5">
        <f>IFERROR(__xludf.DUMMYFUNCTION("""COMPUTED_VALUE"""),0.5)</f>
        <v>0.5</v>
      </c>
      <c r="L2267" s="5"/>
    </row>
    <row r="2268">
      <c r="A2268" s="5" t="str">
        <f>IFERROR(__xludf.DUMMYFUNCTION("""COMPUTED_VALUE"""),"XBA-MPC-015")</f>
        <v>XBA-MPC-015</v>
      </c>
      <c r="B2268" s="3" t="str">
        <f>IFERROR(__xludf.DUMMYFUNCTION("""COMPUTED_VALUE"""),"Máy phát cỏ 4 thì")</f>
        <v>Máy phát cỏ 4 thì</v>
      </c>
      <c r="C2268" s="5" t="str">
        <f>IFERROR(__xludf.DUMMYFUNCTION("""COMPUTED_VALUE"""),"Loại biên")</f>
        <v>Loại biên</v>
      </c>
      <c r="D2268" s="5" t="str">
        <f>IFERROR(__xludf.DUMMYFUNCTION("""COMPUTED_VALUE"""),"HONDA")</f>
        <v>HONDA</v>
      </c>
      <c r="E2268" s="5" t="str">
        <f>IFERROR(__xludf.DUMMYFUNCTION("""COMPUTED_VALUE"""),"TRUNG QUỐC")</f>
        <v>TRUNG QUỐC</v>
      </c>
      <c r="F2268" s="5"/>
      <c r="G2268" s="5" t="str">
        <f>IFERROR(__xludf.DUMMYFUNCTION("""COMPUTED_VALUE"""),"GX35")</f>
        <v>GX35</v>
      </c>
      <c r="H2268" s="5" t="str">
        <f>IFERROR(__xludf.DUMMYFUNCTION("""COMPUTED_VALUE"""),"1.6HP")</f>
        <v>1.6HP</v>
      </c>
      <c r="I2268" s="5" t="str">
        <f>IFERROR(__xludf.DUMMYFUNCTION("""COMPUTED_VALUE"""),"GCAMT-7677905")</f>
        <v>GCAMT-7677905</v>
      </c>
      <c r="J2268" s="5"/>
      <c r="K2268" s="5">
        <f>IFERROR(__xludf.DUMMYFUNCTION("""COMPUTED_VALUE"""),0.5)</f>
        <v>0.5</v>
      </c>
      <c r="L2268" s="5"/>
    </row>
    <row r="2269">
      <c r="A2269" s="5" t="str">
        <f>IFERROR(__xludf.DUMMYFUNCTION("""COMPUTED_VALUE"""),"XD2-MPC-025")</f>
        <v>XD2-MPC-025</v>
      </c>
      <c r="B2269" s="3" t="str">
        <f>IFERROR(__xludf.DUMMYFUNCTION("""COMPUTED_VALUE"""),"Máy phát cỏ 4 thì")</f>
        <v>Máy phát cỏ 4 thì</v>
      </c>
      <c r="C2269" s="5" t="str">
        <f>IFERROR(__xludf.DUMMYFUNCTION("""COMPUTED_VALUE"""),"Loại biên")</f>
        <v>Loại biên</v>
      </c>
      <c r="D2269" s="5" t="str">
        <f>IFERROR(__xludf.DUMMYFUNCTION("""COMPUTED_VALUE"""),"HINOTA")</f>
        <v>HINOTA</v>
      </c>
      <c r="E2269" s="5" t="str">
        <f>IFERROR(__xludf.DUMMYFUNCTION("""COMPUTED_VALUE"""),"Trung Quốc")</f>
        <v>Trung Quốc</v>
      </c>
      <c r="F2269" s="5"/>
      <c r="G2269" s="5" t="str">
        <f>IFERROR(__xludf.DUMMYFUNCTION("""COMPUTED_VALUE"""),"CG435")</f>
        <v>CG435</v>
      </c>
      <c r="H2269" s="5" t="str">
        <f>IFERROR(__xludf.DUMMYFUNCTION("""COMPUTED_VALUE"""),"1.2HP")</f>
        <v>1.2HP</v>
      </c>
      <c r="I2269" s="5"/>
      <c r="J2269" s="5"/>
      <c r="K2269" s="5">
        <f>IFERROR(__xludf.DUMMYFUNCTION("""COMPUTED_VALUE"""),0.5)</f>
        <v>0.5</v>
      </c>
      <c r="L2269" s="5"/>
    </row>
    <row r="2270">
      <c r="A2270" s="5" t="str">
        <f>IFERROR(__xludf.DUMMYFUNCTION("""COMPUTED_VALUE"""),"XD2-MPC-026")</f>
        <v>XD2-MPC-026</v>
      </c>
      <c r="B2270" s="3" t="str">
        <f>IFERROR(__xludf.DUMMYFUNCTION("""COMPUTED_VALUE"""),"Máy phát cỏ 4 thì")</f>
        <v>Máy phát cỏ 4 thì</v>
      </c>
      <c r="C2270" s="5" t="str">
        <f>IFERROR(__xludf.DUMMYFUNCTION("""COMPUTED_VALUE"""),"Loại biên")</f>
        <v>Loại biên</v>
      </c>
      <c r="D2270" s="5" t="str">
        <f>IFERROR(__xludf.DUMMYFUNCTION("""COMPUTED_VALUE"""),"HINOTA")</f>
        <v>HINOTA</v>
      </c>
      <c r="E2270" s="5" t="str">
        <f>IFERROR(__xludf.DUMMYFUNCTION("""COMPUTED_VALUE"""),"Trung Quốc")</f>
        <v>Trung Quốc</v>
      </c>
      <c r="F2270" s="5"/>
      <c r="G2270" s="5" t="str">
        <f>IFERROR(__xludf.DUMMYFUNCTION("""COMPUTED_VALUE"""),"CG435")</f>
        <v>CG435</v>
      </c>
      <c r="H2270" s="5" t="str">
        <f>IFERROR(__xludf.DUMMYFUNCTION("""COMPUTED_VALUE"""),"1.2HP")</f>
        <v>1.2HP</v>
      </c>
      <c r="I2270" s="5"/>
      <c r="J2270" s="5"/>
      <c r="K2270" s="5">
        <f>IFERROR(__xludf.DUMMYFUNCTION("""COMPUTED_VALUE"""),0.5)</f>
        <v>0.5</v>
      </c>
      <c r="L2270" s="5"/>
    </row>
    <row r="2271">
      <c r="A2271" s="5" t="str">
        <f>IFERROR(__xludf.DUMMYFUNCTION("""COMPUTED_VALUE"""),"DP1")</f>
        <v>DP1</v>
      </c>
      <c r="B2271" s="3"/>
      <c r="C2271" s="5"/>
      <c r="D2271" s="5"/>
      <c r="E2271" s="5"/>
      <c r="F2271" s="5"/>
      <c r="G2271" s="5"/>
      <c r="H2271" s="5"/>
      <c r="I2271" s="5"/>
      <c r="J2271" s="5"/>
      <c r="K2271" s="5"/>
      <c r="L2271" s="5" t="str">
        <f>IFERROR(__xludf.DUMMYFUNCTION("""COMPUTED_VALUE"""),"KLH")</f>
        <v>KLH</v>
      </c>
    </row>
    <row r="2272">
      <c r="A2272" s="5" t="str">
        <f>IFERROR(__xludf.DUMMYFUNCTION("""COMPUTED_VALUE"""),"XD1-MCG-001")</f>
        <v>XD1-MCG-001</v>
      </c>
      <c r="B2272" s="3" t="str">
        <f>IFERROR(__xludf.DUMMYFUNCTION("""COMPUTED_VALUE"""),"Máy cưa gỗ")</f>
        <v>Máy cưa gỗ</v>
      </c>
      <c r="C2272" s="5" t="str">
        <f>IFERROR(__xludf.DUMMYFUNCTION("""COMPUTED_VALUE"""),"XN Chuối DP1")</f>
        <v>XN Chuối DP1</v>
      </c>
      <c r="D2272" s="5" t="str">
        <f>IFERROR(__xludf.DUMMYFUNCTION("""COMPUTED_VALUE"""),"STIHL")</f>
        <v>STIHL</v>
      </c>
      <c r="E2272" s="5" t="str">
        <f>IFERROR(__xludf.DUMMYFUNCTION("""COMPUTED_VALUE"""),"Trung Quốc")</f>
        <v>Trung Quốc</v>
      </c>
      <c r="F2272" s="5"/>
      <c r="G2272" s="5" t="str">
        <f>IFERROR(__xludf.DUMMYFUNCTION("""COMPUTED_VALUE"""),"MS382")</f>
        <v>MS382</v>
      </c>
      <c r="H2272" s="5" t="str">
        <f>IFERROR(__xludf.DUMMYFUNCTION("""COMPUTED_VALUE"""),"3.9HP")</f>
        <v>3.9HP</v>
      </c>
      <c r="I2272" s="5"/>
      <c r="J2272" s="5"/>
      <c r="K2272" s="5">
        <f>IFERROR(__xludf.DUMMYFUNCTION("""COMPUTED_VALUE"""),0.63)</f>
        <v>0.63</v>
      </c>
      <c r="L2272" s="5" t="str">
        <f>IFERROR(__xludf.DUMMYFUNCTION("""COMPUTED_VALUE"""),"KLH")</f>
        <v>KLH</v>
      </c>
    </row>
    <row r="2273">
      <c r="A2273" s="5" t="str">
        <f>IFERROR(__xludf.DUMMYFUNCTION("""COMPUTED_VALUE"""),"DP2")</f>
        <v>DP2</v>
      </c>
      <c r="B2273" s="3"/>
      <c r="C2273" s="5"/>
      <c r="D2273" s="5"/>
      <c r="E2273" s="5"/>
      <c r="F2273" s="5"/>
      <c r="G2273" s="5"/>
      <c r="H2273" s="5"/>
      <c r="I2273" s="5"/>
      <c r="J2273" s="5"/>
      <c r="K2273" s="5"/>
      <c r="L2273" s="5" t="str">
        <f>IFERROR(__xludf.DUMMYFUNCTION("""COMPUTED_VALUE"""),"KLH")</f>
        <v>KLH</v>
      </c>
    </row>
    <row r="2274">
      <c r="A2274" s="5" t="str">
        <f>IFERROR(__xludf.DUMMYFUNCTION("""COMPUTED_VALUE"""),"DP3")</f>
        <v>DP3</v>
      </c>
      <c r="B2274" s="3"/>
      <c r="C2274" s="5"/>
      <c r="D2274" s="5"/>
      <c r="E2274" s="5"/>
      <c r="F2274" s="5"/>
      <c r="G2274" s="5"/>
      <c r="H2274" s="5"/>
      <c r="I2274" s="5"/>
      <c r="J2274" s="5"/>
      <c r="K2274" s="5"/>
      <c r="L2274" s="5" t="str">
        <f>IFERROR(__xludf.DUMMYFUNCTION("""COMPUTED_VALUE"""),"KLH")</f>
        <v>KLH</v>
      </c>
    </row>
    <row r="2275">
      <c r="A2275" s="5" t="str">
        <f>IFERROR(__xludf.DUMMYFUNCTION("""COMPUTED_VALUE"""),"CAT DP")</f>
        <v>CAT DP</v>
      </c>
      <c r="B2275" s="3"/>
      <c r="C2275" s="5"/>
      <c r="D2275" s="5"/>
      <c r="E2275" s="5"/>
      <c r="F2275" s="5"/>
      <c r="G2275" s="5"/>
      <c r="H2275" s="5"/>
      <c r="I2275" s="5"/>
      <c r="J2275" s="5"/>
      <c r="K2275" s="5"/>
      <c r="L2275" s="5" t="str">
        <f>IFERROR(__xludf.DUMMYFUNCTION("""COMPUTED_VALUE"""),"KLH")</f>
        <v>KLH</v>
      </c>
    </row>
    <row r="2276">
      <c r="A2276" s="5" t="str">
        <f>IFERROR(__xludf.DUMMYFUNCTION("""COMPUTED_VALUE"""),"XXD-MCG-001")</f>
        <v>XXD-MCG-001</v>
      </c>
      <c r="B2276" s="3" t="str">
        <f>IFERROR(__xludf.DUMMYFUNCTION("""COMPUTED_VALUE"""),"Máy cưa gỗ")</f>
        <v>Máy cưa gỗ</v>
      </c>
      <c r="C2276" s="5" t="str">
        <f>IFERROR(__xludf.DUMMYFUNCTION("""COMPUTED_VALUE"""),"Xoài DP")</f>
        <v>Xoài DP</v>
      </c>
      <c r="D2276" s="5" t="str">
        <f>IFERROR(__xludf.DUMMYFUNCTION("""COMPUTED_VALUE"""),"STIHL")</f>
        <v>STIHL</v>
      </c>
      <c r="E2276" s="5" t="str">
        <f>IFERROR(__xludf.DUMMYFUNCTION("""COMPUTED_VALUE"""),"Trung Quốc")</f>
        <v>Trung Quốc</v>
      </c>
      <c r="F2276" s="5"/>
      <c r="G2276" s="5" t="str">
        <f>IFERROR(__xludf.DUMMYFUNCTION("""COMPUTED_VALUE"""),"MS-182")</f>
        <v>MS-182</v>
      </c>
      <c r="H2276" s="5" t="str">
        <f>IFERROR(__xludf.DUMMYFUNCTION("""COMPUTED_VALUE"""),"2.1HP")</f>
        <v>2.1HP</v>
      </c>
      <c r="I2276" s="5" t="str">
        <f>IFERROR(__xludf.DUMMYFUNCTION("""COMPUTED_VALUE"""),"837566473")</f>
        <v>837566473</v>
      </c>
      <c r="J2276" s="5" t="str">
        <f>IFERROR(__xludf.DUMMYFUNCTION("""COMPUTED_VALUE"""),"134")</f>
        <v>134</v>
      </c>
      <c r="K2276" s="5">
        <f>IFERROR(__xludf.DUMMYFUNCTION("""COMPUTED_VALUE"""),0.63)</f>
        <v>0.63</v>
      </c>
      <c r="L2276" s="5" t="str">
        <f>IFERROR(__xludf.DUMMYFUNCTION("""COMPUTED_VALUE"""),"KLH")</f>
        <v>KLH</v>
      </c>
    </row>
    <row r="2277">
      <c r="A2277" s="5" t="str">
        <f>IFERROR(__xludf.DUMMYFUNCTION("""COMPUTED_VALUE"""),"XXD-MCG-002")</f>
        <v>XXD-MCG-002</v>
      </c>
      <c r="B2277" s="3" t="str">
        <f>IFERROR(__xludf.DUMMYFUNCTION("""COMPUTED_VALUE"""),"Máy cưa gỗ")</f>
        <v>Máy cưa gỗ</v>
      </c>
      <c r="C2277" s="5" t="str">
        <f>IFERROR(__xludf.DUMMYFUNCTION("""COMPUTED_VALUE"""),"Xoài DP")</f>
        <v>Xoài DP</v>
      </c>
      <c r="D2277" s="5" t="str">
        <f>IFERROR(__xludf.DUMMYFUNCTION("""COMPUTED_VALUE"""),"STIHL")</f>
        <v>STIHL</v>
      </c>
      <c r="E2277" s="5" t="str">
        <f>IFERROR(__xludf.DUMMYFUNCTION("""COMPUTED_VALUE"""),"Trung Quốc")</f>
        <v>Trung Quốc</v>
      </c>
      <c r="F2277" s="5"/>
      <c r="G2277" s="5" t="str">
        <f>IFERROR(__xludf.DUMMYFUNCTION("""COMPUTED_VALUE"""),"MS-182")</f>
        <v>MS-182</v>
      </c>
      <c r="H2277" s="5" t="str">
        <f>IFERROR(__xludf.DUMMYFUNCTION("""COMPUTED_VALUE"""),"2.1HP")</f>
        <v>2.1HP</v>
      </c>
      <c r="I2277" s="5" t="str">
        <f>IFERROR(__xludf.DUMMYFUNCTION("""COMPUTED_VALUE"""),"837566474")</f>
        <v>837566474</v>
      </c>
      <c r="J2277" s="5" t="str">
        <f>IFERROR(__xludf.DUMMYFUNCTION("""COMPUTED_VALUE"""),"135")</f>
        <v>135</v>
      </c>
      <c r="K2277" s="5">
        <f>IFERROR(__xludf.DUMMYFUNCTION("""COMPUTED_VALUE"""),0.63)</f>
        <v>0.63</v>
      </c>
      <c r="L2277" s="5" t="str">
        <f>IFERROR(__xludf.DUMMYFUNCTION("""COMPUTED_VALUE"""),"KLH")</f>
        <v>KLH</v>
      </c>
    </row>
    <row r="2278">
      <c r="A2278" s="5" t="str">
        <f>IFERROR(__xludf.DUMMYFUNCTION("""COMPUTED_VALUE"""),"XXD-MCG-003")</f>
        <v>XXD-MCG-003</v>
      </c>
      <c r="B2278" s="3" t="str">
        <f>IFERROR(__xludf.DUMMYFUNCTION("""COMPUTED_VALUE"""),"Máy cưa gỗ")</f>
        <v>Máy cưa gỗ</v>
      </c>
      <c r="C2278" s="5" t="str">
        <f>IFERROR(__xludf.DUMMYFUNCTION("""COMPUTED_VALUE"""),"Xoài DP")</f>
        <v>Xoài DP</v>
      </c>
      <c r="D2278" s="5" t="str">
        <f>IFERROR(__xludf.DUMMYFUNCTION("""COMPUTED_VALUE"""),"STIHL")</f>
        <v>STIHL</v>
      </c>
      <c r="E2278" s="5" t="str">
        <f>IFERROR(__xludf.DUMMYFUNCTION("""COMPUTED_VALUE"""),"Trung Quốc")</f>
        <v>Trung Quốc</v>
      </c>
      <c r="F2278" s="5"/>
      <c r="G2278" s="5" t="str">
        <f>IFERROR(__xludf.DUMMYFUNCTION("""COMPUTED_VALUE"""),"MS-182")</f>
        <v>MS-182</v>
      </c>
      <c r="H2278" s="5" t="str">
        <f>IFERROR(__xludf.DUMMYFUNCTION("""COMPUTED_VALUE"""),"2.1HP")</f>
        <v>2.1HP</v>
      </c>
      <c r="I2278" s="5" t="str">
        <f>IFERROR(__xludf.DUMMYFUNCTION("""COMPUTED_VALUE"""),"837566439")</f>
        <v>837566439</v>
      </c>
      <c r="J2278" s="5" t="str">
        <f>IFERROR(__xludf.DUMMYFUNCTION("""COMPUTED_VALUE"""),"100")</f>
        <v>100</v>
      </c>
      <c r="K2278" s="5">
        <f>IFERROR(__xludf.DUMMYFUNCTION("""COMPUTED_VALUE"""),0.63)</f>
        <v>0.63</v>
      </c>
      <c r="L2278" s="5" t="str">
        <f>IFERROR(__xludf.DUMMYFUNCTION("""COMPUTED_VALUE"""),"KLH")</f>
        <v>KLH</v>
      </c>
    </row>
    <row r="2279">
      <c r="A2279" s="5" t="str">
        <f>IFERROR(__xludf.DUMMYFUNCTION("""COMPUTED_VALUE"""),"XXD-MCG-004")</f>
        <v>XXD-MCG-004</v>
      </c>
      <c r="B2279" s="3" t="str">
        <f>IFERROR(__xludf.DUMMYFUNCTION("""COMPUTED_VALUE"""),"Máy cưa gỗ")</f>
        <v>Máy cưa gỗ</v>
      </c>
      <c r="C2279" s="5" t="str">
        <f>IFERROR(__xludf.DUMMYFUNCTION("""COMPUTED_VALUE"""),"Xoài DP")</f>
        <v>Xoài DP</v>
      </c>
      <c r="D2279" s="5" t="str">
        <f>IFERROR(__xludf.DUMMYFUNCTION("""COMPUTED_VALUE"""),"STIHL")</f>
        <v>STIHL</v>
      </c>
      <c r="E2279" s="5" t="str">
        <f>IFERROR(__xludf.DUMMYFUNCTION("""COMPUTED_VALUE"""),"Trung Quốc")</f>
        <v>Trung Quốc</v>
      </c>
      <c r="F2279" s="5"/>
      <c r="G2279" s="5" t="str">
        <f>IFERROR(__xludf.DUMMYFUNCTION("""COMPUTED_VALUE"""),"MS-182")</f>
        <v>MS-182</v>
      </c>
      <c r="H2279" s="5" t="str">
        <f>IFERROR(__xludf.DUMMYFUNCTION("""COMPUTED_VALUE"""),"2.1HP")</f>
        <v>2.1HP</v>
      </c>
      <c r="I2279" s="5" t="str">
        <f>IFERROR(__xludf.DUMMYFUNCTION("""COMPUTED_VALUE"""),"837566434")</f>
        <v>837566434</v>
      </c>
      <c r="J2279" s="5" t="str">
        <f>IFERROR(__xludf.DUMMYFUNCTION("""COMPUTED_VALUE"""),"95")</f>
        <v>95</v>
      </c>
      <c r="K2279" s="5">
        <f>IFERROR(__xludf.DUMMYFUNCTION("""COMPUTED_VALUE"""),0.63)</f>
        <v>0.63</v>
      </c>
      <c r="L2279" s="5" t="str">
        <f>IFERROR(__xludf.DUMMYFUNCTION("""COMPUTED_VALUE"""),"KLH")</f>
        <v>KLH</v>
      </c>
    </row>
    <row r="2280">
      <c r="A2280" s="5" t="str">
        <f>IFERROR(__xludf.DUMMYFUNCTION("""COMPUTED_VALUE"""),"LUMPHAT")</f>
        <v>LUMPHAT</v>
      </c>
      <c r="B2280" s="3"/>
      <c r="C2280" s="5"/>
      <c r="D2280" s="5"/>
      <c r="E2280" s="5"/>
      <c r="F2280" s="5"/>
      <c r="G2280" s="5"/>
      <c r="H2280" s="5"/>
      <c r="I2280" s="5"/>
      <c r="J2280" s="5"/>
      <c r="K2280" s="5"/>
      <c r="L2280" s="5" t="str">
        <f>IFERROR(__xludf.DUMMYFUNCTION("""COMPUTED_VALUE"""),"KLH")</f>
        <v>KLH</v>
      </c>
    </row>
    <row r="2281">
      <c r="A2281" s="5" t="str">
        <f>IFERROR(__xludf.DUMMYFUNCTION("""COMPUTED_VALUE"""),"LP1")</f>
        <v>LP1</v>
      </c>
      <c r="B2281" s="3"/>
      <c r="C2281" s="5"/>
      <c r="D2281" s="5"/>
      <c r="E2281" s="5"/>
      <c r="F2281" s="5"/>
      <c r="G2281" s="5"/>
      <c r="H2281" s="5"/>
      <c r="I2281" s="5"/>
      <c r="J2281" s="5"/>
      <c r="K2281" s="5"/>
      <c r="L2281" s="5" t="str">
        <f>IFERROR(__xludf.DUMMYFUNCTION("""COMPUTED_VALUE"""),"KLH")</f>
        <v>KLH</v>
      </c>
    </row>
    <row r="2282">
      <c r="A2282" s="5" t="str">
        <f>IFERROR(__xludf.DUMMYFUNCTION("""COMPUTED_VALUE"""),"XL1-MCG-001")</f>
        <v>XL1-MCG-001</v>
      </c>
      <c r="B2282" s="3" t="str">
        <f>IFERROR(__xludf.DUMMYFUNCTION("""COMPUTED_VALUE"""),"Máy cưa gỗ")</f>
        <v>Máy cưa gỗ</v>
      </c>
      <c r="C2282" s="5" t="str">
        <f>IFERROR(__xludf.DUMMYFUNCTION("""COMPUTED_VALUE"""),"XN Chuối LP1")</f>
        <v>XN Chuối LP1</v>
      </c>
      <c r="D2282" s="5" t="str">
        <f>IFERROR(__xludf.DUMMYFUNCTION("""COMPUTED_VALUE"""),"STIHL")</f>
        <v>STIHL</v>
      </c>
      <c r="E2282" s="5" t="str">
        <f>IFERROR(__xludf.DUMMYFUNCTION("""COMPUTED_VALUE"""),"Trung Quốc")</f>
        <v>Trung Quốc</v>
      </c>
      <c r="F2282" s="5"/>
      <c r="G2282" s="5" t="str">
        <f>IFERROR(__xludf.DUMMYFUNCTION("""COMPUTED_VALUE"""),"MS382")</f>
        <v>MS382</v>
      </c>
      <c r="H2282" s="5" t="str">
        <f>IFERROR(__xludf.DUMMYFUNCTION("""COMPUTED_VALUE"""),"3.9HP")</f>
        <v>3.9HP</v>
      </c>
      <c r="I2282" s="5"/>
      <c r="J2282" s="5"/>
      <c r="K2282" s="5">
        <f>IFERROR(__xludf.DUMMYFUNCTION("""COMPUTED_VALUE"""),0.63)</f>
        <v>0.63</v>
      </c>
      <c r="L2282" s="5" t="str">
        <f>IFERROR(__xludf.DUMMYFUNCTION("""COMPUTED_VALUE"""),"KLH")</f>
        <v>KLH</v>
      </c>
    </row>
    <row r="2283">
      <c r="A2283" s="5" t="str">
        <f>IFERROR(__xludf.DUMMYFUNCTION("""COMPUTED_VALUE"""),"LP3")</f>
        <v>LP3</v>
      </c>
      <c r="B2283" s="3"/>
      <c r="C2283" s="5"/>
      <c r="D2283" s="5"/>
      <c r="E2283" s="5"/>
      <c r="F2283" s="5"/>
      <c r="G2283" s="5"/>
      <c r="H2283" s="5"/>
      <c r="I2283" s="5"/>
      <c r="J2283" s="5"/>
      <c r="K2283" s="5"/>
      <c r="L2283" s="5" t="str">
        <f>IFERROR(__xludf.DUMMYFUNCTION("""COMPUTED_VALUE"""),"KLH")</f>
        <v>KLH</v>
      </c>
    </row>
    <row r="2284">
      <c r="A2284" s="5" t="str">
        <f>IFERROR(__xludf.DUMMYFUNCTION("""COMPUTED_VALUE"""),"ANDONGMEAS")</f>
        <v>ANDONGMEAS</v>
      </c>
      <c r="B2284" s="3"/>
      <c r="C2284" s="5"/>
      <c r="D2284" s="5"/>
      <c r="E2284" s="5"/>
      <c r="F2284" s="5"/>
      <c r="G2284" s="5"/>
      <c r="H2284" s="5"/>
      <c r="I2284" s="5"/>
      <c r="J2284" s="5"/>
      <c r="K2284" s="5"/>
      <c r="L2284" s="5" t="str">
        <f>IFERROR(__xludf.DUMMYFUNCTION("""COMPUTED_VALUE"""),"KLH")</f>
        <v>KLH</v>
      </c>
    </row>
    <row r="2285">
      <c r="A2285" s="5" t="str">
        <f>IFERROR(__xludf.DUMMYFUNCTION("""COMPUTED_VALUE"""),"XN AD2")</f>
        <v>XN AD2</v>
      </c>
      <c r="B2285" s="3"/>
      <c r="C2285" s="5"/>
      <c r="D2285" s="5"/>
      <c r="E2285" s="5"/>
      <c r="F2285" s="5"/>
      <c r="G2285" s="5"/>
      <c r="H2285" s="5"/>
      <c r="I2285" s="5"/>
      <c r="J2285" s="5"/>
      <c r="K2285" s="5"/>
      <c r="L2285" s="5" t="str">
        <f>IFERROR(__xludf.DUMMYFUNCTION("""COMPUTED_VALUE"""),"KLH")</f>
        <v>KLH</v>
      </c>
    </row>
    <row r="2286">
      <c r="A2286" s="5" t="str">
        <f>IFERROR(__xludf.DUMMYFUNCTION("""COMPUTED_VALUE"""),"CAT AD")</f>
        <v>CAT AD</v>
      </c>
      <c r="B2286" s="3"/>
      <c r="C2286" s="5"/>
      <c r="D2286" s="5"/>
      <c r="E2286" s="5"/>
      <c r="F2286" s="5"/>
      <c r="G2286" s="5"/>
      <c r="H2286" s="5"/>
      <c r="I2286" s="5"/>
      <c r="J2286" s="5"/>
      <c r="K2286" s="5"/>
      <c r="L2286" s="5" t="str">
        <f>IFERROR(__xludf.DUMMYFUNCTION("""COMPUTED_VALUE"""),"KLH")</f>
        <v>KLH</v>
      </c>
    </row>
    <row r="2287">
      <c r="A2287" s="5" t="str">
        <f>IFERROR(__xludf.DUMMYFUNCTION("""COMPUTED_VALUE"""),"XXA-MCG-001")</f>
        <v>XXA-MCG-001</v>
      </c>
      <c r="B2287" s="3" t="str">
        <f>IFERROR(__xludf.DUMMYFUNCTION("""COMPUTED_VALUE"""),"Máy cưa gỗ")</f>
        <v>Máy cưa gỗ</v>
      </c>
      <c r="C2287" s="5" t="str">
        <f>IFERROR(__xludf.DUMMYFUNCTION("""COMPUTED_VALUE"""),"Xoài AD")</f>
        <v>Xoài AD</v>
      </c>
      <c r="D2287" s="5" t="str">
        <f>IFERROR(__xludf.DUMMYFUNCTION("""COMPUTED_VALUE"""),"MAKITA")</f>
        <v>MAKITA</v>
      </c>
      <c r="E2287" s="5"/>
      <c r="F2287" s="5"/>
      <c r="G2287" s="5" t="str">
        <f>IFERROR(__xludf.DUMMYFUNCTION("""COMPUTED_VALUE"""),"EA3200S40B")</f>
        <v>EA3200S40B</v>
      </c>
      <c r="H2287" s="5" t="str">
        <f>IFERROR(__xludf.DUMMYFUNCTION("""COMPUTED_VALUE"""),"1.8HP")</f>
        <v>1.8HP</v>
      </c>
      <c r="I2287" s="5" t="str">
        <f>IFERROR(__xludf.DUMMYFUNCTION("""COMPUTED_VALUE"""),"0A232A322")</f>
        <v>0A232A322</v>
      </c>
      <c r="J2287" s="5" t="str">
        <f>IFERROR(__xludf.DUMMYFUNCTION("""COMPUTED_VALUE"""),"M2377569")</f>
        <v>M2377569</v>
      </c>
      <c r="K2287" s="5">
        <f>IFERROR(__xludf.DUMMYFUNCTION("""COMPUTED_VALUE"""),0.63)</f>
        <v>0.63</v>
      </c>
      <c r="L2287" s="5" t="str">
        <f>IFERROR(__xludf.DUMMYFUNCTION("""COMPUTED_VALUE"""),"KLH")</f>
        <v>KLH</v>
      </c>
    </row>
    <row r="2288">
      <c r="A2288" s="5" t="str">
        <f>IFERROR(__xludf.DUMMYFUNCTION("""COMPUTED_VALUE"""),"XXA-MCG-002")</f>
        <v>XXA-MCG-002</v>
      </c>
      <c r="B2288" s="3" t="str">
        <f>IFERROR(__xludf.DUMMYFUNCTION("""COMPUTED_VALUE"""),"Máy cưa gỗ")</f>
        <v>Máy cưa gỗ</v>
      </c>
      <c r="C2288" s="5" t="str">
        <f>IFERROR(__xludf.DUMMYFUNCTION("""COMPUTED_VALUE"""),"Xoài AD")</f>
        <v>Xoài AD</v>
      </c>
      <c r="D2288" s="5" t="str">
        <f>IFERROR(__xludf.DUMMYFUNCTION("""COMPUTED_VALUE"""),"MAKITA")</f>
        <v>MAKITA</v>
      </c>
      <c r="E2288" s="5"/>
      <c r="F2288" s="5"/>
      <c r="G2288" s="5" t="str">
        <f>IFERROR(__xludf.DUMMYFUNCTION("""COMPUTED_VALUE"""),"EA3200S40B")</f>
        <v>EA3200S40B</v>
      </c>
      <c r="H2288" s="5" t="str">
        <f>IFERROR(__xludf.DUMMYFUNCTION("""COMPUTED_VALUE"""),"1.8HP")</f>
        <v>1.8HP</v>
      </c>
      <c r="I2288" s="5" t="str">
        <f>IFERROR(__xludf.DUMMYFUNCTION("""COMPUTED_VALUE"""),"0A232A32X")</f>
        <v>0A232A32X</v>
      </c>
      <c r="J2288" s="5" t="str">
        <f>IFERROR(__xludf.DUMMYFUNCTION("""COMPUTED_VALUE"""),"M2377562")</f>
        <v>M2377562</v>
      </c>
      <c r="K2288" s="5">
        <f>IFERROR(__xludf.DUMMYFUNCTION("""COMPUTED_VALUE"""),0.63)</f>
        <v>0.63</v>
      </c>
      <c r="L2288" s="5" t="str">
        <f>IFERROR(__xludf.DUMMYFUNCTION("""COMPUTED_VALUE"""),"KLH")</f>
        <v>KLH</v>
      </c>
    </row>
    <row r="2289">
      <c r="A2289" s="5" t="str">
        <f>IFERROR(__xludf.DUMMYFUNCTION("""COMPUTED_VALUE"""),"XXA-MCG-003")</f>
        <v>XXA-MCG-003</v>
      </c>
      <c r="B2289" s="3" t="str">
        <f>IFERROR(__xludf.DUMMYFUNCTION("""COMPUTED_VALUE"""),"Máy cưa gỗ")</f>
        <v>Máy cưa gỗ</v>
      </c>
      <c r="C2289" s="5" t="str">
        <f>IFERROR(__xludf.DUMMYFUNCTION("""COMPUTED_VALUE"""),"Xoài AD")</f>
        <v>Xoài AD</v>
      </c>
      <c r="D2289" s="5" t="str">
        <f>IFERROR(__xludf.DUMMYFUNCTION("""COMPUTED_VALUE"""),"MAKITA")</f>
        <v>MAKITA</v>
      </c>
      <c r="E2289" s="5"/>
      <c r="F2289" s="5"/>
      <c r="G2289" s="5" t="str">
        <f>IFERROR(__xludf.DUMMYFUNCTION("""COMPUTED_VALUE"""),"EA3200S40B")</f>
        <v>EA3200S40B</v>
      </c>
      <c r="H2289" s="5" t="str">
        <f>IFERROR(__xludf.DUMMYFUNCTION("""COMPUTED_VALUE"""),"1.8HP")</f>
        <v>1.8HP</v>
      </c>
      <c r="I2289" s="5" t="str">
        <f>IFERROR(__xludf.DUMMYFUNCTION("""COMPUTED_VALUE"""),"0A232A328")</f>
        <v>0A232A328</v>
      </c>
      <c r="J2289" s="5" t="str">
        <f>IFERROR(__xludf.DUMMYFUNCTION("""COMPUTED_VALUE"""),"M2377561")</f>
        <v>M2377561</v>
      </c>
      <c r="K2289" s="5">
        <f>IFERROR(__xludf.DUMMYFUNCTION("""COMPUTED_VALUE"""),0.63)</f>
        <v>0.63</v>
      </c>
      <c r="L2289" s="5" t="str">
        <f>IFERROR(__xludf.DUMMYFUNCTION("""COMPUTED_VALUE"""),"KLH")</f>
        <v>KLH</v>
      </c>
    </row>
    <row r="2290">
      <c r="A2290" s="5" t="str">
        <f>IFERROR(__xludf.DUMMYFUNCTION("""COMPUTED_VALUE"""),"XXA-MCG-004")</f>
        <v>XXA-MCG-004</v>
      </c>
      <c r="B2290" s="3" t="str">
        <f>IFERROR(__xludf.DUMMYFUNCTION("""COMPUTED_VALUE"""),"Máy cưa gỗ")</f>
        <v>Máy cưa gỗ</v>
      </c>
      <c r="C2290" s="5" t="str">
        <f>IFERROR(__xludf.DUMMYFUNCTION("""COMPUTED_VALUE"""),"Xoài AD")</f>
        <v>Xoài AD</v>
      </c>
      <c r="D2290" s="5" t="str">
        <f>IFERROR(__xludf.DUMMYFUNCTION("""COMPUTED_VALUE"""),"MAKITA")</f>
        <v>MAKITA</v>
      </c>
      <c r="E2290" s="5"/>
      <c r="F2290" s="5"/>
      <c r="G2290" s="5" t="str">
        <f>IFERROR(__xludf.DUMMYFUNCTION("""COMPUTED_VALUE"""),"EA3200S40B")</f>
        <v>EA3200S40B</v>
      </c>
      <c r="H2290" s="5" t="str">
        <f>IFERROR(__xludf.DUMMYFUNCTION("""COMPUTED_VALUE"""),"1.8HP")</f>
        <v>1.8HP</v>
      </c>
      <c r="I2290" s="5" t="str">
        <f>IFERROR(__xludf.DUMMYFUNCTION("""COMPUTED_VALUE"""),"0A232A329")</f>
        <v>0A232A329</v>
      </c>
      <c r="J2290" s="5" t="str">
        <f>IFERROR(__xludf.DUMMYFUNCTION("""COMPUTED_VALUE"""),"M2377584")</f>
        <v>M2377584</v>
      </c>
      <c r="K2290" s="5">
        <f>IFERROR(__xludf.DUMMYFUNCTION("""COMPUTED_VALUE"""),0.63)</f>
        <v>0.63</v>
      </c>
      <c r="L2290" s="5" t="str">
        <f>IFERROR(__xludf.DUMMYFUNCTION("""COMPUTED_VALUE"""),"KLH")</f>
        <v>KLH</v>
      </c>
    </row>
    <row r="2291">
      <c r="A2291" s="5" t="str">
        <f>IFERROR(__xludf.DUMMYFUNCTION("""COMPUTED_VALUE"""),"XXA-MCG-005")</f>
        <v>XXA-MCG-005</v>
      </c>
      <c r="B2291" s="3" t="str">
        <f>IFERROR(__xludf.DUMMYFUNCTION("""COMPUTED_VALUE"""),"Máy cưa gỗ")</f>
        <v>Máy cưa gỗ</v>
      </c>
      <c r="C2291" s="5" t="str">
        <f>IFERROR(__xludf.DUMMYFUNCTION("""COMPUTED_VALUE"""),"Xoài AD")</f>
        <v>Xoài AD</v>
      </c>
      <c r="D2291" s="5" t="str">
        <f>IFERROR(__xludf.DUMMYFUNCTION("""COMPUTED_VALUE"""),"MAKITA")</f>
        <v>MAKITA</v>
      </c>
      <c r="E2291" s="5"/>
      <c r="F2291" s="5"/>
      <c r="G2291" s="5" t="str">
        <f>IFERROR(__xludf.DUMMYFUNCTION("""COMPUTED_VALUE"""),"EA3200S40B")</f>
        <v>EA3200S40B</v>
      </c>
      <c r="H2291" s="5" t="str">
        <f>IFERROR(__xludf.DUMMYFUNCTION("""COMPUTED_VALUE"""),"1.8HP")</f>
        <v>1.8HP</v>
      </c>
      <c r="I2291" s="5" t="str">
        <f>IFERROR(__xludf.DUMMYFUNCTION("""COMPUTED_VALUE"""),"0A232A328")</f>
        <v>0A232A328</v>
      </c>
      <c r="J2291" s="5" t="str">
        <f>IFERROR(__xludf.DUMMYFUNCTION("""COMPUTED_VALUE"""),"M2377608")</f>
        <v>M2377608</v>
      </c>
      <c r="K2291" s="5">
        <f>IFERROR(__xludf.DUMMYFUNCTION("""COMPUTED_VALUE"""),0.63)</f>
        <v>0.63</v>
      </c>
      <c r="L2291" s="5" t="str">
        <f>IFERROR(__xludf.DUMMYFUNCTION("""COMPUTED_VALUE"""),"KLH")</f>
        <v>KLH</v>
      </c>
    </row>
    <row r="2292">
      <c r="A2292" s="5" t="str">
        <f>IFERROR(__xludf.DUMMYFUNCTION("""COMPUTED_VALUE"""),"XÍ NGHIỆP BÒ")</f>
        <v>XÍ NGHIỆP BÒ</v>
      </c>
      <c r="B2292" s="3"/>
      <c r="C2292" s="5"/>
      <c r="D2292" s="5"/>
      <c r="E2292" s="5"/>
      <c r="F2292" s="5"/>
      <c r="G2292" s="5"/>
      <c r="H2292" s="5"/>
      <c r="I2292" s="5"/>
      <c r="J2292" s="5"/>
      <c r="K2292" s="5"/>
      <c r="L2292" s="5" t="str">
        <f>IFERROR(__xludf.DUMMYFUNCTION("""COMPUTED_VALUE"""),"KLH")</f>
        <v>KLH</v>
      </c>
    </row>
    <row r="2293">
      <c r="A2293" s="5" t="str">
        <f>IFERROR(__xludf.DUMMYFUNCTION("""COMPUTED_VALUE"""),"XB1-MCG-001")</f>
        <v>XB1-MCG-001</v>
      </c>
      <c r="B2293" s="3" t="str">
        <f>IFERROR(__xludf.DUMMYFUNCTION("""COMPUTED_VALUE"""),"Máy cưa gỗ")</f>
        <v>Máy cưa gỗ</v>
      </c>
      <c r="C2293" s="5" t="str">
        <f>IFERROR(__xludf.DUMMYFUNCTION("""COMPUTED_VALUE"""),"XN Bò AD")</f>
        <v>XN Bò AD</v>
      </c>
      <c r="D2293" s="5" t="str">
        <f>IFERROR(__xludf.DUMMYFUNCTION("""COMPUTED_VALUE"""),"Motso")</f>
        <v>Motso</v>
      </c>
      <c r="E2293" s="5"/>
      <c r="F2293" s="5"/>
      <c r="G2293" s="5"/>
      <c r="H2293" s="5"/>
      <c r="I2293" s="5"/>
      <c r="J2293" s="5"/>
      <c r="K2293" s="5">
        <f>IFERROR(__xludf.DUMMYFUNCTION("""COMPUTED_VALUE"""),0.63)</f>
        <v>0.63</v>
      </c>
      <c r="L2293" s="5" t="str">
        <f>IFERROR(__xludf.DUMMYFUNCTION("""COMPUTED_VALUE"""),"KLH")</f>
        <v>KLH</v>
      </c>
    </row>
    <row r="2294">
      <c r="A2294" s="5" t="str">
        <f>IFERROR(__xludf.DUMMYFUNCTION("""COMPUTED_VALUE"""),"XB1-MCG-002")</f>
        <v>XB1-MCG-002</v>
      </c>
      <c r="B2294" s="3" t="str">
        <f>IFERROR(__xludf.DUMMYFUNCTION("""COMPUTED_VALUE"""),"Máy cưa gỗ")</f>
        <v>Máy cưa gỗ</v>
      </c>
      <c r="C2294" s="5" t="str">
        <f>IFERROR(__xludf.DUMMYFUNCTION("""COMPUTED_VALUE"""),"XN Bò AD")</f>
        <v>XN Bò AD</v>
      </c>
      <c r="D2294" s="5" t="str">
        <f>IFERROR(__xludf.DUMMYFUNCTION("""COMPUTED_VALUE"""),"Motso")</f>
        <v>Motso</v>
      </c>
      <c r="E2294" s="5"/>
      <c r="F2294" s="5"/>
      <c r="G2294" s="5"/>
      <c r="H2294" s="5"/>
      <c r="I2294" s="5"/>
      <c r="J2294" s="5"/>
      <c r="K2294" s="5">
        <f>IFERROR(__xludf.DUMMYFUNCTION("""COMPUTED_VALUE"""),0.63)</f>
        <v>0.63</v>
      </c>
      <c r="L2294" s="5" t="str">
        <f>IFERROR(__xludf.DUMMYFUNCTION("""COMPUTED_VALUE"""),"KLH")</f>
        <v>KLH</v>
      </c>
    </row>
    <row r="2295">
      <c r="A2295" s="5" t="str">
        <f>IFERROR(__xludf.DUMMYFUNCTION("""COMPUTED_VALUE"""),"XB1-MCG-003")</f>
        <v>XB1-MCG-003</v>
      </c>
      <c r="B2295" s="3" t="str">
        <f>IFERROR(__xludf.DUMMYFUNCTION("""COMPUTED_VALUE"""),"Máy cưa gỗ")</f>
        <v>Máy cưa gỗ</v>
      </c>
      <c r="C2295" s="5" t="str">
        <f>IFERROR(__xludf.DUMMYFUNCTION("""COMPUTED_VALUE"""),"XN Bò AD")</f>
        <v>XN Bò AD</v>
      </c>
      <c r="D2295" s="5" t="str">
        <f>IFERROR(__xludf.DUMMYFUNCTION("""COMPUTED_VALUE"""),"Motso")</f>
        <v>Motso</v>
      </c>
      <c r="E2295" s="5"/>
      <c r="F2295" s="5"/>
      <c r="G2295" s="5"/>
      <c r="H2295" s="5"/>
      <c r="I2295" s="5"/>
      <c r="J2295" s="5"/>
      <c r="K2295" s="5">
        <f>IFERROR(__xludf.DUMMYFUNCTION("""COMPUTED_VALUE"""),0.63)</f>
        <v>0.63</v>
      </c>
      <c r="L2295" s="5" t="str">
        <f>IFERROR(__xludf.DUMMYFUNCTION("""COMPUTED_VALUE"""),"KLH")</f>
        <v>KLH</v>
      </c>
    </row>
    <row r="2296">
      <c r="A2296" s="5" t="str">
        <f>IFERROR(__xludf.DUMMYFUNCTION("""COMPUTED_VALUE"""),"XB1-MCG-004")</f>
        <v>XB1-MCG-004</v>
      </c>
      <c r="B2296" s="3" t="str">
        <f>IFERROR(__xludf.DUMMYFUNCTION("""COMPUTED_VALUE"""),"Máy cưa gỗ")</f>
        <v>Máy cưa gỗ</v>
      </c>
      <c r="C2296" s="5" t="str">
        <f>IFERROR(__xludf.DUMMYFUNCTION("""COMPUTED_VALUE"""),"XN Bò AD")</f>
        <v>XN Bò AD</v>
      </c>
      <c r="D2296" s="5" t="str">
        <f>IFERROR(__xludf.DUMMYFUNCTION("""COMPUTED_VALUE"""),"Motso")</f>
        <v>Motso</v>
      </c>
      <c r="E2296" s="5"/>
      <c r="F2296" s="5"/>
      <c r="G2296" s="5"/>
      <c r="H2296" s="5"/>
      <c r="I2296" s="5"/>
      <c r="J2296" s="5"/>
      <c r="K2296" s="5">
        <f>IFERROR(__xludf.DUMMYFUNCTION("""COMPUTED_VALUE"""),0.63)</f>
        <v>0.63</v>
      </c>
      <c r="L2296" s="5" t="str">
        <f>IFERROR(__xludf.DUMMYFUNCTION("""COMPUTED_VALUE"""),"KLH")</f>
        <v>KLH</v>
      </c>
    </row>
    <row r="2297">
      <c r="A2297" s="5" t="str">
        <f>IFERROR(__xludf.DUMMYFUNCTION("""COMPUTED_VALUE"""),"XB1-MCG-005")</f>
        <v>XB1-MCG-005</v>
      </c>
      <c r="B2297" s="3" t="str">
        <f>IFERROR(__xludf.DUMMYFUNCTION("""COMPUTED_VALUE"""),"Máy cưa gỗ")</f>
        <v>Máy cưa gỗ</v>
      </c>
      <c r="C2297" s="5" t="str">
        <f>IFERROR(__xludf.DUMMYFUNCTION("""COMPUTED_VALUE"""),"XN Bò AD")</f>
        <v>XN Bò AD</v>
      </c>
      <c r="D2297" s="5" t="str">
        <f>IFERROR(__xludf.DUMMYFUNCTION("""COMPUTED_VALUE"""),"Motso")</f>
        <v>Motso</v>
      </c>
      <c r="E2297" s="5"/>
      <c r="F2297" s="5"/>
      <c r="G2297" s="5"/>
      <c r="H2297" s="5"/>
      <c r="I2297" s="5"/>
      <c r="J2297" s="5"/>
      <c r="K2297" s="5">
        <f>IFERROR(__xludf.DUMMYFUNCTION("""COMPUTED_VALUE"""),0.63)</f>
        <v>0.63</v>
      </c>
      <c r="L2297" s="5" t="str">
        <f>IFERROR(__xludf.DUMMYFUNCTION("""COMPUTED_VALUE"""),"KLH")</f>
        <v>KLH</v>
      </c>
    </row>
    <row r="2298">
      <c r="A2298" s="5" t="str">
        <f>IFERROR(__xludf.DUMMYFUNCTION("""COMPUTED_VALUE"""),"XB1-MCG-006")</f>
        <v>XB1-MCG-006</v>
      </c>
      <c r="B2298" s="3" t="str">
        <f>IFERROR(__xludf.DUMMYFUNCTION("""COMPUTED_VALUE"""),"Máy cưa gỗ")</f>
        <v>Máy cưa gỗ</v>
      </c>
      <c r="C2298" s="5" t="str">
        <f>IFERROR(__xludf.DUMMYFUNCTION("""COMPUTED_VALUE"""),"XN Bò AD")</f>
        <v>XN Bò AD</v>
      </c>
      <c r="D2298" s="5"/>
      <c r="E2298" s="5"/>
      <c r="F2298" s="5"/>
      <c r="G2298" s="5"/>
      <c r="H2298" s="5"/>
      <c r="I2298" s="5"/>
      <c r="J2298" s="5"/>
      <c r="K2298" s="5">
        <f>IFERROR(__xludf.DUMMYFUNCTION("""COMPUTED_VALUE"""),0.63)</f>
        <v>0.63</v>
      </c>
      <c r="L2298" s="5" t="str">
        <f>IFERROR(__xludf.DUMMYFUNCTION("""COMPUTED_VALUE"""),"KLH")</f>
        <v>KLH</v>
      </c>
    </row>
    <row r="2299">
      <c r="A2299" s="5" t="str">
        <f>IFERROR(__xludf.DUMMYFUNCTION("""COMPUTED_VALUE"""),"XB1-MCG-007")</f>
        <v>XB1-MCG-007</v>
      </c>
      <c r="B2299" s="3" t="str">
        <f>IFERROR(__xludf.DUMMYFUNCTION("""COMPUTED_VALUE"""),"Máy cưa gỗ")</f>
        <v>Máy cưa gỗ</v>
      </c>
      <c r="C2299" s="5" t="str">
        <f>IFERROR(__xludf.DUMMYFUNCTION("""COMPUTED_VALUE"""),"XN Bò AD")</f>
        <v>XN Bò AD</v>
      </c>
      <c r="D2299" s="5"/>
      <c r="E2299" s="5"/>
      <c r="F2299" s="5"/>
      <c r="G2299" s="5"/>
      <c r="H2299" s="5"/>
      <c r="I2299" s="5"/>
      <c r="J2299" s="5"/>
      <c r="K2299" s="5">
        <f>IFERROR(__xludf.DUMMYFUNCTION("""COMPUTED_VALUE"""),0.63)</f>
        <v>0.63</v>
      </c>
      <c r="L2299" s="5" t="str">
        <f>IFERROR(__xludf.DUMMYFUNCTION("""COMPUTED_VALUE"""),"KLH")</f>
        <v>KLH</v>
      </c>
    </row>
    <row r="2300">
      <c r="A2300" s="5" t="str">
        <f>IFERROR(__xludf.DUMMYFUNCTION("""COMPUTED_VALUE"""),"XB1-MCG-008")</f>
        <v>XB1-MCG-008</v>
      </c>
      <c r="B2300" s="3" t="str">
        <f>IFERROR(__xludf.DUMMYFUNCTION("""COMPUTED_VALUE"""),"Máy cưa gỗ")</f>
        <v>Máy cưa gỗ</v>
      </c>
      <c r="C2300" s="5" t="str">
        <f>IFERROR(__xludf.DUMMYFUNCTION("""COMPUTED_VALUE"""),"XN Bò AD")</f>
        <v>XN Bò AD</v>
      </c>
      <c r="D2300" s="5" t="str">
        <f>IFERROR(__xludf.DUMMYFUNCTION("""COMPUTED_VALUE"""),"STIHL")</f>
        <v>STIHL</v>
      </c>
      <c r="E2300" s="5" t="str">
        <f>IFERROR(__xludf.DUMMYFUNCTION("""COMPUTED_VALUE"""),"Trung Quốc")</f>
        <v>Trung Quốc</v>
      </c>
      <c r="F2300" s="5"/>
      <c r="G2300" s="5" t="str">
        <f>IFERROR(__xludf.DUMMYFUNCTION("""COMPUTED_VALUE"""),"MS382")</f>
        <v>MS382</v>
      </c>
      <c r="H2300" s="5" t="str">
        <f>IFERROR(__xludf.DUMMYFUNCTION("""COMPUTED_VALUE"""),"3.9HP")</f>
        <v>3.9HP</v>
      </c>
      <c r="I2300" s="5"/>
      <c r="J2300" s="5" t="str">
        <f>IFERROR(__xludf.DUMMYFUNCTION("""COMPUTED_VALUE"""),"372768383")</f>
        <v>372768383</v>
      </c>
      <c r="K2300" s="5">
        <f>IFERROR(__xludf.DUMMYFUNCTION("""COMPUTED_VALUE"""),0.63)</f>
        <v>0.63</v>
      </c>
      <c r="L2300" s="5" t="str">
        <f>IFERROR(__xludf.DUMMYFUNCTION("""COMPUTED_VALUE"""),"KLH")</f>
        <v>KLH</v>
      </c>
    </row>
    <row r="2301">
      <c r="A2301" s="5" t="str">
        <f>IFERROR(__xludf.DUMMYFUNCTION("""COMPUTED_VALUE"""),"XB1-MCG-009")</f>
        <v>XB1-MCG-009</v>
      </c>
      <c r="B2301" s="3" t="str">
        <f>IFERROR(__xludf.DUMMYFUNCTION("""COMPUTED_VALUE"""),"Máy cưa gỗ")</f>
        <v>Máy cưa gỗ</v>
      </c>
      <c r="C2301" s="5" t="str">
        <f>IFERROR(__xludf.DUMMYFUNCTION("""COMPUTED_VALUE"""),"XN Bò AD")</f>
        <v>XN Bò AD</v>
      </c>
      <c r="D2301" s="5" t="str">
        <f>IFERROR(__xludf.DUMMYFUNCTION("""COMPUTED_VALUE"""),"STIHL")</f>
        <v>STIHL</v>
      </c>
      <c r="E2301" s="5" t="str">
        <f>IFERROR(__xludf.DUMMYFUNCTION("""COMPUTED_VALUE"""),"Trung Quốc")</f>
        <v>Trung Quốc</v>
      </c>
      <c r="F2301" s="5"/>
      <c r="G2301" s="5" t="str">
        <f>IFERROR(__xludf.DUMMYFUNCTION("""COMPUTED_VALUE"""),"MS382")</f>
        <v>MS382</v>
      </c>
      <c r="H2301" s="5" t="str">
        <f>IFERROR(__xludf.DUMMYFUNCTION("""COMPUTED_VALUE"""),"3.9HP")</f>
        <v>3.9HP</v>
      </c>
      <c r="I2301" s="5"/>
      <c r="J2301" s="5" t="str">
        <f>IFERROR(__xludf.DUMMYFUNCTION("""COMPUTED_VALUE"""),"372768436")</f>
        <v>372768436</v>
      </c>
      <c r="K2301" s="5">
        <f>IFERROR(__xludf.DUMMYFUNCTION("""COMPUTED_VALUE"""),0.63)</f>
        <v>0.63</v>
      </c>
      <c r="L2301" s="5" t="str">
        <f>IFERROR(__xludf.DUMMYFUNCTION("""COMPUTED_VALUE"""),"KLH")</f>
        <v>KLH</v>
      </c>
    </row>
    <row r="2302">
      <c r="A2302" s="5" t="str">
        <f>IFERROR(__xludf.DUMMYFUNCTION("""COMPUTED_VALUE"""),"XB1-MCG-010")</f>
        <v>XB1-MCG-010</v>
      </c>
      <c r="B2302" s="3" t="str">
        <f>IFERROR(__xludf.DUMMYFUNCTION("""COMPUTED_VALUE"""),"Máy cưa gỗ")</f>
        <v>Máy cưa gỗ</v>
      </c>
      <c r="C2302" s="5" t="str">
        <f>IFERROR(__xludf.DUMMYFUNCTION("""COMPUTED_VALUE"""),"XN Bò AD")</f>
        <v>XN Bò AD</v>
      </c>
      <c r="D2302" s="5" t="str">
        <f>IFERROR(__xludf.DUMMYFUNCTION("""COMPUTED_VALUE"""),"STIHL")</f>
        <v>STIHL</v>
      </c>
      <c r="E2302" s="5" t="str">
        <f>IFERROR(__xludf.DUMMYFUNCTION("""COMPUTED_VALUE"""),"Trung Quốc")</f>
        <v>Trung Quốc</v>
      </c>
      <c r="F2302" s="5"/>
      <c r="G2302" s="5" t="str">
        <f>IFERROR(__xludf.DUMMYFUNCTION("""COMPUTED_VALUE"""),"MS382")</f>
        <v>MS382</v>
      </c>
      <c r="H2302" s="5" t="str">
        <f>IFERROR(__xludf.DUMMYFUNCTION("""COMPUTED_VALUE"""),"3.9HP")</f>
        <v>3.9HP</v>
      </c>
      <c r="I2302" s="5"/>
      <c r="J2302" s="5" t="str">
        <f>IFERROR(__xludf.DUMMYFUNCTION("""COMPUTED_VALUE"""),"372733522")</f>
        <v>372733522</v>
      </c>
      <c r="K2302" s="5">
        <f>IFERROR(__xludf.DUMMYFUNCTION("""COMPUTED_VALUE"""),0.63)</f>
        <v>0.63</v>
      </c>
      <c r="L2302" s="5" t="str">
        <f>IFERROR(__xludf.DUMMYFUNCTION("""COMPUTED_VALUE"""),"KLH")</f>
        <v>KLH</v>
      </c>
    </row>
    <row r="2303">
      <c r="A2303" s="5" t="str">
        <f>IFERROR(__xludf.DUMMYFUNCTION("""COMPUTED_VALUE"""),"XB1-MCG-011")</f>
        <v>XB1-MCG-011</v>
      </c>
      <c r="B2303" s="3" t="str">
        <f>IFERROR(__xludf.DUMMYFUNCTION("""COMPUTED_VALUE"""),"Máy cưa gỗ")</f>
        <v>Máy cưa gỗ</v>
      </c>
      <c r="C2303" s="5" t="str">
        <f>IFERROR(__xludf.DUMMYFUNCTION("""COMPUTED_VALUE"""),"XN Bò AD")</f>
        <v>XN Bò AD</v>
      </c>
      <c r="D2303" s="5" t="str">
        <f>IFERROR(__xludf.DUMMYFUNCTION("""COMPUTED_VALUE"""),"STIHL")</f>
        <v>STIHL</v>
      </c>
      <c r="E2303" s="5" t="str">
        <f>IFERROR(__xludf.DUMMYFUNCTION("""COMPUTED_VALUE"""),"Trung Quốc")</f>
        <v>Trung Quốc</v>
      </c>
      <c r="F2303" s="5"/>
      <c r="G2303" s="5" t="str">
        <f>IFERROR(__xludf.DUMMYFUNCTION("""COMPUTED_VALUE"""),"MS382")</f>
        <v>MS382</v>
      </c>
      <c r="H2303" s="5" t="str">
        <f>IFERROR(__xludf.DUMMYFUNCTION("""COMPUTED_VALUE"""),"3.9HP")</f>
        <v>3.9HP</v>
      </c>
      <c r="I2303" s="5"/>
      <c r="J2303" s="5" t="str">
        <f>IFERROR(__xludf.DUMMYFUNCTION("""COMPUTED_VALUE"""),"372733505")</f>
        <v>372733505</v>
      </c>
      <c r="K2303" s="5">
        <f>IFERROR(__xludf.DUMMYFUNCTION("""COMPUTED_VALUE"""),0.63)</f>
        <v>0.63</v>
      </c>
      <c r="L2303" s="5" t="str">
        <f>IFERROR(__xludf.DUMMYFUNCTION("""COMPUTED_VALUE"""),"KLH")</f>
        <v>KLH</v>
      </c>
    </row>
    <row r="2304">
      <c r="A2304" s="5" t="str">
        <f>IFERROR(__xludf.DUMMYFUNCTION("""COMPUTED_VALUE"""),"XB1-MCG-012")</f>
        <v>XB1-MCG-012</v>
      </c>
      <c r="B2304" s="3" t="str">
        <f>IFERROR(__xludf.DUMMYFUNCTION("""COMPUTED_VALUE"""),"Máy cưa gỗ")</f>
        <v>Máy cưa gỗ</v>
      </c>
      <c r="C2304" s="5" t="str">
        <f>IFERROR(__xludf.DUMMYFUNCTION("""COMPUTED_VALUE"""),"XN Bò AD")</f>
        <v>XN Bò AD</v>
      </c>
      <c r="D2304" s="5" t="str">
        <f>IFERROR(__xludf.DUMMYFUNCTION("""COMPUTED_VALUE"""),"STIHL")</f>
        <v>STIHL</v>
      </c>
      <c r="E2304" s="5" t="str">
        <f>IFERROR(__xludf.DUMMYFUNCTION("""COMPUTED_VALUE"""),"BRAZIL")</f>
        <v>BRAZIL</v>
      </c>
      <c r="F2304" s="5">
        <f>IFERROR(__xludf.DUMMYFUNCTION("""COMPUTED_VALUE"""),2025.0)</f>
        <v>2025</v>
      </c>
      <c r="G2304" s="5" t="str">
        <f>IFERROR(__xludf.DUMMYFUNCTION("""COMPUTED_VALUE"""),"MS 382")</f>
        <v>MS 382</v>
      </c>
      <c r="H2304" s="5" t="str">
        <f>IFERROR(__xludf.DUMMYFUNCTION("""COMPUTED_VALUE"""),"5.3 Hp")</f>
        <v>5.3 Hp</v>
      </c>
      <c r="I2304" s="5"/>
      <c r="J2304" s="5" t="str">
        <f>IFERROR(__xludf.DUMMYFUNCTION("""COMPUTED_VALUE"""),"374308719")</f>
        <v>374308719</v>
      </c>
      <c r="K2304" s="5"/>
      <c r="L2304" s="5" t="str">
        <f>IFERROR(__xludf.DUMMYFUNCTION("""COMPUTED_VALUE"""),"KLH")</f>
        <v>KLH</v>
      </c>
    </row>
    <row r="2305">
      <c r="A2305" s="5" t="str">
        <f>IFERROR(__xludf.DUMMYFUNCTION("""COMPUTED_VALUE"""),"XB1-MCG-013")</f>
        <v>XB1-MCG-013</v>
      </c>
      <c r="B2305" s="3" t="str">
        <f>IFERROR(__xludf.DUMMYFUNCTION("""COMPUTED_VALUE"""),"Máy cưa gỗ")</f>
        <v>Máy cưa gỗ</v>
      </c>
      <c r="C2305" s="5" t="str">
        <f>IFERROR(__xludf.DUMMYFUNCTION("""COMPUTED_VALUE"""),"XN Bò AD")</f>
        <v>XN Bò AD</v>
      </c>
      <c r="D2305" s="5" t="str">
        <f>IFERROR(__xludf.DUMMYFUNCTION("""COMPUTED_VALUE"""),"STIHL")</f>
        <v>STIHL</v>
      </c>
      <c r="E2305" s="5" t="str">
        <f>IFERROR(__xludf.DUMMYFUNCTION("""COMPUTED_VALUE"""),"BRAZIL")</f>
        <v>BRAZIL</v>
      </c>
      <c r="F2305" s="5">
        <f>IFERROR(__xludf.DUMMYFUNCTION("""COMPUTED_VALUE"""),2025.0)</f>
        <v>2025</v>
      </c>
      <c r="G2305" s="5" t="str">
        <f>IFERROR(__xludf.DUMMYFUNCTION("""COMPUTED_VALUE"""),"MS 382")</f>
        <v>MS 382</v>
      </c>
      <c r="H2305" s="5" t="str">
        <f>IFERROR(__xludf.DUMMYFUNCTION("""COMPUTED_VALUE"""),"5.3 Hp")</f>
        <v>5.3 Hp</v>
      </c>
      <c r="I2305" s="5"/>
      <c r="J2305" s="5" t="str">
        <f>IFERROR(__xludf.DUMMYFUNCTION("""COMPUTED_VALUE"""),"374500128")</f>
        <v>374500128</v>
      </c>
      <c r="K2305" s="5"/>
      <c r="L2305" s="5" t="str">
        <f>IFERROR(__xludf.DUMMYFUNCTION("""COMPUTED_VALUE"""),"KLH")</f>
        <v>KLH</v>
      </c>
    </row>
    <row r="2306">
      <c r="A2306" s="5" t="str">
        <f>IFERROR(__xludf.DUMMYFUNCTION("""COMPUTED_VALUE"""),"XB1-MCG-014")</f>
        <v>XB1-MCG-014</v>
      </c>
      <c r="B2306" s="3" t="str">
        <f>IFERROR(__xludf.DUMMYFUNCTION("""COMPUTED_VALUE"""),"Máy cưa gỗ")</f>
        <v>Máy cưa gỗ</v>
      </c>
      <c r="C2306" s="5" t="str">
        <f>IFERROR(__xludf.DUMMYFUNCTION("""COMPUTED_VALUE"""),"XN Bò AD")</f>
        <v>XN Bò AD</v>
      </c>
      <c r="D2306" s="5" t="str">
        <f>IFERROR(__xludf.DUMMYFUNCTION("""COMPUTED_VALUE"""),"STIHL")</f>
        <v>STIHL</v>
      </c>
      <c r="E2306" s="5" t="str">
        <f>IFERROR(__xludf.DUMMYFUNCTION("""COMPUTED_VALUE"""),"BRAZIL")</f>
        <v>BRAZIL</v>
      </c>
      <c r="F2306" s="5">
        <f>IFERROR(__xludf.DUMMYFUNCTION("""COMPUTED_VALUE"""),2025.0)</f>
        <v>2025</v>
      </c>
      <c r="G2306" s="5" t="str">
        <f>IFERROR(__xludf.DUMMYFUNCTION("""COMPUTED_VALUE"""),"MS 382")</f>
        <v>MS 382</v>
      </c>
      <c r="H2306" s="5" t="str">
        <f>IFERROR(__xludf.DUMMYFUNCTION("""COMPUTED_VALUE"""),"5.3 Hp")</f>
        <v>5.3 Hp</v>
      </c>
      <c r="I2306" s="5"/>
      <c r="J2306" s="5" t="str">
        <f>IFERROR(__xludf.DUMMYFUNCTION("""COMPUTED_VALUE"""),"374500138")</f>
        <v>374500138</v>
      </c>
      <c r="K2306" s="5"/>
      <c r="L2306" s="5" t="str">
        <f>IFERROR(__xludf.DUMMYFUNCTION("""COMPUTED_VALUE"""),"KLH")</f>
        <v>KLH</v>
      </c>
    </row>
    <row r="2307">
      <c r="A2307" s="5" t="str">
        <f>IFERROR(__xludf.DUMMYFUNCTION("""COMPUTED_VALUE"""),"XB1-MCG-015")</f>
        <v>XB1-MCG-015</v>
      </c>
      <c r="B2307" s="3" t="str">
        <f>IFERROR(__xludf.DUMMYFUNCTION("""COMPUTED_VALUE"""),"Máy cưa gỗ")</f>
        <v>Máy cưa gỗ</v>
      </c>
      <c r="C2307" s="5" t="str">
        <f>IFERROR(__xludf.DUMMYFUNCTION("""COMPUTED_VALUE"""),"XN Bò AD")</f>
        <v>XN Bò AD</v>
      </c>
      <c r="D2307" s="5" t="str">
        <f>IFERROR(__xludf.DUMMYFUNCTION("""COMPUTED_VALUE"""),"STIHL")</f>
        <v>STIHL</v>
      </c>
      <c r="E2307" s="5" t="str">
        <f>IFERROR(__xludf.DUMMYFUNCTION("""COMPUTED_VALUE"""),"BRAZIL")</f>
        <v>BRAZIL</v>
      </c>
      <c r="F2307" s="5">
        <f>IFERROR(__xludf.DUMMYFUNCTION("""COMPUTED_VALUE"""),2025.0)</f>
        <v>2025</v>
      </c>
      <c r="G2307" s="5" t="str">
        <f>IFERROR(__xludf.DUMMYFUNCTION("""COMPUTED_VALUE"""),"MS 382")</f>
        <v>MS 382</v>
      </c>
      <c r="H2307" s="5" t="str">
        <f>IFERROR(__xludf.DUMMYFUNCTION("""COMPUTED_VALUE"""),"5.3 Hp")</f>
        <v>5.3 Hp</v>
      </c>
      <c r="I2307" s="5"/>
      <c r="J2307" s="5" t="str">
        <f>IFERROR(__xludf.DUMMYFUNCTION("""COMPUTED_VALUE"""),"374450480")</f>
        <v>374450480</v>
      </c>
      <c r="K2307" s="5"/>
      <c r="L2307" s="5" t="str">
        <f>IFERROR(__xludf.DUMMYFUNCTION("""COMPUTED_VALUE"""),"KLH")</f>
        <v>KLH</v>
      </c>
    </row>
    <row r="2308">
      <c r="A2308" s="5" t="str">
        <f>IFERROR(__xludf.DUMMYFUNCTION("""COMPUTED_VALUE"""),"XB1-MCG-016")</f>
        <v>XB1-MCG-016</v>
      </c>
      <c r="B2308" s="3" t="str">
        <f>IFERROR(__xludf.DUMMYFUNCTION("""COMPUTED_VALUE"""),"Máy cưa gỗ")</f>
        <v>Máy cưa gỗ</v>
      </c>
      <c r="C2308" s="5" t="str">
        <f>IFERROR(__xludf.DUMMYFUNCTION("""COMPUTED_VALUE"""),"XN Bò AD")</f>
        <v>XN Bò AD</v>
      </c>
      <c r="D2308" s="5" t="str">
        <f>IFERROR(__xludf.DUMMYFUNCTION("""COMPUTED_VALUE"""),"STIHL")</f>
        <v>STIHL</v>
      </c>
      <c r="E2308" s="5" t="str">
        <f>IFERROR(__xludf.DUMMYFUNCTION("""COMPUTED_VALUE"""),"BRAZIL")</f>
        <v>BRAZIL</v>
      </c>
      <c r="F2308" s="5">
        <f>IFERROR(__xludf.DUMMYFUNCTION("""COMPUTED_VALUE"""),2025.0)</f>
        <v>2025</v>
      </c>
      <c r="G2308" s="5" t="str">
        <f>IFERROR(__xludf.DUMMYFUNCTION("""COMPUTED_VALUE"""),"MS 382")</f>
        <v>MS 382</v>
      </c>
      <c r="H2308" s="5" t="str">
        <f>IFERROR(__xludf.DUMMYFUNCTION("""COMPUTED_VALUE"""),"5.3 Hp")</f>
        <v>5.3 Hp</v>
      </c>
      <c r="I2308" s="5"/>
      <c r="J2308" s="5" t="str">
        <f>IFERROR(__xludf.DUMMYFUNCTION("""COMPUTED_VALUE"""),"374450513")</f>
        <v>374450513</v>
      </c>
      <c r="K2308" s="5"/>
      <c r="L2308" s="5" t="str">
        <f>IFERROR(__xludf.DUMMYFUNCTION("""COMPUTED_VALUE"""),"KLH")</f>
        <v>KLH</v>
      </c>
    </row>
    <row r="2309">
      <c r="A2309" s="5" t="str">
        <f>IFERROR(__xludf.DUMMYFUNCTION("""COMPUTED_VALUE"""),"ĐƠN VỊ KHÁC")</f>
        <v>ĐƠN VỊ KHÁC</v>
      </c>
      <c r="B2309" s="3"/>
      <c r="C2309" s="5"/>
      <c r="D2309" s="5"/>
      <c r="E2309" s="5"/>
      <c r="F2309" s="5"/>
      <c r="G2309" s="5"/>
      <c r="H2309" s="5"/>
      <c r="I2309" s="5"/>
      <c r="J2309" s="5"/>
      <c r="K2309" s="5"/>
      <c r="L2309" s="5" t="str">
        <f>IFERROR(__xludf.DUMMYFUNCTION("""COMPUTED_VALUE"""),"KLH")</f>
        <v>KLH</v>
      </c>
    </row>
    <row r="2310">
      <c r="A2310" s="5" t="str">
        <f>IFERROR(__xludf.DUMMYFUNCTION("""COMPUTED_VALUE"""),"BAN ĐIỆN NƯỚC")</f>
        <v>BAN ĐIỆN NƯỚC</v>
      </c>
      <c r="B2310" s="3"/>
      <c r="C2310" s="5"/>
      <c r="D2310" s="5"/>
      <c r="E2310" s="5"/>
      <c r="F2310" s="5"/>
      <c r="G2310" s="5"/>
      <c r="H2310" s="5"/>
      <c r="I2310" s="5"/>
      <c r="J2310" s="5"/>
      <c r="K2310" s="5"/>
      <c r="L2310" s="5" t="str">
        <f>IFERROR(__xludf.DUMMYFUNCTION("""COMPUTED_VALUE"""),"KLH")</f>
        <v>KLH</v>
      </c>
    </row>
    <row r="2311">
      <c r="A2311" s="5" t="str">
        <f>IFERROR(__xludf.DUMMYFUNCTION("""COMPUTED_VALUE"""),"ĐNA-MCG-001")</f>
        <v>ĐNA-MCG-001</v>
      </c>
      <c r="B2311" s="3" t="str">
        <f>IFERROR(__xludf.DUMMYFUNCTION("""COMPUTED_VALUE"""),"Máy cưa gỗ")</f>
        <v>Máy cưa gỗ</v>
      </c>
      <c r="C2311" s="5" t="str">
        <f>IFERROR(__xludf.DUMMYFUNCTION("""COMPUTED_VALUE"""),"Ban điện nước")</f>
        <v>Ban điện nước</v>
      </c>
      <c r="D2311" s="5" t="str">
        <f>IFERROR(__xludf.DUMMYFUNCTION("""COMPUTED_VALUE"""),"STIHL")</f>
        <v>STIHL</v>
      </c>
      <c r="E2311" s="5" t="str">
        <f>IFERROR(__xludf.DUMMYFUNCTION("""COMPUTED_VALUE"""),"Trung Quốc")</f>
        <v>Trung Quốc</v>
      </c>
      <c r="F2311" s="5"/>
      <c r="G2311" s="5" t="str">
        <f>IFERROR(__xludf.DUMMYFUNCTION("""COMPUTED_VALUE"""),"MS382")</f>
        <v>MS382</v>
      </c>
      <c r="H2311" s="5" t="str">
        <f>IFERROR(__xludf.DUMMYFUNCTION("""COMPUTED_VALUE"""),"3.9HP")</f>
        <v>3.9HP</v>
      </c>
      <c r="I2311" s="5"/>
      <c r="J2311" s="5"/>
      <c r="K2311" s="5">
        <f>IFERROR(__xludf.DUMMYFUNCTION("""COMPUTED_VALUE"""),0.63)</f>
        <v>0.63</v>
      </c>
      <c r="L2311" s="5" t="str">
        <f>IFERROR(__xludf.DUMMYFUNCTION("""COMPUTED_VALUE"""),"KLH")</f>
        <v>KLH</v>
      </c>
    </row>
    <row r="2312">
      <c r="A2312" s="5" t="str">
        <f>IFERROR(__xludf.DUMMYFUNCTION("""COMPUTED_VALUE"""),"ĐNA-MCG-002")</f>
        <v>ĐNA-MCG-002</v>
      </c>
      <c r="B2312" s="3" t="str">
        <f>IFERROR(__xludf.DUMMYFUNCTION("""COMPUTED_VALUE"""),"Máy cưa gỗ")</f>
        <v>Máy cưa gỗ</v>
      </c>
      <c r="C2312" s="5" t="str">
        <f>IFERROR(__xludf.DUMMYFUNCTION("""COMPUTED_VALUE"""),"Ban điện nước")</f>
        <v>Ban điện nước</v>
      </c>
      <c r="D2312" s="5" t="str">
        <f>IFERROR(__xludf.DUMMYFUNCTION("""COMPUTED_VALUE"""),"TOTAL")</f>
        <v>TOTAL</v>
      </c>
      <c r="E2312" s="5" t="str">
        <f>IFERROR(__xludf.DUMMYFUNCTION("""COMPUTED_VALUE"""),"Trung Quốc")</f>
        <v>Trung Quốc</v>
      </c>
      <c r="F2312" s="5"/>
      <c r="G2312" s="5" t="str">
        <f>IFERROR(__xludf.DUMMYFUNCTION("""COMPUTED_VALUE"""),"TG5602411")</f>
        <v>TG5602411</v>
      </c>
      <c r="H2312" s="5" t="str">
        <f>IFERROR(__xludf.DUMMYFUNCTION("""COMPUTED_VALUE"""),"2.6HP")</f>
        <v>2.6HP</v>
      </c>
      <c r="I2312" s="5"/>
      <c r="J2312" s="5"/>
      <c r="K2312" s="5">
        <f>IFERROR(__xludf.DUMMYFUNCTION("""COMPUTED_VALUE"""),0.63)</f>
        <v>0.63</v>
      </c>
      <c r="L2312" s="5" t="str">
        <f>IFERROR(__xludf.DUMMYFUNCTION("""COMPUTED_VALUE"""),"KLH")</f>
        <v>KLH</v>
      </c>
    </row>
    <row r="2313">
      <c r="A2313" s="5" t="str">
        <f>IFERROR(__xludf.DUMMYFUNCTION("""COMPUTED_VALUE"""),"ĐNA-MCG-003")</f>
        <v>ĐNA-MCG-003</v>
      </c>
      <c r="B2313" s="3" t="str">
        <f>IFERROR(__xludf.DUMMYFUNCTION("""COMPUTED_VALUE"""),"Máy cưa gỗ")</f>
        <v>Máy cưa gỗ</v>
      </c>
      <c r="C2313" s="5" t="str">
        <f>IFERROR(__xludf.DUMMYFUNCTION("""COMPUTED_VALUE"""),"Ban điện nước")</f>
        <v>Ban điện nước</v>
      </c>
      <c r="D2313" s="5" t="str">
        <f>IFERROR(__xludf.DUMMYFUNCTION("""COMPUTED_VALUE"""),"STIHL")</f>
        <v>STIHL</v>
      </c>
      <c r="E2313" s="5" t="str">
        <f>IFERROR(__xludf.DUMMYFUNCTION("""COMPUTED_VALUE"""),"Trung Quốc")</f>
        <v>Trung Quốc</v>
      </c>
      <c r="F2313" s="5"/>
      <c r="G2313" s="5" t="str">
        <f>IFERROR(__xludf.DUMMYFUNCTION("""COMPUTED_VALUE"""),"MS382")</f>
        <v>MS382</v>
      </c>
      <c r="H2313" s="5" t="str">
        <f>IFERROR(__xludf.DUMMYFUNCTION("""COMPUTED_VALUE"""),"3.9HP")</f>
        <v>3.9HP</v>
      </c>
      <c r="I2313" s="5"/>
      <c r="J2313" s="5"/>
      <c r="K2313" s="5">
        <f>IFERROR(__xludf.DUMMYFUNCTION("""COMPUTED_VALUE"""),0.63)</f>
        <v>0.63</v>
      </c>
      <c r="L2313" s="5" t="str">
        <f>IFERROR(__xludf.DUMMYFUNCTION("""COMPUTED_VALUE"""),"KLH")</f>
        <v>KLH</v>
      </c>
    </row>
    <row r="2314">
      <c r="A2314" s="5" t="str">
        <f>IFERROR(__xludf.DUMMYFUNCTION("""COMPUTED_VALUE"""),"MÁY KHOAN HỐ")</f>
        <v>MÁY KHOAN HỐ</v>
      </c>
      <c r="B2314" s="3"/>
      <c r="C2314" s="5"/>
      <c r="D2314" s="5"/>
      <c r="E2314" s="5"/>
      <c r="F2314" s="5"/>
      <c r="G2314" s="5"/>
      <c r="H2314" s="5"/>
      <c r="I2314" s="5"/>
      <c r="J2314" s="5"/>
      <c r="K2314" s="5"/>
      <c r="L2314" s="5" t="str">
        <f>IFERROR(__xludf.DUMMYFUNCTION("""COMPUTED_VALUE"""),"KLH")</f>
        <v>KLH</v>
      </c>
    </row>
    <row r="2315">
      <c r="A2315" s="5" t="str">
        <f>IFERROR(__xludf.DUMMYFUNCTION("""COMPUTED_VALUE"""),"DAUN PENH")</f>
        <v>DAUN PENH</v>
      </c>
      <c r="B2315" s="3"/>
      <c r="C2315" s="5"/>
      <c r="D2315" s="5"/>
      <c r="E2315" s="5"/>
      <c r="F2315" s="5"/>
      <c r="G2315" s="5"/>
      <c r="H2315" s="5"/>
      <c r="I2315" s="5"/>
      <c r="J2315" s="5"/>
      <c r="K2315" s="5"/>
      <c r="L2315" s="5" t="str">
        <f>IFERROR(__xludf.DUMMYFUNCTION("""COMPUTED_VALUE"""),"KLH")</f>
        <v>KLH</v>
      </c>
    </row>
    <row r="2316">
      <c r="A2316" s="5" t="str">
        <f>IFERROR(__xludf.DUMMYFUNCTION("""COMPUTED_VALUE"""),"DP1")</f>
        <v>DP1</v>
      </c>
      <c r="B2316" s="3"/>
      <c r="C2316" s="5"/>
      <c r="D2316" s="5"/>
      <c r="E2316" s="5"/>
      <c r="F2316" s="5"/>
      <c r="G2316" s="5"/>
      <c r="H2316" s="5"/>
      <c r="I2316" s="5"/>
      <c r="J2316" s="5"/>
      <c r="K2316" s="5"/>
      <c r="L2316" s="5" t="str">
        <f>IFERROR(__xludf.DUMMYFUNCTION("""COMPUTED_VALUE"""),"KLH")</f>
        <v>KLH</v>
      </c>
    </row>
    <row r="2317">
      <c r="A2317" s="5" t="str">
        <f>IFERROR(__xludf.DUMMYFUNCTION("""COMPUTED_VALUE"""),"XD1-MKH-001")</f>
        <v>XD1-MKH-001</v>
      </c>
      <c r="B2317" s="3" t="str">
        <f>IFERROR(__xludf.DUMMYFUNCTION("""COMPUTED_VALUE"""),"Máy khoan hố cầm tay")</f>
        <v>Máy khoan hố cầm tay</v>
      </c>
      <c r="C2317" s="5" t="str">
        <f>IFERROR(__xludf.DUMMYFUNCTION("""COMPUTED_VALUE"""),"XN Chuối DP1")</f>
        <v>XN Chuối DP1</v>
      </c>
      <c r="D2317" s="5" t="str">
        <f>IFERROR(__xludf.DUMMYFUNCTION("""COMPUTED_VALUE"""),"HINOTA")</f>
        <v>HINOTA</v>
      </c>
      <c r="E2317" s="5" t="str">
        <f>IFERROR(__xludf.DUMMYFUNCTION("""COMPUTED_VALUE"""),"TRUNG QUỐC")</f>
        <v>TRUNG QUỐC</v>
      </c>
      <c r="F2317" s="5">
        <f>IFERROR(__xludf.DUMMYFUNCTION("""COMPUTED_VALUE"""),2022.0)</f>
        <v>2022</v>
      </c>
      <c r="G2317" s="5" t="str">
        <f>IFERROR(__xludf.DUMMYFUNCTION("""COMPUTED_VALUE"""),"AG-52")</f>
        <v>AG-52</v>
      </c>
      <c r="H2317" s="5" t="str">
        <f>IFERROR(__xludf.DUMMYFUNCTION("""COMPUTED_VALUE"""),"2.4HP")</f>
        <v>2.4HP</v>
      </c>
      <c r="I2317" s="5"/>
      <c r="J2317" s="5"/>
      <c r="K2317" s="5">
        <f>IFERROR(__xludf.DUMMYFUNCTION("""COMPUTED_VALUE"""),1.2)</f>
        <v>1.2</v>
      </c>
      <c r="L2317" s="5" t="str">
        <f>IFERROR(__xludf.DUMMYFUNCTION("""COMPUTED_VALUE"""),"KLH")</f>
        <v>KLH</v>
      </c>
    </row>
    <row r="2318">
      <c r="A2318" s="5" t="str">
        <f>IFERROR(__xludf.DUMMYFUNCTION("""COMPUTED_VALUE"""),"XD1-MKH-002")</f>
        <v>XD1-MKH-002</v>
      </c>
      <c r="B2318" s="3" t="str">
        <f>IFERROR(__xludf.DUMMYFUNCTION("""COMPUTED_VALUE"""),"Máy khoan hố cầm tay")</f>
        <v>Máy khoan hố cầm tay</v>
      </c>
      <c r="C2318" s="5" t="str">
        <f>IFERROR(__xludf.DUMMYFUNCTION("""COMPUTED_VALUE"""),"XN Chuối DP1")</f>
        <v>XN Chuối DP1</v>
      </c>
      <c r="D2318" s="5" t="str">
        <f>IFERROR(__xludf.DUMMYFUNCTION("""COMPUTED_VALUE"""),"HINOTA")</f>
        <v>HINOTA</v>
      </c>
      <c r="E2318" s="5" t="str">
        <f>IFERROR(__xludf.DUMMYFUNCTION("""COMPUTED_VALUE"""),"TRUNG QUỐC")</f>
        <v>TRUNG QUỐC</v>
      </c>
      <c r="F2318" s="5">
        <f>IFERROR(__xludf.DUMMYFUNCTION("""COMPUTED_VALUE"""),2022.0)</f>
        <v>2022</v>
      </c>
      <c r="G2318" s="5" t="str">
        <f>IFERROR(__xludf.DUMMYFUNCTION("""COMPUTED_VALUE"""),"AG-52")</f>
        <v>AG-52</v>
      </c>
      <c r="H2318" s="5" t="str">
        <f>IFERROR(__xludf.DUMMYFUNCTION("""COMPUTED_VALUE"""),"2.4HP")</f>
        <v>2.4HP</v>
      </c>
      <c r="I2318" s="5"/>
      <c r="J2318" s="5"/>
      <c r="K2318" s="5">
        <f>IFERROR(__xludf.DUMMYFUNCTION("""COMPUTED_VALUE"""),1.2)</f>
        <v>1.2</v>
      </c>
      <c r="L2318" s="5" t="str">
        <f>IFERROR(__xludf.DUMMYFUNCTION("""COMPUTED_VALUE"""),"KLH")</f>
        <v>KLH</v>
      </c>
    </row>
    <row r="2319">
      <c r="A2319" s="5" t="str">
        <f>IFERROR(__xludf.DUMMYFUNCTION("""COMPUTED_VALUE"""),"XD1-MKH-003")</f>
        <v>XD1-MKH-003</v>
      </c>
      <c r="B2319" s="3" t="str">
        <f>IFERROR(__xludf.DUMMYFUNCTION("""COMPUTED_VALUE"""),"Máy khoan hố cầm tay")</f>
        <v>Máy khoan hố cầm tay</v>
      </c>
      <c r="C2319" s="5" t="str">
        <f>IFERROR(__xludf.DUMMYFUNCTION("""COMPUTED_VALUE"""),"XN Chuối DP1")</f>
        <v>XN Chuối DP1</v>
      </c>
      <c r="D2319" s="5" t="str">
        <f>IFERROR(__xludf.DUMMYFUNCTION("""COMPUTED_VALUE"""),"HINOTA")</f>
        <v>HINOTA</v>
      </c>
      <c r="E2319" s="5" t="str">
        <f>IFERROR(__xludf.DUMMYFUNCTION("""COMPUTED_VALUE"""),"TRUNG QUỐC")</f>
        <v>TRUNG QUỐC</v>
      </c>
      <c r="F2319" s="5">
        <f>IFERROR(__xludf.DUMMYFUNCTION("""COMPUTED_VALUE"""),2022.0)</f>
        <v>2022</v>
      </c>
      <c r="G2319" s="5" t="str">
        <f>IFERROR(__xludf.DUMMYFUNCTION("""COMPUTED_VALUE"""),"AG-52")</f>
        <v>AG-52</v>
      </c>
      <c r="H2319" s="5" t="str">
        <f>IFERROR(__xludf.DUMMYFUNCTION("""COMPUTED_VALUE"""),"2.4HP")</f>
        <v>2.4HP</v>
      </c>
      <c r="I2319" s="5"/>
      <c r="J2319" s="5"/>
      <c r="K2319" s="5">
        <f>IFERROR(__xludf.DUMMYFUNCTION("""COMPUTED_VALUE"""),1.2)</f>
        <v>1.2</v>
      </c>
      <c r="L2319" s="5" t="str">
        <f>IFERROR(__xludf.DUMMYFUNCTION("""COMPUTED_VALUE"""),"KLH")</f>
        <v>KLH</v>
      </c>
    </row>
    <row r="2320">
      <c r="A2320" s="5" t="str">
        <f>IFERROR(__xludf.DUMMYFUNCTION("""COMPUTED_VALUE"""),"XD1-MKH-004")</f>
        <v>XD1-MKH-004</v>
      </c>
      <c r="B2320" s="3" t="str">
        <f>IFERROR(__xludf.DUMMYFUNCTION("""COMPUTED_VALUE"""),"Máy khoan hố cầm tay")</f>
        <v>Máy khoan hố cầm tay</v>
      </c>
      <c r="C2320" s="5" t="str">
        <f>IFERROR(__xludf.DUMMYFUNCTION("""COMPUTED_VALUE"""),"XN Chuối DP1")</f>
        <v>XN Chuối DP1</v>
      </c>
      <c r="D2320" s="5" t="str">
        <f>IFERROR(__xludf.DUMMYFUNCTION("""COMPUTED_VALUE"""),"HINOTA")</f>
        <v>HINOTA</v>
      </c>
      <c r="E2320" s="5" t="str">
        <f>IFERROR(__xludf.DUMMYFUNCTION("""COMPUTED_VALUE"""),"TRUNG QUỐC")</f>
        <v>TRUNG QUỐC</v>
      </c>
      <c r="F2320" s="5">
        <f>IFERROR(__xludf.DUMMYFUNCTION("""COMPUTED_VALUE"""),2022.0)</f>
        <v>2022</v>
      </c>
      <c r="G2320" s="5" t="str">
        <f>IFERROR(__xludf.DUMMYFUNCTION("""COMPUTED_VALUE"""),"AG-52")</f>
        <v>AG-52</v>
      </c>
      <c r="H2320" s="5" t="str">
        <f>IFERROR(__xludf.DUMMYFUNCTION("""COMPUTED_VALUE"""),"2.4HP")</f>
        <v>2.4HP</v>
      </c>
      <c r="I2320" s="5"/>
      <c r="J2320" s="5"/>
      <c r="K2320" s="5">
        <f>IFERROR(__xludf.DUMMYFUNCTION("""COMPUTED_VALUE"""),1.2)</f>
        <v>1.2</v>
      </c>
      <c r="L2320" s="5" t="str">
        <f>IFERROR(__xludf.DUMMYFUNCTION("""COMPUTED_VALUE"""),"KLH")</f>
        <v>KLH</v>
      </c>
    </row>
    <row r="2321">
      <c r="A2321" s="5" t="str">
        <f>IFERROR(__xludf.DUMMYFUNCTION("""COMPUTED_VALUE"""),"XD1-MKH-005")</f>
        <v>XD1-MKH-005</v>
      </c>
      <c r="B2321" s="3" t="str">
        <f>IFERROR(__xludf.DUMMYFUNCTION("""COMPUTED_VALUE"""),"Máy khoan hố cầm tay")</f>
        <v>Máy khoan hố cầm tay</v>
      </c>
      <c r="C2321" s="5" t="str">
        <f>IFERROR(__xludf.DUMMYFUNCTION("""COMPUTED_VALUE"""),"XN Chuối DP1")</f>
        <v>XN Chuối DP1</v>
      </c>
      <c r="D2321" s="5" t="str">
        <f>IFERROR(__xludf.DUMMYFUNCTION("""COMPUTED_VALUE"""),"HINOTA")</f>
        <v>HINOTA</v>
      </c>
      <c r="E2321" s="5" t="str">
        <f>IFERROR(__xludf.DUMMYFUNCTION("""COMPUTED_VALUE"""),"TRUNG QUỐC")</f>
        <v>TRUNG QUỐC</v>
      </c>
      <c r="F2321" s="5">
        <f>IFERROR(__xludf.DUMMYFUNCTION("""COMPUTED_VALUE"""),2022.0)</f>
        <v>2022</v>
      </c>
      <c r="G2321" s="5" t="str">
        <f>IFERROR(__xludf.DUMMYFUNCTION("""COMPUTED_VALUE"""),"AG-52")</f>
        <v>AG-52</v>
      </c>
      <c r="H2321" s="5" t="str">
        <f>IFERROR(__xludf.DUMMYFUNCTION("""COMPUTED_VALUE"""),"2.4HP")</f>
        <v>2.4HP</v>
      </c>
      <c r="I2321" s="5"/>
      <c r="J2321" s="5"/>
      <c r="K2321" s="5">
        <f>IFERROR(__xludf.DUMMYFUNCTION("""COMPUTED_VALUE"""),1.2)</f>
        <v>1.2</v>
      </c>
      <c r="L2321" s="5" t="str">
        <f>IFERROR(__xludf.DUMMYFUNCTION("""COMPUTED_VALUE"""),"KLH")</f>
        <v>KLH</v>
      </c>
    </row>
    <row r="2322">
      <c r="A2322" s="5" t="str">
        <f>IFERROR(__xludf.DUMMYFUNCTION("""COMPUTED_VALUE"""),"XD1-MKH-006")</f>
        <v>XD1-MKH-006</v>
      </c>
      <c r="B2322" s="3" t="str">
        <f>IFERROR(__xludf.DUMMYFUNCTION("""COMPUTED_VALUE"""),"Máy khoan hố cầm tay")</f>
        <v>Máy khoan hố cầm tay</v>
      </c>
      <c r="C2322" s="5" t="str">
        <f>IFERROR(__xludf.DUMMYFUNCTION("""COMPUTED_VALUE"""),"XN Chuối DP1")</f>
        <v>XN Chuối DP1</v>
      </c>
      <c r="D2322" s="5" t="str">
        <f>IFERROR(__xludf.DUMMYFUNCTION("""COMPUTED_VALUE"""),"HINOTA")</f>
        <v>HINOTA</v>
      </c>
      <c r="E2322" s="5" t="str">
        <f>IFERROR(__xludf.DUMMYFUNCTION("""COMPUTED_VALUE"""),"TRUNG QUỐC")</f>
        <v>TRUNG QUỐC</v>
      </c>
      <c r="F2322" s="5">
        <f>IFERROR(__xludf.DUMMYFUNCTION("""COMPUTED_VALUE"""),2022.0)</f>
        <v>2022</v>
      </c>
      <c r="G2322" s="5" t="str">
        <f>IFERROR(__xludf.DUMMYFUNCTION("""COMPUTED_VALUE"""),"AG-52")</f>
        <v>AG-52</v>
      </c>
      <c r="H2322" s="5" t="str">
        <f>IFERROR(__xludf.DUMMYFUNCTION("""COMPUTED_VALUE"""),"2.4HP")</f>
        <v>2.4HP</v>
      </c>
      <c r="I2322" s="5"/>
      <c r="J2322" s="5"/>
      <c r="K2322" s="5">
        <f>IFERROR(__xludf.DUMMYFUNCTION("""COMPUTED_VALUE"""),1.2)</f>
        <v>1.2</v>
      </c>
      <c r="L2322" s="5" t="str">
        <f>IFERROR(__xludf.DUMMYFUNCTION("""COMPUTED_VALUE"""),"KLH")</f>
        <v>KLH</v>
      </c>
    </row>
    <row r="2323">
      <c r="A2323" s="5" t="str">
        <f>IFERROR(__xludf.DUMMYFUNCTION("""COMPUTED_VALUE"""),"DP2")</f>
        <v>DP2</v>
      </c>
      <c r="B2323" s="3"/>
      <c r="C2323" s="5"/>
      <c r="D2323" s="5"/>
      <c r="E2323" s="5"/>
      <c r="F2323" s="5"/>
      <c r="G2323" s="5"/>
      <c r="H2323" s="5"/>
      <c r="I2323" s="5"/>
      <c r="J2323" s="5"/>
      <c r="K2323" s="5"/>
      <c r="L2323" s="5" t="str">
        <f>IFERROR(__xludf.DUMMYFUNCTION("""COMPUTED_VALUE"""),"KLH")</f>
        <v>KLH</v>
      </c>
    </row>
    <row r="2324">
      <c r="A2324" s="5" t="str">
        <f>IFERROR(__xludf.DUMMYFUNCTION("""COMPUTED_VALUE"""),"XD2-MKH-001")</f>
        <v>XD2-MKH-001</v>
      </c>
      <c r="B2324" s="3" t="str">
        <f>IFERROR(__xludf.DUMMYFUNCTION("""COMPUTED_VALUE"""),"Máy khoan hố cầm tay")</f>
        <v>Máy khoan hố cầm tay</v>
      </c>
      <c r="C2324" s="5" t="str">
        <f>IFERROR(__xludf.DUMMYFUNCTION("""COMPUTED_VALUE"""),"XN Chuối DP2")</f>
        <v>XN Chuối DP2</v>
      </c>
      <c r="D2324" s="5" t="str">
        <f>IFERROR(__xludf.DUMMYFUNCTION("""COMPUTED_VALUE"""),"OSHIMA")</f>
        <v>OSHIMA</v>
      </c>
      <c r="E2324" s="5" t="str">
        <f>IFERROR(__xludf.DUMMYFUNCTION("""COMPUTED_VALUE"""),"TRUNG QUỐC")</f>
        <v>TRUNG QUỐC</v>
      </c>
      <c r="F2324" s="5">
        <f>IFERROR(__xludf.DUMMYFUNCTION("""COMPUTED_VALUE"""),2022.0)</f>
        <v>2022</v>
      </c>
      <c r="G2324" s="5" t="str">
        <f>IFERROR(__xludf.DUMMYFUNCTION("""COMPUTED_VALUE"""),"2PS")</f>
        <v>2PS</v>
      </c>
      <c r="H2324" s="5" t="str">
        <f>IFERROR(__xludf.DUMMYFUNCTION("""COMPUTED_VALUE"""),"2.4HP")</f>
        <v>2.4HP</v>
      </c>
      <c r="I2324" s="5"/>
      <c r="J2324" s="5"/>
      <c r="K2324" s="5">
        <f>IFERROR(__xludf.DUMMYFUNCTION("""COMPUTED_VALUE"""),1.2)</f>
        <v>1.2</v>
      </c>
      <c r="L2324" s="5" t="str">
        <f>IFERROR(__xludf.DUMMYFUNCTION("""COMPUTED_VALUE"""),"KLH")</f>
        <v>KLH</v>
      </c>
    </row>
    <row r="2325">
      <c r="A2325" s="5" t="str">
        <f>IFERROR(__xludf.DUMMYFUNCTION("""COMPUTED_VALUE"""),"XD2-MKH-002")</f>
        <v>XD2-MKH-002</v>
      </c>
      <c r="B2325" s="3" t="str">
        <f>IFERROR(__xludf.DUMMYFUNCTION("""COMPUTED_VALUE"""),"Máy khoan hố cầm tay")</f>
        <v>Máy khoan hố cầm tay</v>
      </c>
      <c r="C2325" s="5" t="str">
        <f>IFERROR(__xludf.DUMMYFUNCTION("""COMPUTED_VALUE"""),"XN Chuối DP2")</f>
        <v>XN Chuối DP2</v>
      </c>
      <c r="D2325" s="5" t="str">
        <f>IFERROR(__xludf.DUMMYFUNCTION("""COMPUTED_VALUE"""),"OSHIMA")</f>
        <v>OSHIMA</v>
      </c>
      <c r="E2325" s="5" t="str">
        <f>IFERROR(__xludf.DUMMYFUNCTION("""COMPUTED_VALUE"""),"TRUNG QUỐC")</f>
        <v>TRUNG QUỐC</v>
      </c>
      <c r="F2325" s="5">
        <f>IFERROR(__xludf.DUMMYFUNCTION("""COMPUTED_VALUE"""),2022.0)</f>
        <v>2022</v>
      </c>
      <c r="G2325" s="5" t="str">
        <f>IFERROR(__xludf.DUMMYFUNCTION("""COMPUTED_VALUE"""),"2PS")</f>
        <v>2PS</v>
      </c>
      <c r="H2325" s="5" t="str">
        <f>IFERROR(__xludf.DUMMYFUNCTION("""COMPUTED_VALUE"""),"2.4HP")</f>
        <v>2.4HP</v>
      </c>
      <c r="I2325" s="5"/>
      <c r="J2325" s="5"/>
      <c r="K2325" s="5">
        <f>IFERROR(__xludf.DUMMYFUNCTION("""COMPUTED_VALUE"""),1.2)</f>
        <v>1.2</v>
      </c>
      <c r="L2325" s="5" t="str">
        <f>IFERROR(__xludf.DUMMYFUNCTION("""COMPUTED_VALUE"""),"KLH")</f>
        <v>KLH</v>
      </c>
    </row>
    <row r="2326">
      <c r="A2326" s="5" t="str">
        <f>IFERROR(__xludf.DUMMYFUNCTION("""COMPUTED_VALUE"""),"DP3")</f>
        <v>DP3</v>
      </c>
      <c r="B2326" s="3"/>
      <c r="C2326" s="5"/>
      <c r="D2326" s="5"/>
      <c r="E2326" s="5"/>
      <c r="F2326" s="5"/>
      <c r="G2326" s="5"/>
      <c r="H2326" s="5"/>
      <c r="I2326" s="5"/>
      <c r="J2326" s="5"/>
      <c r="K2326" s="5"/>
      <c r="L2326" s="5" t="str">
        <f>IFERROR(__xludf.DUMMYFUNCTION("""COMPUTED_VALUE"""),"KLH")</f>
        <v>KLH</v>
      </c>
    </row>
    <row r="2327">
      <c r="A2327" s="5" t="str">
        <f>IFERROR(__xludf.DUMMYFUNCTION("""COMPUTED_VALUE"""),"XD3-MKH-001")</f>
        <v>XD3-MKH-001</v>
      </c>
      <c r="B2327" s="3" t="str">
        <f>IFERROR(__xludf.DUMMYFUNCTION("""COMPUTED_VALUE"""),"Máy khoan hố cầm tay")</f>
        <v>Máy khoan hố cầm tay</v>
      </c>
      <c r="C2327" s="5" t="str">
        <f>IFERROR(__xludf.DUMMYFUNCTION("""COMPUTED_VALUE"""),"XN Chuối DP3")</f>
        <v>XN Chuối DP3</v>
      </c>
      <c r="D2327" s="5" t="str">
        <f>IFERROR(__xludf.DUMMYFUNCTION("""COMPUTED_VALUE"""),"HINOTA")</f>
        <v>HINOTA</v>
      </c>
      <c r="E2327" s="5" t="str">
        <f>IFERROR(__xludf.DUMMYFUNCTION("""COMPUTED_VALUE"""),"TRUNG QUỐC")</f>
        <v>TRUNG QUỐC</v>
      </c>
      <c r="F2327" s="5">
        <f>IFERROR(__xludf.DUMMYFUNCTION("""COMPUTED_VALUE"""),2022.0)</f>
        <v>2022</v>
      </c>
      <c r="G2327" s="5" t="str">
        <f>IFERROR(__xludf.DUMMYFUNCTION("""COMPUTED_VALUE"""),"AG-52")</f>
        <v>AG-52</v>
      </c>
      <c r="H2327" s="5" t="str">
        <f>IFERROR(__xludf.DUMMYFUNCTION("""COMPUTED_VALUE"""),"2.4HP")</f>
        <v>2.4HP</v>
      </c>
      <c r="I2327" s="5"/>
      <c r="J2327" s="5"/>
      <c r="K2327" s="5">
        <f>IFERROR(__xludf.DUMMYFUNCTION("""COMPUTED_VALUE"""),1.2)</f>
        <v>1.2</v>
      </c>
      <c r="L2327" s="5" t="str">
        <f>IFERROR(__xludf.DUMMYFUNCTION("""COMPUTED_VALUE"""),"KLH")</f>
        <v>KLH</v>
      </c>
    </row>
    <row r="2328">
      <c r="A2328" s="5" t="str">
        <f>IFERROR(__xludf.DUMMYFUNCTION("""COMPUTED_VALUE"""),"XD3-MKH-002")</f>
        <v>XD3-MKH-002</v>
      </c>
      <c r="B2328" s="3" t="str">
        <f>IFERROR(__xludf.DUMMYFUNCTION("""COMPUTED_VALUE"""),"Máy khoan hố cầm tay")</f>
        <v>Máy khoan hố cầm tay</v>
      </c>
      <c r="C2328" s="5" t="str">
        <f>IFERROR(__xludf.DUMMYFUNCTION("""COMPUTED_VALUE"""),"XN Chuối DP3")</f>
        <v>XN Chuối DP3</v>
      </c>
      <c r="D2328" s="5" t="str">
        <f>IFERROR(__xludf.DUMMYFUNCTION("""COMPUTED_VALUE"""),"HINOTA")</f>
        <v>HINOTA</v>
      </c>
      <c r="E2328" s="5" t="str">
        <f>IFERROR(__xludf.DUMMYFUNCTION("""COMPUTED_VALUE"""),"TRUNG QUỐC")</f>
        <v>TRUNG QUỐC</v>
      </c>
      <c r="F2328" s="5">
        <f>IFERROR(__xludf.DUMMYFUNCTION("""COMPUTED_VALUE"""),2022.0)</f>
        <v>2022</v>
      </c>
      <c r="G2328" s="5" t="str">
        <f>IFERROR(__xludf.DUMMYFUNCTION("""COMPUTED_VALUE"""),"AG-52")</f>
        <v>AG-52</v>
      </c>
      <c r="H2328" s="5" t="str">
        <f>IFERROR(__xludf.DUMMYFUNCTION("""COMPUTED_VALUE"""),"2.4HP")</f>
        <v>2.4HP</v>
      </c>
      <c r="I2328" s="5"/>
      <c r="J2328" s="5"/>
      <c r="K2328" s="5">
        <f>IFERROR(__xludf.DUMMYFUNCTION("""COMPUTED_VALUE"""),1.2)</f>
        <v>1.2</v>
      </c>
      <c r="L2328" s="5" t="str">
        <f>IFERROR(__xludf.DUMMYFUNCTION("""COMPUTED_VALUE"""),"KLH")</f>
        <v>KLH</v>
      </c>
    </row>
    <row r="2329">
      <c r="A2329" s="5" t="str">
        <f>IFERROR(__xludf.DUMMYFUNCTION("""COMPUTED_VALUE"""),"XD3-MKH-003")</f>
        <v>XD3-MKH-003</v>
      </c>
      <c r="B2329" s="3" t="str">
        <f>IFERROR(__xludf.DUMMYFUNCTION("""COMPUTED_VALUE"""),"Máy khoan hố cầm tay")</f>
        <v>Máy khoan hố cầm tay</v>
      </c>
      <c r="C2329" s="5" t="str">
        <f>IFERROR(__xludf.DUMMYFUNCTION("""COMPUTED_VALUE"""),"XN Chuối DP3")</f>
        <v>XN Chuối DP3</v>
      </c>
      <c r="D2329" s="5" t="str">
        <f>IFERROR(__xludf.DUMMYFUNCTION("""COMPUTED_VALUE"""),"HINOTA")</f>
        <v>HINOTA</v>
      </c>
      <c r="E2329" s="5" t="str">
        <f>IFERROR(__xludf.DUMMYFUNCTION("""COMPUTED_VALUE"""),"TRUNG QUỐC")</f>
        <v>TRUNG QUỐC</v>
      </c>
      <c r="F2329" s="5">
        <f>IFERROR(__xludf.DUMMYFUNCTION("""COMPUTED_VALUE"""),2022.0)</f>
        <v>2022</v>
      </c>
      <c r="G2329" s="5" t="str">
        <f>IFERROR(__xludf.DUMMYFUNCTION("""COMPUTED_VALUE"""),"AG-52")</f>
        <v>AG-52</v>
      </c>
      <c r="H2329" s="5" t="str">
        <f>IFERROR(__xludf.DUMMYFUNCTION("""COMPUTED_VALUE"""),"2.4HP")</f>
        <v>2.4HP</v>
      </c>
      <c r="I2329" s="5"/>
      <c r="J2329" s="5"/>
      <c r="K2329" s="5">
        <f>IFERROR(__xludf.DUMMYFUNCTION("""COMPUTED_VALUE"""),1.2)</f>
        <v>1.2</v>
      </c>
      <c r="L2329" s="5" t="str">
        <f>IFERROR(__xludf.DUMMYFUNCTION("""COMPUTED_VALUE"""),"KLH")</f>
        <v>KLH</v>
      </c>
    </row>
    <row r="2330">
      <c r="A2330" s="5" t="str">
        <f>IFERROR(__xludf.DUMMYFUNCTION("""COMPUTED_VALUE"""),"CAT DP")</f>
        <v>CAT DP</v>
      </c>
      <c r="B2330" s="3"/>
      <c r="C2330" s="5"/>
      <c r="D2330" s="5"/>
      <c r="E2330" s="5"/>
      <c r="F2330" s="5"/>
      <c r="G2330" s="5"/>
      <c r="H2330" s="5"/>
      <c r="I2330" s="5"/>
      <c r="J2330" s="5"/>
      <c r="K2330" s="5"/>
      <c r="L2330" s="5" t="str">
        <f>IFERROR(__xludf.DUMMYFUNCTION("""COMPUTED_VALUE"""),"KLH")</f>
        <v>KLH</v>
      </c>
    </row>
    <row r="2331">
      <c r="A2331" s="5" t="str">
        <f>IFERROR(__xludf.DUMMYFUNCTION("""COMPUTED_VALUE"""),"LUMPHAT")</f>
        <v>LUMPHAT</v>
      </c>
      <c r="B2331" s="3"/>
      <c r="C2331" s="5"/>
      <c r="D2331" s="5"/>
      <c r="E2331" s="5"/>
      <c r="F2331" s="5"/>
      <c r="G2331" s="5"/>
      <c r="H2331" s="5"/>
      <c r="I2331" s="5"/>
      <c r="J2331" s="5"/>
      <c r="K2331" s="5"/>
      <c r="L2331" s="5" t="str">
        <f>IFERROR(__xludf.DUMMYFUNCTION("""COMPUTED_VALUE"""),"KLH")</f>
        <v>KLH</v>
      </c>
    </row>
    <row r="2332">
      <c r="A2332" s="5" t="str">
        <f>IFERROR(__xludf.DUMMYFUNCTION("""COMPUTED_VALUE"""),"LP1")</f>
        <v>LP1</v>
      </c>
      <c r="B2332" s="3"/>
      <c r="C2332" s="5"/>
      <c r="D2332" s="5"/>
      <c r="E2332" s="5"/>
      <c r="F2332" s="5"/>
      <c r="G2332" s="5"/>
      <c r="H2332" s="5"/>
      <c r="I2332" s="5"/>
      <c r="J2332" s="5"/>
      <c r="K2332" s="5"/>
      <c r="L2332" s="5" t="str">
        <f>IFERROR(__xludf.DUMMYFUNCTION("""COMPUTED_VALUE"""),"KLH")</f>
        <v>KLH</v>
      </c>
    </row>
    <row r="2333">
      <c r="A2333" s="5" t="str">
        <f>IFERROR(__xludf.DUMMYFUNCTION("""COMPUTED_VALUE"""),"XL1-MKH-001")</f>
        <v>XL1-MKH-001</v>
      </c>
      <c r="B2333" s="3" t="str">
        <f>IFERROR(__xludf.DUMMYFUNCTION("""COMPUTED_VALUE"""),"Máy khoan hố cầm tay")</f>
        <v>Máy khoan hố cầm tay</v>
      </c>
      <c r="C2333" s="5" t="str">
        <f>IFERROR(__xludf.DUMMYFUNCTION("""COMPUTED_VALUE"""),"XN Chuối LP1")</f>
        <v>XN Chuối LP1</v>
      </c>
      <c r="D2333" s="5" t="str">
        <f>IFERROR(__xludf.DUMMYFUNCTION("""COMPUTED_VALUE"""),"HINOTA")</f>
        <v>HINOTA</v>
      </c>
      <c r="E2333" s="5" t="str">
        <f>IFERROR(__xludf.DUMMYFUNCTION("""COMPUTED_VALUE"""),"TRUNG QUỐC")</f>
        <v>TRUNG QUỐC</v>
      </c>
      <c r="F2333" s="5"/>
      <c r="G2333" s="5" t="str">
        <f>IFERROR(__xludf.DUMMYFUNCTION("""COMPUTED_VALUE"""),"AG-52")</f>
        <v>AG-52</v>
      </c>
      <c r="H2333" s="5" t="str">
        <f>IFERROR(__xludf.DUMMYFUNCTION("""COMPUTED_VALUE"""),"2.4HP")</f>
        <v>2.4HP</v>
      </c>
      <c r="I2333" s="5"/>
      <c r="J2333" s="5"/>
      <c r="K2333" s="5">
        <f>IFERROR(__xludf.DUMMYFUNCTION("""COMPUTED_VALUE"""),1.2)</f>
        <v>1.2</v>
      </c>
      <c r="L2333" s="5" t="str">
        <f>IFERROR(__xludf.DUMMYFUNCTION("""COMPUTED_VALUE"""),"KLH")</f>
        <v>KLH</v>
      </c>
    </row>
    <row r="2334">
      <c r="A2334" s="5" t="str">
        <f>IFERROR(__xludf.DUMMYFUNCTION("""COMPUTED_VALUE"""),"XL1-MKH-002")</f>
        <v>XL1-MKH-002</v>
      </c>
      <c r="B2334" s="3" t="str">
        <f>IFERROR(__xludf.DUMMYFUNCTION("""COMPUTED_VALUE"""),"Máy khoan hố cầm tay")</f>
        <v>Máy khoan hố cầm tay</v>
      </c>
      <c r="C2334" s="5" t="str">
        <f>IFERROR(__xludf.DUMMYFUNCTION("""COMPUTED_VALUE"""),"XN Chuối LP1")</f>
        <v>XN Chuối LP1</v>
      </c>
      <c r="D2334" s="5" t="str">
        <f>IFERROR(__xludf.DUMMYFUNCTION("""COMPUTED_VALUE"""),"HINOTA")</f>
        <v>HINOTA</v>
      </c>
      <c r="E2334" s="5" t="str">
        <f>IFERROR(__xludf.DUMMYFUNCTION("""COMPUTED_VALUE"""),"TRUNG QUỐC")</f>
        <v>TRUNG QUỐC</v>
      </c>
      <c r="F2334" s="5"/>
      <c r="G2334" s="5" t="str">
        <f>IFERROR(__xludf.DUMMYFUNCTION("""COMPUTED_VALUE"""),"AG-52")</f>
        <v>AG-52</v>
      </c>
      <c r="H2334" s="5" t="str">
        <f>IFERROR(__xludf.DUMMYFUNCTION("""COMPUTED_VALUE"""),"2.4HP")</f>
        <v>2.4HP</v>
      </c>
      <c r="I2334" s="5"/>
      <c r="J2334" s="5"/>
      <c r="K2334" s="5">
        <f>IFERROR(__xludf.DUMMYFUNCTION("""COMPUTED_VALUE"""),1.2)</f>
        <v>1.2</v>
      </c>
      <c r="L2334" s="5" t="str">
        <f>IFERROR(__xludf.DUMMYFUNCTION("""COMPUTED_VALUE"""),"KLH")</f>
        <v>KLH</v>
      </c>
    </row>
    <row r="2335">
      <c r="A2335" s="5" t="str">
        <f>IFERROR(__xludf.DUMMYFUNCTION("""COMPUTED_VALUE"""),"XL1-MKH-003")</f>
        <v>XL1-MKH-003</v>
      </c>
      <c r="B2335" s="3" t="str">
        <f>IFERROR(__xludf.DUMMYFUNCTION("""COMPUTED_VALUE"""),"Máy khoan hố cầm tay")</f>
        <v>Máy khoan hố cầm tay</v>
      </c>
      <c r="C2335" s="5" t="str">
        <f>IFERROR(__xludf.DUMMYFUNCTION("""COMPUTED_VALUE"""),"XN Chuối LP1")</f>
        <v>XN Chuối LP1</v>
      </c>
      <c r="D2335" s="5" t="str">
        <f>IFERROR(__xludf.DUMMYFUNCTION("""COMPUTED_VALUE"""),"HINOTA")</f>
        <v>HINOTA</v>
      </c>
      <c r="E2335" s="5" t="str">
        <f>IFERROR(__xludf.DUMMYFUNCTION("""COMPUTED_VALUE"""),"TRUNG QUỐC")</f>
        <v>TRUNG QUỐC</v>
      </c>
      <c r="F2335" s="5"/>
      <c r="G2335" s="5" t="str">
        <f>IFERROR(__xludf.DUMMYFUNCTION("""COMPUTED_VALUE"""),"AG-52")</f>
        <v>AG-52</v>
      </c>
      <c r="H2335" s="5" t="str">
        <f>IFERROR(__xludf.DUMMYFUNCTION("""COMPUTED_VALUE"""),"2.4HP")</f>
        <v>2.4HP</v>
      </c>
      <c r="I2335" s="5"/>
      <c r="J2335" s="5"/>
      <c r="K2335" s="5">
        <f>IFERROR(__xludf.DUMMYFUNCTION("""COMPUTED_VALUE"""),1.2)</f>
        <v>1.2</v>
      </c>
      <c r="L2335" s="5" t="str">
        <f>IFERROR(__xludf.DUMMYFUNCTION("""COMPUTED_VALUE"""),"KLH")</f>
        <v>KLH</v>
      </c>
    </row>
    <row r="2336">
      <c r="A2336" s="5" t="str">
        <f>IFERROR(__xludf.DUMMYFUNCTION("""COMPUTED_VALUE"""),"LP3")</f>
        <v>LP3</v>
      </c>
      <c r="B2336" s="3"/>
      <c r="C2336" s="5"/>
      <c r="D2336" s="5"/>
      <c r="E2336" s="5"/>
      <c r="F2336" s="5"/>
      <c r="G2336" s="5"/>
      <c r="H2336" s="5"/>
      <c r="I2336" s="5"/>
      <c r="J2336" s="5"/>
      <c r="K2336" s="5"/>
      <c r="L2336" s="5" t="str">
        <f>IFERROR(__xludf.DUMMYFUNCTION("""COMPUTED_VALUE"""),"KLH")</f>
        <v>KLH</v>
      </c>
    </row>
    <row r="2337">
      <c r="A2337" s="5" t="str">
        <f>IFERROR(__xludf.DUMMYFUNCTION("""COMPUTED_VALUE"""),"XL3-MKH-001")</f>
        <v>XL3-MKH-001</v>
      </c>
      <c r="B2337" s="3" t="str">
        <f>IFERROR(__xludf.DUMMYFUNCTION("""COMPUTED_VALUE"""),"Máy khoan hố cầm tay")</f>
        <v>Máy khoan hố cầm tay</v>
      </c>
      <c r="C2337" s="5" t="str">
        <f>IFERROR(__xludf.DUMMYFUNCTION("""COMPUTED_VALUE"""),"XN Chuối LP3")</f>
        <v>XN Chuối LP3</v>
      </c>
      <c r="D2337" s="5" t="str">
        <f>IFERROR(__xludf.DUMMYFUNCTION("""COMPUTED_VALUE"""),"HINOTA")</f>
        <v>HINOTA</v>
      </c>
      <c r="E2337" s="5" t="str">
        <f>IFERROR(__xludf.DUMMYFUNCTION("""COMPUTED_VALUE"""),"TRUNG QUỐC")</f>
        <v>TRUNG QUỐC</v>
      </c>
      <c r="F2337" s="5"/>
      <c r="G2337" s="5" t="str">
        <f>IFERROR(__xludf.DUMMYFUNCTION("""COMPUTED_VALUE"""),"AG-52")</f>
        <v>AG-52</v>
      </c>
      <c r="H2337" s="5" t="str">
        <f>IFERROR(__xludf.DUMMYFUNCTION("""COMPUTED_VALUE"""),"2.4HP")</f>
        <v>2.4HP</v>
      </c>
      <c r="I2337" s="5"/>
      <c r="J2337" s="5"/>
      <c r="K2337" s="5">
        <f>IFERROR(__xludf.DUMMYFUNCTION("""COMPUTED_VALUE"""),1.2)</f>
        <v>1.2</v>
      </c>
      <c r="L2337" s="5" t="str">
        <f>IFERROR(__xludf.DUMMYFUNCTION("""COMPUTED_VALUE"""),"KLH")</f>
        <v>KLH</v>
      </c>
    </row>
    <row r="2338">
      <c r="A2338" s="5" t="str">
        <f>IFERROR(__xludf.DUMMYFUNCTION("""COMPUTED_VALUE"""),"XL3-MKH-002")</f>
        <v>XL3-MKH-002</v>
      </c>
      <c r="B2338" s="3" t="str">
        <f>IFERROR(__xludf.DUMMYFUNCTION("""COMPUTED_VALUE"""),"Máy khoan hố cầm tay")</f>
        <v>Máy khoan hố cầm tay</v>
      </c>
      <c r="C2338" s="5" t="str">
        <f>IFERROR(__xludf.DUMMYFUNCTION("""COMPUTED_VALUE"""),"XN Chuối LP3")</f>
        <v>XN Chuối LP3</v>
      </c>
      <c r="D2338" s="5" t="str">
        <f>IFERROR(__xludf.DUMMYFUNCTION("""COMPUTED_VALUE"""),"HINOTA")</f>
        <v>HINOTA</v>
      </c>
      <c r="E2338" s="5" t="str">
        <f>IFERROR(__xludf.DUMMYFUNCTION("""COMPUTED_VALUE"""),"TRUNG QUỐC")</f>
        <v>TRUNG QUỐC</v>
      </c>
      <c r="F2338" s="5"/>
      <c r="G2338" s="5" t="str">
        <f>IFERROR(__xludf.DUMMYFUNCTION("""COMPUTED_VALUE"""),"AG-52")</f>
        <v>AG-52</v>
      </c>
      <c r="H2338" s="5" t="str">
        <f>IFERROR(__xludf.DUMMYFUNCTION("""COMPUTED_VALUE"""),"2.4HP")</f>
        <v>2.4HP</v>
      </c>
      <c r="I2338" s="5"/>
      <c r="J2338" s="5"/>
      <c r="K2338" s="5">
        <f>IFERROR(__xludf.DUMMYFUNCTION("""COMPUTED_VALUE"""),1.2)</f>
        <v>1.2</v>
      </c>
      <c r="L2338" s="5" t="str">
        <f>IFERROR(__xludf.DUMMYFUNCTION("""COMPUTED_VALUE"""),"KLH")</f>
        <v>KLH</v>
      </c>
    </row>
    <row r="2339">
      <c r="A2339" s="5" t="str">
        <f>IFERROR(__xludf.DUMMYFUNCTION("""COMPUTED_VALUE"""),"LP4")</f>
        <v>LP4</v>
      </c>
      <c r="B2339" s="3"/>
      <c r="C2339" s="5"/>
      <c r="D2339" s="5"/>
      <c r="E2339" s="5"/>
      <c r="F2339" s="5"/>
      <c r="G2339" s="5"/>
      <c r="H2339" s="5"/>
      <c r="I2339" s="5"/>
      <c r="J2339" s="5"/>
      <c r="K2339" s="5"/>
      <c r="L2339" s="5" t="str">
        <f>IFERROR(__xludf.DUMMYFUNCTION("""COMPUTED_VALUE"""),"KLH")</f>
        <v>KLH</v>
      </c>
    </row>
    <row r="2340">
      <c r="A2340" s="5" t="str">
        <f>IFERROR(__xludf.DUMMYFUNCTION("""COMPUTED_VALUE"""),"XL4-MKH-001")</f>
        <v>XL4-MKH-001</v>
      </c>
      <c r="B2340" s="3" t="str">
        <f>IFERROR(__xludf.DUMMYFUNCTION("""COMPUTED_VALUE"""),"Máy khoan hố cầm tay")</f>
        <v>Máy khoan hố cầm tay</v>
      </c>
      <c r="C2340" s="5" t="str">
        <f>IFERROR(__xludf.DUMMYFUNCTION("""COMPUTED_VALUE"""),"XN Chuối LP4")</f>
        <v>XN Chuối LP4</v>
      </c>
      <c r="D2340" s="5" t="str">
        <f>IFERROR(__xludf.DUMMYFUNCTION("""COMPUTED_VALUE"""),"OSHIMA")</f>
        <v>OSHIMA</v>
      </c>
      <c r="E2340" s="5" t="str">
        <f>IFERROR(__xludf.DUMMYFUNCTION("""COMPUTED_VALUE"""),"TRUNG QUỐC")</f>
        <v>TRUNG QUỐC</v>
      </c>
      <c r="F2340" s="5">
        <f>IFERROR(__xludf.DUMMYFUNCTION("""COMPUTED_VALUE"""),2022.0)</f>
        <v>2022</v>
      </c>
      <c r="G2340" s="5" t="str">
        <f>IFERROR(__xludf.DUMMYFUNCTION("""COMPUTED_VALUE"""),"2PS")</f>
        <v>2PS</v>
      </c>
      <c r="H2340" s="5" t="str">
        <f>IFERROR(__xludf.DUMMYFUNCTION("""COMPUTED_VALUE"""),"2.4HP")</f>
        <v>2.4HP</v>
      </c>
      <c r="I2340" s="5"/>
      <c r="J2340" s="5"/>
      <c r="K2340" s="5">
        <f>IFERROR(__xludf.DUMMYFUNCTION("""COMPUTED_VALUE"""),1.2)</f>
        <v>1.2</v>
      </c>
      <c r="L2340" s="5" t="str">
        <f>IFERROR(__xludf.DUMMYFUNCTION("""COMPUTED_VALUE"""),"KLH")</f>
        <v>KLH</v>
      </c>
    </row>
    <row r="2341">
      <c r="A2341" s="5" t="str">
        <f>IFERROR(__xludf.DUMMYFUNCTION("""COMPUTED_VALUE"""),"XL4-MKH-002")</f>
        <v>XL4-MKH-002</v>
      </c>
      <c r="B2341" s="3" t="str">
        <f>IFERROR(__xludf.DUMMYFUNCTION("""COMPUTED_VALUE"""),"Máy khoan hố cầm tay")</f>
        <v>Máy khoan hố cầm tay</v>
      </c>
      <c r="C2341" s="5" t="str">
        <f>IFERROR(__xludf.DUMMYFUNCTION("""COMPUTED_VALUE"""),"XN Chuối LP4")</f>
        <v>XN Chuối LP4</v>
      </c>
      <c r="D2341" s="5" t="str">
        <f>IFERROR(__xludf.DUMMYFUNCTION("""COMPUTED_VALUE"""),"OSHIMA")</f>
        <v>OSHIMA</v>
      </c>
      <c r="E2341" s="5" t="str">
        <f>IFERROR(__xludf.DUMMYFUNCTION("""COMPUTED_VALUE"""),"TRUNG QUỐC")</f>
        <v>TRUNG QUỐC</v>
      </c>
      <c r="F2341" s="5">
        <f>IFERROR(__xludf.DUMMYFUNCTION("""COMPUTED_VALUE"""),2022.0)</f>
        <v>2022</v>
      </c>
      <c r="G2341" s="5" t="str">
        <f>IFERROR(__xludf.DUMMYFUNCTION("""COMPUTED_VALUE"""),"2PS")</f>
        <v>2PS</v>
      </c>
      <c r="H2341" s="5" t="str">
        <f>IFERROR(__xludf.DUMMYFUNCTION("""COMPUTED_VALUE"""),"2.4HP")</f>
        <v>2.4HP</v>
      </c>
      <c r="I2341" s="5"/>
      <c r="J2341" s="5"/>
      <c r="K2341" s="5">
        <f>IFERROR(__xludf.DUMMYFUNCTION("""COMPUTED_VALUE"""),1.2)</f>
        <v>1.2</v>
      </c>
      <c r="L2341" s="5" t="str">
        <f>IFERROR(__xludf.DUMMYFUNCTION("""COMPUTED_VALUE"""),"KLH")</f>
        <v>KLH</v>
      </c>
    </row>
    <row r="2342">
      <c r="A2342" s="5" t="str">
        <f>IFERROR(__xludf.DUMMYFUNCTION("""COMPUTED_VALUE"""),"XL4-MKH-003")</f>
        <v>XL4-MKH-003</v>
      </c>
      <c r="B2342" s="3" t="str">
        <f>IFERROR(__xludf.DUMMYFUNCTION("""COMPUTED_VALUE"""),"Máy khoan hố cầm tay")</f>
        <v>Máy khoan hố cầm tay</v>
      </c>
      <c r="C2342" s="5" t="str">
        <f>IFERROR(__xludf.DUMMYFUNCTION("""COMPUTED_VALUE"""),"XN Chuối LP4")</f>
        <v>XN Chuối LP4</v>
      </c>
      <c r="D2342" s="5" t="str">
        <f>IFERROR(__xludf.DUMMYFUNCTION("""COMPUTED_VALUE"""),"OSHIMA")</f>
        <v>OSHIMA</v>
      </c>
      <c r="E2342" s="5" t="str">
        <f>IFERROR(__xludf.DUMMYFUNCTION("""COMPUTED_VALUE"""),"TRUNG QUỐC")</f>
        <v>TRUNG QUỐC</v>
      </c>
      <c r="F2342" s="5">
        <f>IFERROR(__xludf.DUMMYFUNCTION("""COMPUTED_VALUE"""),2022.0)</f>
        <v>2022</v>
      </c>
      <c r="G2342" s="5" t="str">
        <f>IFERROR(__xludf.DUMMYFUNCTION("""COMPUTED_VALUE"""),"2PS")</f>
        <v>2PS</v>
      </c>
      <c r="H2342" s="5" t="str">
        <f>IFERROR(__xludf.DUMMYFUNCTION("""COMPUTED_VALUE"""),"2.4HP")</f>
        <v>2.4HP</v>
      </c>
      <c r="I2342" s="5"/>
      <c r="J2342" s="5"/>
      <c r="K2342" s="5">
        <f>IFERROR(__xludf.DUMMYFUNCTION("""COMPUTED_VALUE"""),1.2)</f>
        <v>1.2</v>
      </c>
      <c r="L2342" s="5" t="str">
        <f>IFERROR(__xludf.DUMMYFUNCTION("""COMPUTED_VALUE"""),"KLH")</f>
        <v>KLH</v>
      </c>
    </row>
    <row r="2343">
      <c r="A2343" s="5" t="str">
        <f>IFERROR(__xludf.DUMMYFUNCTION("""COMPUTED_VALUE"""),"XL4-MKH-004")</f>
        <v>XL4-MKH-004</v>
      </c>
      <c r="B2343" s="3" t="str">
        <f>IFERROR(__xludf.DUMMYFUNCTION("""COMPUTED_VALUE"""),"Máy khoan hố cầm tay")</f>
        <v>Máy khoan hố cầm tay</v>
      </c>
      <c r="C2343" s="5" t="str">
        <f>IFERROR(__xludf.DUMMYFUNCTION("""COMPUTED_VALUE"""),"XN Chuối LP4")</f>
        <v>XN Chuối LP4</v>
      </c>
      <c r="D2343" s="5" t="str">
        <f>IFERROR(__xludf.DUMMYFUNCTION("""COMPUTED_VALUE"""),"OSHIMA")</f>
        <v>OSHIMA</v>
      </c>
      <c r="E2343" s="5" t="str">
        <f>IFERROR(__xludf.DUMMYFUNCTION("""COMPUTED_VALUE"""),"TRUNG QUỐC")</f>
        <v>TRUNG QUỐC</v>
      </c>
      <c r="F2343" s="5">
        <f>IFERROR(__xludf.DUMMYFUNCTION("""COMPUTED_VALUE"""),2022.0)</f>
        <v>2022</v>
      </c>
      <c r="G2343" s="5" t="str">
        <f>IFERROR(__xludf.DUMMYFUNCTION("""COMPUTED_VALUE"""),"2PS")</f>
        <v>2PS</v>
      </c>
      <c r="H2343" s="5" t="str">
        <f>IFERROR(__xludf.DUMMYFUNCTION("""COMPUTED_VALUE"""),"2.4HP")</f>
        <v>2.4HP</v>
      </c>
      <c r="I2343" s="5"/>
      <c r="J2343" s="5"/>
      <c r="K2343" s="5">
        <f>IFERROR(__xludf.DUMMYFUNCTION("""COMPUTED_VALUE"""),1.2)</f>
        <v>1.2</v>
      </c>
      <c r="L2343" s="5" t="str">
        <f>IFERROR(__xludf.DUMMYFUNCTION("""COMPUTED_VALUE"""),"KLH")</f>
        <v>KLH</v>
      </c>
    </row>
    <row r="2344">
      <c r="A2344" s="5" t="str">
        <f>IFERROR(__xludf.DUMMYFUNCTION("""COMPUTED_VALUE"""),"XL4-MKH-005")</f>
        <v>XL4-MKH-005</v>
      </c>
      <c r="B2344" s="3" t="str">
        <f>IFERROR(__xludf.DUMMYFUNCTION("""COMPUTED_VALUE"""),"Máy khoan hố cầm tay")</f>
        <v>Máy khoan hố cầm tay</v>
      </c>
      <c r="C2344" s="5" t="str">
        <f>IFERROR(__xludf.DUMMYFUNCTION("""COMPUTED_VALUE"""),"XN Chuối LP4")</f>
        <v>XN Chuối LP4</v>
      </c>
      <c r="D2344" s="5" t="str">
        <f>IFERROR(__xludf.DUMMYFUNCTION("""COMPUTED_VALUE"""),"OSHIMA")</f>
        <v>OSHIMA</v>
      </c>
      <c r="E2344" s="5" t="str">
        <f>IFERROR(__xludf.DUMMYFUNCTION("""COMPUTED_VALUE"""),"TRUNG QUỐC")</f>
        <v>TRUNG QUỐC</v>
      </c>
      <c r="F2344" s="5">
        <f>IFERROR(__xludf.DUMMYFUNCTION("""COMPUTED_VALUE"""),2022.0)</f>
        <v>2022</v>
      </c>
      <c r="G2344" s="5" t="str">
        <f>IFERROR(__xludf.DUMMYFUNCTION("""COMPUTED_VALUE"""),"2PS")</f>
        <v>2PS</v>
      </c>
      <c r="H2344" s="5" t="str">
        <f>IFERROR(__xludf.DUMMYFUNCTION("""COMPUTED_VALUE"""),"2.4HP")</f>
        <v>2.4HP</v>
      </c>
      <c r="I2344" s="5"/>
      <c r="J2344" s="5"/>
      <c r="K2344" s="5">
        <f>IFERROR(__xludf.DUMMYFUNCTION("""COMPUTED_VALUE"""),1.2)</f>
        <v>1.2</v>
      </c>
      <c r="L2344" s="5"/>
    </row>
    <row r="2345">
      <c r="A2345" s="5" t="str">
        <f>IFERROR(__xludf.DUMMYFUNCTION("""COMPUTED_VALUE"""),"ANDONG MEAS")</f>
        <v>ANDONG MEAS</v>
      </c>
      <c r="B2345" s="3"/>
      <c r="C2345" s="5"/>
      <c r="D2345" s="5"/>
      <c r="E2345" s="5"/>
      <c r="F2345" s="5"/>
      <c r="G2345" s="5"/>
      <c r="H2345" s="5"/>
      <c r="I2345" s="5"/>
      <c r="J2345" s="5"/>
      <c r="K2345" s="5"/>
      <c r="L2345" s="5"/>
    </row>
    <row r="2346">
      <c r="A2346" s="5" t="str">
        <f>IFERROR(__xludf.DUMMYFUNCTION("""COMPUTED_VALUE"""),"XN AD2")</f>
        <v>XN AD2</v>
      </c>
      <c r="B2346" s="3"/>
      <c r="C2346" s="5"/>
      <c r="D2346" s="5"/>
      <c r="E2346" s="5"/>
      <c r="F2346" s="5"/>
      <c r="G2346" s="5"/>
      <c r="H2346" s="5"/>
      <c r="I2346" s="5"/>
      <c r="J2346" s="5"/>
      <c r="K2346" s="5"/>
      <c r="L2346" s="5"/>
    </row>
    <row r="2347">
      <c r="A2347" s="5" t="str">
        <f>IFERROR(__xludf.DUMMYFUNCTION("""COMPUTED_VALUE"""),"XA2-MKH-001")</f>
        <v>XA2-MKH-001</v>
      </c>
      <c r="B2347" s="3" t="str">
        <f>IFERROR(__xludf.DUMMYFUNCTION("""COMPUTED_VALUE"""),"Máy khoan hố cầm tay")</f>
        <v>Máy khoan hố cầm tay</v>
      </c>
      <c r="C2347" s="5" t="str">
        <f>IFERROR(__xludf.DUMMYFUNCTION("""COMPUTED_VALUE"""),"XN Chuối AD2")</f>
        <v>XN Chuối AD2</v>
      </c>
      <c r="D2347" s="5" t="str">
        <f>IFERROR(__xludf.DUMMYFUNCTION("""COMPUTED_VALUE"""),"HINOTA")</f>
        <v>HINOTA</v>
      </c>
      <c r="E2347" s="5" t="str">
        <f>IFERROR(__xludf.DUMMYFUNCTION("""COMPUTED_VALUE"""),"TRUNG QUỐC")</f>
        <v>TRUNG QUỐC</v>
      </c>
      <c r="F2347" s="5">
        <f>IFERROR(__xludf.DUMMYFUNCTION("""COMPUTED_VALUE"""),2022.0)</f>
        <v>2022</v>
      </c>
      <c r="G2347" s="5" t="str">
        <f>IFERROR(__xludf.DUMMYFUNCTION("""COMPUTED_VALUE"""),"AG-52")</f>
        <v>AG-52</v>
      </c>
      <c r="H2347" s="5" t="str">
        <f>IFERROR(__xludf.DUMMYFUNCTION("""COMPUTED_VALUE"""),"2.4HP")</f>
        <v>2.4HP</v>
      </c>
      <c r="I2347" s="5"/>
      <c r="J2347" s="5"/>
      <c r="K2347" s="5">
        <f>IFERROR(__xludf.DUMMYFUNCTION("""COMPUTED_VALUE"""),1.2)</f>
        <v>1.2</v>
      </c>
      <c r="L2347" s="5"/>
    </row>
    <row r="2348">
      <c r="A2348" s="5" t="str">
        <f>IFERROR(__xludf.DUMMYFUNCTION("""COMPUTED_VALUE"""),"CAT AD")</f>
        <v>CAT AD</v>
      </c>
      <c r="B2348" s="3"/>
      <c r="C2348" s="5"/>
      <c r="D2348" s="5"/>
      <c r="E2348" s="5"/>
      <c r="F2348" s="5"/>
      <c r="G2348" s="5"/>
      <c r="H2348" s="5"/>
      <c r="I2348" s="5"/>
      <c r="J2348" s="5"/>
      <c r="K2348" s="5"/>
      <c r="L2348" s="5"/>
    </row>
    <row r="2349">
      <c r="A2349" s="5" t="str">
        <f>IFERROR(__xludf.DUMMYFUNCTION("""COMPUTED_VALUE"""),"XN BÒ")</f>
        <v>XN BÒ</v>
      </c>
      <c r="B2349" s="3"/>
      <c r="C2349" s="5"/>
      <c r="D2349" s="5"/>
      <c r="E2349" s="5"/>
      <c r="F2349" s="5"/>
      <c r="G2349" s="5"/>
      <c r="H2349" s="5"/>
      <c r="I2349" s="5"/>
      <c r="J2349" s="5"/>
      <c r="K2349" s="5"/>
      <c r="L2349" s="5"/>
    </row>
    <row r="2350">
      <c r="A2350" s="5" t="str">
        <f>IFERROR(__xludf.DUMMYFUNCTION("""COMPUTED_VALUE"""),"ĐƠN VỊ KHÁC")</f>
        <v>ĐƠN VỊ KHÁC</v>
      </c>
      <c r="B2350" s="3"/>
      <c r="C2350" s="5"/>
      <c r="D2350" s="5"/>
      <c r="E2350" s="5"/>
      <c r="F2350" s="5"/>
      <c r="G2350" s="5"/>
      <c r="H2350" s="5"/>
      <c r="I2350" s="5"/>
      <c r="J2350" s="5"/>
      <c r="K2350" s="5"/>
      <c r="L2350" s="5"/>
    </row>
    <row r="2351">
      <c r="A2351" s="5" t="str">
        <f>IFERROR(__xludf.DUMMYFUNCTION("""COMPUTED_VALUE"""),"TNA-MĐA-001")</f>
        <v>TNA-MĐA-001</v>
      </c>
      <c r="B2351" s="3" t="str">
        <f>IFERROR(__xludf.DUMMYFUNCTION("""COMPUTED_VALUE"""),"Máy đào gàu 0.7m3")</f>
        <v>Máy đào gàu 0.7m3</v>
      </c>
      <c r="C2351" s="5" t="str">
        <f>IFERROR(__xludf.DUMMYFUNCTION("""COMPUTED_VALUE"""),"B.ĐTXD AD")</f>
        <v>B.ĐTXD AD</v>
      </c>
      <c r="D2351" s="5" t="str">
        <f>IFERROR(__xludf.DUMMYFUNCTION("""COMPUTED_VALUE"""),"CATERPILLAR")</f>
        <v>CATERPILLAR</v>
      </c>
      <c r="E2351" s="5"/>
      <c r="F2351" s="5">
        <f>IFERROR(__xludf.DUMMYFUNCTION("""COMPUTED_VALUE"""),1987.0)</f>
        <v>1987</v>
      </c>
      <c r="G2351" s="5" t="str">
        <f>IFERROR(__xludf.DUMMYFUNCTION("""COMPUTED_VALUE"""),"E200")</f>
        <v>E200</v>
      </c>
      <c r="H2351" s="5" t="str">
        <f>IFERROR(__xludf.DUMMYFUNCTION("""COMPUTED_VALUE"""),"118HP")</f>
        <v>118HP</v>
      </c>
      <c r="I2351" s="5" t="str">
        <f>IFERROR(__xludf.DUMMYFUNCTION("""COMPUTED_VALUE"""),"10190")</f>
        <v>10190</v>
      </c>
      <c r="J2351" s="5" t="str">
        <f>IFERROR(__xludf.DUMMYFUNCTION("""COMPUTED_VALUE"""),"4GS08329")</f>
        <v>4GS08329</v>
      </c>
      <c r="K2351" s="5"/>
      <c r="L2351" s="5" t="str">
        <f>IFERROR(__xludf.DUMMYFUNCTION("""COMPUTED_VALUE"""),"-")</f>
        <v>-</v>
      </c>
    </row>
    <row r="2352">
      <c r="A2352" s="5" t="str">
        <f>IFERROR(__xludf.DUMMYFUNCTION("""COMPUTED_VALUE"""),"TNA-MĐA-002")</f>
        <v>TNA-MĐA-002</v>
      </c>
      <c r="B2352" s="3" t="str">
        <f>IFERROR(__xludf.DUMMYFUNCTION("""COMPUTED_VALUE"""),"Máy đào gàu 0.7m3")</f>
        <v>Máy đào gàu 0.7m3</v>
      </c>
      <c r="C2352" s="5" t="str">
        <f>IFERROR(__xludf.DUMMYFUNCTION("""COMPUTED_VALUE"""),"B.ĐTXD AD")</f>
        <v>B.ĐTXD AD</v>
      </c>
      <c r="D2352" s="5" t="str">
        <f>IFERROR(__xludf.DUMMYFUNCTION("""COMPUTED_VALUE"""),"CATERPILLAR")</f>
        <v>CATERPILLAR</v>
      </c>
      <c r="E2352" s="5"/>
      <c r="F2352" s="5"/>
      <c r="G2352" s="5"/>
      <c r="H2352" s="5" t="str">
        <f>IFERROR(__xludf.DUMMYFUNCTION("""COMPUTED_VALUE"""),"165HP")</f>
        <v>165HP</v>
      </c>
      <c r="I2352" s="5" t="str">
        <f>IFERROR(__xludf.DUMMYFUNCTION("""COMPUTED_VALUE"""),"86SE21EWNK0000579")</f>
        <v>86SE21EWNK0000579</v>
      </c>
      <c r="J2352" s="5" t="str">
        <f>IFERROR(__xludf.DUMMYFUNCTION("""COMPUTED_VALUE"""),"1019B004")</f>
        <v>1019B004</v>
      </c>
      <c r="K2352" s="5"/>
      <c r="L2352" s="5" t="str">
        <f>IFERROR(__xludf.DUMMYFUNCTION("""COMPUTED_VALUE"""),"-")</f>
        <v>-</v>
      </c>
    </row>
    <row r="2353">
      <c r="A2353" s="5" t="str">
        <f>IFERROR(__xludf.DUMMYFUNCTION("""COMPUTED_VALUE"""),"TNA-MĐA-003")</f>
        <v>TNA-MĐA-003</v>
      </c>
      <c r="B2353" s="3" t="str">
        <f>IFERROR(__xludf.DUMMYFUNCTION("""COMPUTED_VALUE"""),"Máy đào gàu 0.7m3")</f>
        <v>Máy đào gàu 0.7m3</v>
      </c>
      <c r="C2353" s="5" t="str">
        <f>IFERROR(__xludf.DUMMYFUNCTION("""COMPUTED_VALUE"""),"B.ĐTXD AD")</f>
        <v>B.ĐTXD AD</v>
      </c>
      <c r="D2353" s="5" t="str">
        <f>IFERROR(__xludf.DUMMYFUNCTION("""COMPUTED_VALUE"""),"VOLVO")</f>
        <v>VOLVO</v>
      </c>
      <c r="E2353" s="5"/>
      <c r="F2353" s="5">
        <f>IFERROR(__xludf.DUMMYFUNCTION("""COMPUTED_VALUE"""),2020.0)</f>
        <v>2020</v>
      </c>
      <c r="G2353" s="5" t="str">
        <f>IFERROR(__xludf.DUMMYFUNCTION("""COMPUTED_VALUE"""),"EC210DL")</f>
        <v>EC210DL</v>
      </c>
      <c r="H2353" s="5" t="str">
        <f>IFERROR(__xludf.DUMMYFUNCTION("""COMPUTED_VALUE"""),"165HP")</f>
        <v>165HP</v>
      </c>
      <c r="I2353" s="5" t="str">
        <f>IFERROR(__xludf.DUMMYFUNCTION("""COMPUTED_VALUE"""),"VCEC210DL00251710")</f>
        <v>VCEC210DL00251710</v>
      </c>
      <c r="J2353" s="5"/>
      <c r="K2353" s="5"/>
      <c r="L2353" s="5" t="str">
        <f>IFERROR(__xludf.DUMMYFUNCTION("""COMPUTED_VALUE"""),"-")</f>
        <v>-</v>
      </c>
    </row>
    <row r="2354">
      <c r="A2354" s="5" t="str">
        <f>IFERROR(__xludf.DUMMYFUNCTION("""COMPUTED_VALUE"""),"TNA-MĐA-004")</f>
        <v>TNA-MĐA-004</v>
      </c>
      <c r="B2354" s="3" t="str">
        <f>IFERROR(__xludf.DUMMYFUNCTION("""COMPUTED_VALUE"""),"Máy đào gàu 0.9m3")</f>
        <v>Máy đào gàu 0.9m3</v>
      </c>
      <c r="C2354" s="5" t="str">
        <f>IFERROR(__xludf.DUMMYFUNCTION("""COMPUTED_VALUE"""),"B.ĐTXD AD")</f>
        <v>B.ĐTXD AD</v>
      </c>
      <c r="D2354" s="5" t="str">
        <f>IFERROR(__xludf.DUMMYFUNCTION("""COMPUTED_VALUE"""),"CATERPILLAR")</f>
        <v>CATERPILLAR</v>
      </c>
      <c r="E2354" s="5"/>
      <c r="F2354" s="5">
        <f>IFERROR(__xludf.DUMMYFUNCTION("""COMPUTED_VALUE"""),1991.0)</f>
        <v>1991</v>
      </c>
      <c r="G2354" s="5" t="str">
        <f>IFERROR(__xludf.DUMMYFUNCTION("""COMPUTED_VALUE"""),"320")</f>
        <v>320</v>
      </c>
      <c r="H2354" s="5" t="str">
        <f>IFERROR(__xludf.DUMMYFUNCTION("""COMPUTED_VALUE"""),"130HP")</f>
        <v>130HP</v>
      </c>
      <c r="I2354" s="5" t="str">
        <f>IFERROR(__xludf.DUMMYFUNCTION("""COMPUTED_VALUE"""),"2DL-01634")</f>
        <v>2DL-01634</v>
      </c>
      <c r="J2354" s="5" t="str">
        <f>IFERROR(__xludf.DUMMYFUNCTION("""COMPUTED_VALUE"""),"7JK-17607")</f>
        <v>7JK-17607</v>
      </c>
      <c r="K2354" s="5"/>
      <c r="L2354" s="5" t="str">
        <f>IFERROR(__xludf.DUMMYFUNCTION("""COMPUTED_VALUE"""),"-")</f>
        <v>-</v>
      </c>
    </row>
    <row r="2355">
      <c r="A2355" s="5" t="str">
        <f>IFERROR(__xludf.DUMMYFUNCTION("""COMPUTED_VALUE"""),"TNA-MĐA-005")</f>
        <v>TNA-MĐA-005</v>
      </c>
      <c r="B2355" s="3" t="str">
        <f>IFERROR(__xludf.DUMMYFUNCTION("""COMPUTED_VALUE"""),"Máy đào gàu 0.9m3")</f>
        <v>Máy đào gàu 0.9m3</v>
      </c>
      <c r="C2355" s="5" t="str">
        <f>IFERROR(__xludf.DUMMYFUNCTION("""COMPUTED_VALUE"""),"B.ĐTXD AD")</f>
        <v>B.ĐTXD AD</v>
      </c>
      <c r="D2355" s="5" t="str">
        <f>IFERROR(__xludf.DUMMYFUNCTION("""COMPUTED_VALUE"""),"CATERPILLAR")</f>
        <v>CATERPILLAR</v>
      </c>
      <c r="E2355" s="5"/>
      <c r="F2355" s="5">
        <f>IFERROR(__xludf.DUMMYFUNCTION("""COMPUTED_VALUE"""),1990.0)</f>
        <v>1990</v>
      </c>
      <c r="G2355" s="5" t="str">
        <f>IFERROR(__xludf.DUMMYFUNCTION("""COMPUTED_VALUE"""),"320B")</f>
        <v>320B</v>
      </c>
      <c r="H2355" s="5" t="str">
        <f>IFERROR(__xludf.DUMMYFUNCTION("""COMPUTED_VALUE"""),"130HP")</f>
        <v>130HP</v>
      </c>
      <c r="I2355" s="5"/>
      <c r="J2355" s="5" t="str">
        <f>IFERROR(__xludf.DUMMYFUNCTION("""COMPUTED_VALUE"""),"3MR03398")</f>
        <v>3MR03398</v>
      </c>
      <c r="K2355" s="5"/>
      <c r="L2355" s="5" t="str">
        <f>IFERROR(__xludf.DUMMYFUNCTION("""COMPUTED_VALUE"""),"-")</f>
        <v>-</v>
      </c>
    </row>
    <row r="2356">
      <c r="A2356" s="5" t="str">
        <f>IFERROR(__xludf.DUMMYFUNCTION("""COMPUTED_VALUE"""),"TNA-MĐA-006")</f>
        <v>TNA-MĐA-006</v>
      </c>
      <c r="B2356" s="3" t="str">
        <f>IFERROR(__xludf.DUMMYFUNCTION("""COMPUTED_VALUE"""),"Máy đào gàu 0.9m3")</f>
        <v>Máy đào gàu 0.9m3</v>
      </c>
      <c r="C2356" s="5" t="str">
        <f>IFERROR(__xludf.DUMMYFUNCTION("""COMPUTED_VALUE"""),"B.ĐTXD AD")</f>
        <v>B.ĐTXD AD</v>
      </c>
      <c r="D2356" s="5" t="str">
        <f>IFERROR(__xludf.DUMMYFUNCTION("""COMPUTED_VALUE"""),"CATERPILLAR")</f>
        <v>CATERPILLAR</v>
      </c>
      <c r="E2356" s="5"/>
      <c r="F2356" s="5">
        <f>IFERROR(__xludf.DUMMYFUNCTION("""COMPUTED_VALUE"""),1990.0)</f>
        <v>1990</v>
      </c>
      <c r="G2356" s="5" t="str">
        <f>IFERROR(__xludf.DUMMYFUNCTION("""COMPUTED_VALUE"""),"320BL")</f>
        <v>320BL</v>
      </c>
      <c r="H2356" s="5" t="str">
        <f>IFERROR(__xludf.DUMMYFUNCTION("""COMPUTED_VALUE"""),"134HP")</f>
        <v>134HP</v>
      </c>
      <c r="I2356" s="5"/>
      <c r="J2356" s="5" t="str">
        <f>IFERROR(__xludf.DUMMYFUNCTION("""COMPUTED_VALUE"""),"MAE22338")</f>
        <v>MAE22338</v>
      </c>
      <c r="K2356" s="5"/>
      <c r="L2356" s="5" t="str">
        <f>IFERROR(__xludf.DUMMYFUNCTION("""COMPUTED_VALUE"""),"-")</f>
        <v>-</v>
      </c>
    </row>
    <row r="2357">
      <c r="A2357" s="5" t="str">
        <f>IFERROR(__xludf.DUMMYFUNCTION("""COMPUTED_VALUE"""),"TNA-MĐA-007")</f>
        <v>TNA-MĐA-007</v>
      </c>
      <c r="B2357" s="3" t="str">
        <f>IFERROR(__xludf.DUMMYFUNCTION("""COMPUTED_VALUE"""),"Máy đào gàu 0.8m3")</f>
        <v>Máy đào gàu 0.8m3</v>
      </c>
      <c r="C2357" s="5" t="str">
        <f>IFERROR(__xludf.DUMMYFUNCTION("""COMPUTED_VALUE"""),"B.ĐTXD AD")</f>
        <v>B.ĐTXD AD</v>
      </c>
      <c r="D2357" s="5" t="str">
        <f>IFERROR(__xludf.DUMMYFUNCTION("""COMPUTED_VALUE"""),"XCMG")</f>
        <v>XCMG</v>
      </c>
      <c r="E2357" s="5"/>
      <c r="F2357" s="5">
        <f>IFERROR(__xludf.DUMMYFUNCTION("""COMPUTED_VALUE"""),2017.0)</f>
        <v>2017</v>
      </c>
      <c r="G2357" s="5" t="str">
        <f>IFERROR(__xludf.DUMMYFUNCTION("""COMPUTED_VALUE"""),"XE215C")</f>
        <v>XE215C</v>
      </c>
      <c r="H2357" s="5" t="str">
        <f>IFERROR(__xludf.DUMMYFUNCTION("""COMPUTED_VALUE"""),"172HP")</f>
        <v>172HP</v>
      </c>
      <c r="I2357" s="5" t="str">
        <f>IFERROR(__xludf.DUMMYFUNCTION("""COMPUTED_VALUE"""),"XUG0215ACHKA00838")</f>
        <v>XUG0215ACHKA00838</v>
      </c>
      <c r="J2357" s="5" t="str">
        <f>IFERROR(__xludf.DUMMYFUNCTION("""COMPUTED_VALUE"""),"GBG1-368736")</f>
        <v>GBG1-368736</v>
      </c>
      <c r="K2357" s="5"/>
      <c r="L2357" s="5" t="str">
        <f>IFERROR(__xludf.DUMMYFUNCTION("""COMPUTED_VALUE"""),"-")</f>
        <v>-</v>
      </c>
    </row>
    <row r="2358">
      <c r="A2358" s="5" t="str">
        <f>IFERROR(__xludf.DUMMYFUNCTION("""COMPUTED_VALUE"""),"TNA-MĐA-008")</f>
        <v>TNA-MĐA-008</v>
      </c>
      <c r="B2358" s="3" t="str">
        <f>IFERROR(__xludf.DUMMYFUNCTION("""COMPUTED_VALUE"""),"Máy đào gàu 0.8m3")</f>
        <v>Máy đào gàu 0.8m3</v>
      </c>
      <c r="C2358" s="5" t="str">
        <f>IFERROR(__xludf.DUMMYFUNCTION("""COMPUTED_VALUE"""),"B.ĐTXD AD")</f>
        <v>B.ĐTXD AD</v>
      </c>
      <c r="D2358" s="5" t="str">
        <f>IFERROR(__xludf.DUMMYFUNCTION("""COMPUTED_VALUE"""),"XCMG")</f>
        <v>XCMG</v>
      </c>
      <c r="E2358" s="5"/>
      <c r="F2358" s="5">
        <f>IFERROR(__xludf.DUMMYFUNCTION("""COMPUTED_VALUE"""),2017.0)</f>
        <v>2017</v>
      </c>
      <c r="G2358" s="5" t="str">
        <f>IFERROR(__xludf.DUMMYFUNCTION("""COMPUTED_VALUE"""),"XE215C")</f>
        <v>XE215C</v>
      </c>
      <c r="H2358" s="5" t="str">
        <f>IFERROR(__xludf.DUMMYFUNCTION("""COMPUTED_VALUE"""),"172HP")</f>
        <v>172HP</v>
      </c>
      <c r="I2358" s="5" t="str">
        <f>IFERROR(__xludf.DUMMYFUNCTION("""COMPUTED_VALUE"""),"XUG0215ATHKA00839")</f>
        <v>XUG0215ATHKA00839</v>
      </c>
      <c r="J2358" s="5" t="str">
        <f>IFERROR(__xludf.DUMMYFUNCTION("""COMPUTED_VALUE"""),"6BG1-368737")</f>
        <v>6BG1-368737</v>
      </c>
      <c r="K2358" s="5"/>
      <c r="L2358" s="5" t="str">
        <f>IFERROR(__xludf.DUMMYFUNCTION("""COMPUTED_VALUE"""),"-")</f>
        <v>-</v>
      </c>
    </row>
    <row r="2359">
      <c r="A2359" s="5" t="str">
        <f>IFERROR(__xludf.DUMMYFUNCTION("""COMPUTED_VALUE"""),"TNA-MĐA-009")</f>
        <v>TNA-MĐA-009</v>
      </c>
      <c r="B2359" s="3" t="str">
        <f>IFERROR(__xludf.DUMMYFUNCTION("""COMPUTED_VALUE"""),"Máy đào gàu 1.2m3")</f>
        <v>Máy đào gàu 1.2m3</v>
      </c>
      <c r="C2359" s="5" t="str">
        <f>IFERROR(__xludf.DUMMYFUNCTION("""COMPUTED_VALUE"""),"B.ĐTXD AD")</f>
        <v>B.ĐTXD AD</v>
      </c>
      <c r="D2359" s="5" t="str">
        <f>IFERROR(__xludf.DUMMYFUNCTION("""COMPUTED_VALUE"""),"KOBELCO")</f>
        <v>KOBELCO</v>
      </c>
      <c r="E2359" s="5"/>
      <c r="F2359" s="5">
        <f>IFERROR(__xludf.DUMMYFUNCTION("""COMPUTED_VALUE"""),2021.0)</f>
        <v>2021</v>
      </c>
      <c r="G2359" s="5" t="str">
        <f>IFERROR(__xludf.DUMMYFUNCTION("""COMPUTED_VALUE"""),"SK200")</f>
        <v>SK200</v>
      </c>
      <c r="H2359" s="5" t="str">
        <f>IFERROR(__xludf.DUMMYFUNCTION("""COMPUTED_VALUE"""),"159HP")</f>
        <v>159HP</v>
      </c>
      <c r="I2359" s="5" t="str">
        <f>IFERROR(__xludf.DUMMYFUNCTION("""COMPUTED_VALUE"""),"IN15429723")</f>
        <v>IN15429723</v>
      </c>
      <c r="J2359" s="5" t="str">
        <f>IFERROR(__xludf.DUMMYFUNCTION("""COMPUTED_VALUE"""),"J05ETG47005")</f>
        <v>J05ETG47005</v>
      </c>
      <c r="K2359" s="5"/>
      <c r="L2359" s="5" t="str">
        <f>IFERROR(__xludf.DUMMYFUNCTION("""COMPUTED_VALUE"""),"-")</f>
        <v>-</v>
      </c>
    </row>
    <row r="2360">
      <c r="A2360" s="5" t="str">
        <f>IFERROR(__xludf.DUMMYFUNCTION("""COMPUTED_VALUE"""),"TNA-MĐA-010")</f>
        <v>TNA-MĐA-010</v>
      </c>
      <c r="B2360" s="3" t="str">
        <f>IFERROR(__xludf.DUMMYFUNCTION("""COMPUTED_VALUE"""),"Máy đào gàu 0.5m3")</f>
        <v>Máy đào gàu 0.5m3</v>
      </c>
      <c r="C2360" s="5" t="str">
        <f>IFERROR(__xludf.DUMMYFUNCTION("""COMPUTED_VALUE"""),"B.ĐTXD AD")</f>
        <v>B.ĐTXD AD</v>
      </c>
      <c r="D2360" s="5" t="str">
        <f>IFERROR(__xludf.DUMMYFUNCTION("""COMPUTED_VALUE"""),"KOMATSU")</f>
        <v>KOMATSU</v>
      </c>
      <c r="E2360" s="5"/>
      <c r="F2360" s="5">
        <f>IFERROR(__xludf.DUMMYFUNCTION("""COMPUTED_VALUE"""),2018.0)</f>
        <v>2018</v>
      </c>
      <c r="G2360" s="5" t="str">
        <f>IFERROR(__xludf.DUMMYFUNCTION("""COMPUTED_VALUE"""),"312B")</f>
        <v>312B</v>
      </c>
      <c r="H2360" s="5" t="str">
        <f>IFERROR(__xludf.DUMMYFUNCTION("""COMPUTED_VALUE"""),"84HP")</f>
        <v>84HP</v>
      </c>
      <c r="I2360" s="5" t="str">
        <f>IFERROR(__xludf.DUMMYFUNCTION("""COMPUTED_VALUE"""),"9HR01664")</f>
        <v>9HR01664</v>
      </c>
      <c r="J2360" s="5" t="str">
        <f>IFERROR(__xludf.DUMMYFUNCTION("""COMPUTED_VALUE"""),"6LK15322")</f>
        <v>6LK15322</v>
      </c>
      <c r="K2360" s="5"/>
      <c r="L2360" s="5" t="str">
        <f>IFERROR(__xludf.DUMMYFUNCTION("""COMPUTED_VALUE"""),"-")</f>
        <v>-</v>
      </c>
    </row>
    <row r="2361">
      <c r="A2361" s="5" t="str">
        <f>IFERROR(__xludf.DUMMYFUNCTION("""COMPUTED_VALUE"""),"TNA-MĐA-011")</f>
        <v>TNA-MĐA-011</v>
      </c>
      <c r="B2361" s="3" t="str">
        <f>IFERROR(__xludf.DUMMYFUNCTION("""COMPUTED_VALUE"""),"Máy đào gàu 0.8m3")</f>
        <v>Máy đào gàu 0.8m3</v>
      </c>
      <c r="C2361" s="5" t="str">
        <f>IFERROR(__xludf.DUMMYFUNCTION("""COMPUTED_VALUE"""),"B.ĐTXD AD")</f>
        <v>B.ĐTXD AD</v>
      </c>
      <c r="D2361" s="5" t="str">
        <f>IFERROR(__xludf.DUMMYFUNCTION("""COMPUTED_VALUE"""),"KOBELCO")</f>
        <v>KOBELCO</v>
      </c>
      <c r="E2361" s="5"/>
      <c r="F2361" s="5">
        <f>IFERROR(__xludf.DUMMYFUNCTION("""COMPUTED_VALUE"""),2021.0)</f>
        <v>2021</v>
      </c>
      <c r="G2361" s="5" t="str">
        <f>IFERROR(__xludf.DUMMYFUNCTION("""COMPUTED_VALUE"""),"SK210LC")</f>
        <v>SK210LC</v>
      </c>
      <c r="H2361" s="5" t="str">
        <f>IFERROR(__xludf.DUMMYFUNCTION("""COMPUTED_VALUE"""),"159HP")</f>
        <v>159HP</v>
      </c>
      <c r="I2361" s="5" t="str">
        <f>IFERROR(__xludf.DUMMYFUNCTION("""COMPUTED_VALUE"""),"YQ15405443")</f>
        <v>YQ15405443</v>
      </c>
      <c r="J2361" s="5" t="str">
        <f>IFERROR(__xludf.DUMMYFUNCTION("""COMPUTED_VALUE"""),"J05ETG46460")</f>
        <v>J05ETG46460</v>
      </c>
      <c r="K2361" s="5"/>
      <c r="L2361" s="5" t="str">
        <f>IFERROR(__xludf.DUMMYFUNCTION("""COMPUTED_VALUE"""),"-")</f>
        <v>-</v>
      </c>
    </row>
    <row r="2362">
      <c r="A2362" s="5" t="str">
        <f>IFERROR(__xludf.DUMMYFUNCTION("""COMPUTED_VALUE"""),"TNA-MĐA-012")</f>
        <v>TNA-MĐA-012</v>
      </c>
      <c r="B2362" s="3" t="str">
        <f>IFERROR(__xludf.DUMMYFUNCTION("""COMPUTED_VALUE"""),"Máy đào gàu 1.2m3")</f>
        <v>Máy đào gàu 1.2m3</v>
      </c>
      <c r="C2362" s="5" t="str">
        <f>IFERROR(__xludf.DUMMYFUNCTION("""COMPUTED_VALUE"""),"B.ĐTXD AD")</f>
        <v>B.ĐTXD AD</v>
      </c>
      <c r="D2362" s="5" t="str">
        <f>IFERROR(__xludf.DUMMYFUNCTION("""COMPUTED_VALUE"""),"CATERPILLAR")</f>
        <v>CATERPILLAR</v>
      </c>
      <c r="E2362" s="5"/>
      <c r="F2362" s="5">
        <f>IFERROR(__xludf.DUMMYFUNCTION("""COMPUTED_VALUE"""),2007.0)</f>
        <v>2007</v>
      </c>
      <c r="G2362" s="5" t="str">
        <f>IFERROR(__xludf.DUMMYFUNCTION("""COMPUTED_VALUE"""),"320D")</f>
        <v>320D</v>
      </c>
      <c r="H2362" s="5" t="str">
        <f>IFERROR(__xludf.DUMMYFUNCTION("""COMPUTED_VALUE"""),"150HP")</f>
        <v>150HP</v>
      </c>
      <c r="I2362" s="5" t="str">
        <f>IFERROR(__xludf.DUMMYFUNCTION("""COMPUTED_VALUE"""),"CAT0320DHBWZ01545")</f>
        <v>CAT0320DHBWZ01545</v>
      </c>
      <c r="J2362" s="5" t="str">
        <f>IFERROR(__xludf.DUMMYFUNCTION("""COMPUTED_VALUE"""),"GDC06601")</f>
        <v>GDC06601</v>
      </c>
      <c r="K2362" s="5"/>
      <c r="L2362" s="5" t="str">
        <f>IFERROR(__xludf.DUMMYFUNCTION("""COMPUTED_VALUE"""),"-")</f>
        <v>-</v>
      </c>
    </row>
    <row r="2363">
      <c r="A2363" s="5" t="str">
        <f>IFERROR(__xludf.DUMMYFUNCTION("""COMPUTED_VALUE"""),"TNA-MĐA-013")</f>
        <v>TNA-MĐA-013</v>
      </c>
      <c r="B2363" s="3" t="str">
        <f>IFERROR(__xludf.DUMMYFUNCTION("""COMPUTED_VALUE"""),"Máy đào gàu 0.5m3")</f>
        <v>Máy đào gàu 0.5m3</v>
      </c>
      <c r="C2363" s="5" t="str">
        <f>IFERROR(__xludf.DUMMYFUNCTION("""COMPUTED_VALUE"""),"B.ĐTXD AD")</f>
        <v>B.ĐTXD AD</v>
      </c>
      <c r="D2363" s="5" t="str">
        <f>IFERROR(__xludf.DUMMYFUNCTION("""COMPUTED_VALUE"""),"CATERPILLAR")</f>
        <v>CATERPILLAR</v>
      </c>
      <c r="E2363" s="5"/>
      <c r="F2363" s="5">
        <f>IFERROR(__xludf.DUMMYFUNCTION("""COMPUTED_VALUE"""),1995.0)</f>
        <v>1995</v>
      </c>
      <c r="G2363" s="5" t="str">
        <f>IFERROR(__xludf.DUMMYFUNCTION("""COMPUTED_VALUE"""),"315BL")</f>
        <v>315BL</v>
      </c>
      <c r="H2363" s="5" t="str">
        <f>IFERROR(__xludf.DUMMYFUNCTION("""COMPUTED_VALUE"""),"113HP")</f>
        <v>113HP</v>
      </c>
      <c r="I2363" s="5" t="str">
        <f>IFERROR(__xludf.DUMMYFUNCTION("""COMPUTED_VALUE"""),"6RM00698")</f>
        <v>6RM00698</v>
      </c>
      <c r="J2363" s="5" t="str">
        <f>IFERROR(__xludf.DUMMYFUNCTION("""COMPUTED_VALUE"""),"5XK05500")</f>
        <v>5XK05500</v>
      </c>
      <c r="K2363" s="5"/>
      <c r="L2363" s="5" t="str">
        <f>IFERROR(__xludf.DUMMYFUNCTION("""COMPUTED_VALUE"""),"-")</f>
        <v>-</v>
      </c>
    </row>
    <row r="2364">
      <c r="A2364" s="5" t="str">
        <f>IFERROR(__xludf.DUMMYFUNCTION("""COMPUTED_VALUE"""),"TNA-MĐA-014")</f>
        <v>TNA-MĐA-014</v>
      </c>
      <c r="B2364" s="3" t="str">
        <f>IFERROR(__xludf.DUMMYFUNCTION("""COMPUTED_VALUE"""),"Máy đào gàu 0.5m3")</f>
        <v>Máy đào gàu 0.5m3</v>
      </c>
      <c r="C2364" s="5" t="str">
        <f>IFERROR(__xludf.DUMMYFUNCTION("""COMPUTED_VALUE"""),"B.ĐTXD AD")</f>
        <v>B.ĐTXD AD</v>
      </c>
      <c r="D2364" s="5" t="str">
        <f>IFERROR(__xludf.DUMMYFUNCTION("""COMPUTED_VALUE"""),"CATERPILLAR")</f>
        <v>CATERPILLAR</v>
      </c>
      <c r="E2364" s="5"/>
      <c r="F2364" s="5">
        <f>IFERROR(__xludf.DUMMYFUNCTION("""COMPUTED_VALUE"""),1994.0)</f>
        <v>1994</v>
      </c>
      <c r="G2364" s="5" t="str">
        <f>IFERROR(__xludf.DUMMYFUNCTION("""COMPUTED_VALUE"""),"315BL")</f>
        <v>315BL</v>
      </c>
      <c r="H2364" s="5" t="str">
        <f>IFERROR(__xludf.DUMMYFUNCTION("""COMPUTED_VALUE"""),"113HP")</f>
        <v>113HP</v>
      </c>
      <c r="I2364" s="5" t="str">
        <f>IFERROR(__xludf.DUMMYFUNCTION("""COMPUTED_VALUE"""),"6RM00912")</f>
        <v>6RM00912</v>
      </c>
      <c r="J2364" s="5" t="str">
        <f>IFERROR(__xludf.DUMMYFUNCTION("""COMPUTED_VALUE"""),"5XK06041")</f>
        <v>5XK06041</v>
      </c>
      <c r="K2364" s="5"/>
      <c r="L2364" s="5" t="str">
        <f>IFERROR(__xludf.DUMMYFUNCTION("""COMPUTED_VALUE"""),"-")</f>
        <v>-</v>
      </c>
    </row>
    <row r="2365">
      <c r="A2365" s="5" t="str">
        <f>IFERROR(__xludf.DUMMYFUNCTION("""COMPUTED_VALUE"""),"TNA-MĐA-015")</f>
        <v>TNA-MĐA-015</v>
      </c>
      <c r="B2365" s="3" t="str">
        <f>IFERROR(__xludf.DUMMYFUNCTION("""COMPUTED_VALUE"""),"Máy đào gàu 0.5m3")</f>
        <v>Máy đào gàu 0.5m3</v>
      </c>
      <c r="C2365" s="5" t="str">
        <f>IFERROR(__xludf.DUMMYFUNCTION("""COMPUTED_VALUE"""),"B.ĐTXD AD")</f>
        <v>B.ĐTXD AD</v>
      </c>
      <c r="D2365" s="5" t="str">
        <f>IFERROR(__xludf.DUMMYFUNCTION("""COMPUTED_VALUE"""),"CATERPILLAR")</f>
        <v>CATERPILLAR</v>
      </c>
      <c r="E2365" s="5"/>
      <c r="F2365" s="5">
        <f>IFERROR(__xludf.DUMMYFUNCTION("""COMPUTED_VALUE"""),2021.0)</f>
        <v>2021</v>
      </c>
      <c r="G2365" s="5" t="str">
        <f>IFERROR(__xludf.DUMMYFUNCTION("""COMPUTED_VALUE"""),"313D")</f>
        <v>313D</v>
      </c>
      <c r="H2365" s="5" t="str">
        <f>IFERROR(__xludf.DUMMYFUNCTION("""COMPUTED_VALUE"""),"100HP")</f>
        <v>100HP</v>
      </c>
      <c r="I2365" s="5" t="str">
        <f>IFERROR(__xludf.DUMMYFUNCTION("""COMPUTED_VALUE"""),"CAT0313DV GAP17549")</f>
        <v>CAT0313DV GAP17549</v>
      </c>
      <c r="J2365" s="5" t="str">
        <f>IFERROR(__xludf.DUMMYFUNCTION("""COMPUTED_VALUE"""),"MFX11725")</f>
        <v>MFX11725</v>
      </c>
      <c r="K2365" s="5"/>
      <c r="L2365" s="5" t="str">
        <f>IFERROR(__xludf.DUMMYFUNCTION("""COMPUTED_VALUE"""),"-")</f>
        <v>-</v>
      </c>
    </row>
    <row r="2366">
      <c r="A2366" s="5" t="str">
        <f>IFERROR(__xludf.DUMMYFUNCTION("""COMPUTED_VALUE"""),"TNA-MĐA-016")</f>
        <v>TNA-MĐA-016</v>
      </c>
      <c r="B2366" s="3" t="str">
        <f>IFERROR(__xludf.DUMMYFUNCTION("""COMPUTED_VALUE"""),"Máy đào gàu 0.8m3")</f>
        <v>Máy đào gàu 0.8m3</v>
      </c>
      <c r="C2366" s="5" t="str">
        <f>IFERROR(__xludf.DUMMYFUNCTION("""COMPUTED_VALUE"""),"B.ĐTXD AD")</f>
        <v>B.ĐTXD AD</v>
      </c>
      <c r="D2366" s="5" t="str">
        <f>IFERROR(__xludf.DUMMYFUNCTION("""COMPUTED_VALUE"""),"KOMATSU")</f>
        <v>KOMATSU</v>
      </c>
      <c r="E2366" s="5"/>
      <c r="F2366" s="5">
        <f>IFERROR(__xludf.DUMMYFUNCTION("""COMPUTED_VALUE"""),2020.0)</f>
        <v>2020</v>
      </c>
      <c r="G2366" s="5" t="str">
        <f>IFERROR(__xludf.DUMMYFUNCTION("""COMPUTED_VALUE"""),"PC210-10M0")</f>
        <v>PC210-10M0</v>
      </c>
      <c r="H2366" s="5" t="str">
        <f>IFERROR(__xludf.DUMMYFUNCTION("""COMPUTED_VALUE"""),"165HP")</f>
        <v>165HP</v>
      </c>
      <c r="I2366" s="5" t="str">
        <f>IFERROR(__xludf.DUMMYFUNCTION("""COMPUTED_VALUE"""),"KMTPC282KLTC02817")</f>
        <v>KMTPC282KLTC02817</v>
      </c>
      <c r="J2366" s="5" t="str">
        <f>IFERROR(__xludf.DUMMYFUNCTION("""COMPUTED_VALUE"""),"6D107-26729616")</f>
        <v>6D107-26729616</v>
      </c>
      <c r="K2366" s="5"/>
      <c r="L2366" s="5" t="str">
        <f>IFERROR(__xludf.DUMMYFUNCTION("""COMPUTED_VALUE"""),"-")</f>
        <v>-</v>
      </c>
    </row>
    <row r="2367">
      <c r="A2367" s="5" t="str">
        <f>IFERROR(__xludf.DUMMYFUNCTION("""COMPUTED_VALUE"""),"TNA-MĐA-017")</f>
        <v>TNA-MĐA-017</v>
      </c>
      <c r="B2367" s="3" t="str">
        <f>IFERROR(__xludf.DUMMYFUNCTION("""COMPUTED_VALUE"""),"Máy đào gàu 0.9m3")</f>
        <v>Máy đào gàu 0.9m3</v>
      </c>
      <c r="C2367" s="5" t="str">
        <f>IFERROR(__xludf.DUMMYFUNCTION("""COMPUTED_VALUE"""),"B.ĐTXD AD")</f>
        <v>B.ĐTXD AD</v>
      </c>
      <c r="D2367" s="5" t="str">
        <f>IFERROR(__xludf.DUMMYFUNCTION("""COMPUTED_VALUE"""),"CATERPILLAR")</f>
        <v>CATERPILLAR</v>
      </c>
      <c r="E2367" s="5"/>
      <c r="F2367" s="5">
        <f>IFERROR(__xludf.DUMMYFUNCTION("""COMPUTED_VALUE"""),2019.0)</f>
        <v>2019</v>
      </c>
      <c r="G2367" s="5" t="str">
        <f>IFERROR(__xludf.DUMMYFUNCTION("""COMPUTED_VALUE"""),"320D")</f>
        <v>320D</v>
      </c>
      <c r="H2367" s="5" t="str">
        <f>IFERROR(__xludf.DUMMYFUNCTION("""COMPUTED_VALUE"""),"150HP")</f>
        <v>150HP</v>
      </c>
      <c r="I2367" s="5" t="str">
        <f>IFERROR(__xludf.DUMMYFUNCTION("""COMPUTED_VALUE"""),"CAT00320V2BN12250")</f>
        <v>CAT00320V2BN12250</v>
      </c>
      <c r="J2367" s="5" t="str">
        <f>IFERROR(__xludf.DUMMYFUNCTION("""COMPUTED_VALUE"""),"E7A29507")</f>
        <v>E7A29507</v>
      </c>
      <c r="K2367" s="5"/>
      <c r="L2367" s="5" t="str">
        <f>IFERROR(__xludf.DUMMYFUNCTION("""COMPUTED_VALUE"""),"-")</f>
        <v>-</v>
      </c>
    </row>
    <row r="2368">
      <c r="A2368" s="5" t="str">
        <f>IFERROR(__xludf.DUMMYFUNCTION("""COMPUTED_VALUE"""),"TNA-MĐA-018")</f>
        <v>TNA-MĐA-018</v>
      </c>
      <c r="B2368" s="3" t="str">
        <f>IFERROR(__xludf.DUMMYFUNCTION("""COMPUTED_VALUE"""),"Máy đào gàu 0.9m3")</f>
        <v>Máy đào gàu 0.9m3</v>
      </c>
      <c r="C2368" s="5" t="str">
        <f>IFERROR(__xludf.DUMMYFUNCTION("""COMPUTED_VALUE"""),"B.ĐTXD AD")</f>
        <v>B.ĐTXD AD</v>
      </c>
      <c r="D2368" s="5" t="str">
        <f>IFERROR(__xludf.DUMMYFUNCTION("""COMPUTED_VALUE"""),"CATERPILLAR")</f>
        <v>CATERPILLAR</v>
      </c>
      <c r="E2368" s="5"/>
      <c r="F2368" s="5">
        <f>IFERROR(__xludf.DUMMYFUNCTION("""COMPUTED_VALUE"""),2009.0)</f>
        <v>2009</v>
      </c>
      <c r="G2368" s="5" t="str">
        <f>IFERROR(__xludf.DUMMYFUNCTION("""COMPUTED_VALUE"""),"320D")</f>
        <v>320D</v>
      </c>
      <c r="H2368" s="5" t="str">
        <f>IFERROR(__xludf.DUMMYFUNCTION("""COMPUTED_VALUE"""),"150HP")</f>
        <v>150HP</v>
      </c>
      <c r="I2368" s="5" t="str">
        <f>IFERROR(__xludf.DUMMYFUNCTION("""COMPUTED_VALUE"""),"CAT0320DCSN300472")</f>
        <v>CAT0320DCSN300472</v>
      </c>
      <c r="J2368" s="5" t="str">
        <f>IFERROR(__xludf.DUMMYFUNCTION("""COMPUTED_VALUE"""),"GDC62121")</f>
        <v>GDC62121</v>
      </c>
      <c r="K2368" s="5"/>
      <c r="L2368" s="5" t="str">
        <f>IFERROR(__xludf.DUMMYFUNCTION("""COMPUTED_VALUE"""),"-")</f>
        <v>-</v>
      </c>
    </row>
    <row r="2369">
      <c r="A2369" s="5" t="str">
        <f>IFERROR(__xludf.DUMMYFUNCTION("""COMPUTED_VALUE"""),"TNA-MĐA-019")</f>
        <v>TNA-MĐA-019</v>
      </c>
      <c r="B2369" s="3" t="str">
        <f>IFERROR(__xludf.DUMMYFUNCTION("""COMPUTED_VALUE"""),"Máy đào gàu 0.9m3")</f>
        <v>Máy đào gàu 0.9m3</v>
      </c>
      <c r="C2369" s="5" t="str">
        <f>IFERROR(__xludf.DUMMYFUNCTION("""COMPUTED_VALUE"""),"B.ĐTXD AD")</f>
        <v>B.ĐTXD AD</v>
      </c>
      <c r="D2369" s="5" t="str">
        <f>IFERROR(__xludf.DUMMYFUNCTION("""COMPUTED_VALUE"""),"MATADOR")</f>
        <v>MATADOR</v>
      </c>
      <c r="E2369" s="5"/>
      <c r="F2369" s="5">
        <f>IFERROR(__xludf.DUMMYFUNCTION("""COMPUTED_VALUE"""),2019.0)</f>
        <v>2019</v>
      </c>
      <c r="G2369" s="5" t="str">
        <f>IFERROR(__xludf.DUMMYFUNCTION("""COMPUTED_VALUE"""),"ME220")</f>
        <v>ME220</v>
      </c>
      <c r="H2369" s="5" t="str">
        <f>IFERROR(__xludf.DUMMYFUNCTION("""COMPUTED_VALUE"""),"150HP")</f>
        <v>150HP</v>
      </c>
      <c r="I2369" s="5" t="str">
        <f>IFERROR(__xludf.DUMMYFUNCTION("""COMPUTED_VALUE"""),"86SE21EW NK0000575")</f>
        <v>86SE21EW NK0000575</v>
      </c>
      <c r="J2369" s="5" t="str">
        <f>IFERROR(__xludf.DUMMYFUNCTION("""COMPUTED_VALUE"""),"1019B 005278")</f>
        <v>1019B 005278</v>
      </c>
      <c r="K2369" s="5"/>
      <c r="L2369" s="5" t="str">
        <f>IFERROR(__xludf.DUMMYFUNCTION("""COMPUTED_VALUE"""),"-")</f>
        <v>-</v>
      </c>
    </row>
    <row r="2370">
      <c r="A2370" s="5" t="str">
        <f>IFERROR(__xludf.DUMMYFUNCTION("""COMPUTED_VALUE"""),"TNA-MĐA-020")</f>
        <v>TNA-MĐA-020</v>
      </c>
      <c r="B2370" s="3" t="str">
        <f>IFERROR(__xludf.DUMMYFUNCTION("""COMPUTED_VALUE"""),"Máy đào gàu 0.8m3")</f>
        <v>Máy đào gàu 0.8m3</v>
      </c>
      <c r="C2370" s="5" t="str">
        <f>IFERROR(__xludf.DUMMYFUNCTION("""COMPUTED_VALUE"""),"B.ĐTXD AD")</f>
        <v>B.ĐTXD AD</v>
      </c>
      <c r="D2370" s="5" t="str">
        <f>IFERROR(__xludf.DUMMYFUNCTION("""COMPUTED_VALUE"""),"CATERPILLAR")</f>
        <v>CATERPILLAR</v>
      </c>
      <c r="E2370" s="5"/>
      <c r="F2370" s="5">
        <f>IFERROR(__xludf.DUMMYFUNCTION("""COMPUTED_VALUE"""),1990.0)</f>
        <v>1990</v>
      </c>
      <c r="G2370" s="5" t="str">
        <f>IFERROR(__xludf.DUMMYFUNCTION("""COMPUTED_VALUE"""),"320BL")</f>
        <v>320BL</v>
      </c>
      <c r="H2370" s="5" t="str">
        <f>IFERROR(__xludf.DUMMYFUNCTION("""COMPUTED_VALUE"""),"134HP")</f>
        <v>134HP</v>
      </c>
      <c r="I2370" s="5" t="str">
        <f>IFERROR(__xludf.DUMMYFUNCTION("""COMPUTED_VALUE"""),"6CR02736")</f>
        <v>6CR02736</v>
      </c>
      <c r="J2370" s="5" t="str">
        <f>IFERROR(__xludf.DUMMYFUNCTION("""COMPUTED_VALUE"""),"MAE22338")</f>
        <v>MAE22338</v>
      </c>
      <c r="K2370" s="5"/>
      <c r="L2370" s="5" t="str">
        <f>IFERROR(__xludf.DUMMYFUNCTION("""COMPUTED_VALUE"""),"-")</f>
        <v>-</v>
      </c>
    </row>
    <row r="2371">
      <c r="A2371" s="5" t="str">
        <f>IFERROR(__xludf.DUMMYFUNCTION("""COMPUTED_VALUE"""),"TNA-MĐA-021")</f>
        <v>TNA-MĐA-021</v>
      </c>
      <c r="B2371" s="3"/>
      <c r="C2371" s="5" t="str">
        <f>IFERROR(__xludf.DUMMYFUNCTION("""COMPUTED_VALUE"""),"B.ĐTXD AD")</f>
        <v>B.ĐTXD AD</v>
      </c>
      <c r="D2371" s="5" t="str">
        <f>IFERROR(__xludf.DUMMYFUNCTION("""COMPUTED_VALUE"""),"MATADOR")</f>
        <v>MATADOR</v>
      </c>
      <c r="E2371" s="5"/>
      <c r="F2371" s="5">
        <f>IFERROR(__xludf.DUMMYFUNCTION("""COMPUTED_VALUE"""),2019.0)</f>
        <v>2019</v>
      </c>
      <c r="G2371" s="5" t="str">
        <f>IFERROR(__xludf.DUMMYFUNCTION("""COMPUTED_VALUE"""),"ME220")</f>
        <v>ME220</v>
      </c>
      <c r="H2371" s="5" t="str">
        <f>IFERROR(__xludf.DUMMYFUNCTION("""COMPUTED_VALUE"""),"150HP")</f>
        <v>150HP</v>
      </c>
      <c r="I2371" s="5" t="str">
        <f>IFERROR(__xludf.DUMMYFUNCTION("""COMPUTED_VALUE"""),"579")</f>
        <v>579</v>
      </c>
      <c r="J2371" s="5"/>
      <c r="K2371" s="5"/>
      <c r="L2371" s="5" t="str">
        <f>IFERROR(__xludf.DUMMYFUNCTION("""COMPUTED_VALUE"""),"-")</f>
        <v>-</v>
      </c>
    </row>
    <row r="2372">
      <c r="A2372" s="5" t="str">
        <f>IFERROR(__xludf.DUMMYFUNCTION("""COMPUTED_VALUE"""),"TNA-MĐA-022")</f>
        <v>TNA-MĐA-022</v>
      </c>
      <c r="B2372" s="3" t="str">
        <f>IFERROR(__xludf.DUMMYFUNCTION("""COMPUTED_VALUE"""),"Máy đào gàu 0.5m3")</f>
        <v>Máy đào gàu 0.5m3</v>
      </c>
      <c r="C2372" s="5" t="str">
        <f>IFERROR(__xludf.DUMMYFUNCTION("""COMPUTED_VALUE"""),"NT BƯỞI AD")</f>
        <v>NT BƯỞI AD</v>
      </c>
      <c r="D2372" s="5" t="str">
        <f>IFERROR(__xludf.DUMMYFUNCTION("""COMPUTED_VALUE"""),"CAT")</f>
        <v>CAT</v>
      </c>
      <c r="E2372" s="5" t="str">
        <f>IFERROR(__xludf.DUMMYFUNCTION("""COMPUTED_VALUE"""),"NHẬT BẢN")</f>
        <v>NHẬT BẢN</v>
      </c>
      <c r="F2372" s="5">
        <f>IFERROR(__xludf.DUMMYFUNCTION("""COMPUTED_VALUE"""),2005.0)</f>
        <v>2005</v>
      </c>
      <c r="G2372" s="5" t="str">
        <f>IFERROR(__xludf.DUMMYFUNCTION("""COMPUTED_VALUE"""),"312C")</f>
        <v>312C</v>
      </c>
      <c r="H2372" s="5" t="str">
        <f>IFERROR(__xludf.DUMMYFUNCTION("""COMPUTED_VALUE"""),"94HP")</f>
        <v>94HP</v>
      </c>
      <c r="I2372" s="5" t="str">
        <f>IFERROR(__xludf.DUMMYFUNCTION("""COMPUTED_VALUE"""),"CAT0312CCFDS00398")</f>
        <v>CAT0312CCFDS00398</v>
      </c>
      <c r="J2372" s="5" t="str">
        <f>IFERROR(__xludf.DUMMYFUNCTION("""COMPUTED_VALUE"""),"6LK36262")</f>
        <v>6LK36262</v>
      </c>
      <c r="K2372" s="5">
        <f>IFERROR(__xludf.DUMMYFUNCTION("""COMPUTED_VALUE"""),11.0)</f>
        <v>11</v>
      </c>
      <c r="L2372" s="5" t="str">
        <f>IFERROR(__xludf.DUMMYFUNCTION("""COMPUTED_VALUE"""),"-")</f>
        <v>-</v>
      </c>
    </row>
    <row r="2373">
      <c r="A2373" s="5" t="str">
        <f>IFERROR(__xludf.DUMMYFUNCTION("""COMPUTED_VALUE"""),"TNA-MĐA-023")</f>
        <v>TNA-MĐA-023</v>
      </c>
      <c r="B2373" s="3" t="str">
        <f>IFERROR(__xludf.DUMMYFUNCTION("""COMPUTED_VALUE"""),"Máy đào gàu 0.5m3")</f>
        <v>Máy đào gàu 0.5m3</v>
      </c>
      <c r="C2373" s="5" t="str">
        <f>IFERROR(__xludf.DUMMYFUNCTION("""COMPUTED_VALUE"""),"THACO ID ME")</f>
        <v>THACO ID ME</v>
      </c>
      <c r="D2373" s="5" t="str">
        <f>IFERROR(__xludf.DUMMYFUNCTION("""COMPUTED_VALUE"""),"HYUNDAI")</f>
        <v>HYUNDAI</v>
      </c>
      <c r="E2373" s="5" t="str">
        <f>IFERROR(__xludf.DUMMYFUNCTION("""COMPUTED_VALUE"""),"HÀN QUỐC")</f>
        <v>HÀN QUỐC</v>
      </c>
      <c r="F2373" s="5">
        <f>IFERROR(__xludf.DUMMYFUNCTION("""COMPUTED_VALUE"""),2014.0)</f>
        <v>2014</v>
      </c>
      <c r="G2373" s="5" t="str">
        <f>IFERROR(__xludf.DUMMYFUNCTION("""COMPUTED_VALUE"""),"R140W-9S")</f>
        <v>R140W-9S</v>
      </c>
      <c r="H2373" s="5" t="str">
        <f>IFERROR(__xludf.DUMMYFUNCTION("""COMPUTED_VALUE"""),"113HP")</f>
        <v>113HP</v>
      </c>
      <c r="I2373" s="5" t="str">
        <f>IFERROR(__xludf.DUMMYFUNCTION("""COMPUTED_VALUE"""),"HHKHZ412HE0000480")</f>
        <v>HHKHZ412HE0000480</v>
      </c>
      <c r="J2373" s="5" t="str">
        <f>IFERROR(__xludf.DUMMYFUNCTION("""COMPUTED_VALUE"""),"26494405")</f>
        <v>26494405</v>
      </c>
      <c r="K2373" s="5">
        <f>IFERROR(__xludf.DUMMYFUNCTION("""COMPUTED_VALUE"""),12.0)</f>
        <v>12</v>
      </c>
      <c r="L2373" s="5" t="str">
        <f>IFERROR(__xludf.DUMMYFUNCTION("""COMPUTED_VALUE"""),"-")</f>
        <v>-</v>
      </c>
    </row>
    <row r="2374">
      <c r="A2374" s="5" t="str">
        <f>IFERROR(__xludf.DUMMYFUNCTION("""COMPUTED_VALUE"""),"TNA-MĐA-024")</f>
        <v>TNA-MĐA-024</v>
      </c>
      <c r="B2374" s="3" t="str">
        <f>IFERROR(__xludf.DUMMYFUNCTION("""COMPUTED_VALUE"""),"Máy đào gàu 0.4m3")</f>
        <v>Máy đào gàu 0.4m3</v>
      </c>
      <c r="C2374" s="5" t="str">
        <f>IFERROR(__xludf.DUMMYFUNCTION("""COMPUTED_VALUE"""),"THACO ID ME")</f>
        <v>THACO ID ME</v>
      </c>
      <c r="D2374" s="5" t="str">
        <f>IFERROR(__xludf.DUMMYFUNCTION("""COMPUTED_VALUE"""),"HITACHI")</f>
        <v>HITACHI</v>
      </c>
      <c r="E2374" s="5" t="str">
        <f>IFERROR(__xludf.DUMMYFUNCTION("""COMPUTED_VALUE"""),"HÀN QUỐC")</f>
        <v>HÀN QUỐC</v>
      </c>
      <c r="F2374" s="5">
        <f>IFERROR(__xludf.DUMMYFUNCTION("""COMPUTED_VALUE"""),2004.0)</f>
        <v>2004</v>
      </c>
      <c r="G2374" s="5" t="str">
        <f>IFERROR(__xludf.DUMMYFUNCTION("""COMPUTED_VALUE"""),"ZX75US-A")</f>
        <v>ZX75US-A</v>
      </c>
      <c r="H2374" s="5" t="str">
        <f>IFERROR(__xludf.DUMMYFUNCTION("""COMPUTED_VALUE"""),"54HP")</f>
        <v>54HP</v>
      </c>
      <c r="I2374" s="5" t="str">
        <f>IFERROR(__xludf.DUMMYFUNCTION("""COMPUTED_VALUE"""),"HCM1CG00100042071")</f>
        <v>HCM1CG00100042071</v>
      </c>
      <c r="J2374" s="5" t="str">
        <f>IFERROR(__xludf.DUMMYFUNCTION("""COMPUTED_VALUE"""),"45G1261514")</f>
        <v>45G1261514</v>
      </c>
      <c r="K2374" s="5">
        <f>IFERROR(__xludf.DUMMYFUNCTION("""COMPUTED_VALUE"""),4.5)</f>
        <v>4.5</v>
      </c>
      <c r="L2374" s="5" t="str">
        <f>IFERROR(__xludf.DUMMYFUNCTION("""COMPUTED_VALUE"""),"-")</f>
        <v>-</v>
      </c>
    </row>
    <row r="2375">
      <c r="A2375" s="5" t="str">
        <f>IFERROR(__xludf.DUMMYFUNCTION("""COMPUTED_VALUE"""),"TNA-MĐA-025")</f>
        <v>TNA-MĐA-025</v>
      </c>
      <c r="B2375" s="3" t="str">
        <f>IFERROR(__xludf.DUMMYFUNCTION("""COMPUTED_VALUE"""),"Máy đào gàu 0.5m3")</f>
        <v>Máy đào gàu 0.5m3</v>
      </c>
      <c r="C2375" s="5" t="str">
        <f>IFERROR(__xludf.DUMMYFUNCTION("""COMPUTED_VALUE"""),"Ban điện nước")</f>
        <v>Ban điện nước</v>
      </c>
      <c r="D2375" s="5" t="str">
        <f>IFERROR(__xludf.DUMMYFUNCTION("""COMPUTED_VALUE"""),"CAT")</f>
        <v>CAT</v>
      </c>
      <c r="E2375" s="5"/>
      <c r="F2375" s="5">
        <f>IFERROR(__xludf.DUMMYFUNCTION("""COMPUTED_VALUE"""),1992.0)</f>
        <v>1992</v>
      </c>
      <c r="G2375" s="5" t="str">
        <f>IFERROR(__xludf.DUMMYFUNCTION("""COMPUTED_VALUE"""),"CAT 312")</f>
        <v>CAT 312</v>
      </c>
      <c r="H2375" s="5" t="str">
        <f>IFERROR(__xludf.DUMMYFUNCTION("""COMPUTED_VALUE"""),"94HP")</f>
        <v>94HP</v>
      </c>
      <c r="I2375" s="5" t="str">
        <f>IFERROR(__xludf.DUMMYFUNCTION("""COMPUTED_VALUE"""),"7DK00524")</f>
        <v>7DK00524</v>
      </c>
      <c r="J2375" s="5" t="str">
        <f>IFERROR(__xludf.DUMMYFUNCTION("""COMPUTED_VALUE"""),"6LK00543")</f>
        <v>6LK00543</v>
      </c>
      <c r="K2375" s="5">
        <f>IFERROR(__xludf.DUMMYFUNCTION("""COMPUTED_VALUE"""),7.0)</f>
        <v>7</v>
      </c>
      <c r="L2375" s="5" t="str">
        <f>IFERROR(__xludf.DUMMYFUNCTION("""COMPUTED_VALUE"""),"Đang thuê")</f>
        <v>Đang thuê</v>
      </c>
    </row>
    <row r="2376">
      <c r="A2376" s="5" t="str">
        <f>IFERROR(__xludf.DUMMYFUNCTION("""COMPUTED_VALUE"""),"TNA-MĐA-026")</f>
        <v>TNA-MĐA-026</v>
      </c>
      <c r="B2376" s="3" t="str">
        <f>IFERROR(__xludf.DUMMYFUNCTION("""COMPUTED_VALUE"""),"Máy đào gàu 0.5m3")</f>
        <v>Máy đào gàu 0.5m3</v>
      </c>
      <c r="C2376" s="5" t="str">
        <f>IFERROR(__xludf.DUMMYFUNCTION("""COMPUTED_VALUE"""),"CGTC AD")</f>
        <v>CGTC AD</v>
      </c>
      <c r="D2376" s="5" t="str">
        <f>IFERROR(__xludf.DUMMYFUNCTION("""COMPUTED_VALUE"""),"CAT")</f>
        <v>CAT</v>
      </c>
      <c r="E2376" s="5"/>
      <c r="F2376" s="5">
        <f>IFERROR(__xludf.DUMMYFUNCTION("""COMPUTED_VALUE"""),2003.0)</f>
        <v>2003</v>
      </c>
      <c r="G2376" s="5" t="str">
        <f>IFERROR(__xludf.DUMMYFUNCTION("""COMPUTED_VALUE"""),"CAT 312C")</f>
        <v>CAT 312C</v>
      </c>
      <c r="H2376" s="5" t="str">
        <f>IFERROR(__xludf.DUMMYFUNCTION("""COMPUTED_VALUE"""),"89HP")</f>
        <v>89HP</v>
      </c>
      <c r="I2376" s="5" t="str">
        <f>IFERROR(__xludf.DUMMYFUNCTION("""COMPUTED_VALUE"""),"CAE00352")</f>
        <v>CAE00352</v>
      </c>
      <c r="J2376" s="5" t="str">
        <f>IFERROR(__xludf.DUMMYFUNCTION("""COMPUTED_VALUE"""),"6LK27451")</f>
        <v>6LK27451</v>
      </c>
      <c r="K2376" s="5">
        <f>IFERROR(__xludf.DUMMYFUNCTION("""COMPUTED_VALUE"""),11.5)</f>
        <v>11.5</v>
      </c>
      <c r="L2376" s="5" t="str">
        <f>IFERROR(__xludf.DUMMYFUNCTION("""COMPUTED_VALUE"""),"-")</f>
        <v>-</v>
      </c>
    </row>
    <row r="2377">
      <c r="A2377" s="5" t="str">
        <f>IFERROR(__xludf.DUMMYFUNCTION("""COMPUTED_VALUE"""),"TNA-MĐA-027")</f>
        <v>TNA-MĐA-027</v>
      </c>
      <c r="B2377" s="3" t="str">
        <f>IFERROR(__xludf.DUMMYFUNCTION("""COMPUTED_VALUE"""),"Máy đào gàu 0.5m3")</f>
        <v>Máy đào gàu 0.5m3</v>
      </c>
      <c r="C2377" s="5" t="str">
        <f>IFERROR(__xludf.DUMMYFUNCTION("""COMPUTED_VALUE"""),"Ban điện nước")</f>
        <v>Ban điện nước</v>
      </c>
      <c r="D2377" s="5" t="str">
        <f>IFERROR(__xludf.DUMMYFUNCTION("""COMPUTED_VALUE"""),"KOMATSU")</f>
        <v>KOMATSU</v>
      </c>
      <c r="E2377" s="5"/>
      <c r="F2377" s="5">
        <f>IFERROR(__xludf.DUMMYFUNCTION("""COMPUTED_VALUE"""),2000.0)</f>
        <v>2000</v>
      </c>
      <c r="G2377" s="5" t="str">
        <f>IFERROR(__xludf.DUMMYFUNCTION("""COMPUTED_VALUE"""),"PC100")</f>
        <v>PC100</v>
      </c>
      <c r="H2377" s="5" t="str">
        <f>IFERROR(__xludf.DUMMYFUNCTION("""COMPUTED_VALUE"""),"85HP")</f>
        <v>85HP</v>
      </c>
      <c r="I2377" s="5" t="str">
        <f>IFERROR(__xludf.DUMMYFUNCTION("""COMPUTED_VALUE"""),"PC10029884")</f>
        <v>PC10029884</v>
      </c>
      <c r="J2377" s="5" t="str">
        <f>IFERROR(__xludf.DUMMYFUNCTION("""COMPUTED_VALUE"""),"4D9S-71613")</f>
        <v>4D9S-71613</v>
      </c>
      <c r="K2377" s="5">
        <f>IFERROR(__xludf.DUMMYFUNCTION("""COMPUTED_VALUE"""),8.0)</f>
        <v>8</v>
      </c>
      <c r="L2377" s="5" t="str">
        <f>IFERROR(__xludf.DUMMYFUNCTION("""COMPUTED_VALUE"""),"-")</f>
        <v>-</v>
      </c>
    </row>
    <row r="2378">
      <c r="A2378" s="5" t="str">
        <f>IFERROR(__xludf.DUMMYFUNCTION("""COMPUTED_VALUE"""),"TNA-MĐA-028")</f>
        <v>TNA-MĐA-028</v>
      </c>
      <c r="B2378" s="3" t="str">
        <f>IFERROR(__xludf.DUMMYFUNCTION("""COMPUTED_VALUE"""),"Máy đào gàu 0.5m3")</f>
        <v>Máy đào gàu 0.5m3</v>
      </c>
      <c r="C2378" s="5" t="str">
        <f>IFERROR(__xludf.DUMMYFUNCTION("""COMPUTED_VALUE"""),"Ban điện nước")</f>
        <v>Ban điện nước</v>
      </c>
      <c r="D2378" s="5" t="str">
        <f>IFERROR(__xludf.DUMMYFUNCTION("""COMPUTED_VALUE"""),"CAT")</f>
        <v>CAT</v>
      </c>
      <c r="E2378" s="5"/>
      <c r="F2378" s="5">
        <f>IFERROR(__xludf.DUMMYFUNCTION("""COMPUTED_VALUE"""),1990.0)</f>
        <v>1990</v>
      </c>
      <c r="G2378" s="5" t="str">
        <f>IFERROR(__xludf.DUMMYFUNCTION("""COMPUTED_VALUE"""),"E120B")</f>
        <v>E120B</v>
      </c>
      <c r="H2378" s="5" t="str">
        <f>IFERROR(__xludf.DUMMYFUNCTION("""COMPUTED_VALUE"""),"84HP")</f>
        <v>84HP</v>
      </c>
      <c r="I2378" s="5" t="str">
        <f>IFERROR(__xludf.DUMMYFUNCTION("""COMPUTED_VALUE"""),"7NF03720")</f>
        <v>7NF03720</v>
      </c>
      <c r="J2378" s="5" t="str">
        <f>IFERROR(__xludf.DUMMYFUNCTION("""COMPUTED_VALUE"""),"NIL")</f>
        <v>NIL</v>
      </c>
      <c r="K2378" s="5">
        <f>IFERROR(__xludf.DUMMYFUNCTION("""COMPUTED_VALUE"""),8.0)</f>
        <v>8</v>
      </c>
      <c r="L2378" s="5" t="str">
        <f>IFERROR(__xludf.DUMMYFUNCTION("""COMPUTED_VALUE"""),"Đang thuê")</f>
        <v>Đang thuê</v>
      </c>
    </row>
    <row r="2379">
      <c r="A2379" s="5" t="str">
        <f>IFERROR(__xludf.DUMMYFUNCTION("""COMPUTED_VALUE"""),"TNA-MĐA-029")</f>
        <v>TNA-MĐA-029</v>
      </c>
      <c r="B2379" s="3" t="str">
        <f>IFERROR(__xludf.DUMMYFUNCTION("""COMPUTED_VALUE"""),"Máy đào gàu 0.5m3")</f>
        <v>Máy đào gàu 0.5m3</v>
      </c>
      <c r="C2379" s="5" t="str">
        <f>IFERROR(__xludf.DUMMYFUNCTION("""COMPUTED_VALUE"""),"Ban điện nước")</f>
        <v>Ban điện nước</v>
      </c>
      <c r="D2379" s="5" t="str">
        <f>IFERROR(__xludf.DUMMYFUNCTION("""COMPUTED_VALUE"""),"CAT")</f>
        <v>CAT</v>
      </c>
      <c r="E2379" s="5"/>
      <c r="F2379" s="5">
        <f>IFERROR(__xludf.DUMMYFUNCTION("""COMPUTED_VALUE"""),2002.0)</f>
        <v>2002</v>
      </c>
      <c r="G2379" s="5" t="str">
        <f>IFERROR(__xludf.DUMMYFUNCTION("""COMPUTED_VALUE"""),"312")</f>
        <v>312</v>
      </c>
      <c r="H2379" s="5" t="str">
        <f>IFERROR(__xludf.DUMMYFUNCTION("""COMPUTED_VALUE"""),"94HP")</f>
        <v>94HP</v>
      </c>
      <c r="I2379" s="5" t="str">
        <f>IFERROR(__xludf.DUMMYFUNCTION("""COMPUTED_VALUE"""),"6GK00804")</f>
        <v>6GK00804</v>
      </c>
      <c r="J2379" s="5" t="str">
        <f>IFERROR(__xludf.DUMMYFUNCTION("""COMPUTED_VALUE"""),"6LK05285")</f>
        <v>6LK05285</v>
      </c>
      <c r="K2379" s="5">
        <f>IFERROR(__xludf.DUMMYFUNCTION("""COMPUTED_VALUE"""),9.0)</f>
        <v>9</v>
      </c>
      <c r="L2379" s="5" t="str">
        <f>IFERROR(__xludf.DUMMYFUNCTION("""COMPUTED_VALUE"""),"Đang thuê")</f>
        <v>Đang thuê</v>
      </c>
    </row>
    <row r="2380">
      <c r="A2380" s="5" t="str">
        <f>IFERROR(__xludf.DUMMYFUNCTION("""COMPUTED_VALUE"""),"TNA-MĐA-030")</f>
        <v>TNA-MĐA-030</v>
      </c>
      <c r="B2380" s="3" t="str">
        <f>IFERROR(__xludf.DUMMYFUNCTION("""COMPUTED_VALUE"""),"Máy đào gàu 1.2m3")</f>
        <v>Máy đào gàu 1.2m3</v>
      </c>
      <c r="C2380" s="5" t="str">
        <f>IFERROR(__xludf.DUMMYFUNCTION("""COMPUTED_VALUE"""),"B.ĐTXD AD")</f>
        <v>B.ĐTXD AD</v>
      </c>
      <c r="D2380" s="5" t="str">
        <f>IFERROR(__xludf.DUMMYFUNCTION("""COMPUTED_VALUE"""),"CAT")</f>
        <v>CAT</v>
      </c>
      <c r="E2380" s="5"/>
      <c r="F2380" s="5">
        <f>IFERROR(__xludf.DUMMYFUNCTION("""COMPUTED_VALUE"""),2001.0)</f>
        <v>2001</v>
      </c>
      <c r="G2380" s="5" t="str">
        <f>IFERROR(__xludf.DUMMYFUNCTION("""COMPUTED_VALUE"""),"320C")</f>
        <v>320C</v>
      </c>
      <c r="H2380" s="5"/>
      <c r="I2380" s="5" t="str">
        <f>IFERROR(__xludf.DUMMYFUNCTION("""COMPUTED_VALUE"""),"CAT0320CCBCB00216")</f>
        <v>CAT0320CCBCB00216</v>
      </c>
      <c r="J2380" s="5" t="str">
        <f>IFERROR(__xludf.DUMMYFUNCTION("""COMPUTED_VALUE"""),"7JK49472")</f>
        <v>7JK49472</v>
      </c>
      <c r="K2380" s="5">
        <f>IFERROR(__xludf.DUMMYFUNCTION("""COMPUTED_VALUE"""),16.0)</f>
        <v>16</v>
      </c>
      <c r="L2380" s="5" t="str">
        <f>IFERROR(__xludf.DUMMYFUNCTION("""COMPUTED_VALUE"""),"-")</f>
        <v>-</v>
      </c>
    </row>
    <row r="2381">
      <c r="A2381" s="5" t="str">
        <f>IFERROR(__xludf.DUMMYFUNCTION("""COMPUTED_VALUE"""),"TNA-MĐA-031")</f>
        <v>TNA-MĐA-031</v>
      </c>
      <c r="B2381" s="3" t="str">
        <f>IFERROR(__xludf.DUMMYFUNCTION("""COMPUTED_VALUE"""),"Máy đào gàu 1.2m3")</f>
        <v>Máy đào gàu 1.2m3</v>
      </c>
      <c r="C2381" s="5" t="str">
        <f>IFERROR(__xludf.DUMMYFUNCTION("""COMPUTED_VALUE"""),"B.ĐTXD AD")</f>
        <v>B.ĐTXD AD</v>
      </c>
      <c r="D2381" s="5" t="str">
        <f>IFERROR(__xludf.DUMMYFUNCTION("""COMPUTED_VALUE"""),"CAT")</f>
        <v>CAT</v>
      </c>
      <c r="E2381" s="5"/>
      <c r="F2381" s="5">
        <f>IFERROR(__xludf.DUMMYFUNCTION("""COMPUTED_VALUE"""),2005.0)</f>
        <v>2005</v>
      </c>
      <c r="G2381" s="5" t="str">
        <f>IFERROR(__xludf.DUMMYFUNCTION("""COMPUTED_VALUE"""),"320C")</f>
        <v>320C</v>
      </c>
      <c r="H2381" s="5"/>
      <c r="I2381" s="5" t="str">
        <f>IFERROR(__xludf.DUMMYFUNCTION("""COMPUTED_VALUE"""),"ANB01002")</f>
        <v>ANB01002</v>
      </c>
      <c r="J2381" s="5" t="str">
        <f>IFERROR(__xludf.DUMMYFUNCTION("""COMPUTED_VALUE"""),"7JK47738")</f>
        <v>7JK47738</v>
      </c>
      <c r="K2381" s="5">
        <f>IFERROR(__xludf.DUMMYFUNCTION("""COMPUTED_VALUE"""),16.0)</f>
        <v>16</v>
      </c>
      <c r="L2381" s="5" t="str">
        <f>IFERROR(__xludf.DUMMYFUNCTION("""COMPUTED_VALUE"""),"-")</f>
        <v>-</v>
      </c>
    </row>
    <row r="2382">
      <c r="A2382" s="5" t="str">
        <f>IFERROR(__xludf.DUMMYFUNCTION("""COMPUTED_VALUE"""),"TNA-MĐA-032")</f>
        <v>TNA-MĐA-032</v>
      </c>
      <c r="B2382" s="3" t="str">
        <f>IFERROR(__xludf.DUMMYFUNCTION("""COMPUTED_VALUE"""),"Máy đào gàu 0.9m3")</f>
        <v>Máy đào gàu 0.9m3</v>
      </c>
      <c r="C2382" s="5" t="str">
        <f>IFERROR(__xludf.DUMMYFUNCTION("""COMPUTED_VALUE"""),"B.ĐTXD AD")</f>
        <v>B.ĐTXD AD</v>
      </c>
      <c r="D2382" s="5" t="str">
        <f>IFERROR(__xludf.DUMMYFUNCTION("""COMPUTED_VALUE"""),"CAT")</f>
        <v>CAT</v>
      </c>
      <c r="E2382" s="5"/>
      <c r="F2382" s="5"/>
      <c r="G2382" s="5"/>
      <c r="H2382" s="5"/>
      <c r="I2382" s="5" t="str">
        <f>IFERROR(__xludf.DUMMYFUNCTION("""COMPUTED_VALUE"""),"7GJ01435")</f>
        <v>7GJ01435</v>
      </c>
      <c r="J2382" s="5"/>
      <c r="K2382" s="5">
        <f>IFERROR(__xludf.DUMMYFUNCTION("""COMPUTED_VALUE"""),13.5)</f>
        <v>13.5</v>
      </c>
      <c r="L2382" s="5" t="str">
        <f>IFERROR(__xludf.DUMMYFUNCTION("""COMPUTED_VALUE"""),"-")</f>
        <v>-</v>
      </c>
    </row>
    <row r="2383">
      <c r="A2383" s="5" t="str">
        <f>IFERROR(__xludf.DUMMYFUNCTION("""COMPUTED_VALUE"""),"TNA-MĐA-033")</f>
        <v>TNA-MĐA-033</v>
      </c>
      <c r="B2383" s="3" t="str">
        <f>IFERROR(__xludf.DUMMYFUNCTION("""COMPUTED_VALUE"""),"Máy đào gàu 0.5m3")</f>
        <v>Máy đào gàu 0.5m3</v>
      </c>
      <c r="C2383" s="5" t="str">
        <f>IFERROR(__xludf.DUMMYFUNCTION("""COMPUTED_VALUE"""),"Ban điện nước")</f>
        <v>Ban điện nước</v>
      </c>
      <c r="D2383" s="5" t="str">
        <f>IFERROR(__xludf.DUMMYFUNCTION("""COMPUTED_VALUE"""),"CAT")</f>
        <v>CAT</v>
      </c>
      <c r="E2383" s="5"/>
      <c r="F2383" s="5">
        <f>IFERROR(__xludf.DUMMYFUNCTION("""COMPUTED_VALUE"""),1989.0)</f>
        <v>1989</v>
      </c>
      <c r="G2383" s="5" t="str">
        <f>IFERROR(__xludf.DUMMYFUNCTION("""COMPUTED_VALUE"""),"E110B")</f>
        <v>E110B</v>
      </c>
      <c r="H2383" s="5"/>
      <c r="I2383" s="5" t="str">
        <f>IFERROR(__xludf.DUMMYFUNCTION("""COMPUTED_VALUE"""),"9HF03")</f>
        <v>9HF03</v>
      </c>
      <c r="J2383" s="5" t="str">
        <f>IFERROR(__xludf.DUMMYFUNCTION("""COMPUTED_VALUE"""),"213231")</f>
        <v>213231</v>
      </c>
      <c r="K2383" s="5">
        <f>IFERROR(__xludf.DUMMYFUNCTION("""COMPUTED_VALUE"""),9.0)</f>
        <v>9</v>
      </c>
      <c r="L2383" s="5" t="str">
        <f>IFERROR(__xludf.DUMMYFUNCTION("""COMPUTED_VALUE"""),"-")</f>
        <v>-</v>
      </c>
    </row>
    <row r="2384">
      <c r="A2384" s="5" t="str">
        <f>IFERROR(__xludf.DUMMYFUNCTION("""COMPUTED_VALUE"""),"TNA-MĐA-034")</f>
        <v>TNA-MĐA-034</v>
      </c>
      <c r="B2384" s="3" t="str">
        <f>IFERROR(__xludf.DUMMYFUNCTION("""COMPUTED_VALUE"""),"Máy đào gàu 0.5m3")</f>
        <v>Máy đào gàu 0.5m3</v>
      </c>
      <c r="C2384" s="5" t="str">
        <f>IFERROR(__xludf.DUMMYFUNCTION("""COMPUTED_VALUE"""),"Ban điện nước")</f>
        <v>Ban điện nước</v>
      </c>
      <c r="D2384" s="5" t="str">
        <f>IFERROR(__xludf.DUMMYFUNCTION("""COMPUTED_VALUE"""),"CAT")</f>
        <v>CAT</v>
      </c>
      <c r="E2384" s="5"/>
      <c r="F2384" s="5">
        <f>IFERROR(__xludf.DUMMYFUNCTION("""COMPUTED_VALUE"""),2005.0)</f>
        <v>2005</v>
      </c>
      <c r="G2384" s="5" t="str">
        <f>IFERROR(__xludf.DUMMYFUNCTION("""COMPUTED_VALUE"""),"312C")</f>
        <v>312C</v>
      </c>
      <c r="H2384" s="5"/>
      <c r="I2384" s="5" t="str">
        <f>IFERROR(__xludf.DUMMYFUNCTION("""COMPUTED_VALUE"""),"CAT0312CCCAEO2876")</f>
        <v>CAT0312CCCAEO2876</v>
      </c>
      <c r="J2384" s="5" t="str">
        <f>IFERROR(__xludf.DUMMYFUNCTION("""COMPUTED_VALUE"""),"6LK37380")</f>
        <v>6LK37380</v>
      </c>
      <c r="K2384" s="5">
        <f>IFERROR(__xludf.DUMMYFUNCTION("""COMPUTED_VALUE"""),10.0)</f>
        <v>10</v>
      </c>
      <c r="L2384" s="5" t="str">
        <f>IFERROR(__xludf.DUMMYFUNCTION("""COMPUTED_VALUE"""),"-")</f>
        <v>-</v>
      </c>
    </row>
    <row r="2385">
      <c r="A2385" s="5" t="str">
        <f>IFERROR(__xludf.DUMMYFUNCTION("""COMPUTED_VALUE"""),"TNA-MĐA-035")</f>
        <v>TNA-MĐA-035</v>
      </c>
      <c r="B2385" s="3" t="str">
        <f>IFERROR(__xludf.DUMMYFUNCTION("""COMPUTED_VALUE"""),"Máy đào gàu 1.2m3")</f>
        <v>Máy đào gàu 1.2m3</v>
      </c>
      <c r="C2385" s="5" t="str">
        <f>IFERROR(__xludf.DUMMYFUNCTION("""COMPUTED_VALUE"""),"B.ĐTXD AD")</f>
        <v>B.ĐTXD AD</v>
      </c>
      <c r="D2385" s="5" t="str">
        <f>IFERROR(__xludf.DUMMYFUNCTION("""COMPUTED_VALUE"""),"CAT")</f>
        <v>CAT</v>
      </c>
      <c r="E2385" s="5"/>
      <c r="F2385" s="5">
        <f>IFERROR(__xludf.DUMMYFUNCTION("""COMPUTED_VALUE"""),1992.0)</f>
        <v>1992</v>
      </c>
      <c r="G2385" s="5" t="str">
        <f>IFERROR(__xludf.DUMMYFUNCTION("""COMPUTED_VALUE"""),"CAT 320")</f>
        <v>CAT 320</v>
      </c>
      <c r="H2385" s="5" t="str">
        <f>IFERROR(__xludf.DUMMYFUNCTION("""COMPUTED_VALUE"""),"140HP")</f>
        <v>140HP</v>
      </c>
      <c r="I2385" s="5" t="str">
        <f>IFERROR(__xludf.DUMMYFUNCTION("""COMPUTED_VALUE"""),"7GJ01435")</f>
        <v>7GJ01435</v>
      </c>
      <c r="J2385" s="5" t="str">
        <f>IFERROR(__xludf.DUMMYFUNCTION("""COMPUTED_VALUE"""),"7JK01351")</f>
        <v>7JK01351</v>
      </c>
      <c r="K2385" s="5">
        <f>IFERROR(__xludf.DUMMYFUNCTION("""COMPUTED_VALUE"""),14.0)</f>
        <v>14</v>
      </c>
      <c r="L2385" s="5" t="str">
        <f>IFERROR(__xludf.DUMMYFUNCTION("""COMPUTED_VALUE"""),"-")</f>
        <v>-</v>
      </c>
    </row>
    <row r="2386">
      <c r="A2386" s="5" t="str">
        <f>IFERROR(__xludf.DUMMYFUNCTION("""COMPUTED_VALUE"""),"TNA-MĐA-036")</f>
        <v>TNA-MĐA-036</v>
      </c>
      <c r="B2386" s="3" t="str">
        <f>IFERROR(__xludf.DUMMYFUNCTION("""COMPUTED_VALUE"""),"Máy đào gàu 0.9 m3")</f>
        <v>Máy đào gàu 0.9 m3</v>
      </c>
      <c r="C2386" s="5" t="str">
        <f>IFERROR(__xludf.DUMMYFUNCTION("""COMPUTED_VALUE"""),"B.ĐTXD AD")</f>
        <v>B.ĐTXD AD</v>
      </c>
      <c r="D2386" s="5" t="str">
        <f>IFERROR(__xludf.DUMMYFUNCTION("""COMPUTED_VALUE"""),"JCB")</f>
        <v>JCB</v>
      </c>
      <c r="E2386" s="5" t="str">
        <f>IFERROR(__xludf.DUMMYFUNCTION("""COMPUTED_VALUE"""),"TRUNG QUỐC")</f>
        <v>TRUNG QUỐC</v>
      </c>
      <c r="F2386" s="5">
        <f>IFERROR(__xludf.DUMMYFUNCTION("""COMPUTED_VALUE"""),2018.0)</f>
        <v>2018</v>
      </c>
      <c r="G2386" s="5" t="str">
        <f>IFERROR(__xludf.DUMMYFUNCTION("""COMPUTED_VALUE"""),"JS205LC")</f>
        <v>JS205LC</v>
      </c>
      <c r="H2386" s="5" t="str">
        <f>IFERROR(__xludf.DUMMYFUNCTION("""COMPUTED_VALUE"""),"168 HP")</f>
        <v>168 HP</v>
      </c>
      <c r="I2386" s="5" t="str">
        <f>IFERROR(__xludf.DUMMYFUNCTION("""COMPUTED_VALUE"""),"SHAJE20BAJ2750418")</f>
        <v>SHAJE20BAJ2750418</v>
      </c>
      <c r="J2386" s="5" t="str">
        <f>IFERROR(__xludf.DUMMYFUNCTION("""COMPUTED_VALUE"""),"84818733")</f>
        <v>84818733</v>
      </c>
      <c r="K2386" s="5">
        <f>IFERROR(__xludf.DUMMYFUNCTION("""COMPUTED_VALUE"""),13.0)</f>
        <v>13</v>
      </c>
      <c r="L2386" s="5" t="str">
        <f>IFERROR(__xludf.DUMMYFUNCTION("""COMPUTED_VALUE"""),"Đang thuê")</f>
        <v>Đang thuê</v>
      </c>
    </row>
    <row r="2387">
      <c r="A2387" s="5" t="str">
        <f>IFERROR(__xludf.DUMMYFUNCTION("""COMPUTED_VALUE"""),"TNA-MĐA-037")</f>
        <v>TNA-MĐA-037</v>
      </c>
      <c r="B2387" s="3" t="str">
        <f>IFERROR(__xludf.DUMMYFUNCTION("""COMPUTED_VALUE"""),"Máy đào gàu 1.0m3")</f>
        <v>Máy đào gàu 1.0m3</v>
      </c>
      <c r="C2387" s="5" t="str">
        <f>IFERROR(__xludf.DUMMYFUNCTION("""COMPUTED_VALUE"""),"B.ĐTXD AD")</f>
        <v>B.ĐTXD AD</v>
      </c>
      <c r="D2387" s="5" t="str">
        <f>IFERROR(__xludf.DUMMYFUNCTION("""COMPUTED_VALUE"""),"CAT")</f>
        <v>CAT</v>
      </c>
      <c r="E2387" s="5" t="str">
        <f>IFERROR(__xludf.DUMMYFUNCTION("""COMPUTED_VALUE"""),"NHẬT BẢN")</f>
        <v>NHẬT BẢN</v>
      </c>
      <c r="F2387" s="5">
        <f>IFERROR(__xludf.DUMMYFUNCTION("""COMPUTED_VALUE"""),2008.0)</f>
        <v>2008</v>
      </c>
      <c r="G2387" s="5" t="str">
        <f>IFERROR(__xludf.DUMMYFUNCTION("""COMPUTED_VALUE"""),"320D")</f>
        <v>320D</v>
      </c>
      <c r="H2387" s="5" t="str">
        <f>IFERROR(__xludf.DUMMYFUNCTION("""COMPUTED_VALUE"""),"138HP")</f>
        <v>138HP</v>
      </c>
      <c r="I2387" s="5" t="str">
        <f>IFERROR(__xludf.DUMMYFUNCTION("""COMPUTED_VALUE"""),"CAT0320DTBWZ02487")</f>
        <v>CAT0320DTBWZ02487</v>
      </c>
      <c r="J2387" s="5" t="str">
        <f>IFERROR(__xludf.DUMMYFUNCTION("""COMPUTED_VALUE"""),"GDC11790")</f>
        <v>GDC11790</v>
      </c>
      <c r="K2387" s="5">
        <f>IFERROR(__xludf.DUMMYFUNCTION("""COMPUTED_VALUE"""),13.5)</f>
        <v>13.5</v>
      </c>
      <c r="L2387" s="5" t="str">
        <f>IFERROR(__xludf.DUMMYFUNCTION("""COMPUTED_VALUE"""),"Đang thuê")</f>
        <v>Đang thuê</v>
      </c>
    </row>
    <row r="2388">
      <c r="A2388" s="5" t="str">
        <f>IFERROR(__xludf.DUMMYFUNCTION("""COMPUTED_VALUE"""),"TNA-MĐA-038")</f>
        <v>TNA-MĐA-038</v>
      </c>
      <c r="B2388" s="3" t="str">
        <f>IFERROR(__xludf.DUMMYFUNCTION("""COMPUTED_VALUE"""),"Máy đào gàu 1.0m3")</f>
        <v>Máy đào gàu 1.0m3</v>
      </c>
      <c r="C2388" s="5" t="str">
        <f>IFERROR(__xludf.DUMMYFUNCTION("""COMPUTED_VALUE"""),"B.ĐTXD AD")</f>
        <v>B.ĐTXD AD</v>
      </c>
      <c r="D2388" s="5" t="str">
        <f>IFERROR(__xludf.DUMMYFUNCTION("""COMPUTED_VALUE"""),"CAT")</f>
        <v>CAT</v>
      </c>
      <c r="E2388" s="5" t="str">
        <f>IFERROR(__xludf.DUMMYFUNCTION("""COMPUTED_VALUE"""),"NHẬT BẢN")</f>
        <v>NHẬT BẢN</v>
      </c>
      <c r="F2388" s="5">
        <f>IFERROR(__xludf.DUMMYFUNCTION("""COMPUTED_VALUE"""),2009.0)</f>
        <v>2009</v>
      </c>
      <c r="G2388" s="5" t="str">
        <f>IFERROR(__xludf.DUMMYFUNCTION("""COMPUTED_VALUE"""),"320D")</f>
        <v>320D</v>
      </c>
      <c r="H2388" s="5" t="str">
        <f>IFERROR(__xludf.DUMMYFUNCTION("""COMPUTED_VALUE"""),"138HP")</f>
        <v>138HP</v>
      </c>
      <c r="I2388" s="5" t="str">
        <f>IFERROR(__xludf.DUMMYFUNCTION("""COMPUTED_VALUE"""),"CAT0320DHBWZ04199")</f>
        <v>CAT0320DHBWZ04199</v>
      </c>
      <c r="J2388" s="5" t="str">
        <f>IFERROR(__xludf.DUMMYFUNCTION("""COMPUTED_VALUE"""),"GDC27586")</f>
        <v>GDC27586</v>
      </c>
      <c r="K2388" s="5">
        <f>IFERROR(__xludf.DUMMYFUNCTION("""COMPUTED_VALUE"""),13.0)</f>
        <v>13</v>
      </c>
      <c r="L2388" s="5" t="str">
        <f>IFERROR(__xludf.DUMMYFUNCTION("""COMPUTED_VALUE"""),"Đang thuê")</f>
        <v>Đang thuê</v>
      </c>
    </row>
    <row r="2389">
      <c r="A2389" s="5" t="str">
        <f>IFERROR(__xludf.DUMMYFUNCTION("""COMPUTED_VALUE"""),"TNA-MĐA-039")</f>
        <v>TNA-MĐA-039</v>
      </c>
      <c r="B2389" s="3" t="str">
        <f>IFERROR(__xludf.DUMMYFUNCTION("""COMPUTED_VALUE"""),"Máy đào gàu 1.1m3")</f>
        <v>Máy đào gàu 1.1m3</v>
      </c>
      <c r="C2389" s="5" t="str">
        <f>IFERROR(__xludf.DUMMYFUNCTION("""COMPUTED_VALUE"""),"B.ĐTXD AD")</f>
        <v>B.ĐTXD AD</v>
      </c>
      <c r="D2389" s="5" t="str">
        <f>IFERROR(__xludf.DUMMYFUNCTION("""COMPUTED_VALUE"""),"JCB")</f>
        <v>JCB</v>
      </c>
      <c r="E2389" s="5"/>
      <c r="F2389" s="5"/>
      <c r="G2389" s="5"/>
      <c r="H2389" s="5"/>
      <c r="I2389" s="5"/>
      <c r="J2389" s="5"/>
      <c r="K2389" s="5">
        <f>IFERROR(__xludf.DUMMYFUNCTION("""COMPUTED_VALUE"""),16.0)</f>
        <v>16</v>
      </c>
      <c r="L2389" s="5" t="str">
        <f>IFERROR(__xludf.DUMMYFUNCTION("""COMPUTED_VALUE"""),"Đang thuê")</f>
        <v>Đang thuê</v>
      </c>
    </row>
    <row r="2390">
      <c r="A2390" s="5" t="str">
        <f>IFERROR(__xludf.DUMMYFUNCTION("""COMPUTED_VALUE"""),"TNA-MĐA-040")</f>
        <v>TNA-MĐA-040</v>
      </c>
      <c r="B2390" s="3" t="str">
        <f>IFERROR(__xludf.DUMMYFUNCTION("""COMPUTED_VALUE"""),"Máy đào gàu 1.2m3")</f>
        <v>Máy đào gàu 1.2m3</v>
      </c>
      <c r="C2390" s="5" t="str">
        <f>IFERROR(__xludf.DUMMYFUNCTION("""COMPUTED_VALUE"""),"B.ĐTXD AD")</f>
        <v>B.ĐTXD AD</v>
      </c>
      <c r="D2390" s="5" t="str">
        <f>IFERROR(__xludf.DUMMYFUNCTION("""COMPUTED_VALUE"""),"CAT")</f>
        <v>CAT</v>
      </c>
      <c r="E2390" s="5" t="str">
        <f>IFERROR(__xludf.DUMMYFUNCTION("""COMPUTED_VALUE"""),"NHẬT BẢN")</f>
        <v>NHẬT BẢN</v>
      </c>
      <c r="F2390" s="5">
        <f>IFERROR(__xludf.DUMMYFUNCTION("""COMPUTED_VALUE"""),2008.0)</f>
        <v>2008</v>
      </c>
      <c r="G2390" s="5" t="str">
        <f>IFERROR(__xludf.DUMMYFUNCTION("""COMPUTED_VALUE"""),"320D")</f>
        <v>320D</v>
      </c>
      <c r="H2390" s="5" t="str">
        <f>IFERROR(__xludf.DUMMYFUNCTION("""COMPUTED_VALUE"""),"150 HP")</f>
        <v>150 HP</v>
      </c>
      <c r="I2390" s="5" t="str">
        <f>IFERROR(__xludf.DUMMYFUNCTION("""COMPUTED_VALUE"""),"CAT0320DJBWZ03000")</f>
        <v>CAT0320DJBWZ03000</v>
      </c>
      <c r="J2390" s="5" t="str">
        <f>IFERROR(__xludf.DUMMYFUNCTION("""COMPUTED_VALUE"""),"GDC17752")</f>
        <v>GDC17752</v>
      </c>
      <c r="K2390" s="5">
        <f>IFERROR(__xludf.DUMMYFUNCTION("""COMPUTED_VALUE"""),16.0)</f>
        <v>16</v>
      </c>
      <c r="L2390" s="5" t="str">
        <f>IFERROR(__xludf.DUMMYFUNCTION("""COMPUTED_VALUE"""),"Đang thuê")</f>
        <v>Đang thuê</v>
      </c>
    </row>
    <row r="2391">
      <c r="A2391" s="5" t="str">
        <f>IFERROR(__xludf.DUMMYFUNCTION("""COMPUTED_VALUE"""),"TNA-MĐA-041")</f>
        <v>TNA-MĐA-041</v>
      </c>
      <c r="B2391" s="3" t="str">
        <f>IFERROR(__xludf.DUMMYFUNCTION("""COMPUTED_VALUE"""),"Máy đào gàu 1.2m3")</f>
        <v>Máy đào gàu 1.2m3</v>
      </c>
      <c r="C2391" s="5" t="str">
        <f>IFERROR(__xludf.DUMMYFUNCTION("""COMPUTED_VALUE"""),"B.ĐTXD AD")</f>
        <v>B.ĐTXD AD</v>
      </c>
      <c r="D2391" s="5" t="str">
        <f>IFERROR(__xludf.DUMMYFUNCTION("""COMPUTED_VALUE"""),"JCB")</f>
        <v>JCB</v>
      </c>
      <c r="E2391" s="5"/>
      <c r="F2391" s="5">
        <f>IFERROR(__xludf.DUMMYFUNCTION("""COMPUTED_VALUE"""),2016.0)</f>
        <v>2016</v>
      </c>
      <c r="G2391" s="5" t="str">
        <f>IFERROR(__xludf.DUMMYFUNCTION("""COMPUTED_VALUE"""),"JS205LC")</f>
        <v>JS205LC</v>
      </c>
      <c r="H2391" s="5" t="str">
        <f>IFERROR(__xludf.DUMMYFUNCTION("""COMPUTED_VALUE"""),"140 HP")</f>
        <v>140 HP</v>
      </c>
      <c r="I2391" s="5" t="str">
        <f>IFERROR(__xludf.DUMMYFUNCTION("""COMPUTED_VALUE"""),"SHAJE20BVG2473194")</f>
        <v>SHAJE20BVG2473194</v>
      </c>
      <c r="J2391" s="5" t="str">
        <f>IFERROR(__xludf.DUMMYFUNCTION("""COMPUTED_VALUE"""),"84316624")</f>
        <v>84316624</v>
      </c>
      <c r="K2391" s="5">
        <f>IFERROR(__xludf.DUMMYFUNCTION("""COMPUTED_VALUE"""),15.0)</f>
        <v>15</v>
      </c>
      <c r="L2391" s="5" t="str">
        <f>IFERROR(__xludf.DUMMYFUNCTION("""COMPUTED_VALUE"""),"Đang thuê")</f>
        <v>Đang thuê</v>
      </c>
    </row>
    <row r="2392">
      <c r="A2392" s="5" t="str">
        <f>IFERROR(__xludf.DUMMYFUNCTION("""COMPUTED_VALUE"""),"TNA-MĐA-042")</f>
        <v>TNA-MĐA-042</v>
      </c>
      <c r="B2392" s="3" t="str">
        <f>IFERROR(__xludf.DUMMYFUNCTION("""COMPUTED_VALUE"""),"Máy đào gàu 1m3")</f>
        <v>Máy đào gàu 1m3</v>
      </c>
      <c r="C2392" s="5" t="str">
        <f>IFERROR(__xludf.DUMMYFUNCTION("""COMPUTED_VALUE"""),"B.ĐTXD AD")</f>
        <v>B.ĐTXD AD</v>
      </c>
      <c r="D2392" s="5" t="str">
        <f>IFERROR(__xludf.DUMMYFUNCTION("""COMPUTED_VALUE"""),"CAT")</f>
        <v>CAT</v>
      </c>
      <c r="E2392" s="5"/>
      <c r="F2392" s="5">
        <f>IFERROR(__xludf.DUMMYFUNCTION("""COMPUTED_VALUE"""),2006.0)</f>
        <v>2006</v>
      </c>
      <c r="G2392" s="5" t="str">
        <f>IFERROR(__xludf.DUMMYFUNCTION("""COMPUTED_VALUE"""),"320B")</f>
        <v>320B</v>
      </c>
      <c r="H2392" s="5" t="str">
        <f>IFERROR(__xludf.DUMMYFUNCTION("""COMPUTED_VALUE"""),"128 HP")</f>
        <v>128 HP</v>
      </c>
      <c r="I2392" s="5" t="str">
        <f>IFERROR(__xludf.DUMMYFUNCTION("""COMPUTED_VALUE"""),"3MR04504")</f>
        <v>3MR04504</v>
      </c>
      <c r="J2392" s="5" t="str">
        <f>IFERROR(__xludf.DUMMYFUNCTION("""COMPUTED_VALUE"""),"7JK32089")</f>
        <v>7JK32089</v>
      </c>
      <c r="K2392" s="5"/>
      <c r="L2392" s="5" t="str">
        <f>IFERROR(__xludf.DUMMYFUNCTION("""COMPUTED_VALUE"""),"Đang thuê")</f>
        <v>Đang thuê</v>
      </c>
    </row>
    <row r="2393">
      <c r="A2393" s="5" t="str">
        <f>IFERROR(__xludf.DUMMYFUNCTION("""COMPUTED_VALUE"""),"TNA-MĐA-043")</f>
        <v>TNA-MĐA-043</v>
      </c>
      <c r="B2393" s="3" t="str">
        <f>IFERROR(__xludf.DUMMYFUNCTION("""COMPUTED_VALUE"""),"Máy đào gàu 1m3")</f>
        <v>Máy đào gàu 1m3</v>
      </c>
      <c r="C2393" s="5" t="str">
        <f>IFERROR(__xludf.DUMMYFUNCTION("""COMPUTED_VALUE"""),"B.ĐTXD AD")</f>
        <v>B.ĐTXD AD</v>
      </c>
      <c r="D2393" s="5" t="str">
        <f>IFERROR(__xludf.DUMMYFUNCTION("""COMPUTED_VALUE"""),"CAT")</f>
        <v>CAT</v>
      </c>
      <c r="E2393" s="5"/>
      <c r="F2393" s="5">
        <f>IFERROR(__xludf.DUMMYFUNCTION("""COMPUTED_VALUE"""),2006.0)</f>
        <v>2006</v>
      </c>
      <c r="G2393" s="5" t="str">
        <f>IFERROR(__xludf.DUMMYFUNCTION("""COMPUTED_VALUE"""),"320C")</f>
        <v>320C</v>
      </c>
      <c r="H2393" s="5" t="str">
        <f>IFERROR(__xludf.DUMMYFUNCTION("""COMPUTED_VALUE"""),"138 HP")</f>
        <v>138 HP</v>
      </c>
      <c r="I2393" s="5" t="str">
        <f>IFERROR(__xludf.DUMMYFUNCTION("""COMPUTED_VALUE"""),"CAT0320CLGNG01610")</f>
        <v>CAT0320CLGNG01610</v>
      </c>
      <c r="J2393" s="5" t="str">
        <f>IFERROR(__xludf.DUMMYFUNCTION("""COMPUTED_VALUE"""),"7JK96955")</f>
        <v>7JK96955</v>
      </c>
      <c r="K2393" s="5"/>
      <c r="L2393" s="5" t="str">
        <f>IFERROR(__xludf.DUMMYFUNCTION("""COMPUTED_VALUE"""),"Đang thuê")</f>
        <v>Đang thuê</v>
      </c>
    </row>
    <row r="2394">
      <c r="A2394" s="5" t="str">
        <f>IFERROR(__xludf.DUMMYFUNCTION("""COMPUTED_VALUE"""),"TNA-MĐA-044")</f>
        <v>TNA-MĐA-044</v>
      </c>
      <c r="B2394" s="3" t="str">
        <f>IFERROR(__xludf.DUMMYFUNCTION("""COMPUTED_VALUE"""),"Máy đào gàu 1.2m3")</f>
        <v>Máy đào gàu 1.2m3</v>
      </c>
      <c r="C2394" s="5" t="str">
        <f>IFERROR(__xludf.DUMMYFUNCTION("""COMPUTED_VALUE"""),"B.ĐTXD AD")</f>
        <v>B.ĐTXD AD</v>
      </c>
      <c r="D2394" s="5" t="str">
        <f>IFERROR(__xludf.DUMMYFUNCTION("""COMPUTED_VALUE"""),"KOMATSU")</f>
        <v>KOMATSU</v>
      </c>
      <c r="E2394" s="5"/>
      <c r="F2394" s="5">
        <f>IFERROR(__xludf.DUMMYFUNCTION("""COMPUTED_VALUE"""),2020.0)</f>
        <v>2020</v>
      </c>
      <c r="G2394" s="5" t="str">
        <f>IFERROR(__xludf.DUMMYFUNCTION("""COMPUTED_VALUE"""),"PC210-10MO")</f>
        <v>PC210-10MO</v>
      </c>
      <c r="H2394" s="5" t="str">
        <f>IFERROR(__xludf.DUMMYFUNCTION("""COMPUTED_VALUE"""),"165 HP")</f>
        <v>165 HP</v>
      </c>
      <c r="I2394" s="5" t="str">
        <f>IFERROR(__xludf.DUMMYFUNCTION("""COMPUTED_VALUE"""),"KMTPC28CLTC02447")</f>
        <v>KMTPC28CLTC02447</v>
      </c>
      <c r="J2394" s="5" t="str">
        <f>IFERROR(__xludf.DUMMYFUNCTION("""COMPUTED_VALUE"""),"6D107-2672453")</f>
        <v>6D107-2672453</v>
      </c>
      <c r="K2394" s="5">
        <f>IFERROR(__xludf.DUMMYFUNCTION("""COMPUTED_VALUE"""),12.8)</f>
        <v>12.8</v>
      </c>
      <c r="L2394" s="5" t="str">
        <f>IFERROR(__xludf.DUMMYFUNCTION("""COMPUTED_VALUE"""),"Đang thuê")</f>
        <v>Đang thuê</v>
      </c>
    </row>
    <row r="2395">
      <c r="A2395" s="5" t="str">
        <f>IFERROR(__xludf.DUMMYFUNCTION("""COMPUTED_VALUE"""),"TNA-MĐA-045")</f>
        <v>TNA-MĐA-045</v>
      </c>
      <c r="B2395" s="3" t="str">
        <f>IFERROR(__xludf.DUMMYFUNCTION("""COMPUTED_VALUE"""),"Máy đào gàu 0,8m3")</f>
        <v>Máy đào gàu 0,8m3</v>
      </c>
      <c r="C2395" s="5" t="str">
        <f>IFERROR(__xludf.DUMMYFUNCTION("""COMPUTED_VALUE"""),"B.ĐTXD AD")</f>
        <v>B.ĐTXD AD</v>
      </c>
      <c r="D2395" s="5" t="str">
        <f>IFERROR(__xludf.DUMMYFUNCTION("""COMPUTED_VALUE"""),"JCB")</f>
        <v>JCB</v>
      </c>
      <c r="E2395" s="5"/>
      <c r="F2395" s="5">
        <f>IFERROR(__xludf.DUMMYFUNCTION("""COMPUTED_VALUE"""),2007.0)</f>
        <v>2007</v>
      </c>
      <c r="G2395" s="5" t="str">
        <f>IFERROR(__xludf.DUMMYFUNCTION("""COMPUTED_VALUE"""),"JS180LC")</f>
        <v>JS180LC</v>
      </c>
      <c r="H2395" s="5" t="str">
        <f>IFERROR(__xludf.DUMMYFUNCTION("""COMPUTED_VALUE"""),"123 HP")</f>
        <v>123 HP</v>
      </c>
      <c r="I2395" s="5" t="str">
        <f>IFERROR(__xludf.DUMMYFUNCTION("""COMPUTED_VALUE"""),"JCBJS1L6V71059554")</f>
        <v>JCBJS1L6V71059554</v>
      </c>
      <c r="J2395" s="5" t="str">
        <f>IFERROR(__xludf.DUMMYFUNCTION("""COMPUTED_VALUE"""),"NIL")</f>
        <v>NIL</v>
      </c>
      <c r="K2395" s="5">
        <f>IFERROR(__xludf.DUMMYFUNCTION("""COMPUTED_VALUE"""),10.8)</f>
        <v>10.8</v>
      </c>
      <c r="L2395" s="5" t="str">
        <f>IFERROR(__xludf.DUMMYFUNCTION("""COMPUTED_VALUE"""),"Đang thuê")</f>
        <v>Đang thuê</v>
      </c>
    </row>
    <row r="2396">
      <c r="A2396" s="5" t="str">
        <f>IFERROR(__xludf.DUMMYFUNCTION("""COMPUTED_VALUE"""),"Máy ủi")</f>
        <v>Máy ủi</v>
      </c>
      <c r="B2396" s="3" t="str">
        <f>IFERROR(__xludf.DUMMYFUNCTION("""COMPUTED_VALUE"""),"6")</f>
        <v>6</v>
      </c>
      <c r="C2396" s="5"/>
      <c r="D2396" s="5"/>
      <c r="E2396" s="5"/>
      <c r="F2396" s="5"/>
      <c r="G2396" s="5"/>
      <c r="H2396" s="5"/>
      <c r="I2396" s="5"/>
      <c r="J2396" s="5"/>
      <c r="K2396" s="5"/>
      <c r="L2396" s="5" t="str">
        <f>IFERROR(__xludf.DUMMYFUNCTION("""COMPUTED_VALUE"""),"0")</f>
        <v>0</v>
      </c>
    </row>
    <row r="2397">
      <c r="A2397" s="5" t="str">
        <f>IFERROR(__xludf.DUMMYFUNCTION("""COMPUTED_VALUE"""),"TNA-MUI-001")</f>
        <v>TNA-MUI-001</v>
      </c>
      <c r="B2397" s="3" t="str">
        <f>IFERROR(__xludf.DUMMYFUNCTION("""COMPUTED_VALUE"""),"Máy ủi KOMATSU D31")</f>
        <v>Máy ủi KOMATSU D31</v>
      </c>
      <c r="C2397" s="5" t="str">
        <f>IFERROR(__xludf.DUMMYFUNCTION("""COMPUTED_VALUE"""),"B.ĐTXD AD")</f>
        <v>B.ĐTXD AD</v>
      </c>
      <c r="D2397" s="5" t="str">
        <f>IFERROR(__xludf.DUMMYFUNCTION("""COMPUTED_VALUE"""),"KOMATSU")</f>
        <v>KOMATSU</v>
      </c>
      <c r="E2397" s="5"/>
      <c r="F2397" s="5">
        <f>IFERROR(__xludf.DUMMYFUNCTION("""COMPUTED_VALUE"""),1997.0)</f>
        <v>1997</v>
      </c>
      <c r="G2397" s="5" t="str">
        <f>IFERROR(__xludf.DUMMYFUNCTION("""COMPUTED_VALUE"""),"D31")</f>
        <v>D31</v>
      </c>
      <c r="H2397" s="5"/>
      <c r="I2397" s="5" t="str">
        <f>IFERROR(__xludf.DUMMYFUNCTION("""COMPUTED_VALUE"""),"D31S18-40205")</f>
        <v>D31S18-40205</v>
      </c>
      <c r="J2397" s="5" t="str">
        <f>IFERROR(__xludf.DUMMYFUNCTION("""COMPUTED_VALUE"""),"6D952-455518")</f>
        <v>6D952-455518</v>
      </c>
      <c r="K2397" s="5"/>
      <c r="L2397" s="5"/>
    </row>
    <row r="2398">
      <c r="A2398" s="5" t="str">
        <f>IFERROR(__xludf.DUMMYFUNCTION("""COMPUTED_VALUE"""),"TNA-MUI-002")</f>
        <v>TNA-MUI-002</v>
      </c>
      <c r="B2398" s="3" t="str">
        <f>IFERROR(__xludf.DUMMYFUNCTION("""COMPUTED_VALUE"""),"Máy ủi CAT D5")</f>
        <v>Máy ủi CAT D5</v>
      </c>
      <c r="C2398" s="5" t="str">
        <f>IFERROR(__xludf.DUMMYFUNCTION("""COMPUTED_VALUE"""),"B.ĐTXD AD")</f>
        <v>B.ĐTXD AD</v>
      </c>
      <c r="D2398" s="5" t="str">
        <f>IFERROR(__xludf.DUMMYFUNCTION("""COMPUTED_VALUE"""),"CAT")</f>
        <v>CAT</v>
      </c>
      <c r="E2398" s="5"/>
      <c r="F2398" s="5">
        <f>IFERROR(__xludf.DUMMYFUNCTION("""COMPUTED_VALUE"""),1980.0)</f>
        <v>1980</v>
      </c>
      <c r="G2398" s="5" t="str">
        <f>IFERROR(__xludf.DUMMYFUNCTION("""COMPUTED_VALUE"""),"D5")</f>
        <v>D5</v>
      </c>
      <c r="H2398" s="5"/>
      <c r="I2398" s="5" t="str">
        <f>IFERROR(__xludf.DUMMYFUNCTION("""COMPUTED_VALUE"""),"68J441")</f>
        <v>68J441</v>
      </c>
      <c r="J2398" s="5" t="str">
        <f>IFERROR(__xludf.DUMMYFUNCTION("""COMPUTED_VALUE"""),"LN330644")</f>
        <v>LN330644</v>
      </c>
      <c r="K2398" s="5"/>
      <c r="L2398" s="5"/>
    </row>
    <row r="2399">
      <c r="A2399" s="5" t="str">
        <f>IFERROR(__xludf.DUMMYFUNCTION("""COMPUTED_VALUE"""),"TNA-MUI-003")</f>
        <v>TNA-MUI-003</v>
      </c>
      <c r="B2399" s="3" t="str">
        <f>IFERROR(__xludf.DUMMYFUNCTION("""COMPUTED_VALUE"""),"Máy ủi KOMATSU D31")</f>
        <v>Máy ủi KOMATSU D31</v>
      </c>
      <c r="C2399" s="5" t="str">
        <f>IFERROR(__xludf.DUMMYFUNCTION("""COMPUTED_VALUE"""),"B.ĐTXD AD")</f>
        <v>B.ĐTXD AD</v>
      </c>
      <c r="D2399" s="5" t="str">
        <f>IFERROR(__xludf.DUMMYFUNCTION("""COMPUTED_VALUE"""),"KOMATSU")</f>
        <v>KOMATSU</v>
      </c>
      <c r="E2399" s="5" t="str">
        <f>IFERROR(__xludf.DUMMYFUNCTION("""COMPUTED_VALUE"""),"NHẬT BẢN")</f>
        <v>NHẬT BẢN</v>
      </c>
      <c r="F2399" s="5"/>
      <c r="G2399" s="5" t="str">
        <f>IFERROR(__xludf.DUMMYFUNCTION("""COMPUTED_VALUE"""),"D31P-8")</f>
        <v>D31P-8</v>
      </c>
      <c r="H2399" s="5" t="str">
        <f>IFERROR(__xludf.DUMMYFUNCTION("""COMPUTED_VALUE"""),"52HP")</f>
        <v>52HP</v>
      </c>
      <c r="I2399" s="5" t="str">
        <f>IFERROR(__xludf.DUMMYFUNCTION("""COMPUTED_VALUE"""),"44736")</f>
        <v>44736</v>
      </c>
      <c r="J2399" s="5" t="str">
        <f>IFERROR(__xludf.DUMMYFUNCTION("""COMPUTED_VALUE"""),"32479")</f>
        <v>32479</v>
      </c>
      <c r="K2399" s="5"/>
      <c r="L2399" s="5"/>
    </row>
    <row r="2400">
      <c r="A2400" s="5" t="str">
        <f>IFERROR(__xludf.DUMMYFUNCTION("""COMPUTED_VALUE"""),"TNA-MUI-004")</f>
        <v>TNA-MUI-004</v>
      </c>
      <c r="B2400" s="3" t="str">
        <f>IFERROR(__xludf.DUMMYFUNCTION("""COMPUTED_VALUE"""),"Máy ủi D40P")</f>
        <v>Máy ủi D40P</v>
      </c>
      <c r="C2400" s="5" t="str">
        <f>IFERROR(__xludf.DUMMYFUNCTION("""COMPUTED_VALUE"""),"B.ĐTXD AD")</f>
        <v>B.ĐTXD AD</v>
      </c>
      <c r="D2400" s="5" t="str">
        <f>IFERROR(__xludf.DUMMYFUNCTION("""COMPUTED_VALUE"""),"KOMATSU")</f>
        <v>KOMATSU</v>
      </c>
      <c r="E2400" s="5"/>
      <c r="F2400" s="5">
        <f>IFERROR(__xludf.DUMMYFUNCTION("""COMPUTED_VALUE"""),1980.0)</f>
        <v>1980</v>
      </c>
      <c r="G2400" s="5" t="str">
        <f>IFERROR(__xludf.DUMMYFUNCTION("""COMPUTED_VALUE"""),"D40P")</f>
        <v>D40P</v>
      </c>
      <c r="H2400" s="5"/>
      <c r="I2400" s="5" t="str">
        <f>IFERROR(__xludf.DUMMYFUNCTION("""COMPUTED_VALUE"""),"D40P-1-33202")</f>
        <v>D40P-1-33202</v>
      </c>
      <c r="J2400" s="5" t="str">
        <f>IFERROR(__xludf.DUMMYFUNCTION("""COMPUTED_VALUE"""),"NIL")</f>
        <v>NIL</v>
      </c>
      <c r="K2400" s="5">
        <f>IFERROR(__xludf.DUMMYFUNCTION("""COMPUTED_VALUE"""),12.0)</f>
        <v>12</v>
      </c>
      <c r="L2400" s="5"/>
    </row>
    <row r="2401">
      <c r="A2401" s="5" t="str">
        <f>IFERROR(__xludf.DUMMYFUNCTION("""COMPUTED_VALUE"""),"TNA-MUI-005")</f>
        <v>TNA-MUI-005</v>
      </c>
      <c r="B2401" s="3" t="str">
        <f>IFERROR(__xludf.DUMMYFUNCTION("""COMPUTED_VALUE"""),"Máy ủi D31-P")</f>
        <v>Máy ủi D31-P</v>
      </c>
      <c r="C2401" s="5" t="str">
        <f>IFERROR(__xludf.DUMMYFUNCTION("""COMPUTED_VALUE"""),"B.ĐTXD AD")</f>
        <v>B.ĐTXD AD</v>
      </c>
      <c r="D2401" s="5" t="str">
        <f>IFERROR(__xludf.DUMMYFUNCTION("""COMPUTED_VALUE"""),"KOMATSU")</f>
        <v>KOMATSU</v>
      </c>
      <c r="E2401" s="5"/>
      <c r="F2401" s="5">
        <f>IFERROR(__xludf.DUMMYFUNCTION("""COMPUTED_VALUE"""),1995.0)</f>
        <v>1995</v>
      </c>
      <c r="G2401" s="5" t="str">
        <f>IFERROR(__xludf.DUMMYFUNCTION("""COMPUTED_VALUE"""),"D31-P")</f>
        <v>D31-P</v>
      </c>
      <c r="H2401" s="5"/>
      <c r="I2401" s="5" t="str">
        <f>IFERROR(__xludf.DUMMYFUNCTION("""COMPUTED_VALUE"""),"40203")</f>
        <v>40203</v>
      </c>
      <c r="J2401" s="5" t="str">
        <f>IFERROR(__xludf.DUMMYFUNCTION("""COMPUTED_VALUE"""),"32404")</f>
        <v>32404</v>
      </c>
      <c r="K2401" s="5"/>
      <c r="L2401" s="5"/>
    </row>
    <row r="2402">
      <c r="A2402" s="5" t="str">
        <f>IFERROR(__xludf.DUMMYFUNCTION("""COMPUTED_VALUE"""),"TNA-MUI-006")</f>
        <v>TNA-MUI-006</v>
      </c>
      <c r="B2402" s="3" t="str">
        <f>IFERROR(__xludf.DUMMYFUNCTION("""COMPUTED_VALUE"""),"Máy ủi D3")</f>
        <v>Máy ủi D3</v>
      </c>
      <c r="C2402" s="5" t="str">
        <f>IFERROR(__xludf.DUMMYFUNCTION("""COMPUTED_VALUE"""),"B.ĐTXD AD")</f>
        <v>B.ĐTXD AD</v>
      </c>
      <c r="D2402" s="5" t="str">
        <f>IFERROR(__xludf.DUMMYFUNCTION("""COMPUTED_VALUE"""),"CAT")</f>
        <v>CAT</v>
      </c>
      <c r="E2402" s="5"/>
      <c r="F2402" s="5">
        <f>IFERROR(__xludf.DUMMYFUNCTION("""COMPUTED_VALUE"""),1986.0)</f>
        <v>1986</v>
      </c>
      <c r="G2402" s="5" t="str">
        <f>IFERROR(__xludf.DUMMYFUNCTION("""COMPUTED_VALUE"""),"D3")</f>
        <v>D3</v>
      </c>
      <c r="H2402" s="5"/>
      <c r="I2402" s="5" t="str">
        <f>IFERROR(__xludf.DUMMYFUNCTION("""COMPUTED_VALUE"""),"26N0940")</f>
        <v>26N0940</v>
      </c>
      <c r="J2402" s="5" t="str">
        <f>IFERROR(__xludf.DUMMYFUNCTION("""COMPUTED_VALUE"""),"4SV17621")</f>
        <v>4SV17621</v>
      </c>
      <c r="K2402" s="5">
        <f>IFERROR(__xludf.DUMMYFUNCTION("""COMPUTED_VALUE"""),7.0)</f>
        <v>7</v>
      </c>
      <c r="L2402" s="5"/>
    </row>
    <row r="2403">
      <c r="A2403" s="5" t="str">
        <f>IFERROR(__xludf.DUMMYFUNCTION("""COMPUTED_VALUE"""),"Xe lu")</f>
        <v>Xe lu</v>
      </c>
      <c r="B2403" s="3" t="str">
        <f>IFERROR(__xludf.DUMMYFUNCTION("""COMPUTED_VALUE"""),"1")</f>
        <v>1</v>
      </c>
      <c r="C2403" s="5"/>
      <c r="D2403" s="5"/>
      <c r="E2403" s="5"/>
      <c r="F2403" s="5"/>
      <c r="G2403" s="5"/>
      <c r="H2403" s="5"/>
      <c r="I2403" s="5"/>
      <c r="J2403" s="5"/>
      <c r="K2403" s="5"/>
      <c r="L2403" s="5" t="str">
        <f>IFERROR(__xludf.DUMMYFUNCTION("""COMPUTED_VALUE"""),"0")</f>
        <v>0</v>
      </c>
    </row>
    <row r="2404">
      <c r="A2404" s="5" t="str">
        <f>IFERROR(__xludf.DUMMYFUNCTION("""COMPUTED_VALUE"""),"TNA-XLU-001")</f>
        <v>TNA-XLU-001</v>
      </c>
      <c r="B2404" s="3" t="str">
        <f>IFERROR(__xludf.DUMMYFUNCTION("""COMPUTED_VALUE"""),"Xe Lu 14 tấn")</f>
        <v>Xe Lu 14 tấn</v>
      </c>
      <c r="C2404" s="5" t="str">
        <f>IFERROR(__xludf.DUMMYFUNCTION("""COMPUTED_VALUE"""),"B.ĐTXD AD")</f>
        <v>B.ĐTXD AD</v>
      </c>
      <c r="D2404" s="5" t="str">
        <f>IFERROR(__xludf.DUMMYFUNCTION("""COMPUTED_VALUE"""),"KOMATSU")</f>
        <v>KOMATSU</v>
      </c>
      <c r="E2404" s="5"/>
      <c r="F2404" s="5">
        <f>IFERROR(__xludf.DUMMYFUNCTION("""COMPUTED_VALUE"""),2019.0)</f>
        <v>2019</v>
      </c>
      <c r="G2404" s="5" t="str">
        <f>IFERROR(__xludf.DUMMYFUNCTION("""COMPUTED_VALUE"""),"HAMM31")</f>
        <v>HAMM31</v>
      </c>
      <c r="H2404" s="5" t="str">
        <f>IFERROR(__xludf.DUMMYFUNCTION("""COMPUTED_VALUE"""),"130HP")</f>
        <v>130HP</v>
      </c>
      <c r="I2404" s="5" t="str">
        <f>IFERROR(__xludf.DUMMYFUNCTION("""COMPUTED_VALUE"""),"WHB0H216 CJ0003734")</f>
        <v>WHB0H216 CJ0003734</v>
      </c>
      <c r="J2404" s="5" t="str">
        <f>IFERROR(__xludf.DUMMYFUNCTION("""COMPUTED_VALUE"""),"81M84-84-70-77")</f>
        <v>81M84-84-70-77</v>
      </c>
      <c r="K2404" s="5">
        <f>IFERROR(__xludf.DUMMYFUNCTION("""COMPUTED_VALUE"""),7.15)</f>
        <v>7.15</v>
      </c>
      <c r="L2404" s="5" t="str">
        <f>IFERROR(__xludf.DUMMYFUNCTION("""COMPUTED_VALUE"""),"-")</f>
        <v>-</v>
      </c>
    </row>
    <row r="2405">
      <c r="A2405" s="5" t="str">
        <f>IFERROR(__xludf.DUMMYFUNCTION("""COMPUTED_VALUE"""),"Xe ben")</f>
        <v>Xe ben</v>
      </c>
      <c r="B2405" s="3" t="str">
        <f>IFERROR(__xludf.DUMMYFUNCTION("""COMPUTED_VALUE"""),"73")</f>
        <v>73</v>
      </c>
      <c r="C2405" s="5"/>
      <c r="D2405" s="5"/>
      <c r="E2405" s="5"/>
      <c r="F2405" s="5"/>
      <c r="G2405" s="5"/>
      <c r="H2405" s="5"/>
      <c r="I2405" s="5"/>
      <c r="J2405" s="5"/>
      <c r="K2405" s="5"/>
      <c r="L2405" s="5" t="str">
        <f>IFERROR(__xludf.DUMMYFUNCTION("""COMPUTED_VALUE"""),"8")</f>
        <v>8</v>
      </c>
    </row>
    <row r="2406">
      <c r="A2406" s="5" t="str">
        <f>IFERROR(__xludf.DUMMYFUNCTION("""COMPUTED_VALUE"""),"TNA-XTA-001")</f>
        <v>TNA-XTA-001</v>
      </c>
      <c r="B2406" s="3" t="str">
        <f>IFERROR(__xludf.DUMMYFUNCTION("""COMPUTED_VALUE"""),"Xe ben 15 tấn")</f>
        <v>Xe ben 15 tấn</v>
      </c>
      <c r="C2406" s="5" t="str">
        <f>IFERROR(__xludf.DUMMYFUNCTION("""COMPUTED_VALUE"""),"B.ĐTXD AD")</f>
        <v>B.ĐTXD AD</v>
      </c>
      <c r="D2406" s="5" t="str">
        <f>IFERROR(__xludf.DUMMYFUNCTION("""COMPUTED_VALUE"""),"HYUNDAI")</f>
        <v>HYUNDAI</v>
      </c>
      <c r="E2406" s="5"/>
      <c r="F2406" s="5">
        <f>IFERROR(__xludf.DUMMYFUNCTION("""COMPUTED_VALUE"""),1995.0)</f>
        <v>1995</v>
      </c>
      <c r="G2406" s="5"/>
      <c r="H2406" s="5" t="str">
        <f>IFERROR(__xludf.DUMMYFUNCTION("""COMPUTED_VALUE"""),"320HP")</f>
        <v>320HP</v>
      </c>
      <c r="I2406" s="5" t="str">
        <f>IFERROR(__xludf.DUMMYFUNCTION("""COMPUTED_VALUE"""),"N/A")</f>
        <v>N/A</v>
      </c>
      <c r="J2406" s="5" t="str">
        <f>IFERROR(__xludf.DUMMYFUNCTION("""COMPUTED_VALUE"""),"D8AYS133292")</f>
        <v>D8AYS133292</v>
      </c>
      <c r="K2406" s="5"/>
      <c r="L2406" s="5" t="str">
        <f>IFERROR(__xludf.DUMMYFUNCTION("""COMPUTED_VALUE"""),"-")</f>
        <v>-</v>
      </c>
    </row>
    <row r="2407">
      <c r="A2407" s="5" t="str">
        <f>IFERROR(__xludf.DUMMYFUNCTION("""COMPUTED_VALUE"""),"TNA-XTA-002")</f>
        <v>TNA-XTA-002</v>
      </c>
      <c r="B2407" s="3" t="str">
        <f>IFERROR(__xludf.DUMMYFUNCTION("""COMPUTED_VALUE"""),"Xe ben 15 tấn")</f>
        <v>Xe ben 15 tấn</v>
      </c>
      <c r="C2407" s="5" t="str">
        <f>IFERROR(__xludf.DUMMYFUNCTION("""COMPUTED_VALUE"""),"B.ĐTXD AD")</f>
        <v>B.ĐTXD AD</v>
      </c>
      <c r="D2407" s="5" t="str">
        <f>IFERROR(__xludf.DUMMYFUNCTION("""COMPUTED_VALUE"""),"HYUNDAI")</f>
        <v>HYUNDAI</v>
      </c>
      <c r="E2407" s="5"/>
      <c r="F2407" s="5">
        <f>IFERROR(__xludf.DUMMYFUNCTION("""COMPUTED_VALUE"""),1996.0)</f>
        <v>1996</v>
      </c>
      <c r="G2407" s="5"/>
      <c r="H2407" s="5" t="str">
        <f>IFERROR(__xludf.DUMMYFUNCTION("""COMPUTED_VALUE"""),"320HP")</f>
        <v>320HP</v>
      </c>
      <c r="I2407" s="5" t="str">
        <f>IFERROR(__xludf.DUMMYFUNCTION("""COMPUTED_VALUE"""),"N/A")</f>
        <v>N/A</v>
      </c>
      <c r="J2407" s="5" t="str">
        <f>IFERROR(__xludf.DUMMYFUNCTION("""COMPUTED_VALUE"""),"D8AYT000324")</f>
        <v>D8AYT000324</v>
      </c>
      <c r="K2407" s="5"/>
      <c r="L2407" s="5" t="str">
        <f>IFERROR(__xludf.DUMMYFUNCTION("""COMPUTED_VALUE"""),"-")</f>
        <v>-</v>
      </c>
    </row>
    <row r="2408">
      <c r="A2408" s="5" t="str">
        <f>IFERROR(__xludf.DUMMYFUNCTION("""COMPUTED_VALUE"""),"TNA-XTA-003")</f>
        <v>TNA-XTA-003</v>
      </c>
      <c r="B2408" s="3" t="str">
        <f>IFERROR(__xludf.DUMMYFUNCTION("""COMPUTED_VALUE"""),"Xe ben 15 tấn")</f>
        <v>Xe ben 15 tấn</v>
      </c>
      <c r="C2408" s="5" t="str">
        <f>IFERROR(__xludf.DUMMYFUNCTION("""COMPUTED_VALUE"""),"B.ĐTXD AD")</f>
        <v>B.ĐTXD AD</v>
      </c>
      <c r="D2408" s="5" t="str">
        <f>IFERROR(__xludf.DUMMYFUNCTION("""COMPUTED_VALUE"""),"DAEWOO")</f>
        <v>DAEWOO</v>
      </c>
      <c r="E2408" s="5"/>
      <c r="F2408" s="5">
        <f>IFERROR(__xludf.DUMMYFUNCTION("""COMPUTED_VALUE"""),2007.0)</f>
        <v>2007</v>
      </c>
      <c r="G2408" s="5"/>
      <c r="H2408" s="5" t="str">
        <f>IFERROR(__xludf.DUMMYFUNCTION("""COMPUTED_VALUE"""),"335HP")</f>
        <v>335HP</v>
      </c>
      <c r="I2408" s="5" t="str">
        <f>IFERROR(__xludf.DUMMYFUNCTION("""COMPUTED_VALUE"""),"N/A")</f>
        <v>N/A</v>
      </c>
      <c r="J2408" s="5" t="str">
        <f>IFERROR(__xludf.DUMMYFUNCTION("""COMPUTED_VALUE"""),"KL3N8ENF 17K000670")</f>
        <v>KL3N8ENF 17K000670</v>
      </c>
      <c r="K2408" s="5"/>
      <c r="L2408" s="5" t="str">
        <f>IFERROR(__xludf.DUMMYFUNCTION("""COMPUTED_VALUE"""),"-")</f>
        <v>-</v>
      </c>
    </row>
    <row r="2409">
      <c r="A2409" s="5" t="str">
        <f>IFERROR(__xludf.DUMMYFUNCTION("""COMPUTED_VALUE"""),"TNA-XTA-004")</f>
        <v>TNA-XTA-004</v>
      </c>
      <c r="B2409" s="3" t="str">
        <f>IFERROR(__xludf.DUMMYFUNCTION("""COMPUTED_VALUE"""),"Xe ben 15 tấn")</f>
        <v>Xe ben 15 tấn</v>
      </c>
      <c r="C2409" s="5" t="str">
        <f>IFERROR(__xludf.DUMMYFUNCTION("""COMPUTED_VALUE"""),"B.ĐTXD AD")</f>
        <v>B.ĐTXD AD</v>
      </c>
      <c r="D2409" s="5" t="str">
        <f>IFERROR(__xludf.DUMMYFUNCTION("""COMPUTED_VALUE"""),"SCANIA")</f>
        <v>SCANIA</v>
      </c>
      <c r="E2409" s="5"/>
      <c r="F2409" s="5">
        <f>IFERROR(__xludf.DUMMYFUNCTION("""COMPUTED_VALUE"""),2003.0)</f>
        <v>2003</v>
      </c>
      <c r="G2409" s="5"/>
      <c r="H2409" s="5" t="str">
        <f>IFERROR(__xludf.DUMMYFUNCTION("""COMPUTED_VALUE"""),"340HP")</f>
        <v>340HP</v>
      </c>
      <c r="I2409" s="5" t="str">
        <f>IFERROR(__xludf.DUMMYFUNCTION("""COMPUTED_VALUE"""),"9BSP8X40033541459")</f>
        <v>9BSP8X40033541459</v>
      </c>
      <c r="J2409" s="5" t="str">
        <f>IFERROR(__xludf.DUMMYFUNCTION("""COMPUTED_VALUE"""),"DC1104L018021777")</f>
        <v>DC1104L018021777</v>
      </c>
      <c r="K2409" s="5"/>
      <c r="L2409" s="5" t="str">
        <f>IFERROR(__xludf.DUMMYFUNCTION("""COMPUTED_VALUE"""),"-")</f>
        <v>-</v>
      </c>
    </row>
    <row r="2410">
      <c r="A2410" s="5" t="str">
        <f>IFERROR(__xludf.DUMMYFUNCTION("""COMPUTED_VALUE"""),"TNA-XTA-005")</f>
        <v>TNA-XTA-005</v>
      </c>
      <c r="B2410" s="3" t="str">
        <f>IFERROR(__xludf.DUMMYFUNCTION("""COMPUTED_VALUE"""),"Xe ben 15 tấn")</f>
        <v>Xe ben 15 tấn</v>
      </c>
      <c r="C2410" s="5" t="str">
        <f>IFERROR(__xludf.DUMMYFUNCTION("""COMPUTED_VALUE"""),"B.ĐTXD AD")</f>
        <v>B.ĐTXD AD</v>
      </c>
      <c r="D2410" s="5" t="str">
        <f>IFERROR(__xludf.DUMMYFUNCTION("""COMPUTED_VALUE"""),"ASIAGBANTO")</f>
        <v>ASIAGBANTO</v>
      </c>
      <c r="E2410" s="5"/>
      <c r="F2410" s="5">
        <f>IFERROR(__xludf.DUMMYFUNCTION("""COMPUTED_VALUE"""),1995.0)</f>
        <v>1995</v>
      </c>
      <c r="G2410" s="5"/>
      <c r="H2410" s="5" t="str">
        <f>IFERROR(__xludf.DUMMYFUNCTION("""COMPUTED_VALUE"""),"320HP")</f>
        <v>320HP</v>
      </c>
      <c r="I2410" s="5" t="str">
        <f>IFERROR(__xludf.DUMMYFUNCTION("""COMPUTED_VALUE"""),"N/A")</f>
        <v>N/A</v>
      </c>
      <c r="J2410" s="5" t="str">
        <f>IFERROR(__xludf.DUMMYFUNCTION("""COMPUTED_VALUE"""),"EE750005700")</f>
        <v>EE750005700</v>
      </c>
      <c r="K2410" s="5"/>
      <c r="L2410" s="5" t="str">
        <f>IFERROR(__xludf.DUMMYFUNCTION("""COMPUTED_VALUE"""),"-")</f>
        <v>-</v>
      </c>
    </row>
    <row r="2411">
      <c r="A2411" s="5" t="str">
        <f>IFERROR(__xludf.DUMMYFUNCTION("""COMPUTED_VALUE"""),"TNA-XTA-006")</f>
        <v>TNA-XTA-006</v>
      </c>
      <c r="B2411" s="3" t="str">
        <f>IFERROR(__xludf.DUMMYFUNCTION("""COMPUTED_VALUE"""),"Xe ben 15 tấn")</f>
        <v>Xe ben 15 tấn</v>
      </c>
      <c r="C2411" s="5" t="str">
        <f>IFERROR(__xludf.DUMMYFUNCTION("""COMPUTED_VALUE"""),"B.ĐTXD AD")</f>
        <v>B.ĐTXD AD</v>
      </c>
      <c r="D2411" s="5" t="str">
        <f>IFERROR(__xludf.DUMMYFUNCTION("""COMPUTED_VALUE"""),"HYUNDAI")</f>
        <v>HYUNDAI</v>
      </c>
      <c r="E2411" s="5"/>
      <c r="F2411" s="5">
        <f>IFERROR(__xludf.DUMMYFUNCTION("""COMPUTED_VALUE"""),1995.0)</f>
        <v>1995</v>
      </c>
      <c r="G2411" s="5"/>
      <c r="H2411" s="5" t="str">
        <f>IFERROR(__xludf.DUMMYFUNCTION("""COMPUTED_VALUE"""),"320HP")</f>
        <v>320HP</v>
      </c>
      <c r="I2411" s="5" t="str">
        <f>IFERROR(__xludf.DUMMYFUNCTION("""COMPUTED_VALUE"""),"N/A")</f>
        <v>N/A</v>
      </c>
      <c r="J2411" s="5" t="str">
        <f>IFERROR(__xludf.DUMMYFUNCTION("""COMPUTED_VALUE"""),"D8AVS138219")</f>
        <v>D8AVS138219</v>
      </c>
      <c r="K2411" s="5"/>
      <c r="L2411" s="5" t="str">
        <f>IFERROR(__xludf.DUMMYFUNCTION("""COMPUTED_VALUE"""),"-")</f>
        <v>-</v>
      </c>
    </row>
    <row r="2412">
      <c r="A2412" s="5" t="str">
        <f>IFERROR(__xludf.DUMMYFUNCTION("""COMPUTED_VALUE"""),"TNA-XTA-007")</f>
        <v>TNA-XTA-007</v>
      </c>
      <c r="B2412" s="3" t="str">
        <f>IFERROR(__xludf.DUMMYFUNCTION("""COMPUTED_VALUE"""),"Xe ben 25 tấn")</f>
        <v>Xe ben 25 tấn</v>
      </c>
      <c r="C2412" s="5" t="str">
        <f>IFERROR(__xludf.DUMMYFUNCTION("""COMPUTED_VALUE"""),"B.ĐTXD AD")</f>
        <v>B.ĐTXD AD</v>
      </c>
      <c r="D2412" s="5" t="str">
        <f>IFERROR(__xludf.DUMMYFUNCTION("""COMPUTED_VALUE"""),"HYUNDAI")</f>
        <v>HYUNDAI</v>
      </c>
      <c r="E2412" s="5"/>
      <c r="F2412" s="5">
        <f>IFERROR(__xludf.DUMMYFUNCTION("""COMPUTED_VALUE"""),2008.0)</f>
        <v>2008</v>
      </c>
      <c r="G2412" s="5"/>
      <c r="H2412" s="5" t="str">
        <f>IFERROR(__xludf.DUMMYFUNCTION("""COMPUTED_VALUE"""),"320HP")</f>
        <v>320HP</v>
      </c>
      <c r="I2412" s="5" t="str">
        <f>IFERROR(__xludf.DUMMYFUNCTION("""COMPUTED_VALUE"""),"N/A")</f>
        <v>N/A</v>
      </c>
      <c r="J2412" s="5" t="str">
        <f>IFERROR(__xludf.DUMMYFUNCTION("""COMPUTED_VALUE"""),"D6CC8159236")</f>
        <v>D6CC8159236</v>
      </c>
      <c r="K2412" s="5"/>
      <c r="L2412" s="5" t="str">
        <f>IFERROR(__xludf.DUMMYFUNCTION("""COMPUTED_VALUE"""),"-")</f>
        <v>-</v>
      </c>
    </row>
    <row r="2413">
      <c r="A2413" s="5" t="str">
        <f>IFERROR(__xludf.DUMMYFUNCTION("""COMPUTED_VALUE"""),"TNA-XTA-008")</f>
        <v>TNA-XTA-008</v>
      </c>
      <c r="B2413" s="3" t="str">
        <f>IFERROR(__xludf.DUMMYFUNCTION("""COMPUTED_VALUE"""),"Xe ben 25 tấn")</f>
        <v>Xe ben 25 tấn</v>
      </c>
      <c r="C2413" s="5" t="str">
        <f>IFERROR(__xludf.DUMMYFUNCTION("""COMPUTED_VALUE"""),"B.ĐTXD AD")</f>
        <v>B.ĐTXD AD</v>
      </c>
      <c r="D2413" s="5" t="str">
        <f>IFERROR(__xludf.DUMMYFUNCTION("""COMPUTED_VALUE"""),"HYUNDAI")</f>
        <v>HYUNDAI</v>
      </c>
      <c r="E2413" s="5"/>
      <c r="F2413" s="5">
        <f>IFERROR(__xludf.DUMMYFUNCTION("""COMPUTED_VALUE"""),2007.0)</f>
        <v>2007</v>
      </c>
      <c r="G2413" s="5"/>
      <c r="H2413" s="5" t="str">
        <f>IFERROR(__xludf.DUMMYFUNCTION("""COMPUTED_VALUE"""),"320HP")</f>
        <v>320HP</v>
      </c>
      <c r="I2413" s="5" t="str">
        <f>IFERROR(__xludf.DUMMYFUNCTION("""COMPUTED_VALUE"""),"N/A")</f>
        <v>N/A</v>
      </c>
      <c r="J2413" s="5" t="str">
        <f>IFERROR(__xludf.DUMMYFUNCTION("""COMPUTED_VALUE"""),"D6CB7142467")</f>
        <v>D6CB7142467</v>
      </c>
      <c r="K2413" s="5"/>
      <c r="L2413" s="5" t="str">
        <f>IFERROR(__xludf.DUMMYFUNCTION("""COMPUTED_VALUE"""),"-")</f>
        <v>-</v>
      </c>
    </row>
    <row r="2414">
      <c r="A2414" s="5" t="str">
        <f>IFERROR(__xludf.DUMMYFUNCTION("""COMPUTED_VALUE"""),"TNA-XTA-009")</f>
        <v>TNA-XTA-009</v>
      </c>
      <c r="B2414" s="3" t="str">
        <f>IFERROR(__xludf.DUMMYFUNCTION("""COMPUTED_VALUE"""),"Xe ben 05 tấn")</f>
        <v>Xe ben 05 tấn</v>
      </c>
      <c r="C2414" s="5" t="str">
        <f>IFERROR(__xludf.DUMMYFUNCTION("""COMPUTED_VALUE"""),"B.ĐTXD AD")</f>
        <v>B.ĐTXD AD</v>
      </c>
      <c r="D2414" s="5" t="str">
        <f>IFERROR(__xludf.DUMMYFUNCTION("""COMPUTED_VALUE"""),"HYUNDAI")</f>
        <v>HYUNDAI</v>
      </c>
      <c r="E2414" s="5"/>
      <c r="F2414" s="5">
        <f>IFERROR(__xludf.DUMMYFUNCTION("""COMPUTED_VALUE"""),2004.0)</f>
        <v>2004</v>
      </c>
      <c r="G2414" s="5"/>
      <c r="H2414" s="5" t="str">
        <f>IFERROR(__xludf.DUMMYFUNCTION("""COMPUTED_VALUE"""),"130HP")</f>
        <v>130HP</v>
      </c>
      <c r="I2414" s="5" t="str">
        <f>IFERROR(__xludf.DUMMYFUNCTION("""COMPUTED_VALUE"""),"KMFLA19AP4C045174")</f>
        <v>KMFLA19AP4C045174</v>
      </c>
      <c r="J2414" s="5" t="str">
        <f>IFERROR(__xludf.DUMMYFUNCTION("""COMPUTED_VALUE"""),"D6BRV011808")</f>
        <v>D6BRV011808</v>
      </c>
      <c r="K2414" s="5"/>
      <c r="L2414" s="5" t="str">
        <f>IFERROR(__xludf.DUMMYFUNCTION("""COMPUTED_VALUE"""),"-")</f>
        <v>-</v>
      </c>
    </row>
    <row r="2415">
      <c r="A2415" s="5" t="str">
        <f>IFERROR(__xludf.DUMMYFUNCTION("""COMPUTED_VALUE"""),"TNA-XTA-010")</f>
        <v>TNA-XTA-010</v>
      </c>
      <c r="B2415" s="3" t="str">
        <f>IFERROR(__xludf.DUMMYFUNCTION("""COMPUTED_VALUE"""),"Xe ben 05 tấn")</f>
        <v>Xe ben 05 tấn</v>
      </c>
      <c r="C2415" s="5" t="str">
        <f>IFERROR(__xludf.DUMMYFUNCTION("""COMPUTED_VALUE"""),"B.ĐTXD AD")</f>
        <v>B.ĐTXD AD</v>
      </c>
      <c r="D2415" s="5" t="str">
        <f>IFERROR(__xludf.DUMMYFUNCTION("""COMPUTED_VALUE"""),"HYUNDAI ")</f>
        <v>HYUNDAI </v>
      </c>
      <c r="E2415" s="5"/>
      <c r="F2415" s="5">
        <f>IFERROR(__xludf.DUMMYFUNCTION("""COMPUTED_VALUE"""),2000.0)</f>
        <v>2000</v>
      </c>
      <c r="G2415" s="5"/>
      <c r="H2415" s="5" t="str">
        <f>IFERROR(__xludf.DUMMYFUNCTION("""COMPUTED_VALUE"""),"130HP")</f>
        <v>130HP</v>
      </c>
      <c r="I2415" s="5" t="str">
        <f>IFERROR(__xludf.DUMMYFUNCTION("""COMPUTED_VALUE"""),"N/A")</f>
        <v>N/A</v>
      </c>
      <c r="J2415" s="5" t="str">
        <f>IFERROR(__xludf.DUMMYFUNCTION("""COMPUTED_VALUE"""),"DG8RV012993")</f>
        <v>DG8RV012993</v>
      </c>
      <c r="K2415" s="5"/>
      <c r="L2415" s="5" t="str">
        <f>IFERROR(__xludf.DUMMYFUNCTION("""COMPUTED_VALUE"""),"-")</f>
        <v>-</v>
      </c>
    </row>
    <row r="2416">
      <c r="A2416" s="5" t="str">
        <f>IFERROR(__xludf.DUMMYFUNCTION("""COMPUTED_VALUE"""),"TNA-XTA-012")</f>
        <v>TNA-XTA-012</v>
      </c>
      <c r="B2416" s="3" t="str">
        <f>IFERROR(__xludf.DUMMYFUNCTION("""COMPUTED_VALUE"""),"Xe ben 05 tấn")</f>
        <v>Xe ben 05 tấn</v>
      </c>
      <c r="C2416" s="5" t="str">
        <f>IFERROR(__xludf.DUMMYFUNCTION("""COMPUTED_VALUE"""),"B.ĐTXD AD")</f>
        <v>B.ĐTXD AD</v>
      </c>
      <c r="D2416" s="5" t="str">
        <f>IFERROR(__xludf.DUMMYFUNCTION("""COMPUTED_VALUE"""),"HYUNDAI ")</f>
        <v>HYUNDAI </v>
      </c>
      <c r="E2416" s="5"/>
      <c r="F2416" s="5">
        <f>IFERROR(__xludf.DUMMYFUNCTION("""COMPUTED_VALUE"""),2000.0)</f>
        <v>2000</v>
      </c>
      <c r="G2416" s="5"/>
      <c r="H2416" s="5" t="str">
        <f>IFERROR(__xludf.DUMMYFUNCTION("""COMPUTED_VALUE"""),"130HP")</f>
        <v>130HP</v>
      </c>
      <c r="I2416" s="5" t="str">
        <f>IFERROR(__xludf.DUMMYFUNCTION("""COMPUTED_VALUE"""),"N/A")</f>
        <v>N/A</v>
      </c>
      <c r="J2416" s="5" t="str">
        <f>IFERROR(__xludf.DUMMYFUNCTION("""COMPUTED_VALUE"""),"D6BRY030962")</f>
        <v>D6BRY030962</v>
      </c>
      <c r="K2416" s="5"/>
      <c r="L2416" s="5" t="str">
        <f>IFERROR(__xludf.DUMMYFUNCTION("""COMPUTED_VALUE"""),"-")</f>
        <v>-</v>
      </c>
    </row>
    <row r="2417">
      <c r="A2417" s="5" t="str">
        <f>IFERROR(__xludf.DUMMYFUNCTION("""COMPUTED_VALUE"""),"TNA-XTA-011")</f>
        <v>TNA-XTA-011</v>
      </c>
      <c r="B2417" s="3" t="str">
        <f>IFERROR(__xludf.DUMMYFUNCTION("""COMPUTED_VALUE"""),"Xe ben 05 tấn")</f>
        <v>Xe ben 05 tấn</v>
      </c>
      <c r="C2417" s="5" t="str">
        <f>IFERROR(__xludf.DUMMYFUNCTION("""COMPUTED_VALUE"""),"B.ĐTXD AD")</f>
        <v>B.ĐTXD AD</v>
      </c>
      <c r="D2417" s="5" t="str">
        <f>IFERROR(__xludf.DUMMYFUNCTION("""COMPUTED_VALUE"""),"HYUNDAI")</f>
        <v>HYUNDAI</v>
      </c>
      <c r="E2417" s="5"/>
      <c r="F2417" s="5">
        <f>IFERROR(__xludf.DUMMYFUNCTION("""COMPUTED_VALUE"""),1998.0)</f>
        <v>1998</v>
      </c>
      <c r="G2417" s="5"/>
      <c r="H2417" s="5" t="str">
        <f>IFERROR(__xludf.DUMMYFUNCTION("""COMPUTED_VALUE"""),"130HP")</f>
        <v>130HP</v>
      </c>
      <c r="I2417" s="5" t="str">
        <f>IFERROR(__xludf.DUMMYFUNCTION("""COMPUTED_VALUE"""),"HYUNDAI (3A-8592)")</f>
        <v>HYUNDAI (3A-8592)</v>
      </c>
      <c r="J2417" s="5" t="str">
        <f>IFERROR(__xludf.DUMMYFUNCTION("""COMPUTED_VALUE"""),"D6BRL045676")</f>
        <v>D6BRL045676</v>
      </c>
      <c r="K2417" s="5"/>
      <c r="L2417" s="5" t="str">
        <f>IFERROR(__xludf.DUMMYFUNCTION("""COMPUTED_VALUE"""),"-")</f>
        <v>-</v>
      </c>
    </row>
    <row r="2418">
      <c r="A2418" s="5" t="str">
        <f>IFERROR(__xludf.DUMMYFUNCTION("""COMPUTED_VALUE"""),"TNA-XTA-013")</f>
        <v>TNA-XTA-013</v>
      </c>
      <c r="B2418" s="3" t="str">
        <f>IFERROR(__xludf.DUMMYFUNCTION("""COMPUTED_VALUE"""),"Xe ben 05 tấn")</f>
        <v>Xe ben 05 tấn</v>
      </c>
      <c r="C2418" s="5" t="str">
        <f>IFERROR(__xludf.DUMMYFUNCTION("""COMPUTED_VALUE"""),"B.ĐTXD AD")</f>
        <v>B.ĐTXD AD</v>
      </c>
      <c r="D2418" s="5" t="str">
        <f>IFERROR(__xludf.DUMMYFUNCTION("""COMPUTED_VALUE"""),"HYUNDAI")</f>
        <v>HYUNDAI</v>
      </c>
      <c r="E2418" s="5"/>
      <c r="F2418" s="5">
        <f>IFERROR(__xludf.DUMMYFUNCTION("""COMPUTED_VALUE"""),1997.0)</f>
        <v>1997</v>
      </c>
      <c r="G2418" s="5"/>
      <c r="H2418" s="5" t="str">
        <f>IFERROR(__xludf.DUMMYFUNCTION("""COMPUTED_VALUE"""),"130HP")</f>
        <v>130HP</v>
      </c>
      <c r="I2418" s="5" t="str">
        <f>IFERROR(__xludf.DUMMYFUNCTION("""COMPUTED_VALUE"""),"KMFLA19JP VC102473")</f>
        <v>KMFLA19JP VC102473</v>
      </c>
      <c r="J2418" s="5" t="str">
        <f>IFERROR(__xludf.DUMMYFUNCTION("""COMPUTED_VALUE"""),"7545CC")</f>
        <v>7545CC</v>
      </c>
      <c r="K2418" s="5"/>
      <c r="L2418" s="5" t="str">
        <f>IFERROR(__xludf.DUMMYFUNCTION("""COMPUTED_VALUE"""),"-")</f>
        <v>-</v>
      </c>
    </row>
    <row r="2419">
      <c r="A2419" s="5" t="str">
        <f>IFERROR(__xludf.DUMMYFUNCTION("""COMPUTED_VALUE"""),"TNA-XTA-014")</f>
        <v>TNA-XTA-014</v>
      </c>
      <c r="B2419" s="3" t="str">
        <f>IFERROR(__xludf.DUMMYFUNCTION("""COMPUTED_VALUE"""),"Xe ben 05 tấn")</f>
        <v>Xe ben 05 tấn</v>
      </c>
      <c r="C2419" s="5" t="str">
        <f>IFERROR(__xludf.DUMMYFUNCTION("""COMPUTED_VALUE"""),"B.ĐTXD AD")</f>
        <v>B.ĐTXD AD</v>
      </c>
      <c r="D2419" s="5" t="str">
        <f>IFERROR(__xludf.DUMMYFUNCTION("""COMPUTED_VALUE"""),"HYUNDAI")</f>
        <v>HYUNDAI</v>
      </c>
      <c r="E2419" s="5"/>
      <c r="F2419" s="5">
        <f>IFERROR(__xludf.DUMMYFUNCTION("""COMPUTED_VALUE"""),1997.0)</f>
        <v>1997</v>
      </c>
      <c r="G2419" s="5"/>
      <c r="H2419" s="5" t="str">
        <f>IFERROR(__xludf.DUMMYFUNCTION("""COMPUTED_VALUE"""),"130HP")</f>
        <v>130HP</v>
      </c>
      <c r="I2419" s="5" t="str">
        <f>IFERROR(__xludf.DUMMYFUNCTION("""COMPUTED_VALUE"""),"N/A")</f>
        <v>N/A</v>
      </c>
      <c r="J2419" s="5" t="str">
        <f>IFERROR(__xludf.DUMMYFUNCTION("""COMPUTED_VALUE"""),"D6BRV011805")</f>
        <v>D6BRV011805</v>
      </c>
      <c r="K2419" s="5"/>
      <c r="L2419" s="5" t="str">
        <f>IFERROR(__xludf.DUMMYFUNCTION("""COMPUTED_VALUE"""),"-")</f>
        <v>-</v>
      </c>
    </row>
    <row r="2420">
      <c r="A2420" s="5" t="str">
        <f>IFERROR(__xludf.DUMMYFUNCTION("""COMPUTED_VALUE"""),"TNA-XTA-015")</f>
        <v>TNA-XTA-015</v>
      </c>
      <c r="B2420" s="3" t="str">
        <f>IFERROR(__xludf.DUMMYFUNCTION("""COMPUTED_VALUE"""),"Xe ben 05 tấn")</f>
        <v>Xe ben 05 tấn</v>
      </c>
      <c r="C2420" s="5" t="str">
        <f>IFERROR(__xludf.DUMMYFUNCTION("""COMPUTED_VALUE"""),"B.ĐTXD AD")</f>
        <v>B.ĐTXD AD</v>
      </c>
      <c r="D2420" s="5" t="str">
        <f>IFERROR(__xludf.DUMMYFUNCTION("""COMPUTED_VALUE"""),"HYUNDAI ")</f>
        <v>HYUNDAI </v>
      </c>
      <c r="E2420" s="5"/>
      <c r="F2420" s="5">
        <f>IFERROR(__xludf.DUMMYFUNCTION("""COMPUTED_VALUE"""),1997.0)</f>
        <v>1997</v>
      </c>
      <c r="G2420" s="5"/>
      <c r="H2420" s="5" t="str">
        <f>IFERROR(__xludf.DUMMYFUNCTION("""COMPUTED_VALUE"""),"130HP")</f>
        <v>130HP</v>
      </c>
      <c r="I2420" s="5" t="str">
        <f>IFERROR(__xludf.DUMMYFUNCTION("""COMPUTED_VALUE"""),"KMFLA19RP VC103783")</f>
        <v>KMFLA19RP VC103783</v>
      </c>
      <c r="J2420" s="5" t="str">
        <f>IFERROR(__xludf.DUMMYFUNCTION("""COMPUTED_VALUE"""),"D6BRV011807")</f>
        <v>D6BRV011807</v>
      </c>
      <c r="K2420" s="5"/>
      <c r="L2420" s="5" t="str">
        <f>IFERROR(__xludf.DUMMYFUNCTION("""COMPUTED_VALUE"""),"-")</f>
        <v>-</v>
      </c>
    </row>
    <row r="2421">
      <c r="A2421" s="5" t="str">
        <f>IFERROR(__xludf.DUMMYFUNCTION("""COMPUTED_VALUE"""),"TNA-XTA-016")</f>
        <v>TNA-XTA-016</v>
      </c>
      <c r="B2421" s="3" t="str">
        <f>IFERROR(__xludf.DUMMYFUNCTION("""COMPUTED_VALUE"""),"Xe ben 05 tấn")</f>
        <v>Xe ben 05 tấn</v>
      </c>
      <c r="C2421" s="5" t="str">
        <f>IFERROR(__xludf.DUMMYFUNCTION("""COMPUTED_VALUE"""),"B.ĐTXD AD")</f>
        <v>B.ĐTXD AD</v>
      </c>
      <c r="D2421" s="5" t="str">
        <f>IFERROR(__xludf.DUMMYFUNCTION("""COMPUTED_VALUE"""),"HYUNDAI ")</f>
        <v>HYUNDAI </v>
      </c>
      <c r="E2421" s="5"/>
      <c r="F2421" s="5">
        <f>IFERROR(__xludf.DUMMYFUNCTION("""COMPUTED_VALUE"""),1995.0)</f>
        <v>1995</v>
      </c>
      <c r="G2421" s="5"/>
      <c r="H2421" s="5" t="str">
        <f>IFERROR(__xludf.DUMMYFUNCTION("""COMPUTED_VALUE"""),"130HP")</f>
        <v>130HP</v>
      </c>
      <c r="I2421" s="5" t="str">
        <f>IFERROR(__xludf.DUMMYFUNCTION("""COMPUTED_VALUE"""),"N/A")</f>
        <v>N/A</v>
      </c>
      <c r="J2421" s="5" t="str">
        <f>IFERROR(__xludf.DUMMYFUNCTION("""COMPUTED_VALUE"""),"D195")</f>
        <v>D195</v>
      </c>
      <c r="K2421" s="5"/>
      <c r="L2421" s="5" t="str">
        <f>IFERROR(__xludf.DUMMYFUNCTION("""COMPUTED_VALUE"""),"-")</f>
        <v>-</v>
      </c>
    </row>
    <row r="2422">
      <c r="A2422" s="5" t="str">
        <f>IFERROR(__xludf.DUMMYFUNCTION("""COMPUTED_VALUE"""),"TNA-XTA-017")</f>
        <v>TNA-XTA-017</v>
      </c>
      <c r="B2422" s="3" t="str">
        <f>IFERROR(__xludf.DUMMYFUNCTION("""COMPUTED_VALUE"""),"Xe ben 05 tấn")</f>
        <v>Xe ben 05 tấn</v>
      </c>
      <c r="C2422" s="5" t="str">
        <f>IFERROR(__xludf.DUMMYFUNCTION("""COMPUTED_VALUE"""),"B.ĐTXD AD")</f>
        <v>B.ĐTXD AD</v>
      </c>
      <c r="D2422" s="5" t="str">
        <f>IFERROR(__xludf.DUMMYFUNCTION("""COMPUTED_VALUE"""),"HYUNDAI ")</f>
        <v>HYUNDAI </v>
      </c>
      <c r="E2422" s="5"/>
      <c r="F2422" s="5">
        <f>IFERROR(__xludf.DUMMYFUNCTION("""COMPUTED_VALUE"""),1999.0)</f>
        <v>1999</v>
      </c>
      <c r="G2422" s="5"/>
      <c r="H2422" s="5" t="str">
        <f>IFERROR(__xludf.DUMMYFUNCTION("""COMPUTED_VALUE"""),"130HP")</f>
        <v>130HP</v>
      </c>
      <c r="I2422" s="5" t="str">
        <f>IFERROR(__xludf.DUMMYFUNCTION("""COMPUTED_VALUE"""),"KMFLA19RPXC007554")</f>
        <v>KMFLA19RPXC007554</v>
      </c>
      <c r="J2422" s="5" t="str">
        <f>IFERROR(__xludf.DUMMYFUNCTION("""COMPUTED_VALUE"""),"D6BRX025292")</f>
        <v>D6BRX025292</v>
      </c>
      <c r="K2422" s="5"/>
      <c r="L2422" s="5" t="str">
        <f>IFERROR(__xludf.DUMMYFUNCTION("""COMPUTED_VALUE"""),"-")</f>
        <v>-</v>
      </c>
    </row>
    <row r="2423">
      <c r="A2423" s="5" t="str">
        <f>IFERROR(__xludf.DUMMYFUNCTION("""COMPUTED_VALUE"""),"TNA-XTA-018")</f>
        <v>TNA-XTA-018</v>
      </c>
      <c r="B2423" s="3" t="str">
        <f>IFERROR(__xludf.DUMMYFUNCTION("""COMPUTED_VALUE"""),"Xe ben 05 tấn")</f>
        <v>Xe ben 05 tấn</v>
      </c>
      <c r="C2423" s="5" t="str">
        <f>IFERROR(__xludf.DUMMYFUNCTION("""COMPUTED_VALUE"""),"B.ĐTXD AD")</f>
        <v>B.ĐTXD AD</v>
      </c>
      <c r="D2423" s="5" t="str">
        <f>IFERROR(__xludf.DUMMYFUNCTION("""COMPUTED_VALUE"""),"HYUNDAI ")</f>
        <v>HYUNDAI </v>
      </c>
      <c r="E2423" s="5"/>
      <c r="F2423" s="5">
        <f>IFERROR(__xludf.DUMMYFUNCTION("""COMPUTED_VALUE"""),2004.0)</f>
        <v>2004</v>
      </c>
      <c r="G2423" s="5"/>
      <c r="H2423" s="5" t="str">
        <f>IFERROR(__xludf.DUMMYFUNCTION("""COMPUTED_VALUE"""),"130HP")</f>
        <v>130HP</v>
      </c>
      <c r="I2423" s="5" t="str">
        <f>IFERROR(__xludf.DUMMYFUNCTION("""COMPUTED_VALUE"""),"N/A")</f>
        <v>N/A</v>
      </c>
      <c r="J2423" s="5" t="str">
        <f>IFERROR(__xludf.DUMMYFUNCTION("""COMPUTED_VALUE"""),"D6DA1202988")</f>
        <v>D6DA1202988</v>
      </c>
      <c r="K2423" s="5"/>
      <c r="L2423" s="5" t="str">
        <f>IFERROR(__xludf.DUMMYFUNCTION("""COMPUTED_VALUE"""),"-")</f>
        <v>-</v>
      </c>
    </row>
    <row r="2424">
      <c r="A2424" s="5" t="str">
        <f>IFERROR(__xludf.DUMMYFUNCTION("""COMPUTED_VALUE"""),"TNA-XTA-019")</f>
        <v>TNA-XTA-019</v>
      </c>
      <c r="B2424" s="3" t="str">
        <f>IFERROR(__xludf.DUMMYFUNCTION("""COMPUTED_VALUE"""),"Xe ben 05 tấn")</f>
        <v>Xe ben 05 tấn</v>
      </c>
      <c r="C2424" s="5" t="str">
        <f>IFERROR(__xludf.DUMMYFUNCTION("""COMPUTED_VALUE"""),"B.ĐTXD AD")</f>
        <v>B.ĐTXD AD</v>
      </c>
      <c r="D2424" s="5" t="str">
        <f>IFERROR(__xludf.DUMMYFUNCTION("""COMPUTED_VALUE"""),"HYUNDAI ")</f>
        <v>HYUNDAI </v>
      </c>
      <c r="E2424" s="5"/>
      <c r="F2424" s="5">
        <f>IFERROR(__xludf.DUMMYFUNCTION("""COMPUTED_VALUE"""),1997.0)</f>
        <v>1997</v>
      </c>
      <c r="G2424" s="5"/>
      <c r="H2424" s="5" t="str">
        <f>IFERROR(__xludf.DUMMYFUNCTION("""COMPUTED_VALUE"""),"130HP")</f>
        <v>130HP</v>
      </c>
      <c r="I2424" s="5" t="str">
        <f>IFERROR(__xludf.DUMMYFUNCTION("""COMPUTED_VALUE"""),"KMFLA19RPVC117915")</f>
        <v>KMFLA19RPVC117915</v>
      </c>
      <c r="J2424" s="5" t="str">
        <f>IFERROR(__xludf.DUMMYFUNCTION("""COMPUTED_VALUE"""),"D6BRT164430")</f>
        <v>D6BRT164430</v>
      </c>
      <c r="K2424" s="5"/>
      <c r="L2424" s="5" t="str">
        <f>IFERROR(__xludf.DUMMYFUNCTION("""COMPUTED_VALUE"""),"-")</f>
        <v>-</v>
      </c>
    </row>
    <row r="2425">
      <c r="A2425" s="5" t="str">
        <f>IFERROR(__xludf.DUMMYFUNCTION("""COMPUTED_VALUE"""),"TNA-XTA-020")</f>
        <v>TNA-XTA-020</v>
      </c>
      <c r="B2425" s="3" t="str">
        <f>IFERROR(__xludf.DUMMYFUNCTION("""COMPUTED_VALUE"""),"Xe ben 05 tấn")</f>
        <v>Xe ben 05 tấn</v>
      </c>
      <c r="C2425" s="5" t="str">
        <f>IFERROR(__xludf.DUMMYFUNCTION("""COMPUTED_VALUE"""),"B.ĐTXD AD")</f>
        <v>B.ĐTXD AD</v>
      </c>
      <c r="D2425" s="5" t="str">
        <f>IFERROR(__xludf.DUMMYFUNCTION("""COMPUTED_VALUE"""),"HYUNDAI ")</f>
        <v>HYUNDAI </v>
      </c>
      <c r="E2425" s="5"/>
      <c r="F2425" s="5">
        <f>IFERROR(__xludf.DUMMYFUNCTION("""COMPUTED_VALUE"""),1998.0)</f>
        <v>1998</v>
      </c>
      <c r="G2425" s="5"/>
      <c r="H2425" s="5" t="str">
        <f>IFERROR(__xludf.DUMMYFUNCTION("""COMPUTED_VALUE"""),"130HP")</f>
        <v>130HP</v>
      </c>
      <c r="I2425" s="5" t="str">
        <f>IFERROR(__xludf.DUMMYFUNCTION("""COMPUTED_VALUE"""),"KMFLA19RPWC000464")</f>
        <v>KMFLA19RPWC000464</v>
      </c>
      <c r="J2425" s="5" t="str">
        <f>IFERROR(__xludf.DUMMYFUNCTION("""COMPUTED_VALUE"""),"D6BP064602")</f>
        <v>D6BP064602</v>
      </c>
      <c r="K2425" s="5"/>
      <c r="L2425" s="5" t="str">
        <f>IFERROR(__xludf.DUMMYFUNCTION("""COMPUTED_VALUE"""),"-")</f>
        <v>-</v>
      </c>
    </row>
    <row r="2426">
      <c r="A2426" s="5" t="str">
        <f>IFERROR(__xludf.DUMMYFUNCTION("""COMPUTED_VALUE"""),"TNA-XTA-021")</f>
        <v>TNA-XTA-021</v>
      </c>
      <c r="B2426" s="3" t="str">
        <f>IFERROR(__xludf.DUMMYFUNCTION("""COMPUTED_VALUE"""),"Xe ben 25 tấn")</f>
        <v>Xe ben 25 tấn</v>
      </c>
      <c r="C2426" s="5" t="str">
        <f>IFERROR(__xludf.DUMMYFUNCTION("""COMPUTED_VALUE"""),"B.ĐTXD AD")</f>
        <v>B.ĐTXD AD</v>
      </c>
      <c r="D2426" s="5" t="str">
        <f>IFERROR(__xludf.DUMMYFUNCTION("""COMPUTED_VALUE"""),"DEAWOO")</f>
        <v>DEAWOO</v>
      </c>
      <c r="E2426" s="5"/>
      <c r="F2426" s="5">
        <f>IFERROR(__xludf.DUMMYFUNCTION("""COMPUTED_VALUE"""),2006.0)</f>
        <v>2006</v>
      </c>
      <c r="G2426" s="5"/>
      <c r="H2426" s="5" t="str">
        <f>IFERROR(__xludf.DUMMYFUNCTION("""COMPUTED_VALUE"""),"335HP")</f>
        <v>335HP</v>
      </c>
      <c r="I2426" s="5" t="str">
        <f>IFERROR(__xludf.DUMMYFUNCTION("""COMPUTED_VALUE"""),"KL3N8ENP 16K000587")</f>
        <v>KL3N8ENP 16K000587</v>
      </c>
      <c r="J2426" s="5" t="str">
        <f>IFERROR(__xludf.DUMMYFUNCTION("""COMPUTED_VALUE"""),"35158365")</f>
        <v>35158365</v>
      </c>
      <c r="K2426" s="5"/>
      <c r="L2426" s="5" t="str">
        <f>IFERROR(__xludf.DUMMYFUNCTION("""COMPUTED_VALUE"""),"-")</f>
        <v>-</v>
      </c>
    </row>
    <row r="2427">
      <c r="A2427" s="5" t="str">
        <f>IFERROR(__xludf.DUMMYFUNCTION("""COMPUTED_VALUE"""),"TNA-XTA-022")</f>
        <v>TNA-XTA-022</v>
      </c>
      <c r="B2427" s="3" t="str">
        <f>IFERROR(__xludf.DUMMYFUNCTION("""COMPUTED_VALUE"""),"Xe ben 25 tấn")</f>
        <v>Xe ben 25 tấn</v>
      </c>
      <c r="C2427" s="5" t="str">
        <f>IFERROR(__xludf.DUMMYFUNCTION("""COMPUTED_VALUE"""),"CGTC LP")</f>
        <v>CGTC LP</v>
      </c>
      <c r="D2427" s="5" t="str">
        <f>IFERROR(__xludf.DUMMYFUNCTION("""COMPUTED_VALUE"""),"HYUNDAI")</f>
        <v>HYUNDAI</v>
      </c>
      <c r="E2427" s="5"/>
      <c r="F2427" s="5">
        <f>IFERROR(__xludf.DUMMYFUNCTION("""COMPUTED_VALUE"""),2002.0)</f>
        <v>2002</v>
      </c>
      <c r="G2427" s="5"/>
      <c r="H2427" s="5" t="str">
        <f>IFERROR(__xludf.DUMMYFUNCTION("""COMPUTED_VALUE"""),"335HP")</f>
        <v>335HP</v>
      </c>
      <c r="I2427" s="5" t="str">
        <f>IFERROR(__xludf.DUMMYFUNCTION("""COMPUTED_VALUE"""),"KMCPB185 P2C019827")</f>
        <v>KMCPB185 P2C019827</v>
      </c>
      <c r="J2427" s="5" t="str">
        <f>IFERROR(__xludf.DUMMYFUNCTION("""COMPUTED_VALUE"""),"2063911 D6CA")</f>
        <v>2063911 D6CA</v>
      </c>
      <c r="K2427" s="5"/>
      <c r="L2427" s="5" t="str">
        <f>IFERROR(__xludf.DUMMYFUNCTION("""COMPUTED_VALUE"""),"-")</f>
        <v>-</v>
      </c>
    </row>
    <row r="2428">
      <c r="A2428" s="5" t="str">
        <f>IFERROR(__xludf.DUMMYFUNCTION("""COMPUTED_VALUE"""),"TNA-XTA-023")</f>
        <v>TNA-XTA-023</v>
      </c>
      <c r="B2428" s="3" t="str">
        <f>IFERROR(__xludf.DUMMYFUNCTION("""COMPUTED_VALUE"""),"Xe ben 25 tấn")</f>
        <v>Xe ben 25 tấn</v>
      </c>
      <c r="C2428" s="5" t="str">
        <f>IFERROR(__xludf.DUMMYFUNCTION("""COMPUTED_VALUE"""),"CGTC LP")</f>
        <v>CGTC LP</v>
      </c>
      <c r="D2428" s="5" t="str">
        <f>IFERROR(__xludf.DUMMYFUNCTION("""COMPUTED_VALUE"""),"SCANIA")</f>
        <v>SCANIA</v>
      </c>
      <c r="E2428" s="5"/>
      <c r="F2428" s="5">
        <f>IFERROR(__xludf.DUMMYFUNCTION("""COMPUTED_VALUE"""),2002.0)</f>
        <v>2002</v>
      </c>
      <c r="G2428" s="5"/>
      <c r="H2428" s="5" t="str">
        <f>IFERROR(__xludf.DUMMYFUNCTION("""COMPUTED_VALUE"""),"335HP")</f>
        <v>335HP</v>
      </c>
      <c r="I2428" s="5" t="str">
        <f>IFERROR(__xludf.DUMMYFUNCTION("""COMPUTED_VALUE"""),"0024467942 XLEP8X4")</f>
        <v>0024467942 XLEP8X4</v>
      </c>
      <c r="J2428" s="5" t="str">
        <f>IFERROR(__xludf.DUMMYFUNCTION("""COMPUTED_VALUE"""),"L016158035 DC1209")</f>
        <v>L016158035 DC1209</v>
      </c>
      <c r="K2428" s="5"/>
      <c r="L2428" s="5" t="str">
        <f>IFERROR(__xludf.DUMMYFUNCTION("""COMPUTED_VALUE"""),"-")</f>
        <v>-</v>
      </c>
    </row>
    <row r="2429">
      <c r="A2429" s="5" t="str">
        <f>IFERROR(__xludf.DUMMYFUNCTION("""COMPUTED_VALUE"""),"TNA-XTA-024")</f>
        <v>TNA-XTA-024</v>
      </c>
      <c r="B2429" s="3" t="str">
        <f>IFERROR(__xludf.DUMMYFUNCTION("""COMPUTED_VALUE"""),"Xe ben 25 tấn")</f>
        <v>Xe ben 25 tấn</v>
      </c>
      <c r="C2429" s="5" t="str">
        <f>IFERROR(__xludf.DUMMYFUNCTION("""COMPUTED_VALUE"""),"B.ĐTXD AD")</f>
        <v>B.ĐTXD AD</v>
      </c>
      <c r="D2429" s="5" t="str">
        <f>IFERROR(__xludf.DUMMYFUNCTION("""COMPUTED_VALUE"""),"SCANIA")</f>
        <v>SCANIA</v>
      </c>
      <c r="E2429" s="5"/>
      <c r="F2429" s="5">
        <f>IFERROR(__xludf.DUMMYFUNCTION("""COMPUTED_VALUE"""),2004.0)</f>
        <v>2004</v>
      </c>
      <c r="G2429" s="5"/>
      <c r="H2429" s="5" t="str">
        <f>IFERROR(__xludf.DUMMYFUNCTION("""COMPUTED_VALUE"""),"335HP")</f>
        <v>335HP</v>
      </c>
      <c r="I2429" s="5" t="str">
        <f>IFERROR(__xludf.DUMMYFUNCTION("""COMPUTED_VALUE"""),"0043548673 XLEP8X4")</f>
        <v>0043548673 XLEP8X4</v>
      </c>
      <c r="J2429" s="5" t="str">
        <f>IFERROR(__xludf.DUMMYFUNCTION("""COMPUTED_VALUE"""),"DC114921490 75912")</f>
        <v>DC114921490 75912</v>
      </c>
      <c r="K2429" s="5"/>
      <c r="L2429" s="5" t="str">
        <f>IFERROR(__xludf.DUMMYFUNCTION("""COMPUTED_VALUE"""),"-")</f>
        <v>-</v>
      </c>
    </row>
    <row r="2430">
      <c r="A2430" s="5" t="str">
        <f>IFERROR(__xludf.DUMMYFUNCTION("""COMPUTED_VALUE"""),"TNA-XTA-025")</f>
        <v>TNA-XTA-025</v>
      </c>
      <c r="B2430" s="3" t="str">
        <f>IFERROR(__xludf.DUMMYFUNCTION("""COMPUTED_VALUE"""),"Xe ben 15 tấn")</f>
        <v>Xe ben 15 tấn</v>
      </c>
      <c r="C2430" s="5" t="str">
        <f>IFERROR(__xludf.DUMMYFUNCTION("""COMPUTED_VALUE"""),"B.ĐTXD AD")</f>
        <v>B.ĐTXD AD</v>
      </c>
      <c r="D2430" s="5" t="str">
        <f>IFERROR(__xludf.DUMMYFUNCTION("""COMPUTED_VALUE"""),"HYUNDAI")</f>
        <v>HYUNDAI</v>
      </c>
      <c r="E2430" s="5"/>
      <c r="F2430" s="5">
        <f>IFERROR(__xludf.DUMMYFUNCTION("""COMPUTED_VALUE"""),1991.0)</f>
        <v>1991</v>
      </c>
      <c r="G2430" s="5"/>
      <c r="H2430" s="5" t="str">
        <f>IFERROR(__xludf.DUMMYFUNCTION("""COMPUTED_VALUE"""),"320HP")</f>
        <v>320HP</v>
      </c>
      <c r="I2430" s="5"/>
      <c r="J2430" s="5" t="str">
        <f>IFERROR(__xludf.DUMMYFUNCTION("""COMPUTED_VALUE"""),"D8AYH016027")</f>
        <v>D8AYH016027</v>
      </c>
      <c r="K2430" s="5"/>
      <c r="L2430" s="5" t="str">
        <f>IFERROR(__xludf.DUMMYFUNCTION("""COMPUTED_VALUE"""),"-")</f>
        <v>-</v>
      </c>
    </row>
    <row r="2431">
      <c r="A2431" s="5" t="str">
        <f>IFERROR(__xludf.DUMMYFUNCTION("""COMPUTED_VALUE"""),"TNA-XTA-026")</f>
        <v>TNA-XTA-026</v>
      </c>
      <c r="B2431" s="3" t="str">
        <f>IFERROR(__xludf.DUMMYFUNCTION("""COMPUTED_VALUE"""),"Xe ben 15 tấn")</f>
        <v>Xe ben 15 tấn</v>
      </c>
      <c r="C2431" s="5" t="str">
        <f>IFERROR(__xludf.DUMMYFUNCTION("""COMPUTED_VALUE"""),"B.ĐTXD AD")</f>
        <v>B.ĐTXD AD</v>
      </c>
      <c r="D2431" s="5" t="str">
        <f>IFERROR(__xludf.DUMMYFUNCTION("""COMPUTED_VALUE"""),"HYUNDAI")</f>
        <v>HYUNDAI</v>
      </c>
      <c r="E2431" s="5"/>
      <c r="F2431" s="5">
        <f>IFERROR(__xludf.DUMMYFUNCTION("""COMPUTED_VALUE"""),2000.0)</f>
        <v>2000</v>
      </c>
      <c r="G2431" s="5"/>
      <c r="H2431" s="5" t="str">
        <f>IFERROR(__xludf.DUMMYFUNCTION("""COMPUTED_VALUE"""),"235HP")</f>
        <v>235HP</v>
      </c>
      <c r="I2431" s="5" t="str">
        <f>IFERROR(__xludf.DUMMYFUNCTION("""COMPUTED_VALUE"""),"KMFDA19VPYC008457")</f>
        <v>KMFDA19VPYC008457</v>
      </c>
      <c r="J2431" s="5"/>
      <c r="K2431" s="5"/>
      <c r="L2431" s="5" t="str">
        <f>IFERROR(__xludf.DUMMYFUNCTION("""COMPUTED_VALUE"""),"-")</f>
        <v>-</v>
      </c>
    </row>
    <row r="2432">
      <c r="A2432" s="5" t="str">
        <f>IFERROR(__xludf.DUMMYFUNCTION("""COMPUTED_VALUE"""),"TNA-XTA-027")</f>
        <v>TNA-XTA-027</v>
      </c>
      <c r="B2432" s="3" t="str">
        <f>IFERROR(__xludf.DUMMYFUNCTION("""COMPUTED_VALUE"""),"Xe ben 15 tấn")</f>
        <v>Xe ben 15 tấn</v>
      </c>
      <c r="C2432" s="5" t="str">
        <f>IFERROR(__xludf.DUMMYFUNCTION("""COMPUTED_VALUE"""),"B.ĐTXD AD")</f>
        <v>B.ĐTXD AD</v>
      </c>
      <c r="D2432" s="5" t="str">
        <f>IFERROR(__xludf.DUMMYFUNCTION("""COMPUTED_VALUE"""),"HYUNDAI")</f>
        <v>HYUNDAI</v>
      </c>
      <c r="E2432" s="5"/>
      <c r="F2432" s="5">
        <f>IFERROR(__xludf.DUMMYFUNCTION("""COMPUTED_VALUE"""),2004.0)</f>
        <v>2004</v>
      </c>
      <c r="G2432" s="5"/>
      <c r="H2432" s="5" t="str">
        <f>IFERROR(__xludf.DUMMYFUNCTION("""COMPUTED_VALUE"""),"240HP")</f>
        <v>240HP</v>
      </c>
      <c r="I2432" s="5" t="str">
        <f>IFERROR(__xludf.DUMMYFUNCTION("""COMPUTED_VALUE"""),"KMCPB18TP4C001944")</f>
        <v>KMCPB18TP4C001944</v>
      </c>
      <c r="J2432" s="5"/>
      <c r="K2432" s="5"/>
      <c r="L2432" s="5" t="str">
        <f>IFERROR(__xludf.DUMMYFUNCTION("""COMPUTED_VALUE"""),"-")</f>
        <v>-</v>
      </c>
    </row>
    <row r="2433">
      <c r="A2433" s="5" t="str">
        <f>IFERROR(__xludf.DUMMYFUNCTION("""COMPUTED_VALUE"""),"TNA-XTA-028")</f>
        <v>TNA-XTA-028</v>
      </c>
      <c r="B2433" s="3" t="str">
        <f>IFERROR(__xludf.DUMMYFUNCTION("""COMPUTED_VALUE"""),"Xe ben 15 tấn")</f>
        <v>Xe ben 15 tấn</v>
      </c>
      <c r="C2433" s="5" t="str">
        <f>IFERROR(__xludf.DUMMYFUNCTION("""COMPUTED_VALUE"""),"B.ĐTXD AD")</f>
        <v>B.ĐTXD AD</v>
      </c>
      <c r="D2433" s="5" t="str">
        <f>IFERROR(__xludf.DUMMYFUNCTION("""COMPUTED_VALUE"""),"HYUNDAI")</f>
        <v>HYUNDAI</v>
      </c>
      <c r="E2433" s="5"/>
      <c r="F2433" s="5">
        <f>IFERROR(__xludf.DUMMYFUNCTION("""COMPUTED_VALUE"""),1994.0)</f>
        <v>1994</v>
      </c>
      <c r="G2433" s="5"/>
      <c r="H2433" s="5" t="str">
        <f>IFERROR(__xludf.DUMMYFUNCTION("""COMPUTED_VALUE"""),"320HP")</f>
        <v>320HP</v>
      </c>
      <c r="I2433" s="5" t="str">
        <f>IFERROR(__xludf.DUMMYFUNCTION("""COMPUTED_VALUE"""),"D8AYR127675")</f>
        <v>D8AYR127675</v>
      </c>
      <c r="J2433" s="5"/>
      <c r="K2433" s="5"/>
      <c r="L2433" s="5" t="str">
        <f>IFERROR(__xludf.DUMMYFUNCTION("""COMPUTED_VALUE"""),"-")</f>
        <v>-</v>
      </c>
    </row>
    <row r="2434">
      <c r="A2434" s="5" t="str">
        <f>IFERROR(__xludf.DUMMYFUNCTION("""COMPUTED_VALUE"""),"TNA-XTA-029")</f>
        <v>TNA-XTA-029</v>
      </c>
      <c r="B2434" s="3" t="str">
        <f>IFERROR(__xludf.DUMMYFUNCTION("""COMPUTED_VALUE"""),"Xe ben 15 tấn")</f>
        <v>Xe ben 15 tấn</v>
      </c>
      <c r="C2434" s="5" t="str">
        <f>IFERROR(__xludf.DUMMYFUNCTION("""COMPUTED_VALUE"""),"B.ĐTXD AD")</f>
        <v>B.ĐTXD AD</v>
      </c>
      <c r="D2434" s="5" t="str">
        <f>IFERROR(__xludf.DUMMYFUNCTION("""COMPUTED_VALUE"""),"HYUNDAI")</f>
        <v>HYUNDAI</v>
      </c>
      <c r="E2434" s="5"/>
      <c r="F2434" s="5">
        <f>IFERROR(__xludf.DUMMYFUNCTION("""COMPUTED_VALUE"""),1989.0)</f>
        <v>1989</v>
      </c>
      <c r="G2434" s="5"/>
      <c r="H2434" s="5" t="str">
        <f>IFERROR(__xludf.DUMMYFUNCTION("""COMPUTED_VALUE"""),"320HP")</f>
        <v>320HP</v>
      </c>
      <c r="I2434" s="5" t="str">
        <f>IFERROR(__xludf.DUMMYFUNCTION("""COMPUTED_VALUE"""),"D8AYL046495")</f>
        <v>D8AYL046495</v>
      </c>
      <c r="J2434" s="5"/>
      <c r="K2434" s="5"/>
      <c r="L2434" s="5" t="str">
        <f>IFERROR(__xludf.DUMMYFUNCTION("""COMPUTED_VALUE"""),"-")</f>
        <v>-</v>
      </c>
    </row>
    <row r="2435">
      <c r="A2435" s="5" t="str">
        <f>IFERROR(__xludf.DUMMYFUNCTION("""COMPUTED_VALUE"""),"TNA-XTA-030")</f>
        <v>TNA-XTA-030</v>
      </c>
      <c r="B2435" s="3" t="str">
        <f>IFERROR(__xludf.DUMMYFUNCTION("""COMPUTED_VALUE"""),"Xe ben 15 tấn")</f>
        <v>Xe ben 15 tấn</v>
      </c>
      <c r="C2435" s="5" t="str">
        <f>IFERROR(__xludf.DUMMYFUNCTION("""COMPUTED_VALUE"""),"B.ĐTXD AD")</f>
        <v>B.ĐTXD AD</v>
      </c>
      <c r="D2435" s="5" t="str">
        <f>IFERROR(__xludf.DUMMYFUNCTION("""COMPUTED_VALUE"""),"HYUNDAI")</f>
        <v>HYUNDAI</v>
      </c>
      <c r="E2435" s="5"/>
      <c r="F2435" s="5">
        <f>IFERROR(__xludf.DUMMYFUNCTION("""COMPUTED_VALUE"""),1995.0)</f>
        <v>1995</v>
      </c>
      <c r="G2435" s="5"/>
      <c r="H2435" s="5" t="str">
        <f>IFERROR(__xludf.DUMMYFUNCTION("""COMPUTED_VALUE"""),"320HP")</f>
        <v>320HP</v>
      </c>
      <c r="I2435" s="5"/>
      <c r="J2435" s="5" t="str">
        <f>IFERROR(__xludf.DUMMYFUNCTION("""COMPUTED_VALUE"""),"D8AY5132518")</f>
        <v>D8AY5132518</v>
      </c>
      <c r="K2435" s="5"/>
      <c r="L2435" s="5" t="str">
        <f>IFERROR(__xludf.DUMMYFUNCTION("""COMPUTED_VALUE"""),"-")</f>
        <v>-</v>
      </c>
    </row>
    <row r="2436">
      <c r="A2436" s="5" t="str">
        <f>IFERROR(__xludf.DUMMYFUNCTION("""COMPUTED_VALUE"""),"TNA-XTA-031")</f>
        <v>TNA-XTA-031</v>
      </c>
      <c r="B2436" s="3" t="str">
        <f>IFERROR(__xludf.DUMMYFUNCTION("""COMPUTED_VALUE"""),"Xe ben 15 tấn")</f>
        <v>Xe ben 15 tấn</v>
      </c>
      <c r="C2436" s="5" t="str">
        <f>IFERROR(__xludf.DUMMYFUNCTION("""COMPUTED_VALUE"""),"B.ĐTXD AD")</f>
        <v>B.ĐTXD AD</v>
      </c>
      <c r="D2436" s="5" t="str">
        <f>IFERROR(__xludf.DUMMYFUNCTION("""COMPUTED_VALUE"""),"HYUNDAI")</f>
        <v>HYUNDAI</v>
      </c>
      <c r="E2436" s="5"/>
      <c r="F2436" s="5">
        <f>IFERROR(__xludf.DUMMYFUNCTION("""COMPUTED_VALUE"""),2002.0)</f>
        <v>2002</v>
      </c>
      <c r="G2436" s="5"/>
      <c r="H2436" s="5" t="str">
        <f>IFERROR(__xludf.DUMMYFUNCTION("""COMPUTED_VALUE"""),"340HP")</f>
        <v>340HP</v>
      </c>
      <c r="I2436" s="5" t="str">
        <f>IFERROR(__xludf.DUMMYFUNCTION("""COMPUTED_VALUE"""),"D6CA2067638")</f>
        <v>D6CA2067638</v>
      </c>
      <c r="J2436" s="5"/>
      <c r="K2436" s="5"/>
      <c r="L2436" s="5" t="str">
        <f>IFERROR(__xludf.DUMMYFUNCTION("""COMPUTED_VALUE"""),"-")</f>
        <v>-</v>
      </c>
    </row>
    <row r="2437">
      <c r="A2437" s="5" t="str">
        <f>IFERROR(__xludf.DUMMYFUNCTION("""COMPUTED_VALUE"""),"TNA-XTA-032")</f>
        <v>TNA-XTA-032</v>
      </c>
      <c r="B2437" s="3" t="str">
        <f>IFERROR(__xludf.DUMMYFUNCTION("""COMPUTED_VALUE"""),"Xe ben 05 tấn")</f>
        <v>Xe ben 05 tấn</v>
      </c>
      <c r="C2437" s="5" t="str">
        <f>IFERROR(__xludf.DUMMYFUNCTION("""COMPUTED_VALUE"""),"CGTC AD")</f>
        <v>CGTC AD</v>
      </c>
      <c r="D2437" s="5" t="str">
        <f>IFERROR(__xludf.DUMMYFUNCTION("""COMPUTED_VALUE"""),"HYUNDAI")</f>
        <v>HYUNDAI</v>
      </c>
      <c r="E2437" s="5"/>
      <c r="F2437" s="5">
        <f>IFERROR(__xludf.DUMMYFUNCTION("""COMPUTED_VALUE"""),2004.0)</f>
        <v>2004</v>
      </c>
      <c r="G2437" s="5"/>
      <c r="H2437" s="5" t="str">
        <f>IFERROR(__xludf.DUMMYFUNCTION("""COMPUTED_VALUE"""),"130HP")</f>
        <v>130HP</v>
      </c>
      <c r="I2437" s="5" t="str">
        <f>IFERROR(__xludf.DUMMYFUNCTION("""COMPUTED_VALUE"""),"KMFLA18
 AP4C048950")</f>
        <v>KMFLA18
 AP4C048950</v>
      </c>
      <c r="J2437" s="5" t="str">
        <f>IFERROR(__xludf.DUMMYFUNCTION("""COMPUTED_VALUE"""),"D6DA4
 223832")</f>
        <v>D6DA4
 223832</v>
      </c>
      <c r="K2437" s="5"/>
      <c r="L2437" s="5" t="str">
        <f>IFERROR(__xludf.DUMMYFUNCTION("""COMPUTED_VALUE"""),"-")</f>
        <v>-</v>
      </c>
    </row>
    <row r="2438">
      <c r="A2438" s="5" t="str">
        <f>IFERROR(__xludf.DUMMYFUNCTION("""COMPUTED_VALUE"""),"TNA-XTA-033")</f>
        <v>TNA-XTA-033</v>
      </c>
      <c r="B2438" s="3" t="str">
        <f>IFERROR(__xludf.DUMMYFUNCTION("""COMPUTED_VALUE"""),"Xe ben 05 tấn")</f>
        <v>Xe ben 05 tấn</v>
      </c>
      <c r="C2438" s="5" t="str">
        <f>IFERROR(__xludf.DUMMYFUNCTION("""COMPUTED_VALUE"""),"CGTC AD")</f>
        <v>CGTC AD</v>
      </c>
      <c r="D2438" s="5" t="str">
        <f>IFERROR(__xludf.DUMMYFUNCTION("""COMPUTED_VALUE"""),"NISSAN")</f>
        <v>NISSAN</v>
      </c>
      <c r="E2438" s="5"/>
      <c r="F2438" s="5">
        <f>IFERROR(__xludf.DUMMYFUNCTION("""COMPUTED_VALUE"""),1996.0)</f>
        <v>1996</v>
      </c>
      <c r="G2438" s="5"/>
      <c r="H2438" s="5" t="str">
        <f>IFERROR(__xludf.DUMMYFUNCTION("""COMPUTED_VALUE"""),"130HP")</f>
        <v>130HP</v>
      </c>
      <c r="I2438" s="5" t="str">
        <f>IFERROR(__xludf.DUMMYFUNCTION("""COMPUTED_VALUE"""),"FE6108692E")</f>
        <v>FE6108692E</v>
      </c>
      <c r="J2438" s="5" t="str">
        <f>IFERROR(__xludf.DUMMYFUNCTION("""COMPUTED_VALUE"""),"MK211H
 10305")</f>
        <v>MK211H
 10305</v>
      </c>
      <c r="K2438" s="5"/>
      <c r="L2438" s="5" t="str">
        <f>IFERROR(__xludf.DUMMYFUNCTION("""COMPUTED_VALUE"""),"-")</f>
        <v>-</v>
      </c>
    </row>
    <row r="2439">
      <c r="A2439" s="5" t="str">
        <f>IFERROR(__xludf.DUMMYFUNCTION("""COMPUTED_VALUE"""),"TNA-XTA-034")</f>
        <v>TNA-XTA-034</v>
      </c>
      <c r="B2439" s="3" t="str">
        <f>IFERROR(__xludf.DUMMYFUNCTION("""COMPUTED_VALUE"""),"Xe ben 05 tấn")</f>
        <v>Xe ben 05 tấn</v>
      </c>
      <c r="C2439" s="5" t="str">
        <f>IFERROR(__xludf.DUMMYFUNCTION("""COMPUTED_VALUE"""),"CGTC AD")</f>
        <v>CGTC AD</v>
      </c>
      <c r="D2439" s="5" t="str">
        <f>IFERROR(__xludf.DUMMYFUNCTION("""COMPUTED_VALUE"""),"HYUNDAI")</f>
        <v>HYUNDAI</v>
      </c>
      <c r="E2439" s="5"/>
      <c r="F2439" s="5">
        <f>IFERROR(__xludf.DUMMYFUNCTION("""COMPUTED_VALUE"""),2000.0)</f>
        <v>2000</v>
      </c>
      <c r="G2439" s="5"/>
      <c r="H2439" s="5" t="str">
        <f>IFERROR(__xludf.DUMMYFUNCTION("""COMPUTED_VALUE"""),"130HP")</f>
        <v>130HP</v>
      </c>
      <c r="I2439" s="5" t="str">
        <f>IFERROR(__xludf.DUMMYFUNCTION("""COMPUTED_VALUE"""),"KMFLA19BP
 YC00847")</f>
        <v>KMFLA19BP
 YC00847</v>
      </c>
      <c r="J2439" s="5"/>
      <c r="K2439" s="5"/>
      <c r="L2439" s="5" t="str">
        <f>IFERROR(__xludf.DUMMYFUNCTION("""COMPUTED_VALUE"""),"-")</f>
        <v>-</v>
      </c>
    </row>
    <row r="2440">
      <c r="A2440" s="5" t="str">
        <f>IFERROR(__xludf.DUMMYFUNCTION("""COMPUTED_VALUE"""),"TNA-XTA-035")</f>
        <v>TNA-XTA-035</v>
      </c>
      <c r="B2440" s="3" t="str">
        <f>IFERROR(__xludf.DUMMYFUNCTION("""COMPUTED_VALUE"""),"Xe ben 05 tấn")</f>
        <v>Xe ben 05 tấn</v>
      </c>
      <c r="C2440" s="5" t="str">
        <f>IFERROR(__xludf.DUMMYFUNCTION("""COMPUTED_VALUE"""),"CGTC AD")</f>
        <v>CGTC AD</v>
      </c>
      <c r="D2440" s="5" t="str">
        <f>IFERROR(__xludf.DUMMYFUNCTION("""COMPUTED_VALUE"""),"HYUNDAI")</f>
        <v>HYUNDAI</v>
      </c>
      <c r="E2440" s="5"/>
      <c r="F2440" s="5">
        <f>IFERROR(__xludf.DUMMYFUNCTION("""COMPUTED_VALUE"""),2000.0)</f>
        <v>2000</v>
      </c>
      <c r="G2440" s="5"/>
      <c r="H2440" s="5" t="str">
        <f>IFERROR(__xludf.DUMMYFUNCTION("""COMPUTED_VALUE"""),"130HP")</f>
        <v>130HP</v>
      </c>
      <c r="I2440" s="5" t="str">
        <f>IFERROR(__xludf.DUMMYFUNCTION("""COMPUTED_VALUE"""),"KMFLA19
 RPYC010603")</f>
        <v>KMFLA19
 RPYC010603</v>
      </c>
      <c r="J2440" s="5" t="str">
        <f>IFERROR(__xludf.DUMMYFUNCTION("""COMPUTED_VALUE"""),"D6BRY028890")</f>
        <v>D6BRY028890</v>
      </c>
      <c r="K2440" s="5"/>
      <c r="L2440" s="5" t="str">
        <f>IFERROR(__xludf.DUMMYFUNCTION("""COMPUTED_VALUE"""),"-")</f>
        <v>-</v>
      </c>
    </row>
    <row r="2441">
      <c r="A2441" s="5" t="str">
        <f>IFERROR(__xludf.DUMMYFUNCTION("""COMPUTED_VALUE"""),"TNA-XTA-036")</f>
        <v>TNA-XTA-036</v>
      </c>
      <c r="B2441" s="3" t="str">
        <f>IFERROR(__xludf.DUMMYFUNCTION("""COMPUTED_VALUE"""),"Xe ben 05 tấn")</f>
        <v>Xe ben 05 tấn</v>
      </c>
      <c r="C2441" s="5" t="str">
        <f>IFERROR(__xludf.DUMMYFUNCTION("""COMPUTED_VALUE"""),"CGTC AD")</f>
        <v>CGTC AD</v>
      </c>
      <c r="D2441" s="5" t="str">
        <f>IFERROR(__xludf.DUMMYFUNCTION("""COMPUTED_VALUE"""),"HYUNDAI")</f>
        <v>HYUNDAI</v>
      </c>
      <c r="E2441" s="5"/>
      <c r="F2441" s="5">
        <f>IFERROR(__xludf.DUMMYFUNCTION("""COMPUTED_VALUE"""),2000.0)</f>
        <v>2000</v>
      </c>
      <c r="G2441" s="5"/>
      <c r="H2441" s="5" t="str">
        <f>IFERROR(__xludf.DUMMYFUNCTION("""COMPUTED_VALUE"""),"130HP")</f>
        <v>130HP</v>
      </c>
      <c r="I2441" s="5" t="str">
        <f>IFERROR(__xludf.DUMMYFUNCTION("""COMPUTED_VALUE"""),"KMFLA18
 RPYC008347")</f>
        <v>KMFLA18
 RPYC008347</v>
      </c>
      <c r="J2441" s="5" t="str">
        <f>IFERROR(__xludf.DUMMYFUNCTION("""COMPUTED_VALUE"""),"D6BRX026553")</f>
        <v>D6BRX026553</v>
      </c>
      <c r="K2441" s="5"/>
      <c r="L2441" s="5" t="str">
        <f>IFERROR(__xludf.DUMMYFUNCTION("""COMPUTED_VALUE"""),"-")</f>
        <v>-</v>
      </c>
    </row>
    <row r="2442">
      <c r="A2442" s="5" t="str">
        <f>IFERROR(__xludf.DUMMYFUNCTION("""COMPUTED_VALUE"""),"TNA-XTA-037")</f>
        <v>TNA-XTA-037</v>
      </c>
      <c r="B2442" s="3" t="str">
        <f>IFERROR(__xludf.DUMMYFUNCTION("""COMPUTED_VALUE"""),"Xe ben 15 tấn")</f>
        <v>Xe ben 15 tấn</v>
      </c>
      <c r="C2442" s="5" t="str">
        <f>IFERROR(__xludf.DUMMYFUNCTION("""COMPUTED_VALUE"""),"B.ĐTXD AD")</f>
        <v>B.ĐTXD AD</v>
      </c>
      <c r="D2442" s="5" t="str">
        <f>IFERROR(__xludf.DUMMYFUNCTION("""COMPUTED_VALUE"""),"HYUNDAI")</f>
        <v>HYUNDAI</v>
      </c>
      <c r="E2442" s="5"/>
      <c r="F2442" s="5">
        <f>IFERROR(__xludf.DUMMYFUNCTION("""COMPUTED_VALUE"""),1996.0)</f>
        <v>1996</v>
      </c>
      <c r="G2442" s="5"/>
      <c r="H2442" s="5" t="str">
        <f>IFERROR(__xludf.DUMMYFUNCTION("""COMPUTED_VALUE"""),"320HP")</f>
        <v>320HP</v>
      </c>
      <c r="I2442" s="5"/>
      <c r="J2442" s="5" t="str">
        <f>IFERROR(__xludf.DUMMYFUNCTION("""COMPUTED_VALUE"""),"D8ABT163982")</f>
        <v>D8ABT163982</v>
      </c>
      <c r="K2442" s="5"/>
      <c r="L2442" s="5" t="str">
        <f>IFERROR(__xludf.DUMMYFUNCTION("""COMPUTED_VALUE"""),"-")</f>
        <v>-</v>
      </c>
    </row>
    <row r="2443">
      <c r="A2443" s="5" t="str">
        <f>IFERROR(__xludf.DUMMYFUNCTION("""COMPUTED_VALUE"""),"TNA-XTA-038")</f>
        <v>TNA-XTA-038</v>
      </c>
      <c r="B2443" s="3" t="str">
        <f>IFERROR(__xludf.DUMMYFUNCTION("""COMPUTED_VALUE"""),"Xe ben 15 tấn")</f>
        <v>Xe ben 15 tấn</v>
      </c>
      <c r="C2443" s="5" t="str">
        <f>IFERROR(__xludf.DUMMYFUNCTION("""COMPUTED_VALUE"""),"B.ĐTXD AD")</f>
        <v>B.ĐTXD AD</v>
      </c>
      <c r="D2443" s="5" t="str">
        <f>IFERROR(__xludf.DUMMYFUNCTION("""COMPUTED_VALUE"""),"HYUNDAI")</f>
        <v>HYUNDAI</v>
      </c>
      <c r="E2443" s="5"/>
      <c r="F2443" s="5">
        <f>IFERROR(__xludf.DUMMYFUNCTION("""COMPUTED_VALUE"""),1996.0)</f>
        <v>1996</v>
      </c>
      <c r="G2443" s="5"/>
      <c r="H2443" s="5" t="str">
        <f>IFERROR(__xludf.DUMMYFUNCTION("""COMPUTED_VALUE"""),"320HP")</f>
        <v>320HP</v>
      </c>
      <c r="I2443" s="5"/>
      <c r="J2443" s="5" t="str">
        <f>IFERROR(__xludf.DUMMYFUNCTION("""COMPUTED_VALUE"""),"D8AYT157951")</f>
        <v>D8AYT157951</v>
      </c>
      <c r="K2443" s="5"/>
      <c r="L2443" s="5" t="str">
        <f>IFERROR(__xludf.DUMMYFUNCTION("""COMPUTED_VALUE"""),"-")</f>
        <v>-</v>
      </c>
    </row>
    <row r="2444">
      <c r="A2444" s="5" t="str">
        <f>IFERROR(__xludf.DUMMYFUNCTION("""COMPUTED_VALUE"""),"TNA-XTA-039")</f>
        <v>TNA-XTA-039</v>
      </c>
      <c r="B2444" s="3" t="str">
        <f>IFERROR(__xludf.DUMMYFUNCTION("""COMPUTED_VALUE"""),"Xe ben 15 tấn")</f>
        <v>Xe ben 15 tấn</v>
      </c>
      <c r="C2444" s="5" t="str">
        <f>IFERROR(__xludf.DUMMYFUNCTION("""COMPUTED_VALUE"""),"B.ĐTXD AD")</f>
        <v>B.ĐTXD AD</v>
      </c>
      <c r="D2444" s="5" t="str">
        <f>IFERROR(__xludf.DUMMYFUNCTION("""COMPUTED_VALUE"""),"HYUNDAI")</f>
        <v>HYUNDAI</v>
      </c>
      <c r="E2444" s="5"/>
      <c r="F2444" s="5"/>
      <c r="G2444" s="5"/>
      <c r="H2444" s="5" t="str">
        <f>IFERROR(__xludf.DUMMYFUNCTION("""COMPUTED_VALUE"""),"360Hp")</f>
        <v>360Hp</v>
      </c>
      <c r="I2444" s="5" t="str">
        <f>IFERROR(__xludf.DUMMYFUNCTION("""COMPUTED_VALUE"""),"104798")</f>
        <v>104798</v>
      </c>
      <c r="J2444" s="5" t="str">
        <f>IFERROR(__xludf.DUMMYFUNCTION("""COMPUTED_VALUE"""),"11176")</f>
        <v>11176</v>
      </c>
      <c r="K2444" s="5"/>
      <c r="L2444" s="5" t="str">
        <f>IFERROR(__xludf.DUMMYFUNCTION("""COMPUTED_VALUE"""),"-")</f>
        <v>-</v>
      </c>
    </row>
    <row r="2445">
      <c r="A2445" s="5" t="str">
        <f>IFERROR(__xludf.DUMMYFUNCTION("""COMPUTED_VALUE"""),"TNA-XTA-040")</f>
        <v>TNA-XTA-040</v>
      </c>
      <c r="B2445" s="3" t="str">
        <f>IFERROR(__xludf.DUMMYFUNCTION("""COMPUTED_VALUE"""),"Xe ben 15 tấn ")</f>
        <v>Xe ben 15 tấn </v>
      </c>
      <c r="C2445" s="5" t="str">
        <f>IFERROR(__xludf.DUMMYFUNCTION("""COMPUTED_VALUE"""),"B.ĐTXD AD")</f>
        <v>B.ĐTXD AD</v>
      </c>
      <c r="D2445" s="5" t="str">
        <f>IFERROR(__xludf.DUMMYFUNCTION("""COMPUTED_VALUE"""),"HYUNDAI")</f>
        <v>HYUNDAI</v>
      </c>
      <c r="E2445" s="5"/>
      <c r="F2445" s="5"/>
      <c r="G2445" s="5"/>
      <c r="H2445" s="5" t="str">
        <f>IFERROR(__xludf.DUMMYFUNCTION("""COMPUTED_VALUE"""),"360Hp")</f>
        <v>360Hp</v>
      </c>
      <c r="I2445" s="5" t="str">
        <f>IFERROR(__xludf.DUMMYFUNCTION("""COMPUTED_VALUE"""),"6799")</f>
        <v>6799</v>
      </c>
      <c r="J2445" s="5" t="str">
        <f>IFERROR(__xludf.DUMMYFUNCTION("""COMPUTED_VALUE"""),"114543")</f>
        <v>114543</v>
      </c>
      <c r="K2445" s="5"/>
      <c r="L2445" s="5" t="str">
        <f>IFERROR(__xludf.DUMMYFUNCTION("""COMPUTED_VALUE"""),"-")</f>
        <v>-</v>
      </c>
    </row>
    <row r="2446">
      <c r="A2446" s="5" t="str">
        <f>IFERROR(__xludf.DUMMYFUNCTION("""COMPUTED_VALUE"""),"TNA-XTA-041")</f>
        <v>TNA-XTA-041</v>
      </c>
      <c r="B2446" s="3" t="str">
        <f>IFERROR(__xludf.DUMMYFUNCTION("""COMPUTED_VALUE"""),"Xe ben 05 tấn")</f>
        <v>Xe ben 05 tấn</v>
      </c>
      <c r="C2446" s="5" t="str">
        <f>IFERROR(__xludf.DUMMYFUNCTION("""COMPUTED_VALUE"""),"B.ĐTXD AD")</f>
        <v>B.ĐTXD AD</v>
      </c>
      <c r="D2446" s="5" t="str">
        <f>IFERROR(__xludf.DUMMYFUNCTION("""COMPUTED_VALUE"""),"HYUNDAI")</f>
        <v>HYUNDAI</v>
      </c>
      <c r="E2446" s="5"/>
      <c r="F2446" s="5">
        <f>IFERROR(__xludf.DUMMYFUNCTION("""COMPUTED_VALUE"""),1996.0)</f>
        <v>1996</v>
      </c>
      <c r="G2446" s="5"/>
      <c r="H2446" s="5" t="str">
        <f>IFERROR(__xludf.DUMMYFUNCTION("""COMPUTED_VALUE"""),"170Hp")</f>
        <v>170Hp</v>
      </c>
      <c r="I2446" s="5" t="str">
        <f>IFERROR(__xludf.DUMMYFUNCTION("""COMPUTED_VALUE"""),"102016")</f>
        <v>102016</v>
      </c>
      <c r="J2446" s="5" t="str">
        <f>IFERROR(__xludf.DUMMYFUNCTION("""COMPUTED_VALUE"""),"54285")</f>
        <v>54285</v>
      </c>
      <c r="K2446" s="5"/>
      <c r="L2446" s="5" t="str">
        <f>IFERROR(__xludf.DUMMYFUNCTION("""COMPUTED_VALUE"""),"-")</f>
        <v>-</v>
      </c>
    </row>
    <row r="2447">
      <c r="A2447" s="5" t="str">
        <f>IFERROR(__xludf.DUMMYFUNCTION("""COMPUTED_VALUE"""),"TNA-XTA-042")</f>
        <v>TNA-XTA-042</v>
      </c>
      <c r="B2447" s="3" t="str">
        <f>IFERROR(__xludf.DUMMYFUNCTION("""COMPUTED_VALUE"""),"Xe ben 05 tấn")</f>
        <v>Xe ben 05 tấn</v>
      </c>
      <c r="C2447" s="5" t="str">
        <f>IFERROR(__xludf.DUMMYFUNCTION("""COMPUTED_VALUE"""),"B.ĐTXD AD")</f>
        <v>B.ĐTXD AD</v>
      </c>
      <c r="D2447" s="5" t="str">
        <f>IFERROR(__xludf.DUMMYFUNCTION("""COMPUTED_VALUE"""),"HYUNDAI")</f>
        <v>HYUNDAI</v>
      </c>
      <c r="E2447" s="5"/>
      <c r="F2447" s="5">
        <f>IFERROR(__xludf.DUMMYFUNCTION("""COMPUTED_VALUE"""),1995.0)</f>
        <v>1995</v>
      </c>
      <c r="G2447" s="5"/>
      <c r="H2447" s="5" t="str">
        <f>IFERROR(__xludf.DUMMYFUNCTION("""COMPUTED_VALUE"""),"170Hp")</f>
        <v>170Hp</v>
      </c>
      <c r="I2447" s="5" t="str">
        <f>IFERROR(__xludf.DUMMYFUNCTION("""COMPUTED_VALUE"""),"23375")</f>
        <v>23375</v>
      </c>
      <c r="J2447" s="5" t="str">
        <f>IFERROR(__xludf.DUMMYFUNCTION("""COMPUTED_VALUE"""),"23375")</f>
        <v>23375</v>
      </c>
      <c r="K2447" s="5"/>
      <c r="L2447" s="5" t="str">
        <f>IFERROR(__xludf.DUMMYFUNCTION("""COMPUTED_VALUE"""),"-")</f>
        <v>-</v>
      </c>
    </row>
    <row r="2448">
      <c r="A2448" s="5" t="str">
        <f>IFERROR(__xludf.DUMMYFUNCTION("""COMPUTED_VALUE"""),"TNA-XTA-043")</f>
        <v>TNA-XTA-043</v>
      </c>
      <c r="B2448" s="3" t="str">
        <f>IFERROR(__xludf.DUMMYFUNCTION("""COMPUTED_VALUE"""),"Xe ben 15 tấn ")</f>
        <v>Xe ben 15 tấn </v>
      </c>
      <c r="C2448" s="5" t="str">
        <f>IFERROR(__xludf.DUMMYFUNCTION("""COMPUTED_VALUE"""),"B.ĐTXD AD")</f>
        <v>B.ĐTXD AD</v>
      </c>
      <c r="D2448" s="5" t="str">
        <f>IFERROR(__xludf.DUMMYFUNCTION("""COMPUTED_VALUE"""),"HYUNDAI")</f>
        <v>HYUNDAI</v>
      </c>
      <c r="E2448" s="5"/>
      <c r="F2448" s="5">
        <f>IFERROR(__xludf.DUMMYFUNCTION("""COMPUTED_VALUE"""),2004.0)</f>
        <v>2004</v>
      </c>
      <c r="G2448" s="5"/>
      <c r="H2448" s="5" t="str">
        <f>IFERROR(__xludf.DUMMYFUNCTION("""COMPUTED_VALUE"""),"360Hp")</f>
        <v>360Hp</v>
      </c>
      <c r="I2448" s="5" t="str">
        <f>IFERROR(__xludf.DUMMYFUNCTION("""COMPUTED_VALUE"""),"30600")</f>
        <v>30600</v>
      </c>
      <c r="J2448" s="5" t="str">
        <f>IFERROR(__xludf.DUMMYFUNCTION("""COMPUTED_VALUE"""),"3083201")</f>
        <v>3083201</v>
      </c>
      <c r="K2448" s="5"/>
      <c r="L2448" s="5" t="str">
        <f>IFERROR(__xludf.DUMMYFUNCTION("""COMPUTED_VALUE"""),"-")</f>
        <v>-</v>
      </c>
    </row>
    <row r="2449">
      <c r="A2449" s="5" t="str">
        <f>IFERROR(__xludf.DUMMYFUNCTION("""COMPUTED_VALUE"""),"TNA-XTA-044")</f>
        <v>TNA-XTA-044</v>
      </c>
      <c r="B2449" s="3" t="str">
        <f>IFERROR(__xludf.DUMMYFUNCTION("""COMPUTED_VALUE"""),"Xe ben 15 tấn ")</f>
        <v>Xe ben 15 tấn </v>
      </c>
      <c r="C2449" s="5" t="str">
        <f>IFERROR(__xludf.DUMMYFUNCTION("""COMPUTED_VALUE"""),"B.ĐTXD AD")</f>
        <v>B.ĐTXD AD</v>
      </c>
      <c r="D2449" s="5" t="str">
        <f>IFERROR(__xludf.DUMMYFUNCTION("""COMPUTED_VALUE"""),"HYUNDAI")</f>
        <v>HYUNDAI</v>
      </c>
      <c r="E2449" s="5"/>
      <c r="F2449" s="5">
        <f>IFERROR(__xludf.DUMMYFUNCTION("""COMPUTED_VALUE"""),2004.0)</f>
        <v>2004</v>
      </c>
      <c r="G2449" s="5"/>
      <c r="H2449" s="5" t="str">
        <f>IFERROR(__xludf.DUMMYFUNCTION("""COMPUTED_VALUE"""),"360Hp")</f>
        <v>360Hp</v>
      </c>
      <c r="I2449" s="5" t="str">
        <f>IFERROR(__xludf.DUMMYFUNCTION("""COMPUTED_VALUE"""),"1741")</f>
        <v>1741</v>
      </c>
      <c r="J2449" s="5" t="str">
        <f>IFERROR(__xludf.DUMMYFUNCTION("""COMPUTED_VALUE"""),"3084058")</f>
        <v>3084058</v>
      </c>
      <c r="K2449" s="5"/>
      <c r="L2449" s="5" t="str">
        <f>IFERROR(__xludf.DUMMYFUNCTION("""COMPUTED_VALUE"""),"-")</f>
        <v>-</v>
      </c>
    </row>
    <row r="2450">
      <c r="A2450" s="5" t="str">
        <f>IFERROR(__xludf.DUMMYFUNCTION("""COMPUTED_VALUE"""),"TNA-XTA-045")</f>
        <v>TNA-XTA-045</v>
      </c>
      <c r="B2450" s="3" t="str">
        <f>IFERROR(__xludf.DUMMYFUNCTION("""COMPUTED_VALUE"""),"Xe ben 15 tấn ")</f>
        <v>Xe ben 15 tấn </v>
      </c>
      <c r="C2450" s="5" t="str">
        <f>IFERROR(__xludf.DUMMYFUNCTION("""COMPUTED_VALUE"""),"B.ĐTXD AD")</f>
        <v>B.ĐTXD AD</v>
      </c>
      <c r="D2450" s="5" t="str">
        <f>IFERROR(__xludf.DUMMYFUNCTION("""COMPUTED_VALUE"""),"HYUNDAI")</f>
        <v>HYUNDAI</v>
      </c>
      <c r="E2450" s="5"/>
      <c r="F2450" s="5">
        <f>IFERROR(__xludf.DUMMYFUNCTION("""COMPUTED_VALUE"""),1997.0)</f>
        <v>1997</v>
      </c>
      <c r="G2450" s="5"/>
      <c r="H2450" s="5" t="str">
        <f>IFERROR(__xludf.DUMMYFUNCTION("""COMPUTED_VALUE"""),"360Hp")</f>
        <v>360Hp</v>
      </c>
      <c r="I2450" s="5" t="str">
        <f>IFERROR(__xludf.DUMMYFUNCTION("""COMPUTED_VALUE"""),"K002184")</f>
        <v>K002184</v>
      </c>
      <c r="J2450" s="5" t="str">
        <f>IFERROR(__xludf.DUMMYFUNCTION("""COMPUTED_VALUE"""),"268CG")</f>
        <v>268CG</v>
      </c>
      <c r="K2450" s="5"/>
      <c r="L2450" s="5" t="str">
        <f>IFERROR(__xludf.DUMMYFUNCTION("""COMPUTED_VALUE"""),"-")</f>
        <v>-</v>
      </c>
    </row>
    <row r="2451">
      <c r="A2451" s="5" t="str">
        <f>IFERROR(__xludf.DUMMYFUNCTION("""COMPUTED_VALUE"""),"TNA-XTA-046")</f>
        <v>TNA-XTA-046</v>
      </c>
      <c r="B2451" s="3" t="str">
        <f>IFERROR(__xludf.DUMMYFUNCTION("""COMPUTED_VALUE"""),"Xe ben 15 tấn ")</f>
        <v>Xe ben 15 tấn </v>
      </c>
      <c r="C2451" s="5" t="str">
        <f>IFERROR(__xludf.DUMMYFUNCTION("""COMPUTED_VALUE"""),"B.ĐTXD AD")</f>
        <v>B.ĐTXD AD</v>
      </c>
      <c r="D2451" s="5" t="str">
        <f>IFERROR(__xludf.DUMMYFUNCTION("""COMPUTED_VALUE"""),"HYUNDAI")</f>
        <v>HYUNDAI</v>
      </c>
      <c r="E2451" s="5"/>
      <c r="F2451" s="5">
        <f>IFERROR(__xludf.DUMMYFUNCTION("""COMPUTED_VALUE"""),1997.0)</f>
        <v>1997</v>
      </c>
      <c r="G2451" s="5"/>
      <c r="H2451" s="5" t="str">
        <f>IFERROR(__xludf.DUMMYFUNCTION("""COMPUTED_VALUE"""),"360Hp")</f>
        <v>360Hp</v>
      </c>
      <c r="I2451" s="5" t="str">
        <f>IFERROR(__xludf.DUMMYFUNCTION("""COMPUTED_VALUE"""),"C104482")</f>
        <v>C104482</v>
      </c>
      <c r="J2451" s="5" t="str">
        <f>IFERROR(__xludf.DUMMYFUNCTION("""COMPUTED_VALUE"""),"5507")</f>
        <v>5507</v>
      </c>
      <c r="K2451" s="5"/>
      <c r="L2451" s="5" t="str">
        <f>IFERROR(__xludf.DUMMYFUNCTION("""COMPUTED_VALUE"""),"-")</f>
        <v>-</v>
      </c>
    </row>
    <row r="2452">
      <c r="A2452" s="5" t="str">
        <f>IFERROR(__xludf.DUMMYFUNCTION("""COMPUTED_VALUE"""),"TNA-XTA-047")</f>
        <v>TNA-XTA-047</v>
      </c>
      <c r="B2452" s="3" t="str">
        <f>IFERROR(__xludf.DUMMYFUNCTION("""COMPUTED_VALUE"""),"Xe ben 05 tấn ")</f>
        <v>Xe ben 05 tấn </v>
      </c>
      <c r="C2452" s="5" t="str">
        <f>IFERROR(__xludf.DUMMYFUNCTION("""COMPUTED_VALUE"""),"B.ĐTXD AD")</f>
        <v>B.ĐTXD AD</v>
      </c>
      <c r="D2452" s="5" t="str">
        <f>IFERROR(__xludf.DUMMYFUNCTION("""COMPUTED_VALUE"""),"HYUNDAI")</f>
        <v>HYUNDAI</v>
      </c>
      <c r="E2452" s="5"/>
      <c r="F2452" s="5"/>
      <c r="G2452" s="5"/>
      <c r="H2452" s="5" t="str">
        <f>IFERROR(__xludf.DUMMYFUNCTION("""COMPUTED_VALUE"""),"130HP")</f>
        <v>130HP</v>
      </c>
      <c r="I2452" s="5" t="str">
        <f>IFERROR(__xludf.DUMMYFUNCTION("""COMPUTED_VALUE"""),"119250")</f>
        <v>119250</v>
      </c>
      <c r="J2452" s="5" t="str">
        <f>IFERROR(__xludf.DUMMYFUNCTION("""COMPUTED_VALUE"""),"14949")</f>
        <v>14949</v>
      </c>
      <c r="K2452" s="5"/>
      <c r="L2452" s="5" t="str">
        <f>IFERROR(__xludf.DUMMYFUNCTION("""COMPUTED_VALUE"""),"-")</f>
        <v>-</v>
      </c>
    </row>
    <row r="2453">
      <c r="A2453" s="5" t="str">
        <f>IFERROR(__xludf.DUMMYFUNCTION("""COMPUTED_VALUE"""),"TNA-XTA-048")</f>
        <v>TNA-XTA-048</v>
      </c>
      <c r="B2453" s="3" t="str">
        <f>IFERROR(__xludf.DUMMYFUNCTION("""COMPUTED_VALUE"""),"Xe ben 15 tấn ")</f>
        <v>Xe ben 15 tấn </v>
      </c>
      <c r="C2453" s="5" t="str">
        <f>IFERROR(__xludf.DUMMYFUNCTION("""COMPUTED_VALUE"""),"B.ĐTXD AD")</f>
        <v>B.ĐTXD AD</v>
      </c>
      <c r="D2453" s="5" t="str">
        <f>IFERROR(__xludf.DUMMYFUNCTION("""COMPUTED_VALUE"""),"HINO")</f>
        <v>HINO</v>
      </c>
      <c r="E2453" s="5"/>
      <c r="F2453" s="5"/>
      <c r="G2453" s="5"/>
      <c r="H2453" s="5" t="str">
        <f>IFERROR(__xludf.DUMMYFUNCTION("""COMPUTED_VALUE"""),"360Hp")</f>
        <v>360Hp</v>
      </c>
      <c r="I2453" s="5" t="str">
        <f>IFERROR(__xludf.DUMMYFUNCTION("""COMPUTED_VALUE"""),"11546")</f>
        <v>11546</v>
      </c>
      <c r="J2453" s="5"/>
      <c r="K2453" s="5">
        <f>IFERROR(__xludf.DUMMYFUNCTION("""COMPUTED_VALUE"""),6.5)</f>
        <v>6.5</v>
      </c>
      <c r="L2453" s="5" t="str">
        <f>IFERROR(__xludf.DUMMYFUNCTION("""COMPUTED_VALUE"""),"-")</f>
        <v>-</v>
      </c>
    </row>
    <row r="2454">
      <c r="A2454" s="5" t="str">
        <f>IFERROR(__xludf.DUMMYFUNCTION("""COMPUTED_VALUE"""),"TNA-XTA-049")</f>
        <v>TNA-XTA-049</v>
      </c>
      <c r="B2454" s="3" t="str">
        <f>IFERROR(__xludf.DUMMYFUNCTION("""COMPUTED_VALUE"""),"Xe ben 15 tấn ")</f>
        <v>Xe ben 15 tấn </v>
      </c>
      <c r="C2454" s="5" t="str">
        <f>IFERROR(__xludf.DUMMYFUNCTION("""COMPUTED_VALUE"""),"B.ĐTXD AD")</f>
        <v>B.ĐTXD AD</v>
      </c>
      <c r="D2454" s="5" t="str">
        <f>IFERROR(__xludf.DUMMYFUNCTION("""COMPUTED_VALUE"""),"DEAWOO")</f>
        <v>DEAWOO</v>
      </c>
      <c r="E2454" s="5"/>
      <c r="F2454" s="5"/>
      <c r="G2454" s="5"/>
      <c r="H2454" s="5" t="str">
        <f>IFERROR(__xludf.DUMMYFUNCTION("""COMPUTED_VALUE"""),"360Hp")</f>
        <v>360Hp</v>
      </c>
      <c r="I2454" s="5" t="str">
        <f>IFERROR(__xludf.DUMMYFUNCTION("""COMPUTED_VALUE"""),";000176")</f>
        <v>;000176</v>
      </c>
      <c r="J2454" s="5"/>
      <c r="K2454" s="5">
        <f>IFERROR(__xludf.DUMMYFUNCTION("""COMPUTED_VALUE"""),6.5)</f>
        <v>6.5</v>
      </c>
      <c r="L2454" s="5" t="str">
        <f>IFERROR(__xludf.DUMMYFUNCTION("""COMPUTED_VALUE"""),"-")</f>
        <v>-</v>
      </c>
    </row>
    <row r="2455">
      <c r="A2455" s="5" t="str">
        <f>IFERROR(__xludf.DUMMYFUNCTION("""COMPUTED_VALUE"""),"TNA-XTA-050")</f>
        <v>TNA-XTA-050</v>
      </c>
      <c r="B2455" s="3" t="str">
        <f>IFERROR(__xludf.DUMMYFUNCTION("""COMPUTED_VALUE"""),"Xe ben 15 tấn ")</f>
        <v>Xe ben 15 tấn </v>
      </c>
      <c r="C2455" s="5" t="str">
        <f>IFERROR(__xludf.DUMMYFUNCTION("""COMPUTED_VALUE"""),"GNVC")</f>
        <v>GNVC</v>
      </c>
      <c r="D2455" s="5" t="str">
        <f>IFERROR(__xludf.DUMMYFUNCTION("""COMPUTED_VALUE"""),"HYUNDAI")</f>
        <v>HYUNDAI</v>
      </c>
      <c r="E2455" s="5"/>
      <c r="F2455" s="5">
        <f>IFERROR(__xludf.DUMMYFUNCTION("""COMPUTED_VALUE"""),1994.0)</f>
        <v>1994</v>
      </c>
      <c r="G2455" s="5"/>
      <c r="H2455" s="5" t="str">
        <f>IFERROR(__xludf.DUMMYFUNCTION("""COMPUTED_VALUE"""),"320HP")</f>
        <v>320HP</v>
      </c>
      <c r="I2455" s="5" t="str">
        <f>IFERROR(__xludf.DUMMYFUNCTION("""COMPUTED_VALUE"""),"KNDB19YPRU017598")</f>
        <v>KNDB19YPRU017598</v>
      </c>
      <c r="J2455" s="5" t="str">
        <f>IFERROR(__xludf.DUMMYFUNCTION("""COMPUTED_VALUE"""),"D8AYU011710")</f>
        <v>D8AYU011710</v>
      </c>
      <c r="K2455" s="5">
        <f>IFERROR(__xludf.DUMMYFUNCTION("""COMPUTED_VALUE"""),9.5)</f>
        <v>9.5</v>
      </c>
      <c r="L2455" s="5" t="str">
        <f>IFERROR(__xludf.DUMMYFUNCTION("""COMPUTED_VALUE"""),"-")</f>
        <v>-</v>
      </c>
    </row>
    <row r="2456">
      <c r="A2456" s="5" t="str">
        <f>IFERROR(__xludf.DUMMYFUNCTION("""COMPUTED_VALUE"""),"TNA-XTA-051")</f>
        <v>TNA-XTA-051</v>
      </c>
      <c r="B2456" s="3" t="str">
        <f>IFERROR(__xludf.DUMMYFUNCTION("""COMPUTED_VALUE"""),"Xe ben 15 tấn ")</f>
        <v>Xe ben 15 tấn </v>
      </c>
      <c r="C2456" s="5" t="str">
        <f>IFERROR(__xludf.DUMMYFUNCTION("""COMPUTED_VALUE"""),"GNVC")</f>
        <v>GNVC</v>
      </c>
      <c r="D2456" s="5" t="str">
        <f>IFERROR(__xludf.DUMMYFUNCTION("""COMPUTED_VALUE"""),"HINO")</f>
        <v>HINO</v>
      </c>
      <c r="E2456" s="5"/>
      <c r="F2456" s="5">
        <f>IFERROR(__xludf.DUMMYFUNCTION("""COMPUTED_VALUE"""),1995.0)</f>
        <v>1995</v>
      </c>
      <c r="G2456" s="5"/>
      <c r="H2456" s="5" t="str">
        <f>IFERROR(__xludf.DUMMYFUNCTION("""COMPUTED_VALUE"""),"340HP")</f>
        <v>340HP</v>
      </c>
      <c r="I2456" s="5" t="str">
        <f>IFERROR(__xludf.DUMMYFUNCTION("""COMPUTED_VALUE"""),"15TDF-000047")</f>
        <v>15TDF-000047</v>
      </c>
      <c r="J2456" s="5" t="str">
        <f>IFERROR(__xludf.DUMMYFUNCTION("""COMPUTED_VALUE"""),"F17E000062")</f>
        <v>F17E000062</v>
      </c>
      <c r="K2456" s="5">
        <f>IFERROR(__xludf.DUMMYFUNCTION("""COMPUTED_VALUE"""),9.5)</f>
        <v>9.5</v>
      </c>
      <c r="L2456" s="5" t="str">
        <f>IFERROR(__xludf.DUMMYFUNCTION("""COMPUTED_VALUE"""),"-")</f>
        <v>-</v>
      </c>
    </row>
    <row r="2457">
      <c r="A2457" s="5" t="str">
        <f>IFERROR(__xludf.DUMMYFUNCTION("""COMPUTED_VALUE"""),"TNA-XTA-052")</f>
        <v>TNA-XTA-052</v>
      </c>
      <c r="B2457" s="3" t="str">
        <f>IFERROR(__xludf.DUMMYFUNCTION("""COMPUTED_VALUE"""),"Xe ben 25 tấn")</f>
        <v>Xe ben 25 tấn</v>
      </c>
      <c r="C2457" s="5" t="str">
        <f>IFERROR(__xludf.DUMMYFUNCTION("""COMPUTED_VALUE"""),"B.ĐTXD AD")</f>
        <v>B.ĐTXD AD</v>
      </c>
      <c r="D2457" s="5" t="str">
        <f>IFERROR(__xludf.DUMMYFUNCTION("""COMPUTED_VALUE"""),"HYUNDAI")</f>
        <v>HYUNDAI</v>
      </c>
      <c r="E2457" s="5"/>
      <c r="F2457" s="5">
        <f>IFERROR(__xludf.DUMMYFUNCTION("""COMPUTED_VALUE"""),2009.0)</f>
        <v>2009</v>
      </c>
      <c r="G2457" s="5" t="str">
        <f>IFERROR(__xludf.DUMMYFUNCTION("""COMPUTED_VALUE"""),"TRAGO")</f>
        <v>TRAGO</v>
      </c>
      <c r="H2457" s="5" t="str">
        <f>IFERROR(__xludf.DUMMYFUNCTION("""COMPUTED_VALUE"""),"380HP")</f>
        <v>380HP</v>
      </c>
      <c r="I2457" s="5" t="str">
        <f>IFERROR(__xludf.DUMMYFUNCTION("""COMPUTED_VALUE"""),"KMCRB18NP9C038184")</f>
        <v>KMCRB18NP9C038184</v>
      </c>
      <c r="J2457" s="5" t="str">
        <f>IFERROR(__xludf.DUMMYFUNCTION("""COMPUTED_VALUE"""),"D6CC9176877")</f>
        <v>D6CC9176877</v>
      </c>
      <c r="K2457" s="5">
        <f>IFERROR(__xludf.DUMMYFUNCTION("""COMPUTED_VALUE"""),14.2)</f>
        <v>14.2</v>
      </c>
      <c r="L2457" s="5" t="str">
        <f>IFERROR(__xludf.DUMMYFUNCTION("""COMPUTED_VALUE"""),"-")</f>
        <v>-</v>
      </c>
    </row>
    <row r="2458">
      <c r="A2458" s="5" t="str">
        <f>IFERROR(__xludf.DUMMYFUNCTION("""COMPUTED_VALUE"""),"TNA-XTA-053")</f>
        <v>TNA-XTA-053</v>
      </c>
      <c r="B2458" s="3" t="str">
        <f>IFERROR(__xludf.DUMMYFUNCTION("""COMPUTED_VALUE"""),"Xe ben 15 tấn")</f>
        <v>Xe ben 15 tấn</v>
      </c>
      <c r="C2458" s="5" t="str">
        <f>IFERROR(__xludf.DUMMYFUNCTION("""COMPUTED_VALUE"""),"B.ĐTXD AD")</f>
        <v>B.ĐTXD AD</v>
      </c>
      <c r="D2458" s="5" t="str">
        <f>IFERROR(__xludf.DUMMYFUNCTION("""COMPUTED_VALUE"""),"DAEWOOO")</f>
        <v>DAEWOOO</v>
      </c>
      <c r="E2458" s="5"/>
      <c r="F2458" s="5">
        <f>IFERROR(__xludf.DUMMYFUNCTION("""COMPUTED_VALUE"""),2002.0)</f>
        <v>2002</v>
      </c>
      <c r="G2458" s="5" t="str">
        <f>IFERROR(__xludf.DUMMYFUNCTION("""COMPUTED_VALUE"""),"DAEWOOO")</f>
        <v>DAEWOOO</v>
      </c>
      <c r="H2458" s="5" t="str">
        <f>IFERROR(__xludf.DUMMYFUNCTION("""COMPUTED_VALUE"""),"380HP")</f>
        <v>380HP</v>
      </c>
      <c r="I2458" s="5" t="str">
        <f>IFERROR(__xludf.DUMMYFUNCTION("""COMPUTED_VALUE"""),"KL3K4OVA12K00039")</f>
        <v>KL3K4OVA12K00039</v>
      </c>
      <c r="J2458" s="5" t="str">
        <f>IFERROR(__xludf.DUMMYFUNCTION("""COMPUTED_VALUE"""),"DV15TiS201215CG")</f>
        <v>DV15TiS201215CG</v>
      </c>
      <c r="K2458" s="5">
        <f>IFERROR(__xludf.DUMMYFUNCTION("""COMPUTED_VALUE"""),6.5)</f>
        <v>6.5</v>
      </c>
      <c r="L2458" s="5" t="str">
        <f>IFERROR(__xludf.DUMMYFUNCTION("""COMPUTED_VALUE"""),"-")</f>
        <v>-</v>
      </c>
    </row>
    <row r="2459">
      <c r="A2459" s="5" t="str">
        <f>IFERROR(__xludf.DUMMYFUNCTION("""COMPUTED_VALUE"""),"TNA-XTA-054")</f>
        <v>TNA-XTA-054</v>
      </c>
      <c r="B2459" s="3" t="str">
        <f>IFERROR(__xludf.DUMMYFUNCTION("""COMPUTED_VALUE"""),"Xe ben 25 tấn")</f>
        <v>Xe ben 25 tấn</v>
      </c>
      <c r="C2459" s="5" t="str">
        <f>IFERROR(__xludf.DUMMYFUNCTION("""COMPUTED_VALUE"""),"XN Chuối AD2")</f>
        <v>XN Chuối AD2</v>
      </c>
      <c r="D2459" s="5" t="str">
        <f>IFERROR(__xludf.DUMMYFUNCTION("""COMPUTED_VALUE"""),"HYUNDAI")</f>
        <v>HYUNDAI</v>
      </c>
      <c r="E2459" s="5" t="str">
        <f>IFERROR(__xludf.DUMMYFUNCTION("""COMPUTED_VALUE"""),"HÀN QUỐC")</f>
        <v>HÀN QUỐC</v>
      </c>
      <c r="F2459" s="5">
        <f>IFERROR(__xludf.DUMMYFUNCTION("""COMPUTED_VALUE"""),2006.0)</f>
        <v>2006</v>
      </c>
      <c r="G2459" s="5" t="str">
        <f>IFERROR(__xludf.DUMMYFUNCTION("""COMPUTED_VALUE"""),"DUMPTRUCK")</f>
        <v>DUMPTRUCK</v>
      </c>
      <c r="H2459" s="5" t="str">
        <f>IFERROR(__xludf.DUMMYFUNCTION("""COMPUTED_VALUE"""),"440HP")</f>
        <v>440HP</v>
      </c>
      <c r="I2459" s="5" t="str">
        <f>IFERROR(__xludf.DUMMYFUNCTION("""COMPUTED_VALUE"""),"KNCPB18TP6C011883")</f>
        <v>KNCPB18TP6C011883</v>
      </c>
      <c r="J2459" s="5" t="str">
        <f>IFERROR(__xludf.DUMMYFUNCTION("""COMPUTED_VALUE"""),"D6CB6122604")</f>
        <v>D6CB6122604</v>
      </c>
      <c r="K2459" s="5">
        <f>IFERROR(__xludf.DUMMYFUNCTION("""COMPUTED_VALUE"""),9.8)</f>
        <v>9.8</v>
      </c>
      <c r="L2459" s="5" t="str">
        <f>IFERROR(__xludf.DUMMYFUNCTION("""COMPUTED_VALUE"""),"-")</f>
        <v>-</v>
      </c>
    </row>
    <row r="2460">
      <c r="A2460" s="5" t="str">
        <f>IFERROR(__xludf.DUMMYFUNCTION("""COMPUTED_VALUE"""),"TNA-XTA-056")</f>
        <v>TNA-XTA-056</v>
      </c>
      <c r="B2460" s="3" t="str">
        <f>IFERROR(__xludf.DUMMYFUNCTION("""COMPUTED_VALUE"""),"Xe ben 5 tấn")</f>
        <v>Xe ben 5 tấn</v>
      </c>
      <c r="C2460" s="5" t="str">
        <f>IFERROR(__xludf.DUMMYFUNCTION("""COMPUTED_VALUE"""),"CGTC AD")</f>
        <v>CGTC AD</v>
      </c>
      <c r="D2460" s="5" t="str">
        <f>IFERROR(__xludf.DUMMYFUNCTION("""COMPUTED_VALUE"""),"HYUNDAI")</f>
        <v>HYUNDAI</v>
      </c>
      <c r="E2460" s="5" t="str">
        <f>IFERROR(__xludf.DUMMYFUNCTION("""COMPUTED_VALUE"""),"HÀN QUỐC")</f>
        <v>HÀN QUỐC</v>
      </c>
      <c r="F2460" s="5">
        <f>IFERROR(__xludf.DUMMYFUNCTION("""COMPUTED_VALUE"""),2000.0)</f>
        <v>2000</v>
      </c>
      <c r="G2460" s="5" t="str">
        <f>IFERROR(__xludf.DUMMYFUNCTION("""COMPUTED_VALUE"""),"HEAVY TRUCK")</f>
        <v>HEAVY TRUCK</v>
      </c>
      <c r="H2460" s="5" t="str">
        <f>IFERROR(__xludf.DUMMYFUNCTION("""COMPUTED_VALUE"""),"181HP")</f>
        <v>181HP</v>
      </c>
      <c r="I2460" s="5" t="str">
        <f>IFERROR(__xludf.DUMMYFUNCTION("""COMPUTED_VALUE"""),"KMFLA19RPYC011996")</f>
        <v>KMFLA19RPYC011996</v>
      </c>
      <c r="J2460" s="5" t="str">
        <f>IFERROR(__xludf.DUMMYFUNCTION("""COMPUTED_VALUE"""),"D6BRY030010")</f>
        <v>D6BRY030010</v>
      </c>
      <c r="K2460" s="5">
        <f>IFERROR(__xludf.DUMMYFUNCTION("""COMPUTED_VALUE"""),4.6)</f>
        <v>4.6</v>
      </c>
      <c r="L2460" s="5" t="str">
        <f>IFERROR(__xludf.DUMMYFUNCTION("""COMPUTED_VALUE"""),"-")</f>
        <v>-</v>
      </c>
    </row>
    <row r="2461">
      <c r="A2461" s="5" t="str">
        <f>IFERROR(__xludf.DUMMYFUNCTION("""COMPUTED_VALUE"""),"TNA-XTA-057")</f>
        <v>TNA-XTA-057</v>
      </c>
      <c r="B2461" s="3" t="str">
        <f>IFERROR(__xludf.DUMMYFUNCTION("""COMPUTED_VALUE"""),"Xe ben 5 tấn")</f>
        <v>Xe ben 5 tấn</v>
      </c>
      <c r="C2461" s="5" t="str">
        <f>IFERROR(__xludf.DUMMYFUNCTION("""COMPUTED_VALUE"""),"CGTC AD")</f>
        <v>CGTC AD</v>
      </c>
      <c r="D2461" s="5" t="str">
        <f>IFERROR(__xludf.DUMMYFUNCTION("""COMPUTED_VALUE"""),"HYUNDAI")</f>
        <v>HYUNDAI</v>
      </c>
      <c r="E2461" s="5" t="str">
        <f>IFERROR(__xludf.DUMMYFUNCTION("""COMPUTED_VALUE"""),"HÀN QUỐC")</f>
        <v>HÀN QUỐC</v>
      </c>
      <c r="F2461" s="5">
        <f>IFERROR(__xludf.DUMMYFUNCTION("""COMPUTED_VALUE"""),1999.0)</f>
        <v>1999</v>
      </c>
      <c r="G2461" s="5" t="str">
        <f>IFERROR(__xludf.DUMMYFUNCTION("""COMPUTED_VALUE"""),"HEAVY TRUCK")</f>
        <v>HEAVY TRUCK</v>
      </c>
      <c r="H2461" s="5" t="str">
        <f>IFERROR(__xludf.DUMMYFUNCTION("""COMPUTED_VALUE"""),"170HP")</f>
        <v>170HP</v>
      </c>
      <c r="I2461" s="5" t="str">
        <f>IFERROR(__xludf.DUMMYFUNCTION("""COMPUTED_VALUE"""),"KMFLA19RPXC008358")</f>
        <v>KMFLA19RPXC008358</v>
      </c>
      <c r="J2461" s="5" t="str">
        <f>IFERROR(__xludf.DUMMYFUNCTION("""COMPUTED_VALUE"""),"D6BRX025565")</f>
        <v>D6BRX025565</v>
      </c>
      <c r="K2461" s="5">
        <f>IFERROR(__xludf.DUMMYFUNCTION("""COMPUTED_VALUE"""),4.75)</f>
        <v>4.75</v>
      </c>
      <c r="L2461" s="5" t="str">
        <f>IFERROR(__xludf.DUMMYFUNCTION("""COMPUTED_VALUE"""),"-")</f>
        <v>-</v>
      </c>
    </row>
    <row r="2462">
      <c r="A2462" s="5" t="str">
        <f>IFERROR(__xludf.DUMMYFUNCTION("""COMPUTED_VALUE"""),"TNA-XTA-058")</f>
        <v>TNA-XTA-058</v>
      </c>
      <c r="B2462" s="3" t="str">
        <f>IFERROR(__xludf.DUMMYFUNCTION("""COMPUTED_VALUE"""),"Xe ben 5 tấn")</f>
        <v>Xe ben 5 tấn</v>
      </c>
      <c r="C2462" s="5" t="str">
        <f>IFERROR(__xludf.DUMMYFUNCTION("""COMPUTED_VALUE"""),"CGTC AD")</f>
        <v>CGTC AD</v>
      </c>
      <c r="D2462" s="5" t="str">
        <f>IFERROR(__xludf.DUMMYFUNCTION("""COMPUTED_VALUE"""),"HYUNDAI")</f>
        <v>HYUNDAI</v>
      </c>
      <c r="E2462" s="5" t="str">
        <f>IFERROR(__xludf.DUMMYFUNCTION("""COMPUTED_VALUE"""),"HÀN QUỐC")</f>
        <v>HÀN QUỐC</v>
      </c>
      <c r="F2462" s="5">
        <f>IFERROR(__xludf.DUMMYFUNCTION("""COMPUTED_VALUE"""),2004.0)</f>
        <v>2004</v>
      </c>
      <c r="G2462" s="5" t="str">
        <f>IFERROR(__xludf.DUMMYFUNCTION("""COMPUTED_VALUE"""),"HEAVY TRUCK")</f>
        <v>HEAVY TRUCK</v>
      </c>
      <c r="H2462" s="5" t="str">
        <f>IFERROR(__xludf.DUMMYFUNCTION("""COMPUTED_VALUE"""),"170HP")</f>
        <v>170HP</v>
      </c>
      <c r="I2462" s="5" t="str">
        <f>IFERROR(__xludf.DUMMYFUNCTION("""COMPUTED_VALUE"""),"KMFLA18AP4C048950")</f>
        <v>KMFLA18AP4C048950</v>
      </c>
      <c r="J2462" s="5" t="str">
        <f>IFERROR(__xludf.DUMMYFUNCTION("""COMPUTED_VALUE"""),"D6DA4223832")</f>
        <v>D6DA4223832</v>
      </c>
      <c r="K2462" s="5">
        <f>IFERROR(__xludf.DUMMYFUNCTION("""COMPUTED_VALUE"""),4.75)</f>
        <v>4.75</v>
      </c>
      <c r="L2462" s="5" t="str">
        <f>IFERROR(__xludf.DUMMYFUNCTION("""COMPUTED_VALUE"""),"-")</f>
        <v>-</v>
      </c>
    </row>
    <row r="2463">
      <c r="A2463" s="5" t="str">
        <f>IFERROR(__xludf.DUMMYFUNCTION("""COMPUTED_VALUE"""),"TNA-XTA-059")</f>
        <v>TNA-XTA-059</v>
      </c>
      <c r="B2463" s="3" t="str">
        <f>IFERROR(__xludf.DUMMYFUNCTION("""COMPUTED_VALUE"""),"Xe ben 5 tấn")</f>
        <v>Xe ben 5 tấn</v>
      </c>
      <c r="C2463" s="5" t="str">
        <f>IFERROR(__xludf.DUMMYFUNCTION("""COMPUTED_VALUE"""),"CGTC AD")</f>
        <v>CGTC AD</v>
      </c>
      <c r="D2463" s="5" t="str">
        <f>IFERROR(__xludf.DUMMYFUNCTION("""COMPUTED_VALUE"""),"HYUNDAI")</f>
        <v>HYUNDAI</v>
      </c>
      <c r="E2463" s="5" t="str">
        <f>IFERROR(__xludf.DUMMYFUNCTION("""COMPUTED_VALUE"""),"HÀN QUỐC")</f>
        <v>HÀN QUỐC</v>
      </c>
      <c r="F2463" s="5">
        <f>IFERROR(__xludf.DUMMYFUNCTION("""COMPUTED_VALUE"""),2003.0)</f>
        <v>2003</v>
      </c>
      <c r="G2463" s="5" t="str">
        <f>IFERROR(__xludf.DUMMYFUNCTION("""COMPUTED_VALUE"""),"HEAVY TRUCK")</f>
        <v>HEAVY TRUCK</v>
      </c>
      <c r="H2463" s="5" t="str">
        <f>IFERROR(__xludf.DUMMYFUNCTION("""COMPUTED_VALUE"""),"165HP")</f>
        <v>165HP</v>
      </c>
      <c r="I2463" s="5" t="str">
        <f>IFERROR(__xludf.DUMMYFUNCTION("""COMPUTED_VALUE"""),"KMFLA18AP3C043483")</f>
        <v>KMFLA18AP3C043483</v>
      </c>
      <c r="J2463" s="5" t="str">
        <f>IFERROR(__xludf.DUMMYFUNCTION("""COMPUTED_VALUE"""),"D6DA3219693")</f>
        <v>D6DA3219693</v>
      </c>
      <c r="K2463" s="5">
        <f>IFERROR(__xludf.DUMMYFUNCTION("""COMPUTED_VALUE"""),4.75)</f>
        <v>4.75</v>
      </c>
      <c r="L2463" s="5" t="str">
        <f>IFERROR(__xludf.DUMMYFUNCTION("""COMPUTED_VALUE"""),"-")</f>
        <v>-</v>
      </c>
    </row>
    <row r="2464">
      <c r="A2464" s="5" t="str">
        <f>IFERROR(__xludf.DUMMYFUNCTION("""COMPUTED_VALUE"""),"TNA-XTA-060")</f>
        <v>TNA-XTA-060</v>
      </c>
      <c r="B2464" s="3" t="str">
        <f>IFERROR(__xludf.DUMMYFUNCTION("""COMPUTED_VALUE"""),"Xe ben 15 tấn ")</f>
        <v>Xe ben 15 tấn </v>
      </c>
      <c r="C2464" s="5" t="str">
        <f>IFERROR(__xludf.DUMMYFUNCTION("""COMPUTED_VALUE"""),"B.ĐTXD AD")</f>
        <v>B.ĐTXD AD</v>
      </c>
      <c r="D2464" s="5" t="str">
        <f>IFERROR(__xludf.DUMMYFUNCTION("""COMPUTED_VALUE"""),"HYUNDAI")</f>
        <v>HYUNDAI</v>
      </c>
      <c r="E2464" s="5" t="str">
        <f>IFERROR(__xludf.DUMMYFUNCTION("""COMPUTED_VALUE"""),"HÀN QUỐC")</f>
        <v>HÀN QUỐC</v>
      </c>
      <c r="F2464" s="5">
        <f>IFERROR(__xludf.DUMMYFUNCTION("""COMPUTED_VALUE"""),1991.0)</f>
        <v>1991</v>
      </c>
      <c r="G2464" s="5" t="str">
        <f>IFERROR(__xludf.DUMMYFUNCTION("""COMPUTED_VALUE"""),"DUMP TRUCK")</f>
        <v>DUMP TRUCK</v>
      </c>
      <c r="H2464" s="5" t="str">
        <f>IFERROR(__xludf.DUMMYFUNCTION("""COMPUTED_VALUE"""),"320 HP")</f>
        <v>320 HP</v>
      </c>
      <c r="I2464" s="5" t="str">
        <f>IFERROR(__xludf.DUMMYFUNCTION("""COMPUTED_VALUE"""),"KMCDB19YDM4010848")</f>
        <v>KMCDB19YDM4010848</v>
      </c>
      <c r="J2464" s="5" t="str">
        <f>IFERROR(__xludf.DUMMYFUNCTION("""COMPUTED_VALUE"""),"D8AYM062626")</f>
        <v>D8AYM062626</v>
      </c>
      <c r="K2464" s="5">
        <f>IFERROR(__xludf.DUMMYFUNCTION("""COMPUTED_VALUE"""),8.0)</f>
        <v>8</v>
      </c>
      <c r="L2464" s="5" t="str">
        <f>IFERROR(__xludf.DUMMYFUNCTION("""COMPUTED_VALUE"""),"Đang thuê")</f>
        <v>Đang thuê</v>
      </c>
    </row>
    <row r="2465">
      <c r="A2465" s="5" t="str">
        <f>IFERROR(__xludf.DUMMYFUNCTION("""COMPUTED_VALUE"""),"TNA-XTA-061")</f>
        <v>TNA-XTA-061</v>
      </c>
      <c r="B2465" s="3" t="str">
        <f>IFERROR(__xludf.DUMMYFUNCTION("""COMPUTED_VALUE"""),"Xe ben 25 tấn ")</f>
        <v>Xe ben 25 tấn </v>
      </c>
      <c r="C2465" s="5" t="str">
        <f>IFERROR(__xludf.DUMMYFUNCTION("""COMPUTED_VALUE"""),"B.ĐTXD AD")</f>
        <v>B.ĐTXD AD</v>
      </c>
      <c r="D2465" s="5" t="str">
        <f>IFERROR(__xludf.DUMMYFUNCTION("""COMPUTED_VALUE"""),"SCANIA")</f>
        <v>SCANIA</v>
      </c>
      <c r="E2465" s="5"/>
      <c r="F2465" s="5">
        <f>IFERROR(__xludf.DUMMYFUNCTION("""COMPUTED_VALUE"""),2004.0)</f>
        <v>2004</v>
      </c>
      <c r="G2465" s="5"/>
      <c r="H2465" s="5" t="str">
        <f>IFERROR(__xludf.DUMMYFUNCTION("""COMPUTED_VALUE"""),"340 HP")</f>
        <v>340 HP</v>
      </c>
      <c r="I2465" s="5" t="str">
        <f>IFERROR(__xludf.DUMMYFUNCTION("""COMPUTED_VALUE"""),"9BSP8X40043551205")</f>
        <v>9BSP8X40043551205</v>
      </c>
      <c r="J2465" s="5" t="str">
        <f>IFERROR(__xludf.DUMMYFUNCTION("""COMPUTED_VALUE"""),"DC1104L018031440")</f>
        <v>DC1104L018031440</v>
      </c>
      <c r="K2465" s="5">
        <f>IFERROR(__xludf.DUMMYFUNCTION("""COMPUTED_VALUE"""),10.5)</f>
        <v>10.5</v>
      </c>
      <c r="L2465" s="5" t="str">
        <f>IFERROR(__xludf.DUMMYFUNCTION("""COMPUTED_VALUE"""),"Đang thuê")</f>
        <v>Đang thuê</v>
      </c>
    </row>
    <row r="2466">
      <c r="A2466" s="5" t="str">
        <f>IFERROR(__xludf.DUMMYFUNCTION("""COMPUTED_VALUE"""),"TNA-XTA-062")</f>
        <v>TNA-XTA-062</v>
      </c>
      <c r="B2466" s="3" t="str">
        <f>IFERROR(__xludf.DUMMYFUNCTION("""COMPUTED_VALUE"""),"Xe ben 25 tấn ")</f>
        <v>Xe ben 25 tấn </v>
      </c>
      <c r="C2466" s="5" t="str">
        <f>IFERROR(__xludf.DUMMYFUNCTION("""COMPUTED_VALUE"""),"B.ĐTXD AD")</f>
        <v>B.ĐTXD AD</v>
      </c>
      <c r="D2466" s="5" t="str">
        <f>IFERROR(__xludf.DUMMYFUNCTION("""COMPUTED_VALUE"""),"SCANIA")</f>
        <v>SCANIA</v>
      </c>
      <c r="E2466" s="5"/>
      <c r="F2466" s="5">
        <f>IFERROR(__xludf.DUMMYFUNCTION("""COMPUTED_VALUE"""),2004.0)</f>
        <v>2004</v>
      </c>
      <c r="G2466" s="5"/>
      <c r="H2466" s="5" t="str">
        <f>IFERROR(__xludf.DUMMYFUNCTION("""COMPUTED_VALUE"""),"380 HP")</f>
        <v>380 HP</v>
      </c>
      <c r="I2466" s="5" t="str">
        <f>IFERROR(__xludf.DUMMYFUNCTION("""COMPUTED_VALUE"""),"98BSP8X400435461016")</f>
        <v>98BSP8X400435461016</v>
      </c>
      <c r="J2466" s="5" t="str">
        <f>IFERROR(__xludf.DUMMYFUNCTION("""COMPUTED_VALUE"""),"DC11041018026330")</f>
        <v>DC11041018026330</v>
      </c>
      <c r="K2466" s="5">
        <f>IFERROR(__xludf.DUMMYFUNCTION("""COMPUTED_VALUE"""),10.5)</f>
        <v>10.5</v>
      </c>
      <c r="L2466" s="5" t="str">
        <f>IFERROR(__xludf.DUMMYFUNCTION("""COMPUTED_VALUE"""),"Đang thuê")</f>
        <v>Đang thuê</v>
      </c>
    </row>
    <row r="2467">
      <c r="A2467" s="5" t="str">
        <f>IFERROR(__xludf.DUMMYFUNCTION("""COMPUTED_VALUE"""),"TNA-XTA-063")</f>
        <v>TNA-XTA-063</v>
      </c>
      <c r="B2467" s="3" t="str">
        <f>IFERROR(__xludf.DUMMYFUNCTION("""COMPUTED_VALUE"""),"Xe ben 15 tấn ")</f>
        <v>Xe ben 15 tấn </v>
      </c>
      <c r="C2467" s="5" t="str">
        <f>IFERROR(__xludf.DUMMYFUNCTION("""COMPUTED_VALUE"""),"B.ĐTXD AD")</f>
        <v>B.ĐTXD AD</v>
      </c>
      <c r="D2467" s="5" t="str">
        <f>IFERROR(__xludf.DUMMYFUNCTION("""COMPUTED_VALUE"""),"DAEWOOO")</f>
        <v>DAEWOOO</v>
      </c>
      <c r="E2467" s="5" t="str">
        <f>IFERROR(__xludf.DUMMYFUNCTION("""COMPUTED_VALUE"""),"NHẬT BẢN")</f>
        <v>NHẬT BẢN</v>
      </c>
      <c r="F2467" s="5">
        <f>IFERROR(__xludf.DUMMYFUNCTION("""COMPUTED_VALUE"""),2002.0)</f>
        <v>2002</v>
      </c>
      <c r="G2467" s="5"/>
      <c r="H2467" s="5" t="str">
        <f>IFERROR(__xludf.DUMMYFUNCTION("""COMPUTED_VALUE"""),"360 HP")</f>
        <v>360 HP</v>
      </c>
      <c r="I2467" s="5" t="str">
        <f>IFERROR(__xludf.DUMMYFUNCTION("""COMPUTED_VALUE"""),"KL3K4DEA12K000176")</f>
        <v>KL3K4DEA12K000176</v>
      </c>
      <c r="J2467" s="5" t="str">
        <f>IFERROR(__xludf.DUMMYFUNCTION("""COMPUTED_VALUE"""),"DE12TIS205183CA")</f>
        <v>DE12TIS205183CA</v>
      </c>
      <c r="K2467" s="5">
        <f>IFERROR(__xludf.DUMMYFUNCTION("""COMPUTED_VALUE"""),7.5)</f>
        <v>7.5</v>
      </c>
      <c r="L2467" s="5" t="str">
        <f>IFERROR(__xludf.DUMMYFUNCTION("""COMPUTED_VALUE"""),"Đang thuê")</f>
        <v>Đang thuê</v>
      </c>
    </row>
    <row r="2468">
      <c r="A2468" s="5" t="str">
        <f>IFERROR(__xludf.DUMMYFUNCTION("""COMPUTED_VALUE"""),"TNA-XTA-064")</f>
        <v>TNA-XTA-064</v>
      </c>
      <c r="B2468" s="3" t="str">
        <f>IFERROR(__xludf.DUMMYFUNCTION("""COMPUTED_VALUE"""),"Xe ben 15 tấn ")</f>
        <v>Xe ben 15 tấn </v>
      </c>
      <c r="C2468" s="5" t="str">
        <f>IFERROR(__xludf.DUMMYFUNCTION("""COMPUTED_VALUE"""),"B.ĐTXD AD")</f>
        <v>B.ĐTXD AD</v>
      </c>
      <c r="D2468" s="5" t="str">
        <f>IFERROR(__xludf.DUMMYFUNCTION("""COMPUTED_VALUE"""),"DAEWOOO")</f>
        <v>DAEWOOO</v>
      </c>
      <c r="E2468" s="5" t="str">
        <f>IFERROR(__xludf.DUMMYFUNCTION("""COMPUTED_VALUE"""),"NHẬT BẢN")</f>
        <v>NHẬT BẢN</v>
      </c>
      <c r="F2468" s="5">
        <f>IFERROR(__xludf.DUMMYFUNCTION("""COMPUTED_VALUE"""),2004.0)</f>
        <v>2004</v>
      </c>
      <c r="G2468" s="5"/>
      <c r="H2468" s="5" t="str">
        <f>IFERROR(__xludf.DUMMYFUNCTION("""COMPUTED_VALUE"""),"390 HP")</f>
        <v>390 HP</v>
      </c>
      <c r="I2468" s="5" t="str">
        <f>IFERROR(__xludf.DUMMYFUNCTION("""COMPUTED_VALUE"""),"KL3K4DVA14K0004528")</f>
        <v>KL3K4DVA14K0004528</v>
      </c>
      <c r="J2468" s="5" t="str">
        <f>IFERROR(__xludf.DUMMYFUNCTION("""COMPUTED_VALUE"""),"DV15TIS401023CG")</f>
        <v>DV15TIS401023CG</v>
      </c>
      <c r="K2468" s="5">
        <f>IFERROR(__xludf.DUMMYFUNCTION("""COMPUTED_VALUE"""),7.5)</f>
        <v>7.5</v>
      </c>
      <c r="L2468" s="5" t="str">
        <f>IFERROR(__xludf.DUMMYFUNCTION("""COMPUTED_VALUE"""),"Đang thuê")</f>
        <v>Đang thuê</v>
      </c>
    </row>
    <row r="2469">
      <c r="A2469" s="5" t="str">
        <f>IFERROR(__xludf.DUMMYFUNCTION("""COMPUTED_VALUE"""),"TNA-XTA-065")</f>
        <v>TNA-XTA-065</v>
      </c>
      <c r="B2469" s="3" t="str">
        <f>IFERROR(__xludf.DUMMYFUNCTION("""COMPUTED_VALUE"""),"Xe ben 5 tấn")</f>
        <v>Xe ben 5 tấn</v>
      </c>
      <c r="C2469" s="5" t="str">
        <f>IFERROR(__xludf.DUMMYFUNCTION("""COMPUTED_VALUE"""),"B.ĐTXD AD")</f>
        <v>B.ĐTXD AD</v>
      </c>
      <c r="D2469" s="5" t="str">
        <f>IFERROR(__xludf.DUMMYFUNCTION("""COMPUTED_VALUE"""),"HINO")</f>
        <v>HINO</v>
      </c>
      <c r="E2469" s="5"/>
      <c r="F2469" s="5">
        <f>IFERROR(__xludf.DUMMYFUNCTION("""COMPUTED_VALUE"""),1996.0)</f>
        <v>1996</v>
      </c>
      <c r="G2469" s="5"/>
      <c r="H2469" s="5"/>
      <c r="I2469" s="5" t="str">
        <f>IFERROR(__xludf.DUMMYFUNCTION("""COMPUTED_VALUE"""),"FD2JLB15647")</f>
        <v>FD2JLB15647</v>
      </c>
      <c r="J2469" s="5" t="str">
        <f>IFERROR(__xludf.DUMMYFUNCTION("""COMPUTED_VALUE"""),"J08CB32012")</f>
        <v>J08CB32012</v>
      </c>
      <c r="K2469" s="5">
        <f>IFERROR(__xludf.DUMMYFUNCTION("""COMPUTED_VALUE"""),4.5)</f>
        <v>4.5</v>
      </c>
      <c r="L2469" s="5" t="str">
        <f>IFERROR(__xludf.DUMMYFUNCTION("""COMPUTED_VALUE"""),"Đang thuê")</f>
        <v>Đang thuê</v>
      </c>
    </row>
    <row r="2470">
      <c r="A2470" s="5" t="str">
        <f>IFERROR(__xludf.DUMMYFUNCTION("""COMPUTED_VALUE"""),"TNA-XTA-066")</f>
        <v>TNA-XTA-066</v>
      </c>
      <c r="B2470" s="3" t="str">
        <f>IFERROR(__xludf.DUMMYFUNCTION("""COMPUTED_VALUE"""),"Xe ben 5 tấn")</f>
        <v>Xe ben 5 tấn</v>
      </c>
      <c r="C2470" s="5" t="str">
        <f>IFERROR(__xludf.DUMMYFUNCTION("""COMPUTED_VALUE"""),"B.ĐTXD AD")</f>
        <v>B.ĐTXD AD</v>
      </c>
      <c r="D2470" s="5" t="str">
        <f>IFERROR(__xludf.DUMMYFUNCTION("""COMPUTED_VALUE"""),"HUYNDAI")</f>
        <v>HUYNDAI</v>
      </c>
      <c r="E2470" s="5"/>
      <c r="F2470" s="5">
        <f>IFERROR(__xludf.DUMMYFUNCTION("""COMPUTED_VALUE"""),1999.0)</f>
        <v>1999</v>
      </c>
      <c r="G2470" s="5" t="str">
        <f>IFERROR(__xludf.DUMMYFUNCTION("""COMPUTED_VALUE"""),"DUMP TRUCH")</f>
        <v>DUMP TRUCH</v>
      </c>
      <c r="H2470" s="5"/>
      <c r="I2470" s="5" t="str">
        <f>IFERROR(__xludf.DUMMYFUNCTION("""COMPUTED_VALUE"""),"KMFLA19RPYCO13407")</f>
        <v>KMFLA19RPYCO13407</v>
      </c>
      <c r="J2470" s="5" t="str">
        <f>IFERROR(__xludf.DUMMYFUNCTION("""COMPUTED_VALUE"""),"DSRJX020146")</f>
        <v>DSRJX020146</v>
      </c>
      <c r="K2470" s="5">
        <f>IFERROR(__xludf.DUMMYFUNCTION("""COMPUTED_VALUE"""),4.5)</f>
        <v>4.5</v>
      </c>
      <c r="L2470" s="5" t="str">
        <f>IFERROR(__xludf.DUMMYFUNCTION("""COMPUTED_VALUE"""),"-")</f>
        <v>-</v>
      </c>
    </row>
    <row r="2471">
      <c r="A2471" s="5" t="str">
        <f>IFERROR(__xludf.DUMMYFUNCTION("""COMPUTED_VALUE"""),"TNA-XTA-067")</f>
        <v>TNA-XTA-067</v>
      </c>
      <c r="B2471" s="3" t="str">
        <f>IFERROR(__xludf.DUMMYFUNCTION("""COMPUTED_VALUE"""),"Xe ben 5 tấn")</f>
        <v>Xe ben 5 tấn</v>
      </c>
      <c r="C2471" s="5" t="str">
        <f>IFERROR(__xludf.DUMMYFUNCTION("""COMPUTED_VALUE"""),"B.ĐTXD AD")</f>
        <v>B.ĐTXD AD</v>
      </c>
      <c r="D2471" s="5" t="str">
        <f>IFERROR(__xludf.DUMMYFUNCTION("""COMPUTED_VALUE"""),"HUYNDAI")</f>
        <v>HUYNDAI</v>
      </c>
      <c r="E2471" s="5"/>
      <c r="F2471" s="5">
        <f>IFERROR(__xludf.DUMMYFUNCTION("""COMPUTED_VALUE"""),1997.0)</f>
        <v>1997</v>
      </c>
      <c r="G2471" s="5"/>
      <c r="H2471" s="5" t="str">
        <f>IFERROR(__xludf.DUMMYFUNCTION("""COMPUTED_VALUE"""),"170 HP")</f>
        <v>170 HP</v>
      </c>
      <c r="I2471" s="5" t="str">
        <f>IFERROR(__xludf.DUMMYFUNCTION("""COMPUTED_VALUE"""),"KMFLA19RPVC115885")</f>
        <v>KMFLA19RPVC115885</v>
      </c>
      <c r="J2471" s="5" t="str">
        <f>IFERROR(__xludf.DUMMYFUNCTION("""COMPUTED_VALUE"""),"D6BRV011050")</f>
        <v>D6BRV011050</v>
      </c>
      <c r="K2471" s="5">
        <f>IFERROR(__xludf.DUMMYFUNCTION("""COMPUTED_VALUE"""),4.5)</f>
        <v>4.5</v>
      </c>
      <c r="L2471" s="5" t="str">
        <f>IFERROR(__xludf.DUMMYFUNCTION("""COMPUTED_VALUE"""),"-")</f>
        <v>-</v>
      </c>
    </row>
    <row r="2472">
      <c r="A2472" s="5" t="str">
        <f>IFERROR(__xludf.DUMMYFUNCTION("""COMPUTED_VALUE"""),"TNA-XTA-068")</f>
        <v>TNA-XTA-068</v>
      </c>
      <c r="B2472" s="3" t="str">
        <f>IFERROR(__xludf.DUMMYFUNCTION("""COMPUTED_VALUE"""),"Xe ben 5 tấn")</f>
        <v>Xe ben 5 tấn</v>
      </c>
      <c r="C2472" s="5" t="str">
        <f>IFERROR(__xludf.DUMMYFUNCTION("""COMPUTED_VALUE"""),"B.ĐTXD AD")</f>
        <v>B.ĐTXD AD</v>
      </c>
      <c r="D2472" s="5" t="str">
        <f>IFERROR(__xludf.DUMMYFUNCTION("""COMPUTED_VALUE"""),"HUYNDAI")</f>
        <v>HUYNDAI</v>
      </c>
      <c r="E2472" s="5"/>
      <c r="F2472" s="5">
        <f>IFERROR(__xludf.DUMMYFUNCTION("""COMPUTED_VALUE"""),1999.0)</f>
        <v>1999</v>
      </c>
      <c r="G2472" s="5"/>
      <c r="H2472" s="5" t="str">
        <f>IFERROR(__xludf.DUMMYFUNCTION("""COMPUTED_VALUE"""),"170 HP")</f>
        <v>170 HP</v>
      </c>
      <c r="I2472" s="5" t="str">
        <f>IFERROR(__xludf.DUMMYFUNCTION("""COMPUTED_VALUE"""),"KMFLA19JPXC007085")</f>
        <v>KMFLA19JPXC007085</v>
      </c>
      <c r="J2472" s="5" t="str">
        <f>IFERROR(__xludf.DUMMYFUNCTION("""COMPUTED_VALUE"""),"D6BJS148564")</f>
        <v>D6BJS148564</v>
      </c>
      <c r="K2472" s="5">
        <f>IFERROR(__xludf.DUMMYFUNCTION("""COMPUTED_VALUE"""),4.5)</f>
        <v>4.5</v>
      </c>
      <c r="L2472" s="5" t="str">
        <f>IFERROR(__xludf.DUMMYFUNCTION("""COMPUTED_VALUE"""),"-")</f>
        <v>-</v>
      </c>
    </row>
    <row r="2473">
      <c r="A2473" s="5" t="str">
        <f>IFERROR(__xludf.DUMMYFUNCTION("""COMPUTED_VALUE"""),"TNA-XTA-069")</f>
        <v>TNA-XTA-069</v>
      </c>
      <c r="B2473" s="3" t="str">
        <f>IFERROR(__xludf.DUMMYFUNCTION("""COMPUTED_VALUE"""),"Xe ben 25 tấn ")</f>
        <v>Xe ben 25 tấn </v>
      </c>
      <c r="C2473" s="5" t="str">
        <f>IFERROR(__xludf.DUMMYFUNCTION("""COMPUTED_VALUE"""),"B.ĐTXD AD")</f>
        <v>B.ĐTXD AD</v>
      </c>
      <c r="D2473" s="5" t="str">
        <f>IFERROR(__xludf.DUMMYFUNCTION("""COMPUTED_VALUE"""),"SCANIA")</f>
        <v>SCANIA</v>
      </c>
      <c r="E2473" s="5"/>
      <c r="F2473" s="5">
        <f>IFERROR(__xludf.DUMMYFUNCTION("""COMPUTED_VALUE"""),2005.0)</f>
        <v>2005</v>
      </c>
      <c r="G2473" s="5"/>
      <c r="H2473" s="5" t="str">
        <f>IFERROR(__xludf.DUMMYFUNCTION("""COMPUTED_VALUE"""),"440 HP")</f>
        <v>440 HP</v>
      </c>
      <c r="I2473" s="5" t="str">
        <f>IFERROR(__xludf.DUMMYFUNCTION("""COMPUTED_VALUE"""),"9BSP8X40053558809")</f>
        <v>9BSP8X40053558809</v>
      </c>
      <c r="J2473" s="5" t="str">
        <f>IFERROR(__xludf.DUMMYFUNCTION("""COMPUTED_VALUE"""),"DC12034018039106")</f>
        <v>DC12034018039106</v>
      </c>
      <c r="K2473" s="5">
        <f>IFERROR(__xludf.DUMMYFUNCTION("""COMPUTED_VALUE"""),9.6)</f>
        <v>9.6</v>
      </c>
      <c r="L2473" s="5" t="str">
        <f>IFERROR(__xludf.DUMMYFUNCTION("""COMPUTED_VALUE"""),"-")</f>
        <v>-</v>
      </c>
    </row>
    <row r="2474">
      <c r="A2474" s="5" t="str">
        <f>IFERROR(__xludf.DUMMYFUNCTION("""COMPUTED_VALUE"""),"TNA-XTA-070")</f>
        <v>TNA-XTA-070</v>
      </c>
      <c r="B2474" s="3" t="str">
        <f>IFERROR(__xludf.DUMMYFUNCTION("""COMPUTED_VALUE"""),"Xe ben 15 tấn ")</f>
        <v>Xe ben 15 tấn </v>
      </c>
      <c r="C2474" s="5" t="str">
        <f>IFERROR(__xludf.DUMMYFUNCTION("""COMPUTED_VALUE"""),"B.ĐTXD AD")</f>
        <v>B.ĐTXD AD</v>
      </c>
      <c r="D2474" s="5" t="str">
        <f>IFERROR(__xludf.DUMMYFUNCTION("""COMPUTED_VALUE"""),"HINO")</f>
        <v>HINO</v>
      </c>
      <c r="E2474" s="5"/>
      <c r="F2474" s="5">
        <f>IFERROR(__xludf.DUMMYFUNCTION("""COMPUTED_VALUE"""),1989.0)</f>
        <v>1989</v>
      </c>
      <c r="G2474" s="5"/>
      <c r="H2474" s="5" t="str">
        <f>IFERROR(__xludf.DUMMYFUNCTION("""COMPUTED_VALUE"""),"340 HP")</f>
        <v>340 HP</v>
      </c>
      <c r="I2474" s="5" t="str">
        <f>IFERROR(__xludf.DUMMYFUNCTION("""COMPUTED_VALUE"""),"MBSOSM10521")</f>
        <v>MBSOSM10521</v>
      </c>
      <c r="J2474" s="5" t="str">
        <f>IFERROR(__xludf.DUMMYFUNCTION("""COMPUTED_VALUE"""),"EF75024677")</f>
        <v>EF75024677</v>
      </c>
      <c r="K2474" s="5">
        <f>IFERROR(__xludf.DUMMYFUNCTION("""COMPUTED_VALUE"""),7.6)</f>
        <v>7.6</v>
      </c>
      <c r="L2474" s="5" t="str">
        <f>IFERROR(__xludf.DUMMYFUNCTION("""COMPUTED_VALUE"""),"-")</f>
        <v>-</v>
      </c>
    </row>
    <row r="2475">
      <c r="A2475" s="5" t="str">
        <f>IFERROR(__xludf.DUMMYFUNCTION("""COMPUTED_VALUE"""),"TNA-XTA-071")</f>
        <v>TNA-XTA-071</v>
      </c>
      <c r="B2475" s="3" t="str">
        <f>IFERROR(__xludf.DUMMYFUNCTION("""COMPUTED_VALUE"""),"Xe ben 15 tấn ")</f>
        <v>Xe ben 15 tấn </v>
      </c>
      <c r="C2475" s="5" t="str">
        <f>IFERROR(__xludf.DUMMYFUNCTION("""COMPUTED_VALUE"""),"B.ĐTXD AD")</f>
        <v>B.ĐTXD AD</v>
      </c>
      <c r="D2475" s="5" t="str">
        <f>IFERROR(__xludf.DUMMYFUNCTION("""COMPUTED_VALUE"""),"HINO")</f>
        <v>HINO</v>
      </c>
      <c r="E2475" s="5"/>
      <c r="F2475" s="5">
        <f>IFERROR(__xludf.DUMMYFUNCTION("""COMPUTED_VALUE"""),1991.0)</f>
        <v>1991</v>
      </c>
      <c r="G2475" s="5" t="str">
        <f>IFERROR(__xludf.DUMMYFUNCTION("""COMPUTED_VALUE"""),"DUMP TRUCH")</f>
        <v>DUMP TRUCH</v>
      </c>
      <c r="H2475" s="5"/>
      <c r="I2475" s="5" t="str">
        <f>IFERROR(__xludf.DUMMYFUNCTION("""COMPUTED_VALUE"""),"FS3FKA13739")</f>
        <v>FS3FKA13739</v>
      </c>
      <c r="J2475" s="5" t="str">
        <f>IFERROR(__xludf.DUMMYFUNCTION("""COMPUTED_VALUE"""),"F17DA14160")</f>
        <v>F17DA14160</v>
      </c>
      <c r="K2475" s="5">
        <f>IFERROR(__xludf.DUMMYFUNCTION("""COMPUTED_VALUE"""),7.6)</f>
        <v>7.6</v>
      </c>
      <c r="L2475" s="5" t="str">
        <f>IFERROR(__xludf.DUMMYFUNCTION("""COMPUTED_VALUE"""),"Đang thuê")</f>
        <v>Đang thuê</v>
      </c>
    </row>
    <row r="2476">
      <c r="A2476" s="5" t="str">
        <f>IFERROR(__xludf.DUMMYFUNCTION("""COMPUTED_VALUE"""),"TNA-XTA-072")</f>
        <v>TNA-XTA-072</v>
      </c>
      <c r="B2476" s="3" t="str">
        <f>IFERROR(__xludf.DUMMYFUNCTION("""COMPUTED_VALUE"""),"Xe ben 15 tấn ")</f>
        <v>Xe ben 15 tấn </v>
      </c>
      <c r="C2476" s="5" t="str">
        <f>IFERROR(__xludf.DUMMYFUNCTION("""COMPUTED_VALUE"""),"B.ĐTXD AD")</f>
        <v>B.ĐTXD AD</v>
      </c>
      <c r="D2476" s="5" t="str">
        <f>IFERROR(__xludf.DUMMYFUNCTION("""COMPUTED_VALUE"""),"HINO")</f>
        <v>HINO</v>
      </c>
      <c r="E2476" s="5"/>
      <c r="F2476" s="5">
        <f>IFERROR(__xludf.DUMMYFUNCTION("""COMPUTED_VALUE"""),1986.0)</f>
        <v>1986</v>
      </c>
      <c r="G2476" s="5" t="str">
        <f>IFERROR(__xludf.DUMMYFUNCTION("""COMPUTED_VALUE"""),"DUMP TRUCH")</f>
        <v>DUMP TRUCH</v>
      </c>
      <c r="H2476" s="5"/>
      <c r="I2476" s="5" t="str">
        <f>IFERROR(__xludf.DUMMYFUNCTION("""COMPUTED_VALUE"""),"FS630B26310")</f>
        <v>FS630B26310</v>
      </c>
      <c r="J2476" s="5" t="str">
        <f>IFERROR(__xludf.DUMMYFUNCTION("""COMPUTED_VALUE"""),"E17CA16685")</f>
        <v>E17CA16685</v>
      </c>
      <c r="K2476" s="5">
        <f>IFERROR(__xludf.DUMMYFUNCTION("""COMPUTED_VALUE"""),7.6)</f>
        <v>7.6</v>
      </c>
      <c r="L2476" s="5" t="str">
        <f>IFERROR(__xludf.DUMMYFUNCTION("""COMPUTED_VALUE"""),"Đang thuê")</f>
        <v>Đang thuê</v>
      </c>
    </row>
    <row r="2477">
      <c r="A2477" s="5" t="str">
        <f>IFERROR(__xludf.DUMMYFUNCTION("""COMPUTED_VALUE"""),"Xe tải bàn")</f>
        <v>Xe tải bàn</v>
      </c>
      <c r="B2477" s="3"/>
      <c r="C2477" s="5"/>
      <c r="D2477" s="5"/>
      <c r="E2477" s="5"/>
      <c r="F2477" s="5"/>
      <c r="G2477" s="5"/>
      <c r="H2477" s="5"/>
      <c r="I2477" s="5"/>
      <c r="J2477" s="5"/>
      <c r="K2477" s="5"/>
      <c r="L2477" s="5" t="str">
        <f>IFERROR(__xludf.DUMMYFUNCTION("""COMPUTED_VALUE"""),"0")</f>
        <v>0</v>
      </c>
    </row>
    <row r="2478">
      <c r="A2478" s="5" t="str">
        <f>IFERROR(__xludf.DUMMYFUNCTION("""COMPUTED_VALUE"""),"TNA-XTB-001")</f>
        <v>TNA-XTB-001</v>
      </c>
      <c r="B2478" s="3" t="str">
        <f>IFERROR(__xludf.DUMMYFUNCTION("""COMPUTED_VALUE"""),"Xe tải bàn")</f>
        <v>Xe tải bàn</v>
      </c>
      <c r="C2478" s="5" t="str">
        <f>IFERROR(__xludf.DUMMYFUNCTION("""COMPUTED_VALUE"""),"CGTC AD")</f>
        <v>CGTC AD</v>
      </c>
      <c r="D2478" s="5" t="str">
        <f>IFERROR(__xludf.DUMMYFUNCTION("""COMPUTED_VALUE"""),"HYUNDAI")</f>
        <v>HYUNDAI</v>
      </c>
      <c r="E2478" s="5"/>
      <c r="F2478" s="5">
        <f>IFERROR(__xludf.DUMMYFUNCTION("""COMPUTED_VALUE"""),2007.0)</f>
        <v>2007</v>
      </c>
      <c r="G2478" s="5"/>
      <c r="H2478" s="5" t="str">
        <f>IFERROR(__xludf.DUMMYFUNCTION("""COMPUTED_VALUE"""),"380HP")</f>
        <v>380HP</v>
      </c>
      <c r="I2478" s="5" t="str">
        <f>IFERROR(__xludf.DUMMYFUNCTION("""COMPUTED_VALUE"""),"KMFPA18TP7C013163")</f>
        <v>KMFPA18TP7C013163</v>
      </c>
      <c r="J2478" s="5" t="str">
        <f>IFERROR(__xludf.DUMMYFUNCTION("""COMPUTED_VALUE"""),"D6CB6126362")</f>
        <v>D6CB6126362</v>
      </c>
      <c r="K2478" s="5">
        <f>IFERROR(__xludf.DUMMYFUNCTION("""COMPUTED_VALUE"""),6.0)</f>
        <v>6</v>
      </c>
      <c r="L2478" s="5" t="str">
        <f>IFERROR(__xludf.DUMMYFUNCTION("""COMPUTED_VALUE"""),"-")</f>
        <v>-</v>
      </c>
    </row>
    <row r="2479">
      <c r="A2479" s="5" t="str">
        <f>IFERROR(__xludf.DUMMYFUNCTION("""COMPUTED_VALUE"""),"Máy kéo")</f>
        <v>Máy kéo</v>
      </c>
      <c r="B2479" s="3"/>
      <c r="C2479" s="5"/>
      <c r="D2479" s="5"/>
      <c r="E2479" s="5"/>
      <c r="F2479" s="5"/>
      <c r="G2479" s="5"/>
      <c r="H2479" s="5"/>
      <c r="I2479" s="5"/>
      <c r="J2479" s="5"/>
      <c r="K2479" s="5"/>
      <c r="L2479" s="5" t="str">
        <f>IFERROR(__xludf.DUMMYFUNCTION("""COMPUTED_VALUE"""),"0")</f>
        <v>0</v>
      </c>
    </row>
    <row r="2480">
      <c r="A2480" s="5" t="str">
        <f>IFERROR(__xludf.DUMMYFUNCTION("""COMPUTED_VALUE"""),"TNA-MKE-001")</f>
        <v>TNA-MKE-001</v>
      </c>
      <c r="B2480" s="3" t="str">
        <f>IFERROR(__xludf.DUMMYFUNCTION("""COMPUTED_VALUE"""),"Máy kéo KUBOTA M9540")</f>
        <v>Máy kéo KUBOTA M9540</v>
      </c>
      <c r="C2480" s="5" t="str">
        <f>IFERROR(__xludf.DUMMYFUNCTION("""COMPUTED_VALUE"""),"CGSX AD")</f>
        <v>CGSX AD</v>
      </c>
      <c r="D2480" s="5" t="str">
        <f>IFERROR(__xludf.DUMMYFUNCTION("""COMPUTED_VALUE"""),"KUBOTA")</f>
        <v>KUBOTA</v>
      </c>
      <c r="E2480" s="5" t="str">
        <f>IFERROR(__xludf.DUMMYFUNCTION("""COMPUTED_VALUE"""),"NHẬT")</f>
        <v>NHẬT</v>
      </c>
      <c r="F2480" s="5"/>
      <c r="G2480" s="5" t="str">
        <f>IFERROR(__xludf.DUMMYFUNCTION("""COMPUTED_VALUE"""),"M9540")</f>
        <v>M9540</v>
      </c>
      <c r="H2480" s="5" t="str">
        <f>IFERROR(__xludf.DUMMYFUNCTION("""COMPUTED_VALUE"""),"95HP")</f>
        <v>95HP</v>
      </c>
      <c r="I2480" s="5" t="str">
        <f>IFERROR(__xludf.DUMMYFUNCTION("""COMPUTED_VALUE"""),"75963")</f>
        <v>75963</v>
      </c>
      <c r="J2480" s="5" t="str">
        <f>IFERROR(__xludf.DUMMYFUNCTION("""COMPUTED_VALUE"""),"3-769L-T-CA1074")</f>
        <v>3-769L-T-CA1074</v>
      </c>
      <c r="K2480" s="5"/>
      <c r="L2480" s="5" t="str">
        <f>IFERROR(__xludf.DUMMYFUNCTION("""COMPUTED_VALUE"""),"-")</f>
        <v>-</v>
      </c>
    </row>
    <row r="2481">
      <c r="A2481" s="5" t="str">
        <f>IFERROR(__xludf.DUMMYFUNCTION("""COMPUTED_VALUE"""),"TNA-MKE-002")</f>
        <v>TNA-MKE-002</v>
      </c>
      <c r="B2481" s="3" t="str">
        <f>IFERROR(__xludf.DUMMYFUNCTION("""COMPUTED_VALUE"""),"Máy kéo KUBOTA M9540")</f>
        <v>Máy kéo KUBOTA M9540</v>
      </c>
      <c r="C2481" s="5" t="str">
        <f>IFERROR(__xludf.DUMMYFUNCTION("""COMPUTED_VALUE"""),"CGSX AD")</f>
        <v>CGSX AD</v>
      </c>
      <c r="D2481" s="5" t="str">
        <f>IFERROR(__xludf.DUMMYFUNCTION("""COMPUTED_VALUE"""),"KUBOTA")</f>
        <v>KUBOTA</v>
      </c>
      <c r="E2481" s="5" t="str">
        <f>IFERROR(__xludf.DUMMYFUNCTION("""COMPUTED_VALUE"""),"NHẬT")</f>
        <v>NHẬT</v>
      </c>
      <c r="F2481" s="5"/>
      <c r="G2481" s="5" t="str">
        <f>IFERROR(__xludf.DUMMYFUNCTION("""COMPUTED_VALUE"""),"M9540")</f>
        <v>M9540</v>
      </c>
      <c r="H2481" s="5" t="str">
        <f>IFERROR(__xludf.DUMMYFUNCTION("""COMPUTED_VALUE"""),"95HP")</f>
        <v>95HP</v>
      </c>
      <c r="I2481" s="5" t="str">
        <f>IFERROR(__xludf.DUMMYFUNCTION("""COMPUTED_VALUE"""),"ko có")</f>
        <v>ko có</v>
      </c>
      <c r="J2481" s="5" t="str">
        <f>IFERROR(__xludf.DUMMYFUNCTION("""COMPUTED_VALUE"""),"3-769L-V3800-T-2DN2743")</f>
        <v>3-769L-V3800-T-2DN2743</v>
      </c>
      <c r="K2481" s="5"/>
      <c r="L2481" s="5" t="str">
        <f>IFERROR(__xludf.DUMMYFUNCTION("""COMPUTED_VALUE"""),"-")</f>
        <v>-</v>
      </c>
    </row>
    <row r="2482">
      <c r="A2482" s="5" t="str">
        <f>IFERROR(__xludf.DUMMYFUNCTION("""COMPUTED_VALUE"""),"TNA-MKE-003")</f>
        <v>TNA-MKE-003</v>
      </c>
      <c r="B2482" s="3" t="str">
        <f>IFERROR(__xludf.DUMMYFUNCTION("""COMPUTED_VALUE"""),"Máy kéo KUBOTA M9540")</f>
        <v>Máy kéo KUBOTA M9540</v>
      </c>
      <c r="C2482" s="5" t="str">
        <f>IFERROR(__xludf.DUMMYFUNCTION("""COMPUTED_VALUE"""),"CGSX AD")</f>
        <v>CGSX AD</v>
      </c>
      <c r="D2482" s="5" t="str">
        <f>IFERROR(__xludf.DUMMYFUNCTION("""COMPUTED_VALUE"""),"KUBOTA")</f>
        <v>KUBOTA</v>
      </c>
      <c r="E2482" s="5" t="str">
        <f>IFERROR(__xludf.DUMMYFUNCTION("""COMPUTED_VALUE"""),"NHẬT")</f>
        <v>NHẬT</v>
      </c>
      <c r="F2482" s="5"/>
      <c r="G2482" s="5" t="str">
        <f>IFERROR(__xludf.DUMMYFUNCTION("""COMPUTED_VALUE"""),"M9540")</f>
        <v>M9540</v>
      </c>
      <c r="H2482" s="5" t="str">
        <f>IFERROR(__xludf.DUMMYFUNCTION("""COMPUTED_VALUE"""),"95HP")</f>
        <v>95HP</v>
      </c>
      <c r="I2482" s="5" t="str">
        <f>IFERROR(__xludf.DUMMYFUNCTION("""COMPUTED_VALUE"""),"48717")</f>
        <v>48717</v>
      </c>
      <c r="J2482" s="5"/>
      <c r="K2482" s="5"/>
      <c r="L2482" s="5" t="str">
        <f>IFERROR(__xludf.DUMMYFUNCTION("""COMPUTED_VALUE"""),"-")</f>
        <v>-</v>
      </c>
    </row>
    <row r="2483">
      <c r="A2483" s="5" t="str">
        <f>IFERROR(__xludf.DUMMYFUNCTION("""COMPUTED_VALUE"""),"TNA-MKE-004")</f>
        <v>TNA-MKE-004</v>
      </c>
      <c r="B2483" s="3" t="str">
        <f>IFERROR(__xludf.DUMMYFUNCTION("""COMPUTED_VALUE"""),"Máy kéo KUBOTA M9540")</f>
        <v>Máy kéo KUBOTA M9540</v>
      </c>
      <c r="C2483" s="5" t="str">
        <f>IFERROR(__xludf.DUMMYFUNCTION("""COMPUTED_VALUE"""),"CGSX AD")</f>
        <v>CGSX AD</v>
      </c>
      <c r="D2483" s="5" t="str">
        <f>IFERROR(__xludf.DUMMYFUNCTION("""COMPUTED_VALUE"""),"KUBOTA")</f>
        <v>KUBOTA</v>
      </c>
      <c r="E2483" s="5" t="str">
        <f>IFERROR(__xludf.DUMMYFUNCTION("""COMPUTED_VALUE"""),"NHẬT")</f>
        <v>NHẬT</v>
      </c>
      <c r="F2483" s="5"/>
      <c r="G2483" s="5" t="str">
        <f>IFERROR(__xludf.DUMMYFUNCTION("""COMPUTED_VALUE"""),"M9540")</f>
        <v>M9540</v>
      </c>
      <c r="H2483" s="5" t="str">
        <f>IFERROR(__xludf.DUMMYFUNCTION("""COMPUTED_VALUE"""),"95HP")</f>
        <v>95HP</v>
      </c>
      <c r="I2483" s="5" t="str">
        <f>IFERROR(__xludf.DUMMYFUNCTION("""COMPUTED_VALUE"""),"V3307- 8GW4565")</f>
        <v>V3307- 8GW4565</v>
      </c>
      <c r="J2483" s="5"/>
      <c r="K2483" s="5"/>
      <c r="L2483" s="5" t="str">
        <f>IFERROR(__xludf.DUMMYFUNCTION("""COMPUTED_VALUE"""),"-")</f>
        <v>-</v>
      </c>
    </row>
    <row r="2484">
      <c r="A2484" s="5" t="str">
        <f>IFERROR(__xludf.DUMMYFUNCTION("""COMPUTED_VALUE"""),"TNA-MKE-005")</f>
        <v>TNA-MKE-005</v>
      </c>
      <c r="B2484" s="3" t="str">
        <f>IFERROR(__xludf.DUMMYFUNCTION("""COMPUTED_VALUE"""),"Máy kéo KUBOTA M9540")</f>
        <v>Máy kéo KUBOTA M9540</v>
      </c>
      <c r="C2484" s="5" t="str">
        <f>IFERROR(__xludf.DUMMYFUNCTION("""COMPUTED_VALUE"""),"CGSX AD")</f>
        <v>CGSX AD</v>
      </c>
      <c r="D2484" s="5" t="str">
        <f>IFERROR(__xludf.DUMMYFUNCTION("""COMPUTED_VALUE"""),"KUBOTA")</f>
        <v>KUBOTA</v>
      </c>
      <c r="E2484" s="5" t="str">
        <f>IFERROR(__xludf.DUMMYFUNCTION("""COMPUTED_VALUE"""),"NHẬT")</f>
        <v>NHẬT</v>
      </c>
      <c r="F2484" s="5"/>
      <c r="G2484" s="5" t="str">
        <f>IFERROR(__xludf.DUMMYFUNCTION("""COMPUTED_VALUE"""),"M9540")</f>
        <v>M9540</v>
      </c>
      <c r="H2484" s="5" t="str">
        <f>IFERROR(__xludf.DUMMYFUNCTION("""COMPUTED_VALUE"""),"95HP")</f>
        <v>95HP</v>
      </c>
      <c r="I2484" s="5" t="str">
        <f>IFERROR(__xludf.DUMMYFUNCTION("""COMPUTED_VALUE"""),"V3307- 8GW4045")</f>
        <v>V3307- 8GW4045</v>
      </c>
      <c r="J2484" s="5"/>
      <c r="K2484" s="5"/>
      <c r="L2484" s="5" t="str">
        <f>IFERROR(__xludf.DUMMYFUNCTION("""COMPUTED_VALUE"""),"-")</f>
        <v>-</v>
      </c>
    </row>
    <row r="2485">
      <c r="A2485" s="5" t="str">
        <f>IFERROR(__xludf.DUMMYFUNCTION("""COMPUTED_VALUE"""),"TNA-MKE-006")</f>
        <v>TNA-MKE-006</v>
      </c>
      <c r="B2485" s="3" t="str">
        <f>IFERROR(__xludf.DUMMYFUNCTION("""COMPUTED_VALUE"""),"Máy kéo JOHN DEERE 5090")</f>
        <v>Máy kéo JOHN DEERE 5090</v>
      </c>
      <c r="C2485" s="5" t="str">
        <f>IFERROR(__xludf.DUMMYFUNCTION("""COMPUTED_VALUE"""),"CGSX AD")</f>
        <v>CGSX AD</v>
      </c>
      <c r="D2485" s="5" t="str">
        <f>IFERROR(__xludf.DUMMYFUNCTION("""COMPUTED_VALUE"""),"JOHNDEERE")</f>
        <v>JOHNDEERE</v>
      </c>
      <c r="E2485" s="5" t="str">
        <f>IFERROR(__xludf.DUMMYFUNCTION("""COMPUTED_VALUE"""),"MỸ")</f>
        <v>MỸ</v>
      </c>
      <c r="F2485" s="5"/>
      <c r="G2485" s="5" t="str">
        <f>IFERROR(__xludf.DUMMYFUNCTION("""COMPUTED_VALUE"""),"5090")</f>
        <v>5090</v>
      </c>
      <c r="H2485" s="5" t="str">
        <f>IFERROR(__xludf.DUMMYFUNCTION("""COMPUTED_VALUE"""),"90HP")</f>
        <v>90HP</v>
      </c>
      <c r="I2485" s="5" t="str">
        <f>IFERROR(__xludf.DUMMYFUNCTION("""COMPUTED_VALUE"""),"PE4045E01309")</f>
        <v>PE4045E01309</v>
      </c>
      <c r="J2485" s="5"/>
      <c r="K2485" s="5"/>
      <c r="L2485" s="5" t="str">
        <f>IFERROR(__xludf.DUMMYFUNCTION("""COMPUTED_VALUE"""),"-")</f>
        <v>-</v>
      </c>
    </row>
    <row r="2486">
      <c r="A2486" s="5" t="str">
        <f>IFERROR(__xludf.DUMMYFUNCTION("""COMPUTED_VALUE"""),"Xe trộn bê tông")</f>
        <v>Xe trộn bê tông</v>
      </c>
      <c r="B2486" s="3" t="str">
        <f>IFERROR(__xludf.DUMMYFUNCTION("""COMPUTED_VALUE"""),"3")</f>
        <v>3</v>
      </c>
      <c r="C2486" s="5"/>
      <c r="D2486" s="5"/>
      <c r="E2486" s="5"/>
      <c r="F2486" s="5"/>
      <c r="G2486" s="5"/>
      <c r="H2486" s="5"/>
      <c r="I2486" s="5"/>
      <c r="J2486" s="5"/>
      <c r="K2486" s="5"/>
      <c r="L2486" s="5" t="str">
        <f>IFERROR(__xludf.DUMMYFUNCTION("""COMPUTED_VALUE"""),"0")</f>
        <v>0</v>
      </c>
    </row>
    <row r="2487">
      <c r="A2487" s="5" t="str">
        <f>IFERROR(__xludf.DUMMYFUNCTION("""COMPUTED_VALUE"""),"TNA-TBT-003")</f>
        <v>TNA-TBT-003</v>
      </c>
      <c r="B2487" s="3" t="str">
        <f>IFERROR(__xludf.DUMMYFUNCTION("""COMPUTED_VALUE"""),"Xe bồn 15 tấn")</f>
        <v>Xe bồn 15 tấn</v>
      </c>
      <c r="C2487" s="5" t="str">
        <f>IFERROR(__xludf.DUMMYFUNCTION("""COMPUTED_VALUE"""),"Trạm trộn bê tông")</f>
        <v>Trạm trộn bê tông</v>
      </c>
      <c r="D2487" s="5" t="str">
        <f>IFERROR(__xludf.DUMMYFUNCTION("""COMPUTED_VALUE"""),"HINO")</f>
        <v>HINO</v>
      </c>
      <c r="E2487" s="5"/>
      <c r="F2487" s="5"/>
      <c r="G2487" s="5"/>
      <c r="H2487" s="5" t="str">
        <f>IFERROR(__xludf.DUMMYFUNCTION("""COMPUTED_VALUE"""),"360Hp")</f>
        <v>360Hp</v>
      </c>
      <c r="I2487" s="5" t="str">
        <f>IFERROR(__xludf.DUMMYFUNCTION("""COMPUTED_VALUE"""),"11530")</f>
        <v>11530</v>
      </c>
      <c r="J2487" s="5" t="str">
        <f>IFERROR(__xludf.DUMMYFUNCTION("""COMPUTED_VALUE"""),"11557")</f>
        <v>11557</v>
      </c>
      <c r="K2487" s="5"/>
      <c r="L2487" s="5" t="str">
        <f>IFERROR(__xludf.DUMMYFUNCTION("""COMPUTED_VALUE"""),"-")</f>
        <v>-</v>
      </c>
    </row>
    <row r="2488">
      <c r="A2488" s="5" t="str">
        <f>IFERROR(__xludf.DUMMYFUNCTION("""COMPUTED_VALUE"""),"TNA-TBT-004")</f>
        <v>TNA-TBT-004</v>
      </c>
      <c r="B2488" s="3" t="str">
        <f>IFERROR(__xludf.DUMMYFUNCTION("""COMPUTED_VALUE"""),"Xe bồn 15 tấn")</f>
        <v>Xe bồn 15 tấn</v>
      </c>
      <c r="C2488" s="5" t="str">
        <f>IFERROR(__xludf.DUMMYFUNCTION("""COMPUTED_VALUE"""),"Trạm trộn bê tông")</f>
        <v>Trạm trộn bê tông</v>
      </c>
      <c r="D2488" s="5" t="str">
        <f>IFERROR(__xludf.DUMMYFUNCTION("""COMPUTED_VALUE"""),"HINO")</f>
        <v>HINO</v>
      </c>
      <c r="E2488" s="5"/>
      <c r="F2488" s="5"/>
      <c r="G2488" s="5"/>
      <c r="H2488" s="5" t="str">
        <f>IFERROR(__xludf.DUMMYFUNCTION("""COMPUTED_VALUE"""),"360Hp")</f>
        <v>360Hp</v>
      </c>
      <c r="I2488" s="5" t="str">
        <f>IFERROR(__xludf.DUMMYFUNCTION("""COMPUTED_VALUE"""),"11571")</f>
        <v>11571</v>
      </c>
      <c r="J2488" s="5" t="str">
        <f>IFERROR(__xludf.DUMMYFUNCTION("""COMPUTED_VALUE"""),"19674")</f>
        <v>19674</v>
      </c>
      <c r="K2488" s="5"/>
      <c r="L2488" s="5" t="str">
        <f>IFERROR(__xludf.DUMMYFUNCTION("""COMPUTED_VALUE"""),"-")</f>
        <v>-</v>
      </c>
    </row>
    <row r="2489">
      <c r="A2489" s="5" t="str">
        <f>IFERROR(__xludf.DUMMYFUNCTION("""COMPUTED_VALUE"""),"TNA-TBT-005")</f>
        <v>TNA-TBT-005</v>
      </c>
      <c r="B2489" s="3" t="str">
        <f>IFERROR(__xludf.DUMMYFUNCTION("""COMPUTED_VALUE"""),"Xe bồn 15 tấn")</f>
        <v>Xe bồn 15 tấn</v>
      </c>
      <c r="C2489" s="5" t="str">
        <f>IFERROR(__xludf.DUMMYFUNCTION("""COMPUTED_VALUE"""),"Trạm trộn bê tông")</f>
        <v>Trạm trộn bê tông</v>
      </c>
      <c r="D2489" s="5" t="str">
        <f>IFERROR(__xludf.DUMMYFUNCTION("""COMPUTED_VALUE"""),"HINO")</f>
        <v>HINO</v>
      </c>
      <c r="E2489" s="5"/>
      <c r="F2489" s="5"/>
      <c r="G2489" s="5"/>
      <c r="H2489" s="5" t="str">
        <f>IFERROR(__xludf.DUMMYFUNCTION("""COMPUTED_VALUE"""),"360Hp")</f>
        <v>360Hp</v>
      </c>
      <c r="I2489" s="5" t="str">
        <f>IFERROR(__xludf.DUMMYFUNCTION("""COMPUTED_VALUE"""),"11568")</f>
        <v>11568</v>
      </c>
      <c r="J2489" s="5" t="str">
        <f>IFERROR(__xludf.DUMMYFUNCTION("""COMPUTED_VALUE"""),"18259")</f>
        <v>18259</v>
      </c>
      <c r="K2489" s="5"/>
      <c r="L2489" s="5" t="str">
        <f>IFERROR(__xludf.DUMMYFUNCTION("""COMPUTED_VALUE"""),"-")</f>
        <v>-</v>
      </c>
    </row>
    <row r="2490">
      <c r="A2490" s="5" t="str">
        <f>IFERROR(__xludf.DUMMYFUNCTION("""COMPUTED_VALUE"""),"Xe chuyên dụng")</f>
        <v>Xe chuyên dụng</v>
      </c>
      <c r="B2490" s="3" t="str">
        <f>IFERROR(__xludf.DUMMYFUNCTION("""COMPUTED_VALUE"""),"3")</f>
        <v>3</v>
      </c>
      <c r="C2490" s="5"/>
      <c r="D2490" s="5"/>
      <c r="E2490" s="5"/>
      <c r="F2490" s="5"/>
      <c r="G2490" s="5"/>
      <c r="H2490" s="5"/>
      <c r="I2490" s="5"/>
      <c r="J2490" s="5"/>
      <c r="K2490" s="5"/>
      <c r="L2490" s="5" t="str">
        <f>IFERROR(__xludf.DUMMYFUNCTION("""COMPUTED_VALUE"""),"1")</f>
        <v>1</v>
      </c>
    </row>
    <row r="2491">
      <c r="A2491" s="5" t="str">
        <f>IFERROR(__xludf.DUMMYFUNCTION("""COMPUTED_VALUE"""),"TNA-XCA-001")</f>
        <v>TNA-XCA-001</v>
      </c>
      <c r="B2491" s="3" t="str">
        <f>IFERROR(__xludf.DUMMYFUNCTION("""COMPUTED_VALUE"""),"Xe cẩu 7 tấn")</f>
        <v>Xe cẩu 7 tấn</v>
      </c>
      <c r="C2491" s="5" t="str">
        <f>IFERROR(__xludf.DUMMYFUNCTION("""COMPUTED_VALUE"""),"THACO ID ME")</f>
        <v>THACO ID ME</v>
      </c>
      <c r="D2491" s="5" t="str">
        <f>IFERROR(__xludf.DUMMYFUNCTION("""COMPUTED_VALUE"""),"HYUNDAI")</f>
        <v>HYUNDAI</v>
      </c>
      <c r="E2491" s="5" t="str">
        <f>IFERROR(__xludf.DUMMYFUNCTION("""COMPUTED_VALUE"""),"HÀN QUỐC")</f>
        <v>HÀN QUỐC</v>
      </c>
      <c r="F2491" s="5">
        <f>IFERROR(__xludf.DUMMYFUNCTION("""COMPUTED_VALUE"""),2001.0)</f>
        <v>2001</v>
      </c>
      <c r="G2491" s="5"/>
      <c r="H2491" s="5" t="str">
        <f>IFERROR(__xludf.DUMMYFUNCTION("""COMPUTED_VALUE"""),"170HP")</f>
        <v>170HP</v>
      </c>
      <c r="I2491" s="5" t="str">
        <f>IFERROR(__xludf.DUMMYFUNCTION("""COMPUTED_VALUE"""),"KMFLA19JPSU023969")</f>
        <v>KMFLA19JPSU023969</v>
      </c>
      <c r="J2491" s="5" t="str">
        <f>IFERROR(__xludf.DUMMYFUNCTION("""COMPUTED_VALUE"""),"D6BJS136766")</f>
        <v>D6BJS136766</v>
      </c>
      <c r="K2491" s="5">
        <f>IFERROR(__xludf.DUMMYFUNCTION("""COMPUTED_VALUE"""),4.25)</f>
        <v>4.25</v>
      </c>
      <c r="L2491" s="5" t="str">
        <f>IFERROR(__xludf.DUMMYFUNCTION("""COMPUTED_VALUE"""),"-")</f>
        <v>-</v>
      </c>
    </row>
    <row r="2492">
      <c r="A2492" s="5" t="str">
        <f>IFERROR(__xludf.DUMMYFUNCTION("""COMPUTED_VALUE"""),"TNA-XCA-002")</f>
        <v>TNA-XCA-002</v>
      </c>
      <c r="B2492" s="3" t="str">
        <f>IFERROR(__xludf.DUMMYFUNCTION("""COMPUTED_VALUE"""),"Xe cẩu 12 tấn")</f>
        <v>Xe cẩu 12 tấn</v>
      </c>
      <c r="C2492" s="5" t="str">
        <f>IFERROR(__xludf.DUMMYFUNCTION("""COMPUTED_VALUE"""),"B.ĐTXD AD")</f>
        <v>B.ĐTXD AD</v>
      </c>
      <c r="D2492" s="5" t="str">
        <f>IFERROR(__xludf.DUMMYFUNCTION("""COMPUTED_VALUE"""),"HYUNDAI")</f>
        <v>HYUNDAI</v>
      </c>
      <c r="E2492" s="5" t="str">
        <f>IFERROR(__xludf.DUMMYFUNCTION("""COMPUTED_VALUE"""),"HÀN QUỐC")</f>
        <v>HÀN QUỐC</v>
      </c>
      <c r="F2492" s="5">
        <f>IFERROR(__xludf.DUMMYFUNCTION("""COMPUTED_VALUE"""),2000.0)</f>
        <v>2000</v>
      </c>
      <c r="G2492" s="5" t="str">
        <f>IFERROR(__xludf.DUMMYFUNCTION("""COMPUTED_VALUE"""),"DUMPTRUCK")</f>
        <v>DUMPTRUCK</v>
      </c>
      <c r="H2492" s="5" t="str">
        <f>IFERROR(__xludf.DUMMYFUNCTION("""COMPUTED_VALUE"""),"280HP")</f>
        <v>280HP</v>
      </c>
      <c r="I2492" s="5" t="str">
        <f>IFERROR(__xludf.DUMMYFUNCTION("""COMPUTED_VALUE"""),"KMFDA10CPYC6889")</f>
        <v>KMFDA10CPYC6889</v>
      </c>
      <c r="J2492" s="5" t="str">
        <f>IFERROR(__xludf.DUMMYFUNCTION("""COMPUTED_VALUE"""),"DSACY034489")</f>
        <v>DSACY034489</v>
      </c>
      <c r="K2492" s="5">
        <f>IFERROR(__xludf.DUMMYFUNCTION("""COMPUTED_VALUE"""),7.0)</f>
        <v>7</v>
      </c>
      <c r="L2492" s="5" t="str">
        <f>IFERROR(__xludf.DUMMYFUNCTION("""COMPUTED_VALUE"""),"-")</f>
        <v>-</v>
      </c>
    </row>
    <row r="2493">
      <c r="A2493" s="5" t="str">
        <f>IFERROR(__xludf.DUMMYFUNCTION("""COMPUTED_VALUE"""),"TNA-XCA-003")</f>
        <v>TNA-XCA-003</v>
      </c>
      <c r="B2493" s="3" t="str">
        <f>IFERROR(__xludf.DUMMYFUNCTION("""COMPUTED_VALUE"""),"Xe cẩu 15 tấn")</f>
        <v>Xe cẩu 15 tấn</v>
      </c>
      <c r="C2493" s="5" t="str">
        <f>IFERROR(__xludf.DUMMYFUNCTION("""COMPUTED_VALUE"""),"B.ĐTXD AD")</f>
        <v>B.ĐTXD AD</v>
      </c>
      <c r="D2493" s="5" t="str">
        <f>IFERROR(__xludf.DUMMYFUNCTION("""COMPUTED_VALUE"""),"HYUNDAI")</f>
        <v>HYUNDAI</v>
      </c>
      <c r="E2493" s="5" t="str">
        <f>IFERROR(__xludf.DUMMYFUNCTION("""COMPUTED_VALUE"""),"HÀN QUỐC")</f>
        <v>HÀN QUỐC</v>
      </c>
      <c r="F2493" s="5">
        <f>IFERROR(__xludf.DUMMYFUNCTION("""COMPUTED_VALUE"""),2004.0)</f>
        <v>2004</v>
      </c>
      <c r="G2493" s="5" t="str">
        <f>IFERROR(__xludf.DUMMYFUNCTION("""COMPUTED_VALUE"""),"LIGHT TRUCK")</f>
        <v>LIGHT TRUCK</v>
      </c>
      <c r="H2493" s="5" t="str">
        <f>IFERROR(__xludf.DUMMYFUNCTION("""COMPUTED_VALUE"""),"380HP")</f>
        <v>380HP</v>
      </c>
      <c r="I2493" s="5" t="str">
        <f>IFERROR(__xludf.DUMMYFUNCTION("""COMPUTED_VALUE"""),"KMFPA18SP4C028562")</f>
        <v>KMFPA18SP4C028562</v>
      </c>
      <c r="J2493" s="5" t="str">
        <f>IFERROR(__xludf.DUMMYFUNCTION("""COMPUTED_VALUE"""),"D6CA3079758")</f>
        <v>D6CA3079758</v>
      </c>
      <c r="K2493" s="5">
        <f>IFERROR(__xludf.DUMMYFUNCTION("""COMPUTED_VALUE"""),7.5)</f>
        <v>7.5</v>
      </c>
      <c r="L2493" s="5" t="str">
        <f>IFERROR(__xludf.DUMMYFUNCTION("""COMPUTED_VALUE"""),"-")</f>
        <v>-</v>
      </c>
    </row>
    <row r="2494">
      <c r="A2494" s="5" t="str">
        <f>IFERROR(__xludf.DUMMYFUNCTION("""COMPUTED_VALUE"""),"TNA-XCA-004")</f>
        <v>TNA-XCA-004</v>
      </c>
      <c r="B2494" s="3" t="str">
        <f>IFERROR(__xludf.DUMMYFUNCTION("""COMPUTED_VALUE"""),"Xe cẩu 12 tấn")</f>
        <v>Xe cẩu 12 tấn</v>
      </c>
      <c r="C2494" s="5" t="str">
        <f>IFERROR(__xludf.DUMMYFUNCTION("""COMPUTED_VALUE"""),"B.ĐTXD AD")</f>
        <v>B.ĐTXD AD</v>
      </c>
      <c r="D2494" s="5" t="str">
        <f>IFERROR(__xludf.DUMMYFUNCTION("""COMPUTED_VALUE"""),"HYUNDAI")</f>
        <v>HYUNDAI</v>
      </c>
      <c r="E2494" s="5"/>
      <c r="F2494" s="5">
        <f>IFERROR(__xludf.DUMMYFUNCTION("""COMPUTED_VALUE"""),2008.0)</f>
        <v>2008</v>
      </c>
      <c r="G2494" s="5"/>
      <c r="H2494" s="5" t="str">
        <f>IFERROR(__xludf.DUMMYFUNCTION("""COMPUTED_VALUE"""),"440 HP")</f>
        <v>440 HP</v>
      </c>
      <c r="I2494" s="5" t="str">
        <f>IFERROR(__xludf.DUMMYFUNCTION("""COMPUTED_VALUE"""),"KMFDA18TP8C024012")</f>
        <v>KMFDA18TP8C024012</v>
      </c>
      <c r="J2494" s="5" t="str">
        <f>IFERROR(__xludf.DUMMYFUNCTION("""COMPUTED_VALUE"""),"D6CB7149317")</f>
        <v>D6CB7149317</v>
      </c>
      <c r="K2494" s="5">
        <f>IFERROR(__xludf.DUMMYFUNCTION("""COMPUTED_VALUE"""),6.0)</f>
        <v>6</v>
      </c>
      <c r="L2494" s="5" t="str">
        <f>IFERROR(__xludf.DUMMYFUNCTION("""COMPUTED_VALUE"""),"-")</f>
        <v>-</v>
      </c>
    </row>
    <row r="2495">
      <c r="A2495" s="5" t="str">
        <f>IFERROR(__xludf.DUMMYFUNCTION("""COMPUTED_VALUE"""),"TNA-XCA-005")</f>
        <v>TNA-XCA-005</v>
      </c>
      <c r="B2495" s="3" t="str">
        <f>IFERROR(__xludf.DUMMYFUNCTION("""COMPUTED_VALUE"""),"Xe cẩu 15 tấn")</f>
        <v>Xe cẩu 15 tấn</v>
      </c>
      <c r="C2495" s="5" t="str">
        <f>IFERROR(__xludf.DUMMYFUNCTION("""COMPUTED_VALUE"""),"B.ĐTXD AD")</f>
        <v>B.ĐTXD AD</v>
      </c>
      <c r="D2495" s="5" t="str">
        <f>IFERROR(__xludf.DUMMYFUNCTION("""COMPUTED_VALUE"""),"HYUNDAI")</f>
        <v>HYUNDAI</v>
      </c>
      <c r="E2495" s="5" t="str">
        <f>IFERROR(__xludf.DUMMYFUNCTION("""COMPUTED_VALUE"""),"HÀN QUỐC")</f>
        <v>HÀN QUỐC</v>
      </c>
      <c r="F2495" s="5">
        <f>IFERROR(__xludf.DUMMYFUNCTION("""COMPUTED_VALUE"""),2003.0)</f>
        <v>2003</v>
      </c>
      <c r="G2495" s="5"/>
      <c r="H2495" s="5" t="str">
        <f>IFERROR(__xludf.DUMMYFUNCTION("""COMPUTED_VALUE"""),"320 HP")</f>
        <v>320 HP</v>
      </c>
      <c r="I2495" s="5" t="str">
        <f>IFERROR(__xludf.DUMMYFUNCTION("""COMPUTED_VALUE"""),"KMFPA18SP3C026684")</f>
        <v>KMFPA18SP3C026684</v>
      </c>
      <c r="J2495" s="5" t="str">
        <f>IFERROR(__xludf.DUMMYFUNCTION("""COMPUTED_VALUE"""),"D6CA3076120")</f>
        <v>D6CA3076120</v>
      </c>
      <c r="K2495" s="5">
        <f>IFERROR(__xludf.DUMMYFUNCTION("""COMPUTED_VALUE"""),5.5)</f>
        <v>5.5</v>
      </c>
      <c r="L2495" s="5" t="str">
        <f>IFERROR(__xludf.DUMMYFUNCTION("""COMPUTED_VALUE"""),"Đang thuê")</f>
        <v>Đang thuê</v>
      </c>
    </row>
    <row r="2496">
      <c r="A2496" s="5" t="str">
        <f>IFERROR(__xludf.DUMMYFUNCTION("""COMPUTED_VALUE"""),"TNA-XCA-006")</f>
        <v>TNA-XCA-006</v>
      </c>
      <c r="B2496" s="3" t="str">
        <f>IFERROR(__xludf.DUMMYFUNCTION("""COMPUTED_VALUE"""),"Xe cẩu 20 tấn")</f>
        <v>Xe cẩu 20 tấn</v>
      </c>
      <c r="C2496" s="5" t="str">
        <f>IFERROR(__xludf.DUMMYFUNCTION("""COMPUTED_VALUE"""),"B.ĐTXD AD")</f>
        <v>B.ĐTXD AD</v>
      </c>
      <c r="D2496" s="5" t="str">
        <f>IFERROR(__xludf.DUMMYFUNCTION("""COMPUTED_VALUE"""),"HYUNDAI")</f>
        <v>HYUNDAI</v>
      </c>
      <c r="E2496" s="5" t="str">
        <f>IFERROR(__xludf.DUMMYFUNCTION("""COMPUTED_VALUE"""),"HÀN QUỐC")</f>
        <v>HÀN QUỐC</v>
      </c>
      <c r="F2496" s="5">
        <f>IFERROR(__xludf.DUMMYFUNCTION("""COMPUTED_VALUE"""),2004.0)</f>
        <v>2004</v>
      </c>
      <c r="G2496" s="5" t="str">
        <f>IFERROR(__xludf.DUMMYFUNCTION("""COMPUTED_VALUE"""),"CSS 1100")</f>
        <v>CSS 1100</v>
      </c>
      <c r="H2496" s="5" t="str">
        <f>IFERROR(__xludf.DUMMYFUNCTION("""COMPUTED_VALUE"""),"380 HP")</f>
        <v>380 HP</v>
      </c>
      <c r="I2496" s="5" t="str">
        <f>IFERROR(__xludf.DUMMYFUNCTION("""COMPUTED_VALUE"""),"KMFAPA18SP4C031259")</f>
        <v>KMFAPA18SP4C031259</v>
      </c>
      <c r="J2496" s="5" t="str">
        <f>IFERROR(__xludf.DUMMYFUNCTION("""COMPUTED_VALUE"""),"D6CA3084334")</f>
        <v>D6CA3084334</v>
      </c>
      <c r="K2496" s="5">
        <f>IFERROR(__xludf.DUMMYFUNCTION("""COMPUTED_VALUE"""),7.5)</f>
        <v>7.5</v>
      </c>
      <c r="L2496" s="5" t="str">
        <f>IFERROR(__xludf.DUMMYFUNCTION("""COMPUTED_VALUE"""),"-")</f>
        <v>-</v>
      </c>
    </row>
    <row r="2497">
      <c r="A2497" s="5" t="str">
        <f>IFERROR(__xludf.DUMMYFUNCTION("""COMPUTED_VALUE"""),"TNA-XCA-007")</f>
        <v>TNA-XCA-007</v>
      </c>
      <c r="B2497" s="3" t="str">
        <f>IFERROR(__xludf.DUMMYFUNCTION("""COMPUTED_VALUE"""),"Xe cẩu 17 tấn")</f>
        <v>Xe cẩu 17 tấn</v>
      </c>
      <c r="C2497" s="5" t="str">
        <f>IFERROR(__xludf.DUMMYFUNCTION("""COMPUTED_VALUE"""),"B.ĐTXD AD")</f>
        <v>B.ĐTXD AD</v>
      </c>
      <c r="D2497" s="5" t="str">
        <f>IFERROR(__xludf.DUMMYFUNCTION("""COMPUTED_VALUE"""),"HYUNDAI")</f>
        <v>HYUNDAI</v>
      </c>
      <c r="E2497" s="5" t="str">
        <f>IFERROR(__xludf.DUMMYFUNCTION("""COMPUTED_VALUE"""),"HÀN QUỐC")</f>
        <v>HÀN QUỐC</v>
      </c>
      <c r="F2497" s="5">
        <f>IFERROR(__xludf.DUMMYFUNCTION("""COMPUTED_VALUE"""),2004.0)</f>
        <v>2004</v>
      </c>
      <c r="G2497" s="5"/>
      <c r="H2497" s="5" t="str">
        <f>IFERROR(__xludf.DUMMYFUNCTION("""COMPUTED_VALUE"""),"380 HP")</f>
        <v>380 HP</v>
      </c>
      <c r="I2497" s="5" t="str">
        <f>IFERROR(__xludf.DUMMYFUNCTION("""COMPUTED_VALUE"""),"KMFPA18SP4C028562")</f>
        <v>KMFPA18SP4C028562</v>
      </c>
      <c r="J2497" s="5" t="str">
        <f>IFERROR(__xludf.DUMMYFUNCTION("""COMPUTED_VALUE"""),"D6CA30797558")</f>
        <v>D6CA30797558</v>
      </c>
      <c r="K2497" s="5">
        <f>IFERROR(__xludf.DUMMYFUNCTION("""COMPUTED_VALUE"""),5.5)</f>
        <v>5.5</v>
      </c>
      <c r="L2497" s="5" t="str">
        <f>IFERROR(__xludf.DUMMYFUNCTION("""COMPUTED_VALUE"""),"-")</f>
        <v>-</v>
      </c>
    </row>
    <row r="2498">
      <c r="A2498" s="5" t="str">
        <f>IFERROR(__xludf.DUMMYFUNCTION("""COMPUTED_VALUE"""),"TNA-XCA-008")</f>
        <v>TNA-XCA-008</v>
      </c>
      <c r="B2498" s="3" t="str">
        <f>IFERROR(__xludf.DUMMYFUNCTION("""COMPUTED_VALUE"""),"Xe cẩu 8 tấn")</f>
        <v>Xe cẩu 8 tấn</v>
      </c>
      <c r="C2498" s="5" t="str">
        <f>IFERROR(__xludf.DUMMYFUNCTION("""COMPUTED_VALUE"""),"Ban điện nước")</f>
        <v>Ban điện nước</v>
      </c>
      <c r="D2498" s="5" t="str">
        <f>IFERROR(__xludf.DUMMYFUNCTION("""COMPUTED_VALUE"""),"HYUNDAI")</f>
        <v>HYUNDAI</v>
      </c>
      <c r="E2498" s="5" t="str">
        <f>IFERROR(__xludf.DUMMYFUNCTION("""COMPUTED_VALUE"""),"HÀN QUỐC")</f>
        <v>HÀN QUỐC</v>
      </c>
      <c r="F2498" s="5">
        <f>IFERROR(__xludf.DUMMYFUNCTION("""COMPUTED_VALUE"""),2000.0)</f>
        <v>2000</v>
      </c>
      <c r="G2498" s="5"/>
      <c r="H2498" s="5"/>
      <c r="I2498" s="5" t="str">
        <f>IFERROR(__xludf.DUMMYFUNCTION("""COMPUTED_VALUE"""),"KMFPA18XPYC006483")</f>
        <v>KMFPA18XPYC006483</v>
      </c>
      <c r="J2498" s="5" t="str">
        <f>IFERROR(__xludf.DUMMYFUNCTION("""COMPUTED_VALUE"""),"D8AXY033212")</f>
        <v>D8AXY033212</v>
      </c>
      <c r="K2498" s="5">
        <f>IFERROR(__xludf.DUMMYFUNCTION("""COMPUTED_VALUE"""),5.0)</f>
        <v>5</v>
      </c>
      <c r="L2498" s="5" t="str">
        <f>IFERROR(__xludf.DUMMYFUNCTION("""COMPUTED_VALUE"""),"-")</f>
        <v>-</v>
      </c>
    </row>
    <row r="2499">
      <c r="A2499" s="5" t="str">
        <f>IFERROR(__xludf.DUMMYFUNCTION("""COMPUTED_VALUE"""),"Xe ban")</f>
        <v>Xe ban</v>
      </c>
      <c r="B2499" s="3" t="str">
        <f>IFERROR(__xludf.DUMMYFUNCTION("""COMPUTED_VALUE"""),"2")</f>
        <v>2</v>
      </c>
      <c r="C2499" s="5"/>
      <c r="D2499" s="5"/>
      <c r="E2499" s="5"/>
      <c r="F2499" s="5"/>
      <c r="G2499" s="5"/>
      <c r="H2499" s="5"/>
      <c r="I2499" s="5"/>
      <c r="J2499" s="5"/>
      <c r="K2499" s="5"/>
      <c r="L2499" s="5" t="str">
        <f>IFERROR(__xludf.DUMMYFUNCTION("""COMPUTED_VALUE"""),"1")</f>
        <v>1</v>
      </c>
    </row>
    <row r="2500">
      <c r="A2500" s="5" t="str">
        <f>IFERROR(__xludf.DUMMYFUNCTION("""COMPUTED_VALUE"""),"TNA-BAN-001")</f>
        <v>TNA-BAN-001</v>
      </c>
      <c r="B2500" s="3" t="str">
        <f>IFERROR(__xludf.DUMMYFUNCTION("""COMPUTED_VALUE"""),"Xe ban 9 tấn")</f>
        <v>Xe ban 9 tấn</v>
      </c>
      <c r="C2500" s="5" t="str">
        <f>IFERROR(__xludf.DUMMYFUNCTION("""COMPUTED_VALUE"""),"B.ĐTXD AD")</f>
        <v>B.ĐTXD AD</v>
      </c>
      <c r="D2500" s="5" t="str">
        <f>IFERROR(__xludf.DUMMYFUNCTION("""COMPUTED_VALUE"""),"KOMATSU")</f>
        <v>KOMATSU</v>
      </c>
      <c r="E2500" s="5" t="str">
        <f>IFERROR(__xludf.DUMMYFUNCTION("""COMPUTED_VALUE"""),"NHẬT BẢN")</f>
        <v>NHẬT BẢN</v>
      </c>
      <c r="F2500" s="5">
        <f>IFERROR(__xludf.DUMMYFUNCTION("""COMPUTED_VALUE"""),1993.0)</f>
        <v>1993</v>
      </c>
      <c r="G2500" s="5" t="str">
        <f>IFERROR(__xludf.DUMMYFUNCTION("""COMPUTED_VALUE"""),"GRADER GD405A-2")</f>
        <v>GRADER GD405A-2</v>
      </c>
      <c r="H2500" s="5" t="str">
        <f>IFERROR(__xludf.DUMMYFUNCTION("""COMPUTED_VALUE"""),"115 HP")</f>
        <v>115 HP</v>
      </c>
      <c r="I2500" s="5" t="str">
        <f>IFERROR(__xludf.DUMMYFUNCTION("""COMPUTED_VALUE"""),"G40A22999")</f>
        <v>G40A22999</v>
      </c>
      <c r="J2500" s="5" t="str">
        <f>IFERROR(__xludf.DUMMYFUNCTION("""COMPUTED_VALUE"""),"6D95L121127")</f>
        <v>6D95L121127</v>
      </c>
      <c r="K2500" s="5">
        <f>IFERROR(__xludf.DUMMYFUNCTION("""COMPUTED_VALUE"""),5.0)</f>
        <v>5</v>
      </c>
      <c r="L2500" s="5" t="str">
        <f>IFERROR(__xludf.DUMMYFUNCTION("""COMPUTED_VALUE"""),"Đang thuê")</f>
        <v>Đang thuê</v>
      </c>
    </row>
    <row r="2501">
      <c r="A2501" s="5" t="str">
        <f>IFERROR(__xludf.DUMMYFUNCTION("""COMPUTED_VALUE"""),"TNA-BAN-002")</f>
        <v>TNA-BAN-002</v>
      </c>
      <c r="B2501" s="3" t="str">
        <f>IFERROR(__xludf.DUMMYFUNCTION("""COMPUTED_VALUE"""),"Xe ban 15 tấn")</f>
        <v>Xe ban 15 tấn</v>
      </c>
      <c r="C2501" s="5" t="str">
        <f>IFERROR(__xludf.DUMMYFUNCTION("""COMPUTED_VALUE"""),"B.ĐTXD AD")</f>
        <v>B.ĐTXD AD</v>
      </c>
      <c r="D2501" s="5" t="str">
        <f>IFERROR(__xludf.DUMMYFUNCTION("""COMPUTED_VALUE"""),"KOMATSU")</f>
        <v>KOMATSU</v>
      </c>
      <c r="E2501" s="5"/>
      <c r="F2501" s="5">
        <f>IFERROR(__xludf.DUMMYFUNCTION("""COMPUTED_VALUE"""),2006.0)</f>
        <v>2006</v>
      </c>
      <c r="G2501" s="5" t="str">
        <f>IFERROR(__xludf.DUMMYFUNCTION("""COMPUTED_VALUE"""),"GD655-3")</f>
        <v>GD655-3</v>
      </c>
      <c r="H2501" s="5" t="str">
        <f>IFERROR(__xludf.DUMMYFUNCTION("""COMPUTED_VALUE"""),"190 HP")</f>
        <v>190 HP</v>
      </c>
      <c r="I2501" s="5" t="str">
        <f>IFERROR(__xludf.DUMMYFUNCTION("""COMPUTED_VALUE"""),"KMTGD015L26051033")</f>
        <v>KMTGD015L26051033</v>
      </c>
      <c r="J2501" s="5" t="str">
        <f>IFERROR(__xludf.DUMMYFUNCTION("""COMPUTED_VALUE"""),"6D114-26801901")</f>
        <v>6D114-26801901</v>
      </c>
      <c r="K2501" s="5">
        <f>IFERROR(__xludf.DUMMYFUNCTION("""COMPUTED_VALUE"""),15.0)</f>
        <v>15</v>
      </c>
      <c r="L2501" s="5" t="str">
        <f>IFERROR(__xludf.DUMMYFUNCTION("""COMPUTED_VALUE"""),"-")</f>
        <v>-</v>
      </c>
    </row>
    <row r="2502">
      <c r="A2502" s="5" t="str">
        <f>IFERROR(__xludf.DUMMYFUNCTION("""COMPUTED_VALUE"""),"CTY LP")</f>
        <v>CTY LP</v>
      </c>
      <c r="B2502" s="3" t="str">
        <f>IFERROR(__xludf.DUMMYFUNCTION("""COMPUTED_VALUE"""),"180")</f>
        <v>180</v>
      </c>
      <c r="C2502" s="5"/>
      <c r="D2502" s="5"/>
      <c r="E2502" s="5"/>
      <c r="F2502" s="5"/>
      <c r="G2502" s="5"/>
      <c r="H2502" s="5"/>
      <c r="I2502" s="5"/>
      <c r="J2502" s="5"/>
      <c r="K2502" s="5"/>
      <c r="L2502" s="5" t="str">
        <f>IFERROR(__xludf.DUMMYFUNCTION("""COMPUTED_VALUE"""),"51")</f>
        <v>51</v>
      </c>
    </row>
    <row r="2503">
      <c r="A2503" s="5" t="str">
        <f>IFERROR(__xludf.DUMMYFUNCTION("""COMPUTED_VALUE"""),"Máy đào")</f>
        <v>Máy đào</v>
      </c>
      <c r="B2503" s="3" t="str">
        <f>IFERROR(__xludf.DUMMYFUNCTION("""COMPUTED_VALUE"""),"90")</f>
        <v>90</v>
      </c>
      <c r="C2503" s="5"/>
      <c r="D2503" s="5"/>
      <c r="E2503" s="5"/>
      <c r="F2503" s="5"/>
      <c r="G2503" s="5"/>
      <c r="H2503" s="5"/>
      <c r="I2503" s="5"/>
      <c r="J2503" s="5"/>
      <c r="K2503" s="5"/>
      <c r="L2503" s="5" t="str">
        <f>IFERROR(__xludf.DUMMYFUNCTION("""COMPUTED_VALUE"""),"18")</f>
        <v>18</v>
      </c>
    </row>
    <row r="2504">
      <c r="A2504" s="5" t="str">
        <f>IFERROR(__xludf.DUMMYFUNCTION("""COMPUTED_VALUE"""),"TNL-MĐA-002")</f>
        <v>TNL-MĐA-002</v>
      </c>
      <c r="B2504" s="3" t="str">
        <f>IFERROR(__xludf.DUMMYFUNCTION("""COMPUTED_VALUE"""),"Máy đào gàu 0.7m3")</f>
        <v>Máy đào gàu 0.7m3</v>
      </c>
      <c r="C2504" s="5" t="str">
        <f>IFERROR(__xludf.DUMMYFUNCTION("""COMPUTED_VALUE"""),"CGTC LP")</f>
        <v>CGTC LP</v>
      </c>
      <c r="D2504" s="5" t="str">
        <f>IFERROR(__xludf.DUMMYFUNCTION("""COMPUTED_VALUE"""),"Khảo sát đơn vị")</f>
        <v>Khảo sát đơn vị</v>
      </c>
      <c r="E2504" s="5"/>
      <c r="F2504" s="5"/>
      <c r="G2504" s="5" t="str">
        <f>IFERROR(__xludf.DUMMYFUNCTION("""COMPUTED_VALUE"""),"Khảo sát đơn vị")</f>
        <v>Khảo sát đơn vị</v>
      </c>
      <c r="H2504" s="5" t="str">
        <f>IFERROR(__xludf.DUMMYFUNCTION("""COMPUTED_VALUE"""),"Khảo sát đơn vị")</f>
        <v>Khảo sát đơn vị</v>
      </c>
      <c r="I2504" s="5" t="str">
        <f>IFERROR(__xludf.DUMMYFUNCTION("""COMPUTED_VALUE"""),"CATDHBWZ04199")</f>
        <v>CATDHBWZ04199</v>
      </c>
      <c r="J2504" s="5" t="str">
        <f>IFERROR(__xludf.DUMMYFUNCTION("""COMPUTED_VALUE"""),"GDC27586")</f>
        <v>GDC27586</v>
      </c>
      <c r="K2504" s="5"/>
      <c r="L2504" s="5" t="str">
        <f>IFERROR(__xludf.DUMMYFUNCTION("""COMPUTED_VALUE"""),"-")</f>
        <v>-</v>
      </c>
    </row>
    <row r="2505">
      <c r="A2505" s="5" t="str">
        <f>IFERROR(__xludf.DUMMYFUNCTION("""COMPUTED_VALUE"""),"TNL-MĐA-004")</f>
        <v>TNL-MĐA-004</v>
      </c>
      <c r="B2505" s="3" t="str">
        <f>IFERROR(__xludf.DUMMYFUNCTION("""COMPUTED_VALUE"""),"Máy đào gàu 1.2m3")</f>
        <v>Máy đào gàu 1.2m3</v>
      </c>
      <c r="C2505" s="5" t="str">
        <f>IFERROR(__xludf.DUMMYFUNCTION("""COMPUTED_VALUE"""),"CGTC LP")</f>
        <v>CGTC LP</v>
      </c>
      <c r="D2505" s="5" t="str">
        <f>IFERROR(__xludf.DUMMYFUNCTION("""COMPUTED_VALUE"""),"VOLVO")</f>
        <v>VOLVO</v>
      </c>
      <c r="E2505" s="5"/>
      <c r="F2505" s="5">
        <f>IFERROR(__xludf.DUMMYFUNCTION("""COMPUTED_VALUE"""),2020.0)</f>
        <v>2020</v>
      </c>
      <c r="G2505" s="5" t="str">
        <f>IFERROR(__xludf.DUMMYFUNCTION("""COMPUTED_VALUE"""),"EC210DL")</f>
        <v>EC210DL</v>
      </c>
      <c r="H2505" s="5" t="str">
        <f>IFERROR(__xludf.DUMMYFUNCTION("""COMPUTED_VALUE"""),"165HP")</f>
        <v>165HP</v>
      </c>
      <c r="I2505" s="5" t="str">
        <f>IFERROR(__xludf.DUMMYFUNCTION("""COMPUTED_VALUE"""),"VCEC210DJ00252219")</f>
        <v>VCEC210DJ00252219</v>
      </c>
      <c r="J2505" s="5" t="str">
        <f>IFERROR(__xludf.DUMMYFUNCTION("""COMPUTED_VALUE"""),"12596460")</f>
        <v>12596460</v>
      </c>
      <c r="K2505" s="5"/>
      <c r="L2505" s="5" t="str">
        <f>IFERROR(__xludf.DUMMYFUNCTION("""COMPUTED_VALUE"""),"-")</f>
        <v>-</v>
      </c>
    </row>
    <row r="2506">
      <c r="A2506" s="5" t="str">
        <f>IFERROR(__xludf.DUMMYFUNCTION("""COMPUTED_VALUE"""),"TNL-MĐA-005")</f>
        <v>TNL-MĐA-005</v>
      </c>
      <c r="B2506" s="3" t="str">
        <f>IFERROR(__xludf.DUMMYFUNCTION("""COMPUTED_VALUE"""),"Máy đào gàu 1.2m3")</f>
        <v>Máy đào gàu 1.2m3</v>
      </c>
      <c r="C2506" s="5" t="str">
        <f>IFERROR(__xludf.DUMMYFUNCTION("""COMPUTED_VALUE"""),"CGTC LP")</f>
        <v>CGTC LP</v>
      </c>
      <c r="D2506" s="5" t="str">
        <f>IFERROR(__xludf.DUMMYFUNCTION("""COMPUTED_VALUE"""),"VOLVO")</f>
        <v>VOLVO</v>
      </c>
      <c r="E2506" s="5"/>
      <c r="F2506" s="5">
        <f>IFERROR(__xludf.DUMMYFUNCTION("""COMPUTED_VALUE"""),2019.0)</f>
        <v>2019</v>
      </c>
      <c r="G2506" s="5" t="str">
        <f>IFERROR(__xludf.DUMMYFUNCTION("""COMPUTED_VALUE"""),"EC210DL")</f>
        <v>EC210DL</v>
      </c>
      <c r="H2506" s="5" t="str">
        <f>IFERROR(__xludf.DUMMYFUNCTION("""COMPUTED_VALUE"""),"165HP")</f>
        <v>165HP</v>
      </c>
      <c r="I2506" s="5" t="str">
        <f>IFERROR(__xludf.DUMMYFUNCTION("""COMPUTED_VALUE"""),"VCEC120DP00282902")</f>
        <v>VCEC120DP00282902</v>
      </c>
      <c r="J2506" s="5" t="str">
        <f>IFERROR(__xludf.DUMMYFUNCTION("""COMPUTED_VALUE"""),"12393813")</f>
        <v>12393813</v>
      </c>
      <c r="K2506" s="5"/>
      <c r="L2506" s="5" t="str">
        <f>IFERROR(__xludf.DUMMYFUNCTION("""COMPUTED_VALUE"""),"-")</f>
        <v>-</v>
      </c>
    </row>
    <row r="2507">
      <c r="A2507" s="5" t="str">
        <f>IFERROR(__xludf.DUMMYFUNCTION("""COMPUTED_VALUE"""),"TNL-MĐA-006")</f>
        <v>TNL-MĐA-006</v>
      </c>
      <c r="B2507" s="3" t="str">
        <f>IFERROR(__xludf.DUMMYFUNCTION("""COMPUTED_VALUE"""),"Máy đào gàu 0.5m3")</f>
        <v>Máy đào gàu 0.5m3</v>
      </c>
      <c r="C2507" s="5" t="str">
        <f>IFERROR(__xludf.DUMMYFUNCTION("""COMPUTED_VALUE"""),"XN Chuối LP1")</f>
        <v>XN Chuối LP1</v>
      </c>
      <c r="D2507" s="5" t="str">
        <f>IFERROR(__xludf.DUMMYFUNCTION("""COMPUTED_VALUE"""),"CATERPILLAR")</f>
        <v>CATERPILLAR</v>
      </c>
      <c r="E2507" s="5"/>
      <c r="F2507" s="5">
        <f>IFERROR(__xludf.DUMMYFUNCTION("""COMPUTED_VALUE"""),1991.0)</f>
        <v>1991</v>
      </c>
      <c r="G2507" s="5" t="str">
        <f>IFERROR(__xludf.DUMMYFUNCTION("""COMPUTED_VALUE"""),"E120B")</f>
        <v>E120B</v>
      </c>
      <c r="H2507" s="5" t="str">
        <f>IFERROR(__xludf.DUMMYFUNCTION("""COMPUTED_VALUE"""),"84HP")</f>
        <v>84HP</v>
      </c>
      <c r="I2507" s="5" t="str">
        <f>IFERROR(__xludf.DUMMYFUNCTION("""COMPUTED_VALUE"""),"7NF05434")</f>
        <v>7NF05434</v>
      </c>
      <c r="J2507" s="5"/>
      <c r="K2507" s="5"/>
      <c r="L2507" s="5" t="str">
        <f>IFERROR(__xludf.DUMMYFUNCTION("""COMPUTED_VALUE"""),"-")</f>
        <v>-</v>
      </c>
    </row>
    <row r="2508">
      <c r="A2508" s="5" t="str">
        <f>IFERROR(__xludf.DUMMYFUNCTION("""COMPUTED_VALUE"""),"TNL-MĐA-007")</f>
        <v>TNL-MĐA-007</v>
      </c>
      <c r="B2508" s="3" t="str">
        <f>IFERROR(__xludf.DUMMYFUNCTION("""COMPUTED_VALUE"""),"Máy đào gàu 1.2m3")</f>
        <v>Máy đào gàu 1.2m3</v>
      </c>
      <c r="C2508" s="5" t="str">
        <f>IFERROR(__xludf.DUMMYFUNCTION("""COMPUTED_VALUE"""),"CGTC LP")</f>
        <v>CGTC LP</v>
      </c>
      <c r="D2508" s="5" t="str">
        <f>IFERROR(__xludf.DUMMYFUNCTION("""COMPUTED_VALUE"""),"CATERPILLAR")</f>
        <v>CATERPILLAR</v>
      </c>
      <c r="E2508" s="5"/>
      <c r="F2508" s="5">
        <f>IFERROR(__xludf.DUMMYFUNCTION("""COMPUTED_VALUE"""),2011.0)</f>
        <v>2011</v>
      </c>
      <c r="G2508" s="5" t="str">
        <f>IFERROR(__xludf.DUMMYFUNCTION("""COMPUTED_VALUE"""),"320D")</f>
        <v>320D</v>
      </c>
      <c r="H2508" s="5" t="str">
        <f>IFERROR(__xludf.DUMMYFUNCTION("""COMPUTED_VALUE"""),"150HP")</f>
        <v>150HP</v>
      </c>
      <c r="I2508" s="5" t="str">
        <f>IFERROR(__xludf.DUMMYFUNCTION("""COMPUTED_VALUE"""),"CAT0320DCPCM02635")</f>
        <v>CAT0320DCPCM02635</v>
      </c>
      <c r="J2508" s="5" t="str">
        <f>IFERROR(__xludf.DUMMYFUNCTION("""COMPUTED_VALUE"""),"GDC56794")</f>
        <v>GDC56794</v>
      </c>
      <c r="K2508" s="5"/>
      <c r="L2508" s="5" t="str">
        <f>IFERROR(__xludf.DUMMYFUNCTION("""COMPUTED_VALUE"""),"-")</f>
        <v>-</v>
      </c>
    </row>
    <row r="2509">
      <c r="A2509" s="5" t="str">
        <f>IFERROR(__xludf.DUMMYFUNCTION("""COMPUTED_VALUE"""),"TNL-MĐA-010")</f>
        <v>TNL-MĐA-010</v>
      </c>
      <c r="B2509" s="3" t="str">
        <f>IFERROR(__xludf.DUMMYFUNCTION("""COMPUTED_VALUE"""),"Máy đào gàu 1.2m3")</f>
        <v>Máy đào gàu 1.2m3</v>
      </c>
      <c r="C2509" s="5" t="str">
        <f>IFERROR(__xludf.DUMMYFUNCTION("""COMPUTED_VALUE"""),"CGTC LP")</f>
        <v>CGTC LP</v>
      </c>
      <c r="D2509" s="5" t="str">
        <f>IFERROR(__xludf.DUMMYFUNCTION("""COMPUTED_VALUE"""),"KOMATSU")</f>
        <v>KOMATSU</v>
      </c>
      <c r="E2509" s="5"/>
      <c r="F2509" s="5">
        <f>IFERROR(__xludf.DUMMYFUNCTION("""COMPUTED_VALUE"""),2020.0)</f>
        <v>2020</v>
      </c>
      <c r="G2509" s="5" t="str">
        <f>IFERROR(__xludf.DUMMYFUNCTION("""COMPUTED_VALUE"""),"PC210-10-M0")</f>
        <v>PC210-10-M0</v>
      </c>
      <c r="H2509" s="5" t="str">
        <f>IFERROR(__xludf.DUMMYFUNCTION("""COMPUTED_VALUE"""),"165HP")</f>
        <v>165HP</v>
      </c>
      <c r="I2509" s="5" t="str">
        <f>IFERROR(__xludf.DUMMYFUNCTION("""COMPUTED_VALUE"""),"KMTPC282-K2TC02820")</f>
        <v>KMTPC282-K2TC02820</v>
      </c>
      <c r="J2509" s="5" t="str">
        <f>IFERROR(__xludf.DUMMYFUNCTION("""COMPUTED_VALUE"""),"6D107-26729665")</f>
        <v>6D107-26729665</v>
      </c>
      <c r="K2509" s="5"/>
      <c r="L2509" s="5" t="str">
        <f>IFERROR(__xludf.DUMMYFUNCTION("""COMPUTED_VALUE"""),"-")</f>
        <v>-</v>
      </c>
    </row>
    <row r="2510">
      <c r="A2510" s="5" t="str">
        <f>IFERROR(__xludf.DUMMYFUNCTION("""COMPUTED_VALUE"""),"TNL-MĐA-011")</f>
        <v>TNL-MĐA-011</v>
      </c>
      <c r="B2510" s="3" t="str">
        <f>IFERROR(__xludf.DUMMYFUNCTION("""COMPUTED_VALUE"""),"Máy đào gàu 1.2m3")</f>
        <v>Máy đào gàu 1.2m3</v>
      </c>
      <c r="C2510" s="5" t="str">
        <f>IFERROR(__xludf.DUMMYFUNCTION("""COMPUTED_VALUE"""),"CGTC LP")</f>
        <v>CGTC LP</v>
      </c>
      <c r="D2510" s="5" t="str">
        <f>IFERROR(__xludf.DUMMYFUNCTION("""COMPUTED_VALUE"""),"SANY")</f>
        <v>SANY</v>
      </c>
      <c r="E2510" s="5"/>
      <c r="F2510" s="5">
        <f>IFERROR(__xludf.DUMMYFUNCTION("""COMPUTED_VALUE"""),2020.0)</f>
        <v>2020</v>
      </c>
      <c r="G2510" s="5" t="str">
        <f>IFERROR(__xludf.DUMMYFUNCTION("""COMPUTED_VALUE"""),"SY215C")</f>
        <v>SY215C</v>
      </c>
      <c r="H2510" s="5" t="str">
        <f>IFERROR(__xludf.DUMMYFUNCTION("""COMPUTED_VALUE"""),"164HP")</f>
        <v>164HP</v>
      </c>
      <c r="I2510" s="5" t="str">
        <f>IFERROR(__xludf.DUMMYFUNCTION("""COMPUTED_VALUE"""),"0E1110210K 3L60242CL")</f>
        <v>0E1110210K 3L60242CL</v>
      </c>
      <c r="J2510" s="5" t="str">
        <f>IFERROR(__xludf.DUMMYFUNCTION("""COMPUTED_VALUE"""),"4M50E21931")</f>
        <v>4M50E21931</v>
      </c>
      <c r="K2510" s="5"/>
      <c r="L2510" s="5" t="str">
        <f>IFERROR(__xludf.DUMMYFUNCTION("""COMPUTED_VALUE"""),"-")</f>
        <v>-</v>
      </c>
    </row>
    <row r="2511">
      <c r="A2511" s="5" t="str">
        <f>IFERROR(__xludf.DUMMYFUNCTION("""COMPUTED_VALUE"""),"TNL-MĐA-012")</f>
        <v>TNL-MĐA-012</v>
      </c>
      <c r="B2511" s="3" t="str">
        <f>IFERROR(__xludf.DUMMYFUNCTION("""COMPUTED_VALUE"""),"Máy đào gàu 1.2m3")</f>
        <v>Máy đào gàu 1.2m3</v>
      </c>
      <c r="C2511" s="5"/>
      <c r="D2511" s="5" t="str">
        <f>IFERROR(__xludf.DUMMYFUNCTION("""COMPUTED_VALUE"""),"CATERPILLAR")</f>
        <v>CATERPILLAR</v>
      </c>
      <c r="E2511" s="5"/>
      <c r="F2511" s="5">
        <f>IFERROR(__xludf.DUMMYFUNCTION("""COMPUTED_VALUE"""),2008.0)</f>
        <v>2008</v>
      </c>
      <c r="G2511" s="5" t="str">
        <f>IFERROR(__xludf.DUMMYFUNCTION("""COMPUTED_VALUE"""),"320C")</f>
        <v>320C</v>
      </c>
      <c r="H2511" s="5" t="str">
        <f>IFERROR(__xludf.DUMMYFUNCTION("""COMPUTED_VALUE"""),"138HP")</f>
        <v>138HP</v>
      </c>
      <c r="I2511" s="5" t="str">
        <f>IFERROR(__xludf.DUMMYFUNCTION("""COMPUTED_VALUE"""),"226")</f>
        <v>226</v>
      </c>
      <c r="J2511" s="5" t="str">
        <f>IFERROR(__xludf.DUMMYFUNCTION("""COMPUTED_VALUE"""),"0320CV")</f>
        <v>0320CV</v>
      </c>
      <c r="K2511" s="5"/>
      <c r="L2511" s="5" t="str">
        <f>IFERROR(__xludf.DUMMYFUNCTION("""COMPUTED_VALUE"""),"-")</f>
        <v>-</v>
      </c>
    </row>
    <row r="2512">
      <c r="A2512" s="5" t="str">
        <f>IFERROR(__xludf.DUMMYFUNCTION("""COMPUTED_VALUE"""),"TNL-MĐA-013")</f>
        <v>TNL-MĐA-013</v>
      </c>
      <c r="B2512" s="3" t="str">
        <f>IFERROR(__xludf.DUMMYFUNCTION("""COMPUTED_VALUE"""),"Máy đào gàu 1.2m3")</f>
        <v>Máy đào gàu 1.2m3</v>
      </c>
      <c r="C2512" s="5" t="str">
        <f>IFERROR(__xludf.DUMMYFUNCTION("""COMPUTED_VALUE"""),"XN Chuối LP4")</f>
        <v>XN Chuối LP4</v>
      </c>
      <c r="D2512" s="5" t="str">
        <f>IFERROR(__xludf.DUMMYFUNCTION("""COMPUTED_VALUE"""),"HYUNDAI")</f>
        <v>HYUNDAI</v>
      </c>
      <c r="E2512" s="5"/>
      <c r="F2512" s="5">
        <f>IFERROR(__xludf.DUMMYFUNCTION("""COMPUTED_VALUE"""),2019.0)</f>
        <v>2019</v>
      </c>
      <c r="G2512" s="5" t="str">
        <f>IFERROR(__xludf.DUMMYFUNCTION("""COMPUTED_VALUE"""),"R220LC-9S")</f>
        <v>R220LC-9S</v>
      </c>
      <c r="H2512" s="5" t="str">
        <f>IFERROR(__xludf.DUMMYFUNCTION("""COMPUTED_VALUE"""),"150HP")</f>
        <v>150HP</v>
      </c>
      <c r="I2512" s="5" t="str">
        <f>IFERROR(__xludf.DUMMYFUNCTION("""COMPUTED_VALUE"""),"HHKHZ614 HK000E591")</f>
        <v>HHKHZ614 HK000E591</v>
      </c>
      <c r="J2512" s="5" t="str">
        <f>IFERROR(__xludf.DUMMYFUNCTION("""COMPUTED_VALUE"""),"22363488")</f>
        <v>22363488</v>
      </c>
      <c r="K2512" s="5"/>
      <c r="L2512" s="5" t="str">
        <f>IFERROR(__xludf.DUMMYFUNCTION("""COMPUTED_VALUE"""),"-")</f>
        <v>-</v>
      </c>
    </row>
    <row r="2513">
      <c r="A2513" s="5" t="str">
        <f>IFERROR(__xludf.DUMMYFUNCTION("""COMPUTED_VALUE"""),"TNL-MĐA-014")</f>
        <v>TNL-MĐA-014</v>
      </c>
      <c r="B2513" s="3" t="str">
        <f>IFERROR(__xludf.DUMMYFUNCTION("""COMPUTED_VALUE"""),"Máy đào gàu 1.2m3")</f>
        <v>Máy đào gàu 1.2m3</v>
      </c>
      <c r="C2513" s="5" t="str">
        <f>IFERROR(__xludf.DUMMYFUNCTION("""COMPUTED_VALUE"""),"CGTC LP")</f>
        <v>CGTC LP</v>
      </c>
      <c r="D2513" s="5" t="str">
        <f>IFERROR(__xludf.DUMMYFUNCTION("""COMPUTED_VALUE"""),"HYUNDAI")</f>
        <v>HYUNDAI</v>
      </c>
      <c r="E2513" s="5"/>
      <c r="F2513" s="5">
        <f>IFERROR(__xludf.DUMMYFUNCTION("""COMPUTED_VALUE"""),2021.0)</f>
        <v>2021</v>
      </c>
      <c r="G2513" s="5" t="str">
        <f>IFERROR(__xludf.DUMMYFUNCTION("""COMPUTED_VALUE"""),"HX225S")</f>
        <v>HX225S</v>
      </c>
      <c r="H2513" s="5" t="str">
        <f>IFERROR(__xludf.DUMMYFUNCTION("""COMPUTED_VALUE"""),"150HP")</f>
        <v>150HP</v>
      </c>
      <c r="I2513" s="5" t="str">
        <f>IFERROR(__xludf.DUMMYFUNCTION("""COMPUTED_VALUE"""),"HHKHK605KE0000613")</f>
        <v>HHKHK605KE0000613</v>
      </c>
      <c r="J2513" s="5" t="str">
        <f>IFERROR(__xludf.DUMMYFUNCTION("""COMPUTED_VALUE"""),"22463333")</f>
        <v>22463333</v>
      </c>
      <c r="K2513" s="5"/>
      <c r="L2513" s="5" t="str">
        <f>IFERROR(__xludf.DUMMYFUNCTION("""COMPUTED_VALUE"""),"-")</f>
        <v>-</v>
      </c>
    </row>
    <row r="2514">
      <c r="A2514" s="5" t="str">
        <f>IFERROR(__xludf.DUMMYFUNCTION("""COMPUTED_VALUE"""),"TNL-MĐA-015")</f>
        <v>TNL-MĐA-015</v>
      </c>
      <c r="B2514" s="3" t="str">
        <f>IFERROR(__xludf.DUMMYFUNCTION("""COMPUTED_VALUE"""),"Máy đào gàu 1.2m3")</f>
        <v>Máy đào gàu 1.2m3</v>
      </c>
      <c r="C2514" s="5" t="str">
        <f>IFERROR(__xludf.DUMMYFUNCTION("""COMPUTED_VALUE"""),"CGTC LP")</f>
        <v>CGTC LP</v>
      </c>
      <c r="D2514" s="5" t="str">
        <f>IFERROR(__xludf.DUMMYFUNCTION("""COMPUTED_VALUE"""),"HYUNDAI")</f>
        <v>HYUNDAI</v>
      </c>
      <c r="E2514" s="5"/>
      <c r="F2514" s="5">
        <f>IFERROR(__xludf.DUMMYFUNCTION("""COMPUTED_VALUE"""),2022.0)</f>
        <v>2022</v>
      </c>
      <c r="G2514" s="5" t="str">
        <f>IFERROR(__xludf.DUMMYFUNCTION("""COMPUTED_VALUE"""),"HX225S")</f>
        <v>HX225S</v>
      </c>
      <c r="H2514" s="5" t="str">
        <f>IFERROR(__xludf.DUMMYFUNCTION("""COMPUTED_VALUE"""),"150HP")</f>
        <v>150HP</v>
      </c>
      <c r="I2514" s="5" t="str">
        <f>IFERROR(__xludf.DUMMYFUNCTION("""COMPUTED_VALUE"""),"HHKHK605CE0001644")</f>
        <v>HHKHK605CE0001644</v>
      </c>
      <c r="J2514" s="5" t="str">
        <f>IFERROR(__xludf.DUMMYFUNCTION("""COMPUTED_VALUE"""),"22516090")</f>
        <v>22516090</v>
      </c>
      <c r="K2514" s="5"/>
      <c r="L2514" s="5" t="str">
        <f>IFERROR(__xludf.DUMMYFUNCTION("""COMPUTED_VALUE"""),"-")</f>
        <v>-</v>
      </c>
    </row>
    <row r="2515">
      <c r="A2515" s="5" t="str">
        <f>IFERROR(__xludf.DUMMYFUNCTION("""COMPUTED_VALUE"""),"TNL-MĐA-016")</f>
        <v>TNL-MĐA-016</v>
      </c>
      <c r="B2515" s="3" t="str">
        <f>IFERROR(__xludf.DUMMYFUNCTION("""COMPUTED_VALUE"""),"Máy đào gàu 0.9m3")</f>
        <v>Máy đào gàu 0.9m3</v>
      </c>
      <c r="C2515" s="5" t="str">
        <f>IFERROR(__xludf.DUMMYFUNCTION("""COMPUTED_VALUE"""),"CGTC LP")</f>
        <v>CGTC LP</v>
      </c>
      <c r="D2515" s="5" t="str">
        <f>IFERROR(__xludf.DUMMYFUNCTION("""COMPUTED_VALUE"""),"CATERPILLAR")</f>
        <v>CATERPILLAR</v>
      </c>
      <c r="E2515" s="5"/>
      <c r="F2515" s="5">
        <f>IFERROR(__xludf.DUMMYFUNCTION("""COMPUTED_VALUE"""),2019.0)</f>
        <v>2019</v>
      </c>
      <c r="G2515" s="5" t="str">
        <f>IFERROR(__xludf.DUMMYFUNCTION("""COMPUTED_VALUE"""),"320D")</f>
        <v>320D</v>
      </c>
      <c r="H2515" s="5" t="str">
        <f>IFERROR(__xludf.DUMMYFUNCTION("""COMPUTED_VALUE"""),"150HP")</f>
        <v>150HP</v>
      </c>
      <c r="I2515" s="5" t="str">
        <f>IFERROR(__xludf.DUMMYFUNCTION("""COMPUTED_VALUE"""),"CAT00320V2BN12250")</f>
        <v>CAT00320V2BN12250</v>
      </c>
      <c r="J2515" s="5" t="str">
        <f>IFERROR(__xludf.DUMMYFUNCTION("""COMPUTED_VALUE"""),"E7A29507")</f>
        <v>E7A29507</v>
      </c>
      <c r="K2515" s="5"/>
      <c r="L2515" s="5" t="str">
        <f>IFERROR(__xludf.DUMMYFUNCTION("""COMPUTED_VALUE"""),"-")</f>
        <v>-</v>
      </c>
    </row>
    <row r="2516">
      <c r="A2516" s="5" t="str">
        <f>IFERROR(__xludf.DUMMYFUNCTION("""COMPUTED_VALUE""")," TNL-MĐA-017")</f>
        <v> TNL-MĐA-017</v>
      </c>
      <c r="B2516" s="3" t="str">
        <f>IFERROR(__xludf.DUMMYFUNCTION("""COMPUTED_VALUE"""),"Máy đào gàu 0.4m3")</f>
        <v>Máy đào gàu 0.4m3</v>
      </c>
      <c r="C2516" s="5"/>
      <c r="D2516" s="5" t="str">
        <f>IFERROR(__xludf.DUMMYFUNCTION("""COMPUTED_VALUE"""),"CATERPILLAR")</f>
        <v>CATERPILLAR</v>
      </c>
      <c r="E2516" s="5"/>
      <c r="F2516" s="5"/>
      <c r="G2516" s="5" t="str">
        <f>IFERROR(__xludf.DUMMYFUNCTION("""COMPUTED_VALUE"""),"E110B")</f>
        <v>E110B</v>
      </c>
      <c r="H2516" s="5" t="str">
        <f>IFERROR(__xludf.DUMMYFUNCTION("""COMPUTED_VALUE"""),"89HP")</f>
        <v>89HP</v>
      </c>
      <c r="I2516" s="5" t="str">
        <f>IFERROR(__xludf.DUMMYFUNCTION("""COMPUTED_VALUE"""),"830")</f>
        <v>830</v>
      </c>
      <c r="J2516" s="5"/>
      <c r="K2516" s="5"/>
      <c r="L2516" s="5" t="str">
        <f>IFERROR(__xludf.DUMMYFUNCTION("""COMPUTED_VALUE"""),"-")</f>
        <v>-</v>
      </c>
    </row>
    <row r="2517">
      <c r="A2517" s="5" t="str">
        <f>IFERROR(__xludf.DUMMYFUNCTION("""COMPUTED_VALUE""")," TNL-MĐA-018")</f>
        <v> TNL-MĐA-018</v>
      </c>
      <c r="B2517" s="3" t="str">
        <f>IFERROR(__xludf.DUMMYFUNCTION("""COMPUTED_VALUE"""),"Máy đào gàu 0.5m3")</f>
        <v>Máy đào gàu 0.5m3</v>
      </c>
      <c r="C2517" s="5"/>
      <c r="D2517" s="5" t="str">
        <f>IFERROR(__xludf.DUMMYFUNCTION("""COMPUTED_VALUE"""),"CATERPILLAR")</f>
        <v>CATERPILLAR</v>
      </c>
      <c r="E2517" s="5"/>
      <c r="F2517" s="5"/>
      <c r="G2517" s="5" t="str">
        <f>IFERROR(__xludf.DUMMYFUNCTION("""COMPUTED_VALUE"""),"120B")</f>
        <v>120B</v>
      </c>
      <c r="H2517" s="5" t="str">
        <f>IFERROR(__xludf.DUMMYFUNCTION("""COMPUTED_VALUE"""),"84HP")</f>
        <v>84HP</v>
      </c>
      <c r="I2517" s="5" t="str">
        <f>IFERROR(__xludf.DUMMYFUNCTION("""COMPUTED_VALUE"""),"3813")</f>
        <v>3813</v>
      </c>
      <c r="J2517" s="5"/>
      <c r="K2517" s="5"/>
      <c r="L2517" s="5" t="str">
        <f>IFERROR(__xludf.DUMMYFUNCTION("""COMPUTED_VALUE"""),"-")</f>
        <v>-</v>
      </c>
    </row>
    <row r="2518">
      <c r="A2518" s="5" t="str">
        <f>IFERROR(__xludf.DUMMYFUNCTION("""COMPUTED_VALUE"""),"TNL-MĐA-019")</f>
        <v>TNL-MĐA-019</v>
      </c>
      <c r="B2518" s="3" t="str">
        <f>IFERROR(__xludf.DUMMYFUNCTION("""COMPUTED_VALUE"""),"Máy đào gàu 0.5m3")</f>
        <v>Máy đào gàu 0.5m3</v>
      </c>
      <c r="C2518" s="5" t="str">
        <f>IFERROR(__xludf.DUMMYFUNCTION("""COMPUTED_VALUE"""),"XN Chuối LP3")</f>
        <v>XN Chuối LP3</v>
      </c>
      <c r="D2518" s="5" t="str">
        <f>IFERROR(__xludf.DUMMYFUNCTION("""COMPUTED_VALUE"""),"CATERPILLAR")</f>
        <v>CATERPILLAR</v>
      </c>
      <c r="E2518" s="5"/>
      <c r="F2518" s="5"/>
      <c r="G2518" s="5" t="str">
        <f>IFERROR(__xludf.DUMMYFUNCTION("""COMPUTED_VALUE"""),"120B")</f>
        <v>120B</v>
      </c>
      <c r="H2518" s="5" t="str">
        <f>IFERROR(__xludf.DUMMYFUNCTION("""COMPUTED_VALUE"""),"84HP")</f>
        <v>84HP</v>
      </c>
      <c r="I2518" s="5" t="str">
        <f>IFERROR(__xludf.DUMMYFUNCTION("""COMPUTED_VALUE"""),"4123")</f>
        <v>4123</v>
      </c>
      <c r="J2518" s="5"/>
      <c r="K2518" s="5"/>
      <c r="L2518" s="5" t="str">
        <f>IFERROR(__xludf.DUMMYFUNCTION("""COMPUTED_VALUE"""),"-")</f>
        <v>-</v>
      </c>
    </row>
    <row r="2519">
      <c r="A2519" s="5" t="str">
        <f>IFERROR(__xludf.DUMMYFUNCTION("""COMPUTED_VALUE"""),"TNL-MĐA-020")</f>
        <v>TNL-MĐA-020</v>
      </c>
      <c r="B2519" s="3" t="str">
        <f>IFERROR(__xludf.DUMMYFUNCTION("""COMPUTED_VALUE"""),"Máy đào gàu 0.5m3")</f>
        <v>Máy đào gàu 0.5m3</v>
      </c>
      <c r="C2519" s="5" t="str">
        <f>IFERROR(__xludf.DUMMYFUNCTION("""COMPUTED_VALUE"""),"XN Chuối LP3")</f>
        <v>XN Chuối LP3</v>
      </c>
      <c r="D2519" s="5" t="str">
        <f>IFERROR(__xludf.DUMMYFUNCTION("""COMPUTED_VALUE"""),"CATERPILLAR")</f>
        <v>CATERPILLAR</v>
      </c>
      <c r="E2519" s="5"/>
      <c r="F2519" s="5">
        <f>IFERROR(__xludf.DUMMYFUNCTION("""COMPUTED_VALUE"""),2005.0)</f>
        <v>2005</v>
      </c>
      <c r="G2519" s="5" t="str">
        <f>IFERROR(__xludf.DUMMYFUNCTION("""COMPUTED_VALUE"""),"312C")</f>
        <v>312C</v>
      </c>
      <c r="H2519" s="5" t="str">
        <f>IFERROR(__xludf.DUMMYFUNCTION("""COMPUTED_VALUE"""),"94HP")</f>
        <v>94HP</v>
      </c>
      <c r="I2519" s="5" t="str">
        <f>IFERROR(__xludf.DUMMYFUNCTION("""COMPUTED_VALUE"""),"CAT0312CCCCAE02876")</f>
        <v>CAT0312CCCCAE02876</v>
      </c>
      <c r="J2519" s="5" t="str">
        <f>IFERROR(__xludf.DUMMYFUNCTION("""COMPUTED_VALUE"""),"6LK37380")</f>
        <v>6LK37380</v>
      </c>
      <c r="K2519" s="5"/>
      <c r="L2519" s="5" t="str">
        <f>IFERROR(__xludf.DUMMYFUNCTION("""COMPUTED_VALUE"""),"-")</f>
        <v>-</v>
      </c>
    </row>
    <row r="2520">
      <c r="A2520" s="5" t="str">
        <f>IFERROR(__xludf.DUMMYFUNCTION("""COMPUTED_VALUE"""),"TNL-MĐA-021")</f>
        <v>TNL-MĐA-021</v>
      </c>
      <c r="B2520" s="3" t="str">
        <f>IFERROR(__xludf.DUMMYFUNCTION("""COMPUTED_VALUE"""),"Máy đào gàu 0.9m3")</f>
        <v>Máy đào gàu 0.9m3</v>
      </c>
      <c r="C2520" s="5" t="str">
        <f>IFERROR(__xludf.DUMMYFUNCTION("""COMPUTED_VALUE"""),"CGTC LP")</f>
        <v>CGTC LP</v>
      </c>
      <c r="D2520" s="5" t="str">
        <f>IFERROR(__xludf.DUMMYFUNCTION("""COMPUTED_VALUE"""),"CATERPILLAR")</f>
        <v>CATERPILLAR</v>
      </c>
      <c r="E2520" s="5"/>
      <c r="F2520" s="5">
        <f>IFERROR(__xludf.DUMMYFUNCTION("""COMPUTED_VALUE"""),2019.0)</f>
        <v>2019</v>
      </c>
      <c r="G2520" s="5" t="str">
        <f>IFERROR(__xludf.DUMMYFUNCTION("""COMPUTED_VALUE"""),"320D")</f>
        <v>320D</v>
      </c>
      <c r="H2520" s="5" t="str">
        <f>IFERROR(__xludf.DUMMYFUNCTION("""COMPUTED_VALUE"""),"150HP")</f>
        <v>150HP</v>
      </c>
      <c r="I2520" s="5" t="str">
        <f>IFERROR(__xludf.DUMMYFUNCTION("""COMPUTED_VALUE"""),"0320DPZBH10122")</f>
        <v>0320DPZBH10122</v>
      </c>
      <c r="J2520" s="5" t="str">
        <f>IFERROR(__xludf.DUMMYFUNCTION("""COMPUTED_VALUE"""),"2W201978")</f>
        <v>2W201978</v>
      </c>
      <c r="K2520" s="5"/>
      <c r="L2520" s="5" t="str">
        <f>IFERROR(__xludf.DUMMYFUNCTION("""COMPUTED_VALUE"""),"-")</f>
        <v>-</v>
      </c>
    </row>
    <row r="2521">
      <c r="A2521" s="5" t="str">
        <f>IFERROR(__xludf.DUMMYFUNCTION("""COMPUTED_VALUE"""),"TNL-MĐA-022")</f>
        <v>TNL-MĐA-022</v>
      </c>
      <c r="B2521" s="3" t="str">
        <f>IFERROR(__xludf.DUMMYFUNCTION("""COMPUTED_VALUE"""),"Máy đào gàu 1.1m3")</f>
        <v>Máy đào gàu 1.1m3</v>
      </c>
      <c r="C2521" s="5" t="str">
        <f>IFERROR(__xludf.DUMMYFUNCTION("""COMPUTED_VALUE"""),"XN Chuối LP3")</f>
        <v>XN Chuối LP3</v>
      </c>
      <c r="D2521" s="5" t="str">
        <f>IFERROR(__xludf.DUMMYFUNCTION("""COMPUTED_VALUE"""),"CATERPILLAR")</f>
        <v>CATERPILLAR</v>
      </c>
      <c r="E2521" s="5"/>
      <c r="F2521" s="5"/>
      <c r="G2521" s="5" t="str">
        <f>IFERROR(__xludf.DUMMYFUNCTION("""COMPUTED_VALUE"""),"320D")</f>
        <v>320D</v>
      </c>
      <c r="H2521" s="5" t="str">
        <f>IFERROR(__xludf.DUMMYFUNCTION("""COMPUTED_VALUE"""),"150HP")</f>
        <v>150HP</v>
      </c>
      <c r="I2521" s="5" t="str">
        <f>IFERROR(__xludf.DUMMYFUNCTION("""COMPUTED_VALUE"""),"CAT0320DHPCM02379")</f>
        <v>CAT0320DHPCM02379</v>
      </c>
      <c r="J2521" s="5" t="str">
        <f>IFERROR(__xludf.DUMMYFUNCTION("""COMPUTED_VALUE"""),"GDC55868")</f>
        <v>GDC55868</v>
      </c>
      <c r="K2521" s="5">
        <f>IFERROR(__xludf.DUMMYFUNCTION("""COMPUTED_VALUE"""),17.0)</f>
        <v>17</v>
      </c>
      <c r="L2521" s="5" t="str">
        <f>IFERROR(__xludf.DUMMYFUNCTION("""COMPUTED_VALUE"""),"-")</f>
        <v>-</v>
      </c>
    </row>
    <row r="2522">
      <c r="A2522" s="5" t="str">
        <f>IFERROR(__xludf.DUMMYFUNCTION("""COMPUTED_VALUE"""),"TNL-MĐA-023")</f>
        <v>TNL-MĐA-023</v>
      </c>
      <c r="B2522" s="3" t="str">
        <f>IFERROR(__xludf.DUMMYFUNCTION("""COMPUTED_VALUE"""),"Máy đào gàu 0.8m3")</f>
        <v>Máy đào gàu 0.8m3</v>
      </c>
      <c r="C2522" s="5" t="str">
        <f>IFERROR(__xludf.DUMMYFUNCTION("""COMPUTED_VALUE"""),"XN Chuối LP3")</f>
        <v>XN Chuối LP3</v>
      </c>
      <c r="D2522" s="5" t="str">
        <f>IFERROR(__xludf.DUMMYFUNCTION("""COMPUTED_VALUE"""),"SANY")</f>
        <v>SANY</v>
      </c>
      <c r="E2522" s="5"/>
      <c r="F2522" s="5">
        <f>IFERROR(__xludf.DUMMYFUNCTION("""COMPUTED_VALUE"""),2015.0)</f>
        <v>2015</v>
      </c>
      <c r="G2522" s="5" t="str">
        <f>IFERROR(__xludf.DUMMYFUNCTION("""COMPUTED_VALUE"""),"SY215C")</f>
        <v>SY215C</v>
      </c>
      <c r="H2522" s="5" t="str">
        <f>IFERROR(__xludf.DUMMYFUNCTION("""COMPUTED_VALUE"""),"164HP")</f>
        <v>164HP</v>
      </c>
      <c r="I2522" s="5" t="str">
        <f>IFERROR(__xludf.DUMMYFUNCTION("""COMPUTED_VALUE"""),"129Y021318538")</f>
        <v>129Y021318538</v>
      </c>
      <c r="J2522" s="5" t="str">
        <f>IFERROR(__xludf.DUMMYFUNCTION("""COMPUTED_VALUE"""),"6234-136834")</f>
        <v>6234-136834</v>
      </c>
      <c r="K2522" s="5">
        <f>IFERROR(__xludf.DUMMYFUNCTION("""COMPUTED_VALUE"""),15.0)</f>
        <v>15</v>
      </c>
      <c r="L2522" s="5" t="str">
        <f>IFERROR(__xludf.DUMMYFUNCTION("""COMPUTED_VALUE"""),"-")</f>
        <v>-</v>
      </c>
    </row>
    <row r="2523">
      <c r="A2523" s="5" t="str">
        <f>IFERROR(__xludf.DUMMYFUNCTION("""COMPUTED_VALUE"""),"TNL-MĐA-024")</f>
        <v>TNL-MĐA-024</v>
      </c>
      <c r="B2523" s="3" t="str">
        <f>IFERROR(__xludf.DUMMYFUNCTION("""COMPUTED_VALUE"""),"Máy đào gàu 0.5m3")</f>
        <v>Máy đào gàu 0.5m3</v>
      </c>
      <c r="C2523" s="5" t="str">
        <f>IFERROR(__xludf.DUMMYFUNCTION("""COMPUTED_VALUE"""),"XN Chuối LP4")</f>
        <v>XN Chuối LP4</v>
      </c>
      <c r="D2523" s="5" t="str">
        <f>IFERROR(__xludf.DUMMYFUNCTION("""COMPUTED_VALUE"""),"CAT 312")</f>
        <v>CAT 312</v>
      </c>
      <c r="E2523" s="5"/>
      <c r="F2523" s="5">
        <f>IFERROR(__xludf.DUMMYFUNCTION("""COMPUTED_VALUE"""),2004.0)</f>
        <v>2004</v>
      </c>
      <c r="G2523" s="5"/>
      <c r="H2523" s="5" t="str">
        <f>IFERROR(__xludf.DUMMYFUNCTION("""COMPUTED_VALUE"""),"94HP")</f>
        <v>94HP</v>
      </c>
      <c r="I2523" s="5" t="str">
        <f>IFERROR(__xludf.DUMMYFUNCTION("""COMPUTED_VALUE"""),"7DK01906")</f>
        <v>7DK01906</v>
      </c>
      <c r="J2523" s="5" t="str">
        <f>IFERROR(__xludf.DUMMYFUNCTION("""COMPUTED_VALUE"""),"BLKC2324")</f>
        <v>BLKC2324</v>
      </c>
      <c r="K2523" s="5">
        <f>IFERROR(__xludf.DUMMYFUNCTION("""COMPUTED_VALUE"""),12.0)</f>
        <v>12</v>
      </c>
      <c r="L2523" s="5" t="str">
        <f>IFERROR(__xludf.DUMMYFUNCTION("""COMPUTED_VALUE"""),"-")</f>
        <v>-</v>
      </c>
    </row>
    <row r="2524">
      <c r="A2524" s="5" t="str">
        <f>IFERROR(__xludf.DUMMYFUNCTION("""COMPUTED_VALUE"""),"TNL-MĐA-025")</f>
        <v>TNL-MĐA-025</v>
      </c>
      <c r="B2524" s="3" t="str">
        <f>IFERROR(__xludf.DUMMYFUNCTION("""COMPUTED_VALUE"""),"Máy đào gàu 0.8m3")</f>
        <v>Máy đào gàu 0.8m3</v>
      </c>
      <c r="C2524" s="5" t="str">
        <f>IFERROR(__xludf.DUMMYFUNCTION("""COMPUTED_VALUE"""),"XN Chuối LP3")</f>
        <v>XN Chuối LP3</v>
      </c>
      <c r="D2524" s="5" t="str">
        <f>IFERROR(__xludf.DUMMYFUNCTION("""COMPUTED_VALUE"""),"CAT")</f>
        <v>CAT</v>
      </c>
      <c r="E2524" s="5"/>
      <c r="F2524" s="5">
        <f>IFERROR(__xludf.DUMMYFUNCTION("""COMPUTED_VALUE"""),2008.0)</f>
        <v>2008</v>
      </c>
      <c r="G2524" s="5" t="str">
        <f>IFERROR(__xludf.DUMMYFUNCTION("""COMPUTED_VALUE"""),"312D")</f>
        <v>312D</v>
      </c>
      <c r="H2524" s="5" t="str">
        <f>IFERROR(__xludf.DUMMYFUNCTION("""COMPUTED_VALUE"""),"150HP")</f>
        <v>150HP</v>
      </c>
      <c r="I2524" s="5" t="str">
        <f>IFERROR(__xludf.DUMMYFUNCTION("""COMPUTED_VALUE"""),"CAT320DCBWZ01037")</f>
        <v>CAT320DCBWZ01037</v>
      </c>
      <c r="J2524" s="5" t="str">
        <f>IFERROR(__xludf.DUMMYFUNCTION("""COMPUTED_VALUE"""),"GDC03022")</f>
        <v>GDC03022</v>
      </c>
      <c r="K2524" s="5">
        <f>IFERROR(__xludf.DUMMYFUNCTION("""COMPUTED_VALUE"""),14.0)</f>
        <v>14</v>
      </c>
      <c r="L2524" s="5" t="str">
        <f>IFERROR(__xludf.DUMMYFUNCTION("""COMPUTED_VALUE"""),"-")</f>
        <v>-</v>
      </c>
    </row>
    <row r="2525">
      <c r="A2525" s="5" t="str">
        <f>IFERROR(__xludf.DUMMYFUNCTION("""COMPUTED_VALUE"""),"TNL-MĐA-026")</f>
        <v>TNL-MĐA-026</v>
      </c>
      <c r="B2525" s="3" t="str">
        <f>IFERROR(__xludf.DUMMYFUNCTION("""COMPUTED_VALUE"""),"Máy đào gàu 0.8m3")</f>
        <v>Máy đào gàu 0.8m3</v>
      </c>
      <c r="C2525" s="5" t="str">
        <f>IFERROR(__xludf.DUMMYFUNCTION("""COMPUTED_VALUE"""),"XN Chuối LP3")</f>
        <v>XN Chuối LP3</v>
      </c>
      <c r="D2525" s="5" t="str">
        <f>IFERROR(__xludf.DUMMYFUNCTION("""COMPUTED_VALUE"""),"CAT")</f>
        <v>CAT</v>
      </c>
      <c r="E2525" s="5"/>
      <c r="F2525" s="5">
        <f>IFERROR(__xludf.DUMMYFUNCTION("""COMPUTED_VALUE"""),2016.0)</f>
        <v>2016</v>
      </c>
      <c r="G2525" s="5" t="str">
        <f>IFERROR(__xludf.DUMMYFUNCTION("""COMPUTED_VALUE"""),"320D2GC")</f>
        <v>320D2GC</v>
      </c>
      <c r="H2525" s="5" t="str">
        <f>IFERROR(__xludf.DUMMYFUNCTION("""COMPUTED_VALUE"""),"150HP")</f>
        <v>150HP</v>
      </c>
      <c r="I2525" s="5" t="str">
        <f>IFERROR(__xludf.DUMMYFUNCTION("""COMPUTED_VALUE"""),"CAT0320DPZBH10122")</f>
        <v>CAT0320DPZBH10122</v>
      </c>
      <c r="J2525" s="5" t="str">
        <f>IFERROR(__xludf.DUMMYFUNCTION("""COMPUTED_VALUE"""),"2W201978")</f>
        <v>2W201978</v>
      </c>
      <c r="K2525" s="5">
        <f>IFERROR(__xludf.DUMMYFUNCTION("""COMPUTED_VALUE"""),14.0)</f>
        <v>14</v>
      </c>
      <c r="L2525" s="5" t="str">
        <f>IFERROR(__xludf.DUMMYFUNCTION("""COMPUTED_VALUE"""),"-")</f>
        <v>-</v>
      </c>
    </row>
    <row r="2526">
      <c r="A2526" s="5" t="str">
        <f>IFERROR(__xludf.DUMMYFUNCTION("""COMPUTED_VALUE"""),"TNL-MĐA-027")</f>
        <v>TNL-MĐA-027</v>
      </c>
      <c r="B2526" s="3" t="str">
        <f>IFERROR(__xludf.DUMMYFUNCTION("""COMPUTED_VALUE"""),"Máy đào gàu 0.9m3")</f>
        <v>Máy đào gàu 0.9m3</v>
      </c>
      <c r="C2526" s="5" t="str">
        <f>IFERROR(__xludf.DUMMYFUNCTION("""COMPUTED_VALUE"""),"CGTC LP")</f>
        <v>CGTC LP</v>
      </c>
      <c r="D2526" s="5" t="str">
        <f>IFERROR(__xludf.DUMMYFUNCTION("""COMPUTED_VALUE"""),"HYUNDAI")</f>
        <v>HYUNDAI</v>
      </c>
      <c r="E2526" s="5" t="str">
        <f>IFERROR(__xludf.DUMMYFUNCTION("""COMPUTED_VALUE"""),"HÀN QUỐC")</f>
        <v>HÀN QUỐC</v>
      </c>
      <c r="F2526" s="5">
        <f>IFERROR(__xludf.DUMMYFUNCTION("""COMPUTED_VALUE"""),2022.0)</f>
        <v>2022</v>
      </c>
      <c r="G2526" s="5" t="str">
        <f>IFERROR(__xludf.DUMMYFUNCTION("""COMPUTED_VALUE"""),"HX2253")</f>
        <v>HX2253</v>
      </c>
      <c r="H2526" s="5" t="str">
        <f>IFERROR(__xludf.DUMMYFUNCTION("""COMPUTED_VALUE"""),"147HP")</f>
        <v>147HP</v>
      </c>
      <c r="I2526" s="5" t="str">
        <f>IFERROR(__xludf.DUMMYFUNCTION("""COMPUTED_VALUE"""),"HHKHK605LE0001607")</f>
        <v>HHKHK605LE0001607</v>
      </c>
      <c r="J2526" s="5" t="str">
        <f>IFERROR(__xludf.DUMMYFUNCTION("""COMPUTED_VALUE"""),"22517023")</f>
        <v>22517023</v>
      </c>
      <c r="K2526" s="5">
        <f>IFERROR(__xludf.DUMMYFUNCTION("""COMPUTED_VALUE"""),15.5)</f>
        <v>15.5</v>
      </c>
      <c r="L2526" s="5" t="str">
        <f>IFERROR(__xludf.DUMMYFUNCTION("""COMPUTED_VALUE"""),"-")</f>
        <v>-</v>
      </c>
    </row>
    <row r="2527">
      <c r="A2527" s="5" t="str">
        <f>IFERROR(__xludf.DUMMYFUNCTION("""COMPUTED_VALUE"""),"TNL-MĐA-028")</f>
        <v>TNL-MĐA-028</v>
      </c>
      <c r="B2527" s="3" t="str">
        <f>IFERROR(__xludf.DUMMYFUNCTION("""COMPUTED_VALUE"""),"Máy đào gàu 0.5m3")</f>
        <v>Máy đào gàu 0.5m3</v>
      </c>
      <c r="C2527" s="5" t="str">
        <f>IFERROR(__xludf.DUMMYFUNCTION("""COMPUTED_VALUE"""),"CGTC LP")</f>
        <v>CGTC LP</v>
      </c>
      <c r="D2527" s="5" t="str">
        <f>IFERROR(__xludf.DUMMYFUNCTION("""COMPUTED_VALUE"""),"HYUNDAI")</f>
        <v>HYUNDAI</v>
      </c>
      <c r="E2527" s="5"/>
      <c r="F2527" s="5">
        <f>IFERROR(__xludf.DUMMYFUNCTION("""COMPUTED_VALUE"""),2012.0)</f>
        <v>2012</v>
      </c>
      <c r="G2527" s="5" t="str">
        <f>IFERROR(__xludf.DUMMYFUNCTION("""COMPUTED_VALUE"""),"ROBEX140LC-9S")</f>
        <v>ROBEX140LC-9S</v>
      </c>
      <c r="H2527" s="5" t="str">
        <f>IFERROR(__xludf.DUMMYFUNCTION("""COMPUTED_VALUE"""),"113HP")</f>
        <v>113HP</v>
      </c>
      <c r="I2527" s="5" t="str">
        <f>IFERROR(__xludf.DUMMYFUNCTION("""COMPUTED_VALUE"""),"HHKHZ402HC0000221")</f>
        <v>HHKHZ402HC0000221</v>
      </c>
      <c r="J2527" s="5" t="str">
        <f>IFERROR(__xludf.DUMMYFUNCTION("""COMPUTED_VALUE"""),"26485489")</f>
        <v>26485489</v>
      </c>
      <c r="K2527" s="5">
        <f>IFERROR(__xludf.DUMMYFUNCTION("""COMPUTED_VALUE"""),10.0)</f>
        <v>10</v>
      </c>
      <c r="L2527" s="5" t="str">
        <f>IFERROR(__xludf.DUMMYFUNCTION("""COMPUTED_VALUE"""),"-")</f>
        <v>-</v>
      </c>
    </row>
    <row r="2528">
      <c r="A2528" s="5" t="str">
        <f>IFERROR(__xludf.DUMMYFUNCTION("""COMPUTED_VALUE"""),"TNL-MĐA-029")</f>
        <v>TNL-MĐA-029</v>
      </c>
      <c r="B2528" s="3" t="str">
        <f>IFERROR(__xludf.DUMMYFUNCTION("""COMPUTED_VALUE"""),"Máy đào gàu 0.5m3")</f>
        <v>Máy đào gàu 0.5m3</v>
      </c>
      <c r="C2528" s="5" t="str">
        <f>IFERROR(__xludf.DUMMYFUNCTION("""COMPUTED_VALUE"""),"XN Chuối LP3")</f>
        <v>XN Chuối LP3</v>
      </c>
      <c r="D2528" s="5" t="str">
        <f>IFERROR(__xludf.DUMMYFUNCTION("""COMPUTED_VALUE"""),"CAT")</f>
        <v>CAT</v>
      </c>
      <c r="E2528" s="5"/>
      <c r="F2528" s="5">
        <f>IFERROR(__xludf.DUMMYFUNCTION("""COMPUTED_VALUE"""),1998.0)</f>
        <v>1998</v>
      </c>
      <c r="G2528" s="5" t="str">
        <f>IFERROR(__xludf.DUMMYFUNCTION("""COMPUTED_VALUE"""),"312B")</f>
        <v>312B</v>
      </c>
      <c r="H2528" s="5" t="str">
        <f>IFERROR(__xludf.DUMMYFUNCTION("""COMPUTED_VALUE"""),"120HP")</f>
        <v>120HP</v>
      </c>
      <c r="I2528" s="5" t="str">
        <f>IFERROR(__xludf.DUMMYFUNCTION("""COMPUTED_VALUE"""),"9HR02924")</f>
        <v>9HR02924</v>
      </c>
      <c r="J2528" s="5" t="str">
        <f>IFERROR(__xludf.DUMMYFUNCTION("""COMPUTED_VALUE"""),"6LK18226")</f>
        <v>6LK18226</v>
      </c>
      <c r="K2528" s="5">
        <f>IFERROR(__xludf.DUMMYFUNCTION("""COMPUTED_VALUE"""),11.8)</f>
        <v>11.8</v>
      </c>
      <c r="L2528" s="5" t="str">
        <f>IFERROR(__xludf.DUMMYFUNCTION("""COMPUTED_VALUE"""),"-")</f>
        <v>-</v>
      </c>
    </row>
    <row r="2529">
      <c r="A2529" s="5" t="str">
        <f>IFERROR(__xludf.DUMMYFUNCTION("""COMPUTED_VALUE"""),"TNL-MĐA-030")</f>
        <v>TNL-MĐA-030</v>
      </c>
      <c r="B2529" s="3" t="str">
        <f>IFERROR(__xludf.DUMMYFUNCTION("""COMPUTED_VALUE"""),"Máy đào gàu 0.9m3")</f>
        <v>Máy đào gàu 0.9m3</v>
      </c>
      <c r="C2529" s="5" t="str">
        <f>IFERROR(__xludf.DUMMYFUNCTION("""COMPUTED_VALUE"""),"CGTC LP")</f>
        <v>CGTC LP</v>
      </c>
      <c r="D2529" s="5" t="str">
        <f>IFERROR(__xludf.DUMMYFUNCTION("""COMPUTED_VALUE"""),"CAT")</f>
        <v>CAT</v>
      </c>
      <c r="E2529" s="5" t="str">
        <f>IFERROR(__xludf.DUMMYFUNCTION("""COMPUTED_VALUE"""),"NHẬT BẢN")</f>
        <v>NHẬT BẢN</v>
      </c>
      <c r="F2529" s="5"/>
      <c r="G2529" s="5" t="str">
        <f>IFERROR(__xludf.DUMMYFUNCTION("""COMPUTED_VALUE"""),"320D2GC")</f>
        <v>320D2GC</v>
      </c>
      <c r="H2529" s="5" t="str">
        <f>IFERROR(__xludf.DUMMYFUNCTION("""COMPUTED_VALUE"""),"143HP")</f>
        <v>143HP</v>
      </c>
      <c r="I2529" s="5" t="str">
        <f>IFERROR(__xludf.DUMMYFUNCTION("""COMPUTED_VALUE"""),"CAT0320DTZBH11284")</f>
        <v>CAT0320DTZBH11284</v>
      </c>
      <c r="J2529" s="5" t="str">
        <f>IFERROR(__xludf.DUMMYFUNCTION("""COMPUTED_VALUE"""),"2W203706")</f>
        <v>2W203706</v>
      </c>
      <c r="K2529" s="5">
        <f>IFERROR(__xludf.DUMMYFUNCTION("""COMPUTED_VALUE"""),16.2)</f>
        <v>16.2</v>
      </c>
      <c r="L2529" s="5" t="str">
        <f>IFERROR(__xludf.DUMMYFUNCTION("""COMPUTED_VALUE"""),"-")</f>
        <v>-</v>
      </c>
    </row>
    <row r="2530">
      <c r="A2530" s="5" t="str">
        <f>IFERROR(__xludf.DUMMYFUNCTION("""COMPUTED_VALUE"""),"TNL-MĐA-031")</f>
        <v>TNL-MĐA-031</v>
      </c>
      <c r="B2530" s="3" t="str">
        <f>IFERROR(__xludf.DUMMYFUNCTION("""COMPUTED_VALUE"""),"Máy đào gàu 0.5m3")</f>
        <v>Máy đào gàu 0.5m3</v>
      </c>
      <c r="C2530" s="5" t="str">
        <f>IFERROR(__xludf.DUMMYFUNCTION("""COMPUTED_VALUE"""),"CGTC LP")</f>
        <v>CGTC LP</v>
      </c>
      <c r="D2530" s="5" t="str">
        <f>IFERROR(__xludf.DUMMYFUNCTION("""COMPUTED_VALUE"""),"CAT")</f>
        <v>CAT</v>
      </c>
      <c r="E2530" s="5" t="str">
        <f>IFERROR(__xludf.DUMMYFUNCTION("""COMPUTED_VALUE"""),"NHẬT BẢN")</f>
        <v>NHẬT BẢN</v>
      </c>
      <c r="F2530" s="5"/>
      <c r="G2530" s="5" t="str">
        <f>IFERROR(__xludf.DUMMYFUNCTION("""COMPUTED_VALUE"""),"312D")</f>
        <v>312D</v>
      </c>
      <c r="H2530" s="5" t="str">
        <f>IFERROR(__xludf.DUMMYFUNCTION("""COMPUTED_VALUE"""),"94HP")</f>
        <v>94HP</v>
      </c>
      <c r="I2530" s="5" t="str">
        <f>IFERROR(__xludf.DUMMYFUNCTION("""COMPUTED_VALUE"""),"CAT0312DJJJY00276")</f>
        <v>CAT0312DJJJY00276</v>
      </c>
      <c r="J2530" s="5" t="str">
        <f>IFERROR(__xludf.DUMMYFUNCTION("""COMPUTED_VALUE"""),"CST05022")</f>
        <v>CST05022</v>
      </c>
      <c r="K2530" s="5">
        <f>IFERROR(__xludf.DUMMYFUNCTION("""COMPUTED_VALUE"""),10.0)</f>
        <v>10</v>
      </c>
      <c r="L2530" s="5" t="str">
        <f>IFERROR(__xludf.DUMMYFUNCTION("""COMPUTED_VALUE"""),"-")</f>
        <v>-</v>
      </c>
    </row>
    <row r="2531">
      <c r="A2531" s="5" t="str">
        <f>IFERROR(__xludf.DUMMYFUNCTION("""COMPUTED_VALUE"""),"TNL-MĐA-032")</f>
        <v>TNL-MĐA-032</v>
      </c>
      <c r="B2531" s="3" t="str">
        <f>IFERROR(__xludf.DUMMYFUNCTION("""COMPUTED_VALUE"""),"Máy đào gàu 0.5m3")</f>
        <v>Máy đào gàu 0.5m3</v>
      </c>
      <c r="C2531" s="5" t="str">
        <f>IFERROR(__xludf.DUMMYFUNCTION("""COMPUTED_VALUE"""),"CGTC LP")</f>
        <v>CGTC LP</v>
      </c>
      <c r="D2531" s="5" t="str">
        <f>IFERROR(__xludf.DUMMYFUNCTION("""COMPUTED_VALUE"""),"CAT")</f>
        <v>CAT</v>
      </c>
      <c r="E2531" s="5" t="str">
        <f>IFERROR(__xludf.DUMMYFUNCTION("""COMPUTED_VALUE"""),"NHẬT BẢN")</f>
        <v>NHẬT BẢN</v>
      </c>
      <c r="F2531" s="5">
        <f>IFERROR(__xludf.DUMMYFUNCTION("""COMPUTED_VALUE"""),2007.0)</f>
        <v>2007</v>
      </c>
      <c r="G2531" s="5" t="str">
        <f>IFERROR(__xludf.DUMMYFUNCTION("""COMPUTED_VALUE"""),"312D2GC")</f>
        <v>312D2GC</v>
      </c>
      <c r="H2531" s="5" t="str">
        <f>IFERROR(__xludf.DUMMYFUNCTION("""COMPUTED_VALUE"""),"94HP")</f>
        <v>94HP</v>
      </c>
      <c r="I2531" s="5" t="str">
        <f>IFERROR(__xludf.DUMMYFUNCTION("""COMPUTED_VALUE"""),"CAT0312CVCBA04179")</f>
        <v>CAT0312CVCBA04179</v>
      </c>
      <c r="J2531" s="5" t="str">
        <f>IFERROR(__xludf.DUMMYFUNCTION("""COMPUTED_VALUE"""),"6L15597")</f>
        <v>6L15597</v>
      </c>
      <c r="K2531" s="5">
        <f>IFERROR(__xludf.DUMMYFUNCTION("""COMPUTED_VALUE"""),11.0)</f>
        <v>11</v>
      </c>
      <c r="L2531" s="5" t="str">
        <f>IFERROR(__xludf.DUMMYFUNCTION("""COMPUTED_VALUE"""),"-")</f>
        <v>-</v>
      </c>
    </row>
    <row r="2532">
      <c r="A2532" s="5" t="str">
        <f>IFERROR(__xludf.DUMMYFUNCTION("""COMPUTED_VALUE"""),"TNL-MĐA-033")</f>
        <v>TNL-MĐA-033</v>
      </c>
      <c r="B2532" s="3" t="str">
        <f>IFERROR(__xludf.DUMMYFUNCTION("""COMPUTED_VALUE"""),"Máy đào gàu 0.5m3")</f>
        <v>Máy đào gàu 0.5m3</v>
      </c>
      <c r="C2532" s="5" t="str">
        <f>IFERROR(__xludf.DUMMYFUNCTION("""COMPUTED_VALUE"""),"CGTC LP")</f>
        <v>CGTC LP</v>
      </c>
      <c r="D2532" s="5" t="str">
        <f>IFERROR(__xludf.DUMMYFUNCTION("""COMPUTED_VALUE"""),"LIUGONG")</f>
        <v>LIUGONG</v>
      </c>
      <c r="E2532" s="5" t="str">
        <f>IFERROR(__xludf.DUMMYFUNCTION("""COMPUTED_VALUE"""),"TRUNG QUỐC")</f>
        <v>TRUNG QUỐC</v>
      </c>
      <c r="F2532" s="5">
        <f>IFERROR(__xludf.DUMMYFUNCTION("""COMPUTED_VALUE"""),2011.0)</f>
        <v>2011</v>
      </c>
      <c r="G2532" s="5" t="str">
        <f>IFERROR(__xludf.DUMMYFUNCTION("""COMPUTED_VALUE"""),"CLG915D")</f>
        <v>CLG915D</v>
      </c>
      <c r="H2532" s="5" t="str">
        <f>IFERROR(__xludf.DUMMYFUNCTION("""COMPUTED_VALUE"""),"115HP")</f>
        <v>115HP</v>
      </c>
      <c r="I2532" s="5" t="str">
        <f>IFERROR(__xludf.DUMMYFUNCTION("""COMPUTED_VALUE"""),"915F115R0054")</f>
        <v>915F115R0054</v>
      </c>
      <c r="J2532" s="5" t="str">
        <f>IFERROR(__xludf.DUMMYFUNCTION("""COMPUTED_VALUE"""),"26474718")</f>
        <v>26474718</v>
      </c>
      <c r="K2532" s="5">
        <f>IFERROR(__xludf.DUMMYFUNCTION("""COMPUTED_VALUE"""),12.3)</f>
        <v>12.3</v>
      </c>
      <c r="L2532" s="5" t="str">
        <f>IFERROR(__xludf.DUMMYFUNCTION("""COMPUTED_VALUE"""),"-")</f>
        <v>-</v>
      </c>
    </row>
    <row r="2533">
      <c r="A2533" s="5" t="str">
        <f>IFERROR(__xludf.DUMMYFUNCTION("""COMPUTED_VALUE"""),"TNL-MĐA-034")</f>
        <v>TNL-MĐA-034</v>
      </c>
      <c r="B2533" s="3" t="str">
        <f>IFERROR(__xludf.DUMMYFUNCTION("""COMPUTED_VALUE"""),"Máy đào gàu 0.7m3")</f>
        <v>Máy đào gàu 0.7m3</v>
      </c>
      <c r="C2533" s="5" t="str">
        <f>IFERROR(__xludf.DUMMYFUNCTION("""COMPUTED_VALUE"""),"CGTC LP")</f>
        <v>CGTC LP</v>
      </c>
      <c r="D2533" s="5" t="str">
        <f>IFERROR(__xludf.DUMMYFUNCTION("""COMPUTED_VALUE"""),"HITACHI")</f>
        <v>HITACHI</v>
      </c>
      <c r="E2533" s="5" t="str">
        <f>IFERROR(__xludf.DUMMYFUNCTION("""COMPUTED_VALUE"""),"NHẬT BẢN")</f>
        <v>NHẬT BẢN</v>
      </c>
      <c r="F2533" s="5">
        <f>IFERROR(__xludf.DUMMYFUNCTION("""COMPUTED_VALUE"""),2015.0)</f>
        <v>2015</v>
      </c>
      <c r="G2533" s="5" t="str">
        <f>IFERROR(__xludf.DUMMYFUNCTION("""COMPUTED_VALUE"""),"ZX200LC-5G")</f>
        <v>ZX200LC-5G</v>
      </c>
      <c r="H2533" s="5" t="str">
        <f>IFERROR(__xludf.DUMMYFUNCTION("""COMPUTED_VALUE"""),"168HP")</f>
        <v>168HP</v>
      </c>
      <c r="I2533" s="5" t="str">
        <f>IFERROR(__xludf.DUMMYFUNCTION("""COMPUTED_VALUE"""),"HCMDCD91E00304200")</f>
        <v>HCMDCD91E00304200</v>
      </c>
      <c r="J2533" s="5" t="str">
        <f>IFERROR(__xludf.DUMMYFUNCTION("""COMPUTED_VALUE"""),"6BG1-357863")</f>
        <v>6BG1-357863</v>
      </c>
      <c r="K2533" s="5">
        <f>IFERROR(__xludf.DUMMYFUNCTION("""COMPUTED_VALUE"""),13.0)</f>
        <v>13</v>
      </c>
      <c r="L2533" s="5" t="str">
        <f>IFERROR(__xludf.DUMMYFUNCTION("""COMPUTED_VALUE"""),"Đang thuê")</f>
        <v>Đang thuê</v>
      </c>
    </row>
    <row r="2534">
      <c r="A2534" s="5" t="str">
        <f>IFERROR(__xludf.DUMMYFUNCTION("""COMPUTED_VALUE"""),"TNL-MĐA-035")</f>
        <v>TNL-MĐA-035</v>
      </c>
      <c r="B2534" s="3" t="str">
        <f>IFERROR(__xludf.DUMMYFUNCTION("""COMPUTED_VALUE"""),"Máy đào gàu 0.5m3")</f>
        <v>Máy đào gàu 0.5m3</v>
      </c>
      <c r="C2534" s="5" t="str">
        <f>IFERROR(__xludf.DUMMYFUNCTION("""COMPUTED_VALUE"""),"CGTC LP")</f>
        <v>CGTC LP</v>
      </c>
      <c r="D2534" s="5" t="str">
        <f>IFERROR(__xludf.DUMMYFUNCTION("""COMPUTED_VALUE"""),"CAT")</f>
        <v>CAT</v>
      </c>
      <c r="E2534" s="5" t="str">
        <f>IFERROR(__xludf.DUMMYFUNCTION("""COMPUTED_VALUE"""),"NHẬT BẢN")</f>
        <v>NHẬT BẢN</v>
      </c>
      <c r="F2534" s="5">
        <f>IFERROR(__xludf.DUMMYFUNCTION("""COMPUTED_VALUE"""),2005.0)</f>
        <v>2005</v>
      </c>
      <c r="G2534" s="5" t="str">
        <f>IFERROR(__xludf.DUMMYFUNCTION("""COMPUTED_VALUE"""),"312C-3")</f>
        <v>312C-3</v>
      </c>
      <c r="H2534" s="5" t="str">
        <f>IFERROR(__xludf.DUMMYFUNCTION("""COMPUTED_VALUE"""),"90HP")</f>
        <v>90HP</v>
      </c>
      <c r="I2534" s="5" t="str">
        <f>IFERROR(__xludf.DUMMYFUNCTION("""COMPUTED_VALUE"""),"CAT0312CCCAE02876")</f>
        <v>CAT0312CCCAE02876</v>
      </c>
      <c r="J2534" s="5" t="str">
        <f>IFERROR(__xludf.DUMMYFUNCTION("""COMPUTED_VALUE"""),"6LK37380")</f>
        <v>6LK37380</v>
      </c>
      <c r="K2534" s="5">
        <f>IFERROR(__xludf.DUMMYFUNCTION("""COMPUTED_VALUE"""),11.14)</f>
        <v>11.14</v>
      </c>
      <c r="L2534" s="5" t="str">
        <f>IFERROR(__xludf.DUMMYFUNCTION("""COMPUTED_VALUE"""),"-")</f>
        <v>-</v>
      </c>
    </row>
    <row r="2535">
      <c r="A2535" s="5" t="str">
        <f>IFERROR(__xludf.DUMMYFUNCTION("""COMPUTED_VALUE"""),"TNL-MĐA-036")</f>
        <v>TNL-MĐA-036</v>
      </c>
      <c r="B2535" s="3" t="str">
        <f>IFERROR(__xludf.DUMMYFUNCTION("""COMPUTED_VALUE"""),"Máy đào gàu 0.5m3")</f>
        <v>Máy đào gàu 0.5m3</v>
      </c>
      <c r="C2535" s="5" t="str">
        <f>IFERROR(__xludf.DUMMYFUNCTION("""COMPUTED_VALUE"""),"CGTC LP")</f>
        <v>CGTC LP</v>
      </c>
      <c r="D2535" s="5" t="str">
        <f>IFERROR(__xludf.DUMMYFUNCTION("""COMPUTED_VALUE"""),"CAT")</f>
        <v>CAT</v>
      </c>
      <c r="E2535" s="5" t="str">
        <f>IFERROR(__xludf.DUMMYFUNCTION("""COMPUTED_VALUE"""),"NHẬT BẢN")</f>
        <v>NHẬT BẢN</v>
      </c>
      <c r="F2535" s="5">
        <f>IFERROR(__xludf.DUMMYFUNCTION("""COMPUTED_VALUE"""),1992.0)</f>
        <v>1992</v>
      </c>
      <c r="G2535" s="5" t="str">
        <f>IFERROR(__xludf.DUMMYFUNCTION("""COMPUTED_VALUE"""),"CATE120B")</f>
        <v>CATE120B</v>
      </c>
      <c r="H2535" s="5" t="str">
        <f>IFERROR(__xludf.DUMMYFUNCTION("""COMPUTED_VALUE"""),"84HP")</f>
        <v>84HP</v>
      </c>
      <c r="I2535" s="5" t="str">
        <f>IFERROR(__xludf.DUMMYFUNCTION("""COMPUTED_VALUE"""),"7NF04264")</f>
        <v>7NF04264</v>
      </c>
      <c r="J2535" s="5" t="str">
        <f>IFERROR(__xludf.DUMMYFUNCTION("""COMPUTED_VALUE"""),"4K005721")</f>
        <v>4K005721</v>
      </c>
      <c r="K2535" s="5">
        <f>IFERROR(__xludf.DUMMYFUNCTION("""COMPUTED_VALUE"""),8.0)</f>
        <v>8</v>
      </c>
      <c r="L2535" s="5" t="str">
        <f>IFERROR(__xludf.DUMMYFUNCTION("""COMPUTED_VALUE"""),"Đang thuê")</f>
        <v>Đang thuê</v>
      </c>
    </row>
    <row r="2536">
      <c r="A2536" s="5" t="str">
        <f>IFERROR(__xludf.DUMMYFUNCTION("""COMPUTED_VALUE"""),"TNL-MĐA-037")</f>
        <v>TNL-MĐA-037</v>
      </c>
      <c r="B2536" s="3" t="str">
        <f>IFERROR(__xludf.DUMMYFUNCTION("""COMPUTED_VALUE"""),"Máy đào gàu 0.5m3")</f>
        <v>Máy đào gàu 0.5m3</v>
      </c>
      <c r="C2536" s="5" t="str">
        <f>IFERROR(__xludf.DUMMYFUNCTION("""COMPUTED_VALUE"""),"CGTC LP")</f>
        <v>CGTC LP</v>
      </c>
      <c r="D2536" s="5" t="str">
        <f>IFERROR(__xludf.DUMMYFUNCTION("""COMPUTED_VALUE"""),"CAT")</f>
        <v>CAT</v>
      </c>
      <c r="E2536" s="5" t="str">
        <f>IFERROR(__xludf.DUMMYFUNCTION("""COMPUTED_VALUE"""),"NHẬT BẢN")</f>
        <v>NHẬT BẢN</v>
      </c>
      <c r="F2536" s="5">
        <f>IFERROR(__xludf.DUMMYFUNCTION("""COMPUTED_VALUE"""),1991.0)</f>
        <v>1991</v>
      </c>
      <c r="G2536" s="5" t="str">
        <f>IFERROR(__xludf.DUMMYFUNCTION("""COMPUTED_VALUE"""),"E110B")</f>
        <v>E110B</v>
      </c>
      <c r="H2536" s="5" t="str">
        <f>IFERROR(__xludf.DUMMYFUNCTION("""COMPUTED_VALUE"""),"83HP")</f>
        <v>83HP</v>
      </c>
      <c r="I2536" s="5" t="str">
        <f>IFERROR(__xludf.DUMMYFUNCTION("""COMPUTED_VALUE"""),"K9HF02859")</f>
        <v>K9HF02859</v>
      </c>
      <c r="J2536" s="5" t="str">
        <f>IFERROR(__xludf.DUMMYFUNCTION("""COMPUTED_VALUE"""),"211213")</f>
        <v>211213</v>
      </c>
      <c r="K2536" s="5">
        <f>IFERROR(__xludf.DUMMYFUNCTION("""COMPUTED_VALUE"""),12.0)</f>
        <v>12</v>
      </c>
      <c r="L2536" s="5" t="str">
        <f>IFERROR(__xludf.DUMMYFUNCTION("""COMPUTED_VALUE"""),"-")</f>
        <v>-</v>
      </c>
    </row>
    <row r="2537">
      <c r="A2537" s="5" t="str">
        <f>IFERROR(__xludf.DUMMYFUNCTION("""COMPUTED_VALUE"""),"TNL-MĐA-038")</f>
        <v>TNL-MĐA-038</v>
      </c>
      <c r="B2537" s="3" t="str">
        <f>IFERROR(__xludf.DUMMYFUNCTION("""COMPUTED_VALUE"""),"Máy đào gàu 0.5m3")</f>
        <v>Máy đào gàu 0.5m3</v>
      </c>
      <c r="C2537" s="5" t="str">
        <f>IFERROR(__xludf.DUMMYFUNCTION("""COMPUTED_VALUE"""),"CGTC LP")</f>
        <v>CGTC LP</v>
      </c>
      <c r="D2537" s="5" t="str">
        <f>IFERROR(__xludf.DUMMYFUNCTION("""COMPUTED_VALUE"""),"CAT")</f>
        <v>CAT</v>
      </c>
      <c r="E2537" s="5" t="str">
        <f>IFERROR(__xludf.DUMMYFUNCTION("""COMPUTED_VALUE"""),"NHẬT BẢN")</f>
        <v>NHẬT BẢN</v>
      </c>
      <c r="F2537" s="5">
        <f>IFERROR(__xludf.DUMMYFUNCTION("""COMPUTED_VALUE"""),1994.0)</f>
        <v>1994</v>
      </c>
      <c r="G2537" s="5" t="str">
        <f>IFERROR(__xludf.DUMMYFUNCTION("""COMPUTED_VALUE"""),"E110B")</f>
        <v>E110B</v>
      </c>
      <c r="H2537" s="5" t="str">
        <f>IFERROR(__xludf.DUMMYFUNCTION("""COMPUTED_VALUE"""),"83HP")</f>
        <v>83HP</v>
      </c>
      <c r="I2537" s="5" t="str">
        <f>IFERROR(__xludf.DUMMYFUNCTION("""COMPUTED_VALUE"""),"9HF02265")</f>
        <v>9HF02265</v>
      </c>
      <c r="J2537" s="5" t="str">
        <f>IFERROR(__xludf.DUMMYFUNCTION("""COMPUTED_VALUE"""),"S4KT-008825")</f>
        <v>S4KT-008825</v>
      </c>
      <c r="K2537" s="5">
        <f>IFERROR(__xludf.DUMMYFUNCTION("""COMPUTED_VALUE"""),10.0)</f>
        <v>10</v>
      </c>
      <c r="L2537" s="5" t="str">
        <f>IFERROR(__xludf.DUMMYFUNCTION("""COMPUTED_VALUE"""),"-")</f>
        <v>-</v>
      </c>
    </row>
    <row r="2538">
      <c r="A2538" s="5" t="str">
        <f>IFERROR(__xludf.DUMMYFUNCTION("""COMPUTED_VALUE"""),"TNL-MĐA-039")</f>
        <v>TNL-MĐA-039</v>
      </c>
      <c r="B2538" s="3" t="str">
        <f>IFERROR(__xludf.DUMMYFUNCTION("""COMPUTED_VALUE"""),"Máy đào gàu 0.5m3")</f>
        <v>Máy đào gàu 0.5m3</v>
      </c>
      <c r="C2538" s="5" t="str">
        <f>IFERROR(__xludf.DUMMYFUNCTION("""COMPUTED_VALUE"""),"CGTC LP")</f>
        <v>CGTC LP</v>
      </c>
      <c r="D2538" s="5" t="str">
        <f>IFERROR(__xludf.DUMMYFUNCTION("""COMPUTED_VALUE"""),"CAT")</f>
        <v>CAT</v>
      </c>
      <c r="E2538" s="5" t="str">
        <f>IFERROR(__xludf.DUMMYFUNCTION("""COMPUTED_VALUE"""),"NHẬT BẢN")</f>
        <v>NHẬT BẢN</v>
      </c>
      <c r="F2538" s="5">
        <f>IFERROR(__xludf.DUMMYFUNCTION("""COMPUTED_VALUE"""),2006.0)</f>
        <v>2006</v>
      </c>
      <c r="G2538" s="5" t="str">
        <f>IFERROR(__xludf.DUMMYFUNCTION("""COMPUTED_VALUE"""),"312C-3")</f>
        <v>312C-3</v>
      </c>
      <c r="H2538" s="5" t="str">
        <f>IFERROR(__xludf.DUMMYFUNCTION("""COMPUTED_VALUE"""),"88HP")</f>
        <v>88HP</v>
      </c>
      <c r="I2538" s="5" t="str">
        <f>IFERROR(__xludf.DUMMYFUNCTION("""COMPUTED_VALUE"""),"CAT0312CCCAE02974")</f>
        <v>CAT0312CCCAE02974</v>
      </c>
      <c r="J2538" s="5" t="str">
        <f>IFERROR(__xludf.DUMMYFUNCTION("""COMPUTED_VALUE"""),"6LK38245")</f>
        <v>6LK38245</v>
      </c>
      <c r="K2538" s="5">
        <f>IFERROR(__xludf.DUMMYFUNCTION("""COMPUTED_VALUE"""),10.9)</f>
        <v>10.9</v>
      </c>
      <c r="L2538" s="5" t="str">
        <f>IFERROR(__xludf.DUMMYFUNCTION("""COMPUTED_VALUE"""),"-")</f>
        <v>-</v>
      </c>
    </row>
    <row r="2539">
      <c r="A2539" s="5" t="str">
        <f>IFERROR(__xludf.DUMMYFUNCTION("""COMPUTED_VALUE"""),"TNL-MĐA-040")</f>
        <v>TNL-MĐA-040</v>
      </c>
      <c r="B2539" s="3" t="str">
        <f>IFERROR(__xludf.DUMMYFUNCTION("""COMPUTED_VALUE"""),"Máy đào gàu 0.9m3")</f>
        <v>Máy đào gàu 0.9m3</v>
      </c>
      <c r="C2539" s="5" t="str">
        <f>IFERROR(__xludf.DUMMYFUNCTION("""COMPUTED_VALUE"""),"CGTC LP")</f>
        <v>CGTC LP</v>
      </c>
      <c r="D2539" s="5" t="str">
        <f>IFERROR(__xludf.DUMMYFUNCTION("""COMPUTED_VALUE"""),"HUYNDAI")</f>
        <v>HUYNDAI</v>
      </c>
      <c r="E2539" s="5" t="str">
        <f>IFERROR(__xludf.DUMMYFUNCTION("""COMPUTED_VALUE"""),"HÀN QUỐC")</f>
        <v>HÀN QUỐC</v>
      </c>
      <c r="F2539" s="5">
        <f>IFERROR(__xludf.DUMMYFUNCTION("""COMPUTED_VALUE"""),2022.0)</f>
        <v>2022</v>
      </c>
      <c r="G2539" s="5" t="str">
        <f>IFERROR(__xludf.DUMMYFUNCTION("""COMPUTED_VALUE"""),"HX2255")</f>
        <v>HX2255</v>
      </c>
      <c r="H2539" s="5" t="str">
        <f>IFERROR(__xludf.DUMMYFUNCTION("""COMPUTED_VALUE"""),"174HP")</f>
        <v>174HP</v>
      </c>
      <c r="I2539" s="5" t="str">
        <f>IFERROR(__xludf.DUMMYFUNCTION("""COMPUTED_VALUE"""),"HHKHK605AE0001606")</f>
        <v>HHKHK605AE0001606</v>
      </c>
      <c r="J2539" s="5" t="str">
        <f>IFERROR(__xludf.DUMMYFUNCTION("""COMPUTED_VALUE"""),"22517110")</f>
        <v>22517110</v>
      </c>
      <c r="K2539" s="5">
        <f>IFERROR(__xludf.DUMMYFUNCTION("""COMPUTED_VALUE"""),16.0)</f>
        <v>16</v>
      </c>
      <c r="L2539" s="5" t="str">
        <f>IFERROR(__xludf.DUMMYFUNCTION("""COMPUTED_VALUE"""),"-")</f>
        <v>-</v>
      </c>
    </row>
    <row r="2540">
      <c r="A2540" s="5" t="str">
        <f>IFERROR(__xludf.DUMMYFUNCTION("""COMPUTED_VALUE"""),"TNL-MĐA-041")</f>
        <v>TNL-MĐA-041</v>
      </c>
      <c r="B2540" s="3" t="str">
        <f>IFERROR(__xludf.DUMMYFUNCTION("""COMPUTED_VALUE"""),"Máy đào gàu 0.5m3")</f>
        <v>Máy đào gàu 0.5m3</v>
      </c>
      <c r="C2540" s="5" t="str">
        <f>IFERROR(__xludf.DUMMYFUNCTION("""COMPUTED_VALUE"""),"CGTC LP")</f>
        <v>CGTC LP</v>
      </c>
      <c r="D2540" s="5" t="str">
        <f>IFERROR(__xludf.DUMMYFUNCTION("""COMPUTED_VALUE"""),"LIUGONG")</f>
        <v>LIUGONG</v>
      </c>
      <c r="E2540" s="5" t="str">
        <f>IFERROR(__xludf.DUMMYFUNCTION("""COMPUTED_VALUE"""),"TRUNG QUỐC")</f>
        <v>TRUNG QUỐC</v>
      </c>
      <c r="F2540" s="5">
        <f>IFERROR(__xludf.DUMMYFUNCTION("""COMPUTED_VALUE"""),2011.0)</f>
        <v>2011</v>
      </c>
      <c r="G2540" s="5" t="str">
        <f>IFERROR(__xludf.DUMMYFUNCTION("""COMPUTED_VALUE"""),"CLG915D")</f>
        <v>CLG915D</v>
      </c>
      <c r="H2540" s="5" t="str">
        <f>IFERROR(__xludf.DUMMYFUNCTION("""COMPUTED_VALUE"""),"101HP")</f>
        <v>101HP</v>
      </c>
      <c r="I2540" s="5" t="str">
        <f>IFERROR(__xludf.DUMMYFUNCTION("""COMPUTED_VALUE"""),"915L11WJ0891")</f>
        <v>915L11WJ0891</v>
      </c>
      <c r="J2540" s="5" t="str">
        <f>IFERROR(__xludf.DUMMYFUNCTION("""COMPUTED_VALUE"""),"26472038")</f>
        <v>26472038</v>
      </c>
      <c r="K2540" s="5">
        <f>IFERROR(__xludf.DUMMYFUNCTION("""COMPUTED_VALUE"""),13.0)</f>
        <v>13</v>
      </c>
      <c r="L2540" s="5" t="str">
        <f>IFERROR(__xludf.DUMMYFUNCTION("""COMPUTED_VALUE"""),"-")</f>
        <v>-</v>
      </c>
    </row>
    <row r="2541">
      <c r="A2541" s="5" t="str">
        <f>IFERROR(__xludf.DUMMYFUNCTION("""COMPUTED_VALUE"""),"TNL-MĐA-042")</f>
        <v>TNL-MĐA-042</v>
      </c>
      <c r="B2541" s="3" t="str">
        <f>IFERROR(__xludf.DUMMYFUNCTION("""COMPUTED_VALUE"""),"Máy đào gàu 0.9m3")</f>
        <v>Máy đào gàu 0.9m3</v>
      </c>
      <c r="C2541" s="5" t="str">
        <f>IFERROR(__xludf.DUMMYFUNCTION("""COMPUTED_VALUE"""),"CGTC LP")</f>
        <v>CGTC LP</v>
      </c>
      <c r="D2541" s="5" t="str">
        <f>IFERROR(__xludf.DUMMYFUNCTION("""COMPUTED_VALUE"""),"HYUNDAI")</f>
        <v>HYUNDAI</v>
      </c>
      <c r="E2541" s="5" t="str">
        <f>IFERROR(__xludf.DUMMYFUNCTION("""COMPUTED_VALUE"""),"HÀN QUỐC")</f>
        <v>HÀN QUỐC</v>
      </c>
      <c r="F2541" s="5">
        <f>IFERROR(__xludf.DUMMYFUNCTION("""COMPUTED_VALUE"""),2022.0)</f>
        <v>2022</v>
      </c>
      <c r="G2541" s="5" t="str">
        <f>IFERROR(__xludf.DUMMYFUNCTION("""COMPUTED_VALUE"""),"HX2255")</f>
        <v>HX2255</v>
      </c>
      <c r="H2541" s="5" t="str">
        <f>IFERROR(__xludf.DUMMYFUNCTION("""COMPUTED_VALUE"""),"174HP")</f>
        <v>174HP</v>
      </c>
      <c r="I2541" s="5" t="str">
        <f>IFERROR(__xludf.DUMMYFUNCTION("""COMPUTED_VALUE"""),"HHKHK605HE0001656")</f>
        <v>HHKHK605HE0001656</v>
      </c>
      <c r="J2541" s="5" t="str">
        <f>IFERROR(__xludf.DUMMYFUNCTION("""COMPUTED_VALUE"""),"22516109")</f>
        <v>22516109</v>
      </c>
      <c r="K2541" s="5">
        <f>IFERROR(__xludf.DUMMYFUNCTION("""COMPUTED_VALUE"""),14.1)</f>
        <v>14.1</v>
      </c>
      <c r="L2541" s="5" t="str">
        <f>IFERROR(__xludf.DUMMYFUNCTION("""COMPUTED_VALUE"""),"-")</f>
        <v>-</v>
      </c>
    </row>
    <row r="2542">
      <c r="A2542" s="5" t="str">
        <f>IFERROR(__xludf.DUMMYFUNCTION("""COMPUTED_VALUE"""),"TNL-MĐA-043")</f>
        <v>TNL-MĐA-043</v>
      </c>
      <c r="B2542" s="3" t="str">
        <f>IFERROR(__xludf.DUMMYFUNCTION("""COMPUTED_VALUE"""),"Máy đào gàu 0.5m3")</f>
        <v>Máy đào gàu 0.5m3</v>
      </c>
      <c r="C2542" s="5" t="str">
        <f>IFERROR(__xludf.DUMMYFUNCTION("""COMPUTED_VALUE"""),"CGTC LP")</f>
        <v>CGTC LP</v>
      </c>
      <c r="D2542" s="5" t="str">
        <f>IFERROR(__xludf.DUMMYFUNCTION("""COMPUTED_VALUE"""),"HYUNDAI")</f>
        <v>HYUNDAI</v>
      </c>
      <c r="E2542" s="5" t="str">
        <f>IFERROR(__xludf.DUMMYFUNCTION("""COMPUTED_VALUE"""),"HÀN QUỐC")</f>
        <v>HÀN QUỐC</v>
      </c>
      <c r="F2542" s="5">
        <f>IFERROR(__xludf.DUMMYFUNCTION("""COMPUTED_VALUE"""),2014.0)</f>
        <v>2014</v>
      </c>
      <c r="G2542" s="5" t="str">
        <f>IFERROR(__xludf.DUMMYFUNCTION("""COMPUTED_VALUE"""),"R140W-95")</f>
        <v>R140W-95</v>
      </c>
      <c r="H2542" s="5" t="str">
        <f>IFERROR(__xludf.DUMMYFUNCTION("""COMPUTED_VALUE"""),"113HP")</f>
        <v>113HP</v>
      </c>
      <c r="I2542" s="5" t="str">
        <f>IFERROR(__xludf.DUMMYFUNCTION("""COMPUTED_VALUE"""),"HHKHZ412HE0000480")</f>
        <v>HHKHZ412HE0000480</v>
      </c>
      <c r="J2542" s="5" t="str">
        <f>IFERROR(__xludf.DUMMYFUNCTION("""COMPUTED_VALUE"""),"26494405")</f>
        <v>26494405</v>
      </c>
      <c r="K2542" s="5">
        <f>IFERROR(__xludf.DUMMYFUNCTION("""COMPUTED_VALUE"""),8.5)</f>
        <v>8.5</v>
      </c>
      <c r="L2542" s="5" t="str">
        <f>IFERROR(__xludf.DUMMYFUNCTION("""COMPUTED_VALUE"""),"-")</f>
        <v>-</v>
      </c>
    </row>
    <row r="2543">
      <c r="A2543" s="5" t="str">
        <f>IFERROR(__xludf.DUMMYFUNCTION("""COMPUTED_VALUE"""),"TNL-MĐA-044")</f>
        <v>TNL-MĐA-044</v>
      </c>
      <c r="B2543" s="3" t="str">
        <f>IFERROR(__xludf.DUMMYFUNCTION("""COMPUTED_VALUE"""),"Máy đào gàu 0.5m3")</f>
        <v>Máy đào gàu 0.5m3</v>
      </c>
      <c r="C2543" s="5" t="str">
        <f>IFERROR(__xludf.DUMMYFUNCTION("""COMPUTED_VALUE"""),"CGTC LP")</f>
        <v>CGTC LP</v>
      </c>
      <c r="D2543" s="5" t="str">
        <f>IFERROR(__xludf.DUMMYFUNCTION("""COMPUTED_VALUE"""),"HITACHI")</f>
        <v>HITACHI</v>
      </c>
      <c r="E2543" s="5"/>
      <c r="F2543" s="5">
        <f>IFERROR(__xludf.DUMMYFUNCTION("""COMPUTED_VALUE"""),2007.0)</f>
        <v>2007</v>
      </c>
      <c r="G2543" s="5" t="str">
        <f>IFERROR(__xludf.DUMMYFUNCTION("""COMPUTED_VALUE"""),"ZX125US")</f>
        <v>ZX125US</v>
      </c>
      <c r="H2543" s="5" t="str">
        <f>IFERROR(__xludf.DUMMYFUNCTION("""COMPUTED_VALUE"""),"85HP")</f>
        <v>85HP</v>
      </c>
      <c r="I2543" s="5" t="str">
        <f>IFERROR(__xludf.DUMMYFUNCTION("""COMPUTED_VALUE"""),"HCM1SE00E00011848")</f>
        <v>HCM1SE00E00011848</v>
      </c>
      <c r="J2543" s="5" t="str">
        <f>IFERROR(__xludf.DUMMYFUNCTION("""COMPUTED_VALUE"""),"4BG1945999")</f>
        <v>4BG1945999</v>
      </c>
      <c r="K2543" s="5">
        <f>IFERROR(__xludf.DUMMYFUNCTION("""COMPUTED_VALUE"""),9.0)</f>
        <v>9</v>
      </c>
      <c r="L2543" s="5" t="str">
        <f>IFERROR(__xludf.DUMMYFUNCTION("""COMPUTED_VALUE"""),"-")</f>
        <v>-</v>
      </c>
    </row>
    <row r="2544">
      <c r="A2544" s="5" t="str">
        <f>IFERROR(__xludf.DUMMYFUNCTION("""COMPUTED_VALUE"""),"TNL-MĐA-045")</f>
        <v>TNL-MĐA-045</v>
      </c>
      <c r="B2544" s="3" t="str">
        <f>IFERROR(__xludf.DUMMYFUNCTION("""COMPUTED_VALUE"""),"Máy đào gàu 0.5m3")</f>
        <v>Máy đào gàu 0.5m3</v>
      </c>
      <c r="C2544" s="5" t="str">
        <f>IFERROR(__xludf.DUMMYFUNCTION("""COMPUTED_VALUE"""),"CGTC LP")</f>
        <v>CGTC LP</v>
      </c>
      <c r="D2544" s="5" t="str">
        <f>IFERROR(__xludf.DUMMYFUNCTION("""COMPUTED_VALUE"""),"HITACHI")</f>
        <v>HITACHI</v>
      </c>
      <c r="E2544" s="5"/>
      <c r="F2544" s="5">
        <f>IFERROR(__xludf.DUMMYFUNCTION("""COMPUTED_VALUE"""),2008.0)</f>
        <v>2008</v>
      </c>
      <c r="G2544" s="5" t="str">
        <f>IFERROR(__xludf.DUMMYFUNCTION("""COMPUTED_VALUE"""),"ZX110")</f>
        <v>ZX110</v>
      </c>
      <c r="H2544" s="5" t="str">
        <f>IFERROR(__xludf.DUMMYFUNCTION("""COMPUTED_VALUE"""),"85HP")</f>
        <v>85HP</v>
      </c>
      <c r="I2544" s="5" t="str">
        <f>IFERROR(__xludf.DUMMYFUNCTION("""COMPUTED_VALUE"""),"HCM1EY00A00012213")</f>
        <v>HCM1EY00A00012213</v>
      </c>
      <c r="J2544" s="5" t="str">
        <f>IFERROR(__xludf.DUMMYFUNCTION("""COMPUTED_VALUE"""),"4B61958109")</f>
        <v>4B61958109</v>
      </c>
      <c r="K2544" s="5">
        <f>IFERROR(__xludf.DUMMYFUNCTION("""COMPUTED_VALUE"""),10.0)</f>
        <v>10</v>
      </c>
      <c r="L2544" s="5" t="str">
        <f>IFERROR(__xludf.DUMMYFUNCTION("""COMPUTED_VALUE"""),"-")</f>
        <v>-</v>
      </c>
    </row>
    <row r="2545">
      <c r="A2545" s="5" t="str">
        <f>IFERROR(__xludf.DUMMYFUNCTION("""COMPUTED_VALUE"""),"TNL-MĐA-047")</f>
        <v>TNL-MĐA-047</v>
      </c>
      <c r="B2545" s="3" t="str">
        <f>IFERROR(__xludf.DUMMYFUNCTION("""COMPUTED_VALUE"""),"Máy đào gàu 1.1m3")</f>
        <v>Máy đào gàu 1.1m3</v>
      </c>
      <c r="C2545" s="5" t="str">
        <f>IFERROR(__xludf.DUMMYFUNCTION("""COMPUTED_VALUE"""),"CGTC LP")</f>
        <v>CGTC LP</v>
      </c>
      <c r="D2545" s="5" t="str">
        <f>IFERROR(__xludf.DUMMYFUNCTION("""COMPUTED_VALUE"""),"HYUNDAI")</f>
        <v>HYUNDAI</v>
      </c>
      <c r="E2545" s="5" t="str">
        <f>IFERROR(__xludf.DUMMYFUNCTION("""COMPUTED_VALUE"""),"HÀN QUỐC")</f>
        <v>HÀN QUỐC</v>
      </c>
      <c r="F2545" s="5">
        <f>IFERROR(__xludf.DUMMYFUNCTION("""COMPUTED_VALUE"""),2024.0)</f>
        <v>2024</v>
      </c>
      <c r="G2545" s="5"/>
      <c r="H2545" s="5" t="str">
        <f>IFERROR(__xludf.DUMMYFUNCTION("""COMPUTED_VALUE"""),"168HP")</f>
        <v>168HP</v>
      </c>
      <c r="I2545" s="5" t="str">
        <f>IFERROR(__xludf.DUMMYFUNCTION("""COMPUTED_VALUE"""),"HHKHK605KE0002099")</f>
        <v>HHKHK605KE0002099</v>
      </c>
      <c r="J2545" s="5" t="str">
        <f>IFERROR(__xludf.DUMMYFUNCTION("""COMPUTED_VALUE"""),"22565063")</f>
        <v>22565063</v>
      </c>
      <c r="K2545" s="5">
        <f>IFERROR(__xludf.DUMMYFUNCTION("""COMPUTED_VALUE"""),21.0)</f>
        <v>21</v>
      </c>
      <c r="L2545" s="5" t="str">
        <f>IFERROR(__xludf.DUMMYFUNCTION("""COMPUTED_VALUE"""),"-")</f>
        <v>-</v>
      </c>
    </row>
    <row r="2546">
      <c r="A2546" s="5" t="str">
        <f>IFERROR(__xludf.DUMMYFUNCTION("""COMPUTED_VALUE"""),"TNL-MĐA-048")</f>
        <v>TNL-MĐA-048</v>
      </c>
      <c r="B2546" s="3" t="str">
        <f>IFERROR(__xludf.DUMMYFUNCTION("""COMPUTED_VALUE"""),"Máy đào gàu 0.7m3")</f>
        <v>Máy đào gàu 0.7m3</v>
      </c>
      <c r="C2546" s="5" t="str">
        <f>IFERROR(__xludf.DUMMYFUNCTION("""COMPUTED_VALUE"""),"CGTC LP")</f>
        <v>CGTC LP</v>
      </c>
      <c r="D2546" s="5" t="str">
        <f>IFERROR(__xludf.DUMMYFUNCTION("""COMPUTED_VALUE"""),"CAT")</f>
        <v>CAT</v>
      </c>
      <c r="E2546" s="5"/>
      <c r="F2546" s="5">
        <f>IFERROR(__xludf.DUMMYFUNCTION("""COMPUTED_VALUE"""),1999.0)</f>
        <v>1999</v>
      </c>
      <c r="G2546" s="5" t="str">
        <f>IFERROR(__xludf.DUMMYFUNCTION("""COMPUTED_VALUE"""),"320B")</f>
        <v>320B</v>
      </c>
      <c r="H2546" s="5" t="str">
        <f>IFERROR(__xludf.DUMMYFUNCTION("""COMPUTED_VALUE"""),"157HP")</f>
        <v>157HP</v>
      </c>
      <c r="I2546" s="5" t="str">
        <f>IFERROR(__xludf.DUMMYFUNCTION("""COMPUTED_VALUE"""),"3MR06822")</f>
        <v>3MR06822</v>
      </c>
      <c r="J2546" s="5" t="str">
        <f>IFERROR(__xludf.DUMMYFUNCTION("""COMPUTED_VALUE"""),"7JK39124")</f>
        <v>7JK39124</v>
      </c>
      <c r="K2546" s="5">
        <f>IFERROR(__xludf.DUMMYFUNCTION("""COMPUTED_VALUE"""),15.5)</f>
        <v>15.5</v>
      </c>
      <c r="L2546" s="5" t="str">
        <f>IFERROR(__xludf.DUMMYFUNCTION("""COMPUTED_VALUE"""),"Đang thuê")</f>
        <v>Đang thuê</v>
      </c>
    </row>
    <row r="2547">
      <c r="A2547" s="5" t="str">
        <f>IFERROR(__xludf.DUMMYFUNCTION("""COMPUTED_VALUE"""),"TNL-MĐA-049")</f>
        <v>TNL-MĐA-049</v>
      </c>
      <c r="B2547" s="3" t="str">
        <f>IFERROR(__xludf.DUMMYFUNCTION("""COMPUTED_VALUE"""),"Máy đào gàu 0.5m3")</f>
        <v>Máy đào gàu 0.5m3</v>
      </c>
      <c r="C2547" s="5" t="str">
        <f>IFERROR(__xludf.DUMMYFUNCTION("""COMPUTED_VALUE"""),"CGTC LP")</f>
        <v>CGTC LP</v>
      </c>
      <c r="D2547" s="5" t="str">
        <f>IFERROR(__xludf.DUMMYFUNCTION("""COMPUTED_VALUE"""),"CAT")</f>
        <v>CAT</v>
      </c>
      <c r="E2547" s="5"/>
      <c r="F2547" s="5"/>
      <c r="G2547" s="5" t="str">
        <f>IFERROR(__xludf.DUMMYFUNCTION("""COMPUTED_VALUE"""),"E120B")</f>
        <v>E120B</v>
      </c>
      <c r="H2547" s="5" t="str">
        <f>IFERROR(__xludf.DUMMYFUNCTION("""COMPUTED_VALUE"""),"84HP")</f>
        <v>84HP</v>
      </c>
      <c r="I2547" s="5" t="str">
        <f>IFERROR(__xludf.DUMMYFUNCTION("""COMPUTED_VALUE"""),"7NF00252")</f>
        <v>7NF00252</v>
      </c>
      <c r="J2547" s="5" t="str">
        <f>IFERROR(__xludf.DUMMYFUNCTION("""COMPUTED_VALUE"""),"NIL")</f>
        <v>NIL</v>
      </c>
      <c r="K2547" s="5">
        <f>IFERROR(__xludf.DUMMYFUNCTION("""COMPUTED_VALUE"""),9.1)</f>
        <v>9.1</v>
      </c>
      <c r="L2547" s="5" t="str">
        <f>IFERROR(__xludf.DUMMYFUNCTION("""COMPUTED_VALUE"""),"-")</f>
        <v>-</v>
      </c>
    </row>
    <row r="2548">
      <c r="A2548" s="5" t="str">
        <f>IFERROR(__xludf.DUMMYFUNCTION("""COMPUTED_VALUE"""),"TNL-MĐA-050")</f>
        <v>TNL-MĐA-050</v>
      </c>
      <c r="B2548" s="3" t="str">
        <f>IFERROR(__xludf.DUMMYFUNCTION("""COMPUTED_VALUE"""),"Máy đào gàu 0.8m3")</f>
        <v>Máy đào gàu 0.8m3</v>
      </c>
      <c r="C2548" s="5" t="str">
        <f>IFERROR(__xludf.DUMMYFUNCTION("""COMPUTED_VALUE"""),"CGTC LP")</f>
        <v>CGTC LP</v>
      </c>
      <c r="D2548" s="5" t="str">
        <f>IFERROR(__xludf.DUMMYFUNCTION("""COMPUTED_VALUE"""),"HYUNDAI		2012	R220LC-9S	150HP	HHIHQ614AC0000568	73292549	")</f>
        <v>HYUNDAI		2012	R220LC-9S	150HP	HHIHQ614AC0000568	73292549	</v>
      </c>
      <c r="E2548" s="5"/>
      <c r="F2548" s="5"/>
      <c r="G2548" s="5"/>
      <c r="H2548" s="5"/>
      <c r="I2548" s="5"/>
      <c r="J2548" s="5"/>
      <c r="K2548" s="5">
        <f>IFERROR(__xludf.DUMMYFUNCTION("""COMPUTED_VALUE"""),16.4)</f>
        <v>16.4</v>
      </c>
      <c r="L2548" s="5" t="str">
        <f>IFERROR(__xludf.DUMMYFUNCTION("""COMPUTED_VALUE"""),"-")</f>
        <v>-</v>
      </c>
    </row>
    <row r="2549">
      <c r="A2549" s="5" t="str">
        <f>IFERROR(__xludf.DUMMYFUNCTION("""COMPUTED_VALUE"""),"TNL-MĐA-051")</f>
        <v>TNL-MĐA-051</v>
      </c>
      <c r="B2549" s="3" t="str">
        <f>IFERROR(__xludf.DUMMYFUNCTION("""COMPUTED_VALUE"""),"Máy đào gàu 0.5m3")</f>
        <v>Máy đào gàu 0.5m3</v>
      </c>
      <c r="C2549" s="5" t="str">
        <f>IFERROR(__xludf.DUMMYFUNCTION("""COMPUTED_VALUE"""),"CGTC LP")</f>
        <v>CGTC LP</v>
      </c>
      <c r="D2549" s="5" t="str">
        <f>IFERROR(__xludf.DUMMYFUNCTION("""COMPUTED_VALUE"""),"CAT")</f>
        <v>CAT</v>
      </c>
      <c r="E2549" s="5"/>
      <c r="F2549" s="5"/>
      <c r="G2549" s="5" t="str">
        <f>IFERROR(__xludf.DUMMYFUNCTION("""COMPUTED_VALUE"""),"E120B")</f>
        <v>E120B</v>
      </c>
      <c r="H2549" s="5" t="str">
        <f>IFERROR(__xludf.DUMMYFUNCTION("""COMPUTED_VALUE"""),"84HP")</f>
        <v>84HP</v>
      </c>
      <c r="I2549" s="5" t="str">
        <f>IFERROR(__xludf.DUMMYFUNCTION("""COMPUTED_VALUE"""),"7NF01819")</f>
        <v>7NF01819</v>
      </c>
      <c r="J2549" s="5" t="str">
        <f>IFERROR(__xludf.DUMMYFUNCTION("""COMPUTED_VALUE"""),"S4K003600")</f>
        <v>S4K003600</v>
      </c>
      <c r="K2549" s="5">
        <f>IFERROR(__xludf.DUMMYFUNCTION("""COMPUTED_VALUE"""),7.5)</f>
        <v>7.5</v>
      </c>
      <c r="L2549" s="5" t="str">
        <f>IFERROR(__xludf.DUMMYFUNCTION("""COMPUTED_VALUE"""),"-")</f>
        <v>-</v>
      </c>
    </row>
    <row r="2550">
      <c r="A2550" s="5" t="str">
        <f>IFERROR(__xludf.DUMMYFUNCTION("""COMPUTED_VALUE"""),"TNL-MĐA-052")</f>
        <v>TNL-MĐA-052</v>
      </c>
      <c r="B2550" s="3" t="str">
        <f>IFERROR(__xludf.DUMMYFUNCTION("""COMPUTED_VALUE"""),"Máy đào gàu 0.5m3")</f>
        <v>Máy đào gàu 0.5m3</v>
      </c>
      <c r="C2550" s="5" t="str">
        <f>IFERROR(__xludf.DUMMYFUNCTION("""COMPUTED_VALUE"""),"CGTC LP")</f>
        <v>CGTC LP</v>
      </c>
      <c r="D2550" s="5" t="str">
        <f>IFERROR(__xludf.DUMMYFUNCTION("""COMPUTED_VALUE"""),"KOMATSU")</f>
        <v>KOMATSU</v>
      </c>
      <c r="E2550" s="5"/>
      <c r="F2550" s="5"/>
      <c r="G2550" s="5" t="str">
        <f>IFERROR(__xludf.DUMMYFUNCTION("""COMPUTED_VALUE"""),"PC100")</f>
        <v>PC100</v>
      </c>
      <c r="H2550" s="5" t="str">
        <f>IFERROR(__xludf.DUMMYFUNCTION("""COMPUTED_VALUE"""),"85HP")</f>
        <v>85HP</v>
      </c>
      <c r="I2550" s="5" t="str">
        <f>IFERROR(__xludf.DUMMYFUNCTION("""COMPUTED_VALUE"""),"PC10029884")</f>
        <v>PC10029884</v>
      </c>
      <c r="J2550" s="5" t="str">
        <f>IFERROR(__xludf.DUMMYFUNCTION("""COMPUTED_VALUE"""),"4D9S-71613")</f>
        <v>4D9S-71613</v>
      </c>
      <c r="K2550" s="5">
        <f>IFERROR(__xludf.DUMMYFUNCTION("""COMPUTED_VALUE"""),9.0)</f>
        <v>9</v>
      </c>
      <c r="L2550" s="5" t="str">
        <f>IFERROR(__xludf.DUMMYFUNCTION("""COMPUTED_VALUE"""),"-")</f>
        <v>-</v>
      </c>
    </row>
    <row r="2551">
      <c r="A2551" s="5" t="str">
        <f>IFERROR(__xludf.DUMMYFUNCTION("""COMPUTED_VALUE"""),"TNL-MĐA-053")</f>
        <v>TNL-MĐA-053</v>
      </c>
      <c r="B2551" s="3" t="str">
        <f>IFERROR(__xludf.DUMMYFUNCTION("""COMPUTED_VALUE"""),"Máy đào gàu 0.5m3")</f>
        <v>Máy đào gàu 0.5m3</v>
      </c>
      <c r="C2551" s="5" t="str">
        <f>IFERROR(__xludf.DUMMYFUNCTION("""COMPUTED_VALUE"""),"CGTC LP")</f>
        <v>CGTC LP</v>
      </c>
      <c r="D2551" s="5" t="str">
        <f>IFERROR(__xludf.DUMMYFUNCTION("""COMPUTED_VALUE"""),"CAT")</f>
        <v>CAT</v>
      </c>
      <c r="E2551" s="5" t="str">
        <f>IFERROR(__xludf.DUMMYFUNCTION("""COMPUTED_VALUE"""),"NHẬT BẢN")</f>
        <v>NHẬT BẢN</v>
      </c>
      <c r="F2551" s="5">
        <f>IFERROR(__xludf.DUMMYFUNCTION("""COMPUTED_VALUE"""),2005.0)</f>
        <v>2005</v>
      </c>
      <c r="G2551" s="5" t="str">
        <f>IFERROR(__xludf.DUMMYFUNCTION("""COMPUTED_VALUE"""),"312C-3")</f>
        <v>312C-3</v>
      </c>
      <c r="H2551" s="5" t="str">
        <f>IFERROR(__xludf.DUMMYFUNCTION("""COMPUTED_VALUE"""),"90HP")</f>
        <v>90HP</v>
      </c>
      <c r="I2551" s="5" t="str">
        <f>IFERROR(__xludf.DUMMYFUNCTION("""COMPUTED_VALUE"""),"CAT0312CCCAE02876")</f>
        <v>CAT0312CCCAE02876</v>
      </c>
      <c r="J2551" s="5" t="str">
        <f>IFERROR(__xludf.DUMMYFUNCTION("""COMPUTED_VALUE"""),"6LK37380")</f>
        <v>6LK37380</v>
      </c>
      <c r="K2551" s="5">
        <f>IFERROR(__xludf.DUMMYFUNCTION("""COMPUTED_VALUE"""),10.0)</f>
        <v>10</v>
      </c>
      <c r="L2551" s="5" t="str">
        <f>IFERROR(__xludf.DUMMYFUNCTION("""COMPUTED_VALUE"""),"-")</f>
        <v>-</v>
      </c>
    </row>
    <row r="2552">
      <c r="A2552" s="5" t="str">
        <f>IFERROR(__xludf.DUMMYFUNCTION("""COMPUTED_VALUE"""),"TNL-MĐA-054")</f>
        <v>TNL-MĐA-054</v>
      </c>
      <c r="B2552" s="3" t="str">
        <f>IFERROR(__xludf.DUMMYFUNCTION("""COMPUTED_VALUE"""),"Máy đào gàu 0.5m3")</f>
        <v>Máy đào gàu 0.5m3</v>
      </c>
      <c r="C2552" s="5" t="str">
        <f>IFERROR(__xludf.DUMMYFUNCTION("""COMPUTED_VALUE"""),"CGTC LP")</f>
        <v>CGTC LP</v>
      </c>
      <c r="D2552" s="5" t="str">
        <f>IFERROR(__xludf.DUMMYFUNCTION("""COMPUTED_VALUE"""),"CAT")</f>
        <v>CAT</v>
      </c>
      <c r="E2552" s="5"/>
      <c r="F2552" s="5">
        <f>IFERROR(__xludf.DUMMYFUNCTION("""COMPUTED_VALUE"""),1990.0)</f>
        <v>1990</v>
      </c>
      <c r="G2552" s="5" t="str">
        <f>IFERROR(__xludf.DUMMYFUNCTION("""COMPUTED_VALUE"""),"E120B")</f>
        <v>E120B</v>
      </c>
      <c r="H2552" s="5" t="str">
        <f>IFERROR(__xludf.DUMMYFUNCTION("""COMPUTED_VALUE"""),"84HP")</f>
        <v>84HP</v>
      </c>
      <c r="I2552" s="5" t="str">
        <f>IFERROR(__xludf.DUMMYFUNCTION("""COMPUTED_VALUE"""),"7NF03720")</f>
        <v>7NF03720</v>
      </c>
      <c r="J2552" s="5" t="str">
        <f>IFERROR(__xludf.DUMMYFUNCTION("""COMPUTED_VALUE"""),"NIL")</f>
        <v>NIL</v>
      </c>
      <c r="K2552" s="5">
        <f>IFERROR(__xludf.DUMMYFUNCTION("""COMPUTED_VALUE"""),10.0)</f>
        <v>10</v>
      </c>
      <c r="L2552" s="5" t="str">
        <f>IFERROR(__xludf.DUMMYFUNCTION("""COMPUTED_VALUE"""),"-")</f>
        <v>-</v>
      </c>
    </row>
    <row r="2553">
      <c r="A2553" s="5" t="str">
        <f>IFERROR(__xludf.DUMMYFUNCTION("""COMPUTED_VALUE"""),"TNL-MĐA-055")</f>
        <v>TNL-MĐA-055</v>
      </c>
      <c r="B2553" s="3" t="str">
        <f>IFERROR(__xludf.DUMMYFUNCTION("""COMPUTED_VALUE"""),"Máy đào gàu 0.4m3")</f>
        <v>Máy đào gàu 0.4m3</v>
      </c>
      <c r="C2553" s="5" t="str">
        <f>IFERROR(__xludf.DUMMYFUNCTION("""COMPUTED_VALUE"""),"CGTC LP")</f>
        <v>CGTC LP</v>
      </c>
      <c r="D2553" s="5" t="str">
        <f>IFERROR(__xludf.DUMMYFUNCTION("""COMPUTED_VALUE"""),"HITACHI")</f>
        <v>HITACHI</v>
      </c>
      <c r="E2553" s="5" t="str">
        <f>IFERROR(__xludf.DUMMYFUNCTION("""COMPUTED_VALUE"""),"HÀN QUỐC")</f>
        <v>HÀN QUỐC</v>
      </c>
      <c r="F2553" s="5">
        <f>IFERROR(__xludf.DUMMYFUNCTION("""COMPUTED_VALUE"""),2004.0)</f>
        <v>2004</v>
      </c>
      <c r="G2553" s="5" t="str">
        <f>IFERROR(__xludf.DUMMYFUNCTION("""COMPUTED_VALUE"""),"ZX75US-A")</f>
        <v>ZX75US-A</v>
      </c>
      <c r="H2553" s="5" t="str">
        <f>IFERROR(__xludf.DUMMYFUNCTION("""COMPUTED_VALUE"""),"54HP")</f>
        <v>54HP</v>
      </c>
      <c r="I2553" s="5" t="str">
        <f>IFERROR(__xludf.DUMMYFUNCTION("""COMPUTED_VALUE"""),"HCM1CG00100042071")</f>
        <v>HCM1CG00100042071</v>
      </c>
      <c r="J2553" s="5" t="str">
        <f>IFERROR(__xludf.DUMMYFUNCTION("""COMPUTED_VALUE"""),"4JG4561514")</f>
        <v>4JG4561514</v>
      </c>
      <c r="K2553" s="5">
        <f>IFERROR(__xludf.DUMMYFUNCTION("""COMPUTED_VALUE"""),5.88)</f>
        <v>5.88</v>
      </c>
      <c r="L2553" s="5" t="str">
        <f>IFERROR(__xludf.DUMMYFUNCTION("""COMPUTED_VALUE"""),"-")</f>
        <v>-</v>
      </c>
    </row>
    <row r="2554">
      <c r="A2554" s="5" t="str">
        <f>IFERROR(__xludf.DUMMYFUNCTION("""COMPUTED_VALUE"""),"TNL-MĐA-056")</f>
        <v>TNL-MĐA-056</v>
      </c>
      <c r="B2554" s="3" t="str">
        <f>IFERROR(__xludf.DUMMYFUNCTION("""COMPUTED_VALUE"""),"Máy đào gàu 0.8m3")</f>
        <v>Máy đào gàu 0.8m3</v>
      </c>
      <c r="C2554" s="5" t="str">
        <f>IFERROR(__xludf.DUMMYFUNCTION("""COMPUTED_VALUE"""),"CGTC LP")</f>
        <v>CGTC LP</v>
      </c>
      <c r="D2554" s="5" t="str">
        <f>IFERROR(__xludf.DUMMYFUNCTION("""COMPUTED_VALUE"""),"CAT")</f>
        <v>CAT</v>
      </c>
      <c r="E2554" s="5"/>
      <c r="F2554" s="5">
        <f>IFERROR(__xludf.DUMMYFUNCTION("""COMPUTED_VALUE"""),1993.0)</f>
        <v>1993</v>
      </c>
      <c r="G2554" s="5" t="str">
        <f>IFERROR(__xludf.DUMMYFUNCTION("""COMPUTED_VALUE"""),"320")</f>
        <v>320</v>
      </c>
      <c r="H2554" s="5" t="str">
        <f>IFERROR(__xludf.DUMMYFUNCTION("""COMPUTED_VALUE"""),"164HP")</f>
        <v>164HP</v>
      </c>
      <c r="I2554" s="5" t="str">
        <f>IFERROR(__xludf.DUMMYFUNCTION("""COMPUTED_VALUE"""),"3XM04304")</f>
        <v>3XM04304</v>
      </c>
      <c r="J2554" s="5" t="str">
        <f>IFERROR(__xludf.DUMMYFUNCTION("""COMPUTED_VALUE"""),"7JK17826")</f>
        <v>7JK17826</v>
      </c>
      <c r="K2554" s="5">
        <f>IFERROR(__xludf.DUMMYFUNCTION("""COMPUTED_VALUE"""),13.0)</f>
        <v>13</v>
      </c>
      <c r="L2554" s="5" t="str">
        <f>IFERROR(__xludf.DUMMYFUNCTION("""COMPUTED_VALUE"""),"-")</f>
        <v>-</v>
      </c>
    </row>
    <row r="2555">
      <c r="A2555" s="5" t="str">
        <f>IFERROR(__xludf.DUMMYFUNCTION("""COMPUTED_VALUE"""),"TNL-MĐA-057")</f>
        <v>TNL-MĐA-057</v>
      </c>
      <c r="B2555" s="3" t="str">
        <f>IFERROR(__xludf.DUMMYFUNCTION("""COMPUTED_VALUE"""),"Máy đào gàu 0.5m3")</f>
        <v>Máy đào gàu 0.5m3</v>
      </c>
      <c r="C2555" s="5" t="str">
        <f>IFERROR(__xludf.DUMMYFUNCTION("""COMPUTED_VALUE"""),"Ban điện nước")</f>
        <v>Ban điện nước</v>
      </c>
      <c r="D2555" s="5" t="str">
        <f>IFERROR(__xludf.DUMMYFUNCTION("""COMPUTED_VALUE"""),"CAT")</f>
        <v>CAT</v>
      </c>
      <c r="E2555" s="5" t="str">
        <f>IFERROR(__xludf.DUMMYFUNCTION("""COMPUTED_VALUE"""),"NHẬT BẢN")</f>
        <v>NHẬT BẢN</v>
      </c>
      <c r="F2555" s="5">
        <f>IFERROR(__xludf.DUMMYFUNCTION("""COMPUTED_VALUE"""),2005.0)</f>
        <v>2005</v>
      </c>
      <c r="G2555" s="5" t="str">
        <f>IFERROR(__xludf.DUMMYFUNCTION("""COMPUTED_VALUE"""),"312C-3")</f>
        <v>312C-3</v>
      </c>
      <c r="H2555" s="5" t="str">
        <f>IFERROR(__xludf.DUMMYFUNCTION("""COMPUTED_VALUE"""),"90HP")</f>
        <v>90HP</v>
      </c>
      <c r="I2555" s="5" t="str">
        <f>IFERROR(__xludf.DUMMYFUNCTION("""COMPUTED_VALUE"""),"CAT0312CCCAE02876")</f>
        <v>CAT0312CCCAE02876</v>
      </c>
      <c r="J2555" s="5" t="str">
        <f>IFERROR(__xludf.DUMMYFUNCTION("""COMPUTED_VALUE"""),"6LK37380")</f>
        <v>6LK37380</v>
      </c>
      <c r="K2555" s="5">
        <f>IFERROR(__xludf.DUMMYFUNCTION("""COMPUTED_VALUE"""),9.0)</f>
        <v>9</v>
      </c>
      <c r="L2555" s="5" t="str">
        <f>IFERROR(__xludf.DUMMYFUNCTION("""COMPUTED_VALUE"""),"-")</f>
        <v>-</v>
      </c>
    </row>
    <row r="2556">
      <c r="A2556" s="5" t="str">
        <f>IFERROR(__xludf.DUMMYFUNCTION("""COMPUTED_VALUE"""),"TNL-MĐA-058")</f>
        <v>TNL-MĐA-058</v>
      </c>
      <c r="B2556" s="3" t="str">
        <f>IFERROR(__xludf.DUMMYFUNCTION("""COMPUTED_VALUE"""),"Máy đào gàu 0.5m3")</f>
        <v>Máy đào gàu 0.5m3</v>
      </c>
      <c r="C2556" s="5" t="str">
        <f>IFERROR(__xludf.DUMMYFUNCTION("""COMPUTED_VALUE"""),"CGTC LP")</f>
        <v>CGTC LP</v>
      </c>
      <c r="D2556" s="5" t="str">
        <f>IFERROR(__xludf.DUMMYFUNCTION("""COMPUTED_VALUE"""),"CAT")</f>
        <v>CAT</v>
      </c>
      <c r="E2556" s="5"/>
      <c r="F2556" s="5">
        <f>IFERROR(__xludf.DUMMYFUNCTION("""COMPUTED_VALUE"""),1991.0)</f>
        <v>1991</v>
      </c>
      <c r="G2556" s="5" t="str">
        <f>IFERROR(__xludf.DUMMYFUNCTION("""COMPUTED_VALUE"""),"E120B")</f>
        <v>E120B</v>
      </c>
      <c r="H2556" s="5" t="str">
        <f>IFERROR(__xludf.DUMMYFUNCTION("""COMPUTED_VALUE"""),"84HP")</f>
        <v>84HP</v>
      </c>
      <c r="I2556" s="5" t="str">
        <f>IFERROR(__xludf.DUMMYFUNCTION("""COMPUTED_VALUE"""),"7NF05829")</f>
        <v>7NF05829</v>
      </c>
      <c r="J2556" s="5" t="str">
        <f>IFERROR(__xludf.DUMMYFUNCTION("""COMPUTED_VALUE"""),"S4K010166")</f>
        <v>S4K010166</v>
      </c>
      <c r="K2556" s="5">
        <f>IFERROR(__xludf.DUMMYFUNCTION("""COMPUTED_VALUE"""),7.0)</f>
        <v>7</v>
      </c>
      <c r="L2556" s="5" t="str">
        <f>IFERROR(__xludf.DUMMYFUNCTION("""COMPUTED_VALUE"""),"-")</f>
        <v>-</v>
      </c>
    </row>
    <row r="2557">
      <c r="A2557" s="5" t="str">
        <f>IFERROR(__xludf.DUMMYFUNCTION("""COMPUTED_VALUE"""),"TNL-MĐA-059")</f>
        <v>TNL-MĐA-059</v>
      </c>
      <c r="B2557" s="3" t="str">
        <f>IFERROR(__xludf.DUMMYFUNCTION("""COMPUTED_VALUE"""),"Máy đào gàu 0.8m3")</f>
        <v>Máy đào gàu 0.8m3</v>
      </c>
      <c r="C2557" s="5" t="str">
        <f>IFERROR(__xludf.DUMMYFUNCTION("""COMPUTED_VALUE"""),"CGTC LP")</f>
        <v>CGTC LP</v>
      </c>
      <c r="D2557" s="5" t="str">
        <f>IFERROR(__xludf.DUMMYFUNCTION("""COMPUTED_VALUE"""),"CAT")</f>
        <v>CAT</v>
      </c>
      <c r="E2557" s="5"/>
      <c r="F2557" s="5"/>
      <c r="G2557" s="5" t="str">
        <f>IFERROR(__xludf.DUMMYFUNCTION("""COMPUTED_VALUE"""),"320CL")</f>
        <v>320CL</v>
      </c>
      <c r="H2557" s="5" t="str">
        <f>IFERROR(__xludf.DUMMYFUNCTION("""COMPUTED_VALUE"""),"138HP")</f>
        <v>138HP</v>
      </c>
      <c r="I2557" s="5" t="str">
        <f>IFERROR(__xludf.DUMMYFUNCTION("""COMPUTED_VALUE"""),"PAB07345")</f>
        <v>PAB07345</v>
      </c>
      <c r="J2557" s="5" t="str">
        <f>IFERROR(__xludf.DUMMYFUNCTION("""COMPUTED_VALUE"""),"MAE11827")</f>
        <v>MAE11827</v>
      </c>
      <c r="K2557" s="5">
        <f>IFERROR(__xludf.DUMMYFUNCTION("""COMPUTED_VALUE"""),13.0)</f>
        <v>13</v>
      </c>
      <c r="L2557" s="5" t="str">
        <f>IFERROR(__xludf.DUMMYFUNCTION("""COMPUTED_VALUE"""),"-")</f>
        <v>-</v>
      </c>
    </row>
    <row r="2558">
      <c r="A2558" s="5" t="str">
        <f>IFERROR(__xludf.DUMMYFUNCTION("""COMPUTED_VALUE"""),"TNL-MĐA-060")</f>
        <v>TNL-MĐA-060</v>
      </c>
      <c r="B2558" s="3" t="str">
        <f>IFERROR(__xludf.DUMMYFUNCTION("""COMPUTED_VALUE"""),"Máy đào gàu 0.5m3")</f>
        <v>Máy đào gàu 0.5m3</v>
      </c>
      <c r="C2558" s="5" t="str">
        <f>IFERROR(__xludf.DUMMYFUNCTION("""COMPUTED_VALUE"""),"CGTC LP")</f>
        <v>CGTC LP</v>
      </c>
      <c r="D2558" s="5" t="str">
        <f>IFERROR(__xludf.DUMMYFUNCTION("""COMPUTED_VALUE"""),"CAT")</f>
        <v>CAT</v>
      </c>
      <c r="E2558" s="5"/>
      <c r="F2558" s="5">
        <f>IFERROR(__xludf.DUMMYFUNCTION("""COMPUTED_VALUE"""),1999.0)</f>
        <v>1999</v>
      </c>
      <c r="G2558" s="5" t="str">
        <f>IFERROR(__xludf.DUMMYFUNCTION("""COMPUTED_VALUE"""),"E311B")</f>
        <v>E311B</v>
      </c>
      <c r="H2558" s="5"/>
      <c r="I2558" s="5" t="str">
        <f>IFERROR(__xludf.DUMMYFUNCTION("""COMPUTED_VALUE"""),"8GR000372")</f>
        <v>8GR000372</v>
      </c>
      <c r="J2558" s="5" t="str">
        <f>IFERROR(__xludf.DUMMYFUNCTION("""COMPUTED_VALUE"""),"3604")</f>
        <v>3604</v>
      </c>
      <c r="K2558" s="5">
        <f>IFERROR(__xludf.DUMMYFUNCTION("""COMPUTED_VALUE"""),7.0)</f>
        <v>7</v>
      </c>
      <c r="L2558" s="5" t="str">
        <f>IFERROR(__xludf.DUMMYFUNCTION("""COMPUTED_VALUE"""),"-")</f>
        <v>-</v>
      </c>
    </row>
    <row r="2559">
      <c r="A2559" s="5" t="str">
        <f>IFERROR(__xludf.DUMMYFUNCTION("""COMPUTED_VALUE"""),"TNL-MĐA-061")</f>
        <v>TNL-MĐA-061</v>
      </c>
      <c r="B2559" s="3" t="str">
        <f>IFERROR(__xludf.DUMMYFUNCTION("""COMPUTED_VALUE"""),"Máy đào gàu 0.5m3")</f>
        <v>Máy đào gàu 0.5m3</v>
      </c>
      <c r="C2559" s="5" t="str">
        <f>IFERROR(__xludf.DUMMYFUNCTION("""COMPUTED_VALUE"""),"CGTC LP")</f>
        <v>CGTC LP</v>
      </c>
      <c r="D2559" s="5" t="str">
        <f>IFERROR(__xludf.DUMMYFUNCTION("""COMPUTED_VALUE"""),"CAT")</f>
        <v>CAT</v>
      </c>
      <c r="E2559" s="5"/>
      <c r="F2559" s="5"/>
      <c r="G2559" s="5" t="str">
        <f>IFERROR(__xludf.DUMMYFUNCTION("""COMPUTED_VALUE"""),"312D2")</f>
        <v>312D2</v>
      </c>
      <c r="H2559" s="5" t="str">
        <f>IFERROR(__xludf.DUMMYFUNCTION("""COMPUTED_VALUE"""),"94HP")</f>
        <v>94HP</v>
      </c>
      <c r="I2559" s="5" t="str">
        <f>IFERROR(__xludf.DUMMYFUNCTION("""COMPUTED_VALUE"""),"CAT0312DJTJY00276")</f>
        <v>CAT0312DJTJY00276</v>
      </c>
      <c r="J2559" s="5" t="str">
        <f>IFERROR(__xludf.DUMMYFUNCTION("""COMPUTED_VALUE"""),"C5105022")</f>
        <v>C5105022</v>
      </c>
      <c r="K2559" s="5">
        <f>IFERROR(__xludf.DUMMYFUNCTION("""COMPUTED_VALUE"""),10.0)</f>
        <v>10</v>
      </c>
      <c r="L2559" s="5" t="str">
        <f>IFERROR(__xludf.DUMMYFUNCTION("""COMPUTED_VALUE"""),"Đang thuê")</f>
        <v>Đang thuê</v>
      </c>
    </row>
    <row r="2560">
      <c r="A2560" s="5" t="str">
        <f>IFERROR(__xludf.DUMMYFUNCTION("""COMPUTED_VALUE"""),"TNL-MĐA-062")</f>
        <v>TNL-MĐA-062</v>
      </c>
      <c r="B2560" s="3" t="str">
        <f>IFERROR(__xludf.DUMMYFUNCTION("""COMPUTED_VALUE"""),"Máy đào gàu 0.8m3")</f>
        <v>Máy đào gàu 0.8m3</v>
      </c>
      <c r="C2560" s="5" t="str">
        <f>IFERROR(__xludf.DUMMYFUNCTION("""COMPUTED_VALUE"""),"CGTC LP")</f>
        <v>CGTC LP</v>
      </c>
      <c r="D2560" s="5" t="str">
        <f>IFERROR(__xludf.DUMMYFUNCTION("""COMPUTED_VALUE"""),"CAT")</f>
        <v>CAT</v>
      </c>
      <c r="E2560" s="5"/>
      <c r="F2560" s="5">
        <f>IFERROR(__xludf.DUMMYFUNCTION("""COMPUTED_VALUE"""),1996.0)</f>
        <v>1996</v>
      </c>
      <c r="G2560" s="5" t="str">
        <f>IFERROR(__xludf.DUMMYFUNCTION("""COMPUTED_VALUE"""),"320B")</f>
        <v>320B</v>
      </c>
      <c r="H2560" s="5" t="str">
        <f>IFERROR(__xludf.DUMMYFUNCTION("""COMPUTED_VALUE"""),"150HP")</f>
        <v>150HP</v>
      </c>
      <c r="I2560" s="5" t="str">
        <f>IFERROR(__xludf.DUMMYFUNCTION("""COMPUTED_VALUE"""),"5BR00437")</f>
        <v>5BR00437</v>
      </c>
      <c r="J2560" s="5" t="str">
        <f>IFERROR(__xludf.DUMMYFUNCTION("""COMPUTED_VALUE"""),"7JK25117")</f>
        <v>7JK25117</v>
      </c>
      <c r="K2560" s="5">
        <f>IFERROR(__xludf.DUMMYFUNCTION("""COMPUTED_VALUE"""),15.0)</f>
        <v>15</v>
      </c>
      <c r="L2560" s="5" t="str">
        <f>IFERROR(__xludf.DUMMYFUNCTION("""COMPUTED_VALUE"""),"-")</f>
        <v>-</v>
      </c>
    </row>
    <row r="2561">
      <c r="A2561" s="5" t="str">
        <f>IFERROR(__xludf.DUMMYFUNCTION("""COMPUTED_VALUE"""),"TNL-MĐA-063")</f>
        <v>TNL-MĐA-063</v>
      </c>
      <c r="B2561" s="3" t="str">
        <f>IFERROR(__xludf.DUMMYFUNCTION("""COMPUTED_VALUE"""),"Máy đào gàu 0.8m3")</f>
        <v>Máy đào gàu 0.8m3</v>
      </c>
      <c r="C2561" s="5" t="str">
        <f>IFERROR(__xludf.DUMMYFUNCTION("""COMPUTED_VALUE"""),"CGTC LP")</f>
        <v>CGTC LP</v>
      </c>
      <c r="D2561" s="5" t="str">
        <f>IFERROR(__xludf.DUMMYFUNCTION("""COMPUTED_VALUE"""),"CAT")</f>
        <v>CAT</v>
      </c>
      <c r="E2561" s="5"/>
      <c r="F2561" s="5">
        <f>IFERROR(__xludf.DUMMYFUNCTION("""COMPUTED_VALUE"""),2009.0)</f>
        <v>2009</v>
      </c>
      <c r="G2561" s="5" t="str">
        <f>IFERROR(__xludf.DUMMYFUNCTION("""COMPUTED_VALUE"""),"320D")</f>
        <v>320D</v>
      </c>
      <c r="H2561" s="5" t="str">
        <f>IFERROR(__xludf.DUMMYFUNCTION("""COMPUTED_VALUE"""),"138HP")</f>
        <v>138HP</v>
      </c>
      <c r="I2561" s="5" t="str">
        <f>IFERROR(__xludf.DUMMYFUNCTION("""COMPUTED_VALUE"""),"CAT0320DCFAL03713")</f>
        <v>CAT0320DCFAL03713</v>
      </c>
      <c r="J2561" s="5" t="str">
        <f>IFERROR(__xludf.DUMMYFUNCTION("""COMPUTED_VALUE"""),"GDC36580")</f>
        <v>GDC36580</v>
      </c>
      <c r="K2561" s="5">
        <f>IFERROR(__xludf.DUMMYFUNCTION("""COMPUTED_VALUE"""),15.0)</f>
        <v>15</v>
      </c>
      <c r="L2561" s="5" t="str">
        <f>IFERROR(__xludf.DUMMYFUNCTION("""COMPUTED_VALUE"""),"-")</f>
        <v>-</v>
      </c>
    </row>
    <row r="2562">
      <c r="A2562" s="5" t="str">
        <f>IFERROR(__xludf.DUMMYFUNCTION("""COMPUTED_VALUE"""),"TNL-MĐA-064")</f>
        <v>TNL-MĐA-064</v>
      </c>
      <c r="B2562" s="3" t="str">
        <f>IFERROR(__xludf.DUMMYFUNCTION("""COMPUTED_VALUE"""),"Máy đào gàu 1.0m3")</f>
        <v>Máy đào gàu 1.0m3</v>
      </c>
      <c r="C2562" s="5" t="str">
        <f>IFERROR(__xludf.DUMMYFUNCTION("""COMPUTED_VALUE"""),"CGTC LP")</f>
        <v>CGTC LP</v>
      </c>
      <c r="D2562" s="5" t="str">
        <f>IFERROR(__xludf.DUMMYFUNCTION("""COMPUTED_VALUE"""),"CAT")</f>
        <v>CAT</v>
      </c>
      <c r="E2562" s="5"/>
      <c r="F2562" s="5">
        <f>IFERROR(__xludf.DUMMYFUNCTION("""COMPUTED_VALUE"""),1996.0)</f>
        <v>1996</v>
      </c>
      <c r="G2562" s="5" t="str">
        <f>IFERROR(__xludf.DUMMYFUNCTION("""COMPUTED_VALUE"""),"320L")</f>
        <v>320L</v>
      </c>
      <c r="H2562" s="5" t="str">
        <f>IFERROR(__xludf.DUMMYFUNCTION("""COMPUTED_VALUE"""),"128HP")</f>
        <v>128HP</v>
      </c>
      <c r="I2562" s="5" t="str">
        <f>IFERROR(__xludf.DUMMYFUNCTION("""COMPUTED_VALUE"""),"9KK03904")</f>
        <v>9KK03904</v>
      </c>
      <c r="J2562" s="5" t="str">
        <f>IFERROR(__xludf.DUMMYFUNCTION("""COMPUTED_VALUE"""),"MAE23160")</f>
        <v>MAE23160</v>
      </c>
      <c r="K2562" s="5">
        <f>IFERROR(__xludf.DUMMYFUNCTION("""COMPUTED_VALUE"""),16.0)</f>
        <v>16</v>
      </c>
      <c r="L2562" s="5" t="str">
        <f>IFERROR(__xludf.DUMMYFUNCTION("""COMPUTED_VALUE"""),"-")</f>
        <v>-</v>
      </c>
    </row>
    <row r="2563">
      <c r="A2563" s="5" t="str">
        <f>IFERROR(__xludf.DUMMYFUNCTION("""COMPUTED_VALUE"""),"TNL-MĐA-065")</f>
        <v>TNL-MĐA-065</v>
      </c>
      <c r="B2563" s="3" t="str">
        <f>IFERROR(__xludf.DUMMYFUNCTION("""COMPUTED_VALUE"""),"Máy đào gàu 0.8m3")</f>
        <v>Máy đào gàu 0.8m3</v>
      </c>
      <c r="C2563" s="5" t="str">
        <f>IFERROR(__xludf.DUMMYFUNCTION("""COMPUTED_VALUE"""),"CGTC LP")</f>
        <v>CGTC LP</v>
      </c>
      <c r="D2563" s="5" t="str">
        <f>IFERROR(__xludf.DUMMYFUNCTION("""COMPUTED_VALUE"""),"HITACHI")</f>
        <v>HITACHI</v>
      </c>
      <c r="E2563" s="5"/>
      <c r="F2563" s="5">
        <f>IFERROR(__xludf.DUMMYFUNCTION("""COMPUTED_VALUE"""),2014.0)</f>
        <v>2014</v>
      </c>
      <c r="G2563" s="5" t="str">
        <f>IFERROR(__xludf.DUMMYFUNCTION("""COMPUTED_VALUE"""),"ZX200-5G")</f>
        <v>ZX200-5G</v>
      </c>
      <c r="H2563" s="5" t="str">
        <f>IFERROR(__xludf.DUMMYFUNCTION("""COMPUTED_VALUE"""),"147HP")</f>
        <v>147HP</v>
      </c>
      <c r="I2563" s="5" t="str">
        <f>IFERROR(__xludf.DUMMYFUNCTION("""COMPUTED_VALUE"""),"HCMDC90C00303807")</f>
        <v>HCMDC90C00303807</v>
      </c>
      <c r="J2563" s="5" t="str">
        <f>IFERROR(__xludf.DUMMYFUNCTION("""COMPUTED_VALUE"""),"6BG1-354177")</f>
        <v>6BG1-354177</v>
      </c>
      <c r="K2563" s="5">
        <f>IFERROR(__xludf.DUMMYFUNCTION("""COMPUTED_VALUE"""),13.0)</f>
        <v>13</v>
      </c>
      <c r="L2563" s="5" t="str">
        <f>IFERROR(__xludf.DUMMYFUNCTION("""COMPUTED_VALUE"""),"Đang thuê")</f>
        <v>Đang thuê</v>
      </c>
    </row>
    <row r="2564">
      <c r="A2564" s="5" t="str">
        <f>IFERROR(__xludf.DUMMYFUNCTION("""COMPUTED_VALUE"""),"TNL-MĐA-066")</f>
        <v>TNL-MĐA-066</v>
      </c>
      <c r="B2564" s="3" t="str">
        <f>IFERROR(__xludf.DUMMYFUNCTION("""COMPUTED_VALUE"""),"Máy đào gàu 1.0m3")</f>
        <v>Máy đào gàu 1.0m3</v>
      </c>
      <c r="C2564" s="5" t="str">
        <f>IFERROR(__xludf.DUMMYFUNCTION("""COMPUTED_VALUE"""),"CGTC LP")</f>
        <v>CGTC LP</v>
      </c>
      <c r="D2564" s="5" t="str">
        <f>IFERROR(__xludf.DUMMYFUNCTION("""COMPUTED_VALUE"""),"CAT")</f>
        <v>CAT</v>
      </c>
      <c r="E2564" s="5"/>
      <c r="F2564" s="5">
        <f>IFERROR(__xludf.DUMMYFUNCTION("""COMPUTED_VALUE"""),2008.0)</f>
        <v>2008</v>
      </c>
      <c r="G2564" s="5" t="str">
        <f>IFERROR(__xludf.DUMMYFUNCTION("""COMPUTED_VALUE"""),"320D")</f>
        <v>320D</v>
      </c>
      <c r="H2564" s="5" t="str">
        <f>IFERROR(__xludf.DUMMYFUNCTION("""COMPUTED_VALUE"""),"140HP")</f>
        <v>140HP</v>
      </c>
      <c r="I2564" s="5" t="str">
        <f>IFERROR(__xludf.DUMMYFUNCTION("""COMPUTED_VALUE"""),"VBD204175")</f>
        <v>VBD204175</v>
      </c>
      <c r="J2564" s="5" t="str">
        <f>IFERROR(__xludf.DUMMYFUNCTION("""COMPUTED_VALUE"""),"6DC2-7018")</f>
        <v>6DC2-7018</v>
      </c>
      <c r="K2564" s="5">
        <f>IFERROR(__xludf.DUMMYFUNCTION("""COMPUTED_VALUE"""),17.0)</f>
        <v>17</v>
      </c>
      <c r="L2564" s="5" t="str">
        <f>IFERROR(__xludf.DUMMYFUNCTION("""COMPUTED_VALUE"""),"Đang thuê")</f>
        <v>Đang thuê</v>
      </c>
    </row>
    <row r="2565">
      <c r="A2565" s="5" t="str">
        <f>IFERROR(__xludf.DUMMYFUNCTION("""COMPUTED_VALUE"""),"TNL-MĐA-067")</f>
        <v>TNL-MĐA-067</v>
      </c>
      <c r="B2565" s="3" t="str">
        <f>IFERROR(__xludf.DUMMYFUNCTION("""COMPUTED_VALUE"""),"Máy đào gàu 0.5m3")</f>
        <v>Máy đào gàu 0.5m3</v>
      </c>
      <c r="C2565" s="5" t="str">
        <f>IFERROR(__xludf.DUMMYFUNCTION("""COMPUTED_VALUE"""),"CGTC LP")</f>
        <v>CGTC LP</v>
      </c>
      <c r="D2565" s="5" t="str">
        <f>IFERROR(__xludf.DUMMYFUNCTION("""COMPUTED_VALUE"""),"CAT")</f>
        <v>CAT</v>
      </c>
      <c r="E2565" s="5"/>
      <c r="F2565" s="5">
        <f>IFERROR(__xludf.DUMMYFUNCTION("""COMPUTED_VALUE"""),1991.0)</f>
        <v>1991</v>
      </c>
      <c r="G2565" s="5" t="str">
        <f>IFERROR(__xludf.DUMMYFUNCTION("""COMPUTED_VALUE"""),"E120B")</f>
        <v>E120B</v>
      </c>
      <c r="H2565" s="5" t="str">
        <f>IFERROR(__xludf.DUMMYFUNCTION("""COMPUTED_VALUE"""),"84HP")</f>
        <v>84HP</v>
      </c>
      <c r="I2565" s="5" t="str">
        <f>IFERROR(__xludf.DUMMYFUNCTION("""COMPUTED_VALUE"""),"7NF06756")</f>
        <v>7NF06756</v>
      </c>
      <c r="J2565" s="5" t="str">
        <f>IFERROR(__xludf.DUMMYFUNCTION("""COMPUTED_VALUE"""),"S4K-211770")</f>
        <v>S4K-211770</v>
      </c>
      <c r="K2565" s="5">
        <f>IFERROR(__xludf.DUMMYFUNCTION("""COMPUTED_VALUE"""),10.0)</f>
        <v>10</v>
      </c>
      <c r="L2565" s="5" t="str">
        <f>IFERROR(__xludf.DUMMYFUNCTION("""COMPUTED_VALUE"""),"-")</f>
        <v>-</v>
      </c>
    </row>
    <row r="2566">
      <c r="A2566" s="5" t="str">
        <f>IFERROR(__xludf.DUMMYFUNCTION("""COMPUTED_VALUE"""),"TNL-MĐA-068")</f>
        <v>TNL-MĐA-068</v>
      </c>
      <c r="B2566" s="3" t="str">
        <f>IFERROR(__xludf.DUMMYFUNCTION("""COMPUTED_VALUE"""),"Máy đào gàu 0.5m3")</f>
        <v>Máy đào gàu 0.5m3</v>
      </c>
      <c r="C2566" s="5" t="str">
        <f>IFERROR(__xludf.DUMMYFUNCTION("""COMPUTED_VALUE"""),"Ban điện nước")</f>
        <v>Ban điện nước</v>
      </c>
      <c r="D2566" s="5" t="str">
        <f>IFERROR(__xludf.DUMMYFUNCTION("""COMPUTED_VALUE"""),"CAT")</f>
        <v>CAT</v>
      </c>
      <c r="E2566" s="5"/>
      <c r="F2566" s="5">
        <f>IFERROR(__xludf.DUMMYFUNCTION("""COMPUTED_VALUE"""),1998.0)</f>
        <v>1998</v>
      </c>
      <c r="G2566" s="5" t="str">
        <f>IFERROR(__xludf.DUMMYFUNCTION("""COMPUTED_VALUE"""),"312")</f>
        <v>312</v>
      </c>
      <c r="H2566" s="5" t="str">
        <f>IFERROR(__xludf.DUMMYFUNCTION("""COMPUTED_VALUE"""),"90HP")</f>
        <v>90HP</v>
      </c>
      <c r="I2566" s="5" t="str">
        <f>IFERROR(__xludf.DUMMYFUNCTION("""COMPUTED_VALUE"""),"7DK00510")</f>
        <v>7DK00510</v>
      </c>
      <c r="J2566" s="5" t="str">
        <f>IFERROR(__xludf.DUMMYFUNCTION("""COMPUTED_VALUE"""),"6LK00510")</f>
        <v>6LK00510</v>
      </c>
      <c r="K2566" s="5">
        <f>IFERROR(__xludf.DUMMYFUNCTION("""COMPUTED_VALUE"""),10.0)</f>
        <v>10</v>
      </c>
      <c r="L2566" s="5" t="str">
        <f>IFERROR(__xludf.DUMMYFUNCTION("""COMPUTED_VALUE"""),"-")</f>
        <v>-</v>
      </c>
    </row>
    <row r="2567">
      <c r="A2567" s="5" t="str">
        <f>IFERROR(__xludf.DUMMYFUNCTION("""COMPUTED_VALUE"""),"TNL-MĐA-069")</f>
        <v>TNL-MĐA-069</v>
      </c>
      <c r="B2567" s="3" t="str">
        <f>IFERROR(__xludf.DUMMYFUNCTION("""COMPUTED_VALUE"""),"Máy đào gàu 0.5m3 ")</f>
        <v>Máy đào gàu 0.5m3 </v>
      </c>
      <c r="C2567" s="5" t="str">
        <f>IFERROR(__xludf.DUMMYFUNCTION("""COMPUTED_VALUE"""),"XN Chuối LP1")</f>
        <v>XN Chuối LP1</v>
      </c>
      <c r="D2567" s="5" t="str">
        <f>IFERROR(__xludf.DUMMYFUNCTION("""COMPUTED_VALUE"""),"HYUNDAI")</f>
        <v>HYUNDAI</v>
      </c>
      <c r="E2567" s="5"/>
      <c r="F2567" s="5">
        <f>IFERROR(__xludf.DUMMYFUNCTION("""COMPUTED_VALUE"""),2014.0)</f>
        <v>2014</v>
      </c>
      <c r="G2567" s="5" t="str">
        <f>IFERROR(__xludf.DUMMYFUNCTION("""COMPUTED_VALUE"""),"R140W-9S")</f>
        <v>R140W-9S</v>
      </c>
      <c r="H2567" s="5" t="str">
        <f>IFERROR(__xludf.DUMMYFUNCTION("""COMPUTED_VALUE"""),"114HP")</f>
        <v>114HP</v>
      </c>
      <c r="I2567" s="5" t="str">
        <f>IFERROR(__xludf.DUMMYFUNCTION("""COMPUTED_VALUE"""),"HHKHZ412HE0000480")</f>
        <v>HHKHZ412HE0000480</v>
      </c>
      <c r="J2567" s="5" t="str">
        <f>IFERROR(__xludf.DUMMYFUNCTION("""COMPUTED_VALUE"""),"26494428")</f>
        <v>26494428</v>
      </c>
      <c r="K2567" s="5">
        <f>IFERROR(__xludf.DUMMYFUNCTION("""COMPUTED_VALUE"""),7.5)</f>
        <v>7.5</v>
      </c>
      <c r="L2567" s="5" t="str">
        <f>IFERROR(__xludf.DUMMYFUNCTION("""COMPUTED_VALUE"""),"Đang thuê")</f>
        <v>Đang thuê</v>
      </c>
    </row>
    <row r="2568">
      <c r="A2568" s="5" t="str">
        <f>IFERROR(__xludf.DUMMYFUNCTION("""COMPUTED_VALUE"""),"TNL-MĐA-070")</f>
        <v>TNL-MĐA-070</v>
      </c>
      <c r="B2568" s="3" t="str">
        <f>IFERROR(__xludf.DUMMYFUNCTION("""COMPUTED_VALUE"""),"Máy đào gàu 0.5m3")</f>
        <v>Máy đào gàu 0.5m3</v>
      </c>
      <c r="C2568" s="5" t="str">
        <f>IFERROR(__xludf.DUMMYFUNCTION("""COMPUTED_VALUE"""),"Ban điện nước")</f>
        <v>Ban điện nước</v>
      </c>
      <c r="D2568" s="5" t="str">
        <f>IFERROR(__xludf.DUMMYFUNCTION("""COMPUTED_VALUE"""),"CAT")</f>
        <v>CAT</v>
      </c>
      <c r="E2568" s="5"/>
      <c r="F2568" s="5">
        <f>IFERROR(__xludf.DUMMYFUNCTION("""COMPUTED_VALUE"""),1996.0)</f>
        <v>1996</v>
      </c>
      <c r="G2568" s="5" t="str">
        <f>IFERROR(__xludf.DUMMYFUNCTION("""COMPUTED_VALUE"""),"312")</f>
        <v>312</v>
      </c>
      <c r="H2568" s="5" t="str">
        <f>IFERROR(__xludf.DUMMYFUNCTION("""COMPUTED_VALUE"""),"90HP")</f>
        <v>90HP</v>
      </c>
      <c r="I2568" s="5" t="str">
        <f>IFERROR(__xludf.DUMMYFUNCTION("""COMPUTED_VALUE"""),"7DK06962")</f>
        <v>7DK06962</v>
      </c>
      <c r="J2568" s="5" t="str">
        <f>IFERROR(__xludf.DUMMYFUNCTION("""COMPUTED_VALUE"""),"6LK11375")</f>
        <v>6LK11375</v>
      </c>
      <c r="K2568" s="5">
        <f>IFERROR(__xludf.DUMMYFUNCTION("""COMPUTED_VALUE"""),9.0)</f>
        <v>9</v>
      </c>
      <c r="L2568" s="5" t="str">
        <f>IFERROR(__xludf.DUMMYFUNCTION("""COMPUTED_VALUE"""),"-")</f>
        <v>-</v>
      </c>
    </row>
    <row r="2569">
      <c r="A2569" s="5" t="str">
        <f>IFERROR(__xludf.DUMMYFUNCTION("""COMPUTED_VALUE"""),"TNL-MĐA-071")</f>
        <v>TNL-MĐA-071</v>
      </c>
      <c r="B2569" s="3" t="str">
        <f>IFERROR(__xludf.DUMMYFUNCTION("""COMPUTED_VALUE"""),"Máy đào gàu 1.2m3")</f>
        <v>Máy đào gàu 1.2m3</v>
      </c>
      <c r="C2569" s="5" t="str">
        <f>IFERROR(__xludf.DUMMYFUNCTION("""COMPUTED_VALUE"""),"CGTC LP")</f>
        <v>CGTC LP</v>
      </c>
      <c r="D2569" s="5" t="str">
        <f>IFERROR(__xludf.DUMMYFUNCTION("""COMPUTED_VALUE"""),"SUMITOMO")</f>
        <v>SUMITOMO</v>
      </c>
      <c r="E2569" s="5"/>
      <c r="F2569" s="5">
        <f>IFERROR(__xludf.DUMMYFUNCTION("""COMPUTED_VALUE"""),2024.0)</f>
        <v>2024</v>
      </c>
      <c r="G2569" s="5" t="str">
        <f>IFERROR(__xludf.DUMMYFUNCTION("""COMPUTED_VALUE"""),"SH210-6")</f>
        <v>SH210-6</v>
      </c>
      <c r="H2569" s="5" t="str">
        <f>IFERROR(__xludf.DUMMYFUNCTION("""COMPUTED_VALUE"""),"162HP")</f>
        <v>162HP</v>
      </c>
      <c r="I2569" s="5" t="str">
        <f>IFERROR(__xludf.DUMMYFUNCTION("""COMPUTED_VALUE"""),"STN210T6P00BH5726")</f>
        <v>STN210T6P00BH5726</v>
      </c>
      <c r="J2569" s="5" t="str">
        <f>IFERROR(__xludf.DUMMYFUNCTION("""COMPUTED_VALUE"""),"4HK1-870504")</f>
        <v>4HK1-870504</v>
      </c>
      <c r="K2569" s="5">
        <f>IFERROR(__xludf.DUMMYFUNCTION("""COMPUTED_VALUE"""),17.0)</f>
        <v>17</v>
      </c>
      <c r="L2569" s="5" t="str">
        <f>IFERROR(__xludf.DUMMYFUNCTION("""COMPUTED_VALUE"""),"-")</f>
        <v>-</v>
      </c>
    </row>
    <row r="2570">
      <c r="A2570" s="5" t="str">
        <f>IFERROR(__xludf.DUMMYFUNCTION("""COMPUTED_VALUE"""),"TNL-MĐA-072")</f>
        <v>TNL-MĐA-072</v>
      </c>
      <c r="B2570" s="3" t="str">
        <f>IFERROR(__xludf.DUMMYFUNCTION("""COMPUTED_VALUE"""),"Máy đào gàu 0.8m3")</f>
        <v>Máy đào gàu 0.8m3</v>
      </c>
      <c r="C2570" s="5" t="str">
        <f>IFERROR(__xludf.DUMMYFUNCTION("""COMPUTED_VALUE"""),"CGTC LP")</f>
        <v>CGTC LP</v>
      </c>
      <c r="D2570" s="5" t="str">
        <f>IFERROR(__xludf.DUMMYFUNCTION("""COMPUTED_VALUE"""),"CAT")</f>
        <v>CAT</v>
      </c>
      <c r="E2570" s="5"/>
      <c r="F2570" s="5">
        <f>IFERROR(__xludf.DUMMYFUNCTION("""COMPUTED_VALUE"""),2006.0)</f>
        <v>2006</v>
      </c>
      <c r="G2570" s="5" t="str">
        <f>IFERROR(__xludf.DUMMYFUNCTION("""COMPUTED_VALUE"""),"320CL")</f>
        <v>320CL</v>
      </c>
      <c r="H2570" s="5" t="str">
        <f>IFERROR(__xludf.DUMMYFUNCTION("""COMPUTED_VALUE"""),"138HP")</f>
        <v>138HP</v>
      </c>
      <c r="I2570" s="5" t="str">
        <f>IFERROR(__xludf.DUMMYFUNCTION("""COMPUTED_VALUE"""),"ANB00311")</f>
        <v>ANB00311</v>
      </c>
      <c r="J2570" s="5" t="str">
        <f>IFERROR(__xludf.DUMMYFUNCTION("""COMPUTED_VALUE"""),"3066-7JK44692")</f>
        <v>3066-7JK44692</v>
      </c>
      <c r="K2570" s="5">
        <f>IFERROR(__xludf.DUMMYFUNCTION("""COMPUTED_VALUE"""),14.0)</f>
        <v>14</v>
      </c>
      <c r="L2570" s="5" t="str">
        <f>IFERROR(__xludf.DUMMYFUNCTION("""COMPUTED_VALUE"""),"Đang thuê")</f>
        <v>Đang thuê</v>
      </c>
    </row>
    <row r="2571">
      <c r="A2571" s="5" t="str">
        <f>IFERROR(__xludf.DUMMYFUNCTION("""COMPUTED_VALUE"""),"TNL-MĐA-073")</f>
        <v>TNL-MĐA-073</v>
      </c>
      <c r="B2571" s="3" t="str">
        <f>IFERROR(__xludf.DUMMYFUNCTION("""COMPUTED_VALUE"""),"Máy đào gàu 0.5m3")</f>
        <v>Máy đào gàu 0.5m3</v>
      </c>
      <c r="C2571" s="5" t="str">
        <f>IFERROR(__xludf.DUMMYFUNCTION("""COMPUTED_VALUE"""),"CGTC LP")</f>
        <v>CGTC LP</v>
      </c>
      <c r="D2571" s="5" t="str">
        <f>IFERROR(__xludf.DUMMYFUNCTION("""COMPUTED_VALUE"""),"CAT")</f>
        <v>CAT</v>
      </c>
      <c r="E2571" s="5"/>
      <c r="F2571" s="5">
        <f>IFERROR(__xludf.DUMMYFUNCTION("""COMPUTED_VALUE"""),2005.0)</f>
        <v>2005</v>
      </c>
      <c r="G2571" s="5" t="str">
        <f>IFERROR(__xludf.DUMMYFUNCTION("""COMPUTED_VALUE"""),"312C")</f>
        <v>312C</v>
      </c>
      <c r="H2571" s="5" t="str">
        <f>IFERROR(__xludf.DUMMYFUNCTION("""COMPUTED_VALUE"""),"94HP")</f>
        <v>94HP</v>
      </c>
      <c r="I2571" s="5" t="str">
        <f>IFERROR(__xludf.DUMMYFUNCTION("""COMPUTED_VALUE"""),"CAT0312CCFDS00398")</f>
        <v>CAT0312CCFDS00398</v>
      </c>
      <c r="J2571" s="5" t="str">
        <f>IFERROR(__xludf.DUMMYFUNCTION("""COMPUTED_VALUE"""),"6LK36262")</f>
        <v>6LK36262</v>
      </c>
      <c r="K2571" s="5">
        <f>IFERROR(__xludf.DUMMYFUNCTION("""COMPUTED_VALUE"""),9.0)</f>
        <v>9</v>
      </c>
      <c r="L2571" s="5" t="str">
        <f>IFERROR(__xludf.DUMMYFUNCTION("""COMPUTED_VALUE"""),"Đang thuê")</f>
        <v>Đang thuê</v>
      </c>
    </row>
    <row r="2572">
      <c r="A2572" s="5" t="str">
        <f>IFERROR(__xludf.DUMMYFUNCTION("""COMPUTED_VALUE"""),"TNL-MĐA-074")</f>
        <v>TNL-MĐA-074</v>
      </c>
      <c r="B2572" s="3" t="str">
        <f>IFERROR(__xludf.DUMMYFUNCTION("""COMPUTED_VALUE"""),"Máy đào gàu 0.5m3")</f>
        <v>Máy đào gàu 0.5m3</v>
      </c>
      <c r="C2572" s="5" t="str">
        <f>IFERROR(__xludf.DUMMYFUNCTION("""COMPUTED_VALUE"""),"CGTC LP")</f>
        <v>CGTC LP</v>
      </c>
      <c r="D2572" s="5" t="str">
        <f>IFERROR(__xludf.DUMMYFUNCTION("""COMPUTED_VALUE"""),"CAT")</f>
        <v>CAT</v>
      </c>
      <c r="E2572" s="5"/>
      <c r="F2572" s="5">
        <f>IFERROR(__xludf.DUMMYFUNCTION("""COMPUTED_VALUE"""),1991.0)</f>
        <v>1991</v>
      </c>
      <c r="G2572" s="5" t="str">
        <f>IFERROR(__xludf.DUMMYFUNCTION("""COMPUTED_VALUE"""),"E120L3")</f>
        <v>E120L3</v>
      </c>
      <c r="H2572" s="5" t="str">
        <f>IFERROR(__xludf.DUMMYFUNCTION("""COMPUTED_VALUE"""),"90HP")</f>
        <v>90HP</v>
      </c>
      <c r="I2572" s="5" t="str">
        <f>IFERROR(__xludf.DUMMYFUNCTION("""COMPUTED_VALUE"""),"7NF06940")</f>
        <v>7NF06940</v>
      </c>
      <c r="J2572" s="5" t="str">
        <f>IFERROR(__xludf.DUMMYFUNCTION("""COMPUTED_VALUE"""),"212281")</f>
        <v>212281</v>
      </c>
      <c r="K2572" s="5">
        <f>IFERROR(__xludf.DUMMYFUNCTION("""COMPUTED_VALUE"""),10.0)</f>
        <v>10</v>
      </c>
      <c r="L2572" s="5" t="str">
        <f>IFERROR(__xludf.DUMMYFUNCTION("""COMPUTED_VALUE"""),"Đang thuê")</f>
        <v>Đang thuê</v>
      </c>
    </row>
    <row r="2573">
      <c r="A2573" s="5" t="str">
        <f>IFERROR(__xludf.DUMMYFUNCTION("""COMPUTED_VALUE"""),"TNL-MĐA-075")</f>
        <v>TNL-MĐA-075</v>
      </c>
      <c r="B2573" s="3" t="str">
        <f>IFERROR(__xludf.DUMMYFUNCTION("""COMPUTED_VALUE"""),"Máy đào gàu 0.5m3")</f>
        <v>Máy đào gàu 0.5m3</v>
      </c>
      <c r="C2573" s="5" t="str">
        <f>IFERROR(__xludf.DUMMYFUNCTION("""COMPUTED_VALUE"""),"Ban điện nước")</f>
        <v>Ban điện nước</v>
      </c>
      <c r="D2573" s="5" t="str">
        <f>IFERROR(__xludf.DUMMYFUNCTION("""COMPUTED_VALUE"""),"CAT")</f>
        <v>CAT</v>
      </c>
      <c r="E2573" s="5"/>
      <c r="F2573" s="5">
        <f>IFERROR(__xludf.DUMMYFUNCTION("""COMPUTED_VALUE"""),1996.0)</f>
        <v>1996</v>
      </c>
      <c r="G2573" s="5" t="str">
        <f>IFERROR(__xludf.DUMMYFUNCTION("""COMPUTED_VALUE"""),"312")</f>
        <v>312</v>
      </c>
      <c r="H2573" s="5" t="str">
        <f>IFERROR(__xludf.DUMMYFUNCTION("""COMPUTED_VALUE"""),"90HP")</f>
        <v>90HP</v>
      </c>
      <c r="I2573" s="5" t="str">
        <f>IFERROR(__xludf.DUMMYFUNCTION("""COMPUTED_VALUE"""),"6GK00739")</f>
        <v>6GK00739</v>
      </c>
      <c r="J2573" s="5" t="str">
        <f>IFERROR(__xludf.DUMMYFUNCTION("""COMPUTED_VALUE"""),"6LK05044")</f>
        <v>6LK05044</v>
      </c>
      <c r="K2573" s="5">
        <f>IFERROR(__xludf.DUMMYFUNCTION("""COMPUTED_VALUE"""),9.0)</f>
        <v>9</v>
      </c>
      <c r="L2573" s="5" t="str">
        <f>IFERROR(__xludf.DUMMYFUNCTION("""COMPUTED_VALUE"""),"Đang thuê")</f>
        <v>Đang thuê</v>
      </c>
    </row>
    <row r="2574">
      <c r="A2574" s="5" t="str">
        <f>IFERROR(__xludf.DUMMYFUNCTION("""COMPUTED_VALUE"""),"TNL-MĐA-076")</f>
        <v>TNL-MĐA-076</v>
      </c>
      <c r="B2574" s="3" t="str">
        <f>IFERROR(__xludf.DUMMYFUNCTION("""COMPUTED_VALUE"""),"Máy đào gàu 1,2m3")</f>
        <v>Máy đào gàu 1,2m3</v>
      </c>
      <c r="C2574" s="5" t="str">
        <f>IFERROR(__xludf.DUMMYFUNCTION("""COMPUTED_VALUE"""),"CGTC LP")</f>
        <v>CGTC LP</v>
      </c>
      <c r="D2574" s="5" t="str">
        <f>IFERROR(__xludf.DUMMYFUNCTION("""COMPUTED_VALUE"""),"CAT")</f>
        <v>CAT</v>
      </c>
      <c r="E2574" s="5"/>
      <c r="F2574" s="5">
        <f>IFERROR(__xludf.DUMMYFUNCTION("""COMPUTED_VALUE"""),2001.0)</f>
        <v>2001</v>
      </c>
      <c r="G2574" s="5" t="str">
        <f>IFERROR(__xludf.DUMMYFUNCTION("""COMPUTED_VALUE"""),"320C")</f>
        <v>320C</v>
      </c>
      <c r="H2574" s="5" t="str">
        <f>IFERROR(__xludf.DUMMYFUNCTION("""COMPUTED_VALUE"""),"148HP")</f>
        <v>148HP</v>
      </c>
      <c r="I2574" s="5" t="str">
        <f>IFERROR(__xludf.DUMMYFUNCTION("""COMPUTED_VALUE"""),"CAT0320CAGB00271")</f>
        <v>CAT0320CAGB00271</v>
      </c>
      <c r="J2574" s="5" t="str">
        <f>IFERROR(__xludf.DUMMYFUNCTION("""COMPUTED_VALUE"""),"7JK71170")</f>
        <v>7JK71170</v>
      </c>
      <c r="K2574" s="5">
        <f>IFERROR(__xludf.DUMMYFUNCTION("""COMPUTED_VALUE"""),15.0)</f>
        <v>15</v>
      </c>
      <c r="L2574" s="5" t="str">
        <f>IFERROR(__xludf.DUMMYFUNCTION("""COMPUTED_VALUE"""),"-")</f>
        <v>-</v>
      </c>
    </row>
    <row r="2575">
      <c r="A2575" s="5" t="str">
        <f>IFERROR(__xludf.DUMMYFUNCTION("""COMPUTED_VALUE"""),"TNL-MĐA-077")</f>
        <v>TNL-MĐA-077</v>
      </c>
      <c r="B2575" s="3" t="str">
        <f>IFERROR(__xludf.DUMMYFUNCTION("""COMPUTED_VALUE"""),"Máy đào gàu 0,5m3")</f>
        <v>Máy đào gàu 0,5m3</v>
      </c>
      <c r="C2575" s="5" t="str">
        <f>IFERROR(__xludf.DUMMYFUNCTION("""COMPUTED_VALUE"""),"CGTC LP")</f>
        <v>CGTC LP</v>
      </c>
      <c r="D2575" s="5" t="str">
        <f>IFERROR(__xludf.DUMMYFUNCTION("""COMPUTED_VALUE"""),"CAT")</f>
        <v>CAT</v>
      </c>
      <c r="E2575" s="5"/>
      <c r="F2575" s="5">
        <f>IFERROR(__xludf.DUMMYFUNCTION("""COMPUTED_VALUE"""),2004.0)</f>
        <v>2004</v>
      </c>
      <c r="G2575" s="5" t="str">
        <f>IFERROR(__xludf.DUMMYFUNCTION("""COMPUTED_VALUE"""),"312c")</f>
        <v>312c</v>
      </c>
      <c r="H2575" s="5" t="str">
        <f>IFERROR(__xludf.DUMMYFUNCTION("""COMPUTED_VALUE"""),"90hp")</f>
        <v>90hp</v>
      </c>
      <c r="I2575" s="5" t="str">
        <f>IFERROR(__xludf.DUMMYFUNCTION("""COMPUTED_VALUE"""),"CAT0312CCCBA00311")</f>
        <v>CAT0312CCCBA00311</v>
      </c>
      <c r="J2575" s="5" t="str">
        <f>IFERROR(__xludf.DUMMYFUNCTION("""COMPUTED_VALUE"""),"6LK25242")</f>
        <v>6LK25242</v>
      </c>
      <c r="K2575" s="5">
        <f>IFERROR(__xludf.DUMMYFUNCTION("""COMPUTED_VALUE"""),9.0)</f>
        <v>9</v>
      </c>
      <c r="L2575" s="5" t="str">
        <f>IFERROR(__xludf.DUMMYFUNCTION("""COMPUTED_VALUE"""),"Đang thuê")</f>
        <v>Đang thuê</v>
      </c>
    </row>
    <row r="2576">
      <c r="A2576" s="5" t="str">
        <f>IFERROR(__xludf.DUMMYFUNCTION("""COMPUTED_VALUE"""),"TNL-MĐA-078")</f>
        <v>TNL-MĐA-078</v>
      </c>
      <c r="B2576" s="3" t="str">
        <f>IFERROR(__xludf.DUMMYFUNCTION("""COMPUTED_VALUE"""),"Máy đào gàu 0,5m3")</f>
        <v>Máy đào gàu 0,5m3</v>
      </c>
      <c r="C2576" s="5" t="str">
        <f>IFERROR(__xludf.DUMMYFUNCTION("""COMPUTED_VALUE"""),"CGTC LP")</f>
        <v>CGTC LP</v>
      </c>
      <c r="D2576" s="5"/>
      <c r="E2576" s="5"/>
      <c r="F2576" s="5"/>
      <c r="G2576" s="5"/>
      <c r="H2576" s="5"/>
      <c r="I2576" s="5"/>
      <c r="J2576" s="5"/>
      <c r="K2576" s="5">
        <f>IFERROR(__xludf.DUMMYFUNCTION("""COMPUTED_VALUE"""),9.0)</f>
        <v>9</v>
      </c>
      <c r="L2576" s="5" t="str">
        <f>IFERROR(__xludf.DUMMYFUNCTION("""COMPUTED_VALUE"""),"Đang thuê")</f>
        <v>Đang thuê</v>
      </c>
    </row>
    <row r="2577">
      <c r="A2577" s="5" t="str">
        <f>IFERROR(__xludf.DUMMYFUNCTION("""COMPUTED_VALUE"""),"TNL-MĐA-080")</f>
        <v>TNL-MĐA-080</v>
      </c>
      <c r="B2577" s="3" t="str">
        <f>IFERROR(__xludf.DUMMYFUNCTION("""COMPUTED_VALUE"""),"Máy đào gàu 0,9m3")</f>
        <v>Máy đào gàu 0,9m3</v>
      </c>
      <c r="C2577" s="5" t="str">
        <f>IFERROR(__xludf.DUMMYFUNCTION("""COMPUTED_VALUE"""),"CGTC LP")</f>
        <v>CGTC LP</v>
      </c>
      <c r="D2577" s="5" t="str">
        <f>IFERROR(__xludf.DUMMYFUNCTION("""COMPUTED_VALUE"""),"H/D CRAWLER")</f>
        <v>H/D CRAWLER</v>
      </c>
      <c r="E2577" s="5"/>
      <c r="F2577" s="5">
        <f>IFERROR(__xludf.DUMMYFUNCTION("""COMPUTED_VALUE"""),2013.0)</f>
        <v>2013</v>
      </c>
      <c r="G2577" s="5" t="str">
        <f>IFERROR(__xludf.DUMMYFUNCTION("""COMPUTED_VALUE"""),"R220LC-9S")</f>
        <v>R220LC-9S</v>
      </c>
      <c r="H2577" s="5" t="str">
        <f>IFERROR(__xludf.DUMMYFUNCTION("""COMPUTED_VALUE"""),"150HP")</f>
        <v>150HP</v>
      </c>
      <c r="I2577" s="5" t="str">
        <f>IFERROR(__xludf.DUMMYFUNCTION("""COMPUTED_VALUE"""),"HHKH2614LD0004927")</f>
        <v>HHKH2614LD0004927</v>
      </c>
      <c r="J2577" s="5" t="str">
        <f>IFERROR(__xludf.DUMMYFUNCTION("""COMPUTED_VALUE"""),"73496240")</f>
        <v>73496240</v>
      </c>
      <c r="K2577" s="5">
        <f>IFERROR(__xludf.DUMMYFUNCTION("""COMPUTED_VALUE"""),14.5)</f>
        <v>14.5</v>
      </c>
      <c r="L2577" s="5" t="str">
        <f>IFERROR(__xludf.DUMMYFUNCTION("""COMPUTED_VALUE"""),"Đang thuê")</f>
        <v>Đang thuê</v>
      </c>
    </row>
    <row r="2578">
      <c r="A2578" s="5" t="str">
        <f>IFERROR(__xludf.DUMMYFUNCTION("""COMPUTED_VALUE"""),"TNL-MĐA-081")</f>
        <v>TNL-MĐA-081</v>
      </c>
      <c r="B2578" s="3" t="str">
        <f>IFERROR(__xludf.DUMMYFUNCTION("""COMPUTED_VALUE"""),"Máy đào gàu 1,2m3")</f>
        <v>Máy đào gàu 1,2m3</v>
      </c>
      <c r="C2578" s="5" t="str">
        <f>IFERROR(__xludf.DUMMYFUNCTION("""COMPUTED_VALUE"""),"CGTC LP")</f>
        <v>CGTC LP</v>
      </c>
      <c r="D2578" s="5" t="str">
        <f>IFERROR(__xludf.DUMMYFUNCTION("""COMPUTED_VALUE"""),"CAT")</f>
        <v>CAT</v>
      </c>
      <c r="E2578" s="5"/>
      <c r="F2578" s="5">
        <f>IFERROR(__xludf.DUMMYFUNCTION("""COMPUTED_VALUE"""),2019.0)</f>
        <v>2019</v>
      </c>
      <c r="G2578" s="5" t="str">
        <f>IFERROR(__xludf.DUMMYFUNCTION("""COMPUTED_VALUE"""),"320GC")</f>
        <v>320GC</v>
      </c>
      <c r="H2578" s="5" t="str">
        <f>IFERROR(__xludf.DUMMYFUNCTION("""COMPUTED_VALUE"""),"145 HP")</f>
        <v>145 HP</v>
      </c>
      <c r="I2578" s="5" t="str">
        <f>IFERROR(__xludf.DUMMYFUNCTION("""COMPUTED_VALUE"""),"CAT000320TDKJ11878")</f>
        <v>CAT000320TDKJ11878</v>
      </c>
      <c r="J2578" s="5" t="str">
        <f>IFERROR(__xludf.DUMMYFUNCTION("""COMPUTED_VALUE"""),"2W211149")</f>
        <v>2W211149</v>
      </c>
      <c r="K2578" s="5">
        <f>IFERROR(__xludf.DUMMYFUNCTION("""COMPUTED_VALUE"""),14.0)</f>
        <v>14</v>
      </c>
      <c r="L2578" s="5" t="str">
        <f>IFERROR(__xludf.DUMMYFUNCTION("""COMPUTED_VALUE"""),"Đang thuê")</f>
        <v>Đang thuê</v>
      </c>
    </row>
    <row r="2579">
      <c r="A2579" s="5" t="str">
        <f>IFERROR(__xludf.DUMMYFUNCTION("""COMPUTED_VALUE"""),"TNL-Đ03-001")</f>
        <v>TNL-Đ03-001</v>
      </c>
      <c r="B2579" s="3" t="str">
        <f>IFERROR(__xludf.DUMMYFUNCTION("""COMPUTED_VALUE"""),"Máy đào gàu 0.3m3")</f>
        <v>Máy đào gàu 0.3m3</v>
      </c>
      <c r="C2579" s="5" t="str">
        <f>IFERROR(__xludf.DUMMYFUNCTION("""COMPUTED_VALUE"""),"XN SX")</f>
        <v>XN SX</v>
      </c>
      <c r="D2579" s="5" t="str">
        <f>IFERROR(__xludf.DUMMYFUNCTION("""COMPUTED_VALUE"""),"SAMSUNG")</f>
        <v>SAMSUNG</v>
      </c>
      <c r="E2579" s="5"/>
      <c r="F2579" s="5">
        <f>IFERROR(__xludf.DUMMYFUNCTION("""COMPUTED_VALUE"""),2007.0)</f>
        <v>2007</v>
      </c>
      <c r="G2579" s="5" t="str">
        <f>IFERROR(__xludf.DUMMYFUNCTION("""COMPUTED_VALUE"""),"Khảo sát đơn vị")</f>
        <v>Khảo sát đơn vị</v>
      </c>
      <c r="H2579" s="5" t="str">
        <f>IFERROR(__xludf.DUMMYFUNCTION("""COMPUTED_VALUE"""),"Khảo sát đơn vị")</f>
        <v>Khảo sát đơn vị</v>
      </c>
      <c r="I2579" s="5" t="str">
        <f>IFERROR(__xludf.DUMMYFUNCTION("""COMPUTED_VALUE"""),"NIL")</f>
        <v>NIL</v>
      </c>
      <c r="J2579" s="5" t="str">
        <f>IFERROR(__xludf.DUMMYFUNCTION("""COMPUTED_VALUE"""),"EC55Y05280")</f>
        <v>EC55Y05280</v>
      </c>
      <c r="K2579" s="5"/>
      <c r="L2579" s="5" t="str">
        <f>IFERROR(__xludf.DUMMYFUNCTION("""COMPUTED_VALUE"""),"-")</f>
        <v>-</v>
      </c>
    </row>
    <row r="2580">
      <c r="A2580" s="5" t="str">
        <f>IFERROR(__xludf.DUMMYFUNCTION("""COMPUTED_VALUE"""),"TNL-Đ03-002")</f>
        <v>TNL-Đ03-002</v>
      </c>
      <c r="B2580" s="3" t="str">
        <f>IFERROR(__xludf.DUMMYFUNCTION("""COMPUTED_VALUE"""),"Máy đào gàu 0.3m3")</f>
        <v>Máy đào gàu 0.3m3</v>
      </c>
      <c r="C2580" s="5" t="str">
        <f>IFERROR(__xludf.DUMMYFUNCTION("""COMPUTED_VALUE"""),"XN Chuối LP1")</f>
        <v>XN Chuối LP1</v>
      </c>
      <c r="D2580" s="5" t="str">
        <f>IFERROR(__xludf.DUMMYFUNCTION("""COMPUTED_VALUE"""),"HYUNDAI")</f>
        <v>HYUNDAI</v>
      </c>
      <c r="E2580" s="5"/>
      <c r="F2580" s="5">
        <f>IFERROR(__xludf.DUMMYFUNCTION("""COMPUTED_VALUE"""),2007.0)</f>
        <v>2007</v>
      </c>
      <c r="G2580" s="5" t="str">
        <f>IFERROR(__xludf.DUMMYFUNCTION("""COMPUTED_VALUE"""),"Khảo sát đơn vị")</f>
        <v>Khảo sát đơn vị</v>
      </c>
      <c r="H2580" s="5" t="str">
        <f>IFERROR(__xludf.DUMMYFUNCTION("""COMPUTED_VALUE"""),"53HP")</f>
        <v>53HP</v>
      </c>
      <c r="I2580" s="5" t="str">
        <f>IFERROR(__xludf.DUMMYFUNCTION("""COMPUTED_VALUE"""),"1701HI 10690")</f>
        <v>1701HI 10690</v>
      </c>
      <c r="J2580" s="5" t="str">
        <f>IFERROR(__xludf.DUMMYFUNCTION("""COMPUTED_VALUE"""),"58.5/43/2500")</f>
        <v>58.5/43/2500</v>
      </c>
      <c r="K2580" s="5"/>
      <c r="L2580" s="5" t="str">
        <f>IFERROR(__xludf.DUMMYFUNCTION("""COMPUTED_VALUE"""),"-")</f>
        <v>-</v>
      </c>
    </row>
    <row r="2581">
      <c r="A2581" s="5" t="str">
        <f>IFERROR(__xludf.DUMMYFUNCTION("""COMPUTED_VALUE"""),"TNL-Đ03-003")</f>
        <v>TNL-Đ03-003</v>
      </c>
      <c r="B2581" s="3" t="str">
        <f>IFERROR(__xludf.DUMMYFUNCTION("""COMPUTED_VALUE"""),"Máy đào gàu 0.3m3")</f>
        <v>Máy đào gàu 0.3m3</v>
      </c>
      <c r="C2581" s="5" t="str">
        <f>IFERROR(__xludf.DUMMYFUNCTION("""COMPUTED_VALUE"""),"XN SX")</f>
        <v>XN SX</v>
      </c>
      <c r="D2581" s="5" t="str">
        <f>IFERROR(__xludf.DUMMYFUNCTION("""COMPUTED_VALUE"""),"KUBOTA")</f>
        <v>KUBOTA</v>
      </c>
      <c r="E2581" s="5"/>
      <c r="F2581" s="5"/>
      <c r="G2581" s="5"/>
      <c r="H2581" s="5" t="str">
        <f>IFERROR(__xludf.DUMMYFUNCTION("""COMPUTED_VALUE"""),"24HP")</f>
        <v>24HP</v>
      </c>
      <c r="I2581" s="5" t="str">
        <f>IFERROR(__xludf.DUMMYFUNCTION("""COMPUTED_VALUE"""),"5076")</f>
        <v>5076</v>
      </c>
      <c r="J2581" s="5" t="str">
        <f>IFERROR(__xludf.DUMMYFUNCTION("""COMPUTED_VALUE"""),"10669")</f>
        <v>10669</v>
      </c>
      <c r="K2581" s="5"/>
      <c r="L2581" s="5" t="str">
        <f>IFERROR(__xludf.DUMMYFUNCTION("""COMPUTED_VALUE"""),"-")</f>
        <v>-</v>
      </c>
    </row>
    <row r="2582">
      <c r="A2582" s="5" t="str">
        <f>IFERROR(__xludf.DUMMYFUNCTION("""COMPUTED_VALUE"""),"TNL-Đ03-004")</f>
        <v>TNL-Đ03-004</v>
      </c>
      <c r="B2582" s="3" t="str">
        <f>IFERROR(__xludf.DUMMYFUNCTION("""COMPUTED_VALUE"""),"Máy đào gàu 0.3m3")</f>
        <v>Máy đào gàu 0.3m3</v>
      </c>
      <c r="C2582" s="5" t="str">
        <f>IFERROR(__xludf.DUMMYFUNCTION("""COMPUTED_VALUE"""),"XN SX")</f>
        <v>XN SX</v>
      </c>
      <c r="D2582" s="5" t="str">
        <f>IFERROR(__xludf.DUMMYFUNCTION("""COMPUTED_VALUE"""),"CATERPILLAR")</f>
        <v>CATERPILLAR</v>
      </c>
      <c r="E2582" s="5"/>
      <c r="F2582" s="5"/>
      <c r="G2582" s="5"/>
      <c r="H2582" s="5" t="str">
        <f>IFERROR(__xludf.DUMMYFUNCTION("""COMPUTED_VALUE"""),"24HP")</f>
        <v>24HP</v>
      </c>
      <c r="I2582" s="5" t="str">
        <f>IFERROR(__xludf.DUMMYFUNCTION("""COMPUTED_VALUE"""),"MM45B")</f>
        <v>MM45B</v>
      </c>
      <c r="J2582" s="5" t="str">
        <f>IFERROR(__xludf.DUMMYFUNCTION("""COMPUTED_VALUE"""),"E6F01455")</f>
        <v>E6F01455</v>
      </c>
      <c r="K2582" s="5"/>
      <c r="L2582" s="5" t="str">
        <f>IFERROR(__xludf.DUMMYFUNCTION("""COMPUTED_VALUE"""),"-")</f>
        <v>-</v>
      </c>
    </row>
    <row r="2583">
      <c r="A2583" s="5" t="str">
        <f>IFERROR(__xludf.DUMMYFUNCTION("""COMPUTED_VALUE"""),"TNL-Đ03-005")</f>
        <v>TNL-Đ03-005</v>
      </c>
      <c r="B2583" s="3" t="str">
        <f>IFERROR(__xludf.DUMMYFUNCTION("""COMPUTED_VALUE"""),"Máy đào gàu 0.3m3")</f>
        <v>Máy đào gàu 0.3m3</v>
      </c>
      <c r="C2583" s="5"/>
      <c r="D2583" s="5"/>
      <c r="E2583" s="5"/>
      <c r="F2583" s="5"/>
      <c r="G2583" s="5"/>
      <c r="H2583" s="5" t="str">
        <f>IFERROR(__xludf.DUMMYFUNCTION("""COMPUTED_VALUE"""),"24HP")</f>
        <v>24HP</v>
      </c>
      <c r="I2583" s="5"/>
      <c r="J2583" s="5"/>
      <c r="K2583" s="5"/>
      <c r="L2583" s="5" t="str">
        <f>IFERROR(__xludf.DUMMYFUNCTION("""COMPUTED_VALUE"""),"-")</f>
        <v>-</v>
      </c>
    </row>
    <row r="2584">
      <c r="A2584" s="5" t="str">
        <f>IFERROR(__xludf.DUMMYFUNCTION("""COMPUTED_VALUE"""),"TNL-Đ03-006")</f>
        <v>TNL-Đ03-006</v>
      </c>
      <c r="B2584" s="3" t="str">
        <f>IFERROR(__xludf.DUMMYFUNCTION("""COMPUTED_VALUE"""),"Máy đào gàu 0.3m3")</f>
        <v>Máy đào gàu 0.3m3</v>
      </c>
      <c r="C2584" s="5"/>
      <c r="D2584" s="5" t="str">
        <f>IFERROR(__xludf.DUMMYFUNCTION("""COMPUTED_VALUE"""),"CATERPILLAR")</f>
        <v>CATERPILLAR</v>
      </c>
      <c r="E2584" s="5"/>
      <c r="F2584" s="5"/>
      <c r="G2584" s="5"/>
      <c r="H2584" s="5" t="str">
        <f>IFERROR(__xludf.DUMMYFUNCTION("""COMPUTED_VALUE"""),"24HP")</f>
        <v>24HP</v>
      </c>
      <c r="I2584" s="5" t="str">
        <f>IFERROR(__xludf.DUMMYFUNCTION("""COMPUTED_VALUE"""),"1117")</f>
        <v>1117</v>
      </c>
      <c r="J2584" s="5" t="str">
        <f>IFERROR(__xludf.DUMMYFUNCTION("""COMPUTED_VALUE"""),"122918L5")</f>
        <v>122918L5</v>
      </c>
      <c r="K2584" s="5"/>
      <c r="L2584" s="5" t="str">
        <f>IFERROR(__xludf.DUMMYFUNCTION("""COMPUTED_VALUE"""),"-")</f>
        <v>-</v>
      </c>
    </row>
    <row r="2585">
      <c r="A2585" s="5" t="str">
        <f>IFERROR(__xludf.DUMMYFUNCTION("""COMPUTED_VALUE"""),"TNL-Đ03-007")</f>
        <v>TNL-Đ03-007</v>
      </c>
      <c r="B2585" s="3" t="str">
        <f>IFERROR(__xludf.DUMMYFUNCTION("""COMPUTED_VALUE"""),"Máy đào gàu 0.3m3")</f>
        <v>Máy đào gàu 0.3m3</v>
      </c>
      <c r="C2585" s="5" t="str">
        <f>IFERROR(__xludf.DUMMYFUNCTION("""COMPUTED_VALUE"""),"XN Chuối LP3")</f>
        <v>XN Chuối LP3</v>
      </c>
      <c r="D2585" s="5" t="str">
        <f>IFERROR(__xludf.DUMMYFUNCTION("""COMPUTED_VALUE"""),"CATERPILLAR")</f>
        <v>CATERPILLAR</v>
      </c>
      <c r="E2585" s="5"/>
      <c r="F2585" s="5">
        <f>IFERROR(__xludf.DUMMYFUNCTION("""COMPUTED_VALUE"""),2003.0)</f>
        <v>2003</v>
      </c>
      <c r="G2585" s="5" t="str">
        <f>IFERROR(__xludf.DUMMYFUNCTION("""COMPUTED_VALUE"""),"305C")</f>
        <v>305C</v>
      </c>
      <c r="H2585" s="5" t="str">
        <f>IFERROR(__xludf.DUMMYFUNCTION("""COMPUTED_VALUE"""),"47HP")</f>
        <v>47HP</v>
      </c>
      <c r="I2585" s="5" t="str">
        <f>IFERROR(__xludf.DUMMYFUNCTION("""COMPUTED_VALUE"""),"CAT0305CLGYZ00507")</f>
        <v>CAT0305CLGYZ00507</v>
      </c>
      <c r="J2585" s="5" t="str">
        <f>IFERROR(__xludf.DUMMYFUNCTION("""COMPUTED_VALUE"""),"53647")</f>
        <v>53647</v>
      </c>
      <c r="K2585" s="5"/>
      <c r="L2585" s="5" t="str">
        <f>IFERROR(__xludf.DUMMYFUNCTION("""COMPUTED_VALUE"""),"-")</f>
        <v>-</v>
      </c>
    </row>
    <row r="2586">
      <c r="A2586" s="5" t="str">
        <f>IFERROR(__xludf.DUMMYFUNCTION("""COMPUTED_VALUE"""),"TNL-Đ03-008")</f>
        <v>TNL-Đ03-008</v>
      </c>
      <c r="B2586" s="3" t="str">
        <f>IFERROR(__xludf.DUMMYFUNCTION("""COMPUTED_VALUE"""),"Máy đào gàu 0.3m3")</f>
        <v>Máy đào gàu 0.3m3</v>
      </c>
      <c r="C2586" s="5" t="str">
        <f>IFERROR(__xludf.DUMMYFUNCTION("""COMPUTED_VALUE"""),"XN Chuối LP3")</f>
        <v>XN Chuối LP3</v>
      </c>
      <c r="D2586" s="5" t="str">
        <f>IFERROR(__xludf.DUMMYFUNCTION("""COMPUTED_VALUE"""),"CATERPILLAR")</f>
        <v>CATERPILLAR</v>
      </c>
      <c r="E2586" s="5"/>
      <c r="F2586" s="5">
        <f>IFERROR(__xludf.DUMMYFUNCTION("""COMPUTED_VALUE"""),2004.0)</f>
        <v>2004</v>
      </c>
      <c r="G2586" s="5" t="str">
        <f>IFERROR(__xludf.DUMMYFUNCTION("""COMPUTED_VALUE"""),"305C")</f>
        <v>305C</v>
      </c>
      <c r="H2586" s="5" t="str">
        <f>IFERROR(__xludf.DUMMYFUNCTION("""COMPUTED_VALUE"""),"47HP")</f>
        <v>47HP</v>
      </c>
      <c r="I2586" s="5" t="str">
        <f>IFERROR(__xludf.DUMMYFUNCTION("""COMPUTED_VALUE"""),"8MW01280")</f>
        <v>8MW01280</v>
      </c>
      <c r="J2586" s="5" t="str">
        <f>IFERROR(__xludf.DUMMYFUNCTION("""COMPUTED_VALUE"""),"K4N19009")</f>
        <v>K4N19009</v>
      </c>
      <c r="K2586" s="5"/>
      <c r="L2586" s="5" t="str">
        <f>IFERROR(__xludf.DUMMYFUNCTION("""COMPUTED_VALUE"""),"-")</f>
        <v>-</v>
      </c>
    </row>
    <row r="2587">
      <c r="A2587" s="5" t="str">
        <f>IFERROR(__xludf.DUMMYFUNCTION("""COMPUTED_VALUE"""),"TNL-Đ03-009")</f>
        <v>TNL-Đ03-009</v>
      </c>
      <c r="B2587" s="3" t="str">
        <f>IFERROR(__xludf.DUMMYFUNCTION("""COMPUTED_VALUE"""),"Máy đào gàu 0.3m3")</f>
        <v>Máy đào gàu 0.3m3</v>
      </c>
      <c r="C2587" s="5" t="str">
        <f>IFERROR(__xludf.DUMMYFUNCTION("""COMPUTED_VALUE"""),"XN Chuối LP3")</f>
        <v>XN Chuối LP3</v>
      </c>
      <c r="D2587" s="5" t="str">
        <f>IFERROR(__xludf.DUMMYFUNCTION("""COMPUTED_VALUE"""),"CAT")</f>
        <v>CAT</v>
      </c>
      <c r="E2587" s="5"/>
      <c r="F2587" s="5">
        <f>IFERROR(__xludf.DUMMYFUNCTION("""COMPUTED_VALUE"""),2002.0)</f>
        <v>2002</v>
      </c>
      <c r="G2587" s="5" t="str">
        <f>IFERROR(__xludf.DUMMYFUNCTION("""COMPUTED_VALUE"""),"304CR")</f>
        <v>304CR</v>
      </c>
      <c r="H2587" s="5" t="str">
        <f>IFERROR(__xludf.DUMMYFUNCTION("""COMPUTED_VALUE"""),"45HP")</f>
        <v>45HP</v>
      </c>
      <c r="I2587" s="5" t="str">
        <f>IFERROR(__xludf.DUMMYFUNCTION("""COMPUTED_VALUE"""),"CATD0304KBTN00620")</f>
        <v>CATD0304KBTN00620</v>
      </c>
      <c r="J2587" s="5" t="str">
        <f>IFERROR(__xludf.DUMMYFUNCTION("""COMPUTED_VALUE"""),"82733")</f>
        <v>82733</v>
      </c>
      <c r="K2587" s="5">
        <f>IFERROR(__xludf.DUMMYFUNCTION("""COMPUTED_VALUE"""),3.8)</f>
        <v>3.8</v>
      </c>
      <c r="L2587" s="5" t="str">
        <f>IFERROR(__xludf.DUMMYFUNCTION("""COMPUTED_VALUE"""),"-")</f>
        <v>-</v>
      </c>
    </row>
    <row r="2588">
      <c r="A2588" s="5" t="str">
        <f>IFERROR(__xludf.DUMMYFUNCTION("""COMPUTED_VALUE"""),"TNL-Đ03-010")</f>
        <v>TNL-Đ03-010</v>
      </c>
      <c r="B2588" s="3" t="str">
        <f>IFERROR(__xludf.DUMMYFUNCTION("""COMPUTED_VALUE"""),"Máy đào gàu 0.3m3")</f>
        <v>Máy đào gàu 0.3m3</v>
      </c>
      <c r="C2588" s="5" t="str">
        <f>IFERROR(__xludf.DUMMYFUNCTION("""COMPUTED_VALUE"""),"CGTC LP")</f>
        <v>CGTC LP</v>
      </c>
      <c r="D2588" s="5" t="str">
        <f>IFERROR(__xludf.DUMMYFUNCTION("""COMPUTED_VALUE"""),"CAT")</f>
        <v>CAT</v>
      </c>
      <c r="E2588" s="5" t="str">
        <f>IFERROR(__xludf.DUMMYFUNCTION("""COMPUTED_VALUE"""),"NHẬT BẢN")</f>
        <v>NHẬT BẢN</v>
      </c>
      <c r="F2588" s="5">
        <f>IFERROR(__xludf.DUMMYFUNCTION("""COMPUTED_VALUE"""),2023.0)</f>
        <v>2023</v>
      </c>
      <c r="G2588" s="5" t="str">
        <f>IFERROR(__xludf.DUMMYFUNCTION("""COMPUTED_VALUE"""),"303SR")</f>
        <v>303SR</v>
      </c>
      <c r="H2588" s="5" t="str">
        <f>IFERROR(__xludf.DUMMYFUNCTION("""COMPUTED_VALUE"""),"45HP")</f>
        <v>45HP</v>
      </c>
      <c r="I2588" s="5" t="str">
        <f>IFERROR(__xludf.DUMMYFUNCTION("""COMPUTED_VALUE"""),"CAT00303LFAD01117")</f>
        <v>CAT00303LFAD01117</v>
      </c>
      <c r="J2588" s="5" t="str">
        <f>IFERROR(__xludf.DUMMYFUNCTION("""COMPUTED_VALUE"""),"122918L5")</f>
        <v>122918L5</v>
      </c>
      <c r="K2588" s="5">
        <f>IFERROR(__xludf.DUMMYFUNCTION("""COMPUTED_VALUE"""),3.8)</f>
        <v>3.8</v>
      </c>
      <c r="L2588" s="5" t="str">
        <f>IFERROR(__xludf.DUMMYFUNCTION("""COMPUTED_VALUE"""),"-")</f>
        <v>-</v>
      </c>
    </row>
    <row r="2589">
      <c r="A2589" s="5" t="str">
        <f>IFERROR(__xludf.DUMMYFUNCTION("""COMPUTED_VALUE"""),"TNL-Đ03-011")</f>
        <v>TNL-Đ03-011</v>
      </c>
      <c r="B2589" s="3" t="str">
        <f>IFERROR(__xludf.DUMMYFUNCTION("""COMPUTED_VALUE"""),"Máy đào gàu 0.3m3")</f>
        <v>Máy đào gàu 0.3m3</v>
      </c>
      <c r="C2589" s="5" t="str">
        <f>IFERROR(__xludf.DUMMYFUNCTION("""COMPUTED_VALUE"""),"Ban điện nước")</f>
        <v>Ban điện nước</v>
      </c>
      <c r="D2589" s="5" t="str">
        <f>IFERROR(__xludf.DUMMYFUNCTION("""COMPUTED_VALUE"""),"MITSUBISHI")</f>
        <v>MITSUBISHI</v>
      </c>
      <c r="E2589" s="5"/>
      <c r="F2589" s="5">
        <f>IFERROR(__xludf.DUMMYFUNCTION("""COMPUTED_VALUE"""),1998.0)</f>
        <v>1998</v>
      </c>
      <c r="G2589" s="5" t="str">
        <f>IFERROR(__xludf.DUMMYFUNCTION("""COMPUTED_VALUE"""),"NM45T")</f>
        <v>NM45T</v>
      </c>
      <c r="H2589" s="5" t="str">
        <f>IFERROR(__xludf.DUMMYFUNCTION("""COMPUTED_VALUE"""),"38HP")</f>
        <v>38HP</v>
      </c>
      <c r="I2589" s="5" t="str">
        <f>IFERROR(__xludf.DUMMYFUNCTION("""COMPUTED_VALUE"""),"E5H00265")</f>
        <v>E5H00265</v>
      </c>
      <c r="J2589" s="5" t="str">
        <f>IFERROR(__xludf.DUMMYFUNCTION("""COMPUTED_VALUE"""),"NIL")</f>
        <v>NIL</v>
      </c>
      <c r="K2589" s="5">
        <f>IFERROR(__xludf.DUMMYFUNCTION("""COMPUTED_VALUE"""),4.3)</f>
        <v>4.3</v>
      </c>
      <c r="L2589" s="5" t="str">
        <f>IFERROR(__xludf.DUMMYFUNCTION("""COMPUTED_VALUE"""),"Đang thuê")</f>
        <v>Đang thuê</v>
      </c>
    </row>
    <row r="2590">
      <c r="A2590" s="5" t="str">
        <f>IFERROR(__xludf.DUMMYFUNCTION("""COMPUTED_VALUE"""),"TNL-Đ03-012")</f>
        <v>TNL-Đ03-012</v>
      </c>
      <c r="B2590" s="3" t="str">
        <f>IFERROR(__xludf.DUMMYFUNCTION("""COMPUTED_VALUE"""),"Máy đào gàu 0.3m3")</f>
        <v>Máy đào gàu 0.3m3</v>
      </c>
      <c r="C2590" s="5" t="str">
        <f>IFERROR(__xludf.DUMMYFUNCTION("""COMPUTED_VALUE"""),"XN Chuối LP3")</f>
        <v>XN Chuối LP3</v>
      </c>
      <c r="D2590" s="5" t="str">
        <f>IFERROR(__xludf.DUMMYFUNCTION("""COMPUTED_VALUE"""),"CAT")</f>
        <v>CAT</v>
      </c>
      <c r="E2590" s="5" t="str">
        <f>IFERROR(__xludf.DUMMYFUNCTION("""COMPUTED_VALUE"""),"NHẬT BẢN")</f>
        <v>NHẬT BẢN</v>
      </c>
      <c r="F2590" s="5">
        <f>IFERROR(__xludf.DUMMYFUNCTION("""COMPUTED_VALUE"""),2008.0)</f>
        <v>2008</v>
      </c>
      <c r="G2590" s="5" t="str">
        <f>IFERROR(__xludf.DUMMYFUNCTION("""COMPUTED_VALUE"""),"305CR")</f>
        <v>305CR</v>
      </c>
      <c r="H2590" s="5" t="str">
        <f>IFERROR(__xludf.DUMMYFUNCTION("""COMPUTED_VALUE"""),"38HP")</f>
        <v>38HP</v>
      </c>
      <c r="I2590" s="5" t="str">
        <f>IFERROR(__xludf.DUMMYFUNCTION("""COMPUTED_VALUE"""),"CAT0350EBN00555")</f>
        <v>CAT0350EBN00555</v>
      </c>
      <c r="J2590" s="5" t="str">
        <f>IFERROR(__xludf.DUMMYFUNCTION("""COMPUTED_VALUE"""),"819133126")</f>
        <v>819133126</v>
      </c>
      <c r="K2590" s="5">
        <f>IFERROR(__xludf.DUMMYFUNCTION("""COMPUTED_VALUE"""),4.3)</f>
        <v>4.3</v>
      </c>
      <c r="L2590" s="5" t="str">
        <f>IFERROR(__xludf.DUMMYFUNCTION("""COMPUTED_VALUE"""),"Đang thuê")</f>
        <v>Đang thuê</v>
      </c>
    </row>
    <row r="2591">
      <c r="A2591" s="5" t="str">
        <f>IFERROR(__xludf.DUMMYFUNCTION("""COMPUTED_VALUE"""),"TNL-Đ03-013")</f>
        <v>TNL-Đ03-013</v>
      </c>
      <c r="B2591" s="3" t="str">
        <f>IFERROR(__xludf.DUMMYFUNCTION("""COMPUTED_VALUE"""),"Máy đào gàu 0.3m3")</f>
        <v>Máy đào gàu 0.3m3</v>
      </c>
      <c r="C2591" s="5" t="str">
        <f>IFERROR(__xludf.DUMMYFUNCTION("""COMPUTED_VALUE"""),"XN Chuối LP3")</f>
        <v>XN Chuối LP3</v>
      </c>
      <c r="D2591" s="5" t="str">
        <f>IFERROR(__xludf.DUMMYFUNCTION("""COMPUTED_VALUE"""),"CAT")</f>
        <v>CAT</v>
      </c>
      <c r="E2591" s="5"/>
      <c r="F2591" s="5">
        <f>IFERROR(__xludf.DUMMYFUNCTION("""COMPUTED_VALUE"""),2006.0)</f>
        <v>2006</v>
      </c>
      <c r="G2591" s="5" t="str">
        <f>IFERROR(__xludf.DUMMYFUNCTION("""COMPUTED_VALUE"""),"303CR")</f>
        <v>303CR</v>
      </c>
      <c r="H2591" s="5" t="str">
        <f>IFERROR(__xludf.DUMMYFUNCTION("""COMPUTED_VALUE"""),"24HP")</f>
        <v>24HP</v>
      </c>
      <c r="I2591" s="5" t="str">
        <f>IFERROR(__xludf.DUMMYFUNCTION("""COMPUTED_VALUE"""),"02550")</f>
        <v>02550</v>
      </c>
      <c r="J2591" s="5" t="str">
        <f>IFERROR(__xludf.DUMMYFUNCTION("""COMPUTED_VALUE"""),"196985B4")</f>
        <v>196985B4</v>
      </c>
      <c r="K2591" s="5">
        <f>IFERROR(__xludf.DUMMYFUNCTION("""COMPUTED_VALUE"""),3.5)</f>
        <v>3.5</v>
      </c>
      <c r="L2591" s="5" t="str">
        <f>IFERROR(__xludf.DUMMYFUNCTION("""COMPUTED_VALUE"""),"Đang thuê")</f>
        <v>Đang thuê</v>
      </c>
    </row>
    <row r="2592">
      <c r="A2592" s="5" t="str">
        <f>IFERROR(__xludf.DUMMYFUNCTION("""COMPUTED_VALUE"""),"TNL-Đ02-001")</f>
        <v>TNL-Đ02-001</v>
      </c>
      <c r="B2592" s="3" t="str">
        <f>IFERROR(__xludf.DUMMYFUNCTION("""COMPUTED_VALUE"""),"Máy đào gàu 0.2m3")</f>
        <v>Máy đào gàu 0.2m3</v>
      </c>
      <c r="C2592" s="5" t="str">
        <f>IFERROR(__xludf.DUMMYFUNCTION("""COMPUTED_VALUE"""),"CGTC LP")</f>
        <v>CGTC LP</v>
      </c>
      <c r="D2592" s="5" t="str">
        <f>IFERROR(__xludf.DUMMYFUNCTION("""COMPUTED_VALUE"""),"KOMATSU")</f>
        <v>KOMATSU</v>
      </c>
      <c r="E2592" s="5"/>
      <c r="F2592" s="5">
        <f>IFERROR(__xludf.DUMMYFUNCTION("""COMPUTED_VALUE"""),2008.0)</f>
        <v>2008</v>
      </c>
      <c r="G2592" s="5" t="str">
        <f>IFERROR(__xludf.DUMMYFUNCTION("""COMPUTED_VALUE"""),"PC304U-5")</f>
        <v>PC304U-5</v>
      </c>
      <c r="H2592" s="5" t="str">
        <f>IFERROR(__xludf.DUMMYFUNCTION("""COMPUTED_VALUE"""),"29HP")</f>
        <v>29HP</v>
      </c>
      <c r="I2592" s="5" t="str">
        <f>IFERROR(__xludf.DUMMYFUNCTION("""COMPUTED_VALUE"""),"KMTPC219C04015390")</f>
        <v>KMTPC219C04015390</v>
      </c>
      <c r="J2592" s="5" t="str">
        <f>IFERROR(__xludf.DUMMYFUNCTION("""COMPUTED_VALUE"""),"12306")</f>
        <v>12306</v>
      </c>
      <c r="K2592" s="5">
        <f>IFERROR(__xludf.DUMMYFUNCTION("""COMPUTED_VALUE"""),4.34)</f>
        <v>4.34</v>
      </c>
      <c r="L2592" s="5" t="str">
        <f>IFERROR(__xludf.DUMMYFUNCTION("""COMPUTED_VALUE"""),"-")</f>
        <v>-</v>
      </c>
    </row>
    <row r="2593">
      <c r="A2593" s="5" t="str">
        <f>IFERROR(__xludf.DUMMYFUNCTION("""COMPUTED_VALUE"""),"TNL-Đ02-002")</f>
        <v>TNL-Đ02-002</v>
      </c>
      <c r="B2593" s="3" t="str">
        <f>IFERROR(__xludf.DUMMYFUNCTION("""COMPUTED_VALUE"""),"Máy đào gàu 0.2m3")</f>
        <v>Máy đào gàu 0.2m3</v>
      </c>
      <c r="C2593" s="5" t="str">
        <f>IFERROR(__xludf.DUMMYFUNCTION("""COMPUTED_VALUE"""),"CGTC LP")</f>
        <v>CGTC LP</v>
      </c>
      <c r="D2593" s="5" t="str">
        <f>IFERROR(__xludf.DUMMYFUNCTION("""COMPUTED_VALUE"""),"KOMATSU")</f>
        <v>KOMATSU</v>
      </c>
      <c r="E2593" s="5"/>
      <c r="F2593" s="5">
        <f>IFERROR(__xludf.DUMMYFUNCTION("""COMPUTED_VALUE"""),2005.0)</f>
        <v>2005</v>
      </c>
      <c r="G2593" s="5" t="str">
        <f>IFERROR(__xludf.DUMMYFUNCTION("""COMPUTED_VALUE"""),"PC30MR-2")</f>
        <v>PC30MR-2</v>
      </c>
      <c r="H2593" s="5" t="str">
        <f>IFERROR(__xludf.DUMMYFUNCTION("""COMPUTED_VALUE"""),"28HP")</f>
        <v>28HP</v>
      </c>
      <c r="I2593" s="5" t="str">
        <f>IFERROR(__xludf.DUMMYFUNCTION("""COMPUTED_VALUE"""),"KMTPC095A05023841")</f>
        <v>KMTPC095A05023841</v>
      </c>
      <c r="J2593" s="5" t="str">
        <f>IFERROR(__xludf.DUMMYFUNCTION("""COMPUTED_VALUE"""),"7682")</f>
        <v>7682</v>
      </c>
      <c r="K2593" s="5">
        <f>IFERROR(__xludf.DUMMYFUNCTION("""COMPUTED_VALUE"""),3.76)</f>
        <v>3.76</v>
      </c>
      <c r="L2593" s="5" t="str">
        <f>IFERROR(__xludf.DUMMYFUNCTION("""COMPUTED_VALUE"""),"-")</f>
        <v>-</v>
      </c>
    </row>
    <row r="2594">
      <c r="A2594" s="5" t="str">
        <f>IFERROR(__xludf.DUMMYFUNCTION("""COMPUTED_VALUE"""),"Máy ủi")</f>
        <v>Máy ủi</v>
      </c>
      <c r="B2594" s="3" t="str">
        <f>IFERROR(__xludf.DUMMYFUNCTION("""COMPUTED_VALUE"""),"14")</f>
        <v>14</v>
      </c>
      <c r="C2594" s="5"/>
      <c r="D2594" s="5"/>
      <c r="E2594" s="5"/>
      <c r="F2594" s="5"/>
      <c r="G2594" s="5"/>
      <c r="H2594" s="5"/>
      <c r="I2594" s="5"/>
      <c r="J2594" s="5"/>
      <c r="K2594" s="5"/>
      <c r="L2594" s="5" t="str">
        <f>IFERROR(__xludf.DUMMYFUNCTION("""COMPUTED_VALUE"""),"17")</f>
        <v>17</v>
      </c>
    </row>
    <row r="2595">
      <c r="A2595" s="5" t="str">
        <f>IFERROR(__xludf.DUMMYFUNCTION("""COMPUTED_VALUE"""),"TNL-MUI-001")</f>
        <v>TNL-MUI-001</v>
      </c>
      <c r="B2595" s="3" t="str">
        <f>IFERROR(__xludf.DUMMYFUNCTION("""COMPUTED_VALUE"""),"Máy ủi D50")</f>
        <v>Máy ủi D50</v>
      </c>
      <c r="C2595" s="5" t="str">
        <f>IFERROR(__xludf.DUMMYFUNCTION("""COMPUTED_VALUE"""),"CGTC LP")</f>
        <v>CGTC LP</v>
      </c>
      <c r="D2595" s="5" t="str">
        <f>IFERROR(__xludf.DUMMYFUNCTION("""COMPUTED_VALUE"""),"CATERPILLAR")</f>
        <v>CATERPILLAR</v>
      </c>
      <c r="E2595" s="5"/>
      <c r="F2595" s="5">
        <f>IFERROR(__xludf.DUMMYFUNCTION("""COMPUTED_VALUE"""),1981.0)</f>
        <v>1981</v>
      </c>
      <c r="G2595" s="5" t="str">
        <f>IFERROR(__xludf.DUMMYFUNCTION("""COMPUTED_VALUE"""),"D5")</f>
        <v>D5</v>
      </c>
      <c r="H2595" s="5" t="str">
        <f>IFERROR(__xludf.DUMMYFUNCTION("""COMPUTED_VALUE"""),"120HP")</f>
        <v>120HP</v>
      </c>
      <c r="I2595" s="5" t="str">
        <f>IFERROR(__xludf.DUMMYFUNCTION("""COMPUTED_VALUE"""),"32X1258")</f>
        <v>32X1258</v>
      </c>
      <c r="J2595" s="5" t="str">
        <f>IFERROR(__xludf.DUMMYFUNCTION("""COMPUTED_VALUE"""),"10Z0029")</f>
        <v>10Z0029</v>
      </c>
      <c r="K2595" s="5"/>
      <c r="L2595" s="5" t="str">
        <f>IFERROR(__xludf.DUMMYFUNCTION("""COMPUTED_VALUE"""),"-")</f>
        <v>-</v>
      </c>
    </row>
    <row r="2596">
      <c r="A2596" s="5" t="str">
        <f>IFERROR(__xludf.DUMMYFUNCTION("""COMPUTED_VALUE"""),"TNL-MUI-003")</f>
        <v>TNL-MUI-003</v>
      </c>
      <c r="B2596" s="3" t="str">
        <f>IFERROR(__xludf.DUMMYFUNCTION("""COMPUTED_VALUE"""),"Máy ủi SD13")</f>
        <v>Máy ủi SD13</v>
      </c>
      <c r="C2596" s="5" t="str">
        <f>IFERROR(__xludf.DUMMYFUNCTION("""COMPUTED_VALUE"""),"CGTC LP")</f>
        <v>CGTC LP</v>
      </c>
      <c r="D2596" s="5" t="str">
        <f>IFERROR(__xludf.DUMMYFUNCTION("""COMPUTED_VALUE"""),"SHANTUI")</f>
        <v>SHANTUI</v>
      </c>
      <c r="E2596" s="5"/>
      <c r="F2596" s="5">
        <f>IFERROR(__xludf.DUMMYFUNCTION("""COMPUTED_VALUE"""),2011.0)</f>
        <v>2011</v>
      </c>
      <c r="G2596" s="5" t="str">
        <f>IFERROR(__xludf.DUMMYFUNCTION("""COMPUTED_VALUE"""),"D50P")</f>
        <v>D50P</v>
      </c>
      <c r="H2596" s="5" t="str">
        <f>IFERROR(__xludf.DUMMYFUNCTION("""COMPUTED_VALUE"""),"130HP")</f>
        <v>130HP</v>
      </c>
      <c r="I2596" s="5" t="str">
        <f>IFERROR(__xludf.DUMMYFUNCTION("""COMPUTED_VALUE"""),"B410M77060")</f>
        <v>B410M77060</v>
      </c>
      <c r="J2596" s="5" t="str">
        <f>IFERROR(__xludf.DUMMYFUNCTION("""COMPUTED_VALUE"""),"SD133A103947")</f>
        <v>SD133A103947</v>
      </c>
      <c r="K2596" s="5"/>
      <c r="L2596" s="5" t="str">
        <f>IFERROR(__xludf.DUMMYFUNCTION("""COMPUTED_VALUE"""),"-")</f>
        <v>-</v>
      </c>
    </row>
    <row r="2597">
      <c r="A2597" s="5" t="str">
        <f>IFERROR(__xludf.DUMMYFUNCTION("""COMPUTED_VALUE"""),"TNL-MUI-005")</f>
        <v>TNL-MUI-005</v>
      </c>
      <c r="B2597" s="3" t="str">
        <f>IFERROR(__xludf.DUMMYFUNCTION("""COMPUTED_VALUE"""),"Máy ủi D53P")</f>
        <v>Máy ủi D53P</v>
      </c>
      <c r="C2597" s="5" t="str">
        <f>IFERROR(__xludf.DUMMYFUNCTION("""COMPUTED_VALUE"""),"CGTC LP")</f>
        <v>CGTC LP</v>
      </c>
      <c r="D2597" s="5" t="str">
        <f>IFERROR(__xludf.DUMMYFUNCTION("""COMPUTED_VALUE"""),"KOMATSU")</f>
        <v>KOMATSU</v>
      </c>
      <c r="E2597" s="5"/>
      <c r="F2597" s="5"/>
      <c r="G2597" s="5" t="str">
        <f>IFERROR(__xludf.DUMMYFUNCTION("""COMPUTED_VALUE"""),"D53P")</f>
        <v>D53P</v>
      </c>
      <c r="H2597" s="5" t="str">
        <f>IFERROR(__xludf.DUMMYFUNCTION("""COMPUTED_VALUE"""),"118HP")</f>
        <v>118HP</v>
      </c>
      <c r="I2597" s="5" t="str">
        <f>IFERROR(__xludf.DUMMYFUNCTION("""COMPUTED_VALUE"""),"80172")</f>
        <v>80172</v>
      </c>
      <c r="J2597" s="5"/>
      <c r="K2597" s="5"/>
      <c r="L2597" s="5" t="str">
        <f>IFERROR(__xludf.DUMMYFUNCTION("""COMPUTED_VALUE"""),"-")</f>
        <v>-</v>
      </c>
    </row>
    <row r="2598">
      <c r="A2598" s="5" t="str">
        <f>IFERROR(__xludf.DUMMYFUNCTION("""COMPUTED_VALUE"""),"TNL-MUI-006")</f>
        <v>TNL-MUI-006</v>
      </c>
      <c r="B2598" s="3" t="str">
        <f>IFERROR(__xludf.DUMMYFUNCTION("""COMPUTED_VALUE"""),"Máy ủi D20")</f>
        <v>Máy ủi D20</v>
      </c>
      <c r="C2598" s="5" t="str">
        <f>IFERROR(__xludf.DUMMYFUNCTION("""COMPUTED_VALUE"""),"CGTC LP")</f>
        <v>CGTC LP</v>
      </c>
      <c r="D2598" s="5" t="str">
        <f>IFERROR(__xludf.DUMMYFUNCTION("""COMPUTED_VALUE"""),"KOMATSU")</f>
        <v>KOMATSU</v>
      </c>
      <c r="E2598" s="5"/>
      <c r="F2598" s="5"/>
      <c r="G2598" s="5" t="str">
        <f>IFERROR(__xludf.DUMMYFUNCTION("""COMPUTED_VALUE"""),"D20A")</f>
        <v>D20A</v>
      </c>
      <c r="H2598" s="5" t="str">
        <f>IFERROR(__xludf.DUMMYFUNCTION("""COMPUTED_VALUE"""),"40HP")</f>
        <v>40HP</v>
      </c>
      <c r="I2598" s="5"/>
      <c r="J2598" s="5" t="str">
        <f>IFERROR(__xludf.DUMMYFUNCTION("""COMPUTED_VALUE"""),"27215")</f>
        <v>27215</v>
      </c>
      <c r="K2598" s="5"/>
      <c r="L2598" s="5" t="str">
        <f>IFERROR(__xludf.DUMMYFUNCTION("""COMPUTED_VALUE"""),"-")</f>
        <v>-</v>
      </c>
    </row>
    <row r="2599">
      <c r="A2599" s="5" t="str">
        <f>IFERROR(__xludf.DUMMYFUNCTION("""COMPUTED_VALUE"""),"TNL-MUI-007")</f>
        <v>TNL-MUI-007</v>
      </c>
      <c r="B2599" s="3" t="str">
        <f>IFERROR(__xludf.DUMMYFUNCTION("""COMPUTED_VALUE"""),"Máy ủi D20A")</f>
        <v>Máy ủi D20A</v>
      </c>
      <c r="C2599" s="5" t="str">
        <f>IFERROR(__xludf.DUMMYFUNCTION("""COMPUTED_VALUE"""),"XN Chuối LP3")</f>
        <v>XN Chuối LP3</v>
      </c>
      <c r="D2599" s="5" t="str">
        <f>IFERROR(__xludf.DUMMYFUNCTION("""COMPUTED_VALUE"""),"KOMATSU")</f>
        <v>KOMATSU</v>
      </c>
      <c r="E2599" s="5"/>
      <c r="F2599" s="5"/>
      <c r="G2599" s="5" t="str">
        <f>IFERROR(__xludf.DUMMYFUNCTION("""COMPUTED_VALUE"""),"D20A")</f>
        <v>D20A</v>
      </c>
      <c r="H2599" s="5" t="str">
        <f>IFERROR(__xludf.DUMMYFUNCTION("""COMPUTED_VALUE"""),"40HP")</f>
        <v>40HP</v>
      </c>
      <c r="I2599" s="5" t="str">
        <f>IFERROR(__xludf.DUMMYFUNCTION("""COMPUTED_VALUE"""),"72176")</f>
        <v>72176</v>
      </c>
      <c r="J2599" s="5"/>
      <c r="K2599" s="5"/>
      <c r="L2599" s="5" t="str">
        <f>IFERROR(__xludf.DUMMYFUNCTION("""COMPUTED_VALUE"""),"-")</f>
        <v>-</v>
      </c>
    </row>
    <row r="2600">
      <c r="A2600" s="5" t="str">
        <f>IFERROR(__xludf.DUMMYFUNCTION("""COMPUTED_VALUE"""),"TNL-MUI-008")</f>
        <v>TNL-MUI-008</v>
      </c>
      <c r="B2600" s="3" t="str">
        <f>IFERROR(__xludf.DUMMYFUNCTION("""COMPUTED_VALUE"""),"Máy ủi D20A")</f>
        <v>Máy ủi D20A</v>
      </c>
      <c r="C2600" s="5" t="str">
        <f>IFERROR(__xludf.DUMMYFUNCTION("""COMPUTED_VALUE"""),"XN Chuối LP3")</f>
        <v>XN Chuối LP3</v>
      </c>
      <c r="D2600" s="5" t="str">
        <f>IFERROR(__xludf.DUMMYFUNCTION("""COMPUTED_VALUE"""),"KOMATSU")</f>
        <v>KOMATSU</v>
      </c>
      <c r="E2600" s="5"/>
      <c r="F2600" s="5"/>
      <c r="G2600" s="5" t="str">
        <f>IFERROR(__xludf.DUMMYFUNCTION("""COMPUTED_VALUE"""),"D20A")</f>
        <v>D20A</v>
      </c>
      <c r="H2600" s="5" t="str">
        <f>IFERROR(__xludf.DUMMYFUNCTION("""COMPUTED_VALUE"""),"40HP")</f>
        <v>40HP</v>
      </c>
      <c r="I2600" s="5" t="str">
        <f>IFERROR(__xludf.DUMMYFUNCTION("""COMPUTED_VALUE"""),"72498")</f>
        <v>72498</v>
      </c>
      <c r="J2600" s="5" t="str">
        <f>IFERROR(__xludf.DUMMYFUNCTION("""COMPUTED_VALUE"""),"128612")</f>
        <v>128612</v>
      </c>
      <c r="K2600" s="5"/>
      <c r="L2600" s="5" t="str">
        <f>IFERROR(__xludf.DUMMYFUNCTION("""COMPUTED_VALUE"""),"-")</f>
        <v>-</v>
      </c>
    </row>
    <row r="2601">
      <c r="A2601" s="5" t="str">
        <f>IFERROR(__xludf.DUMMYFUNCTION("""COMPUTED_VALUE"""),"TNL-MUI-009")</f>
        <v>TNL-MUI-009</v>
      </c>
      <c r="B2601" s="3" t="str">
        <f>IFERROR(__xludf.DUMMYFUNCTION("""COMPUTED_VALUE"""),"Máy ủi D20A")</f>
        <v>Máy ủi D20A</v>
      </c>
      <c r="C2601" s="5" t="str">
        <f>IFERROR(__xludf.DUMMYFUNCTION("""COMPUTED_VALUE"""),"XN Chuối LP3")</f>
        <v>XN Chuối LP3</v>
      </c>
      <c r="D2601" s="5" t="str">
        <f>IFERROR(__xludf.DUMMYFUNCTION("""COMPUTED_VALUE"""),"KOMATSU")</f>
        <v>KOMATSU</v>
      </c>
      <c r="E2601" s="5"/>
      <c r="F2601" s="5"/>
      <c r="G2601" s="5" t="str">
        <f>IFERROR(__xludf.DUMMYFUNCTION("""COMPUTED_VALUE"""),"D20A")</f>
        <v>D20A</v>
      </c>
      <c r="H2601" s="5" t="str">
        <f>IFERROR(__xludf.DUMMYFUNCTION("""COMPUTED_VALUE"""),"40HP")</f>
        <v>40HP</v>
      </c>
      <c r="I2601" s="5" t="str">
        <f>IFERROR(__xludf.DUMMYFUNCTION("""COMPUTED_VALUE"""),"80413")</f>
        <v>80413</v>
      </c>
      <c r="J2601" s="5" t="str">
        <f>IFERROR(__xludf.DUMMYFUNCTION("""COMPUTED_VALUE"""),"102235")</f>
        <v>102235</v>
      </c>
      <c r="K2601" s="5"/>
      <c r="L2601" s="5" t="str">
        <f>IFERROR(__xludf.DUMMYFUNCTION("""COMPUTED_VALUE"""),"-")</f>
        <v>-</v>
      </c>
    </row>
    <row r="2602">
      <c r="A2602" s="5" t="str">
        <f>IFERROR(__xludf.DUMMYFUNCTION("""COMPUTED_VALUE"""),"TNL-MUI-010")</f>
        <v>TNL-MUI-010</v>
      </c>
      <c r="B2602" s="3" t="str">
        <f>IFERROR(__xludf.DUMMYFUNCTION("""COMPUTED_VALUE"""),"Máy ủi D31")</f>
        <v>Máy ủi D31</v>
      </c>
      <c r="C2602" s="5" t="str">
        <f>IFERROR(__xludf.DUMMYFUNCTION("""COMPUTED_VALUE"""),"CGTC LP")</f>
        <v>CGTC LP</v>
      </c>
      <c r="D2602" s="5" t="str">
        <f>IFERROR(__xludf.DUMMYFUNCTION("""COMPUTED_VALUE"""),"KOMATSU")</f>
        <v>KOMATSU</v>
      </c>
      <c r="E2602" s="5" t="str">
        <f>IFERROR(__xludf.DUMMYFUNCTION("""COMPUTED_VALUE"""),"NHẬT BẢN")</f>
        <v>NHẬT BẢN</v>
      </c>
      <c r="F2602" s="5">
        <f>IFERROR(__xludf.DUMMYFUNCTION("""COMPUTED_VALUE"""),2012.0)</f>
        <v>2012</v>
      </c>
      <c r="G2602" s="5" t="str">
        <f>IFERROR(__xludf.DUMMYFUNCTION("""COMPUTED_VALUE"""),"D31P-18")</f>
        <v>D31P-18</v>
      </c>
      <c r="H2602" s="5" t="str">
        <f>IFERROR(__xludf.DUMMYFUNCTION("""COMPUTED_VALUE"""),"70HP")</f>
        <v>70HP</v>
      </c>
      <c r="I2602" s="5" t="str">
        <f>IFERROR(__xludf.DUMMYFUNCTION("""COMPUTED_VALUE"""),"6D95L-1-82408")</f>
        <v>6D95L-1-82408</v>
      </c>
      <c r="J2602" s="5" t="str">
        <f>IFERROR(__xludf.DUMMYFUNCTION("""COMPUTED_VALUE"""),"43388")</f>
        <v>43388</v>
      </c>
      <c r="K2602" s="5">
        <f>IFERROR(__xludf.DUMMYFUNCTION("""COMPUTED_VALUE"""),8.5)</f>
        <v>8.5</v>
      </c>
      <c r="L2602" s="5" t="str">
        <f>IFERROR(__xludf.DUMMYFUNCTION("""COMPUTED_VALUE"""),"-")</f>
        <v>-</v>
      </c>
    </row>
    <row r="2603">
      <c r="A2603" s="5" t="str">
        <f>IFERROR(__xludf.DUMMYFUNCTION("""COMPUTED_VALUE"""),"TNL-MUI-011")</f>
        <v>TNL-MUI-011</v>
      </c>
      <c r="B2603" s="3" t="str">
        <f>IFERROR(__xludf.DUMMYFUNCTION("""COMPUTED_VALUE"""),"Máy ủi D20")</f>
        <v>Máy ủi D20</v>
      </c>
      <c r="C2603" s="5" t="str">
        <f>IFERROR(__xludf.DUMMYFUNCTION("""COMPUTED_VALUE"""),"XN Chuối LP3")</f>
        <v>XN Chuối LP3</v>
      </c>
      <c r="D2603" s="5" t="str">
        <f>IFERROR(__xludf.DUMMYFUNCTION("""COMPUTED_VALUE"""),"MITSUBISHI")</f>
        <v>MITSUBISHI</v>
      </c>
      <c r="E2603" s="5" t="str">
        <f>IFERROR(__xludf.DUMMYFUNCTION("""COMPUTED_VALUE"""),"NHẬT BẢN")</f>
        <v>NHẬT BẢN</v>
      </c>
      <c r="F2603" s="5"/>
      <c r="G2603" s="5" t="str">
        <f>IFERROR(__xludf.DUMMYFUNCTION("""COMPUTED_VALUE"""),"BD2G")</f>
        <v>BD2G</v>
      </c>
      <c r="H2603" s="5" t="str">
        <f>IFERROR(__xludf.DUMMYFUNCTION("""COMPUTED_VALUE"""),"40HP")</f>
        <v>40HP</v>
      </c>
      <c r="I2603" s="5" t="str">
        <f>IFERROR(__xludf.DUMMYFUNCTION("""COMPUTED_VALUE"""),"2B103260")</f>
        <v>2B103260</v>
      </c>
      <c r="J2603" s="5" t="str">
        <f>IFERROR(__xludf.DUMMYFUNCTION("""COMPUTED_VALUE"""),"S4E-104727")</f>
        <v>S4E-104727</v>
      </c>
      <c r="K2603" s="5">
        <f>IFERROR(__xludf.DUMMYFUNCTION("""COMPUTED_VALUE"""),3.5)</f>
        <v>3.5</v>
      </c>
      <c r="L2603" s="5" t="str">
        <f>IFERROR(__xludf.DUMMYFUNCTION("""COMPUTED_VALUE"""),"-")</f>
        <v>-</v>
      </c>
    </row>
    <row r="2604">
      <c r="A2604" s="5" t="str">
        <f>IFERROR(__xludf.DUMMYFUNCTION("""COMPUTED_VALUE"""),"TNL-MUI-012")</f>
        <v>TNL-MUI-012</v>
      </c>
      <c r="B2604" s="3" t="str">
        <f>IFERROR(__xludf.DUMMYFUNCTION("""COMPUTED_VALUE"""),"Máy ủi D60")</f>
        <v>Máy ủi D60</v>
      </c>
      <c r="C2604" s="5" t="str">
        <f>IFERROR(__xludf.DUMMYFUNCTION("""COMPUTED_VALUE"""),"XN Chuối LP3")</f>
        <v>XN Chuối LP3</v>
      </c>
      <c r="D2604" s="5" t="str">
        <f>IFERROR(__xludf.DUMMYFUNCTION("""COMPUTED_VALUE"""),"KOMATSU")</f>
        <v>KOMATSU</v>
      </c>
      <c r="E2604" s="5" t="str">
        <f>IFERROR(__xludf.DUMMYFUNCTION("""COMPUTED_VALUE"""),"NHẬT BẢN")</f>
        <v>NHẬT BẢN</v>
      </c>
      <c r="F2604" s="5">
        <f>IFERROR(__xludf.DUMMYFUNCTION("""COMPUTED_VALUE"""),1993.0)</f>
        <v>1993</v>
      </c>
      <c r="G2604" s="5" t="str">
        <f>IFERROR(__xludf.DUMMYFUNCTION("""COMPUTED_VALUE"""),"D60P")</f>
        <v>D60P</v>
      </c>
      <c r="H2604" s="5" t="str">
        <f>IFERROR(__xludf.DUMMYFUNCTION("""COMPUTED_VALUE"""),"190HP")</f>
        <v>190HP</v>
      </c>
      <c r="I2604" s="5" t="str">
        <f>IFERROR(__xludf.DUMMYFUNCTION("""COMPUTED_VALUE"""),"40118")</f>
        <v>40118</v>
      </c>
      <c r="J2604" s="5" t="str">
        <f>IFERROR(__xludf.DUMMYFUNCTION("""COMPUTED_VALUE"""),"26178614")</f>
        <v>26178614</v>
      </c>
      <c r="K2604" s="5">
        <f>IFERROR(__xludf.DUMMYFUNCTION("""COMPUTED_VALUE"""),14.0)</f>
        <v>14</v>
      </c>
      <c r="L2604" s="5" t="str">
        <f>IFERROR(__xludf.DUMMYFUNCTION("""COMPUTED_VALUE"""),"-")</f>
        <v>-</v>
      </c>
    </row>
    <row r="2605">
      <c r="A2605" s="5" t="str">
        <f>IFERROR(__xludf.DUMMYFUNCTION("""COMPUTED_VALUE"""),"TNL-MUI-013")</f>
        <v>TNL-MUI-013</v>
      </c>
      <c r="B2605" s="3" t="str">
        <f>IFERROR(__xludf.DUMMYFUNCTION("""COMPUTED_VALUE"""),"Máy ủi D60")</f>
        <v>Máy ủi D60</v>
      </c>
      <c r="C2605" s="5" t="str">
        <f>IFERROR(__xludf.DUMMYFUNCTION("""COMPUTED_VALUE"""),"XN Chuối LP3")</f>
        <v>XN Chuối LP3</v>
      </c>
      <c r="D2605" s="5" t="str">
        <f>IFERROR(__xludf.DUMMYFUNCTION("""COMPUTED_VALUE"""),"KOMATSU")</f>
        <v>KOMATSU</v>
      </c>
      <c r="E2605" s="5" t="str">
        <f>IFERROR(__xludf.DUMMYFUNCTION("""COMPUTED_VALUE"""),"NHẬT BẢN")</f>
        <v>NHẬT BẢN</v>
      </c>
      <c r="F2605" s="5">
        <f>IFERROR(__xludf.DUMMYFUNCTION("""COMPUTED_VALUE"""),1978.0)</f>
        <v>1978</v>
      </c>
      <c r="G2605" s="5" t="str">
        <f>IFERROR(__xludf.DUMMYFUNCTION("""COMPUTED_VALUE"""),"D60P-6")</f>
        <v>D60P-6</v>
      </c>
      <c r="H2605" s="5" t="str">
        <f>IFERROR(__xludf.DUMMYFUNCTION("""COMPUTED_VALUE"""),"180HP")</f>
        <v>180HP</v>
      </c>
      <c r="I2605" s="5" t="str">
        <f>IFERROR(__xludf.DUMMYFUNCTION("""COMPUTED_VALUE"""),"34471")</f>
        <v>34471</v>
      </c>
      <c r="J2605" s="5" t="str">
        <f>IFERROR(__xludf.DUMMYFUNCTION("""COMPUTED_VALUE"""),"13362")</f>
        <v>13362</v>
      </c>
      <c r="K2605" s="5">
        <f>IFERROR(__xludf.DUMMYFUNCTION("""COMPUTED_VALUE"""),16.0)</f>
        <v>16</v>
      </c>
      <c r="L2605" s="5" t="str">
        <f>IFERROR(__xludf.DUMMYFUNCTION("""COMPUTED_VALUE"""),"-")</f>
        <v>-</v>
      </c>
    </row>
    <row r="2606">
      <c r="A2606" s="5" t="str">
        <f>IFERROR(__xludf.DUMMYFUNCTION("""COMPUTED_VALUE"""),"TNL-MUI-014")</f>
        <v>TNL-MUI-014</v>
      </c>
      <c r="B2606" s="3" t="str">
        <f>IFERROR(__xludf.DUMMYFUNCTION("""COMPUTED_VALUE"""),"Máy ủi D31")</f>
        <v>Máy ủi D31</v>
      </c>
      <c r="C2606" s="5" t="str">
        <f>IFERROR(__xludf.DUMMYFUNCTION("""COMPUTED_VALUE"""),"CGTC LP")</f>
        <v>CGTC LP</v>
      </c>
      <c r="D2606" s="5" t="str">
        <f>IFERROR(__xludf.DUMMYFUNCTION("""COMPUTED_VALUE"""),"KOMATSU")</f>
        <v>KOMATSU</v>
      </c>
      <c r="E2606" s="5" t="str">
        <f>IFERROR(__xludf.DUMMYFUNCTION("""COMPUTED_VALUE"""),"NHẬT BẢN")</f>
        <v>NHẬT BẢN</v>
      </c>
      <c r="F2606" s="5">
        <f>IFERROR(__xludf.DUMMYFUNCTION("""COMPUTED_VALUE"""),2007.0)</f>
        <v>2007</v>
      </c>
      <c r="G2606" s="5" t="str">
        <f>IFERROR(__xludf.DUMMYFUNCTION("""COMPUTED_VALUE"""),"D31 EX-21")</f>
        <v>D31 EX-21</v>
      </c>
      <c r="H2606" s="5" t="str">
        <f>IFERROR(__xludf.DUMMYFUNCTION("""COMPUTED_VALUE"""),"75HP")</f>
        <v>75HP</v>
      </c>
      <c r="I2606" s="5" t="str">
        <f>IFERROR(__xludf.DUMMYFUNCTION("""COMPUTED_VALUE"""),"102E-2ESN")</f>
        <v>102E-2ESN</v>
      </c>
      <c r="J2606" s="5" t="str">
        <f>IFERROR(__xludf.DUMMYFUNCTION("""COMPUTED_VALUE"""),"50847")</f>
        <v>50847</v>
      </c>
      <c r="K2606" s="5">
        <f>IFERROR(__xludf.DUMMYFUNCTION("""COMPUTED_VALUE"""),11.0)</f>
        <v>11</v>
      </c>
      <c r="L2606" s="5" t="str">
        <f>IFERROR(__xludf.DUMMYFUNCTION("""COMPUTED_VALUE"""),"-")</f>
        <v>-</v>
      </c>
    </row>
    <row r="2607">
      <c r="A2607" s="5" t="str">
        <f>IFERROR(__xludf.DUMMYFUNCTION("""COMPUTED_VALUE"""),"TNL-MUI-015")</f>
        <v>TNL-MUI-015</v>
      </c>
      <c r="B2607" s="3" t="str">
        <f>IFERROR(__xludf.DUMMYFUNCTION("""COMPUTED_VALUE"""),"Máy ủi D20")</f>
        <v>Máy ủi D20</v>
      </c>
      <c r="C2607" s="5" t="str">
        <f>IFERROR(__xludf.DUMMYFUNCTION("""COMPUTED_VALUE"""),"XN Chuối LP1")</f>
        <v>XN Chuối LP1</v>
      </c>
      <c r="D2607" s="5" t="str">
        <f>IFERROR(__xludf.DUMMYFUNCTION("""COMPUTED_VALUE"""),"KOMATSU")</f>
        <v>KOMATSU</v>
      </c>
      <c r="E2607" s="5" t="str">
        <f>IFERROR(__xludf.DUMMYFUNCTION("""COMPUTED_VALUE"""),"NHẬT BẢN")</f>
        <v>NHẬT BẢN</v>
      </c>
      <c r="F2607" s="5"/>
      <c r="G2607" s="5" t="str">
        <f>IFERROR(__xludf.DUMMYFUNCTION("""COMPUTED_VALUE"""),"D20A-6")</f>
        <v>D20A-6</v>
      </c>
      <c r="H2607" s="5" t="str">
        <f>IFERROR(__xludf.DUMMYFUNCTION("""COMPUTED_VALUE"""),"39HP")</f>
        <v>39HP</v>
      </c>
      <c r="I2607" s="5" t="str">
        <f>IFERROR(__xludf.DUMMYFUNCTION("""COMPUTED_VALUE"""),"68076")</f>
        <v>68076</v>
      </c>
      <c r="J2607" s="5" t="str">
        <f>IFERROR(__xludf.DUMMYFUNCTION("""COMPUTED_VALUE"""),"AD95S-W-86051")</f>
        <v>AD95S-W-86051</v>
      </c>
      <c r="K2607" s="5">
        <f>IFERROR(__xludf.DUMMYFUNCTION("""COMPUTED_VALUE"""),6.0)</f>
        <v>6</v>
      </c>
      <c r="L2607" s="5" t="str">
        <f>IFERROR(__xludf.DUMMYFUNCTION("""COMPUTED_VALUE"""),"-")</f>
        <v>-</v>
      </c>
    </row>
    <row r="2608">
      <c r="A2608" s="5" t="str">
        <f>IFERROR(__xludf.DUMMYFUNCTION("""COMPUTED_VALUE"""),"TNL-MUI-016")</f>
        <v>TNL-MUI-016</v>
      </c>
      <c r="B2608" s="3" t="str">
        <f>IFERROR(__xludf.DUMMYFUNCTION("""COMPUTED_VALUE"""),"Máy ủi D50")</f>
        <v>Máy ủi D50</v>
      </c>
      <c r="C2608" s="5" t="str">
        <f>IFERROR(__xludf.DUMMYFUNCTION("""COMPUTED_VALUE"""),"CGTC LP")</f>
        <v>CGTC LP</v>
      </c>
      <c r="D2608" s="5" t="str">
        <f>IFERROR(__xludf.DUMMYFUNCTION("""COMPUTED_VALUE"""),"KOMATSU")</f>
        <v>KOMATSU</v>
      </c>
      <c r="E2608" s="5" t="str">
        <f>IFERROR(__xludf.DUMMYFUNCTION("""COMPUTED_VALUE"""),"NHẬT BẢN")</f>
        <v>NHẬT BẢN</v>
      </c>
      <c r="F2608" s="5">
        <f>IFERROR(__xludf.DUMMYFUNCTION("""COMPUTED_VALUE"""),1980.0)</f>
        <v>1980</v>
      </c>
      <c r="G2608" s="5" t="str">
        <f>IFERROR(__xludf.DUMMYFUNCTION("""COMPUTED_VALUE"""),"D50S-16")</f>
        <v>D50S-16</v>
      </c>
      <c r="H2608" s="5" t="str">
        <f>IFERROR(__xludf.DUMMYFUNCTION("""COMPUTED_VALUE"""),"109HP")</f>
        <v>109HP</v>
      </c>
      <c r="I2608" s="5" t="str">
        <f>IFERROR(__xludf.DUMMYFUNCTION("""COMPUTED_VALUE"""),"D50S16-65953")</f>
        <v>D50S16-65953</v>
      </c>
      <c r="J2608" s="5" t="str">
        <f>IFERROR(__xludf.DUMMYFUNCTION("""COMPUTED_VALUE"""),"41D130-1-22297")</f>
        <v>41D130-1-22297</v>
      </c>
      <c r="K2608" s="5">
        <f>IFERROR(__xludf.DUMMYFUNCTION("""COMPUTED_VALUE"""),11.0)</f>
        <v>11</v>
      </c>
      <c r="L2608" s="5" t="str">
        <f>IFERROR(__xludf.DUMMYFUNCTION("""COMPUTED_VALUE"""),"-")</f>
        <v>-</v>
      </c>
    </row>
    <row r="2609">
      <c r="A2609" s="5" t="str">
        <f>IFERROR(__xludf.DUMMYFUNCTION("""COMPUTED_VALUE"""),"TNL-MUI-017")</f>
        <v>TNL-MUI-017</v>
      </c>
      <c r="B2609" s="3" t="str">
        <f>IFERROR(__xludf.DUMMYFUNCTION("""COMPUTED_VALUE"""),"Máy ủi D31")</f>
        <v>Máy ủi D31</v>
      </c>
      <c r="C2609" s="5" t="str">
        <f>IFERROR(__xludf.DUMMYFUNCTION("""COMPUTED_VALUE"""),"CGTC LP")</f>
        <v>CGTC LP</v>
      </c>
      <c r="D2609" s="5" t="str">
        <f>IFERROR(__xludf.DUMMYFUNCTION("""COMPUTED_VALUE"""),"KOMATSU")</f>
        <v>KOMATSU</v>
      </c>
      <c r="E2609" s="5" t="str">
        <f>IFERROR(__xludf.DUMMYFUNCTION("""COMPUTED_VALUE"""),"NHẬT BẢN")</f>
        <v>NHẬT BẢN</v>
      </c>
      <c r="F2609" s="5"/>
      <c r="G2609" s="5" t="str">
        <f>IFERROR(__xludf.DUMMYFUNCTION("""COMPUTED_VALUE"""),"D31P-8")</f>
        <v>D31P-8</v>
      </c>
      <c r="H2609" s="5" t="str">
        <f>IFERROR(__xludf.DUMMYFUNCTION("""COMPUTED_VALUE"""),"52HP")</f>
        <v>52HP</v>
      </c>
      <c r="I2609" s="5" t="str">
        <f>IFERROR(__xludf.DUMMYFUNCTION("""COMPUTED_VALUE"""),"44736")</f>
        <v>44736</v>
      </c>
      <c r="J2609" s="5" t="str">
        <f>IFERROR(__xludf.DUMMYFUNCTION("""COMPUTED_VALUE"""),"CNN")</f>
        <v>CNN</v>
      </c>
      <c r="K2609" s="5">
        <f>IFERROR(__xludf.DUMMYFUNCTION("""COMPUTED_VALUE"""),8.0)</f>
        <v>8</v>
      </c>
      <c r="L2609" s="5" t="str">
        <f>IFERROR(__xludf.DUMMYFUNCTION("""COMPUTED_VALUE"""),"-")</f>
        <v>-</v>
      </c>
    </row>
    <row r="2610">
      <c r="A2610" s="5" t="str">
        <f>IFERROR(__xludf.DUMMYFUNCTION("""COMPUTED_VALUE"""),"TNL-MUI-018")</f>
        <v>TNL-MUI-018</v>
      </c>
      <c r="B2610" s="3" t="str">
        <f>IFERROR(__xludf.DUMMYFUNCTION("""COMPUTED_VALUE"""),"Máy ủi D21")</f>
        <v>Máy ủi D21</v>
      </c>
      <c r="C2610" s="5" t="str">
        <f>IFERROR(__xludf.DUMMYFUNCTION("""COMPUTED_VALUE"""),"CGTC LP")</f>
        <v>CGTC LP</v>
      </c>
      <c r="D2610" s="5" t="str">
        <f>IFERROR(__xludf.DUMMYFUNCTION("""COMPUTED_VALUE"""),"KOMATSU")</f>
        <v>KOMATSU</v>
      </c>
      <c r="E2610" s="5" t="str">
        <f>IFERROR(__xludf.DUMMYFUNCTION("""COMPUTED_VALUE"""),"NHẬT BẢN")</f>
        <v>NHẬT BẢN</v>
      </c>
      <c r="F2610" s="5">
        <f>IFERROR(__xludf.DUMMYFUNCTION("""COMPUTED_VALUE"""),2003.0)</f>
        <v>2003</v>
      </c>
      <c r="G2610" s="5" t="str">
        <f>IFERROR(__xludf.DUMMYFUNCTION("""COMPUTED_VALUE"""),"D21A-7")</f>
        <v>D21A-7</v>
      </c>
      <c r="H2610" s="5" t="str">
        <f>IFERROR(__xludf.DUMMYFUNCTION("""COMPUTED_VALUE"""),"40HP")</f>
        <v>40HP</v>
      </c>
      <c r="I2610" s="5" t="str">
        <f>IFERROR(__xludf.DUMMYFUNCTION("""COMPUTED_VALUE"""),"75255")</f>
        <v>75255</v>
      </c>
      <c r="J2610" s="5" t="str">
        <f>IFERROR(__xludf.DUMMYFUNCTION("""COMPUTED_VALUE"""),"135287")</f>
        <v>135287</v>
      </c>
      <c r="K2610" s="5">
        <f>IFERROR(__xludf.DUMMYFUNCTION("""COMPUTED_VALUE"""),5.4)</f>
        <v>5.4</v>
      </c>
      <c r="L2610" s="5" t="str">
        <f>IFERROR(__xludf.DUMMYFUNCTION("""COMPUTED_VALUE"""),"-")</f>
        <v>-</v>
      </c>
    </row>
    <row r="2611">
      <c r="A2611" s="5" t="str">
        <f>IFERROR(__xludf.DUMMYFUNCTION("""COMPUTED_VALUE"""),"TNL-MUI-019")</f>
        <v>TNL-MUI-019</v>
      </c>
      <c r="B2611" s="3" t="str">
        <f>IFERROR(__xludf.DUMMYFUNCTION("""COMPUTED_VALUE"""),"Máy ủi D20")</f>
        <v>Máy ủi D20</v>
      </c>
      <c r="C2611" s="5" t="str">
        <f>IFERROR(__xludf.DUMMYFUNCTION("""COMPUTED_VALUE"""),"XN Chuối LP1")</f>
        <v>XN Chuối LP1</v>
      </c>
      <c r="D2611" s="5" t="str">
        <f>IFERROR(__xludf.DUMMYFUNCTION("""COMPUTED_VALUE"""),"KOMATSU")</f>
        <v>KOMATSU</v>
      </c>
      <c r="E2611" s="5" t="str">
        <f>IFERROR(__xludf.DUMMYFUNCTION("""COMPUTED_VALUE"""),"NHẬT BẢN")</f>
        <v>NHẬT BẢN</v>
      </c>
      <c r="F2611" s="5">
        <f>IFERROR(__xludf.DUMMYFUNCTION("""COMPUTED_VALUE"""),1998.0)</f>
        <v>1998</v>
      </c>
      <c r="G2611" s="5" t="str">
        <f>IFERROR(__xludf.DUMMYFUNCTION("""COMPUTED_VALUE"""),"D20P-5")</f>
        <v>D20P-5</v>
      </c>
      <c r="H2611" s="5" t="str">
        <f>IFERROR(__xludf.DUMMYFUNCTION("""COMPUTED_VALUE"""),"38HP")</f>
        <v>38HP</v>
      </c>
      <c r="I2611" s="5" t="str">
        <f>IFERROR(__xludf.DUMMYFUNCTION("""COMPUTED_VALUE"""),"D205-5427")</f>
        <v>D205-5427</v>
      </c>
      <c r="J2611" s="5" t="str">
        <f>IFERROR(__xludf.DUMMYFUNCTION("""COMPUTED_VALUE"""),"4D94-255152")</f>
        <v>4D94-255152</v>
      </c>
      <c r="K2611" s="5">
        <f>IFERROR(__xludf.DUMMYFUNCTION("""COMPUTED_VALUE"""),4.0)</f>
        <v>4</v>
      </c>
      <c r="L2611" s="5" t="str">
        <f>IFERROR(__xludf.DUMMYFUNCTION("""COMPUTED_VALUE"""),"-")</f>
        <v>-</v>
      </c>
    </row>
    <row r="2612">
      <c r="A2612" s="5" t="str">
        <f>IFERROR(__xludf.DUMMYFUNCTION("""COMPUTED_VALUE"""),"TNL-MUI-020")</f>
        <v>TNL-MUI-020</v>
      </c>
      <c r="B2612" s="3" t="str">
        <f>IFERROR(__xludf.DUMMYFUNCTION("""COMPUTED_VALUE"""),"Máy ủi D37")</f>
        <v>Máy ủi D37</v>
      </c>
      <c r="C2612" s="5" t="str">
        <f>IFERROR(__xludf.DUMMYFUNCTION("""COMPUTED_VALUE"""),"CGTC LP")</f>
        <v>CGTC LP</v>
      </c>
      <c r="D2612" s="5" t="str">
        <f>IFERROR(__xludf.DUMMYFUNCTION("""COMPUTED_VALUE"""),"KOMATSU")</f>
        <v>KOMATSU</v>
      </c>
      <c r="E2612" s="5" t="str">
        <f>IFERROR(__xludf.DUMMYFUNCTION("""COMPUTED_VALUE"""),"NHẬT BẢN")</f>
        <v>NHẬT BẢN</v>
      </c>
      <c r="F2612" s="5">
        <f>IFERROR(__xludf.DUMMYFUNCTION("""COMPUTED_VALUE"""),2005.0)</f>
        <v>2005</v>
      </c>
      <c r="G2612" s="5" t="str">
        <f>IFERROR(__xludf.DUMMYFUNCTION("""COMPUTED_VALUE"""),"D37PX-21")</f>
        <v>D37PX-21</v>
      </c>
      <c r="H2612" s="5" t="str">
        <f>IFERROR(__xludf.DUMMYFUNCTION("""COMPUTED_VALUE"""),"105HP")</f>
        <v>105HP</v>
      </c>
      <c r="I2612" s="5" t="str">
        <f>IFERROR(__xludf.DUMMYFUNCTION("""COMPUTED_VALUE"""),"KMT00012L01005574")</f>
        <v>KMT00012L01005574</v>
      </c>
      <c r="J2612" s="5" t="str">
        <f>IFERROR(__xludf.DUMMYFUNCTION("""COMPUTED_VALUE"""),"NIL")</f>
        <v>NIL</v>
      </c>
      <c r="K2612" s="5">
        <f>IFERROR(__xludf.DUMMYFUNCTION("""COMPUTED_VALUE"""),7.5)</f>
        <v>7.5</v>
      </c>
      <c r="L2612" s="5" t="str">
        <f>IFERROR(__xludf.DUMMYFUNCTION("""COMPUTED_VALUE"""),"-")</f>
        <v>-</v>
      </c>
    </row>
    <row r="2613">
      <c r="A2613" s="5" t="str">
        <f>IFERROR(__xludf.DUMMYFUNCTION("""COMPUTED_VALUE"""),"TNL-MUI-021")</f>
        <v>TNL-MUI-021</v>
      </c>
      <c r="B2613" s="3" t="str">
        <f>IFERROR(__xludf.DUMMYFUNCTION("""COMPUTED_VALUE"""),"Máy ủi D3C")</f>
        <v>Máy ủi D3C</v>
      </c>
      <c r="C2613" s="5" t="str">
        <f>IFERROR(__xludf.DUMMYFUNCTION("""COMPUTED_VALUE"""),"CGTC LP")</f>
        <v>CGTC LP</v>
      </c>
      <c r="D2613" s="5" t="str">
        <f>IFERROR(__xludf.DUMMYFUNCTION("""COMPUTED_VALUE"""),"CAT")</f>
        <v>CAT</v>
      </c>
      <c r="E2613" s="5"/>
      <c r="F2613" s="5">
        <f>IFERROR(__xludf.DUMMYFUNCTION("""COMPUTED_VALUE"""),1985.0)</f>
        <v>1985</v>
      </c>
      <c r="G2613" s="5" t="str">
        <f>IFERROR(__xludf.DUMMYFUNCTION("""COMPUTED_VALUE"""),"D3C")</f>
        <v>D3C</v>
      </c>
      <c r="H2613" s="5" t="str">
        <f>IFERROR(__xludf.DUMMYFUNCTION("""COMPUTED_VALUE"""),"72HP")</f>
        <v>72HP</v>
      </c>
      <c r="I2613" s="5" t="str">
        <f>IFERROR(__xludf.DUMMYFUNCTION("""COMPUTED_VALUE"""),"7JG00124")</f>
        <v>7JG00124</v>
      </c>
      <c r="J2613" s="5" t="str">
        <f>IFERROR(__xludf.DUMMYFUNCTION("""COMPUTED_VALUE"""),"7YJ03663")</f>
        <v>7YJ03663</v>
      </c>
      <c r="K2613" s="5">
        <f>IFERROR(__xludf.DUMMYFUNCTION("""COMPUTED_VALUE"""),10.0)</f>
        <v>10</v>
      </c>
      <c r="L2613" s="5" t="str">
        <f>IFERROR(__xludf.DUMMYFUNCTION("""COMPUTED_VALUE"""),"-")</f>
        <v>-</v>
      </c>
    </row>
    <row r="2614">
      <c r="A2614" s="5" t="str">
        <f>IFERROR(__xludf.DUMMYFUNCTION("""COMPUTED_VALUE"""),"TNL-MUI-022")</f>
        <v>TNL-MUI-022</v>
      </c>
      <c r="B2614" s="3" t="str">
        <f>IFERROR(__xludf.DUMMYFUNCTION("""COMPUTED_VALUE"""),"Máy ủi D31")</f>
        <v>Máy ủi D31</v>
      </c>
      <c r="C2614" s="5" t="str">
        <f>IFERROR(__xludf.DUMMYFUNCTION("""COMPUTED_VALUE"""),"CGTC LP")</f>
        <v>CGTC LP</v>
      </c>
      <c r="D2614" s="5" t="str">
        <f>IFERROR(__xludf.DUMMYFUNCTION("""COMPUTED_VALUE"""),"KOMATSU")</f>
        <v>KOMATSU</v>
      </c>
      <c r="E2614" s="5" t="str">
        <f>IFERROR(__xludf.DUMMYFUNCTION("""COMPUTED_VALUE"""),"NHẬT BẢN")</f>
        <v>NHẬT BẢN</v>
      </c>
      <c r="F2614" s="5">
        <f>IFERROR(__xludf.DUMMYFUNCTION("""COMPUTED_VALUE"""),1995.0)</f>
        <v>1995</v>
      </c>
      <c r="G2614" s="5" t="str">
        <f>IFERROR(__xludf.DUMMYFUNCTION("""COMPUTED_VALUE"""),"D31ME-20E")</f>
        <v>D31ME-20E</v>
      </c>
      <c r="H2614" s="5" t="str">
        <f>IFERROR(__xludf.DUMMYFUNCTION("""COMPUTED_VALUE"""),"94HP")</f>
        <v>94HP</v>
      </c>
      <c r="I2614" s="5" t="str">
        <f>IFERROR(__xludf.DUMMYFUNCTION("""COMPUTED_VALUE"""),"D31S20E41189")</f>
        <v>D31S20E41189</v>
      </c>
      <c r="J2614" s="5" t="str">
        <f>IFERROR(__xludf.DUMMYFUNCTION("""COMPUTED_VALUE"""),"4D10226211477")</f>
        <v>4D10226211477</v>
      </c>
      <c r="K2614" s="5">
        <f>IFERROR(__xludf.DUMMYFUNCTION("""COMPUTED_VALUE"""),5.5)</f>
        <v>5.5</v>
      </c>
      <c r="L2614" s="5" t="str">
        <f>IFERROR(__xludf.DUMMYFUNCTION("""COMPUTED_VALUE"""),"Đang thuê")</f>
        <v>Đang thuê</v>
      </c>
    </row>
    <row r="2615">
      <c r="A2615" s="5" t="str">
        <f>IFERROR(__xludf.DUMMYFUNCTION("""COMPUTED_VALUE"""),"TNL-MUI-023")</f>
        <v>TNL-MUI-023</v>
      </c>
      <c r="B2615" s="3" t="str">
        <f>IFERROR(__xludf.DUMMYFUNCTION("""COMPUTED_VALUE"""),"Máy ủi D20")</f>
        <v>Máy ủi D20</v>
      </c>
      <c r="C2615" s="5" t="str">
        <f>IFERROR(__xludf.DUMMYFUNCTION("""COMPUTED_VALUE"""),"CGTC LP")</f>
        <v>CGTC LP</v>
      </c>
      <c r="D2615" s="5" t="str">
        <f>IFERROR(__xludf.DUMMYFUNCTION("""COMPUTED_VALUE"""),"MITSUBISHI")</f>
        <v>MITSUBISHI</v>
      </c>
      <c r="E2615" s="5"/>
      <c r="F2615" s="5">
        <f>IFERROR(__xludf.DUMMYFUNCTION("""COMPUTED_VALUE"""),1992.0)</f>
        <v>1992</v>
      </c>
      <c r="G2615" s="5" t="str">
        <f>IFERROR(__xludf.DUMMYFUNCTION("""COMPUTED_VALUE"""),"B02G")</f>
        <v>B02G</v>
      </c>
      <c r="H2615" s="5" t="str">
        <f>IFERROR(__xludf.DUMMYFUNCTION("""COMPUTED_VALUE"""),"39HP")</f>
        <v>39HP</v>
      </c>
      <c r="I2615" s="5" t="str">
        <f>IFERROR(__xludf.DUMMYFUNCTION("""COMPUTED_VALUE"""),"2B103200")</f>
        <v>2B103200</v>
      </c>
      <c r="J2615" s="5" t="str">
        <f>IFERROR(__xludf.DUMMYFUNCTION("""COMPUTED_VALUE"""),"SAE404727")</f>
        <v>SAE404727</v>
      </c>
      <c r="K2615" s="5">
        <f>IFERROR(__xludf.DUMMYFUNCTION("""COMPUTED_VALUE"""),5.0)</f>
        <v>5</v>
      </c>
      <c r="L2615" s="5" t="str">
        <f>IFERROR(__xludf.DUMMYFUNCTION("""COMPUTED_VALUE"""),"Đang thuê")</f>
        <v>Đang thuê</v>
      </c>
    </row>
    <row r="2616">
      <c r="A2616" s="5" t="str">
        <f>IFERROR(__xludf.DUMMYFUNCTION("""COMPUTED_VALUE"""),"TNL-MUI-024")</f>
        <v>TNL-MUI-024</v>
      </c>
      <c r="B2616" s="3" t="str">
        <f>IFERROR(__xludf.DUMMYFUNCTION("""COMPUTED_VALUE"""),"Máy ủi D20")</f>
        <v>Máy ủi D20</v>
      </c>
      <c r="C2616" s="5" t="str">
        <f>IFERROR(__xludf.DUMMYFUNCTION("""COMPUTED_VALUE"""),"CGTC LP")</f>
        <v>CGTC LP</v>
      </c>
      <c r="D2616" s="5" t="str">
        <f>IFERROR(__xludf.DUMMYFUNCTION("""COMPUTED_VALUE"""),"KOMATSU")</f>
        <v>KOMATSU</v>
      </c>
      <c r="E2616" s="5"/>
      <c r="F2616" s="5">
        <f>IFERROR(__xludf.DUMMYFUNCTION("""COMPUTED_VALUE"""),2001.0)</f>
        <v>2001</v>
      </c>
      <c r="G2616" s="5" t="str">
        <f>IFERROR(__xludf.DUMMYFUNCTION("""COMPUTED_VALUE"""),"D20A-7E")</f>
        <v>D20A-7E</v>
      </c>
      <c r="H2616" s="5" t="str">
        <f>IFERROR(__xludf.DUMMYFUNCTION("""COMPUTED_VALUE"""),"40HP")</f>
        <v>40HP</v>
      </c>
      <c r="I2616" s="5" t="str">
        <f>IFERROR(__xludf.DUMMYFUNCTION("""COMPUTED_VALUE"""),"80413")</f>
        <v>80413</v>
      </c>
      <c r="J2616" s="5" t="str">
        <f>IFERROR(__xludf.DUMMYFUNCTION("""COMPUTED_VALUE"""),"2235")</f>
        <v>2235</v>
      </c>
      <c r="K2616" s="5">
        <f>IFERROR(__xludf.DUMMYFUNCTION("""COMPUTED_VALUE"""),3.8)</f>
        <v>3.8</v>
      </c>
      <c r="L2616" s="5" t="str">
        <f>IFERROR(__xludf.DUMMYFUNCTION("""COMPUTED_VALUE"""),"Đang thuê")</f>
        <v>Đang thuê</v>
      </c>
    </row>
    <row r="2617">
      <c r="A2617" s="5" t="str">
        <f>IFERROR(__xludf.DUMMYFUNCTION("""COMPUTED_VALUE"""),"TNL-MUI-025")</f>
        <v>TNL-MUI-025</v>
      </c>
      <c r="B2617" s="3" t="str">
        <f>IFERROR(__xludf.DUMMYFUNCTION("""COMPUTED_VALUE"""),"Máy ủi BD2G")</f>
        <v>Máy ủi BD2G</v>
      </c>
      <c r="C2617" s="5" t="str">
        <f>IFERROR(__xludf.DUMMYFUNCTION("""COMPUTED_VALUE"""),"CGTC LP")</f>
        <v>CGTC LP</v>
      </c>
      <c r="D2617" s="5" t="str">
        <f>IFERROR(__xludf.DUMMYFUNCTION("""COMPUTED_VALUE"""),"MITSUBISHI")</f>
        <v>MITSUBISHI</v>
      </c>
      <c r="E2617" s="5"/>
      <c r="F2617" s="5"/>
      <c r="G2617" s="5" t="str">
        <f>IFERROR(__xludf.DUMMYFUNCTION("""COMPUTED_VALUE"""),"BD2G")</f>
        <v>BD2G</v>
      </c>
      <c r="H2617" s="5" t="str">
        <f>IFERROR(__xludf.DUMMYFUNCTION("""COMPUTED_VALUE"""),"39HP")</f>
        <v>39HP</v>
      </c>
      <c r="I2617" s="5" t="str">
        <f>IFERROR(__xludf.DUMMYFUNCTION("""COMPUTED_VALUE"""),"2B000902")</f>
        <v>2B000902</v>
      </c>
      <c r="J2617" s="5" t="str">
        <f>IFERROR(__xludf.DUMMYFUNCTION("""COMPUTED_VALUE"""),"S4E-093258")</f>
        <v>S4E-093258</v>
      </c>
      <c r="K2617" s="5">
        <f>IFERROR(__xludf.DUMMYFUNCTION("""COMPUTED_VALUE"""),3.8)</f>
        <v>3.8</v>
      </c>
      <c r="L2617" s="5" t="str">
        <f>IFERROR(__xludf.DUMMYFUNCTION("""COMPUTED_VALUE"""),"-")</f>
        <v>-</v>
      </c>
    </row>
    <row r="2618">
      <c r="A2618" s="5" t="str">
        <f>IFERROR(__xludf.DUMMYFUNCTION("""COMPUTED_VALUE"""),"TNL-MUI-026")</f>
        <v>TNL-MUI-026</v>
      </c>
      <c r="B2618" s="3" t="str">
        <f>IFERROR(__xludf.DUMMYFUNCTION("""COMPUTED_VALUE"""),"Máy ủi D60")</f>
        <v>Máy ủi D60</v>
      </c>
      <c r="C2618" s="5" t="str">
        <f>IFERROR(__xludf.DUMMYFUNCTION("""COMPUTED_VALUE"""),"CGTC LP")</f>
        <v>CGTC LP</v>
      </c>
      <c r="D2618" s="5" t="str">
        <f>IFERROR(__xludf.DUMMYFUNCTION("""COMPUTED_VALUE"""),"KOMATSU")</f>
        <v>KOMATSU</v>
      </c>
      <c r="E2618" s="5"/>
      <c r="F2618" s="5"/>
      <c r="G2618" s="5" t="str">
        <f>IFERROR(__xludf.DUMMYFUNCTION("""COMPUTED_VALUE"""),"D60P")</f>
        <v>D60P</v>
      </c>
      <c r="H2618" s="5"/>
      <c r="I2618" s="5" t="str">
        <f>IFERROR(__xludf.DUMMYFUNCTION("""COMPUTED_VALUE"""),"34471")</f>
        <v>34471</v>
      </c>
      <c r="J2618" s="5" t="str">
        <f>IFERROR(__xludf.DUMMYFUNCTION("""COMPUTED_VALUE"""),"NH22001713362")</f>
        <v>NH22001713362</v>
      </c>
      <c r="K2618" s="5">
        <f>IFERROR(__xludf.DUMMYFUNCTION("""COMPUTED_VALUE"""),11.0)</f>
        <v>11</v>
      </c>
      <c r="L2618" s="5" t="str">
        <f>IFERROR(__xludf.DUMMYFUNCTION("""COMPUTED_VALUE"""),"Đang thuê")</f>
        <v>Đang thuê</v>
      </c>
    </row>
    <row r="2619">
      <c r="A2619" s="5" t="str">
        <f>IFERROR(__xludf.DUMMYFUNCTION("""COMPUTED_VALUE"""),"TNL-MUI-027")</f>
        <v>TNL-MUI-027</v>
      </c>
      <c r="B2619" s="3" t="str">
        <f>IFERROR(__xludf.DUMMYFUNCTION("""COMPUTED_VALUE"""),"Máy ủi D20")</f>
        <v>Máy ủi D20</v>
      </c>
      <c r="C2619" s="5" t="str">
        <f>IFERROR(__xludf.DUMMYFUNCTION("""COMPUTED_VALUE"""),"XN Chuối LP3")</f>
        <v>XN Chuối LP3</v>
      </c>
      <c r="D2619" s="5" t="str">
        <f>IFERROR(__xludf.DUMMYFUNCTION("""COMPUTED_VALUE"""),"KOMATSU")</f>
        <v>KOMATSU</v>
      </c>
      <c r="E2619" s="5"/>
      <c r="F2619" s="5"/>
      <c r="G2619" s="5" t="str">
        <f>IFERROR(__xludf.DUMMYFUNCTION("""COMPUTED_VALUE"""),"D20P-6")</f>
        <v>D20P-6</v>
      </c>
      <c r="H2619" s="5" t="str">
        <f>IFERROR(__xludf.DUMMYFUNCTION("""COMPUTED_VALUE"""),"38HP")</f>
        <v>38HP</v>
      </c>
      <c r="I2619" s="5" t="str">
        <f>IFERROR(__xludf.DUMMYFUNCTION("""COMPUTED_VALUE"""),"63141")</f>
        <v>63141</v>
      </c>
      <c r="J2619" s="5" t="str">
        <f>IFERROR(__xludf.DUMMYFUNCTION("""COMPUTED_VALUE"""),"NIL")</f>
        <v>NIL</v>
      </c>
      <c r="K2619" s="5">
        <f>IFERROR(__xludf.DUMMYFUNCTION("""COMPUTED_VALUE"""),4.8)</f>
        <v>4.8</v>
      </c>
      <c r="L2619" s="5" t="str">
        <f>IFERROR(__xludf.DUMMYFUNCTION("""COMPUTED_VALUE"""),"-")</f>
        <v>-</v>
      </c>
    </row>
    <row r="2620">
      <c r="A2620" s="5" t="str">
        <f>IFERROR(__xludf.DUMMYFUNCTION("""COMPUTED_VALUE"""),"TNL-MUI-028")</f>
        <v>TNL-MUI-028</v>
      </c>
      <c r="B2620" s="3" t="str">
        <f>IFERROR(__xludf.DUMMYFUNCTION("""COMPUTED_VALUE"""),"Máy ủi D20")</f>
        <v>Máy ủi D20</v>
      </c>
      <c r="C2620" s="5" t="str">
        <f>IFERROR(__xludf.DUMMYFUNCTION("""COMPUTED_VALUE"""),"XN Chuối LP3")</f>
        <v>XN Chuối LP3</v>
      </c>
      <c r="D2620" s="5" t="str">
        <f>IFERROR(__xludf.DUMMYFUNCTION("""COMPUTED_VALUE"""),"KOMATSU")</f>
        <v>KOMATSU</v>
      </c>
      <c r="E2620" s="5"/>
      <c r="F2620" s="5"/>
      <c r="G2620" s="5" t="str">
        <f>IFERROR(__xludf.DUMMYFUNCTION("""COMPUTED_VALUE"""),"D20P-5")</f>
        <v>D20P-5</v>
      </c>
      <c r="H2620" s="5" t="str">
        <f>IFERROR(__xludf.DUMMYFUNCTION("""COMPUTED_VALUE"""),"38HP")</f>
        <v>38HP</v>
      </c>
      <c r="I2620" s="5" t="str">
        <f>IFERROR(__xludf.DUMMYFUNCTION("""COMPUTED_VALUE"""),"68504")</f>
        <v>68504</v>
      </c>
      <c r="J2620" s="5" t="str">
        <f>IFERROR(__xludf.DUMMYFUNCTION("""COMPUTED_VALUE"""),"67309")</f>
        <v>67309</v>
      </c>
      <c r="K2620" s="5">
        <f>IFERROR(__xludf.DUMMYFUNCTION("""COMPUTED_VALUE"""),4.8)</f>
        <v>4.8</v>
      </c>
      <c r="L2620" s="5" t="str">
        <f>IFERROR(__xludf.DUMMYFUNCTION("""COMPUTED_VALUE"""),"-")</f>
        <v>-</v>
      </c>
    </row>
    <row r="2621">
      <c r="A2621" s="5" t="str">
        <f>IFERROR(__xludf.DUMMYFUNCTION("""COMPUTED_VALUE"""),"TNL-MUI-029")</f>
        <v>TNL-MUI-029</v>
      </c>
      <c r="B2621" s="3" t="str">
        <f>IFERROR(__xludf.DUMMYFUNCTION("""COMPUTED_VALUE"""),"Máy ủi D20")</f>
        <v>Máy ủi D20</v>
      </c>
      <c r="C2621" s="5" t="str">
        <f>IFERROR(__xludf.DUMMYFUNCTION("""COMPUTED_VALUE"""),"CGTC LP")</f>
        <v>CGTC LP</v>
      </c>
      <c r="D2621" s="5" t="str">
        <f>IFERROR(__xludf.DUMMYFUNCTION("""COMPUTED_VALUE"""),"KOMATSU")</f>
        <v>KOMATSU</v>
      </c>
      <c r="E2621" s="5"/>
      <c r="F2621" s="5">
        <f>IFERROR(__xludf.DUMMYFUNCTION("""COMPUTED_VALUE"""),1989.0)</f>
        <v>1989</v>
      </c>
      <c r="G2621" s="5" t="str">
        <f>IFERROR(__xludf.DUMMYFUNCTION("""COMPUTED_VALUE"""),"D20P-6")</f>
        <v>D20P-6</v>
      </c>
      <c r="H2621" s="5" t="str">
        <f>IFERROR(__xludf.DUMMYFUNCTION("""COMPUTED_VALUE"""),"38HP")</f>
        <v>38HP</v>
      </c>
      <c r="I2621" s="5" t="str">
        <f>IFERROR(__xludf.DUMMYFUNCTION("""COMPUTED_VALUE"""),"66291")</f>
        <v>66291</v>
      </c>
      <c r="J2621" s="5" t="str">
        <f>IFERROR(__xludf.DUMMYFUNCTION("""COMPUTED_VALUE"""),"4D95S-W-70384")</f>
        <v>4D95S-W-70384</v>
      </c>
      <c r="K2621" s="5">
        <f>IFERROR(__xludf.DUMMYFUNCTION("""COMPUTED_VALUE"""),4.0)</f>
        <v>4</v>
      </c>
      <c r="L2621" s="5" t="str">
        <f>IFERROR(__xludf.DUMMYFUNCTION("""COMPUTED_VALUE"""),"Đang thuê")</f>
        <v>Đang thuê</v>
      </c>
    </row>
    <row r="2622">
      <c r="A2622" s="5" t="str">
        <f>IFERROR(__xludf.DUMMYFUNCTION("""COMPUTED_VALUE"""),"TNL-MUI-030")</f>
        <v>TNL-MUI-030</v>
      </c>
      <c r="B2622" s="3" t="str">
        <f>IFERROR(__xludf.DUMMYFUNCTION("""COMPUTED_VALUE"""),"Máy ủi D20")</f>
        <v>Máy ủi D20</v>
      </c>
      <c r="C2622" s="5" t="str">
        <f>IFERROR(__xludf.DUMMYFUNCTION("""COMPUTED_VALUE"""),"CGTC LP")</f>
        <v>CGTC LP</v>
      </c>
      <c r="D2622" s="5" t="str">
        <f>IFERROR(__xludf.DUMMYFUNCTION("""COMPUTED_VALUE"""),"KOMATSU")</f>
        <v>KOMATSU</v>
      </c>
      <c r="E2622" s="5"/>
      <c r="F2622" s="5">
        <f>IFERROR(__xludf.DUMMYFUNCTION("""COMPUTED_VALUE"""),2003.0)</f>
        <v>2003</v>
      </c>
      <c r="G2622" s="5" t="str">
        <f>IFERROR(__xludf.DUMMYFUNCTION("""COMPUTED_VALUE"""),"D21A")</f>
        <v>D21A</v>
      </c>
      <c r="H2622" s="5" t="str">
        <f>IFERROR(__xludf.DUMMYFUNCTION("""COMPUTED_VALUE"""),"38HP")</f>
        <v>38HP</v>
      </c>
      <c r="I2622" s="5" t="str">
        <f>IFERROR(__xludf.DUMMYFUNCTION("""COMPUTED_VALUE"""),"75255")</f>
        <v>75255</v>
      </c>
      <c r="J2622" s="5" t="str">
        <f>IFERROR(__xludf.DUMMYFUNCTION("""COMPUTED_VALUE"""),"135287")</f>
        <v>135287</v>
      </c>
      <c r="K2622" s="5">
        <f>IFERROR(__xludf.DUMMYFUNCTION("""COMPUTED_VALUE"""),4.0)</f>
        <v>4</v>
      </c>
      <c r="L2622" s="5" t="str">
        <f>IFERROR(__xludf.DUMMYFUNCTION("""COMPUTED_VALUE"""),"Đang thuê")</f>
        <v>Đang thuê</v>
      </c>
    </row>
    <row r="2623">
      <c r="A2623" s="5" t="str">
        <f>IFERROR(__xludf.DUMMYFUNCTION("""COMPUTED_VALUE"""),"TNL-MUI-031")</f>
        <v>TNL-MUI-031</v>
      </c>
      <c r="B2623" s="3" t="str">
        <f>IFERROR(__xludf.DUMMYFUNCTION("""COMPUTED_VALUE"""),"Máy ủi D41")</f>
        <v>Máy ủi D41</v>
      </c>
      <c r="C2623" s="5" t="str">
        <f>IFERROR(__xludf.DUMMYFUNCTION("""COMPUTED_VALUE"""),"CGTC LP")</f>
        <v>CGTC LP</v>
      </c>
      <c r="D2623" s="5" t="str">
        <f>IFERROR(__xludf.DUMMYFUNCTION("""COMPUTED_VALUE"""),"KOMATSU")</f>
        <v>KOMATSU</v>
      </c>
      <c r="E2623" s="5"/>
      <c r="F2623" s="5">
        <f>IFERROR(__xludf.DUMMYFUNCTION("""COMPUTED_VALUE"""),2002.0)</f>
        <v>2002</v>
      </c>
      <c r="G2623" s="5" t="str">
        <f>IFERROR(__xludf.DUMMYFUNCTION("""COMPUTED_VALUE"""),"D41A-3")</f>
        <v>D41A-3</v>
      </c>
      <c r="H2623" s="5" t="str">
        <f>IFERROR(__xludf.DUMMYFUNCTION("""COMPUTED_VALUE"""),"93HP")</f>
        <v>93HP</v>
      </c>
      <c r="I2623" s="5" t="str">
        <f>IFERROR(__xludf.DUMMYFUNCTION("""COMPUTED_VALUE"""),"7457")</f>
        <v>7457</v>
      </c>
      <c r="J2623" s="5" t="str">
        <f>IFERROR(__xludf.DUMMYFUNCTION("""COMPUTED_VALUE"""),"78598")</f>
        <v>78598</v>
      </c>
      <c r="K2623" s="5">
        <f>IFERROR(__xludf.DUMMYFUNCTION("""COMPUTED_VALUE"""),11.0)</f>
        <v>11</v>
      </c>
      <c r="L2623" s="5" t="str">
        <f>IFERROR(__xludf.DUMMYFUNCTION("""COMPUTED_VALUE"""),"Đang thuê")</f>
        <v>Đang thuê</v>
      </c>
    </row>
    <row r="2624">
      <c r="A2624" s="5" t="str">
        <f>IFERROR(__xludf.DUMMYFUNCTION("""COMPUTED_VALUE"""),"TNL-MUI-032")</f>
        <v>TNL-MUI-032</v>
      </c>
      <c r="B2624" s="3" t="str">
        <f>IFERROR(__xludf.DUMMYFUNCTION("""COMPUTED_VALUE"""),"Máy ủi D21")</f>
        <v>Máy ủi D21</v>
      </c>
      <c r="C2624" s="5" t="str">
        <f>IFERROR(__xludf.DUMMYFUNCTION("""COMPUTED_VALUE"""),"CGTC LP")</f>
        <v>CGTC LP</v>
      </c>
      <c r="D2624" s="5" t="str">
        <f>IFERROR(__xludf.DUMMYFUNCTION("""COMPUTED_VALUE"""),"KOMATSU")</f>
        <v>KOMATSU</v>
      </c>
      <c r="E2624" s="5"/>
      <c r="F2624" s="5">
        <f>IFERROR(__xludf.DUMMYFUNCTION("""COMPUTED_VALUE"""),2001.0)</f>
        <v>2001</v>
      </c>
      <c r="G2624" s="5" t="str">
        <f>IFERROR(__xludf.DUMMYFUNCTION("""COMPUTED_VALUE"""),"D21-6")</f>
        <v>D21-6</v>
      </c>
      <c r="H2624" s="5" t="str">
        <f>IFERROR(__xludf.DUMMYFUNCTION("""COMPUTED_VALUE"""),"40HP")</f>
        <v>40HP</v>
      </c>
      <c r="I2624" s="5" t="str">
        <f>IFERROR(__xludf.DUMMYFUNCTION("""COMPUTED_VALUE"""),"D206-71706")</f>
        <v>D206-71706</v>
      </c>
      <c r="J2624" s="5" t="str">
        <f>IFERROR(__xludf.DUMMYFUNCTION("""COMPUTED_VALUE"""),"117491")</f>
        <v>117491</v>
      </c>
      <c r="K2624" s="5">
        <f>IFERROR(__xludf.DUMMYFUNCTION("""COMPUTED_VALUE"""),3.8)</f>
        <v>3.8</v>
      </c>
      <c r="L2624" s="5" t="str">
        <f>IFERROR(__xludf.DUMMYFUNCTION("""COMPUTED_VALUE"""),"-")</f>
        <v>-</v>
      </c>
    </row>
    <row r="2625">
      <c r="A2625" s="5" t="str">
        <f>IFERROR(__xludf.DUMMYFUNCTION("""COMPUTED_VALUE"""),"TNL-MUI-033")</f>
        <v>TNL-MUI-033</v>
      </c>
      <c r="B2625" s="3" t="str">
        <f>IFERROR(__xludf.DUMMYFUNCTION("""COMPUTED_VALUE"""),"Máy ủi D3")</f>
        <v>Máy ủi D3</v>
      </c>
      <c r="C2625" s="5" t="str">
        <f>IFERROR(__xludf.DUMMYFUNCTION("""COMPUTED_VALUE"""),"CGTC LP")</f>
        <v>CGTC LP</v>
      </c>
      <c r="D2625" s="5" t="str">
        <f>IFERROR(__xludf.DUMMYFUNCTION("""COMPUTED_VALUE"""),"KOMATSU")</f>
        <v>KOMATSU</v>
      </c>
      <c r="E2625" s="5"/>
      <c r="F2625" s="5">
        <f>IFERROR(__xludf.DUMMYFUNCTION("""COMPUTED_VALUE"""),1996.0)</f>
        <v>1996</v>
      </c>
      <c r="G2625" s="5" t="str">
        <f>IFERROR(__xludf.DUMMYFUNCTION("""COMPUTED_VALUE"""),"D31P-8")</f>
        <v>D31P-8</v>
      </c>
      <c r="H2625" s="5" t="str">
        <f>IFERROR(__xludf.DUMMYFUNCTION("""COMPUTED_VALUE"""),"80HP")</f>
        <v>80HP</v>
      </c>
      <c r="I2625" s="5" t="str">
        <f>IFERROR(__xludf.DUMMYFUNCTION("""COMPUTED_VALUE"""),"44356")</f>
        <v>44356</v>
      </c>
      <c r="J2625" s="5" t="str">
        <f>IFERROR(__xludf.DUMMYFUNCTION("""COMPUTED_VALUE"""),"100320")</f>
        <v>100320</v>
      </c>
      <c r="K2625" s="5">
        <f>IFERROR(__xludf.DUMMYFUNCTION("""COMPUTED_VALUE"""),7.0)</f>
        <v>7</v>
      </c>
      <c r="L2625" s="5" t="str">
        <f>IFERROR(__xludf.DUMMYFUNCTION("""COMPUTED_VALUE"""),"Đang thuê")</f>
        <v>Đang thuê</v>
      </c>
    </row>
    <row r="2626">
      <c r="A2626" s="5" t="str">
        <f>IFERROR(__xludf.DUMMYFUNCTION("""COMPUTED_VALUE"""),"TNL-MUI-034")</f>
        <v>TNL-MUI-034</v>
      </c>
      <c r="B2626" s="3" t="str">
        <f>IFERROR(__xludf.DUMMYFUNCTION("""COMPUTED_VALUE"""),"Máy ủi D50P")</f>
        <v>Máy ủi D50P</v>
      </c>
      <c r="C2626" s="5" t="str">
        <f>IFERROR(__xludf.DUMMYFUNCTION("""COMPUTED_VALUE"""),"CGTC LP")</f>
        <v>CGTC LP</v>
      </c>
      <c r="D2626" s="5" t="str">
        <f>IFERROR(__xludf.DUMMYFUNCTION("""COMPUTED_VALUE"""),"KOMATSU")</f>
        <v>KOMATSU</v>
      </c>
      <c r="E2626" s="5"/>
      <c r="F2626" s="5">
        <f>IFERROR(__xludf.DUMMYFUNCTION("""COMPUTED_VALUE"""),1996.0)</f>
        <v>1996</v>
      </c>
      <c r="G2626" s="5" t="str">
        <f>IFERROR(__xludf.DUMMYFUNCTION("""COMPUTED_VALUE"""),"D50P-18")</f>
        <v>D50P-18</v>
      </c>
      <c r="H2626" s="5" t="str">
        <f>IFERROR(__xludf.DUMMYFUNCTION("""COMPUTED_VALUE"""),"130HP")</f>
        <v>130HP</v>
      </c>
      <c r="I2626" s="5" t="str">
        <f>IFERROR(__xludf.DUMMYFUNCTION("""COMPUTED_VALUE"""),"1883597")</f>
        <v>1883597</v>
      </c>
      <c r="J2626" s="5" t="str">
        <f>IFERROR(__xludf.DUMMYFUNCTION("""COMPUTED_VALUE"""),"20497")</f>
        <v>20497</v>
      </c>
      <c r="K2626" s="5">
        <f>IFERROR(__xludf.DUMMYFUNCTION("""COMPUTED_VALUE"""),11.0)</f>
        <v>11</v>
      </c>
      <c r="L2626" s="5" t="str">
        <f>IFERROR(__xludf.DUMMYFUNCTION("""COMPUTED_VALUE"""),"Đang thuê")</f>
        <v>Đang thuê</v>
      </c>
    </row>
    <row r="2627">
      <c r="A2627" s="5" t="str">
        <f>IFERROR(__xludf.DUMMYFUNCTION("""COMPUTED_VALUE"""),"TNL-MUI-035")</f>
        <v>TNL-MUI-035</v>
      </c>
      <c r="B2627" s="3" t="str">
        <f>IFERROR(__xludf.DUMMYFUNCTION("""COMPUTED_VALUE"""),"Máy ủi D60")</f>
        <v>Máy ủi D60</v>
      </c>
      <c r="C2627" s="5" t="str">
        <f>IFERROR(__xludf.DUMMYFUNCTION("""COMPUTED_VALUE"""),"CGTC LP")</f>
        <v>CGTC LP</v>
      </c>
      <c r="D2627" s="5" t="str">
        <f>IFERROR(__xludf.DUMMYFUNCTION("""COMPUTED_VALUE"""),"KOMATSU")</f>
        <v>KOMATSU</v>
      </c>
      <c r="E2627" s="5"/>
      <c r="F2627" s="5">
        <f>IFERROR(__xludf.DUMMYFUNCTION("""COMPUTED_VALUE"""),1992.0)</f>
        <v>1992</v>
      </c>
      <c r="G2627" s="5" t="str">
        <f>IFERROR(__xludf.DUMMYFUNCTION("""COMPUTED_VALUE"""),"D60S-6")</f>
        <v>D60S-6</v>
      </c>
      <c r="H2627" s="5" t="str">
        <f>IFERROR(__xludf.DUMMYFUNCTION("""COMPUTED_VALUE"""),"190HP")</f>
        <v>190HP</v>
      </c>
      <c r="I2627" s="5" t="str">
        <f>IFERROR(__xludf.DUMMYFUNCTION("""COMPUTED_VALUE"""),"29403")</f>
        <v>29403</v>
      </c>
      <c r="J2627" s="5" t="str">
        <f>IFERROR(__xludf.DUMMYFUNCTION("""COMPUTED_VALUE"""),"0571N36849")</f>
        <v>0571N36849</v>
      </c>
      <c r="K2627" s="5">
        <f>IFERROR(__xludf.DUMMYFUNCTION("""COMPUTED_VALUE"""),15.0)</f>
        <v>15</v>
      </c>
      <c r="L2627" s="5" t="str">
        <f>IFERROR(__xludf.DUMMYFUNCTION("""COMPUTED_VALUE"""),"Đang thuê")</f>
        <v>Đang thuê</v>
      </c>
    </row>
    <row r="2628">
      <c r="A2628" s="5" t="str">
        <f>IFERROR(__xludf.DUMMYFUNCTION("""COMPUTED_VALUE"""),"TNL-MUI-036")</f>
        <v>TNL-MUI-036</v>
      </c>
      <c r="B2628" s="3" t="str">
        <f>IFERROR(__xludf.DUMMYFUNCTION("""COMPUTED_VALUE"""),"Máy ủi D41")</f>
        <v>Máy ủi D41</v>
      </c>
      <c r="C2628" s="5" t="str">
        <f>IFERROR(__xludf.DUMMYFUNCTION("""COMPUTED_VALUE"""),"CGTC LP")</f>
        <v>CGTC LP</v>
      </c>
      <c r="D2628" s="5" t="str">
        <f>IFERROR(__xludf.DUMMYFUNCTION("""COMPUTED_VALUE"""),"KOMATSU")</f>
        <v>KOMATSU</v>
      </c>
      <c r="E2628" s="5"/>
      <c r="F2628" s="5">
        <f>IFERROR(__xludf.DUMMYFUNCTION("""COMPUTED_VALUE"""),2000.0)</f>
        <v>2000</v>
      </c>
      <c r="G2628" s="5" t="str">
        <f>IFERROR(__xludf.DUMMYFUNCTION("""COMPUTED_VALUE"""),"D41P-6")</f>
        <v>D41P-6</v>
      </c>
      <c r="H2628" s="5" t="str">
        <f>IFERROR(__xludf.DUMMYFUNCTION("""COMPUTED_VALUE"""),"110HP")</f>
        <v>110HP</v>
      </c>
      <c r="I2628" s="5" t="str">
        <f>IFERROR(__xludf.DUMMYFUNCTION("""COMPUTED_VALUE"""),"B20954")</f>
        <v>B20954</v>
      </c>
      <c r="J2628" s="5" t="str">
        <f>IFERROR(__xludf.DUMMYFUNCTION("""COMPUTED_VALUE"""),"NIL")</f>
        <v>NIL</v>
      </c>
      <c r="K2628" s="5">
        <f>IFERROR(__xludf.DUMMYFUNCTION("""COMPUTED_VALUE"""),10.0)</f>
        <v>10</v>
      </c>
      <c r="L2628" s="5" t="str">
        <f>IFERROR(__xludf.DUMMYFUNCTION("""COMPUTED_VALUE"""),"Đang thuê")</f>
        <v>Đang thuê</v>
      </c>
    </row>
    <row r="2629">
      <c r="A2629" s="5" t="str">
        <f>IFERROR(__xludf.DUMMYFUNCTION("""COMPUTED_VALUE"""),"TNL-MUI-037")</f>
        <v>TNL-MUI-037</v>
      </c>
      <c r="B2629" s="3" t="str">
        <f>IFERROR(__xludf.DUMMYFUNCTION("""COMPUTED_VALUE"""),"Máy ủi D21")</f>
        <v>Máy ủi D21</v>
      </c>
      <c r="C2629" s="5" t="str">
        <f>IFERROR(__xludf.DUMMYFUNCTION("""COMPUTED_VALUE"""),"CGTC LP")</f>
        <v>CGTC LP</v>
      </c>
      <c r="D2629" s="5" t="str">
        <f>IFERROR(__xludf.DUMMYFUNCTION("""COMPUTED_VALUE"""),"KOMATSU")</f>
        <v>KOMATSU</v>
      </c>
      <c r="E2629" s="5"/>
      <c r="F2629" s="5">
        <f>IFERROR(__xludf.DUMMYFUNCTION("""COMPUTED_VALUE"""),1986.0)</f>
        <v>1986</v>
      </c>
      <c r="G2629" s="5" t="str">
        <f>IFERROR(__xludf.DUMMYFUNCTION("""COMPUTED_VALUE"""),"D21A-5")</f>
        <v>D21A-5</v>
      </c>
      <c r="H2629" s="5" t="str">
        <f>IFERROR(__xludf.DUMMYFUNCTION("""COMPUTED_VALUE"""),"39HP")</f>
        <v>39HP</v>
      </c>
      <c r="I2629" s="5" t="str">
        <f>IFERROR(__xludf.DUMMYFUNCTION("""COMPUTED_VALUE"""),"68620")</f>
        <v>68620</v>
      </c>
      <c r="J2629" s="5" t="str">
        <f>IFERROR(__xludf.DUMMYFUNCTION("""COMPUTED_VALUE"""),"67592")</f>
        <v>67592</v>
      </c>
      <c r="K2629" s="5">
        <f>IFERROR(__xludf.DUMMYFUNCTION("""COMPUTED_VALUE"""),4.5)</f>
        <v>4.5</v>
      </c>
      <c r="L2629" s="5" t="str">
        <f>IFERROR(__xludf.DUMMYFUNCTION("""COMPUTED_VALUE"""),"Đang thuê")</f>
        <v>Đang thuê</v>
      </c>
    </row>
    <row r="2630">
      <c r="A2630" s="5" t="str">
        <f>IFERROR(__xludf.DUMMYFUNCTION("""COMPUTED_VALUE"""),"TNL-MUI-038")</f>
        <v>TNL-MUI-038</v>
      </c>
      <c r="B2630" s="3" t="str">
        <f>IFERROR(__xludf.DUMMYFUNCTION("""COMPUTED_VALUE"""),"Máy ủi D3")</f>
        <v>Máy ủi D3</v>
      </c>
      <c r="C2630" s="5" t="str">
        <f>IFERROR(__xludf.DUMMYFUNCTION("""COMPUTED_VALUE"""),"CGTC LP")</f>
        <v>CGTC LP</v>
      </c>
      <c r="D2630" s="5" t="str">
        <f>IFERROR(__xludf.DUMMYFUNCTION("""COMPUTED_VALUE"""),"CAT")</f>
        <v>CAT</v>
      </c>
      <c r="E2630" s="5"/>
      <c r="F2630" s="5">
        <f>IFERROR(__xludf.DUMMYFUNCTION("""COMPUTED_VALUE"""),1993.0)</f>
        <v>1993</v>
      </c>
      <c r="G2630" s="5" t="str">
        <f>IFERROR(__xludf.DUMMYFUNCTION("""COMPUTED_VALUE"""),"D3C")</f>
        <v>D3C</v>
      </c>
      <c r="H2630" s="5" t="str">
        <f>IFERROR(__xludf.DUMMYFUNCTION("""COMPUTED_VALUE"""),"75HP")</f>
        <v>75HP</v>
      </c>
      <c r="I2630" s="5" t="str">
        <f>IFERROR(__xludf.DUMMYFUNCTION("""COMPUTED_VALUE"""),"JPJ01181")</f>
        <v>JPJ01181</v>
      </c>
      <c r="J2630" s="5" t="str">
        <f>IFERROR(__xludf.DUMMYFUNCTION("""COMPUTED_VALUE"""),"45V80923")</f>
        <v>45V80923</v>
      </c>
      <c r="K2630" s="5">
        <f>IFERROR(__xludf.DUMMYFUNCTION("""COMPUTED_VALUE"""),7.0)</f>
        <v>7</v>
      </c>
      <c r="L2630" s="5" t="str">
        <f>IFERROR(__xludf.DUMMYFUNCTION("""COMPUTED_VALUE"""),"Đang thuê")</f>
        <v>Đang thuê</v>
      </c>
    </row>
    <row r="2631">
      <c r="A2631" s="5" t="str">
        <f>IFERROR(__xludf.DUMMYFUNCTION("""COMPUTED_VALUE"""),"TNL-MUI-039")</f>
        <v>TNL-MUI-039</v>
      </c>
      <c r="B2631" s="3" t="str">
        <f>IFERROR(__xludf.DUMMYFUNCTION("""COMPUTED_VALUE"""),"Máy ủi D20")</f>
        <v>Máy ủi D20</v>
      </c>
      <c r="C2631" s="5" t="str">
        <f>IFERROR(__xludf.DUMMYFUNCTION("""COMPUTED_VALUE"""),"CGTC LP")</f>
        <v>CGTC LP</v>
      </c>
      <c r="D2631" s="5" t="str">
        <f>IFERROR(__xludf.DUMMYFUNCTION("""COMPUTED_VALUE"""),"KOMATSU")</f>
        <v>KOMATSU</v>
      </c>
      <c r="E2631" s="5"/>
      <c r="F2631" s="5">
        <f>IFERROR(__xludf.DUMMYFUNCTION("""COMPUTED_VALUE"""),1991.0)</f>
        <v>1991</v>
      </c>
      <c r="G2631" s="5" t="str">
        <f>IFERROR(__xludf.DUMMYFUNCTION("""COMPUTED_VALUE"""),"D20A-6")</f>
        <v>D20A-6</v>
      </c>
      <c r="H2631" s="5" t="str">
        <f>IFERROR(__xludf.DUMMYFUNCTION("""COMPUTED_VALUE"""),"39HP")</f>
        <v>39HP</v>
      </c>
      <c r="I2631" s="5" t="str">
        <f>IFERROR(__xludf.DUMMYFUNCTION("""COMPUTED_VALUE"""),"72305")</f>
        <v>72305</v>
      </c>
      <c r="J2631" s="5" t="str">
        <f>IFERROR(__xludf.DUMMYFUNCTION("""COMPUTED_VALUE"""),"40955-W-124743")</f>
        <v>40955-W-124743</v>
      </c>
      <c r="K2631" s="5">
        <f>IFERROR(__xludf.DUMMYFUNCTION("""COMPUTED_VALUE"""),4.0)</f>
        <v>4</v>
      </c>
      <c r="L2631" s="5" t="str">
        <f>IFERROR(__xludf.DUMMYFUNCTION("""COMPUTED_VALUE"""),"Đang thuê")</f>
        <v>Đang thuê</v>
      </c>
    </row>
    <row r="2632">
      <c r="A2632" s="5" t="str">
        <f>IFERROR(__xludf.DUMMYFUNCTION("""COMPUTED_VALUE"""),"TNL-MUI-040")</f>
        <v>TNL-MUI-040</v>
      </c>
      <c r="B2632" s="3" t="str">
        <f>IFERROR(__xludf.DUMMYFUNCTION("""COMPUTED_VALUE"""),"Máy ủi D31")</f>
        <v>Máy ủi D31</v>
      </c>
      <c r="C2632" s="5" t="str">
        <f>IFERROR(__xludf.DUMMYFUNCTION("""COMPUTED_VALUE"""),"XN Chuối LP1")</f>
        <v>XN Chuối LP1</v>
      </c>
      <c r="D2632" s="5" t="str">
        <f>IFERROR(__xludf.DUMMYFUNCTION("""COMPUTED_VALUE"""),"KOMATSU")</f>
        <v>KOMATSU</v>
      </c>
      <c r="E2632" s="5"/>
      <c r="F2632" s="5">
        <f>IFERROR(__xludf.DUMMYFUNCTION("""COMPUTED_VALUE"""),2007.0)</f>
        <v>2007</v>
      </c>
      <c r="G2632" s="5"/>
      <c r="H2632" s="5" t="str">
        <f>IFERROR(__xludf.DUMMYFUNCTION("""COMPUTED_VALUE"""),"75HP")</f>
        <v>75HP</v>
      </c>
      <c r="I2632" s="5"/>
      <c r="J2632" s="5"/>
      <c r="K2632" s="5">
        <f>IFERROR(__xludf.DUMMYFUNCTION("""COMPUTED_VALUE"""),6.0)</f>
        <v>6</v>
      </c>
      <c r="L2632" s="5" t="str">
        <f>IFERROR(__xludf.DUMMYFUNCTION("""COMPUTED_VALUE"""),"-")</f>
        <v>-</v>
      </c>
    </row>
    <row r="2633">
      <c r="A2633" s="5" t="str">
        <f>IFERROR(__xludf.DUMMYFUNCTION("""COMPUTED_VALUE"""),"TNL-MUI-041")</f>
        <v>TNL-MUI-041</v>
      </c>
      <c r="B2633" s="3" t="str">
        <f>IFERROR(__xludf.DUMMYFUNCTION("""COMPUTED_VALUE"""),"Máy ủi D65")</f>
        <v>Máy ủi D65</v>
      </c>
      <c r="C2633" s="5" t="str">
        <f>IFERROR(__xludf.DUMMYFUNCTION("""COMPUTED_VALUE"""),"CGTC LP")</f>
        <v>CGTC LP</v>
      </c>
      <c r="D2633" s="5" t="str">
        <f>IFERROR(__xludf.DUMMYFUNCTION("""COMPUTED_VALUE"""),"KOMATSU")</f>
        <v>KOMATSU</v>
      </c>
      <c r="E2633" s="5"/>
      <c r="F2633" s="5">
        <f>IFERROR(__xludf.DUMMYFUNCTION("""COMPUTED_VALUE"""),1998.0)</f>
        <v>1998</v>
      </c>
      <c r="G2633" s="5" t="str">
        <f>IFERROR(__xludf.DUMMYFUNCTION("""COMPUTED_VALUE"""),"D65P-6")</f>
        <v>D65P-6</v>
      </c>
      <c r="H2633" s="5" t="str">
        <f>IFERROR(__xludf.DUMMYFUNCTION("""COMPUTED_VALUE"""),"155HP")</f>
        <v>155HP</v>
      </c>
      <c r="I2633" s="5" t="str">
        <f>IFERROR(__xludf.DUMMYFUNCTION("""COMPUTED_VALUE"""),"32237")</f>
        <v>32237</v>
      </c>
      <c r="J2633" s="5" t="str">
        <f>IFERROR(__xludf.DUMMYFUNCTION("""COMPUTED_VALUE"""),"NIL")</f>
        <v>NIL</v>
      </c>
      <c r="K2633" s="5">
        <f>IFERROR(__xludf.DUMMYFUNCTION("""COMPUTED_VALUE"""),15.0)</f>
        <v>15</v>
      </c>
      <c r="L2633" s="5" t="str">
        <f>IFERROR(__xludf.DUMMYFUNCTION("""COMPUTED_VALUE"""),"Đang thuê")</f>
        <v>Đang thuê</v>
      </c>
    </row>
    <row r="2634">
      <c r="A2634" s="5" t="str">
        <f>IFERROR(__xludf.DUMMYFUNCTION("""COMPUTED_VALUE"""),"TNL-MUI-042")</f>
        <v>TNL-MUI-042</v>
      </c>
      <c r="B2634" s="3" t="str">
        <f>IFERROR(__xludf.DUMMYFUNCTION("""COMPUTED_VALUE"""),"Máy ủi D68")</f>
        <v>Máy ủi D68</v>
      </c>
      <c r="C2634" s="5" t="str">
        <f>IFERROR(__xludf.DUMMYFUNCTION("""COMPUTED_VALUE"""),"CGTC LP")</f>
        <v>CGTC LP</v>
      </c>
      <c r="D2634" s="5" t="str">
        <f>IFERROR(__xludf.DUMMYFUNCTION("""COMPUTED_VALUE"""),"KOMATSU")</f>
        <v>KOMATSU</v>
      </c>
      <c r="E2634" s="5"/>
      <c r="F2634" s="5">
        <f>IFERROR(__xludf.DUMMYFUNCTION("""COMPUTED_VALUE"""),1995.0)</f>
        <v>1995</v>
      </c>
      <c r="G2634" s="5" t="str">
        <f>IFERROR(__xludf.DUMMYFUNCTION("""COMPUTED_VALUE"""),"D68E-1")</f>
        <v>D68E-1</v>
      </c>
      <c r="H2634" s="5" t="str">
        <f>IFERROR(__xludf.DUMMYFUNCTION("""COMPUTED_VALUE"""),"150HP")</f>
        <v>150HP</v>
      </c>
      <c r="I2634" s="5" t="str">
        <f>IFERROR(__xludf.DUMMYFUNCTION("""COMPUTED_VALUE"""),"1083")</f>
        <v>1083</v>
      </c>
      <c r="J2634" s="5" t="str">
        <f>IFERROR(__xludf.DUMMYFUNCTION("""COMPUTED_VALUE"""),"6D125-1-22431")</f>
        <v>6D125-1-22431</v>
      </c>
      <c r="K2634" s="5">
        <f>IFERROR(__xludf.DUMMYFUNCTION("""COMPUTED_VALUE"""),15.0)</f>
        <v>15</v>
      </c>
      <c r="L2634" s="5" t="str">
        <f>IFERROR(__xludf.DUMMYFUNCTION("""COMPUTED_VALUE"""),"Đang thuê")</f>
        <v>Đang thuê</v>
      </c>
    </row>
    <row r="2635">
      <c r="A2635" s="5" t="str">
        <f>IFERROR(__xludf.DUMMYFUNCTION("""COMPUTED_VALUE"""),"TNL-MUI-043")</f>
        <v>TNL-MUI-043</v>
      </c>
      <c r="B2635" s="3" t="str">
        <f>IFERROR(__xludf.DUMMYFUNCTION("""COMPUTED_VALUE"""),"Máy ủi SEM816D (D6)")</f>
        <v>Máy ủi SEM816D (D6)</v>
      </c>
      <c r="C2635" s="5" t="str">
        <f>IFERROR(__xludf.DUMMYFUNCTION("""COMPUTED_VALUE"""),"CGTC LP")</f>
        <v>CGTC LP</v>
      </c>
      <c r="D2635" s="5" t="str">
        <f>IFERROR(__xludf.DUMMYFUNCTION("""COMPUTED_VALUE"""),"SEM")</f>
        <v>SEM</v>
      </c>
      <c r="E2635" s="5"/>
      <c r="F2635" s="5">
        <f>IFERROR(__xludf.DUMMYFUNCTION("""COMPUTED_VALUE"""),2023.0)</f>
        <v>2023</v>
      </c>
      <c r="G2635" s="5" t="str">
        <f>IFERROR(__xludf.DUMMYFUNCTION("""COMPUTED_VALUE"""),"SEM816D")</f>
        <v>SEM816D</v>
      </c>
      <c r="H2635" s="5" t="str">
        <f>IFERROR(__xludf.DUMMYFUNCTION("""COMPUTED_VALUE"""),"178HP")</f>
        <v>178HP</v>
      </c>
      <c r="I2635" s="5" t="str">
        <f>IFERROR(__xludf.DUMMYFUNCTION("""COMPUTED_VALUE"""),"SEM00816VS8N03096")</f>
        <v>SEM00816VS8N03096</v>
      </c>
      <c r="J2635" s="5" t="str">
        <f>IFERROR(__xludf.DUMMYFUNCTION("""COMPUTED_VALUE"""),"1223C003241")</f>
        <v>1223C003241</v>
      </c>
      <c r="K2635" s="5">
        <f>IFERROR(__xludf.DUMMYFUNCTION("""COMPUTED_VALUE"""),15.0)</f>
        <v>15</v>
      </c>
      <c r="L2635" s="5" t="str">
        <f>IFERROR(__xludf.DUMMYFUNCTION("""COMPUTED_VALUE"""),"Đang thuê")</f>
        <v>Đang thuê</v>
      </c>
    </row>
    <row r="2636">
      <c r="A2636" s="5" t="str">
        <f>IFERROR(__xludf.DUMMYFUNCTION("""COMPUTED_VALUE"""),"TNL-MUI-044")</f>
        <v>TNL-MUI-044</v>
      </c>
      <c r="B2636" s="3" t="str">
        <f>IFERROR(__xludf.DUMMYFUNCTION("""COMPUTED_VALUE"""),"Máy ủi D20")</f>
        <v>Máy ủi D20</v>
      </c>
      <c r="C2636" s="5" t="str">
        <f>IFERROR(__xludf.DUMMYFUNCTION("""COMPUTED_VALUE"""),"XN Chuối LP1")</f>
        <v>XN Chuối LP1</v>
      </c>
      <c r="D2636" s="5" t="str">
        <f>IFERROR(__xludf.DUMMYFUNCTION("""COMPUTED_VALUE"""),"KOMATSU")</f>
        <v>KOMATSU</v>
      </c>
      <c r="E2636" s="5"/>
      <c r="F2636" s="5">
        <f>IFERROR(__xludf.DUMMYFUNCTION("""COMPUTED_VALUE"""),1990.0)</f>
        <v>1990</v>
      </c>
      <c r="G2636" s="5" t="str">
        <f>IFERROR(__xludf.DUMMYFUNCTION("""COMPUTED_VALUE"""),"D20A-6")</f>
        <v>D20A-6</v>
      </c>
      <c r="H2636" s="5" t="str">
        <f>IFERROR(__xludf.DUMMYFUNCTION("""COMPUTED_VALUE"""),"40HP")</f>
        <v>40HP</v>
      </c>
      <c r="I2636" s="5" t="str">
        <f>IFERROR(__xludf.DUMMYFUNCTION("""COMPUTED_VALUE"""),"68098")</f>
        <v>68098</v>
      </c>
      <c r="J2636" s="5" t="str">
        <f>IFERROR(__xludf.DUMMYFUNCTION("""COMPUTED_VALUE"""),"4D95S-W-86086")</f>
        <v>4D95S-W-86086</v>
      </c>
      <c r="K2636" s="5">
        <f>IFERROR(__xludf.DUMMYFUNCTION("""COMPUTED_VALUE"""),3.7)</f>
        <v>3.7</v>
      </c>
      <c r="L2636" s="5" t="str">
        <f>IFERROR(__xludf.DUMMYFUNCTION("""COMPUTED_VALUE"""),"-")</f>
        <v>-</v>
      </c>
    </row>
    <row r="2637">
      <c r="A2637" s="5" t="str">
        <f>IFERROR(__xludf.DUMMYFUNCTION("""COMPUTED_VALUE"""),"Xe lu")</f>
        <v>Xe lu</v>
      </c>
      <c r="B2637" s="3" t="str">
        <f>IFERROR(__xludf.DUMMYFUNCTION("""COMPUTED_VALUE"""),"11")</f>
        <v>11</v>
      </c>
      <c r="C2637" s="5"/>
      <c r="D2637" s="5"/>
      <c r="E2637" s="5"/>
      <c r="F2637" s="5"/>
      <c r="G2637" s="5"/>
      <c r="H2637" s="5"/>
      <c r="I2637" s="5"/>
      <c r="J2637" s="5"/>
      <c r="K2637" s="5"/>
      <c r="L2637" s="5" t="str">
        <f>IFERROR(__xludf.DUMMYFUNCTION("""COMPUTED_VALUE"""),"1")</f>
        <v>1</v>
      </c>
    </row>
    <row r="2638">
      <c r="A2638" s="5" t="str">
        <f>IFERROR(__xludf.DUMMYFUNCTION("""COMPUTED_VALUE"""),"TNL-XLU-001")</f>
        <v>TNL-XLU-001</v>
      </c>
      <c r="B2638" s="3" t="str">
        <f>IFERROR(__xludf.DUMMYFUNCTION("""COMPUTED_VALUE"""),"Xe Lu 12 tấn")</f>
        <v>Xe Lu 12 tấn</v>
      </c>
      <c r="C2638" s="5" t="str">
        <f>IFERROR(__xludf.DUMMYFUNCTION("""COMPUTED_VALUE"""),"CGTC LP")</f>
        <v>CGTC LP</v>
      </c>
      <c r="D2638" s="5" t="str">
        <f>IFERROR(__xludf.DUMMYFUNCTION("""COMPUTED_VALUE"""),"SAKAI")</f>
        <v>SAKAI</v>
      </c>
      <c r="E2638" s="5"/>
      <c r="F2638" s="5">
        <f>IFERROR(__xludf.DUMMYFUNCTION("""COMPUTED_VALUE"""),2001.0)</f>
        <v>2001</v>
      </c>
      <c r="G2638" s="5" t="str">
        <f>IFERROR(__xludf.DUMMYFUNCTION("""COMPUTED_VALUE"""),"SV512D-H")</f>
        <v>SV512D-H</v>
      </c>
      <c r="H2638" s="5" t="str">
        <f>IFERROR(__xludf.DUMMYFUNCTION("""COMPUTED_VALUE"""),"120HP")</f>
        <v>120HP</v>
      </c>
      <c r="I2638" s="5" t="str">
        <f>IFERROR(__xludf.DUMMYFUNCTION("""COMPUTED_VALUE"""),"30294")</f>
        <v>30294</v>
      </c>
      <c r="J2638" s="5" t="str">
        <f>IFERROR(__xludf.DUMMYFUNCTION("""COMPUTED_VALUE"""),"951821")</f>
        <v>951821</v>
      </c>
      <c r="K2638" s="5"/>
      <c r="L2638" s="5" t="str">
        <f>IFERROR(__xludf.DUMMYFUNCTION("""COMPUTED_VALUE"""),"-")</f>
        <v>-</v>
      </c>
    </row>
    <row r="2639">
      <c r="A2639" s="5" t="str">
        <f>IFERROR(__xludf.DUMMYFUNCTION("""COMPUTED_VALUE"""),"TNL-XLU-002")</f>
        <v>TNL-XLU-002</v>
      </c>
      <c r="B2639" s="3" t="str">
        <f>IFERROR(__xludf.DUMMYFUNCTION("""COMPUTED_VALUE"""),"Xe lu rung 18 tấn")</f>
        <v>Xe lu rung 18 tấn</v>
      </c>
      <c r="C2639" s="5" t="str">
        <f>IFERROR(__xludf.DUMMYFUNCTION("""COMPUTED_VALUE"""),"CGTC LP")</f>
        <v>CGTC LP</v>
      </c>
      <c r="D2639" s="5" t="str">
        <f>IFERROR(__xludf.DUMMYFUNCTION("""COMPUTED_VALUE"""),"XCMG")</f>
        <v>XCMG</v>
      </c>
      <c r="E2639" s="5" t="str">
        <f>IFERROR(__xludf.DUMMYFUNCTION("""COMPUTED_VALUE"""),"TRUNG QUỐC")</f>
        <v>TRUNG QUỐC</v>
      </c>
      <c r="F2639" s="5">
        <f>IFERROR(__xludf.DUMMYFUNCTION("""COMPUTED_VALUE"""),2009.0)</f>
        <v>2009</v>
      </c>
      <c r="G2639" s="5" t="str">
        <f>IFERROR(__xludf.DUMMYFUNCTION("""COMPUTED_VALUE"""),"XCMG18T")</f>
        <v>XCMG18T</v>
      </c>
      <c r="H2639" s="5" t="str">
        <f>IFERROR(__xludf.DUMMYFUNCTION("""COMPUTED_VALUE"""),"160HP")</f>
        <v>160HP</v>
      </c>
      <c r="I2639" s="5" t="str">
        <f>IFERROR(__xludf.DUMMYFUNCTION("""COMPUTED_VALUE"""),"B410M78359")</f>
        <v>B410M78359</v>
      </c>
      <c r="J2639" s="5" t="str">
        <f>IFERROR(__xludf.DUMMYFUNCTION("""COMPUTED_VALUE"""),"11012016")</f>
        <v>11012016</v>
      </c>
      <c r="K2639" s="5">
        <f>IFERROR(__xludf.DUMMYFUNCTION("""COMPUTED_VALUE"""),9.6)</f>
        <v>9.6</v>
      </c>
      <c r="L2639" s="5" t="str">
        <f>IFERROR(__xludf.DUMMYFUNCTION("""COMPUTED_VALUE"""),"-")</f>
        <v>-</v>
      </c>
    </row>
    <row r="2640">
      <c r="A2640" s="5" t="str">
        <f>IFERROR(__xludf.DUMMYFUNCTION("""COMPUTED_VALUE"""),"TNL-XLU-003")</f>
        <v>TNL-XLU-003</v>
      </c>
      <c r="B2640" s="3" t="str">
        <f>IFERROR(__xludf.DUMMYFUNCTION("""COMPUTED_VALUE"""),"Xe lu rung 22 tấn")</f>
        <v>Xe lu rung 22 tấn</v>
      </c>
      <c r="C2640" s="5" t="str">
        <f>IFERROR(__xludf.DUMMYFUNCTION("""COMPUTED_VALUE"""),"CGTC LP")</f>
        <v>CGTC LP</v>
      </c>
      <c r="D2640" s="5" t="str">
        <f>IFERROR(__xludf.DUMMYFUNCTION("""COMPUTED_VALUE"""),"LIUGONG")</f>
        <v>LIUGONG</v>
      </c>
      <c r="E2640" s="5" t="str">
        <f>IFERROR(__xludf.DUMMYFUNCTION("""COMPUTED_VALUE"""),"TRUNG QUỐC")</f>
        <v>TRUNG QUỐC</v>
      </c>
      <c r="F2640" s="5">
        <f>IFERROR(__xludf.DUMMYFUNCTION("""COMPUTED_VALUE"""),2014.0)</f>
        <v>2014</v>
      </c>
      <c r="G2640" s="5" t="str">
        <f>IFERROR(__xludf.DUMMYFUNCTION("""COMPUTED_VALUE"""),"CLG 6112")</f>
        <v>CLG 6112</v>
      </c>
      <c r="H2640" s="5" t="str">
        <f>IFERROR(__xludf.DUMMYFUNCTION("""COMPUTED_VALUE"""),"160HP")</f>
        <v>160HP</v>
      </c>
      <c r="I2640" s="5" t="str">
        <f>IFERROR(__xludf.DUMMYFUNCTION("""COMPUTED_VALUE"""),"30D1139914915")</f>
        <v>30D1139914915</v>
      </c>
      <c r="J2640" s="5" t="str">
        <f>IFERROR(__xludf.DUMMYFUNCTION("""COMPUTED_VALUE"""),"D9146016646")</f>
        <v>D9146016646</v>
      </c>
      <c r="K2640" s="5">
        <f>IFERROR(__xludf.DUMMYFUNCTION("""COMPUTED_VALUE"""),14.0)</f>
        <v>14</v>
      </c>
      <c r="L2640" s="5" t="str">
        <f>IFERROR(__xludf.DUMMYFUNCTION("""COMPUTED_VALUE"""),"-")</f>
        <v>-</v>
      </c>
    </row>
    <row r="2641">
      <c r="A2641" s="5" t="str">
        <f>IFERROR(__xludf.DUMMYFUNCTION("""COMPUTED_VALUE"""),"TNL-XLU-004")</f>
        <v>TNL-XLU-004</v>
      </c>
      <c r="B2641" s="3" t="str">
        <f>IFERROR(__xludf.DUMMYFUNCTION("""COMPUTED_VALUE"""),"Xe lu rung 12 tấn")</f>
        <v>Xe lu rung 12 tấn</v>
      </c>
      <c r="C2641" s="5" t="str">
        <f>IFERROR(__xludf.DUMMYFUNCTION("""COMPUTED_VALUE"""),"CGTC LP")</f>
        <v>CGTC LP</v>
      </c>
      <c r="D2641" s="5" t="str">
        <f>IFERROR(__xludf.DUMMYFUNCTION("""COMPUTED_VALUE"""),"CAT")</f>
        <v>CAT</v>
      </c>
      <c r="E2641" s="5" t="str">
        <f>IFERROR(__xludf.DUMMYFUNCTION("""COMPUTED_VALUE"""),"NHẬT BẢN")</f>
        <v>NHẬT BẢN</v>
      </c>
      <c r="F2641" s="5">
        <f>IFERROR(__xludf.DUMMYFUNCTION("""COMPUTED_VALUE"""),2023.0)</f>
        <v>2023</v>
      </c>
      <c r="G2641" s="5" t="str">
        <f>IFERROR(__xludf.DUMMYFUNCTION("""COMPUTED_VALUE"""),"SEM512")</f>
        <v>SEM512</v>
      </c>
      <c r="H2641" s="5" t="str">
        <f>IFERROR(__xludf.DUMMYFUNCTION("""COMPUTED_VALUE"""),"130HP")</f>
        <v>130HP</v>
      </c>
      <c r="I2641" s="5" t="str">
        <f>IFERROR(__xludf.DUMMYFUNCTION("""COMPUTED_VALUE"""),"SEM00512LGJW00233")</f>
        <v>SEM00512LGJW00233</v>
      </c>
      <c r="J2641" s="5" t="str">
        <f>IFERROR(__xludf.DUMMYFUNCTION("""COMPUTED_VALUE"""),"4P21F003172")</f>
        <v>4P21F003172</v>
      </c>
      <c r="K2641" s="5">
        <f>IFERROR(__xludf.DUMMYFUNCTION("""COMPUTED_VALUE"""),7.0)</f>
        <v>7</v>
      </c>
      <c r="L2641" s="5" t="str">
        <f>IFERROR(__xludf.DUMMYFUNCTION("""COMPUTED_VALUE"""),"-")</f>
        <v>-</v>
      </c>
    </row>
    <row r="2642">
      <c r="A2642" s="5" t="str">
        <f>IFERROR(__xludf.DUMMYFUNCTION("""COMPUTED_VALUE"""),"TNL-XLU-005")</f>
        <v>TNL-XLU-005</v>
      </c>
      <c r="B2642" s="3" t="str">
        <f>IFERROR(__xludf.DUMMYFUNCTION("""COMPUTED_VALUE"""),"Xe lu 20 tấn")</f>
        <v>Xe lu 20 tấn</v>
      </c>
      <c r="C2642" s="5" t="str">
        <f>IFERROR(__xludf.DUMMYFUNCTION("""COMPUTED_VALUE"""),"CGTC LP")</f>
        <v>CGTC LP</v>
      </c>
      <c r="D2642" s="5" t="str">
        <f>IFERROR(__xludf.DUMMYFUNCTION("""COMPUTED_VALUE"""),"MATADOR ROAD")</f>
        <v>MATADOR ROAD</v>
      </c>
      <c r="E2642" s="5"/>
      <c r="F2642" s="5">
        <f>IFERROR(__xludf.DUMMYFUNCTION("""COMPUTED_VALUE"""),2023.0)</f>
        <v>2023</v>
      </c>
      <c r="G2642" s="5" t="str">
        <f>IFERROR(__xludf.DUMMYFUNCTION("""COMPUTED_VALUE"""),"MC22M-PRO")</f>
        <v>MC22M-PRO</v>
      </c>
      <c r="H2642" s="5" t="str">
        <f>IFERROR(__xludf.DUMMYFUNCTION("""COMPUTED_VALUE"""),"187HP")</f>
        <v>187HP</v>
      </c>
      <c r="I2642" s="5" t="str">
        <f>IFERROR(__xludf.DUMMYFUNCTION("""COMPUTED_VALUE"""),"CHSA22MCPC004837")</f>
        <v>CHSA22MCPC004837</v>
      </c>
      <c r="J2642" s="5" t="str">
        <f>IFERROR(__xludf.DUMMYFUNCTION("""COMPUTED_VALUE"""),"6P22A005419")</f>
        <v>6P22A005419</v>
      </c>
      <c r="K2642" s="5">
        <f>IFERROR(__xludf.DUMMYFUNCTION("""COMPUTED_VALUE"""),13.5)</f>
        <v>13.5</v>
      </c>
      <c r="L2642" s="5" t="str">
        <f>IFERROR(__xludf.DUMMYFUNCTION("""COMPUTED_VALUE"""),"-")</f>
        <v>-</v>
      </c>
    </row>
    <row r="2643">
      <c r="A2643" s="5" t="str">
        <f>IFERROR(__xludf.DUMMYFUNCTION("""COMPUTED_VALUE"""),"TNL-XLU-006")</f>
        <v>TNL-XLU-006</v>
      </c>
      <c r="B2643" s="3" t="str">
        <f>IFERROR(__xludf.DUMMYFUNCTION("""COMPUTED_VALUE"""),"Xe lu 12 tấn")</f>
        <v>Xe lu 12 tấn</v>
      </c>
      <c r="C2643" s="5" t="str">
        <f>IFERROR(__xludf.DUMMYFUNCTION("""COMPUTED_VALUE"""),"CGTC LP")</f>
        <v>CGTC LP</v>
      </c>
      <c r="D2643" s="5" t="str">
        <f>IFERROR(__xludf.DUMMYFUNCTION("""COMPUTED_VALUE"""),"CAT")</f>
        <v>CAT</v>
      </c>
      <c r="E2643" s="5" t="str">
        <f>IFERROR(__xludf.DUMMYFUNCTION("""COMPUTED_VALUE"""),"NHẬT BẢN")</f>
        <v>NHẬT BẢN</v>
      </c>
      <c r="F2643" s="5">
        <f>IFERROR(__xludf.DUMMYFUNCTION("""COMPUTED_VALUE"""),2020.0)</f>
        <v>2020</v>
      </c>
      <c r="G2643" s="5" t="str">
        <f>IFERROR(__xludf.DUMMYFUNCTION("""COMPUTED_VALUE"""),"CS11GC")</f>
        <v>CS11GC</v>
      </c>
      <c r="H2643" s="5" t="str">
        <f>IFERROR(__xludf.DUMMYFUNCTION("""COMPUTED_VALUE"""),"111HP")</f>
        <v>111HP</v>
      </c>
      <c r="I2643" s="5" t="str">
        <f>IFERROR(__xludf.DUMMYFUNCTION("""COMPUTED_VALUE"""),"CAT0CS11ERK800545")</f>
        <v>CAT0CS11ERK800545</v>
      </c>
      <c r="J2643" s="5" t="str">
        <f>IFERROR(__xludf.DUMMYFUNCTION("""COMPUTED_VALUE"""),"MFX10346")</f>
        <v>MFX10346</v>
      </c>
      <c r="K2643" s="5">
        <f>IFERROR(__xludf.DUMMYFUNCTION("""COMPUTED_VALUE"""),9.5)</f>
        <v>9.5</v>
      </c>
      <c r="L2643" s="5" t="str">
        <f>IFERROR(__xludf.DUMMYFUNCTION("""COMPUTED_VALUE"""),"-")</f>
        <v>-</v>
      </c>
    </row>
    <row r="2644">
      <c r="A2644" s="5" t="str">
        <f>IFERROR(__xludf.DUMMYFUNCTION("""COMPUTED_VALUE"""),"TNL-XLU-007")</f>
        <v>TNL-XLU-007</v>
      </c>
      <c r="B2644" s="3" t="str">
        <f>IFERROR(__xludf.DUMMYFUNCTION("""COMPUTED_VALUE"""),"Xe lu 11 tấn")</f>
        <v>Xe lu 11 tấn</v>
      </c>
      <c r="C2644" s="5" t="str">
        <f>IFERROR(__xludf.DUMMYFUNCTION("""COMPUTED_VALUE"""),"CGTC LP")</f>
        <v>CGTC LP</v>
      </c>
      <c r="D2644" s="5" t="str">
        <f>IFERROR(__xludf.DUMMYFUNCTION("""COMPUTED_VALUE"""),"HAMM")</f>
        <v>HAMM</v>
      </c>
      <c r="E2644" s="5"/>
      <c r="F2644" s="5">
        <f>IFERROR(__xludf.DUMMYFUNCTION("""COMPUTED_VALUE"""),2020.0)</f>
        <v>2020</v>
      </c>
      <c r="G2644" s="5" t="str">
        <f>IFERROR(__xludf.DUMMYFUNCTION("""COMPUTED_VALUE"""),"311D")</f>
        <v>311D</v>
      </c>
      <c r="H2644" s="5" t="str">
        <f>IFERROR(__xludf.DUMMYFUNCTION("""COMPUTED_VALUE"""),"99HP")</f>
        <v>99HP</v>
      </c>
      <c r="I2644" s="5" t="str">
        <f>IFERROR(__xludf.DUMMYFUNCTION("""COMPUTED_VALUE"""),"WHB0H216LH0002188")</f>
        <v>WHB0H216LH0002188</v>
      </c>
      <c r="J2644" s="5" t="str">
        <f>IFERROR(__xludf.DUMMYFUNCTION("""COMPUTED_VALUE"""),"71C84378811")</f>
        <v>71C84378811</v>
      </c>
      <c r="K2644" s="5">
        <f>IFERROR(__xludf.DUMMYFUNCTION("""COMPUTED_VALUE"""),8.5)</f>
        <v>8.5</v>
      </c>
      <c r="L2644" s="5" t="str">
        <f>IFERROR(__xludf.DUMMYFUNCTION("""COMPUTED_VALUE"""),"-")</f>
        <v>-</v>
      </c>
    </row>
    <row r="2645">
      <c r="A2645" s="5" t="str">
        <f>IFERROR(__xludf.DUMMYFUNCTION("""COMPUTED_VALUE"""),"TNL-XLU-008")</f>
        <v>TNL-XLU-008</v>
      </c>
      <c r="B2645" s="3" t="str">
        <f>IFERROR(__xludf.DUMMYFUNCTION("""COMPUTED_VALUE"""),"Xe lu 14 tấn")</f>
        <v>Xe lu 14 tấn</v>
      </c>
      <c r="C2645" s="5" t="str">
        <f>IFERROR(__xludf.DUMMYFUNCTION("""COMPUTED_VALUE"""),"CGTC LP")</f>
        <v>CGTC LP</v>
      </c>
      <c r="D2645" s="5" t="str">
        <f>IFERROR(__xludf.DUMMYFUNCTION("""COMPUTED_VALUE"""),"LIUGONG")</f>
        <v>LIUGONG</v>
      </c>
      <c r="E2645" s="5"/>
      <c r="F2645" s="5">
        <f>IFERROR(__xludf.DUMMYFUNCTION("""COMPUTED_VALUE"""),2017.0)</f>
        <v>2017</v>
      </c>
      <c r="G2645" s="5" t="str">
        <f>IFERROR(__xludf.DUMMYFUNCTION("""COMPUTED_VALUE"""),"CLG6114")</f>
        <v>CLG6114</v>
      </c>
      <c r="H2645" s="5" t="str">
        <f>IFERROR(__xludf.DUMMYFUNCTION("""COMPUTED_VALUE"""),"128HP")</f>
        <v>128HP</v>
      </c>
      <c r="I2645" s="5" t="str">
        <f>IFERROR(__xludf.DUMMYFUNCTION("""COMPUTED_VALUE"""),"30D2164170002")</f>
        <v>30D2164170002</v>
      </c>
      <c r="J2645" s="5" t="str">
        <f>IFERROR(__xludf.DUMMYFUNCTION("""COMPUTED_VALUE"""),"D916C012327")</f>
        <v>D916C012327</v>
      </c>
      <c r="K2645" s="5">
        <f>IFERROR(__xludf.DUMMYFUNCTION("""COMPUTED_VALUE"""),10.0)</f>
        <v>10</v>
      </c>
      <c r="L2645" s="5" t="str">
        <f>IFERROR(__xludf.DUMMYFUNCTION("""COMPUTED_VALUE"""),"-")</f>
        <v>-</v>
      </c>
    </row>
    <row r="2646">
      <c r="A2646" s="5" t="str">
        <f>IFERROR(__xludf.DUMMYFUNCTION("""COMPUTED_VALUE"""),"TNL-XLU-009")</f>
        <v>TNL-XLU-009</v>
      </c>
      <c r="B2646" s="3" t="str">
        <f>IFERROR(__xludf.DUMMYFUNCTION("""COMPUTED_VALUE"""),"Xe lu rung 11 tấn")</f>
        <v>Xe lu rung 11 tấn</v>
      </c>
      <c r="C2646" s="5" t="str">
        <f>IFERROR(__xludf.DUMMYFUNCTION("""COMPUTED_VALUE"""),"CGTC LP")</f>
        <v>CGTC LP</v>
      </c>
      <c r="D2646" s="5" t="str">
        <f>IFERROR(__xludf.DUMMYFUNCTION("""COMPUTED_VALUE"""),"CAT")</f>
        <v>CAT</v>
      </c>
      <c r="E2646" s="5"/>
      <c r="F2646" s="5">
        <f>IFERROR(__xludf.DUMMYFUNCTION("""COMPUTED_VALUE"""),2022.0)</f>
        <v>2022</v>
      </c>
      <c r="G2646" s="5" t="str">
        <f>IFERROR(__xludf.DUMMYFUNCTION("""COMPUTED_VALUE"""),"CSLLGC")</f>
        <v>CSLLGC</v>
      </c>
      <c r="H2646" s="5" t="str">
        <f>IFERROR(__xludf.DUMMYFUNCTION("""COMPUTED_VALUE"""),"112HP")</f>
        <v>112HP</v>
      </c>
      <c r="I2646" s="5" t="str">
        <f>IFERROR(__xludf.DUMMYFUNCTION("""COMPUTED_VALUE"""),"CAT0CS11CRK801512")</f>
        <v>CAT0CS11CRK801512</v>
      </c>
      <c r="J2646" s="5" t="str">
        <f>IFERROR(__xludf.DUMMYFUNCTION("""COMPUTED_VALUE"""),"NFX12741")</f>
        <v>NFX12741</v>
      </c>
      <c r="K2646" s="5">
        <f>IFERROR(__xludf.DUMMYFUNCTION("""COMPUTED_VALUE"""),10.57)</f>
        <v>10.57</v>
      </c>
      <c r="L2646" s="5" t="str">
        <f>IFERROR(__xludf.DUMMYFUNCTION("""COMPUTED_VALUE"""),"-")</f>
        <v>-</v>
      </c>
    </row>
    <row r="2647">
      <c r="A2647" s="5" t="str">
        <f>IFERROR(__xludf.DUMMYFUNCTION("""COMPUTED_VALUE"""),"TNL-XLU-010")</f>
        <v>TNL-XLU-010</v>
      </c>
      <c r="B2647" s="3" t="str">
        <f>IFERROR(__xludf.DUMMYFUNCTION("""COMPUTED_VALUE"""),"Xe lu rung 11 tấn")</f>
        <v>Xe lu rung 11 tấn</v>
      </c>
      <c r="C2647" s="5" t="str">
        <f>IFERROR(__xludf.DUMMYFUNCTION("""COMPUTED_VALUE"""),"CGTC LP")</f>
        <v>CGTC LP</v>
      </c>
      <c r="D2647" s="5" t="str">
        <f>IFERROR(__xludf.DUMMYFUNCTION("""COMPUTED_VALUE"""),"AMMANN")</f>
        <v>AMMANN</v>
      </c>
      <c r="E2647" s="5"/>
      <c r="F2647" s="5">
        <f>IFERROR(__xludf.DUMMYFUNCTION("""COMPUTED_VALUE"""),2019.0)</f>
        <v>2019</v>
      </c>
      <c r="G2647" s="5" t="str">
        <f>IFERROR(__xludf.DUMMYFUNCTION("""COMPUTED_VALUE"""),"ARS122B33")</f>
        <v>ARS122B33</v>
      </c>
      <c r="H2647" s="5" t="str">
        <f>IFERROR(__xludf.DUMMYFUNCTION("""COMPUTED_VALUE"""),"100HP")</f>
        <v>100HP</v>
      </c>
      <c r="I2647" s="5" t="str">
        <f>IFERROR(__xludf.DUMMYFUNCTION("""COMPUTED_VALUE"""),"19030064")</f>
        <v>19030064</v>
      </c>
      <c r="J2647" s="5" t="str">
        <f>IFERROR(__xludf.DUMMYFUNCTION("""COMPUTED_VALUE"""),"91C84870547")</f>
        <v>91C84870547</v>
      </c>
      <c r="K2647" s="5">
        <f>IFERROR(__xludf.DUMMYFUNCTION("""COMPUTED_VALUE"""),7.5)</f>
        <v>7.5</v>
      </c>
      <c r="L2647" s="5" t="str">
        <f>IFERROR(__xludf.DUMMYFUNCTION("""COMPUTED_VALUE"""),"-")</f>
        <v>-</v>
      </c>
    </row>
    <row r="2648">
      <c r="A2648" s="5" t="str">
        <f>IFERROR(__xludf.DUMMYFUNCTION("""COMPUTED_VALUE"""),"TNL-XLU-011")</f>
        <v>TNL-XLU-011</v>
      </c>
      <c r="B2648" s="3" t="str">
        <f>IFERROR(__xludf.DUMMYFUNCTION("""COMPUTED_VALUE"""),"Xe lu rung 15 tấn")</f>
        <v>Xe lu rung 15 tấn</v>
      </c>
      <c r="C2648" s="5" t="str">
        <f>IFERROR(__xludf.DUMMYFUNCTION("""COMPUTED_VALUE"""),"CGTC LP")</f>
        <v>CGTC LP</v>
      </c>
      <c r="D2648" s="5" t="str">
        <f>IFERROR(__xludf.DUMMYFUNCTION("""COMPUTED_VALUE"""),"LIGONG")</f>
        <v>LIGONG</v>
      </c>
      <c r="E2648" s="5"/>
      <c r="F2648" s="5">
        <f>IFERROR(__xludf.DUMMYFUNCTION("""COMPUTED_VALUE"""),2020.0)</f>
        <v>2020</v>
      </c>
      <c r="G2648" s="5" t="str">
        <f>IFERROR(__xludf.DUMMYFUNCTION("""COMPUTED_VALUE"""),"CLG6114E")</f>
        <v>CLG6114E</v>
      </c>
      <c r="H2648" s="5" t="str">
        <f>IFERROR(__xludf.DUMMYFUNCTION("""COMPUTED_VALUE"""),"138HP")</f>
        <v>138HP</v>
      </c>
      <c r="I2648" s="5" t="str">
        <f>IFERROR(__xludf.DUMMYFUNCTION("""COMPUTED_VALUE"""),"30D3616190994")</f>
        <v>30D3616190994</v>
      </c>
      <c r="J2648" s="5" t="str">
        <f>IFERROR(__xludf.DUMMYFUNCTION("""COMPUTED_VALUE"""),"19B016053")</f>
        <v>19B016053</v>
      </c>
      <c r="K2648" s="5">
        <f>IFERROR(__xludf.DUMMYFUNCTION("""COMPUTED_VALUE"""),9.0)</f>
        <v>9</v>
      </c>
      <c r="L2648" s="5" t="str">
        <f>IFERROR(__xludf.DUMMYFUNCTION("""COMPUTED_VALUE"""),"Đang thuê")</f>
        <v>Đang thuê</v>
      </c>
    </row>
    <row r="2649">
      <c r="A2649" s="5" t="str">
        <f>IFERROR(__xludf.DUMMYFUNCTION("""COMPUTED_VALUE"""),"Xe ben")</f>
        <v>Xe ben</v>
      </c>
      <c r="B2649" s="3" t="str">
        <f>IFERROR(__xludf.DUMMYFUNCTION("""COMPUTED_VALUE"""),"64")</f>
        <v>64</v>
      </c>
      <c r="C2649" s="5"/>
      <c r="D2649" s="5"/>
      <c r="E2649" s="5"/>
      <c r="F2649" s="5"/>
      <c r="G2649" s="5"/>
      <c r="H2649" s="5"/>
      <c r="I2649" s="5"/>
      <c r="J2649" s="5"/>
      <c r="K2649" s="5"/>
      <c r="L2649" s="5" t="str">
        <f>IFERROR(__xludf.DUMMYFUNCTION("""COMPUTED_VALUE"""),"15")</f>
        <v>15</v>
      </c>
    </row>
    <row r="2650">
      <c r="A2650" s="5" t="str">
        <f>IFERROR(__xludf.DUMMYFUNCTION("""COMPUTED_VALUE"""),"TNL-XTA-001")</f>
        <v>TNL-XTA-001</v>
      </c>
      <c r="B2650" s="3" t="str">
        <f>IFERROR(__xludf.DUMMYFUNCTION("""COMPUTED_VALUE"""),"Xe ben 15 tấn")</f>
        <v>Xe ben 15 tấn</v>
      </c>
      <c r="C2650" s="5" t="str">
        <f>IFERROR(__xludf.DUMMYFUNCTION("""COMPUTED_VALUE"""),"CGTC LP")</f>
        <v>CGTC LP</v>
      </c>
      <c r="D2650" s="5" t="str">
        <f>IFERROR(__xludf.DUMMYFUNCTION("""COMPUTED_VALUE"""),"HYUNDAI")</f>
        <v>HYUNDAI</v>
      </c>
      <c r="E2650" s="5"/>
      <c r="F2650" s="5"/>
      <c r="G2650" s="5"/>
      <c r="H2650" s="5" t="str">
        <f>IFERROR(__xludf.DUMMYFUNCTION("""COMPUTED_VALUE"""),"320HP")</f>
        <v>320HP</v>
      </c>
      <c r="I2650" s="5" t="str">
        <f>IFERROR(__xludf.DUMMYFUNCTION("""COMPUTED_VALUE"""),"0")</f>
        <v>0</v>
      </c>
      <c r="J2650" s="5" t="str">
        <f>IFERROR(__xludf.DUMMYFUNCTION("""COMPUTED_VALUE"""),"0")</f>
        <v>0</v>
      </c>
      <c r="K2650" s="5"/>
      <c r="L2650" s="5" t="str">
        <f>IFERROR(__xludf.DUMMYFUNCTION("""COMPUTED_VALUE"""),"-")</f>
        <v>-</v>
      </c>
    </row>
    <row r="2651">
      <c r="A2651" s="5" t="str">
        <f>IFERROR(__xludf.DUMMYFUNCTION("""COMPUTED_VALUE"""),"TNL-XTA-002")</f>
        <v>TNL-XTA-002</v>
      </c>
      <c r="B2651" s="3" t="str">
        <f>IFERROR(__xludf.DUMMYFUNCTION("""COMPUTED_VALUE"""),"Xe ben 15 tấn")</f>
        <v>Xe ben 15 tấn</v>
      </c>
      <c r="C2651" s="5" t="str">
        <f>IFERROR(__xludf.DUMMYFUNCTION("""COMPUTED_VALUE"""),"CGTC LP")</f>
        <v>CGTC LP</v>
      </c>
      <c r="D2651" s="5" t="str">
        <f>IFERROR(__xludf.DUMMYFUNCTION("""COMPUTED_VALUE"""),"HYUNDAI")</f>
        <v>HYUNDAI</v>
      </c>
      <c r="E2651" s="5"/>
      <c r="F2651" s="5"/>
      <c r="G2651" s="5"/>
      <c r="H2651" s="5" t="str">
        <f>IFERROR(__xludf.DUMMYFUNCTION("""COMPUTED_VALUE"""),"320HP")</f>
        <v>320HP</v>
      </c>
      <c r="I2651" s="5" t="str">
        <f>IFERROR(__xludf.DUMMYFUNCTION("""COMPUTED_VALUE"""),"0")</f>
        <v>0</v>
      </c>
      <c r="J2651" s="5" t="str">
        <f>IFERROR(__xludf.DUMMYFUNCTION("""COMPUTED_VALUE"""),"D8ABT159876")</f>
        <v>D8ABT159876</v>
      </c>
      <c r="K2651" s="5"/>
      <c r="L2651" s="5" t="str">
        <f>IFERROR(__xludf.DUMMYFUNCTION("""COMPUTED_VALUE"""),"-")</f>
        <v>-</v>
      </c>
    </row>
    <row r="2652">
      <c r="A2652" s="5" t="str">
        <f>IFERROR(__xludf.DUMMYFUNCTION("""COMPUTED_VALUE"""),"TNL-XTA-003")</f>
        <v>TNL-XTA-003</v>
      </c>
      <c r="B2652" s="3" t="str">
        <f>IFERROR(__xludf.DUMMYFUNCTION("""COMPUTED_VALUE"""),"Xe ben 15 tấn")</f>
        <v>Xe ben 15 tấn</v>
      </c>
      <c r="C2652" s="5" t="str">
        <f>IFERROR(__xludf.DUMMYFUNCTION("""COMPUTED_VALUE"""),"CGTC LP")</f>
        <v>CGTC LP</v>
      </c>
      <c r="D2652" s="5" t="str">
        <f>IFERROR(__xludf.DUMMYFUNCTION("""COMPUTED_VALUE"""),"HYUNDAI")</f>
        <v>HYUNDAI</v>
      </c>
      <c r="E2652" s="5"/>
      <c r="F2652" s="5"/>
      <c r="G2652" s="5"/>
      <c r="H2652" s="5" t="str">
        <f>IFERROR(__xludf.DUMMYFUNCTION("""COMPUTED_VALUE"""),"320HP")</f>
        <v>320HP</v>
      </c>
      <c r="I2652" s="5" t="str">
        <f>IFERROR(__xludf.DUMMYFUNCTION("""COMPUTED_VALUE"""),"KMCDB18YPVC105038")</f>
        <v>KMCDB18YPVC105038</v>
      </c>
      <c r="J2652" s="5" t="str">
        <f>IFERROR(__xludf.DUMMYFUNCTION("""COMPUTED_VALUE"""),"D8AYV007646")</f>
        <v>D8AYV007646</v>
      </c>
      <c r="K2652" s="5"/>
      <c r="L2652" s="5" t="str">
        <f>IFERROR(__xludf.DUMMYFUNCTION("""COMPUTED_VALUE"""),"-")</f>
        <v>-</v>
      </c>
    </row>
    <row r="2653">
      <c r="A2653" s="5" t="str">
        <f>IFERROR(__xludf.DUMMYFUNCTION("""COMPUTED_VALUE"""),"TNL-XTA-004")</f>
        <v>TNL-XTA-004</v>
      </c>
      <c r="B2653" s="3" t="str">
        <f>IFERROR(__xludf.DUMMYFUNCTION("""COMPUTED_VALUE"""),"Xe ben 15 tấn")</f>
        <v>Xe ben 15 tấn</v>
      </c>
      <c r="C2653" s="5" t="str">
        <f>IFERROR(__xludf.DUMMYFUNCTION("""COMPUTED_VALUE"""),"CGTC LP")</f>
        <v>CGTC LP</v>
      </c>
      <c r="D2653" s="5" t="str">
        <f>IFERROR(__xludf.DUMMYFUNCTION("""COMPUTED_VALUE"""),"HYUNDAI")</f>
        <v>HYUNDAI</v>
      </c>
      <c r="E2653" s="5"/>
      <c r="F2653" s="5"/>
      <c r="G2653" s="5"/>
      <c r="H2653" s="5" t="str">
        <f>IFERROR(__xludf.DUMMYFUNCTION("""COMPUTED_VALUE"""),"320HP")</f>
        <v>320HP</v>
      </c>
      <c r="I2653" s="5" t="str">
        <f>IFERROR(__xludf.DUMMYFUNCTION("""COMPUTED_VALUE"""),"0")</f>
        <v>0</v>
      </c>
      <c r="J2653" s="5" t="str">
        <f>IFERROR(__xludf.DUMMYFUNCTION("""COMPUTED_VALUE"""),"0")</f>
        <v>0</v>
      </c>
      <c r="K2653" s="5"/>
      <c r="L2653" s="5" t="str">
        <f>IFERROR(__xludf.DUMMYFUNCTION("""COMPUTED_VALUE"""),"-")</f>
        <v>-</v>
      </c>
    </row>
    <row r="2654">
      <c r="A2654" s="5" t="str">
        <f>IFERROR(__xludf.DUMMYFUNCTION("""COMPUTED_VALUE"""),"TNL-XTA-005")</f>
        <v>TNL-XTA-005</v>
      </c>
      <c r="B2654" s="3" t="str">
        <f>IFERROR(__xludf.DUMMYFUNCTION("""COMPUTED_VALUE"""),"Xe ben 25 tấn")</f>
        <v>Xe ben 25 tấn</v>
      </c>
      <c r="C2654" s="5" t="str">
        <f>IFERROR(__xludf.DUMMYFUNCTION("""COMPUTED_VALUE"""),"CGTC LP")</f>
        <v>CGTC LP</v>
      </c>
      <c r="D2654" s="5" t="str">
        <f>IFERROR(__xludf.DUMMYFUNCTION("""COMPUTED_VALUE"""),"HYUNDAI")</f>
        <v>HYUNDAI</v>
      </c>
      <c r="E2654" s="5"/>
      <c r="F2654" s="5"/>
      <c r="G2654" s="5"/>
      <c r="H2654" s="5" t="str">
        <f>IFERROR(__xludf.DUMMYFUNCTION("""COMPUTED_VALUE"""),"335HP")</f>
        <v>335HP</v>
      </c>
      <c r="I2654" s="5" t="str">
        <f>IFERROR(__xludf.DUMMYFUNCTION("""COMPUTED_VALUE"""),"KMCPB18TP6C009472")</f>
        <v>KMCPB18TP6C009472</v>
      </c>
      <c r="J2654" s="5" t="str">
        <f>IFERROR(__xludf.DUMMYFUNCTION("""COMPUTED_VALUE"""),"D6CB5117549")</f>
        <v>D6CB5117549</v>
      </c>
      <c r="K2654" s="5"/>
      <c r="L2654" s="5" t="str">
        <f>IFERROR(__xludf.DUMMYFUNCTION("""COMPUTED_VALUE"""),"-")</f>
        <v>-</v>
      </c>
    </row>
    <row r="2655">
      <c r="A2655" s="5" t="str">
        <f>IFERROR(__xludf.DUMMYFUNCTION("""COMPUTED_VALUE"""),"TNL-XTA-006")</f>
        <v>TNL-XTA-006</v>
      </c>
      <c r="B2655" s="3" t="str">
        <f>IFERROR(__xludf.DUMMYFUNCTION("""COMPUTED_VALUE"""),"Xe ben 25 tấn")</f>
        <v>Xe ben 25 tấn</v>
      </c>
      <c r="C2655" s="5" t="str">
        <f>IFERROR(__xludf.DUMMYFUNCTION("""COMPUTED_VALUE"""),"CGTC LP")</f>
        <v>CGTC LP</v>
      </c>
      <c r="D2655" s="5" t="str">
        <f>IFERROR(__xludf.DUMMYFUNCTION("""COMPUTED_VALUE"""),"HYUNDAI")</f>
        <v>HYUNDAI</v>
      </c>
      <c r="E2655" s="5"/>
      <c r="F2655" s="5">
        <f>IFERROR(__xludf.DUMMYFUNCTION("""COMPUTED_VALUE"""),2002.0)</f>
        <v>2002</v>
      </c>
      <c r="G2655" s="5"/>
      <c r="H2655" s="5" t="str">
        <f>IFERROR(__xludf.DUMMYFUNCTION("""COMPUTED_VALUE"""),"380HP")</f>
        <v>380HP</v>
      </c>
      <c r="I2655" s="5" t="str">
        <f>IFERROR(__xludf.DUMMYFUNCTION("""COMPUTED_VALUE"""),"KMCPB185P2C017519")</f>
        <v>KMCPB185P2C017519</v>
      </c>
      <c r="J2655" s="5" t="str">
        <f>IFERROR(__xludf.DUMMYFUNCTION("""COMPUTED_VALUE"""),"D6CA2059719")</f>
        <v>D6CA2059719</v>
      </c>
      <c r="K2655" s="5"/>
      <c r="L2655" s="5" t="str">
        <f>IFERROR(__xludf.DUMMYFUNCTION("""COMPUTED_VALUE"""),"-")</f>
        <v>-</v>
      </c>
    </row>
    <row r="2656">
      <c r="A2656" s="5" t="str">
        <f>IFERROR(__xludf.DUMMYFUNCTION("""COMPUTED_VALUE"""),"TNL-XTA-007")</f>
        <v>TNL-XTA-007</v>
      </c>
      <c r="B2656" s="3" t="str">
        <f>IFERROR(__xludf.DUMMYFUNCTION("""COMPUTED_VALUE"""),"Xe ben 25 tấn")</f>
        <v>Xe ben 25 tấn</v>
      </c>
      <c r="C2656" s="5" t="str">
        <f>IFERROR(__xludf.DUMMYFUNCTION("""COMPUTED_VALUE"""),"CGTC LP")</f>
        <v>CGTC LP</v>
      </c>
      <c r="D2656" s="5" t="str">
        <f>IFERROR(__xludf.DUMMYFUNCTION("""COMPUTED_VALUE"""),"DEAWOO")</f>
        <v>DEAWOO</v>
      </c>
      <c r="E2656" s="5"/>
      <c r="F2656" s="5">
        <f>IFERROR(__xludf.DUMMYFUNCTION("""COMPUTED_VALUE"""),2006.0)</f>
        <v>2006</v>
      </c>
      <c r="G2656" s="5"/>
      <c r="H2656" s="5" t="str">
        <f>IFERROR(__xludf.DUMMYFUNCTION("""COMPUTED_VALUE"""),"360HP")</f>
        <v>360HP</v>
      </c>
      <c r="I2656" s="5" t="str">
        <f>IFERROR(__xludf.DUMMYFUNCTION("""COMPUTED_VALUE"""),"KL3N8ENP 16K000587")</f>
        <v>KL3N8ENP 16K000587</v>
      </c>
      <c r="J2656" s="5" t="str">
        <f>IFERROR(__xludf.DUMMYFUNCTION("""COMPUTED_VALUE"""),"35158365")</f>
        <v>35158365</v>
      </c>
      <c r="K2656" s="5"/>
      <c r="L2656" s="5" t="str">
        <f>IFERROR(__xludf.DUMMYFUNCTION("""COMPUTED_VALUE"""),"-")</f>
        <v>-</v>
      </c>
    </row>
    <row r="2657">
      <c r="A2657" s="5" t="str">
        <f>IFERROR(__xludf.DUMMYFUNCTION("""COMPUTED_VALUE"""),"TNL-XTA-008")</f>
        <v>TNL-XTA-008</v>
      </c>
      <c r="B2657" s="3" t="str">
        <f>IFERROR(__xludf.DUMMYFUNCTION("""COMPUTED_VALUE"""),"Xe ben 25 tấn")</f>
        <v>Xe ben 25 tấn</v>
      </c>
      <c r="C2657" s="5" t="str">
        <f>IFERROR(__xludf.DUMMYFUNCTION("""COMPUTED_VALUE"""),"CGTC LP")</f>
        <v>CGTC LP</v>
      </c>
      <c r="D2657" s="5" t="str">
        <f>IFERROR(__xludf.DUMMYFUNCTION("""COMPUTED_VALUE"""),"HYUNDAI")</f>
        <v>HYUNDAI</v>
      </c>
      <c r="E2657" s="5"/>
      <c r="F2657" s="5">
        <f>IFERROR(__xludf.DUMMYFUNCTION("""COMPUTED_VALUE"""),2002.0)</f>
        <v>2002</v>
      </c>
      <c r="G2657" s="5"/>
      <c r="H2657" s="5" t="str">
        <f>IFERROR(__xludf.DUMMYFUNCTION("""COMPUTED_VALUE"""),"380HP")</f>
        <v>380HP</v>
      </c>
      <c r="I2657" s="5" t="str">
        <f>IFERROR(__xludf.DUMMYFUNCTION("""COMPUTED_VALUE"""),"KMCPB185 P2C019827")</f>
        <v>KMCPB185 P2C019827</v>
      </c>
      <c r="J2657" s="5" t="str">
        <f>IFERROR(__xludf.DUMMYFUNCTION("""COMPUTED_VALUE"""),"2063911 D6CA")</f>
        <v>2063911 D6CA</v>
      </c>
      <c r="K2657" s="5"/>
      <c r="L2657" s="5" t="str">
        <f>IFERROR(__xludf.DUMMYFUNCTION("""COMPUTED_VALUE"""),"-")</f>
        <v>-</v>
      </c>
    </row>
    <row r="2658">
      <c r="A2658" s="5" t="str">
        <f>IFERROR(__xludf.DUMMYFUNCTION("""COMPUTED_VALUE"""),"TNL-XTA-009")</f>
        <v>TNL-XTA-009</v>
      </c>
      <c r="B2658" s="3" t="str">
        <f>IFERROR(__xludf.DUMMYFUNCTION("""COMPUTED_VALUE"""),"Xe ben 25 tấn")</f>
        <v>Xe ben 25 tấn</v>
      </c>
      <c r="C2658" s="5" t="str">
        <f>IFERROR(__xludf.DUMMYFUNCTION("""COMPUTED_VALUE"""),"CGTC LP")</f>
        <v>CGTC LP</v>
      </c>
      <c r="D2658" s="5" t="str">
        <f>IFERROR(__xludf.DUMMYFUNCTION("""COMPUTED_VALUE"""),"SCANIA")</f>
        <v>SCANIA</v>
      </c>
      <c r="E2658" s="5"/>
      <c r="F2658" s="5">
        <f>IFERROR(__xludf.DUMMYFUNCTION("""COMPUTED_VALUE"""),2002.0)</f>
        <v>2002</v>
      </c>
      <c r="G2658" s="5"/>
      <c r="H2658" s="5" t="str">
        <f>IFERROR(__xludf.DUMMYFUNCTION("""COMPUTED_VALUE"""),"420HP")</f>
        <v>420HP</v>
      </c>
      <c r="I2658" s="5" t="str">
        <f>IFERROR(__xludf.DUMMYFUNCTION("""COMPUTED_VALUE"""),"XLEP8X4 0024467942")</f>
        <v>XLEP8X4 0024467942</v>
      </c>
      <c r="J2658" s="5" t="str">
        <f>IFERROR(__xludf.DUMMYFUNCTION("""COMPUTED_VALUE"""),"DC1209L016158035")</f>
        <v>DC1209L016158035</v>
      </c>
      <c r="K2658" s="5"/>
      <c r="L2658" s="5" t="str">
        <f>IFERROR(__xludf.DUMMYFUNCTION("""COMPUTED_VALUE"""),"-")</f>
        <v>-</v>
      </c>
    </row>
    <row r="2659">
      <c r="A2659" s="5" t="str">
        <f>IFERROR(__xludf.DUMMYFUNCTION("""COMPUTED_VALUE"""),"TNL-XTA-010")</f>
        <v>TNL-XTA-010</v>
      </c>
      <c r="B2659" s="3" t="str">
        <f>IFERROR(__xludf.DUMMYFUNCTION("""COMPUTED_VALUE"""),"Xe ben 25 tấn")</f>
        <v>Xe ben 25 tấn</v>
      </c>
      <c r="C2659" s="5" t="str">
        <f>IFERROR(__xludf.DUMMYFUNCTION("""COMPUTED_VALUE"""),"CGTC LP")</f>
        <v>CGTC LP</v>
      </c>
      <c r="D2659" s="5" t="str">
        <f>IFERROR(__xludf.DUMMYFUNCTION("""COMPUTED_VALUE"""),"SCANIA")</f>
        <v>SCANIA</v>
      </c>
      <c r="E2659" s="5"/>
      <c r="F2659" s="5">
        <f>IFERROR(__xludf.DUMMYFUNCTION("""COMPUTED_VALUE"""),2003.0)</f>
        <v>2003</v>
      </c>
      <c r="G2659" s="5"/>
      <c r="H2659" s="5" t="str">
        <f>IFERROR(__xludf.DUMMYFUNCTION("""COMPUTED_VALUE"""),"420HP")</f>
        <v>420HP</v>
      </c>
      <c r="I2659" s="5" t="str">
        <f>IFERROR(__xludf.DUMMYFUNCTION("""COMPUTED_VALUE"""),"XLEP8X40034491442")</f>
        <v>XLEP8X40034491442</v>
      </c>
      <c r="J2659" s="5" t="str">
        <f>IFERROR(__xludf.DUMMYFUNCTION("""COMPUTED_VALUE"""),"DC1104L016190390")</f>
        <v>DC1104L016190390</v>
      </c>
      <c r="K2659" s="5"/>
      <c r="L2659" s="5" t="str">
        <f>IFERROR(__xludf.DUMMYFUNCTION("""COMPUTED_VALUE"""),"-")</f>
        <v>-</v>
      </c>
    </row>
    <row r="2660">
      <c r="A2660" s="5" t="str">
        <f>IFERROR(__xludf.DUMMYFUNCTION("""COMPUTED_VALUE"""),"TNL-XTA-011")</f>
        <v>TNL-XTA-011</v>
      </c>
      <c r="B2660" s="3" t="str">
        <f>IFERROR(__xludf.DUMMYFUNCTION("""COMPUTED_VALUE"""),"Xe ben 25 tấn")</f>
        <v>Xe ben 25 tấn</v>
      </c>
      <c r="C2660" s="5" t="str">
        <f>IFERROR(__xludf.DUMMYFUNCTION("""COMPUTED_VALUE"""),"CGTC LP")</f>
        <v>CGTC LP</v>
      </c>
      <c r="D2660" s="5" t="str">
        <f>IFERROR(__xludf.DUMMYFUNCTION("""COMPUTED_VALUE"""),"SCANIA")</f>
        <v>SCANIA</v>
      </c>
      <c r="E2660" s="5"/>
      <c r="F2660" s="5">
        <f>IFERROR(__xludf.DUMMYFUNCTION("""COMPUTED_VALUE"""),2004.0)</f>
        <v>2004</v>
      </c>
      <c r="G2660" s="5"/>
      <c r="H2660" s="5" t="str">
        <f>IFERROR(__xludf.DUMMYFUNCTION("""COMPUTED_VALUE"""),"420HP")</f>
        <v>420HP</v>
      </c>
      <c r="I2660" s="5" t="str">
        <f>IFERROR(__xludf.DUMMYFUNCTION("""COMPUTED_VALUE"""),"DC1149L149075912")</f>
        <v>DC1149L149075912</v>
      </c>
      <c r="J2660" s="5" t="str">
        <f>IFERROR(__xludf.DUMMYFUNCTION("""COMPUTED_VALUE"""),"XLEP8X40043548673")</f>
        <v>XLEP8X40043548673</v>
      </c>
      <c r="K2660" s="5"/>
      <c r="L2660" s="5" t="str">
        <f>IFERROR(__xludf.DUMMYFUNCTION("""COMPUTED_VALUE"""),"-")</f>
        <v>-</v>
      </c>
    </row>
    <row r="2661">
      <c r="A2661" s="5" t="str">
        <f>IFERROR(__xludf.DUMMYFUNCTION("""COMPUTED_VALUE"""),"TNL-XTA-012")</f>
        <v>TNL-XTA-012</v>
      </c>
      <c r="B2661" s="3" t="str">
        <f>IFERROR(__xludf.DUMMYFUNCTION("""COMPUTED_VALUE"""),"Xe ben 25 tấn")</f>
        <v>Xe ben 25 tấn</v>
      </c>
      <c r="C2661" s="5" t="str">
        <f>IFERROR(__xludf.DUMMYFUNCTION("""COMPUTED_VALUE"""),"CGTC LP")</f>
        <v>CGTC LP</v>
      </c>
      <c r="D2661" s="5" t="str">
        <f>IFERROR(__xludf.DUMMYFUNCTION("""COMPUTED_VALUE"""),"SCANIA")</f>
        <v>SCANIA</v>
      </c>
      <c r="E2661" s="5"/>
      <c r="F2661" s="5">
        <f>IFERROR(__xludf.DUMMYFUNCTION("""COMPUTED_VALUE"""),2004.0)</f>
        <v>2004</v>
      </c>
      <c r="G2661" s="5"/>
      <c r="H2661" s="5" t="str">
        <f>IFERROR(__xludf.DUMMYFUNCTION("""COMPUTED_VALUE"""),"380HP")</f>
        <v>380HP</v>
      </c>
      <c r="I2661" s="5" t="str">
        <f>IFERROR(__xludf.DUMMYFUNCTION("""COMPUTED_VALUE"""),"XLEP8X4 0043548673 ")</f>
        <v>XLEP8X4 0043548673 </v>
      </c>
      <c r="J2661" s="5" t="str">
        <f>IFERROR(__xludf.DUMMYFUNCTION("""COMPUTED_VALUE"""),"DC114921490 75912")</f>
        <v>DC114921490 75912</v>
      </c>
      <c r="K2661" s="5"/>
      <c r="L2661" s="5" t="str">
        <f>IFERROR(__xludf.DUMMYFUNCTION("""COMPUTED_VALUE"""),"-")</f>
        <v>-</v>
      </c>
    </row>
    <row r="2662">
      <c r="A2662" s="5" t="str">
        <f>IFERROR(__xludf.DUMMYFUNCTION("""COMPUTED_VALUE"""),"TNL-XTA-013")</f>
        <v>TNL-XTA-013</v>
      </c>
      <c r="B2662" s="3" t="str">
        <f>IFERROR(__xludf.DUMMYFUNCTION("""COMPUTED_VALUE"""),"Xe ben 25 tấn")</f>
        <v>Xe ben 25 tấn</v>
      </c>
      <c r="C2662" s="5" t="str">
        <f>IFERROR(__xludf.DUMMYFUNCTION("""COMPUTED_VALUE"""),"CGTC LP")</f>
        <v>CGTC LP</v>
      </c>
      <c r="D2662" s="5" t="str">
        <f>IFERROR(__xludf.DUMMYFUNCTION("""COMPUTED_VALUE"""),"HYUNDAI")</f>
        <v>HYUNDAI</v>
      </c>
      <c r="E2662" s="5"/>
      <c r="F2662" s="5"/>
      <c r="G2662" s="5"/>
      <c r="H2662" s="5" t="str">
        <f>IFERROR(__xludf.DUMMYFUNCTION("""COMPUTED_VALUE"""),"335HP")</f>
        <v>335HP</v>
      </c>
      <c r="I2662" s="5" t="str">
        <f>IFERROR(__xludf.DUMMYFUNCTION("""COMPUTED_VALUE"""),"NIL")</f>
        <v>NIL</v>
      </c>
      <c r="J2662" s="5" t="str">
        <f>IFERROR(__xludf.DUMMYFUNCTION("""COMPUTED_VALUE"""),"D6CB-6131795")</f>
        <v>D6CB-6131795</v>
      </c>
      <c r="K2662" s="5"/>
      <c r="L2662" s="5" t="str">
        <f>IFERROR(__xludf.DUMMYFUNCTION("""COMPUTED_VALUE"""),"-")</f>
        <v>-</v>
      </c>
    </row>
    <row r="2663">
      <c r="A2663" s="5" t="str">
        <f>IFERROR(__xludf.DUMMYFUNCTION("""COMPUTED_VALUE"""),"TNL-XTA-014")</f>
        <v>TNL-XTA-014</v>
      </c>
      <c r="B2663" s="3" t="str">
        <f>IFERROR(__xludf.DUMMYFUNCTION("""COMPUTED_VALUE"""),"Xe ben 25 tấn")</f>
        <v>Xe ben 25 tấn</v>
      </c>
      <c r="C2663" s="5" t="str">
        <f>IFERROR(__xludf.DUMMYFUNCTION("""COMPUTED_VALUE"""),"CGTC LP")</f>
        <v>CGTC LP</v>
      </c>
      <c r="D2663" s="5" t="str">
        <f>IFERROR(__xludf.DUMMYFUNCTION("""COMPUTED_VALUE"""),"HYUNDAI")</f>
        <v>HYUNDAI</v>
      </c>
      <c r="E2663" s="5"/>
      <c r="F2663" s="5"/>
      <c r="G2663" s="5"/>
      <c r="H2663" s="5" t="str">
        <f>IFERROR(__xludf.DUMMYFUNCTION("""COMPUTED_VALUE"""),"335HP")</f>
        <v>335HP</v>
      </c>
      <c r="I2663" s="5" t="str">
        <f>IFERROR(__xludf.DUMMYFUNCTION("""COMPUTED_VALUE"""),"KMCPB18SP 2C019783")</f>
        <v>KMCPB18SP 2C019783</v>
      </c>
      <c r="J2663" s="5" t="str">
        <f>IFERROR(__xludf.DUMMYFUNCTION("""COMPUTED_VALUE"""),"D6CA 2063385")</f>
        <v>D6CA 2063385</v>
      </c>
      <c r="K2663" s="5"/>
      <c r="L2663" s="5" t="str">
        <f>IFERROR(__xludf.DUMMYFUNCTION("""COMPUTED_VALUE"""),"-")</f>
        <v>-</v>
      </c>
    </row>
    <row r="2664">
      <c r="A2664" s="5" t="str">
        <f>IFERROR(__xludf.DUMMYFUNCTION("""COMPUTED_VALUE"""),"TNL-XTA-015")</f>
        <v>TNL-XTA-015</v>
      </c>
      <c r="B2664" s="3" t="str">
        <f>IFERROR(__xludf.DUMMYFUNCTION("""COMPUTED_VALUE"""),"Xe ben 15 tấn")</f>
        <v>Xe ben 15 tấn</v>
      </c>
      <c r="C2664" s="5" t="str">
        <f>IFERROR(__xludf.DUMMYFUNCTION("""COMPUTED_VALUE"""),"CGTC LP")</f>
        <v>CGTC LP</v>
      </c>
      <c r="D2664" s="5" t="str">
        <f>IFERROR(__xludf.DUMMYFUNCTION("""COMPUTED_VALUE"""),"HYUNDAI")</f>
        <v>HYUNDAI</v>
      </c>
      <c r="E2664" s="5"/>
      <c r="F2664" s="5"/>
      <c r="G2664" s="5"/>
      <c r="H2664" s="5" t="str">
        <f>IFERROR(__xludf.DUMMYFUNCTION("""COMPUTED_VALUE"""),"320HP")</f>
        <v>320HP</v>
      </c>
      <c r="I2664" s="5" t="str">
        <f>IFERROR(__xludf.DUMMYFUNCTION("""COMPUTED_VALUE"""),"8457")</f>
        <v>8457</v>
      </c>
      <c r="J2664" s="5"/>
      <c r="K2664" s="5"/>
      <c r="L2664" s="5" t="str">
        <f>IFERROR(__xludf.DUMMYFUNCTION("""COMPUTED_VALUE"""),"-")</f>
        <v>-</v>
      </c>
    </row>
    <row r="2665">
      <c r="A2665" s="5" t="str">
        <f>IFERROR(__xludf.DUMMYFUNCTION("""COMPUTED_VALUE"""),"TNL-XTA-016")</f>
        <v>TNL-XTA-016</v>
      </c>
      <c r="B2665" s="3" t="str">
        <f>IFERROR(__xludf.DUMMYFUNCTION("""COMPUTED_VALUE"""),"Xe ben 05 tấn")</f>
        <v>Xe ben 05 tấn</v>
      </c>
      <c r="C2665" s="5" t="str">
        <f>IFERROR(__xludf.DUMMYFUNCTION("""COMPUTED_VALUE"""),"CGTC LP")</f>
        <v>CGTC LP</v>
      </c>
      <c r="D2665" s="5"/>
      <c r="E2665" s="5"/>
      <c r="F2665" s="5"/>
      <c r="G2665" s="5"/>
      <c r="H2665" s="5" t="str">
        <f>IFERROR(__xludf.DUMMYFUNCTION("""COMPUTED_VALUE"""),"150HP")</f>
        <v>150HP</v>
      </c>
      <c r="I2665" s="5" t="str">
        <f>IFERROR(__xludf.DUMMYFUNCTION("""COMPUTED_VALUE"""),"9744")</f>
        <v>9744</v>
      </c>
      <c r="J2665" s="5" t="str">
        <f>IFERROR(__xludf.DUMMYFUNCTION("""COMPUTED_VALUE"""),"100541")</f>
        <v>100541</v>
      </c>
      <c r="K2665" s="5"/>
      <c r="L2665" s="5" t="str">
        <f>IFERROR(__xludf.DUMMYFUNCTION("""COMPUTED_VALUE"""),"-")</f>
        <v>-</v>
      </c>
    </row>
    <row r="2666">
      <c r="A2666" s="5" t="str">
        <f>IFERROR(__xludf.DUMMYFUNCTION("""COMPUTED_VALUE"""),"TNL-XTA-017")</f>
        <v>TNL-XTA-017</v>
      </c>
      <c r="B2666" s="3" t="str">
        <f>IFERROR(__xludf.DUMMYFUNCTION("""COMPUTED_VALUE"""),"Xe ben 05 tấn")</f>
        <v>Xe ben 05 tấn</v>
      </c>
      <c r="C2666" s="5" t="str">
        <f>IFERROR(__xludf.DUMMYFUNCTION("""COMPUTED_VALUE"""),"CGTC LP")</f>
        <v>CGTC LP</v>
      </c>
      <c r="D2666" s="5"/>
      <c r="E2666" s="5"/>
      <c r="F2666" s="5"/>
      <c r="G2666" s="5"/>
      <c r="H2666" s="5" t="str">
        <f>IFERROR(__xludf.DUMMYFUNCTION("""COMPUTED_VALUE"""),"150HP")</f>
        <v>150HP</v>
      </c>
      <c r="I2666" s="5" t="str">
        <f>IFERROR(__xludf.DUMMYFUNCTION("""COMPUTED_VALUE"""),"10424")</f>
        <v>10424</v>
      </c>
      <c r="J2666" s="5" t="str">
        <f>IFERROR(__xludf.DUMMYFUNCTION("""COMPUTED_VALUE"""),"30336")</f>
        <v>30336</v>
      </c>
      <c r="K2666" s="5"/>
      <c r="L2666" s="5" t="str">
        <f>IFERROR(__xludf.DUMMYFUNCTION("""COMPUTED_VALUE"""),"-")</f>
        <v>-</v>
      </c>
    </row>
    <row r="2667">
      <c r="A2667" s="5" t="str">
        <f>IFERROR(__xludf.DUMMYFUNCTION("""COMPUTED_VALUE"""),"TNL-XTA-018")</f>
        <v>TNL-XTA-018</v>
      </c>
      <c r="B2667" s="3" t="str">
        <f>IFERROR(__xludf.DUMMYFUNCTION("""COMPUTED_VALUE"""),"Xe ben 05 tấn")</f>
        <v>Xe ben 05 tấn</v>
      </c>
      <c r="C2667" s="5" t="str">
        <f>IFERROR(__xludf.DUMMYFUNCTION("""COMPUTED_VALUE"""),"CGTC LP")</f>
        <v>CGTC LP</v>
      </c>
      <c r="D2667" s="5"/>
      <c r="E2667" s="5"/>
      <c r="F2667" s="5"/>
      <c r="G2667" s="5"/>
      <c r="H2667" s="5" t="str">
        <f>IFERROR(__xludf.DUMMYFUNCTION("""COMPUTED_VALUE"""),"150HP")</f>
        <v>150HP</v>
      </c>
      <c r="I2667" s="5" t="str">
        <f>IFERROR(__xludf.DUMMYFUNCTION("""COMPUTED_VALUE"""),"10759")</f>
        <v>10759</v>
      </c>
      <c r="J2667" s="5" t="str">
        <f>IFERROR(__xludf.DUMMYFUNCTION("""COMPUTED_VALUE"""),"621")</f>
        <v>621</v>
      </c>
      <c r="K2667" s="5"/>
      <c r="L2667" s="5" t="str">
        <f>IFERROR(__xludf.DUMMYFUNCTION("""COMPUTED_VALUE"""),"-")</f>
        <v>-</v>
      </c>
    </row>
    <row r="2668">
      <c r="A2668" s="5" t="str">
        <f>IFERROR(__xludf.DUMMYFUNCTION("""COMPUTED_VALUE"""),"TNL-XTA-019")</f>
        <v>TNL-XTA-019</v>
      </c>
      <c r="B2668" s="3" t="str">
        <f>IFERROR(__xludf.DUMMYFUNCTION("""COMPUTED_VALUE"""),"Xe ben 15 tấn")</f>
        <v>Xe ben 15 tấn</v>
      </c>
      <c r="C2668" s="5" t="str">
        <f>IFERROR(__xludf.DUMMYFUNCTION("""COMPUTED_VALUE"""),"CGTC LP")</f>
        <v>CGTC LP</v>
      </c>
      <c r="D2668" s="5"/>
      <c r="E2668" s="5"/>
      <c r="F2668" s="5"/>
      <c r="G2668" s="5"/>
      <c r="H2668" s="5" t="str">
        <f>IFERROR(__xludf.DUMMYFUNCTION("""COMPUTED_VALUE"""),"320HP")</f>
        <v>320HP</v>
      </c>
      <c r="I2668" s="5" t="str">
        <f>IFERROR(__xludf.DUMMYFUNCTION("""COMPUTED_VALUE"""),"38827")</f>
        <v>38827</v>
      </c>
      <c r="J2668" s="5" t="str">
        <f>IFERROR(__xludf.DUMMYFUNCTION("""COMPUTED_VALUE"""),"175529")</f>
        <v>175529</v>
      </c>
      <c r="K2668" s="5"/>
      <c r="L2668" s="5" t="str">
        <f>IFERROR(__xludf.DUMMYFUNCTION("""COMPUTED_VALUE"""),"-")</f>
        <v>-</v>
      </c>
    </row>
    <row r="2669">
      <c r="A2669" s="5" t="str">
        <f>IFERROR(__xludf.DUMMYFUNCTION("""COMPUTED_VALUE"""),"TNL-XTA-020")</f>
        <v>TNL-XTA-020</v>
      </c>
      <c r="B2669" s="3" t="str">
        <f>IFERROR(__xludf.DUMMYFUNCTION("""COMPUTED_VALUE"""),"Xe ben 15 tấn")</f>
        <v>Xe ben 15 tấn</v>
      </c>
      <c r="C2669" s="5" t="str">
        <f>IFERROR(__xludf.DUMMYFUNCTION("""COMPUTED_VALUE"""),"CGTC LP")</f>
        <v>CGTC LP</v>
      </c>
      <c r="D2669" s="5"/>
      <c r="E2669" s="5"/>
      <c r="F2669" s="5"/>
      <c r="G2669" s="5"/>
      <c r="H2669" s="5" t="str">
        <f>IFERROR(__xludf.DUMMYFUNCTION("""COMPUTED_VALUE"""),"320HP")</f>
        <v>320HP</v>
      </c>
      <c r="I2669" s="5" t="str">
        <f>IFERROR(__xludf.DUMMYFUNCTION("""COMPUTED_VALUE"""),"2284")</f>
        <v>2284</v>
      </c>
      <c r="J2669" s="5"/>
      <c r="K2669" s="5"/>
      <c r="L2669" s="5" t="str">
        <f>IFERROR(__xludf.DUMMYFUNCTION("""COMPUTED_VALUE"""),"-")</f>
        <v>-</v>
      </c>
    </row>
    <row r="2670">
      <c r="A2670" s="5" t="str">
        <f>IFERROR(__xludf.DUMMYFUNCTION("""COMPUTED_VALUE"""),"TNL-XTA-021")</f>
        <v>TNL-XTA-021</v>
      </c>
      <c r="B2670" s="3" t="str">
        <f>IFERROR(__xludf.DUMMYFUNCTION("""COMPUTED_VALUE"""),"Xe ben 15 tấn")</f>
        <v>Xe ben 15 tấn</v>
      </c>
      <c r="C2670" s="5" t="str">
        <f>IFERROR(__xludf.DUMMYFUNCTION("""COMPUTED_VALUE"""),"CGTC LP")</f>
        <v>CGTC LP</v>
      </c>
      <c r="D2670" s="5"/>
      <c r="E2670" s="5"/>
      <c r="F2670" s="5"/>
      <c r="G2670" s="5"/>
      <c r="H2670" s="5" t="str">
        <f>IFERROR(__xludf.DUMMYFUNCTION("""COMPUTED_VALUE"""),"320HP")</f>
        <v>320HP</v>
      </c>
      <c r="I2670" s="5" t="str">
        <f>IFERROR(__xludf.DUMMYFUNCTION("""COMPUTED_VALUE"""),"10222")</f>
        <v>10222</v>
      </c>
      <c r="J2670" s="5" t="str">
        <f>IFERROR(__xludf.DUMMYFUNCTION("""COMPUTED_VALUE"""),"12384")</f>
        <v>12384</v>
      </c>
      <c r="K2670" s="5"/>
      <c r="L2670" s="5" t="str">
        <f>IFERROR(__xludf.DUMMYFUNCTION("""COMPUTED_VALUE"""),"-")</f>
        <v>-</v>
      </c>
    </row>
    <row r="2671">
      <c r="A2671" s="5" t="str">
        <f>IFERROR(__xludf.DUMMYFUNCTION("""COMPUTED_VALUE"""),"TNL-XTA-022")</f>
        <v>TNL-XTA-022</v>
      </c>
      <c r="B2671" s="3" t="str">
        <f>IFERROR(__xludf.DUMMYFUNCTION("""COMPUTED_VALUE"""),"Xe ben 15 tấn")</f>
        <v>Xe ben 15 tấn</v>
      </c>
      <c r="C2671" s="5" t="str">
        <f>IFERROR(__xludf.DUMMYFUNCTION("""COMPUTED_VALUE"""),"CGTC LP")</f>
        <v>CGTC LP</v>
      </c>
      <c r="D2671" s="5"/>
      <c r="E2671" s="5"/>
      <c r="F2671" s="5"/>
      <c r="G2671" s="5"/>
      <c r="H2671" s="5" t="str">
        <f>IFERROR(__xludf.DUMMYFUNCTION("""COMPUTED_VALUE"""),"320HP")</f>
        <v>320HP</v>
      </c>
      <c r="I2671" s="5"/>
      <c r="J2671" s="5" t="str">
        <f>IFERROR(__xludf.DUMMYFUNCTION("""COMPUTED_VALUE"""),"10027")</f>
        <v>10027</v>
      </c>
      <c r="K2671" s="5"/>
      <c r="L2671" s="5" t="str">
        <f>IFERROR(__xludf.DUMMYFUNCTION("""COMPUTED_VALUE"""),"-")</f>
        <v>-</v>
      </c>
    </row>
    <row r="2672">
      <c r="A2672" s="5" t="str">
        <f>IFERROR(__xludf.DUMMYFUNCTION("""COMPUTED_VALUE"""),"TNL-XTA-023")</f>
        <v>TNL-XTA-023</v>
      </c>
      <c r="B2672" s="3" t="str">
        <f>IFERROR(__xludf.DUMMYFUNCTION("""COMPUTED_VALUE"""),"Xe ben 15 tấn")</f>
        <v>Xe ben 15 tấn</v>
      </c>
      <c r="C2672" s="5" t="str">
        <f>IFERROR(__xludf.DUMMYFUNCTION("""COMPUTED_VALUE"""),"XN Chuối LP3")</f>
        <v>XN Chuối LP3</v>
      </c>
      <c r="D2672" s="5" t="str">
        <f>IFERROR(__xludf.DUMMYFUNCTION("""COMPUTED_VALUE"""),"HYUNDAI")</f>
        <v>HYUNDAI</v>
      </c>
      <c r="E2672" s="5"/>
      <c r="F2672" s="5">
        <f>IFERROR(__xludf.DUMMYFUNCTION("""COMPUTED_VALUE"""),2002.0)</f>
        <v>2002</v>
      </c>
      <c r="G2672" s="5"/>
      <c r="H2672" s="5" t="str">
        <f>IFERROR(__xludf.DUMMYFUNCTION("""COMPUTED_VALUE"""),"380HP")</f>
        <v>380HP</v>
      </c>
      <c r="I2672" s="5" t="str">
        <f>IFERROR(__xludf.DUMMYFUNCTION("""COMPUTED_VALUE"""),"KMCDB19SP2C016707")</f>
        <v>KMCDB19SP2C016707</v>
      </c>
      <c r="J2672" s="5" t="str">
        <f>IFERROR(__xludf.DUMMYFUNCTION("""COMPUTED_VALUE"""),"D6CA2058710")</f>
        <v>D6CA2058710</v>
      </c>
      <c r="K2672" s="5">
        <f>IFERROR(__xludf.DUMMYFUNCTION("""COMPUTED_VALUE"""),9.5)</f>
        <v>9.5</v>
      </c>
      <c r="L2672" s="5" t="str">
        <f>IFERROR(__xludf.DUMMYFUNCTION("""COMPUTED_VALUE"""),"-")</f>
        <v>-</v>
      </c>
    </row>
    <row r="2673">
      <c r="A2673" s="5" t="str">
        <f>IFERROR(__xludf.DUMMYFUNCTION("""COMPUTED_VALUE"""),"TNL-XTA-024")</f>
        <v>TNL-XTA-024</v>
      </c>
      <c r="B2673" s="3" t="str">
        <f>IFERROR(__xludf.DUMMYFUNCTION("""COMPUTED_VALUE"""),"Xe ben 15 tấn")</f>
        <v>Xe ben 15 tấn</v>
      </c>
      <c r="C2673" s="5" t="str">
        <f>IFERROR(__xludf.DUMMYFUNCTION("""COMPUTED_VALUE"""),"XN Chuối LP3")</f>
        <v>XN Chuối LP3</v>
      </c>
      <c r="D2673" s="5" t="str">
        <f>IFERROR(__xludf.DUMMYFUNCTION("""COMPUTED_VALUE"""),"HYUNDAI")</f>
        <v>HYUNDAI</v>
      </c>
      <c r="E2673" s="5"/>
      <c r="F2673" s="5">
        <f>IFERROR(__xludf.DUMMYFUNCTION("""COMPUTED_VALUE"""),2004.0)</f>
        <v>2004</v>
      </c>
      <c r="G2673" s="5"/>
      <c r="H2673" s="5" t="str">
        <f>IFERROR(__xludf.DUMMYFUNCTION("""COMPUTED_VALUE"""),"340HP")</f>
        <v>340HP</v>
      </c>
      <c r="I2673" s="5" t="str">
        <f>IFERROR(__xludf.DUMMYFUNCTION("""COMPUTED_VALUE"""),"KMCPB18TP4C001741")</f>
        <v>KMCPB18TP4C001741</v>
      </c>
      <c r="J2673" s="5" t="str">
        <f>IFERROR(__xludf.DUMMYFUNCTION("""COMPUTED_VALUE"""),"D6AC3084058")</f>
        <v>D6AC3084058</v>
      </c>
      <c r="K2673" s="5">
        <f>IFERROR(__xludf.DUMMYFUNCTION("""COMPUTED_VALUE"""),9.5)</f>
        <v>9.5</v>
      </c>
      <c r="L2673" s="5" t="str">
        <f>IFERROR(__xludf.DUMMYFUNCTION("""COMPUTED_VALUE"""),"-")</f>
        <v>-</v>
      </c>
    </row>
    <row r="2674">
      <c r="A2674" s="5" t="str">
        <f>IFERROR(__xludf.DUMMYFUNCTION("""COMPUTED_VALUE"""),"TNL-XTA-025")</f>
        <v>TNL-XTA-025</v>
      </c>
      <c r="B2674" s="3" t="str">
        <f>IFERROR(__xludf.DUMMYFUNCTION("""COMPUTED_VALUE"""),"Xe ben 15 tấn")</f>
        <v>Xe ben 15 tấn</v>
      </c>
      <c r="C2674" s="5" t="str">
        <f>IFERROR(__xludf.DUMMYFUNCTION("""COMPUTED_VALUE"""),"XN Chuối LP3")</f>
        <v>XN Chuối LP3</v>
      </c>
      <c r="D2674" s="5" t="str">
        <f>IFERROR(__xludf.DUMMYFUNCTION("""COMPUTED_VALUE"""),"HYUNDAI")</f>
        <v>HYUNDAI</v>
      </c>
      <c r="E2674" s="5" t="str">
        <f>IFERROR(__xludf.DUMMYFUNCTION("""COMPUTED_VALUE"""),"HÀN QUỐC")</f>
        <v>HÀN QUỐC</v>
      </c>
      <c r="F2674" s="5">
        <f>IFERROR(__xludf.DUMMYFUNCTION("""COMPUTED_VALUE"""),1997.0)</f>
        <v>1997</v>
      </c>
      <c r="G2674" s="5"/>
      <c r="H2674" s="5" t="str">
        <f>IFERROR(__xludf.DUMMYFUNCTION("""COMPUTED_VALUE"""),"360HP")</f>
        <v>360HP</v>
      </c>
      <c r="I2674" s="5" t="str">
        <f>IFERROR(__xludf.DUMMYFUNCTION("""COMPUTED_VALUE"""),"KMCDB18YPVC104798")</f>
        <v>KMCDB18YPVC104798</v>
      </c>
      <c r="J2674" s="5" t="str">
        <f>IFERROR(__xludf.DUMMYFUNCTION("""COMPUTED_VALUE"""),"D8AYV011176")</f>
        <v>D8AYV011176</v>
      </c>
      <c r="K2674" s="5">
        <f>IFERROR(__xludf.DUMMYFUNCTION("""COMPUTED_VALUE"""),6.5)</f>
        <v>6.5</v>
      </c>
      <c r="L2674" s="5" t="str">
        <f>IFERROR(__xludf.DUMMYFUNCTION("""COMPUTED_VALUE"""),"-")</f>
        <v>-</v>
      </c>
    </row>
    <row r="2675">
      <c r="A2675" s="5" t="str">
        <f>IFERROR(__xludf.DUMMYFUNCTION("""COMPUTED_VALUE"""),"TNL-XTA-026")</f>
        <v>TNL-XTA-026</v>
      </c>
      <c r="B2675" s="3" t="str">
        <f>IFERROR(__xludf.DUMMYFUNCTION("""COMPUTED_VALUE"""),"Xe ben 15 tấn")</f>
        <v>Xe ben 15 tấn</v>
      </c>
      <c r="C2675" s="5" t="str">
        <f>IFERROR(__xludf.DUMMYFUNCTION("""COMPUTED_VALUE"""),"XN Chuối LP3")</f>
        <v>XN Chuối LP3</v>
      </c>
      <c r="D2675" s="5"/>
      <c r="E2675" s="5"/>
      <c r="F2675" s="5"/>
      <c r="G2675" s="5"/>
      <c r="H2675" s="5"/>
      <c r="I2675" s="5"/>
      <c r="J2675" s="5"/>
      <c r="K2675" s="5">
        <f>IFERROR(__xludf.DUMMYFUNCTION("""COMPUTED_VALUE"""),6.5)</f>
        <v>6.5</v>
      </c>
      <c r="L2675" s="5" t="str">
        <f>IFERROR(__xludf.DUMMYFUNCTION("""COMPUTED_VALUE"""),"-")</f>
        <v>-</v>
      </c>
    </row>
    <row r="2676">
      <c r="A2676" s="5" t="str">
        <f>IFERROR(__xludf.DUMMYFUNCTION("""COMPUTED_VALUE"""),"TNL-XTA-027")</f>
        <v>TNL-XTA-027</v>
      </c>
      <c r="B2676" s="3" t="str">
        <f>IFERROR(__xludf.DUMMYFUNCTION("""COMPUTED_VALUE"""),"Xe ben 15 tấn")</f>
        <v>Xe ben 15 tấn</v>
      </c>
      <c r="C2676" s="5" t="str">
        <f>IFERROR(__xludf.DUMMYFUNCTION("""COMPUTED_VALUE"""),"XN Chuối LP3")</f>
        <v>XN Chuối LP3</v>
      </c>
      <c r="D2676" s="5" t="str">
        <f>IFERROR(__xludf.DUMMYFUNCTION("""COMPUTED_VALUE"""),"HYUNDAI")</f>
        <v>HYUNDAI</v>
      </c>
      <c r="E2676" s="5" t="str">
        <f>IFERROR(__xludf.DUMMYFUNCTION("""COMPUTED_VALUE"""),"HÀN QUỐC")</f>
        <v>HÀN QUỐC</v>
      </c>
      <c r="F2676" s="5">
        <f>IFERROR(__xludf.DUMMYFUNCTION("""COMPUTED_VALUE"""),2001.0)</f>
        <v>2001</v>
      </c>
      <c r="G2676" s="5" t="str">
        <f>IFERROR(__xludf.DUMMYFUNCTION("""COMPUTED_VALUE"""),"DUMPTRUCK")</f>
        <v>DUMPTRUCK</v>
      </c>
      <c r="H2676" s="5" t="str">
        <f>IFERROR(__xludf.DUMMYFUNCTION("""COMPUTED_VALUE"""),"320HP")</f>
        <v>320HP</v>
      </c>
      <c r="I2676" s="5" t="str">
        <f>IFERROR(__xludf.DUMMYFUNCTION("""COMPUTED_VALUE"""),"KMCDB1BYPTC100969")</f>
        <v>KMCDB1BYPTC100969</v>
      </c>
      <c r="J2676" s="5" t="str">
        <f>IFERROR(__xludf.DUMMYFUNCTION("""COMPUTED_VALUE"""),"D8AYT157951")</f>
        <v>D8AYT157951</v>
      </c>
      <c r="K2676" s="5"/>
      <c r="L2676" s="5" t="str">
        <f>IFERROR(__xludf.DUMMYFUNCTION("""COMPUTED_VALUE"""),"-")</f>
        <v>-</v>
      </c>
    </row>
    <row r="2677">
      <c r="A2677" s="5" t="str">
        <f>IFERROR(__xludf.DUMMYFUNCTION("""COMPUTED_VALUE"""),"TNL-XTA-028")</f>
        <v>TNL-XTA-028</v>
      </c>
      <c r="B2677" s="3" t="str">
        <f>IFERROR(__xludf.DUMMYFUNCTION("""COMPUTED_VALUE"""),"Xe ben 15 tấn")</f>
        <v>Xe ben 15 tấn</v>
      </c>
      <c r="C2677" s="5" t="str">
        <f>IFERROR(__xludf.DUMMYFUNCTION("""COMPUTED_VALUE"""),"CGTC LP")</f>
        <v>CGTC LP</v>
      </c>
      <c r="D2677" s="5" t="str">
        <f>IFERROR(__xludf.DUMMYFUNCTION("""COMPUTED_VALUE"""),"HYUNDAI")</f>
        <v>HYUNDAI</v>
      </c>
      <c r="E2677" s="5" t="str">
        <f>IFERROR(__xludf.DUMMYFUNCTION("""COMPUTED_VALUE"""),"HÀN QUỐC")</f>
        <v>HÀN QUỐC</v>
      </c>
      <c r="F2677" s="5">
        <f>IFERROR(__xludf.DUMMYFUNCTION("""COMPUTED_VALUE"""),2001.0)</f>
        <v>2001</v>
      </c>
      <c r="G2677" s="5" t="str">
        <f>IFERROR(__xludf.DUMMYFUNCTION("""COMPUTED_VALUE"""),"DUMPTRUCK")</f>
        <v>DUMPTRUCK</v>
      </c>
      <c r="H2677" s="5" t="str">
        <f>IFERROR(__xludf.DUMMYFUNCTION("""COMPUTED_VALUE"""),"320HP")</f>
        <v>320HP</v>
      </c>
      <c r="I2677" s="5" t="str">
        <f>IFERROR(__xludf.DUMMYFUNCTION("""COMPUTED_VALUE"""),"KMCD18YPSU019491")</f>
        <v>KMCD18YPSU019491</v>
      </c>
      <c r="J2677" s="5" t="str">
        <f>IFERROR(__xludf.DUMMYFUNCTION("""COMPUTED_VALUE"""),"DSAYS133292")</f>
        <v>DSAYS133292</v>
      </c>
      <c r="K2677" s="5">
        <f>IFERROR(__xludf.DUMMYFUNCTION("""COMPUTED_VALUE"""),8.03)</f>
        <v>8.03</v>
      </c>
      <c r="L2677" s="5" t="str">
        <f>IFERROR(__xludf.DUMMYFUNCTION("""COMPUTED_VALUE"""),"-")</f>
        <v>-</v>
      </c>
    </row>
    <row r="2678">
      <c r="A2678" s="5" t="str">
        <f>IFERROR(__xludf.DUMMYFUNCTION("""COMPUTED_VALUE"""),"TNL-XTA-029")</f>
        <v>TNL-XTA-029</v>
      </c>
      <c r="B2678" s="3" t="str">
        <f>IFERROR(__xludf.DUMMYFUNCTION("""COMPUTED_VALUE"""),"Xe ben 15 tấn")</f>
        <v>Xe ben 15 tấn</v>
      </c>
      <c r="C2678" s="5" t="str">
        <f>IFERROR(__xludf.DUMMYFUNCTION("""COMPUTED_VALUE"""),"CGTC LP")</f>
        <v>CGTC LP</v>
      </c>
      <c r="D2678" s="5" t="str">
        <f>IFERROR(__xludf.DUMMYFUNCTION("""COMPUTED_VALUE"""),"HYUNDAI")</f>
        <v>HYUNDAI</v>
      </c>
      <c r="E2678" s="5" t="str">
        <f>IFERROR(__xludf.DUMMYFUNCTION("""COMPUTED_VALUE"""),"HÀN QUỐC")</f>
        <v>HÀN QUỐC</v>
      </c>
      <c r="F2678" s="5">
        <f>IFERROR(__xludf.DUMMYFUNCTION("""COMPUTED_VALUE"""),2006.0)</f>
        <v>2006</v>
      </c>
      <c r="G2678" s="5"/>
      <c r="H2678" s="5" t="str">
        <f>IFERROR(__xludf.DUMMYFUNCTION("""COMPUTED_VALUE"""),"340HP")</f>
        <v>340HP</v>
      </c>
      <c r="I2678" s="5" t="str">
        <f>IFERROR(__xludf.DUMMYFUNCTION("""COMPUTED_VALUE"""),"KMCB18TP6C010455")</f>
        <v>KMCB18TP6C010455</v>
      </c>
      <c r="J2678" s="5" t="str">
        <f>IFERROR(__xludf.DUMMYFUNCTION("""COMPUTED_VALUE"""),"D6CB6118340")</f>
        <v>D6CB6118340</v>
      </c>
      <c r="K2678" s="5">
        <f>IFERROR(__xludf.DUMMYFUNCTION("""COMPUTED_VALUE"""),7.75)</f>
        <v>7.75</v>
      </c>
      <c r="L2678" s="5" t="str">
        <f>IFERROR(__xludf.DUMMYFUNCTION("""COMPUTED_VALUE"""),"-")</f>
        <v>-</v>
      </c>
    </row>
    <row r="2679">
      <c r="A2679" s="5" t="str">
        <f>IFERROR(__xludf.DUMMYFUNCTION("""COMPUTED_VALUE"""),"TNL-XTA-030")</f>
        <v>TNL-XTA-030</v>
      </c>
      <c r="B2679" s="3" t="str">
        <f>IFERROR(__xludf.DUMMYFUNCTION("""COMPUTED_VALUE"""),"Xe ben 15 tấn")</f>
        <v>Xe ben 15 tấn</v>
      </c>
      <c r="C2679" s="5" t="str">
        <f>IFERROR(__xludf.DUMMYFUNCTION("""COMPUTED_VALUE"""),"CGTC LP")</f>
        <v>CGTC LP</v>
      </c>
      <c r="D2679" s="5" t="str">
        <f>IFERROR(__xludf.DUMMYFUNCTION("""COMPUTED_VALUE"""),"DAEWOO")</f>
        <v>DAEWOO</v>
      </c>
      <c r="E2679" s="5" t="str">
        <f>IFERROR(__xludf.DUMMYFUNCTION("""COMPUTED_VALUE"""),"HÀN QUỐC")</f>
        <v>HÀN QUỐC</v>
      </c>
      <c r="F2679" s="5">
        <f>IFERROR(__xludf.DUMMYFUNCTION("""COMPUTED_VALUE"""),1999.0)</f>
        <v>1999</v>
      </c>
      <c r="G2679" s="5"/>
      <c r="H2679" s="5" t="str">
        <f>IFERROR(__xludf.DUMMYFUNCTION("""COMPUTED_VALUE"""),"350HP")</f>
        <v>350HP</v>
      </c>
      <c r="I2679" s="5" t="str">
        <f>IFERROR(__xludf.DUMMYFUNCTION("""COMPUTED_VALUE"""),"KL4YB44T1XK000006")</f>
        <v>KL4YB44T1XK000006</v>
      </c>
      <c r="J2679" s="5" t="str">
        <f>IFERROR(__xludf.DUMMYFUNCTION("""COMPUTED_VALUE"""),"DV15T1800003CB")</f>
        <v>DV15T1800003CB</v>
      </c>
      <c r="K2679" s="5">
        <f>IFERROR(__xludf.DUMMYFUNCTION("""COMPUTED_VALUE"""),8.02)</f>
        <v>8.02</v>
      </c>
      <c r="L2679" s="5" t="str">
        <f>IFERROR(__xludf.DUMMYFUNCTION("""COMPUTED_VALUE"""),"-")</f>
        <v>-</v>
      </c>
    </row>
    <row r="2680">
      <c r="A2680" s="5" t="str">
        <f>IFERROR(__xludf.DUMMYFUNCTION("""COMPUTED_VALUE"""),"TNL-XTA-031")</f>
        <v>TNL-XTA-031</v>
      </c>
      <c r="B2680" s="3" t="str">
        <f>IFERROR(__xludf.DUMMYFUNCTION("""COMPUTED_VALUE"""),"Xe ben 5 tấn")</f>
        <v>Xe ben 5 tấn</v>
      </c>
      <c r="C2680" s="5" t="str">
        <f>IFERROR(__xludf.DUMMYFUNCTION("""COMPUTED_VALUE"""),"XN Chuối LP3")</f>
        <v>XN Chuối LP3</v>
      </c>
      <c r="D2680" s="5" t="str">
        <f>IFERROR(__xludf.DUMMYFUNCTION("""COMPUTED_VALUE"""),"HINO")</f>
        <v>HINO</v>
      </c>
      <c r="E2680" s="5"/>
      <c r="F2680" s="5">
        <f>IFERROR(__xludf.DUMMYFUNCTION("""COMPUTED_VALUE"""),2000.0)</f>
        <v>2000</v>
      </c>
      <c r="G2680" s="5" t="str">
        <f>IFERROR(__xludf.DUMMYFUNCTION("""COMPUTED_VALUE"""),"DUMPTRUCK")</f>
        <v>DUMPTRUCK</v>
      </c>
      <c r="H2680" s="5" t="str">
        <f>IFERROR(__xludf.DUMMYFUNCTION("""COMPUTED_VALUE"""),"183HP")</f>
        <v>183HP</v>
      </c>
      <c r="I2680" s="5" t="str">
        <f>IFERROR(__xludf.DUMMYFUNCTION("""COMPUTED_VALUE"""),"KN3LAP842YK004887")</f>
        <v>KN3LAP842YK004887</v>
      </c>
      <c r="J2680" s="5" t="str">
        <f>IFERROR(__xludf.DUMMYFUNCTION("""COMPUTED_VALUE"""),"K7001448")</f>
        <v>K7001448</v>
      </c>
      <c r="K2680" s="5">
        <f>IFERROR(__xludf.DUMMYFUNCTION("""COMPUTED_VALUE"""),5.0)</f>
        <v>5</v>
      </c>
      <c r="L2680" s="5" t="str">
        <f>IFERROR(__xludf.DUMMYFUNCTION("""COMPUTED_VALUE"""),"-")</f>
        <v>-</v>
      </c>
    </row>
    <row r="2681">
      <c r="A2681" s="5" t="str">
        <f>IFERROR(__xludf.DUMMYFUNCTION("""COMPUTED_VALUE"""),"TNL-XTA-032")</f>
        <v>TNL-XTA-032</v>
      </c>
      <c r="B2681" s="3" t="str">
        <f>IFERROR(__xludf.DUMMYFUNCTION("""COMPUTED_VALUE"""),"Xe ben 5 tấn")</f>
        <v>Xe ben 5 tấn</v>
      </c>
      <c r="C2681" s="5" t="str">
        <f>IFERROR(__xludf.DUMMYFUNCTION("""COMPUTED_VALUE"""),"CGTC LP")</f>
        <v>CGTC LP</v>
      </c>
      <c r="D2681" s="5" t="str">
        <f>IFERROR(__xludf.DUMMYFUNCTION("""COMPUTED_VALUE"""),"HYUNDAI")</f>
        <v>HYUNDAI</v>
      </c>
      <c r="E2681" s="5" t="str">
        <f>IFERROR(__xludf.DUMMYFUNCTION("""COMPUTED_VALUE"""),"HÀN QUỐC")</f>
        <v>HÀN QUỐC</v>
      </c>
      <c r="F2681" s="5">
        <f>IFERROR(__xludf.DUMMYFUNCTION("""COMPUTED_VALUE"""),1994.0)</f>
        <v>1994</v>
      </c>
      <c r="G2681" s="5" t="str">
        <f>IFERROR(__xludf.DUMMYFUNCTION("""COMPUTED_VALUE"""),"DUMPTRUCK")</f>
        <v>DUMPTRUCK</v>
      </c>
      <c r="H2681" s="5" t="str">
        <f>IFERROR(__xludf.DUMMYFUNCTION("""COMPUTED_VALUE"""),"170HP")</f>
        <v>170HP</v>
      </c>
      <c r="I2681" s="5" t="str">
        <f>IFERROR(__xludf.DUMMYFUNCTION("""COMPUTED_VALUE"""),"KMFMA16HPSU026599")</f>
        <v>KMFMA16HPSU026599</v>
      </c>
      <c r="J2681" s="5" t="str">
        <f>IFERROR(__xludf.DUMMYFUNCTION("""COMPUTED_VALUE"""),"D6BRY00884")</f>
        <v>D6BRY00884</v>
      </c>
      <c r="K2681" s="5">
        <f>IFERROR(__xludf.DUMMYFUNCTION("""COMPUTED_VALUE"""),4.9)</f>
        <v>4.9</v>
      </c>
      <c r="L2681" s="5" t="str">
        <f>IFERROR(__xludf.DUMMYFUNCTION("""COMPUTED_VALUE"""),"-")</f>
        <v>-</v>
      </c>
    </row>
    <row r="2682">
      <c r="A2682" s="5" t="str">
        <f>IFERROR(__xludf.DUMMYFUNCTION("""COMPUTED_VALUE"""),"TNL-XTA-033")</f>
        <v>TNL-XTA-033</v>
      </c>
      <c r="B2682" s="3" t="str">
        <f>IFERROR(__xludf.DUMMYFUNCTION("""COMPUTED_VALUE"""),"Xe ben 5 tấn")</f>
        <v>Xe ben 5 tấn</v>
      </c>
      <c r="C2682" s="5" t="str">
        <f>IFERROR(__xludf.DUMMYFUNCTION("""COMPUTED_VALUE"""),"CGTC LP")</f>
        <v>CGTC LP</v>
      </c>
      <c r="D2682" s="5" t="str">
        <f>IFERROR(__xludf.DUMMYFUNCTION("""COMPUTED_VALUE"""),"HYUNDAI")</f>
        <v>HYUNDAI</v>
      </c>
      <c r="E2682" s="5" t="str">
        <f>IFERROR(__xludf.DUMMYFUNCTION("""COMPUTED_VALUE"""),"HÀ̀N QUỐC")</f>
        <v>HÀ̀N QUỐC</v>
      </c>
      <c r="F2682" s="5">
        <f>IFERROR(__xludf.DUMMYFUNCTION("""COMPUTED_VALUE"""),1997.0)</f>
        <v>1997</v>
      </c>
      <c r="G2682" s="5" t="str">
        <f>IFERROR(__xludf.DUMMYFUNCTION("""COMPUTED_VALUE"""),"DUMPTRUCK")</f>
        <v>DUMPTRUCK</v>
      </c>
      <c r="H2682" s="5" t="str">
        <f>IFERROR(__xludf.DUMMYFUNCTION("""COMPUTED_VALUE"""),"170HP")</f>
        <v>170HP</v>
      </c>
      <c r="I2682" s="5" t="str">
        <f>IFERROR(__xludf.DUMMYFUNCTION("""COMPUTED_VALUE"""),"KMFLA195PVC115786")</f>
        <v>KMFLA195PVC115786</v>
      </c>
      <c r="J2682" s="5" t="str">
        <f>IFERROR(__xludf.DUMMYFUNCTION("""COMPUTED_VALUE"""),"115786")</f>
        <v>115786</v>
      </c>
      <c r="K2682" s="5">
        <f>IFERROR(__xludf.DUMMYFUNCTION("""COMPUTED_VALUE"""),4.9)</f>
        <v>4.9</v>
      </c>
      <c r="L2682" s="5" t="str">
        <f>IFERROR(__xludf.DUMMYFUNCTION("""COMPUTED_VALUE"""),"-")</f>
        <v>-</v>
      </c>
    </row>
    <row r="2683">
      <c r="A2683" s="5" t="str">
        <f>IFERROR(__xludf.DUMMYFUNCTION("""COMPUTED_VALUE"""),"TNL-XTA-034")</f>
        <v>TNL-XTA-034</v>
      </c>
      <c r="B2683" s="3" t="str">
        <f>IFERROR(__xludf.DUMMYFUNCTION("""COMPUTED_VALUE"""),"Xe ben 5 tấn")</f>
        <v>Xe ben 5 tấn</v>
      </c>
      <c r="C2683" s="5" t="str">
        <f>IFERROR(__xludf.DUMMYFUNCTION("""COMPUTED_VALUE"""),"CGTC LP")</f>
        <v>CGTC LP</v>
      </c>
      <c r="D2683" s="5" t="str">
        <f>IFERROR(__xludf.DUMMYFUNCTION("""COMPUTED_VALUE"""),"HYUNDAI")</f>
        <v>HYUNDAI</v>
      </c>
      <c r="E2683" s="5" t="str">
        <f>IFERROR(__xludf.DUMMYFUNCTION("""COMPUTED_VALUE"""),"HÀN QUỐC")</f>
        <v>HÀN QUỐC</v>
      </c>
      <c r="F2683" s="5">
        <f>IFERROR(__xludf.DUMMYFUNCTION("""COMPUTED_VALUE"""),1995.0)</f>
        <v>1995</v>
      </c>
      <c r="G2683" s="5" t="str">
        <f>IFERROR(__xludf.DUMMYFUNCTION("""COMPUTED_VALUE"""),"DUMPTRUCK")</f>
        <v>DUMPTRUCK</v>
      </c>
      <c r="H2683" s="5" t="str">
        <f>IFERROR(__xludf.DUMMYFUNCTION("""COMPUTED_VALUE"""),"170HP")</f>
        <v>170HP</v>
      </c>
      <c r="I2683" s="5" t="str">
        <f>IFERROR(__xludf.DUMMYFUNCTION("""COMPUTED_VALUE"""),"KMFLA19JPSU023762")</f>
        <v>KMFLA19JPSU023762</v>
      </c>
      <c r="J2683" s="5" t="str">
        <f>IFERROR(__xludf.DUMMYFUNCTION("""COMPUTED_VALUE"""),"D6BJS136176")</f>
        <v>D6BJS136176</v>
      </c>
      <c r="K2683" s="5">
        <f>IFERROR(__xludf.DUMMYFUNCTION("""COMPUTED_VALUE"""),4.0)</f>
        <v>4</v>
      </c>
      <c r="L2683" s="5" t="str">
        <f>IFERROR(__xludf.DUMMYFUNCTION("""COMPUTED_VALUE"""),"-")</f>
        <v>-</v>
      </c>
    </row>
    <row r="2684">
      <c r="A2684" s="5" t="str">
        <f>IFERROR(__xludf.DUMMYFUNCTION("""COMPUTED_VALUE"""),"TNL-XTA-035")</f>
        <v>TNL-XTA-035</v>
      </c>
      <c r="B2684" s="3" t="str">
        <f>IFERROR(__xludf.DUMMYFUNCTION("""COMPUTED_VALUE"""),"Xe ben 5 tấn")</f>
        <v>Xe ben 5 tấn</v>
      </c>
      <c r="C2684" s="5" t="str">
        <f>IFERROR(__xludf.DUMMYFUNCTION("""COMPUTED_VALUE"""),"XN Chuối LP3")</f>
        <v>XN Chuối LP3</v>
      </c>
      <c r="D2684" s="5" t="str">
        <f>IFERROR(__xludf.DUMMYFUNCTION("""COMPUTED_VALUE"""),"HYUNDAI")</f>
        <v>HYUNDAI</v>
      </c>
      <c r="E2684" s="5" t="str">
        <f>IFERROR(__xludf.DUMMYFUNCTION("""COMPUTED_VALUE"""),"HÀN QUỐC")</f>
        <v>HÀN QUỐC</v>
      </c>
      <c r="F2684" s="5">
        <f>IFERROR(__xludf.DUMMYFUNCTION("""COMPUTED_VALUE"""),1993.0)</f>
        <v>1993</v>
      </c>
      <c r="G2684" s="5" t="str">
        <f>IFERROR(__xludf.DUMMYFUNCTION("""COMPUTED_VALUE"""),"DUMPTRUCK")</f>
        <v>DUMPTRUCK</v>
      </c>
      <c r="H2684" s="5" t="str">
        <f>IFERROR(__xludf.DUMMYFUNCTION("""COMPUTED_VALUE"""),"170HP")</f>
        <v>170HP</v>
      </c>
      <c r="I2684" s="5" t="str">
        <f>IFERROR(__xludf.DUMMYFUNCTION("""COMPUTED_VALUE"""),"KMCBLB175PU014779")</f>
        <v>KMCBLB175PU014779</v>
      </c>
      <c r="J2684" s="5" t="str">
        <f>IFERROR(__xludf.DUMMYFUNCTION("""COMPUTED_VALUE"""),"NIL")</f>
        <v>NIL</v>
      </c>
      <c r="K2684" s="5">
        <f>IFERROR(__xludf.DUMMYFUNCTION("""COMPUTED_VALUE"""),5.0)</f>
        <v>5</v>
      </c>
      <c r="L2684" s="5" t="str">
        <f>IFERROR(__xludf.DUMMYFUNCTION("""COMPUTED_VALUE"""),"-")</f>
        <v>-</v>
      </c>
    </row>
    <row r="2685">
      <c r="A2685" s="5" t="str">
        <f>IFERROR(__xludf.DUMMYFUNCTION("""COMPUTED_VALUE"""),"TNL-XTA-036")</f>
        <v>TNL-XTA-036</v>
      </c>
      <c r="B2685" s="3" t="str">
        <f>IFERROR(__xludf.DUMMYFUNCTION("""COMPUTED_VALUE"""),"Xe ben 5 tấn")</f>
        <v>Xe ben 5 tấn</v>
      </c>
      <c r="C2685" s="5" t="str">
        <f>IFERROR(__xludf.DUMMYFUNCTION("""COMPUTED_VALUE"""),"XN Chuối LP3")</f>
        <v>XN Chuối LP3</v>
      </c>
      <c r="D2685" s="5" t="str">
        <f>IFERROR(__xludf.DUMMYFUNCTION("""COMPUTED_VALUE"""),"HYUNDAI")</f>
        <v>HYUNDAI</v>
      </c>
      <c r="E2685" s="5" t="str">
        <f>IFERROR(__xludf.DUMMYFUNCTION("""COMPUTED_VALUE"""),"HÀN QUỐC")</f>
        <v>HÀN QUỐC</v>
      </c>
      <c r="F2685" s="5">
        <f>IFERROR(__xludf.DUMMYFUNCTION("""COMPUTED_VALUE"""),1997.0)</f>
        <v>1997</v>
      </c>
      <c r="G2685" s="5" t="str">
        <f>IFERROR(__xludf.DUMMYFUNCTION("""COMPUTED_VALUE"""),"DUMPTRUCK")</f>
        <v>DUMPTRUCK</v>
      </c>
      <c r="H2685" s="5" t="str">
        <f>IFERROR(__xludf.DUMMYFUNCTION("""COMPUTED_VALUE"""),"170HP")</f>
        <v>170HP</v>
      </c>
      <c r="I2685" s="5" t="str">
        <f>IFERROR(__xludf.DUMMYFUNCTION("""COMPUTED_VALUE"""),"KMCLP175PVCV0501")</f>
        <v>KMCLP175PVCV0501</v>
      </c>
      <c r="J2685" s="5" t="str">
        <f>IFERROR(__xludf.DUMMYFUNCTION("""COMPUTED_VALUE"""),"D6B5T004450")</f>
        <v>D6B5T004450</v>
      </c>
      <c r="K2685" s="5">
        <f>IFERROR(__xludf.DUMMYFUNCTION("""COMPUTED_VALUE"""),5.0)</f>
        <v>5</v>
      </c>
      <c r="L2685" s="5" t="str">
        <f>IFERROR(__xludf.DUMMYFUNCTION("""COMPUTED_VALUE"""),"-")</f>
        <v>-</v>
      </c>
    </row>
    <row r="2686">
      <c r="A2686" s="5" t="str">
        <f>IFERROR(__xludf.DUMMYFUNCTION("""COMPUTED_VALUE"""),"TNL-XTA-037")</f>
        <v>TNL-XTA-037</v>
      </c>
      <c r="B2686" s="3" t="str">
        <f>IFERROR(__xludf.DUMMYFUNCTION("""COMPUTED_VALUE"""),"Xe ben 5 tấn")</f>
        <v>Xe ben 5 tấn</v>
      </c>
      <c r="C2686" s="5" t="str">
        <f>IFERROR(__xludf.DUMMYFUNCTION("""COMPUTED_VALUE"""),"XN Chuối LP3")</f>
        <v>XN Chuối LP3</v>
      </c>
      <c r="D2686" s="5" t="str">
        <f>IFERROR(__xludf.DUMMYFUNCTION("""COMPUTED_VALUE"""),"HYUNDAI")</f>
        <v>HYUNDAI</v>
      </c>
      <c r="E2686" s="5" t="str">
        <f>IFERROR(__xludf.DUMMYFUNCTION("""COMPUTED_VALUE"""),"HÀN QUỐC")</f>
        <v>HÀN QUỐC</v>
      </c>
      <c r="F2686" s="5">
        <f>IFERROR(__xludf.DUMMYFUNCTION("""COMPUTED_VALUE"""),1994.0)</f>
        <v>1994</v>
      </c>
      <c r="G2686" s="5" t="str">
        <f>IFERROR(__xludf.DUMMYFUNCTION("""COMPUTED_VALUE"""),"DUMPTRUCK")</f>
        <v>DUMPTRUCK</v>
      </c>
      <c r="H2686" s="5" t="str">
        <f>IFERROR(__xludf.DUMMYFUNCTION("""COMPUTED_VALUE"""),"170HP")</f>
        <v>170HP</v>
      </c>
      <c r="I2686" s="5" t="str">
        <f>IFERROR(__xludf.DUMMYFUNCTION("""COMPUTED_VALUE"""),"KMFIA195PPU021868")</f>
        <v>KMFIA195PPU021868</v>
      </c>
      <c r="J2686" s="5" t="str">
        <f>IFERROR(__xludf.DUMMYFUNCTION("""COMPUTED_VALUE"""),"D6RJR129680")</f>
        <v>D6RJR129680</v>
      </c>
      <c r="K2686" s="5">
        <f>IFERROR(__xludf.DUMMYFUNCTION("""COMPUTED_VALUE"""),5.0)</f>
        <v>5</v>
      </c>
      <c r="L2686" s="5" t="str">
        <f>IFERROR(__xludf.DUMMYFUNCTION("""COMPUTED_VALUE"""),"-")</f>
        <v>-</v>
      </c>
    </row>
    <row r="2687">
      <c r="A2687" s="5" t="str">
        <f>IFERROR(__xludf.DUMMYFUNCTION("""COMPUTED_VALUE"""),"TNL-XTA-038")</f>
        <v>TNL-XTA-038</v>
      </c>
      <c r="B2687" s="3" t="str">
        <f>IFERROR(__xludf.DUMMYFUNCTION("""COMPUTED_VALUE"""),"Xe ben 5 tấn")</f>
        <v>Xe ben 5 tấn</v>
      </c>
      <c r="C2687" s="5" t="str">
        <f>IFERROR(__xludf.DUMMYFUNCTION("""COMPUTED_VALUE"""),"CGTC LP")</f>
        <v>CGTC LP</v>
      </c>
      <c r="D2687" s="5" t="str">
        <f>IFERROR(__xludf.DUMMYFUNCTION("""COMPUTED_VALUE"""),"HYUNDAI")</f>
        <v>HYUNDAI</v>
      </c>
      <c r="E2687" s="5" t="str">
        <f>IFERROR(__xludf.DUMMYFUNCTION("""COMPUTED_VALUE"""),"HÀN QUỐC")</f>
        <v>HÀN QUỐC</v>
      </c>
      <c r="F2687" s="5">
        <f>IFERROR(__xludf.DUMMYFUNCTION("""COMPUTED_VALUE"""),1997.0)</f>
        <v>1997</v>
      </c>
      <c r="G2687" s="5"/>
      <c r="H2687" s="5" t="str">
        <f>IFERROR(__xludf.DUMMYFUNCTION("""COMPUTED_VALUE"""),"187HP")</f>
        <v>187HP</v>
      </c>
      <c r="I2687" s="5" t="str">
        <f>IFERROR(__xludf.DUMMYFUNCTION("""COMPUTED_VALUE"""),"KMFLA19RPVC112155")</f>
        <v>KMFLA19RPVC112155</v>
      </c>
      <c r="J2687" s="5" t="str">
        <f>IFERROR(__xludf.DUMMYFUNCTION("""COMPUTED_VALUE"""),"D6BRV005680")</f>
        <v>D6BRV005680</v>
      </c>
      <c r="K2687" s="5">
        <f>IFERROR(__xludf.DUMMYFUNCTION("""COMPUTED_VALUE"""),4.8)</f>
        <v>4.8</v>
      </c>
      <c r="L2687" s="5" t="str">
        <f>IFERROR(__xludf.DUMMYFUNCTION("""COMPUTED_VALUE"""),"-")</f>
        <v>-</v>
      </c>
    </row>
    <row r="2688">
      <c r="A2688" s="5" t="str">
        <f>IFERROR(__xludf.DUMMYFUNCTION("""COMPUTED_VALUE"""),"TNL-XTA-039")</f>
        <v>TNL-XTA-039</v>
      </c>
      <c r="B2688" s="3" t="str">
        <f>IFERROR(__xludf.DUMMYFUNCTION("""COMPUTED_VALUE"""),"Xe ben 5 tấn")</f>
        <v>Xe ben 5 tấn</v>
      </c>
      <c r="C2688" s="5" t="str">
        <f>IFERROR(__xludf.DUMMYFUNCTION("""COMPUTED_VALUE"""),"CGTC LP")</f>
        <v>CGTC LP</v>
      </c>
      <c r="D2688" s="5" t="str">
        <f>IFERROR(__xludf.DUMMYFUNCTION("""COMPUTED_VALUE"""),"HYUNDAI")</f>
        <v>HYUNDAI</v>
      </c>
      <c r="E2688" s="5"/>
      <c r="F2688" s="5">
        <f>IFERROR(__xludf.DUMMYFUNCTION("""COMPUTED_VALUE"""),1996.0)</f>
        <v>1996</v>
      </c>
      <c r="G2688" s="5"/>
      <c r="H2688" s="5" t="str">
        <f>IFERROR(__xludf.DUMMYFUNCTION("""COMPUTED_VALUE"""),"181HP")</f>
        <v>181HP</v>
      </c>
      <c r="I2688" s="5" t="str">
        <f>IFERROR(__xludf.DUMMYFUNCTION("""COMPUTED_VALUE"""),"KMFLA19JPTC106176")</f>
        <v>KMFLA19JPTC106176</v>
      </c>
      <c r="J2688" s="5" t="str">
        <f>IFERROR(__xludf.DUMMYFUNCTION("""COMPUTED_VALUE"""),"D6BJT168643")</f>
        <v>D6BJT168643</v>
      </c>
      <c r="K2688" s="5">
        <f>IFERROR(__xludf.DUMMYFUNCTION("""COMPUTED_VALUE"""),4.8)</f>
        <v>4.8</v>
      </c>
      <c r="L2688" s="5" t="str">
        <f>IFERROR(__xludf.DUMMYFUNCTION("""COMPUTED_VALUE"""),"-")</f>
        <v>-</v>
      </c>
    </row>
    <row r="2689">
      <c r="A2689" s="5" t="str">
        <f>IFERROR(__xludf.DUMMYFUNCTION("""COMPUTED_VALUE"""),"TNL-XTA-040")</f>
        <v>TNL-XTA-040</v>
      </c>
      <c r="B2689" s="3" t="str">
        <f>IFERROR(__xludf.DUMMYFUNCTION("""COMPUTED_VALUE"""),"Xe ben 5 tấn")</f>
        <v>Xe ben 5 tấn</v>
      </c>
      <c r="C2689" s="5" t="str">
        <f>IFERROR(__xludf.DUMMYFUNCTION("""COMPUTED_VALUE"""),"CGTC LP")</f>
        <v>CGTC LP</v>
      </c>
      <c r="D2689" s="5" t="str">
        <f>IFERROR(__xludf.DUMMYFUNCTION("""COMPUTED_VALUE"""),"HYUNDAI")</f>
        <v>HYUNDAI</v>
      </c>
      <c r="E2689" s="5"/>
      <c r="F2689" s="5">
        <f>IFERROR(__xludf.DUMMYFUNCTION("""COMPUTED_VALUE"""),1993.0)</f>
        <v>1993</v>
      </c>
      <c r="G2689" s="5"/>
      <c r="H2689" s="5" t="str">
        <f>IFERROR(__xludf.DUMMYFUNCTION("""COMPUTED_VALUE"""),"170HP")</f>
        <v>170HP</v>
      </c>
      <c r="I2689" s="5" t="str">
        <f>IFERROR(__xludf.DUMMYFUNCTION("""COMPUTED_VALUE"""),"KMCLB17JPPU014779")</f>
        <v>KMCLB17JPPU014779</v>
      </c>
      <c r="J2689" s="5" t="str">
        <f>IFERROR(__xludf.DUMMYFUNCTION("""COMPUTED_VALUE"""),"6353")</f>
        <v>6353</v>
      </c>
      <c r="K2689" s="5">
        <f>IFERROR(__xludf.DUMMYFUNCTION("""COMPUTED_VALUE"""),4.8)</f>
        <v>4.8</v>
      </c>
      <c r="L2689" s="5" t="str">
        <f>IFERROR(__xludf.DUMMYFUNCTION("""COMPUTED_VALUE"""),"-")</f>
        <v>-</v>
      </c>
    </row>
    <row r="2690">
      <c r="A2690" s="5" t="str">
        <f>IFERROR(__xludf.DUMMYFUNCTION("""COMPUTED_VALUE"""),"TNL-XTA-041")</f>
        <v>TNL-XTA-041</v>
      </c>
      <c r="B2690" s="3" t="str">
        <f>IFERROR(__xludf.DUMMYFUNCTION("""COMPUTED_VALUE"""),"Xe ben 5 tấn")</f>
        <v>Xe ben 5 tấn</v>
      </c>
      <c r="C2690" s="5" t="str">
        <f>IFERROR(__xludf.DUMMYFUNCTION("""COMPUTED_VALUE"""),"CGTC LP")</f>
        <v>CGTC LP</v>
      </c>
      <c r="D2690" s="5" t="str">
        <f>IFERROR(__xludf.DUMMYFUNCTION("""COMPUTED_VALUE"""),"HYUNDAI")</f>
        <v>HYUNDAI</v>
      </c>
      <c r="E2690" s="5"/>
      <c r="F2690" s="5">
        <f>IFERROR(__xludf.DUMMYFUNCTION("""COMPUTED_VALUE"""),2001.0)</f>
        <v>2001</v>
      </c>
      <c r="G2690" s="5"/>
      <c r="H2690" s="5" t="str">
        <f>IFERROR(__xludf.DUMMYFUNCTION("""COMPUTED_VALUE"""),"196HP")</f>
        <v>196HP</v>
      </c>
      <c r="I2690" s="5" t="str">
        <f>IFERROR(__xludf.DUMMYFUNCTION("""COMPUTED_VALUE"""),"KMFLA19AP1C021312")</f>
        <v>KMFLA19AP1C021312</v>
      </c>
      <c r="J2690" s="5" t="str">
        <f>IFERROR(__xludf.DUMMYFUNCTION("""COMPUTED_VALUE"""),"1201701")</f>
        <v>1201701</v>
      </c>
      <c r="K2690" s="5">
        <f>IFERROR(__xludf.DUMMYFUNCTION("""COMPUTED_VALUE"""),4.8)</f>
        <v>4.8</v>
      </c>
      <c r="L2690" s="5" t="str">
        <f>IFERROR(__xludf.DUMMYFUNCTION("""COMPUTED_VALUE"""),"-")</f>
        <v>-</v>
      </c>
    </row>
    <row r="2691">
      <c r="A2691" s="5" t="str">
        <f>IFERROR(__xludf.DUMMYFUNCTION("""COMPUTED_VALUE"""),"TNL-XTA-042")</f>
        <v>TNL-XTA-042</v>
      </c>
      <c r="B2691" s="3" t="str">
        <f>IFERROR(__xludf.DUMMYFUNCTION("""COMPUTED_VALUE"""),"Xe ben 5 tấn")</f>
        <v>Xe ben 5 tấn</v>
      </c>
      <c r="C2691" s="5" t="str">
        <f>IFERROR(__xludf.DUMMYFUNCTION("""COMPUTED_VALUE"""),"CGTC LP")</f>
        <v>CGTC LP</v>
      </c>
      <c r="D2691" s="5" t="str">
        <f>IFERROR(__xludf.DUMMYFUNCTION("""COMPUTED_VALUE"""),"HYUNDAI")</f>
        <v>HYUNDAI</v>
      </c>
      <c r="E2691" s="5" t="str">
        <f>IFERROR(__xludf.DUMMYFUNCTION("""COMPUTED_VALUE"""),"HÀN QUỐC")</f>
        <v>HÀN QUỐC</v>
      </c>
      <c r="F2691" s="5">
        <f>IFERROR(__xludf.DUMMYFUNCTION("""COMPUTED_VALUE"""),2000.0)</f>
        <v>2000</v>
      </c>
      <c r="G2691" s="5" t="str">
        <f>IFERROR(__xludf.DUMMYFUNCTION("""COMPUTED_VALUE"""),"HEAVY TRUCK")</f>
        <v>HEAVY TRUCK</v>
      </c>
      <c r="H2691" s="5" t="str">
        <f>IFERROR(__xludf.DUMMYFUNCTION("""COMPUTED_VALUE"""),"181HP")</f>
        <v>181HP</v>
      </c>
      <c r="I2691" s="5" t="str">
        <f>IFERROR(__xludf.DUMMYFUNCTION("""COMPUTED_VALUE"""),"KMFLA19RPYC011996")</f>
        <v>KMFLA19RPYC011996</v>
      </c>
      <c r="J2691" s="5" t="str">
        <f>IFERROR(__xludf.DUMMYFUNCTION("""COMPUTED_VALUE"""),"D6BRY030010")</f>
        <v>D6BRY030010</v>
      </c>
      <c r="K2691" s="5"/>
      <c r="L2691" s="5" t="str">
        <f>IFERROR(__xludf.DUMMYFUNCTION("""COMPUTED_VALUE"""),"-")</f>
        <v>-</v>
      </c>
    </row>
    <row r="2692">
      <c r="A2692" s="5" t="str">
        <f>IFERROR(__xludf.DUMMYFUNCTION("""COMPUTED_VALUE"""),"TNL-XTA-043")</f>
        <v>TNL-XTA-043</v>
      </c>
      <c r="B2692" s="3" t="str">
        <f>IFERROR(__xludf.DUMMYFUNCTION("""COMPUTED_VALUE"""),"Xe ben 5 tấn")</f>
        <v>Xe ben 5 tấn</v>
      </c>
      <c r="C2692" s="5" t="str">
        <f>IFERROR(__xludf.DUMMYFUNCTION("""COMPUTED_VALUE"""),"CGTC LP")</f>
        <v>CGTC LP</v>
      </c>
      <c r="D2692" s="5" t="str">
        <f>IFERROR(__xludf.DUMMYFUNCTION("""COMPUTED_VALUE"""),"HYUNDAI")</f>
        <v>HYUNDAI</v>
      </c>
      <c r="E2692" s="5" t="str">
        <f>IFERROR(__xludf.DUMMYFUNCTION("""COMPUTED_VALUE"""),"HÀN QUỐC")</f>
        <v>HÀN QUỐC</v>
      </c>
      <c r="F2692" s="5">
        <f>IFERROR(__xludf.DUMMYFUNCTION("""COMPUTED_VALUE"""),1999.0)</f>
        <v>1999</v>
      </c>
      <c r="G2692" s="5" t="str">
        <f>IFERROR(__xludf.DUMMYFUNCTION("""COMPUTED_VALUE"""),"HEAVY TRUCK")</f>
        <v>HEAVY TRUCK</v>
      </c>
      <c r="H2692" s="5" t="str">
        <f>IFERROR(__xludf.DUMMYFUNCTION("""COMPUTED_VALUE"""),"170HP")</f>
        <v>170HP</v>
      </c>
      <c r="I2692" s="5" t="str">
        <f>IFERROR(__xludf.DUMMYFUNCTION("""COMPUTED_VALUE"""),"KMFLA19RPXC008358")</f>
        <v>KMFLA19RPXC008358</v>
      </c>
      <c r="J2692" s="5" t="str">
        <f>IFERROR(__xludf.DUMMYFUNCTION("""COMPUTED_VALUE"""),"D6BRX025565")</f>
        <v>D6BRX025565</v>
      </c>
      <c r="K2692" s="5"/>
      <c r="L2692" s="5" t="str">
        <f>IFERROR(__xludf.DUMMYFUNCTION("""COMPUTED_VALUE"""),"-")</f>
        <v>-</v>
      </c>
    </row>
    <row r="2693">
      <c r="A2693" s="5" t="str">
        <f>IFERROR(__xludf.DUMMYFUNCTION("""COMPUTED_VALUE"""),"TNL-XTA-044")</f>
        <v>TNL-XTA-044</v>
      </c>
      <c r="B2693" s="3" t="str">
        <f>IFERROR(__xludf.DUMMYFUNCTION("""COMPUTED_VALUE"""),"Xe ben 5 tấn")</f>
        <v>Xe ben 5 tấn</v>
      </c>
      <c r="C2693" s="5" t="str">
        <f>IFERROR(__xludf.DUMMYFUNCTION("""COMPUTED_VALUE"""),"CGTC LP")</f>
        <v>CGTC LP</v>
      </c>
      <c r="D2693" s="5" t="str">
        <f>IFERROR(__xludf.DUMMYFUNCTION("""COMPUTED_VALUE"""),"HYUNDAI")</f>
        <v>HYUNDAI</v>
      </c>
      <c r="E2693" s="5" t="str">
        <f>IFERROR(__xludf.DUMMYFUNCTION("""COMPUTED_VALUE"""),"HÀN QUỐC")</f>
        <v>HÀN QUỐC</v>
      </c>
      <c r="F2693" s="5">
        <f>IFERROR(__xludf.DUMMYFUNCTION("""COMPUTED_VALUE"""),2004.0)</f>
        <v>2004</v>
      </c>
      <c r="G2693" s="5" t="str">
        <f>IFERROR(__xludf.DUMMYFUNCTION("""COMPUTED_VALUE"""),"HEAVY TRUCK")</f>
        <v>HEAVY TRUCK</v>
      </c>
      <c r="H2693" s="5" t="str">
        <f>IFERROR(__xludf.DUMMYFUNCTION("""COMPUTED_VALUE"""),"170HP")</f>
        <v>170HP</v>
      </c>
      <c r="I2693" s="5" t="str">
        <f>IFERROR(__xludf.DUMMYFUNCTION("""COMPUTED_VALUE"""),"KMFLA18AP4C048950")</f>
        <v>KMFLA18AP4C048950</v>
      </c>
      <c r="J2693" s="5" t="str">
        <f>IFERROR(__xludf.DUMMYFUNCTION("""COMPUTED_VALUE"""),"D6DA4223832")</f>
        <v>D6DA4223832</v>
      </c>
      <c r="K2693" s="5"/>
      <c r="L2693" s="5" t="str">
        <f>IFERROR(__xludf.DUMMYFUNCTION("""COMPUTED_VALUE"""),"-")</f>
        <v>-</v>
      </c>
    </row>
    <row r="2694">
      <c r="A2694" s="5" t="str">
        <f>IFERROR(__xludf.DUMMYFUNCTION("""COMPUTED_VALUE"""),"TNL-XTA-045")</f>
        <v>TNL-XTA-045</v>
      </c>
      <c r="B2694" s="3" t="str">
        <f>IFERROR(__xludf.DUMMYFUNCTION("""COMPUTED_VALUE"""),"Xe ben 5 tấn")</f>
        <v>Xe ben 5 tấn</v>
      </c>
      <c r="C2694" s="5" t="str">
        <f>IFERROR(__xludf.DUMMYFUNCTION("""COMPUTED_VALUE"""),"CGTC LP")</f>
        <v>CGTC LP</v>
      </c>
      <c r="D2694" s="5" t="str">
        <f>IFERROR(__xludf.DUMMYFUNCTION("""COMPUTED_VALUE"""),"NISSAN")</f>
        <v>NISSAN</v>
      </c>
      <c r="E2694" s="5"/>
      <c r="F2694" s="5">
        <f>IFERROR(__xludf.DUMMYFUNCTION("""COMPUTED_VALUE"""),1995.0)</f>
        <v>1995</v>
      </c>
      <c r="G2694" s="5"/>
      <c r="H2694" s="5" t="str">
        <f>IFERROR(__xludf.DUMMYFUNCTION("""COMPUTED_VALUE"""),"220HP")</f>
        <v>220HP</v>
      </c>
      <c r="I2694" s="5" t="str">
        <f>IFERROR(__xludf.DUMMYFUNCTION("""COMPUTED_VALUE"""),"NIL")</f>
        <v>NIL</v>
      </c>
      <c r="J2694" s="5" t="str">
        <f>IFERROR(__xludf.DUMMYFUNCTION("""COMPUTED_VALUE"""),"FE6103816E")</f>
        <v>FE6103816E</v>
      </c>
      <c r="K2694" s="5">
        <f>IFERROR(__xludf.DUMMYFUNCTION("""COMPUTED_VALUE"""),4.5)</f>
        <v>4.5</v>
      </c>
      <c r="L2694" s="5" t="str">
        <f>IFERROR(__xludf.DUMMYFUNCTION("""COMPUTED_VALUE"""),"-")</f>
        <v>-</v>
      </c>
    </row>
    <row r="2695">
      <c r="A2695" s="5" t="str">
        <f>IFERROR(__xludf.DUMMYFUNCTION("""COMPUTED_VALUE"""),"TNL-XTA-046")</f>
        <v>TNL-XTA-046</v>
      </c>
      <c r="B2695" s="3" t="str">
        <f>IFERROR(__xludf.DUMMYFUNCTION("""COMPUTED_VALUE"""),"Xe ben 5 tấn")</f>
        <v>Xe ben 5 tấn</v>
      </c>
      <c r="C2695" s="5" t="str">
        <f>IFERROR(__xludf.DUMMYFUNCTION("""COMPUTED_VALUE"""),"CGTC LP")</f>
        <v>CGTC LP</v>
      </c>
      <c r="D2695" s="5" t="str">
        <f>IFERROR(__xludf.DUMMYFUNCTION("""COMPUTED_VALUE"""),"HYUNDAI")</f>
        <v>HYUNDAI</v>
      </c>
      <c r="E2695" s="5"/>
      <c r="F2695" s="5">
        <f>IFERROR(__xludf.DUMMYFUNCTION("""COMPUTED_VALUE"""),1995.0)</f>
        <v>1995</v>
      </c>
      <c r="G2695" s="5"/>
      <c r="H2695" s="5" t="str">
        <f>IFERROR(__xludf.DUMMYFUNCTION("""COMPUTED_VALUE"""),"170HP")</f>
        <v>170HP</v>
      </c>
      <c r="I2695" s="5" t="str">
        <f>IFERROR(__xludf.DUMMYFUNCTION("""COMPUTED_VALUE"""),"KMFLA17JPSV022237")</f>
        <v>KMFLA17JPSV022237</v>
      </c>
      <c r="J2695" s="5" t="str">
        <f>IFERROR(__xludf.DUMMYFUNCTION("""COMPUTED_VALUE"""),"D6BJR130988")</f>
        <v>D6BJR130988</v>
      </c>
      <c r="K2695" s="5">
        <f>IFERROR(__xludf.DUMMYFUNCTION("""COMPUTED_VALUE"""),4.0)</f>
        <v>4</v>
      </c>
      <c r="L2695" s="5" t="str">
        <f>IFERROR(__xludf.DUMMYFUNCTION("""COMPUTED_VALUE"""),"-")</f>
        <v>-</v>
      </c>
    </row>
    <row r="2696">
      <c r="A2696" s="5" t="str">
        <f>IFERROR(__xludf.DUMMYFUNCTION("""COMPUTED_VALUE"""),"TNL-XTA-047")</f>
        <v>TNL-XTA-047</v>
      </c>
      <c r="B2696" s="3" t="str">
        <f>IFERROR(__xludf.DUMMYFUNCTION("""COMPUTED_VALUE"""),"Xe ben 5 tấn")</f>
        <v>Xe ben 5 tấn</v>
      </c>
      <c r="C2696" s="5" t="str">
        <f>IFERROR(__xludf.DUMMYFUNCTION("""COMPUTED_VALUE"""),"CGTC LP")</f>
        <v>CGTC LP</v>
      </c>
      <c r="D2696" s="5" t="str">
        <f>IFERROR(__xludf.DUMMYFUNCTION("""COMPUTED_VALUE"""),"HYUNDAI")</f>
        <v>HYUNDAI</v>
      </c>
      <c r="E2696" s="5"/>
      <c r="F2696" s="5">
        <f>IFERROR(__xludf.DUMMYFUNCTION("""COMPUTED_VALUE"""),2003.0)</f>
        <v>2003</v>
      </c>
      <c r="G2696" s="5"/>
      <c r="H2696" s="5" t="str">
        <f>IFERROR(__xludf.DUMMYFUNCTION("""COMPUTED_VALUE"""),"165HP")</f>
        <v>165HP</v>
      </c>
      <c r="I2696" s="5" t="str">
        <f>IFERROR(__xludf.DUMMYFUNCTION("""COMPUTED_VALUE"""),"KMFLA18AP3C043483")</f>
        <v>KMFLA18AP3C043483</v>
      </c>
      <c r="J2696" s="5" t="str">
        <f>IFERROR(__xludf.DUMMYFUNCTION("""COMPUTED_VALUE"""),"D6DA3219693")</f>
        <v>D6DA3219693</v>
      </c>
      <c r="K2696" s="5">
        <f>IFERROR(__xludf.DUMMYFUNCTION("""COMPUTED_VALUE"""),4.0)</f>
        <v>4</v>
      </c>
      <c r="L2696" s="5" t="str">
        <f>IFERROR(__xludf.DUMMYFUNCTION("""COMPUTED_VALUE"""),"-")</f>
        <v>-</v>
      </c>
    </row>
    <row r="2697">
      <c r="A2697" s="5" t="str">
        <f>IFERROR(__xludf.DUMMYFUNCTION("""COMPUTED_VALUE"""),"TNL-XTA-048")</f>
        <v>TNL-XTA-048</v>
      </c>
      <c r="B2697" s="3" t="str">
        <f>IFERROR(__xludf.DUMMYFUNCTION("""COMPUTED_VALUE"""),"Xe ben 5 tấn")</f>
        <v>Xe ben 5 tấn</v>
      </c>
      <c r="C2697" s="5" t="str">
        <f>IFERROR(__xludf.DUMMYFUNCTION("""COMPUTED_VALUE"""),"CGTC LP")</f>
        <v>CGTC LP</v>
      </c>
      <c r="D2697" s="5" t="str">
        <f>IFERROR(__xludf.DUMMYFUNCTION("""COMPUTED_VALUE"""),"HYUNDAI")</f>
        <v>HYUNDAI</v>
      </c>
      <c r="E2697" s="5"/>
      <c r="F2697" s="5">
        <f>IFERROR(__xludf.DUMMYFUNCTION("""COMPUTED_VALUE"""),1997.0)</f>
        <v>1997</v>
      </c>
      <c r="G2697" s="5"/>
      <c r="H2697" s="5" t="str">
        <f>IFERROR(__xludf.DUMMYFUNCTION("""COMPUTED_VALUE"""),"188HP")</f>
        <v>188HP</v>
      </c>
      <c r="I2697" s="5" t="str">
        <f>IFERROR(__xludf.DUMMYFUNCTION("""COMPUTED_VALUE"""),"KMFLA19RPVC112090")</f>
        <v>KMFLA19RPVC112090</v>
      </c>
      <c r="J2697" s="5" t="str">
        <f>IFERROR(__xludf.DUMMYFUNCTION("""COMPUTED_VALUE"""),"D6BRR120408")</f>
        <v>D6BRR120408</v>
      </c>
      <c r="K2697" s="5">
        <f>IFERROR(__xludf.DUMMYFUNCTION("""COMPUTED_VALUE"""),4.0)</f>
        <v>4</v>
      </c>
      <c r="L2697" s="5" t="str">
        <f>IFERROR(__xludf.DUMMYFUNCTION("""COMPUTED_VALUE"""),"-")</f>
        <v>-</v>
      </c>
    </row>
    <row r="2698">
      <c r="A2698" s="5" t="str">
        <f>IFERROR(__xludf.DUMMYFUNCTION("""COMPUTED_VALUE"""),"TNL-XTA-049")</f>
        <v>TNL-XTA-049</v>
      </c>
      <c r="B2698" s="3" t="str">
        <f>IFERROR(__xludf.DUMMYFUNCTION("""COMPUTED_VALUE"""),"Xe ben 25 tấn")</f>
        <v>Xe ben 25 tấn</v>
      </c>
      <c r="C2698" s="5" t="str">
        <f>IFERROR(__xludf.DUMMYFUNCTION("""COMPUTED_VALUE"""),"CGTC LP")</f>
        <v>CGTC LP</v>
      </c>
      <c r="D2698" s="5" t="str">
        <f>IFERROR(__xludf.DUMMYFUNCTION("""COMPUTED_VALUE"""),"SCANIA")</f>
        <v>SCANIA</v>
      </c>
      <c r="E2698" s="5"/>
      <c r="F2698" s="5">
        <f>IFERROR(__xludf.DUMMYFUNCTION("""COMPUTED_VALUE"""),2004.0)</f>
        <v>2004</v>
      </c>
      <c r="G2698" s="5" t="str">
        <f>IFERROR(__xludf.DUMMYFUNCTION("""COMPUTED_VALUE"""),"DUMPTRUCK")</f>
        <v>DUMPTRUCK</v>
      </c>
      <c r="H2698" s="5" t="str">
        <f>IFERROR(__xludf.DUMMYFUNCTION("""COMPUTED_VALUE"""),"380HP")</f>
        <v>380HP</v>
      </c>
      <c r="I2698" s="5" t="str">
        <f>IFERROR(__xludf.DUMMYFUNCTION("""COMPUTED_VALUE"""),"9BS3P8X40043544728")</f>
        <v>9BS3P8X40043544728</v>
      </c>
      <c r="J2698" s="5" t="str">
        <f>IFERROR(__xludf.DUMMYFUNCTION("""COMPUTED_VALUE"""),"25045")</f>
        <v>25045</v>
      </c>
      <c r="K2698" s="5">
        <f>IFERROR(__xludf.DUMMYFUNCTION("""COMPUTED_VALUE"""),8.3)</f>
        <v>8.3</v>
      </c>
      <c r="L2698" s="5" t="str">
        <f>IFERROR(__xludf.DUMMYFUNCTION("""COMPUTED_VALUE"""),"-")</f>
        <v>-</v>
      </c>
    </row>
    <row r="2699">
      <c r="A2699" s="5" t="str">
        <f>IFERROR(__xludf.DUMMYFUNCTION("""COMPUTED_VALUE"""),"TNL-XTA-050")</f>
        <v>TNL-XTA-050</v>
      </c>
      <c r="B2699" s="3" t="str">
        <f>IFERROR(__xludf.DUMMYFUNCTION("""COMPUTED_VALUE"""),"Xe ben 25 tấn")</f>
        <v>Xe ben 25 tấn</v>
      </c>
      <c r="C2699" s="5" t="str">
        <f>IFERROR(__xludf.DUMMYFUNCTION("""COMPUTED_VALUE"""),"CGTC LP")</f>
        <v>CGTC LP</v>
      </c>
      <c r="D2699" s="5" t="str">
        <f>IFERROR(__xludf.DUMMYFUNCTION("""COMPUTED_VALUE"""),"HYUNDAI")</f>
        <v>HYUNDAI</v>
      </c>
      <c r="E2699" s="5"/>
      <c r="F2699" s="5">
        <f>IFERROR(__xludf.DUMMYFUNCTION("""COMPUTED_VALUE"""),2007.0)</f>
        <v>2007</v>
      </c>
      <c r="G2699" s="5"/>
      <c r="H2699" s="5" t="str">
        <f>IFERROR(__xludf.DUMMYFUNCTION("""COMPUTED_VALUE"""),"380HP")</f>
        <v>380HP</v>
      </c>
      <c r="I2699" s="5" t="str">
        <f>IFERROR(__xludf.DUMMYFUNCTION("""COMPUTED_VALUE"""),"KMCRB18TP7C018017")</f>
        <v>KMCRB18TP7C018017</v>
      </c>
      <c r="J2699" s="5" t="str">
        <f>IFERROR(__xludf.DUMMYFUNCTION("""COMPUTED_VALUE"""),"D6CBAR07592")</f>
        <v>D6CBAR07592</v>
      </c>
      <c r="K2699" s="5">
        <f>IFERROR(__xludf.DUMMYFUNCTION("""COMPUTED_VALUE"""),8.3)</f>
        <v>8.3</v>
      </c>
      <c r="L2699" s="5" t="str">
        <f>IFERROR(__xludf.DUMMYFUNCTION("""COMPUTED_VALUE"""),"-")</f>
        <v>-</v>
      </c>
    </row>
    <row r="2700">
      <c r="A2700" s="5" t="str">
        <f>IFERROR(__xludf.DUMMYFUNCTION("""COMPUTED_VALUE"""),"TNL-XTA-051")</f>
        <v>TNL-XTA-051</v>
      </c>
      <c r="B2700" s="3" t="str">
        <f>IFERROR(__xludf.DUMMYFUNCTION("""COMPUTED_VALUE"""),"Xe ben 25 tấn")</f>
        <v>Xe ben 25 tấn</v>
      </c>
      <c r="C2700" s="5" t="str">
        <f>IFERROR(__xludf.DUMMYFUNCTION("""COMPUTED_VALUE"""),"CGTC LP")</f>
        <v>CGTC LP</v>
      </c>
      <c r="D2700" s="5" t="str">
        <f>IFERROR(__xludf.DUMMYFUNCTION("""COMPUTED_VALUE"""),"SCANIA")</f>
        <v>SCANIA</v>
      </c>
      <c r="E2700" s="5"/>
      <c r="F2700" s="5">
        <f>IFERROR(__xludf.DUMMYFUNCTION("""COMPUTED_VALUE"""),2003.0)</f>
        <v>2003</v>
      </c>
      <c r="G2700" s="5" t="str">
        <f>IFERROR(__xludf.DUMMYFUNCTION("""COMPUTED_VALUE"""),"DUMTRUCK")</f>
        <v>DUMTRUCK</v>
      </c>
      <c r="H2700" s="5" t="str">
        <f>IFERROR(__xludf.DUMMYFUNCTION("""COMPUTED_VALUE"""),"380HP")</f>
        <v>380HP</v>
      </c>
      <c r="I2700" s="5" t="str">
        <f>IFERROR(__xludf.DUMMYFUNCTION("""COMPUTED_VALUE"""),"XLEP8X40034491376")</f>
        <v>XLEP8X40034491376</v>
      </c>
      <c r="J2700" s="5" t="str">
        <f>IFERROR(__xludf.DUMMYFUNCTION("""COMPUTED_VALUE"""),"DC1104L016190300")</f>
        <v>DC1104L016190300</v>
      </c>
      <c r="K2700" s="5">
        <f>IFERROR(__xludf.DUMMYFUNCTION("""COMPUTED_VALUE"""),8.3)</f>
        <v>8.3</v>
      </c>
      <c r="L2700" s="5" t="str">
        <f>IFERROR(__xludf.DUMMYFUNCTION("""COMPUTED_VALUE"""),"-")</f>
        <v>-</v>
      </c>
    </row>
    <row r="2701">
      <c r="A2701" s="5" t="str">
        <f>IFERROR(__xludf.DUMMYFUNCTION("""COMPUTED_VALUE"""),"TNL-XTA-052")</f>
        <v>TNL-XTA-052</v>
      </c>
      <c r="B2701" s="3" t="str">
        <f>IFERROR(__xludf.DUMMYFUNCTION("""COMPUTED_VALUE"""),"Xe ben 5 tấn")</f>
        <v>Xe ben 5 tấn</v>
      </c>
      <c r="C2701" s="5" t="str">
        <f>IFERROR(__xludf.DUMMYFUNCTION("""COMPUTED_VALUE"""),"CGTC LP")</f>
        <v>CGTC LP</v>
      </c>
      <c r="D2701" s="5" t="str">
        <f>IFERROR(__xludf.DUMMYFUNCTION("""COMPUTED_VALUE"""),"HYUNDAI")</f>
        <v>HYUNDAI</v>
      </c>
      <c r="E2701" s="5"/>
      <c r="F2701" s="5">
        <f>IFERROR(__xludf.DUMMYFUNCTION("""COMPUTED_VALUE"""),1996.0)</f>
        <v>1996</v>
      </c>
      <c r="G2701" s="5" t="str">
        <f>IFERROR(__xludf.DUMMYFUNCTION("""COMPUTED_VALUE"""),"DUMTRUCK")</f>
        <v>DUMTRUCK</v>
      </c>
      <c r="H2701" s="5" t="str">
        <f>IFERROR(__xludf.DUMMYFUNCTION("""COMPUTED_VALUE"""),"170HP")</f>
        <v>170HP</v>
      </c>
      <c r="I2701" s="5" t="str">
        <f>IFERROR(__xludf.DUMMYFUNCTION("""COMPUTED_VALUE"""),"KMFLA19JPTC102764")</f>
        <v>KMFLA19JPTC102764</v>
      </c>
      <c r="J2701" s="5" t="str">
        <f>IFERROR(__xludf.DUMMYFUNCTION("""COMPUTED_VALUE"""),"D6BJR129681")</f>
        <v>D6BJR129681</v>
      </c>
      <c r="K2701" s="5">
        <f>IFERROR(__xludf.DUMMYFUNCTION("""COMPUTED_VALUE"""),4.8)</f>
        <v>4.8</v>
      </c>
      <c r="L2701" s="5" t="str">
        <f>IFERROR(__xludf.DUMMYFUNCTION("""COMPUTED_VALUE"""),"-")</f>
        <v>-</v>
      </c>
    </row>
    <row r="2702">
      <c r="A2702" s="5" t="str">
        <f>IFERROR(__xludf.DUMMYFUNCTION("""COMPUTED_VALUE"""),"TNL-XTA-053")</f>
        <v>TNL-XTA-053</v>
      </c>
      <c r="B2702" s="3" t="str">
        <f>IFERROR(__xludf.DUMMYFUNCTION("""COMPUTED_VALUE"""),"Xe ben 5 tấn")</f>
        <v>Xe ben 5 tấn</v>
      </c>
      <c r="C2702" s="5" t="str">
        <f>IFERROR(__xludf.DUMMYFUNCTION("""COMPUTED_VALUE"""),"CGTC LP")</f>
        <v>CGTC LP</v>
      </c>
      <c r="D2702" s="5" t="str">
        <f>IFERROR(__xludf.DUMMYFUNCTION("""COMPUTED_VALUE"""),"HYUNDAI")</f>
        <v>HYUNDAI</v>
      </c>
      <c r="E2702" s="5"/>
      <c r="F2702" s="5">
        <f>IFERROR(__xludf.DUMMYFUNCTION("""COMPUTED_VALUE"""),2000.0)</f>
        <v>2000</v>
      </c>
      <c r="G2702" s="5" t="str">
        <f>IFERROR(__xludf.DUMMYFUNCTION("""COMPUTED_VALUE"""),"DUMTRUCK")</f>
        <v>DUMTRUCK</v>
      </c>
      <c r="H2702" s="5" t="str">
        <f>IFERROR(__xludf.DUMMYFUNCTION("""COMPUTED_VALUE"""),"181HP")</f>
        <v>181HP</v>
      </c>
      <c r="I2702" s="5" t="str">
        <f>IFERROR(__xludf.DUMMYFUNCTION("""COMPUTED_VALUE"""),"KMFLA19RPYC015143")</f>
        <v>KMFLA19RPYC015143</v>
      </c>
      <c r="J2702" s="5" t="str">
        <f>IFERROR(__xludf.DUMMYFUNCTION("""COMPUTED_VALUE"""),"D6BRY034483")</f>
        <v>D6BRY034483</v>
      </c>
      <c r="K2702" s="5">
        <f>IFERROR(__xludf.DUMMYFUNCTION("""COMPUTED_VALUE"""),4.8)</f>
        <v>4.8</v>
      </c>
      <c r="L2702" s="5" t="str">
        <f>IFERROR(__xludf.DUMMYFUNCTION("""COMPUTED_VALUE"""),"-")</f>
        <v>-</v>
      </c>
    </row>
    <row r="2703">
      <c r="A2703" s="5" t="str">
        <f>IFERROR(__xludf.DUMMYFUNCTION("""COMPUTED_VALUE"""),"TNL-XTA-054")</f>
        <v>TNL-XTA-054</v>
      </c>
      <c r="B2703" s="3" t="str">
        <f>IFERROR(__xludf.DUMMYFUNCTION("""COMPUTED_VALUE"""),"Xe ben 5 tấn")</f>
        <v>Xe ben 5 tấn</v>
      </c>
      <c r="C2703" s="5" t="str">
        <f>IFERROR(__xludf.DUMMYFUNCTION("""COMPUTED_VALUE"""),"CGTC LP")</f>
        <v>CGTC LP</v>
      </c>
      <c r="D2703" s="5" t="str">
        <f>IFERROR(__xludf.DUMMYFUNCTION("""COMPUTED_VALUE"""),"HYUNDAI")</f>
        <v>HYUNDAI</v>
      </c>
      <c r="E2703" s="5"/>
      <c r="F2703" s="5">
        <f>IFERROR(__xludf.DUMMYFUNCTION("""COMPUTED_VALUE"""),2000.0)</f>
        <v>2000</v>
      </c>
      <c r="G2703" s="5" t="str">
        <f>IFERROR(__xludf.DUMMYFUNCTION("""COMPUTED_VALUE"""),"DUMTRUCK")</f>
        <v>DUMTRUCK</v>
      </c>
      <c r="H2703" s="5" t="str">
        <f>IFERROR(__xludf.DUMMYFUNCTION("""COMPUTED_VALUE"""),"170HP")</f>
        <v>170HP</v>
      </c>
      <c r="I2703" s="5" t="str">
        <f>IFERROR(__xludf.DUMMYFUNCTION("""COMPUTED_VALUE"""),"KMFLA19RPYC009230")</f>
        <v>KMFLA19RPYC009230</v>
      </c>
      <c r="J2703" s="5" t="str">
        <f>IFERROR(__xludf.DUMMYFUNCTION("""COMPUTED_VALUE"""),"D6BRX027225")</f>
        <v>D6BRX027225</v>
      </c>
      <c r="K2703" s="5">
        <f>IFERROR(__xludf.DUMMYFUNCTION("""COMPUTED_VALUE"""),4.8)</f>
        <v>4.8</v>
      </c>
      <c r="L2703" s="5" t="str">
        <f>IFERROR(__xludf.DUMMYFUNCTION("""COMPUTED_VALUE"""),"-")</f>
        <v>-</v>
      </c>
    </row>
    <row r="2704">
      <c r="A2704" s="5" t="str">
        <f>IFERROR(__xludf.DUMMYFUNCTION("""COMPUTED_VALUE"""),"TNL-XTA-055")</f>
        <v>TNL-XTA-055</v>
      </c>
      <c r="B2704" s="3" t="str">
        <f>IFERROR(__xludf.DUMMYFUNCTION("""COMPUTED_VALUE"""),"Xe ben 15 tấn")</f>
        <v>Xe ben 15 tấn</v>
      </c>
      <c r="C2704" s="5" t="str">
        <f>IFERROR(__xludf.DUMMYFUNCTION("""COMPUTED_VALUE"""),"CGTC LP")</f>
        <v>CGTC LP</v>
      </c>
      <c r="D2704" s="5" t="str">
        <f>IFERROR(__xludf.DUMMYFUNCTION("""COMPUTED_VALUE"""),"HYUNDAI")</f>
        <v>HYUNDAI</v>
      </c>
      <c r="E2704" s="5"/>
      <c r="F2704" s="5"/>
      <c r="G2704" s="5"/>
      <c r="H2704" s="5" t="str">
        <f>IFERROR(__xludf.DUMMYFUNCTION("""COMPUTED_VALUE"""),"320HP")</f>
        <v>320HP</v>
      </c>
      <c r="I2704" s="5" t="str">
        <f>IFERROR(__xludf.DUMMYFUNCTION("""COMPUTED_VALUE"""),"KMCDB19YPKU003402")</f>
        <v>KMCDB19YPKU003402</v>
      </c>
      <c r="J2704" s="5" t="str">
        <f>IFERROR(__xludf.DUMMYFUNCTION("""COMPUTED_VALUE"""),"D8AYK034989")</f>
        <v>D8AYK034989</v>
      </c>
      <c r="K2704" s="5">
        <f>IFERROR(__xludf.DUMMYFUNCTION("""COMPUTED_VALUE"""),6.5)</f>
        <v>6.5</v>
      </c>
      <c r="L2704" s="5" t="str">
        <f>IFERROR(__xludf.DUMMYFUNCTION("""COMPUTED_VALUE"""),"-")</f>
        <v>-</v>
      </c>
    </row>
    <row r="2705">
      <c r="A2705" s="5" t="str">
        <f>IFERROR(__xludf.DUMMYFUNCTION("""COMPUTED_VALUE"""),"TNL-XTA-056")</f>
        <v>TNL-XTA-056</v>
      </c>
      <c r="B2705" s="3" t="str">
        <f>IFERROR(__xludf.DUMMYFUNCTION("""COMPUTED_VALUE"""),"Xe ben 15 tấn")</f>
        <v>Xe ben 15 tấn</v>
      </c>
      <c r="C2705" s="5" t="str">
        <f>IFERROR(__xludf.DUMMYFUNCTION("""COMPUTED_VALUE"""),"CGTC LP")</f>
        <v>CGTC LP</v>
      </c>
      <c r="D2705" s="5" t="str">
        <f>IFERROR(__xludf.DUMMYFUNCTION("""COMPUTED_VALUE"""),"HYUNDAI")</f>
        <v>HYUNDAI</v>
      </c>
      <c r="E2705" s="5"/>
      <c r="F2705" s="5"/>
      <c r="G2705" s="5"/>
      <c r="H2705" s="5" t="str">
        <f>IFERROR(__xludf.DUMMYFUNCTION("""COMPUTED_VALUE"""),"320HP")</f>
        <v>320HP</v>
      </c>
      <c r="I2705" s="5" t="str">
        <f>IFERROR(__xludf.DUMMYFUNCTION("""COMPUTED_VALUE"""),"KMCDB19YPNU013433")</f>
        <v>KMCDB19YPNU013433</v>
      </c>
      <c r="J2705" s="5" t="str">
        <f>IFERROR(__xludf.DUMMYFUNCTION("""COMPUTED_VALUE"""),"D8AYN079826")</f>
        <v>D8AYN079826</v>
      </c>
      <c r="K2705" s="5">
        <f>IFERROR(__xludf.DUMMYFUNCTION("""COMPUTED_VALUE"""),6.5)</f>
        <v>6.5</v>
      </c>
      <c r="L2705" s="5" t="str">
        <f>IFERROR(__xludf.DUMMYFUNCTION("""COMPUTED_VALUE"""),"-")</f>
        <v>-</v>
      </c>
    </row>
    <row r="2706">
      <c r="A2706" s="5" t="str">
        <f>IFERROR(__xludf.DUMMYFUNCTION("""COMPUTED_VALUE"""),"TNL-XTA-057")</f>
        <v>TNL-XTA-057</v>
      </c>
      <c r="B2706" s="3" t="str">
        <f>IFERROR(__xludf.DUMMYFUNCTION("""COMPUTED_VALUE"""),"Xe ben 25 tấn")</f>
        <v>Xe ben 25 tấn</v>
      </c>
      <c r="C2706" s="5" t="str">
        <f>IFERROR(__xludf.DUMMYFUNCTION("""COMPUTED_VALUE"""),"CGTC LP")</f>
        <v>CGTC LP</v>
      </c>
      <c r="D2706" s="5" t="str">
        <f>IFERROR(__xludf.DUMMYFUNCTION("""COMPUTED_VALUE"""),"SCANIA")</f>
        <v>SCANIA</v>
      </c>
      <c r="E2706" s="5"/>
      <c r="F2706" s="5">
        <f>IFERROR(__xludf.DUMMYFUNCTION("""COMPUTED_VALUE"""),2004.0)</f>
        <v>2004</v>
      </c>
      <c r="G2706" s="5" t="str">
        <f>IFERROR(__xludf.DUMMYFUNCTION("""COMPUTED_VALUE"""),"DUMPTRUCK")</f>
        <v>DUMPTRUCK</v>
      </c>
      <c r="H2706" s="5" t="str">
        <f>IFERROR(__xludf.DUMMYFUNCTION("""COMPUTED_VALUE"""),"380HP")</f>
        <v>380HP</v>
      </c>
      <c r="I2706" s="5" t="str">
        <f>IFERROR(__xludf.DUMMYFUNCTION("""COMPUTED_VALUE"""),"9BSP8X40043549115")</f>
        <v>9BSP8X40043549115</v>
      </c>
      <c r="J2706" s="5" t="str">
        <f>IFERROR(__xludf.DUMMYFUNCTION("""COMPUTED_VALUE"""),"DC1104L018029370")</f>
        <v>DC1104L018029370</v>
      </c>
      <c r="K2706" s="5">
        <f>IFERROR(__xludf.DUMMYFUNCTION("""COMPUTED_VALUE"""),7.75)</f>
        <v>7.75</v>
      </c>
      <c r="L2706" s="5" t="str">
        <f>IFERROR(__xludf.DUMMYFUNCTION("""COMPUTED_VALUE"""),"Đang thuê")</f>
        <v>Đang thuê</v>
      </c>
    </row>
    <row r="2707">
      <c r="A2707" s="5" t="str">
        <f>IFERROR(__xludf.DUMMYFUNCTION("""COMPUTED_VALUE"""),"TNL-XTA-058")</f>
        <v>TNL-XTA-058</v>
      </c>
      <c r="B2707" s="3" t="str">
        <f>IFERROR(__xludf.DUMMYFUNCTION("""COMPUTED_VALUE"""),"Xe ben 10 tấn")</f>
        <v>Xe ben 10 tấn</v>
      </c>
      <c r="C2707" s="5" t="str">
        <f>IFERROR(__xludf.DUMMYFUNCTION("""COMPUTED_VALUE"""),"CGTC LP")</f>
        <v>CGTC LP</v>
      </c>
      <c r="D2707" s="5" t="str">
        <f>IFERROR(__xludf.DUMMYFUNCTION("""COMPUTED_VALUE"""),"HUYNDAI")</f>
        <v>HUYNDAI</v>
      </c>
      <c r="E2707" s="5"/>
      <c r="F2707" s="5">
        <f>IFERROR(__xludf.DUMMYFUNCTION("""COMPUTED_VALUE"""),2001.0)</f>
        <v>2001</v>
      </c>
      <c r="G2707" s="5" t="str">
        <f>IFERROR(__xludf.DUMMYFUNCTION("""COMPUTED_VALUE"""),"HEAVY TRUCK")</f>
        <v>HEAVY TRUCK</v>
      </c>
      <c r="H2707" s="5" t="str">
        <f>IFERROR(__xludf.DUMMYFUNCTION("""COMPUTED_VALUE"""),"196HP")</f>
        <v>196HP</v>
      </c>
      <c r="I2707" s="5" t="str">
        <f>IFERROR(__xludf.DUMMYFUNCTION("""COMPUTED_VALUE"""),"KMFLA19APK020776")</f>
        <v>KMFLA19APK020776</v>
      </c>
      <c r="J2707" s="5" t="str">
        <f>IFERROR(__xludf.DUMMYFUNCTION("""COMPUTED_VALUE"""),"D6DA1201398")</f>
        <v>D6DA1201398</v>
      </c>
      <c r="K2707" s="5">
        <f>IFERROR(__xludf.DUMMYFUNCTION("""COMPUTED_VALUE"""),4.5)</f>
        <v>4.5</v>
      </c>
      <c r="L2707" s="5" t="str">
        <f>IFERROR(__xludf.DUMMYFUNCTION("""COMPUTED_VALUE"""),"-")</f>
        <v>-</v>
      </c>
    </row>
    <row r="2708">
      <c r="A2708" s="5" t="str">
        <f>IFERROR(__xludf.DUMMYFUNCTION("""COMPUTED_VALUE"""),"TNL-XTA-059")</f>
        <v>TNL-XTA-059</v>
      </c>
      <c r="B2708" s="3" t="str">
        <f>IFERROR(__xludf.DUMMYFUNCTION("""COMPUTED_VALUE"""),"Xe ben 5 tấn")</f>
        <v>Xe ben 5 tấn</v>
      </c>
      <c r="C2708" s="5" t="str">
        <f>IFERROR(__xludf.DUMMYFUNCTION("""COMPUTED_VALUE"""),"CGTC LP")</f>
        <v>CGTC LP</v>
      </c>
      <c r="D2708" s="5" t="str">
        <f>IFERROR(__xludf.DUMMYFUNCTION("""COMPUTED_VALUE"""),"NISSAN")</f>
        <v>NISSAN</v>
      </c>
      <c r="E2708" s="5"/>
      <c r="F2708" s="5"/>
      <c r="G2708" s="5"/>
      <c r="H2708" s="5"/>
      <c r="I2708" s="5" t="str">
        <f>IFERROR(__xludf.DUMMYFUNCTION("""COMPUTED_VALUE"""),"MK211E10842")</f>
        <v>MK211E10842</v>
      </c>
      <c r="J2708" s="5" t="str">
        <f>IFERROR(__xludf.DUMMYFUNCTION("""COMPUTED_VALUE"""),"DE6118197E")</f>
        <v>DE6118197E</v>
      </c>
      <c r="K2708" s="5">
        <f>IFERROR(__xludf.DUMMYFUNCTION("""COMPUTED_VALUE"""),4.5)</f>
        <v>4.5</v>
      </c>
      <c r="L2708" s="5" t="str">
        <f>IFERROR(__xludf.DUMMYFUNCTION("""COMPUTED_VALUE"""),"Đang thuê")</f>
        <v>Đang thuê</v>
      </c>
    </row>
    <row r="2709">
      <c r="A2709" s="5" t="str">
        <f>IFERROR(__xludf.DUMMYFUNCTION("""COMPUTED_VALUE"""),"TNL-XTA-060")</f>
        <v>TNL-XTA-060</v>
      </c>
      <c r="B2709" s="3" t="str">
        <f>IFERROR(__xludf.DUMMYFUNCTION("""COMPUTED_VALUE"""),"Xe ben 10 tấn")</f>
        <v>Xe ben 10 tấn</v>
      </c>
      <c r="C2709" s="5" t="str">
        <f>IFERROR(__xludf.DUMMYFUNCTION("""COMPUTED_VALUE"""),"CGTC LP")</f>
        <v>CGTC LP</v>
      </c>
      <c r="D2709" s="5" t="str">
        <f>IFERROR(__xludf.DUMMYFUNCTION("""COMPUTED_VALUE"""),"HYUNDAI")</f>
        <v>HYUNDAI</v>
      </c>
      <c r="E2709" s="5"/>
      <c r="F2709" s="5">
        <f>IFERROR(__xludf.DUMMYFUNCTION("""COMPUTED_VALUE"""),1996.0)</f>
        <v>1996</v>
      </c>
      <c r="G2709" s="5"/>
      <c r="H2709" s="5" t="str">
        <f>IFERROR(__xludf.DUMMYFUNCTION("""COMPUTED_VALUE"""),"320HP")</f>
        <v>320HP</v>
      </c>
      <c r="I2709" s="5" t="str">
        <f>IFERROR(__xludf.DUMMYFUNCTION("""COMPUTED_VALUE"""),"KMCDB18YPTC103584")</f>
        <v>KMCDB18YPTC103584</v>
      </c>
      <c r="J2709" s="5" t="str">
        <f>IFERROR(__xludf.DUMMYFUNCTION("""COMPUTED_VALUE"""),"D8AYT002467")</f>
        <v>D8AYT002467</v>
      </c>
      <c r="K2709" s="5">
        <f>IFERROR(__xludf.DUMMYFUNCTION("""COMPUTED_VALUE"""),8.0)</f>
        <v>8</v>
      </c>
      <c r="L2709" s="5" t="str">
        <f>IFERROR(__xludf.DUMMYFUNCTION("""COMPUTED_VALUE"""),"Đang thuê")</f>
        <v>Đang thuê</v>
      </c>
    </row>
    <row r="2710">
      <c r="A2710" s="5" t="str">
        <f>IFERROR(__xludf.DUMMYFUNCTION("""COMPUTED_VALUE"""),"TNL-XTA-061")</f>
        <v>TNL-XTA-061</v>
      </c>
      <c r="B2710" s="3" t="str">
        <f>IFERROR(__xludf.DUMMYFUNCTION("""COMPUTED_VALUE"""),"Xe ben 10 tấn")</f>
        <v>Xe ben 10 tấn</v>
      </c>
      <c r="C2710" s="5" t="str">
        <f>IFERROR(__xludf.DUMMYFUNCTION("""COMPUTED_VALUE"""),"CGTC LP")</f>
        <v>CGTC LP</v>
      </c>
      <c r="D2710" s="5" t="str">
        <f>IFERROR(__xludf.DUMMYFUNCTION("""COMPUTED_VALUE"""),"HYUNDAI")</f>
        <v>HYUNDAI</v>
      </c>
      <c r="E2710" s="5"/>
      <c r="F2710" s="5">
        <f>IFERROR(__xludf.DUMMYFUNCTION("""COMPUTED_VALUE"""),1999.0)</f>
        <v>1999</v>
      </c>
      <c r="G2710" s="5" t="str">
        <f>IFERROR(__xludf.DUMMYFUNCTION("""COMPUTED_VALUE"""),"DUMP TRUCK")</f>
        <v>DUMP TRUCK</v>
      </c>
      <c r="H2710" s="5" t="str">
        <f>IFERROR(__xludf.DUMMYFUNCTION("""COMPUTED_VALUE"""),"181HP")</f>
        <v>181HP</v>
      </c>
      <c r="I2710" s="5" t="str">
        <f>IFERROR(__xludf.DUMMYFUNCTION("""COMPUTED_VALUE"""),"KMFLA19RPXC007015")</f>
        <v>KMFLA19RPXC007015</v>
      </c>
      <c r="J2710" s="5" t="str">
        <f>IFERROR(__xludf.DUMMYFUNCTION("""COMPUTED_VALUE"""),"D6BRX024511")</f>
        <v>D6BRX024511</v>
      </c>
      <c r="K2710" s="5">
        <f>IFERROR(__xludf.DUMMYFUNCTION("""COMPUTED_VALUE"""),4.5)</f>
        <v>4.5</v>
      </c>
      <c r="L2710" s="5" t="str">
        <f>IFERROR(__xludf.DUMMYFUNCTION("""COMPUTED_VALUE"""),"-")</f>
        <v>-</v>
      </c>
    </row>
    <row r="2711">
      <c r="A2711" s="5" t="str">
        <f>IFERROR(__xludf.DUMMYFUNCTION("""COMPUTED_VALUE"""),"TNL-XTA-062")</f>
        <v>TNL-XTA-062</v>
      </c>
      <c r="B2711" s="3" t="str">
        <f>IFERROR(__xludf.DUMMYFUNCTION("""COMPUTED_VALUE"""),"Xe ben 25 tấn")</f>
        <v>Xe ben 25 tấn</v>
      </c>
      <c r="C2711" s="5" t="str">
        <f>IFERROR(__xludf.DUMMYFUNCTION("""COMPUTED_VALUE"""),"CGTC LP")</f>
        <v>CGTC LP</v>
      </c>
      <c r="D2711" s="5" t="str">
        <f>IFERROR(__xludf.DUMMYFUNCTION("""COMPUTED_VALUE"""),"SCANIA")</f>
        <v>SCANIA</v>
      </c>
      <c r="E2711" s="5"/>
      <c r="F2711" s="5">
        <f>IFERROR(__xludf.DUMMYFUNCTION("""COMPUTED_VALUE"""),2004.0)</f>
        <v>2004</v>
      </c>
      <c r="G2711" s="5" t="str">
        <f>IFERROR(__xludf.DUMMYFUNCTION("""COMPUTED_VALUE"""),"DUMP TRUCK")</f>
        <v>DUMP TRUCK</v>
      </c>
      <c r="H2711" s="5" t="str">
        <f>IFERROR(__xludf.DUMMYFUNCTION("""COMPUTED_VALUE"""),"380HP")</f>
        <v>380HP</v>
      </c>
      <c r="I2711" s="5" t="str">
        <f>IFERROR(__xludf.DUMMYFUNCTION("""COMPUTED_VALUE"""),"9BSP8X40043544728")</f>
        <v>9BSP8X40043544728</v>
      </c>
      <c r="J2711" s="5" t="str">
        <f>IFERROR(__xludf.DUMMYFUNCTION("""COMPUTED_VALUE"""),"DC1209L018025045")</f>
        <v>DC1209L018025045</v>
      </c>
      <c r="K2711" s="5">
        <f>IFERROR(__xludf.DUMMYFUNCTION("""COMPUTED_VALUE"""),6.0)</f>
        <v>6</v>
      </c>
      <c r="L2711" s="5" t="str">
        <f>IFERROR(__xludf.DUMMYFUNCTION("""COMPUTED_VALUE"""),"Đang thuê")</f>
        <v>Đang thuê</v>
      </c>
    </row>
    <row r="2712">
      <c r="A2712" s="5" t="str">
        <f>IFERROR(__xludf.DUMMYFUNCTION("""COMPUTED_VALUE"""),"TNL-XTA-063")</f>
        <v>TNL-XTA-063</v>
      </c>
      <c r="B2712" s="3" t="str">
        <f>IFERROR(__xludf.DUMMYFUNCTION("""COMPUTED_VALUE"""),"Xe ben 15 tấn")</f>
        <v>Xe ben 15 tấn</v>
      </c>
      <c r="C2712" s="5" t="str">
        <f>IFERROR(__xludf.DUMMYFUNCTION("""COMPUTED_VALUE"""),"CGTC LP")</f>
        <v>CGTC LP</v>
      </c>
      <c r="D2712" s="5" t="str">
        <f>IFERROR(__xludf.DUMMYFUNCTION("""COMPUTED_VALUE"""),"HYUNDAI")</f>
        <v>HYUNDAI</v>
      </c>
      <c r="E2712" s="5"/>
      <c r="F2712" s="5">
        <f>IFERROR(__xludf.DUMMYFUNCTION("""COMPUTED_VALUE"""),1996.0)</f>
        <v>1996</v>
      </c>
      <c r="G2712" s="5"/>
      <c r="H2712" s="5" t="str">
        <f>IFERROR(__xludf.DUMMYFUNCTION("""COMPUTED_VALUE"""),"350HP")</f>
        <v>350HP</v>
      </c>
      <c r="I2712" s="5" t="str">
        <f>IFERROR(__xludf.DUMMYFUNCTION("""COMPUTED_VALUE"""),"KMCDB1BYPTC102743")</f>
        <v>KMCDB1BYPTC102743</v>
      </c>
      <c r="J2712" s="5" t="str">
        <f>IFERROR(__xludf.DUMMYFUNCTION("""COMPUTED_VALUE"""),"NIL")</f>
        <v>NIL</v>
      </c>
      <c r="K2712" s="5">
        <f>IFERROR(__xludf.DUMMYFUNCTION("""COMPUTED_VALUE"""),9.0)</f>
        <v>9</v>
      </c>
      <c r="L2712" s="5" t="str">
        <f>IFERROR(__xludf.DUMMYFUNCTION("""COMPUTED_VALUE"""),"Đang thuê")</f>
        <v>Đang thuê</v>
      </c>
    </row>
    <row r="2713">
      <c r="A2713" s="5" t="str">
        <f>IFERROR(__xludf.DUMMYFUNCTION("""COMPUTED_VALUE"""),"TNL-XTA-064")</f>
        <v>TNL-XTA-064</v>
      </c>
      <c r="B2713" s="3" t="str">
        <f>IFERROR(__xludf.DUMMYFUNCTION("""COMPUTED_VALUE"""),"Xe ben 15 tấn")</f>
        <v>Xe ben 15 tấn</v>
      </c>
      <c r="C2713" s="5" t="str">
        <f>IFERROR(__xludf.DUMMYFUNCTION("""COMPUTED_VALUE"""),"CGTC LP")</f>
        <v>CGTC LP</v>
      </c>
      <c r="D2713" s="5" t="str">
        <f>IFERROR(__xludf.DUMMYFUNCTION("""COMPUTED_VALUE"""),"HYUNDAI")</f>
        <v>HYUNDAI</v>
      </c>
      <c r="E2713" s="5"/>
      <c r="F2713" s="5">
        <f>IFERROR(__xludf.DUMMYFUNCTION("""COMPUTED_VALUE"""),1991.0)</f>
        <v>1991</v>
      </c>
      <c r="G2713" s="5" t="str">
        <f>IFERROR(__xludf.DUMMYFUNCTION("""COMPUTED_VALUE"""),"TRUCK")</f>
        <v>TRUCK</v>
      </c>
      <c r="H2713" s="5" t="str">
        <f>IFERROR(__xludf.DUMMYFUNCTION("""COMPUTED_VALUE"""),"320HP")</f>
        <v>320HP</v>
      </c>
      <c r="I2713" s="5" t="str">
        <f>IFERROR(__xludf.DUMMYFUNCTION("""COMPUTED_VALUE"""),"NIL")</f>
        <v>NIL</v>
      </c>
      <c r="J2713" s="5" t="str">
        <f>IFERROR(__xludf.DUMMYFUNCTION("""COMPUTED_VALUE"""),"D8AYL045061")</f>
        <v>D8AYL045061</v>
      </c>
      <c r="K2713" s="5">
        <f>IFERROR(__xludf.DUMMYFUNCTION("""COMPUTED_VALUE"""),8.5)</f>
        <v>8.5</v>
      </c>
      <c r="L2713" s="5" t="str">
        <f>IFERROR(__xludf.DUMMYFUNCTION("""COMPUTED_VALUE"""),"Đang thuê")</f>
        <v>Đang thuê</v>
      </c>
    </row>
    <row r="2714">
      <c r="A2714" s="5" t="str">
        <f>IFERROR(__xludf.DUMMYFUNCTION("""COMPUTED_VALUE"""),"TNL-XTA-065")</f>
        <v>TNL-XTA-065</v>
      </c>
      <c r="B2714" s="3" t="str">
        <f>IFERROR(__xludf.DUMMYFUNCTION("""COMPUTED_VALUE"""),"Xe ben 15 tấn")</f>
        <v>Xe ben 15 tấn</v>
      </c>
      <c r="C2714" s="5" t="str">
        <f>IFERROR(__xludf.DUMMYFUNCTION("""COMPUTED_VALUE"""),"CGTC LP")</f>
        <v>CGTC LP</v>
      </c>
      <c r="D2714" s="5" t="str">
        <f>IFERROR(__xludf.DUMMYFUNCTION("""COMPUTED_VALUE"""),"HYUNDAI")</f>
        <v>HYUNDAI</v>
      </c>
      <c r="E2714" s="5"/>
      <c r="F2714" s="5">
        <f>IFERROR(__xludf.DUMMYFUNCTION("""COMPUTED_VALUE"""),1993.0)</f>
        <v>1993</v>
      </c>
      <c r="G2714" s="5" t="str">
        <f>IFERROR(__xludf.DUMMYFUNCTION("""COMPUTED_VALUE"""),"DUMP TRUCK")</f>
        <v>DUMP TRUCK</v>
      </c>
      <c r="H2714" s="5" t="str">
        <f>IFERROR(__xludf.DUMMYFUNCTION("""COMPUTED_VALUE"""),"340HP")</f>
        <v>340HP</v>
      </c>
      <c r="I2714" s="5" t="str">
        <f>IFERROR(__xludf.DUMMYFUNCTION("""COMPUTED_VALUE"""),"KMCDB19YPMU008085")</f>
        <v>KMCDB19YPMU008085</v>
      </c>
      <c r="J2714" s="5" t="str">
        <f>IFERROR(__xludf.DUMMYFUNCTION("""COMPUTED_VALUE"""),"D8AVM72209")</f>
        <v>D8AVM72209</v>
      </c>
      <c r="K2714" s="5">
        <f>IFERROR(__xludf.DUMMYFUNCTION("""COMPUTED_VALUE"""),9.0)</f>
        <v>9</v>
      </c>
      <c r="L2714" s="5" t="str">
        <f>IFERROR(__xludf.DUMMYFUNCTION("""COMPUTED_VALUE"""),"Đang thuê")</f>
        <v>Đang thuê</v>
      </c>
    </row>
    <row r="2715">
      <c r="A2715" s="5" t="str">
        <f>IFERROR(__xludf.DUMMYFUNCTION("""COMPUTED_VALUE"""),"TNL-XTA-066")</f>
        <v>TNL-XTA-066</v>
      </c>
      <c r="B2715" s="3" t="str">
        <f>IFERROR(__xludf.DUMMYFUNCTION("""COMPUTED_VALUE"""),"Xe ben 15 tấn")</f>
        <v>Xe ben 15 tấn</v>
      </c>
      <c r="C2715" s="5" t="str">
        <f>IFERROR(__xludf.DUMMYFUNCTION("""COMPUTED_VALUE"""),"CGTC LP")</f>
        <v>CGTC LP</v>
      </c>
      <c r="D2715" s="5" t="str">
        <f>IFERROR(__xludf.DUMMYFUNCTION("""COMPUTED_VALUE"""),"HINO")</f>
        <v>HINO</v>
      </c>
      <c r="E2715" s="5"/>
      <c r="F2715" s="5">
        <f>IFERROR(__xludf.DUMMYFUNCTION("""COMPUTED_VALUE"""),1991.0)</f>
        <v>1991</v>
      </c>
      <c r="G2715" s="5" t="str">
        <f>IFERROR(__xludf.DUMMYFUNCTION("""COMPUTED_VALUE"""),"DUMP TRUCK")</f>
        <v>DUMP TRUCK</v>
      </c>
      <c r="H2715" s="5" t="str">
        <f>IFERROR(__xludf.DUMMYFUNCTION("""COMPUTED_VALUE"""),"340HP")</f>
        <v>340HP</v>
      </c>
      <c r="I2715" s="5" t="str">
        <f>IFERROR(__xludf.DUMMYFUNCTION("""COMPUTED_VALUE"""),"FS660B22988")</f>
        <v>FS660B22988</v>
      </c>
      <c r="J2715" s="5" t="str">
        <f>IFERROR(__xludf.DUMMYFUNCTION("""COMPUTED_VALUE"""),"F17CA15134")</f>
        <v>F17CA15134</v>
      </c>
      <c r="K2715" s="5">
        <f>IFERROR(__xludf.DUMMYFUNCTION("""COMPUTED_VALUE"""),8.5)</f>
        <v>8.5</v>
      </c>
      <c r="L2715" s="5" t="str">
        <f>IFERROR(__xludf.DUMMYFUNCTION("""COMPUTED_VALUE"""),"Đang thuê")</f>
        <v>Đang thuê</v>
      </c>
    </row>
    <row r="2716">
      <c r="A2716" s="5" t="str">
        <f>IFERROR(__xludf.DUMMYFUNCTION("""COMPUTED_VALUE"""),"TNL-XTA-067")</f>
        <v>TNL-XTA-067</v>
      </c>
      <c r="B2716" s="3" t="str">
        <f>IFERROR(__xludf.DUMMYFUNCTION("""COMPUTED_VALUE"""),"Xe ben 15 tấn")</f>
        <v>Xe ben 15 tấn</v>
      </c>
      <c r="C2716" s="5" t="str">
        <f>IFERROR(__xludf.DUMMYFUNCTION("""COMPUTED_VALUE"""),"CGTC LP")</f>
        <v>CGTC LP</v>
      </c>
      <c r="D2716" s="5" t="str">
        <f>IFERROR(__xludf.DUMMYFUNCTION("""COMPUTED_VALUE"""),"HYUNDAI")</f>
        <v>HYUNDAI</v>
      </c>
      <c r="E2716" s="5"/>
      <c r="F2716" s="5">
        <f>IFERROR(__xludf.DUMMYFUNCTION("""COMPUTED_VALUE"""),1996.0)</f>
        <v>1996</v>
      </c>
      <c r="G2716" s="5" t="str">
        <f>IFERROR(__xludf.DUMMYFUNCTION("""COMPUTED_VALUE"""),"HEAVY DUMP TRUCK")</f>
        <v>HEAVY DUMP TRUCK</v>
      </c>
      <c r="H2716" s="5" t="str">
        <f>IFERROR(__xludf.DUMMYFUNCTION("""COMPUTED_VALUE"""),"355HP")</f>
        <v>355HP</v>
      </c>
      <c r="I2716" s="5" t="str">
        <f>IFERROR(__xludf.DUMMYFUNCTION("""COMPUTED_VALUE"""),"KMCDB18YPTC101482")</f>
        <v>KMCDB18YPTC101482</v>
      </c>
      <c r="J2716" s="5" t="str">
        <f>IFERROR(__xludf.DUMMYFUNCTION("""COMPUTED_VALUE"""),"D8AYT163345")</f>
        <v>D8AYT163345</v>
      </c>
      <c r="K2716" s="5">
        <f>IFERROR(__xludf.DUMMYFUNCTION("""COMPUTED_VALUE"""),8.5)</f>
        <v>8.5</v>
      </c>
      <c r="L2716" s="5" t="str">
        <f>IFERROR(__xludf.DUMMYFUNCTION("""COMPUTED_VALUE"""),"Đang thuê")</f>
        <v>Đang thuê</v>
      </c>
    </row>
    <row r="2717">
      <c r="A2717" s="5" t="str">
        <f>IFERROR(__xludf.DUMMYFUNCTION("""COMPUTED_VALUE"""),"TNL-XTA-068")</f>
        <v>TNL-XTA-068</v>
      </c>
      <c r="B2717" s="3" t="str">
        <f>IFERROR(__xludf.DUMMYFUNCTION("""COMPUTED_VALUE"""),"Xe ben 15 tấn")</f>
        <v>Xe ben 15 tấn</v>
      </c>
      <c r="C2717" s="5" t="str">
        <f>IFERROR(__xludf.DUMMYFUNCTION("""COMPUTED_VALUE"""),"CGTC LP")</f>
        <v>CGTC LP</v>
      </c>
      <c r="D2717" s="5" t="str">
        <f>IFERROR(__xludf.DUMMYFUNCTION("""COMPUTED_VALUE"""),"HINO")</f>
        <v>HINO</v>
      </c>
      <c r="E2717" s="5"/>
      <c r="F2717" s="5">
        <f>IFERROR(__xludf.DUMMYFUNCTION("""COMPUTED_VALUE"""),1988.0)</f>
        <v>1988</v>
      </c>
      <c r="G2717" s="5" t="str">
        <f>IFERROR(__xludf.DUMMYFUNCTION("""COMPUTED_VALUE"""),"DUMP TRUCK")</f>
        <v>DUMP TRUCK</v>
      </c>
      <c r="H2717" s="5" t="str">
        <f>IFERROR(__xludf.DUMMYFUNCTION("""COMPUTED_VALUE"""),"340HP")</f>
        <v>340HP</v>
      </c>
      <c r="I2717" s="5" t="str">
        <f>IFERROR(__xludf.DUMMYFUNCTION("""COMPUTED_VALUE"""),"FS630B28930")</f>
        <v>FS630B28930</v>
      </c>
      <c r="J2717" s="5" t="str">
        <f>IFERROR(__xludf.DUMMYFUNCTION("""COMPUTED_VALUE"""),"EF750C28798")</f>
        <v>EF750C28798</v>
      </c>
      <c r="K2717" s="5">
        <f>IFERROR(__xludf.DUMMYFUNCTION("""COMPUTED_VALUE"""),9.0)</f>
        <v>9</v>
      </c>
      <c r="L2717" s="5" t="str">
        <f>IFERROR(__xludf.DUMMYFUNCTION("""COMPUTED_VALUE"""),"Đang thuê")</f>
        <v>Đang thuê</v>
      </c>
    </row>
    <row r="2718">
      <c r="A2718" s="5" t="str">
        <f>IFERROR(__xludf.DUMMYFUNCTION("""COMPUTED_VALUE"""),"TNL-XTA-069")</f>
        <v>TNL-XTA-069</v>
      </c>
      <c r="B2718" s="3" t="str">
        <f>IFERROR(__xludf.DUMMYFUNCTION("""COMPUTED_VALUE"""),"Xe ben 15 tấn")</f>
        <v>Xe ben 15 tấn</v>
      </c>
      <c r="C2718" s="5" t="str">
        <f>IFERROR(__xludf.DUMMYFUNCTION("""COMPUTED_VALUE"""),"CGTC LP")</f>
        <v>CGTC LP</v>
      </c>
      <c r="D2718" s="5" t="str">
        <f>IFERROR(__xludf.DUMMYFUNCTION("""COMPUTED_VALUE"""),"HYUNDAI")</f>
        <v>HYUNDAI</v>
      </c>
      <c r="E2718" s="5"/>
      <c r="F2718" s="5">
        <f>IFERROR(__xludf.DUMMYFUNCTION("""COMPUTED_VALUE"""),1989.0)</f>
        <v>1989</v>
      </c>
      <c r="G2718" s="5" t="str">
        <f>IFERROR(__xludf.DUMMYFUNCTION("""COMPUTED_VALUE"""),"DUMP TRUCK")</f>
        <v>DUMP TRUCK</v>
      </c>
      <c r="H2718" s="5" t="str">
        <f>IFERROR(__xludf.DUMMYFUNCTION("""COMPUTED_VALUE"""),"320HP")</f>
        <v>320HP</v>
      </c>
      <c r="I2718" s="5" t="str">
        <f>IFERROR(__xludf.DUMMYFUNCTION("""COMPUTED_VALUE"""),"KMJTG18UPKU001703")</f>
        <v>KMJTG18UPKU001703</v>
      </c>
      <c r="J2718" s="5" t="str">
        <f>IFERROR(__xludf.DUMMYFUNCTION("""COMPUTED_VALUE"""),"D8AYL046495")</f>
        <v>D8AYL046495</v>
      </c>
      <c r="K2718" s="5">
        <f>IFERROR(__xludf.DUMMYFUNCTION("""COMPUTED_VALUE"""),8.5)</f>
        <v>8.5</v>
      </c>
      <c r="L2718" s="5" t="str">
        <f>IFERROR(__xludf.DUMMYFUNCTION("""COMPUTED_VALUE"""),"Đang thuê")</f>
        <v>Đang thuê</v>
      </c>
    </row>
    <row r="2719">
      <c r="A2719" s="5" t="str">
        <f>IFERROR(__xludf.DUMMYFUNCTION("""COMPUTED_VALUE"""),"TNL-XTA-070")</f>
        <v>TNL-XTA-070</v>
      </c>
      <c r="B2719" s="3" t="str">
        <f>IFERROR(__xludf.DUMMYFUNCTION("""COMPUTED_VALUE"""),"Xe ben 15 tấn")</f>
        <v>Xe ben 15 tấn</v>
      </c>
      <c r="C2719" s="5" t="str">
        <f>IFERROR(__xludf.DUMMYFUNCTION("""COMPUTED_VALUE"""),"CGTC LP")</f>
        <v>CGTC LP</v>
      </c>
      <c r="D2719" s="5" t="str">
        <f>IFERROR(__xludf.DUMMYFUNCTION("""COMPUTED_VALUE"""),"ASIA GRANTO")</f>
        <v>ASIA GRANTO</v>
      </c>
      <c r="E2719" s="5"/>
      <c r="F2719" s="5">
        <f>IFERROR(__xludf.DUMMYFUNCTION("""COMPUTED_VALUE"""),1997.0)</f>
        <v>1997</v>
      </c>
      <c r="G2719" s="5" t="str">
        <f>IFERROR(__xludf.DUMMYFUNCTION("""COMPUTED_VALUE"""),"DUMP TRUCK")</f>
        <v>DUMP TRUCK</v>
      </c>
      <c r="H2719" s="5" t="str">
        <f>IFERROR(__xludf.DUMMYFUNCTION("""COMPUTED_VALUE"""),"355HP")</f>
        <v>355HP</v>
      </c>
      <c r="I2719" s="5" t="str">
        <f>IFERROR(__xludf.DUMMYFUNCTION("""COMPUTED_VALUE"""),"15TDF002836")</f>
        <v>15TDF002836</v>
      </c>
      <c r="J2719" s="5" t="str">
        <f>IFERROR(__xludf.DUMMYFUNCTION("""COMPUTED_VALUE"""),"F17E010124")</f>
        <v>F17E010124</v>
      </c>
      <c r="K2719" s="5">
        <f>IFERROR(__xludf.DUMMYFUNCTION("""COMPUTED_VALUE"""),8.5)</f>
        <v>8.5</v>
      </c>
      <c r="L2719" s="5" t="str">
        <f>IFERROR(__xludf.DUMMYFUNCTION("""COMPUTED_VALUE"""),"-")</f>
        <v>-</v>
      </c>
    </row>
    <row r="2720">
      <c r="A2720" s="5" t="str">
        <f>IFERROR(__xludf.DUMMYFUNCTION("""COMPUTED_VALUE"""),"TNL-XTA-071")</f>
        <v>TNL-XTA-071</v>
      </c>
      <c r="B2720" s="3" t="str">
        <f>IFERROR(__xludf.DUMMYFUNCTION("""COMPUTED_VALUE"""),"Xe ben 15 tấn")</f>
        <v>Xe ben 15 tấn</v>
      </c>
      <c r="C2720" s="5" t="str">
        <f>IFERROR(__xludf.DUMMYFUNCTION("""COMPUTED_VALUE"""),"CGTC LP")</f>
        <v>CGTC LP</v>
      </c>
      <c r="D2720" s="5" t="str">
        <f>IFERROR(__xludf.DUMMYFUNCTION("""COMPUTED_VALUE"""),"HYUNDAI")</f>
        <v>HYUNDAI</v>
      </c>
      <c r="E2720" s="5"/>
      <c r="F2720" s="5">
        <f>IFERROR(__xludf.DUMMYFUNCTION("""COMPUTED_VALUE"""),2003.0)</f>
        <v>2003</v>
      </c>
      <c r="G2720" s="5"/>
      <c r="H2720" s="5" t="str">
        <f>IFERROR(__xludf.DUMMYFUNCTION("""COMPUTED_VALUE"""),"340HP")</f>
        <v>340HP</v>
      </c>
      <c r="I2720" s="5" t="str">
        <f>IFERROR(__xludf.DUMMYFUNCTION("""COMPUTED_VALUE"""),"KMCDB19SP3C029907")</f>
        <v>KMCDB19SP3C029907</v>
      </c>
      <c r="J2720" s="5" t="str">
        <f>IFERROR(__xludf.DUMMYFUNCTION("""COMPUTED_VALUE"""),"D6CA3081291")</f>
        <v>D6CA3081291</v>
      </c>
      <c r="K2720" s="5">
        <f>IFERROR(__xludf.DUMMYFUNCTION("""COMPUTED_VALUE"""),8.5)</f>
        <v>8.5</v>
      </c>
      <c r="L2720" s="5" t="str">
        <f>IFERROR(__xludf.DUMMYFUNCTION("""COMPUTED_VALUE"""),"-")</f>
        <v>-</v>
      </c>
    </row>
    <row r="2721">
      <c r="A2721" s="5" t="str">
        <f>IFERROR(__xludf.DUMMYFUNCTION("""COMPUTED_VALUE"""),"TNL-XTA-072")</f>
        <v>TNL-XTA-072</v>
      </c>
      <c r="B2721" s="3" t="str">
        <f>IFERROR(__xludf.DUMMYFUNCTION("""COMPUTED_VALUE"""),"Xe ben 15 tấn")</f>
        <v>Xe ben 15 tấn</v>
      </c>
      <c r="C2721" s="5" t="str">
        <f>IFERROR(__xludf.DUMMYFUNCTION("""COMPUTED_VALUE"""),"CGTC LP")</f>
        <v>CGTC LP</v>
      </c>
      <c r="D2721" s="5" t="str">
        <f>IFERROR(__xludf.DUMMYFUNCTION("""COMPUTED_VALUE"""),"HYUNDAI")</f>
        <v>HYUNDAI</v>
      </c>
      <c r="E2721" s="5"/>
      <c r="F2721" s="5">
        <f>IFERROR(__xludf.DUMMYFUNCTION("""COMPUTED_VALUE"""),1994.0)</f>
        <v>1994</v>
      </c>
      <c r="G2721" s="5" t="str">
        <f>IFERROR(__xludf.DUMMYFUNCTION("""COMPUTED_VALUE"""),"DUMP TRUCK")</f>
        <v>DUMP TRUCK</v>
      </c>
      <c r="H2721" s="5" t="str">
        <f>IFERROR(__xludf.DUMMYFUNCTION("""COMPUTED_VALUE"""),"320HP")</f>
        <v>320HP</v>
      </c>
      <c r="I2721" s="5" t="str">
        <f>IFERROR(__xludf.DUMMYFUNCTION("""COMPUTED_VALUE"""),"KMCDB19YPRU017562")</f>
        <v>KMCDB19YPRU017562</v>
      </c>
      <c r="J2721" s="5" t="str">
        <f>IFERROR(__xludf.DUMMYFUNCTION("""COMPUTED_VALUE"""),"D8AYR116763")</f>
        <v>D8AYR116763</v>
      </c>
      <c r="K2721" s="5">
        <f>IFERROR(__xludf.DUMMYFUNCTION("""COMPUTED_VALUE"""),8.5)</f>
        <v>8.5</v>
      </c>
      <c r="L2721" s="5" t="str">
        <f>IFERROR(__xludf.DUMMYFUNCTION("""COMPUTED_VALUE"""),"-")</f>
        <v>-</v>
      </c>
    </row>
    <row r="2722">
      <c r="A2722" s="5" t="str">
        <f>IFERROR(__xludf.DUMMYFUNCTION("""COMPUTED_VALUE"""),"TNL-XTA-073")</f>
        <v>TNL-XTA-073</v>
      </c>
      <c r="B2722" s="3" t="str">
        <f>IFERROR(__xludf.DUMMYFUNCTION("""COMPUTED_VALUE"""),"Xe ben 25 tấn")</f>
        <v>Xe ben 25 tấn</v>
      </c>
      <c r="C2722" s="5" t="str">
        <f>IFERROR(__xludf.DUMMYFUNCTION("""COMPUTED_VALUE"""),"CGTC LP")</f>
        <v>CGTC LP</v>
      </c>
      <c r="D2722" s="5" t="str">
        <f>IFERROR(__xludf.DUMMYFUNCTION("""COMPUTED_VALUE"""),"SCANIA")</f>
        <v>SCANIA</v>
      </c>
      <c r="E2722" s="5"/>
      <c r="F2722" s="5">
        <f>IFERROR(__xludf.DUMMYFUNCTION("""COMPUTED_VALUE"""),2003.0)</f>
        <v>2003</v>
      </c>
      <c r="G2722" s="5"/>
      <c r="H2722" s="5" t="str">
        <f>IFERROR(__xludf.DUMMYFUNCTION("""COMPUTED_VALUE"""),"340HP")</f>
        <v>340HP</v>
      </c>
      <c r="I2722" s="5" t="str">
        <f>IFERROR(__xludf.DUMMYFUNCTION("""COMPUTED_VALUE"""),"XLEP8Y400034483")</f>
        <v>XLEP8Y400034483</v>
      </c>
      <c r="J2722" s="5" t="str">
        <f>IFERROR(__xludf.DUMMYFUNCTION("""COMPUTED_VALUE"""),"DC11042016179323")</f>
        <v>DC11042016179323</v>
      </c>
      <c r="K2722" s="5">
        <f>IFERROR(__xludf.DUMMYFUNCTION("""COMPUTED_VALUE"""),8.0)</f>
        <v>8</v>
      </c>
      <c r="L2722" s="5" t="str">
        <f>IFERROR(__xludf.DUMMYFUNCTION("""COMPUTED_VALUE"""),"-")</f>
        <v>-</v>
      </c>
    </row>
    <row r="2723">
      <c r="A2723" s="5" t="str">
        <f>IFERROR(__xludf.DUMMYFUNCTION("""COMPUTED_VALUE"""),"TNL-XTA-074")</f>
        <v>TNL-XTA-074</v>
      </c>
      <c r="B2723" s="3" t="str">
        <f>IFERROR(__xludf.DUMMYFUNCTION("""COMPUTED_VALUE"""),"Xe ben 25 tấn")</f>
        <v>Xe ben 25 tấn</v>
      </c>
      <c r="C2723" s="5" t="str">
        <f>IFERROR(__xludf.DUMMYFUNCTION("""COMPUTED_VALUE"""),"CGTC LP")</f>
        <v>CGTC LP</v>
      </c>
      <c r="D2723" s="5" t="str">
        <f>IFERROR(__xludf.DUMMYFUNCTION("""COMPUTED_VALUE"""),"SCANIA")</f>
        <v>SCANIA</v>
      </c>
      <c r="E2723" s="5"/>
      <c r="F2723" s="5">
        <f>IFERROR(__xludf.DUMMYFUNCTION("""COMPUTED_VALUE"""),2005.0)</f>
        <v>2005</v>
      </c>
      <c r="G2723" s="5"/>
      <c r="H2723" s="5" t="str">
        <f>IFERROR(__xludf.DUMMYFUNCTION("""COMPUTED_VALUE"""),"340HP")</f>
        <v>340HP</v>
      </c>
      <c r="I2723" s="5" t="str">
        <f>IFERROR(__xludf.DUMMYFUNCTION("""COMPUTED_VALUE"""),"KMCPB18TP5C002615")</f>
        <v>KMCPB18TP5C002615</v>
      </c>
      <c r="J2723" s="5" t="str">
        <f>IFERROR(__xludf.DUMMYFUNCTION("""COMPUTED_VALUE"""),"D6CB4100271")</f>
        <v>D6CB4100271</v>
      </c>
      <c r="K2723" s="5">
        <f>IFERROR(__xludf.DUMMYFUNCTION("""COMPUTED_VALUE"""),8.0)</f>
        <v>8</v>
      </c>
      <c r="L2723" s="5" t="str">
        <f>IFERROR(__xludf.DUMMYFUNCTION("""COMPUTED_VALUE"""),"-")</f>
        <v>-</v>
      </c>
    </row>
    <row r="2724">
      <c r="A2724" s="5" t="str">
        <f>IFERROR(__xludf.DUMMYFUNCTION("""COMPUTED_VALUE"""),"TNL-XTA-075")</f>
        <v>TNL-XTA-075</v>
      </c>
      <c r="B2724" s="3" t="str">
        <f>IFERROR(__xludf.DUMMYFUNCTION("""COMPUTED_VALUE"""),"Xe ben 25 tấn")</f>
        <v>Xe ben 25 tấn</v>
      </c>
      <c r="C2724" s="5" t="str">
        <f>IFERROR(__xludf.DUMMYFUNCTION("""COMPUTED_VALUE"""),"CGTC LP")</f>
        <v>CGTC LP</v>
      </c>
      <c r="D2724" s="5" t="str">
        <f>IFERROR(__xludf.DUMMYFUNCTION("""COMPUTED_VALUE"""),"DAEWOO")</f>
        <v>DAEWOO</v>
      </c>
      <c r="E2724" s="5"/>
      <c r="F2724" s="5">
        <f>IFERROR(__xludf.DUMMYFUNCTION("""COMPUTED_VALUE"""),2006.0)</f>
        <v>2006</v>
      </c>
      <c r="G2724" s="5" t="str">
        <f>IFERROR(__xludf.DUMMYFUNCTION("""COMPUTED_VALUE"""),"Dump Truck")</f>
        <v>Dump Truck</v>
      </c>
      <c r="H2724" s="5" t="str">
        <f>IFERROR(__xludf.DUMMYFUNCTION("""COMPUTED_VALUE"""),"380HP")</f>
        <v>380HP</v>
      </c>
      <c r="I2724" s="5" t="str">
        <f>IFERROR(__xludf.DUMMYFUNCTION("""COMPUTED_VALUE"""),"KL3M9ANF16K000030")</f>
        <v>KL3M9ANF16K000030</v>
      </c>
      <c r="J2724" s="5" t="str">
        <f>IFERROR(__xludf.DUMMYFUNCTION("""COMPUTED_VALUE"""),"5130469ISM")</f>
        <v>5130469ISM</v>
      </c>
      <c r="K2724" s="5">
        <f>IFERROR(__xludf.DUMMYFUNCTION("""COMPUTED_VALUE"""),8.5)</f>
        <v>8.5</v>
      </c>
      <c r="L2724" s="5" t="str">
        <f>IFERROR(__xludf.DUMMYFUNCTION("""COMPUTED_VALUE"""),"Đang thuê")</f>
        <v>Đang thuê</v>
      </c>
    </row>
    <row r="2725">
      <c r="A2725" s="5" t="str">
        <f>IFERROR(__xludf.DUMMYFUNCTION("""COMPUTED_VALUE"""),"TNL-XTA-076")</f>
        <v>TNL-XTA-076</v>
      </c>
      <c r="B2725" s="3" t="str">
        <f>IFERROR(__xludf.DUMMYFUNCTION("""COMPUTED_VALUE"""),"Xe ben 25 tấn")</f>
        <v>Xe ben 25 tấn</v>
      </c>
      <c r="C2725" s="5" t="str">
        <f>IFERROR(__xludf.DUMMYFUNCTION("""COMPUTED_VALUE"""),"CGTC LP")</f>
        <v>CGTC LP</v>
      </c>
      <c r="D2725" s="5" t="str">
        <f>IFERROR(__xludf.DUMMYFUNCTION("""COMPUTED_VALUE"""),"SCANIA")</f>
        <v>SCANIA</v>
      </c>
      <c r="E2725" s="5"/>
      <c r="F2725" s="5">
        <f>IFERROR(__xludf.DUMMYFUNCTION("""COMPUTED_VALUE"""),2007.0)</f>
        <v>2007</v>
      </c>
      <c r="G2725" s="5" t="str">
        <f>IFERROR(__xludf.DUMMYFUNCTION("""COMPUTED_VALUE"""),"Dump Truck")</f>
        <v>Dump Truck</v>
      </c>
      <c r="H2725" s="5" t="str">
        <f>IFERROR(__xludf.DUMMYFUNCTION("""COMPUTED_VALUE"""),"380HP")</f>
        <v>380HP</v>
      </c>
      <c r="I2725" s="5" t="str">
        <f>IFERROR(__xludf.DUMMYFUNCTION("""COMPUTED_VALUE"""),"XLEP8X40014452192")</f>
        <v>XLEP8X40014452192</v>
      </c>
      <c r="J2725" s="5" t="str">
        <f>IFERROR(__xludf.DUMMYFUNCTION("""COMPUTED_VALUE"""),"NILL")</f>
        <v>NILL</v>
      </c>
      <c r="K2725" s="5">
        <f>IFERROR(__xludf.DUMMYFUNCTION("""COMPUTED_VALUE"""),8.5)</f>
        <v>8.5</v>
      </c>
      <c r="L2725" s="5" t="str">
        <f>IFERROR(__xludf.DUMMYFUNCTION("""COMPUTED_VALUE"""),"-")</f>
        <v>-</v>
      </c>
    </row>
    <row r="2726">
      <c r="A2726" s="5" t="str">
        <f>IFERROR(__xludf.DUMMYFUNCTION("""COMPUTED_VALUE"""),"TNL-XTA-077")</f>
        <v>TNL-XTA-077</v>
      </c>
      <c r="B2726" s="3" t="str">
        <f>IFERROR(__xludf.DUMMYFUNCTION("""COMPUTED_VALUE"""),"Xe ben 25 tấn")</f>
        <v>Xe ben 25 tấn</v>
      </c>
      <c r="C2726" s="5" t="str">
        <f>IFERROR(__xludf.DUMMYFUNCTION("""COMPUTED_VALUE"""),"CGTC LP")</f>
        <v>CGTC LP</v>
      </c>
      <c r="D2726" s="5" t="str">
        <f>IFERROR(__xludf.DUMMYFUNCTION("""COMPUTED_VALUE"""),"HYUNDAI")</f>
        <v>HYUNDAI</v>
      </c>
      <c r="E2726" s="5"/>
      <c r="F2726" s="5">
        <f>IFERROR(__xludf.DUMMYFUNCTION("""COMPUTED_VALUE"""),2002.0)</f>
        <v>2002</v>
      </c>
      <c r="G2726" s="5" t="str">
        <f>IFERROR(__xludf.DUMMYFUNCTION("""COMPUTED_VALUE"""),"Dump Truck")</f>
        <v>Dump Truck</v>
      </c>
      <c r="H2726" s="5" t="str">
        <f>IFERROR(__xludf.DUMMYFUNCTION("""COMPUTED_VALUE"""),"235HP")</f>
        <v>235HP</v>
      </c>
      <c r="I2726" s="5" t="str">
        <f>IFERROR(__xludf.DUMMYFUNCTION("""COMPUTED_VALUE"""),"KMFPA188P2C021116")</f>
        <v>KMFPA188P2C021116</v>
      </c>
      <c r="J2726" s="5" t="str">
        <f>IFERROR(__xludf.DUMMYFUNCTION("""COMPUTED_VALUE"""),"D6CA2066002")</f>
        <v>D6CA2066002</v>
      </c>
      <c r="K2726" s="5">
        <f>IFERROR(__xludf.DUMMYFUNCTION("""COMPUTED_VALUE"""),8.5)</f>
        <v>8.5</v>
      </c>
      <c r="L2726" s="5" t="str">
        <f>IFERROR(__xludf.DUMMYFUNCTION("""COMPUTED_VALUE"""),"Đang thuê")</f>
        <v>Đang thuê</v>
      </c>
    </row>
    <row r="2727">
      <c r="A2727" s="5" t="str">
        <f>IFERROR(__xludf.DUMMYFUNCTION("""COMPUTED_VALUE"""),"TNL-XTA-078")</f>
        <v>TNL-XTA-078</v>
      </c>
      <c r="B2727" s="3" t="str">
        <f>IFERROR(__xludf.DUMMYFUNCTION("""COMPUTED_VALUE"""),"Xe ben 25 tấn")</f>
        <v>Xe ben 25 tấn</v>
      </c>
      <c r="C2727" s="5" t="str">
        <f>IFERROR(__xludf.DUMMYFUNCTION("""COMPUTED_VALUE"""),"CGTC LP")</f>
        <v>CGTC LP</v>
      </c>
      <c r="D2727" s="5" t="str">
        <f>IFERROR(__xludf.DUMMYFUNCTION("""COMPUTED_VALUE"""),"HYUNDAI")</f>
        <v>HYUNDAI</v>
      </c>
      <c r="E2727" s="5"/>
      <c r="F2727" s="5">
        <f>IFERROR(__xludf.DUMMYFUNCTION("""COMPUTED_VALUE"""),2001.0)</f>
        <v>2001</v>
      </c>
      <c r="G2727" s="5" t="str">
        <f>IFERROR(__xludf.DUMMYFUNCTION("""COMPUTED_VALUE"""),"Dump Truck")</f>
        <v>Dump Truck</v>
      </c>
      <c r="H2727" s="5" t="str">
        <f>IFERROR(__xludf.DUMMYFUNCTION("""COMPUTED_VALUE"""),"380HP")</f>
        <v>380HP</v>
      </c>
      <c r="I2727" s="5" t="str">
        <f>IFERROR(__xludf.DUMMYFUNCTION("""COMPUTED_VALUE"""),"KMFPA188P1C012251")</f>
        <v>KMFPA188P1C012251</v>
      </c>
      <c r="J2727" s="5" t="str">
        <f>IFERROR(__xludf.DUMMYFUNCTION("""COMPUTED_VALUE"""),"D6CA1047898")</f>
        <v>D6CA1047898</v>
      </c>
      <c r="K2727" s="5">
        <f>IFERROR(__xludf.DUMMYFUNCTION("""COMPUTED_VALUE"""),8.5)</f>
        <v>8.5</v>
      </c>
      <c r="L2727" s="5" t="str">
        <f>IFERROR(__xludf.DUMMYFUNCTION("""COMPUTED_VALUE"""),"Đang thuê")</f>
        <v>Đang thuê</v>
      </c>
    </row>
    <row r="2728">
      <c r="A2728" s="5" t="str">
        <f>IFERROR(__xludf.DUMMYFUNCTION("""COMPUTED_VALUE"""),"TNL-XTA-079")</f>
        <v>TNL-XTA-079</v>
      </c>
      <c r="B2728" s="3" t="str">
        <f>IFERROR(__xludf.DUMMYFUNCTION("""COMPUTED_VALUE"""),"Xe ben 25 tấn")</f>
        <v>Xe ben 25 tấn</v>
      </c>
      <c r="C2728" s="5" t="str">
        <f>IFERROR(__xludf.DUMMYFUNCTION("""COMPUTED_VALUE"""),"CGTC LP")</f>
        <v>CGTC LP</v>
      </c>
      <c r="D2728" s="5" t="str">
        <f>IFERROR(__xludf.DUMMYFUNCTION("""COMPUTED_VALUE"""),"SCANIA")</f>
        <v>SCANIA</v>
      </c>
      <c r="E2728" s="5"/>
      <c r="F2728" s="5">
        <f>IFERROR(__xludf.DUMMYFUNCTION("""COMPUTED_VALUE"""),2003.0)</f>
        <v>2003</v>
      </c>
      <c r="G2728" s="5" t="str">
        <f>IFERROR(__xludf.DUMMYFUNCTION("""COMPUTED_VALUE"""),"Dump Truck")</f>
        <v>Dump Truck</v>
      </c>
      <c r="H2728" s="5" t="str">
        <f>IFERROR(__xludf.DUMMYFUNCTION("""COMPUTED_VALUE"""),"380HP")</f>
        <v>380HP</v>
      </c>
      <c r="I2728" s="5" t="str">
        <f>IFERROR(__xludf.DUMMYFUNCTION("""COMPUTED_VALUE"""),"XLEP8X40034491376")</f>
        <v>XLEP8X40034491376</v>
      </c>
      <c r="J2728" s="5" t="str">
        <f>IFERROR(__xludf.DUMMYFUNCTION("""COMPUTED_VALUE"""),"DC1104L016190300")</f>
        <v>DC1104L016190300</v>
      </c>
      <c r="K2728" s="5">
        <f>IFERROR(__xludf.DUMMYFUNCTION("""COMPUTED_VALUE"""),9.0)</f>
        <v>9</v>
      </c>
      <c r="L2728" s="5" t="str">
        <f>IFERROR(__xludf.DUMMYFUNCTION("""COMPUTED_VALUE"""),"Đang thuê")</f>
        <v>Đang thuê</v>
      </c>
    </row>
    <row r="2729">
      <c r="A2729" s="5" t="str">
        <f>IFERROR(__xludf.DUMMYFUNCTION("""COMPUTED_VALUE"""),"TNL-XTA-080")</f>
        <v>TNL-XTA-080</v>
      </c>
      <c r="B2729" s="3" t="str">
        <f>IFERROR(__xludf.DUMMYFUNCTION("""COMPUTED_VALUE"""),"Xe ben 15 tấn")</f>
        <v>Xe ben 15 tấn</v>
      </c>
      <c r="C2729" s="5" t="str">
        <f>IFERROR(__xludf.DUMMYFUNCTION("""COMPUTED_VALUE"""),"CGTC LP")</f>
        <v>CGTC LP</v>
      </c>
      <c r="D2729" s="5" t="str">
        <f>IFERROR(__xludf.DUMMYFUNCTION("""COMPUTED_VALUE"""),"HINO")</f>
        <v>HINO</v>
      </c>
      <c r="E2729" s="5"/>
      <c r="F2729" s="5">
        <f>IFERROR(__xludf.DUMMYFUNCTION("""COMPUTED_VALUE"""),1990.0)</f>
        <v>1990</v>
      </c>
      <c r="G2729" s="5" t="str">
        <f>IFERROR(__xludf.DUMMYFUNCTION("""COMPUTED_VALUE"""),"Dump Truck")</f>
        <v>Dump Truck</v>
      </c>
      <c r="H2729" s="5" t="str">
        <f>IFERROR(__xludf.DUMMYFUNCTION("""COMPUTED_VALUE"""),"340HP")</f>
        <v>340HP</v>
      </c>
      <c r="I2729" s="5" t="str">
        <f>IFERROR(__xludf.DUMMYFUNCTION("""COMPUTED_VALUE"""),"FSIFKA10894")</f>
        <v>FSIFKA10894</v>
      </c>
      <c r="J2729" s="5" t="str">
        <f>IFERROR(__xludf.DUMMYFUNCTION("""COMPUTED_VALUE"""),"F17DA13961")</f>
        <v>F17DA13961</v>
      </c>
      <c r="K2729" s="5">
        <f>IFERROR(__xludf.DUMMYFUNCTION("""COMPUTED_VALUE"""),8.0)</f>
        <v>8</v>
      </c>
      <c r="L2729" s="5" t="str">
        <f>IFERROR(__xludf.DUMMYFUNCTION("""COMPUTED_VALUE"""),"-")</f>
        <v>-</v>
      </c>
    </row>
    <row r="2730">
      <c r="A2730" s="5" t="str">
        <f>IFERROR(__xludf.DUMMYFUNCTION("""COMPUTED_VALUE"""),"TNL-XTA-081")</f>
        <v>TNL-XTA-081</v>
      </c>
      <c r="B2730" s="3" t="str">
        <f>IFERROR(__xludf.DUMMYFUNCTION("""COMPUTED_VALUE"""),"Xe ben 15 tấn")</f>
        <v>Xe ben 15 tấn</v>
      </c>
      <c r="C2730" s="5" t="str">
        <f>IFERROR(__xludf.DUMMYFUNCTION("""COMPUTED_VALUE"""),"CGTC LP")</f>
        <v>CGTC LP</v>
      </c>
      <c r="D2730" s="5" t="str">
        <f>IFERROR(__xludf.DUMMYFUNCTION("""COMPUTED_VALUE"""),"ASIA GRANTO")</f>
        <v>ASIA GRANTO</v>
      </c>
      <c r="E2730" s="5"/>
      <c r="F2730" s="5">
        <f>IFERROR(__xludf.DUMMYFUNCTION("""COMPUTED_VALUE"""),1997.0)</f>
        <v>1997</v>
      </c>
      <c r="G2730" s="5" t="str">
        <f>IFERROR(__xludf.DUMMYFUNCTION("""COMPUTED_VALUE"""),"Dump Truck")</f>
        <v>Dump Truck</v>
      </c>
      <c r="H2730" s="5" t="str">
        <f>IFERROR(__xludf.DUMMYFUNCTION("""COMPUTED_VALUE"""),"340HP")</f>
        <v>340HP</v>
      </c>
      <c r="I2730" s="5" t="str">
        <f>IFERROR(__xludf.DUMMYFUNCTION("""COMPUTED_VALUE"""),"15TDE001961")</f>
        <v>15TDE001961</v>
      </c>
      <c r="J2730" s="5" t="str">
        <f>IFERROR(__xludf.DUMMYFUNCTION("""COMPUTED_VALUE"""),"EF750008317")</f>
        <v>EF750008317</v>
      </c>
      <c r="K2730" s="5">
        <f>IFERROR(__xludf.DUMMYFUNCTION("""COMPUTED_VALUE"""),8.0)</f>
        <v>8</v>
      </c>
      <c r="L2730" s="5" t="str">
        <f>IFERROR(__xludf.DUMMYFUNCTION("""COMPUTED_VALUE"""),"-")</f>
        <v>-</v>
      </c>
    </row>
    <row r="2731">
      <c r="A2731" s="5" t="str">
        <f>IFERROR(__xludf.DUMMYFUNCTION("""COMPUTED_VALUE"""),"TNL-XTA-082")</f>
        <v>TNL-XTA-082</v>
      </c>
      <c r="B2731" s="3" t="str">
        <f>IFERROR(__xludf.DUMMYFUNCTION("""COMPUTED_VALUE"""),"Xe ben 15 tấn")</f>
        <v>Xe ben 15 tấn</v>
      </c>
      <c r="C2731" s="5" t="str">
        <f>IFERROR(__xludf.DUMMYFUNCTION("""COMPUTED_VALUE"""),"CGTC LP")</f>
        <v>CGTC LP</v>
      </c>
      <c r="D2731" s="5" t="str">
        <f>IFERROR(__xludf.DUMMYFUNCTION("""COMPUTED_VALUE"""),"HINO")</f>
        <v>HINO</v>
      </c>
      <c r="E2731" s="5"/>
      <c r="F2731" s="5">
        <f>IFERROR(__xludf.DUMMYFUNCTION("""COMPUTED_VALUE"""),1995.0)</f>
        <v>1995</v>
      </c>
      <c r="G2731" s="5" t="str">
        <f>IFERROR(__xludf.DUMMYFUNCTION("""COMPUTED_VALUE"""),"Dump Truck")</f>
        <v>Dump Truck</v>
      </c>
      <c r="H2731" s="5" t="str">
        <f>IFERROR(__xludf.DUMMYFUNCTION("""COMPUTED_VALUE"""),"380HP")</f>
        <v>380HP</v>
      </c>
      <c r="I2731" s="5" t="str">
        <f>IFERROR(__xludf.DUMMYFUNCTION("""COMPUTED_VALUE"""),"NIL")</f>
        <v>NIL</v>
      </c>
      <c r="J2731" s="5" t="str">
        <f>IFERROR(__xludf.DUMMYFUNCTION("""COMPUTED_VALUE"""),"F17DC1133")</f>
        <v>F17DC1133</v>
      </c>
      <c r="K2731" s="5">
        <f>IFERROR(__xludf.DUMMYFUNCTION("""COMPUTED_VALUE"""),8.0)</f>
        <v>8</v>
      </c>
      <c r="L2731" s="5" t="str">
        <f>IFERROR(__xludf.DUMMYFUNCTION("""COMPUTED_VALUE"""),"-")</f>
        <v>-</v>
      </c>
    </row>
    <row r="2732">
      <c r="A2732" s="5" t="str">
        <f>IFERROR(__xludf.DUMMYFUNCTION("""COMPUTED_VALUE"""),"TNL-XTA-083")</f>
        <v>TNL-XTA-083</v>
      </c>
      <c r="B2732" s="3" t="str">
        <f>IFERROR(__xludf.DUMMYFUNCTION("""COMPUTED_VALUE"""),"Xe ben 15 tấn")</f>
        <v>Xe ben 15 tấn</v>
      </c>
      <c r="C2732" s="5" t="str">
        <f>IFERROR(__xludf.DUMMYFUNCTION("""COMPUTED_VALUE"""),"CGTC LP")</f>
        <v>CGTC LP</v>
      </c>
      <c r="D2732" s="5" t="str">
        <f>IFERROR(__xludf.DUMMYFUNCTION("""COMPUTED_VALUE"""),"HINO")</f>
        <v>HINO</v>
      </c>
      <c r="E2732" s="5"/>
      <c r="F2732" s="5">
        <f>IFERROR(__xludf.DUMMYFUNCTION("""COMPUTED_VALUE"""),2001.0)</f>
        <v>2001</v>
      </c>
      <c r="G2732" s="5" t="str">
        <f>IFERROR(__xludf.DUMMYFUNCTION("""COMPUTED_VALUE"""),"Dump Truck")</f>
        <v>Dump Truck</v>
      </c>
      <c r="H2732" s="5" t="str">
        <f>IFERROR(__xludf.DUMMYFUNCTION("""COMPUTED_VALUE"""),"206HP")</f>
        <v>206HP</v>
      </c>
      <c r="I2732" s="5" t="str">
        <f>IFERROR(__xludf.DUMMYFUNCTION("""COMPUTED_VALUE"""),"FD1JJD11523")</f>
        <v>FD1JJD11523</v>
      </c>
      <c r="J2732" s="5" t="str">
        <f>IFERROR(__xludf.DUMMYFUNCTION("""COMPUTED_VALUE"""),"J08CJ22141")</f>
        <v>J08CJ22141</v>
      </c>
      <c r="K2732" s="5">
        <f>IFERROR(__xludf.DUMMYFUNCTION("""COMPUTED_VALUE"""),8.0)</f>
        <v>8</v>
      </c>
      <c r="L2732" s="5" t="str">
        <f>IFERROR(__xludf.DUMMYFUNCTION("""COMPUTED_VALUE"""),"-")</f>
        <v>-</v>
      </c>
    </row>
    <row r="2733">
      <c r="A2733" s="5" t="str">
        <f>IFERROR(__xludf.DUMMYFUNCTION("""COMPUTED_VALUE"""),"TNL-XTA-084")</f>
        <v>TNL-XTA-084</v>
      </c>
      <c r="B2733" s="3" t="str">
        <f>IFERROR(__xludf.DUMMYFUNCTION("""COMPUTED_VALUE"""),"Xe ben 15 tấn")</f>
        <v>Xe ben 15 tấn</v>
      </c>
      <c r="C2733" s="5" t="str">
        <f>IFERROR(__xludf.DUMMYFUNCTION("""COMPUTED_VALUE"""),"CGTC LP")</f>
        <v>CGTC LP</v>
      </c>
      <c r="D2733" s="5" t="str">
        <f>IFERROR(__xludf.DUMMYFUNCTION("""COMPUTED_VALUE"""),"HYUNDAI")</f>
        <v>HYUNDAI</v>
      </c>
      <c r="E2733" s="5"/>
      <c r="F2733" s="5">
        <f>IFERROR(__xludf.DUMMYFUNCTION("""COMPUTED_VALUE"""),1990.0)</f>
        <v>1990</v>
      </c>
      <c r="G2733" s="5" t="str">
        <f>IFERROR(__xludf.DUMMYFUNCTION("""COMPUTED_VALUE"""),"Dump Truck")</f>
        <v>Dump Truck</v>
      </c>
      <c r="H2733" s="5" t="str">
        <f>IFERROR(__xludf.DUMMYFUNCTION("""COMPUTED_VALUE"""),"320HP")</f>
        <v>320HP</v>
      </c>
      <c r="I2733" s="5" t="str">
        <f>IFERROR(__xludf.DUMMYFUNCTION("""COMPUTED_VALUE"""),"KMCDB19YPLU006100")</f>
        <v>KMCDB19YPLU006100</v>
      </c>
      <c r="J2733" s="5" t="str">
        <f>IFERROR(__xludf.DUMMYFUNCTION("""COMPUTED_VALUE"""),"D8AYLO47958")</f>
        <v>D8AYLO47958</v>
      </c>
      <c r="K2733" s="5">
        <f>IFERROR(__xludf.DUMMYFUNCTION("""COMPUTED_VALUE"""),8.0)</f>
        <v>8</v>
      </c>
      <c r="L2733" s="5" t="str">
        <f>IFERROR(__xludf.DUMMYFUNCTION("""COMPUTED_VALUE"""),"-")</f>
        <v>-</v>
      </c>
    </row>
    <row r="2734">
      <c r="A2734" s="5" t="str">
        <f>IFERROR(__xludf.DUMMYFUNCTION("""COMPUTED_VALUE"""),"TNL-XTA-085")</f>
        <v>TNL-XTA-085</v>
      </c>
      <c r="B2734" s="3" t="str">
        <f>IFERROR(__xludf.DUMMYFUNCTION("""COMPUTED_VALUE"""),"Xe ben 15 tấn")</f>
        <v>Xe ben 15 tấn</v>
      </c>
      <c r="C2734" s="5" t="str">
        <f>IFERROR(__xludf.DUMMYFUNCTION("""COMPUTED_VALUE"""),"CGTC LP")</f>
        <v>CGTC LP</v>
      </c>
      <c r="D2734" s="5" t="str">
        <f>IFERROR(__xludf.DUMMYFUNCTION("""COMPUTED_VALUE"""),"HINO")</f>
        <v>HINO</v>
      </c>
      <c r="E2734" s="5"/>
      <c r="F2734" s="5">
        <f>IFERROR(__xludf.DUMMYFUNCTION("""COMPUTED_VALUE"""),1989.0)</f>
        <v>1989</v>
      </c>
      <c r="G2734" s="5" t="str">
        <f>IFERROR(__xludf.DUMMYFUNCTION("""COMPUTED_VALUE"""),"Dump Truck")</f>
        <v>Dump Truck</v>
      </c>
      <c r="H2734" s="5" t="str">
        <f>IFERROR(__xludf.DUMMYFUNCTION("""COMPUTED_VALUE"""),"340HP")</f>
        <v>340HP</v>
      </c>
      <c r="I2734" s="5" t="str">
        <f>IFERROR(__xludf.DUMMYFUNCTION("""COMPUTED_VALUE"""),"FS630B22460")</f>
        <v>FS630B22460</v>
      </c>
      <c r="J2734" s="5" t="str">
        <f>IFERROR(__xludf.DUMMYFUNCTION("""COMPUTED_VALUE"""),"EF750C15213")</f>
        <v>EF750C15213</v>
      </c>
      <c r="K2734" s="5">
        <f>IFERROR(__xludf.DUMMYFUNCTION("""COMPUTED_VALUE"""),8.0)</f>
        <v>8</v>
      </c>
      <c r="L2734" s="5" t="str">
        <f>IFERROR(__xludf.DUMMYFUNCTION("""COMPUTED_VALUE"""),"-")</f>
        <v>-</v>
      </c>
    </row>
    <row r="2735">
      <c r="A2735" s="5" t="str">
        <f>IFERROR(__xludf.DUMMYFUNCTION("""COMPUTED_VALUE"""),"Xe chuyên dụng")</f>
        <v>Xe chuyên dụng</v>
      </c>
      <c r="B2735" s="3" t="str">
        <f>IFERROR(__xludf.DUMMYFUNCTION("""COMPUTED_VALUE"""),"1")</f>
        <v>1</v>
      </c>
      <c r="C2735" s="5"/>
      <c r="D2735" s="5"/>
      <c r="E2735" s="5"/>
      <c r="F2735" s="5"/>
      <c r="G2735" s="5"/>
      <c r="H2735" s="5"/>
      <c r="I2735" s="5"/>
      <c r="J2735" s="5"/>
      <c r="K2735" s="5"/>
      <c r="L2735" s="5" t="str">
        <f>IFERROR(__xludf.DUMMYFUNCTION("""COMPUTED_VALUE"""),"0")</f>
        <v>0</v>
      </c>
    </row>
    <row r="2736">
      <c r="A2736" s="5" t="str">
        <f>IFERROR(__xludf.DUMMYFUNCTION("""COMPUTED_VALUE"""),"TNL-XCA-001")</f>
        <v>TNL-XCA-001</v>
      </c>
      <c r="B2736" s="3" t="str">
        <f>IFERROR(__xludf.DUMMYFUNCTION("""COMPUTED_VALUE"""),"Xe cẩu 15 Tấn")</f>
        <v>Xe cẩu 15 Tấn</v>
      </c>
      <c r="C2736" s="5" t="str">
        <f>IFERROR(__xludf.DUMMYFUNCTION("""COMPUTED_VALUE"""),"B.ĐTXD AD")</f>
        <v>B.ĐTXD AD</v>
      </c>
      <c r="D2736" s="5" t="str">
        <f>IFERROR(__xludf.DUMMYFUNCTION("""COMPUTED_VALUE"""),"DEAWOO")</f>
        <v>DEAWOO</v>
      </c>
      <c r="E2736" s="5"/>
      <c r="F2736" s="5"/>
      <c r="G2736" s="5" t="str">
        <f>IFERROR(__xludf.DUMMYFUNCTION("""COMPUTED_VALUE"""),"CumminS 415PS")</f>
        <v>CumminS 415PS</v>
      </c>
      <c r="H2736" s="5" t="str">
        <f>IFERROR(__xludf.DUMMYFUNCTION("""COMPUTED_VALUE"""),"365HP")</f>
        <v>365HP</v>
      </c>
      <c r="I2736" s="5" t="str">
        <f>IFERROR(__xludf.DUMMYFUNCTION("""COMPUTED_VALUE"""),"KL3PC77C1VK000430")</f>
        <v>KL3PC77C1VK000430</v>
      </c>
      <c r="J2736" s="5" t="str">
        <f>IFERROR(__xludf.DUMMYFUNCTION("""COMPUTED_VALUE"""),"DV15T600384CA")</f>
        <v>DV15T600384CA</v>
      </c>
      <c r="K2736" s="5">
        <f>IFERROR(__xludf.DUMMYFUNCTION("""COMPUTED_VALUE"""),5.0)</f>
        <v>5</v>
      </c>
      <c r="L2736" s="5" t="str">
        <f>IFERROR(__xludf.DUMMYFUNCTION("""COMPUTED_VALUE"""),"-")</f>
        <v>-</v>
      </c>
    </row>
    <row r="2737">
      <c r="A2737" s="5" t="str">
        <f>IFERROR(__xludf.DUMMYFUNCTION("""COMPUTED_VALUE"""),"TNL-XCA-002")</f>
        <v>TNL-XCA-002</v>
      </c>
      <c r="B2737" s="3" t="str">
        <f>IFERROR(__xludf.DUMMYFUNCTION("""COMPUTED_VALUE"""),"Xe cẩu 15 Tấn")</f>
        <v>Xe cẩu 15 Tấn</v>
      </c>
      <c r="C2737" s="5" t="str">
        <f>IFERROR(__xludf.DUMMYFUNCTION("""COMPUTED_VALUE"""),"CGTC LP")</f>
        <v>CGTC LP</v>
      </c>
      <c r="D2737" s="5" t="str">
        <f>IFERROR(__xludf.DUMMYFUNCTION("""COMPUTED_VALUE"""),"HYUNDAI")</f>
        <v>HYUNDAI</v>
      </c>
      <c r="E2737" s="5"/>
      <c r="F2737" s="5">
        <f>IFERROR(__xludf.DUMMYFUNCTION("""COMPUTED_VALUE"""),2003.0)</f>
        <v>2003</v>
      </c>
      <c r="G2737" s="5" t="str">
        <f>IFERROR(__xludf.DUMMYFUNCTION("""COMPUTED_VALUE"""),"LIGHT TRUCK")</f>
        <v>LIGHT TRUCK</v>
      </c>
      <c r="H2737" s="5" t="str">
        <f>IFERROR(__xludf.DUMMYFUNCTION("""COMPUTED_VALUE"""),"320HP")</f>
        <v>320HP</v>
      </c>
      <c r="I2737" s="5" t="str">
        <f>IFERROR(__xludf.DUMMYFUNCTION("""COMPUTED_VALUE"""),"KMFPA18SP3C026684")</f>
        <v>KMFPA18SP3C026684</v>
      </c>
      <c r="J2737" s="5" t="str">
        <f>IFERROR(__xludf.DUMMYFUNCTION("""COMPUTED_VALUE"""),"076120")</f>
        <v>076120</v>
      </c>
      <c r="K2737" s="5">
        <f>IFERROR(__xludf.DUMMYFUNCTION("""COMPUTED_VALUE"""),6.0)</f>
        <v>6</v>
      </c>
      <c r="L2737" s="5" t="str">
        <f>IFERROR(__xludf.DUMMYFUNCTION("""COMPUTED_VALUE"""),"-")</f>
        <v>-</v>
      </c>
    </row>
    <row r="2738">
      <c r="A2738" s="5" t="str">
        <f>IFERROR(__xludf.DUMMYFUNCTION("""COMPUTED_VALUE"""),"Xe ban")</f>
        <v>Xe ban</v>
      </c>
      <c r="B2738" s="3" t="str">
        <f>IFERROR(__xludf.DUMMYFUNCTION("""COMPUTED_VALUE"""),"5")</f>
        <v>5</v>
      </c>
      <c r="C2738" s="5"/>
      <c r="D2738" s="5"/>
      <c r="E2738" s="5"/>
      <c r="F2738" s="5"/>
      <c r="G2738" s="5"/>
      <c r="H2738" s="5"/>
      <c r="I2738" s="5"/>
      <c r="J2738" s="5"/>
      <c r="K2738" s="5"/>
      <c r="L2738" s="5" t="str">
        <f>IFERROR(__xludf.DUMMYFUNCTION("""COMPUTED_VALUE"""),"0")</f>
        <v>0</v>
      </c>
    </row>
    <row r="2739">
      <c r="A2739" s="5" t="str">
        <f>IFERROR(__xludf.DUMMYFUNCTION("""COMPUTED_VALUE"""),"TNL-BAN-001")</f>
        <v>TNL-BAN-001</v>
      </c>
      <c r="B2739" s="3" t="str">
        <f>IFERROR(__xludf.DUMMYFUNCTION("""COMPUTED_VALUE"""),"Xe ban 15 tấn")</f>
        <v>Xe ban 15 tấn</v>
      </c>
      <c r="C2739" s="5" t="str">
        <f>IFERROR(__xludf.DUMMYFUNCTION("""COMPUTED_VALUE"""),"CGTC LP")</f>
        <v>CGTC LP</v>
      </c>
      <c r="D2739" s="5" t="str">
        <f>IFERROR(__xludf.DUMMYFUNCTION("""COMPUTED_VALUE"""),"LIUGONG")</f>
        <v>LIUGONG</v>
      </c>
      <c r="E2739" s="5"/>
      <c r="F2739" s="5">
        <f>IFERROR(__xludf.DUMMYFUNCTION("""COMPUTED_VALUE"""),2010.0)</f>
        <v>2010</v>
      </c>
      <c r="G2739" s="5" t="str">
        <f>IFERROR(__xludf.DUMMYFUNCTION("""COMPUTED_VALUE"""),"CLG 418")</f>
        <v>CLG 418</v>
      </c>
      <c r="H2739" s="5" t="str">
        <f>IFERROR(__xludf.DUMMYFUNCTION("""COMPUTED_VALUE"""),"160HP")</f>
        <v>160HP</v>
      </c>
      <c r="I2739" s="5" t="str">
        <f>IFERROR(__xludf.DUMMYFUNCTION("""COMPUTED_VALUE"""),"87813693")</f>
        <v>87813693</v>
      </c>
      <c r="J2739" s="5" t="str">
        <f>IFERROR(__xludf.DUMMYFUNCTION("""COMPUTED_VALUE"""),"G1000447")</f>
        <v>G1000447</v>
      </c>
      <c r="K2739" s="5">
        <f>IFERROR(__xludf.DUMMYFUNCTION("""COMPUTED_VALUE"""),17.0)</f>
        <v>17</v>
      </c>
      <c r="L2739" s="5" t="str">
        <f>IFERROR(__xludf.DUMMYFUNCTION("""COMPUTED_VALUE"""),"-")</f>
        <v>-</v>
      </c>
    </row>
    <row r="2740">
      <c r="A2740" s="5" t="str">
        <f>IFERROR(__xludf.DUMMYFUNCTION("""COMPUTED_VALUE"""),"TNL-BAN-002")</f>
        <v>TNL-BAN-002</v>
      </c>
      <c r="B2740" s="3" t="str">
        <f>IFERROR(__xludf.DUMMYFUNCTION("""COMPUTED_VALUE"""),"Xe ban 15 tấn")</f>
        <v>Xe ban 15 tấn</v>
      </c>
      <c r="C2740" s="5" t="str">
        <f>IFERROR(__xludf.DUMMYFUNCTION("""COMPUTED_VALUE"""),"CGTC LP")</f>
        <v>CGTC LP</v>
      </c>
      <c r="D2740" s="5" t="str">
        <f>IFERROR(__xludf.DUMMYFUNCTION("""COMPUTED_VALUE"""),"LIUGONG")</f>
        <v>LIUGONG</v>
      </c>
      <c r="E2740" s="5" t="str">
        <f>IFERROR(__xludf.DUMMYFUNCTION("""COMPUTED_VALUE"""),"TRUNG QUỐC")</f>
        <v>TRUNG QUỐC</v>
      </c>
      <c r="F2740" s="5">
        <f>IFERROR(__xludf.DUMMYFUNCTION("""COMPUTED_VALUE"""),2005.0)</f>
        <v>2005</v>
      </c>
      <c r="G2740" s="5" t="str">
        <f>IFERROR(__xludf.DUMMYFUNCTION("""COMPUTED_VALUE"""),"CLG 418")</f>
        <v>CLG 418</v>
      </c>
      <c r="H2740" s="5" t="str">
        <f>IFERROR(__xludf.DUMMYFUNCTION("""COMPUTED_VALUE"""),"220HP")</f>
        <v>220HP</v>
      </c>
      <c r="I2740" s="5" t="str">
        <f>IFERROR(__xludf.DUMMYFUNCTION("""COMPUTED_VALUE"""),"G10001153")</f>
        <v>G10001153</v>
      </c>
      <c r="J2740" s="5" t="str">
        <f>IFERROR(__xludf.DUMMYFUNCTION("""COMPUTED_VALUE"""),"811292000")</f>
        <v>811292000</v>
      </c>
      <c r="K2740" s="5">
        <f>IFERROR(__xludf.DUMMYFUNCTION("""COMPUTED_VALUE"""),17.0)</f>
        <v>17</v>
      </c>
      <c r="L2740" s="5" t="str">
        <f>IFERROR(__xludf.DUMMYFUNCTION("""COMPUTED_VALUE"""),"-")</f>
        <v>-</v>
      </c>
    </row>
    <row r="2741">
      <c r="A2741" s="5" t="str">
        <f>IFERROR(__xludf.DUMMYFUNCTION("""COMPUTED_VALUE"""),"TNL-BAN-003")</f>
        <v>TNL-BAN-003</v>
      </c>
      <c r="B2741" s="3" t="str">
        <f>IFERROR(__xludf.DUMMYFUNCTION("""COMPUTED_VALUE"""),"Xe ban 15 tấn")</f>
        <v>Xe ban 15 tấn</v>
      </c>
      <c r="C2741" s="5" t="str">
        <f>IFERROR(__xludf.DUMMYFUNCTION("""COMPUTED_VALUE"""),"CGTC LP")</f>
        <v>CGTC LP</v>
      </c>
      <c r="D2741" s="5"/>
      <c r="E2741" s="5"/>
      <c r="F2741" s="5"/>
      <c r="G2741" s="5" t="str">
        <f>IFERROR(__xludf.DUMMYFUNCTION("""COMPUTED_VALUE"""),"NHẬT BẢN")</f>
        <v>NHẬT BẢN</v>
      </c>
      <c r="H2741" s="5" t="str">
        <f>IFERROR(__xludf.DUMMYFUNCTION("""COMPUTED_VALUE"""),"2023")</f>
        <v>2023</v>
      </c>
      <c r="I2741" s="5" t="str">
        <f>IFERROR(__xludf.DUMMYFUNCTION("""COMPUTED_VALUE"""),"SEM919")</f>
        <v>SEM919</v>
      </c>
      <c r="J2741" s="5" t="str">
        <f>IFERROR(__xludf.DUMMYFUNCTION("""COMPUTED_VALUE"""),"188HP")</f>
        <v>188HP</v>
      </c>
      <c r="K2741" s="5">
        <f>IFERROR(__xludf.DUMMYFUNCTION("""COMPUTED_VALUE"""),14.7)</f>
        <v>14.7</v>
      </c>
      <c r="L2741" s="5" t="str">
        <f>IFERROR(__xludf.DUMMYFUNCTION("""COMPUTED_VALUE"""),"-")</f>
        <v>-</v>
      </c>
    </row>
    <row r="2742">
      <c r="A2742" s="5" t="str">
        <f>IFERROR(__xludf.DUMMYFUNCTION("""COMPUTED_VALUE"""),"TNL-BAN-004")</f>
        <v>TNL-BAN-004</v>
      </c>
      <c r="B2742" s="3" t="str">
        <f>IFERROR(__xludf.DUMMYFUNCTION("""COMPUTED_VALUE"""),"Xe ban 15 tấn")</f>
        <v>Xe ban 15 tấn</v>
      </c>
      <c r="C2742" s="5" t="str">
        <f>IFERROR(__xludf.DUMMYFUNCTION("""COMPUTED_VALUE"""),"CGTC LP")</f>
        <v>CGTC LP</v>
      </c>
      <c r="D2742" s="5" t="str">
        <f>IFERROR(__xludf.DUMMYFUNCTION("""COMPUTED_VALUE"""),"SANY")</f>
        <v>SANY</v>
      </c>
      <c r="E2742" s="5"/>
      <c r="F2742" s="5">
        <f>IFERROR(__xludf.DUMMYFUNCTION("""COMPUTED_VALUE"""),2021.0)</f>
        <v>2021</v>
      </c>
      <c r="G2742" s="5" t="str">
        <f>IFERROR(__xludf.DUMMYFUNCTION("""COMPUTED_VALUE"""),"STG 190C-8")</f>
        <v>STG 190C-8</v>
      </c>
      <c r="H2742" s="5" t="str">
        <f>IFERROR(__xludf.DUMMYFUNCTION("""COMPUTED_VALUE"""),"197HP")</f>
        <v>197HP</v>
      </c>
      <c r="I2742" s="5" t="str">
        <f>IFERROR(__xludf.DUMMYFUNCTION("""COMPUTED_VALUE"""),"PY5519CB0519")</f>
        <v>PY5519CB0519</v>
      </c>
      <c r="J2742" s="5" t="str">
        <f>IFERROR(__xludf.DUMMYFUNCTION("""COMPUTED_VALUE"""),"36909")</f>
        <v>36909</v>
      </c>
      <c r="K2742" s="5">
        <f>IFERROR(__xludf.DUMMYFUNCTION("""COMPUTED_VALUE"""),15.0)</f>
        <v>15</v>
      </c>
      <c r="L2742" s="5" t="str">
        <f>IFERROR(__xludf.DUMMYFUNCTION("""COMPUTED_VALUE"""),"-")</f>
        <v>-</v>
      </c>
    </row>
    <row r="2743">
      <c r="A2743" s="5" t="str">
        <f>IFERROR(__xludf.DUMMYFUNCTION("""COMPUTED_VALUE"""),"TNL-BAN-005")</f>
        <v>TNL-BAN-005</v>
      </c>
      <c r="B2743" s="3" t="str">
        <f>IFERROR(__xludf.DUMMYFUNCTION("""COMPUTED_VALUE"""),"Xe ban 15 tấn")</f>
        <v>Xe ban 15 tấn</v>
      </c>
      <c r="C2743" s="5" t="str">
        <f>IFERROR(__xludf.DUMMYFUNCTION("""COMPUTED_VALUE"""),"CGTC LP")</f>
        <v>CGTC LP</v>
      </c>
      <c r="D2743" s="5" t="str">
        <f>IFERROR(__xludf.DUMMYFUNCTION("""COMPUTED_VALUE"""),"SANY")</f>
        <v>SANY</v>
      </c>
      <c r="E2743" s="5"/>
      <c r="F2743" s="5">
        <f>IFERROR(__xludf.DUMMYFUNCTION("""COMPUTED_VALUE"""),2021.0)</f>
        <v>2021</v>
      </c>
      <c r="G2743" s="5" t="str">
        <f>IFERROR(__xludf.DUMMYFUNCTION("""COMPUTED_VALUE"""),"STG 190C-8")</f>
        <v>STG 190C-8</v>
      </c>
      <c r="H2743" s="5" t="str">
        <f>IFERROR(__xludf.DUMMYFUNCTION("""COMPUTED_VALUE"""),"197HP")</f>
        <v>197HP</v>
      </c>
      <c r="I2743" s="5" t="str">
        <f>IFERROR(__xludf.DUMMYFUNCTION("""COMPUTED_VALUE"""),"B0555")</f>
        <v>B0555</v>
      </c>
      <c r="J2743" s="5" t="str">
        <f>IFERROR(__xludf.DUMMYFUNCTION("""COMPUTED_VALUE"""),"E035206")</f>
        <v>E035206</v>
      </c>
      <c r="K2743" s="5">
        <f>IFERROR(__xludf.DUMMYFUNCTION("""COMPUTED_VALUE"""),17.0)</f>
        <v>17</v>
      </c>
      <c r="L2743" s="5" t="str">
        <f>IFERROR(__xludf.DUMMYFUNCTION("""COMPUTED_VALUE"""),"-")</f>
        <v>-</v>
      </c>
    </row>
    <row r="2744">
      <c r="A2744" s="5" t="str">
        <f>IFERROR(__xludf.DUMMYFUNCTION("""COMPUTED_VALUE"""),"TNL-BAN-006")</f>
        <v>TNL-BAN-006</v>
      </c>
      <c r="B2744" s="3" t="str">
        <f>IFERROR(__xludf.DUMMYFUNCTION("""COMPUTED_VALUE"""),"Xe ban 15 tấn")</f>
        <v>Xe ban 15 tấn</v>
      </c>
      <c r="C2744" s="5" t="str">
        <f>IFERROR(__xludf.DUMMYFUNCTION("""COMPUTED_VALUE"""),"CGTC LP")</f>
        <v>CGTC LP</v>
      </c>
      <c r="D2744" s="5" t="str">
        <f>IFERROR(__xludf.DUMMYFUNCTION("""COMPUTED_VALUE"""),"SANY")</f>
        <v>SANY</v>
      </c>
      <c r="E2744" s="5"/>
      <c r="F2744" s="5">
        <f>IFERROR(__xludf.DUMMYFUNCTION("""COMPUTED_VALUE"""),2025.0)</f>
        <v>2025</v>
      </c>
      <c r="G2744" s="5" t="str">
        <f>IFERROR(__xludf.DUMMYFUNCTION("""COMPUTED_VALUE"""),"STG 190C-8S")</f>
        <v>STG 190C-8S</v>
      </c>
      <c r="H2744" s="5" t="str">
        <f>IFERROR(__xludf.DUMMYFUNCTION("""COMPUTED_VALUE"""),"197HP")</f>
        <v>197HP</v>
      </c>
      <c r="I2744" s="5" t="str">
        <f>IFERROR(__xludf.DUMMYFUNCTION("""COMPUTED_VALUE"""),"PY5519CF0679")</f>
        <v>PY5519CF0679</v>
      </c>
      <c r="J2744" s="5" t="str">
        <f>IFERROR(__xludf.DUMMYFUNCTION("""COMPUTED_VALUE"""),"P25B004250")</f>
        <v>P25B004250</v>
      </c>
      <c r="K2744" s="5">
        <f>IFERROR(__xludf.DUMMYFUNCTION("""COMPUTED_VALUE"""),17.0)</f>
        <v>17</v>
      </c>
      <c r="L2744" s="5" t="str">
        <f>IFERROR(__xludf.DUMMYFUNCTION("""COMPUTED_VALUE"""),"-")</f>
        <v>-</v>
      </c>
    </row>
    <row r="2745">
      <c r="A2745" s="5" t="str">
        <f>IFERROR(__xludf.DUMMYFUNCTION("""COMPUTED_VALUE"""),"Máy kéo")</f>
        <v>Máy kéo</v>
      </c>
      <c r="B2745" s="3" t="str">
        <f>IFERROR(__xludf.DUMMYFUNCTION("""COMPUTED_VALUE"""),"1")</f>
        <v>1</v>
      </c>
      <c r="C2745" s="5"/>
      <c r="D2745" s="5"/>
      <c r="E2745" s="5"/>
      <c r="F2745" s="5"/>
      <c r="G2745" s="5"/>
      <c r="H2745" s="5"/>
      <c r="I2745" s="5"/>
      <c r="J2745" s="5"/>
      <c r="K2745" s="5"/>
      <c r="L2745" s="5" t="str">
        <f>IFERROR(__xludf.DUMMYFUNCTION("""COMPUTED_VALUE"""),"0")</f>
        <v>0</v>
      </c>
    </row>
    <row r="2746">
      <c r="A2746" s="5" t="str">
        <f>IFERROR(__xludf.DUMMYFUNCTION("""COMPUTED_VALUE"""),"TNL-MKE-001")</f>
        <v>TNL-MKE-001</v>
      </c>
      <c r="B2746" s="3" t="str">
        <f>IFERROR(__xludf.DUMMYFUNCTION("""COMPUTED_VALUE"""),"Máy kéo JD 5070E")</f>
        <v>Máy kéo JD 5070E</v>
      </c>
      <c r="C2746" s="5" t="str">
        <f>IFERROR(__xludf.DUMMYFUNCTION("""COMPUTED_VALUE"""),"XN Chuối LP3")</f>
        <v>XN Chuối LP3</v>
      </c>
      <c r="D2746" s="5" t="str">
        <f>IFERROR(__xludf.DUMMYFUNCTION("""COMPUTED_VALUE"""),"JOHNDEERE")</f>
        <v>JOHNDEERE</v>
      </c>
      <c r="E2746" s="5"/>
      <c r="F2746" s="5"/>
      <c r="G2746" s="5" t="str">
        <f>IFERROR(__xludf.DUMMYFUNCTION("""COMPUTED_VALUE"""),"5070E")</f>
        <v>5070E</v>
      </c>
      <c r="H2746" s="5" t="str">
        <f>IFERROR(__xludf.DUMMYFUNCTION("""COMPUTED_VALUE"""),"90HP")</f>
        <v>90HP</v>
      </c>
      <c r="I2746" s="5" t="str">
        <f>IFERROR(__xludf.DUMMYFUNCTION("""COMPUTED_VALUE"""),"1PY5075ETMA606700")</f>
        <v>1PY5075ETMA606700</v>
      </c>
      <c r="J2746" s="5" t="str">
        <f>IFERROR(__xludf.DUMMYFUNCTION("""COMPUTED_VALUE"""),"PY3029T294295")</f>
        <v>PY3029T294295</v>
      </c>
      <c r="K2746" s="5">
        <f>IFERROR(__xludf.DUMMYFUNCTION("""COMPUTED_VALUE"""),3.5)</f>
        <v>3.5</v>
      </c>
      <c r="L2746" s="5" t="str">
        <f>IFERROR(__xludf.DUMMYFUNCTION("""COMPUTED_VALUE"""),"-")</f>
        <v>-</v>
      </c>
    </row>
    <row r="2747">
      <c r="A2747" s="5" t="str">
        <f>IFERROR(__xludf.DUMMYFUNCTION("""COMPUTED_VALUE"""),"CTY DP")</f>
        <v>CTY DP</v>
      </c>
      <c r="B2747" s="3" t="str">
        <f>IFERROR(__xludf.DUMMYFUNCTION("""COMPUTED_VALUE"""),"219")</f>
        <v>219</v>
      </c>
      <c r="C2747" s="5"/>
      <c r="D2747" s="5"/>
      <c r="E2747" s="5"/>
      <c r="F2747" s="5"/>
      <c r="G2747" s="5"/>
      <c r="H2747" s="5"/>
      <c r="I2747" s="5"/>
      <c r="J2747" s="5"/>
      <c r="K2747" s="5"/>
      <c r="L2747" s="5" t="str">
        <f>IFERROR(__xludf.DUMMYFUNCTION("""COMPUTED_VALUE"""),"58")</f>
        <v>58</v>
      </c>
    </row>
    <row r="2748">
      <c r="A2748" s="5" t="str">
        <f>IFERROR(__xludf.DUMMYFUNCTION("""COMPUTED_VALUE"""),"Máy đào")</f>
        <v>Máy đào</v>
      </c>
      <c r="B2748" s="3" t="str">
        <f>IFERROR(__xludf.DUMMYFUNCTION("""COMPUTED_VALUE"""),"115")</f>
        <v>115</v>
      </c>
      <c r="C2748" s="5"/>
      <c r="D2748" s="5"/>
      <c r="E2748" s="5"/>
      <c r="F2748" s="5"/>
      <c r="G2748" s="5"/>
      <c r="H2748" s="5"/>
      <c r="I2748" s="5"/>
      <c r="J2748" s="5"/>
      <c r="K2748" s="5"/>
      <c r="L2748" s="5" t="str">
        <f>IFERROR(__xludf.DUMMYFUNCTION("""COMPUTED_VALUE"""),"23")</f>
        <v>23</v>
      </c>
    </row>
    <row r="2749">
      <c r="A2749" s="5" t="str">
        <f>IFERROR(__xludf.DUMMYFUNCTION("""COMPUTED_VALUE"""),"TND-MĐA-002")</f>
        <v>TND-MĐA-002</v>
      </c>
      <c r="B2749" s="3" t="str">
        <f>IFERROR(__xludf.DUMMYFUNCTION("""COMPUTED_VALUE"""),"Máy đào gàu 1.2m3")</f>
        <v>Máy đào gàu 1.2m3</v>
      </c>
      <c r="C2749" s="5" t="str">
        <f>IFERROR(__xludf.DUMMYFUNCTION("""COMPUTED_VALUE"""),"CGTC DP")</f>
        <v>CGTC DP</v>
      </c>
      <c r="D2749" s="5" t="str">
        <f>IFERROR(__xludf.DUMMYFUNCTION("""COMPUTED_VALUE"""),"CATERPILLAR")</f>
        <v>CATERPILLAR</v>
      </c>
      <c r="E2749" s="5"/>
      <c r="F2749" s="5"/>
      <c r="G2749" s="5" t="str">
        <f>IFERROR(__xludf.DUMMYFUNCTION("""COMPUTED_VALUE"""),"320B")</f>
        <v>320B</v>
      </c>
      <c r="H2749" s="5" t="str">
        <f>IFERROR(__xludf.DUMMYFUNCTION("""COMPUTED_VALUE"""),"130HP")</f>
        <v>130HP</v>
      </c>
      <c r="I2749" s="5" t="str">
        <f>IFERROR(__xludf.DUMMYFUNCTION("""COMPUTED_VALUE"""),"3MR00568")</f>
        <v>3MR00568</v>
      </c>
      <c r="J2749" s="5" t="str">
        <f>IFERROR(__xludf.DUMMYFUNCTION("""COMPUTED_VALUE"""),"7JK 220993")</f>
        <v>7JK 220993</v>
      </c>
      <c r="K2749" s="5"/>
      <c r="L2749" s="5" t="str">
        <f>IFERROR(__xludf.DUMMYFUNCTION("""COMPUTED_VALUE"""),"-")</f>
        <v>-</v>
      </c>
    </row>
    <row r="2750">
      <c r="A2750" s="5" t="str">
        <f>IFERROR(__xludf.DUMMYFUNCTION("""COMPUTED_VALUE"""),"TND-MĐA-003")</f>
        <v>TND-MĐA-003</v>
      </c>
      <c r="B2750" s="3" t="str">
        <f>IFERROR(__xludf.DUMMYFUNCTION("""COMPUTED_VALUE"""),"Máy đào gàu 1.2m3")</f>
        <v>Máy đào gàu 1.2m3</v>
      </c>
      <c r="C2750" s="5" t="str">
        <f>IFERROR(__xludf.DUMMYFUNCTION("""COMPUTED_VALUE"""),"CGTC DP")</f>
        <v>CGTC DP</v>
      </c>
      <c r="D2750" s="5" t="str">
        <f>IFERROR(__xludf.DUMMYFUNCTION("""COMPUTED_VALUE"""),"CATERPILLAR")</f>
        <v>CATERPILLAR</v>
      </c>
      <c r="E2750" s="5"/>
      <c r="F2750" s="5"/>
      <c r="G2750" s="5" t="str">
        <f>IFERROR(__xludf.DUMMYFUNCTION("""COMPUTED_VALUE"""),"320B")</f>
        <v>320B</v>
      </c>
      <c r="H2750" s="5" t="str">
        <f>IFERROR(__xludf.DUMMYFUNCTION("""COMPUTED_VALUE"""),"130HP")</f>
        <v>130HP</v>
      </c>
      <c r="I2750" s="5" t="str">
        <f>IFERROR(__xludf.DUMMYFUNCTION("""COMPUTED_VALUE"""),"7GJ02526")</f>
        <v>7GJ02526</v>
      </c>
      <c r="J2750" s="5" t="str">
        <f>IFERROR(__xludf.DUMMYFUNCTION("""COMPUTED_VALUE"""),"7JK 03592")</f>
        <v>7JK 03592</v>
      </c>
      <c r="K2750" s="5"/>
      <c r="L2750" s="5" t="str">
        <f>IFERROR(__xludf.DUMMYFUNCTION("""COMPUTED_VALUE"""),"-")</f>
        <v>-</v>
      </c>
    </row>
    <row r="2751">
      <c r="A2751" s="5" t="str">
        <f>IFERROR(__xludf.DUMMYFUNCTION("""COMPUTED_VALUE"""),"TND-MĐA-004")</f>
        <v>TND-MĐA-004</v>
      </c>
      <c r="B2751" s="3" t="str">
        <f>IFERROR(__xludf.DUMMYFUNCTION("""COMPUTED_VALUE"""),"Máy đào gàu 1.2m3")</f>
        <v>Máy đào gàu 1.2m3</v>
      </c>
      <c r="C2751" s="5" t="str">
        <f>IFERROR(__xludf.DUMMYFUNCTION("""COMPUTED_VALUE"""),"CGTC DP")</f>
        <v>CGTC DP</v>
      </c>
      <c r="D2751" s="5" t="str">
        <f>IFERROR(__xludf.DUMMYFUNCTION("""COMPUTED_VALUE"""),"CATERPILLAR")</f>
        <v>CATERPILLAR</v>
      </c>
      <c r="E2751" s="5"/>
      <c r="F2751" s="5"/>
      <c r="G2751" s="5" t="str">
        <f>IFERROR(__xludf.DUMMYFUNCTION("""COMPUTED_VALUE"""),"320B")</f>
        <v>320B</v>
      </c>
      <c r="H2751" s="5" t="str">
        <f>IFERROR(__xludf.DUMMYFUNCTION("""COMPUTED_VALUE"""),"130HP")</f>
        <v>130HP</v>
      </c>
      <c r="I2751" s="5" t="str">
        <f>IFERROR(__xludf.DUMMYFUNCTION("""COMPUTED_VALUE"""),"CAT320HBWZ036635")</f>
        <v>CAT320HBWZ036635</v>
      </c>
      <c r="J2751" s="5" t="str">
        <f>IFERROR(__xludf.DUMMYFUNCTION("""COMPUTED_VALUE"""),"GDC25651")</f>
        <v>GDC25651</v>
      </c>
      <c r="K2751" s="5"/>
      <c r="L2751" s="5" t="str">
        <f>IFERROR(__xludf.DUMMYFUNCTION("""COMPUTED_VALUE"""),"-")</f>
        <v>-</v>
      </c>
    </row>
    <row r="2752">
      <c r="A2752" s="5" t="str">
        <f>IFERROR(__xludf.DUMMYFUNCTION("""COMPUTED_VALUE"""),"TND-MĐA-005")</f>
        <v>TND-MĐA-005</v>
      </c>
      <c r="B2752" s="3" t="str">
        <f>IFERROR(__xludf.DUMMYFUNCTION("""COMPUTED_VALUE"""),"Máy đào gàu 1.2m3")</f>
        <v>Máy đào gàu 1.2m3</v>
      </c>
      <c r="C2752" s="5" t="str">
        <f>IFERROR(__xludf.DUMMYFUNCTION("""COMPUTED_VALUE"""),"CGTC DP")</f>
        <v>CGTC DP</v>
      </c>
      <c r="D2752" s="5" t="str">
        <f>IFERROR(__xludf.DUMMYFUNCTION("""COMPUTED_VALUE"""),"CATERPILLAR")</f>
        <v>CATERPILLAR</v>
      </c>
      <c r="E2752" s="5"/>
      <c r="F2752" s="5">
        <f>IFERROR(__xludf.DUMMYFUNCTION("""COMPUTED_VALUE"""),2017.0)</f>
        <v>2017</v>
      </c>
      <c r="G2752" s="5" t="str">
        <f>IFERROR(__xludf.DUMMYFUNCTION("""COMPUTED_VALUE"""),"320D2 GC")</f>
        <v>320D2 GC</v>
      </c>
      <c r="H2752" s="5" t="str">
        <f>IFERROR(__xludf.DUMMYFUNCTION("""COMPUTED_VALUE"""),"124HP")</f>
        <v>124HP</v>
      </c>
      <c r="I2752" s="5" t="str">
        <f>IFERROR(__xludf.DUMMYFUNCTION("""COMPUTED_VALUE"""),"CAT0320DCZBH10490")</f>
        <v>CAT0320DCZBH10490</v>
      </c>
      <c r="J2752" s="5" t="str">
        <f>IFERROR(__xludf.DUMMYFUNCTION("""COMPUTED_VALUE"""),"2W202504")</f>
        <v>2W202504</v>
      </c>
      <c r="K2752" s="5"/>
      <c r="L2752" s="5" t="str">
        <f>IFERROR(__xludf.DUMMYFUNCTION("""COMPUTED_VALUE"""),"-")</f>
        <v>-</v>
      </c>
    </row>
    <row r="2753">
      <c r="A2753" s="5" t="str">
        <f>IFERROR(__xludf.DUMMYFUNCTION("""COMPUTED_VALUE"""),"TND-MĐA-006")</f>
        <v>TND-MĐA-006</v>
      </c>
      <c r="B2753" s="3" t="str">
        <f>IFERROR(__xludf.DUMMYFUNCTION("""COMPUTED_VALUE"""),"Máy đào gàu 1.2m3")</f>
        <v>Máy đào gàu 1.2m3</v>
      </c>
      <c r="C2753" s="5" t="str">
        <f>IFERROR(__xludf.DUMMYFUNCTION("""COMPUTED_VALUE"""),"CGTC DP")</f>
        <v>CGTC DP</v>
      </c>
      <c r="D2753" s="5" t="str">
        <f>IFERROR(__xludf.DUMMYFUNCTION("""COMPUTED_VALUE"""),"CATERPILLAR")</f>
        <v>CATERPILLAR</v>
      </c>
      <c r="E2753" s="5"/>
      <c r="F2753" s="5">
        <f>IFERROR(__xludf.DUMMYFUNCTION("""COMPUTED_VALUE"""),2007.0)</f>
        <v>2007</v>
      </c>
      <c r="G2753" s="5" t="str">
        <f>IFERROR(__xludf.DUMMYFUNCTION("""COMPUTED_VALUE"""),"320D")</f>
        <v>320D</v>
      </c>
      <c r="H2753" s="5" t="str">
        <f>IFERROR(__xludf.DUMMYFUNCTION("""COMPUTED_VALUE"""),"150HP")</f>
        <v>150HP</v>
      </c>
      <c r="I2753" s="5" t="str">
        <f>IFERROR(__xludf.DUMMYFUNCTION("""COMPUTED_VALUE"""),"CAT0320DEPCM03128")</f>
        <v>CAT0320DEPCM03128</v>
      </c>
      <c r="J2753" s="5" t="str">
        <f>IFERROR(__xludf.DUMMYFUNCTION("""COMPUTED_VALUE"""),"GDC61843")</f>
        <v>GDC61843</v>
      </c>
      <c r="K2753" s="5"/>
      <c r="L2753" s="5" t="str">
        <f>IFERROR(__xludf.DUMMYFUNCTION("""COMPUTED_VALUE"""),"-")</f>
        <v>-</v>
      </c>
    </row>
    <row r="2754">
      <c r="A2754" s="5" t="str">
        <f>IFERROR(__xludf.DUMMYFUNCTION("""COMPUTED_VALUE"""),"TND-MĐA-007")</f>
        <v>TND-MĐA-007</v>
      </c>
      <c r="B2754" s="3" t="str">
        <f>IFERROR(__xludf.DUMMYFUNCTION("""COMPUTED_VALUE"""),"Máy đào gàu 1.2m3")</f>
        <v>Máy đào gàu 1.2m3</v>
      </c>
      <c r="C2754" s="5" t="str">
        <f>IFERROR(__xludf.DUMMYFUNCTION("""COMPUTED_VALUE"""),"CGTC DP")</f>
        <v>CGTC DP</v>
      </c>
      <c r="D2754" s="5" t="str">
        <f>IFERROR(__xludf.DUMMYFUNCTION("""COMPUTED_VALUE"""),"HYUNDAI")</f>
        <v>HYUNDAI</v>
      </c>
      <c r="E2754" s="5"/>
      <c r="F2754" s="5">
        <f>IFERROR(__xludf.DUMMYFUNCTION("""COMPUTED_VALUE"""),2019.0)</f>
        <v>2019</v>
      </c>
      <c r="G2754" s="5" t="str">
        <f>IFERROR(__xludf.DUMMYFUNCTION("""COMPUTED_VALUE"""),"R220LC-9S")</f>
        <v>R220LC-9S</v>
      </c>
      <c r="H2754" s="5" t="str">
        <f>IFERROR(__xludf.DUMMYFUNCTION("""COMPUTED_VALUE"""),"150HP")</f>
        <v>150HP</v>
      </c>
      <c r="I2754" s="5" t="str">
        <f>IFERROR(__xludf.DUMMYFUNCTION("""COMPUTED_VALUE"""),"HHKHZ614EK000E592")</f>
        <v>HHKHZ614EK000E592</v>
      </c>
      <c r="J2754" s="5" t="str">
        <f>IFERROR(__xludf.DUMMYFUNCTION("""COMPUTED_VALUE"""),"22363446")</f>
        <v>22363446</v>
      </c>
      <c r="K2754" s="5"/>
      <c r="L2754" s="5" t="str">
        <f>IFERROR(__xludf.DUMMYFUNCTION("""COMPUTED_VALUE"""),"-")</f>
        <v>-</v>
      </c>
    </row>
    <row r="2755">
      <c r="A2755" s="5" t="str">
        <f>IFERROR(__xludf.DUMMYFUNCTION("""COMPUTED_VALUE"""),"TND-MĐA-008")</f>
        <v>TND-MĐA-008</v>
      </c>
      <c r="B2755" s="3" t="str">
        <f>IFERROR(__xludf.DUMMYFUNCTION("""COMPUTED_VALUE"""),"Máy đào gàu 1.2m3")</f>
        <v>Máy đào gàu 1.2m3</v>
      </c>
      <c r="C2755" s="5" t="str">
        <f>IFERROR(__xludf.DUMMYFUNCTION("""COMPUTED_VALUE"""),"CGTC DP")</f>
        <v>CGTC DP</v>
      </c>
      <c r="D2755" s="5" t="str">
        <f>IFERROR(__xludf.DUMMYFUNCTION("""COMPUTED_VALUE"""),"HYUNDAI")</f>
        <v>HYUNDAI</v>
      </c>
      <c r="E2755" s="5"/>
      <c r="F2755" s="5">
        <f>IFERROR(__xludf.DUMMYFUNCTION("""COMPUTED_VALUE"""),2019.0)</f>
        <v>2019</v>
      </c>
      <c r="G2755" s="5" t="str">
        <f>IFERROR(__xludf.DUMMYFUNCTION("""COMPUTED_VALUE"""),"R220LC-9S")</f>
        <v>R220LC-9S</v>
      </c>
      <c r="H2755" s="5" t="str">
        <f>IFERROR(__xludf.DUMMYFUNCTION("""COMPUTED_VALUE"""),"150HP")</f>
        <v>150HP</v>
      </c>
      <c r="I2755" s="5" t="str">
        <f>IFERROR(__xludf.DUMMYFUNCTION("""COMPUTED_VALUE"""),"HHKHZ614HK000E591")</f>
        <v>HHKHZ614HK000E591</v>
      </c>
      <c r="J2755" s="5" t="str">
        <f>IFERROR(__xludf.DUMMYFUNCTION("""COMPUTED_VALUE"""),"22363488")</f>
        <v>22363488</v>
      </c>
      <c r="K2755" s="5"/>
      <c r="L2755" s="5" t="str">
        <f>IFERROR(__xludf.DUMMYFUNCTION("""COMPUTED_VALUE"""),"-")</f>
        <v>-</v>
      </c>
    </row>
    <row r="2756">
      <c r="A2756" s="5" t="str">
        <f>IFERROR(__xludf.DUMMYFUNCTION("""COMPUTED_VALUE"""),"TND-MĐA-009")</f>
        <v>TND-MĐA-009</v>
      </c>
      <c r="B2756" s="3" t="str">
        <f>IFERROR(__xludf.DUMMYFUNCTION("""COMPUTED_VALUE"""),"Máy đào gàu 0.7m3")</f>
        <v>Máy đào gàu 0.7m3</v>
      </c>
      <c r="C2756" s="5" t="str">
        <f>IFERROR(__xludf.DUMMYFUNCTION("""COMPUTED_VALUE"""),"CGTC DP")</f>
        <v>CGTC DP</v>
      </c>
      <c r="D2756" s="5" t="str">
        <f>IFERROR(__xludf.DUMMYFUNCTION("""COMPUTED_VALUE"""),"CATERPILLAR")</f>
        <v>CATERPILLAR</v>
      </c>
      <c r="E2756" s="5"/>
      <c r="F2756" s="5">
        <f>IFERROR(__xludf.DUMMYFUNCTION("""COMPUTED_VALUE"""),2015.0)</f>
        <v>2015</v>
      </c>
      <c r="G2756" s="5" t="str">
        <f>IFERROR(__xludf.DUMMYFUNCTION("""COMPUTED_VALUE"""),"312D GC2")</f>
        <v>312D GC2</v>
      </c>
      <c r="H2756" s="5" t="str">
        <f>IFERROR(__xludf.DUMMYFUNCTION("""COMPUTED_VALUE"""),"79HP")</f>
        <v>79HP</v>
      </c>
      <c r="I2756" s="5" t="str">
        <f>IFERROR(__xludf.DUMMYFUNCTION("""COMPUTED_VALUE"""),"CAT0312DJTJY00276")</f>
        <v>CAT0312DJTJY00276</v>
      </c>
      <c r="J2756" s="5" t="str">
        <f>IFERROR(__xludf.DUMMYFUNCTION("""COMPUTED_VALUE"""),"CST05022")</f>
        <v>CST05022</v>
      </c>
      <c r="K2756" s="5"/>
      <c r="L2756" s="5" t="str">
        <f>IFERROR(__xludf.DUMMYFUNCTION("""COMPUTED_VALUE"""),"-")</f>
        <v>-</v>
      </c>
    </row>
    <row r="2757">
      <c r="A2757" s="5" t="str">
        <f>IFERROR(__xludf.DUMMYFUNCTION("""COMPUTED_VALUE"""),"TND-MĐA-010")</f>
        <v>TND-MĐA-010</v>
      </c>
      <c r="B2757" s="3" t="str">
        <f>IFERROR(__xludf.DUMMYFUNCTION("""COMPUTED_VALUE"""),"Máy đào gàu 0.5m3")</f>
        <v>Máy đào gàu 0.5m3</v>
      </c>
      <c r="C2757" s="5" t="str">
        <f>IFERROR(__xludf.DUMMYFUNCTION("""COMPUTED_VALUE"""),"CGTC DP")</f>
        <v>CGTC DP</v>
      </c>
      <c r="D2757" s="5" t="str">
        <f>IFERROR(__xludf.DUMMYFUNCTION("""COMPUTED_VALUE"""),"CATERPILLAR")</f>
        <v>CATERPILLAR</v>
      </c>
      <c r="E2757" s="5"/>
      <c r="F2757" s="5">
        <f>IFERROR(__xludf.DUMMYFUNCTION("""COMPUTED_VALUE"""),1999.0)</f>
        <v>1999</v>
      </c>
      <c r="G2757" s="5" t="str">
        <f>IFERROR(__xludf.DUMMYFUNCTION("""COMPUTED_VALUE"""),"E110B")</f>
        <v>E110B</v>
      </c>
      <c r="H2757" s="5" t="str">
        <f>IFERROR(__xludf.DUMMYFUNCTION("""COMPUTED_VALUE"""),"89HP")</f>
        <v>89HP</v>
      </c>
      <c r="I2757" s="5" t="str">
        <f>IFERROR(__xludf.DUMMYFUNCTION("""COMPUTED_VALUE"""),"9HF00457")</f>
        <v>9HF00457</v>
      </c>
      <c r="J2757" s="5" t="str">
        <f>IFERROR(__xludf.DUMMYFUNCTION("""COMPUTED_VALUE"""),"S4K-002453")</f>
        <v>S4K-002453</v>
      </c>
      <c r="K2757" s="5"/>
      <c r="L2757" s="5" t="str">
        <f>IFERROR(__xludf.DUMMYFUNCTION("""COMPUTED_VALUE"""),"-")</f>
        <v>-</v>
      </c>
    </row>
    <row r="2758">
      <c r="A2758" s="5" t="str">
        <f>IFERROR(__xludf.DUMMYFUNCTION("""COMPUTED_VALUE"""),"TND-MĐA-011")</f>
        <v>TND-MĐA-011</v>
      </c>
      <c r="B2758" s="3" t="str">
        <f>IFERROR(__xludf.DUMMYFUNCTION("""COMPUTED_VALUE"""),"Máy đào gàu 1.2m3")</f>
        <v>Máy đào gàu 1.2m3</v>
      </c>
      <c r="C2758" s="5" t="str">
        <f>IFERROR(__xludf.DUMMYFUNCTION("""COMPUTED_VALUE"""),"CGTC DP")</f>
        <v>CGTC DP</v>
      </c>
      <c r="D2758" s="5" t="str">
        <f>IFERROR(__xludf.DUMMYFUNCTION("""COMPUTED_VALUE"""),"CATERPILLAR")</f>
        <v>CATERPILLAR</v>
      </c>
      <c r="E2758" s="5"/>
      <c r="F2758" s="5">
        <f>IFERROR(__xludf.DUMMYFUNCTION("""COMPUTED_VALUE"""),2015.0)</f>
        <v>2015</v>
      </c>
      <c r="G2758" s="5" t="str">
        <f>IFERROR(__xludf.DUMMYFUNCTION("""COMPUTED_VALUE"""),"220LC-9S")</f>
        <v>220LC-9S</v>
      </c>
      <c r="H2758" s="5" t="str">
        <f>IFERROR(__xludf.DUMMYFUNCTION("""COMPUTED_VALUE"""),"150HP")</f>
        <v>150HP</v>
      </c>
      <c r="I2758" s="5" t="str">
        <f>IFERROR(__xludf.DUMMYFUNCTION("""COMPUTED_VALUE"""),"HHKHZ614CF0008832")</f>
        <v>HHKHZ614CF0008832</v>
      </c>
      <c r="J2758" s="5" t="str">
        <f>IFERROR(__xludf.DUMMYFUNCTION("""COMPUTED_VALUE"""),"760040612")</f>
        <v>760040612</v>
      </c>
      <c r="K2758" s="5"/>
      <c r="L2758" s="5" t="str">
        <f>IFERROR(__xludf.DUMMYFUNCTION("""COMPUTED_VALUE"""),"-")</f>
        <v>-</v>
      </c>
    </row>
    <row r="2759">
      <c r="A2759" s="5" t="str">
        <f>IFERROR(__xludf.DUMMYFUNCTION("""COMPUTED_VALUE"""),"TND-MĐA-012")</f>
        <v>TND-MĐA-012</v>
      </c>
      <c r="B2759" s="3" t="str">
        <f>IFERROR(__xludf.DUMMYFUNCTION("""COMPUTED_VALUE"""),"Máy đào gàu 1.2m3")</f>
        <v>Máy đào gàu 1.2m3</v>
      </c>
      <c r="C2759" s="5" t="str">
        <f>IFERROR(__xludf.DUMMYFUNCTION("""COMPUTED_VALUE"""),"CGTC DP")</f>
        <v>CGTC DP</v>
      </c>
      <c r="D2759" s="5" t="str">
        <f>IFERROR(__xludf.DUMMYFUNCTION("""COMPUTED_VALUE"""),"HYUNDAI")</f>
        <v>HYUNDAI</v>
      </c>
      <c r="E2759" s="5"/>
      <c r="F2759" s="5">
        <f>IFERROR(__xludf.DUMMYFUNCTION("""COMPUTED_VALUE"""),2002.0)</f>
        <v>2002</v>
      </c>
      <c r="G2759" s="5" t="str">
        <f>IFERROR(__xludf.DUMMYFUNCTION("""COMPUTED_VALUE"""),"315C")</f>
        <v>315C</v>
      </c>
      <c r="H2759" s="5" t="str">
        <f>IFERROR(__xludf.DUMMYFUNCTION("""COMPUTED_VALUE"""),"115HP")</f>
        <v>115HP</v>
      </c>
      <c r="I2759" s="5" t="str">
        <f>IFERROR(__xludf.DUMMYFUNCTION("""COMPUTED_VALUE"""),"CAT0315CPBTL00198")</f>
        <v>CAT0315CPBTL00198</v>
      </c>
      <c r="J2759" s="5" t="str">
        <f>IFERROR(__xludf.DUMMYFUNCTION("""COMPUTED_VALUE"""),"MHK11026")</f>
        <v>MHK11026</v>
      </c>
      <c r="K2759" s="5"/>
      <c r="L2759" s="5" t="str">
        <f>IFERROR(__xludf.DUMMYFUNCTION("""COMPUTED_VALUE"""),"-")</f>
        <v>-</v>
      </c>
    </row>
    <row r="2760">
      <c r="A2760" s="5" t="str">
        <f>IFERROR(__xludf.DUMMYFUNCTION("""COMPUTED_VALUE"""),"TND-MĐA-013")</f>
        <v>TND-MĐA-013</v>
      </c>
      <c r="B2760" s="3" t="str">
        <f>IFERROR(__xludf.DUMMYFUNCTION("""COMPUTED_VALUE"""),"Máy đào gàu 0.8m3")</f>
        <v>Máy đào gàu 0.8m3</v>
      </c>
      <c r="C2760" s="5" t="str">
        <f>IFERROR(__xludf.DUMMYFUNCTION("""COMPUTED_VALUE"""),"CGTC DP")</f>
        <v>CGTC DP</v>
      </c>
      <c r="D2760" s="5" t="str">
        <f>IFERROR(__xludf.DUMMYFUNCTION("""COMPUTED_VALUE"""),"HYUNDAI ")</f>
        <v>HYUNDAI </v>
      </c>
      <c r="E2760" s="5"/>
      <c r="F2760" s="5">
        <f>IFERROR(__xludf.DUMMYFUNCTION("""COMPUTED_VALUE"""),2015.0)</f>
        <v>2015</v>
      </c>
      <c r="G2760" s="5" t="str">
        <f>IFERROR(__xludf.DUMMYFUNCTION("""COMPUTED_VALUE"""),"220LC-9S")</f>
        <v>220LC-9S</v>
      </c>
      <c r="H2760" s="5" t="str">
        <f>IFERROR(__xludf.DUMMYFUNCTION("""COMPUTED_VALUE"""),"150HP")</f>
        <v>150HP</v>
      </c>
      <c r="I2760" s="5" t="str">
        <f>IFERROR(__xludf.DUMMYFUNCTION("""COMPUTED_VALUE"""),"HHKHZ614CF0008832")</f>
        <v>HHKHZ614CF0008832</v>
      </c>
      <c r="J2760" s="5" t="str">
        <f>IFERROR(__xludf.DUMMYFUNCTION("""COMPUTED_VALUE"""),"760040612")</f>
        <v>760040612</v>
      </c>
      <c r="K2760" s="5"/>
      <c r="L2760" s="5" t="str">
        <f>IFERROR(__xludf.DUMMYFUNCTION("""COMPUTED_VALUE"""),"-")</f>
        <v>-</v>
      </c>
    </row>
    <row r="2761">
      <c r="A2761" s="5" t="str">
        <f>IFERROR(__xludf.DUMMYFUNCTION("""COMPUTED_VALUE"""),"TND-MĐA-014")</f>
        <v>TND-MĐA-014</v>
      </c>
      <c r="B2761" s="3" t="str">
        <f>IFERROR(__xludf.DUMMYFUNCTION("""COMPUTED_VALUE"""),"Máy đào gàu 1.2m3")</f>
        <v>Máy đào gàu 1.2m3</v>
      </c>
      <c r="C2761" s="5" t="str">
        <f>IFERROR(__xludf.DUMMYFUNCTION("""COMPUTED_VALUE"""),"CGTC DP")</f>
        <v>CGTC DP</v>
      </c>
      <c r="D2761" s="5" t="str">
        <f>IFERROR(__xludf.DUMMYFUNCTION("""COMPUTED_VALUE"""),"CATERPILLAR")</f>
        <v>CATERPILLAR</v>
      </c>
      <c r="E2761" s="5"/>
      <c r="F2761" s="5">
        <f>IFERROR(__xludf.DUMMYFUNCTION("""COMPUTED_VALUE"""),2014.0)</f>
        <v>2014</v>
      </c>
      <c r="G2761" s="5" t="str">
        <f>IFERROR(__xludf.DUMMYFUNCTION("""COMPUTED_VALUE"""),"320D2")</f>
        <v>320D2</v>
      </c>
      <c r="H2761" s="5" t="str">
        <f>IFERROR(__xludf.DUMMYFUNCTION("""COMPUTED_VALUE"""),"150HP")</f>
        <v>150HP</v>
      </c>
      <c r="I2761" s="5" t="str">
        <f>IFERROR(__xludf.DUMMYFUNCTION("""COMPUTED_VALUE"""),"CAT0320DCLCA00345")</f>
        <v>CAT0320DCLCA00345</v>
      </c>
      <c r="J2761" s="5" t="str">
        <f>IFERROR(__xludf.DUMMYFUNCTION("""COMPUTED_VALUE"""),"D7A10586")</f>
        <v>D7A10586</v>
      </c>
      <c r="K2761" s="5"/>
      <c r="L2761" s="5" t="str">
        <f>IFERROR(__xludf.DUMMYFUNCTION("""COMPUTED_VALUE"""),"-")</f>
        <v>-</v>
      </c>
    </row>
    <row r="2762">
      <c r="A2762" s="5" t="str">
        <f>IFERROR(__xludf.DUMMYFUNCTION("""COMPUTED_VALUE"""),"TND-MĐA-015")</f>
        <v>TND-MĐA-015</v>
      </c>
      <c r="B2762" s="3" t="str">
        <f>IFERROR(__xludf.DUMMYFUNCTION("""COMPUTED_VALUE"""),"Máy đào gàu 1.2m3")</f>
        <v>Máy đào gàu 1.2m3</v>
      </c>
      <c r="C2762" s="5" t="str">
        <f>IFERROR(__xludf.DUMMYFUNCTION("""COMPUTED_VALUE"""),"CGTC DP")</f>
        <v>CGTC DP</v>
      </c>
      <c r="D2762" s="5" t="str">
        <f>IFERROR(__xludf.DUMMYFUNCTION("""COMPUTED_VALUE"""),"CATERPILLAR")</f>
        <v>CATERPILLAR</v>
      </c>
      <c r="E2762" s="5"/>
      <c r="F2762" s="5">
        <f>IFERROR(__xludf.DUMMYFUNCTION("""COMPUTED_VALUE"""),1992.0)</f>
        <v>1992</v>
      </c>
      <c r="G2762" s="5" t="str">
        <f>IFERROR(__xludf.DUMMYFUNCTION("""COMPUTED_VALUE"""),"320")</f>
        <v>320</v>
      </c>
      <c r="H2762" s="5" t="str">
        <f>IFERROR(__xludf.DUMMYFUNCTION("""COMPUTED_VALUE"""),"162HP")</f>
        <v>162HP</v>
      </c>
      <c r="I2762" s="5" t="str">
        <f>IFERROR(__xludf.DUMMYFUNCTION("""COMPUTED_VALUE"""),"7CJ01435")</f>
        <v>7CJ01435</v>
      </c>
      <c r="J2762" s="5" t="str">
        <f>IFERROR(__xludf.DUMMYFUNCTION("""COMPUTED_VALUE"""),"7JK01351")</f>
        <v>7JK01351</v>
      </c>
      <c r="K2762" s="5"/>
      <c r="L2762" s="5" t="str">
        <f>IFERROR(__xludf.DUMMYFUNCTION("""COMPUTED_VALUE"""),"-")</f>
        <v>-</v>
      </c>
    </row>
    <row r="2763">
      <c r="A2763" s="5" t="str">
        <f>IFERROR(__xludf.DUMMYFUNCTION("""COMPUTED_VALUE"""),"TND-MĐA-016")</f>
        <v>TND-MĐA-016</v>
      </c>
      <c r="B2763" s="3" t="str">
        <f>IFERROR(__xludf.DUMMYFUNCTION("""COMPUTED_VALUE"""),"Máy đào gàu 0.8m3")</f>
        <v>Máy đào gàu 0.8m3</v>
      </c>
      <c r="C2763" s="5" t="str">
        <f>IFERROR(__xludf.DUMMYFUNCTION("""COMPUTED_VALUE"""),"CGTC DP")</f>
        <v>CGTC DP</v>
      </c>
      <c r="D2763" s="5" t="str">
        <f>IFERROR(__xludf.DUMMYFUNCTION("""COMPUTED_VALUE"""),"KOBELCO")</f>
        <v>KOBELCO</v>
      </c>
      <c r="E2763" s="5"/>
      <c r="F2763" s="5">
        <f>IFERROR(__xludf.DUMMYFUNCTION("""COMPUTED_VALUE"""),2021.0)</f>
        <v>2021</v>
      </c>
      <c r="G2763" s="5" t="str">
        <f>IFERROR(__xludf.DUMMYFUNCTION("""COMPUTED_VALUE"""),"SK210LC-10")</f>
        <v>SK210LC-10</v>
      </c>
      <c r="H2763" s="5" t="str">
        <f>IFERROR(__xludf.DUMMYFUNCTION("""COMPUTED_VALUE"""),"159HP")</f>
        <v>159HP</v>
      </c>
      <c r="I2763" s="5" t="str">
        <f>IFERROR(__xludf.DUMMYFUNCTION("""COMPUTED_VALUE"""),"YQ15405439")</f>
        <v>YQ15405439</v>
      </c>
      <c r="J2763" s="5" t="str">
        <f>IFERROR(__xludf.DUMMYFUNCTION("""COMPUTED_VALUE"""),"SK210LC-10")</f>
        <v>SK210LC-10</v>
      </c>
      <c r="K2763" s="5"/>
      <c r="L2763" s="5" t="str">
        <f>IFERROR(__xludf.DUMMYFUNCTION("""COMPUTED_VALUE"""),"-")</f>
        <v>-</v>
      </c>
    </row>
    <row r="2764">
      <c r="A2764" s="5" t="str">
        <f>IFERROR(__xludf.DUMMYFUNCTION("""COMPUTED_VALUE"""),"TND-MĐA-017")</f>
        <v>TND-MĐA-017</v>
      </c>
      <c r="B2764" s="3" t="str">
        <f>IFERROR(__xludf.DUMMYFUNCTION("""COMPUTED_VALUE"""),"Máy đào gàu 0.5m3")</f>
        <v>Máy đào gàu 0.5m3</v>
      </c>
      <c r="C2764" s="5" t="str">
        <f>IFERROR(__xludf.DUMMYFUNCTION("""COMPUTED_VALUE"""),"CGLĐ DP")</f>
        <v>CGLĐ DP</v>
      </c>
      <c r="D2764" s="5" t="str">
        <f>IFERROR(__xludf.DUMMYFUNCTION("""COMPUTED_VALUE"""),"CATERPILLAR")</f>
        <v>CATERPILLAR</v>
      </c>
      <c r="E2764" s="5"/>
      <c r="F2764" s="5"/>
      <c r="G2764" s="5" t="str">
        <f>IFERROR(__xludf.DUMMYFUNCTION("""COMPUTED_VALUE"""),"312C")</f>
        <v>312C</v>
      </c>
      <c r="H2764" s="5" t="str">
        <f>IFERROR(__xludf.DUMMYFUNCTION("""COMPUTED_VALUE"""),"94HP")</f>
        <v>94HP</v>
      </c>
      <c r="I2764" s="5" t="str">
        <f>IFERROR(__xludf.DUMMYFUNCTION("""COMPUTED_VALUE"""),"EA04186")</f>
        <v>EA04186</v>
      </c>
      <c r="J2764" s="5"/>
      <c r="K2764" s="5"/>
      <c r="L2764" s="5" t="str">
        <f>IFERROR(__xludf.DUMMYFUNCTION("""COMPUTED_VALUE"""),"-")</f>
        <v>-</v>
      </c>
    </row>
    <row r="2765">
      <c r="A2765" s="5" t="str">
        <f>IFERROR(__xludf.DUMMYFUNCTION("""COMPUTED_VALUE"""),"TND-MĐA-018")</f>
        <v>TND-MĐA-018</v>
      </c>
      <c r="B2765" s="3" t="str">
        <f>IFERROR(__xludf.DUMMYFUNCTION("""COMPUTED_VALUE"""),"Máy đào gàu 0.5m3")</f>
        <v>Máy đào gàu 0.5m3</v>
      </c>
      <c r="C2765" s="5" t="str">
        <f>IFERROR(__xludf.DUMMYFUNCTION("""COMPUTED_VALUE"""),"CGLĐ DP")</f>
        <v>CGLĐ DP</v>
      </c>
      <c r="D2765" s="5" t="str">
        <f>IFERROR(__xludf.DUMMYFUNCTION("""COMPUTED_VALUE"""),"CATERPILLAR")</f>
        <v>CATERPILLAR</v>
      </c>
      <c r="E2765" s="5"/>
      <c r="F2765" s="5"/>
      <c r="G2765" s="5" t="str">
        <f>IFERROR(__xludf.DUMMYFUNCTION("""COMPUTED_VALUE"""),"312D")</f>
        <v>312D</v>
      </c>
      <c r="H2765" s="5" t="str">
        <f>IFERROR(__xludf.DUMMYFUNCTION("""COMPUTED_VALUE"""),"100HP")</f>
        <v>100HP</v>
      </c>
      <c r="I2765" s="5" t="str">
        <f>IFERROR(__xludf.DUMMYFUNCTION("""COMPUTED_VALUE"""),"KFBJ01419")</f>
        <v>KFBJ01419</v>
      </c>
      <c r="J2765" s="5"/>
      <c r="K2765" s="5"/>
      <c r="L2765" s="5" t="str">
        <f>IFERROR(__xludf.DUMMYFUNCTION("""COMPUTED_VALUE"""),"-")</f>
        <v>-</v>
      </c>
    </row>
    <row r="2766">
      <c r="A2766" s="5" t="str">
        <f>IFERROR(__xludf.DUMMYFUNCTION("""COMPUTED_VALUE"""),"TND-MĐA-019")</f>
        <v>TND-MĐA-019</v>
      </c>
      <c r="B2766" s="3" t="str">
        <f>IFERROR(__xludf.DUMMYFUNCTION("""COMPUTED_VALUE"""),"Máy đào gàu 0.7m3")</f>
        <v>Máy đào gàu 0.7m3</v>
      </c>
      <c r="C2766" s="5" t="str">
        <f>IFERROR(__xludf.DUMMYFUNCTION("""COMPUTED_VALUE"""),"CGTC DP")</f>
        <v>CGTC DP</v>
      </c>
      <c r="D2766" s="5" t="str">
        <f>IFERROR(__xludf.DUMMYFUNCTION("""COMPUTED_VALUE"""),"HITACHI")</f>
        <v>HITACHI</v>
      </c>
      <c r="E2766" s="5"/>
      <c r="F2766" s="5"/>
      <c r="G2766" s="5" t="str">
        <f>IFERROR(__xludf.DUMMYFUNCTION("""COMPUTED_VALUE"""),"ZX200LC")</f>
        <v>ZX200LC</v>
      </c>
      <c r="H2766" s="5" t="str">
        <f>IFERROR(__xludf.DUMMYFUNCTION("""COMPUTED_VALUE"""),"170HP")</f>
        <v>170HP</v>
      </c>
      <c r="I2766" s="5"/>
      <c r="J2766" s="5" t="str">
        <f>IFERROR(__xludf.DUMMYFUNCTION("""COMPUTED_VALUE"""),"1394H")</f>
        <v>1394H</v>
      </c>
      <c r="K2766" s="5"/>
      <c r="L2766" s="5" t="str">
        <f>IFERROR(__xludf.DUMMYFUNCTION("""COMPUTED_VALUE"""),"-")</f>
        <v>-</v>
      </c>
    </row>
    <row r="2767">
      <c r="A2767" s="5" t="str">
        <f>IFERROR(__xludf.DUMMYFUNCTION("""COMPUTED_VALUE"""),"TND-MĐA-020")</f>
        <v>TND-MĐA-020</v>
      </c>
      <c r="B2767" s="3" t="str">
        <f>IFERROR(__xludf.DUMMYFUNCTION("""COMPUTED_VALUE"""),"Máy đào gàu 0.8m3")</f>
        <v>Máy đào gàu 0.8m3</v>
      </c>
      <c r="C2767" s="5" t="str">
        <f>IFERROR(__xludf.DUMMYFUNCTION("""COMPUTED_VALUE"""),"CGTC DP")</f>
        <v>CGTC DP</v>
      </c>
      <c r="D2767" s="5" t="str">
        <f>IFERROR(__xludf.DUMMYFUNCTION("""COMPUTED_VALUE"""),"CATERPILLAR")</f>
        <v>CATERPILLAR</v>
      </c>
      <c r="E2767" s="5"/>
      <c r="F2767" s="5"/>
      <c r="G2767" s="5" t="str">
        <f>IFERROR(__xludf.DUMMYFUNCTION("""COMPUTED_VALUE"""),"320")</f>
        <v>320</v>
      </c>
      <c r="H2767" s="5" t="str">
        <f>IFERROR(__xludf.DUMMYFUNCTION("""COMPUTED_VALUE"""),"150HP")</f>
        <v>150HP</v>
      </c>
      <c r="I2767" s="5" t="str">
        <f>IFERROR(__xludf.DUMMYFUNCTION("""COMPUTED_VALUE"""),"CAT 00320Y22BN12250")</f>
        <v>CAT 00320Y22BN12250</v>
      </c>
      <c r="J2767" s="5" t="str">
        <f>IFERROR(__xludf.DUMMYFUNCTION("""COMPUTED_VALUE"""),"G3CATEL0701265")</f>
        <v>G3CATEL0701265</v>
      </c>
      <c r="K2767" s="5"/>
      <c r="L2767" s="5" t="str">
        <f>IFERROR(__xludf.DUMMYFUNCTION("""COMPUTED_VALUE"""),"-")</f>
        <v>-</v>
      </c>
    </row>
    <row r="2768">
      <c r="A2768" s="5" t="str">
        <f>IFERROR(__xludf.DUMMYFUNCTION("""COMPUTED_VALUE"""),"TND-MĐA-021")</f>
        <v>TND-MĐA-021</v>
      </c>
      <c r="B2768" s="3" t="str">
        <f>IFERROR(__xludf.DUMMYFUNCTION("""COMPUTED_VALUE"""),"Máy đào gàu 1.2m3")</f>
        <v>Máy đào gàu 1.2m3</v>
      </c>
      <c r="C2768" s="5" t="str">
        <f>IFERROR(__xludf.DUMMYFUNCTION("""COMPUTED_VALUE"""),"CGTC DP")</f>
        <v>CGTC DP</v>
      </c>
      <c r="D2768" s="5" t="str">
        <f>IFERROR(__xludf.DUMMYFUNCTION("""COMPUTED_VALUE"""),"CATERPILLAR")</f>
        <v>CATERPILLAR</v>
      </c>
      <c r="E2768" s="5"/>
      <c r="F2768" s="5"/>
      <c r="G2768" s="5" t="str">
        <f>IFERROR(__xludf.DUMMYFUNCTION("""COMPUTED_VALUE"""),"320")</f>
        <v>320</v>
      </c>
      <c r="H2768" s="5" t="str">
        <f>IFERROR(__xludf.DUMMYFUNCTION("""COMPUTED_VALUE"""),"150HP")</f>
        <v>150HP</v>
      </c>
      <c r="I2768" s="5" t="str">
        <f>IFERROR(__xludf.DUMMYFUNCTION("""COMPUTED_VALUE"""),"AL03713")</f>
        <v>AL03713</v>
      </c>
      <c r="J2768" s="5"/>
      <c r="K2768" s="5"/>
      <c r="L2768" s="5" t="str">
        <f>IFERROR(__xludf.DUMMYFUNCTION("""COMPUTED_VALUE"""),"-")</f>
        <v>-</v>
      </c>
    </row>
    <row r="2769">
      <c r="A2769" s="5" t="str">
        <f>IFERROR(__xludf.DUMMYFUNCTION("""COMPUTED_VALUE"""),"TND-MĐA-022")</f>
        <v>TND-MĐA-022</v>
      </c>
      <c r="B2769" s="3" t="str">
        <f>IFERROR(__xludf.DUMMYFUNCTION("""COMPUTED_VALUE"""),"Máy đào gàu 1.2m3")</f>
        <v>Máy đào gàu 1.2m3</v>
      </c>
      <c r="C2769" s="5" t="str">
        <f>IFERROR(__xludf.DUMMYFUNCTION("""COMPUTED_VALUE"""),"CGTC DP")</f>
        <v>CGTC DP</v>
      </c>
      <c r="D2769" s="5" t="str">
        <f>IFERROR(__xludf.DUMMYFUNCTION("""COMPUTED_VALUE"""),"VOLVO ")</f>
        <v>VOLVO </v>
      </c>
      <c r="E2769" s="5"/>
      <c r="F2769" s="5"/>
      <c r="G2769" s="5"/>
      <c r="H2769" s="5" t="str">
        <f>IFERROR(__xludf.DUMMYFUNCTION("""COMPUTED_VALUE"""),"150HP")</f>
        <v>150HP</v>
      </c>
      <c r="I2769" s="5" t="str">
        <f>IFERROR(__xludf.DUMMYFUNCTION("""COMPUTED_VALUE"""),"J00252219")</f>
        <v>J00252219</v>
      </c>
      <c r="J2769" s="5"/>
      <c r="K2769" s="5"/>
      <c r="L2769" s="5" t="str">
        <f>IFERROR(__xludf.DUMMYFUNCTION("""COMPUTED_VALUE"""),"-")</f>
        <v>-</v>
      </c>
    </row>
    <row r="2770">
      <c r="A2770" s="5" t="str">
        <f>IFERROR(__xludf.DUMMYFUNCTION("""COMPUTED_VALUE"""),"TND-MĐA-023")</f>
        <v>TND-MĐA-023</v>
      </c>
      <c r="B2770" s="3" t="str">
        <f>IFERROR(__xludf.DUMMYFUNCTION("""COMPUTED_VALUE"""),"Máy đào gàu 0.5m3")</f>
        <v>Máy đào gàu 0.5m3</v>
      </c>
      <c r="C2770" s="5" t="str">
        <f>IFERROR(__xludf.DUMMYFUNCTION("""COMPUTED_VALUE"""),"XN Chuối DP1")</f>
        <v>XN Chuối DP1</v>
      </c>
      <c r="D2770" s="5" t="str">
        <f>IFERROR(__xludf.DUMMYFUNCTION("""COMPUTED_VALUE"""),"CATERPILLAR")</f>
        <v>CATERPILLAR</v>
      </c>
      <c r="E2770" s="5"/>
      <c r="F2770" s="5">
        <f>IFERROR(__xludf.DUMMYFUNCTION("""COMPUTED_VALUE"""),2021.0)</f>
        <v>2021</v>
      </c>
      <c r="G2770" s="5" t="str">
        <f>IFERROR(__xludf.DUMMYFUNCTION("""COMPUTED_VALUE"""),"313D2 GC")</f>
        <v>313D2 GC</v>
      </c>
      <c r="H2770" s="5" t="str">
        <f>IFERROR(__xludf.DUMMYFUNCTION("""COMPUTED_VALUE"""),"100HP")</f>
        <v>100HP</v>
      </c>
      <c r="I2770" s="5" t="str">
        <f>IFERROR(__xludf.DUMMYFUNCTION("""COMPUTED_VALUE"""),"CAT0313DVGAP17549")</f>
        <v>CAT0313DVGAP17549</v>
      </c>
      <c r="J2770" s="5" t="str">
        <f>IFERROR(__xludf.DUMMYFUNCTION("""COMPUTED_VALUE"""),"MFX11725")</f>
        <v>MFX11725</v>
      </c>
      <c r="K2770" s="5"/>
      <c r="L2770" s="5" t="str">
        <f>IFERROR(__xludf.DUMMYFUNCTION("""COMPUTED_VALUE"""),"-")</f>
        <v>-</v>
      </c>
    </row>
    <row r="2771">
      <c r="A2771" s="5" t="str">
        <f>IFERROR(__xludf.DUMMYFUNCTION("""COMPUTED_VALUE"""),"TND-MĐA-024")</f>
        <v>TND-MĐA-024</v>
      </c>
      <c r="B2771" s="3" t="str">
        <f>IFERROR(__xludf.DUMMYFUNCTION("""COMPUTED_VALUE"""),"Máy đào gàu 1.0m3")</f>
        <v>Máy đào gàu 1.0m3</v>
      </c>
      <c r="C2771" s="5" t="str">
        <f>IFERROR(__xludf.DUMMYFUNCTION("""COMPUTED_VALUE"""),"CGTC DP")</f>
        <v>CGTC DP</v>
      </c>
      <c r="D2771" s="5" t="str">
        <f>IFERROR(__xludf.DUMMYFUNCTION("""COMPUTED_VALUE"""),"CAT")</f>
        <v>CAT</v>
      </c>
      <c r="E2771" s="5"/>
      <c r="F2771" s="5">
        <f>IFERROR(__xludf.DUMMYFUNCTION("""COMPUTED_VALUE"""),1997.0)</f>
        <v>1997</v>
      </c>
      <c r="G2771" s="5" t="str">
        <f>IFERROR(__xludf.DUMMYFUNCTION("""COMPUTED_VALUE"""),"3066")</f>
        <v>3066</v>
      </c>
      <c r="H2771" s="5" t="str">
        <f>IFERROR(__xludf.DUMMYFUNCTION("""COMPUTED_VALUE"""),"128HP")</f>
        <v>128HP</v>
      </c>
      <c r="I2771" s="5" t="str">
        <f>IFERROR(__xludf.DUMMYFUNCTION("""COMPUTED_VALUE"""),"Mất số khung")</f>
        <v>Mất số khung</v>
      </c>
      <c r="J2771" s="5" t="str">
        <f>IFERROR(__xludf.DUMMYFUNCTION("""COMPUTED_VALUE"""),"75K-17607")</f>
        <v>75K-17607</v>
      </c>
      <c r="K2771" s="5">
        <f>IFERROR(__xludf.DUMMYFUNCTION("""COMPUTED_VALUE"""),16.2)</f>
        <v>16.2</v>
      </c>
      <c r="L2771" s="5" t="str">
        <f>IFERROR(__xludf.DUMMYFUNCTION("""COMPUTED_VALUE"""),"-")</f>
        <v>-</v>
      </c>
    </row>
    <row r="2772">
      <c r="A2772" s="5" t="str">
        <f>IFERROR(__xludf.DUMMYFUNCTION("""COMPUTED_VALUE"""),"TND-MĐA-025")</f>
        <v>TND-MĐA-025</v>
      </c>
      <c r="B2772" s="3" t="str">
        <f>IFERROR(__xludf.DUMMYFUNCTION("""COMPUTED_VALUE"""),"Máy đào gàu 1.0m3")</f>
        <v>Máy đào gàu 1.0m3</v>
      </c>
      <c r="C2772" s="5" t="str">
        <f>IFERROR(__xludf.DUMMYFUNCTION("""COMPUTED_VALUE"""),"CGTC DP")</f>
        <v>CGTC DP</v>
      </c>
      <c r="D2772" s="5" t="str">
        <f>IFERROR(__xludf.DUMMYFUNCTION("""COMPUTED_VALUE"""),"CAT")</f>
        <v>CAT</v>
      </c>
      <c r="E2772" s="5"/>
      <c r="F2772" s="5">
        <f>IFERROR(__xludf.DUMMYFUNCTION("""COMPUTED_VALUE"""),1997.0)</f>
        <v>1997</v>
      </c>
      <c r="G2772" s="5" t="str">
        <f>IFERROR(__xludf.DUMMYFUNCTION("""COMPUTED_VALUE"""),"320BL")</f>
        <v>320BL</v>
      </c>
      <c r="H2772" s="5" t="str">
        <f>IFERROR(__xludf.DUMMYFUNCTION("""COMPUTED_VALUE"""),"128HP")</f>
        <v>128HP</v>
      </c>
      <c r="I2772" s="5" t="str">
        <f>IFERROR(__xludf.DUMMYFUNCTION("""COMPUTED_VALUE"""),"6CR02736")</f>
        <v>6CR02736</v>
      </c>
      <c r="J2772" s="5" t="str">
        <f>IFERROR(__xludf.DUMMYFUNCTION("""COMPUTED_VALUE"""),"MAE22338")</f>
        <v>MAE22338</v>
      </c>
      <c r="K2772" s="5">
        <f>IFERROR(__xludf.DUMMYFUNCTION("""COMPUTED_VALUE"""),16.5)</f>
        <v>16.5</v>
      </c>
      <c r="L2772" s="5" t="str">
        <f>IFERROR(__xludf.DUMMYFUNCTION("""COMPUTED_VALUE"""),"-")</f>
        <v>-</v>
      </c>
    </row>
    <row r="2773">
      <c r="A2773" s="5" t="str">
        <f>IFERROR(__xludf.DUMMYFUNCTION("""COMPUTED_VALUE"""),"TND-MĐA-026")</f>
        <v>TND-MĐA-026</v>
      </c>
      <c r="B2773" s="3" t="str">
        <f>IFERROR(__xludf.DUMMYFUNCTION("""COMPUTED_VALUE"""),"Máy đào gàu 1.0m3")</f>
        <v>Máy đào gàu 1.0m3</v>
      </c>
      <c r="C2773" s="5" t="str">
        <f>IFERROR(__xludf.DUMMYFUNCTION("""COMPUTED_VALUE"""),"CGTC DP")</f>
        <v>CGTC DP</v>
      </c>
      <c r="D2773" s="5" t="str">
        <f>IFERROR(__xludf.DUMMYFUNCTION("""COMPUTED_VALUE"""),"CAT")</f>
        <v>CAT</v>
      </c>
      <c r="E2773" s="5"/>
      <c r="F2773" s="5">
        <f>IFERROR(__xludf.DUMMYFUNCTION("""COMPUTED_VALUE"""),1997.0)</f>
        <v>1997</v>
      </c>
      <c r="G2773" s="5" t="str">
        <f>IFERROR(__xludf.DUMMYFUNCTION("""COMPUTED_VALUE"""),"E320B")</f>
        <v>E320B</v>
      </c>
      <c r="H2773" s="5" t="str">
        <f>IFERROR(__xludf.DUMMYFUNCTION("""COMPUTED_VALUE"""),"128HP")</f>
        <v>128HP</v>
      </c>
      <c r="I2773" s="5" t="str">
        <f>IFERROR(__xludf.DUMMYFUNCTION("""COMPUTED_VALUE"""),"3RM-03398")</f>
        <v>3RM-03398</v>
      </c>
      <c r="J2773" s="5" t="str">
        <f>IFERROR(__xludf.DUMMYFUNCTION("""COMPUTED_VALUE"""),"7JK32223")</f>
        <v>7JK32223</v>
      </c>
      <c r="K2773" s="5">
        <f>IFERROR(__xludf.DUMMYFUNCTION("""COMPUTED_VALUE"""),16.0)</f>
        <v>16</v>
      </c>
      <c r="L2773" s="5" t="str">
        <f>IFERROR(__xludf.DUMMYFUNCTION("""COMPUTED_VALUE"""),"-")</f>
        <v>-</v>
      </c>
    </row>
    <row r="2774">
      <c r="A2774" s="5" t="str">
        <f>IFERROR(__xludf.DUMMYFUNCTION("""COMPUTED_VALUE"""),"TND-MĐA-027")</f>
        <v>TND-MĐA-027</v>
      </c>
      <c r="B2774" s="3" t="str">
        <f>IFERROR(__xludf.DUMMYFUNCTION("""COMPUTED_VALUE"""),"Máy đào gàu 0.8m3")</f>
        <v>Máy đào gàu 0.8m3</v>
      </c>
      <c r="C2774" s="5" t="str">
        <f>IFERROR(__xludf.DUMMYFUNCTION("""COMPUTED_VALUE"""),"CGTC DP")</f>
        <v>CGTC DP</v>
      </c>
      <c r="D2774" s="5" t="str">
        <f>IFERROR(__xludf.DUMMYFUNCTION("""COMPUTED_VALUE"""),"HITACHI")</f>
        <v>HITACHI</v>
      </c>
      <c r="E2774" s="5" t="str">
        <f>IFERROR(__xludf.DUMMYFUNCTION("""COMPUTED_VALUE"""),"NHẬT BẢN")</f>
        <v>NHẬT BẢN</v>
      </c>
      <c r="F2774" s="5">
        <f>IFERROR(__xludf.DUMMYFUNCTION("""COMPUTED_VALUE"""),2020.0)</f>
        <v>2020</v>
      </c>
      <c r="G2774" s="5" t="str">
        <f>IFERROR(__xludf.DUMMYFUNCTION("""COMPUTED_VALUE"""),"ZX200")</f>
        <v>ZX200</v>
      </c>
      <c r="H2774" s="5" t="str">
        <f>IFERROR(__xludf.DUMMYFUNCTION("""COMPUTED_VALUE"""),"147HP")</f>
        <v>147HP</v>
      </c>
      <c r="I2774" s="5" t="str">
        <f>IFERROR(__xludf.DUMMYFUNCTION("""COMPUTED_VALUE"""),"112715")</f>
        <v>112715</v>
      </c>
      <c r="J2774" s="5" t="str">
        <f>IFERROR(__xludf.DUMMYFUNCTION("""COMPUTED_VALUE"""),"6BG1-189026")</f>
        <v>6BG1-189026</v>
      </c>
      <c r="K2774" s="5">
        <f>IFERROR(__xludf.DUMMYFUNCTION("""COMPUTED_VALUE"""),13.8)</f>
        <v>13.8</v>
      </c>
      <c r="L2774" s="5" t="str">
        <f>IFERROR(__xludf.DUMMYFUNCTION("""COMPUTED_VALUE"""),"-")</f>
        <v>-</v>
      </c>
    </row>
    <row r="2775">
      <c r="A2775" s="5" t="str">
        <f>IFERROR(__xludf.DUMMYFUNCTION("""COMPUTED_VALUE"""),"TND-MĐA-028")</f>
        <v>TND-MĐA-028</v>
      </c>
      <c r="B2775" s="3" t="str">
        <f>IFERROR(__xludf.DUMMYFUNCTION("""COMPUTED_VALUE"""),"Máy đào gàu 0.8m3")</f>
        <v>Máy đào gàu 0.8m3</v>
      </c>
      <c r="C2775" s="5" t="str">
        <f>IFERROR(__xludf.DUMMYFUNCTION("""COMPUTED_VALUE"""),"CGTC DP")</f>
        <v>CGTC DP</v>
      </c>
      <c r="D2775" s="5" t="str">
        <f>IFERROR(__xludf.DUMMYFUNCTION("""COMPUTED_VALUE"""),"CAT")</f>
        <v>CAT</v>
      </c>
      <c r="E2775" s="5" t="str">
        <f>IFERROR(__xludf.DUMMYFUNCTION("""COMPUTED_VALUE"""),"NHẬT BẢN")</f>
        <v>NHẬT BẢN</v>
      </c>
      <c r="F2775" s="5">
        <f>IFERROR(__xludf.DUMMYFUNCTION("""COMPUTED_VALUE"""),2021.0)</f>
        <v>2021</v>
      </c>
      <c r="G2775" s="5" t="str">
        <f>IFERROR(__xludf.DUMMYFUNCTION("""COMPUTED_VALUE"""),"320D")</f>
        <v>320D</v>
      </c>
      <c r="H2775" s="5" t="str">
        <f>IFERROR(__xludf.DUMMYFUNCTION("""COMPUTED_VALUE"""),"134HP")</f>
        <v>134HP</v>
      </c>
      <c r="I2775" s="5" t="str">
        <f>IFERROR(__xludf.DUMMYFUNCTION("""COMPUTED_VALUE"""),"CAT0320DPAMR00606")</f>
        <v>CAT0320DPAMR00606</v>
      </c>
      <c r="J2775" s="5" t="str">
        <f>IFERROR(__xludf.DUMMYFUNCTION("""COMPUTED_VALUE"""),"MAE08936")</f>
        <v>MAE08936</v>
      </c>
      <c r="K2775" s="5">
        <f>IFERROR(__xludf.DUMMYFUNCTION("""COMPUTED_VALUE"""),14.5)</f>
        <v>14.5</v>
      </c>
      <c r="L2775" s="5" t="str">
        <f>IFERROR(__xludf.DUMMYFUNCTION("""COMPUTED_VALUE"""),"-")</f>
        <v>-</v>
      </c>
    </row>
    <row r="2776">
      <c r="A2776" s="5" t="str">
        <f>IFERROR(__xludf.DUMMYFUNCTION("""COMPUTED_VALUE"""),"TND-MĐA-029")</f>
        <v>TND-MĐA-029</v>
      </c>
      <c r="B2776" s="3" t="str">
        <f>IFERROR(__xludf.DUMMYFUNCTION("""COMPUTED_VALUE"""),"Máy đào gàu 0.8m3")</f>
        <v>Máy đào gàu 0.8m3</v>
      </c>
      <c r="C2776" s="5" t="str">
        <f>IFERROR(__xludf.DUMMYFUNCTION("""COMPUTED_VALUE"""),"CGTC DP")</f>
        <v>CGTC DP</v>
      </c>
      <c r="D2776" s="5" t="str">
        <f>IFERROR(__xludf.DUMMYFUNCTION("""COMPUTED_VALUE"""),"CAT")</f>
        <v>CAT</v>
      </c>
      <c r="E2776" s="5" t="str">
        <f>IFERROR(__xludf.DUMMYFUNCTION("""COMPUTED_VALUE"""),"NHẬT BẢN")</f>
        <v>NHẬT BẢN</v>
      </c>
      <c r="F2776" s="5">
        <f>IFERROR(__xludf.DUMMYFUNCTION("""COMPUTED_VALUE"""),2020.0)</f>
        <v>2020</v>
      </c>
      <c r="G2776" s="5" t="str">
        <f>IFERROR(__xludf.DUMMYFUNCTION("""COMPUTED_VALUE"""),"CAT320")</f>
        <v>CAT320</v>
      </c>
      <c r="H2776" s="5" t="str">
        <f>IFERROR(__xludf.DUMMYFUNCTION("""COMPUTED_VALUE"""),"134HP")</f>
        <v>134HP</v>
      </c>
      <c r="I2776" s="5" t="str">
        <f>IFERROR(__xludf.DUMMYFUNCTION("""COMPUTED_VALUE"""),"3XM05087")</f>
        <v>3XM05087</v>
      </c>
      <c r="J2776" s="5" t="str">
        <f>IFERROR(__xludf.DUMMYFUNCTION("""COMPUTED_VALUE"""),"7JK20972")</f>
        <v>7JK20972</v>
      </c>
      <c r="K2776" s="5">
        <f>IFERROR(__xludf.DUMMYFUNCTION("""COMPUTED_VALUE"""),14.0)</f>
        <v>14</v>
      </c>
      <c r="L2776" s="5" t="str">
        <f>IFERROR(__xludf.DUMMYFUNCTION("""COMPUTED_VALUE"""),"-")</f>
        <v>-</v>
      </c>
    </row>
    <row r="2777">
      <c r="A2777" s="5" t="str">
        <f>IFERROR(__xludf.DUMMYFUNCTION("""COMPUTED_VALUE"""),"TND-MĐA-030")</f>
        <v>TND-MĐA-030</v>
      </c>
      <c r="B2777" s="3" t="str">
        <f>IFERROR(__xludf.DUMMYFUNCTION("""COMPUTED_VALUE"""),"Máy đào gàu 0.8m3")</f>
        <v>Máy đào gàu 0.8m3</v>
      </c>
      <c r="C2777" s="5" t="str">
        <f>IFERROR(__xludf.DUMMYFUNCTION("""COMPUTED_VALUE"""),"CGTC DP")</f>
        <v>CGTC DP</v>
      </c>
      <c r="D2777" s="5" t="str">
        <f>IFERROR(__xludf.DUMMYFUNCTION("""COMPUTED_VALUE"""),"CAT")</f>
        <v>CAT</v>
      </c>
      <c r="E2777" s="5" t="str">
        <f>IFERROR(__xludf.DUMMYFUNCTION("""COMPUTED_VALUE"""),"NHẬ̣T BẢN")</f>
        <v>NHẬ̣T BẢN</v>
      </c>
      <c r="F2777" s="5">
        <f>IFERROR(__xludf.DUMMYFUNCTION("""COMPUTED_VALUE"""),1992.0)</f>
        <v>1992</v>
      </c>
      <c r="G2777" s="5" t="str">
        <f>IFERROR(__xludf.DUMMYFUNCTION("""COMPUTED_VALUE"""),"CAT320")</f>
        <v>CAT320</v>
      </c>
      <c r="H2777" s="5" t="str">
        <f>IFERROR(__xludf.DUMMYFUNCTION("""COMPUTED_VALUE"""),"140HP")</f>
        <v>140HP</v>
      </c>
      <c r="I2777" s="5" t="str">
        <f>IFERROR(__xludf.DUMMYFUNCTION("""COMPUTED_VALUE"""),"3XM00958")</f>
        <v>3XM00958</v>
      </c>
      <c r="J2777" s="5" t="str">
        <f>IFERROR(__xludf.DUMMYFUNCTION("""COMPUTED_VALUE"""),"7JK10425")</f>
        <v>7JK10425</v>
      </c>
      <c r="K2777" s="5">
        <f>IFERROR(__xludf.DUMMYFUNCTION("""COMPUTED_VALUE"""),14.5)</f>
        <v>14.5</v>
      </c>
      <c r="L2777" s="5" t="str">
        <f>IFERROR(__xludf.DUMMYFUNCTION("""COMPUTED_VALUE"""),"-")</f>
        <v>-</v>
      </c>
    </row>
    <row r="2778">
      <c r="A2778" s="5" t="str">
        <f>IFERROR(__xludf.DUMMYFUNCTION("""COMPUTED_VALUE"""),"TND-MĐA-031")</f>
        <v>TND-MĐA-031</v>
      </c>
      <c r="B2778" s="3" t="str">
        <f>IFERROR(__xludf.DUMMYFUNCTION("""COMPUTED_VALUE"""),"Máy đào gàu 0.5m3")</f>
        <v>Máy đào gàu 0.5m3</v>
      </c>
      <c r="C2778" s="5" t="str">
        <f>IFERROR(__xludf.DUMMYFUNCTION("""COMPUTED_VALUE"""),"XN Chuối DP1")</f>
        <v>XN Chuối DP1</v>
      </c>
      <c r="D2778" s="5" t="str">
        <f>IFERROR(__xludf.DUMMYFUNCTION("""COMPUTED_VALUE"""),"CAT")</f>
        <v>CAT</v>
      </c>
      <c r="E2778" s="5" t="str">
        <f>IFERROR(__xludf.DUMMYFUNCTION("""COMPUTED_VALUE"""),"NHẬT BẢN")</f>
        <v>NHẬT BẢN</v>
      </c>
      <c r="F2778" s="5">
        <f>IFERROR(__xludf.DUMMYFUNCTION("""COMPUTED_VALUE"""),1999.0)</f>
        <v>1999</v>
      </c>
      <c r="G2778" s="5" t="str">
        <f>IFERROR(__xludf.DUMMYFUNCTION("""COMPUTED_VALUE"""),"E110B")</f>
        <v>E110B</v>
      </c>
      <c r="H2778" s="5" t="str">
        <f>IFERROR(__xludf.DUMMYFUNCTION("""COMPUTED_VALUE"""),"100HP")</f>
        <v>100HP</v>
      </c>
      <c r="I2778" s="5" t="str">
        <f>IFERROR(__xludf.DUMMYFUNCTION("""COMPUTED_VALUE"""),"9HF00457")</f>
        <v>9HF00457</v>
      </c>
      <c r="J2778" s="5" t="str">
        <f>IFERROR(__xludf.DUMMYFUNCTION("""COMPUTED_VALUE"""),"S4K-002453")</f>
        <v>S4K-002453</v>
      </c>
      <c r="K2778" s="5">
        <f>IFERROR(__xludf.DUMMYFUNCTION("""COMPUTED_VALUE"""),12.0)</f>
        <v>12</v>
      </c>
      <c r="L2778" s="5" t="str">
        <f>IFERROR(__xludf.DUMMYFUNCTION("""COMPUTED_VALUE"""),"-")</f>
        <v>-</v>
      </c>
    </row>
    <row r="2779">
      <c r="A2779" s="5" t="str">
        <f>IFERROR(__xludf.DUMMYFUNCTION("""COMPUTED_VALUE"""),"TND-MĐA-032")</f>
        <v>TND-MĐA-032</v>
      </c>
      <c r="B2779" s="3" t="str">
        <f>IFERROR(__xludf.DUMMYFUNCTION("""COMPUTED_VALUE"""),"Máy đào gàu 1.2m3")</f>
        <v>Máy đào gàu 1.2m3</v>
      </c>
      <c r="C2779" s="5" t="str">
        <f>IFERROR(__xludf.DUMMYFUNCTION("""COMPUTED_VALUE"""),"CGTC DP")</f>
        <v>CGTC DP</v>
      </c>
      <c r="D2779" s="5" t="str">
        <f>IFERROR(__xludf.DUMMYFUNCTION("""COMPUTED_VALUE"""),"VOLVO")</f>
        <v>VOLVO</v>
      </c>
      <c r="E2779" s="5" t="str">
        <f>IFERROR(__xludf.DUMMYFUNCTION("""COMPUTED_VALUE"""),"NHẬT BẢN")</f>
        <v>NHẬT BẢN</v>
      </c>
      <c r="F2779" s="5">
        <f>IFERROR(__xludf.DUMMYFUNCTION("""COMPUTED_VALUE"""),2014.0)</f>
        <v>2014</v>
      </c>
      <c r="G2779" s="5" t="str">
        <f>IFERROR(__xludf.DUMMYFUNCTION("""COMPUTED_VALUE"""),"EC210B")</f>
        <v>EC210B</v>
      </c>
      <c r="H2779" s="5" t="str">
        <f>IFERROR(__xludf.DUMMYFUNCTION("""COMPUTED_VALUE"""),"165HP")</f>
        <v>165HP</v>
      </c>
      <c r="I2779" s="5" t="str">
        <f>IFERROR(__xludf.DUMMYFUNCTION("""COMPUTED_VALUE"""),"VCE210BJ00082216")</f>
        <v>VCE210BJ00082216</v>
      </c>
      <c r="J2779" s="5" t="str">
        <f>IFERROR(__xludf.DUMMYFUNCTION("""COMPUTED_VALUE"""),"11511966")</f>
        <v>11511966</v>
      </c>
      <c r="K2779" s="5">
        <f>IFERROR(__xludf.DUMMYFUNCTION("""COMPUTED_VALUE"""),16.5)</f>
        <v>16.5</v>
      </c>
      <c r="L2779" s="5" t="str">
        <f>IFERROR(__xludf.DUMMYFUNCTION("""COMPUTED_VALUE"""),"-")</f>
        <v>-</v>
      </c>
    </row>
    <row r="2780">
      <c r="A2780" s="5" t="str">
        <f>IFERROR(__xludf.DUMMYFUNCTION("""COMPUTED_VALUE"""),"TND-MĐA-033")</f>
        <v>TND-MĐA-033</v>
      </c>
      <c r="B2780" s="3" t="str">
        <f>IFERROR(__xludf.DUMMYFUNCTION("""COMPUTED_VALUE"""),"Máy đào gàu 0.5m3")</f>
        <v>Máy đào gàu 0.5m3</v>
      </c>
      <c r="C2780" s="5" t="str">
        <f>IFERROR(__xludf.DUMMYFUNCTION("""COMPUTED_VALUE"""),"CGTC DP")</f>
        <v>CGTC DP</v>
      </c>
      <c r="D2780" s="5" t="str">
        <f>IFERROR(__xludf.DUMMYFUNCTION("""COMPUTED_VALUE"""),"LIUGONG")</f>
        <v>LIUGONG</v>
      </c>
      <c r="E2780" s="5" t="str">
        <f>IFERROR(__xludf.DUMMYFUNCTION("""COMPUTED_VALUE"""),"TRUNG QUỐC")</f>
        <v>TRUNG QUỐC</v>
      </c>
      <c r="F2780" s="5">
        <f>IFERROR(__xludf.DUMMYFUNCTION("""COMPUTED_VALUE"""),2011.0)</f>
        <v>2011</v>
      </c>
      <c r="G2780" s="5" t="str">
        <f>IFERROR(__xludf.DUMMYFUNCTION("""COMPUTED_VALUE"""),"CL915D")</f>
        <v>CL915D</v>
      </c>
      <c r="H2780" s="5" t="str">
        <f>IFERROR(__xludf.DUMMYFUNCTION("""COMPUTED_VALUE"""),"115HP")</f>
        <v>115HP</v>
      </c>
      <c r="I2780" s="5" t="str">
        <f>IFERROR(__xludf.DUMMYFUNCTION("""COMPUTED_VALUE"""),"CL0915DPE029806")</f>
        <v>CL0915DPE029806</v>
      </c>
      <c r="J2780" s="5" t="str">
        <f>IFERROR(__xludf.DUMMYFUNCTION("""COMPUTED_VALUE"""),"20110720")</f>
        <v>20110720</v>
      </c>
      <c r="K2780" s="5">
        <f>IFERROR(__xludf.DUMMYFUNCTION("""COMPUTED_VALUE"""),10.0)</f>
        <v>10</v>
      </c>
      <c r="L2780" s="5" t="str">
        <f>IFERROR(__xludf.DUMMYFUNCTION("""COMPUTED_VALUE"""),"-")</f>
        <v>-</v>
      </c>
    </row>
    <row r="2781">
      <c r="A2781" s="5" t="str">
        <f>IFERROR(__xludf.DUMMYFUNCTION("""COMPUTED_VALUE"""),"TND-MĐA-034")</f>
        <v>TND-MĐA-034</v>
      </c>
      <c r="B2781" s="3" t="str">
        <f>IFERROR(__xludf.DUMMYFUNCTION("""COMPUTED_VALUE"""),"Máy đào gàu 0.5m3")</f>
        <v>Máy đào gàu 0.5m3</v>
      </c>
      <c r="C2781" s="5" t="str">
        <f>IFERROR(__xludf.DUMMYFUNCTION("""COMPUTED_VALUE"""),"CGTC DP")</f>
        <v>CGTC DP</v>
      </c>
      <c r="D2781" s="5" t="str">
        <f>IFERROR(__xludf.DUMMYFUNCTION("""COMPUTED_VALUE"""),"LIUGONG")</f>
        <v>LIUGONG</v>
      </c>
      <c r="E2781" s="5"/>
      <c r="F2781" s="5">
        <f>IFERROR(__xludf.DUMMYFUNCTION("""COMPUTED_VALUE"""),2011.0)</f>
        <v>2011</v>
      </c>
      <c r="G2781" s="5" t="str">
        <f>IFERROR(__xludf.DUMMYFUNCTION("""COMPUTED_VALUE"""),"CLG 915D")</f>
        <v>CLG 915D</v>
      </c>
      <c r="H2781" s="5" t="str">
        <f>IFERROR(__xludf.DUMMYFUNCTION("""COMPUTED_VALUE"""),"130HP")</f>
        <v>130HP</v>
      </c>
      <c r="I2781" s="5" t="str">
        <f>IFERROR(__xludf.DUMMYFUNCTION("""COMPUTED_VALUE"""),"CLG0915DEBE0208")</f>
        <v>CLG0915DEBE0208</v>
      </c>
      <c r="J2781" s="5" t="str">
        <f>IFERROR(__xludf.DUMMYFUNCTION("""COMPUTED_VALUE"""),"G20657L0390TAB")</f>
        <v>G20657L0390TAB</v>
      </c>
      <c r="K2781" s="5">
        <f>IFERROR(__xludf.DUMMYFUNCTION("""COMPUTED_VALUE"""),11.7)</f>
        <v>11.7</v>
      </c>
      <c r="L2781" s="5" t="str">
        <f>IFERROR(__xludf.DUMMYFUNCTION("""COMPUTED_VALUE"""),"-")</f>
        <v>-</v>
      </c>
    </row>
    <row r="2782">
      <c r="A2782" s="5" t="str">
        <f>IFERROR(__xludf.DUMMYFUNCTION("""COMPUTED_VALUE"""),"TND-MĐA-035")</f>
        <v>TND-MĐA-035</v>
      </c>
      <c r="B2782" s="3" t="str">
        <f>IFERROR(__xludf.DUMMYFUNCTION("""COMPUTED_VALUE"""),"Máy đào gàu 1.2m3")</f>
        <v>Máy đào gàu 1.2m3</v>
      </c>
      <c r="C2782" s="5" t="str">
        <f>IFERROR(__xludf.DUMMYFUNCTION("""COMPUTED_VALUE"""),"CGTC DP")</f>
        <v>CGTC DP</v>
      </c>
      <c r="D2782" s="5" t="str">
        <f>IFERROR(__xludf.DUMMYFUNCTION("""COMPUTED_VALUE"""),"SANY")</f>
        <v>SANY</v>
      </c>
      <c r="E2782" s="5"/>
      <c r="F2782" s="5">
        <f>IFERROR(__xludf.DUMMYFUNCTION("""COMPUTED_VALUE"""),2011.0)</f>
        <v>2011</v>
      </c>
      <c r="G2782" s="5"/>
      <c r="H2782" s="5" t="str">
        <f>IFERROR(__xludf.DUMMYFUNCTION("""COMPUTED_VALUE"""),"130HP")</f>
        <v>130HP</v>
      </c>
      <c r="I2782" s="5" t="str">
        <f>IFERROR(__xludf.DUMMYFUNCTION("""COMPUTED_VALUE"""),"12SY0216H8638")</f>
        <v>12SY0216H8638</v>
      </c>
      <c r="J2782" s="5" t="str">
        <f>IFERROR(__xludf.DUMMYFUNCTION("""COMPUTED_VALUE"""),"62027720586D3A")</f>
        <v>62027720586D3A</v>
      </c>
      <c r="K2782" s="5">
        <f>IFERROR(__xludf.DUMMYFUNCTION("""COMPUTED_VALUE"""),16.5)</f>
        <v>16.5</v>
      </c>
      <c r="L2782" s="5" t="str">
        <f>IFERROR(__xludf.DUMMYFUNCTION("""COMPUTED_VALUE"""),"-")</f>
        <v>-</v>
      </c>
    </row>
    <row r="2783">
      <c r="A2783" s="5" t="str">
        <f>IFERROR(__xludf.DUMMYFUNCTION("""COMPUTED_VALUE"""),"TND-MĐA-036")</f>
        <v>TND-MĐA-036</v>
      </c>
      <c r="B2783" s="3" t="str">
        <f>IFERROR(__xludf.DUMMYFUNCTION("""COMPUTED_VALUE"""),"Máy đào gàu 0.5m3")</f>
        <v>Máy đào gàu 0.5m3</v>
      </c>
      <c r="C2783" s="5" t="str">
        <f>IFERROR(__xludf.DUMMYFUNCTION("""COMPUTED_VALUE"""),"CGTC DP")</f>
        <v>CGTC DP</v>
      </c>
      <c r="D2783" s="5" t="str">
        <f>IFERROR(__xludf.DUMMYFUNCTION("""COMPUTED_VALUE"""),"LIUGONG")</f>
        <v>LIUGONG</v>
      </c>
      <c r="E2783" s="5"/>
      <c r="F2783" s="5"/>
      <c r="G2783" s="5" t="str">
        <f>IFERROR(__xludf.DUMMYFUNCTION("""COMPUTED_VALUE"""),"CLG915D")</f>
        <v>CLG915D</v>
      </c>
      <c r="H2783" s="5" t="str">
        <f>IFERROR(__xludf.DUMMYFUNCTION("""COMPUTED_VALUE"""),"115HP")</f>
        <v>115HP</v>
      </c>
      <c r="I2783" s="5" t="str">
        <f>IFERROR(__xludf.DUMMYFUNCTION("""COMPUTED_VALUE"""),"DEBE0208")</f>
        <v>DEBE0208</v>
      </c>
      <c r="J2783" s="5" t="str">
        <f>IFERROR(__xludf.DUMMYFUNCTION("""COMPUTED_VALUE"""),"29878885")</f>
        <v>29878885</v>
      </c>
      <c r="K2783" s="5">
        <f>IFERROR(__xludf.DUMMYFUNCTION("""COMPUTED_VALUE"""),8.0)</f>
        <v>8</v>
      </c>
      <c r="L2783" s="5" t="str">
        <f>IFERROR(__xludf.DUMMYFUNCTION("""COMPUTED_VALUE"""),"Đang thuê")</f>
        <v>Đang thuê</v>
      </c>
    </row>
    <row r="2784">
      <c r="A2784" s="5" t="str">
        <f>IFERROR(__xludf.DUMMYFUNCTION("""COMPUTED_VALUE"""),"TND-MĐA-037")</f>
        <v>TND-MĐA-037</v>
      </c>
      <c r="B2784" s="3" t="str">
        <f>IFERROR(__xludf.DUMMYFUNCTION("""COMPUTED_VALUE"""),"Máy đào gàu 1.3m3")</f>
        <v>Máy đào gàu 1.3m3</v>
      </c>
      <c r="C2784" s="5" t="str">
        <f>IFERROR(__xludf.DUMMYFUNCTION("""COMPUTED_VALUE"""),"CGTC DP")</f>
        <v>CGTC DP</v>
      </c>
      <c r="D2784" s="5" t="str">
        <f>IFERROR(__xludf.DUMMYFUNCTION("""COMPUTED_VALUE"""),"VOLVO")</f>
        <v>VOLVO</v>
      </c>
      <c r="E2784" s="5"/>
      <c r="F2784" s="5">
        <f>IFERROR(__xludf.DUMMYFUNCTION("""COMPUTED_VALUE"""),2020.0)</f>
        <v>2020</v>
      </c>
      <c r="G2784" s="5" t="str">
        <f>IFERROR(__xludf.DUMMYFUNCTION("""COMPUTED_VALUE"""),"EC210DL")</f>
        <v>EC210DL</v>
      </c>
      <c r="H2784" s="5" t="str">
        <f>IFERROR(__xludf.DUMMYFUNCTION("""COMPUTED_VALUE"""),"164HP")</f>
        <v>164HP</v>
      </c>
      <c r="I2784" s="5" t="str">
        <f>IFERROR(__xludf.DUMMYFUNCTION("""COMPUTED_VALUE"""),"VCEC210D500252219")</f>
        <v>VCEC210D500252219</v>
      </c>
      <c r="J2784" s="5" t="str">
        <f>IFERROR(__xludf.DUMMYFUNCTION("""COMPUTED_VALUE"""),"12596460")</f>
        <v>12596460</v>
      </c>
      <c r="K2784" s="5">
        <f>IFERROR(__xludf.DUMMYFUNCTION("""COMPUTED_VALUE"""),16.5)</f>
        <v>16.5</v>
      </c>
      <c r="L2784" s="5" t="str">
        <f>IFERROR(__xludf.DUMMYFUNCTION("""COMPUTED_VALUE"""),"Đang thuê")</f>
        <v>Đang thuê</v>
      </c>
    </row>
    <row r="2785">
      <c r="A2785" s="5" t="str">
        <f>IFERROR(__xludf.DUMMYFUNCTION("""COMPUTED_VALUE"""),"TND-MĐA-038")</f>
        <v>TND-MĐA-038</v>
      </c>
      <c r="B2785" s="3" t="str">
        <f>IFERROR(__xludf.DUMMYFUNCTION("""COMPUTED_VALUE"""),"Máy đào gàu 1.5m3")</f>
        <v>Máy đào gàu 1.5m3</v>
      </c>
      <c r="C2785" s="5" t="str">
        <f>IFERROR(__xludf.DUMMYFUNCTION("""COMPUTED_VALUE"""),"CGTC DP")</f>
        <v>CGTC DP</v>
      </c>
      <c r="D2785" s="5" t="str">
        <f>IFERROR(__xludf.DUMMYFUNCTION("""COMPUTED_VALUE"""),"CAT")</f>
        <v>CAT</v>
      </c>
      <c r="E2785" s="5"/>
      <c r="F2785" s="5">
        <f>IFERROR(__xludf.DUMMYFUNCTION("""COMPUTED_VALUE"""),2007.0)</f>
        <v>2007</v>
      </c>
      <c r="G2785" s="5" t="str">
        <f>IFERROR(__xludf.DUMMYFUNCTION("""COMPUTED_VALUE"""),"320DGC")</f>
        <v>320DGC</v>
      </c>
      <c r="H2785" s="5" t="str">
        <f>IFERROR(__xludf.DUMMYFUNCTION("""COMPUTED_VALUE"""),"157HP")</f>
        <v>157HP</v>
      </c>
      <c r="I2785" s="5" t="str">
        <f>IFERROR(__xludf.DUMMYFUNCTION("""COMPUTED_VALUE"""),"CAT32DEPCM03128")</f>
        <v>CAT32DEPCM03128</v>
      </c>
      <c r="J2785" s="5" t="str">
        <f>IFERROR(__xludf.DUMMYFUNCTION("""COMPUTED_VALUE"""),"GDC61843")</f>
        <v>GDC61843</v>
      </c>
      <c r="K2785" s="5">
        <f>IFERROR(__xludf.DUMMYFUNCTION("""COMPUTED_VALUE"""),15.0)</f>
        <v>15</v>
      </c>
      <c r="L2785" s="5" t="str">
        <f>IFERROR(__xludf.DUMMYFUNCTION("""COMPUTED_VALUE"""),"Đang thuê")</f>
        <v>Đang thuê</v>
      </c>
    </row>
    <row r="2786">
      <c r="A2786" s="5" t="str">
        <f>IFERROR(__xludf.DUMMYFUNCTION("""COMPUTED_VALUE"""),"TND-MĐA-039")</f>
        <v>TND-MĐA-039</v>
      </c>
      <c r="B2786" s="3" t="str">
        <f>IFERROR(__xludf.DUMMYFUNCTION("""COMPUTED_VALUE"""),"Máy đào gàu 0.5m3")</f>
        <v>Máy đào gàu 0.5m3</v>
      </c>
      <c r="C2786" s="5" t="str">
        <f>IFERROR(__xludf.DUMMYFUNCTION("""COMPUTED_VALUE"""),"CGTC DP")</f>
        <v>CGTC DP</v>
      </c>
      <c r="D2786" s="5" t="str">
        <f>IFERROR(__xludf.DUMMYFUNCTION("""COMPUTED_VALUE"""),"LIUGONG")</f>
        <v>LIUGONG</v>
      </c>
      <c r="E2786" s="5"/>
      <c r="F2786" s="5"/>
      <c r="G2786" s="5" t="str">
        <f>IFERROR(__xludf.DUMMYFUNCTION("""COMPUTED_VALUE"""),"CLG915D")</f>
        <v>CLG915D</v>
      </c>
      <c r="H2786" s="5" t="str">
        <f>IFERROR(__xludf.DUMMYFUNCTION("""COMPUTED_VALUE"""),"115HP")</f>
        <v>115HP</v>
      </c>
      <c r="I2786" s="5" t="str">
        <f>IFERROR(__xludf.DUMMYFUNCTION("""COMPUTED_VALUE"""),"RL5L11WJ0981")</f>
        <v>RL5L11WJ0981</v>
      </c>
      <c r="J2786" s="5" t="str">
        <f>IFERROR(__xludf.DUMMYFUNCTION("""COMPUTED_VALUE"""),"6476153")</f>
        <v>6476153</v>
      </c>
      <c r="K2786" s="5">
        <f>IFERROR(__xludf.DUMMYFUNCTION("""COMPUTED_VALUE"""),9.5)</f>
        <v>9.5</v>
      </c>
      <c r="L2786" s="5" t="str">
        <f>IFERROR(__xludf.DUMMYFUNCTION("""COMPUTED_VALUE"""),"Đang thuê")</f>
        <v>Đang thuê</v>
      </c>
    </row>
    <row r="2787">
      <c r="A2787" s="5" t="str">
        <f>IFERROR(__xludf.DUMMYFUNCTION("""COMPUTED_VALUE"""),"TND-MĐA-040")</f>
        <v>TND-MĐA-040</v>
      </c>
      <c r="B2787" s="3" t="str">
        <f>IFERROR(__xludf.DUMMYFUNCTION("""COMPUTED_VALUE"""),"Máy đào gàu 1.2m3")</f>
        <v>Máy đào gàu 1.2m3</v>
      </c>
      <c r="C2787" s="5" t="str">
        <f>IFERROR(__xludf.DUMMYFUNCTION("""COMPUTED_VALUE"""),"CGTC DP")</f>
        <v>CGTC DP</v>
      </c>
      <c r="D2787" s="5" t="str">
        <f>IFERROR(__xludf.DUMMYFUNCTION("""COMPUTED_VALUE"""),"CAT")</f>
        <v>CAT</v>
      </c>
      <c r="E2787" s="5"/>
      <c r="F2787" s="5">
        <f>IFERROR(__xludf.DUMMYFUNCTION("""COMPUTED_VALUE"""),2017.0)</f>
        <v>2017</v>
      </c>
      <c r="G2787" s="5" t="str">
        <f>IFERROR(__xludf.DUMMYFUNCTION("""COMPUTED_VALUE"""),"320D2GC")</f>
        <v>320D2GC</v>
      </c>
      <c r="H2787" s="5" t="str">
        <f>IFERROR(__xludf.DUMMYFUNCTION("""COMPUTED_VALUE"""),"140HP")</f>
        <v>140HP</v>
      </c>
      <c r="I2787" s="5" t="str">
        <f>IFERROR(__xludf.DUMMYFUNCTION("""COMPUTED_VALUE"""),"CAT0320DC2BH10490")</f>
        <v>CAT0320DC2BH10490</v>
      </c>
      <c r="J2787" s="5" t="str">
        <f>IFERROR(__xludf.DUMMYFUNCTION("""COMPUTED_VALUE"""),"2W202504")</f>
        <v>2W202504</v>
      </c>
      <c r="K2787" s="5">
        <f>IFERROR(__xludf.DUMMYFUNCTION("""COMPUTED_VALUE"""),16.5)</f>
        <v>16.5</v>
      </c>
      <c r="L2787" s="5" t="str">
        <f>IFERROR(__xludf.DUMMYFUNCTION("""COMPUTED_VALUE"""),"Đang thuê")</f>
        <v>Đang thuê</v>
      </c>
    </row>
    <row r="2788">
      <c r="A2788" s="5" t="str">
        <f>IFERROR(__xludf.DUMMYFUNCTION("""COMPUTED_VALUE"""),"TND-MĐA-041")</f>
        <v>TND-MĐA-041</v>
      </c>
      <c r="B2788" s="3" t="str">
        <f>IFERROR(__xludf.DUMMYFUNCTION("""COMPUTED_VALUE"""),"Máy đào gàu 0.5m3")</f>
        <v>Máy đào gàu 0.5m3</v>
      </c>
      <c r="C2788" s="5" t="str">
        <f>IFERROR(__xludf.DUMMYFUNCTION("""COMPUTED_VALUE"""),"CGTC DP")</f>
        <v>CGTC DP</v>
      </c>
      <c r="D2788" s="5" t="str">
        <f>IFERROR(__xludf.DUMMYFUNCTION("""COMPUTED_VALUE"""),"CAT")</f>
        <v>CAT</v>
      </c>
      <c r="E2788" s="5" t="str">
        <f>IFERROR(__xludf.DUMMYFUNCTION("""COMPUTED_VALUE"""),"TRUNG QUỐC")</f>
        <v>TRUNG QUỐC</v>
      </c>
      <c r="F2788" s="5">
        <f>IFERROR(__xludf.DUMMYFUNCTION("""COMPUTED_VALUE"""),1990.0)</f>
        <v>1990</v>
      </c>
      <c r="G2788" s="5" t="str">
        <f>IFERROR(__xludf.DUMMYFUNCTION("""COMPUTED_VALUE"""),"E110B")</f>
        <v>E110B</v>
      </c>
      <c r="H2788" s="5" t="str">
        <f>IFERROR(__xludf.DUMMYFUNCTION("""COMPUTED_VALUE"""),"83HP")</f>
        <v>83HP</v>
      </c>
      <c r="I2788" s="5" t="str">
        <f>IFERROR(__xludf.DUMMYFUNCTION("""COMPUTED_VALUE"""),"9HK02339")</f>
        <v>9HK02339</v>
      </c>
      <c r="J2788" s="5" t="str">
        <f>IFERROR(__xludf.DUMMYFUNCTION("""COMPUTED_VALUE"""),"S4K008982")</f>
        <v>S4K008982</v>
      </c>
      <c r="K2788" s="5">
        <f>IFERROR(__xludf.DUMMYFUNCTION("""COMPUTED_VALUE"""),10.0)</f>
        <v>10</v>
      </c>
      <c r="L2788" s="5" t="str">
        <f>IFERROR(__xludf.DUMMYFUNCTION("""COMPUTED_VALUE"""),"-")</f>
        <v>-</v>
      </c>
    </row>
    <row r="2789">
      <c r="A2789" s="5" t="str">
        <f>IFERROR(__xludf.DUMMYFUNCTION("""COMPUTED_VALUE"""),"TND-MĐA-042")</f>
        <v>TND-MĐA-042</v>
      </c>
      <c r="B2789" s="3" t="str">
        <f>IFERROR(__xludf.DUMMYFUNCTION("""COMPUTED_VALUE"""),"Máy đào gàu 0.5m3")</f>
        <v>Máy đào gàu 0.5m3</v>
      </c>
      <c r="C2789" s="5" t="str">
        <f>IFERROR(__xludf.DUMMYFUNCTION("""COMPUTED_VALUE"""),"CGTC DP")</f>
        <v>CGTC DP</v>
      </c>
      <c r="D2789" s="5" t="str">
        <f>IFERROR(__xludf.DUMMYFUNCTION("""COMPUTED_VALUE"""),"CAT")</f>
        <v>CAT</v>
      </c>
      <c r="E2789" s="5" t="str">
        <f>IFERROR(__xludf.DUMMYFUNCTION("""COMPUTED_VALUE"""),"TRUNG QUỐC")</f>
        <v>TRUNG QUỐC</v>
      </c>
      <c r="F2789" s="5">
        <f>IFERROR(__xludf.DUMMYFUNCTION("""COMPUTED_VALUE"""),1998.0)</f>
        <v>1998</v>
      </c>
      <c r="G2789" s="5" t="str">
        <f>IFERROR(__xludf.DUMMYFUNCTION("""COMPUTED_VALUE"""),"312B")</f>
        <v>312B</v>
      </c>
      <c r="H2789" s="5" t="str">
        <f>IFERROR(__xludf.DUMMYFUNCTION("""COMPUTED_VALUE"""),"83HP")</f>
        <v>83HP</v>
      </c>
      <c r="I2789" s="5" t="str">
        <f>IFERROR(__xludf.DUMMYFUNCTION("""COMPUTED_VALUE"""),"9HR07924")</f>
        <v>9HR07924</v>
      </c>
      <c r="J2789" s="5" t="str">
        <f>IFERROR(__xludf.DUMMYFUNCTION("""COMPUTED_VALUE"""),"QLK18226")</f>
        <v>QLK18226</v>
      </c>
      <c r="K2789" s="5">
        <f>IFERROR(__xludf.DUMMYFUNCTION("""COMPUTED_VALUE"""),9.0)</f>
        <v>9</v>
      </c>
      <c r="L2789" s="5" t="str">
        <f>IFERROR(__xludf.DUMMYFUNCTION("""COMPUTED_VALUE"""),"-")</f>
        <v>-</v>
      </c>
    </row>
    <row r="2790">
      <c r="A2790" s="5" t="str">
        <f>IFERROR(__xludf.DUMMYFUNCTION("""COMPUTED_VALUE"""),"TND-MĐA-043")</f>
        <v>TND-MĐA-043</v>
      </c>
      <c r="B2790" s="3" t="str">
        <f>IFERROR(__xludf.DUMMYFUNCTION("""COMPUTED_VALUE"""),"Máy đào gàu 0.7m3")</f>
        <v>Máy đào gàu 0.7m3</v>
      </c>
      <c r="C2790" s="5" t="str">
        <f>IFERROR(__xludf.DUMMYFUNCTION("""COMPUTED_VALUE"""),"CGTC DP")</f>
        <v>CGTC DP</v>
      </c>
      <c r="D2790" s="5" t="str">
        <f>IFERROR(__xludf.DUMMYFUNCTION("""COMPUTED_VALUE"""),"HITACHI")</f>
        <v>HITACHI</v>
      </c>
      <c r="E2790" s="5"/>
      <c r="F2790" s="5">
        <f>IFERROR(__xludf.DUMMYFUNCTION("""COMPUTED_VALUE"""),2004.0)</f>
        <v>2004</v>
      </c>
      <c r="G2790" s="5"/>
      <c r="H2790" s="5" t="str">
        <f>IFERROR(__xludf.DUMMYFUNCTION("""COMPUTED_VALUE"""),"138HP")</f>
        <v>138HP</v>
      </c>
      <c r="I2790" s="5" t="str">
        <f>IFERROR(__xludf.DUMMYFUNCTION("""COMPUTED_VALUE"""),"112725")</f>
        <v>112725</v>
      </c>
      <c r="J2790" s="5" t="str">
        <f>IFERROR(__xludf.DUMMYFUNCTION("""COMPUTED_VALUE"""),"6BG1189026")</f>
        <v>6BG1189026</v>
      </c>
      <c r="K2790" s="5">
        <f>IFERROR(__xludf.DUMMYFUNCTION("""COMPUTED_VALUE"""),14.0)</f>
        <v>14</v>
      </c>
      <c r="L2790" s="5" t="str">
        <f>IFERROR(__xludf.DUMMYFUNCTION("""COMPUTED_VALUE"""),"-")</f>
        <v>-</v>
      </c>
    </row>
    <row r="2791">
      <c r="A2791" s="5" t="str">
        <f>IFERROR(__xludf.DUMMYFUNCTION("""COMPUTED_VALUE"""),"TND-MĐA-045")</f>
        <v>TND-MĐA-045</v>
      </c>
      <c r="B2791" s="3" t="str">
        <f>IFERROR(__xludf.DUMMYFUNCTION("""COMPUTED_VALUE"""),"Máy đào gàu 0.7m3")</f>
        <v>Máy đào gàu 0.7m3</v>
      </c>
      <c r="C2791" s="5" t="str">
        <f>IFERROR(__xludf.DUMMYFUNCTION("""COMPUTED_VALUE"""),"CGTC DP")</f>
        <v>CGTC DP</v>
      </c>
      <c r="D2791" s="5" t="str">
        <f>IFERROR(__xludf.DUMMYFUNCTION("""COMPUTED_VALUE"""),"CAT")</f>
        <v>CAT</v>
      </c>
      <c r="E2791" s="5"/>
      <c r="F2791" s="5">
        <f>IFERROR(__xludf.DUMMYFUNCTION("""COMPUTED_VALUE"""),2009.0)</f>
        <v>2009</v>
      </c>
      <c r="G2791" s="5" t="str">
        <f>IFERROR(__xludf.DUMMYFUNCTION("""COMPUTED_VALUE"""),"320D")</f>
        <v>320D</v>
      </c>
      <c r="H2791" s="5" t="str">
        <f>IFERROR(__xludf.DUMMYFUNCTION("""COMPUTED_VALUE"""),"138HP")</f>
        <v>138HP</v>
      </c>
      <c r="I2791" s="5" t="str">
        <f>IFERROR(__xludf.DUMMYFUNCTION("""COMPUTED_VALUE"""),"03713")</f>
        <v>03713</v>
      </c>
      <c r="J2791" s="5" t="str">
        <f>IFERROR(__xludf.DUMMYFUNCTION("""COMPUTED_VALUE"""),"GDC36580")</f>
        <v>GDC36580</v>
      </c>
      <c r="K2791" s="5">
        <f>IFERROR(__xludf.DUMMYFUNCTION("""COMPUTED_VALUE"""),14.5)</f>
        <v>14.5</v>
      </c>
      <c r="L2791" s="5" t="str">
        <f>IFERROR(__xludf.DUMMYFUNCTION("""COMPUTED_VALUE"""),"-")</f>
        <v>-</v>
      </c>
    </row>
    <row r="2792">
      <c r="A2792" s="5" t="str">
        <f>IFERROR(__xludf.DUMMYFUNCTION("""COMPUTED_VALUE"""),"TND-MĐA-047")</f>
        <v>TND-MĐA-047</v>
      </c>
      <c r="B2792" s="3" t="str">
        <f>IFERROR(__xludf.DUMMYFUNCTION("""COMPUTED_VALUE"""),"Máy đào gàu 1.2m3")</f>
        <v>Máy đào gàu 1.2m3</v>
      </c>
      <c r="C2792" s="5" t="str">
        <f>IFERROR(__xludf.DUMMYFUNCTION("""COMPUTED_VALUE"""),"CGTC DP")</f>
        <v>CGTC DP</v>
      </c>
      <c r="D2792" s="5" t="str">
        <f>IFERROR(__xludf.DUMMYFUNCTION("""COMPUTED_VALUE"""),"KOBELKO")</f>
        <v>KOBELKO</v>
      </c>
      <c r="E2792" s="5"/>
      <c r="F2792" s="5">
        <f>IFERROR(__xludf.DUMMYFUNCTION("""COMPUTED_VALUE"""),2004.0)</f>
        <v>2004</v>
      </c>
      <c r="G2792" s="5" t="str">
        <f>IFERROR(__xludf.DUMMYFUNCTION("""COMPUTED_VALUE"""),"SK210D-8")</f>
        <v>SK210D-8</v>
      </c>
      <c r="H2792" s="5" t="str">
        <f>IFERROR(__xludf.DUMMYFUNCTION("""COMPUTED_VALUE"""),"153HP")</f>
        <v>153HP</v>
      </c>
      <c r="I2792" s="5" t="str">
        <f>IFERROR(__xludf.DUMMYFUNCTION("""COMPUTED_VALUE"""),"YN1256779")</f>
        <v>YN1256779</v>
      </c>
      <c r="J2792" s="5" t="str">
        <f>IFERROR(__xludf.DUMMYFUNCTION("""COMPUTED_VALUE"""),"J05ETA11715")</f>
        <v>J05ETA11715</v>
      </c>
      <c r="K2792" s="5">
        <f>IFERROR(__xludf.DUMMYFUNCTION("""COMPUTED_VALUE"""),15.0)</f>
        <v>15</v>
      </c>
      <c r="L2792" s="5" t="str">
        <f>IFERROR(__xludf.DUMMYFUNCTION("""COMPUTED_VALUE"""),"-")</f>
        <v>-</v>
      </c>
    </row>
    <row r="2793">
      <c r="A2793" s="5" t="str">
        <f>IFERROR(__xludf.DUMMYFUNCTION("""COMPUTED_VALUE"""),"TND-MĐA-048")</f>
        <v>TND-MĐA-048</v>
      </c>
      <c r="B2793" s="3" t="str">
        <f>IFERROR(__xludf.DUMMYFUNCTION("""COMPUTED_VALUE"""),"Máy đào gàu 1.2m3")</f>
        <v>Máy đào gàu 1.2m3</v>
      </c>
      <c r="C2793" s="5" t="str">
        <f>IFERROR(__xludf.DUMMYFUNCTION("""COMPUTED_VALUE"""),"CGTC DP")</f>
        <v>CGTC DP</v>
      </c>
      <c r="D2793" s="5" t="str">
        <f>IFERROR(__xludf.DUMMYFUNCTION("""COMPUTED_VALUE"""),"KOMATSU")</f>
        <v>KOMATSU</v>
      </c>
      <c r="E2793" s="5"/>
      <c r="F2793" s="5">
        <f>IFERROR(__xludf.DUMMYFUNCTION("""COMPUTED_VALUE"""),2003.0)</f>
        <v>2003</v>
      </c>
      <c r="G2793" s="5" t="str">
        <f>IFERROR(__xludf.DUMMYFUNCTION("""COMPUTED_VALUE"""),"PC220LC")</f>
        <v>PC220LC</v>
      </c>
      <c r="H2793" s="5" t="str">
        <f>IFERROR(__xludf.DUMMYFUNCTION("""COMPUTED_VALUE"""),"125HP")</f>
        <v>125HP</v>
      </c>
      <c r="I2793" s="5" t="str">
        <f>IFERROR(__xludf.DUMMYFUNCTION("""COMPUTED_VALUE"""),"DA86178")</f>
        <v>DA86178</v>
      </c>
      <c r="J2793" s="5" t="str">
        <f>IFERROR(__xludf.DUMMYFUNCTION("""COMPUTED_VALUE"""),"46269885")</f>
        <v>46269885</v>
      </c>
      <c r="K2793" s="5">
        <f>IFERROR(__xludf.DUMMYFUNCTION("""COMPUTED_VALUE"""),12.0)</f>
        <v>12</v>
      </c>
      <c r="L2793" s="5" t="str">
        <f>IFERROR(__xludf.DUMMYFUNCTION("""COMPUTED_VALUE"""),"-")</f>
        <v>-</v>
      </c>
    </row>
    <row r="2794">
      <c r="A2794" s="5" t="str">
        <f>IFERROR(__xludf.DUMMYFUNCTION("""COMPUTED_VALUE"""),"TND-MĐA-046")</f>
        <v>TND-MĐA-046</v>
      </c>
      <c r="B2794" s="3" t="str">
        <f>IFERROR(__xludf.DUMMYFUNCTION("""COMPUTED_VALUE"""),"Máy đào gàu 1.0m3")</f>
        <v>Máy đào gàu 1.0m3</v>
      </c>
      <c r="C2794" s="5" t="str">
        <f>IFERROR(__xludf.DUMMYFUNCTION("""COMPUTED_VALUE"""),"CGTC DP")</f>
        <v>CGTC DP</v>
      </c>
      <c r="D2794" s="5" t="str">
        <f>IFERROR(__xludf.DUMMYFUNCTION("""COMPUTED_VALUE"""),"CAT")</f>
        <v>CAT</v>
      </c>
      <c r="E2794" s="5"/>
      <c r="F2794" s="5">
        <f>IFERROR(__xludf.DUMMYFUNCTION("""COMPUTED_VALUE"""),1996.0)</f>
        <v>1996</v>
      </c>
      <c r="G2794" s="5" t="str">
        <f>IFERROR(__xludf.DUMMYFUNCTION("""COMPUTED_VALUE"""),"320B")</f>
        <v>320B</v>
      </c>
      <c r="H2794" s="5" t="str">
        <f>IFERROR(__xludf.DUMMYFUNCTION("""COMPUTED_VALUE"""),"156HP")</f>
        <v>156HP</v>
      </c>
      <c r="I2794" s="5" t="str">
        <f>IFERROR(__xludf.DUMMYFUNCTION("""COMPUTED_VALUE"""),"3MR00613")</f>
        <v>3MR00613</v>
      </c>
      <c r="J2794" s="5" t="str">
        <f>IFERROR(__xludf.DUMMYFUNCTION("""COMPUTED_VALUE"""),"7JK22222")</f>
        <v>7JK22222</v>
      </c>
      <c r="K2794" s="5">
        <f>IFERROR(__xludf.DUMMYFUNCTION("""COMPUTED_VALUE"""),10.0)</f>
        <v>10</v>
      </c>
      <c r="L2794" s="5" t="str">
        <f>IFERROR(__xludf.DUMMYFUNCTION("""COMPUTED_VALUE"""),"-")</f>
        <v>-</v>
      </c>
    </row>
    <row r="2795">
      <c r="A2795" s="5" t="str">
        <f>IFERROR(__xludf.DUMMYFUNCTION("""COMPUTED_VALUE"""),"TND-MĐA-049")</f>
        <v>TND-MĐA-049</v>
      </c>
      <c r="B2795" s="3" t="str">
        <f>IFERROR(__xludf.DUMMYFUNCTION("""COMPUTED_VALUE"""),"Máy đào gàu 1.2m3")</f>
        <v>Máy đào gàu 1.2m3</v>
      </c>
      <c r="C2795" s="5" t="str">
        <f>IFERROR(__xludf.DUMMYFUNCTION("""COMPUTED_VALUE"""),"CGTC DP")</f>
        <v>CGTC DP</v>
      </c>
      <c r="D2795" s="5" t="str">
        <f>IFERROR(__xludf.DUMMYFUNCTION("""COMPUTED_VALUE"""),"KOBELCO")</f>
        <v>KOBELCO</v>
      </c>
      <c r="E2795" s="5"/>
      <c r="F2795" s="5">
        <f>IFERROR(__xludf.DUMMYFUNCTION("""COMPUTED_VALUE"""),2004.0)</f>
        <v>2004</v>
      </c>
      <c r="G2795" s="5" t="str">
        <f>IFERROR(__xludf.DUMMYFUNCTION("""COMPUTED_VALUE"""),"SK250-8")</f>
        <v>SK250-8</v>
      </c>
      <c r="H2795" s="5" t="str">
        <f>IFERROR(__xludf.DUMMYFUNCTION("""COMPUTED_VALUE"""),"176HP")</f>
        <v>176HP</v>
      </c>
      <c r="I2795" s="5" t="str">
        <f>IFERROR(__xludf.DUMMYFUNCTION("""COMPUTED_VALUE"""),"LQ13-07991")</f>
        <v>LQ13-07991</v>
      </c>
      <c r="J2795" s="5" t="str">
        <f>IFERROR(__xludf.DUMMYFUNCTION("""COMPUTED_VALUE"""),"J05ETB13517")</f>
        <v>J05ETB13517</v>
      </c>
      <c r="K2795" s="5">
        <f>IFERROR(__xludf.DUMMYFUNCTION("""COMPUTED_VALUE"""),14.0)</f>
        <v>14</v>
      </c>
      <c r="L2795" s="5" t="str">
        <f>IFERROR(__xludf.DUMMYFUNCTION("""COMPUTED_VALUE"""),"-")</f>
        <v>-</v>
      </c>
    </row>
    <row r="2796">
      <c r="A2796" s="5" t="str">
        <f>IFERROR(__xludf.DUMMYFUNCTION("""COMPUTED_VALUE"""),"TND-MĐA-050")</f>
        <v>TND-MĐA-050</v>
      </c>
      <c r="B2796" s="3" t="str">
        <f>IFERROR(__xludf.DUMMYFUNCTION("""COMPUTED_VALUE"""),"Máy đào gàu 1.1m3")</f>
        <v>Máy đào gàu 1.1m3</v>
      </c>
      <c r="C2796" s="5" t="str">
        <f>IFERROR(__xludf.DUMMYFUNCTION("""COMPUTED_VALUE"""),"CGTC DP")</f>
        <v>CGTC DP</v>
      </c>
      <c r="D2796" s="5" t="str">
        <f>IFERROR(__xludf.DUMMYFUNCTION("""COMPUTED_VALUE"""),"CAT")</f>
        <v>CAT</v>
      </c>
      <c r="E2796" s="5"/>
      <c r="F2796" s="5">
        <f>IFERROR(__xludf.DUMMYFUNCTION("""COMPUTED_VALUE"""),2004.0)</f>
        <v>2004</v>
      </c>
      <c r="G2796" s="5" t="str">
        <f>IFERROR(__xludf.DUMMYFUNCTION("""COMPUTED_VALUE"""),"CAT 320")</f>
        <v>CAT 320</v>
      </c>
      <c r="H2796" s="5" t="str">
        <f>IFERROR(__xludf.DUMMYFUNCTION("""COMPUTED_VALUE"""),"140HP")</f>
        <v>140HP</v>
      </c>
      <c r="I2796" s="5" t="str">
        <f>IFERROR(__xludf.DUMMYFUNCTION("""COMPUTED_VALUE"""),"3XM02855")</f>
        <v>3XM02855</v>
      </c>
      <c r="J2796" s="5" t="str">
        <f>IFERROR(__xludf.DUMMYFUNCTION("""COMPUTED_VALUE"""),"7JK15411")</f>
        <v>7JK15411</v>
      </c>
      <c r="K2796" s="5"/>
      <c r="L2796" s="5" t="str">
        <f>IFERROR(__xludf.DUMMYFUNCTION("""COMPUTED_VALUE"""),"-")</f>
        <v>-</v>
      </c>
    </row>
    <row r="2797">
      <c r="A2797" s="5" t="str">
        <f>IFERROR(__xludf.DUMMYFUNCTION("""COMPUTED_VALUE"""),"TND-MĐA-051")</f>
        <v>TND-MĐA-051</v>
      </c>
      <c r="B2797" s="3" t="str">
        <f>IFERROR(__xludf.DUMMYFUNCTION("""COMPUTED_VALUE"""),"Máy đào gàu 1.2m3")</f>
        <v>Máy đào gàu 1.2m3</v>
      </c>
      <c r="C2797" s="5" t="str">
        <f>IFERROR(__xludf.DUMMYFUNCTION("""COMPUTED_VALUE"""),"CGTC DP")</f>
        <v>CGTC DP</v>
      </c>
      <c r="D2797" s="5" t="str">
        <f>IFERROR(__xludf.DUMMYFUNCTION("""COMPUTED_VALUE"""),"CAT")</f>
        <v>CAT</v>
      </c>
      <c r="E2797" s="5"/>
      <c r="F2797" s="5">
        <f>IFERROR(__xludf.DUMMYFUNCTION("""COMPUTED_VALUE"""),1992.0)</f>
        <v>1992</v>
      </c>
      <c r="G2797" s="5" t="str">
        <f>IFERROR(__xludf.DUMMYFUNCTION("""COMPUTED_VALUE"""),"CAT 320")</f>
        <v>CAT 320</v>
      </c>
      <c r="H2797" s="5" t="str">
        <f>IFERROR(__xludf.DUMMYFUNCTION("""COMPUTED_VALUE"""),"140HP")</f>
        <v>140HP</v>
      </c>
      <c r="I2797" s="5" t="str">
        <f>IFERROR(__xludf.DUMMYFUNCTION("""COMPUTED_VALUE"""),"7GJ01435")</f>
        <v>7GJ01435</v>
      </c>
      <c r="J2797" s="5" t="str">
        <f>IFERROR(__xludf.DUMMYFUNCTION("""COMPUTED_VALUE"""),"7JK01351")</f>
        <v>7JK01351</v>
      </c>
      <c r="K2797" s="5">
        <f>IFERROR(__xludf.DUMMYFUNCTION("""COMPUTED_VALUE"""),12.43)</f>
        <v>12.43</v>
      </c>
      <c r="L2797" s="5" t="str">
        <f>IFERROR(__xludf.DUMMYFUNCTION("""COMPUTED_VALUE"""),"-")</f>
        <v>-</v>
      </c>
    </row>
    <row r="2798">
      <c r="A2798" s="5" t="str">
        <f>IFERROR(__xludf.DUMMYFUNCTION("""COMPUTED_VALUE"""),"TND-MĐA-052")</f>
        <v>TND-MĐA-052</v>
      </c>
      <c r="B2798" s="3" t="str">
        <f>IFERROR(__xludf.DUMMYFUNCTION("""COMPUTED_VALUE"""),"Máy đào gàu 1.2m3")</f>
        <v>Máy đào gàu 1.2m3</v>
      </c>
      <c r="C2798" s="5" t="str">
        <f>IFERROR(__xludf.DUMMYFUNCTION("""COMPUTED_VALUE"""),"CGTC DP")</f>
        <v>CGTC DP</v>
      </c>
      <c r="D2798" s="5" t="str">
        <f>IFERROR(__xludf.DUMMYFUNCTION("""COMPUTED_VALUE"""),"VOLVO")</f>
        <v>VOLVO</v>
      </c>
      <c r="E2798" s="5"/>
      <c r="F2798" s="5">
        <f>IFERROR(__xludf.DUMMYFUNCTION("""COMPUTED_VALUE"""),2015.0)</f>
        <v>2015</v>
      </c>
      <c r="G2798" s="5" t="str">
        <f>IFERROR(__xludf.DUMMYFUNCTION("""COMPUTED_VALUE"""),"EC210BLC")</f>
        <v>EC210BLC</v>
      </c>
      <c r="H2798" s="5" t="str">
        <f>IFERROR(__xludf.DUMMYFUNCTION("""COMPUTED_VALUE"""),"147HP")</f>
        <v>147HP</v>
      </c>
      <c r="I2798" s="5" t="str">
        <f>IFERROR(__xludf.DUMMYFUNCTION("""COMPUTED_VALUE"""),"VCEC210BE00083861")</f>
        <v>VCEC210BE00083861</v>
      </c>
      <c r="J2798" s="5" t="str">
        <f>IFERROR(__xludf.DUMMYFUNCTION("""COMPUTED_VALUE"""),"11720490")</f>
        <v>11720490</v>
      </c>
      <c r="K2798" s="5">
        <f>IFERROR(__xludf.DUMMYFUNCTION("""COMPUTED_VALUE"""),14.0)</f>
        <v>14</v>
      </c>
      <c r="L2798" s="5" t="str">
        <f>IFERROR(__xludf.DUMMYFUNCTION("""COMPUTED_VALUE"""),"-")</f>
        <v>-</v>
      </c>
    </row>
    <row r="2799">
      <c r="A2799" s="5" t="str">
        <f>IFERROR(__xludf.DUMMYFUNCTION("""COMPUTED_VALUE"""),"TND-MĐA-053")</f>
        <v>TND-MĐA-053</v>
      </c>
      <c r="B2799" s="3" t="str">
        <f>IFERROR(__xludf.DUMMYFUNCTION("""COMPUTED_VALUE"""),"Máy đào gàu 1.0m3")</f>
        <v>Máy đào gàu 1.0m3</v>
      </c>
      <c r="C2799" s="5" t="str">
        <f>IFERROR(__xludf.DUMMYFUNCTION("""COMPUTED_VALUE"""),"CGTC DP")</f>
        <v>CGTC DP</v>
      </c>
      <c r="D2799" s="5" t="str">
        <f>IFERROR(__xludf.DUMMYFUNCTION("""COMPUTED_VALUE"""),"KOBELCO")</f>
        <v>KOBELCO</v>
      </c>
      <c r="E2799" s="5"/>
      <c r="F2799" s="5">
        <f>IFERROR(__xludf.DUMMYFUNCTION("""COMPUTED_VALUE"""),2020.0)</f>
        <v>2020</v>
      </c>
      <c r="G2799" s="5" t="str">
        <f>IFERROR(__xludf.DUMMYFUNCTION("""COMPUTED_VALUE"""),"SK210LC")</f>
        <v>SK210LC</v>
      </c>
      <c r="H2799" s="5"/>
      <c r="I2799" s="5" t="str">
        <f>IFERROR(__xludf.DUMMYFUNCTION("""COMPUTED_VALUE"""),"YQ15405278")</f>
        <v>YQ15405278</v>
      </c>
      <c r="J2799" s="5" t="str">
        <f>IFERROR(__xludf.DUMMYFUNCTION("""COMPUTED_VALUE"""),"J05ETG44707")</f>
        <v>J05ETG44707</v>
      </c>
      <c r="K2799" s="5">
        <f>IFERROR(__xludf.DUMMYFUNCTION("""COMPUTED_VALUE"""),15.0)</f>
        <v>15</v>
      </c>
      <c r="L2799" s="5" t="str">
        <f>IFERROR(__xludf.DUMMYFUNCTION("""COMPUTED_VALUE"""),"-")</f>
        <v>-</v>
      </c>
    </row>
    <row r="2800">
      <c r="A2800" s="5" t="str">
        <f>IFERROR(__xludf.DUMMYFUNCTION("""COMPUTED_VALUE"""),"TND-MĐA-054")</f>
        <v>TND-MĐA-054</v>
      </c>
      <c r="B2800" s="3" t="str">
        <f>IFERROR(__xludf.DUMMYFUNCTION("""COMPUTED_VALUE"""),"Máy đào gàu 1.2m3")</f>
        <v>Máy đào gàu 1.2m3</v>
      </c>
      <c r="C2800" s="5" t="str">
        <f>IFERROR(__xludf.DUMMYFUNCTION("""COMPUTED_VALUE"""),"CGTC DP")</f>
        <v>CGTC DP</v>
      </c>
      <c r="D2800" s="5" t="str">
        <f>IFERROR(__xludf.DUMMYFUNCTION("""COMPUTED_VALUE"""),"VOLVO")</f>
        <v>VOLVO</v>
      </c>
      <c r="E2800" s="5"/>
      <c r="F2800" s="5">
        <f>IFERROR(__xludf.DUMMYFUNCTION("""COMPUTED_VALUE"""),2013.0)</f>
        <v>2013</v>
      </c>
      <c r="G2800" s="5" t="str">
        <f>IFERROR(__xludf.DUMMYFUNCTION("""COMPUTED_VALUE"""),"EC210BLC")</f>
        <v>EC210BLC</v>
      </c>
      <c r="H2800" s="5" t="str">
        <f>IFERROR(__xludf.DUMMYFUNCTION("""COMPUTED_VALUE"""),"148HP")</f>
        <v>148HP</v>
      </c>
      <c r="I2800" s="5" t="str">
        <f>IFERROR(__xludf.DUMMYFUNCTION("""COMPUTED_VALUE"""),"VCEC210BJ00082216")</f>
        <v>VCEC210BJ00082216</v>
      </c>
      <c r="J2800" s="5" t="str">
        <f>IFERROR(__xludf.DUMMYFUNCTION("""COMPUTED_VALUE"""),"11511966")</f>
        <v>11511966</v>
      </c>
      <c r="K2800" s="5">
        <f>IFERROR(__xludf.DUMMYFUNCTION("""COMPUTED_VALUE"""),15.0)</f>
        <v>15</v>
      </c>
      <c r="L2800" s="5" t="str">
        <f>IFERROR(__xludf.DUMMYFUNCTION("""COMPUTED_VALUE"""),"-")</f>
        <v>-</v>
      </c>
    </row>
    <row r="2801">
      <c r="A2801" s="5" t="str">
        <f>IFERROR(__xludf.DUMMYFUNCTION("""COMPUTED_VALUE"""),"TND-MĐA-055")</f>
        <v>TND-MĐA-055</v>
      </c>
      <c r="B2801" s="3" t="str">
        <f>IFERROR(__xludf.DUMMYFUNCTION("""COMPUTED_VALUE"""),"Máy đào gàu 0.4m3")</f>
        <v>Máy đào gàu 0.4m3</v>
      </c>
      <c r="C2801" s="5" t="str">
        <f>IFERROR(__xludf.DUMMYFUNCTION("""COMPUTED_VALUE"""),"Ban điện nước")</f>
        <v>Ban điện nước</v>
      </c>
      <c r="D2801" s="5" t="str">
        <f>IFERROR(__xludf.DUMMYFUNCTION("""COMPUTED_VALUE"""),"CAT")</f>
        <v>CAT</v>
      </c>
      <c r="E2801" s="5"/>
      <c r="F2801" s="5">
        <f>IFERROR(__xludf.DUMMYFUNCTION("""COMPUTED_VALUE"""),1997.0)</f>
        <v>1997</v>
      </c>
      <c r="G2801" s="5" t="str">
        <f>IFERROR(__xludf.DUMMYFUNCTION("""COMPUTED_VALUE"""),"308C")</f>
        <v>308C</v>
      </c>
      <c r="H2801" s="5" t="str">
        <f>IFERROR(__xludf.DUMMYFUNCTION("""COMPUTED_VALUE"""),"75HP")</f>
        <v>75HP</v>
      </c>
      <c r="I2801" s="5" t="str">
        <f>IFERROR(__xludf.DUMMYFUNCTION("""COMPUTED_VALUE"""),"CAT0308CTCPE02327")</f>
        <v>CAT0308CTCPE02327</v>
      </c>
      <c r="J2801" s="5" t="str">
        <f>IFERROR(__xludf.DUMMYFUNCTION("""COMPUTED_VALUE"""),"617473")</f>
        <v>617473</v>
      </c>
      <c r="K2801" s="5">
        <f>IFERROR(__xludf.DUMMYFUNCTION("""COMPUTED_VALUE"""),5.05)</f>
        <v>5.05</v>
      </c>
      <c r="L2801" s="5" t="str">
        <f>IFERROR(__xludf.DUMMYFUNCTION("""COMPUTED_VALUE"""),"-")</f>
        <v>-</v>
      </c>
    </row>
    <row r="2802">
      <c r="A2802" s="5" t="str">
        <f>IFERROR(__xludf.DUMMYFUNCTION("""COMPUTED_VALUE"""),"TND-MĐA-056")</f>
        <v>TND-MĐA-056</v>
      </c>
      <c r="B2802" s="3" t="str">
        <f>IFERROR(__xludf.DUMMYFUNCTION("""COMPUTED_VALUE"""),"Máy đào gàu 0.5m3")</f>
        <v>Máy đào gàu 0.5m3</v>
      </c>
      <c r="C2802" s="5" t="str">
        <f>IFERROR(__xludf.DUMMYFUNCTION("""COMPUTED_VALUE"""),"CGTC DP")</f>
        <v>CGTC DP</v>
      </c>
      <c r="D2802" s="5" t="str">
        <f>IFERROR(__xludf.DUMMYFUNCTION("""COMPUTED_VALUE"""),"CAT")</f>
        <v>CAT</v>
      </c>
      <c r="E2802" s="5"/>
      <c r="F2802" s="5">
        <f>IFERROR(__xludf.DUMMYFUNCTION("""COMPUTED_VALUE"""),2002.0)</f>
        <v>2002</v>
      </c>
      <c r="G2802" s="5" t="str">
        <f>IFERROR(__xludf.DUMMYFUNCTION("""COMPUTED_VALUE"""),"CAT 312")</f>
        <v>CAT 312</v>
      </c>
      <c r="H2802" s="5" t="str">
        <f>IFERROR(__xludf.DUMMYFUNCTION("""COMPUTED_VALUE"""),"94HP")</f>
        <v>94HP</v>
      </c>
      <c r="I2802" s="5" t="str">
        <f>IFERROR(__xludf.DUMMYFUNCTION("""COMPUTED_VALUE"""),"6GK00804")</f>
        <v>6GK00804</v>
      </c>
      <c r="J2802" s="5" t="str">
        <f>IFERROR(__xludf.DUMMYFUNCTION("""COMPUTED_VALUE"""),"6LK05285")</f>
        <v>6LK05285</v>
      </c>
      <c r="K2802" s="5">
        <f>IFERROR(__xludf.DUMMYFUNCTION("""COMPUTED_VALUE"""),8.0)</f>
        <v>8</v>
      </c>
      <c r="L2802" s="5" t="str">
        <f>IFERROR(__xludf.DUMMYFUNCTION("""COMPUTED_VALUE"""),"-")</f>
        <v>-</v>
      </c>
    </row>
    <row r="2803">
      <c r="A2803" s="5" t="str">
        <f>IFERROR(__xludf.DUMMYFUNCTION("""COMPUTED_VALUE"""),"TND-MĐA-057")</f>
        <v>TND-MĐA-057</v>
      </c>
      <c r="B2803" s="3" t="str">
        <f>IFERROR(__xludf.DUMMYFUNCTION("""COMPUTED_VALUE"""),"Máy đào gàu 0.7m3")</f>
        <v>Máy đào gàu 0.7m3</v>
      </c>
      <c r="C2803" s="5" t="str">
        <f>IFERROR(__xludf.DUMMYFUNCTION("""COMPUTED_VALUE"""),"Ban điện nước")</f>
        <v>Ban điện nước</v>
      </c>
      <c r="D2803" s="5" t="str">
        <f>IFERROR(__xludf.DUMMYFUNCTION("""COMPUTED_VALUE"""),"CAT")</f>
        <v>CAT</v>
      </c>
      <c r="E2803" s="5"/>
      <c r="F2803" s="5"/>
      <c r="G2803" s="5" t="str">
        <f>IFERROR(__xludf.DUMMYFUNCTION("""COMPUTED_VALUE"""),"E200B")</f>
        <v>E200B</v>
      </c>
      <c r="H2803" s="5" t="str">
        <f>IFERROR(__xludf.DUMMYFUNCTION("""COMPUTED_VALUE"""),"118HP")</f>
        <v>118HP</v>
      </c>
      <c r="I2803" s="5" t="str">
        <f>IFERROR(__xludf.DUMMYFUNCTION("""COMPUTED_VALUE"""),"4SG06570")</f>
        <v>4SG06570</v>
      </c>
      <c r="J2803" s="5" t="str">
        <f>IFERROR(__xludf.DUMMYFUNCTION("""COMPUTED_VALUE"""),"7934")</f>
        <v>7934</v>
      </c>
      <c r="K2803" s="5">
        <f>IFERROR(__xludf.DUMMYFUNCTION("""COMPUTED_VALUE"""),13.0)</f>
        <v>13</v>
      </c>
      <c r="L2803" s="5" t="str">
        <f>IFERROR(__xludf.DUMMYFUNCTION("""COMPUTED_VALUE"""),"Đang thuê")</f>
        <v>Đang thuê</v>
      </c>
    </row>
    <row r="2804">
      <c r="A2804" s="5" t="str">
        <f>IFERROR(__xludf.DUMMYFUNCTION("""COMPUTED_VALUE"""),"TND-MĐA-058")</f>
        <v>TND-MĐA-058</v>
      </c>
      <c r="B2804" s="3" t="str">
        <f>IFERROR(__xludf.DUMMYFUNCTION("""COMPUTED_VALUE"""),"Máy đào gàu 0.5m3")</f>
        <v>Máy đào gàu 0.5m3</v>
      </c>
      <c r="C2804" s="5" t="str">
        <f>IFERROR(__xludf.DUMMYFUNCTION("""COMPUTED_VALUE"""),"CGTC DP")</f>
        <v>CGTC DP</v>
      </c>
      <c r="D2804" s="5" t="str">
        <f>IFERROR(__xludf.DUMMYFUNCTION("""COMPUTED_VALUE"""),"LIUGONG")</f>
        <v>LIUGONG</v>
      </c>
      <c r="E2804" s="5"/>
      <c r="F2804" s="5">
        <f>IFERROR(__xludf.DUMMYFUNCTION("""COMPUTED_VALUE"""),2011.0)</f>
        <v>2011</v>
      </c>
      <c r="G2804" s="5" t="str">
        <f>IFERROR(__xludf.DUMMYFUNCTION("""COMPUTED_VALUE"""),"CLG9150")</f>
        <v>CLG9150</v>
      </c>
      <c r="H2804" s="5" t="str">
        <f>IFERROR(__xludf.DUMMYFUNCTION("""COMPUTED_VALUE"""),"115HP")</f>
        <v>115HP</v>
      </c>
      <c r="I2804" s="5" t="str">
        <f>IFERROR(__xludf.DUMMYFUNCTION("""COMPUTED_VALUE"""),"WJ1023")</f>
        <v>WJ1023</v>
      </c>
      <c r="J2804" s="5" t="str">
        <f>IFERROR(__xludf.DUMMYFUNCTION("""COMPUTED_VALUE"""),"26476801")</f>
        <v>26476801</v>
      </c>
      <c r="K2804" s="5">
        <f>IFERROR(__xludf.DUMMYFUNCTION("""COMPUTED_VALUE"""),9.0)</f>
        <v>9</v>
      </c>
      <c r="L2804" s="5" t="str">
        <f>IFERROR(__xludf.DUMMYFUNCTION("""COMPUTED_VALUE"""),"Đang thuê")</f>
        <v>Đang thuê</v>
      </c>
    </row>
    <row r="2805">
      <c r="A2805" s="5" t="str">
        <f>IFERROR(__xludf.DUMMYFUNCTION("""COMPUTED_VALUE"""),"TND-MĐA-059")</f>
        <v>TND-MĐA-059</v>
      </c>
      <c r="B2805" s="3" t="str">
        <f>IFERROR(__xludf.DUMMYFUNCTION("""COMPUTED_VALUE"""),"Máy đào gàu 0.5m3")</f>
        <v>Máy đào gàu 0.5m3</v>
      </c>
      <c r="C2805" s="5" t="str">
        <f>IFERROR(__xludf.DUMMYFUNCTION("""COMPUTED_VALUE"""),"Ban điện nước")</f>
        <v>Ban điện nước</v>
      </c>
      <c r="D2805" s="5" t="str">
        <f>IFERROR(__xludf.DUMMYFUNCTION("""COMPUTED_VALUE"""),"CAT")</f>
        <v>CAT</v>
      </c>
      <c r="E2805" s="5"/>
      <c r="F2805" s="5">
        <f>IFERROR(__xludf.DUMMYFUNCTION("""COMPUTED_VALUE"""),1998.0)</f>
        <v>1998</v>
      </c>
      <c r="G2805" s="5" t="str">
        <f>IFERROR(__xludf.DUMMYFUNCTION("""COMPUTED_VALUE"""),"312B")</f>
        <v>312B</v>
      </c>
      <c r="H2805" s="5" t="str">
        <f>IFERROR(__xludf.DUMMYFUNCTION("""COMPUTED_VALUE"""),"90HP")</f>
        <v>90HP</v>
      </c>
      <c r="I2805" s="5" t="str">
        <f>IFERROR(__xludf.DUMMYFUNCTION("""COMPUTED_VALUE"""),"9HR02924")</f>
        <v>9HR02924</v>
      </c>
      <c r="J2805" s="5" t="str">
        <f>IFERROR(__xludf.DUMMYFUNCTION("""COMPUTED_VALUE"""),"6LK18226")</f>
        <v>6LK18226</v>
      </c>
      <c r="K2805" s="5">
        <f>IFERROR(__xludf.DUMMYFUNCTION("""COMPUTED_VALUE"""),9.0)</f>
        <v>9</v>
      </c>
      <c r="L2805" s="5" t="str">
        <f>IFERROR(__xludf.DUMMYFUNCTION("""COMPUTED_VALUE"""),"-")</f>
        <v>-</v>
      </c>
    </row>
    <row r="2806">
      <c r="A2806" s="5" t="str">
        <f>IFERROR(__xludf.DUMMYFUNCTION("""COMPUTED_VALUE"""),"TND-MĐA-060")</f>
        <v>TND-MĐA-060</v>
      </c>
      <c r="B2806" s="3" t="str">
        <f>IFERROR(__xludf.DUMMYFUNCTION("""COMPUTED_VALUE"""),"Máy đào gàu 0.5m3")</f>
        <v>Máy đào gàu 0.5m3</v>
      </c>
      <c r="C2806" s="5" t="str">
        <f>IFERROR(__xludf.DUMMYFUNCTION("""COMPUTED_VALUE"""),"Ban điện nước")</f>
        <v>Ban điện nước</v>
      </c>
      <c r="D2806" s="5" t="str">
        <f>IFERROR(__xludf.DUMMYFUNCTION("""COMPUTED_VALUE"""),"CAT")</f>
        <v>CAT</v>
      </c>
      <c r="E2806" s="5"/>
      <c r="F2806" s="5">
        <f>IFERROR(__xludf.DUMMYFUNCTION("""COMPUTED_VALUE"""),1987.0)</f>
        <v>1987</v>
      </c>
      <c r="G2806" s="5" t="str">
        <f>IFERROR(__xludf.DUMMYFUNCTION("""COMPUTED_VALUE"""),"E120")</f>
        <v>E120</v>
      </c>
      <c r="H2806" s="5"/>
      <c r="I2806" s="5" t="str">
        <f>IFERROR(__xludf.DUMMYFUNCTION("""COMPUTED_VALUE"""),"1MF-88488")</f>
        <v>1MF-88488</v>
      </c>
      <c r="J2806" s="5" t="str">
        <f>IFERROR(__xludf.DUMMYFUNCTION("""COMPUTED_VALUE"""),"NIL")</f>
        <v>NIL</v>
      </c>
      <c r="K2806" s="5">
        <f>IFERROR(__xludf.DUMMYFUNCTION("""COMPUTED_VALUE"""),9.0)</f>
        <v>9</v>
      </c>
      <c r="L2806" s="5" t="str">
        <f>IFERROR(__xludf.DUMMYFUNCTION("""COMPUTED_VALUE"""),"-")</f>
        <v>-</v>
      </c>
    </row>
    <row r="2807">
      <c r="A2807" s="5" t="str">
        <f>IFERROR(__xludf.DUMMYFUNCTION("""COMPUTED_VALUE"""),"TND-MĐA-061")</f>
        <v>TND-MĐA-061</v>
      </c>
      <c r="B2807" s="3" t="str">
        <f>IFERROR(__xludf.DUMMYFUNCTION("""COMPUTED_VALUE"""),"Máy đào gàu 0.7m3")</f>
        <v>Máy đào gàu 0.7m3</v>
      </c>
      <c r="C2807" s="5" t="str">
        <f>IFERROR(__xludf.DUMMYFUNCTION("""COMPUTED_VALUE"""),"CGTC DP")</f>
        <v>CGTC DP</v>
      </c>
      <c r="D2807" s="5" t="str">
        <f>IFERROR(__xludf.DUMMYFUNCTION("""COMPUTED_VALUE"""),"CAT")</f>
        <v>CAT</v>
      </c>
      <c r="E2807" s="5"/>
      <c r="F2807" s="5"/>
      <c r="G2807" s="5" t="str">
        <f>IFERROR(__xludf.DUMMYFUNCTION("""COMPUTED_VALUE"""),"320")</f>
        <v>320</v>
      </c>
      <c r="H2807" s="5"/>
      <c r="I2807" s="5" t="str">
        <f>IFERROR(__xludf.DUMMYFUNCTION("""COMPUTED_VALUE"""),"CAT0320CHFBB01657")</f>
        <v>CAT0320CHFBB01657</v>
      </c>
      <c r="J2807" s="5" t="str">
        <f>IFERROR(__xludf.DUMMYFUNCTION("""COMPUTED_VALUE"""),"MAE13007")</f>
        <v>MAE13007</v>
      </c>
      <c r="K2807" s="5">
        <f>IFERROR(__xludf.DUMMYFUNCTION("""COMPUTED_VALUE"""),10.0)</f>
        <v>10</v>
      </c>
      <c r="L2807" s="5" t="str">
        <f>IFERROR(__xludf.DUMMYFUNCTION("""COMPUTED_VALUE"""),"-")</f>
        <v>-</v>
      </c>
    </row>
    <row r="2808">
      <c r="A2808" s="5" t="str">
        <f>IFERROR(__xludf.DUMMYFUNCTION("""COMPUTED_VALUE"""),"TND-MĐA-063")</f>
        <v>TND-MĐA-063</v>
      </c>
      <c r="B2808" s="3" t="str">
        <f>IFERROR(__xludf.DUMMYFUNCTION("""COMPUTED_VALUE"""),"Máy đào gàu 0.5m3")</f>
        <v>Máy đào gàu 0.5m3</v>
      </c>
      <c r="C2808" s="5" t="str">
        <f>IFERROR(__xludf.DUMMYFUNCTION("""COMPUTED_VALUE"""),"CGTC DP")</f>
        <v>CGTC DP</v>
      </c>
      <c r="D2808" s="5" t="str">
        <f>IFERROR(__xludf.DUMMYFUNCTION("""COMPUTED_VALUE"""),"HITACHI")</f>
        <v>HITACHI</v>
      </c>
      <c r="E2808" s="5"/>
      <c r="F2808" s="5">
        <f>IFERROR(__xludf.DUMMYFUNCTION("""COMPUTED_VALUE"""),2007.0)</f>
        <v>2007</v>
      </c>
      <c r="G2808" s="5" t="str">
        <f>IFERROR(__xludf.DUMMYFUNCTION("""COMPUTED_VALUE"""),"ZX125US")</f>
        <v>ZX125US</v>
      </c>
      <c r="H2808" s="5" t="str">
        <f>IFERROR(__xludf.DUMMYFUNCTION("""COMPUTED_VALUE"""),"78HP")</f>
        <v>78HP</v>
      </c>
      <c r="I2808" s="5" t="str">
        <f>IFERROR(__xludf.DUMMYFUNCTION("""COMPUTED_VALUE"""),"00011848")</f>
        <v>00011848</v>
      </c>
      <c r="J2808" s="5" t="str">
        <f>IFERROR(__xludf.DUMMYFUNCTION("""COMPUTED_VALUE"""),"1945999")</f>
        <v>1945999</v>
      </c>
      <c r="K2808" s="5">
        <f>IFERROR(__xludf.DUMMYFUNCTION("""COMPUTED_VALUE"""),10.0)</f>
        <v>10</v>
      </c>
      <c r="L2808" s="5" t="str">
        <f>IFERROR(__xludf.DUMMYFUNCTION("""COMPUTED_VALUE"""),"-")</f>
        <v>-</v>
      </c>
    </row>
    <row r="2809">
      <c r="A2809" s="5" t="str">
        <f>IFERROR(__xludf.DUMMYFUNCTION("""COMPUTED_VALUE"""),"TND-MĐA-064")</f>
        <v>TND-MĐA-064</v>
      </c>
      <c r="B2809" s="3" t="str">
        <f>IFERROR(__xludf.DUMMYFUNCTION("""COMPUTED_VALUE"""),"Máy đào gàu 0.8m3")</f>
        <v>Máy đào gàu 0.8m3</v>
      </c>
      <c r="C2809" s="5" t="str">
        <f>IFERROR(__xludf.DUMMYFUNCTION("""COMPUTED_VALUE"""),"CGTC DP")</f>
        <v>CGTC DP</v>
      </c>
      <c r="D2809" s="5" t="str">
        <f>IFERROR(__xludf.DUMMYFUNCTION("""COMPUTED_VALUE"""),"CAT")</f>
        <v>CAT</v>
      </c>
      <c r="E2809" s="5"/>
      <c r="F2809" s="5">
        <f>IFERROR(__xludf.DUMMYFUNCTION("""COMPUTED_VALUE"""),1990.0)</f>
        <v>1990</v>
      </c>
      <c r="G2809" s="5" t="str">
        <f>IFERROR(__xludf.DUMMYFUNCTION("""COMPUTED_VALUE"""),"320BL")</f>
        <v>320BL</v>
      </c>
      <c r="H2809" s="5"/>
      <c r="I2809" s="5" t="str">
        <f>IFERROR(__xludf.DUMMYFUNCTION("""COMPUTED_VALUE"""),"2736")</f>
        <v>2736</v>
      </c>
      <c r="J2809" s="5" t="str">
        <f>IFERROR(__xludf.DUMMYFUNCTION("""COMPUTED_VALUE"""),"22338")</f>
        <v>22338</v>
      </c>
      <c r="K2809" s="5">
        <f>IFERROR(__xludf.DUMMYFUNCTION("""COMPUTED_VALUE"""),14.0)</f>
        <v>14</v>
      </c>
      <c r="L2809" s="5" t="str">
        <f>IFERROR(__xludf.DUMMYFUNCTION("""COMPUTED_VALUE"""),"-")</f>
        <v>-</v>
      </c>
    </row>
    <row r="2810">
      <c r="A2810" s="5" t="str">
        <f>IFERROR(__xludf.DUMMYFUNCTION("""COMPUTED_VALUE"""),"TND-MĐA-065")</f>
        <v>TND-MĐA-065</v>
      </c>
      <c r="B2810" s="3" t="str">
        <f>IFERROR(__xludf.DUMMYFUNCTION("""COMPUTED_VALUE"""),"Máy đào gàu 0.8m3")</f>
        <v>Máy đào gàu 0.8m3</v>
      </c>
      <c r="C2810" s="5" t="str">
        <f>IFERROR(__xludf.DUMMYFUNCTION("""COMPUTED_VALUE"""),"CGTC DP")</f>
        <v>CGTC DP</v>
      </c>
      <c r="D2810" s="5" t="str">
        <f>IFERROR(__xludf.DUMMYFUNCTION("""COMPUTED_VALUE"""),"CAT")</f>
        <v>CAT</v>
      </c>
      <c r="E2810" s="5"/>
      <c r="F2810" s="5">
        <f>IFERROR(__xludf.DUMMYFUNCTION("""COMPUTED_VALUE"""),2005.0)</f>
        <v>2005</v>
      </c>
      <c r="G2810" s="5" t="str">
        <f>IFERROR(__xludf.DUMMYFUNCTION("""COMPUTED_VALUE"""),"320CL")</f>
        <v>320CL</v>
      </c>
      <c r="H2810" s="5" t="str">
        <f>IFERROR(__xludf.DUMMYFUNCTION("""COMPUTED_VALUE"""),"138HP")</f>
        <v>138HP</v>
      </c>
      <c r="I2810" s="5" t="str">
        <f>IFERROR(__xludf.DUMMYFUNCTION("""COMPUTED_VALUE"""),"b03930")</f>
        <v>b03930</v>
      </c>
      <c r="J2810" s="5" t="str">
        <f>IFERROR(__xludf.DUMMYFUNCTION("""COMPUTED_VALUE"""),"87947")</f>
        <v>87947</v>
      </c>
      <c r="K2810" s="5">
        <f>IFERROR(__xludf.DUMMYFUNCTION("""COMPUTED_VALUE"""),14.0)</f>
        <v>14</v>
      </c>
      <c r="L2810" s="5" t="str">
        <f>IFERROR(__xludf.DUMMYFUNCTION("""COMPUTED_VALUE"""),"-")</f>
        <v>-</v>
      </c>
    </row>
    <row r="2811">
      <c r="A2811" s="5" t="str">
        <f>IFERROR(__xludf.DUMMYFUNCTION("""COMPUTED_VALUE"""),"TND-MĐA-066")</f>
        <v>TND-MĐA-066</v>
      </c>
      <c r="B2811" s="3" t="str">
        <f>IFERROR(__xludf.DUMMYFUNCTION("""COMPUTED_VALUE"""),"Máy đào gàu 0.5m3")</f>
        <v>Máy đào gàu 0.5m3</v>
      </c>
      <c r="C2811" s="5" t="str">
        <f>IFERROR(__xludf.DUMMYFUNCTION("""COMPUTED_VALUE"""),"CGTC DP")</f>
        <v>CGTC DP</v>
      </c>
      <c r="D2811" s="5" t="str">
        <f>IFERROR(__xludf.DUMMYFUNCTION("""COMPUTED_VALUE"""),"HITACHI")</f>
        <v>HITACHI</v>
      </c>
      <c r="E2811" s="5"/>
      <c r="F2811" s="5">
        <f>IFERROR(__xludf.DUMMYFUNCTION("""COMPUTED_VALUE"""),2008.0)</f>
        <v>2008</v>
      </c>
      <c r="G2811" s="5" t="str">
        <f>IFERROR(__xludf.DUMMYFUNCTION("""COMPUTED_VALUE"""),"ZX110")</f>
        <v>ZX110</v>
      </c>
      <c r="H2811" s="5" t="str">
        <f>IFERROR(__xludf.DUMMYFUNCTION("""COMPUTED_VALUE"""),"85")</f>
        <v>85</v>
      </c>
      <c r="I2811" s="5" t="str">
        <f>IFERROR(__xludf.DUMMYFUNCTION("""COMPUTED_VALUE"""),"00012213")</f>
        <v>00012213</v>
      </c>
      <c r="J2811" s="5" t="str">
        <f>IFERROR(__xludf.DUMMYFUNCTION("""COMPUTED_VALUE"""),"1958109")</f>
        <v>1958109</v>
      </c>
      <c r="K2811" s="5">
        <f>IFERROR(__xludf.DUMMYFUNCTION("""COMPUTED_VALUE"""),8.5)</f>
        <v>8.5</v>
      </c>
      <c r="L2811" s="5" t="str">
        <f>IFERROR(__xludf.DUMMYFUNCTION("""COMPUTED_VALUE"""),"-")</f>
        <v>-</v>
      </c>
    </row>
    <row r="2812">
      <c r="A2812" s="5" t="str">
        <f>IFERROR(__xludf.DUMMYFUNCTION("""COMPUTED_VALUE"""),"TND-MĐA-067")</f>
        <v>TND-MĐA-067</v>
      </c>
      <c r="B2812" s="3" t="str">
        <f>IFERROR(__xludf.DUMMYFUNCTION("""COMPUTED_VALUE"""),"Máy đào gàu 0.8m3")</f>
        <v>Máy đào gàu 0.8m3</v>
      </c>
      <c r="C2812" s="5" t="str">
        <f>IFERROR(__xludf.DUMMYFUNCTION("""COMPUTED_VALUE"""),"CGTC DP")</f>
        <v>CGTC DP</v>
      </c>
      <c r="D2812" s="5" t="str">
        <f>IFERROR(__xludf.DUMMYFUNCTION("""COMPUTED_VALUE"""),"HITACHI")</f>
        <v>HITACHI</v>
      </c>
      <c r="E2812" s="5"/>
      <c r="F2812" s="5">
        <f>IFERROR(__xludf.DUMMYFUNCTION("""COMPUTED_VALUE"""),2004.0)</f>
        <v>2004</v>
      </c>
      <c r="G2812" s="5" t="str">
        <f>IFERROR(__xludf.DUMMYFUNCTION("""COMPUTED_VALUE"""),"ZX200")</f>
        <v>ZX200</v>
      </c>
      <c r="H2812" s="5" t="str">
        <f>IFERROR(__xludf.DUMMYFUNCTION("""COMPUTED_VALUE"""),"138HP")</f>
        <v>138HP</v>
      </c>
      <c r="I2812" s="5" t="str">
        <f>IFERROR(__xludf.DUMMYFUNCTION("""COMPUTED_VALUE"""),"112725")</f>
        <v>112725</v>
      </c>
      <c r="J2812" s="5" t="str">
        <f>IFERROR(__xludf.DUMMYFUNCTION("""COMPUTED_VALUE"""),"6BG1189026")</f>
        <v>6BG1189026</v>
      </c>
      <c r="K2812" s="5">
        <f>IFERROR(__xludf.DUMMYFUNCTION("""COMPUTED_VALUE"""),11.5)</f>
        <v>11.5</v>
      </c>
      <c r="L2812" s="5" t="str">
        <f>IFERROR(__xludf.DUMMYFUNCTION("""COMPUTED_VALUE"""),"Đang thuê")</f>
        <v>Đang thuê</v>
      </c>
    </row>
    <row r="2813">
      <c r="A2813" s="5" t="str">
        <f>IFERROR(__xludf.DUMMYFUNCTION("""COMPUTED_VALUE"""),"TND-MĐA-068")</f>
        <v>TND-MĐA-068</v>
      </c>
      <c r="B2813" s="3" t="str">
        <f>IFERROR(__xludf.DUMMYFUNCTION("""COMPUTED_VALUE"""),"Máy đào gàu 0.5m3")</f>
        <v>Máy đào gàu 0.5m3</v>
      </c>
      <c r="C2813" s="5" t="str">
        <f>IFERROR(__xludf.DUMMYFUNCTION("""COMPUTED_VALUE"""),"CGTC DP")</f>
        <v>CGTC DP</v>
      </c>
      <c r="D2813" s="5" t="str">
        <f>IFERROR(__xludf.DUMMYFUNCTION("""COMPUTED_VALUE"""),"LIUGONG")</f>
        <v>LIUGONG</v>
      </c>
      <c r="E2813" s="5" t="str">
        <f>IFERROR(__xludf.DUMMYFUNCTION("""COMPUTED_VALUE"""),"TRUNG QUỐC")</f>
        <v>TRUNG QUỐC</v>
      </c>
      <c r="F2813" s="5">
        <f>IFERROR(__xludf.DUMMYFUNCTION("""COMPUTED_VALUE"""),2011.0)</f>
        <v>2011</v>
      </c>
      <c r="G2813" s="5" t="str">
        <f>IFERROR(__xludf.DUMMYFUNCTION("""COMPUTED_VALUE"""),"CLG915D")</f>
        <v>CLG915D</v>
      </c>
      <c r="H2813" s="5" t="str">
        <f>IFERROR(__xludf.DUMMYFUNCTION("""COMPUTED_VALUE"""),"115HP")</f>
        <v>115HP</v>
      </c>
      <c r="I2813" s="5" t="str">
        <f>IFERROR(__xludf.DUMMYFUNCTION("""COMPUTED_VALUE"""),"CLG0915DHBE025622")</f>
        <v>CLG0915DHBE025622</v>
      </c>
      <c r="J2813" s="5" t="str">
        <f>IFERROR(__xludf.DUMMYFUNCTION("""COMPUTED_VALUE"""),"26474718")</f>
        <v>26474718</v>
      </c>
      <c r="K2813" s="5">
        <f>IFERROR(__xludf.DUMMYFUNCTION("""COMPUTED_VALUE"""),9.0)</f>
        <v>9</v>
      </c>
      <c r="L2813" s="5" t="str">
        <f>IFERROR(__xludf.DUMMYFUNCTION("""COMPUTED_VALUE"""),"-")</f>
        <v>-</v>
      </c>
    </row>
    <row r="2814">
      <c r="A2814" s="5" t="str">
        <f>IFERROR(__xludf.DUMMYFUNCTION("""COMPUTED_VALUE"""),"TND-MĐA-069")</f>
        <v>TND-MĐA-069</v>
      </c>
      <c r="B2814" s="3" t="str">
        <f>IFERROR(__xludf.DUMMYFUNCTION("""COMPUTED_VALUE"""),"Máy đào gàu 0.9m3")</f>
        <v>Máy đào gàu 0.9m3</v>
      </c>
      <c r="C2814" s="5" t="str">
        <f>IFERROR(__xludf.DUMMYFUNCTION("""COMPUTED_VALUE"""),"CGTC DP")</f>
        <v>CGTC DP</v>
      </c>
      <c r="D2814" s="5" t="str">
        <f>IFERROR(__xludf.DUMMYFUNCTION("""COMPUTED_VALUE"""),"HYUNDAI")</f>
        <v>HYUNDAI</v>
      </c>
      <c r="E2814" s="5"/>
      <c r="F2814" s="5">
        <f>IFERROR(__xludf.DUMMYFUNCTION("""COMPUTED_VALUE"""),2022.0)</f>
        <v>2022</v>
      </c>
      <c r="G2814" s="5" t="str">
        <f>IFERROR(__xludf.DUMMYFUNCTION("""COMPUTED_VALUE"""),"HX225S")</f>
        <v>HX225S</v>
      </c>
      <c r="H2814" s="5" t="str">
        <f>IFERROR(__xludf.DUMMYFUNCTION("""COMPUTED_VALUE"""),"148HP")</f>
        <v>148HP</v>
      </c>
      <c r="I2814" s="5" t="str">
        <f>IFERROR(__xludf.DUMMYFUNCTION("""COMPUTED_VALUE"""),"HHKHK605VE0001605")</f>
        <v>HHKHK605VE0001605</v>
      </c>
      <c r="J2814" s="5" t="str">
        <f>IFERROR(__xludf.DUMMYFUNCTION("""COMPUTED_VALUE"""),"22517070")</f>
        <v>22517070</v>
      </c>
      <c r="K2814" s="5">
        <f>IFERROR(__xludf.DUMMYFUNCTION("""COMPUTED_VALUE"""),12.0)</f>
        <v>12</v>
      </c>
      <c r="L2814" s="5" t="str">
        <f>IFERROR(__xludf.DUMMYFUNCTION("""COMPUTED_VALUE"""),"-")</f>
        <v>-</v>
      </c>
    </row>
    <row r="2815">
      <c r="A2815" s="5" t="str">
        <f>IFERROR(__xludf.DUMMYFUNCTION("""COMPUTED_VALUE"""),"TND-MĐA-070")</f>
        <v>TND-MĐA-070</v>
      </c>
      <c r="B2815" s="3" t="str">
        <f>IFERROR(__xludf.DUMMYFUNCTION("""COMPUTED_VALUE"""),"Máy đào gàu 0.9m3")</f>
        <v>Máy đào gàu 0.9m3</v>
      </c>
      <c r="C2815" s="5" t="str">
        <f>IFERROR(__xludf.DUMMYFUNCTION("""COMPUTED_VALUE"""),"CGTC DP")</f>
        <v>CGTC DP</v>
      </c>
      <c r="D2815" s="5" t="str">
        <f>IFERROR(__xludf.DUMMYFUNCTION("""COMPUTED_VALUE"""),"MATADOR")</f>
        <v>MATADOR</v>
      </c>
      <c r="E2815" s="5"/>
      <c r="F2815" s="5">
        <f>IFERROR(__xludf.DUMMYFUNCTION("""COMPUTED_VALUE"""),2019.0)</f>
        <v>2019</v>
      </c>
      <c r="G2815" s="5"/>
      <c r="H2815" s="5" t="str">
        <f>IFERROR(__xludf.DUMMYFUNCTION("""COMPUTED_VALUE"""),"156HP")</f>
        <v>156HP</v>
      </c>
      <c r="I2815" s="5" t="str">
        <f>IFERROR(__xludf.DUMMYFUNCTION("""COMPUTED_VALUE"""),"86SE21EWNK0000579")</f>
        <v>86SE21EWNK0000579</v>
      </c>
      <c r="J2815" s="5" t="str">
        <f>IFERROR(__xludf.DUMMYFUNCTION("""COMPUTED_VALUE"""),"1019B004629")</f>
        <v>1019B004629</v>
      </c>
      <c r="K2815" s="5">
        <f>IFERROR(__xludf.DUMMYFUNCTION("""COMPUTED_VALUE"""),13.5)</f>
        <v>13.5</v>
      </c>
      <c r="L2815" s="5" t="str">
        <f>IFERROR(__xludf.DUMMYFUNCTION("""COMPUTED_VALUE"""),"-")</f>
        <v>-</v>
      </c>
    </row>
    <row r="2816">
      <c r="A2816" s="5" t="str">
        <f>IFERROR(__xludf.DUMMYFUNCTION("""COMPUTED_VALUE"""),"TND-MĐA-071")</f>
        <v>TND-MĐA-071</v>
      </c>
      <c r="B2816" s="3" t="str">
        <f>IFERROR(__xludf.DUMMYFUNCTION("""COMPUTED_VALUE"""),"Máy đào gàu 0.7m3")</f>
        <v>Máy đào gàu 0.7m3</v>
      </c>
      <c r="C2816" s="5" t="str">
        <f>IFERROR(__xludf.DUMMYFUNCTION("""COMPUTED_VALUE"""),"CGTC DP")</f>
        <v>CGTC DP</v>
      </c>
      <c r="D2816" s="5" t="str">
        <f>IFERROR(__xludf.DUMMYFUNCTION("""COMPUTED_VALUE"""),"CAT")</f>
        <v>CAT</v>
      </c>
      <c r="E2816" s="5"/>
      <c r="F2816" s="5">
        <f>IFERROR(__xludf.DUMMYFUNCTION("""COMPUTED_VALUE"""),2017.0)</f>
        <v>2017</v>
      </c>
      <c r="G2816" s="5" t="str">
        <f>IFERROR(__xludf.DUMMYFUNCTION("""COMPUTED_VALUE"""),"320D2")</f>
        <v>320D2</v>
      </c>
      <c r="H2816" s="5" t="str">
        <f>IFERROR(__xludf.DUMMYFUNCTION("""COMPUTED_VALUE"""),"142HP")</f>
        <v>142HP</v>
      </c>
      <c r="I2816" s="5" t="str">
        <f>IFERROR(__xludf.DUMMYFUNCTION("""COMPUTED_VALUE"""),"110008")</f>
        <v>110008</v>
      </c>
      <c r="J2816" s="5" t="str">
        <f>IFERROR(__xludf.DUMMYFUNCTION("""COMPUTED_VALUE"""),"2w203755")</f>
        <v>2w203755</v>
      </c>
      <c r="K2816" s="5">
        <f>IFERROR(__xludf.DUMMYFUNCTION("""COMPUTED_VALUE"""),12.0)</f>
        <v>12</v>
      </c>
      <c r="L2816" s="5" t="str">
        <f>IFERROR(__xludf.DUMMYFUNCTION("""COMPUTED_VALUE"""),"-")</f>
        <v>-</v>
      </c>
    </row>
    <row r="2817">
      <c r="A2817" s="5" t="str">
        <f>IFERROR(__xludf.DUMMYFUNCTION("""COMPUTED_VALUE"""),"TND-MĐA-072")</f>
        <v>TND-MĐA-072</v>
      </c>
      <c r="B2817" s="3" t="str">
        <f>IFERROR(__xludf.DUMMYFUNCTION("""COMPUTED_VALUE"""),"Máy đào gàu 0.8m3")</f>
        <v>Máy đào gàu 0.8m3</v>
      </c>
      <c r="C2817" s="5" t="str">
        <f>IFERROR(__xludf.DUMMYFUNCTION("""COMPUTED_VALUE"""),"CGTC DP")</f>
        <v>CGTC DP</v>
      </c>
      <c r="D2817" s="5" t="str">
        <f>IFERROR(__xludf.DUMMYFUNCTION("""COMPUTED_VALUE"""),"CAT")</f>
        <v>CAT</v>
      </c>
      <c r="E2817" s="5"/>
      <c r="F2817" s="5">
        <f>IFERROR(__xludf.DUMMYFUNCTION("""COMPUTED_VALUE"""),2021.0)</f>
        <v>2021</v>
      </c>
      <c r="G2817" s="5" t="str">
        <f>IFERROR(__xludf.DUMMYFUNCTION("""COMPUTED_VALUE"""),"320GX")</f>
        <v>320GX</v>
      </c>
      <c r="H2817" s="5" t="str">
        <f>IFERROR(__xludf.DUMMYFUNCTION("""COMPUTED_VALUE"""),"145HP")</f>
        <v>145HP</v>
      </c>
      <c r="I2817" s="5" t="str">
        <f>IFERROR(__xludf.DUMMYFUNCTION("""COMPUTED_VALUE"""),"W00888")</f>
        <v>W00888</v>
      </c>
      <c r="J2817" s="5" t="str">
        <f>IFERROR(__xludf.DUMMYFUNCTION("""COMPUTED_VALUE"""),"2W230809")</f>
        <v>2W230809</v>
      </c>
      <c r="K2817" s="5">
        <f>IFERROR(__xludf.DUMMYFUNCTION("""COMPUTED_VALUE"""),13.0)</f>
        <v>13</v>
      </c>
      <c r="L2817" s="5" t="str">
        <f>IFERROR(__xludf.DUMMYFUNCTION("""COMPUTED_VALUE"""),"-")</f>
        <v>-</v>
      </c>
    </row>
    <row r="2818">
      <c r="A2818" s="5" t="str">
        <f>IFERROR(__xludf.DUMMYFUNCTION("""COMPUTED_VALUE"""),"TND-MĐA-073")</f>
        <v>TND-MĐA-073</v>
      </c>
      <c r="B2818" s="3" t="str">
        <f>IFERROR(__xludf.DUMMYFUNCTION("""COMPUTED_VALUE"""),"Máy đào gàu 0.9m3")</f>
        <v>Máy đào gàu 0.9m3</v>
      </c>
      <c r="C2818" s="5" t="str">
        <f>IFERROR(__xludf.DUMMYFUNCTION("""COMPUTED_VALUE"""),"CGTC DP")</f>
        <v>CGTC DP</v>
      </c>
      <c r="D2818" s="5" t="str">
        <f>IFERROR(__xludf.DUMMYFUNCTION("""COMPUTED_VALUE"""),"MATADOR")</f>
        <v>MATADOR</v>
      </c>
      <c r="E2818" s="5"/>
      <c r="F2818" s="5">
        <f>IFERROR(__xludf.DUMMYFUNCTION("""COMPUTED_VALUE"""),2019.0)</f>
        <v>2019</v>
      </c>
      <c r="G2818" s="5" t="str">
        <f>IFERROR(__xludf.DUMMYFUNCTION("""COMPUTED_VALUE"""),"ME210LC")</f>
        <v>ME210LC</v>
      </c>
      <c r="H2818" s="5" t="str">
        <f>IFERROR(__xludf.DUMMYFUNCTION("""COMPUTED_VALUE"""),"156HP")</f>
        <v>156HP</v>
      </c>
      <c r="I2818" s="5" t="str">
        <f>IFERROR(__xludf.DUMMYFUNCTION("""COMPUTED_VALUE"""),"K0000579")</f>
        <v>K0000579</v>
      </c>
      <c r="J2818" s="5" t="str">
        <f>IFERROR(__xludf.DUMMYFUNCTION("""COMPUTED_VALUE"""),"1019B004629")</f>
        <v>1019B004629</v>
      </c>
      <c r="K2818" s="5">
        <f>IFERROR(__xludf.DUMMYFUNCTION("""COMPUTED_VALUE"""),13.5)</f>
        <v>13.5</v>
      </c>
      <c r="L2818" s="5" t="str">
        <f>IFERROR(__xludf.DUMMYFUNCTION("""COMPUTED_VALUE"""),"-")</f>
        <v>-</v>
      </c>
    </row>
    <row r="2819">
      <c r="A2819" s="5" t="str">
        <f>IFERROR(__xludf.DUMMYFUNCTION("""COMPUTED_VALUE"""),"TND-MĐA-074")</f>
        <v>TND-MĐA-074</v>
      </c>
      <c r="B2819" s="3" t="str">
        <f>IFERROR(__xludf.DUMMYFUNCTION("""COMPUTED_VALUE"""),"Máy đào gàu 1.0m3")</f>
        <v>Máy đào gàu 1.0m3</v>
      </c>
      <c r="C2819" s="5" t="str">
        <f>IFERROR(__xludf.DUMMYFUNCTION("""COMPUTED_VALUE"""),"CGTC DP")</f>
        <v>CGTC DP</v>
      </c>
      <c r="D2819" s="5" t="str">
        <f>IFERROR(__xludf.DUMMYFUNCTION("""COMPUTED_VALUE"""),"CAT")</f>
        <v>CAT</v>
      </c>
      <c r="E2819" s="5"/>
      <c r="F2819" s="5">
        <f>IFERROR(__xludf.DUMMYFUNCTION("""COMPUTED_VALUE"""),2000.0)</f>
        <v>2000</v>
      </c>
      <c r="G2819" s="5" t="str">
        <f>IFERROR(__xludf.DUMMYFUNCTION("""COMPUTED_VALUE"""),"320C")</f>
        <v>320C</v>
      </c>
      <c r="H2819" s="5" t="str">
        <f>IFERROR(__xludf.DUMMYFUNCTION("""COMPUTED_VALUE"""),"147HP")</f>
        <v>147HP</v>
      </c>
      <c r="I2819" s="5" t="str">
        <f>IFERROR(__xludf.DUMMYFUNCTION("""COMPUTED_VALUE"""),"AKH00170")</f>
        <v>AKH00170</v>
      </c>
      <c r="J2819" s="5" t="str">
        <f>IFERROR(__xludf.DUMMYFUNCTION("""COMPUTED_VALUE"""),"NIL")</f>
        <v>NIL</v>
      </c>
      <c r="K2819" s="5">
        <f>IFERROR(__xludf.DUMMYFUNCTION("""COMPUTED_VALUE"""),14.0)</f>
        <v>14</v>
      </c>
      <c r="L2819" s="5" t="str">
        <f>IFERROR(__xludf.DUMMYFUNCTION("""COMPUTED_VALUE"""),"Đang thuê")</f>
        <v>Đang thuê</v>
      </c>
    </row>
    <row r="2820">
      <c r="A2820" s="5" t="str">
        <f>IFERROR(__xludf.DUMMYFUNCTION("""COMPUTED_VALUE"""),"TND-MĐA-075")</f>
        <v>TND-MĐA-075</v>
      </c>
      <c r="B2820" s="3" t="str">
        <f>IFERROR(__xludf.DUMMYFUNCTION("""COMPUTED_VALUE"""),"Máy đào gàu 1.0m3")</f>
        <v>Máy đào gàu 1.0m3</v>
      </c>
      <c r="C2820" s="5" t="str">
        <f>IFERROR(__xludf.DUMMYFUNCTION("""COMPUTED_VALUE"""),"CGTC DP")</f>
        <v>CGTC DP</v>
      </c>
      <c r="D2820" s="5" t="str">
        <f>IFERROR(__xludf.DUMMYFUNCTION("""COMPUTED_VALUE"""),"JCB")</f>
        <v>JCB</v>
      </c>
      <c r="E2820" s="5"/>
      <c r="F2820" s="5">
        <f>IFERROR(__xludf.DUMMYFUNCTION("""COMPUTED_VALUE"""),2024.0)</f>
        <v>2024</v>
      </c>
      <c r="G2820" s="5" t="str">
        <f>IFERROR(__xludf.DUMMYFUNCTION("""COMPUTED_VALUE"""),"215CL-NXT")</f>
        <v>215CL-NXT</v>
      </c>
      <c r="H2820" s="5" t="str">
        <f>IFERROR(__xludf.DUMMYFUNCTION("""COMPUTED_VALUE"""),"140HP")</f>
        <v>140HP</v>
      </c>
      <c r="I2820" s="5" t="str">
        <f>IFERROR(__xludf.DUMMYFUNCTION("""COMPUTED_VALUE"""),"TK3373365")</f>
        <v>TK3373365</v>
      </c>
      <c r="J2820" s="5" t="str">
        <f>IFERROR(__xludf.DUMMYFUNCTION("""COMPUTED_VALUE"""),"9543469")</f>
        <v>9543469</v>
      </c>
      <c r="K2820" s="5">
        <f>IFERROR(__xludf.DUMMYFUNCTION("""COMPUTED_VALUE"""),15.0)</f>
        <v>15</v>
      </c>
      <c r="L2820" s="5" t="str">
        <f>IFERROR(__xludf.DUMMYFUNCTION("""COMPUTED_VALUE"""),"-")</f>
        <v>-</v>
      </c>
    </row>
    <row r="2821">
      <c r="A2821" s="5" t="str">
        <f>IFERROR(__xludf.DUMMYFUNCTION("""COMPUTED_VALUE"""),"TND-MĐA-076")</f>
        <v>TND-MĐA-076</v>
      </c>
      <c r="B2821" s="3" t="str">
        <f>IFERROR(__xludf.DUMMYFUNCTION("""COMPUTED_VALUE"""),"Máy đào gàu 1.0m3")</f>
        <v>Máy đào gàu 1.0m3</v>
      </c>
      <c r="C2821" s="5" t="str">
        <f>IFERROR(__xludf.DUMMYFUNCTION("""COMPUTED_VALUE"""),"CGTC DP")</f>
        <v>CGTC DP</v>
      </c>
      <c r="D2821" s="5" t="str">
        <f>IFERROR(__xludf.DUMMYFUNCTION("""COMPUTED_VALUE"""),"DEVELON")</f>
        <v>DEVELON</v>
      </c>
      <c r="E2821" s="5"/>
      <c r="F2821" s="5">
        <f>IFERROR(__xludf.DUMMYFUNCTION("""COMPUTED_VALUE"""),2025.0)</f>
        <v>2025</v>
      </c>
      <c r="G2821" s="5" t="str">
        <f>IFERROR(__xludf.DUMMYFUNCTION("""COMPUTED_VALUE"""),"DX220LC")</f>
        <v>DX220LC</v>
      </c>
      <c r="H2821" s="5" t="str">
        <f>IFERROR(__xludf.DUMMYFUNCTION("""COMPUTED_VALUE"""),"154HP")</f>
        <v>154HP</v>
      </c>
      <c r="I2821" s="5" t="str">
        <f>IFERROR(__xludf.DUMMYFUNCTION("""COMPUTED_VALUE"""),"S0030341")</f>
        <v>S0030341</v>
      </c>
      <c r="J2821" s="5" t="str">
        <f>IFERROR(__xludf.DUMMYFUNCTION("""COMPUTED_VALUE"""),"791E05")</f>
        <v>791E05</v>
      </c>
      <c r="K2821" s="5">
        <f>IFERROR(__xludf.DUMMYFUNCTION("""COMPUTED_VALUE"""),15.0)</f>
        <v>15</v>
      </c>
      <c r="L2821" s="5" t="str">
        <f>IFERROR(__xludf.DUMMYFUNCTION("""COMPUTED_VALUE"""),"-")</f>
        <v>-</v>
      </c>
    </row>
    <row r="2822">
      <c r="A2822" s="5" t="str">
        <f>IFERROR(__xludf.DUMMYFUNCTION("""COMPUTED_VALUE"""),"TND-MĐA-077")</f>
        <v>TND-MĐA-077</v>
      </c>
      <c r="B2822" s="3" t="str">
        <f>IFERROR(__xludf.DUMMYFUNCTION("""COMPUTED_VALUE"""),"Máy đào gàu 0.7m3")</f>
        <v>Máy đào gàu 0.7m3</v>
      </c>
      <c r="C2822" s="5" t="str">
        <f>IFERROR(__xludf.DUMMYFUNCTION("""COMPUTED_VALUE"""),"CGTC DP")</f>
        <v>CGTC DP</v>
      </c>
      <c r="D2822" s="5" t="str">
        <f>IFERROR(__xludf.DUMMYFUNCTION("""COMPUTED_VALUE"""),"CAT")</f>
        <v>CAT</v>
      </c>
      <c r="E2822" s="5"/>
      <c r="F2822" s="5">
        <f>IFERROR(__xludf.DUMMYFUNCTION("""COMPUTED_VALUE"""),2021.0)</f>
        <v>2021</v>
      </c>
      <c r="G2822" s="5" t="str">
        <f>IFERROR(__xludf.DUMMYFUNCTION("""COMPUTED_VALUE"""),"320GX")</f>
        <v>320GX</v>
      </c>
      <c r="H2822" s="5" t="str">
        <f>IFERROR(__xludf.DUMMYFUNCTION("""COMPUTED_VALUE"""),"145HP")</f>
        <v>145HP</v>
      </c>
      <c r="I2822" s="5" t="str">
        <f>IFERROR(__xludf.DUMMYFUNCTION("""COMPUTED_VALUE"""),"W00888")</f>
        <v>W00888</v>
      </c>
      <c r="J2822" s="5" t="str">
        <f>IFERROR(__xludf.DUMMYFUNCTION("""COMPUTED_VALUE"""),"2W230809")</f>
        <v>2W230809</v>
      </c>
      <c r="K2822" s="5">
        <f>IFERROR(__xludf.DUMMYFUNCTION("""COMPUTED_VALUE"""),13.0)</f>
        <v>13</v>
      </c>
      <c r="L2822" s="5" t="str">
        <f>IFERROR(__xludf.DUMMYFUNCTION("""COMPUTED_VALUE"""),"-")</f>
        <v>-</v>
      </c>
    </row>
    <row r="2823">
      <c r="A2823" s="324" t="str">
        <f>IFERROR(__xludf.DUMMYFUNCTION("""COMPUTED_VALUE"""),"TND-MĐA-078")</f>
        <v>TND-MĐA-078</v>
      </c>
      <c r="B2823" s="478" t="str">
        <f>IFERROR(__xludf.DUMMYFUNCTION("""COMPUTED_VALUE"""),"Máy đào gàu 0.7m3")</f>
        <v>Máy đào gàu 0.7m3</v>
      </c>
      <c r="C2823" s="324" t="str">
        <f>IFERROR(__xludf.DUMMYFUNCTION("""COMPUTED_VALUE"""),"CGTC DP")</f>
        <v>CGTC DP</v>
      </c>
      <c r="D2823" s="324" t="str">
        <f>IFERROR(__xludf.DUMMYFUNCTION("""COMPUTED_VALUE"""),"CAT")</f>
        <v>CAT</v>
      </c>
      <c r="E2823" s="324"/>
      <c r="F2823" s="324"/>
      <c r="G2823" s="324" t="str">
        <f>IFERROR(__xludf.DUMMYFUNCTION("""COMPUTED_VALUE"""),"320B")</f>
        <v>320B</v>
      </c>
      <c r="H2823" s="324" t="str">
        <f>IFERROR(__xludf.DUMMYFUNCTION("""COMPUTED_VALUE"""),"128HP")</f>
        <v>128HP</v>
      </c>
      <c r="I2823" s="324" t="str">
        <f>IFERROR(__xludf.DUMMYFUNCTION("""COMPUTED_VALUE"""),"3XM00242")</f>
        <v>3XM00242</v>
      </c>
      <c r="J2823" s="324" t="str">
        <f>IFERROR(__xludf.DUMMYFUNCTION("""COMPUTED_VALUE"""),"7JK08345")</f>
        <v>7JK08345</v>
      </c>
      <c r="K2823" s="324">
        <f>IFERROR(__xludf.DUMMYFUNCTION("""COMPUTED_VALUE"""),11.0)</f>
        <v>11</v>
      </c>
      <c r="L2823" s="324" t="str">
        <f>IFERROR(__xludf.DUMMYFUNCTION("""COMPUTED_VALUE"""),"-")</f>
        <v>-</v>
      </c>
    </row>
    <row r="2824">
      <c r="A2824" s="324" t="str">
        <f>IFERROR(__xludf.DUMMYFUNCTION("""COMPUTED_VALUE"""),"TND-MĐA-079")</f>
        <v>TND-MĐA-079</v>
      </c>
      <c r="B2824" s="478" t="str">
        <f>IFERROR(__xludf.DUMMYFUNCTION("""COMPUTED_VALUE"""),"Máy đào gàu 1.0m3")</f>
        <v>Máy đào gàu 1.0m3</v>
      </c>
      <c r="C2824" s="324" t="str">
        <f>IFERROR(__xludf.DUMMYFUNCTION("""COMPUTED_VALUE"""),"CGTC DP")</f>
        <v>CGTC DP</v>
      </c>
      <c r="D2824" s="324" t="str">
        <f>IFERROR(__xludf.DUMMYFUNCTION("""COMPUTED_VALUE"""),"VOLVO")</f>
        <v>VOLVO</v>
      </c>
      <c r="E2824" s="324"/>
      <c r="F2824" s="324">
        <f>IFERROR(__xludf.DUMMYFUNCTION("""COMPUTED_VALUE"""),2014.0)</f>
        <v>2014</v>
      </c>
      <c r="G2824" s="324" t="str">
        <f>IFERROR(__xludf.DUMMYFUNCTION("""COMPUTED_VALUE"""),"EC210BLC")</f>
        <v>EC210BLC</v>
      </c>
      <c r="H2824" s="324" t="str">
        <f>IFERROR(__xludf.DUMMYFUNCTION("""COMPUTED_VALUE"""),"143HP")</f>
        <v>143HP</v>
      </c>
      <c r="I2824" s="324" t="str">
        <f>IFERROR(__xludf.DUMMYFUNCTION("""COMPUTED_VALUE"""),"VCEC210BJ00082216")</f>
        <v>VCEC210BJ00082216</v>
      </c>
      <c r="J2824" s="324" t="str">
        <f>IFERROR(__xludf.DUMMYFUNCTION("""COMPUTED_VALUE"""),"11511966")</f>
        <v>11511966</v>
      </c>
      <c r="K2824" s="324">
        <f>IFERROR(__xludf.DUMMYFUNCTION("""COMPUTED_VALUE"""),12.5)</f>
        <v>12.5</v>
      </c>
      <c r="L2824" s="324" t="str">
        <f>IFERROR(__xludf.DUMMYFUNCTION("""COMPUTED_VALUE"""),"Đang thuê")</f>
        <v>Đang thuê</v>
      </c>
    </row>
    <row r="2825">
      <c r="A2825" s="324" t="str">
        <f>IFERROR(__xludf.DUMMYFUNCTION("""COMPUTED_VALUE"""),"TND-MĐA-080")</f>
        <v>TND-MĐA-080</v>
      </c>
      <c r="B2825" s="478" t="str">
        <f>IFERROR(__xludf.DUMMYFUNCTION("""COMPUTED_VALUE"""),"Máy đào gàu 0.8m3")</f>
        <v>Máy đào gàu 0.8m3</v>
      </c>
      <c r="C2825" s="324" t="str">
        <f>IFERROR(__xludf.DUMMYFUNCTION("""COMPUTED_VALUE"""),"CGTC DP")</f>
        <v>CGTC DP</v>
      </c>
      <c r="D2825" s="324" t="str">
        <f>IFERROR(__xludf.DUMMYFUNCTION("""COMPUTED_VALUE"""),"LIUGONG")</f>
        <v>LIUGONG</v>
      </c>
      <c r="E2825" s="324"/>
      <c r="F2825" s="324">
        <f>IFERROR(__xludf.DUMMYFUNCTION("""COMPUTED_VALUE"""),2011.0)</f>
        <v>2011</v>
      </c>
      <c r="G2825" s="324" t="str">
        <f>IFERROR(__xludf.DUMMYFUNCTION("""COMPUTED_VALUE"""),"922E")</f>
        <v>922E</v>
      </c>
      <c r="H2825" s="324" t="str">
        <f>IFERROR(__xludf.DUMMYFUNCTION("""COMPUTED_VALUE"""),"145HP")</f>
        <v>145HP</v>
      </c>
      <c r="I2825" s="324" t="str">
        <f>IFERROR(__xludf.DUMMYFUNCTION("""COMPUTED_VALUE"""),"922L12WSJD440")</f>
        <v>922L12WSJD440</v>
      </c>
      <c r="J2825" s="324" t="str">
        <f>IFERROR(__xludf.DUMMYFUNCTION("""COMPUTED_VALUE"""),"73241497")</f>
        <v>73241497</v>
      </c>
      <c r="K2825" s="324">
        <f>IFERROR(__xludf.DUMMYFUNCTION("""COMPUTED_VALUE"""),15.0)</f>
        <v>15</v>
      </c>
      <c r="L2825" s="324" t="str">
        <f>IFERROR(__xludf.DUMMYFUNCTION("""COMPUTED_VALUE"""),"Đang thuê")</f>
        <v>Đang thuê</v>
      </c>
    </row>
    <row r="2826">
      <c r="A2826" s="324" t="str">
        <f>IFERROR(__xludf.DUMMYFUNCTION("""COMPUTED_VALUE"""),"TND-MĐA-081")</f>
        <v>TND-MĐA-081</v>
      </c>
      <c r="B2826" s="478" t="str">
        <f>IFERROR(__xludf.DUMMYFUNCTION("""COMPUTED_VALUE"""),"Máy đào gàu 1.0m3")</f>
        <v>Máy đào gàu 1.0m3</v>
      </c>
      <c r="C2826" s="324" t="str">
        <f>IFERROR(__xludf.DUMMYFUNCTION("""COMPUTED_VALUE"""),"CGTC DP")</f>
        <v>CGTC DP</v>
      </c>
      <c r="D2826" s="324" t="str">
        <f>IFERROR(__xludf.DUMMYFUNCTION("""COMPUTED_VALUE"""),"MATADOR")</f>
        <v>MATADOR</v>
      </c>
      <c r="E2826" s="324"/>
      <c r="F2826" s="324">
        <f>IFERROR(__xludf.DUMMYFUNCTION("""COMPUTED_VALUE"""),2020.0)</f>
        <v>2020</v>
      </c>
      <c r="G2826" s="324" t="str">
        <f>IFERROR(__xludf.DUMMYFUNCTION("""COMPUTED_VALUE"""),"ME201LC")</f>
        <v>ME201LC</v>
      </c>
      <c r="H2826" s="324" t="str">
        <f>IFERROR(__xludf.DUMMYFUNCTION("""COMPUTED_VALUE"""),"147HP")</f>
        <v>147HP</v>
      </c>
      <c r="I2826" s="324" t="str">
        <f>IFERROR(__xludf.DUMMYFUNCTION("""COMPUTED_VALUE"""),"86SE22EWNL0000158")</f>
        <v>86SE22EWNL0000158</v>
      </c>
      <c r="J2826" s="324" t="str">
        <f>IFERROR(__xludf.DUMMYFUNCTION("""COMPUTED_VALUE"""),"1019J029254")</f>
        <v>1019J029254</v>
      </c>
      <c r="K2826" s="324">
        <f>IFERROR(__xludf.DUMMYFUNCTION("""COMPUTED_VALUE"""),16.0)</f>
        <v>16</v>
      </c>
      <c r="L2826" s="324" t="str">
        <f>IFERROR(__xludf.DUMMYFUNCTION("""COMPUTED_VALUE"""),"Đang thuê")</f>
        <v>Đang thuê</v>
      </c>
    </row>
    <row r="2827">
      <c r="A2827" s="324" t="str">
        <f>IFERROR(__xludf.DUMMYFUNCTION("""COMPUTED_VALUE"""),"TND-MĐA-082")</f>
        <v>TND-MĐA-082</v>
      </c>
      <c r="B2827" s="478" t="str">
        <f>IFERROR(__xludf.DUMMYFUNCTION("""COMPUTED_VALUE"""),"Máy đào gàu 0.8m3")</f>
        <v>Máy đào gàu 0.8m3</v>
      </c>
      <c r="C2827" s="324" t="str">
        <f>IFERROR(__xludf.DUMMYFUNCTION("""COMPUTED_VALUE"""),"CGTC DP")</f>
        <v>CGTC DP</v>
      </c>
      <c r="D2827" s="324" t="str">
        <f>IFERROR(__xludf.DUMMYFUNCTION("""COMPUTED_VALUE"""),"CAT")</f>
        <v>CAT</v>
      </c>
      <c r="E2827" s="324"/>
      <c r="F2827" s="324">
        <f>IFERROR(__xludf.DUMMYFUNCTION("""COMPUTED_VALUE"""),2005.0)</f>
        <v>2005</v>
      </c>
      <c r="G2827" s="324" t="str">
        <f>IFERROR(__xludf.DUMMYFUNCTION("""COMPUTED_VALUE"""),"320Cu")</f>
        <v>320Cu</v>
      </c>
      <c r="H2827" s="324" t="str">
        <f>IFERROR(__xludf.DUMMYFUNCTION("""COMPUTED_VALUE"""),"143HP")</f>
        <v>143HP</v>
      </c>
      <c r="I2827" s="324" t="str">
        <f>IFERROR(__xludf.DUMMYFUNCTION("""COMPUTED_VALUE"""),"CAT0320DPTDN00466")</f>
        <v>CAT0320DPTDN00466</v>
      </c>
      <c r="J2827" s="324" t="str">
        <f>IFERROR(__xludf.DUMMYFUNCTION("""COMPUTED_VALUE"""),"D7A10125")</f>
        <v>D7A10125</v>
      </c>
      <c r="K2827" s="324">
        <f>IFERROR(__xludf.DUMMYFUNCTION("""COMPUTED_VALUE"""),14.0)</f>
        <v>14</v>
      </c>
      <c r="L2827" s="324" t="str">
        <f>IFERROR(__xludf.DUMMYFUNCTION("""COMPUTED_VALUE"""),"Đang thuê")</f>
        <v>Đang thuê</v>
      </c>
    </row>
    <row r="2828">
      <c r="A2828" s="324" t="str">
        <f>IFERROR(__xludf.DUMMYFUNCTION("""COMPUTED_VALUE"""),"TND-MĐA-083")</f>
        <v>TND-MĐA-083</v>
      </c>
      <c r="B2828" s="478" t="str">
        <f>IFERROR(__xludf.DUMMYFUNCTION("""COMPUTED_VALUE"""),"Máy đào gàu 0.5m3")</f>
        <v>Máy đào gàu 0.5m3</v>
      </c>
      <c r="C2828" s="324" t="str">
        <f>IFERROR(__xludf.DUMMYFUNCTION("""COMPUTED_VALUE"""),"Ban điện nước")</f>
        <v>Ban điện nước</v>
      </c>
      <c r="D2828" s="324" t="str">
        <f>IFERROR(__xludf.DUMMYFUNCTION("""COMPUTED_VALUE"""),"CAT")</f>
        <v>CAT</v>
      </c>
      <c r="E2828" s="324"/>
      <c r="F2828" s="324">
        <f>IFERROR(__xludf.DUMMYFUNCTION("""COMPUTED_VALUE"""),1996.0)</f>
        <v>1996</v>
      </c>
      <c r="G2828" s="324" t="str">
        <f>IFERROR(__xludf.DUMMYFUNCTION("""COMPUTED_VALUE"""),"312")</f>
        <v>312</v>
      </c>
      <c r="H2828" s="324" t="str">
        <f>IFERROR(__xludf.DUMMYFUNCTION("""COMPUTED_VALUE"""),"90HP")</f>
        <v>90HP</v>
      </c>
      <c r="I2828" s="324" t="str">
        <f>IFERROR(__xludf.DUMMYFUNCTION("""COMPUTED_VALUE"""),"7JK04355")</f>
        <v>7JK04355</v>
      </c>
      <c r="J2828" s="324" t="str">
        <f>IFERROR(__xludf.DUMMYFUNCTION("""COMPUTED_VALUE"""),"6LK06234")</f>
        <v>6LK06234</v>
      </c>
      <c r="K2828" s="324">
        <f>IFERROR(__xludf.DUMMYFUNCTION("""COMPUTED_VALUE"""),9.0)</f>
        <v>9</v>
      </c>
      <c r="L2828" s="324" t="str">
        <f>IFERROR(__xludf.DUMMYFUNCTION("""COMPUTED_VALUE"""),"-")</f>
        <v>-</v>
      </c>
    </row>
    <row r="2829">
      <c r="A2829" s="324" t="str">
        <f>IFERROR(__xludf.DUMMYFUNCTION("""COMPUTED_VALUE"""),"TND-MĐA-084")</f>
        <v>TND-MĐA-084</v>
      </c>
      <c r="B2829" s="478" t="str">
        <f>IFERROR(__xludf.DUMMYFUNCTION("""COMPUTED_VALUE"""),"Máy đào gàu 1.0m3")</f>
        <v>Máy đào gàu 1.0m3</v>
      </c>
      <c r="C2829" s="324" t="str">
        <f>IFERROR(__xludf.DUMMYFUNCTION("""COMPUTED_VALUE"""),"CGTC DP")</f>
        <v>CGTC DP</v>
      </c>
      <c r="D2829" s="324" t="str">
        <f>IFERROR(__xludf.DUMMYFUNCTION("""COMPUTED_VALUE"""),"CAT")</f>
        <v>CAT</v>
      </c>
      <c r="E2829" s="324"/>
      <c r="F2829" s="324">
        <f>IFERROR(__xludf.DUMMYFUNCTION("""COMPUTED_VALUE"""),2001.0)</f>
        <v>2001</v>
      </c>
      <c r="G2829" s="324" t="str">
        <f>IFERROR(__xludf.DUMMYFUNCTION("""COMPUTED_VALUE"""),"320C")</f>
        <v>320C</v>
      </c>
      <c r="H2829" s="324" t="str">
        <f>IFERROR(__xludf.DUMMYFUNCTION("""COMPUTED_VALUE"""),"157HP")</f>
        <v>157HP</v>
      </c>
      <c r="I2829" s="324" t="str">
        <f>IFERROR(__xludf.DUMMYFUNCTION("""COMPUTED_VALUE"""),"AKH02375")</f>
        <v>AKH02375</v>
      </c>
      <c r="J2829" s="324" t="str">
        <f>IFERROR(__xludf.DUMMYFUNCTION("""COMPUTED_VALUE"""),"7JK50080")</f>
        <v>7JK50080</v>
      </c>
      <c r="K2829" s="324">
        <f>IFERROR(__xludf.DUMMYFUNCTION("""COMPUTED_VALUE"""),16.5)</f>
        <v>16.5</v>
      </c>
      <c r="L2829" s="324" t="str">
        <f>IFERROR(__xludf.DUMMYFUNCTION("""COMPUTED_VALUE"""),"Đang thuê")</f>
        <v>Đang thuê</v>
      </c>
    </row>
    <row r="2830">
      <c r="A2830" s="324" t="str">
        <f>IFERROR(__xludf.DUMMYFUNCTION("""COMPUTED_VALUE"""),"TND-MĐA-085")</f>
        <v>TND-MĐA-085</v>
      </c>
      <c r="B2830" s="478" t="str">
        <f>IFERROR(__xludf.DUMMYFUNCTION("""COMPUTED_VALUE"""),"Máy đào gàu 1.2m3 ")</f>
        <v>Máy đào gàu 1.2m3 </v>
      </c>
      <c r="C2830" s="324" t="str">
        <f>IFERROR(__xludf.DUMMYFUNCTION("""COMPUTED_VALUE"""),"CGTC DP")</f>
        <v>CGTC DP</v>
      </c>
      <c r="D2830" s="324" t="str">
        <f>IFERROR(__xludf.DUMMYFUNCTION("""COMPUTED_VALUE"""),"KOBELCO")</f>
        <v>KOBELCO</v>
      </c>
      <c r="E2830" s="324"/>
      <c r="F2830" s="324">
        <f>IFERROR(__xludf.DUMMYFUNCTION("""COMPUTED_VALUE"""),2020.0)</f>
        <v>2020</v>
      </c>
      <c r="G2830" s="324" t="str">
        <f>IFERROR(__xludf.DUMMYFUNCTION("""COMPUTED_VALUE"""),"SSK210LC-10")</f>
        <v>SSK210LC-10</v>
      </c>
      <c r="H2830" s="324"/>
      <c r="I2830" s="324" t="str">
        <f>IFERROR(__xludf.DUMMYFUNCTION("""COMPUTED_VALUE"""),"YQ15405278")</f>
        <v>YQ15405278</v>
      </c>
      <c r="J2830" s="324" t="str">
        <f>IFERROR(__xludf.DUMMYFUNCTION("""COMPUTED_VALUE"""),"J05ETG44707")</f>
        <v>J05ETG44707</v>
      </c>
      <c r="K2830" s="324">
        <f>IFERROR(__xludf.DUMMYFUNCTION("""COMPUTED_VALUE"""),14.5)</f>
        <v>14.5</v>
      </c>
      <c r="L2830" s="324" t="str">
        <f>IFERROR(__xludf.DUMMYFUNCTION("""COMPUTED_VALUE"""),"-")</f>
        <v>-</v>
      </c>
    </row>
    <row r="2831">
      <c r="A2831" s="324" t="str">
        <f>IFERROR(__xludf.DUMMYFUNCTION("""COMPUTED_VALUE"""),"TND-MĐA-086")</f>
        <v>TND-MĐA-086</v>
      </c>
      <c r="B2831" s="478" t="str">
        <f>IFERROR(__xludf.DUMMYFUNCTION("""COMPUTED_VALUE"""),"Máy đào gàu 1.2m3 ")</f>
        <v>Máy đào gàu 1.2m3 </v>
      </c>
      <c r="C2831" s="324" t="str">
        <f>IFERROR(__xludf.DUMMYFUNCTION("""COMPUTED_VALUE"""),"CGTC DP")</f>
        <v>CGTC DP</v>
      </c>
      <c r="D2831" s="324" t="str">
        <f>IFERROR(__xludf.DUMMYFUNCTION("""COMPUTED_VALUE"""),"CAT")</f>
        <v>CAT</v>
      </c>
      <c r="E2831" s="324"/>
      <c r="F2831" s="324">
        <f>IFERROR(__xludf.DUMMYFUNCTION("""COMPUTED_VALUE"""),2017.0)</f>
        <v>2017</v>
      </c>
      <c r="G2831" s="324" t="str">
        <f>IFERROR(__xludf.DUMMYFUNCTION("""COMPUTED_VALUE"""),"320D2")</f>
        <v>320D2</v>
      </c>
      <c r="H2831" s="324" t="str">
        <f>IFERROR(__xludf.DUMMYFUNCTION("""COMPUTED_VALUE"""),"147 HP")</f>
        <v>147 HP</v>
      </c>
      <c r="I2831" s="324" t="str">
        <f>IFERROR(__xludf.DUMMYFUNCTION("""COMPUTED_VALUE"""),"CAT0320DH2BH11524")</f>
        <v>CAT0320DH2BH11524</v>
      </c>
      <c r="J2831" s="324" t="str">
        <f>IFERROR(__xludf.DUMMYFUNCTION("""COMPUTED_VALUE"""),"2W204276")</f>
        <v>2W204276</v>
      </c>
      <c r="K2831" s="324">
        <f>IFERROR(__xludf.DUMMYFUNCTION("""COMPUTED_VALUE"""),16.0)</f>
        <v>16</v>
      </c>
      <c r="L2831" s="324" t="str">
        <f>IFERROR(__xludf.DUMMYFUNCTION("""COMPUTED_VALUE"""),"Đang thuê")</f>
        <v>Đang thuê</v>
      </c>
    </row>
    <row r="2832">
      <c r="A2832" s="324" t="str">
        <f>IFERROR(__xludf.DUMMYFUNCTION("""COMPUTED_VALUE"""),"TND-MĐA-087")</f>
        <v>TND-MĐA-087</v>
      </c>
      <c r="B2832" s="478" t="str">
        <f>IFERROR(__xludf.DUMMYFUNCTION("""COMPUTED_VALUE"""),"Máy đào gàu 1.2m3 ")</f>
        <v>Máy đào gàu 1.2m3 </v>
      </c>
      <c r="C2832" s="324" t="str">
        <f>IFERROR(__xludf.DUMMYFUNCTION("""COMPUTED_VALUE"""),"CGTC DP")</f>
        <v>CGTC DP</v>
      </c>
      <c r="D2832" s="324" t="str">
        <f>IFERROR(__xludf.DUMMYFUNCTION("""COMPUTED_VALUE"""),"CAT")</f>
        <v>CAT</v>
      </c>
      <c r="E2832" s="324"/>
      <c r="F2832" s="324">
        <f>IFERROR(__xludf.DUMMYFUNCTION("""COMPUTED_VALUE"""),2016.0)</f>
        <v>2016</v>
      </c>
      <c r="G2832" s="324" t="str">
        <f>IFERROR(__xludf.DUMMYFUNCTION("""COMPUTED_VALUE"""),"320D2")</f>
        <v>320D2</v>
      </c>
      <c r="H2832" s="324" t="str">
        <f>IFERROR(__xludf.DUMMYFUNCTION("""COMPUTED_VALUE"""),"148 HP")</f>
        <v>148 HP</v>
      </c>
      <c r="I2832" s="324" t="str">
        <f>IFERROR(__xludf.DUMMYFUNCTION("""COMPUTED_VALUE"""),"CAT0320DE2BH00296")</f>
        <v>CAT0320DE2BH00296</v>
      </c>
      <c r="J2832" s="324" t="str">
        <f>IFERROR(__xludf.DUMMYFUNCTION("""COMPUTED_VALUE"""),"2W200693")</f>
        <v>2W200693</v>
      </c>
      <c r="K2832" s="324">
        <f>IFERROR(__xludf.DUMMYFUNCTION("""COMPUTED_VALUE"""),14.0)</f>
        <v>14</v>
      </c>
      <c r="L2832" s="324" t="str">
        <f>IFERROR(__xludf.DUMMYFUNCTION("""COMPUTED_VALUE"""),"Đang thuê")</f>
        <v>Đang thuê</v>
      </c>
    </row>
    <row r="2833">
      <c r="A2833" s="324" t="str">
        <f>IFERROR(__xludf.DUMMYFUNCTION("""COMPUTED_VALUE"""),"TND-MĐA-088")</f>
        <v>TND-MĐA-088</v>
      </c>
      <c r="B2833" s="478" t="str">
        <f>IFERROR(__xludf.DUMMYFUNCTION("""COMPUTED_VALUE"""),"Máy đào gàu 0,8m3")</f>
        <v>Máy đào gàu 0,8m3</v>
      </c>
      <c r="C2833" s="324" t="str">
        <f>IFERROR(__xludf.DUMMYFUNCTION("""COMPUTED_VALUE"""),"CGTC DP")</f>
        <v>CGTC DP</v>
      </c>
      <c r="D2833" s="324" t="str">
        <f>IFERROR(__xludf.DUMMYFUNCTION("""COMPUTED_VALUE"""),"CAT")</f>
        <v>CAT</v>
      </c>
      <c r="E2833" s="324"/>
      <c r="F2833" s="324">
        <f>IFERROR(__xludf.DUMMYFUNCTION("""COMPUTED_VALUE"""),2021.0)</f>
        <v>2021</v>
      </c>
      <c r="G2833" s="324" t="str">
        <f>IFERROR(__xludf.DUMMYFUNCTION("""COMPUTED_VALUE"""),"320GX")</f>
        <v>320GX</v>
      </c>
      <c r="H2833" s="324" t="str">
        <f>IFERROR(__xludf.DUMMYFUNCTION("""COMPUTED_VALUE"""),"140 HP")</f>
        <v>140 HP</v>
      </c>
      <c r="I2833" s="324" t="str">
        <f>IFERROR(__xludf.DUMMYFUNCTION("""COMPUTED_VALUE"""),"CAT00320PSYW00888")</f>
        <v>CAT00320PSYW00888</v>
      </c>
      <c r="J2833" s="324" t="str">
        <f>IFERROR(__xludf.DUMMYFUNCTION("""COMPUTED_VALUE"""),"2W230809")</f>
        <v>2W230809</v>
      </c>
      <c r="K2833" s="324">
        <f>IFERROR(__xludf.DUMMYFUNCTION("""COMPUTED_VALUE"""),14.0)</f>
        <v>14</v>
      </c>
      <c r="L2833" s="324" t="str">
        <f>IFERROR(__xludf.DUMMYFUNCTION("""COMPUTED_VALUE"""),"Đang thuê")</f>
        <v>Đang thuê</v>
      </c>
    </row>
    <row r="2834">
      <c r="A2834" s="324" t="str">
        <f>IFERROR(__xludf.DUMMYFUNCTION("""COMPUTED_VALUE"""),"TND-MĐA-089")</f>
        <v>TND-MĐA-089</v>
      </c>
      <c r="B2834" s="478" t="str">
        <f>IFERROR(__xludf.DUMMYFUNCTION("""COMPUTED_VALUE"""),"Máy đào gàu 1.2m3 ")</f>
        <v>Máy đào gàu 1.2m3 </v>
      </c>
      <c r="C2834" s="324" t="str">
        <f>IFERROR(__xludf.DUMMYFUNCTION("""COMPUTED_VALUE"""),"CGTC DP")</f>
        <v>CGTC DP</v>
      </c>
      <c r="D2834" s="324" t="str">
        <f>IFERROR(__xludf.DUMMYFUNCTION("""COMPUTED_VALUE"""),"KOBELCO")</f>
        <v>KOBELCO</v>
      </c>
      <c r="E2834" s="324"/>
      <c r="F2834" s="324">
        <f>IFERROR(__xludf.DUMMYFUNCTION("""COMPUTED_VALUE"""),2004.0)</f>
        <v>2004</v>
      </c>
      <c r="G2834" s="324" t="str">
        <f>IFERROR(__xludf.DUMMYFUNCTION("""COMPUTED_VALUE"""),"SK250-8")</f>
        <v>SK250-8</v>
      </c>
      <c r="H2834" s="324" t="str">
        <f>IFERROR(__xludf.DUMMYFUNCTION("""COMPUTED_VALUE"""),"176HP")</f>
        <v>176HP</v>
      </c>
      <c r="I2834" s="324" t="str">
        <f>IFERROR(__xludf.DUMMYFUNCTION("""COMPUTED_VALUE"""),"LQ13-07991")</f>
        <v>LQ13-07991</v>
      </c>
      <c r="J2834" s="324" t="str">
        <f>IFERROR(__xludf.DUMMYFUNCTION("""COMPUTED_VALUE"""),"J05ETB13517")</f>
        <v>J05ETB13517</v>
      </c>
      <c r="K2834" s="324">
        <f>IFERROR(__xludf.DUMMYFUNCTION("""COMPUTED_VALUE"""),14.0)</f>
        <v>14</v>
      </c>
      <c r="L2834" s="324" t="str">
        <f>IFERROR(__xludf.DUMMYFUNCTION("""COMPUTED_VALUE"""),"Đang thuê")</f>
        <v>Đang thuê</v>
      </c>
    </row>
    <row r="2835">
      <c r="A2835" s="324" t="str">
        <f>IFERROR(__xludf.DUMMYFUNCTION("""COMPUTED_VALUE"""),"TND-Đ03-001")</f>
        <v>TND-Đ03-001</v>
      </c>
      <c r="B2835" s="478" t="str">
        <f>IFERROR(__xludf.DUMMYFUNCTION("""COMPUTED_VALUE"""),"Máy đào gàu 0.3m3")</f>
        <v>Máy đào gàu 0.3m3</v>
      </c>
      <c r="C2835" s="324" t="str">
        <f>IFERROR(__xludf.DUMMYFUNCTION("""COMPUTED_VALUE"""),"XN Chuối DP1")</f>
        <v>XN Chuối DP1</v>
      </c>
      <c r="D2835" s="324" t="str">
        <f>IFERROR(__xludf.DUMMYFUNCTION("""COMPUTED_VALUE"""),"CATERPILLAR")</f>
        <v>CATERPILLAR</v>
      </c>
      <c r="E2835" s="324"/>
      <c r="F2835" s="324"/>
      <c r="G2835" s="324"/>
      <c r="H2835" s="324" t="str">
        <f>IFERROR(__xludf.DUMMYFUNCTION("""COMPUTED_VALUE"""),"45HP")</f>
        <v>45HP</v>
      </c>
      <c r="I2835" s="324" t="str">
        <f>IFERROR(__xludf.DUMMYFUNCTION("""COMPUTED_VALUE"""),"CAT00305AB11W0763")</f>
        <v>CAT00305AB11W0763</v>
      </c>
      <c r="J2835" s="324" t="str">
        <f>IFERROR(__xludf.DUMMYFUNCTION("""COMPUTED_VALUE"""),"23645")</f>
        <v>23645</v>
      </c>
      <c r="K2835" s="324">
        <f>IFERROR(__xludf.DUMMYFUNCTION("""COMPUTED_VALUE"""),3.5)</f>
        <v>3.5</v>
      </c>
      <c r="L2835" s="324" t="str">
        <f>IFERROR(__xludf.DUMMYFUNCTION("""COMPUTED_VALUE"""),"Đang thuê")</f>
        <v>Đang thuê</v>
      </c>
    </row>
    <row r="2836">
      <c r="A2836" s="324" t="str">
        <f>IFERROR(__xludf.DUMMYFUNCTION("""COMPUTED_VALUE"""),"TND-Đ03-002")</f>
        <v>TND-Đ03-002</v>
      </c>
      <c r="B2836" s="478" t="str">
        <f>IFERROR(__xludf.DUMMYFUNCTION("""COMPUTED_VALUE"""),"Máy đào gàu 0.3m3")</f>
        <v>Máy đào gàu 0.3m3</v>
      </c>
      <c r="C2836" s="324" t="str">
        <f>IFERROR(__xludf.DUMMYFUNCTION("""COMPUTED_VALUE"""),"XN Chuối DP1")</f>
        <v>XN Chuối DP1</v>
      </c>
      <c r="D2836" s="324" t="str">
        <f>IFERROR(__xludf.DUMMYFUNCTION("""COMPUTED_VALUE"""),"CATERPILLAR")</f>
        <v>CATERPILLAR</v>
      </c>
      <c r="E2836" s="324"/>
      <c r="F2836" s="324"/>
      <c r="G2836" s="324"/>
      <c r="H2836" s="324" t="str">
        <f>IFERROR(__xludf.DUMMYFUNCTION("""COMPUTED_VALUE"""),"24HP")</f>
        <v>24HP</v>
      </c>
      <c r="I2836" s="324" t="str">
        <f>IFERROR(__xludf.DUMMYFUNCTION("""COMPUTED_VALUE"""),"CAT00305CBMW01493")</f>
        <v>CAT00305CBMW01493</v>
      </c>
      <c r="J2836" s="324" t="str">
        <f>IFERROR(__xludf.DUMMYFUNCTION("""COMPUTED_VALUE"""),"21071F4")</f>
        <v>21071F4</v>
      </c>
      <c r="K2836" s="324"/>
      <c r="L2836" s="324" t="str">
        <f>IFERROR(__xludf.DUMMYFUNCTION("""COMPUTED_VALUE"""),"-")</f>
        <v>-</v>
      </c>
    </row>
    <row r="2837">
      <c r="A2837" s="324" t="str">
        <f>IFERROR(__xludf.DUMMYFUNCTION("""COMPUTED_VALUE"""),"TND-Đ03-003")</f>
        <v>TND-Đ03-003</v>
      </c>
      <c r="B2837" s="478" t="str">
        <f>IFERROR(__xludf.DUMMYFUNCTION("""COMPUTED_VALUE"""),"Máy đào gàu 0.3m3")</f>
        <v>Máy đào gàu 0.3m3</v>
      </c>
      <c r="C2837" s="324" t="str">
        <f>IFERROR(__xludf.DUMMYFUNCTION("""COMPUTED_VALUE"""),"XN Chuối DP2")</f>
        <v>XN Chuối DP2</v>
      </c>
      <c r="D2837" s="324" t="str">
        <f>IFERROR(__xludf.DUMMYFUNCTION("""COMPUTED_VALUE"""),"CATERPILLAR")</f>
        <v>CATERPILLAR</v>
      </c>
      <c r="E2837" s="324"/>
      <c r="F2837" s="324"/>
      <c r="G2837" s="324"/>
      <c r="H2837" s="324" t="str">
        <f>IFERROR(__xludf.DUMMYFUNCTION("""COMPUTED_VALUE"""),"24HP")</f>
        <v>24HP</v>
      </c>
      <c r="I2837" s="324" t="str">
        <f>IFERROR(__xludf.DUMMYFUNCTION("""COMPUTED_VALUE"""),"-")</f>
        <v>-</v>
      </c>
      <c r="J2837" s="324" t="str">
        <f>IFERROR(__xludf.DUMMYFUNCTION("""COMPUTED_VALUE"""),"-")</f>
        <v>-</v>
      </c>
      <c r="K2837" s="324"/>
      <c r="L2837" s="324" t="str">
        <f>IFERROR(__xludf.DUMMYFUNCTION("""COMPUTED_VALUE"""),"-")</f>
        <v>-</v>
      </c>
    </row>
    <row r="2838">
      <c r="A2838" s="324" t="str">
        <f>IFERROR(__xludf.DUMMYFUNCTION("""COMPUTED_VALUE"""),"TND-Đ03-004")</f>
        <v>TND-Đ03-004</v>
      </c>
      <c r="B2838" s="478" t="str">
        <f>IFERROR(__xludf.DUMMYFUNCTION("""COMPUTED_VALUE"""),"Máy đào gàu 0.3m3")</f>
        <v>Máy đào gàu 0.3m3</v>
      </c>
      <c r="C2838" s="324" t="str">
        <f>IFERROR(__xludf.DUMMYFUNCTION("""COMPUTED_VALUE"""),"XN SX")</f>
        <v>XN SX</v>
      </c>
      <c r="D2838" s="324" t="str">
        <f>IFERROR(__xludf.DUMMYFUNCTION("""COMPUTED_VALUE"""),"CATERPILLAR")</f>
        <v>CATERPILLAR</v>
      </c>
      <c r="E2838" s="324"/>
      <c r="F2838" s="324">
        <f>IFERROR(__xludf.DUMMYFUNCTION("""COMPUTED_VALUE"""),2003.0)</f>
        <v>2003</v>
      </c>
      <c r="G2838" s="324" t="str">
        <f>IFERROR(__xludf.DUMMYFUNCTION("""COMPUTED_VALUE"""),"303CR")</f>
        <v>303CR</v>
      </c>
      <c r="H2838" s="324" t="str">
        <f>IFERROR(__xludf.DUMMYFUNCTION("""COMPUTED_VALUE"""),"24HP")</f>
        <v>24HP</v>
      </c>
      <c r="I2838" s="324" t="str">
        <f>IFERROR(__xludf.DUMMYFUNCTION("""COMPUTED_VALUE"""),"CAT00303KC AR02349")</f>
        <v>CAT00303KC AR02349</v>
      </c>
      <c r="J2838" s="324" t="str">
        <f>IFERROR(__xludf.DUMMYFUNCTION("""COMPUTED_VALUE"""),"93668L3")</f>
        <v>93668L3</v>
      </c>
      <c r="K2838" s="324"/>
      <c r="L2838" s="324" t="str">
        <f>IFERROR(__xludf.DUMMYFUNCTION("""COMPUTED_VALUE"""),"-")</f>
        <v>-</v>
      </c>
    </row>
    <row r="2839">
      <c r="A2839" s="324" t="str">
        <f>IFERROR(__xludf.DUMMYFUNCTION("""COMPUTED_VALUE"""),"TND-Đ03-005")</f>
        <v>TND-Đ03-005</v>
      </c>
      <c r="B2839" s="478" t="str">
        <f>IFERROR(__xludf.DUMMYFUNCTION("""COMPUTED_VALUE"""),"Máy đào gàu 0.3m3")</f>
        <v>Máy đào gàu 0.3m3</v>
      </c>
      <c r="C2839" s="324" t="str">
        <f>IFERROR(__xludf.DUMMYFUNCTION("""COMPUTED_VALUE"""),"NT Xoài DP")</f>
        <v>NT Xoài DP</v>
      </c>
      <c r="D2839" s="324" t="str">
        <f>IFERROR(__xludf.DUMMYFUNCTION("""COMPUTED_VALUE"""),"MISUBISHI")</f>
        <v>MISUBISHI</v>
      </c>
      <c r="E2839" s="324"/>
      <c r="F2839" s="324">
        <f>IFERROR(__xludf.DUMMYFUNCTION("""COMPUTED_VALUE"""),1998.0)</f>
        <v>1998</v>
      </c>
      <c r="G2839" s="324" t="str">
        <f>IFERROR(__xludf.DUMMYFUNCTION("""COMPUTED_VALUE"""),"MM45T")</f>
        <v>MM45T</v>
      </c>
      <c r="H2839" s="324" t="str">
        <f>IFERROR(__xludf.DUMMYFUNCTION("""COMPUTED_VALUE"""),"24HP")</f>
        <v>24HP</v>
      </c>
      <c r="I2839" s="324" t="str">
        <f>IFERROR(__xludf.DUMMYFUNCTION("""COMPUTED_VALUE"""),"FH00265")</f>
        <v>FH00265</v>
      </c>
      <c r="J2839" s="324" t="str">
        <f>IFERROR(__xludf.DUMMYFUNCTION("""COMPUTED_VALUE"""),"11380")</f>
        <v>11380</v>
      </c>
      <c r="K2839" s="324"/>
      <c r="L2839" s="324" t="str">
        <f>IFERROR(__xludf.DUMMYFUNCTION("""COMPUTED_VALUE"""),"-")</f>
        <v>-</v>
      </c>
    </row>
    <row r="2840">
      <c r="A2840" s="324" t="str">
        <f>IFERROR(__xludf.DUMMYFUNCTION("""COMPUTED_VALUE"""),"TND-Đ03-006")</f>
        <v>TND-Đ03-006</v>
      </c>
      <c r="B2840" s="478" t="str">
        <f>IFERROR(__xludf.DUMMYFUNCTION("""COMPUTED_VALUE"""),"Máy đào gàu 0.3m3")</f>
        <v>Máy đào gàu 0.3m3</v>
      </c>
      <c r="C2840" s="324" t="str">
        <f>IFERROR(__xludf.DUMMYFUNCTION("""COMPUTED_VALUE"""),"NT Xoài DP")</f>
        <v>NT Xoài DP</v>
      </c>
      <c r="D2840" s="324" t="str">
        <f>IFERROR(__xludf.DUMMYFUNCTION("""COMPUTED_VALUE"""),"CATERPILLAR")</f>
        <v>CATERPILLAR</v>
      </c>
      <c r="E2840" s="324"/>
      <c r="F2840" s="324"/>
      <c r="G2840" s="324" t="str">
        <f>IFERROR(__xludf.DUMMYFUNCTION("""COMPUTED_VALUE"""),"CAT 305")</f>
        <v>CAT 305</v>
      </c>
      <c r="H2840" s="324" t="str">
        <f>IFERROR(__xludf.DUMMYFUNCTION("""COMPUTED_VALUE"""),"24HP")</f>
        <v>24HP</v>
      </c>
      <c r="I2840" s="324" t="str">
        <f>IFERROR(__xludf.DUMMYFUNCTION("""COMPUTED_VALUE"""),"CAT0305CBMW01493")</f>
        <v>CAT0305CBMW01493</v>
      </c>
      <c r="J2840" s="324" t="str">
        <f>IFERROR(__xludf.DUMMYFUNCTION("""COMPUTED_VALUE"""),"21071F4")</f>
        <v>21071F4</v>
      </c>
      <c r="K2840" s="324"/>
      <c r="L2840" s="324" t="str">
        <f>IFERROR(__xludf.DUMMYFUNCTION("""COMPUTED_VALUE"""),"-")</f>
        <v>-</v>
      </c>
    </row>
    <row r="2841">
      <c r="A2841" s="324" t="str">
        <f>IFERROR(__xludf.DUMMYFUNCTION("""COMPUTED_VALUE"""),"TND-Đ03-007")</f>
        <v>TND-Đ03-007</v>
      </c>
      <c r="B2841" s="478" t="str">
        <f>IFERROR(__xludf.DUMMYFUNCTION("""COMPUTED_VALUE"""),"Máy đào gàu 0.3m3")</f>
        <v>Máy đào gàu 0.3m3</v>
      </c>
      <c r="C2841" s="324" t="str">
        <f>IFERROR(__xludf.DUMMYFUNCTION("""COMPUTED_VALUE"""),"XN Chuối DP3")</f>
        <v>XN Chuối DP3</v>
      </c>
      <c r="D2841" s="324" t="str">
        <f>IFERROR(__xludf.DUMMYFUNCTION("""COMPUTED_VALUE"""),"HITACHI")</f>
        <v>HITACHI</v>
      </c>
      <c r="E2841" s="324"/>
      <c r="F2841" s="324"/>
      <c r="G2841" s="324"/>
      <c r="H2841" s="324" t="str">
        <f>IFERROR(__xludf.DUMMYFUNCTION("""COMPUTED_VALUE"""),"24HP")</f>
        <v>24HP</v>
      </c>
      <c r="I2841" s="324" t="str">
        <f>IFERROR(__xludf.DUMMYFUNCTION("""COMPUTED_VALUE"""),"K00011386")</f>
        <v>K00011386</v>
      </c>
      <c r="J2841" s="324" t="str">
        <f>IFERROR(__xludf.DUMMYFUNCTION("""COMPUTED_VALUE"""),"39998")</f>
        <v>39998</v>
      </c>
      <c r="K2841" s="324"/>
      <c r="L2841" s="324" t="str">
        <f>IFERROR(__xludf.DUMMYFUNCTION("""COMPUTED_VALUE"""),"-")</f>
        <v>-</v>
      </c>
    </row>
    <row r="2842">
      <c r="A2842" s="324" t="str">
        <f>IFERROR(__xludf.DUMMYFUNCTION("""COMPUTED_VALUE"""),"TND-Đ03-008")</f>
        <v>TND-Đ03-008</v>
      </c>
      <c r="B2842" s="478" t="str">
        <f>IFERROR(__xludf.DUMMYFUNCTION("""COMPUTED_VALUE"""),"Máy đào gàu 0.3m3")</f>
        <v>Máy đào gàu 0.3m3</v>
      </c>
      <c r="C2842" s="324" t="str">
        <f>IFERROR(__xludf.DUMMYFUNCTION("""COMPUTED_VALUE"""),"XN Chuối DP3")</f>
        <v>XN Chuối DP3</v>
      </c>
      <c r="D2842" s="324" t="str">
        <f>IFERROR(__xludf.DUMMYFUNCTION("""COMPUTED_VALUE"""),"CATERPILLAR")</f>
        <v>CATERPILLAR</v>
      </c>
      <c r="E2842" s="324"/>
      <c r="F2842" s="324"/>
      <c r="G2842" s="324"/>
      <c r="H2842" s="324" t="str">
        <f>IFERROR(__xludf.DUMMYFUNCTION("""COMPUTED_VALUE"""),"24HP")</f>
        <v>24HP</v>
      </c>
      <c r="I2842" s="324" t="str">
        <f>IFERROR(__xludf.DUMMYFUNCTION("""COMPUTED_VALUE"""),"TN00620")</f>
        <v>TN00620</v>
      </c>
      <c r="J2842" s="324" t="str">
        <f>IFERROR(__xludf.DUMMYFUNCTION("""COMPUTED_VALUE"""),"82733")</f>
        <v>82733</v>
      </c>
      <c r="K2842" s="324"/>
      <c r="L2842" s="324" t="str">
        <f>IFERROR(__xludf.DUMMYFUNCTION("""COMPUTED_VALUE"""),"-")</f>
        <v>-</v>
      </c>
    </row>
    <row r="2843">
      <c r="A2843" s="324" t="str">
        <f>IFERROR(__xludf.DUMMYFUNCTION("""COMPUTED_VALUE"""),"TND-Đ03-009")</f>
        <v>TND-Đ03-009</v>
      </c>
      <c r="B2843" s="478" t="str">
        <f>IFERROR(__xludf.DUMMYFUNCTION("""COMPUTED_VALUE"""),"Máy đào gàu 0.3m3")</f>
        <v>Máy đào gàu 0.3m3</v>
      </c>
      <c r="C2843" s="324" t="str">
        <f>IFERROR(__xludf.DUMMYFUNCTION("""COMPUTED_VALUE"""),"XN Chuối DP3")</f>
        <v>XN Chuối DP3</v>
      </c>
      <c r="D2843" s="324" t="str">
        <f>IFERROR(__xludf.DUMMYFUNCTION("""COMPUTED_VALUE"""),"CAT 304CR")</f>
        <v>CAT 304CR</v>
      </c>
      <c r="E2843" s="324"/>
      <c r="F2843" s="324">
        <f>IFERROR(__xludf.DUMMYFUNCTION("""COMPUTED_VALUE"""),2014.0)</f>
        <v>2014</v>
      </c>
      <c r="G2843" s="324"/>
      <c r="H2843" s="324" t="str">
        <f>IFERROR(__xludf.DUMMYFUNCTION("""COMPUTED_VALUE"""),"24HP")</f>
        <v>24HP</v>
      </c>
      <c r="I2843" s="324" t="str">
        <f>IFERROR(__xludf.DUMMYFUNCTION("""COMPUTED_VALUE"""),"CAT00304CBTN00130")</f>
        <v>CAT00304CBTN00130</v>
      </c>
      <c r="J2843" s="324" t="str">
        <f>IFERROR(__xludf.DUMMYFUNCTION("""COMPUTED_VALUE"""),"S4L200064878")</f>
        <v>S4L200064878</v>
      </c>
      <c r="K2843" s="324">
        <f>IFERROR(__xludf.DUMMYFUNCTION("""COMPUTED_VALUE"""),3.75)</f>
        <v>3.75</v>
      </c>
      <c r="L2843" s="324" t="str">
        <f>IFERROR(__xludf.DUMMYFUNCTION("""COMPUTED_VALUE"""),"-")</f>
        <v>-</v>
      </c>
    </row>
    <row r="2844">
      <c r="A2844" s="324" t="str">
        <f>IFERROR(__xludf.DUMMYFUNCTION("""COMPUTED_VALUE"""),"TND-Đ03-010")</f>
        <v>TND-Đ03-010</v>
      </c>
      <c r="B2844" s="478" t="str">
        <f>IFERROR(__xludf.DUMMYFUNCTION("""COMPUTED_VALUE"""),"Máy đào gàu 0.3m3")</f>
        <v>Máy đào gàu 0.3m3</v>
      </c>
      <c r="C2844" s="324" t="str">
        <f>IFERROR(__xludf.DUMMYFUNCTION("""COMPUTED_VALUE"""),"XN Chuối DP1")</f>
        <v>XN Chuối DP1</v>
      </c>
      <c r="D2844" s="324" t="str">
        <f>IFERROR(__xludf.DUMMYFUNCTION("""COMPUTED_VALUE"""),"HANIX")</f>
        <v>HANIX</v>
      </c>
      <c r="E2844" s="324"/>
      <c r="F2844" s="324"/>
      <c r="G2844" s="324" t="str">
        <f>IFERROR(__xludf.DUMMYFUNCTION("""COMPUTED_VALUE"""),"HANIX-SK-02")</f>
        <v>HANIX-SK-02</v>
      </c>
      <c r="H2844" s="324" t="str">
        <f>IFERROR(__xludf.DUMMYFUNCTION("""COMPUTED_VALUE"""),"24HP")</f>
        <v>24HP</v>
      </c>
      <c r="I2844" s="324" t="str">
        <f>IFERROR(__xludf.DUMMYFUNCTION("""COMPUTED_VALUE"""),"H4500574")</f>
        <v>H4500574</v>
      </c>
      <c r="J2844" s="324"/>
      <c r="K2844" s="324">
        <f>IFERROR(__xludf.DUMMYFUNCTION("""COMPUTED_VALUE"""),3.75)</f>
        <v>3.75</v>
      </c>
      <c r="L2844" s="324" t="str">
        <f>IFERROR(__xludf.DUMMYFUNCTION("""COMPUTED_VALUE"""),"-")</f>
        <v>-</v>
      </c>
    </row>
    <row r="2845">
      <c r="A2845" s="324" t="str">
        <f>IFERROR(__xludf.DUMMYFUNCTION("""COMPUTED_VALUE"""),"TND-Đ03-011")</f>
        <v>TND-Đ03-011</v>
      </c>
      <c r="B2845" s="478" t="str">
        <f>IFERROR(__xludf.DUMMYFUNCTION("""COMPUTED_VALUE"""),"Máy đào gàu 0.3m3")</f>
        <v>Máy đào gàu 0.3m3</v>
      </c>
      <c r="C2845" s="324" t="str">
        <f>IFERROR(__xludf.DUMMYFUNCTION("""COMPUTED_VALUE"""),"XN Chuối DP3")</f>
        <v>XN Chuối DP3</v>
      </c>
      <c r="D2845" s="324" t="str">
        <f>IFERROR(__xludf.DUMMYFUNCTION("""COMPUTED_VALUE"""),"HANIK")</f>
        <v>HANIK</v>
      </c>
      <c r="E2845" s="324"/>
      <c r="F2845" s="324">
        <f>IFERROR(__xludf.DUMMYFUNCTION("""COMPUTED_VALUE"""),1990.0)</f>
        <v>1990</v>
      </c>
      <c r="G2845" s="324"/>
      <c r="H2845" s="324" t="str">
        <f>IFERROR(__xludf.DUMMYFUNCTION("""COMPUTED_VALUE"""),"24HP")</f>
        <v>24HP</v>
      </c>
      <c r="I2845" s="324" t="str">
        <f>IFERROR(__xludf.DUMMYFUNCTION("""COMPUTED_VALUE"""),"H4500574")</f>
        <v>H4500574</v>
      </c>
      <c r="J2845" s="324" t="str">
        <f>IFERROR(__xludf.DUMMYFUNCTION("""COMPUTED_VALUE"""),"2211")</f>
        <v>2211</v>
      </c>
      <c r="K2845" s="324">
        <f>IFERROR(__xludf.DUMMYFUNCTION("""COMPUTED_VALUE"""),3.6)</f>
        <v>3.6</v>
      </c>
      <c r="L2845" s="324" t="str">
        <f>IFERROR(__xludf.DUMMYFUNCTION("""COMPUTED_VALUE"""),"-")</f>
        <v>-</v>
      </c>
    </row>
    <row r="2846">
      <c r="A2846" s="324" t="str">
        <f>IFERROR(__xludf.DUMMYFUNCTION("""COMPUTED_VALUE"""),"TND-Đ03-012")</f>
        <v>TND-Đ03-012</v>
      </c>
      <c r="B2846" s="478" t="str">
        <f>IFERROR(__xludf.DUMMYFUNCTION("""COMPUTED_VALUE"""),"Máy đào gàu 0.3m3")</f>
        <v>Máy đào gàu 0.3m3</v>
      </c>
      <c r="C2846" s="324" t="str">
        <f>IFERROR(__xludf.DUMMYFUNCTION("""COMPUTED_VALUE"""),"XN Chuối DP3")</f>
        <v>XN Chuối DP3</v>
      </c>
      <c r="D2846" s="324" t="str">
        <f>IFERROR(__xludf.DUMMYFUNCTION("""COMPUTED_VALUE"""),"CAT")</f>
        <v>CAT</v>
      </c>
      <c r="E2846" s="324" t="str">
        <f>IFERROR(__xludf.DUMMYFUNCTION("""COMPUTED_VALUE"""),"NHẬT BẢN")</f>
        <v>NHẬT BẢN</v>
      </c>
      <c r="F2846" s="324">
        <f>IFERROR(__xludf.DUMMYFUNCTION("""COMPUTED_VALUE"""),1991.0)</f>
        <v>1991</v>
      </c>
      <c r="G2846" s="324" t="str">
        <f>IFERROR(__xludf.DUMMYFUNCTION("""COMPUTED_VALUE"""),"E70B")</f>
        <v>E70B</v>
      </c>
      <c r="H2846" s="324" t="str">
        <f>IFERROR(__xludf.DUMMYFUNCTION("""COMPUTED_VALUE"""),"70HP")</f>
        <v>70HP</v>
      </c>
      <c r="I2846" s="324" t="str">
        <f>IFERROR(__xludf.DUMMYFUNCTION("""COMPUTED_VALUE"""),"7YE05304")</f>
        <v>7YE05304</v>
      </c>
      <c r="J2846" s="324" t="str">
        <f>IFERROR(__xludf.DUMMYFUNCTION("""COMPUTED_VALUE"""),"4032930922")</f>
        <v>4032930922</v>
      </c>
      <c r="K2846" s="324">
        <f>IFERROR(__xludf.DUMMYFUNCTION("""COMPUTED_VALUE"""),4.0)</f>
        <v>4</v>
      </c>
      <c r="L2846" s="324" t="str">
        <f>IFERROR(__xludf.DUMMYFUNCTION("""COMPUTED_VALUE"""),"-")</f>
        <v>-</v>
      </c>
    </row>
    <row r="2847">
      <c r="A2847" s="324" t="str">
        <f>IFERROR(__xludf.DUMMYFUNCTION("""COMPUTED_VALUE"""),"TND-Đ03-013")</f>
        <v>TND-Đ03-013</v>
      </c>
      <c r="B2847" s="478" t="str">
        <f>IFERROR(__xludf.DUMMYFUNCTION("""COMPUTED_VALUE"""),"Máy đào gàu 0.3m3")</f>
        <v>Máy đào gàu 0.3m3</v>
      </c>
      <c r="C2847" s="324" t="str">
        <f>IFERROR(__xludf.DUMMYFUNCTION("""COMPUTED_VALUE"""),"XN Chuối DP1")</f>
        <v>XN Chuối DP1</v>
      </c>
      <c r="D2847" s="324" t="str">
        <f>IFERROR(__xludf.DUMMYFUNCTION("""COMPUTED_VALUE"""),"CAT")</f>
        <v>CAT</v>
      </c>
      <c r="E2847" s="324" t="str">
        <f>IFERROR(__xludf.DUMMYFUNCTION("""COMPUTED_VALUE"""),"NHẬT BẢN")</f>
        <v>NHẬT BẢN</v>
      </c>
      <c r="F2847" s="324">
        <f>IFERROR(__xludf.DUMMYFUNCTION("""COMPUTED_VALUE"""),1998.0)</f>
        <v>1998</v>
      </c>
      <c r="G2847" s="324" t="str">
        <f>IFERROR(__xludf.DUMMYFUNCTION("""COMPUTED_VALUE"""),"303CR")</f>
        <v>303CR</v>
      </c>
      <c r="H2847" s="324" t="str">
        <f>IFERROR(__xludf.DUMMYFUNCTION("""COMPUTED_VALUE"""),"24HP")</f>
        <v>24HP</v>
      </c>
      <c r="I2847" s="324" t="str">
        <f>IFERROR(__xludf.DUMMYFUNCTION("""COMPUTED_VALUE"""),"CAT00303LCAR01399")</f>
        <v>CAT00303LCAR01399</v>
      </c>
      <c r="J2847" s="324" t="str">
        <f>IFERROR(__xludf.DUMMYFUNCTION("""COMPUTED_VALUE"""),"00077620")</f>
        <v>00077620</v>
      </c>
      <c r="K2847" s="324">
        <f>IFERROR(__xludf.DUMMYFUNCTION("""COMPUTED_VALUE"""),3.7)</f>
        <v>3.7</v>
      </c>
      <c r="L2847" s="324" t="str">
        <f>IFERROR(__xludf.DUMMYFUNCTION("""COMPUTED_VALUE"""),"-")</f>
        <v>-</v>
      </c>
    </row>
    <row r="2848">
      <c r="A2848" s="324" t="str">
        <f>IFERROR(__xludf.DUMMYFUNCTION("""COMPUTED_VALUE"""),"TND-Đ03-014")</f>
        <v>TND-Đ03-014</v>
      </c>
      <c r="B2848" s="478" t="str">
        <f>IFERROR(__xludf.DUMMYFUNCTION("""COMPUTED_VALUE"""),"Máy đào gàu 0.3m3")</f>
        <v>Máy đào gàu 0.3m3</v>
      </c>
      <c r="C2848" s="324" t="str">
        <f>IFERROR(__xludf.DUMMYFUNCTION("""COMPUTED_VALUE"""),"XN Chuối DP1")</f>
        <v>XN Chuối DP1</v>
      </c>
      <c r="D2848" s="324" t="str">
        <f>IFERROR(__xludf.DUMMYFUNCTION("""COMPUTED_VALUE"""),"CAT")</f>
        <v>CAT</v>
      </c>
      <c r="E2848" s="324" t="str">
        <f>IFERROR(__xludf.DUMMYFUNCTION("""COMPUTED_VALUE"""),"NHẬT BẢN")</f>
        <v>NHẬT BẢN</v>
      </c>
      <c r="F2848" s="324">
        <f>IFERROR(__xludf.DUMMYFUNCTION("""COMPUTED_VALUE"""),1997.0)</f>
        <v>1997</v>
      </c>
      <c r="G2848" s="324" t="str">
        <f>IFERROR(__xludf.DUMMYFUNCTION("""COMPUTED_VALUE"""),"308C")</f>
        <v>308C</v>
      </c>
      <c r="H2848" s="324" t="str">
        <f>IFERROR(__xludf.DUMMYFUNCTION("""COMPUTED_VALUE"""),"52HP")</f>
        <v>52HP</v>
      </c>
      <c r="I2848" s="324" t="str">
        <f>IFERROR(__xludf.DUMMYFUNCTION("""COMPUTED_VALUE"""),"CAT0308CTCPE02327")</f>
        <v>CAT0308CTCPE02327</v>
      </c>
      <c r="J2848" s="324" t="str">
        <f>IFERROR(__xludf.DUMMYFUNCTION("""COMPUTED_VALUE"""),"617473")</f>
        <v>617473</v>
      </c>
      <c r="K2848" s="324">
        <f>IFERROR(__xludf.DUMMYFUNCTION("""COMPUTED_VALUE"""),3.7)</f>
        <v>3.7</v>
      </c>
      <c r="L2848" s="324" t="str">
        <f>IFERROR(__xludf.DUMMYFUNCTION("""COMPUTED_VALUE"""),"-")</f>
        <v>-</v>
      </c>
    </row>
    <row r="2849">
      <c r="A2849" s="324" t="str">
        <f>IFERROR(__xludf.DUMMYFUNCTION("""COMPUTED_VALUE"""),"TND-Đ03-015")</f>
        <v>TND-Đ03-015</v>
      </c>
      <c r="B2849" s="478" t="str">
        <f>IFERROR(__xludf.DUMMYFUNCTION("""COMPUTED_VALUE"""),"Máy đào gàu 0.3m3")</f>
        <v>Máy đào gàu 0.3m3</v>
      </c>
      <c r="C2849" s="324" t="str">
        <f>IFERROR(__xludf.DUMMYFUNCTION("""COMPUTED_VALUE"""),"XN Chuối DP3")</f>
        <v>XN Chuối DP3</v>
      </c>
      <c r="D2849" s="324" t="str">
        <f>IFERROR(__xludf.DUMMYFUNCTION("""COMPUTED_VALUE"""),"KOMATSU")</f>
        <v>KOMATSU</v>
      </c>
      <c r="E2849" s="324" t="str">
        <f>IFERROR(__xludf.DUMMYFUNCTION("""COMPUTED_VALUE"""),"NHẬT BẢN")</f>
        <v>NHẬT BẢN</v>
      </c>
      <c r="F2849" s="324">
        <f>IFERROR(__xludf.DUMMYFUNCTION("""COMPUTED_VALUE"""),2021.0)</f>
        <v>2021</v>
      </c>
      <c r="G2849" s="324" t="str">
        <f>IFERROR(__xludf.DUMMYFUNCTION("""COMPUTED_VALUE"""),"PC40DER-1")</f>
        <v>PC40DER-1</v>
      </c>
      <c r="H2849" s="324" t="str">
        <f>IFERROR(__xludf.DUMMYFUNCTION("""COMPUTED_VALUE"""),"40HP")</f>
        <v>40HP</v>
      </c>
      <c r="I2849" s="324" t="str">
        <f>IFERROR(__xludf.DUMMYFUNCTION("""COMPUTED_VALUE"""),"PC40ER-10286")</f>
        <v>PC40ER-10286</v>
      </c>
      <c r="J2849" s="324" t="str">
        <f>IFERROR(__xludf.DUMMYFUNCTION("""COMPUTED_VALUE"""),"3D88E-3A-00391")</f>
        <v>3D88E-3A-00391</v>
      </c>
      <c r="K2849" s="324">
        <f>IFERROR(__xludf.DUMMYFUNCTION("""COMPUTED_VALUE"""),3.8)</f>
        <v>3.8</v>
      </c>
      <c r="L2849" s="324" t="str">
        <f>IFERROR(__xludf.DUMMYFUNCTION("""COMPUTED_VALUE"""),"-")</f>
        <v>-</v>
      </c>
    </row>
    <row r="2850">
      <c r="A2850" s="324" t="str">
        <f>IFERROR(__xludf.DUMMYFUNCTION("""COMPUTED_VALUE"""),"TND-Đ03-016")</f>
        <v>TND-Đ03-016</v>
      </c>
      <c r="B2850" s="478" t="str">
        <f>IFERROR(__xludf.DUMMYFUNCTION("""COMPUTED_VALUE"""),"Máy đào gàu 0.3m3")</f>
        <v>Máy đào gàu 0.3m3</v>
      </c>
      <c r="C2850" s="324" t="str">
        <f>IFERROR(__xludf.DUMMYFUNCTION("""COMPUTED_VALUE"""),"XN Chuối DP3")</f>
        <v>XN Chuối DP3</v>
      </c>
      <c r="D2850" s="324" t="str">
        <f>IFERROR(__xludf.DUMMYFUNCTION("""COMPUTED_VALUE"""),"CAT")</f>
        <v>CAT</v>
      </c>
      <c r="E2850" s="324" t="str">
        <f>IFERROR(__xludf.DUMMYFUNCTION("""COMPUTED_VALUE"""),"NHẬT BẢN")</f>
        <v>NHẬT BẢN</v>
      </c>
      <c r="F2850" s="324">
        <f>IFERROR(__xludf.DUMMYFUNCTION("""COMPUTED_VALUE"""),2006.0)</f>
        <v>2006</v>
      </c>
      <c r="G2850" s="324" t="str">
        <f>IFERROR(__xludf.DUMMYFUNCTION("""COMPUTED_VALUE"""),"USA")</f>
        <v>USA</v>
      </c>
      <c r="H2850" s="324" t="str">
        <f>IFERROR(__xludf.DUMMYFUNCTION("""COMPUTED_VALUE"""),"25 HP")</f>
        <v>25 HP</v>
      </c>
      <c r="I2850" s="324" t="str">
        <f>IFERROR(__xludf.DUMMYFUNCTION("""COMPUTED_VALUE"""),"CAR00345")</f>
        <v>CAR00345</v>
      </c>
      <c r="J2850" s="324" t="str">
        <f>IFERROR(__xludf.DUMMYFUNCTION("""COMPUTED_VALUE"""),"S3L21318")</f>
        <v>S3L21318</v>
      </c>
      <c r="K2850" s="324">
        <f>IFERROR(__xludf.DUMMYFUNCTION("""COMPUTED_VALUE"""),3.8)</f>
        <v>3.8</v>
      </c>
      <c r="L2850" s="324" t="str">
        <f>IFERROR(__xludf.DUMMYFUNCTION("""COMPUTED_VALUE"""),"-")</f>
        <v>-</v>
      </c>
    </row>
    <row r="2851">
      <c r="A2851" s="324" t="str">
        <f>IFERROR(__xludf.DUMMYFUNCTION("""COMPUTED_VALUE"""),"TND-Đ03-017")</f>
        <v>TND-Đ03-017</v>
      </c>
      <c r="B2851" s="478" t="str">
        <f>IFERROR(__xludf.DUMMYFUNCTION("""COMPUTED_VALUE"""),"Máy đào gàu 0.3m3")</f>
        <v>Máy đào gàu 0.3m3</v>
      </c>
      <c r="C2851" s="324" t="str">
        <f>IFERROR(__xludf.DUMMYFUNCTION("""COMPUTED_VALUE"""),"XN Chuối DP3")</f>
        <v>XN Chuối DP3</v>
      </c>
      <c r="D2851" s="324" t="str">
        <f>IFERROR(__xludf.DUMMYFUNCTION("""COMPUTED_VALUE"""),"KOMATSU")</f>
        <v>KOMATSU</v>
      </c>
      <c r="E2851" s="324" t="str">
        <f>IFERROR(__xludf.DUMMYFUNCTION("""COMPUTED_VALUE"""),"NHẬT BẢN")</f>
        <v>NHẬT BẢN</v>
      </c>
      <c r="F2851" s="324">
        <f>IFERROR(__xludf.DUMMYFUNCTION("""COMPUTED_VALUE"""),1996.0)</f>
        <v>1996</v>
      </c>
      <c r="G2851" s="324" t="str">
        <f>IFERROR(__xludf.DUMMYFUNCTION("""COMPUTED_VALUE"""),"PC4DER-1")</f>
        <v>PC4DER-1</v>
      </c>
      <c r="H2851" s="324" t="str">
        <f>IFERROR(__xludf.DUMMYFUNCTION("""COMPUTED_VALUE"""),"40HP")</f>
        <v>40HP</v>
      </c>
      <c r="I2851" s="324" t="str">
        <f>IFERROR(__xludf.DUMMYFUNCTION("""COMPUTED_VALUE"""),"PC4040FR-10286")</f>
        <v>PC4040FR-10286</v>
      </c>
      <c r="J2851" s="324" t="str">
        <f>IFERROR(__xludf.DUMMYFUNCTION("""COMPUTED_VALUE"""),"3D88E-3A-00391")</f>
        <v>3D88E-3A-00391</v>
      </c>
      <c r="K2851" s="324">
        <f>IFERROR(__xludf.DUMMYFUNCTION("""COMPUTED_VALUE"""),2.0)</f>
        <v>2</v>
      </c>
      <c r="L2851" s="324" t="str">
        <f>IFERROR(__xludf.DUMMYFUNCTION("""COMPUTED_VALUE"""),"-")</f>
        <v>-</v>
      </c>
    </row>
    <row r="2852">
      <c r="A2852" s="324" t="str">
        <f>IFERROR(__xludf.DUMMYFUNCTION("""COMPUTED_VALUE"""),"TND-Đ03-018")</f>
        <v>TND-Đ03-018</v>
      </c>
      <c r="B2852" s="478" t="str">
        <f>IFERROR(__xludf.DUMMYFUNCTION("""COMPUTED_VALUE"""),"Máy đào gàu 0.3m3")</f>
        <v>Máy đào gàu 0.3m3</v>
      </c>
      <c r="C2852" s="324" t="str">
        <f>IFERROR(__xludf.DUMMYFUNCTION("""COMPUTED_VALUE"""),"XN Chuối DP3")</f>
        <v>XN Chuối DP3</v>
      </c>
      <c r="D2852" s="324" t="str">
        <f>IFERROR(__xludf.DUMMYFUNCTION("""COMPUTED_VALUE"""),"CAT")</f>
        <v>CAT</v>
      </c>
      <c r="E2852" s="324"/>
      <c r="F2852" s="324">
        <f>IFERROR(__xludf.DUMMYFUNCTION("""COMPUTED_VALUE"""),1997.0)</f>
        <v>1997</v>
      </c>
      <c r="G2852" s="324" t="str">
        <f>IFERROR(__xludf.DUMMYFUNCTION("""COMPUTED_VALUE"""),"USA")</f>
        <v>USA</v>
      </c>
      <c r="H2852" s="324" t="str">
        <f>IFERROR(__xludf.DUMMYFUNCTION("""COMPUTED_VALUE"""),"75HP")</f>
        <v>75HP</v>
      </c>
      <c r="I2852" s="324" t="str">
        <f>IFERROR(__xludf.DUMMYFUNCTION("""COMPUTED_VALUE"""),"CAT0308CTCPE02327")</f>
        <v>CAT0308CTCPE02327</v>
      </c>
      <c r="J2852" s="324" t="str">
        <f>IFERROR(__xludf.DUMMYFUNCTION("""COMPUTED_VALUE"""),"617473")</f>
        <v>617473</v>
      </c>
      <c r="K2852" s="324">
        <f>IFERROR(__xludf.DUMMYFUNCTION("""COMPUTED_VALUE"""),3.8)</f>
        <v>3.8</v>
      </c>
      <c r="L2852" s="324" t="str">
        <f>IFERROR(__xludf.DUMMYFUNCTION("""COMPUTED_VALUE"""),"-")</f>
        <v>-</v>
      </c>
    </row>
    <row r="2853">
      <c r="A2853" s="324" t="str">
        <f>IFERROR(__xludf.DUMMYFUNCTION("""COMPUTED_VALUE"""),"TND-Đ03-019")</f>
        <v>TND-Đ03-019</v>
      </c>
      <c r="B2853" s="478" t="str">
        <f>IFERROR(__xludf.DUMMYFUNCTION("""COMPUTED_VALUE"""),"Máy đào gàu 0.3m3")</f>
        <v>Máy đào gàu 0.3m3</v>
      </c>
      <c r="C2853" s="324" t="str">
        <f>IFERROR(__xludf.DUMMYFUNCTION("""COMPUTED_VALUE"""),"XN Chuối DP1")</f>
        <v>XN Chuối DP1</v>
      </c>
      <c r="D2853" s="324" t="str">
        <f>IFERROR(__xludf.DUMMYFUNCTION("""COMPUTED_VALUE"""),"CAT")</f>
        <v>CAT</v>
      </c>
      <c r="E2853" s="324"/>
      <c r="F2853" s="324">
        <f>IFERROR(__xludf.DUMMYFUNCTION("""COMPUTED_VALUE"""),2003.0)</f>
        <v>2003</v>
      </c>
      <c r="G2853" s="324" t="str">
        <f>IFERROR(__xludf.DUMMYFUNCTION("""COMPUTED_VALUE"""),"303SR")</f>
        <v>303SR</v>
      </c>
      <c r="H2853" s="324" t="str">
        <f>IFERROR(__xludf.DUMMYFUNCTION("""COMPUTED_VALUE"""),"45HP")</f>
        <v>45HP</v>
      </c>
      <c r="I2853" s="324" t="str">
        <f>IFERROR(__xludf.DUMMYFUNCTION("""COMPUTED_VALUE"""),"AD01117")</f>
        <v>AD01117</v>
      </c>
      <c r="J2853" s="324" t="str">
        <f>IFERROR(__xludf.DUMMYFUNCTION("""COMPUTED_VALUE"""),"122918L5")</f>
        <v>122918L5</v>
      </c>
      <c r="K2853" s="324">
        <f>IFERROR(__xludf.DUMMYFUNCTION("""COMPUTED_VALUE"""),3.2)</f>
        <v>3.2</v>
      </c>
      <c r="L2853" s="324" t="str">
        <f>IFERROR(__xludf.DUMMYFUNCTION("""COMPUTED_VALUE"""),"-")</f>
        <v>-</v>
      </c>
    </row>
    <row r="2854">
      <c r="A2854" s="324" t="str">
        <f>IFERROR(__xludf.DUMMYFUNCTION("""COMPUTED_VALUE"""),"TND-Đ03-020")</f>
        <v>TND-Đ03-020</v>
      </c>
      <c r="B2854" s="478" t="str">
        <f>IFERROR(__xludf.DUMMYFUNCTION("""COMPUTED_VALUE"""),"Máy đào gàu 0.3m3")</f>
        <v>Máy đào gàu 0.3m3</v>
      </c>
      <c r="C2854" s="324" t="str">
        <f>IFERROR(__xludf.DUMMYFUNCTION("""COMPUTED_VALUE"""),"XN Chuối DP3")</f>
        <v>XN Chuối DP3</v>
      </c>
      <c r="D2854" s="324" t="str">
        <f>IFERROR(__xludf.DUMMYFUNCTION("""COMPUTED_VALUE"""),"CAT")</f>
        <v>CAT</v>
      </c>
      <c r="E2854" s="324"/>
      <c r="F2854" s="324">
        <f>IFERROR(__xludf.DUMMYFUNCTION("""COMPUTED_VALUE"""),2003.0)</f>
        <v>2003</v>
      </c>
      <c r="G2854" s="324" t="str">
        <f>IFERROR(__xludf.DUMMYFUNCTION("""COMPUTED_VALUE"""),"303SR")</f>
        <v>303SR</v>
      </c>
      <c r="H2854" s="324" t="str">
        <f>IFERROR(__xludf.DUMMYFUNCTION("""COMPUTED_VALUE"""),"24HP")</f>
        <v>24HP</v>
      </c>
      <c r="I2854" s="324" t="str">
        <f>IFERROR(__xludf.DUMMYFUNCTION("""COMPUTED_VALUE"""),"CAT0303LFAD01117")</f>
        <v>CAT0303LFAD01117</v>
      </c>
      <c r="J2854" s="324" t="str">
        <f>IFERROR(__xludf.DUMMYFUNCTION("""COMPUTED_VALUE"""),"122918L5")</f>
        <v>122918L5</v>
      </c>
      <c r="K2854" s="324">
        <f>IFERROR(__xludf.DUMMYFUNCTION("""COMPUTED_VALUE"""),3.0)</f>
        <v>3</v>
      </c>
      <c r="L2854" s="324" t="str">
        <f>IFERROR(__xludf.DUMMYFUNCTION("""COMPUTED_VALUE"""),"-")</f>
        <v>-</v>
      </c>
    </row>
    <row r="2855">
      <c r="A2855" s="324" t="str">
        <f>IFERROR(__xludf.DUMMYFUNCTION("""COMPUTED_VALUE"""),"TND-Đ03-021")</f>
        <v>TND-Đ03-021</v>
      </c>
      <c r="B2855" s="478" t="str">
        <f>IFERROR(__xludf.DUMMYFUNCTION("""COMPUTED_VALUE"""),"Máy đào gàu 0.3m3")</f>
        <v>Máy đào gàu 0.3m3</v>
      </c>
      <c r="C2855" s="324" t="str">
        <f>IFERROR(__xludf.DUMMYFUNCTION("""COMPUTED_VALUE"""),"XN Chuối DP2")</f>
        <v>XN Chuối DP2</v>
      </c>
      <c r="D2855" s="324" t="str">
        <f>IFERROR(__xludf.DUMMYFUNCTION("""COMPUTED_VALUE"""),"HITACHI")</f>
        <v>HITACHI</v>
      </c>
      <c r="E2855" s="324" t="str">
        <f>IFERROR(__xludf.DUMMYFUNCTION("""COMPUTED_VALUE"""),"HÀN QUỐC")</f>
        <v>HÀN QUỐC</v>
      </c>
      <c r="F2855" s="324">
        <f>IFERROR(__xludf.DUMMYFUNCTION("""COMPUTED_VALUE"""),2004.0)</f>
        <v>2004</v>
      </c>
      <c r="G2855" s="324" t="str">
        <f>IFERROR(__xludf.DUMMYFUNCTION("""COMPUTED_VALUE"""),"ZX75US-A")</f>
        <v>ZX75US-A</v>
      </c>
      <c r="H2855" s="324" t="str">
        <f>IFERROR(__xludf.DUMMYFUNCTION("""COMPUTED_VALUE"""),"54HP")</f>
        <v>54HP</v>
      </c>
      <c r="I2855" s="324" t="str">
        <f>IFERROR(__xludf.DUMMYFUNCTION("""COMPUTED_VALUE"""),"HCM1CG00100042071")</f>
        <v>HCM1CG00100042071</v>
      </c>
      <c r="J2855" s="324" t="str">
        <f>IFERROR(__xludf.DUMMYFUNCTION("""COMPUTED_VALUE"""),"45G1261514")</f>
        <v>45G1261514</v>
      </c>
      <c r="K2855" s="324">
        <f>IFERROR(__xludf.DUMMYFUNCTION("""COMPUTED_VALUE"""),5.0)</f>
        <v>5</v>
      </c>
      <c r="L2855" s="324" t="str">
        <f>IFERROR(__xludf.DUMMYFUNCTION("""COMPUTED_VALUE"""),"-")</f>
        <v>-</v>
      </c>
    </row>
    <row r="2856">
      <c r="A2856" s="324" t="str">
        <f>IFERROR(__xludf.DUMMYFUNCTION("""COMPUTED_VALUE"""),"TND-Đ02-001")</f>
        <v>TND-Đ02-001</v>
      </c>
      <c r="B2856" s="478" t="str">
        <f>IFERROR(__xludf.DUMMYFUNCTION("""COMPUTED_VALUE"""),"Máy đào gàu 0.2m3")</f>
        <v>Máy đào gàu 0.2m3</v>
      </c>
      <c r="C2856" s="324" t="str">
        <f>IFERROR(__xludf.DUMMYFUNCTION("""COMPUTED_VALUE"""),"Ban điện nước")</f>
        <v>Ban điện nước</v>
      </c>
      <c r="D2856" s="324" t="str">
        <f>IFERROR(__xludf.DUMMYFUNCTION("""COMPUTED_VALUE"""),"CAT")</f>
        <v>CAT</v>
      </c>
      <c r="E2856" s="324" t="str">
        <f>IFERROR(__xludf.DUMMYFUNCTION("""COMPUTED_VALUE"""),"NHẬT BẢN")</f>
        <v>NHẬT BẢN</v>
      </c>
      <c r="F2856" s="324">
        <f>IFERROR(__xludf.DUMMYFUNCTION("""COMPUTED_VALUE"""),2023.0)</f>
        <v>2023</v>
      </c>
      <c r="G2856" s="324" t="str">
        <f>IFERROR(__xludf.DUMMYFUNCTION("""COMPUTED_VALUE"""),"303SR")</f>
        <v>303SR</v>
      </c>
      <c r="H2856" s="324" t="str">
        <f>IFERROR(__xludf.DUMMYFUNCTION("""COMPUTED_VALUE"""),"45HP")</f>
        <v>45HP</v>
      </c>
      <c r="I2856" s="324" t="str">
        <f>IFERROR(__xludf.DUMMYFUNCTION("""COMPUTED_VALUE"""),"CAT00303LFAD01117")</f>
        <v>CAT00303LFAD01117</v>
      </c>
      <c r="J2856" s="324" t="str">
        <f>IFERROR(__xludf.DUMMYFUNCTION("""COMPUTED_VALUE"""),"122918L5")</f>
        <v>122918L5</v>
      </c>
      <c r="K2856" s="324">
        <f>IFERROR(__xludf.DUMMYFUNCTION("""COMPUTED_VALUE"""),3.5)</f>
        <v>3.5</v>
      </c>
      <c r="L2856" s="324" t="str">
        <f>IFERROR(__xludf.DUMMYFUNCTION("""COMPUTED_VALUE"""),"Đang thuê")</f>
        <v>Đang thuê</v>
      </c>
    </row>
    <row r="2857">
      <c r="A2857" s="324" t="str">
        <f>IFERROR(__xludf.DUMMYFUNCTION("""COMPUTED_VALUE"""),"TND-Đ02-002")</f>
        <v>TND-Đ02-002</v>
      </c>
      <c r="B2857" s="478" t="str">
        <f>IFERROR(__xludf.DUMMYFUNCTION("""COMPUTED_VALUE"""),"Máy đào gàu 0.2m3")</f>
        <v>Máy đào gàu 0.2m3</v>
      </c>
      <c r="C2857" s="324" t="str">
        <f>IFERROR(__xludf.DUMMYFUNCTION("""COMPUTED_VALUE"""),"Ban điện nước")</f>
        <v>Ban điện nước</v>
      </c>
      <c r="D2857" s="324" t="str">
        <f>IFERROR(__xludf.DUMMYFUNCTION("""COMPUTED_VALUE"""),"CAT")</f>
        <v>CAT</v>
      </c>
      <c r="E2857" s="324" t="str">
        <f>IFERROR(__xludf.DUMMYFUNCTION("""COMPUTED_VALUE"""),"NHẬT BẢN")</f>
        <v>NHẬT BẢN</v>
      </c>
      <c r="F2857" s="324">
        <f>IFERROR(__xludf.DUMMYFUNCTION("""COMPUTED_VALUE"""),1998.0)</f>
        <v>1998</v>
      </c>
      <c r="G2857" s="324" t="str">
        <f>IFERROR(__xludf.DUMMYFUNCTION("""COMPUTED_VALUE"""),"303CR")</f>
        <v>303CR</v>
      </c>
      <c r="H2857" s="324" t="str">
        <f>IFERROR(__xludf.DUMMYFUNCTION("""COMPUTED_VALUE"""),"24HP")</f>
        <v>24HP</v>
      </c>
      <c r="I2857" s="324" t="str">
        <f>IFERROR(__xludf.DUMMYFUNCTION("""COMPUTED_VALUE"""),"CAT00303LCAR01399")</f>
        <v>CAT00303LCAR01399</v>
      </c>
      <c r="J2857" s="324" t="str">
        <f>IFERROR(__xludf.DUMMYFUNCTION("""COMPUTED_VALUE"""),"00077620")</f>
        <v>00077620</v>
      </c>
      <c r="K2857" s="324">
        <f>IFERROR(__xludf.DUMMYFUNCTION("""COMPUTED_VALUE"""),2.7)</f>
        <v>2.7</v>
      </c>
      <c r="L2857" s="324" t="str">
        <f>IFERROR(__xludf.DUMMYFUNCTION("""COMPUTED_VALUE"""),"-")</f>
        <v>-</v>
      </c>
    </row>
    <row r="2858">
      <c r="A2858" s="324" t="str">
        <f>IFERROR(__xludf.DUMMYFUNCTION("""COMPUTED_VALUE"""),"TND-Đ03-022")</f>
        <v>TND-Đ03-022</v>
      </c>
      <c r="B2858" s="478" t="str">
        <f>IFERROR(__xludf.DUMMYFUNCTION("""COMPUTED_VALUE"""),"Máy đào gàu 0.3m3")</f>
        <v>Máy đào gàu 0.3m3</v>
      </c>
      <c r="C2858" s="324" t="str">
        <f>IFERROR(__xludf.DUMMYFUNCTION("""COMPUTED_VALUE"""),"XN Chuối DP3")</f>
        <v>XN Chuối DP3</v>
      </c>
      <c r="D2858" s="324" t="str">
        <f>IFERROR(__xludf.DUMMYFUNCTION("""COMPUTED_VALUE"""),"HANIX")</f>
        <v>HANIX</v>
      </c>
      <c r="E2858" s="324"/>
      <c r="F2858" s="324">
        <f>IFERROR(__xludf.DUMMYFUNCTION("""COMPUTED_VALUE"""),1990.0)</f>
        <v>1990</v>
      </c>
      <c r="G2858" s="324" t="str">
        <f>IFERROR(__xludf.DUMMYFUNCTION("""COMPUTED_VALUE"""),"H45 SK02")</f>
        <v>H45 SK02</v>
      </c>
      <c r="H2858" s="324" t="str">
        <f>IFERROR(__xludf.DUMMYFUNCTION("""COMPUTED_VALUE"""),"45HP")</f>
        <v>45HP</v>
      </c>
      <c r="I2858" s="324" t="str">
        <f>IFERROR(__xludf.DUMMYFUNCTION("""COMPUTED_VALUE"""),"H4500574")</f>
        <v>H4500574</v>
      </c>
      <c r="J2858" s="324" t="str">
        <f>IFERROR(__xludf.DUMMYFUNCTION("""COMPUTED_VALUE"""),"2211")</f>
        <v>2211</v>
      </c>
      <c r="K2858" s="324">
        <f>IFERROR(__xludf.DUMMYFUNCTION("""COMPUTED_VALUE"""),3.5)</f>
        <v>3.5</v>
      </c>
      <c r="L2858" s="324" t="str">
        <f>IFERROR(__xludf.DUMMYFUNCTION("""COMPUTED_VALUE"""),"-")</f>
        <v>-</v>
      </c>
    </row>
    <row r="2859">
      <c r="A2859" s="324" t="str">
        <f>IFERROR(__xludf.DUMMYFUNCTION("""COMPUTED_VALUE"""),"TND-Đ03-021")</f>
        <v>TND-Đ03-021</v>
      </c>
      <c r="B2859" s="478" t="str">
        <f>IFERROR(__xludf.DUMMYFUNCTION("""COMPUTED_VALUE"""),"Máy đào gàu 0.3m3")</f>
        <v>Máy đào gàu 0.3m3</v>
      </c>
      <c r="C2859" s="324" t="str">
        <f>IFERROR(__xludf.DUMMYFUNCTION("""COMPUTED_VALUE"""),"XN Chuối DP2")</f>
        <v>XN Chuối DP2</v>
      </c>
      <c r="D2859" s="324" t="str">
        <f>IFERROR(__xludf.DUMMYFUNCTION("""COMPUTED_VALUE"""),"HITACHI")</f>
        <v>HITACHI</v>
      </c>
      <c r="E2859" s="324" t="str">
        <f>IFERROR(__xludf.DUMMYFUNCTION("""COMPUTED_VALUE"""),"HÀN QUỐC")</f>
        <v>HÀN QUỐC</v>
      </c>
      <c r="F2859" s="324">
        <f>IFERROR(__xludf.DUMMYFUNCTION("""COMPUTED_VALUE"""),2004.0)</f>
        <v>2004</v>
      </c>
      <c r="G2859" s="324" t="str">
        <f>IFERROR(__xludf.DUMMYFUNCTION("""COMPUTED_VALUE"""),"ZX75US-A")</f>
        <v>ZX75US-A</v>
      </c>
      <c r="H2859" s="324" t="str">
        <f>IFERROR(__xludf.DUMMYFUNCTION("""COMPUTED_VALUE"""),"54HP")</f>
        <v>54HP</v>
      </c>
      <c r="I2859" s="324" t="str">
        <f>IFERROR(__xludf.DUMMYFUNCTION("""COMPUTED_VALUE"""),"HCM1CG00100042071")</f>
        <v>HCM1CG00100042071</v>
      </c>
      <c r="J2859" s="324" t="str">
        <f>IFERROR(__xludf.DUMMYFUNCTION("""COMPUTED_VALUE"""),"45G1261514")</f>
        <v>45G1261514</v>
      </c>
      <c r="K2859" s="324">
        <f>IFERROR(__xludf.DUMMYFUNCTION("""COMPUTED_VALUE"""),5.0)</f>
        <v>5</v>
      </c>
      <c r="L2859" s="324" t="str">
        <f>IFERROR(__xludf.DUMMYFUNCTION("""COMPUTED_VALUE"""),"-")</f>
        <v>-</v>
      </c>
    </row>
    <row r="2860">
      <c r="A2860" s="324" t="str">
        <f>IFERROR(__xludf.DUMMYFUNCTION("""COMPUTED_VALUE"""),"TND-Đ03-023")</f>
        <v>TND-Đ03-023</v>
      </c>
      <c r="B2860" s="478" t="str">
        <f>IFERROR(__xludf.DUMMYFUNCTION("""COMPUTED_VALUE"""),"Máy đào gàu 0.3m3")</f>
        <v>Máy đào gàu 0.3m3</v>
      </c>
      <c r="C2860" s="324" t="str">
        <f>IFERROR(__xludf.DUMMYFUNCTION("""COMPUTED_VALUE"""),"XN Chuối DP3")</f>
        <v>XN Chuối DP3</v>
      </c>
      <c r="D2860" s="324" t="str">
        <f>IFERROR(__xludf.DUMMYFUNCTION("""COMPUTED_VALUE"""),"CAT")</f>
        <v>CAT</v>
      </c>
      <c r="E2860" s="324"/>
      <c r="F2860" s="324">
        <f>IFERROR(__xludf.DUMMYFUNCTION("""COMPUTED_VALUE"""),1991.0)</f>
        <v>1991</v>
      </c>
      <c r="G2860" s="324" t="str">
        <f>IFERROR(__xludf.DUMMYFUNCTION("""COMPUTED_VALUE"""),"E70B")</f>
        <v>E70B</v>
      </c>
      <c r="H2860" s="324" t="str">
        <f>IFERROR(__xludf.DUMMYFUNCTION("""COMPUTED_VALUE"""),"55HP")</f>
        <v>55HP</v>
      </c>
      <c r="I2860" s="324" t="str">
        <f>IFERROR(__xludf.DUMMYFUNCTION("""COMPUTED_VALUE"""),"7YF05904")</f>
        <v>7YF05904</v>
      </c>
      <c r="J2860" s="324" t="str">
        <f>IFERROR(__xludf.DUMMYFUNCTION("""COMPUTED_VALUE"""),"4D32938922")</f>
        <v>4D32938922</v>
      </c>
      <c r="K2860" s="324">
        <f>IFERROR(__xludf.DUMMYFUNCTION("""COMPUTED_VALUE"""),4.0)</f>
        <v>4</v>
      </c>
      <c r="L2860" s="324" t="str">
        <f>IFERROR(__xludf.DUMMYFUNCTION("""COMPUTED_VALUE"""),"-")</f>
        <v>-</v>
      </c>
    </row>
    <row r="2861">
      <c r="A2861" s="324" t="str">
        <f>IFERROR(__xludf.DUMMYFUNCTION("""COMPUTED_VALUE"""),"TND-Đ03-024")</f>
        <v>TND-Đ03-024</v>
      </c>
      <c r="B2861" s="478" t="str">
        <f>IFERROR(__xludf.DUMMYFUNCTION("""COMPUTED_VALUE"""),"Máy đào gàu 0.3m3")</f>
        <v>Máy đào gàu 0.3m3</v>
      </c>
      <c r="C2861" s="324" t="str">
        <f>IFERROR(__xludf.DUMMYFUNCTION("""COMPUTED_VALUE"""),"CGTC DP")</f>
        <v>CGTC DP</v>
      </c>
      <c r="D2861" s="324" t="str">
        <f>IFERROR(__xludf.DUMMYFUNCTION("""COMPUTED_VALUE"""),"KOMATSU")</f>
        <v>KOMATSU</v>
      </c>
      <c r="E2861" s="324"/>
      <c r="F2861" s="324">
        <f>IFERROR(__xludf.DUMMYFUNCTION("""COMPUTED_VALUE"""),2007.0)</f>
        <v>2007</v>
      </c>
      <c r="G2861" s="324" t="str">
        <f>IFERROR(__xludf.DUMMYFUNCTION("""COMPUTED_VALUE"""),"PC50MR-2")</f>
        <v>PC50MR-2</v>
      </c>
      <c r="H2861" s="324" t="str">
        <f>IFERROR(__xludf.DUMMYFUNCTION("""COMPUTED_VALUE"""),"39HP")</f>
        <v>39HP</v>
      </c>
      <c r="I2861" s="324" t="str">
        <f>IFERROR(__xludf.DUMMYFUNCTION("""COMPUTED_VALUE"""),"5009094")</f>
        <v>5009094</v>
      </c>
      <c r="J2861" s="324" t="str">
        <f>IFERROR(__xludf.DUMMYFUNCTION("""COMPUTED_VALUE"""),"14194")</f>
        <v>14194</v>
      </c>
      <c r="K2861" s="324">
        <f>IFERROR(__xludf.DUMMYFUNCTION("""COMPUTED_VALUE"""),3.75)</f>
        <v>3.75</v>
      </c>
      <c r="L2861" s="324" t="str">
        <f>IFERROR(__xludf.DUMMYFUNCTION("""COMPUTED_VALUE"""),"-")</f>
        <v>-</v>
      </c>
    </row>
    <row r="2862">
      <c r="A2862" s="324" t="str">
        <f>IFERROR(__xludf.DUMMYFUNCTION("""COMPUTED_VALUE"""),"TND-Đ03-025")</f>
        <v>TND-Đ03-025</v>
      </c>
      <c r="B2862" s="478" t="str">
        <f>IFERROR(__xludf.DUMMYFUNCTION("""COMPUTED_VALUE"""),"Máy đào gàu 0.3m3")</f>
        <v>Máy đào gàu 0.3m3</v>
      </c>
      <c r="C2862" s="324" t="str">
        <f>IFERROR(__xludf.DUMMYFUNCTION("""COMPUTED_VALUE"""),"Ban điện nước")</f>
        <v>Ban điện nước</v>
      </c>
      <c r="D2862" s="324" t="str">
        <f>IFERROR(__xludf.DUMMYFUNCTION("""COMPUTED_VALUE"""),"CAT")</f>
        <v>CAT</v>
      </c>
      <c r="E2862" s="324"/>
      <c r="F2862" s="324">
        <f>IFERROR(__xludf.DUMMYFUNCTION("""COMPUTED_VALUE"""),2003.0)</f>
        <v>2003</v>
      </c>
      <c r="G2862" s="324" t="str">
        <f>IFERROR(__xludf.DUMMYFUNCTION("""COMPUTED_VALUE"""),"303SR")</f>
        <v>303SR</v>
      </c>
      <c r="H2862" s="324" t="str">
        <f>IFERROR(__xludf.DUMMYFUNCTION("""COMPUTED_VALUE"""),"40HP")</f>
        <v>40HP</v>
      </c>
      <c r="I2862" s="324" t="str">
        <f>IFERROR(__xludf.DUMMYFUNCTION("""COMPUTED_VALUE"""),"CAT00303LFAD0117")</f>
        <v>CAT00303LFAD0117</v>
      </c>
      <c r="J2862" s="324" t="str">
        <f>IFERROR(__xludf.DUMMYFUNCTION("""COMPUTED_VALUE"""),"122918L5")</f>
        <v>122918L5</v>
      </c>
      <c r="K2862" s="324">
        <f>IFERROR(__xludf.DUMMYFUNCTION("""COMPUTED_VALUE"""),4.0)</f>
        <v>4</v>
      </c>
      <c r="L2862" s="324" t="str">
        <f>IFERROR(__xludf.DUMMYFUNCTION("""COMPUTED_VALUE"""),"Đang thuê")</f>
        <v>Đang thuê</v>
      </c>
    </row>
    <row r="2863">
      <c r="A2863" s="324" t="str">
        <f>IFERROR(__xludf.DUMMYFUNCTION("""COMPUTED_VALUE"""),"TND-Đ03-026")</f>
        <v>TND-Đ03-026</v>
      </c>
      <c r="B2863" s="478" t="str">
        <f>IFERROR(__xludf.DUMMYFUNCTION("""COMPUTED_VALUE"""),"Máy đào gàu 0.3m3")</f>
        <v>Máy đào gàu 0.3m3</v>
      </c>
      <c r="C2863" s="324" t="str">
        <f>IFERROR(__xludf.DUMMYFUNCTION("""COMPUTED_VALUE"""),"CGTC DP")</f>
        <v>CGTC DP</v>
      </c>
      <c r="D2863" s="324" t="str">
        <f>IFERROR(__xludf.DUMMYFUNCTION("""COMPUTED_VALUE"""),"KOMATSU")</f>
        <v>KOMATSU</v>
      </c>
      <c r="E2863" s="324"/>
      <c r="F2863" s="324">
        <f>IFERROR(__xludf.DUMMYFUNCTION("""COMPUTED_VALUE"""),1996.0)</f>
        <v>1996</v>
      </c>
      <c r="G2863" s="324" t="str">
        <f>IFERROR(__xludf.DUMMYFUNCTION("""COMPUTED_VALUE"""),"PC40FR-1")</f>
        <v>PC40FR-1</v>
      </c>
      <c r="H2863" s="324" t="str">
        <f>IFERROR(__xludf.DUMMYFUNCTION("""COMPUTED_VALUE"""),"40HP")</f>
        <v>40HP</v>
      </c>
      <c r="I2863" s="324" t="str">
        <f>IFERROR(__xludf.DUMMYFUNCTION("""COMPUTED_VALUE"""),"PC40FR-10286")</f>
        <v>PC40FR-10286</v>
      </c>
      <c r="J2863" s="324" t="str">
        <f>IFERROR(__xludf.DUMMYFUNCTION("""COMPUTED_VALUE"""),"3D88E-3A-00391")</f>
        <v>3D88E-3A-00391</v>
      </c>
      <c r="K2863" s="324">
        <f>IFERROR(__xludf.DUMMYFUNCTION("""COMPUTED_VALUE"""),3.0)</f>
        <v>3</v>
      </c>
      <c r="L2863" s="324" t="str">
        <f>IFERROR(__xludf.DUMMYFUNCTION("""COMPUTED_VALUE"""),"Đang thuê")</f>
        <v>Đang thuê</v>
      </c>
    </row>
    <row r="2864">
      <c r="A2864" s="324" t="str">
        <f>IFERROR(__xludf.DUMMYFUNCTION("""COMPUTED_VALUE"""),"TND-Đ03-027")</f>
        <v>TND-Đ03-027</v>
      </c>
      <c r="B2864" s="478" t="str">
        <f>IFERROR(__xludf.DUMMYFUNCTION("""COMPUTED_VALUE"""),"Máy đào gàu 0.3m3")</f>
        <v>Máy đào gàu 0.3m3</v>
      </c>
      <c r="C2864" s="324" t="str">
        <f>IFERROR(__xludf.DUMMYFUNCTION("""COMPUTED_VALUE"""),"XN Chuối DP3")</f>
        <v>XN Chuối DP3</v>
      </c>
      <c r="D2864" s="324" t="str">
        <f>IFERROR(__xludf.DUMMYFUNCTION("""COMPUTED_VALUE"""),"CAT")</f>
        <v>CAT</v>
      </c>
      <c r="E2864" s="324"/>
      <c r="F2864" s="324"/>
      <c r="G2864" s="324" t="str">
        <f>IFERROR(__xludf.DUMMYFUNCTION("""COMPUTED_VALUE"""),"304CR")</f>
        <v>304CR</v>
      </c>
      <c r="H2864" s="324" t="str">
        <f>IFERROR(__xludf.DUMMYFUNCTION("""COMPUTED_VALUE"""),"40HP")</f>
        <v>40HP</v>
      </c>
      <c r="I2864" s="324" t="str">
        <f>IFERROR(__xludf.DUMMYFUNCTION("""COMPUTED_VALUE"""),"CAT00304CBTN00130")</f>
        <v>CAT00304CBTN00130</v>
      </c>
      <c r="J2864" s="324" t="str">
        <f>IFERROR(__xludf.DUMMYFUNCTION("""COMPUTED_VALUE"""),"S4L200064878")</f>
        <v>S4L200064878</v>
      </c>
      <c r="K2864" s="324">
        <f>IFERROR(__xludf.DUMMYFUNCTION("""COMPUTED_VALUE"""),3.8)</f>
        <v>3.8</v>
      </c>
      <c r="L2864" s="324" t="str">
        <f>IFERROR(__xludf.DUMMYFUNCTION("""COMPUTED_VALUE"""),"-")</f>
        <v>-</v>
      </c>
    </row>
    <row r="2865">
      <c r="A2865" s="324" t="str">
        <f>IFERROR(__xludf.DUMMYFUNCTION("""COMPUTED_VALUE"""),"TND-Đ03-028")</f>
        <v>TND-Đ03-028</v>
      </c>
      <c r="B2865" s="478" t="str">
        <f>IFERROR(__xludf.DUMMYFUNCTION("""COMPUTED_VALUE"""),"Máy đào gàu 0.3m3")</f>
        <v>Máy đào gàu 0.3m3</v>
      </c>
      <c r="C2865" s="324" t="str">
        <f>IFERROR(__xludf.DUMMYFUNCTION("""COMPUTED_VALUE"""),"XN Chuối DP3")</f>
        <v>XN Chuối DP3</v>
      </c>
      <c r="D2865" s="324" t="str">
        <f>IFERROR(__xludf.DUMMYFUNCTION("""COMPUTED_VALUE"""),"SOLAR")</f>
        <v>SOLAR</v>
      </c>
      <c r="E2865" s="324"/>
      <c r="F2865" s="324">
        <f>IFERROR(__xludf.DUMMYFUNCTION("""COMPUTED_VALUE"""),1997.0)</f>
        <v>1997</v>
      </c>
      <c r="G2865" s="324"/>
      <c r="H2865" s="324" t="str">
        <f>IFERROR(__xludf.DUMMYFUNCTION("""COMPUTED_VALUE"""),"40HP")</f>
        <v>40HP</v>
      </c>
      <c r="I2865" s="324" t="str">
        <f>IFERROR(__xludf.DUMMYFUNCTION("""COMPUTED_VALUE"""),"SL5010625")</f>
        <v>SL5010625</v>
      </c>
      <c r="J2865" s="324" t="str">
        <f>IFERROR(__xludf.DUMMYFUNCTION("""COMPUTED_VALUE"""),"DC24602047")</f>
        <v>DC24602047</v>
      </c>
      <c r="K2865" s="324">
        <f>IFERROR(__xludf.DUMMYFUNCTION("""COMPUTED_VALUE"""),5.0)</f>
        <v>5</v>
      </c>
      <c r="L2865" s="324" t="str">
        <f>IFERROR(__xludf.DUMMYFUNCTION("""COMPUTED_VALUE"""),"-")</f>
        <v>-</v>
      </c>
    </row>
    <row r="2866">
      <c r="A2866" s="324" t="str">
        <f>IFERROR(__xludf.DUMMYFUNCTION("""COMPUTED_VALUE"""),"TND-Đ03-029")</f>
        <v>TND-Đ03-029</v>
      </c>
      <c r="B2866" s="478" t="str">
        <f>IFERROR(__xludf.DUMMYFUNCTION("""COMPUTED_VALUE"""),"Máy đào gàu 0.3m3")</f>
        <v>Máy đào gàu 0.3m3</v>
      </c>
      <c r="C2866" s="324" t="str">
        <f>IFERROR(__xludf.DUMMYFUNCTION("""COMPUTED_VALUE"""),"XN Chuối DP1")</f>
        <v>XN Chuối DP1</v>
      </c>
      <c r="D2866" s="324" t="str">
        <f>IFERROR(__xludf.DUMMYFUNCTION("""COMPUTED_VALUE"""),"KOMATSU")</f>
        <v>KOMATSU</v>
      </c>
      <c r="E2866" s="324"/>
      <c r="F2866" s="324">
        <f>IFERROR(__xludf.DUMMYFUNCTION("""COMPUTED_VALUE"""),2007.0)</f>
        <v>2007</v>
      </c>
      <c r="G2866" s="324" t="str">
        <f>IFERROR(__xludf.DUMMYFUNCTION("""COMPUTED_VALUE"""),"PC50MR-2")</f>
        <v>PC50MR-2</v>
      </c>
      <c r="H2866" s="324" t="str">
        <f>IFERROR(__xludf.DUMMYFUNCTION("""COMPUTED_VALUE"""),"39HP")</f>
        <v>39HP</v>
      </c>
      <c r="I2866" s="324" t="str">
        <f>IFERROR(__xludf.DUMMYFUNCTION("""COMPUTED_VALUE"""),"5009094")</f>
        <v>5009094</v>
      </c>
      <c r="J2866" s="324" t="str">
        <f>IFERROR(__xludf.DUMMYFUNCTION("""COMPUTED_VALUE"""),"14194")</f>
        <v>14194</v>
      </c>
      <c r="K2866" s="324">
        <f>IFERROR(__xludf.DUMMYFUNCTION("""COMPUTED_VALUE"""),4.0)</f>
        <v>4</v>
      </c>
      <c r="L2866" s="324" t="str">
        <f>IFERROR(__xludf.DUMMYFUNCTION("""COMPUTED_VALUE"""),"Đang thuê")</f>
        <v>Đang thuê</v>
      </c>
    </row>
    <row r="2867">
      <c r="A2867" s="324" t="str">
        <f>IFERROR(__xludf.DUMMYFUNCTION("""COMPUTED_VALUE"""),"Máy ủi")</f>
        <v>Máy ủi</v>
      </c>
      <c r="B2867" s="478" t="str">
        <f>IFERROR(__xludf.DUMMYFUNCTION("""COMPUTED_VALUE"""),"36")</f>
        <v>36</v>
      </c>
      <c r="C2867" s="324"/>
      <c r="D2867" s="324"/>
      <c r="E2867" s="324"/>
      <c r="F2867" s="324"/>
      <c r="G2867" s="324"/>
      <c r="H2867" s="324"/>
      <c r="I2867" s="324"/>
      <c r="J2867" s="324"/>
      <c r="K2867" s="324"/>
      <c r="L2867" s="324" t="str">
        <f>IFERROR(__xludf.DUMMYFUNCTION("""COMPUTED_VALUE"""),"15")</f>
        <v>15</v>
      </c>
    </row>
    <row r="2868">
      <c r="A2868" s="324" t="str">
        <f>IFERROR(__xludf.DUMMYFUNCTION("""COMPUTED_VALUE"""),"TND-MUI-001")</f>
        <v>TND-MUI-001</v>
      </c>
      <c r="B2868" s="478" t="str">
        <f>IFERROR(__xludf.DUMMYFUNCTION("""COMPUTED_VALUE"""),"Máy ủi D50")</f>
        <v>Máy ủi D50</v>
      </c>
      <c r="C2868" s="324" t="str">
        <f>IFERROR(__xludf.DUMMYFUNCTION("""COMPUTED_VALUE"""),"CGTC DP")</f>
        <v>CGTC DP</v>
      </c>
      <c r="D2868" s="324" t="str">
        <f>IFERROR(__xludf.DUMMYFUNCTION("""COMPUTED_VALUE"""),"KOMATSU")</f>
        <v>KOMATSU</v>
      </c>
      <c r="E2868" s="324"/>
      <c r="F2868" s="324">
        <f>IFERROR(__xludf.DUMMYFUNCTION("""COMPUTED_VALUE"""),2000.0)</f>
        <v>2000</v>
      </c>
      <c r="G2868" s="324" t="str">
        <f>IFERROR(__xludf.DUMMYFUNCTION("""COMPUTED_VALUE"""),"D50")</f>
        <v>D50</v>
      </c>
      <c r="H2868" s="324" t="str">
        <f>IFERROR(__xludf.DUMMYFUNCTION("""COMPUTED_VALUE"""),"130HP")</f>
        <v>130HP</v>
      </c>
      <c r="I2868" s="324" t="str">
        <f>IFERROR(__xludf.DUMMYFUNCTION("""COMPUTED_VALUE"""),"49X0794")</f>
        <v>49X0794</v>
      </c>
      <c r="J2868" s="324" t="str">
        <f>IFERROR(__xludf.DUMMYFUNCTION("""COMPUTED_VALUE"""),"3306PC")</f>
        <v>3306PC</v>
      </c>
      <c r="K2868" s="324"/>
      <c r="L2868" s="324" t="str">
        <f>IFERROR(__xludf.DUMMYFUNCTION("""COMPUTED_VALUE"""),"-")</f>
        <v>-</v>
      </c>
    </row>
    <row r="2869">
      <c r="A2869" s="324" t="str">
        <f>IFERROR(__xludf.DUMMYFUNCTION("""COMPUTED_VALUE"""),"TND-MUI-002")</f>
        <v>TND-MUI-002</v>
      </c>
      <c r="B2869" s="478" t="str">
        <f>IFERROR(__xludf.DUMMYFUNCTION("""COMPUTED_VALUE"""),"Máy ủi D65")</f>
        <v>Máy ủi D65</v>
      </c>
      <c r="C2869" s="324" t="str">
        <f>IFERROR(__xludf.DUMMYFUNCTION("""COMPUTED_VALUE"""),"CGTC DP")</f>
        <v>CGTC DP</v>
      </c>
      <c r="D2869" s="324" t="str">
        <f>IFERROR(__xludf.DUMMYFUNCTION("""COMPUTED_VALUE"""),"KOMATSU")</f>
        <v>KOMATSU</v>
      </c>
      <c r="E2869" s="324"/>
      <c r="F2869" s="324">
        <f>IFERROR(__xludf.DUMMYFUNCTION("""COMPUTED_VALUE"""),1999.0)</f>
        <v>1999</v>
      </c>
      <c r="G2869" s="324" t="str">
        <f>IFERROR(__xludf.DUMMYFUNCTION("""COMPUTED_VALUE"""),"D65P-7")</f>
        <v>D65P-7</v>
      </c>
      <c r="H2869" s="324" t="str">
        <f>IFERROR(__xludf.DUMMYFUNCTION("""COMPUTED_VALUE"""),"170HP")</f>
        <v>170HP</v>
      </c>
      <c r="I2869" s="324" t="str">
        <f>IFERROR(__xludf.DUMMYFUNCTION("""COMPUTED_VALUE"""),"65401")</f>
        <v>65401</v>
      </c>
      <c r="J2869" s="324" t="str">
        <f>IFERROR(__xludf.DUMMYFUNCTION("""COMPUTED_VALUE"""),"4D130-1-1260")</f>
        <v>4D130-1-1260</v>
      </c>
      <c r="K2869" s="324"/>
      <c r="L2869" s="324" t="str">
        <f>IFERROR(__xludf.DUMMYFUNCTION("""COMPUTED_VALUE"""),"-")</f>
        <v>-</v>
      </c>
    </row>
    <row r="2870">
      <c r="A2870" s="324" t="str">
        <f>IFERROR(__xludf.DUMMYFUNCTION("""COMPUTED_VALUE"""),"TND-MUI-003")</f>
        <v>TND-MUI-003</v>
      </c>
      <c r="B2870" s="478" t="str">
        <f>IFERROR(__xludf.DUMMYFUNCTION("""COMPUTED_VALUE"""),"Máy ủi D60")</f>
        <v>Máy ủi D60</v>
      </c>
      <c r="C2870" s="324" t="str">
        <f>IFERROR(__xludf.DUMMYFUNCTION("""COMPUTED_VALUE"""),"CGTC DP")</f>
        <v>CGTC DP</v>
      </c>
      <c r="D2870" s="324" t="str">
        <f>IFERROR(__xludf.DUMMYFUNCTION("""COMPUTED_VALUE"""),"KOMATSU")</f>
        <v>KOMATSU</v>
      </c>
      <c r="E2870" s="324"/>
      <c r="F2870" s="324">
        <f>IFERROR(__xludf.DUMMYFUNCTION("""COMPUTED_VALUE"""),1995.0)</f>
        <v>1995</v>
      </c>
      <c r="G2870" s="324" t="str">
        <f>IFERROR(__xludf.DUMMYFUNCTION("""COMPUTED_VALUE"""),"D50")</f>
        <v>D50</v>
      </c>
      <c r="H2870" s="324" t="str">
        <f>IFERROR(__xludf.DUMMYFUNCTION("""COMPUTED_VALUE"""),"130HP")</f>
        <v>130HP</v>
      </c>
      <c r="I2870" s="324" t="str">
        <f>IFERROR(__xludf.DUMMYFUNCTION("""COMPUTED_VALUE"""),"50365")</f>
        <v>50365</v>
      </c>
      <c r="J2870" s="324" t="str">
        <f>IFERROR(__xludf.DUMMYFUNCTION("""COMPUTED_VALUE"""),"31085")</f>
        <v>31085</v>
      </c>
      <c r="K2870" s="324"/>
      <c r="L2870" s="324" t="str">
        <f>IFERROR(__xludf.DUMMYFUNCTION("""COMPUTED_VALUE"""),"-")</f>
        <v>-</v>
      </c>
    </row>
    <row r="2871">
      <c r="A2871" s="324" t="str">
        <f>IFERROR(__xludf.DUMMYFUNCTION("""COMPUTED_VALUE"""),"TND-MUI-004")</f>
        <v>TND-MUI-004</v>
      </c>
      <c r="B2871" s="478" t="str">
        <f>IFERROR(__xludf.DUMMYFUNCTION("""COMPUTED_VALUE"""),"Máy ủi D60")</f>
        <v>Máy ủi D60</v>
      </c>
      <c r="C2871" s="324" t="str">
        <f>IFERROR(__xludf.DUMMYFUNCTION("""COMPUTED_VALUE"""),"CGTC DP")</f>
        <v>CGTC DP</v>
      </c>
      <c r="D2871" s="324" t="str">
        <f>IFERROR(__xludf.DUMMYFUNCTION("""COMPUTED_VALUE"""),"KOMATSU")</f>
        <v>KOMATSU</v>
      </c>
      <c r="E2871" s="324"/>
      <c r="F2871" s="324">
        <f>IFERROR(__xludf.DUMMYFUNCTION("""COMPUTED_VALUE"""),1996.0)</f>
        <v>1996</v>
      </c>
      <c r="G2871" s="324" t="str">
        <f>IFERROR(__xludf.DUMMYFUNCTION("""COMPUTED_VALUE"""),"D60")</f>
        <v>D60</v>
      </c>
      <c r="H2871" s="324" t="str">
        <f>IFERROR(__xludf.DUMMYFUNCTION("""COMPUTED_VALUE"""),"155HP")</f>
        <v>155HP</v>
      </c>
      <c r="I2871" s="324" t="str">
        <f>IFERROR(__xludf.DUMMYFUNCTION("""COMPUTED_VALUE"""),"80866")</f>
        <v>80866</v>
      </c>
      <c r="J2871" s="324" t="str">
        <f>IFERROR(__xludf.DUMMYFUNCTION("""COMPUTED_VALUE"""),"N/L")</f>
        <v>N/L</v>
      </c>
      <c r="K2871" s="324"/>
      <c r="L2871" s="324" t="str">
        <f>IFERROR(__xludf.DUMMYFUNCTION("""COMPUTED_VALUE"""),"-")</f>
        <v>-</v>
      </c>
    </row>
    <row r="2872">
      <c r="A2872" s="324" t="str">
        <f>IFERROR(__xludf.DUMMYFUNCTION("""COMPUTED_VALUE"""),"TND-MUI-005")</f>
        <v>TND-MUI-005</v>
      </c>
      <c r="B2872" s="478" t="str">
        <f>IFERROR(__xludf.DUMMYFUNCTION("""COMPUTED_VALUE"""),"Máy ủi D60")</f>
        <v>Máy ủi D60</v>
      </c>
      <c r="C2872" s="324" t="str">
        <f>IFERROR(__xludf.DUMMYFUNCTION("""COMPUTED_VALUE"""),"CGTC DP")</f>
        <v>CGTC DP</v>
      </c>
      <c r="D2872" s="324" t="str">
        <f>IFERROR(__xludf.DUMMYFUNCTION("""COMPUTED_VALUE"""),"KOMATSU")</f>
        <v>KOMATSU</v>
      </c>
      <c r="E2872" s="324"/>
      <c r="F2872" s="324">
        <f>IFERROR(__xludf.DUMMYFUNCTION("""COMPUTED_VALUE"""),2000.0)</f>
        <v>2000</v>
      </c>
      <c r="G2872" s="324" t="str">
        <f>IFERROR(__xludf.DUMMYFUNCTION("""COMPUTED_VALUE"""),"D60")</f>
        <v>D60</v>
      </c>
      <c r="H2872" s="324" t="str">
        <f>IFERROR(__xludf.DUMMYFUNCTION("""COMPUTED_VALUE"""),"155HP")</f>
        <v>155HP</v>
      </c>
      <c r="I2872" s="324" t="str">
        <f>IFERROR(__xludf.DUMMYFUNCTION("""COMPUTED_VALUE"""),"80129")</f>
        <v>80129</v>
      </c>
      <c r="J2872" s="324"/>
      <c r="K2872" s="324"/>
      <c r="L2872" s="324" t="str">
        <f>IFERROR(__xludf.DUMMYFUNCTION("""COMPUTED_VALUE"""),"-")</f>
        <v>-</v>
      </c>
    </row>
    <row r="2873">
      <c r="A2873" s="324" t="str">
        <f>IFERROR(__xludf.DUMMYFUNCTION("""COMPUTED_VALUE"""),"TND-MUI-006")</f>
        <v>TND-MUI-006</v>
      </c>
      <c r="B2873" s="478" t="str">
        <f>IFERROR(__xludf.DUMMYFUNCTION("""COMPUTED_VALUE"""),"Máy ủi D60")</f>
        <v>Máy ủi D60</v>
      </c>
      <c r="C2873" s="324" t="str">
        <f>IFERROR(__xludf.DUMMYFUNCTION("""COMPUTED_VALUE"""),"CGTC DP")</f>
        <v>CGTC DP</v>
      </c>
      <c r="D2873" s="324" t="str">
        <f>IFERROR(__xludf.DUMMYFUNCTION("""COMPUTED_VALUE"""),"KOMATSU")</f>
        <v>KOMATSU</v>
      </c>
      <c r="E2873" s="324"/>
      <c r="F2873" s="324">
        <f>IFERROR(__xludf.DUMMYFUNCTION("""COMPUTED_VALUE"""),2000.0)</f>
        <v>2000</v>
      </c>
      <c r="G2873" s="324" t="str">
        <f>IFERROR(__xludf.DUMMYFUNCTION("""COMPUTED_VALUE"""),"D60S6")</f>
        <v>D60S6</v>
      </c>
      <c r="H2873" s="324" t="str">
        <f>IFERROR(__xludf.DUMMYFUNCTION("""COMPUTED_VALUE"""),"155HP")</f>
        <v>155HP</v>
      </c>
      <c r="I2873" s="324" t="str">
        <f>IFERROR(__xludf.DUMMYFUNCTION("""COMPUTED_VALUE"""),"D60S628216")</f>
        <v>D60S628216</v>
      </c>
      <c r="J2873" s="324" t="str">
        <f>IFERROR(__xludf.DUMMYFUNCTION("""COMPUTED_VALUE"""),"USEDBV1100 ZFRVNTT01")</f>
        <v>USEDBV1100 ZFRVNTT01</v>
      </c>
      <c r="K2873" s="324"/>
      <c r="L2873" s="324" t="str">
        <f>IFERROR(__xludf.DUMMYFUNCTION("""COMPUTED_VALUE"""),"-")</f>
        <v>-</v>
      </c>
    </row>
    <row r="2874">
      <c r="A2874" s="324" t="str">
        <f>IFERROR(__xludf.DUMMYFUNCTION("""COMPUTED_VALUE"""),"TND-MUI-007")</f>
        <v>TND-MUI-007</v>
      </c>
      <c r="B2874" s="478" t="str">
        <f>IFERROR(__xludf.DUMMYFUNCTION("""COMPUTED_VALUE"""),"Máy ủi D60")</f>
        <v>Máy ủi D60</v>
      </c>
      <c r="C2874" s="324" t="str">
        <f>IFERROR(__xludf.DUMMYFUNCTION("""COMPUTED_VALUE"""),"CGTC DP")</f>
        <v>CGTC DP</v>
      </c>
      <c r="D2874" s="324" t="str">
        <f>IFERROR(__xludf.DUMMYFUNCTION("""COMPUTED_VALUE"""),"CATERPILLAR")</f>
        <v>CATERPILLAR</v>
      </c>
      <c r="E2874" s="324"/>
      <c r="F2874" s="324">
        <f>IFERROR(__xludf.DUMMYFUNCTION("""COMPUTED_VALUE"""),1991.0)</f>
        <v>1991</v>
      </c>
      <c r="G2874" s="324" t="str">
        <f>IFERROR(__xludf.DUMMYFUNCTION("""COMPUTED_VALUE"""),"D7F")</f>
        <v>D7F</v>
      </c>
      <c r="H2874" s="324" t="str">
        <f>IFERROR(__xludf.DUMMYFUNCTION("""COMPUTED_VALUE"""),"180HP")</f>
        <v>180HP</v>
      </c>
      <c r="I2874" s="324" t="str">
        <f>IFERROR(__xludf.DUMMYFUNCTION("""COMPUTED_VALUE"""),"91E419")</f>
        <v>91E419</v>
      </c>
      <c r="J2874" s="324" t="str">
        <f>IFERROR(__xludf.DUMMYFUNCTION("""COMPUTED_VALUE"""),"MODLSD7F")</f>
        <v>MODLSD7F</v>
      </c>
      <c r="K2874" s="324"/>
      <c r="L2874" s="324" t="str">
        <f>IFERROR(__xludf.DUMMYFUNCTION("""COMPUTED_VALUE"""),"-")</f>
        <v>-</v>
      </c>
    </row>
    <row r="2875">
      <c r="A2875" s="324" t="str">
        <f>IFERROR(__xludf.DUMMYFUNCTION("""COMPUTED_VALUE"""),"TND-MUI-008")</f>
        <v>TND-MUI-008</v>
      </c>
      <c r="B2875" s="478" t="str">
        <f>IFERROR(__xludf.DUMMYFUNCTION("""COMPUTED_VALUE"""),"Máy ủi D68")</f>
        <v>Máy ủi D68</v>
      </c>
      <c r="C2875" s="324" t="str">
        <f>IFERROR(__xludf.DUMMYFUNCTION("""COMPUTED_VALUE"""),"CGTC DP")</f>
        <v>CGTC DP</v>
      </c>
      <c r="D2875" s="324" t="str">
        <f>IFERROR(__xludf.DUMMYFUNCTION("""COMPUTED_VALUE"""),"KOMATSU")</f>
        <v>KOMATSU</v>
      </c>
      <c r="E2875" s="324"/>
      <c r="F2875" s="324">
        <f>IFERROR(__xludf.DUMMYFUNCTION("""COMPUTED_VALUE"""),1996.0)</f>
        <v>1996</v>
      </c>
      <c r="G2875" s="324" t="str">
        <f>IFERROR(__xludf.DUMMYFUNCTION("""COMPUTED_VALUE"""),"D68E")</f>
        <v>D68E</v>
      </c>
      <c r="H2875" s="324" t="str">
        <f>IFERROR(__xludf.DUMMYFUNCTION("""COMPUTED_VALUE"""),"190HP")</f>
        <v>190HP</v>
      </c>
      <c r="I2875" s="324" t="str">
        <f>IFERROR(__xludf.DUMMYFUNCTION("""COMPUTED_VALUE"""),"1308")</f>
        <v>1308</v>
      </c>
      <c r="J2875" s="324" t="str">
        <f>IFERROR(__xludf.DUMMYFUNCTION("""COMPUTED_VALUE"""),"6D12528503")</f>
        <v>6D12528503</v>
      </c>
      <c r="K2875" s="324"/>
      <c r="L2875" s="324" t="str">
        <f>IFERROR(__xludf.DUMMYFUNCTION("""COMPUTED_VALUE"""),"-")</f>
        <v>-</v>
      </c>
    </row>
    <row r="2876">
      <c r="A2876" s="324" t="str">
        <f>IFERROR(__xludf.DUMMYFUNCTION("""COMPUTED_VALUE"""),"TND-MUI-009")</f>
        <v>TND-MUI-009</v>
      </c>
      <c r="B2876" s="478" t="str">
        <f>IFERROR(__xludf.DUMMYFUNCTION("""COMPUTED_VALUE"""),"Máy ủi D60")</f>
        <v>Máy ủi D60</v>
      </c>
      <c r="C2876" s="324" t="str">
        <f>IFERROR(__xludf.DUMMYFUNCTION("""COMPUTED_VALUE"""),"CGTC DP")</f>
        <v>CGTC DP</v>
      </c>
      <c r="D2876" s="324" t="str">
        <f>IFERROR(__xludf.DUMMYFUNCTION("""COMPUTED_VALUE"""),"CRAWLEH")</f>
        <v>CRAWLEH</v>
      </c>
      <c r="E2876" s="324"/>
      <c r="F2876" s="324">
        <f>IFERROR(__xludf.DUMMYFUNCTION("""COMPUTED_VALUE"""),2012.0)</f>
        <v>2012</v>
      </c>
      <c r="G2876" s="324" t="str">
        <f>IFERROR(__xludf.DUMMYFUNCTION("""COMPUTED_VALUE"""),"D60")</f>
        <v>D60</v>
      </c>
      <c r="H2876" s="324" t="str">
        <f>IFERROR(__xludf.DUMMYFUNCTION("""COMPUTED_VALUE"""),"155HP")</f>
        <v>155HP</v>
      </c>
      <c r="I2876" s="324" t="str">
        <f>IFERROR(__xludf.DUMMYFUNCTION("""COMPUTED_VALUE"""),"1062")</f>
        <v>1062</v>
      </c>
      <c r="J2876" s="324" t="str">
        <f>IFERROR(__xludf.DUMMYFUNCTION("""COMPUTED_VALUE"""),"6D1252605")</f>
        <v>6D1252605</v>
      </c>
      <c r="K2876" s="324"/>
      <c r="L2876" s="324" t="str">
        <f>IFERROR(__xludf.DUMMYFUNCTION("""COMPUTED_VALUE"""),"-")</f>
        <v>-</v>
      </c>
    </row>
    <row r="2877">
      <c r="A2877" s="324" t="str">
        <f>IFERROR(__xludf.DUMMYFUNCTION("""COMPUTED_VALUE"""),"TND-MUI-010")</f>
        <v>TND-MUI-010</v>
      </c>
      <c r="B2877" s="478" t="str">
        <f>IFERROR(__xludf.DUMMYFUNCTION("""COMPUTED_VALUE"""),"Máy ủi D83")</f>
        <v>Máy ủi D83</v>
      </c>
      <c r="C2877" s="324" t="str">
        <f>IFERROR(__xludf.DUMMYFUNCTION("""COMPUTED_VALUE"""),"CGTC DP")</f>
        <v>CGTC DP</v>
      </c>
      <c r="D2877" s="324" t="str">
        <f>IFERROR(__xludf.DUMMYFUNCTION("""COMPUTED_VALUE"""),"KOMATSU")</f>
        <v>KOMATSU</v>
      </c>
      <c r="E2877" s="324"/>
      <c r="F2877" s="324">
        <f>IFERROR(__xludf.DUMMYFUNCTION("""COMPUTED_VALUE"""),1992.0)</f>
        <v>1992</v>
      </c>
      <c r="G2877" s="324" t="str">
        <f>IFERROR(__xludf.DUMMYFUNCTION("""COMPUTED_VALUE"""),"D83E")</f>
        <v>D83E</v>
      </c>
      <c r="H2877" s="324" t="str">
        <f>IFERROR(__xludf.DUMMYFUNCTION("""COMPUTED_VALUE"""),"220HP")</f>
        <v>220HP</v>
      </c>
      <c r="I2877" s="324" t="str">
        <f>IFERROR(__xludf.DUMMYFUNCTION("""COMPUTED_VALUE"""),"49X02022")</f>
        <v>49X02022</v>
      </c>
      <c r="J2877" s="324" t="str">
        <f>IFERROR(__xludf.DUMMYFUNCTION("""COMPUTED_VALUE"""),"10208209")</f>
        <v>10208209</v>
      </c>
      <c r="K2877" s="324"/>
      <c r="L2877" s="324" t="str">
        <f>IFERROR(__xludf.DUMMYFUNCTION("""COMPUTED_VALUE"""),"-")</f>
        <v>-</v>
      </c>
    </row>
    <row r="2878">
      <c r="A2878" s="324" t="str">
        <f>IFERROR(__xludf.DUMMYFUNCTION("""COMPUTED_VALUE"""),"TND-MUI-011")</f>
        <v>TND-MUI-011</v>
      </c>
      <c r="B2878" s="478" t="str">
        <f>IFERROR(__xludf.DUMMYFUNCTION("""COMPUTED_VALUE"""),"Máy ủi D5B")</f>
        <v>Máy ủi D5B</v>
      </c>
      <c r="C2878" s="324" t="str">
        <f>IFERROR(__xludf.DUMMYFUNCTION("""COMPUTED_VALUE"""),"CGTC DP")</f>
        <v>CGTC DP</v>
      </c>
      <c r="D2878" s="324" t="str">
        <f>IFERROR(__xludf.DUMMYFUNCTION("""COMPUTED_VALUE"""),"CATERPILLAR")</f>
        <v>CATERPILLAR</v>
      </c>
      <c r="E2878" s="324"/>
      <c r="F2878" s="324">
        <f>IFERROR(__xludf.DUMMYFUNCTION("""COMPUTED_VALUE"""),1985.0)</f>
        <v>1985</v>
      </c>
      <c r="G2878" s="324" t="str">
        <f>IFERROR(__xludf.DUMMYFUNCTION("""COMPUTED_VALUE"""),"D5B")</f>
        <v>D5B</v>
      </c>
      <c r="H2878" s="324" t="str">
        <f>IFERROR(__xludf.DUMMYFUNCTION("""COMPUTED_VALUE"""),"105HP")</f>
        <v>105HP</v>
      </c>
      <c r="I2878" s="324" t="str">
        <f>IFERROR(__xludf.DUMMYFUNCTION("""COMPUTED_VALUE"""),"1211J10532")</f>
        <v>1211J10532</v>
      </c>
      <c r="J2878" s="324" t="str">
        <f>IFERROR(__xludf.DUMMYFUNCTION("""COMPUTED_VALUE"""),"TJ1100225")</f>
        <v>TJ1100225</v>
      </c>
      <c r="K2878" s="324"/>
      <c r="L2878" s="324" t="str">
        <f>IFERROR(__xludf.DUMMYFUNCTION("""COMPUTED_VALUE"""),"-")</f>
        <v>-</v>
      </c>
    </row>
    <row r="2879">
      <c r="A2879" s="324" t="str">
        <f>IFERROR(__xludf.DUMMYFUNCTION("""COMPUTED_VALUE"""),"TND-MUI-012")</f>
        <v>TND-MUI-012</v>
      </c>
      <c r="B2879" s="478" t="str">
        <f>IFERROR(__xludf.DUMMYFUNCTION("""COMPUTED_VALUE"""),"Máy ủi D60")</f>
        <v>Máy ủi D60</v>
      </c>
      <c r="C2879" s="324" t="str">
        <f>IFERROR(__xludf.DUMMYFUNCTION("""COMPUTED_VALUE"""),"CGTC DP")</f>
        <v>CGTC DP</v>
      </c>
      <c r="D2879" s="324" t="str">
        <f>IFERROR(__xludf.DUMMYFUNCTION("""COMPUTED_VALUE"""),"KOMATSU")</f>
        <v>KOMATSU</v>
      </c>
      <c r="E2879" s="324"/>
      <c r="F2879" s="324"/>
      <c r="G2879" s="324" t="str">
        <f>IFERROR(__xludf.DUMMYFUNCTION("""COMPUTED_VALUE"""),"D60")</f>
        <v>D60</v>
      </c>
      <c r="H2879" s="324" t="str">
        <f>IFERROR(__xludf.DUMMYFUNCTION("""COMPUTED_VALUE"""),"155HP")</f>
        <v>155HP</v>
      </c>
      <c r="I2879" s="324"/>
      <c r="J2879" s="324"/>
      <c r="K2879" s="324"/>
      <c r="L2879" s="324" t="str">
        <f>IFERROR(__xludf.DUMMYFUNCTION("""COMPUTED_VALUE"""),"-")</f>
        <v>-</v>
      </c>
    </row>
    <row r="2880">
      <c r="A2880" s="324" t="str">
        <f>IFERROR(__xludf.DUMMYFUNCTION("""COMPUTED_VALUE"""),"TND-MUI-013")</f>
        <v>TND-MUI-013</v>
      </c>
      <c r="B2880" s="478" t="str">
        <f>IFERROR(__xludf.DUMMYFUNCTION("""COMPUTED_VALUE"""),"Máy ủi D21")</f>
        <v>Máy ủi D21</v>
      </c>
      <c r="C2880" s="324" t="str">
        <f>IFERROR(__xludf.DUMMYFUNCTION("""COMPUTED_VALUE"""),"XN Chuối DP1")</f>
        <v>XN Chuối DP1</v>
      </c>
      <c r="D2880" s="324" t="str">
        <f>IFERROR(__xludf.DUMMYFUNCTION("""COMPUTED_VALUE"""),"KOMATSU")</f>
        <v>KOMATSU</v>
      </c>
      <c r="E2880" s="324"/>
      <c r="F2880" s="324"/>
      <c r="G2880" s="324" t="str">
        <f>IFERROR(__xludf.DUMMYFUNCTION("""COMPUTED_VALUE"""),"D21A")</f>
        <v>D21A</v>
      </c>
      <c r="H2880" s="324" t="str">
        <f>IFERROR(__xludf.DUMMYFUNCTION("""COMPUTED_VALUE"""),"40HP")</f>
        <v>40HP</v>
      </c>
      <c r="I2880" s="324" t="str">
        <f>IFERROR(__xludf.DUMMYFUNCTION("""COMPUTED_VALUE"""),"75255")</f>
        <v>75255</v>
      </c>
      <c r="J2880" s="324" t="str">
        <f>IFERROR(__xludf.DUMMYFUNCTION("""COMPUTED_VALUE"""),"135287")</f>
        <v>135287</v>
      </c>
      <c r="K2880" s="324">
        <f>IFERROR(__xludf.DUMMYFUNCTION("""COMPUTED_VALUE"""),4.0)</f>
        <v>4</v>
      </c>
      <c r="L2880" s="324" t="str">
        <f>IFERROR(__xludf.DUMMYFUNCTION("""COMPUTED_VALUE"""),"-")</f>
        <v>-</v>
      </c>
    </row>
    <row r="2881">
      <c r="A2881" s="324" t="str">
        <f>IFERROR(__xludf.DUMMYFUNCTION("""COMPUTED_VALUE"""),"TND-MUI-014")</f>
        <v>TND-MUI-014</v>
      </c>
      <c r="B2881" s="478" t="str">
        <f>IFERROR(__xludf.DUMMYFUNCTION("""COMPUTED_VALUE"""),"Máy ủi D68E")</f>
        <v>Máy ủi D68E</v>
      </c>
      <c r="C2881" s="324" t="str">
        <f>IFERROR(__xludf.DUMMYFUNCTION("""COMPUTED_VALUE"""),"CGTC DP")</f>
        <v>CGTC DP</v>
      </c>
      <c r="D2881" s="324" t="str">
        <f>IFERROR(__xludf.DUMMYFUNCTION("""COMPUTED_VALUE"""),"KOMATSU")</f>
        <v>KOMATSU</v>
      </c>
      <c r="E2881" s="324"/>
      <c r="F2881" s="324">
        <f>IFERROR(__xludf.DUMMYFUNCTION("""COMPUTED_VALUE"""),2000.0)</f>
        <v>2000</v>
      </c>
      <c r="G2881" s="324" t="str">
        <f>IFERROR(__xludf.DUMMYFUNCTION("""COMPUTED_VALUE"""),"D68E-1")</f>
        <v>D68E-1</v>
      </c>
      <c r="H2881" s="324" t="str">
        <f>IFERROR(__xludf.DUMMYFUNCTION("""COMPUTED_VALUE"""),"190HP")</f>
        <v>190HP</v>
      </c>
      <c r="I2881" s="324" t="str">
        <f>IFERROR(__xludf.DUMMYFUNCTION("""COMPUTED_VALUE"""),"8019")</f>
        <v>8019</v>
      </c>
      <c r="J2881" s="324" t="str">
        <f>IFERROR(__xludf.DUMMYFUNCTION("""COMPUTED_VALUE"""),"GD125-1")</f>
        <v>GD125-1</v>
      </c>
      <c r="K2881" s="324">
        <f>IFERROR(__xludf.DUMMYFUNCTION("""COMPUTED_VALUE"""),16.0)</f>
        <v>16</v>
      </c>
      <c r="L2881" s="324" t="str">
        <f>IFERROR(__xludf.DUMMYFUNCTION("""COMPUTED_VALUE"""),"-")</f>
        <v>-</v>
      </c>
    </row>
    <row r="2882">
      <c r="A2882" s="324" t="str">
        <f>IFERROR(__xludf.DUMMYFUNCTION("""COMPUTED_VALUE"""),"TND-MUI-015")</f>
        <v>TND-MUI-015</v>
      </c>
      <c r="B2882" s="478" t="str">
        <f>IFERROR(__xludf.DUMMYFUNCTION("""COMPUTED_VALUE"""),"Máy ủi D60P")</f>
        <v>Máy ủi D60P</v>
      </c>
      <c r="C2882" s="324" t="str">
        <f>IFERROR(__xludf.DUMMYFUNCTION("""COMPUTED_VALUE"""),"CGTC DP")</f>
        <v>CGTC DP</v>
      </c>
      <c r="D2882" s="324" t="str">
        <f>IFERROR(__xludf.DUMMYFUNCTION("""COMPUTED_VALUE"""),"KOMATSU")</f>
        <v>KOMATSU</v>
      </c>
      <c r="E2882" s="324"/>
      <c r="F2882" s="324">
        <f>IFERROR(__xludf.DUMMYFUNCTION("""COMPUTED_VALUE"""),1995.0)</f>
        <v>1995</v>
      </c>
      <c r="G2882" s="324"/>
      <c r="H2882" s="324" t="str">
        <f>IFERROR(__xludf.DUMMYFUNCTION("""COMPUTED_VALUE"""),"165HP")</f>
        <v>165HP</v>
      </c>
      <c r="I2882" s="324" t="str">
        <f>IFERROR(__xludf.DUMMYFUNCTION("""COMPUTED_VALUE"""),"32193")</f>
        <v>32193</v>
      </c>
      <c r="J2882" s="324" t="str">
        <f>IFERROR(__xludf.DUMMYFUNCTION("""COMPUTED_VALUE"""),"2202614")</f>
        <v>2202614</v>
      </c>
      <c r="K2882" s="324">
        <f>IFERROR(__xludf.DUMMYFUNCTION("""COMPUTED_VALUE"""),14.0)</f>
        <v>14</v>
      </c>
      <c r="L2882" s="324" t="str">
        <f>IFERROR(__xludf.DUMMYFUNCTION("""COMPUTED_VALUE"""),"-")</f>
        <v>-</v>
      </c>
    </row>
    <row r="2883">
      <c r="A2883" s="324" t="str">
        <f>IFERROR(__xludf.DUMMYFUNCTION("""COMPUTED_VALUE"""),"TND-MUI-016")</f>
        <v>TND-MUI-016</v>
      </c>
      <c r="B2883" s="478" t="str">
        <f>IFERROR(__xludf.DUMMYFUNCTION("""COMPUTED_VALUE"""),"Máy ủi D65P")</f>
        <v>Máy ủi D65P</v>
      </c>
      <c r="C2883" s="324" t="str">
        <f>IFERROR(__xludf.DUMMYFUNCTION("""COMPUTED_VALUE"""),"CGTC DP")</f>
        <v>CGTC DP</v>
      </c>
      <c r="D2883" s="324" t="str">
        <f>IFERROR(__xludf.DUMMYFUNCTION("""COMPUTED_VALUE"""),"KOMATSU")</f>
        <v>KOMATSU</v>
      </c>
      <c r="E2883" s="324"/>
      <c r="F2883" s="324">
        <f>IFERROR(__xludf.DUMMYFUNCTION("""COMPUTED_VALUE"""),1995.0)</f>
        <v>1995</v>
      </c>
      <c r="G2883" s="324"/>
      <c r="H2883" s="324" t="str">
        <f>IFERROR(__xludf.DUMMYFUNCTION("""COMPUTED_VALUE"""),"180HP")</f>
        <v>180HP</v>
      </c>
      <c r="I2883" s="324" t="str">
        <f>IFERROR(__xludf.DUMMYFUNCTION("""COMPUTED_VALUE"""),"46881")</f>
        <v>46881</v>
      </c>
      <c r="J2883" s="324" t="str">
        <f>IFERROR(__xludf.DUMMYFUNCTION("""COMPUTED_VALUE"""),"6D125-33156")</f>
        <v>6D125-33156</v>
      </c>
      <c r="K2883" s="324">
        <f>IFERROR(__xludf.DUMMYFUNCTION("""COMPUTED_VALUE"""),14.0)</f>
        <v>14</v>
      </c>
      <c r="L2883" s="324" t="str">
        <f>IFERROR(__xludf.DUMMYFUNCTION("""COMPUTED_VALUE"""),"-")</f>
        <v>-</v>
      </c>
    </row>
    <row r="2884">
      <c r="A2884" s="324" t="str">
        <f>IFERROR(__xludf.DUMMYFUNCTION("""COMPUTED_VALUE"""),"TND-MUI-017")</f>
        <v>TND-MUI-017</v>
      </c>
      <c r="B2884" s="478" t="str">
        <f>IFERROR(__xludf.DUMMYFUNCTION("""COMPUTED_VALUE"""),"Máy ủi D60P")</f>
        <v>Máy ủi D60P</v>
      </c>
      <c r="C2884" s="324" t="str">
        <f>IFERROR(__xludf.DUMMYFUNCTION("""COMPUTED_VALUE"""),"CGTC DP")</f>
        <v>CGTC DP</v>
      </c>
      <c r="D2884" s="324" t="str">
        <f>IFERROR(__xludf.DUMMYFUNCTION("""COMPUTED_VALUE"""),"KOMATSU")</f>
        <v>KOMATSU</v>
      </c>
      <c r="E2884" s="324"/>
      <c r="F2884" s="324">
        <f>IFERROR(__xludf.DUMMYFUNCTION("""COMPUTED_VALUE"""),2003.0)</f>
        <v>2003</v>
      </c>
      <c r="G2884" s="324" t="str">
        <f>IFERROR(__xludf.DUMMYFUNCTION("""COMPUTED_VALUE"""),"REV0496E")</f>
        <v>REV0496E</v>
      </c>
      <c r="H2884" s="324" t="str">
        <f>IFERROR(__xludf.DUMMYFUNCTION("""COMPUTED_VALUE"""),"165HP")</f>
        <v>165HP</v>
      </c>
      <c r="I2884" s="324" t="str">
        <f>IFERROR(__xludf.DUMMYFUNCTION("""COMPUTED_VALUE"""),"Mất số khung")</f>
        <v>Mất số khung</v>
      </c>
      <c r="J2884" s="324" t="str">
        <f>IFERROR(__xludf.DUMMYFUNCTION("""COMPUTED_VALUE"""),"3926567")</f>
        <v>3926567</v>
      </c>
      <c r="K2884" s="324">
        <f>IFERROR(__xludf.DUMMYFUNCTION("""COMPUTED_VALUE"""),13.5)</f>
        <v>13.5</v>
      </c>
      <c r="L2884" s="324" t="str">
        <f>IFERROR(__xludf.DUMMYFUNCTION("""COMPUTED_VALUE"""),"-")</f>
        <v>-</v>
      </c>
    </row>
    <row r="2885">
      <c r="A2885" s="324" t="str">
        <f>IFERROR(__xludf.DUMMYFUNCTION("""COMPUTED_VALUE"""),"TND-MUI-018")</f>
        <v>TND-MUI-018</v>
      </c>
      <c r="B2885" s="478" t="str">
        <f>IFERROR(__xludf.DUMMYFUNCTION("""COMPUTED_VALUE"""),"Máy ủi D60P")</f>
        <v>Máy ủi D60P</v>
      </c>
      <c r="C2885" s="324" t="str">
        <f>IFERROR(__xludf.DUMMYFUNCTION("""COMPUTED_VALUE"""),"XN Chuối DP1")</f>
        <v>XN Chuối DP1</v>
      </c>
      <c r="D2885" s="324" t="str">
        <f>IFERROR(__xludf.DUMMYFUNCTION("""COMPUTED_VALUE"""),"KOMATSU")</f>
        <v>KOMATSU</v>
      </c>
      <c r="E2885" s="324" t="str">
        <f>IFERROR(__xludf.DUMMYFUNCTION("""COMPUTED_VALUE"""),"NHẬT BẢN")</f>
        <v>NHẬT BẢN</v>
      </c>
      <c r="F2885" s="324">
        <f>IFERROR(__xludf.DUMMYFUNCTION("""COMPUTED_VALUE"""),2000.0)</f>
        <v>2000</v>
      </c>
      <c r="G2885" s="324" t="str">
        <f>IFERROR(__xludf.DUMMYFUNCTION("""COMPUTED_VALUE"""),"D60P")</f>
        <v>D60P</v>
      </c>
      <c r="H2885" s="324" t="str">
        <f>IFERROR(__xludf.DUMMYFUNCTION("""COMPUTED_VALUE"""),"165HP")</f>
        <v>165HP</v>
      </c>
      <c r="I2885" s="324" t="str">
        <f>IFERROR(__xludf.DUMMYFUNCTION("""COMPUTED_VALUE"""),"D60P-629879")</f>
        <v>D60P-629879</v>
      </c>
      <c r="J2885" s="324" t="str">
        <f>IFERROR(__xludf.DUMMYFUNCTION("""COMPUTED_VALUE"""),"189020")</f>
        <v>189020</v>
      </c>
      <c r="K2885" s="324">
        <f>IFERROR(__xludf.DUMMYFUNCTION("""COMPUTED_VALUE"""),14.0)</f>
        <v>14</v>
      </c>
      <c r="L2885" s="324" t="str">
        <f>IFERROR(__xludf.DUMMYFUNCTION("""COMPUTED_VALUE"""),"-")</f>
        <v>-</v>
      </c>
    </row>
    <row r="2886">
      <c r="A2886" s="324" t="str">
        <f>IFERROR(__xludf.DUMMYFUNCTION("""COMPUTED_VALUE"""),"TND-MUI-019")</f>
        <v>TND-MUI-019</v>
      </c>
      <c r="B2886" s="478" t="str">
        <f>IFERROR(__xludf.DUMMYFUNCTION("""COMPUTED_VALUE"""),"Máy ủi D50")</f>
        <v>Máy ủi D50</v>
      </c>
      <c r="C2886" s="324" t="str">
        <f>IFERROR(__xludf.DUMMYFUNCTION("""COMPUTED_VALUE"""),"CGTC DP")</f>
        <v>CGTC DP</v>
      </c>
      <c r="D2886" s="324" t="str">
        <f>IFERROR(__xludf.DUMMYFUNCTION("""COMPUTED_VALUE"""),"KOMATSU")</f>
        <v>KOMATSU</v>
      </c>
      <c r="E2886" s="324" t="str">
        <f>IFERROR(__xludf.DUMMYFUNCTION("""COMPUTED_VALUE"""),"NHẬT BẢN")</f>
        <v>NHẬT BẢN</v>
      </c>
      <c r="F2886" s="324">
        <f>IFERROR(__xludf.DUMMYFUNCTION("""COMPUTED_VALUE"""),1980.0)</f>
        <v>1980</v>
      </c>
      <c r="G2886" s="324" t="str">
        <f>IFERROR(__xludf.DUMMYFUNCTION("""COMPUTED_VALUE"""),"D50S-16")</f>
        <v>D50S-16</v>
      </c>
      <c r="H2886" s="324" t="str">
        <f>IFERROR(__xludf.DUMMYFUNCTION("""COMPUTED_VALUE"""),"211HP")</f>
        <v>211HP</v>
      </c>
      <c r="I2886" s="324" t="str">
        <f>IFERROR(__xludf.DUMMYFUNCTION("""COMPUTED_VALUE"""),"D50516-65953")</f>
        <v>D50516-65953</v>
      </c>
      <c r="J2886" s="324" t="str">
        <f>IFERROR(__xludf.DUMMYFUNCTION("""COMPUTED_VALUE"""),"4D130-22297")</f>
        <v>4D130-22297</v>
      </c>
      <c r="K2886" s="324">
        <f>IFERROR(__xludf.DUMMYFUNCTION("""COMPUTED_VALUE"""),12.0)</f>
        <v>12</v>
      </c>
      <c r="L2886" s="324" t="str">
        <f>IFERROR(__xludf.DUMMYFUNCTION("""COMPUTED_VALUE"""),"-")</f>
        <v>-</v>
      </c>
    </row>
    <row r="2887">
      <c r="A2887" s="324" t="str">
        <f>IFERROR(__xludf.DUMMYFUNCTION("""COMPUTED_VALUE"""),"TND-MUI-020")</f>
        <v>TND-MUI-020</v>
      </c>
      <c r="B2887" s="478" t="str">
        <f>IFERROR(__xludf.DUMMYFUNCTION("""COMPUTED_VALUE"""),"Máy ủi D41E")</f>
        <v>Máy ủi D41E</v>
      </c>
      <c r="C2887" s="324" t="str">
        <f>IFERROR(__xludf.DUMMYFUNCTION("""COMPUTED_VALUE"""),"CGTC DP")</f>
        <v>CGTC DP</v>
      </c>
      <c r="D2887" s="324" t="str">
        <f>IFERROR(__xludf.DUMMYFUNCTION("""COMPUTED_VALUE"""),"KOMATSU")</f>
        <v>KOMATSU</v>
      </c>
      <c r="E2887" s="324" t="str">
        <f>IFERROR(__xludf.DUMMYFUNCTION("""COMPUTED_VALUE"""),"NHẬT BẢN")</f>
        <v>NHẬT BẢN</v>
      </c>
      <c r="F2887" s="324">
        <f>IFERROR(__xludf.DUMMYFUNCTION("""COMPUTED_VALUE"""),2014.0)</f>
        <v>2014</v>
      </c>
      <c r="G2887" s="324" t="str">
        <f>IFERROR(__xludf.DUMMYFUNCTION("""COMPUTED_VALUE"""),"D41E")</f>
        <v>D41E</v>
      </c>
      <c r="H2887" s="324" t="str">
        <f>IFERROR(__xludf.DUMMYFUNCTION("""COMPUTED_VALUE"""),"130HP")</f>
        <v>130HP</v>
      </c>
      <c r="I2887" s="324" t="str">
        <f>IFERROR(__xludf.DUMMYFUNCTION("""COMPUTED_VALUE"""),"B20830")</f>
        <v>B20830</v>
      </c>
      <c r="J2887" s="324" t="str">
        <f>IFERROR(__xludf.DUMMYFUNCTION("""COMPUTED_VALUE"""),"30722205")</f>
        <v>30722205</v>
      </c>
      <c r="K2887" s="324">
        <f>IFERROR(__xludf.DUMMYFUNCTION("""COMPUTED_VALUE"""),11.5)</f>
        <v>11.5</v>
      </c>
      <c r="L2887" s="324" t="str">
        <f>IFERROR(__xludf.DUMMYFUNCTION("""COMPUTED_VALUE"""),"-")</f>
        <v>-</v>
      </c>
    </row>
    <row r="2888">
      <c r="A2888" s="324" t="str">
        <f>IFERROR(__xludf.DUMMYFUNCTION("""COMPUTED_VALUE"""),"TND-MUI-021")</f>
        <v>TND-MUI-021</v>
      </c>
      <c r="B2888" s="478" t="str">
        <f>IFERROR(__xludf.DUMMYFUNCTION("""COMPUTED_VALUE"""),"Máy ủi D60P")</f>
        <v>Máy ủi D60P</v>
      </c>
      <c r="C2888" s="324" t="str">
        <f>IFERROR(__xludf.DUMMYFUNCTION("""COMPUTED_VALUE"""),"CGTC DP")</f>
        <v>CGTC DP</v>
      </c>
      <c r="D2888" s="324" t="str">
        <f>IFERROR(__xludf.DUMMYFUNCTION("""COMPUTED_VALUE"""),"KOMATSU")</f>
        <v>KOMATSU</v>
      </c>
      <c r="E2888" s="324" t="str">
        <f>IFERROR(__xludf.DUMMYFUNCTION("""COMPUTED_VALUE"""),"NHẬT BẢN")</f>
        <v>NHẬT BẢN</v>
      </c>
      <c r="F2888" s="324">
        <f>IFERROR(__xludf.DUMMYFUNCTION("""COMPUTED_VALUE"""),2007.0)</f>
        <v>2007</v>
      </c>
      <c r="G2888" s="324" t="str">
        <f>IFERROR(__xludf.DUMMYFUNCTION("""COMPUTED_VALUE"""),"D60P")</f>
        <v>D60P</v>
      </c>
      <c r="H2888" s="324" t="str">
        <f>IFERROR(__xludf.DUMMYFUNCTION("""COMPUTED_VALUE"""),"130HP")</f>
        <v>130HP</v>
      </c>
      <c r="I2888" s="324" t="str">
        <f>IFERROR(__xludf.DUMMYFUNCTION("""COMPUTED_VALUE"""),"P632193")</f>
        <v>P632193</v>
      </c>
      <c r="J2888" s="324" t="str">
        <f>IFERROR(__xludf.DUMMYFUNCTION("""COMPUTED_VALUE"""),"NH220061")</f>
        <v>NH220061</v>
      </c>
      <c r="K2888" s="324">
        <f>IFERROR(__xludf.DUMMYFUNCTION("""COMPUTED_VALUE"""),12.0)</f>
        <v>12</v>
      </c>
      <c r="L2888" s="324" t="str">
        <f>IFERROR(__xludf.DUMMYFUNCTION("""COMPUTED_VALUE"""),"-")</f>
        <v>-</v>
      </c>
    </row>
    <row r="2889">
      <c r="A2889" s="324" t="str">
        <f>IFERROR(__xludf.DUMMYFUNCTION("""COMPUTED_VALUE"""),"TND-MUI-022")</f>
        <v>TND-MUI-022</v>
      </c>
      <c r="B2889" s="478" t="str">
        <f>IFERROR(__xludf.DUMMYFUNCTION("""COMPUTED_VALUE"""),"Máy ủi D20")</f>
        <v>Máy ủi D20</v>
      </c>
      <c r="C2889" s="324" t="str">
        <f>IFERROR(__xludf.DUMMYFUNCTION("""COMPUTED_VALUE"""),"XN Chuối DP1")</f>
        <v>XN Chuối DP1</v>
      </c>
      <c r="D2889" s="324" t="str">
        <f>IFERROR(__xludf.DUMMYFUNCTION("""COMPUTED_VALUE"""),"MISUBISHI")</f>
        <v>MISUBISHI</v>
      </c>
      <c r="E2889" s="324" t="str">
        <f>IFERROR(__xludf.DUMMYFUNCTION("""COMPUTED_VALUE"""),"NHẬT BẢN")</f>
        <v>NHẬT BẢN</v>
      </c>
      <c r="F2889" s="324">
        <f>IFERROR(__xludf.DUMMYFUNCTION("""COMPUTED_VALUE"""),2011.0)</f>
        <v>2011</v>
      </c>
      <c r="G2889" s="324" t="str">
        <f>IFERROR(__xludf.DUMMYFUNCTION("""COMPUTED_VALUE"""),"D20")</f>
        <v>D20</v>
      </c>
      <c r="H2889" s="324" t="str">
        <f>IFERROR(__xludf.DUMMYFUNCTION("""COMPUTED_VALUE"""),"30HP")</f>
        <v>30HP</v>
      </c>
      <c r="I2889" s="324" t="str">
        <f>IFERROR(__xludf.DUMMYFUNCTION("""COMPUTED_VALUE"""),"1B101876")</f>
        <v>1B101876</v>
      </c>
      <c r="J2889" s="324" t="str">
        <f>IFERROR(__xludf.DUMMYFUNCTION("""COMPUTED_VALUE"""),"38145")</f>
        <v>38145</v>
      </c>
      <c r="K2889" s="324">
        <f>IFERROR(__xludf.DUMMYFUNCTION("""COMPUTED_VALUE"""),3.5)</f>
        <v>3.5</v>
      </c>
      <c r="L2889" s="324" t="str">
        <f>IFERROR(__xludf.DUMMYFUNCTION("""COMPUTED_VALUE"""),"-")</f>
        <v>-</v>
      </c>
    </row>
    <row r="2890">
      <c r="A2890" s="324" t="str">
        <f>IFERROR(__xludf.DUMMYFUNCTION("""COMPUTED_VALUE"""),"TND-MUI-023")</f>
        <v>TND-MUI-023</v>
      </c>
      <c r="B2890" s="478" t="str">
        <f>IFERROR(__xludf.DUMMYFUNCTION("""COMPUTED_VALUE"""),"Máy ủi D20")</f>
        <v>Máy ủi D20</v>
      </c>
      <c r="C2890" s="324" t="str">
        <f>IFERROR(__xludf.DUMMYFUNCTION("""COMPUTED_VALUE"""),"XN Chuối DP1")</f>
        <v>XN Chuối DP1</v>
      </c>
      <c r="D2890" s="324" t="str">
        <f>IFERROR(__xludf.DUMMYFUNCTION("""COMPUTED_VALUE"""),"MITSUBISHI")</f>
        <v>MITSUBISHI</v>
      </c>
      <c r="E2890" s="324" t="str">
        <f>IFERROR(__xludf.DUMMYFUNCTION("""COMPUTED_VALUE"""),"NHẬT BẢN")</f>
        <v>NHẬT BẢN</v>
      </c>
      <c r="F2890" s="324">
        <f>IFERROR(__xludf.DUMMYFUNCTION("""COMPUTED_VALUE"""),2010.0)</f>
        <v>2010</v>
      </c>
      <c r="G2890" s="324" t="str">
        <f>IFERROR(__xludf.DUMMYFUNCTION("""COMPUTED_VALUE"""),"BD2G")</f>
        <v>BD2G</v>
      </c>
      <c r="H2890" s="324" t="str">
        <f>IFERROR(__xludf.DUMMYFUNCTION("""COMPUTED_VALUE"""),"40HP")</f>
        <v>40HP</v>
      </c>
      <c r="I2890" s="324" t="str">
        <f>IFERROR(__xludf.DUMMYFUNCTION("""COMPUTED_VALUE"""),"2B601109")</f>
        <v>2B601109</v>
      </c>
      <c r="J2890" s="324" t="str">
        <f>IFERROR(__xludf.DUMMYFUNCTION("""COMPUTED_VALUE"""),"S4E046101")</f>
        <v>S4E046101</v>
      </c>
      <c r="K2890" s="324">
        <f>IFERROR(__xludf.DUMMYFUNCTION("""COMPUTED_VALUE"""),3.8)</f>
        <v>3.8</v>
      </c>
      <c r="L2890" s="324" t="str">
        <f>IFERROR(__xludf.DUMMYFUNCTION("""COMPUTED_VALUE"""),"-")</f>
        <v>-</v>
      </c>
    </row>
    <row r="2891">
      <c r="A2891" s="324" t="str">
        <f>IFERROR(__xludf.DUMMYFUNCTION("""COMPUTED_VALUE"""),"TND-MUI-024")</f>
        <v>TND-MUI-024</v>
      </c>
      <c r="B2891" s="478" t="str">
        <f>IFERROR(__xludf.DUMMYFUNCTION("""COMPUTED_VALUE"""),"Máy ủi D41E")</f>
        <v>Máy ủi D41E</v>
      </c>
      <c r="C2891" s="324" t="str">
        <f>IFERROR(__xludf.DUMMYFUNCTION("""COMPUTED_VALUE"""),"CGTC DP")</f>
        <v>CGTC DP</v>
      </c>
      <c r="D2891" s="324" t="str">
        <f>IFERROR(__xludf.DUMMYFUNCTION("""COMPUTED_VALUE"""),"KOMATSU")</f>
        <v>KOMATSU</v>
      </c>
      <c r="E2891" s="324" t="str">
        <f>IFERROR(__xludf.DUMMYFUNCTION("""COMPUTED_VALUE"""),"NHẬT BẢN")</f>
        <v>NHẬT BẢN</v>
      </c>
      <c r="F2891" s="324">
        <f>IFERROR(__xludf.DUMMYFUNCTION("""COMPUTED_VALUE"""),1996.0)</f>
        <v>1996</v>
      </c>
      <c r="G2891" s="324" t="str">
        <f>IFERROR(__xludf.DUMMYFUNCTION("""COMPUTED_VALUE"""),"D41P-6")</f>
        <v>D41P-6</v>
      </c>
      <c r="H2891" s="324" t="str">
        <f>IFERROR(__xludf.DUMMYFUNCTION("""COMPUTED_VALUE"""),"80HP")</f>
        <v>80HP</v>
      </c>
      <c r="I2891" s="324" t="str">
        <f>IFERROR(__xludf.DUMMYFUNCTION("""COMPUTED_VALUE"""),"B20033")</f>
        <v>B20033</v>
      </c>
      <c r="J2891" s="324" t="str">
        <f>IFERROR(__xludf.DUMMYFUNCTION("""COMPUTED_VALUE"""),"30711405")</f>
        <v>30711405</v>
      </c>
      <c r="K2891" s="324">
        <f>IFERROR(__xludf.DUMMYFUNCTION("""COMPUTED_VALUE"""),11.0)</f>
        <v>11</v>
      </c>
      <c r="L2891" s="324" t="str">
        <f>IFERROR(__xludf.DUMMYFUNCTION("""COMPUTED_VALUE"""),"Đang thuê")</f>
        <v>Đang thuê</v>
      </c>
    </row>
    <row r="2892">
      <c r="A2892" s="324" t="str">
        <f>IFERROR(__xludf.DUMMYFUNCTION("""COMPUTED_VALUE"""),"TND-MUI-025")</f>
        <v>TND-MUI-025</v>
      </c>
      <c r="B2892" s="478" t="str">
        <f>IFERROR(__xludf.DUMMYFUNCTION("""COMPUTED_VALUE"""),"Máy ủi D31")</f>
        <v>Máy ủi D31</v>
      </c>
      <c r="C2892" s="324" t="str">
        <f>IFERROR(__xludf.DUMMYFUNCTION("""COMPUTED_VALUE"""),"CGTC DP")</f>
        <v>CGTC DP</v>
      </c>
      <c r="D2892" s="324" t="str">
        <f>IFERROR(__xludf.DUMMYFUNCTION("""COMPUTED_VALUE"""),"KOMATSU")</f>
        <v>KOMATSU</v>
      </c>
      <c r="E2892" s="324"/>
      <c r="F2892" s="324">
        <f>IFERROR(__xludf.DUMMYFUNCTION("""COMPUTED_VALUE"""),1987.0)</f>
        <v>1987</v>
      </c>
      <c r="G2892" s="324"/>
      <c r="H2892" s="324" t="str">
        <f>IFERROR(__xludf.DUMMYFUNCTION("""COMPUTED_VALUE"""),"70HP")</f>
        <v>70HP</v>
      </c>
      <c r="I2892" s="324" t="str">
        <f>IFERROR(__xludf.DUMMYFUNCTION("""COMPUTED_VALUE"""),"D31E1840338")</f>
        <v>D31E1840338</v>
      </c>
      <c r="J2892" s="324"/>
      <c r="K2892" s="324">
        <f>IFERROR(__xludf.DUMMYFUNCTION("""COMPUTED_VALUE"""),8.5)</f>
        <v>8.5</v>
      </c>
      <c r="L2892" s="324" t="str">
        <f>IFERROR(__xludf.DUMMYFUNCTION("""COMPUTED_VALUE"""),"-")</f>
        <v>-</v>
      </c>
    </row>
    <row r="2893">
      <c r="A2893" s="324" t="str">
        <f>IFERROR(__xludf.DUMMYFUNCTION("""COMPUTED_VALUE"""),"TND-MUI-026")</f>
        <v>TND-MUI-026</v>
      </c>
      <c r="B2893" s="478" t="str">
        <f>IFERROR(__xludf.DUMMYFUNCTION("""COMPUTED_VALUE"""),"Máy ủi D60")</f>
        <v>Máy ủi D60</v>
      </c>
      <c r="C2893" s="324" t="str">
        <f>IFERROR(__xludf.DUMMYFUNCTION("""COMPUTED_VALUE"""),"CGTC DP")</f>
        <v>CGTC DP</v>
      </c>
      <c r="D2893" s="324" t="str">
        <f>IFERROR(__xludf.DUMMYFUNCTION("""COMPUTED_VALUE"""),"KOMATSU")</f>
        <v>KOMATSU</v>
      </c>
      <c r="E2893" s="324"/>
      <c r="F2893" s="324">
        <f>IFERROR(__xludf.DUMMYFUNCTION("""COMPUTED_VALUE"""),1995.0)</f>
        <v>1995</v>
      </c>
      <c r="G2893" s="324" t="str">
        <f>IFERROR(__xludf.DUMMYFUNCTION("""COMPUTED_VALUE"""),"D60P-11")</f>
        <v>D60P-11</v>
      </c>
      <c r="H2893" s="324" t="str">
        <f>IFERROR(__xludf.DUMMYFUNCTION("""COMPUTED_VALUE"""),"170HP")</f>
        <v>170HP</v>
      </c>
      <c r="I2893" s="324" t="str">
        <f>IFERROR(__xludf.DUMMYFUNCTION("""COMPUTED_VALUE"""),"50365")</f>
        <v>50365</v>
      </c>
      <c r="J2893" s="324" t="str">
        <f>IFERROR(__xludf.DUMMYFUNCTION("""COMPUTED_VALUE"""),"31085")</f>
        <v>31085</v>
      </c>
      <c r="K2893" s="324">
        <f>IFERROR(__xludf.DUMMYFUNCTION("""COMPUTED_VALUE"""),12.5)</f>
        <v>12.5</v>
      </c>
      <c r="L2893" s="324" t="str">
        <f>IFERROR(__xludf.DUMMYFUNCTION("""COMPUTED_VALUE"""),"-")</f>
        <v>-</v>
      </c>
    </row>
    <row r="2894">
      <c r="A2894" s="324" t="str">
        <f>IFERROR(__xludf.DUMMYFUNCTION("""COMPUTED_VALUE"""),"TND-MUI-027")</f>
        <v>TND-MUI-027</v>
      </c>
      <c r="B2894" s="478" t="str">
        <f>IFERROR(__xludf.DUMMYFUNCTION("""COMPUTED_VALUE"""),"Máy ủi D60")</f>
        <v>Máy ủi D60</v>
      </c>
      <c r="C2894" s="324" t="str">
        <f>IFERROR(__xludf.DUMMYFUNCTION("""COMPUTED_VALUE"""),"CGTC DP")</f>
        <v>CGTC DP</v>
      </c>
      <c r="D2894" s="324" t="str">
        <f>IFERROR(__xludf.DUMMYFUNCTION("""COMPUTED_VALUE"""),"KOMATSU")</f>
        <v>KOMATSU</v>
      </c>
      <c r="E2894" s="324"/>
      <c r="F2894" s="324"/>
      <c r="G2894" s="324" t="str">
        <f>IFERROR(__xludf.DUMMYFUNCTION("""COMPUTED_VALUE"""),"D60P")</f>
        <v>D60P</v>
      </c>
      <c r="H2894" s="324" t="str">
        <f>IFERROR(__xludf.DUMMYFUNCTION("""COMPUTED_VALUE"""),"170HP")</f>
        <v>170HP</v>
      </c>
      <c r="I2894" s="324" t="str">
        <f>IFERROR(__xludf.DUMMYFUNCTION("""COMPUTED_VALUE"""),"D60P-34461")</f>
        <v>D60P-34461</v>
      </c>
      <c r="J2894" s="324" t="str">
        <f>IFERROR(__xludf.DUMMYFUNCTION("""COMPUTED_VALUE"""),"26158751")</f>
        <v>26158751</v>
      </c>
      <c r="K2894" s="324">
        <f>IFERROR(__xludf.DUMMYFUNCTION("""COMPUTED_VALUE"""),12.6)</f>
        <v>12.6</v>
      </c>
      <c r="L2894" s="324" t="str">
        <f>IFERROR(__xludf.DUMMYFUNCTION("""COMPUTED_VALUE"""),"-")</f>
        <v>-</v>
      </c>
    </row>
    <row r="2895">
      <c r="A2895" s="324" t="str">
        <f>IFERROR(__xludf.DUMMYFUNCTION("""COMPUTED_VALUE"""),"TND-MUI-028")</f>
        <v>TND-MUI-028</v>
      </c>
      <c r="B2895" s="478" t="str">
        <f>IFERROR(__xludf.DUMMYFUNCTION("""COMPUTED_VALUE"""),"Máy ủi D60")</f>
        <v>Máy ủi D60</v>
      </c>
      <c r="C2895" s="324" t="str">
        <f>IFERROR(__xludf.DUMMYFUNCTION("""COMPUTED_VALUE"""),"CGTC DP")</f>
        <v>CGTC DP</v>
      </c>
      <c r="D2895" s="324" t="str">
        <f>IFERROR(__xludf.DUMMYFUNCTION("""COMPUTED_VALUE"""),"KOMATSU")</f>
        <v>KOMATSU</v>
      </c>
      <c r="E2895" s="324"/>
      <c r="F2895" s="324"/>
      <c r="G2895" s="324" t="str">
        <f>IFERROR(__xludf.DUMMYFUNCTION("""COMPUTED_VALUE"""),"D60P")</f>
        <v>D60P</v>
      </c>
      <c r="H2895" s="324" t="str">
        <f>IFERROR(__xludf.DUMMYFUNCTION("""COMPUTED_VALUE"""),"170HP")</f>
        <v>170HP</v>
      </c>
      <c r="I2895" s="324" t="str">
        <f>IFERROR(__xludf.DUMMYFUNCTION("""COMPUTED_VALUE"""),"D60P-629897")</f>
        <v>D60P-629897</v>
      </c>
      <c r="J2895" s="324" t="str">
        <f>IFERROR(__xludf.DUMMYFUNCTION("""COMPUTED_VALUE"""),"NH22026173614")</f>
        <v>NH22026173614</v>
      </c>
      <c r="K2895" s="324">
        <f>IFERROR(__xludf.DUMMYFUNCTION("""COMPUTED_VALUE"""),14.0)</f>
        <v>14</v>
      </c>
      <c r="L2895" s="324" t="str">
        <f>IFERROR(__xludf.DUMMYFUNCTION("""COMPUTED_VALUE"""),"-")</f>
        <v>-</v>
      </c>
    </row>
    <row r="2896">
      <c r="A2896" s="324" t="str">
        <f>IFERROR(__xludf.DUMMYFUNCTION("""COMPUTED_VALUE"""),"TND-MUI-029")</f>
        <v>TND-MUI-029</v>
      </c>
      <c r="B2896" s="478" t="str">
        <f>IFERROR(__xludf.DUMMYFUNCTION("""COMPUTED_VALUE"""),"Máy ủi D60")</f>
        <v>Máy ủi D60</v>
      </c>
      <c r="C2896" s="324" t="str">
        <f>IFERROR(__xludf.DUMMYFUNCTION("""COMPUTED_VALUE"""),"CGTC DP")</f>
        <v>CGTC DP</v>
      </c>
      <c r="D2896" s="324" t="str">
        <f>IFERROR(__xludf.DUMMYFUNCTION("""COMPUTED_VALUE"""),"KOMATSU")</f>
        <v>KOMATSU</v>
      </c>
      <c r="E2896" s="324"/>
      <c r="F2896" s="324">
        <f>IFERROR(__xludf.DUMMYFUNCTION("""COMPUTED_VALUE"""),1993.0)</f>
        <v>1993</v>
      </c>
      <c r="G2896" s="324" t="str">
        <f>IFERROR(__xludf.DUMMYFUNCTION("""COMPUTED_VALUE"""),"D60P")</f>
        <v>D60P</v>
      </c>
      <c r="H2896" s="324" t="str">
        <f>IFERROR(__xludf.DUMMYFUNCTION("""COMPUTED_VALUE"""),"170HP")</f>
        <v>170HP</v>
      </c>
      <c r="I2896" s="324" t="str">
        <f>IFERROR(__xludf.DUMMYFUNCTION("""COMPUTED_VALUE"""),"40118")</f>
        <v>40118</v>
      </c>
      <c r="J2896" s="324" t="str">
        <f>IFERROR(__xludf.DUMMYFUNCTION("""COMPUTED_VALUE"""),"26178614")</f>
        <v>26178614</v>
      </c>
      <c r="K2896" s="324">
        <f>IFERROR(__xludf.DUMMYFUNCTION("""COMPUTED_VALUE"""),13.5)</f>
        <v>13.5</v>
      </c>
      <c r="L2896" s="324" t="str">
        <f>IFERROR(__xludf.DUMMYFUNCTION("""COMPUTED_VALUE"""),"-")</f>
        <v>-</v>
      </c>
    </row>
    <row r="2897">
      <c r="A2897" s="324" t="str">
        <f>IFERROR(__xludf.DUMMYFUNCTION("""COMPUTED_VALUE"""),"TND-MUI-030")</f>
        <v>TND-MUI-030</v>
      </c>
      <c r="B2897" s="478" t="str">
        <f>IFERROR(__xludf.DUMMYFUNCTION("""COMPUTED_VALUE"""),"Máy ủi D60")</f>
        <v>Máy ủi D60</v>
      </c>
      <c r="C2897" s="324" t="str">
        <f>IFERROR(__xludf.DUMMYFUNCTION("""COMPUTED_VALUE"""),"CGTC DP")</f>
        <v>CGTC DP</v>
      </c>
      <c r="D2897" s="324" t="str">
        <f>IFERROR(__xludf.DUMMYFUNCTION("""COMPUTED_VALUE"""),"KOMATSU")</f>
        <v>KOMATSU</v>
      </c>
      <c r="E2897" s="324"/>
      <c r="F2897" s="324"/>
      <c r="G2897" s="324" t="str">
        <f>IFERROR(__xludf.DUMMYFUNCTION("""COMPUTED_VALUE"""),"D60P-6")</f>
        <v>D60P-6</v>
      </c>
      <c r="H2897" s="324" t="str">
        <f>IFERROR(__xludf.DUMMYFUNCTION("""COMPUTED_VALUE"""),"170HP")</f>
        <v>170HP</v>
      </c>
      <c r="I2897" s="324" t="str">
        <f>IFERROR(__xludf.DUMMYFUNCTION("""COMPUTED_VALUE"""),"28595")</f>
        <v>28595</v>
      </c>
      <c r="J2897" s="324" t="str">
        <f>IFERROR(__xludf.DUMMYFUNCTION("""COMPUTED_VALUE"""),"2610756")</f>
        <v>2610756</v>
      </c>
      <c r="K2897" s="324">
        <f>IFERROR(__xludf.DUMMYFUNCTION("""COMPUTED_VALUE"""),13.0)</f>
        <v>13</v>
      </c>
      <c r="L2897" s="324" t="str">
        <f>IFERROR(__xludf.DUMMYFUNCTION("""COMPUTED_VALUE"""),"Đang thuê")</f>
        <v>Đang thuê</v>
      </c>
    </row>
    <row r="2898">
      <c r="A2898" s="324" t="str">
        <f>IFERROR(__xludf.DUMMYFUNCTION("""COMPUTED_VALUE"""),"TND-MUI-031")</f>
        <v>TND-MUI-031</v>
      </c>
      <c r="B2898" s="478" t="str">
        <f>IFERROR(__xludf.DUMMYFUNCTION("""COMPUTED_VALUE"""),"Máy ủi D21")</f>
        <v>Máy ủi D21</v>
      </c>
      <c r="C2898" s="324" t="str">
        <f>IFERROR(__xludf.DUMMYFUNCTION("""COMPUTED_VALUE"""),"XN Chuối DP3")</f>
        <v>XN Chuối DP3</v>
      </c>
      <c r="D2898" s="324" t="str">
        <f>IFERROR(__xludf.DUMMYFUNCTION("""COMPUTED_VALUE"""),"KOMATSU")</f>
        <v>KOMATSU</v>
      </c>
      <c r="E2898" s="324" t="str">
        <f>IFERROR(__xludf.DUMMYFUNCTION("""COMPUTED_VALUE"""),"NHẬT BẢN")</f>
        <v>NHẬT BẢN</v>
      </c>
      <c r="F2898" s="324">
        <f>IFERROR(__xludf.DUMMYFUNCTION("""COMPUTED_VALUE"""),2000.0)</f>
        <v>2000</v>
      </c>
      <c r="G2898" s="324" t="str">
        <f>IFERROR(__xludf.DUMMYFUNCTION("""COMPUTED_VALUE"""),"D21P-5")</f>
        <v>D21P-5</v>
      </c>
      <c r="H2898" s="324" t="str">
        <f>IFERROR(__xludf.DUMMYFUNCTION("""COMPUTED_VALUE"""),"38HP")</f>
        <v>38HP</v>
      </c>
      <c r="I2898" s="324" t="str">
        <f>IFERROR(__xludf.DUMMYFUNCTION("""COMPUTED_VALUE"""),"D205-58087")</f>
        <v>D205-58087</v>
      </c>
      <c r="J2898" s="324" t="str">
        <f>IFERROR(__xludf.DUMMYFUNCTION("""COMPUTED_VALUE"""),"4D94-2-66791")</f>
        <v>4D94-2-66791</v>
      </c>
      <c r="K2898" s="324">
        <f>IFERROR(__xludf.DUMMYFUNCTION("""COMPUTED_VALUE"""),4.5)</f>
        <v>4.5</v>
      </c>
      <c r="L2898" s="324" t="str">
        <f>IFERROR(__xludf.DUMMYFUNCTION("""COMPUTED_VALUE"""),"-")</f>
        <v>-</v>
      </c>
    </row>
    <row r="2899">
      <c r="A2899" s="324" t="str">
        <f>IFERROR(__xludf.DUMMYFUNCTION("""COMPUTED_VALUE"""),"TND-MUI-032")</f>
        <v>TND-MUI-032</v>
      </c>
      <c r="B2899" s="478" t="str">
        <f>IFERROR(__xludf.DUMMYFUNCTION("""COMPUTED_VALUE"""),"Máy ủi D21")</f>
        <v>Máy ủi D21</v>
      </c>
      <c r="C2899" s="324" t="str">
        <f>IFERROR(__xludf.DUMMYFUNCTION("""COMPUTED_VALUE"""),"CGTC DP")</f>
        <v>CGTC DP</v>
      </c>
      <c r="D2899" s="324" t="str">
        <f>IFERROR(__xludf.DUMMYFUNCTION("""COMPUTED_VALUE"""),"KOMATSU")</f>
        <v>KOMATSU</v>
      </c>
      <c r="E2899" s="324" t="str">
        <f>IFERROR(__xludf.DUMMYFUNCTION("""COMPUTED_VALUE"""),"NHẬT BẢN")</f>
        <v>NHẬT BẢN</v>
      </c>
      <c r="F2899" s="324">
        <f>IFERROR(__xludf.DUMMYFUNCTION("""COMPUTED_VALUE"""),2000.0)</f>
        <v>2000</v>
      </c>
      <c r="G2899" s="324" t="str">
        <f>IFERROR(__xludf.DUMMYFUNCTION("""COMPUTED_VALUE"""),"D21P-5")</f>
        <v>D21P-5</v>
      </c>
      <c r="H2899" s="324" t="str">
        <f>IFERROR(__xludf.DUMMYFUNCTION("""COMPUTED_VALUE"""),"38HP")</f>
        <v>38HP</v>
      </c>
      <c r="I2899" s="324" t="str">
        <f>IFERROR(__xludf.DUMMYFUNCTION("""COMPUTED_VALUE"""),"D205-58087")</f>
        <v>D205-58087</v>
      </c>
      <c r="J2899" s="324" t="str">
        <f>IFERROR(__xludf.DUMMYFUNCTION("""COMPUTED_VALUE"""),"4D94-2-66791")</f>
        <v>4D94-2-66791</v>
      </c>
      <c r="K2899" s="324">
        <f>IFERROR(__xludf.DUMMYFUNCTION("""COMPUTED_VALUE"""),4.5)</f>
        <v>4.5</v>
      </c>
      <c r="L2899" s="324" t="str">
        <f>IFERROR(__xludf.DUMMYFUNCTION("""COMPUTED_VALUE"""),"-")</f>
        <v>-</v>
      </c>
    </row>
    <row r="2900">
      <c r="A2900" s="324" t="str">
        <f>IFERROR(__xludf.DUMMYFUNCTION("""COMPUTED_VALUE"""),"TND-MUI-033")</f>
        <v>TND-MUI-033</v>
      </c>
      <c r="B2900" s="478" t="str">
        <f>IFERROR(__xludf.DUMMYFUNCTION("""COMPUTED_VALUE"""),"Máy ủi D20")</f>
        <v>Máy ủi D20</v>
      </c>
      <c r="C2900" s="324" t="str">
        <f>IFERROR(__xludf.DUMMYFUNCTION("""COMPUTED_VALUE"""),"XN Chuối DP2")</f>
        <v>XN Chuối DP2</v>
      </c>
      <c r="D2900" s="324" t="str">
        <f>IFERROR(__xludf.DUMMYFUNCTION("""COMPUTED_VALUE"""),"MISUBISHI")</f>
        <v>MISUBISHI</v>
      </c>
      <c r="E2900" s="324" t="str">
        <f>IFERROR(__xludf.DUMMYFUNCTION("""COMPUTED_VALUE"""),"NHẬT BẢN")</f>
        <v>NHẬT BẢN</v>
      </c>
      <c r="F2900" s="324">
        <f>IFERROR(__xludf.DUMMYFUNCTION("""COMPUTED_VALUE"""),2011.0)</f>
        <v>2011</v>
      </c>
      <c r="G2900" s="324" t="str">
        <f>IFERROR(__xludf.DUMMYFUNCTION("""COMPUTED_VALUE"""),"D20")</f>
        <v>D20</v>
      </c>
      <c r="H2900" s="324" t="str">
        <f>IFERROR(__xludf.DUMMYFUNCTION("""COMPUTED_VALUE"""),"30HP")</f>
        <v>30HP</v>
      </c>
      <c r="I2900" s="324" t="str">
        <f>IFERROR(__xludf.DUMMYFUNCTION("""COMPUTED_VALUE"""),"1B101876")</f>
        <v>1B101876</v>
      </c>
      <c r="J2900" s="324" t="str">
        <f>IFERROR(__xludf.DUMMYFUNCTION("""COMPUTED_VALUE"""),"NIL")</f>
        <v>NIL</v>
      </c>
      <c r="K2900" s="324">
        <f>IFERROR(__xludf.DUMMYFUNCTION("""COMPUTED_VALUE"""),3.5)</f>
        <v>3.5</v>
      </c>
      <c r="L2900" s="324" t="str">
        <f>IFERROR(__xludf.DUMMYFUNCTION("""COMPUTED_VALUE"""),"-")</f>
        <v>-</v>
      </c>
    </row>
    <row r="2901">
      <c r="A2901" s="324" t="str">
        <f>IFERROR(__xludf.DUMMYFUNCTION("""COMPUTED_VALUE"""),"TND-MUI-034")</f>
        <v>TND-MUI-034</v>
      </c>
      <c r="B2901" s="478" t="str">
        <f>IFERROR(__xludf.DUMMYFUNCTION("""COMPUTED_VALUE"""),"Máy ủi D20")</f>
        <v>Máy ủi D20</v>
      </c>
      <c r="C2901" s="324" t="str">
        <f>IFERROR(__xludf.DUMMYFUNCTION("""COMPUTED_VALUE"""),"XN Chuối DP2")</f>
        <v>XN Chuối DP2</v>
      </c>
      <c r="D2901" s="324" t="str">
        <f>IFERROR(__xludf.DUMMYFUNCTION("""COMPUTED_VALUE"""),"KOMATSU")</f>
        <v>KOMATSU</v>
      </c>
      <c r="E2901" s="324"/>
      <c r="F2901" s="324">
        <f>IFERROR(__xludf.DUMMYFUNCTION("""COMPUTED_VALUE"""),2002.0)</f>
        <v>2002</v>
      </c>
      <c r="G2901" s="324" t="str">
        <f>IFERROR(__xludf.DUMMYFUNCTION("""COMPUTED_VALUE"""),"D20P-5")</f>
        <v>D20P-5</v>
      </c>
      <c r="H2901" s="324" t="str">
        <f>IFERROR(__xludf.DUMMYFUNCTION("""COMPUTED_VALUE"""),"40HP")</f>
        <v>40HP</v>
      </c>
      <c r="I2901" s="324" t="str">
        <f>IFERROR(__xludf.DUMMYFUNCTION("""COMPUTED_VALUE"""),"58504")</f>
        <v>58504</v>
      </c>
      <c r="J2901" s="324" t="str">
        <f>IFERROR(__xludf.DUMMYFUNCTION("""COMPUTED_VALUE"""),"4D94-2-67309")</f>
        <v>4D94-2-67309</v>
      </c>
      <c r="K2901" s="324">
        <f>IFERROR(__xludf.DUMMYFUNCTION("""COMPUTED_VALUE"""),3.5)</f>
        <v>3.5</v>
      </c>
      <c r="L2901" s="324" t="str">
        <f>IFERROR(__xludf.DUMMYFUNCTION("""COMPUTED_VALUE"""),"-")</f>
        <v>-</v>
      </c>
    </row>
    <row r="2902">
      <c r="A2902" s="324" t="str">
        <f>IFERROR(__xludf.DUMMYFUNCTION("""COMPUTED_VALUE"""),"TND-MUI-035")</f>
        <v>TND-MUI-035</v>
      </c>
      <c r="B2902" s="478" t="str">
        <f>IFERROR(__xludf.DUMMYFUNCTION("""COMPUTED_VALUE"""),"Máy ủi D60")</f>
        <v>Máy ủi D60</v>
      </c>
      <c r="C2902" s="324" t="str">
        <f>IFERROR(__xludf.DUMMYFUNCTION("""COMPUTED_VALUE"""),"CGTC DP")</f>
        <v>CGTC DP</v>
      </c>
      <c r="D2902" s="324" t="str">
        <f>IFERROR(__xludf.DUMMYFUNCTION("""COMPUTED_VALUE"""),"KOMATSU")</f>
        <v>KOMATSU</v>
      </c>
      <c r="E2902" s="324"/>
      <c r="F2902" s="324">
        <f>IFERROR(__xludf.DUMMYFUNCTION("""COMPUTED_VALUE"""),1979.0)</f>
        <v>1979</v>
      </c>
      <c r="G2902" s="324" t="str">
        <f>IFERROR(__xludf.DUMMYFUNCTION("""COMPUTED_VALUE"""),"D60P")</f>
        <v>D60P</v>
      </c>
      <c r="H2902" s="324" t="str">
        <f>IFERROR(__xludf.DUMMYFUNCTION("""COMPUTED_VALUE"""),"155HP")</f>
        <v>155HP</v>
      </c>
      <c r="I2902" s="324" t="str">
        <f>IFERROR(__xludf.DUMMYFUNCTION("""COMPUTED_VALUE"""),"33160")</f>
        <v>33160</v>
      </c>
      <c r="J2902" s="324" t="str">
        <f>IFERROR(__xludf.DUMMYFUNCTION("""COMPUTED_VALUE"""),"NIL")</f>
        <v>NIL</v>
      </c>
      <c r="K2902" s="324">
        <f>IFERROR(__xludf.DUMMYFUNCTION("""COMPUTED_VALUE"""),11.5)</f>
        <v>11.5</v>
      </c>
      <c r="L2902" s="324" t="str">
        <f>IFERROR(__xludf.DUMMYFUNCTION("""COMPUTED_VALUE"""),"Đang thuê")</f>
        <v>Đang thuê</v>
      </c>
    </row>
    <row r="2903">
      <c r="A2903" s="324" t="str">
        <f>IFERROR(__xludf.DUMMYFUNCTION("""COMPUTED_VALUE"""),"TND-MUI-036")</f>
        <v>TND-MUI-036</v>
      </c>
      <c r="B2903" s="478" t="str">
        <f>IFERROR(__xludf.DUMMYFUNCTION("""COMPUTED_VALUE"""),"Máy ủi D20")</f>
        <v>Máy ủi D20</v>
      </c>
      <c r="C2903" s="324" t="str">
        <f>IFERROR(__xludf.DUMMYFUNCTION("""COMPUTED_VALUE"""),"XN Chuối DP3")</f>
        <v>XN Chuối DP3</v>
      </c>
      <c r="D2903" s="324" t="str">
        <f>IFERROR(__xludf.DUMMYFUNCTION("""COMPUTED_VALUE"""),"KOMATSU")</f>
        <v>KOMATSU</v>
      </c>
      <c r="E2903" s="324"/>
      <c r="F2903" s="324">
        <f>IFERROR(__xludf.DUMMYFUNCTION("""COMPUTED_VALUE"""),1990.0)</f>
        <v>1990</v>
      </c>
      <c r="G2903" s="324" t="str">
        <f>IFERROR(__xludf.DUMMYFUNCTION("""COMPUTED_VALUE"""),"D20A-5")</f>
        <v>D20A-5</v>
      </c>
      <c r="H2903" s="324" t="str">
        <f>IFERROR(__xludf.DUMMYFUNCTION("""COMPUTED_VALUE"""),"30HP")</f>
        <v>30HP</v>
      </c>
      <c r="I2903" s="324" t="str">
        <f>IFERROR(__xludf.DUMMYFUNCTION("""COMPUTED_VALUE"""),"51903")</f>
        <v>51903</v>
      </c>
      <c r="J2903" s="324" t="str">
        <f>IFERROR(__xludf.DUMMYFUNCTION("""COMPUTED_VALUE"""),"40994")</f>
        <v>40994</v>
      </c>
      <c r="K2903" s="324">
        <f>IFERROR(__xludf.DUMMYFUNCTION("""COMPUTED_VALUE"""),3.7)</f>
        <v>3.7</v>
      </c>
      <c r="L2903" s="324" t="str">
        <f>IFERROR(__xludf.DUMMYFUNCTION("""COMPUTED_VALUE"""),"-")</f>
        <v>-</v>
      </c>
    </row>
    <row r="2904">
      <c r="A2904" s="324" t="str">
        <f>IFERROR(__xludf.DUMMYFUNCTION("""COMPUTED_VALUE"""),"TND-MUI-037")</f>
        <v>TND-MUI-037</v>
      </c>
      <c r="B2904" s="478" t="str">
        <f>IFERROR(__xludf.DUMMYFUNCTION("""COMPUTED_VALUE"""),"Máy ủi D20")</f>
        <v>Máy ủi D20</v>
      </c>
      <c r="C2904" s="324" t="str">
        <f>IFERROR(__xludf.DUMMYFUNCTION("""COMPUTED_VALUE"""),"CGTC DP")</f>
        <v>CGTC DP</v>
      </c>
      <c r="D2904" s="324" t="str">
        <f>IFERROR(__xludf.DUMMYFUNCTION("""COMPUTED_VALUE"""),"MITSUBISHI")</f>
        <v>MITSUBISHI</v>
      </c>
      <c r="E2904" s="324"/>
      <c r="F2904" s="324"/>
      <c r="G2904" s="324" t="str">
        <f>IFERROR(__xludf.DUMMYFUNCTION("""COMPUTED_VALUE"""),"BD2F")</f>
        <v>BD2F</v>
      </c>
      <c r="H2904" s="324" t="str">
        <f>IFERROR(__xludf.DUMMYFUNCTION("""COMPUTED_VALUE"""),"35HP")</f>
        <v>35HP</v>
      </c>
      <c r="I2904" s="324" t="str">
        <f>IFERROR(__xludf.DUMMYFUNCTION("""COMPUTED_VALUE"""),"1B10876")</f>
        <v>1B10876</v>
      </c>
      <c r="J2904" s="324" t="str">
        <f>IFERROR(__xludf.DUMMYFUNCTION("""COMPUTED_VALUE"""),"NIL")</f>
        <v>NIL</v>
      </c>
      <c r="K2904" s="324">
        <f>IFERROR(__xludf.DUMMYFUNCTION("""COMPUTED_VALUE"""),4.5)</f>
        <v>4.5</v>
      </c>
      <c r="L2904" s="324" t="str">
        <f>IFERROR(__xludf.DUMMYFUNCTION("""COMPUTED_VALUE"""),"-")</f>
        <v>-</v>
      </c>
    </row>
    <row r="2905">
      <c r="A2905" s="324" t="str">
        <f>IFERROR(__xludf.DUMMYFUNCTION("""COMPUTED_VALUE"""),"TND-MUI-038")</f>
        <v>TND-MUI-038</v>
      </c>
      <c r="B2905" s="478" t="str">
        <f>IFERROR(__xludf.DUMMYFUNCTION("""COMPUTED_VALUE"""),"Máy ủi D31")</f>
        <v>Máy ủi D31</v>
      </c>
      <c r="C2905" s="324" t="str">
        <f>IFERROR(__xludf.DUMMYFUNCTION("""COMPUTED_VALUE"""),"CGTC DP")</f>
        <v>CGTC DP</v>
      </c>
      <c r="D2905" s="324" t="str">
        <f>IFERROR(__xludf.DUMMYFUNCTION("""COMPUTED_VALUE"""),"KOMATSU")</f>
        <v>KOMATSU</v>
      </c>
      <c r="E2905" s="324"/>
      <c r="F2905" s="324"/>
      <c r="G2905" s="324" t="str">
        <f>IFERROR(__xludf.DUMMYFUNCTION("""COMPUTED_VALUE"""),"D31E-18")</f>
        <v>D31E-18</v>
      </c>
      <c r="H2905" s="324" t="str">
        <f>IFERROR(__xludf.DUMMYFUNCTION("""COMPUTED_VALUE"""),"70HP")</f>
        <v>70HP</v>
      </c>
      <c r="I2905" s="324" t="str">
        <f>IFERROR(__xludf.DUMMYFUNCTION("""COMPUTED_VALUE"""),"40395")</f>
        <v>40395</v>
      </c>
      <c r="J2905" s="324" t="str">
        <f>IFERROR(__xludf.DUMMYFUNCTION("""COMPUTED_VALUE"""),"L61908")</f>
        <v>L61908</v>
      </c>
      <c r="K2905" s="324">
        <f>IFERROR(__xludf.DUMMYFUNCTION("""COMPUTED_VALUE"""),4.5)</f>
        <v>4.5</v>
      </c>
      <c r="L2905" s="324" t="str">
        <f>IFERROR(__xludf.DUMMYFUNCTION("""COMPUTED_VALUE"""),"Đang thuê")</f>
        <v>Đang thuê</v>
      </c>
    </row>
    <row r="2906">
      <c r="A2906" s="324" t="str">
        <f>IFERROR(__xludf.DUMMYFUNCTION("""COMPUTED_VALUE"""),"TND-MUI-039")</f>
        <v>TND-MUI-039</v>
      </c>
      <c r="B2906" s="478" t="str">
        <f>IFERROR(__xludf.DUMMYFUNCTION("""COMPUTED_VALUE"""),"Máy ủi D20")</f>
        <v>Máy ủi D20</v>
      </c>
      <c r="C2906" s="324" t="str">
        <f>IFERROR(__xludf.DUMMYFUNCTION("""COMPUTED_VALUE"""),"XN Chuối DP3")</f>
        <v>XN Chuối DP3</v>
      </c>
      <c r="D2906" s="324" t="str">
        <f>IFERROR(__xludf.DUMMYFUNCTION("""COMPUTED_VALUE"""),"KOMATSU")</f>
        <v>KOMATSU</v>
      </c>
      <c r="E2906" s="324"/>
      <c r="F2906" s="324">
        <f>IFERROR(__xludf.DUMMYFUNCTION("""COMPUTED_VALUE"""),1997.0)</f>
        <v>1997</v>
      </c>
      <c r="G2906" s="324" t="str">
        <f>IFERROR(__xludf.DUMMYFUNCTION("""COMPUTED_VALUE"""),"D20P-6")</f>
        <v>D20P-6</v>
      </c>
      <c r="H2906" s="324" t="str">
        <f>IFERROR(__xludf.DUMMYFUNCTION("""COMPUTED_VALUE"""),"40HP")</f>
        <v>40HP</v>
      </c>
      <c r="I2906" s="324" t="str">
        <f>IFERROR(__xludf.DUMMYFUNCTION("""COMPUTED_VALUE"""),"D206-62098")</f>
        <v>D206-62098</v>
      </c>
      <c r="J2906" s="324" t="str">
        <f>IFERROR(__xludf.DUMMYFUNCTION("""COMPUTED_VALUE"""),"4095S-W36163")</f>
        <v>4095S-W36163</v>
      </c>
      <c r="K2906" s="324">
        <f>IFERROR(__xludf.DUMMYFUNCTION("""COMPUTED_VALUE"""),5.0)</f>
        <v>5</v>
      </c>
      <c r="L2906" s="324" t="str">
        <f>IFERROR(__xludf.DUMMYFUNCTION("""COMPUTED_VALUE"""),"Đang thuê")</f>
        <v>Đang thuê</v>
      </c>
    </row>
    <row r="2907">
      <c r="A2907" s="324" t="str">
        <f>IFERROR(__xludf.DUMMYFUNCTION("""COMPUTED_VALUE"""),"TND-MUI-040")</f>
        <v>TND-MUI-040</v>
      </c>
      <c r="B2907" s="478" t="str">
        <f>IFERROR(__xludf.DUMMYFUNCTION("""COMPUTED_VALUE"""),"Máy ủi D20")</f>
        <v>Máy ủi D20</v>
      </c>
      <c r="C2907" s="324" t="str">
        <f>IFERROR(__xludf.DUMMYFUNCTION("""COMPUTED_VALUE"""),"XN Chuối DP3")</f>
        <v>XN Chuối DP3</v>
      </c>
      <c r="D2907" s="324" t="str">
        <f>IFERROR(__xludf.DUMMYFUNCTION("""COMPUTED_VALUE"""),"KOMATSU")</f>
        <v>KOMATSU</v>
      </c>
      <c r="E2907" s="324"/>
      <c r="F2907" s="324">
        <f>IFERROR(__xludf.DUMMYFUNCTION("""COMPUTED_VALUE"""),2003.0)</f>
        <v>2003</v>
      </c>
      <c r="G2907" s="324" t="str">
        <f>IFERROR(__xludf.DUMMYFUNCTION("""COMPUTED_VALUE"""),"D20A-5")</f>
        <v>D20A-5</v>
      </c>
      <c r="H2907" s="324" t="str">
        <f>IFERROR(__xludf.DUMMYFUNCTION("""COMPUTED_VALUE"""),"45HP")</f>
        <v>45HP</v>
      </c>
      <c r="I2907" s="324" t="str">
        <f>IFERROR(__xludf.DUMMYFUNCTION("""COMPUTED_VALUE"""),"D205-45584")</f>
        <v>D205-45584</v>
      </c>
      <c r="J2907" s="324" t="str">
        <f>IFERROR(__xludf.DUMMYFUNCTION("""COMPUTED_VALUE"""),"16506")</f>
        <v>16506</v>
      </c>
      <c r="K2907" s="324">
        <f>IFERROR(__xludf.DUMMYFUNCTION("""COMPUTED_VALUE"""),4.5)</f>
        <v>4.5</v>
      </c>
      <c r="L2907" s="324" t="str">
        <f>IFERROR(__xludf.DUMMYFUNCTION("""COMPUTED_VALUE"""),"Đang thuê")</f>
        <v>Đang thuê</v>
      </c>
    </row>
    <row r="2908">
      <c r="A2908" s="324" t="str">
        <f>IFERROR(__xludf.DUMMYFUNCTION("""COMPUTED_VALUE"""),"TND-MUI-041")</f>
        <v>TND-MUI-041</v>
      </c>
      <c r="B2908" s="478" t="str">
        <f>IFERROR(__xludf.DUMMYFUNCTION("""COMPUTED_VALUE"""),"Máy ủi D5")</f>
        <v>Máy ủi D5</v>
      </c>
      <c r="C2908" s="324" t="str">
        <f>IFERROR(__xludf.DUMMYFUNCTION("""COMPUTED_VALUE"""),"CGTC DP")</f>
        <v>CGTC DP</v>
      </c>
      <c r="D2908" s="324" t="str">
        <f>IFERROR(__xludf.DUMMYFUNCTION("""COMPUTED_VALUE"""),"KOMATSU")</f>
        <v>KOMATSU</v>
      </c>
      <c r="E2908" s="324"/>
      <c r="F2908" s="324">
        <f>IFERROR(__xludf.DUMMYFUNCTION("""COMPUTED_VALUE"""),1980.0)</f>
        <v>1980</v>
      </c>
      <c r="G2908" s="324" t="str">
        <f>IFERROR(__xludf.DUMMYFUNCTION("""COMPUTED_VALUE"""),"D50S-16")</f>
        <v>D50S-16</v>
      </c>
      <c r="H2908" s="324" t="str">
        <f>IFERROR(__xludf.DUMMYFUNCTION("""COMPUTED_VALUE"""),"110HP")</f>
        <v>110HP</v>
      </c>
      <c r="I2908" s="324" t="str">
        <f>IFERROR(__xludf.DUMMYFUNCTION("""COMPUTED_VALUE"""),"D50S16-65953")</f>
        <v>D50S16-65953</v>
      </c>
      <c r="J2908" s="324" t="str">
        <f>IFERROR(__xludf.DUMMYFUNCTION("""COMPUTED_VALUE"""),"4D130-1-22297")</f>
        <v>4D130-1-22297</v>
      </c>
      <c r="K2908" s="324">
        <f>IFERROR(__xludf.DUMMYFUNCTION("""COMPUTED_VALUE"""),11.0)</f>
        <v>11</v>
      </c>
      <c r="L2908" s="324" t="str">
        <f>IFERROR(__xludf.DUMMYFUNCTION("""COMPUTED_VALUE"""),"-")</f>
        <v>-</v>
      </c>
    </row>
    <row r="2909">
      <c r="A2909" s="324" t="str">
        <f>IFERROR(__xludf.DUMMYFUNCTION("""COMPUTED_VALUE"""),"TND-MUI-042")</f>
        <v>TND-MUI-042</v>
      </c>
      <c r="B2909" s="478" t="str">
        <f>IFERROR(__xludf.DUMMYFUNCTION("""COMPUTED_VALUE"""),"Máy ủi D20")</f>
        <v>Máy ủi D20</v>
      </c>
      <c r="C2909" s="324" t="str">
        <f>IFERROR(__xludf.DUMMYFUNCTION("""COMPUTED_VALUE"""),"CGTC DP")</f>
        <v>CGTC DP</v>
      </c>
      <c r="D2909" s="324" t="str">
        <f>IFERROR(__xludf.DUMMYFUNCTION("""COMPUTED_VALUE"""),"MITSUBISHI")</f>
        <v>MITSUBISHI</v>
      </c>
      <c r="E2909" s="324"/>
      <c r="F2909" s="324">
        <f>IFERROR(__xludf.DUMMYFUNCTION("""COMPUTED_VALUE"""),2001.0)</f>
        <v>2001</v>
      </c>
      <c r="G2909" s="324" t="str">
        <f>IFERROR(__xludf.DUMMYFUNCTION("""COMPUTED_VALUE"""),"BD2F")</f>
        <v>BD2F</v>
      </c>
      <c r="H2909" s="324" t="str">
        <f>IFERROR(__xludf.DUMMYFUNCTION("""COMPUTED_VALUE"""),"37HP")</f>
        <v>37HP</v>
      </c>
      <c r="I2909" s="324" t="str">
        <f>IFERROR(__xludf.DUMMYFUNCTION("""COMPUTED_VALUE"""),"1B102230")</f>
        <v>1B102230</v>
      </c>
      <c r="J2909" s="324" t="str">
        <f>IFERROR(__xludf.DUMMYFUNCTION("""COMPUTED_VALUE"""),"32560")</f>
        <v>32560</v>
      </c>
      <c r="K2909" s="324">
        <f>IFERROR(__xludf.DUMMYFUNCTION("""COMPUTED_VALUE"""),4.0)</f>
        <v>4</v>
      </c>
      <c r="L2909" s="324" t="str">
        <f>IFERROR(__xludf.DUMMYFUNCTION("""COMPUTED_VALUE"""),"-")</f>
        <v>-</v>
      </c>
    </row>
    <row r="2910">
      <c r="A2910" s="324" t="str">
        <f>IFERROR(__xludf.DUMMYFUNCTION("""COMPUTED_VALUE"""),"TND-MUI-043")</f>
        <v>TND-MUI-043</v>
      </c>
      <c r="B2910" s="478" t="str">
        <f>IFERROR(__xludf.DUMMYFUNCTION("""COMPUTED_VALUE"""),"Máy ủi D20")</f>
        <v>Máy ủi D20</v>
      </c>
      <c r="C2910" s="324" t="str">
        <f>IFERROR(__xludf.DUMMYFUNCTION("""COMPUTED_VALUE"""),"XN Chuối DP2")</f>
        <v>XN Chuối DP2</v>
      </c>
      <c r="D2910" s="324" t="str">
        <f>IFERROR(__xludf.DUMMYFUNCTION("""COMPUTED_VALUE"""),"KOMATSU")</f>
        <v>KOMATSU</v>
      </c>
      <c r="E2910" s="324"/>
      <c r="F2910" s="324">
        <f>IFERROR(__xludf.DUMMYFUNCTION("""COMPUTED_VALUE"""),1991.0)</f>
        <v>1991</v>
      </c>
      <c r="G2910" s="324" t="str">
        <f>IFERROR(__xludf.DUMMYFUNCTION("""COMPUTED_VALUE"""),"D20A-5")</f>
        <v>D20A-5</v>
      </c>
      <c r="H2910" s="324" t="str">
        <f>IFERROR(__xludf.DUMMYFUNCTION("""COMPUTED_VALUE"""),"39HP")</f>
        <v>39HP</v>
      </c>
      <c r="I2910" s="324" t="str">
        <f>IFERROR(__xludf.DUMMYFUNCTION("""COMPUTED_VALUE"""),"52376")</f>
        <v>52376</v>
      </c>
      <c r="J2910" s="324" t="str">
        <f>IFERROR(__xludf.DUMMYFUNCTION("""COMPUTED_VALUE"""),"1D94-2-43075")</f>
        <v>1D94-2-43075</v>
      </c>
      <c r="K2910" s="324">
        <f>IFERROR(__xludf.DUMMYFUNCTION("""COMPUTED_VALUE"""),5.0)</f>
        <v>5</v>
      </c>
      <c r="L2910" s="324" t="str">
        <f>IFERROR(__xludf.DUMMYFUNCTION("""COMPUTED_VALUE"""),"-")</f>
        <v>-</v>
      </c>
    </row>
    <row r="2911">
      <c r="A2911" s="324" t="str">
        <f>IFERROR(__xludf.DUMMYFUNCTION("""COMPUTED_VALUE"""),"TND-MUI-044")</f>
        <v>TND-MUI-044</v>
      </c>
      <c r="B2911" s="478" t="str">
        <f>IFERROR(__xludf.DUMMYFUNCTION("""COMPUTED_VALUE"""),"Máy ủi D3B")</f>
        <v>Máy ủi D3B</v>
      </c>
      <c r="C2911" s="324" t="str">
        <f>IFERROR(__xludf.DUMMYFUNCTION("""COMPUTED_VALUE"""),"XN Chuối DP2")</f>
        <v>XN Chuối DP2</v>
      </c>
      <c r="D2911" s="324" t="str">
        <f>IFERROR(__xludf.DUMMYFUNCTION("""COMPUTED_VALUE"""),"CATERPILLAR")</f>
        <v>CATERPILLAR</v>
      </c>
      <c r="E2911" s="324"/>
      <c r="F2911" s="324"/>
      <c r="G2911" s="324" t="str">
        <f>IFERROR(__xludf.DUMMYFUNCTION("""COMPUTED_VALUE"""),"D3BZ")</f>
        <v>D3BZ</v>
      </c>
      <c r="H2911" s="324" t="str">
        <f>IFERROR(__xludf.DUMMYFUNCTION("""COMPUTED_VALUE"""),"100HP")</f>
        <v>100HP</v>
      </c>
      <c r="I2911" s="324" t="str">
        <f>IFERROR(__xludf.DUMMYFUNCTION("""COMPUTED_VALUE"""),"3YC00297")</f>
        <v>3YC00297</v>
      </c>
      <c r="J2911" s="324" t="str">
        <f>IFERROR(__xludf.DUMMYFUNCTION("""COMPUTED_VALUE"""),"45V51296")</f>
        <v>45V51296</v>
      </c>
      <c r="K2911" s="324">
        <f>IFERROR(__xludf.DUMMYFUNCTION("""COMPUTED_VALUE"""),5.0)</f>
        <v>5</v>
      </c>
      <c r="L2911" s="324" t="str">
        <f>IFERROR(__xludf.DUMMYFUNCTION("""COMPUTED_VALUE"""),"-")</f>
        <v>-</v>
      </c>
    </row>
    <row r="2912">
      <c r="A2912" s="324" t="str">
        <f>IFERROR(__xludf.DUMMYFUNCTION("""COMPUTED_VALUE"""),"TND-MUI-045")</f>
        <v>TND-MUI-045</v>
      </c>
      <c r="B2912" s="478" t="str">
        <f>IFERROR(__xludf.DUMMYFUNCTION("""COMPUTED_VALUE"""),"Máy ủi D3")</f>
        <v>Máy ủi D3</v>
      </c>
      <c r="C2912" s="324" t="str">
        <f>IFERROR(__xludf.DUMMYFUNCTION("""COMPUTED_VALUE"""),"CGTC DP")</f>
        <v>CGTC DP</v>
      </c>
      <c r="D2912" s="324" t="str">
        <f>IFERROR(__xludf.DUMMYFUNCTION("""COMPUTED_VALUE"""),"KOMATSU")</f>
        <v>KOMATSU</v>
      </c>
      <c r="E2912" s="324"/>
      <c r="F2912" s="324">
        <f>IFERROR(__xludf.DUMMYFUNCTION("""COMPUTED_VALUE"""),1999.0)</f>
        <v>1999</v>
      </c>
      <c r="G2912" s="324" t="str">
        <f>IFERROR(__xludf.DUMMYFUNCTION("""COMPUTED_VALUE"""),"D31S-17")</f>
        <v>D31S-17</v>
      </c>
      <c r="H2912" s="324" t="str">
        <f>IFERROR(__xludf.DUMMYFUNCTION("""COMPUTED_VALUE"""),"70HP")</f>
        <v>70HP</v>
      </c>
      <c r="I2912" s="324" t="str">
        <f>IFERROR(__xludf.DUMMYFUNCTION("""COMPUTED_VALUE"""),"32713")</f>
        <v>32713</v>
      </c>
      <c r="J2912" s="324" t="str">
        <f>IFERROR(__xludf.DUMMYFUNCTION("""COMPUTED_VALUE"""),"161486")</f>
        <v>161486</v>
      </c>
      <c r="K2912" s="324">
        <f>IFERROR(__xludf.DUMMYFUNCTION("""COMPUTED_VALUE"""),6.0)</f>
        <v>6</v>
      </c>
      <c r="L2912" s="324" t="str">
        <f>IFERROR(__xludf.DUMMYFUNCTION("""COMPUTED_VALUE"""),"Đang thuê")</f>
        <v>Đang thuê</v>
      </c>
    </row>
    <row r="2913">
      <c r="A2913" s="324" t="str">
        <f>IFERROR(__xludf.DUMMYFUNCTION("""COMPUTED_VALUE"""),"TND-MUI-046")</f>
        <v>TND-MUI-046</v>
      </c>
      <c r="B2913" s="478" t="str">
        <f>IFERROR(__xludf.DUMMYFUNCTION("""COMPUTED_VALUE"""),"Máy ủi D20")</f>
        <v>Máy ủi D20</v>
      </c>
      <c r="C2913" s="324" t="str">
        <f>IFERROR(__xludf.DUMMYFUNCTION("""COMPUTED_VALUE"""),"XN Chuối DP2")</f>
        <v>XN Chuối DP2</v>
      </c>
      <c r="D2913" s="324" t="str">
        <f>IFERROR(__xludf.DUMMYFUNCTION("""COMPUTED_VALUE"""),"KOMATSU")</f>
        <v>KOMATSU</v>
      </c>
      <c r="E2913" s="324"/>
      <c r="F2913" s="324">
        <f>IFERROR(__xludf.DUMMYFUNCTION("""COMPUTED_VALUE"""),1999.0)</f>
        <v>1999</v>
      </c>
      <c r="G2913" s="324" t="str">
        <f>IFERROR(__xludf.DUMMYFUNCTION("""COMPUTED_VALUE"""),"D20A-5")</f>
        <v>D20A-5</v>
      </c>
      <c r="H2913" s="324" t="str">
        <f>IFERROR(__xludf.DUMMYFUNCTION("""COMPUTED_VALUE"""),"40HP")</f>
        <v>40HP</v>
      </c>
      <c r="I2913" s="324" t="str">
        <f>IFERROR(__xludf.DUMMYFUNCTION("""COMPUTED_VALUE"""),"484432")</f>
        <v>484432</v>
      </c>
      <c r="J2913" s="324" t="str">
        <f>IFERROR(__xludf.DUMMYFUNCTION("""COMPUTED_VALUE"""),"NIL")</f>
        <v>NIL</v>
      </c>
      <c r="K2913" s="324">
        <f>IFERROR(__xludf.DUMMYFUNCTION("""COMPUTED_VALUE"""),4.0)</f>
        <v>4</v>
      </c>
      <c r="L2913" s="324" t="str">
        <f>IFERROR(__xludf.DUMMYFUNCTION("""COMPUTED_VALUE"""),"-")</f>
        <v>-</v>
      </c>
    </row>
    <row r="2914">
      <c r="A2914" s="324" t="str">
        <f>IFERROR(__xludf.DUMMYFUNCTION("""COMPUTED_VALUE"""),"TND-MUI-047")</f>
        <v>TND-MUI-047</v>
      </c>
      <c r="B2914" s="478" t="str">
        <f>IFERROR(__xludf.DUMMYFUNCTION("""COMPUTED_VALUE"""),"Máy ủi D20")</f>
        <v>Máy ủi D20</v>
      </c>
      <c r="C2914" s="324" t="str">
        <f>IFERROR(__xludf.DUMMYFUNCTION("""COMPUTED_VALUE"""),"XN Chuối DP2")</f>
        <v>XN Chuối DP2</v>
      </c>
      <c r="D2914" s="324" t="str">
        <f>IFERROR(__xludf.DUMMYFUNCTION("""COMPUTED_VALUE"""),"KOMATSU")</f>
        <v>KOMATSU</v>
      </c>
      <c r="E2914" s="324"/>
      <c r="F2914" s="324">
        <f>IFERROR(__xludf.DUMMYFUNCTION("""COMPUTED_VALUE"""),1990.0)</f>
        <v>1990</v>
      </c>
      <c r="G2914" s="324" t="str">
        <f>IFERROR(__xludf.DUMMYFUNCTION("""COMPUTED_VALUE"""),"D20A-5")</f>
        <v>D20A-5</v>
      </c>
      <c r="H2914" s="324" t="str">
        <f>IFERROR(__xludf.DUMMYFUNCTION("""COMPUTED_VALUE"""),"40HP")</f>
        <v>40HP</v>
      </c>
      <c r="I2914" s="324" t="str">
        <f>IFERROR(__xludf.DUMMYFUNCTION("""COMPUTED_VALUE"""),"51053")</f>
        <v>51053</v>
      </c>
      <c r="J2914" s="324" t="str">
        <f>IFERROR(__xludf.DUMMYFUNCTION("""COMPUTED_VALUE"""),"4D94")</f>
        <v>4D94</v>
      </c>
      <c r="K2914" s="324">
        <f>IFERROR(__xludf.DUMMYFUNCTION("""COMPUTED_VALUE"""),3.5)</f>
        <v>3.5</v>
      </c>
      <c r="L2914" s="324" t="str">
        <f>IFERROR(__xludf.DUMMYFUNCTION("""COMPUTED_VALUE"""),"-")</f>
        <v>-</v>
      </c>
    </row>
    <row r="2915">
      <c r="A2915" s="324" t="str">
        <f>IFERROR(__xludf.DUMMYFUNCTION("""COMPUTED_VALUE"""),"TND-MUI-048")</f>
        <v>TND-MUI-048</v>
      </c>
      <c r="B2915" s="478" t="str">
        <f>IFERROR(__xludf.DUMMYFUNCTION("""COMPUTED_VALUE"""),"Máy ủi D20")</f>
        <v>Máy ủi D20</v>
      </c>
      <c r="C2915" s="324" t="str">
        <f>IFERROR(__xludf.DUMMYFUNCTION("""COMPUTED_VALUE"""),"XN Chuối DP2")</f>
        <v>XN Chuối DP2</v>
      </c>
      <c r="D2915" s="324" t="str">
        <f>IFERROR(__xludf.DUMMYFUNCTION("""COMPUTED_VALUE"""),"KOMATSU")</f>
        <v>KOMATSU</v>
      </c>
      <c r="E2915" s="324"/>
      <c r="F2915" s="324">
        <f>IFERROR(__xludf.DUMMYFUNCTION("""COMPUTED_VALUE"""),1992.0)</f>
        <v>1992</v>
      </c>
      <c r="G2915" s="324" t="str">
        <f>IFERROR(__xludf.DUMMYFUNCTION("""COMPUTED_VALUE"""),"D21A")</f>
        <v>D21A</v>
      </c>
      <c r="H2915" s="324" t="str">
        <f>IFERROR(__xludf.DUMMYFUNCTION("""COMPUTED_VALUE"""),"40HP")</f>
        <v>40HP</v>
      </c>
      <c r="I2915" s="324" t="str">
        <f>IFERROR(__xludf.DUMMYFUNCTION("""COMPUTED_VALUE"""),"D20663183")</f>
        <v>D20663183</v>
      </c>
      <c r="J2915" s="324" t="str">
        <f>IFERROR(__xludf.DUMMYFUNCTION("""COMPUTED_VALUE"""),"4D95L65302")</f>
        <v>4D95L65302</v>
      </c>
      <c r="K2915" s="324">
        <f>IFERROR(__xludf.DUMMYFUNCTION("""COMPUTED_VALUE"""),3.5)</f>
        <v>3.5</v>
      </c>
      <c r="L2915" s="324" t="str">
        <f>IFERROR(__xludf.DUMMYFUNCTION("""COMPUTED_VALUE"""),"-")</f>
        <v>-</v>
      </c>
    </row>
    <row r="2916">
      <c r="A2916" s="324" t="str">
        <f>IFERROR(__xludf.DUMMYFUNCTION("""COMPUTED_VALUE"""),"TND-MUI-049")</f>
        <v>TND-MUI-049</v>
      </c>
      <c r="B2916" s="478" t="str">
        <f>IFERROR(__xludf.DUMMYFUNCTION("""COMPUTED_VALUE"""),"Máy ủi D20")</f>
        <v>Máy ủi D20</v>
      </c>
      <c r="C2916" s="324" t="str">
        <f>IFERROR(__xludf.DUMMYFUNCTION("""COMPUTED_VALUE"""),"XN Chuối DP2")</f>
        <v>XN Chuối DP2</v>
      </c>
      <c r="D2916" s="324" t="str">
        <f>IFERROR(__xludf.DUMMYFUNCTION("""COMPUTED_VALUE"""),"MITSUBISHI")</f>
        <v>MITSUBISHI</v>
      </c>
      <c r="E2916" s="324"/>
      <c r="F2916" s="324">
        <f>IFERROR(__xludf.DUMMYFUNCTION("""COMPUTED_VALUE"""),1989.0)</f>
        <v>1989</v>
      </c>
      <c r="G2916" s="324" t="str">
        <f>IFERROR(__xludf.DUMMYFUNCTION("""COMPUTED_VALUE"""),"BD2G")</f>
        <v>BD2G</v>
      </c>
      <c r="H2916" s="324" t="str">
        <f>IFERROR(__xludf.DUMMYFUNCTION("""COMPUTED_VALUE"""),"30HP")</f>
        <v>30HP</v>
      </c>
      <c r="I2916" s="324" t="str">
        <f>IFERROR(__xludf.DUMMYFUNCTION("""COMPUTED_VALUE"""),"2B600700")</f>
        <v>2B600700</v>
      </c>
      <c r="J2916" s="324" t="str">
        <f>IFERROR(__xludf.DUMMYFUNCTION("""COMPUTED_VALUE"""),"S4E84946")</f>
        <v>S4E84946</v>
      </c>
      <c r="K2916" s="324">
        <f>IFERROR(__xludf.DUMMYFUNCTION("""COMPUTED_VALUE"""),4.0)</f>
        <v>4</v>
      </c>
      <c r="L2916" s="324" t="str">
        <f>IFERROR(__xludf.DUMMYFUNCTION("""COMPUTED_VALUE"""),"Đang thuê")</f>
        <v>Đang thuê</v>
      </c>
    </row>
    <row r="2917">
      <c r="A2917" s="324" t="str">
        <f>IFERROR(__xludf.DUMMYFUNCTION("""COMPUTED_VALUE"""),"TND-MUI-050")</f>
        <v>TND-MUI-050</v>
      </c>
      <c r="B2917" s="478" t="str">
        <f>IFERROR(__xludf.DUMMYFUNCTION("""COMPUTED_VALUE"""),"Máy ủi D31")</f>
        <v>Máy ủi D31</v>
      </c>
      <c r="C2917" s="324" t="str">
        <f>IFERROR(__xludf.DUMMYFUNCTION("""COMPUTED_VALUE"""),"XN Chuối DP3")</f>
        <v>XN Chuối DP3</v>
      </c>
      <c r="D2917" s="324" t="str">
        <f>IFERROR(__xludf.DUMMYFUNCTION("""COMPUTED_VALUE"""),"KOMATSU")</f>
        <v>KOMATSU</v>
      </c>
      <c r="E2917" s="324"/>
      <c r="F2917" s="324">
        <f>IFERROR(__xludf.DUMMYFUNCTION("""COMPUTED_VALUE"""),1981.0)</f>
        <v>1981</v>
      </c>
      <c r="G2917" s="324" t="str">
        <f>IFERROR(__xludf.DUMMYFUNCTION("""COMPUTED_VALUE"""),"D31P-16")</f>
        <v>D31P-16</v>
      </c>
      <c r="H2917" s="324" t="str">
        <f>IFERROR(__xludf.DUMMYFUNCTION("""COMPUTED_VALUE"""),"63HP")</f>
        <v>63HP</v>
      </c>
      <c r="I2917" s="324" t="str">
        <f>IFERROR(__xludf.DUMMYFUNCTION("""COMPUTED_VALUE"""),"29243")</f>
        <v>29243</v>
      </c>
      <c r="J2917" s="324" t="str">
        <f>IFERROR(__xludf.DUMMYFUNCTION("""COMPUTED_VALUE"""),"67212")</f>
        <v>67212</v>
      </c>
      <c r="K2917" s="324">
        <f>IFERROR(__xludf.DUMMYFUNCTION("""COMPUTED_VALUE"""),6.0)</f>
        <v>6</v>
      </c>
      <c r="L2917" s="324" t="str">
        <f>IFERROR(__xludf.DUMMYFUNCTION("""COMPUTED_VALUE"""),"-")</f>
        <v>-</v>
      </c>
    </row>
    <row r="2918">
      <c r="A2918" s="324" t="str">
        <f>IFERROR(__xludf.DUMMYFUNCTION("""COMPUTED_VALUE"""),"TND-MUI-051")</f>
        <v>TND-MUI-051</v>
      </c>
      <c r="B2918" s="478" t="str">
        <f>IFERROR(__xludf.DUMMYFUNCTION("""COMPUTED_VALUE"""),"Máy ủi D20")</f>
        <v>Máy ủi D20</v>
      </c>
      <c r="C2918" s="324" t="str">
        <f>IFERROR(__xludf.DUMMYFUNCTION("""COMPUTED_VALUE"""),"XN Chuối DP1")</f>
        <v>XN Chuối DP1</v>
      </c>
      <c r="D2918" s="324" t="str">
        <f>IFERROR(__xludf.DUMMYFUNCTION("""COMPUTED_VALUE"""),"KOMATSU")</f>
        <v>KOMATSU</v>
      </c>
      <c r="E2918" s="324"/>
      <c r="F2918" s="324">
        <f>IFERROR(__xludf.DUMMYFUNCTION("""COMPUTED_VALUE"""),1983.0)</f>
        <v>1983</v>
      </c>
      <c r="G2918" s="324" t="str">
        <f>IFERROR(__xludf.DUMMYFUNCTION("""COMPUTED_VALUE"""),"D20P-5")</f>
        <v>D20P-5</v>
      </c>
      <c r="H2918" s="324" t="str">
        <f>IFERROR(__xludf.DUMMYFUNCTION("""COMPUTED_VALUE"""),"39HP")</f>
        <v>39HP</v>
      </c>
      <c r="I2918" s="324" t="str">
        <f>IFERROR(__xludf.DUMMYFUNCTION("""COMPUTED_VALUE"""),"54583")</f>
        <v>54583</v>
      </c>
      <c r="J2918" s="324" t="str">
        <f>IFERROR(__xludf.DUMMYFUNCTION("""COMPUTED_VALUE"""),"4D94-2-55987")</f>
        <v>4D94-2-55987</v>
      </c>
      <c r="K2918" s="324">
        <f>IFERROR(__xludf.DUMMYFUNCTION("""COMPUTED_VALUE"""),4.0)</f>
        <v>4</v>
      </c>
      <c r="L2918" s="324" t="str">
        <f>IFERROR(__xludf.DUMMYFUNCTION("""COMPUTED_VALUE"""),"Đang thuê")</f>
        <v>Đang thuê</v>
      </c>
    </row>
    <row r="2919">
      <c r="A2919" s="324" t="str">
        <f>IFERROR(__xludf.DUMMYFUNCTION("""COMPUTED_VALUE"""),"TND-MUI-052")</f>
        <v>TND-MUI-052</v>
      </c>
      <c r="B2919" s="478" t="str">
        <f>IFERROR(__xludf.DUMMYFUNCTION("""COMPUTED_VALUE"""),"Máy ủi D20")</f>
        <v>Máy ủi D20</v>
      </c>
      <c r="C2919" s="324" t="str">
        <f>IFERROR(__xludf.DUMMYFUNCTION("""COMPUTED_VALUE"""),"XN Chuối DP2")</f>
        <v>XN Chuối DP2</v>
      </c>
      <c r="D2919" s="324" t="str">
        <f>IFERROR(__xludf.DUMMYFUNCTION("""COMPUTED_VALUE"""),"KOMATSU")</f>
        <v>KOMATSU</v>
      </c>
      <c r="E2919" s="324"/>
      <c r="F2919" s="324">
        <f>IFERROR(__xludf.DUMMYFUNCTION("""COMPUTED_VALUE"""),1989.0)</f>
        <v>1989</v>
      </c>
      <c r="G2919" s="324" t="str">
        <f>IFERROR(__xludf.DUMMYFUNCTION("""COMPUTED_VALUE"""),"D20P-6")</f>
        <v>D20P-6</v>
      </c>
      <c r="H2919" s="324" t="str">
        <f>IFERROR(__xludf.DUMMYFUNCTION("""COMPUTED_VALUE"""),"39HP")</f>
        <v>39HP</v>
      </c>
      <c r="I2919" s="324" t="str">
        <f>IFERROR(__xludf.DUMMYFUNCTION("""COMPUTED_VALUE"""),"68118")</f>
        <v>68118</v>
      </c>
      <c r="J2919" s="324" t="str">
        <f>IFERROR(__xludf.DUMMYFUNCTION("""COMPUTED_VALUE"""),"4D955")</f>
        <v>4D955</v>
      </c>
      <c r="K2919" s="324">
        <f>IFERROR(__xludf.DUMMYFUNCTION("""COMPUTED_VALUE"""),3.8)</f>
        <v>3.8</v>
      </c>
      <c r="L2919" s="324" t="str">
        <f>IFERROR(__xludf.DUMMYFUNCTION("""COMPUTED_VALUE"""),"Đang thuê")</f>
        <v>Đang thuê</v>
      </c>
    </row>
    <row r="2920">
      <c r="A2920" s="324" t="str">
        <f>IFERROR(__xludf.DUMMYFUNCTION("""COMPUTED_VALUE"""),"TND-MUI-053")</f>
        <v>TND-MUI-053</v>
      </c>
      <c r="B2920" s="478" t="str">
        <f>IFERROR(__xludf.DUMMYFUNCTION("""COMPUTED_VALUE"""),"Máy ủi D20")</f>
        <v>Máy ủi D20</v>
      </c>
      <c r="C2920" s="324" t="str">
        <f>IFERROR(__xludf.DUMMYFUNCTION("""COMPUTED_VALUE"""),"XN Chuối DP1")</f>
        <v>XN Chuối DP1</v>
      </c>
      <c r="D2920" s="324" t="str">
        <f>IFERROR(__xludf.DUMMYFUNCTION("""COMPUTED_VALUE"""),"KOMATSU")</f>
        <v>KOMATSU</v>
      </c>
      <c r="E2920" s="324"/>
      <c r="F2920" s="324">
        <f>IFERROR(__xludf.DUMMYFUNCTION("""COMPUTED_VALUE"""),1990.0)</f>
        <v>1990</v>
      </c>
      <c r="G2920" s="324" t="str">
        <f>IFERROR(__xludf.DUMMYFUNCTION("""COMPUTED_VALUE"""),"D20P-6")</f>
        <v>D20P-6</v>
      </c>
      <c r="H2920" s="324" t="str">
        <f>IFERROR(__xludf.DUMMYFUNCTION("""COMPUTED_VALUE"""),"39HP")</f>
        <v>39HP</v>
      </c>
      <c r="I2920" s="324" t="str">
        <f>IFERROR(__xludf.DUMMYFUNCTION("""COMPUTED_VALUE"""),"68472")</f>
        <v>68472</v>
      </c>
      <c r="J2920" s="324" t="str">
        <f>IFERROR(__xludf.DUMMYFUNCTION("""COMPUTED_VALUE"""),"4D95S-W86134")</f>
        <v>4D95S-W86134</v>
      </c>
      <c r="K2920" s="324">
        <f>IFERROR(__xludf.DUMMYFUNCTION("""COMPUTED_VALUE"""),4.0)</f>
        <v>4</v>
      </c>
      <c r="L2920" s="324" t="str">
        <f>IFERROR(__xludf.DUMMYFUNCTION("""COMPUTED_VALUE"""),"-")</f>
        <v>-</v>
      </c>
    </row>
    <row r="2921">
      <c r="A2921" s="324" t="str">
        <f>IFERROR(__xludf.DUMMYFUNCTION("""COMPUTED_VALUE"""),"TND-MUI-054")</f>
        <v>TND-MUI-054</v>
      </c>
      <c r="B2921" s="478" t="str">
        <f>IFERROR(__xludf.DUMMYFUNCTION("""COMPUTED_VALUE"""),"Máy ủi D20")</f>
        <v>Máy ủi D20</v>
      </c>
      <c r="C2921" s="324" t="str">
        <f>IFERROR(__xludf.DUMMYFUNCTION("""COMPUTED_VALUE"""),"XN Chuối DP1")</f>
        <v>XN Chuối DP1</v>
      </c>
      <c r="D2921" s="324" t="str">
        <f>IFERROR(__xludf.DUMMYFUNCTION("""COMPUTED_VALUE"""),"MITSUBISHI")</f>
        <v>MITSUBISHI</v>
      </c>
      <c r="E2921" s="324"/>
      <c r="F2921" s="324">
        <f>IFERROR(__xludf.DUMMYFUNCTION("""COMPUTED_VALUE"""),2001.0)</f>
        <v>2001</v>
      </c>
      <c r="G2921" s="324" t="str">
        <f>IFERROR(__xludf.DUMMYFUNCTION("""COMPUTED_VALUE"""),"BD2F")</f>
        <v>BD2F</v>
      </c>
      <c r="H2921" s="324" t="str">
        <f>IFERROR(__xludf.DUMMYFUNCTION("""COMPUTED_VALUE"""),"37HP")</f>
        <v>37HP</v>
      </c>
      <c r="I2921" s="324" t="str">
        <f>IFERROR(__xludf.DUMMYFUNCTION("""COMPUTED_VALUE"""),"1B102230")</f>
        <v>1B102230</v>
      </c>
      <c r="J2921" s="324" t="str">
        <f>IFERROR(__xludf.DUMMYFUNCTION("""COMPUTED_VALUE"""),"32560")</f>
        <v>32560</v>
      </c>
      <c r="K2921" s="324">
        <f>IFERROR(__xludf.DUMMYFUNCTION("""COMPUTED_VALUE"""),4.0)</f>
        <v>4</v>
      </c>
      <c r="L2921" s="324" t="str">
        <f>IFERROR(__xludf.DUMMYFUNCTION("""COMPUTED_VALUE"""),"Đang thuê")</f>
        <v>Đang thuê</v>
      </c>
    </row>
    <row r="2922">
      <c r="A2922" s="324" t="str">
        <f>IFERROR(__xludf.DUMMYFUNCTION("""COMPUTED_VALUE"""),"TND-MUI-055")</f>
        <v>TND-MUI-055</v>
      </c>
      <c r="B2922" s="478" t="str">
        <f>IFERROR(__xludf.DUMMYFUNCTION("""COMPUTED_VALUE"""),"Máy ủi D2")</f>
        <v>Máy ủi D2</v>
      </c>
      <c r="C2922" s="324" t="str">
        <f>IFERROR(__xludf.DUMMYFUNCTION("""COMPUTED_VALUE"""),"XN Chuối DP1")</f>
        <v>XN Chuối DP1</v>
      </c>
      <c r="D2922" s="324" t="str">
        <f>IFERROR(__xludf.DUMMYFUNCTION("""COMPUTED_VALUE"""),"KOMATSU")</f>
        <v>KOMATSU</v>
      </c>
      <c r="E2922" s="324"/>
      <c r="F2922" s="324">
        <f>IFERROR(__xludf.DUMMYFUNCTION("""COMPUTED_VALUE"""),1991.0)</f>
        <v>1991</v>
      </c>
      <c r="G2922" s="324" t="str">
        <f>IFERROR(__xludf.DUMMYFUNCTION("""COMPUTED_VALUE"""),"D20P-6")</f>
        <v>D20P-6</v>
      </c>
      <c r="H2922" s="324" t="str">
        <f>IFERROR(__xludf.DUMMYFUNCTION("""COMPUTED_VALUE"""),"40HP")</f>
        <v>40HP</v>
      </c>
      <c r="I2922" s="324" t="str">
        <f>IFERROR(__xludf.DUMMYFUNCTION("""COMPUTED_VALUE"""),"72503")</f>
        <v>72503</v>
      </c>
      <c r="J2922" s="324" t="str">
        <f>IFERROR(__xludf.DUMMYFUNCTION("""COMPUTED_VALUE"""),"4D95S126813")</f>
        <v>4D95S126813</v>
      </c>
      <c r="K2922" s="324">
        <f>IFERROR(__xludf.DUMMYFUNCTION("""COMPUTED_VALUE"""),4.0)</f>
        <v>4</v>
      </c>
      <c r="L2922" s="324" t="str">
        <f>IFERROR(__xludf.DUMMYFUNCTION("""COMPUTED_VALUE"""),"Đang thuê")</f>
        <v>Đang thuê</v>
      </c>
    </row>
    <row r="2923">
      <c r="A2923" s="324" t="str">
        <f>IFERROR(__xludf.DUMMYFUNCTION("""COMPUTED_VALUE"""),"TND-MUI-056")</f>
        <v>TND-MUI-056</v>
      </c>
      <c r="B2923" s="478" t="str">
        <f>IFERROR(__xludf.DUMMYFUNCTION("""COMPUTED_VALUE"""),"Máy ủi D41")</f>
        <v>Máy ủi D41</v>
      </c>
      <c r="C2923" s="324" t="str">
        <f>IFERROR(__xludf.DUMMYFUNCTION("""COMPUTED_VALUE"""),"CGTC DP")</f>
        <v>CGTC DP</v>
      </c>
      <c r="D2923" s="324" t="str">
        <f>IFERROR(__xludf.DUMMYFUNCTION("""COMPUTED_VALUE"""),"KOMATSU")</f>
        <v>KOMATSU</v>
      </c>
      <c r="E2923" s="324"/>
      <c r="F2923" s="324">
        <f>IFERROR(__xludf.DUMMYFUNCTION("""COMPUTED_VALUE"""),1996.0)</f>
        <v>1996</v>
      </c>
      <c r="G2923" s="324" t="str">
        <f>IFERROR(__xludf.DUMMYFUNCTION("""COMPUTED_VALUE"""),"D41P-6")</f>
        <v>D41P-6</v>
      </c>
      <c r="H2923" s="324" t="str">
        <f>IFERROR(__xludf.DUMMYFUNCTION("""COMPUTED_VALUE"""),"105HP")</f>
        <v>105HP</v>
      </c>
      <c r="I2923" s="324" t="str">
        <f>IFERROR(__xludf.DUMMYFUNCTION("""COMPUTED_VALUE"""),"B20735")</f>
        <v>B20735</v>
      </c>
      <c r="J2923" s="324" t="str">
        <f>IFERROR(__xludf.DUMMYFUNCTION("""COMPUTED_VALUE"""),"60218180")</f>
        <v>60218180</v>
      </c>
      <c r="K2923" s="324">
        <f>IFERROR(__xludf.DUMMYFUNCTION("""COMPUTED_VALUE"""),11.0)</f>
        <v>11</v>
      </c>
      <c r="L2923" s="324" t="str">
        <f>IFERROR(__xludf.DUMMYFUNCTION("""COMPUTED_VALUE"""),"Đang thuê")</f>
        <v>Đang thuê</v>
      </c>
    </row>
    <row r="2924">
      <c r="A2924" s="324" t="str">
        <f>IFERROR(__xludf.DUMMYFUNCTION("""COMPUTED_VALUE"""),"TND-MUI-057")</f>
        <v>TND-MUI-057</v>
      </c>
      <c r="B2924" s="478" t="str">
        <f>IFERROR(__xludf.DUMMYFUNCTION("""COMPUTED_VALUE"""),"Máy ủi D20")</f>
        <v>Máy ủi D20</v>
      </c>
      <c r="C2924" s="324" t="str">
        <f>IFERROR(__xludf.DUMMYFUNCTION("""COMPUTED_VALUE"""),"XN Chuối DP3")</f>
        <v>XN Chuối DP3</v>
      </c>
      <c r="D2924" s="324" t="str">
        <f>IFERROR(__xludf.DUMMYFUNCTION("""COMPUTED_VALUE"""),"KOMATSU")</f>
        <v>KOMATSU</v>
      </c>
      <c r="E2924" s="324"/>
      <c r="F2924" s="324">
        <f>IFERROR(__xludf.DUMMYFUNCTION("""COMPUTED_VALUE"""),2000.0)</f>
        <v>2000</v>
      </c>
      <c r="G2924" s="324" t="str">
        <f>IFERROR(__xludf.DUMMYFUNCTION("""COMPUTED_VALUE"""),"D21P-5")</f>
        <v>D21P-5</v>
      </c>
      <c r="H2924" s="324" t="str">
        <f>IFERROR(__xludf.DUMMYFUNCTION("""COMPUTED_VALUE"""),"40HP")</f>
        <v>40HP</v>
      </c>
      <c r="I2924" s="324" t="str">
        <f>IFERROR(__xludf.DUMMYFUNCTION("""COMPUTED_VALUE"""),"D205-58087")</f>
        <v>D205-58087</v>
      </c>
      <c r="J2924" s="324" t="str">
        <f>IFERROR(__xludf.DUMMYFUNCTION("""COMPUTED_VALUE"""),"4D94-2-66791")</f>
        <v>4D94-2-66791</v>
      </c>
      <c r="K2924" s="324">
        <f>IFERROR(__xludf.DUMMYFUNCTION("""COMPUTED_VALUE"""),4.0)</f>
        <v>4</v>
      </c>
      <c r="L2924" s="324" t="str">
        <f>IFERROR(__xludf.DUMMYFUNCTION("""COMPUTED_VALUE"""),"Đang thuê")</f>
        <v>Đang thuê</v>
      </c>
    </row>
    <row r="2925">
      <c r="A2925" s="324" t="str">
        <f>IFERROR(__xludf.DUMMYFUNCTION("""COMPUTED_VALUE"""),"TND-MUI-058")</f>
        <v>TND-MUI-058</v>
      </c>
      <c r="B2925" s="478" t="str">
        <f>IFERROR(__xludf.DUMMYFUNCTION("""COMPUTED_VALUE"""),"Máy ủi D20")</f>
        <v>Máy ủi D20</v>
      </c>
      <c r="C2925" s="324" t="str">
        <f>IFERROR(__xludf.DUMMYFUNCTION("""COMPUTED_VALUE"""),"XN Chuối DP3")</f>
        <v>XN Chuối DP3</v>
      </c>
      <c r="D2925" s="324" t="str">
        <f>IFERROR(__xludf.DUMMYFUNCTION("""COMPUTED_VALUE"""),"MITSUBISHI")</f>
        <v>MITSUBISHI</v>
      </c>
      <c r="E2925" s="324"/>
      <c r="F2925" s="324">
        <f>IFERROR(__xludf.DUMMYFUNCTION("""COMPUTED_VALUE"""),1995.0)</f>
        <v>1995</v>
      </c>
      <c r="G2925" s="324" t="str">
        <f>IFERROR(__xludf.DUMMYFUNCTION("""COMPUTED_VALUE"""),"BD2F")</f>
        <v>BD2F</v>
      </c>
      <c r="H2925" s="324" t="str">
        <f>IFERROR(__xludf.DUMMYFUNCTION("""COMPUTED_VALUE"""),"40HP")</f>
        <v>40HP</v>
      </c>
      <c r="I2925" s="324" t="str">
        <f>IFERROR(__xludf.DUMMYFUNCTION("""COMPUTED_VALUE"""),"1B1C16876")</f>
        <v>1B1C16876</v>
      </c>
      <c r="J2925" s="324" t="str">
        <f>IFERROR(__xludf.DUMMYFUNCTION("""COMPUTED_VALUE"""),"NIL")</f>
        <v>NIL</v>
      </c>
      <c r="K2925" s="324">
        <f>IFERROR(__xludf.DUMMYFUNCTION("""COMPUTED_VALUE"""),4.0)</f>
        <v>4</v>
      </c>
      <c r="L2925" s="324" t="str">
        <f>IFERROR(__xludf.DUMMYFUNCTION("""COMPUTED_VALUE"""),"Đang thuê")</f>
        <v>Đang thuê</v>
      </c>
    </row>
    <row r="2926">
      <c r="A2926" s="324" t="str">
        <f>IFERROR(__xludf.DUMMYFUNCTION("""COMPUTED_VALUE"""),"Xe lu")</f>
        <v>Xe lu</v>
      </c>
      <c r="B2926" s="478" t="str">
        <f>IFERROR(__xludf.DUMMYFUNCTION("""COMPUTED_VALUE"""),"12")</f>
        <v>12</v>
      </c>
      <c r="C2926" s="324"/>
      <c r="D2926" s="324"/>
      <c r="E2926" s="324"/>
      <c r="F2926" s="324"/>
      <c r="G2926" s="324"/>
      <c r="H2926" s="324"/>
      <c r="I2926" s="324"/>
      <c r="J2926" s="324"/>
      <c r="K2926" s="324"/>
      <c r="L2926" s="324" t="str">
        <f>IFERROR(__xludf.DUMMYFUNCTION("""COMPUTED_VALUE"""),"2")</f>
        <v>2</v>
      </c>
    </row>
    <row r="2927">
      <c r="A2927" s="324" t="str">
        <f>IFERROR(__xludf.DUMMYFUNCTION("""COMPUTED_VALUE"""),"TND-XLU-001")</f>
        <v>TND-XLU-001</v>
      </c>
      <c r="B2927" s="478" t="str">
        <f>IFERROR(__xludf.DUMMYFUNCTION("""COMPUTED_VALUE"""),"Xe Lu 14 tấn")</f>
        <v>Xe Lu 14 tấn</v>
      </c>
      <c r="C2927" s="324" t="str">
        <f>IFERROR(__xludf.DUMMYFUNCTION("""COMPUTED_VALUE"""),"CGTC DP")</f>
        <v>CGTC DP</v>
      </c>
      <c r="D2927" s="324" t="str">
        <f>IFERROR(__xludf.DUMMYFUNCTION("""COMPUTED_VALUE"""),"LIUGONG")</f>
        <v>LIUGONG</v>
      </c>
      <c r="E2927" s="324"/>
      <c r="F2927" s="324"/>
      <c r="G2927" s="324" t="str">
        <f>IFERROR(__xludf.DUMMYFUNCTION("""COMPUTED_VALUE"""),"CLG6114E")</f>
        <v>CLG6114E</v>
      </c>
      <c r="H2927" s="324" t="str">
        <f>IFERROR(__xludf.DUMMYFUNCTION("""COMPUTED_VALUE"""),"134Hp")</f>
        <v>134Hp</v>
      </c>
      <c r="I2927" s="324" t="str">
        <f>IFERROR(__xludf.DUMMYFUNCTION("""COMPUTED_VALUE"""),"2SV23-30355")</f>
        <v>2SV23-30355</v>
      </c>
      <c r="J2927" s="324" t="str">
        <f>IFERROR(__xludf.DUMMYFUNCTION("""COMPUTED_VALUE"""),"4BG1-956775")</f>
        <v>4BG1-956775</v>
      </c>
      <c r="K2927" s="324"/>
      <c r="L2927" s="324" t="str">
        <f>IFERROR(__xludf.DUMMYFUNCTION("""COMPUTED_VALUE"""),"-")</f>
        <v>-</v>
      </c>
    </row>
    <row r="2928">
      <c r="A2928" s="324" t="str">
        <f>IFERROR(__xludf.DUMMYFUNCTION("""COMPUTED_VALUE"""),"TND-XLU-002")</f>
        <v>TND-XLU-002</v>
      </c>
      <c r="B2928" s="478" t="str">
        <f>IFERROR(__xludf.DUMMYFUNCTION("""COMPUTED_VALUE"""),"Xe Lu 14 tấn")</f>
        <v>Xe Lu 14 tấn</v>
      </c>
      <c r="C2928" s="324" t="str">
        <f>IFERROR(__xludf.DUMMYFUNCTION("""COMPUTED_VALUE"""),"CGTC DP")</f>
        <v>CGTC DP</v>
      </c>
      <c r="D2928" s="324" t="str">
        <f>IFERROR(__xludf.DUMMYFUNCTION("""COMPUTED_VALUE"""),"LIUGONG")</f>
        <v>LIUGONG</v>
      </c>
      <c r="E2928" s="324"/>
      <c r="F2928" s="324"/>
      <c r="G2928" s="324" t="str">
        <f>IFERROR(__xludf.DUMMYFUNCTION("""COMPUTED_VALUE"""),"CLG6114E")</f>
        <v>CLG6114E</v>
      </c>
      <c r="H2928" s="324" t="str">
        <f>IFERROR(__xludf.DUMMYFUNCTION("""COMPUTED_VALUE"""),"134Hp")</f>
        <v>134Hp</v>
      </c>
      <c r="I2928" s="324" t="str">
        <f>IFERROR(__xludf.DUMMYFUNCTION("""COMPUTED_VALUE"""),"30D3616230614")</f>
        <v>30D3616230614</v>
      </c>
      <c r="J2928" s="324" t="str">
        <f>IFERROR(__xludf.DUMMYFUNCTION("""COMPUTED_VALUE""")," ")</f>
        <v> </v>
      </c>
      <c r="K2928" s="324"/>
      <c r="L2928" s="324" t="str">
        <f>IFERROR(__xludf.DUMMYFUNCTION("""COMPUTED_VALUE"""),"-")</f>
        <v>-</v>
      </c>
    </row>
    <row r="2929">
      <c r="A2929" s="324" t="str">
        <f>IFERROR(__xludf.DUMMYFUNCTION("""COMPUTED_VALUE"""),"TND-XLU-003")</f>
        <v>TND-XLU-003</v>
      </c>
      <c r="B2929" s="478" t="str">
        <f>IFERROR(__xludf.DUMMYFUNCTION("""COMPUTED_VALUE"""),"Xe lu 25 tấn")</f>
        <v>Xe lu 25 tấn</v>
      </c>
      <c r="C2929" s="324" t="str">
        <f>IFERROR(__xludf.DUMMYFUNCTION("""COMPUTED_VALUE"""),"CGTC DP")</f>
        <v>CGTC DP</v>
      </c>
      <c r="D2929" s="324" t="str">
        <f>IFERROR(__xludf.DUMMYFUNCTION("""COMPUTED_VALUE"""),"LIUGONG")</f>
        <v>LIUGONG</v>
      </c>
      <c r="E2929" s="324" t="str">
        <f>IFERROR(__xludf.DUMMYFUNCTION("""COMPUTED_VALUE"""),"TRUNG QUỐC")</f>
        <v>TRUNG QUỐC</v>
      </c>
      <c r="F2929" s="324">
        <f>IFERROR(__xludf.DUMMYFUNCTION("""COMPUTED_VALUE"""),2005.0)</f>
        <v>2005</v>
      </c>
      <c r="G2929" s="324" t="str">
        <f>IFERROR(__xludf.DUMMYFUNCTION("""COMPUTED_VALUE"""),"CLG614")</f>
        <v>CLG614</v>
      </c>
      <c r="H2929" s="324" t="str">
        <f>IFERROR(__xludf.DUMMYFUNCTION("""COMPUTED_VALUE"""),"190HP")</f>
        <v>190HP</v>
      </c>
      <c r="I2929" s="324" t="str">
        <f>IFERROR(__xludf.DUMMYFUNCTION("""COMPUTED_VALUE"""),"30X0018102771")</f>
        <v>30X0018102771</v>
      </c>
      <c r="J2929" s="324" t="str">
        <f>IFERROR(__xludf.DUMMYFUNCTION("""COMPUTED_VALUE"""),"B410M75529")</f>
        <v>B410M75529</v>
      </c>
      <c r="K2929" s="324">
        <f>IFERROR(__xludf.DUMMYFUNCTION("""COMPUTED_VALUE"""),10.0)</f>
        <v>10</v>
      </c>
      <c r="L2929" s="324" t="str">
        <f>IFERROR(__xludf.DUMMYFUNCTION("""COMPUTED_VALUE"""),"-")</f>
        <v>-</v>
      </c>
    </row>
    <row r="2930">
      <c r="A2930" s="324" t="str">
        <f>IFERROR(__xludf.DUMMYFUNCTION("""COMPUTED_VALUE"""),"TND-XLU-004")</f>
        <v>TND-XLU-004</v>
      </c>
      <c r="B2930" s="478" t="str">
        <f>IFERROR(__xludf.DUMMYFUNCTION("""COMPUTED_VALUE"""),"Xe lu 25 tấn")</f>
        <v>Xe lu 25 tấn</v>
      </c>
      <c r="C2930" s="324" t="str">
        <f>IFERROR(__xludf.DUMMYFUNCTION("""COMPUTED_VALUE"""),"CGTC DP")</f>
        <v>CGTC DP</v>
      </c>
      <c r="D2930" s="324" t="str">
        <f>IFERROR(__xludf.DUMMYFUNCTION("""COMPUTED_VALUE"""),"LIUGONG")</f>
        <v>LIUGONG</v>
      </c>
      <c r="E2930" s="324" t="str">
        <f>IFERROR(__xludf.DUMMYFUNCTION("""COMPUTED_VALUE"""),"TRUNG QUỐC")</f>
        <v>TRUNG QUỐC</v>
      </c>
      <c r="F2930" s="324">
        <f>IFERROR(__xludf.DUMMYFUNCTION("""COMPUTED_VALUE"""),2010.0)</f>
        <v>2010</v>
      </c>
      <c r="G2930" s="324" t="str">
        <f>IFERROR(__xludf.DUMMYFUNCTION("""COMPUTED_VALUE"""),"CLG614")</f>
        <v>CLG614</v>
      </c>
      <c r="H2930" s="324" t="str">
        <f>IFERROR(__xludf.DUMMYFUNCTION("""COMPUTED_VALUE"""),"190HP")</f>
        <v>190HP</v>
      </c>
      <c r="I2930" s="324" t="str">
        <f>IFERROR(__xludf.DUMMYFUNCTION("""COMPUTED_VALUE"""),"30X0018100069")</f>
        <v>30X0018100069</v>
      </c>
      <c r="J2930" s="324" t="str">
        <f>IFERROR(__xludf.DUMMYFUNCTION("""COMPUTED_VALUE"""),"B409053346")</f>
        <v>B409053346</v>
      </c>
      <c r="K2930" s="324">
        <f>IFERROR(__xludf.DUMMYFUNCTION("""COMPUTED_VALUE"""),10.0)</f>
        <v>10</v>
      </c>
      <c r="L2930" s="324" t="str">
        <f>IFERROR(__xludf.DUMMYFUNCTION("""COMPUTED_VALUE"""),"-")</f>
        <v>-</v>
      </c>
    </row>
    <row r="2931">
      <c r="A2931" s="324" t="str">
        <f>IFERROR(__xludf.DUMMYFUNCTION("""COMPUTED_VALUE"""),"TND-XLU-005")</f>
        <v>TND-XLU-005</v>
      </c>
      <c r="B2931" s="478" t="str">
        <f>IFERROR(__xludf.DUMMYFUNCTION("""COMPUTED_VALUE"""),"Xu lu 22 tấn")</f>
        <v>Xu lu 22 tấn</v>
      </c>
      <c r="C2931" s="324" t="str">
        <f>IFERROR(__xludf.DUMMYFUNCTION("""COMPUTED_VALUE"""),"CGTC DP")</f>
        <v>CGTC DP</v>
      </c>
      <c r="D2931" s="324" t="str">
        <f>IFERROR(__xludf.DUMMYFUNCTION("""COMPUTED_VALUE"""),"LIUGONG")</f>
        <v>LIUGONG</v>
      </c>
      <c r="E2931" s="324" t="str">
        <f>IFERROR(__xludf.DUMMYFUNCTION("""COMPUTED_VALUE"""),"TRUNG QUỐC")</f>
        <v>TRUNG QUỐC</v>
      </c>
      <c r="F2931" s="324">
        <f>IFERROR(__xludf.DUMMYFUNCTION("""COMPUTED_VALUE"""),2024.0)</f>
        <v>2024</v>
      </c>
      <c r="G2931" s="324" t="str">
        <f>IFERROR(__xludf.DUMMYFUNCTION("""COMPUTED_VALUE"""),"CLG114E")</f>
        <v>CLG114E</v>
      </c>
      <c r="H2931" s="324" t="str">
        <f>IFERROR(__xludf.DUMMYFUNCTION("""COMPUTED_VALUE"""),"138HP")</f>
        <v>138HP</v>
      </c>
      <c r="I2931" s="324" t="str">
        <f>IFERROR(__xludf.DUMMYFUNCTION("""COMPUTED_VALUE"""),"LGJ6114ECRR065285")</f>
        <v>LGJ6114ECRR065285</v>
      </c>
      <c r="J2931" s="324" t="str">
        <f>IFERROR(__xludf.DUMMYFUNCTION("""COMPUTED_VALUE"""),"SCTH2101G2H9242007334")</f>
        <v>SCTH2101G2H9242007334</v>
      </c>
      <c r="K2931" s="324">
        <f>IFERROR(__xludf.DUMMYFUNCTION("""COMPUTED_VALUE"""),15.0)</f>
        <v>15</v>
      </c>
      <c r="L2931" s="324" t="str">
        <f>IFERROR(__xludf.DUMMYFUNCTION("""COMPUTED_VALUE"""),"-")</f>
        <v>-</v>
      </c>
    </row>
    <row r="2932">
      <c r="A2932" s="324" t="str">
        <f>IFERROR(__xludf.DUMMYFUNCTION("""COMPUTED_VALUE"""),"TND-XLU-006")</f>
        <v>TND-XLU-006</v>
      </c>
      <c r="B2932" s="478" t="str">
        <f>IFERROR(__xludf.DUMMYFUNCTION("""COMPUTED_VALUE"""),"Xe lu 14 tấn")</f>
        <v>Xe lu 14 tấn</v>
      </c>
      <c r="C2932" s="324" t="str">
        <f>IFERROR(__xludf.DUMMYFUNCTION("""COMPUTED_VALUE"""),"CGTC DP")</f>
        <v>CGTC DP</v>
      </c>
      <c r="D2932" s="324" t="str">
        <f>IFERROR(__xludf.DUMMYFUNCTION("""COMPUTED_VALUE"""),"LIUGONG")</f>
        <v>LIUGONG</v>
      </c>
      <c r="E2932" s="324" t="str">
        <f>IFERROR(__xludf.DUMMYFUNCTION("""COMPUTED_VALUE"""),"TRUNG QUỐC")</f>
        <v>TRUNG QUỐC</v>
      </c>
      <c r="F2932" s="324">
        <f>IFERROR(__xludf.DUMMYFUNCTION("""COMPUTED_VALUE"""),2021.0)</f>
        <v>2021</v>
      </c>
      <c r="G2932" s="324" t="str">
        <f>IFERROR(__xludf.DUMMYFUNCTION("""COMPUTED_VALUE"""),"CLG6114E")</f>
        <v>CLG6114E</v>
      </c>
      <c r="H2932" s="324" t="str">
        <f>IFERROR(__xludf.DUMMYFUNCTION("""COMPUTED_VALUE"""),"138HP")</f>
        <v>138HP</v>
      </c>
      <c r="I2932" s="324" t="str">
        <f>IFERROR(__xludf.DUMMYFUNCTION("""COMPUTED_VALUE"""),"LGJ6114EHNR052672")</f>
        <v>LGJ6114EHNR052672</v>
      </c>
      <c r="J2932" s="324" t="str">
        <f>IFERROR(__xludf.DUMMYFUNCTION("""COMPUTED_VALUE"""),"H2214012175")</f>
        <v>H2214012175</v>
      </c>
      <c r="K2932" s="324">
        <f>IFERROR(__xludf.DUMMYFUNCTION("""COMPUTED_VALUE"""),12.0)</f>
        <v>12</v>
      </c>
      <c r="L2932" s="324" t="str">
        <f>IFERROR(__xludf.DUMMYFUNCTION("""COMPUTED_VALUE"""),"-")</f>
        <v>-</v>
      </c>
    </row>
    <row r="2933">
      <c r="A2933" s="324" t="str">
        <f>IFERROR(__xludf.DUMMYFUNCTION("""COMPUTED_VALUE"""),"TND-XLU-007")</f>
        <v>TND-XLU-007</v>
      </c>
      <c r="B2933" s="478" t="str">
        <f>IFERROR(__xludf.DUMMYFUNCTION("""COMPUTED_VALUE"""),"Xe lu rung 11 tấn")</f>
        <v>Xe lu rung 11 tấn</v>
      </c>
      <c r="C2933" s="324" t="str">
        <f>IFERROR(__xludf.DUMMYFUNCTION("""COMPUTED_VALUE"""),"CGTC DP")</f>
        <v>CGTC DP</v>
      </c>
      <c r="D2933" s="324" t="str">
        <f>IFERROR(__xludf.DUMMYFUNCTION("""COMPUTED_VALUE"""),"SAKAI")</f>
        <v>SAKAI</v>
      </c>
      <c r="E2933" s="324" t="str">
        <f>IFERROR(__xludf.DUMMYFUNCTION("""COMPUTED_VALUE"""),"TRUNG QUỐC")</f>
        <v>TRUNG QUỐC</v>
      </c>
      <c r="F2933" s="324">
        <f>IFERROR(__xludf.DUMMYFUNCTION("""COMPUTED_VALUE"""),2019.0)</f>
        <v>2019</v>
      </c>
      <c r="G2933" s="324" t="str">
        <f>IFERROR(__xludf.DUMMYFUNCTION("""COMPUTED_VALUE"""),"SV512DH")</f>
        <v>SV512DH</v>
      </c>
      <c r="H2933" s="324" t="str">
        <f>IFERROR(__xludf.DUMMYFUNCTION("""COMPUTED_VALUE"""),"111HP")</f>
        <v>111HP</v>
      </c>
      <c r="I2933" s="324" t="str">
        <f>IFERROR(__xludf.DUMMYFUNCTION("""COMPUTED_VALUE"""),"2SV23-30355")</f>
        <v>2SV23-30355</v>
      </c>
      <c r="J2933" s="324" t="str">
        <f>IFERROR(__xludf.DUMMYFUNCTION("""COMPUTED_VALUE"""),"4BG1-956775")</f>
        <v>4BG1-956775</v>
      </c>
      <c r="K2933" s="324">
        <f>IFERROR(__xludf.DUMMYFUNCTION("""COMPUTED_VALUE"""),6.5)</f>
        <v>6.5</v>
      </c>
      <c r="L2933" s="324" t="str">
        <f>IFERROR(__xludf.DUMMYFUNCTION("""COMPUTED_VALUE"""),"-")</f>
        <v>-</v>
      </c>
    </row>
    <row r="2934">
      <c r="A2934" s="324" t="str">
        <f>IFERROR(__xludf.DUMMYFUNCTION("""COMPUTED_VALUE"""),"TND-XLU-008")</f>
        <v>TND-XLU-008</v>
      </c>
      <c r="B2934" s="478" t="str">
        <f>IFERROR(__xludf.DUMMYFUNCTION("""COMPUTED_VALUE"""),"Xe lu 11 tấn")</f>
        <v>Xe lu 11 tấn</v>
      </c>
      <c r="C2934" s="324" t="str">
        <f>IFERROR(__xludf.DUMMYFUNCTION("""COMPUTED_VALUE"""),"CGTC DP")</f>
        <v>CGTC DP</v>
      </c>
      <c r="D2934" s="324" t="str">
        <f>IFERROR(__xludf.DUMMYFUNCTION("""COMPUTED_VALUE"""),"SAKAI")</f>
        <v>SAKAI</v>
      </c>
      <c r="E2934" s="324"/>
      <c r="F2934" s="324">
        <f>IFERROR(__xludf.DUMMYFUNCTION("""COMPUTED_VALUE"""),2001.0)</f>
        <v>2001</v>
      </c>
      <c r="G2934" s="324" t="str">
        <f>IFERROR(__xludf.DUMMYFUNCTION("""COMPUTED_VALUE"""),"SV512D-H")</f>
        <v>SV512D-H</v>
      </c>
      <c r="H2934" s="324" t="str">
        <f>IFERROR(__xludf.DUMMYFUNCTION("""COMPUTED_VALUE"""),"148HP")</f>
        <v>148HP</v>
      </c>
      <c r="I2934" s="324" t="str">
        <f>IFERROR(__xludf.DUMMYFUNCTION("""COMPUTED_VALUE"""),"2SV23-30294")</f>
        <v>2SV23-30294</v>
      </c>
      <c r="J2934" s="324" t="str">
        <f>IFERROR(__xludf.DUMMYFUNCTION("""COMPUTED_VALUE"""),"951821")</f>
        <v>951821</v>
      </c>
      <c r="K2934" s="324">
        <f>IFERROR(__xludf.DUMMYFUNCTION("""COMPUTED_VALUE"""),9.0)</f>
        <v>9</v>
      </c>
      <c r="L2934" s="324" t="str">
        <f>IFERROR(__xludf.DUMMYFUNCTION("""COMPUTED_VALUE"""),"-")</f>
        <v>-</v>
      </c>
    </row>
    <row r="2935">
      <c r="A2935" s="324" t="str">
        <f>IFERROR(__xludf.DUMMYFUNCTION("""COMPUTED_VALUE"""),"TND-XLU-009")</f>
        <v>TND-XLU-009</v>
      </c>
      <c r="B2935" s="478" t="str">
        <f>IFERROR(__xludf.DUMMYFUNCTION("""COMPUTED_VALUE"""),"Xe lu rung 11 tấn")</f>
        <v>Xe lu rung 11 tấn</v>
      </c>
      <c r="C2935" s="324" t="str">
        <f>IFERROR(__xludf.DUMMYFUNCTION("""COMPUTED_VALUE"""),"CGTC DP")</f>
        <v>CGTC DP</v>
      </c>
      <c r="D2935" s="324" t="str">
        <f>IFERROR(__xludf.DUMMYFUNCTION("""COMPUTED_VALUE"""),"VOLVO")</f>
        <v>VOLVO</v>
      </c>
      <c r="E2935" s="324"/>
      <c r="F2935" s="324">
        <f>IFERROR(__xludf.DUMMYFUNCTION("""COMPUTED_VALUE"""),2016.0)</f>
        <v>2016</v>
      </c>
      <c r="G2935" s="324" t="str">
        <f>IFERROR(__xludf.DUMMYFUNCTION("""COMPUTED_VALUE"""),"SD110B")</f>
        <v>SD110B</v>
      </c>
      <c r="H2935" s="324"/>
      <c r="I2935" s="324" t="str">
        <f>IFERROR(__xludf.DUMMYFUNCTION("""COMPUTED_VALUE"""),"VCES110BL0C552165")</f>
        <v>VCES110BL0C552165</v>
      </c>
      <c r="J2935" s="324" t="str">
        <f>IFERROR(__xludf.DUMMYFUNCTION("""COMPUTED_VALUE"""),"11939852")</f>
        <v>11939852</v>
      </c>
      <c r="K2935" s="324">
        <f>IFERROR(__xludf.DUMMYFUNCTION("""COMPUTED_VALUE"""),6.0)</f>
        <v>6</v>
      </c>
      <c r="L2935" s="324" t="str">
        <f>IFERROR(__xludf.DUMMYFUNCTION("""COMPUTED_VALUE"""),"-")</f>
        <v>-</v>
      </c>
    </row>
    <row r="2936">
      <c r="A2936" s="324" t="str">
        <f>IFERROR(__xludf.DUMMYFUNCTION("""COMPUTED_VALUE"""),"TND-XLU-010")</f>
        <v>TND-XLU-010</v>
      </c>
      <c r="B2936" s="478" t="str">
        <f>IFERROR(__xludf.DUMMYFUNCTION("""COMPUTED_VALUE"""),"Xe lu rung 12 tấn")</f>
        <v>Xe lu rung 12 tấn</v>
      </c>
      <c r="C2936" s="324" t="str">
        <f>IFERROR(__xludf.DUMMYFUNCTION("""COMPUTED_VALUE"""),"CGTC DP")</f>
        <v>CGTC DP</v>
      </c>
      <c r="D2936" s="324" t="str">
        <f>IFERROR(__xludf.DUMMYFUNCTION("""COMPUTED_VALUE"""),"DYNAPAC")</f>
        <v>DYNAPAC</v>
      </c>
      <c r="E2936" s="324"/>
      <c r="F2936" s="324">
        <f>IFERROR(__xludf.DUMMYFUNCTION("""COMPUTED_VALUE"""),2023.0)</f>
        <v>2023</v>
      </c>
      <c r="G2936" s="324" t="str">
        <f>IFERROR(__xludf.DUMMYFUNCTION("""COMPUTED_VALUE"""),"DRS120D")</f>
        <v>DRS120D</v>
      </c>
      <c r="H2936" s="324" t="str">
        <f>IFERROR(__xludf.DUMMYFUNCTION("""COMPUTED_VALUE"""),"104HP")</f>
        <v>104HP</v>
      </c>
      <c r="I2936" s="324" t="str">
        <f>IFERROR(__xludf.DUMMYFUNCTION("""COMPUTED_VALUE"""),"1030D194CPE012923")</f>
        <v>1030D194CPE012923</v>
      </c>
      <c r="J2936" s="324" t="str">
        <f>IFERROR(__xludf.DUMMYFUNCTION("""COMPUTED_VALUE"""),"4H27782220180")</f>
        <v>4H27782220180</v>
      </c>
      <c r="K2936" s="324">
        <f>IFERROR(__xludf.DUMMYFUNCTION("""COMPUTED_VALUE"""),9.0)</f>
        <v>9</v>
      </c>
      <c r="L2936" s="324" t="str">
        <f>IFERROR(__xludf.DUMMYFUNCTION("""COMPUTED_VALUE"""),"-")</f>
        <v>-</v>
      </c>
    </row>
    <row r="2937">
      <c r="A2937" s="324" t="str">
        <f>IFERROR(__xludf.DUMMYFUNCTION("""COMPUTED_VALUE"""),"TND-XLU-011")</f>
        <v>TND-XLU-011</v>
      </c>
      <c r="B2937" s="478" t="str">
        <f>IFERROR(__xludf.DUMMYFUNCTION("""COMPUTED_VALUE"""),"Xe lu rung 14 tấn")</f>
        <v>Xe lu rung 14 tấn</v>
      </c>
      <c r="C2937" s="324" t="str">
        <f>IFERROR(__xludf.DUMMYFUNCTION("""COMPUTED_VALUE"""),"CGTC DP")</f>
        <v>CGTC DP</v>
      </c>
      <c r="D2937" s="324" t="str">
        <f>IFERROR(__xludf.DUMMYFUNCTION("""COMPUTED_VALUE"""),"LIUGONG")</f>
        <v>LIUGONG</v>
      </c>
      <c r="E2937" s="324"/>
      <c r="F2937" s="324">
        <f>IFERROR(__xludf.DUMMYFUNCTION("""COMPUTED_VALUE"""),2024.0)</f>
        <v>2024</v>
      </c>
      <c r="G2937" s="324" t="str">
        <f>IFERROR(__xludf.DUMMYFUNCTION("""COMPUTED_VALUE"""),"CLG6114E")</f>
        <v>CLG6114E</v>
      </c>
      <c r="H2937" s="324" t="str">
        <f>IFERROR(__xludf.DUMMYFUNCTION("""COMPUTED_VALUE"""),"138HP")</f>
        <v>138HP</v>
      </c>
      <c r="I2937" s="324" t="str">
        <f>IFERROR(__xludf.DUMMYFUNCTION("""COMPUTED_VALUE"""),"65285")</f>
        <v>65285</v>
      </c>
      <c r="J2937" s="324" t="str">
        <f>IFERROR(__xludf.DUMMYFUNCTION("""COMPUTED_VALUE"""),"92450144T3")</f>
        <v>92450144T3</v>
      </c>
      <c r="K2937" s="324">
        <f>IFERROR(__xludf.DUMMYFUNCTION("""COMPUTED_VALUE"""),6.5)</f>
        <v>6.5</v>
      </c>
      <c r="L2937" s="324" t="str">
        <f>IFERROR(__xludf.DUMMYFUNCTION("""COMPUTED_VALUE"""),"-")</f>
        <v>-</v>
      </c>
    </row>
    <row r="2938">
      <c r="A2938" s="324" t="str">
        <f>IFERROR(__xludf.DUMMYFUNCTION("""COMPUTED_VALUE"""),"TND-XLU-012")</f>
        <v>TND-XLU-012</v>
      </c>
      <c r="B2938" s="478" t="str">
        <f>IFERROR(__xludf.DUMMYFUNCTION("""COMPUTED_VALUE"""),"Xe lu rung 14 tấn")</f>
        <v>Xe lu rung 14 tấn</v>
      </c>
      <c r="C2938" s="324" t="str">
        <f>IFERROR(__xludf.DUMMYFUNCTION("""COMPUTED_VALUE"""),"CGTC DP")</f>
        <v>CGTC DP</v>
      </c>
      <c r="D2938" s="324" t="str">
        <f>IFERROR(__xludf.DUMMYFUNCTION("""COMPUTED_VALUE"""),"XCMG")</f>
        <v>XCMG</v>
      </c>
      <c r="E2938" s="324"/>
      <c r="F2938" s="324">
        <f>IFERROR(__xludf.DUMMYFUNCTION("""COMPUTED_VALUE"""),2018.0)</f>
        <v>2018</v>
      </c>
      <c r="G2938" s="324" t="str">
        <f>IFERROR(__xludf.DUMMYFUNCTION("""COMPUTED_VALUE"""),"XS143J")</f>
        <v>XS143J</v>
      </c>
      <c r="H2938" s="324" t="str">
        <f>IFERROR(__xludf.DUMMYFUNCTION("""COMPUTED_VALUE"""),"138HP")</f>
        <v>138HP</v>
      </c>
      <c r="I2938" s="324" t="str">
        <f>IFERROR(__xludf.DUMMYFUNCTION("""COMPUTED_VALUE"""),"AHJE04912")</f>
        <v>AHJE04912</v>
      </c>
      <c r="J2938" s="324" t="str">
        <f>IFERROR(__xludf.DUMMYFUNCTION("""COMPUTED_VALUE"""),"6150-2340-3200")</f>
        <v>6150-2340-3200</v>
      </c>
      <c r="K2938" s="324">
        <f>IFERROR(__xludf.DUMMYFUNCTION("""COMPUTED_VALUE"""),9.0)</f>
        <v>9</v>
      </c>
      <c r="L2938" s="324" t="str">
        <f>IFERROR(__xludf.DUMMYFUNCTION("""COMPUTED_VALUE"""),"-")</f>
        <v>-</v>
      </c>
    </row>
    <row r="2939">
      <c r="A2939" s="324" t="str">
        <f>IFERROR(__xludf.DUMMYFUNCTION("""COMPUTED_VALUE"""),"TND-XLU-013")</f>
        <v>TND-XLU-013</v>
      </c>
      <c r="B2939" s="478" t="str">
        <f>IFERROR(__xludf.DUMMYFUNCTION("""COMPUTED_VALUE"""),"Xe lu rung 14 tấn")</f>
        <v>Xe lu rung 14 tấn</v>
      </c>
      <c r="C2939" s="324" t="str">
        <f>IFERROR(__xludf.DUMMYFUNCTION("""COMPUTED_VALUE"""),"CGTC DP")</f>
        <v>CGTC DP</v>
      </c>
      <c r="D2939" s="324" t="str">
        <f>IFERROR(__xludf.DUMMYFUNCTION("""COMPUTED_VALUE"""),"LIUGONG")</f>
        <v>LIUGONG</v>
      </c>
      <c r="E2939" s="324"/>
      <c r="F2939" s="324">
        <f>IFERROR(__xludf.DUMMYFUNCTION("""COMPUTED_VALUE"""),2024.0)</f>
        <v>2024</v>
      </c>
      <c r="G2939" s="324" t="str">
        <f>IFERROR(__xludf.DUMMYFUNCTION("""COMPUTED_VALUE"""),"CLG6114E")</f>
        <v>CLG6114E</v>
      </c>
      <c r="H2939" s="324" t="str">
        <f>IFERROR(__xludf.DUMMYFUNCTION("""COMPUTED_VALUE"""),"140HP")</f>
        <v>140HP</v>
      </c>
      <c r="I2939" s="324" t="str">
        <f>IFERROR(__xludf.DUMMYFUNCTION("""COMPUTED_VALUE"""),"30D3616240944")</f>
        <v>30D3616240944</v>
      </c>
      <c r="J2939" s="324" t="str">
        <f>IFERROR(__xludf.DUMMYFUNCTION("""COMPUTED_VALUE"""),"8C4H140202H92450114473")</f>
        <v>8C4H140202H92450114473</v>
      </c>
      <c r="K2939" s="324">
        <f>IFERROR(__xludf.DUMMYFUNCTION("""COMPUTED_VALUE"""),12.0)</f>
        <v>12</v>
      </c>
      <c r="L2939" s="324" t="str">
        <f>IFERROR(__xludf.DUMMYFUNCTION("""COMPUTED_VALUE"""),"-")</f>
        <v>-</v>
      </c>
    </row>
    <row r="2940">
      <c r="A2940" s="324" t="str">
        <f>IFERROR(__xludf.DUMMYFUNCTION("""COMPUTED_VALUE"""),"TND-XLU-014")</f>
        <v>TND-XLU-014</v>
      </c>
      <c r="B2940" s="478" t="str">
        <f>IFERROR(__xludf.DUMMYFUNCTION("""COMPUTED_VALUE"""),"Xe ủi 11.5T")</f>
        <v>Xe ủi 11.5T</v>
      </c>
      <c r="C2940" s="324" t="str">
        <f>IFERROR(__xludf.DUMMYFUNCTION("""COMPUTED_VALUE"""),"CGTC DP")</f>
        <v>CGTC DP</v>
      </c>
      <c r="D2940" s="324"/>
      <c r="E2940" s="324"/>
      <c r="F2940" s="324"/>
      <c r="G2940" s="324"/>
      <c r="H2940" s="324"/>
      <c r="I2940" s="324"/>
      <c r="J2940" s="324"/>
      <c r="K2940" s="324"/>
      <c r="L2940" s="324" t="str">
        <f>IFERROR(__xludf.DUMMYFUNCTION("""COMPUTED_VALUE"""),"-")</f>
        <v>-</v>
      </c>
    </row>
    <row r="2941">
      <c r="A2941" s="324" t="str">
        <f>IFERROR(__xludf.DUMMYFUNCTION("""COMPUTED_VALUE"""),"TND-XLU-015")</f>
        <v>TND-XLU-015</v>
      </c>
      <c r="B2941" s="478" t="str">
        <f>IFERROR(__xludf.DUMMYFUNCTION("""COMPUTED_VALUE"""),"Xe lu rung 10 tấn")</f>
        <v>Xe lu rung 10 tấn</v>
      </c>
      <c r="C2941" s="324" t="str">
        <f>IFERROR(__xludf.DUMMYFUNCTION("""COMPUTED_VALUE"""),"CGTC DP")</f>
        <v>CGTC DP</v>
      </c>
      <c r="D2941" s="324" t="str">
        <f>IFERROR(__xludf.DUMMYFUNCTION("""COMPUTED_VALUE"""),"SAKAI")</f>
        <v>SAKAI</v>
      </c>
      <c r="E2941" s="324"/>
      <c r="F2941" s="324">
        <f>IFERROR(__xludf.DUMMYFUNCTION("""COMPUTED_VALUE"""),2020.0)</f>
        <v>2020</v>
      </c>
      <c r="G2941" s="324" t="str">
        <f>IFERROR(__xludf.DUMMYFUNCTION("""COMPUTED_VALUE"""),"SV521D")</f>
        <v>SV521D</v>
      </c>
      <c r="H2941" s="324" t="str">
        <f>IFERROR(__xludf.DUMMYFUNCTION("""COMPUTED_VALUE"""),"113HP")</f>
        <v>113HP</v>
      </c>
      <c r="I2941" s="324" t="str">
        <f>IFERROR(__xludf.DUMMYFUNCTION("""COMPUTED_VALUE"""),"2SV66-10557")</f>
        <v>2SV66-10557</v>
      </c>
      <c r="J2941" s="324" t="str">
        <f>IFERROR(__xludf.DUMMYFUNCTION("""COMPUTED_VALUE"""),"4BG1-133952")</f>
        <v>4BG1-133952</v>
      </c>
      <c r="K2941" s="324">
        <f>IFERROR(__xludf.DUMMYFUNCTION("""COMPUTED_VALUE"""),8.0)</f>
        <v>8</v>
      </c>
      <c r="L2941" s="324" t="str">
        <f>IFERROR(__xludf.DUMMYFUNCTION("""COMPUTED_VALUE"""),"-")</f>
        <v>-</v>
      </c>
    </row>
    <row r="2942">
      <c r="A2942" s="324" t="str">
        <f>IFERROR(__xludf.DUMMYFUNCTION("""COMPUTED_VALUE"""),"TND-XLU-016")</f>
        <v>TND-XLU-016</v>
      </c>
      <c r="B2942" s="478" t="str">
        <f>IFERROR(__xludf.DUMMYFUNCTION("""COMPUTED_VALUE"""),"Xe lu rung 14 tấn")</f>
        <v>Xe lu rung 14 tấn</v>
      </c>
      <c r="C2942" s="324" t="str">
        <f>IFERROR(__xludf.DUMMYFUNCTION("""COMPUTED_VALUE"""),"CGTC DP")</f>
        <v>CGTC DP</v>
      </c>
      <c r="D2942" s="324" t="str">
        <f>IFERROR(__xludf.DUMMYFUNCTION("""COMPUTED_VALUE"""),"LIUGONG")</f>
        <v>LIUGONG</v>
      </c>
      <c r="E2942" s="324"/>
      <c r="F2942" s="324">
        <f>IFERROR(__xludf.DUMMYFUNCTION("""COMPUTED_VALUE"""),2024.0)</f>
        <v>2024</v>
      </c>
      <c r="G2942" s="324" t="str">
        <f>IFERROR(__xludf.DUMMYFUNCTION("""COMPUTED_VALUE"""),"CLG6114E")</f>
        <v>CLG6114E</v>
      </c>
      <c r="H2942" s="324" t="str">
        <f>IFERROR(__xludf.DUMMYFUNCTION("""COMPUTED_VALUE"""),"140HP")</f>
        <v>140HP</v>
      </c>
      <c r="I2942" s="324" t="str">
        <f>IFERROR(__xludf.DUMMYFUNCTION("""COMPUTED_VALUE"""),"30D3616241132")</f>
        <v>30D3616241132</v>
      </c>
      <c r="J2942" s="324" t="str">
        <f>IFERROR(__xludf.DUMMYFUNCTION("""COMPUTED_VALUE"""),"SC4H1402G2H9246016949")</f>
        <v>SC4H1402G2H9246016949</v>
      </c>
      <c r="K2942" s="324">
        <f>IFERROR(__xludf.DUMMYFUNCTION("""COMPUTED_VALUE"""),12.0)</f>
        <v>12</v>
      </c>
      <c r="L2942" s="324" t="str">
        <f>IFERROR(__xludf.DUMMYFUNCTION("""COMPUTED_VALUE"""),"Đang thuê")</f>
        <v>Đang thuê</v>
      </c>
    </row>
    <row r="2943">
      <c r="A2943" s="324" t="str">
        <f>IFERROR(__xludf.DUMMYFUNCTION("""COMPUTED_VALUE"""),"TND-XLU-017")</f>
        <v>TND-XLU-017</v>
      </c>
      <c r="B2943" s="478" t="str">
        <f>IFERROR(__xludf.DUMMYFUNCTION("""COMPUTED_VALUE"""),"Xe lu rung 15 tấn")</f>
        <v>Xe lu rung 15 tấn</v>
      </c>
      <c r="C2943" s="324" t="str">
        <f>IFERROR(__xludf.DUMMYFUNCTION("""COMPUTED_VALUE"""),"CGTC DP")</f>
        <v>CGTC DP</v>
      </c>
      <c r="D2943" s="324" t="str">
        <f>IFERROR(__xludf.DUMMYFUNCTION("""COMPUTED_VALUE"""),"DYNAPAC")</f>
        <v>DYNAPAC</v>
      </c>
      <c r="E2943" s="324"/>
      <c r="F2943" s="324">
        <f>IFERROR(__xludf.DUMMYFUNCTION("""COMPUTED_VALUE"""),1998.0)</f>
        <v>1998</v>
      </c>
      <c r="G2943" s="324" t="str">
        <f>IFERROR(__xludf.DUMMYFUNCTION("""COMPUTED_VALUE"""),"CA30D")</f>
        <v>CA30D</v>
      </c>
      <c r="H2943" s="324"/>
      <c r="I2943" s="324" t="str">
        <f>IFERROR(__xludf.DUMMYFUNCTION("""COMPUTED_VALUE"""),"53768")</f>
        <v>53768</v>
      </c>
      <c r="J2943" s="324"/>
      <c r="K2943" s="324">
        <f>IFERROR(__xludf.DUMMYFUNCTION("""COMPUTED_VALUE"""),12.0)</f>
        <v>12</v>
      </c>
      <c r="L2943" s="324" t="str">
        <f>IFERROR(__xludf.DUMMYFUNCTION("""COMPUTED_VALUE"""),"-")</f>
        <v>-</v>
      </c>
    </row>
    <row r="2944">
      <c r="A2944" s="324" t="str">
        <f>IFERROR(__xludf.DUMMYFUNCTION("""COMPUTED_VALUE"""),"TND-XLU-018")</f>
        <v>TND-XLU-018</v>
      </c>
      <c r="B2944" s="478" t="str">
        <f>IFERROR(__xludf.DUMMYFUNCTION("""COMPUTED_VALUE"""),"Xe lu rung 22 tấn")</f>
        <v>Xe lu rung 22 tấn</v>
      </c>
      <c r="C2944" s="324" t="str">
        <f>IFERROR(__xludf.DUMMYFUNCTION("""COMPUTED_VALUE"""),"CGTC DP")</f>
        <v>CGTC DP</v>
      </c>
      <c r="D2944" s="324" t="str">
        <f>IFERROR(__xludf.DUMMYFUNCTION("""COMPUTED_VALUE"""),"LIUGONG")</f>
        <v>LIUGONG</v>
      </c>
      <c r="E2944" s="324"/>
      <c r="F2944" s="324">
        <f>IFERROR(__xludf.DUMMYFUNCTION("""COMPUTED_VALUE"""),2020.0)</f>
        <v>2020</v>
      </c>
      <c r="G2944" s="324" t="str">
        <f>IFERROR(__xludf.DUMMYFUNCTION("""COMPUTED_VALUE"""),"CLG6122E")</f>
        <v>CLG6122E</v>
      </c>
      <c r="H2944" s="324" t="str">
        <f>IFERROR(__xludf.DUMMYFUNCTION("""COMPUTED_VALUE"""),"177HP")</f>
        <v>177HP</v>
      </c>
      <c r="I2944" s="324" t="str">
        <f>IFERROR(__xludf.DUMMYFUNCTION("""COMPUTED_VALUE"""),"30D3549201263")</f>
        <v>30D3549201263</v>
      </c>
      <c r="J2944" s="324" t="str">
        <f>IFERROR(__xludf.DUMMYFUNCTION("""COMPUTED_VALUE"""),"SC8D1803G2B1D9209014347")</f>
        <v>SC8D1803G2B1D9209014347</v>
      </c>
      <c r="K2944" s="324">
        <f>IFERROR(__xludf.DUMMYFUNCTION("""COMPUTED_VALUE"""),16.0)</f>
        <v>16</v>
      </c>
      <c r="L2944" s="324" t="str">
        <f>IFERROR(__xludf.DUMMYFUNCTION("""COMPUTED_VALUE"""),"Đang thuê")</f>
        <v>Đang thuê</v>
      </c>
    </row>
    <row r="2945">
      <c r="A2945" s="324" t="str">
        <f>IFERROR(__xludf.DUMMYFUNCTION("""COMPUTED_VALUE"""),"TND-XLU-019")</f>
        <v>TND-XLU-019</v>
      </c>
      <c r="B2945" s="478" t="str">
        <f>IFERROR(__xludf.DUMMYFUNCTION("""COMPUTED_VALUE"""),"Xe lu rung 11 tấn")</f>
        <v>Xe lu rung 11 tấn</v>
      </c>
      <c r="C2945" s="324" t="str">
        <f>IFERROR(__xludf.DUMMYFUNCTION("""COMPUTED_VALUE"""),"CGTC DP")</f>
        <v>CGTC DP</v>
      </c>
      <c r="D2945" s="324" t="str">
        <f>IFERROR(__xludf.DUMMYFUNCTION("""COMPUTED_VALUE"""),"LIUGONG")</f>
        <v>LIUGONG</v>
      </c>
      <c r="E2945" s="324"/>
      <c r="F2945" s="324">
        <f>IFERROR(__xludf.DUMMYFUNCTION("""COMPUTED_VALUE"""),2022.0)</f>
        <v>2022</v>
      </c>
      <c r="G2945" s="324" t="str">
        <f>IFERROR(__xludf.DUMMYFUNCTION("""COMPUTED_VALUE"""),"CS11GC")</f>
        <v>CS11GC</v>
      </c>
      <c r="H2945" s="324" t="str">
        <f>IFERROR(__xludf.DUMMYFUNCTION("""COMPUTED_VALUE"""),"112HP")</f>
        <v>112HP</v>
      </c>
      <c r="I2945" s="324" t="str">
        <f>IFERROR(__xludf.DUMMYFUNCTION("""COMPUTED_VALUE"""),"CAT0CS11CRK801512")</f>
        <v>CAT0CS11CRK801512</v>
      </c>
      <c r="J2945" s="324" t="str">
        <f>IFERROR(__xludf.DUMMYFUNCTION("""COMPUTED_VALUE"""),"MFX12741")</f>
        <v>MFX12741</v>
      </c>
      <c r="K2945" s="324">
        <f>IFERROR(__xludf.DUMMYFUNCTION("""COMPUTED_VALUE"""),9.0)</f>
        <v>9</v>
      </c>
      <c r="L2945" s="324" t="str">
        <f>IFERROR(__xludf.DUMMYFUNCTION("""COMPUTED_VALUE"""),"-")</f>
        <v>-</v>
      </c>
    </row>
    <row r="2946">
      <c r="A2946" s="324" t="str">
        <f>IFERROR(__xludf.DUMMYFUNCTION("""COMPUTED_VALUE"""),"Xe ben")</f>
        <v>Xe ben</v>
      </c>
      <c r="B2946" s="478" t="str">
        <f>IFERROR(__xludf.DUMMYFUNCTION("""COMPUTED_VALUE"""),"54")</f>
        <v>54</v>
      </c>
      <c r="C2946" s="324"/>
      <c r="D2946" s="324"/>
      <c r="E2946" s="324"/>
      <c r="F2946" s="324"/>
      <c r="G2946" s="324"/>
      <c r="H2946" s="324"/>
      <c r="I2946" s="324"/>
      <c r="J2946" s="324"/>
      <c r="K2946" s="324"/>
      <c r="L2946" s="324" t="str">
        <f>IFERROR(__xludf.DUMMYFUNCTION("""COMPUTED_VALUE"""),"13")</f>
        <v>13</v>
      </c>
    </row>
    <row r="2947">
      <c r="A2947" s="324" t="str">
        <f>IFERROR(__xludf.DUMMYFUNCTION("""COMPUTED_VALUE"""),"TND-XTA-002")</f>
        <v>TND-XTA-002</v>
      </c>
      <c r="B2947" s="478" t="str">
        <f>IFERROR(__xludf.DUMMYFUNCTION("""COMPUTED_VALUE"""),"Xe ben 15 tấn")</f>
        <v>Xe ben 15 tấn</v>
      </c>
      <c r="C2947" s="324" t="str">
        <f>IFERROR(__xludf.DUMMYFUNCTION("""COMPUTED_VALUE"""),"CGTC DP")</f>
        <v>CGTC DP</v>
      </c>
      <c r="D2947" s="324" t="str">
        <f>IFERROR(__xludf.DUMMYFUNCTION("""COMPUTED_VALUE"""),"HYUNDAI")</f>
        <v>HYUNDAI</v>
      </c>
      <c r="E2947" s="324"/>
      <c r="F2947" s="324">
        <f>IFERROR(__xludf.DUMMYFUNCTION("""COMPUTED_VALUE"""),1996.0)</f>
        <v>1996</v>
      </c>
      <c r="G2947" s="324"/>
      <c r="H2947" s="324" t="str">
        <f>IFERROR(__xludf.DUMMYFUNCTION("""COMPUTED_VALUE"""),"355HP")</f>
        <v>355HP</v>
      </c>
      <c r="I2947" s="324" t="str">
        <f>IFERROR(__xludf.DUMMYFUNCTION("""COMPUTED_VALUE"""),"KMCDB19BETC104092")</f>
        <v>KMCDB19BETC104092</v>
      </c>
      <c r="J2947" s="324" t="str">
        <f>IFERROR(__xludf.DUMMYFUNCTION("""COMPUTED_VALUE"""),"D8ABT003408")</f>
        <v>D8ABT003408</v>
      </c>
      <c r="K2947" s="324"/>
      <c r="L2947" s="324" t="str">
        <f>IFERROR(__xludf.DUMMYFUNCTION("""COMPUTED_VALUE"""),"-")</f>
        <v>-</v>
      </c>
    </row>
    <row r="2948">
      <c r="A2948" s="324" t="str">
        <f>IFERROR(__xludf.DUMMYFUNCTION("""COMPUTED_VALUE"""),"TND-XTA-003")</f>
        <v>TND-XTA-003</v>
      </c>
      <c r="B2948" s="478" t="str">
        <f>IFERROR(__xludf.DUMMYFUNCTION("""COMPUTED_VALUE"""),"Xe ben 15 tấn")</f>
        <v>Xe ben 15 tấn</v>
      </c>
      <c r="C2948" s="324" t="str">
        <f>IFERROR(__xludf.DUMMYFUNCTION("""COMPUTED_VALUE"""),"CGTC DP")</f>
        <v>CGTC DP</v>
      </c>
      <c r="D2948" s="324" t="str">
        <f>IFERROR(__xludf.DUMMYFUNCTION("""COMPUTED_VALUE"""),"HYUNDAI")</f>
        <v>HYUNDAI</v>
      </c>
      <c r="E2948" s="324"/>
      <c r="F2948" s="324">
        <f>IFERROR(__xludf.DUMMYFUNCTION("""COMPUTED_VALUE"""),1995.0)</f>
        <v>1995</v>
      </c>
      <c r="G2948" s="324"/>
      <c r="H2948" s="324" t="str">
        <f>IFERROR(__xludf.DUMMYFUNCTION("""COMPUTED_VALUE"""),"355HP")</f>
        <v>355HP</v>
      </c>
      <c r="I2948" s="324" t="str">
        <f>IFERROR(__xludf.DUMMYFUNCTION("""COMPUTED_VALUE"""),"KMCDB18YPSU020637")</f>
        <v>KMCDB18YPSU020637</v>
      </c>
      <c r="J2948" s="324" t="str">
        <f>IFERROR(__xludf.DUMMYFUNCTION("""COMPUTED_VALUE"""),"D8AYS142762")</f>
        <v>D8AYS142762</v>
      </c>
      <c r="K2948" s="324"/>
      <c r="L2948" s="324" t="str">
        <f>IFERROR(__xludf.DUMMYFUNCTION("""COMPUTED_VALUE"""),"-")</f>
        <v>-</v>
      </c>
    </row>
    <row r="2949">
      <c r="A2949" s="324" t="str">
        <f>IFERROR(__xludf.DUMMYFUNCTION("""COMPUTED_VALUE"""),"TND-XTA-004")</f>
        <v>TND-XTA-004</v>
      </c>
      <c r="B2949" s="478" t="str">
        <f>IFERROR(__xludf.DUMMYFUNCTION("""COMPUTED_VALUE"""),"Xe ben 15 tấn")</f>
        <v>Xe ben 15 tấn</v>
      </c>
      <c r="C2949" s="324" t="str">
        <f>IFERROR(__xludf.DUMMYFUNCTION("""COMPUTED_VALUE"""),"CGTC DP")</f>
        <v>CGTC DP</v>
      </c>
      <c r="D2949" s="324" t="str">
        <f>IFERROR(__xludf.DUMMYFUNCTION("""COMPUTED_VALUE"""),"HYUNDAI")</f>
        <v>HYUNDAI</v>
      </c>
      <c r="E2949" s="324"/>
      <c r="F2949" s="324">
        <f>IFERROR(__xludf.DUMMYFUNCTION("""COMPUTED_VALUE"""),2004.0)</f>
        <v>2004</v>
      </c>
      <c r="G2949" s="324"/>
      <c r="H2949" s="324" t="str">
        <f>IFERROR(__xludf.DUMMYFUNCTION("""COMPUTED_VALUE"""),"355HP")</f>
        <v>355HP</v>
      </c>
      <c r="I2949" s="324" t="str">
        <f>IFERROR(__xludf.DUMMYFUNCTION("""COMPUTED_VALUE"""),"KMCPB18TP4C1741")</f>
        <v>KMCPB18TP4C1741</v>
      </c>
      <c r="J2949" s="324" t="str">
        <f>IFERROR(__xludf.DUMMYFUNCTION("""COMPUTED_VALUE"""),"D6AC3084058")</f>
        <v>D6AC3084058</v>
      </c>
      <c r="K2949" s="324"/>
      <c r="L2949" s="324" t="str">
        <f>IFERROR(__xludf.DUMMYFUNCTION("""COMPUTED_VALUE"""),"-")</f>
        <v>-</v>
      </c>
    </row>
    <row r="2950">
      <c r="A2950" s="324" t="str">
        <f>IFERROR(__xludf.DUMMYFUNCTION("""COMPUTED_VALUE"""),"TND-XTA-005")</f>
        <v>TND-XTA-005</v>
      </c>
      <c r="B2950" s="478" t="str">
        <f>IFERROR(__xludf.DUMMYFUNCTION("""COMPUTED_VALUE"""),"Xe ben 15 tấn")</f>
        <v>Xe ben 15 tấn</v>
      </c>
      <c r="C2950" s="324" t="str">
        <f>IFERROR(__xludf.DUMMYFUNCTION("""COMPUTED_VALUE"""),"CGTC DP")</f>
        <v>CGTC DP</v>
      </c>
      <c r="D2950" s="324" t="str">
        <f>IFERROR(__xludf.DUMMYFUNCTION("""COMPUTED_VALUE"""),"TOYOTA")</f>
        <v>TOYOTA</v>
      </c>
      <c r="E2950" s="324"/>
      <c r="F2950" s="324">
        <f>IFERROR(__xludf.DUMMYFUNCTION("""COMPUTED_VALUE"""),1994.0)</f>
        <v>1994</v>
      </c>
      <c r="G2950" s="324" t="str">
        <f>IFERROR(__xludf.DUMMYFUNCTION("""COMPUTED_VALUE"""),"CAR")</f>
        <v>CAR</v>
      </c>
      <c r="H2950" s="324" t="str">
        <f>IFERROR(__xludf.DUMMYFUNCTION("""COMPUTED_VALUE"""),"320HP")</f>
        <v>320HP</v>
      </c>
      <c r="I2950" s="324" t="str">
        <f>IFERROR(__xludf.DUMMYFUNCTION("""COMPUTED_VALUE"""),"AE1010073442")</f>
        <v>AE1010073442</v>
      </c>
      <c r="J2950" s="324" t="str">
        <f>IFERROR(__xludf.DUMMYFUNCTION("""COMPUTED_VALUE"""),"4AK608071")</f>
        <v>4AK608071</v>
      </c>
      <c r="K2950" s="324"/>
      <c r="L2950" s="324" t="str">
        <f>IFERROR(__xludf.DUMMYFUNCTION("""COMPUTED_VALUE"""),"-")</f>
        <v>-</v>
      </c>
    </row>
    <row r="2951">
      <c r="A2951" s="324" t="str">
        <f>IFERROR(__xludf.DUMMYFUNCTION("""COMPUTED_VALUE"""),"TND-XTA-006")</f>
        <v>TND-XTA-006</v>
      </c>
      <c r="B2951" s="478" t="str">
        <f>IFERROR(__xludf.DUMMYFUNCTION("""COMPUTED_VALUE"""),"Xe ben 15 tấn")</f>
        <v>Xe ben 15 tấn</v>
      </c>
      <c r="C2951" s="324" t="str">
        <f>IFERROR(__xludf.DUMMYFUNCTION("""COMPUTED_VALUE"""),"CGTC DP")</f>
        <v>CGTC DP</v>
      </c>
      <c r="D2951" s="324" t="str">
        <f>IFERROR(__xludf.DUMMYFUNCTION("""COMPUTED_VALUE"""),"HYUNDAI")</f>
        <v>HYUNDAI</v>
      </c>
      <c r="E2951" s="324"/>
      <c r="F2951" s="324"/>
      <c r="G2951" s="324"/>
      <c r="H2951" s="324" t="str">
        <f>IFERROR(__xludf.DUMMYFUNCTION("""COMPUTED_VALUE"""),"320HP")</f>
        <v>320HP</v>
      </c>
      <c r="I2951" s="324" t="str">
        <f>IFERROR(__xludf.DUMMYFUNCTION("""COMPUTED_VALUE"""),"NIL")</f>
        <v>NIL</v>
      </c>
      <c r="J2951" s="324" t="str">
        <f>IFERROR(__xludf.DUMMYFUNCTION("""COMPUTED_VALUE"""),"D8AYP096892")</f>
        <v>D8AYP096892</v>
      </c>
      <c r="K2951" s="324"/>
      <c r="L2951" s="324" t="str">
        <f>IFERROR(__xludf.DUMMYFUNCTION("""COMPUTED_VALUE"""),"-")</f>
        <v>-</v>
      </c>
    </row>
    <row r="2952">
      <c r="A2952" s="324" t="str">
        <f>IFERROR(__xludf.DUMMYFUNCTION("""COMPUTED_VALUE"""),"TND-XTA-007")</f>
        <v>TND-XTA-007</v>
      </c>
      <c r="B2952" s="478" t="str">
        <f>IFERROR(__xludf.DUMMYFUNCTION("""COMPUTED_VALUE"""),"Xe ben 25 tấn")</f>
        <v>Xe ben 25 tấn</v>
      </c>
      <c r="C2952" s="324" t="str">
        <f>IFERROR(__xludf.DUMMYFUNCTION("""COMPUTED_VALUE"""),"CGTC DP")</f>
        <v>CGTC DP</v>
      </c>
      <c r="D2952" s="324" t="str">
        <f>IFERROR(__xludf.DUMMYFUNCTION("""COMPUTED_VALUE"""),"HYUNDAI")</f>
        <v>HYUNDAI</v>
      </c>
      <c r="E2952" s="324"/>
      <c r="F2952" s="324">
        <f>IFERROR(__xludf.DUMMYFUNCTION("""COMPUTED_VALUE"""),1997.0)</f>
        <v>1997</v>
      </c>
      <c r="G2952" s="324"/>
      <c r="H2952" s="324" t="str">
        <f>IFERROR(__xludf.DUMMYFUNCTION("""COMPUTED_VALUE"""),"380HP")</f>
        <v>380HP</v>
      </c>
      <c r="I2952" s="324" t="str">
        <f>IFERROR(__xludf.DUMMYFUNCTION("""COMPUTED_VALUE"""),"KMCDB19BPVC104887")</f>
        <v>KMCDB19BPVC104887</v>
      </c>
      <c r="J2952" s="324" t="str">
        <f>IFERROR(__xludf.DUMMYFUNCTION("""COMPUTED_VALUE"""),"D8ABV007103")</f>
        <v>D8ABV007103</v>
      </c>
      <c r="K2952" s="324"/>
      <c r="L2952" s="324" t="str">
        <f>IFERROR(__xludf.DUMMYFUNCTION("""COMPUTED_VALUE"""),"-")</f>
        <v>-</v>
      </c>
    </row>
    <row r="2953">
      <c r="A2953" s="324" t="str">
        <f>IFERROR(__xludf.DUMMYFUNCTION("""COMPUTED_VALUE"""),"TND-XTA-008")</f>
        <v>TND-XTA-008</v>
      </c>
      <c r="B2953" s="478" t="str">
        <f>IFERROR(__xludf.DUMMYFUNCTION("""COMPUTED_VALUE"""),"Xe ben 25 tấn")</f>
        <v>Xe ben 25 tấn</v>
      </c>
      <c r="C2953" s="324" t="str">
        <f>IFERROR(__xludf.DUMMYFUNCTION("""COMPUTED_VALUE"""),"CGTC DP")</f>
        <v>CGTC DP</v>
      </c>
      <c r="D2953" s="324" t="str">
        <f>IFERROR(__xludf.DUMMYFUNCTION("""COMPUTED_VALUE"""),"HYUNDAI")</f>
        <v>HYUNDAI</v>
      </c>
      <c r="E2953" s="324"/>
      <c r="F2953" s="324">
        <f>IFERROR(__xludf.DUMMYFUNCTION("""COMPUTED_VALUE"""),1997.0)</f>
        <v>1997</v>
      </c>
      <c r="G2953" s="324"/>
      <c r="H2953" s="324" t="str">
        <f>IFERROR(__xludf.DUMMYFUNCTION("""COMPUTED_VALUE"""),"380HP")</f>
        <v>380HP</v>
      </c>
      <c r="I2953" s="324" t="str">
        <f>IFERROR(__xludf.DUMMYFUNCTION("""COMPUTED_VALUE"""),"NIL")</f>
        <v>NIL</v>
      </c>
      <c r="J2953" s="324" t="str">
        <f>IFERROR(__xludf.DUMMYFUNCTION("""COMPUTED_VALUE"""),"D8AXX023750")</f>
        <v>D8AXX023750</v>
      </c>
      <c r="K2953" s="324"/>
      <c r="L2953" s="324" t="str">
        <f>IFERROR(__xludf.DUMMYFUNCTION("""COMPUTED_VALUE"""),"-")</f>
        <v>-</v>
      </c>
    </row>
    <row r="2954">
      <c r="A2954" s="324" t="str">
        <f>IFERROR(__xludf.DUMMYFUNCTION("""COMPUTED_VALUE"""),"TND-XTA-009")</f>
        <v>TND-XTA-009</v>
      </c>
      <c r="B2954" s="478" t="str">
        <f>IFERROR(__xludf.DUMMYFUNCTION("""COMPUTED_VALUE"""),"Xe ben 15 tấn")</f>
        <v>Xe ben 15 tấn</v>
      </c>
      <c r="C2954" s="324" t="str">
        <f>IFERROR(__xludf.DUMMYFUNCTION("""COMPUTED_VALUE"""),"CGTC DP")</f>
        <v>CGTC DP</v>
      </c>
      <c r="D2954" s="324" t="str">
        <f>IFERROR(__xludf.DUMMYFUNCTION("""COMPUTED_VALUE"""),"HYUNDAI")</f>
        <v>HYUNDAI</v>
      </c>
      <c r="E2954" s="324"/>
      <c r="F2954" s="324">
        <f>IFERROR(__xludf.DUMMYFUNCTION("""COMPUTED_VALUE"""),1991.0)</f>
        <v>1991</v>
      </c>
      <c r="G2954" s="324"/>
      <c r="H2954" s="324" t="str">
        <f>IFERROR(__xludf.DUMMYFUNCTION("""COMPUTED_VALUE"""),"320HP")</f>
        <v>320HP</v>
      </c>
      <c r="I2954" s="324" t="str">
        <f>IFERROR(__xludf.DUMMYFUNCTION("""COMPUTED_VALUE"""),"NIL")</f>
        <v>NIL</v>
      </c>
      <c r="J2954" s="324" t="str">
        <f>IFERROR(__xludf.DUMMYFUNCTION("""COMPUTED_VALUE"""),"D8AYM071460")</f>
        <v>D8AYM071460</v>
      </c>
      <c r="K2954" s="324"/>
      <c r="L2954" s="324" t="str">
        <f>IFERROR(__xludf.DUMMYFUNCTION("""COMPUTED_VALUE"""),"-")</f>
        <v>-</v>
      </c>
    </row>
    <row r="2955">
      <c r="A2955" s="324" t="str">
        <f>IFERROR(__xludf.DUMMYFUNCTION("""COMPUTED_VALUE"""),"TND-XTA-010")</f>
        <v>TND-XTA-010</v>
      </c>
      <c r="B2955" s="478" t="str">
        <f>IFERROR(__xludf.DUMMYFUNCTION("""COMPUTED_VALUE"""),"Xe ben 25 tấn")</f>
        <v>Xe ben 25 tấn</v>
      </c>
      <c r="C2955" s="324" t="str">
        <f>IFERROR(__xludf.DUMMYFUNCTION("""COMPUTED_VALUE"""),"CGTC DP")</f>
        <v>CGTC DP</v>
      </c>
      <c r="D2955" s="324" t="str">
        <f>IFERROR(__xludf.DUMMYFUNCTION("""COMPUTED_VALUE"""),"HYUNDAI")</f>
        <v>HYUNDAI</v>
      </c>
      <c r="E2955" s="324"/>
      <c r="F2955" s="324">
        <f>IFERROR(__xludf.DUMMYFUNCTION("""COMPUTED_VALUE"""),2003.0)</f>
        <v>2003</v>
      </c>
      <c r="G2955" s="324"/>
      <c r="H2955" s="324" t="str">
        <f>IFERROR(__xludf.DUMMYFUNCTION("""COMPUTED_VALUE"""),"380HP")</f>
        <v>380HP</v>
      </c>
      <c r="I2955" s="324" t="str">
        <f>IFERROR(__xludf.DUMMYFUNCTION("""COMPUTED_VALUE"""),"NIL")</f>
        <v>NIL</v>
      </c>
      <c r="J2955" s="324" t="str">
        <f>IFERROR(__xludf.DUMMYFUNCTION("""COMPUTED_VALUE"""),"D6CA3082884")</f>
        <v>D6CA3082884</v>
      </c>
      <c r="K2955" s="324"/>
      <c r="L2955" s="324" t="str">
        <f>IFERROR(__xludf.DUMMYFUNCTION("""COMPUTED_VALUE"""),"-")</f>
        <v>-</v>
      </c>
    </row>
    <row r="2956">
      <c r="A2956" s="324" t="str">
        <f>IFERROR(__xludf.DUMMYFUNCTION("""COMPUTED_VALUE"""),"TND-XTA-011")</f>
        <v>TND-XTA-011</v>
      </c>
      <c r="B2956" s="478" t="str">
        <f>IFERROR(__xludf.DUMMYFUNCTION("""COMPUTED_VALUE"""),"Xe ben 15 tấn")</f>
        <v>Xe ben 15 tấn</v>
      </c>
      <c r="C2956" s="324" t="str">
        <f>IFERROR(__xludf.DUMMYFUNCTION("""COMPUTED_VALUE"""),"CGTC DP")</f>
        <v>CGTC DP</v>
      </c>
      <c r="D2956" s="324" t="str">
        <f>IFERROR(__xludf.DUMMYFUNCTION("""COMPUTED_VALUE"""),"HYUNDAI")</f>
        <v>HYUNDAI</v>
      </c>
      <c r="E2956" s="324"/>
      <c r="F2956" s="324">
        <f>IFERROR(__xludf.DUMMYFUNCTION("""COMPUTED_VALUE"""),2006.0)</f>
        <v>2006</v>
      </c>
      <c r="G2956" s="324"/>
      <c r="H2956" s="324" t="str">
        <f>IFERROR(__xludf.DUMMYFUNCTION("""COMPUTED_VALUE"""),"320HP")</f>
        <v>320HP</v>
      </c>
      <c r="I2956" s="324" t="str">
        <f>IFERROR(__xludf.DUMMYFUNCTION("""COMPUTED_VALUE"""),"NIL")</f>
        <v>NIL</v>
      </c>
      <c r="J2956" s="324" t="str">
        <f>IFERROR(__xludf.DUMMYFUNCTION("""COMPUTED_VALUE"""),"D6CB6122604")</f>
        <v>D6CB6122604</v>
      </c>
      <c r="K2956" s="324"/>
      <c r="L2956" s="324" t="str">
        <f>IFERROR(__xludf.DUMMYFUNCTION("""COMPUTED_VALUE"""),"-")</f>
        <v>-</v>
      </c>
    </row>
    <row r="2957">
      <c r="A2957" s="324" t="str">
        <f>IFERROR(__xludf.DUMMYFUNCTION("""COMPUTED_VALUE"""),"TND-XTA-012")</f>
        <v>TND-XTA-012</v>
      </c>
      <c r="B2957" s="478" t="str">
        <f>IFERROR(__xludf.DUMMYFUNCTION("""COMPUTED_VALUE"""),"Xe ben 15 tấn")</f>
        <v>Xe ben 15 tấn</v>
      </c>
      <c r="C2957" s="324" t="str">
        <f>IFERROR(__xludf.DUMMYFUNCTION("""COMPUTED_VALUE"""),"CGTC DP")</f>
        <v>CGTC DP</v>
      </c>
      <c r="D2957" s="324" t="str">
        <f>IFERROR(__xludf.DUMMYFUNCTION("""COMPUTED_VALUE"""),"HYUNDAI")</f>
        <v>HYUNDAI</v>
      </c>
      <c r="E2957" s="324"/>
      <c r="F2957" s="324">
        <f>IFERROR(__xludf.DUMMYFUNCTION("""COMPUTED_VALUE"""),1997.0)</f>
        <v>1997</v>
      </c>
      <c r="G2957" s="324"/>
      <c r="H2957" s="324" t="str">
        <f>IFERROR(__xludf.DUMMYFUNCTION("""COMPUTED_VALUE"""),"320HP")</f>
        <v>320HP</v>
      </c>
      <c r="I2957" s="324" t="str">
        <f>IFERROR(__xludf.DUMMYFUNCTION("""COMPUTED_VALUE"""),"KMCDB18YPTC100783")</f>
        <v>KMCDB18YPTC100783</v>
      </c>
      <c r="J2957" s="324" t="str">
        <f>IFERROR(__xludf.DUMMYFUNCTION("""COMPUTED_VALUE"""),"D8AYT159705")</f>
        <v>D8AYT159705</v>
      </c>
      <c r="K2957" s="324"/>
      <c r="L2957" s="324" t="str">
        <f>IFERROR(__xludf.DUMMYFUNCTION("""COMPUTED_VALUE"""),"-")</f>
        <v>-</v>
      </c>
    </row>
    <row r="2958">
      <c r="A2958" s="324" t="str">
        <f>IFERROR(__xludf.DUMMYFUNCTION("""COMPUTED_VALUE"""),"TND-XTA-013")</f>
        <v>TND-XTA-013</v>
      </c>
      <c r="B2958" s="478" t="str">
        <f>IFERROR(__xludf.DUMMYFUNCTION("""COMPUTED_VALUE"""),"Xe ben 15 tấn")</f>
        <v>Xe ben 15 tấn</v>
      </c>
      <c r="C2958" s="324" t="str">
        <f>IFERROR(__xludf.DUMMYFUNCTION("""COMPUTED_VALUE"""),"CGTC DP")</f>
        <v>CGTC DP</v>
      </c>
      <c r="D2958" s="324" t="str">
        <f>IFERROR(__xludf.DUMMYFUNCTION("""COMPUTED_VALUE"""),"HYUNDAI")</f>
        <v>HYUNDAI</v>
      </c>
      <c r="E2958" s="324"/>
      <c r="F2958" s="324">
        <f>IFERROR(__xludf.DUMMYFUNCTION("""COMPUTED_VALUE"""),1992.0)</f>
        <v>1992</v>
      </c>
      <c r="G2958" s="324"/>
      <c r="H2958" s="324" t="str">
        <f>IFERROR(__xludf.DUMMYFUNCTION("""COMPUTED_VALUE"""),"320HP")</f>
        <v>320HP</v>
      </c>
      <c r="I2958" s="324"/>
      <c r="J2958" s="324" t="str">
        <f>IFERROR(__xludf.DUMMYFUNCTION("""COMPUTED_VALUE"""),"D8AYD107456")</f>
        <v>D8AYD107456</v>
      </c>
      <c r="K2958" s="324"/>
      <c r="L2958" s="324" t="str">
        <f>IFERROR(__xludf.DUMMYFUNCTION("""COMPUTED_VALUE"""),"-")</f>
        <v>-</v>
      </c>
    </row>
    <row r="2959">
      <c r="A2959" s="324" t="str">
        <f>IFERROR(__xludf.DUMMYFUNCTION("""COMPUTED_VALUE"""),"TND-XTA-014")</f>
        <v>TND-XTA-014</v>
      </c>
      <c r="B2959" s="478" t="str">
        <f>IFERROR(__xludf.DUMMYFUNCTION("""COMPUTED_VALUE"""),"Xe ben 15 tấn")</f>
        <v>Xe ben 15 tấn</v>
      </c>
      <c r="C2959" s="324" t="str">
        <f>IFERROR(__xludf.DUMMYFUNCTION("""COMPUTED_VALUE"""),"CGTC DP")</f>
        <v>CGTC DP</v>
      </c>
      <c r="D2959" s="324" t="str">
        <f>IFERROR(__xludf.DUMMYFUNCTION("""COMPUTED_VALUE"""),"HYUNDAI")</f>
        <v>HYUNDAI</v>
      </c>
      <c r="E2959" s="324"/>
      <c r="F2959" s="324">
        <f>IFERROR(__xludf.DUMMYFUNCTION("""COMPUTED_VALUE"""),1997.0)</f>
        <v>1997</v>
      </c>
      <c r="G2959" s="324"/>
      <c r="H2959" s="324" t="str">
        <f>IFERROR(__xludf.DUMMYFUNCTION("""COMPUTED_VALUE"""),"320HP")</f>
        <v>320HP</v>
      </c>
      <c r="I2959" s="324"/>
      <c r="J2959" s="324" t="str">
        <f>IFERROR(__xludf.DUMMYFUNCTION("""COMPUTED_VALUE"""),"D8AYV007817")</f>
        <v>D8AYV007817</v>
      </c>
      <c r="K2959" s="324"/>
      <c r="L2959" s="324" t="str">
        <f>IFERROR(__xludf.DUMMYFUNCTION("""COMPUTED_VALUE"""),"-")</f>
        <v>-</v>
      </c>
    </row>
    <row r="2960">
      <c r="A2960" s="324" t="str">
        <f>IFERROR(__xludf.DUMMYFUNCTION("""COMPUTED_VALUE"""),"TND-XTA-015")</f>
        <v>TND-XTA-015</v>
      </c>
      <c r="B2960" s="478" t="str">
        <f>IFERROR(__xludf.DUMMYFUNCTION("""COMPUTED_VALUE"""),"Xe ben 15 tấn")</f>
        <v>Xe ben 15 tấn</v>
      </c>
      <c r="C2960" s="324" t="str">
        <f>IFERROR(__xludf.DUMMYFUNCTION("""COMPUTED_VALUE"""),"CGTC DP")</f>
        <v>CGTC DP</v>
      </c>
      <c r="D2960" s="324" t="str">
        <f>IFERROR(__xludf.DUMMYFUNCTION("""COMPUTED_VALUE"""),"HYUNDAI")</f>
        <v>HYUNDAI</v>
      </c>
      <c r="E2960" s="324"/>
      <c r="F2960" s="324">
        <f>IFERROR(__xludf.DUMMYFUNCTION("""COMPUTED_VALUE"""),2002.0)</f>
        <v>2002</v>
      </c>
      <c r="G2960" s="324"/>
      <c r="H2960" s="324" t="str">
        <f>IFERROR(__xludf.DUMMYFUNCTION("""COMPUTED_VALUE"""),"380HP")</f>
        <v>380HP</v>
      </c>
      <c r="I2960" s="324" t="str">
        <f>IFERROR(__xludf.DUMMYFUNCTION("""COMPUTED_VALUE"""),"KMC8B19SP22015241")</f>
        <v>KMC8B19SP22015241</v>
      </c>
      <c r="J2960" s="324"/>
      <c r="K2960" s="324"/>
      <c r="L2960" s="324" t="str">
        <f>IFERROR(__xludf.DUMMYFUNCTION("""COMPUTED_VALUE"""),"-")</f>
        <v>-</v>
      </c>
    </row>
    <row r="2961">
      <c r="A2961" s="324" t="str">
        <f>IFERROR(__xludf.DUMMYFUNCTION("""COMPUTED_VALUE"""),"TND-XTA-016")</f>
        <v>TND-XTA-016</v>
      </c>
      <c r="B2961" s="478" t="str">
        <f>IFERROR(__xludf.DUMMYFUNCTION("""COMPUTED_VALUE"""),"Xe ben 15 tấn")</f>
        <v>Xe ben 15 tấn</v>
      </c>
      <c r="C2961" s="324" t="str">
        <f>IFERROR(__xludf.DUMMYFUNCTION("""COMPUTED_VALUE"""),"CGTC DP")</f>
        <v>CGTC DP</v>
      </c>
      <c r="D2961" s="324" t="str">
        <f>IFERROR(__xludf.DUMMYFUNCTION("""COMPUTED_VALUE"""),"HYUNDAI")</f>
        <v>HYUNDAI</v>
      </c>
      <c r="E2961" s="324"/>
      <c r="F2961" s="324">
        <f>IFERROR(__xludf.DUMMYFUNCTION("""COMPUTED_VALUE"""),1996.0)</f>
        <v>1996</v>
      </c>
      <c r="G2961" s="324"/>
      <c r="H2961" s="324" t="str">
        <f>IFERROR(__xludf.DUMMYFUNCTION("""COMPUTED_VALUE"""),"355HP")</f>
        <v>355HP</v>
      </c>
      <c r="I2961" s="324"/>
      <c r="J2961" s="324" t="str">
        <f>IFERROR(__xludf.DUMMYFUNCTION("""COMPUTED_VALUE"""),"D8AYT163345")</f>
        <v>D8AYT163345</v>
      </c>
      <c r="K2961" s="324"/>
      <c r="L2961" s="324" t="str">
        <f>IFERROR(__xludf.DUMMYFUNCTION("""COMPUTED_VALUE"""),"-")</f>
        <v>-</v>
      </c>
    </row>
    <row r="2962">
      <c r="A2962" s="324" t="str">
        <f>IFERROR(__xludf.DUMMYFUNCTION("""COMPUTED_VALUE"""),"TND-XTA-017")</f>
        <v>TND-XTA-017</v>
      </c>
      <c r="B2962" s="478" t="str">
        <f>IFERROR(__xludf.DUMMYFUNCTION("""COMPUTED_VALUE"""),"Xe ben 15 tấn")</f>
        <v>Xe ben 15 tấn</v>
      </c>
      <c r="C2962" s="324" t="str">
        <f>IFERROR(__xludf.DUMMYFUNCTION("""COMPUTED_VALUE"""),"CGTC DP")</f>
        <v>CGTC DP</v>
      </c>
      <c r="D2962" s="324" t="str">
        <f>IFERROR(__xludf.DUMMYFUNCTION("""COMPUTED_VALUE"""),"HYUNDAI")</f>
        <v>HYUNDAI</v>
      </c>
      <c r="E2962" s="324"/>
      <c r="F2962" s="324"/>
      <c r="G2962" s="324"/>
      <c r="H2962" s="324" t="str">
        <f>IFERROR(__xludf.DUMMYFUNCTION("""COMPUTED_VALUE"""),"320HP")</f>
        <v>320HP</v>
      </c>
      <c r="I2962" s="324" t="str">
        <f>IFERROR(__xludf.DUMMYFUNCTION("""COMPUTED_VALUE"""),"KMCDB18YPTC103776")</f>
        <v>KMCDB18YPTC103776</v>
      </c>
      <c r="J2962" s="324" t="str">
        <f>IFERROR(__xludf.DUMMYFUNCTION("""COMPUTED_VALUE"""),"V8AYT000215")</f>
        <v>V8AYT000215</v>
      </c>
      <c r="K2962" s="324"/>
      <c r="L2962" s="324" t="str">
        <f>IFERROR(__xludf.DUMMYFUNCTION("""COMPUTED_VALUE"""),"-")</f>
        <v>-</v>
      </c>
    </row>
    <row r="2963">
      <c r="A2963" s="324" t="str">
        <f>IFERROR(__xludf.DUMMYFUNCTION("""COMPUTED_VALUE"""),"TND-XTA-018")</f>
        <v>TND-XTA-018</v>
      </c>
      <c r="B2963" s="478" t="str">
        <f>IFERROR(__xludf.DUMMYFUNCTION("""COMPUTED_VALUE"""),"Xe ben 15 tấn")</f>
        <v>Xe ben 15 tấn</v>
      </c>
      <c r="C2963" s="324" t="str">
        <f>IFERROR(__xludf.DUMMYFUNCTION("""COMPUTED_VALUE"""),"CGTC DP")</f>
        <v>CGTC DP</v>
      </c>
      <c r="D2963" s="324" t="str">
        <f>IFERROR(__xludf.DUMMYFUNCTION("""COMPUTED_VALUE"""),"HINO")</f>
        <v>HINO</v>
      </c>
      <c r="E2963" s="324"/>
      <c r="F2963" s="324"/>
      <c r="G2963" s="324"/>
      <c r="H2963" s="324" t="str">
        <f>IFERROR(__xludf.DUMMYFUNCTION("""COMPUTED_VALUE"""),"310HP")</f>
        <v>310HP</v>
      </c>
      <c r="I2963" s="324" t="str">
        <f>IFERROR(__xludf.DUMMYFUNCTION("""COMPUTED_VALUE"""),"15TDE000896")</f>
        <v>15TDE000896</v>
      </c>
      <c r="J2963" s="324" t="str">
        <f>IFERROR(__xludf.DUMMYFUNCTION("""COMPUTED_VALUE"""),"HINOSH4FDC11515")</f>
        <v>HINOSH4FDC11515</v>
      </c>
      <c r="K2963" s="324"/>
      <c r="L2963" s="324" t="str">
        <f>IFERROR(__xludf.DUMMYFUNCTION("""COMPUTED_VALUE"""),"-")</f>
        <v>-</v>
      </c>
    </row>
    <row r="2964">
      <c r="A2964" s="324" t="str">
        <f>IFERROR(__xludf.DUMMYFUNCTION("""COMPUTED_VALUE"""),"TND-XTA-019")</f>
        <v>TND-XTA-019</v>
      </c>
      <c r="B2964" s="478" t="str">
        <f>IFERROR(__xludf.DUMMYFUNCTION("""COMPUTED_VALUE"""),"Xe ben 15 tấn")</f>
        <v>Xe ben 15 tấn</v>
      </c>
      <c r="C2964" s="324" t="str">
        <f>IFERROR(__xludf.DUMMYFUNCTION("""COMPUTED_VALUE"""),"CGTC DP")</f>
        <v>CGTC DP</v>
      </c>
      <c r="D2964" s="324" t="str">
        <f>IFERROR(__xludf.DUMMYFUNCTION("""COMPUTED_VALUE"""),"FUSO")</f>
        <v>FUSO</v>
      </c>
      <c r="E2964" s="324"/>
      <c r="F2964" s="324"/>
      <c r="G2964" s="324"/>
      <c r="H2964" s="324" t="str">
        <f>IFERROR(__xludf.DUMMYFUNCTION("""COMPUTED_VALUE"""),"310HP")</f>
        <v>310HP</v>
      </c>
      <c r="I2964" s="324" t="str">
        <f>IFERROR(__xludf.DUMMYFUNCTION("""COMPUTED_VALUE"""),"KMJFDG18UPRU104091")</f>
        <v>KMJFDG18UPRU104091</v>
      </c>
      <c r="J2964" s="324" t="str">
        <f>IFERROR(__xludf.DUMMYFUNCTION("""COMPUTED_VALUE"""),"D8AYS146344")</f>
        <v>D8AYS146344</v>
      </c>
      <c r="K2964" s="324"/>
      <c r="L2964" s="324" t="str">
        <f>IFERROR(__xludf.DUMMYFUNCTION("""COMPUTED_VALUE"""),"-")</f>
        <v>-</v>
      </c>
    </row>
    <row r="2965">
      <c r="A2965" s="324" t="str">
        <f>IFERROR(__xludf.DUMMYFUNCTION("""COMPUTED_VALUE"""),"TND-XTA-020")</f>
        <v>TND-XTA-020</v>
      </c>
      <c r="B2965" s="478" t="str">
        <f>IFERROR(__xludf.DUMMYFUNCTION("""COMPUTED_VALUE"""),"Xe ben 15 tấn")</f>
        <v>Xe ben 15 tấn</v>
      </c>
      <c r="C2965" s="324" t="str">
        <f>IFERROR(__xludf.DUMMYFUNCTION("""COMPUTED_VALUE"""),"CGTC DP")</f>
        <v>CGTC DP</v>
      </c>
      <c r="D2965" s="324" t="str">
        <f>IFERROR(__xludf.DUMMYFUNCTION("""COMPUTED_VALUE"""),"HINO")</f>
        <v>HINO</v>
      </c>
      <c r="E2965" s="324"/>
      <c r="F2965" s="324"/>
      <c r="G2965" s="324"/>
      <c r="H2965" s="324" t="str">
        <f>IFERROR(__xludf.DUMMYFUNCTION("""COMPUTED_VALUE"""),"310HP")</f>
        <v>310HP</v>
      </c>
      <c r="I2965" s="324" t="str">
        <f>IFERROR(__xludf.DUMMYFUNCTION("""COMPUTED_VALUE"""),"FS2FKB13438")</f>
        <v>FS2FKB13438</v>
      </c>
      <c r="J2965" s="324"/>
      <c r="K2965" s="324"/>
      <c r="L2965" s="324" t="str">
        <f>IFERROR(__xludf.DUMMYFUNCTION("""COMPUTED_VALUE"""),"-")</f>
        <v>-</v>
      </c>
    </row>
    <row r="2966">
      <c r="A2966" s="324" t="str">
        <f>IFERROR(__xludf.DUMMYFUNCTION("""COMPUTED_VALUE"""),"TND-XTA-021")</f>
        <v>TND-XTA-021</v>
      </c>
      <c r="B2966" s="478" t="str">
        <f>IFERROR(__xludf.DUMMYFUNCTION("""COMPUTED_VALUE"""),"Xe ben 15 tấn")</f>
        <v>Xe ben 15 tấn</v>
      </c>
      <c r="C2966" s="324" t="str">
        <f>IFERROR(__xludf.DUMMYFUNCTION("""COMPUTED_VALUE"""),"CGTC DP")</f>
        <v>CGTC DP</v>
      </c>
      <c r="D2966" s="324" t="str">
        <f>IFERROR(__xludf.DUMMYFUNCTION("""COMPUTED_VALUE"""),"HINO")</f>
        <v>HINO</v>
      </c>
      <c r="E2966" s="324"/>
      <c r="F2966" s="324">
        <f>IFERROR(__xludf.DUMMYFUNCTION("""COMPUTED_VALUE"""),1994.0)</f>
        <v>1994</v>
      </c>
      <c r="G2966" s="324"/>
      <c r="H2966" s="324" t="str">
        <f>IFERROR(__xludf.DUMMYFUNCTION("""COMPUTED_VALUE"""),"310HP")</f>
        <v>310HP</v>
      </c>
      <c r="I2966" s="324" t="str">
        <f>IFERROR(__xludf.DUMMYFUNCTION("""COMPUTED_VALUE"""),"13217")</f>
        <v>13217</v>
      </c>
      <c r="J2966" s="324"/>
      <c r="K2966" s="324"/>
      <c r="L2966" s="324" t="str">
        <f>IFERROR(__xludf.DUMMYFUNCTION("""COMPUTED_VALUE"""),"-")</f>
        <v>-</v>
      </c>
    </row>
    <row r="2967">
      <c r="A2967" s="324" t="str">
        <f>IFERROR(__xludf.DUMMYFUNCTION("""COMPUTED_VALUE"""),"TND-XTA-022")</f>
        <v>TND-XTA-022</v>
      </c>
      <c r="B2967" s="478" t="str">
        <f>IFERROR(__xludf.DUMMYFUNCTION("""COMPUTED_VALUE"""),"Xe ben 15 tấn")</f>
        <v>Xe ben 15 tấn</v>
      </c>
      <c r="C2967" s="324" t="str">
        <f>IFERROR(__xludf.DUMMYFUNCTION("""COMPUTED_VALUE"""),"XN Chuối DP1")</f>
        <v>XN Chuối DP1</v>
      </c>
      <c r="D2967" s="324" t="str">
        <f>IFERROR(__xludf.DUMMYFUNCTION("""COMPUTED_VALUE"""),"HINO")</f>
        <v>HINO</v>
      </c>
      <c r="E2967" s="324"/>
      <c r="F2967" s="324">
        <f>IFERROR(__xludf.DUMMYFUNCTION("""COMPUTED_VALUE"""),1991.0)</f>
        <v>1991</v>
      </c>
      <c r="G2967" s="324" t="str">
        <f>IFERROR(__xludf.DUMMYFUNCTION("""COMPUTED_VALUE"""),"FR2P2H")</f>
        <v>FR2P2H</v>
      </c>
      <c r="H2967" s="324" t="str">
        <f>IFERROR(__xludf.DUMMYFUNCTION("""COMPUTED_VALUE"""),"310HP")</f>
        <v>310HP</v>
      </c>
      <c r="I2967" s="324" t="str">
        <f>IFERROR(__xludf.DUMMYFUNCTION("""COMPUTED_VALUE"""),"FS3FXA13425")</f>
        <v>FS3FXA13425</v>
      </c>
      <c r="J2967" s="324" t="str">
        <f>IFERROR(__xludf.DUMMYFUNCTION("""COMPUTED_VALUE"""),"F20CA16817")</f>
        <v>F20CA16817</v>
      </c>
      <c r="K2967" s="324">
        <f>IFERROR(__xludf.DUMMYFUNCTION("""COMPUTED_VALUE"""),9.5)</f>
        <v>9.5</v>
      </c>
      <c r="L2967" s="324" t="str">
        <f>IFERROR(__xludf.DUMMYFUNCTION("""COMPUTED_VALUE"""),"-")</f>
        <v>-</v>
      </c>
    </row>
    <row r="2968">
      <c r="A2968" s="324" t="str">
        <f>IFERROR(__xludf.DUMMYFUNCTION("""COMPUTED_VALUE"""),"TND-XTA-023")</f>
        <v>TND-XTA-023</v>
      </c>
      <c r="B2968" s="478" t="str">
        <f>IFERROR(__xludf.DUMMYFUNCTION("""COMPUTED_VALUE"""),"Xe ben 15 tấn")</f>
        <v>Xe ben 15 tấn</v>
      </c>
      <c r="C2968" s="324" t="str">
        <f>IFERROR(__xludf.DUMMYFUNCTION("""COMPUTED_VALUE"""),"XN Chuối DP1")</f>
        <v>XN Chuối DP1</v>
      </c>
      <c r="D2968" s="324" t="str">
        <f>IFERROR(__xludf.DUMMYFUNCTION("""COMPUTED_VALUE"""),"HINO")</f>
        <v>HINO</v>
      </c>
      <c r="E2968" s="324"/>
      <c r="F2968" s="324">
        <f>IFERROR(__xludf.DUMMYFUNCTION("""COMPUTED_VALUE"""),1996.0)</f>
        <v>1996</v>
      </c>
      <c r="G2968" s="324"/>
      <c r="H2968" s="324" t="str">
        <f>IFERROR(__xludf.DUMMYFUNCTION("""COMPUTED_VALUE"""),"310HP")</f>
        <v>310HP</v>
      </c>
      <c r="I2968" s="324" t="str">
        <f>IFERROR(__xludf.DUMMYFUNCTION("""COMPUTED_VALUE"""),"15TBE001652")</f>
        <v>15TBE001652</v>
      </c>
      <c r="J2968" s="324" t="str">
        <f>IFERROR(__xludf.DUMMYFUNCTION("""COMPUTED_VALUE"""),"EF75007754")</f>
        <v>EF75007754</v>
      </c>
      <c r="K2968" s="324">
        <f>IFERROR(__xludf.DUMMYFUNCTION("""COMPUTED_VALUE"""),9.5)</f>
        <v>9.5</v>
      </c>
      <c r="L2968" s="324" t="str">
        <f>IFERROR(__xludf.DUMMYFUNCTION("""COMPUTED_VALUE"""),"-")</f>
        <v>-</v>
      </c>
    </row>
    <row r="2969">
      <c r="A2969" s="324" t="str">
        <f>IFERROR(__xludf.DUMMYFUNCTION("""COMPUTED_VALUE"""),"TND-XTA-024")</f>
        <v>TND-XTA-024</v>
      </c>
      <c r="B2969" s="478" t="str">
        <f>IFERROR(__xludf.DUMMYFUNCTION("""COMPUTED_VALUE"""),"Xe ben 15 tấn")</f>
        <v>Xe ben 15 tấn</v>
      </c>
      <c r="C2969" s="324" t="str">
        <f>IFERROR(__xludf.DUMMYFUNCTION("""COMPUTED_VALUE"""),"CGTC DP")</f>
        <v>CGTC DP</v>
      </c>
      <c r="D2969" s="324" t="str">
        <f>IFERROR(__xludf.DUMMYFUNCTION("""COMPUTED_VALUE"""),"HYUNDAI")</f>
        <v>HYUNDAI</v>
      </c>
      <c r="E2969" s="324"/>
      <c r="F2969" s="324">
        <f>IFERROR(__xludf.DUMMYFUNCTION("""COMPUTED_VALUE"""),1997.0)</f>
        <v>1997</v>
      </c>
      <c r="G2969" s="324" t="str">
        <f>IFERROR(__xludf.DUMMYFUNCTION("""COMPUTED_VALUE"""),"DUMPTRUCK")</f>
        <v>DUMPTRUCK</v>
      </c>
      <c r="H2969" s="324" t="str">
        <f>IFERROR(__xludf.DUMMYFUNCTION("""COMPUTED_VALUE"""),"320HP")</f>
        <v>320HP</v>
      </c>
      <c r="I2969" s="324" t="str">
        <f>IFERROR(__xludf.DUMMYFUNCTION("""COMPUTED_VALUE"""),"KMCDB19BPVC104787")</f>
        <v>KMCDB19BPVC104787</v>
      </c>
      <c r="J2969" s="324" t="str">
        <f>IFERROR(__xludf.DUMMYFUNCTION("""COMPUTED_VALUE"""),"KMCDB19BPVC104787")</f>
        <v>KMCDB19BPVC104787</v>
      </c>
      <c r="K2969" s="324">
        <f>IFERROR(__xludf.DUMMYFUNCTION("""COMPUTED_VALUE"""),8.0)</f>
        <v>8</v>
      </c>
      <c r="L2969" s="324" t="str">
        <f>IFERROR(__xludf.DUMMYFUNCTION("""COMPUTED_VALUE"""),"-")</f>
        <v>-</v>
      </c>
    </row>
    <row r="2970">
      <c r="A2970" s="324" t="str">
        <f>IFERROR(__xludf.DUMMYFUNCTION("""COMPUTED_VALUE"""),"TND-XTA-025")</f>
        <v>TND-XTA-025</v>
      </c>
      <c r="B2970" s="478" t="str">
        <f>IFERROR(__xludf.DUMMYFUNCTION("""COMPUTED_VALUE"""),"Xe ben 15 tấn")</f>
        <v>Xe ben 15 tấn</v>
      </c>
      <c r="C2970" s="324" t="str">
        <f>IFERROR(__xludf.DUMMYFUNCTION("""COMPUTED_VALUE"""),"CGTC DP")</f>
        <v>CGTC DP</v>
      </c>
      <c r="D2970" s="324" t="str">
        <f>IFERROR(__xludf.DUMMYFUNCTION("""COMPUTED_VALUE"""),"HYUNDAI")</f>
        <v>HYUNDAI</v>
      </c>
      <c r="E2970" s="324"/>
      <c r="F2970" s="324">
        <f>IFERROR(__xludf.DUMMYFUNCTION("""COMPUTED_VALUE"""),1997.0)</f>
        <v>1997</v>
      </c>
      <c r="G2970" s="324" t="str">
        <f>IFERROR(__xludf.DUMMYFUNCTION("""COMPUTED_VALUE"""),"DUMPTRUCK")</f>
        <v>DUMPTRUCK</v>
      </c>
      <c r="H2970" s="324" t="str">
        <f>IFERROR(__xludf.DUMMYFUNCTION("""COMPUTED_VALUE"""),"320HP")</f>
        <v>320HP</v>
      </c>
      <c r="I2970" s="324" t="str">
        <f>IFERROR(__xludf.DUMMYFUNCTION("""COMPUTED_VALUE"""),"KMCDB19BPVC104887")</f>
        <v>KMCDB19BPVC104887</v>
      </c>
      <c r="J2970" s="324" t="str">
        <f>IFERROR(__xludf.DUMMYFUNCTION("""COMPUTED_VALUE"""),"KMCDB19BPVC104887")</f>
        <v>KMCDB19BPVC104887</v>
      </c>
      <c r="K2970" s="324">
        <f>IFERROR(__xludf.DUMMYFUNCTION("""COMPUTED_VALUE"""),8.0)</f>
        <v>8</v>
      </c>
      <c r="L2970" s="324" t="str">
        <f>IFERROR(__xludf.DUMMYFUNCTION("""COMPUTED_VALUE"""),"-")</f>
        <v>-</v>
      </c>
    </row>
    <row r="2971">
      <c r="A2971" s="324" t="str">
        <f>IFERROR(__xludf.DUMMYFUNCTION("""COMPUTED_VALUE"""),"TND-XTA-026")</f>
        <v>TND-XTA-026</v>
      </c>
      <c r="B2971" s="478" t="str">
        <f>IFERROR(__xludf.DUMMYFUNCTION("""COMPUTED_VALUE"""),"Xe ben 15 tấn")</f>
        <v>Xe ben 15 tấn</v>
      </c>
      <c r="C2971" s="324" t="str">
        <f>IFERROR(__xludf.DUMMYFUNCTION("""COMPUTED_VALUE"""),"CGTC DP")</f>
        <v>CGTC DP</v>
      </c>
      <c r="D2971" s="324" t="str">
        <f>IFERROR(__xludf.DUMMYFUNCTION("""COMPUTED_VALUE"""),"HYUNDAI")</f>
        <v>HYUNDAI</v>
      </c>
      <c r="E2971" s="324"/>
      <c r="F2971" s="324">
        <f>IFERROR(__xludf.DUMMYFUNCTION("""COMPUTED_VALUE"""),1997.0)</f>
        <v>1997</v>
      </c>
      <c r="G2971" s="324" t="str">
        <f>IFERROR(__xludf.DUMMYFUNCTION("""COMPUTED_VALUE"""),"DUMPTRUCK")</f>
        <v>DUMPTRUCK</v>
      </c>
      <c r="H2971" s="324" t="str">
        <f>IFERROR(__xludf.DUMMYFUNCTION("""COMPUTED_VALUE"""),"320HP")</f>
        <v>320HP</v>
      </c>
      <c r="I2971" s="324" t="str">
        <f>IFERROR(__xludf.DUMMYFUNCTION("""COMPUTED_VALUE"""),"KMCDB19BPVC104784")</f>
        <v>KMCDB19BPVC104784</v>
      </c>
      <c r="J2971" s="324" t="str">
        <f>IFERROR(__xludf.DUMMYFUNCTION("""COMPUTED_VALUE"""),"KMCDB19BPVC104784")</f>
        <v>KMCDB19BPVC104784</v>
      </c>
      <c r="K2971" s="324">
        <f>IFERROR(__xludf.DUMMYFUNCTION("""COMPUTED_VALUE"""),8.0)</f>
        <v>8</v>
      </c>
      <c r="L2971" s="324" t="str">
        <f>IFERROR(__xludf.DUMMYFUNCTION("""COMPUTED_VALUE"""),"-")</f>
        <v>-</v>
      </c>
    </row>
    <row r="2972">
      <c r="A2972" s="324" t="str">
        <f>IFERROR(__xludf.DUMMYFUNCTION("""COMPUTED_VALUE"""),"TND-XTA-027")</f>
        <v>TND-XTA-027</v>
      </c>
      <c r="B2972" s="478" t="str">
        <f>IFERROR(__xludf.DUMMYFUNCTION("""COMPUTED_VALUE"""),"Xe ben 25 tấn")</f>
        <v>Xe ben 25 tấn</v>
      </c>
      <c r="C2972" s="324" t="str">
        <f>IFERROR(__xludf.DUMMYFUNCTION("""COMPUTED_VALUE"""),"CGTC DP")</f>
        <v>CGTC DP</v>
      </c>
      <c r="D2972" s="324" t="str">
        <f>IFERROR(__xludf.DUMMYFUNCTION("""COMPUTED_VALUE"""),"HYUNDAI")</f>
        <v>HYUNDAI</v>
      </c>
      <c r="E2972" s="324"/>
      <c r="F2972" s="324">
        <f>IFERROR(__xludf.DUMMYFUNCTION("""COMPUTED_VALUE"""),2004.0)</f>
        <v>2004</v>
      </c>
      <c r="G2972" s="324"/>
      <c r="H2972" s="324" t="str">
        <f>IFERROR(__xludf.DUMMYFUNCTION("""COMPUTED_VALUE"""),"380HP")</f>
        <v>380HP</v>
      </c>
      <c r="I2972" s="324" t="str">
        <f>IFERROR(__xludf.DUMMYFUNCTION("""COMPUTED_VALUE"""),"KMCPB18SP4C034660")</f>
        <v>KMCPB18SP4C034660</v>
      </c>
      <c r="J2972" s="324" t="str">
        <f>IFERROR(__xludf.DUMMYFUNCTION("""COMPUTED_VALUE"""),"D6CA4090750")</f>
        <v>D6CA4090750</v>
      </c>
      <c r="K2972" s="324">
        <f>IFERROR(__xludf.DUMMYFUNCTION("""COMPUTED_VALUE"""),16.7)</f>
        <v>16.7</v>
      </c>
      <c r="L2972" s="324" t="str">
        <f>IFERROR(__xludf.DUMMYFUNCTION("""COMPUTED_VALUE"""),"-")</f>
        <v>-</v>
      </c>
    </row>
    <row r="2973">
      <c r="A2973" s="324" t="str">
        <f>IFERROR(__xludf.DUMMYFUNCTION("""COMPUTED_VALUE"""),"TND-XTA-028")</f>
        <v>TND-XTA-028</v>
      </c>
      <c r="B2973" s="478" t="str">
        <f>IFERROR(__xludf.DUMMYFUNCTION("""COMPUTED_VALUE"""),"Xe ben 25 tấn")</f>
        <v>Xe ben 25 tấn</v>
      </c>
      <c r="C2973" s="324" t="str">
        <f>IFERROR(__xludf.DUMMYFUNCTION("""COMPUTED_VALUE"""),"CGTC DP")</f>
        <v>CGTC DP</v>
      </c>
      <c r="D2973" s="324" t="str">
        <f>IFERROR(__xludf.DUMMYFUNCTION("""COMPUTED_VALUE"""),"HYUNDAI")</f>
        <v>HYUNDAI</v>
      </c>
      <c r="E2973" s="324"/>
      <c r="F2973" s="324">
        <f>IFERROR(__xludf.DUMMYFUNCTION("""COMPUTED_VALUE"""),2000.0)</f>
        <v>2000</v>
      </c>
      <c r="G2973" s="324"/>
      <c r="H2973" s="324" t="str">
        <f>IFERROR(__xludf.DUMMYFUNCTION("""COMPUTED_VALUE"""),"355HP")</f>
        <v>355HP</v>
      </c>
      <c r="I2973" s="324" t="str">
        <f>IFERROR(__xludf.DUMMYFUNCTION("""COMPUTED_VALUE"""),"KMCPB18PY006995")</f>
        <v>KMCPB18PY006995</v>
      </c>
      <c r="J2973" s="324" t="str">
        <f>IFERROR(__xludf.DUMMYFUNCTION("""COMPUTED_VALUE"""),"D8YY034966")</f>
        <v>D8YY034966</v>
      </c>
      <c r="K2973" s="324">
        <f>IFERROR(__xludf.DUMMYFUNCTION("""COMPUTED_VALUE"""),16.0)</f>
        <v>16</v>
      </c>
      <c r="L2973" s="324" t="str">
        <f>IFERROR(__xludf.DUMMYFUNCTION("""COMPUTED_VALUE"""),"-")</f>
        <v>-</v>
      </c>
    </row>
    <row r="2974">
      <c r="A2974" s="324" t="str">
        <f>IFERROR(__xludf.DUMMYFUNCTION("""COMPUTED_VALUE"""),"TND-XTA-029")</f>
        <v>TND-XTA-029</v>
      </c>
      <c r="B2974" s="478" t="str">
        <f>IFERROR(__xludf.DUMMYFUNCTION("""COMPUTED_VALUE"""),"Xe ben 25 tấn")</f>
        <v>Xe ben 25 tấn</v>
      </c>
      <c r="C2974" s="324" t="str">
        <f>IFERROR(__xludf.DUMMYFUNCTION("""COMPUTED_VALUE"""),"CGTC DP")</f>
        <v>CGTC DP</v>
      </c>
      <c r="D2974" s="324" t="str">
        <f>IFERROR(__xludf.DUMMYFUNCTION("""COMPUTED_VALUE"""),"HYUNDAI")</f>
        <v>HYUNDAI</v>
      </c>
      <c r="E2974" s="324"/>
      <c r="F2974" s="324">
        <f>IFERROR(__xludf.DUMMYFUNCTION("""COMPUTED_VALUE"""),1997.0)</f>
        <v>1997</v>
      </c>
      <c r="G2974" s="324"/>
      <c r="H2974" s="324" t="str">
        <f>IFERROR(__xludf.DUMMYFUNCTION("""COMPUTED_VALUE"""),"280HP")</f>
        <v>280HP</v>
      </c>
      <c r="I2974" s="324" t="str">
        <f>IFERROR(__xludf.DUMMYFUNCTION("""COMPUTED_VALUE"""),"KMCPB18SXPVC000363")</f>
        <v>KMCPB18SXPVC000363</v>
      </c>
      <c r="J2974" s="324" t="str">
        <f>IFERROR(__xludf.DUMMYFUNCTION("""COMPUTED_VALUE"""),"D8YY023750")</f>
        <v>D8YY023750</v>
      </c>
      <c r="K2974" s="324">
        <f>IFERROR(__xludf.DUMMYFUNCTION("""COMPUTED_VALUE"""),16.2)</f>
        <v>16.2</v>
      </c>
      <c r="L2974" s="324" t="str">
        <f>IFERROR(__xludf.DUMMYFUNCTION("""COMPUTED_VALUE"""),"-")</f>
        <v>-</v>
      </c>
    </row>
    <row r="2975">
      <c r="A2975" s="324" t="str">
        <f>IFERROR(__xludf.DUMMYFUNCTION("""COMPUTED_VALUE"""),"TND-XTA-030")</f>
        <v>TND-XTA-030</v>
      </c>
      <c r="B2975" s="478" t="str">
        <f>IFERROR(__xludf.DUMMYFUNCTION("""COMPUTED_VALUE"""),"Xe ben 25 tấn")</f>
        <v>Xe ben 25 tấn</v>
      </c>
      <c r="C2975" s="324" t="str">
        <f>IFERROR(__xludf.DUMMYFUNCTION("""COMPUTED_VALUE"""),"CGTC DP")</f>
        <v>CGTC DP</v>
      </c>
      <c r="D2975" s="324" t="str">
        <f>IFERROR(__xludf.DUMMYFUNCTION("""COMPUTED_VALUE"""),"HYUNDAI")</f>
        <v>HYUNDAI</v>
      </c>
      <c r="E2975" s="324"/>
      <c r="F2975" s="324">
        <f>IFERROR(__xludf.DUMMYFUNCTION("""COMPUTED_VALUE"""),2003.0)</f>
        <v>2003</v>
      </c>
      <c r="G2975" s="324"/>
      <c r="H2975" s="324" t="str">
        <f>IFERROR(__xludf.DUMMYFUNCTION("""COMPUTED_VALUE"""),"380HP")</f>
        <v>380HP</v>
      </c>
      <c r="I2975" s="324" t="str">
        <f>IFERROR(__xludf.DUMMYFUNCTION("""COMPUTED_VALUE"""),"KMCPB18SP3C030443")</f>
        <v>KMCPB18SP3C030443</v>
      </c>
      <c r="J2975" s="324" t="str">
        <f>IFERROR(__xludf.DUMMYFUNCTION("""COMPUTED_VALUE"""),"D6CA3082884")</f>
        <v>D6CA3082884</v>
      </c>
      <c r="K2975" s="324">
        <f>IFERROR(__xludf.DUMMYFUNCTION("""COMPUTED_VALUE"""),16.7)</f>
        <v>16.7</v>
      </c>
      <c r="L2975" s="324" t="str">
        <f>IFERROR(__xludf.DUMMYFUNCTION("""COMPUTED_VALUE"""),"-")</f>
        <v>-</v>
      </c>
    </row>
    <row r="2976">
      <c r="A2976" s="324" t="str">
        <f>IFERROR(__xludf.DUMMYFUNCTION("""COMPUTED_VALUE"""),"TND-XTA-031")</f>
        <v>TND-XTA-031</v>
      </c>
      <c r="B2976" s="478" t="str">
        <f>IFERROR(__xludf.DUMMYFUNCTION("""COMPUTED_VALUE"""),"Xe ben 25 tấn")</f>
        <v>Xe ben 25 tấn</v>
      </c>
      <c r="C2976" s="324" t="str">
        <f>IFERROR(__xludf.DUMMYFUNCTION("""COMPUTED_VALUE"""),"CGTC DP")</f>
        <v>CGTC DP</v>
      </c>
      <c r="D2976" s="324" t="str">
        <f>IFERROR(__xludf.DUMMYFUNCTION("""COMPUTED_VALUE"""),"DAEWOO")</f>
        <v>DAEWOO</v>
      </c>
      <c r="E2976" s="324" t="str">
        <f>IFERROR(__xludf.DUMMYFUNCTION("""COMPUTED_VALUE"""),"HÀN QUỐC ")</f>
        <v>HÀN QUỐC </v>
      </c>
      <c r="F2976" s="324">
        <f>IFERROR(__xludf.DUMMYFUNCTION("""COMPUTED_VALUE"""),2008.0)</f>
        <v>2008</v>
      </c>
      <c r="G2976" s="324"/>
      <c r="H2976" s="324" t="str">
        <f>IFERROR(__xludf.DUMMYFUNCTION("""COMPUTED_VALUE"""),"380HP")</f>
        <v>380HP</v>
      </c>
      <c r="I2976" s="324" t="str">
        <f>IFERROR(__xludf.DUMMYFUNCTION("""COMPUTED_VALUE"""),"KL3N8ENF18K000826")</f>
        <v>KL3N8ENF18K000826</v>
      </c>
      <c r="J2976" s="324" t="str">
        <f>IFERROR(__xludf.DUMMYFUNCTION("""COMPUTED_VALUE"""),"5200771ISM")</f>
        <v>5200771ISM</v>
      </c>
      <c r="K2976" s="324">
        <f>IFERROR(__xludf.DUMMYFUNCTION("""COMPUTED_VALUE"""),14.0)</f>
        <v>14</v>
      </c>
      <c r="L2976" s="324" t="str">
        <f>IFERROR(__xludf.DUMMYFUNCTION("""COMPUTED_VALUE"""),"-")</f>
        <v>-</v>
      </c>
    </row>
    <row r="2977">
      <c r="A2977" s="324" t="str">
        <f>IFERROR(__xludf.DUMMYFUNCTION("""COMPUTED_VALUE"""),"TND-XTA-032")</f>
        <v>TND-XTA-032</v>
      </c>
      <c r="B2977" s="478" t="str">
        <f>IFERROR(__xludf.DUMMYFUNCTION("""COMPUTED_VALUE"""),"Xe ben 25 tấn")</f>
        <v>Xe ben 25 tấn</v>
      </c>
      <c r="C2977" s="324" t="str">
        <f>IFERROR(__xludf.DUMMYFUNCTION("""COMPUTED_VALUE"""),"CGTC DP")</f>
        <v>CGTC DP</v>
      </c>
      <c r="D2977" s="324" t="str">
        <f>IFERROR(__xludf.DUMMYFUNCTION("""COMPUTED_VALUE"""),"DAEWOO")</f>
        <v>DAEWOO</v>
      </c>
      <c r="E2977" s="324" t="str">
        <f>IFERROR(__xludf.DUMMYFUNCTION("""COMPUTED_VALUE"""),"HÀN QUỐC ")</f>
        <v>HÀN QUỐC </v>
      </c>
      <c r="F2977" s="324">
        <f>IFERROR(__xludf.DUMMYFUNCTION("""COMPUTED_VALUE"""),2008.0)</f>
        <v>2008</v>
      </c>
      <c r="G2977" s="324"/>
      <c r="H2977" s="324" t="str">
        <f>IFERROR(__xludf.DUMMYFUNCTION("""COMPUTED_VALUE"""),"380HP")</f>
        <v>380HP</v>
      </c>
      <c r="I2977" s="324" t="str">
        <f>IFERROR(__xludf.DUMMYFUNCTION("""COMPUTED_VALUE"""),"KL3N8ENF18K000929")</f>
        <v>KL3N8ENF18K000929</v>
      </c>
      <c r="J2977" s="324" t="str">
        <f>IFERROR(__xludf.DUMMYFUNCTION("""COMPUTED_VALUE"""),"5204668ISM")</f>
        <v>5204668ISM</v>
      </c>
      <c r="K2977" s="324">
        <f>IFERROR(__xludf.DUMMYFUNCTION("""COMPUTED_VALUE"""),14.0)</f>
        <v>14</v>
      </c>
      <c r="L2977" s="324" t="str">
        <f>IFERROR(__xludf.DUMMYFUNCTION("""COMPUTED_VALUE"""),"-")</f>
        <v>-</v>
      </c>
    </row>
    <row r="2978">
      <c r="A2978" s="324" t="str">
        <f>IFERROR(__xludf.DUMMYFUNCTION("""COMPUTED_VALUE"""),"TND-XTA-033")</f>
        <v>TND-XTA-033</v>
      </c>
      <c r="B2978" s="478" t="str">
        <f>IFERROR(__xludf.DUMMYFUNCTION("""COMPUTED_VALUE"""),"Xe ben 25 tấn")</f>
        <v>Xe ben 25 tấn</v>
      </c>
      <c r="C2978" s="324" t="str">
        <f>IFERROR(__xludf.DUMMYFUNCTION("""COMPUTED_VALUE"""),"CGTC DP")</f>
        <v>CGTC DP</v>
      </c>
      <c r="D2978" s="324" t="str">
        <f>IFERROR(__xludf.DUMMYFUNCTION("""COMPUTED_VALUE"""),"DAEWOO")</f>
        <v>DAEWOO</v>
      </c>
      <c r="E2978" s="324" t="str">
        <f>IFERROR(__xludf.DUMMYFUNCTION("""COMPUTED_VALUE"""),"HÀN QUỐC ")</f>
        <v>HÀN QUỐC </v>
      </c>
      <c r="F2978" s="324">
        <f>IFERROR(__xludf.DUMMYFUNCTION("""COMPUTED_VALUE"""),2008.0)</f>
        <v>2008</v>
      </c>
      <c r="G2978" s="324"/>
      <c r="H2978" s="324" t="str">
        <f>IFERROR(__xludf.DUMMYFUNCTION("""COMPUTED_VALUE"""),"340HP")</f>
        <v>340HP</v>
      </c>
      <c r="I2978" s="324" t="str">
        <f>IFERROR(__xludf.DUMMYFUNCTION("""COMPUTED_VALUE"""),"KL3N8ENF18K000799")</f>
        <v>KL3N8ENF18K000799</v>
      </c>
      <c r="J2978" s="324" t="str">
        <f>IFERROR(__xludf.DUMMYFUNCTION("""COMPUTED_VALUE"""),"35199676lSM")</f>
        <v>35199676lSM</v>
      </c>
      <c r="K2978" s="324">
        <f>IFERROR(__xludf.DUMMYFUNCTION("""COMPUTED_VALUE"""),14.0)</f>
        <v>14</v>
      </c>
      <c r="L2978" s="324" t="str">
        <f>IFERROR(__xludf.DUMMYFUNCTION("""COMPUTED_VALUE"""),"-")</f>
        <v>-</v>
      </c>
    </row>
    <row r="2979">
      <c r="A2979" s="324" t="str">
        <f>IFERROR(__xludf.DUMMYFUNCTION("""COMPUTED_VALUE"""),"TND-XTA-034")</f>
        <v>TND-XTA-034</v>
      </c>
      <c r="B2979" s="478" t="str">
        <f>IFERROR(__xludf.DUMMYFUNCTION("""COMPUTED_VALUE"""),"Xe ben 25 tấn")</f>
        <v>Xe ben 25 tấn</v>
      </c>
      <c r="C2979" s="324" t="str">
        <f>IFERROR(__xludf.DUMMYFUNCTION("""COMPUTED_VALUE"""),"CGTC DP")</f>
        <v>CGTC DP</v>
      </c>
      <c r="D2979" s="324" t="str">
        <f>IFERROR(__xludf.DUMMYFUNCTION("""COMPUTED_VALUE"""),"DAEWOO")</f>
        <v>DAEWOO</v>
      </c>
      <c r="E2979" s="324" t="str">
        <f>IFERROR(__xludf.DUMMYFUNCTION("""COMPUTED_VALUE"""),"HÀN QUỐC ")</f>
        <v>HÀN QUỐC </v>
      </c>
      <c r="F2979" s="324">
        <f>IFERROR(__xludf.DUMMYFUNCTION("""COMPUTED_VALUE"""),2008.0)</f>
        <v>2008</v>
      </c>
      <c r="G2979" s="324"/>
      <c r="H2979" s="324" t="str">
        <f>IFERROR(__xludf.DUMMYFUNCTION("""COMPUTED_VALUE"""),"380HP")</f>
        <v>380HP</v>
      </c>
      <c r="I2979" s="324" t="str">
        <f>IFERROR(__xludf.DUMMYFUNCTION("""COMPUTED_VALUE"""),"KL3N8ENF17K000751")</f>
        <v>KL3N8ENF17K000751</v>
      </c>
      <c r="J2979" s="324" t="str">
        <f>IFERROR(__xludf.DUMMYFUNCTION("""COMPUTED_VALUE"""),"35196732ISM")</f>
        <v>35196732ISM</v>
      </c>
      <c r="K2979" s="324">
        <f>IFERROR(__xludf.DUMMYFUNCTION("""COMPUTED_VALUE"""),14.0)</f>
        <v>14</v>
      </c>
      <c r="L2979" s="324" t="str">
        <f>IFERROR(__xludf.DUMMYFUNCTION("""COMPUTED_VALUE"""),"-")</f>
        <v>-</v>
      </c>
    </row>
    <row r="2980">
      <c r="A2980" s="324" t="str">
        <f>IFERROR(__xludf.DUMMYFUNCTION("""COMPUTED_VALUE"""),"TND-XTA-035")</f>
        <v>TND-XTA-035</v>
      </c>
      <c r="B2980" s="478" t="str">
        <f>IFERROR(__xludf.DUMMYFUNCTION("""COMPUTED_VALUE"""),"Xe ben 15 tấn")</f>
        <v>Xe ben 15 tấn</v>
      </c>
      <c r="C2980" s="324" t="str">
        <f>IFERROR(__xludf.DUMMYFUNCTION("""COMPUTED_VALUE"""),"CGTC DP")</f>
        <v>CGTC DP</v>
      </c>
      <c r="D2980" s="324" t="str">
        <f>IFERROR(__xludf.DUMMYFUNCTION("""COMPUTED_VALUE"""),"ASIA-GRANT")</f>
        <v>ASIA-GRANT</v>
      </c>
      <c r="E2980" s="324" t="str">
        <f>IFERROR(__xludf.DUMMYFUNCTION("""COMPUTED_VALUE"""),"HÀN QUỐC")</f>
        <v>HÀN QUỐC</v>
      </c>
      <c r="F2980" s="324">
        <f>IFERROR(__xludf.DUMMYFUNCTION("""COMPUTED_VALUE"""),2020.0)</f>
        <v>2020</v>
      </c>
      <c r="G2980" s="324" t="str">
        <f>IFERROR(__xludf.DUMMYFUNCTION("""COMPUTED_VALUE"""),"KOREA")</f>
        <v>KOREA</v>
      </c>
      <c r="H2980" s="324" t="str">
        <f>IFERROR(__xludf.DUMMYFUNCTION("""COMPUTED_VALUE"""),"340HP")</f>
        <v>340HP</v>
      </c>
      <c r="I2980" s="324" t="str">
        <f>IFERROR(__xludf.DUMMYFUNCTION("""COMPUTED_VALUE"""),"15TDF-00047")</f>
        <v>15TDF-00047</v>
      </c>
      <c r="J2980" s="324" t="str">
        <f>IFERROR(__xludf.DUMMYFUNCTION("""COMPUTED_VALUE"""),"F17E000062")</f>
        <v>F17E000062</v>
      </c>
      <c r="K2980" s="324">
        <f>IFERROR(__xludf.DUMMYFUNCTION("""COMPUTED_VALUE"""),8.0)</f>
        <v>8</v>
      </c>
      <c r="L2980" s="324" t="str">
        <f>IFERROR(__xludf.DUMMYFUNCTION("""COMPUTED_VALUE"""),"-")</f>
        <v>-</v>
      </c>
    </row>
    <row r="2981">
      <c r="A2981" s="324" t="str">
        <f>IFERROR(__xludf.DUMMYFUNCTION("""COMPUTED_VALUE"""),"TND-XTA-036")</f>
        <v>TND-XTA-036</v>
      </c>
      <c r="B2981" s="478" t="str">
        <f>IFERROR(__xludf.DUMMYFUNCTION("""COMPUTED_VALUE"""),"Xe ben 15 tấn")</f>
        <v>Xe ben 15 tấn</v>
      </c>
      <c r="C2981" s="324" t="str">
        <f>IFERROR(__xludf.DUMMYFUNCTION("""COMPUTED_VALUE"""),"CGTC DP")</f>
        <v>CGTC DP</v>
      </c>
      <c r="D2981" s="324" t="str">
        <f>IFERROR(__xludf.DUMMYFUNCTION("""COMPUTED_VALUE"""),"HYUNDAI")</f>
        <v>HYUNDAI</v>
      </c>
      <c r="E2981" s="324" t="str">
        <f>IFERROR(__xludf.DUMMYFUNCTION("""COMPUTED_VALUE"""),"HÀN QUỐC")</f>
        <v>HÀN QUỐC</v>
      </c>
      <c r="F2981" s="324">
        <f>IFERROR(__xludf.DUMMYFUNCTION("""COMPUTED_VALUE"""),2019.0)</f>
        <v>2019</v>
      </c>
      <c r="G2981" s="324" t="str">
        <f>IFERROR(__xludf.DUMMYFUNCTION("""COMPUTED_VALUE"""),"KOREA")</f>
        <v>KOREA</v>
      </c>
      <c r="H2981" s="324" t="str">
        <f>IFERROR(__xludf.DUMMYFUNCTION("""COMPUTED_VALUE"""),"320HP")</f>
        <v>320HP</v>
      </c>
      <c r="I2981" s="324" t="str">
        <f>IFERROR(__xludf.DUMMYFUNCTION("""COMPUTED_VALUE"""),"KMDB19YPRU-017598")</f>
        <v>KMDB19YPRU-017598</v>
      </c>
      <c r="J2981" s="324" t="str">
        <f>IFERROR(__xludf.DUMMYFUNCTION("""COMPUTED_VALUE"""),"DBAYY011740")</f>
        <v>DBAYY011740</v>
      </c>
      <c r="K2981" s="324">
        <f>IFERROR(__xludf.DUMMYFUNCTION("""COMPUTED_VALUE"""),8.0)</f>
        <v>8</v>
      </c>
      <c r="L2981" s="324" t="str">
        <f>IFERROR(__xludf.DUMMYFUNCTION("""COMPUTED_VALUE"""),"-")</f>
        <v>-</v>
      </c>
    </row>
    <row r="2982">
      <c r="A2982" s="324" t="str">
        <f>IFERROR(__xludf.DUMMYFUNCTION("""COMPUTED_VALUE"""),"TND-XTA-037")</f>
        <v>TND-XTA-037</v>
      </c>
      <c r="B2982" s="478" t="str">
        <f>IFERROR(__xludf.DUMMYFUNCTION("""COMPUTED_VALUE"""),"Xe ben 15 tấn")</f>
        <v>Xe ben 15 tấn</v>
      </c>
      <c r="C2982" s="324" t="str">
        <f>IFERROR(__xludf.DUMMYFUNCTION("""COMPUTED_VALUE"""),"CGTC DP")</f>
        <v>CGTC DP</v>
      </c>
      <c r="D2982" s="324" t="str">
        <f>IFERROR(__xludf.DUMMYFUNCTION("""COMPUTED_VALUE"""),"HYUNDAI")</f>
        <v>HYUNDAI</v>
      </c>
      <c r="E2982" s="324" t="str">
        <f>IFERROR(__xludf.DUMMYFUNCTION("""COMPUTED_VALUE"""),"HÀN QUỐC")</f>
        <v>HÀN QUỐC</v>
      </c>
      <c r="F2982" s="324">
        <f>IFERROR(__xludf.DUMMYFUNCTION("""COMPUTED_VALUE"""),1996.0)</f>
        <v>1996</v>
      </c>
      <c r="G2982" s="324"/>
      <c r="H2982" s="324" t="str">
        <f>IFERROR(__xludf.DUMMYFUNCTION("""COMPUTED_VALUE"""),"380HP")</f>
        <v>380HP</v>
      </c>
      <c r="I2982" s="324" t="str">
        <f>IFERROR(__xludf.DUMMYFUNCTION("""COMPUTED_VALUE"""),"KMCDB18YBTC105775")</f>
        <v>KMCDB18YBTC105775</v>
      </c>
      <c r="J2982" s="324" t="str">
        <f>IFERROR(__xludf.DUMMYFUNCTION("""COMPUTED_VALUE"""),"003006")</f>
        <v>003006</v>
      </c>
      <c r="K2982" s="324">
        <f>IFERROR(__xludf.DUMMYFUNCTION("""COMPUTED_VALUE"""),8.5)</f>
        <v>8.5</v>
      </c>
      <c r="L2982" s="324" t="str">
        <f>IFERROR(__xludf.DUMMYFUNCTION("""COMPUTED_VALUE"""),"-")</f>
        <v>-</v>
      </c>
    </row>
    <row r="2983">
      <c r="A2983" s="324" t="str">
        <f>IFERROR(__xludf.DUMMYFUNCTION("""COMPUTED_VALUE"""),"TND-XTA-038")</f>
        <v>TND-XTA-038</v>
      </c>
      <c r="B2983" s="478" t="str">
        <f>IFERROR(__xludf.DUMMYFUNCTION("""COMPUTED_VALUE"""),"Xe ben 15 tấn")</f>
        <v>Xe ben 15 tấn</v>
      </c>
      <c r="C2983" s="324" t="str">
        <f>IFERROR(__xludf.DUMMYFUNCTION("""COMPUTED_VALUE"""),"CGTC DP")</f>
        <v>CGTC DP</v>
      </c>
      <c r="D2983" s="324" t="str">
        <f>IFERROR(__xludf.DUMMYFUNCTION("""COMPUTED_VALUE"""),"HYUNDAI")</f>
        <v>HYUNDAI</v>
      </c>
      <c r="E2983" s="324" t="str">
        <f>IFERROR(__xludf.DUMMYFUNCTION("""COMPUTED_VALUE"""),"HÀN QUỐC")</f>
        <v>HÀN QUỐC</v>
      </c>
      <c r="F2983" s="324">
        <f>IFERROR(__xludf.DUMMYFUNCTION("""COMPUTED_VALUE"""),1995.0)</f>
        <v>1995</v>
      </c>
      <c r="G2983" s="324"/>
      <c r="H2983" s="324" t="str">
        <f>IFERROR(__xludf.DUMMYFUNCTION("""COMPUTED_VALUE"""),"320HP")</f>
        <v>320HP</v>
      </c>
      <c r="I2983" s="324" t="str">
        <f>IFERROR(__xludf.DUMMYFUNCTION("""COMPUTED_VALUE"""),"KMCDB18YPSU019432")</f>
        <v>KMCDB18YPSU019432</v>
      </c>
      <c r="J2983" s="324" t="str">
        <f>IFERROR(__xludf.DUMMYFUNCTION("""COMPUTED_VALUE"""),"132797")</f>
        <v>132797</v>
      </c>
      <c r="K2983" s="324">
        <f>IFERROR(__xludf.DUMMYFUNCTION("""COMPUTED_VALUE"""),8.0)</f>
        <v>8</v>
      </c>
      <c r="L2983" s="324" t="str">
        <f>IFERROR(__xludf.DUMMYFUNCTION("""COMPUTED_VALUE"""),"-")</f>
        <v>-</v>
      </c>
    </row>
    <row r="2984">
      <c r="A2984" s="324" t="str">
        <f>IFERROR(__xludf.DUMMYFUNCTION("""COMPUTED_VALUE"""),"TND-XTA-039")</f>
        <v>TND-XTA-039</v>
      </c>
      <c r="B2984" s="478" t="str">
        <f>IFERROR(__xludf.DUMMYFUNCTION("""COMPUTED_VALUE"""),"Xe ben 15 tấn")</f>
        <v>Xe ben 15 tấn</v>
      </c>
      <c r="C2984" s="324" t="str">
        <f>IFERROR(__xludf.DUMMYFUNCTION("""COMPUTED_VALUE"""),"CGTC DP")</f>
        <v>CGTC DP</v>
      </c>
      <c r="D2984" s="324" t="str">
        <f>IFERROR(__xludf.DUMMYFUNCTION("""COMPUTED_VALUE"""),"HYUNDAI")</f>
        <v>HYUNDAI</v>
      </c>
      <c r="E2984" s="324" t="str">
        <f>IFERROR(__xludf.DUMMYFUNCTION("""COMPUTED_VALUE"""),"HÀN QUỐC")</f>
        <v>HÀN QUỐC</v>
      </c>
      <c r="F2984" s="324">
        <f>IFERROR(__xludf.DUMMYFUNCTION("""COMPUTED_VALUE"""),1997.0)</f>
        <v>1997</v>
      </c>
      <c r="G2984" s="324"/>
      <c r="H2984" s="324" t="str">
        <f>IFERROR(__xludf.DUMMYFUNCTION("""COMPUTED_VALUE"""),"320HP")</f>
        <v>320HP</v>
      </c>
      <c r="I2984" s="324" t="str">
        <f>IFERROR(__xludf.DUMMYFUNCTION("""COMPUTED_VALUE"""),"KMCDB19PVC104787")</f>
        <v>KMCDB19PVC104787</v>
      </c>
      <c r="J2984" s="324" t="str">
        <f>IFERROR(__xludf.DUMMYFUNCTION("""COMPUTED_VALUE"""),"NIL")</f>
        <v>NIL</v>
      </c>
      <c r="K2984" s="324">
        <f>IFERROR(__xludf.DUMMYFUNCTION("""COMPUTED_VALUE"""),7.4)</f>
        <v>7.4</v>
      </c>
      <c r="L2984" s="324" t="str">
        <f>IFERROR(__xludf.DUMMYFUNCTION("""COMPUTED_VALUE"""),"-")</f>
        <v>-</v>
      </c>
    </row>
    <row r="2985">
      <c r="A2985" s="324" t="str">
        <f>IFERROR(__xludf.DUMMYFUNCTION("""COMPUTED_VALUE"""),"TND-XTA-040")</f>
        <v>TND-XTA-040</v>
      </c>
      <c r="B2985" s="478" t="str">
        <f>IFERROR(__xludf.DUMMYFUNCTION("""COMPUTED_VALUE"""),"Xe ben 15 tấn")</f>
        <v>Xe ben 15 tấn</v>
      </c>
      <c r="C2985" s="324" t="str">
        <f>IFERROR(__xludf.DUMMYFUNCTION("""COMPUTED_VALUE"""),"CGTC DP")</f>
        <v>CGTC DP</v>
      </c>
      <c r="D2985" s="324" t="str">
        <f>IFERROR(__xludf.DUMMYFUNCTION("""COMPUTED_VALUE"""),"HYUNDAI")</f>
        <v>HYUNDAI</v>
      </c>
      <c r="E2985" s="324" t="str">
        <f>IFERROR(__xludf.DUMMYFUNCTION("""COMPUTED_VALUE"""),"HÀN QUỐC")</f>
        <v>HÀN QUỐC</v>
      </c>
      <c r="F2985" s="324">
        <f>IFERROR(__xludf.DUMMYFUNCTION("""COMPUTED_VALUE"""),1997.0)</f>
        <v>1997</v>
      </c>
      <c r="G2985" s="324"/>
      <c r="H2985" s="324" t="str">
        <f>IFERROR(__xludf.DUMMYFUNCTION("""COMPUTED_VALUE"""),"320HP")</f>
        <v>320HP</v>
      </c>
      <c r="I2985" s="324" t="str">
        <f>IFERROR(__xludf.DUMMYFUNCTION("""COMPUTED_VALUE"""),"KMCDB19BPVC104887")</f>
        <v>KMCDB19BPVC104887</v>
      </c>
      <c r="J2985" s="324" t="str">
        <f>IFERROR(__xludf.DUMMYFUNCTION("""COMPUTED_VALUE"""),"-")</f>
        <v>-</v>
      </c>
      <c r="K2985" s="324">
        <f>IFERROR(__xludf.DUMMYFUNCTION("""COMPUTED_VALUE"""),7.4)</f>
        <v>7.4</v>
      </c>
      <c r="L2985" s="324" t="str">
        <f>IFERROR(__xludf.DUMMYFUNCTION("""COMPUTED_VALUE"""),"-")</f>
        <v>-</v>
      </c>
    </row>
    <row r="2986">
      <c r="A2986" s="324" t="str">
        <f>IFERROR(__xludf.DUMMYFUNCTION("""COMPUTED_VALUE"""),"TND-XTA-041")</f>
        <v>TND-XTA-041</v>
      </c>
      <c r="B2986" s="478" t="str">
        <f>IFERROR(__xludf.DUMMYFUNCTION("""COMPUTED_VALUE"""),"Xe ben 15 tấn")</f>
        <v>Xe ben 15 tấn</v>
      </c>
      <c r="C2986" s="324" t="str">
        <f>IFERROR(__xludf.DUMMYFUNCTION("""COMPUTED_VALUE"""),"CGTC DP")</f>
        <v>CGTC DP</v>
      </c>
      <c r="D2986" s="324" t="str">
        <f>IFERROR(__xludf.DUMMYFUNCTION("""COMPUTED_VALUE"""),"HYUNDAI")</f>
        <v>HYUNDAI</v>
      </c>
      <c r="E2986" s="324" t="str">
        <f>IFERROR(__xludf.DUMMYFUNCTION("""COMPUTED_VALUE"""),"HÀN QUỐC")</f>
        <v>HÀN QUỐC</v>
      </c>
      <c r="F2986" s="324">
        <f>IFERROR(__xludf.DUMMYFUNCTION("""COMPUTED_VALUE"""),1997.0)</f>
        <v>1997</v>
      </c>
      <c r="G2986" s="324"/>
      <c r="H2986" s="324" t="str">
        <f>IFERROR(__xludf.DUMMYFUNCTION("""COMPUTED_VALUE"""),"320HP")</f>
        <v>320HP</v>
      </c>
      <c r="I2986" s="324" t="str">
        <f>IFERROR(__xludf.DUMMYFUNCTION("""COMPUTED_VALUE"""),"KMCDB19BPVC104784")</f>
        <v>KMCDB19BPVC104784</v>
      </c>
      <c r="J2986" s="324" t="str">
        <f>IFERROR(__xludf.DUMMYFUNCTION("""COMPUTED_VALUE"""),"--")</f>
        <v>--</v>
      </c>
      <c r="K2986" s="324">
        <f>IFERROR(__xludf.DUMMYFUNCTION("""COMPUTED_VALUE"""),7.4)</f>
        <v>7.4</v>
      </c>
      <c r="L2986" s="324" t="str">
        <f>IFERROR(__xludf.DUMMYFUNCTION("""COMPUTED_VALUE"""),"-")</f>
        <v>-</v>
      </c>
    </row>
    <row r="2987">
      <c r="A2987" s="324" t="str">
        <f>IFERROR(__xludf.DUMMYFUNCTION("""COMPUTED_VALUE"""),"TND-XTA-042")</f>
        <v>TND-XTA-042</v>
      </c>
      <c r="B2987" s="478" t="str">
        <f>IFERROR(__xludf.DUMMYFUNCTION("""COMPUTED_VALUE"""),"Xe ben 5 tấn")</f>
        <v>Xe ben 5 tấn</v>
      </c>
      <c r="C2987" s="324" t="str">
        <f>IFERROR(__xludf.DUMMYFUNCTION("""COMPUTED_VALUE"""),"CGTC DP")</f>
        <v>CGTC DP</v>
      </c>
      <c r="D2987" s="324" t="str">
        <f>IFERROR(__xludf.DUMMYFUNCTION("""COMPUTED_VALUE"""),"HINO")</f>
        <v>HINO</v>
      </c>
      <c r="E2987" s="324"/>
      <c r="F2987" s="324">
        <f>IFERROR(__xludf.DUMMYFUNCTION("""COMPUTED_VALUE"""),2000.0)</f>
        <v>2000</v>
      </c>
      <c r="G2987" s="324" t="str">
        <f>IFERROR(__xludf.DUMMYFUNCTION("""COMPUTED_VALUE"""),"DUMPTRUCK")</f>
        <v>DUMPTRUCK</v>
      </c>
      <c r="H2987" s="324" t="str">
        <f>IFERROR(__xludf.DUMMYFUNCTION("""COMPUTED_VALUE"""),"183HP")</f>
        <v>183HP</v>
      </c>
      <c r="I2987" s="324" t="str">
        <f>IFERROR(__xludf.DUMMYFUNCTION("""COMPUTED_VALUE"""),"KN3LAP842YK004887")</f>
        <v>KN3LAP842YK004887</v>
      </c>
      <c r="J2987" s="324" t="str">
        <f>IFERROR(__xludf.DUMMYFUNCTION("""COMPUTED_VALUE"""),"K7001448")</f>
        <v>K7001448</v>
      </c>
      <c r="K2987" s="324">
        <f>IFERROR(__xludf.DUMMYFUNCTION("""COMPUTED_VALUE"""),4.5)</f>
        <v>4.5</v>
      </c>
      <c r="L2987" s="324" t="str">
        <f>IFERROR(__xludf.DUMMYFUNCTION("""COMPUTED_VALUE"""),"-")</f>
        <v>-</v>
      </c>
    </row>
    <row r="2988">
      <c r="A2988" s="324" t="str">
        <f>IFERROR(__xludf.DUMMYFUNCTION("""COMPUTED_VALUE"""),"TND-XTA-043")</f>
        <v>TND-XTA-043</v>
      </c>
      <c r="B2988" s="478" t="str">
        <f>IFERROR(__xludf.DUMMYFUNCTION("""COMPUTED_VALUE"""),"Xe ben 25 tấn")</f>
        <v>Xe ben 25 tấn</v>
      </c>
      <c r="C2988" s="324" t="str">
        <f>IFERROR(__xludf.DUMMYFUNCTION("""COMPUTED_VALUE"""),"CGTC DP")</f>
        <v>CGTC DP</v>
      </c>
      <c r="D2988" s="324" t="str">
        <f>IFERROR(__xludf.DUMMYFUNCTION("""COMPUTED_VALUE"""),"DAEWOO")</f>
        <v>DAEWOO</v>
      </c>
      <c r="E2988" s="324"/>
      <c r="F2988" s="324">
        <f>IFERROR(__xludf.DUMMYFUNCTION("""COMPUTED_VALUE"""),2008.0)</f>
        <v>2008</v>
      </c>
      <c r="G2988" s="324" t="str">
        <f>IFERROR(__xludf.DUMMYFUNCTION("""COMPUTED_VALUE"""),"DUMPTRUCK")</f>
        <v>DUMPTRUCK</v>
      </c>
      <c r="H2988" s="324" t="str">
        <f>IFERROR(__xludf.DUMMYFUNCTION("""COMPUTED_VALUE"""),"380HP")</f>
        <v>380HP</v>
      </c>
      <c r="I2988" s="324" t="str">
        <f>IFERROR(__xludf.DUMMYFUNCTION("""COMPUTED_VALUE"""),"18K00826")</f>
        <v>18K00826</v>
      </c>
      <c r="J2988" s="324" t="str">
        <f>IFERROR(__xludf.DUMMYFUNCTION("""COMPUTED_VALUE"""),"5200771ISM")</f>
        <v>5200771ISM</v>
      </c>
      <c r="K2988" s="324">
        <f>IFERROR(__xludf.DUMMYFUNCTION("""COMPUTED_VALUE"""),14.5)</f>
        <v>14.5</v>
      </c>
      <c r="L2988" s="324" t="str">
        <f>IFERROR(__xludf.DUMMYFUNCTION("""COMPUTED_VALUE"""),"-")</f>
        <v>-</v>
      </c>
    </row>
    <row r="2989">
      <c r="A2989" s="324" t="str">
        <f>IFERROR(__xludf.DUMMYFUNCTION("""COMPUTED_VALUE"""),"TND-XTA-044")</f>
        <v>TND-XTA-044</v>
      </c>
      <c r="B2989" s="478" t="str">
        <f>IFERROR(__xludf.DUMMYFUNCTION("""COMPUTED_VALUE"""),"Xe ben 25 tấn")</f>
        <v>Xe ben 25 tấn</v>
      </c>
      <c r="C2989" s="324" t="str">
        <f>IFERROR(__xludf.DUMMYFUNCTION("""COMPUTED_VALUE"""),"CGTC DP")</f>
        <v>CGTC DP</v>
      </c>
      <c r="D2989" s="324" t="str">
        <f>IFERROR(__xludf.DUMMYFUNCTION("""COMPUTED_VALUE"""),"DAEWOO")</f>
        <v>DAEWOO</v>
      </c>
      <c r="E2989" s="324"/>
      <c r="F2989" s="324">
        <f>IFERROR(__xludf.DUMMYFUNCTION("""COMPUTED_VALUE"""),2008.0)</f>
        <v>2008</v>
      </c>
      <c r="G2989" s="324" t="str">
        <f>IFERROR(__xludf.DUMMYFUNCTION("""COMPUTED_VALUE"""),"DUMPTRUCK")</f>
        <v>DUMPTRUCK</v>
      </c>
      <c r="H2989" s="324" t="str">
        <f>IFERROR(__xludf.DUMMYFUNCTION("""COMPUTED_VALUE"""),"380HP")</f>
        <v>380HP</v>
      </c>
      <c r="I2989" s="324" t="str">
        <f>IFERROR(__xludf.DUMMYFUNCTION("""COMPUTED_VALUE"""),"18K000799")</f>
        <v>18K000799</v>
      </c>
      <c r="J2989" s="324" t="str">
        <f>IFERROR(__xludf.DUMMYFUNCTION("""COMPUTED_VALUE"""),"351996761SM")</f>
        <v>351996761SM</v>
      </c>
      <c r="K2989" s="324">
        <f>IFERROR(__xludf.DUMMYFUNCTION("""COMPUTED_VALUE"""),14.5)</f>
        <v>14.5</v>
      </c>
      <c r="L2989" s="324" t="str">
        <f>IFERROR(__xludf.DUMMYFUNCTION("""COMPUTED_VALUE"""),"-")</f>
        <v>-</v>
      </c>
    </row>
    <row r="2990">
      <c r="A2990" s="324" t="str">
        <f>IFERROR(__xludf.DUMMYFUNCTION("""COMPUTED_VALUE"""),"TND-XTA-045")</f>
        <v>TND-XTA-045</v>
      </c>
      <c r="B2990" s="478" t="str">
        <f>IFERROR(__xludf.DUMMYFUNCTION("""COMPUTED_VALUE"""),"Xe ben 25 tấn")</f>
        <v>Xe ben 25 tấn</v>
      </c>
      <c r="C2990" s="324" t="str">
        <f>IFERROR(__xludf.DUMMYFUNCTION("""COMPUTED_VALUE"""),"CGTC DP")</f>
        <v>CGTC DP</v>
      </c>
      <c r="D2990" s="324" t="str">
        <f>IFERROR(__xludf.DUMMYFUNCTION("""COMPUTED_VALUE"""),"DEAWOO")</f>
        <v>DEAWOO</v>
      </c>
      <c r="E2990" s="324"/>
      <c r="F2990" s="324">
        <f>IFERROR(__xludf.DUMMYFUNCTION("""COMPUTED_VALUE"""),2008.0)</f>
        <v>2008</v>
      </c>
      <c r="G2990" s="324"/>
      <c r="H2990" s="324" t="str">
        <f>IFERROR(__xludf.DUMMYFUNCTION("""COMPUTED_VALUE"""),"380HP")</f>
        <v>380HP</v>
      </c>
      <c r="I2990" s="324" t="str">
        <f>IFERROR(__xludf.DUMMYFUNCTION("""COMPUTED_VALUE"""),"18K000929")</f>
        <v>18K000929</v>
      </c>
      <c r="J2990" s="324" t="str">
        <f>IFERROR(__xludf.DUMMYFUNCTION("""COMPUTED_VALUE"""),"52046681SM")</f>
        <v>52046681SM</v>
      </c>
      <c r="K2990" s="324">
        <f>IFERROR(__xludf.DUMMYFUNCTION("""COMPUTED_VALUE"""),14.0)</f>
        <v>14</v>
      </c>
      <c r="L2990" s="324" t="str">
        <f>IFERROR(__xludf.DUMMYFUNCTION("""COMPUTED_VALUE"""),"-")</f>
        <v>-</v>
      </c>
    </row>
    <row r="2991">
      <c r="A2991" s="324" t="str">
        <f>IFERROR(__xludf.DUMMYFUNCTION("""COMPUTED_VALUE"""),"TND-XTA-046")</f>
        <v>TND-XTA-046</v>
      </c>
      <c r="B2991" s="478" t="str">
        <f>IFERROR(__xludf.DUMMYFUNCTION("""COMPUTED_VALUE"""),"Xe ben 25 tấn")</f>
        <v>Xe ben 25 tấn</v>
      </c>
      <c r="C2991" s="324" t="str">
        <f>IFERROR(__xludf.DUMMYFUNCTION("""COMPUTED_VALUE"""),"CGTC DP")</f>
        <v>CGTC DP</v>
      </c>
      <c r="D2991" s="324" t="str">
        <f>IFERROR(__xludf.DUMMYFUNCTION("""COMPUTED_VALUE"""),"HYUNDAI")</f>
        <v>HYUNDAI</v>
      </c>
      <c r="E2991" s="324"/>
      <c r="F2991" s="324">
        <f>IFERROR(__xludf.DUMMYFUNCTION("""COMPUTED_VALUE"""),2000.0)</f>
        <v>2000</v>
      </c>
      <c r="G2991" s="324"/>
      <c r="H2991" s="324" t="str">
        <f>IFERROR(__xludf.DUMMYFUNCTION("""COMPUTED_VALUE"""),"355HP")</f>
        <v>355HP</v>
      </c>
      <c r="I2991" s="324" t="str">
        <f>IFERROR(__xludf.DUMMYFUNCTION("""COMPUTED_VALUE"""),"D8AXY034966")</f>
        <v>D8AXY034966</v>
      </c>
      <c r="J2991" s="324" t="str">
        <f>IFERROR(__xludf.DUMMYFUNCTION("""COMPUTED_VALUE"""),"C006995")</f>
        <v>C006995</v>
      </c>
      <c r="K2991" s="324">
        <f>IFERROR(__xludf.DUMMYFUNCTION("""COMPUTED_VALUE"""),13.5)</f>
        <v>13.5</v>
      </c>
      <c r="L2991" s="324" t="str">
        <f>IFERROR(__xludf.DUMMYFUNCTION("""COMPUTED_VALUE"""),"Đang thuê")</f>
        <v>Đang thuê</v>
      </c>
    </row>
    <row r="2992">
      <c r="A2992" s="324" t="str">
        <f>IFERROR(__xludf.DUMMYFUNCTION("""COMPUTED_VALUE"""),"TND-XTA-047")</f>
        <v>TND-XTA-047</v>
      </c>
      <c r="B2992" s="478" t="str">
        <f>IFERROR(__xludf.DUMMYFUNCTION("""COMPUTED_VALUE"""),"Xe ben 25 tấn")</f>
        <v>Xe ben 25 tấn</v>
      </c>
      <c r="C2992" s="324" t="str">
        <f>IFERROR(__xludf.DUMMYFUNCTION("""COMPUTED_VALUE"""),"CGTC DP")</f>
        <v>CGTC DP</v>
      </c>
      <c r="D2992" s="324" t="str">
        <f>IFERROR(__xludf.DUMMYFUNCTION("""COMPUTED_VALUE"""),"HYUNDAI")</f>
        <v>HYUNDAI</v>
      </c>
      <c r="E2992" s="324"/>
      <c r="F2992" s="324">
        <f>IFERROR(__xludf.DUMMYFUNCTION("""COMPUTED_VALUE"""),2006.0)</f>
        <v>2006</v>
      </c>
      <c r="G2992" s="324" t="str">
        <f>IFERROR(__xludf.DUMMYFUNCTION("""COMPUTED_VALUE"""),"DUMPTRUCK")</f>
        <v>DUMPTRUCK</v>
      </c>
      <c r="H2992" s="324" t="str">
        <f>IFERROR(__xludf.DUMMYFUNCTION("""COMPUTED_VALUE"""),"380HP")</f>
        <v>380HP</v>
      </c>
      <c r="I2992" s="324" t="str">
        <f>IFERROR(__xludf.DUMMYFUNCTION("""COMPUTED_VALUE"""),"KMCPB18TP66D11557")</f>
        <v>KMCPB18TP66D11557</v>
      </c>
      <c r="J2992" s="324" t="str">
        <f>IFERROR(__xludf.DUMMYFUNCTION("""COMPUTED_VALUE"""),"D6CB6122089")</f>
        <v>D6CB6122089</v>
      </c>
      <c r="K2992" s="324">
        <f>IFERROR(__xludf.DUMMYFUNCTION("""COMPUTED_VALUE"""),9.5)</f>
        <v>9.5</v>
      </c>
      <c r="L2992" s="324" t="str">
        <f>IFERROR(__xludf.DUMMYFUNCTION("""COMPUTED_VALUE"""),"-")</f>
        <v>-</v>
      </c>
    </row>
    <row r="2993">
      <c r="A2993" s="324" t="str">
        <f>IFERROR(__xludf.DUMMYFUNCTION("""COMPUTED_VALUE"""),"TND-XTA-048")</f>
        <v>TND-XTA-048</v>
      </c>
      <c r="B2993" s="478" t="str">
        <f>IFERROR(__xludf.DUMMYFUNCTION("""COMPUTED_VALUE"""),"Xe ben 25 tấn")</f>
        <v>Xe ben 25 tấn</v>
      </c>
      <c r="C2993" s="324" t="str">
        <f>IFERROR(__xludf.DUMMYFUNCTION("""COMPUTED_VALUE"""),"CGTC DP")</f>
        <v>CGTC DP</v>
      </c>
      <c r="D2993" s="324" t="str">
        <f>IFERROR(__xludf.DUMMYFUNCTION("""COMPUTED_VALUE"""),"HYUNDAI")</f>
        <v>HYUNDAI</v>
      </c>
      <c r="E2993" s="324"/>
      <c r="F2993" s="324">
        <f>IFERROR(__xludf.DUMMYFUNCTION("""COMPUTED_VALUE"""),2002.0)</f>
        <v>2002</v>
      </c>
      <c r="G2993" s="324" t="str">
        <f>IFERROR(__xludf.DUMMYFUNCTION("""COMPUTED_VALUE"""),"DUMPTRUCK")</f>
        <v>DUMPTRUCK</v>
      </c>
      <c r="H2993" s="324" t="str">
        <f>IFERROR(__xludf.DUMMYFUNCTION("""COMPUTED_VALUE"""),"340HP")</f>
        <v>340HP</v>
      </c>
      <c r="I2993" s="324" t="str">
        <f>IFERROR(__xludf.DUMMYFUNCTION("""COMPUTED_VALUE"""),"KMCPB18SP2C019638")</f>
        <v>KMCPB18SP2C019638</v>
      </c>
      <c r="J2993" s="324" t="str">
        <f>IFERROR(__xludf.DUMMYFUNCTION("""COMPUTED_VALUE"""),"D6CA2063558")</f>
        <v>D6CA2063558</v>
      </c>
      <c r="K2993" s="324">
        <f>IFERROR(__xludf.DUMMYFUNCTION("""COMPUTED_VALUE"""),9.5)</f>
        <v>9.5</v>
      </c>
      <c r="L2993" s="324" t="str">
        <f>IFERROR(__xludf.DUMMYFUNCTION("""COMPUTED_VALUE"""),"-")</f>
        <v>-</v>
      </c>
    </row>
    <row r="2994">
      <c r="A2994" s="324" t="str">
        <f>IFERROR(__xludf.DUMMYFUNCTION("""COMPUTED_VALUE"""),"TND-XTA-049")</f>
        <v>TND-XTA-049</v>
      </c>
      <c r="B2994" s="478" t="str">
        <f>IFERROR(__xludf.DUMMYFUNCTION("""COMPUTED_VALUE"""),"Xe ben 25 tấn")</f>
        <v>Xe ben 25 tấn</v>
      </c>
      <c r="C2994" s="324" t="str">
        <f>IFERROR(__xludf.DUMMYFUNCTION("""COMPUTED_VALUE"""),"CGTC DP")</f>
        <v>CGTC DP</v>
      </c>
      <c r="D2994" s="324" t="str">
        <f>IFERROR(__xludf.DUMMYFUNCTION("""COMPUTED_VALUE"""),"DAEWOO")</f>
        <v>DAEWOO</v>
      </c>
      <c r="E2994" s="324"/>
      <c r="F2994" s="324">
        <f>IFERROR(__xludf.DUMMYFUNCTION("""COMPUTED_VALUE"""),2005.0)</f>
        <v>2005</v>
      </c>
      <c r="G2994" s="324" t="str">
        <f>IFERROR(__xludf.DUMMYFUNCTION("""COMPUTED_VALUE"""),"DUMPTRUCK")</f>
        <v>DUMPTRUCK</v>
      </c>
      <c r="H2994" s="324" t="str">
        <f>IFERROR(__xludf.DUMMYFUNCTION("""COMPUTED_VALUE"""),"360HP")</f>
        <v>360HP</v>
      </c>
      <c r="I2994" s="324" t="str">
        <f>IFERROR(__xludf.DUMMYFUNCTION("""COMPUTED_VALUE"""),"KL3NSENF16K000562")</f>
        <v>KL3NSENF16K000562</v>
      </c>
      <c r="J2994" s="324" t="str">
        <f>IFERROR(__xludf.DUMMYFUNCTION("""COMPUTED_VALUE"""),"351533131SM")</f>
        <v>351533131SM</v>
      </c>
      <c r="K2994" s="324">
        <f>IFERROR(__xludf.DUMMYFUNCTION("""COMPUTED_VALUE"""),10.0)</f>
        <v>10</v>
      </c>
      <c r="L2994" s="324" t="str">
        <f>IFERROR(__xludf.DUMMYFUNCTION("""COMPUTED_VALUE"""),"-")</f>
        <v>-</v>
      </c>
    </row>
    <row r="2995">
      <c r="A2995" s="324" t="str">
        <f>IFERROR(__xludf.DUMMYFUNCTION("""COMPUTED_VALUE"""),"TND-XTA-050")</f>
        <v>TND-XTA-050</v>
      </c>
      <c r="B2995" s="478" t="str">
        <f>IFERROR(__xludf.DUMMYFUNCTION("""COMPUTED_VALUE"""),"Xe ben 25 tấn")</f>
        <v>Xe ben 25 tấn</v>
      </c>
      <c r="C2995" s="324" t="str">
        <f>IFERROR(__xludf.DUMMYFUNCTION("""COMPUTED_VALUE"""),"CGTC DP")</f>
        <v>CGTC DP</v>
      </c>
      <c r="D2995" s="324" t="str">
        <f>IFERROR(__xludf.DUMMYFUNCTION("""COMPUTED_VALUE"""),"HYUNDAI")</f>
        <v>HYUNDAI</v>
      </c>
      <c r="E2995" s="324"/>
      <c r="F2995" s="324">
        <f>IFERROR(__xludf.DUMMYFUNCTION("""COMPUTED_VALUE"""),2003.0)</f>
        <v>2003</v>
      </c>
      <c r="G2995" s="324" t="str">
        <f>IFERROR(__xludf.DUMMYFUNCTION("""COMPUTED_VALUE"""),"DUMPTRUCK")</f>
        <v>DUMPTRUCK</v>
      </c>
      <c r="H2995" s="324" t="str">
        <f>IFERROR(__xludf.DUMMYFUNCTION("""COMPUTED_VALUE"""),"410HP")</f>
        <v>410HP</v>
      </c>
      <c r="I2995" s="324" t="str">
        <f>IFERROR(__xludf.DUMMYFUNCTION("""COMPUTED_VALUE"""),"KMCFB18SP3CC27869")</f>
        <v>KMCFB18SP3CC27869</v>
      </c>
      <c r="J2995" s="324" t="str">
        <f>IFERROR(__xludf.DUMMYFUNCTION("""COMPUTED_VALUE"""),"D6CA3077795")</f>
        <v>D6CA3077795</v>
      </c>
      <c r="K2995" s="324">
        <f>IFERROR(__xludf.DUMMYFUNCTION("""COMPUTED_VALUE"""),8.5)</f>
        <v>8.5</v>
      </c>
      <c r="L2995" s="324" t="str">
        <f>IFERROR(__xludf.DUMMYFUNCTION("""COMPUTED_VALUE"""),"-")</f>
        <v>-</v>
      </c>
    </row>
    <row r="2996">
      <c r="A2996" s="324" t="str">
        <f>IFERROR(__xludf.DUMMYFUNCTION("""COMPUTED_VALUE"""),"TND-XTA-051")</f>
        <v>TND-XTA-051</v>
      </c>
      <c r="B2996" s="478" t="str">
        <f>IFERROR(__xludf.DUMMYFUNCTION("""COMPUTED_VALUE"""),"Xe ben 25 tấn")</f>
        <v>Xe ben 25 tấn</v>
      </c>
      <c r="C2996" s="324" t="str">
        <f>IFERROR(__xludf.DUMMYFUNCTION("""COMPUTED_VALUE"""),"CGTC DP")</f>
        <v>CGTC DP</v>
      </c>
      <c r="D2996" s="324" t="str">
        <f>IFERROR(__xludf.DUMMYFUNCTION("""COMPUTED_VALUE"""),"HYUNDAI")</f>
        <v>HYUNDAI</v>
      </c>
      <c r="E2996" s="324"/>
      <c r="F2996" s="324">
        <f>IFERROR(__xludf.DUMMYFUNCTION("""COMPUTED_VALUE"""),2003.0)</f>
        <v>2003</v>
      </c>
      <c r="G2996" s="324" t="str">
        <f>IFERROR(__xludf.DUMMYFUNCTION("""COMPUTED_VALUE"""),"DUMPTRUCK")</f>
        <v>DUMPTRUCK</v>
      </c>
      <c r="H2996" s="324" t="str">
        <f>IFERROR(__xludf.DUMMYFUNCTION("""COMPUTED_VALUE"""),"235HP")</f>
        <v>235HP</v>
      </c>
      <c r="I2996" s="324" t="str">
        <f>IFERROR(__xludf.DUMMYFUNCTION("""COMPUTED_VALUE"""),"KMCPB18SP3C028480")</f>
        <v>KMCPB18SP3C028480</v>
      </c>
      <c r="J2996" s="324" t="str">
        <f>IFERROR(__xludf.DUMMYFUNCTION("""COMPUTED_VALUE"""),"D6CA3079226")</f>
        <v>D6CA3079226</v>
      </c>
      <c r="K2996" s="324">
        <f>IFERROR(__xludf.DUMMYFUNCTION("""COMPUTED_VALUE"""),9.0)</f>
        <v>9</v>
      </c>
      <c r="L2996" s="324" t="str">
        <f>IFERROR(__xludf.DUMMYFUNCTION("""COMPUTED_VALUE"""),"-")</f>
        <v>-</v>
      </c>
    </row>
    <row r="2997">
      <c r="A2997" s="324" t="str">
        <f>IFERROR(__xludf.DUMMYFUNCTION("""COMPUTED_VALUE"""),"TND-XTA-052")</f>
        <v>TND-XTA-052</v>
      </c>
      <c r="B2997" s="478" t="str">
        <f>IFERROR(__xludf.DUMMYFUNCTION("""COMPUTED_VALUE"""),"Xe ben 25 tấn")</f>
        <v>Xe ben 25 tấn</v>
      </c>
      <c r="C2997" s="324" t="str">
        <f>IFERROR(__xludf.DUMMYFUNCTION("""COMPUTED_VALUE"""),"CGTC DP")</f>
        <v>CGTC DP</v>
      </c>
      <c r="D2997" s="324" t="str">
        <f>IFERROR(__xludf.DUMMYFUNCTION("""COMPUTED_VALUE"""),"DEAWOO")</f>
        <v>DEAWOO</v>
      </c>
      <c r="E2997" s="324"/>
      <c r="F2997" s="324">
        <f>IFERROR(__xludf.DUMMYFUNCTION("""COMPUTED_VALUE"""),2007.0)</f>
        <v>2007</v>
      </c>
      <c r="G2997" s="324" t="str">
        <f>IFERROR(__xludf.DUMMYFUNCTION("""COMPUTED_VALUE"""),"DUMPTRUCK")</f>
        <v>DUMPTRUCK</v>
      </c>
      <c r="H2997" s="324" t="str">
        <f>IFERROR(__xludf.DUMMYFUNCTION("""COMPUTED_VALUE"""),"380HP")</f>
        <v>380HP</v>
      </c>
      <c r="I2997" s="324" t="str">
        <f>IFERROR(__xludf.DUMMYFUNCTION("""COMPUTED_VALUE"""),"KL3N8ENF17K000751")</f>
        <v>KL3N8ENF17K000751</v>
      </c>
      <c r="J2997" s="324" t="str">
        <f>IFERROR(__xludf.DUMMYFUNCTION("""COMPUTED_VALUE"""),"351967321SM")</f>
        <v>351967321SM</v>
      </c>
      <c r="K2997" s="324">
        <f>IFERROR(__xludf.DUMMYFUNCTION("""COMPUTED_VALUE"""),10.6)</f>
        <v>10.6</v>
      </c>
      <c r="L2997" s="324" t="str">
        <f>IFERROR(__xludf.DUMMYFUNCTION("""COMPUTED_VALUE"""),"-")</f>
        <v>-</v>
      </c>
    </row>
    <row r="2998">
      <c r="A2998" s="324" t="str">
        <f>IFERROR(__xludf.DUMMYFUNCTION("""COMPUTED_VALUE"""),"TND-XTA-053")</f>
        <v>TND-XTA-053</v>
      </c>
      <c r="B2998" s="478" t="str">
        <f>IFERROR(__xludf.DUMMYFUNCTION("""COMPUTED_VALUE"""),"Xe ben 5 tấn")</f>
        <v>Xe ben 5 tấn</v>
      </c>
      <c r="C2998" s="324" t="str">
        <f>IFERROR(__xludf.DUMMYFUNCTION("""COMPUTED_VALUE"""),"CGTC DP")</f>
        <v>CGTC DP</v>
      </c>
      <c r="D2998" s="324" t="str">
        <f>IFERROR(__xludf.DUMMYFUNCTION("""COMPUTED_VALUE"""),"NISSAN")</f>
        <v>NISSAN</v>
      </c>
      <c r="E2998" s="324"/>
      <c r="F2998" s="324">
        <f>IFERROR(__xludf.DUMMYFUNCTION("""COMPUTED_VALUE"""),1994.0)</f>
        <v>1994</v>
      </c>
      <c r="G2998" s="324" t="str">
        <f>IFERROR(__xludf.DUMMYFUNCTION("""COMPUTED_VALUE"""),"DUMPTRUCK")</f>
        <v>DUMPTRUCK</v>
      </c>
      <c r="H2998" s="324" t="str">
        <f>IFERROR(__xludf.DUMMYFUNCTION("""COMPUTED_VALUE"""),"180HP")</f>
        <v>180HP</v>
      </c>
      <c r="I2998" s="324" t="str">
        <f>IFERROR(__xludf.DUMMYFUNCTION("""COMPUTED_VALUE"""),"CM89AS02608")</f>
        <v>CM89AS02608</v>
      </c>
      <c r="J2998" s="324" t="str">
        <f>IFERROR(__xludf.DUMMYFUNCTION("""COMPUTED_VALUE"""),"FE6104452A")</f>
        <v>FE6104452A</v>
      </c>
      <c r="K2998" s="324">
        <f>IFERROR(__xludf.DUMMYFUNCTION("""COMPUTED_VALUE"""),4.0)</f>
        <v>4</v>
      </c>
      <c r="L2998" s="324" t="str">
        <f>IFERROR(__xludf.DUMMYFUNCTION("""COMPUTED_VALUE"""),"-")</f>
        <v>-</v>
      </c>
    </row>
    <row r="2999">
      <c r="A2999" s="324" t="str">
        <f>IFERROR(__xludf.DUMMYFUNCTION("""COMPUTED_VALUE"""),"TND-XTA-054")</f>
        <v>TND-XTA-054</v>
      </c>
      <c r="B2999" s="478" t="str">
        <f>IFERROR(__xludf.DUMMYFUNCTION("""COMPUTED_VALUE"""),"Xe ben 5 tấn")</f>
        <v>Xe ben 5 tấn</v>
      </c>
      <c r="C2999" s="324" t="str">
        <f>IFERROR(__xludf.DUMMYFUNCTION("""COMPUTED_VALUE"""),"CGTC DP")</f>
        <v>CGTC DP</v>
      </c>
      <c r="D2999" s="324" t="str">
        <f>IFERROR(__xludf.DUMMYFUNCTION("""COMPUTED_VALUE"""),"NISSAN")</f>
        <v>NISSAN</v>
      </c>
      <c r="E2999" s="324"/>
      <c r="F2999" s="324">
        <f>IFERROR(__xludf.DUMMYFUNCTION("""COMPUTED_VALUE"""),1992.0)</f>
        <v>1992</v>
      </c>
      <c r="G2999" s="324"/>
      <c r="H2999" s="324" t="str">
        <f>IFERROR(__xludf.DUMMYFUNCTION("""COMPUTED_VALUE"""),"185HP")</f>
        <v>185HP</v>
      </c>
      <c r="I2999" s="324" t="str">
        <f>IFERROR(__xludf.DUMMYFUNCTION("""COMPUTED_VALUE"""),"N89AS03793")</f>
        <v>N89AS03793</v>
      </c>
      <c r="J2999" s="324" t="str">
        <f>IFERROR(__xludf.DUMMYFUNCTION("""COMPUTED_VALUE"""),"FE6135991B")</f>
        <v>FE6135991B</v>
      </c>
      <c r="K2999" s="324">
        <f>IFERROR(__xludf.DUMMYFUNCTION("""COMPUTED_VALUE"""),3.0)</f>
        <v>3</v>
      </c>
      <c r="L2999" s="324" t="str">
        <f>IFERROR(__xludf.DUMMYFUNCTION("""COMPUTED_VALUE"""),"-")</f>
        <v>-</v>
      </c>
    </row>
    <row r="3000">
      <c r="A3000" s="324" t="str">
        <f>IFERROR(__xludf.DUMMYFUNCTION("""COMPUTED_VALUE"""),"TND-XTA-055")</f>
        <v>TND-XTA-055</v>
      </c>
      <c r="B3000" s="478" t="str">
        <f>IFERROR(__xludf.DUMMYFUNCTION("""COMPUTED_VALUE"""),"Xe ben 5 tấn")</f>
        <v>Xe ben 5 tấn</v>
      </c>
      <c r="C3000" s="324" t="str">
        <f>IFERROR(__xludf.DUMMYFUNCTION("""COMPUTED_VALUE"""),"CGTC DP")</f>
        <v>CGTC DP</v>
      </c>
      <c r="D3000" s="324" t="str">
        <f>IFERROR(__xludf.DUMMYFUNCTION("""COMPUTED_VALUE"""),"NISSAN")</f>
        <v>NISSAN</v>
      </c>
      <c r="E3000" s="324"/>
      <c r="F3000" s="324">
        <f>IFERROR(__xludf.DUMMYFUNCTION("""COMPUTED_VALUE"""),2000.0)</f>
        <v>2000</v>
      </c>
      <c r="G3000" s="324"/>
      <c r="H3000" s="324" t="str">
        <f>IFERROR(__xludf.DUMMYFUNCTION("""COMPUTED_VALUE"""),"195HP")</f>
        <v>195HP</v>
      </c>
      <c r="I3000" s="324" t="str">
        <f>IFERROR(__xludf.DUMMYFUNCTION("""COMPUTED_VALUE"""),"MK211K10400")</f>
        <v>MK211K10400</v>
      </c>
      <c r="J3000" s="324" t="str">
        <f>IFERROR(__xludf.DUMMYFUNCTION("""COMPUTED_VALUE"""),"FE6105479G")</f>
        <v>FE6105479G</v>
      </c>
      <c r="K3000" s="324">
        <f>IFERROR(__xludf.DUMMYFUNCTION("""COMPUTED_VALUE"""),4.0)</f>
        <v>4</v>
      </c>
      <c r="L3000" s="324" t="str">
        <f>IFERROR(__xludf.DUMMYFUNCTION("""COMPUTED_VALUE"""),"-")</f>
        <v>-</v>
      </c>
    </row>
    <row r="3001">
      <c r="A3001" s="324" t="str">
        <f>IFERROR(__xludf.DUMMYFUNCTION("""COMPUTED_VALUE"""),"TND-XTA-056")</f>
        <v>TND-XTA-056</v>
      </c>
      <c r="B3001" s="478" t="str">
        <f>IFERROR(__xludf.DUMMYFUNCTION("""COMPUTED_VALUE"""),"Xe ben 5 tấn")</f>
        <v>Xe ben 5 tấn</v>
      </c>
      <c r="C3001" s="324" t="str">
        <f>IFERROR(__xludf.DUMMYFUNCTION("""COMPUTED_VALUE"""),"CGTC DP")</f>
        <v>CGTC DP</v>
      </c>
      <c r="D3001" s="324" t="str">
        <f>IFERROR(__xludf.DUMMYFUNCTION("""COMPUTED_VALUE"""),"NISSAN")</f>
        <v>NISSAN</v>
      </c>
      <c r="E3001" s="324"/>
      <c r="F3001" s="324"/>
      <c r="G3001" s="324"/>
      <c r="H3001" s="324" t="str">
        <f>IFERROR(__xludf.DUMMYFUNCTION("""COMPUTED_VALUE"""),"180HP")</f>
        <v>180HP</v>
      </c>
      <c r="I3001" s="324" t="str">
        <f>IFERROR(__xludf.DUMMYFUNCTION("""COMPUTED_VALUE"""),"KSF2H19YRN001829")</f>
        <v>KSF2H19YRN001829</v>
      </c>
      <c r="J3001" s="324" t="str">
        <f>IFERROR(__xludf.DUMMYFUNCTION("""COMPUTED_VALUE"""),"NIL")</f>
        <v>NIL</v>
      </c>
      <c r="K3001" s="324">
        <f>IFERROR(__xludf.DUMMYFUNCTION("""COMPUTED_VALUE"""),3.0)</f>
        <v>3</v>
      </c>
      <c r="L3001" s="324" t="str">
        <f>IFERROR(__xludf.DUMMYFUNCTION("""COMPUTED_VALUE"""),"-")</f>
        <v>-</v>
      </c>
    </row>
    <row r="3002">
      <c r="A3002" s="324" t="str">
        <f>IFERROR(__xludf.DUMMYFUNCTION("""COMPUTED_VALUE"""),"TND-XTA-058")</f>
        <v>TND-XTA-058</v>
      </c>
      <c r="B3002" s="478" t="str">
        <f>IFERROR(__xludf.DUMMYFUNCTION("""COMPUTED_VALUE"""),"Xe ben 15 tấn")</f>
        <v>Xe ben 15 tấn</v>
      </c>
      <c r="C3002" s="324" t="str">
        <f>IFERROR(__xludf.DUMMYFUNCTION("""COMPUTED_VALUE"""),"CGTC DP")</f>
        <v>CGTC DP</v>
      </c>
      <c r="D3002" s="324" t="str">
        <f>IFERROR(__xludf.DUMMYFUNCTION("""COMPUTED_VALUE"""),"HYUNDAI")</f>
        <v>HYUNDAI</v>
      </c>
      <c r="E3002" s="324" t="str">
        <f>IFERROR(__xludf.DUMMYFUNCTION("""COMPUTED_VALUE"""),"HÀN QUỐC")</f>
        <v>HÀN QUỐC</v>
      </c>
      <c r="F3002" s="324">
        <f>IFERROR(__xludf.DUMMYFUNCTION("""COMPUTED_VALUE"""),1997.0)</f>
        <v>1997</v>
      </c>
      <c r="G3002" s="324"/>
      <c r="H3002" s="324"/>
      <c r="I3002" s="324" t="str">
        <f>IFERROR(__xludf.DUMMYFUNCTION("""COMPUTED_VALUE"""),"104787")</f>
        <v>104787</v>
      </c>
      <c r="J3002" s="324" t="str">
        <f>IFERROR(__xludf.DUMMYFUNCTION("""COMPUTED_VALUE"""),"NCKA787")</f>
        <v>NCKA787</v>
      </c>
      <c r="K3002" s="324">
        <f>IFERROR(__xludf.DUMMYFUNCTION("""COMPUTED_VALUE"""),8.0)</f>
        <v>8</v>
      </c>
      <c r="L3002" s="324" t="str">
        <f>IFERROR(__xludf.DUMMYFUNCTION("""COMPUTED_VALUE"""),"-")</f>
        <v>-</v>
      </c>
    </row>
    <row r="3003">
      <c r="A3003" s="324" t="str">
        <f>IFERROR(__xludf.DUMMYFUNCTION("""COMPUTED_VALUE"""),"TND-XTA-059")</f>
        <v>TND-XTA-059</v>
      </c>
      <c r="B3003" s="478" t="str">
        <f>IFERROR(__xludf.DUMMYFUNCTION("""COMPUTED_VALUE"""),"Xe ben 15 tấn")</f>
        <v>Xe ben 15 tấn</v>
      </c>
      <c r="C3003" s="324" t="str">
        <f>IFERROR(__xludf.DUMMYFUNCTION("""COMPUTED_VALUE"""),"CGTC DP")</f>
        <v>CGTC DP</v>
      </c>
      <c r="D3003" s="324" t="str">
        <f>IFERROR(__xludf.DUMMYFUNCTION("""COMPUTED_VALUE"""),"HYUNDAI")</f>
        <v>HYUNDAI</v>
      </c>
      <c r="E3003" s="324" t="str">
        <f>IFERROR(__xludf.DUMMYFUNCTION("""COMPUTED_VALUE"""),"HÀN QUỐC")</f>
        <v>HÀN QUỐC</v>
      </c>
      <c r="F3003" s="324">
        <f>IFERROR(__xludf.DUMMYFUNCTION("""COMPUTED_VALUE"""),1997.0)</f>
        <v>1997</v>
      </c>
      <c r="G3003" s="324"/>
      <c r="H3003" s="324"/>
      <c r="I3003" s="324" t="str">
        <f>IFERROR(__xludf.DUMMYFUNCTION("""COMPUTED_VALUE"""),"PVC104784")</f>
        <v>PVC104784</v>
      </c>
      <c r="J3003" s="324" t="str">
        <f>IFERROR(__xludf.DUMMYFUNCTION("""COMPUTED_VALUE"""),"104784")</f>
        <v>104784</v>
      </c>
      <c r="K3003" s="324">
        <f>IFERROR(__xludf.DUMMYFUNCTION("""COMPUTED_VALUE"""),8.0)</f>
        <v>8</v>
      </c>
      <c r="L3003" s="324" t="str">
        <f>IFERROR(__xludf.DUMMYFUNCTION("""COMPUTED_VALUE"""),"-")</f>
        <v>-</v>
      </c>
    </row>
    <row r="3004">
      <c r="A3004" s="324" t="str">
        <f>IFERROR(__xludf.DUMMYFUNCTION("""COMPUTED_VALUE"""),"TND-XTA-060")</f>
        <v>TND-XTA-060</v>
      </c>
      <c r="B3004" s="478" t="str">
        <f>IFERROR(__xludf.DUMMYFUNCTION("""COMPUTED_VALUE"""),"Xe ben 15 tấn")</f>
        <v>Xe ben 15 tấn</v>
      </c>
      <c r="C3004" s="324" t="str">
        <f>IFERROR(__xludf.DUMMYFUNCTION("""COMPUTED_VALUE"""),"CGTC DP")</f>
        <v>CGTC DP</v>
      </c>
      <c r="D3004" s="324" t="str">
        <f>IFERROR(__xludf.DUMMYFUNCTION("""COMPUTED_VALUE"""),"HYUNDAI")</f>
        <v>HYUNDAI</v>
      </c>
      <c r="E3004" s="324" t="str">
        <f>IFERROR(__xludf.DUMMYFUNCTION("""COMPUTED_VALUE"""),"HÀN QUỐC")</f>
        <v>HÀN QUỐC</v>
      </c>
      <c r="F3004" s="324">
        <f>IFERROR(__xludf.DUMMYFUNCTION("""COMPUTED_VALUE"""),1997.0)</f>
        <v>1997</v>
      </c>
      <c r="G3004" s="324"/>
      <c r="H3004" s="324" t="str">
        <f>IFERROR(__xludf.DUMMYFUNCTION("""COMPUTED_VALUE"""),"360HP")</f>
        <v>360HP</v>
      </c>
      <c r="I3004" s="324" t="str">
        <f>IFERROR(__xludf.DUMMYFUNCTION("""COMPUTED_VALUE"""),"PVC104784")</f>
        <v>PVC104784</v>
      </c>
      <c r="J3004" s="324" t="str">
        <f>IFERROR(__xludf.DUMMYFUNCTION("""COMPUTED_VALUE"""),"104784 (SKSM trùng xe 59, khác biển số)")</f>
        <v>104784 (SKSM trùng xe 59, khác biển số)</v>
      </c>
      <c r="K3004" s="324">
        <f>IFERROR(__xludf.DUMMYFUNCTION("""COMPUTED_VALUE"""),8.0)</f>
        <v>8</v>
      </c>
      <c r="L3004" s="324" t="str">
        <f>IFERROR(__xludf.DUMMYFUNCTION("""COMPUTED_VALUE"""),"-")</f>
        <v>-</v>
      </c>
    </row>
    <row r="3005">
      <c r="A3005" s="324" t="str">
        <f>IFERROR(__xludf.DUMMYFUNCTION("""COMPUTED_VALUE"""),"TND-XTA-062")</f>
        <v>TND-XTA-062</v>
      </c>
      <c r="B3005" s="478" t="str">
        <f>IFERROR(__xludf.DUMMYFUNCTION("""COMPUTED_VALUE"""),"Xe ben 15 tấn")</f>
        <v>Xe ben 15 tấn</v>
      </c>
      <c r="C3005" s="324" t="str">
        <f>IFERROR(__xludf.DUMMYFUNCTION("""COMPUTED_VALUE"""),"CGTC DP")</f>
        <v>CGTC DP</v>
      </c>
      <c r="D3005" s="324" t="str">
        <f>IFERROR(__xludf.DUMMYFUNCTION("""COMPUTED_VALUE"""),"HYUNDAI")</f>
        <v>HYUNDAI</v>
      </c>
      <c r="E3005" s="324"/>
      <c r="F3005" s="324"/>
      <c r="G3005" s="324" t="str">
        <f>IFERROR(__xludf.DUMMYFUNCTION("""COMPUTED_VALUE"""),"HD 270")</f>
        <v>HD 270</v>
      </c>
      <c r="H3005" s="324" t="str">
        <f>IFERROR(__xludf.DUMMYFUNCTION("""COMPUTED_VALUE"""),"320HP")</f>
        <v>320HP</v>
      </c>
      <c r="I3005" s="324" t="str">
        <f>IFERROR(__xludf.DUMMYFUNCTION("""COMPUTED_VALUE"""),"KMCDB19YP4C032694")</f>
        <v>KMCDB19YP4C032694</v>
      </c>
      <c r="J3005" s="324" t="str">
        <f>IFERROR(__xludf.DUMMYFUNCTION("""COMPUTED_VALUE"""),"D8AY4088746")</f>
        <v>D8AY4088746</v>
      </c>
      <c r="K3005" s="324">
        <f>IFERROR(__xludf.DUMMYFUNCTION("""COMPUTED_VALUE"""),8.0)</f>
        <v>8</v>
      </c>
      <c r="L3005" s="324" t="str">
        <f>IFERROR(__xludf.DUMMYFUNCTION("""COMPUTED_VALUE"""),"-")</f>
        <v>-</v>
      </c>
    </row>
    <row r="3006">
      <c r="A3006" s="324" t="str">
        <f>IFERROR(__xludf.DUMMYFUNCTION("""COMPUTED_VALUE"""),"TND-XTA-063")</f>
        <v>TND-XTA-063</v>
      </c>
      <c r="B3006" s="478" t="str">
        <f>IFERROR(__xludf.DUMMYFUNCTION("""COMPUTED_VALUE"""),"Xe ben 15 tấn")</f>
        <v>Xe ben 15 tấn</v>
      </c>
      <c r="C3006" s="324" t="str">
        <f>IFERROR(__xludf.DUMMYFUNCTION("""COMPUTED_VALUE"""),"CGTC DP")</f>
        <v>CGTC DP</v>
      </c>
      <c r="D3006" s="324" t="str">
        <f>IFERROR(__xludf.DUMMYFUNCTION("""COMPUTED_VALUE"""),"HYUNDAI")</f>
        <v>HYUNDAI</v>
      </c>
      <c r="E3006" s="324"/>
      <c r="F3006" s="324">
        <f>IFERROR(__xludf.DUMMYFUNCTION("""COMPUTED_VALUE"""),1994.0)</f>
        <v>1994</v>
      </c>
      <c r="G3006" s="324"/>
      <c r="H3006" s="324" t="str">
        <f>IFERROR(__xludf.DUMMYFUNCTION("""COMPUTED_VALUE"""),"355HP")</f>
        <v>355HP</v>
      </c>
      <c r="I3006" s="324" t="str">
        <f>IFERROR(__xludf.DUMMYFUNCTION("""COMPUTED_VALUE"""),"KMCDB19YPNU011140")</f>
        <v>KMCDB19YPNU011140</v>
      </c>
      <c r="J3006" s="324" t="str">
        <f>IFERROR(__xludf.DUMMYFUNCTION("""COMPUTED_VALUE"""),"D8ABT1635581")</f>
        <v>D8ABT1635581</v>
      </c>
      <c r="K3006" s="324">
        <f>IFERROR(__xludf.DUMMYFUNCTION("""COMPUTED_VALUE"""),6.85)</f>
        <v>6.85</v>
      </c>
      <c r="L3006" s="324" t="str">
        <f>IFERROR(__xludf.DUMMYFUNCTION("""COMPUTED_VALUE"""),"-")</f>
        <v>-</v>
      </c>
    </row>
    <row r="3007">
      <c r="A3007" s="324" t="str">
        <f>IFERROR(__xludf.DUMMYFUNCTION("""COMPUTED_VALUE"""),"TND-XTA-064")</f>
        <v>TND-XTA-064</v>
      </c>
      <c r="B3007" s="478" t="str">
        <f>IFERROR(__xludf.DUMMYFUNCTION("""COMPUTED_VALUE"""),"Xe ben 15 tấn")</f>
        <v>Xe ben 15 tấn</v>
      </c>
      <c r="C3007" s="324" t="str">
        <f>IFERROR(__xludf.DUMMYFUNCTION("""COMPUTED_VALUE"""),"CGTC DP")</f>
        <v>CGTC DP</v>
      </c>
      <c r="D3007" s="324" t="str">
        <f>IFERROR(__xludf.DUMMYFUNCTION("""COMPUTED_VALUE"""),"DAEWOO")</f>
        <v>DAEWOO</v>
      </c>
      <c r="E3007" s="324"/>
      <c r="F3007" s="324">
        <f>IFERROR(__xludf.DUMMYFUNCTION("""COMPUTED_VALUE"""),1997.0)</f>
        <v>1997</v>
      </c>
      <c r="G3007" s="324"/>
      <c r="H3007" s="324" t="str">
        <f>IFERROR(__xludf.DUMMYFUNCTION("""COMPUTED_VALUE"""),"355HP")</f>
        <v>355HP</v>
      </c>
      <c r="I3007" s="324" t="str">
        <f>IFERROR(__xludf.DUMMYFUNCTION("""COMPUTED_VALUE"""),"KL3MA45D1VK002790")</f>
        <v>KL3MA45D1VK002790</v>
      </c>
      <c r="J3007" s="324" t="str">
        <f>IFERROR(__xludf.DUMMYFUNCTION("""COMPUTED_VALUE"""),"DV15T700408CG")</f>
        <v>DV15T700408CG</v>
      </c>
      <c r="K3007" s="324">
        <f>IFERROR(__xludf.DUMMYFUNCTION("""COMPUTED_VALUE"""),6.0)</f>
        <v>6</v>
      </c>
      <c r="L3007" s="324" t="str">
        <f>IFERROR(__xludf.DUMMYFUNCTION("""COMPUTED_VALUE"""),"-")</f>
        <v>-</v>
      </c>
    </row>
    <row r="3008">
      <c r="A3008" s="324" t="str">
        <f>IFERROR(__xludf.DUMMYFUNCTION("""COMPUTED_VALUE"""),"TND-XTA-065")</f>
        <v>TND-XTA-065</v>
      </c>
      <c r="B3008" s="478" t="str">
        <f>IFERROR(__xludf.DUMMYFUNCTION("""COMPUTED_VALUE"""),"Xe ben 15 tấn")</f>
        <v>Xe ben 15 tấn</v>
      </c>
      <c r="C3008" s="324" t="str">
        <f>IFERROR(__xludf.DUMMYFUNCTION("""COMPUTED_VALUE"""),"CGTC DP")</f>
        <v>CGTC DP</v>
      </c>
      <c r="D3008" s="324" t="str">
        <f>IFERROR(__xludf.DUMMYFUNCTION("""COMPUTED_VALUE"""),"FUSO")</f>
        <v>FUSO</v>
      </c>
      <c r="E3008" s="324"/>
      <c r="F3008" s="324">
        <f>IFERROR(__xludf.DUMMYFUNCTION("""COMPUTED_VALUE"""),1986.0)</f>
        <v>1986</v>
      </c>
      <c r="G3008" s="324"/>
      <c r="H3008" s="324" t="str">
        <f>IFERROR(__xludf.DUMMYFUNCTION("""COMPUTED_VALUE"""),"320HP")</f>
        <v>320HP</v>
      </c>
      <c r="I3008" s="324" t="str">
        <f>IFERROR(__xludf.DUMMYFUNCTION("""COMPUTED_VALUE"""),"FV415T50535")</f>
        <v>FV415T50535</v>
      </c>
      <c r="J3008" s="324" t="str">
        <f>IFERROR(__xludf.DUMMYFUNCTION("""COMPUTED_VALUE"""),"8DC9259490")</f>
        <v>8DC9259490</v>
      </c>
      <c r="K3008" s="324">
        <f>IFERROR(__xludf.DUMMYFUNCTION("""COMPUTED_VALUE"""),8.0)</f>
        <v>8</v>
      </c>
      <c r="L3008" s="324" t="str">
        <f>IFERROR(__xludf.DUMMYFUNCTION("""COMPUTED_VALUE"""),"-")</f>
        <v>-</v>
      </c>
    </row>
    <row r="3009">
      <c r="A3009" s="324" t="str">
        <f>IFERROR(__xludf.DUMMYFUNCTION("""COMPUTED_VALUE"""),"TND-XTA-066")</f>
        <v>TND-XTA-066</v>
      </c>
      <c r="B3009" s="478" t="str">
        <f>IFERROR(__xludf.DUMMYFUNCTION("""COMPUTED_VALUE"""),"Xe ben 15 tấn")</f>
        <v>Xe ben 15 tấn</v>
      </c>
      <c r="C3009" s="324" t="str">
        <f>IFERROR(__xludf.DUMMYFUNCTION("""COMPUTED_VALUE"""),"CGTC DP")</f>
        <v>CGTC DP</v>
      </c>
      <c r="D3009" s="324" t="str">
        <f>IFERROR(__xludf.DUMMYFUNCTION("""COMPUTED_VALUE"""),"HYUNDAI")</f>
        <v>HYUNDAI</v>
      </c>
      <c r="E3009" s="324"/>
      <c r="F3009" s="324">
        <f>IFERROR(__xludf.DUMMYFUNCTION("""COMPUTED_VALUE"""),2002.0)</f>
        <v>2002</v>
      </c>
      <c r="G3009" s="324"/>
      <c r="H3009" s="324" t="str">
        <f>IFERROR(__xludf.DUMMYFUNCTION("""COMPUTED_VALUE"""),"340HP")</f>
        <v>340HP</v>
      </c>
      <c r="I3009" s="324" t="str">
        <f>IFERROR(__xludf.DUMMYFUNCTION("""COMPUTED_VALUE"""),"KMFDA18SP2C021785")</f>
        <v>KMFDA18SP2C021785</v>
      </c>
      <c r="J3009" s="324" t="str">
        <f>IFERROR(__xludf.DUMMYFUNCTION("""COMPUTED_VALUE"""),"D6CA2067638")</f>
        <v>D6CA2067638</v>
      </c>
      <c r="K3009" s="324">
        <f>IFERROR(__xludf.DUMMYFUNCTION("""COMPUTED_VALUE"""),8.0)</f>
        <v>8</v>
      </c>
      <c r="L3009" s="324" t="str">
        <f>IFERROR(__xludf.DUMMYFUNCTION("""COMPUTED_VALUE"""),"-")</f>
        <v>-</v>
      </c>
    </row>
    <row r="3010">
      <c r="A3010" s="324" t="str">
        <f>IFERROR(__xludf.DUMMYFUNCTION("""COMPUTED_VALUE"""),"TND-XTA-067")</f>
        <v>TND-XTA-067</v>
      </c>
      <c r="B3010" s="478" t="str">
        <f>IFERROR(__xludf.DUMMYFUNCTION("""COMPUTED_VALUE"""),"Xe ben 5 tấn")</f>
        <v>Xe ben 5 tấn</v>
      </c>
      <c r="C3010" s="324" t="str">
        <f>IFERROR(__xludf.DUMMYFUNCTION("""COMPUTED_VALUE"""),"CGTC DP")</f>
        <v>CGTC DP</v>
      </c>
      <c r="D3010" s="324" t="str">
        <f>IFERROR(__xludf.DUMMYFUNCTION("""COMPUTED_VALUE"""),"HYUNDAI")</f>
        <v>HYUNDAI</v>
      </c>
      <c r="E3010" s="324"/>
      <c r="F3010" s="324">
        <f>IFERROR(__xludf.DUMMYFUNCTION("""COMPUTED_VALUE"""),1999.0)</f>
        <v>1999</v>
      </c>
      <c r="G3010" s="324" t="str">
        <f>IFERROR(__xludf.DUMMYFUNCTION("""COMPUTED_VALUE"""),"NIL")</f>
        <v>NIL</v>
      </c>
      <c r="H3010" s="324" t="str">
        <f>IFERROR(__xludf.DUMMYFUNCTION("""COMPUTED_VALUE"""),"170HP")</f>
        <v>170HP</v>
      </c>
      <c r="I3010" s="324" t="str">
        <f>IFERROR(__xludf.DUMMYFUNCTION("""COMPUTED_VALUE"""),"KMFLA19RPXC00")</f>
        <v>KMFLA19RPXC00</v>
      </c>
      <c r="J3010" s="324" t="str">
        <f>IFERROR(__xludf.DUMMYFUNCTION("""COMPUTED_VALUE"""),"D6BRVO12749")</f>
        <v>D6BRVO12749</v>
      </c>
      <c r="K3010" s="324">
        <f>IFERROR(__xludf.DUMMYFUNCTION("""COMPUTED_VALUE"""),4.5)</f>
        <v>4.5</v>
      </c>
      <c r="L3010" s="324" t="str">
        <f>IFERROR(__xludf.DUMMYFUNCTION("""COMPUTED_VALUE"""),"-")</f>
        <v>-</v>
      </c>
    </row>
    <row r="3011">
      <c r="A3011" s="324" t="str">
        <f>IFERROR(__xludf.DUMMYFUNCTION("""COMPUTED_VALUE"""),"TND-XTA-068")</f>
        <v>TND-XTA-068</v>
      </c>
      <c r="B3011" s="478" t="str">
        <f>IFERROR(__xludf.DUMMYFUNCTION("""COMPUTED_VALUE"""),"Xe ben 25 tấn")</f>
        <v>Xe ben 25 tấn</v>
      </c>
      <c r="C3011" s="324" t="str">
        <f>IFERROR(__xludf.DUMMYFUNCTION("""COMPUTED_VALUE"""),"CGTC DP")</f>
        <v>CGTC DP</v>
      </c>
      <c r="D3011" s="324" t="str">
        <f>IFERROR(__xludf.DUMMYFUNCTION("""COMPUTED_VALUE"""),"DAEWOO")</f>
        <v>DAEWOO</v>
      </c>
      <c r="E3011" s="324"/>
      <c r="F3011" s="324">
        <f>IFERROR(__xludf.DUMMYFUNCTION("""COMPUTED_VALUE"""),2007.0)</f>
        <v>2007</v>
      </c>
      <c r="G3011" s="324" t="str">
        <f>IFERROR(__xludf.DUMMYFUNCTION("""COMPUTED_VALUE"""),"DUMPTRUCK")</f>
        <v>DUMPTRUCK</v>
      </c>
      <c r="H3011" s="324" t="str">
        <f>IFERROR(__xludf.DUMMYFUNCTION("""COMPUTED_VALUE"""),"380HP")</f>
        <v>380HP</v>
      </c>
      <c r="I3011" s="324" t="str">
        <f>IFERROR(__xludf.DUMMYFUNCTION("""COMPUTED_VALUE"""),"KL3N8ENF17K000751")</f>
        <v>KL3N8ENF17K000751</v>
      </c>
      <c r="J3011" s="324" t="str">
        <f>IFERROR(__xludf.DUMMYFUNCTION("""COMPUTED_VALUE"""),"35196732ISM")</f>
        <v>35196732ISM</v>
      </c>
      <c r="K3011" s="324">
        <f>IFERROR(__xludf.DUMMYFUNCTION("""COMPUTED_VALUE"""),13.0)</f>
        <v>13</v>
      </c>
      <c r="L3011" s="324" t="str">
        <f>IFERROR(__xludf.DUMMYFUNCTION("""COMPUTED_VALUE"""),"-")</f>
        <v>-</v>
      </c>
    </row>
    <row r="3012">
      <c r="A3012" s="324" t="str">
        <f>IFERROR(__xludf.DUMMYFUNCTION("""COMPUTED_VALUE"""),"TND-XTA-069")</f>
        <v>TND-XTA-069</v>
      </c>
      <c r="B3012" s="478" t="str">
        <f>IFERROR(__xludf.DUMMYFUNCTION("""COMPUTED_VALUE"""),"Xe ben 25 tấn")</f>
        <v>Xe ben 25 tấn</v>
      </c>
      <c r="C3012" s="324" t="str">
        <f>IFERROR(__xludf.DUMMYFUNCTION("""COMPUTED_VALUE"""),"CGTC DP")</f>
        <v>CGTC DP</v>
      </c>
      <c r="D3012" s="324" t="str">
        <f>IFERROR(__xludf.DUMMYFUNCTION("""COMPUTED_VALUE"""),"DAEWOO")</f>
        <v>DAEWOO</v>
      </c>
      <c r="E3012" s="324"/>
      <c r="F3012" s="324">
        <f>IFERROR(__xludf.DUMMYFUNCTION("""COMPUTED_VALUE"""),2007.0)</f>
        <v>2007</v>
      </c>
      <c r="G3012" s="324"/>
      <c r="H3012" s="324" t="str">
        <f>IFERROR(__xludf.DUMMYFUNCTION("""COMPUTED_VALUE"""),"420HP")</f>
        <v>420HP</v>
      </c>
      <c r="I3012" s="324" t="str">
        <f>IFERROR(__xludf.DUMMYFUNCTION("""COMPUTED_VALUE"""),"519064421SH")</f>
        <v>519064421SH</v>
      </c>
      <c r="J3012" s="324" t="str">
        <f>IFERROR(__xludf.DUMMYFUNCTION("""COMPUTED_VALUE"""),"KL3N8DNF17K000445")</f>
        <v>KL3N8DNF17K000445</v>
      </c>
      <c r="K3012" s="324">
        <f>IFERROR(__xludf.DUMMYFUNCTION("""COMPUTED_VALUE"""),13.5)</f>
        <v>13.5</v>
      </c>
      <c r="L3012" s="324" t="str">
        <f>IFERROR(__xludf.DUMMYFUNCTION("""COMPUTED_VALUE"""),"Đang thuê")</f>
        <v>Đang thuê</v>
      </c>
    </row>
    <row r="3013">
      <c r="A3013" s="324" t="str">
        <f>IFERROR(__xludf.DUMMYFUNCTION("""COMPUTED_VALUE"""),"TND-XTA-070")</f>
        <v>TND-XTA-070</v>
      </c>
      <c r="B3013" s="478" t="str">
        <f>IFERROR(__xludf.DUMMYFUNCTION("""COMPUTED_VALUE"""),"Xe ben 25 tấn")</f>
        <v>Xe ben 25 tấn</v>
      </c>
      <c r="C3013" s="324" t="str">
        <f>IFERROR(__xludf.DUMMYFUNCTION("""COMPUTED_VALUE"""),"CGTC DP")</f>
        <v>CGTC DP</v>
      </c>
      <c r="D3013" s="324" t="str">
        <f>IFERROR(__xludf.DUMMYFUNCTION("""COMPUTED_VALUE"""),"SHACMAN")</f>
        <v>SHACMAN</v>
      </c>
      <c r="E3013" s="324"/>
      <c r="F3013" s="324">
        <f>IFERROR(__xludf.DUMMYFUNCTION("""COMPUTED_VALUE"""),2019.0)</f>
        <v>2019</v>
      </c>
      <c r="G3013" s="324" t="str">
        <f>IFERROR(__xludf.DUMMYFUNCTION("""COMPUTED_VALUE"""),"SX3317")</f>
        <v>SX3317</v>
      </c>
      <c r="H3013" s="324" t="str">
        <f>IFERROR(__xludf.DUMMYFUNCTION("""COMPUTED_VALUE"""),"340HP")</f>
        <v>340HP</v>
      </c>
      <c r="I3013" s="324" t="str">
        <f>IFERROR(__xludf.DUMMYFUNCTION("""COMPUTED_VALUE"""),"HR66HX128366")</f>
        <v>HR66HX128366</v>
      </c>
      <c r="J3013" s="324" t="str">
        <f>IFERROR(__xludf.DUMMYFUNCTION("""COMPUTED_VALUE"""),"21617J120499")</f>
        <v>21617J120499</v>
      </c>
      <c r="K3013" s="324">
        <f>IFERROR(__xludf.DUMMYFUNCTION("""COMPUTED_VALUE"""),13.0)</f>
        <v>13</v>
      </c>
      <c r="L3013" s="324" t="str">
        <f>IFERROR(__xludf.DUMMYFUNCTION("""COMPUTED_VALUE"""),"Đang thuê")</f>
        <v>Đang thuê</v>
      </c>
    </row>
    <row r="3014">
      <c r="A3014" s="324" t="str">
        <f>IFERROR(__xludf.DUMMYFUNCTION("""COMPUTED_VALUE"""),"TND-XTA-071")</f>
        <v>TND-XTA-071</v>
      </c>
      <c r="B3014" s="478" t="str">
        <f>IFERROR(__xludf.DUMMYFUNCTION("""COMPUTED_VALUE"""),"Xe ben 15 tấn")</f>
        <v>Xe ben 15 tấn</v>
      </c>
      <c r="C3014" s="324" t="str">
        <f>IFERROR(__xludf.DUMMYFUNCTION("""COMPUTED_VALUE"""),"CGTC DP")</f>
        <v>CGTC DP</v>
      </c>
      <c r="D3014" s="324" t="str">
        <f>IFERROR(__xludf.DUMMYFUNCTION("""COMPUTED_VALUE"""),"DONGPENG")</f>
        <v>DONGPENG</v>
      </c>
      <c r="E3014" s="324"/>
      <c r="F3014" s="324">
        <f>IFERROR(__xludf.DUMMYFUNCTION("""COMPUTED_VALUE"""),2015.0)</f>
        <v>2015</v>
      </c>
      <c r="G3014" s="324" t="str">
        <f>IFERROR(__xludf.DUMMYFUNCTION("""COMPUTED_VALUE"""),"DP")</f>
        <v>DP</v>
      </c>
      <c r="H3014" s="324"/>
      <c r="I3014" s="324" t="str">
        <f>IFERROR(__xludf.DUMMYFUNCTION("""COMPUTED_VALUE"""),"LGAX4DD3XFH119728")</f>
        <v>LGAX4DD3XFH119728</v>
      </c>
      <c r="J3014" s="324" t="str">
        <f>IFERROR(__xludf.DUMMYFUNCTION("""COMPUTED_VALUE"""),"L3403078164889")</f>
        <v>L3403078164889</v>
      </c>
      <c r="K3014" s="324">
        <f>IFERROR(__xludf.DUMMYFUNCTION("""COMPUTED_VALUE"""),8.0)</f>
        <v>8</v>
      </c>
      <c r="L3014" s="324" t="str">
        <f>IFERROR(__xludf.DUMMYFUNCTION("""COMPUTED_VALUE"""),"Đang thuê")</f>
        <v>Đang thuê</v>
      </c>
    </row>
    <row r="3015">
      <c r="A3015" s="324" t="str">
        <f>IFERROR(__xludf.DUMMYFUNCTION("""COMPUTED_VALUE"""),"TND-XTA-072")</f>
        <v>TND-XTA-072</v>
      </c>
      <c r="B3015" s="478" t="str">
        <f>IFERROR(__xludf.DUMMYFUNCTION("""COMPUTED_VALUE"""),"Xe ben 15 tấn")</f>
        <v>Xe ben 15 tấn</v>
      </c>
      <c r="C3015" s="324" t="str">
        <f>IFERROR(__xludf.DUMMYFUNCTION("""COMPUTED_VALUE"""),"CGTC DP")</f>
        <v>CGTC DP</v>
      </c>
      <c r="D3015" s="324" t="str">
        <f>IFERROR(__xludf.DUMMYFUNCTION("""COMPUTED_VALUE"""),"HYUNDAI")</f>
        <v>HYUNDAI</v>
      </c>
      <c r="E3015" s="324"/>
      <c r="F3015" s="324"/>
      <c r="G3015" s="324" t="str">
        <f>IFERROR(__xludf.DUMMYFUNCTION("""COMPUTED_VALUE"""),"Tải tự đổ")</f>
        <v>Tải tự đổ</v>
      </c>
      <c r="H3015" s="324"/>
      <c r="I3015" s="324" t="str">
        <f>IFERROR(__xludf.DUMMYFUNCTION("""COMPUTED_VALUE"""),"18YPTC102295")</f>
        <v>18YPTC102295</v>
      </c>
      <c r="J3015" s="324" t="str">
        <f>IFERROR(__xludf.DUMMYFUNCTION("""COMPUTED_VALUE"""),"D8AYT167177")</f>
        <v>D8AYT167177</v>
      </c>
      <c r="K3015" s="324">
        <f>IFERROR(__xludf.DUMMYFUNCTION("""COMPUTED_VALUE"""),8.0)</f>
        <v>8</v>
      </c>
      <c r="L3015" s="324" t="str">
        <f>IFERROR(__xludf.DUMMYFUNCTION("""COMPUTED_VALUE"""),"Đang thuê")</f>
        <v>Đang thuê</v>
      </c>
    </row>
    <row r="3016">
      <c r="A3016" s="324" t="str">
        <f>IFERROR(__xludf.DUMMYFUNCTION("""COMPUTED_VALUE"""),"TND-XTA-073")</f>
        <v>TND-XTA-073</v>
      </c>
      <c r="B3016" s="478" t="str">
        <f>IFERROR(__xludf.DUMMYFUNCTION("""COMPUTED_VALUE"""),"Xe ben 15 tấn")</f>
        <v>Xe ben 15 tấn</v>
      </c>
      <c r="C3016" s="324" t="str">
        <f>IFERROR(__xludf.DUMMYFUNCTION("""COMPUTED_VALUE"""),"CGTC DP")</f>
        <v>CGTC DP</v>
      </c>
      <c r="D3016" s="324" t="str">
        <f>IFERROR(__xludf.DUMMYFUNCTION("""COMPUTED_VALUE"""),"HYUNDAI")</f>
        <v>HYUNDAI</v>
      </c>
      <c r="E3016" s="324"/>
      <c r="F3016" s="324">
        <f>IFERROR(__xludf.DUMMYFUNCTION("""COMPUTED_VALUE"""),1998.0)</f>
        <v>1998</v>
      </c>
      <c r="G3016" s="324" t="str">
        <f>IFERROR(__xludf.DUMMYFUNCTION("""COMPUTED_VALUE"""),"DUMPTRUCK")</f>
        <v>DUMPTRUCK</v>
      </c>
      <c r="H3016" s="324" t="str">
        <f>IFERROR(__xludf.DUMMYFUNCTION("""COMPUTED_VALUE"""),"235 HP")</f>
        <v>235 HP</v>
      </c>
      <c r="I3016" s="324" t="str">
        <f>IFERROR(__xludf.DUMMYFUNCTION("""COMPUTED_VALUE"""),"KMCDB19CPWCOO1307")</f>
        <v>KMCDB19CPWCOO1307</v>
      </c>
      <c r="J3016" s="324"/>
      <c r="K3016" s="324">
        <f>IFERROR(__xludf.DUMMYFUNCTION("""COMPUTED_VALUE"""),8.0)</f>
        <v>8</v>
      </c>
      <c r="L3016" s="324" t="str">
        <f>IFERROR(__xludf.DUMMYFUNCTION("""COMPUTED_VALUE"""),"Đang thuê")</f>
        <v>Đang thuê</v>
      </c>
    </row>
    <row r="3017">
      <c r="A3017" s="324" t="str">
        <f>IFERROR(__xludf.DUMMYFUNCTION("""COMPUTED_VALUE"""),"TND-XTA-074")</f>
        <v>TND-XTA-074</v>
      </c>
      <c r="B3017" s="478" t="str">
        <f>IFERROR(__xludf.DUMMYFUNCTION("""COMPUTED_VALUE"""),"Xe ben 15 tấn")</f>
        <v>Xe ben 15 tấn</v>
      </c>
      <c r="C3017" s="324" t="str">
        <f>IFERROR(__xludf.DUMMYFUNCTION("""COMPUTED_VALUE"""),"CGTC DP")</f>
        <v>CGTC DP</v>
      </c>
      <c r="D3017" s="324" t="str">
        <f>IFERROR(__xludf.DUMMYFUNCTION("""COMPUTED_VALUE"""),"HYUNDAI")</f>
        <v>HYUNDAI</v>
      </c>
      <c r="E3017" s="324"/>
      <c r="F3017" s="324"/>
      <c r="G3017" s="324" t="str">
        <f>IFERROR(__xludf.DUMMYFUNCTION("""COMPUTED_VALUE"""),"HD270")</f>
        <v>HD270</v>
      </c>
      <c r="H3017" s="324"/>
      <c r="I3017" s="324" t="str">
        <f>IFERROR(__xludf.DUMMYFUNCTION("""COMPUTED_VALUE"""),"KMCDB19YP3C024373")</f>
        <v>KMCDB19YP3C024373</v>
      </c>
      <c r="J3017" s="324" t="str">
        <f>IFERROR(__xludf.DUMMYFUNCTION("""COMPUTED_VALUE"""),"D8AY3071985")</f>
        <v>D8AY3071985</v>
      </c>
      <c r="K3017" s="324">
        <f>IFERROR(__xludf.DUMMYFUNCTION("""COMPUTED_VALUE"""),8.05)</f>
        <v>8.05</v>
      </c>
      <c r="L3017" s="324" t="str">
        <f>IFERROR(__xludf.DUMMYFUNCTION("""COMPUTED_VALUE"""),"Đang thuê")</f>
        <v>Đang thuê</v>
      </c>
    </row>
    <row r="3018">
      <c r="A3018" s="324" t="str">
        <f>IFERROR(__xludf.DUMMYFUNCTION("""COMPUTED_VALUE"""),"TND-XTA-075")</f>
        <v>TND-XTA-075</v>
      </c>
      <c r="B3018" s="478" t="str">
        <f>IFERROR(__xludf.DUMMYFUNCTION("""COMPUTED_VALUE"""),"Xe ben 15 tấn")</f>
        <v>Xe ben 15 tấn</v>
      </c>
      <c r="C3018" s="324" t="str">
        <f>IFERROR(__xludf.DUMMYFUNCTION("""COMPUTED_VALUE"""),"CGTC DP")</f>
        <v>CGTC DP</v>
      </c>
      <c r="D3018" s="324" t="str">
        <f>IFERROR(__xludf.DUMMYFUNCTION("""COMPUTED_VALUE"""),"HOWO")</f>
        <v>HOWO</v>
      </c>
      <c r="E3018" s="324"/>
      <c r="F3018" s="324">
        <f>IFERROR(__xludf.DUMMYFUNCTION("""COMPUTED_VALUE"""),2017.0)</f>
        <v>2017</v>
      </c>
      <c r="G3018" s="324" t="str">
        <f>IFERROR(__xludf.DUMMYFUNCTION("""COMPUTED_VALUE"""),"ZZ3257N")</f>
        <v>ZZ3257N</v>
      </c>
      <c r="H3018" s="324" t="str">
        <f>IFERROR(__xludf.DUMMYFUNCTION("""COMPUTED_VALUE"""),"380 HP")</f>
        <v>380 HP</v>
      </c>
      <c r="I3018" s="324" t="str">
        <f>IFERROR(__xludf.DUMMYFUNCTION("""COMPUTED_VALUE"""),"LZZ5ELSD8ED874542")</f>
        <v>LZZ5ELSD8ED874542</v>
      </c>
      <c r="J3018" s="324" t="str">
        <f>IFERROR(__xludf.DUMMYFUNCTION("""COMPUTED_VALUE"""),"WD61547141107014567")</f>
        <v>WD61547141107014567</v>
      </c>
      <c r="K3018" s="324">
        <f>IFERROR(__xludf.DUMMYFUNCTION("""COMPUTED_VALUE"""),8.05)</f>
        <v>8.05</v>
      </c>
      <c r="L3018" s="324" t="str">
        <f>IFERROR(__xludf.DUMMYFUNCTION("""COMPUTED_VALUE"""),"Đang thuê")</f>
        <v>Đang thuê</v>
      </c>
    </row>
    <row r="3019">
      <c r="A3019" s="324" t="str">
        <f>IFERROR(__xludf.DUMMYFUNCTION("""COMPUTED_VALUE"""),"TND-XTA-076")</f>
        <v>TND-XTA-076</v>
      </c>
      <c r="B3019" s="478" t="str">
        <f>IFERROR(__xludf.DUMMYFUNCTION("""COMPUTED_VALUE"""),"Xe ben 15 tấn")</f>
        <v>Xe ben 15 tấn</v>
      </c>
      <c r="C3019" s="324" t="str">
        <f>IFERROR(__xludf.DUMMYFUNCTION("""COMPUTED_VALUE"""),"CGTC DP")</f>
        <v>CGTC DP</v>
      </c>
      <c r="D3019" s="324" t="str">
        <f>IFERROR(__xludf.DUMMYFUNCTION("""COMPUTED_VALUE"""),"HOWO")</f>
        <v>HOWO</v>
      </c>
      <c r="E3019" s="324"/>
      <c r="F3019" s="324">
        <f>IFERROR(__xludf.DUMMYFUNCTION("""COMPUTED_VALUE"""),2017.0)</f>
        <v>2017</v>
      </c>
      <c r="G3019" s="324" t="str">
        <f>IFERROR(__xludf.DUMMYFUNCTION("""COMPUTED_VALUE"""),"ZZ3257N")</f>
        <v>ZZ3257N</v>
      </c>
      <c r="H3019" s="324" t="str">
        <f>IFERROR(__xludf.DUMMYFUNCTION("""COMPUTED_VALUE"""),"380 HP")</f>
        <v>380 HP</v>
      </c>
      <c r="I3019" s="324" t="str">
        <f>IFERROR(__xludf.DUMMYFUNCTION("""COMPUTED_VALUE"""),"LZZ5ELSC5FN086949")</f>
        <v>LZZ5ELSC5FN086949</v>
      </c>
      <c r="J3019" s="324" t="str">
        <f>IFERROR(__xludf.DUMMYFUNCTION("""COMPUTED_VALUE"""),"WD61547151107021977")</f>
        <v>WD61547151107021977</v>
      </c>
      <c r="K3019" s="324">
        <f>IFERROR(__xludf.DUMMYFUNCTION("""COMPUTED_VALUE"""),8.06)</f>
        <v>8.06</v>
      </c>
      <c r="L3019" s="324" t="str">
        <f>IFERROR(__xludf.DUMMYFUNCTION("""COMPUTED_VALUE"""),"-")</f>
        <v>-</v>
      </c>
    </row>
    <row r="3020">
      <c r="A3020" s="324" t="str">
        <f>IFERROR(__xludf.DUMMYFUNCTION("""COMPUTED_VALUE"""),"TND-XTA-077")</f>
        <v>TND-XTA-077</v>
      </c>
      <c r="B3020" s="478" t="str">
        <f>IFERROR(__xludf.DUMMYFUNCTION("""COMPUTED_VALUE"""),"Xe ben 15 tấn")</f>
        <v>Xe ben 15 tấn</v>
      </c>
      <c r="C3020" s="324" t="str">
        <f>IFERROR(__xludf.DUMMYFUNCTION("""COMPUTED_VALUE"""),"CGTC DP")</f>
        <v>CGTC DP</v>
      </c>
      <c r="D3020" s="324" t="str">
        <f>IFERROR(__xludf.DUMMYFUNCTION("""COMPUTED_VALUE"""),"HYUNDAI")</f>
        <v>HYUNDAI</v>
      </c>
      <c r="E3020" s="324"/>
      <c r="F3020" s="324"/>
      <c r="G3020" s="324" t="str">
        <f>IFERROR(__xludf.DUMMYFUNCTION("""COMPUTED_VALUE"""),"HD270")</f>
        <v>HD270</v>
      </c>
      <c r="H3020" s="324"/>
      <c r="I3020" s="324" t="str">
        <f>IFERROR(__xludf.DUMMYFUNCTION("""COMPUTED_VALUE"""),"D8AY4088746")</f>
        <v>D8AY4088746</v>
      </c>
      <c r="J3020" s="324" t="str">
        <f>IFERROR(__xludf.DUMMYFUNCTION("""COMPUTED_VALUE"""),"KMCDB19YP4C032694")</f>
        <v>KMCDB19YP4C032694</v>
      </c>
      <c r="K3020" s="324">
        <f>IFERROR(__xludf.DUMMYFUNCTION("""COMPUTED_VALUE"""),8.1)</f>
        <v>8.1</v>
      </c>
      <c r="L3020" s="324" t="str">
        <f>IFERROR(__xludf.DUMMYFUNCTION("""COMPUTED_VALUE"""),"Đang thuê")</f>
        <v>Đang thuê</v>
      </c>
    </row>
    <row r="3021">
      <c r="A3021" s="324" t="str">
        <f>IFERROR(__xludf.DUMMYFUNCTION("""COMPUTED_VALUE"""),"TND-XTA-078")</f>
        <v>TND-XTA-078</v>
      </c>
      <c r="B3021" s="478" t="str">
        <f>IFERROR(__xludf.DUMMYFUNCTION("""COMPUTED_VALUE"""),"Xe ben 15 tấn")</f>
        <v>Xe ben 15 tấn</v>
      </c>
      <c r="C3021" s="324" t="str">
        <f>IFERROR(__xludf.DUMMYFUNCTION("""COMPUTED_VALUE"""),"CGTC DP")</f>
        <v>CGTC DP</v>
      </c>
      <c r="D3021" s="324" t="str">
        <f>IFERROR(__xludf.DUMMYFUNCTION("""COMPUTED_VALUE"""),"HYUNDAI")</f>
        <v>HYUNDAI</v>
      </c>
      <c r="E3021" s="324"/>
      <c r="F3021" s="324"/>
      <c r="G3021" s="324" t="str">
        <f>IFERROR(__xludf.DUMMYFUNCTION("""COMPUTED_VALUE"""),"15TON")</f>
        <v>15TON</v>
      </c>
      <c r="H3021" s="324"/>
      <c r="I3021" s="324" t="str">
        <f>IFERROR(__xludf.DUMMYFUNCTION("""COMPUTED_VALUE"""),"D8AYT002259")</f>
        <v>D8AYT002259</v>
      </c>
      <c r="J3021" s="324" t="str">
        <f>IFERROR(__xludf.DUMMYFUNCTION("""COMPUTED_VALUE"""),"118YPTC103730")</f>
        <v>118YPTC103730</v>
      </c>
      <c r="K3021" s="324">
        <f>IFERROR(__xludf.DUMMYFUNCTION("""COMPUTED_VALUE"""),8.0)</f>
        <v>8</v>
      </c>
      <c r="L3021" s="324" t="str">
        <f>IFERROR(__xludf.DUMMYFUNCTION("""COMPUTED_VALUE"""),"Đang thuê")</f>
        <v>Đang thuê</v>
      </c>
    </row>
    <row r="3022">
      <c r="A3022" s="324" t="str">
        <f>IFERROR(__xludf.DUMMYFUNCTION("""COMPUTED_VALUE"""),"TND-XTA-079")</f>
        <v>TND-XTA-079</v>
      </c>
      <c r="B3022" s="478" t="str">
        <f>IFERROR(__xludf.DUMMYFUNCTION("""COMPUTED_VALUE"""),"Xe ben 15 tấn")</f>
        <v>Xe ben 15 tấn</v>
      </c>
      <c r="C3022" s="324" t="str">
        <f>IFERROR(__xludf.DUMMYFUNCTION("""COMPUTED_VALUE"""),"CGTC DP")</f>
        <v>CGTC DP</v>
      </c>
      <c r="D3022" s="324" t="str">
        <f>IFERROR(__xludf.DUMMYFUNCTION("""COMPUTED_VALUE"""),"FUSO")</f>
        <v>FUSO</v>
      </c>
      <c r="E3022" s="324"/>
      <c r="F3022" s="324">
        <f>IFERROR(__xludf.DUMMYFUNCTION("""COMPUTED_VALUE"""),1995.0)</f>
        <v>1995</v>
      </c>
      <c r="G3022" s="324" t="str">
        <f>IFERROR(__xludf.DUMMYFUNCTION("""COMPUTED_VALUE"""),"3C-1878")</f>
        <v>3C-1878</v>
      </c>
      <c r="H3022" s="324" t="str">
        <f>IFERROR(__xludf.DUMMYFUNCTION("""COMPUTED_VALUE"""),"320HP")</f>
        <v>320HP</v>
      </c>
      <c r="I3022" s="324" t="str">
        <f>IFERROR(__xludf.DUMMYFUNCTION("""COMPUTED_VALUE"""),"KMCDB18YPSU019137")</f>
        <v>KMCDB18YPSU019137</v>
      </c>
      <c r="J3022" s="324" t="str">
        <f>IFERROR(__xludf.DUMMYFUNCTION("""COMPUTED_VALUE"""),"D8AYR131052")</f>
        <v>D8AYR131052</v>
      </c>
      <c r="K3022" s="324">
        <f>IFERROR(__xludf.DUMMYFUNCTION("""COMPUTED_VALUE"""),8.2)</f>
        <v>8.2</v>
      </c>
      <c r="L3022" s="324" t="str">
        <f>IFERROR(__xludf.DUMMYFUNCTION("""COMPUTED_VALUE"""),"Đang thuê")</f>
        <v>Đang thuê</v>
      </c>
    </row>
    <row r="3023">
      <c r="A3023" s="324" t="str">
        <f>IFERROR(__xludf.DUMMYFUNCTION("""COMPUTED_VALUE"""),"TND-XTA-080")</f>
        <v>TND-XTA-080</v>
      </c>
      <c r="B3023" s="478" t="str">
        <f>IFERROR(__xludf.DUMMYFUNCTION("""COMPUTED_VALUE"""),"Xe ben 15 tấn")</f>
        <v>Xe ben 15 tấn</v>
      </c>
      <c r="C3023" s="324" t="str">
        <f>IFERROR(__xludf.DUMMYFUNCTION("""COMPUTED_VALUE"""),"CGTC DP")</f>
        <v>CGTC DP</v>
      </c>
      <c r="D3023" s="324" t="str">
        <f>IFERROR(__xludf.DUMMYFUNCTION("""COMPUTED_VALUE"""),"HYUNDAI")</f>
        <v>HYUNDAI</v>
      </c>
      <c r="E3023" s="324"/>
      <c r="F3023" s="324">
        <f>IFERROR(__xludf.DUMMYFUNCTION("""COMPUTED_VALUE"""),1993.0)</f>
        <v>1993</v>
      </c>
      <c r="G3023" s="324" t="str">
        <f>IFERROR(__xludf.DUMMYFUNCTION("""COMPUTED_VALUE"""),"3C-5522")</f>
        <v>3C-5522</v>
      </c>
      <c r="H3023" s="324" t="str">
        <f>IFERROR(__xludf.DUMMYFUNCTION("""COMPUTED_VALUE"""),"320HP")</f>
        <v>320HP</v>
      </c>
      <c r="I3023" s="324" t="str">
        <f>IFERROR(__xludf.DUMMYFUNCTION("""COMPUTED_VALUE"""),"KMCDB19YPPU015606")</f>
        <v>KMCDB19YPPU015606</v>
      </c>
      <c r="J3023" s="324" t="str">
        <f>IFERROR(__xludf.DUMMYFUNCTION("""COMPUTED_VALUE"""),"D8AYAR127615")</f>
        <v>D8AYAR127615</v>
      </c>
      <c r="K3023" s="324">
        <f>IFERROR(__xludf.DUMMYFUNCTION("""COMPUTED_VALUE"""),8.4)</f>
        <v>8.4</v>
      </c>
      <c r="L3023" s="324" t="str">
        <f>IFERROR(__xludf.DUMMYFUNCTION("""COMPUTED_VALUE"""),"Đang thuê")</f>
        <v>Đang thuê</v>
      </c>
    </row>
    <row r="3024">
      <c r="A3024" s="324" t="str">
        <f>IFERROR(__xludf.DUMMYFUNCTION("""COMPUTED_VALUE"""),"TND-XTA-081")</f>
        <v>TND-XTA-081</v>
      </c>
      <c r="B3024" s="478" t="str">
        <f>IFERROR(__xludf.DUMMYFUNCTION("""COMPUTED_VALUE"""),"Xe ben 15 tấn")</f>
        <v>Xe ben 15 tấn</v>
      </c>
      <c r="C3024" s="324" t="str">
        <f>IFERROR(__xludf.DUMMYFUNCTION("""COMPUTED_VALUE"""),"CGTC DP")</f>
        <v>CGTC DP</v>
      </c>
      <c r="D3024" s="324" t="str">
        <f>IFERROR(__xludf.DUMMYFUNCTION("""COMPUTED_VALUE"""),"HYUNDAI")</f>
        <v>HYUNDAI</v>
      </c>
      <c r="E3024" s="324"/>
      <c r="F3024" s="324">
        <f>IFERROR(__xludf.DUMMYFUNCTION("""COMPUTED_VALUE"""),1997.0)</f>
        <v>1997</v>
      </c>
      <c r="G3024" s="324" t="str">
        <f>IFERROR(__xludf.DUMMYFUNCTION("""COMPUTED_VALUE"""),"3F-3808")</f>
        <v>3F-3808</v>
      </c>
      <c r="H3024" s="324" t="str">
        <f>IFERROR(__xludf.DUMMYFUNCTION("""COMPUTED_VALUE"""),"340HP")</f>
        <v>340HP</v>
      </c>
      <c r="I3024" s="324" t="str">
        <f>IFERROR(__xludf.DUMMYFUNCTION("""COMPUTED_VALUE"""),"KMCDB19BPVC104386")</f>
        <v>KMCDB19BPVC104386</v>
      </c>
      <c r="J3024" s="324" t="str">
        <f>IFERROR(__xludf.DUMMYFUNCTION("""COMPUTED_VALUE"""),"D8ABT005127")</f>
        <v>D8ABT005127</v>
      </c>
      <c r="K3024" s="324">
        <f>IFERROR(__xludf.DUMMYFUNCTION("""COMPUTED_VALUE"""),8.5)</f>
        <v>8.5</v>
      </c>
      <c r="L3024" s="324" t="str">
        <f>IFERROR(__xludf.DUMMYFUNCTION("""COMPUTED_VALUE"""),"Đang thuê")</f>
        <v>Đang thuê</v>
      </c>
    </row>
    <row r="3025">
      <c r="A3025" s="324" t="str">
        <f>IFERROR(__xludf.DUMMYFUNCTION("""COMPUTED_VALUE"""),"TND-XTA-082")</f>
        <v>TND-XTA-082</v>
      </c>
      <c r="B3025" s="478" t="str">
        <f>IFERROR(__xludf.DUMMYFUNCTION("""COMPUTED_VALUE"""),"Xe ben 15 tấn")</f>
        <v>Xe ben 15 tấn</v>
      </c>
      <c r="C3025" s="324" t="str">
        <f>IFERROR(__xludf.DUMMYFUNCTION("""COMPUTED_VALUE"""),"CGTC DP")</f>
        <v>CGTC DP</v>
      </c>
      <c r="D3025" s="324" t="str">
        <f>IFERROR(__xludf.DUMMYFUNCTION("""COMPUTED_VALUE"""),"HINO")</f>
        <v>HINO</v>
      </c>
      <c r="E3025" s="324"/>
      <c r="F3025" s="324">
        <f>IFERROR(__xludf.DUMMYFUNCTION("""COMPUTED_VALUE"""),1998.0)</f>
        <v>1998</v>
      </c>
      <c r="G3025" s="324" t="str">
        <f>IFERROR(__xludf.DUMMYFUNCTION("""COMPUTED_VALUE"""),"772C054,65")</f>
        <v>772C054,65</v>
      </c>
      <c r="H3025" s="324" t="str">
        <f>IFERROR(__xludf.DUMMYFUNCTION("""COMPUTED_VALUE"""),"335HP")</f>
        <v>335HP</v>
      </c>
      <c r="I3025" s="324" t="str">
        <f>IFERROR(__xludf.DUMMYFUNCTION("""COMPUTED_VALUE"""),"LFS3FKE-10761")</f>
        <v>LFS3FKE-10761</v>
      </c>
      <c r="J3025" s="324" t="str">
        <f>IFERROR(__xludf.DUMMYFUNCTION("""COMPUTED_VALUE"""),"F20CC-10803")</f>
        <v>F20CC-10803</v>
      </c>
      <c r="K3025" s="324">
        <f>IFERROR(__xludf.DUMMYFUNCTION("""COMPUTED_VALUE"""),8.1)</f>
        <v>8.1</v>
      </c>
      <c r="L3025" s="324" t="str">
        <f>IFERROR(__xludf.DUMMYFUNCTION("""COMPUTED_VALUE"""),"-")</f>
        <v>-</v>
      </c>
    </row>
    <row r="3026">
      <c r="A3026" s="324" t="str">
        <f>IFERROR(__xludf.DUMMYFUNCTION("""COMPUTED_VALUE"""),"Xe Ban")</f>
        <v>Xe Ban</v>
      </c>
      <c r="B3026" s="478" t="str">
        <f>IFERROR(__xludf.DUMMYFUNCTION("""COMPUTED_VALUE"""),"4")</f>
        <v>4</v>
      </c>
      <c r="C3026" s="324"/>
      <c r="D3026" s="324"/>
      <c r="E3026" s="324"/>
      <c r="F3026" s="324"/>
      <c r="G3026" s="324"/>
      <c r="H3026" s="324"/>
      <c r="I3026" s="324"/>
      <c r="J3026" s="324"/>
      <c r="K3026" s="324"/>
      <c r="L3026" s="324" t="str">
        <f>IFERROR(__xludf.DUMMYFUNCTION("""COMPUTED_VALUE"""),"3")</f>
        <v>3</v>
      </c>
    </row>
    <row r="3027">
      <c r="A3027" s="324" t="str">
        <f>IFERROR(__xludf.DUMMYFUNCTION("""COMPUTED_VALUE"""),"TND-BAN-001")</f>
        <v>TND-BAN-001</v>
      </c>
      <c r="B3027" s="478" t="str">
        <f>IFERROR(__xludf.DUMMYFUNCTION("""COMPUTED_VALUE"""),"Xe ban 15 tấn")</f>
        <v>Xe ban 15 tấn</v>
      </c>
      <c r="C3027" s="324" t="str">
        <f>IFERROR(__xludf.DUMMYFUNCTION("""COMPUTED_VALUE"""),"CGTC DP")</f>
        <v>CGTC DP</v>
      </c>
      <c r="D3027" s="324" t="str">
        <f>IFERROR(__xludf.DUMMYFUNCTION("""COMPUTED_VALUE"""),"KOMATSU")</f>
        <v>KOMATSU</v>
      </c>
      <c r="E3027" s="324" t="str">
        <f>IFERROR(__xludf.DUMMYFUNCTION("""COMPUTED_VALUE"""),"NHẬT BẢN")</f>
        <v>NHẬT BẢN</v>
      </c>
      <c r="F3027" s="324">
        <f>IFERROR(__xludf.DUMMYFUNCTION("""COMPUTED_VALUE"""),2019.0)</f>
        <v>2019</v>
      </c>
      <c r="G3027" s="324" t="str">
        <f>IFERROR(__xludf.DUMMYFUNCTION("""COMPUTED_VALUE"""),"GD850")</f>
        <v>GD850</v>
      </c>
      <c r="H3027" s="324" t="str">
        <f>IFERROR(__xludf.DUMMYFUNCTION("""COMPUTED_VALUE"""),"177HP")</f>
        <v>177HP</v>
      </c>
      <c r="I3027" s="324" t="str">
        <f>IFERROR(__xludf.DUMMYFUNCTION("""COMPUTED_VALUE"""),"G580020UZ202313")</f>
        <v>G580020UZ202313</v>
      </c>
      <c r="J3027" s="324" t="str">
        <f>IFERROR(__xludf.DUMMYFUNCTION("""COMPUTED_VALUE"""),"45216841")</f>
        <v>45216841</v>
      </c>
      <c r="K3027" s="324">
        <f>IFERROR(__xludf.DUMMYFUNCTION("""COMPUTED_VALUE"""),15.5)</f>
        <v>15.5</v>
      </c>
      <c r="L3027" s="324" t="str">
        <f>IFERROR(__xludf.DUMMYFUNCTION("""COMPUTED_VALUE"""),"-")</f>
        <v>-</v>
      </c>
    </row>
    <row r="3028">
      <c r="A3028" s="324" t="str">
        <f>IFERROR(__xludf.DUMMYFUNCTION("""COMPUTED_VALUE"""),"TND-BAN-002")</f>
        <v>TND-BAN-002</v>
      </c>
      <c r="B3028" s="478" t="str">
        <f>IFERROR(__xludf.DUMMYFUNCTION("""COMPUTED_VALUE"""),"Xe ban 15 tấn")</f>
        <v>Xe ban 15 tấn</v>
      </c>
      <c r="C3028" s="324" t="str">
        <f>IFERROR(__xludf.DUMMYFUNCTION("""COMPUTED_VALUE"""),"CGTC DP")</f>
        <v>CGTC DP</v>
      </c>
      <c r="D3028" s="324" t="str">
        <f>IFERROR(__xludf.DUMMYFUNCTION("""COMPUTED_VALUE"""),"MITSUBISHI")</f>
        <v>MITSUBISHI</v>
      </c>
      <c r="E3028" s="324"/>
      <c r="F3028" s="324">
        <f>IFERROR(__xludf.DUMMYFUNCTION("""COMPUTED_VALUE"""),1990.0)</f>
        <v>1990</v>
      </c>
      <c r="G3028" s="324" t="str">
        <f>IFERROR(__xludf.DUMMYFUNCTION("""COMPUTED_VALUE"""),"BD2G")</f>
        <v>BD2G</v>
      </c>
      <c r="H3028" s="324"/>
      <c r="I3028" s="324" t="str">
        <f>IFERROR(__xludf.DUMMYFUNCTION("""COMPUTED_VALUE"""),"2B100454")</f>
        <v>2B100454</v>
      </c>
      <c r="J3028" s="324" t="str">
        <f>IFERROR(__xludf.DUMMYFUNCTION("""COMPUTED_VALUE"""),"67555")</f>
        <v>67555</v>
      </c>
      <c r="K3028" s="324">
        <f>IFERROR(__xludf.DUMMYFUNCTION("""COMPUTED_VALUE"""),11.0)</f>
        <v>11</v>
      </c>
      <c r="L3028" s="324" t="str">
        <f>IFERROR(__xludf.DUMMYFUNCTION("""COMPUTED_VALUE"""),"-")</f>
        <v>-</v>
      </c>
    </row>
    <row r="3029">
      <c r="A3029" s="324" t="str">
        <f>IFERROR(__xludf.DUMMYFUNCTION("""COMPUTED_VALUE"""),"TND-BAN-003")</f>
        <v>TND-BAN-003</v>
      </c>
      <c r="B3029" s="478" t="str">
        <f>IFERROR(__xludf.DUMMYFUNCTION("""COMPUTED_VALUE"""),"Xe ban 11 tấn")</f>
        <v>Xe ban 11 tấn</v>
      </c>
      <c r="C3029" s="324" t="str">
        <f>IFERROR(__xludf.DUMMYFUNCTION("""COMPUTED_VALUE"""),"CGTC DP")</f>
        <v>CGTC DP</v>
      </c>
      <c r="D3029" s="324" t="str">
        <f>IFERROR(__xludf.DUMMYFUNCTION("""COMPUTED_VALUE"""),"MISUBISHI")</f>
        <v>MISUBISHI</v>
      </c>
      <c r="E3029" s="324"/>
      <c r="F3029" s="324">
        <f>IFERROR(__xludf.DUMMYFUNCTION("""COMPUTED_VALUE"""),1990.0)</f>
        <v>1990</v>
      </c>
      <c r="G3029" s="324" t="str">
        <f>IFERROR(__xludf.DUMMYFUNCTION("""COMPUTED_VALUE"""),"NG300")</f>
        <v>NG300</v>
      </c>
      <c r="H3029" s="324" t="str">
        <f>IFERROR(__xludf.DUMMYFUNCTION("""COMPUTED_VALUE"""),"115HP")</f>
        <v>115HP</v>
      </c>
      <c r="I3029" s="324" t="str">
        <f>IFERROR(__xludf.DUMMYFUNCTION("""COMPUTED_VALUE"""),"36000600")</f>
        <v>36000600</v>
      </c>
      <c r="J3029" s="324" t="str">
        <f>IFERROR(__xludf.DUMMYFUNCTION("""COMPUTED_VALUE"""),"48305680")</f>
        <v>48305680</v>
      </c>
      <c r="K3029" s="324">
        <f>IFERROR(__xludf.DUMMYFUNCTION("""COMPUTED_VALUE"""),12.0)</f>
        <v>12</v>
      </c>
      <c r="L3029" s="324" t="str">
        <f>IFERROR(__xludf.DUMMYFUNCTION("""COMPUTED_VALUE"""),"-")</f>
        <v>-</v>
      </c>
    </row>
    <row r="3030">
      <c r="A3030" s="324" t="str">
        <f>IFERROR(__xludf.DUMMYFUNCTION("""COMPUTED_VALUE"""),"TND-BAN-004")</f>
        <v>TND-BAN-004</v>
      </c>
      <c r="B3030" s="478" t="str">
        <f>IFERROR(__xludf.DUMMYFUNCTION("""COMPUTED_VALUE"""),"Xe ban 15 tấn")</f>
        <v>Xe ban 15 tấn</v>
      </c>
      <c r="C3030" s="324" t="str">
        <f>IFERROR(__xludf.DUMMYFUNCTION("""COMPUTED_VALUE"""),"CGTC DP")</f>
        <v>CGTC DP</v>
      </c>
      <c r="D3030" s="324" t="str">
        <f>IFERROR(__xludf.DUMMYFUNCTION("""COMPUTED_VALUE"""),"SANY")</f>
        <v>SANY</v>
      </c>
      <c r="E3030" s="324"/>
      <c r="F3030" s="324">
        <f>IFERROR(__xludf.DUMMYFUNCTION("""COMPUTED_VALUE"""),2022.0)</f>
        <v>2022</v>
      </c>
      <c r="G3030" s="324" t="str">
        <f>IFERROR(__xludf.DUMMYFUNCTION("""COMPUTED_VALUE"""),"STG 190C-8S")</f>
        <v>STG 190C-8S</v>
      </c>
      <c r="H3030" s="324" t="str">
        <f>IFERROR(__xludf.DUMMYFUNCTION("""COMPUTED_VALUE"""),"197HP")</f>
        <v>197HP</v>
      </c>
      <c r="I3030" s="324" t="str">
        <f>IFERROR(__xludf.DUMMYFUNCTION("""COMPUTED_VALUE"""),"PY5519CC1262")</f>
        <v>PY5519CC1262</v>
      </c>
      <c r="J3030" s="324" t="str">
        <f>IFERROR(__xludf.DUMMYFUNCTION("""COMPUTED_VALUE"""),"WP6G200E3306P22A004239")</f>
        <v>WP6G200E3306P22A004239</v>
      </c>
      <c r="K3030" s="324">
        <f>IFERROR(__xludf.DUMMYFUNCTION("""COMPUTED_VALUE"""),15.0)</f>
        <v>15</v>
      </c>
      <c r="L3030" s="324" t="str">
        <f>IFERROR(__xludf.DUMMYFUNCTION("""COMPUTED_VALUE"""),"-")</f>
        <v>-</v>
      </c>
    </row>
    <row r="3031">
      <c r="A3031" s="324" t="str">
        <f>IFERROR(__xludf.DUMMYFUNCTION("""COMPUTED_VALUE"""),"TND-BAN-005")</f>
        <v>TND-BAN-005</v>
      </c>
      <c r="B3031" s="478" t="str">
        <f>IFERROR(__xludf.DUMMYFUNCTION("""COMPUTED_VALUE"""),"Xe ban 11 tấn")</f>
        <v>Xe ban 11 tấn</v>
      </c>
      <c r="C3031" s="324" t="str">
        <f>IFERROR(__xludf.DUMMYFUNCTION("""COMPUTED_VALUE"""),"CGTC DP")</f>
        <v>CGTC DP</v>
      </c>
      <c r="D3031" s="324" t="str">
        <f>IFERROR(__xludf.DUMMYFUNCTION("""COMPUTED_VALUE"""),"MITSUBISHI")</f>
        <v>MITSUBISHI</v>
      </c>
      <c r="E3031" s="324"/>
      <c r="F3031" s="324"/>
      <c r="G3031" s="324" t="str">
        <f>IFERROR(__xludf.DUMMYFUNCTION("""COMPUTED_VALUE"""),"MG300")</f>
        <v>MG300</v>
      </c>
      <c r="H3031" s="324" t="str">
        <f>IFERROR(__xludf.DUMMYFUNCTION("""COMPUTED_VALUE"""),"115HP")</f>
        <v>115HP</v>
      </c>
      <c r="I3031" s="324" t="str">
        <f>IFERROR(__xludf.DUMMYFUNCTION("""COMPUTED_VALUE"""),"360006000")</f>
        <v>360006000</v>
      </c>
      <c r="J3031" s="324" t="str">
        <f>IFERROR(__xludf.DUMMYFUNCTION("""COMPUTED_VALUE"""),"48305680")</f>
        <v>48305680</v>
      </c>
      <c r="K3031" s="324">
        <f>IFERROR(__xludf.DUMMYFUNCTION("""COMPUTED_VALUE"""),11.0)</f>
        <v>11</v>
      </c>
      <c r="L3031" s="324" t="str">
        <f>IFERROR(__xludf.DUMMYFUNCTION("""COMPUTED_VALUE"""),"-")</f>
        <v>-</v>
      </c>
    </row>
    <row r="3032">
      <c r="A3032" s="324" t="str">
        <f>IFERROR(__xludf.DUMMYFUNCTION("""COMPUTED_VALUE"""),"TND-BAN-006")</f>
        <v>TND-BAN-006</v>
      </c>
      <c r="B3032" s="478" t="str">
        <f>IFERROR(__xludf.DUMMYFUNCTION("""COMPUTED_VALUE"""),"Xe ban 15 tấn")</f>
        <v>Xe ban 15 tấn</v>
      </c>
      <c r="C3032" s="324" t="str">
        <f>IFERROR(__xludf.DUMMYFUNCTION("""COMPUTED_VALUE"""),"CGTC DP")</f>
        <v>CGTC DP</v>
      </c>
      <c r="D3032" s="324" t="str">
        <f>IFERROR(__xludf.DUMMYFUNCTION("""COMPUTED_VALUE"""),"SANY")</f>
        <v>SANY</v>
      </c>
      <c r="E3032" s="324"/>
      <c r="F3032" s="324">
        <f>IFERROR(__xludf.DUMMYFUNCTION("""COMPUTED_VALUE"""),2024.0)</f>
        <v>2024</v>
      </c>
      <c r="G3032" s="324" t="str">
        <f>IFERROR(__xludf.DUMMYFUNCTION("""COMPUTED_VALUE"""),"STG 190C-8S")</f>
        <v>STG 190C-8S</v>
      </c>
      <c r="H3032" s="324" t="str">
        <f>IFERROR(__xludf.DUMMYFUNCTION("""COMPUTED_VALUE"""),"197 HP")</f>
        <v>197 HP</v>
      </c>
      <c r="I3032" s="324" t="str">
        <f>IFERROR(__xludf.DUMMYFUNCTION("""COMPUTED_VALUE"""),"PY5519CE0948")</f>
        <v>PY5519CE0948</v>
      </c>
      <c r="J3032" s="324" t="str">
        <f>IFERROR(__xludf.DUMMYFUNCTION("""COMPUTED_VALUE"""),"WP6G20E3306P24F015515")</f>
        <v>WP6G20E3306P24F015515</v>
      </c>
      <c r="K3032" s="324">
        <f>IFERROR(__xludf.DUMMYFUNCTION("""COMPUTED_VALUE"""),14.0)</f>
        <v>14</v>
      </c>
      <c r="L3032" s="324" t="str">
        <f>IFERROR(__xludf.DUMMYFUNCTION("""COMPUTED_VALUE"""),"Đang thuê")</f>
        <v>Đang thuê</v>
      </c>
    </row>
    <row r="3033">
      <c r="A3033" s="324" t="str">
        <f>IFERROR(__xludf.DUMMYFUNCTION("""COMPUTED_VALUE"""),"TND-BAN-007")</f>
        <v>TND-BAN-007</v>
      </c>
      <c r="B3033" s="478" t="str">
        <f>IFERROR(__xludf.DUMMYFUNCTION("""COMPUTED_VALUE"""),"Xe ban 15 tấn")</f>
        <v>Xe ban 15 tấn</v>
      </c>
      <c r="C3033" s="324" t="str">
        <f>IFERROR(__xludf.DUMMYFUNCTION("""COMPUTED_VALUE"""),"CGTC DP")</f>
        <v>CGTC DP</v>
      </c>
      <c r="D3033" s="324" t="str">
        <f>IFERROR(__xludf.DUMMYFUNCTION("""COMPUTED_VALUE"""),"SANY")</f>
        <v>SANY</v>
      </c>
      <c r="E3033" s="324"/>
      <c r="F3033" s="324">
        <f>IFERROR(__xludf.DUMMYFUNCTION("""COMPUTED_VALUE"""),2022.0)</f>
        <v>2022</v>
      </c>
      <c r="G3033" s="324" t="str">
        <f>IFERROR(__xludf.DUMMYFUNCTION("""COMPUTED_VALUE"""),"STG 190C-8S")</f>
        <v>STG 190C-8S</v>
      </c>
      <c r="H3033" s="324" t="str">
        <f>IFERROR(__xludf.DUMMYFUNCTION("""COMPUTED_VALUE"""),"197HP")</f>
        <v>197HP</v>
      </c>
      <c r="I3033" s="324" t="str">
        <f>IFERROR(__xludf.DUMMYFUNCTION("""COMPUTED_VALUE"""),"PY5519CC1262")</f>
        <v>PY5519CC1262</v>
      </c>
      <c r="J3033" s="324" t="str">
        <f>IFERROR(__xludf.DUMMYFUNCTION("""COMPUTED_VALUE"""),"WP6G200E3306P22A004239")</f>
        <v>WP6G200E3306P22A004239</v>
      </c>
      <c r="K3033" s="324">
        <f>IFERROR(__xludf.DUMMYFUNCTION("""COMPUTED_VALUE"""),14.5)</f>
        <v>14.5</v>
      </c>
      <c r="L3033" s="324" t="str">
        <f>IFERROR(__xludf.DUMMYFUNCTION("""COMPUTED_VALUE"""),"-")</f>
        <v>-</v>
      </c>
    </row>
    <row r="3034">
      <c r="A3034" s="324" t="str">
        <f>IFERROR(__xludf.DUMMYFUNCTION("""COMPUTED_VALUE"""),"TND-BAN-008")</f>
        <v>TND-BAN-008</v>
      </c>
      <c r="B3034" s="478" t="str">
        <f>IFERROR(__xludf.DUMMYFUNCTION("""COMPUTED_VALUE"""),"Xe ban 13 tấn")</f>
        <v>Xe ban 13 tấn</v>
      </c>
      <c r="C3034" s="324" t="str">
        <f>IFERROR(__xludf.DUMMYFUNCTION("""COMPUTED_VALUE"""),"CGTC DP")</f>
        <v>CGTC DP</v>
      </c>
      <c r="D3034" s="324" t="str">
        <f>IFERROR(__xludf.DUMMYFUNCTION("""COMPUTED_VALUE"""),"KOMATSU")</f>
        <v>KOMATSU</v>
      </c>
      <c r="E3034" s="324"/>
      <c r="F3034" s="324">
        <f>IFERROR(__xludf.DUMMYFUNCTION("""COMPUTED_VALUE"""),1995.0)</f>
        <v>1995</v>
      </c>
      <c r="G3034" s="324" t="str">
        <f>IFERROR(__xludf.DUMMYFUNCTION("""COMPUTED_VALUE"""),"GD525A")</f>
        <v>GD525A</v>
      </c>
      <c r="H3034" s="324" t="str">
        <f>IFERROR(__xludf.DUMMYFUNCTION("""COMPUTED_VALUE"""),"135HP")</f>
        <v>135HP</v>
      </c>
      <c r="I3034" s="324" t="str">
        <f>IFERROR(__xludf.DUMMYFUNCTION("""COMPUTED_VALUE"""),"55047")</f>
        <v>55047</v>
      </c>
      <c r="J3034" s="324" t="str">
        <f>IFERROR(__xludf.DUMMYFUNCTION("""COMPUTED_VALUE"""),"6D105117988")</f>
        <v>6D105117988</v>
      </c>
      <c r="K3034" s="324">
        <f>IFERROR(__xludf.DUMMYFUNCTION("""COMPUTED_VALUE"""),10.0)</f>
        <v>10</v>
      </c>
      <c r="L3034" s="324" t="str">
        <f>IFERROR(__xludf.DUMMYFUNCTION("""COMPUTED_VALUE"""),"-")</f>
        <v>-</v>
      </c>
    </row>
    <row r="3035">
      <c r="A3035" s="324" t="str">
        <f>IFERROR(__xludf.DUMMYFUNCTION("""COMPUTED_VALUE"""),"TND-BAN-009")</f>
        <v>TND-BAN-009</v>
      </c>
      <c r="B3035" s="478" t="str">
        <f>IFERROR(__xludf.DUMMYFUNCTION("""COMPUTED_VALUE"""),"Xe ban 15 tấn")</f>
        <v>Xe ban 15 tấn</v>
      </c>
      <c r="C3035" s="324" t="str">
        <f>IFERROR(__xludf.DUMMYFUNCTION("""COMPUTED_VALUE"""),"CGTC DP")</f>
        <v>CGTC DP</v>
      </c>
      <c r="D3035" s="324" t="str">
        <f>IFERROR(__xludf.DUMMYFUNCTION("""COMPUTED_VALUE"""),"KOMATSU")</f>
        <v>KOMATSU</v>
      </c>
      <c r="E3035" s="324"/>
      <c r="F3035" s="324">
        <f>IFERROR(__xludf.DUMMYFUNCTION("""COMPUTED_VALUE"""),1995.0)</f>
        <v>1995</v>
      </c>
      <c r="G3035" s="324" t="str">
        <f>IFERROR(__xludf.DUMMYFUNCTION("""COMPUTED_VALUE"""),"GD850")</f>
        <v>GD850</v>
      </c>
      <c r="H3035" s="324" t="str">
        <f>IFERROR(__xludf.DUMMYFUNCTION("""COMPUTED_VALUE"""),"177HP")</f>
        <v>177HP</v>
      </c>
      <c r="I3035" s="324" t="str">
        <f>IFERROR(__xludf.DUMMYFUNCTION("""COMPUTED_VALUE"""),"G580010U200216")</f>
        <v>G580010U200216</v>
      </c>
      <c r="J3035" s="324" t="str">
        <f>IFERROR(__xludf.DUMMYFUNCTION("""COMPUTED_VALUE"""),"U00247")</f>
        <v>U00247</v>
      </c>
      <c r="K3035" s="324">
        <f>IFERROR(__xludf.DUMMYFUNCTION("""COMPUTED_VALUE"""),12.0)</f>
        <v>12</v>
      </c>
      <c r="L3035" s="324" t="str">
        <f>IFERROR(__xludf.DUMMYFUNCTION("""COMPUTED_VALUE"""),"-")</f>
        <v>-</v>
      </c>
    </row>
    <row r="3036">
      <c r="A3036" s="324" t="str">
        <f>IFERROR(__xludf.DUMMYFUNCTION("""COMPUTED_VALUE"""),"TND-BAN-010")</f>
        <v>TND-BAN-010</v>
      </c>
      <c r="B3036" s="478" t="str">
        <f>IFERROR(__xludf.DUMMYFUNCTION("""COMPUTED_VALUE"""),"Xe ban 17 tấn")</f>
        <v>Xe ban 17 tấn</v>
      </c>
      <c r="C3036" s="324" t="str">
        <f>IFERROR(__xludf.DUMMYFUNCTION("""COMPUTED_VALUE"""),"CGTC DP")</f>
        <v>CGTC DP</v>
      </c>
      <c r="D3036" s="324" t="str">
        <f>IFERROR(__xludf.DUMMYFUNCTION("""COMPUTED_VALUE"""),"KOMATSU")</f>
        <v>KOMATSU</v>
      </c>
      <c r="E3036" s="324"/>
      <c r="F3036" s="324">
        <f>IFERROR(__xludf.DUMMYFUNCTION("""COMPUTED_VALUE"""),2000.0)</f>
        <v>2000</v>
      </c>
      <c r="G3036" s="324" t="str">
        <f>IFERROR(__xludf.DUMMYFUNCTION("""COMPUTED_VALUE"""),"GD705A-4A")</f>
        <v>GD705A-4A</v>
      </c>
      <c r="H3036" s="324" t="str">
        <f>IFERROR(__xludf.DUMMYFUNCTION("""COMPUTED_VALUE"""),"200HP")</f>
        <v>200HP</v>
      </c>
      <c r="I3036" s="324" t="str">
        <f>IFERROR(__xludf.DUMMYFUNCTION("""COMPUTED_VALUE"""),"11188")</f>
        <v>11188</v>
      </c>
      <c r="J3036" s="324" t="str">
        <f>IFERROR(__xludf.DUMMYFUNCTION("""COMPUTED_VALUE"""),"31921")</f>
        <v>31921</v>
      </c>
      <c r="K3036" s="324">
        <f>IFERROR(__xludf.DUMMYFUNCTION("""COMPUTED_VALUE"""),15.0)</f>
        <v>15</v>
      </c>
      <c r="L3036" s="324" t="str">
        <f>IFERROR(__xludf.DUMMYFUNCTION("""COMPUTED_VALUE"""),"-")</f>
        <v>-</v>
      </c>
    </row>
    <row r="3037">
      <c r="A3037" s="324" t="str">
        <f>IFERROR(__xludf.DUMMYFUNCTION("""COMPUTED_VALUE"""),"TND-BAN-012")</f>
        <v>TND-BAN-012</v>
      </c>
      <c r="B3037" s="478" t="str">
        <f>IFERROR(__xludf.DUMMYFUNCTION("""COMPUTED_VALUE"""),"Xe ban 16 tấn")</f>
        <v>Xe ban 16 tấn</v>
      </c>
      <c r="C3037" s="324" t="str">
        <f>IFERROR(__xludf.DUMMYFUNCTION("""COMPUTED_VALUE"""),"CGTC DP")</f>
        <v>CGTC DP</v>
      </c>
      <c r="D3037" s="324" t="str">
        <f>IFERROR(__xludf.DUMMYFUNCTION("""COMPUTED_VALUE"""),"SANY")</f>
        <v>SANY</v>
      </c>
      <c r="E3037" s="324"/>
      <c r="F3037" s="324">
        <f>IFERROR(__xludf.DUMMYFUNCTION("""COMPUTED_VALUE"""),2024.0)</f>
        <v>2024</v>
      </c>
      <c r="G3037" s="324" t="str">
        <f>IFERROR(__xludf.DUMMYFUNCTION("""COMPUTED_VALUE"""),"STG 190C-8S")</f>
        <v>STG 190C-8S</v>
      </c>
      <c r="H3037" s="324" t="str">
        <f>IFERROR(__xludf.DUMMYFUNCTION("""COMPUTED_VALUE"""),"197HP")</f>
        <v>197HP</v>
      </c>
      <c r="I3037" s="324" t="str">
        <f>IFERROR(__xludf.DUMMYFUNCTION("""COMPUTED_VALUE"""),"PY5519CE0141")</f>
        <v>PY5519CE0141</v>
      </c>
      <c r="J3037" s="324" t="str">
        <f>IFERROR(__xludf.DUMMYFUNCTION("""COMPUTED_VALUE"""),"6P24A001802")</f>
        <v>6P24A001802</v>
      </c>
      <c r="K3037" s="324">
        <f>IFERROR(__xludf.DUMMYFUNCTION("""COMPUTED_VALUE"""),14.5)</f>
        <v>14.5</v>
      </c>
      <c r="L3037" s="324" t="str">
        <f>IFERROR(__xludf.DUMMYFUNCTION("""COMPUTED_VALUE"""),"-")</f>
        <v>-</v>
      </c>
    </row>
    <row r="3038">
      <c r="A3038" s="324" t="str">
        <f>IFERROR(__xludf.DUMMYFUNCTION("""COMPUTED_VALUE"""),"TND-BAN-013")</f>
        <v>TND-BAN-013</v>
      </c>
      <c r="B3038" s="478" t="str">
        <f>IFERROR(__xludf.DUMMYFUNCTION("""COMPUTED_VALUE"""),"Xe ban 14 tấn")</f>
        <v>Xe ban 14 tấn</v>
      </c>
      <c r="C3038" s="324" t="str">
        <f>IFERROR(__xludf.DUMMYFUNCTION("""COMPUTED_VALUE"""),"CGTC DP")</f>
        <v>CGTC DP</v>
      </c>
      <c r="D3038" s="324" t="str">
        <f>IFERROR(__xludf.DUMMYFUNCTION("""COMPUTED_VALUE"""),"KOMATSU")</f>
        <v>KOMATSU</v>
      </c>
      <c r="E3038" s="324"/>
      <c r="F3038" s="324">
        <f>IFERROR(__xludf.DUMMYFUNCTION("""COMPUTED_VALUE"""),2006.0)</f>
        <v>2006</v>
      </c>
      <c r="G3038" s="324"/>
      <c r="H3038" s="324"/>
      <c r="I3038" s="324"/>
      <c r="J3038" s="324"/>
      <c r="K3038" s="324">
        <f>IFERROR(__xludf.DUMMYFUNCTION("""COMPUTED_VALUE"""),16.0)</f>
        <v>16</v>
      </c>
      <c r="L3038" s="324" t="str">
        <f>IFERROR(__xludf.DUMMYFUNCTION("""COMPUTED_VALUE"""),"-")</f>
        <v>-</v>
      </c>
    </row>
    <row r="3039">
      <c r="A3039" s="324" t="str">
        <f>IFERROR(__xludf.DUMMYFUNCTION("""COMPUTED_VALUE"""),"TND-BAN-014")</f>
        <v>TND-BAN-014</v>
      </c>
      <c r="B3039" s="478" t="str">
        <f>IFERROR(__xludf.DUMMYFUNCTION("""COMPUTED_VALUE"""),"Xe ban 14 tấn")</f>
        <v>Xe ban 14 tấn</v>
      </c>
      <c r="C3039" s="324" t="str">
        <f>IFERROR(__xludf.DUMMYFUNCTION("""COMPUTED_VALUE"""),"CGTC DP")</f>
        <v>CGTC DP</v>
      </c>
      <c r="D3039" s="324" t="str">
        <f>IFERROR(__xludf.DUMMYFUNCTION("""COMPUTED_VALUE"""),"KOMATSU")</f>
        <v>KOMATSU</v>
      </c>
      <c r="E3039" s="324"/>
      <c r="F3039" s="324">
        <f>IFERROR(__xludf.DUMMYFUNCTION("""COMPUTED_VALUE"""),2000.0)</f>
        <v>2000</v>
      </c>
      <c r="G3039" s="324" t="str">
        <f>IFERROR(__xludf.DUMMYFUNCTION("""COMPUTED_VALUE"""),"GALION 850")</f>
        <v>GALION 850</v>
      </c>
      <c r="H3039" s="324" t="str">
        <f>IFERROR(__xludf.DUMMYFUNCTION("""COMPUTED_VALUE"""),"170HP")</f>
        <v>170HP</v>
      </c>
      <c r="I3039" s="324" t="str">
        <f>IFERROR(__xludf.DUMMYFUNCTION("""COMPUTED_VALUE"""),"G580010U201017")</f>
        <v>G580010U201017</v>
      </c>
      <c r="J3039" s="324" t="str">
        <f>IFERROR(__xludf.DUMMYFUNCTION("""COMPUTED_VALUE"""),"NIL")</f>
        <v>NIL</v>
      </c>
      <c r="K3039" s="324">
        <f>IFERROR(__xludf.DUMMYFUNCTION("""COMPUTED_VALUE"""),16.0)</f>
        <v>16</v>
      </c>
      <c r="L3039" s="324" t="str">
        <f>IFERROR(__xludf.DUMMYFUNCTION("""COMPUTED_VALUE"""),"Đang thuê")</f>
        <v>Đang thuê</v>
      </c>
    </row>
    <row r="3040">
      <c r="A3040" s="324" t="str">
        <f>IFERROR(__xludf.DUMMYFUNCTION("""COMPUTED_VALUE"""),"TND-BAN-015")</f>
        <v>TND-BAN-015</v>
      </c>
      <c r="B3040" s="478" t="str">
        <f>IFERROR(__xludf.DUMMYFUNCTION("""COMPUTED_VALUE"""),"Xe ban 14 tấn")</f>
        <v>Xe ban 14 tấn</v>
      </c>
      <c r="C3040" s="324" t="str">
        <f>IFERROR(__xludf.DUMMYFUNCTION("""COMPUTED_VALUE"""),"CGTC DP")</f>
        <v>CGTC DP</v>
      </c>
      <c r="D3040" s="324" t="str">
        <f>IFERROR(__xludf.DUMMYFUNCTION("""COMPUTED_VALUE"""),"CAT")</f>
        <v>CAT</v>
      </c>
      <c r="E3040" s="324"/>
      <c r="F3040" s="324"/>
      <c r="G3040" s="324" t="str">
        <f>IFERROR(__xludf.DUMMYFUNCTION("""COMPUTED_VALUE"""),"12E")</f>
        <v>12E</v>
      </c>
      <c r="H3040" s="324" t="str">
        <f>IFERROR(__xludf.DUMMYFUNCTION("""COMPUTED_VALUE"""),"115HP")</f>
        <v>115HP</v>
      </c>
      <c r="I3040" s="324" t="str">
        <f>IFERROR(__xludf.DUMMYFUNCTION("""COMPUTED_VALUE"""),"99E-11144")</f>
        <v>99E-11144</v>
      </c>
      <c r="J3040" s="324" t="str">
        <f>IFERROR(__xludf.DUMMYFUNCTION("""COMPUTED_VALUE"""),"99E9954")</f>
        <v>99E9954</v>
      </c>
      <c r="K3040" s="324">
        <f>IFERROR(__xludf.DUMMYFUNCTION("""COMPUTED_VALUE"""),14.0)</f>
        <v>14</v>
      </c>
      <c r="L3040" s="324" t="str">
        <f>IFERROR(__xludf.DUMMYFUNCTION("""COMPUTED_VALUE"""),"Đang thuê")</f>
        <v>Đang thuê</v>
      </c>
    </row>
    <row r="3041">
      <c r="A3041" s="324" t="str">
        <f>IFERROR(__xludf.DUMMYFUNCTION("""COMPUTED_VALUE"""),"Xe chuyên dụng")</f>
        <v>Xe chuyên dụng</v>
      </c>
      <c r="B3041" s="478" t="str">
        <f>IFERROR(__xludf.DUMMYFUNCTION("""COMPUTED_VALUE"""),"2")</f>
        <v>2</v>
      </c>
      <c r="C3041" s="324"/>
      <c r="D3041" s="324"/>
      <c r="E3041" s="324"/>
      <c r="F3041" s="324"/>
      <c r="G3041" s="324"/>
      <c r="H3041" s="324"/>
      <c r="I3041" s="324"/>
      <c r="J3041" s="324"/>
      <c r="K3041" s="324"/>
      <c r="L3041" s="324" t="str">
        <f>IFERROR(__xludf.DUMMYFUNCTION("""COMPUTED_VALUE"""),"2")</f>
        <v>2</v>
      </c>
    </row>
    <row r="3042">
      <c r="A3042" s="324" t="str">
        <f>IFERROR(__xludf.DUMMYFUNCTION("""COMPUTED_VALUE"""),"TND-XCA-001")</f>
        <v>TND-XCA-001</v>
      </c>
      <c r="B3042" s="478" t="str">
        <f>IFERROR(__xludf.DUMMYFUNCTION("""COMPUTED_VALUE"""),"Xe cầu thùng 15 tấn")</f>
        <v>Xe cầu thùng 15 tấn</v>
      </c>
      <c r="C3042" s="324" t="str">
        <f>IFERROR(__xludf.DUMMYFUNCTION("""COMPUTED_VALUE"""),"CGTC DP")</f>
        <v>CGTC DP</v>
      </c>
      <c r="D3042" s="324"/>
      <c r="E3042" s="324"/>
      <c r="F3042" s="324"/>
      <c r="G3042" s="324"/>
      <c r="H3042" s="324"/>
      <c r="I3042" s="324" t="str">
        <f>IFERROR(__xludf.DUMMYFUNCTION("""COMPUTED_VALUE"""),"KMFPA18SP2CD1G259")</f>
        <v>KMFPA18SP2CD1G259</v>
      </c>
      <c r="J3042" s="324" t="str">
        <f>IFERROR(__xludf.DUMMYFUNCTION("""COMPUTED_VALUE"""),"DBCA2056544")</f>
        <v>DBCA2056544</v>
      </c>
      <c r="K3042" s="324"/>
      <c r="L3042" s="324" t="str">
        <f>IFERROR(__xludf.DUMMYFUNCTION("""COMPUTED_VALUE"""),"-")</f>
        <v>-</v>
      </c>
    </row>
    <row r="3043">
      <c r="A3043" s="324" t="str">
        <f>IFERROR(__xludf.DUMMYFUNCTION("""COMPUTED_VALUE"""),"TND-XCA-002")</f>
        <v>TND-XCA-002</v>
      </c>
      <c r="B3043" s="478" t="str">
        <f>IFERROR(__xludf.DUMMYFUNCTION("""COMPUTED_VALUE"""),"Xe cẩu 15 tấn")</f>
        <v>Xe cẩu 15 tấn</v>
      </c>
      <c r="C3043" s="324" t="str">
        <f>IFERROR(__xludf.DUMMYFUNCTION("""COMPUTED_VALUE"""),"CGTC DP")</f>
        <v>CGTC DP</v>
      </c>
      <c r="D3043" s="324" t="str">
        <f>IFERROR(__xludf.DUMMYFUNCTION("""COMPUTED_VALUE"""),"HYUNDAI")</f>
        <v>HYUNDAI</v>
      </c>
      <c r="E3043" s="324"/>
      <c r="F3043" s="324">
        <f>IFERROR(__xludf.DUMMYFUNCTION("""COMPUTED_VALUE"""),2002.0)</f>
        <v>2002</v>
      </c>
      <c r="G3043" s="324"/>
      <c r="H3043" s="324" t="str">
        <f>IFERROR(__xludf.DUMMYFUNCTION("""COMPUTED_VALUE"""),"410HP")</f>
        <v>410HP</v>
      </c>
      <c r="I3043" s="324" t="str">
        <f>IFERROR(__xludf.DUMMYFUNCTION("""COMPUTED_VALUE"""),"KMFPA18SP2C017138")</f>
        <v>KMFPA18SP2C017138</v>
      </c>
      <c r="J3043" s="324" t="str">
        <f>IFERROR(__xludf.DUMMYFUNCTION("""COMPUTED_VALUE"""),"D6CA2057873")</f>
        <v>D6CA2057873</v>
      </c>
      <c r="K3043" s="324">
        <f>IFERROR(__xludf.DUMMYFUNCTION("""COMPUTED_VALUE"""),10.0)</f>
        <v>10</v>
      </c>
      <c r="L3043" s="324" t="str">
        <f>IFERROR(__xludf.DUMMYFUNCTION("""COMPUTED_VALUE"""),"Đang thuê")</f>
        <v>Đang thuê</v>
      </c>
    </row>
    <row r="3044">
      <c r="A3044" s="324" t="str">
        <f>IFERROR(__xludf.DUMMYFUNCTION("""COMPUTED_VALUE"""),"TND-XCA-003")</f>
        <v>TND-XCA-003</v>
      </c>
      <c r="B3044" s="478" t="str">
        <f>IFERROR(__xludf.DUMMYFUNCTION("""COMPUTED_VALUE"""),"Xe cẩu 8 tấn")</f>
        <v>Xe cẩu 8 tấn</v>
      </c>
      <c r="C3044" s="324" t="str">
        <f>IFERROR(__xludf.DUMMYFUNCTION("""COMPUTED_VALUE"""),"Ban điện nước")</f>
        <v>Ban điện nước</v>
      </c>
      <c r="D3044" s="324" t="str">
        <f>IFERROR(__xludf.DUMMYFUNCTION("""COMPUTED_VALUE"""),"HYUNDAI")</f>
        <v>HYUNDAI</v>
      </c>
      <c r="E3044" s="324"/>
      <c r="F3044" s="324">
        <f>IFERROR(__xludf.DUMMYFUNCTION("""COMPUTED_VALUE"""),2004.0)</f>
        <v>2004</v>
      </c>
      <c r="G3044" s="324" t="str">
        <f>IFERROR(__xludf.DUMMYFUNCTION("""COMPUTED_VALUE"""),"AD260")</f>
        <v>AD260</v>
      </c>
      <c r="H3044" s="324" t="str">
        <f>IFERROR(__xludf.DUMMYFUNCTION("""COMPUTED_VALUE"""),"380HP")</f>
        <v>380HP</v>
      </c>
      <c r="I3044" s="324" t="str">
        <f>IFERROR(__xludf.DUMMYFUNCTION("""COMPUTED_VALUE"""),"KMFDA19BP4C036819")</f>
        <v>KMFDA19BP4C036819</v>
      </c>
      <c r="J3044" s="324" t="str">
        <f>IFERROR(__xludf.DUMMYFUNCTION("""COMPUTED_VALUE"""),"D6AB4095031")</f>
        <v>D6AB4095031</v>
      </c>
      <c r="K3044" s="324">
        <f>IFERROR(__xludf.DUMMYFUNCTION("""COMPUTED_VALUE"""),5.7)</f>
        <v>5.7</v>
      </c>
      <c r="L3044" s="324" t="str">
        <f>IFERROR(__xludf.DUMMYFUNCTION("""COMPUTED_VALUE"""),"Đang thuê")</f>
        <v>Đang thuê</v>
      </c>
    </row>
    <row r="3045">
      <c r="A3045" s="324" t="str">
        <f>IFERROR(__xludf.DUMMYFUNCTION("""COMPUTED_VALUE"""),"TND-XCA-004")</f>
        <v>TND-XCA-004</v>
      </c>
      <c r="B3045" s="478" t="str">
        <f>IFERROR(__xludf.DUMMYFUNCTION("""COMPUTED_VALUE"""),"Xe cẩu 17 tấn")</f>
        <v>Xe cẩu 17 tấn</v>
      </c>
      <c r="C3045" s="324" t="str">
        <f>IFERROR(__xludf.DUMMYFUNCTION("""COMPUTED_VALUE"""),"CGTC DP")</f>
        <v>CGTC DP</v>
      </c>
      <c r="D3045" s="324" t="str">
        <f>IFERROR(__xludf.DUMMYFUNCTION("""COMPUTED_VALUE"""),"HYUNDAI")</f>
        <v>HYUNDAI</v>
      </c>
      <c r="E3045" s="324"/>
      <c r="F3045" s="324">
        <f>IFERROR(__xludf.DUMMYFUNCTION("""COMPUTED_VALUE"""),2004.0)</f>
        <v>2004</v>
      </c>
      <c r="G3045" s="324" t="str">
        <f>IFERROR(__xludf.DUMMYFUNCTION("""COMPUTED_VALUE"""),"Light Truck")</f>
        <v>Light Truck</v>
      </c>
      <c r="H3045" s="324" t="str">
        <f>IFERROR(__xludf.DUMMYFUNCTION("""COMPUTED_VALUE"""),"380HP")</f>
        <v>380HP</v>
      </c>
      <c r="I3045" s="324" t="str">
        <f>IFERROR(__xludf.DUMMYFUNCTION("""COMPUTED_VALUE"""),"KMFPA18SP4C028562")</f>
        <v>KMFPA18SP4C028562</v>
      </c>
      <c r="J3045" s="324" t="str">
        <f>IFERROR(__xludf.DUMMYFUNCTION("""COMPUTED_VALUE"""),"D6CA3079758")</f>
        <v>D6CA3079758</v>
      </c>
      <c r="K3045" s="324">
        <f>IFERROR(__xludf.DUMMYFUNCTION("""COMPUTED_VALUE"""),10.0)</f>
        <v>10</v>
      </c>
      <c r="L3045" s="324" t="str">
        <f>IFERROR(__xludf.DUMMYFUNCTION("""COMPUTED_VALUE"""),"-")</f>
        <v>-</v>
      </c>
    </row>
    <row r="3046">
      <c r="A3046" s="324" t="str">
        <f>IFERROR(__xludf.DUMMYFUNCTION("""COMPUTED_VALUE"""),"CLETHON")</f>
        <v>CLETHON</v>
      </c>
      <c r="B3046" s="478"/>
      <c r="C3046" s="324"/>
      <c r="D3046" s="324"/>
      <c r="E3046" s="324"/>
      <c r="F3046" s="324"/>
      <c r="G3046" s="324"/>
      <c r="H3046" s="324"/>
      <c r="I3046" s="324"/>
      <c r="J3046" s="324"/>
      <c r="K3046" s="324"/>
      <c r="L3046" s="324" t="str">
        <f>IFERROR(__xludf.DUMMYFUNCTION("""COMPUTED_VALUE"""),"-")</f>
        <v>-</v>
      </c>
    </row>
    <row r="3047">
      <c r="A3047" s="324" t="str">
        <f>IFERROR(__xludf.DUMMYFUNCTION("""COMPUTED_VALUE"""),"XÍ NGHIỆP CHUỐI DP1")</f>
        <v>XÍ NGHIỆP CHUỐI DP1</v>
      </c>
      <c r="B3047" s="478"/>
      <c r="C3047" s="324"/>
      <c r="D3047" s="324"/>
      <c r="E3047" s="324"/>
      <c r="F3047" s="324"/>
      <c r="G3047" s="324"/>
      <c r="H3047" s="324"/>
      <c r="I3047" s="324"/>
      <c r="J3047" s="324"/>
      <c r="K3047" s="324">
        <f>IFERROR(__xludf.DUMMYFUNCTION("""COMPUTED_VALUE"""),0.5)</f>
        <v>0.5</v>
      </c>
      <c r="L3047" s="324" t="str">
        <f>IFERROR(__xludf.DUMMYFUNCTION("""COMPUTED_VALUE"""),"-")</f>
        <v>-</v>
      </c>
    </row>
    <row r="3048">
      <c r="A3048" s="324" t="str">
        <f>IFERROR(__xludf.DUMMYFUNCTION("""COMPUTED_VALUE"""),"TND-CLT-001")</f>
        <v>TND-CLT-001</v>
      </c>
      <c r="B3048" s="478" t="str">
        <f>IFERROR(__xludf.DUMMYFUNCTION("""COMPUTED_VALUE"""),"Xe Clethon")</f>
        <v>Xe Clethon</v>
      </c>
      <c r="C3048" s="324"/>
      <c r="D3048" s="324"/>
      <c r="E3048" s="324"/>
      <c r="F3048" s="324"/>
      <c r="G3048" s="324"/>
      <c r="H3048" s="324" t="str">
        <f>IFERROR(__xludf.DUMMYFUNCTION("""COMPUTED_VALUE"""),"15HP")</f>
        <v>15HP</v>
      </c>
      <c r="I3048" s="324"/>
      <c r="J3048" s="324"/>
      <c r="K3048" s="324">
        <f>IFERROR(__xludf.DUMMYFUNCTION("""COMPUTED_VALUE"""),0.5)</f>
        <v>0.5</v>
      </c>
      <c r="L3048" s="324" t="str">
        <f>IFERROR(__xludf.DUMMYFUNCTION("""COMPUTED_VALUE"""),"-")</f>
        <v>-</v>
      </c>
    </row>
    <row r="3049">
      <c r="A3049" s="324" t="str">
        <f>IFERROR(__xludf.DUMMYFUNCTION("""COMPUTED_VALUE"""),"TND-CLT-002")</f>
        <v>TND-CLT-002</v>
      </c>
      <c r="B3049" s="478" t="str">
        <f>IFERROR(__xludf.DUMMYFUNCTION("""COMPUTED_VALUE"""),"X.Clethon")</f>
        <v>X.Clethon</v>
      </c>
      <c r="C3049" s="324"/>
      <c r="D3049" s="324"/>
      <c r="E3049" s="324"/>
      <c r="F3049" s="324"/>
      <c r="G3049" s="324"/>
      <c r="H3049" s="324" t="str">
        <f>IFERROR(__xludf.DUMMYFUNCTION("""COMPUTED_VALUE"""),"15HP")</f>
        <v>15HP</v>
      </c>
      <c r="I3049" s="324"/>
      <c r="J3049" s="324"/>
      <c r="K3049" s="324">
        <f>IFERROR(__xludf.DUMMYFUNCTION("""COMPUTED_VALUE"""),0.5)</f>
        <v>0.5</v>
      </c>
      <c r="L3049" s="324" t="str">
        <f>IFERROR(__xludf.DUMMYFUNCTION("""COMPUTED_VALUE"""),"-")</f>
        <v>-</v>
      </c>
    </row>
    <row r="3050">
      <c r="A3050" s="324" t="str">
        <f>IFERROR(__xludf.DUMMYFUNCTION("""COMPUTED_VALUE"""),"TND-CLT-003")</f>
        <v>TND-CLT-003</v>
      </c>
      <c r="B3050" s="478" t="str">
        <f>IFERROR(__xludf.DUMMYFUNCTION("""COMPUTED_VALUE"""),"Xe Clethon")</f>
        <v>Xe Clethon</v>
      </c>
      <c r="C3050" s="324"/>
      <c r="D3050" s="324"/>
      <c r="E3050" s="324"/>
      <c r="F3050" s="324"/>
      <c r="G3050" s="324"/>
      <c r="H3050" s="324" t="str">
        <f>IFERROR(__xludf.DUMMYFUNCTION("""COMPUTED_VALUE"""),"15HP")</f>
        <v>15HP</v>
      </c>
      <c r="I3050" s="324"/>
      <c r="J3050" s="324"/>
      <c r="K3050" s="324">
        <f>IFERROR(__xludf.DUMMYFUNCTION("""COMPUTED_VALUE"""),0.5)</f>
        <v>0.5</v>
      </c>
      <c r="L3050" s="324" t="str">
        <f>IFERROR(__xludf.DUMMYFUNCTION("""COMPUTED_VALUE"""),"-")</f>
        <v>-</v>
      </c>
    </row>
    <row r="3051">
      <c r="A3051" s="324" t="str">
        <f>IFERROR(__xludf.DUMMYFUNCTION("""COMPUTED_VALUE"""),"TND-CLT-004")</f>
        <v>TND-CLT-004</v>
      </c>
      <c r="B3051" s="478" t="str">
        <f>IFERROR(__xludf.DUMMYFUNCTION("""COMPUTED_VALUE"""),"X.Clethon")</f>
        <v>X.Clethon</v>
      </c>
      <c r="C3051" s="324"/>
      <c r="D3051" s="324"/>
      <c r="E3051" s="324"/>
      <c r="F3051" s="324"/>
      <c r="G3051" s="324"/>
      <c r="H3051" s="324" t="str">
        <f>IFERROR(__xludf.DUMMYFUNCTION("""COMPUTED_VALUE"""),"15HP")</f>
        <v>15HP</v>
      </c>
      <c r="I3051" s="324"/>
      <c r="J3051" s="324"/>
      <c r="K3051" s="324">
        <f>IFERROR(__xludf.DUMMYFUNCTION("""COMPUTED_VALUE"""),0.5)</f>
        <v>0.5</v>
      </c>
      <c r="L3051" s="324" t="str">
        <f>IFERROR(__xludf.DUMMYFUNCTION("""COMPUTED_VALUE"""),"-")</f>
        <v>-</v>
      </c>
    </row>
    <row r="3052">
      <c r="A3052" s="324" t="str">
        <f>IFERROR(__xludf.DUMMYFUNCTION("""COMPUTED_VALUE"""),"TND-CLT-068")</f>
        <v>TND-CLT-068</v>
      </c>
      <c r="B3052" s="478" t="str">
        <f>IFERROR(__xludf.DUMMYFUNCTION("""COMPUTED_VALUE"""),"Xe Clethon")</f>
        <v>Xe Clethon</v>
      </c>
      <c r="C3052" s="324"/>
      <c r="D3052" s="324"/>
      <c r="E3052" s="324"/>
      <c r="F3052" s="324"/>
      <c r="G3052" s="324"/>
      <c r="H3052" s="324" t="str">
        <f>IFERROR(__xludf.DUMMYFUNCTION("""COMPUTED_VALUE"""),"15HP")</f>
        <v>15HP</v>
      </c>
      <c r="I3052" s="324"/>
      <c r="J3052" s="324"/>
      <c r="K3052" s="324">
        <f>IFERROR(__xludf.DUMMYFUNCTION("""COMPUTED_VALUE"""),0.5)</f>
        <v>0.5</v>
      </c>
      <c r="L3052" s="324" t="str">
        <f>IFERROR(__xludf.DUMMYFUNCTION("""COMPUTED_VALUE"""),"-")</f>
        <v>-</v>
      </c>
    </row>
    <row r="3053">
      <c r="A3053" s="324" t="str">
        <f>IFERROR(__xludf.DUMMYFUNCTION("""COMPUTED_VALUE"""),"TND-CLT-069")</f>
        <v>TND-CLT-069</v>
      </c>
      <c r="B3053" s="478" t="str">
        <f>IFERROR(__xludf.DUMMYFUNCTION("""COMPUTED_VALUE"""),"Xe Clethon")</f>
        <v>Xe Clethon</v>
      </c>
      <c r="C3053" s="324"/>
      <c r="D3053" s="324"/>
      <c r="E3053" s="324"/>
      <c r="F3053" s="324"/>
      <c r="G3053" s="324"/>
      <c r="H3053" s="324" t="str">
        <f>IFERROR(__xludf.DUMMYFUNCTION("""COMPUTED_VALUE"""),"15HP")</f>
        <v>15HP</v>
      </c>
      <c r="I3053" s="324"/>
      <c r="J3053" s="324"/>
      <c r="K3053" s="324">
        <f>IFERROR(__xludf.DUMMYFUNCTION("""COMPUTED_VALUE"""),0.5)</f>
        <v>0.5</v>
      </c>
      <c r="L3053" s="324" t="str">
        <f>IFERROR(__xludf.DUMMYFUNCTION("""COMPUTED_VALUE"""),"-")</f>
        <v>-</v>
      </c>
    </row>
    <row r="3054">
      <c r="A3054" s="324" t="str">
        <f>IFERROR(__xludf.DUMMYFUNCTION("""COMPUTED_VALUE"""),"TND-CLT-070")</f>
        <v>TND-CLT-070</v>
      </c>
      <c r="B3054" s="478" t="str">
        <f>IFERROR(__xludf.DUMMYFUNCTION("""COMPUTED_VALUE"""),"Xe Clethon")</f>
        <v>Xe Clethon</v>
      </c>
      <c r="C3054" s="324"/>
      <c r="D3054" s="324"/>
      <c r="E3054" s="324"/>
      <c r="F3054" s="324"/>
      <c r="G3054" s="324"/>
      <c r="H3054" s="324" t="str">
        <f>IFERROR(__xludf.DUMMYFUNCTION("""COMPUTED_VALUE"""),"15HP")</f>
        <v>15HP</v>
      </c>
      <c r="I3054" s="324"/>
      <c r="J3054" s="324"/>
      <c r="K3054" s="324">
        <f>IFERROR(__xludf.DUMMYFUNCTION("""COMPUTED_VALUE"""),0.5)</f>
        <v>0.5</v>
      </c>
      <c r="L3054" s="324" t="str">
        <f>IFERROR(__xludf.DUMMYFUNCTION("""COMPUTED_VALUE"""),"-")</f>
        <v>-</v>
      </c>
    </row>
    <row r="3055">
      <c r="A3055" s="324" t="str">
        <f>IFERROR(__xludf.DUMMYFUNCTION("""COMPUTED_VALUE"""),"TND-CLT-071")</f>
        <v>TND-CLT-071</v>
      </c>
      <c r="B3055" s="478" t="str">
        <f>IFERROR(__xludf.DUMMYFUNCTION("""COMPUTED_VALUE"""),"Xe Clethon")</f>
        <v>Xe Clethon</v>
      </c>
      <c r="C3055" s="324"/>
      <c r="D3055" s="324"/>
      <c r="E3055" s="324"/>
      <c r="F3055" s="324"/>
      <c r="G3055" s="324"/>
      <c r="H3055" s="324" t="str">
        <f>IFERROR(__xludf.DUMMYFUNCTION("""COMPUTED_VALUE"""),"15HP")</f>
        <v>15HP</v>
      </c>
      <c r="I3055" s="324"/>
      <c r="J3055" s="324"/>
      <c r="K3055" s="324">
        <f>IFERROR(__xludf.DUMMYFUNCTION("""COMPUTED_VALUE"""),0.5)</f>
        <v>0.5</v>
      </c>
      <c r="L3055" s="324" t="str">
        <f>IFERROR(__xludf.DUMMYFUNCTION("""COMPUTED_VALUE"""),"-")</f>
        <v>-</v>
      </c>
    </row>
    <row r="3056">
      <c r="A3056" s="324" t="str">
        <f>IFERROR(__xludf.DUMMYFUNCTION("""COMPUTED_VALUE"""),"TND-CLT-072")</f>
        <v>TND-CLT-072</v>
      </c>
      <c r="B3056" s="478" t="str">
        <f>IFERROR(__xludf.DUMMYFUNCTION("""COMPUTED_VALUE"""),"Xe Clethon")</f>
        <v>Xe Clethon</v>
      </c>
      <c r="C3056" s="324"/>
      <c r="D3056" s="324"/>
      <c r="E3056" s="324"/>
      <c r="F3056" s="324"/>
      <c r="G3056" s="324"/>
      <c r="H3056" s="324" t="str">
        <f>IFERROR(__xludf.DUMMYFUNCTION("""COMPUTED_VALUE"""),"15HP")</f>
        <v>15HP</v>
      </c>
      <c r="I3056" s="324"/>
      <c r="J3056" s="324"/>
      <c r="K3056" s="324">
        <f>IFERROR(__xludf.DUMMYFUNCTION("""COMPUTED_VALUE"""),0.5)</f>
        <v>0.5</v>
      </c>
      <c r="L3056" s="324" t="str">
        <f>IFERROR(__xludf.DUMMYFUNCTION("""COMPUTED_VALUE"""),"-")</f>
        <v>-</v>
      </c>
    </row>
    <row r="3057">
      <c r="A3057" s="324" t="str">
        <f>IFERROR(__xludf.DUMMYFUNCTION("""COMPUTED_VALUE"""),"TND-CLT-073")</f>
        <v>TND-CLT-073</v>
      </c>
      <c r="B3057" s="478" t="str">
        <f>IFERROR(__xludf.DUMMYFUNCTION("""COMPUTED_VALUE"""),"Xe Clethon")</f>
        <v>Xe Clethon</v>
      </c>
      <c r="C3057" s="324"/>
      <c r="D3057" s="324"/>
      <c r="E3057" s="324"/>
      <c r="F3057" s="324"/>
      <c r="G3057" s="324"/>
      <c r="H3057" s="324" t="str">
        <f>IFERROR(__xludf.DUMMYFUNCTION("""COMPUTED_VALUE"""),"15HP")</f>
        <v>15HP</v>
      </c>
      <c r="I3057" s="324"/>
      <c r="J3057" s="324"/>
      <c r="K3057" s="324">
        <f>IFERROR(__xludf.DUMMYFUNCTION("""COMPUTED_VALUE"""),0.5)</f>
        <v>0.5</v>
      </c>
      <c r="L3057" s="324" t="str">
        <f>IFERROR(__xludf.DUMMYFUNCTION("""COMPUTED_VALUE"""),"-")</f>
        <v>-</v>
      </c>
    </row>
    <row r="3058">
      <c r="A3058" s="324" t="str">
        <f>IFERROR(__xludf.DUMMYFUNCTION("""COMPUTED_VALUE"""),"TND-CLT-074")</f>
        <v>TND-CLT-074</v>
      </c>
      <c r="B3058" s="478" t="str">
        <f>IFERROR(__xludf.DUMMYFUNCTION("""COMPUTED_VALUE"""),"Xe Clethon")</f>
        <v>Xe Clethon</v>
      </c>
      <c r="C3058" s="324"/>
      <c r="D3058" s="324"/>
      <c r="E3058" s="324"/>
      <c r="F3058" s="324"/>
      <c r="G3058" s="324"/>
      <c r="H3058" s="324" t="str">
        <f>IFERROR(__xludf.DUMMYFUNCTION("""COMPUTED_VALUE"""),"15HP")</f>
        <v>15HP</v>
      </c>
      <c r="I3058" s="324"/>
      <c r="J3058" s="324"/>
      <c r="K3058" s="324">
        <f>IFERROR(__xludf.DUMMYFUNCTION("""COMPUTED_VALUE"""),0.5)</f>
        <v>0.5</v>
      </c>
      <c r="L3058" s="324" t="str">
        <f>IFERROR(__xludf.DUMMYFUNCTION("""COMPUTED_VALUE"""),"-")</f>
        <v>-</v>
      </c>
    </row>
    <row r="3059">
      <c r="A3059" s="324" t="str">
        <f>IFERROR(__xludf.DUMMYFUNCTION("""COMPUTED_VALUE"""),"XÍ NGHIỆP CHUỐI DP2")</f>
        <v>XÍ NGHIỆP CHUỐI DP2</v>
      </c>
      <c r="B3059" s="478"/>
      <c r="C3059" s="324"/>
      <c r="D3059" s="324"/>
      <c r="E3059" s="324"/>
      <c r="F3059" s="324"/>
      <c r="G3059" s="324"/>
      <c r="H3059" s="324"/>
      <c r="I3059" s="324"/>
      <c r="J3059" s="324"/>
      <c r="K3059" s="324">
        <f>IFERROR(__xludf.DUMMYFUNCTION("""COMPUTED_VALUE"""),0.5)</f>
        <v>0.5</v>
      </c>
      <c r="L3059" s="324" t="str">
        <f>IFERROR(__xludf.DUMMYFUNCTION("""COMPUTED_VALUE"""),"-")</f>
        <v>-</v>
      </c>
    </row>
    <row r="3060">
      <c r="A3060" s="324" t="str">
        <f>IFERROR(__xludf.DUMMYFUNCTION("""COMPUTED_VALUE"""),"TND-CLT-011")</f>
        <v>TND-CLT-011</v>
      </c>
      <c r="B3060" s="478" t="str">
        <f>IFERROR(__xludf.DUMMYFUNCTION("""COMPUTED_VALUE"""),"Xe Clethon")</f>
        <v>Xe Clethon</v>
      </c>
      <c r="C3060" s="324"/>
      <c r="D3060" s="324"/>
      <c r="E3060" s="324"/>
      <c r="F3060" s="324"/>
      <c r="G3060" s="324"/>
      <c r="H3060" s="324" t="str">
        <f>IFERROR(__xludf.DUMMYFUNCTION("""COMPUTED_VALUE"""),"15HP")</f>
        <v>15HP</v>
      </c>
      <c r="I3060" s="324"/>
      <c r="J3060" s="324"/>
      <c r="K3060" s="324">
        <f>IFERROR(__xludf.DUMMYFUNCTION("""COMPUTED_VALUE"""),0.5)</f>
        <v>0.5</v>
      </c>
      <c r="L3060" s="324" t="str">
        <f>IFERROR(__xludf.DUMMYFUNCTION("""COMPUTED_VALUE"""),"-")</f>
        <v>-</v>
      </c>
    </row>
    <row r="3061">
      <c r="A3061" s="324" t="str">
        <f>IFERROR(__xludf.DUMMYFUNCTION("""COMPUTED_VALUE"""),"TND-CLT-012")</f>
        <v>TND-CLT-012</v>
      </c>
      <c r="B3061" s="478" t="str">
        <f>IFERROR(__xludf.DUMMYFUNCTION("""COMPUTED_VALUE"""),"Xe Clethon")</f>
        <v>Xe Clethon</v>
      </c>
      <c r="C3061" s="324"/>
      <c r="D3061" s="324"/>
      <c r="E3061" s="324"/>
      <c r="F3061" s="324"/>
      <c r="G3061" s="324"/>
      <c r="H3061" s="324" t="str">
        <f>IFERROR(__xludf.DUMMYFUNCTION("""COMPUTED_VALUE"""),"15HP")</f>
        <v>15HP</v>
      </c>
      <c r="I3061" s="324"/>
      <c r="J3061" s="324"/>
      <c r="K3061" s="324">
        <f>IFERROR(__xludf.DUMMYFUNCTION("""COMPUTED_VALUE"""),0.5)</f>
        <v>0.5</v>
      </c>
      <c r="L3061" s="324" t="str">
        <f>IFERROR(__xludf.DUMMYFUNCTION("""COMPUTED_VALUE"""),"-")</f>
        <v>-</v>
      </c>
    </row>
    <row r="3062">
      <c r="A3062" s="324" t="str">
        <f>IFERROR(__xludf.DUMMYFUNCTION("""COMPUTED_VALUE"""),"TND-CLT-014")</f>
        <v>TND-CLT-014</v>
      </c>
      <c r="B3062" s="478" t="str">
        <f>IFERROR(__xludf.DUMMYFUNCTION("""COMPUTED_VALUE"""),"Xe Clethon")</f>
        <v>Xe Clethon</v>
      </c>
      <c r="C3062" s="324"/>
      <c r="D3062" s="324"/>
      <c r="E3062" s="324"/>
      <c r="F3062" s="324"/>
      <c r="G3062" s="324"/>
      <c r="H3062" s="324" t="str">
        <f>IFERROR(__xludf.DUMMYFUNCTION("""COMPUTED_VALUE"""),"15HP")</f>
        <v>15HP</v>
      </c>
      <c r="I3062" s="324"/>
      <c r="J3062" s="324"/>
      <c r="K3062" s="324">
        <f>IFERROR(__xludf.DUMMYFUNCTION("""COMPUTED_VALUE"""),0.5)</f>
        <v>0.5</v>
      </c>
      <c r="L3062" s="324" t="str">
        <f>IFERROR(__xludf.DUMMYFUNCTION("""COMPUTED_VALUE"""),"-")</f>
        <v>-</v>
      </c>
    </row>
    <row r="3063">
      <c r="A3063" s="324" t="str">
        <f>IFERROR(__xludf.DUMMYFUNCTION("""COMPUTED_VALUE"""),"TND-CLT-015")</f>
        <v>TND-CLT-015</v>
      </c>
      <c r="B3063" s="478" t="str">
        <f>IFERROR(__xludf.DUMMYFUNCTION("""COMPUTED_VALUE"""),"Xe Clethon")</f>
        <v>Xe Clethon</v>
      </c>
      <c r="C3063" s="324"/>
      <c r="D3063" s="324"/>
      <c r="E3063" s="324"/>
      <c r="F3063" s="324"/>
      <c r="G3063" s="324"/>
      <c r="H3063" s="324" t="str">
        <f>IFERROR(__xludf.DUMMYFUNCTION("""COMPUTED_VALUE"""),"15HP")</f>
        <v>15HP</v>
      </c>
      <c r="I3063" s="324"/>
      <c r="J3063" s="324"/>
      <c r="K3063" s="324">
        <f>IFERROR(__xludf.DUMMYFUNCTION("""COMPUTED_VALUE"""),0.5)</f>
        <v>0.5</v>
      </c>
      <c r="L3063" s="324" t="str">
        <f>IFERROR(__xludf.DUMMYFUNCTION("""COMPUTED_VALUE"""),"-")</f>
        <v>-</v>
      </c>
    </row>
    <row r="3064">
      <c r="A3064" s="324" t="str">
        <f>IFERROR(__xludf.DUMMYFUNCTION("""COMPUTED_VALUE"""),"TND-CLT-016")</f>
        <v>TND-CLT-016</v>
      </c>
      <c r="B3064" s="478" t="str">
        <f>IFERROR(__xludf.DUMMYFUNCTION("""COMPUTED_VALUE"""),"Xe Clethon")</f>
        <v>Xe Clethon</v>
      </c>
      <c r="C3064" s="324"/>
      <c r="D3064" s="324"/>
      <c r="E3064" s="324"/>
      <c r="F3064" s="324"/>
      <c r="G3064" s="324"/>
      <c r="H3064" s="324" t="str">
        <f>IFERROR(__xludf.DUMMYFUNCTION("""COMPUTED_VALUE"""),"15HP")</f>
        <v>15HP</v>
      </c>
      <c r="I3064" s="324"/>
      <c r="J3064" s="324"/>
      <c r="K3064" s="324">
        <f>IFERROR(__xludf.DUMMYFUNCTION("""COMPUTED_VALUE"""),0.5)</f>
        <v>0.5</v>
      </c>
      <c r="L3064" s="324" t="str">
        <f>IFERROR(__xludf.DUMMYFUNCTION("""COMPUTED_VALUE"""),"-")</f>
        <v>-</v>
      </c>
    </row>
    <row r="3065">
      <c r="A3065" s="324" t="str">
        <f>IFERROR(__xludf.DUMMYFUNCTION("""COMPUTED_VALUE"""),"TND-CLT-017")</f>
        <v>TND-CLT-017</v>
      </c>
      <c r="B3065" s="478" t="str">
        <f>IFERROR(__xludf.DUMMYFUNCTION("""COMPUTED_VALUE"""),"Xe Clethon")</f>
        <v>Xe Clethon</v>
      </c>
      <c r="C3065" s="324"/>
      <c r="D3065" s="324"/>
      <c r="E3065" s="324"/>
      <c r="F3065" s="324"/>
      <c r="G3065" s="324"/>
      <c r="H3065" s="324" t="str">
        <f>IFERROR(__xludf.DUMMYFUNCTION("""COMPUTED_VALUE"""),"15HP")</f>
        <v>15HP</v>
      </c>
      <c r="I3065" s="324"/>
      <c r="J3065" s="324"/>
      <c r="K3065" s="324">
        <f>IFERROR(__xludf.DUMMYFUNCTION("""COMPUTED_VALUE"""),0.5)</f>
        <v>0.5</v>
      </c>
      <c r="L3065" s="324" t="str">
        <f>IFERROR(__xludf.DUMMYFUNCTION("""COMPUTED_VALUE"""),"-")</f>
        <v>-</v>
      </c>
    </row>
    <row r="3066">
      <c r="A3066" s="324" t="str">
        <f>IFERROR(__xludf.DUMMYFUNCTION("""COMPUTED_VALUE"""),"TND-CLT-018")</f>
        <v>TND-CLT-018</v>
      </c>
      <c r="B3066" s="478" t="str">
        <f>IFERROR(__xludf.DUMMYFUNCTION("""COMPUTED_VALUE"""),"Xe Clethon")</f>
        <v>Xe Clethon</v>
      </c>
      <c r="C3066" s="324"/>
      <c r="D3066" s="324"/>
      <c r="E3066" s="324"/>
      <c r="F3066" s="324"/>
      <c r="G3066" s="324"/>
      <c r="H3066" s="324" t="str">
        <f>IFERROR(__xludf.DUMMYFUNCTION("""COMPUTED_VALUE"""),"15HP")</f>
        <v>15HP</v>
      </c>
      <c r="I3066" s="324" t="str">
        <f>IFERROR(__xludf.DUMMYFUNCTION("""COMPUTED_VALUE"""),"HT140-21100456")</f>
        <v>HT140-21100456</v>
      </c>
      <c r="J3066" s="324" t="str">
        <f>IFERROR(__xludf.DUMMYFUNCTION("""COMPUTED_VALUE"""),"L86MNE")</f>
        <v>L86MNE</v>
      </c>
      <c r="K3066" s="324">
        <f>IFERROR(__xludf.DUMMYFUNCTION("""COMPUTED_VALUE"""),0.5)</f>
        <v>0.5</v>
      </c>
      <c r="L3066" s="324" t="str">
        <f>IFERROR(__xludf.DUMMYFUNCTION("""COMPUTED_VALUE"""),"-")</f>
        <v>-</v>
      </c>
    </row>
    <row r="3067">
      <c r="A3067" s="324" t="str">
        <f>IFERROR(__xludf.DUMMYFUNCTION("""COMPUTED_VALUE"""),"TND-CLT-019")</f>
        <v>TND-CLT-019</v>
      </c>
      <c r="B3067" s="478" t="str">
        <f>IFERROR(__xludf.DUMMYFUNCTION("""COMPUTED_VALUE"""),"Xe Clethon")</f>
        <v>Xe Clethon</v>
      </c>
      <c r="C3067" s="324"/>
      <c r="D3067" s="324"/>
      <c r="E3067" s="324"/>
      <c r="F3067" s="324"/>
      <c r="G3067" s="324"/>
      <c r="H3067" s="324" t="str">
        <f>IFERROR(__xludf.DUMMYFUNCTION("""COMPUTED_VALUE"""),"15HP")</f>
        <v>15HP</v>
      </c>
      <c r="I3067" s="324"/>
      <c r="J3067" s="324"/>
      <c r="K3067" s="324">
        <f>IFERROR(__xludf.DUMMYFUNCTION("""COMPUTED_VALUE"""),0.5)</f>
        <v>0.5</v>
      </c>
      <c r="L3067" s="324" t="str">
        <f>IFERROR(__xludf.DUMMYFUNCTION("""COMPUTED_VALUE"""),"-")</f>
        <v>-</v>
      </c>
    </row>
    <row r="3068">
      <c r="A3068" s="324" t="str">
        <f>IFERROR(__xludf.DUMMYFUNCTION("""COMPUTED_VALUE"""),"TND-CLT-020")</f>
        <v>TND-CLT-020</v>
      </c>
      <c r="B3068" s="478" t="str">
        <f>IFERROR(__xludf.DUMMYFUNCTION("""COMPUTED_VALUE"""),"Xe Clethon")</f>
        <v>Xe Clethon</v>
      </c>
      <c r="C3068" s="324"/>
      <c r="D3068" s="324"/>
      <c r="E3068" s="324"/>
      <c r="F3068" s="324"/>
      <c r="G3068" s="324"/>
      <c r="H3068" s="324" t="str">
        <f>IFERROR(__xludf.DUMMYFUNCTION("""COMPUTED_VALUE"""),"15HP")</f>
        <v>15HP</v>
      </c>
      <c r="I3068" s="324"/>
      <c r="J3068" s="324"/>
      <c r="K3068" s="324">
        <f>IFERROR(__xludf.DUMMYFUNCTION("""COMPUTED_VALUE"""),0.5)</f>
        <v>0.5</v>
      </c>
      <c r="L3068" s="324" t="str">
        <f>IFERROR(__xludf.DUMMYFUNCTION("""COMPUTED_VALUE"""),"-")</f>
        <v>-</v>
      </c>
    </row>
    <row r="3069">
      <c r="A3069" s="324" t="str">
        <f>IFERROR(__xludf.DUMMYFUNCTION("""COMPUTED_VALUE"""),"TND-CLT-093")</f>
        <v>TND-CLT-093</v>
      </c>
      <c r="B3069" s="478" t="str">
        <f>IFERROR(__xludf.DUMMYFUNCTION("""COMPUTED_VALUE"""),"Xe Clethon")</f>
        <v>Xe Clethon</v>
      </c>
      <c r="C3069" s="324"/>
      <c r="D3069" s="324"/>
      <c r="E3069" s="324"/>
      <c r="F3069" s="324"/>
      <c r="G3069" s="324"/>
      <c r="H3069" s="324" t="str">
        <f>IFERROR(__xludf.DUMMYFUNCTION("""COMPUTED_VALUE"""),"15HP")</f>
        <v>15HP</v>
      </c>
      <c r="I3069" s="324"/>
      <c r="J3069" s="324"/>
      <c r="K3069" s="324">
        <f>IFERROR(__xludf.DUMMYFUNCTION("""COMPUTED_VALUE"""),0.5)</f>
        <v>0.5</v>
      </c>
      <c r="L3069" s="324" t="str">
        <f>IFERROR(__xludf.DUMMYFUNCTION("""COMPUTED_VALUE"""),"-")</f>
        <v>-</v>
      </c>
    </row>
    <row r="3070">
      <c r="A3070" s="324" t="str">
        <f>IFERROR(__xludf.DUMMYFUNCTION("""COMPUTED_VALUE"""),"TND-CLT-094")</f>
        <v>TND-CLT-094</v>
      </c>
      <c r="B3070" s="478" t="str">
        <f>IFERROR(__xludf.DUMMYFUNCTION("""COMPUTED_VALUE"""),"Xe Clethon")</f>
        <v>Xe Clethon</v>
      </c>
      <c r="C3070" s="324"/>
      <c r="D3070" s="324"/>
      <c r="E3070" s="324"/>
      <c r="F3070" s="324"/>
      <c r="G3070" s="324"/>
      <c r="H3070" s="324" t="str">
        <f>IFERROR(__xludf.DUMMYFUNCTION("""COMPUTED_VALUE"""),"15HP")</f>
        <v>15HP</v>
      </c>
      <c r="I3070" s="324" t="str">
        <f>IFERROR(__xludf.DUMMYFUNCTION("""COMPUTED_VALUE"""),"HT140-18051024")</f>
        <v>HT140-18051024</v>
      </c>
      <c r="J3070" s="324" t="str">
        <f>IFERROR(__xludf.DUMMYFUNCTION("""COMPUTED_VALUE"""),"L6C7E")</f>
        <v>L6C7E</v>
      </c>
      <c r="K3070" s="324">
        <f>IFERROR(__xludf.DUMMYFUNCTION("""COMPUTED_VALUE"""),0.5)</f>
        <v>0.5</v>
      </c>
      <c r="L3070" s="324" t="str">
        <f>IFERROR(__xludf.DUMMYFUNCTION("""COMPUTED_VALUE"""),"-")</f>
        <v>-</v>
      </c>
    </row>
    <row r="3071">
      <c r="A3071" s="324" t="str">
        <f>IFERROR(__xludf.DUMMYFUNCTION("""COMPUTED_VALUE"""),"TND-CLT-095")</f>
        <v>TND-CLT-095</v>
      </c>
      <c r="B3071" s="478" t="str">
        <f>IFERROR(__xludf.DUMMYFUNCTION("""COMPUTED_VALUE"""),"Xe Clethon")</f>
        <v>Xe Clethon</v>
      </c>
      <c r="C3071" s="324"/>
      <c r="D3071" s="324"/>
      <c r="E3071" s="324"/>
      <c r="F3071" s="324"/>
      <c r="G3071" s="324"/>
      <c r="H3071" s="324" t="str">
        <f>IFERROR(__xludf.DUMMYFUNCTION("""COMPUTED_VALUE"""),"15HP")</f>
        <v>15HP</v>
      </c>
      <c r="I3071" s="324" t="str">
        <f>IFERROR(__xludf.DUMMYFUNCTION("""COMPUTED_VALUE"""),"RTN165-KH21090067")</f>
        <v>RTN165-KH21090067</v>
      </c>
      <c r="J3071" s="324" t="str">
        <f>IFERROR(__xludf.DUMMYFUNCTION("""COMPUTED_VALUE"""),"NC-D72934")</f>
        <v>NC-D72934</v>
      </c>
      <c r="K3071" s="324">
        <f>IFERROR(__xludf.DUMMYFUNCTION("""COMPUTED_VALUE"""),0.5)</f>
        <v>0.5</v>
      </c>
      <c r="L3071" s="324" t="str">
        <f>IFERROR(__xludf.DUMMYFUNCTION("""COMPUTED_VALUE"""),"-")</f>
        <v>-</v>
      </c>
    </row>
    <row r="3072">
      <c r="A3072" s="324" t="str">
        <f>IFERROR(__xludf.DUMMYFUNCTION("""COMPUTED_VALUE"""),"TND-CLT-096")</f>
        <v>TND-CLT-096</v>
      </c>
      <c r="B3072" s="478" t="str">
        <f>IFERROR(__xludf.DUMMYFUNCTION("""COMPUTED_VALUE"""),"Xe Clethon")</f>
        <v>Xe Clethon</v>
      </c>
      <c r="C3072" s="324"/>
      <c r="D3072" s="324"/>
      <c r="E3072" s="324"/>
      <c r="F3072" s="324"/>
      <c r="G3072" s="324"/>
      <c r="H3072" s="324" t="str">
        <f>IFERROR(__xludf.DUMMYFUNCTION("""COMPUTED_VALUE"""),"15HP")</f>
        <v>15HP</v>
      </c>
      <c r="I3072" s="324" t="str">
        <f>IFERROR(__xludf.DUMMYFUNCTION("""COMPUTED_VALUE"""),"KB110-14031717")</f>
        <v>KB110-14031717</v>
      </c>
      <c r="J3072" s="324" t="str">
        <f>IFERROR(__xludf.DUMMYFUNCTION("""COMPUTED_VALUE"""),"NC574181")</f>
        <v>NC574181</v>
      </c>
      <c r="K3072" s="324">
        <f>IFERROR(__xludf.DUMMYFUNCTION("""COMPUTED_VALUE"""),0.5)</f>
        <v>0.5</v>
      </c>
      <c r="L3072" s="324" t="str">
        <f>IFERROR(__xludf.DUMMYFUNCTION("""COMPUTED_VALUE"""),"-")</f>
        <v>-</v>
      </c>
    </row>
    <row r="3073">
      <c r="A3073" s="324" t="str">
        <f>IFERROR(__xludf.DUMMYFUNCTION("""COMPUTED_VALUE"""),"TND-CLT-097")</f>
        <v>TND-CLT-097</v>
      </c>
      <c r="B3073" s="478" t="str">
        <f>IFERROR(__xludf.DUMMYFUNCTION("""COMPUTED_VALUE"""),"Xe Clethon")</f>
        <v>Xe Clethon</v>
      </c>
      <c r="C3073" s="324"/>
      <c r="D3073" s="324"/>
      <c r="E3073" s="324"/>
      <c r="F3073" s="324"/>
      <c r="G3073" s="324"/>
      <c r="H3073" s="324" t="str">
        <f>IFERROR(__xludf.DUMMYFUNCTION("""COMPUTED_VALUE"""),"15HP")</f>
        <v>15HP</v>
      </c>
      <c r="I3073" s="324" t="str">
        <f>IFERROR(__xludf.DUMMYFUNCTION("""COMPUTED_VALUE"""),"KB140-20822027")</f>
        <v>KB140-20822027</v>
      </c>
      <c r="J3073" s="324" t="str">
        <f>IFERROR(__xludf.DUMMYFUNCTION("""COMPUTED_VALUE"""),"NCD16723")</f>
        <v>NCD16723</v>
      </c>
      <c r="K3073" s="324">
        <f>IFERROR(__xludf.DUMMYFUNCTION("""COMPUTED_VALUE"""),0.5)</f>
        <v>0.5</v>
      </c>
      <c r="L3073" s="324" t="str">
        <f>IFERROR(__xludf.DUMMYFUNCTION("""COMPUTED_VALUE"""),"-")</f>
        <v>-</v>
      </c>
    </row>
    <row r="3074">
      <c r="A3074" s="324" t="str">
        <f>IFERROR(__xludf.DUMMYFUNCTION("""COMPUTED_VALUE"""),"TND-CLT-098")</f>
        <v>TND-CLT-098</v>
      </c>
      <c r="B3074" s="478" t="str">
        <f>IFERROR(__xludf.DUMMYFUNCTION("""COMPUTED_VALUE"""),"Xe Clethon")</f>
        <v>Xe Clethon</v>
      </c>
      <c r="C3074" s="324"/>
      <c r="D3074" s="324"/>
      <c r="E3074" s="324"/>
      <c r="F3074" s="324"/>
      <c r="G3074" s="324"/>
      <c r="H3074" s="324" t="str">
        <f>IFERROR(__xludf.DUMMYFUNCTION("""COMPUTED_VALUE"""),"15HP")</f>
        <v>15HP</v>
      </c>
      <c r="I3074" s="324" t="str">
        <f>IFERROR(__xludf.DUMMYFUNCTION("""COMPUTED_VALUE"""),"HT140-17100555")</f>
        <v>HT140-17100555</v>
      </c>
      <c r="J3074" s="324" t="str">
        <f>IFERROR(__xludf.DUMMYFUNCTION("""COMPUTED_VALUE"""),"NCC74266")</f>
        <v>NCC74266</v>
      </c>
      <c r="K3074" s="324">
        <f>IFERROR(__xludf.DUMMYFUNCTION("""COMPUTED_VALUE"""),0.5)</f>
        <v>0.5</v>
      </c>
      <c r="L3074" s="324" t="str">
        <f>IFERROR(__xludf.DUMMYFUNCTION("""COMPUTED_VALUE"""),"-")</f>
        <v>-</v>
      </c>
    </row>
    <row r="3075">
      <c r="A3075" s="324" t="str">
        <f>IFERROR(__xludf.DUMMYFUNCTION("""COMPUTED_VALUE"""),"XÍ NGHIỆP CHUỐI DP3")</f>
        <v>XÍ NGHIỆP CHUỐI DP3</v>
      </c>
      <c r="B3075" s="478"/>
      <c r="C3075" s="324"/>
      <c r="D3075" s="324"/>
      <c r="E3075" s="324"/>
      <c r="F3075" s="324"/>
      <c r="G3075" s="324"/>
      <c r="H3075" s="324"/>
      <c r="I3075" s="324"/>
      <c r="J3075" s="324"/>
      <c r="K3075" s="324">
        <f>IFERROR(__xludf.DUMMYFUNCTION("""COMPUTED_VALUE"""),0.5)</f>
        <v>0.5</v>
      </c>
      <c r="L3075" s="324" t="str">
        <f>IFERROR(__xludf.DUMMYFUNCTION("""COMPUTED_VALUE"""),"-")</f>
        <v>-</v>
      </c>
    </row>
    <row r="3076">
      <c r="A3076" s="324" t="str">
        <f>IFERROR(__xludf.DUMMYFUNCTION("""COMPUTED_VALUE"""),"TND-CLT-064")</f>
        <v>TND-CLT-064</v>
      </c>
      <c r="B3076" s="478" t="str">
        <f>IFERROR(__xludf.DUMMYFUNCTION("""COMPUTED_VALUE"""),"Xe Clethon")</f>
        <v>Xe Clethon</v>
      </c>
      <c r="C3076" s="324"/>
      <c r="D3076" s="324"/>
      <c r="E3076" s="324"/>
      <c r="F3076" s="324"/>
      <c r="G3076" s="324"/>
      <c r="H3076" s="324" t="str">
        <f>IFERROR(__xludf.DUMMYFUNCTION("""COMPUTED_VALUE"""),"15HP")</f>
        <v>15HP</v>
      </c>
      <c r="I3076" s="324"/>
      <c r="J3076" s="324"/>
      <c r="K3076" s="324">
        <f>IFERROR(__xludf.DUMMYFUNCTION("""COMPUTED_VALUE"""),0.5)</f>
        <v>0.5</v>
      </c>
      <c r="L3076" s="324" t="str">
        <f>IFERROR(__xludf.DUMMYFUNCTION("""COMPUTED_VALUE"""),"-")</f>
        <v>-</v>
      </c>
    </row>
    <row r="3077">
      <c r="A3077" s="324" t="str">
        <f>IFERROR(__xludf.DUMMYFUNCTION("""COMPUTED_VALUE"""),"TND-CLT-057")</f>
        <v>TND-CLT-057</v>
      </c>
      <c r="B3077" s="478" t="str">
        <f>IFERROR(__xludf.DUMMYFUNCTION("""COMPUTED_VALUE"""),"Xe Clethon")</f>
        <v>Xe Clethon</v>
      </c>
      <c r="C3077" s="324"/>
      <c r="D3077" s="324"/>
      <c r="E3077" s="324"/>
      <c r="F3077" s="324"/>
      <c r="G3077" s="324"/>
      <c r="H3077" s="324" t="str">
        <f>IFERROR(__xludf.DUMMYFUNCTION("""COMPUTED_VALUE"""),"15HP")</f>
        <v>15HP</v>
      </c>
      <c r="I3077" s="324"/>
      <c r="J3077" s="324"/>
      <c r="K3077" s="324">
        <f>IFERROR(__xludf.DUMMYFUNCTION("""COMPUTED_VALUE"""),0.5)</f>
        <v>0.5</v>
      </c>
      <c r="L3077" s="324" t="str">
        <f>IFERROR(__xludf.DUMMYFUNCTION("""COMPUTED_VALUE"""),"-")</f>
        <v>-</v>
      </c>
    </row>
    <row r="3078">
      <c r="A3078" s="324" t="str">
        <f>IFERROR(__xludf.DUMMYFUNCTION("""COMPUTED_VALUE"""),"TND-CLT-030")</f>
        <v>TND-CLT-030</v>
      </c>
      <c r="B3078" s="478" t="str">
        <f>IFERROR(__xludf.DUMMYFUNCTION("""COMPUTED_VALUE"""),"Xe Clethon")</f>
        <v>Xe Clethon</v>
      </c>
      <c r="C3078" s="324"/>
      <c r="D3078" s="324"/>
      <c r="E3078" s="324"/>
      <c r="F3078" s="324"/>
      <c r="G3078" s="324"/>
      <c r="H3078" s="324" t="str">
        <f>IFERROR(__xludf.DUMMYFUNCTION("""COMPUTED_VALUE"""),"15HP")</f>
        <v>15HP</v>
      </c>
      <c r="I3078" s="324"/>
      <c r="J3078" s="324"/>
      <c r="K3078" s="324">
        <f>IFERROR(__xludf.DUMMYFUNCTION("""COMPUTED_VALUE"""),0.5)</f>
        <v>0.5</v>
      </c>
      <c r="L3078" s="324" t="str">
        <f>IFERROR(__xludf.DUMMYFUNCTION("""COMPUTED_VALUE"""),"-")</f>
        <v>-</v>
      </c>
    </row>
    <row r="3079">
      <c r="A3079" s="324" t="str">
        <f>IFERROR(__xludf.DUMMYFUNCTION("""COMPUTED_VALUE"""),"TND-CLT-036")</f>
        <v>TND-CLT-036</v>
      </c>
      <c r="B3079" s="478" t="str">
        <f>IFERROR(__xludf.DUMMYFUNCTION("""COMPUTED_VALUE"""),"Xe Clethon")</f>
        <v>Xe Clethon</v>
      </c>
      <c r="C3079" s="324"/>
      <c r="D3079" s="324"/>
      <c r="E3079" s="324"/>
      <c r="F3079" s="324"/>
      <c r="G3079" s="324"/>
      <c r="H3079" s="324" t="str">
        <f>IFERROR(__xludf.DUMMYFUNCTION("""COMPUTED_VALUE"""),"15HP")</f>
        <v>15HP</v>
      </c>
      <c r="I3079" s="324"/>
      <c r="J3079" s="324"/>
      <c r="K3079" s="324">
        <f>IFERROR(__xludf.DUMMYFUNCTION("""COMPUTED_VALUE"""),0.5)</f>
        <v>0.5</v>
      </c>
      <c r="L3079" s="324" t="str">
        <f>IFERROR(__xludf.DUMMYFUNCTION("""COMPUTED_VALUE"""),"-")</f>
        <v>-</v>
      </c>
    </row>
    <row r="3080">
      <c r="A3080" s="324" t="str">
        <f>IFERROR(__xludf.DUMMYFUNCTION("""COMPUTED_VALUE"""),"TND-CLT-067")</f>
        <v>TND-CLT-067</v>
      </c>
      <c r="B3080" s="478" t="str">
        <f>IFERROR(__xludf.DUMMYFUNCTION("""COMPUTED_VALUE"""),"Xe Clethon")</f>
        <v>Xe Clethon</v>
      </c>
      <c r="C3080" s="324"/>
      <c r="D3080" s="324"/>
      <c r="E3080" s="324"/>
      <c r="F3080" s="324"/>
      <c r="G3080" s="324"/>
      <c r="H3080" s="324" t="str">
        <f>IFERROR(__xludf.DUMMYFUNCTION("""COMPUTED_VALUE"""),"15HP")</f>
        <v>15HP</v>
      </c>
      <c r="I3080" s="324"/>
      <c r="J3080" s="324"/>
      <c r="K3080" s="324">
        <f>IFERROR(__xludf.DUMMYFUNCTION("""COMPUTED_VALUE"""),0.5)</f>
        <v>0.5</v>
      </c>
      <c r="L3080" s="324" t="str">
        <f>IFERROR(__xludf.DUMMYFUNCTION("""COMPUTED_VALUE"""),"-")</f>
        <v>-</v>
      </c>
    </row>
    <row r="3081">
      <c r="A3081" s="324" t="str">
        <f>IFERROR(__xludf.DUMMYFUNCTION("""COMPUTED_VALUE"""),"TND-CLT-051")</f>
        <v>TND-CLT-051</v>
      </c>
      <c r="B3081" s="478" t="str">
        <f>IFERROR(__xludf.DUMMYFUNCTION("""COMPUTED_VALUE"""),"Xe Clethon")</f>
        <v>Xe Clethon</v>
      </c>
      <c r="C3081" s="324"/>
      <c r="D3081" s="324"/>
      <c r="E3081" s="324"/>
      <c r="F3081" s="324"/>
      <c r="G3081" s="324"/>
      <c r="H3081" s="324" t="str">
        <f>IFERROR(__xludf.DUMMYFUNCTION("""COMPUTED_VALUE"""),"15HP")</f>
        <v>15HP</v>
      </c>
      <c r="I3081" s="324"/>
      <c r="J3081" s="324"/>
      <c r="K3081" s="324">
        <f>IFERROR(__xludf.DUMMYFUNCTION("""COMPUTED_VALUE"""),0.5)</f>
        <v>0.5</v>
      </c>
      <c r="L3081" s="324" t="str">
        <f>IFERROR(__xludf.DUMMYFUNCTION("""COMPUTED_VALUE"""),"-")</f>
        <v>-</v>
      </c>
    </row>
    <row r="3082">
      <c r="A3082" s="324" t="str">
        <f>IFERROR(__xludf.DUMMYFUNCTION("""COMPUTED_VALUE"""),"TND-CLT-046")</f>
        <v>TND-CLT-046</v>
      </c>
      <c r="B3082" s="478" t="str">
        <f>IFERROR(__xludf.DUMMYFUNCTION("""COMPUTED_VALUE"""),"Xe Clethon")</f>
        <v>Xe Clethon</v>
      </c>
      <c r="C3082" s="324"/>
      <c r="D3082" s="324"/>
      <c r="E3082" s="324"/>
      <c r="F3082" s="324"/>
      <c r="G3082" s="324"/>
      <c r="H3082" s="324" t="str">
        <f>IFERROR(__xludf.DUMMYFUNCTION("""COMPUTED_VALUE"""),"15HP")</f>
        <v>15HP</v>
      </c>
      <c r="I3082" s="324"/>
      <c r="J3082" s="324"/>
      <c r="K3082" s="324">
        <f>IFERROR(__xludf.DUMMYFUNCTION("""COMPUTED_VALUE"""),0.5)</f>
        <v>0.5</v>
      </c>
      <c r="L3082" s="324" t="str">
        <f>IFERROR(__xludf.DUMMYFUNCTION("""COMPUTED_VALUE"""),"-")</f>
        <v>-</v>
      </c>
    </row>
    <row r="3083">
      <c r="A3083" s="324" t="str">
        <f>IFERROR(__xludf.DUMMYFUNCTION("""COMPUTED_VALUE"""),"TND-CLT-105")</f>
        <v>TND-CLT-105</v>
      </c>
      <c r="B3083" s="478" t="str">
        <f>IFERROR(__xludf.DUMMYFUNCTION("""COMPUTED_VALUE"""),"Xe Clethon")</f>
        <v>Xe Clethon</v>
      </c>
      <c r="C3083" s="324"/>
      <c r="D3083" s="324"/>
      <c r="E3083" s="324"/>
      <c r="F3083" s="324"/>
      <c r="G3083" s="324"/>
      <c r="H3083" s="324" t="str">
        <f>IFERROR(__xludf.DUMMYFUNCTION("""COMPUTED_VALUE"""),"15HP")</f>
        <v>15HP</v>
      </c>
      <c r="I3083" s="324"/>
      <c r="J3083" s="324"/>
      <c r="K3083" s="324">
        <f>IFERROR(__xludf.DUMMYFUNCTION("""COMPUTED_VALUE"""),0.5)</f>
        <v>0.5</v>
      </c>
      <c r="L3083" s="324" t="str">
        <f>IFERROR(__xludf.DUMMYFUNCTION("""COMPUTED_VALUE"""),"-")</f>
        <v>-</v>
      </c>
    </row>
    <row r="3084">
      <c r="A3084" s="324" t="str">
        <f>IFERROR(__xludf.DUMMYFUNCTION("""COMPUTED_VALUE"""),"TND-CLT-106")</f>
        <v>TND-CLT-106</v>
      </c>
      <c r="B3084" s="478" t="str">
        <f>IFERROR(__xludf.DUMMYFUNCTION("""COMPUTED_VALUE"""),"Xe Clethon")</f>
        <v>Xe Clethon</v>
      </c>
      <c r="C3084" s="324"/>
      <c r="D3084" s="324"/>
      <c r="E3084" s="324"/>
      <c r="F3084" s="324"/>
      <c r="G3084" s="324"/>
      <c r="H3084" s="324" t="str">
        <f>IFERROR(__xludf.DUMMYFUNCTION("""COMPUTED_VALUE"""),"15HP")</f>
        <v>15HP</v>
      </c>
      <c r="I3084" s="324"/>
      <c r="J3084" s="324"/>
      <c r="K3084" s="324">
        <f>IFERROR(__xludf.DUMMYFUNCTION("""COMPUTED_VALUE"""),0.5)</f>
        <v>0.5</v>
      </c>
      <c r="L3084" s="324" t="str">
        <f>IFERROR(__xludf.DUMMYFUNCTION("""COMPUTED_VALUE"""),"-")</f>
        <v>-</v>
      </c>
    </row>
    <row r="3085">
      <c r="A3085" s="324" t="str">
        <f>IFERROR(__xludf.DUMMYFUNCTION("""COMPUTED_VALUE"""),"TND-CLT-059")</f>
        <v>TND-CLT-059</v>
      </c>
      <c r="B3085" s="478" t="str">
        <f>IFERROR(__xludf.DUMMYFUNCTION("""COMPUTED_VALUE"""),"Xe Clethon")</f>
        <v>Xe Clethon</v>
      </c>
      <c r="C3085" s="324"/>
      <c r="D3085" s="324"/>
      <c r="E3085" s="324"/>
      <c r="F3085" s="324"/>
      <c r="G3085" s="324"/>
      <c r="H3085" s="324" t="str">
        <f>IFERROR(__xludf.DUMMYFUNCTION("""COMPUTED_VALUE"""),"15HP")</f>
        <v>15HP</v>
      </c>
      <c r="I3085" s="324"/>
      <c r="J3085" s="324"/>
      <c r="K3085" s="324">
        <f>IFERROR(__xludf.DUMMYFUNCTION("""COMPUTED_VALUE"""),0.5)</f>
        <v>0.5</v>
      </c>
      <c r="L3085" s="324" t="str">
        <f>IFERROR(__xludf.DUMMYFUNCTION("""COMPUTED_VALUE"""),"-")</f>
        <v>-</v>
      </c>
    </row>
    <row r="3086">
      <c r="A3086" s="324" t="str">
        <f>IFERROR(__xludf.DUMMYFUNCTION("""COMPUTED_VALUE"""),"TND-CLT-055")</f>
        <v>TND-CLT-055</v>
      </c>
      <c r="B3086" s="478" t="str">
        <f>IFERROR(__xludf.DUMMYFUNCTION("""COMPUTED_VALUE"""),"Xe Clethon")</f>
        <v>Xe Clethon</v>
      </c>
      <c r="C3086" s="324"/>
      <c r="D3086" s="324"/>
      <c r="E3086" s="324"/>
      <c r="F3086" s="324"/>
      <c r="G3086" s="324"/>
      <c r="H3086" s="324" t="str">
        <f>IFERROR(__xludf.DUMMYFUNCTION("""COMPUTED_VALUE"""),"15HP")</f>
        <v>15HP</v>
      </c>
      <c r="I3086" s="324"/>
      <c r="J3086" s="324"/>
      <c r="K3086" s="324">
        <f>IFERROR(__xludf.DUMMYFUNCTION("""COMPUTED_VALUE"""),0.5)</f>
        <v>0.5</v>
      </c>
      <c r="L3086" s="324" t="str">
        <f>IFERROR(__xludf.DUMMYFUNCTION("""COMPUTED_VALUE"""),"-")</f>
        <v>-</v>
      </c>
    </row>
    <row r="3087">
      <c r="A3087" s="324" t="str">
        <f>IFERROR(__xludf.DUMMYFUNCTION("""COMPUTED_VALUE"""),"TND-CLT-034")</f>
        <v>TND-CLT-034</v>
      </c>
      <c r="B3087" s="478" t="str">
        <f>IFERROR(__xludf.DUMMYFUNCTION("""COMPUTED_VALUE"""),"Xe Clethon")</f>
        <v>Xe Clethon</v>
      </c>
      <c r="C3087" s="324"/>
      <c r="D3087" s="324"/>
      <c r="E3087" s="324"/>
      <c r="F3087" s="324"/>
      <c r="G3087" s="324"/>
      <c r="H3087" s="324" t="str">
        <f>IFERROR(__xludf.DUMMYFUNCTION("""COMPUTED_VALUE"""),"15HP")</f>
        <v>15HP</v>
      </c>
      <c r="I3087" s="324"/>
      <c r="J3087" s="324"/>
      <c r="K3087" s="324">
        <f>IFERROR(__xludf.DUMMYFUNCTION("""COMPUTED_VALUE"""),0.5)</f>
        <v>0.5</v>
      </c>
      <c r="L3087" s="324" t="str">
        <f>IFERROR(__xludf.DUMMYFUNCTION("""COMPUTED_VALUE"""),"-")</f>
        <v>-</v>
      </c>
    </row>
    <row r="3088">
      <c r="A3088" s="324" t="str">
        <f>IFERROR(__xludf.DUMMYFUNCTION("""COMPUTED_VALUE"""),"TND-CLT-037")</f>
        <v>TND-CLT-037</v>
      </c>
      <c r="B3088" s="478" t="str">
        <f>IFERROR(__xludf.DUMMYFUNCTION("""COMPUTED_VALUE"""),"Xe Clethon")</f>
        <v>Xe Clethon</v>
      </c>
      <c r="C3088" s="324"/>
      <c r="D3088" s="324"/>
      <c r="E3088" s="324"/>
      <c r="F3088" s="324"/>
      <c r="G3088" s="324"/>
      <c r="H3088" s="324" t="str">
        <f>IFERROR(__xludf.DUMMYFUNCTION("""COMPUTED_VALUE"""),"15HP")</f>
        <v>15HP</v>
      </c>
      <c r="I3088" s="324"/>
      <c r="J3088" s="324"/>
      <c r="K3088" s="324">
        <f>IFERROR(__xludf.DUMMYFUNCTION("""COMPUTED_VALUE"""),0.5)</f>
        <v>0.5</v>
      </c>
      <c r="L3088" s="324" t="str">
        <f>IFERROR(__xludf.DUMMYFUNCTION("""COMPUTED_VALUE"""),"-")</f>
        <v>-</v>
      </c>
    </row>
    <row r="3089">
      <c r="A3089" s="324" t="str">
        <f>IFERROR(__xludf.DUMMYFUNCTION("""COMPUTED_VALUE"""),"TND-CLT-038")</f>
        <v>TND-CLT-038</v>
      </c>
      <c r="B3089" s="478" t="str">
        <f>IFERROR(__xludf.DUMMYFUNCTION("""COMPUTED_VALUE"""),"Xe Clethon")</f>
        <v>Xe Clethon</v>
      </c>
      <c r="C3089" s="324"/>
      <c r="D3089" s="324"/>
      <c r="E3089" s="324"/>
      <c r="F3089" s="324"/>
      <c r="G3089" s="324"/>
      <c r="H3089" s="324"/>
      <c r="I3089" s="324"/>
      <c r="J3089" s="324"/>
      <c r="K3089" s="324">
        <f>IFERROR(__xludf.DUMMYFUNCTION("""COMPUTED_VALUE"""),0.5)</f>
        <v>0.5</v>
      </c>
      <c r="L3089" s="324" t="str">
        <f>IFERROR(__xludf.DUMMYFUNCTION("""COMPUTED_VALUE"""),"-")</f>
        <v>-</v>
      </c>
    </row>
    <row r="3090">
      <c r="A3090" s="324" t="str">
        <f>IFERROR(__xludf.DUMMYFUNCTION("""COMPUTED_VALUE"""),"XÍ NGHIỆP CHUỐI LP1")</f>
        <v>XÍ NGHIỆP CHUỐI LP1</v>
      </c>
      <c r="B3090" s="478"/>
      <c r="C3090" s="324"/>
      <c r="D3090" s="324"/>
      <c r="E3090" s="324"/>
      <c r="F3090" s="324"/>
      <c r="G3090" s="324"/>
      <c r="H3090" s="324"/>
      <c r="I3090" s="324"/>
      <c r="J3090" s="324"/>
      <c r="K3090" s="324">
        <f>IFERROR(__xludf.DUMMYFUNCTION("""COMPUTED_VALUE"""),0.5)</f>
        <v>0.5</v>
      </c>
      <c r="L3090" s="324" t="str">
        <f>IFERROR(__xludf.DUMMYFUNCTION("""COMPUTED_VALUE"""),"-")</f>
        <v>-</v>
      </c>
    </row>
    <row r="3091">
      <c r="A3091" s="324" t="str">
        <f>IFERROR(__xludf.DUMMYFUNCTION("""COMPUTED_VALUE"""),"TNL-CLT-014")</f>
        <v>TNL-CLT-014</v>
      </c>
      <c r="B3091" s="478" t="str">
        <f>IFERROR(__xludf.DUMMYFUNCTION("""COMPUTED_VALUE"""),"Xe Clethon")</f>
        <v>Xe Clethon</v>
      </c>
      <c r="C3091" s="324"/>
      <c r="D3091" s="324"/>
      <c r="E3091" s="324"/>
      <c r="F3091" s="324"/>
      <c r="G3091" s="324"/>
      <c r="H3091" s="324" t="str">
        <f>IFERROR(__xludf.DUMMYFUNCTION("""COMPUTED_VALUE"""),"15HP")</f>
        <v>15HP</v>
      </c>
      <c r="I3091" s="324" t="str">
        <f>IFERROR(__xludf.DUMMYFUNCTION("""COMPUTED_VALUE"""),"19010065")</f>
        <v>19010065</v>
      </c>
      <c r="J3091" s="324" t="str">
        <f>IFERROR(__xludf.DUMMYFUNCTION("""COMPUTED_VALUE"""),"10140933")</f>
        <v>10140933</v>
      </c>
      <c r="K3091" s="324">
        <f>IFERROR(__xludf.DUMMYFUNCTION("""COMPUTED_VALUE"""),0.5)</f>
        <v>0.5</v>
      </c>
      <c r="L3091" s="324" t="str">
        <f>IFERROR(__xludf.DUMMYFUNCTION("""COMPUTED_VALUE"""),"-")</f>
        <v>-</v>
      </c>
    </row>
    <row r="3092">
      <c r="A3092" s="324" t="str">
        <f>IFERROR(__xludf.DUMMYFUNCTION("""COMPUTED_VALUE"""),"TNL-CLT-015")</f>
        <v>TNL-CLT-015</v>
      </c>
      <c r="B3092" s="478" t="str">
        <f>IFERROR(__xludf.DUMMYFUNCTION("""COMPUTED_VALUE"""),"Xe Clethon")</f>
        <v>Xe Clethon</v>
      </c>
      <c r="C3092" s="324"/>
      <c r="D3092" s="324"/>
      <c r="E3092" s="324"/>
      <c r="F3092" s="324"/>
      <c r="G3092" s="324"/>
      <c r="H3092" s="324" t="str">
        <f>IFERROR(__xludf.DUMMYFUNCTION("""COMPUTED_VALUE"""),"15HP")</f>
        <v>15HP</v>
      </c>
      <c r="I3092" s="324" t="str">
        <f>IFERROR(__xludf.DUMMYFUNCTION("""COMPUTED_VALUE"""),"770128")</f>
        <v>770128</v>
      </c>
      <c r="J3092" s="324" t="str">
        <f>IFERROR(__xludf.DUMMYFUNCTION("""COMPUTED_VALUE"""),"00816")</f>
        <v>00816</v>
      </c>
      <c r="K3092" s="324">
        <f>IFERROR(__xludf.DUMMYFUNCTION("""COMPUTED_VALUE"""),0.5)</f>
        <v>0.5</v>
      </c>
      <c r="L3092" s="324" t="str">
        <f>IFERROR(__xludf.DUMMYFUNCTION("""COMPUTED_VALUE"""),"-")</f>
        <v>-</v>
      </c>
    </row>
    <row r="3093">
      <c r="A3093" s="324" t="str">
        <f>IFERROR(__xludf.DUMMYFUNCTION("""COMPUTED_VALUE"""),"TNL-CLT-016")</f>
        <v>TNL-CLT-016</v>
      </c>
      <c r="B3093" s="478" t="str">
        <f>IFERROR(__xludf.DUMMYFUNCTION("""COMPUTED_VALUE"""),"Xe Clethon")</f>
        <v>Xe Clethon</v>
      </c>
      <c r="C3093" s="324"/>
      <c r="D3093" s="324"/>
      <c r="E3093" s="324"/>
      <c r="F3093" s="324"/>
      <c r="G3093" s="324"/>
      <c r="H3093" s="324" t="str">
        <f>IFERROR(__xludf.DUMMYFUNCTION("""COMPUTED_VALUE"""),"15HP")</f>
        <v>15HP</v>
      </c>
      <c r="I3093" s="324" t="str">
        <f>IFERROR(__xludf.DUMMYFUNCTION("""COMPUTED_VALUE"""),"17100239")</f>
        <v>17100239</v>
      </c>
      <c r="J3093" s="324" t="str">
        <f>IFERROR(__xludf.DUMMYFUNCTION("""COMPUTED_VALUE"""),"02388")</f>
        <v>02388</v>
      </c>
      <c r="K3093" s="324">
        <f>IFERROR(__xludf.DUMMYFUNCTION("""COMPUTED_VALUE"""),0.5)</f>
        <v>0.5</v>
      </c>
      <c r="L3093" s="324" t="str">
        <f>IFERROR(__xludf.DUMMYFUNCTION("""COMPUTED_VALUE"""),"-")</f>
        <v>-</v>
      </c>
    </row>
    <row r="3094">
      <c r="A3094" s="324" t="str">
        <f>IFERROR(__xludf.DUMMYFUNCTION("""COMPUTED_VALUE"""),"XÍ NGHIỆP CHUỐI LP3")</f>
        <v>XÍ NGHIỆP CHUỐI LP3</v>
      </c>
      <c r="B3094" s="478"/>
      <c r="C3094" s="324"/>
      <c r="D3094" s="324"/>
      <c r="E3094" s="324"/>
      <c r="F3094" s="324"/>
      <c r="G3094" s="324"/>
      <c r="H3094" s="324"/>
      <c r="I3094" s="324"/>
      <c r="J3094" s="324"/>
      <c r="K3094" s="324">
        <f>IFERROR(__xludf.DUMMYFUNCTION("""COMPUTED_VALUE"""),0.5)</f>
        <v>0.5</v>
      </c>
      <c r="L3094" s="324" t="str">
        <f>IFERROR(__xludf.DUMMYFUNCTION("""COMPUTED_VALUE"""),"-")</f>
        <v>-</v>
      </c>
    </row>
    <row r="3095">
      <c r="A3095" s="324" t="str">
        <f>IFERROR(__xludf.DUMMYFUNCTION("""COMPUTED_VALUE"""),"TNL-CLT-001")</f>
        <v>TNL-CLT-001</v>
      </c>
      <c r="B3095" s="478" t="str">
        <f>IFERROR(__xludf.DUMMYFUNCTION("""COMPUTED_VALUE"""),"Xe Clethon")</f>
        <v>Xe Clethon</v>
      </c>
      <c r="C3095" s="324"/>
      <c r="D3095" s="324"/>
      <c r="E3095" s="324"/>
      <c r="F3095" s="324"/>
      <c r="G3095" s="324"/>
      <c r="H3095" s="324" t="str">
        <f>IFERROR(__xludf.DUMMYFUNCTION("""COMPUTED_VALUE"""),"15HP")</f>
        <v>15HP</v>
      </c>
      <c r="I3095" s="324"/>
      <c r="J3095" s="324"/>
      <c r="K3095" s="324">
        <f>IFERROR(__xludf.DUMMYFUNCTION("""COMPUTED_VALUE"""),0.5)</f>
        <v>0.5</v>
      </c>
      <c r="L3095" s="324" t="str">
        <f>IFERROR(__xludf.DUMMYFUNCTION("""COMPUTED_VALUE"""),"-")</f>
        <v>-</v>
      </c>
    </row>
    <row r="3096">
      <c r="A3096" s="324" t="str">
        <f>IFERROR(__xludf.DUMMYFUNCTION("""COMPUTED_VALUE"""),"TNL-CLT-002")</f>
        <v>TNL-CLT-002</v>
      </c>
      <c r="B3096" s="478" t="str">
        <f>IFERROR(__xludf.DUMMYFUNCTION("""COMPUTED_VALUE"""),"Xe Clethon")</f>
        <v>Xe Clethon</v>
      </c>
      <c r="C3096" s="324"/>
      <c r="D3096" s="324"/>
      <c r="E3096" s="324"/>
      <c r="F3096" s="324"/>
      <c r="G3096" s="324"/>
      <c r="H3096" s="324" t="str">
        <f>IFERROR(__xludf.DUMMYFUNCTION("""COMPUTED_VALUE"""),"15HP")</f>
        <v>15HP</v>
      </c>
      <c r="I3096" s="324"/>
      <c r="J3096" s="324"/>
      <c r="K3096" s="324">
        <f>IFERROR(__xludf.DUMMYFUNCTION("""COMPUTED_VALUE"""),0.5)</f>
        <v>0.5</v>
      </c>
      <c r="L3096" s="324" t="str">
        <f>IFERROR(__xludf.DUMMYFUNCTION("""COMPUTED_VALUE"""),"-")</f>
        <v>-</v>
      </c>
    </row>
    <row r="3097">
      <c r="A3097" s="324" t="str">
        <f>IFERROR(__xludf.DUMMYFUNCTION("""COMPUTED_VALUE"""),"TNL-CLT-003")</f>
        <v>TNL-CLT-003</v>
      </c>
      <c r="B3097" s="478" t="str">
        <f>IFERROR(__xludf.DUMMYFUNCTION("""COMPUTED_VALUE"""),"X.Clethon")</f>
        <v>X.Clethon</v>
      </c>
      <c r="C3097" s="324"/>
      <c r="D3097" s="324"/>
      <c r="E3097" s="324"/>
      <c r="F3097" s="324"/>
      <c r="G3097" s="324"/>
      <c r="H3097" s="324" t="str">
        <f>IFERROR(__xludf.DUMMYFUNCTION("""COMPUTED_VALUE"""),"15HP")</f>
        <v>15HP</v>
      </c>
      <c r="I3097" s="324"/>
      <c r="J3097" s="324"/>
      <c r="K3097" s="324">
        <f>IFERROR(__xludf.DUMMYFUNCTION("""COMPUTED_VALUE"""),0.5)</f>
        <v>0.5</v>
      </c>
      <c r="L3097" s="324" t="str">
        <f>IFERROR(__xludf.DUMMYFUNCTION("""COMPUTED_VALUE"""),"-")</f>
        <v>-</v>
      </c>
    </row>
    <row r="3098">
      <c r="A3098" s="324" t="str">
        <f>IFERROR(__xludf.DUMMYFUNCTION("""COMPUTED_VALUE"""),"TNL-CLT-004")</f>
        <v>TNL-CLT-004</v>
      </c>
      <c r="B3098" s="478" t="str">
        <f>IFERROR(__xludf.DUMMYFUNCTION("""COMPUTED_VALUE"""),"Xe Clethon")</f>
        <v>Xe Clethon</v>
      </c>
      <c r="C3098" s="324"/>
      <c r="D3098" s="324"/>
      <c r="E3098" s="324"/>
      <c r="F3098" s="324"/>
      <c r="G3098" s="324"/>
      <c r="H3098" s="324" t="str">
        <f>IFERROR(__xludf.DUMMYFUNCTION("""COMPUTED_VALUE"""),"15HP")</f>
        <v>15HP</v>
      </c>
      <c r="I3098" s="324"/>
      <c r="J3098" s="324"/>
      <c r="K3098" s="324">
        <f>IFERROR(__xludf.DUMMYFUNCTION("""COMPUTED_VALUE"""),0.5)</f>
        <v>0.5</v>
      </c>
      <c r="L3098" s="324" t="str">
        <f>IFERROR(__xludf.DUMMYFUNCTION("""COMPUTED_VALUE"""),"-")</f>
        <v>-</v>
      </c>
    </row>
    <row r="3099">
      <c r="A3099" s="324" t="str">
        <f>IFERROR(__xludf.DUMMYFUNCTION("""COMPUTED_VALUE"""),"TNL-CLT-005")</f>
        <v>TNL-CLT-005</v>
      </c>
      <c r="B3099" s="478" t="str">
        <f>IFERROR(__xludf.DUMMYFUNCTION("""COMPUTED_VALUE"""),"Xe Clethon")</f>
        <v>Xe Clethon</v>
      </c>
      <c r="C3099" s="324"/>
      <c r="D3099" s="324"/>
      <c r="E3099" s="324"/>
      <c r="F3099" s="324"/>
      <c r="G3099" s="324"/>
      <c r="H3099" s="324" t="str">
        <f>IFERROR(__xludf.DUMMYFUNCTION("""COMPUTED_VALUE"""),"15HP")</f>
        <v>15HP</v>
      </c>
      <c r="I3099" s="324"/>
      <c r="J3099" s="324"/>
      <c r="K3099" s="324">
        <f>IFERROR(__xludf.DUMMYFUNCTION("""COMPUTED_VALUE"""),0.5)</f>
        <v>0.5</v>
      </c>
      <c r="L3099" s="324" t="str">
        <f>IFERROR(__xludf.DUMMYFUNCTION("""COMPUTED_VALUE"""),"-")</f>
        <v>-</v>
      </c>
    </row>
    <row r="3100">
      <c r="A3100" s="324" t="str">
        <f>IFERROR(__xludf.DUMMYFUNCTION("""COMPUTED_VALUE"""),"TNL-CLT-006")</f>
        <v>TNL-CLT-006</v>
      </c>
      <c r="B3100" s="478" t="str">
        <f>IFERROR(__xludf.DUMMYFUNCTION("""COMPUTED_VALUE"""),"Xe Clethon")</f>
        <v>Xe Clethon</v>
      </c>
      <c r="C3100" s="324"/>
      <c r="D3100" s="324"/>
      <c r="E3100" s="324"/>
      <c r="F3100" s="324"/>
      <c r="G3100" s="324"/>
      <c r="H3100" s="324" t="str">
        <f>IFERROR(__xludf.DUMMYFUNCTION("""COMPUTED_VALUE"""),"15HP")</f>
        <v>15HP</v>
      </c>
      <c r="I3100" s="324"/>
      <c r="J3100" s="324"/>
      <c r="K3100" s="324">
        <f>IFERROR(__xludf.DUMMYFUNCTION("""COMPUTED_VALUE"""),0.5)</f>
        <v>0.5</v>
      </c>
      <c r="L3100" s="324" t="str">
        <f>IFERROR(__xludf.DUMMYFUNCTION("""COMPUTED_VALUE"""),"-")</f>
        <v>-</v>
      </c>
    </row>
    <row r="3101">
      <c r="A3101" s="324" t="str">
        <f>IFERROR(__xludf.DUMMYFUNCTION("""COMPUTED_VALUE"""),"TNL-CLT-007")</f>
        <v>TNL-CLT-007</v>
      </c>
      <c r="B3101" s="478" t="str">
        <f>IFERROR(__xludf.DUMMYFUNCTION("""COMPUTED_VALUE"""),"Xe Clethon")</f>
        <v>Xe Clethon</v>
      </c>
      <c r="C3101" s="324"/>
      <c r="D3101" s="324"/>
      <c r="E3101" s="324"/>
      <c r="F3101" s="324"/>
      <c r="G3101" s="324"/>
      <c r="H3101" s="324" t="str">
        <f>IFERROR(__xludf.DUMMYFUNCTION("""COMPUTED_VALUE"""),"15HP")</f>
        <v>15HP</v>
      </c>
      <c r="I3101" s="324"/>
      <c r="J3101" s="324"/>
      <c r="K3101" s="324">
        <f>IFERROR(__xludf.DUMMYFUNCTION("""COMPUTED_VALUE"""),0.5)</f>
        <v>0.5</v>
      </c>
      <c r="L3101" s="324" t="str">
        <f>IFERROR(__xludf.DUMMYFUNCTION("""COMPUTED_VALUE"""),"-")</f>
        <v>-</v>
      </c>
    </row>
    <row r="3102">
      <c r="A3102" s="324" t="str">
        <f>IFERROR(__xludf.DUMMYFUNCTION("""COMPUTED_VALUE"""),"TNL-CLT-008")</f>
        <v>TNL-CLT-008</v>
      </c>
      <c r="B3102" s="478" t="str">
        <f>IFERROR(__xludf.DUMMYFUNCTION("""COMPUTED_VALUE"""),"Xe Clethon")</f>
        <v>Xe Clethon</v>
      </c>
      <c r="C3102" s="324"/>
      <c r="D3102" s="324"/>
      <c r="E3102" s="324"/>
      <c r="F3102" s="324"/>
      <c r="G3102" s="324"/>
      <c r="H3102" s="324" t="str">
        <f>IFERROR(__xludf.DUMMYFUNCTION("""COMPUTED_VALUE"""),"15HP")</f>
        <v>15HP</v>
      </c>
      <c r="I3102" s="324"/>
      <c r="J3102" s="324"/>
      <c r="K3102" s="324">
        <f>IFERROR(__xludf.DUMMYFUNCTION("""COMPUTED_VALUE"""),0.5)</f>
        <v>0.5</v>
      </c>
      <c r="L3102" s="324" t="str">
        <f>IFERROR(__xludf.DUMMYFUNCTION("""COMPUTED_VALUE"""),"-")</f>
        <v>-</v>
      </c>
    </row>
    <row r="3103">
      <c r="A3103" s="324" t="str">
        <f>IFERROR(__xludf.DUMMYFUNCTION("""COMPUTED_VALUE"""),"TNL-CLT-009")</f>
        <v>TNL-CLT-009</v>
      </c>
      <c r="B3103" s="478" t="str">
        <f>IFERROR(__xludf.DUMMYFUNCTION("""COMPUTED_VALUE"""),"Xe Clethon")</f>
        <v>Xe Clethon</v>
      </c>
      <c r="C3103" s="324"/>
      <c r="D3103" s="324"/>
      <c r="E3103" s="324"/>
      <c r="F3103" s="324"/>
      <c r="G3103" s="324"/>
      <c r="H3103" s="324" t="str">
        <f>IFERROR(__xludf.DUMMYFUNCTION("""COMPUTED_VALUE"""),"15HP")</f>
        <v>15HP</v>
      </c>
      <c r="I3103" s="324"/>
      <c r="J3103" s="324"/>
      <c r="K3103" s="324">
        <f>IFERROR(__xludf.DUMMYFUNCTION("""COMPUTED_VALUE"""),0.5)</f>
        <v>0.5</v>
      </c>
      <c r="L3103" s="324" t="str">
        <f>IFERROR(__xludf.DUMMYFUNCTION("""COMPUTED_VALUE"""),"-")</f>
        <v>-</v>
      </c>
    </row>
    <row r="3104">
      <c r="A3104" s="324" t="str">
        <f>IFERROR(__xludf.DUMMYFUNCTION("""COMPUTED_VALUE"""),"TNL-CLT-010")</f>
        <v>TNL-CLT-010</v>
      </c>
      <c r="B3104" s="478" t="str">
        <f>IFERROR(__xludf.DUMMYFUNCTION("""COMPUTED_VALUE"""),"Xe Clethon")</f>
        <v>Xe Clethon</v>
      </c>
      <c r="C3104" s="324"/>
      <c r="D3104" s="324"/>
      <c r="E3104" s="324"/>
      <c r="F3104" s="324"/>
      <c r="G3104" s="324"/>
      <c r="H3104" s="324" t="str">
        <f>IFERROR(__xludf.DUMMYFUNCTION("""COMPUTED_VALUE"""),"15HP")</f>
        <v>15HP</v>
      </c>
      <c r="I3104" s="324"/>
      <c r="J3104" s="324"/>
      <c r="K3104" s="324">
        <f>IFERROR(__xludf.DUMMYFUNCTION("""COMPUTED_VALUE"""),0.5)</f>
        <v>0.5</v>
      </c>
      <c r="L3104" s="324" t="str">
        <f>IFERROR(__xludf.DUMMYFUNCTION("""COMPUTED_VALUE"""),"-")</f>
        <v>-</v>
      </c>
    </row>
    <row r="3105">
      <c r="A3105" s="324" t="str">
        <f>IFERROR(__xludf.DUMMYFUNCTION("""COMPUTED_VALUE"""),"TNL-CLT-011")</f>
        <v>TNL-CLT-011</v>
      </c>
      <c r="B3105" s="478" t="str">
        <f>IFERROR(__xludf.DUMMYFUNCTION("""COMPUTED_VALUE"""),"Xe Clethon")</f>
        <v>Xe Clethon</v>
      </c>
      <c r="C3105" s="324"/>
      <c r="D3105" s="324"/>
      <c r="E3105" s="324"/>
      <c r="F3105" s="324"/>
      <c r="G3105" s="324"/>
      <c r="H3105" s="324" t="str">
        <f>IFERROR(__xludf.DUMMYFUNCTION("""COMPUTED_VALUE"""),"15HP")</f>
        <v>15HP</v>
      </c>
      <c r="I3105" s="324"/>
      <c r="J3105" s="324"/>
      <c r="K3105" s="324">
        <f>IFERROR(__xludf.DUMMYFUNCTION("""COMPUTED_VALUE"""),0.5)</f>
        <v>0.5</v>
      </c>
      <c r="L3105" s="324" t="str">
        <f>IFERROR(__xludf.DUMMYFUNCTION("""COMPUTED_VALUE"""),"-")</f>
        <v>-</v>
      </c>
    </row>
    <row r="3106">
      <c r="A3106" s="324" t="str">
        <f>IFERROR(__xludf.DUMMYFUNCTION("""COMPUTED_VALUE"""),"TNL-CLT-012")</f>
        <v>TNL-CLT-012</v>
      </c>
      <c r="B3106" s="478" t="str">
        <f>IFERROR(__xludf.DUMMYFUNCTION("""COMPUTED_VALUE"""),"Xe Clethon")</f>
        <v>Xe Clethon</v>
      </c>
      <c r="C3106" s="324"/>
      <c r="D3106" s="324"/>
      <c r="E3106" s="324"/>
      <c r="F3106" s="324"/>
      <c r="G3106" s="324"/>
      <c r="H3106" s="324" t="str">
        <f>IFERROR(__xludf.DUMMYFUNCTION("""COMPUTED_VALUE"""),"15HP")</f>
        <v>15HP</v>
      </c>
      <c r="I3106" s="324"/>
      <c r="J3106" s="324"/>
      <c r="K3106" s="324">
        <f>IFERROR(__xludf.DUMMYFUNCTION("""COMPUTED_VALUE"""),0.5)</f>
        <v>0.5</v>
      </c>
      <c r="L3106" s="324" t="str">
        <f>IFERROR(__xludf.DUMMYFUNCTION("""COMPUTED_VALUE"""),"-")</f>
        <v>-</v>
      </c>
    </row>
    <row r="3107">
      <c r="A3107" s="324" t="str">
        <f>IFERROR(__xludf.DUMMYFUNCTION("""COMPUTED_VALUE"""),"TNL-CLT-013")</f>
        <v>TNL-CLT-013</v>
      </c>
      <c r="B3107" s="478" t="str">
        <f>IFERROR(__xludf.DUMMYFUNCTION("""COMPUTED_VALUE"""),"Xe Clethon")</f>
        <v>Xe Clethon</v>
      </c>
      <c r="C3107" s="324"/>
      <c r="D3107" s="324"/>
      <c r="E3107" s="324"/>
      <c r="F3107" s="324"/>
      <c r="G3107" s="324"/>
      <c r="H3107" s="324" t="str">
        <f>IFERROR(__xludf.DUMMYFUNCTION("""COMPUTED_VALUE"""),"15HP")</f>
        <v>15HP</v>
      </c>
      <c r="I3107" s="324"/>
      <c r="J3107" s="324"/>
      <c r="K3107" s="324">
        <f>IFERROR(__xludf.DUMMYFUNCTION("""COMPUTED_VALUE"""),0.5)</f>
        <v>0.5</v>
      </c>
      <c r="L3107" s="324" t="str">
        <f>IFERROR(__xludf.DUMMYFUNCTION("""COMPUTED_VALUE"""),"-")</f>
        <v>-</v>
      </c>
    </row>
    <row r="3108">
      <c r="A3108" s="324" t="str">
        <f>IFERROR(__xludf.DUMMYFUNCTION("""COMPUTED_VALUE"""),"TNL-CLT-017")</f>
        <v>TNL-CLT-017</v>
      </c>
      <c r="B3108" s="478" t="str">
        <f>IFERROR(__xludf.DUMMYFUNCTION("""COMPUTED_VALUE"""),"Xe Clethon")</f>
        <v>Xe Clethon</v>
      </c>
      <c r="C3108" s="324"/>
      <c r="D3108" s="324"/>
      <c r="E3108" s="324"/>
      <c r="F3108" s="324"/>
      <c r="G3108" s="324"/>
      <c r="H3108" s="324" t="str">
        <f>IFERROR(__xludf.DUMMYFUNCTION("""COMPUTED_VALUE"""),"15HP")</f>
        <v>15HP</v>
      </c>
      <c r="I3108" s="324"/>
      <c r="J3108" s="324"/>
      <c r="K3108" s="324">
        <f>IFERROR(__xludf.DUMMYFUNCTION("""COMPUTED_VALUE"""),0.5)</f>
        <v>0.5</v>
      </c>
      <c r="L3108" s="324" t="str">
        <f>IFERROR(__xludf.DUMMYFUNCTION("""COMPUTED_VALUE"""),"-")</f>
        <v>-</v>
      </c>
    </row>
    <row r="3109">
      <c r="A3109" s="324" t="str">
        <f>IFERROR(__xludf.DUMMYFUNCTION("""COMPUTED_VALUE"""),"TNL-CLT-018")</f>
        <v>TNL-CLT-018</v>
      </c>
      <c r="B3109" s="478" t="str">
        <f>IFERROR(__xludf.DUMMYFUNCTION("""COMPUTED_VALUE"""),"Xe Clethon")</f>
        <v>Xe Clethon</v>
      </c>
      <c r="C3109" s="324"/>
      <c r="D3109" s="324"/>
      <c r="E3109" s="324"/>
      <c r="F3109" s="324"/>
      <c r="G3109" s="324"/>
      <c r="H3109" s="324" t="str">
        <f>IFERROR(__xludf.DUMMYFUNCTION("""COMPUTED_VALUE"""),"15HP")</f>
        <v>15HP</v>
      </c>
      <c r="I3109" s="324"/>
      <c r="J3109" s="324"/>
      <c r="K3109" s="324">
        <f>IFERROR(__xludf.DUMMYFUNCTION("""COMPUTED_VALUE"""),0.5)</f>
        <v>0.5</v>
      </c>
      <c r="L3109" s="324" t="str">
        <f>IFERROR(__xludf.DUMMYFUNCTION("""COMPUTED_VALUE"""),"-")</f>
        <v>-</v>
      </c>
    </row>
    <row r="3110">
      <c r="A3110" s="324" t="str">
        <f>IFERROR(__xludf.DUMMYFUNCTION("""COMPUTED_VALUE"""),"TNL-CLT-019")</f>
        <v>TNL-CLT-019</v>
      </c>
      <c r="B3110" s="478" t="str">
        <f>IFERROR(__xludf.DUMMYFUNCTION("""COMPUTED_VALUE"""),"Xe Clethon")</f>
        <v>Xe Clethon</v>
      </c>
      <c r="C3110" s="324"/>
      <c r="D3110" s="324"/>
      <c r="E3110" s="324"/>
      <c r="F3110" s="324"/>
      <c r="G3110" s="324"/>
      <c r="H3110" s="324" t="str">
        <f>IFERROR(__xludf.DUMMYFUNCTION("""COMPUTED_VALUE"""),"15HP")</f>
        <v>15HP</v>
      </c>
      <c r="I3110" s="324"/>
      <c r="J3110" s="324"/>
      <c r="K3110" s="324">
        <f>IFERROR(__xludf.DUMMYFUNCTION("""COMPUTED_VALUE"""),0.5)</f>
        <v>0.5</v>
      </c>
      <c r="L3110" s="324" t="str">
        <f>IFERROR(__xludf.DUMMYFUNCTION("""COMPUTED_VALUE"""),"-")</f>
        <v>-</v>
      </c>
    </row>
    <row r="3111">
      <c r="A3111" s="324" t="str">
        <f>IFERROR(__xludf.DUMMYFUNCTION("""COMPUTED_VALUE"""),"TNL-CLT-020")</f>
        <v>TNL-CLT-020</v>
      </c>
      <c r="B3111" s="478" t="str">
        <f>IFERROR(__xludf.DUMMYFUNCTION("""COMPUTED_VALUE"""),"Xe Clethon")</f>
        <v>Xe Clethon</v>
      </c>
      <c r="C3111" s="324"/>
      <c r="D3111" s="324"/>
      <c r="E3111" s="324"/>
      <c r="F3111" s="324"/>
      <c r="G3111" s="324"/>
      <c r="H3111" s="324" t="str">
        <f>IFERROR(__xludf.DUMMYFUNCTION("""COMPUTED_VALUE"""),"15HP")</f>
        <v>15HP</v>
      </c>
      <c r="I3111" s="324"/>
      <c r="J3111" s="324"/>
      <c r="K3111" s="324">
        <f>IFERROR(__xludf.DUMMYFUNCTION("""COMPUTED_VALUE"""),0.5)</f>
        <v>0.5</v>
      </c>
      <c r="L3111" s="324" t="str">
        <f>IFERROR(__xludf.DUMMYFUNCTION("""COMPUTED_VALUE"""),"-")</f>
        <v>-</v>
      </c>
    </row>
    <row r="3112">
      <c r="A3112" s="324" t="str">
        <f>IFERROR(__xludf.DUMMYFUNCTION("""COMPUTED_VALUE"""),"XÍ NGHIỆP CHUỐI AD2")</f>
        <v>XÍ NGHIỆP CHUỐI AD2</v>
      </c>
      <c r="B3112" s="478"/>
      <c r="C3112" s="324"/>
      <c r="D3112" s="324"/>
      <c r="E3112" s="324"/>
      <c r="F3112" s="324"/>
      <c r="G3112" s="324"/>
      <c r="H3112" s="324"/>
      <c r="I3112" s="324"/>
      <c r="J3112" s="324"/>
      <c r="K3112" s="324">
        <f>IFERROR(__xludf.DUMMYFUNCTION("""COMPUTED_VALUE"""),0.5)</f>
        <v>0.5</v>
      </c>
      <c r="L3112" s="324" t="str">
        <f>IFERROR(__xludf.DUMMYFUNCTION("""COMPUTED_VALUE"""),"-")</f>
        <v>-</v>
      </c>
    </row>
    <row r="3113">
      <c r="A3113" s="324" t="str">
        <f>IFERROR(__xludf.DUMMYFUNCTION("""COMPUTED_VALUE"""),"TNA-CLT-003")</f>
        <v>TNA-CLT-003</v>
      </c>
      <c r="B3113" s="478" t="str">
        <f>IFERROR(__xludf.DUMMYFUNCTION("""COMPUTED_VALUE"""),"Xe Clethon")</f>
        <v>Xe Clethon</v>
      </c>
      <c r="C3113" s="324"/>
      <c r="D3113" s="324"/>
      <c r="E3113" s="324"/>
      <c r="F3113" s="324"/>
      <c r="G3113" s="324"/>
      <c r="H3113" s="324" t="str">
        <f>IFERROR(__xludf.DUMMYFUNCTION("""COMPUTED_VALUE"""),"15HP")</f>
        <v>15HP</v>
      </c>
      <c r="I3113" s="324"/>
      <c r="J3113" s="324"/>
      <c r="K3113" s="324">
        <f>IFERROR(__xludf.DUMMYFUNCTION("""COMPUTED_VALUE"""),0.5)</f>
        <v>0.5</v>
      </c>
      <c r="L3113" s="324" t="str">
        <f>IFERROR(__xludf.DUMMYFUNCTION("""COMPUTED_VALUE"""),"-")</f>
        <v>-</v>
      </c>
    </row>
    <row r="3114">
      <c r="A3114" s="324" t="str">
        <f>IFERROR(__xludf.DUMMYFUNCTION("""COMPUTED_VALUE"""),"TNA-CLT-004")</f>
        <v>TNA-CLT-004</v>
      </c>
      <c r="B3114" s="478" t="str">
        <f>IFERROR(__xludf.DUMMYFUNCTION("""COMPUTED_VALUE"""),"Xe Clethon")</f>
        <v>Xe Clethon</v>
      </c>
      <c r="C3114" s="324"/>
      <c r="D3114" s="324"/>
      <c r="E3114" s="324"/>
      <c r="F3114" s="324"/>
      <c r="G3114" s="324"/>
      <c r="H3114" s="324" t="str">
        <f>IFERROR(__xludf.DUMMYFUNCTION("""COMPUTED_VALUE"""),"15HP")</f>
        <v>15HP</v>
      </c>
      <c r="I3114" s="324"/>
      <c r="J3114" s="324"/>
      <c r="K3114" s="324">
        <f>IFERROR(__xludf.DUMMYFUNCTION("""COMPUTED_VALUE"""),0.5)</f>
        <v>0.5</v>
      </c>
      <c r="L3114" s="324" t="str">
        <f>IFERROR(__xludf.DUMMYFUNCTION("""COMPUTED_VALUE"""),"-")</f>
        <v>-</v>
      </c>
    </row>
    <row r="3115">
      <c r="A3115" s="324" t="str">
        <f>IFERROR(__xludf.DUMMYFUNCTION("""COMPUTED_VALUE"""),"TNA-CLT-005")</f>
        <v>TNA-CLT-005</v>
      </c>
      <c r="B3115" s="478" t="str">
        <f>IFERROR(__xludf.DUMMYFUNCTION("""COMPUTED_VALUE"""),"Xe Clethon")</f>
        <v>Xe Clethon</v>
      </c>
      <c r="C3115" s="324"/>
      <c r="D3115" s="324"/>
      <c r="E3115" s="324"/>
      <c r="F3115" s="324"/>
      <c r="G3115" s="324"/>
      <c r="H3115" s="324" t="str">
        <f>IFERROR(__xludf.DUMMYFUNCTION("""COMPUTED_VALUE"""),"15HP")</f>
        <v>15HP</v>
      </c>
      <c r="I3115" s="324"/>
      <c r="J3115" s="324"/>
      <c r="K3115" s="324">
        <f>IFERROR(__xludf.DUMMYFUNCTION("""COMPUTED_VALUE"""),0.5)</f>
        <v>0.5</v>
      </c>
      <c r="L3115" s="324" t="str">
        <f>IFERROR(__xludf.DUMMYFUNCTION("""COMPUTED_VALUE"""),"-")</f>
        <v>-</v>
      </c>
    </row>
    <row r="3116">
      <c r="A3116" s="324" t="str">
        <f>IFERROR(__xludf.DUMMYFUNCTION("""COMPUTED_VALUE"""),"TNA-CLT-006")</f>
        <v>TNA-CLT-006</v>
      </c>
      <c r="B3116" s="478" t="str">
        <f>IFERROR(__xludf.DUMMYFUNCTION("""COMPUTED_VALUE"""),"Xe Clethon")</f>
        <v>Xe Clethon</v>
      </c>
      <c r="C3116" s="324"/>
      <c r="D3116" s="324"/>
      <c r="E3116" s="324"/>
      <c r="F3116" s="324"/>
      <c r="G3116" s="324"/>
      <c r="H3116" s="324" t="str">
        <f>IFERROR(__xludf.DUMMYFUNCTION("""COMPUTED_VALUE"""),"15HP")</f>
        <v>15HP</v>
      </c>
      <c r="I3116" s="324"/>
      <c r="J3116" s="324"/>
      <c r="K3116" s="324">
        <f>IFERROR(__xludf.DUMMYFUNCTION("""COMPUTED_VALUE"""),0.5)</f>
        <v>0.5</v>
      </c>
      <c r="L3116" s="324" t="str">
        <f>IFERROR(__xludf.DUMMYFUNCTION("""COMPUTED_VALUE"""),"-")</f>
        <v>-</v>
      </c>
    </row>
    <row r="3117">
      <c r="A3117" s="324" t="str">
        <f>IFERROR(__xludf.DUMMYFUNCTION("""COMPUTED_VALUE"""),"TNA-CLT-007")</f>
        <v>TNA-CLT-007</v>
      </c>
      <c r="B3117" s="478" t="str">
        <f>IFERROR(__xludf.DUMMYFUNCTION("""COMPUTED_VALUE"""),"Xe Clethon")</f>
        <v>Xe Clethon</v>
      </c>
      <c r="C3117" s="324"/>
      <c r="D3117" s="324"/>
      <c r="E3117" s="324"/>
      <c r="F3117" s="324"/>
      <c r="G3117" s="324"/>
      <c r="H3117" s="324" t="str">
        <f>IFERROR(__xludf.DUMMYFUNCTION("""COMPUTED_VALUE"""),"15HP")</f>
        <v>15HP</v>
      </c>
      <c r="I3117" s="324"/>
      <c r="J3117" s="324"/>
      <c r="K3117" s="324">
        <f>IFERROR(__xludf.DUMMYFUNCTION("""COMPUTED_VALUE"""),0.5)</f>
        <v>0.5</v>
      </c>
      <c r="L3117" s="324" t="str">
        <f>IFERROR(__xludf.DUMMYFUNCTION("""COMPUTED_VALUE"""),"-")</f>
        <v>-</v>
      </c>
    </row>
    <row r="3118">
      <c r="A3118" s="324" t="str">
        <f>IFERROR(__xludf.DUMMYFUNCTION("""COMPUTED_VALUE"""),"TNA-CLT-008")</f>
        <v>TNA-CLT-008</v>
      </c>
      <c r="B3118" s="478" t="str">
        <f>IFERROR(__xludf.DUMMYFUNCTION("""COMPUTED_VALUE"""),"Xe Clethon")</f>
        <v>Xe Clethon</v>
      </c>
      <c r="C3118" s="324"/>
      <c r="D3118" s="324"/>
      <c r="E3118" s="324"/>
      <c r="F3118" s="324"/>
      <c r="G3118" s="324"/>
      <c r="H3118" s="324" t="str">
        <f>IFERROR(__xludf.DUMMYFUNCTION("""COMPUTED_VALUE"""),"15HP")</f>
        <v>15HP</v>
      </c>
      <c r="I3118" s="324"/>
      <c r="J3118" s="324"/>
      <c r="K3118" s="324">
        <f>IFERROR(__xludf.DUMMYFUNCTION("""COMPUTED_VALUE"""),0.5)</f>
        <v>0.5</v>
      </c>
      <c r="L3118" s="324" t="str">
        <f>IFERROR(__xludf.DUMMYFUNCTION("""COMPUTED_VALUE"""),"-")</f>
        <v>-</v>
      </c>
    </row>
    <row r="3119">
      <c r="A3119" s="324" t="str">
        <f>IFERROR(__xludf.DUMMYFUNCTION("""COMPUTED_VALUE"""),"TNA-CLT-009")</f>
        <v>TNA-CLT-009</v>
      </c>
      <c r="B3119" s="478" t="str">
        <f>IFERROR(__xludf.DUMMYFUNCTION("""COMPUTED_VALUE"""),"Xe Clethon")</f>
        <v>Xe Clethon</v>
      </c>
      <c r="C3119" s="324"/>
      <c r="D3119" s="324"/>
      <c r="E3119" s="324"/>
      <c r="F3119" s="324"/>
      <c r="G3119" s="324"/>
      <c r="H3119" s="324" t="str">
        <f>IFERROR(__xludf.DUMMYFUNCTION("""COMPUTED_VALUE"""),"15HP")</f>
        <v>15HP</v>
      </c>
      <c r="I3119" s="324"/>
      <c r="J3119" s="324"/>
      <c r="K3119" s="324">
        <f>IFERROR(__xludf.DUMMYFUNCTION("""COMPUTED_VALUE"""),0.5)</f>
        <v>0.5</v>
      </c>
      <c r="L3119" s="324" t="str">
        <f>IFERROR(__xludf.DUMMYFUNCTION("""COMPUTED_VALUE"""),"-")</f>
        <v>-</v>
      </c>
    </row>
    <row r="3120">
      <c r="A3120" s="324" t="str">
        <f>IFERROR(__xludf.DUMMYFUNCTION("""COMPUTED_VALUE"""),"TNA-CLT-010")</f>
        <v>TNA-CLT-010</v>
      </c>
      <c r="B3120" s="478" t="str">
        <f>IFERROR(__xludf.DUMMYFUNCTION("""COMPUTED_VALUE"""),"Xe Clethon")</f>
        <v>Xe Clethon</v>
      </c>
      <c r="C3120" s="324"/>
      <c r="D3120" s="324"/>
      <c r="E3120" s="324"/>
      <c r="F3120" s="324"/>
      <c r="G3120" s="324"/>
      <c r="H3120" s="324" t="str">
        <f>IFERROR(__xludf.DUMMYFUNCTION("""COMPUTED_VALUE"""),"15HP")</f>
        <v>15HP</v>
      </c>
      <c r="I3120" s="324"/>
      <c r="J3120" s="324"/>
      <c r="K3120" s="324">
        <f>IFERROR(__xludf.DUMMYFUNCTION("""COMPUTED_VALUE"""),0.5)</f>
        <v>0.5</v>
      </c>
      <c r="L3120" s="324" t="str">
        <f>IFERROR(__xludf.DUMMYFUNCTION("""COMPUTED_VALUE"""),"-")</f>
        <v>-</v>
      </c>
    </row>
    <row r="3121">
      <c r="A3121" s="324" t="str">
        <f>IFERROR(__xludf.DUMMYFUNCTION("""COMPUTED_VALUE"""),"TNA-CLT-011")</f>
        <v>TNA-CLT-011</v>
      </c>
      <c r="B3121" s="478" t="str">
        <f>IFERROR(__xludf.DUMMYFUNCTION("""COMPUTED_VALUE"""),"Xe Clethon")</f>
        <v>Xe Clethon</v>
      </c>
      <c r="C3121" s="324"/>
      <c r="D3121" s="324"/>
      <c r="E3121" s="324"/>
      <c r="F3121" s="324"/>
      <c r="G3121" s="324"/>
      <c r="H3121" s="324" t="str">
        <f>IFERROR(__xludf.DUMMYFUNCTION("""COMPUTED_VALUE"""),"15HP")</f>
        <v>15HP</v>
      </c>
      <c r="I3121" s="324"/>
      <c r="J3121" s="324"/>
      <c r="K3121" s="324">
        <f>IFERROR(__xludf.DUMMYFUNCTION("""COMPUTED_VALUE"""),0.5)</f>
        <v>0.5</v>
      </c>
      <c r="L3121" s="324" t="str">
        <f>IFERROR(__xludf.DUMMYFUNCTION("""COMPUTED_VALUE"""),"-")</f>
        <v>-</v>
      </c>
    </row>
    <row r="3122">
      <c r="A3122" s="324" t="str">
        <f>IFERROR(__xludf.DUMMYFUNCTION("""COMPUTED_VALUE"""),"TNA-CLT-012")</f>
        <v>TNA-CLT-012</v>
      </c>
      <c r="B3122" s="478" t="str">
        <f>IFERROR(__xludf.DUMMYFUNCTION("""COMPUTED_VALUE"""),"Xe Clethon")</f>
        <v>Xe Clethon</v>
      </c>
      <c r="C3122" s="324"/>
      <c r="D3122" s="324"/>
      <c r="E3122" s="324"/>
      <c r="F3122" s="324"/>
      <c r="G3122" s="324"/>
      <c r="H3122" s="324" t="str">
        <f>IFERROR(__xludf.DUMMYFUNCTION("""COMPUTED_VALUE"""),"15HP")</f>
        <v>15HP</v>
      </c>
      <c r="I3122" s="324"/>
      <c r="J3122" s="324"/>
      <c r="K3122" s="324">
        <f>IFERROR(__xludf.DUMMYFUNCTION("""COMPUTED_VALUE"""),0.5)</f>
        <v>0.5</v>
      </c>
      <c r="L3122" s="324" t="str">
        <f>IFERROR(__xludf.DUMMYFUNCTION("""COMPUTED_VALUE"""),"-")</f>
        <v>-</v>
      </c>
    </row>
    <row r="3123">
      <c r="A3123" s="324" t="str">
        <f>IFERROR(__xludf.DUMMYFUNCTION("""COMPUTED_VALUE"""),"TNA-CLT-013")</f>
        <v>TNA-CLT-013</v>
      </c>
      <c r="B3123" s="478" t="str">
        <f>IFERROR(__xludf.DUMMYFUNCTION("""COMPUTED_VALUE"""),"Xe Clethon")</f>
        <v>Xe Clethon</v>
      </c>
      <c r="C3123" s="324"/>
      <c r="D3123" s="324"/>
      <c r="E3123" s="324"/>
      <c r="F3123" s="324"/>
      <c r="G3123" s="324"/>
      <c r="H3123" s="324" t="str">
        <f>IFERROR(__xludf.DUMMYFUNCTION("""COMPUTED_VALUE"""),"15HP")</f>
        <v>15HP</v>
      </c>
      <c r="I3123" s="324"/>
      <c r="J3123" s="324"/>
      <c r="K3123" s="324">
        <f>IFERROR(__xludf.DUMMYFUNCTION("""COMPUTED_VALUE"""),0.5)</f>
        <v>0.5</v>
      </c>
      <c r="L3123" s="324" t="str">
        <f>IFERROR(__xludf.DUMMYFUNCTION("""COMPUTED_VALUE"""),"-")</f>
        <v>-</v>
      </c>
    </row>
    <row r="3124">
      <c r="A3124" s="324" t="str">
        <f>IFERROR(__xludf.DUMMYFUNCTION("""COMPUTED_VALUE"""),"TNA-CLT-014")</f>
        <v>TNA-CLT-014</v>
      </c>
      <c r="B3124" s="478" t="str">
        <f>IFERROR(__xludf.DUMMYFUNCTION("""COMPUTED_VALUE"""),"Xe Clethon")</f>
        <v>Xe Clethon</v>
      </c>
      <c r="C3124" s="324"/>
      <c r="D3124" s="324"/>
      <c r="E3124" s="324"/>
      <c r="F3124" s="324"/>
      <c r="G3124" s="324"/>
      <c r="H3124" s="324" t="str">
        <f>IFERROR(__xludf.DUMMYFUNCTION("""COMPUTED_VALUE"""),"15HP")</f>
        <v>15HP</v>
      </c>
      <c r="I3124" s="324"/>
      <c r="J3124" s="324"/>
      <c r="K3124" s="324">
        <f>IFERROR(__xludf.DUMMYFUNCTION("""COMPUTED_VALUE"""),0.5)</f>
        <v>0.5</v>
      </c>
      <c r="L3124" s="324" t="str">
        <f>IFERROR(__xludf.DUMMYFUNCTION("""COMPUTED_VALUE"""),"-")</f>
        <v>-</v>
      </c>
    </row>
    <row r="3125">
      <c r="A3125" s="324" t="str">
        <f>IFERROR(__xludf.DUMMYFUNCTION("""COMPUTED_VALUE"""),"TNA-CLT-015")</f>
        <v>TNA-CLT-015</v>
      </c>
      <c r="B3125" s="478" t="str">
        <f>IFERROR(__xludf.DUMMYFUNCTION("""COMPUTED_VALUE"""),"Xe Clethon")</f>
        <v>Xe Clethon</v>
      </c>
      <c r="C3125" s="324"/>
      <c r="D3125" s="324"/>
      <c r="E3125" s="324"/>
      <c r="F3125" s="324"/>
      <c r="G3125" s="324"/>
      <c r="H3125" s="324" t="str">
        <f>IFERROR(__xludf.DUMMYFUNCTION("""COMPUTED_VALUE"""),"15HP")</f>
        <v>15HP</v>
      </c>
      <c r="I3125" s="324"/>
      <c r="J3125" s="324"/>
      <c r="K3125" s="324">
        <f>IFERROR(__xludf.DUMMYFUNCTION("""COMPUTED_VALUE"""),0.5)</f>
        <v>0.5</v>
      </c>
      <c r="L3125" s="324" t="str">
        <f>IFERROR(__xludf.DUMMYFUNCTION("""COMPUTED_VALUE"""),"-")</f>
        <v>-</v>
      </c>
    </row>
    <row r="3126">
      <c r="A3126" s="324" t="str">
        <f>IFERROR(__xludf.DUMMYFUNCTION("""COMPUTED_VALUE"""),"TNA-CLT-016")</f>
        <v>TNA-CLT-016</v>
      </c>
      <c r="B3126" s="478" t="str">
        <f>IFERROR(__xludf.DUMMYFUNCTION("""COMPUTED_VALUE"""),"Xe Clethon")</f>
        <v>Xe Clethon</v>
      </c>
      <c r="C3126" s="324"/>
      <c r="D3126" s="324"/>
      <c r="E3126" s="324"/>
      <c r="F3126" s="324"/>
      <c r="G3126" s="324"/>
      <c r="H3126" s="324" t="str">
        <f>IFERROR(__xludf.DUMMYFUNCTION("""COMPUTED_VALUE"""),"15HP")</f>
        <v>15HP</v>
      </c>
      <c r="I3126" s="324"/>
      <c r="J3126" s="324"/>
      <c r="K3126" s="324">
        <f>IFERROR(__xludf.DUMMYFUNCTION("""COMPUTED_VALUE"""),0.5)</f>
        <v>0.5</v>
      </c>
      <c r="L3126" s="324" t="str">
        <f>IFERROR(__xludf.DUMMYFUNCTION("""COMPUTED_VALUE"""),"-")</f>
        <v>-</v>
      </c>
    </row>
    <row r="3127">
      <c r="A3127" s="324" t="str">
        <f>IFERROR(__xludf.DUMMYFUNCTION("""COMPUTED_VALUE"""),"TNA-CLT-017")</f>
        <v>TNA-CLT-017</v>
      </c>
      <c r="B3127" s="478" t="str">
        <f>IFERROR(__xludf.DUMMYFUNCTION("""COMPUTED_VALUE"""),"Xe Clethon")</f>
        <v>Xe Clethon</v>
      </c>
      <c r="C3127" s="324"/>
      <c r="D3127" s="324"/>
      <c r="E3127" s="324"/>
      <c r="F3127" s="324"/>
      <c r="G3127" s="324"/>
      <c r="H3127" s="324" t="str">
        <f>IFERROR(__xludf.DUMMYFUNCTION("""COMPUTED_VALUE"""),"15HP")</f>
        <v>15HP</v>
      </c>
      <c r="I3127" s="324"/>
      <c r="J3127" s="324"/>
      <c r="K3127" s="324">
        <f>IFERROR(__xludf.DUMMYFUNCTION("""COMPUTED_VALUE"""),0.5)</f>
        <v>0.5</v>
      </c>
      <c r="L3127" s="324" t="str">
        <f>IFERROR(__xludf.DUMMYFUNCTION("""COMPUTED_VALUE"""),"-")</f>
        <v>-</v>
      </c>
    </row>
    <row r="3128">
      <c r="A3128" s="324" t="str">
        <f>IFERROR(__xludf.DUMMYFUNCTION("""COMPUTED_VALUE"""),"TNA-CLT-018")</f>
        <v>TNA-CLT-018</v>
      </c>
      <c r="B3128" s="478" t="str">
        <f>IFERROR(__xludf.DUMMYFUNCTION("""COMPUTED_VALUE"""),"Xe Clethon")</f>
        <v>Xe Clethon</v>
      </c>
      <c r="C3128" s="324"/>
      <c r="D3128" s="324"/>
      <c r="E3128" s="324"/>
      <c r="F3128" s="324"/>
      <c r="G3128" s="324"/>
      <c r="H3128" s="324" t="str">
        <f>IFERROR(__xludf.DUMMYFUNCTION("""COMPUTED_VALUE"""),"15HP")</f>
        <v>15HP</v>
      </c>
      <c r="I3128" s="324"/>
      <c r="J3128" s="324"/>
      <c r="K3128" s="324">
        <f>IFERROR(__xludf.DUMMYFUNCTION("""COMPUTED_VALUE"""),0.5)</f>
        <v>0.5</v>
      </c>
      <c r="L3128" s="324" t="str">
        <f>IFERROR(__xludf.DUMMYFUNCTION("""COMPUTED_VALUE"""),"-")</f>
        <v>-</v>
      </c>
    </row>
    <row r="3129">
      <c r="A3129" s="324" t="str">
        <f>IFERROR(__xludf.DUMMYFUNCTION("""COMPUTED_VALUE"""),"TNA-CLT-021")</f>
        <v>TNA-CLT-021</v>
      </c>
      <c r="B3129" s="478" t="str">
        <f>IFERROR(__xludf.DUMMYFUNCTION("""COMPUTED_VALUE"""),"Xe Clethon")</f>
        <v>Xe Clethon</v>
      </c>
      <c r="C3129" s="324"/>
      <c r="D3129" s="324"/>
      <c r="E3129" s="324"/>
      <c r="F3129" s="324"/>
      <c r="G3129" s="324"/>
      <c r="H3129" s="324" t="str">
        <f>IFERROR(__xludf.DUMMYFUNCTION("""COMPUTED_VALUE"""),"15HP")</f>
        <v>15HP</v>
      </c>
      <c r="I3129" s="324"/>
      <c r="J3129" s="324"/>
      <c r="K3129" s="324">
        <f>IFERROR(__xludf.DUMMYFUNCTION("""COMPUTED_VALUE"""),0.5)</f>
        <v>0.5</v>
      </c>
      <c r="L3129" s="324" t="str">
        <f>IFERROR(__xludf.DUMMYFUNCTION("""COMPUTED_VALUE"""),"-")</f>
        <v>-</v>
      </c>
    </row>
    <row r="3130">
      <c r="A3130" s="324" t="str">
        <f>IFERROR(__xludf.DUMMYFUNCTION("""COMPUTED_VALUE"""),"TNA-CLT-022")</f>
        <v>TNA-CLT-022</v>
      </c>
      <c r="B3130" s="478" t="str">
        <f>IFERROR(__xludf.DUMMYFUNCTION("""COMPUTED_VALUE"""),"Xe Clethon")</f>
        <v>Xe Clethon</v>
      </c>
      <c r="C3130" s="324"/>
      <c r="D3130" s="324"/>
      <c r="E3130" s="324"/>
      <c r="F3130" s="324"/>
      <c r="G3130" s="324"/>
      <c r="H3130" s="324" t="str">
        <f>IFERROR(__xludf.DUMMYFUNCTION("""COMPUTED_VALUE"""),"15HP")</f>
        <v>15HP</v>
      </c>
      <c r="I3130" s="324"/>
      <c r="J3130" s="324"/>
      <c r="K3130" s="324">
        <f>IFERROR(__xludf.DUMMYFUNCTION("""COMPUTED_VALUE"""),0.5)</f>
        <v>0.5</v>
      </c>
      <c r="L3130" s="324" t="str">
        <f>IFERROR(__xludf.DUMMYFUNCTION("""COMPUTED_VALUE"""),"-")</f>
        <v>-</v>
      </c>
    </row>
    <row r="3131">
      <c r="A3131" s="324" t="str">
        <f>IFERROR(__xludf.DUMMYFUNCTION("""COMPUTED_VALUE"""),"TNA-CLT-023")</f>
        <v>TNA-CLT-023</v>
      </c>
      <c r="B3131" s="478" t="str">
        <f>IFERROR(__xludf.DUMMYFUNCTION("""COMPUTED_VALUE"""),"Xe Clethon")</f>
        <v>Xe Clethon</v>
      </c>
      <c r="C3131" s="324"/>
      <c r="D3131" s="324"/>
      <c r="E3131" s="324"/>
      <c r="F3131" s="324"/>
      <c r="G3131" s="324"/>
      <c r="H3131" s="324" t="str">
        <f>IFERROR(__xludf.DUMMYFUNCTION("""COMPUTED_VALUE"""),"15HP")</f>
        <v>15HP</v>
      </c>
      <c r="I3131" s="324"/>
      <c r="J3131" s="324"/>
      <c r="K3131" s="324">
        <f>IFERROR(__xludf.DUMMYFUNCTION("""COMPUTED_VALUE"""),0.5)</f>
        <v>0.5</v>
      </c>
      <c r="L3131" s="324" t="str">
        <f>IFERROR(__xludf.DUMMYFUNCTION("""COMPUTED_VALUE"""),"-")</f>
        <v>-</v>
      </c>
    </row>
    <row r="3132">
      <c r="A3132" s="324" t="str">
        <f>IFERROR(__xludf.DUMMYFUNCTION("""COMPUTED_VALUE"""),"TNA-CLT-024")</f>
        <v>TNA-CLT-024</v>
      </c>
      <c r="B3132" s="478" t="str">
        <f>IFERROR(__xludf.DUMMYFUNCTION("""COMPUTED_VALUE"""),"Xe Clethon")</f>
        <v>Xe Clethon</v>
      </c>
      <c r="C3132" s="324"/>
      <c r="D3132" s="324"/>
      <c r="E3132" s="324"/>
      <c r="F3132" s="324"/>
      <c r="G3132" s="324"/>
      <c r="H3132" s="324" t="str">
        <f>IFERROR(__xludf.DUMMYFUNCTION("""COMPUTED_VALUE"""),"15HP")</f>
        <v>15HP</v>
      </c>
      <c r="I3132" s="324"/>
      <c r="J3132" s="324"/>
      <c r="K3132" s="324">
        <f>IFERROR(__xludf.DUMMYFUNCTION("""COMPUTED_VALUE"""),0.5)</f>
        <v>0.5</v>
      </c>
      <c r="L3132" s="324" t="str">
        <f>IFERROR(__xludf.DUMMYFUNCTION("""COMPUTED_VALUE"""),"-")</f>
        <v>-</v>
      </c>
    </row>
    <row r="3133">
      <c r="A3133" s="324" t="str">
        <f>IFERROR(__xludf.DUMMYFUNCTION("""COMPUTED_VALUE"""),"TNA-CLT-025")</f>
        <v>TNA-CLT-025</v>
      </c>
      <c r="B3133" s="478" t="str">
        <f>IFERROR(__xludf.DUMMYFUNCTION("""COMPUTED_VALUE"""),"Xe Clethon")</f>
        <v>Xe Clethon</v>
      </c>
      <c r="C3133" s="324"/>
      <c r="D3133" s="324"/>
      <c r="E3133" s="324"/>
      <c r="F3133" s="324"/>
      <c r="G3133" s="324"/>
      <c r="H3133" s="324" t="str">
        <f>IFERROR(__xludf.DUMMYFUNCTION("""COMPUTED_VALUE"""),"15HP")</f>
        <v>15HP</v>
      </c>
      <c r="I3133" s="324"/>
      <c r="J3133" s="324"/>
      <c r="K3133" s="324">
        <f>IFERROR(__xludf.DUMMYFUNCTION("""COMPUTED_VALUE"""),0.5)</f>
        <v>0.5</v>
      </c>
      <c r="L3133" s="324" t="str">
        <f>IFERROR(__xludf.DUMMYFUNCTION("""COMPUTED_VALUE"""),"-")</f>
        <v>-</v>
      </c>
    </row>
    <row r="3134">
      <c r="A3134" s="324" t="str">
        <f>IFERROR(__xludf.DUMMYFUNCTION("""COMPUTED_VALUE"""),"TNA-CLT-026")</f>
        <v>TNA-CLT-026</v>
      </c>
      <c r="B3134" s="478" t="str">
        <f>IFERROR(__xludf.DUMMYFUNCTION("""COMPUTED_VALUE"""),"Xe Clethon")</f>
        <v>Xe Clethon</v>
      </c>
      <c r="C3134" s="324"/>
      <c r="D3134" s="324"/>
      <c r="E3134" s="324"/>
      <c r="F3134" s="324"/>
      <c r="G3134" s="324"/>
      <c r="H3134" s="324" t="str">
        <f>IFERROR(__xludf.DUMMYFUNCTION("""COMPUTED_VALUE"""),"15HP")</f>
        <v>15HP</v>
      </c>
      <c r="I3134" s="324"/>
      <c r="J3134" s="324"/>
      <c r="K3134" s="324">
        <f>IFERROR(__xludf.DUMMYFUNCTION("""COMPUTED_VALUE"""),0.5)</f>
        <v>0.5</v>
      </c>
      <c r="L3134" s="324" t="str">
        <f>IFERROR(__xludf.DUMMYFUNCTION("""COMPUTED_VALUE"""),"-")</f>
        <v>-</v>
      </c>
    </row>
    <row r="3135">
      <c r="A3135" s="324" t="str">
        <f>IFERROR(__xludf.DUMMYFUNCTION("""COMPUTED_VALUE"""),"TNA-CLT-027")</f>
        <v>TNA-CLT-027</v>
      </c>
      <c r="B3135" s="478" t="str">
        <f>IFERROR(__xludf.DUMMYFUNCTION("""COMPUTED_VALUE"""),"Xe Clethon")</f>
        <v>Xe Clethon</v>
      </c>
      <c r="C3135" s="324"/>
      <c r="D3135" s="324"/>
      <c r="E3135" s="324"/>
      <c r="F3135" s="324"/>
      <c r="G3135" s="324"/>
      <c r="H3135" s="324" t="str">
        <f>IFERROR(__xludf.DUMMYFUNCTION("""COMPUTED_VALUE"""),"15HP")</f>
        <v>15HP</v>
      </c>
      <c r="I3135" s="324"/>
      <c r="J3135" s="324"/>
      <c r="K3135" s="324">
        <f>IFERROR(__xludf.DUMMYFUNCTION("""COMPUTED_VALUE"""),0.5)</f>
        <v>0.5</v>
      </c>
      <c r="L3135" s="324" t="str">
        <f>IFERROR(__xludf.DUMMYFUNCTION("""COMPUTED_VALUE"""),"-")</f>
        <v>-</v>
      </c>
    </row>
    <row r="3136">
      <c r="A3136" s="324" t="str">
        <f>IFERROR(__xludf.DUMMYFUNCTION("""COMPUTED_VALUE"""),"XÍ NGHIỆP BÒ")</f>
        <v>XÍ NGHIỆP BÒ</v>
      </c>
      <c r="B3136" s="478"/>
      <c r="C3136" s="324"/>
      <c r="D3136" s="324"/>
      <c r="E3136" s="324"/>
      <c r="F3136" s="324"/>
      <c r="G3136" s="324"/>
      <c r="H3136" s="324"/>
      <c r="I3136" s="324"/>
      <c r="J3136" s="324"/>
      <c r="K3136" s="324">
        <f>IFERROR(__xludf.DUMMYFUNCTION("""COMPUTED_VALUE"""),0.5)</f>
        <v>0.5</v>
      </c>
      <c r="L3136" s="324" t="str">
        <f>IFERROR(__xludf.DUMMYFUNCTION("""COMPUTED_VALUE"""),"-")</f>
        <v>-</v>
      </c>
    </row>
    <row r="3137">
      <c r="A3137" s="324" t="str">
        <f>IFERROR(__xludf.DUMMYFUNCTION("""COMPUTED_VALUE"""),"TNA-CLT-023")</f>
        <v>TNA-CLT-023</v>
      </c>
      <c r="B3137" s="478" t="str">
        <f>IFERROR(__xludf.DUMMYFUNCTION("""COMPUTED_VALUE"""),"Xe Clethon")</f>
        <v>Xe Clethon</v>
      </c>
      <c r="C3137" s="324"/>
      <c r="D3137" s="324"/>
      <c r="E3137" s="324"/>
      <c r="F3137" s="324"/>
      <c r="G3137" s="324"/>
      <c r="H3137" s="324" t="str">
        <f>IFERROR(__xludf.DUMMYFUNCTION("""COMPUTED_VALUE"""),"15HP")</f>
        <v>15HP</v>
      </c>
      <c r="I3137" s="324"/>
      <c r="J3137" s="324"/>
      <c r="K3137" s="324">
        <f>IFERROR(__xludf.DUMMYFUNCTION("""COMPUTED_VALUE"""),0.5)</f>
        <v>0.5</v>
      </c>
      <c r="L3137" s="324" t="str">
        <f>IFERROR(__xludf.DUMMYFUNCTION("""COMPUTED_VALUE"""),"-")</f>
        <v>-</v>
      </c>
    </row>
    <row r="3138">
      <c r="A3138" s="324" t="str">
        <f>IFERROR(__xludf.DUMMYFUNCTION("""COMPUTED_VALUE"""),"TNA-CLT-024")</f>
        <v>TNA-CLT-024</v>
      </c>
      <c r="B3138" s="478" t="str">
        <f>IFERROR(__xludf.DUMMYFUNCTION("""COMPUTED_VALUE"""),"Xe Clethon")</f>
        <v>Xe Clethon</v>
      </c>
      <c r="C3138" s="324"/>
      <c r="D3138" s="324"/>
      <c r="E3138" s="324"/>
      <c r="F3138" s="324"/>
      <c r="G3138" s="324"/>
      <c r="H3138" s="324" t="str">
        <f>IFERROR(__xludf.DUMMYFUNCTION("""COMPUTED_VALUE"""),"15HP")</f>
        <v>15HP</v>
      </c>
      <c r="I3138" s="324"/>
      <c r="J3138" s="324"/>
      <c r="K3138" s="324">
        <f>IFERROR(__xludf.DUMMYFUNCTION("""COMPUTED_VALUE"""),0.5)</f>
        <v>0.5</v>
      </c>
      <c r="L3138" s="324" t="str">
        <f>IFERROR(__xludf.DUMMYFUNCTION("""COMPUTED_VALUE"""),"-")</f>
        <v>-</v>
      </c>
    </row>
    <row r="3139">
      <c r="A3139" s="324" t="str">
        <f>IFERROR(__xludf.DUMMYFUNCTION("""COMPUTED_VALUE"""),"TNA-CLT-025")</f>
        <v>TNA-CLT-025</v>
      </c>
      <c r="B3139" s="478" t="str">
        <f>IFERROR(__xludf.DUMMYFUNCTION("""COMPUTED_VALUE"""),"Xe Clethon")</f>
        <v>Xe Clethon</v>
      </c>
      <c r="C3139" s="324"/>
      <c r="D3139" s="324"/>
      <c r="E3139" s="324"/>
      <c r="F3139" s="324"/>
      <c r="G3139" s="324"/>
      <c r="H3139" s="324" t="str">
        <f>IFERROR(__xludf.DUMMYFUNCTION("""COMPUTED_VALUE"""),"15HP")</f>
        <v>15HP</v>
      </c>
      <c r="I3139" s="324"/>
      <c r="J3139" s="324"/>
      <c r="K3139" s="324">
        <f>IFERROR(__xludf.DUMMYFUNCTION("""COMPUTED_VALUE"""),0.5)</f>
        <v>0.5</v>
      </c>
      <c r="L3139" s="324" t="str">
        <f>IFERROR(__xludf.DUMMYFUNCTION("""COMPUTED_VALUE"""),"-")</f>
        <v>-</v>
      </c>
    </row>
    <row r="3140">
      <c r="A3140" s="324" t="str">
        <f>IFERROR(__xludf.DUMMYFUNCTION("""COMPUTED_VALUE"""),"TNA-CLT-026")</f>
        <v>TNA-CLT-026</v>
      </c>
      <c r="B3140" s="478" t="str">
        <f>IFERROR(__xludf.DUMMYFUNCTION("""COMPUTED_VALUE"""),"Xe Clethon")</f>
        <v>Xe Clethon</v>
      </c>
      <c r="C3140" s="324"/>
      <c r="D3140" s="324"/>
      <c r="E3140" s="324"/>
      <c r="F3140" s="324"/>
      <c r="G3140" s="324"/>
      <c r="H3140" s="324" t="str">
        <f>IFERROR(__xludf.DUMMYFUNCTION("""COMPUTED_VALUE"""),"15HP")</f>
        <v>15HP</v>
      </c>
      <c r="I3140" s="324"/>
      <c r="J3140" s="324"/>
      <c r="K3140" s="324">
        <f>IFERROR(__xludf.DUMMYFUNCTION("""COMPUTED_VALUE"""),0.5)</f>
        <v>0.5</v>
      </c>
      <c r="L3140" s="324" t="str">
        <f>IFERROR(__xludf.DUMMYFUNCTION("""COMPUTED_VALUE"""),"-")</f>
        <v>-</v>
      </c>
    </row>
    <row r="3141">
      <c r="A3141" s="324" t="str">
        <f>IFERROR(__xludf.DUMMYFUNCTION("""COMPUTED_VALUE"""),"TNA-CLT-027")</f>
        <v>TNA-CLT-027</v>
      </c>
      <c r="B3141" s="478" t="str">
        <f>IFERROR(__xludf.DUMMYFUNCTION("""COMPUTED_VALUE"""),"Xe Clethon")</f>
        <v>Xe Clethon</v>
      </c>
      <c r="C3141" s="324"/>
      <c r="D3141" s="324"/>
      <c r="E3141" s="324"/>
      <c r="F3141" s="324"/>
      <c r="G3141" s="324"/>
      <c r="H3141" s="324" t="str">
        <f>IFERROR(__xludf.DUMMYFUNCTION("""COMPUTED_VALUE"""),"15HP")</f>
        <v>15HP</v>
      </c>
      <c r="I3141" s="324"/>
      <c r="J3141" s="324"/>
      <c r="K3141" s="324">
        <f>IFERROR(__xludf.DUMMYFUNCTION("""COMPUTED_VALUE"""),0.5)</f>
        <v>0.5</v>
      </c>
      <c r="L3141" s="324" t="str">
        <f>IFERROR(__xludf.DUMMYFUNCTION("""COMPUTED_VALUE"""),"-")</f>
        <v>-</v>
      </c>
    </row>
    <row r="3142">
      <c r="A3142" s="324" t="str">
        <f>IFERROR(__xludf.DUMMYFUNCTION("""COMPUTED_VALUE"""),"TNA-CLT-028")</f>
        <v>TNA-CLT-028</v>
      </c>
      <c r="B3142" s="478" t="str">
        <f>IFERROR(__xludf.DUMMYFUNCTION("""COMPUTED_VALUE"""),"Xe Clethon")</f>
        <v>Xe Clethon</v>
      </c>
      <c r="C3142" s="324"/>
      <c r="D3142" s="324"/>
      <c r="E3142" s="324"/>
      <c r="F3142" s="324"/>
      <c r="G3142" s="324"/>
      <c r="H3142" s="324" t="str">
        <f>IFERROR(__xludf.DUMMYFUNCTION("""COMPUTED_VALUE"""),"15HP")</f>
        <v>15HP</v>
      </c>
      <c r="I3142" s="324"/>
      <c r="J3142" s="324"/>
      <c r="K3142" s="324">
        <f>IFERROR(__xludf.DUMMYFUNCTION("""COMPUTED_VALUE"""),0.5)</f>
        <v>0.5</v>
      </c>
      <c r="L3142" s="324" t="str">
        <f>IFERROR(__xludf.DUMMYFUNCTION("""COMPUTED_VALUE"""),"-")</f>
        <v>-</v>
      </c>
    </row>
    <row r="3143">
      <c r="A3143" s="324" t="str">
        <f>IFERROR(__xludf.DUMMYFUNCTION("""COMPUTED_VALUE"""),"TNA-CLT-029")</f>
        <v>TNA-CLT-029</v>
      </c>
      <c r="B3143" s="478" t="str">
        <f>IFERROR(__xludf.DUMMYFUNCTION("""COMPUTED_VALUE"""),"Xe Clethon")</f>
        <v>Xe Clethon</v>
      </c>
      <c r="C3143" s="324"/>
      <c r="D3143" s="324"/>
      <c r="E3143" s="324"/>
      <c r="F3143" s="324"/>
      <c r="G3143" s="324"/>
      <c r="H3143" s="324" t="str">
        <f>IFERROR(__xludf.DUMMYFUNCTION("""COMPUTED_VALUE"""),"15HP")</f>
        <v>15HP</v>
      </c>
      <c r="I3143" s="324"/>
      <c r="J3143" s="324"/>
      <c r="K3143" s="324">
        <f>IFERROR(__xludf.DUMMYFUNCTION("""COMPUTED_VALUE"""),0.5)</f>
        <v>0.5</v>
      </c>
      <c r="L3143" s="324" t="str">
        <f>IFERROR(__xludf.DUMMYFUNCTION("""COMPUTED_VALUE"""),"-")</f>
        <v>-</v>
      </c>
    </row>
    <row r="3144">
      <c r="A3144" s="324" t="str">
        <f>IFERROR(__xludf.DUMMYFUNCTION("""COMPUTED_VALUE"""),"TNA-CLT-030")</f>
        <v>TNA-CLT-030</v>
      </c>
      <c r="B3144" s="478" t="str">
        <f>IFERROR(__xludf.DUMMYFUNCTION("""COMPUTED_VALUE"""),"Xe Clethon")</f>
        <v>Xe Clethon</v>
      </c>
      <c r="C3144" s="324"/>
      <c r="D3144" s="324"/>
      <c r="E3144" s="324"/>
      <c r="F3144" s="324"/>
      <c r="G3144" s="324"/>
      <c r="H3144" s="324" t="str">
        <f>IFERROR(__xludf.DUMMYFUNCTION("""COMPUTED_VALUE"""),"15HP")</f>
        <v>15HP</v>
      </c>
      <c r="I3144" s="324"/>
      <c r="J3144" s="324"/>
      <c r="K3144" s="324">
        <f>IFERROR(__xludf.DUMMYFUNCTION("""COMPUTED_VALUE"""),0.5)</f>
        <v>0.5</v>
      </c>
      <c r="L3144" s="324" t="str">
        <f>IFERROR(__xludf.DUMMYFUNCTION("""COMPUTED_VALUE"""),"-")</f>
        <v>-</v>
      </c>
    </row>
    <row r="3145">
      <c r="A3145" s="324" t="str">
        <f>IFERROR(__xludf.DUMMYFUNCTION("""COMPUTED_VALUE"""),"TNA-CLT-032")</f>
        <v>TNA-CLT-032</v>
      </c>
      <c r="B3145" s="478" t="str">
        <f>IFERROR(__xludf.DUMMYFUNCTION("""COMPUTED_VALUE"""),"Xe Clethon")</f>
        <v>Xe Clethon</v>
      </c>
      <c r="C3145" s="324"/>
      <c r="D3145" s="324"/>
      <c r="E3145" s="324"/>
      <c r="F3145" s="324"/>
      <c r="G3145" s="324"/>
      <c r="H3145" s="324" t="str">
        <f>IFERROR(__xludf.DUMMYFUNCTION("""COMPUTED_VALUE"""),"15HP")</f>
        <v>15HP</v>
      </c>
      <c r="I3145" s="324" t="str">
        <f>IFERROR(__xludf.DUMMYFUNCTION("""COMPUTED_VALUE"""),"R1A2331-21100")</f>
        <v>R1A2331-21100</v>
      </c>
      <c r="J3145" s="324"/>
      <c r="K3145" s="324">
        <f>IFERROR(__xludf.DUMMYFUNCTION("""COMPUTED_VALUE"""),0.5)</f>
        <v>0.5</v>
      </c>
      <c r="L3145" s="324" t="str">
        <f>IFERROR(__xludf.DUMMYFUNCTION("""COMPUTED_VALUE"""),"-")</f>
        <v>-</v>
      </c>
    </row>
    <row r="3146">
      <c r="A3146" s="324" t="str">
        <f>IFERROR(__xludf.DUMMYFUNCTION("""COMPUTED_VALUE"""),"NT BƯỞI (BÒ BƯỞI)")</f>
        <v>NT BƯỞI (BÒ BƯỞI)</v>
      </c>
      <c r="B3146" s="478"/>
      <c r="C3146" s="324"/>
      <c r="D3146" s="324"/>
      <c r="E3146" s="324"/>
      <c r="F3146" s="324"/>
      <c r="G3146" s="324"/>
      <c r="H3146" s="324"/>
      <c r="I3146" s="324"/>
      <c r="J3146" s="324"/>
      <c r="K3146" s="324">
        <f>IFERROR(__xludf.DUMMYFUNCTION("""COMPUTED_VALUE"""),0.5)</f>
        <v>0.5</v>
      </c>
      <c r="L3146" s="324" t="str">
        <f>IFERROR(__xludf.DUMMYFUNCTION("""COMPUTED_VALUE"""),"-")</f>
        <v>-</v>
      </c>
    </row>
    <row r="3147">
      <c r="A3147" s="324" t="str">
        <f>IFERROR(__xludf.DUMMYFUNCTION("""COMPUTED_VALUE"""),"TNA-CLT-031")</f>
        <v>TNA-CLT-031</v>
      </c>
      <c r="B3147" s="478" t="str">
        <f>IFERROR(__xludf.DUMMYFUNCTION("""COMPUTED_VALUE"""),"Xe Clethon")</f>
        <v>Xe Clethon</v>
      </c>
      <c r="C3147" s="324"/>
      <c r="D3147" s="324"/>
      <c r="E3147" s="324"/>
      <c r="F3147" s="324"/>
      <c r="G3147" s="324"/>
      <c r="H3147" s="324" t="str">
        <f>IFERROR(__xludf.DUMMYFUNCTION("""COMPUTED_VALUE"""),"15HP")</f>
        <v>15HP</v>
      </c>
      <c r="I3147" s="324" t="str">
        <f>IFERROR(__xludf.DUMMYFUNCTION("""COMPUTED_VALUE"""),"ZT120-109154")</f>
        <v>ZT120-109154</v>
      </c>
      <c r="J3147" s="324"/>
      <c r="K3147" s="324">
        <f>IFERROR(__xludf.DUMMYFUNCTION("""COMPUTED_VALUE"""),0.5)</f>
        <v>0.5</v>
      </c>
      <c r="L3147" s="324" t="str">
        <f>IFERROR(__xludf.DUMMYFUNCTION("""COMPUTED_VALUE"""),"-")</f>
        <v>-</v>
      </c>
    </row>
    <row r="3148">
      <c r="A3148" s="324"/>
      <c r="B3148" s="478"/>
      <c r="C3148" s="324"/>
      <c r="D3148" s="324"/>
      <c r="E3148" s="324"/>
      <c r="F3148" s="324"/>
      <c r="G3148" s="324"/>
      <c r="H3148" s="324"/>
      <c r="I3148" s="324"/>
      <c r="J3148" s="324"/>
      <c r="K3148" s="324"/>
      <c r="L3148" s="324"/>
    </row>
    <row r="3149">
      <c r="A3149" s="324"/>
      <c r="B3149" s="478"/>
      <c r="C3149" s="324"/>
      <c r="D3149" s="324"/>
      <c r="E3149" s="324"/>
      <c r="F3149" s="324"/>
      <c r="G3149" s="324"/>
      <c r="H3149" s="324"/>
      <c r="I3149" s="324"/>
      <c r="J3149" s="324"/>
      <c r="K3149" s="324"/>
      <c r="L3149" s="324"/>
    </row>
    <row r="3150">
      <c r="A3150" s="324"/>
      <c r="B3150" s="478"/>
      <c r="C3150" s="324"/>
      <c r="D3150" s="324"/>
      <c r="E3150" s="324"/>
      <c r="F3150" s="324"/>
      <c r="G3150" s="324"/>
      <c r="H3150" s="324"/>
      <c r="I3150" s="324"/>
      <c r="J3150" s="324"/>
      <c r="K3150" s="324"/>
      <c r="L3150" s="324"/>
    </row>
    <row r="3151">
      <c r="A3151" s="324"/>
      <c r="B3151" s="478"/>
      <c r="C3151" s="324"/>
      <c r="D3151" s="324"/>
      <c r="E3151" s="324"/>
      <c r="F3151" s="324"/>
      <c r="G3151" s="324"/>
      <c r="H3151" s="324"/>
      <c r="I3151" s="324"/>
      <c r="J3151" s="324"/>
      <c r="K3151" s="324"/>
      <c r="L3151" s="324"/>
    </row>
    <row r="3152">
      <c r="A3152" s="324"/>
      <c r="B3152" s="478"/>
      <c r="C3152" s="324"/>
      <c r="D3152" s="324"/>
      <c r="E3152" s="324"/>
      <c r="F3152" s="324"/>
      <c r="G3152" s="324"/>
      <c r="H3152" s="324"/>
      <c r="I3152" s="324"/>
      <c r="J3152" s="324"/>
      <c r="K3152" s="324"/>
      <c r="L3152" s="324"/>
    </row>
    <row r="3153">
      <c r="A3153" s="324"/>
      <c r="B3153" s="478"/>
      <c r="C3153" s="324"/>
      <c r="D3153" s="324"/>
      <c r="E3153" s="324"/>
      <c r="F3153" s="324"/>
      <c r="G3153" s="324"/>
      <c r="H3153" s="324"/>
      <c r="I3153" s="324"/>
      <c r="J3153" s="324"/>
      <c r="K3153" s="324"/>
      <c r="L3153" s="324"/>
    </row>
    <row r="3154">
      <c r="A3154" s="324"/>
      <c r="B3154" s="478"/>
      <c r="C3154" s="324"/>
      <c r="D3154" s="324"/>
      <c r="E3154" s="324"/>
      <c r="F3154" s="324"/>
      <c r="G3154" s="324"/>
      <c r="H3154" s="324"/>
      <c r="I3154" s="324"/>
      <c r="J3154" s="324"/>
      <c r="K3154" s="324"/>
      <c r="L3154" s="324"/>
    </row>
    <row r="3155">
      <c r="A3155" s="324"/>
      <c r="B3155" s="478"/>
      <c r="C3155" s="324"/>
      <c r="D3155" s="324"/>
      <c r="E3155" s="324"/>
      <c r="F3155" s="324"/>
      <c r="G3155" s="324"/>
      <c r="H3155" s="324"/>
      <c r="I3155" s="324"/>
      <c r="J3155" s="324"/>
      <c r="K3155" s="324"/>
      <c r="L3155" s="324"/>
    </row>
    <row r="3156">
      <c r="A3156" s="324"/>
      <c r="B3156" s="478"/>
      <c r="C3156" s="324"/>
      <c r="D3156" s="324"/>
      <c r="E3156" s="324"/>
      <c r="F3156" s="324"/>
      <c r="G3156" s="324"/>
      <c r="H3156" s="324"/>
      <c r="I3156" s="324"/>
      <c r="J3156" s="324"/>
      <c r="K3156" s="324"/>
      <c r="L3156" s="324"/>
    </row>
    <row r="3157">
      <c r="A3157" s="324"/>
      <c r="B3157" s="478"/>
      <c r="C3157" s="324"/>
      <c r="D3157" s="324"/>
      <c r="E3157" s="324"/>
      <c r="F3157" s="324"/>
      <c r="G3157" s="324"/>
      <c r="H3157" s="324"/>
      <c r="I3157" s="324"/>
      <c r="J3157" s="324"/>
      <c r="K3157" s="324"/>
      <c r="L3157" s="324"/>
    </row>
    <row r="3158">
      <c r="A3158" s="324"/>
      <c r="B3158" s="478"/>
      <c r="C3158" s="324"/>
      <c r="D3158" s="324"/>
      <c r="E3158" s="324"/>
      <c r="F3158" s="324"/>
      <c r="G3158" s="324"/>
      <c r="H3158" s="324"/>
      <c r="I3158" s="324"/>
      <c r="J3158" s="324"/>
      <c r="K3158" s="324"/>
      <c r="L3158" s="324"/>
    </row>
    <row r="3159">
      <c r="A3159" s="324"/>
      <c r="B3159" s="478"/>
      <c r="C3159" s="324"/>
      <c r="D3159" s="324"/>
      <c r="E3159" s="324"/>
      <c r="F3159" s="324"/>
      <c r="G3159" s="324"/>
      <c r="H3159" s="324"/>
      <c r="I3159" s="324"/>
      <c r="J3159" s="324"/>
      <c r="K3159" s="324"/>
      <c r="L3159" s="324"/>
    </row>
    <row r="3160">
      <c r="A3160" s="324"/>
      <c r="B3160" s="478"/>
      <c r="C3160" s="324"/>
      <c r="D3160" s="324"/>
      <c r="E3160" s="324"/>
      <c r="F3160" s="324"/>
      <c r="G3160" s="324"/>
      <c r="H3160" s="324"/>
      <c r="I3160" s="324"/>
      <c r="J3160" s="324"/>
      <c r="K3160" s="324"/>
      <c r="L3160" s="324"/>
    </row>
    <row r="3161">
      <c r="A3161" s="324"/>
      <c r="B3161" s="478"/>
      <c r="C3161" s="324"/>
      <c r="D3161" s="324"/>
      <c r="E3161" s="324"/>
      <c r="F3161" s="324"/>
      <c r="G3161" s="324"/>
      <c r="H3161" s="324"/>
      <c r="I3161" s="324"/>
      <c r="J3161" s="324"/>
      <c r="K3161" s="324"/>
      <c r="L3161" s="324"/>
    </row>
    <row r="3162">
      <c r="A3162" s="324"/>
      <c r="B3162" s="478"/>
      <c r="C3162" s="324"/>
      <c r="D3162" s="324"/>
      <c r="E3162" s="324"/>
      <c r="F3162" s="324"/>
      <c r="G3162" s="324"/>
      <c r="H3162" s="324"/>
      <c r="I3162" s="324"/>
      <c r="J3162" s="324"/>
      <c r="K3162" s="324"/>
      <c r="L3162" s="324"/>
    </row>
    <row r="3163">
      <c r="A3163" s="324"/>
      <c r="B3163" s="478"/>
      <c r="C3163" s="324"/>
      <c r="D3163" s="324"/>
      <c r="E3163" s="324"/>
      <c r="F3163" s="324"/>
      <c r="G3163" s="324"/>
      <c r="H3163" s="324"/>
      <c r="I3163" s="324"/>
      <c r="J3163" s="324"/>
      <c r="K3163" s="324"/>
      <c r="L3163" s="324"/>
    </row>
    <row r="3164">
      <c r="A3164" s="324"/>
      <c r="B3164" s="478"/>
      <c r="C3164" s="324"/>
      <c r="D3164" s="324"/>
      <c r="E3164" s="324"/>
      <c r="F3164" s="324"/>
      <c r="G3164" s="324"/>
      <c r="H3164" s="324"/>
      <c r="I3164" s="324"/>
      <c r="J3164" s="324"/>
      <c r="K3164" s="324"/>
      <c r="L3164" s="324"/>
    </row>
    <row r="3165">
      <c r="A3165" s="324"/>
      <c r="B3165" s="478"/>
      <c r="C3165" s="324"/>
      <c r="D3165" s="324"/>
      <c r="E3165" s="324"/>
      <c r="F3165" s="324"/>
      <c r="G3165" s="324"/>
      <c r="H3165" s="324"/>
      <c r="I3165" s="324"/>
      <c r="J3165" s="324"/>
      <c r="K3165" s="324"/>
      <c r="L3165" s="324"/>
    </row>
    <row r="3166">
      <c r="A3166" s="324"/>
      <c r="B3166" s="478"/>
      <c r="C3166" s="324"/>
      <c r="D3166" s="324"/>
      <c r="E3166" s="324"/>
      <c r="F3166" s="324"/>
      <c r="G3166" s="324"/>
      <c r="H3166" s="324"/>
      <c r="I3166" s="324"/>
      <c r="J3166" s="324"/>
      <c r="K3166" s="324"/>
      <c r="L3166" s="324"/>
    </row>
    <row r="3167">
      <c r="A3167" s="324"/>
      <c r="B3167" s="478"/>
      <c r="C3167" s="324"/>
      <c r="D3167" s="324"/>
      <c r="E3167" s="324"/>
      <c r="F3167" s="324"/>
      <c r="G3167" s="324"/>
      <c r="H3167" s="324"/>
      <c r="I3167" s="324"/>
      <c r="J3167" s="324"/>
      <c r="K3167" s="324"/>
      <c r="L3167" s="324"/>
    </row>
    <row r="3168">
      <c r="A3168" s="324"/>
      <c r="B3168" s="478"/>
      <c r="C3168" s="324"/>
      <c r="D3168" s="324"/>
      <c r="E3168" s="324"/>
      <c r="F3168" s="324"/>
      <c r="G3168" s="324"/>
      <c r="H3168" s="324"/>
      <c r="I3168" s="324"/>
      <c r="J3168" s="324"/>
      <c r="K3168" s="324"/>
      <c r="L3168" s="324"/>
    </row>
    <row r="3169">
      <c r="A3169" s="324"/>
      <c r="B3169" s="478"/>
      <c r="C3169" s="324"/>
      <c r="D3169" s="324"/>
      <c r="E3169" s="324"/>
      <c r="F3169" s="324"/>
      <c r="G3169" s="324"/>
      <c r="H3169" s="324"/>
      <c r="I3169" s="324"/>
      <c r="J3169" s="324"/>
      <c r="K3169" s="324"/>
      <c r="L3169" s="324"/>
    </row>
    <row r="3170">
      <c r="A3170" s="324"/>
      <c r="B3170" s="478"/>
      <c r="C3170" s="324"/>
      <c r="D3170" s="324"/>
      <c r="E3170" s="324"/>
      <c r="F3170" s="324"/>
      <c r="G3170" s="324"/>
      <c r="H3170" s="324"/>
      <c r="I3170" s="324"/>
      <c r="J3170" s="324"/>
      <c r="K3170" s="324"/>
      <c r="L3170" s="324"/>
    </row>
    <row r="3171">
      <c r="A3171" s="324"/>
      <c r="B3171" s="478"/>
      <c r="C3171" s="324"/>
      <c r="D3171" s="324"/>
      <c r="E3171" s="324"/>
      <c r="F3171" s="324"/>
      <c r="G3171" s="324"/>
      <c r="H3171" s="324"/>
      <c r="I3171" s="324"/>
      <c r="J3171" s="324"/>
      <c r="K3171" s="324"/>
      <c r="L3171" s="324"/>
    </row>
    <row r="3172">
      <c r="A3172" s="324"/>
      <c r="B3172" s="478"/>
      <c r="C3172" s="324"/>
      <c r="D3172" s="324"/>
      <c r="E3172" s="324"/>
      <c r="F3172" s="324"/>
      <c r="G3172" s="324"/>
      <c r="H3172" s="324"/>
      <c r="I3172" s="324"/>
      <c r="J3172" s="324"/>
      <c r="K3172" s="324"/>
      <c r="L3172" s="324"/>
    </row>
    <row r="3173">
      <c r="A3173" s="324"/>
      <c r="B3173" s="478"/>
      <c r="C3173" s="324"/>
      <c r="D3173" s="324"/>
      <c r="E3173" s="324"/>
      <c r="F3173" s="324"/>
      <c r="G3173" s="324"/>
      <c r="H3173" s="324"/>
      <c r="I3173" s="324"/>
      <c r="J3173" s="324"/>
      <c r="K3173" s="324"/>
      <c r="L3173" s="324"/>
    </row>
    <row r="3174">
      <c r="A3174" s="324"/>
      <c r="B3174" s="478"/>
      <c r="C3174" s="324"/>
      <c r="D3174" s="324"/>
      <c r="E3174" s="324"/>
      <c r="F3174" s="324"/>
      <c r="G3174" s="324"/>
      <c r="H3174" s="324"/>
      <c r="I3174" s="324"/>
      <c r="J3174" s="324"/>
      <c r="K3174" s="324"/>
      <c r="L3174" s="324"/>
    </row>
    <row r="3175">
      <c r="A3175" s="324"/>
      <c r="B3175" s="478"/>
      <c r="C3175" s="324"/>
      <c r="D3175" s="324"/>
      <c r="E3175" s="324"/>
      <c r="F3175" s="324"/>
      <c r="G3175" s="324"/>
      <c r="H3175" s="324"/>
      <c r="I3175" s="324"/>
      <c r="J3175" s="324"/>
      <c r="K3175" s="324"/>
      <c r="L3175" s="324"/>
    </row>
    <row r="3176">
      <c r="A3176" s="324"/>
      <c r="B3176" s="478"/>
      <c r="C3176" s="324"/>
      <c r="D3176" s="324"/>
      <c r="E3176" s="324"/>
      <c r="F3176" s="324"/>
      <c r="G3176" s="324"/>
      <c r="H3176" s="324"/>
      <c r="I3176" s="324"/>
      <c r="J3176" s="324"/>
      <c r="K3176" s="324"/>
      <c r="L3176" s="324"/>
    </row>
    <row r="3177">
      <c r="A3177" s="324"/>
      <c r="B3177" s="478"/>
      <c r="C3177" s="324"/>
      <c r="D3177" s="324"/>
      <c r="E3177" s="324"/>
      <c r="F3177" s="324"/>
      <c r="G3177" s="324"/>
      <c r="H3177" s="324"/>
      <c r="I3177" s="324"/>
      <c r="J3177" s="324"/>
      <c r="K3177" s="324"/>
      <c r="L3177" s="324"/>
    </row>
    <row r="3178">
      <c r="A3178" s="324"/>
      <c r="B3178" s="478"/>
      <c r="C3178" s="324"/>
      <c r="D3178" s="324"/>
      <c r="E3178" s="324"/>
      <c r="F3178" s="324"/>
      <c r="G3178" s="324"/>
      <c r="H3178" s="324"/>
      <c r="I3178" s="324"/>
      <c r="J3178" s="324"/>
      <c r="K3178" s="324"/>
      <c r="L3178" s="324"/>
    </row>
    <row r="3179">
      <c r="A3179" s="324"/>
      <c r="B3179" s="478"/>
      <c r="C3179" s="324"/>
      <c r="D3179" s="324"/>
      <c r="E3179" s="324"/>
      <c r="F3179" s="324"/>
      <c r="G3179" s="324"/>
      <c r="H3179" s="324"/>
      <c r="I3179" s="324"/>
      <c r="J3179" s="324"/>
      <c r="K3179" s="324"/>
      <c r="L3179" s="324"/>
    </row>
    <row r="3180">
      <c r="A3180" s="324"/>
      <c r="B3180" s="478"/>
      <c r="C3180" s="324"/>
      <c r="D3180" s="324"/>
      <c r="E3180" s="324"/>
      <c r="F3180" s="324"/>
      <c r="G3180" s="324"/>
      <c r="H3180" s="324"/>
      <c r="I3180" s="324"/>
      <c r="J3180" s="324"/>
      <c r="K3180" s="324"/>
      <c r="L3180" s="324"/>
    </row>
    <row r="3181">
      <c r="A3181" s="324"/>
      <c r="B3181" s="478"/>
      <c r="C3181" s="324"/>
      <c r="D3181" s="324"/>
      <c r="E3181" s="324"/>
      <c r="F3181" s="324"/>
      <c r="G3181" s="324"/>
      <c r="H3181" s="324"/>
      <c r="I3181" s="324"/>
      <c r="J3181" s="324"/>
      <c r="K3181" s="324"/>
      <c r="L3181" s="324"/>
    </row>
    <row r="3182">
      <c r="A3182" s="324"/>
      <c r="B3182" s="478"/>
      <c r="C3182" s="324"/>
      <c r="D3182" s="324"/>
      <c r="E3182" s="324"/>
      <c r="F3182" s="324"/>
      <c r="G3182" s="324"/>
      <c r="H3182" s="324"/>
      <c r="I3182" s="324"/>
      <c r="J3182" s="324"/>
      <c r="K3182" s="324"/>
      <c r="L3182" s="324"/>
    </row>
    <row r="3183">
      <c r="A3183" s="324"/>
      <c r="B3183" s="478"/>
      <c r="C3183" s="324"/>
      <c r="D3183" s="324"/>
      <c r="E3183" s="324"/>
      <c r="F3183" s="324"/>
      <c r="G3183" s="324"/>
      <c r="H3183" s="324"/>
      <c r="I3183" s="324"/>
      <c r="J3183" s="324"/>
      <c r="K3183" s="324"/>
      <c r="L3183" s="324"/>
    </row>
    <row r="3184">
      <c r="A3184" s="324"/>
      <c r="B3184" s="478"/>
      <c r="C3184" s="324"/>
      <c r="D3184" s="324"/>
      <c r="E3184" s="324"/>
      <c r="F3184" s="324"/>
      <c r="G3184" s="324"/>
      <c r="H3184" s="324"/>
      <c r="I3184" s="324"/>
      <c r="J3184" s="324"/>
      <c r="K3184" s="324"/>
      <c r="L3184" s="324"/>
    </row>
    <row r="3185">
      <c r="A3185" s="324"/>
      <c r="B3185" s="478"/>
      <c r="C3185" s="324"/>
      <c r="D3185" s="324"/>
      <c r="E3185" s="324"/>
      <c r="F3185" s="324"/>
      <c r="G3185" s="324"/>
      <c r="H3185" s="324"/>
      <c r="I3185" s="324"/>
      <c r="J3185" s="324"/>
      <c r="K3185" s="324"/>
      <c r="L3185" s="324"/>
    </row>
    <row r="3186">
      <c r="A3186" s="324"/>
      <c r="B3186" s="478"/>
      <c r="C3186" s="324"/>
      <c r="D3186" s="324"/>
      <c r="E3186" s="324"/>
      <c r="F3186" s="324"/>
      <c r="G3186" s="324"/>
      <c r="H3186" s="324"/>
      <c r="I3186" s="324"/>
      <c r="J3186" s="324"/>
      <c r="K3186" s="324"/>
      <c r="L3186" s="324"/>
    </row>
    <row r="3187">
      <c r="A3187" s="324"/>
      <c r="B3187" s="478"/>
      <c r="C3187" s="324"/>
      <c r="D3187" s="324"/>
      <c r="E3187" s="324"/>
      <c r="F3187" s="324"/>
      <c r="G3187" s="324"/>
      <c r="H3187" s="324"/>
      <c r="I3187" s="324"/>
      <c r="J3187" s="324"/>
      <c r="K3187" s="324"/>
      <c r="L3187" s="324"/>
    </row>
    <row r="3188">
      <c r="A3188" s="324"/>
      <c r="B3188" s="478"/>
      <c r="C3188" s="324"/>
      <c r="D3188" s="324"/>
      <c r="E3188" s="324"/>
      <c r="F3188" s="324"/>
      <c r="G3188" s="324"/>
      <c r="H3188" s="324"/>
      <c r="I3188" s="324"/>
      <c r="J3188" s="324"/>
      <c r="K3188" s="324"/>
      <c r="L3188" s="324"/>
    </row>
    <row r="3189">
      <c r="A3189" s="324"/>
      <c r="B3189" s="478"/>
      <c r="C3189" s="324"/>
      <c r="D3189" s="324"/>
      <c r="E3189" s="324"/>
      <c r="F3189" s="324"/>
      <c r="G3189" s="324"/>
      <c r="H3189" s="324"/>
      <c r="I3189" s="324"/>
      <c r="J3189" s="324"/>
      <c r="K3189" s="324"/>
      <c r="L3189" s="324"/>
    </row>
    <row r="3190">
      <c r="A3190" s="324"/>
      <c r="B3190" s="478"/>
      <c r="C3190" s="324"/>
      <c r="D3190" s="324"/>
      <c r="E3190" s="324"/>
      <c r="F3190" s="324"/>
      <c r="G3190" s="324"/>
      <c r="H3190" s="324"/>
      <c r="I3190" s="324"/>
      <c r="J3190" s="324"/>
      <c r="K3190" s="324"/>
      <c r="L3190" s="324"/>
    </row>
    <row r="3191">
      <c r="A3191" s="324"/>
      <c r="B3191" s="478"/>
      <c r="C3191" s="324"/>
      <c r="D3191" s="324"/>
      <c r="E3191" s="324"/>
      <c r="F3191" s="324"/>
      <c r="G3191" s="324"/>
      <c r="H3191" s="324"/>
      <c r="I3191" s="324"/>
      <c r="J3191" s="324"/>
      <c r="K3191" s="324"/>
      <c r="L3191" s="324"/>
    </row>
    <row r="3192">
      <c r="A3192" s="324"/>
      <c r="B3192" s="478"/>
      <c r="C3192" s="324"/>
      <c r="D3192" s="324"/>
      <c r="E3192" s="324"/>
      <c r="F3192" s="324"/>
      <c r="G3192" s="324"/>
      <c r="H3192" s="324"/>
      <c r="I3192" s="324"/>
      <c r="J3192" s="324"/>
      <c r="K3192" s="324"/>
      <c r="L3192" s="324"/>
    </row>
    <row r="3193">
      <c r="A3193" s="324"/>
      <c r="B3193" s="478"/>
      <c r="C3193" s="324"/>
      <c r="D3193" s="324"/>
      <c r="E3193" s="324"/>
      <c r="F3193" s="324"/>
      <c r="G3193" s="324"/>
      <c r="H3193" s="324"/>
      <c r="I3193" s="324"/>
      <c r="J3193" s="324"/>
      <c r="K3193" s="324"/>
      <c r="L3193" s="324"/>
    </row>
    <row r="3194">
      <c r="A3194" s="324"/>
      <c r="B3194" s="478"/>
      <c r="C3194" s="324"/>
      <c r="D3194" s="324"/>
      <c r="E3194" s="324"/>
      <c r="F3194" s="324"/>
      <c r="G3194" s="324"/>
      <c r="H3194" s="324"/>
      <c r="I3194" s="324"/>
      <c r="J3194" s="324"/>
      <c r="K3194" s="324"/>
      <c r="L3194" s="324"/>
    </row>
    <row r="3195">
      <c r="A3195" s="324"/>
      <c r="B3195" s="478"/>
      <c r="C3195" s="324"/>
      <c r="D3195" s="324"/>
      <c r="E3195" s="324"/>
      <c r="F3195" s="324"/>
      <c r="G3195" s="324"/>
      <c r="H3195" s="324"/>
      <c r="I3195" s="324"/>
      <c r="J3195" s="324"/>
      <c r="K3195" s="324"/>
      <c r="L3195" s="324"/>
    </row>
    <row r="3196">
      <c r="A3196" s="324"/>
      <c r="B3196" s="478"/>
      <c r="C3196" s="324"/>
      <c r="D3196" s="324"/>
      <c r="E3196" s="324"/>
      <c r="F3196" s="324"/>
      <c r="G3196" s="324"/>
      <c r="H3196" s="324"/>
      <c r="I3196" s="324"/>
      <c r="J3196" s="324"/>
      <c r="K3196" s="324"/>
      <c r="L3196" s="324"/>
    </row>
    <row r="3197">
      <c r="A3197" s="324"/>
      <c r="B3197" s="478"/>
      <c r="C3197" s="324"/>
      <c r="D3197" s="324"/>
      <c r="E3197" s="324"/>
      <c r="F3197" s="324"/>
      <c r="G3197" s="324"/>
      <c r="H3197" s="324"/>
      <c r="I3197" s="324"/>
      <c r="J3197" s="324"/>
      <c r="K3197" s="324"/>
      <c r="L3197" s="324"/>
    </row>
    <row r="3198">
      <c r="A3198" s="324"/>
      <c r="B3198" s="478"/>
      <c r="C3198" s="324"/>
      <c r="D3198" s="324"/>
      <c r="E3198" s="324"/>
      <c r="F3198" s="324"/>
      <c r="G3198" s="324"/>
      <c r="H3198" s="324"/>
      <c r="I3198" s="324"/>
      <c r="J3198" s="324"/>
      <c r="K3198" s="324"/>
      <c r="L3198" s="324"/>
    </row>
    <row r="3199">
      <c r="A3199" s="324"/>
      <c r="B3199" s="478"/>
      <c r="C3199" s="324"/>
      <c r="D3199" s="324"/>
      <c r="E3199" s="324"/>
      <c r="F3199" s="324"/>
      <c r="G3199" s="324"/>
      <c r="H3199" s="324"/>
      <c r="I3199" s="324"/>
      <c r="J3199" s="324"/>
      <c r="K3199" s="324"/>
      <c r="L3199" s="324"/>
    </row>
    <row r="3200">
      <c r="A3200" s="324"/>
      <c r="B3200" s="478"/>
      <c r="C3200" s="324"/>
      <c r="D3200" s="324"/>
      <c r="E3200" s="324"/>
      <c r="F3200" s="324"/>
      <c r="G3200" s="324"/>
      <c r="H3200" s="324"/>
      <c r="I3200" s="324"/>
      <c r="J3200" s="324"/>
      <c r="K3200" s="324"/>
      <c r="L3200" s="324"/>
    </row>
    <row r="3201">
      <c r="A3201" s="324"/>
      <c r="B3201" s="478"/>
      <c r="C3201" s="324"/>
      <c r="D3201" s="324"/>
      <c r="E3201" s="324"/>
      <c r="F3201" s="324"/>
      <c r="G3201" s="324"/>
      <c r="H3201" s="324"/>
      <c r="I3201" s="324"/>
      <c r="J3201" s="324"/>
      <c r="K3201" s="324"/>
      <c r="L3201" s="324"/>
    </row>
    <row r="3202">
      <c r="A3202" s="324"/>
      <c r="B3202" s="478"/>
      <c r="C3202" s="324"/>
      <c r="D3202" s="324"/>
      <c r="E3202" s="324"/>
      <c r="F3202" s="324"/>
      <c r="G3202" s="324"/>
      <c r="H3202" s="324"/>
      <c r="I3202" s="324"/>
      <c r="J3202" s="324"/>
      <c r="K3202" s="324"/>
      <c r="L3202" s="324"/>
    </row>
    <row r="3203">
      <c r="A3203" s="324"/>
      <c r="B3203" s="478"/>
      <c r="C3203" s="324"/>
      <c r="D3203" s="324"/>
      <c r="E3203" s="324"/>
      <c r="F3203" s="324"/>
      <c r="G3203" s="324"/>
      <c r="H3203" s="324"/>
      <c r="I3203" s="324"/>
      <c r="J3203" s="324"/>
      <c r="K3203" s="324"/>
      <c r="L3203" s="324"/>
    </row>
    <row r="3204">
      <c r="A3204" s="324"/>
      <c r="B3204" s="478"/>
      <c r="C3204" s="324"/>
      <c r="D3204" s="324"/>
      <c r="E3204" s="324"/>
      <c r="F3204" s="324"/>
      <c r="G3204" s="324"/>
      <c r="H3204" s="324"/>
      <c r="I3204" s="324"/>
      <c r="J3204" s="324"/>
      <c r="K3204" s="324"/>
      <c r="L3204" s="324"/>
    </row>
    <row r="3205">
      <c r="A3205" s="324"/>
      <c r="B3205" s="478"/>
      <c r="C3205" s="324"/>
      <c r="D3205" s="324"/>
      <c r="E3205" s="324"/>
      <c r="F3205" s="324"/>
      <c r="G3205" s="324"/>
      <c r="H3205" s="324"/>
      <c r="I3205" s="324"/>
      <c r="J3205" s="324"/>
      <c r="K3205" s="324"/>
      <c r="L3205" s="324"/>
    </row>
    <row r="3206">
      <c r="A3206" s="324"/>
      <c r="B3206" s="478"/>
      <c r="C3206" s="324"/>
      <c r="D3206" s="324"/>
      <c r="E3206" s="324"/>
      <c r="F3206" s="324"/>
      <c r="G3206" s="324"/>
      <c r="H3206" s="324"/>
      <c r="I3206" s="324"/>
      <c r="J3206" s="324"/>
      <c r="K3206" s="324"/>
      <c r="L3206" s="324"/>
    </row>
    <row r="3207">
      <c r="A3207" s="324"/>
      <c r="B3207" s="478"/>
      <c r="C3207" s="324"/>
      <c r="D3207" s="324"/>
      <c r="E3207" s="324"/>
      <c r="F3207" s="324"/>
      <c r="G3207" s="324"/>
      <c r="H3207" s="324"/>
      <c r="I3207" s="324"/>
      <c r="J3207" s="324"/>
      <c r="K3207" s="324"/>
      <c r="L3207" s="324"/>
    </row>
    <row r="3208">
      <c r="A3208" s="324"/>
      <c r="B3208" s="478"/>
      <c r="C3208" s="324"/>
      <c r="D3208" s="324"/>
      <c r="E3208" s="324"/>
      <c r="F3208" s="324"/>
      <c r="G3208" s="324"/>
      <c r="H3208" s="324"/>
      <c r="I3208" s="324"/>
      <c r="J3208" s="324"/>
      <c r="K3208" s="324"/>
      <c r="L3208" s="324"/>
    </row>
    <row r="3209">
      <c r="A3209" s="324"/>
      <c r="B3209" s="478"/>
      <c r="C3209" s="324"/>
      <c r="D3209" s="324"/>
      <c r="E3209" s="324"/>
      <c r="F3209" s="324"/>
      <c r="G3209" s="324"/>
      <c r="H3209" s="324"/>
      <c r="I3209" s="324"/>
      <c r="J3209" s="324"/>
      <c r="K3209" s="324"/>
      <c r="L3209" s="324"/>
    </row>
    <row r="3210">
      <c r="A3210" s="324"/>
      <c r="B3210" s="478"/>
      <c r="C3210" s="324"/>
      <c r="D3210" s="324"/>
      <c r="E3210" s="324"/>
      <c r="F3210" s="324"/>
      <c r="G3210" s="324"/>
      <c r="H3210" s="324"/>
      <c r="I3210" s="324"/>
      <c r="J3210" s="324"/>
      <c r="K3210" s="324"/>
      <c r="L3210" s="324"/>
    </row>
    <row r="3211">
      <c r="A3211" s="324"/>
      <c r="B3211" s="478"/>
      <c r="C3211" s="324"/>
      <c r="D3211" s="324"/>
      <c r="E3211" s="324"/>
      <c r="F3211" s="324"/>
      <c r="G3211" s="324"/>
      <c r="H3211" s="324"/>
      <c r="I3211" s="324"/>
      <c r="J3211" s="324"/>
      <c r="K3211" s="324"/>
      <c r="L3211" s="324"/>
    </row>
    <row r="3212">
      <c r="A3212" s="324"/>
      <c r="B3212" s="478"/>
      <c r="C3212" s="324"/>
      <c r="D3212" s="324"/>
      <c r="E3212" s="324"/>
      <c r="F3212" s="324"/>
      <c r="G3212" s="324"/>
      <c r="H3212" s="324"/>
      <c r="I3212" s="324"/>
      <c r="J3212" s="324"/>
      <c r="K3212" s="324"/>
      <c r="L3212" s="324"/>
    </row>
    <row r="3213">
      <c r="A3213" s="324"/>
      <c r="B3213" s="478"/>
      <c r="C3213" s="324"/>
      <c r="D3213" s="324"/>
      <c r="E3213" s="324"/>
      <c r="F3213" s="324"/>
      <c r="G3213" s="324"/>
      <c r="H3213" s="324"/>
      <c r="I3213" s="324"/>
      <c r="J3213" s="324"/>
      <c r="K3213" s="324"/>
      <c r="L3213" s="324"/>
    </row>
    <row r="3214">
      <c r="A3214" s="324"/>
      <c r="B3214" s="478"/>
      <c r="C3214" s="324"/>
      <c r="D3214" s="324"/>
      <c r="E3214" s="324"/>
      <c r="F3214" s="324"/>
      <c r="G3214" s="324"/>
      <c r="H3214" s="324"/>
      <c r="I3214" s="324"/>
      <c r="J3214" s="324"/>
      <c r="K3214" s="324"/>
      <c r="L3214" s="324"/>
    </row>
    <row r="3215">
      <c r="A3215" s="324"/>
      <c r="B3215" s="478"/>
      <c r="C3215" s="324"/>
      <c r="D3215" s="324"/>
      <c r="E3215" s="324"/>
      <c r="F3215" s="324"/>
      <c r="G3215" s="324"/>
      <c r="H3215" s="324"/>
      <c r="I3215" s="324"/>
      <c r="J3215" s="324"/>
      <c r="K3215" s="324"/>
      <c r="L3215" s="324"/>
    </row>
    <row r="3216">
      <c r="A3216" s="324"/>
      <c r="B3216" s="478"/>
      <c r="C3216" s="324"/>
      <c r="D3216" s="324"/>
      <c r="E3216" s="324"/>
      <c r="F3216" s="324"/>
      <c r="G3216" s="324"/>
      <c r="H3216" s="324"/>
      <c r="I3216" s="324"/>
      <c r="J3216" s="324"/>
      <c r="K3216" s="324"/>
      <c r="L3216" s="324"/>
    </row>
    <row r="3217">
      <c r="A3217" s="324"/>
      <c r="B3217" s="478"/>
      <c r="C3217" s="324"/>
      <c r="D3217" s="324"/>
      <c r="E3217" s="324"/>
      <c r="F3217" s="324"/>
      <c r="G3217" s="324"/>
      <c r="H3217" s="324"/>
      <c r="I3217" s="324"/>
      <c r="J3217" s="324"/>
      <c r="K3217" s="324"/>
      <c r="L3217" s="324"/>
    </row>
    <row r="3218">
      <c r="A3218" s="324"/>
      <c r="B3218" s="478"/>
      <c r="C3218" s="324"/>
      <c r="D3218" s="324"/>
      <c r="E3218" s="324"/>
      <c r="F3218" s="324"/>
      <c r="G3218" s="324"/>
      <c r="H3218" s="324"/>
      <c r="I3218" s="324"/>
      <c r="J3218" s="324"/>
      <c r="K3218" s="324"/>
      <c r="L3218" s="324"/>
    </row>
    <row r="3219">
      <c r="A3219" s="324"/>
      <c r="B3219" s="478"/>
      <c r="C3219" s="324"/>
      <c r="D3219" s="324"/>
      <c r="E3219" s="324"/>
      <c r="F3219" s="324"/>
      <c r="G3219" s="324"/>
      <c r="H3219" s="324"/>
      <c r="I3219" s="324"/>
      <c r="J3219" s="324"/>
      <c r="K3219" s="324"/>
      <c r="L3219" s="324"/>
    </row>
    <row r="3220">
      <c r="A3220" s="324"/>
      <c r="B3220" s="478"/>
      <c r="C3220" s="324"/>
      <c r="D3220" s="324"/>
      <c r="E3220" s="324"/>
      <c r="F3220" s="324"/>
      <c r="G3220" s="324"/>
      <c r="H3220" s="324"/>
      <c r="I3220" s="324"/>
      <c r="J3220" s="324"/>
      <c r="K3220" s="324"/>
      <c r="L3220" s="324"/>
    </row>
    <row r="3221">
      <c r="A3221" s="324"/>
      <c r="B3221" s="478"/>
      <c r="C3221" s="324"/>
      <c r="D3221" s="324"/>
      <c r="E3221" s="324"/>
      <c r="F3221" s="324"/>
      <c r="G3221" s="324"/>
      <c r="H3221" s="324"/>
      <c r="I3221" s="324"/>
      <c r="J3221" s="324"/>
      <c r="K3221" s="324"/>
      <c r="L3221" s="324"/>
    </row>
    <row r="3222">
      <c r="A3222" s="324"/>
      <c r="B3222" s="478"/>
      <c r="C3222" s="324"/>
      <c r="D3222" s="324"/>
      <c r="E3222" s="324"/>
      <c r="F3222" s="324"/>
      <c r="G3222" s="324"/>
      <c r="H3222" s="324"/>
      <c r="I3222" s="324"/>
      <c r="J3222" s="324"/>
      <c r="K3222" s="324"/>
      <c r="L3222" s="324"/>
    </row>
    <row r="3223">
      <c r="A3223" s="324"/>
      <c r="B3223" s="478"/>
      <c r="C3223" s="324"/>
      <c r="D3223" s="324"/>
      <c r="E3223" s="324"/>
      <c r="F3223" s="324"/>
      <c r="G3223" s="324"/>
      <c r="H3223" s="324"/>
      <c r="I3223" s="324"/>
      <c r="J3223" s="324"/>
      <c r="K3223" s="324"/>
      <c r="L3223" s="324"/>
    </row>
    <row r="3224">
      <c r="A3224" s="324"/>
      <c r="B3224" s="478"/>
      <c r="C3224" s="324"/>
      <c r="D3224" s="324"/>
      <c r="E3224" s="324"/>
      <c r="F3224" s="324"/>
      <c r="G3224" s="324"/>
      <c r="H3224" s="324"/>
      <c r="I3224" s="324"/>
      <c r="J3224" s="324"/>
      <c r="K3224" s="324"/>
      <c r="L3224" s="324"/>
    </row>
    <row r="3225">
      <c r="A3225" s="324"/>
      <c r="B3225" s="478"/>
      <c r="C3225" s="324"/>
      <c r="D3225" s="324"/>
      <c r="E3225" s="324"/>
      <c r="F3225" s="324"/>
      <c r="G3225" s="324"/>
      <c r="H3225" s="324"/>
      <c r="I3225" s="324"/>
      <c r="J3225" s="324"/>
      <c r="K3225" s="324"/>
      <c r="L3225" s="324"/>
    </row>
    <row r="3226">
      <c r="A3226" s="324"/>
      <c r="B3226" s="478"/>
      <c r="C3226" s="324"/>
      <c r="D3226" s="324"/>
      <c r="E3226" s="324"/>
      <c r="F3226" s="324"/>
      <c r="G3226" s="324"/>
      <c r="H3226" s="324"/>
      <c r="I3226" s="324"/>
      <c r="J3226" s="324"/>
      <c r="K3226" s="324"/>
      <c r="L3226" s="324"/>
    </row>
    <row r="3227">
      <c r="A3227" s="324"/>
      <c r="B3227" s="478"/>
      <c r="C3227" s="324"/>
      <c r="D3227" s="324"/>
      <c r="E3227" s="324"/>
      <c r="F3227" s="324"/>
      <c r="G3227" s="324"/>
      <c r="H3227" s="324"/>
      <c r="I3227" s="324"/>
      <c r="J3227" s="324"/>
      <c r="K3227" s="324"/>
      <c r="L3227" s="324"/>
    </row>
    <row r="3228">
      <c r="A3228" s="324"/>
      <c r="B3228" s="478"/>
      <c r="C3228" s="324"/>
      <c r="D3228" s="324"/>
      <c r="E3228" s="324"/>
      <c r="F3228" s="324"/>
      <c r="G3228" s="324"/>
      <c r="H3228" s="324"/>
      <c r="I3228" s="324"/>
      <c r="J3228" s="324"/>
      <c r="K3228" s="324"/>
      <c r="L3228" s="324"/>
    </row>
    <row r="3229">
      <c r="A3229" s="324"/>
      <c r="B3229" s="478"/>
      <c r="C3229" s="324"/>
      <c r="D3229" s="324"/>
      <c r="E3229" s="324"/>
      <c r="F3229" s="324"/>
      <c r="G3229" s="324"/>
      <c r="H3229" s="324"/>
      <c r="I3229" s="324"/>
      <c r="J3229" s="324"/>
      <c r="K3229" s="324"/>
      <c r="L3229" s="324"/>
    </row>
    <row r="3230">
      <c r="A3230" s="324"/>
      <c r="B3230" s="478"/>
      <c r="C3230" s="324"/>
      <c r="D3230" s="324"/>
      <c r="E3230" s="324"/>
      <c r="F3230" s="324"/>
      <c r="G3230" s="324"/>
      <c r="H3230" s="324"/>
      <c r="I3230" s="324"/>
      <c r="J3230" s="324"/>
      <c r="K3230" s="324"/>
      <c r="L3230" s="324"/>
    </row>
    <row r="3231">
      <c r="A3231" s="324"/>
      <c r="B3231" s="478"/>
      <c r="C3231" s="324"/>
      <c r="D3231" s="324"/>
      <c r="E3231" s="324"/>
      <c r="F3231" s="324"/>
      <c r="G3231" s="324"/>
      <c r="H3231" s="324"/>
      <c r="I3231" s="324"/>
      <c r="J3231" s="324"/>
      <c r="K3231" s="324"/>
      <c r="L3231" s="324"/>
    </row>
    <row r="3232">
      <c r="A3232" s="324"/>
      <c r="B3232" s="478"/>
      <c r="C3232" s="324"/>
      <c r="D3232" s="324"/>
      <c r="E3232" s="324"/>
      <c r="F3232" s="324"/>
      <c r="G3232" s="324"/>
      <c r="H3232" s="324"/>
      <c r="I3232" s="324"/>
      <c r="J3232" s="324"/>
      <c r="K3232" s="324"/>
      <c r="L3232" s="324"/>
    </row>
    <row r="3233">
      <c r="A3233" s="324"/>
      <c r="B3233" s="478"/>
      <c r="C3233" s="324"/>
      <c r="D3233" s="324"/>
      <c r="E3233" s="324"/>
      <c r="F3233" s="324"/>
      <c r="G3233" s="324"/>
      <c r="H3233" s="324"/>
      <c r="I3233" s="324"/>
      <c r="J3233" s="324"/>
      <c r="K3233" s="324"/>
      <c r="L3233" s="324"/>
    </row>
    <row r="3234">
      <c r="A3234" s="324"/>
      <c r="B3234" s="478"/>
      <c r="C3234" s="324"/>
      <c r="D3234" s="324"/>
      <c r="E3234" s="324"/>
      <c r="F3234" s="324"/>
      <c r="G3234" s="324"/>
      <c r="H3234" s="324"/>
      <c r="I3234" s="324"/>
      <c r="J3234" s="324"/>
      <c r="K3234" s="324"/>
      <c r="L3234" s="324"/>
    </row>
    <row r="3235">
      <c r="A3235" s="324"/>
      <c r="B3235" s="478"/>
      <c r="C3235" s="324"/>
      <c r="D3235" s="324"/>
      <c r="E3235" s="324"/>
      <c r="F3235" s="324"/>
      <c r="G3235" s="324"/>
      <c r="H3235" s="324"/>
      <c r="I3235" s="324"/>
      <c r="J3235" s="324"/>
      <c r="K3235" s="324"/>
      <c r="L3235" s="324"/>
    </row>
    <row r="3236">
      <c r="A3236" s="324"/>
      <c r="B3236" s="478"/>
      <c r="C3236" s="324"/>
      <c r="D3236" s="324"/>
      <c r="E3236" s="324"/>
      <c r="F3236" s="324"/>
      <c r="G3236" s="324"/>
      <c r="H3236" s="324"/>
      <c r="I3236" s="324"/>
      <c r="J3236" s="324"/>
      <c r="K3236" s="324"/>
      <c r="L3236" s="324"/>
    </row>
    <row r="3237">
      <c r="A3237" s="324"/>
      <c r="B3237" s="478"/>
      <c r="C3237" s="324"/>
      <c r="D3237" s="324"/>
      <c r="E3237" s="324"/>
      <c r="F3237" s="324"/>
      <c r="G3237" s="324"/>
      <c r="H3237" s="324"/>
      <c r="I3237" s="324"/>
      <c r="J3237" s="324"/>
      <c r="K3237" s="324"/>
      <c r="L3237" s="324"/>
    </row>
    <row r="3238">
      <c r="A3238" s="324"/>
      <c r="B3238" s="478"/>
      <c r="C3238" s="324"/>
      <c r="D3238" s="324"/>
      <c r="E3238" s="324"/>
      <c r="F3238" s="324"/>
      <c r="G3238" s="324"/>
      <c r="H3238" s="324"/>
      <c r="I3238" s="324"/>
      <c r="J3238" s="324"/>
      <c r="K3238" s="324"/>
      <c r="L3238" s="324"/>
    </row>
    <row r="3239">
      <c r="A3239" s="324"/>
      <c r="B3239" s="478"/>
      <c r="C3239" s="324"/>
      <c r="D3239" s="324"/>
      <c r="E3239" s="324"/>
      <c r="F3239" s="324"/>
      <c r="G3239" s="324"/>
      <c r="H3239" s="324"/>
      <c r="I3239" s="324"/>
      <c r="J3239" s="324"/>
      <c r="K3239" s="324"/>
      <c r="L3239" s="324"/>
    </row>
    <row r="3240">
      <c r="A3240" s="324"/>
      <c r="B3240" s="478"/>
      <c r="C3240" s="324"/>
      <c r="D3240" s="324"/>
      <c r="E3240" s="324"/>
      <c r="F3240" s="324"/>
      <c r="G3240" s="324"/>
      <c r="H3240" s="324"/>
      <c r="I3240" s="324"/>
      <c r="J3240" s="324"/>
      <c r="K3240" s="324"/>
      <c r="L3240" s="324"/>
    </row>
    <row r="3241">
      <c r="A3241" s="324"/>
      <c r="B3241" s="478"/>
      <c r="C3241" s="324"/>
      <c r="D3241" s="324"/>
      <c r="E3241" s="324"/>
      <c r="F3241" s="324"/>
      <c r="G3241" s="324"/>
      <c r="H3241" s="324"/>
      <c r="I3241" s="324"/>
      <c r="J3241" s="324"/>
      <c r="K3241" s="324"/>
      <c r="L3241" s="324"/>
    </row>
    <row r="3242">
      <c r="A3242" s="324"/>
      <c r="B3242" s="478"/>
      <c r="C3242" s="324"/>
      <c r="D3242" s="324"/>
      <c r="E3242" s="324"/>
      <c r="F3242" s="324"/>
      <c r="G3242" s="324"/>
      <c r="H3242" s="324"/>
      <c r="I3242" s="324"/>
      <c r="J3242" s="324"/>
      <c r="K3242" s="324"/>
      <c r="L3242" s="324"/>
    </row>
    <row r="3243">
      <c r="A3243" s="324"/>
      <c r="B3243" s="478"/>
      <c r="C3243" s="324"/>
      <c r="D3243" s="324"/>
      <c r="E3243" s="324"/>
      <c r="F3243" s="324"/>
      <c r="G3243" s="324"/>
      <c r="H3243" s="324"/>
      <c r="I3243" s="324"/>
      <c r="J3243" s="324"/>
      <c r="K3243" s="324"/>
      <c r="L3243" s="324"/>
    </row>
    <row r="3244">
      <c r="A3244" s="324"/>
      <c r="B3244" s="478"/>
      <c r="C3244" s="324"/>
      <c r="D3244" s="324"/>
      <c r="E3244" s="324"/>
      <c r="F3244" s="324"/>
      <c r="G3244" s="324"/>
      <c r="H3244" s="324"/>
      <c r="I3244" s="324"/>
      <c r="J3244" s="324"/>
      <c r="K3244" s="324"/>
      <c r="L3244" s="324"/>
    </row>
    <row r="3245">
      <c r="A3245" s="324"/>
      <c r="B3245" s="478"/>
      <c r="C3245" s="324"/>
      <c r="D3245" s="324"/>
      <c r="E3245" s="324"/>
      <c r="F3245" s="324"/>
      <c r="G3245" s="324"/>
      <c r="H3245" s="324"/>
      <c r="I3245" s="324"/>
      <c r="J3245" s="324"/>
      <c r="K3245" s="324"/>
      <c r="L3245" s="324"/>
    </row>
    <row r="3246">
      <c r="A3246" s="324"/>
      <c r="B3246" s="478"/>
      <c r="C3246" s="324"/>
      <c r="D3246" s="324"/>
      <c r="E3246" s="324"/>
      <c r="F3246" s="324"/>
      <c r="G3246" s="324"/>
      <c r="H3246" s="324"/>
      <c r="I3246" s="324"/>
      <c r="J3246" s="324"/>
      <c r="K3246" s="324"/>
      <c r="L3246" s="324"/>
    </row>
    <row r="3247">
      <c r="A3247" s="324"/>
      <c r="B3247" s="478"/>
      <c r="C3247" s="324"/>
      <c r="D3247" s="324"/>
      <c r="E3247" s="324"/>
      <c r="F3247" s="324"/>
      <c r="G3247" s="324"/>
      <c r="H3247" s="324"/>
      <c r="I3247" s="324"/>
      <c r="J3247" s="324"/>
      <c r="K3247" s="324"/>
      <c r="L3247" s="324"/>
    </row>
    <row r="3248">
      <c r="A3248" s="324"/>
      <c r="B3248" s="478"/>
      <c r="C3248" s="324"/>
      <c r="D3248" s="324"/>
      <c r="E3248" s="324"/>
      <c r="F3248" s="324"/>
      <c r="G3248" s="324"/>
      <c r="H3248" s="324"/>
      <c r="I3248" s="324"/>
      <c r="J3248" s="324"/>
      <c r="K3248" s="324"/>
      <c r="L3248" s="324"/>
    </row>
    <row r="3249">
      <c r="A3249" s="324"/>
      <c r="B3249" s="478"/>
      <c r="C3249" s="324"/>
      <c r="D3249" s="324"/>
      <c r="E3249" s="324"/>
      <c r="F3249" s="324"/>
      <c r="G3249" s="324"/>
      <c r="H3249" s="324"/>
      <c r="I3249" s="324"/>
      <c r="J3249" s="324"/>
      <c r="K3249" s="324"/>
      <c r="L3249" s="324"/>
    </row>
    <row r="3250">
      <c r="A3250" s="324"/>
      <c r="B3250" s="478"/>
      <c r="C3250" s="324"/>
      <c r="D3250" s="324"/>
      <c r="E3250" s="324"/>
      <c r="F3250" s="324"/>
      <c r="G3250" s="324"/>
      <c r="H3250" s="324"/>
      <c r="I3250" s="324"/>
      <c r="J3250" s="324"/>
      <c r="K3250" s="324"/>
      <c r="L3250" s="324"/>
    </row>
    <row r="3251">
      <c r="A3251" s="324"/>
      <c r="B3251" s="478"/>
      <c r="C3251" s="324"/>
      <c r="D3251" s="324"/>
      <c r="E3251" s="324"/>
      <c r="F3251" s="324"/>
      <c r="G3251" s="324"/>
      <c r="H3251" s="324"/>
      <c r="I3251" s="324"/>
      <c r="J3251" s="324"/>
      <c r="K3251" s="324"/>
      <c r="L3251" s="324"/>
    </row>
    <row r="3252">
      <c r="A3252" s="324"/>
      <c r="B3252" s="478"/>
      <c r="C3252" s="324"/>
      <c r="D3252" s="324"/>
      <c r="E3252" s="324"/>
      <c r="F3252" s="324"/>
      <c r="G3252" s="324"/>
      <c r="H3252" s="324"/>
      <c r="I3252" s="324"/>
      <c r="J3252" s="324"/>
      <c r="K3252" s="324"/>
      <c r="L3252" s="324"/>
    </row>
    <row r="3253">
      <c r="A3253" s="324"/>
      <c r="B3253" s="478"/>
      <c r="C3253" s="324"/>
      <c r="D3253" s="324"/>
      <c r="E3253" s="324"/>
      <c r="F3253" s="324"/>
      <c r="G3253" s="324"/>
      <c r="H3253" s="324"/>
      <c r="I3253" s="324"/>
      <c r="J3253" s="324"/>
      <c r="K3253" s="324"/>
      <c r="L3253" s="324"/>
    </row>
    <row r="3254">
      <c r="A3254" s="324"/>
      <c r="B3254" s="478"/>
      <c r="C3254" s="324"/>
      <c r="D3254" s="324"/>
      <c r="E3254" s="324"/>
      <c r="F3254" s="324"/>
      <c r="G3254" s="324"/>
      <c r="H3254" s="324"/>
      <c r="I3254" s="324"/>
      <c r="J3254" s="324"/>
      <c r="K3254" s="324"/>
      <c r="L3254" s="324"/>
    </row>
    <row r="3255">
      <c r="A3255" s="324"/>
      <c r="B3255" s="478"/>
      <c r="C3255" s="324"/>
      <c r="D3255" s="324"/>
      <c r="E3255" s="324"/>
      <c r="F3255" s="324"/>
      <c r="G3255" s="324"/>
      <c r="H3255" s="324"/>
      <c r="I3255" s="324"/>
      <c r="J3255" s="324"/>
      <c r="K3255" s="324"/>
      <c r="L3255" s="324"/>
    </row>
    <row r="3256">
      <c r="A3256" s="324"/>
      <c r="B3256" s="478"/>
      <c r="C3256" s="324"/>
      <c r="D3256" s="324"/>
      <c r="E3256" s="324"/>
      <c r="F3256" s="324"/>
      <c r="G3256" s="324"/>
      <c r="H3256" s="324"/>
      <c r="I3256" s="324"/>
      <c r="J3256" s="324"/>
      <c r="K3256" s="324"/>
      <c r="L3256" s="324"/>
    </row>
    <row r="3257">
      <c r="A3257" s="324"/>
      <c r="B3257" s="478"/>
      <c r="C3257" s="324"/>
      <c r="D3257" s="324"/>
      <c r="E3257" s="324"/>
      <c r="F3257" s="324"/>
      <c r="G3257" s="324"/>
      <c r="H3257" s="324"/>
      <c r="I3257" s="324"/>
      <c r="J3257" s="324"/>
      <c r="K3257" s="324"/>
      <c r="L3257" s="324"/>
    </row>
    <row r="3258">
      <c r="A3258" s="324"/>
      <c r="B3258" s="478"/>
      <c r="C3258" s="324"/>
      <c r="D3258" s="324"/>
      <c r="E3258" s="324"/>
      <c r="F3258" s="324"/>
      <c r="G3258" s="324"/>
      <c r="H3258" s="324"/>
      <c r="I3258" s="324"/>
      <c r="J3258" s="324"/>
      <c r="K3258" s="324"/>
      <c r="L3258" s="324"/>
    </row>
    <row r="3259">
      <c r="A3259" s="324"/>
      <c r="B3259" s="478"/>
      <c r="C3259" s="324"/>
      <c r="D3259" s="324"/>
      <c r="E3259" s="324"/>
      <c r="F3259" s="324"/>
      <c r="G3259" s="324"/>
      <c r="H3259" s="324"/>
      <c r="I3259" s="324"/>
      <c r="J3259" s="324"/>
      <c r="K3259" s="324"/>
      <c r="L3259" s="324"/>
    </row>
    <row r="3260">
      <c r="A3260" s="324"/>
      <c r="B3260" s="478"/>
      <c r="C3260" s="324"/>
      <c r="D3260" s="324"/>
      <c r="E3260" s="324"/>
      <c r="F3260" s="324"/>
      <c r="G3260" s="324"/>
      <c r="H3260" s="324"/>
      <c r="I3260" s="324"/>
      <c r="J3260" s="324"/>
      <c r="K3260" s="324"/>
      <c r="L3260" s="324"/>
    </row>
    <row r="3261">
      <c r="A3261" s="324"/>
      <c r="B3261" s="478"/>
      <c r="C3261" s="324"/>
      <c r="D3261" s="324"/>
      <c r="E3261" s="324"/>
      <c r="F3261" s="324"/>
      <c r="G3261" s="324"/>
      <c r="H3261" s="324"/>
      <c r="I3261" s="324"/>
      <c r="J3261" s="324"/>
      <c r="K3261" s="324"/>
      <c r="L3261" s="324"/>
    </row>
    <row r="3262">
      <c r="A3262" s="324"/>
      <c r="B3262" s="478"/>
      <c r="C3262" s="324"/>
      <c r="D3262" s="324"/>
      <c r="E3262" s="324"/>
      <c r="F3262" s="324"/>
      <c r="G3262" s="324"/>
      <c r="H3262" s="324"/>
      <c r="I3262" s="324"/>
      <c r="J3262" s="324"/>
      <c r="K3262" s="324"/>
      <c r="L3262" s="324"/>
    </row>
    <row r="3263">
      <c r="A3263" s="324"/>
      <c r="B3263" s="478"/>
      <c r="C3263" s="324"/>
      <c r="D3263" s="324"/>
      <c r="E3263" s="324"/>
      <c r="F3263" s="324"/>
      <c r="G3263" s="324"/>
      <c r="H3263" s="324"/>
      <c r="I3263" s="324"/>
      <c r="J3263" s="324"/>
      <c r="K3263" s="324"/>
      <c r="L3263" s="324"/>
    </row>
    <row r="3264">
      <c r="A3264" s="324"/>
      <c r="B3264" s="478"/>
      <c r="C3264" s="324"/>
      <c r="D3264" s="324"/>
      <c r="E3264" s="324"/>
      <c r="F3264" s="324"/>
      <c r="G3264" s="324"/>
      <c r="H3264" s="324"/>
      <c r="I3264" s="324"/>
      <c r="J3264" s="324"/>
      <c r="K3264" s="324"/>
      <c r="L3264" s="324"/>
    </row>
    <row r="3265">
      <c r="A3265" s="324"/>
      <c r="B3265" s="478"/>
      <c r="C3265" s="324"/>
      <c r="D3265" s="324"/>
      <c r="E3265" s="324"/>
      <c r="F3265" s="324"/>
      <c r="G3265" s="324"/>
      <c r="H3265" s="324"/>
      <c r="I3265" s="324"/>
      <c r="J3265" s="324"/>
      <c r="K3265" s="324"/>
      <c r="L3265" s="324"/>
    </row>
    <row r="3266">
      <c r="A3266" s="324"/>
      <c r="B3266" s="478"/>
      <c r="C3266" s="324"/>
      <c r="D3266" s="324"/>
      <c r="E3266" s="324"/>
      <c r="F3266" s="324"/>
      <c r="G3266" s="324"/>
      <c r="H3266" s="324"/>
      <c r="I3266" s="324"/>
      <c r="J3266" s="324"/>
      <c r="K3266" s="324"/>
      <c r="L3266" s="324"/>
    </row>
    <row r="3267">
      <c r="A3267" s="324"/>
      <c r="B3267" s="478"/>
      <c r="C3267" s="324"/>
      <c r="D3267" s="324"/>
      <c r="E3267" s="324"/>
      <c r="F3267" s="324"/>
      <c r="G3267" s="324"/>
      <c r="H3267" s="324"/>
      <c r="I3267" s="324"/>
      <c r="J3267" s="324"/>
      <c r="K3267" s="324"/>
      <c r="L3267" s="324"/>
    </row>
    <row r="3268">
      <c r="A3268" s="324"/>
      <c r="B3268" s="478"/>
      <c r="C3268" s="324"/>
      <c r="D3268" s="324"/>
      <c r="E3268" s="324"/>
      <c r="F3268" s="324"/>
      <c r="G3268" s="324"/>
      <c r="H3268" s="324"/>
      <c r="I3268" s="324"/>
      <c r="J3268" s="324"/>
      <c r="K3268" s="324"/>
      <c r="L3268" s="324"/>
    </row>
    <row r="3269">
      <c r="A3269" s="324"/>
      <c r="B3269" s="478"/>
      <c r="C3269" s="324"/>
      <c r="D3269" s="324"/>
      <c r="E3269" s="324"/>
      <c r="F3269" s="324"/>
      <c r="G3269" s="324"/>
      <c r="H3269" s="324"/>
      <c r="I3269" s="324"/>
      <c r="J3269" s="324"/>
      <c r="K3269" s="324"/>
      <c r="L3269" s="324"/>
    </row>
    <row r="3270">
      <c r="A3270" s="324"/>
      <c r="B3270" s="478"/>
      <c r="C3270" s="324"/>
      <c r="D3270" s="324"/>
      <c r="E3270" s="324"/>
      <c r="F3270" s="324"/>
      <c r="G3270" s="324"/>
      <c r="H3270" s="324"/>
      <c r="I3270" s="324"/>
      <c r="J3270" s="324"/>
      <c r="K3270" s="324"/>
      <c r="L3270" s="324"/>
    </row>
    <row r="3271">
      <c r="A3271" s="324"/>
      <c r="B3271" s="478"/>
      <c r="C3271" s="324"/>
      <c r="D3271" s="324"/>
      <c r="E3271" s="324"/>
      <c r="F3271" s="324"/>
      <c r="G3271" s="324"/>
      <c r="H3271" s="324"/>
      <c r="I3271" s="324"/>
      <c r="J3271" s="324"/>
      <c r="K3271" s="324"/>
      <c r="L3271" s="324"/>
    </row>
    <row r="3272">
      <c r="A3272" s="324"/>
      <c r="B3272" s="478"/>
      <c r="C3272" s="324"/>
      <c r="D3272" s="324"/>
      <c r="E3272" s="324"/>
      <c r="F3272" s="324"/>
      <c r="G3272" s="324"/>
      <c r="H3272" s="324"/>
      <c r="I3272" s="324"/>
      <c r="J3272" s="324"/>
      <c r="K3272" s="324"/>
      <c r="L3272" s="324"/>
    </row>
    <row r="3273">
      <c r="A3273" s="324"/>
      <c r="B3273" s="478"/>
      <c r="C3273" s="324"/>
      <c r="D3273" s="324"/>
      <c r="E3273" s="324"/>
      <c r="F3273" s="324"/>
      <c r="G3273" s="324"/>
      <c r="H3273" s="324"/>
      <c r="I3273" s="324"/>
      <c r="J3273" s="324"/>
      <c r="K3273" s="324"/>
      <c r="L3273" s="324"/>
    </row>
    <row r="3274">
      <c r="A3274" s="324"/>
      <c r="B3274" s="478"/>
      <c r="C3274" s="324"/>
      <c r="D3274" s="324"/>
      <c r="E3274" s="324"/>
      <c r="F3274" s="324"/>
      <c r="G3274" s="324"/>
      <c r="H3274" s="324"/>
      <c r="I3274" s="324"/>
      <c r="J3274" s="324"/>
      <c r="K3274" s="324"/>
      <c r="L3274" s="324"/>
    </row>
    <row r="3275">
      <c r="A3275" s="324"/>
      <c r="B3275" s="478"/>
      <c r="C3275" s="324"/>
      <c r="D3275" s="324"/>
      <c r="E3275" s="324"/>
      <c r="F3275" s="324"/>
      <c r="G3275" s="324"/>
      <c r="H3275" s="324"/>
      <c r="I3275" s="324"/>
      <c r="J3275" s="324"/>
      <c r="K3275" s="324"/>
      <c r="L3275" s="324"/>
    </row>
    <row r="3276">
      <c r="A3276" s="324"/>
      <c r="B3276" s="478"/>
      <c r="C3276" s="324"/>
      <c r="D3276" s="324"/>
      <c r="E3276" s="324"/>
      <c r="F3276" s="324"/>
      <c r="G3276" s="324"/>
      <c r="H3276" s="324"/>
      <c r="I3276" s="324"/>
      <c r="J3276" s="324"/>
      <c r="K3276" s="324"/>
      <c r="L3276" s="324"/>
    </row>
    <row r="3277">
      <c r="A3277" s="324"/>
      <c r="B3277" s="478"/>
      <c r="C3277" s="324"/>
      <c r="D3277" s="324"/>
      <c r="E3277" s="324"/>
      <c r="F3277" s="324"/>
      <c r="G3277" s="324"/>
      <c r="H3277" s="324"/>
      <c r="I3277" s="324"/>
      <c r="J3277" s="324"/>
      <c r="K3277" s="324"/>
      <c r="L3277" s="324"/>
    </row>
    <row r="3278">
      <c r="A3278" s="324"/>
      <c r="B3278" s="478"/>
      <c r="C3278" s="324"/>
      <c r="D3278" s="324"/>
      <c r="E3278" s="324"/>
      <c r="F3278" s="324"/>
      <c r="G3278" s="324"/>
      <c r="H3278" s="324"/>
      <c r="I3278" s="324"/>
      <c r="J3278" s="324"/>
      <c r="K3278" s="324"/>
      <c r="L3278" s="324"/>
    </row>
    <row r="3279">
      <c r="A3279" s="324"/>
      <c r="B3279" s="478"/>
      <c r="C3279" s="324"/>
      <c r="D3279" s="324"/>
      <c r="E3279" s="324"/>
      <c r="F3279" s="324"/>
      <c r="G3279" s="324"/>
      <c r="H3279" s="324"/>
      <c r="I3279" s="324"/>
      <c r="J3279" s="324"/>
      <c r="K3279" s="324"/>
      <c r="L3279" s="324"/>
    </row>
    <row r="3280">
      <c r="A3280" s="324"/>
      <c r="B3280" s="478"/>
      <c r="C3280" s="324"/>
      <c r="D3280" s="324"/>
      <c r="E3280" s="324"/>
      <c r="F3280" s="324"/>
      <c r="G3280" s="324"/>
      <c r="H3280" s="324"/>
      <c r="I3280" s="324"/>
      <c r="J3280" s="324"/>
      <c r="K3280" s="324"/>
      <c r="L3280" s="324"/>
    </row>
    <row r="3281">
      <c r="A3281" s="324"/>
      <c r="B3281" s="478"/>
      <c r="C3281" s="324"/>
      <c r="D3281" s="324"/>
      <c r="E3281" s="324"/>
      <c r="F3281" s="324"/>
      <c r="G3281" s="324"/>
      <c r="H3281" s="324"/>
      <c r="I3281" s="324"/>
      <c r="J3281" s="324"/>
      <c r="K3281" s="324"/>
      <c r="L3281" s="324"/>
    </row>
    <row r="3282">
      <c r="A3282" s="324"/>
      <c r="B3282" s="478"/>
      <c r="C3282" s="324"/>
      <c r="D3282" s="324"/>
      <c r="E3282" s="324"/>
      <c r="F3282" s="324"/>
      <c r="G3282" s="324"/>
      <c r="H3282" s="324"/>
      <c r="I3282" s="324"/>
      <c r="J3282" s="324"/>
      <c r="K3282" s="324"/>
      <c r="L3282" s="324"/>
    </row>
    <row r="3283">
      <c r="A3283" s="324"/>
      <c r="B3283" s="478"/>
      <c r="C3283" s="324"/>
      <c r="D3283" s="324"/>
      <c r="E3283" s="324"/>
      <c r="F3283" s="324"/>
      <c r="G3283" s="324"/>
      <c r="H3283" s="324"/>
      <c r="I3283" s="324"/>
      <c r="J3283" s="324"/>
      <c r="K3283" s="324"/>
      <c r="L3283" s="324"/>
    </row>
    <row r="3284">
      <c r="A3284" s="324"/>
      <c r="B3284" s="478"/>
      <c r="C3284" s="324"/>
      <c r="D3284" s="324"/>
      <c r="E3284" s="324"/>
      <c r="F3284" s="324"/>
      <c r="G3284" s="324"/>
      <c r="H3284" s="324"/>
      <c r="I3284" s="324"/>
      <c r="J3284" s="324"/>
      <c r="K3284" s="324"/>
      <c r="L3284" s="324"/>
    </row>
    <row r="3285">
      <c r="A3285" s="324"/>
      <c r="B3285" s="478"/>
      <c r="C3285" s="324"/>
      <c r="D3285" s="324"/>
      <c r="E3285" s="324"/>
      <c r="F3285" s="324"/>
      <c r="G3285" s="324"/>
      <c r="H3285" s="324"/>
      <c r="I3285" s="324"/>
      <c r="J3285" s="324"/>
      <c r="K3285" s="324"/>
      <c r="L3285" s="324"/>
    </row>
    <row r="3286">
      <c r="A3286" s="324"/>
      <c r="B3286" s="478"/>
      <c r="C3286" s="324"/>
      <c r="D3286" s="324"/>
      <c r="E3286" s="324"/>
      <c r="F3286" s="324"/>
      <c r="G3286" s="324"/>
      <c r="H3286" s="324"/>
      <c r="I3286" s="324"/>
      <c r="J3286" s="324"/>
      <c r="K3286" s="324"/>
      <c r="L3286" s="324"/>
    </row>
    <row r="3287">
      <c r="A3287" s="324"/>
      <c r="B3287" s="478"/>
      <c r="C3287" s="324"/>
      <c r="D3287" s="324"/>
      <c r="E3287" s="324"/>
      <c r="F3287" s="324"/>
      <c r="G3287" s="324"/>
      <c r="H3287" s="324"/>
      <c r="I3287" s="324"/>
      <c r="J3287" s="324"/>
      <c r="K3287" s="324"/>
      <c r="L3287" s="324"/>
    </row>
    <row r="3288">
      <c r="A3288" s="324"/>
      <c r="B3288" s="478"/>
      <c r="C3288" s="324"/>
      <c r="D3288" s="324"/>
      <c r="E3288" s="324"/>
      <c r="F3288" s="324"/>
      <c r="G3288" s="324"/>
      <c r="H3288" s="324"/>
      <c r="I3288" s="324"/>
      <c r="J3288" s="324"/>
      <c r="K3288" s="324"/>
      <c r="L3288" s="324"/>
    </row>
    <row r="3289">
      <c r="A3289" s="324"/>
      <c r="B3289" s="478"/>
      <c r="C3289" s="324"/>
      <c r="D3289" s="324"/>
      <c r="E3289" s="324"/>
      <c r="F3289" s="324"/>
      <c r="G3289" s="324"/>
      <c r="H3289" s="324"/>
      <c r="I3289" s="324"/>
      <c r="J3289" s="324"/>
      <c r="K3289" s="324"/>
      <c r="L3289" s="324"/>
    </row>
    <row r="3290">
      <c r="A3290" s="324"/>
      <c r="B3290" s="478"/>
      <c r="C3290" s="324"/>
      <c r="D3290" s="324"/>
      <c r="E3290" s="324"/>
      <c r="F3290" s="324"/>
      <c r="G3290" s="324"/>
      <c r="H3290" s="324"/>
      <c r="I3290" s="324"/>
      <c r="J3290" s="324"/>
      <c r="K3290" s="324"/>
      <c r="L3290" s="324"/>
    </row>
    <row r="3291">
      <c r="A3291" s="324"/>
      <c r="B3291" s="478"/>
      <c r="C3291" s="324"/>
      <c r="D3291" s="324"/>
      <c r="E3291" s="324"/>
      <c r="F3291" s="324"/>
      <c r="G3291" s="324"/>
      <c r="H3291" s="324"/>
      <c r="I3291" s="324"/>
      <c r="J3291" s="324"/>
      <c r="K3291" s="324"/>
      <c r="L3291" s="324"/>
    </row>
    <row r="3292">
      <c r="A3292" s="324"/>
      <c r="B3292" s="478"/>
      <c r="C3292" s="324"/>
      <c r="D3292" s="324"/>
      <c r="E3292" s="324"/>
      <c r="F3292" s="324"/>
      <c r="G3292" s="324"/>
      <c r="H3292" s="324"/>
      <c r="I3292" s="324"/>
      <c r="J3292" s="324"/>
      <c r="K3292" s="324"/>
      <c r="L3292" s="324"/>
    </row>
    <row r="3293">
      <c r="A3293" s="324"/>
      <c r="B3293" s="478"/>
      <c r="C3293" s="324"/>
      <c r="D3293" s="324"/>
      <c r="E3293" s="324"/>
      <c r="F3293" s="324"/>
      <c r="G3293" s="324"/>
      <c r="H3293" s="324"/>
      <c r="I3293" s="324"/>
      <c r="J3293" s="324"/>
      <c r="K3293" s="324"/>
      <c r="L3293" s="324"/>
    </row>
    <row r="3294">
      <c r="A3294" s="324"/>
      <c r="B3294" s="478"/>
      <c r="C3294" s="324"/>
      <c r="D3294" s="324"/>
      <c r="E3294" s="324"/>
      <c r="F3294" s="324"/>
      <c r="G3294" s="324"/>
      <c r="H3294" s="324"/>
      <c r="I3294" s="324"/>
      <c r="J3294" s="324"/>
      <c r="K3294" s="324"/>
      <c r="L3294" s="324"/>
    </row>
    <row r="3295">
      <c r="A3295" s="324"/>
      <c r="B3295" s="478"/>
      <c r="C3295" s="324"/>
      <c r="D3295" s="324"/>
      <c r="E3295" s="324"/>
      <c r="F3295" s="324"/>
      <c r="G3295" s="324"/>
      <c r="H3295" s="324"/>
      <c r="I3295" s="324"/>
      <c r="J3295" s="324"/>
      <c r="K3295" s="324"/>
      <c r="L3295" s="324"/>
    </row>
    <row r="3296">
      <c r="A3296" s="324"/>
      <c r="B3296" s="478"/>
      <c r="C3296" s="324"/>
      <c r="D3296" s="324"/>
      <c r="E3296" s="324"/>
      <c r="F3296" s="324"/>
      <c r="G3296" s="324"/>
      <c r="H3296" s="324"/>
      <c r="I3296" s="324"/>
      <c r="J3296" s="324"/>
      <c r="K3296" s="324"/>
      <c r="L3296" s="324"/>
    </row>
    <row r="3297">
      <c r="A3297" s="324"/>
      <c r="B3297" s="478"/>
      <c r="C3297" s="324"/>
      <c r="D3297" s="324"/>
      <c r="E3297" s="324"/>
      <c r="F3297" s="324"/>
      <c r="G3297" s="324"/>
      <c r="H3297" s="324"/>
      <c r="I3297" s="324"/>
      <c r="J3297" s="324"/>
      <c r="K3297" s="324"/>
      <c r="L3297" s="324"/>
    </row>
    <row r="3298">
      <c r="A3298" s="324"/>
      <c r="B3298" s="478"/>
      <c r="C3298" s="324"/>
      <c r="D3298" s="324"/>
      <c r="E3298" s="324"/>
      <c r="F3298" s="324"/>
      <c r="G3298" s="324"/>
      <c r="H3298" s="324"/>
      <c r="I3298" s="324"/>
      <c r="J3298" s="324"/>
      <c r="K3298" s="324"/>
      <c r="L3298" s="324"/>
    </row>
    <row r="3299">
      <c r="A3299" s="324"/>
      <c r="B3299" s="478"/>
      <c r="C3299" s="324"/>
      <c r="D3299" s="324"/>
      <c r="E3299" s="324"/>
      <c r="F3299" s="324"/>
      <c r="G3299" s="324"/>
      <c r="H3299" s="324"/>
      <c r="I3299" s="324"/>
      <c r="J3299" s="324"/>
      <c r="K3299" s="324"/>
      <c r="L3299" s="324"/>
    </row>
    <row r="3300">
      <c r="A3300" s="324"/>
      <c r="B3300" s="478"/>
      <c r="C3300" s="324"/>
      <c r="D3300" s="324"/>
      <c r="E3300" s="324"/>
      <c r="F3300" s="324"/>
      <c r="G3300" s="324"/>
      <c r="H3300" s="324"/>
      <c r="I3300" s="324"/>
      <c r="J3300" s="324"/>
      <c r="K3300" s="324"/>
      <c r="L3300" s="324"/>
    </row>
    <row r="3301">
      <c r="A3301" s="324"/>
      <c r="B3301" s="478"/>
      <c r="C3301" s="324"/>
      <c r="D3301" s="324"/>
      <c r="E3301" s="324"/>
      <c r="F3301" s="324"/>
      <c r="G3301" s="324"/>
      <c r="H3301" s="324"/>
      <c r="I3301" s="324"/>
      <c r="J3301" s="324"/>
      <c r="K3301" s="324"/>
      <c r="L3301" s="324"/>
    </row>
    <row r="3302">
      <c r="A3302" s="324"/>
      <c r="B3302" s="478"/>
      <c r="C3302" s="324"/>
      <c r="D3302" s="324"/>
      <c r="E3302" s="324"/>
      <c r="F3302" s="324"/>
      <c r="G3302" s="324"/>
      <c r="H3302" s="324"/>
      <c r="I3302" s="324"/>
      <c r="J3302" s="324"/>
      <c r="K3302" s="324"/>
      <c r="L3302" s="324"/>
    </row>
    <row r="3303">
      <c r="A3303" s="324"/>
      <c r="B3303" s="478"/>
      <c r="C3303" s="324"/>
      <c r="D3303" s="324"/>
      <c r="E3303" s="324"/>
      <c r="F3303" s="324"/>
      <c r="G3303" s="324"/>
      <c r="H3303" s="324"/>
      <c r="I3303" s="324"/>
      <c r="J3303" s="324"/>
      <c r="K3303" s="324"/>
      <c r="L3303" s="324"/>
    </row>
    <row r="3304">
      <c r="A3304" s="324"/>
      <c r="B3304" s="478"/>
      <c r="C3304" s="324"/>
      <c r="D3304" s="324"/>
      <c r="E3304" s="324"/>
      <c r="F3304" s="324"/>
      <c r="G3304" s="324"/>
      <c r="H3304" s="324"/>
      <c r="I3304" s="324"/>
      <c r="J3304" s="324"/>
      <c r="K3304" s="324"/>
      <c r="L3304" s="324"/>
    </row>
    <row r="3305">
      <c r="A3305" s="324"/>
      <c r="B3305" s="478"/>
      <c r="C3305" s="324"/>
      <c r="D3305" s="324"/>
      <c r="E3305" s="324"/>
      <c r="F3305" s="324"/>
      <c r="G3305" s="324"/>
      <c r="H3305" s="324"/>
      <c r="I3305" s="324"/>
      <c r="J3305" s="324"/>
      <c r="K3305" s="324"/>
      <c r="L3305" s="324"/>
    </row>
    <row r="3306">
      <c r="A3306" s="324"/>
      <c r="B3306" s="478"/>
      <c r="C3306" s="324"/>
      <c r="D3306" s="324"/>
      <c r="E3306" s="324"/>
      <c r="F3306" s="324"/>
      <c r="G3306" s="324"/>
      <c r="H3306" s="324"/>
      <c r="I3306" s="324"/>
      <c r="J3306" s="324"/>
      <c r="K3306" s="324"/>
      <c r="L3306" s="324"/>
    </row>
    <row r="3307">
      <c r="A3307" s="324"/>
      <c r="B3307" s="478"/>
      <c r="C3307" s="324"/>
      <c r="D3307" s="324"/>
      <c r="E3307" s="324"/>
      <c r="F3307" s="324"/>
      <c r="G3307" s="324"/>
      <c r="H3307" s="324"/>
      <c r="I3307" s="324"/>
      <c r="J3307" s="324"/>
      <c r="K3307" s="324"/>
      <c r="L3307" s="324"/>
    </row>
    <row r="3308">
      <c r="A3308" s="324"/>
      <c r="B3308" s="478"/>
      <c r="C3308" s="324"/>
      <c r="D3308" s="324"/>
      <c r="E3308" s="324"/>
      <c r="F3308" s="324"/>
      <c r="G3308" s="324"/>
      <c r="H3308" s="324"/>
      <c r="I3308" s="324"/>
      <c r="J3308" s="324"/>
      <c r="K3308" s="324"/>
      <c r="L3308" s="324"/>
    </row>
    <row r="3309">
      <c r="A3309" s="324"/>
      <c r="B3309" s="478"/>
      <c r="C3309" s="324"/>
      <c r="D3309" s="324"/>
      <c r="E3309" s="324"/>
      <c r="F3309" s="324"/>
      <c r="G3309" s="324"/>
      <c r="H3309" s="324"/>
      <c r="I3309" s="324"/>
      <c r="J3309" s="324"/>
      <c r="K3309" s="324"/>
      <c r="L3309" s="324"/>
    </row>
    <row r="3310">
      <c r="A3310" s="324"/>
      <c r="B3310" s="478"/>
      <c r="C3310" s="324"/>
      <c r="D3310" s="324"/>
      <c r="E3310" s="324"/>
      <c r="F3310" s="324"/>
      <c r="G3310" s="324"/>
      <c r="H3310" s="324"/>
      <c r="I3310" s="324"/>
      <c r="J3310" s="324"/>
      <c r="K3310" s="324"/>
      <c r="L3310" s="324"/>
    </row>
    <row r="3311">
      <c r="A3311" s="324"/>
      <c r="B3311" s="478"/>
      <c r="C3311" s="324"/>
      <c r="D3311" s="324"/>
      <c r="E3311" s="324"/>
      <c r="F3311" s="324"/>
      <c r="G3311" s="324"/>
      <c r="H3311" s="324"/>
      <c r="I3311" s="324"/>
      <c r="J3311" s="324"/>
      <c r="K3311" s="324"/>
      <c r="L3311" s="324"/>
    </row>
    <row r="3312">
      <c r="A3312" s="324"/>
      <c r="B3312" s="478"/>
      <c r="C3312" s="324"/>
      <c r="D3312" s="324"/>
      <c r="E3312" s="324"/>
      <c r="F3312" s="324"/>
      <c r="G3312" s="324"/>
      <c r="H3312" s="324"/>
      <c r="I3312" s="324"/>
      <c r="J3312" s="324"/>
      <c r="K3312" s="324"/>
      <c r="L3312" s="324"/>
    </row>
    <row r="3313">
      <c r="A3313" s="324"/>
      <c r="B3313" s="478"/>
      <c r="C3313" s="324"/>
      <c r="D3313" s="324"/>
      <c r="E3313" s="324"/>
      <c r="F3313" s="324"/>
      <c r="G3313" s="324"/>
      <c r="H3313" s="324"/>
      <c r="I3313" s="324"/>
      <c r="J3313" s="324"/>
      <c r="K3313" s="324"/>
      <c r="L3313" s="324"/>
    </row>
    <row r="3314">
      <c r="A3314" s="324"/>
      <c r="B3314" s="478"/>
      <c r="C3314" s="324"/>
      <c r="D3314" s="324"/>
      <c r="E3314" s="324"/>
      <c r="F3314" s="324"/>
      <c r="G3314" s="324"/>
      <c r="H3314" s="324"/>
      <c r="I3314" s="324"/>
      <c r="J3314" s="324"/>
      <c r="K3314" s="324"/>
      <c r="L3314" s="324"/>
    </row>
    <row r="3315">
      <c r="A3315" s="324"/>
      <c r="B3315" s="478"/>
      <c r="C3315" s="324"/>
      <c r="D3315" s="324"/>
      <c r="E3315" s="324"/>
      <c r="F3315" s="324"/>
      <c r="G3315" s="324"/>
      <c r="H3315" s="324"/>
      <c r="I3315" s="324"/>
      <c r="J3315" s="324"/>
      <c r="K3315" s="324"/>
      <c r="L3315" s="324"/>
    </row>
    <row r="3316">
      <c r="A3316" s="324"/>
      <c r="B3316" s="478"/>
      <c r="C3316" s="324"/>
      <c r="D3316" s="324"/>
      <c r="E3316" s="324"/>
      <c r="F3316" s="324"/>
      <c r="G3316" s="324"/>
      <c r="H3316" s="324"/>
      <c r="I3316" s="324"/>
      <c r="J3316" s="324"/>
      <c r="K3316" s="324"/>
      <c r="L3316" s="324"/>
    </row>
    <row r="3317">
      <c r="A3317" s="324"/>
      <c r="B3317" s="478"/>
      <c r="C3317" s="324"/>
      <c r="D3317" s="324"/>
      <c r="E3317" s="324"/>
      <c r="F3317" s="324"/>
      <c r="G3317" s="324"/>
      <c r="H3317" s="324"/>
      <c r="I3317" s="324"/>
      <c r="J3317" s="324"/>
      <c r="K3317" s="324"/>
      <c r="L3317" s="324"/>
    </row>
    <row r="3318">
      <c r="A3318" s="324"/>
      <c r="B3318" s="478"/>
      <c r="C3318" s="324"/>
      <c r="D3318" s="324"/>
      <c r="E3318" s="324"/>
      <c r="F3318" s="324"/>
      <c r="G3318" s="324"/>
      <c r="H3318" s="324"/>
      <c r="I3318" s="324"/>
      <c r="J3318" s="324"/>
      <c r="K3318" s="324"/>
      <c r="L3318" s="324"/>
    </row>
    <row r="3319">
      <c r="A3319" s="324"/>
      <c r="B3319" s="478"/>
      <c r="C3319" s="324"/>
      <c r="D3319" s="324"/>
      <c r="E3319" s="324"/>
      <c r="F3319" s="324"/>
      <c r="G3319" s="324"/>
      <c r="H3319" s="324"/>
      <c r="I3319" s="324"/>
      <c r="J3319" s="324"/>
      <c r="K3319" s="324"/>
      <c r="L3319" s="324"/>
    </row>
    <row r="3320">
      <c r="A3320" s="324"/>
      <c r="B3320" s="478"/>
      <c r="C3320" s="324"/>
      <c r="D3320" s="324"/>
      <c r="E3320" s="324"/>
      <c r="F3320" s="324"/>
      <c r="G3320" s="324"/>
      <c r="H3320" s="324"/>
      <c r="I3320" s="324"/>
      <c r="J3320" s="324"/>
      <c r="K3320" s="324"/>
      <c r="L3320" s="324"/>
    </row>
    <row r="3321">
      <c r="A3321" s="324"/>
      <c r="B3321" s="478"/>
      <c r="C3321" s="324"/>
      <c r="D3321" s="324"/>
      <c r="E3321" s="324"/>
      <c r="F3321" s="324"/>
      <c r="G3321" s="324"/>
      <c r="H3321" s="324"/>
      <c r="I3321" s="324"/>
      <c r="J3321" s="324"/>
      <c r="K3321" s="324"/>
      <c r="L3321" s="324"/>
    </row>
    <row r="3322">
      <c r="A3322" s="324"/>
      <c r="B3322" s="478"/>
      <c r="C3322" s="324"/>
      <c r="D3322" s="324"/>
      <c r="E3322" s="324"/>
      <c r="F3322" s="324"/>
      <c r="G3322" s="324"/>
      <c r="H3322" s="324"/>
      <c r="I3322" s="324"/>
      <c r="J3322" s="324"/>
      <c r="K3322" s="324"/>
      <c r="L3322" s="324"/>
    </row>
  </sheetData>
  <conditionalFormatting sqref="E599">
    <cfRule type="notContainsBlanks" dxfId="5" priority="1">
      <formula>LEN(TRIM(E599))&gt;0</formula>
    </cfRule>
  </conditionalFormatting>
  <conditionalFormatting sqref="E1 H22:H23 H306 E1062:E3322">
    <cfRule type="expression" dxfId="4" priority="2">
      <formula>$J1="Hư hỏng"</formula>
    </cfRule>
  </conditionalFormatting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AEDFB"/>
    <outlinePr summaryBelow="0"/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0" outlineLevelRow="1"/>
  <cols>
    <col customWidth="1" min="1" max="1" width="5.13"/>
    <col customWidth="1" min="2" max="2" width="40.63"/>
    <col customWidth="1" min="3" max="3" width="9.25"/>
    <col customWidth="1" min="4" max="4" width="7.13"/>
    <col customWidth="1" min="5" max="5" width="5.88"/>
    <col customWidth="1" min="6" max="6" width="7.75"/>
    <col customWidth="1" min="7" max="7" width="6.88"/>
    <col customWidth="1" min="8" max="10" width="7.75"/>
    <col customWidth="1" min="11" max="11" width="5.63"/>
    <col customWidth="1" min="12" max="12" width="7.25"/>
    <col customWidth="1" min="13" max="14" width="7.63"/>
    <col customWidth="1" min="15" max="15" width="6.13"/>
    <col customWidth="1" min="16" max="16" width="6.88"/>
    <col customWidth="1" min="17" max="18" width="7.75"/>
    <col customWidth="1" min="19" max="19" width="6.88"/>
    <col customWidth="1" min="20" max="20" width="6.13"/>
    <col customWidth="1" min="21" max="21" width="7.75"/>
    <col customWidth="1" min="22" max="22" width="10.25"/>
    <col customWidth="1" min="23" max="23" width="6.88"/>
    <col customWidth="1" min="24" max="24" width="8.13"/>
    <col customWidth="1" min="25" max="25" width="7.25"/>
    <col customWidth="1" min="26" max="26" width="9.38"/>
    <col customWidth="1" min="27" max="27" width="9.75"/>
    <col customWidth="1" min="28" max="28" width="9.13"/>
    <col customWidth="1" min="29" max="29" width="7.88"/>
    <col customWidth="1" min="30" max="30" width="8.13"/>
    <col customWidth="1" min="31" max="32" width="12.75"/>
    <col customWidth="1" hidden="1" min="33" max="33" width="12.75"/>
    <col customWidth="1" hidden="1" min="34" max="34" width="8.88"/>
  </cols>
  <sheetData>
    <row r="1" ht="14.25" customHeight="1">
      <c r="B1" s="2"/>
      <c r="C1" s="4"/>
      <c r="D1" s="4"/>
      <c r="E1" s="4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13"/>
      <c r="AH1" s="13"/>
    </row>
    <row r="2" ht="41.25" customHeight="1">
      <c r="A2" s="19" t="s">
        <v>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30"/>
      <c r="AF2" s="31"/>
      <c r="AG2" s="31"/>
      <c r="AH2" s="33"/>
    </row>
    <row r="3" ht="29.25" customHeight="1">
      <c r="A3" s="36" t="s">
        <v>15</v>
      </c>
      <c r="B3" s="38" t="s">
        <v>16</v>
      </c>
      <c r="C3" s="39" t="s">
        <v>17</v>
      </c>
      <c r="D3" s="38" t="s">
        <v>20</v>
      </c>
      <c r="E3" s="38" t="s">
        <v>24</v>
      </c>
      <c r="F3" s="43" t="s">
        <v>28</v>
      </c>
      <c r="G3" s="23"/>
      <c r="H3" s="23"/>
      <c r="I3" s="23"/>
      <c r="J3" s="23"/>
      <c r="K3" s="23"/>
      <c r="L3" s="23"/>
      <c r="M3" s="23"/>
      <c r="N3" s="30"/>
      <c r="O3" s="44" t="s">
        <v>35</v>
      </c>
      <c r="P3" s="23"/>
      <c r="Q3" s="23"/>
      <c r="R3" s="30"/>
      <c r="S3" s="47" t="s">
        <v>36</v>
      </c>
      <c r="T3" s="23"/>
      <c r="U3" s="23"/>
      <c r="V3" s="30"/>
      <c r="W3" s="49" t="s">
        <v>38</v>
      </c>
      <c r="X3" s="23"/>
      <c r="Y3" s="23"/>
      <c r="Z3" s="23"/>
      <c r="AA3" s="23"/>
      <c r="AB3" s="23"/>
      <c r="AC3" s="23"/>
      <c r="AD3" s="30"/>
      <c r="AE3" s="52" t="s">
        <v>39</v>
      </c>
      <c r="AF3" s="54" t="s">
        <v>40</v>
      </c>
      <c r="AG3" s="56"/>
      <c r="AH3" s="38" t="s">
        <v>43</v>
      </c>
    </row>
    <row r="4" ht="14.25" customHeight="1">
      <c r="A4" s="58"/>
      <c r="B4" s="58"/>
      <c r="C4" s="58"/>
      <c r="D4" s="58"/>
      <c r="E4" s="58"/>
      <c r="F4" s="60" t="s">
        <v>44</v>
      </c>
      <c r="G4" s="60" t="s">
        <v>45</v>
      </c>
      <c r="H4" s="60" t="s">
        <v>46</v>
      </c>
      <c r="I4" s="60" t="s">
        <v>47</v>
      </c>
      <c r="J4" s="60" t="s">
        <v>48</v>
      </c>
      <c r="K4" s="60" t="s">
        <v>49</v>
      </c>
      <c r="L4" s="60" t="s">
        <v>50</v>
      </c>
      <c r="M4" s="60" t="s">
        <v>51</v>
      </c>
      <c r="N4" s="65" t="s">
        <v>52</v>
      </c>
      <c r="O4" s="60" t="s">
        <v>55</v>
      </c>
      <c r="P4" s="60" t="s">
        <v>56</v>
      </c>
      <c r="Q4" s="60" t="s">
        <v>57</v>
      </c>
      <c r="R4" s="60" t="s">
        <v>58</v>
      </c>
      <c r="S4" s="60" t="s">
        <v>59</v>
      </c>
      <c r="T4" s="60" t="s">
        <v>61</v>
      </c>
      <c r="U4" s="60" t="s">
        <v>62</v>
      </c>
      <c r="V4" s="65" t="s">
        <v>63</v>
      </c>
      <c r="W4" s="60" t="s">
        <v>64</v>
      </c>
      <c r="X4" s="60" t="s">
        <v>65</v>
      </c>
      <c r="Y4" s="60" t="s">
        <v>66</v>
      </c>
      <c r="Z4" s="60" t="s">
        <v>67</v>
      </c>
      <c r="AA4" s="60" t="s">
        <v>68</v>
      </c>
      <c r="AB4" s="65" t="s">
        <v>69</v>
      </c>
      <c r="AC4" s="60" t="s">
        <v>70</v>
      </c>
      <c r="AD4" s="60" t="s">
        <v>71</v>
      </c>
      <c r="AE4" s="58"/>
      <c r="AF4" s="58"/>
      <c r="AG4" s="56"/>
      <c r="AH4" s="58"/>
    </row>
    <row r="5" ht="24.0" customHeight="1" collapsed="1">
      <c r="A5" s="70">
        <v>1.0</v>
      </c>
      <c r="B5" s="73" t="s">
        <v>73</v>
      </c>
      <c r="C5" s="78"/>
      <c r="D5" s="78" t="str">
        <f>IFERROR(VLOOKUP(B5,'Danh mục'!$G:$U,15,0),"")</f>
        <v/>
      </c>
      <c r="E5" s="78"/>
      <c r="F5" s="93">
        <f t="shared" ref="F5:AE5" si="1">SUM(F6:F16)</f>
        <v>17</v>
      </c>
      <c r="G5" s="93">
        <f t="shared" si="1"/>
        <v>0</v>
      </c>
      <c r="H5" s="93">
        <f t="shared" si="1"/>
        <v>1</v>
      </c>
      <c r="I5" s="93">
        <f t="shared" si="1"/>
        <v>1</v>
      </c>
      <c r="J5" s="93">
        <f t="shared" si="1"/>
        <v>1</v>
      </c>
      <c r="K5" s="93">
        <f t="shared" si="1"/>
        <v>0</v>
      </c>
      <c r="L5" s="93">
        <f t="shared" si="1"/>
        <v>0</v>
      </c>
      <c r="M5" s="93">
        <f t="shared" si="1"/>
        <v>0</v>
      </c>
      <c r="N5" s="93">
        <f t="shared" si="1"/>
        <v>0</v>
      </c>
      <c r="O5" s="93">
        <f t="shared" si="1"/>
        <v>8</v>
      </c>
      <c r="P5" s="93">
        <f t="shared" si="1"/>
        <v>0</v>
      </c>
      <c r="Q5" s="93">
        <f t="shared" si="1"/>
        <v>3</v>
      </c>
      <c r="R5" s="93">
        <f t="shared" si="1"/>
        <v>5</v>
      </c>
      <c r="S5" s="93">
        <f t="shared" si="1"/>
        <v>13</v>
      </c>
      <c r="T5" s="93">
        <f t="shared" si="1"/>
        <v>0</v>
      </c>
      <c r="U5" s="93">
        <f t="shared" si="1"/>
        <v>3</v>
      </c>
      <c r="V5" s="93">
        <f t="shared" si="1"/>
        <v>0</v>
      </c>
      <c r="W5" s="93">
        <f t="shared" si="1"/>
        <v>0</v>
      </c>
      <c r="X5" s="93">
        <f t="shared" si="1"/>
        <v>0</v>
      </c>
      <c r="Y5" s="93">
        <f t="shared" si="1"/>
        <v>0</v>
      </c>
      <c r="Z5" s="93">
        <f t="shared" si="1"/>
        <v>0</v>
      </c>
      <c r="AA5" s="93">
        <f t="shared" si="1"/>
        <v>0</v>
      </c>
      <c r="AB5" s="93">
        <f t="shared" si="1"/>
        <v>0</v>
      </c>
      <c r="AC5" s="93">
        <f t="shared" si="1"/>
        <v>0</v>
      </c>
      <c r="AD5" s="93">
        <f t="shared" si="1"/>
        <v>0</v>
      </c>
      <c r="AE5" s="111">
        <f t="shared" si="1"/>
        <v>52</v>
      </c>
      <c r="AF5" s="114">
        <v>8.0</v>
      </c>
      <c r="AG5" s="93">
        <f>AE5+AE17+AE25+AE28+AE33+AE48+AE57+AE67+AE77+AE85+AE90+AE128+AE134+AE140+AE147+AE159+AE162+AE164+AE166+AE168+AE170+AE180+AE183+AE202+AE205+AE230+AE254+AE256</f>
        <v>1384</v>
      </c>
      <c r="AH5" s="120"/>
    </row>
    <row r="6" ht="18.75" hidden="1" customHeight="1" outlineLevel="1">
      <c r="A6" s="121"/>
      <c r="B6" s="122" t="s">
        <v>100</v>
      </c>
      <c r="C6" s="123" t="s">
        <v>101</v>
      </c>
      <c r="D6" s="124" t="str">
        <f>IFERROR(VLOOKUP(B6,'Danh mục'!$G:$U,15,0),"")</f>
        <v>5340 x 1980 x 1895</v>
      </c>
      <c r="E6" s="124" t="s">
        <v>108</v>
      </c>
      <c r="F6" s="126">
        <f>COUNTIFS('TỔNG KLH + TN'!$B:$B,'01. TH'!$B6,'TỔNG KLH + TN'!$C:$C,'01. TH'!F$4)</f>
        <v>0</v>
      </c>
      <c r="G6" s="126">
        <f>COUNTIFS('TỔNG KLH + TN'!$B:$B,'01. TH'!$B6,'TỔNG KLH + TN'!$C:$C,'01. TH'!G$4)</f>
        <v>0</v>
      </c>
      <c r="H6" s="126">
        <f>COUNTIFS('TỔNG KLH + TN'!$B:$B,'01. TH'!$B6,'TỔNG KLH + TN'!$C:$C,'01. TH'!H$4)</f>
        <v>0</v>
      </c>
      <c r="I6" s="126">
        <f>COUNTIFS('TỔNG KLH + TN'!$B:$B,'01. TH'!$B6,'TỔNG KLH + TN'!$C:$C,'01. TH'!I$4)</f>
        <v>0</v>
      </c>
      <c r="J6" s="126">
        <f>COUNTIFS('TỔNG KLH + TN'!$B:$B,'01. TH'!$B6,'TỔNG KLH + TN'!$C:$C,'01. TH'!J$4)</f>
        <v>0</v>
      </c>
      <c r="K6" s="126">
        <f>COUNTIFS('TỔNG KLH + TN'!$B:$B,'01. TH'!$B6,'TỔNG KLH + TN'!$C:$C,'01. TH'!K$4)</f>
        <v>0</v>
      </c>
      <c r="L6" s="126">
        <f>COUNTIFS('TỔNG KLH + TN'!$B:$B,'01. TH'!$B6,'TỔNG KLH + TN'!$C:$C,'01. TH'!L$4)</f>
        <v>0</v>
      </c>
      <c r="M6" s="126">
        <f>COUNTIFS('TỔNG KLH + TN'!$B:$B,'01. TH'!$B6,'TỔNG KLH + TN'!$C:$C,'01. TH'!M$4)</f>
        <v>0</v>
      </c>
      <c r="N6" s="126">
        <f>COUNTIFS('TỔNG KLH + TN'!$B:$B,'01. TH'!$B6,'TỔNG KLH + TN'!$C:$C,'01. TH'!N$4)</f>
        <v>0</v>
      </c>
      <c r="O6" s="126">
        <f>COUNTIFS('TỔNG KLH + TN'!$B:$B,'01. TH'!$B6,'TỔNG KLH + TN'!$C:$C,'01. TH'!O$4)</f>
        <v>0</v>
      </c>
      <c r="P6" s="126">
        <f>COUNTIFS('TỔNG KLH + TN'!$B:$B,'01. TH'!$B6,'TỔNG KLH + TN'!$C:$C,'01. TH'!P$4)</f>
        <v>0</v>
      </c>
      <c r="Q6" s="126">
        <f>COUNTIFS('TỔNG KLH + TN'!$B:$B,'01. TH'!$B6,'TỔNG KLH + TN'!$C:$C,'01. TH'!Q$4)</f>
        <v>0</v>
      </c>
      <c r="R6" s="126">
        <f>COUNTIFS('TỔNG KLH + TN'!$B:$B,'01. TH'!$B6,'TỔNG KLH + TN'!$C:$C,'01. TH'!R$4)</f>
        <v>1</v>
      </c>
      <c r="S6" s="126">
        <f>COUNTIFS('TỔNG KLH + TN'!$B:$B,'01. TH'!$B6,'TỔNG KLH + TN'!$C:$C,'01. TH'!S$4)</f>
        <v>1</v>
      </c>
      <c r="T6" s="126">
        <f>COUNTIFS('TỔNG KLH + TN'!$B:$B,'01. TH'!$B6,'TỔNG KLH + TN'!$C:$C,'01. TH'!T$4)</f>
        <v>0</v>
      </c>
      <c r="U6" s="126">
        <f>COUNTIFS('TỔNG KLH + TN'!$B:$B,'01. TH'!$B6,'TỔNG KLH + TN'!$C:$C,'01. TH'!U$4)</f>
        <v>0</v>
      </c>
      <c r="V6" s="126">
        <f>COUNTIFS('TỔNG KLH + TN'!$B:$B,'01. TH'!$B6,'TỔNG KLH + TN'!$C:$C,'01. TH'!V$4)</f>
        <v>0</v>
      </c>
      <c r="W6" s="126">
        <f>COUNTIFS('TỔNG KLH + TN'!$B:$B,'01. TH'!$B6,'TỔNG KLH + TN'!$C:$C,'01. TH'!W$4)</f>
        <v>0</v>
      </c>
      <c r="X6" s="126">
        <f>COUNTIFS('TỔNG KLH + TN'!$B:$B,'01. TH'!$B6,'TỔNG KLH + TN'!$C:$C,'01. TH'!X$4)</f>
        <v>0</v>
      </c>
      <c r="Y6" s="126">
        <f>COUNTIFS('TỔNG KLH + TN'!$B:$B,'01. TH'!$B6,'TỔNG KLH + TN'!$C:$C,'01. TH'!Y$4)</f>
        <v>0</v>
      </c>
      <c r="Z6" s="126">
        <f>COUNTIFS('TỔNG KLH + TN'!$B:$B,'01. TH'!$B6,'TỔNG KLH + TN'!$C:$C,'01. TH'!Z$4)</f>
        <v>0</v>
      </c>
      <c r="AA6" s="126">
        <f>COUNTIFS('TỔNG KLH + TN'!$B:$B,'01. TH'!$B6,'TỔNG KLH + TN'!$C:$C,'01. TH'!AA$4)</f>
        <v>0</v>
      </c>
      <c r="AB6" s="126">
        <f>COUNTIFS('TỔNG KLH + TN'!$B:$B,'01. TH'!$B6,'TỔNG KLH + TN'!$C:$C,'01. TH'!AB$4)</f>
        <v>0</v>
      </c>
      <c r="AC6" s="126">
        <f>COUNTIFS('TỔNG KLH + TN'!$B:$B,'01. TH'!$B6,'TỔNG KLH + TN'!$C:$C,'01. TH'!AC$4)</f>
        <v>0</v>
      </c>
      <c r="AD6" s="126">
        <f>COUNTIFS('TỔNG KLH + TN'!$B:$B,'01. TH'!$B6,'TỔNG KLH + TN'!$C:$C,'01. TH'!AD$4)</f>
        <v>0</v>
      </c>
      <c r="AE6" s="136">
        <f t="shared" ref="AE6:AE16" si="2">SUM(F6:AD6)</f>
        <v>2</v>
      </c>
      <c r="AF6" s="136"/>
      <c r="AG6" s="70" t="str">
        <f t="shared" ref="AG6:AG96" si="3">IF(AE6=SUM(F6:AD6),"ok","SAI")</f>
        <v>ok</v>
      </c>
      <c r="AH6" s="124"/>
    </row>
    <row r="7" ht="18.75" hidden="1" customHeight="1" outlineLevel="1">
      <c r="A7" s="121"/>
      <c r="B7" s="122" t="s">
        <v>99</v>
      </c>
      <c r="C7" s="123" t="s">
        <v>158</v>
      </c>
      <c r="D7" s="124" t="str">
        <f>IFERROR(VLOOKUP(B7,'Danh mục'!$G:$U,15,0),"")</f>
        <v>7235 x 2496 x 3351</v>
      </c>
      <c r="E7" s="124" t="s">
        <v>108</v>
      </c>
      <c r="F7" s="126">
        <f>COUNTIFS('TỔNG KLH + TN'!$B:$B,'01. TH'!$B7,'TỔNG KLH + TN'!$C:$C,'01. TH'!F$4)</f>
        <v>2</v>
      </c>
      <c r="G7" s="126">
        <f>COUNTIFS('TỔNG KLH + TN'!$B:$B,'01. TH'!$B7,'TỔNG KLH + TN'!$C:$C,'01. TH'!G$4)</f>
        <v>0</v>
      </c>
      <c r="H7" s="126">
        <f>COUNTIFS('TỔNG KLH + TN'!$B:$B,'01. TH'!$B7,'TỔNG KLH + TN'!$C:$C,'01. TH'!H$4)</f>
        <v>0</v>
      </c>
      <c r="I7" s="126">
        <f>COUNTIFS('TỔNG KLH + TN'!$B:$B,'01. TH'!$B7,'TỔNG KLH + TN'!$C:$C,'01. TH'!I$4)</f>
        <v>0</v>
      </c>
      <c r="J7" s="126">
        <f>COUNTIFS('TỔNG KLH + TN'!$B:$B,'01. TH'!$B7,'TỔNG KLH + TN'!$C:$C,'01. TH'!J$4)</f>
        <v>0</v>
      </c>
      <c r="K7" s="126">
        <f>COUNTIFS('TỔNG KLH + TN'!$B:$B,'01. TH'!$B7,'TỔNG KLH + TN'!$C:$C,'01. TH'!K$4)</f>
        <v>0</v>
      </c>
      <c r="L7" s="126">
        <f>COUNTIFS('TỔNG KLH + TN'!$B:$B,'01. TH'!$B7,'TỔNG KLH + TN'!$C:$C,'01. TH'!L$4)</f>
        <v>0</v>
      </c>
      <c r="M7" s="126">
        <f>COUNTIFS('TỔNG KLH + TN'!$B:$B,'01. TH'!$B7,'TỔNG KLH + TN'!$C:$C,'01. TH'!M$4)</f>
        <v>0</v>
      </c>
      <c r="N7" s="126">
        <f>COUNTIFS('TỔNG KLH + TN'!$B:$B,'01. TH'!$B7,'TỔNG KLH + TN'!$C:$C,'01. TH'!N$4)</f>
        <v>0</v>
      </c>
      <c r="O7" s="126">
        <f>COUNTIFS('TỔNG KLH + TN'!$B:$B,'01. TH'!$B7,'TỔNG KLH + TN'!$C:$C,'01. TH'!O$4)</f>
        <v>2</v>
      </c>
      <c r="P7" s="126">
        <f>COUNTIFS('TỔNG KLH + TN'!$B:$B,'01. TH'!$B7,'TỔNG KLH + TN'!$C:$C,'01. TH'!P$4)</f>
        <v>0</v>
      </c>
      <c r="Q7" s="126">
        <f>COUNTIFS('TỔNG KLH + TN'!$B:$B,'01. TH'!$B7,'TỔNG KLH + TN'!$C:$C,'01. TH'!Q$4)</f>
        <v>0</v>
      </c>
      <c r="R7" s="126">
        <f>COUNTIFS('TỔNG KLH + TN'!$B:$B,'01. TH'!$B7,'TỔNG KLH + TN'!$C:$C,'01. TH'!R$4)</f>
        <v>0</v>
      </c>
      <c r="S7" s="126">
        <f>COUNTIFS('TỔNG KLH + TN'!$B:$B,'01. TH'!$B7,'TỔNG KLH + TN'!$C:$C,'01. TH'!S$4)</f>
        <v>2</v>
      </c>
      <c r="T7" s="126">
        <f>COUNTIFS('TỔNG KLH + TN'!$B:$B,'01. TH'!$B7,'TỔNG KLH + TN'!$C:$C,'01. TH'!T$4)</f>
        <v>0</v>
      </c>
      <c r="U7" s="126">
        <f>COUNTIFS('TỔNG KLH + TN'!$B:$B,'01. TH'!$B7,'TỔNG KLH + TN'!$C:$C,'01. TH'!U$4)</f>
        <v>0</v>
      </c>
      <c r="V7" s="126">
        <f>COUNTIFS('TỔNG KLH + TN'!$B:$B,'01. TH'!$B7,'TỔNG KLH + TN'!$C:$C,'01. TH'!V$4)</f>
        <v>0</v>
      </c>
      <c r="W7" s="126">
        <f>COUNTIFS('TỔNG KLH + TN'!$B:$B,'01. TH'!$B7,'TỔNG KLH + TN'!$C:$C,'01. TH'!W$4)</f>
        <v>0</v>
      </c>
      <c r="X7" s="126">
        <f>COUNTIFS('TỔNG KLH + TN'!$B:$B,'01. TH'!$B7,'TỔNG KLH + TN'!$C:$C,'01. TH'!X$4)</f>
        <v>0</v>
      </c>
      <c r="Y7" s="126">
        <f>COUNTIFS('TỔNG KLH + TN'!$B:$B,'01. TH'!$B7,'TỔNG KLH + TN'!$C:$C,'01. TH'!Y$4)</f>
        <v>0</v>
      </c>
      <c r="Z7" s="126">
        <f>COUNTIFS('TỔNG KLH + TN'!$B:$B,'01. TH'!$B7,'TỔNG KLH + TN'!$C:$C,'01. TH'!Z$4)</f>
        <v>0</v>
      </c>
      <c r="AA7" s="126">
        <f>COUNTIFS('TỔNG KLH + TN'!$B:$B,'01. TH'!$B7,'TỔNG KLH + TN'!$C:$C,'01. TH'!AA$4)</f>
        <v>0</v>
      </c>
      <c r="AB7" s="126">
        <f>COUNTIFS('TỔNG KLH + TN'!$B:$B,'01. TH'!$B7,'TỔNG KLH + TN'!$C:$C,'01. TH'!AB$4)</f>
        <v>0</v>
      </c>
      <c r="AC7" s="126">
        <f>COUNTIFS('TỔNG KLH + TN'!$B:$B,'01. TH'!$B7,'TỔNG KLH + TN'!$C:$C,'01. TH'!AC$4)</f>
        <v>0</v>
      </c>
      <c r="AD7" s="126">
        <f>COUNTIFS('TỔNG KLH + TN'!$B:$B,'01. TH'!$B7,'TỔNG KLH + TN'!$C:$C,'01. TH'!AD$4)</f>
        <v>0</v>
      </c>
      <c r="AE7" s="136">
        <f t="shared" si="2"/>
        <v>6</v>
      </c>
      <c r="AF7" s="136"/>
      <c r="AG7" s="70" t="str">
        <f t="shared" si="3"/>
        <v>ok</v>
      </c>
      <c r="AH7" s="124"/>
    </row>
    <row r="8" ht="18.75" hidden="1" customHeight="1" outlineLevel="1">
      <c r="A8" s="121"/>
      <c r="B8" s="122" t="s">
        <v>82</v>
      </c>
      <c r="C8" s="123" t="s">
        <v>158</v>
      </c>
      <c r="D8" s="124" t="str">
        <f>IFERROR(VLOOKUP(B8,'Danh mục'!$G:$U,15,0),"")</f>
        <v>9560 x 2800 x 3160</v>
      </c>
      <c r="E8" s="124" t="s">
        <v>108</v>
      </c>
      <c r="F8" s="126">
        <f>COUNTIFS('TỔNG KLH + TN'!$B:$B,'01. TH'!$B8,'TỔNG KLH + TN'!$C:$C,'01. TH'!F$4)</f>
        <v>1</v>
      </c>
      <c r="G8" s="126">
        <f>COUNTIFS('TỔNG KLH + TN'!$B:$B,'01. TH'!$B8,'TỔNG KLH + TN'!$C:$C,'01. TH'!G$4)</f>
        <v>0</v>
      </c>
      <c r="H8" s="126">
        <f>COUNTIFS('TỔNG KLH + TN'!$B:$B,'01. TH'!$B8,'TỔNG KLH + TN'!$C:$C,'01. TH'!H$4)</f>
        <v>0</v>
      </c>
      <c r="I8" s="126">
        <f>COUNTIFS('TỔNG KLH + TN'!$B:$B,'01. TH'!$B8,'TỔNG KLH + TN'!$C:$C,'01. TH'!I$4)</f>
        <v>0</v>
      </c>
      <c r="J8" s="126">
        <f>COUNTIFS('TỔNG KLH + TN'!$B:$B,'01. TH'!$B8,'TỔNG KLH + TN'!$C:$C,'01. TH'!J$4)</f>
        <v>0</v>
      </c>
      <c r="K8" s="126">
        <f>COUNTIFS('TỔNG KLH + TN'!$B:$B,'01. TH'!$B8,'TỔNG KLH + TN'!$C:$C,'01. TH'!K$4)</f>
        <v>0</v>
      </c>
      <c r="L8" s="126">
        <f>COUNTIFS('TỔNG KLH + TN'!$B:$B,'01. TH'!$B8,'TỔNG KLH + TN'!$C:$C,'01. TH'!L$4)</f>
        <v>0</v>
      </c>
      <c r="M8" s="126">
        <f>COUNTIFS('TỔNG KLH + TN'!$B:$B,'01. TH'!$B8,'TỔNG KLH + TN'!$C:$C,'01. TH'!M$4)</f>
        <v>0</v>
      </c>
      <c r="N8" s="126">
        <f>COUNTIFS('TỔNG KLH + TN'!$B:$B,'01. TH'!$B8,'TỔNG KLH + TN'!$C:$C,'01. TH'!N$4)</f>
        <v>0</v>
      </c>
      <c r="O8" s="126">
        <f>COUNTIFS('TỔNG KLH + TN'!$B:$B,'01. TH'!$B8,'TỔNG KLH + TN'!$C:$C,'01. TH'!O$4)</f>
        <v>0</v>
      </c>
      <c r="P8" s="126">
        <f>COUNTIFS('TỔNG KLH + TN'!$B:$B,'01. TH'!$B8,'TỔNG KLH + TN'!$C:$C,'01. TH'!P$4)</f>
        <v>0</v>
      </c>
      <c r="Q8" s="126">
        <f>COUNTIFS('TỔNG KLH + TN'!$B:$B,'01. TH'!$B8,'TỔNG KLH + TN'!$C:$C,'01. TH'!Q$4)</f>
        <v>0</v>
      </c>
      <c r="R8" s="126">
        <f>COUNTIFS('TỔNG KLH + TN'!$B:$B,'01. TH'!$B8,'TỔNG KLH + TN'!$C:$C,'01. TH'!R$4)</f>
        <v>0</v>
      </c>
      <c r="S8" s="126">
        <f>COUNTIFS('TỔNG KLH + TN'!$B:$B,'01. TH'!$B8,'TỔNG KLH + TN'!$C:$C,'01. TH'!S$4)</f>
        <v>0</v>
      </c>
      <c r="T8" s="126">
        <f>COUNTIFS('TỔNG KLH + TN'!$B:$B,'01. TH'!$B8,'TỔNG KLH + TN'!$C:$C,'01. TH'!T$4)</f>
        <v>0</v>
      </c>
      <c r="U8" s="126">
        <f>COUNTIFS('TỔNG KLH + TN'!$B:$B,'01. TH'!$B8,'TỔNG KLH + TN'!$C:$C,'01. TH'!U$4)</f>
        <v>0</v>
      </c>
      <c r="V8" s="126">
        <f>COUNTIFS('TỔNG KLH + TN'!$B:$B,'01. TH'!$B8,'TỔNG KLH + TN'!$C:$C,'01. TH'!V$4)</f>
        <v>0</v>
      </c>
      <c r="W8" s="126">
        <f>COUNTIFS('TỔNG KLH + TN'!$B:$B,'01. TH'!$B8,'TỔNG KLH + TN'!$C:$C,'01. TH'!W$4)</f>
        <v>0</v>
      </c>
      <c r="X8" s="126">
        <f>COUNTIFS('TỔNG KLH + TN'!$B:$B,'01. TH'!$B8,'TỔNG KLH + TN'!$C:$C,'01. TH'!X$4)</f>
        <v>0</v>
      </c>
      <c r="Y8" s="126">
        <f>COUNTIFS('TỔNG KLH + TN'!$B:$B,'01. TH'!$B8,'TỔNG KLH + TN'!$C:$C,'01. TH'!Y$4)</f>
        <v>0</v>
      </c>
      <c r="Z8" s="126">
        <f>COUNTIFS('TỔNG KLH + TN'!$B:$B,'01. TH'!$B8,'TỔNG KLH + TN'!$C:$C,'01. TH'!Z$4)</f>
        <v>0</v>
      </c>
      <c r="AA8" s="126">
        <f>COUNTIFS('TỔNG KLH + TN'!$B:$B,'01. TH'!$B8,'TỔNG KLH + TN'!$C:$C,'01. TH'!AA$4)</f>
        <v>0</v>
      </c>
      <c r="AB8" s="126">
        <f>COUNTIFS('TỔNG KLH + TN'!$B:$B,'01. TH'!$B8,'TỔNG KLH + TN'!$C:$C,'01. TH'!AB$4)</f>
        <v>0</v>
      </c>
      <c r="AC8" s="126">
        <f>COUNTIFS('TỔNG KLH + TN'!$B:$B,'01. TH'!$B8,'TỔNG KLH + TN'!$C:$C,'01. TH'!AC$4)</f>
        <v>0</v>
      </c>
      <c r="AD8" s="126">
        <f>COUNTIFS('TỔNG KLH + TN'!$B:$B,'01. TH'!$B8,'TỔNG KLH + TN'!$C:$C,'01. TH'!AD$4)</f>
        <v>0</v>
      </c>
      <c r="AE8" s="136">
        <f t="shared" si="2"/>
        <v>1</v>
      </c>
      <c r="AF8" s="136"/>
      <c r="AG8" s="70" t="str">
        <f t="shared" si="3"/>
        <v>ok</v>
      </c>
      <c r="AH8" s="124"/>
    </row>
    <row r="9" ht="18.75" hidden="1" customHeight="1" outlineLevel="1">
      <c r="A9" s="121"/>
      <c r="B9" s="122" t="s">
        <v>267</v>
      </c>
      <c r="C9" s="123" t="s">
        <v>158</v>
      </c>
      <c r="D9" s="124" t="str">
        <f>IFERROR(VLOOKUP(B9,'Danh mục'!$G:$U,15,0),"")</f>
        <v>8358 x 2540 x 3200</v>
      </c>
      <c r="E9" s="124" t="s">
        <v>108</v>
      </c>
      <c r="F9" s="126">
        <f>COUNTIFS('TỔNG KLH + TN'!$B:$B,'01. TH'!$B9,'TỔNG KLH + TN'!$C:$C,'01. TH'!F$4)</f>
        <v>1</v>
      </c>
      <c r="G9" s="126">
        <f>COUNTIFS('TỔNG KLH + TN'!$B:$B,'01. TH'!$B9,'TỔNG KLH + TN'!$C:$C,'01. TH'!G$4)</f>
        <v>0</v>
      </c>
      <c r="H9" s="126">
        <f>COUNTIFS('TỔNG KLH + TN'!$B:$B,'01. TH'!$B9,'TỔNG KLH + TN'!$C:$C,'01. TH'!H$4)</f>
        <v>0</v>
      </c>
      <c r="I9" s="126">
        <f>COUNTIFS('TỔNG KLH + TN'!$B:$B,'01. TH'!$B9,'TỔNG KLH + TN'!$C:$C,'01. TH'!I$4)</f>
        <v>0</v>
      </c>
      <c r="J9" s="126">
        <f>COUNTIFS('TỔNG KLH + TN'!$B:$B,'01. TH'!$B9,'TỔNG KLH + TN'!$C:$C,'01. TH'!J$4)</f>
        <v>0</v>
      </c>
      <c r="K9" s="126">
        <f>COUNTIFS('TỔNG KLH + TN'!$B:$B,'01. TH'!$B9,'TỔNG KLH + TN'!$C:$C,'01. TH'!K$4)</f>
        <v>0</v>
      </c>
      <c r="L9" s="126">
        <f>COUNTIFS('TỔNG KLH + TN'!$B:$B,'01. TH'!$B9,'TỔNG KLH + TN'!$C:$C,'01. TH'!L$4)</f>
        <v>0</v>
      </c>
      <c r="M9" s="126">
        <f>COUNTIFS('TỔNG KLH + TN'!$B:$B,'01. TH'!$B9,'TỔNG KLH + TN'!$C:$C,'01. TH'!M$4)</f>
        <v>0</v>
      </c>
      <c r="N9" s="126">
        <f>COUNTIFS('TỔNG KLH + TN'!$B:$B,'01. TH'!$B9,'TỔNG KLH + TN'!$C:$C,'01. TH'!N$4)</f>
        <v>0</v>
      </c>
      <c r="O9" s="126">
        <f>COUNTIFS('TỔNG KLH + TN'!$B:$B,'01. TH'!$B9,'TỔNG KLH + TN'!$C:$C,'01. TH'!O$4)</f>
        <v>1</v>
      </c>
      <c r="P9" s="126">
        <f>COUNTIFS('TỔNG KLH + TN'!$B:$B,'01. TH'!$B9,'TỔNG KLH + TN'!$C:$C,'01. TH'!P$4)</f>
        <v>0</v>
      </c>
      <c r="Q9" s="126">
        <f>COUNTIFS('TỔNG KLH + TN'!$B:$B,'01. TH'!$B9,'TỔNG KLH + TN'!$C:$C,'01. TH'!Q$4)</f>
        <v>0</v>
      </c>
      <c r="R9" s="126">
        <f>COUNTIFS('TỔNG KLH + TN'!$B:$B,'01. TH'!$B9,'TỔNG KLH + TN'!$C:$C,'01. TH'!R$4)</f>
        <v>0</v>
      </c>
      <c r="S9" s="126">
        <f>COUNTIFS('TỔNG KLH + TN'!$B:$B,'01. TH'!$B9,'TỔNG KLH + TN'!$C:$C,'01. TH'!S$4)</f>
        <v>0</v>
      </c>
      <c r="T9" s="126">
        <f>COUNTIFS('TỔNG KLH + TN'!$B:$B,'01. TH'!$B9,'TỔNG KLH + TN'!$C:$C,'01. TH'!T$4)</f>
        <v>0</v>
      </c>
      <c r="U9" s="126">
        <f>COUNTIFS('TỔNG KLH + TN'!$B:$B,'01. TH'!$B9,'TỔNG KLH + TN'!$C:$C,'01. TH'!U$4)</f>
        <v>1</v>
      </c>
      <c r="V9" s="126">
        <f>COUNTIFS('TỔNG KLH + TN'!$B:$B,'01. TH'!$B9,'TỔNG KLH + TN'!$C:$C,'01. TH'!V$4)</f>
        <v>0</v>
      </c>
      <c r="W9" s="126">
        <f>COUNTIFS('TỔNG KLH + TN'!$B:$B,'01. TH'!$B9,'TỔNG KLH + TN'!$C:$C,'01. TH'!W$4)</f>
        <v>0</v>
      </c>
      <c r="X9" s="126">
        <f>COUNTIFS('TỔNG KLH + TN'!$B:$B,'01. TH'!$B9,'TỔNG KLH + TN'!$C:$C,'01. TH'!X$4)</f>
        <v>0</v>
      </c>
      <c r="Y9" s="126">
        <f>COUNTIFS('TỔNG KLH + TN'!$B:$B,'01. TH'!$B9,'TỔNG KLH + TN'!$C:$C,'01. TH'!Y$4)</f>
        <v>0</v>
      </c>
      <c r="Z9" s="126">
        <f>COUNTIFS('TỔNG KLH + TN'!$B:$B,'01. TH'!$B9,'TỔNG KLH + TN'!$C:$C,'01. TH'!Z$4)</f>
        <v>0</v>
      </c>
      <c r="AA9" s="126">
        <f>COUNTIFS('TỔNG KLH + TN'!$B:$B,'01. TH'!$B9,'TỔNG KLH + TN'!$C:$C,'01. TH'!AA$4)</f>
        <v>0</v>
      </c>
      <c r="AB9" s="126">
        <f>COUNTIFS('TỔNG KLH + TN'!$B:$B,'01. TH'!$B9,'TỔNG KLH + TN'!$C:$C,'01. TH'!AB$4)</f>
        <v>0</v>
      </c>
      <c r="AC9" s="126">
        <f>COUNTIFS('TỔNG KLH + TN'!$B:$B,'01. TH'!$B9,'TỔNG KLH + TN'!$C:$C,'01. TH'!AC$4)</f>
        <v>0</v>
      </c>
      <c r="AD9" s="126">
        <f>COUNTIFS('TỔNG KLH + TN'!$B:$B,'01. TH'!$B9,'TỔNG KLH + TN'!$C:$C,'01. TH'!AD$4)</f>
        <v>0</v>
      </c>
      <c r="AE9" s="136">
        <f t="shared" si="2"/>
        <v>3</v>
      </c>
      <c r="AF9" s="136"/>
      <c r="AG9" s="70" t="str">
        <f t="shared" si="3"/>
        <v>ok</v>
      </c>
      <c r="AH9" s="124"/>
    </row>
    <row r="10" ht="18.75" hidden="1" customHeight="1" outlineLevel="1">
      <c r="A10" s="121"/>
      <c r="B10" s="122" t="s">
        <v>275</v>
      </c>
      <c r="C10" s="123" t="s">
        <v>278</v>
      </c>
      <c r="D10" s="124" t="str">
        <f>IFERROR(VLOOKUP(B10,'Danh mục'!$G:$U,15,0),"")</f>
        <v>9660 x 2550 x 3985</v>
      </c>
      <c r="E10" s="124" t="s">
        <v>108</v>
      </c>
      <c r="F10" s="126">
        <f>COUNTIFS('TỔNG KLH + TN'!$B:$B,'01. TH'!$B10,'TỔNG KLH + TN'!$C:$C,'01. TH'!F$4)</f>
        <v>1</v>
      </c>
      <c r="G10" s="126">
        <f>COUNTIFS('TỔNG KLH + TN'!$B:$B,'01. TH'!$B10,'TỔNG KLH + TN'!$C:$C,'01. TH'!G$4)</f>
        <v>0</v>
      </c>
      <c r="H10" s="126">
        <f>COUNTIFS('TỔNG KLH + TN'!$B:$B,'01. TH'!$B10,'TỔNG KLH + TN'!$C:$C,'01. TH'!H$4)</f>
        <v>0</v>
      </c>
      <c r="I10" s="126">
        <f>COUNTIFS('TỔNG KLH + TN'!$B:$B,'01. TH'!$B10,'TỔNG KLH + TN'!$C:$C,'01. TH'!I$4)</f>
        <v>0</v>
      </c>
      <c r="J10" s="126">
        <f>COUNTIFS('TỔNG KLH + TN'!$B:$B,'01. TH'!$B10,'TỔNG KLH + TN'!$C:$C,'01. TH'!J$4)</f>
        <v>0</v>
      </c>
      <c r="K10" s="126">
        <f>COUNTIFS('TỔNG KLH + TN'!$B:$B,'01. TH'!$B10,'TỔNG KLH + TN'!$C:$C,'01. TH'!K$4)</f>
        <v>0</v>
      </c>
      <c r="L10" s="126">
        <f>COUNTIFS('TỔNG KLH + TN'!$B:$B,'01. TH'!$B10,'TỔNG KLH + TN'!$C:$C,'01. TH'!L$4)</f>
        <v>0</v>
      </c>
      <c r="M10" s="126">
        <f>COUNTIFS('TỔNG KLH + TN'!$B:$B,'01. TH'!$B10,'TỔNG KLH + TN'!$C:$C,'01. TH'!M$4)</f>
        <v>0</v>
      </c>
      <c r="N10" s="126">
        <f>COUNTIFS('TỔNG KLH + TN'!$B:$B,'01. TH'!$B10,'TỔNG KLH + TN'!$C:$C,'01. TH'!N$4)</f>
        <v>0</v>
      </c>
      <c r="O10" s="126">
        <f>COUNTIFS('TỔNG KLH + TN'!$B:$B,'01. TH'!$B10,'TỔNG KLH + TN'!$C:$C,'01. TH'!O$4)</f>
        <v>0</v>
      </c>
      <c r="P10" s="126">
        <f>COUNTIFS('TỔNG KLH + TN'!$B:$B,'01. TH'!$B10,'TỔNG KLH + TN'!$C:$C,'01. TH'!P$4)</f>
        <v>0</v>
      </c>
      <c r="Q10" s="126">
        <f>COUNTIFS('TỔNG KLH + TN'!$B:$B,'01. TH'!$B10,'TỔNG KLH + TN'!$C:$C,'01. TH'!Q$4)</f>
        <v>0</v>
      </c>
      <c r="R10" s="126">
        <f>COUNTIFS('TỔNG KLH + TN'!$B:$B,'01. TH'!$B10,'TỔNG KLH + TN'!$C:$C,'01. TH'!R$4)</f>
        <v>0</v>
      </c>
      <c r="S10" s="126">
        <f>COUNTIFS('TỔNG KLH + TN'!$B:$B,'01. TH'!$B10,'TỔNG KLH + TN'!$C:$C,'01. TH'!S$4)</f>
        <v>0</v>
      </c>
      <c r="T10" s="126">
        <f>COUNTIFS('TỔNG KLH + TN'!$B:$B,'01. TH'!$B10,'TỔNG KLH + TN'!$C:$C,'01. TH'!T$4)</f>
        <v>0</v>
      </c>
      <c r="U10" s="126">
        <f>COUNTIFS('TỔNG KLH + TN'!$B:$B,'01. TH'!$B10,'TỔNG KLH + TN'!$C:$C,'01. TH'!U$4)</f>
        <v>0</v>
      </c>
      <c r="V10" s="126">
        <f>COUNTIFS('TỔNG KLH + TN'!$B:$B,'01. TH'!$B10,'TỔNG KLH + TN'!$C:$C,'01. TH'!V$4)</f>
        <v>0</v>
      </c>
      <c r="W10" s="126">
        <f>COUNTIFS('TỔNG KLH + TN'!$B:$B,'01. TH'!$B10,'TỔNG KLH + TN'!$C:$C,'01. TH'!W$4)</f>
        <v>0</v>
      </c>
      <c r="X10" s="126">
        <f>COUNTIFS('TỔNG KLH + TN'!$B:$B,'01. TH'!$B10,'TỔNG KLH + TN'!$C:$C,'01. TH'!X$4)</f>
        <v>0</v>
      </c>
      <c r="Y10" s="126">
        <f>COUNTIFS('TỔNG KLH + TN'!$B:$B,'01. TH'!$B10,'TỔNG KLH + TN'!$C:$C,'01. TH'!Y$4)</f>
        <v>0</v>
      </c>
      <c r="Z10" s="126">
        <f>COUNTIFS('TỔNG KLH + TN'!$B:$B,'01. TH'!$B10,'TỔNG KLH + TN'!$C:$C,'01. TH'!Z$4)</f>
        <v>0</v>
      </c>
      <c r="AA10" s="126">
        <f>COUNTIFS('TỔNG KLH + TN'!$B:$B,'01. TH'!$B10,'TỔNG KLH + TN'!$C:$C,'01. TH'!AA$4)</f>
        <v>0</v>
      </c>
      <c r="AB10" s="126">
        <f>COUNTIFS('TỔNG KLH + TN'!$B:$B,'01. TH'!$B10,'TỔNG KLH + TN'!$C:$C,'01. TH'!AB$4)</f>
        <v>0</v>
      </c>
      <c r="AC10" s="126">
        <f>COUNTIFS('TỔNG KLH + TN'!$B:$B,'01. TH'!$B10,'TỔNG KLH + TN'!$C:$C,'01. TH'!AC$4)</f>
        <v>0</v>
      </c>
      <c r="AD10" s="126">
        <f>COUNTIFS('TỔNG KLH + TN'!$B:$B,'01. TH'!$B10,'TỔNG KLH + TN'!$C:$C,'01. TH'!AD$4)</f>
        <v>0</v>
      </c>
      <c r="AE10" s="136">
        <f t="shared" si="2"/>
        <v>1</v>
      </c>
      <c r="AF10" s="136"/>
      <c r="AG10" s="70" t="str">
        <f t="shared" si="3"/>
        <v>ok</v>
      </c>
      <c r="AH10" s="121"/>
    </row>
    <row r="11" ht="18.75" hidden="1" customHeight="1" outlineLevel="1">
      <c r="A11" s="121"/>
      <c r="B11" s="122" t="s">
        <v>219</v>
      </c>
      <c r="C11" s="123" t="s">
        <v>101</v>
      </c>
      <c r="D11" s="124" t="str">
        <f>IFERROR(VLOOKUP(B11,'Danh mục'!$G:$U,15,0),"")</f>
        <v>5260 x 1760 x 2415</v>
      </c>
      <c r="E11" s="124" t="s">
        <v>108</v>
      </c>
      <c r="F11" s="126">
        <f>COUNTIFS('TỔNG KLH + TN'!$B:$B,'01. TH'!$B11,'TỔNG KLH + TN'!$C:$C,'01. TH'!F$4)</f>
        <v>8</v>
      </c>
      <c r="G11" s="126">
        <f>COUNTIFS('TỔNG KLH + TN'!$B:$B,'01. TH'!$B11,'TỔNG KLH + TN'!$C:$C,'01. TH'!G$4)</f>
        <v>0</v>
      </c>
      <c r="H11" s="126">
        <f>COUNTIFS('TỔNG KLH + TN'!$B:$B,'01. TH'!$B11,'TỔNG KLH + TN'!$C:$C,'01. TH'!H$4)</f>
        <v>1</v>
      </c>
      <c r="I11" s="126">
        <f>COUNTIFS('TỔNG KLH + TN'!$B:$B,'01. TH'!$B11,'TỔNG KLH + TN'!$C:$C,'01. TH'!I$4)</f>
        <v>1</v>
      </c>
      <c r="J11" s="126">
        <f>COUNTIFS('TỔNG KLH + TN'!$B:$B,'01. TH'!$B11,'TỔNG KLH + TN'!$C:$C,'01. TH'!J$4)</f>
        <v>1</v>
      </c>
      <c r="K11" s="126">
        <f>COUNTIFS('TỔNG KLH + TN'!$B:$B,'01. TH'!$B11,'TỔNG KLH + TN'!$C:$C,'01. TH'!K$4)</f>
        <v>0</v>
      </c>
      <c r="L11" s="126">
        <f>COUNTIFS('TỔNG KLH + TN'!$B:$B,'01. TH'!$B11,'TỔNG KLH + TN'!$C:$C,'01. TH'!L$4)</f>
        <v>0</v>
      </c>
      <c r="M11" s="126">
        <f>COUNTIFS('TỔNG KLH + TN'!$B:$B,'01. TH'!$B11,'TỔNG KLH + TN'!$C:$C,'01. TH'!M$4)</f>
        <v>0</v>
      </c>
      <c r="N11" s="126">
        <f>COUNTIFS('TỔNG KLH + TN'!$B:$B,'01. TH'!$B11,'TỔNG KLH + TN'!$C:$C,'01. TH'!N$4)</f>
        <v>0</v>
      </c>
      <c r="O11" s="126">
        <f>COUNTIFS('TỔNG KLH + TN'!$B:$B,'01. TH'!$B11,'TỔNG KLH + TN'!$C:$C,'01. TH'!O$4)</f>
        <v>1</v>
      </c>
      <c r="P11" s="126">
        <f>COUNTIFS('TỔNG KLH + TN'!$B:$B,'01. TH'!$B11,'TỔNG KLH + TN'!$C:$C,'01. TH'!P$4)</f>
        <v>0</v>
      </c>
      <c r="Q11" s="126">
        <f>COUNTIFS('TỔNG KLH + TN'!$B:$B,'01. TH'!$B11,'TỔNG KLH + TN'!$C:$C,'01. TH'!Q$4)</f>
        <v>3</v>
      </c>
      <c r="R11" s="126">
        <f>COUNTIFS('TỔNG KLH + TN'!$B:$B,'01. TH'!$B11,'TỔNG KLH + TN'!$C:$C,'01. TH'!R$4)</f>
        <v>4</v>
      </c>
      <c r="S11" s="126">
        <f>COUNTIFS('TỔNG KLH + TN'!$B:$B,'01. TH'!$B11,'TỔNG KLH + TN'!$C:$C,'01. TH'!S$4)</f>
        <v>3</v>
      </c>
      <c r="T11" s="126">
        <f>COUNTIFS('TỔNG KLH + TN'!$B:$B,'01. TH'!$B11,'TỔNG KLH + TN'!$C:$C,'01. TH'!T$4)</f>
        <v>0</v>
      </c>
      <c r="U11" s="126">
        <f>COUNTIFS('TỔNG KLH + TN'!$B:$B,'01. TH'!$B11,'TỔNG KLH + TN'!$C:$C,'01. TH'!U$4)</f>
        <v>1</v>
      </c>
      <c r="V11" s="126">
        <f>COUNTIFS('TỔNG KLH + TN'!$B:$B,'01. TH'!$B11,'TỔNG KLH + TN'!$C:$C,'01. TH'!V$4)</f>
        <v>0</v>
      </c>
      <c r="W11" s="126">
        <f>COUNTIFS('TỔNG KLH + TN'!$B:$B,'01. TH'!$B11,'TỔNG KLH + TN'!$C:$C,'01. TH'!W$4)</f>
        <v>0</v>
      </c>
      <c r="X11" s="126">
        <f>COUNTIFS('TỔNG KLH + TN'!$B:$B,'01. TH'!$B11,'TỔNG KLH + TN'!$C:$C,'01. TH'!X$4)</f>
        <v>0</v>
      </c>
      <c r="Y11" s="126">
        <f>COUNTIFS('TỔNG KLH + TN'!$B:$B,'01. TH'!$B11,'TỔNG KLH + TN'!$C:$C,'01. TH'!Y$4)</f>
        <v>0</v>
      </c>
      <c r="Z11" s="126">
        <f>COUNTIFS('TỔNG KLH + TN'!$B:$B,'01. TH'!$B11,'TỔNG KLH + TN'!$C:$C,'01. TH'!Z$4)</f>
        <v>0</v>
      </c>
      <c r="AA11" s="126">
        <f>COUNTIFS('TỔNG KLH + TN'!$B:$B,'01. TH'!$B11,'TỔNG KLH + TN'!$C:$C,'01. TH'!AA$4)</f>
        <v>0</v>
      </c>
      <c r="AB11" s="126">
        <f>COUNTIFS('TỔNG KLH + TN'!$B:$B,'01. TH'!$B11,'TỔNG KLH + TN'!$C:$C,'01. TH'!AB$4)</f>
        <v>0</v>
      </c>
      <c r="AC11" s="126">
        <f>COUNTIFS('TỔNG KLH + TN'!$B:$B,'01. TH'!$B11,'TỔNG KLH + TN'!$C:$C,'01. TH'!AC$4)</f>
        <v>0</v>
      </c>
      <c r="AD11" s="126">
        <f>COUNTIFS('TỔNG KLH + TN'!$B:$B,'01. TH'!$B11,'TỔNG KLH + TN'!$C:$C,'01. TH'!AD$4)</f>
        <v>0</v>
      </c>
      <c r="AE11" s="136">
        <f t="shared" si="2"/>
        <v>23</v>
      </c>
      <c r="AF11" s="136"/>
      <c r="AG11" s="70" t="str">
        <f t="shared" si="3"/>
        <v>ok</v>
      </c>
      <c r="AH11" s="124"/>
    </row>
    <row r="12" ht="18.75" hidden="1" customHeight="1" outlineLevel="1">
      <c r="A12" s="121"/>
      <c r="B12" s="122" t="s">
        <v>282</v>
      </c>
      <c r="C12" s="123" t="s">
        <v>278</v>
      </c>
      <c r="D12" s="124" t="str">
        <f>IFERROR(VLOOKUP(B12,'Danh mục'!$G:$U,15,0),"")</f>
        <v>8700 x 2800 x 3010</v>
      </c>
      <c r="E12" s="124" t="s">
        <v>108</v>
      </c>
      <c r="F12" s="126">
        <f>COUNTIFS('TỔNG KLH + TN'!$B:$B,'01. TH'!$B12,'TỔNG KLH + TN'!$C:$C,'01. TH'!F$4)</f>
        <v>1</v>
      </c>
      <c r="G12" s="126">
        <f>COUNTIFS('TỔNG KLH + TN'!$B:$B,'01. TH'!$B12,'TỔNG KLH + TN'!$C:$C,'01. TH'!G$4)</f>
        <v>0</v>
      </c>
      <c r="H12" s="126">
        <f>COUNTIFS('TỔNG KLH + TN'!$B:$B,'01. TH'!$B12,'TỔNG KLH + TN'!$C:$C,'01. TH'!H$4)</f>
        <v>0</v>
      </c>
      <c r="I12" s="126">
        <f>COUNTIFS('TỔNG KLH + TN'!$B:$B,'01. TH'!$B12,'TỔNG KLH + TN'!$C:$C,'01. TH'!I$4)</f>
        <v>0</v>
      </c>
      <c r="J12" s="126">
        <f>COUNTIFS('TỔNG KLH + TN'!$B:$B,'01. TH'!$B12,'TỔNG KLH + TN'!$C:$C,'01. TH'!J$4)</f>
        <v>0</v>
      </c>
      <c r="K12" s="126">
        <f>COUNTIFS('TỔNG KLH + TN'!$B:$B,'01. TH'!$B12,'TỔNG KLH + TN'!$C:$C,'01. TH'!K$4)</f>
        <v>0</v>
      </c>
      <c r="L12" s="126">
        <f>COUNTIFS('TỔNG KLH + TN'!$B:$B,'01. TH'!$B12,'TỔNG KLH + TN'!$C:$C,'01. TH'!L$4)</f>
        <v>0</v>
      </c>
      <c r="M12" s="126">
        <f>COUNTIFS('TỔNG KLH + TN'!$B:$B,'01. TH'!$B12,'TỔNG KLH + TN'!$C:$C,'01. TH'!M$4)</f>
        <v>0</v>
      </c>
      <c r="N12" s="126">
        <f>COUNTIFS('TỔNG KLH + TN'!$B:$B,'01. TH'!$B12,'TỔNG KLH + TN'!$C:$C,'01. TH'!N$4)</f>
        <v>0</v>
      </c>
      <c r="O12" s="126">
        <f>COUNTIFS('TỔNG KLH + TN'!$B:$B,'01. TH'!$B12,'TỔNG KLH + TN'!$C:$C,'01. TH'!O$4)</f>
        <v>1</v>
      </c>
      <c r="P12" s="126">
        <f>COUNTIFS('TỔNG KLH + TN'!$B:$B,'01. TH'!$B12,'TỔNG KLH + TN'!$C:$C,'01. TH'!P$4)</f>
        <v>0</v>
      </c>
      <c r="Q12" s="126">
        <f>COUNTIFS('TỔNG KLH + TN'!$B:$B,'01. TH'!$B12,'TỔNG KLH + TN'!$C:$C,'01. TH'!Q$4)</f>
        <v>0</v>
      </c>
      <c r="R12" s="126">
        <f>COUNTIFS('TỔNG KLH + TN'!$B:$B,'01. TH'!$B12,'TỔNG KLH + TN'!$C:$C,'01. TH'!R$4)</f>
        <v>0</v>
      </c>
      <c r="S12" s="126">
        <f>COUNTIFS('TỔNG KLH + TN'!$B:$B,'01. TH'!$B12,'TỔNG KLH + TN'!$C:$C,'01. TH'!S$4)</f>
        <v>2</v>
      </c>
      <c r="T12" s="126">
        <f>COUNTIFS('TỔNG KLH + TN'!$B:$B,'01. TH'!$B12,'TỔNG KLH + TN'!$C:$C,'01. TH'!T$4)</f>
        <v>0</v>
      </c>
      <c r="U12" s="126">
        <f>COUNTIFS('TỔNG KLH + TN'!$B:$B,'01. TH'!$B12,'TỔNG KLH + TN'!$C:$C,'01. TH'!U$4)</f>
        <v>0</v>
      </c>
      <c r="V12" s="126">
        <f>COUNTIFS('TỔNG KLH + TN'!$B:$B,'01. TH'!$B12,'TỔNG KLH + TN'!$C:$C,'01. TH'!V$4)</f>
        <v>0</v>
      </c>
      <c r="W12" s="126">
        <f>COUNTIFS('TỔNG KLH + TN'!$B:$B,'01. TH'!$B12,'TỔNG KLH + TN'!$C:$C,'01. TH'!W$4)</f>
        <v>0</v>
      </c>
      <c r="X12" s="126">
        <f>COUNTIFS('TỔNG KLH + TN'!$B:$B,'01. TH'!$B12,'TỔNG KLH + TN'!$C:$C,'01. TH'!X$4)</f>
        <v>0</v>
      </c>
      <c r="Y12" s="126">
        <f>COUNTIFS('TỔNG KLH + TN'!$B:$B,'01. TH'!$B12,'TỔNG KLH + TN'!$C:$C,'01. TH'!Y$4)</f>
        <v>0</v>
      </c>
      <c r="Z12" s="126">
        <f>COUNTIFS('TỔNG KLH + TN'!$B:$B,'01. TH'!$B12,'TỔNG KLH + TN'!$C:$C,'01. TH'!Z$4)</f>
        <v>0</v>
      </c>
      <c r="AA12" s="126">
        <f>COUNTIFS('TỔNG KLH + TN'!$B:$B,'01. TH'!$B12,'TỔNG KLH + TN'!$C:$C,'01. TH'!AA$4)</f>
        <v>0</v>
      </c>
      <c r="AB12" s="126">
        <f>COUNTIFS('TỔNG KLH + TN'!$B:$B,'01. TH'!$B12,'TỔNG KLH + TN'!$C:$C,'01. TH'!AB$4)</f>
        <v>0</v>
      </c>
      <c r="AC12" s="126">
        <f>COUNTIFS('TỔNG KLH + TN'!$B:$B,'01. TH'!$B12,'TỔNG KLH + TN'!$C:$C,'01. TH'!AC$4)</f>
        <v>0</v>
      </c>
      <c r="AD12" s="126">
        <f>COUNTIFS('TỔNG KLH + TN'!$B:$B,'01. TH'!$B12,'TỔNG KLH + TN'!$C:$C,'01. TH'!AD$4)</f>
        <v>0</v>
      </c>
      <c r="AE12" s="136">
        <f t="shared" si="2"/>
        <v>4</v>
      </c>
      <c r="AF12" s="136"/>
      <c r="AG12" s="70" t="str">
        <f t="shared" si="3"/>
        <v>ok</v>
      </c>
      <c r="AH12" s="124"/>
    </row>
    <row r="13" ht="18.75" hidden="1" customHeight="1" outlineLevel="1">
      <c r="A13" s="159"/>
      <c r="B13" s="122" t="s">
        <v>485</v>
      </c>
      <c r="C13" s="123" t="s">
        <v>158</v>
      </c>
      <c r="D13" s="124" t="str">
        <f>IFERROR(VLOOKUP(B13,'Danh mục'!$G:$U,15,0),"")</f>
        <v>7820 x 2500 x 3140</v>
      </c>
      <c r="E13" s="124" t="s">
        <v>108</v>
      </c>
      <c r="F13" s="126">
        <f>COUNTIFS('TỔNG KLH + TN'!$B:$B,'01. TH'!$B13,'TỔNG KLH + TN'!$C:$C,'01. TH'!F$4)</f>
        <v>0</v>
      </c>
      <c r="G13" s="126">
        <f>COUNTIFS('TỔNG KLH + TN'!$B:$B,'01. TH'!$B13,'TỔNG KLH + TN'!$C:$C,'01. TH'!G$4)</f>
        <v>0</v>
      </c>
      <c r="H13" s="126">
        <f>COUNTIFS('TỔNG KLH + TN'!$B:$B,'01. TH'!$B13,'TỔNG KLH + TN'!$C:$C,'01. TH'!H$4)</f>
        <v>0</v>
      </c>
      <c r="I13" s="126">
        <f>COUNTIFS('TỔNG KLH + TN'!$B:$B,'01. TH'!$B13,'TỔNG KLH + TN'!$C:$C,'01. TH'!I$4)</f>
        <v>0</v>
      </c>
      <c r="J13" s="126">
        <f>COUNTIFS('TỔNG KLH + TN'!$B:$B,'01. TH'!$B13,'TỔNG KLH + TN'!$C:$C,'01. TH'!J$4)</f>
        <v>0</v>
      </c>
      <c r="K13" s="126">
        <f>COUNTIFS('TỔNG KLH + TN'!$B:$B,'01. TH'!$B13,'TỔNG KLH + TN'!$C:$C,'01. TH'!K$4)</f>
        <v>0</v>
      </c>
      <c r="L13" s="126">
        <f>COUNTIFS('TỔNG KLH + TN'!$B:$B,'01. TH'!$B13,'TỔNG KLH + TN'!$C:$C,'01. TH'!L$4)</f>
        <v>0</v>
      </c>
      <c r="M13" s="126">
        <f>COUNTIFS('TỔNG KLH + TN'!$B:$B,'01. TH'!$B13,'TỔNG KLH + TN'!$C:$C,'01. TH'!M$4)</f>
        <v>0</v>
      </c>
      <c r="N13" s="126">
        <f>COUNTIFS('TỔNG KLH + TN'!$B:$B,'01. TH'!$B13,'TỔNG KLH + TN'!$C:$C,'01. TH'!N$4)</f>
        <v>0</v>
      </c>
      <c r="O13" s="126">
        <f>COUNTIFS('TỔNG KLH + TN'!$B:$B,'01. TH'!$B13,'TỔNG KLH + TN'!$C:$C,'01. TH'!O$4)</f>
        <v>0</v>
      </c>
      <c r="P13" s="126">
        <f>COUNTIFS('TỔNG KLH + TN'!$B:$B,'01. TH'!$B13,'TỔNG KLH + TN'!$C:$C,'01. TH'!P$4)</f>
        <v>0</v>
      </c>
      <c r="Q13" s="126">
        <f>COUNTIFS('TỔNG KLH + TN'!$B:$B,'01. TH'!$B13,'TỔNG KLH + TN'!$C:$C,'01. TH'!Q$4)</f>
        <v>0</v>
      </c>
      <c r="R13" s="126">
        <f>COUNTIFS('TỔNG KLH + TN'!$B:$B,'01. TH'!$B13,'TỔNG KLH + TN'!$C:$C,'01. TH'!R$4)</f>
        <v>0</v>
      </c>
      <c r="S13" s="126">
        <f>COUNTIFS('TỔNG KLH + TN'!$B:$B,'01. TH'!$B13,'TỔNG KLH + TN'!$C:$C,'01. TH'!S$4)</f>
        <v>0</v>
      </c>
      <c r="T13" s="126">
        <f>COUNTIFS('TỔNG KLH + TN'!$B:$B,'01. TH'!$B13,'TỔNG KLH + TN'!$C:$C,'01. TH'!T$4)</f>
        <v>0</v>
      </c>
      <c r="U13" s="126">
        <f>COUNTIFS('TỔNG KLH + TN'!$B:$B,'01. TH'!$B13,'TỔNG KLH + TN'!$C:$C,'01. TH'!U$4)</f>
        <v>1</v>
      </c>
      <c r="V13" s="126">
        <f>COUNTIFS('TỔNG KLH + TN'!$B:$B,'01. TH'!$B13,'TỔNG KLH + TN'!$C:$C,'01. TH'!V$4)</f>
        <v>0</v>
      </c>
      <c r="W13" s="126">
        <f>COUNTIFS('TỔNG KLH + TN'!$B:$B,'01. TH'!$B13,'TỔNG KLH + TN'!$C:$C,'01. TH'!W$4)</f>
        <v>0</v>
      </c>
      <c r="X13" s="126">
        <f>COUNTIFS('TỔNG KLH + TN'!$B:$B,'01. TH'!$B13,'TỔNG KLH + TN'!$C:$C,'01. TH'!X$4)</f>
        <v>0</v>
      </c>
      <c r="Y13" s="126">
        <f>COUNTIFS('TỔNG KLH + TN'!$B:$B,'01. TH'!$B13,'TỔNG KLH + TN'!$C:$C,'01. TH'!Y$4)</f>
        <v>0</v>
      </c>
      <c r="Z13" s="126">
        <f>COUNTIFS('TỔNG KLH + TN'!$B:$B,'01. TH'!$B13,'TỔNG KLH + TN'!$C:$C,'01. TH'!Z$4)</f>
        <v>0</v>
      </c>
      <c r="AA13" s="126">
        <f>COUNTIFS('TỔNG KLH + TN'!$B:$B,'01. TH'!$B13,'TỔNG KLH + TN'!$C:$C,'01. TH'!AA$4)</f>
        <v>0</v>
      </c>
      <c r="AB13" s="126">
        <f>COUNTIFS('TỔNG KLH + TN'!$B:$B,'01. TH'!$B13,'TỔNG KLH + TN'!$C:$C,'01. TH'!AB$4)</f>
        <v>0</v>
      </c>
      <c r="AC13" s="126">
        <f>COUNTIFS('TỔNG KLH + TN'!$B:$B,'01. TH'!$B13,'TỔNG KLH + TN'!$C:$C,'01. TH'!AC$4)</f>
        <v>0</v>
      </c>
      <c r="AD13" s="126">
        <f>COUNTIFS('TỔNG KLH + TN'!$B:$B,'01. TH'!$B13,'TỔNG KLH + TN'!$C:$C,'01. TH'!AD$4)</f>
        <v>0</v>
      </c>
      <c r="AE13" s="162">
        <f t="shared" si="2"/>
        <v>1</v>
      </c>
      <c r="AF13" s="162"/>
      <c r="AG13" s="70" t="str">
        <f t="shared" si="3"/>
        <v>ok</v>
      </c>
      <c r="AH13" s="163"/>
    </row>
    <row r="14" ht="18.75" hidden="1" customHeight="1" outlineLevel="1">
      <c r="A14" s="159"/>
      <c r="B14" s="122" t="s">
        <v>115</v>
      </c>
      <c r="C14" s="123" t="s">
        <v>158</v>
      </c>
      <c r="D14" s="124" t="str">
        <f>IFERROR(VLOOKUP(B14,'Danh mục'!$G:$U,15,0),"")</f>
        <v>7640 x 2590 x 2820</v>
      </c>
      <c r="E14" s="124" t="s">
        <v>108</v>
      </c>
      <c r="F14" s="126">
        <f>COUNTIFS('TỔNG KLH + TN'!$B:$B,'01. TH'!$B14,'TỔNG KLH + TN'!$C:$C,'01. TH'!F$4)</f>
        <v>1</v>
      </c>
      <c r="G14" s="126">
        <f>COUNTIFS('TỔNG KLH + TN'!$B:$B,'01. TH'!$B14,'TỔNG KLH + TN'!$C:$C,'01. TH'!G$4)</f>
        <v>0</v>
      </c>
      <c r="H14" s="126">
        <f>COUNTIFS('TỔNG KLH + TN'!$B:$B,'01. TH'!$B14,'TỔNG KLH + TN'!$C:$C,'01. TH'!H$4)</f>
        <v>0</v>
      </c>
      <c r="I14" s="126">
        <f>COUNTIFS('TỔNG KLH + TN'!$B:$B,'01. TH'!$B14,'TỔNG KLH + TN'!$C:$C,'01. TH'!I$4)</f>
        <v>0</v>
      </c>
      <c r="J14" s="126">
        <f>COUNTIFS('TỔNG KLH + TN'!$B:$B,'01. TH'!$B14,'TỔNG KLH + TN'!$C:$C,'01. TH'!J$4)</f>
        <v>0</v>
      </c>
      <c r="K14" s="126">
        <f>COUNTIFS('TỔNG KLH + TN'!$B:$B,'01. TH'!$B14,'TỔNG KLH + TN'!$C:$C,'01. TH'!K$4)</f>
        <v>0</v>
      </c>
      <c r="L14" s="126">
        <f>COUNTIFS('TỔNG KLH + TN'!$B:$B,'01. TH'!$B14,'TỔNG KLH + TN'!$C:$C,'01. TH'!L$4)</f>
        <v>0</v>
      </c>
      <c r="M14" s="126">
        <f>COUNTIFS('TỔNG KLH + TN'!$B:$B,'01. TH'!$B14,'TỔNG KLH + TN'!$C:$C,'01. TH'!M$4)</f>
        <v>0</v>
      </c>
      <c r="N14" s="126">
        <f>COUNTIFS('TỔNG KLH + TN'!$B:$B,'01. TH'!$B14,'TỔNG KLH + TN'!$C:$C,'01. TH'!N$4)</f>
        <v>0</v>
      </c>
      <c r="O14" s="126">
        <f>COUNTIFS('TỔNG KLH + TN'!$B:$B,'01. TH'!$B14,'TỔNG KLH + TN'!$C:$C,'01. TH'!O$4)</f>
        <v>1</v>
      </c>
      <c r="P14" s="126">
        <f>COUNTIFS('TỔNG KLH + TN'!$B:$B,'01. TH'!$B14,'TỔNG KLH + TN'!$C:$C,'01. TH'!P$4)</f>
        <v>0</v>
      </c>
      <c r="Q14" s="126">
        <f>COUNTIFS('TỔNG KLH + TN'!$B:$B,'01. TH'!$B14,'TỔNG KLH + TN'!$C:$C,'01. TH'!Q$4)</f>
        <v>0</v>
      </c>
      <c r="R14" s="126">
        <f>COUNTIFS('TỔNG KLH + TN'!$B:$B,'01. TH'!$B14,'TỔNG KLH + TN'!$C:$C,'01. TH'!R$4)</f>
        <v>0</v>
      </c>
      <c r="S14" s="126">
        <f>COUNTIFS('TỔNG KLH + TN'!$B:$B,'01. TH'!$B14,'TỔNG KLH + TN'!$C:$C,'01. TH'!S$4)</f>
        <v>0</v>
      </c>
      <c r="T14" s="126">
        <f>COUNTIFS('TỔNG KLH + TN'!$B:$B,'01. TH'!$B14,'TỔNG KLH + TN'!$C:$C,'01. TH'!T$4)</f>
        <v>0</v>
      </c>
      <c r="U14" s="126">
        <f>COUNTIFS('TỔNG KLH + TN'!$B:$B,'01. TH'!$B14,'TỔNG KLH + TN'!$C:$C,'01. TH'!U$4)</f>
        <v>0</v>
      </c>
      <c r="V14" s="126">
        <f>COUNTIFS('TỔNG KLH + TN'!$B:$B,'01. TH'!$B14,'TỔNG KLH + TN'!$C:$C,'01. TH'!V$4)</f>
        <v>0</v>
      </c>
      <c r="W14" s="126">
        <f>COUNTIFS('TỔNG KLH + TN'!$B:$B,'01. TH'!$B14,'TỔNG KLH + TN'!$C:$C,'01. TH'!W$4)</f>
        <v>0</v>
      </c>
      <c r="X14" s="126">
        <f>COUNTIFS('TỔNG KLH + TN'!$B:$B,'01. TH'!$B14,'TỔNG KLH + TN'!$C:$C,'01. TH'!X$4)</f>
        <v>0</v>
      </c>
      <c r="Y14" s="126">
        <f>COUNTIFS('TỔNG KLH + TN'!$B:$B,'01. TH'!$B14,'TỔNG KLH + TN'!$C:$C,'01. TH'!Y$4)</f>
        <v>0</v>
      </c>
      <c r="Z14" s="126">
        <f>COUNTIFS('TỔNG KLH + TN'!$B:$B,'01. TH'!$B14,'TỔNG KLH + TN'!$C:$C,'01. TH'!Z$4)</f>
        <v>0</v>
      </c>
      <c r="AA14" s="126">
        <f>COUNTIFS('TỔNG KLH + TN'!$B:$B,'01. TH'!$B14,'TỔNG KLH + TN'!$C:$C,'01. TH'!AA$4)</f>
        <v>0</v>
      </c>
      <c r="AB14" s="126">
        <f>COUNTIFS('TỔNG KLH + TN'!$B:$B,'01. TH'!$B14,'TỔNG KLH + TN'!$C:$C,'01. TH'!AB$4)</f>
        <v>0</v>
      </c>
      <c r="AC14" s="126">
        <f>COUNTIFS('TỔNG KLH + TN'!$B:$B,'01. TH'!$B14,'TỔNG KLH + TN'!$C:$C,'01. TH'!AC$4)</f>
        <v>0</v>
      </c>
      <c r="AD14" s="126">
        <f>COUNTIFS('TỔNG KLH + TN'!$B:$B,'01. TH'!$B14,'TỔNG KLH + TN'!$C:$C,'01. TH'!AD$4)</f>
        <v>0</v>
      </c>
      <c r="AE14" s="162">
        <f t="shared" si="2"/>
        <v>2</v>
      </c>
      <c r="AF14" s="162"/>
      <c r="AG14" s="70" t="str">
        <f t="shared" si="3"/>
        <v>ok</v>
      </c>
      <c r="AH14" s="163"/>
    </row>
    <row r="15" ht="18.75" hidden="1" customHeight="1" outlineLevel="1">
      <c r="A15" s="121"/>
      <c r="B15" s="122" t="s">
        <v>90</v>
      </c>
      <c r="C15" s="123" t="s">
        <v>112</v>
      </c>
      <c r="D15" s="124" t="str">
        <f>IFERROR(VLOOKUP(B15,'Danh mục'!$G:$U,15,0),"")</f>
        <v>9460 x 2800 x 3200</v>
      </c>
      <c r="E15" s="124" t="s">
        <v>108</v>
      </c>
      <c r="F15" s="126">
        <f>COUNTIFS('TỔNG KLH + TN'!$B:$B,'01. TH'!$B15,'TỔNG KLH + TN'!$C:$C,'01. TH'!F$4)</f>
        <v>2</v>
      </c>
      <c r="G15" s="126">
        <f>COUNTIFS('TỔNG KLH + TN'!$B:$B,'01. TH'!$B15,'TỔNG KLH + TN'!$C:$C,'01. TH'!G$4)</f>
        <v>0</v>
      </c>
      <c r="H15" s="126">
        <f>COUNTIFS('TỔNG KLH + TN'!$B:$B,'01. TH'!$B15,'TỔNG KLH + TN'!$C:$C,'01. TH'!H$4)</f>
        <v>0</v>
      </c>
      <c r="I15" s="126">
        <f>COUNTIFS('TỔNG KLH + TN'!$B:$B,'01. TH'!$B15,'TỔNG KLH + TN'!$C:$C,'01. TH'!I$4)</f>
        <v>0</v>
      </c>
      <c r="J15" s="126">
        <f>COUNTIFS('TỔNG KLH + TN'!$B:$B,'01. TH'!$B15,'TỔNG KLH + TN'!$C:$C,'01. TH'!J$4)</f>
        <v>0</v>
      </c>
      <c r="K15" s="126">
        <f>COUNTIFS('TỔNG KLH + TN'!$B:$B,'01. TH'!$B15,'TỔNG KLH + TN'!$C:$C,'01. TH'!K$4)</f>
        <v>0</v>
      </c>
      <c r="L15" s="126">
        <f>COUNTIFS('TỔNG KLH + TN'!$B:$B,'01. TH'!$B15,'TỔNG KLH + TN'!$C:$C,'01. TH'!L$4)</f>
        <v>0</v>
      </c>
      <c r="M15" s="126">
        <f>COUNTIFS('TỔNG KLH + TN'!$B:$B,'01. TH'!$B15,'TỔNG KLH + TN'!$C:$C,'01. TH'!M$4)</f>
        <v>0</v>
      </c>
      <c r="N15" s="126">
        <f>COUNTIFS('TỔNG KLH + TN'!$B:$B,'01. TH'!$B15,'TỔNG KLH + TN'!$C:$C,'01. TH'!N$4)</f>
        <v>0</v>
      </c>
      <c r="O15" s="126">
        <f>COUNTIFS('TỔNG KLH + TN'!$B:$B,'01. TH'!$B15,'TỔNG KLH + TN'!$C:$C,'01. TH'!O$4)</f>
        <v>1</v>
      </c>
      <c r="P15" s="126">
        <f>COUNTIFS('TỔNG KLH + TN'!$B:$B,'01. TH'!$B15,'TỔNG KLH + TN'!$C:$C,'01. TH'!P$4)</f>
        <v>0</v>
      </c>
      <c r="Q15" s="126">
        <f>COUNTIFS('TỔNG KLH + TN'!$B:$B,'01. TH'!$B15,'TỔNG KLH + TN'!$C:$C,'01. TH'!Q$4)</f>
        <v>0</v>
      </c>
      <c r="R15" s="126">
        <f>COUNTIFS('TỔNG KLH + TN'!$B:$B,'01. TH'!$B15,'TỔNG KLH + TN'!$C:$C,'01. TH'!R$4)</f>
        <v>0</v>
      </c>
      <c r="S15" s="126">
        <f>COUNTIFS('TỔNG KLH + TN'!$B:$B,'01. TH'!$B15,'TỔNG KLH + TN'!$C:$C,'01. TH'!S$4)</f>
        <v>2</v>
      </c>
      <c r="T15" s="126">
        <f>COUNTIFS('TỔNG KLH + TN'!$B:$B,'01. TH'!$B15,'TỔNG KLH + TN'!$C:$C,'01. TH'!T$4)</f>
        <v>0</v>
      </c>
      <c r="U15" s="126">
        <f>COUNTIFS('TỔNG KLH + TN'!$B:$B,'01. TH'!$B15,'TỔNG KLH + TN'!$C:$C,'01. TH'!U$4)</f>
        <v>0</v>
      </c>
      <c r="V15" s="126">
        <f>COUNTIFS('TỔNG KLH + TN'!$B:$B,'01. TH'!$B15,'TỔNG KLH + TN'!$C:$C,'01. TH'!V$4)</f>
        <v>0</v>
      </c>
      <c r="W15" s="126">
        <f>COUNTIFS('TỔNG KLH + TN'!$B:$B,'01. TH'!$B15,'TỔNG KLH + TN'!$C:$C,'01. TH'!W$4)</f>
        <v>0</v>
      </c>
      <c r="X15" s="126">
        <f>COUNTIFS('TỔNG KLH + TN'!$B:$B,'01. TH'!$B15,'TỔNG KLH + TN'!$C:$C,'01. TH'!X$4)</f>
        <v>0</v>
      </c>
      <c r="Y15" s="126">
        <f>COUNTIFS('TỔNG KLH + TN'!$B:$B,'01. TH'!$B15,'TỔNG KLH + TN'!$C:$C,'01. TH'!Y$4)</f>
        <v>0</v>
      </c>
      <c r="Z15" s="126">
        <f>COUNTIFS('TỔNG KLH + TN'!$B:$B,'01. TH'!$B15,'TỔNG KLH + TN'!$C:$C,'01. TH'!Z$4)</f>
        <v>0</v>
      </c>
      <c r="AA15" s="126">
        <f>COUNTIFS('TỔNG KLH + TN'!$B:$B,'01. TH'!$B15,'TỔNG KLH + TN'!$C:$C,'01. TH'!AA$4)</f>
        <v>0</v>
      </c>
      <c r="AB15" s="126">
        <f>COUNTIFS('TỔNG KLH + TN'!$B:$B,'01. TH'!$B15,'TỔNG KLH + TN'!$C:$C,'01. TH'!AB$4)</f>
        <v>0</v>
      </c>
      <c r="AC15" s="126">
        <f>COUNTIFS('TỔNG KLH + TN'!$B:$B,'01. TH'!$B15,'TỔNG KLH + TN'!$C:$C,'01. TH'!AC$4)</f>
        <v>0</v>
      </c>
      <c r="AD15" s="126">
        <f>COUNTIFS('TỔNG KLH + TN'!$B:$B,'01. TH'!$B15,'TỔNG KLH + TN'!$C:$C,'01. TH'!AD$4)</f>
        <v>0</v>
      </c>
      <c r="AE15" s="136">
        <f t="shared" si="2"/>
        <v>5</v>
      </c>
      <c r="AF15" s="136"/>
      <c r="AG15" s="70" t="str">
        <f t="shared" si="3"/>
        <v>ok</v>
      </c>
      <c r="AH15" s="124"/>
    </row>
    <row r="16" ht="18.75" hidden="1" customHeight="1" outlineLevel="1">
      <c r="A16" s="121"/>
      <c r="B16" s="122" t="s">
        <v>452</v>
      </c>
      <c r="C16" s="123" t="s">
        <v>101</v>
      </c>
      <c r="D16" s="124" t="str">
        <f>IFERROR(VLOOKUP(B16,'Danh mục'!$G:$U,15,0),"")</f>
        <v>4749 x 1700 x 2470</v>
      </c>
      <c r="E16" s="124" t="s">
        <v>108</v>
      </c>
      <c r="F16" s="126">
        <f>COUNTIFS('TỔNG KLH + TN'!$B:$B,'01. TH'!$B16,'TỔNG KLH + TN'!$C:$C,'01. TH'!F$4)</f>
        <v>0</v>
      </c>
      <c r="G16" s="126">
        <f>COUNTIFS('TỔNG KLH + TN'!$B:$B,'01. TH'!$B16,'TỔNG KLH + TN'!$C:$C,'01. TH'!G$4)</f>
        <v>0</v>
      </c>
      <c r="H16" s="126">
        <f>COUNTIFS('TỔNG KLH + TN'!$B:$B,'01. TH'!$B16,'TỔNG KLH + TN'!$C:$C,'01. TH'!H$4)</f>
        <v>0</v>
      </c>
      <c r="I16" s="126">
        <f>COUNTIFS('TỔNG KLH + TN'!$B:$B,'01. TH'!$B16,'TỔNG KLH + TN'!$C:$C,'01. TH'!I$4)</f>
        <v>0</v>
      </c>
      <c r="J16" s="126">
        <f>COUNTIFS('TỔNG KLH + TN'!$B:$B,'01. TH'!$B16,'TỔNG KLH + TN'!$C:$C,'01. TH'!J$4)</f>
        <v>0</v>
      </c>
      <c r="K16" s="126">
        <f>COUNTIFS('TỔNG KLH + TN'!$B:$B,'01. TH'!$B16,'TỔNG KLH + TN'!$C:$C,'01. TH'!K$4)</f>
        <v>0</v>
      </c>
      <c r="L16" s="126">
        <f>COUNTIFS('TỔNG KLH + TN'!$B:$B,'01. TH'!$B16,'TỔNG KLH + TN'!$C:$C,'01. TH'!L$4)</f>
        <v>0</v>
      </c>
      <c r="M16" s="126">
        <f>COUNTIFS('TỔNG KLH + TN'!$B:$B,'01. TH'!$B16,'TỔNG KLH + TN'!$C:$C,'01. TH'!M$4)</f>
        <v>0</v>
      </c>
      <c r="N16" s="126">
        <f>COUNTIFS('TỔNG KLH + TN'!$B:$B,'01. TH'!$B16,'TỔNG KLH + TN'!$C:$C,'01. TH'!N$4)</f>
        <v>0</v>
      </c>
      <c r="O16" s="126">
        <f>COUNTIFS('TỔNG KLH + TN'!$B:$B,'01. TH'!$B16,'TỔNG KLH + TN'!$C:$C,'01. TH'!O$4)</f>
        <v>1</v>
      </c>
      <c r="P16" s="126">
        <f>COUNTIFS('TỔNG KLH + TN'!$B:$B,'01. TH'!$B16,'TỔNG KLH + TN'!$C:$C,'01. TH'!P$4)</f>
        <v>0</v>
      </c>
      <c r="Q16" s="126">
        <f>COUNTIFS('TỔNG KLH + TN'!$B:$B,'01. TH'!$B16,'TỔNG KLH + TN'!$C:$C,'01. TH'!Q$4)</f>
        <v>0</v>
      </c>
      <c r="R16" s="126">
        <f>COUNTIFS('TỔNG KLH + TN'!$B:$B,'01. TH'!$B16,'TỔNG KLH + TN'!$C:$C,'01. TH'!R$4)</f>
        <v>0</v>
      </c>
      <c r="S16" s="126">
        <f>COUNTIFS('TỔNG KLH + TN'!$B:$B,'01. TH'!$B16,'TỔNG KLH + TN'!$C:$C,'01. TH'!S$4)</f>
        <v>3</v>
      </c>
      <c r="T16" s="126">
        <f>COUNTIFS('TỔNG KLH + TN'!$B:$B,'01. TH'!$B16,'TỔNG KLH + TN'!$C:$C,'01. TH'!T$4)</f>
        <v>0</v>
      </c>
      <c r="U16" s="126">
        <f>COUNTIFS('TỔNG KLH + TN'!$B:$B,'01. TH'!$B16,'TỔNG KLH + TN'!$C:$C,'01. TH'!U$4)</f>
        <v>0</v>
      </c>
      <c r="V16" s="126">
        <f>COUNTIFS('TỔNG KLH + TN'!$B:$B,'01. TH'!$B16,'TỔNG KLH + TN'!$C:$C,'01. TH'!V$4)</f>
        <v>0</v>
      </c>
      <c r="W16" s="126">
        <f>COUNTIFS('TỔNG KLH + TN'!$B:$B,'01. TH'!$B16,'TỔNG KLH + TN'!$C:$C,'01. TH'!W$4)</f>
        <v>0</v>
      </c>
      <c r="X16" s="126">
        <f>COUNTIFS('TỔNG KLH + TN'!$B:$B,'01. TH'!$B16,'TỔNG KLH + TN'!$C:$C,'01. TH'!X$4)</f>
        <v>0</v>
      </c>
      <c r="Y16" s="126">
        <f>COUNTIFS('TỔNG KLH + TN'!$B:$B,'01. TH'!$B16,'TỔNG KLH + TN'!$C:$C,'01. TH'!Y$4)</f>
        <v>0</v>
      </c>
      <c r="Z16" s="126">
        <f>COUNTIFS('TỔNG KLH + TN'!$B:$B,'01. TH'!$B16,'TỔNG KLH + TN'!$C:$C,'01. TH'!Z$4)</f>
        <v>0</v>
      </c>
      <c r="AA16" s="126">
        <f>COUNTIFS('TỔNG KLH + TN'!$B:$B,'01. TH'!$B16,'TỔNG KLH + TN'!$C:$C,'01. TH'!AA$4)</f>
        <v>0</v>
      </c>
      <c r="AB16" s="126">
        <f>COUNTIFS('TỔNG KLH + TN'!$B:$B,'01. TH'!$B16,'TỔNG KLH + TN'!$C:$C,'01. TH'!AB$4)</f>
        <v>0</v>
      </c>
      <c r="AC16" s="126">
        <f>COUNTIFS('TỔNG KLH + TN'!$B:$B,'01. TH'!$B16,'TỔNG KLH + TN'!$C:$C,'01. TH'!AC$4)</f>
        <v>0</v>
      </c>
      <c r="AD16" s="126">
        <f>COUNTIFS('TỔNG KLH + TN'!$B:$B,'01. TH'!$B16,'TỔNG KLH + TN'!$C:$C,'01. TH'!AD$4)</f>
        <v>0</v>
      </c>
      <c r="AE16" s="136">
        <f t="shared" si="2"/>
        <v>4</v>
      </c>
      <c r="AF16" s="136"/>
      <c r="AG16" s="70" t="str">
        <f t="shared" si="3"/>
        <v>ok</v>
      </c>
      <c r="AH16" s="124"/>
    </row>
    <row r="17" ht="24.0" customHeight="1" collapsed="1">
      <c r="A17" s="70">
        <v>2.0</v>
      </c>
      <c r="B17" s="73" t="s">
        <v>703</v>
      </c>
      <c r="C17" s="78"/>
      <c r="D17" s="78" t="str">
        <f>IFERROR(VLOOKUP(B17,'Danh mục'!$G:$U,15,0),"")</f>
        <v/>
      </c>
      <c r="E17" s="78"/>
      <c r="F17" s="172">
        <f t="shared" ref="F17:AE17" si="4">SUM(F18:F24)</f>
        <v>5</v>
      </c>
      <c r="G17" s="172">
        <f t="shared" si="4"/>
        <v>0</v>
      </c>
      <c r="H17" s="172">
        <f t="shared" si="4"/>
        <v>0</v>
      </c>
      <c r="I17" s="172">
        <f t="shared" si="4"/>
        <v>0</v>
      </c>
      <c r="J17" s="172">
        <f t="shared" si="4"/>
        <v>0</v>
      </c>
      <c r="K17" s="172">
        <f t="shared" si="4"/>
        <v>0</v>
      </c>
      <c r="L17" s="172">
        <f t="shared" si="4"/>
        <v>0</v>
      </c>
      <c r="M17" s="172">
        <f t="shared" si="4"/>
        <v>0</v>
      </c>
      <c r="N17" s="172">
        <f t="shared" si="4"/>
        <v>0</v>
      </c>
      <c r="O17" s="172">
        <f t="shared" si="4"/>
        <v>4</v>
      </c>
      <c r="P17" s="172">
        <f t="shared" si="4"/>
        <v>0</v>
      </c>
      <c r="Q17" s="172">
        <f t="shared" si="4"/>
        <v>0</v>
      </c>
      <c r="R17" s="172">
        <f t="shared" si="4"/>
        <v>0</v>
      </c>
      <c r="S17" s="172">
        <f t="shared" si="4"/>
        <v>6</v>
      </c>
      <c r="T17" s="172">
        <f t="shared" si="4"/>
        <v>0</v>
      </c>
      <c r="U17" s="172">
        <f t="shared" si="4"/>
        <v>0</v>
      </c>
      <c r="V17" s="172">
        <f t="shared" si="4"/>
        <v>0</v>
      </c>
      <c r="W17" s="172">
        <f t="shared" si="4"/>
        <v>0</v>
      </c>
      <c r="X17" s="172">
        <f t="shared" si="4"/>
        <v>0</v>
      </c>
      <c r="Y17" s="172">
        <f t="shared" si="4"/>
        <v>0</v>
      </c>
      <c r="Z17" s="172">
        <f t="shared" si="4"/>
        <v>0</v>
      </c>
      <c r="AA17" s="172">
        <f t="shared" si="4"/>
        <v>0</v>
      </c>
      <c r="AB17" s="172">
        <f t="shared" si="4"/>
        <v>0</v>
      </c>
      <c r="AC17" s="172">
        <f t="shared" si="4"/>
        <v>0</v>
      </c>
      <c r="AD17" s="172">
        <f t="shared" si="4"/>
        <v>0</v>
      </c>
      <c r="AE17" s="173">
        <f t="shared" si="4"/>
        <v>15</v>
      </c>
      <c r="AF17" s="174">
        <v>5.0</v>
      </c>
      <c r="AG17" s="70" t="str">
        <f t="shared" si="3"/>
        <v>ok</v>
      </c>
      <c r="AH17" s="120"/>
    </row>
    <row r="18" ht="18.75" hidden="1" customHeight="1" outlineLevel="1">
      <c r="A18" s="121"/>
      <c r="B18" s="122" t="s">
        <v>122</v>
      </c>
      <c r="C18" s="123" t="s">
        <v>262</v>
      </c>
      <c r="D18" s="124" t="str">
        <f>IFERROR(VLOOKUP(B18,'Danh mục'!$G:$U,15,0),"")</f>
        <v>4200 x 2980 x 2720</v>
      </c>
      <c r="E18" s="124" t="s">
        <v>108</v>
      </c>
      <c r="F18" s="126">
        <f>COUNTIFS('TỔNG KLH + TN'!$B:$B,'01. TH'!$B18,'TỔNG KLH + TN'!$C:$C,'01. TH'!F$4)</f>
        <v>2</v>
      </c>
      <c r="G18" s="126">
        <f>COUNTIFS('TỔNG KLH + TN'!$B:$B,'01. TH'!$B18,'TỔNG KLH + TN'!$C:$C,'01. TH'!G$4)</f>
        <v>0</v>
      </c>
      <c r="H18" s="126">
        <f>COUNTIFS('TỔNG KLH + TN'!$B:$B,'01. TH'!$B18,'TỔNG KLH + TN'!$C:$C,'01. TH'!H$4)</f>
        <v>0</v>
      </c>
      <c r="I18" s="126">
        <f>COUNTIFS('TỔNG KLH + TN'!$B:$B,'01. TH'!$B18,'TỔNG KLH + TN'!$C:$C,'01. TH'!I$4)</f>
        <v>0</v>
      </c>
      <c r="J18" s="126">
        <f>COUNTIFS('TỔNG KLH + TN'!$B:$B,'01. TH'!$B18,'TỔNG KLH + TN'!$C:$C,'01. TH'!J$4)</f>
        <v>0</v>
      </c>
      <c r="K18" s="126">
        <f>COUNTIFS('TỔNG KLH + TN'!$B:$B,'01. TH'!$B18,'TỔNG KLH + TN'!$C:$C,'01. TH'!K$4)</f>
        <v>0</v>
      </c>
      <c r="L18" s="126">
        <f>COUNTIFS('TỔNG KLH + TN'!$B:$B,'01. TH'!$B18,'TỔNG KLH + TN'!$C:$C,'01. TH'!L$4)</f>
        <v>0</v>
      </c>
      <c r="M18" s="126">
        <f>COUNTIFS('TỔNG KLH + TN'!$B:$B,'01. TH'!$B18,'TỔNG KLH + TN'!$C:$C,'01. TH'!M$4)</f>
        <v>0</v>
      </c>
      <c r="N18" s="126">
        <f>COUNTIFS('TỔNG KLH + TN'!$B:$B,'01. TH'!$B18,'TỔNG KLH + TN'!$C:$C,'01. TH'!N$4)</f>
        <v>0</v>
      </c>
      <c r="O18" s="126">
        <f>COUNTIFS('TỔNG KLH + TN'!$B:$B,'01. TH'!$B18,'TỔNG KLH + TN'!$C:$C,'01. TH'!O$4)</f>
        <v>2</v>
      </c>
      <c r="P18" s="126">
        <f>COUNTIFS('TỔNG KLH + TN'!$B:$B,'01. TH'!$B18,'TỔNG KLH + TN'!$C:$C,'01. TH'!P$4)</f>
        <v>0</v>
      </c>
      <c r="Q18" s="126">
        <f>COUNTIFS('TỔNG KLH + TN'!$B:$B,'01. TH'!$B18,'TỔNG KLH + TN'!$C:$C,'01. TH'!Q$4)</f>
        <v>0</v>
      </c>
      <c r="R18" s="126">
        <f>COUNTIFS('TỔNG KLH + TN'!$B:$B,'01. TH'!$B18,'TỔNG KLH + TN'!$C:$C,'01. TH'!R$4)</f>
        <v>0</v>
      </c>
      <c r="S18" s="126">
        <f>COUNTIFS('TỔNG KLH + TN'!$B:$B,'01. TH'!$B18,'TỔNG KLH + TN'!$C:$C,'01. TH'!S$4)</f>
        <v>4</v>
      </c>
      <c r="T18" s="126">
        <f>COUNTIFS('TỔNG KLH + TN'!$B:$B,'01. TH'!$B18,'TỔNG KLH + TN'!$C:$C,'01. TH'!T$4)</f>
        <v>0</v>
      </c>
      <c r="U18" s="126">
        <f>COUNTIFS('TỔNG KLH + TN'!$B:$B,'01. TH'!$B18,'TỔNG KLH + TN'!$C:$C,'01. TH'!U$4)</f>
        <v>0</v>
      </c>
      <c r="V18" s="126">
        <f>COUNTIFS('TỔNG KLH + TN'!$B:$B,'01. TH'!$B18,'TỔNG KLH + TN'!$C:$C,'01. TH'!V$4)</f>
        <v>0</v>
      </c>
      <c r="W18" s="126">
        <f>COUNTIFS('TỔNG KLH + TN'!$B:$B,'01. TH'!$B18,'TỔNG KLH + TN'!$C:$C,'01. TH'!W$4)</f>
        <v>0</v>
      </c>
      <c r="X18" s="126">
        <f>COUNTIFS('TỔNG KLH + TN'!$B:$B,'01. TH'!$B18,'TỔNG KLH + TN'!$C:$C,'01. TH'!X$4)</f>
        <v>0</v>
      </c>
      <c r="Y18" s="126">
        <f>COUNTIFS('TỔNG KLH + TN'!$B:$B,'01. TH'!$B18,'TỔNG KLH + TN'!$C:$C,'01. TH'!Y$4)</f>
        <v>0</v>
      </c>
      <c r="Z18" s="126">
        <f>COUNTIFS('TỔNG KLH + TN'!$B:$B,'01. TH'!$B18,'TỔNG KLH + TN'!$C:$C,'01. TH'!Z$4)</f>
        <v>0</v>
      </c>
      <c r="AA18" s="126">
        <f>COUNTIFS('TỔNG KLH + TN'!$B:$B,'01. TH'!$B18,'TỔNG KLH + TN'!$C:$C,'01. TH'!AA$4)</f>
        <v>0</v>
      </c>
      <c r="AB18" s="126">
        <f>COUNTIFS('TỔNG KLH + TN'!$B:$B,'01. TH'!$B18,'TỔNG KLH + TN'!$C:$C,'01. TH'!AB$4)</f>
        <v>0</v>
      </c>
      <c r="AC18" s="126">
        <f>COUNTIFS('TỔNG KLH + TN'!$B:$B,'01. TH'!$B18,'TỔNG KLH + TN'!$C:$C,'01. TH'!AC$4)</f>
        <v>0</v>
      </c>
      <c r="AD18" s="126">
        <f>COUNTIFS('TỔNG KLH + TN'!$B:$B,'01. TH'!$B18,'TỔNG KLH + TN'!$C:$C,'01. TH'!AD$4)</f>
        <v>0</v>
      </c>
      <c r="AE18" s="136">
        <f t="shared" ref="AE18:AE24" si="5">SUM(F18:AD18)</f>
        <v>8</v>
      </c>
      <c r="AF18" s="136"/>
      <c r="AG18" s="70" t="str">
        <f t="shared" si="3"/>
        <v>ok</v>
      </c>
      <c r="AH18" s="124"/>
    </row>
    <row r="19" ht="18.75" hidden="1" customHeight="1" outlineLevel="1">
      <c r="A19" s="121"/>
      <c r="B19" s="122" t="s">
        <v>509</v>
      </c>
      <c r="C19" s="123" t="s">
        <v>262</v>
      </c>
      <c r="D19" s="124" t="str">
        <f>IFERROR(VLOOKUP(B19,'Danh mục'!$G:$U,15,0),"")</f>
        <v>4200 x 2980 x 2720</v>
      </c>
      <c r="E19" s="124" t="s">
        <v>108</v>
      </c>
      <c r="F19" s="126">
        <f>COUNTIFS('TỔNG KLH + TN'!$B:$B,'01. TH'!$B19,'TỔNG KLH + TN'!$C:$C,'01. TH'!F$4)</f>
        <v>0</v>
      </c>
      <c r="G19" s="126">
        <f>COUNTIFS('TỔNG KLH + TN'!$B:$B,'01. TH'!$B19,'TỔNG KLH + TN'!$C:$C,'01. TH'!G$4)</f>
        <v>0</v>
      </c>
      <c r="H19" s="126">
        <f>COUNTIFS('TỔNG KLH + TN'!$B:$B,'01. TH'!$B19,'TỔNG KLH + TN'!$C:$C,'01. TH'!H$4)</f>
        <v>0</v>
      </c>
      <c r="I19" s="126">
        <f>COUNTIFS('TỔNG KLH + TN'!$B:$B,'01. TH'!$B19,'TỔNG KLH + TN'!$C:$C,'01. TH'!I$4)</f>
        <v>0</v>
      </c>
      <c r="J19" s="126">
        <f>COUNTIFS('TỔNG KLH + TN'!$B:$B,'01. TH'!$B19,'TỔNG KLH + TN'!$C:$C,'01. TH'!J$4)</f>
        <v>0</v>
      </c>
      <c r="K19" s="126">
        <f>COUNTIFS('TỔNG KLH + TN'!$B:$B,'01. TH'!$B19,'TỔNG KLH + TN'!$C:$C,'01. TH'!K$4)</f>
        <v>0</v>
      </c>
      <c r="L19" s="126">
        <f>COUNTIFS('TỔNG KLH + TN'!$B:$B,'01. TH'!$B19,'TỔNG KLH + TN'!$C:$C,'01. TH'!L$4)</f>
        <v>0</v>
      </c>
      <c r="M19" s="126">
        <f>COUNTIFS('TỔNG KLH + TN'!$B:$B,'01. TH'!$B19,'TỔNG KLH + TN'!$C:$C,'01. TH'!M$4)</f>
        <v>0</v>
      </c>
      <c r="N19" s="126">
        <f>COUNTIFS('TỔNG KLH + TN'!$B:$B,'01. TH'!$B19,'TỔNG KLH + TN'!$C:$C,'01. TH'!N$4)</f>
        <v>0</v>
      </c>
      <c r="O19" s="126">
        <f>COUNTIFS('TỔNG KLH + TN'!$B:$B,'01. TH'!$B19,'TỔNG KLH + TN'!$C:$C,'01. TH'!O$4)</f>
        <v>1</v>
      </c>
      <c r="P19" s="126">
        <f>COUNTIFS('TỔNG KLH + TN'!$B:$B,'01. TH'!$B19,'TỔNG KLH + TN'!$C:$C,'01. TH'!P$4)</f>
        <v>0</v>
      </c>
      <c r="Q19" s="126">
        <f>COUNTIFS('TỔNG KLH + TN'!$B:$B,'01. TH'!$B19,'TỔNG KLH + TN'!$C:$C,'01. TH'!Q$4)</f>
        <v>0</v>
      </c>
      <c r="R19" s="126">
        <f>COUNTIFS('TỔNG KLH + TN'!$B:$B,'01. TH'!$B19,'TỔNG KLH + TN'!$C:$C,'01. TH'!R$4)</f>
        <v>0</v>
      </c>
      <c r="S19" s="126">
        <f>COUNTIFS('TỔNG KLH + TN'!$B:$B,'01. TH'!$B19,'TỔNG KLH + TN'!$C:$C,'01. TH'!S$4)</f>
        <v>0</v>
      </c>
      <c r="T19" s="126">
        <f>COUNTIFS('TỔNG KLH + TN'!$B:$B,'01. TH'!$B19,'TỔNG KLH + TN'!$C:$C,'01. TH'!T$4)</f>
        <v>0</v>
      </c>
      <c r="U19" s="126">
        <f>COUNTIFS('TỔNG KLH + TN'!$B:$B,'01. TH'!$B19,'TỔNG KLH + TN'!$C:$C,'01. TH'!U$4)</f>
        <v>0</v>
      </c>
      <c r="V19" s="126">
        <f>COUNTIFS('TỔNG KLH + TN'!$B:$B,'01. TH'!$B19,'TỔNG KLH + TN'!$C:$C,'01. TH'!V$4)</f>
        <v>0</v>
      </c>
      <c r="W19" s="126">
        <f>COUNTIFS('TỔNG KLH + TN'!$B:$B,'01. TH'!$B19,'TỔNG KLH + TN'!$C:$C,'01. TH'!W$4)</f>
        <v>0</v>
      </c>
      <c r="X19" s="126">
        <f>COUNTIFS('TỔNG KLH + TN'!$B:$B,'01. TH'!$B19,'TỔNG KLH + TN'!$C:$C,'01. TH'!X$4)</f>
        <v>0</v>
      </c>
      <c r="Y19" s="126">
        <f>COUNTIFS('TỔNG KLH + TN'!$B:$B,'01. TH'!$B19,'TỔNG KLH + TN'!$C:$C,'01. TH'!Y$4)</f>
        <v>0</v>
      </c>
      <c r="Z19" s="126">
        <f>COUNTIFS('TỔNG KLH + TN'!$B:$B,'01. TH'!$B19,'TỔNG KLH + TN'!$C:$C,'01. TH'!Z$4)</f>
        <v>0</v>
      </c>
      <c r="AA19" s="126">
        <f>COUNTIFS('TỔNG KLH + TN'!$B:$B,'01. TH'!$B19,'TỔNG KLH + TN'!$C:$C,'01. TH'!AA$4)</f>
        <v>0</v>
      </c>
      <c r="AB19" s="126">
        <f>COUNTIFS('TỔNG KLH + TN'!$B:$B,'01. TH'!$B19,'TỔNG KLH + TN'!$C:$C,'01. TH'!AB$4)</f>
        <v>0</v>
      </c>
      <c r="AC19" s="126">
        <f>COUNTIFS('TỔNG KLH + TN'!$B:$B,'01. TH'!$B19,'TỔNG KLH + TN'!$C:$C,'01. TH'!AC$4)</f>
        <v>0</v>
      </c>
      <c r="AD19" s="126">
        <f>COUNTIFS('TỔNG KLH + TN'!$B:$B,'01. TH'!$B19,'TỔNG KLH + TN'!$C:$C,'01. TH'!AD$4)</f>
        <v>0</v>
      </c>
      <c r="AE19" s="136">
        <f t="shared" si="5"/>
        <v>1</v>
      </c>
      <c r="AF19" s="136"/>
      <c r="AG19" s="70" t="str">
        <f t="shared" si="3"/>
        <v>ok</v>
      </c>
      <c r="AH19" s="121"/>
    </row>
    <row r="20" ht="18.75" hidden="1" customHeight="1" outlineLevel="1">
      <c r="A20" s="121"/>
      <c r="B20" s="122" t="s">
        <v>395</v>
      </c>
      <c r="C20" s="123" t="s">
        <v>130</v>
      </c>
      <c r="D20" s="124" t="str">
        <f>IFERROR(VLOOKUP(B20,'Danh mục'!$G:$U,15,0),"")</f>
        <v>5585 x 3000 x 3055</v>
      </c>
      <c r="E20" s="124" t="s">
        <v>108</v>
      </c>
      <c r="F20" s="126">
        <f>COUNTIFS('TỔNG KLH + TN'!$B:$B,'01. TH'!$B20,'TỔNG KLH + TN'!$C:$C,'01. TH'!F$4)</f>
        <v>0</v>
      </c>
      <c r="G20" s="126">
        <f>COUNTIFS('TỔNG KLH + TN'!$B:$B,'01. TH'!$B20,'TỔNG KLH + TN'!$C:$C,'01. TH'!G$4)</f>
        <v>0</v>
      </c>
      <c r="H20" s="126">
        <f>COUNTIFS('TỔNG KLH + TN'!$B:$B,'01. TH'!$B20,'TỔNG KLH + TN'!$C:$C,'01. TH'!H$4)</f>
        <v>0</v>
      </c>
      <c r="I20" s="126">
        <f>COUNTIFS('TỔNG KLH + TN'!$B:$B,'01. TH'!$B20,'TỔNG KLH + TN'!$C:$C,'01. TH'!I$4)</f>
        <v>0</v>
      </c>
      <c r="J20" s="126">
        <f>COUNTIFS('TỔNG KLH + TN'!$B:$B,'01. TH'!$B20,'TỔNG KLH + TN'!$C:$C,'01. TH'!J$4)</f>
        <v>0</v>
      </c>
      <c r="K20" s="126">
        <f>COUNTIFS('TỔNG KLH + TN'!$B:$B,'01. TH'!$B20,'TỔNG KLH + TN'!$C:$C,'01. TH'!K$4)</f>
        <v>0</v>
      </c>
      <c r="L20" s="126">
        <f>COUNTIFS('TỔNG KLH + TN'!$B:$B,'01. TH'!$B20,'TỔNG KLH + TN'!$C:$C,'01. TH'!L$4)</f>
        <v>0</v>
      </c>
      <c r="M20" s="126">
        <f>COUNTIFS('TỔNG KLH + TN'!$B:$B,'01. TH'!$B20,'TỔNG KLH + TN'!$C:$C,'01. TH'!M$4)</f>
        <v>0</v>
      </c>
      <c r="N20" s="126">
        <f>COUNTIFS('TỔNG KLH + TN'!$B:$B,'01. TH'!$B20,'TỔNG KLH + TN'!$C:$C,'01. TH'!N$4)</f>
        <v>0</v>
      </c>
      <c r="O20" s="126">
        <f>COUNTIFS('TỔNG KLH + TN'!$B:$B,'01. TH'!$B20,'TỔNG KLH + TN'!$C:$C,'01. TH'!O$4)</f>
        <v>1</v>
      </c>
      <c r="P20" s="126">
        <f>COUNTIFS('TỔNG KLH + TN'!$B:$B,'01. TH'!$B20,'TỔNG KLH + TN'!$C:$C,'01. TH'!P$4)</f>
        <v>0</v>
      </c>
      <c r="Q20" s="126">
        <f>COUNTIFS('TỔNG KLH + TN'!$B:$B,'01. TH'!$B20,'TỔNG KLH + TN'!$C:$C,'01. TH'!Q$4)</f>
        <v>0</v>
      </c>
      <c r="R20" s="126">
        <f>COUNTIFS('TỔNG KLH + TN'!$B:$B,'01. TH'!$B20,'TỔNG KLH + TN'!$C:$C,'01. TH'!R$4)</f>
        <v>0</v>
      </c>
      <c r="S20" s="126">
        <f>COUNTIFS('TỔNG KLH + TN'!$B:$B,'01. TH'!$B20,'TỔNG KLH + TN'!$C:$C,'01. TH'!S$4)</f>
        <v>0</v>
      </c>
      <c r="T20" s="126">
        <f>COUNTIFS('TỔNG KLH + TN'!$B:$B,'01. TH'!$B20,'TỔNG KLH + TN'!$C:$C,'01. TH'!T$4)</f>
        <v>0</v>
      </c>
      <c r="U20" s="126">
        <f>COUNTIFS('TỔNG KLH + TN'!$B:$B,'01. TH'!$B20,'TỔNG KLH + TN'!$C:$C,'01. TH'!U$4)</f>
        <v>0</v>
      </c>
      <c r="V20" s="126">
        <f>COUNTIFS('TỔNG KLH + TN'!$B:$B,'01. TH'!$B20,'TỔNG KLH + TN'!$C:$C,'01. TH'!V$4)</f>
        <v>0</v>
      </c>
      <c r="W20" s="126">
        <f>COUNTIFS('TỔNG KLH + TN'!$B:$B,'01. TH'!$B20,'TỔNG KLH + TN'!$C:$C,'01. TH'!W$4)</f>
        <v>0</v>
      </c>
      <c r="X20" s="126">
        <f>COUNTIFS('TỔNG KLH + TN'!$B:$B,'01. TH'!$B20,'TỔNG KLH + TN'!$C:$C,'01. TH'!X$4)</f>
        <v>0</v>
      </c>
      <c r="Y20" s="126">
        <f>COUNTIFS('TỔNG KLH + TN'!$B:$B,'01. TH'!$B20,'TỔNG KLH + TN'!$C:$C,'01. TH'!Y$4)</f>
        <v>0</v>
      </c>
      <c r="Z20" s="126">
        <f>COUNTIFS('TỔNG KLH + TN'!$B:$B,'01. TH'!$B20,'TỔNG KLH + TN'!$C:$C,'01. TH'!Z$4)</f>
        <v>0</v>
      </c>
      <c r="AA20" s="126">
        <f>COUNTIFS('TỔNG KLH + TN'!$B:$B,'01. TH'!$B20,'TỔNG KLH + TN'!$C:$C,'01. TH'!AA$4)</f>
        <v>0</v>
      </c>
      <c r="AB20" s="126">
        <f>COUNTIFS('TỔNG KLH + TN'!$B:$B,'01. TH'!$B20,'TỔNG KLH + TN'!$C:$C,'01. TH'!AB$4)</f>
        <v>0</v>
      </c>
      <c r="AC20" s="126">
        <f>COUNTIFS('TỔNG KLH + TN'!$B:$B,'01. TH'!$B20,'TỔNG KLH + TN'!$C:$C,'01. TH'!AC$4)</f>
        <v>0</v>
      </c>
      <c r="AD20" s="126">
        <f>COUNTIFS('TỔNG KLH + TN'!$B:$B,'01. TH'!$B20,'TỔNG KLH + TN'!$C:$C,'01. TH'!AD$4)</f>
        <v>0</v>
      </c>
      <c r="AE20" s="136">
        <f t="shared" si="5"/>
        <v>1</v>
      </c>
      <c r="AF20" s="136"/>
      <c r="AG20" s="70" t="str">
        <f t="shared" si="3"/>
        <v>ok</v>
      </c>
      <c r="AH20" s="124"/>
    </row>
    <row r="21" ht="18.75" hidden="1" customHeight="1" outlineLevel="1">
      <c r="A21" s="121"/>
      <c r="B21" s="122" t="s">
        <v>128</v>
      </c>
      <c r="C21" s="123" t="s">
        <v>130</v>
      </c>
      <c r="D21" s="124" t="str">
        <f>IFERROR(VLOOKUP(B21,'Danh mục'!$G:$U,15,0),"")</f>
        <v>5585 x 3000 x 3055</v>
      </c>
      <c r="E21" s="124" t="s">
        <v>108</v>
      </c>
      <c r="F21" s="126">
        <f>COUNTIFS('TỔNG KLH + TN'!$B:$B,'01. TH'!$B21,'TỔNG KLH + TN'!$C:$C,'01. TH'!F$4)</f>
        <v>2</v>
      </c>
      <c r="G21" s="126">
        <f>COUNTIFS('TỔNG KLH + TN'!$B:$B,'01. TH'!$B21,'TỔNG KLH + TN'!$C:$C,'01. TH'!G$4)</f>
        <v>0</v>
      </c>
      <c r="H21" s="126">
        <f>COUNTIFS('TỔNG KLH + TN'!$B:$B,'01. TH'!$B21,'TỔNG KLH + TN'!$C:$C,'01. TH'!H$4)</f>
        <v>0</v>
      </c>
      <c r="I21" s="126">
        <f>COUNTIFS('TỔNG KLH + TN'!$B:$B,'01. TH'!$B21,'TỔNG KLH + TN'!$C:$C,'01. TH'!I$4)</f>
        <v>0</v>
      </c>
      <c r="J21" s="126">
        <f>COUNTIFS('TỔNG KLH + TN'!$B:$B,'01. TH'!$B21,'TỔNG KLH + TN'!$C:$C,'01. TH'!J$4)</f>
        <v>0</v>
      </c>
      <c r="K21" s="126">
        <f>COUNTIFS('TỔNG KLH + TN'!$B:$B,'01. TH'!$B21,'TỔNG KLH + TN'!$C:$C,'01. TH'!K$4)</f>
        <v>0</v>
      </c>
      <c r="L21" s="126">
        <f>COUNTIFS('TỔNG KLH + TN'!$B:$B,'01. TH'!$B21,'TỔNG KLH + TN'!$C:$C,'01. TH'!L$4)</f>
        <v>0</v>
      </c>
      <c r="M21" s="126">
        <f>COUNTIFS('TỔNG KLH + TN'!$B:$B,'01. TH'!$B21,'TỔNG KLH + TN'!$C:$C,'01. TH'!M$4)</f>
        <v>0</v>
      </c>
      <c r="N21" s="126">
        <f>COUNTIFS('TỔNG KLH + TN'!$B:$B,'01. TH'!$B21,'TỔNG KLH + TN'!$C:$C,'01. TH'!N$4)</f>
        <v>0</v>
      </c>
      <c r="O21" s="126">
        <f>COUNTIFS('TỔNG KLH + TN'!$B:$B,'01. TH'!$B21,'TỔNG KLH + TN'!$C:$C,'01. TH'!O$4)</f>
        <v>0</v>
      </c>
      <c r="P21" s="126">
        <f>COUNTIFS('TỔNG KLH + TN'!$B:$B,'01. TH'!$B21,'TỔNG KLH + TN'!$C:$C,'01. TH'!P$4)</f>
        <v>0</v>
      </c>
      <c r="Q21" s="126">
        <f>COUNTIFS('TỔNG KLH + TN'!$B:$B,'01. TH'!$B21,'TỔNG KLH + TN'!$C:$C,'01. TH'!Q$4)</f>
        <v>0</v>
      </c>
      <c r="R21" s="126">
        <f>COUNTIFS('TỔNG KLH + TN'!$B:$B,'01. TH'!$B21,'TỔNG KLH + TN'!$C:$C,'01. TH'!R$4)</f>
        <v>0</v>
      </c>
      <c r="S21" s="126">
        <f>COUNTIFS('TỔNG KLH + TN'!$B:$B,'01. TH'!$B21,'TỔNG KLH + TN'!$C:$C,'01. TH'!S$4)</f>
        <v>0</v>
      </c>
      <c r="T21" s="126">
        <f>COUNTIFS('TỔNG KLH + TN'!$B:$B,'01. TH'!$B21,'TỔNG KLH + TN'!$C:$C,'01. TH'!T$4)</f>
        <v>0</v>
      </c>
      <c r="U21" s="126">
        <f>COUNTIFS('TỔNG KLH + TN'!$B:$B,'01. TH'!$B21,'TỔNG KLH + TN'!$C:$C,'01. TH'!U$4)</f>
        <v>0</v>
      </c>
      <c r="V21" s="126">
        <f>COUNTIFS('TỔNG KLH + TN'!$B:$B,'01. TH'!$B21,'TỔNG KLH + TN'!$C:$C,'01. TH'!V$4)</f>
        <v>0</v>
      </c>
      <c r="W21" s="126">
        <f>COUNTIFS('TỔNG KLH + TN'!$B:$B,'01. TH'!$B21,'TỔNG KLH + TN'!$C:$C,'01. TH'!W$4)</f>
        <v>0</v>
      </c>
      <c r="X21" s="126">
        <f>COUNTIFS('TỔNG KLH + TN'!$B:$B,'01. TH'!$B21,'TỔNG KLH + TN'!$C:$C,'01. TH'!X$4)</f>
        <v>0</v>
      </c>
      <c r="Y21" s="126">
        <f>COUNTIFS('TỔNG KLH + TN'!$B:$B,'01. TH'!$B21,'TỔNG KLH + TN'!$C:$C,'01. TH'!Y$4)</f>
        <v>0</v>
      </c>
      <c r="Z21" s="126">
        <f>COUNTIFS('TỔNG KLH + TN'!$B:$B,'01. TH'!$B21,'TỔNG KLH + TN'!$C:$C,'01. TH'!Z$4)</f>
        <v>0</v>
      </c>
      <c r="AA21" s="126">
        <f>COUNTIFS('TỔNG KLH + TN'!$B:$B,'01. TH'!$B21,'TỔNG KLH + TN'!$C:$C,'01. TH'!AA$4)</f>
        <v>0</v>
      </c>
      <c r="AB21" s="126">
        <f>COUNTIFS('TỔNG KLH + TN'!$B:$B,'01. TH'!$B21,'TỔNG KLH + TN'!$C:$C,'01. TH'!AB$4)</f>
        <v>0</v>
      </c>
      <c r="AC21" s="126">
        <f>COUNTIFS('TỔNG KLH + TN'!$B:$B,'01. TH'!$B21,'TỔNG KLH + TN'!$C:$C,'01. TH'!AC$4)</f>
        <v>0</v>
      </c>
      <c r="AD21" s="126">
        <f>COUNTIFS('TỔNG KLH + TN'!$B:$B,'01. TH'!$B21,'TỔNG KLH + TN'!$C:$C,'01. TH'!AD$4)</f>
        <v>0</v>
      </c>
      <c r="AE21" s="136">
        <f t="shared" si="5"/>
        <v>2</v>
      </c>
      <c r="AF21" s="136"/>
      <c r="AG21" s="70" t="str">
        <f t="shared" si="3"/>
        <v>ok</v>
      </c>
      <c r="AH21" s="124"/>
    </row>
    <row r="22" ht="18.75" hidden="1" customHeight="1" outlineLevel="1">
      <c r="A22" s="121"/>
      <c r="B22" s="122" t="s">
        <v>545</v>
      </c>
      <c r="C22" s="123" t="s">
        <v>549</v>
      </c>
      <c r="D22" s="124" t="str">
        <f>IFERROR(VLOOKUP(B22,'Danh mục'!$G:$U,15,0),"")</f>
        <v>5540 x 3860 x 3150</v>
      </c>
      <c r="E22" s="124" t="s">
        <v>108</v>
      </c>
      <c r="F22" s="126">
        <f>COUNTIFS('TỔNG KLH + TN'!$B:$B,'01. TH'!$B22,'TỔNG KLH + TN'!$C:$C,'01. TH'!F$4)</f>
        <v>0</v>
      </c>
      <c r="G22" s="126">
        <f>COUNTIFS('TỔNG KLH + TN'!$B:$B,'01. TH'!$B22,'TỔNG KLH + TN'!$C:$C,'01. TH'!G$4)</f>
        <v>0</v>
      </c>
      <c r="H22" s="126">
        <f>COUNTIFS('TỔNG KLH + TN'!$B:$B,'01. TH'!$B22,'TỔNG KLH + TN'!$C:$C,'01. TH'!H$4)</f>
        <v>0</v>
      </c>
      <c r="I22" s="126">
        <f>COUNTIFS('TỔNG KLH + TN'!$B:$B,'01. TH'!$B22,'TỔNG KLH + TN'!$C:$C,'01. TH'!I$4)</f>
        <v>0</v>
      </c>
      <c r="J22" s="126">
        <f>COUNTIFS('TỔNG KLH + TN'!$B:$B,'01. TH'!$B22,'TỔNG KLH + TN'!$C:$C,'01. TH'!J$4)</f>
        <v>0</v>
      </c>
      <c r="K22" s="126">
        <f>COUNTIFS('TỔNG KLH + TN'!$B:$B,'01. TH'!$B22,'TỔNG KLH + TN'!$C:$C,'01. TH'!K$4)</f>
        <v>0</v>
      </c>
      <c r="L22" s="126">
        <f>COUNTIFS('TỔNG KLH + TN'!$B:$B,'01. TH'!$B22,'TỔNG KLH + TN'!$C:$C,'01. TH'!L$4)</f>
        <v>0</v>
      </c>
      <c r="M22" s="126">
        <f>COUNTIFS('TỔNG KLH + TN'!$B:$B,'01. TH'!$B22,'TỔNG KLH + TN'!$C:$C,'01. TH'!M$4)</f>
        <v>0</v>
      </c>
      <c r="N22" s="126">
        <f>COUNTIFS('TỔNG KLH + TN'!$B:$B,'01. TH'!$B22,'TỔNG KLH + TN'!$C:$C,'01. TH'!N$4)</f>
        <v>0</v>
      </c>
      <c r="O22" s="126">
        <f>COUNTIFS('TỔNG KLH + TN'!$B:$B,'01. TH'!$B22,'TỔNG KLH + TN'!$C:$C,'01. TH'!O$4)</f>
        <v>0</v>
      </c>
      <c r="P22" s="126">
        <f>COUNTIFS('TỔNG KLH + TN'!$B:$B,'01. TH'!$B22,'TỔNG KLH + TN'!$C:$C,'01. TH'!P$4)</f>
        <v>0</v>
      </c>
      <c r="Q22" s="126">
        <f>COUNTIFS('TỔNG KLH + TN'!$B:$B,'01. TH'!$B22,'TỔNG KLH + TN'!$C:$C,'01. TH'!Q$4)</f>
        <v>0</v>
      </c>
      <c r="R22" s="126">
        <f>COUNTIFS('TỔNG KLH + TN'!$B:$B,'01. TH'!$B22,'TỔNG KLH + TN'!$C:$C,'01. TH'!R$4)</f>
        <v>0</v>
      </c>
      <c r="S22" s="126">
        <f>COUNTIFS('TỔNG KLH + TN'!$B:$B,'01. TH'!$B22,'TỔNG KLH + TN'!$C:$C,'01. TH'!S$4)</f>
        <v>1</v>
      </c>
      <c r="T22" s="126">
        <f>COUNTIFS('TỔNG KLH + TN'!$B:$B,'01. TH'!$B22,'TỔNG KLH + TN'!$C:$C,'01. TH'!T$4)</f>
        <v>0</v>
      </c>
      <c r="U22" s="126">
        <f>COUNTIFS('TỔNG KLH + TN'!$B:$B,'01. TH'!$B22,'TỔNG KLH + TN'!$C:$C,'01. TH'!U$4)</f>
        <v>0</v>
      </c>
      <c r="V22" s="126">
        <f>COUNTIFS('TỔNG KLH + TN'!$B:$B,'01. TH'!$B22,'TỔNG KLH + TN'!$C:$C,'01. TH'!V$4)</f>
        <v>0</v>
      </c>
      <c r="W22" s="126">
        <f>COUNTIFS('TỔNG KLH + TN'!$B:$B,'01. TH'!$B22,'TỔNG KLH + TN'!$C:$C,'01. TH'!W$4)</f>
        <v>0</v>
      </c>
      <c r="X22" s="126">
        <f>COUNTIFS('TỔNG KLH + TN'!$B:$B,'01. TH'!$B22,'TỔNG KLH + TN'!$C:$C,'01. TH'!X$4)</f>
        <v>0</v>
      </c>
      <c r="Y22" s="126">
        <f>COUNTIFS('TỔNG KLH + TN'!$B:$B,'01. TH'!$B22,'TỔNG KLH + TN'!$C:$C,'01. TH'!Y$4)</f>
        <v>0</v>
      </c>
      <c r="Z22" s="126">
        <f>COUNTIFS('TỔNG KLH + TN'!$B:$B,'01. TH'!$B22,'TỔNG KLH + TN'!$C:$C,'01. TH'!Z$4)</f>
        <v>0</v>
      </c>
      <c r="AA22" s="126">
        <f>COUNTIFS('TỔNG KLH + TN'!$B:$B,'01. TH'!$B22,'TỔNG KLH + TN'!$C:$C,'01. TH'!AA$4)</f>
        <v>0</v>
      </c>
      <c r="AB22" s="126">
        <f>COUNTIFS('TỔNG KLH + TN'!$B:$B,'01. TH'!$B22,'TỔNG KLH + TN'!$C:$C,'01. TH'!AB$4)</f>
        <v>0</v>
      </c>
      <c r="AC22" s="126">
        <f>COUNTIFS('TỔNG KLH + TN'!$B:$B,'01. TH'!$B22,'TỔNG KLH + TN'!$C:$C,'01. TH'!AC$4)</f>
        <v>0</v>
      </c>
      <c r="AD22" s="126">
        <f>COUNTIFS('TỔNG KLH + TN'!$B:$B,'01. TH'!$B22,'TỔNG KLH + TN'!$C:$C,'01. TH'!AD$4)</f>
        <v>0</v>
      </c>
      <c r="AE22" s="136">
        <f t="shared" si="5"/>
        <v>1</v>
      </c>
      <c r="AF22" s="136"/>
      <c r="AG22" s="70" t="str">
        <f t="shared" si="3"/>
        <v>ok</v>
      </c>
      <c r="AH22" s="121"/>
    </row>
    <row r="23" ht="18.75" hidden="1" customHeight="1" outlineLevel="1">
      <c r="A23" s="159"/>
      <c r="B23" s="122" t="s">
        <v>133</v>
      </c>
      <c r="C23" s="123" t="s">
        <v>130</v>
      </c>
      <c r="D23" s="124" t="str">
        <f>IFERROR(VLOOKUP(B23,'Danh mục'!$G:$U,15,0),"")</f>
        <v>5550 x 3970 x 3090</v>
      </c>
      <c r="E23" s="124" t="s">
        <v>108</v>
      </c>
      <c r="F23" s="126">
        <f>COUNTIFS('TỔNG KLH + TN'!$B:$B,'01. TH'!$B23,'TỔNG KLH + TN'!$C:$C,'01. TH'!F$4)</f>
        <v>1</v>
      </c>
      <c r="G23" s="126">
        <f>COUNTIFS('TỔNG KLH + TN'!$B:$B,'01. TH'!$B23,'TỔNG KLH + TN'!$C:$C,'01. TH'!G$4)</f>
        <v>0</v>
      </c>
      <c r="H23" s="126">
        <f>COUNTIFS('TỔNG KLH + TN'!$B:$B,'01. TH'!$B23,'TỔNG KLH + TN'!$C:$C,'01. TH'!H$4)</f>
        <v>0</v>
      </c>
      <c r="I23" s="126">
        <f>COUNTIFS('TỔNG KLH + TN'!$B:$B,'01. TH'!$B23,'TỔNG KLH + TN'!$C:$C,'01. TH'!I$4)</f>
        <v>0</v>
      </c>
      <c r="J23" s="126">
        <f>COUNTIFS('TỔNG KLH + TN'!$B:$B,'01. TH'!$B23,'TỔNG KLH + TN'!$C:$C,'01. TH'!J$4)</f>
        <v>0</v>
      </c>
      <c r="K23" s="126">
        <f>COUNTIFS('TỔNG KLH + TN'!$B:$B,'01. TH'!$B23,'TỔNG KLH + TN'!$C:$C,'01. TH'!K$4)</f>
        <v>0</v>
      </c>
      <c r="L23" s="126">
        <f>COUNTIFS('TỔNG KLH + TN'!$B:$B,'01. TH'!$B23,'TỔNG KLH + TN'!$C:$C,'01. TH'!L$4)</f>
        <v>0</v>
      </c>
      <c r="M23" s="126">
        <f>COUNTIFS('TỔNG KLH + TN'!$B:$B,'01. TH'!$B23,'TỔNG KLH + TN'!$C:$C,'01. TH'!M$4)</f>
        <v>0</v>
      </c>
      <c r="N23" s="126">
        <f>COUNTIFS('TỔNG KLH + TN'!$B:$B,'01. TH'!$B23,'TỔNG KLH + TN'!$C:$C,'01. TH'!N$4)</f>
        <v>0</v>
      </c>
      <c r="O23" s="126">
        <f>COUNTIFS('TỔNG KLH + TN'!$B:$B,'01. TH'!$B23,'TỔNG KLH + TN'!$C:$C,'01. TH'!O$4)</f>
        <v>0</v>
      </c>
      <c r="P23" s="126">
        <f>COUNTIFS('TỔNG KLH + TN'!$B:$B,'01. TH'!$B23,'TỔNG KLH + TN'!$C:$C,'01. TH'!P$4)</f>
        <v>0</v>
      </c>
      <c r="Q23" s="126">
        <f>COUNTIFS('TỔNG KLH + TN'!$B:$B,'01. TH'!$B23,'TỔNG KLH + TN'!$C:$C,'01. TH'!Q$4)</f>
        <v>0</v>
      </c>
      <c r="R23" s="126">
        <f>COUNTIFS('TỔNG KLH + TN'!$B:$B,'01. TH'!$B23,'TỔNG KLH + TN'!$C:$C,'01. TH'!R$4)</f>
        <v>0</v>
      </c>
      <c r="S23" s="126">
        <f>COUNTIFS('TỔNG KLH + TN'!$B:$B,'01. TH'!$B23,'TỔNG KLH + TN'!$C:$C,'01. TH'!S$4)</f>
        <v>0</v>
      </c>
      <c r="T23" s="126">
        <f>COUNTIFS('TỔNG KLH + TN'!$B:$B,'01. TH'!$B23,'TỔNG KLH + TN'!$C:$C,'01. TH'!T$4)</f>
        <v>0</v>
      </c>
      <c r="U23" s="126">
        <f>COUNTIFS('TỔNG KLH + TN'!$B:$B,'01. TH'!$B23,'TỔNG KLH + TN'!$C:$C,'01. TH'!U$4)</f>
        <v>0</v>
      </c>
      <c r="V23" s="126">
        <f>COUNTIFS('TỔNG KLH + TN'!$B:$B,'01. TH'!$B23,'TỔNG KLH + TN'!$C:$C,'01. TH'!V$4)</f>
        <v>0</v>
      </c>
      <c r="W23" s="126">
        <f>COUNTIFS('TỔNG KLH + TN'!$B:$B,'01. TH'!$B23,'TỔNG KLH + TN'!$C:$C,'01. TH'!W$4)</f>
        <v>0</v>
      </c>
      <c r="X23" s="126">
        <f>COUNTIFS('TỔNG KLH + TN'!$B:$B,'01. TH'!$B23,'TỔNG KLH + TN'!$C:$C,'01. TH'!X$4)</f>
        <v>0</v>
      </c>
      <c r="Y23" s="126">
        <f>COUNTIFS('TỔNG KLH + TN'!$B:$B,'01. TH'!$B23,'TỔNG KLH + TN'!$C:$C,'01. TH'!Y$4)</f>
        <v>0</v>
      </c>
      <c r="Z23" s="126">
        <f>COUNTIFS('TỔNG KLH + TN'!$B:$B,'01. TH'!$B23,'TỔNG KLH + TN'!$C:$C,'01. TH'!Z$4)</f>
        <v>0</v>
      </c>
      <c r="AA23" s="126">
        <f>COUNTIFS('TỔNG KLH + TN'!$B:$B,'01. TH'!$B23,'TỔNG KLH + TN'!$C:$C,'01. TH'!AA$4)</f>
        <v>0</v>
      </c>
      <c r="AB23" s="126">
        <f>COUNTIFS('TỔNG KLH + TN'!$B:$B,'01. TH'!$B23,'TỔNG KLH + TN'!$C:$C,'01. TH'!AB$4)</f>
        <v>0</v>
      </c>
      <c r="AC23" s="126">
        <f>COUNTIFS('TỔNG KLH + TN'!$B:$B,'01. TH'!$B23,'TỔNG KLH + TN'!$C:$C,'01. TH'!AC$4)</f>
        <v>0</v>
      </c>
      <c r="AD23" s="126">
        <f>COUNTIFS('TỔNG KLH + TN'!$B:$B,'01. TH'!$B23,'TỔNG KLH + TN'!$C:$C,'01. TH'!AD$4)</f>
        <v>0</v>
      </c>
      <c r="AE23" s="162">
        <f t="shared" si="5"/>
        <v>1</v>
      </c>
      <c r="AF23" s="162"/>
      <c r="AG23" s="70" t="str">
        <f t="shared" si="3"/>
        <v>ok</v>
      </c>
      <c r="AH23" s="163"/>
    </row>
    <row r="24" ht="18.75" hidden="1" customHeight="1" outlineLevel="1">
      <c r="A24" s="121"/>
      <c r="B24" s="122" t="s">
        <v>529</v>
      </c>
      <c r="C24" s="123" t="s">
        <v>130</v>
      </c>
      <c r="D24" s="124" t="str">
        <f>IFERROR(VLOOKUP(B24,'Danh mục'!$G:$U,15,0),"")</f>
        <v>5550 x 3970 x 3090</v>
      </c>
      <c r="E24" s="124" t="s">
        <v>108</v>
      </c>
      <c r="F24" s="126">
        <f>COUNTIFS('TỔNG KLH + TN'!$B:$B,'01. TH'!$B24,'TỔNG KLH + TN'!$C:$C,'01. TH'!F$4)</f>
        <v>0</v>
      </c>
      <c r="G24" s="126">
        <f>COUNTIFS('TỔNG KLH + TN'!$B:$B,'01. TH'!$B24,'TỔNG KLH + TN'!$C:$C,'01. TH'!G$4)</f>
        <v>0</v>
      </c>
      <c r="H24" s="126">
        <f>COUNTIFS('TỔNG KLH + TN'!$B:$B,'01. TH'!$B24,'TỔNG KLH + TN'!$C:$C,'01. TH'!H$4)</f>
        <v>0</v>
      </c>
      <c r="I24" s="126">
        <f>COUNTIFS('TỔNG KLH + TN'!$B:$B,'01. TH'!$B24,'TỔNG KLH + TN'!$C:$C,'01. TH'!I$4)</f>
        <v>0</v>
      </c>
      <c r="J24" s="126">
        <f>COUNTIFS('TỔNG KLH + TN'!$B:$B,'01. TH'!$B24,'TỔNG KLH + TN'!$C:$C,'01. TH'!J$4)</f>
        <v>0</v>
      </c>
      <c r="K24" s="126">
        <f>COUNTIFS('TỔNG KLH + TN'!$B:$B,'01. TH'!$B24,'TỔNG KLH + TN'!$C:$C,'01. TH'!K$4)</f>
        <v>0</v>
      </c>
      <c r="L24" s="126">
        <f>COUNTIFS('TỔNG KLH + TN'!$B:$B,'01. TH'!$B24,'TỔNG KLH + TN'!$C:$C,'01. TH'!L$4)</f>
        <v>0</v>
      </c>
      <c r="M24" s="126">
        <f>COUNTIFS('TỔNG KLH + TN'!$B:$B,'01. TH'!$B24,'TỔNG KLH + TN'!$C:$C,'01. TH'!M$4)</f>
        <v>0</v>
      </c>
      <c r="N24" s="126">
        <f>COUNTIFS('TỔNG KLH + TN'!$B:$B,'01. TH'!$B24,'TỔNG KLH + TN'!$C:$C,'01. TH'!N$4)</f>
        <v>0</v>
      </c>
      <c r="O24" s="126">
        <f>COUNTIFS('TỔNG KLH + TN'!$B:$B,'01. TH'!$B24,'TỔNG KLH + TN'!$C:$C,'01. TH'!O$4)</f>
        <v>0</v>
      </c>
      <c r="P24" s="126">
        <f>COUNTIFS('TỔNG KLH + TN'!$B:$B,'01. TH'!$B24,'TỔNG KLH + TN'!$C:$C,'01. TH'!P$4)</f>
        <v>0</v>
      </c>
      <c r="Q24" s="126">
        <f>COUNTIFS('TỔNG KLH + TN'!$B:$B,'01. TH'!$B24,'TỔNG KLH + TN'!$C:$C,'01. TH'!Q$4)</f>
        <v>0</v>
      </c>
      <c r="R24" s="126">
        <f>COUNTIFS('TỔNG KLH + TN'!$B:$B,'01. TH'!$B24,'TỔNG KLH + TN'!$C:$C,'01. TH'!R$4)</f>
        <v>0</v>
      </c>
      <c r="S24" s="126">
        <f>COUNTIFS('TỔNG KLH + TN'!$B:$B,'01. TH'!$B24,'TỔNG KLH + TN'!$C:$C,'01. TH'!S$4)</f>
        <v>1</v>
      </c>
      <c r="T24" s="126">
        <f>COUNTIFS('TỔNG KLH + TN'!$B:$B,'01. TH'!$B24,'TỔNG KLH + TN'!$C:$C,'01. TH'!T$4)</f>
        <v>0</v>
      </c>
      <c r="U24" s="126">
        <f>COUNTIFS('TỔNG KLH + TN'!$B:$B,'01. TH'!$B24,'TỔNG KLH + TN'!$C:$C,'01. TH'!U$4)</f>
        <v>0</v>
      </c>
      <c r="V24" s="126">
        <f>COUNTIFS('TỔNG KLH + TN'!$B:$B,'01. TH'!$B24,'TỔNG KLH + TN'!$C:$C,'01. TH'!V$4)</f>
        <v>0</v>
      </c>
      <c r="W24" s="126">
        <f>COUNTIFS('TỔNG KLH + TN'!$B:$B,'01. TH'!$B24,'TỔNG KLH + TN'!$C:$C,'01. TH'!W$4)</f>
        <v>0</v>
      </c>
      <c r="X24" s="126">
        <f>COUNTIFS('TỔNG KLH + TN'!$B:$B,'01. TH'!$B24,'TỔNG KLH + TN'!$C:$C,'01. TH'!X$4)</f>
        <v>0</v>
      </c>
      <c r="Y24" s="126">
        <f>COUNTIFS('TỔNG KLH + TN'!$B:$B,'01. TH'!$B24,'TỔNG KLH + TN'!$C:$C,'01. TH'!Y$4)</f>
        <v>0</v>
      </c>
      <c r="Z24" s="126">
        <f>COUNTIFS('TỔNG KLH + TN'!$B:$B,'01. TH'!$B24,'TỔNG KLH + TN'!$C:$C,'01. TH'!Z$4)</f>
        <v>0</v>
      </c>
      <c r="AA24" s="126">
        <f>COUNTIFS('TỔNG KLH + TN'!$B:$B,'01. TH'!$B24,'TỔNG KLH + TN'!$C:$C,'01. TH'!AA$4)</f>
        <v>0</v>
      </c>
      <c r="AB24" s="126">
        <f>COUNTIFS('TỔNG KLH + TN'!$B:$B,'01. TH'!$B24,'TỔNG KLH + TN'!$C:$C,'01. TH'!AB$4)</f>
        <v>0</v>
      </c>
      <c r="AC24" s="126">
        <f>COUNTIFS('TỔNG KLH + TN'!$B:$B,'01. TH'!$B24,'TỔNG KLH + TN'!$C:$C,'01. TH'!AC$4)</f>
        <v>0</v>
      </c>
      <c r="AD24" s="126">
        <f>COUNTIFS('TỔNG KLH + TN'!$B:$B,'01. TH'!$B24,'TỔNG KLH + TN'!$C:$C,'01. TH'!AD$4)</f>
        <v>0</v>
      </c>
      <c r="AE24" s="136">
        <f t="shared" si="5"/>
        <v>1</v>
      </c>
      <c r="AF24" s="136"/>
      <c r="AG24" s="70" t="str">
        <f t="shared" si="3"/>
        <v>ok</v>
      </c>
      <c r="AH24" s="121"/>
    </row>
    <row r="25" ht="24.0" customHeight="1" collapsed="1">
      <c r="A25" s="70">
        <v>3.0</v>
      </c>
      <c r="B25" s="73" t="s">
        <v>1019</v>
      </c>
      <c r="C25" s="78"/>
      <c r="D25" s="78" t="str">
        <f>IFERROR(VLOOKUP(B25,'Danh mục'!$G:$U,15,0),"")</f>
        <v/>
      </c>
      <c r="E25" s="78"/>
      <c r="F25" s="172">
        <f t="shared" ref="F25:AE25" si="6">SUM(F26:F27)</f>
        <v>2</v>
      </c>
      <c r="G25" s="172">
        <f t="shared" si="6"/>
        <v>0</v>
      </c>
      <c r="H25" s="172">
        <f t="shared" si="6"/>
        <v>0</v>
      </c>
      <c r="I25" s="172">
        <f t="shared" si="6"/>
        <v>0</v>
      </c>
      <c r="J25" s="172">
        <f t="shared" si="6"/>
        <v>0</v>
      </c>
      <c r="K25" s="172">
        <f t="shared" si="6"/>
        <v>0</v>
      </c>
      <c r="L25" s="172">
        <f t="shared" si="6"/>
        <v>0</v>
      </c>
      <c r="M25" s="172">
        <f t="shared" si="6"/>
        <v>0</v>
      </c>
      <c r="N25" s="172">
        <f t="shared" si="6"/>
        <v>0</v>
      </c>
      <c r="O25" s="172">
        <f t="shared" si="6"/>
        <v>1</v>
      </c>
      <c r="P25" s="172">
        <f t="shared" si="6"/>
        <v>0</v>
      </c>
      <c r="Q25" s="172">
        <f t="shared" si="6"/>
        <v>0</v>
      </c>
      <c r="R25" s="172">
        <f t="shared" si="6"/>
        <v>0</v>
      </c>
      <c r="S25" s="172">
        <f t="shared" si="6"/>
        <v>2</v>
      </c>
      <c r="T25" s="172">
        <f t="shared" si="6"/>
        <v>0</v>
      </c>
      <c r="U25" s="172">
        <f t="shared" si="6"/>
        <v>0</v>
      </c>
      <c r="V25" s="172">
        <f t="shared" si="6"/>
        <v>0</v>
      </c>
      <c r="W25" s="172">
        <f t="shared" si="6"/>
        <v>0</v>
      </c>
      <c r="X25" s="172">
        <f t="shared" si="6"/>
        <v>0</v>
      </c>
      <c r="Y25" s="172">
        <f t="shared" si="6"/>
        <v>0</v>
      </c>
      <c r="Z25" s="172">
        <f t="shared" si="6"/>
        <v>0</v>
      </c>
      <c r="AA25" s="172">
        <f t="shared" si="6"/>
        <v>0</v>
      </c>
      <c r="AB25" s="172">
        <f t="shared" si="6"/>
        <v>0</v>
      </c>
      <c r="AC25" s="172">
        <f t="shared" si="6"/>
        <v>0</v>
      </c>
      <c r="AD25" s="172">
        <f t="shared" si="6"/>
        <v>0</v>
      </c>
      <c r="AE25" s="173">
        <f t="shared" si="6"/>
        <v>5</v>
      </c>
      <c r="AF25" s="174">
        <v>2.0</v>
      </c>
      <c r="AG25" s="70" t="str">
        <f t="shared" si="3"/>
        <v>ok</v>
      </c>
      <c r="AH25" s="120"/>
    </row>
    <row r="26" ht="18.75" hidden="1" customHeight="1" outlineLevel="1">
      <c r="A26" s="121"/>
      <c r="B26" s="122" t="s">
        <v>213</v>
      </c>
      <c r="C26" s="123" t="s">
        <v>215</v>
      </c>
      <c r="D26" s="124" t="str">
        <f>IFERROR(VLOOKUP(B26,'Danh mục'!$G:$U,15,0),"")</f>
        <v>11050 x 2790 x 3260</v>
      </c>
      <c r="E26" s="124" t="s">
        <v>108</v>
      </c>
      <c r="F26" s="126">
        <f>COUNTIFS('TỔNG KLH + TN'!$B:$B,'01. TH'!$B26,'TỔNG KLH + TN'!$C:$C,'01. TH'!F$4)</f>
        <v>1</v>
      </c>
      <c r="G26" s="126">
        <f>COUNTIFS('TỔNG KLH + TN'!$B:$B,'01. TH'!$B26,'TỔNG KLH + TN'!$C:$C,'01. TH'!G$4)</f>
        <v>0</v>
      </c>
      <c r="H26" s="126">
        <f>COUNTIFS('TỔNG KLH + TN'!$B:$B,'01. TH'!$B26,'TỔNG KLH + TN'!$C:$C,'01. TH'!H$4)</f>
        <v>0</v>
      </c>
      <c r="I26" s="126">
        <f>COUNTIFS('TỔNG KLH + TN'!$B:$B,'01. TH'!$B26,'TỔNG KLH + TN'!$C:$C,'01. TH'!I$4)</f>
        <v>0</v>
      </c>
      <c r="J26" s="126">
        <f>COUNTIFS('TỔNG KLH + TN'!$B:$B,'01. TH'!$B26,'TỔNG KLH + TN'!$C:$C,'01. TH'!J$4)</f>
        <v>0</v>
      </c>
      <c r="K26" s="126">
        <f>COUNTIFS('TỔNG KLH + TN'!$B:$B,'01. TH'!$B26,'TỔNG KLH + TN'!$C:$C,'01. TH'!K$4)</f>
        <v>0</v>
      </c>
      <c r="L26" s="126">
        <f>COUNTIFS('TỔNG KLH + TN'!$B:$B,'01. TH'!$B26,'TỔNG KLH + TN'!$C:$C,'01. TH'!L$4)</f>
        <v>0</v>
      </c>
      <c r="M26" s="126">
        <f>COUNTIFS('TỔNG KLH + TN'!$B:$B,'01. TH'!$B26,'TỔNG KLH + TN'!$C:$C,'01. TH'!M$4)</f>
        <v>0</v>
      </c>
      <c r="N26" s="126">
        <f>COUNTIFS('TỔNG KLH + TN'!$B:$B,'01. TH'!$B26,'TỔNG KLH + TN'!$C:$C,'01. TH'!N$4)</f>
        <v>0</v>
      </c>
      <c r="O26" s="126">
        <f>COUNTIFS('TỔNG KLH + TN'!$B:$B,'01. TH'!$B26,'TỔNG KLH + TN'!$C:$C,'01. TH'!O$4)</f>
        <v>0</v>
      </c>
      <c r="P26" s="126">
        <f>COUNTIFS('TỔNG KLH + TN'!$B:$B,'01. TH'!$B26,'TỔNG KLH + TN'!$C:$C,'01. TH'!P$4)</f>
        <v>0</v>
      </c>
      <c r="Q26" s="126">
        <f>COUNTIFS('TỔNG KLH + TN'!$B:$B,'01. TH'!$B26,'TỔNG KLH + TN'!$C:$C,'01. TH'!Q$4)</f>
        <v>0</v>
      </c>
      <c r="R26" s="126">
        <f>COUNTIFS('TỔNG KLH + TN'!$B:$B,'01. TH'!$B26,'TỔNG KLH + TN'!$C:$C,'01. TH'!R$4)</f>
        <v>0</v>
      </c>
      <c r="S26" s="126">
        <f>COUNTIFS('TỔNG KLH + TN'!$B:$B,'01. TH'!$B26,'TỔNG KLH + TN'!$C:$C,'01. TH'!S$4)</f>
        <v>0</v>
      </c>
      <c r="T26" s="126">
        <f>COUNTIFS('TỔNG KLH + TN'!$B:$B,'01. TH'!$B26,'TỔNG KLH + TN'!$C:$C,'01. TH'!T$4)</f>
        <v>0</v>
      </c>
      <c r="U26" s="126">
        <f>COUNTIFS('TỔNG KLH + TN'!$B:$B,'01. TH'!$B26,'TỔNG KLH + TN'!$C:$C,'01. TH'!U$4)</f>
        <v>0</v>
      </c>
      <c r="V26" s="126">
        <f>COUNTIFS('TỔNG KLH + TN'!$B:$B,'01. TH'!$B26,'TỔNG KLH + TN'!$C:$C,'01. TH'!V$4)</f>
        <v>0</v>
      </c>
      <c r="W26" s="126">
        <f>COUNTIFS('TỔNG KLH + TN'!$B:$B,'01. TH'!$B26,'TỔNG KLH + TN'!$C:$C,'01. TH'!W$4)</f>
        <v>0</v>
      </c>
      <c r="X26" s="126">
        <f>COUNTIFS('TỔNG KLH + TN'!$B:$B,'01. TH'!$B26,'TỔNG KLH + TN'!$C:$C,'01. TH'!X$4)</f>
        <v>0</v>
      </c>
      <c r="Y26" s="126">
        <f>COUNTIFS('TỔNG KLH + TN'!$B:$B,'01. TH'!$B26,'TỔNG KLH + TN'!$C:$C,'01. TH'!Y$4)</f>
        <v>0</v>
      </c>
      <c r="Z26" s="126">
        <f>COUNTIFS('TỔNG KLH + TN'!$B:$B,'01. TH'!$B26,'TỔNG KLH + TN'!$C:$C,'01. TH'!Z$4)</f>
        <v>0</v>
      </c>
      <c r="AA26" s="126">
        <f>COUNTIFS('TỔNG KLH + TN'!$B:$B,'01. TH'!$B26,'TỔNG KLH + TN'!$C:$C,'01. TH'!AA$4)</f>
        <v>0</v>
      </c>
      <c r="AB26" s="126">
        <f>COUNTIFS('TỔNG KLH + TN'!$B:$B,'01. TH'!$B26,'TỔNG KLH + TN'!$C:$C,'01. TH'!AB$4)</f>
        <v>0</v>
      </c>
      <c r="AC26" s="126">
        <f>COUNTIFS('TỔNG KLH + TN'!$B:$B,'01. TH'!$B26,'TỔNG KLH + TN'!$C:$C,'01. TH'!AC$4)</f>
        <v>0</v>
      </c>
      <c r="AD26" s="126">
        <f>COUNTIFS('TỔNG KLH + TN'!$B:$B,'01. TH'!$B26,'TỔNG KLH + TN'!$C:$C,'01. TH'!AD$4)</f>
        <v>0</v>
      </c>
      <c r="AE26" s="136">
        <f t="shared" ref="AE26:AE27" si="7">SUM(F26:AD26)</f>
        <v>1</v>
      </c>
      <c r="AF26" s="136"/>
      <c r="AG26" s="70" t="str">
        <f t="shared" si="3"/>
        <v>ok</v>
      </c>
      <c r="AH26" s="121"/>
    </row>
    <row r="27" ht="18.75" hidden="1" customHeight="1" outlineLevel="1">
      <c r="A27" s="121"/>
      <c r="B27" s="122" t="s">
        <v>207</v>
      </c>
      <c r="C27" s="123" t="s">
        <v>1076</v>
      </c>
      <c r="D27" s="124" t="str">
        <f>IFERROR(VLOOKUP(B27,'Danh mục'!$G:$U,15,0),"")</f>
        <v>8420 x 2375 x 3240</v>
      </c>
      <c r="E27" s="124" t="s">
        <v>108</v>
      </c>
      <c r="F27" s="126">
        <f>COUNTIFS('TỔNG KLH + TN'!$B:$B,'01. TH'!$B27,'TỔNG KLH + TN'!$C:$C,'01. TH'!F$4)</f>
        <v>1</v>
      </c>
      <c r="G27" s="126">
        <f>COUNTIFS('TỔNG KLH + TN'!$B:$B,'01. TH'!$B27,'TỔNG KLH + TN'!$C:$C,'01. TH'!G$4)</f>
        <v>0</v>
      </c>
      <c r="H27" s="126">
        <f>COUNTIFS('TỔNG KLH + TN'!$B:$B,'01. TH'!$B27,'TỔNG KLH + TN'!$C:$C,'01. TH'!H$4)</f>
        <v>0</v>
      </c>
      <c r="I27" s="126">
        <f>COUNTIFS('TỔNG KLH + TN'!$B:$B,'01. TH'!$B27,'TỔNG KLH + TN'!$C:$C,'01. TH'!I$4)</f>
        <v>0</v>
      </c>
      <c r="J27" s="126">
        <f>COUNTIFS('TỔNG KLH + TN'!$B:$B,'01. TH'!$B27,'TỔNG KLH + TN'!$C:$C,'01. TH'!J$4)</f>
        <v>0</v>
      </c>
      <c r="K27" s="126">
        <f>COUNTIFS('TỔNG KLH + TN'!$B:$B,'01. TH'!$B27,'TỔNG KLH + TN'!$C:$C,'01. TH'!K$4)</f>
        <v>0</v>
      </c>
      <c r="L27" s="126">
        <f>COUNTIFS('TỔNG KLH + TN'!$B:$B,'01. TH'!$B27,'TỔNG KLH + TN'!$C:$C,'01. TH'!L$4)</f>
        <v>0</v>
      </c>
      <c r="M27" s="126">
        <f>COUNTIFS('TỔNG KLH + TN'!$B:$B,'01. TH'!$B27,'TỔNG KLH + TN'!$C:$C,'01. TH'!M$4)</f>
        <v>0</v>
      </c>
      <c r="N27" s="126">
        <f>COUNTIFS('TỔNG KLH + TN'!$B:$B,'01. TH'!$B27,'TỔNG KLH + TN'!$C:$C,'01. TH'!N$4)</f>
        <v>0</v>
      </c>
      <c r="O27" s="126">
        <f>COUNTIFS('TỔNG KLH + TN'!$B:$B,'01. TH'!$B27,'TỔNG KLH + TN'!$C:$C,'01. TH'!O$4)</f>
        <v>1</v>
      </c>
      <c r="P27" s="126">
        <f>COUNTIFS('TỔNG KLH + TN'!$B:$B,'01. TH'!$B27,'TỔNG KLH + TN'!$C:$C,'01. TH'!P$4)</f>
        <v>0</v>
      </c>
      <c r="Q27" s="126">
        <f>COUNTIFS('TỔNG KLH + TN'!$B:$B,'01. TH'!$B27,'TỔNG KLH + TN'!$C:$C,'01. TH'!Q$4)</f>
        <v>0</v>
      </c>
      <c r="R27" s="126">
        <f>COUNTIFS('TỔNG KLH + TN'!$B:$B,'01. TH'!$B27,'TỔNG KLH + TN'!$C:$C,'01. TH'!R$4)</f>
        <v>0</v>
      </c>
      <c r="S27" s="126">
        <f>COUNTIFS('TỔNG KLH + TN'!$B:$B,'01. TH'!$B27,'TỔNG KLH + TN'!$C:$C,'01. TH'!S$4)</f>
        <v>2</v>
      </c>
      <c r="T27" s="126">
        <f>COUNTIFS('TỔNG KLH + TN'!$B:$B,'01. TH'!$B27,'TỔNG KLH + TN'!$C:$C,'01. TH'!T$4)</f>
        <v>0</v>
      </c>
      <c r="U27" s="126">
        <f>COUNTIFS('TỔNG KLH + TN'!$B:$B,'01. TH'!$B27,'TỔNG KLH + TN'!$C:$C,'01. TH'!U$4)</f>
        <v>0</v>
      </c>
      <c r="V27" s="126">
        <f>COUNTIFS('TỔNG KLH + TN'!$B:$B,'01. TH'!$B27,'TỔNG KLH + TN'!$C:$C,'01. TH'!V$4)</f>
        <v>0</v>
      </c>
      <c r="W27" s="126">
        <f>COUNTIFS('TỔNG KLH + TN'!$B:$B,'01. TH'!$B27,'TỔNG KLH + TN'!$C:$C,'01. TH'!W$4)</f>
        <v>0</v>
      </c>
      <c r="X27" s="126">
        <f>COUNTIFS('TỔNG KLH + TN'!$B:$B,'01. TH'!$B27,'TỔNG KLH + TN'!$C:$C,'01. TH'!X$4)</f>
        <v>0</v>
      </c>
      <c r="Y27" s="126">
        <f>COUNTIFS('TỔNG KLH + TN'!$B:$B,'01. TH'!$B27,'TỔNG KLH + TN'!$C:$C,'01. TH'!Y$4)</f>
        <v>0</v>
      </c>
      <c r="Z27" s="126">
        <f>COUNTIFS('TỔNG KLH + TN'!$B:$B,'01. TH'!$B27,'TỔNG KLH + TN'!$C:$C,'01. TH'!Z$4)</f>
        <v>0</v>
      </c>
      <c r="AA27" s="126">
        <f>COUNTIFS('TỔNG KLH + TN'!$B:$B,'01. TH'!$B27,'TỔNG KLH + TN'!$C:$C,'01. TH'!AA$4)</f>
        <v>0</v>
      </c>
      <c r="AB27" s="126">
        <f>COUNTIFS('TỔNG KLH + TN'!$B:$B,'01. TH'!$B27,'TỔNG KLH + TN'!$C:$C,'01. TH'!AB$4)</f>
        <v>0</v>
      </c>
      <c r="AC27" s="126">
        <f>COUNTIFS('TỔNG KLH + TN'!$B:$B,'01. TH'!$B27,'TỔNG KLH + TN'!$C:$C,'01. TH'!AC$4)</f>
        <v>0</v>
      </c>
      <c r="AD27" s="126">
        <f>COUNTIFS('TỔNG KLH + TN'!$B:$B,'01. TH'!$B27,'TỔNG KLH + TN'!$C:$C,'01. TH'!AD$4)</f>
        <v>0</v>
      </c>
      <c r="AE27" s="136">
        <f t="shared" si="7"/>
        <v>4</v>
      </c>
      <c r="AF27" s="136"/>
      <c r="AG27" s="70" t="str">
        <f t="shared" si="3"/>
        <v>ok</v>
      </c>
      <c r="AH27" s="124"/>
    </row>
    <row r="28" ht="24.0" customHeight="1" collapsed="1">
      <c r="A28" s="70">
        <v>4.0</v>
      </c>
      <c r="B28" s="73" t="s">
        <v>1113</v>
      </c>
      <c r="C28" s="78"/>
      <c r="D28" s="78" t="str">
        <f>IFERROR(VLOOKUP(B28,'Danh mục'!$G:$U,15,0),"")</f>
        <v/>
      </c>
      <c r="E28" s="78"/>
      <c r="F28" s="172">
        <f t="shared" ref="F28:AE28" si="8">SUM(F29:F32)</f>
        <v>3</v>
      </c>
      <c r="G28" s="172">
        <f t="shared" si="8"/>
        <v>0</v>
      </c>
      <c r="H28" s="172">
        <f t="shared" si="8"/>
        <v>0</v>
      </c>
      <c r="I28" s="172">
        <f t="shared" si="8"/>
        <v>0</v>
      </c>
      <c r="J28" s="172">
        <f t="shared" si="8"/>
        <v>0</v>
      </c>
      <c r="K28" s="172">
        <f t="shared" si="8"/>
        <v>0</v>
      </c>
      <c r="L28" s="172">
        <f t="shared" si="8"/>
        <v>0</v>
      </c>
      <c r="M28" s="172">
        <f t="shared" si="8"/>
        <v>0</v>
      </c>
      <c r="N28" s="172">
        <f t="shared" si="8"/>
        <v>0</v>
      </c>
      <c r="O28" s="172">
        <f t="shared" si="8"/>
        <v>3</v>
      </c>
      <c r="P28" s="172">
        <f t="shared" si="8"/>
        <v>0</v>
      </c>
      <c r="Q28" s="172">
        <f t="shared" si="8"/>
        <v>1</v>
      </c>
      <c r="R28" s="172">
        <f t="shared" si="8"/>
        <v>1</v>
      </c>
      <c r="S28" s="172">
        <f t="shared" si="8"/>
        <v>2</v>
      </c>
      <c r="T28" s="172">
        <f t="shared" si="8"/>
        <v>0</v>
      </c>
      <c r="U28" s="172">
        <f t="shared" si="8"/>
        <v>1</v>
      </c>
      <c r="V28" s="172">
        <f t="shared" si="8"/>
        <v>0</v>
      </c>
      <c r="W28" s="172">
        <f t="shared" si="8"/>
        <v>0</v>
      </c>
      <c r="X28" s="172">
        <f t="shared" si="8"/>
        <v>0</v>
      </c>
      <c r="Y28" s="172">
        <f t="shared" si="8"/>
        <v>0</v>
      </c>
      <c r="Z28" s="172">
        <f t="shared" si="8"/>
        <v>0</v>
      </c>
      <c r="AA28" s="172">
        <f t="shared" si="8"/>
        <v>0</v>
      </c>
      <c r="AB28" s="172">
        <f t="shared" si="8"/>
        <v>0</v>
      </c>
      <c r="AC28" s="172">
        <f t="shared" si="8"/>
        <v>0</v>
      </c>
      <c r="AD28" s="172">
        <f t="shared" si="8"/>
        <v>0</v>
      </c>
      <c r="AE28" s="173">
        <f t="shared" si="8"/>
        <v>11</v>
      </c>
      <c r="AF28" s="174">
        <v>3.0</v>
      </c>
      <c r="AG28" s="70" t="str">
        <f t="shared" si="3"/>
        <v>ok</v>
      </c>
      <c r="AH28" s="120"/>
    </row>
    <row r="29" ht="18.75" hidden="1" customHeight="1" outlineLevel="1">
      <c r="A29" s="121"/>
      <c r="B29" s="122" t="s">
        <v>257</v>
      </c>
      <c r="C29" s="123" t="s">
        <v>262</v>
      </c>
      <c r="D29" s="124" t="str">
        <f>IFERROR(VLOOKUP(B29,'Danh mục'!$G:$U,15,0),"")</f>
        <v>3100 x 1400 x 1585</v>
      </c>
      <c r="E29" s="124" t="s">
        <v>108</v>
      </c>
      <c r="F29" s="126">
        <f>COUNTIFS('TỔNG KLH + TN'!$B:$B,'01. TH'!$B29,'TỔNG KLH + TN'!$C:$C,'01. TH'!F$4)</f>
        <v>1</v>
      </c>
      <c r="G29" s="126">
        <f>COUNTIFS('TỔNG KLH + TN'!$B:$B,'01. TH'!$B29,'TỔNG KLH + TN'!$C:$C,'01. TH'!G$4)</f>
        <v>0</v>
      </c>
      <c r="H29" s="126">
        <f>COUNTIFS('TỔNG KLH + TN'!$B:$B,'01. TH'!$B29,'TỔNG KLH + TN'!$C:$C,'01. TH'!H$4)</f>
        <v>0</v>
      </c>
      <c r="I29" s="126">
        <f>COUNTIFS('TỔNG KLH + TN'!$B:$B,'01. TH'!$B29,'TỔNG KLH + TN'!$C:$C,'01. TH'!I$4)</f>
        <v>0</v>
      </c>
      <c r="J29" s="126">
        <f>COUNTIFS('TỔNG KLH + TN'!$B:$B,'01. TH'!$B29,'TỔNG KLH + TN'!$C:$C,'01. TH'!J$4)</f>
        <v>0</v>
      </c>
      <c r="K29" s="126">
        <f>COUNTIFS('TỔNG KLH + TN'!$B:$B,'01. TH'!$B29,'TỔNG KLH + TN'!$C:$C,'01. TH'!K$4)</f>
        <v>0</v>
      </c>
      <c r="L29" s="126">
        <f>COUNTIFS('TỔNG KLH + TN'!$B:$B,'01. TH'!$B29,'TỔNG KLH + TN'!$C:$C,'01. TH'!L$4)</f>
        <v>0</v>
      </c>
      <c r="M29" s="126">
        <f>COUNTIFS('TỔNG KLH + TN'!$B:$B,'01. TH'!$B29,'TỔNG KLH + TN'!$C:$C,'01. TH'!M$4)</f>
        <v>0</v>
      </c>
      <c r="N29" s="126">
        <f>COUNTIFS('TỔNG KLH + TN'!$B:$B,'01. TH'!$B29,'TỔNG KLH + TN'!$C:$C,'01. TH'!N$4)</f>
        <v>0</v>
      </c>
      <c r="O29" s="126">
        <f>COUNTIFS('TỔNG KLH + TN'!$B:$B,'01. TH'!$B29,'TỔNG KLH + TN'!$C:$C,'01. TH'!O$4)</f>
        <v>0</v>
      </c>
      <c r="P29" s="126">
        <f>COUNTIFS('TỔNG KLH + TN'!$B:$B,'01. TH'!$B29,'TỔNG KLH + TN'!$C:$C,'01. TH'!P$4)</f>
        <v>0</v>
      </c>
      <c r="Q29" s="126">
        <f>COUNTIFS('TỔNG KLH + TN'!$B:$B,'01. TH'!$B29,'TỔNG KLH + TN'!$C:$C,'01. TH'!Q$4)</f>
        <v>0</v>
      </c>
      <c r="R29" s="126">
        <f>COUNTIFS('TỔNG KLH + TN'!$B:$B,'01. TH'!$B29,'TỔNG KLH + TN'!$C:$C,'01. TH'!R$4)</f>
        <v>1</v>
      </c>
      <c r="S29" s="126">
        <f>COUNTIFS('TỔNG KLH + TN'!$B:$B,'01. TH'!$B29,'TỔNG KLH + TN'!$C:$C,'01. TH'!S$4)</f>
        <v>0</v>
      </c>
      <c r="T29" s="126">
        <f>COUNTIFS('TỔNG KLH + TN'!$B:$B,'01. TH'!$B29,'TỔNG KLH + TN'!$C:$C,'01. TH'!T$4)</f>
        <v>0</v>
      </c>
      <c r="U29" s="126">
        <f>COUNTIFS('TỔNG KLH + TN'!$B:$B,'01. TH'!$B29,'TỔNG KLH + TN'!$C:$C,'01. TH'!U$4)</f>
        <v>0</v>
      </c>
      <c r="V29" s="126">
        <f>COUNTIFS('TỔNG KLH + TN'!$B:$B,'01. TH'!$B29,'TỔNG KLH + TN'!$C:$C,'01. TH'!V$4)</f>
        <v>0</v>
      </c>
      <c r="W29" s="126">
        <f>COUNTIFS('TỔNG KLH + TN'!$B:$B,'01. TH'!$B29,'TỔNG KLH + TN'!$C:$C,'01. TH'!W$4)</f>
        <v>0</v>
      </c>
      <c r="X29" s="126">
        <f>COUNTIFS('TỔNG KLH + TN'!$B:$B,'01. TH'!$B29,'TỔNG KLH + TN'!$C:$C,'01. TH'!X$4)</f>
        <v>0</v>
      </c>
      <c r="Y29" s="126">
        <f>COUNTIFS('TỔNG KLH + TN'!$B:$B,'01. TH'!$B29,'TỔNG KLH + TN'!$C:$C,'01. TH'!Y$4)</f>
        <v>0</v>
      </c>
      <c r="Z29" s="126">
        <f>COUNTIFS('TỔNG KLH + TN'!$B:$B,'01. TH'!$B29,'TỔNG KLH + TN'!$C:$C,'01. TH'!Z$4)</f>
        <v>0</v>
      </c>
      <c r="AA29" s="126">
        <f>COUNTIFS('TỔNG KLH + TN'!$B:$B,'01. TH'!$B29,'TỔNG KLH + TN'!$C:$C,'01. TH'!AA$4)</f>
        <v>0</v>
      </c>
      <c r="AB29" s="126">
        <f>COUNTIFS('TỔNG KLH + TN'!$B:$B,'01. TH'!$B29,'TỔNG KLH + TN'!$C:$C,'01. TH'!AB$4)</f>
        <v>0</v>
      </c>
      <c r="AC29" s="126">
        <f>COUNTIFS('TỔNG KLH + TN'!$B:$B,'01. TH'!$B29,'TỔNG KLH + TN'!$C:$C,'01. TH'!AC$4)</f>
        <v>0</v>
      </c>
      <c r="AD29" s="126">
        <f>COUNTIFS('TỔNG KLH + TN'!$B:$B,'01. TH'!$B29,'TỔNG KLH + TN'!$C:$C,'01. TH'!AD$4)</f>
        <v>0</v>
      </c>
      <c r="AE29" s="136">
        <f t="shared" ref="AE29:AE32" si="9">SUM(F29:AD29)</f>
        <v>2</v>
      </c>
      <c r="AF29" s="136"/>
      <c r="AG29" s="70" t="str">
        <f t="shared" si="3"/>
        <v>ok</v>
      </c>
      <c r="AH29" s="124"/>
    </row>
    <row r="30" ht="18.75" hidden="1" customHeight="1" outlineLevel="1">
      <c r="A30" s="121"/>
      <c r="B30" s="122" t="s">
        <v>496</v>
      </c>
      <c r="C30" s="123" t="s">
        <v>1145</v>
      </c>
      <c r="D30" s="124" t="str">
        <f>IFERROR(VLOOKUP(B30,'Danh mục'!$G:$U,15,0),"")</f>
        <v>2625 x 1290 x 1570</v>
      </c>
      <c r="E30" s="124" t="s">
        <v>108</v>
      </c>
      <c r="F30" s="126">
        <f>COUNTIFS('TỔNG KLH + TN'!$B:$B,'01. TH'!$B30,'TỔNG KLH + TN'!$C:$C,'01. TH'!F$4)</f>
        <v>0</v>
      </c>
      <c r="G30" s="126">
        <f>COUNTIFS('TỔNG KLH + TN'!$B:$B,'01. TH'!$B30,'TỔNG KLH + TN'!$C:$C,'01. TH'!G$4)</f>
        <v>0</v>
      </c>
      <c r="H30" s="126">
        <f>COUNTIFS('TỔNG KLH + TN'!$B:$B,'01. TH'!$B30,'TỔNG KLH + TN'!$C:$C,'01. TH'!H$4)</f>
        <v>0</v>
      </c>
      <c r="I30" s="126">
        <f>COUNTIFS('TỔNG KLH + TN'!$B:$B,'01. TH'!$B30,'TỔNG KLH + TN'!$C:$C,'01. TH'!I$4)</f>
        <v>0</v>
      </c>
      <c r="J30" s="126">
        <f>COUNTIFS('TỔNG KLH + TN'!$B:$B,'01. TH'!$B30,'TỔNG KLH + TN'!$C:$C,'01. TH'!J$4)</f>
        <v>0</v>
      </c>
      <c r="K30" s="126">
        <f>COUNTIFS('TỔNG KLH + TN'!$B:$B,'01. TH'!$B30,'TỔNG KLH + TN'!$C:$C,'01. TH'!K$4)</f>
        <v>0</v>
      </c>
      <c r="L30" s="126">
        <f>COUNTIFS('TỔNG KLH + TN'!$B:$B,'01. TH'!$B30,'TỔNG KLH + TN'!$C:$C,'01. TH'!L$4)</f>
        <v>0</v>
      </c>
      <c r="M30" s="126">
        <f>COUNTIFS('TỔNG KLH + TN'!$B:$B,'01. TH'!$B30,'TỔNG KLH + TN'!$C:$C,'01. TH'!M$4)</f>
        <v>0</v>
      </c>
      <c r="N30" s="126">
        <f>COUNTIFS('TỔNG KLH + TN'!$B:$B,'01. TH'!$B30,'TỔNG KLH + TN'!$C:$C,'01. TH'!N$4)</f>
        <v>0</v>
      </c>
      <c r="O30" s="126">
        <f>COUNTIFS('TỔNG KLH + TN'!$B:$B,'01. TH'!$B30,'TỔNG KLH + TN'!$C:$C,'01. TH'!O$4)</f>
        <v>1</v>
      </c>
      <c r="P30" s="126">
        <f>COUNTIFS('TỔNG KLH + TN'!$B:$B,'01. TH'!$B30,'TỔNG KLH + TN'!$C:$C,'01. TH'!P$4)</f>
        <v>0</v>
      </c>
      <c r="Q30" s="126">
        <f>COUNTIFS('TỔNG KLH + TN'!$B:$B,'01. TH'!$B30,'TỔNG KLH + TN'!$C:$C,'01. TH'!Q$4)</f>
        <v>1</v>
      </c>
      <c r="R30" s="126">
        <f>COUNTIFS('TỔNG KLH + TN'!$B:$B,'01. TH'!$B30,'TỔNG KLH + TN'!$C:$C,'01. TH'!R$4)</f>
        <v>0</v>
      </c>
      <c r="S30" s="126">
        <f>COUNTIFS('TỔNG KLH + TN'!$B:$B,'01. TH'!$B30,'TỔNG KLH + TN'!$C:$C,'01. TH'!S$4)</f>
        <v>0</v>
      </c>
      <c r="T30" s="126">
        <f>COUNTIFS('TỔNG KLH + TN'!$B:$B,'01. TH'!$B30,'TỔNG KLH + TN'!$C:$C,'01. TH'!T$4)</f>
        <v>0</v>
      </c>
      <c r="U30" s="126">
        <f>COUNTIFS('TỔNG KLH + TN'!$B:$B,'01. TH'!$B30,'TỔNG KLH + TN'!$C:$C,'01. TH'!U$4)</f>
        <v>1</v>
      </c>
      <c r="V30" s="126">
        <f>COUNTIFS('TỔNG KLH + TN'!$B:$B,'01. TH'!$B30,'TỔNG KLH + TN'!$C:$C,'01. TH'!V$4)</f>
        <v>0</v>
      </c>
      <c r="W30" s="126">
        <f>COUNTIFS('TỔNG KLH + TN'!$B:$B,'01. TH'!$B30,'TỔNG KLH + TN'!$C:$C,'01. TH'!W$4)</f>
        <v>0</v>
      </c>
      <c r="X30" s="126">
        <f>COUNTIFS('TỔNG KLH + TN'!$B:$B,'01. TH'!$B30,'TỔNG KLH + TN'!$C:$C,'01. TH'!X$4)</f>
        <v>0</v>
      </c>
      <c r="Y30" s="126">
        <f>COUNTIFS('TỔNG KLH + TN'!$B:$B,'01. TH'!$B30,'TỔNG KLH + TN'!$C:$C,'01. TH'!Y$4)</f>
        <v>0</v>
      </c>
      <c r="Z30" s="126">
        <f>COUNTIFS('TỔNG KLH + TN'!$B:$B,'01. TH'!$B30,'TỔNG KLH + TN'!$C:$C,'01. TH'!Z$4)</f>
        <v>0</v>
      </c>
      <c r="AA30" s="126">
        <f>COUNTIFS('TỔNG KLH + TN'!$B:$B,'01. TH'!$B30,'TỔNG KLH + TN'!$C:$C,'01. TH'!AA$4)</f>
        <v>0</v>
      </c>
      <c r="AB30" s="126">
        <f>COUNTIFS('TỔNG KLH + TN'!$B:$B,'01. TH'!$B30,'TỔNG KLH + TN'!$C:$C,'01. TH'!AB$4)</f>
        <v>0</v>
      </c>
      <c r="AC30" s="126">
        <f>COUNTIFS('TỔNG KLH + TN'!$B:$B,'01. TH'!$B30,'TỔNG KLH + TN'!$C:$C,'01. TH'!AC$4)</f>
        <v>0</v>
      </c>
      <c r="AD30" s="126">
        <f>COUNTIFS('TỔNG KLH + TN'!$B:$B,'01. TH'!$B30,'TỔNG KLH + TN'!$C:$C,'01. TH'!AD$4)</f>
        <v>0</v>
      </c>
      <c r="AE30" s="136">
        <f t="shared" si="9"/>
        <v>3</v>
      </c>
      <c r="AF30" s="136"/>
      <c r="AG30" s="70" t="str">
        <f t="shared" si="3"/>
        <v>ok</v>
      </c>
      <c r="AH30" s="124"/>
    </row>
    <row r="31" ht="18.75" hidden="1" customHeight="1" outlineLevel="1">
      <c r="A31" s="159"/>
      <c r="B31" s="122" t="s">
        <v>186</v>
      </c>
      <c r="C31" s="123" t="s">
        <v>189</v>
      </c>
      <c r="D31" s="124" t="str">
        <f>IFERROR(VLOOKUP(B31,'Danh mục'!$G:$U,15,0),"")</f>
        <v>5810 x 2300 x 2860</v>
      </c>
      <c r="E31" s="124" t="s">
        <v>108</v>
      </c>
      <c r="F31" s="126">
        <f>COUNTIFS('TỔNG KLH + TN'!$B:$B,'01. TH'!$B31,'TỔNG KLH + TN'!$C:$C,'01. TH'!F$4)</f>
        <v>1</v>
      </c>
      <c r="G31" s="126">
        <f>COUNTIFS('TỔNG KLH + TN'!$B:$B,'01. TH'!$B31,'TỔNG KLH + TN'!$C:$C,'01. TH'!G$4)</f>
        <v>0</v>
      </c>
      <c r="H31" s="126">
        <f>COUNTIFS('TỔNG KLH + TN'!$B:$B,'01. TH'!$B31,'TỔNG KLH + TN'!$C:$C,'01. TH'!H$4)</f>
        <v>0</v>
      </c>
      <c r="I31" s="126">
        <f>COUNTIFS('TỔNG KLH + TN'!$B:$B,'01. TH'!$B31,'TỔNG KLH + TN'!$C:$C,'01. TH'!I$4)</f>
        <v>0</v>
      </c>
      <c r="J31" s="126">
        <f>COUNTIFS('TỔNG KLH + TN'!$B:$B,'01. TH'!$B31,'TỔNG KLH + TN'!$C:$C,'01. TH'!J$4)</f>
        <v>0</v>
      </c>
      <c r="K31" s="126">
        <f>COUNTIFS('TỔNG KLH + TN'!$B:$B,'01. TH'!$B31,'TỔNG KLH + TN'!$C:$C,'01. TH'!K$4)</f>
        <v>0</v>
      </c>
      <c r="L31" s="126">
        <f>COUNTIFS('TỔNG KLH + TN'!$B:$B,'01. TH'!$B31,'TỔNG KLH + TN'!$C:$C,'01. TH'!L$4)</f>
        <v>0</v>
      </c>
      <c r="M31" s="126">
        <f>COUNTIFS('TỔNG KLH + TN'!$B:$B,'01. TH'!$B31,'TỔNG KLH + TN'!$C:$C,'01. TH'!M$4)</f>
        <v>0</v>
      </c>
      <c r="N31" s="126">
        <f>COUNTIFS('TỔNG KLH + TN'!$B:$B,'01. TH'!$B31,'TỔNG KLH + TN'!$C:$C,'01. TH'!N$4)</f>
        <v>0</v>
      </c>
      <c r="O31" s="126">
        <f>COUNTIFS('TỔNG KLH + TN'!$B:$B,'01. TH'!$B31,'TỔNG KLH + TN'!$C:$C,'01. TH'!O$4)</f>
        <v>1</v>
      </c>
      <c r="P31" s="126">
        <f>COUNTIFS('TỔNG KLH + TN'!$B:$B,'01. TH'!$B31,'TỔNG KLH + TN'!$C:$C,'01. TH'!P$4)</f>
        <v>0</v>
      </c>
      <c r="Q31" s="126">
        <f>COUNTIFS('TỔNG KLH + TN'!$B:$B,'01. TH'!$B31,'TỔNG KLH + TN'!$C:$C,'01. TH'!Q$4)</f>
        <v>0</v>
      </c>
      <c r="R31" s="126">
        <f>COUNTIFS('TỔNG KLH + TN'!$B:$B,'01. TH'!$B31,'TỔNG KLH + TN'!$C:$C,'01. TH'!R$4)</f>
        <v>0</v>
      </c>
      <c r="S31" s="126">
        <f>COUNTIFS('TỔNG KLH + TN'!$B:$B,'01. TH'!$B31,'TỔNG KLH + TN'!$C:$C,'01. TH'!S$4)</f>
        <v>1</v>
      </c>
      <c r="T31" s="126">
        <f>COUNTIFS('TỔNG KLH + TN'!$B:$B,'01. TH'!$B31,'TỔNG KLH + TN'!$C:$C,'01. TH'!T$4)</f>
        <v>0</v>
      </c>
      <c r="U31" s="126">
        <f>COUNTIFS('TỔNG KLH + TN'!$B:$B,'01. TH'!$B31,'TỔNG KLH + TN'!$C:$C,'01. TH'!U$4)</f>
        <v>0</v>
      </c>
      <c r="V31" s="126">
        <f>COUNTIFS('TỔNG KLH + TN'!$B:$B,'01. TH'!$B31,'TỔNG KLH + TN'!$C:$C,'01. TH'!V$4)</f>
        <v>0</v>
      </c>
      <c r="W31" s="126">
        <f>COUNTIFS('TỔNG KLH + TN'!$B:$B,'01. TH'!$B31,'TỔNG KLH + TN'!$C:$C,'01. TH'!W$4)</f>
        <v>0</v>
      </c>
      <c r="X31" s="126">
        <f>COUNTIFS('TỔNG KLH + TN'!$B:$B,'01. TH'!$B31,'TỔNG KLH + TN'!$C:$C,'01. TH'!X$4)</f>
        <v>0</v>
      </c>
      <c r="Y31" s="126">
        <f>COUNTIFS('TỔNG KLH + TN'!$B:$B,'01. TH'!$B31,'TỔNG KLH + TN'!$C:$C,'01. TH'!Y$4)</f>
        <v>0</v>
      </c>
      <c r="Z31" s="126">
        <f>COUNTIFS('TỔNG KLH + TN'!$B:$B,'01. TH'!$B31,'TỔNG KLH + TN'!$C:$C,'01. TH'!Z$4)</f>
        <v>0</v>
      </c>
      <c r="AA31" s="126">
        <f>COUNTIFS('TỔNG KLH + TN'!$B:$B,'01. TH'!$B31,'TỔNG KLH + TN'!$C:$C,'01. TH'!AA$4)</f>
        <v>0</v>
      </c>
      <c r="AB31" s="126">
        <f>COUNTIFS('TỔNG KLH + TN'!$B:$B,'01. TH'!$B31,'TỔNG KLH + TN'!$C:$C,'01. TH'!AB$4)</f>
        <v>0</v>
      </c>
      <c r="AC31" s="126">
        <f>COUNTIFS('TỔNG KLH + TN'!$B:$B,'01. TH'!$B31,'TỔNG KLH + TN'!$C:$C,'01. TH'!AC$4)</f>
        <v>0</v>
      </c>
      <c r="AD31" s="126">
        <f>COUNTIFS('TỔNG KLH + TN'!$B:$B,'01. TH'!$B31,'TỔNG KLH + TN'!$C:$C,'01. TH'!AD$4)</f>
        <v>0</v>
      </c>
      <c r="AE31" s="162">
        <f t="shared" si="9"/>
        <v>3</v>
      </c>
      <c r="AF31" s="162"/>
      <c r="AG31" s="70" t="str">
        <f t="shared" si="3"/>
        <v>ok</v>
      </c>
      <c r="AH31" s="163"/>
    </row>
    <row r="32" ht="18.75" hidden="1" customHeight="1" outlineLevel="1">
      <c r="A32" s="121"/>
      <c r="B32" s="122" t="s">
        <v>192</v>
      </c>
      <c r="C32" s="123" t="s">
        <v>262</v>
      </c>
      <c r="D32" s="124" t="str">
        <f>IFERROR(VLOOKUP(B32,'Danh mục'!$G:$U,15,0),"")</f>
        <v>5020 x 2000 x 3115</v>
      </c>
      <c r="E32" s="124" t="s">
        <v>108</v>
      </c>
      <c r="F32" s="126">
        <f>COUNTIFS('TỔNG KLH + TN'!$B:$B,'01. TH'!$B32,'TỔNG KLH + TN'!$C:$C,'01. TH'!F$4)</f>
        <v>1</v>
      </c>
      <c r="G32" s="126">
        <f>COUNTIFS('TỔNG KLH + TN'!$B:$B,'01. TH'!$B32,'TỔNG KLH + TN'!$C:$C,'01. TH'!G$4)</f>
        <v>0</v>
      </c>
      <c r="H32" s="126">
        <f>COUNTIFS('TỔNG KLH + TN'!$B:$B,'01. TH'!$B32,'TỔNG KLH + TN'!$C:$C,'01. TH'!H$4)</f>
        <v>0</v>
      </c>
      <c r="I32" s="126">
        <f>COUNTIFS('TỔNG KLH + TN'!$B:$B,'01. TH'!$B32,'TỔNG KLH + TN'!$C:$C,'01. TH'!I$4)</f>
        <v>0</v>
      </c>
      <c r="J32" s="126">
        <f>COUNTIFS('TỔNG KLH + TN'!$B:$B,'01. TH'!$B32,'TỔNG KLH + TN'!$C:$C,'01. TH'!J$4)</f>
        <v>0</v>
      </c>
      <c r="K32" s="126">
        <f>COUNTIFS('TỔNG KLH + TN'!$B:$B,'01. TH'!$B32,'TỔNG KLH + TN'!$C:$C,'01. TH'!K$4)</f>
        <v>0</v>
      </c>
      <c r="L32" s="126">
        <f>COUNTIFS('TỔNG KLH + TN'!$B:$B,'01. TH'!$B32,'TỔNG KLH + TN'!$C:$C,'01. TH'!L$4)</f>
        <v>0</v>
      </c>
      <c r="M32" s="126">
        <f>COUNTIFS('TỔNG KLH + TN'!$B:$B,'01. TH'!$B32,'TỔNG KLH + TN'!$C:$C,'01. TH'!M$4)</f>
        <v>0</v>
      </c>
      <c r="N32" s="126">
        <f>COUNTIFS('TỔNG KLH + TN'!$B:$B,'01. TH'!$B32,'TỔNG KLH + TN'!$C:$C,'01. TH'!N$4)</f>
        <v>0</v>
      </c>
      <c r="O32" s="126">
        <f>COUNTIFS('TỔNG KLH + TN'!$B:$B,'01. TH'!$B32,'TỔNG KLH + TN'!$C:$C,'01. TH'!O$4)</f>
        <v>1</v>
      </c>
      <c r="P32" s="126">
        <f>COUNTIFS('TỔNG KLH + TN'!$B:$B,'01. TH'!$B32,'TỔNG KLH + TN'!$C:$C,'01. TH'!P$4)</f>
        <v>0</v>
      </c>
      <c r="Q32" s="126">
        <f>COUNTIFS('TỔNG KLH + TN'!$B:$B,'01. TH'!$B32,'TỔNG KLH + TN'!$C:$C,'01. TH'!Q$4)</f>
        <v>0</v>
      </c>
      <c r="R32" s="126">
        <f>COUNTIFS('TỔNG KLH + TN'!$B:$B,'01. TH'!$B32,'TỔNG KLH + TN'!$C:$C,'01. TH'!R$4)</f>
        <v>0</v>
      </c>
      <c r="S32" s="126">
        <f>COUNTIFS('TỔNG KLH + TN'!$B:$B,'01. TH'!$B32,'TỔNG KLH + TN'!$C:$C,'01. TH'!S$4)</f>
        <v>1</v>
      </c>
      <c r="T32" s="126">
        <f>COUNTIFS('TỔNG KLH + TN'!$B:$B,'01. TH'!$B32,'TỔNG KLH + TN'!$C:$C,'01. TH'!T$4)</f>
        <v>0</v>
      </c>
      <c r="U32" s="126">
        <f>COUNTIFS('TỔNG KLH + TN'!$B:$B,'01. TH'!$B32,'TỔNG KLH + TN'!$C:$C,'01. TH'!U$4)</f>
        <v>0</v>
      </c>
      <c r="V32" s="126">
        <f>COUNTIFS('TỔNG KLH + TN'!$B:$B,'01. TH'!$B32,'TỔNG KLH + TN'!$C:$C,'01. TH'!V$4)</f>
        <v>0</v>
      </c>
      <c r="W32" s="126">
        <f>COUNTIFS('TỔNG KLH + TN'!$B:$B,'01. TH'!$B32,'TỔNG KLH + TN'!$C:$C,'01. TH'!W$4)</f>
        <v>0</v>
      </c>
      <c r="X32" s="126">
        <f>COUNTIFS('TỔNG KLH + TN'!$B:$B,'01. TH'!$B32,'TỔNG KLH + TN'!$C:$C,'01. TH'!X$4)</f>
        <v>0</v>
      </c>
      <c r="Y32" s="126">
        <f>COUNTIFS('TỔNG KLH + TN'!$B:$B,'01. TH'!$B32,'TỔNG KLH + TN'!$C:$C,'01. TH'!Y$4)</f>
        <v>0</v>
      </c>
      <c r="Z32" s="126">
        <f>COUNTIFS('TỔNG KLH + TN'!$B:$B,'01. TH'!$B32,'TỔNG KLH + TN'!$C:$C,'01. TH'!Z$4)</f>
        <v>0</v>
      </c>
      <c r="AA32" s="126">
        <f>COUNTIFS('TỔNG KLH + TN'!$B:$B,'01. TH'!$B32,'TỔNG KLH + TN'!$C:$C,'01. TH'!AA$4)</f>
        <v>0</v>
      </c>
      <c r="AB32" s="126">
        <f>COUNTIFS('TỔNG KLH + TN'!$B:$B,'01. TH'!$B32,'TỔNG KLH + TN'!$C:$C,'01. TH'!AB$4)</f>
        <v>0</v>
      </c>
      <c r="AC32" s="126">
        <f>COUNTIFS('TỔNG KLH + TN'!$B:$B,'01. TH'!$B32,'TỔNG KLH + TN'!$C:$C,'01. TH'!AC$4)</f>
        <v>0</v>
      </c>
      <c r="AD32" s="126">
        <f>COUNTIFS('TỔNG KLH + TN'!$B:$B,'01. TH'!$B32,'TỔNG KLH + TN'!$C:$C,'01. TH'!AD$4)</f>
        <v>0</v>
      </c>
      <c r="AE32" s="136">
        <f t="shared" si="9"/>
        <v>3</v>
      </c>
      <c r="AF32" s="136"/>
      <c r="AG32" s="70" t="str">
        <f t="shared" si="3"/>
        <v>ok</v>
      </c>
      <c r="AH32" s="124"/>
    </row>
    <row r="33" ht="24.0" customHeight="1" collapsed="1">
      <c r="A33" s="70">
        <v>5.0</v>
      </c>
      <c r="B33" s="73" t="s">
        <v>1284</v>
      </c>
      <c r="C33" s="78"/>
      <c r="D33" s="78" t="str">
        <f>IFERROR(VLOOKUP(B33,'Danh mục'!$G:$U,15,0),"")</f>
        <v/>
      </c>
      <c r="E33" s="78"/>
      <c r="F33" s="172">
        <f t="shared" ref="F33:AE33" si="10">SUM(F34:F47)</f>
        <v>0</v>
      </c>
      <c r="G33" s="172">
        <f t="shared" si="10"/>
        <v>0</v>
      </c>
      <c r="H33" s="172">
        <f t="shared" si="10"/>
        <v>0</v>
      </c>
      <c r="I33" s="172">
        <f t="shared" si="10"/>
        <v>0</v>
      </c>
      <c r="J33" s="172">
        <f t="shared" si="10"/>
        <v>0</v>
      </c>
      <c r="K33" s="172">
        <f t="shared" si="10"/>
        <v>0</v>
      </c>
      <c r="L33" s="172">
        <f t="shared" si="10"/>
        <v>0</v>
      </c>
      <c r="M33" s="172">
        <f t="shared" si="10"/>
        <v>0</v>
      </c>
      <c r="N33" s="172">
        <f t="shared" si="10"/>
        <v>0</v>
      </c>
      <c r="O33" s="172">
        <f t="shared" si="10"/>
        <v>0</v>
      </c>
      <c r="P33" s="172">
        <f t="shared" si="10"/>
        <v>0</v>
      </c>
      <c r="Q33" s="172">
        <f t="shared" si="10"/>
        <v>0</v>
      </c>
      <c r="R33" s="172">
        <f t="shared" si="10"/>
        <v>0</v>
      </c>
      <c r="S33" s="172">
        <f t="shared" si="10"/>
        <v>0</v>
      </c>
      <c r="T33" s="172">
        <f t="shared" si="10"/>
        <v>0</v>
      </c>
      <c r="U33" s="172">
        <f t="shared" si="10"/>
        <v>15</v>
      </c>
      <c r="V33" s="172">
        <f t="shared" si="10"/>
        <v>0</v>
      </c>
      <c r="W33" s="172">
        <f t="shared" si="10"/>
        <v>0</v>
      </c>
      <c r="X33" s="172">
        <f t="shared" si="10"/>
        <v>1</v>
      </c>
      <c r="Y33" s="172">
        <f t="shared" si="10"/>
        <v>0</v>
      </c>
      <c r="Z33" s="172">
        <f t="shared" si="10"/>
        <v>0</v>
      </c>
      <c r="AA33" s="172">
        <f t="shared" si="10"/>
        <v>0</v>
      </c>
      <c r="AB33" s="172">
        <f t="shared" si="10"/>
        <v>0</v>
      </c>
      <c r="AC33" s="172">
        <f t="shared" si="10"/>
        <v>0</v>
      </c>
      <c r="AD33" s="172">
        <f t="shared" si="10"/>
        <v>0</v>
      </c>
      <c r="AE33" s="173">
        <f t="shared" si="10"/>
        <v>16</v>
      </c>
      <c r="AF33" s="174">
        <v>6.0</v>
      </c>
      <c r="AG33" s="70" t="str">
        <f t="shared" si="3"/>
        <v>ok</v>
      </c>
      <c r="AH33" s="120"/>
    </row>
    <row r="34" ht="18.75" hidden="1" customHeight="1" outlineLevel="1">
      <c r="A34" s="159"/>
      <c r="B34" s="205" t="s">
        <v>1290</v>
      </c>
      <c r="C34" s="123" t="s">
        <v>1293</v>
      </c>
      <c r="D34" s="124" t="str">
        <f>IFERROR(VLOOKUP(B34,'Danh mục'!$G:$U,15,0),"")</f>
        <v/>
      </c>
      <c r="E34" s="124" t="s">
        <v>108</v>
      </c>
      <c r="F34" s="126">
        <f>COUNTIFS('TỔNG KLH + TN'!$B:$B,'01. TH'!$B34,'TỔNG KLH + TN'!$C:$C,'01. TH'!F$4)</f>
        <v>0</v>
      </c>
      <c r="G34" s="126">
        <f>COUNTIFS('TỔNG KLH + TN'!$B:$B,'01. TH'!$B34,'TỔNG KLH + TN'!$C:$C,'01. TH'!G$4)</f>
        <v>0</v>
      </c>
      <c r="H34" s="126">
        <f>COUNTIFS('TỔNG KLH + TN'!$B:$B,'01. TH'!$B34,'TỔNG KLH + TN'!$C:$C,'01. TH'!H$4)</f>
        <v>0</v>
      </c>
      <c r="I34" s="126">
        <f>COUNTIFS('TỔNG KLH + TN'!$B:$B,'01. TH'!$B34,'TỔNG KLH + TN'!$C:$C,'01. TH'!I$4)</f>
        <v>0</v>
      </c>
      <c r="J34" s="126">
        <f>COUNTIFS('TỔNG KLH + TN'!$B:$B,'01. TH'!$B34,'TỔNG KLH + TN'!$C:$C,'01. TH'!J$4)</f>
        <v>0</v>
      </c>
      <c r="K34" s="126">
        <f>COUNTIFS('TỔNG KLH + TN'!$B:$B,'01. TH'!$B34,'TỔNG KLH + TN'!$C:$C,'01. TH'!K$4)</f>
        <v>0</v>
      </c>
      <c r="L34" s="126">
        <f>COUNTIFS('TỔNG KLH + TN'!$B:$B,'01. TH'!$B34,'TỔNG KLH + TN'!$C:$C,'01. TH'!L$4)</f>
        <v>0</v>
      </c>
      <c r="M34" s="126">
        <f>COUNTIFS('TỔNG KLH + TN'!$B:$B,'01. TH'!$B34,'TỔNG KLH + TN'!$C:$C,'01. TH'!M$4)</f>
        <v>0</v>
      </c>
      <c r="N34" s="126">
        <f>COUNTIFS('TỔNG KLH + TN'!$B:$B,'01. TH'!$B34,'TỔNG KLH + TN'!$C:$C,'01. TH'!N$4)</f>
        <v>0</v>
      </c>
      <c r="O34" s="126">
        <f>COUNTIFS('TỔNG KLH + TN'!$B:$B,'01. TH'!$B34,'TỔNG KLH + TN'!$C:$C,'01. TH'!O$4)</f>
        <v>0</v>
      </c>
      <c r="P34" s="126">
        <f>COUNTIFS('TỔNG KLH + TN'!$B:$B,'01. TH'!$B34,'TỔNG KLH + TN'!$C:$C,'01. TH'!P$4)</f>
        <v>0</v>
      </c>
      <c r="Q34" s="126">
        <f>COUNTIFS('TỔNG KLH + TN'!$B:$B,'01. TH'!$B34,'TỔNG KLH + TN'!$C:$C,'01. TH'!Q$4)</f>
        <v>0</v>
      </c>
      <c r="R34" s="126">
        <f>COUNTIFS('TỔNG KLH + TN'!$B:$B,'01. TH'!$B34,'TỔNG KLH + TN'!$C:$C,'01. TH'!R$4)</f>
        <v>0</v>
      </c>
      <c r="S34" s="126">
        <f>COUNTIFS('TỔNG KLH + TN'!$B:$B,'01. TH'!$B34,'TỔNG KLH + TN'!$C:$C,'01. TH'!S$4)</f>
        <v>0</v>
      </c>
      <c r="T34" s="126">
        <f>COUNTIFS('TỔNG KLH + TN'!$B:$B,'01. TH'!$B34,'TỔNG KLH + TN'!$C:$C,'01. TH'!T$4)</f>
        <v>0</v>
      </c>
      <c r="U34" s="126">
        <f>COUNTIFS('TỔNG KLH + TN'!$B:$B,'01. TH'!$B34,'TỔNG KLH + TN'!$C:$C,'01. TH'!U$4)</f>
        <v>1</v>
      </c>
      <c r="V34" s="126">
        <f>COUNTIFS('TỔNG KLH + TN'!$B:$B,'01. TH'!$B34,'TỔNG KLH + TN'!$C:$C,'01. TH'!V$4)</f>
        <v>0</v>
      </c>
      <c r="W34" s="126">
        <f>COUNTIFS('TỔNG KLH + TN'!$B:$B,'01. TH'!$B34,'TỔNG KLH + TN'!$C:$C,'01. TH'!W$4)</f>
        <v>0</v>
      </c>
      <c r="X34" s="126">
        <f>COUNTIFS('TỔNG KLH + TN'!$B:$B,'01. TH'!$B34,'TỔNG KLH + TN'!$C:$C,'01. TH'!X$4)</f>
        <v>0</v>
      </c>
      <c r="Y34" s="126">
        <f>COUNTIFS('TỔNG KLH + TN'!$B:$B,'01. TH'!$B34,'TỔNG KLH + TN'!$C:$C,'01. TH'!Y$4)</f>
        <v>0</v>
      </c>
      <c r="Z34" s="126">
        <f>COUNTIFS('TỔNG KLH + TN'!$B:$B,'01. TH'!$B34,'TỔNG KLH + TN'!$C:$C,'01. TH'!Z$4)</f>
        <v>0</v>
      </c>
      <c r="AA34" s="126">
        <f>COUNTIFS('TỔNG KLH + TN'!$B:$B,'01. TH'!$B34,'TỔNG KLH + TN'!$C:$C,'01. TH'!AA$4)</f>
        <v>0</v>
      </c>
      <c r="AB34" s="126">
        <f>COUNTIFS('TỔNG KLH + TN'!$B:$B,'01. TH'!$B34,'TỔNG KLH + TN'!$C:$C,'01. TH'!AB$4)</f>
        <v>0</v>
      </c>
      <c r="AC34" s="126">
        <f>COUNTIFS('TỔNG KLH + TN'!$B:$B,'01. TH'!$B34,'TỔNG KLH + TN'!$C:$C,'01. TH'!AC$4)</f>
        <v>0</v>
      </c>
      <c r="AD34" s="126">
        <f>COUNTIFS('TỔNG KLH + TN'!$B:$B,'01. TH'!$B34,'TỔNG KLH + TN'!$C:$C,'01. TH'!AD$4)</f>
        <v>0</v>
      </c>
      <c r="AE34" s="162">
        <f t="shared" ref="AE34:AE47" si="11">SUM(F34:AD34)</f>
        <v>1</v>
      </c>
      <c r="AF34" s="162"/>
      <c r="AG34" s="70" t="str">
        <f t="shared" si="3"/>
        <v>ok</v>
      </c>
      <c r="AH34" s="163"/>
    </row>
    <row r="35" ht="18.75" hidden="1" customHeight="1" outlineLevel="1">
      <c r="A35" s="159"/>
      <c r="B35" s="205" t="s">
        <v>1351</v>
      </c>
      <c r="C35" s="123" t="s">
        <v>1352</v>
      </c>
      <c r="D35" s="124" t="str">
        <f>IFERROR(VLOOKUP(B35,'Danh mục'!$G:$U,15,0),"")</f>
        <v/>
      </c>
      <c r="E35" s="124" t="s">
        <v>108</v>
      </c>
      <c r="F35" s="126">
        <f>COUNTIFS('TỔNG KLH + TN'!$B:$B,'01. TH'!$B35,'TỔNG KLH + TN'!$C:$C,'01. TH'!F$4)</f>
        <v>0</v>
      </c>
      <c r="G35" s="126">
        <f>COUNTIFS('TỔNG KLH + TN'!$B:$B,'01. TH'!$B35,'TỔNG KLH + TN'!$C:$C,'01. TH'!G$4)</f>
        <v>0</v>
      </c>
      <c r="H35" s="126">
        <f>COUNTIFS('TỔNG KLH + TN'!$B:$B,'01. TH'!$B35,'TỔNG KLH + TN'!$C:$C,'01. TH'!H$4)</f>
        <v>0</v>
      </c>
      <c r="I35" s="126">
        <f>COUNTIFS('TỔNG KLH + TN'!$B:$B,'01. TH'!$B35,'TỔNG KLH + TN'!$C:$C,'01. TH'!I$4)</f>
        <v>0</v>
      </c>
      <c r="J35" s="126">
        <f>COUNTIFS('TỔNG KLH + TN'!$B:$B,'01. TH'!$B35,'TỔNG KLH + TN'!$C:$C,'01. TH'!J$4)</f>
        <v>0</v>
      </c>
      <c r="K35" s="126">
        <f>COUNTIFS('TỔNG KLH + TN'!$B:$B,'01. TH'!$B35,'TỔNG KLH + TN'!$C:$C,'01. TH'!K$4)</f>
        <v>0</v>
      </c>
      <c r="L35" s="126">
        <f>COUNTIFS('TỔNG KLH + TN'!$B:$B,'01. TH'!$B35,'TỔNG KLH + TN'!$C:$C,'01. TH'!L$4)</f>
        <v>0</v>
      </c>
      <c r="M35" s="126">
        <f>COUNTIFS('TỔNG KLH + TN'!$B:$B,'01. TH'!$B35,'TỔNG KLH + TN'!$C:$C,'01. TH'!M$4)</f>
        <v>0</v>
      </c>
      <c r="N35" s="126">
        <f>COUNTIFS('TỔNG KLH + TN'!$B:$B,'01. TH'!$B35,'TỔNG KLH + TN'!$C:$C,'01. TH'!N$4)</f>
        <v>0</v>
      </c>
      <c r="O35" s="126">
        <f>COUNTIFS('TỔNG KLH + TN'!$B:$B,'01. TH'!$B35,'TỔNG KLH + TN'!$C:$C,'01. TH'!O$4)</f>
        <v>0</v>
      </c>
      <c r="P35" s="126">
        <f>COUNTIFS('TỔNG KLH + TN'!$B:$B,'01. TH'!$B35,'TỔNG KLH + TN'!$C:$C,'01. TH'!P$4)</f>
        <v>0</v>
      </c>
      <c r="Q35" s="126">
        <f>COUNTIFS('TỔNG KLH + TN'!$B:$B,'01. TH'!$B35,'TỔNG KLH + TN'!$C:$C,'01. TH'!Q$4)</f>
        <v>0</v>
      </c>
      <c r="R35" s="126">
        <f>COUNTIFS('TỔNG KLH + TN'!$B:$B,'01. TH'!$B35,'TỔNG KLH + TN'!$C:$C,'01. TH'!R$4)</f>
        <v>0</v>
      </c>
      <c r="S35" s="126">
        <f>COUNTIFS('TỔNG KLH + TN'!$B:$B,'01. TH'!$B35,'TỔNG KLH + TN'!$C:$C,'01. TH'!S$4)</f>
        <v>0</v>
      </c>
      <c r="T35" s="126">
        <f>COUNTIFS('TỔNG KLH + TN'!$B:$B,'01. TH'!$B35,'TỔNG KLH + TN'!$C:$C,'01. TH'!T$4)</f>
        <v>0</v>
      </c>
      <c r="U35" s="126">
        <f>COUNTIFS('TỔNG KLH + TN'!$B:$B,'01. TH'!$B35,'TỔNG KLH + TN'!$C:$C,'01. TH'!U$4)</f>
        <v>1</v>
      </c>
      <c r="V35" s="126">
        <f>COUNTIFS('TỔNG KLH + TN'!$B:$B,'01. TH'!$B35,'TỔNG KLH + TN'!$C:$C,'01. TH'!V$4)</f>
        <v>0</v>
      </c>
      <c r="W35" s="126">
        <f>COUNTIFS('TỔNG KLH + TN'!$B:$B,'01. TH'!$B35,'TỔNG KLH + TN'!$C:$C,'01. TH'!W$4)</f>
        <v>0</v>
      </c>
      <c r="X35" s="126">
        <f>COUNTIFS('TỔNG KLH + TN'!$B:$B,'01. TH'!$B35,'TỔNG KLH + TN'!$C:$C,'01. TH'!X$4)</f>
        <v>0</v>
      </c>
      <c r="Y35" s="126">
        <f>COUNTIFS('TỔNG KLH + TN'!$B:$B,'01. TH'!$B35,'TỔNG KLH + TN'!$C:$C,'01. TH'!Y$4)</f>
        <v>0</v>
      </c>
      <c r="Z35" s="126">
        <f>COUNTIFS('TỔNG KLH + TN'!$B:$B,'01. TH'!$B35,'TỔNG KLH + TN'!$C:$C,'01. TH'!Z$4)</f>
        <v>0</v>
      </c>
      <c r="AA35" s="126">
        <f>COUNTIFS('TỔNG KLH + TN'!$B:$B,'01. TH'!$B35,'TỔNG KLH + TN'!$C:$C,'01. TH'!AA$4)</f>
        <v>0</v>
      </c>
      <c r="AB35" s="126">
        <f>COUNTIFS('TỔNG KLH + TN'!$B:$B,'01. TH'!$B35,'TỔNG KLH + TN'!$C:$C,'01. TH'!AB$4)</f>
        <v>0</v>
      </c>
      <c r="AC35" s="126">
        <f>COUNTIFS('TỔNG KLH + TN'!$B:$B,'01. TH'!$B35,'TỔNG KLH + TN'!$C:$C,'01. TH'!AC$4)</f>
        <v>0</v>
      </c>
      <c r="AD35" s="126">
        <f>COUNTIFS('TỔNG KLH + TN'!$B:$B,'01. TH'!$B35,'TỔNG KLH + TN'!$C:$C,'01. TH'!AD$4)</f>
        <v>0</v>
      </c>
      <c r="AE35" s="162">
        <f t="shared" si="11"/>
        <v>1</v>
      </c>
      <c r="AF35" s="162"/>
      <c r="AG35" s="70" t="str">
        <f t="shared" si="3"/>
        <v>ok</v>
      </c>
      <c r="AH35" s="163"/>
    </row>
    <row r="36" ht="18.75" hidden="1" customHeight="1" outlineLevel="1">
      <c r="A36" s="159"/>
      <c r="B36" s="205" t="s">
        <v>1396</v>
      </c>
      <c r="C36" s="123" t="s">
        <v>413</v>
      </c>
      <c r="D36" s="124" t="str">
        <f>IFERROR(VLOOKUP(B36,'Danh mục'!$G:$U,15,0),"")</f>
        <v/>
      </c>
      <c r="E36" s="124" t="s">
        <v>108</v>
      </c>
      <c r="F36" s="126">
        <f>COUNTIFS('TỔNG KLH + TN'!$B:$B,'01. TH'!$B36,'TỔNG KLH + TN'!$C:$C,'01. TH'!F$4)</f>
        <v>0</v>
      </c>
      <c r="G36" s="126">
        <f>COUNTIFS('TỔNG KLH + TN'!$B:$B,'01. TH'!$B36,'TỔNG KLH + TN'!$C:$C,'01. TH'!G$4)</f>
        <v>0</v>
      </c>
      <c r="H36" s="126">
        <f>COUNTIFS('TỔNG KLH + TN'!$B:$B,'01. TH'!$B36,'TỔNG KLH + TN'!$C:$C,'01. TH'!H$4)</f>
        <v>0</v>
      </c>
      <c r="I36" s="126">
        <f>COUNTIFS('TỔNG KLH + TN'!$B:$B,'01. TH'!$B36,'TỔNG KLH + TN'!$C:$C,'01. TH'!I$4)</f>
        <v>0</v>
      </c>
      <c r="J36" s="126">
        <f>COUNTIFS('TỔNG KLH + TN'!$B:$B,'01. TH'!$B36,'TỔNG KLH + TN'!$C:$C,'01. TH'!J$4)</f>
        <v>0</v>
      </c>
      <c r="K36" s="126">
        <f>COUNTIFS('TỔNG KLH + TN'!$B:$B,'01. TH'!$B36,'TỔNG KLH + TN'!$C:$C,'01. TH'!K$4)</f>
        <v>0</v>
      </c>
      <c r="L36" s="126">
        <f>COUNTIFS('TỔNG KLH + TN'!$B:$B,'01. TH'!$B36,'TỔNG KLH + TN'!$C:$C,'01. TH'!L$4)</f>
        <v>0</v>
      </c>
      <c r="M36" s="126">
        <f>COUNTIFS('TỔNG KLH + TN'!$B:$B,'01. TH'!$B36,'TỔNG KLH + TN'!$C:$C,'01. TH'!M$4)</f>
        <v>0</v>
      </c>
      <c r="N36" s="126">
        <f>COUNTIFS('TỔNG KLH + TN'!$B:$B,'01. TH'!$B36,'TỔNG KLH + TN'!$C:$C,'01. TH'!N$4)</f>
        <v>0</v>
      </c>
      <c r="O36" s="126">
        <f>COUNTIFS('TỔNG KLH + TN'!$B:$B,'01. TH'!$B36,'TỔNG KLH + TN'!$C:$C,'01. TH'!O$4)</f>
        <v>0</v>
      </c>
      <c r="P36" s="126">
        <f>COUNTIFS('TỔNG KLH + TN'!$B:$B,'01. TH'!$B36,'TỔNG KLH + TN'!$C:$C,'01. TH'!P$4)</f>
        <v>0</v>
      </c>
      <c r="Q36" s="126">
        <f>COUNTIFS('TỔNG KLH + TN'!$B:$B,'01. TH'!$B36,'TỔNG KLH + TN'!$C:$C,'01. TH'!Q$4)</f>
        <v>0</v>
      </c>
      <c r="R36" s="126">
        <f>COUNTIFS('TỔNG KLH + TN'!$B:$B,'01. TH'!$B36,'TỔNG KLH + TN'!$C:$C,'01. TH'!R$4)</f>
        <v>0</v>
      </c>
      <c r="S36" s="126">
        <f>COUNTIFS('TỔNG KLH + TN'!$B:$B,'01. TH'!$B36,'TỔNG KLH + TN'!$C:$C,'01. TH'!S$4)</f>
        <v>0</v>
      </c>
      <c r="T36" s="126">
        <f>COUNTIFS('TỔNG KLH + TN'!$B:$B,'01. TH'!$B36,'TỔNG KLH + TN'!$C:$C,'01. TH'!T$4)</f>
        <v>0</v>
      </c>
      <c r="U36" s="126">
        <f>COUNTIFS('TỔNG KLH + TN'!$B:$B,'01. TH'!$B36,'TỔNG KLH + TN'!$C:$C,'01. TH'!U$4)</f>
        <v>1</v>
      </c>
      <c r="V36" s="126">
        <f>COUNTIFS('TỔNG KLH + TN'!$B:$B,'01. TH'!$B36,'TỔNG KLH + TN'!$C:$C,'01. TH'!V$4)</f>
        <v>0</v>
      </c>
      <c r="W36" s="126">
        <f>COUNTIFS('TỔNG KLH + TN'!$B:$B,'01. TH'!$B36,'TỔNG KLH + TN'!$C:$C,'01. TH'!W$4)</f>
        <v>0</v>
      </c>
      <c r="X36" s="126">
        <f>COUNTIFS('TỔNG KLH + TN'!$B:$B,'01. TH'!$B36,'TỔNG KLH + TN'!$C:$C,'01. TH'!X$4)</f>
        <v>0</v>
      </c>
      <c r="Y36" s="126">
        <f>COUNTIFS('TỔNG KLH + TN'!$B:$B,'01. TH'!$B36,'TỔNG KLH + TN'!$C:$C,'01. TH'!Y$4)</f>
        <v>0</v>
      </c>
      <c r="Z36" s="126">
        <f>COUNTIFS('TỔNG KLH + TN'!$B:$B,'01. TH'!$B36,'TỔNG KLH + TN'!$C:$C,'01. TH'!Z$4)</f>
        <v>0</v>
      </c>
      <c r="AA36" s="126">
        <f>COUNTIFS('TỔNG KLH + TN'!$B:$B,'01. TH'!$B36,'TỔNG KLH + TN'!$C:$C,'01. TH'!AA$4)</f>
        <v>0</v>
      </c>
      <c r="AB36" s="126">
        <f>COUNTIFS('TỔNG KLH + TN'!$B:$B,'01. TH'!$B36,'TỔNG KLH + TN'!$C:$C,'01. TH'!AB$4)</f>
        <v>0</v>
      </c>
      <c r="AC36" s="126">
        <f>COUNTIFS('TỔNG KLH + TN'!$B:$B,'01. TH'!$B36,'TỔNG KLH + TN'!$C:$C,'01. TH'!AC$4)</f>
        <v>0</v>
      </c>
      <c r="AD36" s="126">
        <f>COUNTIFS('TỔNG KLH + TN'!$B:$B,'01. TH'!$B36,'TỔNG KLH + TN'!$C:$C,'01. TH'!AD$4)</f>
        <v>0</v>
      </c>
      <c r="AE36" s="162">
        <f t="shared" si="11"/>
        <v>1</v>
      </c>
      <c r="AF36" s="162"/>
      <c r="AG36" s="70" t="str">
        <f t="shared" si="3"/>
        <v>ok</v>
      </c>
      <c r="AH36" s="163"/>
    </row>
    <row r="37" ht="18.75" hidden="1" customHeight="1" outlineLevel="1">
      <c r="A37" s="210"/>
      <c r="B37" s="205" t="s">
        <v>1434</v>
      </c>
      <c r="C37" s="123" t="s">
        <v>504</v>
      </c>
      <c r="D37" s="124" t="str">
        <f>IFERROR(VLOOKUP(B37,'Danh mục'!$G:$U,15,0),"")</f>
        <v/>
      </c>
      <c r="E37" s="124" t="s">
        <v>108</v>
      </c>
      <c r="F37" s="126">
        <f>COUNTIFS('TỔNG KLH + TN'!$B:$B,'01. TH'!$B37,'TỔNG KLH + TN'!$C:$C,'01. TH'!F$4)</f>
        <v>0</v>
      </c>
      <c r="G37" s="126">
        <f>COUNTIFS('TỔNG KLH + TN'!$B:$B,'01. TH'!$B37,'TỔNG KLH + TN'!$C:$C,'01. TH'!G$4)</f>
        <v>0</v>
      </c>
      <c r="H37" s="126">
        <f>COUNTIFS('TỔNG KLH + TN'!$B:$B,'01. TH'!$B37,'TỔNG KLH + TN'!$C:$C,'01. TH'!H$4)</f>
        <v>0</v>
      </c>
      <c r="I37" s="126">
        <f>COUNTIFS('TỔNG KLH + TN'!$B:$B,'01. TH'!$B37,'TỔNG KLH + TN'!$C:$C,'01. TH'!I$4)</f>
        <v>0</v>
      </c>
      <c r="J37" s="126">
        <f>COUNTIFS('TỔNG KLH + TN'!$B:$B,'01. TH'!$B37,'TỔNG KLH + TN'!$C:$C,'01. TH'!J$4)</f>
        <v>0</v>
      </c>
      <c r="K37" s="126">
        <f>COUNTIFS('TỔNG KLH + TN'!$B:$B,'01. TH'!$B37,'TỔNG KLH + TN'!$C:$C,'01. TH'!K$4)</f>
        <v>0</v>
      </c>
      <c r="L37" s="126">
        <f>COUNTIFS('TỔNG KLH + TN'!$B:$B,'01. TH'!$B37,'TỔNG KLH + TN'!$C:$C,'01. TH'!L$4)</f>
        <v>0</v>
      </c>
      <c r="M37" s="126">
        <f>COUNTIFS('TỔNG KLH + TN'!$B:$B,'01. TH'!$B37,'TỔNG KLH + TN'!$C:$C,'01. TH'!M$4)</f>
        <v>0</v>
      </c>
      <c r="N37" s="126">
        <f>COUNTIFS('TỔNG KLH + TN'!$B:$B,'01. TH'!$B37,'TỔNG KLH + TN'!$C:$C,'01. TH'!N$4)</f>
        <v>0</v>
      </c>
      <c r="O37" s="126">
        <f>COUNTIFS('TỔNG KLH + TN'!$B:$B,'01. TH'!$B37,'TỔNG KLH + TN'!$C:$C,'01. TH'!O$4)</f>
        <v>0</v>
      </c>
      <c r="P37" s="126">
        <f>COUNTIFS('TỔNG KLH + TN'!$B:$B,'01. TH'!$B37,'TỔNG KLH + TN'!$C:$C,'01. TH'!P$4)</f>
        <v>0</v>
      </c>
      <c r="Q37" s="126">
        <f>COUNTIFS('TỔNG KLH + TN'!$B:$B,'01. TH'!$B37,'TỔNG KLH + TN'!$C:$C,'01. TH'!Q$4)</f>
        <v>0</v>
      </c>
      <c r="R37" s="126">
        <f>COUNTIFS('TỔNG KLH + TN'!$B:$B,'01. TH'!$B37,'TỔNG KLH + TN'!$C:$C,'01. TH'!R$4)</f>
        <v>0</v>
      </c>
      <c r="S37" s="126">
        <f>COUNTIFS('TỔNG KLH + TN'!$B:$B,'01. TH'!$B37,'TỔNG KLH + TN'!$C:$C,'01. TH'!S$4)</f>
        <v>0</v>
      </c>
      <c r="T37" s="126">
        <f>COUNTIFS('TỔNG KLH + TN'!$B:$B,'01. TH'!$B37,'TỔNG KLH + TN'!$C:$C,'01. TH'!T$4)</f>
        <v>0</v>
      </c>
      <c r="U37" s="126">
        <f>COUNTIFS('TỔNG KLH + TN'!$B:$B,'01. TH'!$B37,'TỔNG KLH + TN'!$C:$C,'01. TH'!U$4)</f>
        <v>1</v>
      </c>
      <c r="V37" s="126">
        <f>COUNTIFS('TỔNG KLH + TN'!$B:$B,'01. TH'!$B37,'TỔNG KLH + TN'!$C:$C,'01. TH'!V$4)</f>
        <v>0</v>
      </c>
      <c r="W37" s="126">
        <f>COUNTIFS('TỔNG KLH + TN'!$B:$B,'01. TH'!$B37,'TỔNG KLH + TN'!$C:$C,'01. TH'!W$4)</f>
        <v>0</v>
      </c>
      <c r="X37" s="126">
        <f>COUNTIFS('TỔNG KLH + TN'!$B:$B,'01. TH'!$B37,'TỔNG KLH + TN'!$C:$C,'01. TH'!X$4)</f>
        <v>0</v>
      </c>
      <c r="Y37" s="126">
        <f>COUNTIFS('TỔNG KLH + TN'!$B:$B,'01. TH'!$B37,'TỔNG KLH + TN'!$C:$C,'01. TH'!Y$4)</f>
        <v>0</v>
      </c>
      <c r="Z37" s="126">
        <f>COUNTIFS('TỔNG KLH + TN'!$B:$B,'01. TH'!$B37,'TỔNG KLH + TN'!$C:$C,'01. TH'!Z$4)</f>
        <v>0</v>
      </c>
      <c r="AA37" s="126">
        <f>COUNTIFS('TỔNG KLH + TN'!$B:$B,'01. TH'!$B37,'TỔNG KLH + TN'!$C:$C,'01. TH'!AA$4)</f>
        <v>0</v>
      </c>
      <c r="AB37" s="126">
        <f>COUNTIFS('TỔNG KLH + TN'!$B:$B,'01. TH'!$B37,'TỔNG KLH + TN'!$C:$C,'01. TH'!AB$4)</f>
        <v>0</v>
      </c>
      <c r="AC37" s="126">
        <f>COUNTIFS('TỔNG KLH + TN'!$B:$B,'01. TH'!$B37,'TỔNG KLH + TN'!$C:$C,'01. TH'!AC$4)</f>
        <v>0</v>
      </c>
      <c r="AD37" s="126">
        <f>COUNTIFS('TỔNG KLH + TN'!$B:$B,'01. TH'!$B37,'TỔNG KLH + TN'!$C:$C,'01. TH'!AD$4)</f>
        <v>0</v>
      </c>
      <c r="AE37" s="162">
        <f t="shared" si="11"/>
        <v>1</v>
      </c>
      <c r="AF37" s="162"/>
      <c r="AG37" s="70" t="str">
        <f t="shared" si="3"/>
        <v>ok</v>
      </c>
      <c r="AH37" s="210"/>
    </row>
    <row r="38" ht="18.75" hidden="1" customHeight="1" outlineLevel="1">
      <c r="A38" s="121"/>
      <c r="B38" s="205" t="s">
        <v>1464</v>
      </c>
      <c r="C38" s="123" t="s">
        <v>1465</v>
      </c>
      <c r="D38" s="124" t="str">
        <f>IFERROR(VLOOKUP(B38,'Danh mục'!$G:$U,15,0),"")</f>
        <v/>
      </c>
      <c r="E38" s="124" t="s">
        <v>108</v>
      </c>
      <c r="F38" s="126">
        <f>COUNTIFS('TỔNG KLH + TN'!$B:$B,'01. TH'!$B38,'TỔNG KLH + TN'!$C:$C,'01. TH'!F$4)</f>
        <v>0</v>
      </c>
      <c r="G38" s="126">
        <f>COUNTIFS('TỔNG KLH + TN'!$B:$B,'01. TH'!$B38,'TỔNG KLH + TN'!$C:$C,'01. TH'!G$4)</f>
        <v>0</v>
      </c>
      <c r="H38" s="126">
        <f>COUNTIFS('TỔNG KLH + TN'!$B:$B,'01. TH'!$B38,'TỔNG KLH + TN'!$C:$C,'01. TH'!H$4)</f>
        <v>0</v>
      </c>
      <c r="I38" s="126">
        <f>COUNTIFS('TỔNG KLH + TN'!$B:$B,'01. TH'!$B38,'TỔNG KLH + TN'!$C:$C,'01. TH'!I$4)</f>
        <v>0</v>
      </c>
      <c r="J38" s="126">
        <f>COUNTIFS('TỔNG KLH + TN'!$B:$B,'01. TH'!$B38,'TỔNG KLH + TN'!$C:$C,'01. TH'!J$4)</f>
        <v>0</v>
      </c>
      <c r="K38" s="126">
        <f>COUNTIFS('TỔNG KLH + TN'!$B:$B,'01. TH'!$B38,'TỔNG KLH + TN'!$C:$C,'01. TH'!K$4)</f>
        <v>0</v>
      </c>
      <c r="L38" s="126">
        <f>COUNTIFS('TỔNG KLH + TN'!$B:$B,'01. TH'!$B38,'TỔNG KLH + TN'!$C:$C,'01. TH'!L$4)</f>
        <v>0</v>
      </c>
      <c r="M38" s="126">
        <f>COUNTIFS('TỔNG KLH + TN'!$B:$B,'01. TH'!$B38,'TỔNG KLH + TN'!$C:$C,'01. TH'!M$4)</f>
        <v>0</v>
      </c>
      <c r="N38" s="126">
        <f>COUNTIFS('TỔNG KLH + TN'!$B:$B,'01. TH'!$B38,'TỔNG KLH + TN'!$C:$C,'01. TH'!N$4)</f>
        <v>0</v>
      </c>
      <c r="O38" s="126">
        <f>COUNTIFS('TỔNG KLH + TN'!$B:$B,'01. TH'!$B38,'TỔNG KLH + TN'!$C:$C,'01. TH'!O$4)</f>
        <v>0</v>
      </c>
      <c r="P38" s="126">
        <f>COUNTIFS('TỔNG KLH + TN'!$B:$B,'01. TH'!$B38,'TỔNG KLH + TN'!$C:$C,'01. TH'!P$4)</f>
        <v>0</v>
      </c>
      <c r="Q38" s="126">
        <f>COUNTIFS('TỔNG KLH + TN'!$B:$B,'01. TH'!$B38,'TỔNG KLH + TN'!$C:$C,'01. TH'!Q$4)</f>
        <v>0</v>
      </c>
      <c r="R38" s="126">
        <f>COUNTIFS('TỔNG KLH + TN'!$B:$B,'01. TH'!$B38,'TỔNG KLH + TN'!$C:$C,'01. TH'!R$4)</f>
        <v>0</v>
      </c>
      <c r="S38" s="126">
        <f>COUNTIFS('TỔNG KLH + TN'!$B:$B,'01. TH'!$B38,'TỔNG KLH + TN'!$C:$C,'01. TH'!S$4)</f>
        <v>0</v>
      </c>
      <c r="T38" s="126">
        <f>COUNTIFS('TỔNG KLH + TN'!$B:$B,'01. TH'!$B38,'TỔNG KLH + TN'!$C:$C,'01. TH'!T$4)</f>
        <v>0</v>
      </c>
      <c r="U38" s="126">
        <f>COUNTIFS('TỔNG KLH + TN'!$B:$B,'01. TH'!$B38,'TỔNG KLH + TN'!$C:$C,'01. TH'!U$4)</f>
        <v>1</v>
      </c>
      <c r="V38" s="126">
        <f>COUNTIFS('TỔNG KLH + TN'!$B:$B,'01. TH'!$B38,'TỔNG KLH + TN'!$C:$C,'01. TH'!V$4)</f>
        <v>0</v>
      </c>
      <c r="W38" s="126">
        <f>COUNTIFS('TỔNG KLH + TN'!$B:$B,'01. TH'!$B38,'TỔNG KLH + TN'!$C:$C,'01. TH'!W$4)</f>
        <v>0</v>
      </c>
      <c r="X38" s="126">
        <f>COUNTIFS('TỔNG KLH + TN'!$B:$B,'01. TH'!$B38,'TỔNG KLH + TN'!$C:$C,'01. TH'!X$4)</f>
        <v>0</v>
      </c>
      <c r="Y38" s="126">
        <f>COUNTIFS('TỔNG KLH + TN'!$B:$B,'01. TH'!$B38,'TỔNG KLH + TN'!$C:$C,'01. TH'!Y$4)</f>
        <v>0</v>
      </c>
      <c r="Z38" s="126">
        <f>COUNTIFS('TỔNG KLH + TN'!$B:$B,'01. TH'!$B38,'TỔNG KLH + TN'!$C:$C,'01. TH'!Z$4)</f>
        <v>0</v>
      </c>
      <c r="AA38" s="126">
        <f>COUNTIFS('TỔNG KLH + TN'!$B:$B,'01. TH'!$B38,'TỔNG KLH + TN'!$C:$C,'01. TH'!AA$4)</f>
        <v>0</v>
      </c>
      <c r="AB38" s="126">
        <f>COUNTIFS('TỔNG KLH + TN'!$B:$B,'01. TH'!$B38,'TỔNG KLH + TN'!$C:$C,'01. TH'!AB$4)</f>
        <v>0</v>
      </c>
      <c r="AC38" s="126">
        <f>COUNTIFS('TỔNG KLH + TN'!$B:$B,'01. TH'!$B38,'TỔNG KLH + TN'!$C:$C,'01. TH'!AC$4)</f>
        <v>0</v>
      </c>
      <c r="AD38" s="126">
        <f>COUNTIFS('TỔNG KLH + TN'!$B:$B,'01. TH'!$B38,'TỔNG KLH + TN'!$C:$C,'01. TH'!AD$4)</f>
        <v>0</v>
      </c>
      <c r="AE38" s="136">
        <f t="shared" si="11"/>
        <v>1</v>
      </c>
      <c r="AF38" s="136"/>
      <c r="AG38" s="70" t="str">
        <f t="shared" si="3"/>
        <v>ok</v>
      </c>
      <c r="AH38" s="124"/>
    </row>
    <row r="39" ht="18.75" hidden="1" customHeight="1" outlineLevel="1">
      <c r="A39" s="210"/>
      <c r="B39" s="205" t="s">
        <v>1505</v>
      </c>
      <c r="C39" s="123" t="s">
        <v>1465</v>
      </c>
      <c r="D39" s="124" t="str">
        <f>IFERROR(VLOOKUP(B39,'Danh mục'!$G:$U,15,0),"")</f>
        <v/>
      </c>
      <c r="E39" s="124" t="s">
        <v>108</v>
      </c>
      <c r="F39" s="126">
        <f>COUNTIFS('TỔNG KLH + TN'!$B:$B,'01. TH'!$B39,'TỔNG KLH + TN'!$C:$C,'01. TH'!F$4)</f>
        <v>0</v>
      </c>
      <c r="G39" s="126">
        <f>COUNTIFS('TỔNG KLH + TN'!$B:$B,'01. TH'!$B39,'TỔNG KLH + TN'!$C:$C,'01. TH'!G$4)</f>
        <v>0</v>
      </c>
      <c r="H39" s="126">
        <f>COUNTIFS('TỔNG KLH + TN'!$B:$B,'01. TH'!$B39,'TỔNG KLH + TN'!$C:$C,'01. TH'!H$4)</f>
        <v>0</v>
      </c>
      <c r="I39" s="126">
        <f>COUNTIFS('TỔNG KLH + TN'!$B:$B,'01. TH'!$B39,'TỔNG KLH + TN'!$C:$C,'01. TH'!I$4)</f>
        <v>0</v>
      </c>
      <c r="J39" s="126">
        <f>COUNTIFS('TỔNG KLH + TN'!$B:$B,'01. TH'!$B39,'TỔNG KLH + TN'!$C:$C,'01. TH'!J$4)</f>
        <v>0</v>
      </c>
      <c r="K39" s="126">
        <f>COUNTIFS('TỔNG KLH + TN'!$B:$B,'01. TH'!$B39,'TỔNG KLH + TN'!$C:$C,'01. TH'!K$4)</f>
        <v>0</v>
      </c>
      <c r="L39" s="126">
        <f>COUNTIFS('TỔNG KLH + TN'!$B:$B,'01. TH'!$B39,'TỔNG KLH + TN'!$C:$C,'01. TH'!L$4)</f>
        <v>0</v>
      </c>
      <c r="M39" s="126">
        <f>COUNTIFS('TỔNG KLH + TN'!$B:$B,'01. TH'!$B39,'TỔNG KLH + TN'!$C:$C,'01. TH'!M$4)</f>
        <v>0</v>
      </c>
      <c r="N39" s="126">
        <f>COUNTIFS('TỔNG KLH + TN'!$B:$B,'01. TH'!$B39,'TỔNG KLH + TN'!$C:$C,'01. TH'!N$4)</f>
        <v>0</v>
      </c>
      <c r="O39" s="126">
        <f>COUNTIFS('TỔNG KLH + TN'!$B:$B,'01. TH'!$B39,'TỔNG KLH + TN'!$C:$C,'01. TH'!O$4)</f>
        <v>0</v>
      </c>
      <c r="P39" s="126">
        <f>COUNTIFS('TỔNG KLH + TN'!$B:$B,'01. TH'!$B39,'TỔNG KLH + TN'!$C:$C,'01. TH'!P$4)</f>
        <v>0</v>
      </c>
      <c r="Q39" s="126">
        <f>COUNTIFS('TỔNG KLH + TN'!$B:$B,'01. TH'!$B39,'TỔNG KLH + TN'!$C:$C,'01. TH'!Q$4)</f>
        <v>0</v>
      </c>
      <c r="R39" s="126">
        <f>COUNTIFS('TỔNG KLH + TN'!$B:$B,'01. TH'!$B39,'TỔNG KLH + TN'!$C:$C,'01. TH'!R$4)</f>
        <v>0</v>
      </c>
      <c r="S39" s="126">
        <f>COUNTIFS('TỔNG KLH + TN'!$B:$B,'01. TH'!$B39,'TỔNG KLH + TN'!$C:$C,'01. TH'!S$4)</f>
        <v>0</v>
      </c>
      <c r="T39" s="126">
        <f>COUNTIFS('TỔNG KLH + TN'!$B:$B,'01. TH'!$B39,'TỔNG KLH + TN'!$C:$C,'01. TH'!T$4)</f>
        <v>0</v>
      </c>
      <c r="U39" s="126">
        <f>COUNTIFS('TỔNG KLH + TN'!$B:$B,'01. TH'!$B39,'TỔNG KLH + TN'!$C:$C,'01. TH'!U$4)</f>
        <v>2</v>
      </c>
      <c r="V39" s="126">
        <f>COUNTIFS('TỔNG KLH + TN'!$B:$B,'01. TH'!$B39,'TỔNG KLH + TN'!$C:$C,'01. TH'!V$4)</f>
        <v>0</v>
      </c>
      <c r="W39" s="126">
        <f>COUNTIFS('TỔNG KLH + TN'!$B:$B,'01. TH'!$B39,'TỔNG KLH + TN'!$C:$C,'01. TH'!W$4)</f>
        <v>0</v>
      </c>
      <c r="X39" s="126">
        <f>COUNTIFS('TỔNG KLH + TN'!$B:$B,'01. TH'!$B39,'TỔNG KLH + TN'!$C:$C,'01. TH'!X$4)</f>
        <v>0</v>
      </c>
      <c r="Y39" s="126">
        <f>COUNTIFS('TỔNG KLH + TN'!$B:$B,'01. TH'!$B39,'TỔNG KLH + TN'!$C:$C,'01. TH'!Y$4)</f>
        <v>0</v>
      </c>
      <c r="Z39" s="126">
        <f>COUNTIFS('TỔNG KLH + TN'!$B:$B,'01. TH'!$B39,'TỔNG KLH + TN'!$C:$C,'01. TH'!Z$4)</f>
        <v>0</v>
      </c>
      <c r="AA39" s="126">
        <f>COUNTIFS('TỔNG KLH + TN'!$B:$B,'01. TH'!$B39,'TỔNG KLH + TN'!$C:$C,'01. TH'!AA$4)</f>
        <v>0</v>
      </c>
      <c r="AB39" s="126">
        <f>COUNTIFS('TỔNG KLH + TN'!$B:$B,'01. TH'!$B39,'TỔNG KLH + TN'!$C:$C,'01. TH'!AB$4)</f>
        <v>0</v>
      </c>
      <c r="AC39" s="126">
        <f>COUNTIFS('TỔNG KLH + TN'!$B:$B,'01. TH'!$B39,'TỔNG KLH + TN'!$C:$C,'01. TH'!AC$4)</f>
        <v>0</v>
      </c>
      <c r="AD39" s="126">
        <f>COUNTIFS('TỔNG KLH + TN'!$B:$B,'01. TH'!$B39,'TỔNG KLH + TN'!$C:$C,'01. TH'!AD$4)</f>
        <v>0</v>
      </c>
      <c r="AE39" s="162">
        <f t="shared" si="11"/>
        <v>2</v>
      </c>
      <c r="AF39" s="162"/>
      <c r="AG39" s="70" t="str">
        <f t="shared" si="3"/>
        <v>ok</v>
      </c>
      <c r="AH39" s="210"/>
    </row>
    <row r="40" ht="18.75" hidden="1" customHeight="1" outlineLevel="1">
      <c r="A40" s="121"/>
      <c r="B40" s="205" t="s">
        <v>1540</v>
      </c>
      <c r="C40" s="123" t="s">
        <v>1465</v>
      </c>
      <c r="D40" s="124" t="str">
        <f>IFERROR(VLOOKUP(B40,'Danh mục'!$G:$U,15,0),"")</f>
        <v/>
      </c>
      <c r="E40" s="124" t="s">
        <v>108</v>
      </c>
      <c r="F40" s="126">
        <f>COUNTIFS('TỔNG KLH + TN'!$B:$B,'01. TH'!$B40,'TỔNG KLH + TN'!$C:$C,'01. TH'!F$4)</f>
        <v>0</v>
      </c>
      <c r="G40" s="126">
        <f>COUNTIFS('TỔNG KLH + TN'!$B:$B,'01. TH'!$B40,'TỔNG KLH + TN'!$C:$C,'01. TH'!G$4)</f>
        <v>0</v>
      </c>
      <c r="H40" s="126">
        <f>COUNTIFS('TỔNG KLH + TN'!$B:$B,'01. TH'!$B40,'TỔNG KLH + TN'!$C:$C,'01. TH'!H$4)</f>
        <v>0</v>
      </c>
      <c r="I40" s="126">
        <f>COUNTIFS('TỔNG KLH + TN'!$B:$B,'01. TH'!$B40,'TỔNG KLH + TN'!$C:$C,'01. TH'!I$4)</f>
        <v>0</v>
      </c>
      <c r="J40" s="126">
        <f>COUNTIFS('TỔNG KLH + TN'!$B:$B,'01. TH'!$B40,'TỔNG KLH + TN'!$C:$C,'01. TH'!J$4)</f>
        <v>0</v>
      </c>
      <c r="K40" s="126">
        <f>COUNTIFS('TỔNG KLH + TN'!$B:$B,'01. TH'!$B40,'TỔNG KLH + TN'!$C:$C,'01. TH'!K$4)</f>
        <v>0</v>
      </c>
      <c r="L40" s="126">
        <f>COUNTIFS('TỔNG KLH + TN'!$B:$B,'01. TH'!$B40,'TỔNG KLH + TN'!$C:$C,'01. TH'!L$4)</f>
        <v>0</v>
      </c>
      <c r="M40" s="126">
        <f>COUNTIFS('TỔNG KLH + TN'!$B:$B,'01. TH'!$B40,'TỔNG KLH + TN'!$C:$C,'01. TH'!M$4)</f>
        <v>0</v>
      </c>
      <c r="N40" s="126">
        <f>COUNTIFS('TỔNG KLH + TN'!$B:$B,'01. TH'!$B40,'TỔNG KLH + TN'!$C:$C,'01. TH'!N$4)</f>
        <v>0</v>
      </c>
      <c r="O40" s="126">
        <f>COUNTIFS('TỔNG KLH + TN'!$B:$B,'01. TH'!$B40,'TỔNG KLH + TN'!$C:$C,'01. TH'!O$4)</f>
        <v>0</v>
      </c>
      <c r="P40" s="126">
        <f>COUNTIFS('TỔNG KLH + TN'!$B:$B,'01. TH'!$B40,'TỔNG KLH + TN'!$C:$C,'01. TH'!P$4)</f>
        <v>0</v>
      </c>
      <c r="Q40" s="126">
        <f>COUNTIFS('TỔNG KLH + TN'!$B:$B,'01. TH'!$B40,'TỔNG KLH + TN'!$C:$C,'01. TH'!Q$4)</f>
        <v>0</v>
      </c>
      <c r="R40" s="126">
        <f>COUNTIFS('TỔNG KLH + TN'!$B:$B,'01. TH'!$B40,'TỔNG KLH + TN'!$C:$C,'01. TH'!R$4)</f>
        <v>0</v>
      </c>
      <c r="S40" s="126">
        <f>COUNTIFS('TỔNG KLH + TN'!$B:$B,'01. TH'!$B40,'TỔNG KLH + TN'!$C:$C,'01. TH'!S$4)</f>
        <v>0</v>
      </c>
      <c r="T40" s="126">
        <f>COUNTIFS('TỔNG KLH + TN'!$B:$B,'01. TH'!$B40,'TỔNG KLH + TN'!$C:$C,'01. TH'!T$4)</f>
        <v>0</v>
      </c>
      <c r="U40" s="126">
        <f>COUNTIFS('TỔNG KLH + TN'!$B:$B,'01. TH'!$B40,'TỔNG KLH + TN'!$C:$C,'01. TH'!U$4)</f>
        <v>1</v>
      </c>
      <c r="V40" s="126">
        <f>COUNTIFS('TỔNG KLH + TN'!$B:$B,'01. TH'!$B40,'TỔNG KLH + TN'!$C:$C,'01. TH'!V$4)</f>
        <v>0</v>
      </c>
      <c r="W40" s="126">
        <f>COUNTIFS('TỔNG KLH + TN'!$B:$B,'01. TH'!$B40,'TỔNG KLH + TN'!$C:$C,'01. TH'!W$4)</f>
        <v>0</v>
      </c>
      <c r="X40" s="126">
        <f>COUNTIFS('TỔNG KLH + TN'!$B:$B,'01. TH'!$B40,'TỔNG KLH + TN'!$C:$C,'01. TH'!X$4)</f>
        <v>0</v>
      </c>
      <c r="Y40" s="126">
        <f>COUNTIFS('TỔNG KLH + TN'!$B:$B,'01. TH'!$B40,'TỔNG KLH + TN'!$C:$C,'01. TH'!Y$4)</f>
        <v>0</v>
      </c>
      <c r="Z40" s="126">
        <f>COUNTIFS('TỔNG KLH + TN'!$B:$B,'01. TH'!$B40,'TỔNG KLH + TN'!$C:$C,'01. TH'!Z$4)</f>
        <v>0</v>
      </c>
      <c r="AA40" s="126">
        <f>COUNTIFS('TỔNG KLH + TN'!$B:$B,'01. TH'!$B40,'TỔNG KLH + TN'!$C:$C,'01. TH'!AA$4)</f>
        <v>0</v>
      </c>
      <c r="AB40" s="126">
        <f>COUNTIFS('TỔNG KLH + TN'!$B:$B,'01. TH'!$B40,'TỔNG KLH + TN'!$C:$C,'01. TH'!AB$4)</f>
        <v>0</v>
      </c>
      <c r="AC40" s="126">
        <f>COUNTIFS('TỔNG KLH + TN'!$B:$B,'01. TH'!$B40,'TỔNG KLH + TN'!$C:$C,'01. TH'!AC$4)</f>
        <v>0</v>
      </c>
      <c r="AD40" s="126">
        <f>COUNTIFS('TỔNG KLH + TN'!$B:$B,'01. TH'!$B40,'TỔNG KLH + TN'!$C:$C,'01. TH'!AD$4)</f>
        <v>0</v>
      </c>
      <c r="AE40" s="136">
        <f t="shared" si="11"/>
        <v>1</v>
      </c>
      <c r="AF40" s="136"/>
      <c r="AG40" s="70" t="str">
        <f t="shared" si="3"/>
        <v>ok</v>
      </c>
      <c r="AH40" s="124"/>
    </row>
    <row r="41" ht="18.75" hidden="1" customHeight="1" outlineLevel="1">
      <c r="A41" s="121"/>
      <c r="B41" s="205" t="s">
        <v>1577</v>
      </c>
      <c r="C41" s="123" t="s">
        <v>262</v>
      </c>
      <c r="D41" s="124" t="str">
        <f>IFERROR(VLOOKUP(B41,'Danh mục'!$G:$U,15,0),"")</f>
        <v>3830 x 1810 x 1920</v>
      </c>
      <c r="E41" s="124" t="s">
        <v>108</v>
      </c>
      <c r="F41" s="126">
        <f>COUNTIFS('TỔNG KLH + TN'!$B:$B,'01. TH'!$B41,'TỔNG KLH + TN'!$C:$C,'01. TH'!F$4)</f>
        <v>0</v>
      </c>
      <c r="G41" s="126">
        <f>COUNTIFS('TỔNG KLH + TN'!$B:$B,'01. TH'!$B41,'TỔNG KLH + TN'!$C:$C,'01. TH'!G$4)</f>
        <v>0</v>
      </c>
      <c r="H41" s="126">
        <f>COUNTIFS('TỔNG KLH + TN'!$B:$B,'01. TH'!$B41,'TỔNG KLH + TN'!$C:$C,'01. TH'!H$4)</f>
        <v>0</v>
      </c>
      <c r="I41" s="126">
        <f>COUNTIFS('TỔNG KLH + TN'!$B:$B,'01. TH'!$B41,'TỔNG KLH + TN'!$C:$C,'01. TH'!I$4)</f>
        <v>0</v>
      </c>
      <c r="J41" s="126">
        <f>COUNTIFS('TỔNG KLH + TN'!$B:$B,'01. TH'!$B41,'TỔNG KLH + TN'!$C:$C,'01. TH'!J$4)</f>
        <v>0</v>
      </c>
      <c r="K41" s="126">
        <f>COUNTIFS('TỔNG KLH + TN'!$B:$B,'01. TH'!$B41,'TỔNG KLH + TN'!$C:$C,'01. TH'!K$4)</f>
        <v>0</v>
      </c>
      <c r="L41" s="126">
        <f>COUNTIFS('TỔNG KLH + TN'!$B:$B,'01. TH'!$B41,'TỔNG KLH + TN'!$C:$C,'01. TH'!L$4)</f>
        <v>0</v>
      </c>
      <c r="M41" s="126">
        <f>COUNTIFS('TỔNG KLH + TN'!$B:$B,'01. TH'!$B41,'TỔNG KLH + TN'!$C:$C,'01. TH'!M$4)</f>
        <v>0</v>
      </c>
      <c r="N41" s="126">
        <f>COUNTIFS('TỔNG KLH + TN'!$B:$B,'01. TH'!$B41,'TỔNG KLH + TN'!$C:$C,'01. TH'!N$4)</f>
        <v>0</v>
      </c>
      <c r="O41" s="126">
        <f>COUNTIFS('TỔNG KLH + TN'!$B:$B,'01. TH'!$B41,'TỔNG KLH + TN'!$C:$C,'01. TH'!O$4)</f>
        <v>0</v>
      </c>
      <c r="P41" s="126">
        <f>COUNTIFS('TỔNG KLH + TN'!$B:$B,'01. TH'!$B41,'TỔNG KLH + TN'!$C:$C,'01. TH'!P$4)</f>
        <v>0</v>
      </c>
      <c r="Q41" s="126">
        <f>COUNTIFS('TỔNG KLH + TN'!$B:$B,'01. TH'!$B41,'TỔNG KLH + TN'!$C:$C,'01. TH'!Q$4)</f>
        <v>0</v>
      </c>
      <c r="R41" s="126">
        <f>COUNTIFS('TỔNG KLH + TN'!$B:$B,'01. TH'!$B41,'TỔNG KLH + TN'!$C:$C,'01. TH'!R$4)</f>
        <v>0</v>
      </c>
      <c r="S41" s="126">
        <f>COUNTIFS('TỔNG KLH + TN'!$B:$B,'01. TH'!$B41,'TỔNG KLH + TN'!$C:$C,'01. TH'!S$4)</f>
        <v>0</v>
      </c>
      <c r="T41" s="126">
        <f>COUNTIFS('TỔNG KLH + TN'!$B:$B,'01. TH'!$B41,'TỔNG KLH + TN'!$C:$C,'01. TH'!T$4)</f>
        <v>0</v>
      </c>
      <c r="U41" s="126">
        <f>COUNTIFS('TỔNG KLH + TN'!$B:$B,'01. TH'!$B41,'TỔNG KLH + TN'!$C:$C,'01. TH'!U$4)</f>
        <v>1</v>
      </c>
      <c r="V41" s="126">
        <f>COUNTIFS('TỔNG KLH + TN'!$B:$B,'01. TH'!$B41,'TỔNG KLH + TN'!$C:$C,'01. TH'!V$4)</f>
        <v>0</v>
      </c>
      <c r="W41" s="126">
        <f>COUNTIFS('TỔNG KLH + TN'!$B:$B,'01. TH'!$B41,'TỔNG KLH + TN'!$C:$C,'01. TH'!W$4)</f>
        <v>0</v>
      </c>
      <c r="X41" s="126">
        <f>COUNTIFS('TỔNG KLH + TN'!$B:$B,'01. TH'!$B41,'TỔNG KLH + TN'!$C:$C,'01. TH'!X$4)</f>
        <v>0</v>
      </c>
      <c r="Y41" s="126">
        <f>COUNTIFS('TỔNG KLH + TN'!$B:$B,'01. TH'!$B41,'TỔNG KLH + TN'!$C:$C,'01. TH'!Y$4)</f>
        <v>0</v>
      </c>
      <c r="Z41" s="126">
        <f>COUNTIFS('TỔNG KLH + TN'!$B:$B,'01. TH'!$B41,'TỔNG KLH + TN'!$C:$C,'01. TH'!Z$4)</f>
        <v>0</v>
      </c>
      <c r="AA41" s="126">
        <f>COUNTIFS('TỔNG KLH + TN'!$B:$B,'01. TH'!$B41,'TỔNG KLH + TN'!$C:$C,'01. TH'!AA$4)</f>
        <v>0</v>
      </c>
      <c r="AB41" s="126">
        <f>COUNTIFS('TỔNG KLH + TN'!$B:$B,'01. TH'!$B41,'TỔNG KLH + TN'!$C:$C,'01. TH'!AB$4)</f>
        <v>0</v>
      </c>
      <c r="AC41" s="126">
        <f>COUNTIFS('TỔNG KLH + TN'!$B:$B,'01. TH'!$B41,'TỔNG KLH + TN'!$C:$C,'01. TH'!AC$4)</f>
        <v>0</v>
      </c>
      <c r="AD41" s="126">
        <f>COUNTIFS('TỔNG KLH + TN'!$B:$B,'01. TH'!$B41,'TỔNG KLH + TN'!$C:$C,'01. TH'!AD$4)</f>
        <v>0</v>
      </c>
      <c r="AE41" s="136">
        <f t="shared" si="11"/>
        <v>1</v>
      </c>
      <c r="AF41" s="136"/>
      <c r="AG41" s="70" t="str">
        <f t="shared" si="3"/>
        <v>ok</v>
      </c>
      <c r="AH41" s="124"/>
    </row>
    <row r="42" ht="18.75" hidden="1" customHeight="1" outlineLevel="1">
      <c r="A42" s="159"/>
      <c r="B42" s="205" t="s">
        <v>1605</v>
      </c>
      <c r="C42" s="123" t="s">
        <v>1606</v>
      </c>
      <c r="D42" s="124" t="str">
        <f>IFERROR(VLOOKUP(B42,'Danh mục'!$G:$U,15,0),"")</f>
        <v/>
      </c>
      <c r="E42" s="124" t="s">
        <v>108</v>
      </c>
      <c r="F42" s="126">
        <f>COUNTIFS('TỔNG KLH + TN'!$B:$B,'01. TH'!$B42,'TỔNG KLH + TN'!$C:$C,'01. TH'!F$4)</f>
        <v>0</v>
      </c>
      <c r="G42" s="126">
        <f>COUNTIFS('TỔNG KLH + TN'!$B:$B,'01. TH'!$B42,'TỔNG KLH + TN'!$C:$C,'01. TH'!G$4)</f>
        <v>0</v>
      </c>
      <c r="H42" s="126">
        <f>COUNTIFS('TỔNG KLH + TN'!$B:$B,'01. TH'!$B42,'TỔNG KLH + TN'!$C:$C,'01. TH'!H$4)</f>
        <v>0</v>
      </c>
      <c r="I42" s="126">
        <f>COUNTIFS('TỔNG KLH + TN'!$B:$B,'01. TH'!$B42,'TỔNG KLH + TN'!$C:$C,'01. TH'!I$4)</f>
        <v>0</v>
      </c>
      <c r="J42" s="126">
        <f>COUNTIFS('TỔNG KLH + TN'!$B:$B,'01. TH'!$B42,'TỔNG KLH + TN'!$C:$C,'01. TH'!J$4)</f>
        <v>0</v>
      </c>
      <c r="K42" s="126">
        <f>COUNTIFS('TỔNG KLH + TN'!$B:$B,'01. TH'!$B42,'TỔNG KLH + TN'!$C:$C,'01. TH'!K$4)</f>
        <v>0</v>
      </c>
      <c r="L42" s="126">
        <f>COUNTIFS('TỔNG KLH + TN'!$B:$B,'01. TH'!$B42,'TỔNG KLH + TN'!$C:$C,'01. TH'!L$4)</f>
        <v>0</v>
      </c>
      <c r="M42" s="126">
        <f>COUNTIFS('TỔNG KLH + TN'!$B:$B,'01. TH'!$B42,'TỔNG KLH + TN'!$C:$C,'01. TH'!M$4)</f>
        <v>0</v>
      </c>
      <c r="N42" s="126">
        <f>COUNTIFS('TỔNG KLH + TN'!$B:$B,'01. TH'!$B42,'TỔNG KLH + TN'!$C:$C,'01. TH'!N$4)</f>
        <v>0</v>
      </c>
      <c r="O42" s="126">
        <f>COUNTIFS('TỔNG KLH + TN'!$B:$B,'01. TH'!$B42,'TỔNG KLH + TN'!$C:$C,'01. TH'!O$4)</f>
        <v>0</v>
      </c>
      <c r="P42" s="126">
        <f>COUNTIFS('TỔNG KLH + TN'!$B:$B,'01. TH'!$B42,'TỔNG KLH + TN'!$C:$C,'01. TH'!P$4)</f>
        <v>0</v>
      </c>
      <c r="Q42" s="126">
        <f>COUNTIFS('TỔNG KLH + TN'!$B:$B,'01. TH'!$B42,'TỔNG KLH + TN'!$C:$C,'01. TH'!Q$4)</f>
        <v>0</v>
      </c>
      <c r="R42" s="126">
        <f>COUNTIFS('TỔNG KLH + TN'!$B:$B,'01. TH'!$B42,'TỔNG KLH + TN'!$C:$C,'01. TH'!R$4)</f>
        <v>0</v>
      </c>
      <c r="S42" s="126">
        <f>COUNTIFS('TỔNG KLH + TN'!$B:$B,'01. TH'!$B42,'TỔNG KLH + TN'!$C:$C,'01. TH'!S$4)</f>
        <v>0</v>
      </c>
      <c r="T42" s="126">
        <f>COUNTIFS('TỔNG KLH + TN'!$B:$B,'01. TH'!$B42,'TỔNG KLH + TN'!$C:$C,'01. TH'!T$4)</f>
        <v>0</v>
      </c>
      <c r="U42" s="126">
        <f>COUNTIFS('TỔNG KLH + TN'!$B:$B,'01. TH'!$B42,'TỔNG KLH + TN'!$C:$C,'01. TH'!U$4)</f>
        <v>2</v>
      </c>
      <c r="V42" s="126">
        <f>COUNTIFS('TỔNG KLH + TN'!$B:$B,'01. TH'!$B42,'TỔNG KLH + TN'!$C:$C,'01. TH'!V$4)</f>
        <v>0</v>
      </c>
      <c r="W42" s="126">
        <f>COUNTIFS('TỔNG KLH + TN'!$B:$B,'01. TH'!$B42,'TỔNG KLH + TN'!$C:$C,'01. TH'!W$4)</f>
        <v>0</v>
      </c>
      <c r="X42" s="126">
        <f>COUNTIFS('TỔNG KLH + TN'!$B:$B,'01. TH'!$B42,'TỔNG KLH + TN'!$C:$C,'01. TH'!X$4)</f>
        <v>0</v>
      </c>
      <c r="Y42" s="126">
        <f>COUNTIFS('TỔNG KLH + TN'!$B:$B,'01. TH'!$B42,'TỔNG KLH + TN'!$C:$C,'01. TH'!Y$4)</f>
        <v>0</v>
      </c>
      <c r="Z42" s="126">
        <f>COUNTIFS('TỔNG KLH + TN'!$B:$B,'01. TH'!$B42,'TỔNG KLH + TN'!$C:$C,'01. TH'!Z$4)</f>
        <v>0</v>
      </c>
      <c r="AA42" s="126">
        <f>COUNTIFS('TỔNG KLH + TN'!$B:$B,'01. TH'!$B42,'TỔNG KLH + TN'!$C:$C,'01. TH'!AA$4)</f>
        <v>0</v>
      </c>
      <c r="AB42" s="126">
        <f>COUNTIFS('TỔNG KLH + TN'!$B:$B,'01. TH'!$B42,'TỔNG KLH + TN'!$C:$C,'01. TH'!AB$4)</f>
        <v>0</v>
      </c>
      <c r="AC42" s="126">
        <f>COUNTIFS('TỔNG KLH + TN'!$B:$B,'01. TH'!$B42,'TỔNG KLH + TN'!$C:$C,'01. TH'!AC$4)</f>
        <v>0</v>
      </c>
      <c r="AD42" s="126">
        <f>COUNTIFS('TỔNG KLH + TN'!$B:$B,'01. TH'!$B42,'TỔNG KLH + TN'!$C:$C,'01. TH'!AD$4)</f>
        <v>0</v>
      </c>
      <c r="AE42" s="162">
        <f t="shared" si="11"/>
        <v>2</v>
      </c>
      <c r="AF42" s="162"/>
      <c r="AG42" s="70" t="str">
        <f t="shared" si="3"/>
        <v>ok</v>
      </c>
      <c r="AH42" s="163"/>
    </row>
    <row r="43" ht="18.75" hidden="1" customHeight="1" outlineLevel="1">
      <c r="A43" s="159"/>
      <c r="B43" s="205" t="s">
        <v>1649</v>
      </c>
      <c r="C43" s="123" t="s">
        <v>101</v>
      </c>
      <c r="D43" s="124" t="str">
        <f>IFERROR(VLOOKUP(B43,'Danh mục'!$G:$U,15,0),"")</f>
        <v/>
      </c>
      <c r="E43" s="124" t="s">
        <v>108</v>
      </c>
      <c r="F43" s="126">
        <f>COUNTIFS('TỔNG KLH + TN'!$B:$B,'01. TH'!$B43,'TỔNG KLH + TN'!$C:$C,'01. TH'!F$4)</f>
        <v>0</v>
      </c>
      <c r="G43" s="126">
        <f>COUNTIFS('TỔNG KLH + TN'!$B:$B,'01. TH'!$B43,'TỔNG KLH + TN'!$C:$C,'01. TH'!G$4)</f>
        <v>0</v>
      </c>
      <c r="H43" s="126">
        <f>COUNTIFS('TỔNG KLH + TN'!$B:$B,'01. TH'!$B43,'TỔNG KLH + TN'!$C:$C,'01. TH'!H$4)</f>
        <v>0</v>
      </c>
      <c r="I43" s="126">
        <f>COUNTIFS('TỔNG KLH + TN'!$B:$B,'01. TH'!$B43,'TỔNG KLH + TN'!$C:$C,'01. TH'!I$4)</f>
        <v>0</v>
      </c>
      <c r="J43" s="126">
        <f>COUNTIFS('TỔNG KLH + TN'!$B:$B,'01. TH'!$B43,'TỔNG KLH + TN'!$C:$C,'01. TH'!J$4)</f>
        <v>0</v>
      </c>
      <c r="K43" s="126">
        <f>COUNTIFS('TỔNG KLH + TN'!$B:$B,'01. TH'!$B43,'TỔNG KLH + TN'!$C:$C,'01. TH'!K$4)</f>
        <v>0</v>
      </c>
      <c r="L43" s="126">
        <f>COUNTIFS('TỔNG KLH + TN'!$B:$B,'01. TH'!$B43,'TỔNG KLH + TN'!$C:$C,'01. TH'!L$4)</f>
        <v>0</v>
      </c>
      <c r="M43" s="126">
        <f>COUNTIFS('TỔNG KLH + TN'!$B:$B,'01. TH'!$B43,'TỔNG KLH + TN'!$C:$C,'01. TH'!M$4)</f>
        <v>0</v>
      </c>
      <c r="N43" s="126">
        <f>COUNTIFS('TỔNG KLH + TN'!$B:$B,'01. TH'!$B43,'TỔNG KLH + TN'!$C:$C,'01. TH'!N$4)</f>
        <v>0</v>
      </c>
      <c r="O43" s="126">
        <f>COUNTIFS('TỔNG KLH + TN'!$B:$B,'01. TH'!$B43,'TỔNG KLH + TN'!$C:$C,'01. TH'!O$4)</f>
        <v>0</v>
      </c>
      <c r="P43" s="126">
        <f>COUNTIFS('TỔNG KLH + TN'!$B:$B,'01. TH'!$B43,'TỔNG KLH + TN'!$C:$C,'01. TH'!P$4)</f>
        <v>0</v>
      </c>
      <c r="Q43" s="126">
        <f>COUNTIFS('TỔNG KLH + TN'!$B:$B,'01. TH'!$B43,'TỔNG KLH + TN'!$C:$C,'01. TH'!Q$4)</f>
        <v>0</v>
      </c>
      <c r="R43" s="126">
        <f>COUNTIFS('TỔNG KLH + TN'!$B:$B,'01. TH'!$B43,'TỔNG KLH + TN'!$C:$C,'01. TH'!R$4)</f>
        <v>0</v>
      </c>
      <c r="S43" s="126">
        <f>COUNTIFS('TỔNG KLH + TN'!$B:$B,'01. TH'!$B43,'TỔNG KLH + TN'!$C:$C,'01. TH'!S$4)</f>
        <v>0</v>
      </c>
      <c r="T43" s="126">
        <f>COUNTIFS('TỔNG KLH + TN'!$B:$B,'01. TH'!$B43,'TỔNG KLH + TN'!$C:$C,'01. TH'!T$4)</f>
        <v>0</v>
      </c>
      <c r="U43" s="126">
        <f>COUNTIFS('TỔNG KLH + TN'!$B:$B,'01. TH'!$B43,'TỔNG KLH + TN'!$C:$C,'01. TH'!U$4)</f>
        <v>1</v>
      </c>
      <c r="V43" s="126">
        <f>COUNTIFS('TỔNG KLH + TN'!$B:$B,'01. TH'!$B43,'TỔNG KLH + TN'!$C:$C,'01. TH'!V$4)</f>
        <v>0</v>
      </c>
      <c r="W43" s="126">
        <f>COUNTIFS('TỔNG KLH + TN'!$B:$B,'01. TH'!$B43,'TỔNG KLH + TN'!$C:$C,'01. TH'!W$4)</f>
        <v>0</v>
      </c>
      <c r="X43" s="126">
        <f>COUNTIFS('TỔNG KLH + TN'!$B:$B,'01. TH'!$B43,'TỔNG KLH + TN'!$C:$C,'01. TH'!X$4)</f>
        <v>0</v>
      </c>
      <c r="Y43" s="126">
        <f>COUNTIFS('TỔNG KLH + TN'!$B:$B,'01. TH'!$B43,'TỔNG KLH + TN'!$C:$C,'01. TH'!Y$4)</f>
        <v>0</v>
      </c>
      <c r="Z43" s="126">
        <f>COUNTIFS('TỔNG KLH + TN'!$B:$B,'01. TH'!$B43,'TỔNG KLH + TN'!$C:$C,'01. TH'!Z$4)</f>
        <v>0</v>
      </c>
      <c r="AA43" s="126">
        <f>COUNTIFS('TỔNG KLH + TN'!$B:$B,'01. TH'!$B43,'TỔNG KLH + TN'!$C:$C,'01. TH'!AA$4)</f>
        <v>0</v>
      </c>
      <c r="AB43" s="126">
        <f>COUNTIFS('TỔNG KLH + TN'!$B:$B,'01. TH'!$B43,'TỔNG KLH + TN'!$C:$C,'01. TH'!AB$4)</f>
        <v>0</v>
      </c>
      <c r="AC43" s="126">
        <f>COUNTIFS('TỔNG KLH + TN'!$B:$B,'01. TH'!$B43,'TỔNG KLH + TN'!$C:$C,'01. TH'!AC$4)</f>
        <v>0</v>
      </c>
      <c r="AD43" s="126">
        <f>COUNTIFS('TỔNG KLH + TN'!$B:$B,'01. TH'!$B43,'TỔNG KLH + TN'!$C:$C,'01. TH'!AD$4)</f>
        <v>0</v>
      </c>
      <c r="AE43" s="162">
        <f t="shared" si="11"/>
        <v>1</v>
      </c>
      <c r="AF43" s="162"/>
      <c r="AG43" s="70" t="str">
        <f t="shared" si="3"/>
        <v>ok</v>
      </c>
      <c r="AH43" s="163"/>
    </row>
    <row r="44" ht="18.75" hidden="1" customHeight="1" outlineLevel="1">
      <c r="A44" s="159"/>
      <c r="B44" s="205" t="s">
        <v>1671</v>
      </c>
      <c r="C44" s="123" t="s">
        <v>1672</v>
      </c>
      <c r="D44" s="124" t="str">
        <f>IFERROR(VLOOKUP(B44,'Danh mục'!$G:$U,15,0),"")</f>
        <v>6895 x 2470 x 3180</v>
      </c>
      <c r="E44" s="124" t="s">
        <v>108</v>
      </c>
      <c r="F44" s="126">
        <f>COUNTIFS('TỔNG KLH + TN'!$B:$B,'01. TH'!$B44,'TỔNG KLH + TN'!$C:$C,'01. TH'!F$4)</f>
        <v>0</v>
      </c>
      <c r="G44" s="126">
        <f>COUNTIFS('TỔNG KLH + TN'!$B:$B,'01. TH'!$B44,'TỔNG KLH + TN'!$C:$C,'01. TH'!G$4)</f>
        <v>0</v>
      </c>
      <c r="H44" s="126">
        <f>COUNTIFS('TỔNG KLH + TN'!$B:$B,'01. TH'!$B44,'TỔNG KLH + TN'!$C:$C,'01. TH'!H$4)</f>
        <v>0</v>
      </c>
      <c r="I44" s="126">
        <f>COUNTIFS('TỔNG KLH + TN'!$B:$B,'01. TH'!$B44,'TỔNG KLH + TN'!$C:$C,'01. TH'!I$4)</f>
        <v>0</v>
      </c>
      <c r="J44" s="126">
        <f>COUNTIFS('TỔNG KLH + TN'!$B:$B,'01. TH'!$B44,'TỔNG KLH + TN'!$C:$C,'01. TH'!J$4)</f>
        <v>0</v>
      </c>
      <c r="K44" s="126">
        <f>COUNTIFS('TỔNG KLH + TN'!$B:$B,'01. TH'!$B44,'TỔNG KLH + TN'!$C:$C,'01. TH'!K$4)</f>
        <v>0</v>
      </c>
      <c r="L44" s="126">
        <f>COUNTIFS('TỔNG KLH + TN'!$B:$B,'01. TH'!$B44,'TỔNG KLH + TN'!$C:$C,'01. TH'!L$4)</f>
        <v>0</v>
      </c>
      <c r="M44" s="126">
        <f>COUNTIFS('TỔNG KLH + TN'!$B:$B,'01. TH'!$B44,'TỔNG KLH + TN'!$C:$C,'01. TH'!M$4)</f>
        <v>0</v>
      </c>
      <c r="N44" s="126">
        <f>COUNTIFS('TỔNG KLH + TN'!$B:$B,'01. TH'!$B44,'TỔNG KLH + TN'!$C:$C,'01. TH'!N$4)</f>
        <v>0</v>
      </c>
      <c r="O44" s="126">
        <f>COUNTIFS('TỔNG KLH + TN'!$B:$B,'01. TH'!$B44,'TỔNG KLH + TN'!$C:$C,'01. TH'!O$4)</f>
        <v>0</v>
      </c>
      <c r="P44" s="126">
        <f>COUNTIFS('TỔNG KLH + TN'!$B:$B,'01. TH'!$B44,'TỔNG KLH + TN'!$C:$C,'01. TH'!P$4)</f>
        <v>0</v>
      </c>
      <c r="Q44" s="126">
        <f>COUNTIFS('TỔNG KLH + TN'!$B:$B,'01. TH'!$B44,'TỔNG KLH + TN'!$C:$C,'01. TH'!Q$4)</f>
        <v>0</v>
      </c>
      <c r="R44" s="126">
        <f>COUNTIFS('TỔNG KLH + TN'!$B:$B,'01. TH'!$B44,'TỔNG KLH + TN'!$C:$C,'01. TH'!R$4)</f>
        <v>0</v>
      </c>
      <c r="S44" s="126">
        <f>COUNTIFS('TỔNG KLH + TN'!$B:$B,'01. TH'!$B44,'TỔNG KLH + TN'!$C:$C,'01. TH'!S$4)</f>
        <v>0</v>
      </c>
      <c r="T44" s="126">
        <f>COUNTIFS('TỔNG KLH + TN'!$B:$B,'01. TH'!$B44,'TỔNG KLH + TN'!$C:$C,'01. TH'!T$4)</f>
        <v>0</v>
      </c>
      <c r="U44" s="126">
        <f>COUNTIFS('TỔNG KLH + TN'!$B:$B,'01. TH'!$B44,'TỔNG KLH + TN'!$C:$C,'01. TH'!U$4)</f>
        <v>0</v>
      </c>
      <c r="V44" s="126">
        <f>COUNTIFS('TỔNG KLH + TN'!$B:$B,'01. TH'!$B44,'TỔNG KLH + TN'!$C:$C,'01. TH'!V$4)</f>
        <v>0</v>
      </c>
      <c r="W44" s="126">
        <f>COUNTIFS('TỔNG KLH + TN'!$B:$B,'01. TH'!$B44,'TỔNG KLH + TN'!$C:$C,'01. TH'!W$4)</f>
        <v>0</v>
      </c>
      <c r="X44" s="126">
        <f>COUNTIFS('TỔNG KLH + TN'!$B:$B,'01. TH'!$B44,'TỔNG KLH + TN'!$C:$C,'01. TH'!X$4)</f>
        <v>1</v>
      </c>
      <c r="Y44" s="126">
        <f>COUNTIFS('TỔNG KLH + TN'!$B:$B,'01. TH'!$B44,'TỔNG KLH + TN'!$C:$C,'01. TH'!Y$4)</f>
        <v>0</v>
      </c>
      <c r="Z44" s="126">
        <f>COUNTIFS('TỔNG KLH + TN'!$B:$B,'01. TH'!$B44,'TỔNG KLH + TN'!$C:$C,'01. TH'!Z$4)</f>
        <v>0</v>
      </c>
      <c r="AA44" s="126">
        <f>COUNTIFS('TỔNG KLH + TN'!$B:$B,'01. TH'!$B44,'TỔNG KLH + TN'!$C:$C,'01. TH'!AA$4)</f>
        <v>0</v>
      </c>
      <c r="AB44" s="126">
        <f>COUNTIFS('TỔNG KLH + TN'!$B:$B,'01. TH'!$B44,'TỔNG KLH + TN'!$C:$C,'01. TH'!AB$4)</f>
        <v>0</v>
      </c>
      <c r="AC44" s="126">
        <f>COUNTIFS('TỔNG KLH + TN'!$B:$B,'01. TH'!$B44,'TỔNG KLH + TN'!$C:$C,'01. TH'!AC$4)</f>
        <v>0</v>
      </c>
      <c r="AD44" s="126">
        <f>COUNTIFS('TỔNG KLH + TN'!$B:$B,'01. TH'!$B44,'TỔNG KLH + TN'!$C:$C,'01. TH'!AD$4)</f>
        <v>0</v>
      </c>
      <c r="AE44" s="162">
        <f t="shared" si="11"/>
        <v>1</v>
      </c>
      <c r="AF44" s="162"/>
      <c r="AG44" s="70" t="str">
        <f t="shared" si="3"/>
        <v>ok</v>
      </c>
      <c r="AH44" s="163"/>
    </row>
    <row r="45" ht="18.75" hidden="1" customHeight="1" outlineLevel="1">
      <c r="A45" s="121"/>
      <c r="B45" s="205" t="s">
        <v>1695</v>
      </c>
      <c r="C45" s="123" t="s">
        <v>1672</v>
      </c>
      <c r="D45" s="124" t="str">
        <f>IFERROR(VLOOKUP(B45,'Danh mục'!$G:$U,15,0),"")</f>
        <v>8020 x 2845 x 3375</v>
      </c>
      <c r="E45" s="124" t="s">
        <v>108</v>
      </c>
      <c r="F45" s="126">
        <f>COUNTIFS('TỔNG KLH + TN'!$B:$B,'01. TH'!$B45,'TỔNG KLH + TN'!$C:$C,'01. TH'!F$4)</f>
        <v>0</v>
      </c>
      <c r="G45" s="126">
        <f>COUNTIFS('TỔNG KLH + TN'!$B:$B,'01. TH'!$B45,'TỔNG KLH + TN'!$C:$C,'01. TH'!G$4)</f>
        <v>0</v>
      </c>
      <c r="H45" s="126">
        <f>COUNTIFS('TỔNG KLH + TN'!$B:$B,'01. TH'!$B45,'TỔNG KLH + TN'!$C:$C,'01. TH'!H$4)</f>
        <v>0</v>
      </c>
      <c r="I45" s="126">
        <f>COUNTIFS('TỔNG KLH + TN'!$B:$B,'01. TH'!$B45,'TỔNG KLH + TN'!$C:$C,'01. TH'!I$4)</f>
        <v>0</v>
      </c>
      <c r="J45" s="126">
        <f>COUNTIFS('TỔNG KLH + TN'!$B:$B,'01. TH'!$B45,'TỔNG KLH + TN'!$C:$C,'01. TH'!J$4)</f>
        <v>0</v>
      </c>
      <c r="K45" s="126">
        <f>COUNTIFS('TỔNG KLH + TN'!$B:$B,'01. TH'!$B45,'TỔNG KLH + TN'!$C:$C,'01. TH'!K$4)</f>
        <v>0</v>
      </c>
      <c r="L45" s="126">
        <f>COUNTIFS('TỔNG KLH + TN'!$B:$B,'01. TH'!$B45,'TỔNG KLH + TN'!$C:$C,'01. TH'!L$4)</f>
        <v>0</v>
      </c>
      <c r="M45" s="126">
        <f>COUNTIFS('TỔNG KLH + TN'!$B:$B,'01. TH'!$B45,'TỔNG KLH + TN'!$C:$C,'01. TH'!M$4)</f>
        <v>0</v>
      </c>
      <c r="N45" s="126">
        <f>COUNTIFS('TỔNG KLH + TN'!$B:$B,'01. TH'!$B45,'TỔNG KLH + TN'!$C:$C,'01. TH'!N$4)</f>
        <v>0</v>
      </c>
      <c r="O45" s="126">
        <f>COUNTIFS('TỔNG KLH + TN'!$B:$B,'01. TH'!$B45,'TỔNG KLH + TN'!$C:$C,'01. TH'!O$4)</f>
        <v>0</v>
      </c>
      <c r="P45" s="126">
        <f>COUNTIFS('TỔNG KLH + TN'!$B:$B,'01. TH'!$B45,'TỔNG KLH + TN'!$C:$C,'01. TH'!P$4)</f>
        <v>0</v>
      </c>
      <c r="Q45" s="126">
        <f>COUNTIFS('TỔNG KLH + TN'!$B:$B,'01. TH'!$B45,'TỔNG KLH + TN'!$C:$C,'01. TH'!Q$4)</f>
        <v>0</v>
      </c>
      <c r="R45" s="126">
        <f>COUNTIFS('TỔNG KLH + TN'!$B:$B,'01. TH'!$B45,'TỔNG KLH + TN'!$C:$C,'01. TH'!R$4)</f>
        <v>0</v>
      </c>
      <c r="S45" s="126">
        <f>COUNTIFS('TỔNG KLH + TN'!$B:$B,'01. TH'!$B45,'TỔNG KLH + TN'!$C:$C,'01. TH'!S$4)</f>
        <v>0</v>
      </c>
      <c r="T45" s="126">
        <f>COUNTIFS('TỔNG KLH + TN'!$B:$B,'01. TH'!$B45,'TỔNG KLH + TN'!$C:$C,'01. TH'!T$4)</f>
        <v>0</v>
      </c>
      <c r="U45" s="126">
        <f>COUNTIFS('TỔNG KLH + TN'!$B:$B,'01. TH'!$B45,'TỔNG KLH + TN'!$C:$C,'01. TH'!U$4)</f>
        <v>1</v>
      </c>
      <c r="V45" s="126">
        <f>COUNTIFS('TỔNG KLH + TN'!$B:$B,'01. TH'!$B45,'TỔNG KLH + TN'!$C:$C,'01. TH'!V$4)</f>
        <v>0</v>
      </c>
      <c r="W45" s="126">
        <f>COUNTIFS('TỔNG KLH + TN'!$B:$B,'01. TH'!$B45,'TỔNG KLH + TN'!$C:$C,'01. TH'!W$4)</f>
        <v>0</v>
      </c>
      <c r="X45" s="126">
        <f>COUNTIFS('TỔNG KLH + TN'!$B:$B,'01. TH'!$B45,'TỔNG KLH + TN'!$C:$C,'01. TH'!X$4)</f>
        <v>0</v>
      </c>
      <c r="Y45" s="126">
        <f>COUNTIFS('TỔNG KLH + TN'!$B:$B,'01. TH'!$B45,'TỔNG KLH + TN'!$C:$C,'01. TH'!Y$4)</f>
        <v>0</v>
      </c>
      <c r="Z45" s="126">
        <f>COUNTIFS('TỔNG KLH + TN'!$B:$B,'01. TH'!$B45,'TỔNG KLH + TN'!$C:$C,'01. TH'!Z$4)</f>
        <v>0</v>
      </c>
      <c r="AA45" s="126">
        <f>COUNTIFS('TỔNG KLH + TN'!$B:$B,'01. TH'!$B45,'TỔNG KLH + TN'!$C:$C,'01. TH'!AA$4)</f>
        <v>0</v>
      </c>
      <c r="AB45" s="126">
        <f>COUNTIFS('TỔNG KLH + TN'!$B:$B,'01. TH'!$B45,'TỔNG KLH + TN'!$C:$C,'01. TH'!AB$4)</f>
        <v>0</v>
      </c>
      <c r="AC45" s="126">
        <f>COUNTIFS('TỔNG KLH + TN'!$B:$B,'01. TH'!$B45,'TỔNG KLH + TN'!$C:$C,'01. TH'!AC$4)</f>
        <v>0</v>
      </c>
      <c r="AD45" s="126">
        <f>COUNTIFS('TỔNG KLH + TN'!$B:$B,'01. TH'!$B45,'TỔNG KLH + TN'!$C:$C,'01. TH'!AD$4)</f>
        <v>0</v>
      </c>
      <c r="AE45" s="136">
        <f t="shared" si="11"/>
        <v>1</v>
      </c>
      <c r="AF45" s="136"/>
      <c r="AG45" s="70" t="str">
        <f t="shared" si="3"/>
        <v>ok</v>
      </c>
      <c r="AH45" s="124"/>
    </row>
    <row r="46" ht="18.75" hidden="1" customHeight="1" outlineLevel="1">
      <c r="A46" s="210"/>
      <c r="B46" s="205" t="s">
        <v>1727</v>
      </c>
      <c r="C46" s="123" t="s">
        <v>1728</v>
      </c>
      <c r="D46" s="124" t="str">
        <f>IFERROR(VLOOKUP(B46,'Danh mục'!$G:$U,15,0),"")</f>
        <v>8259 x 2935 x 3384</v>
      </c>
      <c r="E46" s="124" t="s">
        <v>108</v>
      </c>
      <c r="F46" s="126">
        <f>COUNTIFS('TỔNG KLH + TN'!$B:$B,'01. TH'!$B46,'TỔNG KLH + TN'!$C:$C,'01. TH'!F$4)</f>
        <v>0</v>
      </c>
      <c r="G46" s="126">
        <f>COUNTIFS('TỔNG KLH + TN'!$B:$B,'01. TH'!$B46,'TỔNG KLH + TN'!$C:$C,'01. TH'!G$4)</f>
        <v>0</v>
      </c>
      <c r="H46" s="126">
        <f>COUNTIFS('TỔNG KLH + TN'!$B:$B,'01. TH'!$B46,'TỔNG KLH + TN'!$C:$C,'01. TH'!H$4)</f>
        <v>0</v>
      </c>
      <c r="I46" s="126">
        <f>COUNTIFS('TỔNG KLH + TN'!$B:$B,'01. TH'!$B46,'TỔNG KLH + TN'!$C:$C,'01. TH'!I$4)</f>
        <v>0</v>
      </c>
      <c r="J46" s="126">
        <f>COUNTIFS('TỔNG KLH + TN'!$B:$B,'01. TH'!$B46,'TỔNG KLH + TN'!$C:$C,'01. TH'!J$4)</f>
        <v>0</v>
      </c>
      <c r="K46" s="126">
        <f>COUNTIFS('TỔNG KLH + TN'!$B:$B,'01. TH'!$B46,'TỔNG KLH + TN'!$C:$C,'01. TH'!K$4)</f>
        <v>0</v>
      </c>
      <c r="L46" s="126">
        <f>COUNTIFS('TỔNG KLH + TN'!$B:$B,'01. TH'!$B46,'TỔNG KLH + TN'!$C:$C,'01. TH'!L$4)</f>
        <v>0</v>
      </c>
      <c r="M46" s="126">
        <f>COUNTIFS('TỔNG KLH + TN'!$B:$B,'01. TH'!$B46,'TỔNG KLH + TN'!$C:$C,'01. TH'!M$4)</f>
        <v>0</v>
      </c>
      <c r="N46" s="126">
        <f>COUNTIFS('TỔNG KLH + TN'!$B:$B,'01. TH'!$B46,'TỔNG KLH + TN'!$C:$C,'01. TH'!N$4)</f>
        <v>0</v>
      </c>
      <c r="O46" s="126">
        <f>COUNTIFS('TỔNG KLH + TN'!$B:$B,'01. TH'!$B46,'TỔNG KLH + TN'!$C:$C,'01. TH'!O$4)</f>
        <v>0</v>
      </c>
      <c r="P46" s="126">
        <f>COUNTIFS('TỔNG KLH + TN'!$B:$B,'01. TH'!$B46,'TỔNG KLH + TN'!$C:$C,'01. TH'!P$4)</f>
        <v>0</v>
      </c>
      <c r="Q46" s="126">
        <f>COUNTIFS('TỔNG KLH + TN'!$B:$B,'01. TH'!$B46,'TỔNG KLH + TN'!$C:$C,'01. TH'!Q$4)</f>
        <v>0</v>
      </c>
      <c r="R46" s="126">
        <f>COUNTIFS('TỔNG KLH + TN'!$B:$B,'01. TH'!$B46,'TỔNG KLH + TN'!$C:$C,'01. TH'!R$4)</f>
        <v>0</v>
      </c>
      <c r="S46" s="126">
        <f>COUNTIFS('TỔNG KLH + TN'!$B:$B,'01. TH'!$B46,'TỔNG KLH + TN'!$C:$C,'01. TH'!S$4)</f>
        <v>0</v>
      </c>
      <c r="T46" s="126">
        <f>COUNTIFS('TỔNG KLH + TN'!$B:$B,'01. TH'!$B46,'TỔNG KLH + TN'!$C:$C,'01. TH'!T$4)</f>
        <v>0</v>
      </c>
      <c r="U46" s="126">
        <f>COUNTIFS('TỔNG KLH + TN'!$B:$B,'01. TH'!$B46,'TỔNG KLH + TN'!$C:$C,'01. TH'!U$4)</f>
        <v>1</v>
      </c>
      <c r="V46" s="126">
        <f>COUNTIFS('TỔNG KLH + TN'!$B:$B,'01. TH'!$B46,'TỔNG KLH + TN'!$C:$C,'01. TH'!V$4)</f>
        <v>0</v>
      </c>
      <c r="W46" s="126">
        <f>COUNTIFS('TỔNG KLH + TN'!$B:$B,'01. TH'!$B46,'TỔNG KLH + TN'!$C:$C,'01. TH'!W$4)</f>
        <v>0</v>
      </c>
      <c r="X46" s="126">
        <f>COUNTIFS('TỔNG KLH + TN'!$B:$B,'01. TH'!$B46,'TỔNG KLH + TN'!$C:$C,'01. TH'!X$4)</f>
        <v>0</v>
      </c>
      <c r="Y46" s="126">
        <f>COUNTIFS('TỔNG KLH + TN'!$B:$B,'01. TH'!$B46,'TỔNG KLH + TN'!$C:$C,'01. TH'!Y$4)</f>
        <v>0</v>
      </c>
      <c r="Z46" s="126">
        <f>COUNTIFS('TỔNG KLH + TN'!$B:$B,'01. TH'!$B46,'TỔNG KLH + TN'!$C:$C,'01. TH'!Z$4)</f>
        <v>0</v>
      </c>
      <c r="AA46" s="126">
        <f>COUNTIFS('TỔNG KLH + TN'!$B:$B,'01. TH'!$B46,'TỔNG KLH + TN'!$C:$C,'01. TH'!AA$4)</f>
        <v>0</v>
      </c>
      <c r="AB46" s="126">
        <f>COUNTIFS('TỔNG KLH + TN'!$B:$B,'01. TH'!$B46,'TỔNG KLH + TN'!$C:$C,'01. TH'!AB$4)</f>
        <v>0</v>
      </c>
      <c r="AC46" s="126">
        <f>COUNTIFS('TỔNG KLH + TN'!$B:$B,'01. TH'!$B46,'TỔNG KLH + TN'!$C:$C,'01. TH'!AC$4)</f>
        <v>0</v>
      </c>
      <c r="AD46" s="126">
        <f>COUNTIFS('TỔNG KLH + TN'!$B:$B,'01. TH'!$B46,'TỔNG KLH + TN'!$C:$C,'01. TH'!AD$4)</f>
        <v>0</v>
      </c>
      <c r="AE46" s="162">
        <f t="shared" si="11"/>
        <v>1</v>
      </c>
      <c r="AF46" s="162"/>
      <c r="AG46" s="70" t="str">
        <f t="shared" si="3"/>
        <v>ok</v>
      </c>
      <c r="AH46" s="240"/>
    </row>
    <row r="47" ht="18.75" hidden="1" customHeight="1" outlineLevel="1">
      <c r="A47" s="210"/>
      <c r="B47" s="205" t="s">
        <v>1783</v>
      </c>
      <c r="C47" s="123" t="s">
        <v>271</v>
      </c>
      <c r="D47" s="124" t="str">
        <f>IFERROR(VLOOKUP(B47,'Danh mục'!$G:$U,15,0),"")</f>
        <v/>
      </c>
      <c r="E47" s="124" t="s">
        <v>108</v>
      </c>
      <c r="F47" s="126">
        <f>COUNTIFS('TỔNG KLH + TN'!$B:$B,'01. TH'!$B47,'TỔNG KLH + TN'!$C:$C,'01. TH'!F$4)</f>
        <v>0</v>
      </c>
      <c r="G47" s="126">
        <f>COUNTIFS('TỔNG KLH + TN'!$B:$B,'01. TH'!$B47,'TỔNG KLH + TN'!$C:$C,'01. TH'!G$4)</f>
        <v>0</v>
      </c>
      <c r="H47" s="126">
        <f>COUNTIFS('TỔNG KLH + TN'!$B:$B,'01. TH'!$B47,'TỔNG KLH + TN'!$C:$C,'01. TH'!H$4)</f>
        <v>0</v>
      </c>
      <c r="I47" s="126">
        <f>COUNTIFS('TỔNG KLH + TN'!$B:$B,'01. TH'!$B47,'TỔNG KLH + TN'!$C:$C,'01. TH'!I$4)</f>
        <v>0</v>
      </c>
      <c r="J47" s="126">
        <f>COUNTIFS('TỔNG KLH + TN'!$B:$B,'01. TH'!$B47,'TỔNG KLH + TN'!$C:$C,'01. TH'!J$4)</f>
        <v>0</v>
      </c>
      <c r="K47" s="126">
        <f>COUNTIFS('TỔNG KLH + TN'!$B:$B,'01. TH'!$B47,'TỔNG KLH + TN'!$C:$C,'01. TH'!K$4)</f>
        <v>0</v>
      </c>
      <c r="L47" s="126">
        <f>COUNTIFS('TỔNG KLH + TN'!$B:$B,'01. TH'!$B47,'TỔNG KLH + TN'!$C:$C,'01. TH'!L$4)</f>
        <v>0</v>
      </c>
      <c r="M47" s="126">
        <f>COUNTIFS('TỔNG KLH + TN'!$B:$B,'01. TH'!$B47,'TỔNG KLH + TN'!$C:$C,'01. TH'!M$4)</f>
        <v>0</v>
      </c>
      <c r="N47" s="126">
        <f>COUNTIFS('TỔNG KLH + TN'!$B:$B,'01. TH'!$B47,'TỔNG KLH + TN'!$C:$C,'01. TH'!N$4)</f>
        <v>0</v>
      </c>
      <c r="O47" s="126">
        <f>COUNTIFS('TỔNG KLH + TN'!$B:$B,'01. TH'!$B47,'TỔNG KLH + TN'!$C:$C,'01. TH'!O$4)</f>
        <v>0</v>
      </c>
      <c r="P47" s="126">
        <f>COUNTIFS('TỔNG KLH + TN'!$B:$B,'01. TH'!$B47,'TỔNG KLH + TN'!$C:$C,'01. TH'!P$4)</f>
        <v>0</v>
      </c>
      <c r="Q47" s="126">
        <f>COUNTIFS('TỔNG KLH + TN'!$B:$B,'01. TH'!$B47,'TỔNG KLH + TN'!$C:$C,'01. TH'!Q$4)</f>
        <v>0</v>
      </c>
      <c r="R47" s="126">
        <f>COUNTIFS('TỔNG KLH + TN'!$B:$B,'01. TH'!$B47,'TỔNG KLH + TN'!$C:$C,'01. TH'!R$4)</f>
        <v>0</v>
      </c>
      <c r="S47" s="126">
        <f>COUNTIFS('TỔNG KLH + TN'!$B:$B,'01. TH'!$B47,'TỔNG KLH + TN'!$C:$C,'01. TH'!S$4)</f>
        <v>0</v>
      </c>
      <c r="T47" s="126">
        <f>COUNTIFS('TỔNG KLH + TN'!$B:$B,'01. TH'!$B47,'TỔNG KLH + TN'!$C:$C,'01. TH'!T$4)</f>
        <v>0</v>
      </c>
      <c r="U47" s="126">
        <f>COUNTIFS('TỔNG KLH + TN'!$B:$B,'01. TH'!$B47,'TỔNG KLH + TN'!$C:$C,'01. TH'!U$4)</f>
        <v>1</v>
      </c>
      <c r="V47" s="126">
        <f>COUNTIFS('TỔNG KLH + TN'!$B:$B,'01. TH'!$B47,'TỔNG KLH + TN'!$C:$C,'01. TH'!V$4)</f>
        <v>0</v>
      </c>
      <c r="W47" s="126">
        <f>COUNTIFS('TỔNG KLH + TN'!$B:$B,'01. TH'!$B47,'TỔNG KLH + TN'!$C:$C,'01. TH'!W$4)</f>
        <v>0</v>
      </c>
      <c r="X47" s="126">
        <f>COUNTIFS('TỔNG KLH + TN'!$B:$B,'01. TH'!$B47,'TỔNG KLH + TN'!$C:$C,'01. TH'!X$4)</f>
        <v>0</v>
      </c>
      <c r="Y47" s="126">
        <f>COUNTIFS('TỔNG KLH + TN'!$B:$B,'01. TH'!$B47,'TỔNG KLH + TN'!$C:$C,'01. TH'!Y$4)</f>
        <v>0</v>
      </c>
      <c r="Z47" s="126">
        <f>COUNTIFS('TỔNG KLH + TN'!$B:$B,'01. TH'!$B47,'TỔNG KLH + TN'!$C:$C,'01. TH'!Z$4)</f>
        <v>0</v>
      </c>
      <c r="AA47" s="126">
        <f>COUNTIFS('TỔNG KLH + TN'!$B:$B,'01. TH'!$B47,'TỔNG KLH + TN'!$C:$C,'01. TH'!AA$4)</f>
        <v>0</v>
      </c>
      <c r="AB47" s="126">
        <f>COUNTIFS('TỔNG KLH + TN'!$B:$B,'01. TH'!$B47,'TỔNG KLH + TN'!$C:$C,'01. TH'!AB$4)</f>
        <v>0</v>
      </c>
      <c r="AC47" s="126">
        <f>COUNTIFS('TỔNG KLH + TN'!$B:$B,'01. TH'!$B47,'TỔNG KLH + TN'!$C:$C,'01. TH'!AC$4)</f>
        <v>0</v>
      </c>
      <c r="AD47" s="126">
        <f>COUNTIFS('TỔNG KLH + TN'!$B:$B,'01. TH'!$B47,'TỔNG KLH + TN'!$C:$C,'01. TH'!AD$4)</f>
        <v>0</v>
      </c>
      <c r="AE47" s="162">
        <f t="shared" si="11"/>
        <v>1</v>
      </c>
      <c r="AF47" s="162"/>
      <c r="AG47" s="70" t="str">
        <f t="shared" si="3"/>
        <v>ok</v>
      </c>
      <c r="AH47" s="240"/>
    </row>
    <row r="48" ht="24.0" customHeight="1" collapsed="1">
      <c r="A48" s="70">
        <v>6.0</v>
      </c>
      <c r="B48" s="73" t="s">
        <v>1845</v>
      </c>
      <c r="C48" s="78"/>
      <c r="D48" s="78" t="str">
        <f>IFERROR(VLOOKUP(B48,'Danh mục'!$G:$U,15,0),"")</f>
        <v/>
      </c>
      <c r="E48" s="78"/>
      <c r="F48" s="172">
        <f t="shared" ref="F48:AE48" si="12">SUM(F49:F56)</f>
        <v>17</v>
      </c>
      <c r="G48" s="172">
        <f t="shared" si="12"/>
        <v>0</v>
      </c>
      <c r="H48" s="172">
        <f t="shared" si="12"/>
        <v>4</v>
      </c>
      <c r="I48" s="172">
        <f t="shared" si="12"/>
        <v>3</v>
      </c>
      <c r="J48" s="172">
        <f t="shared" si="12"/>
        <v>5</v>
      </c>
      <c r="K48" s="172">
        <f t="shared" si="12"/>
        <v>0</v>
      </c>
      <c r="L48" s="172">
        <f t="shared" si="12"/>
        <v>0</v>
      </c>
      <c r="M48" s="172">
        <f t="shared" si="12"/>
        <v>0</v>
      </c>
      <c r="N48" s="172">
        <f t="shared" si="12"/>
        <v>0</v>
      </c>
      <c r="O48" s="172">
        <f t="shared" si="12"/>
        <v>10</v>
      </c>
      <c r="P48" s="172">
        <f t="shared" si="12"/>
        <v>0</v>
      </c>
      <c r="Q48" s="172">
        <f t="shared" si="12"/>
        <v>3</v>
      </c>
      <c r="R48" s="172">
        <f t="shared" si="12"/>
        <v>4</v>
      </c>
      <c r="S48" s="172">
        <f t="shared" si="12"/>
        <v>7</v>
      </c>
      <c r="T48" s="172">
        <f t="shared" si="12"/>
        <v>0</v>
      </c>
      <c r="U48" s="172">
        <f t="shared" si="12"/>
        <v>0</v>
      </c>
      <c r="V48" s="172">
        <f t="shared" si="12"/>
        <v>0</v>
      </c>
      <c r="W48" s="172">
        <f t="shared" si="12"/>
        <v>0</v>
      </c>
      <c r="X48" s="172">
        <f t="shared" si="12"/>
        <v>0</v>
      </c>
      <c r="Y48" s="172">
        <f t="shared" si="12"/>
        <v>0</v>
      </c>
      <c r="Z48" s="172">
        <f t="shared" si="12"/>
        <v>0</v>
      </c>
      <c r="AA48" s="172">
        <f t="shared" si="12"/>
        <v>0</v>
      </c>
      <c r="AB48" s="172">
        <f t="shared" si="12"/>
        <v>0</v>
      </c>
      <c r="AC48" s="172">
        <f t="shared" si="12"/>
        <v>0</v>
      </c>
      <c r="AD48" s="172">
        <f t="shared" si="12"/>
        <v>0</v>
      </c>
      <c r="AE48" s="173">
        <f t="shared" si="12"/>
        <v>53</v>
      </c>
      <c r="AF48" s="174">
        <v>3.0</v>
      </c>
      <c r="AG48" s="70" t="str">
        <f t="shared" si="3"/>
        <v>ok</v>
      </c>
      <c r="AH48" s="120"/>
    </row>
    <row r="49" ht="18.75" hidden="1" customHeight="1" outlineLevel="1">
      <c r="A49" s="121"/>
      <c r="B49" s="122" t="s">
        <v>146</v>
      </c>
      <c r="C49" s="123" t="s">
        <v>150</v>
      </c>
      <c r="D49" s="124" t="str">
        <f>IFERROR(VLOOKUP(B49,'Danh mục'!$G:$U,15,0),"")</f>
        <v>9290 x 2500 x 3370</v>
      </c>
      <c r="E49" s="124" t="s">
        <v>108</v>
      </c>
      <c r="F49" s="126">
        <f>COUNTIFS('TỔNG KLH + TN'!$B:$B,'01. TH'!$B49,'TỔNG KLH + TN'!$C:$C,'01. TH'!F$4)</f>
        <v>1</v>
      </c>
      <c r="G49" s="126">
        <f>COUNTIFS('TỔNG KLH + TN'!$B:$B,'01. TH'!$B49,'TỔNG KLH + TN'!$C:$C,'01. TH'!G$4)</f>
        <v>0</v>
      </c>
      <c r="H49" s="126">
        <f>COUNTIFS('TỔNG KLH + TN'!$B:$B,'01. TH'!$B49,'TỔNG KLH + TN'!$C:$C,'01. TH'!H$4)</f>
        <v>0</v>
      </c>
      <c r="I49" s="126">
        <f>COUNTIFS('TỔNG KLH + TN'!$B:$B,'01. TH'!$B49,'TỔNG KLH + TN'!$C:$C,'01. TH'!I$4)</f>
        <v>0</v>
      </c>
      <c r="J49" s="126">
        <f>COUNTIFS('TỔNG KLH + TN'!$B:$B,'01. TH'!$B49,'TỔNG KLH + TN'!$C:$C,'01. TH'!J$4)</f>
        <v>0</v>
      </c>
      <c r="K49" s="126">
        <f>COUNTIFS('TỔNG KLH + TN'!$B:$B,'01. TH'!$B49,'TỔNG KLH + TN'!$C:$C,'01. TH'!K$4)</f>
        <v>0</v>
      </c>
      <c r="L49" s="126">
        <f>COUNTIFS('TỔNG KLH + TN'!$B:$B,'01. TH'!$B49,'TỔNG KLH + TN'!$C:$C,'01. TH'!L$4)</f>
        <v>0</v>
      </c>
      <c r="M49" s="126">
        <f>COUNTIFS('TỔNG KLH + TN'!$B:$B,'01. TH'!$B49,'TỔNG KLH + TN'!$C:$C,'01. TH'!M$4)</f>
        <v>0</v>
      </c>
      <c r="N49" s="126">
        <f>COUNTIFS('TỔNG KLH + TN'!$B:$B,'01. TH'!$B49,'TỔNG KLH + TN'!$C:$C,'01. TH'!N$4)</f>
        <v>0</v>
      </c>
      <c r="O49" s="126">
        <f>COUNTIFS('TỔNG KLH + TN'!$B:$B,'01. TH'!$B49,'TỔNG KLH + TN'!$C:$C,'01. TH'!O$4)</f>
        <v>1</v>
      </c>
      <c r="P49" s="126">
        <f>COUNTIFS('TỔNG KLH + TN'!$B:$B,'01. TH'!$B49,'TỔNG KLH + TN'!$C:$C,'01. TH'!P$4)</f>
        <v>0</v>
      </c>
      <c r="Q49" s="126">
        <f>COUNTIFS('TỔNG KLH + TN'!$B:$B,'01. TH'!$B49,'TỔNG KLH + TN'!$C:$C,'01. TH'!Q$4)</f>
        <v>0</v>
      </c>
      <c r="R49" s="126">
        <f>COUNTIFS('TỔNG KLH + TN'!$B:$B,'01. TH'!$B49,'TỔNG KLH + TN'!$C:$C,'01. TH'!R$4)</f>
        <v>0</v>
      </c>
      <c r="S49" s="126">
        <f>COUNTIFS('TỔNG KLH + TN'!$B:$B,'01. TH'!$B49,'TỔNG KLH + TN'!$C:$C,'01. TH'!S$4)</f>
        <v>2</v>
      </c>
      <c r="T49" s="126">
        <f>COUNTIFS('TỔNG KLH + TN'!$B:$B,'01. TH'!$B49,'TỔNG KLH + TN'!$C:$C,'01. TH'!T$4)</f>
        <v>0</v>
      </c>
      <c r="U49" s="126">
        <f>COUNTIFS('TỔNG KLH + TN'!$B:$B,'01. TH'!$B49,'TỔNG KLH + TN'!$C:$C,'01. TH'!U$4)</f>
        <v>0</v>
      </c>
      <c r="V49" s="126">
        <f>COUNTIFS('TỔNG KLH + TN'!$B:$B,'01. TH'!$B49,'TỔNG KLH + TN'!$C:$C,'01. TH'!V$4)</f>
        <v>0</v>
      </c>
      <c r="W49" s="126">
        <f>COUNTIFS('TỔNG KLH + TN'!$B:$B,'01. TH'!$B49,'TỔNG KLH + TN'!$C:$C,'01. TH'!W$4)</f>
        <v>0</v>
      </c>
      <c r="X49" s="126">
        <f>COUNTIFS('TỔNG KLH + TN'!$B:$B,'01. TH'!$B49,'TỔNG KLH + TN'!$C:$C,'01. TH'!X$4)</f>
        <v>0</v>
      </c>
      <c r="Y49" s="126">
        <f>COUNTIFS('TỔNG KLH + TN'!$B:$B,'01. TH'!$B49,'TỔNG KLH + TN'!$C:$C,'01. TH'!Y$4)</f>
        <v>0</v>
      </c>
      <c r="Z49" s="126">
        <f>COUNTIFS('TỔNG KLH + TN'!$B:$B,'01. TH'!$B49,'TỔNG KLH + TN'!$C:$C,'01. TH'!Z$4)</f>
        <v>0</v>
      </c>
      <c r="AA49" s="126">
        <f>COUNTIFS('TỔNG KLH + TN'!$B:$B,'01. TH'!$B49,'TỔNG KLH + TN'!$C:$C,'01. TH'!AA$4)</f>
        <v>0</v>
      </c>
      <c r="AB49" s="126">
        <f>COUNTIFS('TỔNG KLH + TN'!$B:$B,'01. TH'!$B49,'TỔNG KLH + TN'!$C:$C,'01. TH'!AB$4)</f>
        <v>0</v>
      </c>
      <c r="AC49" s="126">
        <f>COUNTIFS('TỔNG KLH + TN'!$B:$B,'01. TH'!$B49,'TỔNG KLH + TN'!$C:$C,'01. TH'!AC$4)</f>
        <v>0</v>
      </c>
      <c r="AD49" s="126">
        <f>COUNTIFS('TỔNG KLH + TN'!$B:$B,'01. TH'!$B49,'TỔNG KLH + TN'!$C:$C,'01. TH'!AD$4)</f>
        <v>0</v>
      </c>
      <c r="AE49" s="136">
        <f t="shared" ref="AE49:AE56" si="13">SUM(F49:AD49)</f>
        <v>4</v>
      </c>
      <c r="AF49" s="136"/>
      <c r="AG49" s="70" t="str">
        <f t="shared" si="3"/>
        <v>ok</v>
      </c>
      <c r="AH49" s="124"/>
    </row>
    <row r="50" ht="18.75" hidden="1" customHeight="1" outlineLevel="1">
      <c r="A50" s="121"/>
      <c r="B50" s="122" t="s">
        <v>312</v>
      </c>
      <c r="C50" s="123" t="s">
        <v>278</v>
      </c>
      <c r="D50" s="124" t="str">
        <f>IFERROR(VLOOKUP(B50,'Danh mục'!$G:$U,15,0),"")</f>
        <v>6160 x 2330 x 2760</v>
      </c>
      <c r="E50" s="124" t="s">
        <v>108</v>
      </c>
      <c r="F50" s="126">
        <f>COUNTIFS('TỔNG KLH + TN'!$B:$B,'01. TH'!$B50,'TỔNG KLH + TN'!$C:$C,'01. TH'!F$4)</f>
        <v>4</v>
      </c>
      <c r="G50" s="126">
        <f>COUNTIFS('TỔNG KLH + TN'!$B:$B,'01. TH'!$B50,'TỔNG KLH + TN'!$C:$C,'01. TH'!G$4)</f>
        <v>0</v>
      </c>
      <c r="H50" s="126">
        <f>COUNTIFS('TỔNG KLH + TN'!$B:$B,'01. TH'!$B50,'TỔNG KLH + TN'!$C:$C,'01. TH'!H$4)</f>
        <v>0</v>
      </c>
      <c r="I50" s="126">
        <f>COUNTIFS('TỔNG KLH + TN'!$B:$B,'01. TH'!$B50,'TỔNG KLH + TN'!$C:$C,'01. TH'!I$4)</f>
        <v>0</v>
      </c>
      <c r="J50" s="126">
        <f>COUNTIFS('TỔNG KLH + TN'!$B:$B,'01. TH'!$B50,'TỔNG KLH + TN'!$C:$C,'01. TH'!J$4)</f>
        <v>0</v>
      </c>
      <c r="K50" s="126">
        <f>COUNTIFS('TỔNG KLH + TN'!$B:$B,'01. TH'!$B50,'TỔNG KLH + TN'!$C:$C,'01. TH'!K$4)</f>
        <v>0</v>
      </c>
      <c r="L50" s="126">
        <f>COUNTIFS('TỔNG KLH + TN'!$B:$B,'01. TH'!$B50,'TỔNG KLH + TN'!$C:$C,'01. TH'!L$4)</f>
        <v>0</v>
      </c>
      <c r="M50" s="126">
        <f>COUNTIFS('TỔNG KLH + TN'!$B:$B,'01. TH'!$B50,'TỔNG KLH + TN'!$C:$C,'01. TH'!M$4)</f>
        <v>0</v>
      </c>
      <c r="N50" s="126">
        <f>COUNTIFS('TỔNG KLH + TN'!$B:$B,'01. TH'!$B50,'TỔNG KLH + TN'!$C:$C,'01. TH'!N$4)</f>
        <v>0</v>
      </c>
      <c r="O50" s="126">
        <f>COUNTIFS('TỔNG KLH + TN'!$B:$B,'01. TH'!$B50,'TỔNG KLH + TN'!$C:$C,'01. TH'!O$4)</f>
        <v>3</v>
      </c>
      <c r="P50" s="126">
        <f>COUNTIFS('TỔNG KLH + TN'!$B:$B,'01. TH'!$B50,'TỔNG KLH + TN'!$C:$C,'01. TH'!P$4)</f>
        <v>0</v>
      </c>
      <c r="Q50" s="126">
        <f>COUNTIFS('TỔNG KLH + TN'!$B:$B,'01. TH'!$B50,'TỔNG KLH + TN'!$C:$C,'01. TH'!Q$4)</f>
        <v>0</v>
      </c>
      <c r="R50" s="126">
        <f>COUNTIFS('TỔNG KLH + TN'!$B:$B,'01. TH'!$B50,'TỔNG KLH + TN'!$C:$C,'01. TH'!R$4)</f>
        <v>0</v>
      </c>
      <c r="S50" s="126">
        <f>COUNTIFS('TỔNG KLH + TN'!$B:$B,'01. TH'!$B50,'TỔNG KLH + TN'!$C:$C,'01. TH'!S$4)</f>
        <v>0</v>
      </c>
      <c r="T50" s="126">
        <f>COUNTIFS('TỔNG KLH + TN'!$B:$B,'01. TH'!$B50,'TỔNG KLH + TN'!$C:$C,'01. TH'!T$4)</f>
        <v>0</v>
      </c>
      <c r="U50" s="126">
        <f>COUNTIFS('TỔNG KLH + TN'!$B:$B,'01. TH'!$B50,'TỔNG KLH + TN'!$C:$C,'01. TH'!U$4)</f>
        <v>0</v>
      </c>
      <c r="V50" s="126">
        <f>COUNTIFS('TỔNG KLH + TN'!$B:$B,'01. TH'!$B50,'TỔNG KLH + TN'!$C:$C,'01. TH'!V$4)</f>
        <v>0</v>
      </c>
      <c r="W50" s="126">
        <f>COUNTIFS('TỔNG KLH + TN'!$B:$B,'01. TH'!$B50,'TỔNG KLH + TN'!$C:$C,'01. TH'!W$4)</f>
        <v>0</v>
      </c>
      <c r="X50" s="126">
        <f>COUNTIFS('TỔNG KLH + TN'!$B:$B,'01. TH'!$B50,'TỔNG KLH + TN'!$C:$C,'01. TH'!X$4)</f>
        <v>0</v>
      </c>
      <c r="Y50" s="126">
        <f>COUNTIFS('TỔNG KLH + TN'!$B:$B,'01. TH'!$B50,'TỔNG KLH + TN'!$C:$C,'01. TH'!Y$4)</f>
        <v>0</v>
      </c>
      <c r="Z50" s="126">
        <f>COUNTIFS('TỔNG KLH + TN'!$B:$B,'01. TH'!$B50,'TỔNG KLH + TN'!$C:$C,'01. TH'!Z$4)</f>
        <v>0</v>
      </c>
      <c r="AA50" s="126">
        <f>COUNTIFS('TỔNG KLH + TN'!$B:$B,'01. TH'!$B50,'TỔNG KLH + TN'!$C:$C,'01. TH'!AA$4)</f>
        <v>0</v>
      </c>
      <c r="AB50" s="126">
        <f>COUNTIFS('TỔNG KLH + TN'!$B:$B,'01. TH'!$B50,'TỔNG KLH + TN'!$C:$C,'01. TH'!AB$4)</f>
        <v>0</v>
      </c>
      <c r="AC50" s="126">
        <f>COUNTIFS('TỔNG KLH + TN'!$B:$B,'01. TH'!$B50,'TỔNG KLH + TN'!$C:$C,'01. TH'!AC$4)</f>
        <v>0</v>
      </c>
      <c r="AD50" s="126">
        <f>COUNTIFS('TỔNG KLH + TN'!$B:$B,'01. TH'!$B50,'TỔNG KLH + TN'!$C:$C,'01. TH'!AD$4)</f>
        <v>0</v>
      </c>
      <c r="AE50" s="136">
        <f t="shared" si="13"/>
        <v>7</v>
      </c>
      <c r="AF50" s="136"/>
      <c r="AG50" s="70" t="str">
        <f t="shared" si="3"/>
        <v>ok</v>
      </c>
      <c r="AH50" s="121"/>
    </row>
    <row r="51" ht="18.75" hidden="1" customHeight="1" outlineLevel="1">
      <c r="A51" s="121"/>
      <c r="B51" s="122" t="s">
        <v>335</v>
      </c>
      <c r="C51" s="123" t="s">
        <v>271</v>
      </c>
      <c r="D51" s="124" t="str">
        <f>IFERROR(VLOOKUP(B51,'Danh mục'!$G:$U,15,0),"")</f>
        <v>5910 x 2310 x 2800</v>
      </c>
      <c r="E51" s="124" t="s">
        <v>108</v>
      </c>
      <c r="F51" s="126">
        <f>COUNTIFS('TỔNG KLH + TN'!$B:$B,'01. TH'!$B51,'TỔNG KLH + TN'!$C:$C,'01. TH'!F$4)</f>
        <v>4</v>
      </c>
      <c r="G51" s="126">
        <f>COUNTIFS('TỔNG KLH + TN'!$B:$B,'01. TH'!$B51,'TỔNG KLH + TN'!$C:$C,'01. TH'!G$4)</f>
        <v>0</v>
      </c>
      <c r="H51" s="126">
        <f>COUNTIFS('TỔNG KLH + TN'!$B:$B,'01. TH'!$B51,'TỔNG KLH + TN'!$C:$C,'01. TH'!H$4)</f>
        <v>0</v>
      </c>
      <c r="I51" s="126">
        <f>COUNTIFS('TỔNG KLH + TN'!$B:$B,'01. TH'!$B51,'TỔNG KLH + TN'!$C:$C,'01. TH'!I$4)</f>
        <v>0</v>
      </c>
      <c r="J51" s="126">
        <f>COUNTIFS('TỔNG KLH + TN'!$B:$B,'01. TH'!$B51,'TỔNG KLH + TN'!$C:$C,'01. TH'!J$4)</f>
        <v>0</v>
      </c>
      <c r="K51" s="126">
        <f>COUNTIFS('TỔNG KLH + TN'!$B:$B,'01. TH'!$B51,'TỔNG KLH + TN'!$C:$C,'01. TH'!K$4)</f>
        <v>0</v>
      </c>
      <c r="L51" s="126">
        <f>COUNTIFS('TỔNG KLH + TN'!$B:$B,'01. TH'!$B51,'TỔNG KLH + TN'!$C:$C,'01. TH'!L$4)</f>
        <v>0</v>
      </c>
      <c r="M51" s="126">
        <f>COUNTIFS('TỔNG KLH + TN'!$B:$B,'01. TH'!$B51,'TỔNG KLH + TN'!$C:$C,'01. TH'!M$4)</f>
        <v>0</v>
      </c>
      <c r="N51" s="126">
        <f>COUNTIFS('TỔNG KLH + TN'!$B:$B,'01. TH'!$B51,'TỔNG KLH + TN'!$C:$C,'01. TH'!N$4)</f>
        <v>0</v>
      </c>
      <c r="O51" s="126">
        <f>COUNTIFS('TỔNG KLH + TN'!$B:$B,'01. TH'!$B51,'TỔNG KLH + TN'!$C:$C,'01. TH'!O$4)</f>
        <v>0</v>
      </c>
      <c r="P51" s="126">
        <f>COUNTIFS('TỔNG KLH + TN'!$B:$B,'01. TH'!$B51,'TỔNG KLH + TN'!$C:$C,'01. TH'!P$4)</f>
        <v>0</v>
      </c>
      <c r="Q51" s="126">
        <f>COUNTIFS('TỔNG KLH + TN'!$B:$B,'01. TH'!$B51,'TỔNG KLH + TN'!$C:$C,'01. TH'!Q$4)</f>
        <v>0</v>
      </c>
      <c r="R51" s="126">
        <f>COUNTIFS('TỔNG KLH + TN'!$B:$B,'01. TH'!$B51,'TỔNG KLH + TN'!$C:$C,'01. TH'!R$4)</f>
        <v>0</v>
      </c>
      <c r="S51" s="126">
        <f>COUNTIFS('TỔNG KLH + TN'!$B:$B,'01. TH'!$B51,'TỔNG KLH + TN'!$C:$C,'01. TH'!S$4)</f>
        <v>1</v>
      </c>
      <c r="T51" s="126">
        <f>COUNTIFS('TỔNG KLH + TN'!$B:$B,'01. TH'!$B51,'TỔNG KLH + TN'!$C:$C,'01. TH'!T$4)</f>
        <v>0</v>
      </c>
      <c r="U51" s="126">
        <f>COUNTIFS('TỔNG KLH + TN'!$B:$B,'01. TH'!$B51,'TỔNG KLH + TN'!$C:$C,'01. TH'!U$4)</f>
        <v>0</v>
      </c>
      <c r="V51" s="126">
        <f>COUNTIFS('TỔNG KLH + TN'!$B:$B,'01. TH'!$B51,'TỔNG KLH + TN'!$C:$C,'01. TH'!V$4)</f>
        <v>0</v>
      </c>
      <c r="W51" s="126">
        <f>COUNTIFS('TỔNG KLH + TN'!$B:$B,'01. TH'!$B51,'TỔNG KLH + TN'!$C:$C,'01. TH'!W$4)</f>
        <v>0</v>
      </c>
      <c r="X51" s="126">
        <f>COUNTIFS('TỔNG KLH + TN'!$B:$B,'01. TH'!$B51,'TỔNG KLH + TN'!$C:$C,'01. TH'!X$4)</f>
        <v>0</v>
      </c>
      <c r="Y51" s="126">
        <f>COUNTIFS('TỔNG KLH + TN'!$B:$B,'01. TH'!$B51,'TỔNG KLH + TN'!$C:$C,'01. TH'!Y$4)</f>
        <v>0</v>
      </c>
      <c r="Z51" s="126">
        <f>COUNTIFS('TỔNG KLH + TN'!$B:$B,'01. TH'!$B51,'TỔNG KLH + TN'!$C:$C,'01. TH'!Z$4)</f>
        <v>0</v>
      </c>
      <c r="AA51" s="126">
        <f>COUNTIFS('TỔNG KLH + TN'!$B:$B,'01. TH'!$B51,'TỔNG KLH + TN'!$C:$C,'01. TH'!AA$4)</f>
        <v>0</v>
      </c>
      <c r="AB51" s="126">
        <f>COUNTIFS('TỔNG KLH + TN'!$B:$B,'01. TH'!$B51,'TỔNG KLH + TN'!$C:$C,'01. TH'!AB$4)</f>
        <v>0</v>
      </c>
      <c r="AC51" s="126">
        <f>COUNTIFS('TỔNG KLH + TN'!$B:$B,'01. TH'!$B51,'TỔNG KLH + TN'!$C:$C,'01. TH'!AC$4)</f>
        <v>0</v>
      </c>
      <c r="AD51" s="126">
        <f>COUNTIFS('TỔNG KLH + TN'!$B:$B,'01. TH'!$B51,'TỔNG KLH + TN'!$C:$C,'01. TH'!AD$4)</f>
        <v>0</v>
      </c>
      <c r="AE51" s="136">
        <f t="shared" si="13"/>
        <v>5</v>
      </c>
      <c r="AF51" s="136"/>
      <c r="AG51" s="70" t="str">
        <f t="shared" si="3"/>
        <v>ok</v>
      </c>
      <c r="AH51" s="124"/>
    </row>
    <row r="52" ht="18.75" hidden="1" customHeight="1" outlineLevel="1">
      <c r="A52" s="121"/>
      <c r="B52" s="122" t="s">
        <v>410</v>
      </c>
      <c r="C52" s="123" t="s">
        <v>413</v>
      </c>
      <c r="D52" s="124" t="str">
        <f>IFERROR(VLOOKUP(B52,'Danh mục'!$G:$U,15,0),"")</f>
        <v>6160 x 2330 x 2750</v>
      </c>
      <c r="E52" s="124" t="s">
        <v>108</v>
      </c>
      <c r="F52" s="126">
        <f>COUNTIFS('TỔNG KLH + TN'!$B:$B,'01. TH'!$B52,'TỔNG KLH + TN'!$C:$C,'01. TH'!F$4)</f>
        <v>0</v>
      </c>
      <c r="G52" s="126">
        <f>COUNTIFS('TỔNG KLH + TN'!$B:$B,'01. TH'!$B52,'TỔNG KLH + TN'!$C:$C,'01. TH'!G$4)</f>
        <v>0</v>
      </c>
      <c r="H52" s="126">
        <f>COUNTIFS('TỔNG KLH + TN'!$B:$B,'01. TH'!$B52,'TỔNG KLH + TN'!$C:$C,'01. TH'!H$4)</f>
        <v>0</v>
      </c>
      <c r="I52" s="126">
        <f>COUNTIFS('TỔNG KLH + TN'!$B:$B,'01. TH'!$B52,'TỔNG KLH + TN'!$C:$C,'01. TH'!I$4)</f>
        <v>0</v>
      </c>
      <c r="J52" s="126">
        <f>COUNTIFS('TỔNG KLH + TN'!$B:$B,'01. TH'!$B52,'TỔNG KLH + TN'!$C:$C,'01. TH'!J$4)</f>
        <v>0</v>
      </c>
      <c r="K52" s="126">
        <f>COUNTIFS('TỔNG KLH + TN'!$B:$B,'01. TH'!$B52,'TỔNG KLH + TN'!$C:$C,'01. TH'!K$4)</f>
        <v>0</v>
      </c>
      <c r="L52" s="126">
        <f>COUNTIFS('TỔNG KLH + TN'!$B:$B,'01. TH'!$B52,'TỔNG KLH + TN'!$C:$C,'01. TH'!L$4)</f>
        <v>0</v>
      </c>
      <c r="M52" s="126">
        <f>COUNTIFS('TỔNG KLH + TN'!$B:$B,'01. TH'!$B52,'TỔNG KLH + TN'!$C:$C,'01. TH'!M$4)</f>
        <v>0</v>
      </c>
      <c r="N52" s="126">
        <f>COUNTIFS('TỔNG KLH + TN'!$B:$B,'01. TH'!$B52,'TỔNG KLH + TN'!$C:$C,'01. TH'!N$4)</f>
        <v>0</v>
      </c>
      <c r="O52" s="126">
        <f>COUNTIFS('TỔNG KLH + TN'!$B:$B,'01. TH'!$B52,'TỔNG KLH + TN'!$C:$C,'01. TH'!O$4)</f>
        <v>1</v>
      </c>
      <c r="P52" s="126">
        <f>COUNTIFS('TỔNG KLH + TN'!$B:$B,'01. TH'!$B52,'TỔNG KLH + TN'!$C:$C,'01. TH'!P$4)</f>
        <v>0</v>
      </c>
      <c r="Q52" s="126">
        <f>COUNTIFS('TỔNG KLH + TN'!$B:$B,'01. TH'!$B52,'TỔNG KLH + TN'!$C:$C,'01. TH'!Q$4)</f>
        <v>0</v>
      </c>
      <c r="R52" s="126">
        <f>COUNTIFS('TỔNG KLH + TN'!$B:$B,'01. TH'!$B52,'TỔNG KLH + TN'!$C:$C,'01. TH'!R$4)</f>
        <v>0</v>
      </c>
      <c r="S52" s="126">
        <f>COUNTIFS('TỔNG KLH + TN'!$B:$B,'01. TH'!$B52,'TỔNG KLH + TN'!$C:$C,'01. TH'!S$4)</f>
        <v>1</v>
      </c>
      <c r="T52" s="126">
        <f>COUNTIFS('TỔNG KLH + TN'!$B:$B,'01. TH'!$B52,'TỔNG KLH + TN'!$C:$C,'01. TH'!T$4)</f>
        <v>0</v>
      </c>
      <c r="U52" s="126">
        <f>COUNTIFS('TỔNG KLH + TN'!$B:$B,'01. TH'!$B52,'TỔNG KLH + TN'!$C:$C,'01. TH'!U$4)</f>
        <v>0</v>
      </c>
      <c r="V52" s="126">
        <f>COUNTIFS('TỔNG KLH + TN'!$B:$B,'01. TH'!$B52,'TỔNG KLH + TN'!$C:$C,'01. TH'!V$4)</f>
        <v>0</v>
      </c>
      <c r="W52" s="126">
        <f>COUNTIFS('TỔNG KLH + TN'!$B:$B,'01. TH'!$B52,'TỔNG KLH + TN'!$C:$C,'01. TH'!W$4)</f>
        <v>0</v>
      </c>
      <c r="X52" s="126">
        <f>COUNTIFS('TỔNG KLH + TN'!$B:$B,'01. TH'!$B52,'TỔNG KLH + TN'!$C:$C,'01. TH'!X$4)</f>
        <v>0</v>
      </c>
      <c r="Y52" s="126">
        <f>COUNTIFS('TỔNG KLH + TN'!$B:$B,'01. TH'!$B52,'TỔNG KLH + TN'!$C:$C,'01. TH'!Y$4)</f>
        <v>0</v>
      </c>
      <c r="Z52" s="126">
        <f>COUNTIFS('TỔNG KLH + TN'!$B:$B,'01. TH'!$B52,'TỔNG KLH + TN'!$C:$C,'01. TH'!Z$4)</f>
        <v>0</v>
      </c>
      <c r="AA52" s="126">
        <f>COUNTIFS('TỔNG KLH + TN'!$B:$B,'01. TH'!$B52,'TỔNG KLH + TN'!$C:$C,'01. TH'!AA$4)</f>
        <v>0</v>
      </c>
      <c r="AB52" s="126">
        <f>COUNTIFS('TỔNG KLH + TN'!$B:$B,'01. TH'!$B52,'TỔNG KLH + TN'!$C:$C,'01. TH'!AB$4)</f>
        <v>0</v>
      </c>
      <c r="AC52" s="126">
        <f>COUNTIFS('TỔNG KLH + TN'!$B:$B,'01. TH'!$B52,'TỔNG KLH + TN'!$C:$C,'01. TH'!AC$4)</f>
        <v>0</v>
      </c>
      <c r="AD52" s="126">
        <f>COUNTIFS('TỔNG KLH + TN'!$B:$B,'01. TH'!$B52,'TỔNG KLH + TN'!$C:$C,'01. TH'!AD$4)</f>
        <v>0</v>
      </c>
      <c r="AE52" s="136">
        <f t="shared" si="13"/>
        <v>2</v>
      </c>
      <c r="AF52" s="136"/>
      <c r="AG52" s="70" t="str">
        <f t="shared" si="3"/>
        <v>ok</v>
      </c>
      <c r="AH52" s="124"/>
    </row>
    <row r="53" ht="18.75" hidden="1" customHeight="1" outlineLevel="1">
      <c r="A53" s="121"/>
      <c r="B53" s="122" t="s">
        <v>297</v>
      </c>
      <c r="C53" s="123" t="s">
        <v>278</v>
      </c>
      <c r="D53" s="124" t="str">
        <f>IFERROR(VLOOKUP(B53,'Danh mục'!$G:$U,15,0),"")</f>
        <v>6160 x 2330 x 2760</v>
      </c>
      <c r="E53" s="124" t="s">
        <v>108</v>
      </c>
      <c r="F53" s="126">
        <f>COUNTIFS('TỔNG KLH + TN'!$B:$B,'01. TH'!$B53,'TỔNG KLH + TN'!$C:$C,'01. TH'!F$4)</f>
        <v>2</v>
      </c>
      <c r="G53" s="126">
        <f>COUNTIFS('TỔNG KLH + TN'!$B:$B,'01. TH'!$B53,'TỔNG KLH + TN'!$C:$C,'01. TH'!G$4)</f>
        <v>0</v>
      </c>
      <c r="H53" s="126">
        <f>COUNTIFS('TỔNG KLH + TN'!$B:$B,'01. TH'!$B53,'TỔNG KLH + TN'!$C:$C,'01. TH'!H$4)</f>
        <v>0</v>
      </c>
      <c r="I53" s="126">
        <f>COUNTIFS('TỔNG KLH + TN'!$B:$B,'01. TH'!$B53,'TỔNG KLH + TN'!$C:$C,'01. TH'!I$4)</f>
        <v>0</v>
      </c>
      <c r="J53" s="126">
        <f>COUNTIFS('TỔNG KLH + TN'!$B:$B,'01. TH'!$B53,'TỔNG KLH + TN'!$C:$C,'01. TH'!J$4)</f>
        <v>0</v>
      </c>
      <c r="K53" s="126">
        <f>COUNTIFS('TỔNG KLH + TN'!$B:$B,'01. TH'!$B53,'TỔNG KLH + TN'!$C:$C,'01. TH'!K$4)</f>
        <v>0</v>
      </c>
      <c r="L53" s="126">
        <f>COUNTIFS('TỔNG KLH + TN'!$B:$B,'01. TH'!$B53,'TỔNG KLH + TN'!$C:$C,'01. TH'!L$4)</f>
        <v>0</v>
      </c>
      <c r="M53" s="126">
        <f>COUNTIFS('TỔNG KLH + TN'!$B:$B,'01. TH'!$B53,'TỔNG KLH + TN'!$C:$C,'01. TH'!M$4)</f>
        <v>0</v>
      </c>
      <c r="N53" s="126">
        <f>COUNTIFS('TỔNG KLH + TN'!$B:$B,'01. TH'!$B53,'TỔNG KLH + TN'!$C:$C,'01. TH'!N$4)</f>
        <v>0</v>
      </c>
      <c r="O53" s="126">
        <f>COUNTIFS('TỔNG KLH + TN'!$B:$B,'01. TH'!$B53,'TỔNG KLH + TN'!$C:$C,'01. TH'!O$4)</f>
        <v>2</v>
      </c>
      <c r="P53" s="126">
        <f>COUNTIFS('TỔNG KLH + TN'!$B:$B,'01. TH'!$B53,'TỔNG KLH + TN'!$C:$C,'01. TH'!P$4)</f>
        <v>0</v>
      </c>
      <c r="Q53" s="126">
        <f>COUNTIFS('TỔNG KLH + TN'!$B:$B,'01. TH'!$B53,'TỔNG KLH + TN'!$C:$C,'01. TH'!Q$4)</f>
        <v>0</v>
      </c>
      <c r="R53" s="126">
        <f>COUNTIFS('TỔNG KLH + TN'!$B:$B,'01. TH'!$B53,'TỔNG KLH + TN'!$C:$C,'01. TH'!R$4)</f>
        <v>0</v>
      </c>
      <c r="S53" s="126">
        <f>COUNTIFS('TỔNG KLH + TN'!$B:$B,'01. TH'!$B53,'TỔNG KLH + TN'!$C:$C,'01. TH'!S$4)</f>
        <v>0</v>
      </c>
      <c r="T53" s="126">
        <f>COUNTIFS('TỔNG KLH + TN'!$B:$B,'01. TH'!$B53,'TỔNG KLH + TN'!$C:$C,'01. TH'!T$4)</f>
        <v>0</v>
      </c>
      <c r="U53" s="126">
        <f>COUNTIFS('TỔNG KLH + TN'!$B:$B,'01. TH'!$B53,'TỔNG KLH + TN'!$C:$C,'01. TH'!U$4)</f>
        <v>0</v>
      </c>
      <c r="V53" s="126">
        <f>COUNTIFS('TỔNG KLH + TN'!$B:$B,'01. TH'!$B53,'TỔNG KLH + TN'!$C:$C,'01. TH'!V$4)</f>
        <v>0</v>
      </c>
      <c r="W53" s="126">
        <f>COUNTIFS('TỔNG KLH + TN'!$B:$B,'01. TH'!$B53,'TỔNG KLH + TN'!$C:$C,'01. TH'!W$4)</f>
        <v>0</v>
      </c>
      <c r="X53" s="126">
        <f>COUNTIFS('TỔNG KLH + TN'!$B:$B,'01. TH'!$B53,'TỔNG KLH + TN'!$C:$C,'01. TH'!X$4)</f>
        <v>0</v>
      </c>
      <c r="Y53" s="126">
        <f>COUNTIFS('TỔNG KLH + TN'!$B:$B,'01. TH'!$B53,'TỔNG KLH + TN'!$C:$C,'01. TH'!Y$4)</f>
        <v>0</v>
      </c>
      <c r="Z53" s="126">
        <f>COUNTIFS('TỔNG KLH + TN'!$B:$B,'01. TH'!$B53,'TỔNG KLH + TN'!$C:$C,'01. TH'!Z$4)</f>
        <v>0</v>
      </c>
      <c r="AA53" s="126">
        <f>COUNTIFS('TỔNG KLH + TN'!$B:$B,'01. TH'!$B53,'TỔNG KLH + TN'!$C:$C,'01. TH'!AA$4)</f>
        <v>0</v>
      </c>
      <c r="AB53" s="126">
        <f>COUNTIFS('TỔNG KLH + TN'!$B:$B,'01. TH'!$B53,'TỔNG KLH + TN'!$C:$C,'01. TH'!AB$4)</f>
        <v>0</v>
      </c>
      <c r="AC53" s="126">
        <f>COUNTIFS('TỔNG KLH + TN'!$B:$B,'01. TH'!$B53,'TỔNG KLH + TN'!$C:$C,'01. TH'!AC$4)</f>
        <v>0</v>
      </c>
      <c r="AD53" s="126">
        <f>COUNTIFS('TỔNG KLH + TN'!$B:$B,'01. TH'!$B53,'TỔNG KLH + TN'!$C:$C,'01. TH'!AD$4)</f>
        <v>0</v>
      </c>
      <c r="AE53" s="136">
        <f t="shared" si="13"/>
        <v>4</v>
      </c>
      <c r="AF53" s="136"/>
      <c r="AG53" s="70" t="str">
        <f t="shared" si="3"/>
        <v>ok</v>
      </c>
      <c r="AH53" s="124"/>
    </row>
    <row r="54" ht="18.75" hidden="1" customHeight="1" outlineLevel="1">
      <c r="A54" s="210"/>
      <c r="B54" s="122" t="s">
        <v>419</v>
      </c>
      <c r="C54" s="123" t="s">
        <v>413</v>
      </c>
      <c r="D54" s="124" t="str">
        <f>IFERROR(VLOOKUP(B54,'Danh mục'!$G:$U,15,0),"")</f>
        <v>6170 x 2330 x 2750</v>
      </c>
      <c r="E54" s="124" t="s">
        <v>108</v>
      </c>
      <c r="F54" s="126">
        <f>COUNTIFS('TỔNG KLH + TN'!$B:$B,'01. TH'!$B54,'TỔNG KLH + TN'!$C:$C,'01. TH'!F$4)</f>
        <v>0</v>
      </c>
      <c r="G54" s="126">
        <f>COUNTIFS('TỔNG KLH + TN'!$B:$B,'01. TH'!$B54,'TỔNG KLH + TN'!$C:$C,'01. TH'!G$4)</f>
        <v>0</v>
      </c>
      <c r="H54" s="126">
        <f>COUNTIFS('TỔNG KLH + TN'!$B:$B,'01. TH'!$B54,'TỔNG KLH + TN'!$C:$C,'01. TH'!H$4)</f>
        <v>0</v>
      </c>
      <c r="I54" s="126">
        <f>COUNTIFS('TỔNG KLH + TN'!$B:$B,'01. TH'!$B54,'TỔNG KLH + TN'!$C:$C,'01. TH'!I$4)</f>
        <v>0</v>
      </c>
      <c r="J54" s="126">
        <f>COUNTIFS('TỔNG KLH + TN'!$B:$B,'01. TH'!$B54,'TỔNG KLH + TN'!$C:$C,'01. TH'!J$4)</f>
        <v>1</v>
      </c>
      <c r="K54" s="126">
        <f>COUNTIFS('TỔNG KLH + TN'!$B:$B,'01. TH'!$B54,'TỔNG KLH + TN'!$C:$C,'01. TH'!K$4)</f>
        <v>0</v>
      </c>
      <c r="L54" s="126">
        <f>COUNTIFS('TỔNG KLH + TN'!$B:$B,'01. TH'!$B54,'TỔNG KLH + TN'!$C:$C,'01. TH'!L$4)</f>
        <v>0</v>
      </c>
      <c r="M54" s="126">
        <f>COUNTIFS('TỔNG KLH + TN'!$B:$B,'01. TH'!$B54,'TỔNG KLH + TN'!$C:$C,'01. TH'!M$4)</f>
        <v>0</v>
      </c>
      <c r="N54" s="126">
        <f>COUNTIFS('TỔNG KLH + TN'!$B:$B,'01. TH'!$B54,'TỔNG KLH + TN'!$C:$C,'01. TH'!N$4)</f>
        <v>0</v>
      </c>
      <c r="O54" s="126">
        <f>COUNTIFS('TỔNG KLH + TN'!$B:$B,'01. TH'!$B54,'TỔNG KLH + TN'!$C:$C,'01. TH'!O$4)</f>
        <v>1</v>
      </c>
      <c r="P54" s="126">
        <f>COUNTIFS('TỔNG KLH + TN'!$B:$B,'01. TH'!$B54,'TỔNG KLH + TN'!$C:$C,'01. TH'!P$4)</f>
        <v>0</v>
      </c>
      <c r="Q54" s="126">
        <f>COUNTIFS('TỔNG KLH + TN'!$B:$B,'01. TH'!$B54,'TỔNG KLH + TN'!$C:$C,'01. TH'!Q$4)</f>
        <v>0</v>
      </c>
      <c r="R54" s="126">
        <f>COUNTIFS('TỔNG KLH + TN'!$B:$B,'01. TH'!$B54,'TỔNG KLH + TN'!$C:$C,'01. TH'!R$4)</f>
        <v>0</v>
      </c>
      <c r="S54" s="126">
        <f>COUNTIFS('TỔNG KLH + TN'!$B:$B,'01. TH'!$B54,'TỔNG KLH + TN'!$C:$C,'01. TH'!S$4)</f>
        <v>0</v>
      </c>
      <c r="T54" s="126">
        <f>COUNTIFS('TỔNG KLH + TN'!$B:$B,'01. TH'!$B54,'TỔNG KLH + TN'!$C:$C,'01. TH'!T$4)</f>
        <v>0</v>
      </c>
      <c r="U54" s="126">
        <f>COUNTIFS('TỔNG KLH + TN'!$B:$B,'01. TH'!$B54,'TỔNG KLH + TN'!$C:$C,'01. TH'!U$4)</f>
        <v>0</v>
      </c>
      <c r="V54" s="126">
        <f>COUNTIFS('TỔNG KLH + TN'!$B:$B,'01. TH'!$B54,'TỔNG KLH + TN'!$C:$C,'01. TH'!V$4)</f>
        <v>0</v>
      </c>
      <c r="W54" s="126">
        <f>COUNTIFS('TỔNG KLH + TN'!$B:$B,'01. TH'!$B54,'TỔNG KLH + TN'!$C:$C,'01. TH'!W$4)</f>
        <v>0</v>
      </c>
      <c r="X54" s="126">
        <f>COUNTIFS('TỔNG KLH + TN'!$B:$B,'01. TH'!$B54,'TỔNG KLH + TN'!$C:$C,'01. TH'!X$4)</f>
        <v>0</v>
      </c>
      <c r="Y54" s="126">
        <f>COUNTIFS('TỔNG KLH + TN'!$B:$B,'01. TH'!$B54,'TỔNG KLH + TN'!$C:$C,'01. TH'!Y$4)</f>
        <v>0</v>
      </c>
      <c r="Z54" s="126">
        <f>COUNTIFS('TỔNG KLH + TN'!$B:$B,'01. TH'!$B54,'TỔNG KLH + TN'!$C:$C,'01. TH'!Z$4)</f>
        <v>0</v>
      </c>
      <c r="AA54" s="126">
        <f>COUNTIFS('TỔNG KLH + TN'!$B:$B,'01. TH'!$B54,'TỔNG KLH + TN'!$C:$C,'01. TH'!AA$4)</f>
        <v>0</v>
      </c>
      <c r="AB54" s="126">
        <f>COUNTIFS('TỔNG KLH + TN'!$B:$B,'01. TH'!$B54,'TỔNG KLH + TN'!$C:$C,'01. TH'!AB$4)</f>
        <v>0</v>
      </c>
      <c r="AC54" s="126">
        <f>COUNTIFS('TỔNG KLH + TN'!$B:$B,'01. TH'!$B54,'TỔNG KLH + TN'!$C:$C,'01. TH'!AC$4)</f>
        <v>0</v>
      </c>
      <c r="AD54" s="126">
        <f>COUNTIFS('TỔNG KLH + TN'!$B:$B,'01. TH'!$B54,'TỔNG KLH + TN'!$C:$C,'01. TH'!AD$4)</f>
        <v>0</v>
      </c>
      <c r="AE54" s="162">
        <f t="shared" si="13"/>
        <v>2</v>
      </c>
      <c r="AF54" s="162"/>
      <c r="AG54" s="70" t="str">
        <f t="shared" si="3"/>
        <v>ok</v>
      </c>
      <c r="AH54" s="210"/>
    </row>
    <row r="55" ht="18.75" hidden="1" customHeight="1" outlineLevel="1">
      <c r="A55" s="159"/>
      <c r="B55" s="122" t="s">
        <v>919</v>
      </c>
      <c r="C55" s="123" t="s">
        <v>922</v>
      </c>
      <c r="D55" s="124" t="str">
        <f>IFERROR(VLOOKUP(B55,'Danh mục'!$G:$U,15,0),"")</f>
        <v>5250 x 2170 x 2520</v>
      </c>
      <c r="E55" s="124" t="s">
        <v>108</v>
      </c>
      <c r="F55" s="126">
        <f>COUNTIFS('TỔNG KLH + TN'!$B:$B,'01. TH'!$B55,'TỔNG KLH + TN'!$C:$C,'01. TH'!F$4)</f>
        <v>0</v>
      </c>
      <c r="G55" s="126">
        <f>COUNTIFS('TỔNG KLH + TN'!$B:$B,'01. TH'!$B55,'TỔNG KLH + TN'!$C:$C,'01. TH'!G$4)</f>
        <v>0</v>
      </c>
      <c r="H55" s="126">
        <f>COUNTIFS('TỔNG KLH + TN'!$B:$B,'01. TH'!$B55,'TỔNG KLH + TN'!$C:$C,'01. TH'!H$4)</f>
        <v>4</v>
      </c>
      <c r="I55" s="126">
        <f>COUNTIFS('TỔNG KLH + TN'!$B:$B,'01. TH'!$B55,'TỔNG KLH + TN'!$C:$C,'01. TH'!I$4)</f>
        <v>3</v>
      </c>
      <c r="J55" s="126">
        <f>COUNTIFS('TỔNG KLH + TN'!$B:$B,'01. TH'!$B55,'TỔNG KLH + TN'!$C:$C,'01. TH'!J$4)</f>
        <v>4</v>
      </c>
      <c r="K55" s="126">
        <f>COUNTIFS('TỔNG KLH + TN'!$B:$B,'01. TH'!$B55,'TỔNG KLH + TN'!$C:$C,'01. TH'!K$4)</f>
        <v>0</v>
      </c>
      <c r="L55" s="126">
        <f>COUNTIFS('TỔNG KLH + TN'!$B:$B,'01. TH'!$B55,'TỔNG KLH + TN'!$C:$C,'01. TH'!L$4)</f>
        <v>0</v>
      </c>
      <c r="M55" s="126">
        <f>COUNTIFS('TỔNG KLH + TN'!$B:$B,'01. TH'!$B55,'TỔNG KLH + TN'!$C:$C,'01. TH'!M$4)</f>
        <v>0</v>
      </c>
      <c r="N55" s="126">
        <f>COUNTIFS('TỔNG KLH + TN'!$B:$B,'01. TH'!$B55,'TỔNG KLH + TN'!$C:$C,'01. TH'!N$4)</f>
        <v>0</v>
      </c>
      <c r="O55" s="126">
        <f>COUNTIFS('TỔNG KLH + TN'!$B:$B,'01. TH'!$B55,'TỔNG KLH + TN'!$C:$C,'01. TH'!O$4)</f>
        <v>0</v>
      </c>
      <c r="P55" s="126">
        <f>COUNTIFS('TỔNG KLH + TN'!$B:$B,'01. TH'!$B55,'TỔNG KLH + TN'!$C:$C,'01. TH'!P$4)</f>
        <v>0</v>
      </c>
      <c r="Q55" s="126">
        <f>COUNTIFS('TỔNG KLH + TN'!$B:$B,'01. TH'!$B55,'TỔNG KLH + TN'!$C:$C,'01. TH'!Q$4)</f>
        <v>3</v>
      </c>
      <c r="R55" s="126">
        <f>COUNTIFS('TỔNG KLH + TN'!$B:$B,'01. TH'!$B55,'TỔNG KLH + TN'!$C:$C,'01. TH'!R$4)</f>
        <v>4</v>
      </c>
      <c r="S55" s="126">
        <f>COUNTIFS('TỔNG KLH + TN'!$B:$B,'01. TH'!$B55,'TỔNG KLH + TN'!$C:$C,'01. TH'!S$4)</f>
        <v>0</v>
      </c>
      <c r="T55" s="126">
        <f>COUNTIFS('TỔNG KLH + TN'!$B:$B,'01. TH'!$B55,'TỔNG KLH + TN'!$C:$C,'01. TH'!T$4)</f>
        <v>0</v>
      </c>
      <c r="U55" s="126">
        <f>COUNTIFS('TỔNG KLH + TN'!$B:$B,'01. TH'!$B55,'TỔNG KLH + TN'!$C:$C,'01. TH'!U$4)</f>
        <v>0</v>
      </c>
      <c r="V55" s="126">
        <f>COUNTIFS('TỔNG KLH + TN'!$B:$B,'01. TH'!$B55,'TỔNG KLH + TN'!$C:$C,'01. TH'!V$4)</f>
        <v>0</v>
      </c>
      <c r="W55" s="126">
        <f>COUNTIFS('TỔNG KLH + TN'!$B:$B,'01. TH'!$B55,'TỔNG KLH + TN'!$C:$C,'01. TH'!W$4)</f>
        <v>0</v>
      </c>
      <c r="X55" s="126">
        <f>COUNTIFS('TỔNG KLH + TN'!$B:$B,'01. TH'!$B55,'TỔNG KLH + TN'!$C:$C,'01. TH'!X$4)</f>
        <v>0</v>
      </c>
      <c r="Y55" s="126">
        <f>COUNTIFS('TỔNG KLH + TN'!$B:$B,'01. TH'!$B55,'TỔNG KLH + TN'!$C:$C,'01. TH'!Y$4)</f>
        <v>0</v>
      </c>
      <c r="Z55" s="126">
        <f>COUNTIFS('TỔNG KLH + TN'!$B:$B,'01. TH'!$B55,'TỔNG KLH + TN'!$C:$C,'01. TH'!Z$4)</f>
        <v>0</v>
      </c>
      <c r="AA55" s="126">
        <f>COUNTIFS('TỔNG KLH + TN'!$B:$B,'01. TH'!$B55,'TỔNG KLH + TN'!$C:$C,'01. TH'!AA$4)</f>
        <v>0</v>
      </c>
      <c r="AB55" s="126">
        <f>COUNTIFS('TỔNG KLH + TN'!$B:$B,'01. TH'!$B55,'TỔNG KLH + TN'!$C:$C,'01. TH'!AB$4)</f>
        <v>0</v>
      </c>
      <c r="AC55" s="126">
        <f>COUNTIFS('TỔNG KLH + TN'!$B:$B,'01. TH'!$B55,'TỔNG KLH + TN'!$C:$C,'01. TH'!AC$4)</f>
        <v>0</v>
      </c>
      <c r="AD55" s="126">
        <f>COUNTIFS('TỔNG KLH + TN'!$B:$B,'01. TH'!$B55,'TỔNG KLH + TN'!$C:$C,'01. TH'!AD$4)</f>
        <v>0</v>
      </c>
      <c r="AE55" s="162">
        <f t="shared" si="13"/>
        <v>18</v>
      </c>
      <c r="AF55" s="162"/>
      <c r="AG55" s="70" t="str">
        <f t="shared" si="3"/>
        <v>ok</v>
      </c>
      <c r="AH55" s="163"/>
    </row>
    <row r="56" ht="18.75" hidden="1" customHeight="1" outlineLevel="1">
      <c r="A56" s="210"/>
      <c r="B56" s="122" t="s">
        <v>157</v>
      </c>
      <c r="C56" s="123" t="s">
        <v>163</v>
      </c>
      <c r="D56" s="124" t="str">
        <f>IFERROR(VLOOKUP(B56,'Danh mục'!$G:$U,15,0),"")</f>
        <v>7800 x 2500 x 3480</v>
      </c>
      <c r="E56" s="124" t="s">
        <v>108</v>
      </c>
      <c r="F56" s="126">
        <f>COUNTIFS('TỔNG KLH + TN'!$B:$B,'01. TH'!$B56,'TỔNG KLH + TN'!$C:$C,'01. TH'!F$4)</f>
        <v>6</v>
      </c>
      <c r="G56" s="126">
        <f>COUNTIFS('TỔNG KLH + TN'!$B:$B,'01. TH'!$B56,'TỔNG KLH + TN'!$C:$C,'01. TH'!G$4)</f>
        <v>0</v>
      </c>
      <c r="H56" s="126">
        <f>COUNTIFS('TỔNG KLH + TN'!$B:$B,'01. TH'!$B56,'TỔNG KLH + TN'!$C:$C,'01. TH'!H$4)</f>
        <v>0</v>
      </c>
      <c r="I56" s="126">
        <f>COUNTIFS('TỔNG KLH + TN'!$B:$B,'01. TH'!$B56,'TỔNG KLH + TN'!$C:$C,'01. TH'!I$4)</f>
        <v>0</v>
      </c>
      <c r="J56" s="126">
        <f>COUNTIFS('TỔNG KLH + TN'!$B:$B,'01. TH'!$B56,'TỔNG KLH + TN'!$C:$C,'01. TH'!J$4)</f>
        <v>0</v>
      </c>
      <c r="K56" s="126">
        <f>COUNTIFS('TỔNG KLH + TN'!$B:$B,'01. TH'!$B56,'TỔNG KLH + TN'!$C:$C,'01. TH'!K$4)</f>
        <v>0</v>
      </c>
      <c r="L56" s="126">
        <f>COUNTIFS('TỔNG KLH + TN'!$B:$B,'01. TH'!$B56,'TỔNG KLH + TN'!$C:$C,'01. TH'!L$4)</f>
        <v>0</v>
      </c>
      <c r="M56" s="126">
        <f>COUNTIFS('TỔNG KLH + TN'!$B:$B,'01. TH'!$B56,'TỔNG KLH + TN'!$C:$C,'01. TH'!M$4)</f>
        <v>0</v>
      </c>
      <c r="N56" s="126">
        <f>COUNTIFS('TỔNG KLH + TN'!$B:$B,'01. TH'!$B56,'TỔNG KLH + TN'!$C:$C,'01. TH'!N$4)</f>
        <v>0</v>
      </c>
      <c r="O56" s="126">
        <f>COUNTIFS('TỔNG KLH + TN'!$B:$B,'01. TH'!$B56,'TỔNG KLH + TN'!$C:$C,'01. TH'!O$4)</f>
        <v>2</v>
      </c>
      <c r="P56" s="126">
        <f>COUNTIFS('TỔNG KLH + TN'!$B:$B,'01. TH'!$B56,'TỔNG KLH + TN'!$C:$C,'01. TH'!P$4)</f>
        <v>0</v>
      </c>
      <c r="Q56" s="126">
        <f>COUNTIFS('TỔNG KLH + TN'!$B:$B,'01. TH'!$B56,'TỔNG KLH + TN'!$C:$C,'01. TH'!Q$4)</f>
        <v>0</v>
      </c>
      <c r="R56" s="126">
        <f>COUNTIFS('TỔNG KLH + TN'!$B:$B,'01. TH'!$B56,'TỔNG KLH + TN'!$C:$C,'01. TH'!R$4)</f>
        <v>0</v>
      </c>
      <c r="S56" s="126">
        <f>COUNTIFS('TỔNG KLH + TN'!$B:$B,'01. TH'!$B56,'TỔNG KLH + TN'!$C:$C,'01. TH'!S$4)</f>
        <v>3</v>
      </c>
      <c r="T56" s="126">
        <f>COUNTIFS('TỔNG KLH + TN'!$B:$B,'01. TH'!$B56,'TỔNG KLH + TN'!$C:$C,'01. TH'!T$4)</f>
        <v>0</v>
      </c>
      <c r="U56" s="126">
        <f>COUNTIFS('TỔNG KLH + TN'!$B:$B,'01. TH'!$B56,'TỔNG KLH + TN'!$C:$C,'01. TH'!U$4)</f>
        <v>0</v>
      </c>
      <c r="V56" s="126">
        <f>COUNTIFS('TỔNG KLH + TN'!$B:$B,'01. TH'!$B56,'TỔNG KLH + TN'!$C:$C,'01. TH'!V$4)</f>
        <v>0</v>
      </c>
      <c r="W56" s="126">
        <f>COUNTIFS('TỔNG KLH + TN'!$B:$B,'01. TH'!$B56,'TỔNG KLH + TN'!$C:$C,'01. TH'!W$4)</f>
        <v>0</v>
      </c>
      <c r="X56" s="126">
        <f>COUNTIFS('TỔNG KLH + TN'!$B:$B,'01. TH'!$B56,'TỔNG KLH + TN'!$C:$C,'01. TH'!X$4)</f>
        <v>0</v>
      </c>
      <c r="Y56" s="126">
        <f>COUNTIFS('TỔNG KLH + TN'!$B:$B,'01. TH'!$B56,'TỔNG KLH + TN'!$C:$C,'01. TH'!Y$4)</f>
        <v>0</v>
      </c>
      <c r="Z56" s="126">
        <f>COUNTIFS('TỔNG KLH + TN'!$B:$B,'01. TH'!$B56,'TỔNG KLH + TN'!$C:$C,'01. TH'!Z$4)</f>
        <v>0</v>
      </c>
      <c r="AA56" s="126">
        <f>COUNTIFS('TỔNG KLH + TN'!$B:$B,'01. TH'!$B56,'TỔNG KLH + TN'!$C:$C,'01. TH'!AA$4)</f>
        <v>0</v>
      </c>
      <c r="AB56" s="126">
        <f>COUNTIFS('TỔNG KLH + TN'!$B:$B,'01. TH'!$B56,'TỔNG KLH + TN'!$C:$C,'01. TH'!AB$4)</f>
        <v>0</v>
      </c>
      <c r="AC56" s="126">
        <f>COUNTIFS('TỔNG KLH + TN'!$B:$B,'01. TH'!$B56,'TỔNG KLH + TN'!$C:$C,'01. TH'!AC$4)</f>
        <v>0</v>
      </c>
      <c r="AD56" s="126">
        <f>COUNTIFS('TỔNG KLH + TN'!$B:$B,'01. TH'!$B56,'TỔNG KLH + TN'!$C:$C,'01. TH'!AD$4)</f>
        <v>0</v>
      </c>
      <c r="AE56" s="162">
        <f t="shared" si="13"/>
        <v>11</v>
      </c>
      <c r="AF56" s="162"/>
      <c r="AG56" s="70" t="str">
        <f t="shared" si="3"/>
        <v>ok</v>
      </c>
      <c r="AH56" s="210"/>
    </row>
    <row r="57" ht="24.0" customHeight="1" collapsed="1">
      <c r="A57" s="70">
        <v>7.0</v>
      </c>
      <c r="B57" s="73" t="s">
        <v>2237</v>
      </c>
      <c r="C57" s="78"/>
      <c r="D57" s="78" t="str">
        <f>IFERROR(VLOOKUP(B57,'Danh mục'!$G:$U,15,0),"")</f>
        <v/>
      </c>
      <c r="E57" s="78"/>
      <c r="F57" s="172">
        <f t="shared" ref="F57:AE57" si="14">SUM(F58:F66)</f>
        <v>0</v>
      </c>
      <c r="G57" s="172">
        <f t="shared" si="14"/>
        <v>1</v>
      </c>
      <c r="H57" s="172">
        <f t="shared" si="14"/>
        <v>2</v>
      </c>
      <c r="I57" s="172">
        <f t="shared" si="14"/>
        <v>1</v>
      </c>
      <c r="J57" s="172">
        <f t="shared" si="14"/>
        <v>0</v>
      </c>
      <c r="K57" s="172">
        <f t="shared" si="14"/>
        <v>0</v>
      </c>
      <c r="L57" s="172">
        <f t="shared" si="14"/>
        <v>0</v>
      </c>
      <c r="M57" s="172">
        <f t="shared" si="14"/>
        <v>0</v>
      </c>
      <c r="N57" s="172">
        <f t="shared" si="14"/>
        <v>0</v>
      </c>
      <c r="O57" s="172">
        <f t="shared" si="14"/>
        <v>0</v>
      </c>
      <c r="P57" s="172">
        <f t="shared" si="14"/>
        <v>0</v>
      </c>
      <c r="Q57" s="172">
        <f t="shared" si="14"/>
        <v>2</v>
      </c>
      <c r="R57" s="172">
        <f t="shared" si="14"/>
        <v>2</v>
      </c>
      <c r="S57" s="172">
        <f t="shared" si="14"/>
        <v>0</v>
      </c>
      <c r="T57" s="172">
        <f t="shared" si="14"/>
        <v>0</v>
      </c>
      <c r="U57" s="172">
        <f t="shared" si="14"/>
        <v>2</v>
      </c>
      <c r="V57" s="172">
        <f t="shared" si="14"/>
        <v>0</v>
      </c>
      <c r="W57" s="172">
        <f t="shared" si="14"/>
        <v>9</v>
      </c>
      <c r="X57" s="172">
        <f t="shared" si="14"/>
        <v>0</v>
      </c>
      <c r="Y57" s="172">
        <f t="shared" si="14"/>
        <v>0</v>
      </c>
      <c r="Z57" s="172">
        <f t="shared" si="14"/>
        <v>0</v>
      </c>
      <c r="AA57" s="172">
        <f t="shared" si="14"/>
        <v>2</v>
      </c>
      <c r="AB57" s="172">
        <f t="shared" si="14"/>
        <v>0</v>
      </c>
      <c r="AC57" s="172">
        <f t="shared" si="14"/>
        <v>0</v>
      </c>
      <c r="AD57" s="172">
        <f t="shared" si="14"/>
        <v>0</v>
      </c>
      <c r="AE57" s="173">
        <f t="shared" si="14"/>
        <v>21</v>
      </c>
      <c r="AF57" s="174">
        <v>8.0</v>
      </c>
      <c r="AG57" s="70" t="str">
        <f t="shared" si="3"/>
        <v>ok</v>
      </c>
      <c r="AH57" s="120"/>
    </row>
    <row r="58" ht="18.75" hidden="1" customHeight="1" outlineLevel="1">
      <c r="A58" s="121"/>
      <c r="B58" s="122" t="s">
        <v>2263</v>
      </c>
      <c r="C58" s="123" t="s">
        <v>413</v>
      </c>
      <c r="D58" s="124" t="str">
        <f>IFERROR(VLOOKUP(B58,'Danh mục'!$G:$U,15,0),"")</f>
        <v>6160 x 2330 x 2750</v>
      </c>
      <c r="E58" s="124" t="s">
        <v>108</v>
      </c>
      <c r="F58" s="126">
        <f>COUNTIFS('TỔNG KLH + TN'!$B:$B,'01. TH'!$B58,'TỔNG KLH + TN'!$C:$C,'01. TH'!F$4)</f>
        <v>0</v>
      </c>
      <c r="G58" s="126">
        <f>COUNTIFS('TỔNG KLH + TN'!$B:$B,'01. TH'!$B58,'TỔNG KLH + TN'!$C:$C,'01. TH'!G$4)</f>
        <v>0</v>
      </c>
      <c r="H58" s="126">
        <f>COUNTIFS('TỔNG KLH + TN'!$B:$B,'01. TH'!$B58,'TỔNG KLH + TN'!$C:$C,'01. TH'!H$4)</f>
        <v>0</v>
      </c>
      <c r="I58" s="126">
        <f>COUNTIFS('TỔNG KLH + TN'!$B:$B,'01. TH'!$B58,'TỔNG KLH + TN'!$C:$C,'01. TH'!I$4)</f>
        <v>0</v>
      </c>
      <c r="J58" s="126">
        <f>COUNTIFS('TỔNG KLH + TN'!$B:$B,'01. TH'!$B58,'TỔNG KLH + TN'!$C:$C,'01. TH'!J$4)</f>
        <v>0</v>
      </c>
      <c r="K58" s="126">
        <f>COUNTIFS('TỔNG KLH + TN'!$B:$B,'01. TH'!$B58,'TỔNG KLH + TN'!$C:$C,'01. TH'!K$4)</f>
        <v>0</v>
      </c>
      <c r="L58" s="126">
        <f>COUNTIFS('TỔNG KLH + TN'!$B:$B,'01. TH'!$B58,'TỔNG KLH + TN'!$C:$C,'01. TH'!L$4)</f>
        <v>0</v>
      </c>
      <c r="M58" s="126">
        <f>COUNTIFS('TỔNG KLH + TN'!$B:$B,'01. TH'!$B58,'TỔNG KLH + TN'!$C:$C,'01. TH'!M$4)</f>
        <v>0</v>
      </c>
      <c r="N58" s="126">
        <f>COUNTIFS('TỔNG KLH + TN'!$B:$B,'01. TH'!$B58,'TỔNG KLH + TN'!$C:$C,'01. TH'!N$4)</f>
        <v>0</v>
      </c>
      <c r="O58" s="126">
        <f>COUNTIFS('TỔNG KLH + TN'!$B:$B,'01. TH'!$B58,'TỔNG KLH + TN'!$C:$C,'01. TH'!O$4)</f>
        <v>0</v>
      </c>
      <c r="P58" s="126">
        <f>COUNTIFS('TỔNG KLH + TN'!$B:$B,'01. TH'!$B58,'TỔNG KLH + TN'!$C:$C,'01. TH'!P$4)</f>
        <v>0</v>
      </c>
      <c r="Q58" s="126">
        <f>COUNTIFS('TỔNG KLH + TN'!$B:$B,'01. TH'!$B58,'TỔNG KLH + TN'!$C:$C,'01. TH'!Q$4)</f>
        <v>0</v>
      </c>
      <c r="R58" s="126">
        <f>COUNTIFS('TỔNG KLH + TN'!$B:$B,'01. TH'!$B58,'TỔNG KLH + TN'!$C:$C,'01. TH'!R$4)</f>
        <v>0</v>
      </c>
      <c r="S58" s="126">
        <f>COUNTIFS('TỔNG KLH + TN'!$B:$B,'01. TH'!$B58,'TỔNG KLH + TN'!$C:$C,'01. TH'!S$4)</f>
        <v>0</v>
      </c>
      <c r="T58" s="126">
        <f>COUNTIFS('TỔNG KLH + TN'!$B:$B,'01. TH'!$B58,'TỔNG KLH + TN'!$C:$C,'01. TH'!T$4)</f>
        <v>0</v>
      </c>
      <c r="U58" s="126">
        <f>COUNTIFS('TỔNG KLH + TN'!$B:$B,'01. TH'!$B58,'TỔNG KLH + TN'!$C:$C,'01. TH'!U$4)</f>
        <v>0</v>
      </c>
      <c r="V58" s="126">
        <f>COUNTIFS('TỔNG KLH + TN'!$B:$B,'01. TH'!$B58,'TỔNG KLH + TN'!$C:$C,'01. TH'!V$4)</f>
        <v>0</v>
      </c>
      <c r="W58" s="126">
        <f>COUNTIFS('TỔNG KLH + TN'!$B:$B,'01. TH'!$B58,'TỔNG KLH + TN'!$C:$C,'01. TH'!W$4)</f>
        <v>0</v>
      </c>
      <c r="X58" s="126">
        <f>COUNTIFS('TỔNG KLH + TN'!$B:$B,'01. TH'!$B58,'TỔNG KLH + TN'!$C:$C,'01. TH'!X$4)</f>
        <v>0</v>
      </c>
      <c r="Y58" s="126">
        <f>COUNTIFS('TỔNG KLH + TN'!$B:$B,'01. TH'!$B58,'TỔNG KLH + TN'!$C:$C,'01. TH'!Y$4)</f>
        <v>0</v>
      </c>
      <c r="Z58" s="126">
        <f>COUNTIFS('TỔNG KLH + TN'!$B:$B,'01. TH'!$B58,'TỔNG KLH + TN'!$C:$C,'01. TH'!Z$4)</f>
        <v>0</v>
      </c>
      <c r="AA58" s="126">
        <f>COUNTIFS('TỔNG KLH + TN'!$B:$B,'01. TH'!$B58,'TỔNG KLH + TN'!$C:$C,'01. TH'!AA$4)</f>
        <v>0</v>
      </c>
      <c r="AB58" s="126">
        <f>COUNTIFS('TỔNG KLH + TN'!$B:$B,'01. TH'!$B58,'TỔNG KLH + TN'!$C:$C,'01. TH'!AB$4)</f>
        <v>0</v>
      </c>
      <c r="AC58" s="126">
        <f>COUNTIFS('TỔNG KLH + TN'!$B:$B,'01. TH'!$B58,'TỔNG KLH + TN'!$C:$C,'01. TH'!AC$4)</f>
        <v>0</v>
      </c>
      <c r="AD58" s="126">
        <f>COUNTIFS('TỔNG KLH + TN'!$B:$B,'01. TH'!$B58,'TỔNG KLH + TN'!$C:$C,'01. TH'!AD$4)</f>
        <v>0</v>
      </c>
      <c r="AE58" s="136">
        <f t="shared" ref="AE58:AE66" si="15">SUM(F58:AD58)</f>
        <v>0</v>
      </c>
      <c r="AF58" s="136"/>
      <c r="AG58" s="70" t="str">
        <f t="shared" si="3"/>
        <v>ok</v>
      </c>
      <c r="AH58" s="124"/>
    </row>
    <row r="59" ht="18.75" hidden="1" customHeight="1" outlineLevel="1">
      <c r="A59" s="159"/>
      <c r="B59" s="122" t="s">
        <v>658</v>
      </c>
      <c r="C59" s="123" t="s">
        <v>664</v>
      </c>
      <c r="D59" s="124" t="str">
        <f>IFERROR(VLOOKUP(B59,'Danh mục'!$G:$U,15,0),"")</f>
        <v>6380 x 2040 x 2300</v>
      </c>
      <c r="E59" s="124" t="s">
        <v>108</v>
      </c>
      <c r="F59" s="126">
        <f>COUNTIFS('TỔNG KLH + TN'!$B:$B,'01. TH'!$B59,'TỔNG KLH + TN'!$C:$C,'01. TH'!F$4)</f>
        <v>0</v>
      </c>
      <c r="G59" s="126">
        <f>COUNTIFS('TỔNG KLH + TN'!$B:$B,'01. TH'!$B59,'TỔNG KLH + TN'!$C:$C,'01. TH'!G$4)</f>
        <v>1</v>
      </c>
      <c r="H59" s="126">
        <f>COUNTIFS('TỔNG KLH + TN'!$B:$B,'01. TH'!$B59,'TỔNG KLH + TN'!$C:$C,'01. TH'!H$4)</f>
        <v>0</v>
      </c>
      <c r="I59" s="126">
        <f>COUNTIFS('TỔNG KLH + TN'!$B:$B,'01. TH'!$B59,'TỔNG KLH + TN'!$C:$C,'01. TH'!I$4)</f>
        <v>1</v>
      </c>
      <c r="J59" s="126">
        <f>COUNTIFS('TỔNG KLH + TN'!$B:$B,'01. TH'!$B59,'TỔNG KLH + TN'!$C:$C,'01. TH'!J$4)</f>
        <v>0</v>
      </c>
      <c r="K59" s="126">
        <f>COUNTIFS('TỔNG KLH + TN'!$B:$B,'01. TH'!$B59,'TỔNG KLH + TN'!$C:$C,'01. TH'!K$4)</f>
        <v>0</v>
      </c>
      <c r="L59" s="126">
        <f>COUNTIFS('TỔNG KLH + TN'!$B:$B,'01. TH'!$B59,'TỔNG KLH + TN'!$C:$C,'01. TH'!L$4)</f>
        <v>0</v>
      </c>
      <c r="M59" s="126">
        <f>COUNTIFS('TỔNG KLH + TN'!$B:$B,'01. TH'!$B59,'TỔNG KLH + TN'!$C:$C,'01. TH'!M$4)</f>
        <v>0</v>
      </c>
      <c r="N59" s="126">
        <f>COUNTIFS('TỔNG KLH + TN'!$B:$B,'01. TH'!$B59,'TỔNG KLH + TN'!$C:$C,'01. TH'!N$4)</f>
        <v>0</v>
      </c>
      <c r="O59" s="126">
        <f>COUNTIFS('TỔNG KLH + TN'!$B:$B,'01. TH'!$B59,'TỔNG KLH + TN'!$C:$C,'01. TH'!O$4)</f>
        <v>0</v>
      </c>
      <c r="P59" s="126">
        <f>COUNTIFS('TỔNG KLH + TN'!$B:$B,'01. TH'!$B59,'TỔNG KLH + TN'!$C:$C,'01. TH'!P$4)</f>
        <v>0</v>
      </c>
      <c r="Q59" s="126">
        <f>COUNTIFS('TỔNG KLH + TN'!$B:$B,'01. TH'!$B59,'TỔNG KLH + TN'!$C:$C,'01. TH'!Q$4)</f>
        <v>0</v>
      </c>
      <c r="R59" s="126">
        <f>COUNTIFS('TỔNG KLH + TN'!$B:$B,'01. TH'!$B59,'TỔNG KLH + TN'!$C:$C,'01. TH'!R$4)</f>
        <v>1</v>
      </c>
      <c r="S59" s="126">
        <f>COUNTIFS('TỔNG KLH + TN'!$B:$B,'01. TH'!$B59,'TỔNG KLH + TN'!$C:$C,'01. TH'!S$4)</f>
        <v>0</v>
      </c>
      <c r="T59" s="126">
        <f>COUNTIFS('TỔNG KLH + TN'!$B:$B,'01. TH'!$B59,'TỔNG KLH + TN'!$C:$C,'01. TH'!T$4)</f>
        <v>0</v>
      </c>
      <c r="U59" s="126">
        <f>COUNTIFS('TỔNG KLH + TN'!$B:$B,'01. TH'!$B59,'TỔNG KLH + TN'!$C:$C,'01. TH'!U$4)</f>
        <v>0</v>
      </c>
      <c r="V59" s="126">
        <f>COUNTIFS('TỔNG KLH + TN'!$B:$B,'01. TH'!$B59,'TỔNG KLH + TN'!$C:$C,'01. TH'!V$4)</f>
        <v>0</v>
      </c>
      <c r="W59" s="126">
        <f>COUNTIFS('TỔNG KLH + TN'!$B:$B,'01. TH'!$B59,'TỔNG KLH + TN'!$C:$C,'01. TH'!W$4)</f>
        <v>0</v>
      </c>
      <c r="X59" s="126">
        <f>COUNTIFS('TỔNG KLH + TN'!$B:$B,'01. TH'!$B59,'TỔNG KLH + TN'!$C:$C,'01. TH'!X$4)</f>
        <v>0</v>
      </c>
      <c r="Y59" s="126">
        <f>COUNTIFS('TỔNG KLH + TN'!$B:$B,'01. TH'!$B59,'TỔNG KLH + TN'!$C:$C,'01. TH'!Y$4)</f>
        <v>0</v>
      </c>
      <c r="Z59" s="126">
        <f>COUNTIFS('TỔNG KLH + TN'!$B:$B,'01. TH'!$B59,'TỔNG KLH + TN'!$C:$C,'01. TH'!Z$4)</f>
        <v>0</v>
      </c>
      <c r="AA59" s="126">
        <f>COUNTIFS('TỔNG KLH + TN'!$B:$B,'01. TH'!$B59,'TỔNG KLH + TN'!$C:$C,'01. TH'!AA$4)</f>
        <v>1</v>
      </c>
      <c r="AB59" s="126">
        <f>COUNTIFS('TỔNG KLH + TN'!$B:$B,'01. TH'!$B59,'TỔNG KLH + TN'!$C:$C,'01. TH'!AB$4)</f>
        <v>0</v>
      </c>
      <c r="AC59" s="126">
        <f>COUNTIFS('TỔNG KLH + TN'!$B:$B,'01. TH'!$B59,'TỔNG KLH + TN'!$C:$C,'01. TH'!AC$4)</f>
        <v>0</v>
      </c>
      <c r="AD59" s="126">
        <f>COUNTIFS('TỔNG KLH + TN'!$B:$B,'01. TH'!$B59,'TỔNG KLH + TN'!$C:$C,'01. TH'!AD$4)</f>
        <v>0</v>
      </c>
      <c r="AE59" s="162">
        <f t="shared" si="15"/>
        <v>4</v>
      </c>
      <c r="AF59" s="162"/>
      <c r="AG59" s="70" t="str">
        <f t="shared" si="3"/>
        <v>ok</v>
      </c>
      <c r="AH59" s="254"/>
    </row>
    <row r="60" ht="18.75" hidden="1" customHeight="1" outlineLevel="1">
      <c r="A60" s="121"/>
      <c r="B60" s="122" t="s">
        <v>2360</v>
      </c>
      <c r="C60" s="123" t="s">
        <v>845</v>
      </c>
      <c r="D60" s="124" t="str">
        <f>IFERROR(VLOOKUP(B60,'Danh mục'!$G:$U,15,0),"")</f>
        <v>9510 x 2450 x 2840</v>
      </c>
      <c r="E60" s="124" t="s">
        <v>108</v>
      </c>
      <c r="F60" s="126">
        <f>COUNTIFS('TỔNG KLH + TN'!$B:$B,'01. TH'!$B60,'TỔNG KLH + TN'!$C:$C,'01. TH'!F$4)</f>
        <v>0</v>
      </c>
      <c r="G60" s="126">
        <f>COUNTIFS('TỔNG KLH + TN'!$B:$B,'01. TH'!$B60,'TỔNG KLH + TN'!$C:$C,'01. TH'!G$4)</f>
        <v>0</v>
      </c>
      <c r="H60" s="126">
        <f>COUNTIFS('TỔNG KLH + TN'!$B:$B,'01. TH'!$B60,'TỔNG KLH + TN'!$C:$C,'01. TH'!H$4)</f>
        <v>0</v>
      </c>
      <c r="I60" s="126">
        <f>COUNTIFS('TỔNG KLH + TN'!$B:$B,'01. TH'!$B60,'TỔNG KLH + TN'!$C:$C,'01. TH'!I$4)</f>
        <v>0</v>
      </c>
      <c r="J60" s="126">
        <f>COUNTIFS('TỔNG KLH + TN'!$B:$B,'01. TH'!$B60,'TỔNG KLH + TN'!$C:$C,'01. TH'!J$4)</f>
        <v>0</v>
      </c>
      <c r="K60" s="126">
        <f>COUNTIFS('TỔNG KLH + TN'!$B:$B,'01. TH'!$B60,'TỔNG KLH + TN'!$C:$C,'01. TH'!K$4)</f>
        <v>0</v>
      </c>
      <c r="L60" s="126">
        <f>COUNTIFS('TỔNG KLH + TN'!$B:$B,'01. TH'!$B60,'TỔNG KLH + TN'!$C:$C,'01. TH'!L$4)</f>
        <v>0</v>
      </c>
      <c r="M60" s="126">
        <f>COUNTIFS('TỔNG KLH + TN'!$B:$B,'01. TH'!$B60,'TỔNG KLH + TN'!$C:$C,'01. TH'!M$4)</f>
        <v>0</v>
      </c>
      <c r="N60" s="126">
        <f>COUNTIFS('TỔNG KLH + TN'!$B:$B,'01. TH'!$B60,'TỔNG KLH + TN'!$C:$C,'01. TH'!N$4)</f>
        <v>0</v>
      </c>
      <c r="O60" s="126">
        <f>COUNTIFS('TỔNG KLH + TN'!$B:$B,'01. TH'!$B60,'TỔNG KLH + TN'!$C:$C,'01. TH'!O$4)</f>
        <v>0</v>
      </c>
      <c r="P60" s="126">
        <f>COUNTIFS('TỔNG KLH + TN'!$B:$B,'01. TH'!$B60,'TỔNG KLH + TN'!$C:$C,'01. TH'!P$4)</f>
        <v>0</v>
      </c>
      <c r="Q60" s="126">
        <f>COUNTIFS('TỔNG KLH + TN'!$B:$B,'01. TH'!$B60,'TỔNG KLH + TN'!$C:$C,'01. TH'!Q$4)</f>
        <v>0</v>
      </c>
      <c r="R60" s="126">
        <f>COUNTIFS('TỔNG KLH + TN'!$B:$B,'01. TH'!$B60,'TỔNG KLH + TN'!$C:$C,'01. TH'!R$4)</f>
        <v>0</v>
      </c>
      <c r="S60" s="126">
        <f>COUNTIFS('TỔNG KLH + TN'!$B:$B,'01. TH'!$B60,'TỔNG KLH + TN'!$C:$C,'01. TH'!S$4)</f>
        <v>0</v>
      </c>
      <c r="T60" s="126">
        <f>COUNTIFS('TỔNG KLH + TN'!$B:$B,'01. TH'!$B60,'TỔNG KLH + TN'!$C:$C,'01. TH'!T$4)</f>
        <v>0</v>
      </c>
      <c r="U60" s="126">
        <f>COUNTIFS('TỔNG KLH + TN'!$B:$B,'01. TH'!$B60,'TỔNG KLH + TN'!$C:$C,'01. TH'!U$4)</f>
        <v>0</v>
      </c>
      <c r="V60" s="126">
        <f>COUNTIFS('TỔNG KLH + TN'!$B:$B,'01. TH'!$B60,'TỔNG KLH + TN'!$C:$C,'01. TH'!V$4)</f>
        <v>0</v>
      </c>
      <c r="W60" s="126">
        <f>COUNTIFS('TỔNG KLH + TN'!$B:$B,'01. TH'!$B60,'TỔNG KLH + TN'!$C:$C,'01. TH'!W$4)</f>
        <v>3</v>
      </c>
      <c r="X60" s="126">
        <f>COUNTIFS('TỔNG KLH + TN'!$B:$B,'01. TH'!$B60,'TỔNG KLH + TN'!$C:$C,'01. TH'!X$4)</f>
        <v>0</v>
      </c>
      <c r="Y60" s="126">
        <f>COUNTIFS('TỔNG KLH + TN'!$B:$B,'01. TH'!$B60,'TỔNG KLH + TN'!$C:$C,'01. TH'!Y$4)</f>
        <v>0</v>
      </c>
      <c r="Z60" s="126">
        <f>COUNTIFS('TỔNG KLH + TN'!$B:$B,'01. TH'!$B60,'TỔNG KLH + TN'!$C:$C,'01. TH'!Z$4)</f>
        <v>0</v>
      </c>
      <c r="AA60" s="126">
        <f>COUNTIFS('TỔNG KLH + TN'!$B:$B,'01. TH'!$B60,'TỔNG KLH + TN'!$C:$C,'01. TH'!AA$4)</f>
        <v>0</v>
      </c>
      <c r="AB60" s="126">
        <f>COUNTIFS('TỔNG KLH + TN'!$B:$B,'01. TH'!$B60,'TỔNG KLH + TN'!$C:$C,'01. TH'!AB$4)</f>
        <v>0</v>
      </c>
      <c r="AC60" s="126">
        <f>COUNTIFS('TỔNG KLH + TN'!$B:$B,'01. TH'!$B60,'TỔNG KLH + TN'!$C:$C,'01. TH'!AC$4)</f>
        <v>0</v>
      </c>
      <c r="AD60" s="126">
        <f>COUNTIFS('TỔNG KLH + TN'!$B:$B,'01. TH'!$B60,'TỔNG KLH + TN'!$C:$C,'01. TH'!AD$4)</f>
        <v>0</v>
      </c>
      <c r="AE60" s="136">
        <f t="shared" si="15"/>
        <v>3</v>
      </c>
      <c r="AF60" s="136"/>
      <c r="AG60" s="70" t="str">
        <f t="shared" si="3"/>
        <v>ok</v>
      </c>
      <c r="AH60" s="124"/>
    </row>
    <row r="61" ht="18.75" hidden="1" customHeight="1" outlineLevel="1">
      <c r="A61" s="159"/>
      <c r="B61" s="122" t="s">
        <v>2178</v>
      </c>
      <c r="C61" s="123" t="s">
        <v>278</v>
      </c>
      <c r="D61" s="124" t="str">
        <f>IFERROR(VLOOKUP(B61,'Danh mục'!$G:$U,15,0),"")</f>
        <v>6160 x 2330 x 2760</v>
      </c>
      <c r="E61" s="124" t="s">
        <v>108</v>
      </c>
      <c r="F61" s="126">
        <f>COUNTIFS('TỔNG KLH + TN'!$B:$B,'01. TH'!$B61,'TỔNG KLH + TN'!$C:$C,'01. TH'!F$4)</f>
        <v>0</v>
      </c>
      <c r="G61" s="126">
        <f>COUNTIFS('TỔNG KLH + TN'!$B:$B,'01. TH'!$B61,'TỔNG KLH + TN'!$C:$C,'01. TH'!G$4)</f>
        <v>0</v>
      </c>
      <c r="H61" s="126">
        <f>COUNTIFS('TỔNG KLH + TN'!$B:$B,'01. TH'!$B61,'TỔNG KLH + TN'!$C:$C,'01. TH'!H$4)</f>
        <v>0</v>
      </c>
      <c r="I61" s="126">
        <f>COUNTIFS('TỔNG KLH + TN'!$B:$B,'01. TH'!$B61,'TỔNG KLH + TN'!$C:$C,'01. TH'!I$4)</f>
        <v>0</v>
      </c>
      <c r="J61" s="126">
        <f>COUNTIFS('TỔNG KLH + TN'!$B:$B,'01. TH'!$B61,'TỔNG KLH + TN'!$C:$C,'01. TH'!J$4)</f>
        <v>0</v>
      </c>
      <c r="K61" s="126">
        <f>COUNTIFS('TỔNG KLH + TN'!$B:$B,'01. TH'!$B61,'TỔNG KLH + TN'!$C:$C,'01. TH'!K$4)</f>
        <v>0</v>
      </c>
      <c r="L61" s="126">
        <f>COUNTIFS('TỔNG KLH + TN'!$B:$B,'01. TH'!$B61,'TỔNG KLH + TN'!$C:$C,'01. TH'!L$4)</f>
        <v>0</v>
      </c>
      <c r="M61" s="126">
        <f>COUNTIFS('TỔNG KLH + TN'!$B:$B,'01. TH'!$B61,'TỔNG KLH + TN'!$C:$C,'01. TH'!M$4)</f>
        <v>0</v>
      </c>
      <c r="N61" s="126">
        <f>COUNTIFS('TỔNG KLH + TN'!$B:$B,'01. TH'!$B61,'TỔNG KLH + TN'!$C:$C,'01. TH'!N$4)</f>
        <v>0</v>
      </c>
      <c r="O61" s="126">
        <f>COUNTIFS('TỔNG KLH + TN'!$B:$B,'01. TH'!$B61,'TỔNG KLH + TN'!$C:$C,'01. TH'!O$4)</f>
        <v>0</v>
      </c>
      <c r="P61" s="126">
        <f>COUNTIFS('TỔNG KLH + TN'!$B:$B,'01. TH'!$B61,'TỔNG KLH + TN'!$C:$C,'01. TH'!P$4)</f>
        <v>0</v>
      </c>
      <c r="Q61" s="126">
        <f>COUNTIFS('TỔNG KLH + TN'!$B:$B,'01. TH'!$B61,'TỔNG KLH + TN'!$C:$C,'01. TH'!Q$4)</f>
        <v>0</v>
      </c>
      <c r="R61" s="126">
        <f>COUNTIFS('TỔNG KLH + TN'!$B:$B,'01. TH'!$B61,'TỔNG KLH + TN'!$C:$C,'01. TH'!R$4)</f>
        <v>0</v>
      </c>
      <c r="S61" s="126">
        <f>COUNTIFS('TỔNG KLH + TN'!$B:$B,'01. TH'!$B61,'TỔNG KLH + TN'!$C:$C,'01. TH'!S$4)</f>
        <v>0</v>
      </c>
      <c r="T61" s="126">
        <f>COUNTIFS('TỔNG KLH + TN'!$B:$B,'01. TH'!$B61,'TỔNG KLH + TN'!$C:$C,'01. TH'!T$4)</f>
        <v>0</v>
      </c>
      <c r="U61" s="126">
        <f>COUNTIFS('TỔNG KLH + TN'!$B:$B,'01. TH'!$B61,'TỔNG KLH + TN'!$C:$C,'01. TH'!U$4)</f>
        <v>1</v>
      </c>
      <c r="V61" s="126">
        <f>COUNTIFS('TỔNG KLH + TN'!$B:$B,'01. TH'!$B61,'TỔNG KLH + TN'!$C:$C,'01. TH'!V$4)</f>
        <v>0</v>
      </c>
      <c r="W61" s="126">
        <f>COUNTIFS('TỔNG KLH + TN'!$B:$B,'01. TH'!$B61,'TỔNG KLH + TN'!$C:$C,'01. TH'!W$4)</f>
        <v>0</v>
      </c>
      <c r="X61" s="126">
        <f>COUNTIFS('TỔNG KLH + TN'!$B:$B,'01. TH'!$B61,'TỔNG KLH + TN'!$C:$C,'01. TH'!X$4)</f>
        <v>0</v>
      </c>
      <c r="Y61" s="126">
        <f>COUNTIFS('TỔNG KLH + TN'!$B:$B,'01. TH'!$B61,'TỔNG KLH + TN'!$C:$C,'01. TH'!Y$4)</f>
        <v>0</v>
      </c>
      <c r="Z61" s="126">
        <f>COUNTIFS('TỔNG KLH + TN'!$B:$B,'01. TH'!$B61,'TỔNG KLH + TN'!$C:$C,'01. TH'!Z$4)</f>
        <v>0</v>
      </c>
      <c r="AA61" s="126">
        <f>COUNTIFS('TỔNG KLH + TN'!$B:$B,'01. TH'!$B61,'TỔNG KLH + TN'!$C:$C,'01. TH'!AA$4)</f>
        <v>0</v>
      </c>
      <c r="AB61" s="126">
        <f>COUNTIFS('TỔNG KLH + TN'!$B:$B,'01. TH'!$B61,'TỔNG KLH + TN'!$C:$C,'01. TH'!AB$4)</f>
        <v>0</v>
      </c>
      <c r="AC61" s="126">
        <f>COUNTIFS('TỔNG KLH + TN'!$B:$B,'01. TH'!$B61,'TỔNG KLH + TN'!$C:$C,'01. TH'!AC$4)</f>
        <v>0</v>
      </c>
      <c r="AD61" s="126">
        <f>COUNTIFS('TỔNG KLH + TN'!$B:$B,'01. TH'!$B61,'TỔNG KLH + TN'!$C:$C,'01. TH'!AD$4)</f>
        <v>0</v>
      </c>
      <c r="AE61" s="162">
        <f t="shared" si="15"/>
        <v>1</v>
      </c>
      <c r="AF61" s="162"/>
      <c r="AG61" s="70" t="str">
        <f t="shared" si="3"/>
        <v>ok</v>
      </c>
      <c r="AH61" s="163"/>
    </row>
    <row r="62" ht="18.75" hidden="1" customHeight="1" outlineLevel="1">
      <c r="A62" s="159"/>
      <c r="B62" s="122" t="s">
        <v>2170</v>
      </c>
      <c r="C62" s="123" t="s">
        <v>413</v>
      </c>
      <c r="D62" s="124" t="str">
        <f>IFERROR(VLOOKUP(B62,'Danh mục'!$G:$U,15,0),"")</f>
        <v>6160 x 2330 x 2750</v>
      </c>
      <c r="E62" s="124" t="s">
        <v>108</v>
      </c>
      <c r="F62" s="126">
        <f>COUNTIFS('TỔNG KLH + TN'!$B:$B,'01. TH'!$B62,'TỔNG KLH + TN'!$C:$C,'01. TH'!F$4)</f>
        <v>0</v>
      </c>
      <c r="G62" s="126">
        <f>COUNTIFS('TỔNG KLH + TN'!$B:$B,'01. TH'!$B62,'TỔNG KLH + TN'!$C:$C,'01. TH'!G$4)</f>
        <v>0</v>
      </c>
      <c r="H62" s="126">
        <f>COUNTIFS('TỔNG KLH + TN'!$B:$B,'01. TH'!$B62,'TỔNG KLH + TN'!$C:$C,'01. TH'!H$4)</f>
        <v>0</v>
      </c>
      <c r="I62" s="126">
        <f>COUNTIFS('TỔNG KLH + TN'!$B:$B,'01. TH'!$B62,'TỔNG KLH + TN'!$C:$C,'01. TH'!I$4)</f>
        <v>0</v>
      </c>
      <c r="J62" s="126">
        <f>COUNTIFS('TỔNG KLH + TN'!$B:$B,'01. TH'!$B62,'TỔNG KLH + TN'!$C:$C,'01. TH'!J$4)</f>
        <v>0</v>
      </c>
      <c r="K62" s="126">
        <f>COUNTIFS('TỔNG KLH + TN'!$B:$B,'01. TH'!$B62,'TỔNG KLH + TN'!$C:$C,'01. TH'!K$4)</f>
        <v>0</v>
      </c>
      <c r="L62" s="126">
        <f>COUNTIFS('TỔNG KLH + TN'!$B:$B,'01. TH'!$B62,'TỔNG KLH + TN'!$C:$C,'01. TH'!L$4)</f>
        <v>0</v>
      </c>
      <c r="M62" s="126">
        <f>COUNTIFS('TỔNG KLH + TN'!$B:$B,'01. TH'!$B62,'TỔNG KLH + TN'!$C:$C,'01. TH'!M$4)</f>
        <v>0</v>
      </c>
      <c r="N62" s="126">
        <f>COUNTIFS('TỔNG KLH + TN'!$B:$B,'01. TH'!$B62,'TỔNG KLH + TN'!$C:$C,'01. TH'!N$4)</f>
        <v>0</v>
      </c>
      <c r="O62" s="126">
        <f>COUNTIFS('TỔNG KLH + TN'!$B:$B,'01. TH'!$B62,'TỔNG KLH + TN'!$C:$C,'01. TH'!O$4)</f>
        <v>0</v>
      </c>
      <c r="P62" s="126">
        <f>COUNTIFS('TỔNG KLH + TN'!$B:$B,'01. TH'!$B62,'TỔNG KLH + TN'!$C:$C,'01. TH'!P$4)</f>
        <v>0</v>
      </c>
      <c r="Q62" s="126">
        <f>COUNTIFS('TỔNG KLH + TN'!$B:$B,'01. TH'!$B62,'TỔNG KLH + TN'!$C:$C,'01. TH'!Q$4)</f>
        <v>0</v>
      </c>
      <c r="R62" s="126">
        <f>COUNTIFS('TỔNG KLH + TN'!$B:$B,'01. TH'!$B62,'TỔNG KLH + TN'!$C:$C,'01. TH'!R$4)</f>
        <v>0</v>
      </c>
      <c r="S62" s="126">
        <f>COUNTIFS('TỔNG KLH + TN'!$B:$B,'01. TH'!$B62,'TỔNG KLH + TN'!$C:$C,'01. TH'!S$4)</f>
        <v>0</v>
      </c>
      <c r="T62" s="126">
        <f>COUNTIFS('TỔNG KLH + TN'!$B:$B,'01. TH'!$B62,'TỔNG KLH + TN'!$C:$C,'01. TH'!T$4)</f>
        <v>0</v>
      </c>
      <c r="U62" s="126">
        <f>COUNTIFS('TỔNG KLH + TN'!$B:$B,'01. TH'!$B62,'TỔNG KLH + TN'!$C:$C,'01. TH'!U$4)</f>
        <v>1</v>
      </c>
      <c r="V62" s="126">
        <f>COUNTIFS('TỔNG KLH + TN'!$B:$B,'01. TH'!$B62,'TỔNG KLH + TN'!$C:$C,'01. TH'!V$4)</f>
        <v>0</v>
      </c>
      <c r="W62" s="126">
        <f>COUNTIFS('TỔNG KLH + TN'!$B:$B,'01. TH'!$B62,'TỔNG KLH + TN'!$C:$C,'01. TH'!W$4)</f>
        <v>4</v>
      </c>
      <c r="X62" s="126">
        <f>COUNTIFS('TỔNG KLH + TN'!$B:$B,'01. TH'!$B62,'TỔNG KLH + TN'!$C:$C,'01. TH'!X$4)</f>
        <v>0</v>
      </c>
      <c r="Y62" s="126">
        <f>COUNTIFS('TỔNG KLH + TN'!$B:$B,'01. TH'!$B62,'TỔNG KLH + TN'!$C:$C,'01. TH'!Y$4)</f>
        <v>0</v>
      </c>
      <c r="Z62" s="126">
        <f>COUNTIFS('TỔNG KLH + TN'!$B:$B,'01. TH'!$B62,'TỔNG KLH + TN'!$C:$C,'01. TH'!Z$4)</f>
        <v>0</v>
      </c>
      <c r="AA62" s="126">
        <f>COUNTIFS('TỔNG KLH + TN'!$B:$B,'01. TH'!$B62,'TỔNG KLH + TN'!$C:$C,'01. TH'!AA$4)</f>
        <v>1</v>
      </c>
      <c r="AB62" s="126">
        <f>COUNTIFS('TỔNG KLH + TN'!$B:$B,'01. TH'!$B62,'TỔNG KLH + TN'!$C:$C,'01. TH'!AB$4)</f>
        <v>0</v>
      </c>
      <c r="AC62" s="126">
        <f>COUNTIFS('TỔNG KLH + TN'!$B:$B,'01. TH'!$B62,'TỔNG KLH + TN'!$C:$C,'01. TH'!AC$4)</f>
        <v>0</v>
      </c>
      <c r="AD62" s="126">
        <f>COUNTIFS('TỔNG KLH + TN'!$B:$B,'01. TH'!$B62,'TỔNG KLH + TN'!$C:$C,'01. TH'!AD$4)</f>
        <v>0</v>
      </c>
      <c r="AE62" s="162">
        <f t="shared" si="15"/>
        <v>6</v>
      </c>
      <c r="AF62" s="162"/>
      <c r="AG62" s="70" t="str">
        <f t="shared" si="3"/>
        <v>ok</v>
      </c>
      <c r="AH62" s="163"/>
    </row>
    <row r="63" ht="18.75" hidden="1" customHeight="1" outlineLevel="1">
      <c r="A63" s="159"/>
      <c r="B63" s="122" t="s">
        <v>2478</v>
      </c>
      <c r="C63" s="123" t="s">
        <v>682</v>
      </c>
      <c r="D63" s="124" t="str">
        <f>IFERROR(VLOOKUP(#REF!,'Danh mục'!$G:$U,15,0),"")</f>
        <v/>
      </c>
      <c r="E63" s="124" t="s">
        <v>108</v>
      </c>
      <c r="F63" s="126">
        <f>COUNTIFS('TỔNG KLH + TN'!$B:$B,'01. TH'!$B63,'TỔNG KLH + TN'!$C:$C,'01. TH'!F$4)</f>
        <v>0</v>
      </c>
      <c r="G63" s="126">
        <f>COUNTIFS('TỔNG KLH + TN'!$B:$B,'01. TH'!$B63,'TỔNG KLH + TN'!$C:$C,'01. TH'!G$4)</f>
        <v>0</v>
      </c>
      <c r="H63" s="126">
        <f>COUNTIFS('TỔNG KLH + TN'!$B:$B,'01. TH'!$B63,'TỔNG KLH + TN'!$C:$C,'01. TH'!H$4)</f>
        <v>0</v>
      </c>
      <c r="I63" s="126">
        <f>COUNTIFS('TỔNG KLH + TN'!$B:$B,'01. TH'!$B63,'TỔNG KLH + TN'!$C:$C,'01. TH'!I$4)</f>
        <v>0</v>
      </c>
      <c r="J63" s="126">
        <f>COUNTIFS('TỔNG KLH + TN'!$B:$B,'01. TH'!$B63,'TỔNG KLH + TN'!$C:$C,'01. TH'!J$4)</f>
        <v>0</v>
      </c>
      <c r="K63" s="126">
        <f>COUNTIFS('TỔNG KLH + TN'!$B:$B,'01. TH'!$B63,'TỔNG KLH + TN'!$C:$C,'01. TH'!K$4)</f>
        <v>0</v>
      </c>
      <c r="L63" s="126">
        <f>COUNTIFS('TỔNG KLH + TN'!$B:$B,'01. TH'!$B63,'TỔNG KLH + TN'!$C:$C,'01. TH'!L$4)</f>
        <v>0</v>
      </c>
      <c r="M63" s="126">
        <f>COUNTIFS('TỔNG KLH + TN'!$B:$B,'01. TH'!$B63,'TỔNG KLH + TN'!$C:$C,'01. TH'!M$4)</f>
        <v>0</v>
      </c>
      <c r="N63" s="126">
        <f>COUNTIFS('TỔNG KLH + TN'!$B:$B,'01. TH'!$B63,'TỔNG KLH + TN'!$C:$C,'01. TH'!N$4)</f>
        <v>0</v>
      </c>
      <c r="O63" s="126">
        <f>COUNTIFS('TỔNG KLH + TN'!$B:$B,'01. TH'!$B63,'TỔNG KLH + TN'!$C:$C,'01. TH'!O$4)</f>
        <v>0</v>
      </c>
      <c r="P63" s="126">
        <f>COUNTIFS('TỔNG KLH + TN'!$B:$B,'01. TH'!$B63,'TỔNG KLH + TN'!$C:$C,'01. TH'!P$4)</f>
        <v>0</v>
      </c>
      <c r="Q63" s="126">
        <f>COUNTIFS('TỔNG KLH + TN'!$B:$B,'01. TH'!$B63,'TỔNG KLH + TN'!$C:$C,'01. TH'!Q$4)</f>
        <v>0</v>
      </c>
      <c r="R63" s="126">
        <f>COUNTIFS('TỔNG KLH + TN'!$B:$B,'01. TH'!$B63,'TỔNG KLH + TN'!$C:$C,'01. TH'!R$4)</f>
        <v>0</v>
      </c>
      <c r="S63" s="126">
        <f>COUNTIFS('TỔNG KLH + TN'!$B:$B,'01. TH'!$B63,'TỔNG KLH + TN'!$C:$C,'01. TH'!S$4)</f>
        <v>0</v>
      </c>
      <c r="T63" s="126">
        <f>COUNTIFS('TỔNG KLH + TN'!$B:$B,'01. TH'!$B63,'TỔNG KLH + TN'!$C:$C,'01. TH'!T$4)</f>
        <v>0</v>
      </c>
      <c r="U63" s="126">
        <f>COUNTIFS('TỔNG KLH + TN'!$B:$B,'01. TH'!$B63,'TỔNG KLH + TN'!$C:$C,'01. TH'!U$4)</f>
        <v>0</v>
      </c>
      <c r="V63" s="126">
        <f>COUNTIFS('TỔNG KLH + TN'!$B:$B,'01. TH'!$B63,'TỔNG KLH + TN'!$C:$C,'01. TH'!V$4)</f>
        <v>0</v>
      </c>
      <c r="W63" s="126">
        <f>COUNTIFS('TỔNG KLH + TN'!$B:$B,'01. TH'!$B63,'TỔNG KLH + TN'!$C:$C,'01. TH'!W$4)</f>
        <v>0</v>
      </c>
      <c r="X63" s="126">
        <f>COUNTIFS('TỔNG KLH + TN'!$B:$B,'01. TH'!$B63,'TỔNG KLH + TN'!$C:$C,'01. TH'!X$4)</f>
        <v>0</v>
      </c>
      <c r="Y63" s="126">
        <f>COUNTIFS('TỔNG KLH + TN'!$B:$B,'01. TH'!$B63,'TỔNG KLH + TN'!$C:$C,'01. TH'!Y$4)</f>
        <v>0</v>
      </c>
      <c r="Z63" s="126">
        <f>COUNTIFS('TỔNG KLH + TN'!$B:$B,'01. TH'!$B63,'TỔNG KLH + TN'!$C:$C,'01. TH'!Z$4)</f>
        <v>0</v>
      </c>
      <c r="AA63" s="126">
        <f>COUNTIFS('TỔNG KLH + TN'!$B:$B,'01. TH'!$B63,'TỔNG KLH + TN'!$C:$C,'01. TH'!AA$4)</f>
        <v>0</v>
      </c>
      <c r="AB63" s="126">
        <f>COUNTIFS('TỔNG KLH + TN'!$B:$B,'01. TH'!$B63,'TỔNG KLH + TN'!$C:$C,'01. TH'!AB$4)</f>
        <v>0</v>
      </c>
      <c r="AC63" s="126">
        <f>COUNTIFS('TỔNG KLH + TN'!$B:$B,'01. TH'!$B63,'TỔNG KLH + TN'!$C:$C,'01. TH'!AC$4)</f>
        <v>0</v>
      </c>
      <c r="AD63" s="126">
        <f>COUNTIFS('TỔNG KLH + TN'!$B:$B,'01. TH'!$B63,'TỔNG KLH + TN'!$C:$C,'01. TH'!AD$4)</f>
        <v>0</v>
      </c>
      <c r="AE63" s="162">
        <f t="shared" si="15"/>
        <v>0</v>
      </c>
      <c r="AF63" s="162"/>
      <c r="AG63" s="70" t="str">
        <f t="shared" si="3"/>
        <v>ok</v>
      </c>
      <c r="AH63" s="163"/>
    </row>
    <row r="64" ht="18.75" hidden="1" customHeight="1" outlineLevel="1">
      <c r="A64" s="159"/>
      <c r="B64" s="122" t="s">
        <v>2511</v>
      </c>
      <c r="C64" s="123" t="s">
        <v>682</v>
      </c>
      <c r="D64" s="124" t="str">
        <f>IFERROR(VLOOKUP(#REF!,'Danh mục'!$G:$U,15,0),"")</f>
        <v/>
      </c>
      <c r="E64" s="124" t="s">
        <v>108</v>
      </c>
      <c r="F64" s="126">
        <f>COUNTIFS('TỔNG KLH + TN'!$B:$B,'01. TH'!$B64,'TỔNG KLH + TN'!$C:$C,'01. TH'!F$4)</f>
        <v>0</v>
      </c>
      <c r="G64" s="126">
        <f>COUNTIFS('TỔNG KLH + TN'!$B:$B,'01. TH'!$B64,'TỔNG KLH + TN'!$C:$C,'01. TH'!G$4)</f>
        <v>0</v>
      </c>
      <c r="H64" s="126">
        <f>COUNTIFS('TỔNG KLH + TN'!$B:$B,'01. TH'!$B64,'TỔNG KLH + TN'!$C:$C,'01. TH'!H$4)</f>
        <v>0</v>
      </c>
      <c r="I64" s="126">
        <f>COUNTIFS('TỔNG KLH + TN'!$B:$B,'01. TH'!$B64,'TỔNG KLH + TN'!$C:$C,'01. TH'!I$4)</f>
        <v>0</v>
      </c>
      <c r="J64" s="126">
        <f>COUNTIFS('TỔNG KLH + TN'!$B:$B,'01. TH'!$B64,'TỔNG KLH + TN'!$C:$C,'01. TH'!J$4)</f>
        <v>0</v>
      </c>
      <c r="K64" s="126">
        <f>COUNTIFS('TỔNG KLH + TN'!$B:$B,'01. TH'!$B64,'TỔNG KLH + TN'!$C:$C,'01. TH'!K$4)</f>
        <v>0</v>
      </c>
      <c r="L64" s="126">
        <f>COUNTIFS('TỔNG KLH + TN'!$B:$B,'01. TH'!$B64,'TỔNG KLH + TN'!$C:$C,'01. TH'!L$4)</f>
        <v>0</v>
      </c>
      <c r="M64" s="126">
        <f>COUNTIFS('TỔNG KLH + TN'!$B:$B,'01. TH'!$B64,'TỔNG KLH + TN'!$C:$C,'01. TH'!M$4)</f>
        <v>0</v>
      </c>
      <c r="N64" s="126">
        <f>COUNTIFS('TỔNG KLH + TN'!$B:$B,'01. TH'!$B64,'TỔNG KLH + TN'!$C:$C,'01. TH'!N$4)</f>
        <v>0</v>
      </c>
      <c r="O64" s="126">
        <f>COUNTIFS('TỔNG KLH + TN'!$B:$B,'01. TH'!$B64,'TỔNG KLH + TN'!$C:$C,'01. TH'!O$4)</f>
        <v>0</v>
      </c>
      <c r="P64" s="126">
        <f>COUNTIFS('TỔNG KLH + TN'!$B:$B,'01. TH'!$B64,'TỔNG KLH + TN'!$C:$C,'01. TH'!P$4)</f>
        <v>0</v>
      </c>
      <c r="Q64" s="126">
        <f>COUNTIFS('TỔNG KLH + TN'!$B:$B,'01. TH'!$B64,'TỔNG KLH + TN'!$C:$C,'01. TH'!Q$4)</f>
        <v>0</v>
      </c>
      <c r="R64" s="126">
        <f>COUNTIFS('TỔNG KLH + TN'!$B:$B,'01. TH'!$B64,'TỔNG KLH + TN'!$C:$C,'01. TH'!R$4)</f>
        <v>0</v>
      </c>
      <c r="S64" s="126">
        <f>COUNTIFS('TỔNG KLH + TN'!$B:$B,'01. TH'!$B64,'TỔNG KLH + TN'!$C:$C,'01. TH'!S$4)</f>
        <v>0</v>
      </c>
      <c r="T64" s="126">
        <f>COUNTIFS('TỔNG KLH + TN'!$B:$B,'01. TH'!$B64,'TỔNG KLH + TN'!$C:$C,'01. TH'!T$4)</f>
        <v>0</v>
      </c>
      <c r="U64" s="126">
        <f>COUNTIFS('TỔNG KLH + TN'!$B:$B,'01. TH'!$B64,'TỔNG KLH + TN'!$C:$C,'01. TH'!U$4)</f>
        <v>0</v>
      </c>
      <c r="V64" s="126">
        <f>COUNTIFS('TỔNG KLH + TN'!$B:$B,'01. TH'!$B64,'TỔNG KLH + TN'!$C:$C,'01. TH'!V$4)</f>
        <v>0</v>
      </c>
      <c r="W64" s="126">
        <f>COUNTIFS('TỔNG KLH + TN'!$B:$B,'01. TH'!$B64,'TỔNG KLH + TN'!$C:$C,'01. TH'!W$4)</f>
        <v>0</v>
      </c>
      <c r="X64" s="126">
        <f>COUNTIFS('TỔNG KLH + TN'!$B:$B,'01. TH'!$B64,'TỔNG KLH + TN'!$C:$C,'01. TH'!X$4)</f>
        <v>0</v>
      </c>
      <c r="Y64" s="126">
        <f>COUNTIFS('TỔNG KLH + TN'!$B:$B,'01. TH'!$B64,'TỔNG KLH + TN'!$C:$C,'01. TH'!Y$4)</f>
        <v>0</v>
      </c>
      <c r="Z64" s="126">
        <f>COUNTIFS('TỔNG KLH + TN'!$B:$B,'01. TH'!$B64,'TỔNG KLH + TN'!$C:$C,'01. TH'!Z$4)</f>
        <v>0</v>
      </c>
      <c r="AA64" s="126">
        <f>COUNTIFS('TỔNG KLH + TN'!$B:$B,'01. TH'!$B64,'TỔNG KLH + TN'!$C:$C,'01. TH'!AA$4)</f>
        <v>0</v>
      </c>
      <c r="AB64" s="126">
        <f>COUNTIFS('TỔNG KLH + TN'!$B:$B,'01. TH'!$B64,'TỔNG KLH + TN'!$C:$C,'01. TH'!AB$4)</f>
        <v>0</v>
      </c>
      <c r="AC64" s="126">
        <f>COUNTIFS('TỔNG KLH + TN'!$B:$B,'01. TH'!$B64,'TỔNG KLH + TN'!$C:$C,'01. TH'!AC$4)</f>
        <v>0</v>
      </c>
      <c r="AD64" s="126">
        <f>COUNTIFS('TỔNG KLH + TN'!$B:$B,'01. TH'!$B64,'TỔNG KLH + TN'!$C:$C,'01. TH'!AD$4)</f>
        <v>0</v>
      </c>
      <c r="AE64" s="162">
        <f t="shared" si="15"/>
        <v>0</v>
      </c>
      <c r="AF64" s="162"/>
      <c r="AG64" s="70" t="str">
        <f t="shared" si="3"/>
        <v>ok</v>
      </c>
      <c r="AH64" s="163"/>
    </row>
    <row r="65" ht="18.75" hidden="1" customHeight="1" outlineLevel="1">
      <c r="A65" s="159"/>
      <c r="B65" s="205" t="s">
        <v>2385</v>
      </c>
      <c r="C65" s="123" t="s">
        <v>682</v>
      </c>
      <c r="D65" s="124" t="str">
        <f>IFERROR(VLOOKUP(#REF!,'Danh mục'!$G:$U,15,0),"")</f>
        <v/>
      </c>
      <c r="E65" s="124" t="s">
        <v>108</v>
      </c>
      <c r="F65" s="126">
        <f>COUNTIFS('TỔNG KLH + TN'!$B:$B,'01. TH'!$B65,'TỔNG KLH + TN'!$C:$C,'01. TH'!F$4)</f>
        <v>0</v>
      </c>
      <c r="G65" s="126">
        <f>COUNTIFS('TỔNG KLH + TN'!$B:$B,'01. TH'!$B65,'TỔNG KLH + TN'!$C:$C,'01. TH'!G$4)</f>
        <v>0</v>
      </c>
      <c r="H65" s="126">
        <f>COUNTIFS('TỔNG KLH + TN'!$B:$B,'01. TH'!$B65,'TỔNG KLH + TN'!$C:$C,'01. TH'!H$4)</f>
        <v>0</v>
      </c>
      <c r="I65" s="126">
        <f>COUNTIFS('TỔNG KLH + TN'!$B:$B,'01. TH'!$B65,'TỔNG KLH + TN'!$C:$C,'01. TH'!I$4)</f>
        <v>0</v>
      </c>
      <c r="J65" s="126">
        <f>COUNTIFS('TỔNG KLH + TN'!$B:$B,'01. TH'!$B65,'TỔNG KLH + TN'!$C:$C,'01. TH'!J$4)</f>
        <v>0</v>
      </c>
      <c r="K65" s="126">
        <f>COUNTIFS('TỔNG KLH + TN'!$B:$B,'01. TH'!$B65,'TỔNG KLH + TN'!$C:$C,'01. TH'!K$4)</f>
        <v>0</v>
      </c>
      <c r="L65" s="126">
        <f>COUNTIFS('TỔNG KLH + TN'!$B:$B,'01. TH'!$B65,'TỔNG KLH + TN'!$C:$C,'01. TH'!L$4)</f>
        <v>0</v>
      </c>
      <c r="M65" s="126">
        <f>COUNTIFS('TỔNG KLH + TN'!$B:$B,'01. TH'!$B65,'TỔNG KLH + TN'!$C:$C,'01. TH'!M$4)</f>
        <v>0</v>
      </c>
      <c r="N65" s="126">
        <f>COUNTIFS('TỔNG KLH + TN'!$B:$B,'01. TH'!$B65,'TỔNG KLH + TN'!$C:$C,'01. TH'!N$4)</f>
        <v>0</v>
      </c>
      <c r="O65" s="126">
        <f>COUNTIFS('TỔNG KLH + TN'!$B:$B,'01. TH'!$B65,'TỔNG KLH + TN'!$C:$C,'01. TH'!O$4)</f>
        <v>0</v>
      </c>
      <c r="P65" s="126">
        <f>COUNTIFS('TỔNG KLH + TN'!$B:$B,'01. TH'!$B65,'TỔNG KLH + TN'!$C:$C,'01. TH'!P$4)</f>
        <v>0</v>
      </c>
      <c r="Q65" s="126">
        <f>COUNTIFS('TỔNG KLH + TN'!$B:$B,'01. TH'!$B65,'TỔNG KLH + TN'!$C:$C,'01. TH'!Q$4)</f>
        <v>0</v>
      </c>
      <c r="R65" s="126">
        <f>COUNTIFS('TỔNG KLH + TN'!$B:$B,'01. TH'!$B65,'TỔNG KLH + TN'!$C:$C,'01. TH'!R$4)</f>
        <v>0</v>
      </c>
      <c r="S65" s="126">
        <f>COUNTIFS('TỔNG KLH + TN'!$B:$B,'01. TH'!$B65,'TỔNG KLH + TN'!$C:$C,'01. TH'!S$4)</f>
        <v>0</v>
      </c>
      <c r="T65" s="126">
        <f>COUNTIFS('TỔNG KLH + TN'!$B:$B,'01. TH'!$B65,'TỔNG KLH + TN'!$C:$C,'01. TH'!T$4)</f>
        <v>0</v>
      </c>
      <c r="U65" s="126">
        <f>COUNTIFS('TỔNG KLH + TN'!$B:$B,'01. TH'!$B65,'TỔNG KLH + TN'!$C:$C,'01. TH'!U$4)</f>
        <v>0</v>
      </c>
      <c r="V65" s="126">
        <f>COUNTIFS('TỔNG KLH + TN'!$B:$B,'01. TH'!$B65,'TỔNG KLH + TN'!$C:$C,'01. TH'!V$4)</f>
        <v>0</v>
      </c>
      <c r="W65" s="126">
        <f>COUNTIFS('TỔNG KLH + TN'!$B:$B,'01. TH'!$B65,'TỔNG KLH + TN'!$C:$C,'01. TH'!W$4)</f>
        <v>2</v>
      </c>
      <c r="X65" s="126">
        <f>COUNTIFS('TỔNG KLH + TN'!$B:$B,'01. TH'!$B65,'TỔNG KLH + TN'!$C:$C,'01. TH'!X$4)</f>
        <v>0</v>
      </c>
      <c r="Y65" s="126">
        <f>COUNTIFS('TỔNG KLH + TN'!$B:$B,'01. TH'!$B65,'TỔNG KLH + TN'!$C:$C,'01. TH'!Y$4)</f>
        <v>0</v>
      </c>
      <c r="Z65" s="126">
        <f>COUNTIFS('TỔNG KLH + TN'!$B:$B,'01. TH'!$B65,'TỔNG KLH + TN'!$C:$C,'01. TH'!Z$4)</f>
        <v>0</v>
      </c>
      <c r="AA65" s="126">
        <f>COUNTIFS('TỔNG KLH + TN'!$B:$B,'01. TH'!$B65,'TỔNG KLH + TN'!$C:$C,'01. TH'!AA$4)</f>
        <v>0</v>
      </c>
      <c r="AB65" s="126">
        <f>COUNTIFS('TỔNG KLH + TN'!$B:$B,'01. TH'!$B65,'TỔNG KLH + TN'!$C:$C,'01. TH'!AB$4)</f>
        <v>0</v>
      </c>
      <c r="AC65" s="126">
        <f>COUNTIFS('TỔNG KLH + TN'!$B:$B,'01. TH'!$B65,'TỔNG KLH + TN'!$C:$C,'01. TH'!AC$4)</f>
        <v>0</v>
      </c>
      <c r="AD65" s="126">
        <f>COUNTIFS('TỔNG KLH + TN'!$B:$B,'01. TH'!$B65,'TỔNG KLH + TN'!$C:$C,'01. TH'!AD$4)</f>
        <v>0</v>
      </c>
      <c r="AE65" s="162">
        <f t="shared" si="15"/>
        <v>2</v>
      </c>
      <c r="AF65" s="162"/>
      <c r="AG65" s="70" t="str">
        <f t="shared" si="3"/>
        <v>ok</v>
      </c>
      <c r="AH65" s="163"/>
    </row>
    <row r="66" ht="18.75" hidden="1" customHeight="1" outlineLevel="1">
      <c r="A66" s="159"/>
      <c r="B66" s="205" t="s">
        <v>910</v>
      </c>
      <c r="C66" s="123" t="s">
        <v>861</v>
      </c>
      <c r="D66" s="124" t="str">
        <f>IFERROR(VLOOKUP(#REF!,'Danh mục'!$G:$U,15,0),"")</f>
        <v/>
      </c>
      <c r="E66" s="124" t="s">
        <v>108</v>
      </c>
      <c r="F66" s="126">
        <f>COUNTIFS('TỔNG KLH + TN'!$B:$B,'01. TH'!$B66,'TỔNG KLH + TN'!$C:$C,'01. TH'!F$4)</f>
        <v>0</v>
      </c>
      <c r="G66" s="126">
        <f>COUNTIFS('TỔNG KLH + TN'!$B:$B,'01. TH'!$B66,'TỔNG KLH + TN'!$C:$C,'01. TH'!G$4)</f>
        <v>0</v>
      </c>
      <c r="H66" s="126">
        <f>COUNTIFS('TỔNG KLH + TN'!$B:$B,'01. TH'!$B66,'TỔNG KLH + TN'!$C:$C,'01. TH'!H$4)</f>
        <v>2</v>
      </c>
      <c r="I66" s="126">
        <f>COUNTIFS('TỔNG KLH + TN'!$B:$B,'01. TH'!$B66,'TỔNG KLH + TN'!$C:$C,'01. TH'!I$4)</f>
        <v>0</v>
      </c>
      <c r="J66" s="126">
        <f>COUNTIFS('TỔNG KLH + TN'!$B:$B,'01. TH'!$B66,'TỔNG KLH + TN'!$C:$C,'01. TH'!J$4)</f>
        <v>0</v>
      </c>
      <c r="K66" s="126">
        <f>COUNTIFS('TỔNG KLH + TN'!$B:$B,'01. TH'!$B66,'TỔNG KLH + TN'!$C:$C,'01. TH'!K$4)</f>
        <v>0</v>
      </c>
      <c r="L66" s="126">
        <f>COUNTIFS('TỔNG KLH + TN'!$B:$B,'01. TH'!$B66,'TỔNG KLH + TN'!$C:$C,'01. TH'!L$4)</f>
        <v>0</v>
      </c>
      <c r="M66" s="126">
        <f>COUNTIFS('TỔNG KLH + TN'!$B:$B,'01. TH'!$B66,'TỔNG KLH + TN'!$C:$C,'01. TH'!M$4)</f>
        <v>0</v>
      </c>
      <c r="N66" s="126">
        <f>COUNTIFS('TỔNG KLH + TN'!$B:$B,'01. TH'!$B66,'TỔNG KLH + TN'!$C:$C,'01. TH'!N$4)</f>
        <v>0</v>
      </c>
      <c r="O66" s="126">
        <f>COUNTIFS('TỔNG KLH + TN'!$B:$B,'01. TH'!$B66,'TỔNG KLH + TN'!$C:$C,'01. TH'!O$4)</f>
        <v>0</v>
      </c>
      <c r="P66" s="126">
        <f>COUNTIFS('TỔNG KLH + TN'!$B:$B,'01. TH'!$B66,'TỔNG KLH + TN'!$C:$C,'01. TH'!P$4)</f>
        <v>0</v>
      </c>
      <c r="Q66" s="126">
        <f>COUNTIFS('TỔNG KLH + TN'!$B:$B,'01. TH'!$B66,'TỔNG KLH + TN'!$C:$C,'01. TH'!Q$4)</f>
        <v>2</v>
      </c>
      <c r="R66" s="126">
        <f>COUNTIFS('TỔNG KLH + TN'!$B:$B,'01. TH'!$B66,'TỔNG KLH + TN'!$C:$C,'01. TH'!R$4)</f>
        <v>1</v>
      </c>
      <c r="S66" s="126">
        <f>COUNTIFS('TỔNG KLH + TN'!$B:$B,'01. TH'!$B66,'TỔNG KLH + TN'!$C:$C,'01. TH'!S$4)</f>
        <v>0</v>
      </c>
      <c r="T66" s="126">
        <f>COUNTIFS('TỔNG KLH + TN'!$B:$B,'01. TH'!$B66,'TỔNG KLH + TN'!$C:$C,'01. TH'!T$4)</f>
        <v>0</v>
      </c>
      <c r="U66" s="126">
        <f>COUNTIFS('TỔNG KLH + TN'!$B:$B,'01. TH'!$B66,'TỔNG KLH + TN'!$C:$C,'01. TH'!U$4)</f>
        <v>0</v>
      </c>
      <c r="V66" s="126">
        <f>COUNTIFS('TỔNG KLH + TN'!$B:$B,'01. TH'!$B66,'TỔNG KLH + TN'!$C:$C,'01. TH'!V$4)</f>
        <v>0</v>
      </c>
      <c r="W66" s="126">
        <f>COUNTIFS('TỔNG KLH + TN'!$B:$B,'01. TH'!$B66,'TỔNG KLH + TN'!$C:$C,'01. TH'!W$4)</f>
        <v>0</v>
      </c>
      <c r="X66" s="126">
        <f>COUNTIFS('TỔNG KLH + TN'!$B:$B,'01. TH'!$B66,'TỔNG KLH + TN'!$C:$C,'01. TH'!X$4)</f>
        <v>0</v>
      </c>
      <c r="Y66" s="126">
        <f>COUNTIFS('TỔNG KLH + TN'!$B:$B,'01. TH'!$B66,'TỔNG KLH + TN'!$C:$C,'01. TH'!Y$4)</f>
        <v>0</v>
      </c>
      <c r="Z66" s="126">
        <f>COUNTIFS('TỔNG KLH + TN'!$B:$B,'01. TH'!$B66,'TỔNG KLH + TN'!$C:$C,'01. TH'!Z$4)</f>
        <v>0</v>
      </c>
      <c r="AA66" s="126">
        <f>COUNTIFS('TỔNG KLH + TN'!$B:$B,'01. TH'!$B66,'TỔNG KLH + TN'!$C:$C,'01. TH'!AA$4)</f>
        <v>0</v>
      </c>
      <c r="AB66" s="126">
        <f>COUNTIFS('TỔNG KLH + TN'!$B:$B,'01. TH'!$B66,'TỔNG KLH + TN'!$C:$C,'01. TH'!AB$4)</f>
        <v>0</v>
      </c>
      <c r="AC66" s="126">
        <f>COUNTIFS('TỔNG KLH + TN'!$B:$B,'01. TH'!$B66,'TỔNG KLH + TN'!$C:$C,'01. TH'!AC$4)</f>
        <v>0</v>
      </c>
      <c r="AD66" s="126">
        <f>COUNTIFS('TỔNG KLH + TN'!$B:$B,'01. TH'!$B66,'TỔNG KLH + TN'!$C:$C,'01. TH'!AD$4)</f>
        <v>0</v>
      </c>
      <c r="AE66" s="162">
        <f t="shared" si="15"/>
        <v>5</v>
      </c>
      <c r="AF66" s="162"/>
      <c r="AG66" s="70" t="str">
        <f t="shared" si="3"/>
        <v>ok</v>
      </c>
      <c r="AH66" s="163"/>
    </row>
    <row r="67" ht="24.0" customHeight="1" collapsed="1">
      <c r="A67" s="70">
        <v>8.0</v>
      </c>
      <c r="B67" s="73" t="s">
        <v>2613</v>
      </c>
      <c r="C67" s="78"/>
      <c r="D67" s="78" t="str">
        <f>IFERROR(VLOOKUP(B67,'Danh mục'!$G:$U,15,0),"")</f>
        <v/>
      </c>
      <c r="E67" s="78"/>
      <c r="F67" s="172">
        <f t="shared" ref="F67:AE67" si="16">SUM(F68:F76)</f>
        <v>0</v>
      </c>
      <c r="G67" s="172">
        <f t="shared" si="16"/>
        <v>0</v>
      </c>
      <c r="H67" s="172">
        <f t="shared" si="16"/>
        <v>0</v>
      </c>
      <c r="I67" s="172">
        <f t="shared" si="16"/>
        <v>0</v>
      </c>
      <c r="J67" s="172">
        <f t="shared" si="16"/>
        <v>1</v>
      </c>
      <c r="K67" s="172">
        <f t="shared" si="16"/>
        <v>0</v>
      </c>
      <c r="L67" s="172">
        <f t="shared" si="16"/>
        <v>0</v>
      </c>
      <c r="M67" s="172">
        <f t="shared" si="16"/>
        <v>0</v>
      </c>
      <c r="N67" s="172">
        <f t="shared" si="16"/>
        <v>0</v>
      </c>
      <c r="O67" s="172">
        <f t="shared" si="16"/>
        <v>1</v>
      </c>
      <c r="P67" s="172">
        <f t="shared" si="16"/>
        <v>0</v>
      </c>
      <c r="Q67" s="172">
        <f t="shared" si="16"/>
        <v>0</v>
      </c>
      <c r="R67" s="172">
        <f t="shared" si="16"/>
        <v>0</v>
      </c>
      <c r="S67" s="172">
        <f t="shared" si="16"/>
        <v>1</v>
      </c>
      <c r="T67" s="172">
        <f t="shared" si="16"/>
        <v>0</v>
      </c>
      <c r="U67" s="172">
        <f t="shared" si="16"/>
        <v>0</v>
      </c>
      <c r="V67" s="172">
        <f t="shared" si="16"/>
        <v>0</v>
      </c>
      <c r="W67" s="172">
        <f t="shared" si="16"/>
        <v>5</v>
      </c>
      <c r="X67" s="172">
        <f t="shared" si="16"/>
        <v>10</v>
      </c>
      <c r="Y67" s="172">
        <f t="shared" si="16"/>
        <v>0</v>
      </c>
      <c r="Z67" s="172">
        <f t="shared" si="16"/>
        <v>0</v>
      </c>
      <c r="AA67" s="172">
        <f t="shared" si="16"/>
        <v>0</v>
      </c>
      <c r="AB67" s="172">
        <f t="shared" si="16"/>
        <v>0</v>
      </c>
      <c r="AC67" s="172">
        <f t="shared" si="16"/>
        <v>0</v>
      </c>
      <c r="AD67" s="172">
        <f t="shared" si="16"/>
        <v>0</v>
      </c>
      <c r="AE67" s="173">
        <f t="shared" si="16"/>
        <v>18</v>
      </c>
      <c r="AF67" s="174">
        <v>0.0</v>
      </c>
      <c r="AG67" s="70" t="str">
        <f t="shared" si="3"/>
        <v>ok</v>
      </c>
      <c r="AH67" s="120"/>
    </row>
    <row r="68" ht="18.75" hidden="1" customHeight="1" outlineLevel="1">
      <c r="A68" s="159"/>
      <c r="B68" s="122" t="s">
        <v>2621</v>
      </c>
      <c r="C68" s="123" t="s">
        <v>150</v>
      </c>
      <c r="D68" s="124" t="str">
        <f>IFERROR(VLOOKUP(B68,'Danh mục'!$G:$U,15,0),"")</f>
        <v>9290 x 2500 x 3370</v>
      </c>
      <c r="E68" s="124" t="s">
        <v>108</v>
      </c>
      <c r="F68" s="126">
        <f>COUNTIFS('TỔNG KLH + TN'!$B:$B,'01. TH'!$B68,'TỔNG KLH + TN'!$C:$C,'01. TH'!F$4)</f>
        <v>0</v>
      </c>
      <c r="G68" s="126">
        <f>COUNTIFS('TỔNG KLH + TN'!$B:$B,'01. TH'!$B68,'TỔNG KLH + TN'!$C:$C,'01. TH'!G$4)</f>
        <v>0</v>
      </c>
      <c r="H68" s="126">
        <f>COUNTIFS('TỔNG KLH + TN'!$B:$B,'01. TH'!$B68,'TỔNG KLH + TN'!$C:$C,'01. TH'!H$4)</f>
        <v>0</v>
      </c>
      <c r="I68" s="126">
        <f>COUNTIFS('TỔNG KLH + TN'!$B:$B,'01. TH'!$B68,'TỔNG KLH + TN'!$C:$C,'01. TH'!I$4)</f>
        <v>0</v>
      </c>
      <c r="J68" s="126">
        <f>COUNTIFS('TỔNG KLH + TN'!$B:$B,'01. TH'!$B68,'TỔNG KLH + TN'!$C:$C,'01. TH'!J$4)</f>
        <v>0</v>
      </c>
      <c r="K68" s="126">
        <f>COUNTIFS('TỔNG KLH + TN'!$B:$B,'01. TH'!$B68,'TỔNG KLH + TN'!$C:$C,'01. TH'!K$4)</f>
        <v>0</v>
      </c>
      <c r="L68" s="126">
        <f>COUNTIFS('TỔNG KLH + TN'!$B:$B,'01. TH'!$B68,'TỔNG KLH + TN'!$C:$C,'01. TH'!L$4)</f>
        <v>0</v>
      </c>
      <c r="M68" s="126">
        <f>COUNTIFS('TỔNG KLH + TN'!$B:$B,'01. TH'!$B68,'TỔNG KLH + TN'!$C:$C,'01. TH'!M$4)</f>
        <v>0</v>
      </c>
      <c r="N68" s="126">
        <f>COUNTIFS('TỔNG KLH + TN'!$B:$B,'01. TH'!$B68,'TỔNG KLH + TN'!$C:$C,'01. TH'!N$4)</f>
        <v>0</v>
      </c>
      <c r="O68" s="126">
        <f>COUNTIFS('TỔNG KLH + TN'!$B:$B,'01. TH'!$B68,'TỔNG KLH + TN'!$C:$C,'01. TH'!O$4)</f>
        <v>0</v>
      </c>
      <c r="P68" s="126">
        <f>COUNTIFS('TỔNG KLH + TN'!$B:$B,'01. TH'!$B68,'TỔNG KLH + TN'!$C:$C,'01. TH'!P$4)</f>
        <v>0</v>
      </c>
      <c r="Q68" s="126">
        <f>COUNTIFS('TỔNG KLH + TN'!$B:$B,'01. TH'!$B68,'TỔNG KLH + TN'!$C:$C,'01. TH'!Q$4)</f>
        <v>0</v>
      </c>
      <c r="R68" s="126">
        <f>COUNTIFS('TỔNG KLH + TN'!$B:$B,'01. TH'!$B68,'TỔNG KLH + TN'!$C:$C,'01. TH'!R$4)</f>
        <v>0</v>
      </c>
      <c r="S68" s="126">
        <f>COUNTIFS('TỔNG KLH + TN'!$B:$B,'01. TH'!$B68,'TỔNG KLH + TN'!$C:$C,'01. TH'!S$4)</f>
        <v>0</v>
      </c>
      <c r="T68" s="126">
        <f>COUNTIFS('TỔNG KLH + TN'!$B:$B,'01. TH'!$B68,'TỔNG KLH + TN'!$C:$C,'01. TH'!T$4)</f>
        <v>0</v>
      </c>
      <c r="U68" s="126">
        <f>COUNTIFS('TỔNG KLH + TN'!$B:$B,'01. TH'!$B68,'TỔNG KLH + TN'!$C:$C,'01. TH'!U$4)</f>
        <v>0</v>
      </c>
      <c r="V68" s="126">
        <f>COUNTIFS('TỔNG KLH + TN'!$B:$B,'01. TH'!$B68,'TỔNG KLH + TN'!$C:$C,'01. TH'!V$4)</f>
        <v>0</v>
      </c>
      <c r="W68" s="126">
        <f>COUNTIFS('TỔNG KLH + TN'!$B:$B,'01. TH'!$B68,'TỔNG KLH + TN'!$C:$C,'01. TH'!W$4)</f>
        <v>0</v>
      </c>
      <c r="X68" s="126">
        <f>COUNTIFS('TỔNG KLH + TN'!$B:$B,'01. TH'!$B68,'TỔNG KLH + TN'!$C:$C,'01. TH'!X$4)</f>
        <v>0</v>
      </c>
      <c r="Y68" s="126">
        <f>COUNTIFS('TỔNG KLH + TN'!$B:$B,'01. TH'!$B68,'TỔNG KLH + TN'!$C:$C,'01. TH'!Y$4)</f>
        <v>0</v>
      </c>
      <c r="Z68" s="126">
        <f>COUNTIFS('TỔNG KLH + TN'!$B:$B,'01. TH'!$B68,'TỔNG KLH + TN'!$C:$C,'01. TH'!Z$4)</f>
        <v>0</v>
      </c>
      <c r="AA68" s="126">
        <f>COUNTIFS('TỔNG KLH + TN'!$B:$B,'01. TH'!$B68,'TỔNG KLH + TN'!$C:$C,'01. TH'!AA$4)</f>
        <v>0</v>
      </c>
      <c r="AB68" s="126">
        <f>COUNTIFS('TỔNG KLH + TN'!$B:$B,'01. TH'!$B68,'TỔNG KLH + TN'!$C:$C,'01. TH'!AB$4)</f>
        <v>0</v>
      </c>
      <c r="AC68" s="126">
        <f>COUNTIFS('TỔNG KLH + TN'!$B:$B,'01. TH'!$B68,'TỔNG KLH + TN'!$C:$C,'01. TH'!AC$4)</f>
        <v>0</v>
      </c>
      <c r="AD68" s="126">
        <f>COUNTIFS('TỔNG KLH + TN'!$B:$B,'01. TH'!$B68,'TỔNG KLH + TN'!$C:$C,'01. TH'!AD$4)</f>
        <v>0</v>
      </c>
      <c r="AE68" s="162">
        <f t="shared" ref="AE68:AE76" si="17">SUM(F68:AD68)</f>
        <v>0</v>
      </c>
      <c r="AF68" s="162"/>
      <c r="AG68" s="70" t="str">
        <f t="shared" si="3"/>
        <v>ok</v>
      </c>
      <c r="AH68" s="163"/>
    </row>
    <row r="69" ht="18.75" hidden="1" customHeight="1" outlineLevel="1">
      <c r="A69" s="121"/>
      <c r="B69" s="205" t="s">
        <v>419</v>
      </c>
      <c r="C69" s="123" t="s">
        <v>413</v>
      </c>
      <c r="D69" s="124" t="str">
        <f>IFERROR(VLOOKUP(B69,'Danh mục'!$G:$U,15,0),"")</f>
        <v>6170 x 2330 x 2750</v>
      </c>
      <c r="E69" s="124" t="s">
        <v>108</v>
      </c>
      <c r="F69" s="126">
        <f>COUNTIFS('TỔNG KLH + TN'!$B:$B,'01. TH'!$B69,'TỔNG KLH + TN'!$C:$C,'01. TH'!F$4)</f>
        <v>0</v>
      </c>
      <c r="G69" s="126">
        <f>COUNTIFS('TỔNG KLH + TN'!$B:$B,'01. TH'!$B69,'TỔNG KLH + TN'!$C:$C,'01. TH'!G$4)</f>
        <v>0</v>
      </c>
      <c r="H69" s="126">
        <f>COUNTIFS('TỔNG KLH + TN'!$B:$B,'01. TH'!$B69,'TỔNG KLH + TN'!$C:$C,'01. TH'!H$4)</f>
        <v>0</v>
      </c>
      <c r="I69" s="126">
        <f>COUNTIFS('TỔNG KLH + TN'!$B:$B,'01. TH'!$B69,'TỔNG KLH + TN'!$C:$C,'01. TH'!I$4)</f>
        <v>0</v>
      </c>
      <c r="J69" s="126">
        <f>COUNTIFS('TỔNG KLH + TN'!$B:$B,'01. TH'!$B69,'TỔNG KLH + TN'!$C:$C,'01. TH'!J$4)</f>
        <v>1</v>
      </c>
      <c r="K69" s="126">
        <f>COUNTIFS('TỔNG KLH + TN'!$B:$B,'01. TH'!$B69,'TỔNG KLH + TN'!$C:$C,'01. TH'!K$4)</f>
        <v>0</v>
      </c>
      <c r="L69" s="126">
        <f>COUNTIFS('TỔNG KLH + TN'!$B:$B,'01. TH'!$B69,'TỔNG KLH + TN'!$C:$C,'01. TH'!L$4)</f>
        <v>0</v>
      </c>
      <c r="M69" s="126">
        <f>COUNTIFS('TỔNG KLH + TN'!$B:$B,'01. TH'!$B69,'TỔNG KLH + TN'!$C:$C,'01. TH'!M$4)</f>
        <v>0</v>
      </c>
      <c r="N69" s="126">
        <f>COUNTIFS('TỔNG KLH + TN'!$B:$B,'01. TH'!$B69,'TỔNG KLH + TN'!$C:$C,'01. TH'!N$4)</f>
        <v>0</v>
      </c>
      <c r="O69" s="126">
        <f>COUNTIFS('TỔNG KLH + TN'!$B:$B,'01. TH'!$B69,'TỔNG KLH + TN'!$C:$C,'01. TH'!O$4)</f>
        <v>1</v>
      </c>
      <c r="P69" s="126">
        <f>COUNTIFS('TỔNG KLH + TN'!$B:$B,'01. TH'!$B69,'TỔNG KLH + TN'!$C:$C,'01. TH'!P$4)</f>
        <v>0</v>
      </c>
      <c r="Q69" s="126">
        <f>COUNTIFS('TỔNG KLH + TN'!$B:$B,'01. TH'!$B69,'TỔNG KLH + TN'!$C:$C,'01. TH'!Q$4)</f>
        <v>0</v>
      </c>
      <c r="R69" s="126">
        <f>COUNTIFS('TỔNG KLH + TN'!$B:$B,'01. TH'!$B69,'TỔNG KLH + TN'!$C:$C,'01. TH'!R$4)</f>
        <v>0</v>
      </c>
      <c r="S69" s="126">
        <f>COUNTIFS('TỔNG KLH + TN'!$B:$B,'01. TH'!$B69,'TỔNG KLH + TN'!$C:$C,'01. TH'!S$4)</f>
        <v>0</v>
      </c>
      <c r="T69" s="126">
        <f>COUNTIFS('TỔNG KLH + TN'!$B:$B,'01. TH'!$B69,'TỔNG KLH + TN'!$C:$C,'01. TH'!T$4)</f>
        <v>0</v>
      </c>
      <c r="U69" s="126">
        <f>COUNTIFS('TỔNG KLH + TN'!$B:$B,'01. TH'!$B69,'TỔNG KLH + TN'!$C:$C,'01. TH'!U$4)</f>
        <v>0</v>
      </c>
      <c r="V69" s="126">
        <f>COUNTIFS('TỔNG KLH + TN'!$B:$B,'01. TH'!$B69,'TỔNG KLH + TN'!$C:$C,'01. TH'!V$4)</f>
        <v>0</v>
      </c>
      <c r="W69" s="126">
        <f>COUNTIFS('TỔNG KLH + TN'!$B:$B,'01. TH'!$B69,'TỔNG KLH + TN'!$C:$C,'01. TH'!W$4)</f>
        <v>0</v>
      </c>
      <c r="X69" s="126">
        <f>COUNTIFS('TỔNG KLH + TN'!$B:$B,'01. TH'!$B69,'TỔNG KLH + TN'!$C:$C,'01. TH'!X$4)</f>
        <v>0</v>
      </c>
      <c r="Y69" s="126">
        <f>COUNTIFS('TỔNG KLH + TN'!$B:$B,'01. TH'!$B69,'TỔNG KLH + TN'!$C:$C,'01. TH'!Y$4)</f>
        <v>0</v>
      </c>
      <c r="Z69" s="126">
        <f>COUNTIFS('TỔNG KLH + TN'!$B:$B,'01. TH'!$B69,'TỔNG KLH + TN'!$C:$C,'01. TH'!Z$4)</f>
        <v>0</v>
      </c>
      <c r="AA69" s="126">
        <f>COUNTIFS('TỔNG KLH + TN'!$B:$B,'01. TH'!$B69,'TỔNG KLH + TN'!$C:$C,'01. TH'!AA$4)</f>
        <v>0</v>
      </c>
      <c r="AB69" s="126">
        <f>COUNTIFS('TỔNG KLH + TN'!$B:$B,'01. TH'!$B69,'TỔNG KLH + TN'!$C:$C,'01. TH'!AB$4)</f>
        <v>0</v>
      </c>
      <c r="AC69" s="126">
        <f>COUNTIFS('TỔNG KLH + TN'!$B:$B,'01. TH'!$B69,'TỔNG KLH + TN'!$C:$C,'01. TH'!AC$4)</f>
        <v>0</v>
      </c>
      <c r="AD69" s="126">
        <f>COUNTIFS('TỔNG KLH + TN'!$B:$B,'01. TH'!$B69,'TỔNG KLH + TN'!$C:$C,'01. TH'!AD$4)</f>
        <v>0</v>
      </c>
      <c r="AE69" s="136">
        <f t="shared" si="17"/>
        <v>2</v>
      </c>
      <c r="AF69" s="136"/>
      <c r="AG69" s="70" t="str">
        <f t="shared" si="3"/>
        <v>ok</v>
      </c>
      <c r="AH69" s="124"/>
    </row>
    <row r="70" ht="18.75" hidden="1" customHeight="1" outlineLevel="1">
      <c r="A70" s="121"/>
      <c r="B70" s="122" t="s">
        <v>2708</v>
      </c>
      <c r="C70" s="123" t="s">
        <v>203</v>
      </c>
      <c r="D70" s="124" t="str">
        <f>IFERROR(VLOOKUP(B70,'Danh mục'!$G:$U,15,0),"")</f>
        <v>9290 x 2500 x 3370</v>
      </c>
      <c r="E70" s="124" t="s">
        <v>108</v>
      </c>
      <c r="F70" s="126">
        <f>COUNTIFS('TỔNG KLH + TN'!$B:$B,'01. TH'!$B70,'TỔNG KLH + TN'!$C:$C,'01. TH'!F$4)</f>
        <v>0</v>
      </c>
      <c r="G70" s="126">
        <f>COUNTIFS('TỔNG KLH + TN'!$B:$B,'01. TH'!$B70,'TỔNG KLH + TN'!$C:$C,'01. TH'!G$4)</f>
        <v>0</v>
      </c>
      <c r="H70" s="126">
        <f>COUNTIFS('TỔNG KLH + TN'!$B:$B,'01. TH'!$B70,'TỔNG KLH + TN'!$C:$C,'01. TH'!H$4)</f>
        <v>0</v>
      </c>
      <c r="I70" s="126">
        <f>COUNTIFS('TỔNG KLH + TN'!$B:$B,'01. TH'!$B70,'TỔNG KLH + TN'!$C:$C,'01. TH'!I$4)</f>
        <v>0</v>
      </c>
      <c r="J70" s="126">
        <f>COUNTIFS('TỔNG KLH + TN'!$B:$B,'01. TH'!$B70,'TỔNG KLH + TN'!$C:$C,'01. TH'!J$4)</f>
        <v>0</v>
      </c>
      <c r="K70" s="126">
        <f>COUNTIFS('TỔNG KLH + TN'!$B:$B,'01. TH'!$B70,'TỔNG KLH + TN'!$C:$C,'01. TH'!K$4)</f>
        <v>0</v>
      </c>
      <c r="L70" s="126">
        <f>COUNTIFS('TỔNG KLH + TN'!$B:$B,'01. TH'!$B70,'TỔNG KLH + TN'!$C:$C,'01. TH'!L$4)</f>
        <v>0</v>
      </c>
      <c r="M70" s="126">
        <f>COUNTIFS('TỔNG KLH + TN'!$B:$B,'01. TH'!$B70,'TỔNG KLH + TN'!$C:$C,'01. TH'!M$4)</f>
        <v>0</v>
      </c>
      <c r="N70" s="126">
        <f>COUNTIFS('TỔNG KLH + TN'!$B:$B,'01. TH'!$B70,'TỔNG KLH + TN'!$C:$C,'01. TH'!N$4)</f>
        <v>0</v>
      </c>
      <c r="O70" s="126">
        <f>COUNTIFS('TỔNG KLH + TN'!$B:$B,'01. TH'!$B70,'TỔNG KLH + TN'!$C:$C,'01. TH'!O$4)</f>
        <v>0</v>
      </c>
      <c r="P70" s="126">
        <f>COUNTIFS('TỔNG KLH + TN'!$B:$B,'01. TH'!$B70,'TỔNG KLH + TN'!$C:$C,'01. TH'!P$4)</f>
        <v>0</v>
      </c>
      <c r="Q70" s="126">
        <f>COUNTIFS('TỔNG KLH + TN'!$B:$B,'01. TH'!$B70,'TỔNG KLH + TN'!$C:$C,'01. TH'!Q$4)</f>
        <v>0</v>
      </c>
      <c r="R70" s="126">
        <f>COUNTIFS('TỔNG KLH + TN'!$B:$B,'01. TH'!$B70,'TỔNG KLH + TN'!$C:$C,'01. TH'!R$4)</f>
        <v>0</v>
      </c>
      <c r="S70" s="126">
        <f>COUNTIFS('TỔNG KLH + TN'!$B:$B,'01. TH'!$B70,'TỔNG KLH + TN'!$C:$C,'01. TH'!S$4)</f>
        <v>0</v>
      </c>
      <c r="T70" s="126">
        <f>COUNTIFS('TỔNG KLH + TN'!$B:$B,'01. TH'!$B70,'TỔNG KLH + TN'!$C:$C,'01. TH'!T$4)</f>
        <v>0</v>
      </c>
      <c r="U70" s="126">
        <f>COUNTIFS('TỔNG KLH + TN'!$B:$B,'01. TH'!$B70,'TỔNG KLH + TN'!$C:$C,'01. TH'!U$4)</f>
        <v>0</v>
      </c>
      <c r="V70" s="126">
        <f>COUNTIFS('TỔNG KLH + TN'!$B:$B,'01. TH'!$B70,'TỔNG KLH + TN'!$C:$C,'01. TH'!V$4)</f>
        <v>0</v>
      </c>
      <c r="W70" s="126">
        <f>COUNTIFS('TỔNG KLH + TN'!$B:$B,'01. TH'!$B70,'TỔNG KLH + TN'!$C:$C,'01. TH'!W$4)</f>
        <v>0</v>
      </c>
      <c r="X70" s="126">
        <f>COUNTIFS('TỔNG KLH + TN'!$B:$B,'01. TH'!$B70,'TỔNG KLH + TN'!$C:$C,'01. TH'!X$4)</f>
        <v>0</v>
      </c>
      <c r="Y70" s="126">
        <f>COUNTIFS('TỔNG KLH + TN'!$B:$B,'01. TH'!$B70,'TỔNG KLH + TN'!$C:$C,'01. TH'!Y$4)</f>
        <v>0</v>
      </c>
      <c r="Z70" s="126">
        <f>COUNTIFS('TỔNG KLH + TN'!$B:$B,'01. TH'!$B70,'TỔNG KLH + TN'!$C:$C,'01. TH'!Z$4)</f>
        <v>0</v>
      </c>
      <c r="AA70" s="126">
        <f>COUNTIFS('TỔNG KLH + TN'!$B:$B,'01. TH'!$B70,'TỔNG KLH + TN'!$C:$C,'01. TH'!AA$4)</f>
        <v>0</v>
      </c>
      <c r="AB70" s="126">
        <f>COUNTIFS('TỔNG KLH + TN'!$B:$B,'01. TH'!$B70,'TỔNG KLH + TN'!$C:$C,'01. TH'!AB$4)</f>
        <v>0</v>
      </c>
      <c r="AC70" s="126">
        <f>COUNTIFS('TỔNG KLH + TN'!$B:$B,'01. TH'!$B70,'TỔNG KLH + TN'!$C:$C,'01. TH'!AC$4)</f>
        <v>0</v>
      </c>
      <c r="AD70" s="126">
        <f>COUNTIFS('TỔNG KLH + TN'!$B:$B,'01. TH'!$B70,'TỔNG KLH + TN'!$C:$C,'01. TH'!AD$4)</f>
        <v>0</v>
      </c>
      <c r="AE70" s="136">
        <f t="shared" si="17"/>
        <v>0</v>
      </c>
      <c r="AF70" s="136"/>
      <c r="AG70" s="70" t="str">
        <f t="shared" si="3"/>
        <v>ok</v>
      </c>
      <c r="AH70" s="121"/>
    </row>
    <row r="71" ht="18.75" hidden="1" customHeight="1" outlineLevel="1">
      <c r="A71" s="159"/>
      <c r="B71" s="122" t="s">
        <v>569</v>
      </c>
      <c r="C71" s="123" t="s">
        <v>571</v>
      </c>
      <c r="D71" s="124" t="str">
        <f>IFERROR(VLOOKUP(B71,'Danh mục'!$G:$U,15,0),"")</f>
        <v>9290 x 2500 x 3370</v>
      </c>
      <c r="E71" s="124" t="s">
        <v>108</v>
      </c>
      <c r="F71" s="126">
        <f>COUNTIFS('TỔNG KLH + TN'!$B:$B,'01. TH'!$B71,'TỔNG KLH + TN'!$C:$C,'01. TH'!F$4)</f>
        <v>0</v>
      </c>
      <c r="G71" s="126">
        <f>COUNTIFS('TỔNG KLH + TN'!$B:$B,'01. TH'!$B71,'TỔNG KLH + TN'!$C:$C,'01. TH'!G$4)</f>
        <v>0</v>
      </c>
      <c r="H71" s="126">
        <f>COUNTIFS('TỔNG KLH + TN'!$B:$B,'01. TH'!$B71,'TỔNG KLH + TN'!$C:$C,'01. TH'!H$4)</f>
        <v>0</v>
      </c>
      <c r="I71" s="126">
        <f>COUNTIFS('TỔNG KLH + TN'!$B:$B,'01. TH'!$B71,'TỔNG KLH + TN'!$C:$C,'01. TH'!I$4)</f>
        <v>0</v>
      </c>
      <c r="J71" s="126">
        <f>COUNTIFS('TỔNG KLH + TN'!$B:$B,'01. TH'!$B71,'TỔNG KLH + TN'!$C:$C,'01. TH'!J$4)</f>
        <v>0</v>
      </c>
      <c r="K71" s="126">
        <f>COUNTIFS('TỔNG KLH + TN'!$B:$B,'01. TH'!$B71,'TỔNG KLH + TN'!$C:$C,'01. TH'!K$4)</f>
        <v>0</v>
      </c>
      <c r="L71" s="126">
        <f>COUNTIFS('TỔNG KLH + TN'!$B:$B,'01. TH'!$B71,'TỔNG KLH + TN'!$C:$C,'01. TH'!L$4)</f>
        <v>0</v>
      </c>
      <c r="M71" s="126">
        <f>COUNTIFS('TỔNG KLH + TN'!$B:$B,'01. TH'!$B71,'TỔNG KLH + TN'!$C:$C,'01. TH'!M$4)</f>
        <v>0</v>
      </c>
      <c r="N71" s="126">
        <f>COUNTIFS('TỔNG KLH + TN'!$B:$B,'01. TH'!$B71,'TỔNG KLH + TN'!$C:$C,'01. TH'!N$4)</f>
        <v>0</v>
      </c>
      <c r="O71" s="126">
        <f>COUNTIFS('TỔNG KLH + TN'!$B:$B,'01. TH'!$B71,'TỔNG KLH + TN'!$C:$C,'01. TH'!O$4)</f>
        <v>0</v>
      </c>
      <c r="P71" s="126">
        <f>COUNTIFS('TỔNG KLH + TN'!$B:$B,'01. TH'!$B71,'TỔNG KLH + TN'!$C:$C,'01. TH'!P$4)</f>
        <v>0</v>
      </c>
      <c r="Q71" s="126">
        <f>COUNTIFS('TỔNG KLH + TN'!$B:$B,'01. TH'!$B71,'TỔNG KLH + TN'!$C:$C,'01. TH'!Q$4)</f>
        <v>0</v>
      </c>
      <c r="R71" s="126">
        <f>COUNTIFS('TỔNG KLH + TN'!$B:$B,'01. TH'!$B71,'TỔNG KLH + TN'!$C:$C,'01. TH'!R$4)</f>
        <v>0</v>
      </c>
      <c r="S71" s="126">
        <f>COUNTIFS('TỔNG KLH + TN'!$B:$B,'01. TH'!$B71,'TỔNG KLH + TN'!$C:$C,'01. TH'!S$4)</f>
        <v>1</v>
      </c>
      <c r="T71" s="126">
        <f>COUNTIFS('TỔNG KLH + TN'!$B:$B,'01. TH'!$B71,'TỔNG KLH + TN'!$C:$C,'01. TH'!T$4)</f>
        <v>0</v>
      </c>
      <c r="U71" s="126">
        <f>COUNTIFS('TỔNG KLH + TN'!$B:$B,'01. TH'!$B71,'TỔNG KLH + TN'!$C:$C,'01. TH'!U$4)</f>
        <v>0</v>
      </c>
      <c r="V71" s="126">
        <f>COUNTIFS('TỔNG KLH + TN'!$B:$B,'01. TH'!$B71,'TỔNG KLH + TN'!$C:$C,'01. TH'!V$4)</f>
        <v>0</v>
      </c>
      <c r="W71" s="126">
        <f>COUNTIFS('TỔNG KLH + TN'!$B:$B,'01. TH'!$B71,'TỔNG KLH + TN'!$C:$C,'01. TH'!W$4)</f>
        <v>0</v>
      </c>
      <c r="X71" s="126">
        <f>COUNTIFS('TỔNG KLH + TN'!$B:$B,'01. TH'!$B71,'TỔNG KLH + TN'!$C:$C,'01. TH'!X$4)</f>
        <v>0</v>
      </c>
      <c r="Y71" s="126">
        <f>COUNTIFS('TỔNG KLH + TN'!$B:$B,'01. TH'!$B71,'TỔNG KLH + TN'!$C:$C,'01. TH'!Y$4)</f>
        <v>0</v>
      </c>
      <c r="Z71" s="126">
        <f>COUNTIFS('TỔNG KLH + TN'!$B:$B,'01. TH'!$B71,'TỔNG KLH + TN'!$C:$C,'01. TH'!Z$4)</f>
        <v>0</v>
      </c>
      <c r="AA71" s="126">
        <f>COUNTIFS('TỔNG KLH + TN'!$B:$B,'01. TH'!$B71,'TỔNG KLH + TN'!$C:$C,'01. TH'!AA$4)</f>
        <v>0</v>
      </c>
      <c r="AB71" s="126">
        <f>COUNTIFS('TỔNG KLH + TN'!$B:$B,'01. TH'!$B71,'TỔNG KLH + TN'!$C:$C,'01. TH'!AB$4)</f>
        <v>0</v>
      </c>
      <c r="AC71" s="126">
        <f>COUNTIFS('TỔNG KLH + TN'!$B:$B,'01. TH'!$B71,'TỔNG KLH + TN'!$C:$C,'01. TH'!AC$4)</f>
        <v>0</v>
      </c>
      <c r="AD71" s="126">
        <f>COUNTIFS('TỔNG KLH + TN'!$B:$B,'01. TH'!$B71,'TỔNG KLH + TN'!$C:$C,'01. TH'!AD$4)</f>
        <v>0</v>
      </c>
      <c r="AE71" s="162">
        <f t="shared" si="17"/>
        <v>1</v>
      </c>
      <c r="AF71" s="162"/>
      <c r="AG71" s="70" t="str">
        <f t="shared" si="3"/>
        <v>ok</v>
      </c>
      <c r="AH71" s="163"/>
    </row>
    <row r="72" ht="18.75" hidden="1" customHeight="1" outlineLevel="1">
      <c r="A72" s="159"/>
      <c r="B72" s="122" t="s">
        <v>2391</v>
      </c>
      <c r="C72" s="123" t="s">
        <v>150</v>
      </c>
      <c r="D72" s="124" t="str">
        <f>IFERROR(VLOOKUP(B72,'Danh mục'!$G:$U,15,0),"")</f>
        <v>9290 x 2500 x 3370</v>
      </c>
      <c r="E72" s="124" t="s">
        <v>108</v>
      </c>
      <c r="F72" s="126">
        <f>COUNTIFS('TỔNG KLH + TN'!$B:$B,'01. TH'!$B72,'TỔNG KLH + TN'!$C:$C,'01. TH'!F$4)</f>
        <v>0</v>
      </c>
      <c r="G72" s="126">
        <f>COUNTIFS('TỔNG KLH + TN'!$B:$B,'01. TH'!$B72,'TỔNG KLH + TN'!$C:$C,'01. TH'!G$4)</f>
        <v>0</v>
      </c>
      <c r="H72" s="126">
        <f>COUNTIFS('TỔNG KLH + TN'!$B:$B,'01. TH'!$B72,'TỔNG KLH + TN'!$C:$C,'01. TH'!H$4)</f>
        <v>0</v>
      </c>
      <c r="I72" s="126">
        <f>COUNTIFS('TỔNG KLH + TN'!$B:$B,'01. TH'!$B72,'TỔNG KLH + TN'!$C:$C,'01. TH'!I$4)</f>
        <v>0</v>
      </c>
      <c r="J72" s="126">
        <f>COUNTIFS('TỔNG KLH + TN'!$B:$B,'01. TH'!$B72,'TỔNG KLH + TN'!$C:$C,'01. TH'!J$4)</f>
        <v>0</v>
      </c>
      <c r="K72" s="126">
        <f>COUNTIFS('TỔNG KLH + TN'!$B:$B,'01. TH'!$B72,'TỔNG KLH + TN'!$C:$C,'01. TH'!K$4)</f>
        <v>0</v>
      </c>
      <c r="L72" s="126">
        <f>COUNTIFS('TỔNG KLH + TN'!$B:$B,'01. TH'!$B72,'TỔNG KLH + TN'!$C:$C,'01. TH'!L$4)</f>
        <v>0</v>
      </c>
      <c r="M72" s="126">
        <f>COUNTIFS('TỔNG KLH + TN'!$B:$B,'01. TH'!$B72,'TỔNG KLH + TN'!$C:$C,'01. TH'!M$4)</f>
        <v>0</v>
      </c>
      <c r="N72" s="126">
        <f>COUNTIFS('TỔNG KLH + TN'!$B:$B,'01. TH'!$B72,'TỔNG KLH + TN'!$C:$C,'01. TH'!N$4)</f>
        <v>0</v>
      </c>
      <c r="O72" s="126">
        <f>COUNTIFS('TỔNG KLH + TN'!$B:$B,'01. TH'!$B72,'TỔNG KLH + TN'!$C:$C,'01. TH'!O$4)</f>
        <v>0</v>
      </c>
      <c r="P72" s="126">
        <f>COUNTIFS('TỔNG KLH + TN'!$B:$B,'01. TH'!$B72,'TỔNG KLH + TN'!$C:$C,'01. TH'!P$4)</f>
        <v>0</v>
      </c>
      <c r="Q72" s="126">
        <f>COUNTIFS('TỔNG KLH + TN'!$B:$B,'01. TH'!$B72,'TỔNG KLH + TN'!$C:$C,'01. TH'!Q$4)</f>
        <v>0</v>
      </c>
      <c r="R72" s="126">
        <f>COUNTIFS('TỔNG KLH + TN'!$B:$B,'01. TH'!$B72,'TỔNG KLH + TN'!$C:$C,'01. TH'!R$4)</f>
        <v>0</v>
      </c>
      <c r="S72" s="126">
        <f>COUNTIFS('TỔNG KLH + TN'!$B:$B,'01. TH'!$B72,'TỔNG KLH + TN'!$C:$C,'01. TH'!S$4)</f>
        <v>0</v>
      </c>
      <c r="T72" s="126">
        <f>COUNTIFS('TỔNG KLH + TN'!$B:$B,'01. TH'!$B72,'TỔNG KLH + TN'!$C:$C,'01. TH'!T$4)</f>
        <v>0</v>
      </c>
      <c r="U72" s="126">
        <f>COUNTIFS('TỔNG KLH + TN'!$B:$B,'01. TH'!$B72,'TỔNG KLH + TN'!$C:$C,'01. TH'!U$4)</f>
        <v>0</v>
      </c>
      <c r="V72" s="126">
        <f>COUNTIFS('TỔNG KLH + TN'!$B:$B,'01. TH'!$B72,'TỔNG KLH + TN'!$C:$C,'01. TH'!V$4)</f>
        <v>0</v>
      </c>
      <c r="W72" s="126">
        <f>COUNTIFS('TỔNG KLH + TN'!$B:$B,'01. TH'!$B72,'TỔNG KLH + TN'!$C:$C,'01. TH'!W$4)</f>
        <v>4</v>
      </c>
      <c r="X72" s="126">
        <f>COUNTIFS('TỔNG KLH + TN'!$B:$B,'01. TH'!$B72,'TỔNG KLH + TN'!$C:$C,'01. TH'!X$4)</f>
        <v>0</v>
      </c>
      <c r="Y72" s="126">
        <f>COUNTIFS('TỔNG KLH + TN'!$B:$B,'01. TH'!$B72,'TỔNG KLH + TN'!$C:$C,'01. TH'!Y$4)</f>
        <v>0</v>
      </c>
      <c r="Z72" s="126">
        <f>COUNTIFS('TỔNG KLH + TN'!$B:$B,'01. TH'!$B72,'TỔNG KLH + TN'!$C:$C,'01. TH'!Z$4)</f>
        <v>0</v>
      </c>
      <c r="AA72" s="126">
        <f>COUNTIFS('TỔNG KLH + TN'!$B:$B,'01. TH'!$B72,'TỔNG KLH + TN'!$C:$C,'01. TH'!AA$4)</f>
        <v>0</v>
      </c>
      <c r="AB72" s="126">
        <f>COUNTIFS('TỔNG KLH + TN'!$B:$B,'01. TH'!$B72,'TỔNG KLH + TN'!$C:$C,'01. TH'!AB$4)</f>
        <v>0</v>
      </c>
      <c r="AC72" s="126">
        <f>COUNTIFS('TỔNG KLH + TN'!$B:$B,'01. TH'!$B72,'TỔNG KLH + TN'!$C:$C,'01. TH'!AC$4)</f>
        <v>0</v>
      </c>
      <c r="AD72" s="126">
        <f>COUNTIFS('TỔNG KLH + TN'!$B:$B,'01. TH'!$B72,'TỔNG KLH + TN'!$C:$C,'01. TH'!AD$4)</f>
        <v>0</v>
      </c>
      <c r="AE72" s="162">
        <f t="shared" si="17"/>
        <v>4</v>
      </c>
      <c r="AF72" s="162"/>
      <c r="AG72" s="70" t="str">
        <f t="shared" si="3"/>
        <v>ok</v>
      </c>
      <c r="AH72" s="163"/>
    </row>
    <row r="73" ht="18.75" hidden="1" customHeight="1" outlineLevel="1">
      <c r="A73" s="159"/>
      <c r="B73" s="122" t="s">
        <v>2458</v>
      </c>
      <c r="C73" s="123" t="s">
        <v>2857</v>
      </c>
      <c r="D73" s="124" t="str">
        <f>IFERROR(VLOOKUP(B73,'Danh mục'!$G:$U,15,0),"")</f>
        <v>9270 x 2500 x 3860</v>
      </c>
      <c r="E73" s="124" t="s">
        <v>108</v>
      </c>
      <c r="F73" s="126">
        <f>COUNTIFS('TỔNG KLH + TN'!$B:$B,'01. TH'!$B73,'TỔNG KLH + TN'!$C:$C,'01. TH'!F$4)</f>
        <v>0</v>
      </c>
      <c r="G73" s="126">
        <f>COUNTIFS('TỔNG KLH + TN'!$B:$B,'01. TH'!$B73,'TỔNG KLH + TN'!$C:$C,'01. TH'!G$4)</f>
        <v>0</v>
      </c>
      <c r="H73" s="126">
        <f>COUNTIFS('TỔNG KLH + TN'!$B:$B,'01. TH'!$B73,'TỔNG KLH + TN'!$C:$C,'01. TH'!H$4)</f>
        <v>0</v>
      </c>
      <c r="I73" s="126">
        <f>COUNTIFS('TỔNG KLH + TN'!$B:$B,'01. TH'!$B73,'TỔNG KLH + TN'!$C:$C,'01. TH'!I$4)</f>
        <v>0</v>
      </c>
      <c r="J73" s="126">
        <f>COUNTIFS('TỔNG KLH + TN'!$B:$B,'01. TH'!$B73,'TỔNG KLH + TN'!$C:$C,'01. TH'!J$4)</f>
        <v>0</v>
      </c>
      <c r="K73" s="126">
        <f>COUNTIFS('TỔNG KLH + TN'!$B:$B,'01. TH'!$B73,'TỔNG KLH + TN'!$C:$C,'01. TH'!K$4)</f>
        <v>0</v>
      </c>
      <c r="L73" s="126">
        <f>COUNTIFS('TỔNG KLH + TN'!$B:$B,'01. TH'!$B73,'TỔNG KLH + TN'!$C:$C,'01. TH'!L$4)</f>
        <v>0</v>
      </c>
      <c r="M73" s="126">
        <f>COUNTIFS('TỔNG KLH + TN'!$B:$B,'01. TH'!$B73,'TỔNG KLH + TN'!$C:$C,'01. TH'!M$4)</f>
        <v>0</v>
      </c>
      <c r="N73" s="126">
        <f>COUNTIFS('TỔNG KLH + TN'!$B:$B,'01. TH'!$B73,'TỔNG KLH + TN'!$C:$C,'01. TH'!N$4)</f>
        <v>0</v>
      </c>
      <c r="O73" s="126">
        <f>COUNTIFS('TỔNG KLH + TN'!$B:$B,'01. TH'!$B73,'TỔNG KLH + TN'!$C:$C,'01. TH'!O$4)</f>
        <v>0</v>
      </c>
      <c r="P73" s="126">
        <f>COUNTIFS('TỔNG KLH + TN'!$B:$B,'01. TH'!$B73,'TỔNG KLH + TN'!$C:$C,'01. TH'!P$4)</f>
        <v>0</v>
      </c>
      <c r="Q73" s="126">
        <f>COUNTIFS('TỔNG KLH + TN'!$B:$B,'01. TH'!$B73,'TỔNG KLH + TN'!$C:$C,'01. TH'!Q$4)</f>
        <v>0</v>
      </c>
      <c r="R73" s="126">
        <f>COUNTIFS('TỔNG KLH + TN'!$B:$B,'01. TH'!$B73,'TỔNG KLH + TN'!$C:$C,'01. TH'!R$4)</f>
        <v>0</v>
      </c>
      <c r="S73" s="126">
        <f>COUNTIFS('TỔNG KLH + TN'!$B:$B,'01. TH'!$B73,'TỔNG KLH + TN'!$C:$C,'01. TH'!S$4)</f>
        <v>0</v>
      </c>
      <c r="T73" s="126">
        <f>COUNTIFS('TỔNG KLH + TN'!$B:$B,'01. TH'!$B73,'TỔNG KLH + TN'!$C:$C,'01. TH'!T$4)</f>
        <v>0</v>
      </c>
      <c r="U73" s="126">
        <f>COUNTIFS('TỔNG KLH + TN'!$B:$B,'01. TH'!$B73,'TỔNG KLH + TN'!$C:$C,'01. TH'!U$4)</f>
        <v>0</v>
      </c>
      <c r="V73" s="126">
        <f>COUNTIFS('TỔNG KLH + TN'!$B:$B,'01. TH'!$B73,'TỔNG KLH + TN'!$C:$C,'01. TH'!V$4)</f>
        <v>0</v>
      </c>
      <c r="W73" s="126">
        <f>COUNTIFS('TỔNG KLH + TN'!$B:$B,'01. TH'!$B73,'TỔNG KLH + TN'!$C:$C,'01. TH'!W$4)</f>
        <v>0</v>
      </c>
      <c r="X73" s="126">
        <f>COUNTIFS('TỔNG KLH + TN'!$B:$B,'01. TH'!$B73,'TỔNG KLH + TN'!$C:$C,'01. TH'!X$4)</f>
        <v>6</v>
      </c>
      <c r="Y73" s="126">
        <f>COUNTIFS('TỔNG KLH + TN'!$B:$B,'01. TH'!$B73,'TỔNG KLH + TN'!$C:$C,'01. TH'!Y$4)</f>
        <v>0</v>
      </c>
      <c r="Z73" s="126">
        <f>COUNTIFS('TỔNG KLH + TN'!$B:$B,'01. TH'!$B73,'TỔNG KLH + TN'!$C:$C,'01. TH'!Z$4)</f>
        <v>0</v>
      </c>
      <c r="AA73" s="126">
        <f>COUNTIFS('TỔNG KLH + TN'!$B:$B,'01. TH'!$B73,'TỔNG KLH + TN'!$C:$C,'01. TH'!AA$4)</f>
        <v>0</v>
      </c>
      <c r="AB73" s="126">
        <f>COUNTIFS('TỔNG KLH + TN'!$B:$B,'01. TH'!$B73,'TỔNG KLH + TN'!$C:$C,'01. TH'!AB$4)</f>
        <v>0</v>
      </c>
      <c r="AC73" s="126">
        <f>COUNTIFS('TỔNG KLH + TN'!$B:$B,'01. TH'!$B73,'TỔNG KLH + TN'!$C:$C,'01. TH'!AC$4)</f>
        <v>0</v>
      </c>
      <c r="AD73" s="126">
        <f>COUNTIFS('TỔNG KLH + TN'!$B:$B,'01. TH'!$B73,'TỔNG KLH + TN'!$C:$C,'01. TH'!AD$4)</f>
        <v>0</v>
      </c>
      <c r="AE73" s="162">
        <f t="shared" si="17"/>
        <v>6</v>
      </c>
      <c r="AF73" s="162"/>
      <c r="AG73" s="70" t="str">
        <f t="shared" si="3"/>
        <v>ok</v>
      </c>
      <c r="AH73" s="163"/>
    </row>
    <row r="74" ht="18.75" hidden="1" customHeight="1" outlineLevel="1">
      <c r="A74" s="121"/>
      <c r="B74" s="122" t="s">
        <v>2450</v>
      </c>
      <c r="C74" s="123" t="s">
        <v>2453</v>
      </c>
      <c r="D74" s="124" t="str">
        <f>IFERROR(VLOOKUP(B74,'Danh mục'!$G:$U,15,0),"")</f>
        <v>9830 x 2530 x 4000</v>
      </c>
      <c r="E74" s="124" t="s">
        <v>108</v>
      </c>
      <c r="F74" s="126">
        <f>COUNTIFS('TỔNG KLH + TN'!$B:$B,'01. TH'!$B74,'TỔNG KLH + TN'!$C:$C,'01. TH'!F$4)</f>
        <v>0</v>
      </c>
      <c r="G74" s="126">
        <f>COUNTIFS('TỔNG KLH + TN'!$B:$B,'01. TH'!$B74,'TỔNG KLH + TN'!$C:$C,'01. TH'!G$4)</f>
        <v>0</v>
      </c>
      <c r="H74" s="126">
        <f>COUNTIFS('TỔNG KLH + TN'!$B:$B,'01. TH'!$B74,'TỔNG KLH + TN'!$C:$C,'01. TH'!H$4)</f>
        <v>0</v>
      </c>
      <c r="I74" s="126">
        <f>COUNTIFS('TỔNG KLH + TN'!$B:$B,'01. TH'!$B74,'TỔNG KLH + TN'!$C:$C,'01. TH'!I$4)</f>
        <v>0</v>
      </c>
      <c r="J74" s="126">
        <f>COUNTIFS('TỔNG KLH + TN'!$B:$B,'01. TH'!$B74,'TỔNG KLH + TN'!$C:$C,'01. TH'!J$4)</f>
        <v>0</v>
      </c>
      <c r="K74" s="126">
        <f>COUNTIFS('TỔNG KLH + TN'!$B:$B,'01. TH'!$B74,'TỔNG KLH + TN'!$C:$C,'01. TH'!K$4)</f>
        <v>0</v>
      </c>
      <c r="L74" s="126">
        <f>COUNTIFS('TỔNG KLH + TN'!$B:$B,'01. TH'!$B74,'TỔNG KLH + TN'!$C:$C,'01. TH'!L$4)</f>
        <v>0</v>
      </c>
      <c r="M74" s="126">
        <f>COUNTIFS('TỔNG KLH + TN'!$B:$B,'01. TH'!$B74,'TỔNG KLH + TN'!$C:$C,'01. TH'!M$4)</f>
        <v>0</v>
      </c>
      <c r="N74" s="126">
        <f>COUNTIFS('TỔNG KLH + TN'!$B:$B,'01. TH'!$B74,'TỔNG KLH + TN'!$C:$C,'01. TH'!N$4)</f>
        <v>0</v>
      </c>
      <c r="O74" s="126">
        <f>COUNTIFS('TỔNG KLH + TN'!$B:$B,'01. TH'!$B74,'TỔNG KLH + TN'!$C:$C,'01. TH'!O$4)</f>
        <v>0</v>
      </c>
      <c r="P74" s="126">
        <f>COUNTIFS('TỔNG KLH + TN'!$B:$B,'01. TH'!$B74,'TỔNG KLH + TN'!$C:$C,'01. TH'!P$4)</f>
        <v>0</v>
      </c>
      <c r="Q74" s="126">
        <f>COUNTIFS('TỔNG KLH + TN'!$B:$B,'01. TH'!$B74,'TỔNG KLH + TN'!$C:$C,'01. TH'!Q$4)</f>
        <v>0</v>
      </c>
      <c r="R74" s="126">
        <f>COUNTIFS('TỔNG KLH + TN'!$B:$B,'01. TH'!$B74,'TỔNG KLH + TN'!$C:$C,'01. TH'!R$4)</f>
        <v>0</v>
      </c>
      <c r="S74" s="126">
        <f>COUNTIFS('TỔNG KLH + TN'!$B:$B,'01. TH'!$B74,'TỔNG KLH + TN'!$C:$C,'01. TH'!S$4)</f>
        <v>0</v>
      </c>
      <c r="T74" s="126">
        <f>COUNTIFS('TỔNG KLH + TN'!$B:$B,'01. TH'!$B74,'TỔNG KLH + TN'!$C:$C,'01. TH'!T$4)</f>
        <v>0</v>
      </c>
      <c r="U74" s="126">
        <f>COUNTIFS('TỔNG KLH + TN'!$B:$B,'01. TH'!$B74,'TỔNG KLH + TN'!$C:$C,'01. TH'!U$4)</f>
        <v>0</v>
      </c>
      <c r="V74" s="126">
        <f>COUNTIFS('TỔNG KLH + TN'!$B:$B,'01. TH'!$B74,'TỔNG KLH + TN'!$C:$C,'01. TH'!V$4)</f>
        <v>0</v>
      </c>
      <c r="W74" s="126">
        <f>COUNTIFS('TỔNG KLH + TN'!$B:$B,'01. TH'!$B74,'TỔNG KLH + TN'!$C:$C,'01. TH'!W$4)</f>
        <v>0</v>
      </c>
      <c r="X74" s="126">
        <f>COUNTIFS('TỔNG KLH + TN'!$B:$B,'01. TH'!$B74,'TỔNG KLH + TN'!$C:$C,'01. TH'!X$4)</f>
        <v>1</v>
      </c>
      <c r="Y74" s="126">
        <f>COUNTIFS('TỔNG KLH + TN'!$B:$B,'01. TH'!$B74,'TỔNG KLH + TN'!$C:$C,'01. TH'!Y$4)</f>
        <v>0</v>
      </c>
      <c r="Z74" s="126">
        <f>COUNTIFS('TỔNG KLH + TN'!$B:$B,'01. TH'!$B74,'TỔNG KLH + TN'!$C:$C,'01. TH'!Z$4)</f>
        <v>0</v>
      </c>
      <c r="AA74" s="126">
        <f>COUNTIFS('TỔNG KLH + TN'!$B:$B,'01. TH'!$B74,'TỔNG KLH + TN'!$C:$C,'01. TH'!AA$4)</f>
        <v>0</v>
      </c>
      <c r="AB74" s="126">
        <f>COUNTIFS('TỔNG KLH + TN'!$B:$B,'01. TH'!$B74,'TỔNG KLH + TN'!$C:$C,'01. TH'!AB$4)</f>
        <v>0</v>
      </c>
      <c r="AC74" s="126">
        <f>COUNTIFS('TỔNG KLH + TN'!$B:$B,'01. TH'!$B74,'TỔNG KLH + TN'!$C:$C,'01. TH'!AC$4)</f>
        <v>0</v>
      </c>
      <c r="AD74" s="126">
        <f>COUNTIFS('TỔNG KLH + TN'!$B:$B,'01. TH'!$B74,'TỔNG KLH + TN'!$C:$C,'01. TH'!AD$4)</f>
        <v>0</v>
      </c>
      <c r="AE74" s="136">
        <f t="shared" si="17"/>
        <v>1</v>
      </c>
      <c r="AF74" s="136"/>
      <c r="AG74" s="70" t="str">
        <f t="shared" si="3"/>
        <v>ok</v>
      </c>
      <c r="AH74" s="124"/>
    </row>
    <row r="75" ht="18.75" hidden="1" customHeight="1" outlineLevel="1">
      <c r="A75" s="121"/>
      <c r="B75" s="122" t="s">
        <v>2439</v>
      </c>
      <c r="C75" s="123" t="s">
        <v>2418</v>
      </c>
      <c r="D75" s="124" t="str">
        <f>IFERROR(VLOOKUP(B75,'Danh mục'!$G:$U,15,0),"")</f>
        <v>8310 x 2495 x 3600</v>
      </c>
      <c r="E75" s="124" t="s">
        <v>108</v>
      </c>
      <c r="F75" s="126">
        <f>COUNTIFS('TỔNG KLH + TN'!$B:$B,'01. TH'!$B75,'TỔNG KLH + TN'!$C:$C,'01. TH'!F$4)</f>
        <v>0</v>
      </c>
      <c r="G75" s="126">
        <f>COUNTIFS('TỔNG KLH + TN'!$B:$B,'01. TH'!$B75,'TỔNG KLH + TN'!$C:$C,'01. TH'!G$4)</f>
        <v>0</v>
      </c>
      <c r="H75" s="126">
        <f>COUNTIFS('TỔNG KLH + TN'!$B:$B,'01. TH'!$B75,'TỔNG KLH + TN'!$C:$C,'01. TH'!H$4)</f>
        <v>0</v>
      </c>
      <c r="I75" s="126">
        <f>COUNTIFS('TỔNG KLH + TN'!$B:$B,'01. TH'!$B75,'TỔNG KLH + TN'!$C:$C,'01. TH'!I$4)</f>
        <v>0</v>
      </c>
      <c r="J75" s="126">
        <f>COUNTIFS('TỔNG KLH + TN'!$B:$B,'01. TH'!$B75,'TỔNG KLH + TN'!$C:$C,'01. TH'!J$4)</f>
        <v>0</v>
      </c>
      <c r="K75" s="126">
        <f>COUNTIFS('TỔNG KLH + TN'!$B:$B,'01. TH'!$B75,'TỔNG KLH + TN'!$C:$C,'01. TH'!K$4)</f>
        <v>0</v>
      </c>
      <c r="L75" s="126">
        <f>COUNTIFS('TỔNG KLH + TN'!$B:$B,'01. TH'!$B75,'TỔNG KLH + TN'!$C:$C,'01. TH'!L$4)</f>
        <v>0</v>
      </c>
      <c r="M75" s="126">
        <f>COUNTIFS('TỔNG KLH + TN'!$B:$B,'01. TH'!$B75,'TỔNG KLH + TN'!$C:$C,'01. TH'!M$4)</f>
        <v>0</v>
      </c>
      <c r="N75" s="126">
        <f>COUNTIFS('TỔNG KLH + TN'!$B:$B,'01. TH'!$B75,'TỔNG KLH + TN'!$C:$C,'01. TH'!N$4)</f>
        <v>0</v>
      </c>
      <c r="O75" s="126">
        <f>COUNTIFS('TỔNG KLH + TN'!$B:$B,'01. TH'!$B75,'TỔNG KLH + TN'!$C:$C,'01. TH'!O$4)</f>
        <v>0</v>
      </c>
      <c r="P75" s="126">
        <f>COUNTIFS('TỔNG KLH + TN'!$B:$B,'01. TH'!$B75,'TỔNG KLH + TN'!$C:$C,'01. TH'!P$4)</f>
        <v>0</v>
      </c>
      <c r="Q75" s="126">
        <f>COUNTIFS('TỔNG KLH + TN'!$B:$B,'01. TH'!$B75,'TỔNG KLH + TN'!$C:$C,'01. TH'!Q$4)</f>
        <v>0</v>
      </c>
      <c r="R75" s="126">
        <f>COUNTIFS('TỔNG KLH + TN'!$B:$B,'01. TH'!$B75,'TỔNG KLH + TN'!$C:$C,'01. TH'!R$4)</f>
        <v>0</v>
      </c>
      <c r="S75" s="126">
        <f>COUNTIFS('TỔNG KLH + TN'!$B:$B,'01. TH'!$B75,'TỔNG KLH + TN'!$C:$C,'01. TH'!S$4)</f>
        <v>0</v>
      </c>
      <c r="T75" s="126">
        <f>COUNTIFS('TỔNG KLH + TN'!$B:$B,'01. TH'!$B75,'TỔNG KLH + TN'!$C:$C,'01. TH'!T$4)</f>
        <v>0</v>
      </c>
      <c r="U75" s="126">
        <f>COUNTIFS('TỔNG KLH + TN'!$B:$B,'01. TH'!$B75,'TỔNG KLH + TN'!$C:$C,'01. TH'!U$4)</f>
        <v>0</v>
      </c>
      <c r="V75" s="126">
        <f>COUNTIFS('TỔNG KLH + TN'!$B:$B,'01. TH'!$B75,'TỔNG KLH + TN'!$C:$C,'01. TH'!V$4)</f>
        <v>0</v>
      </c>
      <c r="W75" s="126">
        <f>COUNTIFS('TỔNG KLH + TN'!$B:$B,'01. TH'!$B75,'TỔNG KLH + TN'!$C:$C,'01. TH'!W$4)</f>
        <v>0</v>
      </c>
      <c r="X75" s="126">
        <f>COUNTIFS('TỔNG KLH + TN'!$B:$B,'01. TH'!$B75,'TỔNG KLH + TN'!$C:$C,'01. TH'!X$4)</f>
        <v>3</v>
      </c>
      <c r="Y75" s="126">
        <f>COUNTIFS('TỔNG KLH + TN'!$B:$B,'01. TH'!$B75,'TỔNG KLH + TN'!$C:$C,'01. TH'!Y$4)</f>
        <v>0</v>
      </c>
      <c r="Z75" s="126">
        <f>COUNTIFS('TỔNG KLH + TN'!$B:$B,'01. TH'!$B75,'TỔNG KLH + TN'!$C:$C,'01. TH'!Z$4)</f>
        <v>0</v>
      </c>
      <c r="AA75" s="126">
        <f>COUNTIFS('TỔNG KLH + TN'!$B:$B,'01. TH'!$B75,'TỔNG KLH + TN'!$C:$C,'01. TH'!AA$4)</f>
        <v>0</v>
      </c>
      <c r="AB75" s="126">
        <f>COUNTIFS('TỔNG KLH + TN'!$B:$B,'01. TH'!$B75,'TỔNG KLH + TN'!$C:$C,'01. TH'!AB$4)</f>
        <v>0</v>
      </c>
      <c r="AC75" s="126">
        <f>COUNTIFS('TỔNG KLH + TN'!$B:$B,'01. TH'!$B75,'TỔNG KLH + TN'!$C:$C,'01. TH'!AC$4)</f>
        <v>0</v>
      </c>
      <c r="AD75" s="126">
        <f>COUNTIFS('TỔNG KLH + TN'!$B:$B,'01. TH'!$B75,'TỔNG KLH + TN'!$C:$C,'01. TH'!AD$4)</f>
        <v>0</v>
      </c>
      <c r="AE75" s="136">
        <f t="shared" si="17"/>
        <v>3</v>
      </c>
      <c r="AF75" s="136"/>
      <c r="AG75" s="70" t="str">
        <f t="shared" si="3"/>
        <v>ok</v>
      </c>
      <c r="AH75" s="124"/>
    </row>
    <row r="76" ht="18.75" hidden="1" customHeight="1" outlineLevel="1">
      <c r="A76" s="159"/>
      <c r="B76" s="122" t="s">
        <v>2399</v>
      </c>
      <c r="C76" s="123" t="s">
        <v>413</v>
      </c>
      <c r="D76" s="124" t="str">
        <f>IFERROR(VLOOKUP(B76,'Danh mục'!$G:$U,15,0),"")</f>
        <v>6170 x 2330 x 2750</v>
      </c>
      <c r="E76" s="124" t="s">
        <v>108</v>
      </c>
      <c r="F76" s="126">
        <f>COUNTIFS('TỔNG KLH + TN'!$B:$B,'01. TH'!$B76,'TỔNG KLH + TN'!$C:$C,'01. TH'!F$4)</f>
        <v>0</v>
      </c>
      <c r="G76" s="126">
        <f>COUNTIFS('TỔNG KLH + TN'!$B:$B,'01. TH'!$B76,'TỔNG KLH + TN'!$C:$C,'01. TH'!G$4)</f>
        <v>0</v>
      </c>
      <c r="H76" s="126">
        <f>COUNTIFS('TỔNG KLH + TN'!$B:$B,'01. TH'!$B76,'TỔNG KLH + TN'!$C:$C,'01. TH'!H$4)</f>
        <v>0</v>
      </c>
      <c r="I76" s="126">
        <f>COUNTIFS('TỔNG KLH + TN'!$B:$B,'01. TH'!$B76,'TỔNG KLH + TN'!$C:$C,'01. TH'!I$4)</f>
        <v>0</v>
      </c>
      <c r="J76" s="126">
        <f>COUNTIFS('TỔNG KLH + TN'!$B:$B,'01. TH'!$B76,'TỔNG KLH + TN'!$C:$C,'01. TH'!J$4)</f>
        <v>0</v>
      </c>
      <c r="K76" s="126">
        <f>COUNTIFS('TỔNG KLH + TN'!$B:$B,'01. TH'!$B76,'TỔNG KLH + TN'!$C:$C,'01. TH'!K$4)</f>
        <v>0</v>
      </c>
      <c r="L76" s="126">
        <f>COUNTIFS('TỔNG KLH + TN'!$B:$B,'01. TH'!$B76,'TỔNG KLH + TN'!$C:$C,'01. TH'!L$4)</f>
        <v>0</v>
      </c>
      <c r="M76" s="126">
        <f>COUNTIFS('TỔNG KLH + TN'!$B:$B,'01. TH'!$B76,'TỔNG KLH + TN'!$C:$C,'01. TH'!M$4)</f>
        <v>0</v>
      </c>
      <c r="N76" s="126">
        <f>COUNTIFS('TỔNG KLH + TN'!$B:$B,'01. TH'!$B76,'TỔNG KLH + TN'!$C:$C,'01. TH'!N$4)</f>
        <v>0</v>
      </c>
      <c r="O76" s="126">
        <f>COUNTIFS('TỔNG KLH + TN'!$B:$B,'01. TH'!$B76,'TỔNG KLH + TN'!$C:$C,'01. TH'!O$4)</f>
        <v>0</v>
      </c>
      <c r="P76" s="126">
        <f>COUNTIFS('TỔNG KLH + TN'!$B:$B,'01. TH'!$B76,'TỔNG KLH + TN'!$C:$C,'01. TH'!P$4)</f>
        <v>0</v>
      </c>
      <c r="Q76" s="126">
        <f>COUNTIFS('TỔNG KLH + TN'!$B:$B,'01. TH'!$B76,'TỔNG KLH + TN'!$C:$C,'01. TH'!Q$4)</f>
        <v>0</v>
      </c>
      <c r="R76" s="126">
        <f>COUNTIFS('TỔNG KLH + TN'!$B:$B,'01. TH'!$B76,'TỔNG KLH + TN'!$C:$C,'01. TH'!R$4)</f>
        <v>0</v>
      </c>
      <c r="S76" s="126">
        <f>COUNTIFS('TỔNG KLH + TN'!$B:$B,'01. TH'!$B76,'TỔNG KLH + TN'!$C:$C,'01. TH'!S$4)</f>
        <v>0</v>
      </c>
      <c r="T76" s="126">
        <f>COUNTIFS('TỔNG KLH + TN'!$B:$B,'01. TH'!$B76,'TỔNG KLH + TN'!$C:$C,'01. TH'!T$4)</f>
        <v>0</v>
      </c>
      <c r="U76" s="126">
        <f>COUNTIFS('TỔNG KLH + TN'!$B:$B,'01. TH'!$B76,'TỔNG KLH + TN'!$C:$C,'01. TH'!U$4)</f>
        <v>0</v>
      </c>
      <c r="V76" s="126">
        <f>COUNTIFS('TỔNG KLH + TN'!$B:$B,'01. TH'!$B76,'TỔNG KLH + TN'!$C:$C,'01. TH'!V$4)</f>
        <v>0</v>
      </c>
      <c r="W76" s="126">
        <f>COUNTIFS('TỔNG KLH + TN'!$B:$B,'01. TH'!$B76,'TỔNG KLH + TN'!$C:$C,'01. TH'!W$4)</f>
        <v>1</v>
      </c>
      <c r="X76" s="126">
        <f>COUNTIFS('TỔNG KLH + TN'!$B:$B,'01. TH'!$B76,'TỔNG KLH + TN'!$C:$C,'01. TH'!X$4)</f>
        <v>0</v>
      </c>
      <c r="Y76" s="126">
        <f>COUNTIFS('TỔNG KLH + TN'!$B:$B,'01. TH'!$B76,'TỔNG KLH + TN'!$C:$C,'01. TH'!Y$4)</f>
        <v>0</v>
      </c>
      <c r="Z76" s="126">
        <f>COUNTIFS('TỔNG KLH + TN'!$B:$B,'01. TH'!$B76,'TỔNG KLH + TN'!$C:$C,'01. TH'!Z$4)</f>
        <v>0</v>
      </c>
      <c r="AA76" s="126">
        <f>COUNTIFS('TỔNG KLH + TN'!$B:$B,'01. TH'!$B76,'TỔNG KLH + TN'!$C:$C,'01. TH'!AA$4)</f>
        <v>0</v>
      </c>
      <c r="AB76" s="126">
        <f>COUNTIFS('TỔNG KLH + TN'!$B:$B,'01. TH'!$B76,'TỔNG KLH + TN'!$C:$C,'01. TH'!AB$4)</f>
        <v>0</v>
      </c>
      <c r="AC76" s="126">
        <f>COUNTIFS('TỔNG KLH + TN'!$B:$B,'01. TH'!$B76,'TỔNG KLH + TN'!$C:$C,'01. TH'!AC$4)</f>
        <v>0</v>
      </c>
      <c r="AD76" s="126">
        <f>COUNTIFS('TỔNG KLH + TN'!$B:$B,'01. TH'!$B76,'TỔNG KLH + TN'!$C:$C,'01. TH'!AD$4)</f>
        <v>0</v>
      </c>
      <c r="AE76" s="162">
        <f t="shared" si="17"/>
        <v>1</v>
      </c>
      <c r="AF76" s="162"/>
      <c r="AG76" s="70" t="str">
        <f t="shared" si="3"/>
        <v>ok</v>
      </c>
      <c r="AH76" s="163"/>
    </row>
    <row r="77" ht="24.0" customHeight="1" collapsed="1">
      <c r="A77" s="70">
        <v>9.0</v>
      </c>
      <c r="B77" s="73" t="s">
        <v>2962</v>
      </c>
      <c r="C77" s="78"/>
      <c r="D77" s="78" t="str">
        <f>IFERROR(VLOOKUP(B77,'Danh mục'!$G:$U,15,0),"")</f>
        <v/>
      </c>
      <c r="E77" s="78"/>
      <c r="F77" s="172">
        <f t="shared" ref="F77:AE77" si="18">SUM(F78:F84)</f>
        <v>1</v>
      </c>
      <c r="G77" s="172">
        <f t="shared" si="18"/>
        <v>0</v>
      </c>
      <c r="H77" s="172">
        <f t="shared" si="18"/>
        <v>0</v>
      </c>
      <c r="I77" s="172">
        <f t="shared" si="18"/>
        <v>0</v>
      </c>
      <c r="J77" s="172">
        <f t="shared" si="18"/>
        <v>0</v>
      </c>
      <c r="K77" s="172">
        <f t="shared" si="18"/>
        <v>0</v>
      </c>
      <c r="L77" s="172">
        <f t="shared" si="18"/>
        <v>1</v>
      </c>
      <c r="M77" s="172">
        <f t="shared" si="18"/>
        <v>0</v>
      </c>
      <c r="N77" s="172">
        <f t="shared" si="18"/>
        <v>0</v>
      </c>
      <c r="O77" s="172">
        <f t="shared" si="18"/>
        <v>0</v>
      </c>
      <c r="P77" s="172">
        <f t="shared" si="18"/>
        <v>0</v>
      </c>
      <c r="Q77" s="172">
        <f t="shared" si="18"/>
        <v>0</v>
      </c>
      <c r="R77" s="172">
        <f t="shared" si="18"/>
        <v>0</v>
      </c>
      <c r="S77" s="172">
        <f t="shared" si="18"/>
        <v>1</v>
      </c>
      <c r="T77" s="172">
        <f t="shared" si="18"/>
        <v>0</v>
      </c>
      <c r="U77" s="172">
        <f t="shared" si="18"/>
        <v>0</v>
      </c>
      <c r="V77" s="172">
        <f t="shared" si="18"/>
        <v>0</v>
      </c>
      <c r="W77" s="172">
        <f t="shared" si="18"/>
        <v>0</v>
      </c>
      <c r="X77" s="172">
        <f t="shared" si="18"/>
        <v>0</v>
      </c>
      <c r="Y77" s="172">
        <f t="shared" si="18"/>
        <v>2</v>
      </c>
      <c r="Z77" s="172">
        <f t="shared" si="18"/>
        <v>0</v>
      </c>
      <c r="AA77" s="172">
        <f t="shared" si="18"/>
        <v>0</v>
      </c>
      <c r="AB77" s="172">
        <f t="shared" si="18"/>
        <v>6</v>
      </c>
      <c r="AC77" s="172">
        <f t="shared" si="18"/>
        <v>0</v>
      </c>
      <c r="AD77" s="172">
        <f t="shared" si="18"/>
        <v>0</v>
      </c>
      <c r="AE77" s="173">
        <f t="shared" si="18"/>
        <v>11</v>
      </c>
      <c r="AF77" s="174">
        <v>1.0</v>
      </c>
      <c r="AG77" s="70" t="str">
        <f t="shared" si="3"/>
        <v>ok</v>
      </c>
      <c r="AH77" s="120"/>
    </row>
    <row r="78" ht="18.75" hidden="1" customHeight="1" outlineLevel="1">
      <c r="A78" s="121"/>
      <c r="B78" s="122" t="s">
        <v>2510</v>
      </c>
      <c r="C78" s="123" t="s">
        <v>112</v>
      </c>
      <c r="D78" s="124" t="str">
        <f>IFERROR(VLOOKUP(B78,'Danh mục'!$G:$U,15,0),"")</f>
        <v>9120 x 2450 x 3160</v>
      </c>
      <c r="E78" s="124" t="s">
        <v>108</v>
      </c>
      <c r="F78" s="126">
        <f>COUNTIFS('TỔNG KLH + TN'!$B:$B,'01. TH'!$B78,'TỔNG KLH + TN'!$C:$C,'01. TH'!F$4)</f>
        <v>0</v>
      </c>
      <c r="G78" s="126">
        <f>COUNTIFS('TỔNG KLH + TN'!$B:$B,'01. TH'!$B78,'TỔNG KLH + TN'!$C:$C,'01. TH'!G$4)</f>
        <v>0</v>
      </c>
      <c r="H78" s="126">
        <f>COUNTIFS('TỔNG KLH + TN'!$B:$B,'01. TH'!$B78,'TỔNG KLH + TN'!$C:$C,'01. TH'!H$4)</f>
        <v>0</v>
      </c>
      <c r="I78" s="126">
        <f>COUNTIFS('TỔNG KLH + TN'!$B:$B,'01. TH'!$B78,'TỔNG KLH + TN'!$C:$C,'01. TH'!I$4)</f>
        <v>0</v>
      </c>
      <c r="J78" s="126">
        <f>COUNTIFS('TỔNG KLH + TN'!$B:$B,'01. TH'!$B78,'TỔNG KLH + TN'!$C:$C,'01. TH'!J$4)</f>
        <v>0</v>
      </c>
      <c r="K78" s="126">
        <f>COUNTIFS('TỔNG KLH + TN'!$B:$B,'01. TH'!$B78,'TỔNG KLH + TN'!$C:$C,'01. TH'!K$4)</f>
        <v>0</v>
      </c>
      <c r="L78" s="126">
        <f>COUNTIFS('TỔNG KLH + TN'!$B:$B,'01. TH'!$B78,'TỔNG KLH + TN'!$C:$C,'01. TH'!L$4)</f>
        <v>1</v>
      </c>
      <c r="M78" s="126">
        <f>COUNTIFS('TỔNG KLH + TN'!$B:$B,'01. TH'!$B78,'TỔNG KLH + TN'!$C:$C,'01. TH'!M$4)</f>
        <v>0</v>
      </c>
      <c r="N78" s="126">
        <f>COUNTIFS('TỔNG KLH + TN'!$B:$B,'01. TH'!$B78,'TỔNG KLH + TN'!$C:$C,'01. TH'!N$4)</f>
        <v>0</v>
      </c>
      <c r="O78" s="126">
        <f>COUNTIFS('TỔNG KLH + TN'!$B:$B,'01. TH'!$B78,'TỔNG KLH + TN'!$C:$C,'01. TH'!O$4)</f>
        <v>0</v>
      </c>
      <c r="P78" s="126">
        <f>COUNTIFS('TỔNG KLH + TN'!$B:$B,'01. TH'!$B78,'TỔNG KLH + TN'!$C:$C,'01. TH'!P$4)</f>
        <v>0</v>
      </c>
      <c r="Q78" s="126">
        <f>COUNTIFS('TỔNG KLH + TN'!$B:$B,'01. TH'!$B78,'TỔNG KLH + TN'!$C:$C,'01. TH'!Q$4)</f>
        <v>0</v>
      </c>
      <c r="R78" s="126">
        <f>COUNTIFS('TỔNG KLH + TN'!$B:$B,'01. TH'!$B78,'TỔNG KLH + TN'!$C:$C,'01. TH'!R$4)</f>
        <v>0</v>
      </c>
      <c r="S78" s="126">
        <f>COUNTIFS('TỔNG KLH + TN'!$B:$B,'01. TH'!$B78,'TỔNG KLH + TN'!$C:$C,'01. TH'!S$4)</f>
        <v>0</v>
      </c>
      <c r="T78" s="126">
        <f>COUNTIFS('TỔNG KLH + TN'!$B:$B,'01. TH'!$B78,'TỔNG KLH + TN'!$C:$C,'01. TH'!T$4)</f>
        <v>0</v>
      </c>
      <c r="U78" s="126">
        <f>COUNTIFS('TỔNG KLH + TN'!$B:$B,'01. TH'!$B78,'TỔNG KLH + TN'!$C:$C,'01. TH'!U$4)</f>
        <v>0</v>
      </c>
      <c r="V78" s="126">
        <f>COUNTIFS('TỔNG KLH + TN'!$B:$B,'01. TH'!$B78,'TỔNG KLH + TN'!$C:$C,'01. TH'!V$4)</f>
        <v>0</v>
      </c>
      <c r="W78" s="126">
        <f>COUNTIFS('TỔNG KLH + TN'!$B:$B,'01. TH'!$B78,'TỔNG KLH + TN'!$C:$C,'01. TH'!W$4)</f>
        <v>0</v>
      </c>
      <c r="X78" s="126">
        <f>COUNTIFS('TỔNG KLH + TN'!$B:$B,'01. TH'!$B78,'TỔNG KLH + TN'!$C:$C,'01. TH'!X$4)</f>
        <v>0</v>
      </c>
      <c r="Y78" s="126">
        <f>COUNTIFS('TỔNG KLH + TN'!$B:$B,'01. TH'!$B78,'TỔNG KLH + TN'!$C:$C,'01. TH'!Y$4)</f>
        <v>1</v>
      </c>
      <c r="Z78" s="126">
        <f>COUNTIFS('TỔNG KLH + TN'!$B:$B,'01. TH'!$B78,'TỔNG KLH + TN'!$C:$C,'01. TH'!Z$4)</f>
        <v>0</v>
      </c>
      <c r="AA78" s="126">
        <f>COUNTIFS('TỔNG KLH + TN'!$B:$B,'01. TH'!$B78,'TỔNG KLH + TN'!$C:$C,'01. TH'!AA$4)</f>
        <v>0</v>
      </c>
      <c r="AB78" s="126">
        <f>COUNTIFS('TỔNG KLH + TN'!$B:$B,'01. TH'!$B78,'TỔNG KLH + TN'!$C:$C,'01. TH'!AB$4)</f>
        <v>1</v>
      </c>
      <c r="AC78" s="126">
        <f>COUNTIFS('TỔNG KLH + TN'!$B:$B,'01. TH'!$B78,'TỔNG KLH + TN'!$C:$C,'01. TH'!AC$4)</f>
        <v>0</v>
      </c>
      <c r="AD78" s="126">
        <f>COUNTIFS('TỔNG KLH + TN'!$B:$B,'01. TH'!$B78,'TỔNG KLH + TN'!$C:$C,'01. TH'!AD$4)</f>
        <v>0</v>
      </c>
      <c r="AE78" s="136">
        <f t="shared" ref="AE78:AE84" si="19">SUM(F78:AD78)</f>
        <v>3</v>
      </c>
      <c r="AF78" s="136"/>
      <c r="AG78" s="70" t="str">
        <f t="shared" si="3"/>
        <v>ok</v>
      </c>
      <c r="AH78" s="124"/>
    </row>
    <row r="79" ht="18.75" hidden="1" customHeight="1" outlineLevel="1">
      <c r="A79" s="121"/>
      <c r="B79" s="122" t="s">
        <v>2562</v>
      </c>
      <c r="C79" s="123" t="s">
        <v>2056</v>
      </c>
      <c r="D79" s="124" t="str">
        <f>IFERROR(VLOOKUP(B79,'Danh mục'!$G:$U,15,0),"")</f>
        <v/>
      </c>
      <c r="E79" s="124" t="s">
        <v>108</v>
      </c>
      <c r="F79" s="126">
        <f>COUNTIFS('TỔNG KLH + TN'!$B:$B,'01. TH'!$B79,'TỔNG KLH + TN'!$C:$C,'01. TH'!F$4)</f>
        <v>0</v>
      </c>
      <c r="G79" s="126">
        <f>COUNTIFS('TỔNG KLH + TN'!$B:$B,'01. TH'!$B79,'TỔNG KLH + TN'!$C:$C,'01. TH'!G$4)</f>
        <v>0</v>
      </c>
      <c r="H79" s="126">
        <f>COUNTIFS('TỔNG KLH + TN'!$B:$B,'01. TH'!$B79,'TỔNG KLH + TN'!$C:$C,'01. TH'!H$4)</f>
        <v>0</v>
      </c>
      <c r="I79" s="126">
        <f>COUNTIFS('TỔNG KLH + TN'!$B:$B,'01. TH'!$B79,'TỔNG KLH + TN'!$C:$C,'01. TH'!I$4)</f>
        <v>0</v>
      </c>
      <c r="J79" s="126">
        <f>COUNTIFS('TỔNG KLH + TN'!$B:$B,'01. TH'!$B79,'TỔNG KLH + TN'!$C:$C,'01. TH'!J$4)</f>
        <v>0</v>
      </c>
      <c r="K79" s="126">
        <f>COUNTIFS('TỔNG KLH + TN'!$B:$B,'01. TH'!$B79,'TỔNG KLH + TN'!$C:$C,'01. TH'!K$4)</f>
        <v>0</v>
      </c>
      <c r="L79" s="126">
        <f>COUNTIFS('TỔNG KLH + TN'!$B:$B,'01. TH'!$B79,'TỔNG KLH + TN'!$C:$C,'01. TH'!L$4)</f>
        <v>0</v>
      </c>
      <c r="M79" s="126">
        <f>COUNTIFS('TỔNG KLH + TN'!$B:$B,'01. TH'!$B79,'TỔNG KLH + TN'!$C:$C,'01. TH'!M$4)</f>
        <v>0</v>
      </c>
      <c r="N79" s="126">
        <f>COUNTIFS('TỔNG KLH + TN'!$B:$B,'01. TH'!$B79,'TỔNG KLH + TN'!$C:$C,'01. TH'!N$4)</f>
        <v>0</v>
      </c>
      <c r="O79" s="126">
        <f>COUNTIFS('TỔNG KLH + TN'!$B:$B,'01. TH'!$B79,'TỔNG KLH + TN'!$C:$C,'01. TH'!O$4)</f>
        <v>0</v>
      </c>
      <c r="P79" s="126">
        <f>COUNTIFS('TỔNG KLH + TN'!$B:$B,'01. TH'!$B79,'TỔNG KLH + TN'!$C:$C,'01. TH'!P$4)</f>
        <v>0</v>
      </c>
      <c r="Q79" s="126">
        <f>COUNTIFS('TỔNG KLH + TN'!$B:$B,'01. TH'!$B79,'TỔNG KLH + TN'!$C:$C,'01. TH'!Q$4)</f>
        <v>0</v>
      </c>
      <c r="R79" s="126">
        <f>COUNTIFS('TỔNG KLH + TN'!$B:$B,'01. TH'!$B79,'TỔNG KLH + TN'!$C:$C,'01. TH'!R$4)</f>
        <v>0</v>
      </c>
      <c r="S79" s="126">
        <f>COUNTIFS('TỔNG KLH + TN'!$B:$B,'01. TH'!$B79,'TỔNG KLH + TN'!$C:$C,'01. TH'!S$4)</f>
        <v>0</v>
      </c>
      <c r="T79" s="126">
        <f>COUNTIFS('TỔNG KLH + TN'!$B:$B,'01. TH'!$B79,'TỔNG KLH + TN'!$C:$C,'01. TH'!T$4)</f>
        <v>0</v>
      </c>
      <c r="U79" s="126">
        <f>COUNTIFS('TỔNG KLH + TN'!$B:$B,'01. TH'!$B79,'TỔNG KLH + TN'!$C:$C,'01. TH'!U$4)</f>
        <v>0</v>
      </c>
      <c r="V79" s="126">
        <f>COUNTIFS('TỔNG KLH + TN'!$B:$B,'01. TH'!$B79,'TỔNG KLH + TN'!$C:$C,'01. TH'!V$4)</f>
        <v>0</v>
      </c>
      <c r="W79" s="126">
        <f>COUNTIFS('TỔNG KLH + TN'!$B:$B,'01. TH'!$B79,'TỔNG KLH + TN'!$C:$C,'01. TH'!W$4)</f>
        <v>0</v>
      </c>
      <c r="X79" s="126">
        <f>COUNTIFS('TỔNG KLH + TN'!$B:$B,'01. TH'!$B79,'TỔNG KLH + TN'!$C:$C,'01. TH'!X$4)</f>
        <v>0</v>
      </c>
      <c r="Y79" s="126">
        <f>COUNTIFS('TỔNG KLH + TN'!$B:$B,'01. TH'!$B79,'TỔNG KLH + TN'!$C:$C,'01. TH'!Y$4)</f>
        <v>0</v>
      </c>
      <c r="Z79" s="126">
        <f>COUNTIFS('TỔNG KLH + TN'!$B:$B,'01. TH'!$B79,'TỔNG KLH + TN'!$C:$C,'01. TH'!Z$4)</f>
        <v>0</v>
      </c>
      <c r="AA79" s="126">
        <f>COUNTIFS('TỔNG KLH + TN'!$B:$B,'01. TH'!$B79,'TỔNG KLH + TN'!$C:$C,'01. TH'!AA$4)</f>
        <v>0</v>
      </c>
      <c r="AB79" s="126">
        <f>COUNTIFS('TỔNG KLH + TN'!$B:$B,'01. TH'!$B79,'TỔNG KLH + TN'!$C:$C,'01. TH'!AB$4)</f>
        <v>1</v>
      </c>
      <c r="AC79" s="126">
        <f>COUNTIFS('TỔNG KLH + TN'!$B:$B,'01. TH'!$B79,'TỔNG KLH + TN'!$C:$C,'01. TH'!AC$4)</f>
        <v>0</v>
      </c>
      <c r="AD79" s="126">
        <f>COUNTIFS('TỔNG KLH + TN'!$B:$B,'01. TH'!$B79,'TỔNG KLH + TN'!$C:$C,'01. TH'!AD$4)</f>
        <v>0</v>
      </c>
      <c r="AE79" s="136">
        <f t="shared" si="19"/>
        <v>1</v>
      </c>
      <c r="AF79" s="136"/>
      <c r="AG79" s="70" t="str">
        <f t="shared" si="3"/>
        <v>ok</v>
      </c>
      <c r="AH79" s="124"/>
    </row>
    <row r="80" ht="18.75" hidden="1" customHeight="1" outlineLevel="1">
      <c r="A80" s="121"/>
      <c r="B80" s="205" t="s">
        <v>2504</v>
      </c>
      <c r="C80" s="123" t="s">
        <v>2056</v>
      </c>
      <c r="D80" s="124" t="str">
        <f>IFERROR(VLOOKUP(B80,'Danh mục'!$G:$U,15,0),"")</f>
        <v/>
      </c>
      <c r="E80" s="124" t="s">
        <v>108</v>
      </c>
      <c r="F80" s="126">
        <f>COUNTIFS('TỔNG KLH + TN'!$B:$B,'01. TH'!$B80,'TỔNG KLH + TN'!$C:$C,'01. TH'!F$4)</f>
        <v>0</v>
      </c>
      <c r="G80" s="126">
        <f>COUNTIFS('TỔNG KLH + TN'!$B:$B,'01. TH'!$B80,'TỔNG KLH + TN'!$C:$C,'01. TH'!G$4)</f>
        <v>0</v>
      </c>
      <c r="H80" s="126">
        <f>COUNTIFS('TỔNG KLH + TN'!$B:$B,'01. TH'!$B80,'TỔNG KLH + TN'!$C:$C,'01. TH'!H$4)</f>
        <v>0</v>
      </c>
      <c r="I80" s="126">
        <f>COUNTIFS('TỔNG KLH + TN'!$B:$B,'01. TH'!$B80,'TỔNG KLH + TN'!$C:$C,'01. TH'!I$4)</f>
        <v>0</v>
      </c>
      <c r="J80" s="126">
        <f>COUNTIFS('TỔNG KLH + TN'!$B:$B,'01. TH'!$B80,'TỔNG KLH + TN'!$C:$C,'01. TH'!J$4)</f>
        <v>0</v>
      </c>
      <c r="K80" s="126">
        <f>COUNTIFS('TỔNG KLH + TN'!$B:$B,'01. TH'!$B80,'TỔNG KLH + TN'!$C:$C,'01. TH'!K$4)</f>
        <v>0</v>
      </c>
      <c r="L80" s="126">
        <f>COUNTIFS('TỔNG KLH + TN'!$B:$B,'01. TH'!$B80,'TỔNG KLH + TN'!$C:$C,'01. TH'!L$4)</f>
        <v>0</v>
      </c>
      <c r="M80" s="126">
        <f>COUNTIFS('TỔNG KLH + TN'!$B:$B,'01. TH'!$B80,'TỔNG KLH + TN'!$C:$C,'01. TH'!M$4)</f>
        <v>0</v>
      </c>
      <c r="N80" s="126">
        <f>COUNTIFS('TỔNG KLH + TN'!$B:$B,'01. TH'!$B80,'TỔNG KLH + TN'!$C:$C,'01. TH'!N$4)</f>
        <v>0</v>
      </c>
      <c r="O80" s="126">
        <f>COUNTIFS('TỔNG KLH + TN'!$B:$B,'01. TH'!$B80,'TỔNG KLH + TN'!$C:$C,'01. TH'!O$4)</f>
        <v>0</v>
      </c>
      <c r="P80" s="126">
        <f>COUNTIFS('TỔNG KLH + TN'!$B:$B,'01. TH'!$B80,'TỔNG KLH + TN'!$C:$C,'01. TH'!P$4)</f>
        <v>0</v>
      </c>
      <c r="Q80" s="126">
        <f>COUNTIFS('TỔNG KLH + TN'!$B:$B,'01. TH'!$B80,'TỔNG KLH + TN'!$C:$C,'01. TH'!Q$4)</f>
        <v>0</v>
      </c>
      <c r="R80" s="126">
        <f>COUNTIFS('TỔNG KLH + TN'!$B:$B,'01. TH'!$B80,'TỔNG KLH + TN'!$C:$C,'01. TH'!R$4)</f>
        <v>0</v>
      </c>
      <c r="S80" s="126">
        <f>COUNTIFS('TỔNG KLH + TN'!$B:$B,'01. TH'!$B80,'TỔNG KLH + TN'!$C:$C,'01. TH'!S$4)</f>
        <v>0</v>
      </c>
      <c r="T80" s="126">
        <f>COUNTIFS('TỔNG KLH + TN'!$B:$B,'01. TH'!$B80,'TỔNG KLH + TN'!$C:$C,'01. TH'!T$4)</f>
        <v>0</v>
      </c>
      <c r="U80" s="126">
        <f>COUNTIFS('TỔNG KLH + TN'!$B:$B,'01. TH'!$B80,'TỔNG KLH + TN'!$C:$C,'01. TH'!U$4)</f>
        <v>0</v>
      </c>
      <c r="V80" s="126">
        <f>COUNTIFS('TỔNG KLH + TN'!$B:$B,'01. TH'!$B80,'TỔNG KLH + TN'!$C:$C,'01. TH'!V$4)</f>
        <v>0</v>
      </c>
      <c r="W80" s="126">
        <f>COUNTIFS('TỔNG KLH + TN'!$B:$B,'01. TH'!$B80,'TỔNG KLH + TN'!$C:$C,'01. TH'!W$4)</f>
        <v>0</v>
      </c>
      <c r="X80" s="126">
        <f>COUNTIFS('TỔNG KLH + TN'!$B:$B,'01. TH'!$B80,'TỔNG KLH + TN'!$C:$C,'01. TH'!X$4)</f>
        <v>0</v>
      </c>
      <c r="Y80" s="126">
        <f>COUNTIFS('TỔNG KLH + TN'!$B:$B,'01. TH'!$B80,'TỔNG KLH + TN'!$C:$C,'01. TH'!Y$4)</f>
        <v>1</v>
      </c>
      <c r="Z80" s="126">
        <f>COUNTIFS('TỔNG KLH + TN'!$B:$B,'01. TH'!$B80,'TỔNG KLH + TN'!$C:$C,'01. TH'!Z$4)</f>
        <v>0</v>
      </c>
      <c r="AA80" s="126">
        <f>COUNTIFS('TỔNG KLH + TN'!$B:$B,'01. TH'!$B80,'TỔNG KLH + TN'!$C:$C,'01. TH'!AA$4)</f>
        <v>0</v>
      </c>
      <c r="AB80" s="126">
        <f>COUNTIFS('TỔNG KLH + TN'!$B:$B,'01. TH'!$B80,'TỔNG KLH + TN'!$C:$C,'01. TH'!AB$4)</f>
        <v>0</v>
      </c>
      <c r="AC80" s="126">
        <f>COUNTIFS('TỔNG KLH + TN'!$B:$B,'01. TH'!$B80,'TỔNG KLH + TN'!$C:$C,'01. TH'!AC$4)</f>
        <v>0</v>
      </c>
      <c r="AD80" s="126">
        <f>COUNTIFS('TỔNG KLH + TN'!$B:$B,'01. TH'!$B80,'TỔNG KLH + TN'!$C:$C,'01. TH'!AD$4)</f>
        <v>0</v>
      </c>
      <c r="AE80" s="136">
        <f t="shared" si="19"/>
        <v>1</v>
      </c>
      <c r="AF80" s="136"/>
      <c r="AG80" s="70" t="str">
        <f t="shared" si="3"/>
        <v>ok</v>
      </c>
      <c r="AH80" s="124"/>
    </row>
    <row r="81" ht="18.75" hidden="1" customHeight="1" outlineLevel="1">
      <c r="A81" s="121"/>
      <c r="B81" s="122" t="s">
        <v>2595</v>
      </c>
      <c r="C81" s="123" t="s">
        <v>2453</v>
      </c>
      <c r="D81" s="124" t="str">
        <f>IFERROR(VLOOKUP(B81,'Danh mục'!$G:$U,15,0),"")</f>
        <v>12160 x 2500 x 3950</v>
      </c>
      <c r="E81" s="124" t="s">
        <v>108</v>
      </c>
      <c r="F81" s="126">
        <f>COUNTIFS('TỔNG KLH + TN'!$B:$B,'01. TH'!$B81,'TỔNG KLH + TN'!$C:$C,'01. TH'!F$4)</f>
        <v>0</v>
      </c>
      <c r="G81" s="126">
        <f>COUNTIFS('TỔNG KLH + TN'!$B:$B,'01. TH'!$B81,'TỔNG KLH + TN'!$C:$C,'01. TH'!G$4)</f>
        <v>0</v>
      </c>
      <c r="H81" s="126">
        <f>COUNTIFS('TỔNG KLH + TN'!$B:$B,'01. TH'!$B81,'TỔNG KLH + TN'!$C:$C,'01. TH'!H$4)</f>
        <v>0</v>
      </c>
      <c r="I81" s="126">
        <f>COUNTIFS('TỔNG KLH + TN'!$B:$B,'01. TH'!$B81,'TỔNG KLH + TN'!$C:$C,'01. TH'!I$4)</f>
        <v>0</v>
      </c>
      <c r="J81" s="126">
        <f>COUNTIFS('TỔNG KLH + TN'!$B:$B,'01. TH'!$B81,'TỔNG KLH + TN'!$C:$C,'01. TH'!J$4)</f>
        <v>0</v>
      </c>
      <c r="K81" s="126">
        <f>COUNTIFS('TỔNG KLH + TN'!$B:$B,'01. TH'!$B81,'TỔNG KLH + TN'!$C:$C,'01. TH'!K$4)</f>
        <v>0</v>
      </c>
      <c r="L81" s="126">
        <f>COUNTIFS('TỔNG KLH + TN'!$B:$B,'01. TH'!$B81,'TỔNG KLH + TN'!$C:$C,'01. TH'!L$4)</f>
        <v>0</v>
      </c>
      <c r="M81" s="126">
        <f>COUNTIFS('TỔNG KLH + TN'!$B:$B,'01. TH'!$B81,'TỔNG KLH + TN'!$C:$C,'01. TH'!M$4)</f>
        <v>0</v>
      </c>
      <c r="N81" s="126">
        <f>COUNTIFS('TỔNG KLH + TN'!$B:$B,'01. TH'!$B81,'TỔNG KLH + TN'!$C:$C,'01. TH'!N$4)</f>
        <v>0</v>
      </c>
      <c r="O81" s="126">
        <f>COUNTIFS('TỔNG KLH + TN'!$B:$B,'01. TH'!$B81,'TỔNG KLH + TN'!$C:$C,'01. TH'!O$4)</f>
        <v>0</v>
      </c>
      <c r="P81" s="126">
        <f>COUNTIFS('TỔNG KLH + TN'!$B:$B,'01. TH'!$B81,'TỔNG KLH + TN'!$C:$C,'01. TH'!P$4)</f>
        <v>0</v>
      </c>
      <c r="Q81" s="126">
        <f>COUNTIFS('TỔNG KLH + TN'!$B:$B,'01. TH'!$B81,'TỔNG KLH + TN'!$C:$C,'01. TH'!Q$4)</f>
        <v>0</v>
      </c>
      <c r="R81" s="126">
        <f>COUNTIFS('TỔNG KLH + TN'!$B:$B,'01. TH'!$B81,'TỔNG KLH + TN'!$C:$C,'01. TH'!R$4)</f>
        <v>0</v>
      </c>
      <c r="S81" s="126">
        <f>COUNTIFS('TỔNG KLH + TN'!$B:$B,'01. TH'!$B81,'TỔNG KLH + TN'!$C:$C,'01. TH'!S$4)</f>
        <v>0</v>
      </c>
      <c r="T81" s="126">
        <f>COUNTIFS('TỔNG KLH + TN'!$B:$B,'01. TH'!$B81,'TỔNG KLH + TN'!$C:$C,'01. TH'!T$4)</f>
        <v>0</v>
      </c>
      <c r="U81" s="126">
        <f>COUNTIFS('TỔNG KLH + TN'!$B:$B,'01. TH'!$B81,'TỔNG KLH + TN'!$C:$C,'01. TH'!U$4)</f>
        <v>0</v>
      </c>
      <c r="V81" s="126">
        <f>COUNTIFS('TỔNG KLH + TN'!$B:$B,'01. TH'!$B81,'TỔNG KLH + TN'!$C:$C,'01. TH'!V$4)</f>
        <v>0</v>
      </c>
      <c r="W81" s="126">
        <f>COUNTIFS('TỔNG KLH + TN'!$B:$B,'01. TH'!$B81,'TỔNG KLH + TN'!$C:$C,'01. TH'!W$4)</f>
        <v>0</v>
      </c>
      <c r="X81" s="126">
        <f>COUNTIFS('TỔNG KLH + TN'!$B:$B,'01. TH'!$B81,'TỔNG KLH + TN'!$C:$C,'01. TH'!X$4)</f>
        <v>0</v>
      </c>
      <c r="Y81" s="126">
        <f>COUNTIFS('TỔNG KLH + TN'!$B:$B,'01. TH'!$B81,'TỔNG KLH + TN'!$C:$C,'01. TH'!Y$4)</f>
        <v>0</v>
      </c>
      <c r="Z81" s="126">
        <f>COUNTIFS('TỔNG KLH + TN'!$B:$B,'01. TH'!$B81,'TỔNG KLH + TN'!$C:$C,'01. TH'!Z$4)</f>
        <v>0</v>
      </c>
      <c r="AA81" s="126">
        <f>COUNTIFS('TỔNG KLH + TN'!$B:$B,'01. TH'!$B81,'TỔNG KLH + TN'!$C:$C,'01. TH'!AA$4)</f>
        <v>0</v>
      </c>
      <c r="AB81" s="126">
        <f>COUNTIFS('TỔNG KLH + TN'!$B:$B,'01. TH'!$B81,'TỔNG KLH + TN'!$C:$C,'01. TH'!AB$4)</f>
        <v>1</v>
      </c>
      <c r="AC81" s="126">
        <f>COUNTIFS('TỔNG KLH + TN'!$B:$B,'01. TH'!$B81,'TỔNG KLH + TN'!$C:$C,'01. TH'!AC$4)</f>
        <v>0</v>
      </c>
      <c r="AD81" s="126">
        <f>COUNTIFS('TỔNG KLH + TN'!$B:$B,'01. TH'!$B81,'TỔNG KLH + TN'!$C:$C,'01. TH'!AD$4)</f>
        <v>0</v>
      </c>
      <c r="AE81" s="136">
        <f t="shared" si="19"/>
        <v>1</v>
      </c>
      <c r="AF81" s="136"/>
      <c r="AG81" s="70" t="str">
        <f t="shared" si="3"/>
        <v>ok</v>
      </c>
      <c r="AH81" s="124"/>
    </row>
    <row r="82" ht="18.75" hidden="1" customHeight="1" outlineLevel="1">
      <c r="A82" s="210"/>
      <c r="B82" s="122" t="s">
        <v>584</v>
      </c>
      <c r="C82" s="123" t="s">
        <v>163</v>
      </c>
      <c r="D82" s="124" t="str">
        <f>IFERROR(VLOOKUP(B82,'Danh mục'!$G:$U,15,0),"")</f>
        <v>11825 x 2500 x 3720</v>
      </c>
      <c r="E82" s="124" t="s">
        <v>108</v>
      </c>
      <c r="F82" s="126">
        <f>COUNTIFS('TỔNG KLH + TN'!$B:$B,'01. TH'!$B82,'TỔNG KLH + TN'!$C:$C,'01. TH'!F$4)</f>
        <v>1</v>
      </c>
      <c r="G82" s="126">
        <f>COUNTIFS('TỔNG KLH + TN'!$B:$B,'01. TH'!$B82,'TỔNG KLH + TN'!$C:$C,'01. TH'!G$4)</f>
        <v>0</v>
      </c>
      <c r="H82" s="126">
        <f>COUNTIFS('TỔNG KLH + TN'!$B:$B,'01. TH'!$B82,'TỔNG KLH + TN'!$C:$C,'01. TH'!H$4)</f>
        <v>0</v>
      </c>
      <c r="I82" s="126">
        <f>COUNTIFS('TỔNG KLH + TN'!$B:$B,'01. TH'!$B82,'TỔNG KLH + TN'!$C:$C,'01. TH'!I$4)</f>
        <v>0</v>
      </c>
      <c r="J82" s="126">
        <f>COUNTIFS('TỔNG KLH + TN'!$B:$B,'01. TH'!$B82,'TỔNG KLH + TN'!$C:$C,'01. TH'!J$4)</f>
        <v>0</v>
      </c>
      <c r="K82" s="126">
        <f>COUNTIFS('TỔNG KLH + TN'!$B:$B,'01. TH'!$B82,'TỔNG KLH + TN'!$C:$C,'01. TH'!K$4)</f>
        <v>0</v>
      </c>
      <c r="L82" s="126">
        <f>COUNTIFS('TỔNG KLH + TN'!$B:$B,'01. TH'!$B82,'TỔNG KLH + TN'!$C:$C,'01. TH'!L$4)</f>
        <v>0</v>
      </c>
      <c r="M82" s="126">
        <f>COUNTIFS('TỔNG KLH + TN'!$B:$B,'01. TH'!$B82,'TỔNG KLH + TN'!$C:$C,'01. TH'!M$4)</f>
        <v>0</v>
      </c>
      <c r="N82" s="126">
        <f>COUNTIFS('TỔNG KLH + TN'!$B:$B,'01. TH'!$B82,'TỔNG KLH + TN'!$C:$C,'01. TH'!N$4)</f>
        <v>0</v>
      </c>
      <c r="O82" s="126">
        <f>COUNTIFS('TỔNG KLH + TN'!$B:$B,'01. TH'!$B82,'TỔNG KLH + TN'!$C:$C,'01. TH'!O$4)</f>
        <v>0</v>
      </c>
      <c r="P82" s="126">
        <f>COUNTIFS('TỔNG KLH + TN'!$B:$B,'01. TH'!$B82,'TỔNG KLH + TN'!$C:$C,'01. TH'!P$4)</f>
        <v>0</v>
      </c>
      <c r="Q82" s="126">
        <f>COUNTIFS('TỔNG KLH + TN'!$B:$B,'01. TH'!$B82,'TỔNG KLH + TN'!$C:$C,'01. TH'!Q$4)</f>
        <v>0</v>
      </c>
      <c r="R82" s="126">
        <f>COUNTIFS('TỔNG KLH + TN'!$B:$B,'01. TH'!$B82,'TỔNG KLH + TN'!$C:$C,'01. TH'!R$4)</f>
        <v>0</v>
      </c>
      <c r="S82" s="126">
        <f>COUNTIFS('TỔNG KLH + TN'!$B:$B,'01. TH'!$B82,'TỔNG KLH + TN'!$C:$C,'01. TH'!S$4)</f>
        <v>1</v>
      </c>
      <c r="T82" s="126">
        <f>COUNTIFS('TỔNG KLH + TN'!$B:$B,'01. TH'!$B82,'TỔNG KLH + TN'!$C:$C,'01. TH'!T$4)</f>
        <v>0</v>
      </c>
      <c r="U82" s="126">
        <f>COUNTIFS('TỔNG KLH + TN'!$B:$B,'01. TH'!$B82,'TỔNG KLH + TN'!$C:$C,'01. TH'!U$4)</f>
        <v>0</v>
      </c>
      <c r="V82" s="126">
        <f>COUNTIFS('TỔNG KLH + TN'!$B:$B,'01. TH'!$B82,'TỔNG KLH + TN'!$C:$C,'01. TH'!V$4)</f>
        <v>0</v>
      </c>
      <c r="W82" s="126">
        <f>COUNTIFS('TỔNG KLH + TN'!$B:$B,'01. TH'!$B82,'TỔNG KLH + TN'!$C:$C,'01. TH'!W$4)</f>
        <v>0</v>
      </c>
      <c r="X82" s="126">
        <f>COUNTIFS('TỔNG KLH + TN'!$B:$B,'01. TH'!$B82,'TỔNG KLH + TN'!$C:$C,'01. TH'!X$4)</f>
        <v>0</v>
      </c>
      <c r="Y82" s="126">
        <f>COUNTIFS('TỔNG KLH + TN'!$B:$B,'01. TH'!$B82,'TỔNG KLH + TN'!$C:$C,'01. TH'!Y$4)</f>
        <v>0</v>
      </c>
      <c r="Z82" s="126">
        <f>COUNTIFS('TỔNG KLH + TN'!$B:$B,'01. TH'!$B82,'TỔNG KLH + TN'!$C:$C,'01. TH'!Z$4)</f>
        <v>0</v>
      </c>
      <c r="AA82" s="126">
        <f>COUNTIFS('TỔNG KLH + TN'!$B:$B,'01. TH'!$B82,'TỔNG KLH + TN'!$C:$C,'01. TH'!AA$4)</f>
        <v>0</v>
      </c>
      <c r="AB82" s="126">
        <f>COUNTIFS('TỔNG KLH + TN'!$B:$B,'01. TH'!$B82,'TỔNG KLH + TN'!$C:$C,'01. TH'!AB$4)</f>
        <v>0</v>
      </c>
      <c r="AC82" s="126">
        <f>COUNTIFS('TỔNG KLH + TN'!$B:$B,'01. TH'!$B82,'TỔNG KLH + TN'!$C:$C,'01. TH'!AC$4)</f>
        <v>0</v>
      </c>
      <c r="AD82" s="126">
        <f>COUNTIFS('TỔNG KLH + TN'!$B:$B,'01. TH'!$B82,'TỔNG KLH + TN'!$C:$C,'01. TH'!AD$4)</f>
        <v>0</v>
      </c>
      <c r="AE82" s="162">
        <f t="shared" si="19"/>
        <v>2</v>
      </c>
      <c r="AF82" s="162"/>
      <c r="AG82" s="70" t="str">
        <f t="shared" si="3"/>
        <v>ok</v>
      </c>
      <c r="AH82" s="210"/>
    </row>
    <row r="83" ht="18.75" hidden="1" customHeight="1" outlineLevel="1">
      <c r="A83" s="121"/>
      <c r="B83" s="122" t="s">
        <v>2580</v>
      </c>
      <c r="C83" s="123" t="s">
        <v>2584</v>
      </c>
      <c r="D83" s="124" t="str">
        <f>IFERROR(VLOOKUP(B83,'Danh mục'!$G:$U,15,0),"")</f>
        <v>11845 x 2500 x 3690</v>
      </c>
      <c r="E83" s="124" t="s">
        <v>108</v>
      </c>
      <c r="F83" s="126">
        <f>COUNTIFS('TỔNG KLH + TN'!$B:$B,'01. TH'!$B83,'TỔNG KLH + TN'!$C:$C,'01. TH'!F$4)</f>
        <v>0</v>
      </c>
      <c r="G83" s="126">
        <f>COUNTIFS('TỔNG KLH + TN'!$B:$B,'01. TH'!$B83,'TỔNG KLH + TN'!$C:$C,'01. TH'!G$4)</f>
        <v>0</v>
      </c>
      <c r="H83" s="126">
        <f>COUNTIFS('TỔNG KLH + TN'!$B:$B,'01. TH'!$B83,'TỔNG KLH + TN'!$C:$C,'01. TH'!H$4)</f>
        <v>0</v>
      </c>
      <c r="I83" s="126">
        <f>COUNTIFS('TỔNG KLH + TN'!$B:$B,'01. TH'!$B83,'TỔNG KLH + TN'!$C:$C,'01. TH'!I$4)</f>
        <v>0</v>
      </c>
      <c r="J83" s="126">
        <f>COUNTIFS('TỔNG KLH + TN'!$B:$B,'01. TH'!$B83,'TỔNG KLH + TN'!$C:$C,'01. TH'!J$4)</f>
        <v>0</v>
      </c>
      <c r="K83" s="126">
        <f>COUNTIFS('TỔNG KLH + TN'!$B:$B,'01. TH'!$B83,'TỔNG KLH + TN'!$C:$C,'01. TH'!K$4)</f>
        <v>0</v>
      </c>
      <c r="L83" s="126">
        <f>COUNTIFS('TỔNG KLH + TN'!$B:$B,'01. TH'!$B83,'TỔNG KLH + TN'!$C:$C,'01. TH'!L$4)</f>
        <v>0</v>
      </c>
      <c r="M83" s="126">
        <f>COUNTIFS('TỔNG KLH + TN'!$B:$B,'01. TH'!$B83,'TỔNG KLH + TN'!$C:$C,'01. TH'!M$4)</f>
        <v>0</v>
      </c>
      <c r="N83" s="126">
        <f>COUNTIFS('TỔNG KLH + TN'!$B:$B,'01. TH'!$B83,'TỔNG KLH + TN'!$C:$C,'01. TH'!N$4)</f>
        <v>0</v>
      </c>
      <c r="O83" s="126">
        <f>COUNTIFS('TỔNG KLH + TN'!$B:$B,'01. TH'!$B83,'TỔNG KLH + TN'!$C:$C,'01. TH'!O$4)</f>
        <v>0</v>
      </c>
      <c r="P83" s="126">
        <f>COUNTIFS('TỔNG KLH + TN'!$B:$B,'01. TH'!$B83,'TỔNG KLH + TN'!$C:$C,'01. TH'!P$4)</f>
        <v>0</v>
      </c>
      <c r="Q83" s="126">
        <f>COUNTIFS('TỔNG KLH + TN'!$B:$B,'01. TH'!$B83,'TỔNG KLH + TN'!$C:$C,'01. TH'!Q$4)</f>
        <v>0</v>
      </c>
      <c r="R83" s="126">
        <f>COUNTIFS('TỔNG KLH + TN'!$B:$B,'01. TH'!$B83,'TỔNG KLH + TN'!$C:$C,'01. TH'!R$4)</f>
        <v>0</v>
      </c>
      <c r="S83" s="126">
        <f>COUNTIFS('TỔNG KLH + TN'!$B:$B,'01. TH'!$B83,'TỔNG KLH + TN'!$C:$C,'01. TH'!S$4)</f>
        <v>0</v>
      </c>
      <c r="T83" s="126">
        <f>COUNTIFS('TỔNG KLH + TN'!$B:$B,'01. TH'!$B83,'TỔNG KLH + TN'!$C:$C,'01. TH'!T$4)</f>
        <v>0</v>
      </c>
      <c r="U83" s="126">
        <f>COUNTIFS('TỔNG KLH + TN'!$B:$B,'01. TH'!$B83,'TỔNG KLH + TN'!$C:$C,'01. TH'!U$4)</f>
        <v>0</v>
      </c>
      <c r="V83" s="126">
        <f>COUNTIFS('TỔNG KLH + TN'!$B:$B,'01. TH'!$B83,'TỔNG KLH + TN'!$C:$C,'01. TH'!V$4)</f>
        <v>0</v>
      </c>
      <c r="W83" s="126">
        <f>COUNTIFS('TỔNG KLH + TN'!$B:$B,'01. TH'!$B83,'TỔNG KLH + TN'!$C:$C,'01. TH'!W$4)</f>
        <v>0</v>
      </c>
      <c r="X83" s="126">
        <f>COUNTIFS('TỔNG KLH + TN'!$B:$B,'01. TH'!$B83,'TỔNG KLH + TN'!$C:$C,'01. TH'!X$4)</f>
        <v>0</v>
      </c>
      <c r="Y83" s="126">
        <f>COUNTIFS('TỔNG KLH + TN'!$B:$B,'01. TH'!$B83,'TỔNG KLH + TN'!$C:$C,'01. TH'!Y$4)</f>
        <v>0</v>
      </c>
      <c r="Z83" s="126">
        <f>COUNTIFS('TỔNG KLH + TN'!$B:$B,'01. TH'!$B83,'TỔNG KLH + TN'!$C:$C,'01. TH'!Z$4)</f>
        <v>0</v>
      </c>
      <c r="AA83" s="126">
        <f>COUNTIFS('TỔNG KLH + TN'!$B:$B,'01. TH'!$B83,'TỔNG KLH + TN'!$C:$C,'01. TH'!AA$4)</f>
        <v>0</v>
      </c>
      <c r="AB83" s="126">
        <f>COUNTIFS('TỔNG KLH + TN'!$B:$B,'01. TH'!$B83,'TỔNG KLH + TN'!$C:$C,'01. TH'!AB$4)</f>
        <v>2</v>
      </c>
      <c r="AC83" s="126">
        <f>COUNTIFS('TỔNG KLH + TN'!$B:$B,'01. TH'!$B83,'TỔNG KLH + TN'!$C:$C,'01. TH'!AC$4)</f>
        <v>0</v>
      </c>
      <c r="AD83" s="126">
        <f>COUNTIFS('TỔNG KLH + TN'!$B:$B,'01. TH'!$B83,'TỔNG KLH + TN'!$C:$C,'01. TH'!AD$4)</f>
        <v>0</v>
      </c>
      <c r="AE83" s="136">
        <f t="shared" si="19"/>
        <v>2</v>
      </c>
      <c r="AF83" s="136"/>
      <c r="AG83" s="70" t="str">
        <f t="shared" si="3"/>
        <v>ok</v>
      </c>
      <c r="AH83" s="124"/>
    </row>
    <row r="84" ht="18.75" hidden="1" customHeight="1" outlineLevel="1">
      <c r="A84" s="210"/>
      <c r="B84" s="122" t="s">
        <v>2566</v>
      </c>
      <c r="C84" s="123" t="s">
        <v>571</v>
      </c>
      <c r="D84" s="124" t="str">
        <f>IFERROR(VLOOKUP(B84,'Danh mục'!$G:$U,15,0),"")</f>
        <v>13530 x 2600 x 3700</v>
      </c>
      <c r="E84" s="124" t="s">
        <v>108</v>
      </c>
      <c r="F84" s="126">
        <f>COUNTIFS('TỔNG KLH + TN'!$B:$B,'01. TH'!$B84,'TỔNG KLH + TN'!$C:$C,'01. TH'!F$4)</f>
        <v>0</v>
      </c>
      <c r="G84" s="126">
        <f>COUNTIFS('TỔNG KLH + TN'!$B:$B,'01. TH'!$B84,'TỔNG KLH + TN'!$C:$C,'01. TH'!G$4)</f>
        <v>0</v>
      </c>
      <c r="H84" s="126">
        <f>COUNTIFS('TỔNG KLH + TN'!$B:$B,'01. TH'!$B84,'TỔNG KLH + TN'!$C:$C,'01. TH'!H$4)</f>
        <v>0</v>
      </c>
      <c r="I84" s="126">
        <f>COUNTIFS('TỔNG KLH + TN'!$B:$B,'01. TH'!$B84,'TỔNG KLH + TN'!$C:$C,'01. TH'!I$4)</f>
        <v>0</v>
      </c>
      <c r="J84" s="126">
        <f>COUNTIFS('TỔNG KLH + TN'!$B:$B,'01. TH'!$B84,'TỔNG KLH + TN'!$C:$C,'01. TH'!J$4)</f>
        <v>0</v>
      </c>
      <c r="K84" s="126">
        <f>COUNTIFS('TỔNG KLH + TN'!$B:$B,'01. TH'!$B84,'TỔNG KLH + TN'!$C:$C,'01. TH'!K$4)</f>
        <v>0</v>
      </c>
      <c r="L84" s="126">
        <f>COUNTIFS('TỔNG KLH + TN'!$B:$B,'01. TH'!$B84,'TỔNG KLH + TN'!$C:$C,'01. TH'!L$4)</f>
        <v>0</v>
      </c>
      <c r="M84" s="126">
        <f>COUNTIFS('TỔNG KLH + TN'!$B:$B,'01. TH'!$B84,'TỔNG KLH + TN'!$C:$C,'01. TH'!M$4)</f>
        <v>0</v>
      </c>
      <c r="N84" s="126">
        <f>COUNTIFS('TỔNG KLH + TN'!$B:$B,'01. TH'!$B84,'TỔNG KLH + TN'!$C:$C,'01. TH'!N$4)</f>
        <v>0</v>
      </c>
      <c r="O84" s="126">
        <f>COUNTIFS('TỔNG KLH + TN'!$B:$B,'01. TH'!$B84,'TỔNG KLH + TN'!$C:$C,'01. TH'!O$4)</f>
        <v>0</v>
      </c>
      <c r="P84" s="126">
        <f>COUNTIFS('TỔNG KLH + TN'!$B:$B,'01. TH'!$B84,'TỔNG KLH + TN'!$C:$C,'01. TH'!P$4)</f>
        <v>0</v>
      </c>
      <c r="Q84" s="126">
        <f>COUNTIFS('TỔNG KLH + TN'!$B:$B,'01. TH'!$B84,'TỔNG KLH + TN'!$C:$C,'01. TH'!Q$4)</f>
        <v>0</v>
      </c>
      <c r="R84" s="126">
        <f>COUNTIFS('TỔNG KLH + TN'!$B:$B,'01. TH'!$B84,'TỔNG KLH + TN'!$C:$C,'01. TH'!R$4)</f>
        <v>0</v>
      </c>
      <c r="S84" s="126">
        <f>COUNTIFS('TỔNG KLH + TN'!$B:$B,'01. TH'!$B84,'TỔNG KLH + TN'!$C:$C,'01. TH'!S$4)</f>
        <v>0</v>
      </c>
      <c r="T84" s="126">
        <f>COUNTIFS('TỔNG KLH + TN'!$B:$B,'01. TH'!$B84,'TỔNG KLH + TN'!$C:$C,'01. TH'!T$4)</f>
        <v>0</v>
      </c>
      <c r="U84" s="126">
        <f>COUNTIFS('TỔNG KLH + TN'!$B:$B,'01. TH'!$B84,'TỔNG KLH + TN'!$C:$C,'01. TH'!U$4)</f>
        <v>0</v>
      </c>
      <c r="V84" s="126">
        <f>COUNTIFS('TỔNG KLH + TN'!$B:$B,'01. TH'!$B84,'TỔNG KLH + TN'!$C:$C,'01. TH'!V$4)</f>
        <v>0</v>
      </c>
      <c r="W84" s="126">
        <f>COUNTIFS('TỔNG KLH + TN'!$B:$B,'01. TH'!$B84,'TỔNG KLH + TN'!$C:$C,'01. TH'!W$4)</f>
        <v>0</v>
      </c>
      <c r="X84" s="126">
        <f>COUNTIFS('TỔNG KLH + TN'!$B:$B,'01. TH'!$B84,'TỔNG KLH + TN'!$C:$C,'01. TH'!X$4)</f>
        <v>0</v>
      </c>
      <c r="Y84" s="126">
        <f>COUNTIFS('TỔNG KLH + TN'!$B:$B,'01. TH'!$B84,'TỔNG KLH + TN'!$C:$C,'01. TH'!Y$4)</f>
        <v>0</v>
      </c>
      <c r="Z84" s="126">
        <f>COUNTIFS('TỔNG KLH + TN'!$B:$B,'01. TH'!$B84,'TỔNG KLH + TN'!$C:$C,'01. TH'!Z$4)</f>
        <v>0</v>
      </c>
      <c r="AA84" s="126">
        <f>COUNTIFS('TỔNG KLH + TN'!$B:$B,'01. TH'!$B84,'TỔNG KLH + TN'!$C:$C,'01. TH'!AA$4)</f>
        <v>0</v>
      </c>
      <c r="AB84" s="126">
        <f>COUNTIFS('TỔNG KLH + TN'!$B:$B,'01. TH'!$B84,'TỔNG KLH + TN'!$C:$C,'01. TH'!AB$4)</f>
        <v>1</v>
      </c>
      <c r="AC84" s="126">
        <f>COUNTIFS('TỔNG KLH + TN'!$B:$B,'01. TH'!$B84,'TỔNG KLH + TN'!$C:$C,'01. TH'!AC$4)</f>
        <v>0</v>
      </c>
      <c r="AD84" s="126">
        <f>COUNTIFS('TỔNG KLH + TN'!$B:$B,'01. TH'!$B84,'TỔNG KLH + TN'!$C:$C,'01. TH'!AD$4)</f>
        <v>0</v>
      </c>
      <c r="AE84" s="162">
        <f t="shared" si="19"/>
        <v>1</v>
      </c>
      <c r="AF84" s="162"/>
      <c r="AG84" s="70" t="str">
        <f t="shared" si="3"/>
        <v>ok</v>
      </c>
      <c r="AH84" s="210"/>
    </row>
    <row r="85" ht="24.0" customHeight="1" collapsed="1">
      <c r="A85" s="70">
        <v>10.0</v>
      </c>
      <c r="B85" s="73" t="s">
        <v>3146</v>
      </c>
      <c r="C85" s="78"/>
      <c r="D85" s="78" t="str">
        <f>IFERROR(VLOOKUP(B85,'Danh mục'!$G:$U,15,0),"")</f>
        <v/>
      </c>
      <c r="E85" s="78"/>
      <c r="F85" s="172">
        <f t="shared" ref="F85:AE85" si="20">SUM(F86:F89)</f>
        <v>0</v>
      </c>
      <c r="G85" s="172">
        <f t="shared" si="20"/>
        <v>0</v>
      </c>
      <c r="H85" s="172">
        <f t="shared" si="20"/>
        <v>0</v>
      </c>
      <c r="I85" s="172">
        <f t="shared" si="20"/>
        <v>0</v>
      </c>
      <c r="J85" s="172">
        <f t="shared" si="20"/>
        <v>0</v>
      </c>
      <c r="K85" s="172">
        <f t="shared" si="20"/>
        <v>0</v>
      </c>
      <c r="L85" s="172">
        <f t="shared" si="20"/>
        <v>0</v>
      </c>
      <c r="M85" s="172">
        <f t="shared" si="20"/>
        <v>0</v>
      </c>
      <c r="N85" s="172">
        <f t="shared" si="20"/>
        <v>0</v>
      </c>
      <c r="O85" s="172">
        <f t="shared" si="20"/>
        <v>0</v>
      </c>
      <c r="P85" s="172">
        <f t="shared" si="20"/>
        <v>0</v>
      </c>
      <c r="Q85" s="172">
        <f t="shared" si="20"/>
        <v>0</v>
      </c>
      <c r="R85" s="172">
        <f t="shared" si="20"/>
        <v>0</v>
      </c>
      <c r="S85" s="172">
        <f t="shared" si="20"/>
        <v>0</v>
      </c>
      <c r="T85" s="172">
        <f t="shared" si="20"/>
        <v>0</v>
      </c>
      <c r="U85" s="172">
        <f t="shared" si="20"/>
        <v>13</v>
      </c>
      <c r="V85" s="172">
        <f t="shared" si="20"/>
        <v>0</v>
      </c>
      <c r="W85" s="172">
        <f t="shared" si="20"/>
        <v>6</v>
      </c>
      <c r="X85" s="172">
        <f t="shared" si="20"/>
        <v>0</v>
      </c>
      <c r="Y85" s="172">
        <f t="shared" si="20"/>
        <v>0</v>
      </c>
      <c r="Z85" s="172">
        <f t="shared" si="20"/>
        <v>0</v>
      </c>
      <c r="AA85" s="172">
        <f t="shared" si="20"/>
        <v>0</v>
      </c>
      <c r="AB85" s="172">
        <f t="shared" si="20"/>
        <v>0</v>
      </c>
      <c r="AC85" s="172">
        <f t="shared" si="20"/>
        <v>0</v>
      </c>
      <c r="AD85" s="172">
        <f t="shared" si="20"/>
        <v>0</v>
      </c>
      <c r="AE85" s="173">
        <f t="shared" si="20"/>
        <v>19</v>
      </c>
      <c r="AF85" s="174">
        <v>0.0</v>
      </c>
      <c r="AG85" s="70" t="str">
        <f t="shared" si="3"/>
        <v>ok</v>
      </c>
      <c r="AH85" s="120"/>
    </row>
    <row r="86" ht="18.75" hidden="1" customHeight="1" outlineLevel="1">
      <c r="A86" s="121"/>
      <c r="B86" s="122" t="s">
        <v>2415</v>
      </c>
      <c r="C86" s="123" t="s">
        <v>2418</v>
      </c>
      <c r="D86" s="124" t="str">
        <f>IFERROR(VLOOKUP(B86,'Danh mục'!$G:$U,15,0),"")</f>
        <v/>
      </c>
      <c r="E86" s="124" t="s">
        <v>108</v>
      </c>
      <c r="F86" s="126">
        <f>COUNTIFS('TỔNG KLH + TN'!$B:$B,'01. TH'!$B86,'TỔNG KLH + TN'!$C:$C,'01. TH'!F$4)</f>
        <v>0</v>
      </c>
      <c r="G86" s="126">
        <f>COUNTIFS('TỔNG KLH + TN'!$B:$B,'01. TH'!$B86,'TỔNG KLH + TN'!$C:$C,'01. TH'!G$4)</f>
        <v>0</v>
      </c>
      <c r="H86" s="126">
        <f>COUNTIFS('TỔNG KLH + TN'!$B:$B,'01. TH'!$B86,'TỔNG KLH + TN'!$C:$C,'01. TH'!H$4)</f>
        <v>0</v>
      </c>
      <c r="I86" s="126">
        <f>COUNTIFS('TỔNG KLH + TN'!$B:$B,'01. TH'!$B86,'TỔNG KLH + TN'!$C:$C,'01. TH'!I$4)</f>
        <v>0</v>
      </c>
      <c r="J86" s="126">
        <f>COUNTIFS('TỔNG KLH + TN'!$B:$B,'01. TH'!$B86,'TỔNG KLH + TN'!$C:$C,'01. TH'!J$4)</f>
        <v>0</v>
      </c>
      <c r="K86" s="126">
        <f>COUNTIFS('TỔNG KLH + TN'!$B:$B,'01. TH'!$B86,'TỔNG KLH + TN'!$C:$C,'01. TH'!K$4)</f>
        <v>0</v>
      </c>
      <c r="L86" s="126">
        <f>COUNTIFS('TỔNG KLH + TN'!$B:$B,'01. TH'!$B86,'TỔNG KLH + TN'!$C:$C,'01. TH'!L$4)</f>
        <v>0</v>
      </c>
      <c r="M86" s="126">
        <f>COUNTIFS('TỔNG KLH + TN'!$B:$B,'01. TH'!$B86,'TỔNG KLH + TN'!$C:$C,'01. TH'!M$4)</f>
        <v>0</v>
      </c>
      <c r="N86" s="126">
        <f>COUNTIFS('TỔNG KLH + TN'!$B:$B,'01. TH'!$B86,'TỔNG KLH + TN'!$C:$C,'01. TH'!N$4)</f>
        <v>0</v>
      </c>
      <c r="O86" s="126">
        <f>COUNTIFS('TỔNG KLH + TN'!$B:$B,'01. TH'!$B86,'TỔNG KLH + TN'!$C:$C,'01. TH'!O$4)</f>
        <v>0</v>
      </c>
      <c r="P86" s="126">
        <f>COUNTIFS('TỔNG KLH + TN'!$B:$B,'01. TH'!$B86,'TỔNG KLH + TN'!$C:$C,'01. TH'!P$4)</f>
        <v>0</v>
      </c>
      <c r="Q86" s="126">
        <f>COUNTIFS('TỔNG KLH + TN'!$B:$B,'01. TH'!$B86,'TỔNG KLH + TN'!$C:$C,'01. TH'!Q$4)</f>
        <v>0</v>
      </c>
      <c r="R86" s="126">
        <f>COUNTIFS('TỔNG KLH + TN'!$B:$B,'01. TH'!$B86,'TỔNG KLH + TN'!$C:$C,'01. TH'!R$4)</f>
        <v>0</v>
      </c>
      <c r="S86" s="126">
        <f>COUNTIFS('TỔNG KLH + TN'!$B:$B,'01. TH'!$B86,'TỔNG KLH + TN'!$C:$C,'01. TH'!S$4)</f>
        <v>0</v>
      </c>
      <c r="T86" s="126">
        <f>COUNTIFS('TỔNG KLH + TN'!$B:$B,'01. TH'!$B86,'TỔNG KLH + TN'!$C:$C,'01. TH'!T$4)</f>
        <v>0</v>
      </c>
      <c r="U86" s="126">
        <f>COUNTIFS('TỔNG KLH + TN'!$B:$B,'01. TH'!$B86,'TỔNG KLH + TN'!$C:$C,'01. TH'!U$4)</f>
        <v>0</v>
      </c>
      <c r="V86" s="126">
        <f>COUNTIFS('TỔNG KLH + TN'!$B:$B,'01. TH'!$B86,'TỔNG KLH + TN'!$C:$C,'01. TH'!V$4)</f>
        <v>0</v>
      </c>
      <c r="W86" s="126">
        <f>COUNTIFS('TỔNG KLH + TN'!$B:$B,'01. TH'!$B86,'TỔNG KLH + TN'!$C:$C,'01. TH'!W$4)</f>
        <v>6</v>
      </c>
      <c r="X86" s="126">
        <f>COUNTIFS('TỔNG KLH + TN'!$B:$B,'01. TH'!$B86,'TỔNG KLH + TN'!$C:$C,'01. TH'!X$4)</f>
        <v>0</v>
      </c>
      <c r="Y86" s="126">
        <f>COUNTIFS('TỔNG KLH + TN'!$B:$B,'01. TH'!$B86,'TỔNG KLH + TN'!$C:$C,'01. TH'!Y$4)</f>
        <v>0</v>
      </c>
      <c r="Z86" s="126">
        <f>COUNTIFS('TỔNG KLH + TN'!$B:$B,'01. TH'!$B86,'TỔNG KLH + TN'!$C:$C,'01. TH'!Z$4)</f>
        <v>0</v>
      </c>
      <c r="AA86" s="126">
        <f>COUNTIFS('TỔNG KLH + TN'!$B:$B,'01. TH'!$B86,'TỔNG KLH + TN'!$C:$C,'01. TH'!AA$4)</f>
        <v>0</v>
      </c>
      <c r="AB86" s="126">
        <f>COUNTIFS('TỔNG KLH + TN'!$B:$B,'01. TH'!$B86,'TỔNG KLH + TN'!$C:$C,'01. TH'!AB$4)</f>
        <v>0</v>
      </c>
      <c r="AC86" s="126">
        <f>COUNTIFS('TỔNG KLH + TN'!$B:$B,'01. TH'!$B86,'TỔNG KLH + TN'!$C:$C,'01. TH'!AC$4)</f>
        <v>0</v>
      </c>
      <c r="AD86" s="126">
        <f>COUNTIFS('TỔNG KLH + TN'!$B:$B,'01. TH'!$B86,'TỔNG KLH + TN'!$C:$C,'01. TH'!AD$4)</f>
        <v>0</v>
      </c>
      <c r="AE86" s="136">
        <f t="shared" ref="AE86:AE89" si="21">SUM(F86:AD86)</f>
        <v>6</v>
      </c>
      <c r="AF86" s="136"/>
      <c r="AG86" s="70" t="str">
        <f t="shared" si="3"/>
        <v>ok</v>
      </c>
      <c r="AH86" s="121"/>
    </row>
    <row r="87" ht="18.75" hidden="1" customHeight="1" outlineLevel="1">
      <c r="A87" s="159"/>
      <c r="B87" s="122" t="s">
        <v>2183</v>
      </c>
      <c r="C87" s="123" t="s">
        <v>2186</v>
      </c>
      <c r="D87" s="124" t="s">
        <v>3172</v>
      </c>
      <c r="E87" s="124" t="s">
        <v>108</v>
      </c>
      <c r="F87" s="126">
        <f>COUNTIFS('TỔNG KLH + TN'!$B:$B,'01. TH'!$B87,'TỔNG KLH + TN'!$C:$C,'01. TH'!F$4)</f>
        <v>0</v>
      </c>
      <c r="G87" s="126">
        <f>COUNTIFS('TỔNG KLH + TN'!$B:$B,'01. TH'!$B87,'TỔNG KLH + TN'!$C:$C,'01. TH'!G$4)</f>
        <v>0</v>
      </c>
      <c r="H87" s="126">
        <f>COUNTIFS('TỔNG KLH + TN'!$B:$B,'01. TH'!$B87,'TỔNG KLH + TN'!$C:$C,'01. TH'!H$4)</f>
        <v>0</v>
      </c>
      <c r="I87" s="126">
        <f>COUNTIFS('TỔNG KLH + TN'!$B:$B,'01. TH'!$B87,'TỔNG KLH + TN'!$C:$C,'01. TH'!I$4)</f>
        <v>0</v>
      </c>
      <c r="J87" s="126">
        <f>COUNTIFS('TỔNG KLH + TN'!$B:$B,'01. TH'!$B87,'TỔNG KLH + TN'!$C:$C,'01. TH'!J$4)</f>
        <v>0</v>
      </c>
      <c r="K87" s="126">
        <f>COUNTIFS('TỔNG KLH + TN'!$B:$B,'01. TH'!$B87,'TỔNG KLH + TN'!$C:$C,'01. TH'!K$4)</f>
        <v>0</v>
      </c>
      <c r="L87" s="126">
        <f>COUNTIFS('TỔNG KLH + TN'!$B:$B,'01. TH'!$B87,'TỔNG KLH + TN'!$C:$C,'01. TH'!L$4)</f>
        <v>0</v>
      </c>
      <c r="M87" s="126">
        <f>COUNTIFS('TỔNG KLH + TN'!$B:$B,'01. TH'!$B87,'TỔNG KLH + TN'!$C:$C,'01. TH'!M$4)</f>
        <v>0</v>
      </c>
      <c r="N87" s="126">
        <f>COUNTIFS('TỔNG KLH + TN'!$B:$B,'01. TH'!$B87,'TỔNG KLH + TN'!$C:$C,'01. TH'!N$4)</f>
        <v>0</v>
      </c>
      <c r="O87" s="126">
        <f>COUNTIFS('TỔNG KLH + TN'!$B:$B,'01. TH'!$B87,'TỔNG KLH + TN'!$C:$C,'01. TH'!O$4)</f>
        <v>0</v>
      </c>
      <c r="P87" s="126">
        <f>COUNTIFS('TỔNG KLH + TN'!$B:$B,'01. TH'!$B87,'TỔNG KLH + TN'!$C:$C,'01. TH'!P$4)</f>
        <v>0</v>
      </c>
      <c r="Q87" s="126">
        <f>COUNTIFS('TỔNG KLH + TN'!$B:$B,'01. TH'!$B87,'TỔNG KLH + TN'!$C:$C,'01. TH'!Q$4)</f>
        <v>0</v>
      </c>
      <c r="R87" s="126">
        <f>COUNTIFS('TỔNG KLH + TN'!$B:$B,'01. TH'!$B87,'TỔNG KLH + TN'!$C:$C,'01. TH'!R$4)</f>
        <v>0</v>
      </c>
      <c r="S87" s="126">
        <f>COUNTIFS('TỔNG KLH + TN'!$B:$B,'01. TH'!$B87,'TỔNG KLH + TN'!$C:$C,'01. TH'!S$4)</f>
        <v>0</v>
      </c>
      <c r="T87" s="126">
        <f>COUNTIFS('TỔNG KLH + TN'!$B:$B,'01. TH'!$B87,'TỔNG KLH + TN'!$C:$C,'01. TH'!T$4)</f>
        <v>0</v>
      </c>
      <c r="U87" s="126">
        <f>COUNTIFS('TỔNG KLH + TN'!$B:$B,'01. TH'!$B87,'TỔNG KLH + TN'!$C:$C,'01. TH'!U$4)</f>
        <v>1</v>
      </c>
      <c r="V87" s="126">
        <f>COUNTIFS('TỔNG KLH + TN'!$B:$B,'01. TH'!$B87,'TỔNG KLH + TN'!$C:$C,'01. TH'!V$4)</f>
        <v>0</v>
      </c>
      <c r="W87" s="126">
        <f>COUNTIFS('TỔNG KLH + TN'!$B:$B,'01. TH'!$B87,'TỔNG KLH + TN'!$C:$C,'01. TH'!W$4)</f>
        <v>0</v>
      </c>
      <c r="X87" s="126">
        <f>COUNTIFS('TỔNG KLH + TN'!$B:$B,'01. TH'!$B87,'TỔNG KLH + TN'!$C:$C,'01. TH'!X$4)</f>
        <v>0</v>
      </c>
      <c r="Y87" s="126">
        <f>COUNTIFS('TỔNG KLH + TN'!$B:$B,'01. TH'!$B87,'TỔNG KLH + TN'!$C:$C,'01. TH'!Y$4)</f>
        <v>0</v>
      </c>
      <c r="Z87" s="126">
        <f>COUNTIFS('TỔNG KLH + TN'!$B:$B,'01. TH'!$B87,'TỔNG KLH + TN'!$C:$C,'01. TH'!Z$4)</f>
        <v>0</v>
      </c>
      <c r="AA87" s="126">
        <f>COUNTIFS('TỔNG KLH + TN'!$B:$B,'01. TH'!$B87,'TỔNG KLH + TN'!$C:$C,'01. TH'!AA$4)</f>
        <v>0</v>
      </c>
      <c r="AB87" s="126">
        <f>COUNTIFS('TỔNG KLH + TN'!$B:$B,'01. TH'!$B87,'TỔNG KLH + TN'!$C:$C,'01. TH'!AB$4)</f>
        <v>0</v>
      </c>
      <c r="AC87" s="126">
        <f>COUNTIFS('TỔNG KLH + TN'!$B:$B,'01. TH'!$B87,'TỔNG KLH + TN'!$C:$C,'01. TH'!AC$4)</f>
        <v>0</v>
      </c>
      <c r="AD87" s="126">
        <f>COUNTIFS('TỔNG KLH + TN'!$B:$B,'01. TH'!$B87,'TỔNG KLH + TN'!$C:$C,'01. TH'!AD$4)</f>
        <v>0</v>
      </c>
      <c r="AE87" s="162">
        <f t="shared" si="21"/>
        <v>1</v>
      </c>
      <c r="AF87" s="162"/>
      <c r="AG87" s="70" t="str">
        <f t="shared" si="3"/>
        <v>ok</v>
      </c>
      <c r="AH87" s="124"/>
    </row>
    <row r="88" ht="18.75" hidden="1" customHeight="1" outlineLevel="1">
      <c r="A88" s="210"/>
      <c r="B88" s="122" t="s">
        <v>2201</v>
      </c>
      <c r="C88" s="123" t="s">
        <v>2205</v>
      </c>
      <c r="D88" s="124" t="s">
        <v>3204</v>
      </c>
      <c r="E88" s="124" t="s">
        <v>108</v>
      </c>
      <c r="F88" s="126">
        <f>COUNTIFS('TỔNG KLH + TN'!$B:$B,'01. TH'!$B88,'TỔNG KLH + TN'!$C:$C,'01. TH'!F$4)</f>
        <v>0</v>
      </c>
      <c r="G88" s="126">
        <f>COUNTIFS('TỔNG KLH + TN'!$B:$B,'01. TH'!$B88,'TỔNG KLH + TN'!$C:$C,'01. TH'!G$4)</f>
        <v>0</v>
      </c>
      <c r="H88" s="126">
        <f>COUNTIFS('TỔNG KLH + TN'!$B:$B,'01. TH'!$B88,'TỔNG KLH + TN'!$C:$C,'01. TH'!H$4)</f>
        <v>0</v>
      </c>
      <c r="I88" s="126">
        <f>COUNTIFS('TỔNG KLH + TN'!$B:$B,'01. TH'!$B88,'TỔNG KLH + TN'!$C:$C,'01. TH'!I$4)</f>
        <v>0</v>
      </c>
      <c r="J88" s="126">
        <f>COUNTIFS('TỔNG KLH + TN'!$B:$B,'01. TH'!$B88,'TỔNG KLH + TN'!$C:$C,'01. TH'!J$4)</f>
        <v>0</v>
      </c>
      <c r="K88" s="126">
        <f>COUNTIFS('TỔNG KLH + TN'!$B:$B,'01. TH'!$B88,'TỔNG KLH + TN'!$C:$C,'01. TH'!K$4)</f>
        <v>0</v>
      </c>
      <c r="L88" s="126">
        <f>COUNTIFS('TỔNG KLH + TN'!$B:$B,'01. TH'!$B88,'TỔNG KLH + TN'!$C:$C,'01. TH'!L$4)</f>
        <v>0</v>
      </c>
      <c r="M88" s="126">
        <f>COUNTIFS('TỔNG KLH + TN'!$B:$B,'01. TH'!$B88,'TỔNG KLH + TN'!$C:$C,'01. TH'!M$4)</f>
        <v>0</v>
      </c>
      <c r="N88" s="126">
        <f>COUNTIFS('TỔNG KLH + TN'!$B:$B,'01. TH'!$B88,'TỔNG KLH + TN'!$C:$C,'01. TH'!N$4)</f>
        <v>0</v>
      </c>
      <c r="O88" s="126">
        <f>COUNTIFS('TỔNG KLH + TN'!$B:$B,'01. TH'!$B88,'TỔNG KLH + TN'!$C:$C,'01. TH'!O$4)</f>
        <v>0</v>
      </c>
      <c r="P88" s="126">
        <f>COUNTIFS('TỔNG KLH + TN'!$B:$B,'01. TH'!$B88,'TỔNG KLH + TN'!$C:$C,'01. TH'!P$4)</f>
        <v>0</v>
      </c>
      <c r="Q88" s="126">
        <f>COUNTIFS('TỔNG KLH + TN'!$B:$B,'01. TH'!$B88,'TỔNG KLH + TN'!$C:$C,'01. TH'!Q$4)</f>
        <v>0</v>
      </c>
      <c r="R88" s="126">
        <f>COUNTIFS('TỔNG KLH + TN'!$B:$B,'01. TH'!$B88,'TỔNG KLH + TN'!$C:$C,'01. TH'!R$4)</f>
        <v>0</v>
      </c>
      <c r="S88" s="126">
        <f>COUNTIFS('TỔNG KLH + TN'!$B:$B,'01. TH'!$B88,'TỔNG KLH + TN'!$C:$C,'01. TH'!S$4)</f>
        <v>0</v>
      </c>
      <c r="T88" s="126">
        <f>COUNTIFS('TỔNG KLH + TN'!$B:$B,'01. TH'!$B88,'TỔNG KLH + TN'!$C:$C,'01. TH'!T$4)</f>
        <v>0</v>
      </c>
      <c r="U88" s="126">
        <f>COUNTIFS('TỔNG KLH + TN'!$B:$B,'01. TH'!$B88,'TỔNG KLH + TN'!$C:$C,'01. TH'!U$4)</f>
        <v>11</v>
      </c>
      <c r="V88" s="126">
        <f>COUNTIFS('TỔNG KLH + TN'!$B:$B,'01. TH'!$B88,'TỔNG KLH + TN'!$C:$C,'01. TH'!V$4)</f>
        <v>0</v>
      </c>
      <c r="W88" s="126">
        <f>COUNTIFS('TỔNG KLH + TN'!$B:$B,'01. TH'!$B88,'TỔNG KLH + TN'!$C:$C,'01. TH'!W$4)</f>
        <v>0</v>
      </c>
      <c r="X88" s="126">
        <f>COUNTIFS('TỔNG KLH + TN'!$B:$B,'01. TH'!$B88,'TỔNG KLH + TN'!$C:$C,'01. TH'!X$4)</f>
        <v>0</v>
      </c>
      <c r="Y88" s="126">
        <f>COUNTIFS('TỔNG KLH + TN'!$B:$B,'01. TH'!$B88,'TỔNG KLH + TN'!$C:$C,'01. TH'!Y$4)</f>
        <v>0</v>
      </c>
      <c r="Z88" s="126">
        <f>COUNTIFS('TỔNG KLH + TN'!$B:$B,'01. TH'!$B88,'TỔNG KLH + TN'!$C:$C,'01. TH'!Z$4)</f>
        <v>0</v>
      </c>
      <c r="AA88" s="126">
        <f>COUNTIFS('TỔNG KLH + TN'!$B:$B,'01. TH'!$B88,'TỔNG KLH + TN'!$C:$C,'01. TH'!AA$4)</f>
        <v>0</v>
      </c>
      <c r="AB88" s="126">
        <f>COUNTIFS('TỔNG KLH + TN'!$B:$B,'01. TH'!$B88,'TỔNG KLH + TN'!$C:$C,'01. TH'!AB$4)</f>
        <v>0</v>
      </c>
      <c r="AC88" s="126">
        <f>COUNTIFS('TỔNG KLH + TN'!$B:$B,'01. TH'!$B88,'TỔNG KLH + TN'!$C:$C,'01. TH'!AC$4)</f>
        <v>0</v>
      </c>
      <c r="AD88" s="126">
        <f>COUNTIFS('TỔNG KLH + TN'!$B:$B,'01. TH'!$B88,'TỔNG KLH + TN'!$C:$C,'01. TH'!AD$4)</f>
        <v>0</v>
      </c>
      <c r="AE88" s="162">
        <f t="shared" si="21"/>
        <v>11</v>
      </c>
      <c r="AF88" s="162"/>
      <c r="AG88" s="70" t="str">
        <f t="shared" si="3"/>
        <v>ok</v>
      </c>
      <c r="AH88" s="210"/>
    </row>
    <row r="89" ht="18.75" hidden="1" customHeight="1" outlineLevel="1">
      <c r="A89" s="159"/>
      <c r="B89" s="122" t="s">
        <v>2192</v>
      </c>
      <c r="C89" s="123" t="s">
        <v>2195</v>
      </c>
      <c r="D89" s="124" t="s">
        <v>3204</v>
      </c>
      <c r="E89" s="124" t="s">
        <v>108</v>
      </c>
      <c r="F89" s="126">
        <f>COUNTIFS('TỔNG KLH + TN'!$B:$B,'01. TH'!$B89,'TỔNG KLH + TN'!$C:$C,'01. TH'!F$4)</f>
        <v>0</v>
      </c>
      <c r="G89" s="126">
        <f>COUNTIFS('TỔNG KLH + TN'!$B:$B,'01. TH'!$B89,'TỔNG KLH + TN'!$C:$C,'01. TH'!G$4)</f>
        <v>0</v>
      </c>
      <c r="H89" s="126">
        <f>COUNTIFS('TỔNG KLH + TN'!$B:$B,'01. TH'!$B89,'TỔNG KLH + TN'!$C:$C,'01. TH'!H$4)</f>
        <v>0</v>
      </c>
      <c r="I89" s="126">
        <f>COUNTIFS('TỔNG KLH + TN'!$B:$B,'01. TH'!$B89,'TỔNG KLH + TN'!$C:$C,'01. TH'!I$4)</f>
        <v>0</v>
      </c>
      <c r="J89" s="126">
        <f>COUNTIFS('TỔNG KLH + TN'!$B:$B,'01. TH'!$B89,'TỔNG KLH + TN'!$C:$C,'01. TH'!J$4)</f>
        <v>0</v>
      </c>
      <c r="K89" s="126">
        <f>COUNTIFS('TỔNG KLH + TN'!$B:$B,'01. TH'!$B89,'TỔNG KLH + TN'!$C:$C,'01. TH'!K$4)</f>
        <v>0</v>
      </c>
      <c r="L89" s="126">
        <f>COUNTIFS('TỔNG KLH + TN'!$B:$B,'01. TH'!$B89,'TỔNG KLH + TN'!$C:$C,'01. TH'!L$4)</f>
        <v>0</v>
      </c>
      <c r="M89" s="126">
        <f>COUNTIFS('TỔNG KLH + TN'!$B:$B,'01. TH'!$B89,'TỔNG KLH + TN'!$C:$C,'01. TH'!M$4)</f>
        <v>0</v>
      </c>
      <c r="N89" s="126">
        <f>COUNTIFS('TỔNG KLH + TN'!$B:$B,'01. TH'!$B89,'TỔNG KLH + TN'!$C:$C,'01. TH'!N$4)</f>
        <v>0</v>
      </c>
      <c r="O89" s="126">
        <f>COUNTIFS('TỔNG KLH + TN'!$B:$B,'01. TH'!$B89,'TỔNG KLH + TN'!$C:$C,'01. TH'!O$4)</f>
        <v>0</v>
      </c>
      <c r="P89" s="126">
        <f>COUNTIFS('TỔNG KLH + TN'!$B:$B,'01. TH'!$B89,'TỔNG KLH + TN'!$C:$C,'01. TH'!P$4)</f>
        <v>0</v>
      </c>
      <c r="Q89" s="126">
        <f>COUNTIFS('TỔNG KLH + TN'!$B:$B,'01. TH'!$B89,'TỔNG KLH + TN'!$C:$C,'01. TH'!Q$4)</f>
        <v>0</v>
      </c>
      <c r="R89" s="126">
        <f>COUNTIFS('TỔNG KLH + TN'!$B:$B,'01. TH'!$B89,'TỔNG KLH + TN'!$C:$C,'01. TH'!R$4)</f>
        <v>0</v>
      </c>
      <c r="S89" s="126">
        <f>COUNTIFS('TỔNG KLH + TN'!$B:$B,'01. TH'!$B89,'TỔNG KLH + TN'!$C:$C,'01. TH'!S$4)</f>
        <v>0</v>
      </c>
      <c r="T89" s="126">
        <f>COUNTIFS('TỔNG KLH + TN'!$B:$B,'01. TH'!$B89,'TỔNG KLH + TN'!$C:$C,'01. TH'!T$4)</f>
        <v>0</v>
      </c>
      <c r="U89" s="126">
        <f>COUNTIFS('TỔNG KLH + TN'!$B:$B,'01. TH'!$B89,'TỔNG KLH + TN'!$C:$C,'01. TH'!U$4)</f>
        <v>1</v>
      </c>
      <c r="V89" s="126">
        <f>COUNTIFS('TỔNG KLH + TN'!$B:$B,'01. TH'!$B89,'TỔNG KLH + TN'!$C:$C,'01. TH'!V$4)</f>
        <v>0</v>
      </c>
      <c r="W89" s="126">
        <f>COUNTIFS('TỔNG KLH + TN'!$B:$B,'01. TH'!$B89,'TỔNG KLH + TN'!$C:$C,'01. TH'!W$4)</f>
        <v>0</v>
      </c>
      <c r="X89" s="126">
        <f>COUNTIFS('TỔNG KLH + TN'!$B:$B,'01. TH'!$B89,'TỔNG KLH + TN'!$C:$C,'01. TH'!X$4)</f>
        <v>0</v>
      </c>
      <c r="Y89" s="126">
        <f>COUNTIFS('TỔNG KLH + TN'!$B:$B,'01. TH'!$B89,'TỔNG KLH + TN'!$C:$C,'01. TH'!Y$4)</f>
        <v>0</v>
      </c>
      <c r="Z89" s="126">
        <f>COUNTIFS('TỔNG KLH + TN'!$B:$B,'01. TH'!$B89,'TỔNG KLH + TN'!$C:$C,'01. TH'!Z$4)</f>
        <v>0</v>
      </c>
      <c r="AA89" s="126">
        <f>COUNTIFS('TỔNG KLH + TN'!$B:$B,'01. TH'!$B89,'TỔNG KLH + TN'!$C:$C,'01. TH'!AA$4)</f>
        <v>0</v>
      </c>
      <c r="AB89" s="126">
        <f>COUNTIFS('TỔNG KLH + TN'!$B:$B,'01. TH'!$B89,'TỔNG KLH + TN'!$C:$C,'01. TH'!AB$4)</f>
        <v>0</v>
      </c>
      <c r="AC89" s="126">
        <f>COUNTIFS('TỔNG KLH + TN'!$B:$B,'01. TH'!$B89,'TỔNG KLH + TN'!$C:$C,'01. TH'!AC$4)</f>
        <v>0</v>
      </c>
      <c r="AD89" s="126">
        <f>COUNTIFS('TỔNG KLH + TN'!$B:$B,'01. TH'!$B89,'TỔNG KLH + TN'!$C:$C,'01. TH'!AD$4)</f>
        <v>0</v>
      </c>
      <c r="AE89" s="162">
        <f t="shared" si="21"/>
        <v>1</v>
      </c>
      <c r="AF89" s="162"/>
      <c r="AG89" s="70" t="str">
        <f t="shared" si="3"/>
        <v>ok</v>
      </c>
      <c r="AH89" s="163"/>
    </row>
    <row r="90" ht="24.0" customHeight="1" collapsed="1">
      <c r="A90" s="70">
        <v>11.0</v>
      </c>
      <c r="B90" s="73" t="s">
        <v>3206</v>
      </c>
      <c r="C90" s="78"/>
      <c r="D90" s="78" t="str">
        <f>IFERROR(VLOOKUP(B90,'Danh mục'!$G:$U,15,0),"")</f>
        <v/>
      </c>
      <c r="E90" s="78"/>
      <c r="F90" s="172">
        <f t="shared" ref="F90:AE90" si="22">SUM(F91:F127)</f>
        <v>0</v>
      </c>
      <c r="G90" s="172">
        <f t="shared" si="22"/>
        <v>13</v>
      </c>
      <c r="H90" s="172">
        <f t="shared" si="22"/>
        <v>4</v>
      </c>
      <c r="I90" s="172">
        <f t="shared" si="22"/>
        <v>5</v>
      </c>
      <c r="J90" s="172">
        <f t="shared" si="22"/>
        <v>7</v>
      </c>
      <c r="K90" s="172">
        <f t="shared" si="22"/>
        <v>0</v>
      </c>
      <c r="L90" s="172">
        <f t="shared" si="22"/>
        <v>3</v>
      </c>
      <c r="M90" s="172">
        <f t="shared" si="22"/>
        <v>0</v>
      </c>
      <c r="N90" s="172">
        <f t="shared" si="22"/>
        <v>0</v>
      </c>
      <c r="O90" s="172">
        <f t="shared" si="22"/>
        <v>0</v>
      </c>
      <c r="P90" s="172">
        <f t="shared" si="22"/>
        <v>14</v>
      </c>
      <c r="Q90" s="172">
        <f t="shared" si="22"/>
        <v>5</v>
      </c>
      <c r="R90" s="172">
        <f t="shared" si="22"/>
        <v>8</v>
      </c>
      <c r="S90" s="172">
        <f t="shared" si="22"/>
        <v>0</v>
      </c>
      <c r="T90" s="172">
        <f t="shared" si="22"/>
        <v>0</v>
      </c>
      <c r="U90" s="172">
        <f t="shared" si="22"/>
        <v>52</v>
      </c>
      <c r="V90" s="172">
        <f t="shared" si="22"/>
        <v>0</v>
      </c>
      <c r="W90" s="172">
        <f t="shared" si="22"/>
        <v>0</v>
      </c>
      <c r="X90" s="172">
        <f t="shared" si="22"/>
        <v>0</v>
      </c>
      <c r="Y90" s="172">
        <f t="shared" si="22"/>
        <v>2</v>
      </c>
      <c r="Z90" s="172">
        <f t="shared" si="22"/>
        <v>0</v>
      </c>
      <c r="AA90" s="172">
        <f t="shared" si="22"/>
        <v>2</v>
      </c>
      <c r="AB90" s="172">
        <f t="shared" si="22"/>
        <v>2</v>
      </c>
      <c r="AC90" s="172">
        <f t="shared" si="22"/>
        <v>0</v>
      </c>
      <c r="AD90" s="172">
        <f t="shared" si="22"/>
        <v>0</v>
      </c>
      <c r="AE90" s="173">
        <f t="shared" si="22"/>
        <v>117</v>
      </c>
      <c r="AF90" s="174">
        <v>19.0</v>
      </c>
      <c r="AG90" s="70" t="str">
        <f t="shared" si="3"/>
        <v>ok</v>
      </c>
      <c r="AH90" s="120"/>
    </row>
    <row r="91" ht="18.75" hidden="1" customHeight="1" outlineLevel="1">
      <c r="A91" s="159"/>
      <c r="B91" s="122" t="s">
        <v>1685</v>
      </c>
      <c r="C91" s="123" t="s">
        <v>271</v>
      </c>
      <c r="D91" s="124" t="str">
        <f>IFERROR(VLOOKUP(B91,'Danh mục'!$G:$U,15,0),"")</f>
        <v/>
      </c>
      <c r="E91" s="124" t="s">
        <v>108</v>
      </c>
      <c r="F91" s="126">
        <f>COUNTIFS('TỔNG KLH + TN'!$B:$B,'01. TH'!$B91,'TỔNG KLH + TN'!$C:$C,'01. TH'!F$4)</f>
        <v>0</v>
      </c>
      <c r="G91" s="126">
        <f>COUNTIFS('TỔNG KLH + TN'!$B:$B,'01. TH'!$B91,'TỔNG KLH + TN'!$C:$C,'01. TH'!G$4)</f>
        <v>0</v>
      </c>
      <c r="H91" s="126">
        <f>COUNTIFS('TỔNG KLH + TN'!$B:$B,'01. TH'!$B91,'TỔNG KLH + TN'!$C:$C,'01. TH'!H$4)</f>
        <v>0</v>
      </c>
      <c r="I91" s="126">
        <f>COUNTIFS('TỔNG KLH + TN'!$B:$B,'01. TH'!$B91,'TỔNG KLH + TN'!$C:$C,'01. TH'!I$4)</f>
        <v>0</v>
      </c>
      <c r="J91" s="126">
        <f>COUNTIFS('TỔNG KLH + TN'!$B:$B,'01. TH'!$B91,'TỔNG KLH + TN'!$C:$C,'01. TH'!J$4)</f>
        <v>0</v>
      </c>
      <c r="K91" s="126">
        <f>COUNTIFS('TỔNG KLH + TN'!$B:$B,'01. TH'!$B91,'TỔNG KLH + TN'!$C:$C,'01. TH'!K$4)</f>
        <v>0</v>
      </c>
      <c r="L91" s="126">
        <f>COUNTIFS('TỔNG KLH + TN'!$B:$B,'01. TH'!$B91,'TỔNG KLH + TN'!$C:$C,'01. TH'!L$4)</f>
        <v>0</v>
      </c>
      <c r="M91" s="126">
        <f>COUNTIFS('TỔNG KLH + TN'!$B:$B,'01. TH'!$B91,'TỔNG KLH + TN'!$C:$C,'01. TH'!M$4)</f>
        <v>0</v>
      </c>
      <c r="N91" s="126">
        <f>COUNTIFS('TỔNG KLH + TN'!$B:$B,'01. TH'!$B91,'TỔNG KLH + TN'!$C:$C,'01. TH'!N$4)</f>
        <v>0</v>
      </c>
      <c r="O91" s="126">
        <f>COUNTIFS('TỔNG KLH + TN'!$B:$B,'01. TH'!$B91,'TỔNG KLH + TN'!$C:$C,'01. TH'!O$4)</f>
        <v>0</v>
      </c>
      <c r="P91" s="126">
        <f>COUNTIFS('TỔNG KLH + TN'!$B:$B,'01. TH'!$B91,'TỔNG KLH + TN'!$C:$C,'01. TH'!P$4)</f>
        <v>0</v>
      </c>
      <c r="Q91" s="126">
        <f>COUNTIFS('TỔNG KLH + TN'!$B:$B,'01. TH'!$B91,'TỔNG KLH + TN'!$C:$C,'01. TH'!Q$4)</f>
        <v>0</v>
      </c>
      <c r="R91" s="126">
        <f>COUNTIFS('TỔNG KLH + TN'!$B:$B,'01. TH'!$B91,'TỔNG KLH + TN'!$C:$C,'01. TH'!R$4)</f>
        <v>0</v>
      </c>
      <c r="S91" s="126">
        <f>COUNTIFS('TỔNG KLH + TN'!$B:$B,'01. TH'!$B91,'TỔNG KLH + TN'!$C:$C,'01. TH'!S$4)</f>
        <v>0</v>
      </c>
      <c r="T91" s="126">
        <f>COUNTIFS('TỔNG KLH + TN'!$B:$B,'01. TH'!$B91,'TỔNG KLH + TN'!$C:$C,'01. TH'!T$4)</f>
        <v>0</v>
      </c>
      <c r="U91" s="126">
        <f>COUNTIFS('TỔNG KLH + TN'!$B:$B,'01. TH'!$B91,'TỔNG KLH + TN'!$C:$C,'01. TH'!U$4)</f>
        <v>1</v>
      </c>
      <c r="V91" s="126">
        <f>COUNTIFS('TỔNG KLH + TN'!$B:$B,'01. TH'!$B91,'TỔNG KLH + TN'!$C:$C,'01. TH'!V$4)</f>
        <v>0</v>
      </c>
      <c r="W91" s="126">
        <f>COUNTIFS('TỔNG KLH + TN'!$B:$B,'01. TH'!$B91,'TỔNG KLH + TN'!$C:$C,'01. TH'!W$4)</f>
        <v>0</v>
      </c>
      <c r="X91" s="126">
        <f>COUNTIFS('TỔNG KLH + TN'!$B:$B,'01. TH'!$B91,'TỔNG KLH + TN'!$C:$C,'01. TH'!X$4)</f>
        <v>0</v>
      </c>
      <c r="Y91" s="126">
        <f>COUNTIFS('TỔNG KLH + TN'!$B:$B,'01. TH'!$B91,'TỔNG KLH + TN'!$C:$C,'01. TH'!Y$4)</f>
        <v>0</v>
      </c>
      <c r="Z91" s="126">
        <f>COUNTIFS('TỔNG KLH + TN'!$B:$B,'01. TH'!$B91,'TỔNG KLH + TN'!$C:$C,'01. TH'!Z$4)</f>
        <v>0</v>
      </c>
      <c r="AA91" s="126">
        <f>COUNTIFS('TỔNG KLH + TN'!$B:$B,'01. TH'!$B91,'TỔNG KLH + TN'!$C:$C,'01. TH'!AA$4)</f>
        <v>0</v>
      </c>
      <c r="AB91" s="126">
        <f>COUNTIFS('TỔNG KLH + TN'!$B:$B,'01. TH'!$B91,'TỔNG KLH + TN'!$C:$C,'01. TH'!AB$4)</f>
        <v>0</v>
      </c>
      <c r="AC91" s="126">
        <f>COUNTIFS('TỔNG KLH + TN'!$B:$B,'01. TH'!$B91,'TỔNG KLH + TN'!$C:$C,'01. TH'!AC$4)</f>
        <v>0</v>
      </c>
      <c r="AD91" s="126">
        <f>COUNTIFS('TỔNG KLH + TN'!$B:$B,'01. TH'!$B91,'TỔNG KLH + TN'!$C:$C,'01. TH'!AD$4)</f>
        <v>0</v>
      </c>
      <c r="AE91" s="162">
        <f t="shared" ref="AE91:AE127" si="23">SUM(F91:AD91)</f>
        <v>1</v>
      </c>
      <c r="AF91" s="162"/>
      <c r="AG91" s="70" t="str">
        <f t="shared" si="3"/>
        <v>ok</v>
      </c>
      <c r="AH91" s="163"/>
    </row>
    <row r="92" ht="18.75" hidden="1" customHeight="1" outlineLevel="1">
      <c r="A92" s="159"/>
      <c r="B92" s="122" t="s">
        <v>1876</v>
      </c>
      <c r="C92" s="123" t="s">
        <v>682</v>
      </c>
      <c r="D92" s="124" t="str">
        <f>IFERROR(VLOOKUP(B92,'Danh mục'!$G:$U,15,0),"")</f>
        <v/>
      </c>
      <c r="E92" s="124" t="s">
        <v>108</v>
      </c>
      <c r="F92" s="126">
        <f>COUNTIFS('TỔNG KLH + TN'!$B:$B,'01. TH'!$B92,'TỔNG KLH + TN'!$C:$C,'01. TH'!F$4)</f>
        <v>0</v>
      </c>
      <c r="G92" s="126">
        <f>COUNTIFS('TỔNG KLH + TN'!$B:$B,'01. TH'!$B92,'TỔNG KLH + TN'!$C:$C,'01. TH'!G$4)</f>
        <v>0</v>
      </c>
      <c r="H92" s="126">
        <f>COUNTIFS('TỔNG KLH + TN'!$B:$B,'01. TH'!$B92,'TỔNG KLH + TN'!$C:$C,'01. TH'!H$4)</f>
        <v>0</v>
      </c>
      <c r="I92" s="126">
        <f>COUNTIFS('TỔNG KLH + TN'!$B:$B,'01. TH'!$B92,'TỔNG KLH + TN'!$C:$C,'01. TH'!I$4)</f>
        <v>0</v>
      </c>
      <c r="J92" s="126">
        <f>COUNTIFS('TỔNG KLH + TN'!$B:$B,'01. TH'!$B92,'TỔNG KLH + TN'!$C:$C,'01. TH'!J$4)</f>
        <v>0</v>
      </c>
      <c r="K92" s="126">
        <f>COUNTIFS('TỔNG KLH + TN'!$B:$B,'01. TH'!$B92,'TỔNG KLH + TN'!$C:$C,'01. TH'!K$4)</f>
        <v>0</v>
      </c>
      <c r="L92" s="126">
        <f>COUNTIFS('TỔNG KLH + TN'!$B:$B,'01. TH'!$B92,'TỔNG KLH + TN'!$C:$C,'01. TH'!L$4)</f>
        <v>0</v>
      </c>
      <c r="M92" s="126">
        <f>COUNTIFS('TỔNG KLH + TN'!$B:$B,'01. TH'!$B92,'TỔNG KLH + TN'!$C:$C,'01. TH'!M$4)</f>
        <v>0</v>
      </c>
      <c r="N92" s="126">
        <f>COUNTIFS('TỔNG KLH + TN'!$B:$B,'01. TH'!$B92,'TỔNG KLH + TN'!$C:$C,'01. TH'!N$4)</f>
        <v>0</v>
      </c>
      <c r="O92" s="126">
        <f>COUNTIFS('TỔNG KLH + TN'!$B:$B,'01. TH'!$B92,'TỔNG KLH + TN'!$C:$C,'01. TH'!O$4)</f>
        <v>0</v>
      </c>
      <c r="P92" s="126">
        <f>COUNTIFS('TỔNG KLH + TN'!$B:$B,'01. TH'!$B92,'TỔNG KLH + TN'!$C:$C,'01. TH'!P$4)</f>
        <v>0</v>
      </c>
      <c r="Q92" s="126">
        <f>COUNTIFS('TỔNG KLH + TN'!$B:$B,'01. TH'!$B92,'TỔNG KLH + TN'!$C:$C,'01. TH'!Q$4)</f>
        <v>0</v>
      </c>
      <c r="R92" s="126">
        <f>COUNTIFS('TỔNG KLH + TN'!$B:$B,'01. TH'!$B92,'TỔNG KLH + TN'!$C:$C,'01. TH'!R$4)</f>
        <v>0</v>
      </c>
      <c r="S92" s="126">
        <f>COUNTIFS('TỔNG KLH + TN'!$B:$B,'01. TH'!$B92,'TỔNG KLH + TN'!$C:$C,'01. TH'!S$4)</f>
        <v>0</v>
      </c>
      <c r="T92" s="126">
        <f>COUNTIFS('TỔNG KLH + TN'!$B:$B,'01. TH'!$B92,'TỔNG KLH + TN'!$C:$C,'01. TH'!T$4)</f>
        <v>0</v>
      </c>
      <c r="U92" s="126">
        <f>COUNTIFS('TỔNG KLH + TN'!$B:$B,'01. TH'!$B92,'TỔNG KLH + TN'!$C:$C,'01. TH'!U$4)</f>
        <v>1</v>
      </c>
      <c r="V92" s="126">
        <f>COUNTIFS('TỔNG KLH + TN'!$B:$B,'01. TH'!$B92,'TỔNG KLH + TN'!$C:$C,'01. TH'!V$4)</f>
        <v>0</v>
      </c>
      <c r="W92" s="126">
        <f>COUNTIFS('TỔNG KLH + TN'!$B:$B,'01. TH'!$B92,'TỔNG KLH + TN'!$C:$C,'01. TH'!W$4)</f>
        <v>0</v>
      </c>
      <c r="X92" s="126">
        <f>COUNTIFS('TỔNG KLH + TN'!$B:$B,'01. TH'!$B92,'TỔNG KLH + TN'!$C:$C,'01. TH'!X$4)</f>
        <v>0</v>
      </c>
      <c r="Y92" s="126">
        <f>COUNTIFS('TỔNG KLH + TN'!$B:$B,'01. TH'!$B92,'TỔNG KLH + TN'!$C:$C,'01. TH'!Y$4)</f>
        <v>0</v>
      </c>
      <c r="Z92" s="126">
        <f>COUNTIFS('TỔNG KLH + TN'!$B:$B,'01. TH'!$B92,'TỔNG KLH + TN'!$C:$C,'01. TH'!Z$4)</f>
        <v>0</v>
      </c>
      <c r="AA92" s="126">
        <f>COUNTIFS('TỔNG KLH + TN'!$B:$B,'01. TH'!$B92,'TỔNG KLH + TN'!$C:$C,'01. TH'!AA$4)</f>
        <v>0</v>
      </c>
      <c r="AB92" s="126">
        <f>COUNTIFS('TỔNG KLH + TN'!$B:$B,'01. TH'!$B92,'TỔNG KLH + TN'!$C:$C,'01. TH'!AB$4)</f>
        <v>0</v>
      </c>
      <c r="AC92" s="126">
        <f>COUNTIFS('TỔNG KLH + TN'!$B:$B,'01. TH'!$B92,'TỔNG KLH + TN'!$C:$C,'01. TH'!AC$4)</f>
        <v>0</v>
      </c>
      <c r="AD92" s="126">
        <f>COUNTIFS('TỔNG KLH + TN'!$B:$B,'01. TH'!$B92,'TỔNG KLH + TN'!$C:$C,'01. TH'!AD$4)</f>
        <v>0</v>
      </c>
      <c r="AE92" s="162">
        <f t="shared" si="23"/>
        <v>1</v>
      </c>
      <c r="AF92" s="162"/>
      <c r="AG92" s="70" t="str">
        <f t="shared" si="3"/>
        <v>ok</v>
      </c>
      <c r="AH92" s="163"/>
    </row>
    <row r="93" ht="18.75" hidden="1" customHeight="1" outlineLevel="1">
      <c r="A93" s="159"/>
      <c r="B93" s="122" t="s">
        <v>1893</v>
      </c>
      <c r="C93" s="123" t="s">
        <v>682</v>
      </c>
      <c r="D93" s="124" t="str">
        <f>IFERROR(VLOOKUP(B93,'Danh mục'!$G:$U,15,0),"")</f>
        <v/>
      </c>
      <c r="E93" s="124" t="s">
        <v>108</v>
      </c>
      <c r="F93" s="126">
        <f>COUNTIFS('TỔNG KLH + TN'!$B:$B,'01. TH'!$B93,'TỔNG KLH + TN'!$C:$C,'01. TH'!F$4)</f>
        <v>0</v>
      </c>
      <c r="G93" s="126">
        <f>COUNTIFS('TỔNG KLH + TN'!$B:$B,'01. TH'!$B93,'TỔNG KLH + TN'!$C:$C,'01. TH'!G$4)</f>
        <v>0</v>
      </c>
      <c r="H93" s="126">
        <f>COUNTIFS('TỔNG KLH + TN'!$B:$B,'01. TH'!$B93,'TỔNG KLH + TN'!$C:$C,'01. TH'!H$4)</f>
        <v>0</v>
      </c>
      <c r="I93" s="126">
        <f>COUNTIFS('TỔNG KLH + TN'!$B:$B,'01. TH'!$B93,'TỔNG KLH + TN'!$C:$C,'01. TH'!I$4)</f>
        <v>0</v>
      </c>
      <c r="J93" s="126">
        <f>COUNTIFS('TỔNG KLH + TN'!$B:$B,'01. TH'!$B93,'TỔNG KLH + TN'!$C:$C,'01. TH'!J$4)</f>
        <v>0</v>
      </c>
      <c r="K93" s="126">
        <f>COUNTIFS('TỔNG KLH + TN'!$B:$B,'01. TH'!$B93,'TỔNG KLH + TN'!$C:$C,'01. TH'!K$4)</f>
        <v>0</v>
      </c>
      <c r="L93" s="126">
        <f>COUNTIFS('TỔNG KLH + TN'!$B:$B,'01. TH'!$B93,'TỔNG KLH + TN'!$C:$C,'01. TH'!L$4)</f>
        <v>0</v>
      </c>
      <c r="M93" s="126">
        <f>COUNTIFS('TỔNG KLH + TN'!$B:$B,'01. TH'!$B93,'TỔNG KLH + TN'!$C:$C,'01. TH'!M$4)</f>
        <v>0</v>
      </c>
      <c r="N93" s="126">
        <f>COUNTIFS('TỔNG KLH + TN'!$B:$B,'01. TH'!$B93,'TỔNG KLH + TN'!$C:$C,'01. TH'!N$4)</f>
        <v>0</v>
      </c>
      <c r="O93" s="126">
        <f>COUNTIFS('TỔNG KLH + TN'!$B:$B,'01. TH'!$B93,'TỔNG KLH + TN'!$C:$C,'01. TH'!O$4)</f>
        <v>0</v>
      </c>
      <c r="P93" s="126">
        <f>COUNTIFS('TỔNG KLH + TN'!$B:$B,'01. TH'!$B93,'TỔNG KLH + TN'!$C:$C,'01. TH'!P$4)</f>
        <v>0</v>
      </c>
      <c r="Q93" s="126">
        <f>COUNTIFS('TỔNG KLH + TN'!$B:$B,'01. TH'!$B93,'TỔNG KLH + TN'!$C:$C,'01. TH'!Q$4)</f>
        <v>0</v>
      </c>
      <c r="R93" s="126">
        <f>COUNTIFS('TỔNG KLH + TN'!$B:$B,'01. TH'!$B93,'TỔNG KLH + TN'!$C:$C,'01. TH'!R$4)</f>
        <v>0</v>
      </c>
      <c r="S93" s="126">
        <f>COUNTIFS('TỔNG KLH + TN'!$B:$B,'01. TH'!$B93,'TỔNG KLH + TN'!$C:$C,'01. TH'!S$4)</f>
        <v>0</v>
      </c>
      <c r="T93" s="126">
        <f>COUNTIFS('TỔNG KLH + TN'!$B:$B,'01. TH'!$B93,'TỔNG KLH + TN'!$C:$C,'01. TH'!T$4)</f>
        <v>0</v>
      </c>
      <c r="U93" s="126">
        <f>COUNTIFS('TỔNG KLH + TN'!$B:$B,'01. TH'!$B93,'TỔNG KLH + TN'!$C:$C,'01. TH'!U$4)</f>
        <v>1</v>
      </c>
      <c r="V93" s="126">
        <f>COUNTIFS('TỔNG KLH + TN'!$B:$B,'01. TH'!$B93,'TỔNG KLH + TN'!$C:$C,'01. TH'!V$4)</f>
        <v>0</v>
      </c>
      <c r="W93" s="126">
        <f>COUNTIFS('TỔNG KLH + TN'!$B:$B,'01. TH'!$B93,'TỔNG KLH + TN'!$C:$C,'01. TH'!W$4)</f>
        <v>0</v>
      </c>
      <c r="X93" s="126">
        <f>COUNTIFS('TỔNG KLH + TN'!$B:$B,'01. TH'!$B93,'TỔNG KLH + TN'!$C:$C,'01. TH'!X$4)</f>
        <v>0</v>
      </c>
      <c r="Y93" s="126">
        <f>COUNTIFS('TỔNG KLH + TN'!$B:$B,'01. TH'!$B93,'TỔNG KLH + TN'!$C:$C,'01. TH'!Y$4)</f>
        <v>0</v>
      </c>
      <c r="Z93" s="126">
        <f>COUNTIFS('TỔNG KLH + TN'!$B:$B,'01. TH'!$B93,'TỔNG KLH + TN'!$C:$C,'01. TH'!Z$4)</f>
        <v>0</v>
      </c>
      <c r="AA93" s="126">
        <f>COUNTIFS('TỔNG KLH + TN'!$B:$B,'01. TH'!$B93,'TỔNG KLH + TN'!$C:$C,'01. TH'!AA$4)</f>
        <v>0</v>
      </c>
      <c r="AB93" s="126">
        <f>COUNTIFS('TỔNG KLH + TN'!$B:$B,'01. TH'!$B93,'TỔNG KLH + TN'!$C:$C,'01. TH'!AB$4)</f>
        <v>0</v>
      </c>
      <c r="AC93" s="126">
        <f>COUNTIFS('TỔNG KLH + TN'!$B:$B,'01. TH'!$B93,'TỔNG KLH + TN'!$C:$C,'01. TH'!AC$4)</f>
        <v>0</v>
      </c>
      <c r="AD93" s="126">
        <f>COUNTIFS('TỔNG KLH + TN'!$B:$B,'01. TH'!$B93,'TỔNG KLH + TN'!$C:$C,'01. TH'!AD$4)</f>
        <v>0</v>
      </c>
      <c r="AE93" s="162">
        <f t="shared" si="23"/>
        <v>1</v>
      </c>
      <c r="AF93" s="162"/>
      <c r="AG93" s="70" t="str">
        <f t="shared" si="3"/>
        <v>ok</v>
      </c>
      <c r="AH93" s="163"/>
    </row>
    <row r="94" ht="18.75" hidden="1" customHeight="1" outlineLevel="1">
      <c r="A94" s="159"/>
      <c r="B94" s="122" t="s">
        <v>678</v>
      </c>
      <c r="C94" s="123" t="s">
        <v>682</v>
      </c>
      <c r="D94" s="124" t="str">
        <f>IFERROR(VLOOKUP(B94,'Danh mục'!$G:$U,15,0),"")</f>
        <v/>
      </c>
      <c r="E94" s="124" t="s">
        <v>108</v>
      </c>
      <c r="F94" s="126">
        <f>COUNTIFS('TỔNG KLH + TN'!$B:$B,'01. TH'!$B94,'TỔNG KLH + TN'!$C:$C,'01. TH'!F$4)</f>
        <v>0</v>
      </c>
      <c r="G94" s="126">
        <f>COUNTIFS('TỔNG KLH + TN'!$B:$B,'01. TH'!$B94,'TỔNG KLH + TN'!$C:$C,'01. TH'!G$4)</f>
        <v>1</v>
      </c>
      <c r="H94" s="126">
        <f>COUNTIFS('TỔNG KLH + TN'!$B:$B,'01. TH'!$B94,'TỔNG KLH + TN'!$C:$C,'01. TH'!H$4)</f>
        <v>0</v>
      </c>
      <c r="I94" s="126">
        <f>COUNTIFS('TỔNG KLH + TN'!$B:$B,'01. TH'!$B94,'TỔNG KLH + TN'!$C:$C,'01. TH'!I$4)</f>
        <v>0</v>
      </c>
      <c r="J94" s="126">
        <f>COUNTIFS('TỔNG KLH + TN'!$B:$B,'01. TH'!$B94,'TỔNG KLH + TN'!$C:$C,'01. TH'!J$4)</f>
        <v>0</v>
      </c>
      <c r="K94" s="126">
        <f>COUNTIFS('TỔNG KLH + TN'!$B:$B,'01. TH'!$B94,'TỔNG KLH + TN'!$C:$C,'01. TH'!K$4)</f>
        <v>0</v>
      </c>
      <c r="L94" s="126">
        <f>COUNTIFS('TỔNG KLH + TN'!$B:$B,'01. TH'!$B94,'TỔNG KLH + TN'!$C:$C,'01. TH'!L$4)</f>
        <v>0</v>
      </c>
      <c r="M94" s="126">
        <f>COUNTIFS('TỔNG KLH + TN'!$B:$B,'01. TH'!$B94,'TỔNG KLH + TN'!$C:$C,'01. TH'!M$4)</f>
        <v>0</v>
      </c>
      <c r="N94" s="126">
        <f>COUNTIFS('TỔNG KLH + TN'!$B:$B,'01. TH'!$B94,'TỔNG KLH + TN'!$C:$C,'01. TH'!N$4)</f>
        <v>0</v>
      </c>
      <c r="O94" s="126">
        <f>COUNTIFS('TỔNG KLH + TN'!$B:$B,'01. TH'!$B94,'TỔNG KLH + TN'!$C:$C,'01. TH'!O$4)</f>
        <v>0</v>
      </c>
      <c r="P94" s="126">
        <f>COUNTIFS('TỔNG KLH + TN'!$B:$B,'01. TH'!$B94,'TỔNG KLH + TN'!$C:$C,'01. TH'!P$4)</f>
        <v>0</v>
      </c>
      <c r="Q94" s="126">
        <f>COUNTIFS('TỔNG KLH + TN'!$B:$B,'01. TH'!$B94,'TỔNG KLH + TN'!$C:$C,'01. TH'!Q$4)</f>
        <v>0</v>
      </c>
      <c r="R94" s="126">
        <f>COUNTIFS('TỔNG KLH + TN'!$B:$B,'01. TH'!$B94,'TỔNG KLH + TN'!$C:$C,'01. TH'!R$4)</f>
        <v>0</v>
      </c>
      <c r="S94" s="126">
        <f>COUNTIFS('TỔNG KLH + TN'!$B:$B,'01. TH'!$B94,'TỔNG KLH + TN'!$C:$C,'01. TH'!S$4)</f>
        <v>0</v>
      </c>
      <c r="T94" s="126">
        <f>COUNTIFS('TỔNG KLH + TN'!$B:$B,'01. TH'!$B94,'TỔNG KLH + TN'!$C:$C,'01. TH'!T$4)</f>
        <v>0</v>
      </c>
      <c r="U94" s="126">
        <f>COUNTIFS('TỔNG KLH + TN'!$B:$B,'01. TH'!$B94,'TỔNG KLH + TN'!$C:$C,'01. TH'!U$4)</f>
        <v>0</v>
      </c>
      <c r="V94" s="126">
        <f>COUNTIFS('TỔNG KLH + TN'!$B:$B,'01. TH'!$B94,'TỔNG KLH + TN'!$C:$C,'01. TH'!V$4)</f>
        <v>0</v>
      </c>
      <c r="W94" s="126">
        <f>COUNTIFS('TỔNG KLH + TN'!$B:$B,'01. TH'!$B94,'TỔNG KLH + TN'!$C:$C,'01. TH'!W$4)</f>
        <v>0</v>
      </c>
      <c r="X94" s="126">
        <f>COUNTIFS('TỔNG KLH + TN'!$B:$B,'01. TH'!$B94,'TỔNG KLH + TN'!$C:$C,'01. TH'!X$4)</f>
        <v>0</v>
      </c>
      <c r="Y94" s="126">
        <f>COUNTIFS('TỔNG KLH + TN'!$B:$B,'01. TH'!$B94,'TỔNG KLH + TN'!$C:$C,'01. TH'!Y$4)</f>
        <v>0</v>
      </c>
      <c r="Z94" s="126">
        <f>COUNTIFS('TỔNG KLH + TN'!$B:$B,'01. TH'!$B94,'TỔNG KLH + TN'!$C:$C,'01. TH'!Z$4)</f>
        <v>0</v>
      </c>
      <c r="AA94" s="126">
        <f>COUNTIFS('TỔNG KLH + TN'!$B:$B,'01. TH'!$B94,'TỔNG KLH + TN'!$C:$C,'01. TH'!AA$4)</f>
        <v>0</v>
      </c>
      <c r="AB94" s="126">
        <f>COUNTIFS('TỔNG KLH + TN'!$B:$B,'01. TH'!$B94,'TỔNG KLH + TN'!$C:$C,'01. TH'!AB$4)</f>
        <v>0</v>
      </c>
      <c r="AC94" s="126">
        <f>COUNTIFS('TỔNG KLH + TN'!$B:$B,'01. TH'!$B94,'TỔNG KLH + TN'!$C:$C,'01. TH'!AC$4)</f>
        <v>0</v>
      </c>
      <c r="AD94" s="126">
        <f>COUNTIFS('TỔNG KLH + TN'!$B:$B,'01. TH'!$B94,'TỔNG KLH + TN'!$C:$C,'01. TH'!AD$4)</f>
        <v>0</v>
      </c>
      <c r="AE94" s="162">
        <f t="shared" si="23"/>
        <v>1</v>
      </c>
      <c r="AF94" s="162"/>
      <c r="AG94" s="70" t="str">
        <f t="shared" si="3"/>
        <v>ok</v>
      </c>
      <c r="AH94" s="163"/>
    </row>
    <row r="95" ht="18.75" hidden="1" customHeight="1" outlineLevel="1">
      <c r="A95" s="159"/>
      <c r="B95" s="122" t="s">
        <v>1885</v>
      </c>
      <c r="C95" s="123" t="s">
        <v>1903</v>
      </c>
      <c r="D95" s="124" t="str">
        <f>IFERROR(VLOOKUP(B95,'Danh mục'!$G:$U,15,0),"")</f>
        <v>6800 x 3200 x 3400</v>
      </c>
      <c r="E95" s="124" t="s">
        <v>108</v>
      </c>
      <c r="F95" s="126">
        <f>COUNTIFS('TỔNG KLH + TN'!$B:$B,'01. TH'!$B95,'TỔNG KLH + TN'!$C:$C,'01. TH'!F$4)</f>
        <v>0</v>
      </c>
      <c r="G95" s="126">
        <f>COUNTIFS('TỔNG KLH + TN'!$B:$B,'01. TH'!$B95,'TỔNG KLH + TN'!$C:$C,'01. TH'!G$4)</f>
        <v>0</v>
      </c>
      <c r="H95" s="126">
        <f>COUNTIFS('TỔNG KLH + TN'!$B:$B,'01. TH'!$B95,'TỔNG KLH + TN'!$C:$C,'01. TH'!H$4)</f>
        <v>0</v>
      </c>
      <c r="I95" s="126">
        <f>COUNTIFS('TỔNG KLH + TN'!$B:$B,'01. TH'!$B95,'TỔNG KLH + TN'!$C:$C,'01. TH'!I$4)</f>
        <v>0</v>
      </c>
      <c r="J95" s="126">
        <f>COUNTIFS('TỔNG KLH + TN'!$B:$B,'01. TH'!$B95,'TỔNG KLH + TN'!$C:$C,'01. TH'!J$4)</f>
        <v>0</v>
      </c>
      <c r="K95" s="126">
        <f>COUNTIFS('TỔNG KLH + TN'!$B:$B,'01. TH'!$B95,'TỔNG KLH + TN'!$C:$C,'01. TH'!K$4)</f>
        <v>0</v>
      </c>
      <c r="L95" s="126">
        <f>COUNTIFS('TỔNG KLH + TN'!$B:$B,'01. TH'!$B95,'TỔNG KLH + TN'!$C:$C,'01. TH'!L$4)</f>
        <v>0</v>
      </c>
      <c r="M95" s="126">
        <f>COUNTIFS('TỔNG KLH + TN'!$B:$B,'01. TH'!$B95,'TỔNG KLH + TN'!$C:$C,'01. TH'!M$4)</f>
        <v>0</v>
      </c>
      <c r="N95" s="126">
        <f>COUNTIFS('TỔNG KLH + TN'!$B:$B,'01. TH'!$B95,'TỔNG KLH + TN'!$C:$C,'01. TH'!N$4)</f>
        <v>0</v>
      </c>
      <c r="O95" s="126">
        <f>COUNTIFS('TỔNG KLH + TN'!$B:$B,'01. TH'!$B95,'TỔNG KLH + TN'!$C:$C,'01. TH'!O$4)</f>
        <v>0</v>
      </c>
      <c r="P95" s="126">
        <f>COUNTIFS('TỔNG KLH + TN'!$B:$B,'01. TH'!$B95,'TỔNG KLH + TN'!$C:$C,'01. TH'!P$4)</f>
        <v>0</v>
      </c>
      <c r="Q95" s="126">
        <f>COUNTIFS('TỔNG KLH + TN'!$B:$B,'01. TH'!$B95,'TỔNG KLH + TN'!$C:$C,'01. TH'!Q$4)</f>
        <v>0</v>
      </c>
      <c r="R95" s="126">
        <f>COUNTIFS('TỔNG KLH + TN'!$B:$B,'01. TH'!$B95,'TỔNG KLH + TN'!$C:$C,'01. TH'!R$4)</f>
        <v>0</v>
      </c>
      <c r="S95" s="126">
        <f>COUNTIFS('TỔNG KLH + TN'!$B:$B,'01. TH'!$B95,'TỔNG KLH + TN'!$C:$C,'01. TH'!S$4)</f>
        <v>0</v>
      </c>
      <c r="T95" s="126">
        <f>COUNTIFS('TỔNG KLH + TN'!$B:$B,'01. TH'!$B95,'TỔNG KLH + TN'!$C:$C,'01. TH'!T$4)</f>
        <v>0</v>
      </c>
      <c r="U95" s="126">
        <f>COUNTIFS('TỔNG KLH + TN'!$B:$B,'01. TH'!$B95,'TỔNG KLH + TN'!$C:$C,'01. TH'!U$4)</f>
        <v>1</v>
      </c>
      <c r="V95" s="126">
        <f>COUNTIFS('TỔNG KLH + TN'!$B:$B,'01. TH'!$B95,'TỔNG KLH + TN'!$C:$C,'01. TH'!V$4)</f>
        <v>0</v>
      </c>
      <c r="W95" s="126">
        <f>COUNTIFS('TỔNG KLH + TN'!$B:$B,'01. TH'!$B95,'TỔNG KLH + TN'!$C:$C,'01. TH'!W$4)</f>
        <v>0</v>
      </c>
      <c r="X95" s="126">
        <f>COUNTIFS('TỔNG KLH + TN'!$B:$B,'01. TH'!$B95,'TỔNG KLH + TN'!$C:$C,'01. TH'!X$4)</f>
        <v>0</v>
      </c>
      <c r="Y95" s="126">
        <f>COUNTIFS('TỔNG KLH + TN'!$B:$B,'01. TH'!$B95,'TỔNG KLH + TN'!$C:$C,'01. TH'!Y$4)</f>
        <v>0</v>
      </c>
      <c r="Z95" s="126">
        <f>COUNTIFS('TỔNG KLH + TN'!$B:$B,'01. TH'!$B95,'TỔNG KLH + TN'!$C:$C,'01. TH'!Z$4)</f>
        <v>0</v>
      </c>
      <c r="AA95" s="126">
        <f>COUNTIFS('TỔNG KLH + TN'!$B:$B,'01. TH'!$B95,'TỔNG KLH + TN'!$C:$C,'01. TH'!AA$4)</f>
        <v>0</v>
      </c>
      <c r="AB95" s="126">
        <f>COUNTIFS('TỔNG KLH + TN'!$B:$B,'01. TH'!$B95,'TỔNG KLH + TN'!$C:$C,'01. TH'!AB$4)</f>
        <v>0</v>
      </c>
      <c r="AC95" s="126">
        <f>COUNTIFS('TỔNG KLH + TN'!$B:$B,'01. TH'!$B95,'TỔNG KLH + TN'!$C:$C,'01. TH'!AC$4)</f>
        <v>0</v>
      </c>
      <c r="AD95" s="126">
        <f>COUNTIFS('TỔNG KLH + TN'!$B:$B,'01. TH'!$B95,'TỔNG KLH + TN'!$C:$C,'01. TH'!AD$4)</f>
        <v>0</v>
      </c>
      <c r="AE95" s="162">
        <f t="shared" si="23"/>
        <v>1</v>
      </c>
      <c r="AF95" s="162"/>
      <c r="AG95" s="70" t="str">
        <f t="shared" si="3"/>
        <v>ok</v>
      </c>
      <c r="AH95" s="163"/>
    </row>
    <row r="96" ht="18.75" hidden="1" customHeight="1" outlineLevel="1">
      <c r="A96" s="159"/>
      <c r="B96" s="122" t="s">
        <v>1694</v>
      </c>
      <c r="C96" s="123" t="s">
        <v>845</v>
      </c>
      <c r="D96" s="124" t="str">
        <f>IFERROR(VLOOKUP(B96,'Danh mục'!$G:$U,15,0),"")</f>
        <v/>
      </c>
      <c r="E96" s="124" t="s">
        <v>108</v>
      </c>
      <c r="F96" s="126">
        <f>COUNTIFS('TỔNG KLH + TN'!$B:$B,'01. TH'!$B96,'TỔNG KLH + TN'!$C:$C,'01. TH'!F$4)</f>
        <v>0</v>
      </c>
      <c r="G96" s="126">
        <f>COUNTIFS('TỔNG KLH + TN'!$B:$B,'01. TH'!$B96,'TỔNG KLH + TN'!$C:$C,'01. TH'!G$4)</f>
        <v>0</v>
      </c>
      <c r="H96" s="126">
        <f>COUNTIFS('TỔNG KLH + TN'!$B:$B,'01. TH'!$B96,'TỔNG KLH + TN'!$C:$C,'01. TH'!H$4)</f>
        <v>0</v>
      </c>
      <c r="I96" s="126">
        <f>COUNTIFS('TỔNG KLH + TN'!$B:$B,'01. TH'!$B96,'TỔNG KLH + TN'!$C:$C,'01. TH'!I$4)</f>
        <v>0</v>
      </c>
      <c r="J96" s="126">
        <f>COUNTIFS('TỔNG KLH + TN'!$B:$B,'01. TH'!$B96,'TỔNG KLH + TN'!$C:$C,'01. TH'!J$4)</f>
        <v>0</v>
      </c>
      <c r="K96" s="126">
        <f>COUNTIFS('TỔNG KLH + TN'!$B:$B,'01. TH'!$B96,'TỔNG KLH + TN'!$C:$C,'01. TH'!K$4)</f>
        <v>0</v>
      </c>
      <c r="L96" s="126">
        <f>COUNTIFS('TỔNG KLH + TN'!$B:$B,'01. TH'!$B96,'TỔNG KLH + TN'!$C:$C,'01. TH'!L$4)</f>
        <v>0</v>
      </c>
      <c r="M96" s="126">
        <f>COUNTIFS('TỔNG KLH + TN'!$B:$B,'01. TH'!$B96,'TỔNG KLH + TN'!$C:$C,'01. TH'!M$4)</f>
        <v>0</v>
      </c>
      <c r="N96" s="126">
        <f>COUNTIFS('TỔNG KLH + TN'!$B:$B,'01. TH'!$B96,'TỔNG KLH + TN'!$C:$C,'01. TH'!N$4)</f>
        <v>0</v>
      </c>
      <c r="O96" s="126">
        <f>COUNTIFS('TỔNG KLH + TN'!$B:$B,'01. TH'!$B96,'TỔNG KLH + TN'!$C:$C,'01. TH'!O$4)</f>
        <v>0</v>
      </c>
      <c r="P96" s="126">
        <f>COUNTIFS('TỔNG KLH + TN'!$B:$B,'01. TH'!$B96,'TỔNG KLH + TN'!$C:$C,'01. TH'!P$4)</f>
        <v>0</v>
      </c>
      <c r="Q96" s="126">
        <f>COUNTIFS('TỔNG KLH + TN'!$B:$B,'01. TH'!$B96,'TỔNG KLH + TN'!$C:$C,'01. TH'!Q$4)</f>
        <v>0</v>
      </c>
      <c r="R96" s="126">
        <f>COUNTIFS('TỔNG KLH + TN'!$B:$B,'01. TH'!$B96,'TỔNG KLH + TN'!$C:$C,'01. TH'!R$4)</f>
        <v>0</v>
      </c>
      <c r="S96" s="126">
        <f>COUNTIFS('TỔNG KLH + TN'!$B:$B,'01. TH'!$B96,'TỔNG KLH + TN'!$C:$C,'01. TH'!S$4)</f>
        <v>0</v>
      </c>
      <c r="T96" s="126">
        <f>COUNTIFS('TỔNG KLH + TN'!$B:$B,'01. TH'!$B96,'TỔNG KLH + TN'!$C:$C,'01. TH'!T$4)</f>
        <v>0</v>
      </c>
      <c r="U96" s="126">
        <f>COUNTIFS('TỔNG KLH + TN'!$B:$B,'01. TH'!$B96,'TỔNG KLH + TN'!$C:$C,'01. TH'!U$4)</f>
        <v>1</v>
      </c>
      <c r="V96" s="126">
        <f>COUNTIFS('TỔNG KLH + TN'!$B:$B,'01. TH'!$B96,'TỔNG KLH + TN'!$C:$C,'01. TH'!V$4)</f>
        <v>0</v>
      </c>
      <c r="W96" s="126">
        <f>COUNTIFS('TỔNG KLH + TN'!$B:$B,'01. TH'!$B96,'TỔNG KLH + TN'!$C:$C,'01. TH'!W$4)</f>
        <v>0</v>
      </c>
      <c r="X96" s="126">
        <f>COUNTIFS('TỔNG KLH + TN'!$B:$B,'01. TH'!$B96,'TỔNG KLH + TN'!$C:$C,'01. TH'!X$4)</f>
        <v>0</v>
      </c>
      <c r="Y96" s="126">
        <f>COUNTIFS('TỔNG KLH + TN'!$B:$B,'01. TH'!$B96,'TỔNG KLH + TN'!$C:$C,'01. TH'!Y$4)</f>
        <v>0</v>
      </c>
      <c r="Z96" s="126">
        <f>COUNTIFS('TỔNG KLH + TN'!$B:$B,'01. TH'!$B96,'TỔNG KLH + TN'!$C:$C,'01. TH'!Z$4)</f>
        <v>0</v>
      </c>
      <c r="AA96" s="126">
        <f>COUNTIFS('TỔNG KLH + TN'!$B:$B,'01. TH'!$B96,'TỔNG KLH + TN'!$C:$C,'01. TH'!AA$4)</f>
        <v>0</v>
      </c>
      <c r="AB96" s="126">
        <f>COUNTIFS('TỔNG KLH + TN'!$B:$B,'01. TH'!$B96,'TỔNG KLH + TN'!$C:$C,'01. TH'!AB$4)</f>
        <v>0</v>
      </c>
      <c r="AC96" s="126">
        <f>COUNTIFS('TỔNG KLH + TN'!$B:$B,'01. TH'!$B96,'TỔNG KLH + TN'!$C:$C,'01. TH'!AC$4)</f>
        <v>0</v>
      </c>
      <c r="AD96" s="126">
        <f>COUNTIFS('TỔNG KLH + TN'!$B:$B,'01. TH'!$B96,'TỔNG KLH + TN'!$C:$C,'01. TH'!AD$4)</f>
        <v>0</v>
      </c>
      <c r="AE96" s="162">
        <f t="shared" si="23"/>
        <v>1</v>
      </c>
      <c r="AF96" s="162"/>
      <c r="AG96" s="70" t="str">
        <f t="shared" si="3"/>
        <v>ok</v>
      </c>
      <c r="AH96" s="163"/>
    </row>
    <row r="97" ht="18.75" hidden="1" customHeight="1" outlineLevel="1">
      <c r="A97" s="159"/>
      <c r="B97" s="122" t="s">
        <v>1908</v>
      </c>
      <c r="C97" s="123" t="s">
        <v>1911</v>
      </c>
      <c r="D97" s="124"/>
      <c r="E97" s="124" t="s">
        <v>108</v>
      </c>
      <c r="F97" s="126">
        <f>COUNTIFS('TỔNG KLH + TN'!$B:$B,'01. TH'!$B97,'TỔNG KLH + TN'!$C:$C,'01. TH'!F$4)</f>
        <v>0</v>
      </c>
      <c r="G97" s="126">
        <f>COUNTIFS('TỔNG KLH + TN'!$B:$B,'01. TH'!$B97,'TỔNG KLH + TN'!$C:$C,'01. TH'!G$4)</f>
        <v>0</v>
      </c>
      <c r="H97" s="126">
        <f>COUNTIFS('TỔNG KLH + TN'!$B:$B,'01. TH'!$B97,'TỔNG KLH + TN'!$C:$C,'01. TH'!H$4)</f>
        <v>0</v>
      </c>
      <c r="I97" s="126">
        <f>COUNTIFS('TỔNG KLH + TN'!$B:$B,'01. TH'!$B97,'TỔNG KLH + TN'!$C:$C,'01. TH'!I$4)</f>
        <v>0</v>
      </c>
      <c r="J97" s="126">
        <f>COUNTIFS('TỔNG KLH + TN'!$B:$B,'01. TH'!$B97,'TỔNG KLH + TN'!$C:$C,'01. TH'!J$4)</f>
        <v>0</v>
      </c>
      <c r="K97" s="126">
        <f>COUNTIFS('TỔNG KLH + TN'!$B:$B,'01. TH'!$B97,'TỔNG KLH + TN'!$C:$C,'01. TH'!K$4)</f>
        <v>0</v>
      </c>
      <c r="L97" s="126">
        <f>COUNTIFS('TỔNG KLH + TN'!$B:$B,'01. TH'!$B97,'TỔNG KLH + TN'!$C:$C,'01. TH'!L$4)</f>
        <v>0</v>
      </c>
      <c r="M97" s="126">
        <f>COUNTIFS('TỔNG KLH + TN'!$B:$B,'01. TH'!$B97,'TỔNG KLH + TN'!$C:$C,'01. TH'!M$4)</f>
        <v>0</v>
      </c>
      <c r="N97" s="126">
        <f>COUNTIFS('TỔNG KLH + TN'!$B:$B,'01. TH'!$B97,'TỔNG KLH + TN'!$C:$C,'01. TH'!N$4)</f>
        <v>0</v>
      </c>
      <c r="O97" s="126">
        <f>COUNTIFS('TỔNG KLH + TN'!$B:$B,'01. TH'!$B97,'TỔNG KLH + TN'!$C:$C,'01. TH'!O$4)</f>
        <v>0</v>
      </c>
      <c r="P97" s="126">
        <f>COUNTIFS('TỔNG KLH + TN'!$B:$B,'01. TH'!$B97,'TỔNG KLH + TN'!$C:$C,'01. TH'!P$4)</f>
        <v>0</v>
      </c>
      <c r="Q97" s="126">
        <f>COUNTIFS('TỔNG KLH + TN'!$B:$B,'01. TH'!$B97,'TỔNG KLH + TN'!$C:$C,'01. TH'!Q$4)</f>
        <v>0</v>
      </c>
      <c r="R97" s="126">
        <f>COUNTIFS('TỔNG KLH + TN'!$B:$B,'01. TH'!$B97,'TỔNG KLH + TN'!$C:$C,'01. TH'!R$4)</f>
        <v>0</v>
      </c>
      <c r="S97" s="126">
        <f>COUNTIFS('TỔNG KLH + TN'!$B:$B,'01. TH'!$B97,'TỔNG KLH + TN'!$C:$C,'01. TH'!S$4)</f>
        <v>0</v>
      </c>
      <c r="T97" s="126">
        <f>COUNTIFS('TỔNG KLH + TN'!$B:$B,'01. TH'!$B97,'TỔNG KLH + TN'!$C:$C,'01. TH'!T$4)</f>
        <v>0</v>
      </c>
      <c r="U97" s="126">
        <f>COUNTIFS('TỔNG KLH + TN'!$B:$B,'01. TH'!$B97,'TỔNG KLH + TN'!$C:$C,'01. TH'!U$4)</f>
        <v>1</v>
      </c>
      <c r="V97" s="126">
        <f>COUNTIFS('TỔNG KLH + TN'!$B:$B,'01. TH'!$B97,'TỔNG KLH + TN'!$C:$C,'01. TH'!V$4)</f>
        <v>0</v>
      </c>
      <c r="W97" s="126">
        <f>COUNTIFS('TỔNG KLH + TN'!$B:$B,'01. TH'!$B97,'TỔNG KLH + TN'!$C:$C,'01. TH'!W$4)</f>
        <v>0</v>
      </c>
      <c r="X97" s="126">
        <f>COUNTIFS('TỔNG KLH + TN'!$B:$B,'01. TH'!$B97,'TỔNG KLH + TN'!$C:$C,'01. TH'!X$4)</f>
        <v>0</v>
      </c>
      <c r="Y97" s="126">
        <f>COUNTIFS('TỔNG KLH + TN'!$B:$B,'01. TH'!$B97,'TỔNG KLH + TN'!$C:$C,'01. TH'!Y$4)</f>
        <v>0</v>
      </c>
      <c r="Z97" s="126">
        <f>COUNTIFS('TỔNG KLH + TN'!$B:$B,'01. TH'!$B97,'TỔNG KLH + TN'!$C:$C,'01. TH'!Z$4)</f>
        <v>0</v>
      </c>
      <c r="AA97" s="126">
        <f>COUNTIFS('TỔNG KLH + TN'!$B:$B,'01. TH'!$B97,'TỔNG KLH + TN'!$C:$C,'01. TH'!AA$4)</f>
        <v>0</v>
      </c>
      <c r="AB97" s="126">
        <f>COUNTIFS('TỔNG KLH + TN'!$B:$B,'01. TH'!$B97,'TỔNG KLH + TN'!$C:$C,'01. TH'!AB$4)</f>
        <v>0</v>
      </c>
      <c r="AC97" s="126">
        <f>COUNTIFS('TỔNG KLH + TN'!$B:$B,'01. TH'!$B97,'TỔNG KLH + TN'!$C:$C,'01. TH'!AC$4)</f>
        <v>0</v>
      </c>
      <c r="AD97" s="126">
        <f>COUNTIFS('TỔNG KLH + TN'!$B:$B,'01. TH'!$B97,'TỔNG KLH + TN'!$C:$C,'01. TH'!AD$4)</f>
        <v>0</v>
      </c>
      <c r="AE97" s="162">
        <f t="shared" si="23"/>
        <v>1</v>
      </c>
      <c r="AF97" s="162"/>
      <c r="AG97" s="70"/>
      <c r="AH97" s="163"/>
    </row>
    <row r="98" ht="18.75" hidden="1" customHeight="1" outlineLevel="1">
      <c r="A98" s="159"/>
      <c r="B98" s="122" t="s">
        <v>670</v>
      </c>
      <c r="C98" s="123" t="s">
        <v>675</v>
      </c>
      <c r="D98" s="124"/>
      <c r="E98" s="124" t="s">
        <v>108</v>
      </c>
      <c r="F98" s="126">
        <f>COUNTIFS('TỔNG KLH + TN'!$B:$B,'01. TH'!$B98,'TỔNG KLH + TN'!$C:$C,'01. TH'!F$4)</f>
        <v>0</v>
      </c>
      <c r="G98" s="126">
        <f>COUNTIFS('TỔNG KLH + TN'!$B:$B,'01. TH'!$B98,'TỔNG KLH + TN'!$C:$C,'01. TH'!G$4)</f>
        <v>1</v>
      </c>
      <c r="H98" s="126">
        <f>COUNTIFS('TỔNG KLH + TN'!$B:$B,'01. TH'!$B98,'TỔNG KLH + TN'!$C:$C,'01. TH'!H$4)</f>
        <v>0</v>
      </c>
      <c r="I98" s="126">
        <f>COUNTIFS('TỔNG KLH + TN'!$B:$B,'01. TH'!$B98,'TỔNG KLH + TN'!$C:$C,'01. TH'!I$4)</f>
        <v>0</v>
      </c>
      <c r="J98" s="126">
        <f>COUNTIFS('TỔNG KLH + TN'!$B:$B,'01. TH'!$B98,'TỔNG KLH + TN'!$C:$C,'01. TH'!J$4)</f>
        <v>0</v>
      </c>
      <c r="K98" s="126">
        <f>COUNTIFS('TỔNG KLH + TN'!$B:$B,'01. TH'!$B98,'TỔNG KLH + TN'!$C:$C,'01. TH'!K$4)</f>
        <v>0</v>
      </c>
      <c r="L98" s="126">
        <f>COUNTIFS('TỔNG KLH + TN'!$B:$B,'01. TH'!$B98,'TỔNG KLH + TN'!$C:$C,'01. TH'!L$4)</f>
        <v>0</v>
      </c>
      <c r="M98" s="126">
        <f>COUNTIFS('TỔNG KLH + TN'!$B:$B,'01. TH'!$B98,'TỔNG KLH + TN'!$C:$C,'01. TH'!M$4)</f>
        <v>0</v>
      </c>
      <c r="N98" s="126">
        <f>COUNTIFS('TỔNG KLH + TN'!$B:$B,'01. TH'!$B98,'TỔNG KLH + TN'!$C:$C,'01. TH'!N$4)</f>
        <v>0</v>
      </c>
      <c r="O98" s="126">
        <f>COUNTIFS('TỔNG KLH + TN'!$B:$B,'01. TH'!$B98,'TỔNG KLH + TN'!$C:$C,'01. TH'!O$4)</f>
        <v>0</v>
      </c>
      <c r="P98" s="126">
        <f>COUNTIFS('TỔNG KLH + TN'!$B:$B,'01. TH'!$B98,'TỔNG KLH + TN'!$C:$C,'01. TH'!P$4)</f>
        <v>0</v>
      </c>
      <c r="Q98" s="126">
        <f>COUNTIFS('TỔNG KLH + TN'!$B:$B,'01. TH'!$B98,'TỔNG KLH + TN'!$C:$C,'01. TH'!Q$4)</f>
        <v>0</v>
      </c>
      <c r="R98" s="126">
        <f>COUNTIFS('TỔNG KLH + TN'!$B:$B,'01. TH'!$B98,'TỔNG KLH + TN'!$C:$C,'01. TH'!R$4)</f>
        <v>0</v>
      </c>
      <c r="S98" s="126">
        <f>COUNTIFS('TỔNG KLH + TN'!$B:$B,'01. TH'!$B98,'TỔNG KLH + TN'!$C:$C,'01. TH'!S$4)</f>
        <v>0</v>
      </c>
      <c r="T98" s="126">
        <f>COUNTIFS('TỔNG KLH + TN'!$B:$B,'01. TH'!$B98,'TỔNG KLH + TN'!$C:$C,'01. TH'!T$4)</f>
        <v>0</v>
      </c>
      <c r="U98" s="126">
        <f>COUNTIFS('TỔNG KLH + TN'!$B:$B,'01. TH'!$B98,'TỔNG KLH + TN'!$C:$C,'01. TH'!U$4)</f>
        <v>0</v>
      </c>
      <c r="V98" s="126">
        <f>COUNTIFS('TỔNG KLH + TN'!$B:$B,'01. TH'!$B98,'TỔNG KLH + TN'!$C:$C,'01. TH'!V$4)</f>
        <v>0</v>
      </c>
      <c r="W98" s="126">
        <f>COUNTIFS('TỔNG KLH + TN'!$B:$B,'01. TH'!$B98,'TỔNG KLH + TN'!$C:$C,'01. TH'!W$4)</f>
        <v>0</v>
      </c>
      <c r="X98" s="126">
        <f>COUNTIFS('TỔNG KLH + TN'!$B:$B,'01. TH'!$B98,'TỔNG KLH + TN'!$C:$C,'01. TH'!X$4)</f>
        <v>0</v>
      </c>
      <c r="Y98" s="126">
        <f>COUNTIFS('TỔNG KLH + TN'!$B:$B,'01. TH'!$B98,'TỔNG KLH + TN'!$C:$C,'01. TH'!Y$4)</f>
        <v>0</v>
      </c>
      <c r="Z98" s="126">
        <f>COUNTIFS('TỔNG KLH + TN'!$B:$B,'01. TH'!$B98,'TỔNG KLH + TN'!$C:$C,'01. TH'!Z$4)</f>
        <v>0</v>
      </c>
      <c r="AA98" s="126">
        <f>COUNTIFS('TỔNG KLH + TN'!$B:$B,'01. TH'!$B98,'TỔNG KLH + TN'!$C:$C,'01. TH'!AA$4)</f>
        <v>0</v>
      </c>
      <c r="AB98" s="126">
        <f>COUNTIFS('TỔNG KLH + TN'!$B:$B,'01. TH'!$B98,'TỔNG KLH + TN'!$C:$C,'01. TH'!AB$4)</f>
        <v>0</v>
      </c>
      <c r="AC98" s="126">
        <f>COUNTIFS('TỔNG KLH + TN'!$B:$B,'01. TH'!$B98,'TỔNG KLH + TN'!$C:$C,'01. TH'!AC$4)</f>
        <v>0</v>
      </c>
      <c r="AD98" s="126">
        <f>COUNTIFS('TỔNG KLH + TN'!$B:$B,'01. TH'!$B98,'TỔNG KLH + TN'!$C:$C,'01. TH'!AD$4)</f>
        <v>0</v>
      </c>
      <c r="AE98" s="162">
        <f t="shared" si="23"/>
        <v>1</v>
      </c>
      <c r="AF98" s="162"/>
      <c r="AG98" s="70"/>
      <c r="AH98" s="163"/>
    </row>
    <row r="99" ht="18.75" hidden="1" customHeight="1" outlineLevel="1">
      <c r="A99" s="159"/>
      <c r="B99" s="122" t="s">
        <v>3207</v>
      </c>
      <c r="C99" s="123" t="s">
        <v>675</v>
      </c>
      <c r="D99" s="124"/>
      <c r="E99" s="124" t="s">
        <v>108</v>
      </c>
      <c r="F99" s="126">
        <f>COUNTIFS('TỔNG KLH + TN'!$B:$B,'01. TH'!$B99,'TỔNG KLH + TN'!$C:$C,'01. TH'!F$4)</f>
        <v>0</v>
      </c>
      <c r="G99" s="126">
        <f>COUNTIFS('TỔNG KLH + TN'!$B:$B,'01. TH'!$B99,'TỔNG KLH + TN'!$C:$C,'01. TH'!G$4)</f>
        <v>0</v>
      </c>
      <c r="H99" s="126">
        <f>COUNTIFS('TỔNG KLH + TN'!$B:$B,'01. TH'!$B99,'TỔNG KLH + TN'!$C:$C,'01. TH'!H$4)</f>
        <v>0</v>
      </c>
      <c r="I99" s="126">
        <f>COUNTIFS('TỔNG KLH + TN'!$B:$B,'01. TH'!$B99,'TỔNG KLH + TN'!$C:$C,'01. TH'!I$4)</f>
        <v>0</v>
      </c>
      <c r="J99" s="126">
        <f>COUNTIFS('TỔNG KLH + TN'!$B:$B,'01. TH'!$B99,'TỔNG KLH + TN'!$C:$C,'01. TH'!J$4)</f>
        <v>0</v>
      </c>
      <c r="K99" s="126">
        <f>COUNTIFS('TỔNG KLH + TN'!$B:$B,'01. TH'!$B99,'TỔNG KLH + TN'!$C:$C,'01. TH'!K$4)</f>
        <v>0</v>
      </c>
      <c r="L99" s="126">
        <f>COUNTIFS('TỔNG KLH + TN'!$B:$B,'01. TH'!$B99,'TỔNG KLH + TN'!$C:$C,'01. TH'!L$4)</f>
        <v>0</v>
      </c>
      <c r="M99" s="126">
        <f>COUNTIFS('TỔNG KLH + TN'!$B:$B,'01. TH'!$B99,'TỔNG KLH + TN'!$C:$C,'01. TH'!M$4)</f>
        <v>0</v>
      </c>
      <c r="N99" s="126">
        <f>COUNTIFS('TỔNG KLH + TN'!$B:$B,'01. TH'!$B99,'TỔNG KLH + TN'!$C:$C,'01. TH'!N$4)</f>
        <v>0</v>
      </c>
      <c r="O99" s="126">
        <f>COUNTIFS('TỔNG KLH + TN'!$B:$B,'01. TH'!$B99,'TỔNG KLH + TN'!$C:$C,'01. TH'!O$4)</f>
        <v>0</v>
      </c>
      <c r="P99" s="126">
        <f>COUNTIFS('TỔNG KLH + TN'!$B:$B,'01. TH'!$B99,'TỔNG KLH + TN'!$C:$C,'01. TH'!P$4)</f>
        <v>0</v>
      </c>
      <c r="Q99" s="126">
        <f>COUNTIFS('TỔNG KLH + TN'!$B:$B,'01. TH'!$B99,'TỔNG KLH + TN'!$C:$C,'01. TH'!Q$4)</f>
        <v>0</v>
      </c>
      <c r="R99" s="126">
        <f>COUNTIFS('TỔNG KLH + TN'!$B:$B,'01. TH'!$B99,'TỔNG KLH + TN'!$C:$C,'01. TH'!R$4)</f>
        <v>0</v>
      </c>
      <c r="S99" s="126">
        <f>COUNTIFS('TỔNG KLH + TN'!$B:$B,'01. TH'!$B99,'TỔNG KLH + TN'!$C:$C,'01. TH'!S$4)</f>
        <v>0</v>
      </c>
      <c r="T99" s="126">
        <f>COUNTIFS('TỔNG KLH + TN'!$B:$B,'01. TH'!$B99,'TỔNG KLH + TN'!$C:$C,'01. TH'!T$4)</f>
        <v>0</v>
      </c>
      <c r="U99" s="126">
        <f>COUNTIFS('TỔNG KLH + TN'!$B:$B,'01. TH'!$B99,'TỔNG KLH + TN'!$C:$C,'01. TH'!U$4)</f>
        <v>0</v>
      </c>
      <c r="V99" s="126">
        <f>COUNTIFS('TỔNG KLH + TN'!$B:$B,'01. TH'!$B99,'TỔNG KLH + TN'!$C:$C,'01. TH'!V$4)</f>
        <v>0</v>
      </c>
      <c r="W99" s="126">
        <f>COUNTIFS('TỔNG KLH + TN'!$B:$B,'01. TH'!$B99,'TỔNG KLH + TN'!$C:$C,'01. TH'!W$4)</f>
        <v>0</v>
      </c>
      <c r="X99" s="126">
        <f>COUNTIFS('TỔNG KLH + TN'!$B:$B,'01. TH'!$B99,'TỔNG KLH + TN'!$C:$C,'01. TH'!X$4)</f>
        <v>0</v>
      </c>
      <c r="Y99" s="126">
        <f>COUNTIFS('TỔNG KLH + TN'!$B:$B,'01. TH'!$B99,'TỔNG KLH + TN'!$C:$C,'01. TH'!Y$4)</f>
        <v>0</v>
      </c>
      <c r="Z99" s="126">
        <f>COUNTIFS('TỔNG KLH + TN'!$B:$B,'01. TH'!$B99,'TỔNG KLH + TN'!$C:$C,'01. TH'!Z$4)</f>
        <v>0</v>
      </c>
      <c r="AA99" s="126">
        <f>COUNTIFS('TỔNG KLH + TN'!$B:$B,'01. TH'!$B99,'TỔNG KLH + TN'!$C:$C,'01. TH'!AA$4)</f>
        <v>0</v>
      </c>
      <c r="AB99" s="126">
        <f>COUNTIFS('TỔNG KLH + TN'!$B:$B,'01. TH'!$B99,'TỔNG KLH + TN'!$C:$C,'01. TH'!AB$4)</f>
        <v>0</v>
      </c>
      <c r="AC99" s="126">
        <f>COUNTIFS('TỔNG KLH + TN'!$B:$B,'01. TH'!$B99,'TỔNG KLH + TN'!$C:$C,'01. TH'!AC$4)</f>
        <v>0</v>
      </c>
      <c r="AD99" s="126">
        <f>COUNTIFS('TỔNG KLH + TN'!$B:$B,'01. TH'!$B99,'TỔNG KLH + TN'!$C:$C,'01. TH'!AD$4)</f>
        <v>0</v>
      </c>
      <c r="AE99" s="162">
        <f t="shared" si="23"/>
        <v>0</v>
      </c>
      <c r="AF99" s="162"/>
      <c r="AG99" s="70"/>
      <c r="AH99" s="163"/>
    </row>
    <row r="100" ht="18.75" hidden="1" customHeight="1" outlineLevel="1">
      <c r="A100" s="121"/>
      <c r="B100" s="122" t="s">
        <v>720</v>
      </c>
      <c r="C100" s="123" t="s">
        <v>705</v>
      </c>
      <c r="D100" s="124" t="str">
        <f>IFERROR(VLOOKUP(B100,'Danh mục'!$G:$U,15,0),"")</f>
        <v>4200 x 2600 x 2900</v>
      </c>
      <c r="E100" s="124" t="s">
        <v>108</v>
      </c>
      <c r="F100" s="126">
        <f>COUNTIFS('TỔNG KLH + TN'!$B:$B,'01. TH'!$B100,'TỔNG KLH + TN'!$C:$C,'01. TH'!F$4)</f>
        <v>0</v>
      </c>
      <c r="G100" s="126">
        <f>COUNTIFS('TỔNG KLH + TN'!$B:$B,'01. TH'!$B100,'TỔNG KLH + TN'!$C:$C,'01. TH'!G$4)</f>
        <v>1</v>
      </c>
      <c r="H100" s="126">
        <f>COUNTIFS('TỔNG KLH + TN'!$B:$B,'01. TH'!$B100,'TỔNG KLH + TN'!$C:$C,'01. TH'!H$4)</f>
        <v>0</v>
      </c>
      <c r="I100" s="126">
        <f>COUNTIFS('TỔNG KLH + TN'!$B:$B,'01. TH'!$B100,'TỔNG KLH + TN'!$C:$C,'01. TH'!I$4)</f>
        <v>0</v>
      </c>
      <c r="J100" s="126">
        <f>COUNTIFS('TỔNG KLH + TN'!$B:$B,'01. TH'!$B100,'TỔNG KLH + TN'!$C:$C,'01. TH'!J$4)</f>
        <v>0</v>
      </c>
      <c r="K100" s="126">
        <f>COUNTIFS('TỔNG KLH + TN'!$B:$B,'01. TH'!$B100,'TỔNG KLH + TN'!$C:$C,'01. TH'!K$4)</f>
        <v>0</v>
      </c>
      <c r="L100" s="126">
        <f>COUNTIFS('TỔNG KLH + TN'!$B:$B,'01. TH'!$B100,'TỔNG KLH + TN'!$C:$C,'01. TH'!L$4)</f>
        <v>0</v>
      </c>
      <c r="M100" s="126">
        <f>COUNTIFS('TỔNG KLH + TN'!$B:$B,'01. TH'!$B100,'TỔNG KLH + TN'!$C:$C,'01. TH'!M$4)</f>
        <v>0</v>
      </c>
      <c r="N100" s="126">
        <f>COUNTIFS('TỔNG KLH + TN'!$B:$B,'01. TH'!$B100,'TỔNG KLH + TN'!$C:$C,'01. TH'!N$4)</f>
        <v>0</v>
      </c>
      <c r="O100" s="126">
        <f>COUNTIFS('TỔNG KLH + TN'!$B:$B,'01. TH'!$B100,'TỔNG KLH + TN'!$C:$C,'01. TH'!O$4)</f>
        <v>0</v>
      </c>
      <c r="P100" s="126">
        <f>COUNTIFS('TỔNG KLH + TN'!$B:$B,'01. TH'!$B100,'TỔNG KLH + TN'!$C:$C,'01. TH'!P$4)</f>
        <v>0</v>
      </c>
      <c r="Q100" s="126">
        <f>COUNTIFS('TỔNG KLH + TN'!$B:$B,'01. TH'!$B100,'TỔNG KLH + TN'!$C:$C,'01. TH'!Q$4)</f>
        <v>0</v>
      </c>
      <c r="R100" s="126">
        <f>COUNTIFS('TỔNG KLH + TN'!$B:$B,'01. TH'!$B100,'TỔNG KLH + TN'!$C:$C,'01. TH'!R$4)</f>
        <v>0</v>
      </c>
      <c r="S100" s="126">
        <f>COUNTIFS('TỔNG KLH + TN'!$B:$B,'01. TH'!$B100,'TỔNG KLH + TN'!$C:$C,'01. TH'!S$4)</f>
        <v>0</v>
      </c>
      <c r="T100" s="126">
        <f>COUNTIFS('TỔNG KLH + TN'!$B:$B,'01. TH'!$B100,'TỔNG KLH + TN'!$C:$C,'01. TH'!T$4)</f>
        <v>0</v>
      </c>
      <c r="U100" s="126">
        <f>COUNTIFS('TỔNG KLH + TN'!$B:$B,'01. TH'!$B100,'TỔNG KLH + TN'!$C:$C,'01. TH'!U$4)</f>
        <v>0</v>
      </c>
      <c r="V100" s="126">
        <f>COUNTIFS('TỔNG KLH + TN'!$B:$B,'01. TH'!$B100,'TỔNG KLH + TN'!$C:$C,'01. TH'!V$4)</f>
        <v>0</v>
      </c>
      <c r="W100" s="126">
        <f>COUNTIFS('TỔNG KLH + TN'!$B:$B,'01. TH'!$B100,'TỔNG KLH + TN'!$C:$C,'01. TH'!W$4)</f>
        <v>0</v>
      </c>
      <c r="X100" s="126">
        <f>COUNTIFS('TỔNG KLH + TN'!$B:$B,'01. TH'!$B100,'TỔNG KLH + TN'!$C:$C,'01. TH'!X$4)</f>
        <v>0</v>
      </c>
      <c r="Y100" s="126">
        <f>COUNTIFS('TỔNG KLH + TN'!$B:$B,'01. TH'!$B100,'TỔNG KLH + TN'!$C:$C,'01. TH'!Y$4)</f>
        <v>0</v>
      </c>
      <c r="Z100" s="126">
        <f>COUNTIFS('TỔNG KLH + TN'!$B:$B,'01. TH'!$B100,'TỔNG KLH + TN'!$C:$C,'01. TH'!Z$4)</f>
        <v>0</v>
      </c>
      <c r="AA100" s="126">
        <f>COUNTIFS('TỔNG KLH + TN'!$B:$B,'01. TH'!$B100,'TỔNG KLH + TN'!$C:$C,'01. TH'!AA$4)</f>
        <v>0</v>
      </c>
      <c r="AB100" s="126">
        <f>COUNTIFS('TỔNG KLH + TN'!$B:$B,'01. TH'!$B100,'TỔNG KLH + TN'!$C:$C,'01. TH'!AB$4)</f>
        <v>0</v>
      </c>
      <c r="AC100" s="126">
        <f>COUNTIFS('TỔNG KLH + TN'!$B:$B,'01. TH'!$B100,'TỔNG KLH + TN'!$C:$C,'01. TH'!AC$4)</f>
        <v>0</v>
      </c>
      <c r="AD100" s="126">
        <f>COUNTIFS('TỔNG KLH + TN'!$B:$B,'01. TH'!$B100,'TỔNG KLH + TN'!$C:$C,'01. TH'!AD$4)</f>
        <v>0</v>
      </c>
      <c r="AE100" s="136">
        <f t="shared" si="23"/>
        <v>1</v>
      </c>
      <c r="AF100" s="136"/>
      <c r="AG100" s="70" t="str">
        <f t="shared" ref="AG100:AG282" si="24">IF(AE100=SUM(F100:AD100),"ok","SAI")</f>
        <v>ok</v>
      </c>
      <c r="AH100" s="124"/>
    </row>
    <row r="101" ht="18.75" hidden="1" customHeight="1" outlineLevel="1">
      <c r="A101" s="159"/>
      <c r="B101" s="122" t="s">
        <v>726</v>
      </c>
      <c r="C101" s="123" t="s">
        <v>705</v>
      </c>
      <c r="D101" s="124" t="str">
        <f>IFERROR(VLOOKUP(B101,'Danh mục'!$G:$U,15,0),"")</f>
        <v>4780 x 2030 x 2840</v>
      </c>
      <c r="E101" s="124" t="s">
        <v>108</v>
      </c>
      <c r="F101" s="126">
        <f>COUNTIFS('TỔNG KLH + TN'!$B:$B,'01. TH'!$B101,'TỔNG KLH + TN'!$C:$C,'01. TH'!F$4)</f>
        <v>0</v>
      </c>
      <c r="G101" s="126">
        <f>COUNTIFS('TỔNG KLH + TN'!$B:$B,'01. TH'!$B101,'TỔNG KLH + TN'!$C:$C,'01. TH'!G$4)</f>
        <v>2</v>
      </c>
      <c r="H101" s="126">
        <f>COUNTIFS('TỔNG KLH + TN'!$B:$B,'01. TH'!$B101,'TỔNG KLH + TN'!$C:$C,'01. TH'!H$4)</f>
        <v>0</v>
      </c>
      <c r="I101" s="126">
        <f>COUNTIFS('TỔNG KLH + TN'!$B:$B,'01. TH'!$B101,'TỔNG KLH + TN'!$C:$C,'01. TH'!I$4)</f>
        <v>0</v>
      </c>
      <c r="J101" s="126">
        <f>COUNTIFS('TỔNG KLH + TN'!$B:$B,'01. TH'!$B101,'TỔNG KLH + TN'!$C:$C,'01. TH'!J$4)</f>
        <v>0</v>
      </c>
      <c r="K101" s="126">
        <f>COUNTIFS('TỔNG KLH + TN'!$B:$B,'01. TH'!$B101,'TỔNG KLH + TN'!$C:$C,'01. TH'!K$4)</f>
        <v>0</v>
      </c>
      <c r="L101" s="126">
        <f>COUNTIFS('TỔNG KLH + TN'!$B:$B,'01. TH'!$B101,'TỔNG KLH + TN'!$C:$C,'01. TH'!L$4)</f>
        <v>0</v>
      </c>
      <c r="M101" s="126">
        <f>COUNTIFS('TỔNG KLH + TN'!$B:$B,'01. TH'!$B101,'TỔNG KLH + TN'!$C:$C,'01. TH'!M$4)</f>
        <v>0</v>
      </c>
      <c r="N101" s="126">
        <f>COUNTIFS('TỔNG KLH + TN'!$B:$B,'01. TH'!$B101,'TỔNG KLH + TN'!$C:$C,'01. TH'!N$4)</f>
        <v>0</v>
      </c>
      <c r="O101" s="126">
        <f>COUNTIFS('TỔNG KLH + TN'!$B:$B,'01. TH'!$B101,'TỔNG KLH + TN'!$C:$C,'01. TH'!O$4)</f>
        <v>0</v>
      </c>
      <c r="P101" s="126">
        <f>COUNTIFS('TỔNG KLH + TN'!$B:$B,'01. TH'!$B101,'TỔNG KLH + TN'!$C:$C,'01. TH'!P$4)</f>
        <v>1</v>
      </c>
      <c r="Q101" s="126">
        <f>COUNTIFS('TỔNG KLH + TN'!$B:$B,'01. TH'!$B101,'TỔNG KLH + TN'!$C:$C,'01. TH'!Q$4)</f>
        <v>0</v>
      </c>
      <c r="R101" s="126">
        <f>COUNTIFS('TỔNG KLH + TN'!$B:$B,'01. TH'!$B101,'TỔNG KLH + TN'!$C:$C,'01. TH'!R$4)</f>
        <v>0</v>
      </c>
      <c r="S101" s="126">
        <f>COUNTIFS('TỔNG KLH + TN'!$B:$B,'01. TH'!$B101,'TỔNG KLH + TN'!$C:$C,'01. TH'!S$4)</f>
        <v>0</v>
      </c>
      <c r="T101" s="126">
        <f>COUNTIFS('TỔNG KLH + TN'!$B:$B,'01. TH'!$B101,'TỔNG KLH + TN'!$C:$C,'01. TH'!T$4)</f>
        <v>0</v>
      </c>
      <c r="U101" s="126">
        <f>COUNTIFS('TỔNG KLH + TN'!$B:$B,'01. TH'!$B101,'TỔNG KLH + TN'!$C:$C,'01. TH'!U$4)</f>
        <v>0</v>
      </c>
      <c r="V101" s="126">
        <f>COUNTIFS('TỔNG KLH + TN'!$B:$B,'01. TH'!$B101,'TỔNG KLH + TN'!$C:$C,'01. TH'!V$4)</f>
        <v>0</v>
      </c>
      <c r="W101" s="126">
        <f>COUNTIFS('TỔNG KLH + TN'!$B:$B,'01. TH'!$B101,'TỔNG KLH + TN'!$C:$C,'01. TH'!W$4)</f>
        <v>0</v>
      </c>
      <c r="X101" s="126">
        <f>COUNTIFS('TỔNG KLH + TN'!$B:$B,'01. TH'!$B101,'TỔNG KLH + TN'!$C:$C,'01. TH'!X$4)</f>
        <v>0</v>
      </c>
      <c r="Y101" s="126">
        <f>COUNTIFS('TỔNG KLH + TN'!$B:$B,'01. TH'!$B101,'TỔNG KLH + TN'!$C:$C,'01. TH'!Y$4)</f>
        <v>0</v>
      </c>
      <c r="Z101" s="126">
        <f>COUNTIFS('TỔNG KLH + TN'!$B:$B,'01. TH'!$B101,'TỔNG KLH + TN'!$C:$C,'01. TH'!Z$4)</f>
        <v>0</v>
      </c>
      <c r="AA101" s="126">
        <f>COUNTIFS('TỔNG KLH + TN'!$B:$B,'01. TH'!$B101,'TỔNG KLH + TN'!$C:$C,'01. TH'!AA$4)</f>
        <v>0</v>
      </c>
      <c r="AB101" s="126">
        <f>COUNTIFS('TỔNG KLH + TN'!$B:$B,'01. TH'!$B101,'TỔNG KLH + TN'!$C:$C,'01. TH'!AB$4)</f>
        <v>0</v>
      </c>
      <c r="AC101" s="126">
        <f>COUNTIFS('TỔNG KLH + TN'!$B:$B,'01. TH'!$B101,'TỔNG KLH + TN'!$C:$C,'01. TH'!AC$4)</f>
        <v>0</v>
      </c>
      <c r="AD101" s="126">
        <f>COUNTIFS('TỔNG KLH + TN'!$B:$B,'01. TH'!$B101,'TỔNG KLH + TN'!$C:$C,'01. TH'!AD$4)</f>
        <v>0</v>
      </c>
      <c r="AE101" s="162">
        <f t="shared" si="23"/>
        <v>3</v>
      </c>
      <c r="AF101" s="162"/>
      <c r="AG101" s="70" t="str">
        <f t="shared" si="24"/>
        <v>ok</v>
      </c>
      <c r="AH101" s="163"/>
    </row>
    <row r="102" ht="18.75" hidden="1" customHeight="1" outlineLevel="1">
      <c r="A102" s="121"/>
      <c r="B102" s="122" t="s">
        <v>817</v>
      </c>
      <c r="C102" s="123" t="s">
        <v>705</v>
      </c>
      <c r="D102" s="124" t="str">
        <f>IFERROR(VLOOKUP(B102,'Danh mục'!$G:$U,15,0),"")</f>
        <v>4800 x 2150 x 2970</v>
      </c>
      <c r="E102" s="124" t="s">
        <v>108</v>
      </c>
      <c r="F102" s="126">
        <f>COUNTIFS('TỔNG KLH + TN'!$B:$B,'01. TH'!$B102,'TỔNG KLH + TN'!$C:$C,'01. TH'!F$4)</f>
        <v>0</v>
      </c>
      <c r="G102" s="126">
        <f>COUNTIFS('TỔNG KLH + TN'!$B:$B,'01. TH'!$B102,'TỔNG KLH + TN'!$C:$C,'01. TH'!G$4)</f>
        <v>0</v>
      </c>
      <c r="H102" s="126">
        <f>COUNTIFS('TỔNG KLH + TN'!$B:$B,'01. TH'!$B102,'TỔNG KLH + TN'!$C:$C,'01. TH'!H$4)</f>
        <v>0</v>
      </c>
      <c r="I102" s="126">
        <f>COUNTIFS('TỔNG KLH + TN'!$B:$B,'01. TH'!$B102,'TỔNG KLH + TN'!$C:$C,'01. TH'!I$4)</f>
        <v>0</v>
      </c>
      <c r="J102" s="126">
        <f>COUNTIFS('TỔNG KLH + TN'!$B:$B,'01. TH'!$B102,'TỔNG KLH + TN'!$C:$C,'01. TH'!J$4)</f>
        <v>0</v>
      </c>
      <c r="K102" s="126">
        <f>COUNTIFS('TỔNG KLH + TN'!$B:$B,'01. TH'!$B102,'TỔNG KLH + TN'!$C:$C,'01. TH'!K$4)</f>
        <v>0</v>
      </c>
      <c r="L102" s="126">
        <f>COUNTIFS('TỔNG KLH + TN'!$B:$B,'01. TH'!$B102,'TỔNG KLH + TN'!$C:$C,'01. TH'!L$4)</f>
        <v>0</v>
      </c>
      <c r="M102" s="126">
        <f>COUNTIFS('TỔNG KLH + TN'!$B:$B,'01. TH'!$B102,'TỔNG KLH + TN'!$C:$C,'01. TH'!M$4)</f>
        <v>0</v>
      </c>
      <c r="N102" s="126">
        <f>COUNTIFS('TỔNG KLH + TN'!$B:$B,'01. TH'!$B102,'TỔNG KLH + TN'!$C:$C,'01. TH'!N$4)</f>
        <v>0</v>
      </c>
      <c r="O102" s="126">
        <f>COUNTIFS('TỔNG KLH + TN'!$B:$B,'01. TH'!$B102,'TỔNG KLH + TN'!$C:$C,'01. TH'!O$4)</f>
        <v>0</v>
      </c>
      <c r="P102" s="126">
        <f>COUNTIFS('TỔNG KLH + TN'!$B:$B,'01. TH'!$B102,'TỔNG KLH + TN'!$C:$C,'01. TH'!P$4)</f>
        <v>1</v>
      </c>
      <c r="Q102" s="126">
        <f>COUNTIFS('TỔNG KLH + TN'!$B:$B,'01. TH'!$B102,'TỔNG KLH + TN'!$C:$C,'01. TH'!Q$4)</f>
        <v>0</v>
      </c>
      <c r="R102" s="126">
        <f>COUNTIFS('TỔNG KLH + TN'!$B:$B,'01. TH'!$B102,'TỔNG KLH + TN'!$C:$C,'01. TH'!R$4)</f>
        <v>0</v>
      </c>
      <c r="S102" s="126">
        <f>COUNTIFS('TỔNG KLH + TN'!$B:$B,'01. TH'!$B102,'TỔNG KLH + TN'!$C:$C,'01. TH'!S$4)</f>
        <v>0</v>
      </c>
      <c r="T102" s="126">
        <f>COUNTIFS('TỔNG KLH + TN'!$B:$B,'01. TH'!$B102,'TỔNG KLH + TN'!$C:$C,'01. TH'!T$4)</f>
        <v>0</v>
      </c>
      <c r="U102" s="126">
        <f>COUNTIFS('TỔNG KLH + TN'!$B:$B,'01. TH'!$B102,'TỔNG KLH + TN'!$C:$C,'01. TH'!U$4)</f>
        <v>0</v>
      </c>
      <c r="V102" s="126">
        <f>COUNTIFS('TỔNG KLH + TN'!$B:$B,'01. TH'!$B102,'TỔNG KLH + TN'!$C:$C,'01. TH'!V$4)</f>
        <v>0</v>
      </c>
      <c r="W102" s="126">
        <f>COUNTIFS('TỔNG KLH + TN'!$B:$B,'01. TH'!$B102,'TỔNG KLH + TN'!$C:$C,'01. TH'!W$4)</f>
        <v>0</v>
      </c>
      <c r="X102" s="126">
        <f>COUNTIFS('TỔNG KLH + TN'!$B:$B,'01. TH'!$B102,'TỔNG KLH + TN'!$C:$C,'01. TH'!X$4)</f>
        <v>0</v>
      </c>
      <c r="Y102" s="126">
        <f>COUNTIFS('TỔNG KLH + TN'!$B:$B,'01. TH'!$B102,'TỔNG KLH + TN'!$C:$C,'01. TH'!Y$4)</f>
        <v>0</v>
      </c>
      <c r="Z102" s="126">
        <f>COUNTIFS('TỔNG KLH + TN'!$B:$B,'01. TH'!$B102,'TỔNG KLH + TN'!$C:$C,'01. TH'!Z$4)</f>
        <v>0</v>
      </c>
      <c r="AA102" s="126">
        <f>COUNTIFS('TỔNG KLH + TN'!$B:$B,'01. TH'!$B102,'TỔNG KLH + TN'!$C:$C,'01. TH'!AA$4)</f>
        <v>0</v>
      </c>
      <c r="AB102" s="126">
        <f>COUNTIFS('TỔNG KLH + TN'!$B:$B,'01. TH'!$B102,'TỔNG KLH + TN'!$C:$C,'01. TH'!AB$4)</f>
        <v>0</v>
      </c>
      <c r="AC102" s="126">
        <f>COUNTIFS('TỔNG KLH + TN'!$B:$B,'01. TH'!$B102,'TỔNG KLH + TN'!$C:$C,'01. TH'!AC$4)</f>
        <v>0</v>
      </c>
      <c r="AD102" s="126">
        <f>COUNTIFS('TỔNG KLH + TN'!$B:$B,'01. TH'!$B102,'TỔNG KLH + TN'!$C:$C,'01. TH'!AD$4)</f>
        <v>0</v>
      </c>
      <c r="AE102" s="136">
        <f t="shared" si="23"/>
        <v>1</v>
      </c>
      <c r="AF102" s="136"/>
      <c r="AG102" s="70" t="str">
        <f t="shared" si="24"/>
        <v>ok</v>
      </c>
      <c r="AH102" s="124"/>
    </row>
    <row r="103" ht="18.75" hidden="1" customHeight="1" outlineLevel="1">
      <c r="A103" s="159"/>
      <c r="B103" s="122" t="s">
        <v>811</v>
      </c>
      <c r="C103" s="123" t="s">
        <v>705</v>
      </c>
      <c r="D103" s="124" t="str">
        <f>IFERROR(VLOOKUP(B103,'Danh mục'!$G:$U,15,0),"")</f>
        <v>4890 x 2260 x 2880</v>
      </c>
      <c r="E103" s="124" t="s">
        <v>108</v>
      </c>
      <c r="F103" s="126">
        <f>COUNTIFS('TỔNG KLH + TN'!$B:$B,'01. TH'!$B103,'TỔNG KLH + TN'!$C:$C,'01. TH'!F$4)</f>
        <v>0</v>
      </c>
      <c r="G103" s="126">
        <f>COUNTIFS('TỔNG KLH + TN'!$B:$B,'01. TH'!$B103,'TỔNG KLH + TN'!$C:$C,'01. TH'!G$4)</f>
        <v>0</v>
      </c>
      <c r="H103" s="126">
        <f>COUNTIFS('TỔNG KLH + TN'!$B:$B,'01. TH'!$B103,'TỔNG KLH + TN'!$C:$C,'01. TH'!H$4)</f>
        <v>0</v>
      </c>
      <c r="I103" s="126">
        <f>COUNTIFS('TỔNG KLH + TN'!$B:$B,'01. TH'!$B103,'TỔNG KLH + TN'!$C:$C,'01. TH'!I$4)</f>
        <v>0</v>
      </c>
      <c r="J103" s="126">
        <f>COUNTIFS('TỔNG KLH + TN'!$B:$B,'01. TH'!$B103,'TỔNG KLH + TN'!$C:$C,'01. TH'!J$4)</f>
        <v>0</v>
      </c>
      <c r="K103" s="126">
        <f>COUNTIFS('TỔNG KLH + TN'!$B:$B,'01. TH'!$B103,'TỔNG KLH + TN'!$C:$C,'01. TH'!K$4)</f>
        <v>0</v>
      </c>
      <c r="L103" s="126">
        <f>COUNTIFS('TỔNG KLH + TN'!$B:$B,'01. TH'!$B103,'TỔNG KLH + TN'!$C:$C,'01. TH'!L$4)</f>
        <v>0</v>
      </c>
      <c r="M103" s="126">
        <f>COUNTIFS('TỔNG KLH + TN'!$B:$B,'01. TH'!$B103,'TỔNG KLH + TN'!$C:$C,'01. TH'!M$4)</f>
        <v>0</v>
      </c>
      <c r="N103" s="126">
        <f>COUNTIFS('TỔNG KLH + TN'!$B:$B,'01. TH'!$B103,'TỔNG KLH + TN'!$C:$C,'01. TH'!N$4)</f>
        <v>0</v>
      </c>
      <c r="O103" s="126">
        <f>COUNTIFS('TỔNG KLH + TN'!$B:$B,'01. TH'!$B103,'TỔNG KLH + TN'!$C:$C,'01. TH'!O$4)</f>
        <v>0</v>
      </c>
      <c r="P103" s="126">
        <f>COUNTIFS('TỔNG KLH + TN'!$B:$B,'01. TH'!$B103,'TỔNG KLH + TN'!$C:$C,'01. TH'!P$4)</f>
        <v>1</v>
      </c>
      <c r="Q103" s="126">
        <f>COUNTIFS('TỔNG KLH + TN'!$B:$B,'01. TH'!$B103,'TỔNG KLH + TN'!$C:$C,'01. TH'!Q$4)</f>
        <v>0</v>
      </c>
      <c r="R103" s="126">
        <f>COUNTIFS('TỔNG KLH + TN'!$B:$B,'01. TH'!$B103,'TỔNG KLH + TN'!$C:$C,'01. TH'!R$4)</f>
        <v>0</v>
      </c>
      <c r="S103" s="126">
        <f>COUNTIFS('TỔNG KLH + TN'!$B:$B,'01. TH'!$B103,'TỔNG KLH + TN'!$C:$C,'01. TH'!S$4)</f>
        <v>0</v>
      </c>
      <c r="T103" s="126">
        <f>COUNTIFS('TỔNG KLH + TN'!$B:$B,'01. TH'!$B103,'TỔNG KLH + TN'!$C:$C,'01. TH'!T$4)</f>
        <v>0</v>
      </c>
      <c r="U103" s="126">
        <f>COUNTIFS('TỔNG KLH + TN'!$B:$B,'01. TH'!$B103,'TỔNG KLH + TN'!$C:$C,'01. TH'!U$4)</f>
        <v>0</v>
      </c>
      <c r="V103" s="126">
        <f>COUNTIFS('TỔNG KLH + TN'!$B:$B,'01. TH'!$B103,'TỔNG KLH + TN'!$C:$C,'01. TH'!V$4)</f>
        <v>0</v>
      </c>
      <c r="W103" s="126">
        <f>COUNTIFS('TỔNG KLH + TN'!$B:$B,'01. TH'!$B103,'TỔNG KLH + TN'!$C:$C,'01. TH'!W$4)</f>
        <v>0</v>
      </c>
      <c r="X103" s="126">
        <f>COUNTIFS('TỔNG KLH + TN'!$B:$B,'01. TH'!$B103,'TỔNG KLH + TN'!$C:$C,'01. TH'!X$4)</f>
        <v>0</v>
      </c>
      <c r="Y103" s="126">
        <f>COUNTIFS('TỔNG KLH + TN'!$B:$B,'01. TH'!$B103,'TỔNG KLH + TN'!$C:$C,'01. TH'!Y$4)</f>
        <v>0</v>
      </c>
      <c r="Z103" s="126">
        <f>COUNTIFS('TỔNG KLH + TN'!$B:$B,'01. TH'!$B103,'TỔNG KLH + TN'!$C:$C,'01. TH'!Z$4)</f>
        <v>0</v>
      </c>
      <c r="AA103" s="126">
        <f>COUNTIFS('TỔNG KLH + TN'!$B:$B,'01. TH'!$B103,'TỔNG KLH + TN'!$C:$C,'01. TH'!AA$4)</f>
        <v>0</v>
      </c>
      <c r="AB103" s="126">
        <f>COUNTIFS('TỔNG KLH + TN'!$B:$B,'01. TH'!$B103,'TỔNG KLH + TN'!$C:$C,'01. TH'!AB$4)</f>
        <v>0</v>
      </c>
      <c r="AC103" s="126">
        <f>COUNTIFS('TỔNG KLH + TN'!$B:$B,'01. TH'!$B103,'TỔNG KLH + TN'!$C:$C,'01. TH'!AC$4)</f>
        <v>0</v>
      </c>
      <c r="AD103" s="126">
        <f>COUNTIFS('TỔNG KLH + TN'!$B:$B,'01. TH'!$B103,'TỔNG KLH + TN'!$C:$C,'01. TH'!AD$4)</f>
        <v>0</v>
      </c>
      <c r="AE103" s="162">
        <f t="shared" si="23"/>
        <v>1</v>
      </c>
      <c r="AF103" s="162"/>
      <c r="AG103" s="70" t="str">
        <f t="shared" si="24"/>
        <v>ok</v>
      </c>
      <c r="AH103" s="163"/>
    </row>
    <row r="104" ht="18.75" hidden="1" customHeight="1" outlineLevel="1">
      <c r="A104" s="159"/>
      <c r="B104" s="122" t="s">
        <v>701</v>
      </c>
      <c r="C104" s="123" t="s">
        <v>705</v>
      </c>
      <c r="D104" s="124" t="str">
        <f>IFERROR(VLOOKUP(B104,'Danh mục'!$G:$U,15,0),"")</f>
        <v>4100 x 2100 x 2600</v>
      </c>
      <c r="E104" s="124" t="s">
        <v>108</v>
      </c>
      <c r="F104" s="126">
        <f>COUNTIFS('TỔNG KLH + TN'!$B:$B,'01. TH'!$B104,'TỔNG KLH + TN'!$C:$C,'01. TH'!F$4)</f>
        <v>0</v>
      </c>
      <c r="G104" s="126">
        <f>COUNTIFS('TỔNG KLH + TN'!$B:$B,'01. TH'!$B104,'TỔNG KLH + TN'!$C:$C,'01. TH'!G$4)</f>
        <v>1</v>
      </c>
      <c r="H104" s="126">
        <f>COUNTIFS('TỔNG KLH + TN'!$B:$B,'01. TH'!$B104,'TỔNG KLH + TN'!$C:$C,'01. TH'!H$4)</f>
        <v>0</v>
      </c>
      <c r="I104" s="126">
        <f>COUNTIFS('TỔNG KLH + TN'!$B:$B,'01. TH'!$B104,'TỔNG KLH + TN'!$C:$C,'01. TH'!I$4)</f>
        <v>0</v>
      </c>
      <c r="J104" s="126">
        <f>COUNTIFS('TỔNG KLH + TN'!$B:$B,'01. TH'!$B104,'TỔNG KLH + TN'!$C:$C,'01. TH'!J$4)</f>
        <v>0</v>
      </c>
      <c r="K104" s="126">
        <f>COUNTIFS('TỔNG KLH + TN'!$B:$B,'01. TH'!$B104,'TỔNG KLH + TN'!$C:$C,'01. TH'!K$4)</f>
        <v>0</v>
      </c>
      <c r="L104" s="126">
        <f>COUNTIFS('TỔNG KLH + TN'!$B:$B,'01. TH'!$B104,'TỔNG KLH + TN'!$C:$C,'01. TH'!L$4)</f>
        <v>0</v>
      </c>
      <c r="M104" s="126">
        <f>COUNTIFS('TỔNG KLH + TN'!$B:$B,'01. TH'!$B104,'TỔNG KLH + TN'!$C:$C,'01. TH'!M$4)</f>
        <v>0</v>
      </c>
      <c r="N104" s="126">
        <f>COUNTIFS('TỔNG KLH + TN'!$B:$B,'01. TH'!$B104,'TỔNG KLH + TN'!$C:$C,'01. TH'!N$4)</f>
        <v>0</v>
      </c>
      <c r="O104" s="126">
        <f>COUNTIFS('TỔNG KLH + TN'!$B:$B,'01. TH'!$B104,'TỔNG KLH + TN'!$C:$C,'01. TH'!O$4)</f>
        <v>0</v>
      </c>
      <c r="P104" s="126">
        <f>COUNTIFS('TỔNG KLH + TN'!$B:$B,'01. TH'!$B104,'TỔNG KLH + TN'!$C:$C,'01. TH'!P$4)</f>
        <v>1</v>
      </c>
      <c r="Q104" s="126">
        <f>COUNTIFS('TỔNG KLH + TN'!$B:$B,'01. TH'!$B104,'TỔNG KLH + TN'!$C:$C,'01. TH'!Q$4)</f>
        <v>0</v>
      </c>
      <c r="R104" s="126">
        <f>COUNTIFS('TỔNG KLH + TN'!$B:$B,'01. TH'!$B104,'TỔNG KLH + TN'!$C:$C,'01. TH'!R$4)</f>
        <v>0</v>
      </c>
      <c r="S104" s="126">
        <f>COUNTIFS('TỔNG KLH + TN'!$B:$B,'01. TH'!$B104,'TỔNG KLH + TN'!$C:$C,'01. TH'!S$4)</f>
        <v>0</v>
      </c>
      <c r="T104" s="126">
        <f>COUNTIFS('TỔNG KLH + TN'!$B:$B,'01. TH'!$B104,'TỔNG KLH + TN'!$C:$C,'01. TH'!T$4)</f>
        <v>0</v>
      </c>
      <c r="U104" s="126">
        <f>COUNTIFS('TỔNG KLH + TN'!$B:$B,'01. TH'!$B104,'TỔNG KLH + TN'!$C:$C,'01. TH'!U$4)</f>
        <v>3</v>
      </c>
      <c r="V104" s="126">
        <f>COUNTIFS('TỔNG KLH + TN'!$B:$B,'01. TH'!$B104,'TỔNG KLH + TN'!$C:$C,'01. TH'!V$4)</f>
        <v>0</v>
      </c>
      <c r="W104" s="126">
        <f>COUNTIFS('TỔNG KLH + TN'!$B:$B,'01. TH'!$B104,'TỔNG KLH + TN'!$C:$C,'01. TH'!W$4)</f>
        <v>0</v>
      </c>
      <c r="X104" s="126">
        <f>COUNTIFS('TỔNG KLH + TN'!$B:$B,'01. TH'!$B104,'TỔNG KLH + TN'!$C:$C,'01. TH'!X$4)</f>
        <v>0</v>
      </c>
      <c r="Y104" s="126">
        <f>COUNTIFS('TỔNG KLH + TN'!$B:$B,'01. TH'!$B104,'TỔNG KLH + TN'!$C:$C,'01. TH'!Y$4)</f>
        <v>0</v>
      </c>
      <c r="Z104" s="126">
        <f>COUNTIFS('TỔNG KLH + TN'!$B:$B,'01. TH'!$B104,'TỔNG KLH + TN'!$C:$C,'01. TH'!Z$4)</f>
        <v>0</v>
      </c>
      <c r="AA104" s="126">
        <f>COUNTIFS('TỔNG KLH + TN'!$B:$B,'01. TH'!$B104,'TỔNG KLH + TN'!$C:$C,'01. TH'!AA$4)</f>
        <v>0</v>
      </c>
      <c r="AB104" s="126">
        <f>COUNTIFS('TỔNG KLH + TN'!$B:$B,'01. TH'!$B104,'TỔNG KLH + TN'!$C:$C,'01. TH'!AB$4)</f>
        <v>0</v>
      </c>
      <c r="AC104" s="126">
        <f>COUNTIFS('TỔNG KLH + TN'!$B:$B,'01. TH'!$B104,'TỔNG KLH + TN'!$C:$C,'01. TH'!AC$4)</f>
        <v>0</v>
      </c>
      <c r="AD104" s="126">
        <f>COUNTIFS('TỔNG KLH + TN'!$B:$B,'01. TH'!$B104,'TỔNG KLH + TN'!$C:$C,'01. TH'!AD$4)</f>
        <v>0</v>
      </c>
      <c r="AE104" s="162">
        <f t="shared" si="23"/>
        <v>5</v>
      </c>
      <c r="AF104" s="162"/>
      <c r="AG104" s="70" t="str">
        <f t="shared" si="24"/>
        <v>ok</v>
      </c>
      <c r="AH104" s="163"/>
    </row>
    <row r="105" ht="18.75" hidden="1" customHeight="1" outlineLevel="1">
      <c r="A105" s="159"/>
      <c r="B105" s="122" t="s">
        <v>1720</v>
      </c>
      <c r="C105" s="123" t="s">
        <v>705</v>
      </c>
      <c r="D105" s="124" t="str">
        <f>IFERROR(VLOOKUP(B105,'Danh mục'!$G:$U,15,0),"")</f>
        <v>3840 x 1740 x 2650</v>
      </c>
      <c r="E105" s="124" t="s">
        <v>108</v>
      </c>
      <c r="F105" s="126">
        <f>COUNTIFS('TỔNG KLH + TN'!$B:$B,'01. TH'!$B105,'TỔNG KLH + TN'!$C:$C,'01. TH'!F$4)</f>
        <v>0</v>
      </c>
      <c r="G105" s="126">
        <f>COUNTIFS('TỔNG KLH + TN'!$B:$B,'01. TH'!$B105,'TỔNG KLH + TN'!$C:$C,'01. TH'!G$4)</f>
        <v>0</v>
      </c>
      <c r="H105" s="126">
        <f>COUNTIFS('TỔNG KLH + TN'!$B:$B,'01. TH'!$B105,'TỔNG KLH + TN'!$C:$C,'01. TH'!H$4)</f>
        <v>0</v>
      </c>
      <c r="I105" s="126">
        <f>COUNTIFS('TỔNG KLH + TN'!$B:$B,'01. TH'!$B105,'TỔNG KLH + TN'!$C:$C,'01. TH'!I$4)</f>
        <v>0</v>
      </c>
      <c r="J105" s="126">
        <f>COUNTIFS('TỔNG KLH + TN'!$B:$B,'01. TH'!$B105,'TỔNG KLH + TN'!$C:$C,'01. TH'!J$4)</f>
        <v>0</v>
      </c>
      <c r="K105" s="126">
        <f>COUNTIFS('TỔNG KLH + TN'!$B:$B,'01. TH'!$B105,'TỔNG KLH + TN'!$C:$C,'01. TH'!K$4)</f>
        <v>0</v>
      </c>
      <c r="L105" s="126">
        <f>COUNTIFS('TỔNG KLH + TN'!$B:$B,'01. TH'!$B105,'TỔNG KLH + TN'!$C:$C,'01. TH'!L$4)</f>
        <v>0</v>
      </c>
      <c r="M105" s="126">
        <f>COUNTIFS('TỔNG KLH + TN'!$B:$B,'01. TH'!$B105,'TỔNG KLH + TN'!$C:$C,'01. TH'!M$4)</f>
        <v>0</v>
      </c>
      <c r="N105" s="126">
        <f>COUNTIFS('TỔNG KLH + TN'!$B:$B,'01. TH'!$B105,'TỔNG KLH + TN'!$C:$C,'01. TH'!N$4)</f>
        <v>0</v>
      </c>
      <c r="O105" s="126">
        <f>COUNTIFS('TỔNG KLH + TN'!$B:$B,'01. TH'!$B105,'TỔNG KLH + TN'!$C:$C,'01. TH'!O$4)</f>
        <v>0</v>
      </c>
      <c r="P105" s="126">
        <f>COUNTIFS('TỔNG KLH + TN'!$B:$B,'01. TH'!$B105,'TỔNG KLH + TN'!$C:$C,'01. TH'!P$4)</f>
        <v>0</v>
      </c>
      <c r="Q105" s="126">
        <f>COUNTIFS('TỔNG KLH + TN'!$B:$B,'01. TH'!$B105,'TỔNG KLH + TN'!$C:$C,'01. TH'!Q$4)</f>
        <v>0</v>
      </c>
      <c r="R105" s="126">
        <f>COUNTIFS('TỔNG KLH + TN'!$B:$B,'01. TH'!$B105,'TỔNG KLH + TN'!$C:$C,'01. TH'!R$4)</f>
        <v>0</v>
      </c>
      <c r="S105" s="126">
        <f>COUNTIFS('TỔNG KLH + TN'!$B:$B,'01. TH'!$B105,'TỔNG KLH + TN'!$C:$C,'01. TH'!S$4)</f>
        <v>0</v>
      </c>
      <c r="T105" s="126">
        <f>COUNTIFS('TỔNG KLH + TN'!$B:$B,'01. TH'!$B105,'TỔNG KLH + TN'!$C:$C,'01. TH'!T$4)</f>
        <v>0</v>
      </c>
      <c r="U105" s="126">
        <f>COUNTIFS('TỔNG KLH + TN'!$B:$B,'01. TH'!$B105,'TỔNG KLH + TN'!$C:$C,'01. TH'!U$4)</f>
        <v>1</v>
      </c>
      <c r="V105" s="126">
        <f>COUNTIFS('TỔNG KLH + TN'!$B:$B,'01. TH'!$B105,'TỔNG KLH + TN'!$C:$C,'01. TH'!V$4)</f>
        <v>0</v>
      </c>
      <c r="W105" s="126">
        <f>COUNTIFS('TỔNG KLH + TN'!$B:$B,'01. TH'!$B105,'TỔNG KLH + TN'!$C:$C,'01. TH'!W$4)</f>
        <v>0</v>
      </c>
      <c r="X105" s="126">
        <f>COUNTIFS('TỔNG KLH + TN'!$B:$B,'01. TH'!$B105,'TỔNG KLH + TN'!$C:$C,'01. TH'!X$4)</f>
        <v>0</v>
      </c>
      <c r="Y105" s="126">
        <f>COUNTIFS('TỔNG KLH + TN'!$B:$B,'01. TH'!$B105,'TỔNG KLH + TN'!$C:$C,'01. TH'!Y$4)</f>
        <v>0</v>
      </c>
      <c r="Z105" s="126">
        <f>COUNTIFS('TỔNG KLH + TN'!$B:$B,'01. TH'!$B105,'TỔNG KLH + TN'!$C:$C,'01. TH'!Z$4)</f>
        <v>0</v>
      </c>
      <c r="AA105" s="126">
        <f>COUNTIFS('TỔNG KLH + TN'!$B:$B,'01. TH'!$B105,'TỔNG KLH + TN'!$C:$C,'01. TH'!AA$4)</f>
        <v>0</v>
      </c>
      <c r="AB105" s="126">
        <f>COUNTIFS('TỔNG KLH + TN'!$B:$B,'01. TH'!$B105,'TỔNG KLH + TN'!$C:$C,'01. TH'!AB$4)</f>
        <v>0</v>
      </c>
      <c r="AC105" s="126">
        <f>COUNTIFS('TỔNG KLH + TN'!$B:$B,'01. TH'!$B105,'TỔNG KLH + TN'!$C:$C,'01. TH'!AC$4)</f>
        <v>0</v>
      </c>
      <c r="AD105" s="126">
        <f>COUNTIFS('TỔNG KLH + TN'!$B:$B,'01. TH'!$B105,'TỔNG KLH + TN'!$C:$C,'01. TH'!AD$4)</f>
        <v>0</v>
      </c>
      <c r="AE105" s="162">
        <f t="shared" si="23"/>
        <v>1</v>
      </c>
      <c r="AF105" s="162"/>
      <c r="AG105" s="70" t="str">
        <f t="shared" si="24"/>
        <v>ok</v>
      </c>
      <c r="AH105" s="163"/>
    </row>
    <row r="106" ht="18.75" hidden="1" customHeight="1" outlineLevel="1">
      <c r="A106" s="121"/>
      <c r="B106" s="122" t="s">
        <v>1712</v>
      </c>
      <c r="C106" s="123" t="s">
        <v>705</v>
      </c>
      <c r="D106" s="124" t="str">
        <f>IFERROR(VLOOKUP(B106,'Danh mục'!$G:$U,15,0),"")</f>
        <v>3510 x 1740 x 2550</v>
      </c>
      <c r="E106" s="124" t="s">
        <v>108</v>
      </c>
      <c r="F106" s="126">
        <f>COUNTIFS('TỔNG KLH + TN'!$B:$B,'01. TH'!$B106,'TỔNG KLH + TN'!$C:$C,'01. TH'!F$4)</f>
        <v>0</v>
      </c>
      <c r="G106" s="126">
        <f>COUNTIFS('TỔNG KLH + TN'!$B:$B,'01. TH'!$B106,'TỔNG KLH + TN'!$C:$C,'01. TH'!G$4)</f>
        <v>0</v>
      </c>
      <c r="H106" s="126">
        <f>COUNTIFS('TỔNG KLH + TN'!$B:$B,'01. TH'!$B106,'TỔNG KLH + TN'!$C:$C,'01. TH'!H$4)</f>
        <v>0</v>
      </c>
      <c r="I106" s="126">
        <f>COUNTIFS('TỔNG KLH + TN'!$B:$B,'01. TH'!$B106,'TỔNG KLH + TN'!$C:$C,'01. TH'!I$4)</f>
        <v>0</v>
      </c>
      <c r="J106" s="126">
        <f>COUNTIFS('TỔNG KLH + TN'!$B:$B,'01. TH'!$B106,'TỔNG KLH + TN'!$C:$C,'01. TH'!J$4)</f>
        <v>0</v>
      </c>
      <c r="K106" s="126">
        <f>COUNTIFS('TỔNG KLH + TN'!$B:$B,'01. TH'!$B106,'TỔNG KLH + TN'!$C:$C,'01. TH'!K$4)</f>
        <v>0</v>
      </c>
      <c r="L106" s="126">
        <f>COUNTIFS('TỔNG KLH + TN'!$B:$B,'01. TH'!$B106,'TỔNG KLH + TN'!$C:$C,'01. TH'!L$4)</f>
        <v>0</v>
      </c>
      <c r="M106" s="126">
        <f>COUNTIFS('TỔNG KLH + TN'!$B:$B,'01. TH'!$B106,'TỔNG KLH + TN'!$C:$C,'01. TH'!M$4)</f>
        <v>0</v>
      </c>
      <c r="N106" s="126">
        <f>COUNTIFS('TỔNG KLH + TN'!$B:$B,'01. TH'!$B106,'TỔNG KLH + TN'!$C:$C,'01. TH'!N$4)</f>
        <v>0</v>
      </c>
      <c r="O106" s="126">
        <f>COUNTIFS('TỔNG KLH + TN'!$B:$B,'01. TH'!$B106,'TỔNG KLH + TN'!$C:$C,'01. TH'!O$4)</f>
        <v>0</v>
      </c>
      <c r="P106" s="126">
        <f>COUNTIFS('TỔNG KLH + TN'!$B:$B,'01. TH'!$B106,'TỔNG KLH + TN'!$C:$C,'01. TH'!P$4)</f>
        <v>0</v>
      </c>
      <c r="Q106" s="126">
        <f>COUNTIFS('TỔNG KLH + TN'!$B:$B,'01. TH'!$B106,'TỔNG KLH + TN'!$C:$C,'01. TH'!Q$4)</f>
        <v>0</v>
      </c>
      <c r="R106" s="126">
        <f>COUNTIFS('TỔNG KLH + TN'!$B:$B,'01. TH'!$B106,'TỔNG KLH + TN'!$C:$C,'01. TH'!R$4)</f>
        <v>0</v>
      </c>
      <c r="S106" s="126">
        <f>COUNTIFS('TỔNG KLH + TN'!$B:$B,'01. TH'!$B106,'TỔNG KLH + TN'!$C:$C,'01. TH'!S$4)</f>
        <v>0</v>
      </c>
      <c r="T106" s="126">
        <f>COUNTIFS('TỔNG KLH + TN'!$B:$B,'01. TH'!$B106,'TỔNG KLH + TN'!$C:$C,'01. TH'!T$4)</f>
        <v>0</v>
      </c>
      <c r="U106" s="126">
        <f>COUNTIFS('TỔNG KLH + TN'!$B:$B,'01. TH'!$B106,'TỔNG KLH + TN'!$C:$C,'01. TH'!U$4)</f>
        <v>1</v>
      </c>
      <c r="V106" s="126">
        <f>COUNTIFS('TỔNG KLH + TN'!$B:$B,'01. TH'!$B106,'TỔNG KLH + TN'!$C:$C,'01. TH'!V$4)</f>
        <v>0</v>
      </c>
      <c r="W106" s="126">
        <f>COUNTIFS('TỔNG KLH + TN'!$B:$B,'01. TH'!$B106,'TỔNG KLH + TN'!$C:$C,'01. TH'!W$4)</f>
        <v>0</v>
      </c>
      <c r="X106" s="126">
        <f>COUNTIFS('TỔNG KLH + TN'!$B:$B,'01. TH'!$B106,'TỔNG KLH + TN'!$C:$C,'01. TH'!X$4)</f>
        <v>0</v>
      </c>
      <c r="Y106" s="126">
        <f>COUNTIFS('TỔNG KLH + TN'!$B:$B,'01. TH'!$B106,'TỔNG KLH + TN'!$C:$C,'01. TH'!Y$4)</f>
        <v>0</v>
      </c>
      <c r="Z106" s="126">
        <f>COUNTIFS('TỔNG KLH + TN'!$B:$B,'01. TH'!$B106,'TỔNG KLH + TN'!$C:$C,'01. TH'!Z$4)</f>
        <v>0</v>
      </c>
      <c r="AA106" s="126">
        <f>COUNTIFS('TỔNG KLH + TN'!$B:$B,'01. TH'!$B106,'TỔNG KLH + TN'!$C:$C,'01. TH'!AA$4)</f>
        <v>0</v>
      </c>
      <c r="AB106" s="126">
        <f>COUNTIFS('TỔNG KLH + TN'!$B:$B,'01. TH'!$B106,'TỔNG KLH + TN'!$C:$C,'01. TH'!AB$4)</f>
        <v>0</v>
      </c>
      <c r="AC106" s="126">
        <f>COUNTIFS('TỔNG KLH + TN'!$B:$B,'01. TH'!$B106,'TỔNG KLH + TN'!$C:$C,'01. TH'!AC$4)</f>
        <v>0</v>
      </c>
      <c r="AD106" s="126">
        <f>COUNTIFS('TỔNG KLH + TN'!$B:$B,'01. TH'!$B106,'TỔNG KLH + TN'!$C:$C,'01. TH'!AD$4)</f>
        <v>0</v>
      </c>
      <c r="AE106" s="136">
        <f t="shared" si="23"/>
        <v>1</v>
      </c>
      <c r="AF106" s="136"/>
      <c r="AG106" s="70" t="str">
        <f t="shared" si="24"/>
        <v>ok</v>
      </c>
      <c r="AH106" s="124"/>
    </row>
    <row r="107" ht="18.75" hidden="1" customHeight="1" outlineLevel="1">
      <c r="A107" s="121"/>
      <c r="B107" s="122" t="s">
        <v>1706</v>
      </c>
      <c r="C107" s="123" t="s">
        <v>705</v>
      </c>
      <c r="D107" s="124" t="str">
        <f>IFERROR(VLOOKUP(B107,'Danh mục'!$G:$U,15,0),"")</f>
        <v>3840 x 1960 x 2550</v>
      </c>
      <c r="E107" s="124" t="s">
        <v>108</v>
      </c>
      <c r="F107" s="126">
        <f>COUNTIFS('TỔNG KLH + TN'!$B:$B,'01. TH'!$B107,'TỔNG KLH + TN'!$C:$C,'01. TH'!F$4)</f>
        <v>0</v>
      </c>
      <c r="G107" s="126">
        <f>COUNTIFS('TỔNG KLH + TN'!$B:$B,'01. TH'!$B107,'TỔNG KLH + TN'!$C:$C,'01. TH'!G$4)</f>
        <v>0</v>
      </c>
      <c r="H107" s="126">
        <f>COUNTIFS('TỔNG KLH + TN'!$B:$B,'01. TH'!$B107,'TỔNG KLH + TN'!$C:$C,'01. TH'!H$4)</f>
        <v>0</v>
      </c>
      <c r="I107" s="126">
        <f>COUNTIFS('TỔNG KLH + TN'!$B:$B,'01. TH'!$B107,'TỔNG KLH + TN'!$C:$C,'01. TH'!I$4)</f>
        <v>0</v>
      </c>
      <c r="J107" s="126">
        <f>COUNTIFS('TỔNG KLH + TN'!$B:$B,'01. TH'!$B107,'TỔNG KLH + TN'!$C:$C,'01. TH'!J$4)</f>
        <v>0</v>
      </c>
      <c r="K107" s="126">
        <f>COUNTIFS('TỔNG KLH + TN'!$B:$B,'01. TH'!$B107,'TỔNG KLH + TN'!$C:$C,'01. TH'!K$4)</f>
        <v>0</v>
      </c>
      <c r="L107" s="126">
        <f>COUNTIFS('TỔNG KLH + TN'!$B:$B,'01. TH'!$B107,'TỔNG KLH + TN'!$C:$C,'01. TH'!L$4)</f>
        <v>0</v>
      </c>
      <c r="M107" s="126">
        <f>COUNTIFS('TỔNG KLH + TN'!$B:$B,'01. TH'!$B107,'TỔNG KLH + TN'!$C:$C,'01. TH'!M$4)</f>
        <v>0</v>
      </c>
      <c r="N107" s="126">
        <f>COUNTIFS('TỔNG KLH + TN'!$B:$B,'01. TH'!$B107,'TỔNG KLH + TN'!$C:$C,'01. TH'!N$4)</f>
        <v>0</v>
      </c>
      <c r="O107" s="126">
        <f>COUNTIFS('TỔNG KLH + TN'!$B:$B,'01. TH'!$B107,'TỔNG KLH + TN'!$C:$C,'01. TH'!O$4)</f>
        <v>0</v>
      </c>
      <c r="P107" s="126">
        <f>COUNTIFS('TỔNG KLH + TN'!$B:$B,'01. TH'!$B107,'TỔNG KLH + TN'!$C:$C,'01. TH'!P$4)</f>
        <v>0</v>
      </c>
      <c r="Q107" s="126">
        <f>COUNTIFS('TỔNG KLH + TN'!$B:$B,'01. TH'!$B107,'TỔNG KLH + TN'!$C:$C,'01. TH'!Q$4)</f>
        <v>0</v>
      </c>
      <c r="R107" s="126">
        <f>COUNTIFS('TỔNG KLH + TN'!$B:$B,'01. TH'!$B107,'TỔNG KLH + TN'!$C:$C,'01. TH'!R$4)</f>
        <v>0</v>
      </c>
      <c r="S107" s="126">
        <f>COUNTIFS('TỔNG KLH + TN'!$B:$B,'01. TH'!$B107,'TỔNG KLH + TN'!$C:$C,'01. TH'!S$4)</f>
        <v>0</v>
      </c>
      <c r="T107" s="126">
        <f>COUNTIFS('TỔNG KLH + TN'!$B:$B,'01. TH'!$B107,'TỔNG KLH + TN'!$C:$C,'01. TH'!T$4)</f>
        <v>0</v>
      </c>
      <c r="U107" s="126">
        <f>COUNTIFS('TỔNG KLH + TN'!$B:$B,'01. TH'!$B107,'TỔNG KLH + TN'!$C:$C,'01. TH'!U$4)</f>
        <v>1</v>
      </c>
      <c r="V107" s="126">
        <f>COUNTIFS('TỔNG KLH + TN'!$B:$B,'01. TH'!$B107,'TỔNG KLH + TN'!$C:$C,'01. TH'!V$4)</f>
        <v>0</v>
      </c>
      <c r="W107" s="126">
        <f>COUNTIFS('TỔNG KLH + TN'!$B:$B,'01. TH'!$B107,'TỔNG KLH + TN'!$C:$C,'01. TH'!W$4)</f>
        <v>0</v>
      </c>
      <c r="X107" s="126">
        <f>COUNTIFS('TỔNG KLH + TN'!$B:$B,'01. TH'!$B107,'TỔNG KLH + TN'!$C:$C,'01. TH'!X$4)</f>
        <v>0</v>
      </c>
      <c r="Y107" s="126">
        <f>COUNTIFS('TỔNG KLH + TN'!$B:$B,'01. TH'!$B107,'TỔNG KLH + TN'!$C:$C,'01. TH'!Y$4)</f>
        <v>0</v>
      </c>
      <c r="Z107" s="126">
        <f>COUNTIFS('TỔNG KLH + TN'!$B:$B,'01. TH'!$B107,'TỔNG KLH + TN'!$C:$C,'01. TH'!Z$4)</f>
        <v>0</v>
      </c>
      <c r="AA107" s="126">
        <f>COUNTIFS('TỔNG KLH + TN'!$B:$B,'01. TH'!$B107,'TỔNG KLH + TN'!$C:$C,'01. TH'!AA$4)</f>
        <v>0</v>
      </c>
      <c r="AB107" s="126">
        <f>COUNTIFS('TỔNG KLH + TN'!$B:$B,'01. TH'!$B107,'TỔNG KLH + TN'!$C:$C,'01. TH'!AB$4)</f>
        <v>0</v>
      </c>
      <c r="AC107" s="126">
        <f>COUNTIFS('TỔNG KLH + TN'!$B:$B,'01. TH'!$B107,'TỔNG KLH + TN'!$C:$C,'01. TH'!AC$4)</f>
        <v>0</v>
      </c>
      <c r="AD107" s="126">
        <f>COUNTIFS('TỔNG KLH + TN'!$B:$B,'01. TH'!$B107,'TỔNG KLH + TN'!$C:$C,'01. TH'!AD$4)</f>
        <v>0</v>
      </c>
      <c r="AE107" s="136">
        <f t="shared" si="23"/>
        <v>1</v>
      </c>
      <c r="AF107" s="136"/>
      <c r="AG107" s="70" t="str">
        <f t="shared" si="24"/>
        <v>ok</v>
      </c>
      <c r="AH107" s="124"/>
    </row>
    <row r="108" ht="18.75" hidden="1" customHeight="1" outlineLevel="1">
      <c r="A108" s="210"/>
      <c r="B108" s="122" t="s">
        <v>695</v>
      </c>
      <c r="C108" s="123" t="s">
        <v>271</v>
      </c>
      <c r="D108" s="124" t="str">
        <f>IFERROR(VLOOKUP(B108,'Danh mục'!$G:$U,15,0),"")</f>
        <v>4835 x 2600 x 2965</v>
      </c>
      <c r="E108" s="124" t="s">
        <v>108</v>
      </c>
      <c r="F108" s="126">
        <f>COUNTIFS('TỔNG KLH + TN'!$B:$B,'01. TH'!$B108,'TỔNG KLH + TN'!$C:$C,'01. TH'!F$4)</f>
        <v>0</v>
      </c>
      <c r="G108" s="126">
        <f>COUNTIFS('TỔNG KLH + TN'!$B:$B,'01. TH'!$B108,'TỔNG KLH + TN'!$C:$C,'01. TH'!G$4)</f>
        <v>1</v>
      </c>
      <c r="H108" s="126">
        <f>COUNTIFS('TỔNG KLH + TN'!$B:$B,'01. TH'!$B108,'TỔNG KLH + TN'!$C:$C,'01. TH'!H$4)</f>
        <v>0</v>
      </c>
      <c r="I108" s="126">
        <f>COUNTIFS('TỔNG KLH + TN'!$B:$B,'01. TH'!$B108,'TỔNG KLH + TN'!$C:$C,'01. TH'!I$4)</f>
        <v>0</v>
      </c>
      <c r="J108" s="126">
        <f>COUNTIFS('TỔNG KLH + TN'!$B:$B,'01. TH'!$B108,'TỔNG KLH + TN'!$C:$C,'01. TH'!J$4)</f>
        <v>0</v>
      </c>
      <c r="K108" s="126">
        <f>COUNTIFS('TỔNG KLH + TN'!$B:$B,'01. TH'!$B108,'TỔNG KLH + TN'!$C:$C,'01. TH'!K$4)</f>
        <v>0</v>
      </c>
      <c r="L108" s="126">
        <f>COUNTIFS('TỔNG KLH + TN'!$B:$B,'01. TH'!$B108,'TỔNG KLH + TN'!$C:$C,'01. TH'!L$4)</f>
        <v>0</v>
      </c>
      <c r="M108" s="126">
        <f>COUNTIFS('TỔNG KLH + TN'!$B:$B,'01. TH'!$B108,'TỔNG KLH + TN'!$C:$C,'01. TH'!M$4)</f>
        <v>0</v>
      </c>
      <c r="N108" s="126">
        <f>COUNTIFS('TỔNG KLH + TN'!$B:$B,'01. TH'!$B108,'TỔNG KLH + TN'!$C:$C,'01. TH'!N$4)</f>
        <v>0</v>
      </c>
      <c r="O108" s="126">
        <f>COUNTIFS('TỔNG KLH + TN'!$B:$B,'01. TH'!$B108,'TỔNG KLH + TN'!$C:$C,'01. TH'!O$4)</f>
        <v>0</v>
      </c>
      <c r="P108" s="126">
        <f>COUNTIFS('TỔNG KLH + TN'!$B:$B,'01. TH'!$B108,'TỔNG KLH + TN'!$C:$C,'01. TH'!P$4)</f>
        <v>1</v>
      </c>
      <c r="Q108" s="126">
        <f>COUNTIFS('TỔNG KLH + TN'!$B:$B,'01. TH'!$B108,'TỔNG KLH + TN'!$C:$C,'01. TH'!Q$4)</f>
        <v>0</v>
      </c>
      <c r="R108" s="126">
        <f>COUNTIFS('TỔNG KLH + TN'!$B:$B,'01. TH'!$B108,'TỔNG KLH + TN'!$C:$C,'01. TH'!R$4)</f>
        <v>0</v>
      </c>
      <c r="S108" s="126">
        <f>COUNTIFS('TỔNG KLH + TN'!$B:$B,'01. TH'!$B108,'TỔNG KLH + TN'!$C:$C,'01. TH'!S$4)</f>
        <v>0</v>
      </c>
      <c r="T108" s="126">
        <f>COUNTIFS('TỔNG KLH + TN'!$B:$B,'01. TH'!$B108,'TỔNG KLH + TN'!$C:$C,'01. TH'!T$4)</f>
        <v>0</v>
      </c>
      <c r="U108" s="126">
        <f>COUNTIFS('TỔNG KLH + TN'!$B:$B,'01. TH'!$B108,'TỔNG KLH + TN'!$C:$C,'01. TH'!U$4)</f>
        <v>5</v>
      </c>
      <c r="V108" s="126">
        <f>COUNTIFS('TỔNG KLH + TN'!$B:$B,'01. TH'!$B108,'TỔNG KLH + TN'!$C:$C,'01. TH'!V$4)</f>
        <v>0</v>
      </c>
      <c r="W108" s="126">
        <f>COUNTIFS('TỔNG KLH + TN'!$B:$B,'01. TH'!$B108,'TỔNG KLH + TN'!$C:$C,'01. TH'!W$4)</f>
        <v>0</v>
      </c>
      <c r="X108" s="126">
        <f>COUNTIFS('TỔNG KLH + TN'!$B:$B,'01. TH'!$B108,'TỔNG KLH + TN'!$C:$C,'01. TH'!X$4)</f>
        <v>0</v>
      </c>
      <c r="Y108" s="126">
        <f>COUNTIFS('TỔNG KLH + TN'!$B:$B,'01. TH'!$B108,'TỔNG KLH + TN'!$C:$C,'01. TH'!Y$4)</f>
        <v>0</v>
      </c>
      <c r="Z108" s="126">
        <f>COUNTIFS('TỔNG KLH + TN'!$B:$B,'01. TH'!$B108,'TỔNG KLH + TN'!$C:$C,'01. TH'!Z$4)</f>
        <v>0</v>
      </c>
      <c r="AA108" s="126">
        <f>COUNTIFS('TỔNG KLH + TN'!$B:$B,'01. TH'!$B108,'TỔNG KLH + TN'!$C:$C,'01. TH'!AA$4)</f>
        <v>0</v>
      </c>
      <c r="AB108" s="126">
        <f>COUNTIFS('TỔNG KLH + TN'!$B:$B,'01. TH'!$B108,'TỔNG KLH + TN'!$C:$C,'01. TH'!AB$4)</f>
        <v>0</v>
      </c>
      <c r="AC108" s="126">
        <f>COUNTIFS('TỔNG KLH + TN'!$B:$B,'01. TH'!$B108,'TỔNG KLH + TN'!$C:$C,'01. TH'!AC$4)</f>
        <v>0</v>
      </c>
      <c r="AD108" s="126">
        <f>COUNTIFS('TỔNG KLH + TN'!$B:$B,'01. TH'!$B108,'TỔNG KLH + TN'!$C:$C,'01. TH'!AD$4)</f>
        <v>0</v>
      </c>
      <c r="AE108" s="162">
        <f t="shared" si="23"/>
        <v>7</v>
      </c>
      <c r="AF108" s="162"/>
      <c r="AG108" s="70" t="str">
        <f t="shared" si="24"/>
        <v>ok</v>
      </c>
      <c r="AH108" s="210"/>
    </row>
    <row r="109" ht="18.75" hidden="1" customHeight="1" outlineLevel="1">
      <c r="A109" s="121"/>
      <c r="B109" s="122" t="s">
        <v>782</v>
      </c>
      <c r="C109" s="123" t="s">
        <v>271</v>
      </c>
      <c r="D109" s="124" t="str">
        <f>IFERROR(VLOOKUP(B109,'Danh mục'!$G:$U,15,0),"")</f>
        <v>4780 x 2550 x 3000</v>
      </c>
      <c r="E109" s="124" t="s">
        <v>108</v>
      </c>
      <c r="F109" s="126">
        <f>COUNTIFS('TỔNG KLH + TN'!$B:$B,'01. TH'!$B109,'TỔNG KLH + TN'!$C:$C,'01. TH'!F$4)</f>
        <v>0</v>
      </c>
      <c r="G109" s="126">
        <f>COUNTIFS('TỔNG KLH + TN'!$B:$B,'01. TH'!$B109,'TỔNG KLH + TN'!$C:$C,'01. TH'!G$4)</f>
        <v>0</v>
      </c>
      <c r="H109" s="126">
        <f>COUNTIFS('TỔNG KLH + TN'!$B:$B,'01. TH'!$B109,'TỔNG KLH + TN'!$C:$C,'01. TH'!H$4)</f>
        <v>0</v>
      </c>
      <c r="I109" s="126">
        <f>COUNTIFS('TỔNG KLH + TN'!$B:$B,'01. TH'!$B109,'TỔNG KLH + TN'!$C:$C,'01. TH'!I$4)</f>
        <v>0</v>
      </c>
      <c r="J109" s="126">
        <f>COUNTIFS('TỔNG KLH + TN'!$B:$B,'01. TH'!$B109,'TỔNG KLH + TN'!$C:$C,'01. TH'!J$4)</f>
        <v>0</v>
      </c>
      <c r="K109" s="126">
        <f>COUNTIFS('TỔNG KLH + TN'!$B:$B,'01. TH'!$B109,'TỔNG KLH + TN'!$C:$C,'01. TH'!K$4)</f>
        <v>0</v>
      </c>
      <c r="L109" s="126">
        <f>COUNTIFS('TỔNG KLH + TN'!$B:$B,'01. TH'!$B109,'TỔNG KLH + TN'!$C:$C,'01. TH'!L$4)</f>
        <v>0</v>
      </c>
      <c r="M109" s="126">
        <f>COUNTIFS('TỔNG KLH + TN'!$B:$B,'01. TH'!$B109,'TỔNG KLH + TN'!$C:$C,'01. TH'!M$4)</f>
        <v>0</v>
      </c>
      <c r="N109" s="126">
        <f>COUNTIFS('TỔNG KLH + TN'!$B:$B,'01. TH'!$B109,'TỔNG KLH + TN'!$C:$C,'01. TH'!N$4)</f>
        <v>0</v>
      </c>
      <c r="O109" s="126">
        <f>COUNTIFS('TỔNG KLH + TN'!$B:$B,'01. TH'!$B109,'TỔNG KLH + TN'!$C:$C,'01. TH'!O$4)</f>
        <v>0</v>
      </c>
      <c r="P109" s="126">
        <f>COUNTIFS('TỔNG KLH + TN'!$B:$B,'01. TH'!$B109,'TỔNG KLH + TN'!$C:$C,'01. TH'!P$4)</f>
        <v>1</v>
      </c>
      <c r="Q109" s="126">
        <f>COUNTIFS('TỔNG KLH + TN'!$B:$B,'01. TH'!$B109,'TỔNG KLH + TN'!$C:$C,'01. TH'!Q$4)</f>
        <v>0</v>
      </c>
      <c r="R109" s="126">
        <f>COUNTIFS('TỔNG KLH + TN'!$B:$B,'01. TH'!$B109,'TỔNG KLH + TN'!$C:$C,'01. TH'!R$4)</f>
        <v>0</v>
      </c>
      <c r="S109" s="126">
        <f>COUNTIFS('TỔNG KLH + TN'!$B:$B,'01. TH'!$B109,'TỔNG KLH + TN'!$C:$C,'01. TH'!S$4)</f>
        <v>0</v>
      </c>
      <c r="T109" s="126">
        <f>COUNTIFS('TỔNG KLH + TN'!$B:$B,'01. TH'!$B109,'TỔNG KLH + TN'!$C:$C,'01. TH'!T$4)</f>
        <v>0</v>
      </c>
      <c r="U109" s="126">
        <f>COUNTIFS('TỔNG KLH + TN'!$B:$B,'01. TH'!$B109,'TỔNG KLH + TN'!$C:$C,'01. TH'!U$4)</f>
        <v>2</v>
      </c>
      <c r="V109" s="126">
        <f>COUNTIFS('TỔNG KLH + TN'!$B:$B,'01. TH'!$B109,'TỔNG KLH + TN'!$C:$C,'01. TH'!V$4)</f>
        <v>0</v>
      </c>
      <c r="W109" s="126">
        <f>COUNTIFS('TỔNG KLH + TN'!$B:$B,'01. TH'!$B109,'TỔNG KLH + TN'!$C:$C,'01. TH'!W$4)</f>
        <v>0</v>
      </c>
      <c r="X109" s="126">
        <f>COUNTIFS('TỔNG KLH + TN'!$B:$B,'01. TH'!$B109,'TỔNG KLH + TN'!$C:$C,'01. TH'!X$4)</f>
        <v>0</v>
      </c>
      <c r="Y109" s="126">
        <f>COUNTIFS('TỔNG KLH + TN'!$B:$B,'01. TH'!$B109,'TỔNG KLH + TN'!$C:$C,'01. TH'!Y$4)</f>
        <v>0</v>
      </c>
      <c r="Z109" s="126">
        <f>COUNTIFS('TỔNG KLH + TN'!$B:$B,'01. TH'!$B109,'TỔNG KLH + TN'!$C:$C,'01. TH'!Z$4)</f>
        <v>0</v>
      </c>
      <c r="AA109" s="126">
        <f>COUNTIFS('TỔNG KLH + TN'!$B:$B,'01. TH'!$B109,'TỔNG KLH + TN'!$C:$C,'01. TH'!AA$4)</f>
        <v>0</v>
      </c>
      <c r="AB109" s="126">
        <f>COUNTIFS('TỔNG KLH + TN'!$B:$B,'01. TH'!$B109,'TỔNG KLH + TN'!$C:$C,'01. TH'!AB$4)</f>
        <v>0</v>
      </c>
      <c r="AC109" s="126">
        <f>COUNTIFS('TỔNG KLH + TN'!$B:$B,'01. TH'!$B109,'TỔNG KLH + TN'!$C:$C,'01. TH'!AC$4)</f>
        <v>0</v>
      </c>
      <c r="AD109" s="126">
        <f>COUNTIFS('TỔNG KLH + TN'!$B:$B,'01. TH'!$B109,'TỔNG KLH + TN'!$C:$C,'01. TH'!AD$4)</f>
        <v>0</v>
      </c>
      <c r="AE109" s="136">
        <f t="shared" si="23"/>
        <v>3</v>
      </c>
      <c r="AF109" s="136"/>
      <c r="AG109" s="70" t="str">
        <f t="shared" si="24"/>
        <v>ok</v>
      </c>
      <c r="AH109" s="124"/>
    </row>
    <row r="110" ht="18.75" hidden="1" customHeight="1" outlineLevel="1">
      <c r="A110" s="121"/>
      <c r="B110" s="481" t="s">
        <v>1620</v>
      </c>
      <c r="C110" s="123" t="s">
        <v>824</v>
      </c>
      <c r="D110" s="124" t="str">
        <f>IFERROR(VLOOKUP(B110,'Danh mục'!$G:$U,15,0),"")</f>
        <v>4190 x 2170 x 2590</v>
      </c>
      <c r="E110" s="124" t="s">
        <v>108</v>
      </c>
      <c r="F110" s="126">
        <f>COUNTIFS('TỔNG KLH + TN'!$B:$B,'01. TH'!$B110,'TỔNG KLH + TN'!$C:$C,'01. TH'!F$4)</f>
        <v>0</v>
      </c>
      <c r="G110" s="126">
        <f>COUNTIFS('TỔNG KLH + TN'!$B:$B,'01. TH'!$B110,'TỔNG KLH + TN'!$C:$C,'01. TH'!G$4)</f>
        <v>0</v>
      </c>
      <c r="H110" s="126">
        <f>COUNTIFS('TỔNG KLH + TN'!$B:$B,'01. TH'!$B110,'TỔNG KLH + TN'!$C:$C,'01. TH'!H$4)</f>
        <v>0</v>
      </c>
      <c r="I110" s="126">
        <f>COUNTIFS('TỔNG KLH + TN'!$B:$B,'01. TH'!$B110,'TỔNG KLH + TN'!$C:$C,'01. TH'!I$4)</f>
        <v>0</v>
      </c>
      <c r="J110" s="126">
        <f>COUNTIFS('TỔNG KLH + TN'!$B:$B,'01. TH'!$B110,'TỔNG KLH + TN'!$C:$C,'01. TH'!J$4)</f>
        <v>0</v>
      </c>
      <c r="K110" s="126">
        <f>COUNTIFS('TỔNG KLH + TN'!$B:$B,'01. TH'!$B110,'TỔNG KLH + TN'!$C:$C,'01. TH'!K$4)</f>
        <v>0</v>
      </c>
      <c r="L110" s="126">
        <f>COUNTIFS('TỔNG KLH + TN'!$B:$B,'01. TH'!$B110,'TỔNG KLH + TN'!$C:$C,'01. TH'!L$4)</f>
        <v>0</v>
      </c>
      <c r="M110" s="126">
        <f>COUNTIFS('TỔNG KLH + TN'!$B:$B,'01. TH'!$B110,'TỔNG KLH + TN'!$C:$C,'01. TH'!M$4)</f>
        <v>0</v>
      </c>
      <c r="N110" s="126">
        <f>COUNTIFS('TỔNG KLH + TN'!$B:$B,'01. TH'!$B110,'TỔNG KLH + TN'!$C:$C,'01. TH'!N$4)</f>
        <v>0</v>
      </c>
      <c r="O110" s="126">
        <f>COUNTIFS('TỔNG KLH + TN'!$B:$B,'01. TH'!$B110,'TỔNG KLH + TN'!$C:$C,'01. TH'!O$4)</f>
        <v>0</v>
      </c>
      <c r="P110" s="126">
        <f>COUNTIFS('TỔNG KLH + TN'!$B:$B,'01. TH'!$B110,'TỔNG KLH + TN'!$C:$C,'01. TH'!P$4)</f>
        <v>0</v>
      </c>
      <c r="Q110" s="126">
        <f>COUNTIFS('TỔNG KLH + TN'!$B:$B,'01. TH'!$B110,'TỔNG KLH + TN'!$C:$C,'01. TH'!Q$4)</f>
        <v>0</v>
      </c>
      <c r="R110" s="126">
        <f>COUNTIFS('TỔNG KLH + TN'!$B:$B,'01. TH'!$B110,'TỔNG KLH + TN'!$C:$C,'01. TH'!R$4)</f>
        <v>0</v>
      </c>
      <c r="S110" s="126">
        <f>COUNTIFS('TỔNG KLH + TN'!$B:$B,'01. TH'!$B110,'TỔNG KLH + TN'!$C:$C,'01. TH'!S$4)</f>
        <v>0</v>
      </c>
      <c r="T110" s="126">
        <f>COUNTIFS('TỔNG KLH + TN'!$B:$B,'01. TH'!$B110,'TỔNG KLH + TN'!$C:$C,'01. TH'!T$4)</f>
        <v>0</v>
      </c>
      <c r="U110" s="126">
        <f>COUNTIFS('TỔNG KLH + TN'!$B:$B,'01. TH'!$B110,'TỔNG KLH + TN'!$C:$C,'01. TH'!U$4)</f>
        <v>3</v>
      </c>
      <c r="V110" s="126">
        <f>COUNTIFS('TỔNG KLH + TN'!$B:$B,'01. TH'!$B110,'TỔNG KLH + TN'!$C:$C,'01. TH'!V$4)</f>
        <v>0</v>
      </c>
      <c r="W110" s="126">
        <f>COUNTIFS('TỔNG KLH + TN'!$B:$B,'01. TH'!$B110,'TỔNG KLH + TN'!$C:$C,'01. TH'!W$4)</f>
        <v>0</v>
      </c>
      <c r="X110" s="126">
        <f>COUNTIFS('TỔNG KLH + TN'!$B:$B,'01. TH'!$B110,'TỔNG KLH + TN'!$C:$C,'01. TH'!X$4)</f>
        <v>0</v>
      </c>
      <c r="Y110" s="126">
        <f>COUNTIFS('TỔNG KLH + TN'!$B:$B,'01. TH'!$B110,'TỔNG KLH + TN'!$C:$C,'01. TH'!Y$4)</f>
        <v>0</v>
      </c>
      <c r="Z110" s="126">
        <f>COUNTIFS('TỔNG KLH + TN'!$B:$B,'01. TH'!$B110,'TỔNG KLH + TN'!$C:$C,'01. TH'!Z$4)</f>
        <v>0</v>
      </c>
      <c r="AA110" s="126">
        <f>COUNTIFS('TỔNG KLH + TN'!$B:$B,'01. TH'!$B110,'TỔNG KLH + TN'!$C:$C,'01. TH'!AA$4)</f>
        <v>0</v>
      </c>
      <c r="AB110" s="126">
        <f>COUNTIFS('TỔNG KLH + TN'!$B:$B,'01. TH'!$B110,'TỔNG KLH + TN'!$C:$C,'01. TH'!AB$4)</f>
        <v>0</v>
      </c>
      <c r="AC110" s="126">
        <f>COUNTIFS('TỔNG KLH + TN'!$B:$B,'01. TH'!$B110,'TỔNG KLH + TN'!$C:$C,'01. TH'!AC$4)</f>
        <v>0</v>
      </c>
      <c r="AD110" s="126">
        <f>COUNTIFS('TỔNG KLH + TN'!$B:$B,'01. TH'!$B110,'TỔNG KLH + TN'!$C:$C,'01. TH'!AD$4)</f>
        <v>0</v>
      </c>
      <c r="AE110" s="136">
        <f t="shared" si="23"/>
        <v>3</v>
      </c>
      <c r="AF110" s="136"/>
      <c r="AG110" s="70" t="str">
        <f t="shared" si="24"/>
        <v>ok</v>
      </c>
      <c r="AH110" s="124"/>
    </row>
    <row r="111" ht="18.75" hidden="1" customHeight="1" outlineLevel="1">
      <c r="A111" s="159"/>
      <c r="B111" s="122" t="s">
        <v>1770</v>
      </c>
      <c r="C111" s="123" t="s">
        <v>824</v>
      </c>
      <c r="D111" s="124" t="str">
        <f>IFERROR(VLOOKUP(B111,'Danh mục'!$G:$U,15,0),"")</f>
        <v>4130 x 2030 x 2580</v>
      </c>
      <c r="E111" s="124" t="s">
        <v>108</v>
      </c>
      <c r="F111" s="126">
        <f>COUNTIFS('TỔNG KLH + TN'!$B:$B,'01. TH'!$B111,'TỔNG KLH + TN'!$C:$C,'01. TH'!F$4)</f>
        <v>0</v>
      </c>
      <c r="G111" s="126">
        <f>COUNTIFS('TỔNG KLH + TN'!$B:$B,'01. TH'!$B111,'TỔNG KLH + TN'!$C:$C,'01. TH'!G$4)</f>
        <v>0</v>
      </c>
      <c r="H111" s="126">
        <f>COUNTIFS('TỔNG KLH + TN'!$B:$B,'01. TH'!$B111,'TỔNG KLH + TN'!$C:$C,'01. TH'!H$4)</f>
        <v>0</v>
      </c>
      <c r="I111" s="126">
        <f>COUNTIFS('TỔNG KLH + TN'!$B:$B,'01. TH'!$B111,'TỔNG KLH + TN'!$C:$C,'01. TH'!I$4)</f>
        <v>0</v>
      </c>
      <c r="J111" s="126">
        <f>COUNTIFS('TỔNG KLH + TN'!$B:$B,'01. TH'!$B111,'TỔNG KLH + TN'!$C:$C,'01. TH'!J$4)</f>
        <v>0</v>
      </c>
      <c r="K111" s="126">
        <f>COUNTIFS('TỔNG KLH + TN'!$B:$B,'01. TH'!$B111,'TỔNG KLH + TN'!$C:$C,'01. TH'!K$4)</f>
        <v>0</v>
      </c>
      <c r="L111" s="126">
        <f>COUNTIFS('TỔNG KLH + TN'!$B:$B,'01. TH'!$B111,'TỔNG KLH + TN'!$C:$C,'01. TH'!L$4)</f>
        <v>0</v>
      </c>
      <c r="M111" s="126">
        <f>COUNTIFS('TỔNG KLH + TN'!$B:$B,'01. TH'!$B111,'TỔNG KLH + TN'!$C:$C,'01. TH'!M$4)</f>
        <v>0</v>
      </c>
      <c r="N111" s="126">
        <f>COUNTIFS('TỔNG KLH + TN'!$B:$B,'01. TH'!$B111,'TỔNG KLH + TN'!$C:$C,'01. TH'!N$4)</f>
        <v>0</v>
      </c>
      <c r="O111" s="126">
        <f>COUNTIFS('TỔNG KLH + TN'!$B:$B,'01. TH'!$B111,'TỔNG KLH + TN'!$C:$C,'01. TH'!O$4)</f>
        <v>0</v>
      </c>
      <c r="P111" s="126">
        <f>COUNTIFS('TỔNG KLH + TN'!$B:$B,'01. TH'!$B111,'TỔNG KLH + TN'!$C:$C,'01. TH'!P$4)</f>
        <v>0</v>
      </c>
      <c r="Q111" s="126">
        <f>COUNTIFS('TỔNG KLH + TN'!$B:$B,'01. TH'!$B111,'TỔNG KLH + TN'!$C:$C,'01. TH'!Q$4)</f>
        <v>0</v>
      </c>
      <c r="R111" s="126">
        <f>COUNTIFS('TỔNG KLH + TN'!$B:$B,'01. TH'!$B111,'TỔNG KLH + TN'!$C:$C,'01. TH'!R$4)</f>
        <v>0</v>
      </c>
      <c r="S111" s="126">
        <f>COUNTIFS('TỔNG KLH + TN'!$B:$B,'01. TH'!$B111,'TỔNG KLH + TN'!$C:$C,'01. TH'!S$4)</f>
        <v>0</v>
      </c>
      <c r="T111" s="126">
        <f>COUNTIFS('TỔNG KLH + TN'!$B:$B,'01. TH'!$B111,'TỔNG KLH + TN'!$C:$C,'01. TH'!T$4)</f>
        <v>0</v>
      </c>
      <c r="U111" s="126">
        <f>COUNTIFS('TỔNG KLH + TN'!$B:$B,'01. TH'!$B111,'TỔNG KLH + TN'!$C:$C,'01. TH'!U$4)</f>
        <v>2</v>
      </c>
      <c r="V111" s="126">
        <f>COUNTIFS('TỔNG KLH + TN'!$B:$B,'01. TH'!$B111,'TỔNG KLH + TN'!$C:$C,'01. TH'!V$4)</f>
        <v>0</v>
      </c>
      <c r="W111" s="126">
        <f>COUNTIFS('TỔNG KLH + TN'!$B:$B,'01. TH'!$B111,'TỔNG KLH + TN'!$C:$C,'01. TH'!W$4)</f>
        <v>0</v>
      </c>
      <c r="X111" s="126">
        <f>COUNTIFS('TỔNG KLH + TN'!$B:$B,'01. TH'!$B111,'TỔNG KLH + TN'!$C:$C,'01. TH'!X$4)</f>
        <v>0</v>
      </c>
      <c r="Y111" s="126">
        <f>COUNTIFS('TỔNG KLH + TN'!$B:$B,'01. TH'!$B111,'TỔNG KLH + TN'!$C:$C,'01. TH'!Y$4)</f>
        <v>0</v>
      </c>
      <c r="Z111" s="126">
        <f>COUNTIFS('TỔNG KLH + TN'!$B:$B,'01. TH'!$B111,'TỔNG KLH + TN'!$C:$C,'01. TH'!Z$4)</f>
        <v>0</v>
      </c>
      <c r="AA111" s="126">
        <f>COUNTIFS('TỔNG KLH + TN'!$B:$B,'01. TH'!$B111,'TỔNG KLH + TN'!$C:$C,'01. TH'!AA$4)</f>
        <v>0</v>
      </c>
      <c r="AB111" s="126">
        <f>COUNTIFS('TỔNG KLH + TN'!$B:$B,'01. TH'!$B111,'TỔNG KLH + TN'!$C:$C,'01. TH'!AB$4)</f>
        <v>0</v>
      </c>
      <c r="AC111" s="126">
        <f>COUNTIFS('TỔNG KLH + TN'!$B:$B,'01. TH'!$B111,'TỔNG KLH + TN'!$C:$C,'01. TH'!AC$4)</f>
        <v>0</v>
      </c>
      <c r="AD111" s="126">
        <f>COUNTIFS('TỔNG KLH + TN'!$B:$B,'01. TH'!$B111,'TỔNG KLH + TN'!$C:$C,'01. TH'!AD$4)</f>
        <v>0</v>
      </c>
      <c r="AE111" s="162">
        <f t="shared" si="23"/>
        <v>2</v>
      </c>
      <c r="AF111" s="162"/>
      <c r="AG111" s="70" t="str">
        <f t="shared" si="24"/>
        <v>ok</v>
      </c>
      <c r="AH111" s="163"/>
    </row>
    <row r="112" ht="18.75" hidden="1" customHeight="1" outlineLevel="1">
      <c r="A112" s="121"/>
      <c r="B112" s="122" t="s">
        <v>823</v>
      </c>
      <c r="C112" s="123" t="s">
        <v>824</v>
      </c>
      <c r="D112" s="124" t="str">
        <f>IFERROR(VLOOKUP(B112,'Danh mục'!$G:$U,15,0),"")</f>
        <v>4800 x 2007 x 2743</v>
      </c>
      <c r="E112" s="124" t="s">
        <v>108</v>
      </c>
      <c r="F112" s="126">
        <f>COUNTIFS('TỔNG KLH + TN'!$B:$B,'01. TH'!$B112,'TỔNG KLH + TN'!$C:$C,'01. TH'!F$4)</f>
        <v>0</v>
      </c>
      <c r="G112" s="126">
        <f>COUNTIFS('TỔNG KLH + TN'!$B:$B,'01. TH'!$B112,'TỔNG KLH + TN'!$C:$C,'01. TH'!G$4)</f>
        <v>0</v>
      </c>
      <c r="H112" s="126">
        <f>COUNTIFS('TỔNG KLH + TN'!$B:$B,'01. TH'!$B112,'TỔNG KLH + TN'!$C:$C,'01. TH'!H$4)</f>
        <v>0</v>
      </c>
      <c r="I112" s="126">
        <f>COUNTIFS('TỔNG KLH + TN'!$B:$B,'01. TH'!$B112,'TỔNG KLH + TN'!$C:$C,'01. TH'!I$4)</f>
        <v>0</v>
      </c>
      <c r="J112" s="126">
        <f>COUNTIFS('TỔNG KLH + TN'!$B:$B,'01. TH'!$B112,'TỔNG KLH + TN'!$C:$C,'01. TH'!J$4)</f>
        <v>0</v>
      </c>
      <c r="K112" s="126">
        <f>COUNTIFS('TỔNG KLH + TN'!$B:$B,'01. TH'!$B112,'TỔNG KLH + TN'!$C:$C,'01. TH'!K$4)</f>
        <v>0</v>
      </c>
      <c r="L112" s="126">
        <f>COUNTIFS('TỔNG KLH + TN'!$B:$B,'01. TH'!$B112,'TỔNG KLH + TN'!$C:$C,'01. TH'!L$4)</f>
        <v>0</v>
      </c>
      <c r="M112" s="126">
        <f>COUNTIFS('TỔNG KLH + TN'!$B:$B,'01. TH'!$B112,'TỔNG KLH + TN'!$C:$C,'01. TH'!M$4)</f>
        <v>0</v>
      </c>
      <c r="N112" s="126">
        <f>COUNTIFS('TỔNG KLH + TN'!$B:$B,'01. TH'!$B112,'TỔNG KLH + TN'!$C:$C,'01. TH'!N$4)</f>
        <v>0</v>
      </c>
      <c r="O112" s="126">
        <f>COUNTIFS('TỔNG KLH + TN'!$B:$B,'01. TH'!$B112,'TỔNG KLH + TN'!$C:$C,'01. TH'!O$4)</f>
        <v>0</v>
      </c>
      <c r="P112" s="126">
        <f>COUNTIFS('TỔNG KLH + TN'!$B:$B,'01. TH'!$B112,'TỔNG KLH + TN'!$C:$C,'01. TH'!P$4)</f>
        <v>1</v>
      </c>
      <c r="Q112" s="126">
        <f>COUNTIFS('TỔNG KLH + TN'!$B:$B,'01. TH'!$B112,'TỔNG KLH + TN'!$C:$C,'01. TH'!Q$4)</f>
        <v>0</v>
      </c>
      <c r="R112" s="126">
        <f>COUNTIFS('TỔNG KLH + TN'!$B:$B,'01. TH'!$B112,'TỔNG KLH + TN'!$C:$C,'01. TH'!R$4)</f>
        <v>0</v>
      </c>
      <c r="S112" s="126">
        <f>COUNTIFS('TỔNG KLH + TN'!$B:$B,'01. TH'!$B112,'TỔNG KLH + TN'!$C:$C,'01. TH'!S$4)</f>
        <v>0</v>
      </c>
      <c r="T112" s="126">
        <f>COUNTIFS('TỔNG KLH + TN'!$B:$B,'01. TH'!$B112,'TỔNG KLH + TN'!$C:$C,'01. TH'!T$4)</f>
        <v>0</v>
      </c>
      <c r="U112" s="126">
        <f>COUNTIFS('TỔNG KLH + TN'!$B:$B,'01. TH'!$B112,'TỔNG KLH + TN'!$C:$C,'01. TH'!U$4)</f>
        <v>0</v>
      </c>
      <c r="V112" s="126">
        <f>COUNTIFS('TỔNG KLH + TN'!$B:$B,'01. TH'!$B112,'TỔNG KLH + TN'!$C:$C,'01. TH'!V$4)</f>
        <v>0</v>
      </c>
      <c r="W112" s="126">
        <f>COUNTIFS('TỔNG KLH + TN'!$B:$B,'01. TH'!$B112,'TỔNG KLH + TN'!$C:$C,'01. TH'!W$4)</f>
        <v>0</v>
      </c>
      <c r="X112" s="126">
        <f>COUNTIFS('TỔNG KLH + TN'!$B:$B,'01. TH'!$B112,'TỔNG KLH + TN'!$C:$C,'01. TH'!X$4)</f>
        <v>0</v>
      </c>
      <c r="Y112" s="126">
        <f>COUNTIFS('TỔNG KLH + TN'!$B:$B,'01. TH'!$B112,'TỔNG KLH + TN'!$C:$C,'01. TH'!Y$4)</f>
        <v>0</v>
      </c>
      <c r="Z112" s="126">
        <f>COUNTIFS('TỔNG KLH + TN'!$B:$B,'01. TH'!$B112,'TỔNG KLH + TN'!$C:$C,'01. TH'!Z$4)</f>
        <v>0</v>
      </c>
      <c r="AA112" s="126">
        <f>COUNTIFS('TỔNG KLH + TN'!$B:$B,'01. TH'!$B112,'TỔNG KLH + TN'!$C:$C,'01. TH'!AA$4)</f>
        <v>0</v>
      </c>
      <c r="AB112" s="126">
        <f>COUNTIFS('TỔNG KLH + TN'!$B:$B,'01. TH'!$B112,'TỔNG KLH + TN'!$C:$C,'01. TH'!AB$4)</f>
        <v>0</v>
      </c>
      <c r="AC112" s="126">
        <f>COUNTIFS('TỔNG KLH + TN'!$B:$B,'01. TH'!$B112,'TỔNG KLH + TN'!$C:$C,'01. TH'!AC$4)</f>
        <v>0</v>
      </c>
      <c r="AD112" s="126">
        <f>COUNTIFS('TỔNG KLH + TN'!$B:$B,'01. TH'!$B112,'TỔNG KLH + TN'!$C:$C,'01. TH'!AD$4)</f>
        <v>0</v>
      </c>
      <c r="AE112" s="136">
        <f t="shared" si="23"/>
        <v>1</v>
      </c>
      <c r="AF112" s="136"/>
      <c r="AG112" s="70" t="str">
        <f t="shared" si="24"/>
        <v>ok</v>
      </c>
      <c r="AH112" s="121"/>
    </row>
    <row r="113" ht="18.75" hidden="1" customHeight="1" outlineLevel="1">
      <c r="A113" s="159"/>
      <c r="B113" s="122" t="s">
        <v>710</v>
      </c>
      <c r="C113" s="123" t="s">
        <v>824</v>
      </c>
      <c r="D113" s="124" t="str">
        <f>IFERROR(VLOOKUP(B113,'Danh mục'!$G:$U,15,0),"")</f>
        <v>4200 x 2600 x 2900</v>
      </c>
      <c r="E113" s="124" t="s">
        <v>108</v>
      </c>
      <c r="F113" s="126">
        <f>COUNTIFS('TỔNG KLH + TN'!$B:$B,'01. TH'!$B113,'TỔNG KLH + TN'!$C:$C,'01. TH'!F$4)</f>
        <v>0</v>
      </c>
      <c r="G113" s="126">
        <f>COUNTIFS('TỔNG KLH + TN'!$B:$B,'01. TH'!$B113,'TỔNG KLH + TN'!$C:$C,'01. TH'!G$4)</f>
        <v>2</v>
      </c>
      <c r="H113" s="126">
        <f>COUNTIFS('TỔNG KLH + TN'!$B:$B,'01. TH'!$B113,'TỔNG KLH + TN'!$C:$C,'01. TH'!H$4)</f>
        <v>0</v>
      </c>
      <c r="I113" s="126">
        <f>COUNTIFS('TỔNG KLH + TN'!$B:$B,'01. TH'!$B113,'TỔNG KLH + TN'!$C:$C,'01. TH'!I$4)</f>
        <v>0</v>
      </c>
      <c r="J113" s="126">
        <f>COUNTIFS('TỔNG KLH + TN'!$B:$B,'01. TH'!$B113,'TỔNG KLH + TN'!$C:$C,'01. TH'!J$4)</f>
        <v>0</v>
      </c>
      <c r="K113" s="126">
        <f>COUNTIFS('TỔNG KLH + TN'!$B:$B,'01. TH'!$B113,'TỔNG KLH + TN'!$C:$C,'01. TH'!K$4)</f>
        <v>0</v>
      </c>
      <c r="L113" s="126">
        <f>COUNTIFS('TỔNG KLH + TN'!$B:$B,'01. TH'!$B113,'TỔNG KLH + TN'!$C:$C,'01. TH'!L$4)</f>
        <v>0</v>
      </c>
      <c r="M113" s="126">
        <f>COUNTIFS('TỔNG KLH + TN'!$B:$B,'01. TH'!$B113,'TỔNG KLH + TN'!$C:$C,'01. TH'!M$4)</f>
        <v>0</v>
      </c>
      <c r="N113" s="126">
        <f>COUNTIFS('TỔNG KLH + TN'!$B:$B,'01. TH'!$B113,'TỔNG KLH + TN'!$C:$C,'01. TH'!N$4)</f>
        <v>0</v>
      </c>
      <c r="O113" s="126">
        <f>COUNTIFS('TỔNG KLH + TN'!$B:$B,'01. TH'!$B113,'TỔNG KLH + TN'!$C:$C,'01. TH'!O$4)</f>
        <v>0</v>
      </c>
      <c r="P113" s="126">
        <f>COUNTIFS('TỔNG KLH + TN'!$B:$B,'01. TH'!$B113,'TỔNG KLH + TN'!$C:$C,'01. TH'!P$4)</f>
        <v>1</v>
      </c>
      <c r="Q113" s="126">
        <f>COUNTIFS('TỔNG KLH + TN'!$B:$B,'01. TH'!$B113,'TỔNG KLH + TN'!$C:$C,'01. TH'!Q$4)</f>
        <v>0</v>
      </c>
      <c r="R113" s="126">
        <f>COUNTIFS('TỔNG KLH + TN'!$B:$B,'01. TH'!$B113,'TỔNG KLH + TN'!$C:$C,'01. TH'!R$4)</f>
        <v>0</v>
      </c>
      <c r="S113" s="126">
        <f>COUNTIFS('TỔNG KLH + TN'!$B:$B,'01. TH'!$B113,'TỔNG KLH + TN'!$C:$C,'01. TH'!S$4)</f>
        <v>0</v>
      </c>
      <c r="T113" s="126">
        <f>COUNTIFS('TỔNG KLH + TN'!$B:$B,'01. TH'!$B113,'TỔNG KLH + TN'!$C:$C,'01. TH'!T$4)</f>
        <v>0</v>
      </c>
      <c r="U113" s="126">
        <f>COUNTIFS('TỔNG KLH + TN'!$B:$B,'01. TH'!$B113,'TỔNG KLH + TN'!$C:$C,'01. TH'!U$4)</f>
        <v>0</v>
      </c>
      <c r="V113" s="126">
        <f>COUNTIFS('TỔNG KLH + TN'!$B:$B,'01. TH'!$B113,'TỔNG KLH + TN'!$C:$C,'01. TH'!V$4)</f>
        <v>0</v>
      </c>
      <c r="W113" s="126">
        <f>COUNTIFS('TỔNG KLH + TN'!$B:$B,'01. TH'!$B113,'TỔNG KLH + TN'!$C:$C,'01. TH'!W$4)</f>
        <v>0</v>
      </c>
      <c r="X113" s="126">
        <f>COUNTIFS('TỔNG KLH + TN'!$B:$B,'01. TH'!$B113,'TỔNG KLH + TN'!$C:$C,'01. TH'!X$4)</f>
        <v>0</v>
      </c>
      <c r="Y113" s="126">
        <f>COUNTIFS('TỔNG KLH + TN'!$B:$B,'01. TH'!$B113,'TỔNG KLH + TN'!$C:$C,'01. TH'!Y$4)</f>
        <v>0</v>
      </c>
      <c r="Z113" s="126">
        <f>COUNTIFS('TỔNG KLH + TN'!$B:$B,'01. TH'!$B113,'TỔNG KLH + TN'!$C:$C,'01. TH'!Z$4)</f>
        <v>0</v>
      </c>
      <c r="AA113" s="126">
        <f>COUNTIFS('TỔNG KLH + TN'!$B:$B,'01. TH'!$B113,'TỔNG KLH + TN'!$C:$C,'01. TH'!AA$4)</f>
        <v>0</v>
      </c>
      <c r="AB113" s="126">
        <f>COUNTIFS('TỔNG KLH + TN'!$B:$B,'01. TH'!$B113,'TỔNG KLH + TN'!$C:$C,'01. TH'!AB$4)</f>
        <v>0</v>
      </c>
      <c r="AC113" s="126">
        <f>COUNTIFS('TỔNG KLH + TN'!$B:$B,'01. TH'!$B113,'TỔNG KLH + TN'!$C:$C,'01. TH'!AC$4)</f>
        <v>0</v>
      </c>
      <c r="AD113" s="126">
        <f>COUNTIFS('TỔNG KLH + TN'!$B:$B,'01. TH'!$B113,'TỔNG KLH + TN'!$C:$C,'01. TH'!AD$4)</f>
        <v>0</v>
      </c>
      <c r="AE113" s="162">
        <f t="shared" si="23"/>
        <v>3</v>
      </c>
      <c r="AF113" s="162"/>
      <c r="AG113" s="70" t="str">
        <f t="shared" si="24"/>
        <v>ok</v>
      </c>
      <c r="AH113" s="163"/>
    </row>
    <row r="114" ht="18.75" hidden="1" customHeight="1" outlineLevel="1">
      <c r="A114" s="159"/>
      <c r="B114" s="205" t="s">
        <v>1801</v>
      </c>
      <c r="C114" s="123" t="s">
        <v>824</v>
      </c>
      <c r="D114" s="124" t="str">
        <f>IFERROR(VLOOKUP(B114,'Danh mục'!$G:$U,15,0),"")</f>
        <v/>
      </c>
      <c r="E114" s="124" t="s">
        <v>108</v>
      </c>
      <c r="F114" s="126">
        <f>COUNTIFS('TỔNG KLH + TN'!$B:$B,'01. TH'!$B114,'TỔNG KLH + TN'!$C:$C,'01. TH'!F$4)</f>
        <v>0</v>
      </c>
      <c r="G114" s="126">
        <f>COUNTIFS('TỔNG KLH + TN'!$B:$B,'01. TH'!$B114,'TỔNG KLH + TN'!$C:$C,'01. TH'!G$4)</f>
        <v>0</v>
      </c>
      <c r="H114" s="126">
        <f>COUNTIFS('TỔNG KLH + TN'!$B:$B,'01. TH'!$B114,'TỔNG KLH + TN'!$C:$C,'01. TH'!H$4)</f>
        <v>0</v>
      </c>
      <c r="I114" s="126">
        <f>COUNTIFS('TỔNG KLH + TN'!$B:$B,'01. TH'!$B114,'TỔNG KLH + TN'!$C:$C,'01. TH'!I$4)</f>
        <v>0</v>
      </c>
      <c r="J114" s="126">
        <f>COUNTIFS('TỔNG KLH + TN'!$B:$B,'01. TH'!$B114,'TỔNG KLH + TN'!$C:$C,'01. TH'!J$4)</f>
        <v>0</v>
      </c>
      <c r="K114" s="126">
        <f>COUNTIFS('TỔNG KLH + TN'!$B:$B,'01. TH'!$B114,'TỔNG KLH + TN'!$C:$C,'01. TH'!K$4)</f>
        <v>0</v>
      </c>
      <c r="L114" s="126">
        <f>COUNTIFS('TỔNG KLH + TN'!$B:$B,'01. TH'!$B114,'TỔNG KLH + TN'!$C:$C,'01. TH'!L$4)</f>
        <v>0</v>
      </c>
      <c r="M114" s="126">
        <f>COUNTIFS('TỔNG KLH + TN'!$B:$B,'01. TH'!$B114,'TỔNG KLH + TN'!$C:$C,'01. TH'!M$4)</f>
        <v>0</v>
      </c>
      <c r="N114" s="126">
        <f>COUNTIFS('TỔNG KLH + TN'!$B:$B,'01. TH'!$B114,'TỔNG KLH + TN'!$C:$C,'01. TH'!N$4)</f>
        <v>0</v>
      </c>
      <c r="O114" s="126">
        <f>COUNTIFS('TỔNG KLH + TN'!$B:$B,'01. TH'!$B114,'TỔNG KLH + TN'!$C:$C,'01. TH'!O$4)</f>
        <v>0</v>
      </c>
      <c r="P114" s="126">
        <f>COUNTIFS('TỔNG KLH + TN'!$B:$B,'01. TH'!$B114,'TỔNG KLH + TN'!$C:$C,'01. TH'!P$4)</f>
        <v>0</v>
      </c>
      <c r="Q114" s="126">
        <f>COUNTIFS('TỔNG KLH + TN'!$B:$B,'01. TH'!$B114,'TỔNG KLH + TN'!$C:$C,'01. TH'!Q$4)</f>
        <v>0</v>
      </c>
      <c r="R114" s="126">
        <f>COUNTIFS('TỔNG KLH + TN'!$B:$B,'01. TH'!$B114,'TỔNG KLH + TN'!$C:$C,'01. TH'!R$4)</f>
        <v>0</v>
      </c>
      <c r="S114" s="126">
        <f>COUNTIFS('TỔNG KLH + TN'!$B:$B,'01. TH'!$B114,'TỔNG KLH + TN'!$C:$C,'01. TH'!S$4)</f>
        <v>0</v>
      </c>
      <c r="T114" s="126">
        <f>COUNTIFS('TỔNG KLH + TN'!$B:$B,'01. TH'!$B114,'TỔNG KLH + TN'!$C:$C,'01. TH'!T$4)</f>
        <v>0</v>
      </c>
      <c r="U114" s="126">
        <f>COUNTIFS('TỔNG KLH + TN'!$B:$B,'01. TH'!$B114,'TỔNG KLH + TN'!$C:$C,'01. TH'!U$4)</f>
        <v>1</v>
      </c>
      <c r="V114" s="126">
        <f>COUNTIFS('TỔNG KLH + TN'!$B:$B,'01. TH'!$B114,'TỔNG KLH + TN'!$C:$C,'01. TH'!V$4)</f>
        <v>0</v>
      </c>
      <c r="W114" s="126">
        <f>COUNTIFS('TỔNG KLH + TN'!$B:$B,'01. TH'!$B114,'TỔNG KLH + TN'!$C:$C,'01. TH'!W$4)</f>
        <v>0</v>
      </c>
      <c r="X114" s="126">
        <f>COUNTIFS('TỔNG KLH + TN'!$B:$B,'01. TH'!$B114,'TỔNG KLH + TN'!$C:$C,'01. TH'!X$4)</f>
        <v>0</v>
      </c>
      <c r="Y114" s="126">
        <f>COUNTIFS('TỔNG KLH + TN'!$B:$B,'01. TH'!$B114,'TỔNG KLH + TN'!$C:$C,'01. TH'!Y$4)</f>
        <v>0</v>
      </c>
      <c r="Z114" s="126">
        <f>COUNTIFS('TỔNG KLH + TN'!$B:$B,'01. TH'!$B114,'TỔNG KLH + TN'!$C:$C,'01. TH'!Z$4)</f>
        <v>0</v>
      </c>
      <c r="AA114" s="126">
        <f>COUNTIFS('TỔNG KLH + TN'!$B:$B,'01. TH'!$B114,'TỔNG KLH + TN'!$C:$C,'01. TH'!AA$4)</f>
        <v>0</v>
      </c>
      <c r="AB114" s="126">
        <f>COUNTIFS('TỔNG KLH + TN'!$B:$B,'01. TH'!$B114,'TỔNG KLH + TN'!$C:$C,'01. TH'!AB$4)</f>
        <v>0</v>
      </c>
      <c r="AC114" s="126">
        <f>COUNTIFS('TỔNG KLH + TN'!$B:$B,'01. TH'!$B114,'TỔNG KLH + TN'!$C:$C,'01. TH'!AC$4)</f>
        <v>0</v>
      </c>
      <c r="AD114" s="126">
        <f>COUNTIFS('TỔNG KLH + TN'!$B:$B,'01. TH'!$B114,'TỔNG KLH + TN'!$C:$C,'01. TH'!AD$4)</f>
        <v>0</v>
      </c>
      <c r="AE114" s="162">
        <f t="shared" si="23"/>
        <v>1</v>
      </c>
      <c r="AF114" s="162"/>
      <c r="AG114" s="70" t="str">
        <f t="shared" si="24"/>
        <v>ok</v>
      </c>
      <c r="AH114" s="163"/>
    </row>
    <row r="115" ht="18.75" hidden="1" customHeight="1" outlineLevel="1">
      <c r="A115" s="121"/>
      <c r="B115" s="122" t="s">
        <v>687</v>
      </c>
      <c r="C115" s="123" t="s">
        <v>271</v>
      </c>
      <c r="D115" s="124" t="str">
        <f>IFERROR(VLOOKUP(B115,'Danh mục'!$G:$U,15,0),"")</f>
        <v>4200 x 2600 x 2900</v>
      </c>
      <c r="E115" s="124" t="s">
        <v>108</v>
      </c>
      <c r="F115" s="126">
        <f>COUNTIFS('TỔNG KLH + TN'!$B:$B,'01. TH'!$B115,'TỔNG KLH + TN'!$C:$C,'01. TH'!F$4)</f>
        <v>0</v>
      </c>
      <c r="G115" s="126">
        <f>COUNTIFS('TỔNG KLH + TN'!$B:$B,'01. TH'!$B115,'TỔNG KLH + TN'!$C:$C,'01. TH'!G$4)</f>
        <v>2</v>
      </c>
      <c r="H115" s="126">
        <f>COUNTIFS('TỔNG KLH + TN'!$B:$B,'01. TH'!$B115,'TỔNG KLH + TN'!$C:$C,'01. TH'!H$4)</f>
        <v>0</v>
      </c>
      <c r="I115" s="126">
        <f>COUNTIFS('TỔNG KLH + TN'!$B:$B,'01. TH'!$B115,'TỔNG KLH + TN'!$C:$C,'01. TH'!I$4)</f>
        <v>0</v>
      </c>
      <c r="J115" s="126">
        <f>COUNTIFS('TỔNG KLH + TN'!$B:$B,'01. TH'!$B115,'TỔNG KLH + TN'!$C:$C,'01. TH'!J$4)</f>
        <v>0</v>
      </c>
      <c r="K115" s="126">
        <f>COUNTIFS('TỔNG KLH + TN'!$B:$B,'01. TH'!$B115,'TỔNG KLH + TN'!$C:$C,'01. TH'!K$4)</f>
        <v>0</v>
      </c>
      <c r="L115" s="126">
        <f>COUNTIFS('TỔNG KLH + TN'!$B:$B,'01. TH'!$B115,'TỔNG KLH + TN'!$C:$C,'01. TH'!L$4)</f>
        <v>0</v>
      </c>
      <c r="M115" s="126">
        <f>COUNTIFS('TỔNG KLH + TN'!$B:$B,'01. TH'!$B115,'TỔNG KLH + TN'!$C:$C,'01. TH'!M$4)</f>
        <v>0</v>
      </c>
      <c r="N115" s="126">
        <f>COUNTIFS('TỔNG KLH + TN'!$B:$B,'01. TH'!$B115,'TỔNG KLH + TN'!$C:$C,'01. TH'!N$4)</f>
        <v>0</v>
      </c>
      <c r="O115" s="126">
        <f>COUNTIFS('TỔNG KLH + TN'!$B:$B,'01. TH'!$B115,'TỔNG KLH + TN'!$C:$C,'01. TH'!O$4)</f>
        <v>0</v>
      </c>
      <c r="P115" s="126">
        <f>COUNTIFS('TỔNG KLH + TN'!$B:$B,'01. TH'!$B115,'TỔNG KLH + TN'!$C:$C,'01. TH'!P$4)</f>
        <v>3</v>
      </c>
      <c r="Q115" s="126">
        <f>COUNTIFS('TỔNG KLH + TN'!$B:$B,'01. TH'!$B115,'TỔNG KLH + TN'!$C:$C,'01. TH'!Q$4)</f>
        <v>0</v>
      </c>
      <c r="R115" s="126">
        <f>COUNTIFS('TỔNG KLH + TN'!$B:$B,'01. TH'!$B115,'TỔNG KLH + TN'!$C:$C,'01. TH'!R$4)</f>
        <v>0</v>
      </c>
      <c r="S115" s="126">
        <f>COUNTIFS('TỔNG KLH + TN'!$B:$B,'01. TH'!$B115,'TỔNG KLH + TN'!$C:$C,'01. TH'!S$4)</f>
        <v>0</v>
      </c>
      <c r="T115" s="126">
        <f>COUNTIFS('TỔNG KLH + TN'!$B:$B,'01. TH'!$B115,'TỔNG KLH + TN'!$C:$C,'01. TH'!T$4)</f>
        <v>0</v>
      </c>
      <c r="U115" s="126">
        <f>COUNTIFS('TỔNG KLH + TN'!$B:$B,'01. TH'!$B115,'TỔNG KLH + TN'!$C:$C,'01. TH'!U$4)</f>
        <v>4</v>
      </c>
      <c r="V115" s="126">
        <f>COUNTIFS('TỔNG KLH + TN'!$B:$B,'01. TH'!$B115,'TỔNG KLH + TN'!$C:$C,'01. TH'!V$4)</f>
        <v>0</v>
      </c>
      <c r="W115" s="126">
        <f>COUNTIFS('TỔNG KLH + TN'!$B:$B,'01. TH'!$B115,'TỔNG KLH + TN'!$C:$C,'01. TH'!W$4)</f>
        <v>0</v>
      </c>
      <c r="X115" s="126">
        <f>COUNTIFS('TỔNG KLH + TN'!$B:$B,'01. TH'!$B115,'TỔNG KLH + TN'!$C:$C,'01. TH'!X$4)</f>
        <v>0</v>
      </c>
      <c r="Y115" s="126">
        <f>COUNTIFS('TỔNG KLH + TN'!$B:$B,'01. TH'!$B115,'TỔNG KLH + TN'!$C:$C,'01. TH'!Y$4)</f>
        <v>0</v>
      </c>
      <c r="Z115" s="126">
        <f>COUNTIFS('TỔNG KLH + TN'!$B:$B,'01. TH'!$B115,'TỔNG KLH + TN'!$C:$C,'01. TH'!Z$4)</f>
        <v>0</v>
      </c>
      <c r="AA115" s="126">
        <f>COUNTIFS('TỔNG KLH + TN'!$B:$B,'01. TH'!$B115,'TỔNG KLH + TN'!$C:$C,'01. TH'!AA$4)</f>
        <v>0</v>
      </c>
      <c r="AB115" s="126">
        <f>COUNTIFS('TỔNG KLH + TN'!$B:$B,'01. TH'!$B115,'TỔNG KLH + TN'!$C:$C,'01. TH'!AB$4)</f>
        <v>0</v>
      </c>
      <c r="AC115" s="126">
        <f>COUNTIFS('TỔNG KLH + TN'!$B:$B,'01. TH'!$B115,'TỔNG KLH + TN'!$C:$C,'01. TH'!AC$4)</f>
        <v>0</v>
      </c>
      <c r="AD115" s="126">
        <f>COUNTIFS('TỔNG KLH + TN'!$B:$B,'01. TH'!$B115,'TỔNG KLH + TN'!$C:$C,'01. TH'!AD$4)</f>
        <v>0</v>
      </c>
      <c r="AE115" s="136">
        <f t="shared" si="23"/>
        <v>9</v>
      </c>
      <c r="AF115" s="136"/>
      <c r="AG115" s="70" t="str">
        <f t="shared" si="24"/>
        <v>ok</v>
      </c>
      <c r="AH115" s="124"/>
    </row>
    <row r="116" ht="18.75" hidden="1" customHeight="1" outlineLevel="1">
      <c r="A116" s="159"/>
      <c r="B116" s="122" t="s">
        <v>1775</v>
      </c>
      <c r="C116" s="123" t="s">
        <v>682</v>
      </c>
      <c r="D116" s="124" t="str">
        <f>IFERROR(VLOOKUP(B116,'Danh mục'!$G:$U,15,0),"")</f>
        <v>4705 x 2445 x 2864</v>
      </c>
      <c r="E116" s="124" t="s">
        <v>108</v>
      </c>
      <c r="F116" s="126">
        <f>COUNTIFS('TỔNG KLH + TN'!$B:$B,'01. TH'!$B116,'TỔNG KLH + TN'!$C:$C,'01. TH'!F$4)</f>
        <v>0</v>
      </c>
      <c r="G116" s="126">
        <f>COUNTIFS('TỔNG KLH + TN'!$B:$B,'01. TH'!$B116,'TỔNG KLH + TN'!$C:$C,'01. TH'!G$4)</f>
        <v>0</v>
      </c>
      <c r="H116" s="126">
        <f>COUNTIFS('TỔNG KLH + TN'!$B:$B,'01. TH'!$B116,'TỔNG KLH + TN'!$C:$C,'01. TH'!H$4)</f>
        <v>0</v>
      </c>
      <c r="I116" s="126">
        <f>COUNTIFS('TỔNG KLH + TN'!$B:$B,'01. TH'!$B116,'TỔNG KLH + TN'!$C:$C,'01. TH'!I$4)</f>
        <v>0</v>
      </c>
      <c r="J116" s="126">
        <f>COUNTIFS('TỔNG KLH + TN'!$B:$B,'01. TH'!$B116,'TỔNG KLH + TN'!$C:$C,'01. TH'!J$4)</f>
        <v>0</v>
      </c>
      <c r="K116" s="126">
        <f>COUNTIFS('TỔNG KLH + TN'!$B:$B,'01. TH'!$B116,'TỔNG KLH + TN'!$C:$C,'01. TH'!K$4)</f>
        <v>0</v>
      </c>
      <c r="L116" s="126">
        <f>COUNTIFS('TỔNG KLH + TN'!$B:$B,'01. TH'!$B116,'TỔNG KLH + TN'!$C:$C,'01. TH'!L$4)</f>
        <v>0</v>
      </c>
      <c r="M116" s="126">
        <f>COUNTIFS('TỔNG KLH + TN'!$B:$B,'01. TH'!$B116,'TỔNG KLH + TN'!$C:$C,'01. TH'!M$4)</f>
        <v>0</v>
      </c>
      <c r="N116" s="126">
        <f>COUNTIFS('TỔNG KLH + TN'!$B:$B,'01. TH'!$B116,'TỔNG KLH + TN'!$C:$C,'01. TH'!N$4)</f>
        <v>0</v>
      </c>
      <c r="O116" s="126">
        <f>COUNTIFS('TỔNG KLH + TN'!$B:$B,'01. TH'!$B116,'TỔNG KLH + TN'!$C:$C,'01. TH'!O$4)</f>
        <v>0</v>
      </c>
      <c r="P116" s="126">
        <f>COUNTIFS('TỔNG KLH + TN'!$B:$B,'01. TH'!$B116,'TỔNG KLH + TN'!$C:$C,'01. TH'!P$4)</f>
        <v>0</v>
      </c>
      <c r="Q116" s="126">
        <f>COUNTIFS('TỔNG KLH + TN'!$B:$B,'01. TH'!$B116,'TỔNG KLH + TN'!$C:$C,'01. TH'!Q$4)</f>
        <v>0</v>
      </c>
      <c r="R116" s="126">
        <f>COUNTIFS('TỔNG KLH + TN'!$B:$B,'01. TH'!$B116,'TỔNG KLH + TN'!$C:$C,'01. TH'!R$4)</f>
        <v>0</v>
      </c>
      <c r="S116" s="126">
        <f>COUNTIFS('TỔNG KLH + TN'!$B:$B,'01. TH'!$B116,'TỔNG KLH + TN'!$C:$C,'01. TH'!S$4)</f>
        <v>0</v>
      </c>
      <c r="T116" s="126">
        <f>COUNTIFS('TỔNG KLH + TN'!$B:$B,'01. TH'!$B116,'TỔNG KLH + TN'!$C:$C,'01. TH'!T$4)</f>
        <v>0</v>
      </c>
      <c r="U116" s="126">
        <f>COUNTIFS('TỔNG KLH + TN'!$B:$B,'01. TH'!$B116,'TỔNG KLH + TN'!$C:$C,'01. TH'!U$4)</f>
        <v>1</v>
      </c>
      <c r="V116" s="126">
        <f>COUNTIFS('TỔNG KLH + TN'!$B:$B,'01. TH'!$B116,'TỔNG KLH + TN'!$C:$C,'01. TH'!V$4)</f>
        <v>0</v>
      </c>
      <c r="W116" s="126">
        <f>COUNTIFS('TỔNG KLH + TN'!$B:$B,'01. TH'!$B116,'TỔNG KLH + TN'!$C:$C,'01. TH'!W$4)</f>
        <v>0</v>
      </c>
      <c r="X116" s="126">
        <f>COUNTIFS('TỔNG KLH + TN'!$B:$B,'01. TH'!$B116,'TỔNG KLH + TN'!$C:$C,'01. TH'!X$4)</f>
        <v>0</v>
      </c>
      <c r="Y116" s="126">
        <f>COUNTIFS('TỔNG KLH + TN'!$B:$B,'01. TH'!$B116,'TỔNG KLH + TN'!$C:$C,'01. TH'!Y$4)</f>
        <v>0</v>
      </c>
      <c r="Z116" s="126">
        <f>COUNTIFS('TỔNG KLH + TN'!$B:$B,'01. TH'!$B116,'TỔNG KLH + TN'!$C:$C,'01. TH'!Z$4)</f>
        <v>0</v>
      </c>
      <c r="AA116" s="126">
        <f>COUNTIFS('TỔNG KLH + TN'!$B:$B,'01. TH'!$B116,'TỔNG KLH + TN'!$C:$C,'01. TH'!AA$4)</f>
        <v>0</v>
      </c>
      <c r="AB116" s="126">
        <f>COUNTIFS('TỔNG KLH + TN'!$B:$B,'01. TH'!$B116,'TỔNG KLH + TN'!$C:$C,'01. TH'!AB$4)</f>
        <v>0</v>
      </c>
      <c r="AC116" s="126">
        <f>COUNTIFS('TỔNG KLH + TN'!$B:$B,'01. TH'!$B116,'TỔNG KLH + TN'!$C:$C,'01. TH'!AC$4)</f>
        <v>0</v>
      </c>
      <c r="AD116" s="126">
        <f>COUNTIFS('TỔNG KLH + TN'!$B:$B,'01. TH'!$B116,'TỔNG KLH + TN'!$C:$C,'01. TH'!AD$4)</f>
        <v>0</v>
      </c>
      <c r="AE116" s="162">
        <f t="shared" si="23"/>
        <v>1</v>
      </c>
      <c r="AF116" s="162"/>
      <c r="AG116" s="70" t="str">
        <f t="shared" si="24"/>
        <v>ok</v>
      </c>
      <c r="AH116" s="163"/>
    </row>
    <row r="117" ht="18.75" hidden="1" customHeight="1" outlineLevel="1">
      <c r="A117" s="121"/>
      <c r="B117" s="122" t="s">
        <v>731</v>
      </c>
      <c r="C117" s="123" t="s">
        <v>86</v>
      </c>
      <c r="D117" s="124" t="str">
        <f>IFERROR(VLOOKUP(B117,'Danh mục'!$G:$U,15,0),"")</f>
        <v>4750 x 2440 x 3000</v>
      </c>
      <c r="E117" s="124" t="s">
        <v>108</v>
      </c>
      <c r="F117" s="126">
        <f>COUNTIFS('TỔNG KLH + TN'!$B:$B,'01. TH'!$B117,'TỔNG KLH + TN'!$C:$C,'01. TH'!F$4)</f>
        <v>0</v>
      </c>
      <c r="G117" s="126">
        <f>COUNTIFS('TỔNG KLH + TN'!$B:$B,'01. TH'!$B117,'TỔNG KLH + TN'!$C:$C,'01. TH'!G$4)</f>
        <v>1</v>
      </c>
      <c r="H117" s="126">
        <f>COUNTIFS('TỔNG KLH + TN'!$B:$B,'01. TH'!$B117,'TỔNG KLH + TN'!$C:$C,'01. TH'!H$4)</f>
        <v>0</v>
      </c>
      <c r="I117" s="126">
        <f>COUNTIFS('TỔNG KLH + TN'!$B:$B,'01. TH'!$B117,'TỔNG KLH + TN'!$C:$C,'01. TH'!I$4)</f>
        <v>0</v>
      </c>
      <c r="J117" s="126">
        <f>COUNTIFS('TỔNG KLH + TN'!$B:$B,'01. TH'!$B117,'TỔNG KLH + TN'!$C:$C,'01. TH'!J$4)</f>
        <v>0</v>
      </c>
      <c r="K117" s="126">
        <f>COUNTIFS('TỔNG KLH + TN'!$B:$B,'01. TH'!$B117,'TỔNG KLH + TN'!$C:$C,'01. TH'!K$4)</f>
        <v>0</v>
      </c>
      <c r="L117" s="126">
        <f>COUNTIFS('TỔNG KLH + TN'!$B:$B,'01. TH'!$B117,'TỔNG KLH + TN'!$C:$C,'01. TH'!L$4)</f>
        <v>0</v>
      </c>
      <c r="M117" s="126">
        <f>COUNTIFS('TỔNG KLH + TN'!$B:$B,'01. TH'!$B117,'TỔNG KLH + TN'!$C:$C,'01. TH'!M$4)</f>
        <v>0</v>
      </c>
      <c r="N117" s="126">
        <f>COUNTIFS('TỔNG KLH + TN'!$B:$B,'01. TH'!$B117,'TỔNG KLH + TN'!$C:$C,'01. TH'!N$4)</f>
        <v>0</v>
      </c>
      <c r="O117" s="126">
        <f>COUNTIFS('TỔNG KLH + TN'!$B:$B,'01. TH'!$B117,'TỔNG KLH + TN'!$C:$C,'01. TH'!O$4)</f>
        <v>0</v>
      </c>
      <c r="P117" s="126">
        <f>COUNTIFS('TỔNG KLH + TN'!$B:$B,'01. TH'!$B117,'TỔNG KLH + TN'!$C:$C,'01. TH'!P$4)</f>
        <v>0</v>
      </c>
      <c r="Q117" s="126">
        <f>COUNTIFS('TỔNG KLH + TN'!$B:$B,'01. TH'!$B117,'TỔNG KLH + TN'!$C:$C,'01. TH'!Q$4)</f>
        <v>0</v>
      </c>
      <c r="R117" s="126">
        <f>COUNTIFS('TỔNG KLH + TN'!$B:$B,'01. TH'!$B117,'TỔNG KLH + TN'!$C:$C,'01. TH'!R$4)</f>
        <v>0</v>
      </c>
      <c r="S117" s="126">
        <f>COUNTIFS('TỔNG KLH + TN'!$B:$B,'01. TH'!$B117,'TỔNG KLH + TN'!$C:$C,'01. TH'!S$4)</f>
        <v>0</v>
      </c>
      <c r="T117" s="126">
        <f>COUNTIFS('TỔNG KLH + TN'!$B:$B,'01. TH'!$B117,'TỔNG KLH + TN'!$C:$C,'01. TH'!T$4)</f>
        <v>0</v>
      </c>
      <c r="U117" s="126">
        <f>COUNTIFS('TỔNG KLH + TN'!$B:$B,'01. TH'!$B117,'TỔNG KLH + TN'!$C:$C,'01. TH'!U$4)</f>
        <v>0</v>
      </c>
      <c r="V117" s="126">
        <f>COUNTIFS('TỔNG KLH + TN'!$B:$B,'01. TH'!$B117,'TỔNG KLH + TN'!$C:$C,'01. TH'!V$4)</f>
        <v>0</v>
      </c>
      <c r="W117" s="126">
        <f>COUNTIFS('TỔNG KLH + TN'!$B:$B,'01. TH'!$B117,'TỔNG KLH + TN'!$C:$C,'01. TH'!W$4)</f>
        <v>0</v>
      </c>
      <c r="X117" s="126">
        <f>COUNTIFS('TỔNG KLH + TN'!$B:$B,'01. TH'!$B117,'TỔNG KLH + TN'!$C:$C,'01. TH'!X$4)</f>
        <v>0</v>
      </c>
      <c r="Y117" s="126">
        <f>COUNTIFS('TỔNG KLH + TN'!$B:$B,'01. TH'!$B117,'TỔNG KLH + TN'!$C:$C,'01. TH'!Y$4)</f>
        <v>0</v>
      </c>
      <c r="Z117" s="126">
        <f>COUNTIFS('TỔNG KLH + TN'!$B:$B,'01. TH'!$B117,'TỔNG KLH + TN'!$C:$C,'01. TH'!Z$4)</f>
        <v>0</v>
      </c>
      <c r="AA117" s="126">
        <f>COUNTIFS('TỔNG KLH + TN'!$B:$B,'01. TH'!$B117,'TỔNG KLH + TN'!$C:$C,'01. TH'!AA$4)</f>
        <v>0</v>
      </c>
      <c r="AB117" s="126">
        <f>COUNTIFS('TỔNG KLH + TN'!$B:$B,'01. TH'!$B117,'TỔNG KLH + TN'!$C:$C,'01. TH'!AB$4)</f>
        <v>0</v>
      </c>
      <c r="AC117" s="126">
        <f>COUNTIFS('TỔNG KLH + TN'!$B:$B,'01. TH'!$B117,'TỔNG KLH + TN'!$C:$C,'01. TH'!AC$4)</f>
        <v>0</v>
      </c>
      <c r="AD117" s="126">
        <f>COUNTIFS('TỔNG KLH + TN'!$B:$B,'01. TH'!$B117,'TỔNG KLH + TN'!$C:$C,'01. TH'!AD$4)</f>
        <v>0</v>
      </c>
      <c r="AE117" s="136">
        <f t="shared" si="23"/>
        <v>1</v>
      </c>
      <c r="AF117" s="136"/>
      <c r="AG117" s="70" t="str">
        <f t="shared" si="24"/>
        <v>ok</v>
      </c>
      <c r="AH117" s="121"/>
    </row>
    <row r="118" ht="18.75" hidden="1" customHeight="1" outlineLevel="1">
      <c r="A118" s="159"/>
      <c r="B118" s="122" t="s">
        <v>857</v>
      </c>
      <c r="C118" s="123" t="s">
        <v>861</v>
      </c>
      <c r="D118" s="124" t="str">
        <f>IFERROR(VLOOKUP(B118,'Danh mục'!$G:$U,15,0),"")</f>
        <v>3226 x 1570 x 1545</v>
      </c>
      <c r="E118" s="124" t="s">
        <v>108</v>
      </c>
      <c r="F118" s="126">
        <f>COUNTIFS('TỔNG KLH + TN'!$B:$B,'01. TH'!$B118,'TỔNG KLH + TN'!$C:$C,'01. TH'!F$4)</f>
        <v>0</v>
      </c>
      <c r="G118" s="126">
        <f>COUNTIFS('TỔNG KLH + TN'!$B:$B,'01. TH'!$B118,'TỔNG KLH + TN'!$C:$C,'01. TH'!G$4)</f>
        <v>0</v>
      </c>
      <c r="H118" s="126">
        <f>COUNTIFS('TỔNG KLH + TN'!$B:$B,'01. TH'!$B118,'TỔNG KLH + TN'!$C:$C,'01. TH'!H$4)</f>
        <v>3</v>
      </c>
      <c r="I118" s="126">
        <f>COUNTIFS('TỔNG KLH + TN'!$B:$B,'01. TH'!$B118,'TỔNG KLH + TN'!$C:$C,'01. TH'!I$4)</f>
        <v>2</v>
      </c>
      <c r="J118" s="126">
        <f>COUNTIFS('TỔNG KLH + TN'!$B:$B,'01. TH'!$B118,'TỔNG KLH + TN'!$C:$C,'01. TH'!J$4)</f>
        <v>5</v>
      </c>
      <c r="K118" s="126">
        <f>COUNTIFS('TỔNG KLH + TN'!$B:$B,'01. TH'!$B118,'TỔNG KLH + TN'!$C:$C,'01. TH'!K$4)</f>
        <v>0</v>
      </c>
      <c r="L118" s="126">
        <f>COUNTIFS('TỔNG KLH + TN'!$B:$B,'01. TH'!$B118,'TỔNG KLH + TN'!$C:$C,'01. TH'!L$4)</f>
        <v>3</v>
      </c>
      <c r="M118" s="126">
        <f>COUNTIFS('TỔNG KLH + TN'!$B:$B,'01. TH'!$B118,'TỔNG KLH + TN'!$C:$C,'01. TH'!M$4)</f>
        <v>0</v>
      </c>
      <c r="N118" s="126">
        <f>COUNTIFS('TỔNG KLH + TN'!$B:$B,'01. TH'!$B118,'TỔNG KLH + TN'!$C:$C,'01. TH'!N$4)</f>
        <v>0</v>
      </c>
      <c r="O118" s="126">
        <f>COUNTIFS('TỔNG KLH + TN'!$B:$B,'01. TH'!$B118,'TỔNG KLH + TN'!$C:$C,'01. TH'!O$4)</f>
        <v>0</v>
      </c>
      <c r="P118" s="126">
        <f>COUNTIFS('TỔNG KLH + TN'!$B:$B,'01. TH'!$B118,'TỔNG KLH + TN'!$C:$C,'01. TH'!P$4)</f>
        <v>0</v>
      </c>
      <c r="Q118" s="126">
        <f>COUNTIFS('TỔNG KLH + TN'!$B:$B,'01. TH'!$B118,'TỔNG KLH + TN'!$C:$C,'01. TH'!Q$4)</f>
        <v>3</v>
      </c>
      <c r="R118" s="126">
        <f>COUNTIFS('TỔNG KLH + TN'!$B:$B,'01. TH'!$B118,'TỔNG KLH + TN'!$C:$C,'01. TH'!R$4)</f>
        <v>4</v>
      </c>
      <c r="S118" s="126">
        <f>COUNTIFS('TỔNG KLH + TN'!$B:$B,'01. TH'!$B118,'TỔNG KLH + TN'!$C:$C,'01. TH'!S$4)</f>
        <v>0</v>
      </c>
      <c r="T118" s="126">
        <f>COUNTIFS('TỔNG KLH + TN'!$B:$B,'01. TH'!$B118,'TỔNG KLH + TN'!$C:$C,'01. TH'!T$4)</f>
        <v>0</v>
      </c>
      <c r="U118" s="126">
        <f>COUNTIFS('TỔNG KLH + TN'!$B:$B,'01. TH'!$B118,'TỔNG KLH + TN'!$C:$C,'01. TH'!U$4)</f>
        <v>6</v>
      </c>
      <c r="V118" s="126">
        <f>COUNTIFS('TỔNG KLH + TN'!$B:$B,'01. TH'!$B118,'TỔNG KLH + TN'!$C:$C,'01. TH'!V$4)</f>
        <v>0</v>
      </c>
      <c r="W118" s="126">
        <f>COUNTIFS('TỔNG KLH + TN'!$B:$B,'01. TH'!$B118,'TỔNG KLH + TN'!$C:$C,'01. TH'!W$4)</f>
        <v>0</v>
      </c>
      <c r="X118" s="126">
        <f>COUNTIFS('TỔNG KLH + TN'!$B:$B,'01. TH'!$B118,'TỔNG KLH + TN'!$C:$C,'01. TH'!X$4)</f>
        <v>0</v>
      </c>
      <c r="Y118" s="126">
        <f>COUNTIFS('TỔNG KLH + TN'!$B:$B,'01. TH'!$B118,'TỔNG KLH + TN'!$C:$C,'01. TH'!Y$4)</f>
        <v>1</v>
      </c>
      <c r="Z118" s="126">
        <f>COUNTIFS('TỔNG KLH + TN'!$B:$B,'01. TH'!$B118,'TỔNG KLH + TN'!$C:$C,'01. TH'!Z$4)</f>
        <v>0</v>
      </c>
      <c r="AA118" s="126">
        <f>COUNTIFS('TỔNG KLH + TN'!$B:$B,'01. TH'!$B118,'TỔNG KLH + TN'!$C:$C,'01. TH'!AA$4)</f>
        <v>0</v>
      </c>
      <c r="AB118" s="126">
        <f>COUNTIFS('TỔNG KLH + TN'!$B:$B,'01. TH'!$B118,'TỔNG KLH + TN'!$C:$C,'01. TH'!AB$4)</f>
        <v>1</v>
      </c>
      <c r="AC118" s="126">
        <f>COUNTIFS('TỔNG KLH + TN'!$B:$B,'01. TH'!$B118,'TỔNG KLH + TN'!$C:$C,'01. TH'!AC$4)</f>
        <v>0</v>
      </c>
      <c r="AD118" s="126">
        <f>COUNTIFS('TỔNG KLH + TN'!$B:$B,'01. TH'!$B118,'TỔNG KLH + TN'!$C:$C,'01. TH'!AD$4)</f>
        <v>0</v>
      </c>
      <c r="AE118" s="162">
        <f t="shared" si="23"/>
        <v>28</v>
      </c>
      <c r="AF118" s="162"/>
      <c r="AG118" s="70" t="str">
        <f t="shared" si="24"/>
        <v>ok</v>
      </c>
      <c r="AH118" s="163"/>
    </row>
    <row r="119" ht="18.75" hidden="1" customHeight="1" outlineLevel="1">
      <c r="A119" s="159"/>
      <c r="B119" s="122" t="s">
        <v>1274</v>
      </c>
      <c r="C119" s="123" t="s">
        <v>1277</v>
      </c>
      <c r="D119" s="124" t="str">
        <f>IFERROR(VLOOKUP(B119,'Danh mục'!$G:$U,15,0),"")</f>
        <v>2570 x 1200 x 1950</v>
      </c>
      <c r="E119" s="124" t="s">
        <v>108</v>
      </c>
      <c r="F119" s="126">
        <f>COUNTIFS('TỔNG KLH + TN'!$B:$B,'01. TH'!$B119,'TỔNG KLH + TN'!$C:$C,'01. TH'!F$4)</f>
        <v>0</v>
      </c>
      <c r="G119" s="126">
        <f>COUNTIFS('TỔNG KLH + TN'!$B:$B,'01. TH'!$B119,'TỔNG KLH + TN'!$C:$C,'01. TH'!G$4)</f>
        <v>0</v>
      </c>
      <c r="H119" s="126">
        <f>COUNTIFS('TỔNG KLH + TN'!$B:$B,'01. TH'!$B119,'TỔNG KLH + TN'!$C:$C,'01. TH'!H$4)</f>
        <v>0</v>
      </c>
      <c r="I119" s="126">
        <f>COUNTIFS('TỔNG KLH + TN'!$B:$B,'01. TH'!$B119,'TỔNG KLH + TN'!$C:$C,'01. TH'!I$4)</f>
        <v>0</v>
      </c>
      <c r="J119" s="126">
        <f>COUNTIFS('TỔNG KLH + TN'!$B:$B,'01. TH'!$B119,'TỔNG KLH + TN'!$C:$C,'01. TH'!J$4)</f>
        <v>0</v>
      </c>
      <c r="K119" s="126">
        <f>COUNTIFS('TỔNG KLH + TN'!$B:$B,'01. TH'!$B119,'TỔNG KLH + TN'!$C:$C,'01. TH'!K$4)</f>
        <v>0</v>
      </c>
      <c r="L119" s="126">
        <f>COUNTIFS('TỔNG KLH + TN'!$B:$B,'01. TH'!$B119,'TỔNG KLH + TN'!$C:$C,'01. TH'!L$4)</f>
        <v>0</v>
      </c>
      <c r="M119" s="126">
        <f>COUNTIFS('TỔNG KLH + TN'!$B:$B,'01. TH'!$B119,'TỔNG KLH + TN'!$C:$C,'01. TH'!M$4)</f>
        <v>0</v>
      </c>
      <c r="N119" s="126">
        <f>COUNTIFS('TỔNG KLH + TN'!$B:$B,'01. TH'!$B119,'TỔNG KLH + TN'!$C:$C,'01. TH'!N$4)</f>
        <v>0</v>
      </c>
      <c r="O119" s="126">
        <f>COUNTIFS('TỔNG KLH + TN'!$B:$B,'01. TH'!$B119,'TỔNG KLH + TN'!$C:$C,'01. TH'!O$4)</f>
        <v>0</v>
      </c>
      <c r="P119" s="126">
        <f>COUNTIFS('TỔNG KLH + TN'!$B:$B,'01. TH'!$B119,'TỔNG KLH + TN'!$C:$C,'01. TH'!P$4)</f>
        <v>0</v>
      </c>
      <c r="Q119" s="126">
        <f>COUNTIFS('TỔNG KLH + TN'!$B:$B,'01. TH'!$B119,'TỔNG KLH + TN'!$C:$C,'01. TH'!Q$4)</f>
        <v>1</v>
      </c>
      <c r="R119" s="126">
        <f>COUNTIFS('TỔNG KLH + TN'!$B:$B,'01. TH'!$B119,'TỔNG KLH + TN'!$C:$C,'01. TH'!R$4)</f>
        <v>0</v>
      </c>
      <c r="S119" s="126">
        <f>COUNTIFS('TỔNG KLH + TN'!$B:$B,'01. TH'!$B119,'TỔNG KLH + TN'!$C:$C,'01. TH'!S$4)</f>
        <v>0</v>
      </c>
      <c r="T119" s="126">
        <f>COUNTIFS('TỔNG KLH + TN'!$B:$B,'01. TH'!$B119,'TỔNG KLH + TN'!$C:$C,'01. TH'!T$4)</f>
        <v>0</v>
      </c>
      <c r="U119" s="126">
        <f>COUNTIFS('TỔNG KLH + TN'!$B:$B,'01. TH'!$B119,'TỔNG KLH + TN'!$C:$C,'01. TH'!U$4)</f>
        <v>0</v>
      </c>
      <c r="V119" s="126">
        <f>COUNTIFS('TỔNG KLH + TN'!$B:$B,'01. TH'!$B119,'TỔNG KLH + TN'!$C:$C,'01. TH'!V$4)</f>
        <v>0</v>
      </c>
      <c r="W119" s="126">
        <f>COUNTIFS('TỔNG KLH + TN'!$B:$B,'01. TH'!$B119,'TỔNG KLH + TN'!$C:$C,'01. TH'!W$4)</f>
        <v>0</v>
      </c>
      <c r="X119" s="126">
        <f>COUNTIFS('TỔNG KLH + TN'!$B:$B,'01. TH'!$B119,'TỔNG KLH + TN'!$C:$C,'01. TH'!X$4)</f>
        <v>0</v>
      </c>
      <c r="Y119" s="126">
        <f>COUNTIFS('TỔNG KLH + TN'!$B:$B,'01. TH'!$B119,'TỔNG KLH + TN'!$C:$C,'01. TH'!Y$4)</f>
        <v>0</v>
      </c>
      <c r="Z119" s="126">
        <f>COUNTIFS('TỔNG KLH + TN'!$B:$B,'01. TH'!$B119,'TỔNG KLH + TN'!$C:$C,'01. TH'!Z$4)</f>
        <v>0</v>
      </c>
      <c r="AA119" s="126">
        <f>COUNTIFS('TỔNG KLH + TN'!$B:$B,'01. TH'!$B119,'TỔNG KLH + TN'!$C:$C,'01. TH'!AA$4)</f>
        <v>0</v>
      </c>
      <c r="AB119" s="126">
        <f>COUNTIFS('TỔNG KLH + TN'!$B:$B,'01. TH'!$B119,'TỔNG KLH + TN'!$C:$C,'01. TH'!AB$4)</f>
        <v>0</v>
      </c>
      <c r="AC119" s="126">
        <f>COUNTIFS('TỔNG KLH + TN'!$B:$B,'01. TH'!$B119,'TỔNG KLH + TN'!$C:$C,'01. TH'!AC$4)</f>
        <v>0</v>
      </c>
      <c r="AD119" s="126">
        <f>COUNTIFS('TỔNG KLH + TN'!$B:$B,'01. TH'!$B119,'TỔNG KLH + TN'!$C:$C,'01. TH'!AD$4)</f>
        <v>0</v>
      </c>
      <c r="AE119" s="162">
        <f t="shared" si="23"/>
        <v>1</v>
      </c>
      <c r="AF119" s="162"/>
      <c r="AG119" s="70" t="str">
        <f t="shared" si="24"/>
        <v>ok</v>
      </c>
      <c r="AH119" s="163"/>
    </row>
    <row r="120" ht="18.75" hidden="1" customHeight="1" outlineLevel="1">
      <c r="A120" s="121"/>
      <c r="B120" s="122" t="s">
        <v>875</v>
      </c>
      <c r="C120" s="123" t="s">
        <v>101</v>
      </c>
      <c r="D120" s="124" t="str">
        <f>IFERROR(VLOOKUP(B120,'Danh mục'!$G:$U,15,0),"")</f>
        <v>3120 x 1495 x 1510</v>
      </c>
      <c r="E120" s="124" t="s">
        <v>108</v>
      </c>
      <c r="F120" s="126">
        <f>COUNTIFS('TỔNG KLH + TN'!$B:$B,'01. TH'!$B120,'TỔNG KLH + TN'!$C:$C,'01. TH'!F$4)</f>
        <v>0</v>
      </c>
      <c r="G120" s="126">
        <f>COUNTIFS('TỔNG KLH + TN'!$B:$B,'01. TH'!$B120,'TỔNG KLH + TN'!$C:$C,'01. TH'!G$4)</f>
        <v>0</v>
      </c>
      <c r="H120" s="126">
        <f>COUNTIFS('TỔNG KLH + TN'!$B:$B,'01. TH'!$B120,'TỔNG KLH + TN'!$C:$C,'01. TH'!H$4)</f>
        <v>1</v>
      </c>
      <c r="I120" s="126">
        <f>COUNTIFS('TỔNG KLH + TN'!$B:$B,'01. TH'!$B120,'TỔNG KLH + TN'!$C:$C,'01. TH'!I$4)</f>
        <v>0</v>
      </c>
      <c r="J120" s="126">
        <f>COUNTIFS('TỔNG KLH + TN'!$B:$B,'01. TH'!$B120,'TỔNG KLH + TN'!$C:$C,'01. TH'!J$4)</f>
        <v>2</v>
      </c>
      <c r="K120" s="126">
        <f>COUNTIFS('TỔNG KLH + TN'!$B:$B,'01. TH'!$B120,'TỔNG KLH + TN'!$C:$C,'01. TH'!K$4)</f>
        <v>0</v>
      </c>
      <c r="L120" s="126">
        <f>COUNTIFS('TỔNG KLH + TN'!$B:$B,'01. TH'!$B120,'TỔNG KLH + TN'!$C:$C,'01. TH'!L$4)</f>
        <v>0</v>
      </c>
      <c r="M120" s="126">
        <f>COUNTIFS('TỔNG KLH + TN'!$B:$B,'01. TH'!$B120,'TỔNG KLH + TN'!$C:$C,'01. TH'!M$4)</f>
        <v>0</v>
      </c>
      <c r="N120" s="126">
        <f>COUNTIFS('TỔNG KLH + TN'!$B:$B,'01. TH'!$B120,'TỔNG KLH + TN'!$C:$C,'01. TH'!N$4)</f>
        <v>0</v>
      </c>
      <c r="O120" s="126">
        <f>COUNTIFS('TỔNG KLH + TN'!$B:$B,'01. TH'!$B120,'TỔNG KLH + TN'!$C:$C,'01. TH'!O$4)</f>
        <v>0</v>
      </c>
      <c r="P120" s="126">
        <f>COUNTIFS('TỔNG KLH + TN'!$B:$B,'01. TH'!$B120,'TỔNG KLH + TN'!$C:$C,'01. TH'!P$4)</f>
        <v>0</v>
      </c>
      <c r="Q120" s="126">
        <f>COUNTIFS('TỔNG KLH + TN'!$B:$B,'01. TH'!$B120,'TỔNG KLH + TN'!$C:$C,'01. TH'!Q$4)</f>
        <v>1</v>
      </c>
      <c r="R120" s="126">
        <f>COUNTIFS('TỔNG KLH + TN'!$B:$B,'01. TH'!$B120,'TỔNG KLH + TN'!$C:$C,'01. TH'!R$4)</f>
        <v>1</v>
      </c>
      <c r="S120" s="126">
        <f>COUNTIFS('TỔNG KLH + TN'!$B:$B,'01. TH'!$B120,'TỔNG KLH + TN'!$C:$C,'01. TH'!S$4)</f>
        <v>0</v>
      </c>
      <c r="T120" s="126">
        <f>COUNTIFS('TỔNG KLH + TN'!$B:$B,'01. TH'!$B120,'TỔNG KLH + TN'!$C:$C,'01. TH'!T$4)</f>
        <v>0</v>
      </c>
      <c r="U120" s="126">
        <f>COUNTIFS('TỔNG KLH + TN'!$B:$B,'01. TH'!$B120,'TỔNG KLH + TN'!$C:$C,'01. TH'!U$4)</f>
        <v>0</v>
      </c>
      <c r="V120" s="126">
        <f>COUNTIFS('TỔNG KLH + TN'!$B:$B,'01. TH'!$B120,'TỔNG KLH + TN'!$C:$C,'01. TH'!V$4)</f>
        <v>0</v>
      </c>
      <c r="W120" s="126">
        <f>COUNTIFS('TỔNG KLH + TN'!$B:$B,'01. TH'!$B120,'TỔNG KLH + TN'!$C:$C,'01. TH'!W$4)</f>
        <v>0</v>
      </c>
      <c r="X120" s="126">
        <f>COUNTIFS('TỔNG KLH + TN'!$B:$B,'01. TH'!$B120,'TỔNG KLH + TN'!$C:$C,'01. TH'!X$4)</f>
        <v>0</v>
      </c>
      <c r="Y120" s="126">
        <f>COUNTIFS('TỔNG KLH + TN'!$B:$B,'01. TH'!$B120,'TỔNG KLH + TN'!$C:$C,'01. TH'!Y$4)</f>
        <v>1</v>
      </c>
      <c r="Z120" s="126">
        <f>COUNTIFS('TỔNG KLH + TN'!$B:$B,'01. TH'!$B120,'TỔNG KLH + TN'!$C:$C,'01. TH'!Z$4)</f>
        <v>0</v>
      </c>
      <c r="AA120" s="126">
        <f>COUNTIFS('TỔNG KLH + TN'!$B:$B,'01. TH'!$B120,'TỔNG KLH + TN'!$C:$C,'01. TH'!AA$4)</f>
        <v>2</v>
      </c>
      <c r="AB120" s="126">
        <f>COUNTIFS('TỔNG KLH + TN'!$B:$B,'01. TH'!$B120,'TỔNG KLH + TN'!$C:$C,'01. TH'!AB$4)</f>
        <v>0</v>
      </c>
      <c r="AC120" s="126">
        <f>COUNTIFS('TỔNG KLH + TN'!$B:$B,'01. TH'!$B120,'TỔNG KLH + TN'!$C:$C,'01. TH'!AC$4)</f>
        <v>0</v>
      </c>
      <c r="AD120" s="126">
        <f>COUNTIFS('TỔNG KLH + TN'!$B:$B,'01. TH'!$B120,'TỔNG KLH + TN'!$C:$C,'01. TH'!AD$4)</f>
        <v>0</v>
      </c>
      <c r="AE120" s="136">
        <f t="shared" si="23"/>
        <v>8</v>
      </c>
      <c r="AF120" s="136"/>
      <c r="AG120" s="70" t="str">
        <f t="shared" si="24"/>
        <v>ok</v>
      </c>
      <c r="AH120" s="121"/>
    </row>
    <row r="121" ht="18.75" hidden="1" customHeight="1" outlineLevel="1">
      <c r="A121" s="159"/>
      <c r="B121" s="122" t="s">
        <v>737</v>
      </c>
      <c r="C121" s="123" t="s">
        <v>278</v>
      </c>
      <c r="D121" s="124" t="str">
        <f>IFERROR(VLOOKUP(B121,'Danh mục'!$G:$U,15,0),"")</f>
        <v>5300 x 2620 x 3010</v>
      </c>
      <c r="E121" s="124" t="s">
        <v>108</v>
      </c>
      <c r="F121" s="126">
        <f>COUNTIFS('TỔNG KLH + TN'!$B:$B,'01. TH'!$B121,'TỔNG KLH + TN'!$C:$C,'01. TH'!F$4)</f>
        <v>0</v>
      </c>
      <c r="G121" s="126">
        <f>COUNTIFS('TỔNG KLH + TN'!$B:$B,'01. TH'!$B121,'TỔNG KLH + TN'!$C:$C,'01. TH'!G$4)</f>
        <v>1</v>
      </c>
      <c r="H121" s="126">
        <f>COUNTIFS('TỔNG KLH + TN'!$B:$B,'01. TH'!$B121,'TỔNG KLH + TN'!$C:$C,'01. TH'!H$4)</f>
        <v>0</v>
      </c>
      <c r="I121" s="126">
        <f>COUNTIFS('TỔNG KLH + TN'!$B:$B,'01. TH'!$B121,'TỔNG KLH + TN'!$C:$C,'01. TH'!I$4)</f>
        <v>0</v>
      </c>
      <c r="J121" s="126">
        <f>COUNTIFS('TỔNG KLH + TN'!$B:$B,'01. TH'!$B121,'TỔNG KLH + TN'!$C:$C,'01. TH'!J$4)</f>
        <v>0</v>
      </c>
      <c r="K121" s="126">
        <f>COUNTIFS('TỔNG KLH + TN'!$B:$B,'01. TH'!$B121,'TỔNG KLH + TN'!$C:$C,'01. TH'!K$4)</f>
        <v>0</v>
      </c>
      <c r="L121" s="126">
        <f>COUNTIFS('TỔNG KLH + TN'!$B:$B,'01. TH'!$B121,'TỔNG KLH + TN'!$C:$C,'01. TH'!L$4)</f>
        <v>0</v>
      </c>
      <c r="M121" s="126">
        <f>COUNTIFS('TỔNG KLH + TN'!$B:$B,'01. TH'!$B121,'TỔNG KLH + TN'!$C:$C,'01. TH'!M$4)</f>
        <v>0</v>
      </c>
      <c r="N121" s="126">
        <f>COUNTIFS('TỔNG KLH + TN'!$B:$B,'01. TH'!$B121,'TỔNG KLH + TN'!$C:$C,'01. TH'!N$4)</f>
        <v>0</v>
      </c>
      <c r="O121" s="126">
        <f>COUNTIFS('TỔNG KLH + TN'!$B:$B,'01. TH'!$B121,'TỔNG KLH + TN'!$C:$C,'01. TH'!O$4)</f>
        <v>0</v>
      </c>
      <c r="P121" s="126">
        <f>COUNTIFS('TỔNG KLH + TN'!$B:$B,'01. TH'!$B121,'TỔNG KLH + TN'!$C:$C,'01. TH'!P$4)</f>
        <v>2</v>
      </c>
      <c r="Q121" s="126">
        <f>COUNTIFS('TỔNG KLH + TN'!$B:$B,'01. TH'!$B121,'TỔNG KLH + TN'!$C:$C,'01. TH'!Q$4)</f>
        <v>0</v>
      </c>
      <c r="R121" s="126">
        <f>COUNTIFS('TỔNG KLH + TN'!$B:$B,'01. TH'!$B121,'TỔNG KLH + TN'!$C:$C,'01. TH'!R$4)</f>
        <v>0</v>
      </c>
      <c r="S121" s="126">
        <f>COUNTIFS('TỔNG KLH + TN'!$B:$B,'01. TH'!$B121,'TỔNG KLH + TN'!$C:$C,'01. TH'!S$4)</f>
        <v>0</v>
      </c>
      <c r="T121" s="126">
        <f>COUNTIFS('TỔNG KLH + TN'!$B:$B,'01. TH'!$B121,'TỔNG KLH + TN'!$C:$C,'01. TH'!T$4)</f>
        <v>0</v>
      </c>
      <c r="U121" s="126">
        <f>COUNTIFS('TỔNG KLH + TN'!$B:$B,'01. TH'!$B121,'TỔNG KLH + TN'!$C:$C,'01. TH'!U$4)</f>
        <v>2</v>
      </c>
      <c r="V121" s="126">
        <f>COUNTIFS('TỔNG KLH + TN'!$B:$B,'01. TH'!$B121,'TỔNG KLH + TN'!$C:$C,'01. TH'!V$4)</f>
        <v>0</v>
      </c>
      <c r="W121" s="126">
        <f>COUNTIFS('TỔNG KLH + TN'!$B:$B,'01. TH'!$B121,'TỔNG KLH + TN'!$C:$C,'01. TH'!W$4)</f>
        <v>0</v>
      </c>
      <c r="X121" s="126">
        <f>COUNTIFS('TỔNG KLH + TN'!$B:$B,'01. TH'!$B121,'TỔNG KLH + TN'!$C:$C,'01. TH'!X$4)</f>
        <v>0</v>
      </c>
      <c r="Y121" s="126">
        <f>COUNTIFS('TỔNG KLH + TN'!$B:$B,'01. TH'!$B121,'TỔNG KLH + TN'!$C:$C,'01. TH'!Y$4)</f>
        <v>0</v>
      </c>
      <c r="Z121" s="126">
        <f>COUNTIFS('TỔNG KLH + TN'!$B:$B,'01. TH'!$B121,'TỔNG KLH + TN'!$C:$C,'01. TH'!Z$4)</f>
        <v>0</v>
      </c>
      <c r="AA121" s="126">
        <f>COUNTIFS('TỔNG KLH + TN'!$B:$B,'01. TH'!$B121,'TỔNG KLH + TN'!$C:$C,'01. TH'!AA$4)</f>
        <v>0</v>
      </c>
      <c r="AB121" s="126">
        <f>COUNTIFS('TỔNG KLH + TN'!$B:$B,'01. TH'!$B121,'TỔNG KLH + TN'!$C:$C,'01. TH'!AB$4)</f>
        <v>0</v>
      </c>
      <c r="AC121" s="126">
        <f>COUNTIFS('TỔNG KLH + TN'!$B:$B,'01. TH'!$B121,'TỔNG KLH + TN'!$C:$C,'01. TH'!AC$4)</f>
        <v>0</v>
      </c>
      <c r="AD121" s="126">
        <f>COUNTIFS('TỔNG KLH + TN'!$B:$B,'01. TH'!$B121,'TỔNG KLH + TN'!$C:$C,'01. TH'!AD$4)</f>
        <v>0</v>
      </c>
      <c r="AE121" s="162">
        <f t="shared" si="23"/>
        <v>5</v>
      </c>
      <c r="AF121" s="162"/>
      <c r="AG121" s="70" t="str">
        <f t="shared" si="24"/>
        <v>ok</v>
      </c>
      <c r="AH121" s="163"/>
    </row>
    <row r="122" ht="18.75" hidden="1" customHeight="1" outlineLevel="1">
      <c r="A122" s="121"/>
      <c r="B122" s="122" t="s">
        <v>1735</v>
      </c>
      <c r="C122" s="123" t="s">
        <v>1738</v>
      </c>
      <c r="D122" s="124" t="str">
        <f>IFERROR(VLOOKUP(B122,'Danh mục'!$G:$U,15,0),"")</f>
        <v>5300 x 2600 x 3150</v>
      </c>
      <c r="E122" s="124" t="s">
        <v>108</v>
      </c>
      <c r="F122" s="126">
        <f>COUNTIFS('TỔNG KLH + TN'!$B:$B,'01. TH'!$B122,'TỔNG KLH + TN'!$C:$C,'01. TH'!F$4)</f>
        <v>0</v>
      </c>
      <c r="G122" s="126">
        <f>COUNTIFS('TỔNG KLH + TN'!$B:$B,'01. TH'!$B122,'TỔNG KLH + TN'!$C:$C,'01. TH'!G$4)</f>
        <v>0</v>
      </c>
      <c r="H122" s="126">
        <f>COUNTIFS('TỔNG KLH + TN'!$B:$B,'01. TH'!$B122,'TỔNG KLH + TN'!$C:$C,'01. TH'!H$4)</f>
        <v>0</v>
      </c>
      <c r="I122" s="126">
        <f>COUNTIFS('TỔNG KLH + TN'!$B:$B,'01. TH'!$B122,'TỔNG KLH + TN'!$C:$C,'01. TH'!I$4)</f>
        <v>0</v>
      </c>
      <c r="J122" s="126">
        <f>COUNTIFS('TỔNG KLH + TN'!$B:$B,'01. TH'!$B122,'TỔNG KLH + TN'!$C:$C,'01. TH'!J$4)</f>
        <v>0</v>
      </c>
      <c r="K122" s="126">
        <f>COUNTIFS('TỔNG KLH + TN'!$B:$B,'01. TH'!$B122,'TỔNG KLH + TN'!$C:$C,'01. TH'!K$4)</f>
        <v>0</v>
      </c>
      <c r="L122" s="126">
        <f>COUNTIFS('TỔNG KLH + TN'!$B:$B,'01. TH'!$B122,'TỔNG KLH + TN'!$C:$C,'01. TH'!L$4)</f>
        <v>0</v>
      </c>
      <c r="M122" s="126">
        <f>COUNTIFS('TỔNG KLH + TN'!$B:$B,'01. TH'!$B122,'TỔNG KLH + TN'!$C:$C,'01. TH'!M$4)</f>
        <v>0</v>
      </c>
      <c r="N122" s="126">
        <f>COUNTIFS('TỔNG KLH + TN'!$B:$B,'01. TH'!$B122,'TỔNG KLH + TN'!$C:$C,'01. TH'!N$4)</f>
        <v>0</v>
      </c>
      <c r="O122" s="126">
        <f>COUNTIFS('TỔNG KLH + TN'!$B:$B,'01. TH'!$B122,'TỔNG KLH + TN'!$C:$C,'01. TH'!O$4)</f>
        <v>0</v>
      </c>
      <c r="P122" s="126">
        <f>COUNTIFS('TỔNG KLH + TN'!$B:$B,'01. TH'!$B122,'TỔNG KLH + TN'!$C:$C,'01. TH'!P$4)</f>
        <v>0</v>
      </c>
      <c r="Q122" s="126">
        <f>COUNTIFS('TỔNG KLH + TN'!$B:$B,'01. TH'!$B122,'TỔNG KLH + TN'!$C:$C,'01. TH'!Q$4)</f>
        <v>0</v>
      </c>
      <c r="R122" s="126">
        <f>COUNTIFS('TỔNG KLH + TN'!$B:$B,'01. TH'!$B122,'TỔNG KLH + TN'!$C:$C,'01. TH'!R$4)</f>
        <v>0</v>
      </c>
      <c r="S122" s="126">
        <f>COUNTIFS('TỔNG KLH + TN'!$B:$B,'01. TH'!$B122,'TỔNG KLH + TN'!$C:$C,'01. TH'!S$4)</f>
        <v>0</v>
      </c>
      <c r="T122" s="126">
        <f>COUNTIFS('TỔNG KLH + TN'!$B:$B,'01. TH'!$B122,'TỔNG KLH + TN'!$C:$C,'01. TH'!T$4)</f>
        <v>0</v>
      </c>
      <c r="U122" s="126">
        <f>COUNTIFS('TỔNG KLH + TN'!$B:$B,'01. TH'!$B122,'TỔNG KLH + TN'!$C:$C,'01. TH'!U$4)</f>
        <v>1</v>
      </c>
      <c r="V122" s="126">
        <f>COUNTIFS('TỔNG KLH + TN'!$B:$B,'01. TH'!$B122,'TỔNG KLH + TN'!$C:$C,'01. TH'!V$4)</f>
        <v>0</v>
      </c>
      <c r="W122" s="126">
        <f>COUNTIFS('TỔNG KLH + TN'!$B:$B,'01. TH'!$B122,'TỔNG KLH + TN'!$C:$C,'01. TH'!W$4)</f>
        <v>0</v>
      </c>
      <c r="X122" s="126">
        <f>COUNTIFS('TỔNG KLH + TN'!$B:$B,'01. TH'!$B122,'TỔNG KLH + TN'!$C:$C,'01. TH'!X$4)</f>
        <v>0</v>
      </c>
      <c r="Y122" s="126">
        <f>COUNTIFS('TỔNG KLH + TN'!$B:$B,'01. TH'!$B122,'TỔNG KLH + TN'!$C:$C,'01. TH'!Y$4)</f>
        <v>0</v>
      </c>
      <c r="Z122" s="126">
        <f>COUNTIFS('TỔNG KLH + TN'!$B:$B,'01. TH'!$B122,'TỔNG KLH + TN'!$C:$C,'01. TH'!Z$4)</f>
        <v>0</v>
      </c>
      <c r="AA122" s="126">
        <f>COUNTIFS('TỔNG KLH + TN'!$B:$B,'01. TH'!$B122,'TỔNG KLH + TN'!$C:$C,'01. TH'!AA$4)</f>
        <v>0</v>
      </c>
      <c r="AB122" s="126">
        <f>COUNTIFS('TỔNG KLH + TN'!$B:$B,'01. TH'!$B122,'TỔNG KLH + TN'!$C:$C,'01. TH'!AB$4)</f>
        <v>0</v>
      </c>
      <c r="AC122" s="126">
        <f>COUNTIFS('TỔNG KLH + TN'!$B:$B,'01. TH'!$B122,'TỔNG KLH + TN'!$C:$C,'01. TH'!AC$4)</f>
        <v>0</v>
      </c>
      <c r="AD122" s="126">
        <f>COUNTIFS('TỔNG KLH + TN'!$B:$B,'01. TH'!$B122,'TỔNG KLH + TN'!$C:$C,'01. TH'!AD$4)</f>
        <v>0</v>
      </c>
      <c r="AE122" s="136">
        <f t="shared" si="23"/>
        <v>1</v>
      </c>
      <c r="AF122" s="136"/>
      <c r="AG122" s="70" t="str">
        <f t="shared" si="24"/>
        <v>ok</v>
      </c>
      <c r="AH122" s="124"/>
    </row>
    <row r="123" ht="18.75" hidden="1" customHeight="1" outlineLevel="1">
      <c r="A123" s="159"/>
      <c r="B123" s="122" t="s">
        <v>4286</v>
      </c>
      <c r="C123" s="123" t="s">
        <v>4287</v>
      </c>
      <c r="D123" s="124" t="str">
        <f>IFERROR(VLOOKUP(B123,'Danh mục'!$G:$U,15,0),"")</f>
        <v>3400 x 1570 x 2260</v>
      </c>
      <c r="E123" s="124" t="s">
        <v>108</v>
      </c>
      <c r="F123" s="126">
        <f>COUNTIFS('TỔNG KLH + TN'!$B:$B,'01. TH'!$B123,'TỔNG KLH + TN'!$C:$C,'01. TH'!F$4)</f>
        <v>0</v>
      </c>
      <c r="G123" s="126">
        <f>COUNTIFS('TỔNG KLH + TN'!$B:$B,'01. TH'!$B123,'TỔNG KLH + TN'!$C:$C,'01. TH'!G$4)</f>
        <v>0</v>
      </c>
      <c r="H123" s="126">
        <f>COUNTIFS('TỔNG KLH + TN'!$B:$B,'01. TH'!$B123,'TỔNG KLH + TN'!$C:$C,'01. TH'!H$4)</f>
        <v>0</v>
      </c>
      <c r="I123" s="126">
        <f>COUNTIFS('TỔNG KLH + TN'!$B:$B,'01. TH'!$B123,'TỔNG KLH + TN'!$C:$C,'01. TH'!I$4)</f>
        <v>0</v>
      </c>
      <c r="J123" s="126">
        <f>COUNTIFS('TỔNG KLH + TN'!$B:$B,'01. TH'!$B123,'TỔNG KLH + TN'!$C:$C,'01. TH'!J$4)</f>
        <v>0</v>
      </c>
      <c r="K123" s="126">
        <f>COUNTIFS('TỔNG KLH + TN'!$B:$B,'01. TH'!$B123,'TỔNG KLH + TN'!$C:$C,'01. TH'!K$4)</f>
        <v>0</v>
      </c>
      <c r="L123" s="126">
        <f>COUNTIFS('TỔNG KLH + TN'!$B:$B,'01. TH'!$B123,'TỔNG KLH + TN'!$C:$C,'01. TH'!L$4)</f>
        <v>0</v>
      </c>
      <c r="M123" s="126">
        <f>COUNTIFS('TỔNG KLH + TN'!$B:$B,'01. TH'!$B123,'TỔNG KLH + TN'!$C:$C,'01. TH'!M$4)</f>
        <v>0</v>
      </c>
      <c r="N123" s="126">
        <f>COUNTIFS('TỔNG KLH + TN'!$B:$B,'01. TH'!$B123,'TỔNG KLH + TN'!$C:$C,'01. TH'!N$4)</f>
        <v>0</v>
      </c>
      <c r="O123" s="126">
        <f>COUNTIFS('TỔNG KLH + TN'!$B:$B,'01. TH'!$B123,'TỔNG KLH + TN'!$C:$C,'01. TH'!O$4)</f>
        <v>0</v>
      </c>
      <c r="P123" s="126">
        <f>COUNTIFS('TỔNG KLH + TN'!$B:$B,'01. TH'!$B123,'TỔNG KLH + TN'!$C:$C,'01. TH'!P$4)</f>
        <v>0</v>
      </c>
      <c r="Q123" s="126">
        <f>COUNTIFS('TỔNG KLH + TN'!$B:$B,'01. TH'!$B123,'TỔNG KLH + TN'!$C:$C,'01. TH'!Q$4)</f>
        <v>0</v>
      </c>
      <c r="R123" s="126">
        <f>COUNTIFS('TỔNG KLH + TN'!$B:$B,'01. TH'!$B123,'TỔNG KLH + TN'!$C:$C,'01. TH'!R$4)</f>
        <v>1</v>
      </c>
      <c r="S123" s="126">
        <f>COUNTIFS('TỔNG KLH + TN'!$B:$B,'01. TH'!$B123,'TỔNG KLH + TN'!$C:$C,'01. TH'!S$4)</f>
        <v>0</v>
      </c>
      <c r="T123" s="126">
        <f>COUNTIFS('TỔNG KLH + TN'!$B:$B,'01. TH'!$B123,'TỔNG KLH + TN'!$C:$C,'01. TH'!T$4)</f>
        <v>0</v>
      </c>
      <c r="U123" s="126">
        <f>COUNTIFS('TỔNG KLH + TN'!$B:$B,'01. TH'!$B123,'TỔNG KLH + TN'!$C:$C,'01. TH'!U$4)</f>
        <v>0</v>
      </c>
      <c r="V123" s="126">
        <f>COUNTIFS('TỔNG KLH + TN'!$B:$B,'01. TH'!$B123,'TỔNG KLH + TN'!$C:$C,'01. TH'!V$4)</f>
        <v>0</v>
      </c>
      <c r="W123" s="126">
        <f>COUNTIFS('TỔNG KLH + TN'!$B:$B,'01. TH'!$B123,'TỔNG KLH + TN'!$C:$C,'01. TH'!W$4)</f>
        <v>0</v>
      </c>
      <c r="X123" s="126">
        <f>COUNTIFS('TỔNG KLH + TN'!$B:$B,'01. TH'!$B123,'TỔNG KLH + TN'!$C:$C,'01. TH'!X$4)</f>
        <v>0</v>
      </c>
      <c r="Y123" s="126">
        <f>COUNTIFS('TỔNG KLH + TN'!$B:$B,'01. TH'!$B123,'TỔNG KLH + TN'!$C:$C,'01. TH'!Y$4)</f>
        <v>0</v>
      </c>
      <c r="Z123" s="126">
        <f>COUNTIFS('TỔNG KLH + TN'!$B:$B,'01. TH'!$B123,'TỔNG KLH + TN'!$C:$C,'01. TH'!Z$4)</f>
        <v>0</v>
      </c>
      <c r="AA123" s="126">
        <f>COUNTIFS('TỔNG KLH + TN'!$B:$B,'01. TH'!$B123,'TỔNG KLH + TN'!$C:$C,'01. TH'!AA$4)</f>
        <v>0</v>
      </c>
      <c r="AB123" s="126">
        <f>COUNTIFS('TỔNG KLH + TN'!$B:$B,'01. TH'!$B123,'TỔNG KLH + TN'!$C:$C,'01. TH'!AB$4)</f>
        <v>0</v>
      </c>
      <c r="AC123" s="126">
        <f>COUNTIFS('TỔNG KLH + TN'!$B:$B,'01. TH'!$B123,'TỔNG KLH + TN'!$C:$C,'01. TH'!AC$4)</f>
        <v>0</v>
      </c>
      <c r="AD123" s="126">
        <f>COUNTIFS('TỔNG KLH + TN'!$B:$B,'01. TH'!$B123,'TỔNG KLH + TN'!$C:$C,'01. TH'!AD$4)</f>
        <v>0</v>
      </c>
      <c r="AE123" s="162">
        <f t="shared" si="23"/>
        <v>1</v>
      </c>
      <c r="AF123" s="162"/>
      <c r="AG123" s="70" t="str">
        <f t="shared" si="24"/>
        <v>ok</v>
      </c>
      <c r="AH123" s="163"/>
    </row>
    <row r="124" ht="18.75" hidden="1" customHeight="1" outlineLevel="1">
      <c r="A124" s="159"/>
      <c r="B124" s="122" t="s">
        <v>1726</v>
      </c>
      <c r="C124" s="123" t="s">
        <v>682</v>
      </c>
      <c r="D124" s="124" t="str">
        <f>IFERROR(VLOOKUP(B124,'Danh mục'!$G:$U,15,0),"")</f>
        <v>4725 x 1910 x 3160</v>
      </c>
      <c r="E124" s="124" t="s">
        <v>108</v>
      </c>
      <c r="F124" s="126">
        <f>COUNTIFS('TỔNG KLH + TN'!$B:$B,'01. TH'!$B124,'TỔNG KLH + TN'!$C:$C,'01. TH'!F$4)</f>
        <v>0</v>
      </c>
      <c r="G124" s="126">
        <f>COUNTIFS('TỔNG KLH + TN'!$B:$B,'01. TH'!$B124,'TỔNG KLH + TN'!$C:$C,'01. TH'!G$4)</f>
        <v>0</v>
      </c>
      <c r="H124" s="126">
        <f>COUNTIFS('TỔNG KLH + TN'!$B:$B,'01. TH'!$B124,'TỔNG KLH + TN'!$C:$C,'01. TH'!H$4)</f>
        <v>0</v>
      </c>
      <c r="I124" s="126">
        <f>COUNTIFS('TỔNG KLH + TN'!$B:$B,'01. TH'!$B124,'TỔNG KLH + TN'!$C:$C,'01. TH'!I$4)</f>
        <v>0</v>
      </c>
      <c r="J124" s="126">
        <f>COUNTIFS('TỔNG KLH + TN'!$B:$B,'01. TH'!$B124,'TỔNG KLH + TN'!$C:$C,'01. TH'!J$4)</f>
        <v>0</v>
      </c>
      <c r="K124" s="126">
        <f>COUNTIFS('TỔNG KLH + TN'!$B:$B,'01. TH'!$B124,'TỔNG KLH + TN'!$C:$C,'01. TH'!K$4)</f>
        <v>0</v>
      </c>
      <c r="L124" s="126">
        <f>COUNTIFS('TỔNG KLH + TN'!$B:$B,'01. TH'!$B124,'TỔNG KLH + TN'!$C:$C,'01. TH'!L$4)</f>
        <v>0</v>
      </c>
      <c r="M124" s="126">
        <f>COUNTIFS('TỔNG KLH + TN'!$B:$B,'01. TH'!$B124,'TỔNG KLH + TN'!$C:$C,'01. TH'!M$4)</f>
        <v>0</v>
      </c>
      <c r="N124" s="126">
        <f>COUNTIFS('TỔNG KLH + TN'!$B:$B,'01. TH'!$B124,'TỔNG KLH + TN'!$C:$C,'01. TH'!N$4)</f>
        <v>0</v>
      </c>
      <c r="O124" s="126">
        <f>COUNTIFS('TỔNG KLH + TN'!$B:$B,'01. TH'!$B124,'TỔNG KLH + TN'!$C:$C,'01. TH'!O$4)</f>
        <v>0</v>
      </c>
      <c r="P124" s="126">
        <f>COUNTIFS('TỔNG KLH + TN'!$B:$B,'01. TH'!$B124,'TỔNG KLH + TN'!$C:$C,'01. TH'!P$4)</f>
        <v>0</v>
      </c>
      <c r="Q124" s="126">
        <f>COUNTIFS('TỔNG KLH + TN'!$B:$B,'01. TH'!$B124,'TỔNG KLH + TN'!$C:$C,'01. TH'!Q$4)</f>
        <v>0</v>
      </c>
      <c r="R124" s="126">
        <f>COUNTIFS('TỔNG KLH + TN'!$B:$B,'01. TH'!$B124,'TỔNG KLH + TN'!$C:$C,'01. TH'!R$4)</f>
        <v>0</v>
      </c>
      <c r="S124" s="126">
        <f>COUNTIFS('TỔNG KLH + TN'!$B:$B,'01. TH'!$B124,'TỔNG KLH + TN'!$C:$C,'01. TH'!S$4)</f>
        <v>0</v>
      </c>
      <c r="T124" s="126">
        <f>COUNTIFS('TỔNG KLH + TN'!$B:$B,'01. TH'!$B124,'TỔNG KLH + TN'!$C:$C,'01. TH'!T$4)</f>
        <v>0</v>
      </c>
      <c r="U124" s="126">
        <f>COUNTIFS('TỔNG KLH + TN'!$B:$B,'01. TH'!$B124,'TỔNG KLH + TN'!$C:$C,'01. TH'!U$4)</f>
        <v>5</v>
      </c>
      <c r="V124" s="126">
        <f>COUNTIFS('TỔNG KLH + TN'!$B:$B,'01. TH'!$B124,'TỔNG KLH + TN'!$C:$C,'01. TH'!V$4)</f>
        <v>0</v>
      </c>
      <c r="W124" s="126">
        <f>COUNTIFS('TỔNG KLH + TN'!$B:$B,'01. TH'!$B124,'TỔNG KLH + TN'!$C:$C,'01. TH'!W$4)</f>
        <v>0</v>
      </c>
      <c r="X124" s="126">
        <f>COUNTIFS('TỔNG KLH + TN'!$B:$B,'01. TH'!$B124,'TỔNG KLH + TN'!$C:$C,'01. TH'!X$4)</f>
        <v>0</v>
      </c>
      <c r="Y124" s="126">
        <f>COUNTIFS('TỔNG KLH + TN'!$B:$B,'01. TH'!$B124,'TỔNG KLH + TN'!$C:$C,'01. TH'!Y$4)</f>
        <v>0</v>
      </c>
      <c r="Z124" s="126">
        <f>COUNTIFS('TỔNG KLH + TN'!$B:$B,'01. TH'!$B124,'TỔNG KLH + TN'!$C:$C,'01. TH'!Z$4)</f>
        <v>0</v>
      </c>
      <c r="AA124" s="126">
        <f>COUNTIFS('TỔNG KLH + TN'!$B:$B,'01. TH'!$B124,'TỔNG KLH + TN'!$C:$C,'01. TH'!AA$4)</f>
        <v>0</v>
      </c>
      <c r="AB124" s="126">
        <f>COUNTIFS('TỔNG KLH + TN'!$B:$B,'01. TH'!$B124,'TỔNG KLH + TN'!$C:$C,'01. TH'!AB$4)</f>
        <v>0</v>
      </c>
      <c r="AC124" s="126">
        <f>COUNTIFS('TỔNG KLH + TN'!$B:$B,'01. TH'!$B124,'TỔNG KLH + TN'!$C:$C,'01. TH'!AC$4)</f>
        <v>0</v>
      </c>
      <c r="AD124" s="126">
        <f>COUNTIFS('TỔNG KLH + TN'!$B:$B,'01. TH'!$B124,'TỔNG KLH + TN'!$C:$C,'01. TH'!AD$4)</f>
        <v>0</v>
      </c>
      <c r="AE124" s="162">
        <f t="shared" si="23"/>
        <v>5</v>
      </c>
      <c r="AF124" s="162"/>
      <c r="AG124" s="70" t="str">
        <f t="shared" si="24"/>
        <v>ok</v>
      </c>
      <c r="AH124" s="163"/>
    </row>
    <row r="125" ht="18.75" hidden="1" customHeight="1" outlineLevel="1">
      <c r="A125" s="159"/>
      <c r="B125" s="122" t="s">
        <v>788</v>
      </c>
      <c r="C125" s="123" t="s">
        <v>792</v>
      </c>
      <c r="D125" s="124" t="str">
        <f>IFERROR(VLOOKUP(B125,'Danh mục'!$G:$U,15,0),"")</f>
        <v>3445 x 1865 x 2535</v>
      </c>
      <c r="E125" s="124" t="s">
        <v>108</v>
      </c>
      <c r="F125" s="126">
        <f>COUNTIFS('TỔNG KLH + TN'!$B:$B,'01. TH'!$B125,'TỔNG KLH + TN'!$C:$C,'01. TH'!F$4)</f>
        <v>0</v>
      </c>
      <c r="G125" s="126">
        <f>COUNTIFS('TỔNG KLH + TN'!$B:$B,'01. TH'!$B125,'TỔNG KLH + TN'!$C:$C,'01. TH'!G$4)</f>
        <v>0</v>
      </c>
      <c r="H125" s="126">
        <f>COUNTIFS('TỔNG KLH + TN'!$B:$B,'01. TH'!$B125,'TỔNG KLH + TN'!$C:$C,'01. TH'!H$4)</f>
        <v>0</v>
      </c>
      <c r="I125" s="126">
        <f>COUNTIFS('TỔNG KLH + TN'!$B:$B,'01. TH'!$B125,'TỔNG KLH + TN'!$C:$C,'01. TH'!I$4)</f>
        <v>3</v>
      </c>
      <c r="J125" s="126">
        <f>COUNTIFS('TỔNG KLH + TN'!$B:$B,'01. TH'!$B125,'TỔNG KLH + TN'!$C:$C,'01. TH'!J$4)</f>
        <v>0</v>
      </c>
      <c r="K125" s="126">
        <f>COUNTIFS('TỔNG KLH + TN'!$B:$B,'01. TH'!$B125,'TỔNG KLH + TN'!$C:$C,'01. TH'!K$4)</f>
        <v>0</v>
      </c>
      <c r="L125" s="126">
        <f>COUNTIFS('TỔNG KLH + TN'!$B:$B,'01. TH'!$B125,'TỔNG KLH + TN'!$C:$C,'01. TH'!L$4)</f>
        <v>0</v>
      </c>
      <c r="M125" s="126">
        <f>COUNTIFS('TỔNG KLH + TN'!$B:$B,'01. TH'!$B125,'TỔNG KLH + TN'!$C:$C,'01. TH'!M$4)</f>
        <v>0</v>
      </c>
      <c r="N125" s="126">
        <f>COUNTIFS('TỔNG KLH + TN'!$B:$B,'01. TH'!$B125,'TỔNG KLH + TN'!$C:$C,'01. TH'!N$4)</f>
        <v>0</v>
      </c>
      <c r="O125" s="126">
        <f>COUNTIFS('TỔNG KLH + TN'!$B:$B,'01. TH'!$B125,'TỔNG KLH + TN'!$C:$C,'01. TH'!O$4)</f>
        <v>0</v>
      </c>
      <c r="P125" s="126">
        <f>COUNTIFS('TỔNG KLH + TN'!$B:$B,'01. TH'!$B125,'TỔNG KLH + TN'!$C:$C,'01. TH'!P$4)</f>
        <v>1</v>
      </c>
      <c r="Q125" s="126">
        <f>COUNTIFS('TỔNG KLH + TN'!$B:$B,'01. TH'!$B125,'TỔNG KLH + TN'!$C:$C,'01. TH'!Q$4)</f>
        <v>0</v>
      </c>
      <c r="R125" s="126">
        <f>COUNTIFS('TỔNG KLH + TN'!$B:$B,'01. TH'!$B125,'TỔNG KLH + TN'!$C:$C,'01. TH'!R$4)</f>
        <v>2</v>
      </c>
      <c r="S125" s="126">
        <f>COUNTIFS('TỔNG KLH + TN'!$B:$B,'01. TH'!$B125,'TỔNG KLH + TN'!$C:$C,'01. TH'!S$4)</f>
        <v>0</v>
      </c>
      <c r="T125" s="126">
        <f>COUNTIFS('TỔNG KLH + TN'!$B:$B,'01. TH'!$B125,'TỔNG KLH + TN'!$C:$C,'01. TH'!T$4)</f>
        <v>0</v>
      </c>
      <c r="U125" s="126">
        <f>COUNTIFS('TỔNG KLH + TN'!$B:$B,'01. TH'!$B125,'TỔNG KLH + TN'!$C:$C,'01. TH'!U$4)</f>
        <v>3</v>
      </c>
      <c r="V125" s="126">
        <f>COUNTIFS('TỔNG KLH + TN'!$B:$B,'01. TH'!$B125,'TỔNG KLH + TN'!$C:$C,'01. TH'!V$4)</f>
        <v>0</v>
      </c>
      <c r="W125" s="126">
        <f>COUNTIFS('TỔNG KLH + TN'!$B:$B,'01. TH'!$B125,'TỔNG KLH + TN'!$C:$C,'01. TH'!W$4)</f>
        <v>0</v>
      </c>
      <c r="X125" s="126">
        <f>COUNTIFS('TỔNG KLH + TN'!$B:$B,'01. TH'!$B125,'TỔNG KLH + TN'!$C:$C,'01. TH'!X$4)</f>
        <v>0</v>
      </c>
      <c r="Y125" s="126">
        <f>COUNTIFS('TỔNG KLH + TN'!$B:$B,'01. TH'!$B125,'TỔNG KLH + TN'!$C:$C,'01. TH'!Y$4)</f>
        <v>0</v>
      </c>
      <c r="Z125" s="126">
        <f>COUNTIFS('TỔNG KLH + TN'!$B:$B,'01. TH'!$B125,'TỔNG KLH + TN'!$C:$C,'01. TH'!Z$4)</f>
        <v>0</v>
      </c>
      <c r="AA125" s="126">
        <f>COUNTIFS('TỔNG KLH + TN'!$B:$B,'01. TH'!$B125,'TỔNG KLH + TN'!$C:$C,'01. TH'!AA$4)</f>
        <v>0</v>
      </c>
      <c r="AB125" s="126">
        <f>COUNTIFS('TỔNG KLH + TN'!$B:$B,'01. TH'!$B125,'TỔNG KLH + TN'!$C:$C,'01. TH'!AB$4)</f>
        <v>1</v>
      </c>
      <c r="AC125" s="126">
        <f>COUNTIFS('TỔNG KLH + TN'!$B:$B,'01. TH'!$B125,'TỔNG KLH + TN'!$C:$C,'01. TH'!AC$4)</f>
        <v>0</v>
      </c>
      <c r="AD125" s="126">
        <f>COUNTIFS('TỔNG KLH + TN'!$B:$B,'01. TH'!$B125,'TỔNG KLH + TN'!$C:$C,'01. TH'!AD$4)</f>
        <v>0</v>
      </c>
      <c r="AE125" s="162">
        <f t="shared" si="23"/>
        <v>10</v>
      </c>
      <c r="AF125" s="162"/>
      <c r="AG125" s="70" t="str">
        <f t="shared" si="24"/>
        <v>ok</v>
      </c>
      <c r="AH125" s="163"/>
    </row>
    <row r="126" ht="18.75" hidden="1" customHeight="1" outlineLevel="1">
      <c r="A126" s="121"/>
      <c r="B126" s="122" t="s">
        <v>844</v>
      </c>
      <c r="C126" s="123" t="s">
        <v>845</v>
      </c>
      <c r="D126" s="124" t="str">
        <f>IFERROR(VLOOKUP(B126,'Danh mục'!$G:$U,15,0),"")</f>
        <v>3760 x 1900 x 2570</v>
      </c>
      <c r="E126" s="124" t="s">
        <v>108</v>
      </c>
      <c r="F126" s="126">
        <f>COUNTIFS('TỔNG KLH + TN'!$B:$B,'01. TH'!$B126,'TỔNG KLH + TN'!$C:$C,'01. TH'!F$4)</f>
        <v>0</v>
      </c>
      <c r="G126" s="126">
        <f>COUNTIFS('TỔNG KLH + TN'!$B:$B,'01. TH'!$B126,'TỔNG KLH + TN'!$C:$C,'01. TH'!G$4)</f>
        <v>0</v>
      </c>
      <c r="H126" s="126">
        <f>COUNTIFS('TỔNG KLH + TN'!$B:$B,'01. TH'!$B126,'TỔNG KLH + TN'!$C:$C,'01. TH'!H$4)</f>
        <v>0</v>
      </c>
      <c r="I126" s="126">
        <f>COUNTIFS('TỔNG KLH + TN'!$B:$B,'01. TH'!$B126,'TỔNG KLH + TN'!$C:$C,'01. TH'!I$4)</f>
        <v>0</v>
      </c>
      <c r="J126" s="126">
        <f>COUNTIFS('TỔNG KLH + TN'!$B:$B,'01. TH'!$B126,'TỔNG KLH + TN'!$C:$C,'01. TH'!J$4)</f>
        <v>0</v>
      </c>
      <c r="K126" s="126">
        <f>COUNTIFS('TỔNG KLH + TN'!$B:$B,'01. TH'!$B126,'TỔNG KLH + TN'!$C:$C,'01. TH'!K$4)</f>
        <v>0</v>
      </c>
      <c r="L126" s="126">
        <f>COUNTIFS('TỔNG KLH + TN'!$B:$B,'01. TH'!$B126,'TỔNG KLH + TN'!$C:$C,'01. TH'!L$4)</f>
        <v>0</v>
      </c>
      <c r="M126" s="126">
        <f>COUNTIFS('TỔNG KLH + TN'!$B:$B,'01. TH'!$B126,'TỔNG KLH + TN'!$C:$C,'01. TH'!M$4)</f>
        <v>0</v>
      </c>
      <c r="N126" s="126">
        <f>COUNTIFS('TỔNG KLH + TN'!$B:$B,'01. TH'!$B126,'TỔNG KLH + TN'!$C:$C,'01. TH'!N$4)</f>
        <v>0</v>
      </c>
      <c r="O126" s="126">
        <f>COUNTIFS('TỔNG KLH + TN'!$B:$B,'01. TH'!$B126,'TỔNG KLH + TN'!$C:$C,'01. TH'!O$4)</f>
        <v>0</v>
      </c>
      <c r="P126" s="126">
        <f>COUNTIFS('TỔNG KLH + TN'!$B:$B,'01. TH'!$B126,'TỔNG KLH + TN'!$C:$C,'01. TH'!P$4)</f>
        <v>0</v>
      </c>
      <c r="Q126" s="126">
        <f>COUNTIFS('TỔNG KLH + TN'!$B:$B,'01. TH'!$B126,'TỔNG KLH + TN'!$C:$C,'01. TH'!Q$4)</f>
        <v>0</v>
      </c>
      <c r="R126" s="126">
        <f>COUNTIFS('TỔNG KLH + TN'!$B:$B,'01. TH'!$B126,'TỔNG KLH + TN'!$C:$C,'01. TH'!R$4)</f>
        <v>0</v>
      </c>
      <c r="S126" s="126">
        <f>COUNTIFS('TỔNG KLH + TN'!$B:$B,'01. TH'!$B126,'TỔNG KLH + TN'!$C:$C,'01. TH'!S$4)</f>
        <v>0</v>
      </c>
      <c r="T126" s="126">
        <f>COUNTIFS('TỔNG KLH + TN'!$B:$B,'01. TH'!$B126,'TỔNG KLH + TN'!$C:$C,'01. TH'!T$4)</f>
        <v>0</v>
      </c>
      <c r="U126" s="126">
        <f>COUNTIFS('TỔNG KLH + TN'!$B:$B,'01. TH'!$B126,'TỔNG KLH + TN'!$C:$C,'01. TH'!U$4)</f>
        <v>4</v>
      </c>
      <c r="V126" s="126">
        <f>COUNTIFS('TỔNG KLH + TN'!$B:$B,'01. TH'!$B126,'TỔNG KLH + TN'!$C:$C,'01. TH'!V$4)</f>
        <v>0</v>
      </c>
      <c r="W126" s="126">
        <f>COUNTIFS('TỔNG KLH + TN'!$B:$B,'01. TH'!$B126,'TỔNG KLH + TN'!$C:$C,'01. TH'!W$4)</f>
        <v>0</v>
      </c>
      <c r="X126" s="126">
        <f>COUNTIFS('TỔNG KLH + TN'!$B:$B,'01. TH'!$B126,'TỔNG KLH + TN'!$C:$C,'01. TH'!X$4)</f>
        <v>0</v>
      </c>
      <c r="Y126" s="126">
        <f>COUNTIFS('TỔNG KLH + TN'!$B:$B,'01. TH'!$B126,'TỔNG KLH + TN'!$C:$C,'01. TH'!Y$4)</f>
        <v>0</v>
      </c>
      <c r="Z126" s="126">
        <f>COUNTIFS('TỔNG KLH + TN'!$B:$B,'01. TH'!$B126,'TỔNG KLH + TN'!$C:$C,'01. TH'!Z$4)</f>
        <v>0</v>
      </c>
      <c r="AA126" s="126">
        <f>COUNTIFS('TỔNG KLH + TN'!$B:$B,'01. TH'!$B126,'TỔNG KLH + TN'!$C:$C,'01. TH'!AA$4)</f>
        <v>0</v>
      </c>
      <c r="AB126" s="126">
        <f>COUNTIFS('TỔNG KLH + TN'!$B:$B,'01. TH'!$B126,'TỔNG KLH + TN'!$C:$C,'01. TH'!AB$4)</f>
        <v>0</v>
      </c>
      <c r="AC126" s="126">
        <f>COUNTIFS('TỔNG KLH + TN'!$B:$B,'01. TH'!$B126,'TỔNG KLH + TN'!$C:$C,'01. TH'!AC$4)</f>
        <v>0</v>
      </c>
      <c r="AD126" s="126">
        <f>COUNTIFS('TỔNG KLH + TN'!$B:$B,'01. TH'!$B126,'TỔNG KLH + TN'!$C:$C,'01. TH'!AD$4)</f>
        <v>0</v>
      </c>
      <c r="AE126" s="136">
        <f t="shared" si="23"/>
        <v>4</v>
      </c>
      <c r="AF126" s="136"/>
      <c r="AG126" s="70" t="str">
        <f t="shared" si="24"/>
        <v>ok</v>
      </c>
      <c r="AH126" s="124"/>
    </row>
    <row r="127" ht="18.75" hidden="1" customHeight="1" outlineLevel="1">
      <c r="A127" s="121"/>
      <c r="B127" s="122" t="s">
        <v>835</v>
      </c>
      <c r="C127" s="123" t="s">
        <v>4544</v>
      </c>
      <c r="D127" s="124" t="str">
        <f>IFERROR(VLOOKUP(B127,'Danh mục'!$G:$U,15,0),"")</f>
        <v/>
      </c>
      <c r="E127" s="124" t="s">
        <v>108</v>
      </c>
      <c r="F127" s="126">
        <f>COUNTIFS('TỔNG KLH + TN'!$B:$B,'01. TH'!$B127,'TỔNG KLH + TN'!$C:$C,'01. TH'!F$4)</f>
        <v>0</v>
      </c>
      <c r="G127" s="126">
        <f>COUNTIFS('TỔNG KLH + TN'!$B:$B,'01. TH'!$B127,'TỔNG KLH + TN'!$C:$C,'01. TH'!G$4)</f>
        <v>0</v>
      </c>
      <c r="H127" s="126">
        <f>COUNTIFS('TỔNG KLH + TN'!$B:$B,'01. TH'!$B127,'TỔNG KLH + TN'!$C:$C,'01. TH'!H$4)</f>
        <v>0</v>
      </c>
      <c r="I127" s="126">
        <f>COUNTIFS('TỔNG KLH + TN'!$B:$B,'01. TH'!$B127,'TỔNG KLH + TN'!$C:$C,'01. TH'!I$4)</f>
        <v>0</v>
      </c>
      <c r="J127" s="126">
        <f>COUNTIFS('TỔNG KLH + TN'!$B:$B,'01. TH'!$B127,'TỔNG KLH + TN'!$C:$C,'01. TH'!J$4)</f>
        <v>0</v>
      </c>
      <c r="K127" s="126">
        <f>COUNTIFS('TỔNG KLH + TN'!$B:$B,'01. TH'!$B127,'TỔNG KLH + TN'!$C:$C,'01. TH'!K$4)</f>
        <v>0</v>
      </c>
      <c r="L127" s="126">
        <f>COUNTIFS('TỔNG KLH + TN'!$B:$B,'01. TH'!$B127,'TỔNG KLH + TN'!$C:$C,'01. TH'!L$4)</f>
        <v>0</v>
      </c>
      <c r="M127" s="126">
        <f>COUNTIFS('TỔNG KLH + TN'!$B:$B,'01. TH'!$B127,'TỔNG KLH + TN'!$C:$C,'01. TH'!M$4)</f>
        <v>0</v>
      </c>
      <c r="N127" s="126">
        <f>COUNTIFS('TỔNG KLH + TN'!$B:$B,'01. TH'!$B127,'TỔNG KLH + TN'!$C:$C,'01. TH'!N$4)</f>
        <v>0</v>
      </c>
      <c r="O127" s="126">
        <f>COUNTIFS('TỔNG KLH + TN'!$B:$B,'01. TH'!$B127,'TỔNG KLH + TN'!$C:$C,'01. TH'!O$4)</f>
        <v>0</v>
      </c>
      <c r="P127" s="126">
        <f>COUNTIFS('TỔNG KLH + TN'!$B:$B,'01. TH'!$B127,'TỔNG KLH + TN'!$C:$C,'01. TH'!P$4)</f>
        <v>0</v>
      </c>
      <c r="Q127" s="126">
        <f>COUNTIFS('TỔNG KLH + TN'!$B:$B,'01. TH'!$B127,'TỔNG KLH + TN'!$C:$C,'01. TH'!Q$4)</f>
        <v>0</v>
      </c>
      <c r="R127" s="126">
        <f>COUNTIFS('TỔNG KLH + TN'!$B:$B,'01. TH'!$B127,'TỔNG KLH + TN'!$C:$C,'01. TH'!R$4)</f>
        <v>0</v>
      </c>
      <c r="S127" s="126">
        <f>COUNTIFS('TỔNG KLH + TN'!$B:$B,'01. TH'!$B127,'TỔNG KLH + TN'!$C:$C,'01. TH'!S$4)</f>
        <v>0</v>
      </c>
      <c r="T127" s="126">
        <f>COUNTIFS('TỔNG KLH + TN'!$B:$B,'01. TH'!$B127,'TỔNG KLH + TN'!$C:$C,'01. TH'!T$4)</f>
        <v>0</v>
      </c>
      <c r="U127" s="126">
        <f>COUNTIFS('TỔNG KLH + TN'!$B:$B,'01. TH'!$B127,'TỔNG KLH + TN'!$C:$C,'01. TH'!U$4)</f>
        <v>1</v>
      </c>
      <c r="V127" s="126">
        <f>COUNTIFS('TỔNG KLH + TN'!$B:$B,'01. TH'!$B127,'TỔNG KLH + TN'!$C:$C,'01. TH'!V$4)</f>
        <v>0</v>
      </c>
      <c r="W127" s="126">
        <f>COUNTIFS('TỔNG KLH + TN'!$B:$B,'01. TH'!$B127,'TỔNG KLH + TN'!$C:$C,'01. TH'!W$4)</f>
        <v>0</v>
      </c>
      <c r="X127" s="126">
        <f>COUNTIFS('TỔNG KLH + TN'!$B:$B,'01. TH'!$B127,'TỔNG KLH + TN'!$C:$C,'01. TH'!X$4)</f>
        <v>0</v>
      </c>
      <c r="Y127" s="126">
        <f>COUNTIFS('TỔNG KLH + TN'!$B:$B,'01. TH'!$B127,'TỔNG KLH + TN'!$C:$C,'01. TH'!Y$4)</f>
        <v>0</v>
      </c>
      <c r="Z127" s="126">
        <f>COUNTIFS('TỔNG KLH + TN'!$B:$B,'01. TH'!$B127,'TỔNG KLH + TN'!$C:$C,'01. TH'!Z$4)</f>
        <v>0</v>
      </c>
      <c r="AA127" s="126">
        <f>COUNTIFS('TỔNG KLH + TN'!$B:$B,'01. TH'!$B127,'TỔNG KLH + TN'!$C:$C,'01. TH'!AA$4)</f>
        <v>0</v>
      </c>
      <c r="AB127" s="126">
        <f>COUNTIFS('TỔNG KLH + TN'!$B:$B,'01. TH'!$B127,'TỔNG KLH + TN'!$C:$C,'01. TH'!AB$4)</f>
        <v>0</v>
      </c>
      <c r="AC127" s="126">
        <f>COUNTIFS('TỔNG KLH + TN'!$B:$B,'01. TH'!$B127,'TỔNG KLH + TN'!$C:$C,'01. TH'!AC$4)</f>
        <v>0</v>
      </c>
      <c r="AD127" s="126">
        <f>COUNTIFS('TỔNG KLH + TN'!$B:$B,'01. TH'!$B127,'TỔNG KLH + TN'!$C:$C,'01. TH'!AD$4)</f>
        <v>0</v>
      </c>
      <c r="AE127" s="136">
        <f t="shared" si="23"/>
        <v>1</v>
      </c>
      <c r="AF127" s="136"/>
      <c r="AG127" s="70" t="str">
        <f t="shared" si="24"/>
        <v>ok</v>
      </c>
      <c r="AH127" s="124"/>
    </row>
    <row r="128" ht="24.0" customHeight="1" collapsed="1">
      <c r="A128" s="571">
        <v>12.0</v>
      </c>
      <c r="B128" s="572" t="s">
        <v>4581</v>
      </c>
      <c r="C128" s="78"/>
      <c r="D128" s="78" t="str">
        <f>IFERROR(VLOOKUP(B128,'Danh mục'!$G:$U,15,0),"")</f>
        <v/>
      </c>
      <c r="E128" s="78"/>
      <c r="F128" s="172">
        <f t="shared" ref="F128:AE128" si="25">SUM(F129:F133)</f>
        <v>0</v>
      </c>
      <c r="G128" s="172">
        <f t="shared" si="25"/>
        <v>0</v>
      </c>
      <c r="H128" s="172">
        <f t="shared" si="25"/>
        <v>0</v>
      </c>
      <c r="I128" s="172">
        <f t="shared" si="25"/>
        <v>0</v>
      </c>
      <c r="J128" s="172">
        <f t="shared" si="25"/>
        <v>0</v>
      </c>
      <c r="K128" s="172">
        <f t="shared" si="25"/>
        <v>0</v>
      </c>
      <c r="L128" s="172">
        <f t="shared" si="25"/>
        <v>0</v>
      </c>
      <c r="M128" s="172">
        <f t="shared" si="25"/>
        <v>0</v>
      </c>
      <c r="N128" s="172">
        <f t="shared" si="25"/>
        <v>0</v>
      </c>
      <c r="O128" s="172">
        <f t="shared" si="25"/>
        <v>0</v>
      </c>
      <c r="P128" s="172">
        <f t="shared" si="25"/>
        <v>0</v>
      </c>
      <c r="Q128" s="172">
        <f t="shared" si="25"/>
        <v>0</v>
      </c>
      <c r="R128" s="172">
        <f t="shared" si="25"/>
        <v>1</v>
      </c>
      <c r="S128" s="172">
        <f t="shared" si="25"/>
        <v>0</v>
      </c>
      <c r="T128" s="172">
        <f t="shared" si="25"/>
        <v>0</v>
      </c>
      <c r="U128" s="172">
        <f t="shared" si="25"/>
        <v>5</v>
      </c>
      <c r="V128" s="172">
        <f t="shared" si="25"/>
        <v>0</v>
      </c>
      <c r="W128" s="172">
        <f t="shared" si="25"/>
        <v>0</v>
      </c>
      <c r="X128" s="172">
        <f t="shared" si="25"/>
        <v>0</v>
      </c>
      <c r="Y128" s="172">
        <f t="shared" si="25"/>
        <v>0</v>
      </c>
      <c r="Z128" s="172">
        <f t="shared" si="25"/>
        <v>0</v>
      </c>
      <c r="AA128" s="172">
        <f t="shared" si="25"/>
        <v>0</v>
      </c>
      <c r="AB128" s="172">
        <f t="shared" si="25"/>
        <v>1</v>
      </c>
      <c r="AC128" s="172">
        <f t="shared" si="25"/>
        <v>0</v>
      </c>
      <c r="AD128" s="172">
        <f t="shared" si="25"/>
        <v>0</v>
      </c>
      <c r="AE128" s="173">
        <f t="shared" si="25"/>
        <v>7</v>
      </c>
      <c r="AF128" s="174">
        <v>1.0</v>
      </c>
      <c r="AG128" s="70" t="str">
        <f t="shared" si="24"/>
        <v>ok</v>
      </c>
      <c r="AH128" s="120"/>
    </row>
    <row r="129" ht="18.75" hidden="1" customHeight="1" outlineLevel="1">
      <c r="A129" s="121"/>
      <c r="B129" s="122" t="s">
        <v>1520</v>
      </c>
      <c r="C129" s="123" t="s">
        <v>2315</v>
      </c>
      <c r="D129" s="124" t="str">
        <f>IFERROR(VLOOKUP(B129,'Danh mục'!$G:$U,15,0),"")</f>
        <v/>
      </c>
      <c r="E129" s="124" t="s">
        <v>108</v>
      </c>
      <c r="F129" s="126">
        <f>COUNTIFS('TỔNG KLH + TN'!$B:$B,'01. TH'!$B129,'TỔNG KLH + TN'!$C:$C,'01. TH'!F$4)</f>
        <v>0</v>
      </c>
      <c r="G129" s="126">
        <f>COUNTIFS('TỔNG KLH + TN'!$B:$B,'01. TH'!$B129,'TỔNG KLH + TN'!$C:$C,'01. TH'!G$4)</f>
        <v>0</v>
      </c>
      <c r="H129" s="126">
        <f>COUNTIFS('TỔNG KLH + TN'!$B:$B,'01. TH'!$B129,'TỔNG KLH + TN'!$C:$C,'01. TH'!H$4)</f>
        <v>0</v>
      </c>
      <c r="I129" s="126">
        <f>COUNTIFS('TỔNG KLH + TN'!$B:$B,'01. TH'!$B129,'TỔNG KLH + TN'!$C:$C,'01. TH'!I$4)</f>
        <v>0</v>
      </c>
      <c r="J129" s="126">
        <f>COUNTIFS('TỔNG KLH + TN'!$B:$B,'01. TH'!$B129,'TỔNG KLH + TN'!$C:$C,'01. TH'!J$4)</f>
        <v>0</v>
      </c>
      <c r="K129" s="126">
        <f>COUNTIFS('TỔNG KLH + TN'!$B:$B,'01. TH'!$B129,'TỔNG KLH + TN'!$C:$C,'01. TH'!K$4)</f>
        <v>0</v>
      </c>
      <c r="L129" s="126">
        <f>COUNTIFS('TỔNG KLH + TN'!$B:$B,'01. TH'!$B129,'TỔNG KLH + TN'!$C:$C,'01. TH'!L$4)</f>
        <v>0</v>
      </c>
      <c r="M129" s="126">
        <f>COUNTIFS('TỔNG KLH + TN'!$B:$B,'01. TH'!$B129,'TỔNG KLH + TN'!$C:$C,'01. TH'!M$4)</f>
        <v>0</v>
      </c>
      <c r="N129" s="126">
        <f>COUNTIFS('TỔNG KLH + TN'!$B:$B,'01. TH'!$B129,'TỔNG KLH + TN'!$C:$C,'01. TH'!N$4)</f>
        <v>0</v>
      </c>
      <c r="O129" s="126">
        <f>COUNTIFS('TỔNG KLH + TN'!$B:$B,'01. TH'!$B129,'TỔNG KLH + TN'!$C:$C,'01. TH'!O$4)</f>
        <v>0</v>
      </c>
      <c r="P129" s="126">
        <f>COUNTIFS('TỔNG KLH + TN'!$B:$B,'01. TH'!$B129,'TỔNG KLH + TN'!$C:$C,'01. TH'!P$4)</f>
        <v>0</v>
      </c>
      <c r="Q129" s="126">
        <f>COUNTIFS('TỔNG KLH + TN'!$B:$B,'01. TH'!$B129,'TỔNG KLH + TN'!$C:$C,'01. TH'!Q$4)</f>
        <v>0</v>
      </c>
      <c r="R129" s="126">
        <f>COUNTIFS('TỔNG KLH + TN'!$B:$B,'01. TH'!$B129,'TỔNG KLH + TN'!$C:$C,'01. TH'!R$4)</f>
        <v>1</v>
      </c>
      <c r="S129" s="126">
        <f>COUNTIFS('TỔNG KLH + TN'!$B:$B,'01. TH'!$B129,'TỔNG KLH + TN'!$C:$C,'01. TH'!S$4)</f>
        <v>0</v>
      </c>
      <c r="T129" s="126">
        <f>COUNTIFS('TỔNG KLH + TN'!$B:$B,'01. TH'!$B129,'TỔNG KLH + TN'!$C:$C,'01. TH'!T$4)</f>
        <v>0</v>
      </c>
      <c r="U129" s="126">
        <f>COUNTIFS('TỔNG KLH + TN'!$B:$B,'01. TH'!$B129,'TỔNG KLH + TN'!$C:$C,'01. TH'!U$4)</f>
        <v>2</v>
      </c>
      <c r="V129" s="126">
        <f>COUNTIFS('TỔNG KLH + TN'!$B:$B,'01. TH'!$B129,'TỔNG KLH + TN'!$C:$C,'01. TH'!V$4)</f>
        <v>0</v>
      </c>
      <c r="W129" s="126">
        <f>COUNTIFS('TỔNG KLH + TN'!$B:$B,'01. TH'!$B129,'TỔNG KLH + TN'!$C:$C,'01. TH'!W$4)</f>
        <v>0</v>
      </c>
      <c r="X129" s="126">
        <f>COUNTIFS('TỔNG KLH + TN'!$B:$B,'01. TH'!$B129,'TỔNG KLH + TN'!$C:$C,'01. TH'!X$4)</f>
        <v>0</v>
      </c>
      <c r="Y129" s="126">
        <f>COUNTIFS('TỔNG KLH + TN'!$B:$B,'01. TH'!$B129,'TỔNG KLH + TN'!$C:$C,'01. TH'!Y$4)</f>
        <v>0</v>
      </c>
      <c r="Z129" s="126">
        <f>COUNTIFS('TỔNG KLH + TN'!$B:$B,'01. TH'!$B129,'TỔNG KLH + TN'!$C:$C,'01. TH'!Z$4)</f>
        <v>0</v>
      </c>
      <c r="AA129" s="126">
        <f>COUNTIFS('TỔNG KLH + TN'!$B:$B,'01. TH'!$B129,'TỔNG KLH + TN'!$C:$C,'01. TH'!AA$4)</f>
        <v>0</v>
      </c>
      <c r="AB129" s="126">
        <f>COUNTIFS('TỔNG KLH + TN'!$B:$B,'01. TH'!$B129,'TỔNG KLH + TN'!$C:$C,'01. TH'!AB$4)</f>
        <v>0</v>
      </c>
      <c r="AC129" s="126">
        <f>COUNTIFS('TỔNG KLH + TN'!$B:$B,'01. TH'!$B129,'TỔNG KLH + TN'!$C:$C,'01. TH'!AC$4)</f>
        <v>0</v>
      </c>
      <c r="AD129" s="126">
        <f>COUNTIFS('TỔNG KLH + TN'!$B:$B,'01. TH'!$B129,'TỔNG KLH + TN'!$C:$C,'01. TH'!AD$4)</f>
        <v>0</v>
      </c>
      <c r="AE129" s="136">
        <f t="shared" ref="AE129:AE133" si="26">SUM(F129:AD129)</f>
        <v>3</v>
      </c>
      <c r="AF129" s="136"/>
      <c r="AG129" s="70" t="str">
        <f t="shared" si="24"/>
        <v>ok</v>
      </c>
      <c r="AH129" s="124"/>
    </row>
    <row r="130" ht="18.75" hidden="1" customHeight="1" outlineLevel="1">
      <c r="A130" s="121"/>
      <c r="B130" s="122" t="s">
        <v>2326</v>
      </c>
      <c r="C130" s="123" t="s">
        <v>2328</v>
      </c>
      <c r="D130" s="124" t="str">
        <f>IFERROR(VLOOKUP(B130,'Danh mục'!$G:$U,15,0),"")</f>
        <v>6800 x 3200 x 3400</v>
      </c>
      <c r="E130" s="124" t="s">
        <v>108</v>
      </c>
      <c r="F130" s="126">
        <f>COUNTIFS('TỔNG KLH + TN'!$B:$B,'01. TH'!$B130,'TỔNG KLH + TN'!$C:$C,'01. TH'!F$4)</f>
        <v>0</v>
      </c>
      <c r="G130" s="126">
        <f>COUNTIFS('TỔNG KLH + TN'!$B:$B,'01. TH'!$B130,'TỔNG KLH + TN'!$C:$C,'01. TH'!G$4)</f>
        <v>0</v>
      </c>
      <c r="H130" s="126">
        <f>COUNTIFS('TỔNG KLH + TN'!$B:$B,'01. TH'!$B130,'TỔNG KLH + TN'!$C:$C,'01. TH'!H$4)</f>
        <v>0</v>
      </c>
      <c r="I130" s="126">
        <f>COUNTIFS('TỔNG KLH + TN'!$B:$B,'01. TH'!$B130,'TỔNG KLH + TN'!$C:$C,'01. TH'!I$4)</f>
        <v>0</v>
      </c>
      <c r="J130" s="126">
        <f>COUNTIFS('TỔNG KLH + TN'!$B:$B,'01. TH'!$B130,'TỔNG KLH + TN'!$C:$C,'01. TH'!J$4)</f>
        <v>0</v>
      </c>
      <c r="K130" s="126">
        <f>COUNTIFS('TỔNG KLH + TN'!$B:$B,'01. TH'!$B130,'TỔNG KLH + TN'!$C:$C,'01. TH'!K$4)</f>
        <v>0</v>
      </c>
      <c r="L130" s="126">
        <f>COUNTIFS('TỔNG KLH + TN'!$B:$B,'01. TH'!$B130,'TỔNG KLH + TN'!$C:$C,'01. TH'!L$4)</f>
        <v>0</v>
      </c>
      <c r="M130" s="126">
        <f>COUNTIFS('TỔNG KLH + TN'!$B:$B,'01. TH'!$B130,'TỔNG KLH + TN'!$C:$C,'01. TH'!M$4)</f>
        <v>0</v>
      </c>
      <c r="N130" s="126">
        <f>COUNTIFS('TỔNG KLH + TN'!$B:$B,'01. TH'!$B130,'TỔNG KLH + TN'!$C:$C,'01. TH'!N$4)</f>
        <v>0</v>
      </c>
      <c r="O130" s="126">
        <f>COUNTIFS('TỔNG KLH + TN'!$B:$B,'01. TH'!$B130,'TỔNG KLH + TN'!$C:$C,'01. TH'!O$4)</f>
        <v>0</v>
      </c>
      <c r="P130" s="126">
        <f>COUNTIFS('TỔNG KLH + TN'!$B:$B,'01. TH'!$B130,'TỔNG KLH + TN'!$C:$C,'01. TH'!P$4)</f>
        <v>0</v>
      </c>
      <c r="Q130" s="126">
        <f>COUNTIFS('TỔNG KLH + TN'!$B:$B,'01. TH'!$B130,'TỔNG KLH + TN'!$C:$C,'01. TH'!Q$4)</f>
        <v>0</v>
      </c>
      <c r="R130" s="126">
        <f>COUNTIFS('TỔNG KLH + TN'!$B:$B,'01. TH'!$B130,'TỔNG KLH + TN'!$C:$C,'01. TH'!R$4)</f>
        <v>0</v>
      </c>
      <c r="S130" s="126">
        <f>COUNTIFS('TỔNG KLH + TN'!$B:$B,'01. TH'!$B130,'TỔNG KLH + TN'!$C:$C,'01. TH'!S$4)</f>
        <v>0</v>
      </c>
      <c r="T130" s="126">
        <f>COUNTIFS('TỔNG KLH + TN'!$B:$B,'01. TH'!$B130,'TỔNG KLH + TN'!$C:$C,'01. TH'!T$4)</f>
        <v>0</v>
      </c>
      <c r="U130" s="126">
        <f>COUNTIFS('TỔNG KLH + TN'!$B:$B,'01. TH'!$B130,'TỔNG KLH + TN'!$C:$C,'01. TH'!U$4)</f>
        <v>1</v>
      </c>
      <c r="V130" s="126">
        <f>COUNTIFS('TỔNG KLH + TN'!$B:$B,'01. TH'!$B130,'TỔNG KLH + TN'!$C:$C,'01. TH'!V$4)</f>
        <v>0</v>
      </c>
      <c r="W130" s="126">
        <f>COUNTIFS('TỔNG KLH + TN'!$B:$B,'01. TH'!$B130,'TỔNG KLH + TN'!$C:$C,'01. TH'!W$4)</f>
        <v>0</v>
      </c>
      <c r="X130" s="126">
        <f>COUNTIFS('TỔNG KLH + TN'!$B:$B,'01. TH'!$B130,'TỔNG KLH + TN'!$C:$C,'01. TH'!X$4)</f>
        <v>0</v>
      </c>
      <c r="Y130" s="126">
        <f>COUNTIFS('TỔNG KLH + TN'!$B:$B,'01. TH'!$B130,'TỔNG KLH + TN'!$C:$C,'01. TH'!Y$4)</f>
        <v>0</v>
      </c>
      <c r="Z130" s="126">
        <f>COUNTIFS('TỔNG KLH + TN'!$B:$B,'01. TH'!$B130,'TỔNG KLH + TN'!$C:$C,'01. TH'!Z$4)</f>
        <v>0</v>
      </c>
      <c r="AA130" s="126">
        <f>COUNTIFS('TỔNG KLH + TN'!$B:$B,'01. TH'!$B130,'TỔNG KLH + TN'!$C:$C,'01. TH'!AA$4)</f>
        <v>0</v>
      </c>
      <c r="AB130" s="126">
        <f>COUNTIFS('TỔNG KLH + TN'!$B:$B,'01. TH'!$B130,'TỔNG KLH + TN'!$C:$C,'01. TH'!AB$4)</f>
        <v>0</v>
      </c>
      <c r="AC130" s="126">
        <f>COUNTIFS('TỔNG KLH + TN'!$B:$B,'01. TH'!$B130,'TỔNG KLH + TN'!$C:$C,'01. TH'!AC$4)</f>
        <v>0</v>
      </c>
      <c r="AD130" s="126">
        <f>COUNTIFS('TỔNG KLH + TN'!$B:$B,'01. TH'!$B130,'TỔNG KLH + TN'!$C:$C,'01. TH'!AD$4)</f>
        <v>0</v>
      </c>
      <c r="AE130" s="136">
        <f t="shared" si="26"/>
        <v>1</v>
      </c>
      <c r="AF130" s="136"/>
      <c r="AG130" s="70" t="str">
        <f t="shared" si="24"/>
        <v>ok</v>
      </c>
      <c r="AH130" s="124"/>
    </row>
    <row r="131" ht="18.75" hidden="1" customHeight="1" outlineLevel="1">
      <c r="A131" s="121"/>
      <c r="B131" s="122" t="s">
        <v>2332</v>
      </c>
      <c r="C131" s="123" t="s">
        <v>705</v>
      </c>
      <c r="D131" s="124" t="str">
        <f>IFERROR(VLOOKUP(B131,'Danh mục'!$G:$U,15,0),"")</f>
        <v/>
      </c>
      <c r="E131" s="124" t="s">
        <v>108</v>
      </c>
      <c r="F131" s="126">
        <f>COUNTIFS('TỔNG KLH + TN'!$B:$B,'01. TH'!$B131,'TỔNG KLH + TN'!$C:$C,'01. TH'!F$4)</f>
        <v>0</v>
      </c>
      <c r="G131" s="126">
        <f>COUNTIFS('TỔNG KLH + TN'!$B:$B,'01. TH'!$B131,'TỔNG KLH + TN'!$C:$C,'01. TH'!G$4)</f>
        <v>0</v>
      </c>
      <c r="H131" s="126">
        <f>COUNTIFS('TỔNG KLH + TN'!$B:$B,'01. TH'!$B131,'TỔNG KLH + TN'!$C:$C,'01. TH'!H$4)</f>
        <v>0</v>
      </c>
      <c r="I131" s="126">
        <f>COUNTIFS('TỔNG KLH + TN'!$B:$B,'01. TH'!$B131,'TỔNG KLH + TN'!$C:$C,'01. TH'!I$4)</f>
        <v>0</v>
      </c>
      <c r="J131" s="126">
        <f>COUNTIFS('TỔNG KLH + TN'!$B:$B,'01. TH'!$B131,'TỔNG KLH + TN'!$C:$C,'01. TH'!J$4)</f>
        <v>0</v>
      </c>
      <c r="K131" s="126">
        <f>COUNTIFS('TỔNG KLH + TN'!$B:$B,'01. TH'!$B131,'TỔNG KLH + TN'!$C:$C,'01. TH'!K$4)</f>
        <v>0</v>
      </c>
      <c r="L131" s="126">
        <f>COUNTIFS('TỔNG KLH + TN'!$B:$B,'01. TH'!$B131,'TỔNG KLH + TN'!$C:$C,'01. TH'!L$4)</f>
        <v>0</v>
      </c>
      <c r="M131" s="126">
        <f>COUNTIFS('TỔNG KLH + TN'!$B:$B,'01. TH'!$B131,'TỔNG KLH + TN'!$C:$C,'01. TH'!M$4)</f>
        <v>0</v>
      </c>
      <c r="N131" s="126">
        <f>COUNTIFS('TỔNG KLH + TN'!$B:$B,'01. TH'!$B131,'TỔNG KLH + TN'!$C:$C,'01. TH'!N$4)</f>
        <v>0</v>
      </c>
      <c r="O131" s="126">
        <f>COUNTIFS('TỔNG KLH + TN'!$B:$B,'01. TH'!$B131,'TỔNG KLH + TN'!$C:$C,'01. TH'!O$4)</f>
        <v>0</v>
      </c>
      <c r="P131" s="126">
        <f>COUNTIFS('TỔNG KLH + TN'!$B:$B,'01. TH'!$B131,'TỔNG KLH + TN'!$C:$C,'01. TH'!P$4)</f>
        <v>0</v>
      </c>
      <c r="Q131" s="126">
        <f>COUNTIFS('TỔNG KLH + TN'!$B:$B,'01. TH'!$B131,'TỔNG KLH + TN'!$C:$C,'01. TH'!Q$4)</f>
        <v>0</v>
      </c>
      <c r="R131" s="126">
        <f>COUNTIFS('TỔNG KLH + TN'!$B:$B,'01. TH'!$B131,'TỔNG KLH + TN'!$C:$C,'01. TH'!R$4)</f>
        <v>0</v>
      </c>
      <c r="S131" s="126">
        <f>COUNTIFS('TỔNG KLH + TN'!$B:$B,'01. TH'!$B131,'TỔNG KLH + TN'!$C:$C,'01. TH'!S$4)</f>
        <v>0</v>
      </c>
      <c r="T131" s="126">
        <f>COUNTIFS('TỔNG KLH + TN'!$B:$B,'01. TH'!$B131,'TỔNG KLH + TN'!$C:$C,'01. TH'!T$4)</f>
        <v>0</v>
      </c>
      <c r="U131" s="126">
        <f>COUNTIFS('TỔNG KLH + TN'!$B:$B,'01. TH'!$B131,'TỔNG KLH + TN'!$C:$C,'01. TH'!U$4)</f>
        <v>1</v>
      </c>
      <c r="V131" s="126">
        <f>COUNTIFS('TỔNG KLH + TN'!$B:$B,'01. TH'!$B131,'TỔNG KLH + TN'!$C:$C,'01. TH'!V$4)</f>
        <v>0</v>
      </c>
      <c r="W131" s="126">
        <f>COUNTIFS('TỔNG KLH + TN'!$B:$B,'01. TH'!$B131,'TỔNG KLH + TN'!$C:$C,'01. TH'!W$4)</f>
        <v>0</v>
      </c>
      <c r="X131" s="126">
        <f>COUNTIFS('TỔNG KLH + TN'!$B:$B,'01. TH'!$B131,'TỔNG KLH + TN'!$C:$C,'01. TH'!X$4)</f>
        <v>0</v>
      </c>
      <c r="Y131" s="126">
        <f>COUNTIFS('TỔNG KLH + TN'!$B:$B,'01. TH'!$B131,'TỔNG KLH + TN'!$C:$C,'01. TH'!Y$4)</f>
        <v>0</v>
      </c>
      <c r="Z131" s="126">
        <f>COUNTIFS('TỔNG KLH + TN'!$B:$B,'01. TH'!$B131,'TỔNG KLH + TN'!$C:$C,'01. TH'!Z$4)</f>
        <v>0</v>
      </c>
      <c r="AA131" s="126">
        <f>COUNTIFS('TỔNG KLH + TN'!$B:$B,'01. TH'!$B131,'TỔNG KLH + TN'!$C:$C,'01. TH'!AA$4)</f>
        <v>0</v>
      </c>
      <c r="AB131" s="126">
        <f>COUNTIFS('TỔNG KLH + TN'!$B:$B,'01. TH'!$B131,'TỔNG KLH + TN'!$C:$C,'01. TH'!AB$4)</f>
        <v>0</v>
      </c>
      <c r="AC131" s="126">
        <f>COUNTIFS('TỔNG KLH + TN'!$B:$B,'01. TH'!$B131,'TỔNG KLH + TN'!$C:$C,'01. TH'!AC$4)</f>
        <v>0</v>
      </c>
      <c r="AD131" s="126">
        <f>COUNTIFS('TỔNG KLH + TN'!$B:$B,'01. TH'!$B131,'TỔNG KLH + TN'!$C:$C,'01. TH'!AD$4)</f>
        <v>0</v>
      </c>
      <c r="AE131" s="136">
        <f t="shared" si="26"/>
        <v>1</v>
      </c>
      <c r="AF131" s="136"/>
      <c r="AG131" s="70" t="str">
        <f t="shared" si="24"/>
        <v>ok</v>
      </c>
      <c r="AH131" s="124"/>
    </row>
    <row r="132" ht="18.75" hidden="1" customHeight="1" outlineLevel="1">
      <c r="A132" s="159"/>
      <c r="B132" s="122" t="s">
        <v>2608</v>
      </c>
      <c r="C132" s="123" t="s">
        <v>950</v>
      </c>
      <c r="D132" s="124" t="str">
        <f>IFERROR(VLOOKUP(B132,'Danh mục'!$G:$U,15,0),"")</f>
        <v/>
      </c>
      <c r="E132" s="124" t="s">
        <v>108</v>
      </c>
      <c r="F132" s="126">
        <f>COUNTIFS('TỔNG KLH + TN'!$B:$B,'01. TH'!$B132,'TỔNG KLH + TN'!$C:$C,'01. TH'!F$4)</f>
        <v>0</v>
      </c>
      <c r="G132" s="126">
        <f>COUNTIFS('TỔNG KLH + TN'!$B:$B,'01. TH'!$B132,'TỔNG KLH + TN'!$C:$C,'01. TH'!G$4)</f>
        <v>0</v>
      </c>
      <c r="H132" s="126">
        <f>COUNTIFS('TỔNG KLH + TN'!$B:$B,'01. TH'!$B132,'TỔNG KLH + TN'!$C:$C,'01. TH'!H$4)</f>
        <v>0</v>
      </c>
      <c r="I132" s="126">
        <f>COUNTIFS('TỔNG KLH + TN'!$B:$B,'01. TH'!$B132,'TỔNG KLH + TN'!$C:$C,'01. TH'!I$4)</f>
        <v>0</v>
      </c>
      <c r="J132" s="126">
        <f>COUNTIFS('TỔNG KLH + TN'!$B:$B,'01. TH'!$B132,'TỔNG KLH + TN'!$C:$C,'01. TH'!J$4)</f>
        <v>0</v>
      </c>
      <c r="K132" s="126">
        <f>COUNTIFS('TỔNG KLH + TN'!$B:$B,'01. TH'!$B132,'TỔNG KLH + TN'!$C:$C,'01. TH'!K$4)</f>
        <v>0</v>
      </c>
      <c r="L132" s="126">
        <f>COUNTIFS('TỔNG KLH + TN'!$B:$B,'01. TH'!$B132,'TỔNG KLH + TN'!$C:$C,'01. TH'!L$4)</f>
        <v>0</v>
      </c>
      <c r="M132" s="126">
        <f>COUNTIFS('TỔNG KLH + TN'!$B:$B,'01. TH'!$B132,'TỔNG KLH + TN'!$C:$C,'01. TH'!M$4)</f>
        <v>0</v>
      </c>
      <c r="N132" s="126">
        <f>COUNTIFS('TỔNG KLH + TN'!$B:$B,'01. TH'!$B132,'TỔNG KLH + TN'!$C:$C,'01. TH'!N$4)</f>
        <v>0</v>
      </c>
      <c r="O132" s="126">
        <f>COUNTIFS('TỔNG KLH + TN'!$B:$B,'01. TH'!$B132,'TỔNG KLH + TN'!$C:$C,'01. TH'!O$4)</f>
        <v>0</v>
      </c>
      <c r="P132" s="126">
        <f>COUNTIFS('TỔNG KLH + TN'!$B:$B,'01. TH'!$B132,'TỔNG KLH + TN'!$C:$C,'01. TH'!P$4)</f>
        <v>0</v>
      </c>
      <c r="Q132" s="126">
        <f>COUNTIFS('TỔNG KLH + TN'!$B:$B,'01. TH'!$B132,'TỔNG KLH + TN'!$C:$C,'01. TH'!Q$4)</f>
        <v>0</v>
      </c>
      <c r="R132" s="126">
        <f>COUNTIFS('TỔNG KLH + TN'!$B:$B,'01. TH'!$B132,'TỔNG KLH + TN'!$C:$C,'01. TH'!R$4)</f>
        <v>0</v>
      </c>
      <c r="S132" s="126">
        <f>COUNTIFS('TỔNG KLH + TN'!$B:$B,'01. TH'!$B132,'TỔNG KLH + TN'!$C:$C,'01. TH'!S$4)</f>
        <v>0</v>
      </c>
      <c r="T132" s="126">
        <f>COUNTIFS('TỔNG KLH + TN'!$B:$B,'01. TH'!$B132,'TỔNG KLH + TN'!$C:$C,'01. TH'!T$4)</f>
        <v>0</v>
      </c>
      <c r="U132" s="126">
        <f>COUNTIFS('TỔNG KLH + TN'!$B:$B,'01. TH'!$B132,'TỔNG KLH + TN'!$C:$C,'01. TH'!U$4)</f>
        <v>0</v>
      </c>
      <c r="V132" s="126">
        <f>COUNTIFS('TỔNG KLH + TN'!$B:$B,'01. TH'!$B132,'TỔNG KLH + TN'!$C:$C,'01. TH'!V$4)</f>
        <v>0</v>
      </c>
      <c r="W132" s="126">
        <f>COUNTIFS('TỔNG KLH + TN'!$B:$B,'01. TH'!$B132,'TỔNG KLH + TN'!$C:$C,'01. TH'!W$4)</f>
        <v>0</v>
      </c>
      <c r="X132" s="126">
        <f>COUNTIFS('TỔNG KLH + TN'!$B:$B,'01. TH'!$B132,'TỔNG KLH + TN'!$C:$C,'01. TH'!X$4)</f>
        <v>0</v>
      </c>
      <c r="Y132" s="126">
        <f>COUNTIFS('TỔNG KLH + TN'!$B:$B,'01. TH'!$B132,'TỔNG KLH + TN'!$C:$C,'01. TH'!Y$4)</f>
        <v>0</v>
      </c>
      <c r="Z132" s="126">
        <f>COUNTIFS('TỔNG KLH + TN'!$B:$B,'01. TH'!$B132,'TỔNG KLH + TN'!$C:$C,'01. TH'!Z$4)</f>
        <v>0</v>
      </c>
      <c r="AA132" s="126">
        <f>COUNTIFS('TỔNG KLH + TN'!$B:$B,'01. TH'!$B132,'TỔNG KLH + TN'!$C:$C,'01. TH'!AA$4)</f>
        <v>0</v>
      </c>
      <c r="AB132" s="126">
        <f>COUNTIFS('TỔNG KLH + TN'!$B:$B,'01. TH'!$B132,'TỔNG KLH + TN'!$C:$C,'01. TH'!AB$4)</f>
        <v>1</v>
      </c>
      <c r="AC132" s="126">
        <f>COUNTIFS('TỔNG KLH + TN'!$B:$B,'01. TH'!$B132,'TỔNG KLH + TN'!$C:$C,'01. TH'!AC$4)</f>
        <v>0</v>
      </c>
      <c r="AD132" s="126">
        <f>COUNTIFS('TỔNG KLH + TN'!$B:$B,'01. TH'!$B132,'TỔNG KLH + TN'!$C:$C,'01. TH'!AD$4)</f>
        <v>0</v>
      </c>
      <c r="AE132" s="162">
        <f t="shared" si="26"/>
        <v>1</v>
      </c>
      <c r="AF132" s="162"/>
      <c r="AG132" s="70" t="str">
        <f t="shared" si="24"/>
        <v>ok</v>
      </c>
      <c r="AH132" s="163"/>
    </row>
    <row r="133" ht="18.75" hidden="1" customHeight="1" outlineLevel="1">
      <c r="A133" s="159"/>
      <c r="B133" s="205" t="s">
        <v>2349</v>
      </c>
      <c r="C133" s="123" t="s">
        <v>950</v>
      </c>
      <c r="D133" s="124"/>
      <c r="E133" s="124" t="s">
        <v>108</v>
      </c>
      <c r="F133" s="126">
        <f>COUNTIFS('TỔNG KLH + TN'!$B:$B,'01. TH'!$B133,'TỔNG KLH + TN'!$C:$C,'01. TH'!F$4)</f>
        <v>0</v>
      </c>
      <c r="G133" s="126">
        <f>COUNTIFS('TỔNG KLH + TN'!$B:$B,'01. TH'!$B133,'TỔNG KLH + TN'!$C:$C,'01. TH'!G$4)</f>
        <v>0</v>
      </c>
      <c r="H133" s="126">
        <f>COUNTIFS('TỔNG KLH + TN'!$B:$B,'01. TH'!$B133,'TỔNG KLH + TN'!$C:$C,'01. TH'!H$4)</f>
        <v>0</v>
      </c>
      <c r="I133" s="126">
        <f>COUNTIFS('TỔNG KLH + TN'!$B:$B,'01. TH'!$B133,'TỔNG KLH + TN'!$C:$C,'01. TH'!I$4)</f>
        <v>0</v>
      </c>
      <c r="J133" s="126">
        <f>COUNTIFS('TỔNG KLH + TN'!$B:$B,'01. TH'!$B133,'TỔNG KLH + TN'!$C:$C,'01. TH'!J$4)</f>
        <v>0</v>
      </c>
      <c r="K133" s="126">
        <f>COUNTIFS('TỔNG KLH + TN'!$B:$B,'01. TH'!$B133,'TỔNG KLH + TN'!$C:$C,'01. TH'!K$4)</f>
        <v>0</v>
      </c>
      <c r="L133" s="126">
        <f>COUNTIFS('TỔNG KLH + TN'!$B:$B,'01. TH'!$B133,'TỔNG KLH + TN'!$C:$C,'01. TH'!L$4)</f>
        <v>0</v>
      </c>
      <c r="M133" s="126">
        <f>COUNTIFS('TỔNG KLH + TN'!$B:$B,'01. TH'!$B133,'TỔNG KLH + TN'!$C:$C,'01. TH'!M$4)</f>
        <v>0</v>
      </c>
      <c r="N133" s="126">
        <f>COUNTIFS('TỔNG KLH + TN'!$B:$B,'01. TH'!$B133,'TỔNG KLH + TN'!$C:$C,'01. TH'!N$4)</f>
        <v>0</v>
      </c>
      <c r="O133" s="126">
        <f>COUNTIFS('TỔNG KLH + TN'!$B:$B,'01. TH'!$B133,'TỔNG KLH + TN'!$C:$C,'01. TH'!O$4)</f>
        <v>0</v>
      </c>
      <c r="P133" s="126">
        <f>COUNTIFS('TỔNG KLH + TN'!$B:$B,'01. TH'!$B133,'TỔNG KLH + TN'!$C:$C,'01. TH'!P$4)</f>
        <v>0</v>
      </c>
      <c r="Q133" s="126">
        <f>COUNTIFS('TỔNG KLH + TN'!$B:$B,'01. TH'!$B133,'TỔNG KLH + TN'!$C:$C,'01. TH'!Q$4)</f>
        <v>0</v>
      </c>
      <c r="R133" s="126">
        <f>COUNTIFS('TỔNG KLH + TN'!$B:$B,'01. TH'!$B133,'TỔNG KLH + TN'!$C:$C,'01. TH'!R$4)</f>
        <v>0</v>
      </c>
      <c r="S133" s="126">
        <f>COUNTIFS('TỔNG KLH + TN'!$B:$B,'01. TH'!$B133,'TỔNG KLH + TN'!$C:$C,'01. TH'!S$4)</f>
        <v>0</v>
      </c>
      <c r="T133" s="126">
        <f>COUNTIFS('TỔNG KLH + TN'!$B:$B,'01. TH'!$B133,'TỔNG KLH + TN'!$C:$C,'01. TH'!T$4)</f>
        <v>0</v>
      </c>
      <c r="U133" s="126">
        <f>COUNTIFS('TỔNG KLH + TN'!$B:$B,'01. TH'!$B133,'TỔNG KLH + TN'!$C:$C,'01. TH'!U$4)</f>
        <v>1</v>
      </c>
      <c r="V133" s="126">
        <f>COUNTIFS('TỔNG KLH + TN'!$B:$B,'01. TH'!$B133,'TỔNG KLH + TN'!$C:$C,'01. TH'!V$4)</f>
        <v>0</v>
      </c>
      <c r="W133" s="126">
        <f>COUNTIFS('TỔNG KLH + TN'!$B:$B,'01. TH'!$B133,'TỔNG KLH + TN'!$C:$C,'01. TH'!W$4)</f>
        <v>0</v>
      </c>
      <c r="X133" s="126">
        <f>COUNTIFS('TỔNG KLH + TN'!$B:$B,'01. TH'!$B133,'TỔNG KLH + TN'!$C:$C,'01. TH'!X$4)</f>
        <v>0</v>
      </c>
      <c r="Y133" s="126">
        <f>COUNTIFS('TỔNG KLH + TN'!$B:$B,'01. TH'!$B133,'TỔNG KLH + TN'!$C:$C,'01. TH'!Y$4)</f>
        <v>0</v>
      </c>
      <c r="Z133" s="126">
        <f>COUNTIFS('TỔNG KLH + TN'!$B:$B,'01. TH'!$B133,'TỔNG KLH + TN'!$C:$C,'01. TH'!Z$4)</f>
        <v>0</v>
      </c>
      <c r="AA133" s="126">
        <f>COUNTIFS('TỔNG KLH + TN'!$B:$B,'01. TH'!$B133,'TỔNG KLH + TN'!$C:$C,'01. TH'!AA$4)</f>
        <v>0</v>
      </c>
      <c r="AB133" s="126">
        <f>COUNTIFS('TỔNG KLH + TN'!$B:$B,'01. TH'!$B133,'TỔNG KLH + TN'!$C:$C,'01. TH'!AB$4)</f>
        <v>0</v>
      </c>
      <c r="AC133" s="126">
        <f>COUNTIFS('TỔNG KLH + TN'!$B:$B,'01. TH'!$B133,'TỔNG KLH + TN'!$C:$C,'01. TH'!AC$4)</f>
        <v>0</v>
      </c>
      <c r="AD133" s="126">
        <f>COUNTIFS('TỔNG KLH + TN'!$B:$B,'01. TH'!$B133,'TỔNG KLH + TN'!$C:$C,'01. TH'!AD$4)</f>
        <v>0</v>
      </c>
      <c r="AE133" s="162">
        <f t="shared" si="26"/>
        <v>1</v>
      </c>
      <c r="AF133" s="162"/>
      <c r="AG133" s="70" t="str">
        <f t="shared" si="24"/>
        <v>ok</v>
      </c>
      <c r="AH133" s="163"/>
    </row>
    <row r="134" ht="24.0" customHeight="1" collapsed="1">
      <c r="A134" s="571">
        <v>13.0</v>
      </c>
      <c r="B134" s="73" t="s">
        <v>4836</v>
      </c>
      <c r="C134" s="78"/>
      <c r="D134" s="78" t="str">
        <f>IFERROR(VLOOKUP(B134,'Danh mục'!$G:$U,15,0),"")</f>
        <v/>
      </c>
      <c r="E134" s="78"/>
      <c r="F134" s="172">
        <f t="shared" ref="F134:AE134" si="27">SUM(F135:F139)</f>
        <v>0</v>
      </c>
      <c r="G134" s="172">
        <f t="shared" si="27"/>
        <v>0</v>
      </c>
      <c r="H134" s="172">
        <f t="shared" si="27"/>
        <v>1</v>
      </c>
      <c r="I134" s="172">
        <f t="shared" si="27"/>
        <v>1</v>
      </c>
      <c r="J134" s="172">
        <f t="shared" si="27"/>
        <v>1</v>
      </c>
      <c r="K134" s="172">
        <f t="shared" si="27"/>
        <v>0</v>
      </c>
      <c r="L134" s="172">
        <f t="shared" si="27"/>
        <v>0</v>
      </c>
      <c r="M134" s="172">
        <f t="shared" si="27"/>
        <v>0</v>
      </c>
      <c r="N134" s="172">
        <f t="shared" si="27"/>
        <v>0</v>
      </c>
      <c r="O134" s="172">
        <f t="shared" si="27"/>
        <v>0</v>
      </c>
      <c r="P134" s="172">
        <f t="shared" si="27"/>
        <v>0</v>
      </c>
      <c r="Q134" s="172">
        <f t="shared" si="27"/>
        <v>2</v>
      </c>
      <c r="R134" s="172">
        <f t="shared" si="27"/>
        <v>2</v>
      </c>
      <c r="S134" s="172">
        <f t="shared" si="27"/>
        <v>0</v>
      </c>
      <c r="T134" s="172">
        <f t="shared" si="27"/>
        <v>0</v>
      </c>
      <c r="U134" s="172">
        <f t="shared" si="27"/>
        <v>1</v>
      </c>
      <c r="V134" s="172">
        <f t="shared" si="27"/>
        <v>0</v>
      </c>
      <c r="W134" s="172">
        <f t="shared" si="27"/>
        <v>0</v>
      </c>
      <c r="X134" s="172">
        <f t="shared" si="27"/>
        <v>0</v>
      </c>
      <c r="Y134" s="172">
        <f t="shared" si="27"/>
        <v>0</v>
      </c>
      <c r="Z134" s="172">
        <f t="shared" si="27"/>
        <v>0</v>
      </c>
      <c r="AA134" s="172">
        <f t="shared" si="27"/>
        <v>0</v>
      </c>
      <c r="AB134" s="172">
        <f t="shared" si="27"/>
        <v>0</v>
      </c>
      <c r="AC134" s="172">
        <f t="shared" si="27"/>
        <v>0</v>
      </c>
      <c r="AD134" s="172">
        <f t="shared" si="27"/>
        <v>0</v>
      </c>
      <c r="AE134" s="173">
        <f t="shared" si="27"/>
        <v>8</v>
      </c>
      <c r="AF134" s="174">
        <v>3.0</v>
      </c>
      <c r="AG134" s="70" t="str">
        <f t="shared" si="24"/>
        <v>ok</v>
      </c>
      <c r="AH134" s="120"/>
    </row>
    <row r="135" ht="18.75" hidden="1" customHeight="1" outlineLevel="1">
      <c r="A135" s="121"/>
      <c r="B135" s="205" t="s">
        <v>1143</v>
      </c>
      <c r="C135" s="123" t="s">
        <v>278</v>
      </c>
      <c r="D135" s="124" t="str">
        <f>IFERROR(VLOOKUP(B135,'Danh mục'!$G:$U,15,0),"")</f>
        <v/>
      </c>
      <c r="E135" s="124" t="s">
        <v>108</v>
      </c>
      <c r="F135" s="126">
        <f>COUNTIFS('TỔNG KLH + TN'!$B:$B,'01. TH'!$B135,'TỔNG KLH + TN'!$C:$C,'01. TH'!F$4)</f>
        <v>0</v>
      </c>
      <c r="G135" s="126">
        <f>COUNTIFS('TỔNG KLH + TN'!$B:$B,'01. TH'!$B135,'TỔNG KLH + TN'!$C:$C,'01. TH'!G$4)</f>
        <v>0</v>
      </c>
      <c r="H135" s="126">
        <f>COUNTIFS('TỔNG KLH + TN'!$B:$B,'01. TH'!$B135,'TỔNG KLH + TN'!$C:$C,'01. TH'!H$4)</f>
        <v>0</v>
      </c>
      <c r="I135" s="126">
        <f>COUNTIFS('TỔNG KLH + TN'!$B:$B,'01. TH'!$B135,'TỔNG KLH + TN'!$C:$C,'01. TH'!I$4)</f>
        <v>0</v>
      </c>
      <c r="J135" s="126">
        <f>COUNTIFS('TỔNG KLH + TN'!$B:$B,'01. TH'!$B135,'TỔNG KLH + TN'!$C:$C,'01. TH'!J$4)</f>
        <v>1</v>
      </c>
      <c r="K135" s="126">
        <f>COUNTIFS('TỔNG KLH + TN'!$B:$B,'01. TH'!$B135,'TỔNG KLH + TN'!$C:$C,'01. TH'!K$4)</f>
        <v>0</v>
      </c>
      <c r="L135" s="126">
        <f>COUNTIFS('TỔNG KLH + TN'!$B:$B,'01. TH'!$B135,'TỔNG KLH + TN'!$C:$C,'01. TH'!L$4)</f>
        <v>0</v>
      </c>
      <c r="M135" s="126">
        <f>COUNTIFS('TỔNG KLH + TN'!$B:$B,'01. TH'!$B135,'TỔNG KLH + TN'!$C:$C,'01. TH'!M$4)</f>
        <v>0</v>
      </c>
      <c r="N135" s="126">
        <f>COUNTIFS('TỔNG KLH + TN'!$B:$B,'01. TH'!$B135,'TỔNG KLH + TN'!$C:$C,'01. TH'!N$4)</f>
        <v>0</v>
      </c>
      <c r="O135" s="126">
        <f>COUNTIFS('TỔNG KLH + TN'!$B:$B,'01. TH'!$B135,'TỔNG KLH + TN'!$C:$C,'01. TH'!O$4)</f>
        <v>0</v>
      </c>
      <c r="P135" s="126">
        <f>COUNTIFS('TỔNG KLH + TN'!$B:$B,'01. TH'!$B135,'TỔNG KLH + TN'!$C:$C,'01. TH'!P$4)</f>
        <v>0</v>
      </c>
      <c r="Q135" s="126">
        <f>COUNTIFS('TỔNG KLH + TN'!$B:$B,'01. TH'!$B135,'TỔNG KLH + TN'!$C:$C,'01. TH'!Q$4)</f>
        <v>0</v>
      </c>
      <c r="R135" s="126">
        <f>COUNTIFS('TỔNG KLH + TN'!$B:$B,'01. TH'!$B135,'TỔNG KLH + TN'!$C:$C,'01. TH'!R$4)</f>
        <v>0</v>
      </c>
      <c r="S135" s="126">
        <f>COUNTIFS('TỔNG KLH + TN'!$B:$B,'01. TH'!$B135,'TỔNG KLH + TN'!$C:$C,'01. TH'!S$4)</f>
        <v>0</v>
      </c>
      <c r="T135" s="126">
        <f>COUNTIFS('TỔNG KLH + TN'!$B:$B,'01. TH'!$B135,'TỔNG KLH + TN'!$C:$C,'01. TH'!T$4)</f>
        <v>0</v>
      </c>
      <c r="U135" s="126">
        <f>COUNTIFS('TỔNG KLH + TN'!$B:$B,'01. TH'!$B135,'TỔNG KLH + TN'!$C:$C,'01. TH'!U$4)</f>
        <v>0</v>
      </c>
      <c r="V135" s="126">
        <f>COUNTIFS('TỔNG KLH + TN'!$B:$B,'01. TH'!$B135,'TỔNG KLH + TN'!$C:$C,'01. TH'!V$4)</f>
        <v>0</v>
      </c>
      <c r="W135" s="126">
        <f>COUNTIFS('TỔNG KLH + TN'!$B:$B,'01. TH'!$B135,'TỔNG KLH + TN'!$C:$C,'01. TH'!W$4)</f>
        <v>0</v>
      </c>
      <c r="X135" s="126">
        <f>COUNTIFS('TỔNG KLH + TN'!$B:$B,'01. TH'!$B135,'TỔNG KLH + TN'!$C:$C,'01. TH'!X$4)</f>
        <v>0</v>
      </c>
      <c r="Y135" s="126">
        <f>COUNTIFS('TỔNG KLH + TN'!$B:$B,'01. TH'!$B135,'TỔNG KLH + TN'!$C:$C,'01. TH'!Y$4)</f>
        <v>0</v>
      </c>
      <c r="Z135" s="126">
        <f>COUNTIFS('TỔNG KLH + TN'!$B:$B,'01. TH'!$B135,'TỔNG KLH + TN'!$C:$C,'01. TH'!Z$4)</f>
        <v>0</v>
      </c>
      <c r="AA135" s="126">
        <f>COUNTIFS('TỔNG KLH + TN'!$B:$B,'01. TH'!$B135,'TỔNG KLH + TN'!$C:$C,'01. TH'!AA$4)</f>
        <v>0</v>
      </c>
      <c r="AB135" s="126">
        <f>COUNTIFS('TỔNG KLH + TN'!$B:$B,'01. TH'!$B135,'TỔNG KLH + TN'!$C:$C,'01. TH'!AB$4)</f>
        <v>0</v>
      </c>
      <c r="AC135" s="126">
        <f>COUNTIFS('TỔNG KLH + TN'!$B:$B,'01. TH'!$B135,'TỔNG KLH + TN'!$C:$C,'01. TH'!AC$4)</f>
        <v>0</v>
      </c>
      <c r="AD135" s="126">
        <f>COUNTIFS('TỔNG KLH + TN'!$B:$B,'01. TH'!$B135,'TỔNG KLH + TN'!$C:$C,'01. TH'!AD$4)</f>
        <v>0</v>
      </c>
      <c r="AE135" s="136">
        <f t="shared" ref="AE135:AE139" si="28">SUM(F135:AD135)</f>
        <v>1</v>
      </c>
      <c r="AF135" s="136"/>
      <c r="AG135" s="70" t="str">
        <f t="shared" si="24"/>
        <v>ok</v>
      </c>
      <c r="AH135" s="124"/>
    </row>
    <row r="136" ht="18.75" hidden="1" customHeight="1" outlineLevel="1">
      <c r="A136" s="159"/>
      <c r="B136" s="122" t="s">
        <v>2304</v>
      </c>
      <c r="C136" s="123" t="s">
        <v>721</v>
      </c>
      <c r="D136" s="124" t="str">
        <f>IFERROR(VLOOKUP(B136,'Danh mục'!$G:$U,15,0),"")</f>
        <v/>
      </c>
      <c r="E136" s="124" t="s">
        <v>108</v>
      </c>
      <c r="F136" s="126">
        <f>COUNTIFS('TỔNG KLH + TN'!$B:$B,'01. TH'!$B136,'TỔNG KLH + TN'!$C:$C,'01. TH'!F$4)</f>
        <v>0</v>
      </c>
      <c r="G136" s="126">
        <f>COUNTIFS('TỔNG KLH + TN'!$B:$B,'01. TH'!$B136,'TỔNG KLH + TN'!$C:$C,'01. TH'!G$4)</f>
        <v>0</v>
      </c>
      <c r="H136" s="126">
        <f>COUNTIFS('TỔNG KLH + TN'!$B:$B,'01. TH'!$B136,'TỔNG KLH + TN'!$C:$C,'01. TH'!H$4)</f>
        <v>0</v>
      </c>
      <c r="I136" s="126">
        <f>COUNTIFS('TỔNG KLH + TN'!$B:$B,'01. TH'!$B136,'TỔNG KLH + TN'!$C:$C,'01. TH'!I$4)</f>
        <v>0</v>
      </c>
      <c r="J136" s="126">
        <f>COUNTIFS('TỔNG KLH + TN'!$B:$B,'01. TH'!$B136,'TỔNG KLH + TN'!$C:$C,'01. TH'!J$4)</f>
        <v>0</v>
      </c>
      <c r="K136" s="126">
        <f>COUNTIFS('TỔNG KLH + TN'!$B:$B,'01. TH'!$B136,'TỔNG KLH + TN'!$C:$C,'01. TH'!K$4)</f>
        <v>0</v>
      </c>
      <c r="L136" s="126">
        <f>COUNTIFS('TỔNG KLH + TN'!$B:$B,'01. TH'!$B136,'TỔNG KLH + TN'!$C:$C,'01. TH'!L$4)</f>
        <v>0</v>
      </c>
      <c r="M136" s="126">
        <f>COUNTIFS('TỔNG KLH + TN'!$B:$B,'01. TH'!$B136,'TỔNG KLH + TN'!$C:$C,'01. TH'!M$4)</f>
        <v>0</v>
      </c>
      <c r="N136" s="126">
        <f>COUNTIFS('TỔNG KLH + TN'!$B:$B,'01. TH'!$B136,'TỔNG KLH + TN'!$C:$C,'01. TH'!N$4)</f>
        <v>0</v>
      </c>
      <c r="O136" s="126">
        <f>COUNTIFS('TỔNG KLH + TN'!$B:$B,'01. TH'!$B136,'TỔNG KLH + TN'!$C:$C,'01. TH'!O$4)</f>
        <v>0</v>
      </c>
      <c r="P136" s="126">
        <f>COUNTIFS('TỔNG KLH + TN'!$B:$B,'01. TH'!$B136,'TỔNG KLH + TN'!$C:$C,'01. TH'!P$4)</f>
        <v>0</v>
      </c>
      <c r="Q136" s="126">
        <f>COUNTIFS('TỔNG KLH + TN'!$B:$B,'01. TH'!$B136,'TỔNG KLH + TN'!$C:$C,'01. TH'!Q$4)</f>
        <v>0</v>
      </c>
      <c r="R136" s="126">
        <f>COUNTIFS('TỔNG KLH + TN'!$B:$B,'01. TH'!$B136,'TỔNG KLH + TN'!$C:$C,'01. TH'!R$4)</f>
        <v>0</v>
      </c>
      <c r="S136" s="126">
        <f>COUNTIFS('TỔNG KLH + TN'!$B:$B,'01. TH'!$B136,'TỔNG KLH + TN'!$C:$C,'01. TH'!S$4)</f>
        <v>0</v>
      </c>
      <c r="T136" s="126">
        <f>COUNTIFS('TỔNG KLH + TN'!$B:$B,'01. TH'!$B136,'TỔNG KLH + TN'!$C:$C,'01. TH'!T$4)</f>
        <v>0</v>
      </c>
      <c r="U136" s="126">
        <f>COUNTIFS('TỔNG KLH + TN'!$B:$B,'01. TH'!$B136,'TỔNG KLH + TN'!$C:$C,'01. TH'!U$4)</f>
        <v>1</v>
      </c>
      <c r="V136" s="126">
        <f>COUNTIFS('TỔNG KLH + TN'!$B:$B,'01. TH'!$B136,'TỔNG KLH + TN'!$C:$C,'01. TH'!V$4)</f>
        <v>0</v>
      </c>
      <c r="W136" s="126">
        <f>COUNTIFS('TỔNG KLH + TN'!$B:$B,'01. TH'!$B136,'TỔNG KLH + TN'!$C:$C,'01. TH'!W$4)</f>
        <v>0</v>
      </c>
      <c r="X136" s="126">
        <f>COUNTIFS('TỔNG KLH + TN'!$B:$B,'01. TH'!$B136,'TỔNG KLH + TN'!$C:$C,'01. TH'!X$4)</f>
        <v>0</v>
      </c>
      <c r="Y136" s="126">
        <f>COUNTIFS('TỔNG KLH + TN'!$B:$B,'01. TH'!$B136,'TỔNG KLH + TN'!$C:$C,'01. TH'!Y$4)</f>
        <v>0</v>
      </c>
      <c r="Z136" s="126">
        <f>COUNTIFS('TỔNG KLH + TN'!$B:$B,'01. TH'!$B136,'TỔNG KLH + TN'!$C:$C,'01. TH'!Z$4)</f>
        <v>0</v>
      </c>
      <c r="AA136" s="126">
        <f>COUNTIFS('TỔNG KLH + TN'!$B:$B,'01. TH'!$B136,'TỔNG KLH + TN'!$C:$C,'01. TH'!AA$4)</f>
        <v>0</v>
      </c>
      <c r="AB136" s="126">
        <f>COUNTIFS('TỔNG KLH + TN'!$B:$B,'01. TH'!$B136,'TỔNG KLH + TN'!$C:$C,'01. TH'!AB$4)</f>
        <v>0</v>
      </c>
      <c r="AC136" s="126">
        <f>COUNTIFS('TỔNG KLH + TN'!$B:$B,'01. TH'!$B136,'TỔNG KLH + TN'!$C:$C,'01. TH'!AC$4)</f>
        <v>0</v>
      </c>
      <c r="AD136" s="126">
        <f>COUNTIFS('TỔNG KLH + TN'!$B:$B,'01. TH'!$B136,'TỔNG KLH + TN'!$C:$C,'01. TH'!AD$4)</f>
        <v>0</v>
      </c>
      <c r="AE136" s="162">
        <f t="shared" si="28"/>
        <v>1</v>
      </c>
      <c r="AF136" s="162"/>
      <c r="AG136" s="70" t="str">
        <f t="shared" si="24"/>
        <v>ok</v>
      </c>
      <c r="AH136" s="163"/>
    </row>
    <row r="137" ht="18.75" hidden="1" customHeight="1" outlineLevel="1">
      <c r="A137" s="121"/>
      <c r="B137" s="122" t="s">
        <v>1381</v>
      </c>
      <c r="C137" s="123" t="s">
        <v>682</v>
      </c>
      <c r="D137" s="124" t="str">
        <f>IFERROR(VLOOKUP(B137,'Danh mục'!$G:$U,15,0),"")</f>
        <v>4890 x 2015 x 2500</v>
      </c>
      <c r="E137" s="124" t="s">
        <v>108</v>
      </c>
      <c r="F137" s="126">
        <f>COUNTIFS('TỔNG KLH + TN'!$B:$B,'01. TH'!$B137,'TỔNG KLH + TN'!$C:$C,'01. TH'!F$4)</f>
        <v>0</v>
      </c>
      <c r="G137" s="126">
        <f>COUNTIFS('TỔNG KLH + TN'!$B:$B,'01. TH'!$B137,'TỔNG KLH + TN'!$C:$C,'01. TH'!G$4)</f>
        <v>0</v>
      </c>
      <c r="H137" s="126">
        <f>COUNTIFS('TỔNG KLH + TN'!$B:$B,'01. TH'!$B137,'TỔNG KLH + TN'!$C:$C,'01. TH'!H$4)</f>
        <v>0</v>
      </c>
      <c r="I137" s="126">
        <f>COUNTIFS('TỔNG KLH + TN'!$B:$B,'01. TH'!$B137,'TỔNG KLH + TN'!$C:$C,'01. TH'!I$4)</f>
        <v>0</v>
      </c>
      <c r="J137" s="126">
        <f>COUNTIFS('TỔNG KLH + TN'!$B:$B,'01. TH'!$B137,'TỔNG KLH + TN'!$C:$C,'01. TH'!J$4)</f>
        <v>0</v>
      </c>
      <c r="K137" s="126">
        <f>COUNTIFS('TỔNG KLH + TN'!$B:$B,'01. TH'!$B137,'TỔNG KLH + TN'!$C:$C,'01. TH'!K$4)</f>
        <v>0</v>
      </c>
      <c r="L137" s="126">
        <f>COUNTIFS('TỔNG KLH + TN'!$B:$B,'01. TH'!$B137,'TỔNG KLH + TN'!$C:$C,'01. TH'!L$4)</f>
        <v>0</v>
      </c>
      <c r="M137" s="126">
        <f>COUNTIFS('TỔNG KLH + TN'!$B:$B,'01. TH'!$B137,'TỔNG KLH + TN'!$C:$C,'01. TH'!M$4)</f>
        <v>0</v>
      </c>
      <c r="N137" s="126">
        <f>COUNTIFS('TỔNG KLH + TN'!$B:$B,'01. TH'!$B137,'TỔNG KLH + TN'!$C:$C,'01. TH'!N$4)</f>
        <v>0</v>
      </c>
      <c r="O137" s="126">
        <f>COUNTIFS('TỔNG KLH + TN'!$B:$B,'01. TH'!$B137,'TỔNG KLH + TN'!$C:$C,'01. TH'!O$4)</f>
        <v>0</v>
      </c>
      <c r="P137" s="126">
        <f>COUNTIFS('TỔNG KLH + TN'!$B:$B,'01. TH'!$B137,'TỔNG KLH + TN'!$C:$C,'01. TH'!P$4)</f>
        <v>0</v>
      </c>
      <c r="Q137" s="126">
        <f>COUNTIFS('TỔNG KLH + TN'!$B:$B,'01. TH'!$B137,'TỔNG KLH + TN'!$C:$C,'01. TH'!Q$4)</f>
        <v>1</v>
      </c>
      <c r="R137" s="126">
        <f>COUNTIFS('TỔNG KLH + TN'!$B:$B,'01. TH'!$B137,'TỔNG KLH + TN'!$C:$C,'01. TH'!R$4)</f>
        <v>0</v>
      </c>
      <c r="S137" s="126">
        <f>COUNTIFS('TỔNG KLH + TN'!$B:$B,'01. TH'!$B137,'TỔNG KLH + TN'!$C:$C,'01. TH'!S$4)</f>
        <v>0</v>
      </c>
      <c r="T137" s="126">
        <f>COUNTIFS('TỔNG KLH + TN'!$B:$B,'01. TH'!$B137,'TỔNG KLH + TN'!$C:$C,'01. TH'!T$4)</f>
        <v>0</v>
      </c>
      <c r="U137" s="126">
        <f>COUNTIFS('TỔNG KLH + TN'!$B:$B,'01. TH'!$B137,'TỔNG KLH + TN'!$C:$C,'01. TH'!U$4)</f>
        <v>0</v>
      </c>
      <c r="V137" s="126">
        <f>COUNTIFS('TỔNG KLH + TN'!$B:$B,'01. TH'!$B137,'TỔNG KLH + TN'!$C:$C,'01. TH'!V$4)</f>
        <v>0</v>
      </c>
      <c r="W137" s="126">
        <f>COUNTIFS('TỔNG KLH + TN'!$B:$B,'01. TH'!$B137,'TỔNG KLH + TN'!$C:$C,'01. TH'!W$4)</f>
        <v>0</v>
      </c>
      <c r="X137" s="126">
        <f>COUNTIFS('TỔNG KLH + TN'!$B:$B,'01. TH'!$B137,'TỔNG KLH + TN'!$C:$C,'01. TH'!X$4)</f>
        <v>0</v>
      </c>
      <c r="Y137" s="126">
        <f>COUNTIFS('TỔNG KLH + TN'!$B:$B,'01. TH'!$B137,'TỔNG KLH + TN'!$C:$C,'01. TH'!Y$4)</f>
        <v>0</v>
      </c>
      <c r="Z137" s="126">
        <f>COUNTIFS('TỔNG KLH + TN'!$B:$B,'01. TH'!$B137,'TỔNG KLH + TN'!$C:$C,'01. TH'!Z$4)</f>
        <v>0</v>
      </c>
      <c r="AA137" s="126">
        <f>COUNTIFS('TỔNG KLH + TN'!$B:$B,'01. TH'!$B137,'TỔNG KLH + TN'!$C:$C,'01. TH'!AA$4)</f>
        <v>0</v>
      </c>
      <c r="AB137" s="126">
        <f>COUNTIFS('TỔNG KLH + TN'!$B:$B,'01. TH'!$B137,'TỔNG KLH + TN'!$C:$C,'01. TH'!AB$4)</f>
        <v>0</v>
      </c>
      <c r="AC137" s="126">
        <f>COUNTIFS('TỔNG KLH + TN'!$B:$B,'01. TH'!$B137,'TỔNG KLH + TN'!$C:$C,'01. TH'!AC$4)</f>
        <v>0</v>
      </c>
      <c r="AD137" s="126">
        <f>COUNTIFS('TỔNG KLH + TN'!$B:$B,'01. TH'!$B137,'TỔNG KLH + TN'!$C:$C,'01. TH'!AD$4)</f>
        <v>0</v>
      </c>
      <c r="AE137" s="136">
        <f t="shared" si="28"/>
        <v>1</v>
      </c>
      <c r="AF137" s="136"/>
      <c r="AG137" s="70" t="str">
        <f t="shared" si="24"/>
        <v>ok</v>
      </c>
      <c r="AH137" s="124"/>
    </row>
    <row r="138" ht="18.75" hidden="1" customHeight="1" outlineLevel="1">
      <c r="A138" s="121"/>
      <c r="B138" s="122" t="s">
        <v>1031</v>
      </c>
      <c r="C138" s="123" t="s">
        <v>682</v>
      </c>
      <c r="D138" s="124" t="str">
        <f>IFERROR(VLOOKUP(B138,'Danh mục'!$G:$U,15,0),"")</f>
        <v/>
      </c>
      <c r="E138" s="124" t="s">
        <v>108</v>
      </c>
      <c r="F138" s="126">
        <f>COUNTIFS('TỔNG KLH + TN'!$B:$B,'01. TH'!$B138,'TỔNG KLH + TN'!$C:$C,'01. TH'!F$4)</f>
        <v>0</v>
      </c>
      <c r="G138" s="126">
        <f>COUNTIFS('TỔNG KLH + TN'!$B:$B,'01. TH'!$B138,'TỔNG KLH + TN'!$C:$C,'01. TH'!G$4)</f>
        <v>0</v>
      </c>
      <c r="H138" s="126">
        <f>COUNTIFS('TỔNG KLH + TN'!$B:$B,'01. TH'!$B138,'TỔNG KLH + TN'!$C:$C,'01. TH'!H$4)</f>
        <v>0</v>
      </c>
      <c r="I138" s="126">
        <f>COUNTIFS('TỔNG KLH + TN'!$B:$B,'01. TH'!$B138,'TỔNG KLH + TN'!$C:$C,'01. TH'!I$4)</f>
        <v>1</v>
      </c>
      <c r="J138" s="126">
        <f>COUNTIFS('TỔNG KLH + TN'!$B:$B,'01. TH'!$B138,'TỔNG KLH + TN'!$C:$C,'01. TH'!J$4)</f>
        <v>0</v>
      </c>
      <c r="K138" s="126">
        <f>COUNTIFS('TỔNG KLH + TN'!$B:$B,'01. TH'!$B138,'TỔNG KLH + TN'!$C:$C,'01. TH'!K$4)</f>
        <v>0</v>
      </c>
      <c r="L138" s="126">
        <f>COUNTIFS('TỔNG KLH + TN'!$B:$B,'01. TH'!$B138,'TỔNG KLH + TN'!$C:$C,'01. TH'!L$4)</f>
        <v>0</v>
      </c>
      <c r="M138" s="126">
        <f>COUNTIFS('TỔNG KLH + TN'!$B:$B,'01. TH'!$B138,'TỔNG KLH + TN'!$C:$C,'01. TH'!M$4)</f>
        <v>0</v>
      </c>
      <c r="N138" s="126">
        <f>COUNTIFS('TỔNG KLH + TN'!$B:$B,'01. TH'!$B138,'TỔNG KLH + TN'!$C:$C,'01. TH'!N$4)</f>
        <v>0</v>
      </c>
      <c r="O138" s="126">
        <f>COUNTIFS('TỔNG KLH + TN'!$B:$B,'01. TH'!$B138,'TỔNG KLH + TN'!$C:$C,'01. TH'!O$4)</f>
        <v>0</v>
      </c>
      <c r="P138" s="126">
        <f>COUNTIFS('TỔNG KLH + TN'!$B:$B,'01. TH'!$B138,'TỔNG KLH + TN'!$C:$C,'01. TH'!P$4)</f>
        <v>0</v>
      </c>
      <c r="Q138" s="126">
        <f>COUNTIFS('TỔNG KLH + TN'!$B:$B,'01. TH'!$B138,'TỔNG KLH + TN'!$C:$C,'01. TH'!Q$4)</f>
        <v>1</v>
      </c>
      <c r="R138" s="126">
        <f>COUNTIFS('TỔNG KLH + TN'!$B:$B,'01. TH'!$B138,'TỔNG KLH + TN'!$C:$C,'01. TH'!R$4)</f>
        <v>1</v>
      </c>
      <c r="S138" s="126">
        <f>COUNTIFS('TỔNG KLH + TN'!$B:$B,'01. TH'!$B138,'TỔNG KLH + TN'!$C:$C,'01. TH'!S$4)</f>
        <v>0</v>
      </c>
      <c r="T138" s="126">
        <f>COUNTIFS('TỔNG KLH + TN'!$B:$B,'01. TH'!$B138,'TỔNG KLH + TN'!$C:$C,'01. TH'!T$4)</f>
        <v>0</v>
      </c>
      <c r="U138" s="126">
        <f>COUNTIFS('TỔNG KLH + TN'!$B:$B,'01. TH'!$B138,'TỔNG KLH + TN'!$C:$C,'01. TH'!U$4)</f>
        <v>0</v>
      </c>
      <c r="V138" s="126">
        <f>COUNTIFS('TỔNG KLH + TN'!$B:$B,'01. TH'!$B138,'TỔNG KLH + TN'!$C:$C,'01. TH'!V$4)</f>
        <v>0</v>
      </c>
      <c r="W138" s="126">
        <f>COUNTIFS('TỔNG KLH + TN'!$B:$B,'01. TH'!$B138,'TỔNG KLH + TN'!$C:$C,'01. TH'!W$4)</f>
        <v>0</v>
      </c>
      <c r="X138" s="126">
        <f>COUNTIFS('TỔNG KLH + TN'!$B:$B,'01. TH'!$B138,'TỔNG KLH + TN'!$C:$C,'01. TH'!X$4)</f>
        <v>0</v>
      </c>
      <c r="Y138" s="126">
        <f>COUNTIFS('TỔNG KLH + TN'!$B:$B,'01. TH'!$B138,'TỔNG KLH + TN'!$C:$C,'01. TH'!Y$4)</f>
        <v>0</v>
      </c>
      <c r="Z138" s="126">
        <f>COUNTIFS('TỔNG KLH + TN'!$B:$B,'01. TH'!$B138,'TỔNG KLH + TN'!$C:$C,'01. TH'!Z$4)</f>
        <v>0</v>
      </c>
      <c r="AA138" s="126">
        <f>COUNTIFS('TỔNG KLH + TN'!$B:$B,'01. TH'!$B138,'TỔNG KLH + TN'!$C:$C,'01. TH'!AA$4)</f>
        <v>0</v>
      </c>
      <c r="AB138" s="126">
        <f>COUNTIFS('TỔNG KLH + TN'!$B:$B,'01. TH'!$B138,'TỔNG KLH + TN'!$C:$C,'01. TH'!AB$4)</f>
        <v>0</v>
      </c>
      <c r="AC138" s="126">
        <f>COUNTIFS('TỔNG KLH + TN'!$B:$B,'01. TH'!$B138,'TỔNG KLH + TN'!$C:$C,'01. TH'!AC$4)</f>
        <v>0</v>
      </c>
      <c r="AD138" s="126">
        <f>COUNTIFS('TỔNG KLH + TN'!$B:$B,'01. TH'!$B138,'TỔNG KLH + TN'!$C:$C,'01. TH'!AD$4)</f>
        <v>0</v>
      </c>
      <c r="AE138" s="136">
        <f t="shared" si="28"/>
        <v>3</v>
      </c>
      <c r="AF138" s="136"/>
      <c r="AG138" s="70" t="str">
        <f t="shared" si="24"/>
        <v>ok</v>
      </c>
      <c r="AH138" s="124"/>
    </row>
    <row r="139" ht="18.75" hidden="1" customHeight="1" outlineLevel="1">
      <c r="A139" s="121"/>
      <c r="B139" s="205" t="s">
        <v>5077</v>
      </c>
      <c r="C139" s="123" t="s">
        <v>278</v>
      </c>
      <c r="D139" s="124" t="str">
        <f>IFERROR(VLOOKUP(B139,'Danh mục'!$G:$U,15,0),"")</f>
        <v/>
      </c>
      <c r="E139" s="124" t="s">
        <v>108</v>
      </c>
      <c r="F139" s="126">
        <f>COUNTIFS('TỔNG KLH + TN'!$B:$B,'01. TH'!$B139,'TỔNG KLH + TN'!$C:$C,'01. TH'!F$4)</f>
        <v>0</v>
      </c>
      <c r="G139" s="126">
        <f>COUNTIFS('TỔNG KLH + TN'!$B:$B,'01. TH'!$B139,'TỔNG KLH + TN'!$C:$C,'01. TH'!G$4)</f>
        <v>0</v>
      </c>
      <c r="H139" s="126">
        <f>COUNTIFS('TỔNG KLH + TN'!$B:$B,'01. TH'!$B139,'TỔNG KLH + TN'!$C:$C,'01. TH'!H$4)</f>
        <v>1</v>
      </c>
      <c r="I139" s="126">
        <f>COUNTIFS('TỔNG KLH + TN'!$B:$B,'01. TH'!$B139,'TỔNG KLH + TN'!$C:$C,'01. TH'!I$4)</f>
        <v>0</v>
      </c>
      <c r="J139" s="126">
        <f>COUNTIFS('TỔNG KLH + TN'!$B:$B,'01. TH'!$B139,'TỔNG KLH + TN'!$C:$C,'01. TH'!J$4)</f>
        <v>0</v>
      </c>
      <c r="K139" s="126">
        <f>COUNTIFS('TỔNG KLH + TN'!$B:$B,'01. TH'!$B139,'TỔNG KLH + TN'!$C:$C,'01. TH'!K$4)</f>
        <v>0</v>
      </c>
      <c r="L139" s="126">
        <f>COUNTIFS('TỔNG KLH + TN'!$B:$B,'01. TH'!$B139,'TỔNG KLH + TN'!$C:$C,'01. TH'!L$4)</f>
        <v>0</v>
      </c>
      <c r="M139" s="126">
        <f>COUNTIFS('TỔNG KLH + TN'!$B:$B,'01. TH'!$B139,'TỔNG KLH + TN'!$C:$C,'01. TH'!M$4)</f>
        <v>0</v>
      </c>
      <c r="N139" s="126">
        <f>COUNTIFS('TỔNG KLH + TN'!$B:$B,'01. TH'!$B139,'TỔNG KLH + TN'!$C:$C,'01. TH'!N$4)</f>
        <v>0</v>
      </c>
      <c r="O139" s="126">
        <f>COUNTIFS('TỔNG KLH + TN'!$B:$B,'01. TH'!$B139,'TỔNG KLH + TN'!$C:$C,'01. TH'!O$4)</f>
        <v>0</v>
      </c>
      <c r="P139" s="126">
        <f>COUNTIFS('TỔNG KLH + TN'!$B:$B,'01. TH'!$B139,'TỔNG KLH + TN'!$C:$C,'01. TH'!P$4)</f>
        <v>0</v>
      </c>
      <c r="Q139" s="126">
        <f>COUNTIFS('TỔNG KLH + TN'!$B:$B,'01. TH'!$B139,'TỔNG KLH + TN'!$C:$C,'01. TH'!Q$4)</f>
        <v>0</v>
      </c>
      <c r="R139" s="126">
        <f>COUNTIFS('TỔNG KLH + TN'!$B:$B,'01. TH'!$B139,'TỔNG KLH + TN'!$C:$C,'01. TH'!R$4)</f>
        <v>1</v>
      </c>
      <c r="S139" s="126">
        <f>COUNTIFS('TỔNG KLH + TN'!$B:$B,'01. TH'!$B139,'TỔNG KLH + TN'!$C:$C,'01. TH'!S$4)</f>
        <v>0</v>
      </c>
      <c r="T139" s="126">
        <f>COUNTIFS('TỔNG KLH + TN'!$B:$B,'01. TH'!$B139,'TỔNG KLH + TN'!$C:$C,'01. TH'!T$4)</f>
        <v>0</v>
      </c>
      <c r="U139" s="126">
        <f>COUNTIFS('TỔNG KLH + TN'!$B:$B,'01. TH'!$B139,'TỔNG KLH + TN'!$C:$C,'01. TH'!U$4)</f>
        <v>0</v>
      </c>
      <c r="V139" s="126">
        <f>COUNTIFS('TỔNG KLH + TN'!$B:$B,'01. TH'!$B139,'TỔNG KLH + TN'!$C:$C,'01. TH'!V$4)</f>
        <v>0</v>
      </c>
      <c r="W139" s="126">
        <f>COUNTIFS('TỔNG KLH + TN'!$B:$B,'01. TH'!$B139,'TỔNG KLH + TN'!$C:$C,'01. TH'!W$4)</f>
        <v>0</v>
      </c>
      <c r="X139" s="126">
        <f>COUNTIFS('TỔNG KLH + TN'!$B:$B,'01. TH'!$B139,'TỔNG KLH + TN'!$C:$C,'01. TH'!X$4)</f>
        <v>0</v>
      </c>
      <c r="Y139" s="126">
        <f>COUNTIFS('TỔNG KLH + TN'!$B:$B,'01. TH'!$B139,'TỔNG KLH + TN'!$C:$C,'01. TH'!Y$4)</f>
        <v>0</v>
      </c>
      <c r="Z139" s="126">
        <f>COUNTIFS('TỔNG KLH + TN'!$B:$B,'01. TH'!$B139,'TỔNG KLH + TN'!$C:$C,'01. TH'!Z$4)</f>
        <v>0</v>
      </c>
      <c r="AA139" s="126">
        <f>COUNTIFS('TỔNG KLH + TN'!$B:$B,'01. TH'!$B139,'TỔNG KLH + TN'!$C:$C,'01. TH'!AA$4)</f>
        <v>0</v>
      </c>
      <c r="AB139" s="126">
        <f>COUNTIFS('TỔNG KLH + TN'!$B:$B,'01. TH'!$B139,'TỔNG KLH + TN'!$C:$C,'01. TH'!AB$4)</f>
        <v>0</v>
      </c>
      <c r="AC139" s="126">
        <f>COUNTIFS('TỔNG KLH + TN'!$B:$B,'01. TH'!$B139,'TỔNG KLH + TN'!$C:$C,'01. TH'!AC$4)</f>
        <v>0</v>
      </c>
      <c r="AD139" s="126">
        <f>COUNTIFS('TỔNG KLH + TN'!$B:$B,'01. TH'!$B139,'TỔNG KLH + TN'!$C:$C,'01. TH'!AD$4)</f>
        <v>0</v>
      </c>
      <c r="AE139" s="136">
        <f t="shared" si="28"/>
        <v>2</v>
      </c>
      <c r="AF139" s="136"/>
      <c r="AG139" s="70" t="str">
        <f t="shared" si="24"/>
        <v>ok</v>
      </c>
      <c r="AH139" s="124"/>
    </row>
    <row r="140" ht="24.0" customHeight="1" collapsed="1">
      <c r="A140" s="571">
        <v>14.0</v>
      </c>
      <c r="B140" s="73" t="s">
        <v>5108</v>
      </c>
      <c r="C140" s="78"/>
      <c r="D140" s="78" t="str">
        <f>IFERROR(VLOOKUP(B140,'Danh mục'!$G:$U,15,0),"")</f>
        <v/>
      </c>
      <c r="E140" s="78"/>
      <c r="F140" s="172">
        <f t="shared" ref="F140:AE140" si="29">SUM(F141:F146)</f>
        <v>0</v>
      </c>
      <c r="G140" s="172">
        <f t="shared" si="29"/>
        <v>0</v>
      </c>
      <c r="H140" s="172">
        <f t="shared" si="29"/>
        <v>0</v>
      </c>
      <c r="I140" s="172">
        <f t="shared" si="29"/>
        <v>0</v>
      </c>
      <c r="J140" s="172">
        <f t="shared" si="29"/>
        <v>0</v>
      </c>
      <c r="K140" s="172">
        <f t="shared" si="29"/>
        <v>0</v>
      </c>
      <c r="L140" s="172">
        <f t="shared" si="29"/>
        <v>0</v>
      </c>
      <c r="M140" s="172">
        <f t="shared" si="29"/>
        <v>0</v>
      </c>
      <c r="N140" s="172">
        <f t="shared" si="29"/>
        <v>0</v>
      </c>
      <c r="O140" s="172">
        <f t="shared" si="29"/>
        <v>0</v>
      </c>
      <c r="P140" s="172">
        <f t="shared" si="29"/>
        <v>0</v>
      </c>
      <c r="Q140" s="172">
        <f t="shared" si="29"/>
        <v>0</v>
      </c>
      <c r="R140" s="172">
        <f t="shared" si="29"/>
        <v>0</v>
      </c>
      <c r="S140" s="172">
        <f t="shared" si="29"/>
        <v>0</v>
      </c>
      <c r="T140" s="172">
        <f t="shared" si="29"/>
        <v>0</v>
      </c>
      <c r="U140" s="172">
        <f t="shared" si="29"/>
        <v>29</v>
      </c>
      <c r="V140" s="172">
        <f t="shared" si="29"/>
        <v>0</v>
      </c>
      <c r="W140" s="172">
        <f t="shared" si="29"/>
        <v>0</v>
      </c>
      <c r="X140" s="172">
        <f t="shared" si="29"/>
        <v>0</v>
      </c>
      <c r="Y140" s="172">
        <f t="shared" si="29"/>
        <v>0</v>
      </c>
      <c r="Z140" s="172">
        <f t="shared" si="29"/>
        <v>0</v>
      </c>
      <c r="AA140" s="172">
        <f t="shared" si="29"/>
        <v>0</v>
      </c>
      <c r="AB140" s="172">
        <f t="shared" si="29"/>
        <v>0</v>
      </c>
      <c r="AC140" s="172">
        <f t="shared" si="29"/>
        <v>0</v>
      </c>
      <c r="AD140" s="172">
        <f t="shared" si="29"/>
        <v>0</v>
      </c>
      <c r="AE140" s="173">
        <f t="shared" si="29"/>
        <v>29</v>
      </c>
      <c r="AF140" s="174">
        <v>3.0</v>
      </c>
      <c r="AG140" s="70" t="str">
        <f t="shared" si="24"/>
        <v>ok</v>
      </c>
      <c r="AH140" s="120"/>
    </row>
    <row r="141" ht="18.75" hidden="1" customHeight="1" outlineLevel="1">
      <c r="A141" s="210"/>
      <c r="B141" s="122" t="s">
        <v>2048</v>
      </c>
      <c r="C141" s="123" t="s">
        <v>112</v>
      </c>
      <c r="D141" s="124" t="str">
        <f>IFERROR(VLOOKUP(B141,'Danh mục'!$G:$U,15,0),"")</f>
        <v>8800 x 2500 x 3700</v>
      </c>
      <c r="E141" s="124" t="s">
        <v>108</v>
      </c>
      <c r="F141" s="126">
        <f>COUNTIFS('TỔNG KLH + TN'!$B:$B,'01. TH'!$B141,'TỔNG KLH + TN'!$C:$C,'01. TH'!F$4)</f>
        <v>0</v>
      </c>
      <c r="G141" s="126">
        <f>COUNTIFS('TỔNG KLH + TN'!$B:$B,'01. TH'!$B141,'TỔNG KLH + TN'!$C:$C,'01. TH'!G$4)</f>
        <v>0</v>
      </c>
      <c r="H141" s="126">
        <f>COUNTIFS('TỔNG KLH + TN'!$B:$B,'01. TH'!$B141,'TỔNG KLH + TN'!$C:$C,'01. TH'!H$4)</f>
        <v>0</v>
      </c>
      <c r="I141" s="126">
        <f>COUNTIFS('TỔNG KLH + TN'!$B:$B,'01. TH'!$B141,'TỔNG KLH + TN'!$C:$C,'01. TH'!I$4)</f>
        <v>0</v>
      </c>
      <c r="J141" s="126">
        <f>COUNTIFS('TỔNG KLH + TN'!$B:$B,'01. TH'!$B141,'TỔNG KLH + TN'!$C:$C,'01. TH'!J$4)</f>
        <v>0</v>
      </c>
      <c r="K141" s="126">
        <f>COUNTIFS('TỔNG KLH + TN'!$B:$B,'01. TH'!$B141,'TỔNG KLH + TN'!$C:$C,'01. TH'!K$4)</f>
        <v>0</v>
      </c>
      <c r="L141" s="126">
        <f>COUNTIFS('TỔNG KLH + TN'!$B:$B,'01. TH'!$B141,'TỔNG KLH + TN'!$C:$C,'01. TH'!L$4)</f>
        <v>0</v>
      </c>
      <c r="M141" s="126">
        <f>COUNTIFS('TỔNG KLH + TN'!$B:$B,'01. TH'!$B141,'TỔNG KLH + TN'!$C:$C,'01. TH'!M$4)</f>
        <v>0</v>
      </c>
      <c r="N141" s="126">
        <f>COUNTIFS('TỔNG KLH + TN'!$B:$B,'01. TH'!$B141,'TỔNG KLH + TN'!$C:$C,'01. TH'!N$4)</f>
        <v>0</v>
      </c>
      <c r="O141" s="126">
        <f>COUNTIFS('TỔNG KLH + TN'!$B:$B,'01. TH'!$B141,'TỔNG KLH + TN'!$C:$C,'01. TH'!O$4)</f>
        <v>0</v>
      </c>
      <c r="P141" s="126">
        <f>COUNTIFS('TỔNG KLH + TN'!$B:$B,'01. TH'!$B141,'TỔNG KLH + TN'!$C:$C,'01. TH'!P$4)</f>
        <v>0</v>
      </c>
      <c r="Q141" s="126">
        <f>COUNTIFS('TỔNG KLH + TN'!$B:$B,'01. TH'!$B141,'TỔNG KLH + TN'!$C:$C,'01. TH'!Q$4)</f>
        <v>0</v>
      </c>
      <c r="R141" s="126">
        <f>COUNTIFS('TỔNG KLH + TN'!$B:$B,'01. TH'!$B141,'TỔNG KLH + TN'!$C:$C,'01. TH'!R$4)</f>
        <v>0</v>
      </c>
      <c r="S141" s="126">
        <f>COUNTIFS('TỔNG KLH + TN'!$B:$B,'01. TH'!$B141,'TỔNG KLH + TN'!$C:$C,'01. TH'!S$4)</f>
        <v>0</v>
      </c>
      <c r="T141" s="126">
        <f>COUNTIFS('TỔNG KLH + TN'!$B:$B,'01. TH'!$B141,'TỔNG KLH + TN'!$C:$C,'01. TH'!T$4)</f>
        <v>0</v>
      </c>
      <c r="U141" s="126">
        <f>COUNTIFS('TỔNG KLH + TN'!$B:$B,'01. TH'!$B141,'TỔNG KLH + TN'!$C:$C,'01. TH'!U$4)</f>
        <v>1</v>
      </c>
      <c r="V141" s="126">
        <f>COUNTIFS('TỔNG KLH + TN'!$B:$B,'01. TH'!$B141,'TỔNG KLH + TN'!$C:$C,'01. TH'!V$4)</f>
        <v>0</v>
      </c>
      <c r="W141" s="126">
        <f>COUNTIFS('TỔNG KLH + TN'!$B:$B,'01. TH'!$B141,'TỔNG KLH + TN'!$C:$C,'01. TH'!W$4)</f>
        <v>0</v>
      </c>
      <c r="X141" s="126">
        <f>COUNTIFS('TỔNG KLH + TN'!$B:$B,'01. TH'!$B141,'TỔNG KLH + TN'!$C:$C,'01. TH'!X$4)</f>
        <v>0</v>
      </c>
      <c r="Y141" s="126">
        <f>COUNTIFS('TỔNG KLH + TN'!$B:$B,'01. TH'!$B141,'TỔNG KLH + TN'!$C:$C,'01. TH'!Y$4)</f>
        <v>0</v>
      </c>
      <c r="Z141" s="126">
        <f>COUNTIFS('TỔNG KLH + TN'!$B:$B,'01. TH'!$B141,'TỔNG KLH + TN'!$C:$C,'01. TH'!Z$4)</f>
        <v>0</v>
      </c>
      <c r="AA141" s="126">
        <f>COUNTIFS('TỔNG KLH + TN'!$B:$B,'01. TH'!$B141,'TỔNG KLH + TN'!$C:$C,'01. TH'!AA$4)</f>
        <v>0</v>
      </c>
      <c r="AB141" s="126">
        <f>COUNTIFS('TỔNG KLH + TN'!$B:$B,'01. TH'!$B141,'TỔNG KLH + TN'!$C:$C,'01. TH'!AB$4)</f>
        <v>0</v>
      </c>
      <c r="AC141" s="126">
        <f>COUNTIFS('TỔNG KLH + TN'!$B:$B,'01. TH'!$B141,'TỔNG KLH + TN'!$C:$C,'01. TH'!AC$4)</f>
        <v>0</v>
      </c>
      <c r="AD141" s="126">
        <f>COUNTIFS('TỔNG KLH + TN'!$B:$B,'01. TH'!$B141,'TỔNG KLH + TN'!$C:$C,'01. TH'!AD$4)</f>
        <v>0</v>
      </c>
      <c r="AE141" s="162">
        <f t="shared" ref="AE141:AE146" si="30">SUM(F141:AD141)</f>
        <v>1</v>
      </c>
      <c r="AF141" s="162"/>
      <c r="AG141" s="70" t="str">
        <f t="shared" si="24"/>
        <v>ok</v>
      </c>
      <c r="AH141" s="210"/>
    </row>
    <row r="142" ht="18.75" hidden="1" customHeight="1" outlineLevel="1">
      <c r="A142" s="159"/>
      <c r="B142" s="122" t="s">
        <v>2154</v>
      </c>
      <c r="C142" s="123" t="s">
        <v>271</v>
      </c>
      <c r="D142" s="124" t="str">
        <f>IFERROR(VLOOKUP(B142,'Danh mục'!$G:$U,15,0),"")</f>
        <v>5910 x 2310 x 2800</v>
      </c>
      <c r="E142" s="124" t="s">
        <v>108</v>
      </c>
      <c r="F142" s="126">
        <f>COUNTIFS('TỔNG KLH + TN'!$B:$B,'01. TH'!$B142,'TỔNG KLH + TN'!$C:$C,'01. TH'!F$4)</f>
        <v>0</v>
      </c>
      <c r="G142" s="126">
        <f>COUNTIFS('TỔNG KLH + TN'!$B:$B,'01. TH'!$B142,'TỔNG KLH + TN'!$C:$C,'01. TH'!G$4)</f>
        <v>0</v>
      </c>
      <c r="H142" s="126">
        <f>COUNTIFS('TỔNG KLH + TN'!$B:$B,'01. TH'!$B142,'TỔNG KLH + TN'!$C:$C,'01. TH'!H$4)</f>
        <v>0</v>
      </c>
      <c r="I142" s="126">
        <f>COUNTIFS('TỔNG KLH + TN'!$B:$B,'01. TH'!$B142,'TỔNG KLH + TN'!$C:$C,'01. TH'!I$4)</f>
        <v>0</v>
      </c>
      <c r="J142" s="126">
        <f>COUNTIFS('TỔNG KLH + TN'!$B:$B,'01. TH'!$B142,'TỔNG KLH + TN'!$C:$C,'01. TH'!J$4)</f>
        <v>0</v>
      </c>
      <c r="K142" s="126">
        <f>COUNTIFS('TỔNG KLH + TN'!$B:$B,'01. TH'!$B142,'TỔNG KLH + TN'!$C:$C,'01. TH'!K$4)</f>
        <v>0</v>
      </c>
      <c r="L142" s="126">
        <f>COUNTIFS('TỔNG KLH + TN'!$B:$B,'01. TH'!$B142,'TỔNG KLH + TN'!$C:$C,'01. TH'!L$4)</f>
        <v>0</v>
      </c>
      <c r="M142" s="126">
        <f>COUNTIFS('TỔNG KLH + TN'!$B:$B,'01. TH'!$B142,'TỔNG KLH + TN'!$C:$C,'01. TH'!M$4)</f>
        <v>0</v>
      </c>
      <c r="N142" s="126">
        <f>COUNTIFS('TỔNG KLH + TN'!$B:$B,'01. TH'!$B142,'TỔNG KLH + TN'!$C:$C,'01. TH'!N$4)</f>
        <v>0</v>
      </c>
      <c r="O142" s="126">
        <f>COUNTIFS('TỔNG KLH + TN'!$B:$B,'01. TH'!$B142,'TỔNG KLH + TN'!$C:$C,'01. TH'!O$4)</f>
        <v>0</v>
      </c>
      <c r="P142" s="126">
        <f>COUNTIFS('TỔNG KLH + TN'!$B:$B,'01. TH'!$B142,'TỔNG KLH + TN'!$C:$C,'01. TH'!P$4)</f>
        <v>0</v>
      </c>
      <c r="Q142" s="126">
        <f>COUNTIFS('TỔNG KLH + TN'!$B:$B,'01. TH'!$B142,'TỔNG KLH + TN'!$C:$C,'01. TH'!Q$4)</f>
        <v>0</v>
      </c>
      <c r="R142" s="126">
        <f>COUNTIFS('TỔNG KLH + TN'!$B:$B,'01. TH'!$B142,'TỔNG KLH + TN'!$C:$C,'01. TH'!R$4)</f>
        <v>0</v>
      </c>
      <c r="S142" s="126">
        <f>COUNTIFS('TỔNG KLH + TN'!$B:$B,'01. TH'!$B142,'TỔNG KLH + TN'!$C:$C,'01. TH'!S$4)</f>
        <v>0</v>
      </c>
      <c r="T142" s="126">
        <f>COUNTIFS('TỔNG KLH + TN'!$B:$B,'01. TH'!$B142,'TỔNG KLH + TN'!$C:$C,'01. TH'!T$4)</f>
        <v>0</v>
      </c>
      <c r="U142" s="126">
        <f>COUNTIFS('TỔNG KLH + TN'!$B:$B,'01. TH'!$B142,'TỔNG KLH + TN'!$C:$C,'01. TH'!U$4)</f>
        <v>3</v>
      </c>
      <c r="V142" s="126">
        <f>COUNTIFS('TỔNG KLH + TN'!$B:$B,'01. TH'!$B142,'TỔNG KLH + TN'!$C:$C,'01. TH'!V$4)</f>
        <v>0</v>
      </c>
      <c r="W142" s="126">
        <f>COUNTIFS('TỔNG KLH + TN'!$B:$B,'01. TH'!$B142,'TỔNG KLH + TN'!$C:$C,'01. TH'!W$4)</f>
        <v>0</v>
      </c>
      <c r="X142" s="126">
        <f>COUNTIFS('TỔNG KLH + TN'!$B:$B,'01. TH'!$B142,'TỔNG KLH + TN'!$C:$C,'01. TH'!X$4)</f>
        <v>0</v>
      </c>
      <c r="Y142" s="126">
        <f>COUNTIFS('TỔNG KLH + TN'!$B:$B,'01. TH'!$B142,'TỔNG KLH + TN'!$C:$C,'01. TH'!Y$4)</f>
        <v>0</v>
      </c>
      <c r="Z142" s="126">
        <f>COUNTIFS('TỔNG KLH + TN'!$B:$B,'01. TH'!$B142,'TỔNG KLH + TN'!$C:$C,'01. TH'!Z$4)</f>
        <v>0</v>
      </c>
      <c r="AA142" s="126">
        <f>COUNTIFS('TỔNG KLH + TN'!$B:$B,'01. TH'!$B142,'TỔNG KLH + TN'!$C:$C,'01. TH'!AA$4)</f>
        <v>0</v>
      </c>
      <c r="AB142" s="126">
        <f>COUNTIFS('TỔNG KLH + TN'!$B:$B,'01. TH'!$B142,'TỔNG KLH + TN'!$C:$C,'01. TH'!AB$4)</f>
        <v>0</v>
      </c>
      <c r="AC142" s="126">
        <f>COUNTIFS('TỔNG KLH + TN'!$B:$B,'01. TH'!$B142,'TỔNG KLH + TN'!$C:$C,'01. TH'!AC$4)</f>
        <v>0</v>
      </c>
      <c r="AD142" s="126">
        <f>COUNTIFS('TỔNG KLH + TN'!$B:$B,'01. TH'!$B142,'TỔNG KLH + TN'!$C:$C,'01. TH'!AD$4)</f>
        <v>0</v>
      </c>
      <c r="AE142" s="162">
        <f t="shared" si="30"/>
        <v>3</v>
      </c>
      <c r="AF142" s="162"/>
      <c r="AG142" s="70" t="str">
        <f t="shared" si="24"/>
        <v>ok</v>
      </c>
      <c r="AH142" s="163"/>
    </row>
    <row r="143" ht="18.75" hidden="1" customHeight="1" outlineLevel="1">
      <c r="A143" s="210"/>
      <c r="B143" s="122" t="s">
        <v>2112</v>
      </c>
      <c r="C143" s="123" t="s">
        <v>278</v>
      </c>
      <c r="D143" s="124" t="str">
        <f>IFERROR(VLOOKUP(B143,'Danh mục'!$G:$U,15,0),"")</f>
        <v>6160 x 2330 x 2760</v>
      </c>
      <c r="E143" s="124" t="s">
        <v>108</v>
      </c>
      <c r="F143" s="126">
        <f>COUNTIFS('TỔNG KLH + TN'!$B:$B,'01. TH'!$B143,'TỔNG KLH + TN'!$C:$C,'01. TH'!F$4)</f>
        <v>0</v>
      </c>
      <c r="G143" s="126">
        <f>COUNTIFS('TỔNG KLH + TN'!$B:$B,'01. TH'!$B143,'TỔNG KLH + TN'!$C:$C,'01. TH'!G$4)</f>
        <v>0</v>
      </c>
      <c r="H143" s="126">
        <f>COUNTIFS('TỔNG KLH + TN'!$B:$B,'01. TH'!$B143,'TỔNG KLH + TN'!$C:$C,'01. TH'!H$4)</f>
        <v>0</v>
      </c>
      <c r="I143" s="126">
        <f>COUNTIFS('TỔNG KLH + TN'!$B:$B,'01. TH'!$B143,'TỔNG KLH + TN'!$C:$C,'01. TH'!I$4)</f>
        <v>0</v>
      </c>
      <c r="J143" s="126">
        <f>COUNTIFS('TỔNG KLH + TN'!$B:$B,'01. TH'!$B143,'TỔNG KLH + TN'!$C:$C,'01. TH'!J$4)</f>
        <v>0</v>
      </c>
      <c r="K143" s="126">
        <f>COUNTIFS('TỔNG KLH + TN'!$B:$B,'01. TH'!$B143,'TỔNG KLH + TN'!$C:$C,'01. TH'!K$4)</f>
        <v>0</v>
      </c>
      <c r="L143" s="126">
        <f>COUNTIFS('TỔNG KLH + TN'!$B:$B,'01. TH'!$B143,'TỔNG KLH + TN'!$C:$C,'01. TH'!L$4)</f>
        <v>0</v>
      </c>
      <c r="M143" s="126">
        <f>COUNTIFS('TỔNG KLH + TN'!$B:$B,'01. TH'!$B143,'TỔNG KLH + TN'!$C:$C,'01. TH'!M$4)</f>
        <v>0</v>
      </c>
      <c r="N143" s="126">
        <f>COUNTIFS('TỔNG KLH + TN'!$B:$B,'01. TH'!$B143,'TỔNG KLH + TN'!$C:$C,'01. TH'!N$4)</f>
        <v>0</v>
      </c>
      <c r="O143" s="126">
        <f>COUNTIFS('TỔNG KLH + TN'!$B:$B,'01. TH'!$B143,'TỔNG KLH + TN'!$C:$C,'01. TH'!O$4)</f>
        <v>0</v>
      </c>
      <c r="P143" s="126">
        <f>COUNTIFS('TỔNG KLH + TN'!$B:$B,'01. TH'!$B143,'TỔNG KLH + TN'!$C:$C,'01. TH'!P$4)</f>
        <v>0</v>
      </c>
      <c r="Q143" s="126">
        <f>COUNTIFS('TỔNG KLH + TN'!$B:$B,'01. TH'!$B143,'TỔNG KLH + TN'!$C:$C,'01. TH'!Q$4)</f>
        <v>0</v>
      </c>
      <c r="R143" s="126">
        <f>COUNTIFS('TỔNG KLH + TN'!$B:$B,'01. TH'!$B143,'TỔNG KLH + TN'!$C:$C,'01. TH'!R$4)</f>
        <v>0</v>
      </c>
      <c r="S143" s="126">
        <f>COUNTIFS('TỔNG KLH + TN'!$B:$B,'01. TH'!$B143,'TỔNG KLH + TN'!$C:$C,'01. TH'!S$4)</f>
        <v>0</v>
      </c>
      <c r="T143" s="126">
        <f>COUNTIFS('TỔNG KLH + TN'!$B:$B,'01. TH'!$B143,'TỔNG KLH + TN'!$C:$C,'01. TH'!T$4)</f>
        <v>0</v>
      </c>
      <c r="U143" s="126">
        <f>COUNTIFS('TỔNG KLH + TN'!$B:$B,'01. TH'!$B143,'TỔNG KLH + TN'!$C:$C,'01. TH'!U$4)</f>
        <v>4</v>
      </c>
      <c r="V143" s="126">
        <f>COUNTIFS('TỔNG KLH + TN'!$B:$B,'01. TH'!$B143,'TỔNG KLH + TN'!$C:$C,'01. TH'!V$4)</f>
        <v>0</v>
      </c>
      <c r="W143" s="126">
        <f>COUNTIFS('TỔNG KLH + TN'!$B:$B,'01. TH'!$B143,'TỔNG KLH + TN'!$C:$C,'01. TH'!W$4)</f>
        <v>0</v>
      </c>
      <c r="X143" s="126">
        <f>COUNTIFS('TỔNG KLH + TN'!$B:$B,'01. TH'!$B143,'TỔNG KLH + TN'!$C:$C,'01. TH'!X$4)</f>
        <v>0</v>
      </c>
      <c r="Y143" s="126">
        <f>COUNTIFS('TỔNG KLH + TN'!$B:$B,'01. TH'!$B143,'TỔNG KLH + TN'!$C:$C,'01. TH'!Y$4)</f>
        <v>0</v>
      </c>
      <c r="Z143" s="126">
        <f>COUNTIFS('TỔNG KLH + TN'!$B:$B,'01. TH'!$B143,'TỔNG KLH + TN'!$C:$C,'01. TH'!Z$4)</f>
        <v>0</v>
      </c>
      <c r="AA143" s="126">
        <f>COUNTIFS('TỔNG KLH + TN'!$B:$B,'01. TH'!$B143,'TỔNG KLH + TN'!$C:$C,'01. TH'!AA$4)</f>
        <v>0</v>
      </c>
      <c r="AB143" s="126">
        <f>COUNTIFS('TỔNG KLH + TN'!$B:$B,'01. TH'!$B143,'TỔNG KLH + TN'!$C:$C,'01. TH'!AB$4)</f>
        <v>0</v>
      </c>
      <c r="AC143" s="126">
        <f>COUNTIFS('TỔNG KLH + TN'!$B:$B,'01. TH'!$B143,'TỔNG KLH + TN'!$C:$C,'01. TH'!AC$4)</f>
        <v>0</v>
      </c>
      <c r="AD143" s="126">
        <f>COUNTIFS('TỔNG KLH + TN'!$B:$B,'01. TH'!$B143,'TỔNG KLH + TN'!$C:$C,'01. TH'!AD$4)</f>
        <v>0</v>
      </c>
      <c r="AE143" s="162">
        <f t="shared" si="30"/>
        <v>4</v>
      </c>
      <c r="AF143" s="162"/>
      <c r="AG143" s="70" t="str">
        <f t="shared" si="24"/>
        <v>ok</v>
      </c>
      <c r="AH143" s="210"/>
    </row>
    <row r="144" ht="18.75" hidden="1" customHeight="1" outlineLevel="1">
      <c r="A144" s="159"/>
      <c r="B144" s="122" t="s">
        <v>2125</v>
      </c>
      <c r="C144" s="123" t="s">
        <v>278</v>
      </c>
      <c r="D144" s="124" t="str">
        <f>IFERROR(VLOOKUP(B144,'Danh mục'!$G:$U,15,0),"")</f>
        <v>6160 x 2330 x 2760</v>
      </c>
      <c r="E144" s="124" t="s">
        <v>108</v>
      </c>
      <c r="F144" s="126">
        <f>COUNTIFS('TỔNG KLH + TN'!$B:$B,'01. TH'!$B144,'TỔNG KLH + TN'!$C:$C,'01. TH'!F$4)</f>
        <v>0</v>
      </c>
      <c r="G144" s="126">
        <f>COUNTIFS('TỔNG KLH + TN'!$B:$B,'01. TH'!$B144,'TỔNG KLH + TN'!$C:$C,'01. TH'!G$4)</f>
        <v>0</v>
      </c>
      <c r="H144" s="126">
        <f>COUNTIFS('TỔNG KLH + TN'!$B:$B,'01. TH'!$B144,'TỔNG KLH + TN'!$C:$C,'01. TH'!H$4)</f>
        <v>0</v>
      </c>
      <c r="I144" s="126">
        <f>COUNTIFS('TỔNG KLH + TN'!$B:$B,'01. TH'!$B144,'TỔNG KLH + TN'!$C:$C,'01. TH'!I$4)</f>
        <v>0</v>
      </c>
      <c r="J144" s="126">
        <f>COUNTIFS('TỔNG KLH + TN'!$B:$B,'01. TH'!$B144,'TỔNG KLH + TN'!$C:$C,'01. TH'!J$4)</f>
        <v>0</v>
      </c>
      <c r="K144" s="126">
        <f>COUNTIFS('TỔNG KLH + TN'!$B:$B,'01. TH'!$B144,'TỔNG KLH + TN'!$C:$C,'01. TH'!K$4)</f>
        <v>0</v>
      </c>
      <c r="L144" s="126">
        <f>COUNTIFS('TỔNG KLH + TN'!$B:$B,'01. TH'!$B144,'TỔNG KLH + TN'!$C:$C,'01. TH'!L$4)</f>
        <v>0</v>
      </c>
      <c r="M144" s="126">
        <f>COUNTIFS('TỔNG KLH + TN'!$B:$B,'01. TH'!$B144,'TỔNG KLH + TN'!$C:$C,'01. TH'!M$4)</f>
        <v>0</v>
      </c>
      <c r="N144" s="126">
        <f>COUNTIFS('TỔNG KLH + TN'!$B:$B,'01. TH'!$B144,'TỔNG KLH + TN'!$C:$C,'01. TH'!N$4)</f>
        <v>0</v>
      </c>
      <c r="O144" s="126">
        <f>COUNTIFS('TỔNG KLH + TN'!$B:$B,'01. TH'!$B144,'TỔNG KLH + TN'!$C:$C,'01. TH'!O$4)</f>
        <v>0</v>
      </c>
      <c r="P144" s="126">
        <f>COUNTIFS('TỔNG KLH + TN'!$B:$B,'01. TH'!$B144,'TỔNG KLH + TN'!$C:$C,'01. TH'!P$4)</f>
        <v>0</v>
      </c>
      <c r="Q144" s="126">
        <f>COUNTIFS('TỔNG KLH + TN'!$B:$B,'01. TH'!$B144,'TỔNG KLH + TN'!$C:$C,'01. TH'!Q$4)</f>
        <v>0</v>
      </c>
      <c r="R144" s="126">
        <f>COUNTIFS('TỔNG KLH + TN'!$B:$B,'01. TH'!$B144,'TỔNG KLH + TN'!$C:$C,'01. TH'!R$4)</f>
        <v>0</v>
      </c>
      <c r="S144" s="126">
        <f>COUNTIFS('TỔNG KLH + TN'!$B:$B,'01. TH'!$B144,'TỔNG KLH + TN'!$C:$C,'01. TH'!S$4)</f>
        <v>0</v>
      </c>
      <c r="T144" s="126">
        <f>COUNTIFS('TỔNG KLH + TN'!$B:$B,'01. TH'!$B144,'TỔNG KLH + TN'!$C:$C,'01. TH'!T$4)</f>
        <v>0</v>
      </c>
      <c r="U144" s="126">
        <f>COUNTIFS('TỔNG KLH + TN'!$B:$B,'01. TH'!$B144,'TỔNG KLH + TN'!$C:$C,'01. TH'!U$4)</f>
        <v>6</v>
      </c>
      <c r="V144" s="126">
        <f>COUNTIFS('TỔNG KLH + TN'!$B:$B,'01. TH'!$B144,'TỔNG KLH + TN'!$C:$C,'01. TH'!V$4)</f>
        <v>0</v>
      </c>
      <c r="W144" s="126">
        <f>COUNTIFS('TỔNG KLH + TN'!$B:$B,'01. TH'!$B144,'TỔNG KLH + TN'!$C:$C,'01. TH'!W$4)</f>
        <v>0</v>
      </c>
      <c r="X144" s="126">
        <f>COUNTIFS('TỔNG KLH + TN'!$B:$B,'01. TH'!$B144,'TỔNG KLH + TN'!$C:$C,'01. TH'!X$4)</f>
        <v>0</v>
      </c>
      <c r="Y144" s="126">
        <f>COUNTIFS('TỔNG KLH + TN'!$B:$B,'01. TH'!$B144,'TỔNG KLH + TN'!$C:$C,'01. TH'!Y$4)</f>
        <v>0</v>
      </c>
      <c r="Z144" s="126">
        <f>COUNTIFS('TỔNG KLH + TN'!$B:$B,'01. TH'!$B144,'TỔNG KLH + TN'!$C:$C,'01. TH'!Z$4)</f>
        <v>0</v>
      </c>
      <c r="AA144" s="126">
        <f>COUNTIFS('TỔNG KLH + TN'!$B:$B,'01. TH'!$B144,'TỔNG KLH + TN'!$C:$C,'01. TH'!AA$4)</f>
        <v>0</v>
      </c>
      <c r="AB144" s="126">
        <f>COUNTIFS('TỔNG KLH + TN'!$B:$B,'01. TH'!$B144,'TỔNG KLH + TN'!$C:$C,'01. TH'!AB$4)</f>
        <v>0</v>
      </c>
      <c r="AC144" s="126">
        <f>COUNTIFS('TỔNG KLH + TN'!$B:$B,'01. TH'!$B144,'TỔNG KLH + TN'!$C:$C,'01. TH'!AC$4)</f>
        <v>0</v>
      </c>
      <c r="AD144" s="126">
        <f>COUNTIFS('TỔNG KLH + TN'!$B:$B,'01. TH'!$B144,'TỔNG KLH + TN'!$C:$C,'01. TH'!AD$4)</f>
        <v>0</v>
      </c>
      <c r="AE144" s="162">
        <f t="shared" si="30"/>
        <v>6</v>
      </c>
      <c r="AF144" s="162"/>
      <c r="AG144" s="70" t="str">
        <f t="shared" si="24"/>
        <v>ok</v>
      </c>
      <c r="AH144" s="163"/>
    </row>
    <row r="145" ht="18.75" hidden="1" customHeight="1" outlineLevel="1">
      <c r="A145" s="159"/>
      <c r="B145" s="122" t="s">
        <v>2070</v>
      </c>
      <c r="C145" s="123" t="s">
        <v>278</v>
      </c>
      <c r="D145" s="124" t="str">
        <f>IFERROR(VLOOKUP(B145,'Danh mục'!$G:$U,15,0),"")</f>
        <v>6160 x 2330 x 2760</v>
      </c>
      <c r="E145" s="124" t="s">
        <v>108</v>
      </c>
      <c r="F145" s="126">
        <f>COUNTIFS('TỔNG KLH + TN'!$B:$B,'01. TH'!$B145,'TỔNG KLH + TN'!$C:$C,'01. TH'!F$4)</f>
        <v>0</v>
      </c>
      <c r="G145" s="126">
        <f>COUNTIFS('TỔNG KLH + TN'!$B:$B,'01. TH'!$B145,'TỔNG KLH + TN'!$C:$C,'01. TH'!G$4)</f>
        <v>0</v>
      </c>
      <c r="H145" s="126">
        <f>COUNTIFS('TỔNG KLH + TN'!$B:$B,'01. TH'!$B145,'TỔNG KLH + TN'!$C:$C,'01. TH'!H$4)</f>
        <v>0</v>
      </c>
      <c r="I145" s="126">
        <f>COUNTIFS('TỔNG KLH + TN'!$B:$B,'01. TH'!$B145,'TỔNG KLH + TN'!$C:$C,'01. TH'!I$4)</f>
        <v>0</v>
      </c>
      <c r="J145" s="126">
        <f>COUNTIFS('TỔNG KLH + TN'!$B:$B,'01. TH'!$B145,'TỔNG KLH + TN'!$C:$C,'01. TH'!J$4)</f>
        <v>0</v>
      </c>
      <c r="K145" s="126">
        <f>COUNTIFS('TỔNG KLH + TN'!$B:$B,'01. TH'!$B145,'TỔNG KLH + TN'!$C:$C,'01. TH'!K$4)</f>
        <v>0</v>
      </c>
      <c r="L145" s="126">
        <f>COUNTIFS('TỔNG KLH + TN'!$B:$B,'01. TH'!$B145,'TỔNG KLH + TN'!$C:$C,'01. TH'!L$4)</f>
        <v>0</v>
      </c>
      <c r="M145" s="126">
        <f>COUNTIFS('TỔNG KLH + TN'!$B:$B,'01. TH'!$B145,'TỔNG KLH + TN'!$C:$C,'01. TH'!M$4)</f>
        <v>0</v>
      </c>
      <c r="N145" s="126">
        <f>COUNTIFS('TỔNG KLH + TN'!$B:$B,'01. TH'!$B145,'TỔNG KLH + TN'!$C:$C,'01. TH'!N$4)</f>
        <v>0</v>
      </c>
      <c r="O145" s="126">
        <f>COUNTIFS('TỔNG KLH + TN'!$B:$B,'01. TH'!$B145,'TỔNG KLH + TN'!$C:$C,'01. TH'!O$4)</f>
        <v>0</v>
      </c>
      <c r="P145" s="126">
        <f>COUNTIFS('TỔNG KLH + TN'!$B:$B,'01. TH'!$B145,'TỔNG KLH + TN'!$C:$C,'01. TH'!P$4)</f>
        <v>0</v>
      </c>
      <c r="Q145" s="126">
        <f>COUNTIFS('TỔNG KLH + TN'!$B:$B,'01. TH'!$B145,'TỔNG KLH + TN'!$C:$C,'01. TH'!Q$4)</f>
        <v>0</v>
      </c>
      <c r="R145" s="126">
        <f>COUNTIFS('TỔNG KLH + TN'!$B:$B,'01. TH'!$B145,'TỔNG KLH + TN'!$C:$C,'01. TH'!R$4)</f>
        <v>0</v>
      </c>
      <c r="S145" s="126">
        <f>COUNTIFS('TỔNG KLH + TN'!$B:$B,'01. TH'!$B145,'TỔNG KLH + TN'!$C:$C,'01. TH'!S$4)</f>
        <v>0</v>
      </c>
      <c r="T145" s="126">
        <f>COUNTIFS('TỔNG KLH + TN'!$B:$B,'01. TH'!$B145,'TỔNG KLH + TN'!$C:$C,'01. TH'!T$4)</f>
        <v>0</v>
      </c>
      <c r="U145" s="126">
        <f>COUNTIFS('TỔNG KLH + TN'!$B:$B,'01. TH'!$B145,'TỔNG KLH + TN'!$C:$C,'01. TH'!U$4)</f>
        <v>11</v>
      </c>
      <c r="V145" s="126">
        <f>COUNTIFS('TỔNG KLH + TN'!$B:$B,'01. TH'!$B145,'TỔNG KLH + TN'!$C:$C,'01. TH'!V$4)</f>
        <v>0</v>
      </c>
      <c r="W145" s="126">
        <f>COUNTIFS('TỔNG KLH + TN'!$B:$B,'01. TH'!$B145,'TỔNG KLH + TN'!$C:$C,'01. TH'!W$4)</f>
        <v>0</v>
      </c>
      <c r="X145" s="126">
        <f>COUNTIFS('TỔNG KLH + TN'!$B:$B,'01. TH'!$B145,'TỔNG KLH + TN'!$C:$C,'01. TH'!X$4)</f>
        <v>0</v>
      </c>
      <c r="Y145" s="126">
        <f>COUNTIFS('TỔNG KLH + TN'!$B:$B,'01. TH'!$B145,'TỔNG KLH + TN'!$C:$C,'01. TH'!Y$4)</f>
        <v>0</v>
      </c>
      <c r="Z145" s="126">
        <f>COUNTIFS('TỔNG KLH + TN'!$B:$B,'01. TH'!$B145,'TỔNG KLH + TN'!$C:$C,'01. TH'!Z$4)</f>
        <v>0</v>
      </c>
      <c r="AA145" s="126">
        <f>COUNTIFS('TỔNG KLH + TN'!$B:$B,'01. TH'!$B145,'TỔNG KLH + TN'!$C:$C,'01. TH'!AA$4)</f>
        <v>0</v>
      </c>
      <c r="AB145" s="126">
        <f>COUNTIFS('TỔNG KLH + TN'!$B:$B,'01. TH'!$B145,'TỔNG KLH + TN'!$C:$C,'01. TH'!AB$4)</f>
        <v>0</v>
      </c>
      <c r="AC145" s="126">
        <f>COUNTIFS('TỔNG KLH + TN'!$B:$B,'01. TH'!$B145,'TỔNG KLH + TN'!$C:$C,'01. TH'!AC$4)</f>
        <v>0</v>
      </c>
      <c r="AD145" s="126">
        <f>COUNTIFS('TỔNG KLH + TN'!$B:$B,'01. TH'!$B145,'TỔNG KLH + TN'!$C:$C,'01. TH'!AD$4)</f>
        <v>0</v>
      </c>
      <c r="AE145" s="162">
        <f t="shared" si="30"/>
        <v>11</v>
      </c>
      <c r="AF145" s="162"/>
      <c r="AG145" s="70" t="str">
        <f t="shared" si="24"/>
        <v>ok</v>
      </c>
      <c r="AH145" s="163"/>
    </row>
    <row r="146" ht="18.75" hidden="1" customHeight="1" outlineLevel="1">
      <c r="A146" s="121"/>
      <c r="B146" s="122" t="s">
        <v>2052</v>
      </c>
      <c r="C146" s="123" t="s">
        <v>2056</v>
      </c>
      <c r="D146" s="124" t="s">
        <v>5371</v>
      </c>
      <c r="E146" s="124" t="s">
        <v>108</v>
      </c>
      <c r="F146" s="126">
        <f>COUNTIFS('TỔNG KLH + TN'!$B:$B,'01. TH'!$B146,'TỔNG KLH + TN'!$C:$C,'01. TH'!F$4)</f>
        <v>0</v>
      </c>
      <c r="G146" s="126">
        <f>COUNTIFS('TỔNG KLH + TN'!$B:$B,'01. TH'!$B146,'TỔNG KLH + TN'!$C:$C,'01. TH'!G$4)</f>
        <v>0</v>
      </c>
      <c r="H146" s="126">
        <f>COUNTIFS('TỔNG KLH + TN'!$B:$B,'01. TH'!$B146,'TỔNG KLH + TN'!$C:$C,'01. TH'!H$4)</f>
        <v>0</v>
      </c>
      <c r="I146" s="126">
        <f>COUNTIFS('TỔNG KLH + TN'!$B:$B,'01. TH'!$B146,'TỔNG KLH + TN'!$C:$C,'01. TH'!I$4)</f>
        <v>0</v>
      </c>
      <c r="J146" s="126">
        <f>COUNTIFS('TỔNG KLH + TN'!$B:$B,'01. TH'!$B146,'TỔNG KLH + TN'!$C:$C,'01. TH'!J$4)</f>
        <v>0</v>
      </c>
      <c r="K146" s="126">
        <f>COUNTIFS('TỔNG KLH + TN'!$B:$B,'01. TH'!$B146,'TỔNG KLH + TN'!$C:$C,'01. TH'!K$4)</f>
        <v>0</v>
      </c>
      <c r="L146" s="126">
        <f>COUNTIFS('TỔNG KLH + TN'!$B:$B,'01. TH'!$B146,'TỔNG KLH + TN'!$C:$C,'01. TH'!L$4)</f>
        <v>0</v>
      </c>
      <c r="M146" s="126">
        <f>COUNTIFS('TỔNG KLH + TN'!$B:$B,'01. TH'!$B146,'TỔNG KLH + TN'!$C:$C,'01. TH'!M$4)</f>
        <v>0</v>
      </c>
      <c r="N146" s="126">
        <f>COUNTIFS('TỔNG KLH + TN'!$B:$B,'01. TH'!$B146,'TỔNG KLH + TN'!$C:$C,'01. TH'!N$4)</f>
        <v>0</v>
      </c>
      <c r="O146" s="126">
        <f>COUNTIFS('TỔNG KLH + TN'!$B:$B,'01. TH'!$B146,'TỔNG KLH + TN'!$C:$C,'01. TH'!O$4)</f>
        <v>0</v>
      </c>
      <c r="P146" s="126">
        <f>COUNTIFS('TỔNG KLH + TN'!$B:$B,'01. TH'!$B146,'TỔNG KLH + TN'!$C:$C,'01. TH'!P$4)</f>
        <v>0</v>
      </c>
      <c r="Q146" s="126">
        <f>COUNTIFS('TỔNG KLH + TN'!$B:$B,'01. TH'!$B146,'TỔNG KLH + TN'!$C:$C,'01. TH'!Q$4)</f>
        <v>0</v>
      </c>
      <c r="R146" s="126">
        <f>COUNTIFS('TỔNG KLH + TN'!$B:$B,'01. TH'!$B146,'TỔNG KLH + TN'!$C:$C,'01. TH'!R$4)</f>
        <v>0</v>
      </c>
      <c r="S146" s="126">
        <f>COUNTIFS('TỔNG KLH + TN'!$B:$B,'01. TH'!$B146,'TỔNG KLH + TN'!$C:$C,'01. TH'!S$4)</f>
        <v>0</v>
      </c>
      <c r="T146" s="126">
        <f>COUNTIFS('TỔNG KLH + TN'!$B:$B,'01. TH'!$B146,'TỔNG KLH + TN'!$C:$C,'01. TH'!T$4)</f>
        <v>0</v>
      </c>
      <c r="U146" s="126">
        <f>COUNTIFS('TỔNG KLH + TN'!$B:$B,'01. TH'!$B146,'TỔNG KLH + TN'!$C:$C,'01. TH'!U$4)</f>
        <v>4</v>
      </c>
      <c r="V146" s="126">
        <f>COUNTIFS('TỔNG KLH + TN'!$B:$B,'01. TH'!$B146,'TỔNG KLH + TN'!$C:$C,'01. TH'!V$4)</f>
        <v>0</v>
      </c>
      <c r="W146" s="126">
        <f>COUNTIFS('TỔNG KLH + TN'!$B:$B,'01. TH'!$B146,'TỔNG KLH + TN'!$C:$C,'01. TH'!W$4)</f>
        <v>0</v>
      </c>
      <c r="X146" s="126">
        <f>COUNTIFS('TỔNG KLH + TN'!$B:$B,'01. TH'!$B146,'TỔNG KLH + TN'!$C:$C,'01. TH'!X$4)</f>
        <v>0</v>
      </c>
      <c r="Y146" s="126">
        <f>COUNTIFS('TỔNG KLH + TN'!$B:$B,'01. TH'!$B146,'TỔNG KLH + TN'!$C:$C,'01. TH'!Y$4)</f>
        <v>0</v>
      </c>
      <c r="Z146" s="126">
        <f>COUNTIFS('TỔNG KLH + TN'!$B:$B,'01. TH'!$B146,'TỔNG KLH + TN'!$C:$C,'01. TH'!Z$4)</f>
        <v>0</v>
      </c>
      <c r="AA146" s="126">
        <f>COUNTIFS('TỔNG KLH + TN'!$B:$B,'01. TH'!$B146,'TỔNG KLH + TN'!$C:$C,'01. TH'!AA$4)</f>
        <v>0</v>
      </c>
      <c r="AB146" s="126">
        <f>COUNTIFS('TỔNG KLH + TN'!$B:$B,'01. TH'!$B146,'TỔNG KLH + TN'!$C:$C,'01. TH'!AB$4)</f>
        <v>0</v>
      </c>
      <c r="AC146" s="126">
        <f>COUNTIFS('TỔNG KLH + TN'!$B:$B,'01. TH'!$B146,'TỔNG KLH + TN'!$C:$C,'01. TH'!AC$4)</f>
        <v>0</v>
      </c>
      <c r="AD146" s="126">
        <f>COUNTIFS('TỔNG KLH + TN'!$B:$B,'01. TH'!$B146,'TỔNG KLH + TN'!$C:$C,'01. TH'!AD$4)</f>
        <v>0</v>
      </c>
      <c r="AE146" s="136">
        <f t="shared" si="30"/>
        <v>4</v>
      </c>
      <c r="AF146" s="136"/>
      <c r="AG146" s="70" t="str">
        <f t="shared" si="24"/>
        <v>ok</v>
      </c>
      <c r="AH146" s="124"/>
    </row>
    <row r="147" ht="24.0" customHeight="1" collapsed="1">
      <c r="A147" s="571">
        <v>15.0</v>
      </c>
      <c r="B147" s="73" t="s">
        <v>5440</v>
      </c>
      <c r="C147" s="78"/>
      <c r="D147" s="78" t="str">
        <f>IFERROR(VLOOKUP(B147,'Danh mục'!$G:$U,15,0),"")</f>
        <v/>
      </c>
      <c r="E147" s="78"/>
      <c r="F147" s="172">
        <f t="shared" ref="F147:AE147" si="31">SUM(F148:F158)</f>
        <v>0</v>
      </c>
      <c r="G147" s="172">
        <f t="shared" si="31"/>
        <v>0</v>
      </c>
      <c r="H147" s="172">
        <f t="shared" si="31"/>
        <v>2</v>
      </c>
      <c r="I147" s="172">
        <f t="shared" si="31"/>
        <v>2</v>
      </c>
      <c r="J147" s="172">
        <f t="shared" si="31"/>
        <v>4</v>
      </c>
      <c r="K147" s="172">
        <f t="shared" si="31"/>
        <v>0</v>
      </c>
      <c r="L147" s="172">
        <f t="shared" si="31"/>
        <v>0</v>
      </c>
      <c r="M147" s="172">
        <f t="shared" si="31"/>
        <v>4</v>
      </c>
      <c r="N147" s="172">
        <f t="shared" si="31"/>
        <v>0</v>
      </c>
      <c r="O147" s="172">
        <f t="shared" si="31"/>
        <v>0</v>
      </c>
      <c r="P147" s="172">
        <f t="shared" si="31"/>
        <v>0</v>
      </c>
      <c r="Q147" s="172">
        <f t="shared" si="31"/>
        <v>0</v>
      </c>
      <c r="R147" s="172">
        <f t="shared" si="31"/>
        <v>3</v>
      </c>
      <c r="S147" s="172">
        <f t="shared" si="31"/>
        <v>0</v>
      </c>
      <c r="T147" s="172">
        <f t="shared" si="31"/>
        <v>0</v>
      </c>
      <c r="U147" s="172">
        <f t="shared" si="31"/>
        <v>5</v>
      </c>
      <c r="V147" s="172">
        <f t="shared" si="31"/>
        <v>1</v>
      </c>
      <c r="W147" s="172">
        <f t="shared" si="31"/>
        <v>0</v>
      </c>
      <c r="X147" s="172">
        <f t="shared" si="31"/>
        <v>0</v>
      </c>
      <c r="Y147" s="172">
        <f t="shared" si="31"/>
        <v>0</v>
      </c>
      <c r="Z147" s="172">
        <f t="shared" si="31"/>
        <v>0</v>
      </c>
      <c r="AA147" s="172">
        <f t="shared" si="31"/>
        <v>0</v>
      </c>
      <c r="AB147" s="172">
        <f t="shared" si="31"/>
        <v>2</v>
      </c>
      <c r="AC147" s="172">
        <f t="shared" si="31"/>
        <v>0</v>
      </c>
      <c r="AD147" s="172">
        <f t="shared" si="31"/>
        <v>0</v>
      </c>
      <c r="AE147" s="173">
        <f t="shared" si="31"/>
        <v>23</v>
      </c>
      <c r="AF147" s="174">
        <v>0.0</v>
      </c>
      <c r="AG147" s="70" t="str">
        <f t="shared" si="24"/>
        <v>ok</v>
      </c>
      <c r="AH147" s="120"/>
    </row>
    <row r="148" ht="18.75" hidden="1" customHeight="1" outlineLevel="1">
      <c r="A148" s="159"/>
      <c r="B148" s="122" t="s">
        <v>2004</v>
      </c>
      <c r="C148" s="123" t="s">
        <v>792</v>
      </c>
      <c r="D148" s="124" t="str">
        <f>IFERROR(VLOOKUP(B148,'Danh mục'!$G:$U,15,0),"")</f>
        <v/>
      </c>
      <c r="E148" s="124" t="s">
        <v>108</v>
      </c>
      <c r="F148" s="126">
        <f>COUNTIFS('TỔNG KLH + TN'!$B:$B,'01. TH'!$B148,'TỔNG KLH + TN'!$C:$C,'01. TH'!F$4)</f>
        <v>0</v>
      </c>
      <c r="G148" s="126">
        <f>COUNTIFS('TỔNG KLH + TN'!$B:$B,'01. TH'!$B148,'TỔNG KLH + TN'!$C:$C,'01. TH'!G$4)</f>
        <v>0</v>
      </c>
      <c r="H148" s="126">
        <f>COUNTIFS('TỔNG KLH + TN'!$B:$B,'01. TH'!$B148,'TỔNG KLH + TN'!$C:$C,'01. TH'!H$4)</f>
        <v>0</v>
      </c>
      <c r="I148" s="126">
        <f>COUNTIFS('TỔNG KLH + TN'!$B:$B,'01. TH'!$B148,'TỔNG KLH + TN'!$C:$C,'01. TH'!I$4)</f>
        <v>0</v>
      </c>
      <c r="J148" s="126">
        <f>COUNTIFS('TỔNG KLH + TN'!$B:$B,'01. TH'!$B148,'TỔNG KLH + TN'!$C:$C,'01. TH'!J$4)</f>
        <v>0</v>
      </c>
      <c r="K148" s="126">
        <f>COUNTIFS('TỔNG KLH + TN'!$B:$B,'01. TH'!$B148,'TỔNG KLH + TN'!$C:$C,'01. TH'!K$4)</f>
        <v>0</v>
      </c>
      <c r="L148" s="126">
        <f>COUNTIFS('TỔNG KLH + TN'!$B:$B,'01. TH'!$B148,'TỔNG KLH + TN'!$C:$C,'01. TH'!L$4)</f>
        <v>0</v>
      </c>
      <c r="M148" s="126">
        <f>COUNTIFS('TỔNG KLH + TN'!$B:$B,'01. TH'!$B148,'TỔNG KLH + TN'!$C:$C,'01. TH'!M$4)</f>
        <v>0</v>
      </c>
      <c r="N148" s="126">
        <f>COUNTIFS('TỔNG KLH + TN'!$B:$B,'01. TH'!$B148,'TỔNG KLH + TN'!$C:$C,'01. TH'!N$4)</f>
        <v>0</v>
      </c>
      <c r="O148" s="126">
        <f>COUNTIFS('TỔNG KLH + TN'!$B:$B,'01. TH'!$B148,'TỔNG KLH + TN'!$C:$C,'01. TH'!O$4)</f>
        <v>0</v>
      </c>
      <c r="P148" s="126">
        <f>COUNTIFS('TỔNG KLH + TN'!$B:$B,'01. TH'!$B148,'TỔNG KLH + TN'!$C:$C,'01. TH'!P$4)</f>
        <v>0</v>
      </c>
      <c r="Q148" s="126">
        <f>COUNTIFS('TỔNG KLH + TN'!$B:$B,'01. TH'!$B148,'TỔNG KLH + TN'!$C:$C,'01. TH'!Q$4)</f>
        <v>0</v>
      </c>
      <c r="R148" s="126">
        <f>COUNTIFS('TỔNG KLH + TN'!$B:$B,'01. TH'!$B148,'TỔNG KLH + TN'!$C:$C,'01. TH'!R$4)</f>
        <v>0</v>
      </c>
      <c r="S148" s="126">
        <f>COUNTIFS('TỔNG KLH + TN'!$B:$B,'01. TH'!$B148,'TỔNG KLH + TN'!$C:$C,'01. TH'!S$4)</f>
        <v>0</v>
      </c>
      <c r="T148" s="126">
        <f>COUNTIFS('TỔNG KLH + TN'!$B:$B,'01. TH'!$B148,'TỔNG KLH + TN'!$C:$C,'01. TH'!T$4)</f>
        <v>0</v>
      </c>
      <c r="U148" s="126">
        <f>COUNTIFS('TỔNG KLH + TN'!$B:$B,'01. TH'!$B148,'TỔNG KLH + TN'!$C:$C,'01. TH'!U$4)</f>
        <v>1</v>
      </c>
      <c r="V148" s="126">
        <f>COUNTIFS('TỔNG KLH + TN'!$B:$B,'01. TH'!$B148,'TỔNG KLH + TN'!$C:$C,'01. TH'!V$4)</f>
        <v>0</v>
      </c>
      <c r="W148" s="126">
        <f>COUNTIFS('TỔNG KLH + TN'!$B:$B,'01. TH'!$B148,'TỔNG KLH + TN'!$C:$C,'01. TH'!W$4)</f>
        <v>0</v>
      </c>
      <c r="X148" s="126">
        <f>COUNTIFS('TỔNG KLH + TN'!$B:$B,'01. TH'!$B148,'TỔNG KLH + TN'!$C:$C,'01. TH'!X$4)</f>
        <v>0</v>
      </c>
      <c r="Y148" s="126">
        <f>COUNTIFS('TỔNG KLH + TN'!$B:$B,'01. TH'!$B148,'TỔNG KLH + TN'!$C:$C,'01. TH'!Y$4)</f>
        <v>0</v>
      </c>
      <c r="Z148" s="126">
        <f>COUNTIFS('TỔNG KLH + TN'!$B:$B,'01. TH'!$B148,'TỔNG KLH + TN'!$C:$C,'01. TH'!Z$4)</f>
        <v>0</v>
      </c>
      <c r="AA148" s="126">
        <f>COUNTIFS('TỔNG KLH + TN'!$B:$B,'01. TH'!$B148,'TỔNG KLH + TN'!$C:$C,'01. TH'!AA$4)</f>
        <v>0</v>
      </c>
      <c r="AB148" s="126">
        <f>COUNTIFS('TỔNG KLH + TN'!$B:$B,'01. TH'!$B148,'TỔNG KLH + TN'!$C:$C,'01. TH'!AB$4)</f>
        <v>0</v>
      </c>
      <c r="AC148" s="126">
        <f>COUNTIFS('TỔNG KLH + TN'!$B:$B,'01. TH'!$B148,'TỔNG KLH + TN'!$C:$C,'01. TH'!AC$4)</f>
        <v>0</v>
      </c>
      <c r="AD148" s="126">
        <f>COUNTIFS('TỔNG KLH + TN'!$B:$B,'01. TH'!$B148,'TỔNG KLH + TN'!$C:$C,'01. TH'!AD$4)</f>
        <v>0</v>
      </c>
      <c r="AE148" s="162">
        <f t="shared" ref="AE148:AE158" si="32">SUM(F148:AD148)</f>
        <v>1</v>
      </c>
      <c r="AF148" s="162"/>
      <c r="AG148" s="70" t="str">
        <f t="shared" si="24"/>
        <v>ok</v>
      </c>
      <c r="AH148" s="163"/>
    </row>
    <row r="149" ht="18.75" hidden="1" customHeight="1" outlineLevel="1">
      <c r="A149" s="121"/>
      <c r="B149" s="122" t="s">
        <v>2017</v>
      </c>
      <c r="C149" s="123" t="s">
        <v>792</v>
      </c>
      <c r="D149" s="124" t="str">
        <f>IFERROR(VLOOKUP(B149,'Danh mục'!$G:$U,15,0),"")</f>
        <v/>
      </c>
      <c r="E149" s="124" t="s">
        <v>108</v>
      </c>
      <c r="F149" s="126">
        <f>COUNTIFS('TỔNG KLH + TN'!$B:$B,'01. TH'!$B149,'TỔNG KLH + TN'!$C:$C,'01. TH'!F$4)</f>
        <v>0</v>
      </c>
      <c r="G149" s="126">
        <f>COUNTIFS('TỔNG KLH + TN'!$B:$B,'01. TH'!$B149,'TỔNG KLH + TN'!$C:$C,'01. TH'!G$4)</f>
        <v>0</v>
      </c>
      <c r="H149" s="126">
        <f>COUNTIFS('TỔNG KLH + TN'!$B:$B,'01. TH'!$B149,'TỔNG KLH + TN'!$C:$C,'01. TH'!H$4)</f>
        <v>0</v>
      </c>
      <c r="I149" s="126">
        <f>COUNTIFS('TỔNG KLH + TN'!$B:$B,'01. TH'!$B149,'TỔNG KLH + TN'!$C:$C,'01. TH'!I$4)</f>
        <v>0</v>
      </c>
      <c r="J149" s="126">
        <f>COUNTIFS('TỔNG KLH + TN'!$B:$B,'01. TH'!$B149,'TỔNG KLH + TN'!$C:$C,'01. TH'!J$4)</f>
        <v>0</v>
      </c>
      <c r="K149" s="126">
        <f>COUNTIFS('TỔNG KLH + TN'!$B:$B,'01. TH'!$B149,'TỔNG KLH + TN'!$C:$C,'01. TH'!K$4)</f>
        <v>0</v>
      </c>
      <c r="L149" s="126">
        <f>COUNTIFS('TỔNG KLH + TN'!$B:$B,'01. TH'!$B149,'TỔNG KLH + TN'!$C:$C,'01. TH'!L$4)</f>
        <v>0</v>
      </c>
      <c r="M149" s="126">
        <f>COUNTIFS('TỔNG KLH + TN'!$B:$B,'01. TH'!$B149,'TỔNG KLH + TN'!$C:$C,'01. TH'!M$4)</f>
        <v>0</v>
      </c>
      <c r="N149" s="126">
        <f>COUNTIFS('TỔNG KLH + TN'!$B:$B,'01. TH'!$B149,'TỔNG KLH + TN'!$C:$C,'01. TH'!N$4)</f>
        <v>0</v>
      </c>
      <c r="O149" s="126">
        <f>COUNTIFS('TỔNG KLH + TN'!$B:$B,'01. TH'!$B149,'TỔNG KLH + TN'!$C:$C,'01. TH'!O$4)</f>
        <v>0</v>
      </c>
      <c r="P149" s="126">
        <f>COUNTIFS('TỔNG KLH + TN'!$B:$B,'01. TH'!$B149,'TỔNG KLH + TN'!$C:$C,'01. TH'!P$4)</f>
        <v>0</v>
      </c>
      <c r="Q149" s="126">
        <f>COUNTIFS('TỔNG KLH + TN'!$B:$B,'01. TH'!$B149,'TỔNG KLH + TN'!$C:$C,'01. TH'!Q$4)</f>
        <v>0</v>
      </c>
      <c r="R149" s="126">
        <f>COUNTIFS('TỔNG KLH + TN'!$B:$B,'01. TH'!$B149,'TỔNG KLH + TN'!$C:$C,'01. TH'!R$4)</f>
        <v>0</v>
      </c>
      <c r="S149" s="126">
        <f>COUNTIFS('TỔNG KLH + TN'!$B:$B,'01. TH'!$B149,'TỔNG KLH + TN'!$C:$C,'01. TH'!S$4)</f>
        <v>0</v>
      </c>
      <c r="T149" s="126">
        <f>COUNTIFS('TỔNG KLH + TN'!$B:$B,'01. TH'!$B149,'TỔNG KLH + TN'!$C:$C,'01. TH'!T$4)</f>
        <v>0</v>
      </c>
      <c r="U149" s="126">
        <f>COUNTIFS('TỔNG KLH + TN'!$B:$B,'01. TH'!$B149,'TỔNG KLH + TN'!$C:$C,'01. TH'!U$4)</f>
        <v>2</v>
      </c>
      <c r="V149" s="126">
        <f>COUNTIFS('TỔNG KLH + TN'!$B:$B,'01. TH'!$B149,'TỔNG KLH + TN'!$C:$C,'01. TH'!V$4)</f>
        <v>1</v>
      </c>
      <c r="W149" s="126">
        <f>COUNTIFS('TỔNG KLH + TN'!$B:$B,'01. TH'!$B149,'TỔNG KLH + TN'!$C:$C,'01. TH'!W$4)</f>
        <v>0</v>
      </c>
      <c r="X149" s="126">
        <f>COUNTIFS('TỔNG KLH + TN'!$B:$B,'01. TH'!$B149,'TỔNG KLH + TN'!$C:$C,'01. TH'!X$4)</f>
        <v>0</v>
      </c>
      <c r="Y149" s="126">
        <f>COUNTIFS('TỔNG KLH + TN'!$B:$B,'01. TH'!$B149,'TỔNG KLH + TN'!$C:$C,'01. TH'!Y$4)</f>
        <v>0</v>
      </c>
      <c r="Z149" s="126">
        <f>COUNTIFS('TỔNG KLH + TN'!$B:$B,'01. TH'!$B149,'TỔNG KLH + TN'!$C:$C,'01. TH'!Z$4)</f>
        <v>0</v>
      </c>
      <c r="AA149" s="126">
        <f>COUNTIFS('TỔNG KLH + TN'!$B:$B,'01. TH'!$B149,'TỔNG KLH + TN'!$C:$C,'01. TH'!AA$4)</f>
        <v>0</v>
      </c>
      <c r="AB149" s="126">
        <f>COUNTIFS('TỔNG KLH + TN'!$B:$B,'01. TH'!$B149,'TỔNG KLH + TN'!$C:$C,'01. TH'!AB$4)</f>
        <v>0</v>
      </c>
      <c r="AC149" s="126">
        <f>COUNTIFS('TỔNG KLH + TN'!$B:$B,'01. TH'!$B149,'TỔNG KLH + TN'!$C:$C,'01. TH'!AC$4)</f>
        <v>0</v>
      </c>
      <c r="AD149" s="126">
        <f>COUNTIFS('TỔNG KLH + TN'!$B:$B,'01. TH'!$B149,'TỔNG KLH + TN'!$C:$C,'01. TH'!AD$4)</f>
        <v>0</v>
      </c>
      <c r="AE149" s="136">
        <f t="shared" si="32"/>
        <v>3</v>
      </c>
      <c r="AF149" s="136"/>
      <c r="AG149" s="70" t="str">
        <f t="shared" si="24"/>
        <v>ok</v>
      </c>
      <c r="AH149" s="609"/>
    </row>
    <row r="150" ht="18.75" hidden="1" customHeight="1" outlineLevel="1">
      <c r="A150" s="159"/>
      <c r="B150" s="122" t="s">
        <v>2011</v>
      </c>
      <c r="C150" s="123" t="s">
        <v>792</v>
      </c>
      <c r="D150" s="124" t="str">
        <f>IFERROR(VLOOKUP(B150,'Danh mục'!$G:$U,15,0),"")</f>
        <v/>
      </c>
      <c r="E150" s="124" t="s">
        <v>108</v>
      </c>
      <c r="F150" s="126">
        <f>COUNTIFS('TỔNG KLH + TN'!$B:$B,'01. TH'!$B150,'TỔNG KLH + TN'!$C:$C,'01. TH'!F$4)</f>
        <v>0</v>
      </c>
      <c r="G150" s="126">
        <f>COUNTIFS('TỔNG KLH + TN'!$B:$B,'01. TH'!$B150,'TỔNG KLH + TN'!$C:$C,'01. TH'!G$4)</f>
        <v>0</v>
      </c>
      <c r="H150" s="126">
        <f>COUNTIFS('TỔNG KLH + TN'!$B:$B,'01. TH'!$B150,'TỔNG KLH + TN'!$C:$C,'01. TH'!H$4)</f>
        <v>0</v>
      </c>
      <c r="I150" s="126">
        <f>COUNTIFS('TỔNG KLH + TN'!$B:$B,'01. TH'!$B150,'TỔNG KLH + TN'!$C:$C,'01. TH'!I$4)</f>
        <v>0</v>
      </c>
      <c r="J150" s="126">
        <f>COUNTIFS('TỔNG KLH + TN'!$B:$B,'01. TH'!$B150,'TỔNG KLH + TN'!$C:$C,'01. TH'!J$4)</f>
        <v>0</v>
      </c>
      <c r="K150" s="126">
        <f>COUNTIFS('TỔNG KLH + TN'!$B:$B,'01. TH'!$B150,'TỔNG KLH + TN'!$C:$C,'01. TH'!K$4)</f>
        <v>0</v>
      </c>
      <c r="L150" s="126">
        <f>COUNTIFS('TỔNG KLH + TN'!$B:$B,'01. TH'!$B150,'TỔNG KLH + TN'!$C:$C,'01. TH'!L$4)</f>
        <v>0</v>
      </c>
      <c r="M150" s="126">
        <f>COUNTIFS('TỔNG KLH + TN'!$B:$B,'01. TH'!$B150,'TỔNG KLH + TN'!$C:$C,'01. TH'!M$4)</f>
        <v>0</v>
      </c>
      <c r="N150" s="126">
        <f>COUNTIFS('TỔNG KLH + TN'!$B:$B,'01. TH'!$B150,'TỔNG KLH + TN'!$C:$C,'01. TH'!N$4)</f>
        <v>0</v>
      </c>
      <c r="O150" s="126">
        <f>COUNTIFS('TỔNG KLH + TN'!$B:$B,'01. TH'!$B150,'TỔNG KLH + TN'!$C:$C,'01. TH'!O$4)</f>
        <v>0</v>
      </c>
      <c r="P150" s="126">
        <f>COUNTIFS('TỔNG KLH + TN'!$B:$B,'01. TH'!$B150,'TỔNG KLH + TN'!$C:$C,'01. TH'!P$4)</f>
        <v>0</v>
      </c>
      <c r="Q150" s="126">
        <f>COUNTIFS('TỔNG KLH + TN'!$B:$B,'01. TH'!$B150,'TỔNG KLH + TN'!$C:$C,'01. TH'!Q$4)</f>
        <v>0</v>
      </c>
      <c r="R150" s="126">
        <f>COUNTIFS('TỔNG KLH + TN'!$B:$B,'01. TH'!$B150,'TỔNG KLH + TN'!$C:$C,'01. TH'!R$4)</f>
        <v>0</v>
      </c>
      <c r="S150" s="126">
        <f>COUNTIFS('TỔNG KLH + TN'!$B:$B,'01. TH'!$B150,'TỔNG KLH + TN'!$C:$C,'01. TH'!S$4)</f>
        <v>0</v>
      </c>
      <c r="T150" s="126">
        <f>COUNTIFS('TỔNG KLH + TN'!$B:$B,'01. TH'!$B150,'TỔNG KLH + TN'!$C:$C,'01. TH'!T$4)</f>
        <v>0</v>
      </c>
      <c r="U150" s="126">
        <f>COUNTIFS('TỔNG KLH + TN'!$B:$B,'01. TH'!$B150,'TỔNG KLH + TN'!$C:$C,'01. TH'!U$4)</f>
        <v>1</v>
      </c>
      <c r="V150" s="126">
        <f>COUNTIFS('TỔNG KLH + TN'!$B:$B,'01. TH'!$B150,'TỔNG KLH + TN'!$C:$C,'01. TH'!V$4)</f>
        <v>0</v>
      </c>
      <c r="W150" s="126">
        <f>COUNTIFS('TỔNG KLH + TN'!$B:$B,'01. TH'!$B150,'TỔNG KLH + TN'!$C:$C,'01. TH'!W$4)</f>
        <v>0</v>
      </c>
      <c r="X150" s="126">
        <f>COUNTIFS('TỔNG KLH + TN'!$B:$B,'01. TH'!$B150,'TỔNG KLH + TN'!$C:$C,'01. TH'!X$4)</f>
        <v>0</v>
      </c>
      <c r="Y150" s="126">
        <f>COUNTIFS('TỔNG KLH + TN'!$B:$B,'01. TH'!$B150,'TỔNG KLH + TN'!$C:$C,'01. TH'!Y$4)</f>
        <v>0</v>
      </c>
      <c r="Z150" s="126">
        <f>COUNTIFS('TỔNG KLH + TN'!$B:$B,'01. TH'!$B150,'TỔNG KLH + TN'!$C:$C,'01. TH'!Z$4)</f>
        <v>0</v>
      </c>
      <c r="AA150" s="126">
        <f>COUNTIFS('TỔNG KLH + TN'!$B:$B,'01. TH'!$B150,'TỔNG KLH + TN'!$C:$C,'01. TH'!AA$4)</f>
        <v>0</v>
      </c>
      <c r="AB150" s="126">
        <f>COUNTIFS('TỔNG KLH + TN'!$B:$B,'01. TH'!$B150,'TỔNG KLH + TN'!$C:$C,'01. TH'!AB$4)</f>
        <v>0</v>
      </c>
      <c r="AC150" s="126">
        <f>COUNTIFS('TỔNG KLH + TN'!$B:$B,'01. TH'!$B150,'TỔNG KLH + TN'!$C:$C,'01. TH'!AC$4)</f>
        <v>0</v>
      </c>
      <c r="AD150" s="126">
        <f>COUNTIFS('TỔNG KLH + TN'!$B:$B,'01. TH'!$B150,'TỔNG KLH + TN'!$C:$C,'01. TH'!AD$4)</f>
        <v>0</v>
      </c>
      <c r="AE150" s="162">
        <f t="shared" si="32"/>
        <v>1</v>
      </c>
      <c r="AF150" s="162"/>
      <c r="AG150" s="70" t="str">
        <f t="shared" si="24"/>
        <v>ok</v>
      </c>
      <c r="AH150" s="163"/>
    </row>
    <row r="151" ht="18.75" hidden="1" customHeight="1" outlineLevel="1">
      <c r="A151" s="159"/>
      <c r="B151" s="122" t="s">
        <v>2616</v>
      </c>
      <c r="C151" s="123" t="s">
        <v>792</v>
      </c>
      <c r="D151" s="124" t="str">
        <f>IFERROR(VLOOKUP(B151,'Danh mục'!$G:$U,15,0),"")</f>
        <v/>
      </c>
      <c r="E151" s="124" t="s">
        <v>108</v>
      </c>
      <c r="F151" s="126">
        <f>COUNTIFS('TỔNG KLH + TN'!$B:$B,'01. TH'!$B151,'TỔNG KLH + TN'!$C:$C,'01. TH'!F$4)</f>
        <v>0</v>
      </c>
      <c r="G151" s="126">
        <f>COUNTIFS('TỔNG KLH + TN'!$B:$B,'01. TH'!$B151,'TỔNG KLH + TN'!$C:$C,'01. TH'!G$4)</f>
        <v>0</v>
      </c>
      <c r="H151" s="126">
        <f>COUNTIFS('TỔNG KLH + TN'!$B:$B,'01. TH'!$B151,'TỔNG KLH + TN'!$C:$C,'01. TH'!H$4)</f>
        <v>0</v>
      </c>
      <c r="I151" s="126">
        <f>COUNTIFS('TỔNG KLH + TN'!$B:$B,'01. TH'!$B151,'TỔNG KLH + TN'!$C:$C,'01. TH'!I$4)</f>
        <v>0</v>
      </c>
      <c r="J151" s="126">
        <f>COUNTIFS('TỔNG KLH + TN'!$B:$B,'01. TH'!$B151,'TỔNG KLH + TN'!$C:$C,'01. TH'!J$4)</f>
        <v>0</v>
      </c>
      <c r="K151" s="126">
        <f>COUNTIFS('TỔNG KLH + TN'!$B:$B,'01. TH'!$B151,'TỔNG KLH + TN'!$C:$C,'01. TH'!K$4)</f>
        <v>0</v>
      </c>
      <c r="L151" s="126">
        <f>COUNTIFS('TỔNG KLH + TN'!$B:$B,'01. TH'!$B151,'TỔNG KLH + TN'!$C:$C,'01. TH'!L$4)</f>
        <v>0</v>
      </c>
      <c r="M151" s="126">
        <f>COUNTIFS('TỔNG KLH + TN'!$B:$B,'01. TH'!$B151,'TỔNG KLH + TN'!$C:$C,'01. TH'!M$4)</f>
        <v>1</v>
      </c>
      <c r="N151" s="126">
        <f>COUNTIFS('TỔNG KLH + TN'!$B:$B,'01. TH'!$B151,'TỔNG KLH + TN'!$C:$C,'01. TH'!N$4)</f>
        <v>0</v>
      </c>
      <c r="O151" s="126">
        <f>COUNTIFS('TỔNG KLH + TN'!$B:$B,'01. TH'!$B151,'TỔNG KLH + TN'!$C:$C,'01. TH'!O$4)</f>
        <v>0</v>
      </c>
      <c r="P151" s="126">
        <f>COUNTIFS('TỔNG KLH + TN'!$B:$B,'01. TH'!$B151,'TỔNG KLH + TN'!$C:$C,'01. TH'!P$4)</f>
        <v>0</v>
      </c>
      <c r="Q151" s="126">
        <f>COUNTIFS('TỔNG KLH + TN'!$B:$B,'01. TH'!$B151,'TỔNG KLH + TN'!$C:$C,'01. TH'!Q$4)</f>
        <v>0</v>
      </c>
      <c r="R151" s="126">
        <f>COUNTIFS('TỔNG KLH + TN'!$B:$B,'01. TH'!$B151,'TỔNG KLH + TN'!$C:$C,'01. TH'!R$4)</f>
        <v>0</v>
      </c>
      <c r="S151" s="126">
        <f>COUNTIFS('TỔNG KLH + TN'!$B:$B,'01. TH'!$B151,'TỔNG KLH + TN'!$C:$C,'01. TH'!S$4)</f>
        <v>0</v>
      </c>
      <c r="T151" s="126">
        <f>COUNTIFS('TỔNG KLH + TN'!$B:$B,'01. TH'!$B151,'TỔNG KLH + TN'!$C:$C,'01. TH'!T$4)</f>
        <v>0</v>
      </c>
      <c r="U151" s="126">
        <f>COUNTIFS('TỔNG KLH + TN'!$B:$B,'01. TH'!$B151,'TỔNG KLH + TN'!$C:$C,'01. TH'!U$4)</f>
        <v>0</v>
      </c>
      <c r="V151" s="126">
        <f>COUNTIFS('TỔNG KLH + TN'!$B:$B,'01. TH'!$B151,'TỔNG KLH + TN'!$C:$C,'01. TH'!V$4)</f>
        <v>0</v>
      </c>
      <c r="W151" s="126">
        <f>COUNTIFS('TỔNG KLH + TN'!$B:$B,'01. TH'!$B151,'TỔNG KLH + TN'!$C:$C,'01. TH'!W$4)</f>
        <v>0</v>
      </c>
      <c r="X151" s="126">
        <f>COUNTIFS('TỔNG KLH + TN'!$B:$B,'01. TH'!$B151,'TỔNG KLH + TN'!$C:$C,'01. TH'!X$4)</f>
        <v>0</v>
      </c>
      <c r="Y151" s="126">
        <f>COUNTIFS('TỔNG KLH + TN'!$B:$B,'01. TH'!$B151,'TỔNG KLH + TN'!$C:$C,'01. TH'!Y$4)</f>
        <v>0</v>
      </c>
      <c r="Z151" s="126">
        <f>COUNTIFS('TỔNG KLH + TN'!$B:$B,'01. TH'!$B151,'TỔNG KLH + TN'!$C:$C,'01. TH'!Z$4)</f>
        <v>0</v>
      </c>
      <c r="AA151" s="126">
        <f>COUNTIFS('TỔNG KLH + TN'!$B:$B,'01. TH'!$B151,'TỔNG KLH + TN'!$C:$C,'01. TH'!AA$4)</f>
        <v>0</v>
      </c>
      <c r="AB151" s="126">
        <f>COUNTIFS('TỔNG KLH + TN'!$B:$B,'01. TH'!$B151,'TỔNG KLH + TN'!$C:$C,'01. TH'!AB$4)</f>
        <v>1</v>
      </c>
      <c r="AC151" s="126">
        <f>COUNTIFS('TỔNG KLH + TN'!$B:$B,'01. TH'!$B151,'TỔNG KLH + TN'!$C:$C,'01. TH'!AC$4)</f>
        <v>0</v>
      </c>
      <c r="AD151" s="126">
        <f>COUNTIFS('TỔNG KLH + TN'!$B:$B,'01. TH'!$B151,'TỔNG KLH + TN'!$C:$C,'01. TH'!AD$4)</f>
        <v>0</v>
      </c>
      <c r="AE151" s="162">
        <f t="shared" si="32"/>
        <v>2</v>
      </c>
      <c r="AF151" s="162"/>
      <c r="AG151" s="70" t="str">
        <f t="shared" si="24"/>
        <v>ok</v>
      </c>
      <c r="AH151" s="609"/>
    </row>
    <row r="152" ht="18.75" hidden="1" customHeight="1" outlineLevel="1">
      <c r="A152" s="159"/>
      <c r="B152" s="122" t="s">
        <v>880</v>
      </c>
      <c r="C152" s="123" t="s">
        <v>1166</v>
      </c>
      <c r="D152" s="124" t="str">
        <f>IFERROR(VLOOKUP(B152,'Danh mục'!$G:$U,15,0),"")</f>
        <v/>
      </c>
      <c r="E152" s="124" t="s">
        <v>108</v>
      </c>
      <c r="F152" s="126">
        <f>COUNTIFS('TỔNG KLH + TN'!$B:$B,'01. TH'!$B152,'TỔNG KLH + TN'!$C:$C,'01. TH'!F$4)</f>
        <v>0</v>
      </c>
      <c r="G152" s="126">
        <f>COUNTIFS('TỔNG KLH + TN'!$B:$B,'01. TH'!$B152,'TỔNG KLH + TN'!$C:$C,'01. TH'!G$4)</f>
        <v>0</v>
      </c>
      <c r="H152" s="126">
        <f>COUNTIFS('TỔNG KLH + TN'!$B:$B,'01. TH'!$B152,'TỔNG KLH + TN'!$C:$C,'01. TH'!H$4)</f>
        <v>1</v>
      </c>
      <c r="I152" s="126">
        <f>COUNTIFS('TỔNG KLH + TN'!$B:$B,'01. TH'!$B152,'TỔNG KLH + TN'!$C:$C,'01. TH'!I$4)</f>
        <v>1</v>
      </c>
      <c r="J152" s="126">
        <f>COUNTIFS('TỔNG KLH + TN'!$B:$B,'01. TH'!$B152,'TỔNG KLH + TN'!$C:$C,'01. TH'!J$4)</f>
        <v>2</v>
      </c>
      <c r="K152" s="126">
        <f>COUNTIFS('TỔNG KLH + TN'!$B:$B,'01. TH'!$B152,'TỔNG KLH + TN'!$C:$C,'01. TH'!K$4)</f>
        <v>0</v>
      </c>
      <c r="L152" s="126">
        <f>COUNTIFS('TỔNG KLH + TN'!$B:$B,'01. TH'!$B152,'TỔNG KLH + TN'!$C:$C,'01. TH'!L$4)</f>
        <v>0</v>
      </c>
      <c r="M152" s="126">
        <f>COUNTIFS('TỔNG KLH + TN'!$B:$B,'01. TH'!$B152,'TỔNG KLH + TN'!$C:$C,'01. TH'!M$4)</f>
        <v>0</v>
      </c>
      <c r="N152" s="126">
        <f>COUNTIFS('TỔNG KLH + TN'!$B:$B,'01. TH'!$B152,'TỔNG KLH + TN'!$C:$C,'01. TH'!N$4)</f>
        <v>0</v>
      </c>
      <c r="O152" s="126">
        <f>COUNTIFS('TỔNG KLH + TN'!$B:$B,'01. TH'!$B152,'TỔNG KLH + TN'!$C:$C,'01. TH'!O$4)</f>
        <v>0</v>
      </c>
      <c r="P152" s="126">
        <f>COUNTIFS('TỔNG KLH + TN'!$B:$B,'01. TH'!$B152,'TỔNG KLH + TN'!$C:$C,'01. TH'!P$4)</f>
        <v>0</v>
      </c>
      <c r="Q152" s="126">
        <f>COUNTIFS('TỔNG KLH + TN'!$B:$B,'01. TH'!$B152,'TỔNG KLH + TN'!$C:$C,'01. TH'!Q$4)</f>
        <v>0</v>
      </c>
      <c r="R152" s="126">
        <f>COUNTIFS('TỔNG KLH + TN'!$B:$B,'01. TH'!$B152,'TỔNG KLH + TN'!$C:$C,'01. TH'!R$4)</f>
        <v>2</v>
      </c>
      <c r="S152" s="126">
        <f>COUNTIFS('TỔNG KLH + TN'!$B:$B,'01. TH'!$B152,'TỔNG KLH + TN'!$C:$C,'01. TH'!S$4)</f>
        <v>0</v>
      </c>
      <c r="T152" s="126">
        <f>COUNTIFS('TỔNG KLH + TN'!$B:$B,'01. TH'!$B152,'TỔNG KLH + TN'!$C:$C,'01. TH'!T$4)</f>
        <v>0</v>
      </c>
      <c r="U152" s="126">
        <f>COUNTIFS('TỔNG KLH + TN'!$B:$B,'01. TH'!$B152,'TỔNG KLH + TN'!$C:$C,'01. TH'!U$4)</f>
        <v>0</v>
      </c>
      <c r="V152" s="126">
        <f>COUNTIFS('TỔNG KLH + TN'!$B:$B,'01. TH'!$B152,'TỔNG KLH + TN'!$C:$C,'01. TH'!V$4)</f>
        <v>0</v>
      </c>
      <c r="W152" s="126">
        <f>COUNTIFS('TỔNG KLH + TN'!$B:$B,'01. TH'!$B152,'TỔNG KLH + TN'!$C:$C,'01. TH'!W$4)</f>
        <v>0</v>
      </c>
      <c r="X152" s="126">
        <f>COUNTIFS('TỔNG KLH + TN'!$B:$B,'01. TH'!$B152,'TỔNG KLH + TN'!$C:$C,'01. TH'!X$4)</f>
        <v>0</v>
      </c>
      <c r="Y152" s="126">
        <f>COUNTIFS('TỔNG KLH + TN'!$B:$B,'01. TH'!$B152,'TỔNG KLH + TN'!$C:$C,'01. TH'!Y$4)</f>
        <v>0</v>
      </c>
      <c r="Z152" s="126">
        <f>COUNTIFS('TỔNG KLH + TN'!$B:$B,'01. TH'!$B152,'TỔNG KLH + TN'!$C:$C,'01. TH'!Z$4)</f>
        <v>0</v>
      </c>
      <c r="AA152" s="126">
        <f>COUNTIFS('TỔNG KLH + TN'!$B:$B,'01. TH'!$B152,'TỔNG KLH + TN'!$C:$C,'01. TH'!AA$4)</f>
        <v>0</v>
      </c>
      <c r="AB152" s="126">
        <f>COUNTIFS('TỔNG KLH + TN'!$B:$B,'01. TH'!$B152,'TỔNG KLH + TN'!$C:$C,'01. TH'!AB$4)</f>
        <v>0</v>
      </c>
      <c r="AC152" s="126">
        <f>COUNTIFS('TỔNG KLH + TN'!$B:$B,'01. TH'!$B152,'TỔNG KLH + TN'!$C:$C,'01. TH'!AC$4)</f>
        <v>0</v>
      </c>
      <c r="AD152" s="126">
        <f>COUNTIFS('TỔNG KLH + TN'!$B:$B,'01. TH'!$B152,'TỔNG KLH + TN'!$C:$C,'01. TH'!AD$4)</f>
        <v>0</v>
      </c>
      <c r="AE152" s="162">
        <f t="shared" si="32"/>
        <v>6</v>
      </c>
      <c r="AF152" s="162"/>
      <c r="AG152" s="70" t="str">
        <f t="shared" si="24"/>
        <v>ok</v>
      </c>
      <c r="AH152" s="163"/>
    </row>
    <row r="153" ht="18.75" hidden="1" customHeight="1" outlineLevel="1">
      <c r="A153" s="159"/>
      <c r="B153" s="122" t="s">
        <v>889</v>
      </c>
      <c r="C153" s="123" t="s">
        <v>950</v>
      </c>
      <c r="D153" s="124" t="str">
        <f>IFERROR(VLOOKUP(B153,'Danh mục'!$G:$U,15,0),"")</f>
        <v/>
      </c>
      <c r="E153" s="124" t="s">
        <v>108</v>
      </c>
      <c r="F153" s="126">
        <f>COUNTIFS('TỔNG KLH + TN'!$B:$B,'01. TH'!$B153,'TỔNG KLH + TN'!$C:$C,'01. TH'!F$4)</f>
        <v>0</v>
      </c>
      <c r="G153" s="126">
        <f>COUNTIFS('TỔNG KLH + TN'!$B:$B,'01. TH'!$B153,'TỔNG KLH + TN'!$C:$C,'01. TH'!G$4)</f>
        <v>0</v>
      </c>
      <c r="H153" s="126">
        <f>COUNTIFS('TỔNG KLH + TN'!$B:$B,'01. TH'!$B153,'TỔNG KLH + TN'!$C:$C,'01. TH'!H$4)</f>
        <v>1</v>
      </c>
      <c r="I153" s="126">
        <f>COUNTIFS('TỔNG KLH + TN'!$B:$B,'01. TH'!$B153,'TỔNG KLH + TN'!$C:$C,'01. TH'!I$4)</f>
        <v>1</v>
      </c>
      <c r="J153" s="126">
        <f>COUNTIFS('TỔNG KLH + TN'!$B:$B,'01. TH'!$B153,'TỔNG KLH + TN'!$C:$C,'01. TH'!J$4)</f>
        <v>1</v>
      </c>
      <c r="K153" s="126">
        <f>COUNTIFS('TỔNG KLH + TN'!$B:$B,'01. TH'!$B153,'TỔNG KLH + TN'!$C:$C,'01. TH'!K$4)</f>
        <v>0</v>
      </c>
      <c r="L153" s="126">
        <f>COUNTIFS('TỔNG KLH + TN'!$B:$B,'01. TH'!$B153,'TỔNG KLH + TN'!$C:$C,'01. TH'!L$4)</f>
        <v>0</v>
      </c>
      <c r="M153" s="126">
        <f>COUNTIFS('TỔNG KLH + TN'!$B:$B,'01. TH'!$B153,'TỔNG KLH + TN'!$C:$C,'01. TH'!M$4)</f>
        <v>0</v>
      </c>
      <c r="N153" s="126">
        <f>COUNTIFS('TỔNG KLH + TN'!$B:$B,'01. TH'!$B153,'TỔNG KLH + TN'!$C:$C,'01. TH'!N$4)</f>
        <v>0</v>
      </c>
      <c r="O153" s="126">
        <f>COUNTIFS('TỔNG KLH + TN'!$B:$B,'01. TH'!$B153,'TỔNG KLH + TN'!$C:$C,'01. TH'!O$4)</f>
        <v>0</v>
      </c>
      <c r="P153" s="126">
        <f>COUNTIFS('TỔNG KLH + TN'!$B:$B,'01. TH'!$B153,'TỔNG KLH + TN'!$C:$C,'01. TH'!P$4)</f>
        <v>0</v>
      </c>
      <c r="Q153" s="126">
        <f>COUNTIFS('TỔNG KLH + TN'!$B:$B,'01. TH'!$B153,'TỔNG KLH + TN'!$C:$C,'01. TH'!Q$4)</f>
        <v>0</v>
      </c>
      <c r="R153" s="126">
        <f>COUNTIFS('TỔNG KLH + TN'!$B:$B,'01. TH'!$B153,'TỔNG KLH + TN'!$C:$C,'01. TH'!R$4)</f>
        <v>1</v>
      </c>
      <c r="S153" s="126">
        <f>COUNTIFS('TỔNG KLH + TN'!$B:$B,'01. TH'!$B153,'TỔNG KLH + TN'!$C:$C,'01. TH'!S$4)</f>
        <v>0</v>
      </c>
      <c r="T153" s="126">
        <f>COUNTIFS('TỔNG KLH + TN'!$B:$B,'01. TH'!$B153,'TỔNG KLH + TN'!$C:$C,'01. TH'!T$4)</f>
        <v>0</v>
      </c>
      <c r="U153" s="126">
        <f>COUNTIFS('TỔNG KLH + TN'!$B:$B,'01. TH'!$B153,'TỔNG KLH + TN'!$C:$C,'01. TH'!U$4)</f>
        <v>1</v>
      </c>
      <c r="V153" s="126">
        <f>COUNTIFS('TỔNG KLH + TN'!$B:$B,'01. TH'!$B153,'TỔNG KLH + TN'!$C:$C,'01. TH'!V$4)</f>
        <v>0</v>
      </c>
      <c r="W153" s="126">
        <f>COUNTIFS('TỔNG KLH + TN'!$B:$B,'01. TH'!$B153,'TỔNG KLH + TN'!$C:$C,'01. TH'!W$4)</f>
        <v>0</v>
      </c>
      <c r="X153" s="126">
        <f>COUNTIFS('TỔNG KLH + TN'!$B:$B,'01. TH'!$B153,'TỔNG KLH + TN'!$C:$C,'01. TH'!X$4)</f>
        <v>0</v>
      </c>
      <c r="Y153" s="126">
        <f>COUNTIFS('TỔNG KLH + TN'!$B:$B,'01. TH'!$B153,'TỔNG KLH + TN'!$C:$C,'01. TH'!Y$4)</f>
        <v>0</v>
      </c>
      <c r="Z153" s="126">
        <f>COUNTIFS('TỔNG KLH + TN'!$B:$B,'01. TH'!$B153,'TỔNG KLH + TN'!$C:$C,'01. TH'!Z$4)</f>
        <v>0</v>
      </c>
      <c r="AA153" s="126">
        <f>COUNTIFS('TỔNG KLH + TN'!$B:$B,'01. TH'!$B153,'TỔNG KLH + TN'!$C:$C,'01. TH'!AA$4)</f>
        <v>0</v>
      </c>
      <c r="AB153" s="126">
        <f>COUNTIFS('TỔNG KLH + TN'!$B:$B,'01. TH'!$B153,'TỔNG KLH + TN'!$C:$C,'01. TH'!AB$4)</f>
        <v>0</v>
      </c>
      <c r="AC153" s="126">
        <f>COUNTIFS('TỔNG KLH + TN'!$B:$B,'01. TH'!$B153,'TỔNG KLH + TN'!$C:$C,'01. TH'!AC$4)</f>
        <v>0</v>
      </c>
      <c r="AD153" s="126">
        <f>COUNTIFS('TỔNG KLH + TN'!$B:$B,'01. TH'!$B153,'TỔNG KLH + TN'!$C:$C,'01. TH'!AD$4)</f>
        <v>0</v>
      </c>
      <c r="AE153" s="162">
        <f t="shared" si="32"/>
        <v>5</v>
      </c>
      <c r="AF153" s="162"/>
      <c r="AG153" s="70" t="str">
        <f t="shared" si="24"/>
        <v>ok</v>
      </c>
      <c r="AH153" s="609"/>
    </row>
    <row r="154" ht="18.75" hidden="1" customHeight="1" outlineLevel="1">
      <c r="A154" s="159"/>
      <c r="B154" s="205" t="s">
        <v>2908</v>
      </c>
      <c r="C154" s="123" t="s">
        <v>792</v>
      </c>
      <c r="D154" s="124" t="str">
        <f>IFERROR(VLOOKUP(B154,'Danh mục'!$G:$U,15,0),"")</f>
        <v/>
      </c>
      <c r="E154" s="124" t="s">
        <v>108</v>
      </c>
      <c r="F154" s="126">
        <f>COUNTIFS('TỔNG KLH + TN'!$B:$B,'01. TH'!$B154,'TỔNG KLH + TN'!$C:$C,'01. TH'!F$4)</f>
        <v>0</v>
      </c>
      <c r="G154" s="126">
        <f>COUNTIFS('TỔNG KLH + TN'!$B:$B,'01. TH'!$B154,'TỔNG KLH + TN'!$C:$C,'01. TH'!G$4)</f>
        <v>0</v>
      </c>
      <c r="H154" s="126">
        <f>COUNTIFS('TỔNG KLH + TN'!$B:$B,'01. TH'!$B154,'TỔNG KLH + TN'!$C:$C,'01. TH'!H$4)</f>
        <v>0</v>
      </c>
      <c r="I154" s="126">
        <f>COUNTIFS('TỔNG KLH + TN'!$B:$B,'01. TH'!$B154,'TỔNG KLH + TN'!$C:$C,'01. TH'!I$4)</f>
        <v>0</v>
      </c>
      <c r="J154" s="126">
        <f>COUNTIFS('TỔNG KLH + TN'!$B:$B,'01. TH'!$B154,'TỔNG KLH + TN'!$C:$C,'01. TH'!J$4)</f>
        <v>0</v>
      </c>
      <c r="K154" s="126">
        <f>COUNTIFS('TỔNG KLH + TN'!$B:$B,'01. TH'!$B154,'TỔNG KLH + TN'!$C:$C,'01. TH'!K$4)</f>
        <v>0</v>
      </c>
      <c r="L154" s="126">
        <f>COUNTIFS('TỔNG KLH + TN'!$B:$B,'01. TH'!$B154,'TỔNG KLH + TN'!$C:$C,'01. TH'!L$4)</f>
        <v>0</v>
      </c>
      <c r="M154" s="126">
        <f>COUNTIFS('TỔNG KLH + TN'!$B:$B,'01. TH'!$B154,'TỔNG KLH + TN'!$C:$C,'01. TH'!M$4)</f>
        <v>1</v>
      </c>
      <c r="N154" s="126">
        <f>COUNTIFS('TỔNG KLH + TN'!$B:$B,'01. TH'!$B154,'TỔNG KLH + TN'!$C:$C,'01. TH'!N$4)</f>
        <v>0</v>
      </c>
      <c r="O154" s="126">
        <f>COUNTIFS('TỔNG KLH + TN'!$B:$B,'01. TH'!$B154,'TỔNG KLH + TN'!$C:$C,'01. TH'!O$4)</f>
        <v>0</v>
      </c>
      <c r="P154" s="126">
        <f>COUNTIFS('TỔNG KLH + TN'!$B:$B,'01. TH'!$B154,'TỔNG KLH + TN'!$C:$C,'01. TH'!P$4)</f>
        <v>0</v>
      </c>
      <c r="Q154" s="126">
        <f>COUNTIFS('TỔNG KLH + TN'!$B:$B,'01. TH'!$B154,'TỔNG KLH + TN'!$C:$C,'01. TH'!Q$4)</f>
        <v>0</v>
      </c>
      <c r="R154" s="126">
        <f>COUNTIFS('TỔNG KLH + TN'!$B:$B,'01. TH'!$B154,'TỔNG KLH + TN'!$C:$C,'01. TH'!R$4)</f>
        <v>0</v>
      </c>
      <c r="S154" s="126">
        <f>COUNTIFS('TỔNG KLH + TN'!$B:$B,'01. TH'!$B154,'TỔNG KLH + TN'!$C:$C,'01. TH'!S$4)</f>
        <v>0</v>
      </c>
      <c r="T154" s="126">
        <f>COUNTIFS('TỔNG KLH + TN'!$B:$B,'01. TH'!$B154,'TỔNG KLH + TN'!$C:$C,'01. TH'!T$4)</f>
        <v>0</v>
      </c>
      <c r="U154" s="126">
        <f>COUNTIFS('TỔNG KLH + TN'!$B:$B,'01. TH'!$B154,'TỔNG KLH + TN'!$C:$C,'01. TH'!U$4)</f>
        <v>0</v>
      </c>
      <c r="V154" s="126">
        <f>COUNTIFS('TỔNG KLH + TN'!$B:$B,'01. TH'!$B154,'TỔNG KLH + TN'!$C:$C,'01. TH'!V$4)</f>
        <v>0</v>
      </c>
      <c r="W154" s="126">
        <f>COUNTIFS('TỔNG KLH + TN'!$B:$B,'01. TH'!$B154,'TỔNG KLH + TN'!$C:$C,'01. TH'!W$4)</f>
        <v>0</v>
      </c>
      <c r="X154" s="126">
        <f>COUNTIFS('TỔNG KLH + TN'!$B:$B,'01. TH'!$B154,'TỔNG KLH + TN'!$C:$C,'01. TH'!X$4)</f>
        <v>0</v>
      </c>
      <c r="Y154" s="126">
        <f>COUNTIFS('TỔNG KLH + TN'!$B:$B,'01. TH'!$B154,'TỔNG KLH + TN'!$C:$C,'01. TH'!Y$4)</f>
        <v>0</v>
      </c>
      <c r="Z154" s="126">
        <f>COUNTIFS('TỔNG KLH + TN'!$B:$B,'01. TH'!$B154,'TỔNG KLH + TN'!$C:$C,'01. TH'!Z$4)</f>
        <v>0</v>
      </c>
      <c r="AA154" s="126">
        <f>COUNTIFS('TỔNG KLH + TN'!$B:$B,'01. TH'!$B154,'TỔNG KLH + TN'!$C:$C,'01. TH'!AA$4)</f>
        <v>0</v>
      </c>
      <c r="AB154" s="126">
        <f>COUNTIFS('TỔNG KLH + TN'!$B:$B,'01. TH'!$B154,'TỔNG KLH + TN'!$C:$C,'01. TH'!AB$4)</f>
        <v>0</v>
      </c>
      <c r="AC154" s="126">
        <f>COUNTIFS('TỔNG KLH + TN'!$B:$B,'01. TH'!$B154,'TỔNG KLH + TN'!$C:$C,'01. TH'!AC$4)</f>
        <v>0</v>
      </c>
      <c r="AD154" s="126">
        <f>COUNTIFS('TỔNG KLH + TN'!$B:$B,'01. TH'!$B154,'TỔNG KLH + TN'!$C:$C,'01. TH'!AD$4)</f>
        <v>0</v>
      </c>
      <c r="AE154" s="162">
        <f t="shared" si="32"/>
        <v>1</v>
      </c>
      <c r="AF154" s="162"/>
      <c r="AG154" s="70" t="str">
        <f t="shared" si="24"/>
        <v>ok</v>
      </c>
      <c r="AH154" s="609"/>
    </row>
    <row r="155" ht="18.75" hidden="1" customHeight="1" outlineLevel="1">
      <c r="A155" s="159"/>
      <c r="B155" s="205" t="s">
        <v>2912</v>
      </c>
      <c r="C155" s="123" t="s">
        <v>792</v>
      </c>
      <c r="D155" s="124" t="str">
        <f>IFERROR(VLOOKUP(B155,'Danh mục'!$G:$U,15,0),"")</f>
        <v/>
      </c>
      <c r="E155" s="124" t="s">
        <v>108</v>
      </c>
      <c r="F155" s="126">
        <f>COUNTIFS('TỔNG KLH + TN'!$B:$B,'01. TH'!$B155,'TỔNG KLH + TN'!$C:$C,'01. TH'!F$4)</f>
        <v>0</v>
      </c>
      <c r="G155" s="126">
        <f>COUNTIFS('TỔNG KLH + TN'!$B:$B,'01. TH'!$B155,'TỔNG KLH + TN'!$C:$C,'01. TH'!G$4)</f>
        <v>0</v>
      </c>
      <c r="H155" s="126">
        <f>COUNTIFS('TỔNG KLH + TN'!$B:$B,'01. TH'!$B155,'TỔNG KLH + TN'!$C:$C,'01. TH'!H$4)</f>
        <v>0</v>
      </c>
      <c r="I155" s="126">
        <f>COUNTIFS('TỔNG KLH + TN'!$B:$B,'01. TH'!$B155,'TỔNG KLH + TN'!$C:$C,'01. TH'!I$4)</f>
        <v>0</v>
      </c>
      <c r="J155" s="126">
        <f>COUNTIFS('TỔNG KLH + TN'!$B:$B,'01. TH'!$B155,'TỔNG KLH + TN'!$C:$C,'01. TH'!J$4)</f>
        <v>0</v>
      </c>
      <c r="K155" s="126">
        <f>COUNTIFS('TỔNG KLH + TN'!$B:$B,'01. TH'!$B155,'TỔNG KLH + TN'!$C:$C,'01. TH'!K$4)</f>
        <v>0</v>
      </c>
      <c r="L155" s="126">
        <f>COUNTIFS('TỔNG KLH + TN'!$B:$B,'01. TH'!$B155,'TỔNG KLH + TN'!$C:$C,'01. TH'!L$4)</f>
        <v>0</v>
      </c>
      <c r="M155" s="126">
        <f>COUNTIFS('TỔNG KLH + TN'!$B:$B,'01. TH'!$B155,'TỔNG KLH + TN'!$C:$C,'01. TH'!M$4)</f>
        <v>2</v>
      </c>
      <c r="N155" s="126">
        <f>COUNTIFS('TỔNG KLH + TN'!$B:$B,'01. TH'!$B155,'TỔNG KLH + TN'!$C:$C,'01. TH'!N$4)</f>
        <v>0</v>
      </c>
      <c r="O155" s="126">
        <f>COUNTIFS('TỔNG KLH + TN'!$B:$B,'01. TH'!$B155,'TỔNG KLH + TN'!$C:$C,'01. TH'!O$4)</f>
        <v>0</v>
      </c>
      <c r="P155" s="126">
        <f>COUNTIFS('TỔNG KLH + TN'!$B:$B,'01. TH'!$B155,'TỔNG KLH + TN'!$C:$C,'01. TH'!P$4)</f>
        <v>0</v>
      </c>
      <c r="Q155" s="126">
        <f>COUNTIFS('TỔNG KLH + TN'!$B:$B,'01. TH'!$B155,'TỔNG KLH + TN'!$C:$C,'01. TH'!Q$4)</f>
        <v>0</v>
      </c>
      <c r="R155" s="126">
        <f>COUNTIFS('TỔNG KLH + TN'!$B:$B,'01. TH'!$B155,'TỔNG KLH + TN'!$C:$C,'01. TH'!R$4)</f>
        <v>0</v>
      </c>
      <c r="S155" s="126">
        <f>COUNTIFS('TỔNG KLH + TN'!$B:$B,'01. TH'!$B155,'TỔNG KLH + TN'!$C:$C,'01. TH'!S$4)</f>
        <v>0</v>
      </c>
      <c r="T155" s="126">
        <f>COUNTIFS('TỔNG KLH + TN'!$B:$B,'01. TH'!$B155,'TỔNG KLH + TN'!$C:$C,'01. TH'!T$4)</f>
        <v>0</v>
      </c>
      <c r="U155" s="126">
        <f>COUNTIFS('TỔNG KLH + TN'!$B:$B,'01. TH'!$B155,'TỔNG KLH + TN'!$C:$C,'01. TH'!U$4)</f>
        <v>0</v>
      </c>
      <c r="V155" s="126">
        <f>COUNTIFS('TỔNG KLH + TN'!$B:$B,'01. TH'!$B155,'TỔNG KLH + TN'!$C:$C,'01. TH'!V$4)</f>
        <v>0</v>
      </c>
      <c r="W155" s="126">
        <f>COUNTIFS('TỔNG KLH + TN'!$B:$B,'01. TH'!$B155,'TỔNG KLH + TN'!$C:$C,'01. TH'!W$4)</f>
        <v>0</v>
      </c>
      <c r="X155" s="126">
        <f>COUNTIFS('TỔNG KLH + TN'!$B:$B,'01. TH'!$B155,'TỔNG KLH + TN'!$C:$C,'01. TH'!X$4)</f>
        <v>0</v>
      </c>
      <c r="Y155" s="126">
        <f>COUNTIFS('TỔNG KLH + TN'!$B:$B,'01. TH'!$B155,'TỔNG KLH + TN'!$C:$C,'01. TH'!Y$4)</f>
        <v>0</v>
      </c>
      <c r="Z155" s="126">
        <f>COUNTIFS('TỔNG KLH + TN'!$B:$B,'01. TH'!$B155,'TỔNG KLH + TN'!$C:$C,'01. TH'!Z$4)</f>
        <v>0</v>
      </c>
      <c r="AA155" s="126">
        <f>COUNTIFS('TỔNG KLH + TN'!$B:$B,'01. TH'!$B155,'TỔNG KLH + TN'!$C:$C,'01. TH'!AA$4)</f>
        <v>0</v>
      </c>
      <c r="AB155" s="126">
        <f>COUNTIFS('TỔNG KLH + TN'!$B:$B,'01. TH'!$B155,'TỔNG KLH + TN'!$C:$C,'01. TH'!AB$4)</f>
        <v>0</v>
      </c>
      <c r="AC155" s="126">
        <f>COUNTIFS('TỔNG KLH + TN'!$B:$B,'01. TH'!$B155,'TỔNG KLH + TN'!$C:$C,'01. TH'!AC$4)</f>
        <v>0</v>
      </c>
      <c r="AD155" s="126">
        <f>COUNTIFS('TỔNG KLH + TN'!$B:$B,'01. TH'!$B155,'TỔNG KLH + TN'!$C:$C,'01. TH'!AD$4)</f>
        <v>0</v>
      </c>
      <c r="AE155" s="162">
        <f t="shared" si="32"/>
        <v>2</v>
      </c>
      <c r="AF155" s="162"/>
      <c r="AG155" s="70" t="str">
        <f t="shared" si="24"/>
        <v>ok</v>
      </c>
      <c r="AH155" s="609"/>
    </row>
    <row r="156" ht="18.75" hidden="1" customHeight="1" outlineLevel="1">
      <c r="A156" s="159"/>
      <c r="B156" s="122" t="s">
        <v>2601</v>
      </c>
      <c r="C156" s="123" t="s">
        <v>950</v>
      </c>
      <c r="D156" s="124" t="str">
        <f>IFERROR(VLOOKUP(B156,'Danh mục'!$G:$U,15,0),"")</f>
        <v/>
      </c>
      <c r="E156" s="124" t="s">
        <v>108</v>
      </c>
      <c r="F156" s="126">
        <f>COUNTIFS('TỔNG KLH + TN'!$B:$B,'01. TH'!$B156,'TỔNG KLH + TN'!$C:$C,'01. TH'!F$4)</f>
        <v>0</v>
      </c>
      <c r="G156" s="126">
        <f>COUNTIFS('TỔNG KLH + TN'!$B:$B,'01. TH'!$B156,'TỔNG KLH + TN'!$C:$C,'01. TH'!G$4)</f>
        <v>0</v>
      </c>
      <c r="H156" s="126">
        <f>COUNTIFS('TỔNG KLH + TN'!$B:$B,'01. TH'!$B156,'TỔNG KLH + TN'!$C:$C,'01. TH'!H$4)</f>
        <v>0</v>
      </c>
      <c r="I156" s="126">
        <f>COUNTIFS('TỔNG KLH + TN'!$B:$B,'01. TH'!$B156,'TỔNG KLH + TN'!$C:$C,'01. TH'!I$4)</f>
        <v>0</v>
      </c>
      <c r="J156" s="126">
        <f>COUNTIFS('TỔNG KLH + TN'!$B:$B,'01. TH'!$B156,'TỔNG KLH + TN'!$C:$C,'01. TH'!J$4)</f>
        <v>0</v>
      </c>
      <c r="K156" s="126">
        <f>COUNTIFS('TỔNG KLH + TN'!$B:$B,'01. TH'!$B156,'TỔNG KLH + TN'!$C:$C,'01. TH'!K$4)</f>
        <v>0</v>
      </c>
      <c r="L156" s="126">
        <f>COUNTIFS('TỔNG KLH + TN'!$B:$B,'01. TH'!$B156,'TỔNG KLH + TN'!$C:$C,'01. TH'!L$4)</f>
        <v>0</v>
      </c>
      <c r="M156" s="126">
        <f>COUNTIFS('TỔNG KLH + TN'!$B:$B,'01. TH'!$B156,'TỔNG KLH + TN'!$C:$C,'01. TH'!M$4)</f>
        <v>0</v>
      </c>
      <c r="N156" s="126">
        <f>COUNTIFS('TỔNG KLH + TN'!$B:$B,'01. TH'!$B156,'TỔNG KLH + TN'!$C:$C,'01. TH'!N$4)</f>
        <v>0</v>
      </c>
      <c r="O156" s="126">
        <f>COUNTIFS('TỔNG KLH + TN'!$B:$B,'01. TH'!$B156,'TỔNG KLH + TN'!$C:$C,'01. TH'!O$4)</f>
        <v>0</v>
      </c>
      <c r="P156" s="126">
        <f>COUNTIFS('TỔNG KLH + TN'!$B:$B,'01. TH'!$B156,'TỔNG KLH + TN'!$C:$C,'01. TH'!P$4)</f>
        <v>0</v>
      </c>
      <c r="Q156" s="126">
        <f>COUNTIFS('TỔNG KLH + TN'!$B:$B,'01. TH'!$B156,'TỔNG KLH + TN'!$C:$C,'01. TH'!Q$4)</f>
        <v>0</v>
      </c>
      <c r="R156" s="126">
        <f>COUNTIFS('TỔNG KLH + TN'!$B:$B,'01. TH'!$B156,'TỔNG KLH + TN'!$C:$C,'01. TH'!R$4)</f>
        <v>0</v>
      </c>
      <c r="S156" s="126">
        <f>COUNTIFS('TỔNG KLH + TN'!$B:$B,'01. TH'!$B156,'TỔNG KLH + TN'!$C:$C,'01. TH'!S$4)</f>
        <v>0</v>
      </c>
      <c r="T156" s="126">
        <f>COUNTIFS('TỔNG KLH + TN'!$B:$B,'01. TH'!$B156,'TỔNG KLH + TN'!$C:$C,'01. TH'!T$4)</f>
        <v>0</v>
      </c>
      <c r="U156" s="126">
        <f>COUNTIFS('TỔNG KLH + TN'!$B:$B,'01. TH'!$B156,'TỔNG KLH + TN'!$C:$C,'01. TH'!U$4)</f>
        <v>0</v>
      </c>
      <c r="V156" s="126">
        <f>COUNTIFS('TỔNG KLH + TN'!$B:$B,'01. TH'!$B156,'TỔNG KLH + TN'!$C:$C,'01. TH'!V$4)</f>
        <v>0</v>
      </c>
      <c r="W156" s="126">
        <f>COUNTIFS('TỔNG KLH + TN'!$B:$B,'01. TH'!$B156,'TỔNG KLH + TN'!$C:$C,'01. TH'!W$4)</f>
        <v>0</v>
      </c>
      <c r="X156" s="126">
        <f>COUNTIFS('TỔNG KLH + TN'!$B:$B,'01. TH'!$B156,'TỔNG KLH + TN'!$C:$C,'01. TH'!X$4)</f>
        <v>0</v>
      </c>
      <c r="Y156" s="126">
        <f>COUNTIFS('TỔNG KLH + TN'!$B:$B,'01. TH'!$B156,'TỔNG KLH + TN'!$C:$C,'01. TH'!Y$4)</f>
        <v>0</v>
      </c>
      <c r="Z156" s="126">
        <f>COUNTIFS('TỔNG KLH + TN'!$B:$B,'01. TH'!$B156,'TỔNG KLH + TN'!$C:$C,'01. TH'!Z$4)</f>
        <v>0</v>
      </c>
      <c r="AA156" s="126">
        <f>COUNTIFS('TỔNG KLH + TN'!$B:$B,'01. TH'!$B156,'TỔNG KLH + TN'!$C:$C,'01. TH'!AA$4)</f>
        <v>0</v>
      </c>
      <c r="AB156" s="126">
        <f>COUNTIFS('TỔNG KLH + TN'!$B:$B,'01. TH'!$B156,'TỔNG KLH + TN'!$C:$C,'01. TH'!AB$4)</f>
        <v>1</v>
      </c>
      <c r="AC156" s="126">
        <f>COUNTIFS('TỔNG KLH + TN'!$B:$B,'01. TH'!$B156,'TỔNG KLH + TN'!$C:$C,'01. TH'!AC$4)</f>
        <v>0</v>
      </c>
      <c r="AD156" s="126">
        <f>COUNTIFS('TỔNG KLH + TN'!$B:$B,'01. TH'!$B156,'TỔNG KLH + TN'!$C:$C,'01. TH'!AD$4)</f>
        <v>0</v>
      </c>
      <c r="AE156" s="162">
        <f t="shared" si="32"/>
        <v>1</v>
      </c>
      <c r="AF156" s="162"/>
      <c r="AG156" s="70" t="str">
        <f t="shared" si="24"/>
        <v>ok</v>
      </c>
      <c r="AH156" s="163"/>
    </row>
    <row r="157" ht="18.75" hidden="1" customHeight="1" outlineLevel="1">
      <c r="A157" s="159"/>
      <c r="B157" s="122" t="s">
        <v>1154</v>
      </c>
      <c r="C157" s="123" t="s">
        <v>5737</v>
      </c>
      <c r="D157" s="124" t="str">
        <f>IFERROR(VLOOKUP(B157,'Danh mục'!$G:$U,15,0),"")</f>
        <v/>
      </c>
      <c r="E157" s="124" t="s">
        <v>108</v>
      </c>
      <c r="F157" s="126">
        <f>COUNTIFS('TỔNG KLH + TN'!$B:$B,'01. TH'!$B157,'TỔNG KLH + TN'!$C:$C,'01. TH'!F$4)</f>
        <v>0</v>
      </c>
      <c r="G157" s="126">
        <f>COUNTIFS('TỔNG KLH + TN'!$B:$B,'01. TH'!$B157,'TỔNG KLH + TN'!$C:$C,'01. TH'!G$4)</f>
        <v>0</v>
      </c>
      <c r="H157" s="126">
        <f>COUNTIFS('TỔNG KLH + TN'!$B:$B,'01. TH'!$B157,'TỔNG KLH + TN'!$C:$C,'01. TH'!H$4)</f>
        <v>0</v>
      </c>
      <c r="I157" s="126">
        <f>COUNTIFS('TỔNG KLH + TN'!$B:$B,'01. TH'!$B157,'TỔNG KLH + TN'!$C:$C,'01. TH'!I$4)</f>
        <v>0</v>
      </c>
      <c r="J157" s="126">
        <f>COUNTIFS('TỔNG KLH + TN'!$B:$B,'01. TH'!$B157,'TỔNG KLH + TN'!$C:$C,'01. TH'!J$4)</f>
        <v>1</v>
      </c>
      <c r="K157" s="126">
        <f>COUNTIFS('TỔNG KLH + TN'!$B:$B,'01. TH'!$B157,'TỔNG KLH + TN'!$C:$C,'01. TH'!K$4)</f>
        <v>0</v>
      </c>
      <c r="L157" s="126">
        <f>COUNTIFS('TỔNG KLH + TN'!$B:$B,'01. TH'!$B157,'TỔNG KLH + TN'!$C:$C,'01. TH'!L$4)</f>
        <v>0</v>
      </c>
      <c r="M157" s="126">
        <f>COUNTIFS('TỔNG KLH + TN'!$B:$B,'01. TH'!$B157,'TỔNG KLH + TN'!$C:$C,'01. TH'!M$4)</f>
        <v>0</v>
      </c>
      <c r="N157" s="126">
        <f>COUNTIFS('TỔNG KLH + TN'!$B:$B,'01. TH'!$B157,'TỔNG KLH + TN'!$C:$C,'01. TH'!N$4)</f>
        <v>0</v>
      </c>
      <c r="O157" s="126">
        <f>COUNTIFS('TỔNG KLH + TN'!$B:$B,'01. TH'!$B157,'TỔNG KLH + TN'!$C:$C,'01. TH'!O$4)</f>
        <v>0</v>
      </c>
      <c r="P157" s="126">
        <f>COUNTIFS('TỔNG KLH + TN'!$B:$B,'01. TH'!$B157,'TỔNG KLH + TN'!$C:$C,'01. TH'!P$4)</f>
        <v>0</v>
      </c>
      <c r="Q157" s="126">
        <f>COUNTIFS('TỔNG KLH + TN'!$B:$B,'01. TH'!$B157,'TỔNG KLH + TN'!$C:$C,'01. TH'!Q$4)</f>
        <v>0</v>
      </c>
      <c r="R157" s="126">
        <f>COUNTIFS('TỔNG KLH + TN'!$B:$B,'01. TH'!$B157,'TỔNG KLH + TN'!$C:$C,'01. TH'!R$4)</f>
        <v>0</v>
      </c>
      <c r="S157" s="126">
        <f>COUNTIFS('TỔNG KLH + TN'!$B:$B,'01. TH'!$B157,'TỔNG KLH + TN'!$C:$C,'01. TH'!S$4)</f>
        <v>0</v>
      </c>
      <c r="T157" s="126">
        <f>COUNTIFS('TỔNG KLH + TN'!$B:$B,'01. TH'!$B157,'TỔNG KLH + TN'!$C:$C,'01. TH'!T$4)</f>
        <v>0</v>
      </c>
      <c r="U157" s="126">
        <f>COUNTIFS('TỔNG KLH + TN'!$B:$B,'01. TH'!$B157,'TỔNG KLH + TN'!$C:$C,'01. TH'!U$4)</f>
        <v>0</v>
      </c>
      <c r="V157" s="126">
        <f>COUNTIFS('TỔNG KLH + TN'!$B:$B,'01. TH'!$B157,'TỔNG KLH + TN'!$C:$C,'01. TH'!V$4)</f>
        <v>0</v>
      </c>
      <c r="W157" s="126">
        <f>COUNTIFS('TỔNG KLH + TN'!$B:$B,'01. TH'!$B157,'TỔNG KLH + TN'!$C:$C,'01. TH'!W$4)</f>
        <v>0</v>
      </c>
      <c r="X157" s="126">
        <f>COUNTIFS('TỔNG KLH + TN'!$B:$B,'01. TH'!$B157,'TỔNG KLH + TN'!$C:$C,'01. TH'!X$4)</f>
        <v>0</v>
      </c>
      <c r="Y157" s="126">
        <f>COUNTIFS('TỔNG KLH + TN'!$B:$B,'01. TH'!$B157,'TỔNG KLH + TN'!$C:$C,'01. TH'!Y$4)</f>
        <v>0</v>
      </c>
      <c r="Z157" s="126">
        <f>COUNTIFS('TỔNG KLH + TN'!$B:$B,'01. TH'!$B157,'TỔNG KLH + TN'!$C:$C,'01. TH'!Z$4)</f>
        <v>0</v>
      </c>
      <c r="AA157" s="126">
        <f>COUNTIFS('TỔNG KLH + TN'!$B:$B,'01. TH'!$B157,'TỔNG KLH + TN'!$C:$C,'01. TH'!AA$4)</f>
        <v>0</v>
      </c>
      <c r="AB157" s="126">
        <f>COUNTIFS('TỔNG KLH + TN'!$B:$B,'01. TH'!$B157,'TỔNG KLH + TN'!$C:$C,'01. TH'!AB$4)</f>
        <v>0</v>
      </c>
      <c r="AC157" s="126">
        <f>COUNTIFS('TỔNG KLH + TN'!$B:$B,'01. TH'!$B157,'TỔNG KLH + TN'!$C:$C,'01. TH'!AC$4)</f>
        <v>0</v>
      </c>
      <c r="AD157" s="126">
        <f>COUNTIFS('TỔNG KLH + TN'!$B:$B,'01. TH'!$B157,'TỔNG KLH + TN'!$C:$C,'01. TH'!AD$4)</f>
        <v>0</v>
      </c>
      <c r="AE157" s="162">
        <f t="shared" si="32"/>
        <v>1</v>
      </c>
      <c r="AF157" s="162"/>
      <c r="AG157" s="70" t="str">
        <f t="shared" si="24"/>
        <v>ok</v>
      </c>
      <c r="AH157" s="163"/>
    </row>
    <row r="158" ht="18.75" hidden="1" customHeight="1" outlineLevel="1">
      <c r="A158" s="159"/>
      <c r="B158" s="122" t="s">
        <v>2803</v>
      </c>
      <c r="C158" s="123" t="s">
        <v>792</v>
      </c>
      <c r="D158" s="124" t="str">
        <f>IFERROR(VLOOKUP(B158,'Danh mục'!$G:$U,15,0),"")</f>
        <v/>
      </c>
      <c r="E158" s="124" t="s">
        <v>108</v>
      </c>
      <c r="F158" s="126">
        <f>COUNTIFS('TỔNG KLH + TN'!$B:$B,'01. TH'!$B158,'TỔNG KLH + TN'!$C:$C,'01. TH'!F$4)</f>
        <v>0</v>
      </c>
      <c r="G158" s="126">
        <f>COUNTIFS('TỔNG KLH + TN'!$B:$B,'01. TH'!$B158,'TỔNG KLH + TN'!$C:$C,'01. TH'!G$4)</f>
        <v>0</v>
      </c>
      <c r="H158" s="126">
        <f>COUNTIFS('TỔNG KLH + TN'!$B:$B,'01. TH'!$B158,'TỔNG KLH + TN'!$C:$C,'01. TH'!H$4)</f>
        <v>0</v>
      </c>
      <c r="I158" s="126">
        <f>COUNTIFS('TỔNG KLH + TN'!$B:$B,'01. TH'!$B158,'TỔNG KLH + TN'!$C:$C,'01. TH'!I$4)</f>
        <v>0</v>
      </c>
      <c r="J158" s="126">
        <f>COUNTIFS('TỔNG KLH + TN'!$B:$B,'01. TH'!$B158,'TỔNG KLH + TN'!$C:$C,'01. TH'!J$4)</f>
        <v>0</v>
      </c>
      <c r="K158" s="126">
        <f>COUNTIFS('TỔNG KLH + TN'!$B:$B,'01. TH'!$B158,'TỔNG KLH + TN'!$C:$C,'01. TH'!K$4)</f>
        <v>0</v>
      </c>
      <c r="L158" s="126">
        <f>COUNTIFS('TỔNG KLH + TN'!$B:$B,'01. TH'!$B158,'TỔNG KLH + TN'!$C:$C,'01. TH'!L$4)</f>
        <v>0</v>
      </c>
      <c r="M158" s="126">
        <f>COUNTIFS('TỔNG KLH + TN'!$B:$B,'01. TH'!$B158,'TỔNG KLH + TN'!$C:$C,'01. TH'!M$4)</f>
        <v>0</v>
      </c>
      <c r="N158" s="126">
        <f>COUNTIFS('TỔNG KLH + TN'!$B:$B,'01. TH'!$B158,'TỔNG KLH + TN'!$C:$C,'01. TH'!N$4)</f>
        <v>0</v>
      </c>
      <c r="O158" s="126">
        <f>COUNTIFS('TỔNG KLH + TN'!$B:$B,'01. TH'!$B158,'TỔNG KLH + TN'!$C:$C,'01. TH'!O$4)</f>
        <v>0</v>
      </c>
      <c r="P158" s="126">
        <f>COUNTIFS('TỔNG KLH + TN'!$B:$B,'01. TH'!$B158,'TỔNG KLH + TN'!$C:$C,'01. TH'!P$4)</f>
        <v>0</v>
      </c>
      <c r="Q158" s="126">
        <f>COUNTIFS('TỔNG KLH + TN'!$B:$B,'01. TH'!$B158,'TỔNG KLH + TN'!$C:$C,'01. TH'!Q$4)</f>
        <v>0</v>
      </c>
      <c r="R158" s="126">
        <f>COUNTIFS('TỔNG KLH + TN'!$B:$B,'01. TH'!$B158,'TỔNG KLH + TN'!$C:$C,'01. TH'!R$4)</f>
        <v>0</v>
      </c>
      <c r="S158" s="126">
        <f>COUNTIFS('TỔNG KLH + TN'!$B:$B,'01. TH'!$B158,'TỔNG KLH + TN'!$C:$C,'01. TH'!S$4)</f>
        <v>0</v>
      </c>
      <c r="T158" s="126">
        <f>COUNTIFS('TỔNG KLH + TN'!$B:$B,'01. TH'!$B158,'TỔNG KLH + TN'!$C:$C,'01. TH'!T$4)</f>
        <v>0</v>
      </c>
      <c r="U158" s="126">
        <f>COUNTIFS('TỔNG KLH + TN'!$B:$B,'01. TH'!$B158,'TỔNG KLH + TN'!$C:$C,'01. TH'!U$4)</f>
        <v>0</v>
      </c>
      <c r="V158" s="126">
        <f>COUNTIFS('TỔNG KLH + TN'!$B:$B,'01. TH'!$B158,'TỔNG KLH + TN'!$C:$C,'01. TH'!V$4)</f>
        <v>0</v>
      </c>
      <c r="W158" s="126">
        <f>COUNTIFS('TỔNG KLH + TN'!$B:$B,'01. TH'!$B158,'TỔNG KLH + TN'!$C:$C,'01. TH'!W$4)</f>
        <v>0</v>
      </c>
      <c r="X158" s="126">
        <f>COUNTIFS('TỔNG KLH + TN'!$B:$B,'01. TH'!$B158,'TỔNG KLH + TN'!$C:$C,'01. TH'!X$4)</f>
        <v>0</v>
      </c>
      <c r="Y158" s="126">
        <f>COUNTIFS('TỔNG KLH + TN'!$B:$B,'01. TH'!$B158,'TỔNG KLH + TN'!$C:$C,'01. TH'!Y$4)</f>
        <v>0</v>
      </c>
      <c r="Z158" s="126">
        <f>COUNTIFS('TỔNG KLH + TN'!$B:$B,'01. TH'!$B158,'TỔNG KLH + TN'!$C:$C,'01. TH'!Z$4)</f>
        <v>0</v>
      </c>
      <c r="AA158" s="126">
        <f>COUNTIFS('TỔNG KLH + TN'!$B:$B,'01. TH'!$B158,'TỔNG KLH + TN'!$C:$C,'01. TH'!AA$4)</f>
        <v>0</v>
      </c>
      <c r="AB158" s="126">
        <f>COUNTIFS('TỔNG KLH + TN'!$B:$B,'01. TH'!$B158,'TỔNG KLH + TN'!$C:$C,'01. TH'!AB$4)</f>
        <v>0</v>
      </c>
      <c r="AC158" s="126">
        <f>COUNTIFS('TỔNG KLH + TN'!$B:$B,'01. TH'!$B158,'TỔNG KLH + TN'!$C:$C,'01. TH'!AC$4)</f>
        <v>0</v>
      </c>
      <c r="AD158" s="126">
        <f>COUNTIFS('TỔNG KLH + TN'!$B:$B,'01. TH'!$B158,'TỔNG KLH + TN'!$C:$C,'01. TH'!AD$4)</f>
        <v>0</v>
      </c>
      <c r="AE158" s="162">
        <f t="shared" si="32"/>
        <v>0</v>
      </c>
      <c r="AF158" s="162"/>
      <c r="AG158" s="70" t="str">
        <f t="shared" si="24"/>
        <v>ok</v>
      </c>
      <c r="AH158" s="163"/>
    </row>
    <row r="159" ht="24.0" customHeight="1" collapsed="1">
      <c r="A159" s="571">
        <v>16.0</v>
      </c>
      <c r="B159" s="73" t="s">
        <v>5738</v>
      </c>
      <c r="C159" s="78"/>
      <c r="D159" s="78" t="str">
        <f>IFERROR(VLOOKUP(B159,'Danh mục'!$G:$U,15,0),"")</f>
        <v/>
      </c>
      <c r="E159" s="78"/>
      <c r="F159" s="172">
        <f t="shared" ref="F159:AE159" si="33">SUM(F160:F161)</f>
        <v>0</v>
      </c>
      <c r="G159" s="172">
        <f t="shared" si="33"/>
        <v>0</v>
      </c>
      <c r="H159" s="172">
        <f t="shared" si="33"/>
        <v>1</v>
      </c>
      <c r="I159" s="172">
        <f t="shared" si="33"/>
        <v>1</v>
      </c>
      <c r="J159" s="172">
        <f t="shared" si="33"/>
        <v>1</v>
      </c>
      <c r="K159" s="172">
        <f t="shared" si="33"/>
        <v>0</v>
      </c>
      <c r="L159" s="172">
        <f t="shared" si="33"/>
        <v>0</v>
      </c>
      <c r="M159" s="172">
        <f t="shared" si="33"/>
        <v>0</v>
      </c>
      <c r="N159" s="172">
        <f t="shared" si="33"/>
        <v>0</v>
      </c>
      <c r="O159" s="172">
        <f t="shared" si="33"/>
        <v>0</v>
      </c>
      <c r="P159" s="172">
        <f t="shared" si="33"/>
        <v>0</v>
      </c>
      <c r="Q159" s="172">
        <f t="shared" si="33"/>
        <v>1</v>
      </c>
      <c r="R159" s="172">
        <f t="shared" si="33"/>
        <v>2</v>
      </c>
      <c r="S159" s="172">
        <f t="shared" si="33"/>
        <v>0</v>
      </c>
      <c r="T159" s="172">
        <f t="shared" si="33"/>
        <v>0</v>
      </c>
      <c r="U159" s="172">
        <f t="shared" si="33"/>
        <v>1</v>
      </c>
      <c r="V159" s="172">
        <f t="shared" si="33"/>
        <v>0</v>
      </c>
      <c r="W159" s="172">
        <f t="shared" si="33"/>
        <v>0</v>
      </c>
      <c r="X159" s="172">
        <f t="shared" si="33"/>
        <v>0</v>
      </c>
      <c r="Y159" s="172">
        <f t="shared" si="33"/>
        <v>0</v>
      </c>
      <c r="Z159" s="172">
        <f t="shared" si="33"/>
        <v>0</v>
      </c>
      <c r="AA159" s="172">
        <f t="shared" si="33"/>
        <v>1</v>
      </c>
      <c r="AB159" s="172">
        <f t="shared" si="33"/>
        <v>0</v>
      </c>
      <c r="AC159" s="172">
        <f t="shared" si="33"/>
        <v>2</v>
      </c>
      <c r="AD159" s="172">
        <f t="shared" si="33"/>
        <v>3</v>
      </c>
      <c r="AE159" s="173">
        <f t="shared" si="33"/>
        <v>13</v>
      </c>
      <c r="AF159" s="174">
        <v>2.0</v>
      </c>
      <c r="AG159" s="70" t="str">
        <f t="shared" si="24"/>
        <v>ok</v>
      </c>
      <c r="AH159" s="120"/>
    </row>
    <row r="160" ht="18.75" hidden="1" customHeight="1" outlineLevel="1">
      <c r="A160" s="159"/>
      <c r="B160" s="122" t="s">
        <v>896</v>
      </c>
      <c r="C160" s="123" t="s">
        <v>158</v>
      </c>
      <c r="D160" s="124" t="str">
        <f>IFERROR(VLOOKUP(B160,'Danh mục'!$G:$U,15,0),"")</f>
        <v>4730 x 1750 x 2100</v>
      </c>
      <c r="E160" s="124" t="s">
        <v>108</v>
      </c>
      <c r="F160" s="126">
        <f>COUNTIFS('TỔNG KLH + TN'!$B:$B,'01. TH'!$B160,'TỔNG KLH + TN'!$C:$C,'01. TH'!F$4)</f>
        <v>0</v>
      </c>
      <c r="G160" s="126">
        <f>COUNTIFS('TỔNG KLH + TN'!$B:$B,'01. TH'!$B160,'TỔNG KLH + TN'!$C:$C,'01. TH'!G$4)</f>
        <v>0</v>
      </c>
      <c r="H160" s="126">
        <f>COUNTIFS('TỔNG KLH + TN'!$B:$B,'01. TH'!$B160,'TỔNG KLH + TN'!$C:$C,'01. TH'!H$4)</f>
        <v>1</v>
      </c>
      <c r="I160" s="126">
        <f>COUNTIFS('TỔNG KLH + TN'!$B:$B,'01. TH'!$B160,'TỔNG KLH + TN'!$C:$C,'01. TH'!I$4)</f>
        <v>1</v>
      </c>
      <c r="J160" s="126">
        <f>COUNTIFS('TỔNG KLH + TN'!$B:$B,'01. TH'!$B160,'TỔNG KLH + TN'!$C:$C,'01. TH'!J$4)</f>
        <v>1</v>
      </c>
      <c r="K160" s="126">
        <f>COUNTIFS('TỔNG KLH + TN'!$B:$B,'01. TH'!$B160,'TỔNG KLH + TN'!$C:$C,'01. TH'!K$4)</f>
        <v>0</v>
      </c>
      <c r="L160" s="126">
        <f>COUNTIFS('TỔNG KLH + TN'!$B:$B,'01. TH'!$B160,'TỔNG KLH + TN'!$C:$C,'01. TH'!L$4)</f>
        <v>0</v>
      </c>
      <c r="M160" s="126">
        <f>COUNTIFS('TỔNG KLH + TN'!$B:$B,'01. TH'!$B160,'TỔNG KLH + TN'!$C:$C,'01. TH'!M$4)</f>
        <v>0</v>
      </c>
      <c r="N160" s="126">
        <f>COUNTIFS('TỔNG KLH + TN'!$B:$B,'01. TH'!$B160,'TỔNG KLH + TN'!$C:$C,'01. TH'!N$4)</f>
        <v>0</v>
      </c>
      <c r="O160" s="126">
        <f>COUNTIFS('TỔNG KLH + TN'!$B:$B,'01. TH'!$B160,'TỔNG KLH + TN'!$C:$C,'01. TH'!O$4)</f>
        <v>0</v>
      </c>
      <c r="P160" s="126">
        <f>COUNTIFS('TỔNG KLH + TN'!$B:$B,'01. TH'!$B160,'TỔNG KLH + TN'!$C:$C,'01. TH'!P$4)</f>
        <v>0</v>
      </c>
      <c r="Q160" s="126">
        <f>COUNTIFS('TỔNG KLH + TN'!$B:$B,'01. TH'!$B160,'TỔNG KLH + TN'!$C:$C,'01. TH'!Q$4)</f>
        <v>0</v>
      </c>
      <c r="R160" s="126">
        <f>COUNTIFS('TỔNG KLH + TN'!$B:$B,'01. TH'!$B160,'TỔNG KLH + TN'!$C:$C,'01. TH'!R$4)</f>
        <v>1</v>
      </c>
      <c r="S160" s="126">
        <f>COUNTIFS('TỔNG KLH + TN'!$B:$B,'01. TH'!$B160,'TỔNG KLH + TN'!$C:$C,'01. TH'!S$4)</f>
        <v>0</v>
      </c>
      <c r="T160" s="126">
        <f>COUNTIFS('TỔNG KLH + TN'!$B:$B,'01. TH'!$B160,'TỔNG KLH + TN'!$C:$C,'01. TH'!T$4)</f>
        <v>0</v>
      </c>
      <c r="U160" s="126">
        <f>COUNTIFS('TỔNG KLH + TN'!$B:$B,'01. TH'!$B160,'TỔNG KLH + TN'!$C:$C,'01. TH'!U$4)</f>
        <v>1</v>
      </c>
      <c r="V160" s="126">
        <f>COUNTIFS('TỔNG KLH + TN'!$B:$B,'01. TH'!$B160,'TỔNG KLH + TN'!$C:$C,'01. TH'!V$4)</f>
        <v>0</v>
      </c>
      <c r="W160" s="126">
        <f>COUNTIFS('TỔNG KLH + TN'!$B:$B,'01. TH'!$B160,'TỔNG KLH + TN'!$C:$C,'01. TH'!W$4)</f>
        <v>0</v>
      </c>
      <c r="X160" s="126">
        <f>COUNTIFS('TỔNG KLH + TN'!$B:$B,'01. TH'!$B160,'TỔNG KLH + TN'!$C:$C,'01. TH'!X$4)</f>
        <v>0</v>
      </c>
      <c r="Y160" s="126">
        <f>COUNTIFS('TỔNG KLH + TN'!$B:$B,'01. TH'!$B160,'TỔNG KLH + TN'!$C:$C,'01. TH'!Y$4)</f>
        <v>0</v>
      </c>
      <c r="Z160" s="126">
        <f>COUNTIFS('TỔNG KLH + TN'!$B:$B,'01. TH'!$B160,'TỔNG KLH + TN'!$C:$C,'01. TH'!Z$4)</f>
        <v>0</v>
      </c>
      <c r="AA160" s="126">
        <f>COUNTIFS('TỔNG KLH + TN'!$B:$B,'01. TH'!$B160,'TỔNG KLH + TN'!$C:$C,'01. TH'!AA$4)</f>
        <v>1</v>
      </c>
      <c r="AB160" s="126">
        <f>COUNTIFS('TỔNG KLH + TN'!$B:$B,'01. TH'!$B160,'TỔNG KLH + TN'!$C:$C,'01. TH'!AB$4)</f>
        <v>0</v>
      </c>
      <c r="AC160" s="126">
        <f>COUNTIFS('TỔNG KLH + TN'!$B:$B,'01. TH'!$B160,'TỔNG KLH + TN'!$C:$C,'01. TH'!AC$4)</f>
        <v>0</v>
      </c>
      <c r="AD160" s="126">
        <f>COUNTIFS('TỔNG KLH + TN'!$B:$B,'01. TH'!$B160,'TỔNG KLH + TN'!$C:$C,'01. TH'!AD$4)</f>
        <v>1</v>
      </c>
      <c r="AE160" s="162">
        <f t="shared" ref="AE160:AE161" si="34">SUM(F160:AD160)</f>
        <v>7</v>
      </c>
      <c r="AF160" s="162"/>
      <c r="AG160" s="70" t="str">
        <f t="shared" si="24"/>
        <v>ok</v>
      </c>
      <c r="AH160" s="609"/>
    </row>
    <row r="161" ht="18.75" hidden="1" customHeight="1" outlineLevel="1">
      <c r="A161" s="210"/>
      <c r="B161" s="122" t="s">
        <v>1252</v>
      </c>
      <c r="C161" s="123" t="s">
        <v>158</v>
      </c>
      <c r="D161" s="124" t="str">
        <f>IFERROR(VLOOKUP(B161,'Danh mục'!$G:$U,15,0),"")</f>
        <v>4730 x 1750 x 2100</v>
      </c>
      <c r="E161" s="124" t="s">
        <v>108</v>
      </c>
      <c r="F161" s="126">
        <f>COUNTIFS('TỔNG KLH + TN'!$B:$B,'01. TH'!$B161,'TỔNG KLH + TN'!$C:$C,'01. TH'!F$4)</f>
        <v>0</v>
      </c>
      <c r="G161" s="126">
        <f>COUNTIFS('TỔNG KLH + TN'!$B:$B,'01. TH'!$B161,'TỔNG KLH + TN'!$C:$C,'01. TH'!G$4)</f>
        <v>0</v>
      </c>
      <c r="H161" s="126">
        <f>COUNTIFS('TỔNG KLH + TN'!$B:$B,'01. TH'!$B161,'TỔNG KLH + TN'!$C:$C,'01. TH'!H$4)</f>
        <v>0</v>
      </c>
      <c r="I161" s="126">
        <f>COUNTIFS('TỔNG KLH + TN'!$B:$B,'01. TH'!$B161,'TỔNG KLH + TN'!$C:$C,'01. TH'!I$4)</f>
        <v>0</v>
      </c>
      <c r="J161" s="126">
        <f>COUNTIFS('TỔNG KLH + TN'!$B:$B,'01. TH'!$B161,'TỔNG KLH + TN'!$C:$C,'01. TH'!J$4)</f>
        <v>0</v>
      </c>
      <c r="K161" s="126">
        <f>COUNTIFS('TỔNG KLH + TN'!$B:$B,'01. TH'!$B161,'TỔNG KLH + TN'!$C:$C,'01. TH'!K$4)</f>
        <v>0</v>
      </c>
      <c r="L161" s="126">
        <f>COUNTIFS('TỔNG KLH + TN'!$B:$B,'01. TH'!$B161,'TỔNG KLH + TN'!$C:$C,'01. TH'!L$4)</f>
        <v>0</v>
      </c>
      <c r="M161" s="126">
        <f>COUNTIFS('TỔNG KLH + TN'!$B:$B,'01. TH'!$B161,'TỔNG KLH + TN'!$C:$C,'01. TH'!M$4)</f>
        <v>0</v>
      </c>
      <c r="N161" s="126">
        <f>COUNTIFS('TỔNG KLH + TN'!$B:$B,'01. TH'!$B161,'TỔNG KLH + TN'!$C:$C,'01. TH'!N$4)</f>
        <v>0</v>
      </c>
      <c r="O161" s="126">
        <f>COUNTIFS('TỔNG KLH + TN'!$B:$B,'01. TH'!$B161,'TỔNG KLH + TN'!$C:$C,'01. TH'!O$4)</f>
        <v>0</v>
      </c>
      <c r="P161" s="126">
        <f>COUNTIFS('TỔNG KLH + TN'!$B:$B,'01. TH'!$B161,'TỔNG KLH + TN'!$C:$C,'01. TH'!P$4)</f>
        <v>0</v>
      </c>
      <c r="Q161" s="126">
        <f>COUNTIFS('TỔNG KLH + TN'!$B:$B,'01. TH'!$B161,'TỔNG KLH + TN'!$C:$C,'01. TH'!Q$4)</f>
        <v>1</v>
      </c>
      <c r="R161" s="126">
        <f>COUNTIFS('TỔNG KLH + TN'!$B:$B,'01. TH'!$B161,'TỔNG KLH + TN'!$C:$C,'01. TH'!R$4)</f>
        <v>1</v>
      </c>
      <c r="S161" s="126">
        <f>COUNTIFS('TỔNG KLH + TN'!$B:$B,'01. TH'!$B161,'TỔNG KLH + TN'!$C:$C,'01. TH'!S$4)</f>
        <v>0</v>
      </c>
      <c r="T161" s="126">
        <f>COUNTIFS('TỔNG KLH + TN'!$B:$B,'01. TH'!$B161,'TỔNG KLH + TN'!$C:$C,'01. TH'!T$4)</f>
        <v>0</v>
      </c>
      <c r="U161" s="126">
        <f>COUNTIFS('TỔNG KLH + TN'!$B:$B,'01. TH'!$B161,'TỔNG KLH + TN'!$C:$C,'01. TH'!U$4)</f>
        <v>0</v>
      </c>
      <c r="V161" s="126">
        <f>COUNTIFS('TỔNG KLH + TN'!$B:$B,'01. TH'!$B161,'TỔNG KLH + TN'!$C:$C,'01. TH'!V$4)</f>
        <v>0</v>
      </c>
      <c r="W161" s="126">
        <f>COUNTIFS('TỔNG KLH + TN'!$B:$B,'01. TH'!$B161,'TỔNG KLH + TN'!$C:$C,'01. TH'!W$4)</f>
        <v>0</v>
      </c>
      <c r="X161" s="126">
        <f>COUNTIFS('TỔNG KLH + TN'!$B:$B,'01. TH'!$B161,'TỔNG KLH + TN'!$C:$C,'01. TH'!X$4)</f>
        <v>0</v>
      </c>
      <c r="Y161" s="126">
        <f>COUNTIFS('TỔNG KLH + TN'!$B:$B,'01. TH'!$B161,'TỔNG KLH + TN'!$C:$C,'01. TH'!Y$4)</f>
        <v>0</v>
      </c>
      <c r="Z161" s="126">
        <f>COUNTIFS('TỔNG KLH + TN'!$B:$B,'01. TH'!$B161,'TỔNG KLH + TN'!$C:$C,'01. TH'!Z$4)</f>
        <v>0</v>
      </c>
      <c r="AA161" s="126">
        <f>COUNTIFS('TỔNG KLH + TN'!$B:$B,'01. TH'!$B161,'TỔNG KLH + TN'!$C:$C,'01. TH'!AA$4)</f>
        <v>0</v>
      </c>
      <c r="AB161" s="126">
        <f>COUNTIFS('TỔNG KLH + TN'!$B:$B,'01. TH'!$B161,'TỔNG KLH + TN'!$C:$C,'01. TH'!AB$4)</f>
        <v>0</v>
      </c>
      <c r="AC161" s="126">
        <f>COUNTIFS('TỔNG KLH + TN'!$B:$B,'01. TH'!$B161,'TỔNG KLH + TN'!$C:$C,'01. TH'!AC$4)</f>
        <v>2</v>
      </c>
      <c r="AD161" s="126">
        <f>COUNTIFS('TỔNG KLH + TN'!$B:$B,'01. TH'!$B161,'TỔNG KLH + TN'!$C:$C,'01. TH'!AD$4)</f>
        <v>2</v>
      </c>
      <c r="AE161" s="162">
        <f t="shared" si="34"/>
        <v>6</v>
      </c>
      <c r="AF161" s="162"/>
      <c r="AG161" s="70" t="str">
        <f t="shared" si="24"/>
        <v>ok</v>
      </c>
      <c r="AH161" s="210"/>
    </row>
    <row r="162" ht="24.0" customHeight="1" collapsed="1">
      <c r="A162" s="571">
        <v>17.0</v>
      </c>
      <c r="B162" s="572" t="s">
        <v>754</v>
      </c>
      <c r="C162" s="78"/>
      <c r="D162" s="78" t="str">
        <f>IFERROR(VLOOKUP(B162,'Danh mục'!$G:$U,15,0),"")</f>
        <v/>
      </c>
      <c r="E162" s="78"/>
      <c r="F162" s="172">
        <f t="shared" ref="F162:AE162" si="35">SUM(F163)</f>
        <v>0</v>
      </c>
      <c r="G162" s="172">
        <f t="shared" si="35"/>
        <v>1</v>
      </c>
      <c r="H162" s="172">
        <f t="shared" si="35"/>
        <v>0</v>
      </c>
      <c r="I162" s="172">
        <f t="shared" si="35"/>
        <v>0</v>
      </c>
      <c r="J162" s="172">
        <f t="shared" si="35"/>
        <v>0</v>
      </c>
      <c r="K162" s="172">
        <f t="shared" si="35"/>
        <v>0</v>
      </c>
      <c r="L162" s="172">
        <f t="shared" si="35"/>
        <v>0</v>
      </c>
      <c r="M162" s="172">
        <f t="shared" si="35"/>
        <v>0</v>
      </c>
      <c r="N162" s="172">
        <f t="shared" si="35"/>
        <v>0</v>
      </c>
      <c r="O162" s="172">
        <f t="shared" si="35"/>
        <v>0</v>
      </c>
      <c r="P162" s="172">
        <f t="shared" si="35"/>
        <v>0</v>
      </c>
      <c r="Q162" s="172">
        <f t="shared" si="35"/>
        <v>0</v>
      </c>
      <c r="R162" s="172">
        <f t="shared" si="35"/>
        <v>0</v>
      </c>
      <c r="S162" s="172">
        <f t="shared" si="35"/>
        <v>0</v>
      </c>
      <c r="T162" s="172">
        <f t="shared" si="35"/>
        <v>0</v>
      </c>
      <c r="U162" s="172">
        <f t="shared" si="35"/>
        <v>0</v>
      </c>
      <c r="V162" s="172">
        <f t="shared" si="35"/>
        <v>0</v>
      </c>
      <c r="W162" s="172">
        <f t="shared" si="35"/>
        <v>0</v>
      </c>
      <c r="X162" s="172">
        <f t="shared" si="35"/>
        <v>0</v>
      </c>
      <c r="Y162" s="172">
        <f t="shared" si="35"/>
        <v>0</v>
      </c>
      <c r="Z162" s="172">
        <f t="shared" si="35"/>
        <v>0</v>
      </c>
      <c r="AA162" s="172">
        <f t="shared" si="35"/>
        <v>0</v>
      </c>
      <c r="AB162" s="172">
        <f t="shared" si="35"/>
        <v>0</v>
      </c>
      <c r="AC162" s="172">
        <f t="shared" si="35"/>
        <v>2</v>
      </c>
      <c r="AD162" s="172">
        <f t="shared" si="35"/>
        <v>0</v>
      </c>
      <c r="AE162" s="173">
        <f t="shared" si="35"/>
        <v>3</v>
      </c>
      <c r="AF162" s="174">
        <v>0.0</v>
      </c>
      <c r="AG162" s="70" t="str">
        <f t="shared" si="24"/>
        <v>ok</v>
      </c>
      <c r="AH162" s="120"/>
    </row>
    <row r="163" ht="18.75" hidden="1" customHeight="1" outlineLevel="1">
      <c r="A163" s="159"/>
      <c r="B163" s="205" t="s">
        <v>754</v>
      </c>
      <c r="C163" s="123" t="s">
        <v>682</v>
      </c>
      <c r="D163" s="124" t="str">
        <f>IFERROR(VLOOKUP(B163,'Danh mục'!$G:$U,15,0),"")</f>
        <v/>
      </c>
      <c r="E163" s="124" t="s">
        <v>108</v>
      </c>
      <c r="F163" s="126">
        <f>COUNTIFS('TỔNG KLH + TN'!$B:$B,'01. TH'!$B163,'TỔNG KLH + TN'!$C:$C,'01. TH'!F$4)</f>
        <v>0</v>
      </c>
      <c r="G163" s="126">
        <f>COUNTIFS('TỔNG KLH + TN'!$B:$B,'01. TH'!$B163,'TỔNG KLH + TN'!$C:$C,'01. TH'!G$4)</f>
        <v>1</v>
      </c>
      <c r="H163" s="126">
        <f>COUNTIFS('TỔNG KLH + TN'!$B:$B,'01. TH'!$B163,'TỔNG KLH + TN'!$C:$C,'01. TH'!H$4)</f>
        <v>0</v>
      </c>
      <c r="I163" s="126">
        <f>COUNTIFS('TỔNG KLH + TN'!$B:$B,'01. TH'!$B163,'TỔNG KLH + TN'!$C:$C,'01. TH'!I$4)</f>
        <v>0</v>
      </c>
      <c r="J163" s="126">
        <f>COUNTIFS('TỔNG KLH + TN'!$B:$B,'01. TH'!$B163,'TỔNG KLH + TN'!$C:$C,'01. TH'!J$4)</f>
        <v>0</v>
      </c>
      <c r="K163" s="126">
        <f>COUNTIFS('TỔNG KLH + TN'!$B:$B,'01. TH'!$B163,'TỔNG KLH + TN'!$C:$C,'01. TH'!K$4)</f>
        <v>0</v>
      </c>
      <c r="L163" s="126">
        <f>COUNTIFS('TỔNG KLH + TN'!$B:$B,'01. TH'!$B163,'TỔNG KLH + TN'!$C:$C,'01. TH'!L$4)</f>
        <v>0</v>
      </c>
      <c r="M163" s="126">
        <f>COUNTIFS('TỔNG KLH + TN'!$B:$B,'01. TH'!$B163,'TỔNG KLH + TN'!$C:$C,'01. TH'!M$4)</f>
        <v>0</v>
      </c>
      <c r="N163" s="126">
        <f>COUNTIFS('TỔNG KLH + TN'!$B:$B,'01. TH'!$B163,'TỔNG KLH + TN'!$C:$C,'01. TH'!N$4)</f>
        <v>0</v>
      </c>
      <c r="O163" s="126">
        <f>COUNTIFS('TỔNG KLH + TN'!$B:$B,'01. TH'!$B163,'TỔNG KLH + TN'!$C:$C,'01. TH'!O$4)</f>
        <v>0</v>
      </c>
      <c r="P163" s="126">
        <f>COUNTIFS('TỔNG KLH + TN'!$B:$B,'01. TH'!$B163,'TỔNG KLH + TN'!$C:$C,'01. TH'!P$4)</f>
        <v>0</v>
      </c>
      <c r="Q163" s="126">
        <f>COUNTIFS('TỔNG KLH + TN'!$B:$B,'01. TH'!$B163,'TỔNG KLH + TN'!$C:$C,'01. TH'!Q$4)</f>
        <v>0</v>
      </c>
      <c r="R163" s="126">
        <f>COUNTIFS('TỔNG KLH + TN'!$B:$B,'01. TH'!$B163,'TỔNG KLH + TN'!$C:$C,'01. TH'!R$4)</f>
        <v>0</v>
      </c>
      <c r="S163" s="126">
        <f>COUNTIFS('TỔNG KLH + TN'!$B:$B,'01. TH'!$B163,'TỔNG KLH + TN'!$C:$C,'01. TH'!S$4)</f>
        <v>0</v>
      </c>
      <c r="T163" s="126">
        <f>COUNTIFS('TỔNG KLH + TN'!$B:$B,'01. TH'!$B163,'TỔNG KLH + TN'!$C:$C,'01. TH'!T$4)</f>
        <v>0</v>
      </c>
      <c r="U163" s="126">
        <f>COUNTIFS('TỔNG KLH + TN'!$B:$B,'01. TH'!$B163,'TỔNG KLH + TN'!$C:$C,'01. TH'!U$4)</f>
        <v>0</v>
      </c>
      <c r="V163" s="126">
        <f>COUNTIFS('TỔNG KLH + TN'!$B:$B,'01. TH'!$B163,'TỔNG KLH + TN'!$C:$C,'01. TH'!V$4)</f>
        <v>0</v>
      </c>
      <c r="W163" s="126">
        <f>COUNTIFS('TỔNG KLH + TN'!$B:$B,'01. TH'!$B163,'TỔNG KLH + TN'!$C:$C,'01. TH'!W$4)</f>
        <v>0</v>
      </c>
      <c r="X163" s="126">
        <f>COUNTIFS('TỔNG KLH + TN'!$B:$B,'01. TH'!$B163,'TỔNG KLH + TN'!$C:$C,'01. TH'!X$4)</f>
        <v>0</v>
      </c>
      <c r="Y163" s="126">
        <f>COUNTIFS('TỔNG KLH + TN'!$B:$B,'01. TH'!$B163,'TỔNG KLH + TN'!$C:$C,'01. TH'!Y$4)</f>
        <v>0</v>
      </c>
      <c r="Z163" s="126">
        <f>COUNTIFS('TỔNG KLH + TN'!$B:$B,'01. TH'!$B163,'TỔNG KLH + TN'!$C:$C,'01. TH'!Z$4)</f>
        <v>0</v>
      </c>
      <c r="AA163" s="126">
        <f>COUNTIFS('TỔNG KLH + TN'!$B:$B,'01. TH'!$B163,'TỔNG KLH + TN'!$C:$C,'01. TH'!AA$4)</f>
        <v>0</v>
      </c>
      <c r="AB163" s="126">
        <f>COUNTIFS('TỔNG KLH + TN'!$B:$B,'01. TH'!$B163,'TỔNG KLH + TN'!$C:$C,'01. TH'!AB$4)</f>
        <v>0</v>
      </c>
      <c r="AC163" s="126">
        <f>COUNTIFS('TỔNG KLH + TN'!$B:$B,'01. TH'!$B163,'TỔNG KLH + TN'!$C:$C,'01. TH'!AC$4)</f>
        <v>2</v>
      </c>
      <c r="AD163" s="126">
        <f>COUNTIFS('TỔNG KLH + TN'!$B:$B,'01. TH'!$B163,'TỔNG KLH + TN'!$C:$C,'01. TH'!AD$4)</f>
        <v>0</v>
      </c>
      <c r="AE163" s="162">
        <f>SUM(F163:AD163)</f>
        <v>3</v>
      </c>
      <c r="AF163" s="162"/>
      <c r="AG163" s="70" t="str">
        <f t="shared" si="24"/>
        <v>ok</v>
      </c>
      <c r="AH163" s="609"/>
    </row>
    <row r="164" ht="24.0" customHeight="1" collapsed="1">
      <c r="A164" s="571">
        <v>18.0</v>
      </c>
      <c r="B164" s="73" t="s">
        <v>5741</v>
      </c>
      <c r="C164" s="78"/>
      <c r="D164" s="78" t="str">
        <f>IFERROR(VLOOKUP(B164,'Danh mục'!$G:$U,15,0),"")</f>
        <v/>
      </c>
      <c r="E164" s="78"/>
      <c r="F164" s="172">
        <f t="shared" ref="F164:AE164" si="36">SUM(F165)</f>
        <v>0</v>
      </c>
      <c r="G164" s="172">
        <f t="shared" si="36"/>
        <v>0</v>
      </c>
      <c r="H164" s="172">
        <f t="shared" si="36"/>
        <v>0</v>
      </c>
      <c r="I164" s="172">
        <f t="shared" si="36"/>
        <v>0</v>
      </c>
      <c r="J164" s="172">
        <f t="shared" si="36"/>
        <v>0</v>
      </c>
      <c r="K164" s="172">
        <f t="shared" si="36"/>
        <v>0</v>
      </c>
      <c r="L164" s="172">
        <f t="shared" si="36"/>
        <v>0</v>
      </c>
      <c r="M164" s="172">
        <f t="shared" si="36"/>
        <v>0</v>
      </c>
      <c r="N164" s="172">
        <f t="shared" si="36"/>
        <v>0</v>
      </c>
      <c r="O164" s="172">
        <f t="shared" si="36"/>
        <v>0</v>
      </c>
      <c r="P164" s="172">
        <f t="shared" si="36"/>
        <v>0</v>
      </c>
      <c r="Q164" s="172">
        <f t="shared" si="36"/>
        <v>0</v>
      </c>
      <c r="R164" s="172">
        <f t="shared" si="36"/>
        <v>0</v>
      </c>
      <c r="S164" s="172">
        <f t="shared" si="36"/>
        <v>0</v>
      </c>
      <c r="T164" s="172">
        <f t="shared" si="36"/>
        <v>0</v>
      </c>
      <c r="U164" s="172">
        <f t="shared" si="36"/>
        <v>0</v>
      </c>
      <c r="V164" s="172">
        <f t="shared" si="36"/>
        <v>0</v>
      </c>
      <c r="W164" s="172">
        <f t="shared" si="36"/>
        <v>0</v>
      </c>
      <c r="X164" s="172">
        <f t="shared" si="36"/>
        <v>0</v>
      </c>
      <c r="Y164" s="172">
        <f t="shared" si="36"/>
        <v>0</v>
      </c>
      <c r="Z164" s="172">
        <f t="shared" si="36"/>
        <v>0</v>
      </c>
      <c r="AA164" s="172">
        <f t="shared" si="36"/>
        <v>1</v>
      </c>
      <c r="AB164" s="172">
        <f t="shared" si="36"/>
        <v>0</v>
      </c>
      <c r="AC164" s="172">
        <f t="shared" si="36"/>
        <v>0</v>
      </c>
      <c r="AD164" s="172">
        <f t="shared" si="36"/>
        <v>0</v>
      </c>
      <c r="AE164" s="173">
        <f t="shared" si="36"/>
        <v>1</v>
      </c>
      <c r="AF164" s="174">
        <v>0.0</v>
      </c>
      <c r="AG164" s="70" t="str">
        <f t="shared" si="24"/>
        <v>ok</v>
      </c>
      <c r="AH164" s="120"/>
    </row>
    <row r="165" ht="18.75" hidden="1" customHeight="1" outlineLevel="1">
      <c r="A165" s="210"/>
      <c r="B165" s="122" t="s">
        <v>2740</v>
      </c>
      <c r="C165" s="123" t="s">
        <v>682</v>
      </c>
      <c r="D165" s="124" t="str">
        <f>IFERROR(VLOOKUP(B165,'Danh mục'!$G:$U,15,0),"")</f>
        <v/>
      </c>
      <c r="E165" s="124" t="s">
        <v>108</v>
      </c>
      <c r="F165" s="126">
        <f>COUNTIFS('TỔNG KLH + TN'!$B:$B,'01. TH'!$B165,'TỔNG KLH + TN'!$C:$C,'01. TH'!F$4)</f>
        <v>0</v>
      </c>
      <c r="G165" s="126">
        <f>COUNTIFS('TỔNG KLH + TN'!$B:$B,'01. TH'!$B165,'TỔNG KLH + TN'!$C:$C,'01. TH'!G$4)</f>
        <v>0</v>
      </c>
      <c r="H165" s="126">
        <f>COUNTIFS('TỔNG KLH + TN'!$B:$B,'01. TH'!$B165,'TỔNG KLH + TN'!$C:$C,'01. TH'!H$4)</f>
        <v>0</v>
      </c>
      <c r="I165" s="126">
        <f>COUNTIFS('TỔNG KLH + TN'!$B:$B,'01. TH'!$B165,'TỔNG KLH + TN'!$C:$C,'01. TH'!I$4)</f>
        <v>0</v>
      </c>
      <c r="J165" s="126">
        <f>COUNTIFS('TỔNG KLH + TN'!$B:$B,'01. TH'!$B165,'TỔNG KLH + TN'!$C:$C,'01. TH'!J$4)</f>
        <v>0</v>
      </c>
      <c r="K165" s="126">
        <f>COUNTIFS('TỔNG KLH + TN'!$B:$B,'01. TH'!$B165,'TỔNG KLH + TN'!$C:$C,'01. TH'!K$4)</f>
        <v>0</v>
      </c>
      <c r="L165" s="126">
        <f>COUNTIFS('TỔNG KLH + TN'!$B:$B,'01. TH'!$B165,'TỔNG KLH + TN'!$C:$C,'01. TH'!L$4)</f>
        <v>0</v>
      </c>
      <c r="M165" s="126">
        <f>COUNTIFS('TỔNG KLH + TN'!$B:$B,'01. TH'!$B165,'TỔNG KLH + TN'!$C:$C,'01. TH'!M$4)</f>
        <v>0</v>
      </c>
      <c r="N165" s="126">
        <f>COUNTIFS('TỔNG KLH + TN'!$B:$B,'01. TH'!$B165,'TỔNG KLH + TN'!$C:$C,'01. TH'!N$4)</f>
        <v>0</v>
      </c>
      <c r="O165" s="126">
        <f>COUNTIFS('TỔNG KLH + TN'!$B:$B,'01. TH'!$B165,'TỔNG KLH + TN'!$C:$C,'01. TH'!O$4)</f>
        <v>0</v>
      </c>
      <c r="P165" s="126">
        <f>COUNTIFS('TỔNG KLH + TN'!$B:$B,'01. TH'!$B165,'TỔNG KLH + TN'!$C:$C,'01. TH'!P$4)</f>
        <v>0</v>
      </c>
      <c r="Q165" s="126">
        <f>COUNTIFS('TỔNG KLH + TN'!$B:$B,'01. TH'!$B165,'TỔNG KLH + TN'!$C:$C,'01. TH'!Q$4)</f>
        <v>0</v>
      </c>
      <c r="R165" s="126">
        <f>COUNTIFS('TỔNG KLH + TN'!$B:$B,'01. TH'!$B165,'TỔNG KLH + TN'!$C:$C,'01. TH'!R$4)</f>
        <v>0</v>
      </c>
      <c r="S165" s="126">
        <f>COUNTIFS('TỔNG KLH + TN'!$B:$B,'01. TH'!$B165,'TỔNG KLH + TN'!$C:$C,'01. TH'!S$4)</f>
        <v>0</v>
      </c>
      <c r="T165" s="126">
        <f>COUNTIFS('TỔNG KLH + TN'!$B:$B,'01. TH'!$B165,'TỔNG KLH + TN'!$C:$C,'01. TH'!T$4)</f>
        <v>0</v>
      </c>
      <c r="U165" s="126">
        <f>COUNTIFS('TỔNG KLH + TN'!$B:$B,'01. TH'!$B165,'TỔNG KLH + TN'!$C:$C,'01. TH'!U$4)</f>
        <v>0</v>
      </c>
      <c r="V165" s="126">
        <f>COUNTIFS('TỔNG KLH + TN'!$B:$B,'01. TH'!$B165,'TỔNG KLH + TN'!$C:$C,'01. TH'!V$4)</f>
        <v>0</v>
      </c>
      <c r="W165" s="126">
        <f>COUNTIFS('TỔNG KLH + TN'!$B:$B,'01. TH'!$B165,'TỔNG KLH + TN'!$C:$C,'01. TH'!W$4)</f>
        <v>0</v>
      </c>
      <c r="X165" s="126">
        <f>COUNTIFS('TỔNG KLH + TN'!$B:$B,'01. TH'!$B165,'TỔNG KLH + TN'!$C:$C,'01. TH'!X$4)</f>
        <v>0</v>
      </c>
      <c r="Y165" s="126">
        <f>COUNTIFS('TỔNG KLH + TN'!$B:$B,'01. TH'!$B165,'TỔNG KLH + TN'!$C:$C,'01. TH'!Y$4)</f>
        <v>0</v>
      </c>
      <c r="Z165" s="126">
        <f>COUNTIFS('TỔNG KLH + TN'!$B:$B,'01. TH'!$B165,'TỔNG KLH + TN'!$C:$C,'01. TH'!Z$4)</f>
        <v>0</v>
      </c>
      <c r="AA165" s="126">
        <f>COUNTIFS('TỔNG KLH + TN'!$B:$B,'01. TH'!$B165,'TỔNG KLH + TN'!$C:$C,'01. TH'!AA$4)</f>
        <v>1</v>
      </c>
      <c r="AB165" s="126">
        <f>COUNTIFS('TỔNG KLH + TN'!$B:$B,'01. TH'!$B165,'TỔNG KLH + TN'!$C:$C,'01. TH'!AB$4)</f>
        <v>0</v>
      </c>
      <c r="AC165" s="126">
        <f>COUNTIFS('TỔNG KLH + TN'!$B:$B,'01. TH'!$B165,'TỔNG KLH + TN'!$C:$C,'01. TH'!AC$4)</f>
        <v>0</v>
      </c>
      <c r="AD165" s="126">
        <f>COUNTIFS('TỔNG KLH + TN'!$B:$B,'01. TH'!$B165,'TỔNG KLH + TN'!$C:$C,'01. TH'!AD$4)</f>
        <v>0</v>
      </c>
      <c r="AE165" s="162">
        <f>SUM(F165:AD165)</f>
        <v>1</v>
      </c>
      <c r="AF165" s="162"/>
      <c r="AG165" s="70" t="str">
        <f t="shared" si="24"/>
        <v>ok</v>
      </c>
      <c r="AH165" s="240"/>
    </row>
    <row r="166" ht="24.0" customHeight="1" collapsed="1">
      <c r="A166" s="70">
        <v>19.0</v>
      </c>
      <c r="B166" s="73" t="s">
        <v>5742</v>
      </c>
      <c r="C166" s="78"/>
      <c r="D166" s="78" t="str">
        <f>IFERROR(VLOOKUP(B166,'Danh mục'!$G:$U,15,0),"")</f>
        <v/>
      </c>
      <c r="E166" s="78"/>
      <c r="F166" s="172">
        <f t="shared" ref="F166:AE166" si="37">SUM(F167)</f>
        <v>0</v>
      </c>
      <c r="G166" s="172">
        <f t="shared" si="37"/>
        <v>0</v>
      </c>
      <c r="H166" s="172">
        <f t="shared" si="37"/>
        <v>0</v>
      </c>
      <c r="I166" s="172">
        <f t="shared" si="37"/>
        <v>0</v>
      </c>
      <c r="J166" s="172">
        <f t="shared" si="37"/>
        <v>0</v>
      </c>
      <c r="K166" s="172">
        <f t="shared" si="37"/>
        <v>0</v>
      </c>
      <c r="L166" s="172">
        <f t="shared" si="37"/>
        <v>0</v>
      </c>
      <c r="M166" s="172">
        <f t="shared" si="37"/>
        <v>0</v>
      </c>
      <c r="N166" s="172">
        <f t="shared" si="37"/>
        <v>0</v>
      </c>
      <c r="O166" s="172">
        <f t="shared" si="37"/>
        <v>0</v>
      </c>
      <c r="P166" s="172">
        <f t="shared" si="37"/>
        <v>0</v>
      </c>
      <c r="Q166" s="172">
        <f t="shared" si="37"/>
        <v>0</v>
      </c>
      <c r="R166" s="172">
        <f t="shared" si="37"/>
        <v>0</v>
      </c>
      <c r="S166" s="172">
        <f t="shared" si="37"/>
        <v>0</v>
      </c>
      <c r="T166" s="172">
        <f t="shared" si="37"/>
        <v>0</v>
      </c>
      <c r="U166" s="172">
        <f t="shared" si="37"/>
        <v>0</v>
      </c>
      <c r="V166" s="172">
        <f t="shared" si="37"/>
        <v>0</v>
      </c>
      <c r="W166" s="172">
        <f t="shared" si="37"/>
        <v>0</v>
      </c>
      <c r="X166" s="172">
        <f t="shared" si="37"/>
        <v>0</v>
      </c>
      <c r="Y166" s="172">
        <f t="shared" si="37"/>
        <v>0</v>
      </c>
      <c r="Z166" s="172">
        <f t="shared" si="37"/>
        <v>0</v>
      </c>
      <c r="AA166" s="172">
        <f t="shared" si="37"/>
        <v>1</v>
      </c>
      <c r="AB166" s="172">
        <f t="shared" si="37"/>
        <v>0</v>
      </c>
      <c r="AC166" s="172">
        <f t="shared" si="37"/>
        <v>0</v>
      </c>
      <c r="AD166" s="172">
        <f t="shared" si="37"/>
        <v>0</v>
      </c>
      <c r="AE166" s="173">
        <f t="shared" si="37"/>
        <v>1</v>
      </c>
      <c r="AF166" s="174">
        <v>0.0</v>
      </c>
      <c r="AG166" s="70" t="str">
        <f t="shared" si="24"/>
        <v>ok</v>
      </c>
      <c r="AH166" s="120"/>
    </row>
    <row r="167" ht="18.75" hidden="1" customHeight="1" outlineLevel="1">
      <c r="A167" s="121"/>
      <c r="B167" s="122" t="s">
        <v>2777</v>
      </c>
      <c r="C167" s="123" t="s">
        <v>158</v>
      </c>
      <c r="D167" s="124" t="str">
        <f>IFERROR(VLOOKUP(B167,'Danh mục'!$G:$U,15,0),"")</f>
        <v>4730 x 1750 x 2100</v>
      </c>
      <c r="E167" s="124" t="s">
        <v>108</v>
      </c>
      <c r="F167" s="126">
        <f>COUNTIFS('TỔNG KLH + TN'!$B:$B,'01. TH'!$B167,'TỔNG KLH + TN'!$C:$C,'01. TH'!F$4)</f>
        <v>0</v>
      </c>
      <c r="G167" s="126">
        <f>COUNTIFS('TỔNG KLH + TN'!$B:$B,'01. TH'!$B167,'TỔNG KLH + TN'!$C:$C,'01. TH'!G$4)</f>
        <v>0</v>
      </c>
      <c r="H167" s="126">
        <f>COUNTIFS('TỔNG KLH + TN'!$B:$B,'01. TH'!$B167,'TỔNG KLH + TN'!$C:$C,'01. TH'!H$4)</f>
        <v>0</v>
      </c>
      <c r="I167" s="126">
        <f>COUNTIFS('TỔNG KLH + TN'!$B:$B,'01. TH'!$B167,'TỔNG KLH + TN'!$C:$C,'01. TH'!I$4)</f>
        <v>0</v>
      </c>
      <c r="J167" s="126">
        <f>COUNTIFS('TỔNG KLH + TN'!$B:$B,'01. TH'!$B167,'TỔNG KLH + TN'!$C:$C,'01. TH'!J$4)</f>
        <v>0</v>
      </c>
      <c r="K167" s="126">
        <f>COUNTIFS('TỔNG KLH + TN'!$B:$B,'01. TH'!$B167,'TỔNG KLH + TN'!$C:$C,'01. TH'!K$4)</f>
        <v>0</v>
      </c>
      <c r="L167" s="126">
        <f>COUNTIFS('TỔNG KLH + TN'!$B:$B,'01. TH'!$B167,'TỔNG KLH + TN'!$C:$C,'01. TH'!L$4)</f>
        <v>0</v>
      </c>
      <c r="M167" s="126">
        <f>COUNTIFS('TỔNG KLH + TN'!$B:$B,'01. TH'!$B167,'TỔNG KLH + TN'!$C:$C,'01. TH'!M$4)</f>
        <v>0</v>
      </c>
      <c r="N167" s="126">
        <f>COUNTIFS('TỔNG KLH + TN'!$B:$B,'01. TH'!$B167,'TỔNG KLH + TN'!$C:$C,'01. TH'!N$4)</f>
        <v>0</v>
      </c>
      <c r="O167" s="126">
        <f>COUNTIFS('TỔNG KLH + TN'!$B:$B,'01. TH'!$B167,'TỔNG KLH + TN'!$C:$C,'01. TH'!O$4)</f>
        <v>0</v>
      </c>
      <c r="P167" s="126">
        <f>COUNTIFS('TỔNG KLH + TN'!$B:$B,'01. TH'!$B167,'TỔNG KLH + TN'!$C:$C,'01. TH'!P$4)</f>
        <v>0</v>
      </c>
      <c r="Q167" s="126">
        <f>COUNTIFS('TỔNG KLH + TN'!$B:$B,'01. TH'!$B167,'TỔNG KLH + TN'!$C:$C,'01. TH'!Q$4)</f>
        <v>0</v>
      </c>
      <c r="R167" s="126">
        <f>COUNTIFS('TỔNG KLH + TN'!$B:$B,'01. TH'!$B167,'TỔNG KLH + TN'!$C:$C,'01. TH'!R$4)</f>
        <v>0</v>
      </c>
      <c r="S167" s="126">
        <f>COUNTIFS('TỔNG KLH + TN'!$B:$B,'01. TH'!$B167,'TỔNG KLH + TN'!$C:$C,'01. TH'!S$4)</f>
        <v>0</v>
      </c>
      <c r="T167" s="126">
        <f>COUNTIFS('TỔNG KLH + TN'!$B:$B,'01. TH'!$B167,'TỔNG KLH + TN'!$C:$C,'01. TH'!T$4)</f>
        <v>0</v>
      </c>
      <c r="U167" s="126">
        <f>COUNTIFS('TỔNG KLH + TN'!$B:$B,'01. TH'!$B167,'TỔNG KLH + TN'!$C:$C,'01. TH'!U$4)</f>
        <v>0</v>
      </c>
      <c r="V167" s="126">
        <f>COUNTIFS('TỔNG KLH + TN'!$B:$B,'01. TH'!$B167,'TỔNG KLH + TN'!$C:$C,'01. TH'!V$4)</f>
        <v>0</v>
      </c>
      <c r="W167" s="126">
        <f>COUNTIFS('TỔNG KLH + TN'!$B:$B,'01. TH'!$B167,'TỔNG KLH + TN'!$C:$C,'01. TH'!W$4)</f>
        <v>0</v>
      </c>
      <c r="X167" s="126">
        <f>COUNTIFS('TỔNG KLH + TN'!$B:$B,'01. TH'!$B167,'TỔNG KLH + TN'!$C:$C,'01. TH'!X$4)</f>
        <v>0</v>
      </c>
      <c r="Y167" s="126">
        <f>COUNTIFS('TỔNG KLH + TN'!$B:$B,'01. TH'!$B167,'TỔNG KLH + TN'!$C:$C,'01. TH'!Y$4)</f>
        <v>0</v>
      </c>
      <c r="Z167" s="126">
        <f>COUNTIFS('TỔNG KLH + TN'!$B:$B,'01. TH'!$B167,'TỔNG KLH + TN'!$C:$C,'01. TH'!Z$4)</f>
        <v>0</v>
      </c>
      <c r="AA167" s="126">
        <f>COUNTIFS('TỔNG KLH + TN'!$B:$B,'01. TH'!$B167,'TỔNG KLH + TN'!$C:$C,'01. TH'!AA$4)</f>
        <v>1</v>
      </c>
      <c r="AB167" s="126">
        <f>COUNTIFS('TỔNG KLH + TN'!$B:$B,'01. TH'!$B167,'TỔNG KLH + TN'!$C:$C,'01. TH'!AB$4)</f>
        <v>0</v>
      </c>
      <c r="AC167" s="126">
        <f>COUNTIFS('TỔNG KLH + TN'!$B:$B,'01. TH'!$B167,'TỔNG KLH + TN'!$C:$C,'01. TH'!AC$4)</f>
        <v>0</v>
      </c>
      <c r="AD167" s="126">
        <f>COUNTIFS('TỔNG KLH + TN'!$B:$B,'01. TH'!$B167,'TỔNG KLH + TN'!$C:$C,'01. TH'!AD$4)</f>
        <v>0</v>
      </c>
      <c r="AE167" s="136">
        <f>SUM(F167:AD167)</f>
        <v>1</v>
      </c>
      <c r="AF167" s="136"/>
      <c r="AG167" s="70" t="str">
        <f t="shared" si="24"/>
        <v>ok</v>
      </c>
      <c r="AH167" s="124"/>
    </row>
    <row r="168" ht="24.0" customHeight="1" collapsed="1">
      <c r="A168" s="70">
        <v>20.0</v>
      </c>
      <c r="B168" s="73" t="s">
        <v>5744</v>
      </c>
      <c r="C168" s="78"/>
      <c r="D168" s="78" t="str">
        <f>IFERROR(VLOOKUP(B168,'Danh mục'!$G:$U,15,0),"")</f>
        <v/>
      </c>
      <c r="E168" s="78"/>
      <c r="F168" s="172">
        <f t="shared" ref="F168:AE168" si="38">SUM(F169)</f>
        <v>0</v>
      </c>
      <c r="G168" s="172">
        <f t="shared" si="38"/>
        <v>0</v>
      </c>
      <c r="H168" s="172">
        <f t="shared" si="38"/>
        <v>0</v>
      </c>
      <c r="I168" s="172">
        <f t="shared" si="38"/>
        <v>0</v>
      </c>
      <c r="J168" s="172">
        <f t="shared" si="38"/>
        <v>0</v>
      </c>
      <c r="K168" s="172">
        <f t="shared" si="38"/>
        <v>0</v>
      </c>
      <c r="L168" s="172">
        <f t="shared" si="38"/>
        <v>0</v>
      </c>
      <c r="M168" s="172">
        <f t="shared" si="38"/>
        <v>0</v>
      </c>
      <c r="N168" s="172">
        <f t="shared" si="38"/>
        <v>0</v>
      </c>
      <c r="O168" s="172">
        <f t="shared" si="38"/>
        <v>0</v>
      </c>
      <c r="P168" s="172">
        <f t="shared" si="38"/>
        <v>0</v>
      </c>
      <c r="Q168" s="172">
        <f t="shared" si="38"/>
        <v>0</v>
      </c>
      <c r="R168" s="172">
        <f t="shared" si="38"/>
        <v>0</v>
      </c>
      <c r="S168" s="172">
        <f t="shared" si="38"/>
        <v>0</v>
      </c>
      <c r="T168" s="172">
        <f t="shared" si="38"/>
        <v>0</v>
      </c>
      <c r="U168" s="172">
        <f t="shared" si="38"/>
        <v>0</v>
      </c>
      <c r="V168" s="172">
        <f t="shared" si="38"/>
        <v>0</v>
      </c>
      <c r="W168" s="172">
        <f t="shared" si="38"/>
        <v>0</v>
      </c>
      <c r="X168" s="172">
        <f t="shared" si="38"/>
        <v>0</v>
      </c>
      <c r="Y168" s="172">
        <f t="shared" si="38"/>
        <v>0</v>
      </c>
      <c r="Z168" s="172">
        <f t="shared" si="38"/>
        <v>0</v>
      </c>
      <c r="AA168" s="172">
        <f t="shared" si="38"/>
        <v>3</v>
      </c>
      <c r="AB168" s="172">
        <f t="shared" si="38"/>
        <v>0</v>
      </c>
      <c r="AC168" s="172">
        <f t="shared" si="38"/>
        <v>0</v>
      </c>
      <c r="AD168" s="172">
        <f t="shared" si="38"/>
        <v>0</v>
      </c>
      <c r="AE168" s="173">
        <f t="shared" si="38"/>
        <v>3</v>
      </c>
      <c r="AF168" s="174">
        <v>0.0</v>
      </c>
      <c r="AG168" s="70" t="str">
        <f t="shared" si="24"/>
        <v>ok</v>
      </c>
      <c r="AH168" s="120"/>
    </row>
    <row r="169" ht="18.75" hidden="1" customHeight="1" outlineLevel="1">
      <c r="A169" s="210"/>
      <c r="B169" s="122" t="s">
        <v>2761</v>
      </c>
      <c r="C169" s="123" t="s">
        <v>158</v>
      </c>
      <c r="D169" s="124" t="str">
        <f>IFERROR(VLOOKUP(B169,'Danh mục'!$G:$U,15,0),"")</f>
        <v>4730 x 1750 x 2100</v>
      </c>
      <c r="E169" s="124" t="s">
        <v>108</v>
      </c>
      <c r="F169" s="126">
        <f>COUNTIFS('TỔNG KLH + TN'!$B:$B,'01. TH'!$B169,'TỔNG KLH + TN'!$C:$C,'01. TH'!F$4)</f>
        <v>0</v>
      </c>
      <c r="G169" s="126">
        <f>COUNTIFS('TỔNG KLH + TN'!$B:$B,'01. TH'!$B169,'TỔNG KLH + TN'!$C:$C,'01. TH'!G$4)</f>
        <v>0</v>
      </c>
      <c r="H169" s="126">
        <f>COUNTIFS('TỔNG KLH + TN'!$B:$B,'01. TH'!$B169,'TỔNG KLH + TN'!$C:$C,'01. TH'!H$4)</f>
        <v>0</v>
      </c>
      <c r="I169" s="126">
        <f>COUNTIFS('TỔNG KLH + TN'!$B:$B,'01. TH'!$B169,'TỔNG KLH + TN'!$C:$C,'01. TH'!I$4)</f>
        <v>0</v>
      </c>
      <c r="J169" s="126">
        <f>COUNTIFS('TỔNG KLH + TN'!$B:$B,'01. TH'!$B169,'TỔNG KLH + TN'!$C:$C,'01. TH'!J$4)</f>
        <v>0</v>
      </c>
      <c r="K169" s="126">
        <f>COUNTIFS('TỔNG KLH + TN'!$B:$B,'01. TH'!$B169,'TỔNG KLH + TN'!$C:$C,'01. TH'!K$4)</f>
        <v>0</v>
      </c>
      <c r="L169" s="126">
        <f>COUNTIFS('TỔNG KLH + TN'!$B:$B,'01. TH'!$B169,'TỔNG KLH + TN'!$C:$C,'01. TH'!L$4)</f>
        <v>0</v>
      </c>
      <c r="M169" s="126">
        <f>COUNTIFS('TỔNG KLH + TN'!$B:$B,'01. TH'!$B169,'TỔNG KLH + TN'!$C:$C,'01. TH'!M$4)</f>
        <v>0</v>
      </c>
      <c r="N169" s="126">
        <f>COUNTIFS('TỔNG KLH + TN'!$B:$B,'01. TH'!$B169,'TỔNG KLH + TN'!$C:$C,'01. TH'!N$4)</f>
        <v>0</v>
      </c>
      <c r="O169" s="126">
        <f>COUNTIFS('TỔNG KLH + TN'!$B:$B,'01. TH'!$B169,'TỔNG KLH + TN'!$C:$C,'01. TH'!O$4)</f>
        <v>0</v>
      </c>
      <c r="P169" s="126">
        <f>COUNTIFS('TỔNG KLH + TN'!$B:$B,'01. TH'!$B169,'TỔNG KLH + TN'!$C:$C,'01. TH'!P$4)</f>
        <v>0</v>
      </c>
      <c r="Q169" s="126">
        <f>COUNTIFS('TỔNG KLH + TN'!$B:$B,'01. TH'!$B169,'TỔNG KLH + TN'!$C:$C,'01. TH'!Q$4)</f>
        <v>0</v>
      </c>
      <c r="R169" s="126">
        <f>COUNTIFS('TỔNG KLH + TN'!$B:$B,'01. TH'!$B169,'TỔNG KLH + TN'!$C:$C,'01. TH'!R$4)</f>
        <v>0</v>
      </c>
      <c r="S169" s="126">
        <f>COUNTIFS('TỔNG KLH + TN'!$B:$B,'01. TH'!$B169,'TỔNG KLH + TN'!$C:$C,'01. TH'!S$4)</f>
        <v>0</v>
      </c>
      <c r="T169" s="126">
        <f>COUNTIFS('TỔNG KLH + TN'!$B:$B,'01. TH'!$B169,'TỔNG KLH + TN'!$C:$C,'01. TH'!T$4)</f>
        <v>0</v>
      </c>
      <c r="U169" s="126">
        <f>COUNTIFS('TỔNG KLH + TN'!$B:$B,'01. TH'!$B169,'TỔNG KLH + TN'!$C:$C,'01. TH'!U$4)</f>
        <v>0</v>
      </c>
      <c r="V169" s="126">
        <f>COUNTIFS('TỔNG KLH + TN'!$B:$B,'01. TH'!$B169,'TỔNG KLH + TN'!$C:$C,'01. TH'!V$4)</f>
        <v>0</v>
      </c>
      <c r="W169" s="126">
        <f>COUNTIFS('TỔNG KLH + TN'!$B:$B,'01. TH'!$B169,'TỔNG KLH + TN'!$C:$C,'01. TH'!W$4)</f>
        <v>0</v>
      </c>
      <c r="X169" s="126">
        <f>COUNTIFS('TỔNG KLH + TN'!$B:$B,'01. TH'!$B169,'TỔNG KLH + TN'!$C:$C,'01. TH'!X$4)</f>
        <v>0</v>
      </c>
      <c r="Y169" s="126">
        <f>COUNTIFS('TỔNG KLH + TN'!$B:$B,'01. TH'!$B169,'TỔNG KLH + TN'!$C:$C,'01. TH'!Y$4)</f>
        <v>0</v>
      </c>
      <c r="Z169" s="126">
        <f>COUNTIFS('TỔNG KLH + TN'!$B:$B,'01. TH'!$B169,'TỔNG KLH + TN'!$C:$C,'01. TH'!Z$4)</f>
        <v>0</v>
      </c>
      <c r="AA169" s="126">
        <f>COUNTIFS('TỔNG KLH + TN'!$B:$B,'01. TH'!$B169,'TỔNG KLH + TN'!$C:$C,'01. TH'!AA$4)</f>
        <v>3</v>
      </c>
      <c r="AB169" s="126">
        <f>COUNTIFS('TỔNG KLH + TN'!$B:$B,'01. TH'!$B169,'TỔNG KLH + TN'!$C:$C,'01. TH'!AB$4)</f>
        <v>0</v>
      </c>
      <c r="AC169" s="126">
        <f>COUNTIFS('TỔNG KLH + TN'!$B:$B,'01. TH'!$B169,'TỔNG KLH + TN'!$C:$C,'01. TH'!AC$4)</f>
        <v>0</v>
      </c>
      <c r="AD169" s="126">
        <f>COUNTIFS('TỔNG KLH + TN'!$B:$B,'01. TH'!$B169,'TỔNG KLH + TN'!$C:$C,'01. TH'!AD$4)</f>
        <v>0</v>
      </c>
      <c r="AE169" s="162">
        <f>SUM(F169:AD169)</f>
        <v>3</v>
      </c>
      <c r="AF169" s="162"/>
      <c r="AG169" s="70" t="str">
        <f t="shared" si="24"/>
        <v>ok</v>
      </c>
      <c r="AH169" s="240"/>
    </row>
    <row r="170" ht="24.0" customHeight="1" collapsed="1">
      <c r="A170" s="70">
        <v>21.0</v>
      </c>
      <c r="B170" s="73" t="s">
        <v>5747</v>
      </c>
      <c r="C170" s="78"/>
      <c r="D170" s="78" t="str">
        <f>IFERROR(VLOOKUP(B170,'Danh mục'!$G:$U,15,0),"")</f>
        <v/>
      </c>
      <c r="E170" s="78"/>
      <c r="F170" s="172">
        <f t="shared" ref="F170:AE170" si="39">SUM(F171:F179)</f>
        <v>0</v>
      </c>
      <c r="G170" s="172">
        <f t="shared" si="39"/>
        <v>0</v>
      </c>
      <c r="H170" s="172">
        <f t="shared" si="39"/>
        <v>0</v>
      </c>
      <c r="I170" s="172">
        <f t="shared" si="39"/>
        <v>0</v>
      </c>
      <c r="J170" s="172">
        <f t="shared" si="39"/>
        <v>0</v>
      </c>
      <c r="K170" s="172">
        <f t="shared" si="39"/>
        <v>0</v>
      </c>
      <c r="L170" s="172">
        <f t="shared" si="39"/>
        <v>0</v>
      </c>
      <c r="M170" s="172">
        <f t="shared" si="39"/>
        <v>0</v>
      </c>
      <c r="N170" s="172">
        <f t="shared" si="39"/>
        <v>0</v>
      </c>
      <c r="O170" s="172">
        <f t="shared" si="39"/>
        <v>0</v>
      </c>
      <c r="P170" s="172">
        <f t="shared" si="39"/>
        <v>0</v>
      </c>
      <c r="Q170" s="172">
        <f t="shared" si="39"/>
        <v>0</v>
      </c>
      <c r="R170" s="172">
        <f t="shared" si="39"/>
        <v>0</v>
      </c>
      <c r="S170" s="172">
        <f t="shared" si="39"/>
        <v>0</v>
      </c>
      <c r="T170" s="172">
        <f t="shared" si="39"/>
        <v>0</v>
      </c>
      <c r="U170" s="172">
        <f t="shared" si="39"/>
        <v>0</v>
      </c>
      <c r="V170" s="172">
        <f t="shared" si="39"/>
        <v>0</v>
      </c>
      <c r="W170" s="172">
        <f t="shared" si="39"/>
        <v>2</v>
      </c>
      <c r="X170" s="172">
        <f t="shared" si="39"/>
        <v>0</v>
      </c>
      <c r="Y170" s="172">
        <f t="shared" si="39"/>
        <v>0</v>
      </c>
      <c r="Z170" s="172">
        <f t="shared" si="39"/>
        <v>0</v>
      </c>
      <c r="AA170" s="172">
        <f t="shared" si="39"/>
        <v>14</v>
      </c>
      <c r="AB170" s="172">
        <f t="shared" si="39"/>
        <v>0</v>
      </c>
      <c r="AC170" s="172">
        <f t="shared" si="39"/>
        <v>0</v>
      </c>
      <c r="AD170" s="172">
        <f t="shared" si="39"/>
        <v>0</v>
      </c>
      <c r="AE170" s="173">
        <f t="shared" si="39"/>
        <v>16</v>
      </c>
      <c r="AF170" s="174">
        <v>0.0</v>
      </c>
      <c r="AG170" s="70" t="str">
        <f t="shared" si="24"/>
        <v>ok</v>
      </c>
      <c r="AH170" s="120"/>
    </row>
    <row r="171" ht="18.75" hidden="1" customHeight="1" outlineLevel="1">
      <c r="A171" s="210"/>
      <c r="B171" s="122" t="s">
        <v>2663</v>
      </c>
      <c r="C171" s="123" t="s">
        <v>682</v>
      </c>
      <c r="D171" s="124" t="str">
        <f>IFERROR(VLOOKUP(B171,'Danh mục'!$G:$U,15,0),"")</f>
        <v/>
      </c>
      <c r="E171" s="124" t="s">
        <v>108</v>
      </c>
      <c r="F171" s="126">
        <f>COUNTIFS('TỔNG KLH + TN'!$B:$B,'01. TH'!$B171,'TỔNG KLH + TN'!$C:$C,'01. TH'!F$4)</f>
        <v>0</v>
      </c>
      <c r="G171" s="126">
        <f>COUNTIFS('TỔNG KLH + TN'!$B:$B,'01. TH'!$B171,'TỔNG KLH + TN'!$C:$C,'01. TH'!G$4)</f>
        <v>0</v>
      </c>
      <c r="H171" s="126">
        <f>COUNTIFS('TỔNG KLH + TN'!$B:$B,'01. TH'!$B171,'TỔNG KLH + TN'!$C:$C,'01. TH'!H$4)</f>
        <v>0</v>
      </c>
      <c r="I171" s="126">
        <f>COUNTIFS('TỔNG KLH + TN'!$B:$B,'01. TH'!$B171,'TỔNG KLH + TN'!$C:$C,'01. TH'!I$4)</f>
        <v>0</v>
      </c>
      <c r="J171" s="126">
        <f>COUNTIFS('TỔNG KLH + TN'!$B:$B,'01. TH'!$B171,'TỔNG KLH + TN'!$C:$C,'01. TH'!J$4)</f>
        <v>0</v>
      </c>
      <c r="K171" s="126">
        <f>COUNTIFS('TỔNG KLH + TN'!$B:$B,'01. TH'!$B171,'TỔNG KLH + TN'!$C:$C,'01. TH'!K$4)</f>
        <v>0</v>
      </c>
      <c r="L171" s="126">
        <f>COUNTIFS('TỔNG KLH + TN'!$B:$B,'01. TH'!$B171,'TỔNG KLH + TN'!$C:$C,'01. TH'!L$4)</f>
        <v>0</v>
      </c>
      <c r="M171" s="126">
        <f>COUNTIFS('TỔNG KLH + TN'!$B:$B,'01. TH'!$B171,'TỔNG KLH + TN'!$C:$C,'01. TH'!M$4)</f>
        <v>0</v>
      </c>
      <c r="N171" s="126">
        <f>COUNTIFS('TỔNG KLH + TN'!$B:$B,'01. TH'!$B171,'TỔNG KLH + TN'!$C:$C,'01. TH'!N$4)</f>
        <v>0</v>
      </c>
      <c r="O171" s="126">
        <f>COUNTIFS('TỔNG KLH + TN'!$B:$B,'01. TH'!$B171,'TỔNG KLH + TN'!$C:$C,'01. TH'!O$4)</f>
        <v>0</v>
      </c>
      <c r="P171" s="126">
        <f>COUNTIFS('TỔNG KLH + TN'!$B:$B,'01. TH'!$B171,'TỔNG KLH + TN'!$C:$C,'01. TH'!P$4)</f>
        <v>0</v>
      </c>
      <c r="Q171" s="126">
        <f>COUNTIFS('TỔNG KLH + TN'!$B:$B,'01. TH'!$B171,'TỔNG KLH + TN'!$C:$C,'01. TH'!Q$4)</f>
        <v>0</v>
      </c>
      <c r="R171" s="126">
        <f>COUNTIFS('TỔNG KLH + TN'!$B:$B,'01. TH'!$B171,'TỔNG KLH + TN'!$C:$C,'01. TH'!R$4)</f>
        <v>0</v>
      </c>
      <c r="S171" s="126">
        <f>COUNTIFS('TỔNG KLH + TN'!$B:$B,'01. TH'!$B171,'TỔNG KLH + TN'!$C:$C,'01. TH'!S$4)</f>
        <v>0</v>
      </c>
      <c r="T171" s="126">
        <f>COUNTIFS('TỔNG KLH + TN'!$B:$B,'01. TH'!$B171,'TỔNG KLH + TN'!$C:$C,'01. TH'!T$4)</f>
        <v>0</v>
      </c>
      <c r="U171" s="126">
        <f>COUNTIFS('TỔNG KLH + TN'!$B:$B,'01. TH'!$B171,'TỔNG KLH + TN'!$C:$C,'01. TH'!U$4)</f>
        <v>0</v>
      </c>
      <c r="V171" s="126">
        <f>COUNTIFS('TỔNG KLH + TN'!$B:$B,'01. TH'!$B171,'TỔNG KLH + TN'!$C:$C,'01. TH'!V$4)</f>
        <v>0</v>
      </c>
      <c r="W171" s="126">
        <f>COUNTIFS('TỔNG KLH + TN'!$B:$B,'01. TH'!$B171,'TỔNG KLH + TN'!$C:$C,'01. TH'!W$4)</f>
        <v>0</v>
      </c>
      <c r="X171" s="126">
        <f>COUNTIFS('TỔNG KLH + TN'!$B:$B,'01. TH'!$B171,'TỔNG KLH + TN'!$C:$C,'01. TH'!X$4)</f>
        <v>0</v>
      </c>
      <c r="Y171" s="126">
        <f>COUNTIFS('TỔNG KLH + TN'!$B:$B,'01. TH'!$B171,'TỔNG KLH + TN'!$C:$C,'01. TH'!Y$4)</f>
        <v>0</v>
      </c>
      <c r="Z171" s="126">
        <f>COUNTIFS('TỔNG KLH + TN'!$B:$B,'01. TH'!$B171,'TỔNG KLH + TN'!$C:$C,'01. TH'!Z$4)</f>
        <v>0</v>
      </c>
      <c r="AA171" s="126">
        <f>COUNTIFS('TỔNG KLH + TN'!$B:$B,'01. TH'!$B171,'TỔNG KLH + TN'!$C:$C,'01. TH'!AA$4)</f>
        <v>7</v>
      </c>
      <c r="AB171" s="126">
        <f>COUNTIFS('TỔNG KLH + TN'!$B:$B,'01. TH'!$B171,'TỔNG KLH + TN'!$C:$C,'01. TH'!AB$4)</f>
        <v>0</v>
      </c>
      <c r="AC171" s="126">
        <f>COUNTIFS('TỔNG KLH + TN'!$B:$B,'01. TH'!$B171,'TỔNG KLH + TN'!$C:$C,'01. TH'!AC$4)</f>
        <v>0</v>
      </c>
      <c r="AD171" s="126">
        <f>COUNTIFS('TỔNG KLH + TN'!$B:$B,'01. TH'!$B171,'TỔNG KLH + TN'!$C:$C,'01. TH'!AD$4)</f>
        <v>0</v>
      </c>
      <c r="AE171" s="162">
        <f t="shared" ref="AE171:AE179" si="40">SUM(F171:AD171)</f>
        <v>7</v>
      </c>
      <c r="AF171" s="162"/>
      <c r="AG171" s="70" t="str">
        <f t="shared" si="24"/>
        <v>ok</v>
      </c>
      <c r="AH171" s="240"/>
    </row>
    <row r="172" ht="18.75" hidden="1" customHeight="1" outlineLevel="1">
      <c r="A172" s="210"/>
      <c r="B172" s="122" t="s">
        <v>2694</v>
      </c>
      <c r="C172" s="123" t="s">
        <v>682</v>
      </c>
      <c r="D172" s="124" t="str">
        <f>IFERROR(VLOOKUP(B172,'Danh mục'!$G:$U,15,0),"")</f>
        <v/>
      </c>
      <c r="E172" s="124" t="s">
        <v>108</v>
      </c>
      <c r="F172" s="126">
        <f>COUNTIFS('TỔNG KLH + TN'!$B:$B,'01. TH'!$B172,'TỔNG KLH + TN'!$C:$C,'01. TH'!F$4)</f>
        <v>0</v>
      </c>
      <c r="G172" s="126">
        <f>COUNTIFS('TỔNG KLH + TN'!$B:$B,'01. TH'!$B172,'TỔNG KLH + TN'!$C:$C,'01. TH'!G$4)</f>
        <v>0</v>
      </c>
      <c r="H172" s="126">
        <f>COUNTIFS('TỔNG KLH + TN'!$B:$B,'01. TH'!$B172,'TỔNG KLH + TN'!$C:$C,'01. TH'!H$4)</f>
        <v>0</v>
      </c>
      <c r="I172" s="126">
        <f>COUNTIFS('TỔNG KLH + TN'!$B:$B,'01. TH'!$B172,'TỔNG KLH + TN'!$C:$C,'01. TH'!I$4)</f>
        <v>0</v>
      </c>
      <c r="J172" s="126">
        <f>COUNTIFS('TỔNG KLH + TN'!$B:$B,'01. TH'!$B172,'TỔNG KLH + TN'!$C:$C,'01. TH'!J$4)</f>
        <v>0</v>
      </c>
      <c r="K172" s="126">
        <f>COUNTIFS('TỔNG KLH + TN'!$B:$B,'01. TH'!$B172,'TỔNG KLH + TN'!$C:$C,'01. TH'!K$4)</f>
        <v>0</v>
      </c>
      <c r="L172" s="126">
        <f>COUNTIFS('TỔNG KLH + TN'!$B:$B,'01. TH'!$B172,'TỔNG KLH + TN'!$C:$C,'01. TH'!L$4)</f>
        <v>0</v>
      </c>
      <c r="M172" s="126">
        <f>COUNTIFS('TỔNG KLH + TN'!$B:$B,'01. TH'!$B172,'TỔNG KLH + TN'!$C:$C,'01. TH'!M$4)</f>
        <v>0</v>
      </c>
      <c r="N172" s="126">
        <f>COUNTIFS('TỔNG KLH + TN'!$B:$B,'01. TH'!$B172,'TỔNG KLH + TN'!$C:$C,'01. TH'!N$4)</f>
        <v>0</v>
      </c>
      <c r="O172" s="126">
        <f>COUNTIFS('TỔNG KLH + TN'!$B:$B,'01. TH'!$B172,'TỔNG KLH + TN'!$C:$C,'01. TH'!O$4)</f>
        <v>0</v>
      </c>
      <c r="P172" s="126">
        <f>COUNTIFS('TỔNG KLH + TN'!$B:$B,'01. TH'!$B172,'TỔNG KLH + TN'!$C:$C,'01. TH'!P$4)</f>
        <v>0</v>
      </c>
      <c r="Q172" s="126">
        <f>COUNTIFS('TỔNG KLH + TN'!$B:$B,'01. TH'!$B172,'TỔNG KLH + TN'!$C:$C,'01. TH'!Q$4)</f>
        <v>0</v>
      </c>
      <c r="R172" s="126">
        <f>COUNTIFS('TỔNG KLH + TN'!$B:$B,'01. TH'!$B172,'TỔNG KLH + TN'!$C:$C,'01. TH'!R$4)</f>
        <v>0</v>
      </c>
      <c r="S172" s="126">
        <f>COUNTIFS('TỔNG KLH + TN'!$B:$B,'01. TH'!$B172,'TỔNG KLH + TN'!$C:$C,'01. TH'!S$4)</f>
        <v>0</v>
      </c>
      <c r="T172" s="126">
        <f>COUNTIFS('TỔNG KLH + TN'!$B:$B,'01. TH'!$B172,'TỔNG KLH + TN'!$C:$C,'01. TH'!T$4)</f>
        <v>0</v>
      </c>
      <c r="U172" s="126">
        <f>COUNTIFS('TỔNG KLH + TN'!$B:$B,'01. TH'!$B172,'TỔNG KLH + TN'!$C:$C,'01. TH'!U$4)</f>
        <v>0</v>
      </c>
      <c r="V172" s="126">
        <f>COUNTIFS('TỔNG KLH + TN'!$B:$B,'01. TH'!$B172,'TỔNG KLH + TN'!$C:$C,'01. TH'!V$4)</f>
        <v>0</v>
      </c>
      <c r="W172" s="126">
        <f>COUNTIFS('TỔNG KLH + TN'!$B:$B,'01. TH'!$B172,'TỔNG KLH + TN'!$C:$C,'01. TH'!W$4)</f>
        <v>0</v>
      </c>
      <c r="X172" s="126">
        <f>COUNTIFS('TỔNG KLH + TN'!$B:$B,'01. TH'!$B172,'TỔNG KLH + TN'!$C:$C,'01. TH'!X$4)</f>
        <v>0</v>
      </c>
      <c r="Y172" s="126">
        <f>COUNTIFS('TỔNG KLH + TN'!$B:$B,'01. TH'!$B172,'TỔNG KLH + TN'!$C:$C,'01. TH'!Y$4)</f>
        <v>0</v>
      </c>
      <c r="Z172" s="126">
        <f>COUNTIFS('TỔNG KLH + TN'!$B:$B,'01. TH'!$B172,'TỔNG KLH + TN'!$C:$C,'01. TH'!Z$4)</f>
        <v>0</v>
      </c>
      <c r="AA172" s="126">
        <f>COUNTIFS('TỔNG KLH + TN'!$B:$B,'01. TH'!$B172,'TỔNG KLH + TN'!$C:$C,'01. TH'!AA$4)</f>
        <v>2</v>
      </c>
      <c r="AB172" s="126">
        <f>COUNTIFS('TỔNG KLH + TN'!$B:$B,'01. TH'!$B172,'TỔNG KLH + TN'!$C:$C,'01. TH'!AB$4)</f>
        <v>0</v>
      </c>
      <c r="AC172" s="126">
        <f>COUNTIFS('TỔNG KLH + TN'!$B:$B,'01. TH'!$B172,'TỔNG KLH + TN'!$C:$C,'01. TH'!AC$4)</f>
        <v>0</v>
      </c>
      <c r="AD172" s="126">
        <f>COUNTIFS('TỔNG KLH + TN'!$B:$B,'01. TH'!$B172,'TỔNG KLH + TN'!$C:$C,'01. TH'!AD$4)</f>
        <v>0</v>
      </c>
      <c r="AE172" s="162">
        <f t="shared" si="40"/>
        <v>2</v>
      </c>
      <c r="AF172" s="162"/>
      <c r="AG172" s="70" t="str">
        <f t="shared" si="24"/>
        <v>ok</v>
      </c>
      <c r="AH172" s="240"/>
    </row>
    <row r="173" ht="18.75" hidden="1" customHeight="1" outlineLevel="1">
      <c r="A173" s="210"/>
      <c r="B173" s="122" t="s">
        <v>2707</v>
      </c>
      <c r="C173" s="123" t="s">
        <v>682</v>
      </c>
      <c r="D173" s="124" t="str">
        <f>IFERROR(VLOOKUP(B173,'Danh mục'!$G:$U,15,0),"")</f>
        <v/>
      </c>
      <c r="E173" s="124" t="s">
        <v>108</v>
      </c>
      <c r="F173" s="126">
        <f>COUNTIFS('TỔNG KLH + TN'!$B:$B,'01. TH'!$B173,'TỔNG KLH + TN'!$C:$C,'01. TH'!F$4)</f>
        <v>0</v>
      </c>
      <c r="G173" s="126">
        <f>COUNTIFS('TỔNG KLH + TN'!$B:$B,'01. TH'!$B173,'TỔNG KLH + TN'!$C:$C,'01. TH'!G$4)</f>
        <v>0</v>
      </c>
      <c r="H173" s="126">
        <f>COUNTIFS('TỔNG KLH + TN'!$B:$B,'01. TH'!$B173,'TỔNG KLH + TN'!$C:$C,'01. TH'!H$4)</f>
        <v>0</v>
      </c>
      <c r="I173" s="126">
        <f>COUNTIFS('TỔNG KLH + TN'!$B:$B,'01. TH'!$B173,'TỔNG KLH + TN'!$C:$C,'01. TH'!I$4)</f>
        <v>0</v>
      </c>
      <c r="J173" s="126">
        <f>COUNTIFS('TỔNG KLH + TN'!$B:$B,'01. TH'!$B173,'TỔNG KLH + TN'!$C:$C,'01. TH'!J$4)</f>
        <v>0</v>
      </c>
      <c r="K173" s="126">
        <f>COUNTIFS('TỔNG KLH + TN'!$B:$B,'01. TH'!$B173,'TỔNG KLH + TN'!$C:$C,'01. TH'!K$4)</f>
        <v>0</v>
      </c>
      <c r="L173" s="126">
        <f>COUNTIFS('TỔNG KLH + TN'!$B:$B,'01. TH'!$B173,'TỔNG KLH + TN'!$C:$C,'01. TH'!L$4)</f>
        <v>0</v>
      </c>
      <c r="M173" s="126">
        <f>COUNTIFS('TỔNG KLH + TN'!$B:$B,'01. TH'!$B173,'TỔNG KLH + TN'!$C:$C,'01. TH'!M$4)</f>
        <v>0</v>
      </c>
      <c r="N173" s="126">
        <f>COUNTIFS('TỔNG KLH + TN'!$B:$B,'01. TH'!$B173,'TỔNG KLH + TN'!$C:$C,'01. TH'!N$4)</f>
        <v>0</v>
      </c>
      <c r="O173" s="126">
        <f>COUNTIFS('TỔNG KLH + TN'!$B:$B,'01. TH'!$B173,'TỔNG KLH + TN'!$C:$C,'01. TH'!O$4)</f>
        <v>0</v>
      </c>
      <c r="P173" s="126">
        <f>COUNTIFS('TỔNG KLH + TN'!$B:$B,'01. TH'!$B173,'TỔNG KLH + TN'!$C:$C,'01. TH'!P$4)</f>
        <v>0</v>
      </c>
      <c r="Q173" s="126">
        <f>COUNTIFS('TỔNG KLH + TN'!$B:$B,'01. TH'!$B173,'TỔNG KLH + TN'!$C:$C,'01. TH'!Q$4)</f>
        <v>0</v>
      </c>
      <c r="R173" s="126">
        <f>COUNTIFS('TỔNG KLH + TN'!$B:$B,'01. TH'!$B173,'TỔNG KLH + TN'!$C:$C,'01. TH'!R$4)</f>
        <v>0</v>
      </c>
      <c r="S173" s="126">
        <f>COUNTIFS('TỔNG KLH + TN'!$B:$B,'01. TH'!$B173,'TỔNG KLH + TN'!$C:$C,'01. TH'!S$4)</f>
        <v>0</v>
      </c>
      <c r="T173" s="126">
        <f>COUNTIFS('TỔNG KLH + TN'!$B:$B,'01. TH'!$B173,'TỔNG KLH + TN'!$C:$C,'01. TH'!T$4)</f>
        <v>0</v>
      </c>
      <c r="U173" s="126">
        <f>COUNTIFS('TỔNG KLH + TN'!$B:$B,'01. TH'!$B173,'TỔNG KLH + TN'!$C:$C,'01. TH'!U$4)</f>
        <v>0</v>
      </c>
      <c r="V173" s="126">
        <f>COUNTIFS('TỔNG KLH + TN'!$B:$B,'01. TH'!$B173,'TỔNG KLH + TN'!$C:$C,'01. TH'!V$4)</f>
        <v>0</v>
      </c>
      <c r="W173" s="126">
        <f>COUNTIFS('TỔNG KLH + TN'!$B:$B,'01. TH'!$B173,'TỔNG KLH + TN'!$C:$C,'01. TH'!W$4)</f>
        <v>0</v>
      </c>
      <c r="X173" s="126">
        <f>COUNTIFS('TỔNG KLH + TN'!$B:$B,'01. TH'!$B173,'TỔNG KLH + TN'!$C:$C,'01. TH'!X$4)</f>
        <v>0</v>
      </c>
      <c r="Y173" s="126">
        <f>COUNTIFS('TỔNG KLH + TN'!$B:$B,'01. TH'!$B173,'TỔNG KLH + TN'!$C:$C,'01. TH'!Y$4)</f>
        <v>0</v>
      </c>
      <c r="Z173" s="126">
        <f>COUNTIFS('TỔNG KLH + TN'!$B:$B,'01. TH'!$B173,'TỔNG KLH + TN'!$C:$C,'01. TH'!Z$4)</f>
        <v>0</v>
      </c>
      <c r="AA173" s="126">
        <f>COUNTIFS('TỔNG KLH + TN'!$B:$B,'01. TH'!$B173,'TỔNG KLH + TN'!$C:$C,'01. TH'!AA$4)</f>
        <v>1</v>
      </c>
      <c r="AB173" s="126">
        <f>COUNTIFS('TỔNG KLH + TN'!$B:$B,'01. TH'!$B173,'TỔNG KLH + TN'!$C:$C,'01. TH'!AB$4)</f>
        <v>0</v>
      </c>
      <c r="AC173" s="126">
        <f>COUNTIFS('TỔNG KLH + TN'!$B:$B,'01. TH'!$B173,'TỔNG KLH + TN'!$C:$C,'01. TH'!AC$4)</f>
        <v>0</v>
      </c>
      <c r="AD173" s="126">
        <f>COUNTIFS('TỔNG KLH + TN'!$B:$B,'01. TH'!$B173,'TỔNG KLH + TN'!$C:$C,'01. TH'!AD$4)</f>
        <v>0</v>
      </c>
      <c r="AE173" s="162">
        <f t="shared" si="40"/>
        <v>1</v>
      </c>
      <c r="AF173" s="162"/>
      <c r="AG173" s="70" t="str">
        <f t="shared" si="24"/>
        <v>ok</v>
      </c>
      <c r="AH173" s="240"/>
    </row>
    <row r="174" ht="18.75" hidden="1" customHeight="1" outlineLevel="1">
      <c r="A174" s="210"/>
      <c r="B174" s="122" t="s">
        <v>2714</v>
      </c>
      <c r="C174" s="123" t="s">
        <v>682</v>
      </c>
      <c r="D174" s="124" t="str">
        <f>IFERROR(VLOOKUP(B174,'Danh mục'!$G:$U,15,0),"")</f>
        <v/>
      </c>
      <c r="E174" s="124" t="s">
        <v>108</v>
      </c>
      <c r="F174" s="126">
        <f>COUNTIFS('TỔNG KLH + TN'!$B:$B,'01. TH'!$B174,'TỔNG KLH + TN'!$C:$C,'01. TH'!F$4)</f>
        <v>0</v>
      </c>
      <c r="G174" s="126">
        <f>COUNTIFS('TỔNG KLH + TN'!$B:$B,'01. TH'!$B174,'TỔNG KLH + TN'!$C:$C,'01. TH'!G$4)</f>
        <v>0</v>
      </c>
      <c r="H174" s="126">
        <f>COUNTIFS('TỔNG KLH + TN'!$B:$B,'01. TH'!$B174,'TỔNG KLH + TN'!$C:$C,'01. TH'!H$4)</f>
        <v>0</v>
      </c>
      <c r="I174" s="126">
        <f>COUNTIFS('TỔNG KLH + TN'!$B:$B,'01. TH'!$B174,'TỔNG KLH + TN'!$C:$C,'01. TH'!I$4)</f>
        <v>0</v>
      </c>
      <c r="J174" s="126">
        <f>COUNTIFS('TỔNG KLH + TN'!$B:$B,'01. TH'!$B174,'TỔNG KLH + TN'!$C:$C,'01. TH'!J$4)</f>
        <v>0</v>
      </c>
      <c r="K174" s="126">
        <f>COUNTIFS('TỔNG KLH + TN'!$B:$B,'01. TH'!$B174,'TỔNG KLH + TN'!$C:$C,'01. TH'!K$4)</f>
        <v>0</v>
      </c>
      <c r="L174" s="126">
        <f>COUNTIFS('TỔNG KLH + TN'!$B:$B,'01. TH'!$B174,'TỔNG KLH + TN'!$C:$C,'01. TH'!L$4)</f>
        <v>0</v>
      </c>
      <c r="M174" s="126">
        <f>COUNTIFS('TỔNG KLH + TN'!$B:$B,'01. TH'!$B174,'TỔNG KLH + TN'!$C:$C,'01. TH'!M$4)</f>
        <v>0</v>
      </c>
      <c r="N174" s="126">
        <f>COUNTIFS('TỔNG KLH + TN'!$B:$B,'01. TH'!$B174,'TỔNG KLH + TN'!$C:$C,'01. TH'!N$4)</f>
        <v>0</v>
      </c>
      <c r="O174" s="126">
        <f>COUNTIFS('TỔNG KLH + TN'!$B:$B,'01. TH'!$B174,'TỔNG KLH + TN'!$C:$C,'01. TH'!O$4)</f>
        <v>0</v>
      </c>
      <c r="P174" s="126">
        <f>COUNTIFS('TỔNG KLH + TN'!$B:$B,'01. TH'!$B174,'TỔNG KLH + TN'!$C:$C,'01. TH'!P$4)</f>
        <v>0</v>
      </c>
      <c r="Q174" s="126">
        <f>COUNTIFS('TỔNG KLH + TN'!$B:$B,'01. TH'!$B174,'TỔNG KLH + TN'!$C:$C,'01. TH'!Q$4)</f>
        <v>0</v>
      </c>
      <c r="R174" s="126">
        <f>COUNTIFS('TỔNG KLH + TN'!$B:$B,'01. TH'!$B174,'TỔNG KLH + TN'!$C:$C,'01. TH'!R$4)</f>
        <v>0</v>
      </c>
      <c r="S174" s="126">
        <f>COUNTIFS('TỔNG KLH + TN'!$B:$B,'01. TH'!$B174,'TỔNG KLH + TN'!$C:$C,'01. TH'!S$4)</f>
        <v>0</v>
      </c>
      <c r="T174" s="126">
        <f>COUNTIFS('TỔNG KLH + TN'!$B:$B,'01. TH'!$B174,'TỔNG KLH + TN'!$C:$C,'01. TH'!T$4)</f>
        <v>0</v>
      </c>
      <c r="U174" s="126">
        <f>COUNTIFS('TỔNG KLH + TN'!$B:$B,'01. TH'!$B174,'TỔNG KLH + TN'!$C:$C,'01. TH'!U$4)</f>
        <v>0</v>
      </c>
      <c r="V174" s="126">
        <f>COUNTIFS('TỔNG KLH + TN'!$B:$B,'01. TH'!$B174,'TỔNG KLH + TN'!$C:$C,'01. TH'!V$4)</f>
        <v>0</v>
      </c>
      <c r="W174" s="126">
        <f>COUNTIFS('TỔNG KLH + TN'!$B:$B,'01. TH'!$B174,'TỔNG KLH + TN'!$C:$C,'01. TH'!W$4)</f>
        <v>0</v>
      </c>
      <c r="X174" s="126">
        <f>COUNTIFS('TỔNG KLH + TN'!$B:$B,'01. TH'!$B174,'TỔNG KLH + TN'!$C:$C,'01. TH'!X$4)</f>
        <v>0</v>
      </c>
      <c r="Y174" s="126">
        <f>COUNTIFS('TỔNG KLH + TN'!$B:$B,'01. TH'!$B174,'TỔNG KLH + TN'!$C:$C,'01. TH'!Y$4)</f>
        <v>0</v>
      </c>
      <c r="Z174" s="126">
        <f>COUNTIFS('TỔNG KLH + TN'!$B:$B,'01. TH'!$B174,'TỔNG KLH + TN'!$C:$C,'01. TH'!Z$4)</f>
        <v>0</v>
      </c>
      <c r="AA174" s="126">
        <f>COUNTIFS('TỔNG KLH + TN'!$B:$B,'01. TH'!$B174,'TỔNG KLH + TN'!$C:$C,'01. TH'!AA$4)</f>
        <v>1</v>
      </c>
      <c r="AB174" s="126">
        <f>COUNTIFS('TỔNG KLH + TN'!$B:$B,'01. TH'!$B174,'TỔNG KLH + TN'!$C:$C,'01. TH'!AB$4)</f>
        <v>0</v>
      </c>
      <c r="AC174" s="126">
        <f>COUNTIFS('TỔNG KLH + TN'!$B:$B,'01. TH'!$B174,'TỔNG KLH + TN'!$C:$C,'01. TH'!AC$4)</f>
        <v>0</v>
      </c>
      <c r="AD174" s="126">
        <f>COUNTIFS('TỔNG KLH + TN'!$B:$B,'01. TH'!$B174,'TỔNG KLH + TN'!$C:$C,'01. TH'!AD$4)</f>
        <v>0</v>
      </c>
      <c r="AE174" s="162">
        <f t="shared" si="40"/>
        <v>1</v>
      </c>
      <c r="AF174" s="162"/>
      <c r="AG174" s="70" t="str">
        <f t="shared" si="24"/>
        <v>ok</v>
      </c>
      <c r="AH174" s="240"/>
    </row>
    <row r="175" ht="18.75" hidden="1" customHeight="1" outlineLevel="1">
      <c r="A175" s="210"/>
      <c r="B175" s="122" t="s">
        <v>2724</v>
      </c>
      <c r="C175" s="123" t="s">
        <v>682</v>
      </c>
      <c r="D175" s="124" t="str">
        <f>IFERROR(VLOOKUP(B175,'Danh mục'!$G:$U,15,0),"")</f>
        <v/>
      </c>
      <c r="E175" s="124" t="s">
        <v>108</v>
      </c>
      <c r="F175" s="126">
        <f>COUNTIFS('TỔNG KLH + TN'!$B:$B,'01. TH'!$B175,'TỔNG KLH + TN'!$C:$C,'01. TH'!F$4)</f>
        <v>0</v>
      </c>
      <c r="G175" s="126">
        <f>COUNTIFS('TỔNG KLH + TN'!$B:$B,'01. TH'!$B175,'TỔNG KLH + TN'!$C:$C,'01. TH'!G$4)</f>
        <v>0</v>
      </c>
      <c r="H175" s="126">
        <f>COUNTIFS('TỔNG KLH + TN'!$B:$B,'01. TH'!$B175,'TỔNG KLH + TN'!$C:$C,'01. TH'!H$4)</f>
        <v>0</v>
      </c>
      <c r="I175" s="126">
        <f>COUNTIFS('TỔNG KLH + TN'!$B:$B,'01. TH'!$B175,'TỔNG KLH + TN'!$C:$C,'01. TH'!I$4)</f>
        <v>0</v>
      </c>
      <c r="J175" s="126">
        <f>COUNTIFS('TỔNG KLH + TN'!$B:$B,'01. TH'!$B175,'TỔNG KLH + TN'!$C:$C,'01. TH'!J$4)</f>
        <v>0</v>
      </c>
      <c r="K175" s="126">
        <f>COUNTIFS('TỔNG KLH + TN'!$B:$B,'01. TH'!$B175,'TỔNG KLH + TN'!$C:$C,'01. TH'!K$4)</f>
        <v>0</v>
      </c>
      <c r="L175" s="126">
        <f>COUNTIFS('TỔNG KLH + TN'!$B:$B,'01. TH'!$B175,'TỔNG KLH + TN'!$C:$C,'01. TH'!L$4)</f>
        <v>0</v>
      </c>
      <c r="M175" s="126">
        <f>COUNTIFS('TỔNG KLH + TN'!$B:$B,'01. TH'!$B175,'TỔNG KLH + TN'!$C:$C,'01. TH'!M$4)</f>
        <v>0</v>
      </c>
      <c r="N175" s="126">
        <f>COUNTIFS('TỔNG KLH + TN'!$B:$B,'01. TH'!$B175,'TỔNG KLH + TN'!$C:$C,'01. TH'!N$4)</f>
        <v>0</v>
      </c>
      <c r="O175" s="126">
        <f>COUNTIFS('TỔNG KLH + TN'!$B:$B,'01. TH'!$B175,'TỔNG KLH + TN'!$C:$C,'01. TH'!O$4)</f>
        <v>0</v>
      </c>
      <c r="P175" s="126">
        <f>COUNTIFS('TỔNG KLH + TN'!$B:$B,'01. TH'!$B175,'TỔNG KLH + TN'!$C:$C,'01. TH'!P$4)</f>
        <v>0</v>
      </c>
      <c r="Q175" s="126">
        <f>COUNTIFS('TỔNG KLH + TN'!$B:$B,'01. TH'!$B175,'TỔNG KLH + TN'!$C:$C,'01. TH'!Q$4)</f>
        <v>0</v>
      </c>
      <c r="R175" s="126">
        <f>COUNTIFS('TỔNG KLH + TN'!$B:$B,'01. TH'!$B175,'TỔNG KLH + TN'!$C:$C,'01. TH'!R$4)</f>
        <v>0</v>
      </c>
      <c r="S175" s="126">
        <f>COUNTIFS('TỔNG KLH + TN'!$B:$B,'01. TH'!$B175,'TỔNG KLH + TN'!$C:$C,'01. TH'!S$4)</f>
        <v>0</v>
      </c>
      <c r="T175" s="126">
        <f>COUNTIFS('TỔNG KLH + TN'!$B:$B,'01. TH'!$B175,'TỔNG KLH + TN'!$C:$C,'01. TH'!T$4)</f>
        <v>0</v>
      </c>
      <c r="U175" s="126">
        <f>COUNTIFS('TỔNG KLH + TN'!$B:$B,'01. TH'!$B175,'TỔNG KLH + TN'!$C:$C,'01. TH'!U$4)</f>
        <v>0</v>
      </c>
      <c r="V175" s="126">
        <f>COUNTIFS('TỔNG KLH + TN'!$B:$B,'01. TH'!$B175,'TỔNG KLH + TN'!$C:$C,'01. TH'!V$4)</f>
        <v>0</v>
      </c>
      <c r="W175" s="126">
        <f>COUNTIFS('TỔNG KLH + TN'!$B:$B,'01. TH'!$B175,'TỔNG KLH + TN'!$C:$C,'01. TH'!W$4)</f>
        <v>0</v>
      </c>
      <c r="X175" s="126">
        <f>COUNTIFS('TỔNG KLH + TN'!$B:$B,'01. TH'!$B175,'TỔNG KLH + TN'!$C:$C,'01. TH'!X$4)</f>
        <v>0</v>
      </c>
      <c r="Y175" s="126">
        <f>COUNTIFS('TỔNG KLH + TN'!$B:$B,'01. TH'!$B175,'TỔNG KLH + TN'!$C:$C,'01. TH'!Y$4)</f>
        <v>0</v>
      </c>
      <c r="Z175" s="126">
        <f>COUNTIFS('TỔNG KLH + TN'!$B:$B,'01. TH'!$B175,'TỔNG KLH + TN'!$C:$C,'01. TH'!Z$4)</f>
        <v>0</v>
      </c>
      <c r="AA175" s="126">
        <f>COUNTIFS('TỔNG KLH + TN'!$B:$B,'01. TH'!$B175,'TỔNG KLH + TN'!$C:$C,'01. TH'!AA$4)</f>
        <v>1</v>
      </c>
      <c r="AB175" s="126">
        <f>COUNTIFS('TỔNG KLH + TN'!$B:$B,'01. TH'!$B175,'TỔNG KLH + TN'!$C:$C,'01. TH'!AB$4)</f>
        <v>0</v>
      </c>
      <c r="AC175" s="126">
        <f>COUNTIFS('TỔNG KLH + TN'!$B:$B,'01. TH'!$B175,'TỔNG KLH + TN'!$C:$C,'01. TH'!AC$4)</f>
        <v>0</v>
      </c>
      <c r="AD175" s="126">
        <f>COUNTIFS('TỔNG KLH + TN'!$B:$B,'01. TH'!$B175,'TỔNG KLH + TN'!$C:$C,'01. TH'!AD$4)</f>
        <v>0</v>
      </c>
      <c r="AE175" s="162">
        <f t="shared" si="40"/>
        <v>1</v>
      </c>
      <c r="AF175" s="162"/>
      <c r="AG175" s="70" t="str">
        <f t="shared" si="24"/>
        <v>ok</v>
      </c>
      <c r="AH175" s="240"/>
    </row>
    <row r="176" ht="18.75" hidden="1" customHeight="1" outlineLevel="1">
      <c r="A176" s="210"/>
      <c r="B176" s="122" t="s">
        <v>2732</v>
      </c>
      <c r="C176" s="123" t="s">
        <v>682</v>
      </c>
      <c r="D176" s="124" t="str">
        <f>IFERROR(VLOOKUP(B176,'Danh mục'!$G:$U,15,0),"")</f>
        <v/>
      </c>
      <c r="E176" s="124" t="s">
        <v>108</v>
      </c>
      <c r="F176" s="126">
        <f>COUNTIFS('TỔNG KLH + TN'!$B:$B,'01. TH'!$B176,'TỔNG KLH + TN'!$C:$C,'01. TH'!F$4)</f>
        <v>0</v>
      </c>
      <c r="G176" s="126">
        <f>COUNTIFS('TỔNG KLH + TN'!$B:$B,'01. TH'!$B176,'TỔNG KLH + TN'!$C:$C,'01. TH'!G$4)</f>
        <v>0</v>
      </c>
      <c r="H176" s="126">
        <f>COUNTIFS('TỔNG KLH + TN'!$B:$B,'01. TH'!$B176,'TỔNG KLH + TN'!$C:$C,'01. TH'!H$4)</f>
        <v>0</v>
      </c>
      <c r="I176" s="126">
        <f>COUNTIFS('TỔNG KLH + TN'!$B:$B,'01. TH'!$B176,'TỔNG KLH + TN'!$C:$C,'01. TH'!I$4)</f>
        <v>0</v>
      </c>
      <c r="J176" s="126">
        <f>COUNTIFS('TỔNG KLH + TN'!$B:$B,'01. TH'!$B176,'TỔNG KLH + TN'!$C:$C,'01. TH'!J$4)</f>
        <v>0</v>
      </c>
      <c r="K176" s="126">
        <f>COUNTIFS('TỔNG KLH + TN'!$B:$B,'01. TH'!$B176,'TỔNG KLH + TN'!$C:$C,'01. TH'!K$4)</f>
        <v>0</v>
      </c>
      <c r="L176" s="126">
        <f>COUNTIFS('TỔNG KLH + TN'!$B:$B,'01. TH'!$B176,'TỔNG KLH + TN'!$C:$C,'01. TH'!L$4)</f>
        <v>0</v>
      </c>
      <c r="M176" s="126">
        <f>COUNTIFS('TỔNG KLH + TN'!$B:$B,'01. TH'!$B176,'TỔNG KLH + TN'!$C:$C,'01. TH'!M$4)</f>
        <v>0</v>
      </c>
      <c r="N176" s="126">
        <f>COUNTIFS('TỔNG KLH + TN'!$B:$B,'01. TH'!$B176,'TỔNG KLH + TN'!$C:$C,'01. TH'!N$4)</f>
        <v>0</v>
      </c>
      <c r="O176" s="126">
        <f>COUNTIFS('TỔNG KLH + TN'!$B:$B,'01. TH'!$B176,'TỔNG KLH + TN'!$C:$C,'01. TH'!O$4)</f>
        <v>0</v>
      </c>
      <c r="P176" s="126">
        <f>COUNTIFS('TỔNG KLH + TN'!$B:$B,'01. TH'!$B176,'TỔNG KLH + TN'!$C:$C,'01. TH'!P$4)</f>
        <v>0</v>
      </c>
      <c r="Q176" s="126">
        <f>COUNTIFS('TỔNG KLH + TN'!$B:$B,'01. TH'!$B176,'TỔNG KLH + TN'!$C:$C,'01. TH'!Q$4)</f>
        <v>0</v>
      </c>
      <c r="R176" s="126">
        <f>COUNTIFS('TỔNG KLH + TN'!$B:$B,'01. TH'!$B176,'TỔNG KLH + TN'!$C:$C,'01. TH'!R$4)</f>
        <v>0</v>
      </c>
      <c r="S176" s="126">
        <f>COUNTIFS('TỔNG KLH + TN'!$B:$B,'01. TH'!$B176,'TỔNG KLH + TN'!$C:$C,'01. TH'!S$4)</f>
        <v>0</v>
      </c>
      <c r="T176" s="126">
        <f>COUNTIFS('TỔNG KLH + TN'!$B:$B,'01. TH'!$B176,'TỔNG KLH + TN'!$C:$C,'01. TH'!T$4)</f>
        <v>0</v>
      </c>
      <c r="U176" s="126">
        <f>COUNTIFS('TỔNG KLH + TN'!$B:$B,'01. TH'!$B176,'TỔNG KLH + TN'!$C:$C,'01. TH'!U$4)</f>
        <v>0</v>
      </c>
      <c r="V176" s="126">
        <f>COUNTIFS('TỔNG KLH + TN'!$B:$B,'01. TH'!$B176,'TỔNG KLH + TN'!$C:$C,'01. TH'!V$4)</f>
        <v>0</v>
      </c>
      <c r="W176" s="126">
        <f>COUNTIFS('TỔNG KLH + TN'!$B:$B,'01. TH'!$B176,'TỔNG KLH + TN'!$C:$C,'01. TH'!W$4)</f>
        <v>0</v>
      </c>
      <c r="X176" s="126">
        <f>COUNTIFS('TỔNG KLH + TN'!$B:$B,'01. TH'!$B176,'TỔNG KLH + TN'!$C:$C,'01. TH'!X$4)</f>
        <v>0</v>
      </c>
      <c r="Y176" s="126">
        <f>COUNTIFS('TỔNG KLH + TN'!$B:$B,'01. TH'!$B176,'TỔNG KLH + TN'!$C:$C,'01. TH'!Y$4)</f>
        <v>0</v>
      </c>
      <c r="Z176" s="126">
        <f>COUNTIFS('TỔNG KLH + TN'!$B:$B,'01. TH'!$B176,'TỔNG KLH + TN'!$C:$C,'01. TH'!Z$4)</f>
        <v>0</v>
      </c>
      <c r="AA176" s="126">
        <f>COUNTIFS('TỔNG KLH + TN'!$B:$B,'01. TH'!$B176,'TỔNG KLH + TN'!$C:$C,'01. TH'!AA$4)</f>
        <v>1</v>
      </c>
      <c r="AB176" s="126">
        <f>COUNTIFS('TỔNG KLH + TN'!$B:$B,'01. TH'!$B176,'TỔNG KLH + TN'!$C:$C,'01. TH'!AB$4)</f>
        <v>0</v>
      </c>
      <c r="AC176" s="126">
        <f>COUNTIFS('TỔNG KLH + TN'!$B:$B,'01. TH'!$B176,'TỔNG KLH + TN'!$C:$C,'01. TH'!AC$4)</f>
        <v>0</v>
      </c>
      <c r="AD176" s="126">
        <f>COUNTIFS('TỔNG KLH + TN'!$B:$B,'01. TH'!$B176,'TỔNG KLH + TN'!$C:$C,'01. TH'!AD$4)</f>
        <v>0</v>
      </c>
      <c r="AE176" s="162">
        <f t="shared" si="40"/>
        <v>1</v>
      </c>
      <c r="AF176" s="162"/>
      <c r="AG176" s="70" t="str">
        <f t="shared" si="24"/>
        <v>ok</v>
      </c>
      <c r="AH176" s="240"/>
    </row>
    <row r="177" ht="18.75" hidden="1" customHeight="1" outlineLevel="1">
      <c r="A177" s="159"/>
      <c r="B177" s="122" t="s">
        <v>2806</v>
      </c>
      <c r="C177" s="123" t="s">
        <v>682</v>
      </c>
      <c r="D177" s="124" t="str">
        <f>IFERROR(VLOOKUP(B177,'Danh mục'!$G:$U,15,0),"")</f>
        <v/>
      </c>
      <c r="E177" s="124" t="s">
        <v>108</v>
      </c>
      <c r="F177" s="126">
        <f>COUNTIFS('TỔNG KLH + TN'!$B:$B,'01. TH'!$B177,'TỔNG KLH + TN'!$C:$C,'01. TH'!F$4)</f>
        <v>0</v>
      </c>
      <c r="G177" s="126">
        <f>COUNTIFS('TỔNG KLH + TN'!$B:$B,'01. TH'!$B177,'TỔNG KLH + TN'!$C:$C,'01. TH'!G$4)</f>
        <v>0</v>
      </c>
      <c r="H177" s="126">
        <f>COUNTIFS('TỔNG KLH + TN'!$B:$B,'01. TH'!$B177,'TỔNG KLH + TN'!$C:$C,'01. TH'!H$4)</f>
        <v>0</v>
      </c>
      <c r="I177" s="126">
        <f>COUNTIFS('TỔNG KLH + TN'!$B:$B,'01. TH'!$B177,'TỔNG KLH + TN'!$C:$C,'01. TH'!I$4)</f>
        <v>0</v>
      </c>
      <c r="J177" s="126">
        <f>COUNTIFS('TỔNG KLH + TN'!$B:$B,'01. TH'!$B177,'TỔNG KLH + TN'!$C:$C,'01. TH'!J$4)</f>
        <v>0</v>
      </c>
      <c r="K177" s="126">
        <f>COUNTIFS('TỔNG KLH + TN'!$B:$B,'01. TH'!$B177,'TỔNG KLH + TN'!$C:$C,'01. TH'!K$4)</f>
        <v>0</v>
      </c>
      <c r="L177" s="126">
        <f>COUNTIFS('TỔNG KLH + TN'!$B:$B,'01. TH'!$B177,'TỔNG KLH + TN'!$C:$C,'01. TH'!L$4)</f>
        <v>0</v>
      </c>
      <c r="M177" s="126">
        <f>COUNTIFS('TỔNG KLH + TN'!$B:$B,'01. TH'!$B177,'TỔNG KLH + TN'!$C:$C,'01. TH'!M$4)</f>
        <v>0</v>
      </c>
      <c r="N177" s="126">
        <f>COUNTIFS('TỔNG KLH + TN'!$B:$B,'01. TH'!$B177,'TỔNG KLH + TN'!$C:$C,'01. TH'!N$4)</f>
        <v>0</v>
      </c>
      <c r="O177" s="126">
        <f>COUNTIFS('TỔNG KLH + TN'!$B:$B,'01. TH'!$B177,'TỔNG KLH + TN'!$C:$C,'01. TH'!O$4)</f>
        <v>0</v>
      </c>
      <c r="P177" s="126">
        <f>COUNTIFS('TỔNG KLH + TN'!$B:$B,'01. TH'!$B177,'TỔNG KLH + TN'!$C:$C,'01. TH'!P$4)</f>
        <v>0</v>
      </c>
      <c r="Q177" s="126">
        <f>COUNTIFS('TỔNG KLH + TN'!$B:$B,'01. TH'!$B177,'TỔNG KLH + TN'!$C:$C,'01. TH'!Q$4)</f>
        <v>0</v>
      </c>
      <c r="R177" s="126">
        <f>COUNTIFS('TỔNG KLH + TN'!$B:$B,'01. TH'!$B177,'TỔNG KLH + TN'!$C:$C,'01. TH'!R$4)</f>
        <v>0</v>
      </c>
      <c r="S177" s="126">
        <f>COUNTIFS('TỔNG KLH + TN'!$B:$B,'01. TH'!$B177,'TỔNG KLH + TN'!$C:$C,'01. TH'!S$4)</f>
        <v>0</v>
      </c>
      <c r="T177" s="126">
        <f>COUNTIFS('TỔNG KLH + TN'!$B:$B,'01. TH'!$B177,'TỔNG KLH + TN'!$C:$C,'01. TH'!T$4)</f>
        <v>0</v>
      </c>
      <c r="U177" s="126">
        <f>COUNTIFS('TỔNG KLH + TN'!$B:$B,'01. TH'!$B177,'TỔNG KLH + TN'!$C:$C,'01. TH'!U$4)</f>
        <v>0</v>
      </c>
      <c r="V177" s="126">
        <f>COUNTIFS('TỔNG KLH + TN'!$B:$B,'01. TH'!$B177,'TỔNG KLH + TN'!$C:$C,'01. TH'!V$4)</f>
        <v>0</v>
      </c>
      <c r="W177" s="126">
        <f>COUNTIFS('TỔNG KLH + TN'!$B:$B,'01. TH'!$B177,'TỔNG KLH + TN'!$C:$C,'01. TH'!W$4)</f>
        <v>0</v>
      </c>
      <c r="X177" s="126">
        <f>COUNTIFS('TỔNG KLH + TN'!$B:$B,'01. TH'!$B177,'TỔNG KLH + TN'!$C:$C,'01. TH'!X$4)</f>
        <v>0</v>
      </c>
      <c r="Y177" s="126">
        <f>COUNTIFS('TỔNG KLH + TN'!$B:$B,'01. TH'!$B177,'TỔNG KLH + TN'!$C:$C,'01. TH'!Y$4)</f>
        <v>0</v>
      </c>
      <c r="Z177" s="126">
        <f>COUNTIFS('TỔNG KLH + TN'!$B:$B,'01. TH'!$B177,'TỔNG KLH + TN'!$C:$C,'01. TH'!Z$4)</f>
        <v>0</v>
      </c>
      <c r="AA177" s="126">
        <f>COUNTIFS('TỔNG KLH + TN'!$B:$B,'01. TH'!$B177,'TỔNG KLH + TN'!$C:$C,'01. TH'!AA$4)</f>
        <v>0</v>
      </c>
      <c r="AB177" s="126">
        <f>COUNTIFS('TỔNG KLH + TN'!$B:$B,'01. TH'!$B177,'TỔNG KLH + TN'!$C:$C,'01. TH'!AB$4)</f>
        <v>0</v>
      </c>
      <c r="AC177" s="126">
        <f>COUNTIFS('TỔNG KLH + TN'!$B:$B,'01. TH'!$B177,'TỔNG KLH + TN'!$C:$C,'01. TH'!AC$4)</f>
        <v>0</v>
      </c>
      <c r="AD177" s="126">
        <f>COUNTIFS('TỔNG KLH + TN'!$B:$B,'01. TH'!$B177,'TỔNG KLH + TN'!$C:$C,'01. TH'!AD$4)</f>
        <v>0</v>
      </c>
      <c r="AE177" s="162">
        <f t="shared" si="40"/>
        <v>0</v>
      </c>
      <c r="AF177" s="162"/>
      <c r="AG177" s="70" t="str">
        <f t="shared" si="24"/>
        <v>ok</v>
      </c>
      <c r="AH177" s="240"/>
    </row>
    <row r="178" ht="18.75" hidden="1" customHeight="1" outlineLevel="1">
      <c r="A178" s="210"/>
      <c r="B178" s="122" t="s">
        <v>2756</v>
      </c>
      <c r="C178" s="123" t="s">
        <v>682</v>
      </c>
      <c r="D178" s="124" t="str">
        <f>IFERROR(VLOOKUP(B178,'Danh mục'!$G:$U,15,0),"")</f>
        <v/>
      </c>
      <c r="E178" s="124" t="s">
        <v>108</v>
      </c>
      <c r="F178" s="126">
        <f>COUNTIFS('TỔNG KLH + TN'!$B:$B,'01. TH'!$B178,'TỔNG KLH + TN'!$C:$C,'01. TH'!F$4)</f>
        <v>0</v>
      </c>
      <c r="G178" s="126">
        <f>COUNTIFS('TỔNG KLH + TN'!$B:$B,'01. TH'!$B178,'TỔNG KLH + TN'!$C:$C,'01. TH'!G$4)</f>
        <v>0</v>
      </c>
      <c r="H178" s="126">
        <f>COUNTIFS('TỔNG KLH + TN'!$B:$B,'01. TH'!$B178,'TỔNG KLH + TN'!$C:$C,'01. TH'!H$4)</f>
        <v>0</v>
      </c>
      <c r="I178" s="126">
        <f>COUNTIFS('TỔNG KLH + TN'!$B:$B,'01. TH'!$B178,'TỔNG KLH + TN'!$C:$C,'01. TH'!I$4)</f>
        <v>0</v>
      </c>
      <c r="J178" s="126">
        <f>COUNTIFS('TỔNG KLH + TN'!$B:$B,'01. TH'!$B178,'TỔNG KLH + TN'!$C:$C,'01. TH'!J$4)</f>
        <v>0</v>
      </c>
      <c r="K178" s="126">
        <f>COUNTIFS('TỔNG KLH + TN'!$B:$B,'01. TH'!$B178,'TỔNG KLH + TN'!$C:$C,'01. TH'!K$4)</f>
        <v>0</v>
      </c>
      <c r="L178" s="126">
        <f>COUNTIFS('TỔNG KLH + TN'!$B:$B,'01. TH'!$B178,'TỔNG KLH + TN'!$C:$C,'01. TH'!L$4)</f>
        <v>0</v>
      </c>
      <c r="M178" s="126">
        <f>COUNTIFS('TỔNG KLH + TN'!$B:$B,'01. TH'!$B178,'TỔNG KLH + TN'!$C:$C,'01. TH'!M$4)</f>
        <v>0</v>
      </c>
      <c r="N178" s="126">
        <f>COUNTIFS('TỔNG KLH + TN'!$B:$B,'01. TH'!$B178,'TỔNG KLH + TN'!$C:$C,'01. TH'!N$4)</f>
        <v>0</v>
      </c>
      <c r="O178" s="126">
        <f>COUNTIFS('TỔNG KLH + TN'!$B:$B,'01. TH'!$B178,'TỔNG KLH + TN'!$C:$C,'01. TH'!O$4)</f>
        <v>0</v>
      </c>
      <c r="P178" s="126">
        <f>COUNTIFS('TỔNG KLH + TN'!$B:$B,'01. TH'!$B178,'TỔNG KLH + TN'!$C:$C,'01. TH'!P$4)</f>
        <v>0</v>
      </c>
      <c r="Q178" s="126">
        <f>COUNTIFS('TỔNG KLH + TN'!$B:$B,'01. TH'!$B178,'TỔNG KLH + TN'!$C:$C,'01. TH'!Q$4)</f>
        <v>0</v>
      </c>
      <c r="R178" s="126">
        <f>COUNTIFS('TỔNG KLH + TN'!$B:$B,'01. TH'!$B178,'TỔNG KLH + TN'!$C:$C,'01. TH'!R$4)</f>
        <v>0</v>
      </c>
      <c r="S178" s="126">
        <f>COUNTIFS('TỔNG KLH + TN'!$B:$B,'01. TH'!$B178,'TỔNG KLH + TN'!$C:$C,'01. TH'!S$4)</f>
        <v>0</v>
      </c>
      <c r="T178" s="126">
        <f>COUNTIFS('TỔNG KLH + TN'!$B:$B,'01. TH'!$B178,'TỔNG KLH + TN'!$C:$C,'01. TH'!T$4)</f>
        <v>0</v>
      </c>
      <c r="U178" s="126">
        <f>COUNTIFS('TỔNG KLH + TN'!$B:$B,'01. TH'!$B178,'TỔNG KLH + TN'!$C:$C,'01. TH'!U$4)</f>
        <v>0</v>
      </c>
      <c r="V178" s="126">
        <f>COUNTIFS('TỔNG KLH + TN'!$B:$B,'01. TH'!$B178,'TỔNG KLH + TN'!$C:$C,'01. TH'!V$4)</f>
        <v>0</v>
      </c>
      <c r="W178" s="126">
        <f>COUNTIFS('TỔNG KLH + TN'!$B:$B,'01. TH'!$B178,'TỔNG KLH + TN'!$C:$C,'01. TH'!W$4)</f>
        <v>0</v>
      </c>
      <c r="X178" s="126">
        <f>COUNTIFS('TỔNG KLH + TN'!$B:$B,'01. TH'!$B178,'TỔNG KLH + TN'!$C:$C,'01. TH'!X$4)</f>
        <v>0</v>
      </c>
      <c r="Y178" s="126">
        <f>COUNTIFS('TỔNG KLH + TN'!$B:$B,'01. TH'!$B178,'TỔNG KLH + TN'!$C:$C,'01. TH'!Y$4)</f>
        <v>0</v>
      </c>
      <c r="Z178" s="126">
        <f>COUNTIFS('TỔNG KLH + TN'!$B:$B,'01. TH'!$B178,'TỔNG KLH + TN'!$C:$C,'01. TH'!Z$4)</f>
        <v>0</v>
      </c>
      <c r="AA178" s="126">
        <f>COUNTIFS('TỔNG KLH + TN'!$B:$B,'01. TH'!$B178,'TỔNG KLH + TN'!$C:$C,'01. TH'!AA$4)</f>
        <v>1</v>
      </c>
      <c r="AB178" s="126">
        <f>COUNTIFS('TỔNG KLH + TN'!$B:$B,'01. TH'!$B178,'TỔNG KLH + TN'!$C:$C,'01. TH'!AB$4)</f>
        <v>0</v>
      </c>
      <c r="AC178" s="126">
        <f>COUNTIFS('TỔNG KLH + TN'!$B:$B,'01. TH'!$B178,'TỔNG KLH + TN'!$C:$C,'01. TH'!AC$4)</f>
        <v>0</v>
      </c>
      <c r="AD178" s="126">
        <f>COUNTIFS('TỔNG KLH + TN'!$B:$B,'01. TH'!$B178,'TỔNG KLH + TN'!$C:$C,'01. TH'!AD$4)</f>
        <v>0</v>
      </c>
      <c r="AE178" s="162">
        <f t="shared" si="40"/>
        <v>1</v>
      </c>
      <c r="AF178" s="162"/>
      <c r="AG178" s="70" t="str">
        <f t="shared" si="24"/>
        <v>ok</v>
      </c>
      <c r="AH178" s="240"/>
    </row>
    <row r="179" ht="18.75" hidden="1" customHeight="1" outlineLevel="1">
      <c r="A179" s="159"/>
      <c r="B179" s="205" t="s">
        <v>3195</v>
      </c>
      <c r="C179" s="123" t="s">
        <v>682</v>
      </c>
      <c r="D179" s="124" t="str">
        <f>IFERROR(VLOOKUP(B179,'Danh mục'!$G:$U,15,0),"")</f>
        <v/>
      </c>
      <c r="E179" s="124" t="s">
        <v>108</v>
      </c>
      <c r="F179" s="126">
        <f>COUNTIFS('TỔNG KLH + TN'!$B:$B,'01. TH'!$B179,'TỔNG KLH + TN'!$C:$C,'01. TH'!F$4)</f>
        <v>0</v>
      </c>
      <c r="G179" s="126">
        <f>COUNTIFS('TỔNG KLH + TN'!$B:$B,'01. TH'!$B179,'TỔNG KLH + TN'!$C:$C,'01. TH'!G$4)</f>
        <v>0</v>
      </c>
      <c r="H179" s="126">
        <f>COUNTIFS('TỔNG KLH + TN'!$B:$B,'01. TH'!$B179,'TỔNG KLH + TN'!$C:$C,'01. TH'!H$4)</f>
        <v>0</v>
      </c>
      <c r="I179" s="126">
        <f>COUNTIFS('TỔNG KLH + TN'!$B:$B,'01. TH'!$B179,'TỔNG KLH + TN'!$C:$C,'01. TH'!I$4)</f>
        <v>0</v>
      </c>
      <c r="J179" s="126">
        <f>COUNTIFS('TỔNG KLH + TN'!$B:$B,'01. TH'!$B179,'TỔNG KLH + TN'!$C:$C,'01. TH'!J$4)</f>
        <v>0</v>
      </c>
      <c r="K179" s="126">
        <f>COUNTIFS('TỔNG KLH + TN'!$B:$B,'01. TH'!$B179,'TỔNG KLH + TN'!$C:$C,'01. TH'!K$4)</f>
        <v>0</v>
      </c>
      <c r="L179" s="126">
        <f>COUNTIFS('TỔNG KLH + TN'!$B:$B,'01. TH'!$B179,'TỔNG KLH + TN'!$C:$C,'01. TH'!L$4)</f>
        <v>0</v>
      </c>
      <c r="M179" s="126">
        <f>COUNTIFS('TỔNG KLH + TN'!$B:$B,'01. TH'!$B179,'TỔNG KLH + TN'!$C:$C,'01. TH'!M$4)</f>
        <v>0</v>
      </c>
      <c r="N179" s="126">
        <f>COUNTIFS('TỔNG KLH + TN'!$B:$B,'01. TH'!$B179,'TỔNG KLH + TN'!$C:$C,'01. TH'!N$4)</f>
        <v>0</v>
      </c>
      <c r="O179" s="126">
        <f>COUNTIFS('TỔNG KLH + TN'!$B:$B,'01. TH'!$B179,'TỔNG KLH + TN'!$C:$C,'01. TH'!O$4)</f>
        <v>0</v>
      </c>
      <c r="P179" s="126">
        <f>COUNTIFS('TỔNG KLH + TN'!$B:$B,'01. TH'!$B179,'TỔNG KLH + TN'!$C:$C,'01. TH'!P$4)</f>
        <v>0</v>
      </c>
      <c r="Q179" s="126">
        <f>COUNTIFS('TỔNG KLH + TN'!$B:$B,'01. TH'!$B179,'TỔNG KLH + TN'!$C:$C,'01. TH'!Q$4)</f>
        <v>0</v>
      </c>
      <c r="R179" s="126">
        <f>COUNTIFS('TỔNG KLH + TN'!$B:$B,'01. TH'!$B179,'TỔNG KLH + TN'!$C:$C,'01. TH'!R$4)</f>
        <v>0</v>
      </c>
      <c r="S179" s="126">
        <f>COUNTIFS('TỔNG KLH + TN'!$B:$B,'01. TH'!$B179,'TỔNG KLH + TN'!$C:$C,'01. TH'!S$4)</f>
        <v>0</v>
      </c>
      <c r="T179" s="126">
        <f>COUNTIFS('TỔNG KLH + TN'!$B:$B,'01. TH'!$B179,'TỔNG KLH + TN'!$C:$C,'01. TH'!T$4)</f>
        <v>0</v>
      </c>
      <c r="U179" s="126">
        <f>COUNTIFS('TỔNG KLH + TN'!$B:$B,'01. TH'!$B179,'TỔNG KLH + TN'!$C:$C,'01. TH'!U$4)</f>
        <v>0</v>
      </c>
      <c r="V179" s="126">
        <f>COUNTIFS('TỔNG KLH + TN'!$B:$B,'01. TH'!$B179,'TỔNG KLH + TN'!$C:$C,'01. TH'!V$4)</f>
        <v>0</v>
      </c>
      <c r="W179" s="126">
        <f>COUNTIFS('TỔNG KLH + TN'!$B:$B,'01. TH'!$B179,'TỔNG KLH + TN'!$C:$C,'01. TH'!W$4)</f>
        <v>2</v>
      </c>
      <c r="X179" s="126">
        <f>COUNTIFS('TỔNG KLH + TN'!$B:$B,'01. TH'!$B179,'TỔNG KLH + TN'!$C:$C,'01. TH'!X$4)</f>
        <v>0</v>
      </c>
      <c r="Y179" s="126">
        <f>COUNTIFS('TỔNG KLH + TN'!$B:$B,'01. TH'!$B179,'TỔNG KLH + TN'!$C:$C,'01. TH'!Y$4)</f>
        <v>0</v>
      </c>
      <c r="Z179" s="126">
        <f>COUNTIFS('TỔNG KLH + TN'!$B:$B,'01. TH'!$B179,'TỔNG KLH + TN'!$C:$C,'01. TH'!Z$4)</f>
        <v>0</v>
      </c>
      <c r="AA179" s="126">
        <f>COUNTIFS('TỔNG KLH + TN'!$B:$B,'01. TH'!$B179,'TỔNG KLH + TN'!$C:$C,'01. TH'!AA$4)</f>
        <v>0</v>
      </c>
      <c r="AB179" s="126">
        <f>COUNTIFS('TỔNG KLH + TN'!$B:$B,'01. TH'!$B179,'TỔNG KLH + TN'!$C:$C,'01. TH'!AB$4)</f>
        <v>0</v>
      </c>
      <c r="AC179" s="126">
        <f>COUNTIFS('TỔNG KLH + TN'!$B:$B,'01. TH'!$B179,'TỔNG KLH + TN'!$C:$C,'01. TH'!AC$4)</f>
        <v>0</v>
      </c>
      <c r="AD179" s="126">
        <f>COUNTIFS('TỔNG KLH + TN'!$B:$B,'01. TH'!$B179,'TỔNG KLH + TN'!$C:$C,'01. TH'!AD$4)</f>
        <v>0</v>
      </c>
      <c r="AE179" s="162">
        <f t="shared" si="40"/>
        <v>2</v>
      </c>
      <c r="AF179" s="162"/>
      <c r="AG179" s="70" t="str">
        <f t="shared" si="24"/>
        <v>ok</v>
      </c>
      <c r="AH179" s="240"/>
    </row>
    <row r="180" ht="24.0" customHeight="1" collapsed="1">
      <c r="A180" s="70">
        <v>22.0</v>
      </c>
      <c r="B180" s="73" t="s">
        <v>5642</v>
      </c>
      <c r="C180" s="78"/>
      <c r="D180" s="78"/>
      <c r="E180" s="78"/>
      <c r="F180" s="172">
        <f t="shared" ref="F180:AE180" si="41">SUM(F181:F182)</f>
        <v>0</v>
      </c>
      <c r="G180" s="172">
        <f t="shared" si="41"/>
        <v>0</v>
      </c>
      <c r="H180" s="172">
        <f t="shared" si="41"/>
        <v>0</v>
      </c>
      <c r="I180" s="172">
        <f t="shared" si="41"/>
        <v>0</v>
      </c>
      <c r="J180" s="172">
        <f t="shared" si="41"/>
        <v>0</v>
      </c>
      <c r="K180" s="172">
        <f t="shared" si="41"/>
        <v>0</v>
      </c>
      <c r="L180" s="172">
        <f t="shared" si="41"/>
        <v>1</v>
      </c>
      <c r="M180" s="172">
        <f t="shared" si="41"/>
        <v>0</v>
      </c>
      <c r="N180" s="172">
        <f t="shared" si="41"/>
        <v>0</v>
      </c>
      <c r="O180" s="172">
        <f t="shared" si="41"/>
        <v>0</v>
      </c>
      <c r="P180" s="172">
        <f t="shared" si="41"/>
        <v>0</v>
      </c>
      <c r="Q180" s="172">
        <f t="shared" si="41"/>
        <v>0</v>
      </c>
      <c r="R180" s="172">
        <f t="shared" si="41"/>
        <v>0</v>
      </c>
      <c r="S180" s="172">
        <f t="shared" si="41"/>
        <v>0</v>
      </c>
      <c r="T180" s="172">
        <f t="shared" si="41"/>
        <v>0</v>
      </c>
      <c r="U180" s="172">
        <f t="shared" si="41"/>
        <v>0</v>
      </c>
      <c r="V180" s="172">
        <f t="shared" si="41"/>
        <v>0</v>
      </c>
      <c r="W180" s="172">
        <f t="shared" si="41"/>
        <v>0</v>
      </c>
      <c r="X180" s="172">
        <f t="shared" si="41"/>
        <v>0</v>
      </c>
      <c r="Y180" s="172">
        <f t="shared" si="41"/>
        <v>0</v>
      </c>
      <c r="Z180" s="172">
        <f t="shared" si="41"/>
        <v>0</v>
      </c>
      <c r="AA180" s="172">
        <f t="shared" si="41"/>
        <v>0</v>
      </c>
      <c r="AB180" s="172">
        <f t="shared" si="41"/>
        <v>0</v>
      </c>
      <c r="AC180" s="172">
        <f t="shared" si="41"/>
        <v>0</v>
      </c>
      <c r="AD180" s="172">
        <f t="shared" si="41"/>
        <v>0</v>
      </c>
      <c r="AE180" s="173">
        <f t="shared" si="41"/>
        <v>1</v>
      </c>
      <c r="AF180" s="174">
        <v>0.0</v>
      </c>
      <c r="AG180" s="70" t="str">
        <f t="shared" si="24"/>
        <v>ok</v>
      </c>
      <c r="AH180" s="120"/>
    </row>
    <row r="181" ht="18.75" hidden="1" customHeight="1" outlineLevel="1">
      <c r="A181" s="159"/>
      <c r="B181" s="122" t="s">
        <v>5775</v>
      </c>
      <c r="C181" s="123" t="s">
        <v>970</v>
      </c>
      <c r="D181" s="124"/>
      <c r="E181" s="124" t="s">
        <v>5776</v>
      </c>
      <c r="F181" s="126">
        <f>COUNTIFS('TỔNG KLH + TN'!$B:$B,'01. TH'!$B181,'TỔNG KLH + TN'!$C:$C,'01. TH'!F$4)</f>
        <v>0</v>
      </c>
      <c r="G181" s="126">
        <f>COUNTIFS('TỔNG KLH + TN'!$B:$B,'01. TH'!$B181,'TỔNG KLH + TN'!$C:$C,'01. TH'!G$4)</f>
        <v>0</v>
      </c>
      <c r="H181" s="126">
        <f>COUNTIFS('TỔNG KLH + TN'!$B:$B,'01. TH'!$B181,'TỔNG KLH + TN'!$C:$C,'01. TH'!H$4)</f>
        <v>0</v>
      </c>
      <c r="I181" s="126">
        <f>COUNTIFS('TỔNG KLH + TN'!$B:$B,'01. TH'!$B181,'TỔNG KLH + TN'!$C:$C,'01. TH'!I$4)</f>
        <v>0</v>
      </c>
      <c r="J181" s="126">
        <f>COUNTIFS('TỔNG KLH + TN'!$B:$B,'01. TH'!$B181,'TỔNG KLH + TN'!$C:$C,'01. TH'!J$4)</f>
        <v>0</v>
      </c>
      <c r="K181" s="126">
        <f>COUNTIFS('TỔNG KLH + TN'!$B:$B,'01. TH'!$B181,'TỔNG KLH + TN'!$C:$C,'01. TH'!K$4)</f>
        <v>0</v>
      </c>
      <c r="L181" s="126">
        <f>COUNTIFS('TỔNG KLH + TN'!$B:$B,'01. TH'!$B181,'TỔNG KLH + TN'!$C:$C,'01. TH'!L$4)</f>
        <v>1</v>
      </c>
      <c r="M181" s="126">
        <f>COUNTIFS('TỔNG KLH + TN'!$B:$B,'01. TH'!$B181,'TỔNG KLH + TN'!$C:$C,'01. TH'!M$4)</f>
        <v>0</v>
      </c>
      <c r="N181" s="126">
        <f>COUNTIFS('TỔNG KLH + TN'!$B:$B,'01. TH'!$B181,'TỔNG KLH + TN'!$C:$C,'01. TH'!N$4)</f>
        <v>0</v>
      </c>
      <c r="O181" s="126">
        <f>COUNTIFS('TỔNG KLH + TN'!$B:$B,'01. TH'!$B181,'TỔNG KLH + TN'!$C:$C,'01. TH'!O$4)</f>
        <v>0</v>
      </c>
      <c r="P181" s="126">
        <f>COUNTIFS('TỔNG KLH + TN'!$B:$B,'01. TH'!$B181,'TỔNG KLH + TN'!$C:$C,'01. TH'!P$4)</f>
        <v>0</v>
      </c>
      <c r="Q181" s="126">
        <f>COUNTIFS('TỔNG KLH + TN'!$B:$B,'01. TH'!$B181,'TỔNG KLH + TN'!$C:$C,'01. TH'!Q$4)</f>
        <v>0</v>
      </c>
      <c r="R181" s="126">
        <f>COUNTIFS('TỔNG KLH + TN'!$B:$B,'01. TH'!$B181,'TỔNG KLH + TN'!$C:$C,'01. TH'!R$4)</f>
        <v>0</v>
      </c>
      <c r="S181" s="126">
        <f>COUNTIFS('TỔNG KLH + TN'!$B:$B,'01. TH'!$B181,'TỔNG KLH + TN'!$C:$C,'01. TH'!S$4)</f>
        <v>0</v>
      </c>
      <c r="T181" s="126">
        <f>COUNTIFS('TỔNG KLH + TN'!$B:$B,'01. TH'!$B181,'TỔNG KLH + TN'!$C:$C,'01. TH'!T$4)</f>
        <v>0</v>
      </c>
      <c r="U181" s="126">
        <f>COUNTIFS('TỔNG KLH + TN'!$B:$B,'01. TH'!$B181,'TỔNG KLH + TN'!$C:$C,'01. TH'!U$4)</f>
        <v>0</v>
      </c>
      <c r="V181" s="126">
        <f>COUNTIFS('TỔNG KLH + TN'!$B:$B,'01. TH'!$B181,'TỔNG KLH + TN'!$C:$C,'01. TH'!V$4)</f>
        <v>0</v>
      </c>
      <c r="W181" s="126">
        <f>COUNTIFS('TỔNG KLH + TN'!$B:$B,'01. TH'!$B181,'TỔNG KLH + TN'!$C:$C,'01. TH'!W$4)</f>
        <v>0</v>
      </c>
      <c r="X181" s="126">
        <f>COUNTIFS('TỔNG KLH + TN'!$B:$B,'01. TH'!$B181,'TỔNG KLH + TN'!$C:$C,'01. TH'!X$4)</f>
        <v>0</v>
      </c>
      <c r="Y181" s="126">
        <f>COUNTIFS('TỔNG KLH + TN'!$B:$B,'01. TH'!$B181,'TỔNG KLH + TN'!$C:$C,'01. TH'!Y$4)</f>
        <v>0</v>
      </c>
      <c r="Z181" s="126">
        <f>COUNTIFS('TỔNG KLH + TN'!$B:$B,'01. TH'!$B181,'TỔNG KLH + TN'!$C:$C,'01. TH'!Z$4)</f>
        <v>0</v>
      </c>
      <c r="AA181" s="126">
        <f>COUNTIFS('TỔNG KLH + TN'!$B:$B,'01. TH'!$B181,'TỔNG KLH + TN'!$C:$C,'01. TH'!AA$4)</f>
        <v>0</v>
      </c>
      <c r="AB181" s="126">
        <f>COUNTIFS('TỔNG KLH + TN'!$B:$B,'01. TH'!$B181,'TỔNG KLH + TN'!$C:$C,'01. TH'!AB$4)</f>
        <v>0</v>
      </c>
      <c r="AC181" s="126">
        <f>COUNTIFS('TỔNG KLH + TN'!$B:$B,'01. TH'!$B181,'TỔNG KLH + TN'!$C:$C,'01. TH'!AC$4)</f>
        <v>0</v>
      </c>
      <c r="AD181" s="126">
        <f>COUNTIFS('TỔNG KLH + TN'!$B:$B,'01. TH'!$B181,'TỔNG KLH + TN'!$C:$C,'01. TH'!AD$4)</f>
        <v>0</v>
      </c>
      <c r="AE181" s="162">
        <f t="shared" ref="AE181:AE182" si="42">SUM(F181:AD181)</f>
        <v>1</v>
      </c>
      <c r="AF181" s="162"/>
      <c r="AG181" s="70" t="str">
        <f t="shared" si="24"/>
        <v>ok</v>
      </c>
      <c r="AH181" s="163"/>
    </row>
    <row r="182" ht="18.75" hidden="1" customHeight="1" outlineLevel="1">
      <c r="A182" s="121"/>
      <c r="B182" s="122" t="s">
        <v>5778</v>
      </c>
      <c r="C182" s="123" t="s">
        <v>970</v>
      </c>
      <c r="D182" s="122"/>
      <c r="E182" s="124" t="s">
        <v>5776</v>
      </c>
      <c r="F182" s="126">
        <f>COUNTIFS('TỔNG KLH + TN'!$B:$B,'01. TH'!$B182,'TỔNG KLH + TN'!$C:$C,'01. TH'!F$4)</f>
        <v>0</v>
      </c>
      <c r="G182" s="126">
        <f>COUNTIFS('TỔNG KLH + TN'!$B:$B,'01. TH'!$B182,'TỔNG KLH + TN'!$C:$C,'01. TH'!G$4)</f>
        <v>0</v>
      </c>
      <c r="H182" s="126">
        <f>COUNTIFS('TỔNG KLH + TN'!$B:$B,'01. TH'!$B182,'TỔNG KLH + TN'!$C:$C,'01. TH'!H$4)</f>
        <v>0</v>
      </c>
      <c r="I182" s="126">
        <f>COUNTIFS('TỔNG KLH + TN'!$B:$B,'01. TH'!$B182,'TỔNG KLH + TN'!$C:$C,'01. TH'!I$4)</f>
        <v>0</v>
      </c>
      <c r="J182" s="126">
        <f>COUNTIFS('TỔNG KLH + TN'!$B:$B,'01. TH'!$B182,'TỔNG KLH + TN'!$C:$C,'01. TH'!J$4)</f>
        <v>0</v>
      </c>
      <c r="K182" s="126">
        <f>COUNTIFS('TỔNG KLH + TN'!$B:$B,'01. TH'!$B182,'TỔNG KLH + TN'!$C:$C,'01. TH'!K$4)</f>
        <v>0</v>
      </c>
      <c r="L182" s="126">
        <f>COUNTIFS('TỔNG KLH + TN'!$B:$B,'01. TH'!$B182,'TỔNG KLH + TN'!$C:$C,'01. TH'!L$4)</f>
        <v>0</v>
      </c>
      <c r="M182" s="126">
        <f>COUNTIFS('TỔNG KLH + TN'!$B:$B,'01. TH'!$B182,'TỔNG KLH + TN'!$C:$C,'01. TH'!M$4)</f>
        <v>0</v>
      </c>
      <c r="N182" s="126">
        <f>COUNTIFS('TỔNG KLH + TN'!$B:$B,'01. TH'!$B182,'TỔNG KLH + TN'!$C:$C,'01. TH'!N$4)</f>
        <v>0</v>
      </c>
      <c r="O182" s="126">
        <f>COUNTIFS('TỔNG KLH + TN'!$B:$B,'01. TH'!$B182,'TỔNG KLH + TN'!$C:$C,'01. TH'!O$4)</f>
        <v>0</v>
      </c>
      <c r="P182" s="126">
        <f>COUNTIFS('TỔNG KLH + TN'!$B:$B,'01. TH'!$B182,'TỔNG KLH + TN'!$C:$C,'01. TH'!P$4)</f>
        <v>0</v>
      </c>
      <c r="Q182" s="126">
        <f>COUNTIFS('TỔNG KLH + TN'!$B:$B,'01. TH'!$B182,'TỔNG KLH + TN'!$C:$C,'01. TH'!Q$4)</f>
        <v>0</v>
      </c>
      <c r="R182" s="126">
        <f>COUNTIFS('TỔNG KLH + TN'!$B:$B,'01. TH'!$B182,'TỔNG KLH + TN'!$C:$C,'01. TH'!R$4)</f>
        <v>0</v>
      </c>
      <c r="S182" s="126">
        <f>COUNTIFS('TỔNG KLH + TN'!$B:$B,'01. TH'!$B182,'TỔNG KLH + TN'!$C:$C,'01. TH'!S$4)</f>
        <v>0</v>
      </c>
      <c r="T182" s="126">
        <f>COUNTIFS('TỔNG KLH + TN'!$B:$B,'01. TH'!$B182,'TỔNG KLH + TN'!$C:$C,'01. TH'!T$4)</f>
        <v>0</v>
      </c>
      <c r="U182" s="126">
        <f>COUNTIFS('TỔNG KLH + TN'!$B:$B,'01. TH'!$B182,'TỔNG KLH + TN'!$C:$C,'01. TH'!U$4)</f>
        <v>0</v>
      </c>
      <c r="V182" s="126">
        <f>COUNTIFS('TỔNG KLH + TN'!$B:$B,'01. TH'!$B182,'TỔNG KLH + TN'!$C:$C,'01. TH'!V$4)</f>
        <v>0</v>
      </c>
      <c r="W182" s="126">
        <f>COUNTIFS('TỔNG KLH + TN'!$B:$B,'01. TH'!$B182,'TỔNG KLH + TN'!$C:$C,'01. TH'!W$4)</f>
        <v>0</v>
      </c>
      <c r="X182" s="126">
        <f>COUNTIFS('TỔNG KLH + TN'!$B:$B,'01. TH'!$B182,'TỔNG KLH + TN'!$C:$C,'01. TH'!X$4)</f>
        <v>0</v>
      </c>
      <c r="Y182" s="126">
        <f>COUNTIFS('TỔNG KLH + TN'!$B:$B,'01. TH'!$B182,'TỔNG KLH + TN'!$C:$C,'01. TH'!Y$4)</f>
        <v>0</v>
      </c>
      <c r="Z182" s="126">
        <f>COUNTIFS('TỔNG KLH + TN'!$B:$B,'01. TH'!$B182,'TỔNG KLH + TN'!$C:$C,'01. TH'!Z$4)</f>
        <v>0</v>
      </c>
      <c r="AA182" s="126">
        <f>COUNTIFS('TỔNG KLH + TN'!$B:$B,'01. TH'!$B182,'TỔNG KLH + TN'!$C:$C,'01. TH'!AA$4)</f>
        <v>0</v>
      </c>
      <c r="AB182" s="126">
        <f>COUNTIFS('TỔNG KLH + TN'!$B:$B,'01. TH'!$B182,'TỔNG KLH + TN'!$C:$C,'01. TH'!AB$4)</f>
        <v>0</v>
      </c>
      <c r="AC182" s="126">
        <f>COUNTIFS('TỔNG KLH + TN'!$B:$B,'01. TH'!$B182,'TỔNG KLH + TN'!$C:$C,'01. TH'!AC$4)</f>
        <v>0</v>
      </c>
      <c r="AD182" s="126">
        <f>COUNTIFS('TỔNG KLH + TN'!$B:$B,'01. TH'!$B182,'TỔNG KLH + TN'!$C:$C,'01. TH'!AD$4)</f>
        <v>0</v>
      </c>
      <c r="AE182" s="136">
        <f t="shared" si="42"/>
        <v>0</v>
      </c>
      <c r="AF182" s="136"/>
      <c r="AG182" s="70" t="str">
        <f t="shared" si="24"/>
        <v>ok</v>
      </c>
      <c r="AH182" s="121"/>
    </row>
    <row r="183" ht="24.0" customHeight="1" collapsed="1">
      <c r="A183" s="70">
        <v>23.0</v>
      </c>
      <c r="B183" s="73" t="s">
        <v>5780</v>
      </c>
      <c r="C183" s="78"/>
      <c r="D183" s="78" t="str">
        <f>IFERROR(VLOOKUP(B183,'Danh mục'!$G:$U,15,0),"")</f>
        <v/>
      </c>
      <c r="E183" s="78"/>
      <c r="F183" s="172">
        <f t="shared" ref="F183:AE183" si="43">SUM(F184:F201)</f>
        <v>0</v>
      </c>
      <c r="G183" s="172">
        <f t="shared" si="43"/>
        <v>0</v>
      </c>
      <c r="H183" s="172">
        <f t="shared" si="43"/>
        <v>96</v>
      </c>
      <c r="I183" s="172">
        <f t="shared" si="43"/>
        <v>80</v>
      </c>
      <c r="J183" s="172">
        <f t="shared" si="43"/>
        <v>109</v>
      </c>
      <c r="K183" s="172">
        <f t="shared" si="43"/>
        <v>0</v>
      </c>
      <c r="L183" s="172">
        <f t="shared" si="43"/>
        <v>0</v>
      </c>
      <c r="M183" s="172">
        <f t="shared" si="43"/>
        <v>0</v>
      </c>
      <c r="N183" s="172">
        <f t="shared" si="43"/>
        <v>0</v>
      </c>
      <c r="O183" s="172">
        <f t="shared" si="43"/>
        <v>0</v>
      </c>
      <c r="P183" s="172">
        <f t="shared" si="43"/>
        <v>0</v>
      </c>
      <c r="Q183" s="172">
        <f t="shared" si="43"/>
        <v>69</v>
      </c>
      <c r="R183" s="172">
        <f t="shared" si="43"/>
        <v>76</v>
      </c>
      <c r="S183" s="172">
        <f t="shared" si="43"/>
        <v>0</v>
      </c>
      <c r="T183" s="172">
        <f t="shared" si="43"/>
        <v>0</v>
      </c>
      <c r="U183" s="172">
        <f t="shared" si="43"/>
        <v>169</v>
      </c>
      <c r="V183" s="172">
        <f t="shared" si="43"/>
        <v>3</v>
      </c>
      <c r="W183" s="172">
        <f t="shared" si="43"/>
        <v>0</v>
      </c>
      <c r="X183" s="172">
        <f t="shared" si="43"/>
        <v>0</v>
      </c>
      <c r="Y183" s="172">
        <f t="shared" si="43"/>
        <v>7</v>
      </c>
      <c r="Z183" s="172">
        <f t="shared" si="43"/>
        <v>0</v>
      </c>
      <c r="AA183" s="172">
        <f t="shared" si="43"/>
        <v>4</v>
      </c>
      <c r="AB183" s="172">
        <f t="shared" si="43"/>
        <v>9</v>
      </c>
      <c r="AC183" s="172">
        <f t="shared" si="43"/>
        <v>4</v>
      </c>
      <c r="AD183" s="172">
        <f t="shared" si="43"/>
        <v>0</v>
      </c>
      <c r="AE183" s="173">
        <f t="shared" si="43"/>
        <v>626</v>
      </c>
      <c r="AF183" s="174">
        <v>0.0</v>
      </c>
      <c r="AG183" s="70" t="str">
        <f t="shared" si="24"/>
        <v>ok</v>
      </c>
      <c r="AH183" s="120"/>
    </row>
    <row r="184" ht="18.75" hidden="1" customHeight="1" outlineLevel="1">
      <c r="A184" s="159"/>
      <c r="B184" s="122" t="s">
        <v>3082</v>
      </c>
      <c r="C184" s="123" t="s">
        <v>5781</v>
      </c>
      <c r="D184" s="124" t="str">
        <f>IFERROR(VLOOKUP(B184,'Danh mục'!$G:$U,15,0),"")</f>
        <v/>
      </c>
      <c r="E184" s="124" t="s">
        <v>5776</v>
      </c>
      <c r="F184" s="126">
        <f>COUNTIFS('TỔNG KLH + TN'!$B:$B,'01. TH'!$B184,'TỔNG KLH + TN'!$C:$C,'01. TH'!F$4)</f>
        <v>0</v>
      </c>
      <c r="G184" s="126">
        <f>COUNTIFS('TỔNG KLH + TN'!$B:$B,'01. TH'!$B184,'TỔNG KLH + TN'!$C:$C,'01. TH'!G$4)</f>
        <v>0</v>
      </c>
      <c r="H184" s="126">
        <f>COUNTIFS('TỔNG KLH + TN'!$B:$B,'01. TH'!$B184,'TỔNG KLH + TN'!$C:$C,'01. TH'!H$4)</f>
        <v>2</v>
      </c>
      <c r="I184" s="126">
        <f>COUNTIFS('TỔNG KLH + TN'!$B:$B,'01. TH'!$B184,'TỔNG KLH + TN'!$C:$C,'01. TH'!I$4)</f>
        <v>2</v>
      </c>
      <c r="J184" s="126">
        <f>COUNTIFS('TỔNG KLH + TN'!$B:$B,'01. TH'!$B184,'TỔNG KLH + TN'!$C:$C,'01. TH'!J$4)</f>
        <v>2</v>
      </c>
      <c r="K184" s="126">
        <f>COUNTIFS('TỔNG KLH + TN'!$B:$B,'01. TH'!$B184,'TỔNG KLH + TN'!$C:$C,'01. TH'!K$4)</f>
        <v>0</v>
      </c>
      <c r="L184" s="126">
        <f>COUNTIFS('TỔNG KLH + TN'!$B:$B,'01. TH'!$B184,'TỔNG KLH + TN'!$C:$C,'01. TH'!L$4)</f>
        <v>0</v>
      </c>
      <c r="M184" s="126">
        <f>COUNTIFS('TỔNG KLH + TN'!$B:$B,'01. TH'!$B184,'TỔNG KLH + TN'!$C:$C,'01. TH'!M$4)</f>
        <v>0</v>
      </c>
      <c r="N184" s="126">
        <f>COUNTIFS('TỔNG KLH + TN'!$B:$B,'01. TH'!$B184,'TỔNG KLH + TN'!$C:$C,'01. TH'!N$4)</f>
        <v>0</v>
      </c>
      <c r="O184" s="126">
        <f>COUNTIFS('TỔNG KLH + TN'!$B:$B,'01. TH'!$B184,'TỔNG KLH + TN'!$C:$C,'01. TH'!O$4)</f>
        <v>0</v>
      </c>
      <c r="P184" s="126">
        <f>COUNTIFS('TỔNG KLH + TN'!$B:$B,'01. TH'!$B184,'TỔNG KLH + TN'!$C:$C,'01. TH'!P$4)</f>
        <v>0</v>
      </c>
      <c r="Q184" s="126">
        <f>COUNTIFS('TỔNG KLH + TN'!$B:$B,'01. TH'!$B184,'TỔNG KLH + TN'!$C:$C,'01. TH'!Q$4)</f>
        <v>0</v>
      </c>
      <c r="R184" s="126">
        <f>COUNTIFS('TỔNG KLH + TN'!$B:$B,'01. TH'!$B184,'TỔNG KLH + TN'!$C:$C,'01. TH'!R$4)</f>
        <v>2</v>
      </c>
      <c r="S184" s="126">
        <f>COUNTIFS('TỔNG KLH + TN'!$B:$B,'01. TH'!$B184,'TỔNG KLH + TN'!$C:$C,'01. TH'!S$4)</f>
        <v>0</v>
      </c>
      <c r="T184" s="126">
        <f>COUNTIFS('TỔNG KLH + TN'!$B:$B,'01. TH'!$B184,'TỔNG KLH + TN'!$C:$C,'01. TH'!T$4)</f>
        <v>0</v>
      </c>
      <c r="U184" s="126">
        <f>COUNTIFS('TỔNG KLH + TN'!$B:$B,'01. TH'!$B184,'TỔNG KLH + TN'!$C:$C,'01. TH'!U$4)</f>
        <v>0</v>
      </c>
      <c r="V184" s="126">
        <f>COUNTIFS('TỔNG KLH + TN'!$B:$B,'01. TH'!$B184,'TỔNG KLH + TN'!$C:$C,'01. TH'!V$4)</f>
        <v>0</v>
      </c>
      <c r="W184" s="126">
        <f>COUNTIFS('TỔNG KLH + TN'!$B:$B,'01. TH'!$B184,'TỔNG KLH + TN'!$C:$C,'01. TH'!W$4)</f>
        <v>0</v>
      </c>
      <c r="X184" s="126">
        <f>COUNTIFS('TỔNG KLH + TN'!$B:$B,'01. TH'!$B184,'TỔNG KLH + TN'!$C:$C,'01. TH'!X$4)</f>
        <v>0</v>
      </c>
      <c r="Y184" s="126">
        <f>COUNTIFS('TỔNG KLH + TN'!$B:$B,'01. TH'!$B184,'TỔNG KLH + TN'!$C:$C,'01. TH'!Y$4)</f>
        <v>0</v>
      </c>
      <c r="Z184" s="126">
        <f>COUNTIFS('TỔNG KLH + TN'!$B:$B,'01. TH'!$B184,'TỔNG KLH + TN'!$C:$C,'01. TH'!Z$4)</f>
        <v>0</v>
      </c>
      <c r="AA184" s="126">
        <f>COUNTIFS('TỔNG KLH + TN'!$B:$B,'01. TH'!$B184,'TỔNG KLH + TN'!$C:$C,'01. TH'!AA$4)</f>
        <v>0</v>
      </c>
      <c r="AB184" s="126">
        <f>COUNTIFS('TỔNG KLH + TN'!$B:$B,'01. TH'!$B184,'TỔNG KLH + TN'!$C:$C,'01. TH'!AB$4)</f>
        <v>0</v>
      </c>
      <c r="AC184" s="126">
        <f>COUNTIFS('TỔNG KLH + TN'!$B:$B,'01. TH'!$B184,'TỔNG KLH + TN'!$C:$C,'01. TH'!AC$4)</f>
        <v>0</v>
      </c>
      <c r="AD184" s="126">
        <f>COUNTIFS('TỔNG KLH + TN'!$B:$B,'01. TH'!$B184,'TỔNG KLH + TN'!$C:$C,'01. TH'!AD$4)</f>
        <v>0</v>
      </c>
      <c r="AE184" s="162">
        <f t="shared" ref="AE184:AE201" si="44">SUM(F184:AD184)</f>
        <v>8</v>
      </c>
      <c r="AF184" s="162"/>
      <c r="AG184" s="70" t="str">
        <f t="shared" si="24"/>
        <v>ok</v>
      </c>
      <c r="AH184" s="163"/>
    </row>
    <row r="185" ht="18.75" hidden="1" customHeight="1" outlineLevel="1">
      <c r="A185" s="121"/>
      <c r="B185" s="122" t="s">
        <v>1515</v>
      </c>
      <c r="C185" s="123" t="s">
        <v>1243</v>
      </c>
      <c r="D185" s="124" t="str">
        <f>IFERROR(VLOOKUP(B185,'Danh mục'!$G:$U,15,0),"")</f>
        <v/>
      </c>
      <c r="E185" s="124" t="s">
        <v>5776</v>
      </c>
      <c r="F185" s="126">
        <f>COUNTIFS('TỔNG KLH + TN'!$B:$B,'01. TH'!$B185,'TỔNG KLH + TN'!$C:$C,'01. TH'!F$4)</f>
        <v>0</v>
      </c>
      <c r="G185" s="126">
        <f>COUNTIFS('TỔNG KLH + TN'!$B:$B,'01. TH'!$B185,'TỔNG KLH + TN'!$C:$C,'01. TH'!G$4)</f>
        <v>0</v>
      </c>
      <c r="H185" s="126">
        <f>COUNTIFS('TỔNG KLH + TN'!$B:$B,'01. TH'!$B185,'TỔNG KLH + TN'!$C:$C,'01. TH'!H$4)</f>
        <v>0</v>
      </c>
      <c r="I185" s="126">
        <f>COUNTIFS('TỔNG KLH + TN'!$B:$B,'01. TH'!$B185,'TỔNG KLH + TN'!$C:$C,'01. TH'!I$4)</f>
        <v>0</v>
      </c>
      <c r="J185" s="126">
        <f>COUNTIFS('TỔNG KLH + TN'!$B:$B,'01. TH'!$B185,'TỔNG KLH + TN'!$C:$C,'01. TH'!J$4)</f>
        <v>0</v>
      </c>
      <c r="K185" s="126">
        <f>COUNTIFS('TỔNG KLH + TN'!$B:$B,'01. TH'!$B185,'TỔNG KLH + TN'!$C:$C,'01. TH'!K$4)</f>
        <v>0</v>
      </c>
      <c r="L185" s="126">
        <f>COUNTIFS('TỔNG KLH + TN'!$B:$B,'01. TH'!$B185,'TỔNG KLH + TN'!$C:$C,'01. TH'!L$4)</f>
        <v>0</v>
      </c>
      <c r="M185" s="126">
        <f>COUNTIFS('TỔNG KLH + TN'!$B:$B,'01. TH'!$B185,'TỔNG KLH + TN'!$C:$C,'01. TH'!M$4)</f>
        <v>0</v>
      </c>
      <c r="N185" s="126">
        <f>COUNTIFS('TỔNG KLH + TN'!$B:$B,'01. TH'!$B185,'TỔNG KLH + TN'!$C:$C,'01. TH'!N$4)</f>
        <v>0</v>
      </c>
      <c r="O185" s="126">
        <f>COUNTIFS('TỔNG KLH + TN'!$B:$B,'01. TH'!$B185,'TỔNG KLH + TN'!$C:$C,'01. TH'!O$4)</f>
        <v>0</v>
      </c>
      <c r="P185" s="126">
        <f>COUNTIFS('TỔNG KLH + TN'!$B:$B,'01. TH'!$B185,'TỔNG KLH + TN'!$C:$C,'01. TH'!P$4)</f>
        <v>0</v>
      </c>
      <c r="Q185" s="126">
        <f>COUNTIFS('TỔNG KLH + TN'!$B:$B,'01. TH'!$B185,'TỔNG KLH + TN'!$C:$C,'01. TH'!Q$4)</f>
        <v>0</v>
      </c>
      <c r="R185" s="126">
        <f>COUNTIFS('TỔNG KLH + TN'!$B:$B,'01. TH'!$B185,'TỔNG KLH + TN'!$C:$C,'01. TH'!R$4)</f>
        <v>1</v>
      </c>
      <c r="S185" s="126">
        <f>COUNTIFS('TỔNG KLH + TN'!$B:$B,'01. TH'!$B185,'TỔNG KLH + TN'!$C:$C,'01. TH'!S$4)</f>
        <v>0</v>
      </c>
      <c r="T185" s="126">
        <f>COUNTIFS('TỔNG KLH + TN'!$B:$B,'01. TH'!$B185,'TỔNG KLH + TN'!$C:$C,'01. TH'!T$4)</f>
        <v>0</v>
      </c>
      <c r="U185" s="126">
        <f>COUNTIFS('TỔNG KLH + TN'!$B:$B,'01. TH'!$B185,'TỔNG KLH + TN'!$C:$C,'01. TH'!U$4)</f>
        <v>0</v>
      </c>
      <c r="V185" s="126">
        <f>COUNTIFS('TỔNG KLH + TN'!$B:$B,'01. TH'!$B185,'TỔNG KLH + TN'!$C:$C,'01. TH'!V$4)</f>
        <v>0</v>
      </c>
      <c r="W185" s="126">
        <f>COUNTIFS('TỔNG KLH + TN'!$B:$B,'01. TH'!$B185,'TỔNG KLH + TN'!$C:$C,'01. TH'!W$4)</f>
        <v>0</v>
      </c>
      <c r="X185" s="126">
        <f>COUNTIFS('TỔNG KLH + TN'!$B:$B,'01. TH'!$B185,'TỔNG KLH + TN'!$C:$C,'01. TH'!X$4)</f>
        <v>0</v>
      </c>
      <c r="Y185" s="126">
        <f>COUNTIFS('TỔNG KLH + TN'!$B:$B,'01. TH'!$B185,'TỔNG KLH + TN'!$C:$C,'01. TH'!Y$4)</f>
        <v>0</v>
      </c>
      <c r="Z185" s="126">
        <f>COUNTIFS('TỔNG KLH + TN'!$B:$B,'01. TH'!$B185,'TỔNG KLH + TN'!$C:$C,'01. TH'!Z$4)</f>
        <v>0</v>
      </c>
      <c r="AA185" s="126">
        <f>COUNTIFS('TỔNG KLH + TN'!$B:$B,'01. TH'!$B185,'TỔNG KLH + TN'!$C:$C,'01. TH'!AA$4)</f>
        <v>0</v>
      </c>
      <c r="AB185" s="126">
        <f>COUNTIFS('TỔNG KLH + TN'!$B:$B,'01. TH'!$B185,'TỔNG KLH + TN'!$C:$C,'01. TH'!AB$4)</f>
        <v>0</v>
      </c>
      <c r="AC185" s="126">
        <f>COUNTIFS('TỔNG KLH + TN'!$B:$B,'01. TH'!$B185,'TỔNG KLH + TN'!$C:$C,'01. TH'!AC$4)</f>
        <v>0</v>
      </c>
      <c r="AD185" s="126">
        <f>COUNTIFS('TỔNG KLH + TN'!$B:$B,'01. TH'!$B185,'TỔNG KLH + TN'!$C:$C,'01. TH'!AD$4)</f>
        <v>0</v>
      </c>
      <c r="AE185" s="136">
        <f t="shared" si="44"/>
        <v>1</v>
      </c>
      <c r="AF185" s="136"/>
      <c r="AG185" s="70" t="str">
        <f t="shared" si="24"/>
        <v>ok</v>
      </c>
      <c r="AH185" s="124"/>
    </row>
    <row r="186" ht="18.75" hidden="1" customHeight="1" outlineLevel="1">
      <c r="A186" s="159"/>
      <c r="B186" s="122" t="s">
        <v>975</v>
      </c>
      <c r="C186" s="123" t="s">
        <v>981</v>
      </c>
      <c r="D186" s="124" t="str">
        <f>IFERROR(VLOOKUP(B186,'Danh mục'!$G:$U,15,0),"")</f>
        <v/>
      </c>
      <c r="E186" s="124" t="s">
        <v>5776</v>
      </c>
      <c r="F186" s="126">
        <f>COUNTIFS('TỔNG KLH + TN'!$B:$B,'01. TH'!$B186,'TỔNG KLH + TN'!$C:$C,'01. TH'!F$4)</f>
        <v>0</v>
      </c>
      <c r="G186" s="126">
        <f>COUNTIFS('TỔNG KLH + TN'!$B:$B,'01. TH'!$B186,'TỔNG KLH + TN'!$C:$C,'01. TH'!G$4)</f>
        <v>0</v>
      </c>
      <c r="H186" s="126">
        <f>COUNTIFS('TỔNG KLH + TN'!$B:$B,'01. TH'!$B186,'TỔNG KLH + TN'!$C:$C,'01. TH'!H$4)</f>
        <v>1</v>
      </c>
      <c r="I186" s="126">
        <f>COUNTIFS('TỔNG KLH + TN'!$B:$B,'01. TH'!$B186,'TỔNG KLH + TN'!$C:$C,'01. TH'!I$4)</f>
        <v>2</v>
      </c>
      <c r="J186" s="126">
        <f>COUNTIFS('TỔNG KLH + TN'!$B:$B,'01. TH'!$B186,'TỔNG KLH + TN'!$C:$C,'01. TH'!J$4)</f>
        <v>1</v>
      </c>
      <c r="K186" s="126">
        <f>COUNTIFS('TỔNG KLH + TN'!$B:$B,'01. TH'!$B186,'TỔNG KLH + TN'!$C:$C,'01. TH'!K$4)</f>
        <v>0</v>
      </c>
      <c r="L186" s="126">
        <f>COUNTIFS('TỔNG KLH + TN'!$B:$B,'01. TH'!$B186,'TỔNG KLH + TN'!$C:$C,'01. TH'!L$4)</f>
        <v>0</v>
      </c>
      <c r="M186" s="126">
        <f>COUNTIFS('TỔNG KLH + TN'!$B:$B,'01. TH'!$B186,'TỔNG KLH + TN'!$C:$C,'01. TH'!M$4)</f>
        <v>0</v>
      </c>
      <c r="N186" s="126">
        <f>COUNTIFS('TỔNG KLH + TN'!$B:$B,'01. TH'!$B186,'TỔNG KLH + TN'!$C:$C,'01. TH'!N$4)</f>
        <v>0</v>
      </c>
      <c r="O186" s="126">
        <f>COUNTIFS('TỔNG KLH + TN'!$B:$B,'01. TH'!$B186,'TỔNG KLH + TN'!$C:$C,'01. TH'!O$4)</f>
        <v>0</v>
      </c>
      <c r="P186" s="126">
        <f>COUNTIFS('TỔNG KLH + TN'!$B:$B,'01. TH'!$B186,'TỔNG KLH + TN'!$C:$C,'01. TH'!P$4)</f>
        <v>0</v>
      </c>
      <c r="Q186" s="126">
        <f>COUNTIFS('TỔNG KLH + TN'!$B:$B,'01. TH'!$B186,'TỔNG KLH + TN'!$C:$C,'01. TH'!Q$4)</f>
        <v>0</v>
      </c>
      <c r="R186" s="126">
        <f>COUNTIFS('TỔNG KLH + TN'!$B:$B,'01. TH'!$B186,'TỔNG KLH + TN'!$C:$C,'01. TH'!R$4)</f>
        <v>0</v>
      </c>
      <c r="S186" s="126">
        <f>COUNTIFS('TỔNG KLH + TN'!$B:$B,'01. TH'!$B186,'TỔNG KLH + TN'!$C:$C,'01. TH'!S$4)</f>
        <v>0</v>
      </c>
      <c r="T186" s="126">
        <f>COUNTIFS('TỔNG KLH + TN'!$B:$B,'01. TH'!$B186,'TỔNG KLH + TN'!$C:$C,'01. TH'!T$4)</f>
        <v>0</v>
      </c>
      <c r="U186" s="126">
        <f>COUNTIFS('TỔNG KLH + TN'!$B:$B,'01. TH'!$B186,'TỔNG KLH + TN'!$C:$C,'01. TH'!U$4)</f>
        <v>0</v>
      </c>
      <c r="V186" s="126">
        <f>COUNTIFS('TỔNG KLH + TN'!$B:$B,'01. TH'!$B186,'TỔNG KLH + TN'!$C:$C,'01. TH'!V$4)</f>
        <v>0</v>
      </c>
      <c r="W186" s="126">
        <f>COUNTIFS('TỔNG KLH + TN'!$B:$B,'01. TH'!$B186,'TỔNG KLH + TN'!$C:$C,'01. TH'!W$4)</f>
        <v>0</v>
      </c>
      <c r="X186" s="126">
        <f>COUNTIFS('TỔNG KLH + TN'!$B:$B,'01. TH'!$B186,'TỔNG KLH + TN'!$C:$C,'01. TH'!X$4)</f>
        <v>0</v>
      </c>
      <c r="Y186" s="126">
        <f>COUNTIFS('TỔNG KLH + TN'!$B:$B,'01. TH'!$B186,'TỔNG KLH + TN'!$C:$C,'01. TH'!Y$4)</f>
        <v>0</v>
      </c>
      <c r="Z186" s="126">
        <f>COUNTIFS('TỔNG KLH + TN'!$B:$B,'01. TH'!$B186,'TỔNG KLH + TN'!$C:$C,'01. TH'!Z$4)</f>
        <v>0</v>
      </c>
      <c r="AA186" s="126">
        <f>COUNTIFS('TỔNG KLH + TN'!$B:$B,'01. TH'!$B186,'TỔNG KLH + TN'!$C:$C,'01. TH'!AA$4)</f>
        <v>0</v>
      </c>
      <c r="AB186" s="126">
        <f>COUNTIFS('TỔNG KLH + TN'!$B:$B,'01. TH'!$B186,'TỔNG KLH + TN'!$C:$C,'01. TH'!AB$4)</f>
        <v>0</v>
      </c>
      <c r="AC186" s="126">
        <f>COUNTIFS('TỔNG KLH + TN'!$B:$B,'01. TH'!$B186,'TỔNG KLH + TN'!$C:$C,'01. TH'!AC$4)</f>
        <v>0</v>
      </c>
      <c r="AD186" s="126">
        <f>COUNTIFS('TỔNG KLH + TN'!$B:$B,'01. TH'!$B186,'TỔNG KLH + TN'!$C:$C,'01. TH'!AD$4)</f>
        <v>0</v>
      </c>
      <c r="AE186" s="162">
        <f t="shared" si="44"/>
        <v>4</v>
      </c>
      <c r="AF186" s="162"/>
      <c r="AG186" s="70" t="str">
        <f t="shared" si="24"/>
        <v>ok</v>
      </c>
      <c r="AH186" s="163"/>
    </row>
    <row r="187" ht="18.75" hidden="1" customHeight="1" outlineLevel="1">
      <c r="A187" s="121"/>
      <c r="B187" s="122" t="s">
        <v>965</v>
      </c>
      <c r="C187" s="123" t="s">
        <v>970</v>
      </c>
      <c r="D187" s="124" t="str">
        <f>IFERROR(VLOOKUP(B187,'Danh mục'!$G:$U,15,0),"")</f>
        <v/>
      </c>
      <c r="E187" s="124" t="s">
        <v>5776</v>
      </c>
      <c r="F187" s="126">
        <f>COUNTIFS('TỔNG KLH + TN'!$B:$B,'01. TH'!$B187,'TỔNG KLH + TN'!$C:$C,'01. TH'!F$4)</f>
        <v>0</v>
      </c>
      <c r="G187" s="126">
        <f>COUNTIFS('TỔNG KLH + TN'!$B:$B,'01. TH'!$B187,'TỔNG KLH + TN'!$C:$C,'01. TH'!G$4)</f>
        <v>0</v>
      </c>
      <c r="H187" s="126">
        <f>COUNTIFS('TỔNG KLH + TN'!$B:$B,'01. TH'!$B187,'TỔNG KLH + TN'!$C:$C,'01. TH'!H$4)</f>
        <v>1</v>
      </c>
      <c r="I187" s="126">
        <f>COUNTIFS('TỔNG KLH + TN'!$B:$B,'01. TH'!$B187,'TỔNG KLH + TN'!$C:$C,'01. TH'!I$4)</f>
        <v>0</v>
      </c>
      <c r="J187" s="126">
        <f>COUNTIFS('TỔNG KLH + TN'!$B:$B,'01. TH'!$B187,'TỔNG KLH + TN'!$C:$C,'01. TH'!J$4)</f>
        <v>0</v>
      </c>
      <c r="K187" s="126">
        <f>COUNTIFS('TỔNG KLH + TN'!$B:$B,'01. TH'!$B187,'TỔNG KLH + TN'!$C:$C,'01. TH'!K$4)</f>
        <v>0</v>
      </c>
      <c r="L187" s="126">
        <f>COUNTIFS('TỔNG KLH + TN'!$B:$B,'01. TH'!$B187,'TỔNG KLH + TN'!$C:$C,'01. TH'!L$4)</f>
        <v>0</v>
      </c>
      <c r="M187" s="126">
        <f>COUNTIFS('TỔNG KLH + TN'!$B:$B,'01. TH'!$B187,'TỔNG KLH + TN'!$C:$C,'01. TH'!M$4)</f>
        <v>0</v>
      </c>
      <c r="N187" s="126">
        <f>COUNTIFS('TỔNG KLH + TN'!$B:$B,'01. TH'!$B187,'TỔNG KLH + TN'!$C:$C,'01. TH'!N$4)</f>
        <v>0</v>
      </c>
      <c r="O187" s="126">
        <f>COUNTIFS('TỔNG KLH + TN'!$B:$B,'01. TH'!$B187,'TỔNG KLH + TN'!$C:$C,'01. TH'!O$4)</f>
        <v>0</v>
      </c>
      <c r="P187" s="126">
        <f>COUNTIFS('TỔNG KLH + TN'!$B:$B,'01. TH'!$B187,'TỔNG KLH + TN'!$C:$C,'01. TH'!P$4)</f>
        <v>0</v>
      </c>
      <c r="Q187" s="126">
        <f>COUNTIFS('TỔNG KLH + TN'!$B:$B,'01. TH'!$B187,'TỔNG KLH + TN'!$C:$C,'01. TH'!Q$4)</f>
        <v>0</v>
      </c>
      <c r="R187" s="126">
        <f>COUNTIFS('TỔNG KLH + TN'!$B:$B,'01. TH'!$B187,'TỔNG KLH + TN'!$C:$C,'01. TH'!R$4)</f>
        <v>0</v>
      </c>
      <c r="S187" s="126">
        <f>COUNTIFS('TỔNG KLH + TN'!$B:$B,'01. TH'!$B187,'TỔNG KLH + TN'!$C:$C,'01. TH'!S$4)</f>
        <v>0</v>
      </c>
      <c r="T187" s="126">
        <f>COUNTIFS('TỔNG KLH + TN'!$B:$B,'01. TH'!$B187,'TỔNG KLH + TN'!$C:$C,'01. TH'!T$4)</f>
        <v>0</v>
      </c>
      <c r="U187" s="126">
        <f>COUNTIFS('TỔNG KLH + TN'!$B:$B,'01. TH'!$B187,'TỔNG KLH + TN'!$C:$C,'01. TH'!U$4)</f>
        <v>0</v>
      </c>
      <c r="V187" s="126">
        <f>COUNTIFS('TỔNG KLH + TN'!$B:$B,'01. TH'!$B187,'TỔNG KLH + TN'!$C:$C,'01. TH'!V$4)</f>
        <v>0</v>
      </c>
      <c r="W187" s="126">
        <f>COUNTIFS('TỔNG KLH + TN'!$B:$B,'01. TH'!$B187,'TỔNG KLH + TN'!$C:$C,'01. TH'!W$4)</f>
        <v>0</v>
      </c>
      <c r="X187" s="126">
        <f>COUNTIFS('TỔNG KLH + TN'!$B:$B,'01. TH'!$B187,'TỔNG KLH + TN'!$C:$C,'01. TH'!X$4)</f>
        <v>0</v>
      </c>
      <c r="Y187" s="126">
        <f>COUNTIFS('TỔNG KLH + TN'!$B:$B,'01. TH'!$B187,'TỔNG KLH + TN'!$C:$C,'01. TH'!Y$4)</f>
        <v>0</v>
      </c>
      <c r="Z187" s="126">
        <f>COUNTIFS('TỔNG KLH + TN'!$B:$B,'01. TH'!$B187,'TỔNG KLH + TN'!$C:$C,'01. TH'!Z$4)</f>
        <v>0</v>
      </c>
      <c r="AA187" s="126">
        <f>COUNTIFS('TỔNG KLH + TN'!$B:$B,'01. TH'!$B187,'TỔNG KLH + TN'!$C:$C,'01. TH'!AA$4)</f>
        <v>0</v>
      </c>
      <c r="AB187" s="126">
        <f>COUNTIFS('TỔNG KLH + TN'!$B:$B,'01. TH'!$B187,'TỔNG KLH + TN'!$C:$C,'01. TH'!AB$4)</f>
        <v>0</v>
      </c>
      <c r="AC187" s="126">
        <f>COUNTIFS('TỔNG KLH + TN'!$B:$B,'01. TH'!$B187,'TỔNG KLH + TN'!$C:$C,'01. TH'!AC$4)</f>
        <v>0</v>
      </c>
      <c r="AD187" s="126">
        <f>COUNTIFS('TỔNG KLH + TN'!$B:$B,'01. TH'!$B187,'TỔNG KLH + TN'!$C:$C,'01. TH'!AD$4)</f>
        <v>0</v>
      </c>
      <c r="AE187" s="136">
        <f t="shared" si="44"/>
        <v>1</v>
      </c>
      <c r="AF187" s="136"/>
      <c r="AG187" s="70" t="str">
        <f t="shared" si="24"/>
        <v>ok</v>
      </c>
      <c r="AH187" s="124"/>
    </row>
    <row r="188" ht="18.75" hidden="1" customHeight="1" outlineLevel="1">
      <c r="A188" s="121"/>
      <c r="B188" s="122" t="s">
        <v>985</v>
      </c>
      <c r="C188" s="123" t="s">
        <v>970</v>
      </c>
      <c r="D188" s="124" t="str">
        <f>IFERROR(VLOOKUP(B188,'Danh mục'!$G:$U,15,0),"")</f>
        <v/>
      </c>
      <c r="E188" s="124" t="s">
        <v>5776</v>
      </c>
      <c r="F188" s="126">
        <f>COUNTIFS('TỔNG KLH + TN'!$B:$B,'01. TH'!$B188,'TỔNG KLH + TN'!$C:$C,'01. TH'!F$4)</f>
        <v>0</v>
      </c>
      <c r="G188" s="126">
        <f>COUNTIFS('TỔNG KLH + TN'!$B:$B,'01. TH'!$B188,'TỔNG KLH + TN'!$C:$C,'01. TH'!G$4)</f>
        <v>0</v>
      </c>
      <c r="H188" s="126">
        <f>COUNTIFS('TỔNG KLH + TN'!$B:$B,'01. TH'!$B188,'TỔNG KLH + TN'!$C:$C,'01. TH'!H$4)</f>
        <v>4</v>
      </c>
      <c r="I188" s="126">
        <f>COUNTIFS('TỔNG KLH + TN'!$B:$B,'01. TH'!$B188,'TỔNG KLH + TN'!$C:$C,'01. TH'!I$4)</f>
        <v>4</v>
      </c>
      <c r="J188" s="126">
        <f>COUNTIFS('TỔNG KLH + TN'!$B:$B,'01. TH'!$B188,'TỔNG KLH + TN'!$C:$C,'01. TH'!J$4)</f>
        <v>6</v>
      </c>
      <c r="K188" s="126">
        <f>COUNTIFS('TỔNG KLH + TN'!$B:$B,'01. TH'!$B188,'TỔNG KLH + TN'!$C:$C,'01. TH'!K$4)</f>
        <v>0</v>
      </c>
      <c r="L188" s="126">
        <f>COUNTIFS('TỔNG KLH + TN'!$B:$B,'01. TH'!$B188,'TỔNG KLH + TN'!$C:$C,'01. TH'!L$4)</f>
        <v>0</v>
      </c>
      <c r="M188" s="126">
        <f>COUNTIFS('TỔNG KLH + TN'!$B:$B,'01. TH'!$B188,'TỔNG KLH + TN'!$C:$C,'01. TH'!M$4)</f>
        <v>0</v>
      </c>
      <c r="N188" s="126">
        <f>COUNTIFS('TỔNG KLH + TN'!$B:$B,'01. TH'!$B188,'TỔNG KLH + TN'!$C:$C,'01. TH'!N$4)</f>
        <v>0</v>
      </c>
      <c r="O188" s="126">
        <f>COUNTIFS('TỔNG KLH + TN'!$B:$B,'01. TH'!$B188,'TỔNG KLH + TN'!$C:$C,'01. TH'!O$4)</f>
        <v>0</v>
      </c>
      <c r="P188" s="126">
        <f>COUNTIFS('TỔNG KLH + TN'!$B:$B,'01. TH'!$B188,'TỔNG KLH + TN'!$C:$C,'01. TH'!P$4)</f>
        <v>0</v>
      </c>
      <c r="Q188" s="126">
        <f>COUNTIFS('TỔNG KLH + TN'!$B:$B,'01. TH'!$B188,'TỔNG KLH + TN'!$C:$C,'01. TH'!Q$4)</f>
        <v>4</v>
      </c>
      <c r="R188" s="126">
        <f>COUNTIFS('TỔNG KLH + TN'!$B:$B,'01. TH'!$B188,'TỔNG KLH + TN'!$C:$C,'01. TH'!R$4)</f>
        <v>4</v>
      </c>
      <c r="S188" s="126">
        <f>COUNTIFS('TỔNG KLH + TN'!$B:$B,'01. TH'!$B188,'TỔNG KLH + TN'!$C:$C,'01. TH'!S$4)</f>
        <v>0</v>
      </c>
      <c r="T188" s="126">
        <f>COUNTIFS('TỔNG KLH + TN'!$B:$B,'01. TH'!$B188,'TỔNG KLH + TN'!$C:$C,'01. TH'!T$4)</f>
        <v>0</v>
      </c>
      <c r="U188" s="126">
        <f>COUNTIFS('TỔNG KLH + TN'!$B:$B,'01. TH'!$B188,'TỔNG KLH + TN'!$C:$C,'01. TH'!U$4)</f>
        <v>0</v>
      </c>
      <c r="V188" s="126">
        <f>COUNTIFS('TỔNG KLH + TN'!$B:$B,'01. TH'!$B188,'TỔNG KLH + TN'!$C:$C,'01. TH'!V$4)</f>
        <v>0</v>
      </c>
      <c r="W188" s="126">
        <f>COUNTIFS('TỔNG KLH + TN'!$B:$B,'01. TH'!$B188,'TỔNG KLH + TN'!$C:$C,'01. TH'!W$4)</f>
        <v>0</v>
      </c>
      <c r="X188" s="126">
        <f>COUNTIFS('TỔNG KLH + TN'!$B:$B,'01. TH'!$B188,'TỔNG KLH + TN'!$C:$C,'01. TH'!X$4)</f>
        <v>0</v>
      </c>
      <c r="Y188" s="126">
        <f>COUNTIFS('TỔNG KLH + TN'!$B:$B,'01. TH'!$B188,'TỔNG KLH + TN'!$C:$C,'01. TH'!Y$4)</f>
        <v>0</v>
      </c>
      <c r="Z188" s="126">
        <f>COUNTIFS('TỔNG KLH + TN'!$B:$B,'01. TH'!$B188,'TỔNG KLH + TN'!$C:$C,'01. TH'!Z$4)</f>
        <v>0</v>
      </c>
      <c r="AA188" s="126">
        <f>COUNTIFS('TỔNG KLH + TN'!$B:$B,'01. TH'!$B188,'TỔNG KLH + TN'!$C:$C,'01. TH'!AA$4)</f>
        <v>0</v>
      </c>
      <c r="AB188" s="126">
        <f>COUNTIFS('TỔNG KLH + TN'!$B:$B,'01. TH'!$B188,'TỔNG KLH + TN'!$C:$C,'01. TH'!AB$4)</f>
        <v>0</v>
      </c>
      <c r="AC188" s="126">
        <f>COUNTIFS('TỔNG KLH + TN'!$B:$B,'01. TH'!$B188,'TỔNG KLH + TN'!$C:$C,'01. TH'!AC$4)</f>
        <v>0</v>
      </c>
      <c r="AD188" s="126">
        <f>COUNTIFS('TỔNG KLH + TN'!$B:$B,'01. TH'!$B188,'TỔNG KLH + TN'!$C:$C,'01. TH'!AD$4)</f>
        <v>0</v>
      </c>
      <c r="AE188" s="136">
        <f t="shared" si="44"/>
        <v>22</v>
      </c>
      <c r="AF188" s="136"/>
      <c r="AG188" s="70" t="str">
        <f t="shared" si="24"/>
        <v>ok</v>
      </c>
      <c r="AH188" s="124"/>
    </row>
    <row r="189" ht="18.75" hidden="1" customHeight="1" outlineLevel="1">
      <c r="A189" s="159"/>
      <c r="B189" s="122" t="s">
        <v>1357</v>
      </c>
      <c r="C189" s="123" t="s">
        <v>1243</v>
      </c>
      <c r="D189" s="124" t="str">
        <f>IFERROR(VLOOKUP(B189,'Danh mục'!$G:$U,15,0),"")</f>
        <v/>
      </c>
      <c r="E189" s="124" t="s">
        <v>5776</v>
      </c>
      <c r="F189" s="126">
        <f>COUNTIFS('TỔNG KLH + TN'!$B:$B,'01. TH'!$B189,'TỔNG KLH + TN'!$C:$C,'01. TH'!F$4)</f>
        <v>0</v>
      </c>
      <c r="G189" s="126">
        <f>COUNTIFS('TỔNG KLH + TN'!$B:$B,'01. TH'!$B189,'TỔNG KLH + TN'!$C:$C,'01. TH'!G$4)</f>
        <v>0</v>
      </c>
      <c r="H189" s="126">
        <f>COUNTIFS('TỔNG KLH + TN'!$B:$B,'01. TH'!$B189,'TỔNG KLH + TN'!$C:$C,'01. TH'!H$4)</f>
        <v>0</v>
      </c>
      <c r="I189" s="126">
        <f>COUNTIFS('TỔNG KLH + TN'!$B:$B,'01. TH'!$B189,'TỔNG KLH + TN'!$C:$C,'01. TH'!I$4)</f>
        <v>0</v>
      </c>
      <c r="J189" s="126">
        <f>COUNTIFS('TỔNG KLH + TN'!$B:$B,'01. TH'!$B189,'TỔNG KLH + TN'!$C:$C,'01. TH'!J$4)</f>
        <v>0</v>
      </c>
      <c r="K189" s="126">
        <f>COUNTIFS('TỔNG KLH + TN'!$B:$B,'01. TH'!$B189,'TỔNG KLH + TN'!$C:$C,'01. TH'!K$4)</f>
        <v>0</v>
      </c>
      <c r="L189" s="126">
        <f>COUNTIFS('TỔNG KLH + TN'!$B:$B,'01. TH'!$B189,'TỔNG KLH + TN'!$C:$C,'01. TH'!L$4)</f>
        <v>0</v>
      </c>
      <c r="M189" s="126">
        <f>COUNTIFS('TỔNG KLH + TN'!$B:$B,'01. TH'!$B189,'TỔNG KLH + TN'!$C:$C,'01. TH'!M$4)</f>
        <v>0</v>
      </c>
      <c r="N189" s="126">
        <f>COUNTIFS('TỔNG KLH + TN'!$B:$B,'01. TH'!$B189,'TỔNG KLH + TN'!$C:$C,'01. TH'!N$4)</f>
        <v>0</v>
      </c>
      <c r="O189" s="126">
        <f>COUNTIFS('TỔNG KLH + TN'!$B:$B,'01. TH'!$B189,'TỔNG KLH + TN'!$C:$C,'01. TH'!O$4)</f>
        <v>0</v>
      </c>
      <c r="P189" s="126">
        <f>COUNTIFS('TỔNG KLH + TN'!$B:$B,'01. TH'!$B189,'TỔNG KLH + TN'!$C:$C,'01. TH'!P$4)</f>
        <v>0</v>
      </c>
      <c r="Q189" s="126">
        <f>COUNTIFS('TỔNG KLH + TN'!$B:$B,'01. TH'!$B189,'TỔNG KLH + TN'!$C:$C,'01. TH'!Q$4)</f>
        <v>1</v>
      </c>
      <c r="R189" s="126">
        <f>COUNTIFS('TỔNG KLH + TN'!$B:$B,'01. TH'!$B189,'TỔNG KLH + TN'!$C:$C,'01. TH'!R$4)</f>
        <v>0</v>
      </c>
      <c r="S189" s="126">
        <f>COUNTIFS('TỔNG KLH + TN'!$B:$B,'01. TH'!$B189,'TỔNG KLH + TN'!$C:$C,'01. TH'!S$4)</f>
        <v>0</v>
      </c>
      <c r="T189" s="126">
        <f>COUNTIFS('TỔNG KLH + TN'!$B:$B,'01. TH'!$B189,'TỔNG KLH + TN'!$C:$C,'01. TH'!T$4)</f>
        <v>0</v>
      </c>
      <c r="U189" s="126">
        <f>COUNTIFS('TỔNG KLH + TN'!$B:$B,'01. TH'!$B189,'TỔNG KLH + TN'!$C:$C,'01. TH'!U$4)</f>
        <v>0</v>
      </c>
      <c r="V189" s="126">
        <f>COUNTIFS('TỔNG KLH + TN'!$B:$B,'01. TH'!$B189,'TỔNG KLH + TN'!$C:$C,'01. TH'!V$4)</f>
        <v>0</v>
      </c>
      <c r="W189" s="126">
        <f>COUNTIFS('TỔNG KLH + TN'!$B:$B,'01. TH'!$B189,'TỔNG KLH + TN'!$C:$C,'01. TH'!W$4)</f>
        <v>0</v>
      </c>
      <c r="X189" s="126">
        <f>COUNTIFS('TỔNG KLH + TN'!$B:$B,'01. TH'!$B189,'TỔNG KLH + TN'!$C:$C,'01. TH'!X$4)</f>
        <v>0</v>
      </c>
      <c r="Y189" s="126">
        <f>COUNTIFS('TỔNG KLH + TN'!$B:$B,'01. TH'!$B189,'TỔNG KLH + TN'!$C:$C,'01. TH'!Y$4)</f>
        <v>0</v>
      </c>
      <c r="Z189" s="126">
        <f>COUNTIFS('TỔNG KLH + TN'!$B:$B,'01. TH'!$B189,'TỔNG KLH + TN'!$C:$C,'01. TH'!Z$4)</f>
        <v>0</v>
      </c>
      <c r="AA189" s="126">
        <f>COUNTIFS('TỔNG KLH + TN'!$B:$B,'01. TH'!$B189,'TỔNG KLH + TN'!$C:$C,'01. TH'!AA$4)</f>
        <v>0</v>
      </c>
      <c r="AB189" s="126">
        <f>COUNTIFS('TỔNG KLH + TN'!$B:$B,'01. TH'!$B189,'TỔNG KLH + TN'!$C:$C,'01. TH'!AB$4)</f>
        <v>0</v>
      </c>
      <c r="AC189" s="126">
        <f>COUNTIFS('TỔNG KLH + TN'!$B:$B,'01. TH'!$B189,'TỔNG KLH + TN'!$C:$C,'01. TH'!AC$4)</f>
        <v>0</v>
      </c>
      <c r="AD189" s="126">
        <f>COUNTIFS('TỔNG KLH + TN'!$B:$B,'01. TH'!$B189,'TỔNG KLH + TN'!$C:$C,'01. TH'!AD$4)</f>
        <v>0</v>
      </c>
      <c r="AE189" s="162">
        <f t="shared" si="44"/>
        <v>1</v>
      </c>
      <c r="AF189" s="162"/>
      <c r="AG189" s="70" t="str">
        <f t="shared" si="24"/>
        <v>ok</v>
      </c>
      <c r="AH189" s="163"/>
    </row>
    <row r="190" ht="18.75" hidden="1" customHeight="1" outlineLevel="1">
      <c r="A190" s="121"/>
      <c r="B190" s="122" t="s">
        <v>2338</v>
      </c>
      <c r="C190" s="123" t="s">
        <v>3086</v>
      </c>
      <c r="D190" s="124" t="str">
        <f>IFERROR(VLOOKUP(B190,'Danh mục'!$G:$U,15,0),"")</f>
        <v/>
      </c>
      <c r="E190" s="124" t="s">
        <v>5776</v>
      </c>
      <c r="F190" s="126">
        <f>COUNTIFS('TỔNG KLH + TN'!$B:$B,'01. TH'!$B190,'TỔNG KLH + TN'!$C:$C,'01. TH'!F$4)</f>
        <v>0</v>
      </c>
      <c r="G190" s="126">
        <f>COUNTIFS('TỔNG KLH + TN'!$B:$B,'01. TH'!$B190,'TỔNG KLH + TN'!$C:$C,'01. TH'!G$4)</f>
        <v>0</v>
      </c>
      <c r="H190" s="126">
        <f>COUNTIFS('TỔNG KLH + TN'!$B:$B,'01. TH'!$B190,'TỔNG KLH + TN'!$C:$C,'01. TH'!H$4)</f>
        <v>0</v>
      </c>
      <c r="I190" s="126">
        <f>COUNTIFS('TỔNG KLH + TN'!$B:$B,'01. TH'!$B190,'TỔNG KLH + TN'!$C:$C,'01. TH'!I$4)</f>
        <v>0</v>
      </c>
      <c r="J190" s="126">
        <f>COUNTIFS('TỔNG KLH + TN'!$B:$B,'01. TH'!$B190,'TỔNG KLH + TN'!$C:$C,'01. TH'!J$4)</f>
        <v>0</v>
      </c>
      <c r="K190" s="126">
        <f>COUNTIFS('TỔNG KLH + TN'!$B:$B,'01. TH'!$B190,'TỔNG KLH + TN'!$C:$C,'01. TH'!K$4)</f>
        <v>0</v>
      </c>
      <c r="L190" s="126">
        <f>COUNTIFS('TỔNG KLH + TN'!$B:$B,'01. TH'!$B190,'TỔNG KLH + TN'!$C:$C,'01. TH'!L$4)</f>
        <v>0</v>
      </c>
      <c r="M190" s="126">
        <f>COUNTIFS('TỔNG KLH + TN'!$B:$B,'01. TH'!$B190,'TỔNG KLH + TN'!$C:$C,'01. TH'!M$4)</f>
        <v>0</v>
      </c>
      <c r="N190" s="126">
        <f>COUNTIFS('TỔNG KLH + TN'!$B:$B,'01. TH'!$B190,'TỔNG KLH + TN'!$C:$C,'01. TH'!N$4)</f>
        <v>0</v>
      </c>
      <c r="O190" s="126">
        <f>COUNTIFS('TỔNG KLH + TN'!$B:$B,'01. TH'!$B190,'TỔNG KLH + TN'!$C:$C,'01. TH'!O$4)</f>
        <v>0</v>
      </c>
      <c r="P190" s="126">
        <f>COUNTIFS('TỔNG KLH + TN'!$B:$B,'01. TH'!$B190,'TỔNG KLH + TN'!$C:$C,'01. TH'!P$4)</f>
        <v>0</v>
      </c>
      <c r="Q190" s="126">
        <f>COUNTIFS('TỔNG KLH + TN'!$B:$B,'01. TH'!$B190,'TỔNG KLH + TN'!$C:$C,'01. TH'!Q$4)</f>
        <v>0</v>
      </c>
      <c r="R190" s="126">
        <f>COUNTIFS('TỔNG KLH + TN'!$B:$B,'01. TH'!$B190,'TỔNG KLH + TN'!$C:$C,'01. TH'!R$4)</f>
        <v>0</v>
      </c>
      <c r="S190" s="126">
        <f>COUNTIFS('TỔNG KLH + TN'!$B:$B,'01. TH'!$B190,'TỔNG KLH + TN'!$C:$C,'01. TH'!S$4)</f>
        <v>0</v>
      </c>
      <c r="T190" s="126">
        <f>COUNTIFS('TỔNG KLH + TN'!$B:$B,'01. TH'!$B190,'TỔNG KLH + TN'!$C:$C,'01. TH'!T$4)</f>
        <v>0</v>
      </c>
      <c r="U190" s="126">
        <f>COUNTIFS('TỔNG KLH + TN'!$B:$B,'01. TH'!$B190,'TỔNG KLH + TN'!$C:$C,'01. TH'!U$4)</f>
        <v>5</v>
      </c>
      <c r="V190" s="126">
        <f>COUNTIFS('TỔNG KLH + TN'!$B:$B,'01. TH'!$B190,'TỔNG KLH + TN'!$C:$C,'01. TH'!V$4)</f>
        <v>0</v>
      </c>
      <c r="W190" s="126">
        <f>COUNTIFS('TỔNG KLH + TN'!$B:$B,'01. TH'!$B190,'TỔNG KLH + TN'!$C:$C,'01. TH'!W$4)</f>
        <v>0</v>
      </c>
      <c r="X190" s="126">
        <f>COUNTIFS('TỔNG KLH + TN'!$B:$B,'01. TH'!$B190,'TỔNG KLH + TN'!$C:$C,'01. TH'!X$4)</f>
        <v>0</v>
      </c>
      <c r="Y190" s="126">
        <f>COUNTIFS('TỔNG KLH + TN'!$B:$B,'01. TH'!$B190,'TỔNG KLH + TN'!$C:$C,'01. TH'!Y$4)</f>
        <v>0</v>
      </c>
      <c r="Z190" s="126">
        <f>COUNTIFS('TỔNG KLH + TN'!$B:$B,'01. TH'!$B190,'TỔNG KLH + TN'!$C:$C,'01. TH'!Z$4)</f>
        <v>0</v>
      </c>
      <c r="AA190" s="126">
        <f>COUNTIFS('TỔNG KLH + TN'!$B:$B,'01. TH'!$B190,'TỔNG KLH + TN'!$C:$C,'01. TH'!AA$4)</f>
        <v>0</v>
      </c>
      <c r="AB190" s="126">
        <f>COUNTIFS('TỔNG KLH + TN'!$B:$B,'01. TH'!$B190,'TỔNG KLH + TN'!$C:$C,'01. TH'!AB$4)</f>
        <v>0</v>
      </c>
      <c r="AC190" s="126">
        <f>COUNTIFS('TỔNG KLH + TN'!$B:$B,'01. TH'!$B190,'TỔNG KLH + TN'!$C:$C,'01. TH'!AC$4)</f>
        <v>0</v>
      </c>
      <c r="AD190" s="126">
        <f>COUNTIFS('TỔNG KLH + TN'!$B:$B,'01. TH'!$B190,'TỔNG KLH + TN'!$C:$C,'01. TH'!AD$4)</f>
        <v>0</v>
      </c>
      <c r="AE190" s="136">
        <f t="shared" si="44"/>
        <v>5</v>
      </c>
      <c r="AF190" s="136"/>
      <c r="AG190" s="70" t="str">
        <f t="shared" si="24"/>
        <v>ok</v>
      </c>
      <c r="AH190" s="124"/>
    </row>
    <row r="191" ht="18.75" hidden="1" customHeight="1" outlineLevel="1">
      <c r="A191" s="210"/>
      <c r="B191" s="122" t="s">
        <v>946</v>
      </c>
      <c r="C191" s="123" t="s">
        <v>950</v>
      </c>
      <c r="D191" s="124" t="str">
        <f>IFERROR(VLOOKUP(B191,'Danh mục'!$G:$U,15,0),"")</f>
        <v/>
      </c>
      <c r="E191" s="124" t="s">
        <v>5776</v>
      </c>
      <c r="F191" s="126">
        <f>COUNTIFS('TỔNG KLH + TN'!$B:$B,'01. TH'!$B191,'TỔNG KLH + TN'!$C:$C,'01. TH'!F$4)</f>
        <v>0</v>
      </c>
      <c r="G191" s="126">
        <f>COUNTIFS('TỔNG KLH + TN'!$B:$B,'01. TH'!$B191,'TỔNG KLH + TN'!$C:$C,'01. TH'!G$4)</f>
        <v>0</v>
      </c>
      <c r="H191" s="126">
        <f>COUNTIFS('TỔNG KLH + TN'!$B:$B,'01. TH'!$B191,'TỔNG KLH + TN'!$C:$C,'01. TH'!H$4)</f>
        <v>5</v>
      </c>
      <c r="I191" s="126">
        <f>COUNTIFS('TỔNG KLH + TN'!$B:$B,'01. TH'!$B191,'TỔNG KLH + TN'!$C:$C,'01. TH'!I$4)</f>
        <v>5</v>
      </c>
      <c r="J191" s="126">
        <f>COUNTIFS('TỔNG KLH + TN'!$B:$B,'01. TH'!$B191,'TỔNG KLH + TN'!$C:$C,'01. TH'!J$4)</f>
        <v>4</v>
      </c>
      <c r="K191" s="126">
        <f>COUNTIFS('TỔNG KLH + TN'!$B:$B,'01. TH'!$B191,'TỔNG KLH + TN'!$C:$C,'01. TH'!K$4)</f>
        <v>0</v>
      </c>
      <c r="L191" s="126">
        <f>COUNTIFS('TỔNG KLH + TN'!$B:$B,'01. TH'!$B191,'TỔNG KLH + TN'!$C:$C,'01. TH'!L$4)</f>
        <v>0</v>
      </c>
      <c r="M191" s="126">
        <f>COUNTIFS('TỔNG KLH + TN'!$B:$B,'01. TH'!$B191,'TỔNG KLH + TN'!$C:$C,'01. TH'!M$4)</f>
        <v>0</v>
      </c>
      <c r="N191" s="126">
        <f>COUNTIFS('TỔNG KLH + TN'!$B:$B,'01. TH'!$B191,'TỔNG KLH + TN'!$C:$C,'01. TH'!N$4)</f>
        <v>0</v>
      </c>
      <c r="O191" s="126">
        <f>COUNTIFS('TỔNG KLH + TN'!$B:$B,'01. TH'!$B191,'TỔNG KLH + TN'!$C:$C,'01. TH'!O$4)</f>
        <v>0</v>
      </c>
      <c r="P191" s="126">
        <f>COUNTIFS('TỔNG KLH + TN'!$B:$B,'01. TH'!$B191,'TỔNG KLH + TN'!$C:$C,'01. TH'!P$4)</f>
        <v>0</v>
      </c>
      <c r="Q191" s="126">
        <f>COUNTIFS('TỔNG KLH + TN'!$B:$B,'01. TH'!$B191,'TỔNG KLH + TN'!$C:$C,'01. TH'!Q$4)</f>
        <v>1</v>
      </c>
      <c r="R191" s="126">
        <f>COUNTIFS('TỔNG KLH + TN'!$B:$B,'01. TH'!$B191,'TỔNG KLH + TN'!$C:$C,'01. TH'!R$4)</f>
        <v>5</v>
      </c>
      <c r="S191" s="126">
        <f>COUNTIFS('TỔNG KLH + TN'!$B:$B,'01. TH'!$B191,'TỔNG KLH + TN'!$C:$C,'01. TH'!S$4)</f>
        <v>0</v>
      </c>
      <c r="T191" s="126">
        <f>COUNTIFS('TỔNG KLH + TN'!$B:$B,'01. TH'!$B191,'TỔNG KLH + TN'!$C:$C,'01. TH'!T$4)</f>
        <v>0</v>
      </c>
      <c r="U191" s="126">
        <f>COUNTIFS('TỔNG KLH + TN'!$B:$B,'01. TH'!$B191,'TỔNG KLH + TN'!$C:$C,'01. TH'!U$4)</f>
        <v>5</v>
      </c>
      <c r="V191" s="126">
        <f>COUNTIFS('TỔNG KLH + TN'!$B:$B,'01. TH'!$B191,'TỔNG KLH + TN'!$C:$C,'01. TH'!V$4)</f>
        <v>0</v>
      </c>
      <c r="W191" s="126">
        <f>COUNTIFS('TỔNG KLH + TN'!$B:$B,'01. TH'!$B191,'TỔNG KLH + TN'!$C:$C,'01. TH'!W$4)</f>
        <v>0</v>
      </c>
      <c r="X191" s="126">
        <f>COUNTIFS('TỔNG KLH + TN'!$B:$B,'01. TH'!$B191,'TỔNG KLH + TN'!$C:$C,'01. TH'!X$4)</f>
        <v>0</v>
      </c>
      <c r="Y191" s="126">
        <f>COUNTIFS('TỔNG KLH + TN'!$B:$B,'01. TH'!$B191,'TỔNG KLH + TN'!$C:$C,'01. TH'!Y$4)</f>
        <v>0</v>
      </c>
      <c r="Z191" s="126">
        <f>COUNTIFS('TỔNG KLH + TN'!$B:$B,'01. TH'!$B191,'TỔNG KLH + TN'!$C:$C,'01. TH'!Z$4)</f>
        <v>0</v>
      </c>
      <c r="AA191" s="126">
        <f>COUNTIFS('TỔNG KLH + TN'!$B:$B,'01. TH'!$B191,'TỔNG KLH + TN'!$C:$C,'01. TH'!AA$4)</f>
        <v>0</v>
      </c>
      <c r="AB191" s="126">
        <f>COUNTIFS('TỔNG KLH + TN'!$B:$B,'01. TH'!$B191,'TỔNG KLH + TN'!$C:$C,'01. TH'!AB$4)</f>
        <v>0</v>
      </c>
      <c r="AC191" s="126">
        <f>COUNTIFS('TỔNG KLH + TN'!$B:$B,'01. TH'!$B191,'TỔNG KLH + TN'!$C:$C,'01. TH'!AC$4)</f>
        <v>0</v>
      </c>
      <c r="AD191" s="126">
        <f>COUNTIFS('TỔNG KLH + TN'!$B:$B,'01. TH'!$B191,'TỔNG KLH + TN'!$C:$C,'01. TH'!AD$4)</f>
        <v>0</v>
      </c>
      <c r="AE191" s="162">
        <f t="shared" si="44"/>
        <v>25</v>
      </c>
      <c r="AF191" s="162"/>
      <c r="AG191" s="70" t="str">
        <f t="shared" si="24"/>
        <v>ok</v>
      </c>
      <c r="AH191" s="210"/>
    </row>
    <row r="192" ht="18.75" hidden="1" customHeight="1" outlineLevel="1">
      <c r="A192" s="159"/>
      <c r="B192" s="122" t="s">
        <v>2295</v>
      </c>
      <c r="C192" s="123" t="s">
        <v>970</v>
      </c>
      <c r="D192" s="124" t="str">
        <f>IFERROR(VLOOKUP(B192,'Danh mục'!$G:$U,15,0),"")</f>
        <v>3300 x 1300 x 1600</v>
      </c>
      <c r="E192" s="124" t="s">
        <v>5776</v>
      </c>
      <c r="F192" s="126">
        <f>COUNTIFS('TỔNG KLH + TN'!$B:$B,'01. TH'!$B192,'TỔNG KLH + TN'!$C:$C,'01. TH'!F$4)</f>
        <v>0</v>
      </c>
      <c r="G192" s="126">
        <f>COUNTIFS('TỔNG KLH + TN'!$B:$B,'01. TH'!$B192,'TỔNG KLH + TN'!$C:$C,'01. TH'!G$4)</f>
        <v>0</v>
      </c>
      <c r="H192" s="126">
        <f>COUNTIFS('TỔNG KLH + TN'!$B:$B,'01. TH'!$B192,'TỔNG KLH + TN'!$C:$C,'01. TH'!H$4)</f>
        <v>0</v>
      </c>
      <c r="I192" s="126">
        <f>COUNTIFS('TỔNG KLH + TN'!$B:$B,'01. TH'!$B192,'TỔNG KLH + TN'!$C:$C,'01. TH'!I$4)</f>
        <v>0</v>
      </c>
      <c r="J192" s="126">
        <f>COUNTIFS('TỔNG KLH + TN'!$B:$B,'01. TH'!$B192,'TỔNG KLH + TN'!$C:$C,'01. TH'!J$4)</f>
        <v>0</v>
      </c>
      <c r="K192" s="126">
        <f>COUNTIFS('TỔNG KLH + TN'!$B:$B,'01. TH'!$B192,'TỔNG KLH + TN'!$C:$C,'01. TH'!K$4)</f>
        <v>0</v>
      </c>
      <c r="L192" s="126">
        <f>COUNTIFS('TỔNG KLH + TN'!$B:$B,'01. TH'!$B192,'TỔNG KLH + TN'!$C:$C,'01. TH'!L$4)</f>
        <v>0</v>
      </c>
      <c r="M192" s="126">
        <f>COUNTIFS('TỔNG KLH + TN'!$B:$B,'01. TH'!$B192,'TỔNG KLH + TN'!$C:$C,'01. TH'!M$4)</f>
        <v>0</v>
      </c>
      <c r="N192" s="126">
        <f>COUNTIFS('TỔNG KLH + TN'!$B:$B,'01. TH'!$B192,'TỔNG KLH + TN'!$C:$C,'01. TH'!N$4)</f>
        <v>0</v>
      </c>
      <c r="O192" s="126">
        <f>COUNTIFS('TỔNG KLH + TN'!$B:$B,'01. TH'!$B192,'TỔNG KLH + TN'!$C:$C,'01. TH'!O$4)</f>
        <v>0</v>
      </c>
      <c r="P192" s="126">
        <f>COUNTIFS('TỔNG KLH + TN'!$B:$B,'01. TH'!$B192,'TỔNG KLH + TN'!$C:$C,'01. TH'!P$4)</f>
        <v>0</v>
      </c>
      <c r="Q192" s="126">
        <f>COUNTIFS('TỔNG KLH + TN'!$B:$B,'01. TH'!$B192,'TỔNG KLH + TN'!$C:$C,'01. TH'!Q$4)</f>
        <v>0</v>
      </c>
      <c r="R192" s="126">
        <f>COUNTIFS('TỔNG KLH + TN'!$B:$B,'01. TH'!$B192,'TỔNG KLH + TN'!$C:$C,'01. TH'!R$4)</f>
        <v>0</v>
      </c>
      <c r="S192" s="126">
        <f>COUNTIFS('TỔNG KLH + TN'!$B:$B,'01. TH'!$B192,'TỔNG KLH + TN'!$C:$C,'01. TH'!S$4)</f>
        <v>0</v>
      </c>
      <c r="T192" s="126">
        <f>COUNTIFS('TỔNG KLH + TN'!$B:$B,'01. TH'!$B192,'TỔNG KLH + TN'!$C:$C,'01. TH'!T$4)</f>
        <v>0</v>
      </c>
      <c r="U192" s="126">
        <f>COUNTIFS('TỔNG KLH + TN'!$B:$B,'01. TH'!$B192,'TỔNG KLH + TN'!$C:$C,'01. TH'!U$4)</f>
        <v>2</v>
      </c>
      <c r="V192" s="126">
        <f>COUNTIFS('TỔNG KLH + TN'!$B:$B,'01. TH'!$B192,'TỔNG KLH + TN'!$C:$C,'01. TH'!V$4)</f>
        <v>3</v>
      </c>
      <c r="W192" s="126">
        <f>COUNTIFS('TỔNG KLH + TN'!$B:$B,'01. TH'!$B192,'TỔNG KLH + TN'!$C:$C,'01. TH'!W$4)</f>
        <v>0</v>
      </c>
      <c r="X192" s="126">
        <f>COUNTIFS('TỔNG KLH + TN'!$B:$B,'01. TH'!$B192,'TỔNG KLH + TN'!$C:$C,'01. TH'!X$4)</f>
        <v>0</v>
      </c>
      <c r="Y192" s="126">
        <f>COUNTIFS('TỔNG KLH + TN'!$B:$B,'01. TH'!$B192,'TỔNG KLH + TN'!$C:$C,'01. TH'!Y$4)</f>
        <v>3</v>
      </c>
      <c r="Z192" s="126">
        <f>COUNTIFS('TỔNG KLH + TN'!$B:$B,'01. TH'!$B192,'TỔNG KLH + TN'!$C:$C,'01. TH'!Z$4)</f>
        <v>0</v>
      </c>
      <c r="AA192" s="126">
        <f>COUNTIFS('TỔNG KLH + TN'!$B:$B,'01. TH'!$B192,'TỔNG KLH + TN'!$C:$C,'01. TH'!AA$4)</f>
        <v>0</v>
      </c>
      <c r="AB192" s="126">
        <f>COUNTIFS('TỔNG KLH + TN'!$B:$B,'01. TH'!$B192,'TỔNG KLH + TN'!$C:$C,'01. TH'!AB$4)</f>
        <v>9</v>
      </c>
      <c r="AC192" s="126">
        <f>COUNTIFS('TỔNG KLH + TN'!$B:$B,'01. TH'!$B192,'TỔNG KLH + TN'!$C:$C,'01. TH'!AC$4)</f>
        <v>0</v>
      </c>
      <c r="AD192" s="126">
        <f>COUNTIFS('TỔNG KLH + TN'!$B:$B,'01. TH'!$B192,'TỔNG KLH + TN'!$C:$C,'01. TH'!AD$4)</f>
        <v>0</v>
      </c>
      <c r="AE192" s="162">
        <f t="shared" si="44"/>
        <v>17</v>
      </c>
      <c r="AF192" s="162"/>
      <c r="AG192" s="70" t="str">
        <f t="shared" si="24"/>
        <v>ok</v>
      </c>
      <c r="AH192" s="163"/>
    </row>
    <row r="193" ht="18.75" hidden="1" customHeight="1" outlineLevel="1">
      <c r="A193" s="121"/>
      <c r="B193" s="122" t="s">
        <v>2844</v>
      </c>
      <c r="C193" s="123" t="s">
        <v>76</v>
      </c>
      <c r="D193" s="124" t="s">
        <v>5803</v>
      </c>
      <c r="E193" s="124" t="s">
        <v>5776</v>
      </c>
      <c r="F193" s="126">
        <f>COUNTIFS('TỔNG KLH + TN'!$B:$B,'01. TH'!$B193,'TỔNG KLH + TN'!$C:$C,'01. TH'!F$4)</f>
        <v>0</v>
      </c>
      <c r="G193" s="126">
        <f>COUNTIFS('TỔNG KLH + TN'!$B:$B,'01. TH'!$B193,'TỔNG KLH + TN'!$C:$C,'01. TH'!G$4)</f>
        <v>0</v>
      </c>
      <c r="H193" s="126">
        <f>COUNTIFS('TỔNG KLH + TN'!$B:$B,'01. TH'!$B193,'TỔNG KLH + TN'!$C:$C,'01. TH'!H$4)</f>
        <v>0</v>
      </c>
      <c r="I193" s="126">
        <f>COUNTIFS('TỔNG KLH + TN'!$B:$B,'01. TH'!$B193,'TỔNG KLH + TN'!$C:$C,'01. TH'!I$4)</f>
        <v>0</v>
      </c>
      <c r="J193" s="126">
        <f>COUNTIFS('TỔNG KLH + TN'!$B:$B,'01. TH'!$B193,'TỔNG KLH + TN'!$C:$C,'01. TH'!J$4)</f>
        <v>0</v>
      </c>
      <c r="K193" s="126">
        <f>COUNTIFS('TỔNG KLH + TN'!$B:$B,'01. TH'!$B193,'TỔNG KLH + TN'!$C:$C,'01. TH'!K$4)</f>
        <v>0</v>
      </c>
      <c r="L193" s="126">
        <f>COUNTIFS('TỔNG KLH + TN'!$B:$B,'01. TH'!$B193,'TỔNG KLH + TN'!$C:$C,'01. TH'!L$4)</f>
        <v>0</v>
      </c>
      <c r="M193" s="126">
        <f>COUNTIFS('TỔNG KLH + TN'!$B:$B,'01. TH'!$B193,'TỔNG KLH + TN'!$C:$C,'01. TH'!M$4)</f>
        <v>0</v>
      </c>
      <c r="N193" s="126">
        <f>COUNTIFS('TỔNG KLH + TN'!$B:$B,'01. TH'!$B193,'TỔNG KLH + TN'!$C:$C,'01. TH'!N$4)</f>
        <v>0</v>
      </c>
      <c r="O193" s="126">
        <f>COUNTIFS('TỔNG KLH + TN'!$B:$B,'01. TH'!$B193,'TỔNG KLH + TN'!$C:$C,'01. TH'!O$4)</f>
        <v>0</v>
      </c>
      <c r="P193" s="126">
        <f>COUNTIFS('TỔNG KLH + TN'!$B:$B,'01. TH'!$B193,'TỔNG KLH + TN'!$C:$C,'01. TH'!P$4)</f>
        <v>0</v>
      </c>
      <c r="Q193" s="126">
        <f>COUNTIFS('TỔNG KLH + TN'!$B:$B,'01. TH'!$B193,'TỔNG KLH + TN'!$C:$C,'01. TH'!Q$4)</f>
        <v>0</v>
      </c>
      <c r="R193" s="126">
        <f>COUNTIFS('TỔNG KLH + TN'!$B:$B,'01. TH'!$B193,'TỔNG KLH + TN'!$C:$C,'01. TH'!R$4)</f>
        <v>0</v>
      </c>
      <c r="S193" s="126">
        <f>COUNTIFS('TỔNG KLH + TN'!$B:$B,'01. TH'!$B193,'TỔNG KLH + TN'!$C:$C,'01. TH'!S$4)</f>
        <v>0</v>
      </c>
      <c r="T193" s="126">
        <f>COUNTIFS('TỔNG KLH + TN'!$B:$B,'01. TH'!$B193,'TỔNG KLH + TN'!$C:$C,'01. TH'!T$4)</f>
        <v>0</v>
      </c>
      <c r="U193" s="126">
        <f>COUNTIFS('TỔNG KLH + TN'!$B:$B,'01. TH'!$B193,'TỔNG KLH + TN'!$C:$C,'01. TH'!U$4)</f>
        <v>0</v>
      </c>
      <c r="V193" s="126">
        <f>COUNTIFS('TỔNG KLH + TN'!$B:$B,'01. TH'!$B193,'TỔNG KLH + TN'!$C:$C,'01. TH'!V$4)</f>
        <v>0</v>
      </c>
      <c r="W193" s="126">
        <f>COUNTIFS('TỔNG KLH + TN'!$B:$B,'01. TH'!$B193,'TỔNG KLH + TN'!$C:$C,'01. TH'!W$4)</f>
        <v>0</v>
      </c>
      <c r="X193" s="126">
        <f>COUNTIFS('TỔNG KLH + TN'!$B:$B,'01. TH'!$B193,'TỔNG KLH + TN'!$C:$C,'01. TH'!X$4)</f>
        <v>0</v>
      </c>
      <c r="Y193" s="126">
        <f>COUNTIFS('TỔNG KLH + TN'!$B:$B,'01. TH'!$B193,'TỔNG KLH + TN'!$C:$C,'01. TH'!Y$4)</f>
        <v>0</v>
      </c>
      <c r="Z193" s="126">
        <f>COUNTIFS('TỔNG KLH + TN'!$B:$B,'01. TH'!$B193,'TỔNG KLH + TN'!$C:$C,'01. TH'!Z$4)</f>
        <v>0</v>
      </c>
      <c r="AA193" s="126">
        <f>COUNTIFS('TỔNG KLH + TN'!$B:$B,'01. TH'!$B193,'TỔNG KLH + TN'!$C:$C,'01. TH'!AA$4)</f>
        <v>0</v>
      </c>
      <c r="AB193" s="126">
        <f>COUNTIFS('TỔNG KLH + TN'!$B:$B,'01. TH'!$B193,'TỔNG KLH + TN'!$C:$C,'01. TH'!AB$4)</f>
        <v>0</v>
      </c>
      <c r="AC193" s="126">
        <f>COUNTIFS('TỔNG KLH + TN'!$B:$B,'01. TH'!$B193,'TỔNG KLH + TN'!$C:$C,'01. TH'!AC$4)</f>
        <v>4</v>
      </c>
      <c r="AD193" s="126">
        <f>COUNTIFS('TỔNG KLH + TN'!$B:$B,'01. TH'!$B193,'TỔNG KLH + TN'!$C:$C,'01. TH'!AD$4)</f>
        <v>0</v>
      </c>
      <c r="AE193" s="136">
        <f t="shared" si="44"/>
        <v>4</v>
      </c>
      <c r="AF193" s="136"/>
      <c r="AG193" s="70" t="str">
        <f t="shared" si="24"/>
        <v>ok</v>
      </c>
      <c r="AH193" s="124"/>
    </row>
    <row r="194" ht="18.75" hidden="1" customHeight="1" outlineLevel="1">
      <c r="A194" s="121"/>
      <c r="B194" s="205" t="s">
        <v>5808</v>
      </c>
      <c r="C194" s="123" t="s">
        <v>76</v>
      </c>
      <c r="D194" s="124" t="s">
        <v>5803</v>
      </c>
      <c r="E194" s="124" t="s">
        <v>5776</v>
      </c>
      <c r="F194" s="126">
        <f>COUNTIFS('TỔNG KLH + TN'!$B:$B,'01. TH'!$B194,'TỔNG KLH + TN'!$C:$C,'01. TH'!F$4)</f>
        <v>0</v>
      </c>
      <c r="G194" s="126">
        <f>COUNTIFS('TỔNG KLH + TN'!$B:$B,'01. TH'!$B194,'TỔNG KLH + TN'!$C:$C,'01. TH'!G$4)</f>
        <v>0</v>
      </c>
      <c r="H194" s="126">
        <f>COUNTIFS('TỔNG KLH + TN'!$B:$B,'01. TH'!$B194,'TỔNG KLH + TN'!$C:$C,'01. TH'!H$4)</f>
        <v>8</v>
      </c>
      <c r="I194" s="126">
        <f>COUNTIFS('TỔNG KLH + TN'!$B:$B,'01. TH'!$B194,'TỔNG KLH + TN'!$C:$C,'01. TH'!I$4)</f>
        <v>8</v>
      </c>
      <c r="J194" s="126">
        <f>COUNTIFS('TỔNG KLH + TN'!$B:$B,'01. TH'!$B194,'TỔNG KLH + TN'!$C:$C,'01. TH'!J$4)</f>
        <v>8</v>
      </c>
      <c r="K194" s="126">
        <f>COUNTIFS('TỔNG KLH + TN'!$B:$B,'01. TH'!$B194,'TỔNG KLH + TN'!$C:$C,'01. TH'!K$4)</f>
        <v>0</v>
      </c>
      <c r="L194" s="126">
        <f>COUNTIFS('TỔNG KLH + TN'!$B:$B,'01. TH'!$B194,'TỔNG KLH + TN'!$C:$C,'01. TH'!L$4)</f>
        <v>0</v>
      </c>
      <c r="M194" s="126">
        <f>COUNTIFS('TỔNG KLH + TN'!$B:$B,'01. TH'!$B194,'TỔNG KLH + TN'!$C:$C,'01. TH'!M$4)</f>
        <v>0</v>
      </c>
      <c r="N194" s="126">
        <f>COUNTIFS('TỔNG KLH + TN'!$B:$B,'01. TH'!$B194,'TỔNG KLH + TN'!$C:$C,'01. TH'!N$4)</f>
        <v>0</v>
      </c>
      <c r="O194" s="126">
        <f>COUNTIFS('TỔNG KLH + TN'!$B:$B,'01. TH'!$B194,'TỔNG KLH + TN'!$C:$C,'01. TH'!O$4)</f>
        <v>0</v>
      </c>
      <c r="P194" s="126">
        <f>COUNTIFS('TỔNG KLH + TN'!$B:$B,'01. TH'!$B194,'TỔNG KLH + TN'!$C:$C,'01. TH'!P$4)</f>
        <v>0</v>
      </c>
      <c r="Q194" s="126">
        <f>COUNTIFS('TỔNG KLH + TN'!$B:$B,'01. TH'!$B194,'TỔNG KLH + TN'!$C:$C,'01. TH'!Q$4)</f>
        <v>11</v>
      </c>
      <c r="R194" s="126">
        <f>COUNTIFS('TỔNG KLH + TN'!$B:$B,'01. TH'!$B194,'TỔNG KLH + TN'!$C:$C,'01. TH'!R$4)</f>
        <v>14</v>
      </c>
      <c r="S194" s="126">
        <f>COUNTIFS('TỔNG KLH + TN'!$B:$B,'01. TH'!$B194,'TỔNG KLH + TN'!$C:$C,'01. TH'!S$4)</f>
        <v>0</v>
      </c>
      <c r="T194" s="126">
        <f>COUNTIFS('TỔNG KLH + TN'!$B:$B,'01. TH'!$B194,'TỔNG KLH + TN'!$C:$C,'01. TH'!T$4)</f>
        <v>0</v>
      </c>
      <c r="U194" s="126">
        <f>COUNTIFS('TỔNG KLH + TN'!$B:$B,'01. TH'!$B194,'TỔNG KLH + TN'!$C:$C,'01. TH'!U$4)</f>
        <v>1</v>
      </c>
      <c r="V194" s="126">
        <f>COUNTIFS('TỔNG KLH + TN'!$B:$B,'01. TH'!$B194,'TỔNG KLH + TN'!$C:$C,'01. TH'!V$4)</f>
        <v>0</v>
      </c>
      <c r="W194" s="126">
        <f>COUNTIFS('TỔNG KLH + TN'!$B:$B,'01. TH'!$B194,'TỔNG KLH + TN'!$C:$C,'01. TH'!W$4)</f>
        <v>0</v>
      </c>
      <c r="X194" s="126">
        <f>COUNTIFS('TỔNG KLH + TN'!$B:$B,'01. TH'!$B194,'TỔNG KLH + TN'!$C:$C,'01. TH'!X$4)</f>
        <v>0</v>
      </c>
      <c r="Y194" s="126">
        <f>COUNTIFS('TỔNG KLH + TN'!$B:$B,'01. TH'!$B194,'TỔNG KLH + TN'!$C:$C,'01. TH'!Y$4)</f>
        <v>0</v>
      </c>
      <c r="Z194" s="126">
        <f>COUNTIFS('TỔNG KLH + TN'!$B:$B,'01. TH'!$B194,'TỔNG KLH + TN'!$C:$C,'01. TH'!Z$4)</f>
        <v>0</v>
      </c>
      <c r="AA194" s="126">
        <f>COUNTIFS('TỔNG KLH + TN'!$B:$B,'01. TH'!$B194,'TỔNG KLH + TN'!$C:$C,'01. TH'!AA$4)</f>
        <v>0</v>
      </c>
      <c r="AB194" s="126">
        <f>COUNTIFS('TỔNG KLH + TN'!$B:$B,'01. TH'!$B194,'TỔNG KLH + TN'!$C:$C,'01. TH'!AB$4)</f>
        <v>0</v>
      </c>
      <c r="AC194" s="126">
        <f>COUNTIFS('TỔNG KLH + TN'!$B:$B,'01. TH'!$B194,'TỔNG KLH + TN'!$C:$C,'01. TH'!AC$4)</f>
        <v>0</v>
      </c>
      <c r="AD194" s="126">
        <f>COUNTIFS('TỔNG KLH + TN'!$B:$B,'01. TH'!$B194,'TỔNG KLH + TN'!$C:$C,'01. TH'!AD$4)</f>
        <v>0</v>
      </c>
      <c r="AE194" s="136">
        <f t="shared" si="44"/>
        <v>50</v>
      </c>
      <c r="AF194" s="136"/>
      <c r="AG194" s="70" t="str">
        <f t="shared" si="24"/>
        <v>ok</v>
      </c>
      <c r="AH194" s="124"/>
    </row>
    <row r="195" ht="18.75" hidden="1" customHeight="1" outlineLevel="1">
      <c r="A195" s="159"/>
      <c r="B195" s="709" t="s">
        <v>5809</v>
      </c>
      <c r="C195" s="123" t="s">
        <v>76</v>
      </c>
      <c r="D195" s="124"/>
      <c r="E195" s="124" t="s">
        <v>5776</v>
      </c>
      <c r="F195" s="126">
        <f>COUNTIFS('TỔNG KLH + TN'!$B:$B,'01. TH'!$B195,'TỔNG KLH + TN'!$C:$C,'01. TH'!F$4)</f>
        <v>0</v>
      </c>
      <c r="G195" s="126">
        <f>COUNTIFS('TỔNG KLH + TN'!$B:$B,'01. TH'!$B195,'TỔNG KLH + TN'!$C:$C,'01. TH'!G$4)</f>
        <v>0</v>
      </c>
      <c r="H195" s="126">
        <f>COUNTIFS('TỔNG KLH + TN'!$B:$B,'01. TH'!$B195,'TỔNG KLH + TN'!$C:$C,'01. TH'!H$4)</f>
        <v>37</v>
      </c>
      <c r="I195" s="126">
        <f>COUNTIFS('TỔNG KLH + TN'!$B:$B,'01. TH'!$B195,'TỔNG KLH + TN'!$C:$C,'01. TH'!I$4)</f>
        <v>27</v>
      </c>
      <c r="J195" s="126">
        <f>COUNTIFS('TỔNG KLH + TN'!$B:$B,'01. TH'!$B195,'TỔNG KLH + TN'!$C:$C,'01. TH'!J$4)</f>
        <v>29</v>
      </c>
      <c r="K195" s="126">
        <f>COUNTIFS('TỔNG KLH + TN'!$B:$B,'01. TH'!$B195,'TỔNG KLH + TN'!$C:$C,'01. TH'!K$4)</f>
        <v>0</v>
      </c>
      <c r="L195" s="126">
        <f>COUNTIFS('TỔNG KLH + TN'!$B:$B,'01. TH'!$B195,'TỔNG KLH + TN'!$C:$C,'01. TH'!L$4)</f>
        <v>0</v>
      </c>
      <c r="M195" s="126">
        <f>COUNTIFS('TỔNG KLH + TN'!$B:$B,'01. TH'!$B195,'TỔNG KLH + TN'!$C:$C,'01. TH'!M$4)</f>
        <v>0</v>
      </c>
      <c r="N195" s="126">
        <f>COUNTIFS('TỔNG KLH + TN'!$B:$B,'01. TH'!$B195,'TỔNG KLH + TN'!$C:$C,'01. TH'!N$4)</f>
        <v>0</v>
      </c>
      <c r="O195" s="126">
        <f>COUNTIFS('TỔNG KLH + TN'!$B:$B,'01. TH'!$B195,'TỔNG KLH + TN'!$C:$C,'01. TH'!O$4)</f>
        <v>0</v>
      </c>
      <c r="P195" s="126">
        <f>COUNTIFS('TỔNG KLH + TN'!$B:$B,'01. TH'!$B195,'TỔNG KLH + TN'!$C:$C,'01. TH'!P$4)</f>
        <v>0</v>
      </c>
      <c r="Q195" s="126">
        <f>COUNTIFS('TỔNG KLH + TN'!$B:$B,'01. TH'!$B195,'TỔNG KLH + TN'!$C:$C,'01. TH'!Q$4)</f>
        <v>32</v>
      </c>
      <c r="R195" s="126">
        <f>COUNTIFS('TỔNG KLH + TN'!$B:$B,'01. TH'!$B195,'TỔNG KLH + TN'!$C:$C,'01. TH'!R$4)</f>
        <v>30</v>
      </c>
      <c r="S195" s="126">
        <f>COUNTIFS('TỔNG KLH + TN'!$B:$B,'01. TH'!$B195,'TỔNG KLH + TN'!$C:$C,'01. TH'!S$4)</f>
        <v>0</v>
      </c>
      <c r="T195" s="126">
        <f>COUNTIFS('TỔNG KLH + TN'!$B:$B,'01. TH'!$B195,'TỔNG KLH + TN'!$C:$C,'01. TH'!T$4)</f>
        <v>0</v>
      </c>
      <c r="U195" s="126">
        <f>COUNTIFS('TỔNG KLH + TN'!$B:$B,'01. TH'!$B195,'TỔNG KLH + TN'!$C:$C,'01. TH'!U$4)</f>
        <v>127</v>
      </c>
      <c r="V195" s="126">
        <f>COUNTIFS('TỔNG KLH + TN'!$B:$B,'01. TH'!$B195,'TỔNG KLH + TN'!$C:$C,'01. TH'!V$4)</f>
        <v>0</v>
      </c>
      <c r="W195" s="126">
        <f>COUNTIFS('TỔNG KLH + TN'!$B:$B,'01. TH'!$B195,'TỔNG KLH + TN'!$C:$C,'01. TH'!W$4)</f>
        <v>0</v>
      </c>
      <c r="X195" s="126">
        <f>COUNTIFS('TỔNG KLH + TN'!$B:$B,'01. TH'!$B195,'TỔNG KLH + TN'!$C:$C,'01. TH'!X$4)</f>
        <v>0</v>
      </c>
      <c r="Y195" s="126">
        <f>COUNTIFS('TỔNG KLH + TN'!$B:$B,'01. TH'!$B195,'TỔNG KLH + TN'!$C:$C,'01. TH'!Y$4)</f>
        <v>0</v>
      </c>
      <c r="Z195" s="126">
        <f>COUNTIFS('TỔNG KLH + TN'!$B:$B,'01. TH'!$B195,'TỔNG KLH + TN'!$C:$C,'01. TH'!Z$4)</f>
        <v>0</v>
      </c>
      <c r="AA195" s="126">
        <f>COUNTIFS('TỔNG KLH + TN'!$B:$B,'01. TH'!$B195,'TỔNG KLH + TN'!$C:$C,'01. TH'!AA$4)</f>
        <v>4</v>
      </c>
      <c r="AB195" s="126">
        <f>COUNTIFS('TỔNG KLH + TN'!$B:$B,'01. TH'!$B195,'TỔNG KLH + TN'!$C:$C,'01. TH'!AB$4)</f>
        <v>0</v>
      </c>
      <c r="AC195" s="126">
        <f>COUNTIFS('TỔNG KLH + TN'!$B:$B,'01. TH'!$B195,'TỔNG KLH + TN'!$C:$C,'01. TH'!AC$4)</f>
        <v>0</v>
      </c>
      <c r="AD195" s="126">
        <f>COUNTIFS('TỔNG KLH + TN'!$B:$B,'01. TH'!$B195,'TỔNG KLH + TN'!$C:$C,'01. TH'!AD$4)</f>
        <v>0</v>
      </c>
      <c r="AE195" s="162">
        <f t="shared" si="44"/>
        <v>286</v>
      </c>
      <c r="AF195" s="162"/>
      <c r="AG195" s="70" t="str">
        <f t="shared" si="24"/>
        <v>ok</v>
      </c>
      <c r="AH195" s="163"/>
    </row>
    <row r="196" ht="18.75" hidden="1" customHeight="1" outlineLevel="1">
      <c r="A196" s="159"/>
      <c r="B196" s="709" t="s">
        <v>5810</v>
      </c>
      <c r="C196" s="123" t="s">
        <v>76</v>
      </c>
      <c r="D196" s="124"/>
      <c r="E196" s="124" t="s">
        <v>5776</v>
      </c>
      <c r="F196" s="126">
        <f>COUNTIFS('TỔNG KLH + TN'!$B:$B,'01. TH'!$B196,'TỔNG KLH + TN'!$C:$C,'01. TH'!F$4)</f>
        <v>0</v>
      </c>
      <c r="G196" s="126">
        <f>COUNTIFS('TỔNG KLH + TN'!$B:$B,'01. TH'!$B196,'TỔNG KLH + TN'!$C:$C,'01. TH'!G$4)</f>
        <v>0</v>
      </c>
      <c r="H196" s="126">
        <f>COUNTIFS('TỔNG KLH + TN'!$B:$B,'01. TH'!$B196,'TỔNG KLH + TN'!$C:$C,'01. TH'!H$4)</f>
        <v>18</v>
      </c>
      <c r="I196" s="126">
        <f>COUNTIFS('TỔNG KLH + TN'!$B:$B,'01. TH'!$B196,'TỔNG KLH + TN'!$C:$C,'01. TH'!I$4)</f>
        <v>11</v>
      </c>
      <c r="J196" s="126">
        <f>COUNTIFS('TỔNG KLH + TN'!$B:$B,'01. TH'!$B196,'TỔNG KLH + TN'!$C:$C,'01. TH'!J$4)</f>
        <v>34</v>
      </c>
      <c r="K196" s="126">
        <f>COUNTIFS('TỔNG KLH + TN'!$B:$B,'01. TH'!$B196,'TỔNG KLH + TN'!$C:$C,'01. TH'!K$4)</f>
        <v>0</v>
      </c>
      <c r="L196" s="126">
        <f>COUNTIFS('TỔNG KLH + TN'!$B:$B,'01. TH'!$B196,'TỔNG KLH + TN'!$C:$C,'01. TH'!L$4)</f>
        <v>0</v>
      </c>
      <c r="M196" s="126">
        <f>COUNTIFS('TỔNG KLH + TN'!$B:$B,'01. TH'!$B196,'TỔNG KLH + TN'!$C:$C,'01. TH'!M$4)</f>
        <v>0</v>
      </c>
      <c r="N196" s="126">
        <f>COUNTIFS('TỔNG KLH + TN'!$B:$B,'01. TH'!$B196,'TỔNG KLH + TN'!$C:$C,'01. TH'!N$4)</f>
        <v>0</v>
      </c>
      <c r="O196" s="126">
        <f>COUNTIFS('TỔNG KLH + TN'!$B:$B,'01. TH'!$B196,'TỔNG KLH + TN'!$C:$C,'01. TH'!O$4)</f>
        <v>0</v>
      </c>
      <c r="P196" s="126">
        <f>COUNTIFS('TỔNG KLH + TN'!$B:$B,'01. TH'!$B196,'TỔNG KLH + TN'!$C:$C,'01. TH'!P$4)</f>
        <v>0</v>
      </c>
      <c r="Q196" s="126">
        <f>COUNTIFS('TỔNG KLH + TN'!$B:$B,'01. TH'!$B196,'TỔNG KLH + TN'!$C:$C,'01. TH'!Q$4)</f>
        <v>12</v>
      </c>
      <c r="R196" s="126">
        <f>COUNTIFS('TỔNG KLH + TN'!$B:$B,'01. TH'!$B196,'TỔNG KLH + TN'!$C:$C,'01. TH'!R$4)</f>
        <v>16</v>
      </c>
      <c r="S196" s="126">
        <f>COUNTIFS('TỔNG KLH + TN'!$B:$B,'01. TH'!$B196,'TỔNG KLH + TN'!$C:$C,'01. TH'!S$4)</f>
        <v>0</v>
      </c>
      <c r="T196" s="126">
        <f>COUNTIFS('TỔNG KLH + TN'!$B:$B,'01. TH'!$B196,'TỔNG KLH + TN'!$C:$C,'01. TH'!T$4)</f>
        <v>0</v>
      </c>
      <c r="U196" s="126">
        <f>COUNTIFS('TỔNG KLH + TN'!$B:$B,'01. TH'!$B196,'TỔNG KLH + TN'!$C:$C,'01. TH'!U$4)</f>
        <v>4</v>
      </c>
      <c r="V196" s="126">
        <f>COUNTIFS('TỔNG KLH + TN'!$B:$B,'01. TH'!$B196,'TỔNG KLH + TN'!$C:$C,'01. TH'!V$4)</f>
        <v>0</v>
      </c>
      <c r="W196" s="126">
        <f>COUNTIFS('TỔNG KLH + TN'!$B:$B,'01. TH'!$B196,'TỔNG KLH + TN'!$C:$C,'01. TH'!W$4)</f>
        <v>0</v>
      </c>
      <c r="X196" s="126">
        <f>COUNTIFS('TỔNG KLH + TN'!$B:$B,'01. TH'!$B196,'TỔNG KLH + TN'!$C:$C,'01. TH'!X$4)</f>
        <v>0</v>
      </c>
      <c r="Y196" s="126">
        <f>COUNTIFS('TỔNG KLH + TN'!$B:$B,'01. TH'!$B196,'TỔNG KLH + TN'!$C:$C,'01. TH'!Y$4)</f>
        <v>4</v>
      </c>
      <c r="Z196" s="126">
        <f>COUNTIFS('TỔNG KLH + TN'!$B:$B,'01. TH'!$B196,'TỔNG KLH + TN'!$C:$C,'01. TH'!Z$4)</f>
        <v>0</v>
      </c>
      <c r="AA196" s="126">
        <f>COUNTIFS('TỔNG KLH + TN'!$B:$B,'01. TH'!$B196,'TỔNG KLH + TN'!$C:$C,'01. TH'!AA$4)</f>
        <v>0</v>
      </c>
      <c r="AB196" s="126">
        <f>COUNTIFS('TỔNG KLH + TN'!$B:$B,'01. TH'!$B196,'TỔNG KLH + TN'!$C:$C,'01. TH'!AB$4)</f>
        <v>0</v>
      </c>
      <c r="AC196" s="126">
        <f>COUNTIFS('TỔNG KLH + TN'!$B:$B,'01. TH'!$B196,'TỔNG KLH + TN'!$C:$C,'01. TH'!AC$4)</f>
        <v>0</v>
      </c>
      <c r="AD196" s="126">
        <f>COUNTIFS('TỔNG KLH + TN'!$B:$B,'01. TH'!$B196,'TỔNG KLH + TN'!$C:$C,'01. TH'!AD$4)</f>
        <v>0</v>
      </c>
      <c r="AE196" s="162">
        <f t="shared" si="44"/>
        <v>99</v>
      </c>
      <c r="AF196" s="162"/>
      <c r="AG196" s="70" t="str">
        <f t="shared" si="24"/>
        <v>ok</v>
      </c>
      <c r="AH196" s="163"/>
    </row>
    <row r="197" ht="18.75" hidden="1" customHeight="1" outlineLevel="1">
      <c r="A197" s="159"/>
      <c r="B197" s="709" t="s">
        <v>5812</v>
      </c>
      <c r="C197" s="123" t="s">
        <v>76</v>
      </c>
      <c r="D197" s="124"/>
      <c r="E197" s="124" t="s">
        <v>5776</v>
      </c>
      <c r="F197" s="126">
        <f>COUNTIFS('TỔNG KLH + TN'!$B:$B,'01. TH'!$B197,'TỔNG KLH + TN'!$C:$C,'01. TH'!F$4)</f>
        <v>0</v>
      </c>
      <c r="G197" s="126">
        <f>COUNTIFS('TỔNG KLH + TN'!$B:$B,'01. TH'!$B197,'TỔNG KLH + TN'!$C:$C,'01. TH'!G$4)</f>
        <v>0</v>
      </c>
      <c r="H197" s="126">
        <f>COUNTIFS('TỔNG KLH + TN'!$B:$B,'01. TH'!$B197,'TỔNG KLH + TN'!$C:$C,'01. TH'!H$4)</f>
        <v>1</v>
      </c>
      <c r="I197" s="126">
        <f>COUNTIFS('TỔNG KLH + TN'!$B:$B,'01. TH'!$B197,'TỔNG KLH + TN'!$C:$C,'01. TH'!I$4)</f>
        <v>0</v>
      </c>
      <c r="J197" s="126">
        <f>COUNTIFS('TỔNG KLH + TN'!$B:$B,'01. TH'!$B197,'TỔNG KLH + TN'!$C:$C,'01. TH'!J$4)</f>
        <v>0</v>
      </c>
      <c r="K197" s="126">
        <f>COUNTIFS('TỔNG KLH + TN'!$B:$B,'01. TH'!$B197,'TỔNG KLH + TN'!$C:$C,'01. TH'!K$4)</f>
        <v>0</v>
      </c>
      <c r="L197" s="126">
        <f>COUNTIFS('TỔNG KLH + TN'!$B:$B,'01. TH'!$B197,'TỔNG KLH + TN'!$C:$C,'01. TH'!L$4)</f>
        <v>0</v>
      </c>
      <c r="M197" s="126">
        <f>COUNTIFS('TỔNG KLH + TN'!$B:$B,'01. TH'!$B197,'TỔNG KLH + TN'!$C:$C,'01. TH'!M$4)</f>
        <v>0</v>
      </c>
      <c r="N197" s="126">
        <f>COUNTIFS('TỔNG KLH + TN'!$B:$B,'01. TH'!$B197,'TỔNG KLH + TN'!$C:$C,'01. TH'!N$4)</f>
        <v>0</v>
      </c>
      <c r="O197" s="126">
        <f>COUNTIFS('TỔNG KLH + TN'!$B:$B,'01. TH'!$B197,'TỔNG KLH + TN'!$C:$C,'01. TH'!O$4)</f>
        <v>0</v>
      </c>
      <c r="P197" s="126">
        <f>COUNTIFS('TỔNG KLH + TN'!$B:$B,'01. TH'!$B197,'TỔNG KLH + TN'!$C:$C,'01. TH'!P$4)</f>
        <v>0</v>
      </c>
      <c r="Q197" s="126">
        <f>COUNTIFS('TỔNG KLH + TN'!$B:$B,'01. TH'!$B197,'TỔNG KLH + TN'!$C:$C,'01. TH'!Q$4)</f>
        <v>1</v>
      </c>
      <c r="R197" s="126">
        <f>COUNTIFS('TỔNG KLH + TN'!$B:$B,'01. TH'!$B197,'TỔNG KLH + TN'!$C:$C,'01. TH'!R$4)</f>
        <v>0</v>
      </c>
      <c r="S197" s="126">
        <f>COUNTIFS('TỔNG KLH + TN'!$B:$B,'01. TH'!$B197,'TỔNG KLH + TN'!$C:$C,'01. TH'!S$4)</f>
        <v>0</v>
      </c>
      <c r="T197" s="126">
        <f>COUNTIFS('TỔNG KLH + TN'!$B:$B,'01. TH'!$B197,'TỔNG KLH + TN'!$C:$C,'01. TH'!T$4)</f>
        <v>0</v>
      </c>
      <c r="U197" s="126">
        <f>COUNTIFS('TỔNG KLH + TN'!$B:$B,'01. TH'!$B197,'TỔNG KLH + TN'!$C:$C,'01. TH'!U$4)</f>
        <v>16</v>
      </c>
      <c r="V197" s="126">
        <f>COUNTIFS('TỔNG KLH + TN'!$B:$B,'01. TH'!$B197,'TỔNG KLH + TN'!$C:$C,'01. TH'!V$4)</f>
        <v>0</v>
      </c>
      <c r="W197" s="126">
        <f>COUNTIFS('TỔNG KLH + TN'!$B:$B,'01. TH'!$B197,'TỔNG KLH + TN'!$C:$C,'01. TH'!W$4)</f>
        <v>0</v>
      </c>
      <c r="X197" s="126">
        <f>COUNTIFS('TỔNG KLH + TN'!$B:$B,'01. TH'!$B197,'TỔNG KLH + TN'!$C:$C,'01. TH'!X$4)</f>
        <v>0</v>
      </c>
      <c r="Y197" s="126">
        <f>COUNTIFS('TỔNG KLH + TN'!$B:$B,'01. TH'!$B197,'TỔNG KLH + TN'!$C:$C,'01. TH'!Y$4)</f>
        <v>0</v>
      </c>
      <c r="Z197" s="126">
        <f>COUNTIFS('TỔNG KLH + TN'!$B:$B,'01. TH'!$B197,'TỔNG KLH + TN'!$C:$C,'01. TH'!Z$4)</f>
        <v>0</v>
      </c>
      <c r="AA197" s="126">
        <f>COUNTIFS('TỔNG KLH + TN'!$B:$B,'01. TH'!$B197,'TỔNG KLH + TN'!$C:$C,'01. TH'!AA$4)</f>
        <v>0</v>
      </c>
      <c r="AB197" s="126">
        <f>COUNTIFS('TỔNG KLH + TN'!$B:$B,'01. TH'!$B197,'TỔNG KLH + TN'!$C:$C,'01. TH'!AB$4)</f>
        <v>0</v>
      </c>
      <c r="AC197" s="126">
        <f>COUNTIFS('TỔNG KLH + TN'!$B:$B,'01. TH'!$B197,'TỔNG KLH + TN'!$C:$C,'01. TH'!AC$4)</f>
        <v>0</v>
      </c>
      <c r="AD197" s="126">
        <f>COUNTIFS('TỔNG KLH + TN'!$B:$B,'01. TH'!$B197,'TỔNG KLH + TN'!$C:$C,'01. TH'!AD$4)</f>
        <v>0</v>
      </c>
      <c r="AE197" s="162">
        <f t="shared" si="44"/>
        <v>18</v>
      </c>
      <c r="AF197" s="162"/>
      <c r="AG197" s="70" t="str">
        <f t="shared" si="24"/>
        <v>ok</v>
      </c>
      <c r="AH197" s="163"/>
    </row>
    <row r="198" ht="18.75" hidden="1" customHeight="1" outlineLevel="1">
      <c r="A198" s="159"/>
      <c r="B198" s="709" t="s">
        <v>5815</v>
      </c>
      <c r="C198" s="123" t="s">
        <v>76</v>
      </c>
      <c r="D198" s="124"/>
      <c r="E198" s="124" t="s">
        <v>5776</v>
      </c>
      <c r="F198" s="126">
        <f>COUNTIFS('TỔNG KLH + TN'!$B:$B,'01. TH'!$B198,'TỔNG KLH + TN'!$C:$C,'01. TH'!F$4)</f>
        <v>0</v>
      </c>
      <c r="G198" s="126">
        <f>COUNTIFS('TỔNG KLH + TN'!$B:$B,'01. TH'!$B198,'TỔNG KLH + TN'!$C:$C,'01. TH'!G$4)</f>
        <v>0</v>
      </c>
      <c r="H198" s="126">
        <f>COUNTIFS('TỔNG KLH + TN'!$B:$B,'01. TH'!$B198,'TỔNG KLH + TN'!$C:$C,'01. TH'!H$4)</f>
        <v>6</v>
      </c>
      <c r="I198" s="126">
        <f>COUNTIFS('TỔNG KLH + TN'!$B:$B,'01. TH'!$B198,'TỔNG KLH + TN'!$C:$C,'01. TH'!I$4)</f>
        <v>2</v>
      </c>
      <c r="J198" s="126">
        <f>COUNTIFS('TỔNG KLH + TN'!$B:$B,'01. TH'!$B198,'TỔNG KLH + TN'!$C:$C,'01. TH'!J$4)</f>
        <v>3</v>
      </c>
      <c r="K198" s="126">
        <f>COUNTIFS('TỔNG KLH + TN'!$B:$B,'01. TH'!$B198,'TỔNG KLH + TN'!$C:$C,'01. TH'!K$4)</f>
        <v>0</v>
      </c>
      <c r="L198" s="126">
        <f>COUNTIFS('TỔNG KLH + TN'!$B:$B,'01. TH'!$B198,'TỔNG KLH + TN'!$C:$C,'01. TH'!L$4)</f>
        <v>0</v>
      </c>
      <c r="M198" s="126">
        <f>COUNTIFS('TỔNG KLH + TN'!$B:$B,'01. TH'!$B198,'TỔNG KLH + TN'!$C:$C,'01. TH'!M$4)</f>
        <v>0</v>
      </c>
      <c r="N198" s="126">
        <f>COUNTIFS('TỔNG KLH + TN'!$B:$B,'01. TH'!$B198,'TỔNG KLH + TN'!$C:$C,'01. TH'!N$4)</f>
        <v>0</v>
      </c>
      <c r="O198" s="126">
        <f>COUNTIFS('TỔNG KLH + TN'!$B:$B,'01. TH'!$B198,'TỔNG KLH + TN'!$C:$C,'01. TH'!O$4)</f>
        <v>0</v>
      </c>
      <c r="P198" s="126">
        <f>COUNTIFS('TỔNG KLH + TN'!$B:$B,'01. TH'!$B198,'TỔNG KLH + TN'!$C:$C,'01. TH'!P$4)</f>
        <v>0</v>
      </c>
      <c r="Q198" s="126">
        <f>COUNTIFS('TỔNG KLH + TN'!$B:$B,'01. TH'!$B198,'TỔNG KLH + TN'!$C:$C,'01. TH'!Q$4)</f>
        <v>3</v>
      </c>
      <c r="R198" s="126">
        <f>COUNTIFS('TỔNG KLH + TN'!$B:$B,'01. TH'!$B198,'TỔNG KLH + TN'!$C:$C,'01. TH'!R$4)</f>
        <v>2</v>
      </c>
      <c r="S198" s="126">
        <f>COUNTIFS('TỔNG KLH + TN'!$B:$B,'01. TH'!$B198,'TỔNG KLH + TN'!$C:$C,'01. TH'!S$4)</f>
        <v>0</v>
      </c>
      <c r="T198" s="126">
        <f>COUNTIFS('TỔNG KLH + TN'!$B:$B,'01. TH'!$B198,'TỔNG KLH + TN'!$C:$C,'01. TH'!T$4)</f>
        <v>0</v>
      </c>
      <c r="U198" s="126">
        <f>COUNTIFS('TỔNG KLH + TN'!$B:$B,'01. TH'!$B198,'TỔNG KLH + TN'!$C:$C,'01. TH'!U$4)</f>
        <v>0</v>
      </c>
      <c r="V198" s="126">
        <f>COUNTIFS('TỔNG KLH + TN'!$B:$B,'01. TH'!$B198,'TỔNG KLH + TN'!$C:$C,'01. TH'!V$4)</f>
        <v>0</v>
      </c>
      <c r="W198" s="126">
        <f>COUNTIFS('TỔNG KLH + TN'!$B:$B,'01. TH'!$B198,'TỔNG KLH + TN'!$C:$C,'01. TH'!W$4)</f>
        <v>0</v>
      </c>
      <c r="X198" s="126">
        <f>COUNTIFS('TỔNG KLH + TN'!$B:$B,'01. TH'!$B198,'TỔNG KLH + TN'!$C:$C,'01. TH'!X$4)</f>
        <v>0</v>
      </c>
      <c r="Y198" s="126">
        <f>COUNTIFS('TỔNG KLH + TN'!$B:$B,'01. TH'!$B198,'TỔNG KLH + TN'!$C:$C,'01. TH'!Y$4)</f>
        <v>0</v>
      </c>
      <c r="Z198" s="126">
        <f>COUNTIFS('TỔNG KLH + TN'!$B:$B,'01. TH'!$B198,'TỔNG KLH + TN'!$C:$C,'01. TH'!Z$4)</f>
        <v>0</v>
      </c>
      <c r="AA198" s="126">
        <f>COUNTIFS('TỔNG KLH + TN'!$B:$B,'01. TH'!$B198,'TỔNG KLH + TN'!$C:$C,'01. TH'!AA$4)</f>
        <v>0</v>
      </c>
      <c r="AB198" s="126">
        <f>COUNTIFS('TỔNG KLH + TN'!$B:$B,'01. TH'!$B198,'TỔNG KLH + TN'!$C:$C,'01. TH'!AB$4)</f>
        <v>0</v>
      </c>
      <c r="AC198" s="126">
        <f>COUNTIFS('TỔNG KLH + TN'!$B:$B,'01. TH'!$B198,'TỔNG KLH + TN'!$C:$C,'01. TH'!AC$4)</f>
        <v>0</v>
      </c>
      <c r="AD198" s="126">
        <f>COUNTIFS('TỔNG KLH + TN'!$B:$B,'01. TH'!$B198,'TỔNG KLH + TN'!$C:$C,'01. TH'!AD$4)</f>
        <v>0</v>
      </c>
      <c r="AE198" s="162">
        <f t="shared" si="44"/>
        <v>16</v>
      </c>
      <c r="AF198" s="162"/>
      <c r="AG198" s="70" t="str">
        <f t="shared" si="24"/>
        <v>ok</v>
      </c>
      <c r="AH198" s="163"/>
    </row>
    <row r="199" ht="18.75" hidden="1" customHeight="1" outlineLevel="1">
      <c r="A199" s="159"/>
      <c r="B199" s="719" t="s">
        <v>5273</v>
      </c>
      <c r="C199" s="123" t="s">
        <v>76</v>
      </c>
      <c r="D199" s="124"/>
      <c r="E199" s="124" t="s">
        <v>5776</v>
      </c>
      <c r="F199" s="126">
        <f>COUNTIFS('TỔNG KLH + TN'!$B:$B,'01. TH'!$B199,'TỔNG KLH + TN'!$C:$C,'01. TH'!F$4)</f>
        <v>0</v>
      </c>
      <c r="G199" s="126">
        <f>COUNTIFS('TỔNG KLH + TN'!$B:$B,'01. TH'!$B199,'TỔNG KLH + TN'!$C:$C,'01. TH'!G$4)</f>
        <v>0</v>
      </c>
      <c r="H199" s="126">
        <f>COUNTIFS('TỔNG KLH + TN'!$B:$B,'01. TH'!$B199,'TỔNG KLH + TN'!$C:$C,'01. TH'!H$4)</f>
        <v>0</v>
      </c>
      <c r="I199" s="126">
        <f>COUNTIFS('TỔNG KLH + TN'!$B:$B,'01. TH'!$B199,'TỔNG KLH + TN'!$C:$C,'01. TH'!I$4)</f>
        <v>0</v>
      </c>
      <c r="J199" s="126">
        <f>COUNTIFS('TỔNG KLH + TN'!$B:$B,'01. TH'!$B199,'TỔNG KLH + TN'!$C:$C,'01. TH'!J$4)</f>
        <v>0</v>
      </c>
      <c r="K199" s="126">
        <f>COUNTIFS('TỔNG KLH + TN'!$B:$B,'01. TH'!$B199,'TỔNG KLH + TN'!$C:$C,'01. TH'!K$4)</f>
        <v>0</v>
      </c>
      <c r="L199" s="126">
        <f>COUNTIFS('TỔNG KLH + TN'!$B:$B,'01. TH'!$B199,'TỔNG KLH + TN'!$C:$C,'01. TH'!L$4)</f>
        <v>0</v>
      </c>
      <c r="M199" s="126">
        <f>COUNTIFS('TỔNG KLH + TN'!$B:$B,'01. TH'!$B199,'TỔNG KLH + TN'!$C:$C,'01. TH'!M$4)</f>
        <v>0</v>
      </c>
      <c r="N199" s="126">
        <f>COUNTIFS('TỔNG KLH + TN'!$B:$B,'01. TH'!$B199,'TỔNG KLH + TN'!$C:$C,'01. TH'!N$4)</f>
        <v>0</v>
      </c>
      <c r="O199" s="126">
        <f>COUNTIFS('TỔNG KLH + TN'!$B:$B,'01. TH'!$B199,'TỔNG KLH + TN'!$C:$C,'01. TH'!O$4)</f>
        <v>0</v>
      </c>
      <c r="P199" s="126">
        <f>COUNTIFS('TỔNG KLH + TN'!$B:$B,'01. TH'!$B199,'TỔNG KLH + TN'!$C:$C,'01. TH'!P$4)</f>
        <v>0</v>
      </c>
      <c r="Q199" s="126">
        <f>COUNTIFS('TỔNG KLH + TN'!$B:$B,'01. TH'!$B199,'TỔNG KLH + TN'!$C:$C,'01. TH'!Q$4)</f>
        <v>0</v>
      </c>
      <c r="R199" s="126">
        <f>COUNTIFS('TỔNG KLH + TN'!$B:$B,'01. TH'!$B199,'TỔNG KLH + TN'!$C:$C,'01. TH'!R$4)</f>
        <v>0</v>
      </c>
      <c r="S199" s="126">
        <f>COUNTIFS('TỔNG KLH + TN'!$B:$B,'01. TH'!$B199,'TỔNG KLH + TN'!$C:$C,'01. TH'!S$4)</f>
        <v>0</v>
      </c>
      <c r="T199" s="126">
        <f>COUNTIFS('TỔNG KLH + TN'!$B:$B,'01. TH'!$B199,'TỔNG KLH + TN'!$C:$C,'01. TH'!T$4)</f>
        <v>0</v>
      </c>
      <c r="U199" s="126">
        <f>COUNTIFS('TỔNG KLH + TN'!$B:$B,'01. TH'!$B199,'TỔNG KLH + TN'!$C:$C,'01. TH'!U$4)</f>
        <v>6</v>
      </c>
      <c r="V199" s="126">
        <f>COUNTIFS('TỔNG KLH + TN'!$B:$B,'01. TH'!$B199,'TỔNG KLH + TN'!$C:$C,'01. TH'!V$4)</f>
        <v>0</v>
      </c>
      <c r="W199" s="126">
        <f>COUNTIFS('TỔNG KLH + TN'!$B:$B,'01. TH'!$B199,'TỔNG KLH + TN'!$C:$C,'01. TH'!W$4)</f>
        <v>0</v>
      </c>
      <c r="X199" s="126">
        <f>COUNTIFS('TỔNG KLH + TN'!$B:$B,'01. TH'!$B199,'TỔNG KLH + TN'!$C:$C,'01. TH'!X$4)</f>
        <v>0</v>
      </c>
      <c r="Y199" s="126">
        <f>COUNTIFS('TỔNG KLH + TN'!$B:$B,'01. TH'!$B199,'TỔNG KLH + TN'!$C:$C,'01. TH'!Y$4)</f>
        <v>0</v>
      </c>
      <c r="Z199" s="126">
        <f>COUNTIFS('TỔNG KLH + TN'!$B:$B,'01. TH'!$B199,'TỔNG KLH + TN'!$C:$C,'01. TH'!Z$4)</f>
        <v>0</v>
      </c>
      <c r="AA199" s="126">
        <f>COUNTIFS('TỔNG KLH + TN'!$B:$B,'01. TH'!$B199,'TỔNG KLH + TN'!$C:$C,'01. TH'!AA$4)</f>
        <v>0</v>
      </c>
      <c r="AB199" s="126">
        <f>COUNTIFS('TỔNG KLH + TN'!$B:$B,'01. TH'!$B199,'TỔNG KLH + TN'!$C:$C,'01. TH'!AB$4)</f>
        <v>0</v>
      </c>
      <c r="AC199" s="126">
        <f>COUNTIFS('TỔNG KLH + TN'!$B:$B,'01. TH'!$B199,'TỔNG KLH + TN'!$C:$C,'01. TH'!AC$4)</f>
        <v>0</v>
      </c>
      <c r="AD199" s="126">
        <f>COUNTIFS('TỔNG KLH + TN'!$B:$B,'01. TH'!$B199,'TỔNG KLH + TN'!$C:$C,'01. TH'!AD$4)</f>
        <v>0</v>
      </c>
      <c r="AE199" s="162">
        <f t="shared" si="44"/>
        <v>6</v>
      </c>
      <c r="AF199" s="162"/>
      <c r="AG199" s="70" t="str">
        <f t="shared" si="24"/>
        <v>ok</v>
      </c>
      <c r="AH199" s="163"/>
    </row>
    <row r="200" ht="18.75" hidden="1" customHeight="1" outlineLevel="1">
      <c r="A200" s="159"/>
      <c r="B200" s="205" t="s">
        <v>4053</v>
      </c>
      <c r="C200" s="123" t="s">
        <v>76</v>
      </c>
      <c r="D200" s="124"/>
      <c r="E200" s="124" t="s">
        <v>5776</v>
      </c>
      <c r="F200" s="126">
        <f>COUNTIFS('TỔNG KLH + TN'!$B:$B,'01. TH'!$B200,'TỔNG KLH + TN'!$C:$C,'01. TH'!F$4)</f>
        <v>0</v>
      </c>
      <c r="G200" s="126">
        <f>COUNTIFS('TỔNG KLH + TN'!$B:$B,'01. TH'!$B200,'TỔNG KLH + TN'!$C:$C,'01. TH'!G$4)</f>
        <v>0</v>
      </c>
      <c r="H200" s="126">
        <f>COUNTIFS('TỔNG KLH + TN'!$B:$B,'01. TH'!$B200,'TỔNG KLH + TN'!$C:$C,'01. TH'!H$4)</f>
        <v>4</v>
      </c>
      <c r="I200" s="126">
        <f>COUNTIFS('TỔNG KLH + TN'!$B:$B,'01. TH'!$B200,'TỔNG KLH + TN'!$C:$C,'01. TH'!I$4)</f>
        <v>0</v>
      </c>
      <c r="J200" s="126">
        <f>COUNTIFS('TỔNG KLH + TN'!$B:$B,'01. TH'!$B200,'TỔNG KLH + TN'!$C:$C,'01. TH'!J$4)</f>
        <v>5</v>
      </c>
      <c r="K200" s="126">
        <f>COUNTIFS('TỔNG KLH + TN'!$B:$B,'01. TH'!$B200,'TỔNG KLH + TN'!$C:$C,'01. TH'!K$4)</f>
        <v>0</v>
      </c>
      <c r="L200" s="126">
        <f>COUNTIFS('TỔNG KLH + TN'!$B:$B,'01. TH'!$B200,'TỔNG KLH + TN'!$C:$C,'01. TH'!L$4)</f>
        <v>0</v>
      </c>
      <c r="M200" s="126">
        <f>COUNTIFS('TỔNG KLH + TN'!$B:$B,'01. TH'!$B200,'TỔNG KLH + TN'!$C:$C,'01. TH'!M$4)</f>
        <v>0</v>
      </c>
      <c r="N200" s="126">
        <f>COUNTIFS('TỔNG KLH + TN'!$B:$B,'01. TH'!$B200,'TỔNG KLH + TN'!$C:$C,'01. TH'!N$4)</f>
        <v>0</v>
      </c>
      <c r="O200" s="126">
        <f>COUNTIFS('TỔNG KLH + TN'!$B:$B,'01. TH'!$B200,'TỔNG KLH + TN'!$C:$C,'01. TH'!O$4)</f>
        <v>0</v>
      </c>
      <c r="P200" s="126">
        <f>COUNTIFS('TỔNG KLH + TN'!$B:$B,'01. TH'!$B200,'TỔNG KLH + TN'!$C:$C,'01. TH'!P$4)</f>
        <v>0</v>
      </c>
      <c r="Q200" s="126">
        <f>COUNTIFS('TỔNG KLH + TN'!$B:$B,'01. TH'!$B200,'TỔNG KLH + TN'!$C:$C,'01. TH'!Q$4)</f>
        <v>4</v>
      </c>
      <c r="R200" s="126">
        <f>COUNTIFS('TỔNG KLH + TN'!$B:$B,'01. TH'!$B200,'TỔNG KLH + TN'!$C:$C,'01. TH'!R$4)</f>
        <v>2</v>
      </c>
      <c r="S200" s="126">
        <f>COUNTIFS('TỔNG KLH + TN'!$B:$B,'01. TH'!$B200,'TỔNG KLH + TN'!$C:$C,'01. TH'!S$4)</f>
        <v>0</v>
      </c>
      <c r="T200" s="126">
        <f>COUNTIFS('TỔNG KLH + TN'!$B:$B,'01. TH'!$B200,'TỔNG KLH + TN'!$C:$C,'01. TH'!T$4)</f>
        <v>0</v>
      </c>
      <c r="U200" s="126">
        <f>COUNTIFS('TỔNG KLH + TN'!$B:$B,'01. TH'!$B200,'TỔNG KLH + TN'!$C:$C,'01. TH'!U$4)</f>
        <v>0</v>
      </c>
      <c r="V200" s="126">
        <f>COUNTIFS('TỔNG KLH + TN'!$B:$B,'01. TH'!$B200,'TỔNG KLH + TN'!$C:$C,'01. TH'!V$4)</f>
        <v>0</v>
      </c>
      <c r="W200" s="126">
        <f>COUNTIFS('TỔNG KLH + TN'!$B:$B,'01. TH'!$B200,'TỔNG KLH + TN'!$C:$C,'01. TH'!W$4)</f>
        <v>0</v>
      </c>
      <c r="X200" s="126">
        <f>COUNTIFS('TỔNG KLH + TN'!$B:$B,'01. TH'!$B200,'TỔNG KLH + TN'!$C:$C,'01. TH'!X$4)</f>
        <v>0</v>
      </c>
      <c r="Y200" s="126">
        <f>COUNTIFS('TỔNG KLH + TN'!$B:$B,'01. TH'!$B200,'TỔNG KLH + TN'!$C:$C,'01. TH'!Y$4)</f>
        <v>0</v>
      </c>
      <c r="Z200" s="126">
        <f>COUNTIFS('TỔNG KLH + TN'!$B:$B,'01. TH'!$B200,'TỔNG KLH + TN'!$C:$C,'01. TH'!Z$4)</f>
        <v>0</v>
      </c>
      <c r="AA200" s="126">
        <f>COUNTIFS('TỔNG KLH + TN'!$B:$B,'01. TH'!$B200,'TỔNG KLH + TN'!$C:$C,'01. TH'!AA$4)</f>
        <v>0</v>
      </c>
      <c r="AB200" s="126">
        <f>COUNTIFS('TỔNG KLH + TN'!$B:$B,'01. TH'!$B200,'TỔNG KLH + TN'!$C:$C,'01. TH'!AB$4)</f>
        <v>0</v>
      </c>
      <c r="AC200" s="126">
        <f>COUNTIFS('TỔNG KLH + TN'!$B:$B,'01. TH'!$B200,'TỔNG KLH + TN'!$C:$C,'01. TH'!AC$4)</f>
        <v>0</v>
      </c>
      <c r="AD200" s="126">
        <f>COUNTIFS('TỔNG KLH + TN'!$B:$B,'01. TH'!$B200,'TỔNG KLH + TN'!$C:$C,'01. TH'!AD$4)</f>
        <v>0</v>
      </c>
      <c r="AE200" s="162">
        <f t="shared" si="44"/>
        <v>15</v>
      </c>
      <c r="AF200" s="162"/>
      <c r="AG200" s="70" t="str">
        <f t="shared" si="24"/>
        <v>ok</v>
      </c>
      <c r="AH200" s="163"/>
    </row>
    <row r="201" ht="18.75" hidden="1" customHeight="1" outlineLevel="1">
      <c r="A201" s="159"/>
      <c r="B201" s="205" t="s">
        <v>3899</v>
      </c>
      <c r="C201" s="123" t="s">
        <v>76</v>
      </c>
      <c r="D201" s="124"/>
      <c r="E201" s="124" t="s">
        <v>5776</v>
      </c>
      <c r="F201" s="126">
        <f>COUNTIFS('TỔNG KLH + TN'!$B:$B,'01. TH'!$B201,'TỔNG KLH + TN'!$C:$C,'01. TH'!F$4)</f>
        <v>0</v>
      </c>
      <c r="G201" s="126">
        <f>COUNTIFS('TỔNG KLH + TN'!$B:$B,'01. TH'!$B201,'TỔNG KLH + TN'!$C:$C,'01. TH'!G$4)</f>
        <v>0</v>
      </c>
      <c r="H201" s="126">
        <f>COUNTIFS('TỔNG KLH + TN'!$B:$B,'01. TH'!$B201,'TỔNG KLH + TN'!$C:$C,'01. TH'!H$4)</f>
        <v>9</v>
      </c>
      <c r="I201" s="126">
        <f>COUNTIFS('TỔNG KLH + TN'!$B:$B,'01. TH'!$B201,'TỔNG KLH + TN'!$C:$C,'01. TH'!I$4)</f>
        <v>19</v>
      </c>
      <c r="J201" s="126">
        <f>COUNTIFS('TỔNG KLH + TN'!$B:$B,'01. TH'!$B201,'TỔNG KLH + TN'!$C:$C,'01. TH'!J$4)</f>
        <v>17</v>
      </c>
      <c r="K201" s="126">
        <f>COUNTIFS('TỔNG KLH + TN'!$B:$B,'01. TH'!$B201,'TỔNG KLH + TN'!$C:$C,'01. TH'!K$4)</f>
        <v>0</v>
      </c>
      <c r="L201" s="126">
        <f>COUNTIFS('TỔNG KLH + TN'!$B:$B,'01. TH'!$B201,'TỔNG KLH + TN'!$C:$C,'01. TH'!L$4)</f>
        <v>0</v>
      </c>
      <c r="M201" s="126">
        <f>COUNTIFS('TỔNG KLH + TN'!$B:$B,'01. TH'!$B201,'TỔNG KLH + TN'!$C:$C,'01. TH'!M$4)</f>
        <v>0</v>
      </c>
      <c r="N201" s="126">
        <f>COUNTIFS('TỔNG KLH + TN'!$B:$B,'01. TH'!$B201,'TỔNG KLH + TN'!$C:$C,'01. TH'!N$4)</f>
        <v>0</v>
      </c>
      <c r="O201" s="126">
        <f>COUNTIFS('TỔNG KLH + TN'!$B:$B,'01. TH'!$B201,'TỔNG KLH + TN'!$C:$C,'01. TH'!O$4)</f>
        <v>0</v>
      </c>
      <c r="P201" s="126">
        <f>COUNTIFS('TỔNG KLH + TN'!$B:$B,'01. TH'!$B201,'TỔNG KLH + TN'!$C:$C,'01. TH'!P$4)</f>
        <v>0</v>
      </c>
      <c r="Q201" s="126">
        <f>COUNTIFS('TỔNG KLH + TN'!$B:$B,'01. TH'!$B201,'TỔNG KLH + TN'!$C:$C,'01. TH'!Q$4)</f>
        <v>0</v>
      </c>
      <c r="R201" s="126">
        <f>COUNTIFS('TỔNG KLH + TN'!$B:$B,'01. TH'!$B201,'TỔNG KLH + TN'!$C:$C,'01. TH'!R$4)</f>
        <v>0</v>
      </c>
      <c r="S201" s="126">
        <f>COUNTIFS('TỔNG KLH + TN'!$B:$B,'01. TH'!$B201,'TỔNG KLH + TN'!$C:$C,'01. TH'!S$4)</f>
        <v>0</v>
      </c>
      <c r="T201" s="126">
        <f>COUNTIFS('TỔNG KLH + TN'!$B:$B,'01. TH'!$B201,'TỔNG KLH + TN'!$C:$C,'01. TH'!T$4)</f>
        <v>0</v>
      </c>
      <c r="U201" s="126">
        <f>COUNTIFS('TỔNG KLH + TN'!$B:$B,'01. TH'!$B201,'TỔNG KLH + TN'!$C:$C,'01. TH'!U$4)</f>
        <v>3</v>
      </c>
      <c r="V201" s="126">
        <f>COUNTIFS('TỔNG KLH + TN'!$B:$B,'01. TH'!$B201,'TỔNG KLH + TN'!$C:$C,'01. TH'!V$4)</f>
        <v>0</v>
      </c>
      <c r="W201" s="126">
        <f>COUNTIFS('TỔNG KLH + TN'!$B:$B,'01. TH'!$B201,'TỔNG KLH + TN'!$C:$C,'01. TH'!W$4)</f>
        <v>0</v>
      </c>
      <c r="X201" s="126">
        <f>COUNTIFS('TỔNG KLH + TN'!$B:$B,'01. TH'!$B201,'TỔNG KLH + TN'!$C:$C,'01. TH'!X$4)</f>
        <v>0</v>
      </c>
      <c r="Y201" s="126">
        <f>COUNTIFS('TỔNG KLH + TN'!$B:$B,'01. TH'!$B201,'TỔNG KLH + TN'!$C:$C,'01. TH'!Y$4)</f>
        <v>0</v>
      </c>
      <c r="Z201" s="126">
        <f>COUNTIFS('TỔNG KLH + TN'!$B:$B,'01. TH'!$B201,'TỔNG KLH + TN'!$C:$C,'01. TH'!Z$4)</f>
        <v>0</v>
      </c>
      <c r="AA201" s="126">
        <f>COUNTIFS('TỔNG KLH + TN'!$B:$B,'01. TH'!$B201,'TỔNG KLH + TN'!$C:$C,'01. TH'!AA$4)</f>
        <v>0</v>
      </c>
      <c r="AB201" s="126">
        <f>COUNTIFS('TỔNG KLH + TN'!$B:$B,'01. TH'!$B201,'TỔNG KLH + TN'!$C:$C,'01. TH'!AB$4)</f>
        <v>0</v>
      </c>
      <c r="AC201" s="126">
        <f>COUNTIFS('TỔNG KLH + TN'!$B:$B,'01. TH'!$B201,'TỔNG KLH + TN'!$C:$C,'01. TH'!AC$4)</f>
        <v>0</v>
      </c>
      <c r="AD201" s="126">
        <f>COUNTIFS('TỔNG KLH + TN'!$B:$B,'01. TH'!$B201,'TỔNG KLH + TN'!$C:$C,'01. TH'!AD$4)</f>
        <v>0</v>
      </c>
      <c r="AE201" s="162">
        <f t="shared" si="44"/>
        <v>48</v>
      </c>
      <c r="AF201" s="162"/>
      <c r="AG201" s="70" t="str">
        <f t="shared" si="24"/>
        <v>ok</v>
      </c>
      <c r="AH201" s="163"/>
    </row>
    <row r="202" ht="24.0" customHeight="1" collapsed="1">
      <c r="A202" s="70">
        <v>24.0</v>
      </c>
      <c r="B202" s="73" t="s">
        <v>5836</v>
      </c>
      <c r="C202" s="78"/>
      <c r="D202" s="78"/>
      <c r="E202" s="78"/>
      <c r="F202" s="172">
        <f t="shared" ref="F202:AE202" si="45">SUM(F203:F204)</f>
        <v>2</v>
      </c>
      <c r="G202" s="172">
        <f t="shared" si="45"/>
        <v>0</v>
      </c>
      <c r="H202" s="172">
        <f t="shared" si="45"/>
        <v>0</v>
      </c>
      <c r="I202" s="172">
        <f t="shared" si="45"/>
        <v>0</v>
      </c>
      <c r="J202" s="172">
        <f t="shared" si="45"/>
        <v>0</v>
      </c>
      <c r="K202" s="172">
        <f t="shared" si="45"/>
        <v>0</v>
      </c>
      <c r="L202" s="172">
        <f t="shared" si="45"/>
        <v>0</v>
      </c>
      <c r="M202" s="172">
        <f t="shared" si="45"/>
        <v>0</v>
      </c>
      <c r="N202" s="172">
        <f t="shared" si="45"/>
        <v>0</v>
      </c>
      <c r="O202" s="172">
        <f t="shared" si="45"/>
        <v>4</v>
      </c>
      <c r="P202" s="172">
        <f t="shared" si="45"/>
        <v>0</v>
      </c>
      <c r="Q202" s="172">
        <f t="shared" si="45"/>
        <v>0</v>
      </c>
      <c r="R202" s="172">
        <f t="shared" si="45"/>
        <v>0</v>
      </c>
      <c r="S202" s="172">
        <f t="shared" si="45"/>
        <v>8</v>
      </c>
      <c r="T202" s="172">
        <f t="shared" si="45"/>
        <v>0</v>
      </c>
      <c r="U202" s="172">
        <f t="shared" si="45"/>
        <v>0</v>
      </c>
      <c r="V202" s="172">
        <f t="shared" si="45"/>
        <v>0</v>
      </c>
      <c r="W202" s="172">
        <f t="shared" si="45"/>
        <v>0</v>
      </c>
      <c r="X202" s="172">
        <f t="shared" si="45"/>
        <v>0</v>
      </c>
      <c r="Y202" s="172">
        <f t="shared" si="45"/>
        <v>0</v>
      </c>
      <c r="Z202" s="172">
        <f t="shared" si="45"/>
        <v>0</v>
      </c>
      <c r="AA202" s="172">
        <f t="shared" si="45"/>
        <v>0</v>
      </c>
      <c r="AB202" s="172">
        <f t="shared" si="45"/>
        <v>0</v>
      </c>
      <c r="AC202" s="172">
        <f t="shared" si="45"/>
        <v>0</v>
      </c>
      <c r="AD202" s="172">
        <f t="shared" si="45"/>
        <v>0</v>
      </c>
      <c r="AE202" s="173">
        <f t="shared" si="45"/>
        <v>14</v>
      </c>
      <c r="AF202" s="174">
        <v>0.0</v>
      </c>
      <c r="AG202" s="70" t="str">
        <f t="shared" si="24"/>
        <v>ok</v>
      </c>
      <c r="AH202" s="120"/>
    </row>
    <row r="203" ht="18.75" hidden="1" customHeight="1" outlineLevel="1">
      <c r="A203" s="159"/>
      <c r="B203" s="122" t="s">
        <v>3239</v>
      </c>
      <c r="C203" s="124"/>
      <c r="D203" s="124"/>
      <c r="E203" s="124" t="s">
        <v>5837</v>
      </c>
      <c r="F203" s="126">
        <f>COUNTIFS('TỔNG KLH + TN'!$B:$B,'01. TH'!$B203,'TỔNG KLH + TN'!$C:$C,'01. TH'!F$4)</f>
        <v>1</v>
      </c>
      <c r="G203" s="126">
        <f>COUNTIFS('TỔNG KLH + TN'!$B:$B,'01. TH'!$B203,'TỔNG KLH + TN'!$C:$C,'01. TH'!G$4)</f>
        <v>0</v>
      </c>
      <c r="H203" s="126">
        <f>COUNTIFS('TỔNG KLH + TN'!$B:$B,'01. TH'!$B203,'TỔNG KLH + TN'!$C:$C,'01. TH'!H$4)</f>
        <v>0</v>
      </c>
      <c r="I203" s="126">
        <f>COUNTIFS('TỔNG KLH + TN'!$B:$B,'01. TH'!$B203,'TỔNG KLH + TN'!$C:$C,'01. TH'!I$4)</f>
        <v>0</v>
      </c>
      <c r="J203" s="126">
        <f>COUNTIFS('TỔNG KLH + TN'!$B:$B,'01. TH'!$B203,'TỔNG KLH + TN'!$C:$C,'01. TH'!J$4)</f>
        <v>0</v>
      </c>
      <c r="K203" s="126">
        <f>COUNTIFS('TỔNG KLH + TN'!$B:$B,'01. TH'!$B203,'TỔNG KLH + TN'!$C:$C,'01. TH'!K$4)</f>
        <v>0</v>
      </c>
      <c r="L203" s="126">
        <f>COUNTIFS('TỔNG KLH + TN'!$B:$B,'01. TH'!$B203,'TỔNG KLH + TN'!$C:$C,'01. TH'!L$4)</f>
        <v>0</v>
      </c>
      <c r="M203" s="126">
        <f>COUNTIFS('TỔNG KLH + TN'!$B:$B,'01. TH'!$B203,'TỔNG KLH + TN'!$C:$C,'01. TH'!M$4)</f>
        <v>0</v>
      </c>
      <c r="N203" s="126">
        <f>COUNTIFS('TỔNG KLH + TN'!$B:$B,'01. TH'!$B203,'TỔNG KLH + TN'!$C:$C,'01. TH'!N$4)</f>
        <v>0</v>
      </c>
      <c r="O203" s="126">
        <f>COUNTIFS('TỔNG KLH + TN'!$B:$B,'01. TH'!$B203,'TỔNG KLH + TN'!$C:$C,'01. TH'!O$4)</f>
        <v>3</v>
      </c>
      <c r="P203" s="126">
        <f>COUNTIFS('TỔNG KLH + TN'!$B:$B,'01. TH'!$B203,'TỔNG KLH + TN'!$C:$C,'01. TH'!P$4)</f>
        <v>0</v>
      </c>
      <c r="Q203" s="126">
        <f>COUNTIFS('TỔNG KLH + TN'!$B:$B,'01. TH'!$B203,'TỔNG KLH + TN'!$C:$C,'01. TH'!Q$4)</f>
        <v>0</v>
      </c>
      <c r="R203" s="126">
        <f>COUNTIFS('TỔNG KLH + TN'!$B:$B,'01. TH'!$B203,'TỔNG KLH + TN'!$C:$C,'01. TH'!R$4)</f>
        <v>0</v>
      </c>
      <c r="S203" s="126">
        <f>COUNTIFS('TỔNG KLH + TN'!$B:$B,'01. TH'!$B203,'TỔNG KLH + TN'!$C:$C,'01. TH'!S$4)</f>
        <v>6</v>
      </c>
      <c r="T203" s="126">
        <f>COUNTIFS('TỔNG KLH + TN'!$B:$B,'01. TH'!$B203,'TỔNG KLH + TN'!$C:$C,'01. TH'!T$4)</f>
        <v>0</v>
      </c>
      <c r="U203" s="126">
        <f>COUNTIFS('TỔNG KLH + TN'!$B:$B,'01. TH'!$B203,'TỔNG KLH + TN'!$C:$C,'01. TH'!U$4)</f>
        <v>0</v>
      </c>
      <c r="V203" s="126">
        <f>COUNTIFS('TỔNG KLH + TN'!$B:$B,'01. TH'!$B203,'TỔNG KLH + TN'!$C:$C,'01. TH'!V$4)</f>
        <v>0</v>
      </c>
      <c r="W203" s="126">
        <f>COUNTIFS('TỔNG KLH + TN'!$B:$B,'01. TH'!$B203,'TỔNG KLH + TN'!$C:$C,'01. TH'!W$4)</f>
        <v>0</v>
      </c>
      <c r="X203" s="126">
        <f>COUNTIFS('TỔNG KLH + TN'!$B:$B,'01. TH'!$B203,'TỔNG KLH + TN'!$C:$C,'01. TH'!X$4)</f>
        <v>0</v>
      </c>
      <c r="Y203" s="126">
        <f>COUNTIFS('TỔNG KLH + TN'!$B:$B,'01. TH'!$B203,'TỔNG KLH + TN'!$C:$C,'01. TH'!Y$4)</f>
        <v>0</v>
      </c>
      <c r="Z203" s="126">
        <f>COUNTIFS('TỔNG KLH + TN'!$B:$B,'01. TH'!$B203,'TỔNG KLH + TN'!$C:$C,'01. TH'!Z$4)</f>
        <v>0</v>
      </c>
      <c r="AA203" s="126">
        <f>COUNTIFS('TỔNG KLH + TN'!$B:$B,'01. TH'!$B203,'TỔNG KLH + TN'!$C:$C,'01. TH'!AA$4)</f>
        <v>0</v>
      </c>
      <c r="AB203" s="126">
        <f>COUNTIFS('TỔNG KLH + TN'!$B:$B,'01. TH'!$B203,'TỔNG KLH + TN'!$C:$C,'01. TH'!AB$4)</f>
        <v>0</v>
      </c>
      <c r="AC203" s="126">
        <f>COUNTIFS('TỔNG KLH + TN'!$B:$B,'01. TH'!$B203,'TỔNG KLH + TN'!$C:$C,'01. TH'!AC$4)</f>
        <v>0</v>
      </c>
      <c r="AD203" s="126">
        <f>COUNTIFS('TỔNG KLH + TN'!$B:$B,'01. TH'!$B203,'TỔNG KLH + TN'!$C:$C,'01. TH'!AD$4)</f>
        <v>0</v>
      </c>
      <c r="AE203" s="162">
        <f t="shared" ref="AE203:AE204" si="46">SUM(F203:AD203)</f>
        <v>10</v>
      </c>
      <c r="AF203" s="162"/>
      <c r="AG203" s="70" t="str">
        <f t="shared" si="24"/>
        <v>ok</v>
      </c>
      <c r="AH203" s="163"/>
    </row>
    <row r="204" ht="18.75" hidden="1" customHeight="1" outlineLevel="1">
      <c r="A204" s="121"/>
      <c r="B204" s="122" t="s">
        <v>3252</v>
      </c>
      <c r="C204" s="124"/>
      <c r="D204" s="124"/>
      <c r="E204" s="124" t="s">
        <v>5837</v>
      </c>
      <c r="F204" s="126">
        <f>COUNTIFS('TỔNG KLH + TN'!$B:$B,'01. TH'!$B204,'TỔNG KLH + TN'!$C:$C,'01. TH'!F$4)</f>
        <v>1</v>
      </c>
      <c r="G204" s="126">
        <f>COUNTIFS('TỔNG KLH + TN'!$B:$B,'01. TH'!$B204,'TỔNG KLH + TN'!$C:$C,'01. TH'!G$4)</f>
        <v>0</v>
      </c>
      <c r="H204" s="126">
        <f>COUNTIFS('TỔNG KLH + TN'!$B:$B,'01. TH'!$B204,'TỔNG KLH + TN'!$C:$C,'01. TH'!H$4)</f>
        <v>0</v>
      </c>
      <c r="I204" s="126">
        <f>COUNTIFS('TỔNG KLH + TN'!$B:$B,'01. TH'!$B204,'TỔNG KLH + TN'!$C:$C,'01. TH'!I$4)</f>
        <v>0</v>
      </c>
      <c r="J204" s="126">
        <f>COUNTIFS('TỔNG KLH + TN'!$B:$B,'01. TH'!$B204,'TỔNG KLH + TN'!$C:$C,'01. TH'!J$4)</f>
        <v>0</v>
      </c>
      <c r="K204" s="126">
        <f>COUNTIFS('TỔNG KLH + TN'!$B:$B,'01. TH'!$B204,'TỔNG KLH + TN'!$C:$C,'01. TH'!K$4)</f>
        <v>0</v>
      </c>
      <c r="L204" s="126">
        <f>COUNTIFS('TỔNG KLH + TN'!$B:$B,'01. TH'!$B204,'TỔNG KLH + TN'!$C:$C,'01. TH'!L$4)</f>
        <v>0</v>
      </c>
      <c r="M204" s="126">
        <f>COUNTIFS('TỔNG KLH + TN'!$B:$B,'01. TH'!$B204,'TỔNG KLH + TN'!$C:$C,'01. TH'!M$4)</f>
        <v>0</v>
      </c>
      <c r="N204" s="126">
        <f>COUNTIFS('TỔNG KLH + TN'!$B:$B,'01. TH'!$B204,'TỔNG KLH + TN'!$C:$C,'01. TH'!N$4)</f>
        <v>0</v>
      </c>
      <c r="O204" s="126">
        <f>COUNTIFS('TỔNG KLH + TN'!$B:$B,'01. TH'!$B204,'TỔNG KLH + TN'!$C:$C,'01. TH'!O$4)</f>
        <v>1</v>
      </c>
      <c r="P204" s="126">
        <f>COUNTIFS('TỔNG KLH + TN'!$B:$B,'01. TH'!$B204,'TỔNG KLH + TN'!$C:$C,'01. TH'!P$4)</f>
        <v>0</v>
      </c>
      <c r="Q204" s="126">
        <f>COUNTIFS('TỔNG KLH + TN'!$B:$B,'01. TH'!$B204,'TỔNG KLH + TN'!$C:$C,'01. TH'!Q$4)</f>
        <v>0</v>
      </c>
      <c r="R204" s="126">
        <f>COUNTIFS('TỔNG KLH + TN'!$B:$B,'01. TH'!$B204,'TỔNG KLH + TN'!$C:$C,'01. TH'!R$4)</f>
        <v>0</v>
      </c>
      <c r="S204" s="126">
        <f>COUNTIFS('TỔNG KLH + TN'!$B:$B,'01. TH'!$B204,'TỔNG KLH + TN'!$C:$C,'01. TH'!S$4)</f>
        <v>2</v>
      </c>
      <c r="T204" s="126">
        <f>COUNTIFS('TỔNG KLH + TN'!$B:$B,'01. TH'!$B204,'TỔNG KLH + TN'!$C:$C,'01. TH'!T$4)</f>
        <v>0</v>
      </c>
      <c r="U204" s="126">
        <f>COUNTIFS('TỔNG KLH + TN'!$B:$B,'01. TH'!$B204,'TỔNG KLH + TN'!$C:$C,'01. TH'!U$4)</f>
        <v>0</v>
      </c>
      <c r="V204" s="126">
        <f>COUNTIFS('TỔNG KLH + TN'!$B:$B,'01. TH'!$B204,'TỔNG KLH + TN'!$C:$C,'01. TH'!V$4)</f>
        <v>0</v>
      </c>
      <c r="W204" s="126">
        <f>COUNTIFS('TỔNG KLH + TN'!$B:$B,'01. TH'!$B204,'TỔNG KLH + TN'!$C:$C,'01. TH'!W$4)</f>
        <v>0</v>
      </c>
      <c r="X204" s="126">
        <f>COUNTIFS('TỔNG KLH + TN'!$B:$B,'01. TH'!$B204,'TỔNG KLH + TN'!$C:$C,'01. TH'!X$4)</f>
        <v>0</v>
      </c>
      <c r="Y204" s="126">
        <f>COUNTIFS('TỔNG KLH + TN'!$B:$B,'01. TH'!$B204,'TỔNG KLH + TN'!$C:$C,'01. TH'!Y$4)</f>
        <v>0</v>
      </c>
      <c r="Z204" s="126">
        <f>COUNTIFS('TỔNG KLH + TN'!$B:$B,'01. TH'!$B204,'TỔNG KLH + TN'!$C:$C,'01. TH'!Z$4)</f>
        <v>0</v>
      </c>
      <c r="AA204" s="126">
        <f>COUNTIFS('TỔNG KLH + TN'!$B:$B,'01. TH'!$B204,'TỔNG KLH + TN'!$C:$C,'01. TH'!AA$4)</f>
        <v>0</v>
      </c>
      <c r="AB204" s="126">
        <f>COUNTIFS('TỔNG KLH + TN'!$B:$B,'01. TH'!$B204,'TỔNG KLH + TN'!$C:$C,'01. TH'!AB$4)</f>
        <v>0</v>
      </c>
      <c r="AC204" s="126">
        <f>COUNTIFS('TỔNG KLH + TN'!$B:$B,'01. TH'!$B204,'TỔNG KLH + TN'!$C:$C,'01. TH'!AC$4)</f>
        <v>0</v>
      </c>
      <c r="AD204" s="126">
        <f>COUNTIFS('TỔNG KLH + TN'!$B:$B,'01. TH'!$B204,'TỔNG KLH + TN'!$C:$C,'01. TH'!AD$4)</f>
        <v>0</v>
      </c>
      <c r="AE204" s="136">
        <f t="shared" si="46"/>
        <v>4</v>
      </c>
      <c r="AF204" s="136"/>
      <c r="AG204" s="70" t="str">
        <f t="shared" si="24"/>
        <v>ok</v>
      </c>
      <c r="AH204" s="124"/>
    </row>
    <row r="205" ht="24.0" customHeight="1" collapsed="1">
      <c r="A205" s="70">
        <v>25.0</v>
      </c>
      <c r="B205" s="73" t="s">
        <v>5839</v>
      </c>
      <c r="C205" s="78"/>
      <c r="D205" s="78" t="str">
        <f>IFERROR(VLOOKUP(B205,'Danh mục'!$G:$U,15,0),"")</f>
        <v/>
      </c>
      <c r="E205" s="78"/>
      <c r="F205" s="172">
        <f t="shared" ref="F205:AE205" si="47">SUM(F206:F229)</f>
        <v>0</v>
      </c>
      <c r="G205" s="172">
        <f t="shared" si="47"/>
        <v>38</v>
      </c>
      <c r="H205" s="172">
        <f t="shared" si="47"/>
        <v>0</v>
      </c>
      <c r="I205" s="172">
        <f t="shared" si="47"/>
        <v>0</v>
      </c>
      <c r="J205" s="172">
        <f t="shared" si="47"/>
        <v>0</v>
      </c>
      <c r="K205" s="172">
        <f t="shared" si="47"/>
        <v>0</v>
      </c>
      <c r="L205" s="172">
        <f t="shared" si="47"/>
        <v>0</v>
      </c>
      <c r="M205" s="172">
        <f t="shared" si="47"/>
        <v>0</v>
      </c>
      <c r="N205" s="172">
        <f t="shared" si="47"/>
        <v>0</v>
      </c>
      <c r="O205" s="172">
        <f t="shared" si="47"/>
        <v>0</v>
      </c>
      <c r="P205" s="172">
        <f t="shared" si="47"/>
        <v>25</v>
      </c>
      <c r="Q205" s="172">
        <f t="shared" si="47"/>
        <v>2</v>
      </c>
      <c r="R205" s="172">
        <f t="shared" si="47"/>
        <v>1</v>
      </c>
      <c r="S205" s="172">
        <f t="shared" si="47"/>
        <v>1</v>
      </c>
      <c r="T205" s="172">
        <f t="shared" si="47"/>
        <v>0</v>
      </c>
      <c r="U205" s="172">
        <f t="shared" si="47"/>
        <v>32</v>
      </c>
      <c r="V205" s="172">
        <f t="shared" si="47"/>
        <v>0</v>
      </c>
      <c r="W205" s="172">
        <f t="shared" si="47"/>
        <v>0</v>
      </c>
      <c r="X205" s="172">
        <f t="shared" si="47"/>
        <v>0</v>
      </c>
      <c r="Y205" s="172">
        <f t="shared" si="47"/>
        <v>0</v>
      </c>
      <c r="Z205" s="172">
        <f t="shared" si="47"/>
        <v>0</v>
      </c>
      <c r="AA205" s="172">
        <f t="shared" si="47"/>
        <v>0</v>
      </c>
      <c r="AB205" s="172">
        <f t="shared" si="47"/>
        <v>0</v>
      </c>
      <c r="AC205" s="172">
        <f t="shared" si="47"/>
        <v>0</v>
      </c>
      <c r="AD205" s="172">
        <f t="shared" si="47"/>
        <v>0</v>
      </c>
      <c r="AE205" s="173">
        <f t="shared" si="47"/>
        <v>99</v>
      </c>
      <c r="AF205" s="174">
        <v>0.0</v>
      </c>
      <c r="AG205" s="70" t="str">
        <f t="shared" si="24"/>
        <v>ok</v>
      </c>
      <c r="AH205" s="120"/>
    </row>
    <row r="206" ht="18.75" hidden="1" customHeight="1" outlineLevel="1">
      <c r="A206" s="159"/>
      <c r="B206" s="122" t="s">
        <v>3644</v>
      </c>
      <c r="C206" s="124"/>
      <c r="D206" s="124" t="s">
        <v>5840</v>
      </c>
      <c r="E206" s="124" t="s">
        <v>5837</v>
      </c>
      <c r="F206" s="126">
        <f>COUNTIFS('TỔNG KLH + TN'!$B:$B,'01. TH'!$B206,'TỔNG KLH + TN'!$C:$C,'01. TH'!F$4)</f>
        <v>0</v>
      </c>
      <c r="G206" s="126">
        <f>COUNTIFS('TỔNG KLH + TN'!$B:$B,'01. TH'!$B206,'TỔNG KLH + TN'!$C:$C,'01. TH'!G$4)</f>
        <v>2</v>
      </c>
      <c r="H206" s="126">
        <f>COUNTIFS('TỔNG KLH + TN'!$B:$B,'01. TH'!$B206,'TỔNG KLH + TN'!$C:$C,'01. TH'!H$4)</f>
        <v>0</v>
      </c>
      <c r="I206" s="126">
        <f>COUNTIFS('TỔNG KLH + TN'!$B:$B,'01. TH'!$B206,'TỔNG KLH + TN'!$C:$C,'01. TH'!I$4)</f>
        <v>0</v>
      </c>
      <c r="J206" s="126">
        <f>COUNTIFS('TỔNG KLH + TN'!$B:$B,'01. TH'!$B206,'TỔNG KLH + TN'!$C:$C,'01. TH'!J$4)</f>
        <v>0</v>
      </c>
      <c r="K206" s="126">
        <f>COUNTIFS('TỔNG KLH + TN'!$B:$B,'01. TH'!$B206,'TỔNG KLH + TN'!$C:$C,'01. TH'!K$4)</f>
        <v>0</v>
      </c>
      <c r="L206" s="126">
        <f>COUNTIFS('TỔNG KLH + TN'!$B:$B,'01. TH'!$B206,'TỔNG KLH + TN'!$C:$C,'01. TH'!L$4)</f>
        <v>0</v>
      </c>
      <c r="M206" s="126">
        <f>COUNTIFS('TỔNG KLH + TN'!$B:$B,'01. TH'!$B206,'TỔNG KLH + TN'!$C:$C,'01. TH'!M$4)</f>
        <v>0</v>
      </c>
      <c r="N206" s="126">
        <f>COUNTIFS('TỔNG KLH + TN'!$B:$B,'01. TH'!$B206,'TỔNG KLH + TN'!$C:$C,'01. TH'!N$4)</f>
        <v>0</v>
      </c>
      <c r="O206" s="126">
        <f>COUNTIFS('TỔNG KLH + TN'!$B:$B,'01. TH'!$B206,'TỔNG KLH + TN'!$C:$C,'01. TH'!O$4)</f>
        <v>0</v>
      </c>
      <c r="P206" s="126">
        <f>COUNTIFS('TỔNG KLH + TN'!$B:$B,'01. TH'!$B206,'TỔNG KLH + TN'!$C:$C,'01. TH'!P$4)</f>
        <v>2</v>
      </c>
      <c r="Q206" s="126">
        <f>COUNTIFS('TỔNG KLH + TN'!$B:$B,'01. TH'!$B206,'TỔNG KLH + TN'!$C:$C,'01. TH'!Q$4)</f>
        <v>1</v>
      </c>
      <c r="R206" s="126">
        <f>COUNTIFS('TỔNG KLH + TN'!$B:$B,'01. TH'!$B206,'TỔNG KLH + TN'!$C:$C,'01. TH'!R$4)</f>
        <v>0</v>
      </c>
      <c r="S206" s="126">
        <f>COUNTIFS('TỔNG KLH + TN'!$B:$B,'01. TH'!$B206,'TỔNG KLH + TN'!$C:$C,'01. TH'!S$4)</f>
        <v>0</v>
      </c>
      <c r="T206" s="126">
        <f>COUNTIFS('TỔNG KLH + TN'!$B:$B,'01. TH'!$B206,'TỔNG KLH + TN'!$C:$C,'01. TH'!T$4)</f>
        <v>0</v>
      </c>
      <c r="U206" s="126">
        <f>COUNTIFS('TỔNG KLH + TN'!$B:$B,'01. TH'!$B206,'TỔNG KLH + TN'!$C:$C,'01. TH'!U$4)</f>
        <v>0</v>
      </c>
      <c r="V206" s="126">
        <f>COUNTIFS('TỔNG KLH + TN'!$B:$B,'01. TH'!$B206,'TỔNG KLH + TN'!$C:$C,'01. TH'!V$4)</f>
        <v>0</v>
      </c>
      <c r="W206" s="126">
        <f>COUNTIFS('TỔNG KLH + TN'!$B:$B,'01. TH'!$B206,'TỔNG KLH + TN'!$C:$C,'01. TH'!W$4)</f>
        <v>0</v>
      </c>
      <c r="X206" s="126">
        <f>COUNTIFS('TỔNG KLH + TN'!$B:$B,'01. TH'!$B206,'TỔNG KLH + TN'!$C:$C,'01. TH'!X$4)</f>
        <v>0</v>
      </c>
      <c r="Y206" s="126">
        <f>COUNTIFS('TỔNG KLH + TN'!$B:$B,'01. TH'!$B206,'TỔNG KLH + TN'!$C:$C,'01. TH'!Y$4)</f>
        <v>0</v>
      </c>
      <c r="Z206" s="126">
        <f>COUNTIFS('TỔNG KLH + TN'!$B:$B,'01. TH'!$B206,'TỔNG KLH + TN'!$C:$C,'01. TH'!Z$4)</f>
        <v>0</v>
      </c>
      <c r="AA206" s="126">
        <f>COUNTIFS('TỔNG KLH + TN'!$B:$B,'01. TH'!$B206,'TỔNG KLH + TN'!$C:$C,'01. TH'!AA$4)</f>
        <v>0</v>
      </c>
      <c r="AB206" s="126">
        <f>COUNTIFS('TỔNG KLH + TN'!$B:$B,'01. TH'!$B206,'TỔNG KLH + TN'!$C:$C,'01. TH'!AB$4)</f>
        <v>0</v>
      </c>
      <c r="AC206" s="126">
        <f>COUNTIFS('TỔNG KLH + TN'!$B:$B,'01. TH'!$B206,'TỔNG KLH + TN'!$C:$C,'01. TH'!AC$4)</f>
        <v>0</v>
      </c>
      <c r="AD206" s="126">
        <f>COUNTIFS('TỔNG KLH + TN'!$B:$B,'01. TH'!$B206,'TỔNG KLH + TN'!$C:$C,'01. TH'!AD$4)</f>
        <v>0</v>
      </c>
      <c r="AE206" s="162">
        <f t="shared" ref="AE206:AE229" si="48">SUM(F206:AD206)</f>
        <v>5</v>
      </c>
      <c r="AF206" s="162"/>
      <c r="AG206" s="70" t="str">
        <f t="shared" si="24"/>
        <v>ok</v>
      </c>
      <c r="AH206" s="163"/>
    </row>
    <row r="207" ht="18.75" hidden="1" customHeight="1" outlineLevel="1">
      <c r="A207" s="159"/>
      <c r="B207" s="723" t="s">
        <v>3622</v>
      </c>
      <c r="C207" s="124"/>
      <c r="D207" s="124" t="s">
        <v>5842</v>
      </c>
      <c r="E207" s="124" t="s">
        <v>5837</v>
      </c>
      <c r="F207" s="126">
        <f>COUNTIFS('TỔNG KLH + TN'!$B:$B,'01. TH'!$B207,'TỔNG KLH + TN'!$C:$C,'01. TH'!F$4)</f>
        <v>0</v>
      </c>
      <c r="G207" s="126">
        <f>COUNTIFS('TỔNG KLH + TN'!$B:$B,'01. TH'!$B207,'TỔNG KLH + TN'!$C:$C,'01. TH'!G$4)</f>
        <v>2</v>
      </c>
      <c r="H207" s="126">
        <f>COUNTIFS('TỔNG KLH + TN'!$B:$B,'01. TH'!$B207,'TỔNG KLH + TN'!$C:$C,'01. TH'!H$4)</f>
        <v>0</v>
      </c>
      <c r="I207" s="126">
        <f>COUNTIFS('TỔNG KLH + TN'!$B:$B,'01. TH'!$B207,'TỔNG KLH + TN'!$C:$C,'01. TH'!I$4)</f>
        <v>0</v>
      </c>
      <c r="J207" s="126">
        <f>COUNTIFS('TỔNG KLH + TN'!$B:$B,'01. TH'!$B207,'TỔNG KLH + TN'!$C:$C,'01. TH'!J$4)</f>
        <v>0</v>
      </c>
      <c r="K207" s="126">
        <f>COUNTIFS('TỔNG KLH + TN'!$B:$B,'01. TH'!$B207,'TỔNG KLH + TN'!$C:$C,'01. TH'!K$4)</f>
        <v>0</v>
      </c>
      <c r="L207" s="126">
        <f>COUNTIFS('TỔNG KLH + TN'!$B:$B,'01. TH'!$B207,'TỔNG KLH + TN'!$C:$C,'01. TH'!L$4)</f>
        <v>0</v>
      </c>
      <c r="M207" s="126">
        <f>COUNTIFS('TỔNG KLH + TN'!$B:$B,'01. TH'!$B207,'TỔNG KLH + TN'!$C:$C,'01. TH'!M$4)</f>
        <v>0</v>
      </c>
      <c r="N207" s="126">
        <f>COUNTIFS('TỔNG KLH + TN'!$B:$B,'01. TH'!$B207,'TỔNG KLH + TN'!$C:$C,'01. TH'!N$4)</f>
        <v>0</v>
      </c>
      <c r="O207" s="126">
        <f>COUNTIFS('TỔNG KLH + TN'!$B:$B,'01. TH'!$B207,'TỔNG KLH + TN'!$C:$C,'01. TH'!O$4)</f>
        <v>0</v>
      </c>
      <c r="P207" s="126">
        <f>COUNTIFS('TỔNG KLH + TN'!$B:$B,'01. TH'!$B207,'TỔNG KLH + TN'!$C:$C,'01. TH'!P$4)</f>
        <v>1</v>
      </c>
      <c r="Q207" s="126">
        <f>COUNTIFS('TỔNG KLH + TN'!$B:$B,'01. TH'!$B207,'TỔNG KLH + TN'!$C:$C,'01. TH'!Q$4)</f>
        <v>0</v>
      </c>
      <c r="R207" s="126">
        <f>COUNTIFS('TỔNG KLH + TN'!$B:$B,'01. TH'!$B207,'TỔNG KLH + TN'!$C:$C,'01. TH'!R$4)</f>
        <v>0</v>
      </c>
      <c r="S207" s="126">
        <f>COUNTIFS('TỔNG KLH + TN'!$B:$B,'01. TH'!$B207,'TỔNG KLH + TN'!$C:$C,'01. TH'!S$4)</f>
        <v>0</v>
      </c>
      <c r="T207" s="126">
        <f>COUNTIFS('TỔNG KLH + TN'!$B:$B,'01. TH'!$B207,'TỔNG KLH + TN'!$C:$C,'01. TH'!T$4)</f>
        <v>0</v>
      </c>
      <c r="U207" s="126">
        <f>COUNTIFS('TỔNG KLH + TN'!$B:$B,'01. TH'!$B207,'TỔNG KLH + TN'!$C:$C,'01. TH'!U$4)</f>
        <v>2</v>
      </c>
      <c r="V207" s="126">
        <f>COUNTIFS('TỔNG KLH + TN'!$B:$B,'01. TH'!$B207,'TỔNG KLH + TN'!$C:$C,'01. TH'!V$4)</f>
        <v>0</v>
      </c>
      <c r="W207" s="126">
        <f>COUNTIFS('TỔNG KLH + TN'!$B:$B,'01. TH'!$B207,'TỔNG KLH + TN'!$C:$C,'01. TH'!W$4)</f>
        <v>0</v>
      </c>
      <c r="X207" s="126">
        <f>COUNTIFS('TỔNG KLH + TN'!$B:$B,'01. TH'!$B207,'TỔNG KLH + TN'!$C:$C,'01. TH'!X$4)</f>
        <v>0</v>
      </c>
      <c r="Y207" s="126">
        <f>COUNTIFS('TỔNG KLH + TN'!$B:$B,'01. TH'!$B207,'TỔNG KLH + TN'!$C:$C,'01. TH'!Y$4)</f>
        <v>0</v>
      </c>
      <c r="Z207" s="126">
        <f>COUNTIFS('TỔNG KLH + TN'!$B:$B,'01. TH'!$B207,'TỔNG KLH + TN'!$C:$C,'01. TH'!Z$4)</f>
        <v>0</v>
      </c>
      <c r="AA207" s="126">
        <f>COUNTIFS('TỔNG KLH + TN'!$B:$B,'01. TH'!$B207,'TỔNG KLH + TN'!$C:$C,'01. TH'!AA$4)</f>
        <v>0</v>
      </c>
      <c r="AB207" s="126">
        <f>COUNTIFS('TỔNG KLH + TN'!$B:$B,'01. TH'!$B207,'TỔNG KLH + TN'!$C:$C,'01. TH'!AB$4)</f>
        <v>0</v>
      </c>
      <c r="AC207" s="126">
        <f>COUNTIFS('TỔNG KLH + TN'!$B:$B,'01. TH'!$B207,'TỔNG KLH + TN'!$C:$C,'01. TH'!AC$4)</f>
        <v>0</v>
      </c>
      <c r="AD207" s="126">
        <f>COUNTIFS('TỔNG KLH + TN'!$B:$B,'01. TH'!$B207,'TỔNG KLH + TN'!$C:$C,'01. TH'!AD$4)</f>
        <v>0</v>
      </c>
      <c r="AE207" s="162">
        <f t="shared" si="48"/>
        <v>5</v>
      </c>
      <c r="AF207" s="162"/>
      <c r="AG207" s="70" t="str">
        <f t="shared" si="24"/>
        <v>ok</v>
      </c>
      <c r="AH207" s="163"/>
    </row>
    <row r="208" ht="18.75" hidden="1" customHeight="1" outlineLevel="1">
      <c r="A208" s="159"/>
      <c r="B208" s="723" t="s">
        <v>3631</v>
      </c>
      <c r="C208" s="124"/>
      <c r="D208" s="124" t="s">
        <v>5842</v>
      </c>
      <c r="E208" s="124" t="s">
        <v>5837</v>
      </c>
      <c r="F208" s="126">
        <f>COUNTIFS('TỔNG KLH + TN'!$B:$B,'01. TH'!$B208,'TỔNG KLH + TN'!$C:$C,'01. TH'!F$4)</f>
        <v>0</v>
      </c>
      <c r="G208" s="126">
        <f>COUNTIFS('TỔNG KLH + TN'!$B:$B,'01. TH'!$B208,'TỔNG KLH + TN'!$C:$C,'01. TH'!G$4)</f>
        <v>1</v>
      </c>
      <c r="H208" s="126">
        <f>COUNTIFS('TỔNG KLH + TN'!$B:$B,'01. TH'!$B208,'TỔNG KLH + TN'!$C:$C,'01. TH'!H$4)</f>
        <v>0</v>
      </c>
      <c r="I208" s="126">
        <f>COUNTIFS('TỔNG KLH + TN'!$B:$B,'01. TH'!$B208,'TỔNG KLH + TN'!$C:$C,'01. TH'!I$4)</f>
        <v>0</v>
      </c>
      <c r="J208" s="126">
        <f>COUNTIFS('TỔNG KLH + TN'!$B:$B,'01. TH'!$B208,'TỔNG KLH + TN'!$C:$C,'01. TH'!J$4)</f>
        <v>0</v>
      </c>
      <c r="K208" s="126">
        <f>COUNTIFS('TỔNG KLH + TN'!$B:$B,'01. TH'!$B208,'TỔNG KLH + TN'!$C:$C,'01. TH'!K$4)</f>
        <v>0</v>
      </c>
      <c r="L208" s="126">
        <f>COUNTIFS('TỔNG KLH + TN'!$B:$B,'01. TH'!$B208,'TỔNG KLH + TN'!$C:$C,'01. TH'!L$4)</f>
        <v>0</v>
      </c>
      <c r="M208" s="126">
        <f>COUNTIFS('TỔNG KLH + TN'!$B:$B,'01. TH'!$B208,'TỔNG KLH + TN'!$C:$C,'01. TH'!M$4)</f>
        <v>0</v>
      </c>
      <c r="N208" s="126">
        <f>COUNTIFS('TỔNG KLH + TN'!$B:$B,'01. TH'!$B208,'TỔNG KLH + TN'!$C:$C,'01. TH'!N$4)</f>
        <v>0</v>
      </c>
      <c r="O208" s="126">
        <f>COUNTIFS('TỔNG KLH + TN'!$B:$B,'01. TH'!$B208,'TỔNG KLH + TN'!$C:$C,'01. TH'!O$4)</f>
        <v>0</v>
      </c>
      <c r="P208" s="126">
        <f>COUNTIFS('TỔNG KLH + TN'!$B:$B,'01. TH'!$B208,'TỔNG KLH + TN'!$C:$C,'01. TH'!P$4)</f>
        <v>1</v>
      </c>
      <c r="Q208" s="126">
        <f>COUNTIFS('TỔNG KLH + TN'!$B:$B,'01. TH'!$B208,'TỔNG KLH + TN'!$C:$C,'01. TH'!Q$4)</f>
        <v>0</v>
      </c>
      <c r="R208" s="126">
        <f>COUNTIFS('TỔNG KLH + TN'!$B:$B,'01. TH'!$B208,'TỔNG KLH + TN'!$C:$C,'01. TH'!R$4)</f>
        <v>0</v>
      </c>
      <c r="S208" s="126">
        <f>COUNTIFS('TỔNG KLH + TN'!$B:$B,'01. TH'!$B208,'TỔNG KLH + TN'!$C:$C,'01. TH'!S$4)</f>
        <v>0</v>
      </c>
      <c r="T208" s="126">
        <f>COUNTIFS('TỔNG KLH + TN'!$B:$B,'01. TH'!$B208,'TỔNG KLH + TN'!$C:$C,'01. TH'!T$4)</f>
        <v>0</v>
      </c>
      <c r="U208" s="126">
        <f>COUNTIFS('TỔNG KLH + TN'!$B:$B,'01. TH'!$B208,'TỔNG KLH + TN'!$C:$C,'01. TH'!U$4)</f>
        <v>0</v>
      </c>
      <c r="V208" s="126">
        <f>COUNTIFS('TỔNG KLH + TN'!$B:$B,'01. TH'!$B208,'TỔNG KLH + TN'!$C:$C,'01. TH'!V$4)</f>
        <v>0</v>
      </c>
      <c r="W208" s="126">
        <f>COUNTIFS('TỔNG KLH + TN'!$B:$B,'01. TH'!$B208,'TỔNG KLH + TN'!$C:$C,'01. TH'!W$4)</f>
        <v>0</v>
      </c>
      <c r="X208" s="126">
        <f>COUNTIFS('TỔNG KLH + TN'!$B:$B,'01. TH'!$B208,'TỔNG KLH + TN'!$C:$C,'01. TH'!X$4)</f>
        <v>0</v>
      </c>
      <c r="Y208" s="126">
        <f>COUNTIFS('TỔNG KLH + TN'!$B:$B,'01. TH'!$B208,'TỔNG KLH + TN'!$C:$C,'01. TH'!Y$4)</f>
        <v>0</v>
      </c>
      <c r="Z208" s="126">
        <f>COUNTIFS('TỔNG KLH + TN'!$B:$B,'01. TH'!$B208,'TỔNG KLH + TN'!$C:$C,'01. TH'!Z$4)</f>
        <v>0</v>
      </c>
      <c r="AA208" s="126">
        <f>COUNTIFS('TỔNG KLH + TN'!$B:$B,'01. TH'!$B208,'TỔNG KLH + TN'!$C:$C,'01. TH'!AA$4)</f>
        <v>0</v>
      </c>
      <c r="AB208" s="126">
        <f>COUNTIFS('TỔNG KLH + TN'!$B:$B,'01. TH'!$B208,'TỔNG KLH + TN'!$C:$C,'01. TH'!AB$4)</f>
        <v>0</v>
      </c>
      <c r="AC208" s="126">
        <f>COUNTIFS('TỔNG KLH + TN'!$B:$B,'01. TH'!$B208,'TỔNG KLH + TN'!$C:$C,'01. TH'!AC$4)</f>
        <v>0</v>
      </c>
      <c r="AD208" s="126">
        <f>COUNTIFS('TỔNG KLH + TN'!$B:$B,'01. TH'!$B208,'TỔNG KLH + TN'!$C:$C,'01. TH'!AD$4)</f>
        <v>0</v>
      </c>
      <c r="AE208" s="162">
        <f t="shared" si="48"/>
        <v>2</v>
      </c>
      <c r="AF208" s="162"/>
      <c r="AG208" s="70" t="str">
        <f t="shared" si="24"/>
        <v>ok</v>
      </c>
      <c r="AH208" s="163"/>
    </row>
    <row r="209" ht="18.75" hidden="1" customHeight="1" outlineLevel="1">
      <c r="A209" s="159"/>
      <c r="B209" s="723" t="s">
        <v>3753</v>
      </c>
      <c r="C209" s="124"/>
      <c r="D209" s="124" t="s">
        <v>5842</v>
      </c>
      <c r="E209" s="124" t="s">
        <v>5837</v>
      </c>
      <c r="F209" s="126">
        <f>COUNTIFS('TỔNG KLH + TN'!$B:$B,'01. TH'!$B209,'TỔNG KLH + TN'!$C:$C,'01. TH'!F$4)</f>
        <v>0</v>
      </c>
      <c r="G209" s="126">
        <f>COUNTIFS('TỔNG KLH + TN'!$B:$B,'01. TH'!$B209,'TỔNG KLH + TN'!$C:$C,'01. TH'!G$4)</f>
        <v>0</v>
      </c>
      <c r="H209" s="126">
        <f>COUNTIFS('TỔNG KLH + TN'!$B:$B,'01. TH'!$B209,'TỔNG KLH + TN'!$C:$C,'01. TH'!H$4)</f>
        <v>0</v>
      </c>
      <c r="I209" s="126">
        <f>COUNTIFS('TỔNG KLH + TN'!$B:$B,'01. TH'!$B209,'TỔNG KLH + TN'!$C:$C,'01. TH'!I$4)</f>
        <v>0</v>
      </c>
      <c r="J209" s="126">
        <f>COUNTIFS('TỔNG KLH + TN'!$B:$B,'01. TH'!$B209,'TỔNG KLH + TN'!$C:$C,'01. TH'!J$4)</f>
        <v>0</v>
      </c>
      <c r="K209" s="126">
        <f>COUNTIFS('TỔNG KLH + TN'!$B:$B,'01. TH'!$B209,'TỔNG KLH + TN'!$C:$C,'01. TH'!K$4)</f>
        <v>0</v>
      </c>
      <c r="L209" s="126">
        <f>COUNTIFS('TỔNG KLH + TN'!$B:$B,'01. TH'!$B209,'TỔNG KLH + TN'!$C:$C,'01. TH'!L$4)</f>
        <v>0</v>
      </c>
      <c r="M209" s="126">
        <f>COUNTIFS('TỔNG KLH + TN'!$B:$B,'01. TH'!$B209,'TỔNG KLH + TN'!$C:$C,'01. TH'!M$4)</f>
        <v>0</v>
      </c>
      <c r="N209" s="126">
        <f>COUNTIFS('TỔNG KLH + TN'!$B:$B,'01. TH'!$B209,'TỔNG KLH + TN'!$C:$C,'01. TH'!N$4)</f>
        <v>0</v>
      </c>
      <c r="O209" s="126">
        <f>COUNTIFS('TỔNG KLH + TN'!$B:$B,'01. TH'!$B209,'TỔNG KLH + TN'!$C:$C,'01. TH'!O$4)</f>
        <v>0</v>
      </c>
      <c r="P209" s="126">
        <f>COUNTIFS('TỔNG KLH + TN'!$B:$B,'01. TH'!$B209,'TỔNG KLH + TN'!$C:$C,'01. TH'!P$4)</f>
        <v>1</v>
      </c>
      <c r="Q209" s="126">
        <f>COUNTIFS('TỔNG KLH + TN'!$B:$B,'01. TH'!$B209,'TỔNG KLH + TN'!$C:$C,'01. TH'!Q$4)</f>
        <v>0</v>
      </c>
      <c r="R209" s="126">
        <f>COUNTIFS('TỔNG KLH + TN'!$B:$B,'01. TH'!$B209,'TỔNG KLH + TN'!$C:$C,'01. TH'!R$4)</f>
        <v>0</v>
      </c>
      <c r="S209" s="126">
        <f>COUNTIFS('TỔNG KLH + TN'!$B:$B,'01. TH'!$B209,'TỔNG KLH + TN'!$C:$C,'01. TH'!S$4)</f>
        <v>0</v>
      </c>
      <c r="T209" s="126">
        <f>COUNTIFS('TỔNG KLH + TN'!$B:$B,'01. TH'!$B209,'TỔNG KLH + TN'!$C:$C,'01. TH'!T$4)</f>
        <v>0</v>
      </c>
      <c r="U209" s="126">
        <f>COUNTIFS('TỔNG KLH + TN'!$B:$B,'01. TH'!$B209,'TỔNG KLH + TN'!$C:$C,'01. TH'!U$4)</f>
        <v>2</v>
      </c>
      <c r="V209" s="126">
        <f>COUNTIFS('TỔNG KLH + TN'!$B:$B,'01. TH'!$B209,'TỔNG KLH + TN'!$C:$C,'01. TH'!V$4)</f>
        <v>0</v>
      </c>
      <c r="W209" s="126">
        <f>COUNTIFS('TỔNG KLH + TN'!$B:$B,'01. TH'!$B209,'TỔNG KLH + TN'!$C:$C,'01. TH'!W$4)</f>
        <v>0</v>
      </c>
      <c r="X209" s="126">
        <f>COUNTIFS('TỔNG KLH + TN'!$B:$B,'01. TH'!$B209,'TỔNG KLH + TN'!$C:$C,'01. TH'!X$4)</f>
        <v>0</v>
      </c>
      <c r="Y209" s="126">
        <f>COUNTIFS('TỔNG KLH + TN'!$B:$B,'01. TH'!$B209,'TỔNG KLH + TN'!$C:$C,'01. TH'!Y$4)</f>
        <v>0</v>
      </c>
      <c r="Z209" s="126">
        <f>COUNTIFS('TỔNG KLH + TN'!$B:$B,'01. TH'!$B209,'TỔNG KLH + TN'!$C:$C,'01. TH'!Z$4)</f>
        <v>0</v>
      </c>
      <c r="AA209" s="126">
        <f>COUNTIFS('TỔNG KLH + TN'!$B:$B,'01. TH'!$B209,'TỔNG KLH + TN'!$C:$C,'01. TH'!AA$4)</f>
        <v>0</v>
      </c>
      <c r="AB209" s="126">
        <f>COUNTIFS('TỔNG KLH + TN'!$B:$B,'01. TH'!$B209,'TỔNG KLH + TN'!$C:$C,'01. TH'!AB$4)</f>
        <v>0</v>
      </c>
      <c r="AC209" s="126">
        <f>COUNTIFS('TỔNG KLH + TN'!$B:$B,'01. TH'!$B209,'TỔNG KLH + TN'!$C:$C,'01. TH'!AC$4)</f>
        <v>0</v>
      </c>
      <c r="AD209" s="126">
        <f>COUNTIFS('TỔNG KLH + TN'!$B:$B,'01. TH'!$B209,'TỔNG KLH + TN'!$C:$C,'01. TH'!AD$4)</f>
        <v>0</v>
      </c>
      <c r="AE209" s="162">
        <f t="shared" si="48"/>
        <v>3</v>
      </c>
      <c r="AF209" s="162"/>
      <c r="AG209" s="70" t="str">
        <f t="shared" si="24"/>
        <v>ok</v>
      </c>
      <c r="AH209" s="163"/>
    </row>
    <row r="210" ht="18.75" hidden="1" customHeight="1" outlineLevel="1">
      <c r="A210" s="159"/>
      <c r="B210" s="723" t="s">
        <v>3854</v>
      </c>
      <c r="C210" s="124"/>
      <c r="D210" s="124" t="s">
        <v>5842</v>
      </c>
      <c r="E210" s="124" t="s">
        <v>5837</v>
      </c>
      <c r="F210" s="126">
        <f>COUNTIFS('TỔNG KLH + TN'!$B:$B,'01. TH'!$B210,'TỔNG KLH + TN'!$C:$C,'01. TH'!F$4)</f>
        <v>0</v>
      </c>
      <c r="G210" s="126">
        <f>COUNTIFS('TỔNG KLH + TN'!$B:$B,'01. TH'!$B210,'TỔNG KLH + TN'!$C:$C,'01. TH'!G$4)</f>
        <v>0</v>
      </c>
      <c r="H210" s="126">
        <f>COUNTIFS('TỔNG KLH + TN'!$B:$B,'01. TH'!$B210,'TỔNG KLH + TN'!$C:$C,'01. TH'!H$4)</f>
        <v>0</v>
      </c>
      <c r="I210" s="126">
        <f>COUNTIFS('TỔNG KLH + TN'!$B:$B,'01. TH'!$B210,'TỔNG KLH + TN'!$C:$C,'01. TH'!I$4)</f>
        <v>0</v>
      </c>
      <c r="J210" s="126">
        <f>COUNTIFS('TỔNG KLH + TN'!$B:$B,'01. TH'!$B210,'TỔNG KLH + TN'!$C:$C,'01. TH'!J$4)</f>
        <v>0</v>
      </c>
      <c r="K210" s="126">
        <f>COUNTIFS('TỔNG KLH + TN'!$B:$B,'01. TH'!$B210,'TỔNG KLH + TN'!$C:$C,'01. TH'!K$4)</f>
        <v>0</v>
      </c>
      <c r="L210" s="126">
        <f>COUNTIFS('TỔNG KLH + TN'!$B:$B,'01. TH'!$B210,'TỔNG KLH + TN'!$C:$C,'01. TH'!L$4)</f>
        <v>0</v>
      </c>
      <c r="M210" s="126">
        <f>COUNTIFS('TỔNG KLH + TN'!$B:$B,'01. TH'!$B210,'TỔNG KLH + TN'!$C:$C,'01. TH'!M$4)</f>
        <v>0</v>
      </c>
      <c r="N210" s="126">
        <f>COUNTIFS('TỔNG KLH + TN'!$B:$B,'01. TH'!$B210,'TỔNG KLH + TN'!$C:$C,'01. TH'!N$4)</f>
        <v>0</v>
      </c>
      <c r="O210" s="126">
        <f>COUNTIFS('TỔNG KLH + TN'!$B:$B,'01. TH'!$B210,'TỔNG KLH + TN'!$C:$C,'01. TH'!O$4)</f>
        <v>0</v>
      </c>
      <c r="P210" s="126">
        <f>COUNTIFS('TỔNG KLH + TN'!$B:$B,'01. TH'!$B210,'TỔNG KLH + TN'!$C:$C,'01. TH'!P$4)</f>
        <v>0</v>
      </c>
      <c r="Q210" s="126">
        <f>COUNTIFS('TỔNG KLH + TN'!$B:$B,'01. TH'!$B210,'TỔNG KLH + TN'!$C:$C,'01. TH'!Q$4)</f>
        <v>0</v>
      </c>
      <c r="R210" s="126">
        <f>COUNTIFS('TỔNG KLH + TN'!$B:$B,'01. TH'!$B210,'TỔNG KLH + TN'!$C:$C,'01. TH'!R$4)</f>
        <v>0</v>
      </c>
      <c r="S210" s="126">
        <f>COUNTIFS('TỔNG KLH + TN'!$B:$B,'01. TH'!$B210,'TỔNG KLH + TN'!$C:$C,'01. TH'!S$4)</f>
        <v>0</v>
      </c>
      <c r="T210" s="126">
        <f>COUNTIFS('TỔNG KLH + TN'!$B:$B,'01. TH'!$B210,'TỔNG KLH + TN'!$C:$C,'01. TH'!T$4)</f>
        <v>0</v>
      </c>
      <c r="U210" s="126">
        <f>COUNTIFS('TỔNG KLH + TN'!$B:$B,'01. TH'!$B210,'TỔNG KLH + TN'!$C:$C,'01. TH'!U$4)</f>
        <v>1</v>
      </c>
      <c r="V210" s="126">
        <f>COUNTIFS('TỔNG KLH + TN'!$B:$B,'01. TH'!$B210,'TỔNG KLH + TN'!$C:$C,'01. TH'!V$4)</f>
        <v>0</v>
      </c>
      <c r="W210" s="126">
        <f>COUNTIFS('TỔNG KLH + TN'!$B:$B,'01. TH'!$B210,'TỔNG KLH + TN'!$C:$C,'01. TH'!W$4)</f>
        <v>0</v>
      </c>
      <c r="X210" s="126">
        <f>COUNTIFS('TỔNG KLH + TN'!$B:$B,'01. TH'!$B210,'TỔNG KLH + TN'!$C:$C,'01. TH'!X$4)</f>
        <v>0</v>
      </c>
      <c r="Y210" s="126">
        <f>COUNTIFS('TỔNG KLH + TN'!$B:$B,'01. TH'!$B210,'TỔNG KLH + TN'!$C:$C,'01. TH'!Y$4)</f>
        <v>0</v>
      </c>
      <c r="Z210" s="126">
        <f>COUNTIFS('TỔNG KLH + TN'!$B:$B,'01. TH'!$B210,'TỔNG KLH + TN'!$C:$C,'01. TH'!Z$4)</f>
        <v>0</v>
      </c>
      <c r="AA210" s="126">
        <f>COUNTIFS('TỔNG KLH + TN'!$B:$B,'01. TH'!$B210,'TỔNG KLH + TN'!$C:$C,'01. TH'!AA$4)</f>
        <v>0</v>
      </c>
      <c r="AB210" s="126">
        <f>COUNTIFS('TỔNG KLH + TN'!$B:$B,'01. TH'!$B210,'TỔNG KLH + TN'!$C:$C,'01. TH'!AB$4)</f>
        <v>0</v>
      </c>
      <c r="AC210" s="126">
        <f>COUNTIFS('TỔNG KLH + TN'!$B:$B,'01. TH'!$B210,'TỔNG KLH + TN'!$C:$C,'01. TH'!AC$4)</f>
        <v>0</v>
      </c>
      <c r="AD210" s="126">
        <f>COUNTIFS('TỔNG KLH + TN'!$B:$B,'01. TH'!$B210,'TỔNG KLH + TN'!$C:$C,'01. TH'!AD$4)</f>
        <v>0</v>
      </c>
      <c r="AE210" s="162">
        <f t="shared" si="48"/>
        <v>1</v>
      </c>
      <c r="AF210" s="162"/>
      <c r="AG210" s="70" t="str">
        <f t="shared" si="24"/>
        <v>ok</v>
      </c>
      <c r="AH210" s="163"/>
    </row>
    <row r="211" ht="18.75" hidden="1" customHeight="1" outlineLevel="1">
      <c r="A211" s="159"/>
      <c r="B211" s="723" t="s">
        <v>3537</v>
      </c>
      <c r="C211" s="124"/>
      <c r="D211" s="124" t="s">
        <v>5844</v>
      </c>
      <c r="E211" s="124" t="s">
        <v>5837</v>
      </c>
      <c r="F211" s="126">
        <f>COUNTIFS('TỔNG KLH + TN'!$B:$B,'01. TH'!$B211,'TỔNG KLH + TN'!$C:$C,'01. TH'!F$4)</f>
        <v>0</v>
      </c>
      <c r="G211" s="126">
        <f>COUNTIFS('TỔNG KLH + TN'!$B:$B,'01. TH'!$B211,'TỔNG KLH + TN'!$C:$C,'01. TH'!G$4)</f>
        <v>3</v>
      </c>
      <c r="H211" s="126">
        <f>COUNTIFS('TỔNG KLH + TN'!$B:$B,'01. TH'!$B211,'TỔNG KLH + TN'!$C:$C,'01. TH'!H$4)</f>
        <v>0</v>
      </c>
      <c r="I211" s="126">
        <f>COUNTIFS('TỔNG KLH + TN'!$B:$B,'01. TH'!$B211,'TỔNG KLH + TN'!$C:$C,'01. TH'!I$4)</f>
        <v>0</v>
      </c>
      <c r="J211" s="126">
        <f>COUNTIFS('TỔNG KLH + TN'!$B:$B,'01. TH'!$B211,'TỔNG KLH + TN'!$C:$C,'01. TH'!J$4)</f>
        <v>0</v>
      </c>
      <c r="K211" s="126">
        <f>COUNTIFS('TỔNG KLH + TN'!$B:$B,'01. TH'!$B211,'TỔNG KLH + TN'!$C:$C,'01. TH'!K$4)</f>
        <v>0</v>
      </c>
      <c r="L211" s="126">
        <f>COUNTIFS('TỔNG KLH + TN'!$B:$B,'01. TH'!$B211,'TỔNG KLH + TN'!$C:$C,'01. TH'!L$4)</f>
        <v>0</v>
      </c>
      <c r="M211" s="126">
        <f>COUNTIFS('TỔNG KLH + TN'!$B:$B,'01. TH'!$B211,'TỔNG KLH + TN'!$C:$C,'01. TH'!M$4)</f>
        <v>0</v>
      </c>
      <c r="N211" s="126">
        <f>COUNTIFS('TỔNG KLH + TN'!$B:$B,'01. TH'!$B211,'TỔNG KLH + TN'!$C:$C,'01. TH'!N$4)</f>
        <v>0</v>
      </c>
      <c r="O211" s="126">
        <f>COUNTIFS('TỔNG KLH + TN'!$B:$B,'01. TH'!$B211,'TỔNG KLH + TN'!$C:$C,'01. TH'!O$4)</f>
        <v>0</v>
      </c>
      <c r="P211" s="126">
        <f>COUNTIFS('TỔNG KLH + TN'!$B:$B,'01. TH'!$B211,'TỔNG KLH + TN'!$C:$C,'01. TH'!P$4)</f>
        <v>0</v>
      </c>
      <c r="Q211" s="126">
        <f>COUNTIFS('TỔNG KLH + TN'!$B:$B,'01. TH'!$B211,'TỔNG KLH + TN'!$C:$C,'01. TH'!Q$4)</f>
        <v>0</v>
      </c>
      <c r="R211" s="126">
        <f>COUNTIFS('TỔNG KLH + TN'!$B:$B,'01. TH'!$B211,'TỔNG KLH + TN'!$C:$C,'01. TH'!R$4)</f>
        <v>0</v>
      </c>
      <c r="S211" s="126">
        <f>COUNTIFS('TỔNG KLH + TN'!$B:$B,'01. TH'!$B211,'TỔNG KLH + TN'!$C:$C,'01. TH'!S$4)</f>
        <v>0</v>
      </c>
      <c r="T211" s="126">
        <f>COUNTIFS('TỔNG KLH + TN'!$B:$B,'01. TH'!$B211,'TỔNG KLH + TN'!$C:$C,'01. TH'!T$4)</f>
        <v>0</v>
      </c>
      <c r="U211" s="126">
        <f>COUNTIFS('TỔNG KLH + TN'!$B:$B,'01. TH'!$B211,'TỔNG KLH + TN'!$C:$C,'01. TH'!U$4)</f>
        <v>1</v>
      </c>
      <c r="V211" s="126">
        <f>COUNTIFS('TỔNG KLH + TN'!$B:$B,'01. TH'!$B211,'TỔNG KLH + TN'!$C:$C,'01. TH'!V$4)</f>
        <v>0</v>
      </c>
      <c r="W211" s="126">
        <f>COUNTIFS('TỔNG KLH + TN'!$B:$B,'01. TH'!$B211,'TỔNG KLH + TN'!$C:$C,'01. TH'!W$4)</f>
        <v>0</v>
      </c>
      <c r="X211" s="126">
        <f>COUNTIFS('TỔNG KLH + TN'!$B:$B,'01. TH'!$B211,'TỔNG KLH + TN'!$C:$C,'01. TH'!X$4)</f>
        <v>0</v>
      </c>
      <c r="Y211" s="126">
        <f>COUNTIFS('TỔNG KLH + TN'!$B:$B,'01. TH'!$B211,'TỔNG KLH + TN'!$C:$C,'01. TH'!Y$4)</f>
        <v>0</v>
      </c>
      <c r="Z211" s="126">
        <f>COUNTIFS('TỔNG KLH + TN'!$B:$B,'01. TH'!$B211,'TỔNG KLH + TN'!$C:$C,'01. TH'!Z$4)</f>
        <v>0</v>
      </c>
      <c r="AA211" s="126">
        <f>COUNTIFS('TỔNG KLH + TN'!$B:$B,'01. TH'!$B211,'TỔNG KLH + TN'!$C:$C,'01. TH'!AA$4)</f>
        <v>0</v>
      </c>
      <c r="AB211" s="126">
        <f>COUNTIFS('TỔNG KLH + TN'!$B:$B,'01. TH'!$B211,'TỔNG KLH + TN'!$C:$C,'01. TH'!AB$4)</f>
        <v>0</v>
      </c>
      <c r="AC211" s="126">
        <f>COUNTIFS('TỔNG KLH + TN'!$B:$B,'01. TH'!$B211,'TỔNG KLH + TN'!$C:$C,'01. TH'!AC$4)</f>
        <v>0</v>
      </c>
      <c r="AD211" s="126">
        <f>COUNTIFS('TỔNG KLH + TN'!$B:$B,'01. TH'!$B211,'TỔNG KLH + TN'!$C:$C,'01. TH'!AD$4)</f>
        <v>0</v>
      </c>
      <c r="AE211" s="162">
        <f t="shared" si="48"/>
        <v>4</v>
      </c>
      <c r="AF211" s="162"/>
      <c r="AG211" s="70" t="str">
        <f t="shared" si="24"/>
        <v>ok</v>
      </c>
      <c r="AH211" s="163"/>
    </row>
    <row r="212" ht="18.75" hidden="1" customHeight="1" outlineLevel="1">
      <c r="A212" s="159"/>
      <c r="B212" s="723" t="s">
        <v>3553</v>
      </c>
      <c r="C212" s="124"/>
      <c r="D212" s="124" t="s">
        <v>5845</v>
      </c>
      <c r="E212" s="124" t="s">
        <v>5837</v>
      </c>
      <c r="F212" s="126">
        <f>COUNTIFS('TỔNG KLH + TN'!$B:$B,'01. TH'!$B212,'TỔNG KLH + TN'!$C:$C,'01. TH'!F$4)</f>
        <v>0</v>
      </c>
      <c r="G212" s="126">
        <f>COUNTIFS('TỔNG KLH + TN'!$B:$B,'01. TH'!$B212,'TỔNG KLH + TN'!$C:$C,'01. TH'!G$4)</f>
        <v>1</v>
      </c>
      <c r="H212" s="126">
        <f>COUNTIFS('TỔNG KLH + TN'!$B:$B,'01. TH'!$B212,'TỔNG KLH + TN'!$C:$C,'01. TH'!H$4)</f>
        <v>0</v>
      </c>
      <c r="I212" s="126">
        <f>COUNTIFS('TỔNG KLH + TN'!$B:$B,'01. TH'!$B212,'TỔNG KLH + TN'!$C:$C,'01. TH'!I$4)</f>
        <v>0</v>
      </c>
      <c r="J212" s="126">
        <f>COUNTIFS('TỔNG KLH + TN'!$B:$B,'01. TH'!$B212,'TỔNG KLH + TN'!$C:$C,'01. TH'!J$4)</f>
        <v>0</v>
      </c>
      <c r="K212" s="126">
        <f>COUNTIFS('TỔNG KLH + TN'!$B:$B,'01. TH'!$B212,'TỔNG KLH + TN'!$C:$C,'01. TH'!K$4)</f>
        <v>0</v>
      </c>
      <c r="L212" s="126">
        <f>COUNTIFS('TỔNG KLH + TN'!$B:$B,'01. TH'!$B212,'TỔNG KLH + TN'!$C:$C,'01. TH'!L$4)</f>
        <v>0</v>
      </c>
      <c r="M212" s="126">
        <f>COUNTIFS('TỔNG KLH + TN'!$B:$B,'01. TH'!$B212,'TỔNG KLH + TN'!$C:$C,'01. TH'!M$4)</f>
        <v>0</v>
      </c>
      <c r="N212" s="126">
        <f>COUNTIFS('TỔNG KLH + TN'!$B:$B,'01. TH'!$B212,'TỔNG KLH + TN'!$C:$C,'01. TH'!N$4)</f>
        <v>0</v>
      </c>
      <c r="O212" s="126">
        <f>COUNTIFS('TỔNG KLH + TN'!$B:$B,'01. TH'!$B212,'TỔNG KLH + TN'!$C:$C,'01. TH'!O$4)</f>
        <v>0</v>
      </c>
      <c r="P212" s="126">
        <f>COUNTIFS('TỔNG KLH + TN'!$B:$B,'01. TH'!$B212,'TỔNG KLH + TN'!$C:$C,'01. TH'!P$4)</f>
        <v>1</v>
      </c>
      <c r="Q212" s="126">
        <f>COUNTIFS('TỔNG KLH + TN'!$B:$B,'01. TH'!$B212,'TỔNG KLH + TN'!$C:$C,'01. TH'!Q$4)</f>
        <v>0</v>
      </c>
      <c r="R212" s="126">
        <f>COUNTIFS('TỔNG KLH + TN'!$B:$B,'01. TH'!$B212,'TỔNG KLH + TN'!$C:$C,'01. TH'!R$4)</f>
        <v>0</v>
      </c>
      <c r="S212" s="126">
        <f>COUNTIFS('TỔNG KLH + TN'!$B:$B,'01. TH'!$B212,'TỔNG KLH + TN'!$C:$C,'01. TH'!S$4)</f>
        <v>0</v>
      </c>
      <c r="T212" s="126">
        <f>COUNTIFS('TỔNG KLH + TN'!$B:$B,'01. TH'!$B212,'TỔNG KLH + TN'!$C:$C,'01. TH'!T$4)</f>
        <v>0</v>
      </c>
      <c r="U212" s="126">
        <f>COUNTIFS('TỔNG KLH + TN'!$B:$B,'01. TH'!$B212,'TỔNG KLH + TN'!$C:$C,'01. TH'!U$4)</f>
        <v>2</v>
      </c>
      <c r="V212" s="126">
        <f>COUNTIFS('TỔNG KLH + TN'!$B:$B,'01. TH'!$B212,'TỔNG KLH + TN'!$C:$C,'01. TH'!V$4)</f>
        <v>0</v>
      </c>
      <c r="W212" s="126">
        <f>COUNTIFS('TỔNG KLH + TN'!$B:$B,'01. TH'!$B212,'TỔNG KLH + TN'!$C:$C,'01. TH'!W$4)</f>
        <v>0</v>
      </c>
      <c r="X212" s="126">
        <f>COUNTIFS('TỔNG KLH + TN'!$B:$B,'01. TH'!$B212,'TỔNG KLH + TN'!$C:$C,'01. TH'!X$4)</f>
        <v>0</v>
      </c>
      <c r="Y212" s="126">
        <f>COUNTIFS('TỔNG KLH + TN'!$B:$B,'01. TH'!$B212,'TỔNG KLH + TN'!$C:$C,'01. TH'!Y$4)</f>
        <v>0</v>
      </c>
      <c r="Z212" s="126">
        <f>COUNTIFS('TỔNG KLH + TN'!$B:$B,'01. TH'!$B212,'TỔNG KLH + TN'!$C:$C,'01. TH'!Z$4)</f>
        <v>0</v>
      </c>
      <c r="AA212" s="126">
        <f>COUNTIFS('TỔNG KLH + TN'!$B:$B,'01. TH'!$B212,'TỔNG KLH + TN'!$C:$C,'01. TH'!AA$4)</f>
        <v>0</v>
      </c>
      <c r="AB212" s="126">
        <f>COUNTIFS('TỔNG KLH + TN'!$B:$B,'01. TH'!$B212,'TỔNG KLH + TN'!$C:$C,'01. TH'!AB$4)</f>
        <v>0</v>
      </c>
      <c r="AC212" s="126">
        <f>COUNTIFS('TỔNG KLH + TN'!$B:$B,'01. TH'!$B212,'TỔNG KLH + TN'!$C:$C,'01. TH'!AC$4)</f>
        <v>0</v>
      </c>
      <c r="AD212" s="126">
        <f>COUNTIFS('TỔNG KLH + TN'!$B:$B,'01. TH'!$B212,'TỔNG KLH + TN'!$C:$C,'01. TH'!AD$4)</f>
        <v>0</v>
      </c>
      <c r="AE212" s="162">
        <f t="shared" si="48"/>
        <v>4</v>
      </c>
      <c r="AF212" s="162"/>
      <c r="AG212" s="70" t="str">
        <f t="shared" si="24"/>
        <v>ok</v>
      </c>
      <c r="AH212" s="163"/>
    </row>
    <row r="213" ht="18.75" hidden="1" customHeight="1" outlineLevel="1">
      <c r="A213" s="159"/>
      <c r="B213" s="723" t="s">
        <v>3663</v>
      </c>
      <c r="C213" s="124"/>
      <c r="D213" s="124" t="s">
        <v>5846</v>
      </c>
      <c r="E213" s="124" t="s">
        <v>5837</v>
      </c>
      <c r="F213" s="126">
        <f>COUNTIFS('TỔNG KLH + TN'!$B:$B,'01. TH'!$B213,'TỔNG KLH + TN'!$C:$C,'01. TH'!F$4)</f>
        <v>0</v>
      </c>
      <c r="G213" s="126">
        <f>COUNTIFS('TỔNG KLH + TN'!$B:$B,'01. TH'!$B213,'TỔNG KLH + TN'!$C:$C,'01. TH'!G$4)</f>
        <v>1</v>
      </c>
      <c r="H213" s="126">
        <f>COUNTIFS('TỔNG KLH + TN'!$B:$B,'01. TH'!$B213,'TỔNG KLH + TN'!$C:$C,'01. TH'!H$4)</f>
        <v>0</v>
      </c>
      <c r="I213" s="126">
        <f>COUNTIFS('TỔNG KLH + TN'!$B:$B,'01. TH'!$B213,'TỔNG KLH + TN'!$C:$C,'01. TH'!I$4)</f>
        <v>0</v>
      </c>
      <c r="J213" s="126">
        <f>COUNTIFS('TỔNG KLH + TN'!$B:$B,'01. TH'!$B213,'TỔNG KLH + TN'!$C:$C,'01. TH'!J$4)</f>
        <v>0</v>
      </c>
      <c r="K213" s="126">
        <f>COUNTIFS('TỔNG KLH + TN'!$B:$B,'01. TH'!$B213,'TỔNG KLH + TN'!$C:$C,'01. TH'!K$4)</f>
        <v>0</v>
      </c>
      <c r="L213" s="126">
        <f>COUNTIFS('TỔNG KLH + TN'!$B:$B,'01. TH'!$B213,'TỔNG KLH + TN'!$C:$C,'01. TH'!L$4)</f>
        <v>0</v>
      </c>
      <c r="M213" s="126">
        <f>COUNTIFS('TỔNG KLH + TN'!$B:$B,'01. TH'!$B213,'TỔNG KLH + TN'!$C:$C,'01. TH'!M$4)</f>
        <v>0</v>
      </c>
      <c r="N213" s="126">
        <f>COUNTIFS('TỔNG KLH + TN'!$B:$B,'01. TH'!$B213,'TỔNG KLH + TN'!$C:$C,'01. TH'!N$4)</f>
        <v>0</v>
      </c>
      <c r="O213" s="126">
        <f>COUNTIFS('TỔNG KLH + TN'!$B:$B,'01. TH'!$B213,'TỔNG KLH + TN'!$C:$C,'01. TH'!O$4)</f>
        <v>0</v>
      </c>
      <c r="P213" s="126">
        <f>COUNTIFS('TỔNG KLH + TN'!$B:$B,'01. TH'!$B213,'TỔNG KLH + TN'!$C:$C,'01. TH'!P$4)</f>
        <v>0</v>
      </c>
      <c r="Q213" s="126">
        <f>COUNTIFS('TỔNG KLH + TN'!$B:$B,'01. TH'!$B213,'TỔNG KLH + TN'!$C:$C,'01. TH'!Q$4)</f>
        <v>0</v>
      </c>
      <c r="R213" s="126">
        <f>COUNTIFS('TỔNG KLH + TN'!$B:$B,'01. TH'!$B213,'TỔNG KLH + TN'!$C:$C,'01. TH'!R$4)</f>
        <v>0</v>
      </c>
      <c r="S213" s="126">
        <f>COUNTIFS('TỔNG KLH + TN'!$B:$B,'01. TH'!$B213,'TỔNG KLH + TN'!$C:$C,'01. TH'!S$4)</f>
        <v>0</v>
      </c>
      <c r="T213" s="126">
        <f>COUNTIFS('TỔNG KLH + TN'!$B:$B,'01. TH'!$B213,'TỔNG KLH + TN'!$C:$C,'01. TH'!T$4)</f>
        <v>0</v>
      </c>
      <c r="U213" s="126">
        <f>COUNTIFS('TỔNG KLH + TN'!$B:$B,'01. TH'!$B213,'TỔNG KLH + TN'!$C:$C,'01. TH'!U$4)</f>
        <v>0</v>
      </c>
      <c r="V213" s="126">
        <f>COUNTIFS('TỔNG KLH + TN'!$B:$B,'01. TH'!$B213,'TỔNG KLH + TN'!$C:$C,'01. TH'!V$4)</f>
        <v>0</v>
      </c>
      <c r="W213" s="126">
        <f>COUNTIFS('TỔNG KLH + TN'!$B:$B,'01. TH'!$B213,'TỔNG KLH + TN'!$C:$C,'01. TH'!W$4)</f>
        <v>0</v>
      </c>
      <c r="X213" s="126">
        <f>COUNTIFS('TỔNG KLH + TN'!$B:$B,'01. TH'!$B213,'TỔNG KLH + TN'!$C:$C,'01. TH'!X$4)</f>
        <v>0</v>
      </c>
      <c r="Y213" s="126">
        <f>COUNTIFS('TỔNG KLH + TN'!$B:$B,'01. TH'!$B213,'TỔNG KLH + TN'!$C:$C,'01. TH'!Y$4)</f>
        <v>0</v>
      </c>
      <c r="Z213" s="126">
        <f>COUNTIFS('TỔNG KLH + TN'!$B:$B,'01. TH'!$B213,'TỔNG KLH + TN'!$C:$C,'01. TH'!Z$4)</f>
        <v>0</v>
      </c>
      <c r="AA213" s="126">
        <f>COUNTIFS('TỔNG KLH + TN'!$B:$B,'01. TH'!$B213,'TỔNG KLH + TN'!$C:$C,'01. TH'!AA$4)</f>
        <v>0</v>
      </c>
      <c r="AB213" s="126">
        <f>COUNTIFS('TỔNG KLH + TN'!$B:$B,'01. TH'!$B213,'TỔNG KLH + TN'!$C:$C,'01. TH'!AB$4)</f>
        <v>0</v>
      </c>
      <c r="AC213" s="126">
        <f>COUNTIFS('TỔNG KLH + TN'!$B:$B,'01. TH'!$B213,'TỔNG KLH + TN'!$C:$C,'01. TH'!AC$4)</f>
        <v>0</v>
      </c>
      <c r="AD213" s="126">
        <f>COUNTIFS('TỔNG KLH + TN'!$B:$B,'01. TH'!$B213,'TỔNG KLH + TN'!$C:$C,'01. TH'!AD$4)</f>
        <v>0</v>
      </c>
      <c r="AE213" s="162">
        <f t="shared" si="48"/>
        <v>1</v>
      </c>
      <c r="AF213" s="162"/>
      <c r="AG213" s="70" t="str">
        <f t="shared" si="24"/>
        <v>ok</v>
      </c>
      <c r="AH213" s="163"/>
    </row>
    <row r="214" ht="18.75" hidden="1" customHeight="1" outlineLevel="1">
      <c r="A214" s="159"/>
      <c r="B214" s="122" t="s">
        <v>3708</v>
      </c>
      <c r="C214" s="124"/>
      <c r="D214" s="124" t="s">
        <v>5847</v>
      </c>
      <c r="E214" s="124" t="s">
        <v>5837</v>
      </c>
      <c r="F214" s="126">
        <f>COUNTIFS('TỔNG KLH + TN'!$B:$B,'01. TH'!$B214,'TỔNG KLH + TN'!$C:$C,'01. TH'!F$4)</f>
        <v>0</v>
      </c>
      <c r="G214" s="126">
        <f>COUNTIFS('TỔNG KLH + TN'!$B:$B,'01. TH'!$B214,'TỔNG KLH + TN'!$C:$C,'01. TH'!G$4)</f>
        <v>4</v>
      </c>
      <c r="H214" s="126">
        <f>COUNTIFS('TỔNG KLH + TN'!$B:$B,'01. TH'!$B214,'TỔNG KLH + TN'!$C:$C,'01. TH'!H$4)</f>
        <v>0</v>
      </c>
      <c r="I214" s="126">
        <f>COUNTIFS('TỔNG KLH + TN'!$B:$B,'01. TH'!$B214,'TỔNG KLH + TN'!$C:$C,'01. TH'!I$4)</f>
        <v>0</v>
      </c>
      <c r="J214" s="126">
        <f>COUNTIFS('TỔNG KLH + TN'!$B:$B,'01. TH'!$B214,'TỔNG KLH + TN'!$C:$C,'01. TH'!J$4)</f>
        <v>0</v>
      </c>
      <c r="K214" s="126">
        <f>COUNTIFS('TỔNG KLH + TN'!$B:$B,'01. TH'!$B214,'TỔNG KLH + TN'!$C:$C,'01. TH'!K$4)</f>
        <v>0</v>
      </c>
      <c r="L214" s="126">
        <f>COUNTIFS('TỔNG KLH + TN'!$B:$B,'01. TH'!$B214,'TỔNG KLH + TN'!$C:$C,'01. TH'!L$4)</f>
        <v>0</v>
      </c>
      <c r="M214" s="126">
        <f>COUNTIFS('TỔNG KLH + TN'!$B:$B,'01. TH'!$B214,'TỔNG KLH + TN'!$C:$C,'01. TH'!M$4)</f>
        <v>0</v>
      </c>
      <c r="N214" s="126">
        <f>COUNTIFS('TỔNG KLH + TN'!$B:$B,'01. TH'!$B214,'TỔNG KLH + TN'!$C:$C,'01. TH'!N$4)</f>
        <v>0</v>
      </c>
      <c r="O214" s="126">
        <f>COUNTIFS('TỔNG KLH + TN'!$B:$B,'01. TH'!$B214,'TỔNG KLH + TN'!$C:$C,'01. TH'!O$4)</f>
        <v>0</v>
      </c>
      <c r="P214" s="126">
        <f>COUNTIFS('TỔNG KLH + TN'!$B:$B,'01. TH'!$B214,'TỔNG KLH + TN'!$C:$C,'01. TH'!P$4)</f>
        <v>1</v>
      </c>
      <c r="Q214" s="126">
        <f>COUNTIFS('TỔNG KLH + TN'!$B:$B,'01. TH'!$B214,'TỔNG KLH + TN'!$C:$C,'01. TH'!Q$4)</f>
        <v>0</v>
      </c>
      <c r="R214" s="126">
        <f>COUNTIFS('TỔNG KLH + TN'!$B:$B,'01. TH'!$B214,'TỔNG KLH + TN'!$C:$C,'01. TH'!R$4)</f>
        <v>0</v>
      </c>
      <c r="S214" s="126">
        <f>COUNTIFS('TỔNG KLH + TN'!$B:$B,'01. TH'!$B214,'TỔNG KLH + TN'!$C:$C,'01. TH'!S$4)</f>
        <v>0</v>
      </c>
      <c r="T214" s="126">
        <f>COUNTIFS('TỔNG KLH + TN'!$B:$B,'01. TH'!$B214,'TỔNG KLH + TN'!$C:$C,'01. TH'!T$4)</f>
        <v>0</v>
      </c>
      <c r="U214" s="126">
        <f>COUNTIFS('TỔNG KLH + TN'!$B:$B,'01. TH'!$B214,'TỔNG KLH + TN'!$C:$C,'01. TH'!U$4)</f>
        <v>2</v>
      </c>
      <c r="V214" s="126">
        <f>COUNTIFS('TỔNG KLH + TN'!$B:$B,'01. TH'!$B214,'TỔNG KLH + TN'!$C:$C,'01. TH'!V$4)</f>
        <v>0</v>
      </c>
      <c r="W214" s="126">
        <f>COUNTIFS('TỔNG KLH + TN'!$B:$B,'01. TH'!$B214,'TỔNG KLH + TN'!$C:$C,'01. TH'!W$4)</f>
        <v>0</v>
      </c>
      <c r="X214" s="126">
        <f>COUNTIFS('TỔNG KLH + TN'!$B:$B,'01. TH'!$B214,'TỔNG KLH + TN'!$C:$C,'01. TH'!X$4)</f>
        <v>0</v>
      </c>
      <c r="Y214" s="126">
        <f>COUNTIFS('TỔNG KLH + TN'!$B:$B,'01. TH'!$B214,'TỔNG KLH + TN'!$C:$C,'01. TH'!Y$4)</f>
        <v>0</v>
      </c>
      <c r="Z214" s="126">
        <f>COUNTIFS('TỔNG KLH + TN'!$B:$B,'01. TH'!$B214,'TỔNG KLH + TN'!$C:$C,'01. TH'!Z$4)</f>
        <v>0</v>
      </c>
      <c r="AA214" s="126">
        <f>COUNTIFS('TỔNG KLH + TN'!$B:$B,'01. TH'!$B214,'TỔNG KLH + TN'!$C:$C,'01. TH'!AA$4)</f>
        <v>0</v>
      </c>
      <c r="AB214" s="126">
        <f>COUNTIFS('TỔNG KLH + TN'!$B:$B,'01. TH'!$B214,'TỔNG KLH + TN'!$C:$C,'01. TH'!AB$4)</f>
        <v>0</v>
      </c>
      <c r="AC214" s="126">
        <f>COUNTIFS('TỔNG KLH + TN'!$B:$B,'01. TH'!$B214,'TỔNG KLH + TN'!$C:$C,'01. TH'!AC$4)</f>
        <v>0</v>
      </c>
      <c r="AD214" s="126">
        <f>COUNTIFS('TỔNG KLH + TN'!$B:$B,'01. TH'!$B214,'TỔNG KLH + TN'!$C:$C,'01. TH'!AD$4)</f>
        <v>0</v>
      </c>
      <c r="AE214" s="162">
        <f t="shared" si="48"/>
        <v>7</v>
      </c>
      <c r="AF214" s="162"/>
      <c r="AG214" s="70" t="str">
        <f t="shared" si="24"/>
        <v>ok</v>
      </c>
      <c r="AH214" s="163"/>
    </row>
    <row r="215" ht="18.75" hidden="1" customHeight="1" outlineLevel="1">
      <c r="A215" s="724"/>
      <c r="B215" s="709" t="s">
        <v>3726</v>
      </c>
      <c r="C215" s="124"/>
      <c r="D215" s="124" t="s">
        <v>5848</v>
      </c>
      <c r="E215" s="124" t="s">
        <v>5837</v>
      </c>
      <c r="F215" s="126">
        <f>COUNTIFS('TỔNG KLH + TN'!$B:$B,'01. TH'!$B215,'TỔNG KLH + TN'!$C:$C,'01. TH'!F$4)</f>
        <v>0</v>
      </c>
      <c r="G215" s="126">
        <f>COUNTIFS('TỔNG KLH + TN'!$B:$B,'01. TH'!$B215,'TỔNG KLH + TN'!$C:$C,'01. TH'!G$4)</f>
        <v>3</v>
      </c>
      <c r="H215" s="126">
        <f>COUNTIFS('TỔNG KLH + TN'!$B:$B,'01. TH'!$B215,'TỔNG KLH + TN'!$C:$C,'01. TH'!H$4)</f>
        <v>0</v>
      </c>
      <c r="I215" s="126">
        <f>COUNTIFS('TỔNG KLH + TN'!$B:$B,'01. TH'!$B215,'TỔNG KLH + TN'!$C:$C,'01. TH'!I$4)</f>
        <v>0</v>
      </c>
      <c r="J215" s="126">
        <f>COUNTIFS('TỔNG KLH + TN'!$B:$B,'01. TH'!$B215,'TỔNG KLH + TN'!$C:$C,'01. TH'!J$4)</f>
        <v>0</v>
      </c>
      <c r="K215" s="126">
        <f>COUNTIFS('TỔNG KLH + TN'!$B:$B,'01. TH'!$B215,'TỔNG KLH + TN'!$C:$C,'01. TH'!K$4)</f>
        <v>0</v>
      </c>
      <c r="L215" s="126">
        <f>COUNTIFS('TỔNG KLH + TN'!$B:$B,'01. TH'!$B215,'TỔNG KLH + TN'!$C:$C,'01. TH'!L$4)</f>
        <v>0</v>
      </c>
      <c r="M215" s="126">
        <f>COUNTIFS('TỔNG KLH + TN'!$B:$B,'01. TH'!$B215,'TỔNG KLH + TN'!$C:$C,'01. TH'!M$4)</f>
        <v>0</v>
      </c>
      <c r="N215" s="126">
        <f>COUNTIFS('TỔNG KLH + TN'!$B:$B,'01. TH'!$B215,'TỔNG KLH + TN'!$C:$C,'01. TH'!N$4)</f>
        <v>0</v>
      </c>
      <c r="O215" s="126">
        <f>COUNTIFS('TỔNG KLH + TN'!$B:$B,'01. TH'!$B215,'TỔNG KLH + TN'!$C:$C,'01. TH'!O$4)</f>
        <v>0</v>
      </c>
      <c r="P215" s="126">
        <f>COUNTIFS('TỔNG KLH + TN'!$B:$B,'01. TH'!$B215,'TỔNG KLH + TN'!$C:$C,'01. TH'!P$4)</f>
        <v>2</v>
      </c>
      <c r="Q215" s="126">
        <f>COUNTIFS('TỔNG KLH + TN'!$B:$B,'01. TH'!$B215,'TỔNG KLH + TN'!$C:$C,'01. TH'!Q$4)</f>
        <v>0</v>
      </c>
      <c r="R215" s="126">
        <f>COUNTIFS('TỔNG KLH + TN'!$B:$B,'01. TH'!$B215,'TỔNG KLH + TN'!$C:$C,'01. TH'!R$4)</f>
        <v>0</v>
      </c>
      <c r="S215" s="126">
        <f>COUNTIFS('TỔNG KLH + TN'!$B:$B,'01. TH'!$B215,'TỔNG KLH + TN'!$C:$C,'01. TH'!S$4)</f>
        <v>0</v>
      </c>
      <c r="T215" s="126">
        <f>COUNTIFS('TỔNG KLH + TN'!$B:$B,'01. TH'!$B215,'TỔNG KLH + TN'!$C:$C,'01. TH'!T$4)</f>
        <v>0</v>
      </c>
      <c r="U215" s="126">
        <f>COUNTIFS('TỔNG KLH + TN'!$B:$B,'01. TH'!$B215,'TỔNG KLH + TN'!$C:$C,'01. TH'!U$4)</f>
        <v>0</v>
      </c>
      <c r="V215" s="126">
        <f>COUNTIFS('TỔNG KLH + TN'!$B:$B,'01. TH'!$B215,'TỔNG KLH + TN'!$C:$C,'01. TH'!V$4)</f>
        <v>0</v>
      </c>
      <c r="W215" s="126">
        <f>COUNTIFS('TỔNG KLH + TN'!$B:$B,'01. TH'!$B215,'TỔNG KLH + TN'!$C:$C,'01. TH'!W$4)</f>
        <v>0</v>
      </c>
      <c r="X215" s="126">
        <f>COUNTIFS('TỔNG KLH + TN'!$B:$B,'01. TH'!$B215,'TỔNG KLH + TN'!$C:$C,'01. TH'!X$4)</f>
        <v>0</v>
      </c>
      <c r="Y215" s="126">
        <f>COUNTIFS('TỔNG KLH + TN'!$B:$B,'01. TH'!$B215,'TỔNG KLH + TN'!$C:$C,'01. TH'!Y$4)</f>
        <v>0</v>
      </c>
      <c r="Z215" s="126">
        <f>COUNTIFS('TỔNG KLH + TN'!$B:$B,'01. TH'!$B215,'TỔNG KLH + TN'!$C:$C,'01. TH'!Z$4)</f>
        <v>0</v>
      </c>
      <c r="AA215" s="126">
        <f>COUNTIFS('TỔNG KLH + TN'!$B:$B,'01. TH'!$B215,'TỔNG KLH + TN'!$C:$C,'01. TH'!AA$4)</f>
        <v>0</v>
      </c>
      <c r="AB215" s="126">
        <f>COUNTIFS('TỔNG KLH + TN'!$B:$B,'01. TH'!$B215,'TỔNG KLH + TN'!$C:$C,'01. TH'!AB$4)</f>
        <v>0</v>
      </c>
      <c r="AC215" s="126">
        <f>COUNTIFS('TỔNG KLH + TN'!$B:$B,'01. TH'!$B215,'TỔNG KLH + TN'!$C:$C,'01. TH'!AC$4)</f>
        <v>0</v>
      </c>
      <c r="AD215" s="126">
        <f>COUNTIFS('TỔNG KLH + TN'!$B:$B,'01. TH'!$B215,'TỔNG KLH + TN'!$C:$C,'01. TH'!AD$4)</f>
        <v>0</v>
      </c>
      <c r="AE215" s="725">
        <f t="shared" si="48"/>
        <v>5</v>
      </c>
      <c r="AF215" s="725"/>
      <c r="AG215" s="70" t="str">
        <f t="shared" si="24"/>
        <v>ok</v>
      </c>
      <c r="AH215" s="726"/>
    </row>
    <row r="216" ht="18.75" hidden="1" customHeight="1" outlineLevel="1">
      <c r="A216" s="121"/>
      <c r="B216" s="122" t="s">
        <v>5849</v>
      </c>
      <c r="C216" s="124"/>
      <c r="D216" s="124" t="s">
        <v>5850</v>
      </c>
      <c r="E216" s="124" t="s">
        <v>5837</v>
      </c>
      <c r="F216" s="126">
        <f>COUNTIFS('TỔNG KLH + TN'!$B:$B,'01. TH'!$B216,'TỔNG KLH + TN'!$C:$C,'01. TH'!F$4)</f>
        <v>0</v>
      </c>
      <c r="G216" s="126">
        <f>COUNTIFS('TỔNG KLH + TN'!$B:$B,'01. TH'!$B216,'TỔNG KLH + TN'!$C:$C,'01. TH'!G$4)</f>
        <v>0</v>
      </c>
      <c r="H216" s="126">
        <f>COUNTIFS('TỔNG KLH + TN'!$B:$B,'01. TH'!$B216,'TỔNG KLH + TN'!$C:$C,'01. TH'!H$4)</f>
        <v>0</v>
      </c>
      <c r="I216" s="126">
        <f>COUNTIFS('TỔNG KLH + TN'!$B:$B,'01. TH'!$B216,'TỔNG KLH + TN'!$C:$C,'01. TH'!I$4)</f>
        <v>0</v>
      </c>
      <c r="J216" s="126">
        <f>COUNTIFS('TỔNG KLH + TN'!$B:$B,'01. TH'!$B216,'TỔNG KLH + TN'!$C:$C,'01. TH'!J$4)</f>
        <v>0</v>
      </c>
      <c r="K216" s="126">
        <f>COUNTIFS('TỔNG KLH + TN'!$B:$B,'01. TH'!$B216,'TỔNG KLH + TN'!$C:$C,'01. TH'!K$4)</f>
        <v>0</v>
      </c>
      <c r="L216" s="126">
        <f>COUNTIFS('TỔNG KLH + TN'!$B:$B,'01. TH'!$B216,'TỔNG KLH + TN'!$C:$C,'01. TH'!L$4)</f>
        <v>0</v>
      </c>
      <c r="M216" s="126">
        <f>COUNTIFS('TỔNG KLH + TN'!$B:$B,'01. TH'!$B216,'TỔNG KLH + TN'!$C:$C,'01. TH'!M$4)</f>
        <v>0</v>
      </c>
      <c r="N216" s="126">
        <f>COUNTIFS('TỔNG KLH + TN'!$B:$B,'01. TH'!$B216,'TỔNG KLH + TN'!$C:$C,'01. TH'!N$4)</f>
        <v>0</v>
      </c>
      <c r="O216" s="126">
        <f>COUNTIFS('TỔNG KLH + TN'!$B:$B,'01. TH'!$B216,'TỔNG KLH + TN'!$C:$C,'01. TH'!O$4)</f>
        <v>0</v>
      </c>
      <c r="P216" s="126">
        <f>COUNTIFS('TỔNG KLH + TN'!$B:$B,'01. TH'!$B216,'TỔNG KLH + TN'!$C:$C,'01. TH'!P$4)</f>
        <v>0</v>
      </c>
      <c r="Q216" s="126">
        <f>COUNTIFS('TỔNG KLH + TN'!$B:$B,'01. TH'!$B216,'TỔNG KLH + TN'!$C:$C,'01. TH'!Q$4)</f>
        <v>0</v>
      </c>
      <c r="R216" s="126">
        <f>COUNTIFS('TỔNG KLH + TN'!$B:$B,'01. TH'!$B216,'TỔNG KLH + TN'!$C:$C,'01. TH'!R$4)</f>
        <v>0</v>
      </c>
      <c r="S216" s="126">
        <f>COUNTIFS('TỔNG KLH + TN'!$B:$B,'01. TH'!$B216,'TỔNG KLH + TN'!$C:$C,'01. TH'!S$4)</f>
        <v>0</v>
      </c>
      <c r="T216" s="126">
        <f>COUNTIFS('TỔNG KLH + TN'!$B:$B,'01. TH'!$B216,'TỔNG KLH + TN'!$C:$C,'01. TH'!T$4)</f>
        <v>0</v>
      </c>
      <c r="U216" s="126">
        <f>COUNTIFS('TỔNG KLH + TN'!$B:$B,'01. TH'!$B216,'TỔNG KLH + TN'!$C:$C,'01. TH'!U$4)</f>
        <v>0</v>
      </c>
      <c r="V216" s="126">
        <f>COUNTIFS('TỔNG KLH + TN'!$B:$B,'01. TH'!$B216,'TỔNG KLH + TN'!$C:$C,'01. TH'!V$4)</f>
        <v>0</v>
      </c>
      <c r="W216" s="126">
        <f>COUNTIFS('TỔNG KLH + TN'!$B:$B,'01. TH'!$B216,'TỔNG KLH + TN'!$C:$C,'01. TH'!W$4)</f>
        <v>0</v>
      </c>
      <c r="X216" s="126">
        <f>COUNTIFS('TỔNG KLH + TN'!$B:$B,'01. TH'!$B216,'TỔNG KLH + TN'!$C:$C,'01. TH'!X$4)</f>
        <v>0</v>
      </c>
      <c r="Y216" s="126">
        <f>COUNTIFS('TỔNG KLH + TN'!$B:$B,'01. TH'!$B216,'TỔNG KLH + TN'!$C:$C,'01. TH'!Y$4)</f>
        <v>0</v>
      </c>
      <c r="Z216" s="126">
        <f>COUNTIFS('TỔNG KLH + TN'!$B:$B,'01. TH'!$B216,'TỔNG KLH + TN'!$C:$C,'01. TH'!Z$4)</f>
        <v>0</v>
      </c>
      <c r="AA216" s="126">
        <f>COUNTIFS('TỔNG KLH + TN'!$B:$B,'01. TH'!$B216,'TỔNG KLH + TN'!$C:$C,'01. TH'!AA$4)</f>
        <v>0</v>
      </c>
      <c r="AB216" s="126">
        <f>COUNTIFS('TỔNG KLH + TN'!$B:$B,'01. TH'!$B216,'TỔNG KLH + TN'!$C:$C,'01. TH'!AB$4)</f>
        <v>0</v>
      </c>
      <c r="AC216" s="126">
        <f>COUNTIFS('TỔNG KLH + TN'!$B:$B,'01. TH'!$B216,'TỔNG KLH + TN'!$C:$C,'01. TH'!AC$4)</f>
        <v>0</v>
      </c>
      <c r="AD216" s="126">
        <f>COUNTIFS('TỔNG KLH + TN'!$B:$B,'01. TH'!$B216,'TỔNG KLH + TN'!$C:$C,'01. TH'!AD$4)</f>
        <v>0</v>
      </c>
      <c r="AE216" s="136">
        <f t="shared" si="48"/>
        <v>0</v>
      </c>
      <c r="AF216" s="136"/>
      <c r="AG216" s="70" t="str">
        <f t="shared" si="24"/>
        <v>ok</v>
      </c>
      <c r="AH216" s="124"/>
    </row>
    <row r="217" ht="18.75" hidden="1" customHeight="1" outlineLevel="1">
      <c r="A217" s="159"/>
      <c r="B217" s="122" t="s">
        <v>3526</v>
      </c>
      <c r="C217" s="124"/>
      <c r="D217" s="124" t="s">
        <v>5851</v>
      </c>
      <c r="E217" s="124" t="s">
        <v>5837</v>
      </c>
      <c r="F217" s="126">
        <f>COUNTIFS('TỔNG KLH + TN'!$B:$B,'01. TH'!$B217,'TỔNG KLH + TN'!$C:$C,'01. TH'!F$4)</f>
        <v>0</v>
      </c>
      <c r="G217" s="126">
        <f>COUNTIFS('TỔNG KLH + TN'!$B:$B,'01. TH'!$B217,'TỔNG KLH + TN'!$C:$C,'01. TH'!G$4)</f>
        <v>3</v>
      </c>
      <c r="H217" s="126">
        <f>COUNTIFS('TỔNG KLH + TN'!$B:$B,'01. TH'!$B217,'TỔNG KLH + TN'!$C:$C,'01. TH'!H$4)</f>
        <v>0</v>
      </c>
      <c r="I217" s="126">
        <f>COUNTIFS('TỔNG KLH + TN'!$B:$B,'01. TH'!$B217,'TỔNG KLH + TN'!$C:$C,'01. TH'!I$4)</f>
        <v>0</v>
      </c>
      <c r="J217" s="126">
        <f>COUNTIFS('TỔNG KLH + TN'!$B:$B,'01. TH'!$B217,'TỔNG KLH + TN'!$C:$C,'01. TH'!J$4)</f>
        <v>0</v>
      </c>
      <c r="K217" s="126">
        <f>COUNTIFS('TỔNG KLH + TN'!$B:$B,'01. TH'!$B217,'TỔNG KLH + TN'!$C:$C,'01. TH'!K$4)</f>
        <v>0</v>
      </c>
      <c r="L217" s="126">
        <f>COUNTIFS('TỔNG KLH + TN'!$B:$B,'01. TH'!$B217,'TỔNG KLH + TN'!$C:$C,'01. TH'!L$4)</f>
        <v>0</v>
      </c>
      <c r="M217" s="126">
        <f>COUNTIFS('TỔNG KLH + TN'!$B:$B,'01. TH'!$B217,'TỔNG KLH + TN'!$C:$C,'01. TH'!M$4)</f>
        <v>0</v>
      </c>
      <c r="N217" s="126">
        <f>COUNTIFS('TỔNG KLH + TN'!$B:$B,'01. TH'!$B217,'TỔNG KLH + TN'!$C:$C,'01. TH'!N$4)</f>
        <v>0</v>
      </c>
      <c r="O217" s="126">
        <f>COUNTIFS('TỔNG KLH + TN'!$B:$B,'01. TH'!$B217,'TỔNG KLH + TN'!$C:$C,'01. TH'!O$4)</f>
        <v>0</v>
      </c>
      <c r="P217" s="126">
        <f>COUNTIFS('TỔNG KLH + TN'!$B:$B,'01. TH'!$B217,'TỔNG KLH + TN'!$C:$C,'01. TH'!P$4)</f>
        <v>3</v>
      </c>
      <c r="Q217" s="126">
        <f>COUNTIFS('TỔNG KLH + TN'!$B:$B,'01. TH'!$B217,'TỔNG KLH + TN'!$C:$C,'01. TH'!Q$4)</f>
        <v>0</v>
      </c>
      <c r="R217" s="126">
        <f>COUNTIFS('TỔNG KLH + TN'!$B:$B,'01. TH'!$B217,'TỔNG KLH + TN'!$C:$C,'01. TH'!R$4)</f>
        <v>0</v>
      </c>
      <c r="S217" s="126">
        <f>COUNTIFS('TỔNG KLH + TN'!$B:$B,'01. TH'!$B217,'TỔNG KLH + TN'!$C:$C,'01. TH'!S$4)</f>
        <v>0</v>
      </c>
      <c r="T217" s="126">
        <f>COUNTIFS('TỔNG KLH + TN'!$B:$B,'01. TH'!$B217,'TỔNG KLH + TN'!$C:$C,'01. TH'!T$4)</f>
        <v>0</v>
      </c>
      <c r="U217" s="126">
        <f>COUNTIFS('TỔNG KLH + TN'!$B:$B,'01. TH'!$B217,'TỔNG KLH + TN'!$C:$C,'01. TH'!U$4)</f>
        <v>5</v>
      </c>
      <c r="V217" s="126">
        <f>COUNTIFS('TỔNG KLH + TN'!$B:$B,'01. TH'!$B217,'TỔNG KLH + TN'!$C:$C,'01. TH'!V$4)</f>
        <v>0</v>
      </c>
      <c r="W217" s="126">
        <f>COUNTIFS('TỔNG KLH + TN'!$B:$B,'01. TH'!$B217,'TỔNG KLH + TN'!$C:$C,'01. TH'!W$4)</f>
        <v>0</v>
      </c>
      <c r="X217" s="126">
        <f>COUNTIFS('TỔNG KLH + TN'!$B:$B,'01. TH'!$B217,'TỔNG KLH + TN'!$C:$C,'01. TH'!X$4)</f>
        <v>0</v>
      </c>
      <c r="Y217" s="126">
        <f>COUNTIFS('TỔNG KLH + TN'!$B:$B,'01. TH'!$B217,'TỔNG KLH + TN'!$C:$C,'01. TH'!Y$4)</f>
        <v>0</v>
      </c>
      <c r="Z217" s="126">
        <f>COUNTIFS('TỔNG KLH + TN'!$B:$B,'01. TH'!$B217,'TỔNG KLH + TN'!$C:$C,'01. TH'!Z$4)</f>
        <v>0</v>
      </c>
      <c r="AA217" s="126">
        <f>COUNTIFS('TỔNG KLH + TN'!$B:$B,'01. TH'!$B217,'TỔNG KLH + TN'!$C:$C,'01. TH'!AA$4)</f>
        <v>0</v>
      </c>
      <c r="AB217" s="126">
        <f>COUNTIFS('TỔNG KLH + TN'!$B:$B,'01. TH'!$B217,'TỔNG KLH + TN'!$C:$C,'01. TH'!AB$4)</f>
        <v>0</v>
      </c>
      <c r="AC217" s="126">
        <f>COUNTIFS('TỔNG KLH + TN'!$B:$B,'01. TH'!$B217,'TỔNG KLH + TN'!$C:$C,'01. TH'!AC$4)</f>
        <v>0</v>
      </c>
      <c r="AD217" s="126">
        <f>COUNTIFS('TỔNG KLH + TN'!$B:$B,'01. TH'!$B217,'TỔNG KLH + TN'!$C:$C,'01. TH'!AD$4)</f>
        <v>0</v>
      </c>
      <c r="AE217" s="162">
        <f t="shared" si="48"/>
        <v>11</v>
      </c>
      <c r="AF217" s="162"/>
      <c r="AG217" s="70" t="str">
        <f t="shared" si="24"/>
        <v>ok</v>
      </c>
      <c r="AH217" s="163"/>
    </row>
    <row r="218" ht="18.75" hidden="1" customHeight="1" outlineLevel="1">
      <c r="A218" s="159"/>
      <c r="B218" s="122" t="s">
        <v>3682</v>
      </c>
      <c r="C218" s="124"/>
      <c r="D218" s="124" t="s">
        <v>5852</v>
      </c>
      <c r="E218" s="124" t="s">
        <v>5837</v>
      </c>
      <c r="F218" s="126">
        <f>COUNTIFS('TỔNG KLH + TN'!$B:$B,'01. TH'!$B218,'TỔNG KLH + TN'!$C:$C,'01. TH'!F$4)</f>
        <v>0</v>
      </c>
      <c r="G218" s="126">
        <f>COUNTIFS('TỔNG KLH + TN'!$B:$B,'01. TH'!$B218,'TỔNG KLH + TN'!$C:$C,'01. TH'!G$4)</f>
        <v>2</v>
      </c>
      <c r="H218" s="126">
        <f>COUNTIFS('TỔNG KLH + TN'!$B:$B,'01. TH'!$B218,'TỔNG KLH + TN'!$C:$C,'01. TH'!H$4)</f>
        <v>0</v>
      </c>
      <c r="I218" s="126">
        <f>COUNTIFS('TỔNG KLH + TN'!$B:$B,'01. TH'!$B218,'TỔNG KLH + TN'!$C:$C,'01. TH'!I$4)</f>
        <v>0</v>
      </c>
      <c r="J218" s="126">
        <f>COUNTIFS('TỔNG KLH + TN'!$B:$B,'01. TH'!$B218,'TỔNG KLH + TN'!$C:$C,'01. TH'!J$4)</f>
        <v>0</v>
      </c>
      <c r="K218" s="126">
        <f>COUNTIFS('TỔNG KLH + TN'!$B:$B,'01. TH'!$B218,'TỔNG KLH + TN'!$C:$C,'01. TH'!K$4)</f>
        <v>0</v>
      </c>
      <c r="L218" s="126">
        <f>COUNTIFS('TỔNG KLH + TN'!$B:$B,'01. TH'!$B218,'TỔNG KLH + TN'!$C:$C,'01. TH'!L$4)</f>
        <v>0</v>
      </c>
      <c r="M218" s="126">
        <f>COUNTIFS('TỔNG KLH + TN'!$B:$B,'01. TH'!$B218,'TỔNG KLH + TN'!$C:$C,'01. TH'!M$4)</f>
        <v>0</v>
      </c>
      <c r="N218" s="126">
        <f>COUNTIFS('TỔNG KLH + TN'!$B:$B,'01. TH'!$B218,'TỔNG KLH + TN'!$C:$C,'01. TH'!N$4)</f>
        <v>0</v>
      </c>
      <c r="O218" s="126">
        <f>COUNTIFS('TỔNG KLH + TN'!$B:$B,'01. TH'!$B218,'TỔNG KLH + TN'!$C:$C,'01. TH'!O$4)</f>
        <v>0</v>
      </c>
      <c r="P218" s="126">
        <f>COUNTIFS('TỔNG KLH + TN'!$B:$B,'01. TH'!$B218,'TỔNG KLH + TN'!$C:$C,'01. TH'!P$4)</f>
        <v>1</v>
      </c>
      <c r="Q218" s="126">
        <f>COUNTIFS('TỔNG KLH + TN'!$B:$B,'01. TH'!$B218,'TỔNG KLH + TN'!$C:$C,'01. TH'!Q$4)</f>
        <v>0</v>
      </c>
      <c r="R218" s="126">
        <f>COUNTIFS('TỔNG KLH + TN'!$B:$B,'01. TH'!$B218,'TỔNG KLH + TN'!$C:$C,'01. TH'!R$4)</f>
        <v>0</v>
      </c>
      <c r="S218" s="126">
        <f>COUNTIFS('TỔNG KLH + TN'!$B:$B,'01. TH'!$B218,'TỔNG KLH + TN'!$C:$C,'01. TH'!S$4)</f>
        <v>0</v>
      </c>
      <c r="T218" s="126">
        <f>COUNTIFS('TỔNG KLH + TN'!$B:$B,'01. TH'!$B218,'TỔNG KLH + TN'!$C:$C,'01. TH'!T$4)</f>
        <v>0</v>
      </c>
      <c r="U218" s="126">
        <f>COUNTIFS('TỔNG KLH + TN'!$B:$B,'01. TH'!$B218,'TỔNG KLH + TN'!$C:$C,'01. TH'!U$4)</f>
        <v>0</v>
      </c>
      <c r="V218" s="126">
        <f>COUNTIFS('TỔNG KLH + TN'!$B:$B,'01. TH'!$B218,'TỔNG KLH + TN'!$C:$C,'01. TH'!V$4)</f>
        <v>0</v>
      </c>
      <c r="W218" s="126">
        <f>COUNTIFS('TỔNG KLH + TN'!$B:$B,'01. TH'!$B218,'TỔNG KLH + TN'!$C:$C,'01. TH'!W$4)</f>
        <v>0</v>
      </c>
      <c r="X218" s="126">
        <f>COUNTIFS('TỔNG KLH + TN'!$B:$B,'01. TH'!$B218,'TỔNG KLH + TN'!$C:$C,'01. TH'!X$4)</f>
        <v>0</v>
      </c>
      <c r="Y218" s="126">
        <f>COUNTIFS('TỔNG KLH + TN'!$B:$B,'01. TH'!$B218,'TỔNG KLH + TN'!$C:$C,'01. TH'!Y$4)</f>
        <v>0</v>
      </c>
      <c r="Z218" s="126">
        <f>COUNTIFS('TỔNG KLH + TN'!$B:$B,'01. TH'!$B218,'TỔNG KLH + TN'!$C:$C,'01. TH'!Z$4)</f>
        <v>0</v>
      </c>
      <c r="AA218" s="126">
        <f>COUNTIFS('TỔNG KLH + TN'!$B:$B,'01. TH'!$B218,'TỔNG KLH + TN'!$C:$C,'01. TH'!AA$4)</f>
        <v>0</v>
      </c>
      <c r="AB218" s="126">
        <f>COUNTIFS('TỔNG KLH + TN'!$B:$B,'01. TH'!$B218,'TỔNG KLH + TN'!$C:$C,'01. TH'!AB$4)</f>
        <v>0</v>
      </c>
      <c r="AC218" s="126">
        <f>COUNTIFS('TỔNG KLH + TN'!$B:$B,'01. TH'!$B218,'TỔNG KLH + TN'!$C:$C,'01. TH'!AC$4)</f>
        <v>0</v>
      </c>
      <c r="AD218" s="126">
        <f>COUNTIFS('TỔNG KLH + TN'!$B:$B,'01. TH'!$B218,'TỔNG KLH + TN'!$C:$C,'01. TH'!AD$4)</f>
        <v>0</v>
      </c>
      <c r="AE218" s="162">
        <f t="shared" si="48"/>
        <v>3</v>
      </c>
      <c r="AF218" s="162"/>
      <c r="AG218" s="70" t="str">
        <f t="shared" si="24"/>
        <v>ok</v>
      </c>
      <c r="AH218" s="163"/>
    </row>
    <row r="219" ht="18.75" hidden="1" customHeight="1" outlineLevel="1">
      <c r="A219" s="159"/>
      <c r="B219" s="122" t="s">
        <v>3470</v>
      </c>
      <c r="C219" s="124"/>
      <c r="D219" s="124" t="s">
        <v>5853</v>
      </c>
      <c r="E219" s="124" t="s">
        <v>5837</v>
      </c>
      <c r="F219" s="126">
        <f>COUNTIFS('TỔNG KLH + TN'!$B:$B,'01. TH'!$B219,'TỔNG KLH + TN'!$C:$C,'01. TH'!F$4)</f>
        <v>0</v>
      </c>
      <c r="G219" s="126">
        <f>COUNTIFS('TỔNG KLH + TN'!$B:$B,'01. TH'!$B219,'TỔNG KLH + TN'!$C:$C,'01. TH'!G$4)</f>
        <v>2</v>
      </c>
      <c r="H219" s="126">
        <f>COUNTIFS('TỔNG KLH + TN'!$B:$B,'01. TH'!$B219,'TỔNG KLH + TN'!$C:$C,'01. TH'!H$4)</f>
        <v>0</v>
      </c>
      <c r="I219" s="126">
        <f>COUNTIFS('TỔNG KLH + TN'!$B:$B,'01. TH'!$B219,'TỔNG KLH + TN'!$C:$C,'01. TH'!I$4)</f>
        <v>0</v>
      </c>
      <c r="J219" s="126">
        <f>COUNTIFS('TỔNG KLH + TN'!$B:$B,'01. TH'!$B219,'TỔNG KLH + TN'!$C:$C,'01. TH'!J$4)</f>
        <v>0</v>
      </c>
      <c r="K219" s="126">
        <f>COUNTIFS('TỔNG KLH + TN'!$B:$B,'01. TH'!$B219,'TỔNG KLH + TN'!$C:$C,'01. TH'!K$4)</f>
        <v>0</v>
      </c>
      <c r="L219" s="126">
        <f>COUNTIFS('TỔNG KLH + TN'!$B:$B,'01. TH'!$B219,'TỔNG KLH + TN'!$C:$C,'01. TH'!L$4)</f>
        <v>0</v>
      </c>
      <c r="M219" s="126">
        <f>COUNTIFS('TỔNG KLH + TN'!$B:$B,'01. TH'!$B219,'TỔNG KLH + TN'!$C:$C,'01. TH'!M$4)</f>
        <v>0</v>
      </c>
      <c r="N219" s="126">
        <f>COUNTIFS('TỔNG KLH + TN'!$B:$B,'01. TH'!$B219,'TỔNG KLH + TN'!$C:$C,'01. TH'!N$4)</f>
        <v>0</v>
      </c>
      <c r="O219" s="126">
        <f>COUNTIFS('TỔNG KLH + TN'!$B:$B,'01. TH'!$B219,'TỔNG KLH + TN'!$C:$C,'01. TH'!O$4)</f>
        <v>0</v>
      </c>
      <c r="P219" s="126">
        <f>COUNTIFS('TỔNG KLH + TN'!$B:$B,'01. TH'!$B219,'TỔNG KLH + TN'!$C:$C,'01. TH'!P$4)</f>
        <v>4</v>
      </c>
      <c r="Q219" s="126">
        <f>COUNTIFS('TỔNG KLH + TN'!$B:$B,'01. TH'!$B219,'TỔNG KLH + TN'!$C:$C,'01. TH'!Q$4)</f>
        <v>0</v>
      </c>
      <c r="R219" s="126">
        <f>COUNTIFS('TỔNG KLH + TN'!$B:$B,'01. TH'!$B219,'TỔNG KLH + TN'!$C:$C,'01. TH'!R$4)</f>
        <v>0</v>
      </c>
      <c r="S219" s="126">
        <f>COUNTIFS('TỔNG KLH + TN'!$B:$B,'01. TH'!$B219,'TỔNG KLH + TN'!$C:$C,'01. TH'!S$4)</f>
        <v>1</v>
      </c>
      <c r="T219" s="126">
        <f>COUNTIFS('TỔNG KLH + TN'!$B:$B,'01. TH'!$B219,'TỔNG KLH + TN'!$C:$C,'01. TH'!T$4)</f>
        <v>0</v>
      </c>
      <c r="U219" s="126">
        <f>COUNTIFS('TỔNG KLH + TN'!$B:$B,'01. TH'!$B219,'TỔNG KLH + TN'!$C:$C,'01. TH'!U$4)</f>
        <v>1</v>
      </c>
      <c r="V219" s="126">
        <f>COUNTIFS('TỔNG KLH + TN'!$B:$B,'01. TH'!$B219,'TỔNG KLH + TN'!$C:$C,'01. TH'!V$4)</f>
        <v>0</v>
      </c>
      <c r="W219" s="126">
        <f>COUNTIFS('TỔNG KLH + TN'!$B:$B,'01. TH'!$B219,'TỔNG KLH + TN'!$C:$C,'01. TH'!W$4)</f>
        <v>0</v>
      </c>
      <c r="X219" s="126">
        <f>COUNTIFS('TỔNG KLH + TN'!$B:$B,'01. TH'!$B219,'TỔNG KLH + TN'!$C:$C,'01. TH'!X$4)</f>
        <v>0</v>
      </c>
      <c r="Y219" s="126">
        <f>COUNTIFS('TỔNG KLH + TN'!$B:$B,'01. TH'!$B219,'TỔNG KLH + TN'!$C:$C,'01. TH'!Y$4)</f>
        <v>0</v>
      </c>
      <c r="Z219" s="126">
        <f>COUNTIFS('TỔNG KLH + TN'!$B:$B,'01. TH'!$B219,'TỔNG KLH + TN'!$C:$C,'01. TH'!Z$4)</f>
        <v>0</v>
      </c>
      <c r="AA219" s="126">
        <f>COUNTIFS('TỔNG KLH + TN'!$B:$B,'01. TH'!$B219,'TỔNG KLH + TN'!$C:$C,'01. TH'!AA$4)</f>
        <v>0</v>
      </c>
      <c r="AB219" s="126">
        <f>COUNTIFS('TỔNG KLH + TN'!$B:$B,'01. TH'!$B219,'TỔNG KLH + TN'!$C:$C,'01. TH'!AB$4)</f>
        <v>0</v>
      </c>
      <c r="AC219" s="126">
        <f>COUNTIFS('TỔNG KLH + TN'!$B:$B,'01. TH'!$B219,'TỔNG KLH + TN'!$C:$C,'01. TH'!AC$4)</f>
        <v>0</v>
      </c>
      <c r="AD219" s="126">
        <f>COUNTIFS('TỔNG KLH + TN'!$B:$B,'01. TH'!$B219,'TỔNG KLH + TN'!$C:$C,'01. TH'!AD$4)</f>
        <v>0</v>
      </c>
      <c r="AE219" s="162">
        <f t="shared" si="48"/>
        <v>8</v>
      </c>
      <c r="AF219" s="162"/>
      <c r="AG219" s="70" t="str">
        <f t="shared" si="24"/>
        <v>ok</v>
      </c>
      <c r="AH219" s="609"/>
    </row>
    <row r="220" ht="18.75" hidden="1" customHeight="1" outlineLevel="1">
      <c r="A220" s="724"/>
      <c r="B220" s="709" t="s">
        <v>3599</v>
      </c>
      <c r="C220" s="124"/>
      <c r="D220" s="124" t="s">
        <v>5854</v>
      </c>
      <c r="E220" s="124" t="s">
        <v>5837</v>
      </c>
      <c r="F220" s="126">
        <f>COUNTIFS('TỔNG KLH + TN'!$B:$B,'01. TH'!$B220,'TỔNG KLH + TN'!$C:$C,'01. TH'!F$4)</f>
        <v>0</v>
      </c>
      <c r="G220" s="126">
        <f>COUNTIFS('TỔNG KLH + TN'!$B:$B,'01. TH'!$B220,'TỔNG KLH + TN'!$C:$C,'01. TH'!G$4)</f>
        <v>2</v>
      </c>
      <c r="H220" s="126">
        <f>COUNTIFS('TỔNG KLH + TN'!$B:$B,'01. TH'!$B220,'TỔNG KLH + TN'!$C:$C,'01. TH'!H$4)</f>
        <v>0</v>
      </c>
      <c r="I220" s="126">
        <f>COUNTIFS('TỔNG KLH + TN'!$B:$B,'01. TH'!$B220,'TỔNG KLH + TN'!$C:$C,'01. TH'!I$4)</f>
        <v>0</v>
      </c>
      <c r="J220" s="126">
        <f>COUNTIFS('TỔNG KLH + TN'!$B:$B,'01. TH'!$B220,'TỔNG KLH + TN'!$C:$C,'01. TH'!J$4)</f>
        <v>0</v>
      </c>
      <c r="K220" s="126">
        <f>COUNTIFS('TỔNG KLH + TN'!$B:$B,'01. TH'!$B220,'TỔNG KLH + TN'!$C:$C,'01. TH'!K$4)</f>
        <v>0</v>
      </c>
      <c r="L220" s="126">
        <f>COUNTIFS('TỔNG KLH + TN'!$B:$B,'01. TH'!$B220,'TỔNG KLH + TN'!$C:$C,'01. TH'!L$4)</f>
        <v>0</v>
      </c>
      <c r="M220" s="126">
        <f>COUNTIFS('TỔNG KLH + TN'!$B:$B,'01. TH'!$B220,'TỔNG KLH + TN'!$C:$C,'01. TH'!M$4)</f>
        <v>0</v>
      </c>
      <c r="N220" s="126">
        <f>COUNTIFS('TỔNG KLH + TN'!$B:$B,'01. TH'!$B220,'TỔNG KLH + TN'!$C:$C,'01. TH'!N$4)</f>
        <v>0</v>
      </c>
      <c r="O220" s="126">
        <f>COUNTIFS('TỔNG KLH + TN'!$B:$B,'01. TH'!$B220,'TỔNG KLH + TN'!$C:$C,'01. TH'!O$4)</f>
        <v>0</v>
      </c>
      <c r="P220" s="126">
        <f>COUNTIFS('TỔNG KLH + TN'!$B:$B,'01. TH'!$B220,'TỔNG KLH + TN'!$C:$C,'01. TH'!P$4)</f>
        <v>2</v>
      </c>
      <c r="Q220" s="126">
        <f>COUNTIFS('TỔNG KLH + TN'!$B:$B,'01. TH'!$B220,'TỔNG KLH + TN'!$C:$C,'01. TH'!Q$4)</f>
        <v>0</v>
      </c>
      <c r="R220" s="126">
        <f>COUNTIFS('TỔNG KLH + TN'!$B:$B,'01. TH'!$B220,'TỔNG KLH + TN'!$C:$C,'01. TH'!R$4)</f>
        <v>0</v>
      </c>
      <c r="S220" s="126">
        <f>COUNTIFS('TỔNG KLH + TN'!$B:$B,'01. TH'!$B220,'TỔNG KLH + TN'!$C:$C,'01. TH'!S$4)</f>
        <v>0</v>
      </c>
      <c r="T220" s="126">
        <f>COUNTIFS('TỔNG KLH + TN'!$B:$B,'01. TH'!$B220,'TỔNG KLH + TN'!$C:$C,'01. TH'!T$4)</f>
        <v>0</v>
      </c>
      <c r="U220" s="126">
        <f>COUNTIFS('TỔNG KLH + TN'!$B:$B,'01. TH'!$B220,'TỔNG KLH + TN'!$C:$C,'01. TH'!U$4)</f>
        <v>4</v>
      </c>
      <c r="V220" s="126">
        <f>COUNTIFS('TỔNG KLH + TN'!$B:$B,'01. TH'!$B220,'TỔNG KLH + TN'!$C:$C,'01. TH'!V$4)</f>
        <v>0</v>
      </c>
      <c r="W220" s="126">
        <f>COUNTIFS('TỔNG KLH + TN'!$B:$B,'01. TH'!$B220,'TỔNG KLH + TN'!$C:$C,'01. TH'!W$4)</f>
        <v>0</v>
      </c>
      <c r="X220" s="126">
        <f>COUNTIFS('TỔNG KLH + TN'!$B:$B,'01. TH'!$B220,'TỔNG KLH + TN'!$C:$C,'01. TH'!X$4)</f>
        <v>0</v>
      </c>
      <c r="Y220" s="126">
        <f>COUNTIFS('TỔNG KLH + TN'!$B:$B,'01. TH'!$B220,'TỔNG KLH + TN'!$C:$C,'01. TH'!Y$4)</f>
        <v>0</v>
      </c>
      <c r="Z220" s="126">
        <f>COUNTIFS('TỔNG KLH + TN'!$B:$B,'01. TH'!$B220,'TỔNG KLH + TN'!$C:$C,'01. TH'!Z$4)</f>
        <v>0</v>
      </c>
      <c r="AA220" s="126">
        <f>COUNTIFS('TỔNG KLH + TN'!$B:$B,'01. TH'!$B220,'TỔNG KLH + TN'!$C:$C,'01. TH'!AA$4)</f>
        <v>0</v>
      </c>
      <c r="AB220" s="126">
        <f>COUNTIFS('TỔNG KLH + TN'!$B:$B,'01. TH'!$B220,'TỔNG KLH + TN'!$C:$C,'01. TH'!AB$4)</f>
        <v>0</v>
      </c>
      <c r="AC220" s="126">
        <f>COUNTIFS('TỔNG KLH + TN'!$B:$B,'01. TH'!$B220,'TỔNG KLH + TN'!$C:$C,'01. TH'!AC$4)</f>
        <v>0</v>
      </c>
      <c r="AD220" s="126">
        <f>COUNTIFS('TỔNG KLH + TN'!$B:$B,'01. TH'!$B220,'TỔNG KLH + TN'!$C:$C,'01. TH'!AD$4)</f>
        <v>0</v>
      </c>
      <c r="AE220" s="725">
        <f t="shared" si="48"/>
        <v>8</v>
      </c>
      <c r="AF220" s="725"/>
      <c r="AG220" s="70" t="str">
        <f t="shared" si="24"/>
        <v>ok</v>
      </c>
      <c r="AH220" s="726"/>
    </row>
    <row r="221" ht="18.75" hidden="1" customHeight="1" outlineLevel="1">
      <c r="A221" s="724"/>
      <c r="B221" s="709" t="s">
        <v>3688</v>
      </c>
      <c r="C221" s="124"/>
      <c r="D221" s="124"/>
      <c r="E221" s="124" t="s">
        <v>5837</v>
      </c>
      <c r="F221" s="126">
        <f>COUNTIFS('TỔNG KLH + TN'!$B:$B,'01. TH'!$B221,'TỔNG KLH + TN'!$C:$C,'01. TH'!F$4)</f>
        <v>0</v>
      </c>
      <c r="G221" s="126">
        <f>COUNTIFS('TỔNG KLH + TN'!$B:$B,'01. TH'!$B221,'TỔNG KLH + TN'!$C:$C,'01. TH'!G$4)</f>
        <v>6</v>
      </c>
      <c r="H221" s="126">
        <f>COUNTIFS('TỔNG KLH + TN'!$B:$B,'01. TH'!$B221,'TỔNG KLH + TN'!$C:$C,'01. TH'!H$4)</f>
        <v>0</v>
      </c>
      <c r="I221" s="126">
        <f>COUNTIFS('TỔNG KLH + TN'!$B:$B,'01. TH'!$B221,'TỔNG KLH + TN'!$C:$C,'01. TH'!I$4)</f>
        <v>0</v>
      </c>
      <c r="J221" s="126">
        <f>COUNTIFS('TỔNG KLH + TN'!$B:$B,'01. TH'!$B221,'TỔNG KLH + TN'!$C:$C,'01. TH'!J$4)</f>
        <v>0</v>
      </c>
      <c r="K221" s="126">
        <f>COUNTIFS('TỔNG KLH + TN'!$B:$B,'01. TH'!$B221,'TỔNG KLH + TN'!$C:$C,'01. TH'!K$4)</f>
        <v>0</v>
      </c>
      <c r="L221" s="126">
        <f>COUNTIFS('TỔNG KLH + TN'!$B:$B,'01. TH'!$B221,'TỔNG KLH + TN'!$C:$C,'01. TH'!L$4)</f>
        <v>0</v>
      </c>
      <c r="M221" s="126">
        <f>COUNTIFS('TỔNG KLH + TN'!$B:$B,'01. TH'!$B221,'TỔNG KLH + TN'!$C:$C,'01. TH'!M$4)</f>
        <v>0</v>
      </c>
      <c r="N221" s="126">
        <f>COUNTIFS('TỔNG KLH + TN'!$B:$B,'01. TH'!$B221,'TỔNG KLH + TN'!$C:$C,'01. TH'!N$4)</f>
        <v>0</v>
      </c>
      <c r="O221" s="126">
        <f>COUNTIFS('TỔNG KLH + TN'!$B:$B,'01. TH'!$B221,'TỔNG KLH + TN'!$C:$C,'01. TH'!O$4)</f>
        <v>0</v>
      </c>
      <c r="P221" s="126">
        <f>COUNTIFS('TỔNG KLH + TN'!$B:$B,'01. TH'!$B221,'TỔNG KLH + TN'!$C:$C,'01. TH'!P$4)</f>
        <v>1</v>
      </c>
      <c r="Q221" s="126">
        <f>COUNTIFS('TỔNG KLH + TN'!$B:$B,'01. TH'!$B221,'TỔNG KLH + TN'!$C:$C,'01. TH'!Q$4)</f>
        <v>0</v>
      </c>
      <c r="R221" s="126">
        <f>COUNTIFS('TỔNG KLH + TN'!$B:$B,'01. TH'!$B221,'TỔNG KLH + TN'!$C:$C,'01. TH'!R$4)</f>
        <v>0</v>
      </c>
      <c r="S221" s="126">
        <f>COUNTIFS('TỔNG KLH + TN'!$B:$B,'01. TH'!$B221,'TỔNG KLH + TN'!$C:$C,'01. TH'!S$4)</f>
        <v>0</v>
      </c>
      <c r="T221" s="126">
        <f>COUNTIFS('TỔNG KLH + TN'!$B:$B,'01. TH'!$B221,'TỔNG KLH + TN'!$C:$C,'01. TH'!T$4)</f>
        <v>0</v>
      </c>
      <c r="U221" s="126">
        <f>COUNTIFS('TỔNG KLH + TN'!$B:$B,'01. TH'!$B221,'TỔNG KLH + TN'!$C:$C,'01. TH'!U$4)</f>
        <v>0</v>
      </c>
      <c r="V221" s="126">
        <f>COUNTIFS('TỔNG KLH + TN'!$B:$B,'01. TH'!$B221,'TỔNG KLH + TN'!$C:$C,'01. TH'!V$4)</f>
        <v>0</v>
      </c>
      <c r="W221" s="126">
        <f>COUNTIFS('TỔNG KLH + TN'!$B:$B,'01. TH'!$B221,'TỔNG KLH + TN'!$C:$C,'01. TH'!W$4)</f>
        <v>0</v>
      </c>
      <c r="X221" s="126">
        <f>COUNTIFS('TỔNG KLH + TN'!$B:$B,'01. TH'!$B221,'TỔNG KLH + TN'!$C:$C,'01. TH'!X$4)</f>
        <v>0</v>
      </c>
      <c r="Y221" s="126">
        <f>COUNTIFS('TỔNG KLH + TN'!$B:$B,'01. TH'!$B221,'TỔNG KLH + TN'!$C:$C,'01. TH'!Y$4)</f>
        <v>0</v>
      </c>
      <c r="Z221" s="126">
        <f>COUNTIFS('TỔNG KLH + TN'!$B:$B,'01. TH'!$B221,'TỔNG KLH + TN'!$C:$C,'01. TH'!Z$4)</f>
        <v>0</v>
      </c>
      <c r="AA221" s="126">
        <f>COUNTIFS('TỔNG KLH + TN'!$B:$B,'01. TH'!$B221,'TỔNG KLH + TN'!$C:$C,'01. TH'!AA$4)</f>
        <v>0</v>
      </c>
      <c r="AB221" s="126">
        <f>COUNTIFS('TỔNG KLH + TN'!$B:$B,'01. TH'!$B221,'TỔNG KLH + TN'!$C:$C,'01. TH'!AB$4)</f>
        <v>0</v>
      </c>
      <c r="AC221" s="126">
        <f>COUNTIFS('TỔNG KLH + TN'!$B:$B,'01. TH'!$B221,'TỔNG KLH + TN'!$C:$C,'01. TH'!AC$4)</f>
        <v>0</v>
      </c>
      <c r="AD221" s="126">
        <f>COUNTIFS('TỔNG KLH + TN'!$B:$B,'01. TH'!$B221,'TỔNG KLH + TN'!$C:$C,'01. TH'!AD$4)</f>
        <v>0</v>
      </c>
      <c r="AE221" s="725">
        <f t="shared" si="48"/>
        <v>7</v>
      </c>
      <c r="AF221" s="725"/>
      <c r="AG221" s="70" t="str">
        <f t="shared" si="24"/>
        <v>ok</v>
      </c>
      <c r="AH221" s="726"/>
    </row>
    <row r="222" ht="18.75" hidden="1" customHeight="1" outlineLevel="1">
      <c r="A222" s="724"/>
      <c r="B222" s="709" t="s">
        <v>5856</v>
      </c>
      <c r="C222" s="124"/>
      <c r="D222" s="124" t="s">
        <v>5857</v>
      </c>
      <c r="E222" s="124" t="s">
        <v>5837</v>
      </c>
      <c r="F222" s="126">
        <f>COUNTIFS('TỔNG KLH + TN'!$B:$B,'01. TH'!$B222,'TỔNG KLH + TN'!$C:$C,'01. TH'!F$4)</f>
        <v>0</v>
      </c>
      <c r="G222" s="126">
        <f>COUNTIFS('TỔNG KLH + TN'!$B:$B,'01. TH'!$B222,'TỔNG KLH + TN'!$C:$C,'01. TH'!G$4)</f>
        <v>0</v>
      </c>
      <c r="H222" s="126">
        <f>COUNTIFS('TỔNG KLH + TN'!$B:$B,'01. TH'!$B222,'TỔNG KLH + TN'!$C:$C,'01. TH'!H$4)</f>
        <v>0</v>
      </c>
      <c r="I222" s="126">
        <f>COUNTIFS('TỔNG KLH + TN'!$B:$B,'01. TH'!$B222,'TỔNG KLH + TN'!$C:$C,'01. TH'!I$4)</f>
        <v>0</v>
      </c>
      <c r="J222" s="126">
        <f>COUNTIFS('TỔNG KLH + TN'!$B:$B,'01. TH'!$B222,'TỔNG KLH + TN'!$C:$C,'01. TH'!J$4)</f>
        <v>0</v>
      </c>
      <c r="K222" s="126">
        <f>COUNTIFS('TỔNG KLH + TN'!$B:$B,'01. TH'!$B222,'TỔNG KLH + TN'!$C:$C,'01. TH'!K$4)</f>
        <v>0</v>
      </c>
      <c r="L222" s="126">
        <f>COUNTIFS('TỔNG KLH + TN'!$B:$B,'01. TH'!$B222,'TỔNG KLH + TN'!$C:$C,'01. TH'!L$4)</f>
        <v>0</v>
      </c>
      <c r="M222" s="126">
        <f>COUNTIFS('TỔNG KLH + TN'!$B:$B,'01. TH'!$B222,'TỔNG KLH + TN'!$C:$C,'01. TH'!M$4)</f>
        <v>0</v>
      </c>
      <c r="N222" s="126">
        <f>COUNTIFS('TỔNG KLH + TN'!$B:$B,'01. TH'!$B222,'TỔNG KLH + TN'!$C:$C,'01. TH'!N$4)</f>
        <v>0</v>
      </c>
      <c r="O222" s="126">
        <f>COUNTIFS('TỔNG KLH + TN'!$B:$B,'01. TH'!$B222,'TỔNG KLH + TN'!$C:$C,'01. TH'!O$4)</f>
        <v>0</v>
      </c>
      <c r="P222" s="126">
        <f>COUNTIFS('TỔNG KLH + TN'!$B:$B,'01. TH'!$B222,'TỔNG KLH + TN'!$C:$C,'01. TH'!P$4)</f>
        <v>0</v>
      </c>
      <c r="Q222" s="126">
        <f>COUNTIFS('TỔNG KLH + TN'!$B:$B,'01. TH'!$B222,'TỔNG KLH + TN'!$C:$C,'01. TH'!Q$4)</f>
        <v>0</v>
      </c>
      <c r="R222" s="126">
        <f>COUNTIFS('TỔNG KLH + TN'!$B:$B,'01. TH'!$B222,'TỔNG KLH + TN'!$C:$C,'01. TH'!R$4)</f>
        <v>0</v>
      </c>
      <c r="S222" s="126">
        <f>COUNTIFS('TỔNG KLH + TN'!$B:$B,'01. TH'!$B222,'TỔNG KLH + TN'!$C:$C,'01. TH'!S$4)</f>
        <v>0</v>
      </c>
      <c r="T222" s="126">
        <f>COUNTIFS('TỔNG KLH + TN'!$B:$B,'01. TH'!$B222,'TỔNG KLH + TN'!$C:$C,'01. TH'!T$4)</f>
        <v>0</v>
      </c>
      <c r="U222" s="126">
        <f>COUNTIFS('TỔNG KLH + TN'!$B:$B,'01. TH'!$B222,'TỔNG KLH + TN'!$C:$C,'01. TH'!U$4)</f>
        <v>0</v>
      </c>
      <c r="V222" s="126">
        <f>COUNTIFS('TỔNG KLH + TN'!$B:$B,'01. TH'!$B222,'TỔNG KLH + TN'!$C:$C,'01. TH'!V$4)</f>
        <v>0</v>
      </c>
      <c r="W222" s="126">
        <f>COUNTIFS('TỔNG KLH + TN'!$B:$B,'01. TH'!$B222,'TỔNG KLH + TN'!$C:$C,'01. TH'!W$4)</f>
        <v>0</v>
      </c>
      <c r="X222" s="126">
        <f>COUNTIFS('TỔNG KLH + TN'!$B:$B,'01. TH'!$B222,'TỔNG KLH + TN'!$C:$C,'01. TH'!X$4)</f>
        <v>0</v>
      </c>
      <c r="Y222" s="126">
        <f>COUNTIFS('TỔNG KLH + TN'!$B:$B,'01. TH'!$B222,'TỔNG KLH + TN'!$C:$C,'01. TH'!Y$4)</f>
        <v>0</v>
      </c>
      <c r="Z222" s="126">
        <f>COUNTIFS('TỔNG KLH + TN'!$B:$B,'01. TH'!$B222,'TỔNG KLH + TN'!$C:$C,'01. TH'!Z$4)</f>
        <v>0</v>
      </c>
      <c r="AA222" s="126">
        <f>COUNTIFS('TỔNG KLH + TN'!$B:$B,'01. TH'!$B222,'TỔNG KLH + TN'!$C:$C,'01. TH'!AA$4)</f>
        <v>0</v>
      </c>
      <c r="AB222" s="126">
        <f>COUNTIFS('TỔNG KLH + TN'!$B:$B,'01. TH'!$B222,'TỔNG KLH + TN'!$C:$C,'01. TH'!AB$4)</f>
        <v>0</v>
      </c>
      <c r="AC222" s="126">
        <f>COUNTIFS('TỔNG KLH + TN'!$B:$B,'01. TH'!$B222,'TỔNG KLH + TN'!$C:$C,'01. TH'!AC$4)</f>
        <v>0</v>
      </c>
      <c r="AD222" s="126">
        <f>COUNTIFS('TỔNG KLH + TN'!$B:$B,'01. TH'!$B222,'TỔNG KLH + TN'!$C:$C,'01. TH'!AD$4)</f>
        <v>0</v>
      </c>
      <c r="AE222" s="725">
        <f t="shared" si="48"/>
        <v>0</v>
      </c>
      <c r="AF222" s="725"/>
      <c r="AG222" s="70" t="str">
        <f t="shared" si="24"/>
        <v>ok</v>
      </c>
      <c r="AH222" s="726"/>
    </row>
    <row r="223" ht="18.75" hidden="1" customHeight="1" outlineLevel="1">
      <c r="A223" s="724"/>
      <c r="B223" s="719" t="s">
        <v>3558</v>
      </c>
      <c r="C223" s="124"/>
      <c r="D223" s="124"/>
      <c r="E223" s="124" t="s">
        <v>5837</v>
      </c>
      <c r="F223" s="126">
        <f>COUNTIFS('TỔNG KLH + TN'!$B:$B,'01. TH'!$B223,'TỔNG KLH + TN'!$C:$C,'01. TH'!F$4)</f>
        <v>0</v>
      </c>
      <c r="G223" s="126">
        <f>COUNTIFS('TỔNG KLH + TN'!$B:$B,'01. TH'!$B223,'TỔNG KLH + TN'!$C:$C,'01. TH'!G$4)</f>
        <v>4</v>
      </c>
      <c r="H223" s="126">
        <f>COUNTIFS('TỔNG KLH + TN'!$B:$B,'01. TH'!$B223,'TỔNG KLH + TN'!$C:$C,'01. TH'!H$4)</f>
        <v>0</v>
      </c>
      <c r="I223" s="126">
        <f>COUNTIFS('TỔNG KLH + TN'!$B:$B,'01. TH'!$B223,'TỔNG KLH + TN'!$C:$C,'01. TH'!I$4)</f>
        <v>0</v>
      </c>
      <c r="J223" s="126">
        <f>COUNTIFS('TỔNG KLH + TN'!$B:$B,'01. TH'!$B223,'TỔNG KLH + TN'!$C:$C,'01. TH'!J$4)</f>
        <v>0</v>
      </c>
      <c r="K223" s="126">
        <f>COUNTIFS('TỔNG KLH + TN'!$B:$B,'01. TH'!$B223,'TỔNG KLH + TN'!$C:$C,'01. TH'!K$4)</f>
        <v>0</v>
      </c>
      <c r="L223" s="126">
        <f>COUNTIFS('TỔNG KLH + TN'!$B:$B,'01. TH'!$B223,'TỔNG KLH + TN'!$C:$C,'01. TH'!L$4)</f>
        <v>0</v>
      </c>
      <c r="M223" s="126">
        <f>COUNTIFS('TỔNG KLH + TN'!$B:$B,'01. TH'!$B223,'TỔNG KLH + TN'!$C:$C,'01. TH'!M$4)</f>
        <v>0</v>
      </c>
      <c r="N223" s="126">
        <f>COUNTIFS('TỔNG KLH + TN'!$B:$B,'01. TH'!$B223,'TỔNG KLH + TN'!$C:$C,'01. TH'!N$4)</f>
        <v>0</v>
      </c>
      <c r="O223" s="126">
        <f>COUNTIFS('TỔNG KLH + TN'!$B:$B,'01. TH'!$B223,'TỔNG KLH + TN'!$C:$C,'01. TH'!O$4)</f>
        <v>0</v>
      </c>
      <c r="P223" s="126">
        <f>COUNTIFS('TỔNG KLH + TN'!$B:$B,'01. TH'!$B223,'TỔNG KLH + TN'!$C:$C,'01. TH'!P$4)</f>
        <v>3</v>
      </c>
      <c r="Q223" s="126">
        <f>COUNTIFS('TỔNG KLH + TN'!$B:$B,'01. TH'!$B223,'TỔNG KLH + TN'!$C:$C,'01. TH'!Q$4)</f>
        <v>0</v>
      </c>
      <c r="R223" s="126">
        <f>COUNTIFS('TỔNG KLH + TN'!$B:$B,'01. TH'!$B223,'TỔNG KLH + TN'!$C:$C,'01. TH'!R$4)</f>
        <v>0</v>
      </c>
      <c r="S223" s="126">
        <f>COUNTIFS('TỔNG KLH + TN'!$B:$B,'01. TH'!$B223,'TỔNG KLH + TN'!$C:$C,'01. TH'!S$4)</f>
        <v>0</v>
      </c>
      <c r="T223" s="126">
        <f>COUNTIFS('TỔNG KLH + TN'!$B:$B,'01. TH'!$B223,'TỔNG KLH + TN'!$C:$C,'01. TH'!T$4)</f>
        <v>0</v>
      </c>
      <c r="U223" s="126">
        <f>COUNTIFS('TỔNG KLH + TN'!$B:$B,'01. TH'!$B223,'TỔNG KLH + TN'!$C:$C,'01. TH'!U$4)</f>
        <v>1</v>
      </c>
      <c r="V223" s="126">
        <f>COUNTIFS('TỔNG KLH + TN'!$B:$B,'01. TH'!$B223,'TỔNG KLH + TN'!$C:$C,'01. TH'!V$4)</f>
        <v>0</v>
      </c>
      <c r="W223" s="126">
        <f>COUNTIFS('TỔNG KLH + TN'!$B:$B,'01. TH'!$B223,'TỔNG KLH + TN'!$C:$C,'01. TH'!W$4)</f>
        <v>0</v>
      </c>
      <c r="X223" s="126">
        <f>COUNTIFS('TỔNG KLH + TN'!$B:$B,'01. TH'!$B223,'TỔNG KLH + TN'!$C:$C,'01. TH'!X$4)</f>
        <v>0</v>
      </c>
      <c r="Y223" s="126">
        <f>COUNTIFS('TỔNG KLH + TN'!$B:$B,'01. TH'!$B223,'TỔNG KLH + TN'!$C:$C,'01. TH'!Y$4)</f>
        <v>0</v>
      </c>
      <c r="Z223" s="126">
        <f>COUNTIFS('TỔNG KLH + TN'!$B:$B,'01. TH'!$B223,'TỔNG KLH + TN'!$C:$C,'01. TH'!Z$4)</f>
        <v>0</v>
      </c>
      <c r="AA223" s="126">
        <f>COUNTIFS('TỔNG KLH + TN'!$B:$B,'01. TH'!$B223,'TỔNG KLH + TN'!$C:$C,'01. TH'!AA$4)</f>
        <v>0</v>
      </c>
      <c r="AB223" s="126">
        <f>COUNTIFS('TỔNG KLH + TN'!$B:$B,'01. TH'!$B223,'TỔNG KLH + TN'!$C:$C,'01. TH'!AB$4)</f>
        <v>0</v>
      </c>
      <c r="AC223" s="126">
        <f>COUNTIFS('TỔNG KLH + TN'!$B:$B,'01. TH'!$B223,'TỔNG KLH + TN'!$C:$C,'01. TH'!AC$4)</f>
        <v>0</v>
      </c>
      <c r="AD223" s="126">
        <f>COUNTIFS('TỔNG KLH + TN'!$B:$B,'01. TH'!$B223,'TỔNG KLH + TN'!$C:$C,'01. TH'!AD$4)</f>
        <v>0</v>
      </c>
      <c r="AE223" s="725">
        <f t="shared" si="48"/>
        <v>8</v>
      </c>
      <c r="AF223" s="725"/>
      <c r="AG223" s="70" t="str">
        <f t="shared" si="24"/>
        <v>ok</v>
      </c>
      <c r="AH223" s="726"/>
    </row>
    <row r="224" ht="18.75" hidden="1" customHeight="1" outlineLevel="1">
      <c r="A224" s="724"/>
      <c r="B224" s="719" t="s">
        <v>3566</v>
      </c>
      <c r="C224" s="124"/>
      <c r="D224" s="124"/>
      <c r="E224" s="124" t="s">
        <v>5837</v>
      </c>
      <c r="F224" s="126">
        <f>COUNTIFS('TỔNG KLH + TN'!$B:$B,'01. TH'!$B224,'TỔNG KLH + TN'!$C:$C,'01. TH'!F$4)</f>
        <v>0</v>
      </c>
      <c r="G224" s="126">
        <f>COUNTIFS('TỔNG KLH + TN'!$B:$B,'01. TH'!$B224,'TỔNG KLH + TN'!$C:$C,'01. TH'!G$4)</f>
        <v>1</v>
      </c>
      <c r="H224" s="126">
        <f>COUNTIFS('TỔNG KLH + TN'!$B:$B,'01. TH'!$B224,'TỔNG KLH + TN'!$C:$C,'01. TH'!H$4)</f>
        <v>0</v>
      </c>
      <c r="I224" s="126">
        <f>COUNTIFS('TỔNG KLH + TN'!$B:$B,'01. TH'!$B224,'TỔNG KLH + TN'!$C:$C,'01. TH'!I$4)</f>
        <v>0</v>
      </c>
      <c r="J224" s="126">
        <f>COUNTIFS('TỔNG KLH + TN'!$B:$B,'01. TH'!$B224,'TỔNG KLH + TN'!$C:$C,'01. TH'!J$4)</f>
        <v>0</v>
      </c>
      <c r="K224" s="126">
        <f>COUNTIFS('TỔNG KLH + TN'!$B:$B,'01. TH'!$B224,'TỔNG KLH + TN'!$C:$C,'01. TH'!K$4)</f>
        <v>0</v>
      </c>
      <c r="L224" s="126">
        <f>COUNTIFS('TỔNG KLH + TN'!$B:$B,'01. TH'!$B224,'TỔNG KLH + TN'!$C:$C,'01. TH'!L$4)</f>
        <v>0</v>
      </c>
      <c r="M224" s="126">
        <f>COUNTIFS('TỔNG KLH + TN'!$B:$B,'01. TH'!$B224,'TỔNG KLH + TN'!$C:$C,'01. TH'!M$4)</f>
        <v>0</v>
      </c>
      <c r="N224" s="126">
        <f>COUNTIFS('TỔNG KLH + TN'!$B:$B,'01. TH'!$B224,'TỔNG KLH + TN'!$C:$C,'01. TH'!N$4)</f>
        <v>0</v>
      </c>
      <c r="O224" s="126">
        <f>COUNTIFS('TỔNG KLH + TN'!$B:$B,'01. TH'!$B224,'TỔNG KLH + TN'!$C:$C,'01. TH'!O$4)</f>
        <v>0</v>
      </c>
      <c r="P224" s="126">
        <f>COUNTIFS('TỔNG KLH + TN'!$B:$B,'01. TH'!$B224,'TỔNG KLH + TN'!$C:$C,'01. TH'!P$4)</f>
        <v>0</v>
      </c>
      <c r="Q224" s="126">
        <f>COUNTIFS('TỔNG KLH + TN'!$B:$B,'01. TH'!$B224,'TỔNG KLH + TN'!$C:$C,'01. TH'!Q$4)</f>
        <v>0</v>
      </c>
      <c r="R224" s="126">
        <f>COUNTIFS('TỔNG KLH + TN'!$B:$B,'01. TH'!$B224,'TỔNG KLH + TN'!$C:$C,'01. TH'!R$4)</f>
        <v>0</v>
      </c>
      <c r="S224" s="126">
        <f>COUNTIFS('TỔNG KLH + TN'!$B:$B,'01. TH'!$B224,'TỔNG KLH + TN'!$C:$C,'01. TH'!S$4)</f>
        <v>0</v>
      </c>
      <c r="T224" s="126">
        <f>COUNTIFS('TỔNG KLH + TN'!$B:$B,'01. TH'!$B224,'TỔNG KLH + TN'!$C:$C,'01. TH'!T$4)</f>
        <v>0</v>
      </c>
      <c r="U224" s="126">
        <f>COUNTIFS('TỔNG KLH + TN'!$B:$B,'01. TH'!$B224,'TỔNG KLH + TN'!$C:$C,'01. TH'!U$4)</f>
        <v>1</v>
      </c>
      <c r="V224" s="126">
        <f>COUNTIFS('TỔNG KLH + TN'!$B:$B,'01. TH'!$B224,'TỔNG KLH + TN'!$C:$C,'01. TH'!V$4)</f>
        <v>0</v>
      </c>
      <c r="W224" s="126">
        <f>COUNTIFS('TỔNG KLH + TN'!$B:$B,'01. TH'!$B224,'TỔNG KLH + TN'!$C:$C,'01. TH'!W$4)</f>
        <v>0</v>
      </c>
      <c r="X224" s="126">
        <f>COUNTIFS('TỔNG KLH + TN'!$B:$B,'01. TH'!$B224,'TỔNG KLH + TN'!$C:$C,'01. TH'!X$4)</f>
        <v>0</v>
      </c>
      <c r="Y224" s="126">
        <f>COUNTIFS('TỔNG KLH + TN'!$B:$B,'01. TH'!$B224,'TỔNG KLH + TN'!$C:$C,'01. TH'!Y$4)</f>
        <v>0</v>
      </c>
      <c r="Z224" s="126">
        <f>COUNTIFS('TỔNG KLH + TN'!$B:$B,'01. TH'!$B224,'TỔNG KLH + TN'!$C:$C,'01. TH'!Z$4)</f>
        <v>0</v>
      </c>
      <c r="AA224" s="126">
        <f>COUNTIFS('TỔNG KLH + TN'!$B:$B,'01. TH'!$B224,'TỔNG KLH + TN'!$C:$C,'01. TH'!AA$4)</f>
        <v>0</v>
      </c>
      <c r="AB224" s="126">
        <f>COUNTIFS('TỔNG KLH + TN'!$B:$B,'01. TH'!$B224,'TỔNG KLH + TN'!$C:$C,'01. TH'!AB$4)</f>
        <v>0</v>
      </c>
      <c r="AC224" s="126">
        <f>COUNTIFS('TỔNG KLH + TN'!$B:$B,'01. TH'!$B224,'TỔNG KLH + TN'!$C:$C,'01. TH'!AC$4)</f>
        <v>0</v>
      </c>
      <c r="AD224" s="126">
        <f>COUNTIFS('TỔNG KLH + TN'!$B:$B,'01. TH'!$B224,'TỔNG KLH + TN'!$C:$C,'01. TH'!AD$4)</f>
        <v>0</v>
      </c>
      <c r="AE224" s="725">
        <f t="shared" si="48"/>
        <v>2</v>
      </c>
      <c r="AF224" s="725"/>
      <c r="AG224" s="70" t="str">
        <f t="shared" si="24"/>
        <v>ok</v>
      </c>
      <c r="AH224" s="726"/>
    </row>
    <row r="225" ht="18.75" hidden="1" customHeight="1" outlineLevel="1">
      <c r="A225" s="724"/>
      <c r="B225" s="719" t="s">
        <v>3616</v>
      </c>
      <c r="C225" s="124"/>
      <c r="D225" s="124"/>
      <c r="E225" s="124" t="s">
        <v>5837</v>
      </c>
      <c r="F225" s="126">
        <f>COUNTIFS('TỔNG KLH + TN'!$B:$B,'01. TH'!$B225,'TỔNG KLH + TN'!$C:$C,'01. TH'!F$4)</f>
        <v>0</v>
      </c>
      <c r="G225" s="126">
        <f>COUNTIFS('TỔNG KLH + TN'!$B:$B,'01. TH'!$B225,'TỔNG KLH + TN'!$C:$C,'01. TH'!G$4)</f>
        <v>1</v>
      </c>
      <c r="H225" s="126">
        <f>COUNTIFS('TỔNG KLH + TN'!$B:$B,'01. TH'!$B225,'TỔNG KLH + TN'!$C:$C,'01. TH'!H$4)</f>
        <v>0</v>
      </c>
      <c r="I225" s="126">
        <f>COUNTIFS('TỔNG KLH + TN'!$B:$B,'01. TH'!$B225,'TỔNG KLH + TN'!$C:$C,'01. TH'!I$4)</f>
        <v>0</v>
      </c>
      <c r="J225" s="126">
        <f>COUNTIFS('TỔNG KLH + TN'!$B:$B,'01. TH'!$B225,'TỔNG KLH + TN'!$C:$C,'01. TH'!J$4)</f>
        <v>0</v>
      </c>
      <c r="K225" s="126">
        <f>COUNTIFS('TỔNG KLH + TN'!$B:$B,'01. TH'!$B225,'TỔNG KLH + TN'!$C:$C,'01. TH'!K$4)</f>
        <v>0</v>
      </c>
      <c r="L225" s="126">
        <f>COUNTIFS('TỔNG KLH + TN'!$B:$B,'01. TH'!$B225,'TỔNG KLH + TN'!$C:$C,'01. TH'!L$4)</f>
        <v>0</v>
      </c>
      <c r="M225" s="126">
        <f>COUNTIFS('TỔNG KLH + TN'!$B:$B,'01. TH'!$B225,'TỔNG KLH + TN'!$C:$C,'01. TH'!M$4)</f>
        <v>0</v>
      </c>
      <c r="N225" s="126">
        <f>COUNTIFS('TỔNG KLH + TN'!$B:$B,'01. TH'!$B225,'TỔNG KLH + TN'!$C:$C,'01. TH'!N$4)</f>
        <v>0</v>
      </c>
      <c r="O225" s="126">
        <f>COUNTIFS('TỔNG KLH + TN'!$B:$B,'01. TH'!$B225,'TỔNG KLH + TN'!$C:$C,'01. TH'!O$4)</f>
        <v>0</v>
      </c>
      <c r="P225" s="126">
        <f>COUNTIFS('TỔNG KLH + TN'!$B:$B,'01. TH'!$B225,'TỔNG KLH + TN'!$C:$C,'01. TH'!P$4)</f>
        <v>1</v>
      </c>
      <c r="Q225" s="126">
        <f>COUNTIFS('TỔNG KLH + TN'!$B:$B,'01. TH'!$B225,'TỔNG KLH + TN'!$C:$C,'01. TH'!Q$4)</f>
        <v>0</v>
      </c>
      <c r="R225" s="126">
        <f>COUNTIFS('TỔNG KLH + TN'!$B:$B,'01. TH'!$B225,'TỔNG KLH + TN'!$C:$C,'01. TH'!R$4)</f>
        <v>0</v>
      </c>
      <c r="S225" s="126">
        <f>COUNTIFS('TỔNG KLH + TN'!$B:$B,'01. TH'!$B225,'TỔNG KLH + TN'!$C:$C,'01. TH'!S$4)</f>
        <v>0</v>
      </c>
      <c r="T225" s="126">
        <f>COUNTIFS('TỔNG KLH + TN'!$B:$B,'01. TH'!$B225,'TỔNG KLH + TN'!$C:$C,'01. TH'!T$4)</f>
        <v>0</v>
      </c>
      <c r="U225" s="126">
        <f>COUNTIFS('TỔNG KLH + TN'!$B:$B,'01. TH'!$B225,'TỔNG KLH + TN'!$C:$C,'01. TH'!U$4)</f>
        <v>0</v>
      </c>
      <c r="V225" s="126">
        <f>COUNTIFS('TỔNG KLH + TN'!$B:$B,'01. TH'!$B225,'TỔNG KLH + TN'!$C:$C,'01. TH'!V$4)</f>
        <v>0</v>
      </c>
      <c r="W225" s="126">
        <f>COUNTIFS('TỔNG KLH + TN'!$B:$B,'01. TH'!$B225,'TỔNG KLH + TN'!$C:$C,'01. TH'!W$4)</f>
        <v>0</v>
      </c>
      <c r="X225" s="126">
        <f>COUNTIFS('TỔNG KLH + TN'!$B:$B,'01. TH'!$B225,'TỔNG KLH + TN'!$C:$C,'01. TH'!X$4)</f>
        <v>0</v>
      </c>
      <c r="Y225" s="126">
        <f>COUNTIFS('TỔNG KLH + TN'!$B:$B,'01. TH'!$B225,'TỔNG KLH + TN'!$C:$C,'01. TH'!Y$4)</f>
        <v>0</v>
      </c>
      <c r="Z225" s="126">
        <f>COUNTIFS('TỔNG KLH + TN'!$B:$B,'01. TH'!$B225,'TỔNG KLH + TN'!$C:$C,'01. TH'!Z$4)</f>
        <v>0</v>
      </c>
      <c r="AA225" s="126">
        <f>COUNTIFS('TỔNG KLH + TN'!$B:$B,'01. TH'!$B225,'TỔNG KLH + TN'!$C:$C,'01. TH'!AA$4)</f>
        <v>0</v>
      </c>
      <c r="AB225" s="126">
        <f>COUNTIFS('TỔNG KLH + TN'!$B:$B,'01. TH'!$B225,'TỔNG KLH + TN'!$C:$C,'01. TH'!AB$4)</f>
        <v>0</v>
      </c>
      <c r="AC225" s="126">
        <f>COUNTIFS('TỔNG KLH + TN'!$B:$B,'01. TH'!$B225,'TỔNG KLH + TN'!$C:$C,'01. TH'!AC$4)</f>
        <v>0</v>
      </c>
      <c r="AD225" s="126">
        <f>COUNTIFS('TỔNG KLH + TN'!$B:$B,'01. TH'!$B225,'TỔNG KLH + TN'!$C:$C,'01. TH'!AD$4)</f>
        <v>0</v>
      </c>
      <c r="AE225" s="725">
        <f t="shared" si="48"/>
        <v>2</v>
      </c>
      <c r="AF225" s="725"/>
      <c r="AG225" s="70" t="str">
        <f t="shared" si="24"/>
        <v>ok</v>
      </c>
      <c r="AH225" s="726"/>
    </row>
    <row r="226" ht="18.75" hidden="1" customHeight="1" outlineLevel="1">
      <c r="A226" s="724"/>
      <c r="B226" s="719" t="s">
        <v>5871</v>
      </c>
      <c r="C226" s="124"/>
      <c r="D226" s="124"/>
      <c r="E226" s="124" t="s">
        <v>5837</v>
      </c>
      <c r="F226" s="126">
        <f>COUNTIFS('TỔNG KLH + TN'!$B:$B,'01. TH'!$B226,'TỔNG KLH + TN'!$C:$C,'01. TH'!F$4)</f>
        <v>0</v>
      </c>
      <c r="G226" s="126">
        <f>COUNTIFS('TỔNG KLH + TN'!$B:$B,'01. TH'!$B226,'TỔNG KLH + TN'!$C:$C,'01. TH'!G$4)</f>
        <v>0</v>
      </c>
      <c r="H226" s="126">
        <f>COUNTIFS('TỔNG KLH + TN'!$B:$B,'01. TH'!$B226,'TỔNG KLH + TN'!$C:$C,'01. TH'!H$4)</f>
        <v>0</v>
      </c>
      <c r="I226" s="126">
        <f>COUNTIFS('TỔNG KLH + TN'!$B:$B,'01. TH'!$B226,'TỔNG KLH + TN'!$C:$C,'01. TH'!I$4)</f>
        <v>0</v>
      </c>
      <c r="J226" s="126">
        <f>COUNTIFS('TỔNG KLH + TN'!$B:$B,'01. TH'!$B226,'TỔNG KLH + TN'!$C:$C,'01. TH'!J$4)</f>
        <v>0</v>
      </c>
      <c r="K226" s="126">
        <f>COUNTIFS('TỔNG KLH + TN'!$B:$B,'01. TH'!$B226,'TỔNG KLH + TN'!$C:$C,'01. TH'!K$4)</f>
        <v>0</v>
      </c>
      <c r="L226" s="126">
        <f>COUNTIFS('TỔNG KLH + TN'!$B:$B,'01. TH'!$B226,'TỔNG KLH + TN'!$C:$C,'01. TH'!L$4)</f>
        <v>0</v>
      </c>
      <c r="M226" s="126">
        <f>COUNTIFS('TỔNG KLH + TN'!$B:$B,'01. TH'!$B226,'TỔNG KLH + TN'!$C:$C,'01. TH'!M$4)</f>
        <v>0</v>
      </c>
      <c r="N226" s="126">
        <f>COUNTIFS('TỔNG KLH + TN'!$B:$B,'01. TH'!$B226,'TỔNG KLH + TN'!$C:$C,'01. TH'!N$4)</f>
        <v>0</v>
      </c>
      <c r="O226" s="126">
        <f>COUNTIFS('TỔNG KLH + TN'!$B:$B,'01. TH'!$B226,'TỔNG KLH + TN'!$C:$C,'01. TH'!O$4)</f>
        <v>0</v>
      </c>
      <c r="P226" s="126">
        <f>COUNTIFS('TỔNG KLH + TN'!$B:$B,'01. TH'!$B226,'TỔNG KLH + TN'!$C:$C,'01. TH'!P$4)</f>
        <v>0</v>
      </c>
      <c r="Q226" s="126">
        <f>COUNTIFS('TỔNG KLH + TN'!$B:$B,'01. TH'!$B226,'TỔNG KLH + TN'!$C:$C,'01. TH'!Q$4)</f>
        <v>0</v>
      </c>
      <c r="R226" s="126">
        <f>COUNTIFS('TỔNG KLH + TN'!$B:$B,'01. TH'!$B226,'TỔNG KLH + TN'!$C:$C,'01. TH'!R$4)</f>
        <v>0</v>
      </c>
      <c r="S226" s="126">
        <f>COUNTIFS('TỔNG KLH + TN'!$B:$B,'01. TH'!$B226,'TỔNG KLH + TN'!$C:$C,'01. TH'!S$4)</f>
        <v>0</v>
      </c>
      <c r="T226" s="126">
        <f>COUNTIFS('TỔNG KLH + TN'!$B:$B,'01. TH'!$B226,'TỔNG KLH + TN'!$C:$C,'01. TH'!T$4)</f>
        <v>0</v>
      </c>
      <c r="U226" s="126">
        <f>COUNTIFS('TỔNG KLH + TN'!$B:$B,'01. TH'!$B226,'TỔNG KLH + TN'!$C:$C,'01. TH'!U$4)</f>
        <v>0</v>
      </c>
      <c r="V226" s="126">
        <f>COUNTIFS('TỔNG KLH + TN'!$B:$B,'01. TH'!$B226,'TỔNG KLH + TN'!$C:$C,'01. TH'!V$4)</f>
        <v>0</v>
      </c>
      <c r="W226" s="126">
        <f>COUNTIFS('TỔNG KLH + TN'!$B:$B,'01. TH'!$B226,'TỔNG KLH + TN'!$C:$C,'01. TH'!W$4)</f>
        <v>0</v>
      </c>
      <c r="X226" s="126">
        <f>COUNTIFS('TỔNG KLH + TN'!$B:$B,'01. TH'!$B226,'TỔNG KLH + TN'!$C:$C,'01. TH'!X$4)</f>
        <v>0</v>
      </c>
      <c r="Y226" s="126">
        <f>COUNTIFS('TỔNG KLH + TN'!$B:$B,'01. TH'!$B226,'TỔNG KLH + TN'!$C:$C,'01. TH'!Y$4)</f>
        <v>0</v>
      </c>
      <c r="Z226" s="126">
        <f>COUNTIFS('TỔNG KLH + TN'!$B:$B,'01. TH'!$B226,'TỔNG KLH + TN'!$C:$C,'01. TH'!Z$4)</f>
        <v>0</v>
      </c>
      <c r="AA226" s="126">
        <f>COUNTIFS('TỔNG KLH + TN'!$B:$B,'01. TH'!$B226,'TỔNG KLH + TN'!$C:$C,'01. TH'!AA$4)</f>
        <v>0</v>
      </c>
      <c r="AB226" s="126">
        <f>COUNTIFS('TỔNG KLH + TN'!$B:$B,'01. TH'!$B226,'TỔNG KLH + TN'!$C:$C,'01. TH'!AB$4)</f>
        <v>0</v>
      </c>
      <c r="AC226" s="126">
        <f>COUNTIFS('TỔNG KLH + TN'!$B:$B,'01. TH'!$B226,'TỔNG KLH + TN'!$C:$C,'01. TH'!AC$4)</f>
        <v>0</v>
      </c>
      <c r="AD226" s="126">
        <f>COUNTIFS('TỔNG KLH + TN'!$B:$B,'01. TH'!$B226,'TỔNG KLH + TN'!$C:$C,'01. TH'!AD$4)</f>
        <v>0</v>
      </c>
      <c r="AE226" s="725">
        <f t="shared" si="48"/>
        <v>0</v>
      </c>
      <c r="AF226" s="725"/>
      <c r="AG226" s="70" t="str">
        <f t="shared" si="24"/>
        <v>ok</v>
      </c>
      <c r="AH226" s="726"/>
    </row>
    <row r="227" ht="18.75" hidden="1" customHeight="1" outlineLevel="1">
      <c r="A227" s="724"/>
      <c r="B227" s="719" t="s">
        <v>3812</v>
      </c>
      <c r="C227" s="124"/>
      <c r="D227" s="124"/>
      <c r="E227" s="124" t="s">
        <v>5837</v>
      </c>
      <c r="F227" s="126">
        <f>COUNTIFS('TỔNG KLH + TN'!$B:$B,'01. TH'!$B227,'TỔNG KLH + TN'!$C:$C,'01. TH'!F$4)</f>
        <v>0</v>
      </c>
      <c r="G227" s="126">
        <f>COUNTIFS('TỔNG KLH + TN'!$B:$B,'01. TH'!$B227,'TỔNG KLH + TN'!$C:$C,'01. TH'!G$4)</f>
        <v>0</v>
      </c>
      <c r="H227" s="126">
        <f>COUNTIFS('TỔNG KLH + TN'!$B:$B,'01. TH'!$B227,'TỔNG KLH + TN'!$C:$C,'01. TH'!H$4)</f>
        <v>0</v>
      </c>
      <c r="I227" s="126">
        <f>COUNTIFS('TỔNG KLH + TN'!$B:$B,'01. TH'!$B227,'TỔNG KLH + TN'!$C:$C,'01. TH'!I$4)</f>
        <v>0</v>
      </c>
      <c r="J227" s="126">
        <f>COUNTIFS('TỔNG KLH + TN'!$B:$B,'01. TH'!$B227,'TỔNG KLH + TN'!$C:$C,'01. TH'!J$4)</f>
        <v>0</v>
      </c>
      <c r="K227" s="126">
        <f>COUNTIFS('TỔNG KLH + TN'!$B:$B,'01. TH'!$B227,'TỔNG KLH + TN'!$C:$C,'01. TH'!K$4)</f>
        <v>0</v>
      </c>
      <c r="L227" s="126">
        <f>COUNTIFS('TỔNG KLH + TN'!$B:$B,'01. TH'!$B227,'TỔNG KLH + TN'!$C:$C,'01. TH'!L$4)</f>
        <v>0</v>
      </c>
      <c r="M227" s="126">
        <f>COUNTIFS('TỔNG KLH + TN'!$B:$B,'01. TH'!$B227,'TỔNG KLH + TN'!$C:$C,'01. TH'!M$4)</f>
        <v>0</v>
      </c>
      <c r="N227" s="126">
        <f>COUNTIFS('TỔNG KLH + TN'!$B:$B,'01. TH'!$B227,'TỔNG KLH + TN'!$C:$C,'01. TH'!N$4)</f>
        <v>0</v>
      </c>
      <c r="O227" s="126">
        <f>COUNTIFS('TỔNG KLH + TN'!$B:$B,'01. TH'!$B227,'TỔNG KLH + TN'!$C:$C,'01. TH'!O$4)</f>
        <v>0</v>
      </c>
      <c r="P227" s="126">
        <f>COUNTIFS('TỔNG KLH + TN'!$B:$B,'01. TH'!$B227,'TỔNG KLH + TN'!$C:$C,'01. TH'!P$4)</f>
        <v>1</v>
      </c>
      <c r="Q227" s="126">
        <f>COUNTIFS('TỔNG KLH + TN'!$B:$B,'01. TH'!$B227,'TỔNG KLH + TN'!$C:$C,'01. TH'!Q$4)</f>
        <v>0</v>
      </c>
      <c r="R227" s="126">
        <f>COUNTIFS('TỔNG KLH + TN'!$B:$B,'01. TH'!$B227,'TỔNG KLH + TN'!$C:$C,'01. TH'!R$4)</f>
        <v>0</v>
      </c>
      <c r="S227" s="126">
        <f>COUNTIFS('TỔNG KLH + TN'!$B:$B,'01. TH'!$B227,'TỔNG KLH + TN'!$C:$C,'01. TH'!S$4)</f>
        <v>0</v>
      </c>
      <c r="T227" s="126">
        <f>COUNTIFS('TỔNG KLH + TN'!$B:$B,'01. TH'!$B227,'TỔNG KLH + TN'!$C:$C,'01. TH'!T$4)</f>
        <v>0</v>
      </c>
      <c r="U227" s="126">
        <f>COUNTIFS('TỔNG KLH + TN'!$B:$B,'01. TH'!$B227,'TỔNG KLH + TN'!$C:$C,'01. TH'!U$4)</f>
        <v>0</v>
      </c>
      <c r="V227" s="126">
        <f>COUNTIFS('TỔNG KLH + TN'!$B:$B,'01. TH'!$B227,'TỔNG KLH + TN'!$C:$C,'01. TH'!V$4)</f>
        <v>0</v>
      </c>
      <c r="W227" s="126">
        <f>COUNTIFS('TỔNG KLH + TN'!$B:$B,'01. TH'!$B227,'TỔNG KLH + TN'!$C:$C,'01. TH'!W$4)</f>
        <v>0</v>
      </c>
      <c r="X227" s="126">
        <f>COUNTIFS('TỔNG KLH + TN'!$B:$B,'01. TH'!$B227,'TỔNG KLH + TN'!$C:$C,'01. TH'!X$4)</f>
        <v>0</v>
      </c>
      <c r="Y227" s="126">
        <f>COUNTIFS('TỔNG KLH + TN'!$B:$B,'01. TH'!$B227,'TỔNG KLH + TN'!$C:$C,'01. TH'!Y$4)</f>
        <v>0</v>
      </c>
      <c r="Z227" s="126">
        <f>COUNTIFS('TỔNG KLH + TN'!$B:$B,'01. TH'!$B227,'TỔNG KLH + TN'!$C:$C,'01. TH'!Z$4)</f>
        <v>0</v>
      </c>
      <c r="AA227" s="126">
        <f>COUNTIFS('TỔNG KLH + TN'!$B:$B,'01. TH'!$B227,'TỔNG KLH + TN'!$C:$C,'01. TH'!AA$4)</f>
        <v>0</v>
      </c>
      <c r="AB227" s="126">
        <f>COUNTIFS('TỔNG KLH + TN'!$B:$B,'01. TH'!$B227,'TỔNG KLH + TN'!$C:$C,'01. TH'!AB$4)</f>
        <v>0</v>
      </c>
      <c r="AC227" s="126">
        <f>COUNTIFS('TỔNG KLH + TN'!$B:$B,'01. TH'!$B227,'TỔNG KLH + TN'!$C:$C,'01. TH'!AC$4)</f>
        <v>0</v>
      </c>
      <c r="AD227" s="126">
        <f>COUNTIFS('TỔNG KLH + TN'!$B:$B,'01. TH'!$B227,'TỔNG KLH + TN'!$C:$C,'01. TH'!AD$4)</f>
        <v>0</v>
      </c>
      <c r="AE227" s="725">
        <f t="shared" si="48"/>
        <v>1</v>
      </c>
      <c r="AF227" s="725"/>
      <c r="AG227" s="70" t="str">
        <f t="shared" si="24"/>
        <v>ok</v>
      </c>
      <c r="AH227" s="726"/>
    </row>
    <row r="228" ht="18.75" hidden="1" customHeight="1" outlineLevel="1">
      <c r="A228" s="724"/>
      <c r="B228" s="719" t="s">
        <v>4497</v>
      </c>
      <c r="C228" s="124"/>
      <c r="D228" s="124"/>
      <c r="E228" s="124" t="s">
        <v>5837</v>
      </c>
      <c r="F228" s="126">
        <f>COUNTIFS('TỔNG KLH + TN'!$B:$B,'01. TH'!$B228,'TỔNG KLH + TN'!$C:$C,'01. TH'!F$4)</f>
        <v>0</v>
      </c>
      <c r="G228" s="126">
        <f>COUNTIFS('TỔNG KLH + TN'!$B:$B,'01. TH'!$B228,'TỔNG KLH + TN'!$C:$C,'01. TH'!G$4)</f>
        <v>0</v>
      </c>
      <c r="H228" s="126">
        <f>COUNTIFS('TỔNG KLH + TN'!$B:$B,'01. TH'!$B228,'TỔNG KLH + TN'!$C:$C,'01. TH'!H$4)</f>
        <v>0</v>
      </c>
      <c r="I228" s="126">
        <f>COUNTIFS('TỔNG KLH + TN'!$B:$B,'01. TH'!$B228,'TỔNG KLH + TN'!$C:$C,'01. TH'!I$4)</f>
        <v>0</v>
      </c>
      <c r="J228" s="126">
        <f>COUNTIFS('TỔNG KLH + TN'!$B:$B,'01. TH'!$B228,'TỔNG KLH + TN'!$C:$C,'01. TH'!J$4)</f>
        <v>0</v>
      </c>
      <c r="K228" s="126">
        <f>COUNTIFS('TỔNG KLH + TN'!$B:$B,'01. TH'!$B228,'TỔNG KLH + TN'!$C:$C,'01. TH'!K$4)</f>
        <v>0</v>
      </c>
      <c r="L228" s="126">
        <f>COUNTIFS('TỔNG KLH + TN'!$B:$B,'01. TH'!$B228,'TỔNG KLH + TN'!$C:$C,'01. TH'!L$4)</f>
        <v>0</v>
      </c>
      <c r="M228" s="126">
        <f>COUNTIFS('TỔNG KLH + TN'!$B:$B,'01. TH'!$B228,'TỔNG KLH + TN'!$C:$C,'01. TH'!M$4)</f>
        <v>0</v>
      </c>
      <c r="N228" s="126">
        <f>COUNTIFS('TỔNG KLH + TN'!$B:$B,'01. TH'!$B228,'TỔNG KLH + TN'!$C:$C,'01. TH'!N$4)</f>
        <v>0</v>
      </c>
      <c r="O228" s="126">
        <f>COUNTIFS('TỔNG KLH + TN'!$B:$B,'01. TH'!$B228,'TỔNG KLH + TN'!$C:$C,'01. TH'!O$4)</f>
        <v>0</v>
      </c>
      <c r="P228" s="126">
        <f>COUNTIFS('TỔNG KLH + TN'!$B:$B,'01. TH'!$B228,'TỔNG KLH + TN'!$C:$C,'01. TH'!P$4)</f>
        <v>0</v>
      </c>
      <c r="Q228" s="126">
        <f>COUNTIFS('TỔNG KLH + TN'!$B:$B,'01. TH'!$B228,'TỔNG KLH + TN'!$C:$C,'01. TH'!Q$4)</f>
        <v>1</v>
      </c>
      <c r="R228" s="126">
        <f>COUNTIFS('TỔNG KLH + TN'!$B:$B,'01. TH'!$B228,'TỔNG KLH + TN'!$C:$C,'01. TH'!R$4)</f>
        <v>1</v>
      </c>
      <c r="S228" s="126">
        <f>COUNTIFS('TỔNG KLH + TN'!$B:$B,'01. TH'!$B228,'TỔNG KLH + TN'!$C:$C,'01. TH'!S$4)</f>
        <v>0</v>
      </c>
      <c r="T228" s="126">
        <f>COUNTIFS('TỔNG KLH + TN'!$B:$B,'01. TH'!$B228,'TỔNG KLH + TN'!$C:$C,'01. TH'!T$4)</f>
        <v>0</v>
      </c>
      <c r="U228" s="126">
        <f>COUNTIFS('TỔNG KLH + TN'!$B:$B,'01. TH'!$B228,'TỔNG KLH + TN'!$C:$C,'01. TH'!U$4)</f>
        <v>9</v>
      </c>
      <c r="V228" s="126">
        <f>COUNTIFS('TỔNG KLH + TN'!$B:$B,'01. TH'!$B228,'TỔNG KLH + TN'!$C:$C,'01. TH'!V$4)</f>
        <v>0</v>
      </c>
      <c r="W228" s="126">
        <f>COUNTIFS('TỔNG KLH + TN'!$B:$B,'01. TH'!$B228,'TỔNG KLH + TN'!$C:$C,'01. TH'!W$4)</f>
        <v>0</v>
      </c>
      <c r="X228" s="126">
        <f>COUNTIFS('TỔNG KLH + TN'!$B:$B,'01. TH'!$B228,'TỔNG KLH + TN'!$C:$C,'01. TH'!X$4)</f>
        <v>0</v>
      </c>
      <c r="Y228" s="126">
        <f>COUNTIFS('TỔNG KLH + TN'!$B:$B,'01. TH'!$B228,'TỔNG KLH + TN'!$C:$C,'01. TH'!Y$4)</f>
        <v>0</v>
      </c>
      <c r="Z228" s="126">
        <f>COUNTIFS('TỔNG KLH + TN'!$B:$B,'01. TH'!$B228,'TỔNG KLH + TN'!$C:$C,'01. TH'!Z$4)</f>
        <v>0</v>
      </c>
      <c r="AA228" s="126">
        <f>COUNTIFS('TỔNG KLH + TN'!$B:$B,'01. TH'!$B228,'TỔNG KLH + TN'!$C:$C,'01. TH'!AA$4)</f>
        <v>0</v>
      </c>
      <c r="AB228" s="126">
        <f>COUNTIFS('TỔNG KLH + TN'!$B:$B,'01. TH'!$B228,'TỔNG KLH + TN'!$C:$C,'01. TH'!AB$4)</f>
        <v>0</v>
      </c>
      <c r="AC228" s="126">
        <f>COUNTIFS('TỔNG KLH + TN'!$B:$B,'01. TH'!$B228,'TỔNG KLH + TN'!$C:$C,'01. TH'!AC$4)</f>
        <v>0</v>
      </c>
      <c r="AD228" s="126">
        <f>COUNTIFS('TỔNG KLH + TN'!$B:$B,'01. TH'!$B228,'TỔNG KLH + TN'!$C:$C,'01. TH'!AD$4)</f>
        <v>0</v>
      </c>
      <c r="AE228" s="725">
        <f t="shared" si="48"/>
        <v>11</v>
      </c>
      <c r="AF228" s="725"/>
      <c r="AG228" s="70" t="str">
        <f t="shared" si="24"/>
        <v>ok</v>
      </c>
      <c r="AH228" s="726"/>
    </row>
    <row r="229" ht="18.75" hidden="1" customHeight="1" outlineLevel="1">
      <c r="A229" s="724"/>
      <c r="B229" s="709" t="s">
        <v>5419</v>
      </c>
      <c r="C229" s="124"/>
      <c r="D229" s="124" t="s">
        <v>5875</v>
      </c>
      <c r="E229" s="124" t="s">
        <v>5837</v>
      </c>
      <c r="F229" s="126">
        <f>COUNTIFS('TỔNG KLH + TN'!$B:$B,'01. TH'!$B229,'TỔNG KLH + TN'!$C:$C,'01. TH'!F$4)</f>
        <v>0</v>
      </c>
      <c r="G229" s="126">
        <f>COUNTIFS('TỔNG KLH + TN'!$B:$B,'01. TH'!$B229,'TỔNG KLH + TN'!$C:$C,'01. TH'!G$4)</f>
        <v>0</v>
      </c>
      <c r="H229" s="126">
        <f>COUNTIFS('TỔNG KLH + TN'!$B:$B,'01. TH'!$B229,'TỔNG KLH + TN'!$C:$C,'01. TH'!H$4)</f>
        <v>0</v>
      </c>
      <c r="I229" s="126">
        <f>COUNTIFS('TỔNG KLH + TN'!$B:$B,'01. TH'!$B229,'TỔNG KLH + TN'!$C:$C,'01. TH'!I$4)</f>
        <v>0</v>
      </c>
      <c r="J229" s="126">
        <f>COUNTIFS('TỔNG KLH + TN'!$B:$B,'01. TH'!$B229,'TỔNG KLH + TN'!$C:$C,'01. TH'!J$4)</f>
        <v>0</v>
      </c>
      <c r="K229" s="126">
        <f>COUNTIFS('TỔNG KLH + TN'!$B:$B,'01. TH'!$B229,'TỔNG KLH + TN'!$C:$C,'01. TH'!K$4)</f>
        <v>0</v>
      </c>
      <c r="L229" s="126">
        <f>COUNTIFS('TỔNG KLH + TN'!$B:$B,'01. TH'!$B229,'TỔNG KLH + TN'!$C:$C,'01. TH'!L$4)</f>
        <v>0</v>
      </c>
      <c r="M229" s="126">
        <f>COUNTIFS('TỔNG KLH + TN'!$B:$B,'01. TH'!$B229,'TỔNG KLH + TN'!$C:$C,'01. TH'!M$4)</f>
        <v>0</v>
      </c>
      <c r="N229" s="126">
        <f>COUNTIFS('TỔNG KLH + TN'!$B:$B,'01. TH'!$B229,'TỔNG KLH + TN'!$C:$C,'01. TH'!N$4)</f>
        <v>0</v>
      </c>
      <c r="O229" s="126">
        <f>COUNTIFS('TỔNG KLH + TN'!$B:$B,'01. TH'!$B229,'TỔNG KLH + TN'!$C:$C,'01. TH'!O$4)</f>
        <v>0</v>
      </c>
      <c r="P229" s="126">
        <f>COUNTIFS('TỔNG KLH + TN'!$B:$B,'01. TH'!$B229,'TỔNG KLH + TN'!$C:$C,'01. TH'!P$4)</f>
        <v>0</v>
      </c>
      <c r="Q229" s="126">
        <f>COUNTIFS('TỔNG KLH + TN'!$B:$B,'01. TH'!$B229,'TỔNG KLH + TN'!$C:$C,'01. TH'!Q$4)</f>
        <v>0</v>
      </c>
      <c r="R229" s="126">
        <f>COUNTIFS('TỔNG KLH + TN'!$B:$B,'01. TH'!$B229,'TỔNG KLH + TN'!$C:$C,'01. TH'!R$4)</f>
        <v>0</v>
      </c>
      <c r="S229" s="126">
        <f>COUNTIFS('TỔNG KLH + TN'!$B:$B,'01. TH'!$B229,'TỔNG KLH + TN'!$C:$C,'01. TH'!S$4)</f>
        <v>0</v>
      </c>
      <c r="T229" s="126">
        <f>COUNTIFS('TỔNG KLH + TN'!$B:$B,'01. TH'!$B229,'TỔNG KLH + TN'!$C:$C,'01. TH'!T$4)</f>
        <v>0</v>
      </c>
      <c r="U229" s="126">
        <f>COUNTIFS('TỔNG KLH + TN'!$B:$B,'01. TH'!$B229,'TỔNG KLH + TN'!$C:$C,'01. TH'!U$4)</f>
        <v>1</v>
      </c>
      <c r="V229" s="126">
        <f>COUNTIFS('TỔNG KLH + TN'!$B:$B,'01. TH'!$B229,'TỔNG KLH + TN'!$C:$C,'01. TH'!V$4)</f>
        <v>0</v>
      </c>
      <c r="W229" s="126">
        <f>COUNTIFS('TỔNG KLH + TN'!$B:$B,'01. TH'!$B229,'TỔNG KLH + TN'!$C:$C,'01. TH'!W$4)</f>
        <v>0</v>
      </c>
      <c r="X229" s="126">
        <f>COUNTIFS('TỔNG KLH + TN'!$B:$B,'01. TH'!$B229,'TỔNG KLH + TN'!$C:$C,'01. TH'!X$4)</f>
        <v>0</v>
      </c>
      <c r="Y229" s="126">
        <f>COUNTIFS('TỔNG KLH + TN'!$B:$B,'01. TH'!$B229,'TỔNG KLH + TN'!$C:$C,'01. TH'!Y$4)</f>
        <v>0</v>
      </c>
      <c r="Z229" s="126">
        <f>COUNTIFS('TỔNG KLH + TN'!$B:$B,'01. TH'!$B229,'TỔNG KLH + TN'!$C:$C,'01. TH'!Z$4)</f>
        <v>0</v>
      </c>
      <c r="AA229" s="126">
        <f>COUNTIFS('TỔNG KLH + TN'!$B:$B,'01. TH'!$B229,'TỔNG KLH + TN'!$C:$C,'01. TH'!AA$4)</f>
        <v>0</v>
      </c>
      <c r="AB229" s="126">
        <f>COUNTIFS('TỔNG KLH + TN'!$B:$B,'01. TH'!$B229,'TỔNG KLH + TN'!$C:$C,'01. TH'!AB$4)</f>
        <v>0</v>
      </c>
      <c r="AC229" s="126">
        <f>COUNTIFS('TỔNG KLH + TN'!$B:$B,'01. TH'!$B229,'TỔNG KLH + TN'!$C:$C,'01. TH'!AC$4)</f>
        <v>0</v>
      </c>
      <c r="AD229" s="126">
        <f>COUNTIFS('TỔNG KLH + TN'!$B:$B,'01. TH'!$B229,'TỔNG KLH + TN'!$C:$C,'01. TH'!AD$4)</f>
        <v>0</v>
      </c>
      <c r="AE229" s="725">
        <f t="shared" si="48"/>
        <v>1</v>
      </c>
      <c r="AF229" s="725"/>
      <c r="AG229" s="70" t="str">
        <f t="shared" si="24"/>
        <v>ok</v>
      </c>
      <c r="AH229" s="726"/>
    </row>
    <row r="230" ht="24.0" customHeight="1" collapsed="1">
      <c r="A230" s="70">
        <v>26.0</v>
      </c>
      <c r="B230" s="73" t="s">
        <v>5880</v>
      </c>
      <c r="C230" s="78"/>
      <c r="D230" s="78"/>
      <c r="E230" s="78"/>
      <c r="F230" s="172">
        <f t="shared" ref="F230:AE230" si="49">SUM(F231:F253)</f>
        <v>0</v>
      </c>
      <c r="G230" s="172">
        <f t="shared" si="49"/>
        <v>0</v>
      </c>
      <c r="H230" s="172">
        <f t="shared" si="49"/>
        <v>2</v>
      </c>
      <c r="I230" s="172">
        <f t="shared" si="49"/>
        <v>0</v>
      </c>
      <c r="J230" s="172">
        <f t="shared" si="49"/>
        <v>0</v>
      </c>
      <c r="K230" s="172">
        <f t="shared" si="49"/>
        <v>0</v>
      </c>
      <c r="L230" s="172">
        <f t="shared" si="49"/>
        <v>0</v>
      </c>
      <c r="M230" s="172">
        <f t="shared" si="49"/>
        <v>0</v>
      </c>
      <c r="N230" s="172">
        <f t="shared" si="49"/>
        <v>0</v>
      </c>
      <c r="O230" s="172">
        <f t="shared" si="49"/>
        <v>0</v>
      </c>
      <c r="P230" s="172">
        <f t="shared" si="49"/>
        <v>0</v>
      </c>
      <c r="Q230" s="172">
        <f t="shared" si="49"/>
        <v>0</v>
      </c>
      <c r="R230" s="172">
        <f t="shared" si="49"/>
        <v>0</v>
      </c>
      <c r="S230" s="172">
        <f t="shared" si="49"/>
        <v>0</v>
      </c>
      <c r="T230" s="172">
        <f t="shared" si="49"/>
        <v>0</v>
      </c>
      <c r="U230" s="172">
        <f t="shared" si="49"/>
        <v>39</v>
      </c>
      <c r="V230" s="172">
        <f t="shared" si="49"/>
        <v>0</v>
      </c>
      <c r="W230" s="172">
        <f t="shared" si="49"/>
        <v>0</v>
      </c>
      <c r="X230" s="172">
        <f t="shared" si="49"/>
        <v>0</v>
      </c>
      <c r="Y230" s="172">
        <f t="shared" si="49"/>
        <v>0</v>
      </c>
      <c r="Z230" s="172">
        <f t="shared" si="49"/>
        <v>0</v>
      </c>
      <c r="AA230" s="172">
        <f t="shared" si="49"/>
        <v>0</v>
      </c>
      <c r="AB230" s="172">
        <f t="shared" si="49"/>
        <v>0</v>
      </c>
      <c r="AC230" s="172">
        <f t="shared" si="49"/>
        <v>0</v>
      </c>
      <c r="AD230" s="172">
        <f t="shared" si="49"/>
        <v>0</v>
      </c>
      <c r="AE230" s="173">
        <f t="shared" si="49"/>
        <v>41</v>
      </c>
      <c r="AF230" s="174">
        <v>0.0</v>
      </c>
      <c r="AG230" s="70" t="str">
        <f t="shared" si="24"/>
        <v>ok</v>
      </c>
      <c r="AH230" s="120"/>
    </row>
    <row r="231" ht="18.75" hidden="1" customHeight="1" outlineLevel="1">
      <c r="A231" s="159"/>
      <c r="B231" s="742" t="s">
        <v>3985</v>
      </c>
      <c r="C231" s="743"/>
      <c r="D231" s="124" t="s">
        <v>5881</v>
      </c>
      <c r="E231" s="124" t="s">
        <v>5837</v>
      </c>
      <c r="F231" s="126">
        <f>COUNTIFS('TỔNG KLH + TN'!$B:$B,'01. TH'!$B231,'TỔNG KLH + TN'!$C:$C,'01. TH'!F$4)</f>
        <v>0</v>
      </c>
      <c r="G231" s="126">
        <f>COUNTIFS('TỔNG KLH + TN'!$B:$B,'01. TH'!$B231,'TỔNG KLH + TN'!$C:$C,'01. TH'!G$4)</f>
        <v>0</v>
      </c>
      <c r="H231" s="126">
        <f>COUNTIFS('TỔNG KLH + TN'!$B:$B,'01. TH'!$B231,'TỔNG KLH + TN'!$C:$C,'01. TH'!H$4)</f>
        <v>1</v>
      </c>
      <c r="I231" s="126">
        <f>COUNTIFS('TỔNG KLH + TN'!$B:$B,'01. TH'!$B231,'TỔNG KLH + TN'!$C:$C,'01. TH'!I$4)</f>
        <v>0</v>
      </c>
      <c r="J231" s="126">
        <f>COUNTIFS('TỔNG KLH + TN'!$B:$B,'01. TH'!$B231,'TỔNG KLH + TN'!$C:$C,'01. TH'!J$4)</f>
        <v>0</v>
      </c>
      <c r="K231" s="126">
        <f>COUNTIFS('TỔNG KLH + TN'!$B:$B,'01. TH'!$B231,'TỔNG KLH + TN'!$C:$C,'01. TH'!K$4)</f>
        <v>0</v>
      </c>
      <c r="L231" s="126">
        <f>COUNTIFS('TỔNG KLH + TN'!$B:$B,'01. TH'!$B231,'TỔNG KLH + TN'!$C:$C,'01. TH'!L$4)</f>
        <v>0</v>
      </c>
      <c r="M231" s="126">
        <f>COUNTIFS('TỔNG KLH + TN'!$B:$B,'01. TH'!$B231,'TỔNG KLH + TN'!$C:$C,'01. TH'!M$4)</f>
        <v>0</v>
      </c>
      <c r="N231" s="126">
        <f>COUNTIFS('TỔNG KLH + TN'!$B:$B,'01. TH'!$B231,'TỔNG KLH + TN'!$C:$C,'01. TH'!N$4)</f>
        <v>0</v>
      </c>
      <c r="O231" s="126">
        <f>COUNTIFS('TỔNG KLH + TN'!$B:$B,'01. TH'!$B231,'TỔNG KLH + TN'!$C:$C,'01. TH'!O$4)</f>
        <v>0</v>
      </c>
      <c r="P231" s="126">
        <f>COUNTIFS('TỔNG KLH + TN'!$B:$B,'01. TH'!$B231,'TỔNG KLH + TN'!$C:$C,'01. TH'!P$4)</f>
        <v>0</v>
      </c>
      <c r="Q231" s="126">
        <f>COUNTIFS('TỔNG KLH + TN'!$B:$B,'01. TH'!$B231,'TỔNG KLH + TN'!$C:$C,'01. TH'!Q$4)</f>
        <v>0</v>
      </c>
      <c r="R231" s="126">
        <f>COUNTIFS('TỔNG KLH + TN'!$B:$B,'01. TH'!$B231,'TỔNG KLH + TN'!$C:$C,'01. TH'!R$4)</f>
        <v>0</v>
      </c>
      <c r="S231" s="126">
        <f>COUNTIFS('TỔNG KLH + TN'!$B:$B,'01. TH'!$B231,'TỔNG KLH + TN'!$C:$C,'01. TH'!S$4)</f>
        <v>0</v>
      </c>
      <c r="T231" s="126">
        <f>COUNTIFS('TỔNG KLH + TN'!$B:$B,'01. TH'!$B231,'TỔNG KLH + TN'!$C:$C,'01. TH'!T$4)</f>
        <v>0</v>
      </c>
      <c r="U231" s="126">
        <f>COUNTIFS('TỔNG KLH + TN'!$B:$B,'01. TH'!$B231,'TỔNG KLH + TN'!$C:$C,'01. TH'!U$4)</f>
        <v>0</v>
      </c>
      <c r="V231" s="126">
        <f>COUNTIFS('TỔNG KLH + TN'!$B:$B,'01. TH'!$B231,'TỔNG KLH + TN'!$C:$C,'01. TH'!V$4)</f>
        <v>0</v>
      </c>
      <c r="W231" s="126">
        <f>COUNTIFS('TỔNG KLH + TN'!$B:$B,'01. TH'!$B231,'TỔNG KLH + TN'!$C:$C,'01. TH'!W$4)</f>
        <v>0</v>
      </c>
      <c r="X231" s="126">
        <f>COUNTIFS('TỔNG KLH + TN'!$B:$B,'01. TH'!$B231,'TỔNG KLH + TN'!$C:$C,'01. TH'!X$4)</f>
        <v>0</v>
      </c>
      <c r="Y231" s="126">
        <f>COUNTIFS('TỔNG KLH + TN'!$B:$B,'01. TH'!$B231,'TỔNG KLH + TN'!$C:$C,'01. TH'!Y$4)</f>
        <v>0</v>
      </c>
      <c r="Z231" s="126">
        <f>COUNTIFS('TỔNG KLH + TN'!$B:$B,'01. TH'!$B231,'TỔNG KLH + TN'!$C:$C,'01. TH'!Z$4)</f>
        <v>0</v>
      </c>
      <c r="AA231" s="126">
        <f>COUNTIFS('TỔNG KLH + TN'!$B:$B,'01. TH'!$B231,'TỔNG KLH + TN'!$C:$C,'01. TH'!AA$4)</f>
        <v>0</v>
      </c>
      <c r="AB231" s="126">
        <f>COUNTIFS('TỔNG KLH + TN'!$B:$B,'01. TH'!$B231,'TỔNG KLH + TN'!$C:$C,'01. TH'!AB$4)</f>
        <v>0</v>
      </c>
      <c r="AC231" s="126">
        <f>COUNTIFS('TỔNG KLH + TN'!$B:$B,'01. TH'!$B231,'TỔNG KLH + TN'!$C:$C,'01. TH'!AC$4)</f>
        <v>0</v>
      </c>
      <c r="AD231" s="126">
        <f>COUNTIFS('TỔNG KLH + TN'!$B:$B,'01. TH'!$B231,'TỔNG KLH + TN'!$C:$C,'01. TH'!AD$4)</f>
        <v>0</v>
      </c>
      <c r="AE231" s="162">
        <f t="shared" ref="AE231:AE253" si="50">SUM(F231:AD231)</f>
        <v>1</v>
      </c>
      <c r="AF231" s="162"/>
      <c r="AG231" s="70" t="str">
        <f t="shared" si="24"/>
        <v>ok</v>
      </c>
      <c r="AH231" s="163"/>
    </row>
    <row r="232" ht="18.75" hidden="1" customHeight="1" outlineLevel="1">
      <c r="A232" s="159"/>
      <c r="B232" s="122" t="s">
        <v>5514</v>
      </c>
      <c r="C232" s="124"/>
      <c r="D232" s="124" t="s">
        <v>5883</v>
      </c>
      <c r="E232" s="124" t="s">
        <v>5837</v>
      </c>
      <c r="F232" s="126">
        <f>COUNTIFS('TỔNG KLH + TN'!$B:$B,'01. TH'!$B232,'TỔNG KLH + TN'!$C:$C,'01. TH'!F$4)</f>
        <v>0</v>
      </c>
      <c r="G232" s="126">
        <f>COUNTIFS('TỔNG KLH + TN'!$B:$B,'01. TH'!$B232,'TỔNG KLH + TN'!$C:$C,'01. TH'!G$4)</f>
        <v>0</v>
      </c>
      <c r="H232" s="126">
        <f>COUNTIFS('TỔNG KLH + TN'!$B:$B,'01. TH'!$B232,'TỔNG KLH + TN'!$C:$C,'01. TH'!H$4)</f>
        <v>0</v>
      </c>
      <c r="I232" s="126">
        <f>COUNTIFS('TỔNG KLH + TN'!$B:$B,'01. TH'!$B232,'TỔNG KLH + TN'!$C:$C,'01. TH'!I$4)</f>
        <v>0</v>
      </c>
      <c r="J232" s="126">
        <f>COUNTIFS('TỔNG KLH + TN'!$B:$B,'01. TH'!$B232,'TỔNG KLH + TN'!$C:$C,'01. TH'!J$4)</f>
        <v>0</v>
      </c>
      <c r="K232" s="126">
        <f>COUNTIFS('TỔNG KLH + TN'!$B:$B,'01. TH'!$B232,'TỔNG KLH + TN'!$C:$C,'01. TH'!K$4)</f>
        <v>0</v>
      </c>
      <c r="L232" s="126">
        <f>COUNTIFS('TỔNG KLH + TN'!$B:$B,'01. TH'!$B232,'TỔNG KLH + TN'!$C:$C,'01. TH'!L$4)</f>
        <v>0</v>
      </c>
      <c r="M232" s="126">
        <f>COUNTIFS('TỔNG KLH + TN'!$B:$B,'01. TH'!$B232,'TỔNG KLH + TN'!$C:$C,'01. TH'!M$4)</f>
        <v>0</v>
      </c>
      <c r="N232" s="126">
        <f>COUNTIFS('TỔNG KLH + TN'!$B:$B,'01. TH'!$B232,'TỔNG KLH + TN'!$C:$C,'01. TH'!N$4)</f>
        <v>0</v>
      </c>
      <c r="O232" s="126">
        <f>COUNTIFS('TỔNG KLH + TN'!$B:$B,'01. TH'!$B232,'TỔNG KLH + TN'!$C:$C,'01. TH'!O$4)</f>
        <v>0</v>
      </c>
      <c r="P232" s="126">
        <f>COUNTIFS('TỔNG KLH + TN'!$B:$B,'01. TH'!$B232,'TỔNG KLH + TN'!$C:$C,'01. TH'!P$4)</f>
        <v>0</v>
      </c>
      <c r="Q232" s="126">
        <f>COUNTIFS('TỔNG KLH + TN'!$B:$B,'01. TH'!$B232,'TỔNG KLH + TN'!$C:$C,'01. TH'!Q$4)</f>
        <v>0</v>
      </c>
      <c r="R232" s="126">
        <f>COUNTIFS('TỔNG KLH + TN'!$B:$B,'01. TH'!$B232,'TỔNG KLH + TN'!$C:$C,'01. TH'!R$4)</f>
        <v>0</v>
      </c>
      <c r="S232" s="126">
        <f>COUNTIFS('TỔNG KLH + TN'!$B:$B,'01. TH'!$B232,'TỔNG KLH + TN'!$C:$C,'01. TH'!S$4)</f>
        <v>0</v>
      </c>
      <c r="T232" s="126">
        <f>COUNTIFS('TỔNG KLH + TN'!$B:$B,'01. TH'!$B232,'TỔNG KLH + TN'!$C:$C,'01. TH'!T$4)</f>
        <v>0</v>
      </c>
      <c r="U232" s="126">
        <f>COUNTIFS('TỔNG KLH + TN'!$B:$B,'01. TH'!$B232,'TỔNG KLH + TN'!$C:$C,'01. TH'!U$4)</f>
        <v>2</v>
      </c>
      <c r="V232" s="126">
        <f>COUNTIFS('TỔNG KLH + TN'!$B:$B,'01. TH'!$B232,'TỔNG KLH + TN'!$C:$C,'01. TH'!V$4)</f>
        <v>0</v>
      </c>
      <c r="W232" s="126">
        <f>COUNTIFS('TỔNG KLH + TN'!$B:$B,'01. TH'!$B232,'TỔNG KLH + TN'!$C:$C,'01. TH'!W$4)</f>
        <v>0</v>
      </c>
      <c r="X232" s="126">
        <f>COUNTIFS('TỔNG KLH + TN'!$B:$B,'01. TH'!$B232,'TỔNG KLH + TN'!$C:$C,'01. TH'!X$4)</f>
        <v>0</v>
      </c>
      <c r="Y232" s="126">
        <f>COUNTIFS('TỔNG KLH + TN'!$B:$B,'01. TH'!$B232,'TỔNG KLH + TN'!$C:$C,'01. TH'!Y$4)</f>
        <v>0</v>
      </c>
      <c r="Z232" s="126">
        <f>COUNTIFS('TỔNG KLH + TN'!$B:$B,'01. TH'!$B232,'TỔNG KLH + TN'!$C:$C,'01. TH'!Z$4)</f>
        <v>0</v>
      </c>
      <c r="AA232" s="126">
        <f>COUNTIFS('TỔNG KLH + TN'!$B:$B,'01. TH'!$B232,'TỔNG KLH + TN'!$C:$C,'01. TH'!AA$4)</f>
        <v>0</v>
      </c>
      <c r="AB232" s="126">
        <f>COUNTIFS('TỔNG KLH + TN'!$B:$B,'01. TH'!$B232,'TỔNG KLH + TN'!$C:$C,'01. TH'!AB$4)</f>
        <v>0</v>
      </c>
      <c r="AC232" s="126">
        <f>COUNTIFS('TỔNG KLH + TN'!$B:$B,'01. TH'!$B232,'TỔNG KLH + TN'!$C:$C,'01. TH'!AC$4)</f>
        <v>0</v>
      </c>
      <c r="AD232" s="126">
        <f>COUNTIFS('TỔNG KLH + TN'!$B:$B,'01. TH'!$B232,'TỔNG KLH + TN'!$C:$C,'01. TH'!AD$4)</f>
        <v>0</v>
      </c>
      <c r="AE232" s="162">
        <f t="shared" si="50"/>
        <v>2</v>
      </c>
      <c r="AF232" s="162"/>
      <c r="AG232" s="70" t="str">
        <f t="shared" si="24"/>
        <v>ok</v>
      </c>
      <c r="AH232" s="163"/>
    </row>
    <row r="233" ht="18.75" hidden="1" customHeight="1" outlineLevel="1">
      <c r="A233" s="159"/>
      <c r="B233" s="122" t="s">
        <v>5388</v>
      </c>
      <c r="C233" s="124"/>
      <c r="D233" s="124" t="s">
        <v>5403</v>
      </c>
      <c r="E233" s="124" t="s">
        <v>5837</v>
      </c>
      <c r="F233" s="126">
        <f>COUNTIFS('TỔNG KLH + TN'!$B:$B,'01. TH'!$B233,'TỔNG KLH + TN'!$C:$C,'01. TH'!F$4)</f>
        <v>0</v>
      </c>
      <c r="G233" s="126">
        <f>COUNTIFS('TỔNG KLH + TN'!$B:$B,'01. TH'!$B233,'TỔNG KLH + TN'!$C:$C,'01. TH'!G$4)</f>
        <v>0</v>
      </c>
      <c r="H233" s="126">
        <f>COUNTIFS('TỔNG KLH + TN'!$B:$B,'01. TH'!$B233,'TỔNG KLH + TN'!$C:$C,'01. TH'!H$4)</f>
        <v>0</v>
      </c>
      <c r="I233" s="126">
        <f>COUNTIFS('TỔNG KLH + TN'!$B:$B,'01. TH'!$B233,'TỔNG KLH + TN'!$C:$C,'01. TH'!I$4)</f>
        <v>0</v>
      </c>
      <c r="J233" s="126">
        <f>COUNTIFS('TỔNG KLH + TN'!$B:$B,'01. TH'!$B233,'TỔNG KLH + TN'!$C:$C,'01. TH'!J$4)</f>
        <v>0</v>
      </c>
      <c r="K233" s="126">
        <f>COUNTIFS('TỔNG KLH + TN'!$B:$B,'01. TH'!$B233,'TỔNG KLH + TN'!$C:$C,'01. TH'!K$4)</f>
        <v>0</v>
      </c>
      <c r="L233" s="126">
        <f>COUNTIFS('TỔNG KLH + TN'!$B:$B,'01. TH'!$B233,'TỔNG KLH + TN'!$C:$C,'01. TH'!L$4)</f>
        <v>0</v>
      </c>
      <c r="M233" s="126">
        <f>COUNTIFS('TỔNG KLH + TN'!$B:$B,'01. TH'!$B233,'TỔNG KLH + TN'!$C:$C,'01. TH'!M$4)</f>
        <v>0</v>
      </c>
      <c r="N233" s="126">
        <f>COUNTIFS('TỔNG KLH + TN'!$B:$B,'01. TH'!$B233,'TỔNG KLH + TN'!$C:$C,'01. TH'!N$4)</f>
        <v>0</v>
      </c>
      <c r="O233" s="126">
        <f>COUNTIFS('TỔNG KLH + TN'!$B:$B,'01. TH'!$B233,'TỔNG KLH + TN'!$C:$C,'01. TH'!O$4)</f>
        <v>0</v>
      </c>
      <c r="P233" s="126">
        <f>COUNTIFS('TỔNG KLH + TN'!$B:$B,'01. TH'!$B233,'TỔNG KLH + TN'!$C:$C,'01. TH'!P$4)</f>
        <v>0</v>
      </c>
      <c r="Q233" s="126">
        <f>COUNTIFS('TỔNG KLH + TN'!$B:$B,'01. TH'!$B233,'TỔNG KLH + TN'!$C:$C,'01. TH'!Q$4)</f>
        <v>0</v>
      </c>
      <c r="R233" s="126">
        <f>COUNTIFS('TỔNG KLH + TN'!$B:$B,'01. TH'!$B233,'TỔNG KLH + TN'!$C:$C,'01. TH'!R$4)</f>
        <v>0</v>
      </c>
      <c r="S233" s="126">
        <f>COUNTIFS('TỔNG KLH + TN'!$B:$B,'01. TH'!$B233,'TỔNG KLH + TN'!$C:$C,'01. TH'!S$4)</f>
        <v>0</v>
      </c>
      <c r="T233" s="126">
        <f>COUNTIFS('TỔNG KLH + TN'!$B:$B,'01. TH'!$B233,'TỔNG KLH + TN'!$C:$C,'01. TH'!T$4)</f>
        <v>0</v>
      </c>
      <c r="U233" s="126">
        <f>COUNTIFS('TỔNG KLH + TN'!$B:$B,'01. TH'!$B233,'TỔNG KLH + TN'!$C:$C,'01. TH'!U$4)</f>
        <v>2</v>
      </c>
      <c r="V233" s="126">
        <f>COUNTIFS('TỔNG KLH + TN'!$B:$B,'01. TH'!$B233,'TỔNG KLH + TN'!$C:$C,'01. TH'!V$4)</f>
        <v>0</v>
      </c>
      <c r="W233" s="126">
        <f>COUNTIFS('TỔNG KLH + TN'!$B:$B,'01. TH'!$B233,'TỔNG KLH + TN'!$C:$C,'01. TH'!W$4)</f>
        <v>0</v>
      </c>
      <c r="X233" s="126">
        <f>COUNTIFS('TỔNG KLH + TN'!$B:$B,'01. TH'!$B233,'TỔNG KLH + TN'!$C:$C,'01. TH'!X$4)</f>
        <v>0</v>
      </c>
      <c r="Y233" s="126">
        <f>COUNTIFS('TỔNG KLH + TN'!$B:$B,'01. TH'!$B233,'TỔNG KLH + TN'!$C:$C,'01. TH'!Y$4)</f>
        <v>0</v>
      </c>
      <c r="Z233" s="126">
        <f>COUNTIFS('TỔNG KLH + TN'!$B:$B,'01. TH'!$B233,'TỔNG KLH + TN'!$C:$C,'01. TH'!Z$4)</f>
        <v>0</v>
      </c>
      <c r="AA233" s="126">
        <f>COUNTIFS('TỔNG KLH + TN'!$B:$B,'01. TH'!$B233,'TỔNG KLH + TN'!$C:$C,'01. TH'!AA$4)</f>
        <v>0</v>
      </c>
      <c r="AB233" s="126">
        <f>COUNTIFS('TỔNG KLH + TN'!$B:$B,'01. TH'!$B233,'TỔNG KLH + TN'!$C:$C,'01. TH'!AB$4)</f>
        <v>0</v>
      </c>
      <c r="AC233" s="126">
        <f>COUNTIFS('TỔNG KLH + TN'!$B:$B,'01. TH'!$B233,'TỔNG KLH + TN'!$C:$C,'01. TH'!AC$4)</f>
        <v>0</v>
      </c>
      <c r="AD233" s="126">
        <f>COUNTIFS('TỔNG KLH + TN'!$B:$B,'01. TH'!$B233,'TỔNG KLH + TN'!$C:$C,'01. TH'!AD$4)</f>
        <v>0</v>
      </c>
      <c r="AE233" s="162">
        <f t="shared" si="50"/>
        <v>2</v>
      </c>
      <c r="AF233" s="162"/>
      <c r="AG233" s="70" t="str">
        <f t="shared" si="24"/>
        <v>ok</v>
      </c>
      <c r="AH233" s="163"/>
    </row>
    <row r="234" ht="18.75" hidden="1" customHeight="1" outlineLevel="1">
      <c r="A234" s="159"/>
      <c r="B234" s="122" t="s">
        <v>5401</v>
      </c>
      <c r="C234" s="124"/>
      <c r="D234" s="124" t="s">
        <v>5887</v>
      </c>
      <c r="E234" s="124" t="s">
        <v>5837</v>
      </c>
      <c r="F234" s="126">
        <f>COUNTIFS('TỔNG KLH + TN'!$B:$B,'01. TH'!$B234,'TỔNG KLH + TN'!$C:$C,'01. TH'!F$4)</f>
        <v>0</v>
      </c>
      <c r="G234" s="126">
        <f>COUNTIFS('TỔNG KLH + TN'!$B:$B,'01. TH'!$B234,'TỔNG KLH + TN'!$C:$C,'01. TH'!G$4)</f>
        <v>0</v>
      </c>
      <c r="H234" s="126">
        <f>COUNTIFS('TỔNG KLH + TN'!$B:$B,'01. TH'!$B234,'TỔNG KLH + TN'!$C:$C,'01. TH'!H$4)</f>
        <v>0</v>
      </c>
      <c r="I234" s="126">
        <f>COUNTIFS('TỔNG KLH + TN'!$B:$B,'01. TH'!$B234,'TỔNG KLH + TN'!$C:$C,'01. TH'!I$4)</f>
        <v>0</v>
      </c>
      <c r="J234" s="126">
        <f>COUNTIFS('TỔNG KLH + TN'!$B:$B,'01. TH'!$B234,'TỔNG KLH + TN'!$C:$C,'01. TH'!J$4)</f>
        <v>0</v>
      </c>
      <c r="K234" s="126">
        <f>COUNTIFS('TỔNG KLH + TN'!$B:$B,'01. TH'!$B234,'TỔNG KLH + TN'!$C:$C,'01. TH'!K$4)</f>
        <v>0</v>
      </c>
      <c r="L234" s="126">
        <f>COUNTIFS('TỔNG KLH + TN'!$B:$B,'01. TH'!$B234,'TỔNG KLH + TN'!$C:$C,'01. TH'!L$4)</f>
        <v>0</v>
      </c>
      <c r="M234" s="126">
        <f>COUNTIFS('TỔNG KLH + TN'!$B:$B,'01. TH'!$B234,'TỔNG KLH + TN'!$C:$C,'01. TH'!M$4)</f>
        <v>0</v>
      </c>
      <c r="N234" s="126">
        <f>COUNTIFS('TỔNG KLH + TN'!$B:$B,'01. TH'!$B234,'TỔNG KLH + TN'!$C:$C,'01. TH'!N$4)</f>
        <v>0</v>
      </c>
      <c r="O234" s="126">
        <f>COUNTIFS('TỔNG KLH + TN'!$B:$B,'01. TH'!$B234,'TỔNG KLH + TN'!$C:$C,'01. TH'!O$4)</f>
        <v>0</v>
      </c>
      <c r="P234" s="126">
        <f>COUNTIFS('TỔNG KLH + TN'!$B:$B,'01. TH'!$B234,'TỔNG KLH + TN'!$C:$C,'01. TH'!P$4)</f>
        <v>0</v>
      </c>
      <c r="Q234" s="126">
        <f>COUNTIFS('TỔNG KLH + TN'!$B:$B,'01. TH'!$B234,'TỔNG KLH + TN'!$C:$C,'01. TH'!Q$4)</f>
        <v>0</v>
      </c>
      <c r="R234" s="126">
        <f>COUNTIFS('TỔNG KLH + TN'!$B:$B,'01. TH'!$B234,'TỔNG KLH + TN'!$C:$C,'01. TH'!R$4)</f>
        <v>0</v>
      </c>
      <c r="S234" s="126">
        <f>COUNTIFS('TỔNG KLH + TN'!$B:$B,'01. TH'!$B234,'TỔNG KLH + TN'!$C:$C,'01. TH'!S$4)</f>
        <v>0</v>
      </c>
      <c r="T234" s="126">
        <f>COUNTIFS('TỔNG KLH + TN'!$B:$B,'01. TH'!$B234,'TỔNG KLH + TN'!$C:$C,'01. TH'!T$4)</f>
        <v>0</v>
      </c>
      <c r="U234" s="126">
        <f>COUNTIFS('TỔNG KLH + TN'!$B:$B,'01. TH'!$B234,'TỔNG KLH + TN'!$C:$C,'01. TH'!U$4)</f>
        <v>4</v>
      </c>
      <c r="V234" s="126">
        <f>COUNTIFS('TỔNG KLH + TN'!$B:$B,'01. TH'!$B234,'TỔNG KLH + TN'!$C:$C,'01. TH'!V$4)</f>
        <v>0</v>
      </c>
      <c r="W234" s="126">
        <f>COUNTIFS('TỔNG KLH + TN'!$B:$B,'01. TH'!$B234,'TỔNG KLH + TN'!$C:$C,'01. TH'!W$4)</f>
        <v>0</v>
      </c>
      <c r="X234" s="126">
        <f>COUNTIFS('TỔNG KLH + TN'!$B:$B,'01. TH'!$B234,'TỔNG KLH + TN'!$C:$C,'01. TH'!X$4)</f>
        <v>0</v>
      </c>
      <c r="Y234" s="126">
        <f>COUNTIFS('TỔNG KLH + TN'!$B:$B,'01. TH'!$B234,'TỔNG KLH + TN'!$C:$C,'01. TH'!Y$4)</f>
        <v>0</v>
      </c>
      <c r="Z234" s="126">
        <f>COUNTIFS('TỔNG KLH + TN'!$B:$B,'01. TH'!$B234,'TỔNG KLH + TN'!$C:$C,'01. TH'!Z$4)</f>
        <v>0</v>
      </c>
      <c r="AA234" s="126">
        <f>COUNTIFS('TỔNG KLH + TN'!$B:$B,'01. TH'!$B234,'TỔNG KLH + TN'!$C:$C,'01. TH'!AA$4)</f>
        <v>0</v>
      </c>
      <c r="AB234" s="126">
        <f>COUNTIFS('TỔNG KLH + TN'!$B:$B,'01. TH'!$B234,'TỔNG KLH + TN'!$C:$C,'01. TH'!AB$4)</f>
        <v>0</v>
      </c>
      <c r="AC234" s="126">
        <f>COUNTIFS('TỔNG KLH + TN'!$B:$B,'01. TH'!$B234,'TỔNG KLH + TN'!$C:$C,'01. TH'!AC$4)</f>
        <v>0</v>
      </c>
      <c r="AD234" s="126">
        <f>COUNTIFS('TỔNG KLH + TN'!$B:$B,'01. TH'!$B234,'TỔNG KLH + TN'!$C:$C,'01. TH'!AD$4)</f>
        <v>0</v>
      </c>
      <c r="AE234" s="162">
        <f t="shared" si="50"/>
        <v>4</v>
      </c>
      <c r="AF234" s="162"/>
      <c r="AG234" s="70" t="str">
        <f t="shared" si="24"/>
        <v>ok</v>
      </c>
      <c r="AH234" s="163"/>
    </row>
    <row r="235" ht="18.75" hidden="1" customHeight="1" outlineLevel="1">
      <c r="A235" s="159"/>
      <c r="B235" s="122" t="s">
        <v>5473</v>
      </c>
      <c r="C235" s="124"/>
      <c r="D235" s="124" t="s">
        <v>5889</v>
      </c>
      <c r="E235" s="124" t="s">
        <v>5837</v>
      </c>
      <c r="F235" s="126">
        <f>COUNTIFS('TỔNG KLH + TN'!$B:$B,'01. TH'!$B235,'TỔNG KLH + TN'!$C:$C,'01. TH'!F$4)</f>
        <v>0</v>
      </c>
      <c r="G235" s="126">
        <f>COUNTIFS('TỔNG KLH + TN'!$B:$B,'01. TH'!$B235,'TỔNG KLH + TN'!$C:$C,'01. TH'!G$4)</f>
        <v>0</v>
      </c>
      <c r="H235" s="126">
        <f>COUNTIFS('TỔNG KLH + TN'!$B:$B,'01. TH'!$B235,'TỔNG KLH + TN'!$C:$C,'01. TH'!H$4)</f>
        <v>0</v>
      </c>
      <c r="I235" s="126">
        <f>COUNTIFS('TỔNG KLH + TN'!$B:$B,'01. TH'!$B235,'TỔNG KLH + TN'!$C:$C,'01. TH'!I$4)</f>
        <v>0</v>
      </c>
      <c r="J235" s="126">
        <f>COUNTIFS('TỔNG KLH + TN'!$B:$B,'01. TH'!$B235,'TỔNG KLH + TN'!$C:$C,'01. TH'!J$4)</f>
        <v>0</v>
      </c>
      <c r="K235" s="126">
        <f>COUNTIFS('TỔNG KLH + TN'!$B:$B,'01. TH'!$B235,'TỔNG KLH + TN'!$C:$C,'01. TH'!K$4)</f>
        <v>0</v>
      </c>
      <c r="L235" s="126">
        <f>COUNTIFS('TỔNG KLH + TN'!$B:$B,'01. TH'!$B235,'TỔNG KLH + TN'!$C:$C,'01. TH'!L$4)</f>
        <v>0</v>
      </c>
      <c r="M235" s="126">
        <f>COUNTIFS('TỔNG KLH + TN'!$B:$B,'01. TH'!$B235,'TỔNG KLH + TN'!$C:$C,'01. TH'!M$4)</f>
        <v>0</v>
      </c>
      <c r="N235" s="126">
        <f>COUNTIFS('TỔNG KLH + TN'!$B:$B,'01. TH'!$B235,'TỔNG KLH + TN'!$C:$C,'01. TH'!N$4)</f>
        <v>0</v>
      </c>
      <c r="O235" s="126">
        <f>COUNTIFS('TỔNG KLH + TN'!$B:$B,'01. TH'!$B235,'TỔNG KLH + TN'!$C:$C,'01. TH'!O$4)</f>
        <v>0</v>
      </c>
      <c r="P235" s="126">
        <f>COUNTIFS('TỔNG KLH + TN'!$B:$B,'01. TH'!$B235,'TỔNG KLH + TN'!$C:$C,'01. TH'!P$4)</f>
        <v>0</v>
      </c>
      <c r="Q235" s="126">
        <f>COUNTIFS('TỔNG KLH + TN'!$B:$B,'01. TH'!$B235,'TỔNG KLH + TN'!$C:$C,'01. TH'!Q$4)</f>
        <v>0</v>
      </c>
      <c r="R235" s="126">
        <f>COUNTIFS('TỔNG KLH + TN'!$B:$B,'01. TH'!$B235,'TỔNG KLH + TN'!$C:$C,'01. TH'!R$4)</f>
        <v>0</v>
      </c>
      <c r="S235" s="126">
        <f>COUNTIFS('TỔNG KLH + TN'!$B:$B,'01. TH'!$B235,'TỔNG KLH + TN'!$C:$C,'01. TH'!S$4)</f>
        <v>0</v>
      </c>
      <c r="T235" s="126">
        <f>COUNTIFS('TỔNG KLH + TN'!$B:$B,'01. TH'!$B235,'TỔNG KLH + TN'!$C:$C,'01. TH'!T$4)</f>
        <v>0</v>
      </c>
      <c r="U235" s="126">
        <f>COUNTIFS('TỔNG KLH + TN'!$B:$B,'01. TH'!$B235,'TỔNG KLH + TN'!$C:$C,'01. TH'!U$4)</f>
        <v>1</v>
      </c>
      <c r="V235" s="126">
        <f>COUNTIFS('TỔNG KLH + TN'!$B:$B,'01. TH'!$B235,'TỔNG KLH + TN'!$C:$C,'01. TH'!V$4)</f>
        <v>0</v>
      </c>
      <c r="W235" s="126">
        <f>COUNTIFS('TỔNG KLH + TN'!$B:$B,'01. TH'!$B235,'TỔNG KLH + TN'!$C:$C,'01. TH'!W$4)</f>
        <v>0</v>
      </c>
      <c r="X235" s="126">
        <f>COUNTIFS('TỔNG KLH + TN'!$B:$B,'01. TH'!$B235,'TỔNG KLH + TN'!$C:$C,'01. TH'!X$4)</f>
        <v>0</v>
      </c>
      <c r="Y235" s="126">
        <f>COUNTIFS('TỔNG KLH + TN'!$B:$B,'01. TH'!$B235,'TỔNG KLH + TN'!$C:$C,'01. TH'!Y$4)</f>
        <v>0</v>
      </c>
      <c r="Z235" s="126">
        <f>COUNTIFS('TỔNG KLH + TN'!$B:$B,'01. TH'!$B235,'TỔNG KLH + TN'!$C:$C,'01. TH'!Z$4)</f>
        <v>0</v>
      </c>
      <c r="AA235" s="126">
        <f>COUNTIFS('TỔNG KLH + TN'!$B:$B,'01. TH'!$B235,'TỔNG KLH + TN'!$C:$C,'01. TH'!AA$4)</f>
        <v>0</v>
      </c>
      <c r="AB235" s="126">
        <f>COUNTIFS('TỔNG KLH + TN'!$B:$B,'01. TH'!$B235,'TỔNG KLH + TN'!$C:$C,'01. TH'!AB$4)</f>
        <v>0</v>
      </c>
      <c r="AC235" s="126">
        <f>COUNTIFS('TỔNG KLH + TN'!$B:$B,'01. TH'!$B235,'TỔNG KLH + TN'!$C:$C,'01. TH'!AC$4)</f>
        <v>0</v>
      </c>
      <c r="AD235" s="126">
        <f>COUNTIFS('TỔNG KLH + TN'!$B:$B,'01. TH'!$B235,'TỔNG KLH + TN'!$C:$C,'01. TH'!AD$4)</f>
        <v>0</v>
      </c>
      <c r="AE235" s="162">
        <f t="shared" si="50"/>
        <v>1</v>
      </c>
      <c r="AF235" s="162"/>
      <c r="AG235" s="70" t="str">
        <f t="shared" si="24"/>
        <v>ok</v>
      </c>
      <c r="AH235" s="163"/>
    </row>
    <row r="236" ht="18.75" hidden="1" customHeight="1" outlineLevel="1">
      <c r="A236" s="159"/>
      <c r="B236" s="122" t="s">
        <v>4926</v>
      </c>
      <c r="C236" s="124"/>
      <c r="D236" s="124" t="s">
        <v>5890</v>
      </c>
      <c r="E236" s="124" t="s">
        <v>5837</v>
      </c>
      <c r="F236" s="126">
        <f>COUNTIFS('TỔNG KLH + TN'!$B:$B,'01. TH'!$B236,'TỔNG KLH + TN'!$C:$C,'01. TH'!F$4)</f>
        <v>0</v>
      </c>
      <c r="G236" s="126">
        <f>COUNTIFS('TỔNG KLH + TN'!$B:$B,'01. TH'!$B236,'TỔNG KLH + TN'!$C:$C,'01. TH'!G$4)</f>
        <v>0</v>
      </c>
      <c r="H236" s="126">
        <f>COUNTIFS('TỔNG KLH + TN'!$B:$B,'01. TH'!$B236,'TỔNG KLH + TN'!$C:$C,'01. TH'!H$4)</f>
        <v>0</v>
      </c>
      <c r="I236" s="126">
        <f>COUNTIFS('TỔNG KLH + TN'!$B:$B,'01. TH'!$B236,'TỔNG KLH + TN'!$C:$C,'01. TH'!I$4)</f>
        <v>0</v>
      </c>
      <c r="J236" s="126">
        <f>COUNTIFS('TỔNG KLH + TN'!$B:$B,'01. TH'!$B236,'TỔNG KLH + TN'!$C:$C,'01. TH'!J$4)</f>
        <v>0</v>
      </c>
      <c r="K236" s="126">
        <f>COUNTIFS('TỔNG KLH + TN'!$B:$B,'01. TH'!$B236,'TỔNG KLH + TN'!$C:$C,'01. TH'!K$4)</f>
        <v>0</v>
      </c>
      <c r="L236" s="126">
        <f>COUNTIFS('TỔNG KLH + TN'!$B:$B,'01. TH'!$B236,'TỔNG KLH + TN'!$C:$C,'01. TH'!L$4)</f>
        <v>0</v>
      </c>
      <c r="M236" s="126">
        <f>COUNTIFS('TỔNG KLH + TN'!$B:$B,'01. TH'!$B236,'TỔNG KLH + TN'!$C:$C,'01. TH'!M$4)</f>
        <v>0</v>
      </c>
      <c r="N236" s="126">
        <f>COUNTIFS('TỔNG KLH + TN'!$B:$B,'01. TH'!$B236,'TỔNG KLH + TN'!$C:$C,'01. TH'!N$4)</f>
        <v>0</v>
      </c>
      <c r="O236" s="126">
        <f>COUNTIFS('TỔNG KLH + TN'!$B:$B,'01. TH'!$B236,'TỔNG KLH + TN'!$C:$C,'01. TH'!O$4)</f>
        <v>0</v>
      </c>
      <c r="P236" s="126">
        <f>COUNTIFS('TỔNG KLH + TN'!$B:$B,'01. TH'!$B236,'TỔNG KLH + TN'!$C:$C,'01. TH'!P$4)</f>
        <v>0</v>
      </c>
      <c r="Q236" s="126">
        <f>COUNTIFS('TỔNG KLH + TN'!$B:$B,'01. TH'!$B236,'TỔNG KLH + TN'!$C:$C,'01. TH'!Q$4)</f>
        <v>0</v>
      </c>
      <c r="R236" s="126">
        <f>COUNTIFS('TỔNG KLH + TN'!$B:$B,'01. TH'!$B236,'TỔNG KLH + TN'!$C:$C,'01. TH'!R$4)</f>
        <v>0</v>
      </c>
      <c r="S236" s="126">
        <f>COUNTIFS('TỔNG KLH + TN'!$B:$B,'01. TH'!$B236,'TỔNG KLH + TN'!$C:$C,'01. TH'!S$4)</f>
        <v>0</v>
      </c>
      <c r="T236" s="126">
        <f>COUNTIFS('TỔNG KLH + TN'!$B:$B,'01. TH'!$B236,'TỔNG KLH + TN'!$C:$C,'01. TH'!T$4)</f>
        <v>0</v>
      </c>
      <c r="U236" s="126">
        <f>COUNTIFS('TỔNG KLH + TN'!$B:$B,'01. TH'!$B236,'TỔNG KLH + TN'!$C:$C,'01. TH'!U$4)</f>
        <v>0</v>
      </c>
      <c r="V236" s="126">
        <f>COUNTIFS('TỔNG KLH + TN'!$B:$B,'01. TH'!$B236,'TỔNG KLH + TN'!$C:$C,'01. TH'!V$4)</f>
        <v>0</v>
      </c>
      <c r="W236" s="126">
        <f>COUNTIFS('TỔNG KLH + TN'!$B:$B,'01. TH'!$B236,'TỔNG KLH + TN'!$C:$C,'01. TH'!W$4)</f>
        <v>0</v>
      </c>
      <c r="X236" s="126">
        <f>COUNTIFS('TỔNG KLH + TN'!$B:$B,'01. TH'!$B236,'TỔNG KLH + TN'!$C:$C,'01. TH'!X$4)</f>
        <v>0</v>
      </c>
      <c r="Y236" s="126">
        <f>COUNTIFS('TỔNG KLH + TN'!$B:$B,'01. TH'!$B236,'TỔNG KLH + TN'!$C:$C,'01. TH'!Y$4)</f>
        <v>0</v>
      </c>
      <c r="Z236" s="126">
        <f>COUNTIFS('TỔNG KLH + TN'!$B:$B,'01. TH'!$B236,'TỔNG KLH + TN'!$C:$C,'01. TH'!Z$4)</f>
        <v>0</v>
      </c>
      <c r="AA236" s="126">
        <f>COUNTIFS('TỔNG KLH + TN'!$B:$B,'01. TH'!$B236,'TỔNG KLH + TN'!$C:$C,'01. TH'!AA$4)</f>
        <v>0</v>
      </c>
      <c r="AB236" s="126">
        <f>COUNTIFS('TỔNG KLH + TN'!$B:$B,'01. TH'!$B236,'TỔNG KLH + TN'!$C:$C,'01. TH'!AB$4)</f>
        <v>0</v>
      </c>
      <c r="AC236" s="126">
        <f>COUNTIFS('TỔNG KLH + TN'!$B:$B,'01. TH'!$B236,'TỔNG KLH + TN'!$C:$C,'01. TH'!AC$4)</f>
        <v>0</v>
      </c>
      <c r="AD236" s="126">
        <f>COUNTIFS('TỔNG KLH + TN'!$B:$B,'01. TH'!$B236,'TỔNG KLH + TN'!$C:$C,'01. TH'!AD$4)</f>
        <v>0</v>
      </c>
      <c r="AE236" s="162">
        <f t="shared" si="50"/>
        <v>0</v>
      </c>
      <c r="AF236" s="162"/>
      <c r="AG236" s="70" t="str">
        <f t="shared" si="24"/>
        <v>ok</v>
      </c>
      <c r="AH236" s="163"/>
    </row>
    <row r="237" ht="18.75" hidden="1" customHeight="1" outlineLevel="1">
      <c r="A237" s="724"/>
      <c r="B237" s="709" t="s">
        <v>5019</v>
      </c>
      <c r="C237" s="124"/>
      <c r="D237" s="124" t="s">
        <v>5893</v>
      </c>
      <c r="E237" s="124" t="s">
        <v>5837</v>
      </c>
      <c r="F237" s="126">
        <f>COUNTIFS('TỔNG KLH + TN'!$B:$B,'01. TH'!$B237,'TỔNG KLH + TN'!$C:$C,'01. TH'!F$4)</f>
        <v>0</v>
      </c>
      <c r="G237" s="126">
        <f>COUNTIFS('TỔNG KLH + TN'!$B:$B,'01. TH'!$B237,'TỔNG KLH + TN'!$C:$C,'01. TH'!G$4)</f>
        <v>0</v>
      </c>
      <c r="H237" s="126">
        <f>COUNTIFS('TỔNG KLH + TN'!$B:$B,'01. TH'!$B237,'TỔNG KLH + TN'!$C:$C,'01. TH'!H$4)</f>
        <v>0</v>
      </c>
      <c r="I237" s="126">
        <f>COUNTIFS('TỔNG KLH + TN'!$B:$B,'01. TH'!$B237,'TỔNG KLH + TN'!$C:$C,'01. TH'!I$4)</f>
        <v>0</v>
      </c>
      <c r="J237" s="126">
        <f>COUNTIFS('TỔNG KLH + TN'!$B:$B,'01. TH'!$B237,'TỔNG KLH + TN'!$C:$C,'01. TH'!J$4)</f>
        <v>0</v>
      </c>
      <c r="K237" s="126">
        <f>COUNTIFS('TỔNG KLH + TN'!$B:$B,'01. TH'!$B237,'TỔNG KLH + TN'!$C:$C,'01. TH'!K$4)</f>
        <v>0</v>
      </c>
      <c r="L237" s="126">
        <f>COUNTIFS('TỔNG KLH + TN'!$B:$B,'01. TH'!$B237,'TỔNG KLH + TN'!$C:$C,'01. TH'!L$4)</f>
        <v>0</v>
      </c>
      <c r="M237" s="126">
        <f>COUNTIFS('TỔNG KLH + TN'!$B:$B,'01. TH'!$B237,'TỔNG KLH + TN'!$C:$C,'01. TH'!M$4)</f>
        <v>0</v>
      </c>
      <c r="N237" s="126">
        <f>COUNTIFS('TỔNG KLH + TN'!$B:$B,'01. TH'!$B237,'TỔNG KLH + TN'!$C:$C,'01. TH'!N$4)</f>
        <v>0</v>
      </c>
      <c r="O237" s="126">
        <f>COUNTIFS('TỔNG KLH + TN'!$B:$B,'01. TH'!$B237,'TỔNG KLH + TN'!$C:$C,'01. TH'!O$4)</f>
        <v>0</v>
      </c>
      <c r="P237" s="126">
        <f>COUNTIFS('TỔNG KLH + TN'!$B:$B,'01. TH'!$B237,'TỔNG KLH + TN'!$C:$C,'01. TH'!P$4)</f>
        <v>0</v>
      </c>
      <c r="Q237" s="126">
        <f>COUNTIFS('TỔNG KLH + TN'!$B:$B,'01. TH'!$B237,'TỔNG KLH + TN'!$C:$C,'01. TH'!Q$4)</f>
        <v>0</v>
      </c>
      <c r="R237" s="126">
        <f>COUNTIFS('TỔNG KLH + TN'!$B:$B,'01. TH'!$B237,'TỔNG KLH + TN'!$C:$C,'01. TH'!R$4)</f>
        <v>0</v>
      </c>
      <c r="S237" s="126">
        <f>COUNTIFS('TỔNG KLH + TN'!$B:$B,'01. TH'!$B237,'TỔNG KLH + TN'!$C:$C,'01. TH'!S$4)</f>
        <v>0</v>
      </c>
      <c r="T237" s="126">
        <f>COUNTIFS('TỔNG KLH + TN'!$B:$B,'01. TH'!$B237,'TỔNG KLH + TN'!$C:$C,'01. TH'!T$4)</f>
        <v>0</v>
      </c>
      <c r="U237" s="126">
        <f>COUNTIFS('TỔNG KLH + TN'!$B:$B,'01. TH'!$B237,'TỔNG KLH + TN'!$C:$C,'01. TH'!U$4)</f>
        <v>1</v>
      </c>
      <c r="V237" s="126">
        <f>COUNTIFS('TỔNG KLH + TN'!$B:$B,'01. TH'!$B237,'TỔNG KLH + TN'!$C:$C,'01. TH'!V$4)</f>
        <v>0</v>
      </c>
      <c r="W237" s="126">
        <f>COUNTIFS('TỔNG KLH + TN'!$B:$B,'01. TH'!$B237,'TỔNG KLH + TN'!$C:$C,'01. TH'!W$4)</f>
        <v>0</v>
      </c>
      <c r="X237" s="126">
        <f>COUNTIFS('TỔNG KLH + TN'!$B:$B,'01. TH'!$B237,'TỔNG KLH + TN'!$C:$C,'01. TH'!X$4)</f>
        <v>0</v>
      </c>
      <c r="Y237" s="126">
        <f>COUNTIFS('TỔNG KLH + TN'!$B:$B,'01. TH'!$B237,'TỔNG KLH + TN'!$C:$C,'01. TH'!Y$4)</f>
        <v>0</v>
      </c>
      <c r="Z237" s="126">
        <f>COUNTIFS('TỔNG KLH + TN'!$B:$B,'01. TH'!$B237,'TỔNG KLH + TN'!$C:$C,'01. TH'!Z$4)</f>
        <v>0</v>
      </c>
      <c r="AA237" s="126">
        <f>COUNTIFS('TỔNG KLH + TN'!$B:$B,'01. TH'!$B237,'TỔNG KLH + TN'!$C:$C,'01. TH'!AA$4)</f>
        <v>0</v>
      </c>
      <c r="AB237" s="126">
        <f>COUNTIFS('TỔNG KLH + TN'!$B:$B,'01. TH'!$B237,'TỔNG KLH + TN'!$C:$C,'01. TH'!AB$4)</f>
        <v>0</v>
      </c>
      <c r="AC237" s="126">
        <f>COUNTIFS('TỔNG KLH + TN'!$B:$B,'01. TH'!$B237,'TỔNG KLH + TN'!$C:$C,'01. TH'!AC$4)</f>
        <v>0</v>
      </c>
      <c r="AD237" s="126">
        <f>COUNTIFS('TỔNG KLH + TN'!$B:$B,'01. TH'!$B237,'TỔNG KLH + TN'!$C:$C,'01. TH'!AD$4)</f>
        <v>0</v>
      </c>
      <c r="AE237" s="725">
        <f t="shared" si="50"/>
        <v>1</v>
      </c>
      <c r="AF237" s="725"/>
      <c r="AG237" s="70" t="str">
        <f t="shared" si="24"/>
        <v>ok</v>
      </c>
      <c r="AH237" s="726"/>
    </row>
    <row r="238" ht="18.75" hidden="1" customHeight="1" outlineLevel="1">
      <c r="A238" s="724"/>
      <c r="B238" s="709" t="s">
        <v>3985</v>
      </c>
      <c r="C238" s="124"/>
      <c r="D238" s="124" t="s">
        <v>5894</v>
      </c>
      <c r="E238" s="124" t="s">
        <v>5837</v>
      </c>
      <c r="F238" s="126">
        <f>COUNTIFS('TỔNG KLH + TN'!$B:$B,'01. TH'!$B238,'TỔNG KLH + TN'!$C:$C,'01. TH'!F$4)</f>
        <v>0</v>
      </c>
      <c r="G238" s="126">
        <f>COUNTIFS('TỔNG KLH + TN'!$B:$B,'01. TH'!$B238,'TỔNG KLH + TN'!$C:$C,'01. TH'!G$4)</f>
        <v>0</v>
      </c>
      <c r="H238" s="126">
        <f>COUNTIFS('TỔNG KLH + TN'!$B:$B,'01. TH'!$B238,'TỔNG KLH + TN'!$C:$C,'01. TH'!H$4)</f>
        <v>1</v>
      </c>
      <c r="I238" s="126">
        <f>COUNTIFS('TỔNG KLH + TN'!$B:$B,'01. TH'!$B238,'TỔNG KLH + TN'!$C:$C,'01. TH'!I$4)</f>
        <v>0</v>
      </c>
      <c r="J238" s="126">
        <f>COUNTIFS('TỔNG KLH + TN'!$B:$B,'01. TH'!$B238,'TỔNG KLH + TN'!$C:$C,'01. TH'!J$4)</f>
        <v>0</v>
      </c>
      <c r="K238" s="126">
        <f>COUNTIFS('TỔNG KLH + TN'!$B:$B,'01. TH'!$B238,'TỔNG KLH + TN'!$C:$C,'01. TH'!K$4)</f>
        <v>0</v>
      </c>
      <c r="L238" s="126">
        <f>COUNTIFS('TỔNG KLH + TN'!$B:$B,'01. TH'!$B238,'TỔNG KLH + TN'!$C:$C,'01. TH'!L$4)</f>
        <v>0</v>
      </c>
      <c r="M238" s="126">
        <f>COUNTIFS('TỔNG KLH + TN'!$B:$B,'01. TH'!$B238,'TỔNG KLH + TN'!$C:$C,'01. TH'!M$4)</f>
        <v>0</v>
      </c>
      <c r="N238" s="126">
        <f>COUNTIFS('TỔNG KLH + TN'!$B:$B,'01. TH'!$B238,'TỔNG KLH + TN'!$C:$C,'01. TH'!N$4)</f>
        <v>0</v>
      </c>
      <c r="O238" s="126">
        <f>COUNTIFS('TỔNG KLH + TN'!$B:$B,'01. TH'!$B238,'TỔNG KLH + TN'!$C:$C,'01. TH'!O$4)</f>
        <v>0</v>
      </c>
      <c r="P238" s="126">
        <f>COUNTIFS('TỔNG KLH + TN'!$B:$B,'01. TH'!$B238,'TỔNG KLH + TN'!$C:$C,'01. TH'!P$4)</f>
        <v>0</v>
      </c>
      <c r="Q238" s="126">
        <f>COUNTIFS('TỔNG KLH + TN'!$B:$B,'01. TH'!$B238,'TỔNG KLH + TN'!$C:$C,'01. TH'!Q$4)</f>
        <v>0</v>
      </c>
      <c r="R238" s="126">
        <f>COUNTIFS('TỔNG KLH + TN'!$B:$B,'01. TH'!$B238,'TỔNG KLH + TN'!$C:$C,'01. TH'!R$4)</f>
        <v>0</v>
      </c>
      <c r="S238" s="126">
        <f>COUNTIFS('TỔNG KLH + TN'!$B:$B,'01. TH'!$B238,'TỔNG KLH + TN'!$C:$C,'01. TH'!S$4)</f>
        <v>0</v>
      </c>
      <c r="T238" s="126">
        <f>COUNTIFS('TỔNG KLH + TN'!$B:$B,'01. TH'!$B238,'TỔNG KLH + TN'!$C:$C,'01. TH'!T$4)</f>
        <v>0</v>
      </c>
      <c r="U238" s="126">
        <f>COUNTIFS('TỔNG KLH + TN'!$B:$B,'01. TH'!$B238,'TỔNG KLH + TN'!$C:$C,'01. TH'!U$4)</f>
        <v>0</v>
      </c>
      <c r="V238" s="126">
        <f>COUNTIFS('TỔNG KLH + TN'!$B:$B,'01. TH'!$B238,'TỔNG KLH + TN'!$C:$C,'01. TH'!V$4)</f>
        <v>0</v>
      </c>
      <c r="W238" s="126">
        <f>COUNTIFS('TỔNG KLH + TN'!$B:$B,'01. TH'!$B238,'TỔNG KLH + TN'!$C:$C,'01. TH'!W$4)</f>
        <v>0</v>
      </c>
      <c r="X238" s="126">
        <f>COUNTIFS('TỔNG KLH + TN'!$B:$B,'01. TH'!$B238,'TỔNG KLH + TN'!$C:$C,'01. TH'!X$4)</f>
        <v>0</v>
      </c>
      <c r="Y238" s="126">
        <f>COUNTIFS('TỔNG KLH + TN'!$B:$B,'01. TH'!$B238,'TỔNG KLH + TN'!$C:$C,'01. TH'!Y$4)</f>
        <v>0</v>
      </c>
      <c r="Z238" s="126">
        <f>COUNTIFS('TỔNG KLH + TN'!$B:$B,'01. TH'!$B238,'TỔNG KLH + TN'!$C:$C,'01. TH'!Z$4)</f>
        <v>0</v>
      </c>
      <c r="AA238" s="126">
        <f>COUNTIFS('TỔNG KLH + TN'!$B:$B,'01. TH'!$B238,'TỔNG KLH + TN'!$C:$C,'01. TH'!AA$4)</f>
        <v>0</v>
      </c>
      <c r="AB238" s="126">
        <f>COUNTIFS('TỔNG KLH + TN'!$B:$B,'01. TH'!$B238,'TỔNG KLH + TN'!$C:$C,'01. TH'!AB$4)</f>
        <v>0</v>
      </c>
      <c r="AC238" s="126">
        <f>COUNTIFS('TỔNG KLH + TN'!$B:$B,'01. TH'!$B238,'TỔNG KLH + TN'!$C:$C,'01. TH'!AC$4)</f>
        <v>0</v>
      </c>
      <c r="AD238" s="126">
        <f>COUNTIFS('TỔNG KLH + TN'!$B:$B,'01. TH'!$B238,'TỔNG KLH + TN'!$C:$C,'01. TH'!AD$4)</f>
        <v>0</v>
      </c>
      <c r="AE238" s="725">
        <f t="shared" si="50"/>
        <v>1</v>
      </c>
      <c r="AF238" s="725"/>
      <c r="AG238" s="70" t="str">
        <f t="shared" si="24"/>
        <v>ok</v>
      </c>
      <c r="AH238" s="726"/>
    </row>
    <row r="239" ht="18.75" hidden="1" customHeight="1" outlineLevel="1">
      <c r="A239" s="724"/>
      <c r="B239" s="709" t="s">
        <v>5488</v>
      </c>
      <c r="C239" s="124"/>
      <c r="D239" s="124" t="s">
        <v>5895</v>
      </c>
      <c r="E239" s="124" t="s">
        <v>5837</v>
      </c>
      <c r="F239" s="126">
        <f>COUNTIFS('TỔNG KLH + TN'!$B:$B,'01. TH'!$B239,'TỔNG KLH + TN'!$C:$C,'01. TH'!F$4)</f>
        <v>0</v>
      </c>
      <c r="G239" s="126">
        <f>COUNTIFS('TỔNG KLH + TN'!$B:$B,'01. TH'!$B239,'TỔNG KLH + TN'!$C:$C,'01. TH'!G$4)</f>
        <v>0</v>
      </c>
      <c r="H239" s="126">
        <f>COUNTIFS('TỔNG KLH + TN'!$B:$B,'01. TH'!$B239,'TỔNG KLH + TN'!$C:$C,'01. TH'!H$4)</f>
        <v>0</v>
      </c>
      <c r="I239" s="126">
        <f>COUNTIFS('TỔNG KLH + TN'!$B:$B,'01. TH'!$B239,'TỔNG KLH + TN'!$C:$C,'01. TH'!I$4)</f>
        <v>0</v>
      </c>
      <c r="J239" s="126">
        <f>COUNTIFS('TỔNG KLH + TN'!$B:$B,'01. TH'!$B239,'TỔNG KLH + TN'!$C:$C,'01. TH'!J$4)</f>
        <v>0</v>
      </c>
      <c r="K239" s="126">
        <f>COUNTIFS('TỔNG KLH + TN'!$B:$B,'01. TH'!$B239,'TỔNG KLH + TN'!$C:$C,'01. TH'!K$4)</f>
        <v>0</v>
      </c>
      <c r="L239" s="126">
        <f>COUNTIFS('TỔNG KLH + TN'!$B:$B,'01. TH'!$B239,'TỔNG KLH + TN'!$C:$C,'01. TH'!L$4)</f>
        <v>0</v>
      </c>
      <c r="M239" s="126">
        <f>COUNTIFS('TỔNG KLH + TN'!$B:$B,'01. TH'!$B239,'TỔNG KLH + TN'!$C:$C,'01. TH'!M$4)</f>
        <v>0</v>
      </c>
      <c r="N239" s="126">
        <f>COUNTIFS('TỔNG KLH + TN'!$B:$B,'01. TH'!$B239,'TỔNG KLH + TN'!$C:$C,'01. TH'!N$4)</f>
        <v>0</v>
      </c>
      <c r="O239" s="126">
        <f>COUNTIFS('TỔNG KLH + TN'!$B:$B,'01. TH'!$B239,'TỔNG KLH + TN'!$C:$C,'01. TH'!O$4)</f>
        <v>0</v>
      </c>
      <c r="P239" s="126">
        <f>COUNTIFS('TỔNG KLH + TN'!$B:$B,'01. TH'!$B239,'TỔNG KLH + TN'!$C:$C,'01. TH'!P$4)</f>
        <v>0</v>
      </c>
      <c r="Q239" s="126">
        <f>COUNTIFS('TỔNG KLH + TN'!$B:$B,'01. TH'!$B239,'TỔNG KLH + TN'!$C:$C,'01. TH'!Q$4)</f>
        <v>0</v>
      </c>
      <c r="R239" s="126">
        <f>COUNTIFS('TỔNG KLH + TN'!$B:$B,'01. TH'!$B239,'TỔNG KLH + TN'!$C:$C,'01. TH'!R$4)</f>
        <v>0</v>
      </c>
      <c r="S239" s="126">
        <f>COUNTIFS('TỔNG KLH + TN'!$B:$B,'01. TH'!$B239,'TỔNG KLH + TN'!$C:$C,'01. TH'!S$4)</f>
        <v>0</v>
      </c>
      <c r="T239" s="126">
        <f>COUNTIFS('TỔNG KLH + TN'!$B:$B,'01. TH'!$B239,'TỔNG KLH + TN'!$C:$C,'01. TH'!T$4)</f>
        <v>0</v>
      </c>
      <c r="U239" s="126">
        <f>COUNTIFS('TỔNG KLH + TN'!$B:$B,'01. TH'!$B239,'TỔNG KLH + TN'!$C:$C,'01. TH'!U$4)</f>
        <v>2</v>
      </c>
      <c r="V239" s="126">
        <f>COUNTIFS('TỔNG KLH + TN'!$B:$B,'01. TH'!$B239,'TỔNG KLH + TN'!$C:$C,'01. TH'!V$4)</f>
        <v>0</v>
      </c>
      <c r="W239" s="126">
        <f>COUNTIFS('TỔNG KLH + TN'!$B:$B,'01. TH'!$B239,'TỔNG KLH + TN'!$C:$C,'01. TH'!W$4)</f>
        <v>0</v>
      </c>
      <c r="X239" s="126">
        <f>COUNTIFS('TỔNG KLH + TN'!$B:$B,'01. TH'!$B239,'TỔNG KLH + TN'!$C:$C,'01. TH'!X$4)</f>
        <v>0</v>
      </c>
      <c r="Y239" s="126">
        <f>COUNTIFS('TỔNG KLH + TN'!$B:$B,'01. TH'!$B239,'TỔNG KLH + TN'!$C:$C,'01. TH'!Y$4)</f>
        <v>0</v>
      </c>
      <c r="Z239" s="126">
        <f>COUNTIFS('TỔNG KLH + TN'!$B:$B,'01. TH'!$B239,'TỔNG KLH + TN'!$C:$C,'01. TH'!Z$4)</f>
        <v>0</v>
      </c>
      <c r="AA239" s="126">
        <f>COUNTIFS('TỔNG KLH + TN'!$B:$B,'01. TH'!$B239,'TỔNG KLH + TN'!$C:$C,'01. TH'!AA$4)</f>
        <v>0</v>
      </c>
      <c r="AB239" s="126">
        <f>COUNTIFS('TỔNG KLH + TN'!$B:$B,'01. TH'!$B239,'TỔNG KLH + TN'!$C:$C,'01. TH'!AB$4)</f>
        <v>0</v>
      </c>
      <c r="AC239" s="126">
        <f>COUNTIFS('TỔNG KLH + TN'!$B:$B,'01. TH'!$B239,'TỔNG KLH + TN'!$C:$C,'01. TH'!AC$4)</f>
        <v>0</v>
      </c>
      <c r="AD239" s="126">
        <f>COUNTIFS('TỔNG KLH + TN'!$B:$B,'01. TH'!$B239,'TỔNG KLH + TN'!$C:$C,'01. TH'!AD$4)</f>
        <v>0</v>
      </c>
      <c r="AE239" s="725">
        <f t="shared" si="50"/>
        <v>2</v>
      </c>
      <c r="AF239" s="725"/>
      <c r="AG239" s="70" t="str">
        <f t="shared" si="24"/>
        <v>ok</v>
      </c>
      <c r="AH239" s="726"/>
    </row>
    <row r="240" ht="18.75" hidden="1" customHeight="1" outlineLevel="1">
      <c r="A240" s="724"/>
      <c r="B240" s="709" t="s">
        <v>5247</v>
      </c>
      <c r="C240" s="124"/>
      <c r="D240" s="124" t="s">
        <v>5896</v>
      </c>
      <c r="E240" s="124" t="s">
        <v>5837</v>
      </c>
      <c r="F240" s="126">
        <f>COUNTIFS('TỔNG KLH + TN'!$B:$B,'01. TH'!$B240,'TỔNG KLH + TN'!$C:$C,'01. TH'!F$4)</f>
        <v>0</v>
      </c>
      <c r="G240" s="126">
        <f>COUNTIFS('TỔNG KLH + TN'!$B:$B,'01. TH'!$B240,'TỔNG KLH + TN'!$C:$C,'01. TH'!G$4)</f>
        <v>0</v>
      </c>
      <c r="H240" s="126">
        <f>COUNTIFS('TỔNG KLH + TN'!$B:$B,'01. TH'!$B240,'TỔNG KLH + TN'!$C:$C,'01. TH'!H$4)</f>
        <v>0</v>
      </c>
      <c r="I240" s="126">
        <f>COUNTIFS('TỔNG KLH + TN'!$B:$B,'01. TH'!$B240,'TỔNG KLH + TN'!$C:$C,'01. TH'!I$4)</f>
        <v>0</v>
      </c>
      <c r="J240" s="126">
        <f>COUNTIFS('TỔNG KLH + TN'!$B:$B,'01. TH'!$B240,'TỔNG KLH + TN'!$C:$C,'01. TH'!J$4)</f>
        <v>0</v>
      </c>
      <c r="K240" s="126">
        <f>COUNTIFS('TỔNG KLH + TN'!$B:$B,'01. TH'!$B240,'TỔNG KLH + TN'!$C:$C,'01. TH'!K$4)</f>
        <v>0</v>
      </c>
      <c r="L240" s="126">
        <f>COUNTIFS('TỔNG KLH + TN'!$B:$B,'01. TH'!$B240,'TỔNG KLH + TN'!$C:$C,'01. TH'!L$4)</f>
        <v>0</v>
      </c>
      <c r="M240" s="126">
        <f>COUNTIFS('TỔNG KLH + TN'!$B:$B,'01. TH'!$B240,'TỔNG KLH + TN'!$C:$C,'01. TH'!M$4)</f>
        <v>0</v>
      </c>
      <c r="N240" s="126">
        <f>COUNTIFS('TỔNG KLH + TN'!$B:$B,'01. TH'!$B240,'TỔNG KLH + TN'!$C:$C,'01. TH'!N$4)</f>
        <v>0</v>
      </c>
      <c r="O240" s="126">
        <f>COUNTIFS('TỔNG KLH + TN'!$B:$B,'01. TH'!$B240,'TỔNG KLH + TN'!$C:$C,'01. TH'!O$4)</f>
        <v>0</v>
      </c>
      <c r="P240" s="126">
        <f>COUNTIFS('TỔNG KLH + TN'!$B:$B,'01. TH'!$B240,'TỔNG KLH + TN'!$C:$C,'01. TH'!P$4)</f>
        <v>0</v>
      </c>
      <c r="Q240" s="126">
        <f>COUNTIFS('TỔNG KLH + TN'!$B:$B,'01. TH'!$B240,'TỔNG KLH + TN'!$C:$C,'01. TH'!Q$4)</f>
        <v>0</v>
      </c>
      <c r="R240" s="126">
        <f>COUNTIFS('TỔNG KLH + TN'!$B:$B,'01. TH'!$B240,'TỔNG KLH + TN'!$C:$C,'01. TH'!R$4)</f>
        <v>0</v>
      </c>
      <c r="S240" s="126">
        <f>COUNTIFS('TỔNG KLH + TN'!$B:$B,'01. TH'!$B240,'TỔNG KLH + TN'!$C:$C,'01. TH'!S$4)</f>
        <v>0</v>
      </c>
      <c r="T240" s="126">
        <f>COUNTIFS('TỔNG KLH + TN'!$B:$B,'01. TH'!$B240,'TỔNG KLH + TN'!$C:$C,'01. TH'!T$4)</f>
        <v>0</v>
      </c>
      <c r="U240" s="126">
        <f>COUNTIFS('TỔNG KLH + TN'!$B:$B,'01. TH'!$B240,'TỔNG KLH + TN'!$C:$C,'01. TH'!U$4)</f>
        <v>2</v>
      </c>
      <c r="V240" s="126">
        <f>COUNTIFS('TỔNG KLH + TN'!$B:$B,'01. TH'!$B240,'TỔNG KLH + TN'!$C:$C,'01. TH'!V$4)</f>
        <v>0</v>
      </c>
      <c r="W240" s="126">
        <f>COUNTIFS('TỔNG KLH + TN'!$B:$B,'01. TH'!$B240,'TỔNG KLH + TN'!$C:$C,'01. TH'!W$4)</f>
        <v>0</v>
      </c>
      <c r="X240" s="126">
        <f>COUNTIFS('TỔNG KLH + TN'!$B:$B,'01. TH'!$B240,'TỔNG KLH + TN'!$C:$C,'01. TH'!X$4)</f>
        <v>0</v>
      </c>
      <c r="Y240" s="126">
        <f>COUNTIFS('TỔNG KLH + TN'!$B:$B,'01. TH'!$B240,'TỔNG KLH + TN'!$C:$C,'01. TH'!Y$4)</f>
        <v>0</v>
      </c>
      <c r="Z240" s="126">
        <f>COUNTIFS('TỔNG KLH + TN'!$B:$B,'01. TH'!$B240,'TỔNG KLH + TN'!$C:$C,'01. TH'!Z$4)</f>
        <v>0</v>
      </c>
      <c r="AA240" s="126">
        <f>COUNTIFS('TỔNG KLH + TN'!$B:$B,'01. TH'!$B240,'TỔNG KLH + TN'!$C:$C,'01. TH'!AA$4)</f>
        <v>0</v>
      </c>
      <c r="AB240" s="126">
        <f>COUNTIFS('TỔNG KLH + TN'!$B:$B,'01. TH'!$B240,'TỔNG KLH + TN'!$C:$C,'01. TH'!AB$4)</f>
        <v>0</v>
      </c>
      <c r="AC240" s="126">
        <f>COUNTIFS('TỔNG KLH + TN'!$B:$B,'01. TH'!$B240,'TỔNG KLH + TN'!$C:$C,'01. TH'!AC$4)</f>
        <v>0</v>
      </c>
      <c r="AD240" s="126">
        <f>COUNTIFS('TỔNG KLH + TN'!$B:$B,'01. TH'!$B240,'TỔNG KLH + TN'!$C:$C,'01. TH'!AD$4)</f>
        <v>0</v>
      </c>
      <c r="AE240" s="725">
        <f t="shared" si="50"/>
        <v>2</v>
      </c>
      <c r="AF240" s="725"/>
      <c r="AG240" s="70" t="str">
        <f t="shared" si="24"/>
        <v>ok</v>
      </c>
      <c r="AH240" s="726"/>
    </row>
    <row r="241" ht="18.75" hidden="1" customHeight="1" outlineLevel="1">
      <c r="A241" s="724"/>
      <c r="B241" s="709" t="s">
        <v>5444</v>
      </c>
      <c r="C241" s="124"/>
      <c r="D241" s="124" t="s">
        <v>5897</v>
      </c>
      <c r="E241" s="124" t="s">
        <v>5837</v>
      </c>
      <c r="F241" s="126">
        <f>COUNTIFS('TỔNG KLH + TN'!$B:$B,'01. TH'!$B241,'TỔNG KLH + TN'!$C:$C,'01. TH'!F$4)</f>
        <v>0</v>
      </c>
      <c r="G241" s="126">
        <f>COUNTIFS('TỔNG KLH + TN'!$B:$B,'01. TH'!$B241,'TỔNG KLH + TN'!$C:$C,'01. TH'!G$4)</f>
        <v>0</v>
      </c>
      <c r="H241" s="126">
        <f>COUNTIFS('TỔNG KLH + TN'!$B:$B,'01. TH'!$B241,'TỔNG KLH + TN'!$C:$C,'01. TH'!H$4)</f>
        <v>0</v>
      </c>
      <c r="I241" s="126">
        <f>COUNTIFS('TỔNG KLH + TN'!$B:$B,'01. TH'!$B241,'TỔNG KLH + TN'!$C:$C,'01. TH'!I$4)</f>
        <v>0</v>
      </c>
      <c r="J241" s="126">
        <f>COUNTIFS('TỔNG KLH + TN'!$B:$B,'01. TH'!$B241,'TỔNG KLH + TN'!$C:$C,'01. TH'!J$4)</f>
        <v>0</v>
      </c>
      <c r="K241" s="126">
        <f>COUNTIFS('TỔNG KLH + TN'!$B:$B,'01. TH'!$B241,'TỔNG KLH + TN'!$C:$C,'01. TH'!K$4)</f>
        <v>0</v>
      </c>
      <c r="L241" s="126">
        <f>COUNTIFS('TỔNG KLH + TN'!$B:$B,'01. TH'!$B241,'TỔNG KLH + TN'!$C:$C,'01. TH'!L$4)</f>
        <v>0</v>
      </c>
      <c r="M241" s="126">
        <f>COUNTIFS('TỔNG KLH + TN'!$B:$B,'01. TH'!$B241,'TỔNG KLH + TN'!$C:$C,'01. TH'!M$4)</f>
        <v>0</v>
      </c>
      <c r="N241" s="126">
        <f>COUNTIFS('TỔNG KLH + TN'!$B:$B,'01. TH'!$B241,'TỔNG KLH + TN'!$C:$C,'01. TH'!N$4)</f>
        <v>0</v>
      </c>
      <c r="O241" s="126">
        <f>COUNTIFS('TỔNG KLH + TN'!$B:$B,'01. TH'!$B241,'TỔNG KLH + TN'!$C:$C,'01. TH'!O$4)</f>
        <v>0</v>
      </c>
      <c r="P241" s="126">
        <f>COUNTIFS('TỔNG KLH + TN'!$B:$B,'01. TH'!$B241,'TỔNG KLH + TN'!$C:$C,'01. TH'!P$4)</f>
        <v>0</v>
      </c>
      <c r="Q241" s="126">
        <f>COUNTIFS('TỔNG KLH + TN'!$B:$B,'01. TH'!$B241,'TỔNG KLH + TN'!$C:$C,'01. TH'!Q$4)</f>
        <v>0</v>
      </c>
      <c r="R241" s="126">
        <f>COUNTIFS('TỔNG KLH + TN'!$B:$B,'01. TH'!$B241,'TỔNG KLH + TN'!$C:$C,'01. TH'!R$4)</f>
        <v>0</v>
      </c>
      <c r="S241" s="126">
        <f>COUNTIFS('TỔNG KLH + TN'!$B:$B,'01. TH'!$B241,'TỔNG KLH + TN'!$C:$C,'01. TH'!S$4)</f>
        <v>0</v>
      </c>
      <c r="T241" s="126">
        <f>COUNTIFS('TỔNG KLH + TN'!$B:$B,'01. TH'!$B241,'TỔNG KLH + TN'!$C:$C,'01. TH'!T$4)</f>
        <v>0</v>
      </c>
      <c r="U241" s="126">
        <f>COUNTIFS('TỔNG KLH + TN'!$B:$B,'01. TH'!$B241,'TỔNG KLH + TN'!$C:$C,'01. TH'!U$4)</f>
        <v>3</v>
      </c>
      <c r="V241" s="126">
        <f>COUNTIFS('TỔNG KLH + TN'!$B:$B,'01. TH'!$B241,'TỔNG KLH + TN'!$C:$C,'01. TH'!V$4)</f>
        <v>0</v>
      </c>
      <c r="W241" s="126">
        <f>COUNTIFS('TỔNG KLH + TN'!$B:$B,'01. TH'!$B241,'TỔNG KLH + TN'!$C:$C,'01. TH'!W$4)</f>
        <v>0</v>
      </c>
      <c r="X241" s="126">
        <f>COUNTIFS('TỔNG KLH + TN'!$B:$B,'01. TH'!$B241,'TỔNG KLH + TN'!$C:$C,'01. TH'!X$4)</f>
        <v>0</v>
      </c>
      <c r="Y241" s="126">
        <f>COUNTIFS('TỔNG KLH + TN'!$B:$B,'01. TH'!$B241,'TỔNG KLH + TN'!$C:$C,'01. TH'!Y$4)</f>
        <v>0</v>
      </c>
      <c r="Z241" s="126">
        <f>COUNTIFS('TỔNG KLH + TN'!$B:$B,'01. TH'!$B241,'TỔNG KLH + TN'!$C:$C,'01. TH'!Z$4)</f>
        <v>0</v>
      </c>
      <c r="AA241" s="126">
        <f>COUNTIFS('TỔNG KLH + TN'!$B:$B,'01. TH'!$B241,'TỔNG KLH + TN'!$C:$C,'01. TH'!AA$4)</f>
        <v>0</v>
      </c>
      <c r="AB241" s="126">
        <f>COUNTIFS('TỔNG KLH + TN'!$B:$B,'01. TH'!$B241,'TỔNG KLH + TN'!$C:$C,'01. TH'!AB$4)</f>
        <v>0</v>
      </c>
      <c r="AC241" s="126">
        <f>COUNTIFS('TỔNG KLH + TN'!$B:$B,'01. TH'!$B241,'TỔNG KLH + TN'!$C:$C,'01. TH'!AC$4)</f>
        <v>0</v>
      </c>
      <c r="AD241" s="126">
        <f>COUNTIFS('TỔNG KLH + TN'!$B:$B,'01. TH'!$B241,'TỔNG KLH + TN'!$C:$C,'01. TH'!AD$4)</f>
        <v>0</v>
      </c>
      <c r="AE241" s="725">
        <f t="shared" si="50"/>
        <v>3</v>
      </c>
      <c r="AF241" s="725"/>
      <c r="AG241" s="70" t="str">
        <f t="shared" si="24"/>
        <v>ok</v>
      </c>
      <c r="AH241" s="726"/>
    </row>
    <row r="242" ht="18.75" hidden="1" customHeight="1" outlineLevel="1">
      <c r="A242" s="724"/>
      <c r="B242" s="709" t="s">
        <v>5439</v>
      </c>
      <c r="C242" s="124"/>
      <c r="D242" s="124" t="s">
        <v>5897</v>
      </c>
      <c r="E242" s="124" t="s">
        <v>5837</v>
      </c>
      <c r="F242" s="126">
        <f>COUNTIFS('TỔNG KLH + TN'!$B:$B,'01. TH'!$B242,'TỔNG KLH + TN'!$C:$C,'01. TH'!F$4)</f>
        <v>0</v>
      </c>
      <c r="G242" s="126">
        <f>COUNTIFS('TỔNG KLH + TN'!$B:$B,'01. TH'!$B242,'TỔNG KLH + TN'!$C:$C,'01. TH'!G$4)</f>
        <v>0</v>
      </c>
      <c r="H242" s="126">
        <f>COUNTIFS('TỔNG KLH + TN'!$B:$B,'01. TH'!$B242,'TỔNG KLH + TN'!$C:$C,'01. TH'!H$4)</f>
        <v>0</v>
      </c>
      <c r="I242" s="126">
        <f>COUNTIFS('TỔNG KLH + TN'!$B:$B,'01. TH'!$B242,'TỔNG KLH + TN'!$C:$C,'01. TH'!I$4)</f>
        <v>0</v>
      </c>
      <c r="J242" s="126">
        <f>COUNTIFS('TỔNG KLH + TN'!$B:$B,'01. TH'!$B242,'TỔNG KLH + TN'!$C:$C,'01. TH'!J$4)</f>
        <v>0</v>
      </c>
      <c r="K242" s="126">
        <f>COUNTIFS('TỔNG KLH + TN'!$B:$B,'01. TH'!$B242,'TỔNG KLH + TN'!$C:$C,'01. TH'!K$4)</f>
        <v>0</v>
      </c>
      <c r="L242" s="126">
        <f>COUNTIFS('TỔNG KLH + TN'!$B:$B,'01. TH'!$B242,'TỔNG KLH + TN'!$C:$C,'01. TH'!L$4)</f>
        <v>0</v>
      </c>
      <c r="M242" s="126">
        <f>COUNTIFS('TỔNG KLH + TN'!$B:$B,'01. TH'!$B242,'TỔNG KLH + TN'!$C:$C,'01. TH'!M$4)</f>
        <v>0</v>
      </c>
      <c r="N242" s="126">
        <f>COUNTIFS('TỔNG KLH + TN'!$B:$B,'01. TH'!$B242,'TỔNG KLH + TN'!$C:$C,'01. TH'!N$4)</f>
        <v>0</v>
      </c>
      <c r="O242" s="126">
        <f>COUNTIFS('TỔNG KLH + TN'!$B:$B,'01. TH'!$B242,'TỔNG KLH + TN'!$C:$C,'01. TH'!O$4)</f>
        <v>0</v>
      </c>
      <c r="P242" s="126">
        <f>COUNTIFS('TỔNG KLH + TN'!$B:$B,'01. TH'!$B242,'TỔNG KLH + TN'!$C:$C,'01. TH'!P$4)</f>
        <v>0</v>
      </c>
      <c r="Q242" s="126">
        <f>COUNTIFS('TỔNG KLH + TN'!$B:$B,'01. TH'!$B242,'TỔNG KLH + TN'!$C:$C,'01. TH'!Q$4)</f>
        <v>0</v>
      </c>
      <c r="R242" s="126">
        <f>COUNTIFS('TỔNG KLH + TN'!$B:$B,'01. TH'!$B242,'TỔNG KLH + TN'!$C:$C,'01. TH'!R$4)</f>
        <v>0</v>
      </c>
      <c r="S242" s="126">
        <f>COUNTIFS('TỔNG KLH + TN'!$B:$B,'01. TH'!$B242,'TỔNG KLH + TN'!$C:$C,'01. TH'!S$4)</f>
        <v>0</v>
      </c>
      <c r="T242" s="126">
        <f>COUNTIFS('TỔNG KLH + TN'!$B:$B,'01. TH'!$B242,'TỔNG KLH + TN'!$C:$C,'01. TH'!T$4)</f>
        <v>0</v>
      </c>
      <c r="U242" s="126">
        <f>COUNTIFS('TỔNG KLH + TN'!$B:$B,'01. TH'!$B242,'TỔNG KLH + TN'!$C:$C,'01. TH'!U$4)</f>
        <v>1</v>
      </c>
      <c r="V242" s="126">
        <f>COUNTIFS('TỔNG KLH + TN'!$B:$B,'01. TH'!$B242,'TỔNG KLH + TN'!$C:$C,'01. TH'!V$4)</f>
        <v>0</v>
      </c>
      <c r="W242" s="126">
        <f>COUNTIFS('TỔNG KLH + TN'!$B:$B,'01. TH'!$B242,'TỔNG KLH + TN'!$C:$C,'01. TH'!W$4)</f>
        <v>0</v>
      </c>
      <c r="X242" s="126">
        <f>COUNTIFS('TỔNG KLH + TN'!$B:$B,'01. TH'!$B242,'TỔNG KLH + TN'!$C:$C,'01. TH'!X$4)</f>
        <v>0</v>
      </c>
      <c r="Y242" s="126">
        <f>COUNTIFS('TỔNG KLH + TN'!$B:$B,'01. TH'!$B242,'TỔNG KLH + TN'!$C:$C,'01. TH'!Y$4)</f>
        <v>0</v>
      </c>
      <c r="Z242" s="126">
        <f>COUNTIFS('TỔNG KLH + TN'!$B:$B,'01. TH'!$B242,'TỔNG KLH + TN'!$C:$C,'01. TH'!Z$4)</f>
        <v>0</v>
      </c>
      <c r="AA242" s="126">
        <f>COUNTIFS('TỔNG KLH + TN'!$B:$B,'01. TH'!$B242,'TỔNG KLH + TN'!$C:$C,'01. TH'!AA$4)</f>
        <v>0</v>
      </c>
      <c r="AB242" s="126">
        <f>COUNTIFS('TỔNG KLH + TN'!$B:$B,'01. TH'!$B242,'TỔNG KLH + TN'!$C:$C,'01. TH'!AB$4)</f>
        <v>0</v>
      </c>
      <c r="AC242" s="126">
        <f>COUNTIFS('TỔNG KLH + TN'!$B:$B,'01. TH'!$B242,'TỔNG KLH + TN'!$C:$C,'01. TH'!AC$4)</f>
        <v>0</v>
      </c>
      <c r="AD242" s="126">
        <f>COUNTIFS('TỔNG KLH + TN'!$B:$B,'01. TH'!$B242,'TỔNG KLH + TN'!$C:$C,'01. TH'!AD$4)</f>
        <v>0</v>
      </c>
      <c r="AE242" s="725">
        <f t="shared" si="50"/>
        <v>1</v>
      </c>
      <c r="AF242" s="725"/>
      <c r="AG242" s="70" t="str">
        <f t="shared" si="24"/>
        <v>ok</v>
      </c>
      <c r="AH242" s="726"/>
    </row>
    <row r="243" ht="18.75" hidden="1" customHeight="1" outlineLevel="1">
      <c r="A243" s="724"/>
      <c r="B243" s="719" t="s">
        <v>5424</v>
      </c>
      <c r="C243" s="124"/>
      <c r="D243" s="124"/>
      <c r="E243" s="124" t="s">
        <v>5837</v>
      </c>
      <c r="F243" s="126">
        <f>COUNTIFS('TỔNG KLH + TN'!$B:$B,'01. TH'!$B243,'TỔNG KLH + TN'!$C:$C,'01. TH'!F$4)</f>
        <v>0</v>
      </c>
      <c r="G243" s="126">
        <f>COUNTIFS('TỔNG KLH + TN'!$B:$B,'01. TH'!$B243,'TỔNG KLH + TN'!$C:$C,'01. TH'!G$4)</f>
        <v>0</v>
      </c>
      <c r="H243" s="126">
        <f>COUNTIFS('TỔNG KLH + TN'!$B:$B,'01. TH'!$B243,'TỔNG KLH + TN'!$C:$C,'01. TH'!H$4)</f>
        <v>0</v>
      </c>
      <c r="I243" s="126">
        <f>COUNTIFS('TỔNG KLH + TN'!$B:$B,'01. TH'!$B243,'TỔNG KLH + TN'!$C:$C,'01. TH'!I$4)</f>
        <v>0</v>
      </c>
      <c r="J243" s="126">
        <f>COUNTIFS('TỔNG KLH + TN'!$B:$B,'01. TH'!$B243,'TỔNG KLH + TN'!$C:$C,'01. TH'!J$4)</f>
        <v>0</v>
      </c>
      <c r="K243" s="126">
        <f>COUNTIFS('TỔNG KLH + TN'!$B:$B,'01. TH'!$B243,'TỔNG KLH + TN'!$C:$C,'01. TH'!K$4)</f>
        <v>0</v>
      </c>
      <c r="L243" s="126">
        <f>COUNTIFS('TỔNG KLH + TN'!$B:$B,'01. TH'!$B243,'TỔNG KLH + TN'!$C:$C,'01. TH'!L$4)</f>
        <v>0</v>
      </c>
      <c r="M243" s="126">
        <f>COUNTIFS('TỔNG KLH + TN'!$B:$B,'01. TH'!$B243,'TỔNG KLH + TN'!$C:$C,'01. TH'!M$4)</f>
        <v>0</v>
      </c>
      <c r="N243" s="126">
        <f>COUNTIFS('TỔNG KLH + TN'!$B:$B,'01. TH'!$B243,'TỔNG KLH + TN'!$C:$C,'01. TH'!N$4)</f>
        <v>0</v>
      </c>
      <c r="O243" s="126">
        <f>COUNTIFS('TỔNG KLH + TN'!$B:$B,'01. TH'!$B243,'TỔNG KLH + TN'!$C:$C,'01. TH'!O$4)</f>
        <v>0</v>
      </c>
      <c r="P243" s="126">
        <f>COUNTIFS('TỔNG KLH + TN'!$B:$B,'01. TH'!$B243,'TỔNG KLH + TN'!$C:$C,'01. TH'!P$4)</f>
        <v>0</v>
      </c>
      <c r="Q243" s="126">
        <f>COUNTIFS('TỔNG KLH + TN'!$B:$B,'01. TH'!$B243,'TỔNG KLH + TN'!$C:$C,'01. TH'!Q$4)</f>
        <v>0</v>
      </c>
      <c r="R243" s="126">
        <f>COUNTIFS('TỔNG KLH + TN'!$B:$B,'01. TH'!$B243,'TỔNG KLH + TN'!$C:$C,'01. TH'!R$4)</f>
        <v>0</v>
      </c>
      <c r="S243" s="126">
        <f>COUNTIFS('TỔNG KLH + TN'!$B:$B,'01. TH'!$B243,'TỔNG KLH + TN'!$C:$C,'01. TH'!S$4)</f>
        <v>0</v>
      </c>
      <c r="T243" s="126">
        <f>COUNTIFS('TỔNG KLH + TN'!$B:$B,'01. TH'!$B243,'TỔNG KLH + TN'!$C:$C,'01. TH'!T$4)</f>
        <v>0</v>
      </c>
      <c r="U243" s="126">
        <f>COUNTIFS('TỔNG KLH + TN'!$B:$B,'01. TH'!$B243,'TỔNG KLH + TN'!$C:$C,'01. TH'!U$4)</f>
        <v>2</v>
      </c>
      <c r="V243" s="126">
        <f>COUNTIFS('TỔNG KLH + TN'!$B:$B,'01. TH'!$B243,'TỔNG KLH + TN'!$C:$C,'01. TH'!V$4)</f>
        <v>0</v>
      </c>
      <c r="W243" s="126">
        <f>COUNTIFS('TỔNG KLH + TN'!$B:$B,'01. TH'!$B243,'TỔNG KLH + TN'!$C:$C,'01. TH'!W$4)</f>
        <v>0</v>
      </c>
      <c r="X243" s="126">
        <f>COUNTIFS('TỔNG KLH + TN'!$B:$B,'01. TH'!$B243,'TỔNG KLH + TN'!$C:$C,'01. TH'!X$4)</f>
        <v>0</v>
      </c>
      <c r="Y243" s="126">
        <f>COUNTIFS('TỔNG KLH + TN'!$B:$B,'01. TH'!$B243,'TỔNG KLH + TN'!$C:$C,'01. TH'!Y$4)</f>
        <v>0</v>
      </c>
      <c r="Z243" s="126">
        <f>COUNTIFS('TỔNG KLH + TN'!$B:$B,'01. TH'!$B243,'TỔNG KLH + TN'!$C:$C,'01. TH'!Z$4)</f>
        <v>0</v>
      </c>
      <c r="AA243" s="126">
        <f>COUNTIFS('TỔNG KLH + TN'!$B:$B,'01. TH'!$B243,'TỔNG KLH + TN'!$C:$C,'01. TH'!AA$4)</f>
        <v>0</v>
      </c>
      <c r="AB243" s="126">
        <f>COUNTIFS('TỔNG KLH + TN'!$B:$B,'01. TH'!$B243,'TỔNG KLH + TN'!$C:$C,'01. TH'!AB$4)</f>
        <v>0</v>
      </c>
      <c r="AC243" s="126">
        <f>COUNTIFS('TỔNG KLH + TN'!$B:$B,'01. TH'!$B243,'TỔNG KLH + TN'!$C:$C,'01. TH'!AC$4)</f>
        <v>0</v>
      </c>
      <c r="AD243" s="126">
        <f>COUNTIFS('TỔNG KLH + TN'!$B:$B,'01. TH'!$B243,'TỔNG KLH + TN'!$C:$C,'01. TH'!AD$4)</f>
        <v>0</v>
      </c>
      <c r="AE243" s="725">
        <f t="shared" si="50"/>
        <v>2</v>
      </c>
      <c r="AF243" s="725"/>
      <c r="AG243" s="70" t="str">
        <f t="shared" si="24"/>
        <v>ok</v>
      </c>
      <c r="AH243" s="726"/>
    </row>
    <row r="244" ht="18.75" hidden="1" customHeight="1" outlineLevel="1">
      <c r="A244" s="724"/>
      <c r="B244" s="719" t="s">
        <v>5510</v>
      </c>
      <c r="C244" s="124"/>
      <c r="D244" s="124"/>
      <c r="E244" s="124" t="s">
        <v>5837</v>
      </c>
      <c r="F244" s="126">
        <f>COUNTIFS('TỔNG KLH + TN'!$B:$B,'01. TH'!$B244,'TỔNG KLH + TN'!$C:$C,'01. TH'!F$4)</f>
        <v>0</v>
      </c>
      <c r="G244" s="126">
        <f>COUNTIFS('TỔNG KLH + TN'!$B:$B,'01. TH'!$B244,'TỔNG KLH + TN'!$C:$C,'01. TH'!G$4)</f>
        <v>0</v>
      </c>
      <c r="H244" s="126">
        <f>COUNTIFS('TỔNG KLH + TN'!$B:$B,'01. TH'!$B244,'TỔNG KLH + TN'!$C:$C,'01. TH'!H$4)</f>
        <v>0</v>
      </c>
      <c r="I244" s="126">
        <f>COUNTIFS('TỔNG KLH + TN'!$B:$B,'01. TH'!$B244,'TỔNG KLH + TN'!$C:$C,'01. TH'!I$4)</f>
        <v>0</v>
      </c>
      <c r="J244" s="126">
        <f>COUNTIFS('TỔNG KLH + TN'!$B:$B,'01. TH'!$B244,'TỔNG KLH + TN'!$C:$C,'01. TH'!J$4)</f>
        <v>0</v>
      </c>
      <c r="K244" s="126">
        <f>COUNTIFS('TỔNG KLH + TN'!$B:$B,'01. TH'!$B244,'TỔNG KLH + TN'!$C:$C,'01. TH'!K$4)</f>
        <v>0</v>
      </c>
      <c r="L244" s="126">
        <f>COUNTIFS('TỔNG KLH + TN'!$B:$B,'01. TH'!$B244,'TỔNG KLH + TN'!$C:$C,'01. TH'!L$4)</f>
        <v>0</v>
      </c>
      <c r="M244" s="126">
        <f>COUNTIFS('TỔNG KLH + TN'!$B:$B,'01. TH'!$B244,'TỔNG KLH + TN'!$C:$C,'01. TH'!M$4)</f>
        <v>0</v>
      </c>
      <c r="N244" s="126">
        <f>COUNTIFS('TỔNG KLH + TN'!$B:$B,'01. TH'!$B244,'TỔNG KLH + TN'!$C:$C,'01. TH'!N$4)</f>
        <v>0</v>
      </c>
      <c r="O244" s="126">
        <f>COUNTIFS('TỔNG KLH + TN'!$B:$B,'01. TH'!$B244,'TỔNG KLH + TN'!$C:$C,'01. TH'!O$4)</f>
        <v>0</v>
      </c>
      <c r="P244" s="126">
        <f>COUNTIFS('TỔNG KLH + TN'!$B:$B,'01. TH'!$B244,'TỔNG KLH + TN'!$C:$C,'01. TH'!P$4)</f>
        <v>0</v>
      </c>
      <c r="Q244" s="126">
        <f>COUNTIFS('TỔNG KLH + TN'!$B:$B,'01. TH'!$B244,'TỔNG KLH + TN'!$C:$C,'01. TH'!Q$4)</f>
        <v>0</v>
      </c>
      <c r="R244" s="126">
        <f>COUNTIFS('TỔNG KLH + TN'!$B:$B,'01. TH'!$B244,'TỔNG KLH + TN'!$C:$C,'01. TH'!R$4)</f>
        <v>0</v>
      </c>
      <c r="S244" s="126">
        <f>COUNTIFS('TỔNG KLH + TN'!$B:$B,'01. TH'!$B244,'TỔNG KLH + TN'!$C:$C,'01. TH'!S$4)</f>
        <v>0</v>
      </c>
      <c r="T244" s="126">
        <f>COUNTIFS('TỔNG KLH + TN'!$B:$B,'01. TH'!$B244,'TỔNG KLH + TN'!$C:$C,'01. TH'!T$4)</f>
        <v>0</v>
      </c>
      <c r="U244" s="126">
        <f>COUNTIFS('TỔNG KLH + TN'!$B:$B,'01. TH'!$B244,'TỔNG KLH + TN'!$C:$C,'01. TH'!U$4)</f>
        <v>1</v>
      </c>
      <c r="V244" s="126">
        <f>COUNTIFS('TỔNG KLH + TN'!$B:$B,'01. TH'!$B244,'TỔNG KLH + TN'!$C:$C,'01. TH'!V$4)</f>
        <v>0</v>
      </c>
      <c r="W244" s="126">
        <f>COUNTIFS('TỔNG KLH + TN'!$B:$B,'01. TH'!$B244,'TỔNG KLH + TN'!$C:$C,'01. TH'!W$4)</f>
        <v>0</v>
      </c>
      <c r="X244" s="126">
        <f>COUNTIFS('TỔNG KLH + TN'!$B:$B,'01. TH'!$B244,'TỔNG KLH + TN'!$C:$C,'01. TH'!X$4)</f>
        <v>0</v>
      </c>
      <c r="Y244" s="126">
        <f>COUNTIFS('TỔNG KLH + TN'!$B:$B,'01. TH'!$B244,'TỔNG KLH + TN'!$C:$C,'01. TH'!Y$4)</f>
        <v>0</v>
      </c>
      <c r="Z244" s="126">
        <f>COUNTIFS('TỔNG KLH + TN'!$B:$B,'01. TH'!$B244,'TỔNG KLH + TN'!$C:$C,'01. TH'!Z$4)</f>
        <v>0</v>
      </c>
      <c r="AA244" s="126">
        <f>COUNTIFS('TỔNG KLH + TN'!$B:$B,'01. TH'!$B244,'TỔNG KLH + TN'!$C:$C,'01. TH'!AA$4)</f>
        <v>0</v>
      </c>
      <c r="AB244" s="126">
        <f>COUNTIFS('TỔNG KLH + TN'!$B:$B,'01. TH'!$B244,'TỔNG KLH + TN'!$C:$C,'01. TH'!AB$4)</f>
        <v>0</v>
      </c>
      <c r="AC244" s="126">
        <f>COUNTIFS('TỔNG KLH + TN'!$B:$B,'01. TH'!$B244,'TỔNG KLH + TN'!$C:$C,'01. TH'!AC$4)</f>
        <v>0</v>
      </c>
      <c r="AD244" s="126">
        <f>COUNTIFS('TỔNG KLH + TN'!$B:$B,'01. TH'!$B244,'TỔNG KLH + TN'!$C:$C,'01. TH'!AD$4)</f>
        <v>0</v>
      </c>
      <c r="AE244" s="725">
        <f t="shared" si="50"/>
        <v>1</v>
      </c>
      <c r="AF244" s="725"/>
      <c r="AG244" s="70" t="str">
        <f t="shared" si="24"/>
        <v>ok</v>
      </c>
      <c r="AH244" s="726"/>
    </row>
    <row r="245" ht="18.75" hidden="1" customHeight="1" outlineLevel="1">
      <c r="A245" s="724"/>
      <c r="B245" s="719" t="s">
        <v>5434</v>
      </c>
      <c r="C245" s="124"/>
      <c r="D245" s="124"/>
      <c r="E245" s="124" t="s">
        <v>5837</v>
      </c>
      <c r="F245" s="126">
        <f>COUNTIFS('TỔNG KLH + TN'!$B:$B,'01. TH'!$B245,'TỔNG KLH + TN'!$C:$C,'01. TH'!F$4)</f>
        <v>0</v>
      </c>
      <c r="G245" s="126">
        <f>COUNTIFS('TỔNG KLH + TN'!$B:$B,'01. TH'!$B245,'TỔNG KLH + TN'!$C:$C,'01. TH'!G$4)</f>
        <v>0</v>
      </c>
      <c r="H245" s="126">
        <f>COUNTIFS('TỔNG KLH + TN'!$B:$B,'01. TH'!$B245,'TỔNG KLH + TN'!$C:$C,'01. TH'!H$4)</f>
        <v>0</v>
      </c>
      <c r="I245" s="126">
        <f>COUNTIFS('TỔNG KLH + TN'!$B:$B,'01. TH'!$B245,'TỔNG KLH + TN'!$C:$C,'01. TH'!I$4)</f>
        <v>0</v>
      </c>
      <c r="J245" s="126">
        <f>COUNTIFS('TỔNG KLH + TN'!$B:$B,'01. TH'!$B245,'TỔNG KLH + TN'!$C:$C,'01. TH'!J$4)</f>
        <v>0</v>
      </c>
      <c r="K245" s="126">
        <f>COUNTIFS('TỔNG KLH + TN'!$B:$B,'01. TH'!$B245,'TỔNG KLH + TN'!$C:$C,'01. TH'!K$4)</f>
        <v>0</v>
      </c>
      <c r="L245" s="126">
        <f>COUNTIFS('TỔNG KLH + TN'!$B:$B,'01. TH'!$B245,'TỔNG KLH + TN'!$C:$C,'01. TH'!L$4)</f>
        <v>0</v>
      </c>
      <c r="M245" s="126">
        <f>COUNTIFS('TỔNG KLH + TN'!$B:$B,'01. TH'!$B245,'TỔNG KLH + TN'!$C:$C,'01. TH'!M$4)</f>
        <v>0</v>
      </c>
      <c r="N245" s="126">
        <f>COUNTIFS('TỔNG KLH + TN'!$B:$B,'01. TH'!$B245,'TỔNG KLH + TN'!$C:$C,'01. TH'!N$4)</f>
        <v>0</v>
      </c>
      <c r="O245" s="126">
        <f>COUNTIFS('TỔNG KLH + TN'!$B:$B,'01. TH'!$B245,'TỔNG KLH + TN'!$C:$C,'01. TH'!O$4)</f>
        <v>0</v>
      </c>
      <c r="P245" s="126">
        <f>COUNTIFS('TỔNG KLH + TN'!$B:$B,'01. TH'!$B245,'TỔNG KLH + TN'!$C:$C,'01. TH'!P$4)</f>
        <v>0</v>
      </c>
      <c r="Q245" s="126">
        <f>COUNTIFS('TỔNG KLH + TN'!$B:$B,'01. TH'!$B245,'TỔNG KLH + TN'!$C:$C,'01. TH'!Q$4)</f>
        <v>0</v>
      </c>
      <c r="R245" s="126">
        <f>COUNTIFS('TỔNG KLH + TN'!$B:$B,'01. TH'!$B245,'TỔNG KLH + TN'!$C:$C,'01. TH'!R$4)</f>
        <v>0</v>
      </c>
      <c r="S245" s="126">
        <f>COUNTIFS('TỔNG KLH + TN'!$B:$B,'01. TH'!$B245,'TỔNG KLH + TN'!$C:$C,'01. TH'!S$4)</f>
        <v>0</v>
      </c>
      <c r="T245" s="126">
        <f>COUNTIFS('TỔNG KLH + TN'!$B:$B,'01. TH'!$B245,'TỔNG KLH + TN'!$C:$C,'01. TH'!T$4)</f>
        <v>0</v>
      </c>
      <c r="U245" s="126">
        <f>COUNTIFS('TỔNG KLH + TN'!$B:$B,'01. TH'!$B245,'TỔNG KLH + TN'!$C:$C,'01. TH'!U$4)</f>
        <v>1</v>
      </c>
      <c r="V245" s="126">
        <f>COUNTIFS('TỔNG KLH + TN'!$B:$B,'01. TH'!$B245,'TỔNG KLH + TN'!$C:$C,'01. TH'!V$4)</f>
        <v>0</v>
      </c>
      <c r="W245" s="126">
        <f>COUNTIFS('TỔNG KLH + TN'!$B:$B,'01. TH'!$B245,'TỔNG KLH + TN'!$C:$C,'01. TH'!W$4)</f>
        <v>0</v>
      </c>
      <c r="X245" s="126">
        <f>COUNTIFS('TỔNG KLH + TN'!$B:$B,'01. TH'!$B245,'TỔNG KLH + TN'!$C:$C,'01. TH'!X$4)</f>
        <v>0</v>
      </c>
      <c r="Y245" s="126">
        <f>COUNTIFS('TỔNG KLH + TN'!$B:$B,'01. TH'!$B245,'TỔNG KLH + TN'!$C:$C,'01. TH'!Y$4)</f>
        <v>0</v>
      </c>
      <c r="Z245" s="126">
        <f>COUNTIFS('TỔNG KLH + TN'!$B:$B,'01. TH'!$B245,'TỔNG KLH + TN'!$C:$C,'01. TH'!Z$4)</f>
        <v>0</v>
      </c>
      <c r="AA245" s="126">
        <f>COUNTIFS('TỔNG KLH + TN'!$B:$B,'01. TH'!$B245,'TỔNG KLH + TN'!$C:$C,'01. TH'!AA$4)</f>
        <v>0</v>
      </c>
      <c r="AB245" s="126">
        <f>COUNTIFS('TỔNG KLH + TN'!$B:$B,'01. TH'!$B245,'TỔNG KLH + TN'!$C:$C,'01. TH'!AB$4)</f>
        <v>0</v>
      </c>
      <c r="AC245" s="126">
        <f>COUNTIFS('TỔNG KLH + TN'!$B:$B,'01. TH'!$B245,'TỔNG KLH + TN'!$C:$C,'01. TH'!AC$4)</f>
        <v>0</v>
      </c>
      <c r="AD245" s="126">
        <f>COUNTIFS('TỔNG KLH + TN'!$B:$B,'01. TH'!$B245,'TỔNG KLH + TN'!$C:$C,'01. TH'!AD$4)</f>
        <v>0</v>
      </c>
      <c r="AE245" s="725">
        <f t="shared" si="50"/>
        <v>1</v>
      </c>
      <c r="AF245" s="725"/>
      <c r="AG245" s="70" t="str">
        <f t="shared" si="24"/>
        <v>ok</v>
      </c>
      <c r="AH245" s="726"/>
    </row>
    <row r="246" ht="18.75" hidden="1" customHeight="1" outlineLevel="1">
      <c r="A246" s="724"/>
      <c r="B246" s="719" t="s">
        <v>5479</v>
      </c>
      <c r="C246" s="124"/>
      <c r="D246" s="124"/>
      <c r="E246" s="124" t="s">
        <v>5837</v>
      </c>
      <c r="F246" s="126">
        <f>COUNTIFS('TỔNG KLH + TN'!$B:$B,'01. TH'!$B246,'TỔNG KLH + TN'!$C:$C,'01. TH'!F$4)</f>
        <v>0</v>
      </c>
      <c r="G246" s="126">
        <f>COUNTIFS('TỔNG KLH + TN'!$B:$B,'01. TH'!$B246,'TỔNG KLH + TN'!$C:$C,'01. TH'!G$4)</f>
        <v>0</v>
      </c>
      <c r="H246" s="126">
        <f>COUNTIFS('TỔNG KLH + TN'!$B:$B,'01. TH'!$B246,'TỔNG KLH + TN'!$C:$C,'01. TH'!H$4)</f>
        <v>0</v>
      </c>
      <c r="I246" s="126">
        <f>COUNTIFS('TỔNG KLH + TN'!$B:$B,'01. TH'!$B246,'TỔNG KLH + TN'!$C:$C,'01. TH'!I$4)</f>
        <v>0</v>
      </c>
      <c r="J246" s="126">
        <f>COUNTIFS('TỔNG KLH + TN'!$B:$B,'01. TH'!$B246,'TỔNG KLH + TN'!$C:$C,'01. TH'!J$4)</f>
        <v>0</v>
      </c>
      <c r="K246" s="126">
        <f>COUNTIFS('TỔNG KLH + TN'!$B:$B,'01. TH'!$B246,'TỔNG KLH + TN'!$C:$C,'01. TH'!K$4)</f>
        <v>0</v>
      </c>
      <c r="L246" s="126">
        <f>COUNTIFS('TỔNG KLH + TN'!$B:$B,'01. TH'!$B246,'TỔNG KLH + TN'!$C:$C,'01. TH'!L$4)</f>
        <v>0</v>
      </c>
      <c r="M246" s="126">
        <f>COUNTIFS('TỔNG KLH + TN'!$B:$B,'01. TH'!$B246,'TỔNG KLH + TN'!$C:$C,'01. TH'!M$4)</f>
        <v>0</v>
      </c>
      <c r="N246" s="126">
        <f>COUNTIFS('TỔNG KLH + TN'!$B:$B,'01. TH'!$B246,'TỔNG KLH + TN'!$C:$C,'01. TH'!N$4)</f>
        <v>0</v>
      </c>
      <c r="O246" s="126">
        <f>COUNTIFS('TỔNG KLH + TN'!$B:$B,'01. TH'!$B246,'TỔNG KLH + TN'!$C:$C,'01. TH'!O$4)</f>
        <v>0</v>
      </c>
      <c r="P246" s="126">
        <f>COUNTIFS('TỔNG KLH + TN'!$B:$B,'01. TH'!$B246,'TỔNG KLH + TN'!$C:$C,'01. TH'!P$4)</f>
        <v>0</v>
      </c>
      <c r="Q246" s="126">
        <f>COUNTIFS('TỔNG KLH + TN'!$B:$B,'01. TH'!$B246,'TỔNG KLH + TN'!$C:$C,'01. TH'!Q$4)</f>
        <v>0</v>
      </c>
      <c r="R246" s="126">
        <f>COUNTIFS('TỔNG KLH + TN'!$B:$B,'01. TH'!$B246,'TỔNG KLH + TN'!$C:$C,'01. TH'!R$4)</f>
        <v>0</v>
      </c>
      <c r="S246" s="126">
        <f>COUNTIFS('TỔNG KLH + TN'!$B:$B,'01. TH'!$B246,'TỔNG KLH + TN'!$C:$C,'01. TH'!S$4)</f>
        <v>0</v>
      </c>
      <c r="T246" s="126">
        <f>COUNTIFS('TỔNG KLH + TN'!$B:$B,'01. TH'!$B246,'TỔNG KLH + TN'!$C:$C,'01. TH'!T$4)</f>
        <v>0</v>
      </c>
      <c r="U246" s="126">
        <f>COUNTIFS('TỔNG KLH + TN'!$B:$B,'01. TH'!$B246,'TỔNG KLH + TN'!$C:$C,'01. TH'!U$4)</f>
        <v>2</v>
      </c>
      <c r="V246" s="126">
        <f>COUNTIFS('TỔNG KLH + TN'!$B:$B,'01. TH'!$B246,'TỔNG KLH + TN'!$C:$C,'01. TH'!V$4)</f>
        <v>0</v>
      </c>
      <c r="W246" s="126">
        <f>COUNTIFS('TỔNG KLH + TN'!$B:$B,'01. TH'!$B246,'TỔNG KLH + TN'!$C:$C,'01. TH'!W$4)</f>
        <v>0</v>
      </c>
      <c r="X246" s="126">
        <f>COUNTIFS('TỔNG KLH + TN'!$B:$B,'01. TH'!$B246,'TỔNG KLH + TN'!$C:$C,'01. TH'!X$4)</f>
        <v>0</v>
      </c>
      <c r="Y246" s="126">
        <f>COUNTIFS('TỔNG KLH + TN'!$B:$B,'01. TH'!$B246,'TỔNG KLH + TN'!$C:$C,'01. TH'!Y$4)</f>
        <v>0</v>
      </c>
      <c r="Z246" s="126">
        <f>COUNTIFS('TỔNG KLH + TN'!$B:$B,'01. TH'!$B246,'TỔNG KLH + TN'!$C:$C,'01. TH'!Z$4)</f>
        <v>0</v>
      </c>
      <c r="AA246" s="126">
        <f>COUNTIFS('TỔNG KLH + TN'!$B:$B,'01. TH'!$B246,'TỔNG KLH + TN'!$C:$C,'01. TH'!AA$4)</f>
        <v>0</v>
      </c>
      <c r="AB246" s="126">
        <f>COUNTIFS('TỔNG KLH + TN'!$B:$B,'01. TH'!$B246,'TỔNG KLH + TN'!$C:$C,'01. TH'!AB$4)</f>
        <v>0</v>
      </c>
      <c r="AC246" s="126">
        <f>COUNTIFS('TỔNG KLH + TN'!$B:$B,'01. TH'!$B246,'TỔNG KLH + TN'!$C:$C,'01. TH'!AC$4)</f>
        <v>0</v>
      </c>
      <c r="AD246" s="126">
        <f>COUNTIFS('TỔNG KLH + TN'!$B:$B,'01. TH'!$B246,'TỔNG KLH + TN'!$C:$C,'01. TH'!AD$4)</f>
        <v>0</v>
      </c>
      <c r="AE246" s="725">
        <f t="shared" si="50"/>
        <v>2</v>
      </c>
      <c r="AF246" s="725"/>
      <c r="AG246" s="70" t="str">
        <f t="shared" si="24"/>
        <v>ok</v>
      </c>
      <c r="AH246" s="726"/>
    </row>
    <row r="247" ht="18.75" hidden="1" customHeight="1" outlineLevel="1">
      <c r="A247" s="724"/>
      <c r="B247" s="719" t="s">
        <v>5505</v>
      </c>
      <c r="C247" s="124"/>
      <c r="D247" s="124"/>
      <c r="E247" s="124" t="s">
        <v>5837</v>
      </c>
      <c r="F247" s="126">
        <f>COUNTIFS('TỔNG KLH + TN'!$B:$B,'01. TH'!$B247,'TỔNG KLH + TN'!$C:$C,'01. TH'!F$4)</f>
        <v>0</v>
      </c>
      <c r="G247" s="126">
        <f>COUNTIFS('TỔNG KLH + TN'!$B:$B,'01. TH'!$B247,'TỔNG KLH + TN'!$C:$C,'01. TH'!G$4)</f>
        <v>0</v>
      </c>
      <c r="H247" s="126">
        <f>COUNTIFS('TỔNG KLH + TN'!$B:$B,'01. TH'!$B247,'TỔNG KLH + TN'!$C:$C,'01. TH'!H$4)</f>
        <v>0</v>
      </c>
      <c r="I247" s="126">
        <f>COUNTIFS('TỔNG KLH + TN'!$B:$B,'01. TH'!$B247,'TỔNG KLH + TN'!$C:$C,'01. TH'!I$4)</f>
        <v>0</v>
      </c>
      <c r="J247" s="126">
        <f>COUNTIFS('TỔNG KLH + TN'!$B:$B,'01. TH'!$B247,'TỔNG KLH + TN'!$C:$C,'01. TH'!J$4)</f>
        <v>0</v>
      </c>
      <c r="K247" s="126">
        <f>COUNTIFS('TỔNG KLH + TN'!$B:$B,'01. TH'!$B247,'TỔNG KLH + TN'!$C:$C,'01. TH'!K$4)</f>
        <v>0</v>
      </c>
      <c r="L247" s="126">
        <f>COUNTIFS('TỔNG KLH + TN'!$B:$B,'01. TH'!$B247,'TỔNG KLH + TN'!$C:$C,'01. TH'!L$4)</f>
        <v>0</v>
      </c>
      <c r="M247" s="126">
        <f>COUNTIFS('TỔNG KLH + TN'!$B:$B,'01. TH'!$B247,'TỔNG KLH + TN'!$C:$C,'01. TH'!M$4)</f>
        <v>0</v>
      </c>
      <c r="N247" s="126">
        <f>COUNTIFS('TỔNG KLH + TN'!$B:$B,'01. TH'!$B247,'TỔNG KLH + TN'!$C:$C,'01. TH'!N$4)</f>
        <v>0</v>
      </c>
      <c r="O247" s="126">
        <f>COUNTIFS('TỔNG KLH + TN'!$B:$B,'01. TH'!$B247,'TỔNG KLH + TN'!$C:$C,'01. TH'!O$4)</f>
        <v>0</v>
      </c>
      <c r="P247" s="126">
        <f>COUNTIFS('TỔNG KLH + TN'!$B:$B,'01. TH'!$B247,'TỔNG KLH + TN'!$C:$C,'01. TH'!P$4)</f>
        <v>0</v>
      </c>
      <c r="Q247" s="126">
        <f>COUNTIFS('TỔNG KLH + TN'!$B:$B,'01. TH'!$B247,'TỔNG KLH + TN'!$C:$C,'01. TH'!Q$4)</f>
        <v>0</v>
      </c>
      <c r="R247" s="126">
        <f>COUNTIFS('TỔNG KLH + TN'!$B:$B,'01. TH'!$B247,'TỔNG KLH + TN'!$C:$C,'01. TH'!R$4)</f>
        <v>0</v>
      </c>
      <c r="S247" s="126">
        <f>COUNTIFS('TỔNG KLH + TN'!$B:$B,'01. TH'!$B247,'TỔNG KLH + TN'!$C:$C,'01. TH'!S$4)</f>
        <v>0</v>
      </c>
      <c r="T247" s="126">
        <f>COUNTIFS('TỔNG KLH + TN'!$B:$B,'01. TH'!$B247,'TỔNG KLH + TN'!$C:$C,'01. TH'!T$4)</f>
        <v>0</v>
      </c>
      <c r="U247" s="126">
        <f>COUNTIFS('TỔNG KLH + TN'!$B:$B,'01. TH'!$B247,'TỔNG KLH + TN'!$C:$C,'01. TH'!U$4)</f>
        <v>2</v>
      </c>
      <c r="V247" s="126">
        <f>COUNTIFS('TỔNG KLH + TN'!$B:$B,'01. TH'!$B247,'TỔNG KLH + TN'!$C:$C,'01. TH'!V$4)</f>
        <v>0</v>
      </c>
      <c r="W247" s="126">
        <f>COUNTIFS('TỔNG KLH + TN'!$B:$B,'01. TH'!$B247,'TỔNG KLH + TN'!$C:$C,'01. TH'!W$4)</f>
        <v>0</v>
      </c>
      <c r="X247" s="126">
        <f>COUNTIFS('TỔNG KLH + TN'!$B:$B,'01. TH'!$B247,'TỔNG KLH + TN'!$C:$C,'01. TH'!X$4)</f>
        <v>0</v>
      </c>
      <c r="Y247" s="126">
        <f>COUNTIFS('TỔNG KLH + TN'!$B:$B,'01. TH'!$B247,'TỔNG KLH + TN'!$C:$C,'01. TH'!Y$4)</f>
        <v>0</v>
      </c>
      <c r="Z247" s="126">
        <f>COUNTIFS('TỔNG KLH + TN'!$B:$B,'01. TH'!$B247,'TỔNG KLH + TN'!$C:$C,'01. TH'!Z$4)</f>
        <v>0</v>
      </c>
      <c r="AA247" s="126">
        <f>COUNTIFS('TỔNG KLH + TN'!$B:$B,'01. TH'!$B247,'TỔNG KLH + TN'!$C:$C,'01. TH'!AA$4)</f>
        <v>0</v>
      </c>
      <c r="AB247" s="126">
        <f>COUNTIFS('TỔNG KLH + TN'!$B:$B,'01. TH'!$B247,'TỔNG KLH + TN'!$C:$C,'01. TH'!AB$4)</f>
        <v>0</v>
      </c>
      <c r="AC247" s="126">
        <f>COUNTIFS('TỔNG KLH + TN'!$B:$B,'01. TH'!$B247,'TỔNG KLH + TN'!$C:$C,'01. TH'!AC$4)</f>
        <v>0</v>
      </c>
      <c r="AD247" s="126">
        <f>COUNTIFS('TỔNG KLH + TN'!$B:$B,'01. TH'!$B247,'TỔNG KLH + TN'!$C:$C,'01. TH'!AD$4)</f>
        <v>0</v>
      </c>
      <c r="AE247" s="725">
        <f t="shared" si="50"/>
        <v>2</v>
      </c>
      <c r="AF247" s="725"/>
      <c r="AG247" s="70" t="str">
        <f t="shared" si="24"/>
        <v>ok</v>
      </c>
      <c r="AH247" s="726"/>
    </row>
    <row r="248" ht="18.75" hidden="1" customHeight="1" outlineLevel="1">
      <c r="A248" s="724"/>
      <c r="B248" s="709" t="s">
        <v>4962</v>
      </c>
      <c r="C248" s="124"/>
      <c r="D248" s="124" t="s">
        <v>5907</v>
      </c>
      <c r="E248" s="124" t="s">
        <v>5837</v>
      </c>
      <c r="F248" s="126">
        <f>COUNTIFS('TỔNG KLH + TN'!$B:$B,'01. TH'!$B248,'TỔNG KLH + TN'!$C:$C,'01. TH'!F$4)</f>
        <v>0</v>
      </c>
      <c r="G248" s="126">
        <f>COUNTIFS('TỔNG KLH + TN'!$B:$B,'01. TH'!$B248,'TỔNG KLH + TN'!$C:$C,'01. TH'!G$4)</f>
        <v>0</v>
      </c>
      <c r="H248" s="126">
        <f>COUNTIFS('TỔNG KLH + TN'!$B:$B,'01. TH'!$B248,'TỔNG KLH + TN'!$C:$C,'01. TH'!H$4)</f>
        <v>0</v>
      </c>
      <c r="I248" s="126">
        <f>COUNTIFS('TỔNG KLH + TN'!$B:$B,'01. TH'!$B248,'TỔNG KLH + TN'!$C:$C,'01. TH'!I$4)</f>
        <v>0</v>
      </c>
      <c r="J248" s="126">
        <f>COUNTIFS('TỔNG KLH + TN'!$B:$B,'01. TH'!$B248,'TỔNG KLH + TN'!$C:$C,'01. TH'!J$4)</f>
        <v>0</v>
      </c>
      <c r="K248" s="126">
        <f>COUNTIFS('TỔNG KLH + TN'!$B:$B,'01. TH'!$B248,'TỔNG KLH + TN'!$C:$C,'01. TH'!K$4)</f>
        <v>0</v>
      </c>
      <c r="L248" s="126">
        <f>COUNTIFS('TỔNG KLH + TN'!$B:$B,'01. TH'!$B248,'TỔNG KLH + TN'!$C:$C,'01. TH'!L$4)</f>
        <v>0</v>
      </c>
      <c r="M248" s="126">
        <f>COUNTIFS('TỔNG KLH + TN'!$B:$B,'01. TH'!$B248,'TỔNG KLH + TN'!$C:$C,'01. TH'!M$4)</f>
        <v>0</v>
      </c>
      <c r="N248" s="126">
        <f>COUNTIFS('TỔNG KLH + TN'!$B:$B,'01. TH'!$B248,'TỔNG KLH + TN'!$C:$C,'01. TH'!N$4)</f>
        <v>0</v>
      </c>
      <c r="O248" s="126">
        <f>COUNTIFS('TỔNG KLH + TN'!$B:$B,'01. TH'!$B248,'TỔNG KLH + TN'!$C:$C,'01. TH'!O$4)</f>
        <v>0</v>
      </c>
      <c r="P248" s="126">
        <f>COUNTIFS('TỔNG KLH + TN'!$B:$B,'01. TH'!$B248,'TỔNG KLH + TN'!$C:$C,'01. TH'!P$4)</f>
        <v>0</v>
      </c>
      <c r="Q248" s="126">
        <f>COUNTIFS('TỔNG KLH + TN'!$B:$B,'01. TH'!$B248,'TỔNG KLH + TN'!$C:$C,'01. TH'!Q$4)</f>
        <v>0</v>
      </c>
      <c r="R248" s="126">
        <f>COUNTIFS('TỔNG KLH + TN'!$B:$B,'01. TH'!$B248,'TỔNG KLH + TN'!$C:$C,'01. TH'!R$4)</f>
        <v>0</v>
      </c>
      <c r="S248" s="126">
        <f>COUNTIFS('TỔNG KLH + TN'!$B:$B,'01. TH'!$B248,'TỔNG KLH + TN'!$C:$C,'01. TH'!S$4)</f>
        <v>0</v>
      </c>
      <c r="T248" s="126">
        <f>COUNTIFS('TỔNG KLH + TN'!$B:$B,'01. TH'!$B248,'TỔNG KLH + TN'!$C:$C,'01. TH'!T$4)</f>
        <v>0</v>
      </c>
      <c r="U248" s="126">
        <f>COUNTIFS('TỔNG KLH + TN'!$B:$B,'01. TH'!$B248,'TỔNG KLH + TN'!$C:$C,'01. TH'!U$4)</f>
        <v>2</v>
      </c>
      <c r="V248" s="126">
        <f>COUNTIFS('TỔNG KLH + TN'!$B:$B,'01. TH'!$B248,'TỔNG KLH + TN'!$C:$C,'01. TH'!V$4)</f>
        <v>0</v>
      </c>
      <c r="W248" s="126">
        <f>COUNTIFS('TỔNG KLH + TN'!$B:$B,'01. TH'!$B248,'TỔNG KLH + TN'!$C:$C,'01. TH'!W$4)</f>
        <v>0</v>
      </c>
      <c r="X248" s="126">
        <f>COUNTIFS('TỔNG KLH + TN'!$B:$B,'01. TH'!$B248,'TỔNG KLH + TN'!$C:$C,'01. TH'!X$4)</f>
        <v>0</v>
      </c>
      <c r="Y248" s="126">
        <f>COUNTIFS('TỔNG KLH + TN'!$B:$B,'01. TH'!$B248,'TỔNG KLH + TN'!$C:$C,'01. TH'!Y$4)</f>
        <v>0</v>
      </c>
      <c r="Z248" s="126">
        <f>COUNTIFS('TỔNG KLH + TN'!$B:$B,'01. TH'!$B248,'TỔNG KLH + TN'!$C:$C,'01. TH'!Z$4)</f>
        <v>0</v>
      </c>
      <c r="AA248" s="126">
        <f>COUNTIFS('TỔNG KLH + TN'!$B:$B,'01. TH'!$B248,'TỔNG KLH + TN'!$C:$C,'01. TH'!AA$4)</f>
        <v>0</v>
      </c>
      <c r="AB248" s="126">
        <f>COUNTIFS('TỔNG KLH + TN'!$B:$B,'01. TH'!$B248,'TỔNG KLH + TN'!$C:$C,'01. TH'!AB$4)</f>
        <v>0</v>
      </c>
      <c r="AC248" s="126">
        <f>COUNTIFS('TỔNG KLH + TN'!$B:$B,'01. TH'!$B248,'TỔNG KLH + TN'!$C:$C,'01. TH'!AC$4)</f>
        <v>0</v>
      </c>
      <c r="AD248" s="126">
        <f>COUNTIFS('TỔNG KLH + TN'!$B:$B,'01. TH'!$B248,'TỔNG KLH + TN'!$C:$C,'01. TH'!AD$4)</f>
        <v>0</v>
      </c>
      <c r="AE248" s="725">
        <f t="shared" si="50"/>
        <v>2</v>
      </c>
      <c r="AF248" s="725"/>
      <c r="AG248" s="70" t="str">
        <f t="shared" si="24"/>
        <v>ok</v>
      </c>
      <c r="AH248" s="726"/>
    </row>
    <row r="249" ht="18.75" hidden="1" customHeight="1" outlineLevel="1">
      <c r="A249" s="724"/>
      <c r="B249" s="709" t="s">
        <v>4972</v>
      </c>
      <c r="C249" s="124"/>
      <c r="D249" s="124" t="s">
        <v>5907</v>
      </c>
      <c r="E249" s="124" t="s">
        <v>5837</v>
      </c>
      <c r="F249" s="126">
        <f>COUNTIFS('TỔNG KLH + TN'!$B:$B,'01. TH'!$B249,'TỔNG KLH + TN'!$C:$C,'01. TH'!F$4)</f>
        <v>0</v>
      </c>
      <c r="G249" s="126">
        <f>COUNTIFS('TỔNG KLH + TN'!$B:$B,'01. TH'!$B249,'TỔNG KLH + TN'!$C:$C,'01. TH'!G$4)</f>
        <v>0</v>
      </c>
      <c r="H249" s="126">
        <f>COUNTIFS('TỔNG KLH + TN'!$B:$B,'01. TH'!$B249,'TỔNG KLH + TN'!$C:$C,'01. TH'!H$4)</f>
        <v>0</v>
      </c>
      <c r="I249" s="126">
        <f>COUNTIFS('TỔNG KLH + TN'!$B:$B,'01. TH'!$B249,'TỔNG KLH + TN'!$C:$C,'01. TH'!I$4)</f>
        <v>0</v>
      </c>
      <c r="J249" s="126">
        <f>COUNTIFS('TỔNG KLH + TN'!$B:$B,'01. TH'!$B249,'TỔNG KLH + TN'!$C:$C,'01. TH'!J$4)</f>
        <v>0</v>
      </c>
      <c r="K249" s="126">
        <f>COUNTIFS('TỔNG KLH + TN'!$B:$B,'01. TH'!$B249,'TỔNG KLH + TN'!$C:$C,'01. TH'!K$4)</f>
        <v>0</v>
      </c>
      <c r="L249" s="126">
        <f>COUNTIFS('TỔNG KLH + TN'!$B:$B,'01. TH'!$B249,'TỔNG KLH + TN'!$C:$C,'01. TH'!L$4)</f>
        <v>0</v>
      </c>
      <c r="M249" s="126">
        <f>COUNTIFS('TỔNG KLH + TN'!$B:$B,'01. TH'!$B249,'TỔNG KLH + TN'!$C:$C,'01. TH'!M$4)</f>
        <v>0</v>
      </c>
      <c r="N249" s="126">
        <f>COUNTIFS('TỔNG KLH + TN'!$B:$B,'01. TH'!$B249,'TỔNG KLH + TN'!$C:$C,'01. TH'!N$4)</f>
        <v>0</v>
      </c>
      <c r="O249" s="126">
        <f>COUNTIFS('TỔNG KLH + TN'!$B:$B,'01. TH'!$B249,'TỔNG KLH + TN'!$C:$C,'01. TH'!O$4)</f>
        <v>0</v>
      </c>
      <c r="P249" s="126">
        <f>COUNTIFS('TỔNG KLH + TN'!$B:$B,'01. TH'!$B249,'TỔNG KLH + TN'!$C:$C,'01. TH'!P$4)</f>
        <v>0</v>
      </c>
      <c r="Q249" s="126">
        <f>COUNTIFS('TỔNG KLH + TN'!$B:$B,'01. TH'!$B249,'TỔNG KLH + TN'!$C:$C,'01. TH'!Q$4)</f>
        <v>0</v>
      </c>
      <c r="R249" s="126">
        <f>COUNTIFS('TỔNG KLH + TN'!$B:$B,'01. TH'!$B249,'TỔNG KLH + TN'!$C:$C,'01. TH'!R$4)</f>
        <v>0</v>
      </c>
      <c r="S249" s="126">
        <f>COUNTIFS('TỔNG KLH + TN'!$B:$B,'01. TH'!$B249,'TỔNG KLH + TN'!$C:$C,'01. TH'!S$4)</f>
        <v>0</v>
      </c>
      <c r="T249" s="126">
        <f>COUNTIFS('TỔNG KLH + TN'!$B:$B,'01. TH'!$B249,'TỔNG KLH + TN'!$C:$C,'01. TH'!T$4)</f>
        <v>0</v>
      </c>
      <c r="U249" s="126">
        <f>COUNTIFS('TỔNG KLH + TN'!$B:$B,'01. TH'!$B249,'TỔNG KLH + TN'!$C:$C,'01. TH'!U$4)</f>
        <v>2</v>
      </c>
      <c r="V249" s="126">
        <f>COUNTIFS('TỔNG KLH + TN'!$B:$B,'01. TH'!$B249,'TỔNG KLH + TN'!$C:$C,'01. TH'!V$4)</f>
        <v>0</v>
      </c>
      <c r="W249" s="126">
        <f>COUNTIFS('TỔNG KLH + TN'!$B:$B,'01. TH'!$B249,'TỔNG KLH + TN'!$C:$C,'01. TH'!W$4)</f>
        <v>0</v>
      </c>
      <c r="X249" s="126">
        <f>COUNTIFS('TỔNG KLH + TN'!$B:$B,'01. TH'!$B249,'TỔNG KLH + TN'!$C:$C,'01. TH'!X$4)</f>
        <v>0</v>
      </c>
      <c r="Y249" s="126">
        <f>COUNTIFS('TỔNG KLH + TN'!$B:$B,'01. TH'!$B249,'TỔNG KLH + TN'!$C:$C,'01. TH'!Y$4)</f>
        <v>0</v>
      </c>
      <c r="Z249" s="126">
        <f>COUNTIFS('TỔNG KLH + TN'!$B:$B,'01. TH'!$B249,'TỔNG KLH + TN'!$C:$C,'01. TH'!Z$4)</f>
        <v>0</v>
      </c>
      <c r="AA249" s="126">
        <f>COUNTIFS('TỔNG KLH + TN'!$B:$B,'01. TH'!$B249,'TỔNG KLH + TN'!$C:$C,'01. TH'!AA$4)</f>
        <v>0</v>
      </c>
      <c r="AB249" s="126">
        <f>COUNTIFS('TỔNG KLH + TN'!$B:$B,'01. TH'!$B249,'TỔNG KLH + TN'!$C:$C,'01. TH'!AB$4)</f>
        <v>0</v>
      </c>
      <c r="AC249" s="126">
        <f>COUNTIFS('TỔNG KLH + TN'!$B:$B,'01. TH'!$B249,'TỔNG KLH + TN'!$C:$C,'01. TH'!AC$4)</f>
        <v>0</v>
      </c>
      <c r="AD249" s="126">
        <f>COUNTIFS('TỔNG KLH + TN'!$B:$B,'01. TH'!$B249,'TỔNG KLH + TN'!$C:$C,'01. TH'!AD$4)</f>
        <v>0</v>
      </c>
      <c r="AE249" s="725">
        <f t="shared" si="50"/>
        <v>2</v>
      </c>
      <c r="AF249" s="725"/>
      <c r="AG249" s="70" t="str">
        <f t="shared" si="24"/>
        <v>ok</v>
      </c>
      <c r="AH249" s="726"/>
    </row>
    <row r="250" ht="18.75" hidden="1" customHeight="1" outlineLevel="1">
      <c r="A250" s="724"/>
      <c r="B250" s="709" t="s">
        <v>4987</v>
      </c>
      <c r="C250" s="124"/>
      <c r="D250" s="124" t="s">
        <v>5910</v>
      </c>
      <c r="E250" s="124" t="s">
        <v>5837</v>
      </c>
      <c r="F250" s="126">
        <f>COUNTIFS('TỔNG KLH + TN'!$B:$B,'01. TH'!$B250,'TỔNG KLH + TN'!$C:$C,'01. TH'!F$4)</f>
        <v>0</v>
      </c>
      <c r="G250" s="126">
        <f>COUNTIFS('TỔNG KLH + TN'!$B:$B,'01. TH'!$B250,'TỔNG KLH + TN'!$C:$C,'01. TH'!G$4)</f>
        <v>0</v>
      </c>
      <c r="H250" s="126">
        <f>COUNTIFS('TỔNG KLH + TN'!$B:$B,'01. TH'!$B250,'TỔNG KLH + TN'!$C:$C,'01. TH'!H$4)</f>
        <v>0</v>
      </c>
      <c r="I250" s="126">
        <f>COUNTIFS('TỔNG KLH + TN'!$B:$B,'01. TH'!$B250,'TỔNG KLH + TN'!$C:$C,'01. TH'!I$4)</f>
        <v>0</v>
      </c>
      <c r="J250" s="126">
        <f>COUNTIFS('TỔNG KLH + TN'!$B:$B,'01. TH'!$B250,'TỔNG KLH + TN'!$C:$C,'01. TH'!J$4)</f>
        <v>0</v>
      </c>
      <c r="K250" s="126">
        <f>COUNTIFS('TỔNG KLH + TN'!$B:$B,'01. TH'!$B250,'TỔNG KLH + TN'!$C:$C,'01. TH'!K$4)</f>
        <v>0</v>
      </c>
      <c r="L250" s="126">
        <f>COUNTIFS('TỔNG KLH + TN'!$B:$B,'01. TH'!$B250,'TỔNG KLH + TN'!$C:$C,'01. TH'!L$4)</f>
        <v>0</v>
      </c>
      <c r="M250" s="126">
        <f>COUNTIFS('TỔNG KLH + TN'!$B:$B,'01. TH'!$B250,'TỔNG KLH + TN'!$C:$C,'01. TH'!M$4)</f>
        <v>0</v>
      </c>
      <c r="N250" s="126">
        <f>COUNTIFS('TỔNG KLH + TN'!$B:$B,'01. TH'!$B250,'TỔNG KLH + TN'!$C:$C,'01. TH'!N$4)</f>
        <v>0</v>
      </c>
      <c r="O250" s="126">
        <f>COUNTIFS('TỔNG KLH + TN'!$B:$B,'01. TH'!$B250,'TỔNG KLH + TN'!$C:$C,'01. TH'!O$4)</f>
        <v>0</v>
      </c>
      <c r="P250" s="126">
        <f>COUNTIFS('TỔNG KLH + TN'!$B:$B,'01. TH'!$B250,'TỔNG KLH + TN'!$C:$C,'01. TH'!P$4)</f>
        <v>0</v>
      </c>
      <c r="Q250" s="126">
        <f>COUNTIFS('TỔNG KLH + TN'!$B:$B,'01. TH'!$B250,'TỔNG KLH + TN'!$C:$C,'01. TH'!Q$4)</f>
        <v>0</v>
      </c>
      <c r="R250" s="126">
        <f>COUNTIFS('TỔNG KLH + TN'!$B:$B,'01. TH'!$B250,'TỔNG KLH + TN'!$C:$C,'01. TH'!R$4)</f>
        <v>0</v>
      </c>
      <c r="S250" s="126">
        <f>COUNTIFS('TỔNG KLH + TN'!$B:$B,'01. TH'!$B250,'TỔNG KLH + TN'!$C:$C,'01. TH'!S$4)</f>
        <v>0</v>
      </c>
      <c r="T250" s="126">
        <f>COUNTIFS('TỔNG KLH + TN'!$B:$B,'01. TH'!$B250,'TỔNG KLH + TN'!$C:$C,'01. TH'!T$4)</f>
        <v>0</v>
      </c>
      <c r="U250" s="126">
        <f>COUNTIFS('TỔNG KLH + TN'!$B:$B,'01. TH'!$B250,'TỔNG KLH + TN'!$C:$C,'01. TH'!U$4)</f>
        <v>3</v>
      </c>
      <c r="V250" s="126">
        <f>COUNTIFS('TỔNG KLH + TN'!$B:$B,'01. TH'!$B250,'TỔNG KLH + TN'!$C:$C,'01. TH'!V$4)</f>
        <v>0</v>
      </c>
      <c r="W250" s="126">
        <f>COUNTIFS('TỔNG KLH + TN'!$B:$B,'01. TH'!$B250,'TỔNG KLH + TN'!$C:$C,'01. TH'!W$4)</f>
        <v>0</v>
      </c>
      <c r="X250" s="126">
        <f>COUNTIFS('TỔNG KLH + TN'!$B:$B,'01. TH'!$B250,'TỔNG KLH + TN'!$C:$C,'01. TH'!X$4)</f>
        <v>0</v>
      </c>
      <c r="Y250" s="126">
        <f>COUNTIFS('TỔNG KLH + TN'!$B:$B,'01. TH'!$B250,'TỔNG KLH + TN'!$C:$C,'01. TH'!Y$4)</f>
        <v>0</v>
      </c>
      <c r="Z250" s="126">
        <f>COUNTIFS('TỔNG KLH + TN'!$B:$B,'01. TH'!$B250,'TỔNG KLH + TN'!$C:$C,'01. TH'!Z$4)</f>
        <v>0</v>
      </c>
      <c r="AA250" s="126">
        <f>COUNTIFS('TỔNG KLH + TN'!$B:$B,'01. TH'!$B250,'TỔNG KLH + TN'!$C:$C,'01. TH'!AA$4)</f>
        <v>0</v>
      </c>
      <c r="AB250" s="126">
        <f>COUNTIFS('TỔNG KLH + TN'!$B:$B,'01. TH'!$B250,'TỔNG KLH + TN'!$C:$C,'01. TH'!AB$4)</f>
        <v>0</v>
      </c>
      <c r="AC250" s="126">
        <f>COUNTIFS('TỔNG KLH + TN'!$B:$B,'01. TH'!$B250,'TỔNG KLH + TN'!$C:$C,'01. TH'!AC$4)</f>
        <v>0</v>
      </c>
      <c r="AD250" s="126">
        <f>COUNTIFS('TỔNG KLH + TN'!$B:$B,'01. TH'!$B250,'TỔNG KLH + TN'!$C:$C,'01. TH'!AD$4)</f>
        <v>0</v>
      </c>
      <c r="AE250" s="725">
        <f t="shared" si="50"/>
        <v>3</v>
      </c>
      <c r="AF250" s="725"/>
      <c r="AG250" s="70" t="str">
        <f t="shared" si="24"/>
        <v>ok</v>
      </c>
      <c r="AH250" s="726"/>
    </row>
    <row r="251" ht="18.75" hidden="1" customHeight="1" outlineLevel="1">
      <c r="A251" s="724"/>
      <c r="B251" s="709" t="s">
        <v>4981</v>
      </c>
      <c r="C251" s="124"/>
      <c r="D251" s="124" t="s">
        <v>5911</v>
      </c>
      <c r="E251" s="124" t="s">
        <v>5837</v>
      </c>
      <c r="F251" s="126">
        <f>COUNTIFS('TỔNG KLH + TN'!$B:$B,'01. TH'!$B251,'TỔNG KLH + TN'!$C:$C,'01. TH'!F$4)</f>
        <v>0</v>
      </c>
      <c r="G251" s="126">
        <f>COUNTIFS('TỔNG KLH + TN'!$B:$B,'01. TH'!$B251,'TỔNG KLH + TN'!$C:$C,'01. TH'!G$4)</f>
        <v>0</v>
      </c>
      <c r="H251" s="126">
        <f>COUNTIFS('TỔNG KLH + TN'!$B:$B,'01. TH'!$B251,'TỔNG KLH + TN'!$C:$C,'01. TH'!H$4)</f>
        <v>0</v>
      </c>
      <c r="I251" s="126">
        <f>COUNTIFS('TỔNG KLH + TN'!$B:$B,'01. TH'!$B251,'TỔNG KLH + TN'!$C:$C,'01. TH'!I$4)</f>
        <v>0</v>
      </c>
      <c r="J251" s="126">
        <f>COUNTIFS('TỔNG KLH + TN'!$B:$B,'01. TH'!$B251,'TỔNG KLH + TN'!$C:$C,'01. TH'!J$4)</f>
        <v>0</v>
      </c>
      <c r="K251" s="126">
        <f>COUNTIFS('TỔNG KLH + TN'!$B:$B,'01. TH'!$B251,'TỔNG KLH + TN'!$C:$C,'01. TH'!K$4)</f>
        <v>0</v>
      </c>
      <c r="L251" s="126">
        <f>COUNTIFS('TỔNG KLH + TN'!$B:$B,'01. TH'!$B251,'TỔNG KLH + TN'!$C:$C,'01. TH'!L$4)</f>
        <v>0</v>
      </c>
      <c r="M251" s="126">
        <f>COUNTIFS('TỔNG KLH + TN'!$B:$B,'01. TH'!$B251,'TỔNG KLH + TN'!$C:$C,'01. TH'!M$4)</f>
        <v>0</v>
      </c>
      <c r="N251" s="126">
        <f>COUNTIFS('TỔNG KLH + TN'!$B:$B,'01. TH'!$B251,'TỔNG KLH + TN'!$C:$C,'01. TH'!N$4)</f>
        <v>0</v>
      </c>
      <c r="O251" s="126">
        <f>COUNTIFS('TỔNG KLH + TN'!$B:$B,'01. TH'!$B251,'TỔNG KLH + TN'!$C:$C,'01. TH'!O$4)</f>
        <v>0</v>
      </c>
      <c r="P251" s="126">
        <f>COUNTIFS('TỔNG KLH + TN'!$B:$B,'01. TH'!$B251,'TỔNG KLH + TN'!$C:$C,'01. TH'!P$4)</f>
        <v>0</v>
      </c>
      <c r="Q251" s="126">
        <f>COUNTIFS('TỔNG KLH + TN'!$B:$B,'01. TH'!$B251,'TỔNG KLH + TN'!$C:$C,'01. TH'!Q$4)</f>
        <v>0</v>
      </c>
      <c r="R251" s="126">
        <f>COUNTIFS('TỔNG KLH + TN'!$B:$B,'01. TH'!$B251,'TỔNG KLH + TN'!$C:$C,'01. TH'!R$4)</f>
        <v>0</v>
      </c>
      <c r="S251" s="126">
        <f>COUNTIFS('TỔNG KLH + TN'!$B:$B,'01. TH'!$B251,'TỔNG KLH + TN'!$C:$C,'01. TH'!S$4)</f>
        <v>0</v>
      </c>
      <c r="T251" s="126">
        <f>COUNTIFS('TỔNG KLH + TN'!$B:$B,'01. TH'!$B251,'TỔNG KLH + TN'!$C:$C,'01. TH'!T$4)</f>
        <v>0</v>
      </c>
      <c r="U251" s="126">
        <f>COUNTIFS('TỔNG KLH + TN'!$B:$B,'01. TH'!$B251,'TỔNG KLH + TN'!$C:$C,'01. TH'!U$4)</f>
        <v>4</v>
      </c>
      <c r="V251" s="126">
        <f>COUNTIFS('TỔNG KLH + TN'!$B:$B,'01. TH'!$B251,'TỔNG KLH + TN'!$C:$C,'01. TH'!V$4)</f>
        <v>0</v>
      </c>
      <c r="W251" s="126">
        <f>COUNTIFS('TỔNG KLH + TN'!$B:$B,'01. TH'!$B251,'TỔNG KLH + TN'!$C:$C,'01. TH'!W$4)</f>
        <v>0</v>
      </c>
      <c r="X251" s="126">
        <f>COUNTIFS('TỔNG KLH + TN'!$B:$B,'01. TH'!$B251,'TỔNG KLH + TN'!$C:$C,'01. TH'!X$4)</f>
        <v>0</v>
      </c>
      <c r="Y251" s="126">
        <f>COUNTIFS('TỔNG KLH + TN'!$B:$B,'01. TH'!$B251,'TỔNG KLH + TN'!$C:$C,'01. TH'!Y$4)</f>
        <v>0</v>
      </c>
      <c r="Z251" s="126">
        <f>COUNTIFS('TỔNG KLH + TN'!$B:$B,'01. TH'!$B251,'TỔNG KLH + TN'!$C:$C,'01. TH'!Z$4)</f>
        <v>0</v>
      </c>
      <c r="AA251" s="126">
        <f>COUNTIFS('TỔNG KLH + TN'!$B:$B,'01. TH'!$B251,'TỔNG KLH + TN'!$C:$C,'01. TH'!AA$4)</f>
        <v>0</v>
      </c>
      <c r="AB251" s="126">
        <f>COUNTIFS('TỔNG KLH + TN'!$B:$B,'01. TH'!$B251,'TỔNG KLH + TN'!$C:$C,'01. TH'!AB$4)</f>
        <v>0</v>
      </c>
      <c r="AC251" s="126">
        <f>COUNTIFS('TỔNG KLH + TN'!$B:$B,'01. TH'!$B251,'TỔNG KLH + TN'!$C:$C,'01. TH'!AC$4)</f>
        <v>0</v>
      </c>
      <c r="AD251" s="126">
        <f>COUNTIFS('TỔNG KLH + TN'!$B:$B,'01. TH'!$B251,'TỔNG KLH + TN'!$C:$C,'01. TH'!AD$4)</f>
        <v>0</v>
      </c>
      <c r="AE251" s="725">
        <f t="shared" si="50"/>
        <v>4</v>
      </c>
      <c r="AF251" s="725"/>
      <c r="AG251" s="70" t="str">
        <f t="shared" si="24"/>
        <v>ok</v>
      </c>
      <c r="AH251" s="726"/>
    </row>
    <row r="252" ht="18.75" hidden="1" customHeight="1" outlineLevel="1">
      <c r="A252" s="724"/>
      <c r="B252" s="709" t="s">
        <v>5384</v>
      </c>
      <c r="C252" s="124"/>
      <c r="D252" s="124" t="s">
        <v>5914</v>
      </c>
      <c r="E252" s="124" t="s">
        <v>5837</v>
      </c>
      <c r="F252" s="126">
        <f>COUNTIFS('TỔNG KLH + TN'!$B:$B,'01. TH'!$B252,'TỔNG KLH + TN'!$C:$C,'01. TH'!F$4)</f>
        <v>0</v>
      </c>
      <c r="G252" s="126">
        <f>COUNTIFS('TỔNG KLH + TN'!$B:$B,'01. TH'!$B252,'TỔNG KLH + TN'!$C:$C,'01. TH'!G$4)</f>
        <v>0</v>
      </c>
      <c r="H252" s="126">
        <f>COUNTIFS('TỔNG KLH + TN'!$B:$B,'01. TH'!$B252,'TỔNG KLH + TN'!$C:$C,'01. TH'!H$4)</f>
        <v>0</v>
      </c>
      <c r="I252" s="126">
        <f>COUNTIFS('TỔNG KLH + TN'!$B:$B,'01. TH'!$B252,'TỔNG KLH + TN'!$C:$C,'01. TH'!I$4)</f>
        <v>0</v>
      </c>
      <c r="J252" s="126">
        <f>COUNTIFS('TỔNG KLH + TN'!$B:$B,'01. TH'!$B252,'TỔNG KLH + TN'!$C:$C,'01. TH'!J$4)</f>
        <v>0</v>
      </c>
      <c r="K252" s="126">
        <f>COUNTIFS('TỔNG KLH + TN'!$B:$B,'01. TH'!$B252,'TỔNG KLH + TN'!$C:$C,'01. TH'!K$4)</f>
        <v>0</v>
      </c>
      <c r="L252" s="126">
        <f>COUNTIFS('TỔNG KLH + TN'!$B:$B,'01. TH'!$B252,'TỔNG KLH + TN'!$C:$C,'01. TH'!L$4)</f>
        <v>0</v>
      </c>
      <c r="M252" s="126">
        <f>COUNTIFS('TỔNG KLH + TN'!$B:$B,'01. TH'!$B252,'TỔNG KLH + TN'!$C:$C,'01. TH'!M$4)</f>
        <v>0</v>
      </c>
      <c r="N252" s="126">
        <f>COUNTIFS('TỔNG KLH + TN'!$B:$B,'01. TH'!$B252,'TỔNG KLH + TN'!$C:$C,'01. TH'!N$4)</f>
        <v>0</v>
      </c>
      <c r="O252" s="126">
        <f>COUNTIFS('TỔNG KLH + TN'!$B:$B,'01. TH'!$B252,'TỔNG KLH + TN'!$C:$C,'01. TH'!O$4)</f>
        <v>0</v>
      </c>
      <c r="P252" s="126">
        <f>COUNTIFS('TỔNG KLH + TN'!$B:$B,'01. TH'!$B252,'TỔNG KLH + TN'!$C:$C,'01. TH'!P$4)</f>
        <v>0</v>
      </c>
      <c r="Q252" s="126">
        <f>COUNTIFS('TỔNG KLH + TN'!$B:$B,'01. TH'!$B252,'TỔNG KLH + TN'!$C:$C,'01. TH'!Q$4)</f>
        <v>0</v>
      </c>
      <c r="R252" s="126">
        <f>COUNTIFS('TỔNG KLH + TN'!$B:$B,'01. TH'!$B252,'TỔNG KLH + TN'!$C:$C,'01. TH'!R$4)</f>
        <v>0</v>
      </c>
      <c r="S252" s="126">
        <f>COUNTIFS('TỔNG KLH + TN'!$B:$B,'01. TH'!$B252,'TỔNG KLH + TN'!$C:$C,'01. TH'!S$4)</f>
        <v>0</v>
      </c>
      <c r="T252" s="126">
        <f>COUNTIFS('TỔNG KLH + TN'!$B:$B,'01. TH'!$B252,'TỔNG KLH + TN'!$C:$C,'01. TH'!T$4)</f>
        <v>0</v>
      </c>
      <c r="U252" s="126">
        <f>COUNTIFS('TỔNG KLH + TN'!$B:$B,'01. TH'!$B252,'TỔNG KLH + TN'!$C:$C,'01. TH'!U$4)</f>
        <v>1</v>
      </c>
      <c r="V252" s="126">
        <f>COUNTIFS('TỔNG KLH + TN'!$B:$B,'01. TH'!$B252,'TỔNG KLH + TN'!$C:$C,'01. TH'!V$4)</f>
        <v>0</v>
      </c>
      <c r="W252" s="126">
        <f>COUNTIFS('TỔNG KLH + TN'!$B:$B,'01. TH'!$B252,'TỔNG KLH + TN'!$C:$C,'01. TH'!W$4)</f>
        <v>0</v>
      </c>
      <c r="X252" s="126">
        <f>COUNTIFS('TỔNG KLH + TN'!$B:$B,'01. TH'!$B252,'TỔNG KLH + TN'!$C:$C,'01. TH'!X$4)</f>
        <v>0</v>
      </c>
      <c r="Y252" s="126">
        <f>COUNTIFS('TỔNG KLH + TN'!$B:$B,'01. TH'!$B252,'TỔNG KLH + TN'!$C:$C,'01. TH'!Y$4)</f>
        <v>0</v>
      </c>
      <c r="Z252" s="126">
        <f>COUNTIFS('TỔNG KLH + TN'!$B:$B,'01. TH'!$B252,'TỔNG KLH + TN'!$C:$C,'01. TH'!Z$4)</f>
        <v>0</v>
      </c>
      <c r="AA252" s="126">
        <f>COUNTIFS('TỔNG KLH + TN'!$B:$B,'01. TH'!$B252,'TỔNG KLH + TN'!$C:$C,'01. TH'!AA$4)</f>
        <v>0</v>
      </c>
      <c r="AB252" s="126">
        <f>COUNTIFS('TỔNG KLH + TN'!$B:$B,'01. TH'!$B252,'TỔNG KLH + TN'!$C:$C,'01. TH'!AB$4)</f>
        <v>0</v>
      </c>
      <c r="AC252" s="126">
        <f>COUNTIFS('TỔNG KLH + TN'!$B:$B,'01. TH'!$B252,'TỔNG KLH + TN'!$C:$C,'01. TH'!AC$4)</f>
        <v>0</v>
      </c>
      <c r="AD252" s="126">
        <f>COUNTIFS('TỔNG KLH + TN'!$B:$B,'01. TH'!$B252,'TỔNG KLH + TN'!$C:$C,'01. TH'!AD$4)</f>
        <v>0</v>
      </c>
      <c r="AE252" s="725">
        <f t="shared" si="50"/>
        <v>1</v>
      </c>
      <c r="AF252" s="725"/>
      <c r="AG252" s="70" t="str">
        <f t="shared" si="24"/>
        <v>ok</v>
      </c>
      <c r="AH252" s="726"/>
    </row>
    <row r="253" ht="18.75" hidden="1" customHeight="1" outlineLevel="1">
      <c r="A253" s="724"/>
      <c r="B253" s="719" t="s">
        <v>5325</v>
      </c>
      <c r="C253" s="124"/>
      <c r="D253" s="124"/>
      <c r="E253" s="124" t="s">
        <v>5837</v>
      </c>
      <c r="F253" s="126">
        <f>COUNTIFS('TỔNG KLH + TN'!$B:$B,'01. TH'!$B253,'TỔNG KLH + TN'!$C:$C,'01. TH'!F$4)</f>
        <v>0</v>
      </c>
      <c r="G253" s="126">
        <f>COUNTIFS('TỔNG KLH + TN'!$B:$B,'01. TH'!$B253,'TỔNG KLH + TN'!$C:$C,'01. TH'!G$4)</f>
        <v>0</v>
      </c>
      <c r="H253" s="126">
        <f>COUNTIFS('TỔNG KLH + TN'!$B:$B,'01. TH'!$B253,'TỔNG KLH + TN'!$C:$C,'01. TH'!H$4)</f>
        <v>0</v>
      </c>
      <c r="I253" s="126">
        <f>COUNTIFS('TỔNG KLH + TN'!$B:$B,'01. TH'!$B253,'TỔNG KLH + TN'!$C:$C,'01. TH'!I$4)</f>
        <v>0</v>
      </c>
      <c r="J253" s="126">
        <f>COUNTIFS('TỔNG KLH + TN'!$B:$B,'01. TH'!$B253,'TỔNG KLH + TN'!$C:$C,'01. TH'!J$4)</f>
        <v>0</v>
      </c>
      <c r="K253" s="126">
        <f>COUNTIFS('TỔNG KLH + TN'!$B:$B,'01. TH'!$B253,'TỔNG KLH + TN'!$C:$C,'01. TH'!K$4)</f>
        <v>0</v>
      </c>
      <c r="L253" s="126">
        <f>COUNTIFS('TỔNG KLH + TN'!$B:$B,'01. TH'!$B253,'TỔNG KLH + TN'!$C:$C,'01. TH'!L$4)</f>
        <v>0</v>
      </c>
      <c r="M253" s="126">
        <f>COUNTIFS('TỔNG KLH + TN'!$B:$B,'01. TH'!$B253,'TỔNG KLH + TN'!$C:$C,'01. TH'!M$4)</f>
        <v>0</v>
      </c>
      <c r="N253" s="126">
        <f>COUNTIFS('TỔNG KLH + TN'!$B:$B,'01. TH'!$B253,'TỔNG KLH + TN'!$C:$C,'01. TH'!N$4)</f>
        <v>0</v>
      </c>
      <c r="O253" s="126">
        <f>COUNTIFS('TỔNG KLH + TN'!$B:$B,'01. TH'!$B253,'TỔNG KLH + TN'!$C:$C,'01. TH'!O$4)</f>
        <v>0</v>
      </c>
      <c r="P253" s="126">
        <f>COUNTIFS('TỔNG KLH + TN'!$B:$B,'01. TH'!$B253,'TỔNG KLH + TN'!$C:$C,'01. TH'!P$4)</f>
        <v>0</v>
      </c>
      <c r="Q253" s="126">
        <f>COUNTIFS('TỔNG KLH + TN'!$B:$B,'01. TH'!$B253,'TỔNG KLH + TN'!$C:$C,'01. TH'!Q$4)</f>
        <v>0</v>
      </c>
      <c r="R253" s="126">
        <f>COUNTIFS('TỔNG KLH + TN'!$B:$B,'01. TH'!$B253,'TỔNG KLH + TN'!$C:$C,'01. TH'!R$4)</f>
        <v>0</v>
      </c>
      <c r="S253" s="126">
        <f>COUNTIFS('TỔNG KLH + TN'!$B:$B,'01. TH'!$B253,'TỔNG KLH + TN'!$C:$C,'01. TH'!S$4)</f>
        <v>0</v>
      </c>
      <c r="T253" s="126">
        <f>COUNTIFS('TỔNG KLH + TN'!$B:$B,'01. TH'!$B253,'TỔNG KLH + TN'!$C:$C,'01. TH'!T$4)</f>
        <v>0</v>
      </c>
      <c r="U253" s="126">
        <f>COUNTIFS('TỔNG KLH + TN'!$B:$B,'01. TH'!$B253,'TỔNG KLH + TN'!$C:$C,'01. TH'!U$4)</f>
        <v>1</v>
      </c>
      <c r="V253" s="126">
        <f>COUNTIFS('TỔNG KLH + TN'!$B:$B,'01. TH'!$B253,'TỔNG KLH + TN'!$C:$C,'01. TH'!V$4)</f>
        <v>0</v>
      </c>
      <c r="W253" s="126">
        <f>COUNTIFS('TỔNG KLH + TN'!$B:$B,'01. TH'!$B253,'TỔNG KLH + TN'!$C:$C,'01. TH'!W$4)</f>
        <v>0</v>
      </c>
      <c r="X253" s="126">
        <f>COUNTIFS('TỔNG KLH + TN'!$B:$B,'01. TH'!$B253,'TỔNG KLH + TN'!$C:$C,'01. TH'!X$4)</f>
        <v>0</v>
      </c>
      <c r="Y253" s="126">
        <f>COUNTIFS('TỔNG KLH + TN'!$B:$B,'01. TH'!$B253,'TỔNG KLH + TN'!$C:$C,'01. TH'!Y$4)</f>
        <v>0</v>
      </c>
      <c r="Z253" s="126">
        <f>COUNTIFS('TỔNG KLH + TN'!$B:$B,'01. TH'!$B253,'TỔNG KLH + TN'!$C:$C,'01. TH'!Z$4)</f>
        <v>0</v>
      </c>
      <c r="AA253" s="126">
        <f>COUNTIFS('TỔNG KLH + TN'!$B:$B,'01. TH'!$B253,'TỔNG KLH + TN'!$C:$C,'01. TH'!AA$4)</f>
        <v>0</v>
      </c>
      <c r="AB253" s="126">
        <f>COUNTIFS('TỔNG KLH + TN'!$B:$B,'01. TH'!$B253,'TỔNG KLH + TN'!$C:$C,'01. TH'!AB$4)</f>
        <v>0</v>
      </c>
      <c r="AC253" s="126">
        <f>COUNTIFS('TỔNG KLH + TN'!$B:$B,'01. TH'!$B253,'TỔNG KLH + TN'!$C:$C,'01. TH'!AC$4)</f>
        <v>0</v>
      </c>
      <c r="AD253" s="126">
        <f>COUNTIFS('TỔNG KLH + TN'!$B:$B,'01. TH'!$B253,'TỔNG KLH + TN'!$C:$C,'01. TH'!AD$4)</f>
        <v>0</v>
      </c>
      <c r="AE253" s="725">
        <f t="shared" si="50"/>
        <v>1</v>
      </c>
      <c r="AF253" s="725"/>
      <c r="AG253" s="70" t="str">
        <f t="shared" si="24"/>
        <v>ok</v>
      </c>
      <c r="AH253" s="726"/>
    </row>
    <row r="254" ht="24.0" customHeight="1" collapsed="1">
      <c r="A254" s="70">
        <v>27.0</v>
      </c>
      <c r="B254" s="73" t="s">
        <v>5919</v>
      </c>
      <c r="C254" s="78"/>
      <c r="D254" s="78" t="s">
        <v>5920</v>
      </c>
      <c r="E254" s="78"/>
      <c r="F254" s="172">
        <f t="shared" ref="F254:AE254" si="51">SUM(F255)</f>
        <v>0</v>
      </c>
      <c r="G254" s="172">
        <f t="shared" si="51"/>
        <v>0</v>
      </c>
      <c r="H254" s="172">
        <f t="shared" si="51"/>
        <v>1</v>
      </c>
      <c r="I254" s="172">
        <f t="shared" si="51"/>
        <v>2</v>
      </c>
      <c r="J254" s="172">
        <f t="shared" si="51"/>
        <v>1</v>
      </c>
      <c r="K254" s="172">
        <f t="shared" si="51"/>
        <v>0</v>
      </c>
      <c r="L254" s="172">
        <f t="shared" si="51"/>
        <v>0</v>
      </c>
      <c r="M254" s="172">
        <f t="shared" si="51"/>
        <v>0</v>
      </c>
      <c r="N254" s="172">
        <f t="shared" si="51"/>
        <v>0</v>
      </c>
      <c r="O254" s="172">
        <f t="shared" si="51"/>
        <v>0</v>
      </c>
      <c r="P254" s="172">
        <f t="shared" si="51"/>
        <v>0</v>
      </c>
      <c r="Q254" s="172">
        <f t="shared" si="51"/>
        <v>1</v>
      </c>
      <c r="R254" s="172">
        <f t="shared" si="51"/>
        <v>2</v>
      </c>
      <c r="S254" s="172">
        <f t="shared" si="51"/>
        <v>0</v>
      </c>
      <c r="T254" s="172">
        <f t="shared" si="51"/>
        <v>0</v>
      </c>
      <c r="U254" s="172">
        <f t="shared" si="51"/>
        <v>0</v>
      </c>
      <c r="V254" s="172">
        <f t="shared" si="51"/>
        <v>0</v>
      </c>
      <c r="W254" s="172">
        <f t="shared" si="51"/>
        <v>0</v>
      </c>
      <c r="X254" s="172">
        <f t="shared" si="51"/>
        <v>0</v>
      </c>
      <c r="Y254" s="172">
        <f t="shared" si="51"/>
        <v>0</v>
      </c>
      <c r="Z254" s="172">
        <f t="shared" si="51"/>
        <v>0</v>
      </c>
      <c r="AA254" s="172">
        <f t="shared" si="51"/>
        <v>0</v>
      </c>
      <c r="AB254" s="172">
        <f t="shared" si="51"/>
        <v>0</v>
      </c>
      <c r="AC254" s="172">
        <f t="shared" si="51"/>
        <v>0</v>
      </c>
      <c r="AD254" s="172">
        <f t="shared" si="51"/>
        <v>0</v>
      </c>
      <c r="AE254" s="173">
        <f t="shared" si="51"/>
        <v>7</v>
      </c>
      <c r="AF254" s="174">
        <v>0.0</v>
      </c>
      <c r="AG254" s="70" t="str">
        <f t="shared" si="24"/>
        <v>ok</v>
      </c>
      <c r="AH254" s="70"/>
    </row>
    <row r="255" ht="18.75" hidden="1" customHeight="1" outlineLevel="1">
      <c r="A255" s="159"/>
      <c r="B255" s="122" t="s">
        <v>3919</v>
      </c>
      <c r="C255" s="124"/>
      <c r="D255" s="124"/>
      <c r="E255" s="124" t="s">
        <v>5837</v>
      </c>
      <c r="F255" s="126">
        <f>COUNTIFS('TỔNG KLH + TN'!$B:$B,'01. TH'!$B255,'TỔNG KLH + TN'!$C:$C,'01. TH'!F$4)</f>
        <v>0</v>
      </c>
      <c r="G255" s="126">
        <f>COUNTIFS('TỔNG KLH + TN'!$B:$B,'01. TH'!$B255,'TỔNG KLH + TN'!$C:$C,'01. TH'!G$4)</f>
        <v>0</v>
      </c>
      <c r="H255" s="126">
        <f>COUNTIFS('TỔNG KLH + TN'!$B:$B,'01. TH'!$B255,'TỔNG KLH + TN'!$C:$C,'01. TH'!H$4)</f>
        <v>1</v>
      </c>
      <c r="I255" s="126">
        <f>COUNTIFS('TỔNG KLH + TN'!$B:$B,'01. TH'!$B255,'TỔNG KLH + TN'!$C:$C,'01. TH'!I$4)</f>
        <v>2</v>
      </c>
      <c r="J255" s="126">
        <f>COUNTIFS('TỔNG KLH + TN'!$B:$B,'01. TH'!$B255,'TỔNG KLH + TN'!$C:$C,'01. TH'!J$4)</f>
        <v>1</v>
      </c>
      <c r="K255" s="126">
        <f>COUNTIFS('TỔNG KLH + TN'!$B:$B,'01. TH'!$B255,'TỔNG KLH + TN'!$C:$C,'01. TH'!K$4)</f>
        <v>0</v>
      </c>
      <c r="L255" s="126">
        <f>COUNTIFS('TỔNG KLH + TN'!$B:$B,'01. TH'!$B255,'TỔNG KLH + TN'!$C:$C,'01. TH'!L$4)</f>
        <v>0</v>
      </c>
      <c r="M255" s="126">
        <f>COUNTIFS('TỔNG KLH + TN'!$B:$B,'01. TH'!$B255,'TỔNG KLH + TN'!$C:$C,'01. TH'!M$4)</f>
        <v>0</v>
      </c>
      <c r="N255" s="126">
        <f>COUNTIFS('TỔNG KLH + TN'!$B:$B,'01. TH'!$B255,'TỔNG KLH + TN'!$C:$C,'01. TH'!N$4)</f>
        <v>0</v>
      </c>
      <c r="O255" s="126">
        <f>COUNTIFS('TỔNG KLH + TN'!$B:$B,'01. TH'!$B255,'TỔNG KLH + TN'!$C:$C,'01. TH'!O$4)</f>
        <v>0</v>
      </c>
      <c r="P255" s="126">
        <f>COUNTIFS('TỔNG KLH + TN'!$B:$B,'01. TH'!$B255,'TỔNG KLH + TN'!$C:$C,'01. TH'!P$4)</f>
        <v>0</v>
      </c>
      <c r="Q255" s="126">
        <f>COUNTIFS('TỔNG KLH + TN'!$B:$B,'01. TH'!$B255,'TỔNG KLH + TN'!$C:$C,'01. TH'!Q$4)</f>
        <v>1</v>
      </c>
      <c r="R255" s="126">
        <f>COUNTIFS('TỔNG KLH + TN'!$B:$B,'01. TH'!$B255,'TỔNG KLH + TN'!$C:$C,'01. TH'!R$4)</f>
        <v>2</v>
      </c>
      <c r="S255" s="126">
        <f>COUNTIFS('TỔNG KLH + TN'!$B:$B,'01. TH'!$B255,'TỔNG KLH + TN'!$C:$C,'01. TH'!S$4)</f>
        <v>0</v>
      </c>
      <c r="T255" s="126">
        <f>COUNTIFS('TỔNG KLH + TN'!$B:$B,'01. TH'!$B255,'TỔNG KLH + TN'!$C:$C,'01. TH'!T$4)</f>
        <v>0</v>
      </c>
      <c r="U255" s="126">
        <f>COUNTIFS('TỔNG KLH + TN'!$B:$B,'01. TH'!$B255,'TỔNG KLH + TN'!$C:$C,'01. TH'!U$4)</f>
        <v>0</v>
      </c>
      <c r="V255" s="126">
        <f>COUNTIFS('TỔNG KLH + TN'!$B:$B,'01. TH'!$B255,'TỔNG KLH + TN'!$C:$C,'01. TH'!V$4)</f>
        <v>0</v>
      </c>
      <c r="W255" s="126">
        <f>COUNTIFS('TỔNG KLH + TN'!$B:$B,'01. TH'!$B255,'TỔNG KLH + TN'!$C:$C,'01. TH'!W$4)</f>
        <v>0</v>
      </c>
      <c r="X255" s="126">
        <f>COUNTIFS('TỔNG KLH + TN'!$B:$B,'01. TH'!$B255,'TỔNG KLH + TN'!$C:$C,'01. TH'!X$4)</f>
        <v>0</v>
      </c>
      <c r="Y255" s="126">
        <f>COUNTIFS('TỔNG KLH + TN'!$B:$B,'01. TH'!$B255,'TỔNG KLH + TN'!$C:$C,'01. TH'!Y$4)</f>
        <v>0</v>
      </c>
      <c r="Z255" s="126">
        <f>COUNTIFS('TỔNG KLH + TN'!$B:$B,'01. TH'!$B255,'TỔNG KLH + TN'!$C:$C,'01. TH'!Z$4)</f>
        <v>0</v>
      </c>
      <c r="AA255" s="126">
        <f>COUNTIFS('TỔNG KLH + TN'!$B:$B,'01. TH'!$B255,'TỔNG KLH + TN'!$C:$C,'01. TH'!AA$4)</f>
        <v>0</v>
      </c>
      <c r="AB255" s="126">
        <f>COUNTIFS('TỔNG KLH + TN'!$B:$B,'01. TH'!$B255,'TỔNG KLH + TN'!$C:$C,'01. TH'!AB$4)</f>
        <v>0</v>
      </c>
      <c r="AC255" s="126">
        <f>COUNTIFS('TỔNG KLH + TN'!$B:$B,'01. TH'!$B255,'TỔNG KLH + TN'!$C:$C,'01. TH'!AC$4)</f>
        <v>0</v>
      </c>
      <c r="AD255" s="126">
        <f>COUNTIFS('TỔNG KLH + TN'!$B:$B,'01. TH'!$B255,'TỔNG KLH + TN'!$C:$C,'01. TH'!AD$4)</f>
        <v>0</v>
      </c>
      <c r="AE255" s="162">
        <f>SUM(F255:AD255)</f>
        <v>7</v>
      </c>
      <c r="AF255" s="162"/>
      <c r="AG255" s="70" t="str">
        <f t="shared" si="24"/>
        <v>ok</v>
      </c>
      <c r="AH255" s="163"/>
    </row>
    <row r="256" ht="24.0" customHeight="1" collapsed="1">
      <c r="A256" s="571">
        <v>28.0</v>
      </c>
      <c r="B256" s="73" t="s">
        <v>5923</v>
      </c>
      <c r="C256" s="78"/>
      <c r="D256" s="78" t="s">
        <v>5920</v>
      </c>
      <c r="E256" s="78"/>
      <c r="F256" s="172">
        <f t="shared" ref="F256:AE256" si="52">SUM(F257:F279)</f>
        <v>0</v>
      </c>
      <c r="G256" s="172">
        <f t="shared" si="52"/>
        <v>2</v>
      </c>
      <c r="H256" s="172">
        <f t="shared" si="52"/>
        <v>12</v>
      </c>
      <c r="I256" s="172">
        <f t="shared" si="52"/>
        <v>23</v>
      </c>
      <c r="J256" s="172">
        <f t="shared" si="52"/>
        <v>23</v>
      </c>
      <c r="K256" s="172">
        <f t="shared" si="52"/>
        <v>0</v>
      </c>
      <c r="L256" s="172">
        <f t="shared" si="52"/>
        <v>0</v>
      </c>
      <c r="M256" s="172">
        <f t="shared" si="52"/>
        <v>0</v>
      </c>
      <c r="N256" s="172">
        <f t="shared" si="52"/>
        <v>0</v>
      </c>
      <c r="O256" s="172">
        <f t="shared" si="52"/>
        <v>0</v>
      </c>
      <c r="P256" s="172">
        <f t="shared" si="52"/>
        <v>0</v>
      </c>
      <c r="Q256" s="172">
        <f t="shared" si="52"/>
        <v>11</v>
      </c>
      <c r="R256" s="172">
        <f t="shared" si="52"/>
        <v>22</v>
      </c>
      <c r="S256" s="172">
        <f t="shared" si="52"/>
        <v>1</v>
      </c>
      <c r="T256" s="172">
        <f t="shared" si="52"/>
        <v>0</v>
      </c>
      <c r="U256" s="172">
        <f t="shared" si="52"/>
        <v>40</v>
      </c>
      <c r="V256" s="172">
        <f t="shared" si="52"/>
        <v>0</v>
      </c>
      <c r="W256" s="172">
        <f t="shared" si="52"/>
        <v>18</v>
      </c>
      <c r="X256" s="172">
        <f t="shared" si="52"/>
        <v>0</v>
      </c>
      <c r="Y256" s="172">
        <f t="shared" si="52"/>
        <v>0</v>
      </c>
      <c r="Z256" s="172">
        <f t="shared" si="52"/>
        <v>0</v>
      </c>
      <c r="AA256" s="172">
        <f t="shared" si="52"/>
        <v>2</v>
      </c>
      <c r="AB256" s="172">
        <f t="shared" si="52"/>
        <v>0</v>
      </c>
      <c r="AC256" s="172">
        <f t="shared" si="52"/>
        <v>0</v>
      </c>
      <c r="AD256" s="172">
        <f t="shared" si="52"/>
        <v>0</v>
      </c>
      <c r="AE256" s="173">
        <f t="shared" si="52"/>
        <v>154</v>
      </c>
      <c r="AF256" s="174">
        <v>0.0</v>
      </c>
      <c r="AG256" s="70" t="str">
        <f t="shared" si="24"/>
        <v>ok</v>
      </c>
      <c r="AH256" s="120"/>
    </row>
    <row r="257" ht="17.25" hidden="1" customHeight="1" outlineLevel="1">
      <c r="A257" s="749"/>
      <c r="B257" s="750" t="s">
        <v>4457</v>
      </c>
      <c r="C257" s="751"/>
      <c r="D257" s="751" t="s">
        <v>5926</v>
      </c>
      <c r="E257" s="751" t="s">
        <v>5837</v>
      </c>
      <c r="F257" s="126">
        <f>COUNTIFS('TỔNG KLH + TN'!$B:$B,'01. TH'!$B257,'TỔNG KLH + TN'!$C:$C,'01. TH'!F$4)</f>
        <v>0</v>
      </c>
      <c r="G257" s="126">
        <f>COUNTIFS('TỔNG KLH + TN'!$B:$B,'01. TH'!$B257,'TỔNG KLH + TN'!$C:$C,'01. TH'!G$4)</f>
        <v>0</v>
      </c>
      <c r="H257" s="126">
        <f>COUNTIFS('TỔNG KLH + TN'!$B:$B,'01. TH'!$B257,'TỔNG KLH + TN'!$C:$C,'01. TH'!H$4)</f>
        <v>0</v>
      </c>
      <c r="I257" s="126">
        <f>COUNTIFS('TỔNG KLH + TN'!$B:$B,'01. TH'!$B257,'TỔNG KLH + TN'!$C:$C,'01. TH'!I$4)</f>
        <v>0</v>
      </c>
      <c r="J257" s="126">
        <f>COUNTIFS('TỔNG KLH + TN'!$B:$B,'01. TH'!$B257,'TỔNG KLH + TN'!$C:$C,'01. TH'!J$4)</f>
        <v>0</v>
      </c>
      <c r="K257" s="126">
        <f>COUNTIFS('TỔNG KLH + TN'!$B:$B,'01. TH'!$B257,'TỔNG KLH + TN'!$C:$C,'01. TH'!K$4)</f>
        <v>0</v>
      </c>
      <c r="L257" s="126">
        <f>COUNTIFS('TỔNG KLH + TN'!$B:$B,'01. TH'!$B257,'TỔNG KLH + TN'!$C:$C,'01. TH'!L$4)</f>
        <v>0</v>
      </c>
      <c r="M257" s="126">
        <f>COUNTIFS('TỔNG KLH + TN'!$B:$B,'01. TH'!$B257,'TỔNG KLH + TN'!$C:$C,'01. TH'!M$4)</f>
        <v>0</v>
      </c>
      <c r="N257" s="126">
        <f>COUNTIFS('TỔNG KLH + TN'!$B:$B,'01. TH'!$B257,'TỔNG KLH + TN'!$C:$C,'01. TH'!N$4)</f>
        <v>0</v>
      </c>
      <c r="O257" s="126">
        <f>COUNTIFS('TỔNG KLH + TN'!$B:$B,'01. TH'!$B257,'TỔNG KLH + TN'!$C:$C,'01. TH'!O$4)</f>
        <v>0</v>
      </c>
      <c r="P257" s="126">
        <f>COUNTIFS('TỔNG KLH + TN'!$B:$B,'01. TH'!$B257,'TỔNG KLH + TN'!$C:$C,'01. TH'!P$4)</f>
        <v>0</v>
      </c>
      <c r="Q257" s="126">
        <f>COUNTIFS('TỔNG KLH + TN'!$B:$B,'01. TH'!$B257,'TỔNG KLH + TN'!$C:$C,'01. TH'!Q$4)</f>
        <v>1</v>
      </c>
      <c r="R257" s="126">
        <f>COUNTIFS('TỔNG KLH + TN'!$B:$B,'01. TH'!$B257,'TỔNG KLH + TN'!$C:$C,'01. TH'!R$4)</f>
        <v>0</v>
      </c>
      <c r="S257" s="126">
        <f>COUNTIFS('TỔNG KLH + TN'!$B:$B,'01. TH'!$B257,'TỔNG KLH + TN'!$C:$C,'01. TH'!S$4)</f>
        <v>0</v>
      </c>
      <c r="T257" s="126">
        <f>COUNTIFS('TỔNG KLH + TN'!$B:$B,'01. TH'!$B257,'TỔNG KLH + TN'!$C:$C,'01. TH'!T$4)</f>
        <v>0</v>
      </c>
      <c r="U257" s="126">
        <f>COUNTIFS('TỔNG KLH + TN'!$B:$B,'01. TH'!$B257,'TỔNG KLH + TN'!$C:$C,'01. TH'!U$4)</f>
        <v>0</v>
      </c>
      <c r="V257" s="126">
        <f>COUNTIFS('TỔNG KLH + TN'!$B:$B,'01. TH'!$B257,'TỔNG KLH + TN'!$C:$C,'01. TH'!V$4)</f>
        <v>0</v>
      </c>
      <c r="W257" s="126">
        <f>COUNTIFS('TỔNG KLH + TN'!$B:$B,'01. TH'!$B257,'TỔNG KLH + TN'!$C:$C,'01. TH'!W$4)</f>
        <v>0</v>
      </c>
      <c r="X257" s="126">
        <f>COUNTIFS('TỔNG KLH + TN'!$B:$B,'01. TH'!$B257,'TỔNG KLH + TN'!$C:$C,'01. TH'!X$4)</f>
        <v>0</v>
      </c>
      <c r="Y257" s="126">
        <f>COUNTIFS('TỔNG KLH + TN'!$B:$B,'01. TH'!$B257,'TỔNG KLH + TN'!$C:$C,'01. TH'!Y$4)</f>
        <v>0</v>
      </c>
      <c r="Z257" s="126">
        <f>COUNTIFS('TỔNG KLH + TN'!$B:$B,'01. TH'!$B257,'TỔNG KLH + TN'!$C:$C,'01. TH'!Z$4)</f>
        <v>0</v>
      </c>
      <c r="AA257" s="126">
        <f>COUNTIFS('TỔNG KLH + TN'!$B:$B,'01. TH'!$B257,'TỔNG KLH + TN'!$C:$C,'01. TH'!AA$4)</f>
        <v>0</v>
      </c>
      <c r="AB257" s="126">
        <f>COUNTIFS('TỔNG KLH + TN'!$B:$B,'01. TH'!$B257,'TỔNG KLH + TN'!$C:$C,'01. TH'!AB$4)</f>
        <v>0</v>
      </c>
      <c r="AC257" s="126">
        <f>COUNTIFS('TỔNG KLH + TN'!$B:$B,'01. TH'!$B257,'TỔNG KLH + TN'!$C:$C,'01. TH'!AC$4)</f>
        <v>0</v>
      </c>
      <c r="AD257" s="126">
        <f>COUNTIFS('TỔNG KLH + TN'!$B:$B,'01. TH'!$B257,'TỔNG KLH + TN'!$C:$C,'01. TH'!AD$4)</f>
        <v>0</v>
      </c>
      <c r="AE257" s="162">
        <f t="shared" ref="AE257:AE279" si="53">SUM(F257:AD257)</f>
        <v>1</v>
      </c>
      <c r="AF257" s="162"/>
      <c r="AG257" s="70" t="str">
        <f t="shared" si="24"/>
        <v>ok</v>
      </c>
      <c r="AH257" s="755"/>
    </row>
    <row r="258" ht="17.25" hidden="1" customHeight="1" outlineLevel="1">
      <c r="A258" s="749"/>
      <c r="B258" s="750" t="s">
        <v>4872</v>
      </c>
      <c r="C258" s="751"/>
      <c r="D258" s="751" t="s">
        <v>5934</v>
      </c>
      <c r="E258" s="751" t="s">
        <v>5837</v>
      </c>
      <c r="F258" s="126">
        <f>COUNTIFS('TỔNG KLH + TN'!$B:$B,'01. TH'!$B258,'TỔNG KLH + TN'!$C:$C,'01. TH'!F$4)</f>
        <v>0</v>
      </c>
      <c r="G258" s="126">
        <f>COUNTIFS('TỔNG KLH + TN'!$B:$B,'01. TH'!$B258,'TỔNG KLH + TN'!$C:$C,'01. TH'!G$4)</f>
        <v>0</v>
      </c>
      <c r="H258" s="126">
        <f>COUNTIFS('TỔNG KLH + TN'!$B:$B,'01. TH'!$B258,'TỔNG KLH + TN'!$C:$C,'01. TH'!H$4)</f>
        <v>0</v>
      </c>
      <c r="I258" s="126">
        <f>COUNTIFS('TỔNG KLH + TN'!$B:$B,'01. TH'!$B258,'TỔNG KLH + TN'!$C:$C,'01. TH'!I$4)</f>
        <v>0</v>
      </c>
      <c r="J258" s="126">
        <f>COUNTIFS('TỔNG KLH + TN'!$B:$B,'01. TH'!$B258,'TỔNG KLH + TN'!$C:$C,'01. TH'!J$4)</f>
        <v>0</v>
      </c>
      <c r="K258" s="126">
        <f>COUNTIFS('TỔNG KLH + TN'!$B:$B,'01. TH'!$B258,'TỔNG KLH + TN'!$C:$C,'01. TH'!K$4)</f>
        <v>0</v>
      </c>
      <c r="L258" s="126">
        <f>COUNTIFS('TỔNG KLH + TN'!$B:$B,'01. TH'!$B258,'TỔNG KLH + TN'!$C:$C,'01. TH'!L$4)</f>
        <v>0</v>
      </c>
      <c r="M258" s="126">
        <f>COUNTIFS('TỔNG KLH + TN'!$B:$B,'01. TH'!$B258,'TỔNG KLH + TN'!$C:$C,'01. TH'!M$4)</f>
        <v>0</v>
      </c>
      <c r="N258" s="126">
        <f>COUNTIFS('TỔNG KLH + TN'!$B:$B,'01. TH'!$B258,'TỔNG KLH + TN'!$C:$C,'01. TH'!N$4)</f>
        <v>0</v>
      </c>
      <c r="O258" s="126">
        <f>COUNTIFS('TỔNG KLH + TN'!$B:$B,'01. TH'!$B258,'TỔNG KLH + TN'!$C:$C,'01. TH'!O$4)</f>
        <v>0</v>
      </c>
      <c r="P258" s="126">
        <f>COUNTIFS('TỔNG KLH + TN'!$B:$B,'01. TH'!$B258,'TỔNG KLH + TN'!$C:$C,'01. TH'!P$4)</f>
        <v>0</v>
      </c>
      <c r="Q258" s="126">
        <f>COUNTIFS('TỔNG KLH + TN'!$B:$B,'01. TH'!$B258,'TỔNG KLH + TN'!$C:$C,'01. TH'!Q$4)</f>
        <v>0</v>
      </c>
      <c r="R258" s="126">
        <f>COUNTIFS('TỔNG KLH + TN'!$B:$B,'01. TH'!$B258,'TỔNG KLH + TN'!$C:$C,'01. TH'!R$4)</f>
        <v>0</v>
      </c>
      <c r="S258" s="126">
        <f>COUNTIFS('TỔNG KLH + TN'!$B:$B,'01. TH'!$B258,'TỔNG KLH + TN'!$C:$C,'01. TH'!S$4)</f>
        <v>0</v>
      </c>
      <c r="T258" s="126">
        <f>COUNTIFS('TỔNG KLH + TN'!$B:$B,'01. TH'!$B258,'TỔNG KLH + TN'!$C:$C,'01. TH'!T$4)</f>
        <v>0</v>
      </c>
      <c r="U258" s="126">
        <f>COUNTIFS('TỔNG KLH + TN'!$B:$B,'01. TH'!$B258,'TỔNG KLH + TN'!$C:$C,'01. TH'!U$4)</f>
        <v>0</v>
      </c>
      <c r="V258" s="126">
        <f>COUNTIFS('TỔNG KLH + TN'!$B:$B,'01. TH'!$B258,'TỔNG KLH + TN'!$C:$C,'01. TH'!V$4)</f>
        <v>0</v>
      </c>
      <c r="W258" s="126">
        <f>COUNTIFS('TỔNG KLH + TN'!$B:$B,'01. TH'!$B258,'TỔNG KLH + TN'!$C:$C,'01. TH'!W$4)</f>
        <v>0</v>
      </c>
      <c r="X258" s="126">
        <f>COUNTIFS('TỔNG KLH + TN'!$B:$B,'01. TH'!$B258,'TỔNG KLH + TN'!$C:$C,'01. TH'!X$4)</f>
        <v>0</v>
      </c>
      <c r="Y258" s="126">
        <f>COUNTIFS('TỔNG KLH + TN'!$B:$B,'01. TH'!$B258,'TỔNG KLH + TN'!$C:$C,'01. TH'!Y$4)</f>
        <v>0</v>
      </c>
      <c r="Z258" s="126">
        <f>COUNTIFS('TỔNG KLH + TN'!$B:$B,'01. TH'!$B258,'TỔNG KLH + TN'!$C:$C,'01. TH'!Z$4)</f>
        <v>0</v>
      </c>
      <c r="AA258" s="126">
        <f>COUNTIFS('TỔNG KLH + TN'!$B:$B,'01. TH'!$B258,'TỔNG KLH + TN'!$C:$C,'01. TH'!AA$4)</f>
        <v>0</v>
      </c>
      <c r="AB258" s="126">
        <f>COUNTIFS('TỔNG KLH + TN'!$B:$B,'01. TH'!$B258,'TỔNG KLH + TN'!$C:$C,'01. TH'!AB$4)</f>
        <v>0</v>
      </c>
      <c r="AC258" s="126">
        <f>COUNTIFS('TỔNG KLH + TN'!$B:$B,'01. TH'!$B258,'TỔNG KLH + TN'!$C:$C,'01. TH'!AC$4)</f>
        <v>0</v>
      </c>
      <c r="AD258" s="126">
        <f>COUNTIFS('TỔNG KLH + TN'!$B:$B,'01. TH'!$B258,'TỔNG KLH + TN'!$C:$C,'01. TH'!AD$4)</f>
        <v>0</v>
      </c>
      <c r="AE258" s="162">
        <f t="shared" si="53"/>
        <v>0</v>
      </c>
      <c r="AF258" s="162"/>
      <c r="AG258" s="70" t="str">
        <f t="shared" si="24"/>
        <v>ok</v>
      </c>
      <c r="AH258" s="755"/>
    </row>
    <row r="259" ht="17.25" hidden="1" customHeight="1" outlineLevel="1">
      <c r="A259" s="749"/>
      <c r="B259" s="756" t="s">
        <v>4097</v>
      </c>
      <c r="C259" s="751"/>
      <c r="D259" s="751" t="s">
        <v>5937</v>
      </c>
      <c r="E259" s="751" t="s">
        <v>5837</v>
      </c>
      <c r="F259" s="126">
        <f>COUNTIFS('TỔNG KLH + TN'!$B:$B,'01. TH'!$B259,'TỔNG KLH + TN'!$C:$C,'01. TH'!F$4)</f>
        <v>0</v>
      </c>
      <c r="G259" s="126">
        <f>COUNTIFS('TỔNG KLH + TN'!$B:$B,'01. TH'!$B259,'TỔNG KLH + TN'!$C:$C,'01. TH'!G$4)</f>
        <v>0</v>
      </c>
      <c r="H259" s="126">
        <f>COUNTIFS('TỔNG KLH + TN'!$B:$B,'01. TH'!$B259,'TỔNG KLH + TN'!$C:$C,'01. TH'!H$4)</f>
        <v>0</v>
      </c>
      <c r="I259" s="126">
        <f>COUNTIFS('TỔNG KLH + TN'!$B:$B,'01. TH'!$B259,'TỔNG KLH + TN'!$C:$C,'01. TH'!I$4)</f>
        <v>2</v>
      </c>
      <c r="J259" s="126">
        <f>COUNTIFS('TỔNG KLH + TN'!$B:$B,'01. TH'!$B259,'TỔNG KLH + TN'!$C:$C,'01. TH'!J$4)</f>
        <v>0</v>
      </c>
      <c r="K259" s="126">
        <f>COUNTIFS('TỔNG KLH + TN'!$B:$B,'01. TH'!$B259,'TỔNG KLH + TN'!$C:$C,'01. TH'!K$4)</f>
        <v>0</v>
      </c>
      <c r="L259" s="126">
        <f>COUNTIFS('TỔNG KLH + TN'!$B:$B,'01. TH'!$B259,'TỔNG KLH + TN'!$C:$C,'01. TH'!L$4)</f>
        <v>0</v>
      </c>
      <c r="M259" s="126">
        <f>COUNTIFS('TỔNG KLH + TN'!$B:$B,'01. TH'!$B259,'TỔNG KLH + TN'!$C:$C,'01. TH'!M$4)</f>
        <v>0</v>
      </c>
      <c r="N259" s="126">
        <f>COUNTIFS('TỔNG KLH + TN'!$B:$B,'01. TH'!$B259,'TỔNG KLH + TN'!$C:$C,'01. TH'!N$4)</f>
        <v>0</v>
      </c>
      <c r="O259" s="126">
        <f>COUNTIFS('TỔNG KLH + TN'!$B:$B,'01. TH'!$B259,'TỔNG KLH + TN'!$C:$C,'01. TH'!O$4)</f>
        <v>0</v>
      </c>
      <c r="P259" s="126">
        <f>COUNTIFS('TỔNG KLH + TN'!$B:$B,'01. TH'!$B259,'TỔNG KLH + TN'!$C:$C,'01. TH'!P$4)</f>
        <v>0</v>
      </c>
      <c r="Q259" s="126">
        <f>COUNTIFS('TỔNG KLH + TN'!$B:$B,'01. TH'!$B259,'TỔNG KLH + TN'!$C:$C,'01. TH'!Q$4)</f>
        <v>0</v>
      </c>
      <c r="R259" s="126">
        <f>COUNTIFS('TỔNG KLH + TN'!$B:$B,'01. TH'!$B259,'TỔNG KLH + TN'!$C:$C,'01. TH'!R$4)</f>
        <v>1</v>
      </c>
      <c r="S259" s="126">
        <f>COUNTIFS('TỔNG KLH + TN'!$B:$B,'01. TH'!$B259,'TỔNG KLH + TN'!$C:$C,'01. TH'!S$4)</f>
        <v>0</v>
      </c>
      <c r="T259" s="126">
        <f>COUNTIFS('TỔNG KLH + TN'!$B:$B,'01. TH'!$B259,'TỔNG KLH + TN'!$C:$C,'01. TH'!T$4)</f>
        <v>0</v>
      </c>
      <c r="U259" s="126">
        <f>COUNTIFS('TỔNG KLH + TN'!$B:$B,'01. TH'!$B259,'TỔNG KLH + TN'!$C:$C,'01. TH'!U$4)</f>
        <v>0</v>
      </c>
      <c r="V259" s="126">
        <f>COUNTIFS('TỔNG KLH + TN'!$B:$B,'01. TH'!$B259,'TỔNG KLH + TN'!$C:$C,'01. TH'!V$4)</f>
        <v>0</v>
      </c>
      <c r="W259" s="126">
        <f>COUNTIFS('TỔNG KLH + TN'!$B:$B,'01. TH'!$B259,'TỔNG KLH + TN'!$C:$C,'01. TH'!W$4)</f>
        <v>0</v>
      </c>
      <c r="X259" s="126">
        <f>COUNTIFS('TỔNG KLH + TN'!$B:$B,'01. TH'!$B259,'TỔNG KLH + TN'!$C:$C,'01. TH'!X$4)</f>
        <v>0</v>
      </c>
      <c r="Y259" s="126">
        <f>COUNTIFS('TỔNG KLH + TN'!$B:$B,'01. TH'!$B259,'TỔNG KLH + TN'!$C:$C,'01. TH'!Y$4)</f>
        <v>0</v>
      </c>
      <c r="Z259" s="126">
        <f>COUNTIFS('TỔNG KLH + TN'!$B:$B,'01. TH'!$B259,'TỔNG KLH + TN'!$C:$C,'01. TH'!Z$4)</f>
        <v>0</v>
      </c>
      <c r="AA259" s="126">
        <f>COUNTIFS('TỔNG KLH + TN'!$B:$B,'01. TH'!$B259,'TỔNG KLH + TN'!$C:$C,'01. TH'!AA$4)</f>
        <v>0</v>
      </c>
      <c r="AB259" s="126">
        <f>COUNTIFS('TỔNG KLH + TN'!$B:$B,'01. TH'!$B259,'TỔNG KLH + TN'!$C:$C,'01. TH'!AB$4)</f>
        <v>0</v>
      </c>
      <c r="AC259" s="126">
        <f>COUNTIFS('TỔNG KLH + TN'!$B:$B,'01. TH'!$B259,'TỔNG KLH + TN'!$C:$C,'01. TH'!AC$4)</f>
        <v>0</v>
      </c>
      <c r="AD259" s="126">
        <f>COUNTIFS('TỔNG KLH + TN'!$B:$B,'01. TH'!$B259,'TỔNG KLH + TN'!$C:$C,'01. TH'!AD$4)</f>
        <v>0</v>
      </c>
      <c r="AE259" s="162">
        <f t="shared" si="53"/>
        <v>3</v>
      </c>
      <c r="AF259" s="162"/>
      <c r="AG259" s="70" t="str">
        <f t="shared" si="24"/>
        <v>ok</v>
      </c>
      <c r="AH259" s="755"/>
    </row>
    <row r="260" ht="17.25" hidden="1" customHeight="1" outlineLevel="1">
      <c r="A260" s="749"/>
      <c r="B260" s="758" t="s">
        <v>4202</v>
      </c>
      <c r="C260" s="751"/>
      <c r="D260" s="751" t="s">
        <v>5940</v>
      </c>
      <c r="E260" s="751" t="s">
        <v>5837</v>
      </c>
      <c r="F260" s="126">
        <f>COUNTIFS('TỔNG KLH + TN'!$B:$B,'01. TH'!$B260,'TỔNG KLH + TN'!$C:$C,'01. TH'!F$4)</f>
        <v>0</v>
      </c>
      <c r="G260" s="126">
        <f>COUNTIFS('TỔNG KLH + TN'!$B:$B,'01. TH'!$B260,'TỔNG KLH + TN'!$C:$C,'01. TH'!G$4)</f>
        <v>0</v>
      </c>
      <c r="H260" s="126">
        <f>COUNTIFS('TỔNG KLH + TN'!$B:$B,'01. TH'!$B260,'TỔNG KLH + TN'!$C:$C,'01. TH'!H$4)</f>
        <v>0</v>
      </c>
      <c r="I260" s="126">
        <f>COUNTIFS('TỔNG KLH + TN'!$B:$B,'01. TH'!$B260,'TỔNG KLH + TN'!$C:$C,'01. TH'!I$4)</f>
        <v>2</v>
      </c>
      <c r="J260" s="126">
        <f>COUNTIFS('TỔNG KLH + TN'!$B:$B,'01. TH'!$B260,'TỔNG KLH + TN'!$C:$C,'01. TH'!J$4)</f>
        <v>0</v>
      </c>
      <c r="K260" s="126">
        <f>COUNTIFS('TỔNG KLH + TN'!$B:$B,'01. TH'!$B260,'TỔNG KLH + TN'!$C:$C,'01. TH'!K$4)</f>
        <v>0</v>
      </c>
      <c r="L260" s="126">
        <f>COUNTIFS('TỔNG KLH + TN'!$B:$B,'01. TH'!$B260,'TỔNG KLH + TN'!$C:$C,'01. TH'!L$4)</f>
        <v>0</v>
      </c>
      <c r="M260" s="126">
        <f>COUNTIFS('TỔNG KLH + TN'!$B:$B,'01. TH'!$B260,'TỔNG KLH + TN'!$C:$C,'01. TH'!M$4)</f>
        <v>0</v>
      </c>
      <c r="N260" s="126">
        <f>COUNTIFS('TỔNG KLH + TN'!$B:$B,'01. TH'!$B260,'TỔNG KLH + TN'!$C:$C,'01. TH'!N$4)</f>
        <v>0</v>
      </c>
      <c r="O260" s="126">
        <f>COUNTIFS('TỔNG KLH + TN'!$B:$B,'01. TH'!$B260,'TỔNG KLH + TN'!$C:$C,'01. TH'!O$4)</f>
        <v>0</v>
      </c>
      <c r="P260" s="126">
        <f>COUNTIFS('TỔNG KLH + TN'!$B:$B,'01. TH'!$B260,'TỔNG KLH + TN'!$C:$C,'01. TH'!P$4)</f>
        <v>0</v>
      </c>
      <c r="Q260" s="126">
        <f>COUNTIFS('TỔNG KLH + TN'!$B:$B,'01. TH'!$B260,'TỔNG KLH + TN'!$C:$C,'01. TH'!Q$4)</f>
        <v>0</v>
      </c>
      <c r="R260" s="126">
        <f>COUNTIFS('TỔNG KLH + TN'!$B:$B,'01. TH'!$B260,'TỔNG KLH + TN'!$C:$C,'01. TH'!R$4)</f>
        <v>4</v>
      </c>
      <c r="S260" s="126">
        <f>COUNTIFS('TỔNG KLH + TN'!$B:$B,'01. TH'!$B260,'TỔNG KLH + TN'!$C:$C,'01. TH'!S$4)</f>
        <v>0</v>
      </c>
      <c r="T260" s="126">
        <f>COUNTIFS('TỔNG KLH + TN'!$B:$B,'01. TH'!$B260,'TỔNG KLH + TN'!$C:$C,'01. TH'!T$4)</f>
        <v>0</v>
      </c>
      <c r="U260" s="126">
        <f>COUNTIFS('TỔNG KLH + TN'!$B:$B,'01. TH'!$B260,'TỔNG KLH + TN'!$C:$C,'01. TH'!U$4)</f>
        <v>2</v>
      </c>
      <c r="V260" s="126">
        <f>COUNTIFS('TỔNG KLH + TN'!$B:$B,'01. TH'!$B260,'TỔNG KLH + TN'!$C:$C,'01. TH'!V$4)</f>
        <v>0</v>
      </c>
      <c r="W260" s="126">
        <f>COUNTIFS('TỔNG KLH + TN'!$B:$B,'01. TH'!$B260,'TỔNG KLH + TN'!$C:$C,'01. TH'!W$4)</f>
        <v>0</v>
      </c>
      <c r="X260" s="126">
        <f>COUNTIFS('TỔNG KLH + TN'!$B:$B,'01. TH'!$B260,'TỔNG KLH + TN'!$C:$C,'01. TH'!X$4)</f>
        <v>0</v>
      </c>
      <c r="Y260" s="126">
        <f>COUNTIFS('TỔNG KLH + TN'!$B:$B,'01. TH'!$B260,'TỔNG KLH + TN'!$C:$C,'01. TH'!Y$4)</f>
        <v>0</v>
      </c>
      <c r="Z260" s="126">
        <f>COUNTIFS('TỔNG KLH + TN'!$B:$B,'01. TH'!$B260,'TỔNG KLH + TN'!$C:$C,'01. TH'!Z$4)</f>
        <v>0</v>
      </c>
      <c r="AA260" s="126">
        <f>COUNTIFS('TỔNG KLH + TN'!$B:$B,'01. TH'!$B260,'TỔNG KLH + TN'!$C:$C,'01. TH'!AA$4)</f>
        <v>0</v>
      </c>
      <c r="AB260" s="126">
        <f>COUNTIFS('TỔNG KLH + TN'!$B:$B,'01. TH'!$B260,'TỔNG KLH + TN'!$C:$C,'01. TH'!AB$4)</f>
        <v>0</v>
      </c>
      <c r="AC260" s="126">
        <f>COUNTIFS('TỔNG KLH + TN'!$B:$B,'01. TH'!$B260,'TỔNG KLH + TN'!$C:$C,'01. TH'!AC$4)</f>
        <v>0</v>
      </c>
      <c r="AD260" s="126">
        <f>COUNTIFS('TỔNG KLH + TN'!$B:$B,'01. TH'!$B260,'TỔNG KLH + TN'!$C:$C,'01. TH'!AD$4)</f>
        <v>0</v>
      </c>
      <c r="AE260" s="162">
        <f t="shared" si="53"/>
        <v>8</v>
      </c>
      <c r="AF260" s="162"/>
      <c r="AG260" s="70" t="str">
        <f t="shared" si="24"/>
        <v>ok</v>
      </c>
      <c r="AH260" s="755"/>
    </row>
    <row r="261" ht="17.25" hidden="1" customHeight="1" outlineLevel="1">
      <c r="A261" s="749"/>
      <c r="B261" s="758" t="s">
        <v>5628</v>
      </c>
      <c r="C261" s="751"/>
      <c r="D261" s="751" t="s">
        <v>5945</v>
      </c>
      <c r="E261" s="751" t="s">
        <v>5837</v>
      </c>
      <c r="F261" s="126">
        <f>COUNTIFS('TỔNG KLH + TN'!$B:$B,'01. TH'!$B261,'TỔNG KLH + TN'!$C:$C,'01. TH'!F$4)</f>
        <v>0</v>
      </c>
      <c r="G261" s="126">
        <f>COUNTIFS('TỔNG KLH + TN'!$B:$B,'01. TH'!$B261,'TỔNG KLH + TN'!$C:$C,'01. TH'!G$4)</f>
        <v>0</v>
      </c>
      <c r="H261" s="126">
        <f>COUNTIFS('TỔNG KLH + TN'!$B:$B,'01. TH'!$B261,'TỔNG KLH + TN'!$C:$C,'01. TH'!H$4)</f>
        <v>0</v>
      </c>
      <c r="I261" s="126">
        <f>COUNTIFS('TỔNG KLH + TN'!$B:$B,'01. TH'!$B261,'TỔNG KLH + TN'!$C:$C,'01. TH'!I$4)</f>
        <v>0</v>
      </c>
      <c r="J261" s="126">
        <f>COUNTIFS('TỔNG KLH + TN'!$B:$B,'01. TH'!$B261,'TỔNG KLH + TN'!$C:$C,'01. TH'!J$4)</f>
        <v>0</v>
      </c>
      <c r="K261" s="126">
        <f>COUNTIFS('TỔNG KLH + TN'!$B:$B,'01. TH'!$B261,'TỔNG KLH + TN'!$C:$C,'01. TH'!K$4)</f>
        <v>0</v>
      </c>
      <c r="L261" s="126">
        <f>COUNTIFS('TỔNG KLH + TN'!$B:$B,'01. TH'!$B261,'TỔNG KLH + TN'!$C:$C,'01. TH'!L$4)</f>
        <v>0</v>
      </c>
      <c r="M261" s="126">
        <f>COUNTIFS('TỔNG KLH + TN'!$B:$B,'01. TH'!$B261,'TỔNG KLH + TN'!$C:$C,'01. TH'!M$4)</f>
        <v>0</v>
      </c>
      <c r="N261" s="126">
        <f>COUNTIFS('TỔNG KLH + TN'!$B:$B,'01. TH'!$B261,'TỔNG KLH + TN'!$C:$C,'01. TH'!N$4)</f>
        <v>0</v>
      </c>
      <c r="O261" s="126">
        <f>COUNTIFS('TỔNG KLH + TN'!$B:$B,'01. TH'!$B261,'TỔNG KLH + TN'!$C:$C,'01. TH'!O$4)</f>
        <v>0</v>
      </c>
      <c r="P261" s="126">
        <f>COUNTIFS('TỔNG KLH + TN'!$B:$B,'01. TH'!$B261,'TỔNG KLH + TN'!$C:$C,'01. TH'!P$4)</f>
        <v>0</v>
      </c>
      <c r="Q261" s="126">
        <f>COUNTIFS('TỔNG KLH + TN'!$B:$B,'01. TH'!$B261,'TỔNG KLH + TN'!$C:$C,'01. TH'!Q$4)</f>
        <v>0</v>
      </c>
      <c r="R261" s="126">
        <f>COUNTIFS('TỔNG KLH + TN'!$B:$B,'01. TH'!$B261,'TỔNG KLH + TN'!$C:$C,'01. TH'!R$4)</f>
        <v>0</v>
      </c>
      <c r="S261" s="126">
        <f>COUNTIFS('TỔNG KLH + TN'!$B:$B,'01. TH'!$B261,'TỔNG KLH + TN'!$C:$C,'01. TH'!S$4)</f>
        <v>0</v>
      </c>
      <c r="T261" s="126">
        <f>COUNTIFS('TỔNG KLH + TN'!$B:$B,'01. TH'!$B261,'TỔNG KLH + TN'!$C:$C,'01. TH'!T$4)</f>
        <v>0</v>
      </c>
      <c r="U261" s="126">
        <f>COUNTIFS('TỔNG KLH + TN'!$B:$B,'01. TH'!$B261,'TỔNG KLH + TN'!$C:$C,'01. TH'!U$4)</f>
        <v>0</v>
      </c>
      <c r="V261" s="126">
        <f>COUNTIFS('TỔNG KLH + TN'!$B:$B,'01. TH'!$B261,'TỔNG KLH + TN'!$C:$C,'01. TH'!V$4)</f>
        <v>0</v>
      </c>
      <c r="W261" s="126">
        <f>COUNTIFS('TỔNG KLH + TN'!$B:$B,'01. TH'!$B261,'TỔNG KLH + TN'!$C:$C,'01. TH'!W$4)</f>
        <v>0</v>
      </c>
      <c r="X261" s="126">
        <f>COUNTIFS('TỔNG KLH + TN'!$B:$B,'01. TH'!$B261,'TỔNG KLH + TN'!$C:$C,'01. TH'!X$4)</f>
        <v>0</v>
      </c>
      <c r="Y261" s="126">
        <f>COUNTIFS('TỔNG KLH + TN'!$B:$B,'01. TH'!$B261,'TỔNG KLH + TN'!$C:$C,'01. TH'!Y$4)</f>
        <v>0</v>
      </c>
      <c r="Z261" s="126">
        <f>COUNTIFS('TỔNG KLH + TN'!$B:$B,'01. TH'!$B261,'TỔNG KLH + TN'!$C:$C,'01. TH'!Z$4)</f>
        <v>0</v>
      </c>
      <c r="AA261" s="126">
        <f>COUNTIFS('TỔNG KLH + TN'!$B:$B,'01. TH'!$B261,'TỔNG KLH + TN'!$C:$C,'01. TH'!AA$4)</f>
        <v>1</v>
      </c>
      <c r="AB261" s="126">
        <f>COUNTIFS('TỔNG KLH + TN'!$B:$B,'01. TH'!$B261,'TỔNG KLH + TN'!$C:$C,'01. TH'!AB$4)</f>
        <v>0</v>
      </c>
      <c r="AC261" s="126">
        <f>COUNTIFS('TỔNG KLH + TN'!$B:$B,'01. TH'!$B261,'TỔNG KLH + TN'!$C:$C,'01. TH'!AC$4)</f>
        <v>0</v>
      </c>
      <c r="AD261" s="126">
        <f>COUNTIFS('TỔNG KLH + TN'!$B:$B,'01. TH'!$B261,'TỔNG KLH + TN'!$C:$C,'01. TH'!AD$4)</f>
        <v>0</v>
      </c>
      <c r="AE261" s="162">
        <f t="shared" si="53"/>
        <v>1</v>
      </c>
      <c r="AF261" s="162"/>
      <c r="AG261" s="70" t="str">
        <f t="shared" si="24"/>
        <v>ok</v>
      </c>
      <c r="AH261" s="755"/>
    </row>
    <row r="262" ht="17.25" hidden="1" customHeight="1" outlineLevel="1">
      <c r="A262" s="749"/>
      <c r="B262" s="761" t="s">
        <v>3925</v>
      </c>
      <c r="C262" s="751"/>
      <c r="D262" s="751" t="s">
        <v>5948</v>
      </c>
      <c r="E262" s="751" t="s">
        <v>5837</v>
      </c>
      <c r="F262" s="126">
        <f>COUNTIFS('TỔNG KLH + TN'!$B:$B,'01. TH'!$B262,'TỔNG KLH + TN'!$C:$C,'01. TH'!F$4)</f>
        <v>0</v>
      </c>
      <c r="G262" s="126">
        <f>COUNTIFS('TỔNG KLH + TN'!$B:$B,'01. TH'!$B262,'TỔNG KLH + TN'!$C:$C,'01. TH'!G$4)</f>
        <v>0</v>
      </c>
      <c r="H262" s="126">
        <f>COUNTIFS('TỔNG KLH + TN'!$B:$B,'01. TH'!$B262,'TỔNG KLH + TN'!$C:$C,'01. TH'!H$4)</f>
        <v>7</v>
      </c>
      <c r="I262" s="126">
        <f>COUNTIFS('TỔNG KLH + TN'!$B:$B,'01. TH'!$B262,'TỔNG KLH + TN'!$C:$C,'01. TH'!I$4)</f>
        <v>8</v>
      </c>
      <c r="J262" s="126">
        <f>COUNTIFS('TỔNG KLH + TN'!$B:$B,'01. TH'!$B262,'TỔNG KLH + TN'!$C:$C,'01. TH'!J$4)</f>
        <v>6</v>
      </c>
      <c r="K262" s="126">
        <f>COUNTIFS('TỔNG KLH + TN'!$B:$B,'01. TH'!$B262,'TỔNG KLH + TN'!$C:$C,'01. TH'!K$4)</f>
        <v>0</v>
      </c>
      <c r="L262" s="126">
        <f>COUNTIFS('TỔNG KLH + TN'!$B:$B,'01. TH'!$B262,'TỔNG KLH + TN'!$C:$C,'01. TH'!L$4)</f>
        <v>0</v>
      </c>
      <c r="M262" s="126">
        <f>COUNTIFS('TỔNG KLH + TN'!$B:$B,'01. TH'!$B262,'TỔNG KLH + TN'!$C:$C,'01. TH'!M$4)</f>
        <v>0</v>
      </c>
      <c r="N262" s="126">
        <f>COUNTIFS('TỔNG KLH + TN'!$B:$B,'01. TH'!$B262,'TỔNG KLH + TN'!$C:$C,'01. TH'!N$4)</f>
        <v>0</v>
      </c>
      <c r="O262" s="126">
        <f>COUNTIFS('TỔNG KLH + TN'!$B:$B,'01. TH'!$B262,'TỔNG KLH + TN'!$C:$C,'01. TH'!O$4)</f>
        <v>0</v>
      </c>
      <c r="P262" s="126">
        <f>COUNTIFS('TỔNG KLH + TN'!$B:$B,'01. TH'!$B262,'TỔNG KLH + TN'!$C:$C,'01. TH'!P$4)</f>
        <v>0</v>
      </c>
      <c r="Q262" s="126">
        <f>COUNTIFS('TỔNG KLH + TN'!$B:$B,'01. TH'!$B262,'TỔNG KLH + TN'!$C:$C,'01. TH'!Q$4)</f>
        <v>0</v>
      </c>
      <c r="R262" s="126">
        <f>COUNTIFS('TỔNG KLH + TN'!$B:$B,'01. TH'!$B262,'TỔNG KLH + TN'!$C:$C,'01. TH'!R$4)</f>
        <v>0</v>
      </c>
      <c r="S262" s="126">
        <f>COUNTIFS('TỔNG KLH + TN'!$B:$B,'01. TH'!$B262,'TỔNG KLH + TN'!$C:$C,'01. TH'!S$4)</f>
        <v>0</v>
      </c>
      <c r="T262" s="126">
        <f>COUNTIFS('TỔNG KLH + TN'!$B:$B,'01. TH'!$B262,'TỔNG KLH + TN'!$C:$C,'01. TH'!T$4)</f>
        <v>0</v>
      </c>
      <c r="U262" s="126">
        <f>COUNTIFS('TỔNG KLH + TN'!$B:$B,'01. TH'!$B262,'TỔNG KLH + TN'!$C:$C,'01. TH'!U$4)</f>
        <v>0</v>
      </c>
      <c r="V262" s="126">
        <f>COUNTIFS('TỔNG KLH + TN'!$B:$B,'01. TH'!$B262,'TỔNG KLH + TN'!$C:$C,'01. TH'!V$4)</f>
        <v>0</v>
      </c>
      <c r="W262" s="126">
        <f>COUNTIFS('TỔNG KLH + TN'!$B:$B,'01. TH'!$B262,'TỔNG KLH + TN'!$C:$C,'01. TH'!W$4)</f>
        <v>0</v>
      </c>
      <c r="X262" s="126">
        <f>COUNTIFS('TỔNG KLH + TN'!$B:$B,'01. TH'!$B262,'TỔNG KLH + TN'!$C:$C,'01. TH'!X$4)</f>
        <v>0</v>
      </c>
      <c r="Y262" s="126">
        <f>COUNTIFS('TỔNG KLH + TN'!$B:$B,'01. TH'!$B262,'TỔNG KLH + TN'!$C:$C,'01. TH'!Y$4)</f>
        <v>0</v>
      </c>
      <c r="Z262" s="126">
        <f>COUNTIFS('TỔNG KLH + TN'!$B:$B,'01. TH'!$B262,'TỔNG KLH + TN'!$C:$C,'01. TH'!Z$4)</f>
        <v>0</v>
      </c>
      <c r="AA262" s="126">
        <f>COUNTIFS('TỔNG KLH + TN'!$B:$B,'01. TH'!$B262,'TỔNG KLH + TN'!$C:$C,'01. TH'!AA$4)</f>
        <v>0</v>
      </c>
      <c r="AB262" s="126">
        <f>COUNTIFS('TỔNG KLH + TN'!$B:$B,'01. TH'!$B262,'TỔNG KLH + TN'!$C:$C,'01. TH'!AB$4)</f>
        <v>0</v>
      </c>
      <c r="AC262" s="126">
        <f>COUNTIFS('TỔNG KLH + TN'!$B:$B,'01. TH'!$B262,'TỔNG KLH + TN'!$C:$C,'01. TH'!AC$4)</f>
        <v>0</v>
      </c>
      <c r="AD262" s="126">
        <f>COUNTIFS('TỔNG KLH + TN'!$B:$B,'01. TH'!$B262,'TỔNG KLH + TN'!$C:$C,'01. TH'!AD$4)</f>
        <v>0</v>
      </c>
      <c r="AE262" s="162">
        <f t="shared" si="53"/>
        <v>21</v>
      </c>
      <c r="AF262" s="162"/>
      <c r="AG262" s="70" t="str">
        <f t="shared" si="24"/>
        <v>ok</v>
      </c>
      <c r="AH262" s="755"/>
    </row>
    <row r="263" ht="17.25" hidden="1" customHeight="1" outlineLevel="1">
      <c r="A263" s="749"/>
      <c r="B263" s="761" t="s">
        <v>4123</v>
      </c>
      <c r="C263" s="751"/>
      <c r="D263" s="751" t="s">
        <v>5950</v>
      </c>
      <c r="E263" s="751" t="s">
        <v>5837</v>
      </c>
      <c r="F263" s="126">
        <f>COUNTIFS('TỔNG KLH + TN'!$B:$B,'01. TH'!$B263,'TỔNG KLH + TN'!$C:$C,'01. TH'!F$4)</f>
        <v>0</v>
      </c>
      <c r="G263" s="126">
        <f>COUNTIFS('TỔNG KLH + TN'!$B:$B,'01. TH'!$B263,'TỔNG KLH + TN'!$C:$C,'01. TH'!G$4)</f>
        <v>0</v>
      </c>
      <c r="H263" s="126">
        <f>COUNTIFS('TỔNG KLH + TN'!$B:$B,'01. TH'!$B263,'TỔNG KLH + TN'!$C:$C,'01. TH'!H$4)</f>
        <v>0</v>
      </c>
      <c r="I263" s="126">
        <f>COUNTIFS('TỔNG KLH + TN'!$B:$B,'01. TH'!$B263,'TỔNG KLH + TN'!$C:$C,'01. TH'!I$4)</f>
        <v>1</v>
      </c>
      <c r="J263" s="126">
        <f>COUNTIFS('TỔNG KLH + TN'!$B:$B,'01. TH'!$B263,'TỔNG KLH + TN'!$C:$C,'01. TH'!J$4)</f>
        <v>1</v>
      </c>
      <c r="K263" s="126">
        <f>COUNTIFS('TỔNG KLH + TN'!$B:$B,'01. TH'!$B263,'TỔNG KLH + TN'!$C:$C,'01. TH'!K$4)</f>
        <v>0</v>
      </c>
      <c r="L263" s="126">
        <f>COUNTIFS('TỔNG KLH + TN'!$B:$B,'01. TH'!$B263,'TỔNG KLH + TN'!$C:$C,'01. TH'!L$4)</f>
        <v>0</v>
      </c>
      <c r="M263" s="126">
        <f>COUNTIFS('TỔNG KLH + TN'!$B:$B,'01. TH'!$B263,'TỔNG KLH + TN'!$C:$C,'01. TH'!M$4)</f>
        <v>0</v>
      </c>
      <c r="N263" s="126">
        <f>COUNTIFS('TỔNG KLH + TN'!$B:$B,'01. TH'!$B263,'TỔNG KLH + TN'!$C:$C,'01. TH'!N$4)</f>
        <v>0</v>
      </c>
      <c r="O263" s="126">
        <f>COUNTIFS('TỔNG KLH + TN'!$B:$B,'01. TH'!$B263,'TỔNG KLH + TN'!$C:$C,'01. TH'!O$4)</f>
        <v>0</v>
      </c>
      <c r="P263" s="126">
        <f>COUNTIFS('TỔNG KLH + TN'!$B:$B,'01. TH'!$B263,'TỔNG KLH + TN'!$C:$C,'01. TH'!P$4)</f>
        <v>0</v>
      </c>
      <c r="Q263" s="126">
        <f>COUNTIFS('TỔNG KLH + TN'!$B:$B,'01. TH'!$B263,'TỔNG KLH + TN'!$C:$C,'01. TH'!Q$4)</f>
        <v>1</v>
      </c>
      <c r="R263" s="126">
        <f>COUNTIFS('TỔNG KLH + TN'!$B:$B,'01. TH'!$B263,'TỔNG KLH + TN'!$C:$C,'01. TH'!R$4)</f>
        <v>0</v>
      </c>
      <c r="S263" s="126">
        <f>COUNTIFS('TỔNG KLH + TN'!$B:$B,'01. TH'!$B263,'TỔNG KLH + TN'!$C:$C,'01. TH'!S$4)</f>
        <v>0</v>
      </c>
      <c r="T263" s="126">
        <f>COUNTIFS('TỔNG KLH + TN'!$B:$B,'01. TH'!$B263,'TỔNG KLH + TN'!$C:$C,'01. TH'!T$4)</f>
        <v>0</v>
      </c>
      <c r="U263" s="126">
        <f>COUNTIFS('TỔNG KLH + TN'!$B:$B,'01. TH'!$B263,'TỔNG KLH + TN'!$C:$C,'01. TH'!U$4)</f>
        <v>6</v>
      </c>
      <c r="V263" s="126">
        <f>COUNTIFS('TỔNG KLH + TN'!$B:$B,'01. TH'!$B263,'TỔNG KLH + TN'!$C:$C,'01. TH'!V$4)</f>
        <v>0</v>
      </c>
      <c r="W263" s="126">
        <f>COUNTIFS('TỔNG KLH + TN'!$B:$B,'01. TH'!$B263,'TỔNG KLH + TN'!$C:$C,'01. TH'!W$4)</f>
        <v>0</v>
      </c>
      <c r="X263" s="126">
        <f>COUNTIFS('TỔNG KLH + TN'!$B:$B,'01. TH'!$B263,'TỔNG KLH + TN'!$C:$C,'01. TH'!X$4)</f>
        <v>0</v>
      </c>
      <c r="Y263" s="126">
        <f>COUNTIFS('TỔNG KLH + TN'!$B:$B,'01. TH'!$B263,'TỔNG KLH + TN'!$C:$C,'01. TH'!Y$4)</f>
        <v>0</v>
      </c>
      <c r="Z263" s="126">
        <f>COUNTIFS('TỔNG KLH + TN'!$B:$B,'01. TH'!$B263,'TỔNG KLH + TN'!$C:$C,'01. TH'!Z$4)</f>
        <v>0</v>
      </c>
      <c r="AA263" s="126">
        <f>COUNTIFS('TỔNG KLH + TN'!$B:$B,'01. TH'!$B263,'TỔNG KLH + TN'!$C:$C,'01. TH'!AA$4)</f>
        <v>0</v>
      </c>
      <c r="AB263" s="126">
        <f>COUNTIFS('TỔNG KLH + TN'!$B:$B,'01. TH'!$B263,'TỔNG KLH + TN'!$C:$C,'01. TH'!AB$4)</f>
        <v>0</v>
      </c>
      <c r="AC263" s="126">
        <f>COUNTIFS('TỔNG KLH + TN'!$B:$B,'01. TH'!$B263,'TỔNG KLH + TN'!$C:$C,'01. TH'!AC$4)</f>
        <v>0</v>
      </c>
      <c r="AD263" s="126">
        <f>COUNTIFS('TỔNG KLH + TN'!$B:$B,'01. TH'!$B263,'TỔNG KLH + TN'!$C:$C,'01. TH'!AD$4)</f>
        <v>0</v>
      </c>
      <c r="AE263" s="162">
        <f t="shared" si="53"/>
        <v>9</v>
      </c>
      <c r="AF263" s="162"/>
      <c r="AG263" s="70" t="str">
        <f t="shared" si="24"/>
        <v>ok</v>
      </c>
      <c r="AH263" s="755"/>
    </row>
    <row r="264" ht="17.25" hidden="1" customHeight="1" outlineLevel="1">
      <c r="A264" s="749"/>
      <c r="B264" s="758" t="s">
        <v>4922</v>
      </c>
      <c r="C264" s="751"/>
      <c r="D264" s="751" t="s">
        <v>5951</v>
      </c>
      <c r="E264" s="751" t="s">
        <v>5837</v>
      </c>
      <c r="F264" s="126">
        <f>COUNTIFS('TỔNG KLH + TN'!$B:$B,'01. TH'!$B264,'TỔNG KLH + TN'!$C:$C,'01. TH'!F$4)</f>
        <v>0</v>
      </c>
      <c r="G264" s="126">
        <f>COUNTIFS('TỔNG KLH + TN'!$B:$B,'01. TH'!$B264,'TỔNG KLH + TN'!$C:$C,'01. TH'!G$4)</f>
        <v>0</v>
      </c>
      <c r="H264" s="126">
        <f>COUNTIFS('TỔNG KLH + TN'!$B:$B,'01. TH'!$B264,'TỔNG KLH + TN'!$C:$C,'01. TH'!H$4)</f>
        <v>0</v>
      </c>
      <c r="I264" s="126">
        <f>COUNTIFS('TỔNG KLH + TN'!$B:$B,'01. TH'!$B264,'TỔNG KLH + TN'!$C:$C,'01. TH'!I$4)</f>
        <v>0</v>
      </c>
      <c r="J264" s="126">
        <f>COUNTIFS('TỔNG KLH + TN'!$B:$B,'01. TH'!$B264,'TỔNG KLH + TN'!$C:$C,'01. TH'!J$4)</f>
        <v>0</v>
      </c>
      <c r="K264" s="126">
        <f>COUNTIFS('TỔNG KLH + TN'!$B:$B,'01. TH'!$B264,'TỔNG KLH + TN'!$C:$C,'01. TH'!K$4)</f>
        <v>0</v>
      </c>
      <c r="L264" s="126">
        <f>COUNTIFS('TỔNG KLH + TN'!$B:$B,'01. TH'!$B264,'TỔNG KLH + TN'!$C:$C,'01. TH'!L$4)</f>
        <v>0</v>
      </c>
      <c r="M264" s="126">
        <f>COUNTIFS('TỔNG KLH + TN'!$B:$B,'01. TH'!$B264,'TỔNG KLH + TN'!$C:$C,'01. TH'!M$4)</f>
        <v>0</v>
      </c>
      <c r="N264" s="126">
        <f>COUNTIFS('TỔNG KLH + TN'!$B:$B,'01. TH'!$B264,'TỔNG KLH + TN'!$C:$C,'01. TH'!N$4)</f>
        <v>0</v>
      </c>
      <c r="O264" s="126">
        <f>COUNTIFS('TỔNG KLH + TN'!$B:$B,'01. TH'!$B264,'TỔNG KLH + TN'!$C:$C,'01. TH'!O$4)</f>
        <v>0</v>
      </c>
      <c r="P264" s="126">
        <f>COUNTIFS('TỔNG KLH + TN'!$B:$B,'01. TH'!$B264,'TỔNG KLH + TN'!$C:$C,'01. TH'!P$4)</f>
        <v>0</v>
      </c>
      <c r="Q264" s="126">
        <f>COUNTIFS('TỔNG KLH + TN'!$B:$B,'01. TH'!$B264,'TỔNG KLH + TN'!$C:$C,'01. TH'!Q$4)</f>
        <v>0</v>
      </c>
      <c r="R264" s="126">
        <f>COUNTIFS('TỔNG KLH + TN'!$B:$B,'01. TH'!$B264,'TỔNG KLH + TN'!$C:$C,'01. TH'!R$4)</f>
        <v>0</v>
      </c>
      <c r="S264" s="126">
        <f>COUNTIFS('TỔNG KLH + TN'!$B:$B,'01. TH'!$B264,'TỔNG KLH + TN'!$C:$C,'01. TH'!S$4)</f>
        <v>0</v>
      </c>
      <c r="T264" s="126">
        <f>COUNTIFS('TỔNG KLH + TN'!$B:$B,'01. TH'!$B264,'TỔNG KLH + TN'!$C:$C,'01. TH'!T$4)</f>
        <v>0</v>
      </c>
      <c r="U264" s="126">
        <f>COUNTIFS('TỔNG KLH + TN'!$B:$B,'01. TH'!$B264,'TỔNG KLH + TN'!$C:$C,'01. TH'!U$4)</f>
        <v>1</v>
      </c>
      <c r="V264" s="126">
        <f>COUNTIFS('TỔNG KLH + TN'!$B:$B,'01. TH'!$B264,'TỔNG KLH + TN'!$C:$C,'01. TH'!V$4)</f>
        <v>0</v>
      </c>
      <c r="W264" s="126">
        <f>COUNTIFS('TỔNG KLH + TN'!$B:$B,'01. TH'!$B264,'TỔNG KLH + TN'!$C:$C,'01. TH'!W$4)</f>
        <v>0</v>
      </c>
      <c r="X264" s="126">
        <f>COUNTIFS('TỔNG KLH + TN'!$B:$B,'01. TH'!$B264,'TỔNG KLH + TN'!$C:$C,'01. TH'!X$4)</f>
        <v>0</v>
      </c>
      <c r="Y264" s="126">
        <f>COUNTIFS('TỔNG KLH + TN'!$B:$B,'01. TH'!$B264,'TỔNG KLH + TN'!$C:$C,'01. TH'!Y$4)</f>
        <v>0</v>
      </c>
      <c r="Z264" s="126">
        <f>COUNTIFS('TỔNG KLH + TN'!$B:$B,'01. TH'!$B264,'TỔNG KLH + TN'!$C:$C,'01. TH'!Z$4)</f>
        <v>0</v>
      </c>
      <c r="AA264" s="126">
        <f>COUNTIFS('TỔNG KLH + TN'!$B:$B,'01. TH'!$B264,'TỔNG KLH + TN'!$C:$C,'01. TH'!AA$4)</f>
        <v>0</v>
      </c>
      <c r="AB264" s="126">
        <f>COUNTIFS('TỔNG KLH + TN'!$B:$B,'01. TH'!$B264,'TỔNG KLH + TN'!$C:$C,'01. TH'!AB$4)</f>
        <v>0</v>
      </c>
      <c r="AC264" s="126">
        <f>COUNTIFS('TỔNG KLH + TN'!$B:$B,'01. TH'!$B264,'TỔNG KLH + TN'!$C:$C,'01. TH'!AC$4)</f>
        <v>0</v>
      </c>
      <c r="AD264" s="126">
        <f>COUNTIFS('TỔNG KLH + TN'!$B:$B,'01. TH'!$B264,'TỔNG KLH + TN'!$C:$C,'01. TH'!AD$4)</f>
        <v>0</v>
      </c>
      <c r="AE264" s="162">
        <f t="shared" si="53"/>
        <v>1</v>
      </c>
      <c r="AF264" s="162"/>
      <c r="AG264" s="70" t="str">
        <f t="shared" si="24"/>
        <v>ok</v>
      </c>
      <c r="AH264" s="755"/>
    </row>
    <row r="265" ht="17.25" hidden="1" customHeight="1" outlineLevel="1">
      <c r="A265" s="121"/>
      <c r="B265" s="763" t="s">
        <v>3521</v>
      </c>
      <c r="C265" s="124"/>
      <c r="D265" s="124" t="s">
        <v>5957</v>
      </c>
      <c r="E265" s="751" t="s">
        <v>5837</v>
      </c>
      <c r="F265" s="126">
        <f>COUNTIFS('TỔNG KLH + TN'!$B:$B,'01. TH'!$B265,'TỔNG KLH + TN'!$C:$C,'01. TH'!F$4)</f>
        <v>0</v>
      </c>
      <c r="G265" s="126">
        <f>COUNTIFS('TỔNG KLH + TN'!$B:$B,'01. TH'!$B265,'TỔNG KLH + TN'!$C:$C,'01. TH'!G$4)</f>
        <v>1</v>
      </c>
      <c r="H265" s="126">
        <f>COUNTIFS('TỔNG KLH + TN'!$B:$B,'01. TH'!$B265,'TỔNG KLH + TN'!$C:$C,'01. TH'!H$4)</f>
        <v>3</v>
      </c>
      <c r="I265" s="126">
        <f>COUNTIFS('TỔNG KLH + TN'!$B:$B,'01. TH'!$B265,'TỔNG KLH + TN'!$C:$C,'01. TH'!I$4)</f>
        <v>5</v>
      </c>
      <c r="J265" s="126">
        <f>COUNTIFS('TỔNG KLH + TN'!$B:$B,'01. TH'!$B265,'TỔNG KLH + TN'!$C:$C,'01. TH'!J$4)</f>
        <v>8</v>
      </c>
      <c r="K265" s="126">
        <f>COUNTIFS('TỔNG KLH + TN'!$B:$B,'01. TH'!$B265,'TỔNG KLH + TN'!$C:$C,'01. TH'!K$4)</f>
        <v>0</v>
      </c>
      <c r="L265" s="126">
        <f>COUNTIFS('TỔNG KLH + TN'!$B:$B,'01. TH'!$B265,'TỔNG KLH + TN'!$C:$C,'01. TH'!L$4)</f>
        <v>0</v>
      </c>
      <c r="M265" s="126">
        <f>COUNTIFS('TỔNG KLH + TN'!$B:$B,'01. TH'!$B265,'TỔNG KLH + TN'!$C:$C,'01. TH'!M$4)</f>
        <v>0</v>
      </c>
      <c r="N265" s="126">
        <f>COUNTIFS('TỔNG KLH + TN'!$B:$B,'01. TH'!$B265,'TỔNG KLH + TN'!$C:$C,'01. TH'!N$4)</f>
        <v>0</v>
      </c>
      <c r="O265" s="126">
        <f>COUNTIFS('TỔNG KLH + TN'!$B:$B,'01. TH'!$B265,'TỔNG KLH + TN'!$C:$C,'01. TH'!O$4)</f>
        <v>0</v>
      </c>
      <c r="P265" s="126">
        <f>COUNTIFS('TỔNG KLH + TN'!$B:$B,'01. TH'!$B265,'TỔNG KLH + TN'!$C:$C,'01. TH'!P$4)</f>
        <v>0</v>
      </c>
      <c r="Q265" s="126">
        <f>COUNTIFS('TỔNG KLH + TN'!$B:$B,'01. TH'!$B265,'TỔNG KLH + TN'!$C:$C,'01. TH'!Q$4)</f>
        <v>3</v>
      </c>
      <c r="R265" s="126">
        <f>COUNTIFS('TỔNG KLH + TN'!$B:$B,'01. TH'!$B265,'TỔNG KLH + TN'!$C:$C,'01. TH'!R$4)</f>
        <v>6</v>
      </c>
      <c r="S265" s="126">
        <f>COUNTIFS('TỔNG KLH + TN'!$B:$B,'01. TH'!$B265,'TỔNG KLH + TN'!$C:$C,'01. TH'!S$4)</f>
        <v>0</v>
      </c>
      <c r="T265" s="126">
        <f>COUNTIFS('TỔNG KLH + TN'!$B:$B,'01. TH'!$B265,'TỔNG KLH + TN'!$C:$C,'01. TH'!T$4)</f>
        <v>0</v>
      </c>
      <c r="U265" s="126">
        <f>COUNTIFS('TỔNG KLH + TN'!$B:$B,'01. TH'!$B265,'TỔNG KLH + TN'!$C:$C,'01. TH'!U$4)</f>
        <v>3</v>
      </c>
      <c r="V265" s="126">
        <f>COUNTIFS('TỔNG KLH + TN'!$B:$B,'01. TH'!$B265,'TỔNG KLH + TN'!$C:$C,'01. TH'!V$4)</f>
        <v>0</v>
      </c>
      <c r="W265" s="126">
        <f>COUNTIFS('TỔNG KLH + TN'!$B:$B,'01. TH'!$B265,'TỔNG KLH + TN'!$C:$C,'01. TH'!W$4)</f>
        <v>0</v>
      </c>
      <c r="X265" s="126">
        <f>COUNTIFS('TỔNG KLH + TN'!$B:$B,'01. TH'!$B265,'TỔNG KLH + TN'!$C:$C,'01. TH'!X$4)</f>
        <v>0</v>
      </c>
      <c r="Y265" s="126">
        <f>COUNTIFS('TỔNG KLH + TN'!$B:$B,'01. TH'!$B265,'TỔNG KLH + TN'!$C:$C,'01. TH'!Y$4)</f>
        <v>0</v>
      </c>
      <c r="Z265" s="126">
        <f>COUNTIFS('TỔNG KLH + TN'!$B:$B,'01. TH'!$B265,'TỔNG KLH + TN'!$C:$C,'01. TH'!Z$4)</f>
        <v>0</v>
      </c>
      <c r="AA265" s="126">
        <f>COUNTIFS('TỔNG KLH + TN'!$B:$B,'01. TH'!$B265,'TỔNG KLH + TN'!$C:$C,'01. TH'!AA$4)</f>
        <v>0</v>
      </c>
      <c r="AB265" s="126">
        <f>COUNTIFS('TỔNG KLH + TN'!$B:$B,'01. TH'!$B265,'TỔNG KLH + TN'!$C:$C,'01. TH'!AB$4)</f>
        <v>0</v>
      </c>
      <c r="AC265" s="126">
        <f>COUNTIFS('TỔNG KLH + TN'!$B:$B,'01. TH'!$B265,'TỔNG KLH + TN'!$C:$C,'01. TH'!AC$4)</f>
        <v>0</v>
      </c>
      <c r="AD265" s="126">
        <f>COUNTIFS('TỔNG KLH + TN'!$B:$B,'01. TH'!$B265,'TỔNG KLH + TN'!$C:$C,'01. TH'!AD$4)</f>
        <v>0</v>
      </c>
      <c r="AE265" s="136">
        <f t="shared" si="53"/>
        <v>29</v>
      </c>
      <c r="AF265" s="136"/>
      <c r="AG265" s="70" t="str">
        <f t="shared" si="24"/>
        <v>ok</v>
      </c>
      <c r="AH265" s="121"/>
    </row>
    <row r="266" ht="17.25" hidden="1" customHeight="1" outlineLevel="1">
      <c r="A266" s="749"/>
      <c r="B266" s="758" t="s">
        <v>4868</v>
      </c>
      <c r="C266" s="124"/>
      <c r="D266" s="124" t="s">
        <v>5957</v>
      </c>
      <c r="E266" s="751" t="s">
        <v>5837</v>
      </c>
      <c r="F266" s="126">
        <f>COUNTIFS('TỔNG KLH + TN'!$B:$B,'01. TH'!$B266,'TỔNG KLH + TN'!$C:$C,'01. TH'!F$4)</f>
        <v>0</v>
      </c>
      <c r="G266" s="126">
        <f>COUNTIFS('TỔNG KLH + TN'!$B:$B,'01. TH'!$B266,'TỔNG KLH + TN'!$C:$C,'01. TH'!G$4)</f>
        <v>0</v>
      </c>
      <c r="H266" s="126">
        <f>COUNTIFS('TỔNG KLH + TN'!$B:$B,'01. TH'!$B266,'TỔNG KLH + TN'!$C:$C,'01. TH'!H$4)</f>
        <v>0</v>
      </c>
      <c r="I266" s="126">
        <f>COUNTIFS('TỔNG KLH + TN'!$B:$B,'01. TH'!$B266,'TỔNG KLH + TN'!$C:$C,'01. TH'!I$4)</f>
        <v>0</v>
      </c>
      <c r="J266" s="126">
        <f>COUNTIFS('TỔNG KLH + TN'!$B:$B,'01. TH'!$B266,'TỔNG KLH + TN'!$C:$C,'01. TH'!J$4)</f>
        <v>0</v>
      </c>
      <c r="K266" s="126">
        <f>COUNTIFS('TỔNG KLH + TN'!$B:$B,'01. TH'!$B266,'TỔNG KLH + TN'!$C:$C,'01. TH'!K$4)</f>
        <v>0</v>
      </c>
      <c r="L266" s="126">
        <f>COUNTIFS('TỔNG KLH + TN'!$B:$B,'01. TH'!$B266,'TỔNG KLH + TN'!$C:$C,'01. TH'!L$4)</f>
        <v>0</v>
      </c>
      <c r="M266" s="126">
        <f>COUNTIFS('TỔNG KLH + TN'!$B:$B,'01. TH'!$B266,'TỔNG KLH + TN'!$C:$C,'01. TH'!M$4)</f>
        <v>0</v>
      </c>
      <c r="N266" s="126">
        <f>COUNTIFS('TỔNG KLH + TN'!$B:$B,'01. TH'!$B266,'TỔNG KLH + TN'!$C:$C,'01. TH'!N$4)</f>
        <v>0</v>
      </c>
      <c r="O266" s="126">
        <f>COUNTIFS('TỔNG KLH + TN'!$B:$B,'01. TH'!$B266,'TỔNG KLH + TN'!$C:$C,'01. TH'!O$4)</f>
        <v>0</v>
      </c>
      <c r="P266" s="126">
        <f>COUNTIFS('TỔNG KLH + TN'!$B:$B,'01. TH'!$B266,'TỔNG KLH + TN'!$C:$C,'01. TH'!P$4)</f>
        <v>0</v>
      </c>
      <c r="Q266" s="126">
        <f>COUNTIFS('TỔNG KLH + TN'!$B:$B,'01. TH'!$B266,'TỔNG KLH + TN'!$C:$C,'01. TH'!Q$4)</f>
        <v>0</v>
      </c>
      <c r="R266" s="126">
        <f>COUNTIFS('TỔNG KLH + TN'!$B:$B,'01. TH'!$B266,'TỔNG KLH + TN'!$C:$C,'01. TH'!R$4)</f>
        <v>0</v>
      </c>
      <c r="S266" s="126">
        <f>COUNTIFS('TỔNG KLH + TN'!$B:$B,'01. TH'!$B266,'TỔNG KLH + TN'!$C:$C,'01. TH'!S$4)</f>
        <v>0</v>
      </c>
      <c r="T266" s="126">
        <f>COUNTIFS('TỔNG KLH + TN'!$B:$B,'01. TH'!$B266,'TỔNG KLH + TN'!$C:$C,'01. TH'!T$4)</f>
        <v>0</v>
      </c>
      <c r="U266" s="126">
        <f>COUNTIFS('TỔNG KLH + TN'!$B:$B,'01. TH'!$B266,'TỔNG KLH + TN'!$C:$C,'01. TH'!U$4)</f>
        <v>0</v>
      </c>
      <c r="V266" s="126">
        <f>COUNTIFS('TỔNG KLH + TN'!$B:$B,'01. TH'!$B266,'TỔNG KLH + TN'!$C:$C,'01. TH'!V$4)</f>
        <v>0</v>
      </c>
      <c r="W266" s="126">
        <f>COUNTIFS('TỔNG KLH + TN'!$B:$B,'01. TH'!$B266,'TỔNG KLH + TN'!$C:$C,'01. TH'!W$4)</f>
        <v>0</v>
      </c>
      <c r="X266" s="126">
        <f>COUNTIFS('TỔNG KLH + TN'!$B:$B,'01. TH'!$B266,'TỔNG KLH + TN'!$C:$C,'01. TH'!X$4)</f>
        <v>0</v>
      </c>
      <c r="Y266" s="126">
        <f>COUNTIFS('TỔNG KLH + TN'!$B:$B,'01. TH'!$B266,'TỔNG KLH + TN'!$C:$C,'01. TH'!Y$4)</f>
        <v>0</v>
      </c>
      <c r="Z266" s="126">
        <f>COUNTIFS('TỔNG KLH + TN'!$B:$B,'01. TH'!$B266,'TỔNG KLH + TN'!$C:$C,'01. TH'!Z$4)</f>
        <v>0</v>
      </c>
      <c r="AA266" s="126">
        <f>COUNTIFS('TỔNG KLH + TN'!$B:$B,'01. TH'!$B266,'TỔNG KLH + TN'!$C:$C,'01. TH'!AA$4)</f>
        <v>0</v>
      </c>
      <c r="AB266" s="126">
        <f>COUNTIFS('TỔNG KLH + TN'!$B:$B,'01. TH'!$B266,'TỔNG KLH + TN'!$C:$C,'01. TH'!AB$4)</f>
        <v>0</v>
      </c>
      <c r="AC266" s="126">
        <f>COUNTIFS('TỔNG KLH + TN'!$B:$B,'01. TH'!$B266,'TỔNG KLH + TN'!$C:$C,'01. TH'!AC$4)</f>
        <v>0</v>
      </c>
      <c r="AD266" s="126">
        <f>COUNTIFS('TỔNG KLH + TN'!$B:$B,'01. TH'!$B266,'TỔNG KLH + TN'!$C:$C,'01. TH'!AD$4)</f>
        <v>0</v>
      </c>
      <c r="AE266" s="162">
        <f t="shared" si="53"/>
        <v>0</v>
      </c>
      <c r="AF266" s="162"/>
      <c r="AG266" s="70" t="str">
        <f t="shared" si="24"/>
        <v>ok</v>
      </c>
      <c r="AH266" s="755"/>
    </row>
    <row r="267" ht="17.25" hidden="1" customHeight="1" outlineLevel="1">
      <c r="A267" s="749"/>
      <c r="B267" s="758" t="s">
        <v>5075</v>
      </c>
      <c r="C267" s="124"/>
      <c r="D267" s="124" t="s">
        <v>5957</v>
      </c>
      <c r="E267" s="751" t="s">
        <v>5837</v>
      </c>
      <c r="F267" s="126">
        <f>COUNTIFS('TỔNG KLH + TN'!$B:$B,'01. TH'!$B267,'TỔNG KLH + TN'!$C:$C,'01. TH'!F$4)</f>
        <v>0</v>
      </c>
      <c r="G267" s="126">
        <f>COUNTIFS('TỔNG KLH + TN'!$B:$B,'01. TH'!$B267,'TỔNG KLH + TN'!$C:$C,'01. TH'!G$4)</f>
        <v>0</v>
      </c>
      <c r="H267" s="126">
        <f>COUNTIFS('TỔNG KLH + TN'!$B:$B,'01. TH'!$B267,'TỔNG KLH + TN'!$C:$C,'01. TH'!H$4)</f>
        <v>0</v>
      </c>
      <c r="I267" s="126">
        <f>COUNTIFS('TỔNG KLH + TN'!$B:$B,'01. TH'!$B267,'TỔNG KLH + TN'!$C:$C,'01. TH'!I$4)</f>
        <v>0</v>
      </c>
      <c r="J267" s="126">
        <f>COUNTIFS('TỔNG KLH + TN'!$B:$B,'01. TH'!$B267,'TỔNG KLH + TN'!$C:$C,'01. TH'!J$4)</f>
        <v>0</v>
      </c>
      <c r="K267" s="126">
        <f>COUNTIFS('TỔNG KLH + TN'!$B:$B,'01. TH'!$B267,'TỔNG KLH + TN'!$C:$C,'01. TH'!K$4)</f>
        <v>0</v>
      </c>
      <c r="L267" s="126">
        <f>COUNTIFS('TỔNG KLH + TN'!$B:$B,'01. TH'!$B267,'TỔNG KLH + TN'!$C:$C,'01. TH'!L$4)</f>
        <v>0</v>
      </c>
      <c r="M267" s="126">
        <f>COUNTIFS('TỔNG KLH + TN'!$B:$B,'01. TH'!$B267,'TỔNG KLH + TN'!$C:$C,'01. TH'!M$4)</f>
        <v>0</v>
      </c>
      <c r="N267" s="126">
        <f>COUNTIFS('TỔNG KLH + TN'!$B:$B,'01. TH'!$B267,'TỔNG KLH + TN'!$C:$C,'01. TH'!N$4)</f>
        <v>0</v>
      </c>
      <c r="O267" s="126">
        <f>COUNTIFS('TỔNG KLH + TN'!$B:$B,'01. TH'!$B267,'TỔNG KLH + TN'!$C:$C,'01. TH'!O$4)</f>
        <v>0</v>
      </c>
      <c r="P267" s="126">
        <f>COUNTIFS('TỔNG KLH + TN'!$B:$B,'01. TH'!$B267,'TỔNG KLH + TN'!$C:$C,'01. TH'!P$4)</f>
        <v>0</v>
      </c>
      <c r="Q267" s="126">
        <f>COUNTIFS('TỔNG KLH + TN'!$B:$B,'01. TH'!$B267,'TỔNG KLH + TN'!$C:$C,'01. TH'!Q$4)</f>
        <v>0</v>
      </c>
      <c r="R267" s="126">
        <f>COUNTIFS('TỔNG KLH + TN'!$B:$B,'01. TH'!$B267,'TỔNG KLH + TN'!$C:$C,'01. TH'!R$4)</f>
        <v>0</v>
      </c>
      <c r="S267" s="126">
        <f>COUNTIFS('TỔNG KLH + TN'!$B:$B,'01. TH'!$B267,'TỔNG KLH + TN'!$C:$C,'01. TH'!S$4)</f>
        <v>0</v>
      </c>
      <c r="T267" s="126">
        <f>COUNTIFS('TỔNG KLH + TN'!$B:$B,'01. TH'!$B267,'TỔNG KLH + TN'!$C:$C,'01. TH'!T$4)</f>
        <v>0</v>
      </c>
      <c r="U267" s="126">
        <f>COUNTIFS('TỔNG KLH + TN'!$B:$B,'01. TH'!$B267,'TỔNG KLH + TN'!$C:$C,'01. TH'!U$4)</f>
        <v>4</v>
      </c>
      <c r="V267" s="126">
        <f>COUNTIFS('TỔNG KLH + TN'!$B:$B,'01. TH'!$B267,'TỔNG KLH + TN'!$C:$C,'01. TH'!V$4)</f>
        <v>0</v>
      </c>
      <c r="W267" s="126">
        <f>COUNTIFS('TỔNG KLH + TN'!$B:$B,'01. TH'!$B267,'TỔNG KLH + TN'!$C:$C,'01. TH'!W$4)</f>
        <v>0</v>
      </c>
      <c r="X267" s="126">
        <f>COUNTIFS('TỔNG KLH + TN'!$B:$B,'01. TH'!$B267,'TỔNG KLH + TN'!$C:$C,'01. TH'!X$4)</f>
        <v>0</v>
      </c>
      <c r="Y267" s="126">
        <f>COUNTIFS('TỔNG KLH + TN'!$B:$B,'01. TH'!$B267,'TỔNG KLH + TN'!$C:$C,'01. TH'!Y$4)</f>
        <v>0</v>
      </c>
      <c r="Z267" s="126">
        <f>COUNTIFS('TỔNG KLH + TN'!$B:$B,'01. TH'!$B267,'TỔNG KLH + TN'!$C:$C,'01. TH'!Z$4)</f>
        <v>0</v>
      </c>
      <c r="AA267" s="126">
        <f>COUNTIFS('TỔNG KLH + TN'!$B:$B,'01. TH'!$B267,'TỔNG KLH + TN'!$C:$C,'01. TH'!AA$4)</f>
        <v>0</v>
      </c>
      <c r="AB267" s="126">
        <f>COUNTIFS('TỔNG KLH + TN'!$B:$B,'01. TH'!$B267,'TỔNG KLH + TN'!$C:$C,'01. TH'!AB$4)</f>
        <v>0</v>
      </c>
      <c r="AC267" s="126">
        <f>COUNTIFS('TỔNG KLH + TN'!$B:$B,'01. TH'!$B267,'TỔNG KLH + TN'!$C:$C,'01. TH'!AC$4)</f>
        <v>0</v>
      </c>
      <c r="AD267" s="126">
        <f>COUNTIFS('TỔNG KLH + TN'!$B:$B,'01. TH'!$B267,'TỔNG KLH + TN'!$C:$C,'01. TH'!AD$4)</f>
        <v>0</v>
      </c>
      <c r="AE267" s="162">
        <f t="shared" si="53"/>
        <v>4</v>
      </c>
      <c r="AF267" s="162"/>
      <c r="AG267" s="70" t="str">
        <f t="shared" si="24"/>
        <v>ok</v>
      </c>
      <c r="AH267" s="755"/>
    </row>
    <row r="268" ht="17.25" hidden="1" customHeight="1" outlineLevel="1">
      <c r="A268" s="749"/>
      <c r="B268" s="758" t="s">
        <v>4080</v>
      </c>
      <c r="C268" s="124"/>
      <c r="D268" s="124" t="s">
        <v>5957</v>
      </c>
      <c r="E268" s="751" t="s">
        <v>5837</v>
      </c>
      <c r="F268" s="126">
        <f>COUNTIFS('TỔNG KLH + TN'!$B:$B,'01. TH'!$B268,'TỔNG KLH + TN'!$C:$C,'01. TH'!F$4)</f>
        <v>0</v>
      </c>
      <c r="G268" s="126">
        <f>COUNTIFS('TỔNG KLH + TN'!$B:$B,'01. TH'!$B268,'TỔNG KLH + TN'!$C:$C,'01. TH'!G$4)</f>
        <v>0</v>
      </c>
      <c r="H268" s="126">
        <f>COUNTIFS('TỔNG KLH + TN'!$B:$B,'01. TH'!$B268,'TỔNG KLH + TN'!$C:$C,'01. TH'!H$4)</f>
        <v>0</v>
      </c>
      <c r="I268" s="126">
        <f>COUNTIFS('TỔNG KLH + TN'!$B:$B,'01. TH'!$B268,'TỔNG KLH + TN'!$C:$C,'01. TH'!I$4)</f>
        <v>4</v>
      </c>
      <c r="J268" s="126">
        <f>COUNTIFS('TỔNG KLH + TN'!$B:$B,'01. TH'!$B268,'TỔNG KLH + TN'!$C:$C,'01. TH'!J$4)</f>
        <v>5</v>
      </c>
      <c r="K268" s="126">
        <f>COUNTIFS('TỔNG KLH + TN'!$B:$B,'01. TH'!$B268,'TỔNG KLH + TN'!$C:$C,'01. TH'!K$4)</f>
        <v>0</v>
      </c>
      <c r="L268" s="126">
        <f>COUNTIFS('TỔNG KLH + TN'!$B:$B,'01. TH'!$B268,'TỔNG KLH + TN'!$C:$C,'01. TH'!L$4)</f>
        <v>0</v>
      </c>
      <c r="M268" s="126">
        <f>COUNTIFS('TỔNG KLH + TN'!$B:$B,'01. TH'!$B268,'TỔNG KLH + TN'!$C:$C,'01. TH'!M$4)</f>
        <v>0</v>
      </c>
      <c r="N268" s="126">
        <f>COUNTIFS('TỔNG KLH + TN'!$B:$B,'01. TH'!$B268,'TỔNG KLH + TN'!$C:$C,'01. TH'!N$4)</f>
        <v>0</v>
      </c>
      <c r="O268" s="126">
        <f>COUNTIFS('TỔNG KLH + TN'!$B:$B,'01. TH'!$B268,'TỔNG KLH + TN'!$C:$C,'01. TH'!O$4)</f>
        <v>0</v>
      </c>
      <c r="P268" s="126">
        <f>COUNTIFS('TỔNG KLH + TN'!$B:$B,'01. TH'!$B268,'TỔNG KLH + TN'!$C:$C,'01. TH'!P$4)</f>
        <v>0</v>
      </c>
      <c r="Q268" s="126">
        <f>COUNTIFS('TỔNG KLH + TN'!$B:$B,'01. TH'!$B268,'TỔNG KLH + TN'!$C:$C,'01. TH'!Q$4)</f>
        <v>0</v>
      </c>
      <c r="R268" s="126">
        <f>COUNTIFS('TỔNG KLH + TN'!$B:$B,'01. TH'!$B268,'TỔNG KLH + TN'!$C:$C,'01. TH'!R$4)</f>
        <v>1</v>
      </c>
      <c r="S268" s="126">
        <f>COUNTIFS('TỔNG KLH + TN'!$B:$B,'01. TH'!$B268,'TỔNG KLH + TN'!$C:$C,'01. TH'!S$4)</f>
        <v>0</v>
      </c>
      <c r="T268" s="126">
        <f>COUNTIFS('TỔNG KLH + TN'!$B:$B,'01. TH'!$B268,'TỔNG KLH + TN'!$C:$C,'01. TH'!T$4)</f>
        <v>0</v>
      </c>
      <c r="U268" s="126">
        <f>COUNTIFS('TỔNG KLH + TN'!$B:$B,'01. TH'!$B268,'TỔNG KLH + TN'!$C:$C,'01. TH'!U$4)</f>
        <v>2</v>
      </c>
      <c r="V268" s="126">
        <f>COUNTIFS('TỔNG KLH + TN'!$B:$B,'01. TH'!$B268,'TỔNG KLH + TN'!$C:$C,'01. TH'!V$4)</f>
        <v>0</v>
      </c>
      <c r="W268" s="126">
        <f>COUNTIFS('TỔNG KLH + TN'!$B:$B,'01. TH'!$B268,'TỔNG KLH + TN'!$C:$C,'01. TH'!W$4)</f>
        <v>0</v>
      </c>
      <c r="X268" s="126">
        <f>COUNTIFS('TỔNG KLH + TN'!$B:$B,'01. TH'!$B268,'TỔNG KLH + TN'!$C:$C,'01. TH'!X$4)</f>
        <v>0</v>
      </c>
      <c r="Y268" s="126">
        <f>COUNTIFS('TỔNG KLH + TN'!$B:$B,'01. TH'!$B268,'TỔNG KLH + TN'!$C:$C,'01. TH'!Y$4)</f>
        <v>0</v>
      </c>
      <c r="Z268" s="126">
        <f>COUNTIFS('TỔNG KLH + TN'!$B:$B,'01. TH'!$B268,'TỔNG KLH + TN'!$C:$C,'01. TH'!Z$4)</f>
        <v>0</v>
      </c>
      <c r="AA268" s="126">
        <f>COUNTIFS('TỔNG KLH + TN'!$B:$B,'01. TH'!$B268,'TỔNG KLH + TN'!$C:$C,'01. TH'!AA$4)</f>
        <v>0</v>
      </c>
      <c r="AB268" s="126">
        <f>COUNTIFS('TỔNG KLH + TN'!$B:$B,'01. TH'!$B268,'TỔNG KLH + TN'!$C:$C,'01. TH'!AB$4)</f>
        <v>0</v>
      </c>
      <c r="AC268" s="126">
        <f>COUNTIFS('TỔNG KLH + TN'!$B:$B,'01. TH'!$B268,'TỔNG KLH + TN'!$C:$C,'01. TH'!AC$4)</f>
        <v>0</v>
      </c>
      <c r="AD268" s="126">
        <f>COUNTIFS('TỔNG KLH + TN'!$B:$B,'01. TH'!$B268,'TỔNG KLH + TN'!$C:$C,'01. TH'!AD$4)</f>
        <v>0</v>
      </c>
      <c r="AE268" s="162">
        <f t="shared" si="53"/>
        <v>12</v>
      </c>
      <c r="AF268" s="162"/>
      <c r="AG268" s="70" t="str">
        <f t="shared" si="24"/>
        <v>ok</v>
      </c>
      <c r="AH268" s="755"/>
    </row>
    <row r="269" ht="17.25" hidden="1" customHeight="1" outlineLevel="1">
      <c r="A269" s="121"/>
      <c r="B269" s="122" t="s">
        <v>4339</v>
      </c>
      <c r="C269" s="124"/>
      <c r="D269" s="124" t="s">
        <v>5963</v>
      </c>
      <c r="E269" s="751" t="s">
        <v>5837</v>
      </c>
      <c r="F269" s="126">
        <f>COUNTIFS('TỔNG KLH + TN'!$B:$B,'01. TH'!$B269,'TỔNG KLH + TN'!$C:$C,'01. TH'!F$4)</f>
        <v>0</v>
      </c>
      <c r="G269" s="126">
        <f>COUNTIFS('TỔNG KLH + TN'!$B:$B,'01. TH'!$B269,'TỔNG KLH + TN'!$C:$C,'01. TH'!G$4)</f>
        <v>0</v>
      </c>
      <c r="H269" s="126">
        <f>COUNTIFS('TỔNG KLH + TN'!$B:$B,'01. TH'!$B269,'TỔNG KLH + TN'!$C:$C,'01. TH'!H$4)</f>
        <v>0</v>
      </c>
      <c r="I269" s="126">
        <f>COUNTIFS('TỔNG KLH + TN'!$B:$B,'01. TH'!$B269,'TỔNG KLH + TN'!$C:$C,'01. TH'!I$4)</f>
        <v>0</v>
      </c>
      <c r="J269" s="126">
        <f>COUNTIFS('TỔNG KLH + TN'!$B:$B,'01. TH'!$B269,'TỔNG KLH + TN'!$C:$C,'01. TH'!J$4)</f>
        <v>1</v>
      </c>
      <c r="K269" s="126">
        <f>COUNTIFS('TỔNG KLH + TN'!$B:$B,'01. TH'!$B269,'TỔNG KLH + TN'!$C:$C,'01. TH'!K$4)</f>
        <v>0</v>
      </c>
      <c r="L269" s="126">
        <f>COUNTIFS('TỔNG KLH + TN'!$B:$B,'01. TH'!$B269,'TỔNG KLH + TN'!$C:$C,'01. TH'!L$4)</f>
        <v>0</v>
      </c>
      <c r="M269" s="126">
        <f>COUNTIFS('TỔNG KLH + TN'!$B:$B,'01. TH'!$B269,'TỔNG KLH + TN'!$C:$C,'01. TH'!M$4)</f>
        <v>0</v>
      </c>
      <c r="N269" s="126">
        <f>COUNTIFS('TỔNG KLH + TN'!$B:$B,'01. TH'!$B269,'TỔNG KLH + TN'!$C:$C,'01. TH'!N$4)</f>
        <v>0</v>
      </c>
      <c r="O269" s="126">
        <f>COUNTIFS('TỔNG KLH + TN'!$B:$B,'01. TH'!$B269,'TỔNG KLH + TN'!$C:$C,'01. TH'!O$4)</f>
        <v>0</v>
      </c>
      <c r="P269" s="126">
        <f>COUNTIFS('TỔNG KLH + TN'!$B:$B,'01. TH'!$B269,'TỔNG KLH + TN'!$C:$C,'01. TH'!P$4)</f>
        <v>0</v>
      </c>
      <c r="Q269" s="126">
        <f>COUNTIFS('TỔNG KLH + TN'!$B:$B,'01. TH'!$B269,'TỔNG KLH + TN'!$C:$C,'01. TH'!Q$4)</f>
        <v>0</v>
      </c>
      <c r="R269" s="126">
        <f>COUNTIFS('TỔNG KLH + TN'!$B:$B,'01. TH'!$B269,'TỔNG KLH + TN'!$C:$C,'01. TH'!R$4)</f>
        <v>1</v>
      </c>
      <c r="S269" s="126">
        <f>COUNTIFS('TỔNG KLH + TN'!$B:$B,'01. TH'!$B269,'TỔNG KLH + TN'!$C:$C,'01. TH'!S$4)</f>
        <v>0</v>
      </c>
      <c r="T269" s="126">
        <f>COUNTIFS('TỔNG KLH + TN'!$B:$B,'01. TH'!$B269,'TỔNG KLH + TN'!$C:$C,'01. TH'!T$4)</f>
        <v>0</v>
      </c>
      <c r="U269" s="126">
        <f>COUNTIFS('TỔNG KLH + TN'!$B:$B,'01. TH'!$B269,'TỔNG KLH + TN'!$C:$C,'01. TH'!U$4)</f>
        <v>0</v>
      </c>
      <c r="V269" s="126">
        <f>COUNTIFS('TỔNG KLH + TN'!$B:$B,'01. TH'!$B269,'TỔNG KLH + TN'!$C:$C,'01. TH'!V$4)</f>
        <v>0</v>
      </c>
      <c r="W269" s="126">
        <f>COUNTIFS('TỔNG KLH + TN'!$B:$B,'01. TH'!$B269,'TỔNG KLH + TN'!$C:$C,'01. TH'!W$4)</f>
        <v>0</v>
      </c>
      <c r="X269" s="126">
        <f>COUNTIFS('TỔNG KLH + TN'!$B:$B,'01. TH'!$B269,'TỔNG KLH + TN'!$C:$C,'01. TH'!X$4)</f>
        <v>0</v>
      </c>
      <c r="Y269" s="126">
        <f>COUNTIFS('TỔNG KLH + TN'!$B:$B,'01. TH'!$B269,'TỔNG KLH + TN'!$C:$C,'01. TH'!Y$4)</f>
        <v>0</v>
      </c>
      <c r="Z269" s="126">
        <f>COUNTIFS('TỔNG KLH + TN'!$B:$B,'01. TH'!$B269,'TỔNG KLH + TN'!$C:$C,'01. TH'!Z$4)</f>
        <v>0</v>
      </c>
      <c r="AA269" s="126">
        <f>COUNTIFS('TỔNG KLH + TN'!$B:$B,'01. TH'!$B269,'TỔNG KLH + TN'!$C:$C,'01. TH'!AA$4)</f>
        <v>0</v>
      </c>
      <c r="AB269" s="126">
        <f>COUNTIFS('TỔNG KLH + TN'!$B:$B,'01. TH'!$B269,'TỔNG KLH + TN'!$C:$C,'01. TH'!AB$4)</f>
        <v>0</v>
      </c>
      <c r="AC269" s="126">
        <f>COUNTIFS('TỔNG KLH + TN'!$B:$B,'01. TH'!$B269,'TỔNG KLH + TN'!$C:$C,'01. TH'!AC$4)</f>
        <v>0</v>
      </c>
      <c r="AD269" s="126">
        <f>COUNTIFS('TỔNG KLH + TN'!$B:$B,'01. TH'!$B269,'TỔNG KLH + TN'!$C:$C,'01. TH'!AD$4)</f>
        <v>0</v>
      </c>
      <c r="AE269" s="136">
        <f t="shared" si="53"/>
        <v>2</v>
      </c>
      <c r="AF269" s="136"/>
      <c r="AG269" s="70" t="str">
        <f t="shared" si="24"/>
        <v>ok</v>
      </c>
      <c r="AH269" s="121"/>
    </row>
    <row r="270" ht="17.25" hidden="1" customHeight="1" outlineLevel="1">
      <c r="A270" s="749"/>
      <c r="B270" s="758" t="s">
        <v>3514</v>
      </c>
      <c r="C270" s="751"/>
      <c r="D270" s="751" t="s">
        <v>5966</v>
      </c>
      <c r="E270" s="751" t="s">
        <v>5837</v>
      </c>
      <c r="F270" s="126">
        <f>COUNTIFS('TỔNG KLH + TN'!$B:$B,'01. TH'!$B270,'TỔNG KLH + TN'!$C:$C,'01. TH'!F$4)</f>
        <v>0</v>
      </c>
      <c r="G270" s="126">
        <f>COUNTIFS('TỔNG KLH + TN'!$B:$B,'01. TH'!$B270,'TỔNG KLH + TN'!$C:$C,'01. TH'!G$4)</f>
        <v>1</v>
      </c>
      <c r="H270" s="126">
        <f>COUNTIFS('TỔNG KLH + TN'!$B:$B,'01. TH'!$B270,'TỔNG KLH + TN'!$C:$C,'01. TH'!H$4)</f>
        <v>1</v>
      </c>
      <c r="I270" s="126">
        <f>COUNTIFS('TỔNG KLH + TN'!$B:$B,'01. TH'!$B270,'TỔNG KLH + TN'!$C:$C,'01. TH'!I$4)</f>
        <v>1</v>
      </c>
      <c r="J270" s="126">
        <f>COUNTIFS('TỔNG KLH + TN'!$B:$B,'01. TH'!$B270,'TỔNG KLH + TN'!$C:$C,'01. TH'!J$4)</f>
        <v>1</v>
      </c>
      <c r="K270" s="126">
        <f>COUNTIFS('TỔNG KLH + TN'!$B:$B,'01. TH'!$B270,'TỔNG KLH + TN'!$C:$C,'01. TH'!K$4)</f>
        <v>0</v>
      </c>
      <c r="L270" s="126">
        <f>COUNTIFS('TỔNG KLH + TN'!$B:$B,'01. TH'!$B270,'TỔNG KLH + TN'!$C:$C,'01. TH'!L$4)</f>
        <v>0</v>
      </c>
      <c r="M270" s="126">
        <f>COUNTIFS('TỔNG KLH + TN'!$B:$B,'01. TH'!$B270,'TỔNG KLH + TN'!$C:$C,'01. TH'!M$4)</f>
        <v>0</v>
      </c>
      <c r="N270" s="126">
        <f>COUNTIFS('TỔNG KLH + TN'!$B:$B,'01. TH'!$B270,'TỔNG KLH + TN'!$C:$C,'01. TH'!N$4)</f>
        <v>0</v>
      </c>
      <c r="O270" s="126">
        <f>COUNTIFS('TỔNG KLH + TN'!$B:$B,'01. TH'!$B270,'TỔNG KLH + TN'!$C:$C,'01. TH'!O$4)</f>
        <v>0</v>
      </c>
      <c r="P270" s="126">
        <f>COUNTIFS('TỔNG KLH + TN'!$B:$B,'01. TH'!$B270,'TỔNG KLH + TN'!$C:$C,'01. TH'!P$4)</f>
        <v>0</v>
      </c>
      <c r="Q270" s="126">
        <f>COUNTIFS('TỔNG KLH + TN'!$B:$B,'01. TH'!$B270,'TỔNG KLH + TN'!$C:$C,'01. TH'!Q$4)</f>
        <v>1</v>
      </c>
      <c r="R270" s="126">
        <f>COUNTIFS('TỔNG KLH + TN'!$B:$B,'01. TH'!$B270,'TỔNG KLH + TN'!$C:$C,'01. TH'!R$4)</f>
        <v>1</v>
      </c>
      <c r="S270" s="126">
        <f>COUNTIFS('TỔNG KLH + TN'!$B:$B,'01. TH'!$B270,'TỔNG KLH + TN'!$C:$C,'01. TH'!S$4)</f>
        <v>1</v>
      </c>
      <c r="T270" s="126">
        <f>COUNTIFS('TỔNG KLH + TN'!$B:$B,'01. TH'!$B270,'TỔNG KLH + TN'!$C:$C,'01. TH'!T$4)</f>
        <v>0</v>
      </c>
      <c r="U270" s="126">
        <f>COUNTIFS('TỔNG KLH + TN'!$B:$B,'01. TH'!$B270,'TỔNG KLH + TN'!$C:$C,'01. TH'!U$4)</f>
        <v>1</v>
      </c>
      <c r="V270" s="126">
        <f>COUNTIFS('TỔNG KLH + TN'!$B:$B,'01. TH'!$B270,'TỔNG KLH + TN'!$C:$C,'01. TH'!V$4)</f>
        <v>0</v>
      </c>
      <c r="W270" s="126">
        <f>COUNTIFS('TỔNG KLH + TN'!$B:$B,'01. TH'!$B270,'TỔNG KLH + TN'!$C:$C,'01. TH'!W$4)</f>
        <v>0</v>
      </c>
      <c r="X270" s="126">
        <f>COUNTIFS('TỔNG KLH + TN'!$B:$B,'01. TH'!$B270,'TỔNG KLH + TN'!$C:$C,'01. TH'!X$4)</f>
        <v>0</v>
      </c>
      <c r="Y270" s="126">
        <f>COUNTIFS('TỔNG KLH + TN'!$B:$B,'01. TH'!$B270,'TỔNG KLH + TN'!$C:$C,'01. TH'!Y$4)</f>
        <v>0</v>
      </c>
      <c r="Z270" s="126">
        <f>COUNTIFS('TỔNG KLH + TN'!$B:$B,'01. TH'!$B270,'TỔNG KLH + TN'!$C:$C,'01. TH'!Z$4)</f>
        <v>0</v>
      </c>
      <c r="AA270" s="126">
        <f>COUNTIFS('TỔNG KLH + TN'!$B:$B,'01. TH'!$B270,'TỔNG KLH + TN'!$C:$C,'01. TH'!AA$4)</f>
        <v>0</v>
      </c>
      <c r="AB270" s="126">
        <f>COUNTIFS('TỔNG KLH + TN'!$B:$B,'01. TH'!$B270,'TỔNG KLH + TN'!$C:$C,'01. TH'!AB$4)</f>
        <v>0</v>
      </c>
      <c r="AC270" s="126">
        <f>COUNTIFS('TỔNG KLH + TN'!$B:$B,'01. TH'!$B270,'TỔNG KLH + TN'!$C:$C,'01. TH'!AC$4)</f>
        <v>0</v>
      </c>
      <c r="AD270" s="126">
        <f>COUNTIFS('TỔNG KLH + TN'!$B:$B,'01. TH'!$B270,'TỔNG KLH + TN'!$C:$C,'01. TH'!AD$4)</f>
        <v>0</v>
      </c>
      <c r="AE270" s="162">
        <f t="shared" si="53"/>
        <v>8</v>
      </c>
      <c r="AF270" s="162"/>
      <c r="AG270" s="70" t="str">
        <f t="shared" si="24"/>
        <v>ok</v>
      </c>
      <c r="AH270" s="755"/>
    </row>
    <row r="271" ht="17.25" hidden="1" customHeight="1" outlineLevel="1">
      <c r="A271" s="749"/>
      <c r="B271" s="765" t="s">
        <v>3947</v>
      </c>
      <c r="C271" s="751"/>
      <c r="D271" s="751"/>
      <c r="E271" s="751" t="s">
        <v>5837</v>
      </c>
      <c r="F271" s="126">
        <f>COUNTIFS('TỔNG KLH + TN'!$B:$B,'01. TH'!$B271,'TỔNG KLH + TN'!$C:$C,'01. TH'!F$4)</f>
        <v>0</v>
      </c>
      <c r="G271" s="126">
        <f>COUNTIFS('TỔNG KLH + TN'!$B:$B,'01. TH'!$B271,'TỔNG KLH + TN'!$C:$C,'01. TH'!G$4)</f>
        <v>0</v>
      </c>
      <c r="H271" s="126">
        <f>COUNTIFS('TỔNG KLH + TN'!$B:$B,'01. TH'!$B271,'TỔNG KLH + TN'!$C:$C,'01. TH'!H$4)</f>
        <v>1</v>
      </c>
      <c r="I271" s="126">
        <f>COUNTIFS('TỔNG KLH + TN'!$B:$B,'01. TH'!$B271,'TỔNG KLH + TN'!$C:$C,'01. TH'!I$4)</f>
        <v>0</v>
      </c>
      <c r="J271" s="126">
        <f>COUNTIFS('TỔNG KLH + TN'!$B:$B,'01. TH'!$B271,'TỔNG KLH + TN'!$C:$C,'01. TH'!J$4)</f>
        <v>0</v>
      </c>
      <c r="K271" s="126">
        <f>COUNTIFS('TỔNG KLH + TN'!$B:$B,'01. TH'!$B271,'TỔNG KLH + TN'!$C:$C,'01. TH'!K$4)</f>
        <v>0</v>
      </c>
      <c r="L271" s="126">
        <f>COUNTIFS('TỔNG KLH + TN'!$B:$B,'01. TH'!$B271,'TỔNG KLH + TN'!$C:$C,'01. TH'!L$4)</f>
        <v>0</v>
      </c>
      <c r="M271" s="126">
        <f>COUNTIFS('TỔNG KLH + TN'!$B:$B,'01. TH'!$B271,'TỔNG KLH + TN'!$C:$C,'01. TH'!M$4)</f>
        <v>0</v>
      </c>
      <c r="N271" s="126">
        <f>COUNTIFS('TỔNG KLH + TN'!$B:$B,'01. TH'!$B271,'TỔNG KLH + TN'!$C:$C,'01. TH'!N$4)</f>
        <v>0</v>
      </c>
      <c r="O271" s="126">
        <f>COUNTIFS('TỔNG KLH + TN'!$B:$B,'01. TH'!$B271,'TỔNG KLH + TN'!$C:$C,'01. TH'!O$4)</f>
        <v>0</v>
      </c>
      <c r="P271" s="126">
        <f>COUNTIFS('TỔNG KLH + TN'!$B:$B,'01. TH'!$B271,'TỔNG KLH + TN'!$C:$C,'01. TH'!P$4)</f>
        <v>0</v>
      </c>
      <c r="Q271" s="126">
        <f>COUNTIFS('TỔNG KLH + TN'!$B:$B,'01. TH'!$B271,'TỔNG KLH + TN'!$C:$C,'01. TH'!Q$4)</f>
        <v>4</v>
      </c>
      <c r="R271" s="126">
        <f>COUNTIFS('TỔNG KLH + TN'!$B:$B,'01. TH'!$B271,'TỔNG KLH + TN'!$C:$C,'01. TH'!R$4)</f>
        <v>8</v>
      </c>
      <c r="S271" s="126">
        <f>COUNTIFS('TỔNG KLH + TN'!$B:$B,'01. TH'!$B271,'TỔNG KLH + TN'!$C:$C,'01. TH'!S$4)</f>
        <v>0</v>
      </c>
      <c r="T271" s="126">
        <f>COUNTIFS('TỔNG KLH + TN'!$B:$B,'01. TH'!$B271,'TỔNG KLH + TN'!$C:$C,'01. TH'!T$4)</f>
        <v>0</v>
      </c>
      <c r="U271" s="126">
        <f>COUNTIFS('TỔNG KLH + TN'!$B:$B,'01. TH'!$B271,'TỔNG KLH + TN'!$C:$C,'01. TH'!U$4)</f>
        <v>2</v>
      </c>
      <c r="V271" s="126">
        <f>COUNTIFS('TỔNG KLH + TN'!$B:$B,'01. TH'!$B271,'TỔNG KLH + TN'!$C:$C,'01. TH'!V$4)</f>
        <v>0</v>
      </c>
      <c r="W271" s="126">
        <f>COUNTIFS('TỔNG KLH + TN'!$B:$B,'01. TH'!$B271,'TỔNG KLH + TN'!$C:$C,'01. TH'!W$4)</f>
        <v>0</v>
      </c>
      <c r="X271" s="126">
        <f>COUNTIFS('TỔNG KLH + TN'!$B:$B,'01. TH'!$B271,'TỔNG KLH + TN'!$C:$C,'01. TH'!X$4)</f>
        <v>0</v>
      </c>
      <c r="Y271" s="126">
        <f>COUNTIFS('TỔNG KLH + TN'!$B:$B,'01. TH'!$B271,'TỔNG KLH + TN'!$C:$C,'01. TH'!Y$4)</f>
        <v>0</v>
      </c>
      <c r="Z271" s="126">
        <f>COUNTIFS('TỔNG KLH + TN'!$B:$B,'01. TH'!$B271,'TỔNG KLH + TN'!$C:$C,'01. TH'!Z$4)</f>
        <v>0</v>
      </c>
      <c r="AA271" s="126">
        <f>COUNTIFS('TỔNG KLH + TN'!$B:$B,'01. TH'!$B271,'TỔNG KLH + TN'!$C:$C,'01. TH'!AA$4)</f>
        <v>0</v>
      </c>
      <c r="AB271" s="126">
        <f>COUNTIFS('TỔNG KLH + TN'!$B:$B,'01. TH'!$B271,'TỔNG KLH + TN'!$C:$C,'01. TH'!AB$4)</f>
        <v>0</v>
      </c>
      <c r="AC271" s="126">
        <f>COUNTIFS('TỔNG KLH + TN'!$B:$B,'01. TH'!$B271,'TỔNG KLH + TN'!$C:$C,'01. TH'!AC$4)</f>
        <v>0</v>
      </c>
      <c r="AD271" s="126">
        <f>COUNTIFS('TỔNG KLH + TN'!$B:$B,'01. TH'!$B271,'TỔNG KLH + TN'!$C:$C,'01. TH'!AD$4)</f>
        <v>0</v>
      </c>
      <c r="AE271" s="162">
        <f t="shared" si="53"/>
        <v>15</v>
      </c>
      <c r="AF271" s="162"/>
      <c r="AG271" s="70" t="str">
        <f t="shared" si="24"/>
        <v>ok</v>
      </c>
      <c r="AH271" s="755"/>
    </row>
    <row r="272" ht="17.25" hidden="1" customHeight="1" outlineLevel="1">
      <c r="A272" s="749"/>
      <c r="B272" s="765" t="s">
        <v>4468</v>
      </c>
      <c r="C272" s="751"/>
      <c r="D272" s="751"/>
      <c r="E272" s="751" t="s">
        <v>5837</v>
      </c>
      <c r="F272" s="126">
        <f>COUNTIFS('TỔNG KLH + TN'!$B:$B,'01. TH'!$B272,'TỔNG KLH + TN'!$C:$C,'01. TH'!F$4)</f>
        <v>0</v>
      </c>
      <c r="G272" s="126">
        <f>COUNTIFS('TỔNG KLH + TN'!$B:$B,'01. TH'!$B272,'TỔNG KLH + TN'!$C:$C,'01. TH'!G$4)</f>
        <v>0</v>
      </c>
      <c r="H272" s="126">
        <f>COUNTIFS('TỔNG KLH + TN'!$B:$B,'01. TH'!$B272,'TỔNG KLH + TN'!$C:$C,'01. TH'!H$4)</f>
        <v>0</v>
      </c>
      <c r="I272" s="126">
        <f>COUNTIFS('TỔNG KLH + TN'!$B:$B,'01. TH'!$B272,'TỔNG KLH + TN'!$C:$C,'01. TH'!I$4)</f>
        <v>0</v>
      </c>
      <c r="J272" s="126">
        <f>COUNTIFS('TỔNG KLH + TN'!$B:$B,'01. TH'!$B272,'TỔNG KLH + TN'!$C:$C,'01. TH'!J$4)</f>
        <v>0</v>
      </c>
      <c r="K272" s="126">
        <f>COUNTIFS('TỔNG KLH + TN'!$B:$B,'01. TH'!$B272,'TỔNG KLH + TN'!$C:$C,'01. TH'!K$4)</f>
        <v>0</v>
      </c>
      <c r="L272" s="126">
        <f>COUNTIFS('TỔNG KLH + TN'!$B:$B,'01. TH'!$B272,'TỔNG KLH + TN'!$C:$C,'01. TH'!L$4)</f>
        <v>0</v>
      </c>
      <c r="M272" s="126">
        <f>COUNTIFS('TỔNG KLH + TN'!$B:$B,'01. TH'!$B272,'TỔNG KLH + TN'!$C:$C,'01. TH'!M$4)</f>
        <v>0</v>
      </c>
      <c r="N272" s="126">
        <f>COUNTIFS('TỔNG KLH + TN'!$B:$B,'01. TH'!$B272,'TỔNG KLH + TN'!$C:$C,'01. TH'!N$4)</f>
        <v>0</v>
      </c>
      <c r="O272" s="126">
        <f>COUNTIFS('TỔNG KLH + TN'!$B:$B,'01. TH'!$B272,'TỔNG KLH + TN'!$C:$C,'01. TH'!O$4)</f>
        <v>0</v>
      </c>
      <c r="P272" s="126">
        <f>COUNTIFS('TỔNG KLH + TN'!$B:$B,'01. TH'!$B272,'TỔNG KLH + TN'!$C:$C,'01. TH'!P$4)</f>
        <v>0</v>
      </c>
      <c r="Q272" s="126">
        <f>COUNTIFS('TỔNG KLH + TN'!$B:$B,'01. TH'!$B272,'TỔNG KLH + TN'!$C:$C,'01. TH'!Q$4)</f>
        <v>1</v>
      </c>
      <c r="R272" s="126">
        <f>COUNTIFS('TỔNG KLH + TN'!$B:$B,'01. TH'!$B272,'TỔNG KLH + TN'!$C:$C,'01. TH'!R$4)</f>
        <v>0</v>
      </c>
      <c r="S272" s="126">
        <f>COUNTIFS('TỔNG KLH + TN'!$B:$B,'01. TH'!$B272,'TỔNG KLH + TN'!$C:$C,'01. TH'!S$4)</f>
        <v>0</v>
      </c>
      <c r="T272" s="126">
        <f>COUNTIFS('TỔNG KLH + TN'!$B:$B,'01. TH'!$B272,'TỔNG KLH + TN'!$C:$C,'01. TH'!T$4)</f>
        <v>0</v>
      </c>
      <c r="U272" s="126">
        <f>COUNTIFS('TỔNG KLH + TN'!$B:$B,'01. TH'!$B272,'TỔNG KLH + TN'!$C:$C,'01. TH'!U$4)</f>
        <v>0</v>
      </c>
      <c r="V272" s="126">
        <f>COUNTIFS('TỔNG KLH + TN'!$B:$B,'01. TH'!$B272,'TỔNG KLH + TN'!$C:$C,'01. TH'!V$4)</f>
        <v>0</v>
      </c>
      <c r="W272" s="126">
        <f>COUNTIFS('TỔNG KLH + TN'!$B:$B,'01. TH'!$B272,'TỔNG KLH + TN'!$C:$C,'01. TH'!W$4)</f>
        <v>0</v>
      </c>
      <c r="X272" s="126">
        <f>COUNTIFS('TỔNG KLH + TN'!$B:$B,'01. TH'!$B272,'TỔNG KLH + TN'!$C:$C,'01. TH'!X$4)</f>
        <v>0</v>
      </c>
      <c r="Y272" s="126">
        <f>COUNTIFS('TỔNG KLH + TN'!$B:$B,'01. TH'!$B272,'TỔNG KLH + TN'!$C:$C,'01. TH'!Y$4)</f>
        <v>0</v>
      </c>
      <c r="Z272" s="126">
        <f>COUNTIFS('TỔNG KLH + TN'!$B:$B,'01. TH'!$B272,'TỔNG KLH + TN'!$C:$C,'01. TH'!Z$4)</f>
        <v>0</v>
      </c>
      <c r="AA272" s="126">
        <f>COUNTIFS('TỔNG KLH + TN'!$B:$B,'01. TH'!$B272,'TỔNG KLH + TN'!$C:$C,'01. TH'!AA$4)</f>
        <v>0</v>
      </c>
      <c r="AB272" s="126">
        <f>COUNTIFS('TỔNG KLH + TN'!$B:$B,'01. TH'!$B272,'TỔNG KLH + TN'!$C:$C,'01. TH'!AB$4)</f>
        <v>0</v>
      </c>
      <c r="AC272" s="126">
        <f>COUNTIFS('TỔNG KLH + TN'!$B:$B,'01. TH'!$B272,'TỔNG KLH + TN'!$C:$C,'01. TH'!AC$4)</f>
        <v>0</v>
      </c>
      <c r="AD272" s="126">
        <f>COUNTIFS('TỔNG KLH + TN'!$B:$B,'01. TH'!$B272,'TỔNG KLH + TN'!$C:$C,'01. TH'!AD$4)</f>
        <v>0</v>
      </c>
      <c r="AE272" s="162">
        <f t="shared" si="53"/>
        <v>1</v>
      </c>
      <c r="AF272" s="162"/>
      <c r="AG272" s="70" t="str">
        <f t="shared" si="24"/>
        <v>ok</v>
      </c>
      <c r="AH272" s="755"/>
    </row>
    <row r="273" ht="17.25" hidden="1" customHeight="1" outlineLevel="1">
      <c r="A273" s="749"/>
      <c r="B273" s="758" t="s">
        <v>5557</v>
      </c>
      <c r="C273" s="751"/>
      <c r="D273" s="751"/>
      <c r="E273" s="751" t="s">
        <v>5837</v>
      </c>
      <c r="F273" s="126">
        <f>COUNTIFS('TỔNG KLH + TN'!$B:$B,'01. TH'!$B273,'TỔNG KLH + TN'!$C:$C,'01. TH'!F$4)</f>
        <v>0</v>
      </c>
      <c r="G273" s="126">
        <f>COUNTIFS('TỔNG KLH + TN'!$B:$B,'01. TH'!$B273,'TỔNG KLH + TN'!$C:$C,'01. TH'!G$4)</f>
        <v>0</v>
      </c>
      <c r="H273" s="126">
        <f>COUNTIFS('TỔNG KLH + TN'!$B:$B,'01. TH'!$B273,'TỔNG KLH + TN'!$C:$C,'01. TH'!H$4)</f>
        <v>0</v>
      </c>
      <c r="I273" s="126">
        <f>COUNTIFS('TỔNG KLH + TN'!$B:$B,'01. TH'!$B273,'TỔNG KLH + TN'!$C:$C,'01. TH'!I$4)</f>
        <v>0</v>
      </c>
      <c r="J273" s="126">
        <f>COUNTIFS('TỔNG KLH + TN'!$B:$B,'01. TH'!$B273,'TỔNG KLH + TN'!$C:$C,'01. TH'!J$4)</f>
        <v>0</v>
      </c>
      <c r="K273" s="126">
        <f>COUNTIFS('TỔNG KLH + TN'!$B:$B,'01. TH'!$B273,'TỔNG KLH + TN'!$C:$C,'01. TH'!K$4)</f>
        <v>0</v>
      </c>
      <c r="L273" s="126">
        <f>COUNTIFS('TỔNG KLH + TN'!$B:$B,'01. TH'!$B273,'TỔNG KLH + TN'!$C:$C,'01. TH'!L$4)</f>
        <v>0</v>
      </c>
      <c r="M273" s="126">
        <f>COUNTIFS('TỔNG KLH + TN'!$B:$B,'01. TH'!$B273,'TỔNG KLH + TN'!$C:$C,'01. TH'!M$4)</f>
        <v>0</v>
      </c>
      <c r="N273" s="126">
        <f>COUNTIFS('TỔNG KLH + TN'!$B:$B,'01. TH'!$B273,'TỔNG KLH + TN'!$C:$C,'01. TH'!N$4)</f>
        <v>0</v>
      </c>
      <c r="O273" s="126">
        <f>COUNTIFS('TỔNG KLH + TN'!$B:$B,'01. TH'!$B273,'TỔNG KLH + TN'!$C:$C,'01. TH'!O$4)</f>
        <v>0</v>
      </c>
      <c r="P273" s="126">
        <f>COUNTIFS('TỔNG KLH + TN'!$B:$B,'01. TH'!$B273,'TỔNG KLH + TN'!$C:$C,'01. TH'!P$4)</f>
        <v>0</v>
      </c>
      <c r="Q273" s="126">
        <f>COUNTIFS('TỔNG KLH + TN'!$B:$B,'01. TH'!$B273,'TỔNG KLH + TN'!$C:$C,'01. TH'!Q$4)</f>
        <v>0</v>
      </c>
      <c r="R273" s="126">
        <f>COUNTIFS('TỔNG KLH + TN'!$B:$B,'01. TH'!$B273,'TỔNG KLH + TN'!$C:$C,'01. TH'!R$4)</f>
        <v>0</v>
      </c>
      <c r="S273" s="126">
        <f>COUNTIFS('TỔNG KLH + TN'!$B:$B,'01. TH'!$B273,'TỔNG KLH + TN'!$C:$C,'01. TH'!S$4)</f>
        <v>0</v>
      </c>
      <c r="T273" s="126">
        <f>COUNTIFS('TỔNG KLH + TN'!$B:$B,'01. TH'!$B273,'TỔNG KLH + TN'!$C:$C,'01. TH'!T$4)</f>
        <v>0</v>
      </c>
      <c r="U273" s="126">
        <f>COUNTIFS('TỔNG KLH + TN'!$B:$B,'01. TH'!$B273,'TỔNG KLH + TN'!$C:$C,'01. TH'!U$4)</f>
        <v>0</v>
      </c>
      <c r="V273" s="126">
        <f>COUNTIFS('TỔNG KLH + TN'!$B:$B,'01. TH'!$B273,'TỔNG KLH + TN'!$C:$C,'01. TH'!V$4)</f>
        <v>0</v>
      </c>
      <c r="W273" s="126">
        <f>COUNTIFS('TỔNG KLH + TN'!$B:$B,'01. TH'!$B273,'TỔNG KLH + TN'!$C:$C,'01. TH'!W$4)</f>
        <v>11</v>
      </c>
      <c r="X273" s="126">
        <f>COUNTIFS('TỔNG KLH + TN'!$B:$B,'01. TH'!$B273,'TỔNG KLH + TN'!$C:$C,'01. TH'!X$4)</f>
        <v>0</v>
      </c>
      <c r="Y273" s="126">
        <f>COUNTIFS('TỔNG KLH + TN'!$B:$B,'01. TH'!$B273,'TỔNG KLH + TN'!$C:$C,'01. TH'!Y$4)</f>
        <v>0</v>
      </c>
      <c r="Z273" s="126">
        <f>COUNTIFS('TỔNG KLH + TN'!$B:$B,'01. TH'!$B273,'TỔNG KLH + TN'!$C:$C,'01. TH'!Z$4)</f>
        <v>0</v>
      </c>
      <c r="AA273" s="126">
        <f>COUNTIFS('TỔNG KLH + TN'!$B:$B,'01. TH'!$B273,'TỔNG KLH + TN'!$C:$C,'01. TH'!AA$4)</f>
        <v>0</v>
      </c>
      <c r="AB273" s="126">
        <f>COUNTIFS('TỔNG KLH + TN'!$B:$B,'01. TH'!$B273,'TỔNG KLH + TN'!$C:$C,'01. TH'!AB$4)</f>
        <v>0</v>
      </c>
      <c r="AC273" s="126">
        <f>COUNTIFS('TỔNG KLH + TN'!$B:$B,'01. TH'!$B273,'TỔNG KLH + TN'!$C:$C,'01. TH'!AC$4)</f>
        <v>0</v>
      </c>
      <c r="AD273" s="126">
        <f>COUNTIFS('TỔNG KLH + TN'!$B:$B,'01. TH'!$B273,'TỔNG KLH + TN'!$C:$C,'01. TH'!AD$4)</f>
        <v>0</v>
      </c>
      <c r="AE273" s="162">
        <f t="shared" si="53"/>
        <v>11</v>
      </c>
      <c r="AF273" s="162"/>
      <c r="AG273" s="70" t="str">
        <f t="shared" si="24"/>
        <v>ok</v>
      </c>
      <c r="AH273" s="755"/>
    </row>
    <row r="274" ht="17.25" hidden="1" customHeight="1" outlineLevel="1">
      <c r="A274" s="121"/>
      <c r="B274" s="122" t="s">
        <v>5127</v>
      </c>
      <c r="C274" s="124"/>
      <c r="D274" s="124"/>
      <c r="E274" s="751" t="s">
        <v>5837</v>
      </c>
      <c r="F274" s="126">
        <f>COUNTIFS('TỔNG KLH + TN'!$B:$B,'01. TH'!$B274,'TỔNG KLH + TN'!$C:$C,'01. TH'!F$4)</f>
        <v>0</v>
      </c>
      <c r="G274" s="126">
        <f>COUNTIFS('TỔNG KLH + TN'!$B:$B,'01. TH'!$B274,'TỔNG KLH + TN'!$C:$C,'01. TH'!G$4)</f>
        <v>0</v>
      </c>
      <c r="H274" s="126">
        <f>COUNTIFS('TỔNG KLH + TN'!$B:$B,'01. TH'!$B274,'TỔNG KLH + TN'!$C:$C,'01. TH'!H$4)</f>
        <v>0</v>
      </c>
      <c r="I274" s="126">
        <f>COUNTIFS('TỔNG KLH + TN'!$B:$B,'01. TH'!$B274,'TỔNG KLH + TN'!$C:$C,'01. TH'!I$4)</f>
        <v>0</v>
      </c>
      <c r="J274" s="126">
        <f>COUNTIFS('TỔNG KLH + TN'!$B:$B,'01. TH'!$B274,'TỔNG KLH + TN'!$C:$C,'01. TH'!J$4)</f>
        <v>0</v>
      </c>
      <c r="K274" s="126">
        <f>COUNTIFS('TỔNG KLH + TN'!$B:$B,'01. TH'!$B274,'TỔNG KLH + TN'!$C:$C,'01. TH'!K$4)</f>
        <v>0</v>
      </c>
      <c r="L274" s="126">
        <f>COUNTIFS('TỔNG KLH + TN'!$B:$B,'01. TH'!$B274,'TỔNG KLH + TN'!$C:$C,'01. TH'!L$4)</f>
        <v>0</v>
      </c>
      <c r="M274" s="126">
        <f>COUNTIFS('TỔNG KLH + TN'!$B:$B,'01. TH'!$B274,'TỔNG KLH + TN'!$C:$C,'01. TH'!M$4)</f>
        <v>0</v>
      </c>
      <c r="N274" s="126">
        <f>COUNTIFS('TỔNG KLH + TN'!$B:$B,'01. TH'!$B274,'TỔNG KLH + TN'!$C:$C,'01. TH'!N$4)</f>
        <v>0</v>
      </c>
      <c r="O274" s="126">
        <f>COUNTIFS('TỔNG KLH + TN'!$B:$B,'01. TH'!$B274,'TỔNG KLH + TN'!$C:$C,'01. TH'!O$4)</f>
        <v>0</v>
      </c>
      <c r="P274" s="126">
        <f>COUNTIFS('TỔNG KLH + TN'!$B:$B,'01. TH'!$B274,'TỔNG KLH + TN'!$C:$C,'01. TH'!P$4)</f>
        <v>0</v>
      </c>
      <c r="Q274" s="126">
        <f>COUNTIFS('TỔNG KLH + TN'!$B:$B,'01. TH'!$B274,'TỔNG KLH + TN'!$C:$C,'01. TH'!Q$4)</f>
        <v>0</v>
      </c>
      <c r="R274" s="126">
        <f>COUNTIFS('TỔNG KLH + TN'!$B:$B,'01. TH'!$B274,'TỔNG KLH + TN'!$C:$C,'01. TH'!R$4)</f>
        <v>0</v>
      </c>
      <c r="S274" s="126">
        <f>COUNTIFS('TỔNG KLH + TN'!$B:$B,'01. TH'!$B274,'TỔNG KLH + TN'!$C:$C,'01. TH'!S$4)</f>
        <v>0</v>
      </c>
      <c r="T274" s="126">
        <f>COUNTIFS('TỔNG KLH + TN'!$B:$B,'01. TH'!$B274,'TỔNG KLH + TN'!$C:$C,'01. TH'!T$4)</f>
        <v>0</v>
      </c>
      <c r="U274" s="126">
        <f>COUNTIFS('TỔNG KLH + TN'!$B:$B,'01. TH'!$B274,'TỔNG KLH + TN'!$C:$C,'01. TH'!U$4)</f>
        <v>8</v>
      </c>
      <c r="V274" s="126">
        <f>COUNTIFS('TỔNG KLH + TN'!$B:$B,'01. TH'!$B274,'TỔNG KLH + TN'!$C:$C,'01. TH'!V$4)</f>
        <v>0</v>
      </c>
      <c r="W274" s="126">
        <f>COUNTIFS('TỔNG KLH + TN'!$B:$B,'01. TH'!$B274,'TỔNG KLH + TN'!$C:$C,'01. TH'!W$4)</f>
        <v>0</v>
      </c>
      <c r="X274" s="126">
        <f>COUNTIFS('TỔNG KLH + TN'!$B:$B,'01. TH'!$B274,'TỔNG KLH + TN'!$C:$C,'01. TH'!X$4)</f>
        <v>0</v>
      </c>
      <c r="Y274" s="126">
        <f>COUNTIFS('TỔNG KLH + TN'!$B:$B,'01. TH'!$B274,'TỔNG KLH + TN'!$C:$C,'01. TH'!Y$4)</f>
        <v>0</v>
      </c>
      <c r="Z274" s="126">
        <f>COUNTIFS('TỔNG KLH + TN'!$B:$B,'01. TH'!$B274,'TỔNG KLH + TN'!$C:$C,'01. TH'!Z$4)</f>
        <v>0</v>
      </c>
      <c r="AA274" s="126">
        <f>COUNTIFS('TỔNG KLH + TN'!$B:$B,'01. TH'!$B274,'TỔNG KLH + TN'!$C:$C,'01. TH'!AA$4)</f>
        <v>0</v>
      </c>
      <c r="AB274" s="126">
        <f>COUNTIFS('TỔNG KLH + TN'!$B:$B,'01. TH'!$B274,'TỔNG KLH + TN'!$C:$C,'01. TH'!AB$4)</f>
        <v>0</v>
      </c>
      <c r="AC274" s="126">
        <f>COUNTIFS('TỔNG KLH + TN'!$B:$B,'01. TH'!$B274,'TỔNG KLH + TN'!$C:$C,'01. TH'!AC$4)</f>
        <v>0</v>
      </c>
      <c r="AD274" s="126">
        <f>COUNTIFS('TỔNG KLH + TN'!$B:$B,'01. TH'!$B274,'TỔNG KLH + TN'!$C:$C,'01. TH'!AD$4)</f>
        <v>0</v>
      </c>
      <c r="AE274" s="136">
        <f t="shared" si="53"/>
        <v>8</v>
      </c>
      <c r="AF274" s="136"/>
      <c r="AG274" s="70" t="str">
        <f t="shared" si="24"/>
        <v>ok</v>
      </c>
      <c r="AH274" s="121"/>
    </row>
    <row r="275" ht="17.25" hidden="1" customHeight="1" outlineLevel="1">
      <c r="A275" s="749"/>
      <c r="B275" s="758" t="s">
        <v>5153</v>
      </c>
      <c r="C275" s="751"/>
      <c r="D275" s="751"/>
      <c r="E275" s="751" t="s">
        <v>5837</v>
      </c>
      <c r="F275" s="126">
        <f>COUNTIFS('TỔNG KLH + TN'!$B:$B,'01. TH'!$B275,'TỔNG KLH + TN'!$C:$C,'01. TH'!F$4)</f>
        <v>0</v>
      </c>
      <c r="G275" s="126">
        <f>COUNTIFS('TỔNG KLH + TN'!$B:$B,'01. TH'!$B275,'TỔNG KLH + TN'!$C:$C,'01. TH'!G$4)</f>
        <v>0</v>
      </c>
      <c r="H275" s="126">
        <f>COUNTIFS('TỔNG KLH + TN'!$B:$B,'01. TH'!$B275,'TỔNG KLH + TN'!$C:$C,'01. TH'!H$4)</f>
        <v>0</v>
      </c>
      <c r="I275" s="126">
        <f>COUNTIFS('TỔNG KLH + TN'!$B:$B,'01. TH'!$B275,'TỔNG KLH + TN'!$C:$C,'01. TH'!I$4)</f>
        <v>0</v>
      </c>
      <c r="J275" s="126">
        <f>COUNTIFS('TỔNG KLH + TN'!$B:$B,'01. TH'!$B275,'TỔNG KLH + TN'!$C:$C,'01. TH'!J$4)</f>
        <v>0</v>
      </c>
      <c r="K275" s="126">
        <f>COUNTIFS('TỔNG KLH + TN'!$B:$B,'01. TH'!$B275,'TỔNG KLH + TN'!$C:$C,'01. TH'!K$4)</f>
        <v>0</v>
      </c>
      <c r="L275" s="126">
        <f>COUNTIFS('TỔNG KLH + TN'!$B:$B,'01. TH'!$B275,'TỔNG KLH + TN'!$C:$C,'01. TH'!L$4)</f>
        <v>0</v>
      </c>
      <c r="M275" s="126">
        <f>COUNTIFS('TỔNG KLH + TN'!$B:$B,'01. TH'!$B275,'TỔNG KLH + TN'!$C:$C,'01. TH'!M$4)</f>
        <v>0</v>
      </c>
      <c r="N275" s="126">
        <f>COUNTIFS('TỔNG KLH + TN'!$B:$B,'01. TH'!$B275,'TỔNG KLH + TN'!$C:$C,'01. TH'!N$4)</f>
        <v>0</v>
      </c>
      <c r="O275" s="126">
        <f>COUNTIFS('TỔNG KLH + TN'!$B:$B,'01. TH'!$B275,'TỔNG KLH + TN'!$C:$C,'01. TH'!O$4)</f>
        <v>0</v>
      </c>
      <c r="P275" s="126">
        <f>COUNTIFS('TỔNG KLH + TN'!$B:$B,'01. TH'!$B275,'TỔNG KLH + TN'!$C:$C,'01. TH'!P$4)</f>
        <v>0</v>
      </c>
      <c r="Q275" s="126">
        <f>COUNTIFS('TỔNG KLH + TN'!$B:$B,'01. TH'!$B275,'TỔNG KLH + TN'!$C:$C,'01. TH'!Q$4)</f>
        <v>0</v>
      </c>
      <c r="R275" s="126">
        <f>COUNTIFS('TỔNG KLH + TN'!$B:$B,'01. TH'!$B275,'TỔNG KLH + TN'!$C:$C,'01. TH'!R$4)</f>
        <v>0</v>
      </c>
      <c r="S275" s="126">
        <f>COUNTIFS('TỔNG KLH + TN'!$B:$B,'01. TH'!$B275,'TỔNG KLH + TN'!$C:$C,'01. TH'!S$4)</f>
        <v>0</v>
      </c>
      <c r="T275" s="126">
        <f>COUNTIFS('TỔNG KLH + TN'!$B:$B,'01. TH'!$B275,'TỔNG KLH + TN'!$C:$C,'01. TH'!T$4)</f>
        <v>0</v>
      </c>
      <c r="U275" s="126">
        <f>COUNTIFS('TỔNG KLH + TN'!$B:$B,'01. TH'!$B275,'TỔNG KLH + TN'!$C:$C,'01. TH'!U$4)</f>
        <v>1</v>
      </c>
      <c r="V275" s="126">
        <f>COUNTIFS('TỔNG KLH + TN'!$B:$B,'01. TH'!$B275,'TỔNG KLH + TN'!$C:$C,'01. TH'!V$4)</f>
        <v>0</v>
      </c>
      <c r="W275" s="126">
        <f>COUNTIFS('TỔNG KLH + TN'!$B:$B,'01. TH'!$B275,'TỔNG KLH + TN'!$C:$C,'01. TH'!W$4)</f>
        <v>0</v>
      </c>
      <c r="X275" s="126">
        <f>COUNTIFS('TỔNG KLH + TN'!$B:$B,'01. TH'!$B275,'TỔNG KLH + TN'!$C:$C,'01. TH'!X$4)</f>
        <v>0</v>
      </c>
      <c r="Y275" s="126">
        <f>COUNTIFS('TỔNG KLH + TN'!$B:$B,'01. TH'!$B275,'TỔNG KLH + TN'!$C:$C,'01. TH'!Y$4)</f>
        <v>0</v>
      </c>
      <c r="Z275" s="126">
        <f>COUNTIFS('TỔNG KLH + TN'!$B:$B,'01. TH'!$B275,'TỔNG KLH + TN'!$C:$C,'01. TH'!Z$4)</f>
        <v>0</v>
      </c>
      <c r="AA275" s="126">
        <f>COUNTIFS('TỔNG KLH + TN'!$B:$B,'01. TH'!$B275,'TỔNG KLH + TN'!$C:$C,'01. TH'!AA$4)</f>
        <v>0</v>
      </c>
      <c r="AB275" s="126">
        <f>COUNTIFS('TỔNG KLH + TN'!$B:$B,'01. TH'!$B275,'TỔNG KLH + TN'!$C:$C,'01. TH'!AB$4)</f>
        <v>0</v>
      </c>
      <c r="AC275" s="126">
        <f>COUNTIFS('TỔNG KLH + TN'!$B:$B,'01. TH'!$B275,'TỔNG KLH + TN'!$C:$C,'01. TH'!AC$4)</f>
        <v>0</v>
      </c>
      <c r="AD275" s="126">
        <f>COUNTIFS('TỔNG KLH + TN'!$B:$B,'01. TH'!$B275,'TỔNG KLH + TN'!$C:$C,'01. TH'!AD$4)</f>
        <v>0</v>
      </c>
      <c r="AE275" s="162">
        <f t="shared" si="53"/>
        <v>1</v>
      </c>
      <c r="AF275" s="162"/>
      <c r="AG275" s="70" t="str">
        <f t="shared" si="24"/>
        <v>ok</v>
      </c>
      <c r="AH275" s="755"/>
    </row>
    <row r="276" ht="17.25" hidden="1" customHeight="1" outlineLevel="1">
      <c r="A276" s="121"/>
      <c r="B276" s="122" t="s">
        <v>5157</v>
      </c>
      <c r="C276" s="124"/>
      <c r="D276" s="124"/>
      <c r="E276" s="751" t="s">
        <v>5837</v>
      </c>
      <c r="F276" s="126">
        <f>COUNTIFS('TỔNG KLH + TN'!$B:$B,'01. TH'!$B276,'TỔNG KLH + TN'!$C:$C,'01. TH'!F$4)</f>
        <v>0</v>
      </c>
      <c r="G276" s="126">
        <f>COUNTIFS('TỔNG KLH + TN'!$B:$B,'01. TH'!$B276,'TỔNG KLH + TN'!$C:$C,'01. TH'!G$4)</f>
        <v>0</v>
      </c>
      <c r="H276" s="126">
        <f>COUNTIFS('TỔNG KLH + TN'!$B:$B,'01. TH'!$B276,'TỔNG KLH + TN'!$C:$C,'01. TH'!H$4)</f>
        <v>0</v>
      </c>
      <c r="I276" s="126">
        <f>COUNTIFS('TỔNG KLH + TN'!$B:$B,'01. TH'!$B276,'TỔNG KLH + TN'!$C:$C,'01. TH'!I$4)</f>
        <v>0</v>
      </c>
      <c r="J276" s="126">
        <f>COUNTIFS('TỔNG KLH + TN'!$B:$B,'01. TH'!$B276,'TỔNG KLH + TN'!$C:$C,'01. TH'!J$4)</f>
        <v>0</v>
      </c>
      <c r="K276" s="126">
        <f>COUNTIFS('TỔNG KLH + TN'!$B:$B,'01. TH'!$B276,'TỔNG KLH + TN'!$C:$C,'01. TH'!K$4)</f>
        <v>0</v>
      </c>
      <c r="L276" s="126">
        <f>COUNTIFS('TỔNG KLH + TN'!$B:$B,'01. TH'!$B276,'TỔNG KLH + TN'!$C:$C,'01. TH'!L$4)</f>
        <v>0</v>
      </c>
      <c r="M276" s="126">
        <f>COUNTIFS('TỔNG KLH + TN'!$B:$B,'01. TH'!$B276,'TỔNG KLH + TN'!$C:$C,'01. TH'!M$4)</f>
        <v>0</v>
      </c>
      <c r="N276" s="126">
        <f>COUNTIFS('TỔNG KLH + TN'!$B:$B,'01. TH'!$B276,'TỔNG KLH + TN'!$C:$C,'01. TH'!N$4)</f>
        <v>0</v>
      </c>
      <c r="O276" s="126">
        <f>COUNTIFS('TỔNG KLH + TN'!$B:$B,'01. TH'!$B276,'TỔNG KLH + TN'!$C:$C,'01. TH'!O$4)</f>
        <v>0</v>
      </c>
      <c r="P276" s="126">
        <f>COUNTIFS('TỔNG KLH + TN'!$B:$B,'01. TH'!$B276,'TỔNG KLH + TN'!$C:$C,'01. TH'!P$4)</f>
        <v>0</v>
      </c>
      <c r="Q276" s="126">
        <f>COUNTIFS('TỔNG KLH + TN'!$B:$B,'01. TH'!$B276,'TỔNG KLH + TN'!$C:$C,'01. TH'!Q$4)</f>
        <v>0</v>
      </c>
      <c r="R276" s="126">
        <f>COUNTIFS('TỔNG KLH + TN'!$B:$B,'01. TH'!$B276,'TỔNG KLH + TN'!$C:$C,'01. TH'!R$4)</f>
        <v>0</v>
      </c>
      <c r="S276" s="126">
        <f>COUNTIFS('TỔNG KLH + TN'!$B:$B,'01. TH'!$B276,'TỔNG KLH + TN'!$C:$C,'01. TH'!S$4)</f>
        <v>0</v>
      </c>
      <c r="T276" s="126">
        <f>COUNTIFS('TỔNG KLH + TN'!$B:$B,'01. TH'!$B276,'TỔNG KLH + TN'!$C:$C,'01. TH'!T$4)</f>
        <v>0</v>
      </c>
      <c r="U276" s="126">
        <f>COUNTIFS('TỔNG KLH + TN'!$B:$B,'01. TH'!$B276,'TỔNG KLH + TN'!$C:$C,'01. TH'!U$4)</f>
        <v>9</v>
      </c>
      <c r="V276" s="126">
        <f>COUNTIFS('TỔNG KLH + TN'!$B:$B,'01. TH'!$B276,'TỔNG KLH + TN'!$C:$C,'01. TH'!V$4)</f>
        <v>0</v>
      </c>
      <c r="W276" s="126">
        <f>COUNTIFS('TỔNG KLH + TN'!$B:$B,'01. TH'!$B276,'TỔNG KLH + TN'!$C:$C,'01. TH'!W$4)</f>
        <v>0</v>
      </c>
      <c r="X276" s="126">
        <f>COUNTIFS('TỔNG KLH + TN'!$B:$B,'01. TH'!$B276,'TỔNG KLH + TN'!$C:$C,'01. TH'!X$4)</f>
        <v>0</v>
      </c>
      <c r="Y276" s="126">
        <f>COUNTIFS('TỔNG KLH + TN'!$B:$B,'01. TH'!$B276,'TỔNG KLH + TN'!$C:$C,'01. TH'!Y$4)</f>
        <v>0</v>
      </c>
      <c r="Z276" s="126">
        <f>COUNTIFS('TỔNG KLH + TN'!$B:$B,'01. TH'!$B276,'TỔNG KLH + TN'!$C:$C,'01. TH'!Z$4)</f>
        <v>0</v>
      </c>
      <c r="AA276" s="126">
        <f>COUNTIFS('TỔNG KLH + TN'!$B:$B,'01. TH'!$B276,'TỔNG KLH + TN'!$C:$C,'01. TH'!AA$4)</f>
        <v>0</v>
      </c>
      <c r="AB276" s="126">
        <f>COUNTIFS('TỔNG KLH + TN'!$B:$B,'01. TH'!$B276,'TỔNG KLH + TN'!$C:$C,'01. TH'!AB$4)</f>
        <v>0</v>
      </c>
      <c r="AC276" s="126">
        <f>COUNTIFS('TỔNG KLH + TN'!$B:$B,'01. TH'!$B276,'TỔNG KLH + TN'!$C:$C,'01. TH'!AC$4)</f>
        <v>0</v>
      </c>
      <c r="AD276" s="126">
        <f>COUNTIFS('TỔNG KLH + TN'!$B:$B,'01. TH'!$B276,'TỔNG KLH + TN'!$C:$C,'01. TH'!AD$4)</f>
        <v>0</v>
      </c>
      <c r="AE276" s="136">
        <f t="shared" si="53"/>
        <v>9</v>
      </c>
      <c r="AF276" s="136"/>
      <c r="AG276" s="70" t="str">
        <f t="shared" si="24"/>
        <v>ok</v>
      </c>
      <c r="AH276" s="121"/>
    </row>
    <row r="277" ht="17.25" hidden="1" customHeight="1" outlineLevel="1">
      <c r="A277" s="749"/>
      <c r="B277" s="758" t="s">
        <v>5119</v>
      </c>
      <c r="C277" s="751"/>
      <c r="D277" s="751"/>
      <c r="E277" s="751" t="s">
        <v>5837</v>
      </c>
      <c r="F277" s="126">
        <f>COUNTIFS('TỔNG KLH + TN'!$B:$B,'01. TH'!$B277,'TỔNG KLH + TN'!$C:$C,'01. TH'!F$4)</f>
        <v>0</v>
      </c>
      <c r="G277" s="126">
        <f>COUNTIFS('TỔNG KLH + TN'!$B:$B,'01. TH'!$B277,'TỔNG KLH + TN'!$C:$C,'01. TH'!G$4)</f>
        <v>0</v>
      </c>
      <c r="H277" s="126">
        <f>COUNTIFS('TỔNG KLH + TN'!$B:$B,'01. TH'!$B277,'TỔNG KLH + TN'!$C:$C,'01. TH'!H$4)</f>
        <v>0</v>
      </c>
      <c r="I277" s="126">
        <f>COUNTIFS('TỔNG KLH + TN'!$B:$B,'01. TH'!$B277,'TỔNG KLH + TN'!$C:$C,'01. TH'!I$4)</f>
        <v>0</v>
      </c>
      <c r="J277" s="126">
        <f>COUNTIFS('TỔNG KLH + TN'!$B:$B,'01. TH'!$B277,'TỔNG KLH + TN'!$C:$C,'01. TH'!J$4)</f>
        <v>0</v>
      </c>
      <c r="K277" s="126">
        <f>COUNTIFS('TỔNG KLH + TN'!$B:$B,'01. TH'!$B277,'TỔNG KLH + TN'!$C:$C,'01. TH'!K$4)</f>
        <v>0</v>
      </c>
      <c r="L277" s="126">
        <f>COUNTIFS('TỔNG KLH + TN'!$B:$B,'01. TH'!$B277,'TỔNG KLH + TN'!$C:$C,'01. TH'!L$4)</f>
        <v>0</v>
      </c>
      <c r="M277" s="126">
        <f>COUNTIFS('TỔNG KLH + TN'!$B:$B,'01. TH'!$B277,'TỔNG KLH + TN'!$C:$C,'01. TH'!M$4)</f>
        <v>0</v>
      </c>
      <c r="N277" s="126">
        <f>COUNTIFS('TỔNG KLH + TN'!$B:$B,'01. TH'!$B277,'TỔNG KLH + TN'!$C:$C,'01. TH'!N$4)</f>
        <v>0</v>
      </c>
      <c r="O277" s="126">
        <f>COUNTIFS('TỔNG KLH + TN'!$B:$B,'01. TH'!$B277,'TỔNG KLH + TN'!$C:$C,'01. TH'!O$4)</f>
        <v>0</v>
      </c>
      <c r="P277" s="126">
        <f>COUNTIFS('TỔNG KLH + TN'!$B:$B,'01. TH'!$B277,'TỔNG KLH + TN'!$C:$C,'01. TH'!P$4)</f>
        <v>0</v>
      </c>
      <c r="Q277" s="126">
        <f>COUNTIFS('TỔNG KLH + TN'!$B:$B,'01. TH'!$B277,'TỔNG KLH + TN'!$C:$C,'01. TH'!Q$4)</f>
        <v>0</v>
      </c>
      <c r="R277" s="126">
        <f>COUNTIFS('TỔNG KLH + TN'!$B:$B,'01. TH'!$B277,'TỔNG KLH + TN'!$C:$C,'01. TH'!R$4)</f>
        <v>0</v>
      </c>
      <c r="S277" s="126">
        <f>COUNTIFS('TỔNG KLH + TN'!$B:$B,'01. TH'!$B277,'TỔNG KLH + TN'!$C:$C,'01. TH'!S$4)</f>
        <v>0</v>
      </c>
      <c r="T277" s="126">
        <f>COUNTIFS('TỔNG KLH + TN'!$B:$B,'01. TH'!$B277,'TỔNG KLH + TN'!$C:$C,'01. TH'!T$4)</f>
        <v>0</v>
      </c>
      <c r="U277" s="126">
        <f>COUNTIFS('TỔNG KLH + TN'!$B:$B,'01. TH'!$B277,'TỔNG KLH + TN'!$C:$C,'01. TH'!U$4)</f>
        <v>1</v>
      </c>
      <c r="V277" s="126">
        <f>COUNTIFS('TỔNG KLH + TN'!$B:$B,'01. TH'!$B277,'TỔNG KLH + TN'!$C:$C,'01. TH'!V$4)</f>
        <v>0</v>
      </c>
      <c r="W277" s="126">
        <f>COUNTIFS('TỔNG KLH + TN'!$B:$B,'01. TH'!$B277,'TỔNG KLH + TN'!$C:$C,'01. TH'!W$4)</f>
        <v>0</v>
      </c>
      <c r="X277" s="126">
        <f>COUNTIFS('TỔNG KLH + TN'!$B:$B,'01. TH'!$B277,'TỔNG KLH + TN'!$C:$C,'01. TH'!X$4)</f>
        <v>0</v>
      </c>
      <c r="Y277" s="126">
        <f>COUNTIFS('TỔNG KLH + TN'!$B:$B,'01. TH'!$B277,'TỔNG KLH + TN'!$C:$C,'01. TH'!Y$4)</f>
        <v>0</v>
      </c>
      <c r="Z277" s="126">
        <f>COUNTIFS('TỔNG KLH + TN'!$B:$B,'01. TH'!$B277,'TỔNG KLH + TN'!$C:$C,'01. TH'!Z$4)</f>
        <v>0</v>
      </c>
      <c r="AA277" s="126">
        <f>COUNTIFS('TỔNG KLH + TN'!$B:$B,'01. TH'!$B277,'TỔNG KLH + TN'!$C:$C,'01. TH'!AA$4)</f>
        <v>0</v>
      </c>
      <c r="AB277" s="126">
        <f>COUNTIFS('TỔNG KLH + TN'!$B:$B,'01. TH'!$B277,'TỔNG KLH + TN'!$C:$C,'01. TH'!AB$4)</f>
        <v>0</v>
      </c>
      <c r="AC277" s="126">
        <f>COUNTIFS('TỔNG KLH + TN'!$B:$B,'01. TH'!$B277,'TỔNG KLH + TN'!$C:$C,'01. TH'!AC$4)</f>
        <v>0</v>
      </c>
      <c r="AD277" s="126">
        <f>COUNTIFS('TỔNG KLH + TN'!$B:$B,'01. TH'!$B277,'TỔNG KLH + TN'!$C:$C,'01. TH'!AD$4)</f>
        <v>0</v>
      </c>
      <c r="AE277" s="162">
        <f t="shared" si="53"/>
        <v>1</v>
      </c>
      <c r="AF277" s="162"/>
      <c r="AG277" s="70" t="str">
        <f t="shared" si="24"/>
        <v>ok</v>
      </c>
      <c r="AH277" s="755"/>
    </row>
    <row r="278" ht="17.25" hidden="1" customHeight="1" outlineLevel="1">
      <c r="A278" s="749"/>
      <c r="B278" s="758" t="s">
        <v>5581</v>
      </c>
      <c r="C278" s="751"/>
      <c r="D278" s="751"/>
      <c r="E278" s="751" t="s">
        <v>5837</v>
      </c>
      <c r="F278" s="126">
        <f>COUNTIFS('TỔNG KLH + TN'!$B:$B,'01. TH'!$B278,'TỔNG KLH + TN'!$C:$C,'01. TH'!F$4)</f>
        <v>0</v>
      </c>
      <c r="G278" s="126">
        <f>COUNTIFS('TỔNG KLH + TN'!$B:$B,'01. TH'!$B278,'TỔNG KLH + TN'!$C:$C,'01. TH'!G$4)</f>
        <v>0</v>
      </c>
      <c r="H278" s="126">
        <f>COUNTIFS('TỔNG KLH + TN'!$B:$B,'01. TH'!$B278,'TỔNG KLH + TN'!$C:$C,'01. TH'!H$4)</f>
        <v>0</v>
      </c>
      <c r="I278" s="126">
        <f>COUNTIFS('TỔNG KLH + TN'!$B:$B,'01. TH'!$B278,'TỔNG KLH + TN'!$C:$C,'01. TH'!I$4)</f>
        <v>0</v>
      </c>
      <c r="J278" s="126">
        <f>COUNTIFS('TỔNG KLH + TN'!$B:$B,'01. TH'!$B278,'TỔNG KLH + TN'!$C:$C,'01. TH'!J$4)</f>
        <v>1</v>
      </c>
      <c r="K278" s="126">
        <f>COUNTIFS('TỔNG KLH + TN'!$B:$B,'01. TH'!$B278,'TỔNG KLH + TN'!$C:$C,'01. TH'!K$4)</f>
        <v>0</v>
      </c>
      <c r="L278" s="126">
        <f>COUNTIFS('TỔNG KLH + TN'!$B:$B,'01. TH'!$B278,'TỔNG KLH + TN'!$C:$C,'01. TH'!L$4)</f>
        <v>0</v>
      </c>
      <c r="M278" s="126">
        <f>COUNTIFS('TỔNG KLH + TN'!$B:$B,'01. TH'!$B278,'TỔNG KLH + TN'!$C:$C,'01. TH'!M$4)</f>
        <v>0</v>
      </c>
      <c r="N278" s="126">
        <f>COUNTIFS('TỔNG KLH + TN'!$B:$B,'01. TH'!$B278,'TỔNG KLH + TN'!$C:$C,'01. TH'!N$4)</f>
        <v>0</v>
      </c>
      <c r="O278" s="126">
        <f>COUNTIFS('TỔNG KLH + TN'!$B:$B,'01. TH'!$B278,'TỔNG KLH + TN'!$C:$C,'01. TH'!O$4)</f>
        <v>0</v>
      </c>
      <c r="P278" s="126">
        <f>COUNTIFS('TỔNG KLH + TN'!$B:$B,'01. TH'!$B278,'TỔNG KLH + TN'!$C:$C,'01. TH'!P$4)</f>
        <v>0</v>
      </c>
      <c r="Q278" s="126">
        <f>COUNTIFS('TỔNG KLH + TN'!$B:$B,'01. TH'!$B278,'TỔNG KLH + TN'!$C:$C,'01. TH'!Q$4)</f>
        <v>0</v>
      </c>
      <c r="R278" s="126">
        <f>COUNTIFS('TỔNG KLH + TN'!$B:$B,'01. TH'!$B278,'TỔNG KLH + TN'!$C:$C,'01. TH'!R$4)</f>
        <v>0</v>
      </c>
      <c r="S278" s="126">
        <f>COUNTIFS('TỔNG KLH + TN'!$B:$B,'01. TH'!$B278,'TỔNG KLH + TN'!$C:$C,'01. TH'!S$4)</f>
        <v>0</v>
      </c>
      <c r="T278" s="126">
        <f>COUNTIFS('TỔNG KLH + TN'!$B:$B,'01. TH'!$B278,'TỔNG KLH + TN'!$C:$C,'01. TH'!T$4)</f>
        <v>0</v>
      </c>
      <c r="U278" s="126">
        <f>COUNTIFS('TỔNG KLH + TN'!$B:$B,'01. TH'!$B278,'TỔNG KLH + TN'!$C:$C,'01. TH'!U$4)</f>
        <v>0</v>
      </c>
      <c r="V278" s="126">
        <f>COUNTIFS('TỔNG KLH + TN'!$B:$B,'01. TH'!$B278,'TỔNG KLH + TN'!$C:$C,'01. TH'!V$4)</f>
        <v>0</v>
      </c>
      <c r="W278" s="126">
        <f>COUNTIFS('TỔNG KLH + TN'!$B:$B,'01. TH'!$B278,'TỔNG KLH + TN'!$C:$C,'01. TH'!W$4)</f>
        <v>7</v>
      </c>
      <c r="X278" s="126">
        <f>COUNTIFS('TỔNG KLH + TN'!$B:$B,'01. TH'!$B278,'TỔNG KLH + TN'!$C:$C,'01. TH'!X$4)</f>
        <v>0</v>
      </c>
      <c r="Y278" s="126">
        <f>COUNTIFS('TỔNG KLH + TN'!$B:$B,'01. TH'!$B278,'TỔNG KLH + TN'!$C:$C,'01. TH'!Y$4)</f>
        <v>0</v>
      </c>
      <c r="Z278" s="126">
        <f>COUNTIFS('TỔNG KLH + TN'!$B:$B,'01. TH'!$B278,'TỔNG KLH + TN'!$C:$C,'01. TH'!Z$4)</f>
        <v>0</v>
      </c>
      <c r="AA278" s="126">
        <f>COUNTIFS('TỔNG KLH + TN'!$B:$B,'01. TH'!$B278,'TỔNG KLH + TN'!$C:$C,'01. TH'!AA$4)</f>
        <v>0</v>
      </c>
      <c r="AB278" s="126">
        <f>COUNTIFS('TỔNG KLH + TN'!$B:$B,'01. TH'!$B278,'TỔNG KLH + TN'!$C:$C,'01. TH'!AB$4)</f>
        <v>0</v>
      </c>
      <c r="AC278" s="126">
        <f>COUNTIFS('TỔNG KLH + TN'!$B:$B,'01. TH'!$B278,'TỔNG KLH + TN'!$C:$C,'01. TH'!AC$4)</f>
        <v>0</v>
      </c>
      <c r="AD278" s="126">
        <f>COUNTIFS('TỔNG KLH + TN'!$B:$B,'01. TH'!$B278,'TỔNG KLH + TN'!$C:$C,'01. TH'!AD$4)</f>
        <v>0</v>
      </c>
      <c r="AE278" s="162">
        <f t="shared" si="53"/>
        <v>8</v>
      </c>
      <c r="AF278" s="162"/>
      <c r="AG278" s="70" t="str">
        <f t="shared" si="24"/>
        <v>ok</v>
      </c>
      <c r="AH278" s="755"/>
    </row>
    <row r="279" ht="17.25" hidden="1" customHeight="1" outlineLevel="1">
      <c r="A279" s="121"/>
      <c r="B279" s="122" t="s">
        <v>5622</v>
      </c>
      <c r="C279" s="124"/>
      <c r="D279" s="124"/>
      <c r="E279" s="751" t="s">
        <v>5837</v>
      </c>
      <c r="F279" s="126">
        <f>COUNTIFS('TỔNG KLH + TN'!$B:$B,'01. TH'!$B279,'TỔNG KLH + TN'!$C:$C,'01. TH'!F$4)</f>
        <v>0</v>
      </c>
      <c r="G279" s="126">
        <f>COUNTIFS('TỔNG KLH + TN'!$B:$B,'01. TH'!$B279,'TỔNG KLH + TN'!$C:$C,'01. TH'!G$4)</f>
        <v>0</v>
      </c>
      <c r="H279" s="126">
        <f>COUNTIFS('TỔNG KLH + TN'!$B:$B,'01. TH'!$B279,'TỔNG KLH + TN'!$C:$C,'01. TH'!H$4)</f>
        <v>0</v>
      </c>
      <c r="I279" s="126">
        <f>COUNTIFS('TỔNG KLH + TN'!$B:$B,'01. TH'!$B279,'TỔNG KLH + TN'!$C:$C,'01. TH'!I$4)</f>
        <v>0</v>
      </c>
      <c r="J279" s="126">
        <f>COUNTIFS('TỔNG KLH + TN'!$B:$B,'01. TH'!$B279,'TỔNG KLH + TN'!$C:$C,'01. TH'!J$4)</f>
        <v>0</v>
      </c>
      <c r="K279" s="126">
        <f>COUNTIFS('TỔNG KLH + TN'!$B:$B,'01. TH'!$B279,'TỔNG KLH + TN'!$C:$C,'01. TH'!K$4)</f>
        <v>0</v>
      </c>
      <c r="L279" s="126">
        <f>COUNTIFS('TỔNG KLH + TN'!$B:$B,'01. TH'!$B279,'TỔNG KLH + TN'!$C:$C,'01. TH'!L$4)</f>
        <v>0</v>
      </c>
      <c r="M279" s="126">
        <f>COUNTIFS('TỔNG KLH + TN'!$B:$B,'01. TH'!$B279,'TỔNG KLH + TN'!$C:$C,'01. TH'!M$4)</f>
        <v>0</v>
      </c>
      <c r="N279" s="126">
        <f>COUNTIFS('TỔNG KLH + TN'!$B:$B,'01. TH'!$B279,'TỔNG KLH + TN'!$C:$C,'01. TH'!N$4)</f>
        <v>0</v>
      </c>
      <c r="O279" s="126">
        <f>COUNTIFS('TỔNG KLH + TN'!$B:$B,'01. TH'!$B279,'TỔNG KLH + TN'!$C:$C,'01. TH'!O$4)</f>
        <v>0</v>
      </c>
      <c r="P279" s="126">
        <f>COUNTIFS('TỔNG KLH + TN'!$B:$B,'01. TH'!$B279,'TỔNG KLH + TN'!$C:$C,'01. TH'!P$4)</f>
        <v>0</v>
      </c>
      <c r="Q279" s="126">
        <f>COUNTIFS('TỔNG KLH + TN'!$B:$B,'01. TH'!$B279,'TỔNG KLH + TN'!$C:$C,'01. TH'!Q$4)</f>
        <v>0</v>
      </c>
      <c r="R279" s="126">
        <f>COUNTIFS('TỔNG KLH + TN'!$B:$B,'01. TH'!$B279,'TỔNG KLH + TN'!$C:$C,'01. TH'!R$4)</f>
        <v>0</v>
      </c>
      <c r="S279" s="126">
        <f>COUNTIFS('TỔNG KLH + TN'!$B:$B,'01. TH'!$B279,'TỔNG KLH + TN'!$C:$C,'01. TH'!S$4)</f>
        <v>0</v>
      </c>
      <c r="T279" s="126">
        <f>COUNTIFS('TỔNG KLH + TN'!$B:$B,'01. TH'!$B279,'TỔNG KLH + TN'!$C:$C,'01. TH'!T$4)</f>
        <v>0</v>
      </c>
      <c r="U279" s="126">
        <f>COUNTIFS('TỔNG KLH + TN'!$B:$B,'01. TH'!$B279,'TỔNG KLH + TN'!$C:$C,'01. TH'!U$4)</f>
        <v>0</v>
      </c>
      <c r="V279" s="126">
        <f>COUNTIFS('TỔNG KLH + TN'!$B:$B,'01. TH'!$B279,'TỔNG KLH + TN'!$C:$C,'01. TH'!V$4)</f>
        <v>0</v>
      </c>
      <c r="W279" s="126">
        <f>COUNTIFS('TỔNG KLH + TN'!$B:$B,'01. TH'!$B279,'TỔNG KLH + TN'!$C:$C,'01. TH'!W$4)</f>
        <v>0</v>
      </c>
      <c r="X279" s="126">
        <f>COUNTIFS('TỔNG KLH + TN'!$B:$B,'01. TH'!$B279,'TỔNG KLH + TN'!$C:$C,'01. TH'!X$4)</f>
        <v>0</v>
      </c>
      <c r="Y279" s="126">
        <f>COUNTIFS('TỔNG KLH + TN'!$B:$B,'01. TH'!$B279,'TỔNG KLH + TN'!$C:$C,'01. TH'!Y$4)</f>
        <v>0</v>
      </c>
      <c r="Z279" s="126">
        <f>COUNTIFS('TỔNG KLH + TN'!$B:$B,'01. TH'!$B279,'TỔNG KLH + TN'!$C:$C,'01. TH'!Z$4)</f>
        <v>0</v>
      </c>
      <c r="AA279" s="126">
        <f>COUNTIFS('TỔNG KLH + TN'!$B:$B,'01. TH'!$B279,'TỔNG KLH + TN'!$C:$C,'01. TH'!AA$4)</f>
        <v>1</v>
      </c>
      <c r="AB279" s="126">
        <f>COUNTIFS('TỔNG KLH + TN'!$B:$B,'01. TH'!$B279,'TỔNG KLH + TN'!$C:$C,'01. TH'!AB$4)</f>
        <v>0</v>
      </c>
      <c r="AC279" s="126">
        <f>COUNTIFS('TỔNG KLH + TN'!$B:$B,'01. TH'!$B279,'TỔNG KLH + TN'!$C:$C,'01. TH'!AC$4)</f>
        <v>0</v>
      </c>
      <c r="AD279" s="126">
        <f>COUNTIFS('TỔNG KLH + TN'!$B:$B,'01. TH'!$B279,'TỔNG KLH + TN'!$C:$C,'01. TH'!AD$4)</f>
        <v>0</v>
      </c>
      <c r="AE279" s="136">
        <f t="shared" si="53"/>
        <v>1</v>
      </c>
      <c r="AF279" s="136"/>
      <c r="AG279" s="70" t="str">
        <f t="shared" si="24"/>
        <v>ok</v>
      </c>
      <c r="AH279" s="121"/>
    </row>
    <row r="280" ht="24.0" customHeight="1">
      <c r="A280" s="769" t="s">
        <v>108</v>
      </c>
      <c r="B280" s="23"/>
      <c r="C280" s="23"/>
      <c r="D280" s="30"/>
      <c r="E280" s="770"/>
      <c r="F280" s="771">
        <f t="shared" ref="F280:AE280" si="54">sumif($E$1:$E$279,$A280,F$1:F$279)</f>
        <v>45</v>
      </c>
      <c r="G280" s="771">
        <f t="shared" si="54"/>
        <v>15</v>
      </c>
      <c r="H280" s="771">
        <f t="shared" si="54"/>
        <v>15</v>
      </c>
      <c r="I280" s="771">
        <f t="shared" si="54"/>
        <v>14</v>
      </c>
      <c r="J280" s="771">
        <f t="shared" si="54"/>
        <v>20</v>
      </c>
      <c r="K280" s="771">
        <f t="shared" si="54"/>
        <v>0</v>
      </c>
      <c r="L280" s="771">
        <f t="shared" si="54"/>
        <v>4</v>
      </c>
      <c r="M280" s="771">
        <f t="shared" si="54"/>
        <v>4</v>
      </c>
      <c r="N280" s="771">
        <f t="shared" si="54"/>
        <v>0</v>
      </c>
      <c r="O280" s="771">
        <f t="shared" si="54"/>
        <v>27</v>
      </c>
      <c r="P280" s="771">
        <f t="shared" si="54"/>
        <v>14</v>
      </c>
      <c r="Q280" s="771">
        <f t="shared" si="54"/>
        <v>17</v>
      </c>
      <c r="R280" s="771">
        <f t="shared" si="54"/>
        <v>28</v>
      </c>
      <c r="S280" s="771">
        <f t="shared" si="54"/>
        <v>32</v>
      </c>
      <c r="T280" s="771">
        <f t="shared" si="54"/>
        <v>0</v>
      </c>
      <c r="U280" s="771">
        <f t="shared" si="54"/>
        <v>127</v>
      </c>
      <c r="V280" s="771">
        <f t="shared" si="54"/>
        <v>1</v>
      </c>
      <c r="W280" s="771">
        <f t="shared" si="54"/>
        <v>22</v>
      </c>
      <c r="X280" s="771">
        <f t="shared" si="54"/>
        <v>11</v>
      </c>
      <c r="Y280" s="771">
        <f t="shared" si="54"/>
        <v>4</v>
      </c>
      <c r="Z280" s="771">
        <f t="shared" si="54"/>
        <v>0</v>
      </c>
      <c r="AA280" s="771">
        <f t="shared" si="54"/>
        <v>24</v>
      </c>
      <c r="AB280" s="771">
        <f t="shared" si="54"/>
        <v>11</v>
      </c>
      <c r="AC280" s="771">
        <f t="shared" si="54"/>
        <v>4</v>
      </c>
      <c r="AD280" s="771">
        <f t="shared" si="54"/>
        <v>3</v>
      </c>
      <c r="AE280" s="173">
        <f t="shared" si="54"/>
        <v>442</v>
      </c>
      <c r="AF280" s="772">
        <f>SUM(AF5:AF256)</f>
        <v>64</v>
      </c>
      <c r="AG280" s="70" t="str">
        <f t="shared" si="24"/>
        <v>ok</v>
      </c>
      <c r="AH280" s="773"/>
    </row>
    <row r="281" ht="24.0" customHeight="1">
      <c r="A281" s="769" t="s">
        <v>5776</v>
      </c>
      <c r="B281" s="23"/>
      <c r="C281" s="23"/>
      <c r="D281" s="30"/>
      <c r="E281" s="770"/>
      <c r="F281" s="771">
        <f t="shared" ref="F281:AE281" si="55">sumif($E$1:$E$279,$A281,F$1:F$279)</f>
        <v>0</v>
      </c>
      <c r="G281" s="771">
        <f t="shared" si="55"/>
        <v>0</v>
      </c>
      <c r="H281" s="771">
        <f t="shared" si="55"/>
        <v>96</v>
      </c>
      <c r="I281" s="771">
        <f t="shared" si="55"/>
        <v>80</v>
      </c>
      <c r="J281" s="771">
        <f t="shared" si="55"/>
        <v>109</v>
      </c>
      <c r="K281" s="771">
        <f t="shared" si="55"/>
        <v>0</v>
      </c>
      <c r="L281" s="771">
        <f t="shared" si="55"/>
        <v>1</v>
      </c>
      <c r="M281" s="771">
        <f t="shared" si="55"/>
        <v>0</v>
      </c>
      <c r="N281" s="771">
        <f t="shared" si="55"/>
        <v>0</v>
      </c>
      <c r="O281" s="771">
        <f t="shared" si="55"/>
        <v>0</v>
      </c>
      <c r="P281" s="771">
        <f t="shared" si="55"/>
        <v>0</v>
      </c>
      <c r="Q281" s="771">
        <f t="shared" si="55"/>
        <v>69</v>
      </c>
      <c r="R281" s="771">
        <f t="shared" si="55"/>
        <v>76</v>
      </c>
      <c r="S281" s="771">
        <f t="shared" si="55"/>
        <v>0</v>
      </c>
      <c r="T281" s="771">
        <f t="shared" si="55"/>
        <v>0</v>
      </c>
      <c r="U281" s="771">
        <f t="shared" si="55"/>
        <v>169</v>
      </c>
      <c r="V281" s="771">
        <f t="shared" si="55"/>
        <v>3</v>
      </c>
      <c r="W281" s="771">
        <f t="shared" si="55"/>
        <v>0</v>
      </c>
      <c r="X281" s="771">
        <f t="shared" si="55"/>
        <v>0</v>
      </c>
      <c r="Y281" s="771">
        <f t="shared" si="55"/>
        <v>7</v>
      </c>
      <c r="Z281" s="771">
        <f t="shared" si="55"/>
        <v>0</v>
      </c>
      <c r="AA281" s="771">
        <f t="shared" si="55"/>
        <v>4</v>
      </c>
      <c r="AB281" s="771">
        <f t="shared" si="55"/>
        <v>9</v>
      </c>
      <c r="AC281" s="771">
        <f t="shared" si="55"/>
        <v>4</v>
      </c>
      <c r="AD281" s="771">
        <f t="shared" si="55"/>
        <v>0</v>
      </c>
      <c r="AE281" s="173">
        <f t="shared" si="55"/>
        <v>627</v>
      </c>
      <c r="AF281" s="694"/>
      <c r="AG281" s="70" t="str">
        <f t="shared" si="24"/>
        <v>ok</v>
      </c>
      <c r="AH281" s="773"/>
    </row>
    <row r="282" ht="24.0" customHeight="1">
      <c r="A282" s="769" t="s">
        <v>5837</v>
      </c>
      <c r="B282" s="23"/>
      <c r="C282" s="23"/>
      <c r="D282" s="30"/>
      <c r="E282" s="770"/>
      <c r="F282" s="771">
        <f t="shared" ref="F282:AE282" si="56">sumif($E$1:$E$279,$A282,F$1:F$279)</f>
        <v>2</v>
      </c>
      <c r="G282" s="771">
        <f t="shared" si="56"/>
        <v>40</v>
      </c>
      <c r="H282" s="771">
        <f t="shared" si="56"/>
        <v>15</v>
      </c>
      <c r="I282" s="771">
        <f t="shared" si="56"/>
        <v>25</v>
      </c>
      <c r="J282" s="771">
        <f t="shared" si="56"/>
        <v>24</v>
      </c>
      <c r="K282" s="771">
        <f t="shared" si="56"/>
        <v>0</v>
      </c>
      <c r="L282" s="771">
        <f t="shared" si="56"/>
        <v>0</v>
      </c>
      <c r="M282" s="771">
        <f t="shared" si="56"/>
        <v>0</v>
      </c>
      <c r="N282" s="771">
        <f t="shared" si="56"/>
        <v>0</v>
      </c>
      <c r="O282" s="771">
        <f t="shared" si="56"/>
        <v>4</v>
      </c>
      <c r="P282" s="771">
        <f t="shared" si="56"/>
        <v>25</v>
      </c>
      <c r="Q282" s="771">
        <f t="shared" si="56"/>
        <v>14</v>
      </c>
      <c r="R282" s="771">
        <f t="shared" si="56"/>
        <v>25</v>
      </c>
      <c r="S282" s="771">
        <f t="shared" si="56"/>
        <v>10</v>
      </c>
      <c r="T282" s="771">
        <f t="shared" si="56"/>
        <v>0</v>
      </c>
      <c r="U282" s="771">
        <f t="shared" si="56"/>
        <v>111</v>
      </c>
      <c r="V282" s="771">
        <f t="shared" si="56"/>
        <v>0</v>
      </c>
      <c r="W282" s="771">
        <f t="shared" si="56"/>
        <v>18</v>
      </c>
      <c r="X282" s="771">
        <f t="shared" si="56"/>
        <v>0</v>
      </c>
      <c r="Y282" s="771">
        <f t="shared" si="56"/>
        <v>0</v>
      </c>
      <c r="Z282" s="771">
        <f t="shared" si="56"/>
        <v>0</v>
      </c>
      <c r="AA282" s="771">
        <f t="shared" si="56"/>
        <v>2</v>
      </c>
      <c r="AB282" s="771">
        <f t="shared" si="56"/>
        <v>0</v>
      </c>
      <c r="AC282" s="771">
        <f t="shared" si="56"/>
        <v>0</v>
      </c>
      <c r="AD282" s="771">
        <f t="shared" si="56"/>
        <v>0</v>
      </c>
      <c r="AE282" s="173">
        <f t="shared" si="56"/>
        <v>315</v>
      </c>
      <c r="AF282" s="58"/>
      <c r="AG282" s="70" t="str">
        <f t="shared" si="24"/>
        <v>ok</v>
      </c>
      <c r="AH282" s="773"/>
    </row>
    <row r="283" ht="14.25" customHeight="1">
      <c r="B283" s="2"/>
      <c r="C283" s="4"/>
      <c r="D283" s="4"/>
      <c r="E283" s="4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13"/>
      <c r="AH283" s="13"/>
    </row>
    <row r="284" ht="14.25" customHeight="1">
      <c r="B284" s="2"/>
      <c r="C284" s="4"/>
      <c r="D284" s="4"/>
      <c r="E284" s="4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13"/>
      <c r="AH284" s="13"/>
    </row>
    <row r="285" ht="14.25" customHeight="1">
      <c r="B285" s="2"/>
      <c r="C285" s="4"/>
      <c r="D285" s="4"/>
      <c r="E285" s="4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13"/>
      <c r="AH285" s="13"/>
    </row>
    <row r="286" ht="14.25" customHeight="1">
      <c r="B286" s="2"/>
      <c r="C286" s="4"/>
      <c r="D286" s="4"/>
      <c r="E286" s="4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13"/>
      <c r="AH286" s="13"/>
    </row>
    <row r="287" ht="14.25" customHeight="1">
      <c r="B287" s="2"/>
      <c r="C287" s="4"/>
      <c r="D287" s="4"/>
      <c r="E287" s="4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13"/>
      <c r="AH287" s="13"/>
    </row>
    <row r="288" ht="14.25" customHeight="1">
      <c r="B288" s="2"/>
      <c r="C288" s="4"/>
      <c r="D288" s="4"/>
      <c r="E288" s="4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13"/>
      <c r="AH288" s="13"/>
    </row>
    <row r="289" ht="14.25" customHeight="1">
      <c r="B289" s="2"/>
      <c r="C289" s="4"/>
      <c r="D289" s="4"/>
      <c r="E289" s="4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13"/>
      <c r="AH289" s="13"/>
    </row>
    <row r="290" ht="14.25" customHeight="1">
      <c r="B290" s="2"/>
      <c r="C290" s="4"/>
      <c r="D290" s="4"/>
      <c r="E290" s="4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13"/>
      <c r="AH290" s="13"/>
    </row>
    <row r="291" ht="14.25" customHeight="1">
      <c r="B291" s="2"/>
      <c r="C291" s="4"/>
      <c r="D291" s="4"/>
      <c r="E291" s="4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13"/>
      <c r="AH291" s="13"/>
    </row>
    <row r="292" ht="14.25" customHeight="1">
      <c r="B292" s="2"/>
      <c r="C292" s="4"/>
      <c r="D292" s="4"/>
      <c r="E292" s="4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13"/>
      <c r="AH292" s="13"/>
    </row>
    <row r="293" ht="14.25" customHeight="1">
      <c r="B293" s="2"/>
      <c r="C293" s="4"/>
      <c r="D293" s="4"/>
      <c r="E293" s="4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13"/>
      <c r="AH293" s="13"/>
    </row>
    <row r="294" ht="14.25" customHeight="1">
      <c r="B294" s="2"/>
      <c r="C294" s="4"/>
      <c r="D294" s="4"/>
      <c r="E294" s="4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13"/>
      <c r="AH294" s="13"/>
    </row>
    <row r="295" ht="14.25" customHeight="1">
      <c r="B295" s="2"/>
      <c r="C295" s="4"/>
      <c r="D295" s="4"/>
      <c r="E295" s="4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13"/>
      <c r="AH295" s="13"/>
    </row>
    <row r="296" ht="14.25" customHeight="1">
      <c r="B296" s="2"/>
      <c r="C296" s="4"/>
      <c r="D296" s="4"/>
      <c r="E296" s="4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13"/>
      <c r="AH296" s="13"/>
    </row>
    <row r="297" ht="14.25" customHeight="1">
      <c r="B297" s="2"/>
      <c r="C297" s="4"/>
      <c r="D297" s="4"/>
      <c r="E297" s="4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13"/>
      <c r="AH297" s="13"/>
    </row>
    <row r="298" ht="14.25" customHeight="1">
      <c r="B298" s="2"/>
      <c r="C298" s="4"/>
      <c r="D298" s="4"/>
      <c r="E298" s="4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13"/>
      <c r="AH298" s="13"/>
    </row>
    <row r="299" ht="14.25" customHeight="1">
      <c r="B299" s="2"/>
      <c r="C299" s="4"/>
      <c r="D299" s="4"/>
      <c r="E299" s="4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13"/>
      <c r="AH299" s="13"/>
    </row>
    <row r="300" ht="14.25" customHeight="1">
      <c r="B300" s="2"/>
      <c r="C300" s="4"/>
      <c r="D300" s="4"/>
      <c r="E300" s="4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13"/>
      <c r="AH300" s="13"/>
    </row>
    <row r="301" ht="14.25" customHeight="1">
      <c r="B301" s="2"/>
      <c r="C301" s="4"/>
      <c r="D301" s="4"/>
      <c r="E301" s="4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13"/>
      <c r="AH301" s="13"/>
    </row>
    <row r="302" ht="14.25" customHeight="1">
      <c r="B302" s="2"/>
      <c r="C302" s="4"/>
      <c r="D302" s="4"/>
      <c r="E302" s="4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13"/>
      <c r="AH302" s="13"/>
    </row>
    <row r="303" ht="14.25" customHeight="1">
      <c r="B303" s="2"/>
      <c r="C303" s="4"/>
      <c r="D303" s="4"/>
      <c r="E303" s="4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13"/>
      <c r="AH303" s="13"/>
    </row>
    <row r="304" ht="14.25" customHeight="1">
      <c r="B304" s="2"/>
      <c r="C304" s="4"/>
      <c r="D304" s="4"/>
      <c r="E304" s="4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13"/>
      <c r="AH304" s="13"/>
    </row>
    <row r="305" ht="14.25" customHeight="1">
      <c r="B305" s="2"/>
      <c r="C305" s="4"/>
      <c r="D305" s="4"/>
      <c r="E305" s="4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13"/>
      <c r="AH305" s="13"/>
    </row>
    <row r="306" ht="14.25" customHeight="1">
      <c r="B306" s="2"/>
      <c r="C306" s="4"/>
      <c r="D306" s="4"/>
      <c r="E306" s="4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13"/>
      <c r="AH306" s="13"/>
    </row>
    <row r="307" ht="14.25" customHeight="1">
      <c r="B307" s="2"/>
      <c r="C307" s="4"/>
      <c r="D307" s="4"/>
      <c r="E307" s="4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13"/>
      <c r="AH307" s="13"/>
    </row>
    <row r="308" ht="14.25" customHeight="1">
      <c r="B308" s="2"/>
      <c r="C308" s="4"/>
      <c r="D308" s="4"/>
      <c r="E308" s="4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13"/>
      <c r="AH308" s="13"/>
    </row>
    <row r="309" ht="14.25" customHeight="1">
      <c r="B309" s="2"/>
      <c r="C309" s="4"/>
      <c r="D309" s="4"/>
      <c r="E309" s="4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13"/>
      <c r="AH309" s="13"/>
    </row>
    <row r="310" ht="14.25" customHeight="1">
      <c r="B310" s="2"/>
      <c r="C310" s="4"/>
      <c r="D310" s="4"/>
      <c r="E310" s="4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13"/>
      <c r="AH310" s="13"/>
    </row>
    <row r="311" ht="14.25" customHeight="1">
      <c r="B311" s="2"/>
      <c r="C311" s="4"/>
      <c r="D311" s="4"/>
      <c r="E311" s="4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13"/>
      <c r="AH311" s="13"/>
    </row>
    <row r="312" ht="14.25" customHeight="1">
      <c r="B312" s="2"/>
      <c r="C312" s="4"/>
      <c r="D312" s="4"/>
      <c r="E312" s="4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13"/>
      <c r="AH312" s="13"/>
    </row>
    <row r="313" ht="14.25" customHeight="1">
      <c r="B313" s="2"/>
      <c r="C313" s="4"/>
      <c r="D313" s="4"/>
      <c r="E313" s="4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13"/>
      <c r="AH313" s="13"/>
    </row>
    <row r="314" ht="14.25" customHeight="1">
      <c r="B314" s="2"/>
      <c r="C314" s="4"/>
      <c r="D314" s="4"/>
      <c r="E314" s="4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13"/>
      <c r="AH314" s="13"/>
    </row>
    <row r="315" ht="14.25" customHeight="1">
      <c r="B315" s="2"/>
      <c r="C315" s="4"/>
      <c r="D315" s="4"/>
      <c r="E315" s="4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13"/>
      <c r="AH315" s="13"/>
    </row>
    <row r="316" ht="14.25" customHeight="1">
      <c r="B316" s="2"/>
      <c r="C316" s="4"/>
      <c r="D316" s="4"/>
      <c r="E316" s="4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13"/>
      <c r="AH316" s="13"/>
    </row>
    <row r="317" ht="14.25" customHeight="1">
      <c r="B317" s="2"/>
      <c r="C317" s="4"/>
      <c r="D317" s="4"/>
      <c r="E317" s="4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13"/>
      <c r="AH317" s="13"/>
    </row>
    <row r="318" ht="14.25" customHeight="1">
      <c r="B318" s="2"/>
      <c r="C318" s="4"/>
      <c r="D318" s="4"/>
      <c r="E318" s="4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13"/>
      <c r="AH318" s="13"/>
    </row>
    <row r="319" ht="14.25" customHeight="1">
      <c r="B319" s="2"/>
      <c r="C319" s="4"/>
      <c r="D319" s="4"/>
      <c r="E319" s="4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13"/>
      <c r="AH319" s="13"/>
    </row>
    <row r="320" ht="14.25" customHeight="1">
      <c r="B320" s="2"/>
      <c r="C320" s="4"/>
      <c r="D320" s="4"/>
      <c r="E320" s="4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13"/>
      <c r="AH320" s="13"/>
    </row>
    <row r="321" ht="14.25" customHeight="1">
      <c r="B321" s="2"/>
      <c r="C321" s="4"/>
      <c r="D321" s="4"/>
      <c r="E321" s="4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13"/>
      <c r="AH321" s="13"/>
    </row>
    <row r="322" ht="14.25" customHeight="1">
      <c r="B322" s="2"/>
      <c r="C322" s="4"/>
      <c r="D322" s="4"/>
      <c r="E322" s="4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13"/>
      <c r="AH322" s="13"/>
    </row>
    <row r="323" ht="14.25" customHeight="1">
      <c r="B323" s="2"/>
      <c r="C323" s="4"/>
      <c r="D323" s="4"/>
      <c r="E323" s="4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13"/>
      <c r="AH323" s="13"/>
    </row>
    <row r="324" ht="14.25" customHeight="1">
      <c r="B324" s="2"/>
      <c r="C324" s="4"/>
      <c r="D324" s="4"/>
      <c r="E324" s="4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13"/>
      <c r="AH324" s="13"/>
    </row>
    <row r="325" ht="14.25" customHeight="1">
      <c r="B325" s="2"/>
      <c r="C325" s="4"/>
      <c r="D325" s="4"/>
      <c r="E325" s="4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13"/>
      <c r="AH325" s="13"/>
    </row>
    <row r="326" ht="14.25" customHeight="1">
      <c r="B326" s="2"/>
      <c r="C326" s="4"/>
      <c r="D326" s="4"/>
      <c r="E326" s="4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13"/>
      <c r="AH326" s="13"/>
    </row>
    <row r="327" ht="14.25" customHeight="1">
      <c r="B327" s="2"/>
      <c r="C327" s="4"/>
      <c r="D327" s="4"/>
      <c r="E327" s="4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13"/>
      <c r="AH327" s="13"/>
    </row>
    <row r="328" ht="14.25" customHeight="1">
      <c r="B328" s="2"/>
      <c r="C328" s="4"/>
      <c r="D328" s="4"/>
      <c r="E328" s="4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13"/>
      <c r="AH328" s="13"/>
    </row>
    <row r="329" ht="14.25" customHeight="1">
      <c r="B329" s="2"/>
      <c r="C329" s="4"/>
      <c r="D329" s="4"/>
      <c r="E329" s="4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13"/>
      <c r="AH329" s="13"/>
    </row>
    <row r="330" ht="14.25" customHeight="1">
      <c r="B330" s="2"/>
      <c r="C330" s="4"/>
      <c r="D330" s="4"/>
      <c r="E330" s="4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13"/>
      <c r="AH330" s="13"/>
    </row>
    <row r="331" ht="14.25" customHeight="1">
      <c r="B331" s="2"/>
      <c r="C331" s="4"/>
      <c r="D331" s="4"/>
      <c r="E331" s="4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13"/>
      <c r="AH331" s="13"/>
    </row>
    <row r="332" ht="14.25" customHeight="1">
      <c r="B332" s="2"/>
      <c r="C332" s="4"/>
      <c r="D332" s="4"/>
      <c r="E332" s="4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13"/>
      <c r="AH332" s="13"/>
    </row>
    <row r="333" ht="14.25" customHeight="1">
      <c r="B333" s="2"/>
      <c r="C333" s="4"/>
      <c r="D333" s="4"/>
      <c r="E333" s="4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13"/>
      <c r="AH333" s="13"/>
    </row>
    <row r="334" ht="14.25" customHeight="1">
      <c r="B334" s="2"/>
      <c r="C334" s="4"/>
      <c r="D334" s="4"/>
      <c r="E334" s="4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13"/>
      <c r="AH334" s="13"/>
    </row>
    <row r="335" ht="14.25" customHeight="1">
      <c r="B335" s="2"/>
      <c r="C335" s="4"/>
      <c r="D335" s="4"/>
      <c r="E335" s="4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13"/>
      <c r="AH335" s="13"/>
    </row>
    <row r="336" ht="14.25" customHeight="1">
      <c r="B336" s="2"/>
      <c r="C336" s="4"/>
      <c r="D336" s="4"/>
      <c r="E336" s="4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13"/>
      <c r="AH336" s="13"/>
    </row>
    <row r="337" ht="14.25" customHeight="1">
      <c r="B337" s="2"/>
      <c r="C337" s="4"/>
      <c r="D337" s="4"/>
      <c r="E337" s="4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13"/>
      <c r="AH337" s="13"/>
    </row>
    <row r="338" ht="14.25" customHeight="1">
      <c r="B338" s="2"/>
      <c r="C338" s="4"/>
      <c r="D338" s="4"/>
      <c r="E338" s="4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13"/>
      <c r="AH338" s="13"/>
    </row>
    <row r="339" ht="14.25" customHeight="1">
      <c r="B339" s="2"/>
      <c r="C339" s="4"/>
      <c r="D339" s="4"/>
      <c r="E339" s="4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13"/>
      <c r="AH339" s="13"/>
    </row>
    <row r="340" ht="14.25" customHeight="1">
      <c r="B340" s="2"/>
      <c r="C340" s="4"/>
      <c r="D340" s="4"/>
      <c r="E340" s="4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13"/>
      <c r="AH340" s="13"/>
    </row>
    <row r="341" ht="14.25" customHeight="1">
      <c r="B341" s="2"/>
      <c r="C341" s="4"/>
      <c r="D341" s="4"/>
      <c r="E341" s="4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13"/>
      <c r="AH341" s="13"/>
    </row>
    <row r="342" ht="14.25" customHeight="1">
      <c r="B342" s="2"/>
      <c r="C342" s="4"/>
      <c r="D342" s="4"/>
      <c r="E342" s="4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13"/>
      <c r="AH342" s="13"/>
    </row>
    <row r="343" ht="14.25" customHeight="1">
      <c r="B343" s="2"/>
      <c r="C343" s="4"/>
      <c r="D343" s="4"/>
      <c r="E343" s="4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13"/>
      <c r="AH343" s="13"/>
    </row>
    <row r="344" ht="14.25" customHeight="1">
      <c r="B344" s="2"/>
      <c r="C344" s="4"/>
      <c r="D344" s="4"/>
      <c r="E344" s="4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13"/>
      <c r="AH344" s="13"/>
    </row>
    <row r="345" ht="14.25" customHeight="1">
      <c r="B345" s="2"/>
      <c r="C345" s="4"/>
      <c r="D345" s="4"/>
      <c r="E345" s="4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13"/>
      <c r="AH345" s="13"/>
    </row>
    <row r="346" ht="14.25" customHeight="1">
      <c r="B346" s="2"/>
      <c r="C346" s="4"/>
      <c r="D346" s="4"/>
      <c r="E346" s="4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13"/>
      <c r="AH346" s="13"/>
    </row>
    <row r="347" ht="14.25" customHeight="1">
      <c r="B347" s="2"/>
      <c r="C347" s="4"/>
      <c r="D347" s="4"/>
      <c r="E347" s="4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13"/>
      <c r="AH347" s="13"/>
    </row>
    <row r="348" ht="14.25" customHeight="1">
      <c r="B348" s="2"/>
      <c r="C348" s="4"/>
      <c r="D348" s="4"/>
      <c r="E348" s="4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13"/>
      <c r="AH348" s="13"/>
    </row>
    <row r="349" ht="14.25" customHeight="1">
      <c r="B349" s="2"/>
      <c r="C349" s="4"/>
      <c r="D349" s="4"/>
      <c r="E349" s="4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13"/>
      <c r="AH349" s="13"/>
    </row>
    <row r="350" ht="14.25" customHeight="1">
      <c r="B350" s="2"/>
      <c r="C350" s="4"/>
      <c r="D350" s="4"/>
      <c r="E350" s="4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13"/>
      <c r="AH350" s="13"/>
    </row>
    <row r="351" ht="14.25" customHeight="1">
      <c r="B351" s="2"/>
      <c r="C351" s="4"/>
      <c r="D351" s="4"/>
      <c r="E351" s="4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13"/>
      <c r="AH351" s="13"/>
    </row>
    <row r="352" ht="14.25" customHeight="1">
      <c r="B352" s="2"/>
      <c r="C352" s="4"/>
      <c r="D352" s="4"/>
      <c r="E352" s="4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13"/>
      <c r="AH352" s="13"/>
    </row>
    <row r="353" ht="14.25" customHeight="1">
      <c r="B353" s="2"/>
      <c r="C353" s="4"/>
      <c r="D353" s="4"/>
      <c r="E353" s="4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13"/>
      <c r="AH353" s="13"/>
    </row>
    <row r="354" ht="14.25" customHeight="1">
      <c r="B354" s="2"/>
      <c r="C354" s="4"/>
      <c r="D354" s="4"/>
      <c r="E354" s="4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13"/>
      <c r="AH354" s="13"/>
    </row>
    <row r="355" ht="14.25" customHeight="1">
      <c r="B355" s="2"/>
      <c r="C355" s="4"/>
      <c r="D355" s="4"/>
      <c r="E355" s="4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13"/>
      <c r="AH355" s="13"/>
    </row>
    <row r="356" ht="14.25" customHeight="1">
      <c r="B356" s="2"/>
      <c r="C356" s="4"/>
      <c r="D356" s="4"/>
      <c r="E356" s="4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13"/>
      <c r="AH356" s="13"/>
    </row>
    <row r="357" ht="14.25" customHeight="1">
      <c r="B357" s="2"/>
      <c r="C357" s="4"/>
      <c r="D357" s="4"/>
      <c r="E357" s="4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13"/>
      <c r="AH357" s="13"/>
    </row>
    <row r="358" ht="14.25" customHeight="1">
      <c r="B358" s="2"/>
      <c r="C358" s="4"/>
      <c r="D358" s="4"/>
      <c r="E358" s="4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13"/>
      <c r="AH358" s="13"/>
    </row>
    <row r="359" ht="14.25" customHeight="1">
      <c r="B359" s="2"/>
      <c r="C359" s="4"/>
      <c r="D359" s="4"/>
      <c r="E359" s="4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13"/>
      <c r="AH359" s="13"/>
    </row>
    <row r="360" ht="14.25" customHeight="1">
      <c r="B360" s="2"/>
      <c r="C360" s="4"/>
      <c r="D360" s="4"/>
      <c r="E360" s="4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13"/>
      <c r="AH360" s="13"/>
    </row>
    <row r="361" ht="14.25" customHeight="1">
      <c r="B361" s="2"/>
      <c r="C361" s="4"/>
      <c r="D361" s="4"/>
      <c r="E361" s="4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13"/>
      <c r="AH361" s="13"/>
    </row>
    <row r="362" ht="14.25" customHeight="1">
      <c r="B362" s="2"/>
      <c r="C362" s="4"/>
      <c r="D362" s="4"/>
      <c r="E362" s="4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13"/>
      <c r="AH362" s="13"/>
    </row>
    <row r="363" ht="14.25" customHeight="1">
      <c r="B363" s="2"/>
      <c r="C363" s="4"/>
      <c r="D363" s="4"/>
      <c r="E363" s="4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13"/>
      <c r="AH363" s="13"/>
    </row>
    <row r="364" ht="14.25" customHeight="1">
      <c r="B364" s="2"/>
      <c r="C364" s="4"/>
      <c r="D364" s="4"/>
      <c r="E364" s="4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13"/>
      <c r="AH364" s="13"/>
    </row>
    <row r="365" ht="14.25" customHeight="1">
      <c r="B365" s="2"/>
      <c r="C365" s="4"/>
      <c r="D365" s="4"/>
      <c r="E365" s="4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13"/>
      <c r="AH365" s="13"/>
    </row>
    <row r="366" ht="14.25" customHeight="1">
      <c r="B366" s="2"/>
      <c r="C366" s="4"/>
      <c r="D366" s="4"/>
      <c r="E366" s="4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13"/>
      <c r="AH366" s="13"/>
    </row>
    <row r="367" ht="14.25" customHeight="1">
      <c r="B367" s="2"/>
      <c r="C367" s="4"/>
      <c r="D367" s="4"/>
      <c r="E367" s="4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13"/>
      <c r="AH367" s="13"/>
    </row>
    <row r="368" ht="14.25" customHeight="1">
      <c r="B368" s="2"/>
      <c r="C368" s="4"/>
      <c r="D368" s="4"/>
      <c r="E368" s="4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13"/>
      <c r="AH368" s="13"/>
    </row>
    <row r="369" ht="14.25" customHeight="1">
      <c r="B369" s="2"/>
      <c r="C369" s="4"/>
      <c r="D369" s="4"/>
      <c r="E369" s="4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13"/>
      <c r="AH369" s="13"/>
    </row>
    <row r="370" ht="14.25" customHeight="1">
      <c r="B370" s="2"/>
      <c r="C370" s="4"/>
      <c r="D370" s="4"/>
      <c r="E370" s="4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13"/>
      <c r="AH370" s="13"/>
    </row>
    <row r="371" ht="14.25" customHeight="1">
      <c r="B371" s="2"/>
      <c r="C371" s="4"/>
      <c r="D371" s="4"/>
      <c r="E371" s="4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13"/>
      <c r="AH371" s="13"/>
    </row>
    <row r="372" ht="14.25" customHeight="1">
      <c r="B372" s="2"/>
      <c r="C372" s="4"/>
      <c r="D372" s="4"/>
      <c r="E372" s="4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13"/>
      <c r="AH372" s="13"/>
    </row>
    <row r="373" ht="14.25" customHeight="1">
      <c r="B373" s="2"/>
      <c r="C373" s="4"/>
      <c r="D373" s="4"/>
      <c r="E373" s="4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13"/>
      <c r="AH373" s="13"/>
    </row>
    <row r="374" ht="14.25" customHeight="1">
      <c r="B374" s="2"/>
      <c r="C374" s="4"/>
      <c r="D374" s="4"/>
      <c r="E374" s="4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13"/>
      <c r="AH374" s="13"/>
    </row>
    <row r="375" ht="14.25" customHeight="1">
      <c r="B375" s="2"/>
      <c r="C375" s="4"/>
      <c r="D375" s="4"/>
      <c r="E375" s="4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13"/>
      <c r="AH375" s="13"/>
    </row>
    <row r="376" ht="14.25" customHeight="1">
      <c r="B376" s="2"/>
      <c r="C376" s="4"/>
      <c r="D376" s="4"/>
      <c r="E376" s="4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13"/>
      <c r="AH376" s="13"/>
    </row>
    <row r="377" ht="14.25" customHeight="1">
      <c r="B377" s="2"/>
      <c r="C377" s="4"/>
      <c r="D377" s="4"/>
      <c r="E377" s="4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13"/>
      <c r="AH377" s="13"/>
    </row>
    <row r="378" ht="14.25" customHeight="1">
      <c r="B378" s="2"/>
      <c r="C378" s="4"/>
      <c r="D378" s="4"/>
      <c r="E378" s="4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13"/>
      <c r="AH378" s="13"/>
    </row>
    <row r="379" ht="14.25" customHeight="1">
      <c r="B379" s="2"/>
      <c r="C379" s="4"/>
      <c r="D379" s="4"/>
      <c r="E379" s="4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13"/>
      <c r="AH379" s="13"/>
    </row>
    <row r="380" ht="14.25" customHeight="1">
      <c r="B380" s="2"/>
      <c r="C380" s="4"/>
      <c r="D380" s="4"/>
      <c r="E380" s="4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13"/>
      <c r="AH380" s="13"/>
    </row>
    <row r="381" ht="14.25" customHeight="1">
      <c r="B381" s="2"/>
      <c r="C381" s="4"/>
      <c r="D381" s="4"/>
      <c r="E381" s="4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13"/>
      <c r="AH381" s="13"/>
    </row>
    <row r="382" ht="14.25" customHeight="1">
      <c r="B382" s="2"/>
      <c r="C382" s="4"/>
      <c r="D382" s="4"/>
      <c r="E382" s="4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13"/>
      <c r="AH382" s="13"/>
    </row>
    <row r="383" ht="14.25" customHeight="1">
      <c r="B383" s="2"/>
      <c r="C383" s="4"/>
      <c r="D383" s="4"/>
      <c r="E383" s="4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13"/>
      <c r="AH383" s="13"/>
    </row>
    <row r="384" ht="14.25" customHeight="1">
      <c r="B384" s="2"/>
      <c r="C384" s="4"/>
      <c r="D384" s="4"/>
      <c r="E384" s="4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13"/>
      <c r="AH384" s="13"/>
    </row>
    <row r="385" ht="14.25" customHeight="1">
      <c r="B385" s="2"/>
      <c r="C385" s="4"/>
      <c r="D385" s="4"/>
      <c r="E385" s="4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13"/>
      <c r="AH385" s="13"/>
    </row>
    <row r="386" ht="14.25" customHeight="1">
      <c r="B386" s="2"/>
      <c r="C386" s="4"/>
      <c r="D386" s="4"/>
      <c r="E386" s="4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13"/>
      <c r="AH386" s="13"/>
    </row>
    <row r="387" ht="14.25" customHeight="1">
      <c r="B387" s="2"/>
      <c r="C387" s="4"/>
      <c r="D387" s="4"/>
      <c r="E387" s="4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13"/>
      <c r="AH387" s="13"/>
    </row>
    <row r="388" ht="14.25" customHeight="1">
      <c r="B388" s="2"/>
      <c r="C388" s="4"/>
      <c r="D388" s="4"/>
      <c r="E388" s="4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13"/>
      <c r="AH388" s="13"/>
    </row>
    <row r="389" ht="14.25" customHeight="1">
      <c r="B389" s="2"/>
      <c r="C389" s="4"/>
      <c r="D389" s="4"/>
      <c r="E389" s="4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13"/>
      <c r="AH389" s="13"/>
    </row>
    <row r="390" ht="14.25" customHeight="1">
      <c r="B390" s="2"/>
      <c r="C390" s="4"/>
      <c r="D390" s="4"/>
      <c r="E390" s="4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13"/>
      <c r="AH390" s="13"/>
    </row>
    <row r="391" ht="14.25" customHeight="1">
      <c r="B391" s="2"/>
      <c r="C391" s="4"/>
      <c r="D391" s="4"/>
      <c r="E391" s="4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13"/>
      <c r="AH391" s="13"/>
    </row>
    <row r="392" ht="14.25" customHeight="1">
      <c r="B392" s="2"/>
      <c r="C392" s="4"/>
      <c r="D392" s="4"/>
      <c r="E392" s="4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13"/>
      <c r="AH392" s="13"/>
    </row>
    <row r="393" ht="14.25" customHeight="1">
      <c r="B393" s="2"/>
      <c r="C393" s="4"/>
      <c r="D393" s="4"/>
      <c r="E393" s="4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13"/>
      <c r="AH393" s="13"/>
    </row>
    <row r="394" ht="14.25" customHeight="1">
      <c r="B394" s="2"/>
      <c r="C394" s="4"/>
      <c r="D394" s="4"/>
      <c r="E394" s="4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13"/>
      <c r="AH394" s="13"/>
    </row>
    <row r="395" ht="14.25" customHeight="1">
      <c r="B395" s="2"/>
      <c r="C395" s="4"/>
      <c r="D395" s="4"/>
      <c r="E395" s="4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13"/>
      <c r="AH395" s="13"/>
    </row>
    <row r="396" ht="14.25" customHeight="1">
      <c r="B396" s="2"/>
      <c r="C396" s="4"/>
      <c r="D396" s="4"/>
      <c r="E396" s="4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13"/>
      <c r="AH396" s="13"/>
    </row>
    <row r="397" ht="14.25" customHeight="1">
      <c r="B397" s="2"/>
      <c r="C397" s="4"/>
      <c r="D397" s="4"/>
      <c r="E397" s="4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13"/>
      <c r="AH397" s="13"/>
    </row>
    <row r="398" ht="14.25" customHeight="1">
      <c r="B398" s="2"/>
      <c r="C398" s="4"/>
      <c r="D398" s="4"/>
      <c r="E398" s="4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13"/>
      <c r="AH398" s="13"/>
    </row>
    <row r="399" ht="14.25" customHeight="1">
      <c r="B399" s="2"/>
      <c r="C399" s="4"/>
      <c r="D399" s="4"/>
      <c r="E399" s="4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13"/>
      <c r="AH399" s="13"/>
    </row>
    <row r="400" ht="14.25" customHeight="1">
      <c r="B400" s="2"/>
      <c r="C400" s="4"/>
      <c r="D400" s="4"/>
      <c r="E400" s="4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13"/>
      <c r="AH400" s="13"/>
    </row>
    <row r="401" ht="14.25" customHeight="1">
      <c r="B401" s="2"/>
      <c r="C401" s="4"/>
      <c r="D401" s="4"/>
      <c r="E401" s="4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13"/>
      <c r="AH401" s="13"/>
    </row>
    <row r="402" ht="14.25" customHeight="1">
      <c r="B402" s="2"/>
      <c r="C402" s="4"/>
      <c r="D402" s="4"/>
      <c r="E402" s="4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13"/>
      <c r="AH402" s="13"/>
    </row>
    <row r="403" ht="14.25" customHeight="1">
      <c r="B403" s="2"/>
      <c r="C403" s="4"/>
      <c r="D403" s="4"/>
      <c r="E403" s="4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13"/>
      <c r="AH403" s="13"/>
    </row>
    <row r="404" ht="14.25" customHeight="1">
      <c r="B404" s="2"/>
      <c r="C404" s="4"/>
      <c r="D404" s="4"/>
      <c r="E404" s="4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13"/>
      <c r="AH404" s="13"/>
    </row>
    <row r="405" ht="14.25" customHeight="1">
      <c r="B405" s="2"/>
      <c r="C405" s="4"/>
      <c r="D405" s="4"/>
      <c r="E405" s="4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13"/>
      <c r="AH405" s="13"/>
    </row>
    <row r="406" ht="14.25" customHeight="1">
      <c r="B406" s="2"/>
      <c r="C406" s="4"/>
      <c r="D406" s="4"/>
      <c r="E406" s="4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13"/>
      <c r="AH406" s="13"/>
    </row>
    <row r="407" ht="14.25" customHeight="1">
      <c r="B407" s="2"/>
      <c r="C407" s="4"/>
      <c r="D407" s="4"/>
      <c r="E407" s="4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13"/>
      <c r="AH407" s="13"/>
    </row>
    <row r="408" ht="14.25" customHeight="1">
      <c r="B408" s="2"/>
      <c r="C408" s="4"/>
      <c r="D408" s="4"/>
      <c r="E408" s="4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13"/>
      <c r="AH408" s="13"/>
    </row>
    <row r="409" ht="14.25" customHeight="1">
      <c r="B409" s="2"/>
      <c r="C409" s="4"/>
      <c r="D409" s="4"/>
      <c r="E409" s="4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13"/>
      <c r="AH409" s="13"/>
    </row>
    <row r="410" ht="14.25" customHeight="1">
      <c r="B410" s="2"/>
      <c r="C410" s="4"/>
      <c r="D410" s="4"/>
      <c r="E410" s="4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13"/>
      <c r="AH410" s="13"/>
    </row>
    <row r="411" ht="14.25" customHeight="1">
      <c r="B411" s="2"/>
      <c r="C411" s="4"/>
      <c r="D411" s="4"/>
      <c r="E411" s="4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13"/>
      <c r="AH411" s="13"/>
    </row>
    <row r="412" ht="14.25" customHeight="1">
      <c r="B412" s="2"/>
      <c r="C412" s="4"/>
      <c r="D412" s="4"/>
      <c r="E412" s="4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13"/>
      <c r="AH412" s="13"/>
    </row>
    <row r="413" ht="14.25" customHeight="1">
      <c r="B413" s="2"/>
      <c r="C413" s="4"/>
      <c r="D413" s="4"/>
      <c r="E413" s="4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13"/>
      <c r="AH413" s="13"/>
    </row>
    <row r="414" ht="14.25" customHeight="1">
      <c r="B414" s="2"/>
      <c r="C414" s="4"/>
      <c r="D414" s="4"/>
      <c r="E414" s="4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13"/>
      <c r="AH414" s="13"/>
    </row>
    <row r="415" ht="14.25" customHeight="1">
      <c r="B415" s="2"/>
      <c r="C415" s="4"/>
      <c r="D415" s="4"/>
      <c r="E415" s="4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13"/>
      <c r="AH415" s="13"/>
    </row>
    <row r="416" ht="14.25" customHeight="1">
      <c r="B416" s="2"/>
      <c r="C416" s="4"/>
      <c r="D416" s="4"/>
      <c r="E416" s="4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13"/>
      <c r="AH416" s="13"/>
    </row>
    <row r="417" ht="14.25" customHeight="1">
      <c r="B417" s="2"/>
      <c r="C417" s="4"/>
      <c r="D417" s="4"/>
      <c r="E417" s="4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13"/>
      <c r="AH417" s="13"/>
    </row>
    <row r="418" ht="14.25" customHeight="1">
      <c r="B418" s="2"/>
      <c r="C418" s="4"/>
      <c r="D418" s="4"/>
      <c r="E418" s="4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13"/>
      <c r="AH418" s="13"/>
    </row>
    <row r="419" ht="14.25" customHeight="1">
      <c r="B419" s="2"/>
      <c r="C419" s="4"/>
      <c r="D419" s="4"/>
      <c r="E419" s="4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13"/>
      <c r="AH419" s="13"/>
    </row>
    <row r="420" ht="14.25" customHeight="1">
      <c r="B420" s="2"/>
      <c r="C420" s="4"/>
      <c r="D420" s="4"/>
      <c r="E420" s="4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13"/>
      <c r="AH420" s="13"/>
    </row>
    <row r="421" ht="14.25" customHeight="1">
      <c r="B421" s="2"/>
      <c r="C421" s="4"/>
      <c r="D421" s="4"/>
      <c r="E421" s="4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13"/>
      <c r="AH421" s="13"/>
    </row>
    <row r="422" ht="14.25" customHeight="1">
      <c r="B422" s="2"/>
      <c r="C422" s="4"/>
      <c r="D422" s="4"/>
      <c r="E422" s="4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13"/>
      <c r="AH422" s="13"/>
    </row>
    <row r="423" ht="14.25" customHeight="1">
      <c r="B423" s="2"/>
      <c r="C423" s="4"/>
      <c r="D423" s="4"/>
      <c r="E423" s="4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13"/>
      <c r="AH423" s="13"/>
    </row>
    <row r="424" ht="14.25" customHeight="1">
      <c r="B424" s="2"/>
      <c r="C424" s="4"/>
      <c r="D424" s="4"/>
      <c r="E424" s="4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13"/>
      <c r="AH424" s="13"/>
    </row>
    <row r="425" ht="14.25" customHeight="1">
      <c r="B425" s="2"/>
      <c r="C425" s="4"/>
      <c r="D425" s="4"/>
      <c r="E425" s="4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13"/>
      <c r="AH425" s="13"/>
    </row>
    <row r="426" ht="14.25" customHeight="1">
      <c r="B426" s="2"/>
      <c r="C426" s="4"/>
      <c r="D426" s="4"/>
      <c r="E426" s="4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13"/>
      <c r="AH426" s="13"/>
    </row>
    <row r="427" ht="14.25" customHeight="1">
      <c r="B427" s="2"/>
      <c r="C427" s="4"/>
      <c r="D427" s="4"/>
      <c r="E427" s="4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13"/>
      <c r="AH427" s="13"/>
    </row>
    <row r="428" ht="14.25" customHeight="1">
      <c r="B428" s="2"/>
      <c r="C428" s="4"/>
      <c r="D428" s="4"/>
      <c r="E428" s="4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13"/>
      <c r="AH428" s="13"/>
    </row>
    <row r="429" ht="14.25" customHeight="1">
      <c r="B429" s="2"/>
      <c r="C429" s="4"/>
      <c r="D429" s="4"/>
      <c r="E429" s="4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13"/>
      <c r="AH429" s="13"/>
    </row>
    <row r="430" ht="14.25" customHeight="1">
      <c r="B430" s="2"/>
      <c r="C430" s="4"/>
      <c r="D430" s="4"/>
      <c r="E430" s="4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13"/>
      <c r="AH430" s="13"/>
    </row>
    <row r="431" ht="14.25" customHeight="1">
      <c r="B431" s="2"/>
      <c r="C431" s="4"/>
      <c r="D431" s="4"/>
      <c r="E431" s="4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13"/>
      <c r="AH431" s="13"/>
    </row>
    <row r="432" ht="14.25" customHeight="1">
      <c r="B432" s="2"/>
      <c r="C432" s="4"/>
      <c r="D432" s="4"/>
      <c r="E432" s="4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13"/>
      <c r="AH432" s="13"/>
    </row>
    <row r="433" ht="14.25" customHeight="1">
      <c r="B433" s="2"/>
      <c r="C433" s="4"/>
      <c r="D433" s="4"/>
      <c r="E433" s="4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13"/>
      <c r="AH433" s="13"/>
    </row>
    <row r="434" ht="14.25" customHeight="1">
      <c r="B434" s="2"/>
      <c r="C434" s="4"/>
      <c r="D434" s="4"/>
      <c r="E434" s="4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13"/>
      <c r="AH434" s="13"/>
    </row>
    <row r="435" ht="14.25" customHeight="1">
      <c r="B435" s="2"/>
      <c r="C435" s="4"/>
      <c r="D435" s="4"/>
      <c r="E435" s="4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13"/>
      <c r="AH435" s="13"/>
    </row>
    <row r="436" ht="14.25" customHeight="1">
      <c r="B436" s="2"/>
      <c r="C436" s="4"/>
      <c r="D436" s="4"/>
      <c r="E436" s="4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13"/>
      <c r="AH436" s="13"/>
    </row>
    <row r="437" ht="14.25" customHeight="1">
      <c r="B437" s="2"/>
      <c r="C437" s="4"/>
      <c r="D437" s="4"/>
      <c r="E437" s="4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13"/>
      <c r="AH437" s="13"/>
    </row>
    <row r="438" ht="14.25" customHeight="1">
      <c r="B438" s="2"/>
      <c r="C438" s="4"/>
      <c r="D438" s="4"/>
      <c r="E438" s="4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13"/>
      <c r="AH438" s="13"/>
    </row>
    <row r="439" ht="14.25" customHeight="1">
      <c r="B439" s="2"/>
      <c r="C439" s="4"/>
      <c r="D439" s="4"/>
      <c r="E439" s="4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13"/>
      <c r="AH439" s="13"/>
    </row>
    <row r="440" ht="14.25" customHeight="1">
      <c r="B440" s="2"/>
      <c r="C440" s="4"/>
      <c r="D440" s="4"/>
      <c r="E440" s="4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13"/>
      <c r="AH440" s="13"/>
    </row>
    <row r="441" ht="14.25" customHeight="1">
      <c r="B441" s="2"/>
      <c r="C441" s="4"/>
      <c r="D441" s="4"/>
      <c r="E441" s="4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13"/>
      <c r="AH441" s="13"/>
    </row>
    <row r="442" ht="14.25" customHeight="1">
      <c r="B442" s="2"/>
      <c r="C442" s="4"/>
      <c r="D442" s="4"/>
      <c r="E442" s="4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13"/>
      <c r="AH442" s="13"/>
    </row>
    <row r="443" ht="14.25" customHeight="1">
      <c r="B443" s="2"/>
      <c r="C443" s="4"/>
      <c r="D443" s="4"/>
      <c r="E443" s="4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13"/>
      <c r="AH443" s="13"/>
    </row>
    <row r="444" ht="14.25" customHeight="1">
      <c r="B444" s="2"/>
      <c r="C444" s="4"/>
      <c r="D444" s="4"/>
      <c r="E444" s="4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13"/>
      <c r="AH444" s="13"/>
    </row>
    <row r="445" ht="14.25" customHeight="1">
      <c r="B445" s="2"/>
      <c r="C445" s="4"/>
      <c r="D445" s="4"/>
      <c r="E445" s="4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13"/>
      <c r="AH445" s="13"/>
    </row>
    <row r="446" ht="14.25" customHeight="1">
      <c r="B446" s="2"/>
      <c r="C446" s="4"/>
      <c r="D446" s="4"/>
      <c r="E446" s="4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13"/>
      <c r="AH446" s="13"/>
    </row>
    <row r="447" ht="14.25" customHeight="1">
      <c r="B447" s="2"/>
      <c r="C447" s="4"/>
      <c r="D447" s="4"/>
      <c r="E447" s="4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13"/>
      <c r="AH447" s="13"/>
    </row>
    <row r="448" ht="14.25" customHeight="1">
      <c r="B448" s="2"/>
      <c r="C448" s="4"/>
      <c r="D448" s="4"/>
      <c r="E448" s="4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13"/>
      <c r="AH448" s="13"/>
    </row>
    <row r="449" ht="14.25" customHeight="1">
      <c r="B449" s="2"/>
      <c r="C449" s="4"/>
      <c r="D449" s="4"/>
      <c r="E449" s="4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13"/>
      <c r="AH449" s="13"/>
    </row>
    <row r="450" ht="14.25" customHeight="1">
      <c r="B450" s="2"/>
      <c r="C450" s="4"/>
      <c r="D450" s="4"/>
      <c r="E450" s="4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13"/>
      <c r="AH450" s="13"/>
    </row>
    <row r="451" ht="14.25" customHeight="1">
      <c r="B451" s="2"/>
      <c r="C451" s="4"/>
      <c r="D451" s="4"/>
      <c r="E451" s="4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13"/>
      <c r="AH451" s="13"/>
    </row>
    <row r="452" ht="14.25" customHeight="1">
      <c r="B452" s="2"/>
      <c r="C452" s="4"/>
      <c r="D452" s="4"/>
      <c r="E452" s="4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13"/>
      <c r="AH452" s="13"/>
    </row>
    <row r="453" ht="14.25" customHeight="1">
      <c r="B453" s="2"/>
      <c r="C453" s="4"/>
      <c r="D453" s="4"/>
      <c r="E453" s="4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13"/>
      <c r="AH453" s="13"/>
    </row>
    <row r="454" ht="14.25" customHeight="1">
      <c r="B454" s="2"/>
      <c r="C454" s="4"/>
      <c r="D454" s="4"/>
      <c r="E454" s="4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13"/>
      <c r="AH454" s="13"/>
    </row>
    <row r="455" ht="14.25" customHeight="1">
      <c r="B455" s="2"/>
      <c r="C455" s="4"/>
      <c r="D455" s="4"/>
      <c r="E455" s="4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13"/>
      <c r="AH455" s="13"/>
    </row>
    <row r="456" ht="14.25" customHeight="1">
      <c r="B456" s="2"/>
      <c r="C456" s="4"/>
      <c r="D456" s="4"/>
      <c r="E456" s="4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13"/>
      <c r="AH456" s="13"/>
    </row>
    <row r="457" ht="14.25" customHeight="1">
      <c r="B457" s="2"/>
      <c r="C457" s="4"/>
      <c r="D457" s="4"/>
      <c r="E457" s="4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13"/>
      <c r="AH457" s="13"/>
    </row>
    <row r="458" ht="14.25" customHeight="1">
      <c r="B458" s="2"/>
      <c r="C458" s="4"/>
      <c r="D458" s="4"/>
      <c r="E458" s="4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13"/>
      <c r="AH458" s="13"/>
    </row>
    <row r="459" ht="14.25" customHeight="1">
      <c r="B459" s="2"/>
      <c r="C459" s="4"/>
      <c r="D459" s="4"/>
      <c r="E459" s="4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13"/>
      <c r="AH459" s="13"/>
    </row>
    <row r="460" ht="14.25" customHeight="1">
      <c r="B460" s="2"/>
      <c r="C460" s="4"/>
      <c r="D460" s="4"/>
      <c r="E460" s="4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13"/>
      <c r="AH460" s="13"/>
    </row>
    <row r="461" ht="14.25" customHeight="1">
      <c r="B461" s="2"/>
      <c r="C461" s="4"/>
      <c r="D461" s="4"/>
      <c r="E461" s="4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13"/>
      <c r="AH461" s="13"/>
    </row>
    <row r="462" ht="14.25" customHeight="1">
      <c r="B462" s="2"/>
      <c r="C462" s="4"/>
      <c r="D462" s="4"/>
      <c r="E462" s="4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13"/>
      <c r="AH462" s="13"/>
    </row>
    <row r="463" ht="14.25" customHeight="1">
      <c r="B463" s="2"/>
      <c r="C463" s="4"/>
      <c r="D463" s="4"/>
      <c r="E463" s="4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13"/>
      <c r="AH463" s="13"/>
    </row>
    <row r="464" ht="14.25" customHeight="1">
      <c r="B464" s="2"/>
      <c r="C464" s="4"/>
      <c r="D464" s="4"/>
      <c r="E464" s="4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13"/>
      <c r="AH464" s="13"/>
    </row>
    <row r="465" ht="14.25" customHeight="1">
      <c r="B465" s="2"/>
      <c r="C465" s="4"/>
      <c r="D465" s="4"/>
      <c r="E465" s="4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13"/>
      <c r="AH465" s="13"/>
    </row>
    <row r="466" ht="14.25" customHeight="1">
      <c r="B466" s="2"/>
      <c r="C466" s="4"/>
      <c r="D466" s="4"/>
      <c r="E466" s="4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13"/>
      <c r="AH466" s="13"/>
    </row>
    <row r="467" ht="14.25" customHeight="1">
      <c r="B467" s="2"/>
      <c r="C467" s="4"/>
      <c r="D467" s="4"/>
      <c r="E467" s="4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13"/>
      <c r="AH467" s="13"/>
    </row>
    <row r="468" ht="14.25" customHeight="1">
      <c r="B468" s="2"/>
      <c r="C468" s="4"/>
      <c r="D468" s="4"/>
      <c r="E468" s="4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13"/>
      <c r="AH468" s="13"/>
    </row>
    <row r="469" ht="14.25" customHeight="1">
      <c r="B469" s="2"/>
      <c r="C469" s="4"/>
      <c r="D469" s="4"/>
      <c r="E469" s="4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13"/>
      <c r="AH469" s="13"/>
    </row>
    <row r="470" ht="14.25" customHeight="1">
      <c r="B470" s="2"/>
      <c r="C470" s="4"/>
      <c r="D470" s="4"/>
      <c r="E470" s="4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13"/>
      <c r="AH470" s="13"/>
    </row>
    <row r="471" ht="14.25" customHeight="1">
      <c r="B471" s="2"/>
      <c r="C471" s="4"/>
      <c r="D471" s="4"/>
      <c r="E471" s="4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13"/>
      <c r="AH471" s="13"/>
    </row>
    <row r="472" ht="14.25" customHeight="1">
      <c r="B472" s="2"/>
      <c r="C472" s="4"/>
      <c r="D472" s="4"/>
      <c r="E472" s="4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13"/>
      <c r="AH472" s="13"/>
    </row>
    <row r="473" ht="14.25" customHeight="1">
      <c r="B473" s="2"/>
      <c r="C473" s="4"/>
      <c r="D473" s="4"/>
      <c r="E473" s="4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13"/>
      <c r="AH473" s="13"/>
    </row>
    <row r="474" ht="14.25" customHeight="1">
      <c r="B474" s="2"/>
      <c r="C474" s="4"/>
      <c r="D474" s="4"/>
      <c r="E474" s="4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13"/>
      <c r="AH474" s="13"/>
    </row>
    <row r="475" ht="14.25" customHeight="1">
      <c r="B475" s="2"/>
      <c r="C475" s="4"/>
      <c r="D475" s="4"/>
      <c r="E475" s="4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13"/>
      <c r="AH475" s="13"/>
    </row>
    <row r="476" ht="14.25" customHeight="1">
      <c r="B476" s="2"/>
      <c r="C476" s="4"/>
      <c r="D476" s="4"/>
      <c r="E476" s="4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13"/>
      <c r="AH476" s="13"/>
    </row>
    <row r="477" ht="14.25" customHeight="1">
      <c r="B477" s="2"/>
      <c r="C477" s="4"/>
      <c r="D477" s="4"/>
      <c r="E477" s="4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13"/>
      <c r="AH477" s="13"/>
    </row>
    <row r="478" ht="14.25" customHeight="1">
      <c r="B478" s="2"/>
      <c r="C478" s="4"/>
      <c r="D478" s="4"/>
      <c r="E478" s="4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13"/>
      <c r="AH478" s="13"/>
    </row>
    <row r="479" ht="14.25" customHeight="1">
      <c r="B479" s="2"/>
      <c r="C479" s="4"/>
      <c r="D479" s="4"/>
      <c r="E479" s="4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13"/>
      <c r="AH479" s="13"/>
    </row>
    <row r="480" ht="14.25" customHeight="1">
      <c r="B480" s="2"/>
      <c r="C480" s="4"/>
      <c r="D480" s="4"/>
      <c r="E480" s="4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13"/>
      <c r="AH480" s="13"/>
    </row>
    <row r="481" ht="14.25" customHeight="1">
      <c r="B481" s="2"/>
      <c r="C481" s="4"/>
      <c r="D481" s="4"/>
      <c r="E481" s="4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13"/>
      <c r="AH481" s="13"/>
    </row>
    <row r="482" ht="14.25" customHeight="1">
      <c r="B482" s="2"/>
      <c r="C482" s="4"/>
      <c r="D482" s="4"/>
      <c r="E482" s="4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13"/>
      <c r="AH482" s="13"/>
    </row>
    <row r="483" ht="14.25" customHeight="1">
      <c r="B483" s="2"/>
      <c r="C483" s="4"/>
      <c r="D483" s="4"/>
      <c r="E483" s="4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13"/>
      <c r="AH483" s="13"/>
    </row>
    <row r="484" ht="14.25" customHeight="1">
      <c r="B484" s="2"/>
      <c r="C484" s="4"/>
      <c r="D484" s="4"/>
      <c r="E484" s="4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13"/>
      <c r="AH484" s="13"/>
    </row>
    <row r="485" ht="14.25" customHeight="1">
      <c r="B485" s="2"/>
      <c r="C485" s="4"/>
      <c r="D485" s="4"/>
      <c r="E485" s="4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13"/>
      <c r="AH485" s="13"/>
    </row>
    <row r="486" ht="14.25" customHeight="1">
      <c r="B486" s="2"/>
      <c r="C486" s="4"/>
      <c r="D486" s="4"/>
      <c r="E486" s="4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13"/>
      <c r="AH486" s="13"/>
    </row>
    <row r="487" ht="14.25" customHeight="1">
      <c r="B487" s="2"/>
      <c r="C487" s="4"/>
      <c r="D487" s="4"/>
      <c r="E487" s="4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13"/>
      <c r="AH487" s="13"/>
    </row>
    <row r="488" ht="14.25" customHeight="1">
      <c r="B488" s="2"/>
      <c r="C488" s="4"/>
      <c r="D488" s="4"/>
      <c r="E488" s="4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13"/>
      <c r="AH488" s="13"/>
    </row>
    <row r="489" ht="14.25" customHeight="1">
      <c r="B489" s="2"/>
      <c r="C489" s="4"/>
      <c r="D489" s="4"/>
      <c r="E489" s="4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13"/>
      <c r="AH489" s="13"/>
    </row>
    <row r="490" ht="14.25" customHeight="1">
      <c r="B490" s="2"/>
      <c r="C490" s="4"/>
      <c r="D490" s="4"/>
      <c r="E490" s="4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13"/>
      <c r="AH490" s="13"/>
    </row>
    <row r="491" ht="14.25" customHeight="1">
      <c r="B491" s="2"/>
      <c r="C491" s="4"/>
      <c r="D491" s="4"/>
      <c r="E491" s="4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13"/>
      <c r="AH491" s="13"/>
    </row>
    <row r="492" ht="14.25" customHeight="1">
      <c r="B492" s="2"/>
      <c r="C492" s="4"/>
      <c r="D492" s="4"/>
      <c r="E492" s="4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13"/>
      <c r="AH492" s="13"/>
    </row>
    <row r="493" ht="14.25" customHeight="1">
      <c r="B493" s="2"/>
      <c r="C493" s="4"/>
      <c r="D493" s="4"/>
      <c r="E493" s="4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13"/>
      <c r="AH493" s="13"/>
    </row>
    <row r="494" ht="14.25" customHeight="1">
      <c r="B494" s="2"/>
      <c r="C494" s="4"/>
      <c r="D494" s="4"/>
      <c r="E494" s="4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13"/>
      <c r="AH494" s="13"/>
    </row>
    <row r="495" ht="14.25" customHeight="1">
      <c r="B495" s="2"/>
      <c r="C495" s="4"/>
      <c r="D495" s="4"/>
      <c r="E495" s="4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13"/>
      <c r="AH495" s="13"/>
    </row>
    <row r="496" ht="14.25" customHeight="1">
      <c r="B496" s="2"/>
      <c r="C496" s="4"/>
      <c r="D496" s="4"/>
      <c r="E496" s="4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13"/>
      <c r="AH496" s="13"/>
    </row>
    <row r="497" ht="14.25" customHeight="1">
      <c r="B497" s="2"/>
      <c r="C497" s="4"/>
      <c r="D497" s="4"/>
      <c r="E497" s="4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13"/>
      <c r="AH497" s="13"/>
    </row>
    <row r="498" ht="14.25" customHeight="1">
      <c r="B498" s="2"/>
      <c r="C498" s="4"/>
      <c r="D498" s="4"/>
      <c r="E498" s="4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13"/>
      <c r="AH498" s="13"/>
    </row>
    <row r="499" ht="14.25" customHeight="1">
      <c r="B499" s="2"/>
      <c r="C499" s="4"/>
      <c r="D499" s="4"/>
      <c r="E499" s="4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13"/>
      <c r="AH499" s="13"/>
    </row>
    <row r="500" ht="14.25" customHeight="1">
      <c r="B500" s="2"/>
      <c r="C500" s="4"/>
      <c r="D500" s="4"/>
      <c r="E500" s="4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13"/>
      <c r="AH500" s="13"/>
    </row>
    <row r="501" ht="14.25" customHeight="1">
      <c r="B501" s="2"/>
      <c r="C501" s="4"/>
      <c r="D501" s="4"/>
      <c r="E501" s="4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13"/>
      <c r="AH501" s="13"/>
    </row>
    <row r="502" ht="14.25" customHeight="1">
      <c r="B502" s="2"/>
      <c r="C502" s="4"/>
      <c r="D502" s="4"/>
      <c r="E502" s="4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13"/>
      <c r="AH502" s="13"/>
    </row>
    <row r="503" ht="14.25" customHeight="1">
      <c r="B503" s="2"/>
      <c r="C503" s="4"/>
      <c r="D503" s="4"/>
      <c r="E503" s="4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13"/>
      <c r="AH503" s="13"/>
    </row>
    <row r="504" ht="14.25" customHeight="1">
      <c r="B504" s="2"/>
      <c r="C504" s="4"/>
      <c r="D504" s="4"/>
      <c r="E504" s="4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13"/>
      <c r="AH504" s="13"/>
    </row>
    <row r="505" ht="14.25" customHeight="1">
      <c r="B505" s="2"/>
      <c r="C505" s="4"/>
      <c r="D505" s="4"/>
      <c r="E505" s="4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13"/>
      <c r="AH505" s="13"/>
    </row>
    <row r="506" ht="14.25" customHeight="1">
      <c r="B506" s="2"/>
      <c r="C506" s="4"/>
      <c r="D506" s="4"/>
      <c r="E506" s="4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13"/>
      <c r="AH506" s="13"/>
    </row>
    <row r="507" ht="14.25" customHeight="1">
      <c r="B507" s="2"/>
      <c r="C507" s="4"/>
      <c r="D507" s="4"/>
      <c r="E507" s="4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13"/>
      <c r="AH507" s="13"/>
    </row>
    <row r="508" ht="14.25" customHeight="1">
      <c r="B508" s="2"/>
      <c r="C508" s="4"/>
      <c r="D508" s="4"/>
      <c r="E508" s="4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13"/>
      <c r="AH508" s="13"/>
    </row>
    <row r="509" ht="14.25" customHeight="1">
      <c r="B509" s="2"/>
      <c r="C509" s="4"/>
      <c r="D509" s="4"/>
      <c r="E509" s="4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13"/>
      <c r="AH509" s="13"/>
    </row>
    <row r="510" ht="14.25" customHeight="1">
      <c r="B510" s="2"/>
      <c r="C510" s="4"/>
      <c r="D510" s="4"/>
      <c r="E510" s="4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13"/>
      <c r="AH510" s="13"/>
    </row>
    <row r="511" ht="14.25" customHeight="1">
      <c r="B511" s="2"/>
      <c r="C511" s="4"/>
      <c r="D511" s="4"/>
      <c r="E511" s="4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13"/>
      <c r="AH511" s="13"/>
    </row>
    <row r="512" ht="14.25" customHeight="1">
      <c r="B512" s="2"/>
      <c r="C512" s="4"/>
      <c r="D512" s="4"/>
      <c r="E512" s="4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13"/>
      <c r="AH512" s="13"/>
    </row>
    <row r="513" ht="14.25" customHeight="1">
      <c r="B513" s="2"/>
      <c r="C513" s="4"/>
      <c r="D513" s="4"/>
      <c r="E513" s="4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13"/>
      <c r="AH513" s="13"/>
    </row>
    <row r="514" ht="14.25" customHeight="1">
      <c r="B514" s="2"/>
      <c r="C514" s="4"/>
      <c r="D514" s="4"/>
      <c r="E514" s="4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13"/>
      <c r="AH514" s="13"/>
    </row>
    <row r="515" ht="14.25" customHeight="1">
      <c r="B515" s="2"/>
      <c r="C515" s="4"/>
      <c r="D515" s="4"/>
      <c r="E515" s="4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13"/>
      <c r="AH515" s="13"/>
    </row>
    <row r="516" ht="14.25" customHeight="1">
      <c r="B516" s="2"/>
      <c r="C516" s="4"/>
      <c r="D516" s="4"/>
      <c r="E516" s="4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13"/>
      <c r="AH516" s="13"/>
    </row>
    <row r="517" ht="14.25" customHeight="1">
      <c r="B517" s="2"/>
      <c r="C517" s="4"/>
      <c r="D517" s="4"/>
      <c r="E517" s="4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13"/>
      <c r="AH517" s="13"/>
    </row>
    <row r="518" ht="14.25" customHeight="1">
      <c r="B518" s="2"/>
      <c r="C518" s="4"/>
      <c r="D518" s="4"/>
      <c r="E518" s="4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13"/>
      <c r="AH518" s="13"/>
    </row>
    <row r="519" ht="14.25" customHeight="1">
      <c r="B519" s="2"/>
      <c r="C519" s="4"/>
      <c r="D519" s="4"/>
      <c r="E519" s="4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13"/>
      <c r="AH519" s="13"/>
    </row>
    <row r="520" ht="14.25" customHeight="1">
      <c r="B520" s="2"/>
      <c r="C520" s="4"/>
      <c r="D520" s="4"/>
      <c r="E520" s="4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13"/>
      <c r="AH520" s="13"/>
    </row>
    <row r="521" ht="14.25" customHeight="1">
      <c r="B521" s="2"/>
      <c r="C521" s="4"/>
      <c r="D521" s="4"/>
      <c r="E521" s="4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13"/>
      <c r="AH521" s="13"/>
    </row>
    <row r="522" ht="14.25" customHeight="1">
      <c r="B522" s="2"/>
      <c r="C522" s="4"/>
      <c r="D522" s="4"/>
      <c r="E522" s="4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13"/>
      <c r="AH522" s="13"/>
    </row>
    <row r="523" ht="14.25" customHeight="1">
      <c r="B523" s="2"/>
      <c r="C523" s="4"/>
      <c r="D523" s="4"/>
      <c r="E523" s="4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13"/>
      <c r="AH523" s="13"/>
    </row>
    <row r="524" ht="14.25" customHeight="1">
      <c r="B524" s="2"/>
      <c r="C524" s="4"/>
      <c r="D524" s="4"/>
      <c r="E524" s="4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13"/>
      <c r="AH524" s="13"/>
    </row>
    <row r="525" ht="14.25" customHeight="1">
      <c r="B525" s="2"/>
      <c r="C525" s="4"/>
      <c r="D525" s="4"/>
      <c r="E525" s="4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13"/>
      <c r="AH525" s="13"/>
    </row>
    <row r="526" ht="14.25" customHeight="1">
      <c r="B526" s="2"/>
      <c r="C526" s="4"/>
      <c r="D526" s="4"/>
      <c r="E526" s="4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13"/>
      <c r="AH526" s="13"/>
    </row>
    <row r="527" ht="14.25" customHeight="1">
      <c r="B527" s="2"/>
      <c r="C527" s="4"/>
      <c r="D527" s="4"/>
      <c r="E527" s="4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13"/>
      <c r="AH527" s="13"/>
    </row>
    <row r="528" ht="14.25" customHeight="1">
      <c r="B528" s="2"/>
      <c r="C528" s="4"/>
      <c r="D528" s="4"/>
      <c r="E528" s="4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13"/>
      <c r="AH528" s="13"/>
    </row>
    <row r="529" ht="14.25" customHeight="1">
      <c r="B529" s="2"/>
      <c r="C529" s="4"/>
      <c r="D529" s="4"/>
      <c r="E529" s="4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13"/>
      <c r="AH529" s="13"/>
    </row>
    <row r="530" ht="14.25" customHeight="1">
      <c r="B530" s="2"/>
      <c r="C530" s="4"/>
      <c r="D530" s="4"/>
      <c r="E530" s="4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13"/>
      <c r="AH530" s="13"/>
    </row>
    <row r="531" ht="14.25" customHeight="1">
      <c r="B531" s="2"/>
      <c r="C531" s="4"/>
      <c r="D531" s="4"/>
      <c r="E531" s="4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13"/>
      <c r="AH531" s="13"/>
    </row>
    <row r="532" ht="14.25" customHeight="1">
      <c r="B532" s="2"/>
      <c r="C532" s="4"/>
      <c r="D532" s="4"/>
      <c r="E532" s="4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13"/>
      <c r="AH532" s="13"/>
    </row>
    <row r="533" ht="14.25" customHeight="1">
      <c r="B533" s="2"/>
      <c r="C533" s="4"/>
      <c r="D533" s="4"/>
      <c r="E533" s="4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13"/>
      <c r="AH533" s="13"/>
    </row>
    <row r="534" ht="14.25" customHeight="1">
      <c r="B534" s="2"/>
      <c r="C534" s="4"/>
      <c r="D534" s="4"/>
      <c r="E534" s="4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13"/>
      <c r="AH534" s="13"/>
    </row>
    <row r="535" ht="14.25" customHeight="1">
      <c r="B535" s="2"/>
      <c r="C535" s="4"/>
      <c r="D535" s="4"/>
      <c r="E535" s="4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13"/>
      <c r="AH535" s="13"/>
    </row>
    <row r="536" ht="14.25" customHeight="1">
      <c r="B536" s="2"/>
      <c r="C536" s="4"/>
      <c r="D536" s="4"/>
      <c r="E536" s="4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13"/>
      <c r="AH536" s="13"/>
    </row>
    <row r="537" ht="14.25" customHeight="1">
      <c r="B537" s="2"/>
      <c r="C537" s="4"/>
      <c r="D537" s="4"/>
      <c r="E537" s="4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13"/>
      <c r="AH537" s="13"/>
    </row>
    <row r="538" ht="14.25" customHeight="1">
      <c r="B538" s="2"/>
      <c r="C538" s="4"/>
      <c r="D538" s="4"/>
      <c r="E538" s="4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13"/>
      <c r="AH538" s="13"/>
    </row>
    <row r="539" ht="14.25" customHeight="1">
      <c r="B539" s="2"/>
      <c r="C539" s="4"/>
      <c r="D539" s="4"/>
      <c r="E539" s="4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13"/>
      <c r="AH539" s="13"/>
    </row>
    <row r="540" ht="14.25" customHeight="1">
      <c r="B540" s="2"/>
      <c r="C540" s="4"/>
      <c r="D540" s="4"/>
      <c r="E540" s="4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13"/>
      <c r="AH540" s="13"/>
    </row>
    <row r="541" ht="14.25" customHeight="1">
      <c r="B541" s="2"/>
      <c r="C541" s="4"/>
      <c r="D541" s="4"/>
      <c r="E541" s="4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13"/>
      <c r="AH541" s="13"/>
    </row>
    <row r="542" ht="14.25" customHeight="1">
      <c r="B542" s="2"/>
      <c r="C542" s="4"/>
      <c r="D542" s="4"/>
      <c r="E542" s="4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13"/>
      <c r="AH542" s="13"/>
    </row>
    <row r="543" ht="14.25" customHeight="1">
      <c r="B543" s="2"/>
      <c r="C543" s="4"/>
      <c r="D543" s="4"/>
      <c r="E543" s="4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13"/>
      <c r="AH543" s="13"/>
    </row>
    <row r="544" ht="14.25" customHeight="1">
      <c r="B544" s="2"/>
      <c r="C544" s="4"/>
      <c r="D544" s="4"/>
      <c r="E544" s="4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13"/>
      <c r="AH544" s="13"/>
    </row>
    <row r="545" ht="14.25" customHeight="1">
      <c r="B545" s="2"/>
      <c r="C545" s="4"/>
      <c r="D545" s="4"/>
      <c r="E545" s="4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13"/>
      <c r="AH545" s="13"/>
    </row>
    <row r="546" ht="14.25" customHeight="1">
      <c r="B546" s="2"/>
      <c r="C546" s="4"/>
      <c r="D546" s="4"/>
      <c r="E546" s="4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13"/>
      <c r="AH546" s="13"/>
    </row>
    <row r="547" ht="14.25" customHeight="1">
      <c r="B547" s="2"/>
      <c r="C547" s="4"/>
      <c r="D547" s="4"/>
      <c r="E547" s="4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13"/>
      <c r="AH547" s="13"/>
    </row>
    <row r="548" ht="14.25" customHeight="1">
      <c r="B548" s="2"/>
      <c r="C548" s="4"/>
      <c r="D548" s="4"/>
      <c r="E548" s="4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13"/>
      <c r="AH548" s="13"/>
    </row>
    <row r="549" ht="14.25" customHeight="1">
      <c r="B549" s="2"/>
      <c r="C549" s="4"/>
      <c r="D549" s="4"/>
      <c r="E549" s="4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13"/>
      <c r="AH549" s="13"/>
    </row>
    <row r="550" ht="14.25" customHeight="1">
      <c r="B550" s="2"/>
      <c r="C550" s="4"/>
      <c r="D550" s="4"/>
      <c r="E550" s="4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13"/>
      <c r="AH550" s="13"/>
    </row>
    <row r="551" ht="14.25" customHeight="1">
      <c r="B551" s="2"/>
      <c r="C551" s="4"/>
      <c r="D551" s="4"/>
      <c r="E551" s="4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13"/>
      <c r="AH551" s="13"/>
    </row>
    <row r="552" ht="14.25" customHeight="1">
      <c r="B552" s="2"/>
      <c r="C552" s="4"/>
      <c r="D552" s="4"/>
      <c r="E552" s="4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13"/>
      <c r="AH552" s="13"/>
    </row>
    <row r="553" ht="14.25" customHeight="1">
      <c r="B553" s="2"/>
      <c r="C553" s="4"/>
      <c r="D553" s="4"/>
      <c r="E553" s="4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13"/>
      <c r="AH553" s="13"/>
    </row>
    <row r="554" ht="14.25" customHeight="1">
      <c r="B554" s="2"/>
      <c r="C554" s="4"/>
      <c r="D554" s="4"/>
      <c r="E554" s="4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13"/>
      <c r="AH554" s="13"/>
    </row>
    <row r="555" ht="14.25" customHeight="1">
      <c r="B555" s="2"/>
      <c r="C555" s="4"/>
      <c r="D555" s="4"/>
      <c r="E555" s="4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13"/>
      <c r="AH555" s="13"/>
    </row>
    <row r="556" ht="14.25" customHeight="1">
      <c r="B556" s="2"/>
      <c r="C556" s="4"/>
      <c r="D556" s="4"/>
      <c r="E556" s="4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13"/>
      <c r="AH556" s="13"/>
    </row>
    <row r="557" ht="14.25" customHeight="1">
      <c r="B557" s="2"/>
      <c r="C557" s="4"/>
      <c r="D557" s="4"/>
      <c r="E557" s="4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13"/>
      <c r="AH557" s="13"/>
    </row>
    <row r="558" ht="14.25" customHeight="1">
      <c r="B558" s="2"/>
      <c r="C558" s="4"/>
      <c r="D558" s="4"/>
      <c r="E558" s="4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13"/>
      <c r="AH558" s="13"/>
    </row>
    <row r="559" ht="14.25" customHeight="1">
      <c r="B559" s="2"/>
      <c r="C559" s="4"/>
      <c r="D559" s="4"/>
      <c r="E559" s="4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13"/>
      <c r="AH559" s="13"/>
    </row>
    <row r="560" ht="14.25" customHeight="1">
      <c r="B560" s="2"/>
      <c r="C560" s="4"/>
      <c r="D560" s="4"/>
      <c r="E560" s="4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13"/>
      <c r="AH560" s="13"/>
    </row>
    <row r="561" ht="14.25" customHeight="1">
      <c r="B561" s="2"/>
      <c r="C561" s="4"/>
      <c r="D561" s="4"/>
      <c r="E561" s="4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13"/>
      <c r="AH561" s="13"/>
    </row>
    <row r="562" ht="14.25" customHeight="1">
      <c r="B562" s="2"/>
      <c r="C562" s="4"/>
      <c r="D562" s="4"/>
      <c r="E562" s="4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13"/>
      <c r="AH562" s="13"/>
    </row>
    <row r="563" ht="14.25" customHeight="1">
      <c r="B563" s="2"/>
      <c r="C563" s="4"/>
      <c r="D563" s="4"/>
      <c r="E563" s="4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13"/>
      <c r="AH563" s="13"/>
    </row>
    <row r="564" ht="14.25" customHeight="1">
      <c r="B564" s="2"/>
      <c r="C564" s="4"/>
      <c r="D564" s="4"/>
      <c r="E564" s="4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13"/>
      <c r="AH564" s="13"/>
    </row>
    <row r="565" ht="14.25" customHeight="1">
      <c r="B565" s="2"/>
      <c r="C565" s="4"/>
      <c r="D565" s="4"/>
      <c r="E565" s="4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13"/>
      <c r="AH565" s="13"/>
    </row>
    <row r="566" ht="14.25" customHeight="1">
      <c r="B566" s="2"/>
      <c r="C566" s="4"/>
      <c r="D566" s="4"/>
      <c r="E566" s="4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13"/>
      <c r="AH566" s="13"/>
    </row>
    <row r="567" ht="14.25" customHeight="1">
      <c r="B567" s="2"/>
      <c r="C567" s="4"/>
      <c r="D567" s="4"/>
      <c r="E567" s="4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13"/>
      <c r="AH567" s="13"/>
    </row>
    <row r="568" ht="14.25" customHeight="1">
      <c r="B568" s="2"/>
      <c r="C568" s="4"/>
      <c r="D568" s="4"/>
      <c r="E568" s="4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13"/>
      <c r="AH568" s="13"/>
    </row>
    <row r="569" ht="14.25" customHeight="1">
      <c r="B569" s="2"/>
      <c r="C569" s="4"/>
      <c r="D569" s="4"/>
      <c r="E569" s="4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13"/>
      <c r="AH569" s="13"/>
    </row>
    <row r="570" ht="14.25" customHeight="1">
      <c r="B570" s="2"/>
      <c r="C570" s="4"/>
      <c r="D570" s="4"/>
      <c r="E570" s="4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13"/>
      <c r="AH570" s="13"/>
    </row>
    <row r="571" ht="14.25" customHeight="1">
      <c r="B571" s="2"/>
      <c r="C571" s="4"/>
      <c r="D571" s="4"/>
      <c r="E571" s="4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13"/>
      <c r="AH571" s="13"/>
    </row>
    <row r="572" ht="14.25" customHeight="1">
      <c r="B572" s="2"/>
      <c r="C572" s="4"/>
      <c r="D572" s="4"/>
      <c r="E572" s="4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13"/>
      <c r="AH572" s="13"/>
    </row>
    <row r="573" ht="14.25" customHeight="1">
      <c r="B573" s="2"/>
      <c r="C573" s="4"/>
      <c r="D573" s="4"/>
      <c r="E573" s="4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13"/>
      <c r="AH573" s="13"/>
    </row>
    <row r="574" ht="14.25" customHeight="1">
      <c r="B574" s="2"/>
      <c r="C574" s="4"/>
      <c r="D574" s="4"/>
      <c r="E574" s="4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13"/>
      <c r="AH574" s="13"/>
    </row>
    <row r="575" ht="14.25" customHeight="1">
      <c r="B575" s="2"/>
      <c r="C575" s="4"/>
      <c r="D575" s="4"/>
      <c r="E575" s="4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13"/>
      <c r="AH575" s="13"/>
    </row>
    <row r="576" ht="14.25" customHeight="1">
      <c r="B576" s="2"/>
      <c r="C576" s="4"/>
      <c r="D576" s="4"/>
      <c r="E576" s="4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13"/>
      <c r="AH576" s="13"/>
    </row>
    <row r="577" ht="14.25" customHeight="1">
      <c r="B577" s="2"/>
      <c r="C577" s="4"/>
      <c r="D577" s="4"/>
      <c r="E577" s="4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13"/>
      <c r="AH577" s="13"/>
    </row>
    <row r="578" ht="14.25" customHeight="1">
      <c r="B578" s="2"/>
      <c r="C578" s="4"/>
      <c r="D578" s="4"/>
      <c r="E578" s="4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13"/>
      <c r="AH578" s="13"/>
    </row>
    <row r="579" ht="14.25" customHeight="1">
      <c r="B579" s="2"/>
      <c r="C579" s="4"/>
      <c r="D579" s="4"/>
      <c r="E579" s="4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13"/>
      <c r="AH579" s="13"/>
    </row>
    <row r="580" ht="14.25" customHeight="1">
      <c r="B580" s="2"/>
      <c r="C580" s="4"/>
      <c r="D580" s="4"/>
      <c r="E580" s="4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13"/>
      <c r="AH580" s="13"/>
    </row>
    <row r="581" ht="14.25" customHeight="1">
      <c r="B581" s="2"/>
      <c r="C581" s="4"/>
      <c r="D581" s="4"/>
      <c r="E581" s="4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13"/>
      <c r="AH581" s="13"/>
    </row>
    <row r="582" ht="14.25" customHeight="1">
      <c r="B582" s="2"/>
      <c r="C582" s="4"/>
      <c r="D582" s="4"/>
      <c r="E582" s="4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13"/>
      <c r="AH582" s="13"/>
    </row>
    <row r="583" ht="14.25" customHeight="1">
      <c r="B583" s="2"/>
      <c r="C583" s="4"/>
      <c r="D583" s="4"/>
      <c r="E583" s="4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13"/>
      <c r="AH583" s="13"/>
    </row>
    <row r="584" ht="14.25" customHeight="1">
      <c r="B584" s="2"/>
      <c r="C584" s="4"/>
      <c r="D584" s="4"/>
      <c r="E584" s="4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13"/>
      <c r="AH584" s="13"/>
    </row>
    <row r="585" ht="14.25" customHeight="1">
      <c r="B585" s="2"/>
      <c r="C585" s="4"/>
      <c r="D585" s="4"/>
      <c r="E585" s="4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13"/>
      <c r="AH585" s="13"/>
    </row>
    <row r="586" ht="14.25" customHeight="1">
      <c r="B586" s="2"/>
      <c r="C586" s="4"/>
      <c r="D586" s="4"/>
      <c r="E586" s="4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13"/>
      <c r="AH586" s="13"/>
    </row>
    <row r="587" ht="14.25" customHeight="1">
      <c r="B587" s="2"/>
      <c r="C587" s="4"/>
      <c r="D587" s="4"/>
      <c r="E587" s="4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13"/>
      <c r="AH587" s="13"/>
    </row>
    <row r="588" ht="14.25" customHeight="1">
      <c r="B588" s="2"/>
      <c r="C588" s="4"/>
      <c r="D588" s="4"/>
      <c r="E588" s="4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13"/>
      <c r="AH588" s="13"/>
    </row>
    <row r="589" ht="14.25" customHeight="1">
      <c r="B589" s="2"/>
      <c r="C589" s="4"/>
      <c r="D589" s="4"/>
      <c r="E589" s="4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13"/>
      <c r="AH589" s="13"/>
    </row>
    <row r="590" ht="14.25" customHeight="1">
      <c r="B590" s="2"/>
      <c r="C590" s="4"/>
      <c r="D590" s="4"/>
      <c r="E590" s="4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13"/>
      <c r="AH590" s="13"/>
    </row>
    <row r="591" ht="14.25" customHeight="1">
      <c r="B591" s="2"/>
      <c r="C591" s="4"/>
      <c r="D591" s="4"/>
      <c r="E591" s="4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13"/>
      <c r="AH591" s="13"/>
    </row>
    <row r="592" ht="14.25" customHeight="1">
      <c r="B592" s="2"/>
      <c r="C592" s="4"/>
      <c r="D592" s="4"/>
      <c r="E592" s="4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13"/>
      <c r="AH592" s="13"/>
    </row>
    <row r="593" ht="14.25" customHeight="1">
      <c r="B593" s="2"/>
      <c r="C593" s="4"/>
      <c r="D593" s="4"/>
      <c r="E593" s="4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13"/>
      <c r="AH593" s="13"/>
    </row>
    <row r="594" ht="14.25" customHeight="1">
      <c r="B594" s="2"/>
      <c r="C594" s="4"/>
      <c r="D594" s="4"/>
      <c r="E594" s="4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13"/>
      <c r="AH594" s="13"/>
    </row>
    <row r="595" ht="14.25" customHeight="1">
      <c r="B595" s="2"/>
      <c r="C595" s="4"/>
      <c r="D595" s="4"/>
      <c r="E595" s="4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13"/>
      <c r="AH595" s="13"/>
    </row>
    <row r="596" ht="14.25" customHeight="1">
      <c r="B596" s="2"/>
      <c r="C596" s="4"/>
      <c r="D596" s="4"/>
      <c r="E596" s="4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13"/>
      <c r="AH596" s="13"/>
    </row>
    <row r="597" ht="14.25" customHeight="1">
      <c r="B597" s="2"/>
      <c r="C597" s="4"/>
      <c r="D597" s="4"/>
      <c r="E597" s="4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13"/>
      <c r="AH597" s="13"/>
    </row>
    <row r="598" ht="14.25" customHeight="1">
      <c r="B598" s="2"/>
      <c r="C598" s="4"/>
      <c r="D598" s="4"/>
      <c r="E598" s="4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13"/>
      <c r="AH598" s="13"/>
    </row>
    <row r="599" ht="14.25" customHeight="1">
      <c r="B599" s="2"/>
      <c r="C599" s="4"/>
      <c r="D599" s="4"/>
      <c r="E599" s="4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13"/>
      <c r="AH599" s="13"/>
    </row>
    <row r="600" ht="14.25" customHeight="1">
      <c r="B600" s="2"/>
      <c r="C600" s="4"/>
      <c r="D600" s="4"/>
      <c r="E600" s="4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13"/>
      <c r="AH600" s="13"/>
    </row>
    <row r="601" ht="14.25" customHeight="1">
      <c r="B601" s="2"/>
      <c r="C601" s="4"/>
      <c r="D601" s="4"/>
      <c r="E601" s="4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13"/>
      <c r="AH601" s="13"/>
    </row>
    <row r="602" ht="14.25" customHeight="1">
      <c r="B602" s="2"/>
      <c r="C602" s="4"/>
      <c r="D602" s="4"/>
      <c r="E602" s="4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13"/>
      <c r="AH602" s="13"/>
    </row>
    <row r="603" ht="14.25" customHeight="1">
      <c r="B603" s="2"/>
      <c r="C603" s="4"/>
      <c r="D603" s="4"/>
      <c r="E603" s="4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13"/>
      <c r="AH603" s="13"/>
    </row>
    <row r="604" ht="14.25" customHeight="1">
      <c r="B604" s="2"/>
      <c r="C604" s="4"/>
      <c r="D604" s="4"/>
      <c r="E604" s="4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13"/>
      <c r="AH604" s="13"/>
    </row>
    <row r="605" ht="14.25" customHeight="1">
      <c r="B605" s="2"/>
      <c r="C605" s="4"/>
      <c r="D605" s="4"/>
      <c r="E605" s="4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13"/>
      <c r="AH605" s="13"/>
    </row>
    <row r="606" ht="14.25" customHeight="1">
      <c r="B606" s="2"/>
      <c r="C606" s="4"/>
      <c r="D606" s="4"/>
      <c r="E606" s="4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13"/>
      <c r="AH606" s="13"/>
    </row>
    <row r="607" ht="14.25" customHeight="1">
      <c r="B607" s="2"/>
      <c r="C607" s="4"/>
      <c r="D607" s="4"/>
      <c r="E607" s="4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13"/>
      <c r="AH607" s="13"/>
    </row>
    <row r="608" ht="14.25" customHeight="1">
      <c r="B608" s="2"/>
      <c r="C608" s="4"/>
      <c r="D608" s="4"/>
      <c r="E608" s="4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13"/>
      <c r="AH608" s="13"/>
    </row>
    <row r="609" ht="14.25" customHeight="1">
      <c r="B609" s="2"/>
      <c r="C609" s="4"/>
      <c r="D609" s="4"/>
      <c r="E609" s="4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13"/>
      <c r="AH609" s="13"/>
    </row>
    <row r="610" ht="14.25" customHeight="1">
      <c r="B610" s="2"/>
      <c r="C610" s="4"/>
      <c r="D610" s="4"/>
      <c r="E610" s="4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13"/>
      <c r="AH610" s="13"/>
    </row>
    <row r="611" ht="14.25" customHeight="1">
      <c r="B611" s="2"/>
      <c r="C611" s="4"/>
      <c r="D611" s="4"/>
      <c r="E611" s="4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13"/>
      <c r="AH611" s="13"/>
    </row>
    <row r="612" ht="14.25" customHeight="1">
      <c r="B612" s="2"/>
      <c r="C612" s="4"/>
      <c r="D612" s="4"/>
      <c r="E612" s="4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13"/>
      <c r="AH612" s="13"/>
    </row>
    <row r="613" ht="14.25" customHeight="1">
      <c r="B613" s="2"/>
      <c r="C613" s="4"/>
      <c r="D613" s="4"/>
      <c r="E613" s="4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13"/>
      <c r="AH613" s="13"/>
    </row>
    <row r="614" ht="14.25" customHeight="1">
      <c r="B614" s="2"/>
      <c r="C614" s="4"/>
      <c r="D614" s="4"/>
      <c r="E614" s="4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13"/>
      <c r="AH614" s="13"/>
    </row>
    <row r="615" ht="14.25" customHeight="1">
      <c r="B615" s="2"/>
      <c r="C615" s="4"/>
      <c r="D615" s="4"/>
      <c r="E615" s="4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13"/>
      <c r="AH615" s="13"/>
    </row>
    <row r="616" ht="14.25" customHeight="1">
      <c r="B616" s="2"/>
      <c r="C616" s="4"/>
      <c r="D616" s="4"/>
      <c r="E616" s="4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13"/>
      <c r="AH616" s="13"/>
    </row>
    <row r="617" ht="14.25" customHeight="1">
      <c r="B617" s="2"/>
      <c r="C617" s="4"/>
      <c r="D617" s="4"/>
      <c r="E617" s="4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13"/>
      <c r="AH617" s="13"/>
    </row>
    <row r="618" ht="14.25" customHeight="1">
      <c r="B618" s="2"/>
      <c r="C618" s="4"/>
      <c r="D618" s="4"/>
      <c r="E618" s="4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13"/>
      <c r="AH618" s="13"/>
    </row>
    <row r="619" ht="14.25" customHeight="1">
      <c r="B619" s="2"/>
      <c r="C619" s="4"/>
      <c r="D619" s="4"/>
      <c r="E619" s="4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13"/>
      <c r="AH619" s="13"/>
    </row>
    <row r="620" ht="14.25" customHeight="1">
      <c r="B620" s="2"/>
      <c r="C620" s="4"/>
      <c r="D620" s="4"/>
      <c r="E620" s="4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13"/>
      <c r="AH620" s="13"/>
    </row>
    <row r="621" ht="14.25" customHeight="1">
      <c r="B621" s="2"/>
      <c r="C621" s="4"/>
      <c r="D621" s="4"/>
      <c r="E621" s="4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13"/>
      <c r="AH621" s="13"/>
    </row>
    <row r="622" ht="14.25" customHeight="1">
      <c r="B622" s="2"/>
      <c r="C622" s="4"/>
      <c r="D622" s="4"/>
      <c r="E622" s="4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13"/>
      <c r="AH622" s="13"/>
    </row>
    <row r="623" ht="14.25" customHeight="1">
      <c r="B623" s="2"/>
      <c r="C623" s="4"/>
      <c r="D623" s="4"/>
      <c r="E623" s="4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13"/>
      <c r="AH623" s="13"/>
    </row>
    <row r="624" ht="14.25" customHeight="1">
      <c r="B624" s="2"/>
      <c r="C624" s="4"/>
      <c r="D624" s="4"/>
      <c r="E624" s="4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13"/>
      <c r="AH624" s="13"/>
    </row>
    <row r="625" ht="14.25" customHeight="1">
      <c r="B625" s="2"/>
      <c r="C625" s="4"/>
      <c r="D625" s="4"/>
      <c r="E625" s="4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13"/>
      <c r="AH625" s="13"/>
    </row>
    <row r="626" ht="14.25" customHeight="1">
      <c r="B626" s="2"/>
      <c r="C626" s="4"/>
      <c r="D626" s="4"/>
      <c r="E626" s="4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13"/>
      <c r="AH626" s="13"/>
    </row>
    <row r="627" ht="14.25" customHeight="1">
      <c r="B627" s="2"/>
      <c r="C627" s="4"/>
      <c r="D627" s="4"/>
      <c r="E627" s="4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13"/>
      <c r="AH627" s="13"/>
    </row>
    <row r="628" ht="14.25" customHeight="1">
      <c r="B628" s="2"/>
      <c r="C628" s="4"/>
      <c r="D628" s="4"/>
      <c r="E628" s="4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13"/>
      <c r="AH628" s="13"/>
    </row>
    <row r="629" ht="14.25" customHeight="1">
      <c r="B629" s="2"/>
      <c r="C629" s="4"/>
      <c r="D629" s="4"/>
      <c r="E629" s="4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13"/>
      <c r="AH629" s="13"/>
    </row>
    <row r="630" ht="14.25" customHeight="1">
      <c r="B630" s="2"/>
      <c r="C630" s="4"/>
      <c r="D630" s="4"/>
      <c r="E630" s="4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13"/>
      <c r="AH630" s="13"/>
    </row>
    <row r="631" ht="14.25" customHeight="1">
      <c r="B631" s="2"/>
      <c r="C631" s="4"/>
      <c r="D631" s="4"/>
      <c r="E631" s="4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13"/>
      <c r="AH631" s="13"/>
    </row>
    <row r="632" ht="14.25" customHeight="1">
      <c r="B632" s="2"/>
      <c r="C632" s="4"/>
      <c r="D632" s="4"/>
      <c r="E632" s="4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13"/>
      <c r="AH632" s="13"/>
    </row>
    <row r="633" ht="14.25" customHeight="1">
      <c r="B633" s="2"/>
      <c r="C633" s="4"/>
      <c r="D633" s="4"/>
      <c r="E633" s="4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13"/>
      <c r="AH633" s="13"/>
    </row>
    <row r="634" ht="14.25" customHeight="1">
      <c r="B634" s="2"/>
      <c r="C634" s="4"/>
      <c r="D634" s="4"/>
      <c r="E634" s="4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13"/>
      <c r="AH634" s="13"/>
    </row>
    <row r="635" ht="14.25" customHeight="1">
      <c r="B635" s="2"/>
      <c r="C635" s="4"/>
      <c r="D635" s="4"/>
      <c r="E635" s="4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13"/>
      <c r="AH635" s="13"/>
    </row>
    <row r="636" ht="14.25" customHeight="1">
      <c r="B636" s="2"/>
      <c r="C636" s="4"/>
      <c r="D636" s="4"/>
      <c r="E636" s="4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13"/>
      <c r="AH636" s="13"/>
    </row>
    <row r="637" ht="14.25" customHeight="1">
      <c r="B637" s="2"/>
      <c r="C637" s="4"/>
      <c r="D637" s="4"/>
      <c r="E637" s="4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13"/>
      <c r="AH637" s="13"/>
    </row>
    <row r="638" ht="14.25" customHeight="1">
      <c r="B638" s="2"/>
      <c r="C638" s="4"/>
      <c r="D638" s="4"/>
      <c r="E638" s="4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13"/>
      <c r="AH638" s="13"/>
    </row>
    <row r="639" ht="14.25" customHeight="1">
      <c r="B639" s="2"/>
      <c r="C639" s="4"/>
      <c r="D639" s="4"/>
      <c r="E639" s="4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13"/>
      <c r="AH639" s="13"/>
    </row>
    <row r="640" ht="14.25" customHeight="1">
      <c r="B640" s="2"/>
      <c r="C640" s="4"/>
      <c r="D640" s="4"/>
      <c r="E640" s="4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13"/>
      <c r="AH640" s="13"/>
    </row>
    <row r="641" ht="14.25" customHeight="1">
      <c r="B641" s="2"/>
      <c r="C641" s="4"/>
      <c r="D641" s="4"/>
      <c r="E641" s="4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13"/>
      <c r="AH641" s="13"/>
    </row>
    <row r="642" ht="14.25" customHeight="1">
      <c r="B642" s="2"/>
      <c r="C642" s="4"/>
      <c r="D642" s="4"/>
      <c r="E642" s="4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13"/>
      <c r="AH642" s="13"/>
    </row>
    <row r="643" ht="14.25" customHeight="1">
      <c r="B643" s="2"/>
      <c r="C643" s="4"/>
      <c r="D643" s="4"/>
      <c r="E643" s="4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13"/>
      <c r="AH643" s="13"/>
    </row>
    <row r="644" ht="14.25" customHeight="1">
      <c r="B644" s="2"/>
      <c r="C644" s="4"/>
      <c r="D644" s="4"/>
      <c r="E644" s="4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13"/>
      <c r="AH644" s="13"/>
    </row>
    <row r="645" ht="14.25" customHeight="1">
      <c r="B645" s="2"/>
      <c r="C645" s="4"/>
      <c r="D645" s="4"/>
      <c r="E645" s="4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13"/>
      <c r="AH645" s="13"/>
    </row>
    <row r="646" ht="14.25" customHeight="1">
      <c r="B646" s="2"/>
      <c r="C646" s="4"/>
      <c r="D646" s="4"/>
      <c r="E646" s="4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13"/>
      <c r="AH646" s="13"/>
    </row>
    <row r="647" ht="14.25" customHeight="1">
      <c r="B647" s="2"/>
      <c r="C647" s="4"/>
      <c r="D647" s="4"/>
      <c r="E647" s="4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13"/>
      <c r="AH647" s="13"/>
    </row>
    <row r="648" ht="14.25" customHeight="1">
      <c r="B648" s="2"/>
      <c r="C648" s="4"/>
      <c r="D648" s="4"/>
      <c r="E648" s="4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13"/>
      <c r="AH648" s="13"/>
    </row>
    <row r="649" ht="14.25" customHeight="1">
      <c r="B649" s="2"/>
      <c r="C649" s="4"/>
      <c r="D649" s="4"/>
      <c r="E649" s="4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13"/>
      <c r="AH649" s="13"/>
    </row>
    <row r="650" ht="14.25" customHeight="1">
      <c r="B650" s="2"/>
      <c r="C650" s="4"/>
      <c r="D650" s="4"/>
      <c r="E650" s="4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13"/>
      <c r="AH650" s="13"/>
    </row>
    <row r="651" ht="14.25" customHeight="1">
      <c r="B651" s="2"/>
      <c r="C651" s="4"/>
      <c r="D651" s="4"/>
      <c r="E651" s="4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13"/>
      <c r="AH651" s="13"/>
    </row>
    <row r="652" ht="14.25" customHeight="1">
      <c r="B652" s="2"/>
      <c r="C652" s="4"/>
      <c r="D652" s="4"/>
      <c r="E652" s="4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13"/>
      <c r="AH652" s="13"/>
    </row>
    <row r="653" ht="14.25" customHeight="1">
      <c r="B653" s="2"/>
      <c r="C653" s="4"/>
      <c r="D653" s="4"/>
      <c r="E653" s="4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13"/>
      <c r="AH653" s="13"/>
    </row>
    <row r="654" ht="14.25" customHeight="1">
      <c r="B654" s="2"/>
      <c r="C654" s="4"/>
      <c r="D654" s="4"/>
      <c r="E654" s="4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13"/>
      <c r="AH654" s="13"/>
    </row>
    <row r="655" ht="14.25" customHeight="1">
      <c r="B655" s="2"/>
      <c r="C655" s="4"/>
      <c r="D655" s="4"/>
      <c r="E655" s="4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13"/>
      <c r="AH655" s="13"/>
    </row>
    <row r="656" ht="14.25" customHeight="1">
      <c r="B656" s="2"/>
      <c r="C656" s="4"/>
      <c r="D656" s="4"/>
      <c r="E656" s="4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13"/>
      <c r="AH656" s="13"/>
    </row>
    <row r="657" ht="14.25" customHeight="1">
      <c r="B657" s="2"/>
      <c r="C657" s="4"/>
      <c r="D657" s="4"/>
      <c r="E657" s="4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13"/>
      <c r="AH657" s="13"/>
    </row>
    <row r="658" ht="14.25" customHeight="1">
      <c r="B658" s="2"/>
      <c r="C658" s="4"/>
      <c r="D658" s="4"/>
      <c r="E658" s="4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13"/>
      <c r="AH658" s="13"/>
    </row>
    <row r="659" ht="14.25" customHeight="1">
      <c r="B659" s="2"/>
      <c r="C659" s="4"/>
      <c r="D659" s="4"/>
      <c r="E659" s="4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13"/>
      <c r="AH659" s="13"/>
    </row>
    <row r="660" ht="14.25" customHeight="1">
      <c r="B660" s="2"/>
      <c r="C660" s="4"/>
      <c r="D660" s="4"/>
      <c r="E660" s="4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13"/>
      <c r="AH660" s="13"/>
    </row>
    <row r="661" ht="14.25" customHeight="1">
      <c r="B661" s="2"/>
      <c r="C661" s="4"/>
      <c r="D661" s="4"/>
      <c r="E661" s="4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13"/>
      <c r="AH661" s="13"/>
    </row>
    <row r="662" ht="14.25" customHeight="1">
      <c r="B662" s="2"/>
      <c r="C662" s="4"/>
      <c r="D662" s="4"/>
      <c r="E662" s="4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13"/>
      <c r="AH662" s="13"/>
    </row>
    <row r="663" ht="14.25" customHeight="1">
      <c r="B663" s="2"/>
      <c r="C663" s="4"/>
      <c r="D663" s="4"/>
      <c r="E663" s="4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13"/>
      <c r="AH663" s="13"/>
    </row>
    <row r="664" ht="14.25" customHeight="1">
      <c r="B664" s="2"/>
      <c r="C664" s="4"/>
      <c r="D664" s="4"/>
      <c r="E664" s="4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13"/>
      <c r="AH664" s="13"/>
    </row>
    <row r="665" ht="14.25" customHeight="1">
      <c r="B665" s="2"/>
      <c r="C665" s="4"/>
      <c r="D665" s="4"/>
      <c r="E665" s="4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13"/>
      <c r="AH665" s="13"/>
    </row>
    <row r="666" ht="14.25" customHeight="1">
      <c r="B666" s="2"/>
      <c r="C666" s="4"/>
      <c r="D666" s="4"/>
      <c r="E666" s="4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13"/>
      <c r="AH666" s="13"/>
    </row>
    <row r="667" ht="14.25" customHeight="1">
      <c r="B667" s="2"/>
      <c r="C667" s="4"/>
      <c r="D667" s="4"/>
      <c r="E667" s="4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13"/>
      <c r="AH667" s="13"/>
    </row>
    <row r="668" ht="14.25" customHeight="1">
      <c r="B668" s="2"/>
      <c r="C668" s="4"/>
      <c r="D668" s="4"/>
      <c r="E668" s="4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13"/>
      <c r="AH668" s="13"/>
    </row>
    <row r="669" ht="14.25" customHeight="1">
      <c r="B669" s="2"/>
      <c r="C669" s="4"/>
      <c r="D669" s="4"/>
      <c r="E669" s="4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13"/>
      <c r="AH669" s="13"/>
    </row>
    <row r="670" ht="14.25" customHeight="1">
      <c r="B670" s="2"/>
      <c r="C670" s="4"/>
      <c r="D670" s="4"/>
      <c r="E670" s="4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13"/>
      <c r="AH670" s="13"/>
    </row>
    <row r="671" ht="14.25" customHeight="1">
      <c r="B671" s="2"/>
      <c r="C671" s="4"/>
      <c r="D671" s="4"/>
      <c r="E671" s="4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13"/>
      <c r="AH671" s="13"/>
    </row>
    <row r="672" ht="14.25" customHeight="1">
      <c r="B672" s="2"/>
      <c r="C672" s="4"/>
      <c r="D672" s="4"/>
      <c r="E672" s="4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13"/>
      <c r="AH672" s="13"/>
    </row>
    <row r="673" ht="14.25" customHeight="1">
      <c r="B673" s="2"/>
      <c r="C673" s="4"/>
      <c r="D673" s="4"/>
      <c r="E673" s="4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13"/>
      <c r="AH673" s="13"/>
    </row>
    <row r="674" ht="14.25" customHeight="1">
      <c r="B674" s="2"/>
      <c r="C674" s="4"/>
      <c r="D674" s="4"/>
      <c r="E674" s="4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13"/>
      <c r="AH674" s="13"/>
    </row>
    <row r="675" ht="14.25" customHeight="1">
      <c r="B675" s="2"/>
      <c r="C675" s="4"/>
      <c r="D675" s="4"/>
      <c r="E675" s="4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13"/>
      <c r="AH675" s="13"/>
    </row>
    <row r="676" ht="14.25" customHeight="1">
      <c r="B676" s="2"/>
      <c r="C676" s="4"/>
      <c r="D676" s="4"/>
      <c r="E676" s="4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13"/>
      <c r="AH676" s="13"/>
    </row>
    <row r="677" ht="14.25" customHeight="1">
      <c r="B677" s="2"/>
      <c r="C677" s="4"/>
      <c r="D677" s="4"/>
      <c r="E677" s="4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13"/>
      <c r="AH677" s="13"/>
    </row>
    <row r="678" ht="14.25" customHeight="1">
      <c r="B678" s="2"/>
      <c r="C678" s="4"/>
      <c r="D678" s="4"/>
      <c r="E678" s="4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13"/>
      <c r="AH678" s="13"/>
    </row>
    <row r="679" ht="14.25" customHeight="1">
      <c r="B679" s="2"/>
      <c r="C679" s="4"/>
      <c r="D679" s="4"/>
      <c r="E679" s="4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13"/>
      <c r="AH679" s="13"/>
    </row>
    <row r="680" ht="14.25" customHeight="1">
      <c r="B680" s="2"/>
      <c r="C680" s="4"/>
      <c r="D680" s="4"/>
      <c r="E680" s="4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13"/>
      <c r="AH680" s="13"/>
    </row>
    <row r="681" ht="14.25" customHeight="1">
      <c r="B681" s="2"/>
      <c r="C681" s="4"/>
      <c r="D681" s="4"/>
      <c r="E681" s="4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13"/>
      <c r="AH681" s="13"/>
    </row>
    <row r="682" ht="14.25" customHeight="1">
      <c r="B682" s="2"/>
      <c r="C682" s="4"/>
      <c r="D682" s="4"/>
      <c r="E682" s="4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13"/>
      <c r="AH682" s="13"/>
    </row>
    <row r="683" ht="14.25" customHeight="1">
      <c r="B683" s="2"/>
      <c r="C683" s="4"/>
      <c r="D683" s="4"/>
      <c r="E683" s="4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13"/>
      <c r="AH683" s="13"/>
    </row>
    <row r="684" ht="14.25" customHeight="1">
      <c r="B684" s="2"/>
      <c r="C684" s="4"/>
      <c r="D684" s="4"/>
      <c r="E684" s="4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13"/>
      <c r="AH684" s="13"/>
    </row>
    <row r="685" ht="14.25" customHeight="1">
      <c r="B685" s="2"/>
      <c r="C685" s="4"/>
      <c r="D685" s="4"/>
      <c r="E685" s="4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13"/>
      <c r="AH685" s="13"/>
    </row>
    <row r="686" ht="14.25" customHeight="1">
      <c r="B686" s="2"/>
      <c r="C686" s="4"/>
      <c r="D686" s="4"/>
      <c r="E686" s="4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13"/>
      <c r="AH686" s="13"/>
    </row>
    <row r="687" ht="14.25" customHeight="1">
      <c r="B687" s="2"/>
      <c r="C687" s="4"/>
      <c r="D687" s="4"/>
      <c r="E687" s="4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13"/>
      <c r="AH687" s="13"/>
    </row>
    <row r="688" ht="14.25" customHeight="1">
      <c r="B688" s="2"/>
      <c r="C688" s="4"/>
      <c r="D688" s="4"/>
      <c r="E688" s="4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13"/>
      <c r="AH688" s="13"/>
    </row>
    <row r="689" ht="14.25" customHeight="1">
      <c r="B689" s="2"/>
      <c r="C689" s="4"/>
      <c r="D689" s="4"/>
      <c r="E689" s="4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13"/>
      <c r="AH689" s="13"/>
    </row>
    <row r="690" ht="14.25" customHeight="1">
      <c r="B690" s="2"/>
      <c r="C690" s="4"/>
      <c r="D690" s="4"/>
      <c r="E690" s="4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13"/>
      <c r="AH690" s="13"/>
    </row>
    <row r="691" ht="14.25" customHeight="1">
      <c r="B691" s="2"/>
      <c r="C691" s="4"/>
      <c r="D691" s="4"/>
      <c r="E691" s="4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13"/>
      <c r="AH691" s="13"/>
    </row>
    <row r="692" ht="14.25" customHeight="1">
      <c r="B692" s="2"/>
      <c r="C692" s="4"/>
      <c r="D692" s="4"/>
      <c r="E692" s="4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13"/>
      <c r="AH692" s="13"/>
    </row>
    <row r="693" ht="14.25" customHeight="1">
      <c r="B693" s="2"/>
      <c r="C693" s="4"/>
      <c r="D693" s="4"/>
      <c r="E693" s="4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13"/>
      <c r="AH693" s="13"/>
    </row>
    <row r="694" ht="14.25" customHeight="1">
      <c r="B694" s="2"/>
      <c r="C694" s="4"/>
      <c r="D694" s="4"/>
      <c r="E694" s="4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13"/>
      <c r="AH694" s="13"/>
    </row>
    <row r="695" ht="14.25" customHeight="1">
      <c r="B695" s="2"/>
      <c r="C695" s="4"/>
      <c r="D695" s="4"/>
      <c r="E695" s="4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13"/>
      <c r="AH695" s="13"/>
    </row>
    <row r="696" ht="14.25" customHeight="1">
      <c r="B696" s="2"/>
      <c r="C696" s="4"/>
      <c r="D696" s="4"/>
      <c r="E696" s="4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13"/>
      <c r="AH696" s="13"/>
    </row>
    <row r="697" ht="14.25" customHeight="1">
      <c r="B697" s="2"/>
      <c r="C697" s="4"/>
      <c r="D697" s="4"/>
      <c r="E697" s="4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13"/>
      <c r="AH697" s="13"/>
    </row>
    <row r="698" ht="14.25" customHeight="1">
      <c r="B698" s="2"/>
      <c r="C698" s="4"/>
      <c r="D698" s="4"/>
      <c r="E698" s="4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13"/>
      <c r="AH698" s="13"/>
    </row>
    <row r="699" ht="14.25" customHeight="1">
      <c r="B699" s="2"/>
      <c r="C699" s="4"/>
      <c r="D699" s="4"/>
      <c r="E699" s="4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13"/>
      <c r="AH699" s="13"/>
    </row>
    <row r="700" ht="14.25" customHeight="1">
      <c r="B700" s="2"/>
      <c r="C700" s="4"/>
      <c r="D700" s="4"/>
      <c r="E700" s="4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13"/>
      <c r="AH700" s="13"/>
    </row>
    <row r="701" ht="14.25" customHeight="1">
      <c r="B701" s="2"/>
      <c r="C701" s="4"/>
      <c r="D701" s="4"/>
      <c r="E701" s="4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13"/>
      <c r="AH701" s="13"/>
    </row>
    <row r="702" ht="14.25" customHeight="1">
      <c r="B702" s="2"/>
      <c r="C702" s="4"/>
      <c r="D702" s="4"/>
      <c r="E702" s="4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13"/>
      <c r="AH702" s="13"/>
    </row>
    <row r="703" ht="14.25" customHeight="1">
      <c r="B703" s="2"/>
      <c r="C703" s="4"/>
      <c r="D703" s="4"/>
      <c r="E703" s="4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13"/>
      <c r="AH703" s="13"/>
    </row>
    <row r="704" ht="14.25" customHeight="1">
      <c r="B704" s="2"/>
      <c r="C704" s="4"/>
      <c r="D704" s="4"/>
      <c r="E704" s="4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13"/>
      <c r="AH704" s="13"/>
    </row>
    <row r="705" ht="14.25" customHeight="1">
      <c r="B705" s="2"/>
      <c r="C705" s="4"/>
      <c r="D705" s="4"/>
      <c r="E705" s="4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13"/>
      <c r="AH705" s="13"/>
    </row>
    <row r="706" ht="14.25" customHeight="1">
      <c r="B706" s="2"/>
      <c r="C706" s="4"/>
      <c r="D706" s="4"/>
      <c r="E706" s="4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13"/>
      <c r="AH706" s="13"/>
    </row>
    <row r="707" ht="14.25" customHeight="1">
      <c r="B707" s="2"/>
      <c r="C707" s="4"/>
      <c r="D707" s="4"/>
      <c r="E707" s="4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13"/>
      <c r="AH707" s="13"/>
    </row>
    <row r="708" ht="14.25" customHeight="1">
      <c r="B708" s="2"/>
      <c r="C708" s="4"/>
      <c r="D708" s="4"/>
      <c r="E708" s="4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13"/>
      <c r="AH708" s="13"/>
    </row>
    <row r="709" ht="14.25" customHeight="1">
      <c r="B709" s="2"/>
      <c r="C709" s="4"/>
      <c r="D709" s="4"/>
      <c r="E709" s="4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13"/>
      <c r="AH709" s="13"/>
    </row>
    <row r="710" ht="14.25" customHeight="1">
      <c r="B710" s="2"/>
      <c r="C710" s="4"/>
      <c r="D710" s="4"/>
      <c r="E710" s="4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13"/>
      <c r="AH710" s="13"/>
    </row>
    <row r="711" ht="14.25" customHeight="1">
      <c r="B711" s="2"/>
      <c r="C711" s="4"/>
      <c r="D711" s="4"/>
      <c r="E711" s="4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13"/>
      <c r="AH711" s="13"/>
    </row>
    <row r="712" ht="14.25" customHeight="1">
      <c r="B712" s="2"/>
      <c r="C712" s="4"/>
      <c r="D712" s="4"/>
      <c r="E712" s="4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13"/>
      <c r="AH712" s="13"/>
    </row>
    <row r="713" ht="14.25" customHeight="1">
      <c r="B713" s="2"/>
      <c r="C713" s="4"/>
      <c r="D713" s="4"/>
      <c r="E713" s="4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13"/>
      <c r="AH713" s="13"/>
    </row>
    <row r="714" ht="14.25" customHeight="1">
      <c r="B714" s="2"/>
      <c r="C714" s="4"/>
      <c r="D714" s="4"/>
      <c r="E714" s="4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13"/>
      <c r="AH714" s="13"/>
    </row>
    <row r="715" ht="14.25" customHeight="1">
      <c r="B715" s="2"/>
      <c r="C715" s="4"/>
      <c r="D715" s="4"/>
      <c r="E715" s="4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13"/>
      <c r="AH715" s="13"/>
    </row>
    <row r="716" ht="14.25" customHeight="1">
      <c r="B716" s="2"/>
      <c r="C716" s="4"/>
      <c r="D716" s="4"/>
      <c r="E716" s="4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13"/>
      <c r="AH716" s="13"/>
    </row>
    <row r="717" ht="14.25" customHeight="1">
      <c r="B717" s="2"/>
      <c r="C717" s="4"/>
      <c r="D717" s="4"/>
      <c r="E717" s="4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13"/>
      <c r="AH717" s="13"/>
    </row>
    <row r="718" ht="14.25" customHeight="1">
      <c r="B718" s="2"/>
      <c r="C718" s="4"/>
      <c r="D718" s="4"/>
      <c r="E718" s="4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13"/>
      <c r="AH718" s="13"/>
    </row>
    <row r="719" ht="14.25" customHeight="1">
      <c r="B719" s="2"/>
      <c r="C719" s="4"/>
      <c r="D719" s="4"/>
      <c r="E719" s="4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13"/>
      <c r="AH719" s="13"/>
    </row>
    <row r="720" ht="14.25" customHeight="1">
      <c r="B720" s="2"/>
      <c r="C720" s="4"/>
      <c r="D720" s="4"/>
      <c r="E720" s="4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13"/>
      <c r="AH720" s="13"/>
    </row>
    <row r="721" ht="14.25" customHeight="1">
      <c r="B721" s="2"/>
      <c r="C721" s="4"/>
      <c r="D721" s="4"/>
      <c r="E721" s="4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13"/>
      <c r="AH721" s="13"/>
    </row>
    <row r="722" ht="14.25" customHeight="1">
      <c r="B722" s="2"/>
      <c r="C722" s="4"/>
      <c r="D722" s="4"/>
      <c r="E722" s="4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13"/>
      <c r="AH722" s="13"/>
    </row>
    <row r="723" ht="14.25" customHeight="1">
      <c r="B723" s="2"/>
      <c r="C723" s="4"/>
      <c r="D723" s="4"/>
      <c r="E723" s="4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13"/>
      <c r="AH723" s="13"/>
    </row>
    <row r="724" ht="14.25" customHeight="1">
      <c r="B724" s="2"/>
      <c r="C724" s="4"/>
      <c r="D724" s="4"/>
      <c r="E724" s="4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13"/>
      <c r="AH724" s="13"/>
    </row>
    <row r="725" ht="14.25" customHeight="1">
      <c r="B725" s="2"/>
      <c r="C725" s="4"/>
      <c r="D725" s="4"/>
      <c r="E725" s="4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13"/>
      <c r="AH725" s="13"/>
    </row>
    <row r="726" ht="14.25" customHeight="1">
      <c r="B726" s="2"/>
      <c r="C726" s="4"/>
      <c r="D726" s="4"/>
      <c r="E726" s="4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13"/>
      <c r="AH726" s="13"/>
    </row>
    <row r="727" ht="14.25" customHeight="1">
      <c r="B727" s="2"/>
      <c r="C727" s="4"/>
      <c r="D727" s="4"/>
      <c r="E727" s="4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13"/>
      <c r="AH727" s="13"/>
    </row>
    <row r="728" ht="14.25" customHeight="1">
      <c r="B728" s="2"/>
      <c r="C728" s="4"/>
      <c r="D728" s="4"/>
      <c r="E728" s="4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13"/>
      <c r="AH728" s="13"/>
    </row>
    <row r="729" ht="14.25" customHeight="1">
      <c r="B729" s="2"/>
      <c r="C729" s="4"/>
      <c r="D729" s="4"/>
      <c r="E729" s="4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13"/>
      <c r="AH729" s="13"/>
    </row>
    <row r="730" ht="14.25" customHeight="1">
      <c r="B730" s="2"/>
      <c r="C730" s="4"/>
      <c r="D730" s="4"/>
      <c r="E730" s="4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13"/>
      <c r="AH730" s="13"/>
    </row>
    <row r="731" ht="14.25" customHeight="1">
      <c r="B731" s="2"/>
      <c r="C731" s="4"/>
      <c r="D731" s="4"/>
      <c r="E731" s="4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13"/>
      <c r="AH731" s="13"/>
    </row>
    <row r="732" ht="14.25" customHeight="1">
      <c r="B732" s="2"/>
      <c r="C732" s="4"/>
      <c r="D732" s="4"/>
      <c r="E732" s="4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13"/>
      <c r="AH732" s="13"/>
    </row>
    <row r="733" ht="14.25" customHeight="1">
      <c r="B733" s="2"/>
      <c r="C733" s="4"/>
      <c r="D733" s="4"/>
      <c r="E733" s="4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13"/>
      <c r="AH733" s="13"/>
    </row>
    <row r="734" ht="14.25" customHeight="1">
      <c r="B734" s="2"/>
      <c r="C734" s="4"/>
      <c r="D734" s="4"/>
      <c r="E734" s="4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13"/>
      <c r="AH734" s="13"/>
    </row>
    <row r="735" ht="14.25" customHeight="1">
      <c r="B735" s="2"/>
      <c r="C735" s="4"/>
      <c r="D735" s="4"/>
      <c r="E735" s="4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13"/>
      <c r="AH735" s="13"/>
    </row>
    <row r="736" ht="14.25" customHeight="1">
      <c r="B736" s="2"/>
      <c r="C736" s="4"/>
      <c r="D736" s="4"/>
      <c r="E736" s="4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13"/>
      <c r="AH736" s="13"/>
    </row>
    <row r="737" ht="14.25" customHeight="1">
      <c r="B737" s="2"/>
      <c r="C737" s="4"/>
      <c r="D737" s="4"/>
      <c r="E737" s="4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13"/>
      <c r="AH737" s="13"/>
    </row>
    <row r="738" ht="14.25" customHeight="1">
      <c r="B738" s="2"/>
      <c r="C738" s="4"/>
      <c r="D738" s="4"/>
      <c r="E738" s="4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13"/>
      <c r="AH738" s="13"/>
    </row>
    <row r="739" ht="14.25" customHeight="1">
      <c r="B739" s="2"/>
      <c r="C739" s="4"/>
      <c r="D739" s="4"/>
      <c r="E739" s="4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13"/>
      <c r="AH739" s="13"/>
    </row>
    <row r="740" ht="14.25" customHeight="1">
      <c r="B740" s="2"/>
      <c r="C740" s="4"/>
      <c r="D740" s="4"/>
      <c r="E740" s="4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13"/>
      <c r="AH740" s="13"/>
    </row>
    <row r="741" ht="14.25" customHeight="1">
      <c r="B741" s="2"/>
      <c r="C741" s="4"/>
      <c r="D741" s="4"/>
      <c r="E741" s="4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13"/>
      <c r="AH741" s="13"/>
    </row>
    <row r="742" ht="14.25" customHeight="1">
      <c r="B742" s="2"/>
      <c r="C742" s="4"/>
      <c r="D742" s="4"/>
      <c r="E742" s="4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13"/>
      <c r="AH742" s="13"/>
    </row>
    <row r="743" ht="14.25" customHeight="1">
      <c r="B743" s="2"/>
      <c r="C743" s="4"/>
      <c r="D743" s="4"/>
      <c r="E743" s="4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13"/>
      <c r="AH743" s="13"/>
    </row>
    <row r="744" ht="14.25" customHeight="1">
      <c r="B744" s="2"/>
      <c r="C744" s="4"/>
      <c r="D744" s="4"/>
      <c r="E744" s="4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13"/>
      <c r="AH744" s="13"/>
    </row>
    <row r="745" ht="14.25" customHeight="1">
      <c r="B745" s="2"/>
      <c r="C745" s="4"/>
      <c r="D745" s="4"/>
      <c r="E745" s="4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13"/>
      <c r="AH745" s="13"/>
    </row>
    <row r="746" ht="14.25" customHeight="1">
      <c r="B746" s="2"/>
      <c r="C746" s="4"/>
      <c r="D746" s="4"/>
      <c r="E746" s="4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13"/>
      <c r="AH746" s="13"/>
    </row>
    <row r="747" ht="14.25" customHeight="1">
      <c r="B747" s="2"/>
      <c r="C747" s="4"/>
      <c r="D747" s="4"/>
      <c r="E747" s="4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13"/>
      <c r="AH747" s="13"/>
    </row>
    <row r="748" ht="14.25" customHeight="1">
      <c r="B748" s="2"/>
      <c r="C748" s="4"/>
      <c r="D748" s="4"/>
      <c r="E748" s="4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13"/>
      <c r="AH748" s="13"/>
    </row>
    <row r="749" ht="14.25" customHeight="1">
      <c r="B749" s="2"/>
      <c r="C749" s="4"/>
      <c r="D749" s="4"/>
      <c r="E749" s="4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13"/>
      <c r="AH749" s="13"/>
    </row>
    <row r="750" ht="14.25" customHeight="1">
      <c r="B750" s="2"/>
      <c r="C750" s="4"/>
      <c r="D750" s="4"/>
      <c r="E750" s="4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13"/>
      <c r="AH750" s="13"/>
    </row>
    <row r="751" ht="14.25" customHeight="1">
      <c r="B751" s="2"/>
      <c r="C751" s="4"/>
      <c r="D751" s="4"/>
      <c r="E751" s="4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13"/>
      <c r="AH751" s="13"/>
    </row>
    <row r="752" ht="14.25" customHeight="1">
      <c r="B752" s="2"/>
      <c r="C752" s="4"/>
      <c r="D752" s="4"/>
      <c r="E752" s="4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13"/>
      <c r="AH752" s="13"/>
    </row>
    <row r="753" ht="14.25" customHeight="1">
      <c r="B753" s="2"/>
      <c r="C753" s="4"/>
      <c r="D753" s="4"/>
      <c r="E753" s="4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13"/>
      <c r="AH753" s="13"/>
    </row>
    <row r="754" ht="14.25" customHeight="1">
      <c r="B754" s="2"/>
      <c r="C754" s="4"/>
      <c r="D754" s="4"/>
      <c r="E754" s="4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13"/>
      <c r="AH754" s="13"/>
    </row>
    <row r="755" ht="14.25" customHeight="1">
      <c r="B755" s="2"/>
      <c r="C755" s="4"/>
      <c r="D755" s="4"/>
      <c r="E755" s="4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13"/>
      <c r="AH755" s="13"/>
    </row>
    <row r="756" ht="14.25" customHeight="1">
      <c r="B756" s="2"/>
      <c r="C756" s="4"/>
      <c r="D756" s="4"/>
      <c r="E756" s="4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13"/>
      <c r="AH756" s="13"/>
    </row>
    <row r="757" ht="14.25" customHeight="1">
      <c r="B757" s="2"/>
      <c r="C757" s="4"/>
      <c r="D757" s="4"/>
      <c r="E757" s="4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13"/>
      <c r="AH757" s="13"/>
    </row>
    <row r="758" ht="14.25" customHeight="1">
      <c r="B758" s="2"/>
      <c r="C758" s="4"/>
      <c r="D758" s="4"/>
      <c r="E758" s="4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13"/>
      <c r="AH758" s="13"/>
    </row>
    <row r="759" ht="14.25" customHeight="1">
      <c r="B759" s="2"/>
      <c r="C759" s="4"/>
      <c r="D759" s="4"/>
      <c r="E759" s="4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13"/>
      <c r="AH759" s="13"/>
    </row>
    <row r="760" ht="14.25" customHeight="1">
      <c r="B760" s="2"/>
      <c r="C760" s="4"/>
      <c r="D760" s="4"/>
      <c r="E760" s="4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13"/>
      <c r="AH760" s="13"/>
    </row>
    <row r="761" ht="14.25" customHeight="1">
      <c r="B761" s="2"/>
      <c r="C761" s="4"/>
      <c r="D761" s="4"/>
      <c r="E761" s="4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13"/>
      <c r="AH761" s="13"/>
    </row>
    <row r="762" ht="14.25" customHeight="1">
      <c r="B762" s="2"/>
      <c r="C762" s="4"/>
      <c r="D762" s="4"/>
      <c r="E762" s="4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13"/>
      <c r="AH762" s="13"/>
    </row>
    <row r="763" ht="14.25" customHeight="1">
      <c r="B763" s="2"/>
      <c r="C763" s="4"/>
      <c r="D763" s="4"/>
      <c r="E763" s="4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13"/>
      <c r="AH763" s="13"/>
    </row>
    <row r="764" ht="14.25" customHeight="1">
      <c r="B764" s="2"/>
      <c r="C764" s="4"/>
      <c r="D764" s="4"/>
      <c r="E764" s="4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13"/>
      <c r="AH764" s="13"/>
    </row>
    <row r="765" ht="14.25" customHeight="1">
      <c r="B765" s="2"/>
      <c r="C765" s="4"/>
      <c r="D765" s="4"/>
      <c r="E765" s="4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13"/>
      <c r="AH765" s="13"/>
    </row>
    <row r="766" ht="14.25" customHeight="1">
      <c r="B766" s="2"/>
      <c r="C766" s="4"/>
      <c r="D766" s="4"/>
      <c r="E766" s="4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13"/>
      <c r="AH766" s="13"/>
    </row>
    <row r="767" ht="14.25" customHeight="1">
      <c r="B767" s="2"/>
      <c r="C767" s="4"/>
      <c r="D767" s="4"/>
      <c r="E767" s="4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13"/>
      <c r="AH767" s="13"/>
    </row>
    <row r="768" ht="14.25" customHeight="1">
      <c r="B768" s="2"/>
      <c r="C768" s="4"/>
      <c r="D768" s="4"/>
      <c r="E768" s="4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13"/>
      <c r="AH768" s="13"/>
    </row>
    <row r="769" ht="14.25" customHeight="1">
      <c r="B769" s="2"/>
      <c r="C769" s="4"/>
      <c r="D769" s="4"/>
      <c r="E769" s="4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13"/>
      <c r="AH769" s="13"/>
    </row>
    <row r="770" ht="14.25" customHeight="1">
      <c r="B770" s="2"/>
      <c r="C770" s="4"/>
      <c r="D770" s="4"/>
      <c r="E770" s="4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13"/>
      <c r="AH770" s="13"/>
    </row>
    <row r="771" ht="14.25" customHeight="1">
      <c r="B771" s="2"/>
      <c r="C771" s="4"/>
      <c r="D771" s="4"/>
      <c r="E771" s="4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13"/>
      <c r="AH771" s="13"/>
    </row>
    <row r="772" ht="14.25" customHeight="1">
      <c r="B772" s="2"/>
      <c r="C772" s="4"/>
      <c r="D772" s="4"/>
      <c r="E772" s="4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13"/>
      <c r="AH772" s="13"/>
    </row>
    <row r="773" ht="14.25" customHeight="1">
      <c r="B773" s="2"/>
      <c r="C773" s="4"/>
      <c r="D773" s="4"/>
      <c r="E773" s="4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13"/>
      <c r="AH773" s="13"/>
    </row>
    <row r="774" ht="14.25" customHeight="1">
      <c r="B774" s="2"/>
      <c r="C774" s="4"/>
      <c r="D774" s="4"/>
      <c r="E774" s="4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13"/>
      <c r="AH774" s="13"/>
    </row>
    <row r="775" ht="14.25" customHeight="1">
      <c r="B775" s="2"/>
      <c r="C775" s="4"/>
      <c r="D775" s="4"/>
      <c r="E775" s="4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13"/>
      <c r="AH775" s="13"/>
    </row>
    <row r="776" ht="14.25" customHeight="1">
      <c r="B776" s="2"/>
      <c r="C776" s="4"/>
      <c r="D776" s="4"/>
      <c r="E776" s="4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13"/>
      <c r="AH776" s="13"/>
    </row>
    <row r="777" ht="14.25" customHeight="1">
      <c r="B777" s="2"/>
      <c r="C777" s="4"/>
      <c r="D777" s="4"/>
      <c r="E777" s="4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13"/>
      <c r="AH777" s="13"/>
    </row>
    <row r="778" ht="14.25" customHeight="1">
      <c r="B778" s="2"/>
      <c r="C778" s="4"/>
      <c r="D778" s="4"/>
      <c r="E778" s="4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13"/>
      <c r="AH778" s="13"/>
    </row>
    <row r="779" ht="14.25" customHeight="1">
      <c r="B779" s="2"/>
      <c r="C779" s="4"/>
      <c r="D779" s="4"/>
      <c r="E779" s="4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13"/>
      <c r="AH779" s="13"/>
    </row>
    <row r="780" ht="14.25" customHeight="1">
      <c r="B780" s="2"/>
      <c r="C780" s="4"/>
      <c r="D780" s="4"/>
      <c r="E780" s="4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13"/>
      <c r="AH780" s="13"/>
    </row>
    <row r="781" ht="14.25" customHeight="1">
      <c r="B781" s="2"/>
      <c r="C781" s="4"/>
      <c r="D781" s="4"/>
      <c r="E781" s="4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13"/>
      <c r="AH781" s="13"/>
    </row>
    <row r="782" ht="14.25" customHeight="1">
      <c r="B782" s="2"/>
      <c r="C782" s="4"/>
      <c r="D782" s="4"/>
      <c r="E782" s="4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13"/>
      <c r="AH782" s="13"/>
    </row>
    <row r="783" ht="14.25" customHeight="1">
      <c r="B783" s="2"/>
      <c r="C783" s="4"/>
      <c r="D783" s="4"/>
      <c r="E783" s="4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13"/>
      <c r="AH783" s="13"/>
    </row>
    <row r="784" ht="14.25" customHeight="1">
      <c r="B784" s="2"/>
      <c r="C784" s="4"/>
      <c r="D784" s="4"/>
      <c r="E784" s="4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13"/>
      <c r="AH784" s="13"/>
    </row>
    <row r="785" ht="14.25" customHeight="1">
      <c r="B785" s="2"/>
      <c r="C785" s="4"/>
      <c r="D785" s="4"/>
      <c r="E785" s="4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13"/>
      <c r="AH785" s="13"/>
    </row>
    <row r="786" ht="14.25" customHeight="1">
      <c r="B786" s="2"/>
      <c r="C786" s="4"/>
      <c r="D786" s="4"/>
      <c r="E786" s="4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13"/>
      <c r="AH786" s="13"/>
    </row>
    <row r="787" ht="14.25" customHeight="1">
      <c r="B787" s="2"/>
      <c r="C787" s="4"/>
      <c r="D787" s="4"/>
      <c r="E787" s="4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13"/>
      <c r="AH787" s="13"/>
    </row>
    <row r="788" ht="14.25" customHeight="1">
      <c r="B788" s="2"/>
      <c r="C788" s="4"/>
      <c r="D788" s="4"/>
      <c r="E788" s="4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13"/>
      <c r="AH788" s="13"/>
    </row>
    <row r="789" ht="14.25" customHeight="1">
      <c r="B789" s="2"/>
      <c r="C789" s="4"/>
      <c r="D789" s="4"/>
      <c r="E789" s="4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13"/>
      <c r="AH789" s="13"/>
    </row>
    <row r="790" ht="14.25" customHeight="1">
      <c r="B790" s="2"/>
      <c r="C790" s="4"/>
      <c r="D790" s="4"/>
      <c r="E790" s="4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13"/>
      <c r="AH790" s="13"/>
    </row>
    <row r="791" ht="14.25" customHeight="1">
      <c r="B791" s="2"/>
      <c r="C791" s="4"/>
      <c r="D791" s="4"/>
      <c r="E791" s="4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13"/>
      <c r="AH791" s="13"/>
    </row>
    <row r="792" ht="14.25" customHeight="1">
      <c r="B792" s="2"/>
      <c r="C792" s="4"/>
      <c r="D792" s="4"/>
      <c r="E792" s="4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13"/>
      <c r="AH792" s="13"/>
    </row>
    <row r="793" ht="14.25" customHeight="1">
      <c r="B793" s="2"/>
      <c r="C793" s="4"/>
      <c r="D793" s="4"/>
      <c r="E793" s="4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13"/>
      <c r="AH793" s="13"/>
    </row>
    <row r="794" ht="14.25" customHeight="1">
      <c r="B794" s="2"/>
      <c r="C794" s="4"/>
      <c r="D794" s="4"/>
      <c r="E794" s="4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13"/>
      <c r="AH794" s="13"/>
    </row>
    <row r="795" ht="14.25" customHeight="1">
      <c r="B795" s="2"/>
      <c r="C795" s="4"/>
      <c r="D795" s="4"/>
      <c r="E795" s="4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13"/>
      <c r="AH795" s="13"/>
    </row>
    <row r="796" ht="14.25" customHeight="1">
      <c r="B796" s="2"/>
      <c r="C796" s="4"/>
      <c r="D796" s="4"/>
      <c r="E796" s="4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13"/>
      <c r="AH796" s="13"/>
    </row>
    <row r="797" ht="14.25" customHeight="1">
      <c r="B797" s="2"/>
      <c r="C797" s="4"/>
      <c r="D797" s="4"/>
      <c r="E797" s="4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13"/>
      <c r="AH797" s="13"/>
    </row>
    <row r="798" ht="14.25" customHeight="1">
      <c r="B798" s="2"/>
      <c r="C798" s="4"/>
      <c r="D798" s="4"/>
      <c r="E798" s="4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13"/>
      <c r="AH798" s="13"/>
    </row>
    <row r="799" ht="14.25" customHeight="1">
      <c r="B799" s="2"/>
      <c r="C799" s="4"/>
      <c r="D799" s="4"/>
      <c r="E799" s="4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13"/>
      <c r="AH799" s="13"/>
    </row>
    <row r="800" ht="14.25" customHeight="1">
      <c r="B800" s="2"/>
      <c r="C800" s="4"/>
      <c r="D800" s="4"/>
      <c r="E800" s="4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13"/>
      <c r="AH800" s="13"/>
    </row>
    <row r="801" ht="14.25" customHeight="1">
      <c r="B801" s="2"/>
      <c r="C801" s="4"/>
      <c r="D801" s="4"/>
      <c r="E801" s="4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13"/>
      <c r="AH801" s="13"/>
    </row>
    <row r="802" ht="14.25" customHeight="1">
      <c r="B802" s="2"/>
      <c r="C802" s="4"/>
      <c r="D802" s="4"/>
      <c r="E802" s="4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13"/>
      <c r="AH802" s="13"/>
    </row>
    <row r="803" ht="14.25" customHeight="1">
      <c r="B803" s="2"/>
      <c r="C803" s="4"/>
      <c r="D803" s="4"/>
      <c r="E803" s="4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13"/>
      <c r="AH803" s="13"/>
    </row>
    <row r="804" ht="14.25" customHeight="1">
      <c r="B804" s="2"/>
      <c r="C804" s="4"/>
      <c r="D804" s="4"/>
      <c r="E804" s="4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13"/>
      <c r="AH804" s="13"/>
    </row>
    <row r="805" ht="14.25" customHeight="1">
      <c r="B805" s="2"/>
      <c r="C805" s="4"/>
      <c r="D805" s="4"/>
      <c r="E805" s="4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13"/>
      <c r="AH805" s="13"/>
    </row>
    <row r="806" ht="14.25" customHeight="1">
      <c r="B806" s="2"/>
      <c r="C806" s="4"/>
      <c r="D806" s="4"/>
      <c r="E806" s="4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13"/>
      <c r="AH806" s="13"/>
    </row>
    <row r="807" ht="14.25" customHeight="1">
      <c r="B807" s="2"/>
      <c r="C807" s="4"/>
      <c r="D807" s="4"/>
      <c r="E807" s="4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13"/>
      <c r="AH807" s="13"/>
    </row>
    <row r="808" ht="14.25" customHeight="1">
      <c r="B808" s="2"/>
      <c r="C808" s="4"/>
      <c r="D808" s="4"/>
      <c r="E808" s="4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13"/>
      <c r="AH808" s="13"/>
    </row>
    <row r="809" ht="14.25" customHeight="1">
      <c r="B809" s="2"/>
      <c r="C809" s="4"/>
      <c r="D809" s="4"/>
      <c r="E809" s="4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13"/>
      <c r="AH809" s="13"/>
    </row>
    <row r="810" ht="14.25" customHeight="1">
      <c r="B810" s="2"/>
      <c r="C810" s="4"/>
      <c r="D810" s="4"/>
      <c r="E810" s="4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13"/>
      <c r="AH810" s="13"/>
    </row>
    <row r="811" ht="14.25" customHeight="1">
      <c r="B811" s="2"/>
      <c r="C811" s="4"/>
      <c r="D811" s="4"/>
      <c r="E811" s="4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13"/>
      <c r="AH811" s="13"/>
    </row>
    <row r="812" ht="14.25" customHeight="1">
      <c r="B812" s="2"/>
      <c r="C812" s="4"/>
      <c r="D812" s="4"/>
      <c r="E812" s="4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13"/>
      <c r="AH812" s="13"/>
    </row>
    <row r="813" ht="14.25" customHeight="1">
      <c r="B813" s="2"/>
      <c r="C813" s="4"/>
      <c r="D813" s="4"/>
      <c r="E813" s="4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13"/>
      <c r="AH813" s="13"/>
    </row>
    <row r="814" ht="14.25" customHeight="1">
      <c r="B814" s="2"/>
      <c r="C814" s="4"/>
      <c r="D814" s="4"/>
      <c r="E814" s="4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13"/>
      <c r="AH814" s="13"/>
    </row>
    <row r="815" ht="14.25" customHeight="1">
      <c r="B815" s="2"/>
      <c r="C815" s="4"/>
      <c r="D815" s="4"/>
      <c r="E815" s="4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13"/>
      <c r="AH815" s="13"/>
    </row>
    <row r="816" ht="14.25" customHeight="1">
      <c r="B816" s="2"/>
      <c r="C816" s="4"/>
      <c r="D816" s="4"/>
      <c r="E816" s="4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13"/>
      <c r="AH816" s="13"/>
    </row>
    <row r="817" ht="14.25" customHeight="1">
      <c r="B817" s="2"/>
      <c r="C817" s="4"/>
      <c r="D817" s="4"/>
      <c r="E817" s="4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13"/>
      <c r="AH817" s="13"/>
    </row>
    <row r="818" ht="14.25" customHeight="1">
      <c r="B818" s="2"/>
      <c r="C818" s="4"/>
      <c r="D818" s="4"/>
      <c r="E818" s="4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13"/>
      <c r="AH818" s="13"/>
    </row>
    <row r="819" ht="14.25" customHeight="1">
      <c r="B819" s="2"/>
      <c r="C819" s="4"/>
      <c r="D819" s="4"/>
      <c r="E819" s="4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13"/>
      <c r="AH819" s="13"/>
    </row>
    <row r="820" ht="14.25" customHeight="1">
      <c r="B820" s="2"/>
      <c r="C820" s="4"/>
      <c r="D820" s="4"/>
      <c r="E820" s="4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13"/>
      <c r="AH820" s="13"/>
    </row>
    <row r="821" ht="14.25" customHeight="1">
      <c r="B821" s="2"/>
      <c r="C821" s="4"/>
      <c r="D821" s="4"/>
      <c r="E821" s="4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13"/>
      <c r="AH821" s="13"/>
    </row>
    <row r="822" ht="14.25" customHeight="1">
      <c r="B822" s="2"/>
      <c r="C822" s="4"/>
      <c r="D822" s="4"/>
      <c r="E822" s="4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13"/>
      <c r="AH822" s="13"/>
    </row>
    <row r="823" ht="14.25" customHeight="1">
      <c r="B823" s="2"/>
      <c r="C823" s="4"/>
      <c r="D823" s="4"/>
      <c r="E823" s="4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13"/>
      <c r="AH823" s="13"/>
    </row>
    <row r="824" ht="14.25" customHeight="1">
      <c r="B824" s="2"/>
      <c r="C824" s="4"/>
      <c r="D824" s="4"/>
      <c r="E824" s="4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13"/>
      <c r="AH824" s="13"/>
    </row>
    <row r="825" ht="14.25" customHeight="1">
      <c r="B825" s="2"/>
      <c r="C825" s="4"/>
      <c r="D825" s="4"/>
      <c r="E825" s="4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13"/>
      <c r="AH825" s="13"/>
    </row>
    <row r="826" ht="14.25" customHeight="1">
      <c r="B826" s="2"/>
      <c r="C826" s="4"/>
      <c r="D826" s="4"/>
      <c r="E826" s="4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13"/>
      <c r="AH826" s="13"/>
    </row>
    <row r="827" ht="14.25" customHeight="1">
      <c r="B827" s="2"/>
      <c r="C827" s="4"/>
      <c r="D827" s="4"/>
      <c r="E827" s="4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13"/>
      <c r="AH827" s="13"/>
    </row>
    <row r="828" ht="14.25" customHeight="1">
      <c r="B828" s="2"/>
      <c r="C828" s="4"/>
      <c r="D828" s="4"/>
      <c r="E828" s="4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13"/>
      <c r="AH828" s="13"/>
    </row>
    <row r="829" ht="14.25" customHeight="1">
      <c r="B829" s="2"/>
      <c r="C829" s="4"/>
      <c r="D829" s="4"/>
      <c r="E829" s="4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13"/>
      <c r="AH829" s="13"/>
    </row>
    <row r="830" ht="14.25" customHeight="1">
      <c r="B830" s="2"/>
      <c r="C830" s="4"/>
      <c r="D830" s="4"/>
      <c r="E830" s="4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13"/>
      <c r="AH830" s="13"/>
    </row>
    <row r="831" ht="14.25" customHeight="1">
      <c r="B831" s="2"/>
      <c r="C831" s="4"/>
      <c r="D831" s="4"/>
      <c r="E831" s="4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13"/>
      <c r="AH831" s="13"/>
    </row>
    <row r="832" ht="14.25" customHeight="1">
      <c r="B832" s="2"/>
      <c r="C832" s="4"/>
      <c r="D832" s="4"/>
      <c r="E832" s="4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13"/>
      <c r="AH832" s="13"/>
    </row>
    <row r="833" ht="14.25" customHeight="1">
      <c r="B833" s="2"/>
      <c r="C833" s="4"/>
      <c r="D833" s="4"/>
      <c r="E833" s="4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13"/>
      <c r="AH833" s="13"/>
    </row>
    <row r="834" ht="14.25" customHeight="1">
      <c r="B834" s="2"/>
      <c r="C834" s="4"/>
      <c r="D834" s="4"/>
      <c r="E834" s="4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13"/>
      <c r="AH834" s="13"/>
    </row>
    <row r="835" ht="14.25" customHeight="1">
      <c r="B835" s="2"/>
      <c r="C835" s="4"/>
      <c r="D835" s="4"/>
      <c r="E835" s="4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13"/>
      <c r="AH835" s="13"/>
    </row>
    <row r="836" ht="14.25" customHeight="1">
      <c r="B836" s="2"/>
      <c r="C836" s="4"/>
      <c r="D836" s="4"/>
      <c r="E836" s="4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13"/>
      <c r="AH836" s="13"/>
    </row>
    <row r="837" ht="14.25" customHeight="1">
      <c r="B837" s="2"/>
      <c r="C837" s="4"/>
      <c r="D837" s="4"/>
      <c r="E837" s="4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13"/>
      <c r="AH837" s="13"/>
    </row>
    <row r="838" ht="14.25" customHeight="1">
      <c r="B838" s="2"/>
      <c r="C838" s="4"/>
      <c r="D838" s="4"/>
      <c r="E838" s="4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13"/>
      <c r="AH838" s="13"/>
    </row>
    <row r="839" ht="14.25" customHeight="1">
      <c r="B839" s="2"/>
      <c r="C839" s="4"/>
      <c r="D839" s="4"/>
      <c r="E839" s="4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13"/>
      <c r="AH839" s="13"/>
    </row>
    <row r="840" ht="14.25" customHeight="1">
      <c r="B840" s="2"/>
      <c r="C840" s="4"/>
      <c r="D840" s="4"/>
      <c r="E840" s="4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13"/>
      <c r="AH840" s="13"/>
    </row>
    <row r="841" ht="14.25" customHeight="1">
      <c r="B841" s="2"/>
      <c r="C841" s="4"/>
      <c r="D841" s="4"/>
      <c r="E841" s="4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13"/>
      <c r="AH841" s="13"/>
    </row>
    <row r="842" ht="14.25" customHeight="1">
      <c r="B842" s="2"/>
      <c r="C842" s="4"/>
      <c r="D842" s="4"/>
      <c r="E842" s="4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13"/>
      <c r="AH842" s="13"/>
    </row>
    <row r="843" ht="14.25" customHeight="1">
      <c r="B843" s="2"/>
      <c r="C843" s="4"/>
      <c r="D843" s="4"/>
      <c r="E843" s="4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13"/>
      <c r="AH843" s="13"/>
    </row>
    <row r="844" ht="14.25" customHeight="1">
      <c r="B844" s="2"/>
      <c r="C844" s="4"/>
      <c r="D844" s="4"/>
      <c r="E844" s="4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13"/>
      <c r="AH844" s="13"/>
    </row>
    <row r="845" ht="14.25" customHeight="1">
      <c r="B845" s="2"/>
      <c r="C845" s="4"/>
      <c r="D845" s="4"/>
      <c r="E845" s="4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13"/>
      <c r="AH845" s="13"/>
    </row>
    <row r="846" ht="14.25" customHeight="1">
      <c r="B846" s="2"/>
      <c r="C846" s="4"/>
      <c r="D846" s="4"/>
      <c r="E846" s="4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13"/>
      <c r="AH846" s="13"/>
    </row>
    <row r="847" ht="14.25" customHeight="1">
      <c r="B847" s="2"/>
      <c r="C847" s="4"/>
      <c r="D847" s="4"/>
      <c r="E847" s="4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13"/>
      <c r="AH847" s="13"/>
    </row>
    <row r="848" ht="14.25" customHeight="1">
      <c r="B848" s="2"/>
      <c r="C848" s="4"/>
      <c r="D848" s="4"/>
      <c r="E848" s="4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13"/>
      <c r="AH848" s="13"/>
    </row>
    <row r="849" ht="14.25" customHeight="1">
      <c r="B849" s="2"/>
      <c r="C849" s="4"/>
      <c r="D849" s="4"/>
      <c r="E849" s="4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13"/>
      <c r="AH849" s="13"/>
    </row>
    <row r="850" ht="14.25" customHeight="1">
      <c r="B850" s="2"/>
      <c r="C850" s="4"/>
      <c r="D850" s="4"/>
      <c r="E850" s="4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13"/>
      <c r="AH850" s="13"/>
    </row>
    <row r="851" ht="14.25" customHeight="1">
      <c r="B851" s="2"/>
      <c r="C851" s="4"/>
      <c r="D851" s="4"/>
      <c r="E851" s="4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13"/>
      <c r="AH851" s="13"/>
    </row>
    <row r="852" ht="14.25" customHeight="1">
      <c r="B852" s="2"/>
      <c r="C852" s="4"/>
      <c r="D852" s="4"/>
      <c r="E852" s="4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13"/>
      <c r="AH852" s="13"/>
    </row>
    <row r="853" ht="14.25" customHeight="1">
      <c r="B853" s="2"/>
      <c r="C853" s="4"/>
      <c r="D853" s="4"/>
      <c r="E853" s="4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13"/>
      <c r="AH853" s="13"/>
    </row>
    <row r="854" ht="14.25" customHeight="1">
      <c r="B854" s="2"/>
      <c r="C854" s="4"/>
      <c r="D854" s="4"/>
      <c r="E854" s="4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13"/>
      <c r="AH854" s="13"/>
    </row>
    <row r="855" ht="14.25" customHeight="1">
      <c r="B855" s="2"/>
      <c r="C855" s="4"/>
      <c r="D855" s="4"/>
      <c r="E855" s="4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13"/>
      <c r="AH855" s="13"/>
    </row>
    <row r="856" ht="14.25" customHeight="1">
      <c r="B856" s="2"/>
      <c r="C856" s="4"/>
      <c r="D856" s="4"/>
      <c r="E856" s="4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13"/>
      <c r="AH856" s="13"/>
    </row>
    <row r="857" ht="14.25" customHeight="1">
      <c r="B857" s="2"/>
      <c r="C857" s="4"/>
      <c r="D857" s="4"/>
      <c r="E857" s="4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13"/>
      <c r="AH857" s="13"/>
    </row>
    <row r="858" ht="14.25" customHeight="1">
      <c r="B858" s="2"/>
      <c r="C858" s="4"/>
      <c r="D858" s="4"/>
      <c r="E858" s="4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13"/>
      <c r="AH858" s="13"/>
    </row>
    <row r="859" ht="14.25" customHeight="1">
      <c r="B859" s="2"/>
      <c r="C859" s="4"/>
      <c r="D859" s="4"/>
      <c r="E859" s="4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13"/>
      <c r="AH859" s="13"/>
    </row>
    <row r="860" ht="14.25" customHeight="1">
      <c r="B860" s="2"/>
      <c r="C860" s="4"/>
      <c r="D860" s="4"/>
      <c r="E860" s="4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13"/>
      <c r="AH860" s="13"/>
    </row>
    <row r="861" ht="14.25" customHeight="1">
      <c r="B861" s="2"/>
      <c r="C861" s="4"/>
      <c r="D861" s="4"/>
      <c r="E861" s="4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13"/>
      <c r="AH861" s="13"/>
    </row>
    <row r="862" ht="14.25" customHeight="1">
      <c r="B862" s="2"/>
      <c r="C862" s="4"/>
      <c r="D862" s="4"/>
      <c r="E862" s="4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13"/>
      <c r="AH862" s="13"/>
    </row>
    <row r="863" ht="14.25" customHeight="1">
      <c r="B863" s="2"/>
      <c r="C863" s="4"/>
      <c r="D863" s="4"/>
      <c r="E863" s="4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13"/>
      <c r="AH863" s="13"/>
    </row>
    <row r="864" ht="14.25" customHeight="1">
      <c r="B864" s="2"/>
      <c r="C864" s="4"/>
      <c r="D864" s="4"/>
      <c r="E864" s="4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13"/>
      <c r="AH864" s="13"/>
    </row>
    <row r="865" ht="14.25" customHeight="1">
      <c r="B865" s="2"/>
      <c r="C865" s="4"/>
      <c r="D865" s="4"/>
      <c r="E865" s="4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13"/>
      <c r="AH865" s="13"/>
    </row>
    <row r="866" ht="14.25" customHeight="1">
      <c r="B866" s="2"/>
      <c r="C866" s="4"/>
      <c r="D866" s="4"/>
      <c r="E866" s="4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13"/>
      <c r="AH866" s="13"/>
    </row>
    <row r="867" ht="14.25" customHeight="1">
      <c r="B867" s="2"/>
      <c r="C867" s="4"/>
      <c r="D867" s="4"/>
      <c r="E867" s="4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13"/>
      <c r="AH867" s="13"/>
    </row>
    <row r="868" ht="14.25" customHeight="1">
      <c r="B868" s="2"/>
      <c r="C868" s="4"/>
      <c r="D868" s="4"/>
      <c r="E868" s="4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13"/>
      <c r="AH868" s="13"/>
    </row>
    <row r="869" ht="14.25" customHeight="1">
      <c r="B869" s="2"/>
      <c r="C869" s="4"/>
      <c r="D869" s="4"/>
      <c r="E869" s="4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13"/>
      <c r="AH869" s="13"/>
    </row>
    <row r="870" ht="14.25" customHeight="1">
      <c r="B870" s="2"/>
      <c r="C870" s="4"/>
      <c r="D870" s="4"/>
      <c r="E870" s="4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13"/>
      <c r="AH870" s="13"/>
    </row>
    <row r="871" ht="14.25" customHeight="1">
      <c r="B871" s="2"/>
      <c r="C871" s="4"/>
      <c r="D871" s="4"/>
      <c r="E871" s="4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13"/>
      <c r="AH871" s="13"/>
    </row>
    <row r="872" ht="14.25" customHeight="1">
      <c r="B872" s="2"/>
      <c r="C872" s="4"/>
      <c r="D872" s="4"/>
      <c r="E872" s="4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13"/>
      <c r="AH872" s="13"/>
    </row>
    <row r="873" ht="14.25" customHeight="1">
      <c r="B873" s="2"/>
      <c r="C873" s="4"/>
      <c r="D873" s="4"/>
      <c r="E873" s="4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13"/>
      <c r="AH873" s="13"/>
    </row>
    <row r="874" ht="14.25" customHeight="1">
      <c r="B874" s="2"/>
      <c r="C874" s="4"/>
      <c r="D874" s="4"/>
      <c r="E874" s="4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13"/>
      <c r="AH874" s="13"/>
    </row>
    <row r="875" ht="14.25" customHeight="1">
      <c r="B875" s="2"/>
      <c r="C875" s="4"/>
      <c r="D875" s="4"/>
      <c r="E875" s="4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13"/>
      <c r="AH875" s="13"/>
    </row>
    <row r="876" ht="14.25" customHeight="1">
      <c r="B876" s="2"/>
      <c r="C876" s="4"/>
      <c r="D876" s="4"/>
      <c r="E876" s="4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13"/>
      <c r="AH876" s="13"/>
    </row>
    <row r="877" ht="14.25" customHeight="1">
      <c r="B877" s="2"/>
      <c r="C877" s="4"/>
      <c r="D877" s="4"/>
      <c r="E877" s="4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13"/>
      <c r="AH877" s="13"/>
    </row>
    <row r="878" ht="14.25" customHeight="1">
      <c r="B878" s="2"/>
      <c r="C878" s="4"/>
      <c r="D878" s="4"/>
      <c r="E878" s="4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13"/>
      <c r="AH878" s="13"/>
    </row>
    <row r="879" ht="14.25" customHeight="1">
      <c r="B879" s="2"/>
      <c r="C879" s="4"/>
      <c r="D879" s="4"/>
      <c r="E879" s="4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13"/>
      <c r="AH879" s="13"/>
    </row>
    <row r="880" ht="14.25" customHeight="1">
      <c r="B880" s="2"/>
      <c r="C880" s="4"/>
      <c r="D880" s="4"/>
      <c r="E880" s="4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13"/>
      <c r="AH880" s="13"/>
    </row>
    <row r="881" ht="14.25" customHeight="1">
      <c r="B881" s="2"/>
      <c r="C881" s="4"/>
      <c r="D881" s="4"/>
      <c r="E881" s="4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13"/>
      <c r="AH881" s="13"/>
    </row>
    <row r="882" ht="14.25" customHeight="1">
      <c r="B882" s="2"/>
      <c r="C882" s="4"/>
      <c r="D882" s="4"/>
      <c r="E882" s="4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13"/>
      <c r="AH882" s="13"/>
    </row>
    <row r="883" ht="14.25" customHeight="1">
      <c r="B883" s="2"/>
      <c r="C883" s="4"/>
      <c r="D883" s="4"/>
      <c r="E883" s="4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13"/>
      <c r="AH883" s="13"/>
    </row>
    <row r="884" ht="14.25" customHeight="1">
      <c r="B884" s="2"/>
      <c r="C884" s="4"/>
      <c r="D884" s="4"/>
      <c r="E884" s="4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13"/>
      <c r="AH884" s="13"/>
    </row>
    <row r="885" ht="14.25" customHeight="1">
      <c r="B885" s="2"/>
      <c r="C885" s="4"/>
      <c r="D885" s="4"/>
      <c r="E885" s="4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13"/>
      <c r="AH885" s="13"/>
    </row>
    <row r="886" ht="14.25" customHeight="1">
      <c r="B886" s="2"/>
      <c r="C886" s="4"/>
      <c r="D886" s="4"/>
      <c r="E886" s="4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13"/>
      <c r="AH886" s="13"/>
    </row>
    <row r="887" ht="14.25" customHeight="1">
      <c r="B887" s="2"/>
      <c r="C887" s="4"/>
      <c r="D887" s="4"/>
      <c r="E887" s="4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13"/>
      <c r="AH887" s="13"/>
    </row>
    <row r="888" ht="14.25" customHeight="1">
      <c r="B888" s="2"/>
      <c r="C888" s="4"/>
      <c r="D888" s="4"/>
      <c r="E888" s="4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13"/>
      <c r="AH888" s="13"/>
    </row>
    <row r="889" ht="14.25" customHeight="1">
      <c r="B889" s="2"/>
      <c r="C889" s="4"/>
      <c r="D889" s="4"/>
      <c r="E889" s="4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13"/>
      <c r="AH889" s="13"/>
    </row>
    <row r="890" ht="14.25" customHeight="1">
      <c r="B890" s="2"/>
      <c r="C890" s="4"/>
      <c r="D890" s="4"/>
      <c r="E890" s="4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13"/>
      <c r="AH890" s="13"/>
    </row>
    <row r="891" ht="14.25" customHeight="1">
      <c r="B891" s="2"/>
      <c r="C891" s="4"/>
      <c r="D891" s="4"/>
      <c r="E891" s="4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13"/>
      <c r="AH891" s="13"/>
    </row>
    <row r="892" ht="14.25" customHeight="1">
      <c r="B892" s="2"/>
      <c r="C892" s="4"/>
      <c r="D892" s="4"/>
      <c r="E892" s="4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13"/>
      <c r="AH892" s="13"/>
    </row>
    <row r="893" ht="14.25" customHeight="1">
      <c r="B893" s="2"/>
      <c r="C893" s="4"/>
      <c r="D893" s="4"/>
      <c r="E893" s="4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13"/>
      <c r="AH893" s="13"/>
    </row>
    <row r="894" ht="14.25" customHeight="1">
      <c r="B894" s="2"/>
      <c r="C894" s="4"/>
      <c r="D894" s="4"/>
      <c r="E894" s="4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13"/>
      <c r="AH894" s="13"/>
    </row>
    <row r="895" ht="14.25" customHeight="1">
      <c r="B895" s="2"/>
      <c r="C895" s="4"/>
      <c r="D895" s="4"/>
      <c r="E895" s="4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13"/>
      <c r="AH895" s="13"/>
    </row>
    <row r="896" ht="14.25" customHeight="1">
      <c r="B896" s="2"/>
      <c r="C896" s="4"/>
      <c r="D896" s="4"/>
      <c r="E896" s="4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13"/>
      <c r="AH896" s="13"/>
    </row>
    <row r="897" ht="14.25" customHeight="1">
      <c r="B897" s="2"/>
      <c r="C897" s="4"/>
      <c r="D897" s="4"/>
      <c r="E897" s="4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13"/>
      <c r="AH897" s="13"/>
    </row>
    <row r="898" ht="14.25" customHeight="1">
      <c r="B898" s="2"/>
      <c r="C898" s="4"/>
      <c r="D898" s="4"/>
      <c r="E898" s="4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13"/>
      <c r="AH898" s="13"/>
    </row>
    <row r="899" ht="14.25" customHeight="1">
      <c r="B899" s="2"/>
      <c r="C899" s="4"/>
      <c r="D899" s="4"/>
      <c r="E899" s="4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13"/>
      <c r="AH899" s="13"/>
    </row>
    <row r="900" ht="14.25" customHeight="1">
      <c r="B900" s="2"/>
      <c r="C900" s="4"/>
      <c r="D900" s="4"/>
      <c r="E900" s="4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13"/>
      <c r="AH900" s="13"/>
    </row>
    <row r="901" ht="14.25" customHeight="1">
      <c r="B901" s="2"/>
      <c r="C901" s="4"/>
      <c r="D901" s="4"/>
      <c r="E901" s="4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13"/>
      <c r="AH901" s="13"/>
    </row>
    <row r="902" ht="14.25" customHeight="1">
      <c r="B902" s="2"/>
      <c r="C902" s="4"/>
      <c r="D902" s="4"/>
      <c r="E902" s="4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13"/>
      <c r="AH902" s="13"/>
    </row>
    <row r="903" ht="14.25" customHeight="1">
      <c r="B903" s="2"/>
      <c r="C903" s="4"/>
      <c r="D903" s="4"/>
      <c r="E903" s="4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13"/>
      <c r="AH903" s="13"/>
    </row>
    <row r="904" ht="14.25" customHeight="1">
      <c r="B904" s="2"/>
      <c r="C904" s="4"/>
      <c r="D904" s="4"/>
      <c r="E904" s="4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13"/>
      <c r="AH904" s="13"/>
    </row>
    <row r="905" ht="14.25" customHeight="1">
      <c r="B905" s="2"/>
      <c r="C905" s="4"/>
      <c r="D905" s="4"/>
      <c r="E905" s="4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13"/>
      <c r="AH905" s="13"/>
    </row>
    <row r="906" ht="14.25" customHeight="1">
      <c r="B906" s="2"/>
      <c r="C906" s="4"/>
      <c r="D906" s="4"/>
      <c r="E906" s="4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13"/>
      <c r="AH906" s="13"/>
    </row>
    <row r="907" ht="14.25" customHeight="1">
      <c r="B907" s="2"/>
      <c r="C907" s="4"/>
      <c r="D907" s="4"/>
      <c r="E907" s="4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13"/>
      <c r="AH907" s="13"/>
    </row>
    <row r="908" ht="14.25" customHeight="1">
      <c r="B908" s="2"/>
      <c r="C908" s="4"/>
      <c r="D908" s="4"/>
      <c r="E908" s="4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13"/>
      <c r="AH908" s="13"/>
    </row>
    <row r="909" ht="14.25" customHeight="1">
      <c r="B909" s="2"/>
      <c r="C909" s="4"/>
      <c r="D909" s="4"/>
      <c r="E909" s="4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13"/>
      <c r="AH909" s="13"/>
    </row>
    <row r="910" ht="14.25" customHeight="1">
      <c r="B910" s="2"/>
      <c r="C910" s="4"/>
      <c r="D910" s="4"/>
      <c r="E910" s="4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13"/>
      <c r="AH910" s="13"/>
    </row>
    <row r="911" ht="14.25" customHeight="1">
      <c r="B911" s="2"/>
      <c r="C911" s="4"/>
      <c r="D911" s="4"/>
      <c r="E911" s="4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13"/>
      <c r="AH911" s="13"/>
    </row>
    <row r="912" ht="14.25" customHeight="1">
      <c r="B912" s="2"/>
      <c r="C912" s="4"/>
      <c r="D912" s="4"/>
      <c r="E912" s="4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13"/>
      <c r="AH912" s="13"/>
    </row>
    <row r="913" ht="14.25" customHeight="1">
      <c r="B913" s="2"/>
      <c r="C913" s="4"/>
      <c r="D913" s="4"/>
      <c r="E913" s="4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13"/>
      <c r="AH913" s="13"/>
    </row>
    <row r="914" ht="14.25" customHeight="1">
      <c r="B914" s="2"/>
      <c r="C914" s="4"/>
      <c r="D914" s="4"/>
      <c r="E914" s="4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13"/>
      <c r="AH914" s="13"/>
    </row>
    <row r="915" ht="14.25" customHeight="1">
      <c r="B915" s="2"/>
      <c r="C915" s="4"/>
      <c r="D915" s="4"/>
      <c r="E915" s="4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13"/>
      <c r="AH915" s="13"/>
    </row>
    <row r="916" ht="14.25" customHeight="1">
      <c r="B916" s="2"/>
      <c r="C916" s="4"/>
      <c r="D916" s="4"/>
      <c r="E916" s="4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13"/>
      <c r="AH916" s="13"/>
    </row>
    <row r="917" ht="14.25" customHeight="1">
      <c r="B917" s="2"/>
      <c r="C917" s="4"/>
      <c r="D917" s="4"/>
      <c r="E917" s="4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13"/>
      <c r="AH917" s="13"/>
    </row>
    <row r="918" ht="14.25" customHeight="1">
      <c r="B918" s="2"/>
      <c r="C918" s="4"/>
      <c r="D918" s="4"/>
      <c r="E918" s="4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13"/>
      <c r="AH918" s="13"/>
    </row>
    <row r="919" ht="14.25" customHeight="1">
      <c r="B919" s="2"/>
      <c r="C919" s="4"/>
      <c r="D919" s="4"/>
      <c r="E919" s="4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13"/>
      <c r="AH919" s="13"/>
    </row>
    <row r="920" ht="14.25" customHeight="1">
      <c r="B920" s="2"/>
      <c r="C920" s="4"/>
      <c r="D920" s="4"/>
      <c r="E920" s="4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13"/>
      <c r="AH920" s="13"/>
    </row>
    <row r="921" ht="14.25" customHeight="1">
      <c r="B921" s="2"/>
      <c r="C921" s="4"/>
      <c r="D921" s="4"/>
      <c r="E921" s="4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13"/>
      <c r="AH921" s="13"/>
    </row>
    <row r="922" ht="14.25" customHeight="1">
      <c r="B922" s="2"/>
      <c r="C922" s="4"/>
      <c r="D922" s="4"/>
      <c r="E922" s="4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13"/>
      <c r="AH922" s="13"/>
    </row>
    <row r="923" ht="14.25" customHeight="1">
      <c r="B923" s="2"/>
      <c r="C923" s="4"/>
      <c r="D923" s="4"/>
      <c r="E923" s="4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13"/>
      <c r="AH923" s="13"/>
    </row>
    <row r="924" ht="14.25" customHeight="1">
      <c r="B924" s="2"/>
      <c r="C924" s="4"/>
      <c r="D924" s="4"/>
      <c r="E924" s="4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13"/>
      <c r="AH924" s="13"/>
    </row>
    <row r="925" ht="14.25" customHeight="1">
      <c r="B925" s="2"/>
      <c r="C925" s="4"/>
      <c r="D925" s="4"/>
      <c r="E925" s="4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13"/>
      <c r="AH925" s="13"/>
    </row>
    <row r="926" ht="14.25" customHeight="1">
      <c r="B926" s="2"/>
      <c r="C926" s="4"/>
      <c r="D926" s="4"/>
      <c r="E926" s="4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13"/>
      <c r="AH926" s="13"/>
    </row>
    <row r="927" ht="14.25" customHeight="1">
      <c r="B927" s="2"/>
      <c r="C927" s="4"/>
      <c r="D927" s="4"/>
      <c r="E927" s="4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13"/>
      <c r="AH927" s="13"/>
    </row>
    <row r="928" ht="14.25" customHeight="1">
      <c r="B928" s="2"/>
      <c r="C928" s="4"/>
      <c r="D928" s="4"/>
      <c r="E928" s="4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13"/>
      <c r="AH928" s="13"/>
    </row>
    <row r="929" ht="14.25" customHeight="1">
      <c r="B929" s="2"/>
      <c r="C929" s="4"/>
      <c r="D929" s="4"/>
      <c r="E929" s="4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13"/>
      <c r="AH929" s="13"/>
    </row>
    <row r="930" ht="14.25" customHeight="1">
      <c r="B930" s="2"/>
      <c r="C930" s="4"/>
      <c r="D930" s="4"/>
      <c r="E930" s="4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13"/>
      <c r="AH930" s="13"/>
    </row>
    <row r="931" ht="14.25" customHeight="1">
      <c r="B931" s="2"/>
      <c r="C931" s="4"/>
      <c r="D931" s="4"/>
      <c r="E931" s="4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13"/>
      <c r="AH931" s="13"/>
    </row>
    <row r="932" ht="14.25" customHeight="1">
      <c r="B932" s="2"/>
      <c r="C932" s="4"/>
      <c r="D932" s="4"/>
      <c r="E932" s="4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13"/>
      <c r="AH932" s="13"/>
    </row>
    <row r="933" ht="14.25" customHeight="1">
      <c r="B933" s="2"/>
      <c r="C933" s="4"/>
      <c r="D933" s="4"/>
      <c r="E933" s="4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13"/>
      <c r="AH933" s="13"/>
    </row>
    <row r="934" ht="14.25" customHeight="1">
      <c r="B934" s="2"/>
      <c r="C934" s="4"/>
      <c r="D934" s="4"/>
      <c r="E934" s="4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13"/>
      <c r="AH934" s="13"/>
    </row>
    <row r="935" ht="14.25" customHeight="1">
      <c r="B935" s="2"/>
      <c r="C935" s="4"/>
      <c r="D935" s="4"/>
      <c r="E935" s="4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13"/>
      <c r="AH935" s="13"/>
    </row>
    <row r="936" ht="14.25" customHeight="1">
      <c r="B936" s="2"/>
      <c r="C936" s="4"/>
      <c r="D936" s="4"/>
      <c r="E936" s="4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13"/>
      <c r="AH936" s="13"/>
    </row>
    <row r="937" ht="14.25" customHeight="1">
      <c r="B937" s="2"/>
      <c r="C937" s="4"/>
      <c r="D937" s="4"/>
      <c r="E937" s="4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13"/>
      <c r="AH937" s="13"/>
    </row>
    <row r="938" ht="14.25" customHeight="1">
      <c r="B938" s="2"/>
      <c r="C938" s="4"/>
      <c r="D938" s="4"/>
      <c r="E938" s="4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13"/>
      <c r="AH938" s="13"/>
    </row>
    <row r="939" ht="14.25" customHeight="1">
      <c r="B939" s="2"/>
      <c r="C939" s="4"/>
      <c r="D939" s="4"/>
      <c r="E939" s="4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13"/>
      <c r="AH939" s="13"/>
    </row>
    <row r="940" ht="14.25" customHeight="1">
      <c r="B940" s="2"/>
      <c r="C940" s="4"/>
      <c r="D940" s="4"/>
      <c r="E940" s="4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13"/>
      <c r="AH940" s="13"/>
    </row>
    <row r="941" ht="14.25" customHeight="1">
      <c r="B941" s="2"/>
      <c r="C941" s="4"/>
      <c r="D941" s="4"/>
      <c r="E941" s="4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13"/>
      <c r="AH941" s="13"/>
    </row>
    <row r="942" ht="14.25" customHeight="1">
      <c r="B942" s="2"/>
      <c r="C942" s="4"/>
      <c r="D942" s="4"/>
      <c r="E942" s="4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13"/>
      <c r="AH942" s="13"/>
    </row>
    <row r="943" ht="14.25" customHeight="1">
      <c r="B943" s="2"/>
      <c r="C943" s="4"/>
      <c r="D943" s="4"/>
      <c r="E943" s="4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13"/>
      <c r="AH943" s="13"/>
    </row>
    <row r="944" ht="14.25" customHeight="1">
      <c r="B944" s="2"/>
      <c r="C944" s="4"/>
      <c r="D944" s="4"/>
      <c r="E944" s="4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13"/>
      <c r="AH944" s="13"/>
    </row>
    <row r="945" ht="14.25" customHeight="1">
      <c r="B945" s="2"/>
      <c r="C945" s="4"/>
      <c r="D945" s="4"/>
      <c r="E945" s="4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13"/>
      <c r="AH945" s="13"/>
    </row>
    <row r="946" ht="14.25" customHeight="1">
      <c r="B946" s="2"/>
      <c r="C946" s="4"/>
      <c r="D946" s="4"/>
      <c r="E946" s="4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13"/>
      <c r="AH946" s="13"/>
    </row>
    <row r="947" ht="14.25" customHeight="1">
      <c r="B947" s="2"/>
      <c r="C947" s="4"/>
      <c r="D947" s="4"/>
      <c r="E947" s="4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13"/>
      <c r="AH947" s="13"/>
    </row>
    <row r="948" ht="14.25" customHeight="1">
      <c r="B948" s="2"/>
      <c r="C948" s="4"/>
      <c r="D948" s="4"/>
      <c r="E948" s="4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13"/>
      <c r="AH948" s="13"/>
    </row>
    <row r="949" ht="14.25" customHeight="1">
      <c r="B949" s="2"/>
      <c r="C949" s="4"/>
      <c r="D949" s="4"/>
      <c r="E949" s="4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13"/>
      <c r="AH949" s="13"/>
    </row>
    <row r="950" ht="14.25" customHeight="1">
      <c r="B950" s="2"/>
      <c r="C950" s="4"/>
      <c r="D950" s="4"/>
      <c r="E950" s="4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13"/>
      <c r="AH950" s="13"/>
    </row>
    <row r="951" ht="14.25" customHeight="1">
      <c r="B951" s="2"/>
      <c r="C951" s="4"/>
      <c r="D951" s="4"/>
      <c r="E951" s="4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13"/>
      <c r="AH951" s="13"/>
    </row>
    <row r="952" ht="14.25" customHeight="1">
      <c r="B952" s="2"/>
      <c r="C952" s="4"/>
      <c r="D952" s="4"/>
      <c r="E952" s="4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13"/>
      <c r="AH952" s="13"/>
    </row>
    <row r="953" ht="14.25" customHeight="1">
      <c r="B953" s="2"/>
      <c r="C953" s="4"/>
      <c r="D953" s="4"/>
      <c r="E953" s="4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13"/>
      <c r="AH953" s="13"/>
    </row>
    <row r="954" ht="14.25" customHeight="1">
      <c r="B954" s="2"/>
      <c r="C954" s="4"/>
      <c r="D954" s="4"/>
      <c r="E954" s="4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13"/>
      <c r="AH954" s="13"/>
    </row>
    <row r="955" ht="14.25" customHeight="1">
      <c r="B955" s="2"/>
      <c r="C955" s="4"/>
      <c r="D955" s="4"/>
      <c r="E955" s="4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13"/>
      <c r="AH955" s="13"/>
    </row>
    <row r="956" ht="14.25" customHeight="1">
      <c r="B956" s="2"/>
      <c r="C956" s="4"/>
      <c r="D956" s="4"/>
      <c r="E956" s="4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13"/>
      <c r="AH956" s="13"/>
    </row>
    <row r="957" ht="14.25" customHeight="1">
      <c r="B957" s="2"/>
      <c r="C957" s="4"/>
      <c r="D957" s="4"/>
      <c r="E957" s="4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13"/>
      <c r="AH957" s="13"/>
    </row>
    <row r="958" ht="14.25" customHeight="1">
      <c r="B958" s="2"/>
      <c r="C958" s="4"/>
      <c r="D958" s="4"/>
      <c r="E958" s="4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13"/>
      <c r="AH958" s="13"/>
    </row>
    <row r="959" ht="14.25" customHeight="1">
      <c r="B959" s="2"/>
      <c r="C959" s="4"/>
      <c r="D959" s="4"/>
      <c r="E959" s="4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13"/>
      <c r="AH959" s="13"/>
    </row>
    <row r="960" ht="14.25" customHeight="1">
      <c r="B960" s="2"/>
      <c r="C960" s="4"/>
      <c r="D960" s="4"/>
      <c r="E960" s="4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13"/>
      <c r="AH960" s="13"/>
    </row>
    <row r="961" ht="14.25" customHeight="1">
      <c r="B961" s="2"/>
      <c r="C961" s="4"/>
      <c r="D961" s="4"/>
      <c r="E961" s="4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13"/>
      <c r="AH961" s="13"/>
    </row>
    <row r="962" ht="14.25" customHeight="1">
      <c r="B962" s="2"/>
      <c r="C962" s="4"/>
      <c r="D962" s="4"/>
      <c r="E962" s="4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13"/>
      <c r="AH962" s="13"/>
    </row>
    <row r="963" ht="14.25" customHeight="1">
      <c r="B963" s="2"/>
      <c r="C963" s="4"/>
      <c r="D963" s="4"/>
      <c r="E963" s="4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13"/>
      <c r="AH963" s="13"/>
    </row>
    <row r="964" ht="14.25" customHeight="1">
      <c r="B964" s="2"/>
      <c r="C964" s="4"/>
      <c r="D964" s="4"/>
      <c r="E964" s="4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13"/>
      <c r="AH964" s="13"/>
    </row>
    <row r="965" ht="14.25" customHeight="1">
      <c r="B965" s="2"/>
      <c r="C965" s="4"/>
      <c r="D965" s="4"/>
      <c r="E965" s="4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13"/>
      <c r="AH965" s="13"/>
    </row>
    <row r="966" ht="14.25" customHeight="1">
      <c r="B966" s="2"/>
      <c r="C966" s="4"/>
      <c r="D966" s="4"/>
      <c r="E966" s="4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13"/>
      <c r="AH966" s="13"/>
    </row>
    <row r="967" ht="14.25" customHeight="1">
      <c r="B967" s="2"/>
      <c r="C967" s="4"/>
      <c r="D967" s="4"/>
      <c r="E967" s="4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13"/>
      <c r="AH967" s="13"/>
    </row>
    <row r="968" ht="14.25" customHeight="1">
      <c r="B968" s="2"/>
      <c r="C968" s="4"/>
      <c r="D968" s="4"/>
      <c r="E968" s="4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13"/>
      <c r="AH968" s="13"/>
    </row>
    <row r="969" ht="14.25" customHeight="1">
      <c r="B969" s="2"/>
      <c r="C969" s="4"/>
      <c r="D969" s="4"/>
      <c r="E969" s="4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13"/>
      <c r="AH969" s="13"/>
    </row>
    <row r="970" ht="14.25" customHeight="1">
      <c r="B970" s="2"/>
      <c r="C970" s="4"/>
      <c r="D970" s="4"/>
      <c r="E970" s="4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13"/>
      <c r="AH970" s="13"/>
    </row>
    <row r="971" ht="14.25" customHeight="1">
      <c r="B971" s="2"/>
      <c r="C971" s="4"/>
      <c r="D971" s="4"/>
      <c r="E971" s="4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13"/>
      <c r="AH971" s="13"/>
    </row>
    <row r="972" ht="14.25" customHeight="1">
      <c r="B972" s="2"/>
      <c r="C972" s="4"/>
      <c r="D972" s="4"/>
      <c r="E972" s="4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13"/>
      <c r="AH972" s="13"/>
    </row>
    <row r="973" ht="14.25" customHeight="1">
      <c r="B973" s="2"/>
      <c r="C973" s="4"/>
      <c r="D973" s="4"/>
      <c r="E973" s="4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13"/>
      <c r="AH973" s="13"/>
    </row>
    <row r="974" ht="14.25" customHeight="1">
      <c r="B974" s="2"/>
      <c r="C974" s="4"/>
      <c r="D974" s="4"/>
      <c r="E974" s="4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13"/>
      <c r="AH974" s="13"/>
    </row>
    <row r="975" ht="14.25" customHeight="1">
      <c r="B975" s="2"/>
      <c r="C975" s="4"/>
      <c r="D975" s="4"/>
      <c r="E975" s="4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13"/>
      <c r="AH975" s="13"/>
    </row>
    <row r="976" ht="14.25" customHeight="1">
      <c r="B976" s="2"/>
      <c r="C976" s="4"/>
      <c r="D976" s="4"/>
      <c r="E976" s="4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13"/>
      <c r="AH976" s="13"/>
    </row>
    <row r="977" ht="14.25" customHeight="1">
      <c r="B977" s="2"/>
      <c r="C977" s="4"/>
      <c r="D977" s="4"/>
      <c r="E977" s="4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13"/>
      <c r="AH977" s="13"/>
    </row>
    <row r="978" ht="14.25" customHeight="1">
      <c r="B978" s="2"/>
      <c r="C978" s="4"/>
      <c r="D978" s="4"/>
      <c r="E978" s="4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13"/>
      <c r="AH978" s="13"/>
    </row>
    <row r="979" ht="14.25" customHeight="1">
      <c r="B979" s="2"/>
      <c r="C979" s="4"/>
      <c r="D979" s="4"/>
      <c r="E979" s="4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13"/>
      <c r="AH979" s="13"/>
    </row>
    <row r="980" ht="14.25" customHeight="1">
      <c r="B980" s="2"/>
      <c r="C980" s="4"/>
      <c r="D980" s="4"/>
      <c r="E980" s="4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13"/>
      <c r="AH980" s="13"/>
    </row>
    <row r="981" ht="14.25" customHeight="1">
      <c r="B981" s="2"/>
      <c r="C981" s="4"/>
      <c r="D981" s="4"/>
      <c r="E981" s="4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13"/>
      <c r="AH981" s="13"/>
    </row>
    <row r="982" ht="14.25" customHeight="1">
      <c r="B982" s="2"/>
      <c r="C982" s="4"/>
      <c r="D982" s="4"/>
      <c r="E982" s="4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13"/>
      <c r="AH982" s="13"/>
    </row>
    <row r="983" ht="14.25" customHeight="1">
      <c r="B983" s="2"/>
      <c r="C983" s="4"/>
      <c r="D983" s="4"/>
      <c r="E983" s="4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13"/>
      <c r="AH983" s="13"/>
    </row>
    <row r="984" ht="14.25" customHeight="1">
      <c r="B984" s="2"/>
      <c r="C984" s="4"/>
      <c r="D984" s="4"/>
      <c r="E984" s="4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13"/>
      <c r="AH984" s="13"/>
    </row>
    <row r="985" ht="14.25" customHeight="1">
      <c r="B985" s="2"/>
      <c r="C985" s="4"/>
      <c r="D985" s="4"/>
      <c r="E985" s="4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13"/>
      <c r="AH985" s="13"/>
    </row>
    <row r="986" ht="14.25" customHeight="1">
      <c r="B986" s="2"/>
      <c r="C986" s="4"/>
      <c r="D986" s="4"/>
      <c r="E986" s="4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13"/>
      <c r="AH986" s="13"/>
    </row>
    <row r="987" ht="14.25" customHeight="1">
      <c r="B987" s="2"/>
      <c r="C987" s="4"/>
      <c r="D987" s="4"/>
      <c r="E987" s="4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13"/>
      <c r="AH987" s="13"/>
    </row>
    <row r="988" ht="14.25" customHeight="1">
      <c r="B988" s="2"/>
      <c r="C988" s="4"/>
      <c r="D988" s="4"/>
      <c r="E988" s="4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13"/>
      <c r="AH988" s="13"/>
    </row>
    <row r="989" ht="14.25" customHeight="1">
      <c r="B989" s="2"/>
      <c r="C989" s="4"/>
      <c r="D989" s="4"/>
      <c r="E989" s="4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13"/>
      <c r="AH989" s="13"/>
    </row>
    <row r="990" ht="14.25" customHeight="1">
      <c r="B990" s="2"/>
      <c r="C990" s="4"/>
      <c r="D990" s="4"/>
      <c r="E990" s="4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13"/>
      <c r="AH990" s="13"/>
    </row>
    <row r="991" ht="14.25" customHeight="1">
      <c r="B991" s="2"/>
      <c r="C991" s="4"/>
      <c r="D991" s="4"/>
      <c r="E991" s="4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13"/>
      <c r="AH991" s="13"/>
    </row>
    <row r="992" ht="14.25" customHeight="1">
      <c r="B992" s="2"/>
      <c r="C992" s="4"/>
      <c r="D992" s="4"/>
      <c r="E992" s="4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13"/>
      <c r="AH992" s="13"/>
    </row>
    <row r="993" ht="14.25" customHeight="1">
      <c r="B993" s="2"/>
      <c r="C993" s="4"/>
      <c r="D993" s="4"/>
      <c r="E993" s="4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13"/>
      <c r="AH993" s="13"/>
    </row>
    <row r="994" ht="14.25" customHeight="1">
      <c r="B994" s="2"/>
      <c r="C994" s="4"/>
      <c r="D994" s="4"/>
      <c r="E994" s="4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13"/>
      <c r="AH994" s="13"/>
    </row>
    <row r="995" ht="14.25" customHeight="1">
      <c r="B995" s="2"/>
      <c r="C995" s="4"/>
      <c r="D995" s="4"/>
      <c r="E995" s="4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13"/>
      <c r="AH995" s="13"/>
    </row>
    <row r="996" ht="14.25" customHeight="1">
      <c r="B996" s="2"/>
      <c r="C996" s="4"/>
      <c r="D996" s="4"/>
      <c r="E996" s="4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13"/>
      <c r="AH996" s="13"/>
    </row>
    <row r="997" ht="14.25" customHeight="1">
      <c r="B997" s="2"/>
      <c r="C997" s="4"/>
      <c r="D997" s="4"/>
      <c r="E997" s="4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13"/>
      <c r="AH997" s="13"/>
    </row>
    <row r="998" ht="14.25" customHeight="1">
      <c r="B998" s="2"/>
      <c r="C998" s="4"/>
      <c r="D998" s="4"/>
      <c r="E998" s="4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13"/>
      <c r="AH998" s="13"/>
    </row>
    <row r="999" ht="14.25" customHeight="1">
      <c r="B999" s="2"/>
      <c r="C999" s="4"/>
      <c r="D999" s="4"/>
      <c r="E999" s="4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13"/>
      <c r="AH999" s="13"/>
    </row>
    <row r="1000" ht="14.25" customHeight="1">
      <c r="B1000" s="2"/>
      <c r="C1000" s="4"/>
      <c r="D1000" s="4"/>
      <c r="E1000" s="4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13"/>
      <c r="AH1000" s="13"/>
    </row>
    <row r="1001" ht="14.25" customHeight="1">
      <c r="B1001" s="2"/>
      <c r="C1001" s="4"/>
      <c r="D1001" s="4"/>
      <c r="E1001" s="4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13"/>
      <c r="AH1001" s="13"/>
    </row>
    <row r="1002" ht="14.25" customHeight="1">
      <c r="B1002" s="2"/>
      <c r="C1002" s="4"/>
      <c r="D1002" s="4"/>
      <c r="E1002" s="4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13"/>
      <c r="AH1002" s="13"/>
    </row>
    <row r="1003" ht="14.25" customHeight="1">
      <c r="B1003" s="2"/>
      <c r="C1003" s="4"/>
      <c r="D1003" s="4"/>
      <c r="E1003" s="4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13"/>
      <c r="AH1003" s="13"/>
    </row>
    <row r="1004" ht="14.25" customHeight="1">
      <c r="B1004" s="2"/>
      <c r="C1004" s="4"/>
      <c r="D1004" s="4"/>
      <c r="E1004" s="4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13"/>
      <c r="AH1004" s="13"/>
    </row>
    <row r="1005" ht="14.25" customHeight="1">
      <c r="B1005" s="2"/>
      <c r="C1005" s="4"/>
      <c r="D1005" s="4"/>
      <c r="E1005" s="4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13"/>
      <c r="AH1005" s="13"/>
    </row>
    <row r="1006" ht="14.25" customHeight="1">
      <c r="B1006" s="2"/>
      <c r="C1006" s="4"/>
      <c r="D1006" s="4"/>
      <c r="E1006" s="4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13"/>
      <c r="AH1006" s="13"/>
    </row>
    <row r="1007" ht="14.25" customHeight="1">
      <c r="B1007" s="2"/>
      <c r="C1007" s="4"/>
      <c r="D1007" s="4"/>
      <c r="E1007" s="4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13"/>
      <c r="AH1007" s="13"/>
    </row>
    <row r="1008" ht="14.25" customHeight="1">
      <c r="B1008" s="2"/>
      <c r="C1008" s="4"/>
      <c r="D1008" s="4"/>
      <c r="E1008" s="4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13"/>
      <c r="AH1008" s="13"/>
    </row>
    <row r="1009" ht="14.25" customHeight="1">
      <c r="B1009" s="2"/>
      <c r="C1009" s="4"/>
      <c r="D1009" s="4"/>
      <c r="E1009" s="4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13"/>
      <c r="AH1009" s="13"/>
    </row>
    <row r="1010" ht="14.25" customHeight="1">
      <c r="B1010" s="2"/>
      <c r="C1010" s="4"/>
      <c r="D1010" s="4"/>
      <c r="E1010" s="4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13"/>
      <c r="AH1010" s="13"/>
    </row>
    <row r="1011" ht="14.25" customHeight="1">
      <c r="B1011" s="2"/>
      <c r="C1011" s="4"/>
      <c r="D1011" s="4"/>
      <c r="E1011" s="4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13"/>
      <c r="AH1011" s="13"/>
    </row>
    <row r="1012" ht="14.25" customHeight="1">
      <c r="B1012" s="2"/>
      <c r="C1012" s="4"/>
      <c r="D1012" s="4"/>
      <c r="E1012" s="4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13"/>
      <c r="AH1012" s="13"/>
    </row>
    <row r="1013" ht="14.25" customHeight="1">
      <c r="B1013" s="2"/>
      <c r="C1013" s="4"/>
      <c r="D1013" s="4"/>
      <c r="E1013" s="4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13"/>
      <c r="AH1013" s="13"/>
    </row>
    <row r="1014" ht="14.25" customHeight="1">
      <c r="B1014" s="2"/>
      <c r="C1014" s="4"/>
      <c r="D1014" s="4"/>
      <c r="E1014" s="4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13"/>
      <c r="AH1014" s="13"/>
    </row>
    <row r="1015" ht="14.25" customHeight="1">
      <c r="B1015" s="2"/>
      <c r="C1015" s="4"/>
      <c r="D1015" s="4"/>
      <c r="E1015" s="4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13"/>
      <c r="AH1015" s="13"/>
    </row>
    <row r="1016" ht="14.25" customHeight="1">
      <c r="B1016" s="2"/>
      <c r="C1016" s="4"/>
      <c r="D1016" s="4"/>
      <c r="E1016" s="4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13"/>
      <c r="AH1016" s="13"/>
    </row>
    <row r="1017" ht="14.25" customHeight="1">
      <c r="B1017" s="2"/>
      <c r="C1017" s="4"/>
      <c r="D1017" s="4"/>
      <c r="E1017" s="4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13"/>
      <c r="AH1017" s="13"/>
    </row>
    <row r="1018" ht="14.25" customHeight="1">
      <c r="B1018" s="2"/>
      <c r="C1018" s="4"/>
      <c r="D1018" s="4"/>
      <c r="E1018" s="4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13"/>
      <c r="AH1018" s="13"/>
    </row>
    <row r="1019" ht="14.25" customHeight="1">
      <c r="B1019" s="2"/>
      <c r="C1019" s="4"/>
      <c r="D1019" s="4"/>
      <c r="E1019" s="4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13"/>
      <c r="AH1019" s="13"/>
    </row>
    <row r="1020" ht="14.25" customHeight="1">
      <c r="B1020" s="2"/>
      <c r="C1020" s="4"/>
      <c r="D1020" s="4"/>
      <c r="E1020" s="4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13"/>
      <c r="AH1020" s="13"/>
    </row>
    <row r="1021" ht="14.25" customHeight="1">
      <c r="B1021" s="2"/>
      <c r="C1021" s="4"/>
      <c r="D1021" s="4"/>
      <c r="E1021" s="4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13"/>
      <c r="AH1021" s="13"/>
    </row>
    <row r="1022" ht="14.25" customHeight="1">
      <c r="B1022" s="2"/>
      <c r="C1022" s="4"/>
      <c r="D1022" s="4"/>
      <c r="E1022" s="4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13"/>
      <c r="AH1022" s="13"/>
    </row>
    <row r="1023" ht="14.25" customHeight="1">
      <c r="B1023" s="2"/>
      <c r="C1023" s="4"/>
      <c r="D1023" s="4"/>
      <c r="E1023" s="4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13"/>
      <c r="AH1023" s="13"/>
    </row>
    <row r="1024" ht="14.25" customHeight="1">
      <c r="B1024" s="2"/>
      <c r="C1024" s="4"/>
      <c r="D1024" s="4"/>
      <c r="E1024" s="4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13"/>
      <c r="AH1024" s="13"/>
    </row>
    <row r="1025" ht="14.25" customHeight="1">
      <c r="B1025" s="2"/>
      <c r="C1025" s="4"/>
      <c r="D1025" s="4"/>
      <c r="E1025" s="4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13"/>
      <c r="AH1025" s="13"/>
    </row>
    <row r="1026" ht="14.25" customHeight="1">
      <c r="B1026" s="2"/>
      <c r="C1026" s="4"/>
      <c r="D1026" s="4"/>
      <c r="E1026" s="4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13"/>
      <c r="AH1026" s="13"/>
    </row>
    <row r="1027" ht="14.25" customHeight="1">
      <c r="B1027" s="2"/>
      <c r="C1027" s="4"/>
      <c r="D1027" s="4"/>
      <c r="E1027" s="4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13"/>
      <c r="AH1027" s="13"/>
    </row>
    <row r="1028" ht="14.25" customHeight="1">
      <c r="B1028" s="2"/>
      <c r="C1028" s="4"/>
      <c r="D1028" s="4"/>
      <c r="E1028" s="4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13"/>
      <c r="AH1028" s="13"/>
    </row>
  </sheetData>
  <mergeCells count="17">
    <mergeCell ref="O3:R3"/>
    <mergeCell ref="S3:V3"/>
    <mergeCell ref="A280:D280"/>
    <mergeCell ref="AF280:AF282"/>
    <mergeCell ref="A281:D281"/>
    <mergeCell ref="A282:D282"/>
    <mergeCell ref="W3:AD3"/>
    <mergeCell ref="AE3:AE4"/>
    <mergeCell ref="AF3:AF4"/>
    <mergeCell ref="AH3:AH4"/>
    <mergeCell ref="A2:AE2"/>
    <mergeCell ref="A3:A4"/>
    <mergeCell ref="B3:B4"/>
    <mergeCell ref="C3:C4"/>
    <mergeCell ref="D3:D4"/>
    <mergeCell ref="E3:E4"/>
    <mergeCell ref="F3:N3"/>
  </mergeCells>
  <printOptions/>
  <pageMargins bottom="0.7480314960629921" footer="0.0" header="0.0" left="0.12" right="0.13" top="0.7480314960629921"/>
  <pageSetup scale="4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135"/>
    <outlinePr summaryBelow="0"/>
    <pageSetUpPr/>
  </sheetPr>
  <sheetViews>
    <sheetView showGridLines="0" workbookViewId="0">
      <pane xSplit="9.0" ySplit="2.0" topLeftCell="J3" activePane="bottomRight" state="frozen"/>
      <selection activeCell="J1" sqref="J1" pane="topRight"/>
      <selection activeCell="A3" sqref="A3" pane="bottomLeft"/>
      <selection activeCell="J3" sqref="J3" pane="bottomRight"/>
    </sheetView>
  </sheetViews>
  <sheetFormatPr customHeight="1" defaultColWidth="12.63" defaultRowHeight="15.0" outlineLevelRow="1"/>
  <cols>
    <col customWidth="1" min="1" max="1" width="6.38"/>
    <col customWidth="1" min="2" max="2" width="23.75"/>
    <col customWidth="1" min="3" max="3" width="21.63"/>
    <col customWidth="1" min="4" max="4" width="13.75"/>
    <col customWidth="1" min="5" max="5" width="10.0"/>
    <col customWidth="1" min="6" max="6" width="12.63"/>
    <col customWidth="1" min="7" max="7" width="29.13"/>
    <col customWidth="1" hidden="1" min="8" max="8" width="12.13"/>
    <col customWidth="1" min="9" max="9" width="14.38"/>
    <col customWidth="1" min="10" max="10" width="13.88"/>
    <col customWidth="1" min="11" max="11" width="10.88"/>
    <col customWidth="1" hidden="1" min="12" max="12" width="7.63"/>
    <col customWidth="1" min="13" max="13" width="44.5"/>
    <col customWidth="1" min="14" max="14" width="13.63"/>
    <col customWidth="1" min="15" max="16" width="9.63"/>
    <col customWidth="1" min="17" max="17" width="14.0"/>
    <col customWidth="1" min="18" max="18" width="10.13"/>
    <col customWidth="1" min="19" max="19" width="20.63"/>
    <col customWidth="1" min="20" max="20" width="22.88"/>
    <col customWidth="1" min="21" max="21" width="13.13"/>
    <col customWidth="1" min="22" max="22" width="11.38"/>
    <col customWidth="1" min="23" max="23" width="13.5"/>
    <col customWidth="1" min="24" max="25" width="14.75"/>
  </cols>
  <sheetData>
    <row r="1" ht="19.5" customHeight="1">
      <c r="A1" s="8" t="s">
        <v>1</v>
      </c>
      <c r="B1" s="10"/>
      <c r="C1" s="10"/>
      <c r="D1" s="11"/>
      <c r="E1" s="11"/>
      <c r="F1" s="11"/>
      <c r="G1" s="10"/>
      <c r="H1" s="12"/>
      <c r="I1" s="12"/>
      <c r="J1" s="10"/>
      <c r="K1" s="10"/>
      <c r="L1" s="11"/>
      <c r="M1" s="10"/>
      <c r="N1" s="14" t="s">
        <v>3</v>
      </c>
      <c r="O1" s="8"/>
      <c r="P1" s="8"/>
      <c r="Q1" s="8"/>
      <c r="R1" s="8"/>
      <c r="S1" s="8"/>
      <c r="T1" s="8"/>
      <c r="U1" s="8"/>
      <c r="V1" s="17"/>
      <c r="W1" s="17"/>
      <c r="X1" s="17"/>
      <c r="Y1" s="17"/>
    </row>
    <row r="2" ht="35.25" customHeight="1">
      <c r="A2" s="21" t="s">
        <v>5</v>
      </c>
      <c r="B2" s="24" t="s">
        <v>6</v>
      </c>
      <c r="C2" s="24" t="s">
        <v>7</v>
      </c>
      <c r="D2" s="24" t="s">
        <v>8</v>
      </c>
      <c r="E2" s="24" t="s">
        <v>9</v>
      </c>
      <c r="F2" s="24" t="s">
        <v>10</v>
      </c>
      <c r="G2" s="24" t="s">
        <v>11</v>
      </c>
      <c r="H2" s="24" t="s">
        <v>12</v>
      </c>
      <c r="I2" s="24" t="s">
        <v>13</v>
      </c>
      <c r="J2" s="24" t="s">
        <v>14</v>
      </c>
      <c r="K2" s="24" t="str">
        <f>"Tình trạng "&amp;char(10)&amp;"Hỏng: "&amp;COUNTIF(K3:K1368,"Hư hỏng")&amp;"/"&amp;C3</f>
        <v>Tình trạng 
Hỏng: 14/577</v>
      </c>
      <c r="L2" s="24" t="s">
        <v>18</v>
      </c>
      <c r="M2" s="24" t="s">
        <v>19</v>
      </c>
      <c r="N2" s="21" t="s">
        <v>21</v>
      </c>
      <c r="O2" s="21" t="s">
        <v>22</v>
      </c>
      <c r="P2" s="21" t="s">
        <v>23</v>
      </c>
      <c r="Q2" s="24" t="s">
        <v>25</v>
      </c>
      <c r="R2" s="21" t="s">
        <v>26</v>
      </c>
      <c r="S2" s="41" t="s">
        <v>27</v>
      </c>
      <c r="T2" s="24" t="s">
        <v>29</v>
      </c>
      <c r="U2" s="41" t="s">
        <v>30</v>
      </c>
      <c r="V2" s="41" t="s">
        <v>31</v>
      </c>
      <c r="W2" s="41" t="s">
        <v>32</v>
      </c>
      <c r="X2" s="41" t="s">
        <v>33</v>
      </c>
      <c r="Y2" s="41" t="s">
        <v>34</v>
      </c>
    </row>
    <row r="3" ht="12.75" customHeight="1">
      <c r="A3" s="21"/>
      <c r="B3" s="24"/>
      <c r="C3" s="24">
        <f>SUM(C4,C117,C160,C348,C498,C521,C535,C545,C553,C559,C582,C609,C622,C634,C665,C640,C649,C659)</f>
        <v>577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1"/>
      <c r="O3" s="21"/>
      <c r="P3" s="21"/>
      <c r="Q3" s="24"/>
      <c r="R3" s="21"/>
      <c r="S3" s="41"/>
      <c r="T3" s="24"/>
      <c r="U3" s="50"/>
      <c r="V3" s="51"/>
      <c r="W3" s="53"/>
      <c r="X3" s="53"/>
      <c r="Y3" s="53" t="s">
        <v>41</v>
      </c>
    </row>
    <row r="4" ht="13.5" customHeight="1">
      <c r="A4" s="55" t="s">
        <v>42</v>
      </c>
      <c r="B4" s="55"/>
      <c r="C4" s="59">
        <f>$C$5+$C$54+$C$83</f>
        <v>103</v>
      </c>
      <c r="D4" s="59"/>
      <c r="E4" s="59"/>
      <c r="F4" s="59"/>
      <c r="G4" s="59"/>
      <c r="H4" s="55"/>
      <c r="I4" s="55"/>
      <c r="J4" s="62"/>
      <c r="K4" s="55"/>
      <c r="L4" s="59"/>
      <c r="M4" s="55"/>
      <c r="N4" s="59"/>
      <c r="O4" s="55"/>
      <c r="P4" s="55"/>
      <c r="Q4" s="55"/>
      <c r="R4" s="55"/>
      <c r="S4" s="55"/>
      <c r="T4" s="55"/>
      <c r="U4" s="55"/>
      <c r="V4" s="63"/>
      <c r="W4" s="64"/>
      <c r="X4" s="64"/>
      <c r="Y4" s="69" t="s">
        <v>54</v>
      </c>
    </row>
    <row r="5" ht="13.5" customHeight="1">
      <c r="A5" s="72" t="s">
        <v>72</v>
      </c>
      <c r="B5" s="75" t="s">
        <v>74</v>
      </c>
      <c r="C5" s="72">
        <f>COUNTA($B$6:$B$53)</f>
        <v>46</v>
      </c>
      <c r="D5" s="72"/>
      <c r="E5" s="72"/>
      <c r="F5" s="72"/>
      <c r="G5" s="72"/>
      <c r="H5" s="75"/>
      <c r="I5" s="75"/>
      <c r="J5" s="79"/>
      <c r="K5" s="75"/>
      <c r="L5" s="72"/>
      <c r="M5" s="75"/>
      <c r="N5" s="72"/>
      <c r="O5" s="75"/>
      <c r="P5" s="75"/>
      <c r="Q5" s="75"/>
      <c r="R5" s="75"/>
      <c r="S5" s="75"/>
      <c r="T5" s="75"/>
      <c r="U5" s="75"/>
      <c r="V5" s="63"/>
      <c r="W5" s="63"/>
      <c r="X5" s="63"/>
      <c r="Y5" s="63"/>
    </row>
    <row r="6" ht="13.5" customHeight="1" outlineLevel="1">
      <c r="A6" s="80">
        <v>1.0</v>
      </c>
      <c r="B6" s="84" t="s">
        <v>78</v>
      </c>
      <c r="C6" s="86" t="s">
        <v>79</v>
      </c>
      <c r="D6" s="95" t="str">
        <f>IFERROR(VLOOKUP(B6,' 02.1 KLH-CN MÃ BRAVO MM'!$B:$C,2,0),"")</f>
        <v>ATT-A23-0025</v>
      </c>
      <c r="E6" s="95"/>
      <c r="F6" s="95" t="s">
        <v>79</v>
      </c>
      <c r="G6" s="86" t="s">
        <v>82</v>
      </c>
      <c r="H6" s="80" t="str">
        <f>VLOOKUP(G6,'01. TH'!$B:$E,3,0)</f>
        <v>9560 x 2800 x 3160</v>
      </c>
      <c r="I6" s="80" t="s">
        <v>44</v>
      </c>
      <c r="J6" s="99">
        <v>43835.0</v>
      </c>
      <c r="K6" s="80" t="str">
        <f>IF(COUNTIF('TT BTSC'!$D:$D,B6)&gt;0,"Hư hỏng","Bình thường")</f>
        <v>Bình thường</v>
      </c>
      <c r="L6" s="102">
        <v>0.67</v>
      </c>
      <c r="M6" s="104"/>
      <c r="N6" s="106" t="s">
        <v>83</v>
      </c>
      <c r="O6" s="108" t="s">
        <v>84</v>
      </c>
      <c r="P6" s="80">
        <v>2019.0</v>
      </c>
      <c r="Q6" s="80" t="s">
        <v>85</v>
      </c>
      <c r="R6" s="106" t="s">
        <v>86</v>
      </c>
      <c r="S6" s="108" t="s">
        <v>87</v>
      </c>
      <c r="T6" s="110" t="s">
        <v>88</v>
      </c>
      <c r="U6" s="110">
        <v>17.0</v>
      </c>
      <c r="V6" s="112">
        <v>340.0</v>
      </c>
      <c r="W6" s="112"/>
      <c r="X6" s="112"/>
      <c r="Y6" s="112"/>
    </row>
    <row r="7" ht="13.5" customHeight="1" outlineLevel="1">
      <c r="A7" s="95">
        <f t="shared" ref="A7:A51" si="1">A6+1</f>
        <v>2</v>
      </c>
      <c r="B7" s="113" t="s">
        <v>89</v>
      </c>
      <c r="C7" s="113"/>
      <c r="D7" s="95" t="str">
        <f>IFERROR(VLOOKUP(B7,' 02.1 KLH-CN MÃ BRAVO MM'!$B:$C,2,0),"")</f>
        <v>ATT-A23-0011</v>
      </c>
      <c r="E7" s="95"/>
      <c r="F7" s="95" t="s">
        <v>79</v>
      </c>
      <c r="G7" s="115" t="s">
        <v>90</v>
      </c>
      <c r="H7" s="80" t="str">
        <f>VLOOKUP(G7,'01. TH'!$B:$E,3,0)</f>
        <v>9460 x 2800 x 3200</v>
      </c>
      <c r="I7" s="95" t="s">
        <v>44</v>
      </c>
      <c r="J7" s="116">
        <v>43801.0</v>
      </c>
      <c r="K7" s="80" t="str">
        <f>IF(COUNTIF('TT BTSC'!$D:$D,B7)&gt;0,"Hư hỏng","Bình thường")</f>
        <v>Bình thường</v>
      </c>
      <c r="L7" s="117">
        <v>0.4</v>
      </c>
      <c r="M7" s="118"/>
      <c r="N7" s="119" t="s">
        <v>92</v>
      </c>
      <c r="O7" s="110" t="s">
        <v>84</v>
      </c>
      <c r="P7" s="95">
        <v>1993.0</v>
      </c>
      <c r="Q7" s="95" t="s">
        <v>93</v>
      </c>
      <c r="R7" s="119" t="s">
        <v>94</v>
      </c>
      <c r="S7" s="110" t="s">
        <v>95</v>
      </c>
      <c r="T7" s="110" t="s">
        <v>96</v>
      </c>
      <c r="U7" s="110">
        <v>13.0</v>
      </c>
      <c r="V7" s="112">
        <v>410.0</v>
      </c>
      <c r="W7" s="112"/>
      <c r="X7" s="112"/>
      <c r="Y7" s="112"/>
    </row>
    <row r="8" ht="13.5" customHeight="1" outlineLevel="1">
      <c r="A8" s="95">
        <f t="shared" si="1"/>
        <v>3</v>
      </c>
      <c r="B8" s="84" t="s">
        <v>98</v>
      </c>
      <c r="C8" s="84"/>
      <c r="D8" s="95" t="str">
        <f>IFERROR(VLOOKUP(B8,' 02.1 KLH-CN MÃ BRAVO MM'!$B:$C,2,0),"")</f>
        <v>ATT-A23-0034</v>
      </c>
      <c r="E8" s="95"/>
      <c r="F8" s="95" t="s">
        <v>79</v>
      </c>
      <c r="G8" s="86" t="s">
        <v>99</v>
      </c>
      <c r="H8" s="80" t="str">
        <f>VLOOKUP(G8,'01. TH'!$B:$E,3,0)</f>
        <v>7235 x 2496 x 3351</v>
      </c>
      <c r="I8" s="80" t="s">
        <v>44</v>
      </c>
      <c r="J8" s="99">
        <v>44110.0</v>
      </c>
      <c r="K8" s="80" t="str">
        <f>IF(COUNTIF('TT BTSC'!$D:$D,B8)&gt;0,"Hư hỏng","Bình thường")</f>
        <v>Bình thường</v>
      </c>
      <c r="L8" s="102">
        <v>0.68</v>
      </c>
      <c r="N8" s="106" t="s">
        <v>102</v>
      </c>
      <c r="O8" s="108" t="s">
        <v>103</v>
      </c>
      <c r="P8" s="80">
        <v>2019.0</v>
      </c>
      <c r="Q8" s="80" t="s">
        <v>104</v>
      </c>
      <c r="R8" s="106" t="s">
        <v>105</v>
      </c>
      <c r="S8" s="108" t="s">
        <v>106</v>
      </c>
      <c r="T8" s="110" t="s">
        <v>96</v>
      </c>
      <c r="U8" s="110">
        <v>10.0</v>
      </c>
      <c r="V8" s="112">
        <v>280.0</v>
      </c>
      <c r="W8" s="112"/>
      <c r="X8" s="112"/>
      <c r="Y8" s="112"/>
    </row>
    <row r="9" ht="13.5" customHeight="1" outlineLevel="1">
      <c r="A9" s="95">
        <f t="shared" si="1"/>
        <v>4</v>
      </c>
      <c r="B9" s="113" t="s">
        <v>107</v>
      </c>
      <c r="C9" s="113"/>
      <c r="D9" s="95" t="str">
        <f>IFERROR(VLOOKUP(B9,' 02.1 KLH-CN MÃ BRAVO MM'!$B:$C,2,0),"")</f>
        <v>ATT-A23-0012</v>
      </c>
      <c r="E9" s="95"/>
      <c r="F9" s="95" t="s">
        <v>79</v>
      </c>
      <c r="G9" s="86" t="s">
        <v>99</v>
      </c>
      <c r="H9" s="80" t="str">
        <f>VLOOKUP(G9,'01. TH'!$B:$E,3,0)</f>
        <v>7235 x 2496 x 3351</v>
      </c>
      <c r="I9" s="95" t="s">
        <v>44</v>
      </c>
      <c r="J9" s="116">
        <v>43801.0</v>
      </c>
      <c r="K9" s="80" t="str">
        <f>IF(COUNTIF('TT BTSC'!$D:$D,B9)&gt;0,"Hư hỏng","Bình thường")</f>
        <v>Bình thường</v>
      </c>
      <c r="L9" s="117">
        <v>0.4</v>
      </c>
      <c r="M9" s="118"/>
      <c r="N9" s="119" t="s">
        <v>102</v>
      </c>
      <c r="O9" s="110" t="s">
        <v>103</v>
      </c>
      <c r="P9" s="95">
        <v>2018.0</v>
      </c>
      <c r="Q9" s="95" t="s">
        <v>104</v>
      </c>
      <c r="R9" s="119" t="s">
        <v>105</v>
      </c>
      <c r="S9" s="110" t="s">
        <v>109</v>
      </c>
      <c r="T9" s="110" t="s">
        <v>96</v>
      </c>
      <c r="U9" s="110">
        <v>10.0</v>
      </c>
      <c r="V9" s="112">
        <v>280.0</v>
      </c>
      <c r="W9" s="112"/>
      <c r="X9" s="112"/>
      <c r="Y9" s="112"/>
    </row>
    <row r="10" ht="13.5" customHeight="1" outlineLevel="1">
      <c r="A10" s="95">
        <f t="shared" si="1"/>
        <v>5</v>
      </c>
      <c r="B10" s="84" t="s">
        <v>110</v>
      </c>
      <c r="C10" s="128"/>
      <c r="D10" s="95" t="str">
        <f>IFERROR(VLOOKUP(B10,' 02.1 KLH-CN MÃ BRAVO MM'!$B:$C,2,0),"")</f>
        <v>ATM-A22-0087</v>
      </c>
      <c r="E10" s="95"/>
      <c r="F10" s="95" t="s">
        <v>79</v>
      </c>
      <c r="G10" s="86" t="s">
        <v>90</v>
      </c>
      <c r="H10" s="80" t="str">
        <f>VLOOKUP(G10,'01. TH'!$B:$E,3,0)</f>
        <v>9460 x 2800 x 3200</v>
      </c>
      <c r="I10" s="80" t="s">
        <v>44</v>
      </c>
      <c r="J10" s="99">
        <v>44200.0</v>
      </c>
      <c r="K10" s="80" t="str">
        <f>IF(COUNTIF('TT BTSC'!$D:$D,B10)&gt;0,"Hư hỏng","Bình thường")</f>
        <v>Bình thường</v>
      </c>
      <c r="L10" s="102">
        <v>0.7</v>
      </c>
      <c r="M10" s="129"/>
      <c r="N10" s="106" t="s">
        <v>92</v>
      </c>
      <c r="O10" s="108" t="s">
        <v>84</v>
      </c>
      <c r="P10" s="80">
        <v>2020.0</v>
      </c>
      <c r="Q10" s="80" t="s">
        <v>111</v>
      </c>
      <c r="R10" s="106" t="s">
        <v>112</v>
      </c>
      <c r="S10" s="108" t="s">
        <v>113</v>
      </c>
      <c r="T10" s="110">
        <v>801502.0</v>
      </c>
      <c r="U10" s="110">
        <v>13.0</v>
      </c>
      <c r="V10" s="112">
        <v>410.0</v>
      </c>
      <c r="W10" s="112"/>
      <c r="X10" s="112"/>
      <c r="Y10" s="112"/>
    </row>
    <row r="11" ht="13.5" customHeight="1" outlineLevel="1">
      <c r="A11" s="95">
        <f t="shared" si="1"/>
        <v>6</v>
      </c>
      <c r="B11" s="84" t="s">
        <v>114</v>
      </c>
      <c r="C11" s="128"/>
      <c r="D11" s="95" t="str">
        <f>IFERROR(VLOOKUP(B11,' 02.1 KLH-CN MÃ BRAVO MM'!$B:$C,2,0),"")</f>
        <v>ATM-A22-0088</v>
      </c>
      <c r="E11" s="95"/>
      <c r="F11" s="95" t="s">
        <v>79</v>
      </c>
      <c r="G11" s="86" t="s">
        <v>115</v>
      </c>
      <c r="H11" s="80" t="str">
        <f>VLOOKUP(G11,'01. TH'!$B:$E,3,0)</f>
        <v>7640 x 2590 x 2820</v>
      </c>
      <c r="I11" s="80" t="s">
        <v>44</v>
      </c>
      <c r="J11" s="99">
        <v>44200.0</v>
      </c>
      <c r="K11" s="80" t="str">
        <f>IF(COUNTIF('TT BTSC'!$D:$D,B11)&gt;0,"Hư hỏng","Bình thường")</f>
        <v>Bình thường</v>
      </c>
      <c r="L11" s="102">
        <v>0.7</v>
      </c>
      <c r="M11" s="129"/>
      <c r="N11" s="106" t="s">
        <v>92</v>
      </c>
      <c r="O11" s="108" t="s">
        <v>84</v>
      </c>
      <c r="P11" s="80">
        <v>2021.0</v>
      </c>
      <c r="Q11" s="80" t="s">
        <v>116</v>
      </c>
      <c r="R11" s="106" t="s">
        <v>117</v>
      </c>
      <c r="S11" s="108" t="s">
        <v>118</v>
      </c>
      <c r="T11" s="110" t="s">
        <v>119</v>
      </c>
      <c r="U11" s="110">
        <v>12.0</v>
      </c>
      <c r="V11" s="112">
        <v>260.0</v>
      </c>
      <c r="W11" s="112"/>
      <c r="X11" s="112"/>
      <c r="Y11" s="112"/>
    </row>
    <row r="12" ht="13.5" customHeight="1" outlineLevel="1">
      <c r="A12" s="95">
        <f t="shared" si="1"/>
        <v>7</v>
      </c>
      <c r="B12" s="113" t="s">
        <v>121</v>
      </c>
      <c r="C12" s="84"/>
      <c r="D12" s="95" t="str">
        <f>IFERROR(VLOOKUP(B12,' 02.1 KLH-CN MÃ BRAVO MM'!$B:$C,2,0),"")</f>
        <v>ATT-A23-0027</v>
      </c>
      <c r="E12" s="95"/>
      <c r="F12" s="95" t="s">
        <v>79</v>
      </c>
      <c r="G12" s="115" t="s">
        <v>122</v>
      </c>
      <c r="H12" s="80" t="str">
        <f>VLOOKUP(G12,'01. TH'!$B:$E,3,0)</f>
        <v>4200 x 2980 x 2720</v>
      </c>
      <c r="I12" s="95" t="s">
        <v>44</v>
      </c>
      <c r="J12" s="116">
        <v>43952.0</v>
      </c>
      <c r="K12" s="80" t="str">
        <f>IF(COUNTIF('TT BTSC'!$D:$D,B12)&gt;0,"Hư hỏng","Bình thường")</f>
        <v>Bình thường</v>
      </c>
      <c r="L12" s="119"/>
      <c r="M12" s="118"/>
      <c r="N12" s="119" t="s">
        <v>123</v>
      </c>
      <c r="O12" s="110" t="s">
        <v>84</v>
      </c>
      <c r="P12" s="95">
        <v>1997.0</v>
      </c>
      <c r="Q12" s="95" t="s">
        <v>124</v>
      </c>
      <c r="R12" s="119" t="s">
        <v>125</v>
      </c>
      <c r="S12" s="110" t="s">
        <v>126</v>
      </c>
      <c r="T12" s="110" t="s">
        <v>96</v>
      </c>
      <c r="U12" s="110">
        <v>8.0</v>
      </c>
      <c r="V12" s="112">
        <v>165.0</v>
      </c>
      <c r="W12" s="112"/>
      <c r="X12" s="112"/>
      <c r="Y12" s="112"/>
    </row>
    <row r="13" ht="13.5" customHeight="1" outlineLevel="1">
      <c r="A13" s="95">
        <f t="shared" si="1"/>
        <v>8</v>
      </c>
      <c r="B13" s="113" t="s">
        <v>127</v>
      </c>
      <c r="C13" s="113"/>
      <c r="D13" s="95" t="str">
        <f>IFERROR(VLOOKUP(B13,' 02.1 KLH-CN MÃ BRAVO MM'!$B:$C,2,0),"")</f>
        <v>ATT-A23-0031</v>
      </c>
      <c r="E13" s="95"/>
      <c r="F13" s="95" t="s">
        <v>79</v>
      </c>
      <c r="G13" s="115" t="s">
        <v>128</v>
      </c>
      <c r="H13" s="80" t="str">
        <f>VLOOKUP(G13,'01. TH'!$B:$E,3,0)</f>
        <v>5585 x 3000 x 3055</v>
      </c>
      <c r="I13" s="95" t="s">
        <v>44</v>
      </c>
      <c r="J13" s="116">
        <v>43837.0</v>
      </c>
      <c r="K13" s="80" t="str">
        <f>IF(COUNTIF('TT BTSC'!$D:$D,B13)&gt;0,"Hư hỏng","Bình thường")</f>
        <v>Bình thường</v>
      </c>
      <c r="L13" s="119"/>
      <c r="M13" s="118"/>
      <c r="N13" s="119" t="s">
        <v>123</v>
      </c>
      <c r="O13" s="110" t="s">
        <v>84</v>
      </c>
      <c r="P13" s="95">
        <v>2002.0</v>
      </c>
      <c r="Q13" s="95" t="s">
        <v>129</v>
      </c>
      <c r="R13" s="119" t="s">
        <v>130</v>
      </c>
      <c r="S13" s="110" t="s">
        <v>131</v>
      </c>
      <c r="T13" s="110" t="s">
        <v>96</v>
      </c>
      <c r="U13" s="133">
        <v>14.0</v>
      </c>
      <c r="V13" s="112">
        <v>320.0</v>
      </c>
      <c r="W13" s="112"/>
      <c r="X13" s="112"/>
      <c r="Y13" s="112"/>
    </row>
    <row r="14" ht="13.5" customHeight="1" outlineLevel="1">
      <c r="A14" s="95">
        <f t="shared" si="1"/>
        <v>9</v>
      </c>
      <c r="B14" s="113" t="s">
        <v>132</v>
      </c>
      <c r="C14" s="113"/>
      <c r="D14" s="95" t="str">
        <f>IFERROR(VLOOKUP(B14,' 02.1 KLH-CN MÃ BRAVO MM'!$B:$C,2,0),"")</f>
        <v>ATM-A22-0089</v>
      </c>
      <c r="E14" s="95"/>
      <c r="F14" s="95" t="s">
        <v>79</v>
      </c>
      <c r="G14" s="115" t="s">
        <v>133</v>
      </c>
      <c r="H14" s="80" t="str">
        <f>VLOOKUP(G14,'01. TH'!$B:$E,3,0)</f>
        <v>5550 x 3970 x 3090</v>
      </c>
      <c r="I14" s="95" t="s">
        <v>44</v>
      </c>
      <c r="J14" s="116">
        <v>44287.0</v>
      </c>
      <c r="K14" s="80" t="str">
        <f>IF(COUNTIF('TT BTSC'!$D:$D,B14)&gt;0,"Hư hỏng","Bình thường")</f>
        <v>Bình thường</v>
      </c>
      <c r="L14" s="117">
        <v>0.7</v>
      </c>
      <c r="M14" s="118"/>
      <c r="N14" s="119" t="s">
        <v>123</v>
      </c>
      <c r="O14" s="110" t="s">
        <v>84</v>
      </c>
      <c r="P14" s="95">
        <v>1992.0</v>
      </c>
      <c r="Q14" s="95" t="s">
        <v>135</v>
      </c>
      <c r="R14" s="119" t="s">
        <v>130</v>
      </c>
      <c r="S14" s="110" t="s">
        <v>136</v>
      </c>
      <c r="T14" s="110" t="s">
        <v>137</v>
      </c>
      <c r="U14" s="133">
        <v>14.0</v>
      </c>
      <c r="V14" s="112">
        <v>406.0</v>
      </c>
      <c r="W14" s="112"/>
      <c r="X14" s="112"/>
      <c r="Y14" s="112"/>
    </row>
    <row r="15" ht="28.5" customHeight="1" outlineLevel="1">
      <c r="A15" s="95">
        <f t="shared" si="1"/>
        <v>10</v>
      </c>
      <c r="B15" s="115" t="s">
        <v>138</v>
      </c>
      <c r="C15" s="134" t="s">
        <v>139</v>
      </c>
      <c r="D15" s="95" t="s">
        <v>140</v>
      </c>
      <c r="E15" s="95"/>
      <c r="F15" s="95" t="s">
        <v>139</v>
      </c>
      <c r="G15" s="115" t="s">
        <v>128</v>
      </c>
      <c r="H15" s="80" t="str">
        <f>VLOOKUP(G15,'01. TH'!$B:$E,3,0)</f>
        <v>5585 x 3000 x 3055</v>
      </c>
      <c r="I15" s="95" t="s">
        <v>44</v>
      </c>
      <c r="J15" s="95" t="s">
        <v>141</v>
      </c>
      <c r="K15" s="80" t="str">
        <f>IF(COUNTIF('TT BTSC'!$D:$D,B15)&gt;0,"Hư hỏng","Bình thường")</f>
        <v>Bình thường</v>
      </c>
      <c r="L15" s="119"/>
      <c r="M15" s="129" t="s">
        <v>142</v>
      </c>
      <c r="N15" s="95" t="s">
        <v>123</v>
      </c>
      <c r="O15" s="110" t="s">
        <v>84</v>
      </c>
      <c r="P15" s="95">
        <v>1994.0</v>
      </c>
      <c r="Q15" s="95" t="s">
        <v>129</v>
      </c>
      <c r="R15" s="95" t="s">
        <v>130</v>
      </c>
      <c r="S15" s="110" t="s">
        <v>143</v>
      </c>
      <c r="T15" s="110" t="s">
        <v>144</v>
      </c>
      <c r="U15" s="133">
        <v>14.0</v>
      </c>
      <c r="V15" s="112">
        <v>320.0</v>
      </c>
      <c r="W15" s="112"/>
      <c r="X15" s="112"/>
      <c r="Y15" s="112"/>
    </row>
    <row r="16" ht="13.5" customHeight="1" outlineLevel="1">
      <c r="A16" s="95">
        <f t="shared" si="1"/>
        <v>11</v>
      </c>
      <c r="B16" s="84" t="s">
        <v>145</v>
      </c>
      <c r="C16" s="84"/>
      <c r="D16" s="95" t="str">
        <f>IFERROR(VLOOKUP(B16,' 02.1 KLH-CN MÃ BRAVO MM'!$B:$C,2,0),"")</f>
        <v>A23-XTA-002</v>
      </c>
      <c r="E16" s="95"/>
      <c r="F16" s="95" t="s">
        <v>79</v>
      </c>
      <c r="G16" s="86" t="s">
        <v>146</v>
      </c>
      <c r="H16" s="80" t="str">
        <f>VLOOKUP(G16,'01. TH'!$B:$E,3,0)</f>
        <v>9290 x 2500 x 3370</v>
      </c>
      <c r="I16" s="80" t="s">
        <v>44</v>
      </c>
      <c r="J16" s="99"/>
      <c r="K16" s="80" t="str">
        <f>IF(COUNTIF('TT BTSC'!$D:$D,B16)&gt;0,"Hư hỏng","Bình thường")</f>
        <v>Bình thường</v>
      </c>
      <c r="L16" s="106"/>
      <c r="M16" s="104"/>
      <c r="N16" s="106" t="s">
        <v>147</v>
      </c>
      <c r="O16" s="108" t="s">
        <v>148</v>
      </c>
      <c r="P16" s="80">
        <v>2018.0</v>
      </c>
      <c r="Q16" s="80" t="s">
        <v>149</v>
      </c>
      <c r="R16" s="106" t="s">
        <v>150</v>
      </c>
      <c r="S16" s="108" t="s">
        <v>151</v>
      </c>
      <c r="T16" s="110" t="s">
        <v>96</v>
      </c>
      <c r="U16" s="110">
        <v>1.41</v>
      </c>
      <c r="V16" s="112">
        <v>300.0</v>
      </c>
      <c r="W16" s="112"/>
      <c r="X16" s="112"/>
      <c r="Y16" s="112"/>
    </row>
    <row r="17" ht="13.5" customHeight="1" outlineLevel="1">
      <c r="A17" s="95">
        <f t="shared" si="1"/>
        <v>12</v>
      </c>
      <c r="B17" s="86" t="s">
        <v>153</v>
      </c>
      <c r="C17" s="134" t="s">
        <v>154</v>
      </c>
      <c r="D17" s="95" t="s">
        <v>155</v>
      </c>
      <c r="E17" s="95" t="s">
        <v>156</v>
      </c>
      <c r="F17" s="95" t="s">
        <v>154</v>
      </c>
      <c r="G17" s="86" t="s">
        <v>157</v>
      </c>
      <c r="H17" s="80" t="str">
        <f>VLOOKUP(G17,'01. TH'!$B:$E,3,0)</f>
        <v>7800 x 2500 x 3480</v>
      </c>
      <c r="I17" s="80" t="s">
        <v>44</v>
      </c>
      <c r="J17" s="99">
        <v>45749.0</v>
      </c>
      <c r="K17" s="80" t="str">
        <f>IF(COUNTIF('TT BTSC'!$D:$D,B17)&gt;0,"Hư hỏng","Bình thường")</f>
        <v>Bình thường</v>
      </c>
      <c r="L17" s="102"/>
      <c r="M17" s="129" t="s">
        <v>160</v>
      </c>
      <c r="N17" s="80" t="s">
        <v>161</v>
      </c>
      <c r="O17" s="108" t="s">
        <v>148</v>
      </c>
      <c r="P17" s="80">
        <v>2022.0</v>
      </c>
      <c r="Q17" s="80" t="s">
        <v>162</v>
      </c>
      <c r="R17" s="80" t="s">
        <v>163</v>
      </c>
      <c r="S17" s="108" t="s">
        <v>164</v>
      </c>
      <c r="T17" s="110" t="s">
        <v>165</v>
      </c>
      <c r="U17" s="110">
        <v>1.34</v>
      </c>
      <c r="V17" s="112">
        <v>300.0</v>
      </c>
      <c r="W17" s="112"/>
      <c r="X17" s="112"/>
      <c r="Y17" s="112"/>
    </row>
    <row r="18" ht="13.5" customHeight="1" outlineLevel="1">
      <c r="A18" s="95">
        <f t="shared" si="1"/>
        <v>13</v>
      </c>
      <c r="B18" s="86" t="s">
        <v>166</v>
      </c>
      <c r="C18" s="134" t="s">
        <v>154</v>
      </c>
      <c r="D18" s="95" t="s">
        <v>167</v>
      </c>
      <c r="E18" s="95" t="s">
        <v>168</v>
      </c>
      <c r="F18" s="95" t="s">
        <v>154</v>
      </c>
      <c r="G18" s="86" t="s">
        <v>157</v>
      </c>
      <c r="H18" s="80" t="str">
        <f>VLOOKUP(G18,'01. TH'!$B:$E,3,0)</f>
        <v>7800 x 2500 x 3480</v>
      </c>
      <c r="I18" s="80" t="s">
        <v>44</v>
      </c>
      <c r="J18" s="99">
        <v>45749.0</v>
      </c>
      <c r="K18" s="80" t="str">
        <f>IF(COUNTIF('TT BTSC'!$D:$D,B18)&gt;0,"Hư hỏng","Bình thường")</f>
        <v>Bình thường</v>
      </c>
      <c r="L18" s="102"/>
      <c r="M18" s="129" t="s">
        <v>160</v>
      </c>
      <c r="N18" s="80" t="s">
        <v>161</v>
      </c>
      <c r="O18" s="108" t="s">
        <v>148</v>
      </c>
      <c r="P18" s="80">
        <v>2022.0</v>
      </c>
      <c r="Q18" s="80" t="s">
        <v>162</v>
      </c>
      <c r="R18" s="80" t="s">
        <v>163</v>
      </c>
      <c r="S18" s="108" t="s">
        <v>169</v>
      </c>
      <c r="T18" s="110" t="s">
        <v>170</v>
      </c>
      <c r="U18" s="110">
        <v>1.34</v>
      </c>
      <c r="V18" s="112">
        <v>300.0</v>
      </c>
      <c r="W18" s="112"/>
      <c r="X18" s="112"/>
      <c r="Y18" s="112"/>
    </row>
    <row r="19" ht="25.5" customHeight="1" outlineLevel="1">
      <c r="A19" s="95">
        <f t="shared" si="1"/>
        <v>14</v>
      </c>
      <c r="B19" s="86" t="s">
        <v>171</v>
      </c>
      <c r="C19" s="134" t="s">
        <v>172</v>
      </c>
      <c r="D19" s="95" t="s">
        <v>173</v>
      </c>
      <c r="E19" s="95" t="s">
        <v>174</v>
      </c>
      <c r="F19" s="95" t="s">
        <v>154</v>
      </c>
      <c r="G19" s="86" t="s">
        <v>157</v>
      </c>
      <c r="H19" s="80" t="str">
        <f>VLOOKUP(G19,'01. TH'!$B:$E,3,0)</f>
        <v>7800 x 2500 x 3480</v>
      </c>
      <c r="I19" s="80" t="s">
        <v>44</v>
      </c>
      <c r="J19" s="99">
        <v>45749.0</v>
      </c>
      <c r="K19" s="80" t="str">
        <f>IF(COUNTIF('TT BTSC'!$D:$D,B19)&gt;0,"Hư hỏng","Bình thường")</f>
        <v>Bình thường</v>
      </c>
      <c r="L19" s="102"/>
      <c r="M19" s="129" t="s">
        <v>175</v>
      </c>
      <c r="N19" s="80" t="s">
        <v>161</v>
      </c>
      <c r="O19" s="108" t="s">
        <v>148</v>
      </c>
      <c r="P19" s="80">
        <v>2022.0</v>
      </c>
      <c r="Q19" s="80" t="s">
        <v>162</v>
      </c>
      <c r="R19" s="80" t="s">
        <v>163</v>
      </c>
      <c r="S19" s="108" t="s">
        <v>176</v>
      </c>
      <c r="T19" s="110" t="s">
        <v>177</v>
      </c>
      <c r="U19" s="110">
        <v>0.9</v>
      </c>
      <c r="V19" s="112">
        <v>300.0</v>
      </c>
      <c r="W19" s="112"/>
      <c r="X19" s="112"/>
      <c r="Y19" s="112"/>
    </row>
    <row r="20" ht="13.5" customHeight="1" outlineLevel="1">
      <c r="A20" s="95">
        <f t="shared" si="1"/>
        <v>15</v>
      </c>
      <c r="B20" s="134" t="s">
        <v>178</v>
      </c>
      <c r="C20" s="134" t="s">
        <v>154</v>
      </c>
      <c r="D20" s="9" t="s">
        <v>179</v>
      </c>
      <c r="E20" s="9" t="s">
        <v>180</v>
      </c>
      <c r="F20" s="95" t="s">
        <v>154</v>
      </c>
      <c r="G20" s="134" t="s">
        <v>157</v>
      </c>
      <c r="H20" s="80" t="str">
        <f>VLOOKUP(G20,'01. TH'!$B:$E,3,0)</f>
        <v>7800 x 2500 x 3480</v>
      </c>
      <c r="I20" s="137" t="s">
        <v>44</v>
      </c>
      <c r="J20" s="138">
        <v>45661.0</v>
      </c>
      <c r="K20" s="80" t="str">
        <f>IF(COUNTIF('TT BTSC'!$D:$D,B20)&gt;0,"Hư hỏng","Bình thường")</f>
        <v>Bình thường</v>
      </c>
      <c r="L20" s="139"/>
      <c r="M20" s="129" t="s">
        <v>160</v>
      </c>
      <c r="N20" s="9" t="s">
        <v>161</v>
      </c>
      <c r="O20" s="140" t="s">
        <v>148</v>
      </c>
      <c r="P20" s="9">
        <v>2022.0</v>
      </c>
      <c r="Q20" s="9" t="s">
        <v>162</v>
      </c>
      <c r="R20" s="9" t="s">
        <v>163</v>
      </c>
      <c r="S20" s="140" t="s">
        <v>183</v>
      </c>
      <c r="T20" s="140" t="s">
        <v>184</v>
      </c>
      <c r="U20" s="110">
        <v>1.34</v>
      </c>
      <c r="V20" s="112">
        <v>300.0</v>
      </c>
      <c r="W20" s="112"/>
      <c r="X20" s="112"/>
      <c r="Y20" s="112"/>
    </row>
    <row r="21" ht="13.5" customHeight="1" outlineLevel="1">
      <c r="A21" s="95">
        <f t="shared" si="1"/>
        <v>16</v>
      </c>
      <c r="B21" s="84" t="s">
        <v>185</v>
      </c>
      <c r="C21" s="84"/>
      <c r="D21" s="95" t="str">
        <f>IFERROR(VLOOKUP(B21,' 02.1 KLH-CN MÃ BRAVO MM'!$B:$C,2,0),"")</f>
        <v>ATT-A23-0026</v>
      </c>
      <c r="E21" s="95"/>
      <c r="F21" s="95" t="s">
        <v>79</v>
      </c>
      <c r="G21" s="86" t="s">
        <v>186</v>
      </c>
      <c r="H21" s="80" t="str">
        <f>VLOOKUP(G21,'01. TH'!$B:$E,3,0)</f>
        <v>5810 x 2300 x 2860</v>
      </c>
      <c r="I21" s="80" t="s">
        <v>44</v>
      </c>
      <c r="J21" s="99">
        <v>43835.0</v>
      </c>
      <c r="K21" s="80" t="str">
        <f>IF(COUNTIF('TT BTSC'!$D:$D,B21)&gt;0,"Hư hỏng","Bình thường")</f>
        <v>Bình thường</v>
      </c>
      <c r="L21" s="102">
        <v>0.67</v>
      </c>
      <c r="M21" s="104"/>
      <c r="N21" s="106" t="s">
        <v>187</v>
      </c>
      <c r="O21" s="108" t="s">
        <v>84</v>
      </c>
      <c r="P21" s="80">
        <v>2006.0</v>
      </c>
      <c r="Q21" s="80" t="s">
        <v>188</v>
      </c>
      <c r="R21" s="106" t="s">
        <v>189</v>
      </c>
      <c r="S21" s="108" t="s">
        <v>190</v>
      </c>
      <c r="T21" s="110" t="s">
        <v>96</v>
      </c>
      <c r="U21" s="110">
        <v>7.0</v>
      </c>
      <c r="V21" s="112">
        <v>250.0</v>
      </c>
      <c r="W21" s="112"/>
      <c r="X21" s="112"/>
      <c r="Y21" s="112"/>
    </row>
    <row r="22" ht="13.5" customHeight="1" outlineLevel="1">
      <c r="A22" s="95">
        <f t="shared" si="1"/>
        <v>17</v>
      </c>
      <c r="B22" s="84" t="s">
        <v>191</v>
      </c>
      <c r="C22" s="86"/>
      <c r="D22" s="95" t="str">
        <f>IFERROR(VLOOKUP(B22,' 02.1 KLH-CN MÃ BRAVO MM'!$B:$C,2,0),"")</f>
        <v>ATT-A22-0153</v>
      </c>
      <c r="E22" s="95"/>
      <c r="F22" s="95" t="s">
        <v>79</v>
      </c>
      <c r="G22" s="86" t="s">
        <v>192</v>
      </c>
      <c r="H22" s="80" t="str">
        <f>VLOOKUP(G22,'01. TH'!$B:$E,3,0)</f>
        <v>5020 x 2000 x 3115</v>
      </c>
      <c r="I22" s="80" t="s">
        <v>44</v>
      </c>
      <c r="J22" s="99">
        <v>44136.0</v>
      </c>
      <c r="K22" s="80" t="str">
        <f>IF(COUNTIF('TT BTSC'!$D:$D,B22)&gt;0,"Hư hỏng","Bình thường")</f>
        <v>Bình thường</v>
      </c>
      <c r="L22" s="102">
        <v>0.5</v>
      </c>
      <c r="M22" s="104"/>
      <c r="N22" s="106" t="s">
        <v>187</v>
      </c>
      <c r="O22" s="108" t="s">
        <v>84</v>
      </c>
      <c r="P22" s="80">
        <v>1990.0</v>
      </c>
      <c r="Q22" s="80" t="s">
        <v>194</v>
      </c>
      <c r="R22" s="106" t="s">
        <v>195</v>
      </c>
      <c r="S22" s="108" t="s">
        <v>196</v>
      </c>
      <c r="T22" s="110" t="s">
        <v>197</v>
      </c>
      <c r="U22" s="110">
        <v>4.0</v>
      </c>
      <c r="V22" s="112">
        <v>0.0</v>
      </c>
      <c r="W22" s="112"/>
      <c r="X22" s="112"/>
      <c r="Y22" s="112"/>
    </row>
    <row r="23" ht="12.75" customHeight="1" outlineLevel="1">
      <c r="A23" s="95">
        <f t="shared" si="1"/>
        <v>18</v>
      </c>
      <c r="B23" s="84" t="s">
        <v>199</v>
      </c>
      <c r="C23" s="84"/>
      <c r="D23" s="95" t="str">
        <f>IFERROR(VLOOKUP(B23,' 02.1 KLH-CN MÃ BRAVO MM'!$B:$C,2,0),"")</f>
        <v>ATT-A22-0295</v>
      </c>
      <c r="E23" s="95"/>
      <c r="F23" s="95" t="s">
        <v>79</v>
      </c>
      <c r="G23" s="86" t="s">
        <v>200</v>
      </c>
      <c r="H23" s="80" t="str">
        <f>VLOOKUP(G23,'01. TH'!$B:$E,3,0)</f>
        <v>#N/A</v>
      </c>
      <c r="I23" s="80" t="s">
        <v>44</v>
      </c>
      <c r="J23" s="80" t="s">
        <v>172</v>
      </c>
      <c r="K23" s="80" t="str">
        <f>IF(COUNTIF('TT BTSC'!$D:$D,B23)&gt;0,"Hư hỏng","Bình thường")</f>
        <v>Bình thường</v>
      </c>
      <c r="L23" s="102">
        <v>0.97</v>
      </c>
      <c r="M23" s="104"/>
      <c r="N23" s="106" t="s">
        <v>201</v>
      </c>
      <c r="O23" s="108" t="s">
        <v>148</v>
      </c>
      <c r="P23" s="80">
        <v>2022.0</v>
      </c>
      <c r="Q23" s="80" t="s">
        <v>202</v>
      </c>
      <c r="R23" s="106" t="s">
        <v>203</v>
      </c>
      <c r="S23" s="108" t="s">
        <v>204</v>
      </c>
      <c r="T23" s="110" t="s">
        <v>205</v>
      </c>
      <c r="U23" s="110">
        <v>0.6</v>
      </c>
      <c r="V23" s="112">
        <v>300.0</v>
      </c>
      <c r="W23" s="112"/>
      <c r="X23" s="112"/>
      <c r="Y23" s="112"/>
    </row>
    <row r="24" ht="13.5" customHeight="1" outlineLevel="1">
      <c r="A24" s="95">
        <f t="shared" si="1"/>
        <v>19</v>
      </c>
      <c r="B24" s="113" t="s">
        <v>206</v>
      </c>
      <c r="C24" s="115"/>
      <c r="D24" s="95" t="str">
        <f>IFERROR(VLOOKUP(B24,' 02.1 KLH-CN MÃ BRAVO MM'!$B:$C,2,0),"")</f>
        <v>ATT-A22-0156</v>
      </c>
      <c r="E24" s="95"/>
      <c r="F24" s="95" t="s">
        <v>79</v>
      </c>
      <c r="G24" s="115" t="s">
        <v>207</v>
      </c>
      <c r="H24" s="80" t="str">
        <f>VLOOKUP(G24,'01. TH'!$B:$E,3,0)</f>
        <v>8420 x 2375 x 3240</v>
      </c>
      <c r="I24" s="95" t="s">
        <v>44</v>
      </c>
      <c r="J24" s="116">
        <v>44166.0</v>
      </c>
      <c r="K24" s="80" t="str">
        <f>IF(COUNTIF('TT BTSC'!$D:$D,B24)&gt;0,"Hư hỏng","Bình thường")</f>
        <v>Bình thường</v>
      </c>
      <c r="L24" s="117">
        <v>0.67</v>
      </c>
      <c r="M24" s="118"/>
      <c r="N24" s="119" t="s">
        <v>123</v>
      </c>
      <c r="O24" s="110" t="s">
        <v>84</v>
      </c>
      <c r="P24" s="95">
        <v>1994.0</v>
      </c>
      <c r="Q24" s="95" t="s">
        <v>208</v>
      </c>
      <c r="R24" s="119" t="s">
        <v>209</v>
      </c>
      <c r="S24" s="110" t="s">
        <v>210</v>
      </c>
      <c r="T24" s="110" t="s">
        <v>211</v>
      </c>
      <c r="U24" s="110">
        <v>9.3</v>
      </c>
      <c r="V24" s="112">
        <v>0.0</v>
      </c>
      <c r="W24" s="112"/>
      <c r="X24" s="112"/>
      <c r="Y24" s="112"/>
    </row>
    <row r="25" ht="13.5" customHeight="1" outlineLevel="1">
      <c r="A25" s="95">
        <f t="shared" si="1"/>
        <v>20</v>
      </c>
      <c r="B25" s="84" t="s">
        <v>212</v>
      </c>
      <c r="C25" s="86"/>
      <c r="D25" s="95" t="str">
        <f>IFERROR(VLOOKUP(B25,' 02.1 KLH-CN MÃ BRAVO MM'!$B:$C,2,0),"")</f>
        <v>ATT-A23-0033</v>
      </c>
      <c r="E25" s="95"/>
      <c r="F25" s="95" t="s">
        <v>79</v>
      </c>
      <c r="G25" s="86" t="s">
        <v>213</v>
      </c>
      <c r="H25" s="80" t="str">
        <f>VLOOKUP(G25,'01. TH'!$B:$E,3,0)</f>
        <v>11050 x 2790 x 3260</v>
      </c>
      <c r="I25" s="80" t="s">
        <v>44</v>
      </c>
      <c r="J25" s="99">
        <v>43837.0</v>
      </c>
      <c r="K25" s="80" t="str">
        <f>IF(COUNTIF('TT BTSC'!$D:$D,B25)&gt;0,"Hư hỏng","Bình thường")</f>
        <v>Bình thường</v>
      </c>
      <c r="L25" s="106"/>
      <c r="M25" s="104"/>
      <c r="N25" s="106" t="s">
        <v>123</v>
      </c>
      <c r="O25" s="108" t="s">
        <v>84</v>
      </c>
      <c r="P25" s="80">
        <v>2018.0</v>
      </c>
      <c r="Q25" s="80" t="s">
        <v>214</v>
      </c>
      <c r="R25" s="106" t="s">
        <v>215</v>
      </c>
      <c r="S25" s="108" t="s">
        <v>216</v>
      </c>
      <c r="T25" s="110" t="s">
        <v>96</v>
      </c>
      <c r="U25" s="110">
        <v>14.8</v>
      </c>
      <c r="V25" s="112">
        <v>400.0</v>
      </c>
      <c r="W25" s="112"/>
      <c r="X25" s="112"/>
      <c r="Y25" s="112"/>
    </row>
    <row r="26" ht="13.5" customHeight="1" outlineLevel="1">
      <c r="A26" s="95">
        <f t="shared" si="1"/>
        <v>21</v>
      </c>
      <c r="B26" s="134" t="s">
        <v>217</v>
      </c>
      <c r="C26" s="134" t="s">
        <v>139</v>
      </c>
      <c r="D26" s="9" t="str">
        <f>IFERROR(VLOOKUP(B26,' 02.1 KLH-CN MÃ BRAVO MM'!$B:$C,2,0),"")</f>
        <v>A23-MĐA-013</v>
      </c>
      <c r="E26" s="9"/>
      <c r="F26" s="95" t="s">
        <v>139</v>
      </c>
      <c r="G26" s="134" t="s">
        <v>219</v>
      </c>
      <c r="H26" s="80" t="str">
        <f>VLOOKUP(G26,'01. TH'!$B:$E,3,0)</f>
        <v>5260 x 1760 x 2415</v>
      </c>
      <c r="I26" s="137" t="s">
        <v>44</v>
      </c>
      <c r="J26" s="9" t="s">
        <v>220</v>
      </c>
      <c r="K26" s="80" t="str">
        <f>IF(COUNTIF('TT BTSC'!$D:$D,B26)&gt;0,"Hư hỏng","Bình thường")</f>
        <v>Bình thường</v>
      </c>
      <c r="L26" s="139"/>
      <c r="M26" s="141" t="s">
        <v>221</v>
      </c>
      <c r="N26" s="9" t="s">
        <v>123</v>
      </c>
      <c r="O26" s="140" t="s">
        <v>222</v>
      </c>
      <c r="P26" s="9">
        <v>2015.0</v>
      </c>
      <c r="Q26" s="9" t="s">
        <v>223</v>
      </c>
      <c r="R26" s="9" t="s">
        <v>224</v>
      </c>
      <c r="S26" s="140" t="s">
        <v>225</v>
      </c>
      <c r="T26" s="140">
        <v>38204.0</v>
      </c>
      <c r="U26" s="140">
        <v>4.0</v>
      </c>
      <c r="V26" s="112">
        <v>60.0</v>
      </c>
      <c r="W26" s="112"/>
      <c r="X26" s="112"/>
      <c r="Y26" s="112"/>
    </row>
    <row r="27" ht="13.5" customHeight="1" outlineLevel="1">
      <c r="A27" s="95">
        <f t="shared" si="1"/>
        <v>22</v>
      </c>
      <c r="B27" s="134" t="s">
        <v>226</v>
      </c>
      <c r="C27" s="134" t="s">
        <v>139</v>
      </c>
      <c r="D27" s="9" t="str">
        <f>IFERROR(VLOOKUP(B27,' 02.1 KLH-CN MÃ BRAVO MM'!$B:$C,2,0),"")</f>
        <v>A23-MĐA-014</v>
      </c>
      <c r="E27" s="9"/>
      <c r="F27" s="95" t="s">
        <v>139</v>
      </c>
      <c r="G27" s="134" t="s">
        <v>219</v>
      </c>
      <c r="H27" s="80" t="str">
        <f>VLOOKUP(G27,'01. TH'!$B:$E,3,0)</f>
        <v>5260 x 1760 x 2415</v>
      </c>
      <c r="I27" s="137" t="s">
        <v>44</v>
      </c>
      <c r="J27" s="9" t="s">
        <v>227</v>
      </c>
      <c r="K27" s="80" t="str">
        <f>IF(COUNTIF('TT BTSC'!$D:$D,B27)&gt;0,"Hư hỏng","Bình thường")</f>
        <v>Bình thường</v>
      </c>
      <c r="L27" s="139"/>
      <c r="M27" s="141" t="s">
        <v>228</v>
      </c>
      <c r="N27" s="9" t="s">
        <v>123</v>
      </c>
      <c r="O27" s="140" t="s">
        <v>222</v>
      </c>
      <c r="P27" s="9">
        <v>2012.0</v>
      </c>
      <c r="Q27" s="9" t="s">
        <v>223</v>
      </c>
      <c r="R27" s="9" t="s">
        <v>224</v>
      </c>
      <c r="S27" s="140" t="s">
        <v>229</v>
      </c>
      <c r="T27" s="140">
        <v>25866.0</v>
      </c>
      <c r="U27" s="140">
        <v>4.0</v>
      </c>
      <c r="V27" s="112">
        <v>60.0</v>
      </c>
      <c r="W27" s="112"/>
      <c r="X27" s="112"/>
      <c r="Y27" s="112"/>
    </row>
    <row r="28" ht="13.5" customHeight="1" outlineLevel="1">
      <c r="A28" s="95">
        <f t="shared" si="1"/>
        <v>23</v>
      </c>
      <c r="B28" s="134" t="s">
        <v>230</v>
      </c>
      <c r="C28" s="134" t="s">
        <v>139</v>
      </c>
      <c r="D28" s="9" t="str">
        <f>IFERROR(VLOOKUP(B28,' 02.1 KLH-CN MÃ BRAVO MM'!$B:$C,2,0),"")</f>
        <v>A23-MĐA-015</v>
      </c>
      <c r="E28" s="9"/>
      <c r="F28" s="95" t="s">
        <v>139</v>
      </c>
      <c r="G28" s="134" t="s">
        <v>219</v>
      </c>
      <c r="H28" s="80" t="str">
        <f>VLOOKUP(G28,'01. TH'!$B:$E,3,0)</f>
        <v>5260 x 1760 x 2415</v>
      </c>
      <c r="I28" s="137" t="s">
        <v>44</v>
      </c>
      <c r="J28" s="9" t="s">
        <v>220</v>
      </c>
      <c r="K28" s="80" t="str">
        <f>IF(COUNTIF('TT BTSC'!$D:$D,B28)&gt;0,"Hư hỏng","Bình thường")</f>
        <v>Bình thường</v>
      </c>
      <c r="L28" s="139"/>
      <c r="M28" s="141" t="s">
        <v>231</v>
      </c>
      <c r="N28" s="9" t="s">
        <v>123</v>
      </c>
      <c r="O28" s="140" t="s">
        <v>222</v>
      </c>
      <c r="P28" s="9">
        <v>2015.0</v>
      </c>
      <c r="Q28" s="9" t="s">
        <v>223</v>
      </c>
      <c r="R28" s="9" t="s">
        <v>224</v>
      </c>
      <c r="S28" s="140" t="s">
        <v>232</v>
      </c>
      <c r="T28" s="140">
        <v>36975.0</v>
      </c>
      <c r="U28" s="140">
        <v>4.0</v>
      </c>
      <c r="V28" s="112">
        <v>60.0</v>
      </c>
      <c r="W28" s="112"/>
      <c r="X28" s="112"/>
      <c r="Y28" s="112"/>
    </row>
    <row r="29" ht="13.5" customHeight="1" outlineLevel="1">
      <c r="A29" s="95">
        <f t="shared" si="1"/>
        <v>24</v>
      </c>
      <c r="B29" s="134" t="s">
        <v>233</v>
      </c>
      <c r="C29" s="134" t="s">
        <v>139</v>
      </c>
      <c r="D29" s="9" t="s">
        <v>234</v>
      </c>
      <c r="E29" s="9"/>
      <c r="F29" s="95" t="s">
        <v>139</v>
      </c>
      <c r="G29" s="134" t="s">
        <v>219</v>
      </c>
      <c r="H29" s="80" t="str">
        <f>VLOOKUP(G29,'01. TH'!$B:$E,3,0)</f>
        <v>5260 x 1760 x 2415</v>
      </c>
      <c r="I29" s="137" t="s">
        <v>44</v>
      </c>
      <c r="J29" s="138">
        <v>45302.0</v>
      </c>
      <c r="K29" s="80" t="str">
        <f>IF(COUNTIF('TT BTSC'!$D:$D,B29)&gt;0,"Hư hỏng","Bình thường")</f>
        <v>Bình thường</v>
      </c>
      <c r="L29" s="139"/>
      <c r="M29" s="141" t="s">
        <v>236</v>
      </c>
      <c r="N29" s="9" t="s">
        <v>123</v>
      </c>
      <c r="O29" s="140" t="s">
        <v>222</v>
      </c>
      <c r="P29" s="9">
        <v>2017.0</v>
      </c>
      <c r="Q29" s="9" t="s">
        <v>237</v>
      </c>
      <c r="R29" s="9" t="s">
        <v>224</v>
      </c>
      <c r="S29" s="142" t="s">
        <v>238</v>
      </c>
      <c r="T29" s="140">
        <v>10671.0</v>
      </c>
      <c r="U29" s="140">
        <v>4.0</v>
      </c>
      <c r="V29" s="112">
        <v>65.0</v>
      </c>
      <c r="W29" s="112"/>
      <c r="X29" s="112"/>
      <c r="Y29" s="112"/>
    </row>
    <row r="30" ht="13.5" customHeight="1" outlineLevel="1">
      <c r="A30" s="95">
        <f t="shared" si="1"/>
        <v>25</v>
      </c>
      <c r="B30" s="134" t="s">
        <v>239</v>
      </c>
      <c r="C30" s="134" t="s">
        <v>139</v>
      </c>
      <c r="D30" s="9" t="s">
        <v>240</v>
      </c>
      <c r="E30" s="9"/>
      <c r="F30" s="95" t="s">
        <v>139</v>
      </c>
      <c r="G30" s="134" t="s">
        <v>219</v>
      </c>
      <c r="H30" s="80" t="str">
        <f>VLOOKUP(G30,'01. TH'!$B:$E,3,0)</f>
        <v>5260 x 1760 x 2415</v>
      </c>
      <c r="I30" s="137" t="s">
        <v>44</v>
      </c>
      <c r="J30" s="138">
        <v>45302.0</v>
      </c>
      <c r="K30" s="80" t="str">
        <f>IF(COUNTIF('TT BTSC'!$D:$D,B30)&gt;0,"Hư hỏng","Bình thường")</f>
        <v>Bình thường</v>
      </c>
      <c r="L30" s="139"/>
      <c r="M30" s="141" t="s">
        <v>236</v>
      </c>
      <c r="N30" s="9" t="s">
        <v>123</v>
      </c>
      <c r="O30" s="140" t="s">
        <v>222</v>
      </c>
      <c r="P30" s="9">
        <v>2015.0</v>
      </c>
      <c r="Q30" s="9" t="s">
        <v>237</v>
      </c>
      <c r="R30" s="9" t="s">
        <v>224</v>
      </c>
      <c r="S30" s="142" t="s">
        <v>242</v>
      </c>
      <c r="T30" s="140">
        <v>36094.0</v>
      </c>
      <c r="U30" s="140">
        <v>4.0</v>
      </c>
      <c r="V30" s="112">
        <v>65.0</v>
      </c>
      <c r="W30" s="112"/>
      <c r="X30" s="112"/>
      <c r="Y30" s="112"/>
    </row>
    <row r="31" ht="13.5" customHeight="1" outlineLevel="1">
      <c r="A31" s="95">
        <f t="shared" si="1"/>
        <v>26</v>
      </c>
      <c r="B31" s="134" t="s">
        <v>243</v>
      </c>
      <c r="C31" s="134" t="s">
        <v>139</v>
      </c>
      <c r="D31" s="9" t="str">
        <f>IFERROR(VLOOKUP(B31,' 02.1 KLH-CN MÃ BRAVO MM'!$B:$C,2,0),"")</f>
        <v>A23-MĐA-047</v>
      </c>
      <c r="E31" s="9"/>
      <c r="F31" s="95" t="s">
        <v>139</v>
      </c>
      <c r="G31" s="134" t="s">
        <v>219</v>
      </c>
      <c r="H31" s="80" t="str">
        <f>VLOOKUP(G31,'01. TH'!$B:$E,3,0)</f>
        <v>5260 x 1760 x 2415</v>
      </c>
      <c r="I31" s="137" t="s">
        <v>44</v>
      </c>
      <c r="J31" s="138">
        <v>45298.0</v>
      </c>
      <c r="K31" s="80" t="str">
        <f>IF(COUNTIF('TT BTSC'!$D:$D,B31)&gt;0,"Hư hỏng","Bình thường")</f>
        <v>Bình thường</v>
      </c>
      <c r="L31" s="139"/>
      <c r="M31" s="141" t="s">
        <v>244</v>
      </c>
      <c r="N31" s="9" t="s">
        <v>123</v>
      </c>
      <c r="O31" s="140" t="s">
        <v>222</v>
      </c>
      <c r="P31" s="9">
        <v>2013.0</v>
      </c>
      <c r="Q31" s="9" t="s">
        <v>223</v>
      </c>
      <c r="R31" s="9" t="s">
        <v>224</v>
      </c>
      <c r="S31" s="140" t="s">
        <v>245</v>
      </c>
      <c r="T31" s="140">
        <v>25275.0</v>
      </c>
      <c r="U31" s="140">
        <v>4.0</v>
      </c>
      <c r="V31" s="112">
        <v>60.0</v>
      </c>
      <c r="W31" s="112"/>
      <c r="X31" s="112"/>
      <c r="Y31" s="112"/>
    </row>
    <row r="32" ht="13.5" customHeight="1" outlineLevel="1">
      <c r="A32" s="95">
        <f t="shared" si="1"/>
        <v>27</v>
      </c>
      <c r="B32" s="134" t="s">
        <v>246</v>
      </c>
      <c r="C32" s="134" t="s">
        <v>139</v>
      </c>
      <c r="D32" s="9" t="str">
        <f>IFERROR(VLOOKUP(B32,' 02.1 KLH-CN MÃ BRAVO MM'!$B:$C,2,0),"")</f>
        <v>A23-MĐA-048</v>
      </c>
      <c r="E32" s="9"/>
      <c r="F32" s="95" t="s">
        <v>139</v>
      </c>
      <c r="G32" s="134" t="s">
        <v>219</v>
      </c>
      <c r="H32" s="80" t="str">
        <f>VLOOKUP(G32,'01. TH'!$B:$E,3,0)</f>
        <v>5260 x 1760 x 2415</v>
      </c>
      <c r="I32" s="137" t="s">
        <v>44</v>
      </c>
      <c r="J32" s="138">
        <v>45298.0</v>
      </c>
      <c r="K32" s="80" t="str">
        <f>IF(COUNTIF('TT BTSC'!$D:$D,B32)&gt;0,"Hư hỏng","Bình thường")</f>
        <v>Bình thường</v>
      </c>
      <c r="L32" s="139"/>
      <c r="M32" s="141" t="s">
        <v>247</v>
      </c>
      <c r="N32" s="9" t="s">
        <v>123</v>
      </c>
      <c r="O32" s="140" t="s">
        <v>222</v>
      </c>
      <c r="P32" s="9">
        <v>2013.0</v>
      </c>
      <c r="Q32" s="9" t="s">
        <v>223</v>
      </c>
      <c r="R32" s="9" t="s">
        <v>224</v>
      </c>
      <c r="S32" s="140" t="s">
        <v>248</v>
      </c>
      <c r="T32" s="140">
        <v>27440.0</v>
      </c>
      <c r="U32" s="140">
        <v>4.0</v>
      </c>
      <c r="V32" s="112">
        <v>60.0</v>
      </c>
      <c r="W32" s="112"/>
      <c r="X32" s="112"/>
      <c r="Y32" s="112"/>
    </row>
    <row r="33" ht="18.0" customHeight="1" outlineLevel="1">
      <c r="A33" s="95">
        <f t="shared" si="1"/>
        <v>28</v>
      </c>
      <c r="B33" s="134" t="s">
        <v>249</v>
      </c>
      <c r="C33" s="134" t="s">
        <v>139</v>
      </c>
      <c r="D33" s="9" t="s">
        <v>250</v>
      </c>
      <c r="E33" s="9"/>
      <c r="F33" s="95" t="s">
        <v>139</v>
      </c>
      <c r="G33" s="134" t="s">
        <v>219</v>
      </c>
      <c r="H33" s="80" t="str">
        <f>VLOOKUP(G33,'01. TH'!$B:$E,3,0)</f>
        <v>5260 x 1760 x 2415</v>
      </c>
      <c r="I33" s="137" t="s">
        <v>44</v>
      </c>
      <c r="J33" s="138">
        <v>46002.0</v>
      </c>
      <c r="K33" s="80" t="str">
        <f>IF(COUNTIF('TT BTSC'!$D:$D,B33)&gt;0,"Hư hỏng","Bình thường")</f>
        <v>Bình thường</v>
      </c>
      <c r="L33" s="139"/>
      <c r="M33" s="141" t="s">
        <v>251</v>
      </c>
      <c r="N33" s="9" t="s">
        <v>123</v>
      </c>
      <c r="O33" s="140" t="s">
        <v>222</v>
      </c>
      <c r="P33" s="9">
        <v>2015.0</v>
      </c>
      <c r="Q33" s="9" t="s">
        <v>252</v>
      </c>
      <c r="R33" s="9" t="s">
        <v>224</v>
      </c>
      <c r="S33" s="140" t="s">
        <v>253</v>
      </c>
      <c r="T33" s="140" t="s">
        <v>254</v>
      </c>
      <c r="U33" s="140">
        <v>4.0</v>
      </c>
      <c r="V33" s="144"/>
      <c r="W33" s="144" t="s">
        <v>255</v>
      </c>
      <c r="X33" s="144"/>
      <c r="Y33" s="144"/>
    </row>
    <row r="34" ht="34.5" customHeight="1" outlineLevel="1">
      <c r="A34" s="95">
        <f t="shared" si="1"/>
        <v>29</v>
      </c>
      <c r="B34" s="134" t="s">
        <v>256</v>
      </c>
      <c r="C34" s="134" t="s">
        <v>139</v>
      </c>
      <c r="D34" s="9" t="str">
        <f>IFERROR(VLOOKUP(B34,' 02.1 KLH-CN MÃ BRAVO MM'!$B:$C,2,0),"")</f>
        <v>A23-XLU-008</v>
      </c>
      <c r="E34" s="9"/>
      <c r="F34" s="95" t="s">
        <v>139</v>
      </c>
      <c r="G34" s="134" t="s">
        <v>257</v>
      </c>
      <c r="H34" s="80" t="str">
        <f>VLOOKUP(G34,'01. TH'!$B:$E,3,0)</f>
        <v>3100 x 1400 x 1585</v>
      </c>
      <c r="I34" s="137" t="s">
        <v>44</v>
      </c>
      <c r="J34" s="138">
        <v>45330.0</v>
      </c>
      <c r="K34" s="80" t="str">
        <f>IF(COUNTIF('TT BTSC'!$D:$D,B34)&gt;0,"Hư hỏng","Bình thường")</f>
        <v>Bình thường</v>
      </c>
      <c r="L34" s="139"/>
      <c r="M34" s="141" t="s">
        <v>258</v>
      </c>
      <c r="N34" s="9" t="s">
        <v>259</v>
      </c>
      <c r="O34" s="140" t="s">
        <v>260</v>
      </c>
      <c r="P34" s="9">
        <v>2005.0</v>
      </c>
      <c r="Q34" s="9" t="s">
        <v>261</v>
      </c>
      <c r="R34" s="9" t="s">
        <v>262</v>
      </c>
      <c r="S34" s="140" t="s">
        <v>264</v>
      </c>
      <c r="T34" s="140" t="s">
        <v>265</v>
      </c>
      <c r="U34" s="140">
        <v>2.6</v>
      </c>
      <c r="V34" s="112">
        <v>0.0</v>
      </c>
      <c r="W34" s="112"/>
      <c r="X34" s="112"/>
      <c r="Y34" s="112"/>
    </row>
    <row r="35" ht="38.25" customHeight="1" outlineLevel="1">
      <c r="A35" s="95">
        <f t="shared" si="1"/>
        <v>30</v>
      </c>
      <c r="B35" s="134" t="s">
        <v>218</v>
      </c>
      <c r="C35" s="134" t="s">
        <v>139</v>
      </c>
      <c r="D35" s="9" t="s">
        <v>266</v>
      </c>
      <c r="E35" s="9"/>
      <c r="F35" s="95" t="s">
        <v>139</v>
      </c>
      <c r="G35" s="134" t="s">
        <v>267</v>
      </c>
      <c r="H35" s="80" t="str">
        <f>VLOOKUP(G35,'01. TH'!$B:$E,3,0)</f>
        <v>8358 x 2540 x 3200</v>
      </c>
      <c r="I35" s="137" t="s">
        <v>44</v>
      </c>
      <c r="J35" s="138">
        <v>45963.0</v>
      </c>
      <c r="K35" s="80" t="str">
        <f>IF(COUNTIF('TT BTSC'!$D:$D,B35)&gt;0,"Hư hỏng","Bình thường")</f>
        <v>Bình thường</v>
      </c>
      <c r="L35" s="139"/>
      <c r="M35" s="141" t="s">
        <v>268</v>
      </c>
      <c r="N35" s="9" t="s">
        <v>123</v>
      </c>
      <c r="O35" s="140" t="s">
        <v>269</v>
      </c>
      <c r="P35" s="9">
        <v>2006.0</v>
      </c>
      <c r="Q35" s="9" t="s">
        <v>270</v>
      </c>
      <c r="R35" s="9" t="s">
        <v>271</v>
      </c>
      <c r="S35" s="140" t="s">
        <v>272</v>
      </c>
      <c r="T35" s="140">
        <v>2.1721047E7</v>
      </c>
      <c r="U35" s="140">
        <v>10.0</v>
      </c>
      <c r="V35" s="112">
        <v>130.0</v>
      </c>
      <c r="W35" s="112"/>
      <c r="X35" s="112"/>
      <c r="Y35" s="112"/>
    </row>
    <row r="36" ht="13.5" customHeight="1" outlineLevel="1">
      <c r="A36" s="95">
        <f t="shared" si="1"/>
        <v>31</v>
      </c>
      <c r="B36" s="134" t="s">
        <v>273</v>
      </c>
      <c r="C36" s="134" t="s">
        <v>139</v>
      </c>
      <c r="D36" s="9" t="s">
        <v>274</v>
      </c>
      <c r="E36" s="9"/>
      <c r="F36" s="95" t="s">
        <v>139</v>
      </c>
      <c r="G36" s="134" t="s">
        <v>275</v>
      </c>
      <c r="H36" s="80" t="str">
        <f>VLOOKUP(G36,'01. TH'!$B:$E,3,0)</f>
        <v>9660 x 2550 x 3985</v>
      </c>
      <c r="I36" s="137" t="s">
        <v>44</v>
      </c>
      <c r="J36" s="138">
        <v>45963.0</v>
      </c>
      <c r="K36" s="80" t="str">
        <f>IF(COUNTIF('TT BTSC'!$D:$D,B36)&gt;0,"Hư hỏng","Bình thường")</f>
        <v>Bình thường</v>
      </c>
      <c r="L36" s="139"/>
      <c r="M36" s="141" t="s">
        <v>276</v>
      </c>
      <c r="N36" s="9" t="s">
        <v>123</v>
      </c>
      <c r="O36" s="140" t="s">
        <v>222</v>
      </c>
      <c r="P36" s="9">
        <v>2012.0</v>
      </c>
      <c r="Q36" s="9" t="s">
        <v>277</v>
      </c>
      <c r="R36" s="9" t="s">
        <v>278</v>
      </c>
      <c r="S36" s="140" t="s">
        <v>279</v>
      </c>
      <c r="T36" s="140">
        <v>2.1719691E7</v>
      </c>
      <c r="U36" s="140">
        <v>12.5</v>
      </c>
      <c r="V36" s="112">
        <v>370.0</v>
      </c>
      <c r="W36" s="112"/>
      <c r="X36" s="112"/>
      <c r="Y36" s="112"/>
    </row>
    <row r="37" ht="13.5" customHeight="1" outlineLevel="1">
      <c r="A37" s="95">
        <f t="shared" si="1"/>
        <v>32</v>
      </c>
      <c r="B37" s="134" t="s">
        <v>280</v>
      </c>
      <c r="C37" s="134" t="s">
        <v>139</v>
      </c>
      <c r="D37" s="9" t="s">
        <v>281</v>
      </c>
      <c r="E37" s="9"/>
      <c r="F37" s="95" t="s">
        <v>139</v>
      </c>
      <c r="G37" s="134" t="s">
        <v>282</v>
      </c>
      <c r="H37" s="80" t="str">
        <f>VLOOKUP(G37,'01. TH'!$B:$E,3,0)</f>
        <v>8700 x 2800 x 3010</v>
      </c>
      <c r="I37" s="80" t="s">
        <v>44</v>
      </c>
      <c r="J37" s="137" t="s">
        <v>141</v>
      </c>
      <c r="K37" s="80" t="str">
        <f>IF(COUNTIF('TT BTSC'!$D:$D,B37)&gt;0,"Hư hỏng","Bình thường")</f>
        <v>Bình thường</v>
      </c>
      <c r="L37" s="146"/>
      <c r="M37" s="129" t="s">
        <v>283</v>
      </c>
      <c r="N37" s="9" t="s">
        <v>123</v>
      </c>
      <c r="O37" s="140" t="s">
        <v>84</v>
      </c>
      <c r="P37" s="9">
        <v>2005.0</v>
      </c>
      <c r="Q37" s="9" t="s">
        <v>284</v>
      </c>
      <c r="R37" s="9" t="s">
        <v>209</v>
      </c>
      <c r="S37" s="140" t="s">
        <v>285</v>
      </c>
      <c r="T37" s="140" t="s">
        <v>286</v>
      </c>
      <c r="U37" s="110">
        <v>14.0</v>
      </c>
      <c r="V37" s="112">
        <v>320.0</v>
      </c>
      <c r="W37" s="112"/>
      <c r="X37" s="112"/>
      <c r="Y37" s="112"/>
    </row>
    <row r="38" ht="13.5" customHeight="1" outlineLevel="1">
      <c r="A38" s="95">
        <f t="shared" si="1"/>
        <v>33</v>
      </c>
      <c r="B38" s="134" t="s">
        <v>287</v>
      </c>
      <c r="C38" s="134" t="s">
        <v>139</v>
      </c>
      <c r="D38" s="9" t="s">
        <v>288</v>
      </c>
      <c r="E38" s="9"/>
      <c r="F38" s="95" t="s">
        <v>139</v>
      </c>
      <c r="G38" s="134" t="s">
        <v>122</v>
      </c>
      <c r="H38" s="80" t="str">
        <f>VLOOKUP(G38,'01. TH'!$B:$E,3,0)</f>
        <v>4200 x 2980 x 2720</v>
      </c>
      <c r="I38" s="137" t="s">
        <v>44</v>
      </c>
      <c r="J38" s="147">
        <v>45963.0</v>
      </c>
      <c r="K38" s="80" t="str">
        <f>IF(COUNTIF('TT BTSC'!$D:$D,B38)&gt;0,"Hư hỏng","Bình thường")</f>
        <v>Bình thường</v>
      </c>
      <c r="L38" s="146"/>
      <c r="M38" s="148" t="s">
        <v>276</v>
      </c>
      <c r="N38" s="9" t="s">
        <v>123</v>
      </c>
      <c r="O38" s="140" t="s">
        <v>222</v>
      </c>
      <c r="P38" s="9">
        <v>2003.0</v>
      </c>
      <c r="Q38" s="9" t="s">
        <v>290</v>
      </c>
      <c r="R38" s="9" t="s">
        <v>291</v>
      </c>
      <c r="S38" s="140" t="s">
        <v>292</v>
      </c>
      <c r="T38" s="140" t="s">
        <v>293</v>
      </c>
      <c r="U38" s="110">
        <v>8.0</v>
      </c>
      <c r="V38" s="112">
        <v>165.0</v>
      </c>
      <c r="W38" s="112"/>
      <c r="X38" s="112"/>
      <c r="Y38" s="112"/>
    </row>
    <row r="39" ht="13.5" customHeight="1" outlineLevel="1">
      <c r="A39" s="95">
        <f t="shared" si="1"/>
        <v>34</v>
      </c>
      <c r="B39" s="134" t="s">
        <v>294</v>
      </c>
      <c r="C39" s="134" t="s">
        <v>154</v>
      </c>
      <c r="D39" s="9" t="s">
        <v>295</v>
      </c>
      <c r="E39" s="9" t="s">
        <v>296</v>
      </c>
      <c r="F39" s="9" t="s">
        <v>154</v>
      </c>
      <c r="G39" s="134" t="s">
        <v>297</v>
      </c>
      <c r="H39" s="80" t="str">
        <f>VLOOKUP(G39,'01. TH'!$B:$E,3,0)</f>
        <v>6160 x 2330 x 2760</v>
      </c>
      <c r="I39" s="137" t="s">
        <v>44</v>
      </c>
      <c r="J39" s="138">
        <v>45841.0</v>
      </c>
      <c r="K39" s="80" t="str">
        <f>IF(COUNTIF('TT BTSC'!$D:$D,B39)&gt;0,"Hư hỏng","Bình thường")</f>
        <v>Bình thường</v>
      </c>
      <c r="L39" s="139"/>
      <c r="M39" s="150" t="s">
        <v>299</v>
      </c>
      <c r="N39" s="106" t="s">
        <v>300</v>
      </c>
      <c r="O39" s="108" t="s">
        <v>148</v>
      </c>
      <c r="P39" s="9">
        <v>2024.0</v>
      </c>
      <c r="Q39" s="9" t="s">
        <v>301</v>
      </c>
      <c r="R39" s="9" t="s">
        <v>278</v>
      </c>
      <c r="S39" s="140" t="s">
        <v>302</v>
      </c>
      <c r="T39" s="140" t="s">
        <v>303</v>
      </c>
      <c r="U39" s="140">
        <v>0.63</v>
      </c>
      <c r="V39" s="112">
        <v>150.0</v>
      </c>
      <c r="W39" s="112"/>
      <c r="X39" s="112"/>
      <c r="Y39" s="112"/>
    </row>
    <row r="40" ht="13.5" customHeight="1" outlineLevel="1">
      <c r="A40" s="95">
        <f t="shared" si="1"/>
        <v>35</v>
      </c>
      <c r="B40" s="134" t="s">
        <v>304</v>
      </c>
      <c r="C40" s="134" t="s">
        <v>154</v>
      </c>
      <c r="D40" s="9" t="s">
        <v>305</v>
      </c>
      <c r="E40" s="9" t="s">
        <v>306</v>
      </c>
      <c r="F40" s="9" t="s">
        <v>154</v>
      </c>
      <c r="G40" s="134" t="s">
        <v>297</v>
      </c>
      <c r="H40" s="80" t="str">
        <f>VLOOKUP(G40,'01. TH'!$B:$E,3,0)</f>
        <v>6160 x 2330 x 2760</v>
      </c>
      <c r="I40" s="137" t="s">
        <v>44</v>
      </c>
      <c r="J40" s="138">
        <v>45841.0</v>
      </c>
      <c r="K40" s="80" t="str">
        <f>IF(COUNTIF('TT BTSC'!$D:$D,B40)&gt;0,"Hư hỏng","Bình thường")</f>
        <v>Bình thường</v>
      </c>
      <c r="L40" s="139"/>
      <c r="M40" s="150" t="s">
        <v>299</v>
      </c>
      <c r="N40" s="106" t="s">
        <v>300</v>
      </c>
      <c r="O40" s="108" t="s">
        <v>148</v>
      </c>
      <c r="P40" s="9">
        <v>2024.0</v>
      </c>
      <c r="Q40" s="9" t="s">
        <v>307</v>
      </c>
      <c r="R40" s="9" t="s">
        <v>278</v>
      </c>
      <c r="S40" s="140" t="s">
        <v>308</v>
      </c>
      <c r="T40" s="140" t="s">
        <v>309</v>
      </c>
      <c r="U40" s="140">
        <v>0.63</v>
      </c>
      <c r="V40" s="112">
        <v>150.0</v>
      </c>
      <c r="W40" s="112"/>
      <c r="X40" s="112"/>
      <c r="Y40" s="112"/>
    </row>
    <row r="41" ht="13.5" customHeight="1" outlineLevel="1">
      <c r="A41" s="95">
        <f t="shared" si="1"/>
        <v>36</v>
      </c>
      <c r="B41" s="134" t="s">
        <v>310</v>
      </c>
      <c r="C41" s="134" t="s">
        <v>154</v>
      </c>
      <c r="D41" s="9" t="s">
        <v>311</v>
      </c>
      <c r="E41" s="9"/>
      <c r="F41" s="9" t="s">
        <v>154</v>
      </c>
      <c r="G41" s="134" t="s">
        <v>312</v>
      </c>
      <c r="H41" s="80" t="str">
        <f>VLOOKUP(G41,'01. TH'!$B:$E,3,0)</f>
        <v>6160 x 2330 x 2760</v>
      </c>
      <c r="I41" s="137" t="s">
        <v>44</v>
      </c>
      <c r="J41" s="9" t="s">
        <v>313</v>
      </c>
      <c r="K41" s="80" t="str">
        <f>IF(COUNTIF('TT BTSC'!$D:$D,B41)&gt;0,"Hư hỏng","Bình thường")</f>
        <v>Bình thường</v>
      </c>
      <c r="L41" s="139"/>
      <c r="M41" s="150" t="s">
        <v>314</v>
      </c>
      <c r="N41" s="106" t="s">
        <v>300</v>
      </c>
      <c r="O41" s="108" t="s">
        <v>148</v>
      </c>
      <c r="P41" s="9">
        <v>2024.0</v>
      </c>
      <c r="Q41" s="9" t="s">
        <v>315</v>
      </c>
      <c r="R41" s="9" t="s">
        <v>278</v>
      </c>
      <c r="S41" s="140" t="s">
        <v>316</v>
      </c>
      <c r="T41" s="140" t="s">
        <v>317</v>
      </c>
      <c r="U41" s="140">
        <v>4.5</v>
      </c>
      <c r="V41" s="112">
        <v>150.0</v>
      </c>
      <c r="W41" s="112"/>
      <c r="X41" s="112"/>
      <c r="Y41" s="112"/>
    </row>
    <row r="42" ht="13.5" customHeight="1" outlineLevel="1">
      <c r="A42" s="95">
        <f t="shared" si="1"/>
        <v>37</v>
      </c>
      <c r="B42" s="134" t="s">
        <v>318</v>
      </c>
      <c r="C42" s="134" t="s">
        <v>154</v>
      </c>
      <c r="D42" s="9" t="s">
        <v>319</v>
      </c>
      <c r="E42" s="9"/>
      <c r="F42" s="9" t="s">
        <v>154</v>
      </c>
      <c r="G42" s="134" t="s">
        <v>312</v>
      </c>
      <c r="H42" s="80" t="str">
        <f>VLOOKUP(G42,'01. TH'!$B:$E,3,0)</f>
        <v>6160 x 2330 x 2760</v>
      </c>
      <c r="I42" s="137" t="s">
        <v>44</v>
      </c>
      <c r="J42" s="9" t="s">
        <v>313</v>
      </c>
      <c r="K42" s="80" t="str">
        <f>IF(COUNTIF('TT BTSC'!$D:$D,B42)&gt;0,"Hư hỏng","Bình thường")</f>
        <v>Bình thường</v>
      </c>
      <c r="L42" s="139"/>
      <c r="M42" s="150" t="s">
        <v>314</v>
      </c>
      <c r="N42" s="106" t="s">
        <v>300</v>
      </c>
      <c r="O42" s="108" t="s">
        <v>148</v>
      </c>
      <c r="P42" s="9">
        <v>2024.0</v>
      </c>
      <c r="Q42" s="9" t="s">
        <v>315</v>
      </c>
      <c r="R42" s="9" t="s">
        <v>278</v>
      </c>
      <c r="S42" s="140" t="s">
        <v>320</v>
      </c>
      <c r="T42" s="140" t="s">
        <v>321</v>
      </c>
      <c r="U42" s="140">
        <v>0.63</v>
      </c>
      <c r="V42" s="112">
        <v>150.0</v>
      </c>
      <c r="W42" s="112"/>
      <c r="X42" s="112"/>
      <c r="Y42" s="112"/>
    </row>
    <row r="43" ht="13.5" customHeight="1" outlineLevel="1">
      <c r="A43" s="95">
        <f t="shared" si="1"/>
        <v>38</v>
      </c>
      <c r="B43" s="134" t="s">
        <v>323</v>
      </c>
      <c r="C43" s="134" t="s">
        <v>154</v>
      </c>
      <c r="D43" s="9" t="s">
        <v>324</v>
      </c>
      <c r="E43" s="9"/>
      <c r="F43" s="9" t="s">
        <v>154</v>
      </c>
      <c r="G43" s="134" t="s">
        <v>312</v>
      </c>
      <c r="H43" s="80" t="str">
        <f>VLOOKUP(G43,'01. TH'!$B:$E,3,0)</f>
        <v>6160 x 2330 x 2760</v>
      </c>
      <c r="I43" s="137" t="s">
        <v>44</v>
      </c>
      <c r="J43" s="9" t="s">
        <v>313</v>
      </c>
      <c r="K43" s="80" t="str">
        <f>IF(COUNTIF('TT BTSC'!$D:$D,B43)&gt;0,"Hư hỏng","Bình thường")</f>
        <v>Bình thường</v>
      </c>
      <c r="L43" s="139"/>
      <c r="M43" s="150" t="s">
        <v>314</v>
      </c>
      <c r="N43" s="106" t="s">
        <v>300</v>
      </c>
      <c r="O43" s="108" t="s">
        <v>148</v>
      </c>
      <c r="P43" s="9">
        <v>2024.0</v>
      </c>
      <c r="Q43" s="9" t="s">
        <v>315</v>
      </c>
      <c r="R43" s="9" t="s">
        <v>278</v>
      </c>
      <c r="S43" s="140" t="s">
        <v>325</v>
      </c>
      <c r="T43" s="140" t="s">
        <v>326</v>
      </c>
      <c r="U43" s="140">
        <v>0.63</v>
      </c>
      <c r="V43" s="112">
        <v>150.0</v>
      </c>
      <c r="W43" s="112"/>
      <c r="X43" s="112"/>
      <c r="Y43" s="112"/>
    </row>
    <row r="44" outlineLevel="1">
      <c r="A44" s="95">
        <f t="shared" si="1"/>
        <v>39</v>
      </c>
      <c r="B44" s="134" t="s">
        <v>327</v>
      </c>
      <c r="C44" s="134" t="s">
        <v>154</v>
      </c>
      <c r="D44" s="9" t="s">
        <v>328</v>
      </c>
      <c r="E44" s="9"/>
      <c r="F44" s="9" t="s">
        <v>154</v>
      </c>
      <c r="G44" s="134" t="s">
        <v>312</v>
      </c>
      <c r="H44" s="80" t="str">
        <f>VLOOKUP(G44,'01. TH'!$B:$E,3,0)</f>
        <v>6160 x 2330 x 2760</v>
      </c>
      <c r="I44" s="137" t="s">
        <v>44</v>
      </c>
      <c r="J44" s="9" t="s">
        <v>313</v>
      </c>
      <c r="K44" s="80" t="str">
        <f>IF(COUNTIF('TT BTSC'!$D:$D,B44)&gt;0,"Hư hỏng","Bình thường")</f>
        <v>Bình thường</v>
      </c>
      <c r="L44" s="139"/>
      <c r="M44" s="150" t="s">
        <v>314</v>
      </c>
      <c r="N44" s="106" t="s">
        <v>300</v>
      </c>
      <c r="O44" s="108" t="s">
        <v>148</v>
      </c>
      <c r="P44" s="9">
        <v>2024.0</v>
      </c>
      <c r="Q44" s="9" t="s">
        <v>315</v>
      </c>
      <c r="R44" s="9" t="s">
        <v>278</v>
      </c>
      <c r="S44" s="140" t="s">
        <v>330</v>
      </c>
      <c r="T44" s="140" t="s">
        <v>331</v>
      </c>
      <c r="U44" s="140">
        <v>0.63</v>
      </c>
      <c r="V44" s="112">
        <v>150.0</v>
      </c>
      <c r="W44" s="112"/>
      <c r="X44" s="112"/>
      <c r="Y44" s="112"/>
    </row>
    <row r="45" ht="13.5" customHeight="1" outlineLevel="1">
      <c r="A45" s="95">
        <f t="shared" si="1"/>
        <v>40</v>
      </c>
      <c r="B45" s="134" t="s">
        <v>332</v>
      </c>
      <c r="C45" s="134" t="s">
        <v>154</v>
      </c>
      <c r="D45" s="9" t="s">
        <v>333</v>
      </c>
      <c r="E45" s="9" t="s">
        <v>334</v>
      </c>
      <c r="F45" s="9" t="s">
        <v>154</v>
      </c>
      <c r="G45" s="134" t="s">
        <v>335</v>
      </c>
      <c r="H45" s="80" t="str">
        <f>VLOOKUP(G45,'01. TH'!$B:$E,3,0)</f>
        <v>5910 x 2310 x 2800</v>
      </c>
      <c r="I45" s="137" t="s">
        <v>44</v>
      </c>
      <c r="J45" s="138">
        <v>45936.0</v>
      </c>
      <c r="K45" s="80" t="str">
        <f>IF(COUNTIF('TT BTSC'!$D:$D,B45)&gt;0,"Hư hỏng","Bình thường")</f>
        <v>Bình thường</v>
      </c>
      <c r="L45" s="139"/>
      <c r="M45" s="129" t="s">
        <v>336</v>
      </c>
      <c r="N45" s="106" t="s">
        <v>300</v>
      </c>
      <c r="O45" s="108" t="s">
        <v>148</v>
      </c>
      <c r="P45" s="9">
        <v>2024.0</v>
      </c>
      <c r="Q45" s="9" t="s">
        <v>337</v>
      </c>
      <c r="R45" s="9" t="s">
        <v>338</v>
      </c>
      <c r="S45" s="140" t="s">
        <v>339</v>
      </c>
      <c r="T45" s="140" t="s">
        <v>340</v>
      </c>
      <c r="U45" s="140">
        <v>0.61</v>
      </c>
      <c r="V45" s="112">
        <v>150.0</v>
      </c>
      <c r="W45" s="112"/>
      <c r="X45" s="112"/>
      <c r="Y45" s="112"/>
    </row>
    <row r="46" ht="13.5" customHeight="1" outlineLevel="1">
      <c r="A46" s="95">
        <f t="shared" si="1"/>
        <v>41</v>
      </c>
      <c r="B46" s="134" t="s">
        <v>341</v>
      </c>
      <c r="C46" s="134" t="s">
        <v>154</v>
      </c>
      <c r="D46" s="9" t="s">
        <v>342</v>
      </c>
      <c r="E46" s="9" t="s">
        <v>343</v>
      </c>
      <c r="F46" s="9" t="s">
        <v>154</v>
      </c>
      <c r="G46" s="134" t="s">
        <v>335</v>
      </c>
      <c r="H46" s="80" t="str">
        <f>VLOOKUP(G46,'01. TH'!$B:$E,3,0)</f>
        <v>5910 x 2310 x 2800</v>
      </c>
      <c r="I46" s="137" t="s">
        <v>44</v>
      </c>
      <c r="J46" s="138">
        <v>45936.0</v>
      </c>
      <c r="K46" s="80" t="str">
        <f>IF(COUNTIF('TT BTSC'!$D:$D,B46)&gt;0,"Hư hỏng","Bình thường")</f>
        <v>Bình thường</v>
      </c>
      <c r="L46" s="139"/>
      <c r="M46" s="129" t="s">
        <v>336</v>
      </c>
      <c r="N46" s="106" t="s">
        <v>300</v>
      </c>
      <c r="O46" s="108" t="s">
        <v>148</v>
      </c>
      <c r="P46" s="9">
        <v>2024.0</v>
      </c>
      <c r="Q46" s="9" t="s">
        <v>337</v>
      </c>
      <c r="R46" s="9" t="s">
        <v>338</v>
      </c>
      <c r="S46" s="140" t="s">
        <v>344</v>
      </c>
      <c r="T46" s="140" t="s">
        <v>345</v>
      </c>
      <c r="U46" s="140">
        <v>0.61</v>
      </c>
      <c r="V46" s="112">
        <v>150.0</v>
      </c>
      <c r="W46" s="112"/>
      <c r="X46" s="112"/>
      <c r="Y46" s="112"/>
    </row>
    <row r="47" ht="13.5" customHeight="1" outlineLevel="1">
      <c r="A47" s="95">
        <f t="shared" si="1"/>
        <v>42</v>
      </c>
      <c r="B47" s="134" t="s">
        <v>346</v>
      </c>
      <c r="C47" s="134" t="s">
        <v>154</v>
      </c>
      <c r="D47" s="9" t="s">
        <v>347</v>
      </c>
      <c r="E47" s="9" t="s">
        <v>348</v>
      </c>
      <c r="F47" s="9" t="s">
        <v>154</v>
      </c>
      <c r="G47" s="134" t="s">
        <v>335</v>
      </c>
      <c r="H47" s="80" t="str">
        <f>VLOOKUP(G47,'01. TH'!$B:$E,3,0)</f>
        <v>5910 x 2310 x 2800</v>
      </c>
      <c r="I47" s="137" t="s">
        <v>44</v>
      </c>
      <c r="J47" s="138">
        <v>45936.0</v>
      </c>
      <c r="K47" s="80" t="str">
        <f>IF(COUNTIF('TT BTSC'!$D:$D,B47)&gt;0,"Hư hỏng","Bình thường")</f>
        <v>Bình thường</v>
      </c>
      <c r="L47" s="139"/>
      <c r="M47" s="129" t="s">
        <v>336</v>
      </c>
      <c r="N47" s="106" t="s">
        <v>300</v>
      </c>
      <c r="O47" s="108" t="s">
        <v>148</v>
      </c>
      <c r="P47" s="9">
        <v>2024.0</v>
      </c>
      <c r="Q47" s="9" t="s">
        <v>337</v>
      </c>
      <c r="R47" s="9" t="s">
        <v>338</v>
      </c>
      <c r="S47" s="140" t="s">
        <v>349</v>
      </c>
      <c r="T47" s="140" t="s">
        <v>350</v>
      </c>
      <c r="U47" s="140">
        <v>0.61</v>
      </c>
      <c r="V47" s="112">
        <v>150.0</v>
      </c>
      <c r="W47" s="112"/>
      <c r="X47" s="112"/>
      <c r="Y47" s="112"/>
    </row>
    <row r="48" ht="13.5" customHeight="1" outlineLevel="1">
      <c r="A48" s="95">
        <f t="shared" si="1"/>
        <v>43</v>
      </c>
      <c r="B48" s="134" t="s">
        <v>351</v>
      </c>
      <c r="C48" s="134" t="s">
        <v>154</v>
      </c>
      <c r="D48" s="9" t="s">
        <v>352</v>
      </c>
      <c r="E48" s="9" t="s">
        <v>353</v>
      </c>
      <c r="F48" s="9" t="s">
        <v>154</v>
      </c>
      <c r="G48" s="134" t="s">
        <v>335</v>
      </c>
      <c r="H48" s="80" t="str">
        <f>VLOOKUP(G48,'01. TH'!$B:$E,3,0)</f>
        <v>5910 x 2310 x 2800</v>
      </c>
      <c r="I48" s="137" t="s">
        <v>44</v>
      </c>
      <c r="J48" s="138">
        <v>45936.0</v>
      </c>
      <c r="K48" s="80" t="str">
        <f>IF(COUNTIF('TT BTSC'!$D:$D,B48)&gt;0,"Hư hỏng","Bình thường")</f>
        <v>Bình thường</v>
      </c>
      <c r="L48" s="139"/>
      <c r="M48" s="129" t="s">
        <v>336</v>
      </c>
      <c r="N48" s="106" t="s">
        <v>300</v>
      </c>
      <c r="O48" s="108" t="s">
        <v>148</v>
      </c>
      <c r="P48" s="9">
        <v>2024.0</v>
      </c>
      <c r="Q48" s="9" t="s">
        <v>337</v>
      </c>
      <c r="R48" s="9" t="s">
        <v>338</v>
      </c>
      <c r="S48" s="140" t="s">
        <v>355</v>
      </c>
      <c r="T48" s="140" t="s">
        <v>356</v>
      </c>
      <c r="U48" s="140">
        <v>0.61</v>
      </c>
      <c r="V48" s="112">
        <v>150.0</v>
      </c>
      <c r="W48" s="112"/>
      <c r="X48" s="112"/>
      <c r="Y48" s="112"/>
    </row>
    <row r="49" ht="13.5" customHeight="1" outlineLevel="1">
      <c r="A49" s="95">
        <f t="shared" si="1"/>
        <v>44</v>
      </c>
      <c r="B49" s="134" t="s">
        <v>357</v>
      </c>
      <c r="C49" s="134" t="s">
        <v>154</v>
      </c>
      <c r="D49" s="9" t="s">
        <v>358</v>
      </c>
      <c r="E49" s="9" t="s">
        <v>359</v>
      </c>
      <c r="F49" s="9" t="s">
        <v>154</v>
      </c>
      <c r="G49" s="134" t="s">
        <v>157</v>
      </c>
      <c r="H49" s="80" t="str">
        <f>VLOOKUP(G49,'01. TH'!$B:$E,3,0)</f>
        <v>7800 x 2500 x 3480</v>
      </c>
      <c r="I49" s="137" t="s">
        <v>44</v>
      </c>
      <c r="J49" s="138">
        <v>45997.0</v>
      </c>
      <c r="K49" s="80" t="str">
        <f>IF(COUNTIF('TT BTSC'!$D:$D,B49)&gt;0,"Hư hỏng","Bình thường")</f>
        <v>Bình thường</v>
      </c>
      <c r="L49" s="139"/>
      <c r="M49" s="129" t="s">
        <v>336</v>
      </c>
      <c r="N49" s="9" t="s">
        <v>161</v>
      </c>
      <c r="O49" s="140" t="s">
        <v>148</v>
      </c>
      <c r="P49" s="9">
        <v>2022.0</v>
      </c>
      <c r="Q49" s="9" t="s">
        <v>162</v>
      </c>
      <c r="R49" s="9" t="s">
        <v>163</v>
      </c>
      <c r="S49" s="140" t="s">
        <v>361</v>
      </c>
      <c r="T49" s="140" t="s">
        <v>362</v>
      </c>
      <c r="U49" s="140">
        <v>1.34</v>
      </c>
      <c r="V49" s="112">
        <v>300.0</v>
      </c>
      <c r="W49" s="112"/>
      <c r="X49" s="112"/>
      <c r="Y49" s="112"/>
    </row>
    <row r="50" ht="13.5" customHeight="1" outlineLevel="1">
      <c r="A50" s="95">
        <f t="shared" si="1"/>
        <v>45</v>
      </c>
      <c r="B50" s="134" t="s">
        <v>363</v>
      </c>
      <c r="C50" s="134" t="s">
        <v>154</v>
      </c>
      <c r="D50" s="9" t="s">
        <v>364</v>
      </c>
      <c r="E50" s="9" t="s">
        <v>365</v>
      </c>
      <c r="F50" s="9" t="s">
        <v>154</v>
      </c>
      <c r="G50" s="134" t="s">
        <v>157</v>
      </c>
      <c r="H50" s="80" t="str">
        <f>VLOOKUP(G50,'01. TH'!$B:$E,3,0)</f>
        <v>7800 x 2500 x 3480</v>
      </c>
      <c r="I50" s="137" t="s">
        <v>44</v>
      </c>
      <c r="J50" s="138">
        <v>45997.0</v>
      </c>
      <c r="K50" s="80" t="str">
        <f>IF(COUNTIF('TT BTSC'!$D:$D,B50)&gt;0,"Hư hỏng","Bình thường")</f>
        <v>Bình thường</v>
      </c>
      <c r="L50" s="139"/>
      <c r="M50" s="129" t="s">
        <v>336</v>
      </c>
      <c r="N50" s="9" t="s">
        <v>161</v>
      </c>
      <c r="O50" s="140" t="s">
        <v>148</v>
      </c>
      <c r="P50" s="9">
        <v>2022.0</v>
      </c>
      <c r="Q50" s="9" t="s">
        <v>162</v>
      </c>
      <c r="R50" s="9" t="s">
        <v>163</v>
      </c>
      <c r="S50" s="140" t="s">
        <v>366</v>
      </c>
      <c r="T50" s="140" t="s">
        <v>367</v>
      </c>
      <c r="U50" s="140">
        <v>1.34</v>
      </c>
      <c r="V50" s="112">
        <v>300.0</v>
      </c>
      <c r="W50" s="112"/>
      <c r="X50" s="112"/>
      <c r="Y50" s="112"/>
    </row>
    <row r="51" ht="13.5" customHeight="1" outlineLevel="1">
      <c r="A51" s="95">
        <f t="shared" si="1"/>
        <v>46</v>
      </c>
      <c r="B51" s="134" t="s">
        <v>368</v>
      </c>
      <c r="C51" s="134" t="s">
        <v>154</v>
      </c>
      <c r="D51" s="9" t="s">
        <v>369</v>
      </c>
      <c r="E51" s="9"/>
      <c r="F51" s="9" t="s">
        <v>154</v>
      </c>
      <c r="G51" s="134" t="s">
        <v>370</v>
      </c>
      <c r="H51" s="80" t="str">
        <f>VLOOKUP(G51,'01. TH'!$B:$E,3,0)</f>
        <v>11825 x 2500 x 3720</v>
      </c>
      <c r="I51" s="137" t="s">
        <v>44</v>
      </c>
      <c r="J51" s="138">
        <v>46056.0</v>
      </c>
      <c r="K51" s="80" t="str">
        <f>IF(COUNTIF('TT BTSC'!$D:$D,B51)&gt;0,"Hư hỏng","Bình thường")</f>
        <v>Bình thường</v>
      </c>
      <c r="L51" s="139"/>
      <c r="M51" s="129" t="s">
        <v>336</v>
      </c>
      <c r="N51" s="9" t="s">
        <v>161</v>
      </c>
      <c r="O51" s="140" t="s">
        <v>260</v>
      </c>
      <c r="P51" s="9">
        <v>2022.0</v>
      </c>
      <c r="Q51" s="9" t="s">
        <v>371</v>
      </c>
      <c r="R51" s="9" t="s">
        <v>163</v>
      </c>
      <c r="S51" s="140" t="s">
        <v>372</v>
      </c>
      <c r="T51" s="140" t="s">
        <v>373</v>
      </c>
      <c r="U51" s="140"/>
      <c r="V51" s="112"/>
      <c r="W51" s="112"/>
      <c r="X51" s="112"/>
      <c r="Y51" s="112"/>
    </row>
    <row r="52" ht="13.5" customHeight="1" outlineLevel="1">
      <c r="A52" s="95"/>
      <c r="B52" s="134"/>
      <c r="C52" s="134"/>
      <c r="D52" s="9"/>
      <c r="E52" s="9"/>
      <c r="F52" s="9"/>
      <c r="G52" s="134"/>
      <c r="H52" s="80" t="str">
        <f>VLOOKUP(G52,'01. TH'!$B:$E,3,0)</f>
        <v>#N/A</v>
      </c>
      <c r="I52" s="137"/>
      <c r="J52" s="138"/>
      <c r="K52" s="80"/>
      <c r="L52" s="139"/>
      <c r="M52" s="141"/>
      <c r="N52" s="9"/>
      <c r="O52" s="140"/>
      <c r="P52" s="9"/>
      <c r="Q52" s="9"/>
      <c r="R52" s="9"/>
      <c r="S52" s="140"/>
      <c r="T52" s="140"/>
      <c r="U52" s="140"/>
      <c r="V52" s="51"/>
      <c r="W52" s="51"/>
      <c r="X52" s="51"/>
      <c r="Y52" s="51"/>
    </row>
    <row r="53" ht="13.5" customHeight="1" outlineLevel="1">
      <c r="A53" s="95"/>
      <c r="B53" s="134"/>
      <c r="C53" s="134" t="s">
        <v>374</v>
      </c>
      <c r="D53" s="9"/>
      <c r="E53" s="9"/>
      <c r="F53" s="9"/>
      <c r="G53" s="134"/>
      <c r="H53" s="80" t="str">
        <f>VLOOKUP(G53,'01. TH'!$B:$E,3,0)</f>
        <v>#N/A</v>
      </c>
      <c r="I53" s="137"/>
      <c r="J53" s="138"/>
      <c r="K53" s="80"/>
      <c r="L53" s="139"/>
      <c r="M53" s="141"/>
      <c r="N53" s="9"/>
      <c r="O53" s="140"/>
      <c r="P53" s="9"/>
      <c r="Q53" s="9"/>
      <c r="R53" s="9"/>
      <c r="S53" s="140"/>
      <c r="T53" s="140"/>
      <c r="U53" s="140"/>
      <c r="V53" s="51"/>
      <c r="W53" s="51"/>
      <c r="X53" s="51"/>
      <c r="Y53" s="51"/>
    </row>
    <row r="54" ht="13.5" customHeight="1">
      <c r="A54" s="151" t="s">
        <v>375</v>
      </c>
      <c r="B54" s="152" t="s">
        <v>376</v>
      </c>
      <c r="C54" s="72">
        <f>COUNTA($B$55:$B$82)</f>
        <v>26</v>
      </c>
      <c r="D54" s="75" t="str">
        <f>IFERROR(VLOOKUP(B54,' 02.1 KLH-CN MÃ BRAVO MM'!$B:$C,2,0),"")</f>
        <v/>
      </c>
      <c r="E54" s="72"/>
      <c r="F54" s="72"/>
      <c r="G54" s="72"/>
      <c r="H54" s="75"/>
      <c r="I54" s="75"/>
      <c r="J54" s="79"/>
      <c r="K54" s="75"/>
      <c r="L54" s="72"/>
      <c r="M54" s="75"/>
      <c r="N54" s="72"/>
      <c r="O54" s="75"/>
      <c r="P54" s="75"/>
      <c r="Q54" s="75"/>
      <c r="R54" s="75"/>
      <c r="S54" s="75"/>
      <c r="T54" s="75"/>
      <c r="U54" s="75"/>
      <c r="V54" s="63"/>
      <c r="W54" s="63"/>
      <c r="X54" s="63"/>
      <c r="Y54" s="63"/>
    </row>
    <row r="55" ht="13.5" customHeight="1" outlineLevel="1">
      <c r="A55" s="95">
        <v>1.0</v>
      </c>
      <c r="B55" s="113" t="s">
        <v>378</v>
      </c>
      <c r="C55" s="113" t="s">
        <v>379</v>
      </c>
      <c r="D55" s="95" t="str">
        <f>IFERROR(VLOOKUP(B55,' 02.1 KLH-CN MÃ BRAVO MM'!$B:$C,2,0),"")</f>
        <v>ATT-A24-0059</v>
      </c>
      <c r="E55" s="95"/>
      <c r="F55" s="95" t="s">
        <v>79</v>
      </c>
      <c r="G55" s="115" t="s">
        <v>207</v>
      </c>
      <c r="H55" s="80" t="str">
        <f>VLOOKUP(G55,'01. TH'!$B:$E,3,0)</f>
        <v>8420 x 2375 x 3240</v>
      </c>
      <c r="I55" s="95" t="s">
        <v>55</v>
      </c>
      <c r="J55" s="116">
        <v>44197.0</v>
      </c>
      <c r="K55" s="80" t="str">
        <f>IF(COUNTIF('TT BTSC'!$D:$D,B55)&gt;0,"Hư hỏng","Bình thường")</f>
        <v>Bình thường</v>
      </c>
      <c r="L55" s="117">
        <v>0.67</v>
      </c>
      <c r="M55" s="118"/>
      <c r="N55" s="119" t="s">
        <v>123</v>
      </c>
      <c r="O55" s="110" t="s">
        <v>84</v>
      </c>
      <c r="P55" s="95">
        <v>1995.0</v>
      </c>
      <c r="Q55" s="95" t="s">
        <v>208</v>
      </c>
      <c r="R55" s="119" t="s">
        <v>209</v>
      </c>
      <c r="S55" s="110" t="s">
        <v>380</v>
      </c>
      <c r="T55" s="110" t="s">
        <v>381</v>
      </c>
      <c r="U55" s="110">
        <v>9.3</v>
      </c>
      <c r="V55" s="112">
        <v>0.0</v>
      </c>
      <c r="W55" s="112"/>
      <c r="X55" s="112"/>
      <c r="Y55" s="112"/>
    </row>
    <row r="56" ht="13.5" customHeight="1" outlineLevel="1">
      <c r="A56" s="95">
        <f t="shared" ref="A56:A80" si="2">A55+1</f>
        <v>2</v>
      </c>
      <c r="B56" s="113" t="s">
        <v>382</v>
      </c>
      <c r="C56" s="113" t="s">
        <v>383</v>
      </c>
      <c r="D56" s="95" t="str">
        <f>IFERROR(VLOOKUP(B56,' 02.1 KLH-CN MÃ BRAVO MM'!$B:$C,2,0),"")</f>
        <v>ATT-A24-0056</v>
      </c>
      <c r="E56" s="95"/>
      <c r="F56" s="95" t="s">
        <v>79</v>
      </c>
      <c r="G56" s="115" t="s">
        <v>122</v>
      </c>
      <c r="H56" s="80" t="str">
        <f>VLOOKUP(G56,'01. TH'!$B:$E,3,0)</f>
        <v>4200 x 2980 x 2720</v>
      </c>
      <c r="I56" s="95" t="s">
        <v>55</v>
      </c>
      <c r="J56" s="116">
        <v>44197.0</v>
      </c>
      <c r="K56" s="80" t="str">
        <f>IF(COUNTIF('TT BTSC'!$D:$D,B56)&gt;0,"Hư hỏng","Bình thường")</f>
        <v>Bình thường</v>
      </c>
      <c r="L56" s="117">
        <v>0.67</v>
      </c>
      <c r="M56" s="118"/>
      <c r="N56" s="119" t="s">
        <v>123</v>
      </c>
      <c r="O56" s="110" t="s">
        <v>84</v>
      </c>
      <c r="P56" s="95">
        <v>2006.0</v>
      </c>
      <c r="Q56" s="95" t="s">
        <v>290</v>
      </c>
      <c r="R56" s="119" t="s">
        <v>125</v>
      </c>
      <c r="S56" s="110" t="s">
        <v>384</v>
      </c>
      <c r="T56" s="110" t="s">
        <v>385</v>
      </c>
      <c r="U56" s="110">
        <v>8.0</v>
      </c>
      <c r="V56" s="112">
        <v>165.0</v>
      </c>
      <c r="W56" s="112"/>
      <c r="X56" s="112"/>
      <c r="Y56" s="112"/>
    </row>
    <row r="57" ht="13.5" customHeight="1" outlineLevel="1">
      <c r="A57" s="95">
        <f t="shared" si="2"/>
        <v>3</v>
      </c>
      <c r="B57" s="113" t="s">
        <v>386</v>
      </c>
      <c r="C57" s="113" t="s">
        <v>387</v>
      </c>
      <c r="D57" s="95" t="str">
        <f>IFERROR(VLOOKUP(B57,' 02.1 KLH-CN MÃ BRAVO MM'!$B:$C,2,0),"")</f>
        <v>ATT-A24-0048</v>
      </c>
      <c r="E57" s="95"/>
      <c r="F57" s="95" t="s">
        <v>79</v>
      </c>
      <c r="G57" s="115" t="s">
        <v>122</v>
      </c>
      <c r="H57" s="80" t="str">
        <f>VLOOKUP(G57,'01. TH'!$B:$E,3,0)</f>
        <v>4200 x 2980 x 2720</v>
      </c>
      <c r="I57" s="95" t="s">
        <v>55</v>
      </c>
      <c r="J57" s="116">
        <v>44197.0</v>
      </c>
      <c r="K57" s="80" t="str">
        <f>IF(COUNTIF('TT BTSC'!$D:$D,B57)&gt;0,"Hư hỏng","Bình thường")</f>
        <v>Bình thường</v>
      </c>
      <c r="L57" s="117">
        <v>0.6</v>
      </c>
      <c r="M57" s="118"/>
      <c r="N57" s="119" t="s">
        <v>123</v>
      </c>
      <c r="O57" s="110" t="s">
        <v>84</v>
      </c>
      <c r="P57" s="95">
        <v>2008.0</v>
      </c>
      <c r="Q57" s="95" t="s">
        <v>290</v>
      </c>
      <c r="R57" s="119" t="s">
        <v>125</v>
      </c>
      <c r="S57" s="110" t="s">
        <v>389</v>
      </c>
      <c r="T57" s="110" t="s">
        <v>390</v>
      </c>
      <c r="U57" s="110">
        <v>8.0</v>
      </c>
      <c r="V57" s="112">
        <v>165.0</v>
      </c>
      <c r="W57" s="112"/>
      <c r="X57" s="112"/>
      <c r="Y57" s="112"/>
    </row>
    <row r="58" ht="13.5" customHeight="1" outlineLevel="1">
      <c r="A58" s="95">
        <f t="shared" si="2"/>
        <v>4</v>
      </c>
      <c r="B58" s="84" t="s">
        <v>392</v>
      </c>
      <c r="C58" s="84" t="s">
        <v>393</v>
      </c>
      <c r="D58" s="95" t="str">
        <f>IFERROR(VLOOKUP(B58,' 02.1 KLH-CN MÃ BRAVO MM'!$B:$C,2,0),"")</f>
        <v>ATT-A22-0170</v>
      </c>
      <c r="E58" s="95"/>
      <c r="F58" s="95" t="s">
        <v>79</v>
      </c>
      <c r="G58" s="86" t="s">
        <v>395</v>
      </c>
      <c r="H58" s="80" t="str">
        <f>VLOOKUP(G58,'01. TH'!$B:$E,3,0)</f>
        <v>5585 x 3000 x 3055</v>
      </c>
      <c r="I58" s="80" t="s">
        <v>55</v>
      </c>
      <c r="J58" s="99">
        <v>44228.0</v>
      </c>
      <c r="K58" s="80" t="str">
        <f>IF(COUNTIF('TT BTSC'!$D:$D,B58)&gt;0,"Hư hỏng","Bình thường")</f>
        <v>Bình thường</v>
      </c>
      <c r="L58" s="102">
        <v>0.68</v>
      </c>
      <c r="M58" s="104"/>
      <c r="N58" s="106" t="s">
        <v>123</v>
      </c>
      <c r="O58" s="108" t="s">
        <v>84</v>
      </c>
      <c r="P58" s="80">
        <v>1995.0</v>
      </c>
      <c r="Q58" s="80" t="s">
        <v>396</v>
      </c>
      <c r="R58" s="106" t="s">
        <v>130</v>
      </c>
      <c r="S58" s="108" t="s">
        <v>397</v>
      </c>
      <c r="T58" s="110" t="s">
        <v>398</v>
      </c>
      <c r="U58" s="133">
        <v>14.0</v>
      </c>
      <c r="V58" s="112">
        <v>320.0</v>
      </c>
      <c r="W58" s="112"/>
      <c r="X58" s="112"/>
      <c r="Y58" s="112"/>
    </row>
    <row r="59" ht="13.5" customHeight="1" outlineLevel="1">
      <c r="A59" s="95">
        <f t="shared" si="2"/>
        <v>5</v>
      </c>
      <c r="B59" s="84" t="s">
        <v>399</v>
      </c>
      <c r="C59" s="84" t="s">
        <v>400</v>
      </c>
      <c r="D59" s="95" t="str">
        <f>IFERROR(VLOOKUP(B59,' 02.1 KLH-CN MÃ BRAVO MM'!$B:$C,2,0),"")</f>
        <v>ATT-A24-0057</v>
      </c>
      <c r="E59" s="95"/>
      <c r="F59" s="95" t="s">
        <v>79</v>
      </c>
      <c r="G59" s="86" t="s">
        <v>186</v>
      </c>
      <c r="H59" s="80" t="str">
        <f>VLOOKUP(G59,'01. TH'!$B:$E,3,0)</f>
        <v>5810 x 2300 x 2860</v>
      </c>
      <c r="I59" s="80" t="s">
        <v>55</v>
      </c>
      <c r="J59" s="99">
        <v>44197.0</v>
      </c>
      <c r="K59" s="80" t="str">
        <f>IF(COUNTIF('TT BTSC'!$D:$D,B59)&gt;0,"Hư hỏng","Bình thường")</f>
        <v>Bình thường</v>
      </c>
      <c r="L59" s="102">
        <v>0.6</v>
      </c>
      <c r="M59" s="104"/>
      <c r="N59" s="106" t="s">
        <v>187</v>
      </c>
      <c r="O59" s="108" t="s">
        <v>84</v>
      </c>
      <c r="P59" s="80">
        <v>2020.0</v>
      </c>
      <c r="Q59" s="80" t="s">
        <v>188</v>
      </c>
      <c r="R59" s="106" t="s">
        <v>189</v>
      </c>
      <c r="S59" s="108" t="s">
        <v>401</v>
      </c>
      <c r="T59" s="110">
        <v>133243.0</v>
      </c>
      <c r="U59" s="110">
        <v>7.0</v>
      </c>
      <c r="V59" s="112">
        <v>250.0</v>
      </c>
      <c r="W59" s="112"/>
      <c r="X59" s="112"/>
      <c r="Y59" s="112"/>
    </row>
    <row r="60" ht="13.5" customHeight="1" outlineLevel="1">
      <c r="A60" s="95">
        <f t="shared" si="2"/>
        <v>6</v>
      </c>
      <c r="B60" s="84" t="s">
        <v>402</v>
      </c>
      <c r="C60" s="84" t="s">
        <v>403</v>
      </c>
      <c r="D60" s="95" t="str">
        <f>IFERROR(VLOOKUP(B60,' 02.1 KLH-CN MÃ BRAVO MM'!$B:$C,2,0),"")</f>
        <v>ATT-A24-0058</v>
      </c>
      <c r="E60" s="95"/>
      <c r="F60" s="95" t="s">
        <v>79</v>
      </c>
      <c r="G60" s="86" t="s">
        <v>192</v>
      </c>
      <c r="H60" s="80" t="str">
        <f>VLOOKUP(G60,'01. TH'!$B:$E,3,0)</f>
        <v>5020 x 2000 x 3115</v>
      </c>
      <c r="I60" s="80" t="s">
        <v>55</v>
      </c>
      <c r="J60" s="99">
        <v>44197.0</v>
      </c>
      <c r="K60" s="80" t="str">
        <f>IF(COUNTIF('TT BTSC'!$D:$D,B60)&gt;0,"Hư hỏng","Bình thường")</f>
        <v>Bình thường</v>
      </c>
      <c r="L60" s="102">
        <v>0.6</v>
      </c>
      <c r="M60" s="104"/>
      <c r="N60" s="106" t="s">
        <v>187</v>
      </c>
      <c r="O60" s="108" t="s">
        <v>84</v>
      </c>
      <c r="P60" s="80">
        <v>2000.0</v>
      </c>
      <c r="Q60" s="80" t="s">
        <v>404</v>
      </c>
      <c r="R60" s="106" t="s">
        <v>195</v>
      </c>
      <c r="S60" s="108" t="s">
        <v>406</v>
      </c>
      <c r="T60" s="110" t="s">
        <v>407</v>
      </c>
      <c r="U60" s="110">
        <v>4.0</v>
      </c>
      <c r="V60" s="112">
        <v>0.0</v>
      </c>
      <c r="W60" s="112"/>
      <c r="X60" s="112"/>
      <c r="Y60" s="112"/>
    </row>
    <row r="61" ht="13.5" customHeight="1" outlineLevel="1">
      <c r="A61" s="95">
        <f t="shared" si="2"/>
        <v>7</v>
      </c>
      <c r="B61" s="84" t="s">
        <v>408</v>
      </c>
      <c r="C61" s="84" t="s">
        <v>409</v>
      </c>
      <c r="D61" s="95" t="str">
        <f>IFERROR(VLOOKUP(B61,' 02.1 KLH-CN MÃ BRAVO MM'!$B:$C,2,0),"")</f>
        <v>ATT-A24-0061</v>
      </c>
      <c r="E61" s="95"/>
      <c r="F61" s="95" t="s">
        <v>79</v>
      </c>
      <c r="G61" s="86" t="s">
        <v>410</v>
      </c>
      <c r="H61" s="80" t="str">
        <f>VLOOKUP(G61,'01. TH'!$B:$E,3,0)</f>
        <v>6160 x 2330 x 2750</v>
      </c>
      <c r="I61" s="80" t="s">
        <v>55</v>
      </c>
      <c r="J61" s="99">
        <v>44197.0</v>
      </c>
      <c r="K61" s="80" t="str">
        <f>IF(COUNTIF('TT BTSC'!$D:$D,B61)&gt;0,"Hư hỏng","Bình thường")</f>
        <v>Bình thường</v>
      </c>
      <c r="L61" s="102">
        <v>0.68</v>
      </c>
      <c r="M61" s="104"/>
      <c r="N61" s="106" t="s">
        <v>300</v>
      </c>
      <c r="O61" s="108" t="s">
        <v>148</v>
      </c>
      <c r="P61" s="80">
        <v>2020.0</v>
      </c>
      <c r="Q61" s="80" t="s">
        <v>412</v>
      </c>
      <c r="R61" s="106" t="s">
        <v>413</v>
      </c>
      <c r="S61" s="108" t="s">
        <v>414</v>
      </c>
      <c r="T61" s="110" t="s">
        <v>415</v>
      </c>
      <c r="U61" s="110">
        <v>5.7</v>
      </c>
      <c r="V61" s="112">
        <v>150.0</v>
      </c>
      <c r="W61" s="112"/>
      <c r="X61" s="112"/>
      <c r="Y61" s="112"/>
    </row>
    <row r="62" ht="13.5" customHeight="1" outlineLevel="1">
      <c r="A62" s="95">
        <f t="shared" si="2"/>
        <v>8</v>
      </c>
      <c r="B62" s="84" t="s">
        <v>417</v>
      </c>
      <c r="C62" s="84" t="s">
        <v>418</v>
      </c>
      <c r="D62" s="95" t="str">
        <f>IFERROR(VLOOKUP(B62,' 02.1 KLH-CN MÃ BRAVO MM'!$B:$C,2,0),"")</f>
        <v>A24-XTA-010</v>
      </c>
      <c r="E62" s="95"/>
      <c r="F62" s="95" t="s">
        <v>79</v>
      </c>
      <c r="G62" s="86" t="s">
        <v>419</v>
      </c>
      <c r="H62" s="80" t="str">
        <f>VLOOKUP(G62,'01. TH'!$B:$E,3,0)</f>
        <v>6170 x 2330 x 2750</v>
      </c>
      <c r="I62" s="80" t="s">
        <v>55</v>
      </c>
      <c r="J62" s="99"/>
      <c r="K62" s="80" t="str">
        <f>IF(COUNTIF('TT BTSC'!$D:$D,B62)&gt;0,"Hư hỏng","Bình thường")</f>
        <v>Bình thường</v>
      </c>
      <c r="L62" s="106"/>
      <c r="M62" s="104"/>
      <c r="N62" s="106" t="s">
        <v>300</v>
      </c>
      <c r="O62" s="108" t="s">
        <v>148</v>
      </c>
      <c r="P62" s="80">
        <v>2020.0</v>
      </c>
      <c r="Q62" s="80" t="s">
        <v>420</v>
      </c>
      <c r="R62" s="106" t="s">
        <v>413</v>
      </c>
      <c r="S62" s="108" t="s">
        <v>421</v>
      </c>
      <c r="T62" s="110" t="s">
        <v>422</v>
      </c>
      <c r="U62" s="110">
        <v>6.0</v>
      </c>
      <c r="V62" s="112">
        <v>150.0</v>
      </c>
      <c r="W62" s="112"/>
      <c r="X62" s="112"/>
      <c r="Y62" s="112"/>
    </row>
    <row r="63" ht="13.5" customHeight="1" outlineLevel="1">
      <c r="A63" s="95">
        <f t="shared" si="2"/>
        <v>9</v>
      </c>
      <c r="B63" s="84" t="s">
        <v>423</v>
      </c>
      <c r="C63" s="84" t="s">
        <v>424</v>
      </c>
      <c r="D63" s="95" t="str">
        <f>IFERROR(VLOOKUP(B63,' 02.1 KLH-CN MÃ BRAVO MM'!$B:$C,2,0),"")</f>
        <v>ATT-A24-0080</v>
      </c>
      <c r="E63" s="95"/>
      <c r="F63" s="95" t="s">
        <v>79</v>
      </c>
      <c r="G63" s="86" t="s">
        <v>146</v>
      </c>
      <c r="H63" s="80" t="str">
        <f>VLOOKUP(G63,'01. TH'!$B:$E,3,0)</f>
        <v>9290 x 2500 x 3370</v>
      </c>
      <c r="I63" s="80" t="s">
        <v>55</v>
      </c>
      <c r="J63" s="99">
        <v>44205.0</v>
      </c>
      <c r="K63" s="80" t="str">
        <f>IF(COUNTIF('TT BTSC'!$D:$D,B63)&gt;0,"Hư hỏng","Bình thường")</f>
        <v>Bình thường</v>
      </c>
      <c r="L63" s="102">
        <v>0.7</v>
      </c>
      <c r="M63" s="129"/>
      <c r="N63" s="106" t="s">
        <v>147</v>
      </c>
      <c r="O63" s="108" t="s">
        <v>148</v>
      </c>
      <c r="P63" s="80">
        <v>2018.0</v>
      </c>
      <c r="Q63" s="80" t="s">
        <v>149</v>
      </c>
      <c r="R63" s="106" t="s">
        <v>150</v>
      </c>
      <c r="S63" s="108" t="s">
        <v>425</v>
      </c>
      <c r="T63" s="110" t="s">
        <v>426</v>
      </c>
      <c r="U63" s="110">
        <v>1.41</v>
      </c>
      <c r="V63" s="112">
        <v>300.0</v>
      </c>
      <c r="W63" s="112"/>
      <c r="X63" s="112"/>
      <c r="Y63" s="112"/>
    </row>
    <row r="64" ht="13.5" customHeight="1" outlineLevel="1">
      <c r="A64" s="95">
        <f t="shared" si="2"/>
        <v>10</v>
      </c>
      <c r="B64" s="86" t="s">
        <v>427</v>
      </c>
      <c r="C64" s="134" t="s">
        <v>154</v>
      </c>
      <c r="D64" s="95" t="s">
        <v>428</v>
      </c>
      <c r="E64" s="95" t="s">
        <v>429</v>
      </c>
      <c r="F64" s="95" t="s">
        <v>154</v>
      </c>
      <c r="G64" s="86" t="s">
        <v>157</v>
      </c>
      <c r="H64" s="80" t="str">
        <f>VLOOKUP(G64,'01. TH'!$B:$E,3,0)</f>
        <v>7800 x 2500 x 3480</v>
      </c>
      <c r="I64" s="80" t="s">
        <v>55</v>
      </c>
      <c r="J64" s="99">
        <v>45749.0</v>
      </c>
      <c r="K64" s="80" t="str">
        <f>IF(COUNTIF('TT BTSC'!$D:$D,B64)&gt;0,"Hư hỏng","Bình thường")</f>
        <v>Bình thường</v>
      </c>
      <c r="L64" s="102"/>
      <c r="M64" s="129" t="s">
        <v>336</v>
      </c>
      <c r="N64" s="80" t="s">
        <v>161</v>
      </c>
      <c r="O64" s="108" t="s">
        <v>148</v>
      </c>
      <c r="P64" s="80">
        <v>2022.0</v>
      </c>
      <c r="Q64" s="80" t="s">
        <v>162</v>
      </c>
      <c r="R64" s="80" t="s">
        <v>163</v>
      </c>
      <c r="S64" s="108" t="s">
        <v>430</v>
      </c>
      <c r="T64" s="110" t="s">
        <v>431</v>
      </c>
      <c r="U64" s="110">
        <v>1.34</v>
      </c>
      <c r="V64" s="112">
        <v>300.0</v>
      </c>
      <c r="W64" s="112"/>
      <c r="X64" s="112"/>
      <c r="Y64" s="112"/>
    </row>
    <row r="65" ht="13.5" customHeight="1" outlineLevel="1">
      <c r="A65" s="95">
        <f t="shared" si="2"/>
        <v>11</v>
      </c>
      <c r="B65" s="86" t="s">
        <v>432</v>
      </c>
      <c r="C65" s="134" t="s">
        <v>154</v>
      </c>
      <c r="D65" s="95" t="s">
        <v>433</v>
      </c>
      <c r="E65" s="95" t="s">
        <v>434</v>
      </c>
      <c r="F65" s="95" t="s">
        <v>154</v>
      </c>
      <c r="G65" s="86" t="s">
        <v>157</v>
      </c>
      <c r="H65" s="80" t="str">
        <f>VLOOKUP(G65,'01. TH'!$B:$E,3,0)</f>
        <v>7800 x 2500 x 3480</v>
      </c>
      <c r="I65" s="80" t="s">
        <v>55</v>
      </c>
      <c r="J65" s="99">
        <v>45749.0</v>
      </c>
      <c r="K65" s="80" t="str">
        <f>IF(COUNTIF('TT BTSC'!$D:$D,B65)&gt;0,"Hư hỏng","Bình thường")</f>
        <v>Bình thường</v>
      </c>
      <c r="L65" s="102"/>
      <c r="M65" s="129" t="s">
        <v>336</v>
      </c>
      <c r="N65" s="80" t="s">
        <v>161</v>
      </c>
      <c r="O65" s="108" t="s">
        <v>148</v>
      </c>
      <c r="P65" s="80">
        <v>2022.0</v>
      </c>
      <c r="Q65" s="80" t="s">
        <v>162</v>
      </c>
      <c r="R65" s="80" t="s">
        <v>163</v>
      </c>
      <c r="S65" s="108" t="s">
        <v>435</v>
      </c>
      <c r="T65" s="110" t="s">
        <v>436</v>
      </c>
      <c r="U65" s="110">
        <v>1.34</v>
      </c>
      <c r="V65" s="112">
        <v>300.0</v>
      </c>
      <c r="W65" s="112"/>
      <c r="X65" s="112"/>
      <c r="Y65" s="112"/>
    </row>
    <row r="66" ht="13.5" customHeight="1" outlineLevel="1">
      <c r="A66" s="95">
        <f t="shared" si="2"/>
        <v>12</v>
      </c>
      <c r="B66" s="84" t="s">
        <v>152</v>
      </c>
      <c r="C66" s="84" t="s">
        <v>437</v>
      </c>
      <c r="D66" s="95" t="str">
        <f>IFERROR(VLOOKUP(B66,' 02.1 KLH-CN MÃ BRAVO MM'!$B:$C,2,0),"")</f>
        <v>ATT-A24-0053</v>
      </c>
      <c r="E66" s="95"/>
      <c r="F66" s="95" t="s">
        <v>79</v>
      </c>
      <c r="G66" s="86" t="s">
        <v>90</v>
      </c>
      <c r="H66" s="80" t="str">
        <f>VLOOKUP(G66,'01. TH'!$B:$E,3,0)</f>
        <v>9460 x 2800 x 3200</v>
      </c>
      <c r="I66" s="80" t="s">
        <v>55</v>
      </c>
      <c r="J66" s="99">
        <v>44197.0</v>
      </c>
      <c r="K66" s="80" t="str">
        <f>IF(COUNTIF('TT BTSC'!$D:$D,B66)&gt;0,"Hư hỏng","Bình thường")</f>
        <v>Bình thường</v>
      </c>
      <c r="L66" s="102">
        <v>0.67</v>
      </c>
      <c r="M66" s="104"/>
      <c r="N66" s="106" t="s">
        <v>92</v>
      </c>
      <c r="O66" s="108" t="s">
        <v>84</v>
      </c>
      <c r="P66" s="80">
        <v>2020.0</v>
      </c>
      <c r="Q66" s="80" t="s">
        <v>111</v>
      </c>
      <c r="R66" s="106" t="s">
        <v>94</v>
      </c>
      <c r="S66" s="108" t="s">
        <v>438</v>
      </c>
      <c r="T66" s="110">
        <v>800391.0</v>
      </c>
      <c r="U66" s="110">
        <v>15.0</v>
      </c>
      <c r="V66" s="112">
        <v>410.0</v>
      </c>
      <c r="W66" s="112"/>
      <c r="X66" s="112"/>
      <c r="Y66" s="112"/>
    </row>
    <row r="67" ht="13.5" customHeight="1" outlineLevel="1">
      <c r="A67" s="95">
        <f t="shared" si="2"/>
        <v>13</v>
      </c>
      <c r="B67" s="84" t="s">
        <v>439</v>
      </c>
      <c r="C67" s="84" t="s">
        <v>440</v>
      </c>
      <c r="D67" s="95" t="str">
        <f>IFERROR(VLOOKUP(B67,' 02.1 KLH-CN MÃ BRAVO MM'!$B:$C,2,0),"")</f>
        <v>ATT-A24-0052</v>
      </c>
      <c r="E67" s="95"/>
      <c r="F67" s="95" t="s">
        <v>79</v>
      </c>
      <c r="G67" s="86" t="s">
        <v>115</v>
      </c>
      <c r="H67" s="80" t="str">
        <f>VLOOKUP(G67,'01. TH'!$B:$E,3,0)</f>
        <v>7640 x 2590 x 2820</v>
      </c>
      <c r="I67" s="80" t="s">
        <v>55</v>
      </c>
      <c r="J67" s="99">
        <v>44197.0</v>
      </c>
      <c r="K67" s="80" t="str">
        <f>IF(COUNTIF('TT BTSC'!$D:$D,B67)&gt;0,"Hư hỏng","Bình thường")</f>
        <v>Bình thường</v>
      </c>
      <c r="L67" s="102">
        <v>0.67</v>
      </c>
      <c r="M67" s="104"/>
      <c r="N67" s="106" t="s">
        <v>92</v>
      </c>
      <c r="O67" s="108" t="s">
        <v>84</v>
      </c>
      <c r="P67" s="80">
        <v>2019.0</v>
      </c>
      <c r="Q67" s="80" t="s">
        <v>116</v>
      </c>
      <c r="R67" s="106" t="s">
        <v>117</v>
      </c>
      <c r="S67" s="108" t="s">
        <v>441</v>
      </c>
      <c r="T67" s="110" t="s">
        <v>442</v>
      </c>
      <c r="U67" s="110">
        <v>12.0</v>
      </c>
      <c r="V67" s="112">
        <v>260.0</v>
      </c>
      <c r="W67" s="112"/>
      <c r="X67" s="112"/>
      <c r="Y67" s="112"/>
    </row>
    <row r="68" ht="13.5" customHeight="1" outlineLevel="1">
      <c r="A68" s="95">
        <f t="shared" si="2"/>
        <v>14</v>
      </c>
      <c r="B68" s="84" t="s">
        <v>289</v>
      </c>
      <c r="C68" s="84" t="s">
        <v>443</v>
      </c>
      <c r="D68" s="95" t="str">
        <f>IFERROR(VLOOKUP(B68,' 02.1 KLH-CN MÃ BRAVO MM'!$B:$C,2,0),"")</f>
        <v>ATT-A24-0049</v>
      </c>
      <c r="E68" s="95"/>
      <c r="F68" s="95" t="s">
        <v>79</v>
      </c>
      <c r="G68" s="86" t="s">
        <v>99</v>
      </c>
      <c r="H68" s="80" t="str">
        <f>VLOOKUP(G68,'01. TH'!$B:$E,3,0)</f>
        <v>7235 x 2496 x 3351</v>
      </c>
      <c r="I68" s="80" t="s">
        <v>55</v>
      </c>
      <c r="J68" s="99">
        <v>44197.0</v>
      </c>
      <c r="K68" s="80" t="str">
        <f>IF(COUNTIF('TT BTSC'!$D:$D,B68)&gt;0,"Hư hỏng","Bình thường")</f>
        <v>Bình thường</v>
      </c>
      <c r="L68" s="102">
        <v>0.67</v>
      </c>
      <c r="M68" s="104"/>
      <c r="N68" s="106" t="s">
        <v>102</v>
      </c>
      <c r="O68" s="108" t="s">
        <v>103</v>
      </c>
      <c r="P68" s="80">
        <v>2020.0</v>
      </c>
      <c r="Q68" s="80" t="s">
        <v>104</v>
      </c>
      <c r="R68" s="106" t="s">
        <v>105</v>
      </c>
      <c r="S68" s="108" t="s">
        <v>445</v>
      </c>
      <c r="T68" s="110" t="s">
        <v>446</v>
      </c>
      <c r="U68" s="110">
        <v>10.0</v>
      </c>
      <c r="V68" s="112">
        <v>280.0</v>
      </c>
      <c r="W68" s="112"/>
      <c r="X68" s="112"/>
      <c r="Y68" s="112"/>
    </row>
    <row r="69" ht="13.5" customHeight="1" outlineLevel="1">
      <c r="A69" s="95">
        <f t="shared" si="2"/>
        <v>15</v>
      </c>
      <c r="B69" s="84" t="s">
        <v>322</v>
      </c>
      <c r="C69" s="84" t="s">
        <v>447</v>
      </c>
      <c r="D69" s="95" t="str">
        <f>IFERROR(VLOOKUP(B69,' 02.1 KLH-CN MÃ BRAVO MM'!$B:$C,2,0),"")</f>
        <v>ATT-A24-0050</v>
      </c>
      <c r="E69" s="95"/>
      <c r="F69" s="95" t="s">
        <v>79</v>
      </c>
      <c r="G69" s="86" t="s">
        <v>99</v>
      </c>
      <c r="H69" s="80" t="str">
        <f>VLOOKUP(G69,'01. TH'!$B:$E,3,0)</f>
        <v>7235 x 2496 x 3351</v>
      </c>
      <c r="I69" s="80" t="s">
        <v>55</v>
      </c>
      <c r="J69" s="99">
        <v>44197.0</v>
      </c>
      <c r="K69" s="80" t="str">
        <f>IF(COUNTIF('TT BTSC'!$D:$D,B69)&gt;0,"Hư hỏng","Bình thường")</f>
        <v>Bình thường</v>
      </c>
      <c r="L69" s="102">
        <v>0.67</v>
      </c>
      <c r="M69" s="104"/>
      <c r="N69" s="106" t="s">
        <v>102</v>
      </c>
      <c r="O69" s="108" t="s">
        <v>103</v>
      </c>
      <c r="P69" s="80">
        <v>2020.0</v>
      </c>
      <c r="Q69" s="80" t="s">
        <v>104</v>
      </c>
      <c r="R69" s="106" t="s">
        <v>105</v>
      </c>
      <c r="S69" s="108" t="s">
        <v>448</v>
      </c>
      <c r="T69" s="110" t="s">
        <v>449</v>
      </c>
      <c r="U69" s="110">
        <v>10.0</v>
      </c>
      <c r="V69" s="112">
        <v>280.0</v>
      </c>
      <c r="W69" s="112"/>
      <c r="X69" s="112"/>
      <c r="Y69" s="112"/>
    </row>
    <row r="70" ht="13.5" customHeight="1" outlineLevel="1">
      <c r="A70" s="95">
        <f t="shared" si="2"/>
        <v>16</v>
      </c>
      <c r="B70" s="115" t="s">
        <v>450</v>
      </c>
      <c r="C70" s="115" t="s">
        <v>451</v>
      </c>
      <c r="D70" s="95" t="str">
        <f>IFERROR(VLOOKUP(B70,' 02.1 KLH-CN MÃ BRAVO MM'!$B:$C,2,0),"")</f>
        <v/>
      </c>
      <c r="E70" s="95"/>
      <c r="F70" s="95" t="s">
        <v>79</v>
      </c>
      <c r="G70" s="115" t="s">
        <v>452</v>
      </c>
      <c r="H70" s="80" t="str">
        <f>VLOOKUP(G70,'01. TH'!$B:$E,3,0)</f>
        <v>4749 x 1700 x 2470</v>
      </c>
      <c r="I70" s="95" t="s">
        <v>55</v>
      </c>
      <c r="J70" s="116"/>
      <c r="K70" s="80" t="str">
        <f>IF(COUNTIF('TT BTSC'!$D:$D,B70)&gt;0,"Hư hỏng","Bình thường")</f>
        <v>Bình thường</v>
      </c>
      <c r="L70" s="119"/>
      <c r="M70" s="155" t="s">
        <v>453</v>
      </c>
      <c r="N70" s="119" t="s">
        <v>454</v>
      </c>
      <c r="O70" s="110" t="s">
        <v>84</v>
      </c>
      <c r="P70" s="95">
        <v>2015.0</v>
      </c>
      <c r="Q70" s="95" t="s">
        <v>455</v>
      </c>
      <c r="R70" s="119" t="s">
        <v>456</v>
      </c>
      <c r="S70" s="110">
        <v>60432.0</v>
      </c>
      <c r="T70" s="110" t="s">
        <v>96</v>
      </c>
      <c r="U70" s="140">
        <v>4.0</v>
      </c>
      <c r="V70" s="112">
        <v>40.0</v>
      </c>
      <c r="W70" s="112"/>
      <c r="X70" s="112"/>
      <c r="Y70" s="112"/>
    </row>
    <row r="71" ht="13.5" customHeight="1" outlineLevel="1">
      <c r="A71" s="95">
        <f t="shared" si="2"/>
        <v>17</v>
      </c>
      <c r="B71" s="84" t="s">
        <v>457</v>
      </c>
      <c r="C71" s="86" t="s">
        <v>458</v>
      </c>
      <c r="D71" s="95" t="str">
        <f>IFERROR(VLOOKUP(B71,' 02.1 KLH-CN MÃ BRAVO MM'!$B:$C,2,0),"")</f>
        <v>A24-MĐA-012</v>
      </c>
      <c r="E71" s="95"/>
      <c r="F71" s="95" t="s">
        <v>79</v>
      </c>
      <c r="G71" s="86" t="s">
        <v>219</v>
      </c>
      <c r="H71" s="80" t="str">
        <f>VLOOKUP(G71,'01. TH'!$B:$E,3,0)</f>
        <v>5260 x 1760 x 2415</v>
      </c>
      <c r="I71" s="80" t="s">
        <v>55</v>
      </c>
      <c r="J71" s="80" t="s">
        <v>459</v>
      </c>
      <c r="K71" s="80" t="str">
        <f>IF(COUNTIF('TT BTSC'!$D:$D,B71)&gt;0,"Hư hỏng","Bình thường")</f>
        <v>Bình thường</v>
      </c>
      <c r="L71" s="106"/>
      <c r="M71" s="129" t="s">
        <v>460</v>
      </c>
      <c r="N71" s="106" t="s">
        <v>123</v>
      </c>
      <c r="O71" s="108" t="s">
        <v>84</v>
      </c>
      <c r="P71" s="80">
        <v>2006.0</v>
      </c>
      <c r="Q71" s="80" t="s">
        <v>461</v>
      </c>
      <c r="R71" s="80" t="s">
        <v>462</v>
      </c>
      <c r="S71" s="108">
        <v>9101.0</v>
      </c>
      <c r="T71" s="110" t="s">
        <v>96</v>
      </c>
      <c r="U71" s="140">
        <v>4.0</v>
      </c>
      <c r="V71" s="112">
        <v>60.0</v>
      </c>
      <c r="W71" s="112"/>
      <c r="X71" s="112"/>
      <c r="Y71" s="112"/>
    </row>
    <row r="72" ht="13.5" customHeight="1" outlineLevel="1">
      <c r="A72" s="95">
        <f t="shared" si="2"/>
        <v>18</v>
      </c>
      <c r="B72" s="84" t="s">
        <v>463</v>
      </c>
      <c r="C72" s="86" t="s">
        <v>154</v>
      </c>
      <c r="D72" s="95" t="s">
        <v>464</v>
      </c>
      <c r="E72" s="95" t="s">
        <v>465</v>
      </c>
      <c r="F72" s="95" t="s">
        <v>154</v>
      </c>
      <c r="G72" s="134" t="s">
        <v>297</v>
      </c>
      <c r="H72" s="80" t="str">
        <f>VLOOKUP(G72,'01. TH'!$B:$E,3,0)</f>
        <v>6160 x 2330 x 2760</v>
      </c>
      <c r="I72" s="80" t="s">
        <v>55</v>
      </c>
      <c r="J72" s="99">
        <v>45841.0</v>
      </c>
      <c r="K72" s="80" t="str">
        <f>IF(COUNTIF('TT BTSC'!$D:$D,B72)&gt;0,"Hư hỏng","Bình thường")</f>
        <v>Bình thường</v>
      </c>
      <c r="L72" s="106"/>
      <c r="M72" s="150" t="s">
        <v>299</v>
      </c>
      <c r="N72" s="80" t="s">
        <v>466</v>
      </c>
      <c r="O72" s="108" t="s">
        <v>148</v>
      </c>
      <c r="P72" s="80">
        <v>2024.0</v>
      </c>
      <c r="Q72" s="80" t="s">
        <v>307</v>
      </c>
      <c r="R72" s="80" t="s">
        <v>278</v>
      </c>
      <c r="S72" s="108" t="s">
        <v>467</v>
      </c>
      <c r="T72" s="110" t="s">
        <v>468</v>
      </c>
      <c r="U72" s="140">
        <v>1.0</v>
      </c>
      <c r="V72" s="112">
        <v>150.0</v>
      </c>
      <c r="W72" s="112"/>
      <c r="X72" s="112"/>
      <c r="Y72" s="112"/>
    </row>
    <row r="73" ht="13.5" customHeight="1" outlineLevel="1">
      <c r="A73" s="95">
        <f t="shared" si="2"/>
        <v>19</v>
      </c>
      <c r="B73" s="84" t="s">
        <v>469</v>
      </c>
      <c r="C73" s="86" t="s">
        <v>154</v>
      </c>
      <c r="D73" s="95" t="s">
        <v>470</v>
      </c>
      <c r="E73" s="95" t="s">
        <v>471</v>
      </c>
      <c r="F73" s="95" t="s">
        <v>154</v>
      </c>
      <c r="G73" s="134" t="s">
        <v>297</v>
      </c>
      <c r="H73" s="80" t="str">
        <f>VLOOKUP(G73,'01. TH'!$B:$E,3,0)</f>
        <v>6160 x 2330 x 2760</v>
      </c>
      <c r="I73" s="80" t="s">
        <v>55</v>
      </c>
      <c r="J73" s="99">
        <v>45841.0</v>
      </c>
      <c r="K73" s="80" t="str">
        <f>IF(COUNTIF('TT BTSC'!$D:$D,B73)&gt;0,"Hư hỏng","Bình thường")</f>
        <v>Bình thường</v>
      </c>
      <c r="L73" s="106"/>
      <c r="M73" s="150" t="s">
        <v>299</v>
      </c>
      <c r="N73" s="80" t="s">
        <v>466</v>
      </c>
      <c r="O73" s="108" t="s">
        <v>148</v>
      </c>
      <c r="P73" s="80">
        <v>2024.0</v>
      </c>
      <c r="Q73" s="80" t="s">
        <v>307</v>
      </c>
      <c r="R73" s="80" t="s">
        <v>278</v>
      </c>
      <c r="S73" s="108" t="s">
        <v>472</v>
      </c>
      <c r="T73" s="110" t="s">
        <v>473</v>
      </c>
      <c r="U73" s="140">
        <v>1.0</v>
      </c>
      <c r="V73" s="112">
        <v>150.0</v>
      </c>
      <c r="W73" s="112"/>
      <c r="X73" s="112"/>
      <c r="Y73" s="112"/>
    </row>
    <row r="74" ht="13.5" customHeight="1" outlineLevel="1">
      <c r="A74" s="95">
        <f t="shared" si="2"/>
        <v>20</v>
      </c>
      <c r="B74" s="86" t="s">
        <v>474</v>
      </c>
      <c r="C74" s="86" t="s">
        <v>154</v>
      </c>
      <c r="D74" s="95" t="s">
        <v>475</v>
      </c>
      <c r="E74" s="95"/>
      <c r="F74" s="95" t="s">
        <v>154</v>
      </c>
      <c r="G74" s="134" t="s">
        <v>312</v>
      </c>
      <c r="H74" s="80" t="str">
        <f>VLOOKUP(G74,'01. TH'!$B:$E,3,0)</f>
        <v>6160 x 2330 x 2760</v>
      </c>
      <c r="I74" s="80" t="s">
        <v>55</v>
      </c>
      <c r="J74" s="9" t="s">
        <v>313</v>
      </c>
      <c r="K74" s="80" t="str">
        <f>IF(COUNTIF('TT BTSC'!$D:$D,B74)&gt;0,"Hư hỏng","Bình thường")</f>
        <v>Bình thường</v>
      </c>
      <c r="L74" s="106"/>
      <c r="M74" s="150" t="s">
        <v>314</v>
      </c>
      <c r="N74" s="80" t="s">
        <v>466</v>
      </c>
      <c r="O74" s="108" t="s">
        <v>148</v>
      </c>
      <c r="P74" s="80">
        <v>2024.0</v>
      </c>
      <c r="Q74" s="80" t="s">
        <v>315</v>
      </c>
      <c r="R74" s="80" t="s">
        <v>278</v>
      </c>
      <c r="S74" s="108" t="s">
        <v>476</v>
      </c>
      <c r="T74" s="110" t="s">
        <v>477</v>
      </c>
      <c r="U74" s="140">
        <v>1.0</v>
      </c>
      <c r="V74" s="112">
        <v>150.0</v>
      </c>
      <c r="W74" s="112"/>
      <c r="X74" s="112"/>
      <c r="Y74" s="112"/>
    </row>
    <row r="75" ht="13.5" customHeight="1" outlineLevel="1">
      <c r="A75" s="95">
        <f t="shared" si="2"/>
        <v>21</v>
      </c>
      <c r="B75" s="86" t="s">
        <v>478</v>
      </c>
      <c r="C75" s="86" t="s">
        <v>154</v>
      </c>
      <c r="D75" s="95" t="s">
        <v>479</v>
      </c>
      <c r="E75" s="95"/>
      <c r="F75" s="95" t="s">
        <v>154</v>
      </c>
      <c r="G75" s="134" t="s">
        <v>312</v>
      </c>
      <c r="H75" s="80" t="str">
        <f>VLOOKUP(G75,'01. TH'!$B:$E,3,0)</f>
        <v>6160 x 2330 x 2760</v>
      </c>
      <c r="I75" s="80" t="s">
        <v>55</v>
      </c>
      <c r="J75" s="9" t="s">
        <v>313</v>
      </c>
      <c r="K75" s="80" t="str">
        <f>IF(COUNTIF('TT BTSC'!$D:$D,B75)&gt;0,"Hư hỏng","Bình thường")</f>
        <v>Bình thường</v>
      </c>
      <c r="L75" s="106"/>
      <c r="M75" s="150" t="s">
        <v>314</v>
      </c>
      <c r="N75" s="80" t="s">
        <v>466</v>
      </c>
      <c r="O75" s="108" t="s">
        <v>148</v>
      </c>
      <c r="P75" s="80">
        <v>2024.0</v>
      </c>
      <c r="Q75" s="80" t="s">
        <v>315</v>
      </c>
      <c r="R75" s="80" t="s">
        <v>278</v>
      </c>
      <c r="S75" s="108" t="s">
        <v>481</v>
      </c>
      <c r="T75" s="110" t="s">
        <v>482</v>
      </c>
      <c r="U75" s="140">
        <v>1.0</v>
      </c>
      <c r="V75" s="112">
        <v>150.0</v>
      </c>
      <c r="W75" s="112"/>
      <c r="X75" s="112"/>
      <c r="Y75" s="112"/>
    </row>
    <row r="76" ht="13.5" customHeight="1" outlineLevel="1">
      <c r="A76" s="95">
        <f t="shared" si="2"/>
        <v>22</v>
      </c>
      <c r="B76" s="86" t="s">
        <v>483</v>
      </c>
      <c r="C76" s="86" t="s">
        <v>154</v>
      </c>
      <c r="D76" s="95" t="s">
        <v>484</v>
      </c>
      <c r="E76" s="95"/>
      <c r="F76" s="95" t="s">
        <v>154</v>
      </c>
      <c r="G76" s="134" t="s">
        <v>312</v>
      </c>
      <c r="H76" s="80" t="str">
        <f>VLOOKUP(G76,'01. TH'!$B:$E,3,0)</f>
        <v>6160 x 2330 x 2760</v>
      </c>
      <c r="I76" s="80" t="s">
        <v>55</v>
      </c>
      <c r="J76" s="9" t="s">
        <v>313</v>
      </c>
      <c r="K76" s="80" t="str">
        <f>IF(COUNTIF('TT BTSC'!$D:$D,B76)&gt;0,"Hư hỏng","Bình thường")</f>
        <v>Bình thường</v>
      </c>
      <c r="L76" s="106"/>
      <c r="M76" s="150" t="s">
        <v>314</v>
      </c>
      <c r="N76" s="80" t="s">
        <v>466</v>
      </c>
      <c r="O76" s="108" t="s">
        <v>148</v>
      </c>
      <c r="P76" s="80">
        <v>2024.0</v>
      </c>
      <c r="Q76" s="80" t="s">
        <v>315</v>
      </c>
      <c r="R76" s="80" t="s">
        <v>278</v>
      </c>
      <c r="S76" s="108" t="s">
        <v>486</v>
      </c>
      <c r="T76" s="110" t="s">
        <v>487</v>
      </c>
      <c r="U76" s="140">
        <v>1.0</v>
      </c>
      <c r="V76" s="112">
        <v>150.0</v>
      </c>
      <c r="W76" s="112"/>
      <c r="X76" s="112"/>
      <c r="Y76" s="112"/>
    </row>
    <row r="77" ht="13.5" customHeight="1" outlineLevel="1">
      <c r="A77" s="95">
        <f t="shared" si="2"/>
        <v>23</v>
      </c>
      <c r="B77" s="86" t="s">
        <v>488</v>
      </c>
      <c r="C77" s="134" t="s">
        <v>139</v>
      </c>
      <c r="D77" s="95" t="s">
        <v>489</v>
      </c>
      <c r="E77" s="95"/>
      <c r="F77" s="9" t="s">
        <v>139</v>
      </c>
      <c r="G77" s="134" t="s">
        <v>282</v>
      </c>
      <c r="H77" s="80" t="str">
        <f>VLOOKUP(G77,'01. TH'!$B:$E,3,0)</f>
        <v>8700 x 2800 x 3010</v>
      </c>
      <c r="I77" s="80" t="s">
        <v>55</v>
      </c>
      <c r="J77" s="138">
        <v>45722.0</v>
      </c>
      <c r="K77" s="80" t="str">
        <f>IF(COUNTIF('TT BTSC'!$D:$D,B77)&gt;0,"Hư hỏng","Bình thường")</f>
        <v>Bình thường</v>
      </c>
      <c r="L77" s="106"/>
      <c r="M77" s="129" t="s">
        <v>490</v>
      </c>
      <c r="N77" s="80" t="s">
        <v>123</v>
      </c>
      <c r="O77" s="110" t="s">
        <v>84</v>
      </c>
      <c r="P77" s="80">
        <v>2010.0</v>
      </c>
      <c r="Q77" s="80" t="s">
        <v>491</v>
      </c>
      <c r="R77" s="80" t="s">
        <v>209</v>
      </c>
      <c r="S77" s="108" t="s">
        <v>492</v>
      </c>
      <c r="T77" s="110" t="s">
        <v>493</v>
      </c>
      <c r="U77" s="140">
        <v>14.0</v>
      </c>
      <c r="V77" s="112">
        <v>400.0</v>
      </c>
      <c r="W77" s="112"/>
      <c r="X77" s="112"/>
      <c r="Y77" s="112"/>
    </row>
    <row r="78" ht="13.5" customHeight="1" outlineLevel="1">
      <c r="A78" s="95">
        <f t="shared" si="2"/>
        <v>24</v>
      </c>
      <c r="B78" s="86" t="s">
        <v>494</v>
      </c>
      <c r="C78" s="134" t="s">
        <v>139</v>
      </c>
      <c r="D78" s="95" t="s">
        <v>495</v>
      </c>
      <c r="E78" s="95"/>
      <c r="F78" s="9" t="s">
        <v>139</v>
      </c>
      <c r="G78" s="161" t="s">
        <v>496</v>
      </c>
      <c r="H78" s="80" t="str">
        <f>VLOOKUP(G78,'01. TH'!$B:$E,3,0)</f>
        <v>2625 x 1290 x 1570</v>
      </c>
      <c r="I78" s="80" t="s">
        <v>55</v>
      </c>
      <c r="J78" s="9" t="s">
        <v>497</v>
      </c>
      <c r="K78" s="80" t="str">
        <f>IF(COUNTIF('TT BTSC'!$D:$D,B78)&gt;0,"Hư hỏng","Bình thường")</f>
        <v>Bình thường</v>
      </c>
      <c r="L78" s="106"/>
      <c r="M78" s="129" t="s">
        <v>490</v>
      </c>
      <c r="N78" s="80" t="s">
        <v>187</v>
      </c>
      <c r="O78" s="110" t="s">
        <v>84</v>
      </c>
      <c r="P78" s="80">
        <v>2004.0</v>
      </c>
      <c r="Q78" s="80" t="s">
        <v>498</v>
      </c>
      <c r="R78" s="80" t="s">
        <v>462</v>
      </c>
      <c r="S78" s="108" t="s">
        <v>499</v>
      </c>
      <c r="T78" s="110">
        <v>166376.0</v>
      </c>
      <c r="U78" s="140">
        <v>2.5</v>
      </c>
      <c r="V78" s="112">
        <v>52.0</v>
      </c>
      <c r="W78" s="112"/>
      <c r="X78" s="112"/>
      <c r="Y78" s="112"/>
    </row>
    <row r="79" ht="13.5" customHeight="1" outlineLevel="1">
      <c r="A79" s="95">
        <f t="shared" si="2"/>
        <v>25</v>
      </c>
      <c r="B79" s="86" t="s">
        <v>388</v>
      </c>
      <c r="C79" s="134" t="s">
        <v>139</v>
      </c>
      <c r="D79" s="95" t="s">
        <v>500</v>
      </c>
      <c r="E79" s="95"/>
      <c r="F79" s="9" t="s">
        <v>139</v>
      </c>
      <c r="G79" s="134" t="s">
        <v>501</v>
      </c>
      <c r="H79" s="80" t="str">
        <f>VLOOKUP(G79,'01. TH'!$B:$E,3,0)</f>
        <v>8358 x 2540 x 3200</v>
      </c>
      <c r="I79" s="80" t="s">
        <v>55</v>
      </c>
      <c r="J79" s="9" t="s">
        <v>502</v>
      </c>
      <c r="K79" s="80" t="str">
        <f>IF(COUNTIF('TT BTSC'!$D:$D,B79)&gt;0,"Hư hỏng","Bình thường")</f>
        <v>Bình thường</v>
      </c>
      <c r="L79" s="106"/>
      <c r="M79" s="129" t="s">
        <v>490</v>
      </c>
      <c r="N79" s="80" t="s">
        <v>123</v>
      </c>
      <c r="O79" s="110" t="s">
        <v>84</v>
      </c>
      <c r="P79" s="80">
        <v>1990.0</v>
      </c>
      <c r="Q79" s="80" t="s">
        <v>503</v>
      </c>
      <c r="R79" s="80" t="s">
        <v>504</v>
      </c>
      <c r="S79" s="108" t="s">
        <v>505</v>
      </c>
      <c r="T79" s="110" t="s">
        <v>506</v>
      </c>
      <c r="U79" s="140">
        <v>10.0</v>
      </c>
      <c r="V79" s="112">
        <v>370.0</v>
      </c>
      <c r="W79" s="112"/>
      <c r="X79" s="112"/>
      <c r="Y79" s="112"/>
    </row>
    <row r="80" ht="13.5" customHeight="1" outlineLevel="1">
      <c r="A80" s="95">
        <f t="shared" si="2"/>
        <v>26</v>
      </c>
      <c r="B80" s="86" t="s">
        <v>507</v>
      </c>
      <c r="C80" s="134" t="s">
        <v>139</v>
      </c>
      <c r="D80" s="95" t="s">
        <v>508</v>
      </c>
      <c r="E80" s="95"/>
      <c r="F80" s="9" t="s">
        <v>139</v>
      </c>
      <c r="G80" s="134" t="s">
        <v>509</v>
      </c>
      <c r="H80" s="80" t="str">
        <f>VLOOKUP(G80,'01. TH'!$B:$E,3,0)</f>
        <v>4200 x 2980 x 2720</v>
      </c>
      <c r="I80" s="80" t="s">
        <v>55</v>
      </c>
      <c r="J80" s="9" t="s">
        <v>497</v>
      </c>
      <c r="K80" s="80" t="str">
        <f>IF(COUNTIF('TT BTSC'!$D:$D,B80)&gt;0,"Hư hỏng","Bình thường")</f>
        <v>Bình thường</v>
      </c>
      <c r="L80" s="106"/>
      <c r="M80" s="129" t="s">
        <v>490</v>
      </c>
      <c r="N80" s="80" t="s">
        <v>123</v>
      </c>
      <c r="O80" s="110" t="s">
        <v>510</v>
      </c>
      <c r="P80" s="80">
        <v>2006.0</v>
      </c>
      <c r="Q80" s="80" t="s">
        <v>290</v>
      </c>
      <c r="R80" s="80" t="s">
        <v>511</v>
      </c>
      <c r="S80" s="108" t="s">
        <v>512</v>
      </c>
      <c r="T80" s="110" t="s">
        <v>513</v>
      </c>
      <c r="U80" s="110">
        <v>8.0</v>
      </c>
      <c r="V80" s="112">
        <v>165.0</v>
      </c>
      <c r="W80" s="112"/>
      <c r="X80" s="112"/>
      <c r="Y80" s="112"/>
    </row>
    <row r="81" ht="13.5" customHeight="1" outlineLevel="1">
      <c r="A81" s="80"/>
      <c r="B81" s="84"/>
      <c r="C81" s="86"/>
      <c r="D81" s="95"/>
      <c r="E81" s="95"/>
      <c r="F81" s="95"/>
      <c r="G81" s="86"/>
      <c r="H81" s="80"/>
      <c r="I81" s="80"/>
      <c r="J81" s="80"/>
      <c r="K81" s="80"/>
      <c r="L81" s="106"/>
      <c r="M81" s="129"/>
      <c r="N81" s="106"/>
      <c r="O81" s="108"/>
      <c r="P81" s="80"/>
      <c r="Q81" s="80"/>
      <c r="R81" s="80"/>
      <c r="S81" s="108"/>
      <c r="T81" s="110"/>
      <c r="U81" s="110"/>
      <c r="V81" s="51"/>
      <c r="W81" s="51"/>
      <c r="X81" s="51"/>
      <c r="Y81" s="51"/>
    </row>
    <row r="82" ht="13.5" customHeight="1" outlineLevel="1">
      <c r="A82" s="80"/>
      <c r="B82" s="84"/>
      <c r="C82" s="86" t="s">
        <v>374</v>
      </c>
      <c r="D82" s="95"/>
      <c r="E82" s="95"/>
      <c r="F82" s="95"/>
      <c r="G82" s="86"/>
      <c r="H82" s="80" t="str">
        <f>VLOOKUP(G82,'01. TH'!$B:$E,3,0)</f>
        <v>#N/A</v>
      </c>
      <c r="I82" s="80"/>
      <c r="J82" s="80"/>
      <c r="K82" s="80"/>
      <c r="L82" s="106"/>
      <c r="M82" s="129"/>
      <c r="N82" s="106"/>
      <c r="O82" s="108"/>
      <c r="P82" s="80"/>
      <c r="Q82" s="80"/>
      <c r="R82" s="80"/>
      <c r="S82" s="108"/>
      <c r="T82" s="110"/>
      <c r="U82" s="110"/>
      <c r="V82" s="51"/>
      <c r="W82" s="51"/>
      <c r="X82" s="51"/>
      <c r="Y82" s="51"/>
    </row>
    <row r="83" ht="13.5" customHeight="1">
      <c r="A83" s="151" t="s">
        <v>515</v>
      </c>
      <c r="B83" s="152" t="s">
        <v>516</v>
      </c>
      <c r="C83" s="72">
        <f>COUNTA($B$84:$B$116)</f>
        <v>31</v>
      </c>
      <c r="D83" s="75" t="str">
        <f>IFERROR(VLOOKUP(B83,' 02.1 KLH-CN MÃ BRAVO MM'!$B:$C,2,0),"")</f>
        <v/>
      </c>
      <c r="E83" s="72"/>
      <c r="F83" s="72"/>
      <c r="G83" s="72"/>
      <c r="H83" s="75"/>
      <c r="I83" s="75"/>
      <c r="J83" s="79"/>
      <c r="K83" s="75"/>
      <c r="L83" s="72"/>
      <c r="M83" s="75"/>
      <c r="N83" s="72"/>
      <c r="O83" s="75"/>
      <c r="P83" s="75"/>
      <c r="Q83" s="75"/>
      <c r="R83" s="75"/>
      <c r="S83" s="75"/>
      <c r="T83" s="75"/>
      <c r="U83" s="75"/>
      <c r="V83" s="63"/>
      <c r="W83" s="63"/>
      <c r="X83" s="63"/>
      <c r="Y83" s="63"/>
    </row>
    <row r="84" ht="13.5" customHeight="1" outlineLevel="1">
      <c r="A84" s="80">
        <v>1.0</v>
      </c>
      <c r="B84" s="84" t="s">
        <v>517</v>
      </c>
      <c r="C84" s="84" t="s">
        <v>517</v>
      </c>
      <c r="D84" s="95" t="str">
        <f>IFERROR(VLOOKUP(B84,' 02.1 KLH-CN MÃ BRAVO MM'!$B:$C,2,0),"")</f>
        <v>ATT-A22-0135</v>
      </c>
      <c r="E84" s="95"/>
      <c r="F84" s="95" t="s">
        <v>79</v>
      </c>
      <c r="G84" s="115" t="s">
        <v>207</v>
      </c>
      <c r="H84" s="80" t="str">
        <f>VLOOKUP(G84,'01. TH'!$B:$E,3,0)</f>
        <v>8420 x 2375 x 3240</v>
      </c>
      <c r="I84" s="80" t="s">
        <v>59</v>
      </c>
      <c r="J84" s="99">
        <v>44136.0</v>
      </c>
      <c r="K84" s="80" t="str">
        <f>IF(COUNTIF('TT BTSC'!$D:$D,B84)&gt;0,"Hư hỏng","Bình thường")</f>
        <v>Bình thường</v>
      </c>
      <c r="L84" s="102">
        <v>0.66</v>
      </c>
      <c r="M84" s="104"/>
      <c r="N84" s="106" t="s">
        <v>123</v>
      </c>
      <c r="O84" s="108" t="s">
        <v>84</v>
      </c>
      <c r="P84" s="80">
        <v>1995.0</v>
      </c>
      <c r="Q84" s="80" t="s">
        <v>208</v>
      </c>
      <c r="R84" s="106" t="s">
        <v>209</v>
      </c>
      <c r="S84" s="108" t="s">
        <v>518</v>
      </c>
      <c r="T84" s="110" t="s">
        <v>519</v>
      </c>
      <c r="U84" s="110">
        <v>9.3</v>
      </c>
      <c r="V84" s="112">
        <v>0.0</v>
      </c>
      <c r="W84" s="112"/>
      <c r="X84" s="112"/>
      <c r="Y84" s="112"/>
    </row>
    <row r="85" ht="18.0" customHeight="1" outlineLevel="1">
      <c r="A85" s="95">
        <f t="shared" ref="A85:A114" si="3">A84+1</f>
        <v>2</v>
      </c>
      <c r="B85" s="115" t="s">
        <v>520</v>
      </c>
      <c r="C85" s="113" t="s">
        <v>520</v>
      </c>
      <c r="D85" s="95" t="str">
        <f>IFERROR(VLOOKUP(B85,' 02.1 KLH-CN MÃ BRAVO MM'!$B:$C,2,0),"")</f>
        <v>ATT-A22-0128</v>
      </c>
      <c r="E85" s="95"/>
      <c r="F85" s="95" t="s">
        <v>79</v>
      </c>
      <c r="G85" s="115" t="s">
        <v>122</v>
      </c>
      <c r="H85" s="80" t="str">
        <f>VLOOKUP(G85,'01. TH'!$B:$E,3,0)</f>
        <v>4200 x 2980 x 2720</v>
      </c>
      <c r="I85" s="95" t="s">
        <v>59</v>
      </c>
      <c r="J85" s="116">
        <v>43841.0</v>
      </c>
      <c r="K85" s="80" t="str">
        <f>IF(COUNTIF('TT BTSC'!$D:$D,B85)&gt;0,"Hư hỏng","Bình thường")</f>
        <v>Bình thường</v>
      </c>
      <c r="L85" s="117">
        <v>0.5</v>
      </c>
      <c r="M85" s="155" t="s">
        <v>521</v>
      </c>
      <c r="N85" s="119" t="s">
        <v>123</v>
      </c>
      <c r="O85" s="110" t="s">
        <v>84</v>
      </c>
      <c r="P85" s="95">
        <v>2005.0</v>
      </c>
      <c r="Q85" s="95" t="s">
        <v>124</v>
      </c>
      <c r="R85" s="119" t="s">
        <v>125</v>
      </c>
      <c r="S85" s="110" t="s">
        <v>522</v>
      </c>
      <c r="T85" s="110" t="s">
        <v>523</v>
      </c>
      <c r="U85" s="110">
        <v>8.0</v>
      </c>
      <c r="V85" s="112">
        <v>165.0</v>
      </c>
      <c r="W85" s="112"/>
      <c r="X85" s="112"/>
      <c r="Y85" s="112"/>
    </row>
    <row r="86" ht="13.5" customHeight="1" outlineLevel="1">
      <c r="A86" s="95">
        <f t="shared" si="3"/>
        <v>3</v>
      </c>
      <c r="B86" s="115" t="s">
        <v>524</v>
      </c>
      <c r="C86" s="113" t="s">
        <v>524</v>
      </c>
      <c r="D86" s="95" t="str">
        <f>IFERROR(VLOOKUP(B86,' 02.1 KLH-CN MÃ BRAVO MM'!$B:$C,2,0),"")</f>
        <v>ATT-A22-0148</v>
      </c>
      <c r="E86" s="95"/>
      <c r="F86" s="95" t="s">
        <v>79</v>
      </c>
      <c r="G86" s="115" t="s">
        <v>122</v>
      </c>
      <c r="H86" s="80" t="str">
        <f>VLOOKUP(G86,'01. TH'!$B:$E,3,0)</f>
        <v>4200 x 2980 x 2720</v>
      </c>
      <c r="I86" s="95" t="s">
        <v>59</v>
      </c>
      <c r="J86" s="116">
        <v>43841.0</v>
      </c>
      <c r="K86" s="80" t="str">
        <f>IF(COUNTIF('TT BTSC'!$D:$D,B86)&gt;0,"Hư hỏng","Bình thường")</f>
        <v>Bình thường</v>
      </c>
      <c r="L86" s="117">
        <v>0.5</v>
      </c>
      <c r="M86" s="118"/>
      <c r="N86" s="119" t="s">
        <v>123</v>
      </c>
      <c r="O86" s="110" t="s">
        <v>84</v>
      </c>
      <c r="P86" s="95">
        <v>2004.0</v>
      </c>
      <c r="Q86" s="95" t="s">
        <v>124</v>
      </c>
      <c r="R86" s="119" t="s">
        <v>125</v>
      </c>
      <c r="S86" s="110" t="s">
        <v>526</v>
      </c>
      <c r="T86" s="110" t="s">
        <v>527</v>
      </c>
      <c r="U86" s="110">
        <v>8.0</v>
      </c>
      <c r="V86" s="112">
        <v>165.0</v>
      </c>
      <c r="W86" s="112"/>
      <c r="X86" s="112"/>
      <c r="Y86" s="112"/>
    </row>
    <row r="87" ht="13.5" customHeight="1" outlineLevel="1">
      <c r="A87" s="95">
        <f t="shared" si="3"/>
        <v>4</v>
      </c>
      <c r="B87" s="115" t="s">
        <v>528</v>
      </c>
      <c r="C87" s="113" t="s">
        <v>528</v>
      </c>
      <c r="D87" s="95" t="str">
        <f>IFERROR(VLOOKUP(B87,' 02.1 KLH-CN MÃ BRAVO MM'!$B:$C,2,0),"")</f>
        <v>ATT-A22-0136</v>
      </c>
      <c r="E87" s="95"/>
      <c r="F87" s="95" t="s">
        <v>79</v>
      </c>
      <c r="G87" s="115" t="s">
        <v>529</v>
      </c>
      <c r="H87" s="80" t="str">
        <f>VLOOKUP(G87,'01. TH'!$B:$E,3,0)</f>
        <v>5550 x 3970 x 3090</v>
      </c>
      <c r="I87" s="95" t="s">
        <v>59</v>
      </c>
      <c r="J87" s="116">
        <v>43841.0</v>
      </c>
      <c r="K87" s="80" t="str">
        <f>IF(COUNTIF('TT BTSC'!$D:$D,B87)&gt;0,"Hư hỏng","Bình thường")</f>
        <v>Bình thường</v>
      </c>
      <c r="L87" s="117">
        <v>0.66</v>
      </c>
      <c r="M87" s="118"/>
      <c r="N87" s="119" t="s">
        <v>123</v>
      </c>
      <c r="O87" s="110" t="s">
        <v>84</v>
      </c>
      <c r="P87" s="95">
        <v>1996.0</v>
      </c>
      <c r="Q87" s="95" t="s">
        <v>530</v>
      </c>
      <c r="R87" s="119" t="s">
        <v>531</v>
      </c>
      <c r="S87" s="110" t="s">
        <v>532</v>
      </c>
      <c r="T87" s="110" t="s">
        <v>533</v>
      </c>
      <c r="U87" s="133">
        <v>14.0</v>
      </c>
      <c r="V87" s="112">
        <v>406.0</v>
      </c>
      <c r="W87" s="112"/>
      <c r="X87" s="112"/>
      <c r="Y87" s="112"/>
    </row>
    <row r="88" ht="13.5" customHeight="1" outlineLevel="1">
      <c r="A88" s="95">
        <f t="shared" si="3"/>
        <v>5</v>
      </c>
      <c r="B88" s="115" t="s">
        <v>534</v>
      </c>
      <c r="C88" s="113" t="s">
        <v>534</v>
      </c>
      <c r="D88" s="95" t="str">
        <f>IFERROR(VLOOKUP(B88,' 02.1 KLH-CN MÃ BRAVO MM'!$B:$C,2,0),"")</f>
        <v>ATT-A22-0169</v>
      </c>
      <c r="E88" s="95"/>
      <c r="F88" s="95" t="s">
        <v>79</v>
      </c>
      <c r="G88" s="115" t="s">
        <v>122</v>
      </c>
      <c r="H88" s="80" t="str">
        <f>VLOOKUP(G88,'01. TH'!$B:$E,3,0)</f>
        <v>4200 x 2980 x 2720</v>
      </c>
      <c r="I88" s="95" t="s">
        <v>59</v>
      </c>
      <c r="J88" s="116">
        <v>44198.0</v>
      </c>
      <c r="K88" s="80" t="str">
        <f>IF(COUNTIF('TT BTSC'!$D:$D,B88)&gt;0,"Hư hỏng","Bình thường")</f>
        <v>Bình thường</v>
      </c>
      <c r="L88" s="117">
        <v>0.68</v>
      </c>
      <c r="M88" s="118"/>
      <c r="N88" s="119" t="s">
        <v>123</v>
      </c>
      <c r="O88" s="110" t="s">
        <v>84</v>
      </c>
      <c r="P88" s="95">
        <v>2006.0</v>
      </c>
      <c r="Q88" s="95" t="s">
        <v>290</v>
      </c>
      <c r="R88" s="119" t="s">
        <v>262</v>
      </c>
      <c r="S88" s="110" t="s">
        <v>535</v>
      </c>
      <c r="T88" s="110" t="s">
        <v>536</v>
      </c>
      <c r="U88" s="110">
        <v>8.0</v>
      </c>
      <c r="V88" s="112">
        <v>165.0</v>
      </c>
      <c r="W88" s="112"/>
      <c r="X88" s="112"/>
      <c r="Y88" s="112"/>
    </row>
    <row r="89" ht="13.5" customHeight="1" outlineLevel="1">
      <c r="A89" s="95">
        <f t="shared" si="3"/>
        <v>6</v>
      </c>
      <c r="B89" s="134" t="s">
        <v>537</v>
      </c>
      <c r="C89" s="134" t="s">
        <v>139</v>
      </c>
      <c r="D89" s="9" t="s">
        <v>538</v>
      </c>
      <c r="E89" s="9"/>
      <c r="F89" s="9" t="s">
        <v>139</v>
      </c>
      <c r="G89" s="134" t="s">
        <v>122</v>
      </c>
      <c r="H89" s="80" t="str">
        <f>VLOOKUP(G89,'01. TH'!$B:$E,3,0)</f>
        <v>4200 x 2980 x 2720</v>
      </c>
      <c r="I89" s="95" t="s">
        <v>59</v>
      </c>
      <c r="J89" s="147">
        <v>45963.0</v>
      </c>
      <c r="K89" s="80" t="str">
        <f>IF(COUNTIF('TT BTSC'!$D:$D,B89)&gt;0,"Hư hỏng","Bình thường")</f>
        <v>Bình thường</v>
      </c>
      <c r="L89" s="146"/>
      <c r="M89" s="150" t="s">
        <v>539</v>
      </c>
      <c r="N89" s="9" t="s">
        <v>123</v>
      </c>
      <c r="O89" s="110" t="s">
        <v>84</v>
      </c>
      <c r="P89" s="9">
        <v>2006.0</v>
      </c>
      <c r="Q89" s="9" t="s">
        <v>290</v>
      </c>
      <c r="R89" s="9" t="s">
        <v>291</v>
      </c>
      <c r="S89" s="140" t="s">
        <v>540</v>
      </c>
      <c r="T89" s="140" t="s">
        <v>541</v>
      </c>
      <c r="U89" s="110">
        <v>8.0</v>
      </c>
      <c r="V89" s="112">
        <v>165.0</v>
      </c>
      <c r="W89" s="112"/>
      <c r="X89" s="112"/>
      <c r="Y89" s="112"/>
    </row>
    <row r="90" ht="35.25" customHeight="1" outlineLevel="1">
      <c r="A90" s="95">
        <f t="shared" si="3"/>
        <v>7</v>
      </c>
      <c r="B90" s="134" t="s">
        <v>542</v>
      </c>
      <c r="C90" s="134" t="s">
        <v>543</v>
      </c>
      <c r="D90" s="9" t="s">
        <v>544</v>
      </c>
      <c r="E90" s="9"/>
      <c r="F90" s="9" t="s">
        <v>139</v>
      </c>
      <c r="G90" s="134" t="s">
        <v>545</v>
      </c>
      <c r="H90" s="80" t="str">
        <f>VLOOKUP(G90,'01. TH'!$B:$E,3,0)</f>
        <v>5540 x 3860 x 3150</v>
      </c>
      <c r="I90" s="95" t="s">
        <v>59</v>
      </c>
      <c r="J90" s="147" t="s">
        <v>546</v>
      </c>
      <c r="K90" s="80" t="str">
        <f>IF(COUNTIF('TT BTSC'!$D:$D,B90)&gt;0,"Hư hỏng","Bình thường")</f>
        <v>Bình thường</v>
      </c>
      <c r="L90" s="146"/>
      <c r="M90" s="150" t="s">
        <v>547</v>
      </c>
      <c r="N90" s="9" t="s">
        <v>123</v>
      </c>
      <c r="O90" s="110" t="s">
        <v>510</v>
      </c>
      <c r="P90" s="9">
        <v>2006.0</v>
      </c>
      <c r="Q90" s="9" t="s">
        <v>548</v>
      </c>
      <c r="R90" s="9" t="s">
        <v>549</v>
      </c>
      <c r="S90" s="140" t="s">
        <v>550</v>
      </c>
      <c r="T90" s="140">
        <v>3.0559211E7</v>
      </c>
      <c r="U90" s="110">
        <v>14.0</v>
      </c>
      <c r="V90" s="112"/>
      <c r="W90" s="112"/>
      <c r="X90" s="112"/>
      <c r="Y90" s="112"/>
    </row>
    <row r="91" ht="13.5" customHeight="1" outlineLevel="1">
      <c r="A91" s="95">
        <f t="shared" si="3"/>
        <v>8</v>
      </c>
      <c r="B91" s="86" t="s">
        <v>551</v>
      </c>
      <c r="C91" s="84" t="s">
        <v>551</v>
      </c>
      <c r="D91" s="95" t="str">
        <f>IFERROR(VLOOKUP(B91,' 02.1 KLH-CN MÃ BRAVO MM'!$B:$C,2,0),"")</f>
        <v>ATT-A22-0152</v>
      </c>
      <c r="E91" s="95"/>
      <c r="F91" s="95" t="s">
        <v>79</v>
      </c>
      <c r="G91" s="86" t="s">
        <v>192</v>
      </c>
      <c r="H91" s="80" t="str">
        <f>VLOOKUP(G91,'01. TH'!$B:$E,3,0)</f>
        <v>5020 x 2000 x 3115</v>
      </c>
      <c r="I91" s="80" t="s">
        <v>59</v>
      </c>
      <c r="J91" s="99">
        <v>44136.0</v>
      </c>
      <c r="K91" s="80" t="str">
        <f>IF(COUNTIF('TT BTSC'!$D:$D,B91)&gt;0,"Hư hỏng","Bình thường")</f>
        <v>Bình thường</v>
      </c>
      <c r="L91" s="102">
        <v>0.66</v>
      </c>
      <c r="M91" s="128"/>
      <c r="N91" s="106" t="s">
        <v>187</v>
      </c>
      <c r="O91" s="108" t="s">
        <v>84</v>
      </c>
      <c r="P91" s="80">
        <v>1997.0</v>
      </c>
      <c r="Q91" s="80" t="s">
        <v>552</v>
      </c>
      <c r="R91" s="106" t="s">
        <v>195</v>
      </c>
      <c r="S91" s="108" t="s">
        <v>553</v>
      </c>
      <c r="T91" s="110" t="s">
        <v>554</v>
      </c>
      <c r="U91" s="110">
        <v>4.0</v>
      </c>
      <c r="V91" s="112">
        <v>0.0</v>
      </c>
      <c r="W91" s="112"/>
      <c r="X91" s="112"/>
      <c r="Y91" s="112"/>
    </row>
    <row r="92" ht="13.5" customHeight="1" outlineLevel="1">
      <c r="A92" s="95">
        <f t="shared" si="3"/>
        <v>9</v>
      </c>
      <c r="B92" s="86" t="s">
        <v>555</v>
      </c>
      <c r="C92" s="84" t="s">
        <v>555</v>
      </c>
      <c r="D92" s="95" t="str">
        <f>IFERROR(VLOOKUP(B92,' 02.1 KLH-CN MÃ BRAVO MM'!$B:$C,2,0),"")</f>
        <v>ATM-A22-0090</v>
      </c>
      <c r="E92" s="95"/>
      <c r="F92" s="95" t="s">
        <v>79</v>
      </c>
      <c r="G92" s="86" t="s">
        <v>186</v>
      </c>
      <c r="H92" s="80" t="str">
        <f>VLOOKUP(G92,'01. TH'!$B:$E,3,0)</f>
        <v>5810 x 2300 x 2860</v>
      </c>
      <c r="I92" s="80" t="s">
        <v>59</v>
      </c>
      <c r="J92" s="99">
        <v>44287.0</v>
      </c>
      <c r="K92" s="80" t="str">
        <f>IF(COUNTIF('TT BTSC'!$D:$D,B92)&gt;0,"Hư hỏng","Bình thường")</f>
        <v>Bình thường</v>
      </c>
      <c r="L92" s="102">
        <v>0.7</v>
      </c>
      <c r="M92" s="104"/>
      <c r="N92" s="106" t="s">
        <v>187</v>
      </c>
      <c r="O92" s="108" t="s">
        <v>84</v>
      </c>
      <c r="P92" s="80">
        <v>2020.0</v>
      </c>
      <c r="Q92" s="80" t="s">
        <v>188</v>
      </c>
      <c r="R92" s="106" t="s">
        <v>556</v>
      </c>
      <c r="S92" s="108" t="s">
        <v>557</v>
      </c>
      <c r="T92" s="110">
        <v>133945.0</v>
      </c>
      <c r="U92" s="110">
        <v>7.0</v>
      </c>
      <c r="V92" s="112">
        <v>250.0</v>
      </c>
      <c r="W92" s="112"/>
      <c r="X92" s="112"/>
      <c r="Y92" s="112"/>
    </row>
    <row r="93" ht="13.5" customHeight="1" outlineLevel="1">
      <c r="A93" s="95">
        <f t="shared" si="3"/>
        <v>10</v>
      </c>
      <c r="B93" s="113" t="str">
        <f t="shared" ref="B93:B96" si="4">C93</f>
        <v>CHT-XTA-008</v>
      </c>
      <c r="C93" s="113" t="s">
        <v>558</v>
      </c>
      <c r="D93" s="95" t="str">
        <f>IFERROR(VLOOKUP(B93,' 02.1 KLH-CN MÃ BRAVO MM'!$B:$C,2,0),"")</f>
        <v>ATT-A24-0062</v>
      </c>
      <c r="E93" s="95"/>
      <c r="F93" s="95" t="s">
        <v>79</v>
      </c>
      <c r="G93" s="86" t="s">
        <v>410</v>
      </c>
      <c r="H93" s="80" t="str">
        <f>VLOOKUP(G93,'01. TH'!$B:$E,3,0)</f>
        <v>6160 x 2330 x 2750</v>
      </c>
      <c r="I93" s="95" t="s">
        <v>59</v>
      </c>
      <c r="J93" s="116"/>
      <c r="K93" s="80" t="str">
        <f>IF(COUNTIF('TT BTSC'!$D:$D,B93)&gt;0,"Hư hỏng","Bình thường")</f>
        <v>Bình thường</v>
      </c>
      <c r="L93" s="117">
        <v>0.68</v>
      </c>
      <c r="M93" s="104"/>
      <c r="N93" s="119" t="s">
        <v>300</v>
      </c>
      <c r="O93" s="110" t="s">
        <v>148</v>
      </c>
      <c r="P93" s="95">
        <v>2020.0</v>
      </c>
      <c r="Q93" s="95" t="s">
        <v>412</v>
      </c>
      <c r="R93" s="119" t="s">
        <v>413</v>
      </c>
      <c r="S93" s="110" t="s">
        <v>559</v>
      </c>
      <c r="T93" s="110" t="s">
        <v>560</v>
      </c>
      <c r="U93" s="110">
        <v>0.4</v>
      </c>
      <c r="V93" s="112">
        <v>150.0</v>
      </c>
      <c r="W93" s="112"/>
      <c r="X93" s="112"/>
      <c r="Y93" s="112"/>
    </row>
    <row r="94" ht="13.5" customHeight="1" outlineLevel="1">
      <c r="A94" s="95">
        <f t="shared" si="3"/>
        <v>11</v>
      </c>
      <c r="B94" s="84" t="str">
        <f t="shared" si="4"/>
        <v>CHT-XTA-011</v>
      </c>
      <c r="C94" s="84" t="s">
        <v>561</v>
      </c>
      <c r="D94" s="95" t="str">
        <f>IFERROR(VLOOKUP(B94,' 02.1 KLH-CN MÃ BRAVO MM'!$B:$C,2,0),"")</f>
        <v>ATT-A22-0171</v>
      </c>
      <c r="E94" s="95"/>
      <c r="F94" s="95" t="s">
        <v>79</v>
      </c>
      <c r="G94" s="86" t="s">
        <v>146</v>
      </c>
      <c r="H94" s="80" t="str">
        <f>VLOOKUP(G94,'01. TH'!$B:$E,3,0)</f>
        <v>9290 x 2500 x 3370</v>
      </c>
      <c r="I94" s="80" t="s">
        <v>59</v>
      </c>
      <c r="J94" s="99">
        <v>44198.0</v>
      </c>
      <c r="K94" s="80" t="str">
        <f>IF(COUNTIF('TT BTSC'!$D:$D,B94)&gt;0,"Hư hỏng","Bình thường")</f>
        <v>Bình thường</v>
      </c>
      <c r="L94" s="102">
        <v>0.32</v>
      </c>
      <c r="M94" s="118"/>
      <c r="N94" s="106" t="s">
        <v>147</v>
      </c>
      <c r="O94" s="108" t="s">
        <v>148</v>
      </c>
      <c r="P94" s="80">
        <v>2018.0</v>
      </c>
      <c r="Q94" s="80" t="s">
        <v>149</v>
      </c>
      <c r="R94" s="106" t="s">
        <v>150</v>
      </c>
      <c r="S94" s="108" t="s">
        <v>562</v>
      </c>
      <c r="T94" s="110" t="s">
        <v>563</v>
      </c>
      <c r="U94" s="110">
        <v>1.41</v>
      </c>
      <c r="V94" s="112">
        <v>300.0</v>
      </c>
      <c r="W94" s="112"/>
      <c r="X94" s="112"/>
      <c r="Y94" s="112"/>
    </row>
    <row r="95" ht="13.5" customHeight="1" outlineLevel="1">
      <c r="A95" s="95">
        <f t="shared" si="3"/>
        <v>12</v>
      </c>
      <c r="B95" s="113" t="str">
        <f t="shared" si="4"/>
        <v>CHT-XTA-012</v>
      </c>
      <c r="C95" s="113" t="s">
        <v>564</v>
      </c>
      <c r="D95" s="95" t="str">
        <f>IFERROR(VLOOKUP(B95,' 02.1 KLH-CN MÃ BRAVO MM'!$B:$C,2,0),"")</f>
        <v>ATT-A22-0171</v>
      </c>
      <c r="E95" s="95"/>
      <c r="F95" s="95" t="s">
        <v>79</v>
      </c>
      <c r="G95" s="115" t="s">
        <v>146</v>
      </c>
      <c r="H95" s="80" t="str">
        <f>VLOOKUP(G95,'01. TH'!$B:$E,3,0)</f>
        <v>9290 x 2500 x 3370</v>
      </c>
      <c r="I95" s="95" t="s">
        <v>59</v>
      </c>
      <c r="J95" s="116">
        <v>44198.0</v>
      </c>
      <c r="K95" s="80" t="str">
        <f>IF(COUNTIF('TT BTSC'!$D:$D,B95)&gt;0,"Hư hỏng","Bình thường")</f>
        <v>Bình thường</v>
      </c>
      <c r="L95" s="119"/>
      <c r="M95" s="104"/>
      <c r="N95" s="119" t="s">
        <v>147</v>
      </c>
      <c r="O95" s="110" t="s">
        <v>148</v>
      </c>
      <c r="P95" s="95">
        <v>2018.0</v>
      </c>
      <c r="Q95" s="80" t="s">
        <v>149</v>
      </c>
      <c r="R95" s="119" t="s">
        <v>150</v>
      </c>
      <c r="S95" s="110" t="s">
        <v>565</v>
      </c>
      <c r="T95" s="110" t="s">
        <v>566</v>
      </c>
      <c r="U95" s="110">
        <v>1.41</v>
      </c>
      <c r="V95" s="112">
        <v>300.0</v>
      </c>
      <c r="W95" s="112"/>
      <c r="X95" s="112"/>
      <c r="Y95" s="112"/>
    </row>
    <row r="96" ht="13.5" customHeight="1" outlineLevel="1">
      <c r="A96" s="95">
        <f t="shared" si="3"/>
        <v>13</v>
      </c>
      <c r="B96" s="113" t="str">
        <f t="shared" si="4"/>
        <v>CHT-XBO-003</v>
      </c>
      <c r="C96" s="113" t="s">
        <v>567</v>
      </c>
      <c r="D96" s="95" t="str">
        <f>IFERROR(VLOOKUP(B96,' 02.1 KLH-CN MÃ BRAVO MM'!$B:$C,2,0),"")</f>
        <v>ATT-A22-0230</v>
      </c>
      <c r="E96" s="95"/>
      <c r="F96" s="95" t="s">
        <v>79</v>
      </c>
      <c r="G96" s="115" t="s">
        <v>569</v>
      </c>
      <c r="H96" s="80" t="str">
        <f>VLOOKUP(G96,'01. TH'!$B:$E,3,0)</f>
        <v>9290 x 2500 x 3370</v>
      </c>
      <c r="I96" s="95" t="s">
        <v>59</v>
      </c>
      <c r="J96" s="116">
        <v>44198.0</v>
      </c>
      <c r="K96" s="80" t="str">
        <f>IF(COUNTIF('TT BTSC'!$D:$D,B96)&gt;0,"Hư hỏng","Bình thường")</f>
        <v>Bình thường</v>
      </c>
      <c r="L96" s="117">
        <v>0.69</v>
      </c>
      <c r="M96" s="118"/>
      <c r="N96" s="119" t="s">
        <v>147</v>
      </c>
      <c r="O96" s="110" t="s">
        <v>148</v>
      </c>
      <c r="P96" s="95">
        <v>2019.0</v>
      </c>
      <c r="Q96" s="95" t="s">
        <v>570</v>
      </c>
      <c r="R96" s="119" t="s">
        <v>571</v>
      </c>
      <c r="S96" s="110" t="s">
        <v>572</v>
      </c>
      <c r="T96" s="110" t="s">
        <v>573</v>
      </c>
      <c r="U96" s="110">
        <v>0.6</v>
      </c>
      <c r="V96" s="112">
        <v>300.0</v>
      </c>
      <c r="W96" s="112"/>
      <c r="X96" s="112"/>
      <c r="Y96" s="112"/>
    </row>
    <row r="97" ht="13.5" customHeight="1" outlineLevel="1">
      <c r="A97" s="95">
        <f t="shared" si="3"/>
        <v>14</v>
      </c>
      <c r="B97" s="86" t="s">
        <v>181</v>
      </c>
      <c r="C97" s="84" t="s">
        <v>181</v>
      </c>
      <c r="D97" s="95" t="str">
        <f>IFERROR(VLOOKUP(B97,' 02.1 KLH-CN MÃ BRAVO MM'!$B:$C,2,0),"")</f>
        <v>ATM-A22-0086</v>
      </c>
      <c r="E97" s="95"/>
      <c r="F97" s="95" t="s">
        <v>79</v>
      </c>
      <c r="G97" s="86" t="s">
        <v>90</v>
      </c>
      <c r="H97" s="80" t="str">
        <f>VLOOKUP(G97,'01. TH'!$B:$E,3,0)</f>
        <v>9460 x 2800 x 3200</v>
      </c>
      <c r="I97" s="80" t="s">
        <v>59</v>
      </c>
      <c r="J97" s="99">
        <v>44287.0</v>
      </c>
      <c r="K97" s="80" t="str">
        <f>IF(COUNTIF('TT BTSC'!$D:$D,B97)&gt;0,"Hư hỏng","Bình thường")</f>
        <v>Bình thường</v>
      </c>
      <c r="L97" s="102">
        <v>0.7</v>
      </c>
      <c r="M97" s="118"/>
      <c r="N97" s="106" t="s">
        <v>92</v>
      </c>
      <c r="O97" s="108" t="s">
        <v>84</v>
      </c>
      <c r="P97" s="80">
        <v>2021.0</v>
      </c>
      <c r="Q97" s="80" t="s">
        <v>111</v>
      </c>
      <c r="R97" s="106" t="s">
        <v>112</v>
      </c>
      <c r="S97" s="108" t="s">
        <v>574</v>
      </c>
      <c r="T97" s="110">
        <v>816364.0</v>
      </c>
      <c r="U97" s="110">
        <v>13.0</v>
      </c>
      <c r="V97" s="112">
        <v>410.0</v>
      </c>
      <c r="W97" s="112"/>
      <c r="X97" s="112"/>
      <c r="Y97" s="112"/>
    </row>
    <row r="98" ht="13.5" customHeight="1" outlineLevel="1">
      <c r="A98" s="95">
        <f t="shared" si="3"/>
        <v>15</v>
      </c>
      <c r="B98" s="86" t="s">
        <v>193</v>
      </c>
      <c r="C98" s="84" t="s">
        <v>193</v>
      </c>
      <c r="D98" s="95" t="str">
        <f>IFERROR(VLOOKUP(B98,' 02.1 KLH-CN MÃ BRAVO MM'!$B:$C,2,0),"")</f>
        <v>ATT-A22-0143</v>
      </c>
      <c r="E98" s="95"/>
      <c r="F98" s="95" t="s">
        <v>79</v>
      </c>
      <c r="G98" s="86" t="s">
        <v>90</v>
      </c>
      <c r="H98" s="80" t="str">
        <f>VLOOKUP(G98,'01. TH'!$B:$E,3,0)</f>
        <v>9460 x 2800 x 3200</v>
      </c>
      <c r="I98" s="80" t="s">
        <v>59</v>
      </c>
      <c r="J98" s="99"/>
      <c r="K98" s="80" t="str">
        <f>IF(COUNTIF('TT BTSC'!$D:$D,B98)&gt;0,"Hư hỏng","Bình thường")</f>
        <v>Bình thường</v>
      </c>
      <c r="L98" s="102">
        <v>0.66</v>
      </c>
      <c r="M98" s="104"/>
      <c r="N98" s="106" t="s">
        <v>92</v>
      </c>
      <c r="O98" s="108" t="s">
        <v>84</v>
      </c>
      <c r="P98" s="80">
        <v>2020.0</v>
      </c>
      <c r="Q98" s="80" t="s">
        <v>111</v>
      </c>
      <c r="R98" s="106" t="s">
        <v>94</v>
      </c>
      <c r="S98" s="108" t="s">
        <v>575</v>
      </c>
      <c r="T98" s="110">
        <v>800456.0</v>
      </c>
      <c r="U98" s="110">
        <v>15.0</v>
      </c>
      <c r="V98" s="112">
        <v>410.0</v>
      </c>
      <c r="W98" s="112"/>
      <c r="X98" s="112"/>
      <c r="Y98" s="112"/>
    </row>
    <row r="99" ht="13.5" customHeight="1" outlineLevel="1">
      <c r="A99" s="95">
        <f t="shared" si="3"/>
        <v>16</v>
      </c>
      <c r="B99" s="86" t="s">
        <v>354</v>
      </c>
      <c r="C99" s="84" t="s">
        <v>354</v>
      </c>
      <c r="D99" s="95" t="str">
        <f>IFERROR(VLOOKUP(B99,' 02.1 KLH-CN MÃ BRAVO MM'!$B:$C,2,0),"")</f>
        <v>ATT-A22-0120</v>
      </c>
      <c r="E99" s="95"/>
      <c r="F99" s="95" t="s">
        <v>79</v>
      </c>
      <c r="G99" s="86" t="s">
        <v>99</v>
      </c>
      <c r="H99" s="80" t="str">
        <f>VLOOKUP(G99,'01. TH'!$B:$E,3,0)</f>
        <v>7235 x 2496 x 3351</v>
      </c>
      <c r="I99" s="80" t="s">
        <v>59</v>
      </c>
      <c r="J99" s="80" t="s">
        <v>576</v>
      </c>
      <c r="K99" s="80" t="str">
        <f>IF(COUNTIF('TT BTSC'!$D:$D,B99)&gt;0,"Hư hỏng","Bình thường")</f>
        <v>Bình thường</v>
      </c>
      <c r="L99" s="106"/>
      <c r="M99" s="104"/>
      <c r="N99" s="106" t="s">
        <v>102</v>
      </c>
      <c r="O99" s="108" t="s">
        <v>103</v>
      </c>
      <c r="P99" s="80">
        <v>2020.0</v>
      </c>
      <c r="Q99" s="80" t="s">
        <v>104</v>
      </c>
      <c r="R99" s="106" t="s">
        <v>105</v>
      </c>
      <c r="S99" s="108" t="s">
        <v>577</v>
      </c>
      <c r="T99" s="110" t="s">
        <v>578</v>
      </c>
      <c r="U99" s="110">
        <v>10.0</v>
      </c>
      <c r="V99" s="112">
        <v>280.0</v>
      </c>
      <c r="W99" s="112"/>
      <c r="X99" s="112"/>
      <c r="Y99" s="112"/>
    </row>
    <row r="100" ht="13.5" customHeight="1" outlineLevel="1">
      <c r="A100" s="95">
        <f t="shared" si="3"/>
        <v>17</v>
      </c>
      <c r="B100" s="86" t="s">
        <v>377</v>
      </c>
      <c r="C100" s="84" t="s">
        <v>377</v>
      </c>
      <c r="D100" s="95" t="str">
        <f>IFERROR(VLOOKUP(B100,' 02.1 KLH-CN MÃ BRAVO MM'!$B:$C,2,0),"")</f>
        <v>ATT-A22-0120</v>
      </c>
      <c r="E100" s="95"/>
      <c r="F100" s="95" t="s">
        <v>79</v>
      </c>
      <c r="G100" s="86" t="s">
        <v>99</v>
      </c>
      <c r="H100" s="80" t="str">
        <f>VLOOKUP(G100,'01. TH'!$B:$E,3,0)</f>
        <v>7235 x 2496 x 3351</v>
      </c>
      <c r="I100" s="80" t="s">
        <v>59</v>
      </c>
      <c r="J100" s="80" t="s">
        <v>576</v>
      </c>
      <c r="K100" s="80" t="str">
        <f>IF(COUNTIF('TT BTSC'!$D:$D,B100)&gt;0,"Hư hỏng","Bình thường")</f>
        <v>Bình thường</v>
      </c>
      <c r="L100" s="106"/>
      <c r="M100" s="104"/>
      <c r="N100" s="106" t="s">
        <v>102</v>
      </c>
      <c r="O100" s="108" t="s">
        <v>103</v>
      </c>
      <c r="P100" s="80">
        <v>2020.0</v>
      </c>
      <c r="Q100" s="80" t="s">
        <v>104</v>
      </c>
      <c r="R100" s="106" t="s">
        <v>105</v>
      </c>
      <c r="S100" s="108" t="s">
        <v>579</v>
      </c>
      <c r="T100" s="110" t="s">
        <v>580</v>
      </c>
      <c r="U100" s="110">
        <v>10.0</v>
      </c>
      <c r="V100" s="112">
        <v>280.0</v>
      </c>
      <c r="W100" s="112"/>
      <c r="X100" s="112"/>
      <c r="Y100" s="112"/>
    </row>
    <row r="101" ht="13.5" customHeight="1" outlineLevel="1">
      <c r="A101" s="95">
        <f t="shared" si="3"/>
        <v>18</v>
      </c>
      <c r="B101" s="113" t="s">
        <v>582</v>
      </c>
      <c r="C101" s="113" t="s">
        <v>583</v>
      </c>
      <c r="D101" s="95" t="str">
        <f>IFERROR(VLOOKUP(B101,' 02.1 KLH-CN MÃ BRAVO MM'!$B:$C,2,0),"")</f>
        <v>ATT-A22-0240</v>
      </c>
      <c r="E101" s="95"/>
      <c r="F101" s="95" t="s">
        <v>79</v>
      </c>
      <c r="G101" s="115" t="s">
        <v>584</v>
      </c>
      <c r="H101" s="80" t="str">
        <f>VLOOKUP(G101,'01. TH'!$B:$E,3,0)</f>
        <v>11825 x 2500 x 3720</v>
      </c>
      <c r="I101" s="95" t="s">
        <v>59</v>
      </c>
      <c r="J101" s="116">
        <v>44317.0</v>
      </c>
      <c r="K101" s="80" t="str">
        <f>IF(COUNTIF('TT BTSC'!$D:$D,B101)&gt;0,"Hư hỏng","Bình thường")</f>
        <v>Bình thường</v>
      </c>
      <c r="L101" s="117">
        <v>0.74</v>
      </c>
      <c r="M101" s="118"/>
      <c r="N101" s="119" t="s">
        <v>147</v>
      </c>
      <c r="O101" s="110" t="s">
        <v>585</v>
      </c>
      <c r="P101" s="167" t="s">
        <v>586</v>
      </c>
      <c r="Q101" s="95" t="s">
        <v>587</v>
      </c>
      <c r="R101" s="119" t="s">
        <v>571</v>
      </c>
      <c r="S101" s="110" t="s">
        <v>588</v>
      </c>
      <c r="T101" s="110" t="s">
        <v>589</v>
      </c>
      <c r="U101" s="110">
        <v>0.65</v>
      </c>
      <c r="V101" s="112">
        <v>260.0</v>
      </c>
      <c r="W101" s="112"/>
      <c r="X101" s="112"/>
      <c r="Y101" s="112"/>
    </row>
    <row r="102" ht="13.5" customHeight="1" outlineLevel="1">
      <c r="A102" s="95">
        <f t="shared" si="3"/>
        <v>19</v>
      </c>
      <c r="B102" s="86" t="s">
        <v>590</v>
      </c>
      <c r="C102" s="86" t="s">
        <v>591</v>
      </c>
      <c r="D102" s="95" t="str">
        <f>IFERROR(VLOOKUP(B102,' 02.1 KLH-CN MÃ BRAVO MM'!$B:$C,2,0),"")</f>
        <v>ATT-A22-0231</v>
      </c>
      <c r="E102" s="95"/>
      <c r="F102" s="95" t="s">
        <v>79</v>
      </c>
      <c r="G102" s="86" t="s">
        <v>219</v>
      </c>
      <c r="H102" s="80" t="str">
        <f>VLOOKUP(G102,'01. TH'!$B:$E,3,0)</f>
        <v>5260 x 1760 x 2415</v>
      </c>
      <c r="I102" s="80" t="s">
        <v>59</v>
      </c>
      <c r="J102" s="99">
        <v>44199.0</v>
      </c>
      <c r="K102" s="80" t="str">
        <f>IF(COUNTIF('TT BTSC'!$D:$D,B102)&gt;0,"Hư hỏng","Bình thường")</f>
        <v>Bình thường</v>
      </c>
      <c r="L102" s="102">
        <v>0.69</v>
      </c>
      <c r="M102" s="129" t="s">
        <v>592</v>
      </c>
      <c r="N102" s="106" t="s">
        <v>123</v>
      </c>
      <c r="O102" s="108" t="s">
        <v>84</v>
      </c>
      <c r="P102" s="80">
        <v>2014.0</v>
      </c>
      <c r="Q102" s="80" t="s">
        <v>223</v>
      </c>
      <c r="R102" s="106" t="s">
        <v>462</v>
      </c>
      <c r="S102" s="108" t="s">
        <v>593</v>
      </c>
      <c r="T102" s="110">
        <v>32816.0</v>
      </c>
      <c r="U102" s="140">
        <v>4.0</v>
      </c>
      <c r="V102" s="112">
        <v>60.0</v>
      </c>
      <c r="W102" s="112"/>
      <c r="X102" s="112"/>
      <c r="Y102" s="112"/>
    </row>
    <row r="103" ht="25.5" customHeight="1" outlineLevel="1">
      <c r="A103" s="95">
        <f t="shared" si="3"/>
        <v>20</v>
      </c>
      <c r="B103" s="86" t="s">
        <v>594</v>
      </c>
      <c r="C103" s="86" t="s">
        <v>595</v>
      </c>
      <c r="D103" s="95" t="str">
        <f>IFERROR(VLOOKUP(B103,' 02.1 KLH-CN MÃ BRAVO MM'!$B:$C,2,0),"")</f>
        <v>ATM-A22-0018</v>
      </c>
      <c r="E103" s="95"/>
      <c r="F103" s="95" t="s">
        <v>79</v>
      </c>
      <c r="G103" s="86" t="s">
        <v>452</v>
      </c>
      <c r="H103" s="80" t="str">
        <f>VLOOKUP(G103,'01. TH'!$B:$E,3,0)</f>
        <v>4749 x 1700 x 2470</v>
      </c>
      <c r="I103" s="80" t="s">
        <v>59</v>
      </c>
      <c r="J103" s="99"/>
      <c r="K103" s="80" t="str">
        <f>IF(COUNTIF('TT BTSC'!$D:$D,B103)&gt;0,"Hư hỏng","Bình thường")</f>
        <v>Bình thường</v>
      </c>
      <c r="L103" s="117">
        <v>0.4</v>
      </c>
      <c r="M103" s="129" t="s">
        <v>596</v>
      </c>
      <c r="N103" s="80" t="s">
        <v>454</v>
      </c>
      <c r="O103" s="110" t="s">
        <v>84</v>
      </c>
      <c r="P103" s="80">
        <v>2015.0</v>
      </c>
      <c r="Q103" s="80" t="s">
        <v>455</v>
      </c>
      <c r="R103" s="80" t="s">
        <v>456</v>
      </c>
      <c r="S103" s="108" t="s">
        <v>597</v>
      </c>
      <c r="T103" s="110" t="s">
        <v>598</v>
      </c>
      <c r="U103" s="140">
        <v>4.0</v>
      </c>
      <c r="V103" s="112">
        <v>40.0</v>
      </c>
      <c r="W103" s="112"/>
      <c r="X103" s="112"/>
      <c r="Y103" s="112"/>
    </row>
    <row r="104" ht="25.5" customHeight="1" outlineLevel="1">
      <c r="A104" s="95">
        <f t="shared" si="3"/>
        <v>21</v>
      </c>
      <c r="B104" s="86" t="s">
        <v>599</v>
      </c>
      <c r="C104" s="86" t="s">
        <v>600</v>
      </c>
      <c r="D104" s="95" t="str">
        <f>IFERROR(VLOOKUP(B104,' 02.1 KLH-CN MÃ BRAVO MM'!$B:$C,2,0),"")</f>
        <v>ATM-A22-0018</v>
      </c>
      <c r="E104" s="95"/>
      <c r="F104" s="95" t="s">
        <v>79</v>
      </c>
      <c r="G104" s="86" t="s">
        <v>452</v>
      </c>
      <c r="H104" s="80" t="str">
        <f>VLOOKUP(G104,'01. TH'!$B:$E,3,0)</f>
        <v>4749 x 1700 x 2470</v>
      </c>
      <c r="I104" s="80" t="s">
        <v>59</v>
      </c>
      <c r="J104" s="99"/>
      <c r="K104" s="80" t="str">
        <f>IF(COUNTIF('TT BTSC'!$D:$D,B104)&gt;0,"Hư hỏng","Bình thường")</f>
        <v>Bình thường</v>
      </c>
      <c r="L104" s="117">
        <v>0.4</v>
      </c>
      <c r="M104" s="129" t="s">
        <v>596</v>
      </c>
      <c r="N104" s="80" t="s">
        <v>454</v>
      </c>
      <c r="O104" s="110" t="s">
        <v>84</v>
      </c>
      <c r="P104" s="80">
        <v>2015.0</v>
      </c>
      <c r="Q104" s="80" t="s">
        <v>455</v>
      </c>
      <c r="R104" s="80" t="s">
        <v>456</v>
      </c>
      <c r="S104" s="108" t="s">
        <v>602</v>
      </c>
      <c r="T104" s="110" t="s">
        <v>603</v>
      </c>
      <c r="U104" s="140">
        <v>4.0</v>
      </c>
      <c r="V104" s="112">
        <v>40.0</v>
      </c>
      <c r="W104" s="112"/>
      <c r="X104" s="112"/>
      <c r="Y104" s="112"/>
    </row>
    <row r="105" ht="24.0" customHeight="1" outlineLevel="1">
      <c r="A105" s="95">
        <f t="shared" si="3"/>
        <v>22</v>
      </c>
      <c r="B105" s="115" t="s">
        <v>604</v>
      </c>
      <c r="C105" s="115" t="s">
        <v>605</v>
      </c>
      <c r="D105" s="95" t="str">
        <f>IFERROR(VLOOKUP(B105,' 02.1 KLH-CN MÃ BRAVO MM'!$B:$C,2,0),"")</f>
        <v>A22-MĐA-061</v>
      </c>
      <c r="E105" s="95"/>
      <c r="F105" s="95" t="s">
        <v>79</v>
      </c>
      <c r="G105" s="115" t="s">
        <v>452</v>
      </c>
      <c r="H105" s="80" t="str">
        <f>VLOOKUP(G105,'01. TH'!$B:$E,3,0)</f>
        <v>4749 x 1700 x 2470</v>
      </c>
      <c r="I105" s="80" t="s">
        <v>59</v>
      </c>
      <c r="J105" s="116">
        <v>45512.0</v>
      </c>
      <c r="K105" s="80" t="str">
        <f>IF(COUNTIF('TT BTSC'!$D:$D,B105)&gt;0,"Hư hỏng","Bình thường")</f>
        <v>Bình thường</v>
      </c>
      <c r="L105" s="117">
        <v>0.4</v>
      </c>
      <c r="M105" s="129" t="s">
        <v>606</v>
      </c>
      <c r="N105" s="119" t="s">
        <v>454</v>
      </c>
      <c r="O105" s="110" t="s">
        <v>84</v>
      </c>
      <c r="P105" s="95">
        <v>2015.0</v>
      </c>
      <c r="Q105" s="95" t="s">
        <v>455</v>
      </c>
      <c r="R105" s="119" t="s">
        <v>456</v>
      </c>
      <c r="S105" s="110" t="s">
        <v>607</v>
      </c>
      <c r="T105" s="110" t="s">
        <v>608</v>
      </c>
      <c r="U105" s="140">
        <v>4.0</v>
      </c>
      <c r="V105" s="112">
        <v>40.0</v>
      </c>
      <c r="W105" s="112"/>
      <c r="X105" s="112"/>
      <c r="Y105" s="112"/>
    </row>
    <row r="106" ht="13.5" customHeight="1" outlineLevel="1">
      <c r="A106" s="95">
        <f t="shared" si="3"/>
        <v>23</v>
      </c>
      <c r="B106" s="134" t="s">
        <v>609</v>
      </c>
      <c r="C106" s="134" t="s">
        <v>139</v>
      </c>
      <c r="D106" s="9" t="s">
        <v>610</v>
      </c>
      <c r="E106" s="9"/>
      <c r="F106" s="9" t="s">
        <v>139</v>
      </c>
      <c r="G106" s="134" t="s">
        <v>219</v>
      </c>
      <c r="H106" s="80" t="str">
        <f>VLOOKUP(G106,'01. TH'!$B:$E,3,0)</f>
        <v>5260 x 1760 x 2415</v>
      </c>
      <c r="I106" s="95" t="s">
        <v>59</v>
      </c>
      <c r="J106" s="147">
        <v>45963.0</v>
      </c>
      <c r="K106" s="80" t="str">
        <f>IF(COUNTIF('TT BTSC'!$D:$D,B106)&gt;0,"Hư hỏng","Bình thường")</f>
        <v>Bình thường</v>
      </c>
      <c r="L106" s="146"/>
      <c r="M106" s="150" t="s">
        <v>539</v>
      </c>
      <c r="N106" s="9" t="s">
        <v>123</v>
      </c>
      <c r="O106" s="140" t="s">
        <v>222</v>
      </c>
      <c r="P106" s="9">
        <v>2012.0</v>
      </c>
      <c r="Q106" s="9" t="s">
        <v>237</v>
      </c>
      <c r="R106" s="9" t="s">
        <v>224</v>
      </c>
      <c r="S106" s="140" t="s">
        <v>611</v>
      </c>
      <c r="T106" s="140">
        <v>26018.0</v>
      </c>
      <c r="U106" s="140">
        <v>4.0</v>
      </c>
      <c r="V106" s="112">
        <v>65.0</v>
      </c>
      <c r="W106" s="112"/>
      <c r="X106" s="112"/>
      <c r="Y106" s="112"/>
    </row>
    <row r="107" ht="13.5" customHeight="1" outlineLevel="1">
      <c r="A107" s="95">
        <f t="shared" si="3"/>
        <v>24</v>
      </c>
      <c r="B107" s="115" t="s">
        <v>612</v>
      </c>
      <c r="C107" s="134" t="s">
        <v>139</v>
      </c>
      <c r="D107" s="95" t="s">
        <v>613</v>
      </c>
      <c r="E107" s="95"/>
      <c r="F107" s="9" t="s">
        <v>139</v>
      </c>
      <c r="G107" s="115" t="s">
        <v>219</v>
      </c>
      <c r="H107" s="80" t="str">
        <f>VLOOKUP(G107,'01. TH'!$B:$E,3,0)</f>
        <v>5260 x 1760 x 2415</v>
      </c>
      <c r="I107" s="80" t="s">
        <v>59</v>
      </c>
      <c r="J107" s="116">
        <v>45660.0</v>
      </c>
      <c r="K107" s="80" t="str">
        <f>IF(COUNTIF('TT BTSC'!$D:$D,B107)&gt;0,"Hư hỏng","Bình thường")</f>
        <v>Bình thường</v>
      </c>
      <c r="L107" s="117"/>
      <c r="M107" s="150" t="s">
        <v>614</v>
      </c>
      <c r="N107" s="95" t="s">
        <v>123</v>
      </c>
      <c r="O107" s="110" t="s">
        <v>84</v>
      </c>
      <c r="P107" s="95">
        <v>2012.0</v>
      </c>
      <c r="Q107" s="95" t="s">
        <v>237</v>
      </c>
      <c r="R107" s="9" t="s">
        <v>224</v>
      </c>
      <c r="S107" s="110" t="s">
        <v>615</v>
      </c>
      <c r="T107" s="110">
        <v>25186.0</v>
      </c>
      <c r="U107" s="140">
        <v>4.0</v>
      </c>
      <c r="V107" s="112">
        <v>65.0</v>
      </c>
      <c r="W107" s="112"/>
      <c r="X107" s="112"/>
      <c r="Y107" s="112"/>
    </row>
    <row r="108" ht="13.5" customHeight="1" outlineLevel="1">
      <c r="A108" s="95">
        <f t="shared" si="3"/>
        <v>25</v>
      </c>
      <c r="B108" s="115" t="s">
        <v>444</v>
      </c>
      <c r="C108" s="134" t="s">
        <v>139</v>
      </c>
      <c r="D108" s="95" t="s">
        <v>616</v>
      </c>
      <c r="E108" s="95"/>
      <c r="F108" s="9" t="s">
        <v>139</v>
      </c>
      <c r="G108" s="134" t="s">
        <v>282</v>
      </c>
      <c r="H108" s="80" t="str">
        <f>VLOOKUP(G108,'01. TH'!$B:$E,3,0)</f>
        <v>8700 x 2800 x 3010</v>
      </c>
      <c r="I108" s="80" t="s">
        <v>59</v>
      </c>
      <c r="J108" s="116">
        <v>45660.0</v>
      </c>
      <c r="K108" s="80" t="str">
        <f>IF(COUNTIF('TT BTSC'!$D:$D,B108)&gt;0,"Hư hỏng","Bình thường")</f>
        <v>Bình thường</v>
      </c>
      <c r="L108" s="117"/>
      <c r="M108" s="150" t="s">
        <v>614</v>
      </c>
      <c r="N108" s="95" t="s">
        <v>123</v>
      </c>
      <c r="O108" s="110" t="s">
        <v>84</v>
      </c>
      <c r="P108" s="95">
        <v>2012.0</v>
      </c>
      <c r="Q108" s="95" t="s">
        <v>491</v>
      </c>
      <c r="R108" s="95" t="s">
        <v>278</v>
      </c>
      <c r="S108" s="110" t="s">
        <v>618</v>
      </c>
      <c r="T108" s="110" t="s">
        <v>619</v>
      </c>
      <c r="U108" s="110">
        <v>14.0</v>
      </c>
      <c r="V108" s="112">
        <v>400.0</v>
      </c>
      <c r="W108" s="112"/>
      <c r="X108" s="112"/>
      <c r="Y108" s="112"/>
    </row>
    <row r="109" ht="13.5" customHeight="1" outlineLevel="1">
      <c r="A109" s="95">
        <f t="shared" si="3"/>
        <v>26</v>
      </c>
      <c r="B109" s="115" t="s">
        <v>620</v>
      </c>
      <c r="C109" s="115" t="s">
        <v>154</v>
      </c>
      <c r="D109" s="95" t="s">
        <v>621</v>
      </c>
      <c r="E109" s="95" t="s">
        <v>622</v>
      </c>
      <c r="F109" s="95" t="s">
        <v>154</v>
      </c>
      <c r="G109" s="115" t="s">
        <v>157</v>
      </c>
      <c r="H109" s="80" t="str">
        <f>VLOOKUP(G109,'01. TH'!$B:$E,3,0)</f>
        <v>7800 x 2500 x 3480</v>
      </c>
      <c r="I109" s="80" t="s">
        <v>59</v>
      </c>
      <c r="J109" s="116">
        <v>45661.0</v>
      </c>
      <c r="K109" s="80" t="str">
        <f>IF(COUNTIF('TT BTSC'!$D:$D,B109)&gt;0,"Hư hỏng","Bình thường")</f>
        <v>Bình thường</v>
      </c>
      <c r="L109" s="117"/>
      <c r="M109" s="150" t="s">
        <v>623</v>
      </c>
      <c r="N109" s="95" t="s">
        <v>161</v>
      </c>
      <c r="O109" s="110" t="s">
        <v>148</v>
      </c>
      <c r="P109" s="95">
        <v>2022.0</v>
      </c>
      <c r="Q109" s="95" t="s">
        <v>162</v>
      </c>
      <c r="R109" s="95" t="s">
        <v>163</v>
      </c>
      <c r="S109" s="110" t="s">
        <v>624</v>
      </c>
      <c r="T109" s="110" t="s">
        <v>625</v>
      </c>
      <c r="U109" s="110">
        <v>0.9</v>
      </c>
      <c r="V109" s="112">
        <v>300.0</v>
      </c>
      <c r="W109" s="112"/>
      <c r="X109" s="112"/>
      <c r="Y109" s="112"/>
    </row>
    <row r="110" ht="13.5" customHeight="1" outlineLevel="1">
      <c r="A110" s="95">
        <f t="shared" si="3"/>
        <v>27</v>
      </c>
      <c r="B110" s="115" t="s">
        <v>626</v>
      </c>
      <c r="C110" s="115" t="s">
        <v>154</v>
      </c>
      <c r="D110" s="95" t="s">
        <v>627</v>
      </c>
      <c r="E110" s="95" t="s">
        <v>628</v>
      </c>
      <c r="F110" s="95" t="s">
        <v>154</v>
      </c>
      <c r="G110" s="115" t="s">
        <v>157</v>
      </c>
      <c r="H110" s="80" t="str">
        <f>VLOOKUP(G110,'01. TH'!$B:$E,3,0)</f>
        <v>7800 x 2500 x 3480</v>
      </c>
      <c r="I110" s="80" t="s">
        <v>59</v>
      </c>
      <c r="J110" s="116">
        <v>45661.0</v>
      </c>
      <c r="K110" s="80" t="str">
        <f>IF(COUNTIF('TT BTSC'!$D:$D,B110)&gt;0,"Hư hỏng","Bình thường")</f>
        <v>Bình thường</v>
      </c>
      <c r="L110" s="117"/>
      <c r="M110" s="150" t="s">
        <v>623</v>
      </c>
      <c r="N110" s="95" t="s">
        <v>161</v>
      </c>
      <c r="O110" s="110" t="s">
        <v>148</v>
      </c>
      <c r="P110" s="95">
        <v>2022.0</v>
      </c>
      <c r="Q110" s="95" t="s">
        <v>162</v>
      </c>
      <c r="R110" s="95" t="s">
        <v>163</v>
      </c>
      <c r="S110" s="110" t="s">
        <v>629</v>
      </c>
      <c r="T110" s="110" t="s">
        <v>630</v>
      </c>
      <c r="U110" s="110">
        <v>0.9</v>
      </c>
      <c r="V110" s="112">
        <v>300.0</v>
      </c>
      <c r="W110" s="112"/>
      <c r="X110" s="112"/>
      <c r="Y110" s="112"/>
    </row>
    <row r="111" ht="30.75" customHeight="1" outlineLevel="1">
      <c r="A111" s="95">
        <f t="shared" si="3"/>
        <v>28</v>
      </c>
      <c r="B111" s="86" t="s">
        <v>631</v>
      </c>
      <c r="C111" s="134" t="s">
        <v>154</v>
      </c>
      <c r="D111" s="95" t="s">
        <v>632</v>
      </c>
      <c r="E111" s="95" t="s">
        <v>633</v>
      </c>
      <c r="F111" s="95" t="s">
        <v>154</v>
      </c>
      <c r="G111" s="86" t="s">
        <v>157</v>
      </c>
      <c r="H111" s="80" t="str">
        <f>VLOOKUP(G111,'01. TH'!$B:$E,3,0)</f>
        <v>7800 x 2500 x 3480</v>
      </c>
      <c r="I111" s="80" t="s">
        <v>59</v>
      </c>
      <c r="J111" s="99">
        <v>45749.0</v>
      </c>
      <c r="K111" s="80" t="str">
        <f>IF(COUNTIF('TT BTSC'!$D:$D,B111)&gt;0,"Hư hỏng","Bình thường")</f>
        <v>Bình thường</v>
      </c>
      <c r="L111" s="102"/>
      <c r="M111" s="129" t="s">
        <v>634</v>
      </c>
      <c r="N111" s="80" t="s">
        <v>161</v>
      </c>
      <c r="O111" s="108" t="s">
        <v>148</v>
      </c>
      <c r="P111" s="80">
        <v>2022.0</v>
      </c>
      <c r="Q111" s="80" t="s">
        <v>162</v>
      </c>
      <c r="R111" s="80" t="s">
        <v>163</v>
      </c>
      <c r="S111" s="108" t="s">
        <v>635</v>
      </c>
      <c r="T111" s="110" t="s">
        <v>636</v>
      </c>
      <c r="U111" s="110">
        <v>0.9</v>
      </c>
      <c r="V111" s="112">
        <v>300.0</v>
      </c>
      <c r="W111" s="112"/>
      <c r="X111" s="112"/>
      <c r="Y111" s="112"/>
    </row>
    <row r="112" ht="28.5" customHeight="1" outlineLevel="1">
      <c r="A112" s="95">
        <f t="shared" si="3"/>
        <v>29</v>
      </c>
      <c r="B112" s="115" t="s">
        <v>637</v>
      </c>
      <c r="C112" s="134" t="s">
        <v>139</v>
      </c>
      <c r="D112" s="95" t="s">
        <v>638</v>
      </c>
      <c r="E112" s="95"/>
      <c r="F112" s="134" t="s">
        <v>139</v>
      </c>
      <c r="G112" s="115" t="s">
        <v>207</v>
      </c>
      <c r="H112" s="80" t="str">
        <f>VLOOKUP(G112,'01. TH'!$B:$E,3,0)</f>
        <v>8420 x 2375 x 3240</v>
      </c>
      <c r="I112" s="95" t="s">
        <v>59</v>
      </c>
      <c r="J112" s="95" t="s">
        <v>141</v>
      </c>
      <c r="K112" s="80" t="str">
        <f>IF(COUNTIF('TT BTSC'!$D:$D,B112)&gt;0,"Hư hỏng","Bình thường")</f>
        <v>Bình thường</v>
      </c>
      <c r="L112" s="119"/>
      <c r="M112" s="129" t="s">
        <v>639</v>
      </c>
      <c r="N112" s="95" t="s">
        <v>123</v>
      </c>
      <c r="O112" s="110" t="s">
        <v>84</v>
      </c>
      <c r="P112" s="95">
        <v>1994.0</v>
      </c>
      <c r="Q112" s="95" t="s">
        <v>208</v>
      </c>
      <c r="R112" s="95" t="s">
        <v>549</v>
      </c>
      <c r="S112" s="110" t="s">
        <v>640</v>
      </c>
      <c r="T112" s="110" t="s">
        <v>641</v>
      </c>
      <c r="U112" s="110">
        <v>9.3</v>
      </c>
      <c r="V112" s="112">
        <v>0.0</v>
      </c>
      <c r="W112" s="112"/>
      <c r="X112" s="112"/>
      <c r="Y112" s="112"/>
    </row>
    <row r="113" ht="28.5" customHeight="1" outlineLevel="1">
      <c r="A113" s="95">
        <f t="shared" si="3"/>
        <v>30</v>
      </c>
      <c r="B113" s="115" t="s">
        <v>480</v>
      </c>
      <c r="C113" s="134" t="s">
        <v>139</v>
      </c>
      <c r="D113" s="95" t="s">
        <v>642</v>
      </c>
      <c r="E113" s="95"/>
      <c r="F113" s="134" t="s">
        <v>139</v>
      </c>
      <c r="G113" s="115" t="s">
        <v>282</v>
      </c>
      <c r="H113" s="80" t="str">
        <f>VLOOKUP(G113,'01. TH'!$B:$E,3,0)</f>
        <v>8700 x 2800 x 3010</v>
      </c>
      <c r="I113" s="95" t="s">
        <v>59</v>
      </c>
      <c r="J113" s="95" t="s">
        <v>141</v>
      </c>
      <c r="K113" s="80" t="str">
        <f>IF(COUNTIF('TT BTSC'!$D:$D,B113)&gt;0,"Hư hỏng","Bình thường")</f>
        <v>Bình thường</v>
      </c>
      <c r="L113" s="119"/>
      <c r="M113" s="129" t="s">
        <v>639</v>
      </c>
      <c r="N113" s="95" t="s">
        <v>123</v>
      </c>
      <c r="O113" s="110" t="s">
        <v>84</v>
      </c>
      <c r="P113" s="95">
        <v>2003.0</v>
      </c>
      <c r="Q113" s="95" t="s">
        <v>284</v>
      </c>
      <c r="R113" s="95" t="s">
        <v>209</v>
      </c>
      <c r="S113" s="110" t="s">
        <v>643</v>
      </c>
      <c r="T113" s="110" t="s">
        <v>644</v>
      </c>
      <c r="U113" s="110">
        <v>14.0</v>
      </c>
      <c r="V113" s="112">
        <v>320.0</v>
      </c>
      <c r="W113" s="112"/>
      <c r="X113" s="112"/>
      <c r="Y113" s="112"/>
    </row>
    <row r="114" ht="28.5" customHeight="1" outlineLevel="1">
      <c r="A114" s="95">
        <f t="shared" si="3"/>
        <v>31</v>
      </c>
      <c r="B114" s="115" t="s">
        <v>645</v>
      </c>
      <c r="C114" s="115" t="s">
        <v>154</v>
      </c>
      <c r="D114" s="95" t="s">
        <v>646</v>
      </c>
      <c r="E114" s="95" t="s">
        <v>647</v>
      </c>
      <c r="F114" s="115" t="s">
        <v>154</v>
      </c>
      <c r="G114" s="115" t="s">
        <v>335</v>
      </c>
      <c r="H114" s="80" t="str">
        <f>VLOOKUP(G114,'01. TH'!$B:$E,3,0)</f>
        <v>5910 x 2310 x 2800</v>
      </c>
      <c r="I114" s="95" t="s">
        <v>59</v>
      </c>
      <c r="J114" s="116">
        <v>45936.0</v>
      </c>
      <c r="K114" s="80" t="str">
        <f>IF(COUNTIF('TT BTSC'!$D:$D,B114)&gt;0,"Hư hỏng","Bình thường")</f>
        <v>Bình thường</v>
      </c>
      <c r="L114" s="117"/>
      <c r="M114" s="129" t="s">
        <v>76</v>
      </c>
      <c r="N114" s="95" t="s">
        <v>466</v>
      </c>
      <c r="O114" s="110" t="s">
        <v>648</v>
      </c>
      <c r="P114" s="95">
        <v>2024.0</v>
      </c>
      <c r="Q114" s="95" t="s">
        <v>337</v>
      </c>
      <c r="R114" s="95" t="s">
        <v>338</v>
      </c>
      <c r="S114" s="110" t="s">
        <v>649</v>
      </c>
      <c r="T114" s="110" t="s">
        <v>650</v>
      </c>
      <c r="U114" s="140">
        <v>0.61</v>
      </c>
      <c r="V114" s="112">
        <v>150.0</v>
      </c>
      <c r="W114" s="112"/>
      <c r="X114" s="112"/>
      <c r="Y114" s="112"/>
    </row>
    <row r="115" ht="13.5" customHeight="1" outlineLevel="1">
      <c r="A115" s="80"/>
      <c r="B115" s="115"/>
      <c r="C115" s="115"/>
      <c r="D115" s="95"/>
      <c r="E115" s="95"/>
      <c r="F115" s="95"/>
      <c r="G115" s="115"/>
      <c r="H115" s="80" t="str">
        <f>VLOOKUP(G115,'01. TH'!$B:$E,3,0)</f>
        <v>#N/A</v>
      </c>
      <c r="I115" s="80"/>
      <c r="J115" s="116"/>
      <c r="K115" s="80"/>
      <c r="L115" s="117"/>
      <c r="M115" s="129"/>
      <c r="N115" s="119"/>
      <c r="O115" s="110"/>
      <c r="P115" s="95"/>
      <c r="Q115" s="95"/>
      <c r="R115" s="119"/>
      <c r="S115" s="110"/>
      <c r="T115" s="110"/>
      <c r="U115" s="110"/>
      <c r="V115" s="51"/>
      <c r="W115" s="51"/>
      <c r="X115" s="51"/>
      <c r="Y115" s="51"/>
    </row>
    <row r="116" ht="13.5" customHeight="1" outlineLevel="1">
      <c r="A116" s="80"/>
      <c r="B116" s="115"/>
      <c r="C116" s="115" t="s">
        <v>651</v>
      </c>
      <c r="D116" s="95"/>
      <c r="E116" s="95"/>
      <c r="F116" s="95"/>
      <c r="G116" s="115"/>
      <c r="H116" s="80" t="str">
        <f>VLOOKUP(G116,'01. TH'!$B:$E,3,0)</f>
        <v>#N/A</v>
      </c>
      <c r="I116" s="80"/>
      <c r="J116" s="116"/>
      <c r="K116" s="80"/>
      <c r="L116" s="117"/>
      <c r="M116" s="129"/>
      <c r="N116" s="119"/>
      <c r="O116" s="110"/>
      <c r="P116" s="95"/>
      <c r="Q116" s="95"/>
      <c r="R116" s="119"/>
      <c r="S116" s="110"/>
      <c r="T116" s="110"/>
      <c r="U116" s="110"/>
      <c r="V116" s="51"/>
      <c r="W116" s="51"/>
      <c r="X116" s="51"/>
      <c r="Y116" s="51"/>
    </row>
    <row r="117" ht="13.5" customHeight="1">
      <c r="A117" s="55" t="s">
        <v>652</v>
      </c>
      <c r="B117" s="55"/>
      <c r="C117" s="59">
        <f>C118+C136+C153</f>
        <v>33</v>
      </c>
      <c r="D117" s="55"/>
      <c r="E117" s="59"/>
      <c r="F117" s="59"/>
      <c r="G117" s="59"/>
      <c r="H117" s="55"/>
      <c r="I117" s="55"/>
      <c r="J117" s="62"/>
      <c r="K117" s="55"/>
      <c r="L117" s="59"/>
      <c r="M117" s="55"/>
      <c r="N117" s="59"/>
      <c r="O117" s="55"/>
      <c r="P117" s="55"/>
      <c r="Q117" s="55"/>
      <c r="R117" s="55"/>
      <c r="S117" s="55"/>
      <c r="T117" s="55"/>
      <c r="U117" s="55"/>
      <c r="V117" s="63"/>
      <c r="W117" s="63"/>
      <c r="X117" s="63"/>
      <c r="Y117" s="63"/>
    </row>
    <row r="118" ht="13.5" customHeight="1">
      <c r="A118" s="151" t="s">
        <v>653</v>
      </c>
      <c r="B118" s="152" t="s">
        <v>654</v>
      </c>
      <c r="C118" s="72">
        <f>COUNTA(B119:B133)</f>
        <v>15</v>
      </c>
      <c r="D118" s="75" t="str">
        <f>IFERROR(VLOOKUP(B118,' 02.1 KLH-CN MÃ BRAVO MM'!$B:$C,2,0),"")</f>
        <v/>
      </c>
      <c r="E118" s="72"/>
      <c r="F118" s="72"/>
      <c r="G118" s="72"/>
      <c r="H118" s="75"/>
      <c r="I118" s="75"/>
      <c r="J118" s="79"/>
      <c r="K118" s="75"/>
      <c r="L118" s="72"/>
      <c r="M118" s="75"/>
      <c r="N118" s="72"/>
      <c r="O118" s="75"/>
      <c r="P118" s="75"/>
      <c r="Q118" s="75"/>
      <c r="R118" s="75"/>
      <c r="S118" s="75"/>
      <c r="T118" s="75"/>
      <c r="U118" s="75"/>
      <c r="V118" s="63"/>
      <c r="W118" s="63"/>
      <c r="X118" s="63"/>
      <c r="Y118" s="63"/>
    </row>
    <row r="119" ht="27.0" customHeight="1" outlineLevel="1">
      <c r="A119" s="80">
        <v>1.0</v>
      </c>
      <c r="B119" s="86" t="s">
        <v>655</v>
      </c>
      <c r="C119" s="86" t="s">
        <v>656</v>
      </c>
      <c r="D119" s="95" t="s">
        <v>657</v>
      </c>
      <c r="E119" s="95"/>
      <c r="F119" s="115" t="s">
        <v>154</v>
      </c>
      <c r="G119" s="115" t="s">
        <v>658</v>
      </c>
      <c r="H119" s="80" t="str">
        <f>VLOOKUP(G119,'01. TH'!$B:$E,3,0)</f>
        <v>6380 x 2040 x 2300</v>
      </c>
      <c r="I119" s="80" t="s">
        <v>45</v>
      </c>
      <c r="J119" s="116">
        <v>46266.0</v>
      </c>
      <c r="K119" s="80" t="str">
        <f>IF(COUNTIF('TT BTSC'!$D:$D,B119)&gt;0,"Hư hỏng","Bình thường")</f>
        <v>Bình thường</v>
      </c>
      <c r="L119" s="170"/>
      <c r="M119" s="141" t="s">
        <v>660</v>
      </c>
      <c r="N119" s="95" t="s">
        <v>661</v>
      </c>
      <c r="O119" s="110" t="s">
        <v>662</v>
      </c>
      <c r="P119" s="95">
        <v>2024.0</v>
      </c>
      <c r="Q119" s="95" t="s">
        <v>663</v>
      </c>
      <c r="R119" s="95" t="s">
        <v>664</v>
      </c>
      <c r="S119" s="110" t="s">
        <v>665</v>
      </c>
      <c r="T119" s="110" t="s">
        <v>666</v>
      </c>
      <c r="U119" s="140">
        <v>0.2</v>
      </c>
      <c r="V119" s="53">
        <v>100.0</v>
      </c>
      <c r="W119" s="51"/>
      <c r="X119" s="51"/>
      <c r="Y119" s="51"/>
    </row>
    <row r="120" ht="34.5" customHeight="1" outlineLevel="1">
      <c r="A120" s="80">
        <f t="shared" ref="A120:A133" si="5">A119+1</f>
        <v>2</v>
      </c>
      <c r="B120" s="115" t="s">
        <v>667</v>
      </c>
      <c r="C120" s="115" t="s">
        <v>668</v>
      </c>
      <c r="D120" s="95" t="s">
        <v>669</v>
      </c>
      <c r="E120" s="9"/>
      <c r="F120" s="134" t="s">
        <v>139</v>
      </c>
      <c r="G120" s="115" t="s">
        <v>670</v>
      </c>
      <c r="H120" s="80"/>
      <c r="I120" s="80" t="s">
        <v>45</v>
      </c>
      <c r="J120" s="95" t="s">
        <v>671</v>
      </c>
      <c r="K120" s="80" t="str">
        <f>IF(COUNTIF('TT BTSC'!$D:$D,B120)&gt;0,"Hư hỏng","Bình thường")</f>
        <v>Bình thường</v>
      </c>
      <c r="L120" s="117"/>
      <c r="M120" s="171" t="s">
        <v>672</v>
      </c>
      <c r="N120" s="95" t="s">
        <v>673</v>
      </c>
      <c r="O120" s="110" t="s">
        <v>510</v>
      </c>
      <c r="P120" s="95"/>
      <c r="Q120" s="95" t="s">
        <v>674</v>
      </c>
      <c r="R120" s="95" t="s">
        <v>675</v>
      </c>
      <c r="S120" s="110">
        <v>10139.0</v>
      </c>
      <c r="T120" s="110">
        <v>2463.0</v>
      </c>
      <c r="U120" s="110"/>
      <c r="V120" s="112"/>
      <c r="W120" s="112"/>
      <c r="X120" s="112"/>
      <c r="Y120" s="112"/>
    </row>
    <row r="121" ht="34.5" customHeight="1" outlineLevel="1">
      <c r="A121" s="80">
        <f t="shared" si="5"/>
        <v>3</v>
      </c>
      <c r="B121" s="115" t="s">
        <v>676</v>
      </c>
      <c r="C121" s="115"/>
      <c r="D121" s="95" t="s">
        <v>677</v>
      </c>
      <c r="E121" s="9"/>
      <c r="F121" s="134" t="s">
        <v>139</v>
      </c>
      <c r="G121" s="115" t="s">
        <v>678</v>
      </c>
      <c r="H121" s="80" t="str">
        <f>VLOOKUP(G121,'01. TH'!$B:$E,3,0)</f>
        <v/>
      </c>
      <c r="I121" s="80" t="s">
        <v>45</v>
      </c>
      <c r="J121" s="116">
        <v>46088.0</v>
      </c>
      <c r="K121" s="80" t="str">
        <f>IF(COUNTIF('TT BTSC'!$D:$D,B121)&gt;0,"Hư hỏng","Bình thường")</f>
        <v>Bình thường</v>
      </c>
      <c r="L121" s="117"/>
      <c r="M121" s="155" t="s">
        <v>679</v>
      </c>
      <c r="N121" s="95" t="s">
        <v>680</v>
      </c>
      <c r="O121" s="110" t="s">
        <v>222</v>
      </c>
      <c r="P121" s="95">
        <v>2016.0</v>
      </c>
      <c r="Q121" s="95" t="s">
        <v>681</v>
      </c>
      <c r="R121" s="95" t="s">
        <v>682</v>
      </c>
      <c r="S121" s="110" t="s">
        <v>683</v>
      </c>
      <c r="T121" s="110" t="s">
        <v>684</v>
      </c>
      <c r="U121" s="110"/>
      <c r="V121" s="112">
        <v>0.0</v>
      </c>
      <c r="W121" s="112"/>
      <c r="X121" s="112"/>
      <c r="Y121" s="112"/>
    </row>
    <row r="122" ht="13.5" customHeight="1" outlineLevel="1">
      <c r="A122" s="80">
        <f t="shared" si="5"/>
        <v>4</v>
      </c>
      <c r="B122" s="86" t="s">
        <v>685</v>
      </c>
      <c r="C122" s="86" t="s">
        <v>686</v>
      </c>
      <c r="D122" s="95" t="str">
        <f>IFERROR(VLOOKUP(B122,' 02.1 KLH-CN MÃ BRAVO MM'!$B:$C,2,0),"")</f>
        <v>A23-MKE-005</v>
      </c>
      <c r="E122" s="95"/>
      <c r="F122" s="95" t="s">
        <v>79</v>
      </c>
      <c r="G122" s="86" t="s">
        <v>687</v>
      </c>
      <c r="H122" s="80" t="str">
        <f>VLOOKUP(G122,'01. TH'!$B:$E,3,0)</f>
        <v>4200 x 2600 x 2900</v>
      </c>
      <c r="I122" s="80" t="s">
        <v>45</v>
      </c>
      <c r="J122" s="99"/>
      <c r="K122" s="80" t="str">
        <f>IF(COUNTIF('TT BTSC'!$D:$D,B122)&gt;0,"Hư hỏng","Bình thường")</f>
        <v>Bình thường</v>
      </c>
      <c r="L122" s="106"/>
      <c r="M122" s="155" t="s">
        <v>688</v>
      </c>
      <c r="N122" s="106" t="s">
        <v>689</v>
      </c>
      <c r="O122" s="108" t="s">
        <v>690</v>
      </c>
      <c r="P122" s="80">
        <v>2018.0</v>
      </c>
      <c r="Q122" s="80">
        <v>6603.0</v>
      </c>
      <c r="R122" s="80" t="s">
        <v>271</v>
      </c>
      <c r="S122" s="108">
        <v>33028.0</v>
      </c>
      <c r="T122" s="110" t="s">
        <v>96</v>
      </c>
      <c r="U122" s="110">
        <v>9.0</v>
      </c>
      <c r="V122" s="112">
        <v>158.0</v>
      </c>
      <c r="W122" s="112"/>
      <c r="X122" s="112"/>
      <c r="Y122" s="112"/>
    </row>
    <row r="123" ht="13.5" customHeight="1" outlineLevel="1">
      <c r="A123" s="80">
        <f t="shared" si="5"/>
        <v>5</v>
      </c>
      <c r="B123" s="113" t="s">
        <v>691</v>
      </c>
      <c r="C123" s="115" t="s">
        <v>692</v>
      </c>
      <c r="D123" s="95" t="str">
        <f>IFERROR(VLOOKUP(B123,' 02.1 KLH-CN MÃ BRAVO MM'!$B:$C,2,0),"")</f>
        <v>A23-MKE-006</v>
      </c>
      <c r="E123" s="95"/>
      <c r="F123" s="95" t="s">
        <v>79</v>
      </c>
      <c r="G123" s="115" t="s">
        <v>687</v>
      </c>
      <c r="H123" s="80" t="str">
        <f>VLOOKUP(G123,'01. TH'!$B:$E,3,0)</f>
        <v>4200 x 2600 x 2900</v>
      </c>
      <c r="I123" s="95" t="s">
        <v>45</v>
      </c>
      <c r="J123" s="116">
        <v>43862.0</v>
      </c>
      <c r="K123" s="80" t="str">
        <f>IF(COUNTIF('TT BTSC'!$D:$D,B123)&gt;0,"Hư hỏng","Bình thường")</f>
        <v>Bình thường</v>
      </c>
      <c r="L123" s="117">
        <v>0.5</v>
      </c>
      <c r="M123" s="155"/>
      <c r="N123" s="106" t="s">
        <v>689</v>
      </c>
      <c r="O123" s="110" t="s">
        <v>690</v>
      </c>
      <c r="P123" s="95">
        <v>2018.0</v>
      </c>
      <c r="Q123" s="95">
        <v>6603.0</v>
      </c>
      <c r="R123" s="80" t="s">
        <v>271</v>
      </c>
      <c r="S123" s="110">
        <v>33178.0</v>
      </c>
      <c r="T123" s="110" t="s">
        <v>96</v>
      </c>
      <c r="U123" s="110">
        <v>9.0</v>
      </c>
      <c r="V123" s="112">
        <v>158.0</v>
      </c>
      <c r="W123" s="112"/>
      <c r="X123" s="112"/>
      <c r="Y123" s="112"/>
    </row>
    <row r="124" ht="13.5" customHeight="1" outlineLevel="1">
      <c r="A124" s="80">
        <f t="shared" si="5"/>
        <v>6</v>
      </c>
      <c r="B124" s="86" t="s">
        <v>693</v>
      </c>
      <c r="C124" s="86" t="s">
        <v>694</v>
      </c>
      <c r="D124" s="95" t="str">
        <f>IFERROR(VLOOKUP(B124,' 02.1 KLH-CN MÃ BRAVO MM'!$B:$C,2,0),"")</f>
        <v>A23-MKE-007</v>
      </c>
      <c r="E124" s="95"/>
      <c r="F124" s="95" t="s">
        <v>154</v>
      </c>
      <c r="G124" s="86" t="s">
        <v>695</v>
      </c>
      <c r="H124" s="80" t="str">
        <f>VLOOKUP(G124,'01. TH'!$B:$E,3,0)</f>
        <v>4835 x 2600 x 2965</v>
      </c>
      <c r="I124" s="80" t="s">
        <v>45</v>
      </c>
      <c r="J124" s="80" t="s">
        <v>696</v>
      </c>
      <c r="K124" s="80" t="str">
        <f>IF(COUNTIF('TT BTSC'!$D:$D,B124)&gt;0,"Hư hỏng","Bình thường")</f>
        <v>Bình thường</v>
      </c>
      <c r="L124" s="106"/>
      <c r="M124" s="104"/>
      <c r="N124" s="106" t="s">
        <v>689</v>
      </c>
      <c r="O124" s="108" t="s">
        <v>690</v>
      </c>
      <c r="P124" s="80">
        <v>2022.0</v>
      </c>
      <c r="Q124" s="80" t="s">
        <v>697</v>
      </c>
      <c r="R124" s="80" t="s">
        <v>271</v>
      </c>
      <c r="S124" s="108" t="s">
        <v>698</v>
      </c>
      <c r="T124" s="110" t="s">
        <v>699</v>
      </c>
      <c r="U124" s="110">
        <v>9.5</v>
      </c>
      <c r="V124" s="112">
        <v>220.0</v>
      </c>
      <c r="W124" s="112"/>
      <c r="X124" s="112"/>
      <c r="Y124" s="112"/>
    </row>
    <row r="125" outlineLevel="1">
      <c r="A125" s="80">
        <f t="shared" si="5"/>
        <v>7</v>
      </c>
      <c r="B125" s="86" t="s">
        <v>700</v>
      </c>
      <c r="C125" s="86" t="s">
        <v>694</v>
      </c>
      <c r="D125" s="95" t="str">
        <f>IFERROR(VLOOKUP(B125,' 02.1 KLH-CN MÃ BRAVO MM'!$B:$C,2,0),"")</f>
        <v>A23-MKE-008</v>
      </c>
      <c r="E125" s="95"/>
      <c r="F125" s="95" t="s">
        <v>154</v>
      </c>
      <c r="G125" s="86" t="s">
        <v>701</v>
      </c>
      <c r="H125" s="80" t="str">
        <f>VLOOKUP(G125,'01. TH'!$B:$E,3,0)</f>
        <v>4100 x 2100 x 2600</v>
      </c>
      <c r="I125" s="80" t="s">
        <v>45</v>
      </c>
      <c r="J125" s="80" t="s">
        <v>696</v>
      </c>
      <c r="K125" s="80" t="str">
        <f>IF(COUNTIF('TT BTSC'!$D:$D,B125)&gt;0,"Hư hỏng","Bình thường")</f>
        <v>Bình thường</v>
      </c>
      <c r="L125" s="106"/>
      <c r="M125" s="104"/>
      <c r="N125" s="106" t="s">
        <v>689</v>
      </c>
      <c r="O125" s="108" t="s">
        <v>690</v>
      </c>
      <c r="P125" s="80">
        <v>2022.0</v>
      </c>
      <c r="Q125" s="80" t="s">
        <v>704</v>
      </c>
      <c r="R125" s="80" t="s">
        <v>705</v>
      </c>
      <c r="S125" s="108" t="s">
        <v>706</v>
      </c>
      <c r="T125" s="110" t="s">
        <v>707</v>
      </c>
      <c r="U125" s="110">
        <v>6.0</v>
      </c>
      <c r="V125" s="112">
        <v>112.0</v>
      </c>
      <c r="W125" s="112"/>
      <c r="X125" s="112"/>
      <c r="Y125" s="112"/>
    </row>
    <row r="126" ht="13.5" customHeight="1" outlineLevel="1">
      <c r="A126" s="80">
        <f t="shared" si="5"/>
        <v>8</v>
      </c>
      <c r="B126" s="115" t="s">
        <v>708</v>
      </c>
      <c r="C126" s="134" t="s">
        <v>139</v>
      </c>
      <c r="D126" s="95" t="s">
        <v>709</v>
      </c>
      <c r="E126" s="95"/>
      <c r="F126" s="134" t="s">
        <v>139</v>
      </c>
      <c r="G126" s="115" t="s">
        <v>710</v>
      </c>
      <c r="H126" s="80" t="str">
        <f>VLOOKUP(G126,'01. TH'!$B:$E,3,0)</f>
        <v>4200 x 2600 x 2900</v>
      </c>
      <c r="I126" s="80" t="s">
        <v>45</v>
      </c>
      <c r="J126" s="95" t="s">
        <v>711</v>
      </c>
      <c r="K126" s="80" t="str">
        <f>IF(COUNTIF('TT BTSC'!$D:$D,B126)&gt;0,"Hư hỏng","Bình thường")</f>
        <v>Bình thường</v>
      </c>
      <c r="L126" s="117"/>
      <c r="M126" s="155" t="s">
        <v>336</v>
      </c>
      <c r="N126" s="106" t="s">
        <v>689</v>
      </c>
      <c r="O126" s="108" t="s">
        <v>690</v>
      </c>
      <c r="P126" s="95">
        <v>1998.0</v>
      </c>
      <c r="Q126" s="95">
        <v>6400.0</v>
      </c>
      <c r="R126" s="80" t="s">
        <v>682</v>
      </c>
      <c r="S126" s="110" t="s">
        <v>712</v>
      </c>
      <c r="T126" s="110" t="s">
        <v>713</v>
      </c>
      <c r="U126" s="110">
        <v>6.0</v>
      </c>
      <c r="V126" s="112">
        <v>165.0</v>
      </c>
      <c r="W126" s="112"/>
      <c r="X126" s="112"/>
      <c r="Y126" s="112"/>
    </row>
    <row r="127" ht="13.5" customHeight="1" outlineLevel="1">
      <c r="A127" s="80">
        <f t="shared" si="5"/>
        <v>9</v>
      </c>
      <c r="B127" s="115" t="s">
        <v>714</v>
      </c>
      <c r="C127" s="134" t="s">
        <v>139</v>
      </c>
      <c r="D127" s="95" t="s">
        <v>715</v>
      </c>
      <c r="E127" s="95"/>
      <c r="F127" s="134" t="s">
        <v>139</v>
      </c>
      <c r="G127" s="115" t="s">
        <v>710</v>
      </c>
      <c r="H127" s="80" t="str">
        <f>VLOOKUP(G127,'01. TH'!$B:$E,3,0)</f>
        <v>4200 x 2600 x 2900</v>
      </c>
      <c r="I127" s="80" t="s">
        <v>45</v>
      </c>
      <c r="J127" s="95" t="s">
        <v>711</v>
      </c>
      <c r="K127" s="80" t="str">
        <f>IF(COUNTIF('TT BTSC'!$D:$D,B127)&gt;0,"Hư hỏng","Bình thường")</f>
        <v>Bình thường</v>
      </c>
      <c r="L127" s="117"/>
      <c r="M127" s="155" t="s">
        <v>336</v>
      </c>
      <c r="N127" s="106" t="s">
        <v>689</v>
      </c>
      <c r="O127" s="108" t="s">
        <v>690</v>
      </c>
      <c r="P127" s="95">
        <v>1998.0</v>
      </c>
      <c r="Q127" s="95">
        <v>6400.0</v>
      </c>
      <c r="R127" s="80" t="s">
        <v>682</v>
      </c>
      <c r="S127" s="110" t="s">
        <v>716</v>
      </c>
      <c r="T127" s="110" t="s">
        <v>717</v>
      </c>
      <c r="U127" s="110">
        <v>6.5</v>
      </c>
      <c r="V127" s="112">
        <v>165.0</v>
      </c>
      <c r="W127" s="112"/>
      <c r="X127" s="112"/>
      <c r="Y127" s="112"/>
    </row>
    <row r="128" ht="13.5" customHeight="1" outlineLevel="1">
      <c r="A128" s="80">
        <f t="shared" si="5"/>
        <v>10</v>
      </c>
      <c r="B128" s="115" t="s">
        <v>718</v>
      </c>
      <c r="C128" s="134" t="s">
        <v>139</v>
      </c>
      <c r="D128" s="95" t="s">
        <v>719</v>
      </c>
      <c r="E128" s="95"/>
      <c r="F128" s="134" t="s">
        <v>139</v>
      </c>
      <c r="G128" s="115" t="s">
        <v>720</v>
      </c>
      <c r="H128" s="80" t="str">
        <f>VLOOKUP(G128,'01. TH'!$B:$E,3,0)</f>
        <v>4200 x 2600 x 2900</v>
      </c>
      <c r="I128" s="95" t="s">
        <v>45</v>
      </c>
      <c r="J128" s="116">
        <v>45811.0</v>
      </c>
      <c r="K128" s="80" t="str">
        <f>IF(COUNTIF('TT BTSC'!$D:$D,B128)&gt;0,"Hư hỏng","Bình thường")</f>
        <v>Bình thường</v>
      </c>
      <c r="L128" s="117"/>
      <c r="M128" s="155" t="s">
        <v>336</v>
      </c>
      <c r="N128" s="106" t="s">
        <v>689</v>
      </c>
      <c r="O128" s="110" t="s">
        <v>269</v>
      </c>
      <c r="P128" s="95">
        <v>1994.0</v>
      </c>
      <c r="Q128" s="95">
        <v>2850.0</v>
      </c>
      <c r="R128" s="95" t="s">
        <v>721</v>
      </c>
      <c r="S128" s="110" t="s">
        <v>722</v>
      </c>
      <c r="T128" s="110" t="s">
        <v>723</v>
      </c>
      <c r="U128" s="110"/>
      <c r="V128" s="112">
        <v>135.0</v>
      </c>
      <c r="W128" s="112"/>
      <c r="X128" s="112"/>
      <c r="Y128" s="112"/>
    </row>
    <row r="129" ht="13.5" customHeight="1" outlineLevel="1">
      <c r="A129" s="80">
        <f t="shared" si="5"/>
        <v>11</v>
      </c>
      <c r="B129" s="115" t="s">
        <v>724</v>
      </c>
      <c r="C129" s="134" t="s">
        <v>139</v>
      </c>
      <c r="D129" s="95" t="s">
        <v>725</v>
      </c>
      <c r="E129" s="95"/>
      <c r="F129" s="134" t="s">
        <v>139</v>
      </c>
      <c r="G129" s="115" t="s">
        <v>726</v>
      </c>
      <c r="H129" s="80" t="str">
        <f>VLOOKUP(G129,'01. TH'!$B:$E,3,0)</f>
        <v>4780 x 2030 x 2840</v>
      </c>
      <c r="I129" s="95" t="s">
        <v>45</v>
      </c>
      <c r="J129" s="116">
        <v>45811.0</v>
      </c>
      <c r="K129" s="80" t="str">
        <f>IF(COUNTIF('TT BTSC'!$D:$D,B129)&gt;0,"Hư hỏng","Bình thường")</f>
        <v>Bình thường</v>
      </c>
      <c r="L129" s="117"/>
      <c r="M129" s="155" t="s">
        <v>336</v>
      </c>
      <c r="N129" s="106" t="s">
        <v>689</v>
      </c>
      <c r="O129" s="110" t="s">
        <v>269</v>
      </c>
      <c r="P129" s="95">
        <v>1993.0</v>
      </c>
      <c r="Q129" s="95">
        <v>3350.0</v>
      </c>
      <c r="R129" s="95" t="s">
        <v>682</v>
      </c>
      <c r="S129" s="110" t="s">
        <v>727</v>
      </c>
      <c r="T129" s="110" t="s">
        <v>728</v>
      </c>
      <c r="U129" s="110">
        <v>6.5</v>
      </c>
      <c r="V129" s="112">
        <v>173.0</v>
      </c>
      <c r="W129" s="112"/>
      <c r="X129" s="112"/>
      <c r="Y129" s="112"/>
    </row>
    <row r="130" ht="13.5" customHeight="1" outlineLevel="1">
      <c r="A130" s="80">
        <f t="shared" si="5"/>
        <v>12</v>
      </c>
      <c r="B130" s="115" t="s">
        <v>729</v>
      </c>
      <c r="C130" s="134" t="s">
        <v>139</v>
      </c>
      <c r="D130" s="95" t="s">
        <v>730</v>
      </c>
      <c r="E130" s="95"/>
      <c r="F130" s="134" t="s">
        <v>139</v>
      </c>
      <c r="G130" s="115" t="s">
        <v>731</v>
      </c>
      <c r="H130" s="80" t="str">
        <f>VLOOKUP(G130,'01. TH'!$B:$E,3,0)</f>
        <v>4750 x 2440 x 3000</v>
      </c>
      <c r="I130" s="95" t="s">
        <v>45</v>
      </c>
      <c r="J130" s="116">
        <v>45811.0</v>
      </c>
      <c r="K130" s="80" t="str">
        <f>IF(COUNTIF('TT BTSC'!$D:$D,B130)&gt;0,"Hư hỏng","Bình thường")</f>
        <v>Bình thường</v>
      </c>
      <c r="L130" s="117"/>
      <c r="M130" s="155" t="s">
        <v>336</v>
      </c>
      <c r="N130" s="106" t="s">
        <v>689</v>
      </c>
      <c r="O130" s="110" t="s">
        <v>732</v>
      </c>
      <c r="P130" s="95">
        <v>1997.0</v>
      </c>
      <c r="Q130" s="95">
        <v>7800.0</v>
      </c>
      <c r="R130" s="95" t="s">
        <v>86</v>
      </c>
      <c r="S130" s="110" t="s">
        <v>733</v>
      </c>
      <c r="T130" s="110" t="s">
        <v>734</v>
      </c>
      <c r="U130" s="110">
        <v>11.0</v>
      </c>
      <c r="V130" s="112">
        <v>344.0</v>
      </c>
      <c r="W130" s="112"/>
      <c r="X130" s="112"/>
      <c r="Y130" s="112"/>
    </row>
    <row r="131" ht="13.5" customHeight="1" outlineLevel="1">
      <c r="A131" s="80">
        <f t="shared" si="5"/>
        <v>13</v>
      </c>
      <c r="B131" s="115" t="s">
        <v>735</v>
      </c>
      <c r="C131" s="115"/>
      <c r="D131" s="95" t="s">
        <v>736</v>
      </c>
      <c r="E131" s="95"/>
      <c r="F131" s="95" t="s">
        <v>154</v>
      </c>
      <c r="G131" s="115" t="s">
        <v>737</v>
      </c>
      <c r="H131" s="80" t="str">
        <f>VLOOKUP(G131,'01. TH'!$B:$E,3,0)</f>
        <v>5300 x 2620 x 3010</v>
      </c>
      <c r="I131" s="95" t="s">
        <v>45</v>
      </c>
      <c r="J131" s="95" t="s">
        <v>738</v>
      </c>
      <c r="K131" s="80" t="str">
        <f>IF(COUNTIF('TT BTSC'!$D:$D,B131)&gt;0,"Hư hỏng","Bình thường")</f>
        <v>Bình thường</v>
      </c>
      <c r="L131" s="117"/>
      <c r="M131" s="155" t="s">
        <v>336</v>
      </c>
      <c r="N131" s="95" t="s">
        <v>739</v>
      </c>
      <c r="O131" s="110" t="s">
        <v>740</v>
      </c>
      <c r="P131" s="95">
        <v>2025.0</v>
      </c>
      <c r="Q131" s="95">
        <v>1504.0</v>
      </c>
      <c r="R131" s="95" t="s">
        <v>278</v>
      </c>
      <c r="S131" s="110" t="s">
        <v>741</v>
      </c>
      <c r="T131" s="110" t="s">
        <v>742</v>
      </c>
      <c r="U131" s="110">
        <v>13.0</v>
      </c>
      <c r="V131" s="112">
        <v>350.0</v>
      </c>
      <c r="W131" s="53" t="s">
        <v>743</v>
      </c>
      <c r="X131" s="51"/>
      <c r="Y131" s="51"/>
    </row>
    <row r="132" ht="13.5" customHeight="1" outlineLevel="1">
      <c r="A132" s="80">
        <f t="shared" si="5"/>
        <v>14</v>
      </c>
      <c r="B132" s="115" t="s">
        <v>744</v>
      </c>
      <c r="C132" s="134" t="s">
        <v>139</v>
      </c>
      <c r="D132" s="95" t="s">
        <v>745</v>
      </c>
      <c r="E132" s="95"/>
      <c r="F132" s="134" t="s">
        <v>139</v>
      </c>
      <c r="G132" s="115" t="s">
        <v>726</v>
      </c>
      <c r="H132" s="80"/>
      <c r="I132" s="95" t="s">
        <v>45</v>
      </c>
      <c r="J132" s="95" t="s">
        <v>746</v>
      </c>
      <c r="K132" s="80" t="str">
        <f>IF(COUNTIF('TT BTSC'!$D:$D,B132)&gt;0,"Hư hỏng","Bình thường")</f>
        <v>Bình thường</v>
      </c>
      <c r="L132" s="117"/>
      <c r="M132" s="155" t="s">
        <v>336</v>
      </c>
      <c r="N132" s="95" t="s">
        <v>747</v>
      </c>
      <c r="O132" s="110" t="s">
        <v>260</v>
      </c>
      <c r="P132" s="95">
        <v>1993.0</v>
      </c>
      <c r="Q132" s="95">
        <v>3350.0</v>
      </c>
      <c r="R132" s="95" t="s">
        <v>682</v>
      </c>
      <c r="S132" s="110" t="s">
        <v>748</v>
      </c>
      <c r="T132" s="110" t="s">
        <v>749</v>
      </c>
      <c r="U132" s="110"/>
      <c r="V132" s="175"/>
      <c r="W132" s="53" t="s">
        <v>750</v>
      </c>
      <c r="X132" s="51"/>
      <c r="Y132" s="51"/>
    </row>
    <row r="133" ht="13.5" customHeight="1" outlineLevel="1">
      <c r="A133" s="80">
        <f t="shared" si="5"/>
        <v>15</v>
      </c>
      <c r="B133" s="115" t="s">
        <v>751</v>
      </c>
      <c r="C133" s="115"/>
      <c r="D133" s="95" t="s">
        <v>752</v>
      </c>
      <c r="E133" s="95" t="s">
        <v>753</v>
      </c>
      <c r="F133" s="95" t="s">
        <v>79</v>
      </c>
      <c r="G133" s="115" t="s">
        <v>754</v>
      </c>
      <c r="H133" s="80"/>
      <c r="I133" s="95" t="s">
        <v>45</v>
      </c>
      <c r="J133" s="116"/>
      <c r="K133" s="80" t="str">
        <f>IF(COUNTIF('TT BTSC'!$D:$D,B133)&gt;0,"Hư hỏng","Bình thường")</f>
        <v>Bình thường</v>
      </c>
      <c r="L133" s="117"/>
      <c r="M133" s="155" t="s">
        <v>755</v>
      </c>
      <c r="N133" s="95" t="s">
        <v>756</v>
      </c>
      <c r="O133" s="110"/>
      <c r="P133" s="95"/>
      <c r="Q133" s="95"/>
      <c r="R133" s="95"/>
      <c r="S133" s="110" t="s">
        <v>757</v>
      </c>
      <c r="T133" s="110" t="s">
        <v>758</v>
      </c>
      <c r="U133" s="110"/>
      <c r="V133" s="175"/>
      <c r="W133" s="51"/>
      <c r="X133" s="51"/>
      <c r="Y133" s="51"/>
    </row>
    <row r="134" ht="13.5" customHeight="1" outlineLevel="1">
      <c r="A134" s="95"/>
      <c r="B134" s="113"/>
      <c r="C134" s="115"/>
      <c r="D134" s="95"/>
      <c r="E134" s="95"/>
      <c r="F134" s="95"/>
      <c r="G134" s="115"/>
      <c r="H134" s="80"/>
      <c r="I134" s="95"/>
      <c r="J134" s="116"/>
      <c r="K134" s="80"/>
      <c r="L134" s="117"/>
      <c r="M134" s="118"/>
      <c r="N134" s="119"/>
      <c r="O134" s="110"/>
      <c r="P134" s="95"/>
      <c r="Q134" s="95"/>
      <c r="R134" s="119"/>
      <c r="S134" s="110"/>
      <c r="T134" s="110"/>
      <c r="U134" s="110"/>
      <c r="V134" s="51"/>
      <c r="W134" s="51"/>
      <c r="X134" s="51"/>
      <c r="Y134" s="51"/>
    </row>
    <row r="135" ht="13.5" customHeight="1" outlineLevel="1">
      <c r="A135" s="95"/>
      <c r="B135" s="113"/>
      <c r="C135" s="115" t="s">
        <v>759</v>
      </c>
      <c r="D135" s="95"/>
      <c r="E135" s="95"/>
      <c r="F135" s="95"/>
      <c r="G135" s="115"/>
      <c r="H135" s="80" t="str">
        <f>VLOOKUP(G135,'01. TH'!$B:$E,3,0)</f>
        <v>#N/A</v>
      </c>
      <c r="I135" s="95"/>
      <c r="J135" s="116"/>
      <c r="K135" s="80"/>
      <c r="L135" s="117"/>
      <c r="M135" s="118"/>
      <c r="N135" s="119"/>
      <c r="O135" s="110"/>
      <c r="P135" s="95"/>
      <c r="Q135" s="95"/>
      <c r="R135" s="119"/>
      <c r="S135" s="110"/>
      <c r="T135" s="110"/>
      <c r="U135" s="110"/>
      <c r="V135" s="51"/>
      <c r="W135" s="51"/>
      <c r="X135" s="51"/>
      <c r="Y135" s="51"/>
    </row>
    <row r="136" ht="13.5" customHeight="1">
      <c r="A136" s="151" t="s">
        <v>760</v>
      </c>
      <c r="B136" s="152" t="s">
        <v>761</v>
      </c>
      <c r="C136" s="72">
        <f>COUNTA($B$137:$B$152)</f>
        <v>14</v>
      </c>
      <c r="D136" s="75" t="str">
        <f>IFERROR(VLOOKUP(B136,' 02.1 KLH-CN MÃ BRAVO MM'!$B:$C,2,0),"")</f>
        <v/>
      </c>
      <c r="E136" s="72"/>
      <c r="F136" s="72"/>
      <c r="G136" s="72"/>
      <c r="H136" s="75"/>
      <c r="I136" s="75"/>
      <c r="J136" s="79"/>
      <c r="K136" s="75"/>
      <c r="L136" s="72"/>
      <c r="M136" s="75"/>
      <c r="N136" s="72"/>
      <c r="O136" s="75"/>
      <c r="P136" s="75"/>
      <c r="Q136" s="75"/>
      <c r="R136" s="75"/>
      <c r="S136" s="75"/>
      <c r="T136" s="75"/>
      <c r="U136" s="75"/>
      <c r="V136" s="63"/>
      <c r="W136" s="63"/>
      <c r="X136" s="63"/>
      <c r="Y136" s="63"/>
    </row>
    <row r="137" ht="13.5" customHeight="1" outlineLevel="1">
      <c r="A137" s="95">
        <v>1.0</v>
      </c>
      <c r="B137" s="115" t="s">
        <v>762</v>
      </c>
      <c r="C137" s="115" t="s">
        <v>763</v>
      </c>
      <c r="D137" s="95" t="str">
        <f>IFERROR(VLOOKUP(B137,' 02.1 KLH-CN MÃ BRAVO MM'!$B:$C,2,0),"")</f>
        <v>ATT-A23-0016</v>
      </c>
      <c r="E137" s="95"/>
      <c r="F137" s="95" t="s">
        <v>79</v>
      </c>
      <c r="G137" s="115" t="s">
        <v>687</v>
      </c>
      <c r="H137" s="80" t="str">
        <f>VLOOKUP(G137,'01. TH'!$B:$E,3,0)</f>
        <v>4200 x 2600 x 2900</v>
      </c>
      <c r="I137" s="95" t="s">
        <v>56</v>
      </c>
      <c r="J137" s="116"/>
      <c r="K137" s="80" t="str">
        <f>IF(COUNTIF('TT BTSC'!$D:$D,B137)&gt;0,"Hư hỏng","Bình thường")</f>
        <v>Bình thường</v>
      </c>
      <c r="L137" s="119"/>
      <c r="M137" s="155" t="s">
        <v>688</v>
      </c>
      <c r="N137" s="106" t="s">
        <v>689</v>
      </c>
      <c r="O137" s="110" t="s">
        <v>690</v>
      </c>
      <c r="P137" s="95">
        <v>2018.0</v>
      </c>
      <c r="Q137" s="95">
        <v>6603.0</v>
      </c>
      <c r="R137" s="80" t="s">
        <v>271</v>
      </c>
      <c r="S137" s="110">
        <v>32607.0</v>
      </c>
      <c r="T137" s="110" t="s">
        <v>96</v>
      </c>
      <c r="U137" s="110">
        <v>9.0</v>
      </c>
      <c r="V137" s="112">
        <v>158.0</v>
      </c>
      <c r="W137" s="112"/>
      <c r="X137" s="112"/>
      <c r="Y137" s="112"/>
    </row>
    <row r="138" ht="13.5" customHeight="1" outlineLevel="1">
      <c r="A138" s="95">
        <f t="shared" ref="A138:A150" si="6">A137+1</f>
        <v>2</v>
      </c>
      <c r="B138" s="115" t="s">
        <v>764</v>
      </c>
      <c r="C138" s="113" t="s">
        <v>765</v>
      </c>
      <c r="D138" s="95" t="str">
        <f>IFERROR(VLOOKUP(B138,' 02.1 KLH-CN MÃ BRAVO MM'!$B:$C,2,0),"")</f>
        <v>ATT-A23-0016</v>
      </c>
      <c r="E138" s="95"/>
      <c r="F138" s="95" t="s">
        <v>79</v>
      </c>
      <c r="G138" s="115" t="s">
        <v>687</v>
      </c>
      <c r="H138" s="80" t="str">
        <f>VLOOKUP(G138,'01. TH'!$B:$E,3,0)</f>
        <v>4200 x 2600 x 2900</v>
      </c>
      <c r="I138" s="95" t="s">
        <v>56</v>
      </c>
      <c r="J138" s="116"/>
      <c r="K138" s="80" t="str">
        <f>IF(COUNTIF('TT BTSC'!$D:$D,B138)&gt;0,"Hư hỏng","Bình thường")</f>
        <v>Bình thường</v>
      </c>
      <c r="L138" s="119"/>
      <c r="M138" s="118"/>
      <c r="N138" s="106" t="s">
        <v>689</v>
      </c>
      <c r="O138" s="110" t="s">
        <v>690</v>
      </c>
      <c r="P138" s="95">
        <v>2018.0</v>
      </c>
      <c r="Q138" s="95">
        <v>6603.0</v>
      </c>
      <c r="R138" s="80" t="s">
        <v>271</v>
      </c>
      <c r="S138" s="110" t="s">
        <v>766</v>
      </c>
      <c r="T138" s="176" t="s">
        <v>767</v>
      </c>
      <c r="U138" s="110">
        <v>9.0</v>
      </c>
      <c r="V138" s="112">
        <v>158.0</v>
      </c>
      <c r="W138" s="112"/>
      <c r="X138" s="112"/>
      <c r="Y138" s="112"/>
    </row>
    <row r="139" ht="13.5" customHeight="1" outlineLevel="1">
      <c r="A139" s="95">
        <f t="shared" si="6"/>
        <v>3</v>
      </c>
      <c r="B139" s="86" t="s">
        <v>768</v>
      </c>
      <c r="C139" s="84" t="s">
        <v>769</v>
      </c>
      <c r="D139" s="95" t="str">
        <f>IFERROR(VLOOKUP(B139,' 02.1 KLH-CN MÃ BRAVO MM'!$B:$C,2,0),"")</f>
        <v>ATT-A23-0016</v>
      </c>
      <c r="E139" s="95"/>
      <c r="F139" s="95" t="s">
        <v>79</v>
      </c>
      <c r="G139" s="86" t="s">
        <v>687</v>
      </c>
      <c r="H139" s="80" t="str">
        <f>VLOOKUP(G139,'01. TH'!$B:$E,3,0)</f>
        <v>4200 x 2600 x 2900</v>
      </c>
      <c r="I139" s="80" t="s">
        <v>56</v>
      </c>
      <c r="J139" s="99"/>
      <c r="K139" s="80" t="str">
        <f>IF(COUNTIF('TT BTSC'!$D:$D,B139)&gt;0,"Hư hỏng","Bình thường")</f>
        <v>Bình thường</v>
      </c>
      <c r="L139" s="106"/>
      <c r="M139" s="104"/>
      <c r="N139" s="106" t="s">
        <v>689</v>
      </c>
      <c r="O139" s="108" t="s">
        <v>690</v>
      </c>
      <c r="P139" s="80">
        <v>2018.0</v>
      </c>
      <c r="Q139" s="80">
        <v>6603.0</v>
      </c>
      <c r="R139" s="80" t="s">
        <v>271</v>
      </c>
      <c r="S139" s="108" t="s">
        <v>770</v>
      </c>
      <c r="T139" s="110" t="s">
        <v>771</v>
      </c>
      <c r="U139" s="110">
        <v>9.0</v>
      </c>
      <c r="V139" s="112">
        <v>158.0</v>
      </c>
      <c r="W139" s="112"/>
      <c r="X139" s="112"/>
      <c r="Y139" s="112"/>
    </row>
    <row r="140" ht="13.5" customHeight="1" outlineLevel="1">
      <c r="A140" s="95">
        <f t="shared" si="6"/>
        <v>4</v>
      </c>
      <c r="B140" s="86" t="s">
        <v>772</v>
      </c>
      <c r="C140" s="86" t="s">
        <v>773</v>
      </c>
      <c r="D140" s="95" t="str">
        <f>IFERROR(VLOOKUP(B140,' 02.1 KLH-CN MÃ BRAVO MM'!$B:$C,2,0),"")</f>
        <v>ATM-A24-0101</v>
      </c>
      <c r="E140" s="95"/>
      <c r="F140" s="86" t="s">
        <v>773</v>
      </c>
      <c r="G140" s="86" t="s">
        <v>695</v>
      </c>
      <c r="H140" s="80" t="str">
        <f>VLOOKUP(G140,'01. TH'!$B:$E,3,0)</f>
        <v>4835 x 2600 x 2965</v>
      </c>
      <c r="I140" s="80" t="s">
        <v>56</v>
      </c>
      <c r="J140" s="80" t="s">
        <v>696</v>
      </c>
      <c r="K140" s="80" t="str">
        <f>IF(COUNTIF('TT BTSC'!$D:$D,B140)&gt;0,"Hư hỏng","Bình thường")</f>
        <v>Bình thường</v>
      </c>
      <c r="L140" s="106"/>
      <c r="M140" s="104"/>
      <c r="N140" s="106" t="s">
        <v>689</v>
      </c>
      <c r="O140" s="108" t="s">
        <v>690</v>
      </c>
      <c r="P140" s="80">
        <v>2022.0</v>
      </c>
      <c r="Q140" s="80" t="s">
        <v>697</v>
      </c>
      <c r="R140" s="80" t="s">
        <v>271</v>
      </c>
      <c r="S140" s="108" t="s">
        <v>774</v>
      </c>
      <c r="T140" s="110" t="s">
        <v>775</v>
      </c>
      <c r="U140" s="110">
        <v>9.5</v>
      </c>
      <c r="V140" s="112">
        <v>220.0</v>
      </c>
      <c r="W140" s="112"/>
      <c r="X140" s="112"/>
      <c r="Y140" s="112"/>
    </row>
    <row r="141" ht="13.5" customHeight="1" outlineLevel="1">
      <c r="A141" s="95">
        <f t="shared" si="6"/>
        <v>5</v>
      </c>
      <c r="B141" s="86" t="s">
        <v>776</v>
      </c>
      <c r="C141" s="84" t="s">
        <v>777</v>
      </c>
      <c r="D141" s="95" t="str">
        <f>IFERROR(VLOOKUP(B141,' 02.1 KLH-CN MÃ BRAVO MM'!$B:$C,2,0),"")</f>
        <v>ATT-A22-0312</v>
      </c>
      <c r="E141" s="95"/>
      <c r="F141" s="95" t="s">
        <v>79</v>
      </c>
      <c r="G141" s="86" t="s">
        <v>701</v>
      </c>
      <c r="H141" s="80" t="str">
        <f>VLOOKUP(G141,'01. TH'!$B:$E,3,0)</f>
        <v>4100 x 2100 x 2600</v>
      </c>
      <c r="I141" s="80" t="s">
        <v>56</v>
      </c>
      <c r="J141" s="99">
        <v>45634.0</v>
      </c>
      <c r="K141" s="80" t="str">
        <f>IF(COUNTIF('TT BTSC'!$D:$D,B141)&gt;0,"Hư hỏng","Bình thường")</f>
        <v>Bình thường</v>
      </c>
      <c r="L141" s="102">
        <v>0.97</v>
      </c>
      <c r="M141" s="129" t="s">
        <v>778</v>
      </c>
      <c r="N141" s="106" t="s">
        <v>689</v>
      </c>
      <c r="O141" s="108" t="s">
        <v>690</v>
      </c>
      <c r="P141" s="80">
        <v>2022.0</v>
      </c>
      <c r="Q141" s="80">
        <v>5090.0</v>
      </c>
      <c r="R141" s="106" t="s">
        <v>705</v>
      </c>
      <c r="S141" s="108" t="s">
        <v>779</v>
      </c>
      <c r="T141" s="110" t="s">
        <v>780</v>
      </c>
      <c r="U141" s="110">
        <v>6.0</v>
      </c>
      <c r="V141" s="112">
        <v>112.0</v>
      </c>
      <c r="W141" s="112"/>
      <c r="X141" s="112"/>
      <c r="Y141" s="112"/>
    </row>
    <row r="142" ht="13.5" customHeight="1" outlineLevel="1">
      <c r="A142" s="95">
        <f t="shared" si="6"/>
        <v>6</v>
      </c>
      <c r="B142" s="86" t="s">
        <v>781</v>
      </c>
      <c r="C142" s="86" t="s">
        <v>773</v>
      </c>
      <c r="D142" s="95" t="str">
        <f>IFERROR(VLOOKUP(B142,' 02.1 KLH-CN MÃ BRAVO MM'!$B:$C,2,0),"")</f>
        <v>ATM-A24-0103</v>
      </c>
      <c r="E142" s="95"/>
      <c r="F142" s="86" t="s">
        <v>773</v>
      </c>
      <c r="G142" s="86" t="s">
        <v>782</v>
      </c>
      <c r="H142" s="80" t="str">
        <f>VLOOKUP(G142,'01. TH'!$B:$E,3,0)</f>
        <v>4780 x 2550 x 3000</v>
      </c>
      <c r="I142" s="80" t="s">
        <v>56</v>
      </c>
      <c r="J142" s="99">
        <v>45540.0</v>
      </c>
      <c r="K142" s="80" t="str">
        <f>IF(COUNTIF('TT BTSC'!$D:$D,B142)&gt;0,"Hư hỏng","Bình thường")</f>
        <v>Bình thường</v>
      </c>
      <c r="L142" s="106"/>
      <c r="M142" s="129"/>
      <c r="N142" s="106" t="s">
        <v>689</v>
      </c>
      <c r="O142" s="108" t="s">
        <v>690</v>
      </c>
      <c r="P142" s="80">
        <v>2022.0</v>
      </c>
      <c r="Q142" s="80" t="s">
        <v>783</v>
      </c>
      <c r="R142" s="80" t="s">
        <v>549</v>
      </c>
      <c r="S142" s="108" t="s">
        <v>784</v>
      </c>
      <c r="T142" s="110" t="s">
        <v>785</v>
      </c>
      <c r="U142" s="110">
        <v>14.0</v>
      </c>
      <c r="V142" s="112">
        <v>300.0</v>
      </c>
      <c r="W142" s="112"/>
      <c r="X142" s="112"/>
      <c r="Y142" s="112"/>
    </row>
    <row r="143" ht="13.5" customHeight="1" outlineLevel="1">
      <c r="A143" s="95">
        <f t="shared" si="6"/>
        <v>7</v>
      </c>
      <c r="B143" s="86" t="s">
        <v>786</v>
      </c>
      <c r="C143" s="86" t="s">
        <v>787</v>
      </c>
      <c r="D143" s="95" t="str">
        <f>IFERROR(VLOOKUP(B143,' 02.1 KLH-CN MÃ BRAVO MM'!$B:$C,2,0),"")</f>
        <v>ATT-A23-0019</v>
      </c>
      <c r="E143" s="95"/>
      <c r="F143" s="95" t="s">
        <v>79</v>
      </c>
      <c r="G143" s="86" t="s">
        <v>788</v>
      </c>
      <c r="H143" s="80" t="str">
        <f>VLOOKUP(G143,'01. TH'!$B:$E,3,0)</f>
        <v>3445 x 1865 x 2535</v>
      </c>
      <c r="I143" s="80" t="s">
        <v>56</v>
      </c>
      <c r="J143" s="80" t="s">
        <v>789</v>
      </c>
      <c r="K143" s="80" t="str">
        <f>IF(COUNTIF('TT BTSC'!$D:$D,B143)&gt;0,"Hư hỏng","Bình thường")</f>
        <v>Bình thường</v>
      </c>
      <c r="L143" s="106"/>
      <c r="M143" s="129" t="s">
        <v>790</v>
      </c>
      <c r="N143" s="106" t="s">
        <v>454</v>
      </c>
      <c r="O143" s="108" t="s">
        <v>84</v>
      </c>
      <c r="P143" s="80">
        <v>2013.0</v>
      </c>
      <c r="Q143" s="80" t="s">
        <v>791</v>
      </c>
      <c r="R143" s="106" t="s">
        <v>792</v>
      </c>
      <c r="S143" s="108">
        <v>57548.0</v>
      </c>
      <c r="T143" s="110" t="s">
        <v>96</v>
      </c>
      <c r="U143" s="110">
        <v>3.5</v>
      </c>
      <c r="V143" s="112">
        <v>90.0</v>
      </c>
      <c r="W143" s="112"/>
      <c r="X143" s="112"/>
      <c r="Y143" s="112"/>
    </row>
    <row r="144" ht="13.5" customHeight="1" outlineLevel="1">
      <c r="A144" s="95">
        <f t="shared" si="6"/>
        <v>8</v>
      </c>
      <c r="B144" s="86" t="s">
        <v>793</v>
      </c>
      <c r="C144" s="86" t="s">
        <v>139</v>
      </c>
      <c r="D144" s="95" t="s">
        <v>794</v>
      </c>
      <c r="E144" s="95"/>
      <c r="F144" s="86" t="s">
        <v>139</v>
      </c>
      <c r="G144" s="86" t="s">
        <v>710</v>
      </c>
      <c r="H144" s="80" t="str">
        <f>VLOOKUP(G144,'01. TH'!$B:$E,3,0)</f>
        <v>4200 x 2600 x 2900</v>
      </c>
      <c r="I144" s="80" t="s">
        <v>56</v>
      </c>
      <c r="J144" s="99">
        <v>45360.0</v>
      </c>
      <c r="K144" s="80" t="str">
        <f>IF(COUNTIF('TT BTSC'!$D:$D,B144)&gt;0,"Hư hỏng","Bình thường")</f>
        <v>Bình thường</v>
      </c>
      <c r="L144" s="106"/>
      <c r="M144" s="155" t="s">
        <v>336</v>
      </c>
      <c r="N144" s="106" t="s">
        <v>689</v>
      </c>
      <c r="O144" s="108" t="s">
        <v>795</v>
      </c>
      <c r="P144" s="80">
        <v>1998.0</v>
      </c>
      <c r="Q144" s="80">
        <v>6400.0</v>
      </c>
      <c r="R144" s="80" t="s">
        <v>682</v>
      </c>
      <c r="S144" s="108" t="s">
        <v>796</v>
      </c>
      <c r="T144" s="110" t="s">
        <v>797</v>
      </c>
      <c r="U144" s="110">
        <v>6.0</v>
      </c>
      <c r="V144" s="112">
        <v>165.0</v>
      </c>
      <c r="W144" s="112"/>
      <c r="X144" s="112"/>
      <c r="Y144" s="112"/>
    </row>
    <row r="145" ht="13.5" customHeight="1" outlineLevel="1">
      <c r="A145" s="95">
        <f t="shared" si="6"/>
        <v>9</v>
      </c>
      <c r="B145" s="86" t="s">
        <v>798</v>
      </c>
      <c r="C145" s="115" t="s">
        <v>799</v>
      </c>
      <c r="D145" s="95" t="s">
        <v>800</v>
      </c>
      <c r="E145" s="95"/>
      <c r="F145" s="95" t="s">
        <v>801</v>
      </c>
      <c r="G145" s="115" t="s">
        <v>737</v>
      </c>
      <c r="H145" s="80" t="str">
        <f>VLOOKUP(G145,'01. TH'!$B:$E,3,0)</f>
        <v>5300 x 2620 x 3010</v>
      </c>
      <c r="I145" s="80" t="s">
        <v>56</v>
      </c>
      <c r="J145" s="95" t="s">
        <v>802</v>
      </c>
      <c r="K145" s="80" t="str">
        <f>IF(COUNTIF('TT BTSC'!$D:$D,B145)&gt;0,"Hư hỏng","Bình thường")</f>
        <v>Bình thường</v>
      </c>
      <c r="L145" s="117"/>
      <c r="M145" s="129" t="s">
        <v>803</v>
      </c>
      <c r="N145" s="95" t="s">
        <v>739</v>
      </c>
      <c r="O145" s="110" t="s">
        <v>740</v>
      </c>
      <c r="P145" s="95">
        <v>2024.0</v>
      </c>
      <c r="Q145" s="95">
        <v>1504.0</v>
      </c>
      <c r="R145" s="95" t="s">
        <v>804</v>
      </c>
      <c r="S145" s="110" t="s">
        <v>805</v>
      </c>
      <c r="T145" s="110" t="s">
        <v>96</v>
      </c>
      <c r="U145" s="110">
        <v>13.0</v>
      </c>
      <c r="V145" s="112">
        <v>350.0</v>
      </c>
      <c r="W145" s="112"/>
      <c r="X145" s="112"/>
      <c r="Y145" s="112"/>
    </row>
    <row r="146" ht="13.5" customHeight="1" outlineLevel="1">
      <c r="A146" s="95">
        <f t="shared" si="6"/>
        <v>10</v>
      </c>
      <c r="B146" s="86" t="s">
        <v>806</v>
      </c>
      <c r="C146" s="134" t="s">
        <v>139</v>
      </c>
      <c r="D146" s="95" t="s">
        <v>807</v>
      </c>
      <c r="E146" s="95"/>
      <c r="F146" s="134" t="s">
        <v>139</v>
      </c>
      <c r="G146" s="86" t="s">
        <v>726</v>
      </c>
      <c r="H146" s="80" t="str">
        <f>VLOOKUP(G146,'01. TH'!$B:$E,3,0)</f>
        <v>4780 x 2030 x 2840</v>
      </c>
      <c r="I146" s="80" t="s">
        <v>56</v>
      </c>
      <c r="J146" s="99">
        <v>45993.0</v>
      </c>
      <c r="K146" s="80" t="str">
        <f>IF(COUNTIF('TT BTSC'!$D:$D,B146)&gt;0,"Hư hỏng","Bình thường")</f>
        <v>Bình thường</v>
      </c>
      <c r="L146" s="106"/>
      <c r="M146" s="129" t="s">
        <v>336</v>
      </c>
      <c r="N146" s="106" t="s">
        <v>689</v>
      </c>
      <c r="O146" s="108" t="s">
        <v>795</v>
      </c>
      <c r="P146" s="80">
        <v>1993.0</v>
      </c>
      <c r="Q146" s="80">
        <v>3350.0</v>
      </c>
      <c r="R146" s="80" t="s">
        <v>682</v>
      </c>
      <c r="S146" s="108">
        <v>608107.0</v>
      </c>
      <c r="T146" s="110" t="s">
        <v>808</v>
      </c>
      <c r="U146" s="110">
        <v>6.5</v>
      </c>
      <c r="V146" s="112">
        <v>173.0</v>
      </c>
      <c r="W146" s="112"/>
      <c r="X146" s="112"/>
      <c r="Y146" s="112"/>
    </row>
    <row r="147" ht="12.75" customHeight="1" outlineLevel="1">
      <c r="A147" s="95">
        <f t="shared" si="6"/>
        <v>11</v>
      </c>
      <c r="B147" s="86" t="s">
        <v>809</v>
      </c>
      <c r="C147" s="134" t="s">
        <v>139</v>
      </c>
      <c r="D147" s="95" t="s">
        <v>810</v>
      </c>
      <c r="E147" s="95"/>
      <c r="F147" s="134" t="s">
        <v>139</v>
      </c>
      <c r="G147" s="86" t="s">
        <v>811</v>
      </c>
      <c r="H147" s="80" t="str">
        <f>VLOOKUP(G147,'01. TH'!$B:$E,3,0)</f>
        <v>4890 x 2260 x 2880</v>
      </c>
      <c r="I147" s="80" t="s">
        <v>56</v>
      </c>
      <c r="J147" s="80" t="s">
        <v>812</v>
      </c>
      <c r="K147" s="80" t="str">
        <f>IF(COUNTIF('TT BTSC'!$D:$D,B147)&gt;0,"Hư hỏng","Bình thường")</f>
        <v>Bình thường</v>
      </c>
      <c r="L147" s="106"/>
      <c r="M147" s="129" t="s">
        <v>336</v>
      </c>
      <c r="N147" s="106" t="s">
        <v>689</v>
      </c>
      <c r="O147" s="108" t="s">
        <v>795</v>
      </c>
      <c r="P147" s="80">
        <v>1993.0</v>
      </c>
      <c r="Q147" s="80">
        <v>3650.0</v>
      </c>
      <c r="R147" s="80" t="s">
        <v>504</v>
      </c>
      <c r="S147" s="108" t="s">
        <v>813</v>
      </c>
      <c r="T147" s="110" t="s">
        <v>814</v>
      </c>
      <c r="U147" s="110">
        <v>9.4</v>
      </c>
      <c r="V147" s="112">
        <v>170.0</v>
      </c>
      <c r="W147" s="112"/>
      <c r="X147" s="112"/>
      <c r="Y147" s="112"/>
    </row>
    <row r="148" ht="13.5" customHeight="1" outlineLevel="1">
      <c r="A148" s="95">
        <f t="shared" si="6"/>
        <v>12</v>
      </c>
      <c r="B148" s="86" t="s">
        <v>815</v>
      </c>
      <c r="C148" s="134" t="s">
        <v>139</v>
      </c>
      <c r="D148" s="95" t="s">
        <v>816</v>
      </c>
      <c r="E148" s="95"/>
      <c r="F148" s="134" t="s">
        <v>139</v>
      </c>
      <c r="G148" s="86" t="s">
        <v>817</v>
      </c>
      <c r="H148" s="80" t="str">
        <f>VLOOKUP(G148,'01. TH'!$B:$E,3,0)</f>
        <v>4800 x 2150 x 2970</v>
      </c>
      <c r="I148" s="80" t="s">
        <v>56</v>
      </c>
      <c r="J148" s="80" t="s">
        <v>818</v>
      </c>
      <c r="K148" s="80" t="str">
        <f>IF(COUNTIF('TT BTSC'!$D:$D,B148)&gt;0,"Hư hỏng","Bình thường")</f>
        <v>Bình thường</v>
      </c>
      <c r="L148" s="106"/>
      <c r="M148" s="129" t="s">
        <v>336</v>
      </c>
      <c r="N148" s="106" t="s">
        <v>689</v>
      </c>
      <c r="O148" s="108" t="s">
        <v>269</v>
      </c>
      <c r="P148" s="80">
        <v>1987.0</v>
      </c>
      <c r="Q148" s="80">
        <v>3640.0</v>
      </c>
      <c r="R148" s="80" t="s">
        <v>504</v>
      </c>
      <c r="S148" s="108" t="s">
        <v>819</v>
      </c>
      <c r="T148" s="110" t="s">
        <v>820</v>
      </c>
      <c r="U148" s="110"/>
      <c r="V148" s="112">
        <v>186.0</v>
      </c>
      <c r="W148" s="112"/>
      <c r="X148" s="112"/>
      <c r="Y148" s="112"/>
    </row>
    <row r="149" ht="13.5" customHeight="1" outlineLevel="1">
      <c r="A149" s="95">
        <f t="shared" si="6"/>
        <v>13</v>
      </c>
      <c r="B149" s="86" t="s">
        <v>821</v>
      </c>
      <c r="C149" s="134" t="s">
        <v>139</v>
      </c>
      <c r="D149" s="95" t="s">
        <v>822</v>
      </c>
      <c r="E149" s="95"/>
      <c r="F149" s="134" t="s">
        <v>139</v>
      </c>
      <c r="G149" s="86" t="s">
        <v>823</v>
      </c>
      <c r="H149" s="80" t="str">
        <f>VLOOKUP(G149,'01. TH'!$B:$E,3,0)</f>
        <v>4800 x 2007 x 2743</v>
      </c>
      <c r="I149" s="80" t="s">
        <v>56</v>
      </c>
      <c r="J149" s="80" t="s">
        <v>818</v>
      </c>
      <c r="K149" s="80" t="str">
        <f>IF(COUNTIF('TT BTSC'!$D:$D,B149)&gt;0,"Hư hỏng","Bình thường")</f>
        <v>Bình thường</v>
      </c>
      <c r="L149" s="106"/>
      <c r="M149" s="129" t="s">
        <v>336</v>
      </c>
      <c r="N149" s="106" t="s">
        <v>689</v>
      </c>
      <c r="O149" s="108" t="s">
        <v>269</v>
      </c>
      <c r="P149" s="80">
        <v>1994.0</v>
      </c>
      <c r="Q149" s="80">
        <v>6300.0</v>
      </c>
      <c r="R149" s="80" t="s">
        <v>824</v>
      </c>
      <c r="S149" s="108" t="s">
        <v>825</v>
      </c>
      <c r="T149" s="110" t="s">
        <v>826</v>
      </c>
      <c r="U149" s="110"/>
      <c r="V149" s="112">
        <v>165.0</v>
      </c>
      <c r="W149" s="112"/>
      <c r="X149" s="112"/>
      <c r="Y149" s="112"/>
    </row>
    <row r="150" ht="13.5" customHeight="1" outlineLevel="1">
      <c r="A150" s="95">
        <f t="shared" si="6"/>
        <v>14</v>
      </c>
      <c r="B150" s="86" t="s">
        <v>827</v>
      </c>
      <c r="C150" s="86"/>
      <c r="D150" s="95" t="s">
        <v>828</v>
      </c>
      <c r="E150" s="95"/>
      <c r="F150" s="95" t="s">
        <v>801</v>
      </c>
      <c r="G150" s="86" t="s">
        <v>737</v>
      </c>
      <c r="H150" s="80" t="str">
        <f>VLOOKUP(G150,'01. TH'!$B:$E,3,0)</f>
        <v>5300 x 2620 x 3010</v>
      </c>
      <c r="I150" s="80" t="s">
        <v>56</v>
      </c>
      <c r="J150" s="95" t="s">
        <v>738</v>
      </c>
      <c r="K150" s="80" t="str">
        <f>IF(COUNTIF('TT BTSC'!$D:$D,B150)&gt;0,"Hư hỏng","Bình thường")</f>
        <v>Bình thường</v>
      </c>
      <c r="L150" s="106"/>
      <c r="M150" s="129" t="s">
        <v>336</v>
      </c>
      <c r="N150" s="80" t="s">
        <v>739</v>
      </c>
      <c r="O150" s="108" t="s">
        <v>740</v>
      </c>
      <c r="P150" s="80">
        <v>2025.0</v>
      </c>
      <c r="Q150" s="80">
        <v>1504.0</v>
      </c>
      <c r="R150" s="80" t="s">
        <v>278</v>
      </c>
      <c r="S150" s="108" t="s">
        <v>829</v>
      </c>
      <c r="T150" s="110" t="s">
        <v>830</v>
      </c>
      <c r="U150" s="110">
        <v>13.0</v>
      </c>
      <c r="V150" s="112">
        <v>350.0</v>
      </c>
      <c r="W150" s="51"/>
      <c r="X150" s="51"/>
      <c r="Y150" s="51"/>
    </row>
    <row r="151" ht="13.5" customHeight="1" outlineLevel="1">
      <c r="A151" s="95"/>
      <c r="B151" s="86"/>
      <c r="C151" s="86"/>
      <c r="D151" s="95"/>
      <c r="E151" s="95"/>
      <c r="F151" s="95"/>
      <c r="G151" s="86"/>
      <c r="H151" s="80"/>
      <c r="I151" s="80"/>
      <c r="J151" s="99"/>
      <c r="K151" s="80"/>
      <c r="L151" s="106"/>
      <c r="M151" s="129"/>
      <c r="N151" s="80"/>
      <c r="O151" s="108"/>
      <c r="P151" s="80"/>
      <c r="Q151" s="80"/>
      <c r="R151" s="80"/>
      <c r="S151" s="108"/>
      <c r="T151" s="110"/>
      <c r="U151" s="110"/>
      <c r="V151" s="51"/>
      <c r="W151" s="51"/>
      <c r="X151" s="51"/>
      <c r="Y151" s="51"/>
    </row>
    <row r="152" ht="13.5" customHeight="1" outlineLevel="1">
      <c r="A152" s="95"/>
      <c r="B152" s="86"/>
      <c r="C152" s="86" t="s">
        <v>651</v>
      </c>
      <c r="D152" s="95"/>
      <c r="E152" s="95"/>
      <c r="F152" s="95"/>
      <c r="G152" s="86"/>
      <c r="H152" s="80" t="str">
        <f>VLOOKUP(G152,'01. TH'!$B:$E,3,0)</f>
        <v>#N/A</v>
      </c>
      <c r="I152" s="80"/>
      <c r="J152" s="99"/>
      <c r="K152" s="80"/>
      <c r="L152" s="106"/>
      <c r="M152" s="129"/>
      <c r="N152" s="80"/>
      <c r="O152" s="108"/>
      <c r="P152" s="80"/>
      <c r="Q152" s="80"/>
      <c r="R152" s="80"/>
      <c r="S152" s="108"/>
      <c r="T152" s="110"/>
      <c r="U152" s="110"/>
      <c r="V152" s="51"/>
      <c r="W152" s="51"/>
      <c r="X152" s="51"/>
      <c r="Y152" s="51"/>
    </row>
    <row r="153" ht="13.5" customHeight="1">
      <c r="A153" s="151" t="s">
        <v>831</v>
      </c>
      <c r="B153" s="177" t="s">
        <v>832</v>
      </c>
      <c r="C153" s="72">
        <f>COUNTA($B$154:$B$159)</f>
        <v>4</v>
      </c>
      <c r="D153" s="178" t="str">
        <f>IFERROR(VLOOKUP(B153,' 02.1 KLH-CN MÃ BRAVO MM'!$B:$C,2,0),"")</f>
        <v/>
      </c>
      <c r="E153" s="179"/>
      <c r="F153" s="179"/>
      <c r="G153" s="72"/>
      <c r="H153" s="75"/>
      <c r="I153" s="178"/>
      <c r="J153" s="180"/>
      <c r="K153" s="75"/>
      <c r="L153" s="179"/>
      <c r="M153" s="181"/>
      <c r="N153" s="179"/>
      <c r="O153" s="178"/>
      <c r="P153" s="178"/>
      <c r="Q153" s="178"/>
      <c r="R153" s="178"/>
      <c r="S153" s="178"/>
      <c r="T153" s="178"/>
      <c r="U153" s="182"/>
      <c r="V153" s="63"/>
      <c r="W153" s="63"/>
      <c r="X153" s="63"/>
      <c r="Y153" s="63"/>
    </row>
    <row r="154" ht="13.5" customHeight="1" outlineLevel="1">
      <c r="A154" s="95">
        <v>1.0</v>
      </c>
      <c r="B154" s="115" t="s">
        <v>833</v>
      </c>
      <c r="C154" s="115" t="s">
        <v>834</v>
      </c>
      <c r="D154" s="95" t="str">
        <f>IFERROR(VLOOKUP(B154,' 02.1 KLH-CN MÃ BRAVO MM'!$B:$C,2,0),"")</f>
        <v>ATT-A23-0017</v>
      </c>
      <c r="E154" s="95"/>
      <c r="F154" s="95" t="s">
        <v>79</v>
      </c>
      <c r="G154" s="115" t="s">
        <v>835</v>
      </c>
      <c r="H154" s="80" t="str">
        <f>VLOOKUP(G154,'01. TH'!$B:$E,3,0)</f>
        <v/>
      </c>
      <c r="I154" s="119" t="s">
        <v>836</v>
      </c>
      <c r="J154" s="116"/>
      <c r="K154" s="80" t="str">
        <f>IF(COUNTIF('TT BTSC'!$D:$D,B154)&gt;0,"Hư hỏng","Bình thường")</f>
        <v>Bình thường</v>
      </c>
      <c r="L154" s="119"/>
      <c r="M154" s="118"/>
      <c r="N154" s="119" t="s">
        <v>837</v>
      </c>
      <c r="O154" s="110" t="s">
        <v>838</v>
      </c>
      <c r="P154" s="95">
        <v>2018.0</v>
      </c>
      <c r="Q154" s="95" t="s">
        <v>839</v>
      </c>
      <c r="R154" s="95" t="s">
        <v>278</v>
      </c>
      <c r="S154" s="110">
        <v>73737.0</v>
      </c>
      <c r="T154" s="110" t="s">
        <v>96</v>
      </c>
      <c r="U154" s="110">
        <v>11.0</v>
      </c>
      <c r="V154" s="112">
        <v>0.0</v>
      </c>
      <c r="W154" s="112"/>
      <c r="X154" s="112"/>
      <c r="Y154" s="112"/>
    </row>
    <row r="155" ht="13.5" customHeight="1" outlineLevel="1">
      <c r="A155" s="95">
        <f t="shared" ref="A155:A157" si="7">A154+1</f>
        <v>2</v>
      </c>
      <c r="B155" s="115" t="s">
        <v>840</v>
      </c>
      <c r="C155" s="115" t="s">
        <v>841</v>
      </c>
      <c r="D155" s="95" t="str">
        <f>IFERROR(VLOOKUP(B155,' 02.1 KLH-CN MÃ BRAVO MM'!$B:$C,2,0),"")</f>
        <v>ATT-A23-0016</v>
      </c>
      <c r="E155" s="95"/>
      <c r="F155" s="95" t="s">
        <v>79</v>
      </c>
      <c r="G155" s="115" t="s">
        <v>687</v>
      </c>
      <c r="H155" s="80" t="str">
        <f>VLOOKUP(G155,'01. TH'!$B:$E,3,0)</f>
        <v>4200 x 2600 x 2900</v>
      </c>
      <c r="I155" s="119" t="s">
        <v>836</v>
      </c>
      <c r="J155" s="116">
        <v>43862.0</v>
      </c>
      <c r="K155" s="80" t="str">
        <f>IF(COUNTIF('TT BTSC'!$D:$D,B155)&gt;0,"Hư hỏng","Bình thường")</f>
        <v>Bình thường</v>
      </c>
      <c r="L155" s="117">
        <v>0.5</v>
      </c>
      <c r="M155" s="118"/>
      <c r="N155" s="106" t="s">
        <v>689</v>
      </c>
      <c r="O155" s="110" t="s">
        <v>690</v>
      </c>
      <c r="P155" s="95">
        <v>2018.0</v>
      </c>
      <c r="Q155" s="95">
        <v>6603.0</v>
      </c>
      <c r="R155" s="80" t="s">
        <v>271</v>
      </c>
      <c r="S155" s="110">
        <v>33027.0</v>
      </c>
      <c r="T155" s="110" t="s">
        <v>96</v>
      </c>
      <c r="U155" s="110">
        <v>9.0</v>
      </c>
      <c r="V155" s="112">
        <v>158.0</v>
      </c>
      <c r="W155" s="112"/>
      <c r="X155" s="112"/>
      <c r="Y155" s="112"/>
    </row>
    <row r="156" ht="13.5" customHeight="1" outlineLevel="1">
      <c r="A156" s="95">
        <f t="shared" si="7"/>
        <v>3</v>
      </c>
      <c r="B156" s="86" t="s">
        <v>842</v>
      </c>
      <c r="C156" s="86" t="s">
        <v>843</v>
      </c>
      <c r="D156" s="95" t="str">
        <f>IFERROR(VLOOKUP(B156,' 02.1 KLH-CN MÃ BRAVO MM'!$B:$C,2,0),"")</f>
        <v>ATT-A22-0182</v>
      </c>
      <c r="E156" s="95"/>
      <c r="F156" s="95" t="s">
        <v>79</v>
      </c>
      <c r="G156" s="86" t="s">
        <v>844</v>
      </c>
      <c r="H156" s="80" t="str">
        <f>VLOOKUP(G156,'01. TH'!$B:$E,3,0)</f>
        <v>3760 x 1900 x 2570</v>
      </c>
      <c r="I156" s="106" t="s">
        <v>836</v>
      </c>
      <c r="J156" s="99"/>
      <c r="K156" s="80" t="str">
        <f>IF(COUNTIF('TT BTSC'!$D:$D,B156)&gt;0,"Hư hỏng","Bình thường")</f>
        <v>Bình thường</v>
      </c>
      <c r="L156" s="106"/>
      <c r="M156" s="104"/>
      <c r="N156" s="106" t="s">
        <v>454</v>
      </c>
      <c r="O156" s="108" t="s">
        <v>84</v>
      </c>
      <c r="P156" s="80">
        <v>2011.0</v>
      </c>
      <c r="Q156" s="80">
        <v>9540.0</v>
      </c>
      <c r="R156" s="106" t="s">
        <v>845</v>
      </c>
      <c r="S156" s="108" t="s">
        <v>846</v>
      </c>
      <c r="T156" s="110" t="s">
        <v>96</v>
      </c>
      <c r="U156" s="110">
        <v>3.8</v>
      </c>
      <c r="V156" s="112">
        <v>110.0</v>
      </c>
      <c r="W156" s="112"/>
      <c r="X156" s="112"/>
      <c r="Y156" s="112"/>
    </row>
    <row r="157" ht="13.5" customHeight="1" outlineLevel="1">
      <c r="A157" s="95">
        <f t="shared" si="7"/>
        <v>4</v>
      </c>
      <c r="B157" s="86" t="s">
        <v>847</v>
      </c>
      <c r="C157" s="86" t="s">
        <v>773</v>
      </c>
      <c r="D157" s="95" t="str">
        <f>IFERROR(VLOOKUP(B157,' 02.1 KLH-CN MÃ BRAVO MM'!$B:$C,2,0),"")</f>
        <v>ATM-A24-0102</v>
      </c>
      <c r="E157" s="95"/>
      <c r="F157" s="95" t="s">
        <v>79</v>
      </c>
      <c r="G157" s="86" t="s">
        <v>701</v>
      </c>
      <c r="H157" s="80" t="str">
        <f>VLOOKUP(G157,'01. TH'!$B:$E,3,0)</f>
        <v>4100 x 2100 x 2600</v>
      </c>
      <c r="I157" s="106" t="s">
        <v>836</v>
      </c>
      <c r="J157" s="80" t="s">
        <v>696</v>
      </c>
      <c r="K157" s="80" t="str">
        <f>IF(COUNTIF('TT BTSC'!$D:$D,B157)&gt;0,"Hư hỏng","Bình thường")</f>
        <v>Bình thường</v>
      </c>
      <c r="L157" s="106"/>
      <c r="M157" s="129" t="s">
        <v>848</v>
      </c>
      <c r="N157" s="106" t="s">
        <v>689</v>
      </c>
      <c r="O157" s="108" t="s">
        <v>690</v>
      </c>
      <c r="P157" s="80">
        <v>2022.0</v>
      </c>
      <c r="Q157" s="80" t="s">
        <v>704</v>
      </c>
      <c r="R157" s="80" t="s">
        <v>705</v>
      </c>
      <c r="S157" s="108" t="s">
        <v>849</v>
      </c>
      <c r="T157" s="110" t="s">
        <v>850</v>
      </c>
      <c r="U157" s="110">
        <v>6.0</v>
      </c>
      <c r="V157" s="112">
        <v>112.0</v>
      </c>
      <c r="W157" s="112"/>
      <c r="X157" s="112"/>
      <c r="Y157" s="112"/>
    </row>
    <row r="158" ht="13.5" customHeight="1" outlineLevel="1">
      <c r="A158" s="95"/>
      <c r="B158" s="86"/>
      <c r="C158" s="86"/>
      <c r="D158" s="95"/>
      <c r="E158" s="95"/>
      <c r="F158" s="95"/>
      <c r="G158" s="86"/>
      <c r="H158" s="80"/>
      <c r="I158" s="80"/>
      <c r="J158" s="80"/>
      <c r="K158" s="80"/>
      <c r="L158" s="106"/>
      <c r="M158" s="129"/>
      <c r="N158" s="80"/>
      <c r="O158" s="108"/>
      <c r="P158" s="80"/>
      <c r="Q158" s="80"/>
      <c r="R158" s="80"/>
      <c r="S158" s="108"/>
      <c r="T158" s="110"/>
      <c r="U158" s="110"/>
      <c r="V158" s="51"/>
      <c r="W158" s="51"/>
      <c r="X158" s="51"/>
      <c r="Y158" s="51"/>
    </row>
    <row r="159" ht="13.5" customHeight="1" outlineLevel="1">
      <c r="A159" s="95"/>
      <c r="B159" s="86"/>
      <c r="C159" s="86" t="s">
        <v>651</v>
      </c>
      <c r="D159" s="95"/>
      <c r="E159" s="95"/>
      <c r="F159" s="95"/>
      <c r="G159" s="86"/>
      <c r="H159" s="80" t="str">
        <f>VLOOKUP(G159,'01. TH'!$B:$E,3,0)</f>
        <v>#N/A</v>
      </c>
      <c r="I159" s="80"/>
      <c r="J159" s="80"/>
      <c r="K159" s="80"/>
      <c r="L159" s="106"/>
      <c r="M159" s="129"/>
      <c r="N159" s="80"/>
      <c r="O159" s="108"/>
      <c r="P159" s="80"/>
      <c r="Q159" s="80"/>
      <c r="R159" s="80"/>
      <c r="S159" s="108"/>
      <c r="T159" s="110"/>
      <c r="U159" s="110"/>
      <c r="V159" s="51"/>
      <c r="W159" s="51"/>
      <c r="X159" s="51"/>
      <c r="Y159" s="51"/>
    </row>
    <row r="160" ht="13.5" customHeight="1">
      <c r="A160" s="76" t="s">
        <v>852</v>
      </c>
      <c r="B160" s="55"/>
      <c r="C160" s="59">
        <f>C161+C190+C218+C253+C282+C323+C324+C325+C332</f>
        <v>164</v>
      </c>
      <c r="D160" s="55" t="str">
        <f>IFERROR(VLOOKUP(B160,' 02.1 KLH-CN MÃ BRAVO MM'!$B:$C,2,0),"")</f>
        <v/>
      </c>
      <c r="E160" s="59"/>
      <c r="F160" s="59"/>
      <c r="G160" s="59"/>
      <c r="H160" s="55"/>
      <c r="I160" s="55"/>
      <c r="J160" s="62"/>
      <c r="K160" s="55"/>
      <c r="L160" s="59"/>
      <c r="M160" s="55"/>
      <c r="N160" s="59"/>
      <c r="O160" s="55"/>
      <c r="P160" s="55"/>
      <c r="Q160" s="55"/>
      <c r="R160" s="55"/>
      <c r="S160" s="55"/>
      <c r="T160" s="55"/>
      <c r="U160" s="55"/>
      <c r="V160" s="63"/>
      <c r="W160" s="63"/>
      <c r="X160" s="63"/>
      <c r="Y160" s="63"/>
    </row>
    <row r="161" ht="13.5" customHeight="1">
      <c r="A161" s="151" t="s">
        <v>853</v>
      </c>
      <c r="B161" s="152" t="s">
        <v>854</v>
      </c>
      <c r="C161" s="72">
        <f>COUNTA($B$162:$B$189)</f>
        <v>26</v>
      </c>
      <c r="D161" s="75" t="str">
        <f>IFERROR(VLOOKUP(B161,' 02.1 KLH-CN MÃ BRAVO MM'!$B:$C,2,0),"")</f>
        <v/>
      </c>
      <c r="E161" s="72"/>
      <c r="F161" s="72"/>
      <c r="G161" s="72"/>
      <c r="H161" s="75"/>
      <c r="I161" s="75"/>
      <c r="J161" s="79"/>
      <c r="K161" s="75"/>
      <c r="L161" s="72"/>
      <c r="M161" s="75"/>
      <c r="N161" s="72"/>
      <c r="O161" s="75"/>
      <c r="P161" s="75"/>
      <c r="Q161" s="75"/>
      <c r="R161" s="75"/>
      <c r="S161" s="75"/>
      <c r="T161" s="75"/>
      <c r="U161" s="75"/>
      <c r="V161" s="63"/>
      <c r="W161" s="63"/>
      <c r="X161" s="63"/>
      <c r="Y161" s="63"/>
    </row>
    <row r="162" ht="13.5" customHeight="1" outlineLevel="1">
      <c r="A162" s="80">
        <v>1.0</v>
      </c>
      <c r="B162" s="84" t="s">
        <v>855</v>
      </c>
      <c r="C162" s="84" t="s">
        <v>856</v>
      </c>
      <c r="D162" s="95" t="str">
        <f>IFERROR(VLOOKUP(B162,' 02.1 KLH-CN MÃ BRAVO MM'!$B:$C,2,0),"")</f>
        <v>A23-MKE-012</v>
      </c>
      <c r="E162" s="95"/>
      <c r="F162" s="95" t="s">
        <v>79</v>
      </c>
      <c r="G162" s="86" t="s">
        <v>857</v>
      </c>
      <c r="H162" s="80" t="str">
        <f>VLOOKUP(G162,'01. TH'!$B:$E,3,0)</f>
        <v>3226 x 1570 x 1545</v>
      </c>
      <c r="I162" s="80" t="s">
        <v>858</v>
      </c>
      <c r="J162" s="99"/>
      <c r="K162" s="80" t="str">
        <f>IF(COUNTIF('TT BTSC'!$D:$D,B162)&gt;0,"Hư hỏng","Bình thường")</f>
        <v>Bình thường</v>
      </c>
      <c r="L162" s="106"/>
      <c r="M162" s="104"/>
      <c r="N162" s="106" t="s">
        <v>743</v>
      </c>
      <c r="O162" s="108" t="s">
        <v>148</v>
      </c>
      <c r="P162" s="80">
        <v>2018.0</v>
      </c>
      <c r="Q162" s="80" t="s">
        <v>860</v>
      </c>
      <c r="R162" s="106" t="s">
        <v>861</v>
      </c>
      <c r="S162" s="108" t="s">
        <v>862</v>
      </c>
      <c r="T162" s="110" t="s">
        <v>96</v>
      </c>
      <c r="U162" s="110">
        <v>2.5</v>
      </c>
      <c r="V162" s="112">
        <v>0.0</v>
      </c>
      <c r="W162" s="112"/>
      <c r="X162" s="112"/>
      <c r="Y162" s="112"/>
    </row>
    <row r="163" ht="13.5" customHeight="1" outlineLevel="1">
      <c r="A163" s="80">
        <f t="shared" ref="A163:A187" si="8">A162+1</f>
        <v>2</v>
      </c>
      <c r="B163" s="84" t="s">
        <v>863</v>
      </c>
      <c r="C163" s="84" t="s">
        <v>864</v>
      </c>
      <c r="D163" s="95" t="str">
        <f>IFERROR(VLOOKUP(B163,' 02.1 KLH-CN MÃ BRAVO MM'!$B:$C,2,0),"")</f>
        <v>A23-MKE-013</v>
      </c>
      <c r="E163" s="95"/>
      <c r="F163" s="95" t="s">
        <v>79</v>
      </c>
      <c r="G163" s="86" t="s">
        <v>857</v>
      </c>
      <c r="H163" s="80" t="str">
        <f>VLOOKUP(G163,'01. TH'!$B:$E,3,0)</f>
        <v>3226 x 1570 x 1545</v>
      </c>
      <c r="I163" s="80" t="s">
        <v>858</v>
      </c>
      <c r="J163" s="99"/>
      <c r="K163" s="80" t="s">
        <v>865</v>
      </c>
      <c r="L163" s="106"/>
      <c r="M163" s="129" t="s">
        <v>866</v>
      </c>
      <c r="N163" s="106" t="s">
        <v>743</v>
      </c>
      <c r="O163" s="108" t="s">
        <v>148</v>
      </c>
      <c r="P163" s="80">
        <v>2018.0</v>
      </c>
      <c r="Q163" s="80" t="s">
        <v>860</v>
      </c>
      <c r="R163" s="106" t="s">
        <v>861</v>
      </c>
      <c r="S163" s="108" t="s">
        <v>867</v>
      </c>
      <c r="T163" s="110" t="s">
        <v>96</v>
      </c>
      <c r="U163" s="110">
        <v>2.5</v>
      </c>
      <c r="V163" s="112">
        <v>0.0</v>
      </c>
      <c r="W163" s="112"/>
      <c r="X163" s="112"/>
      <c r="Y163" s="112"/>
    </row>
    <row r="164" ht="13.5" customHeight="1" outlineLevel="1">
      <c r="A164" s="80">
        <f t="shared" si="8"/>
        <v>3</v>
      </c>
      <c r="B164" s="86" t="s">
        <v>868</v>
      </c>
      <c r="C164" s="86" t="s">
        <v>869</v>
      </c>
      <c r="D164" s="95" t="str">
        <f>IFERROR(VLOOKUP(B164,' 02.1 KLH-CN MÃ BRAVO MM'!$B:$C,2,0),"")</f>
        <v>A23-MKE-014</v>
      </c>
      <c r="E164" s="95"/>
      <c r="F164" s="95" t="s">
        <v>79</v>
      </c>
      <c r="G164" s="86" t="s">
        <v>857</v>
      </c>
      <c r="H164" s="80" t="str">
        <f>VLOOKUP(G164,'01. TH'!$B:$E,3,0)</f>
        <v>3226 x 1570 x 1545</v>
      </c>
      <c r="I164" s="80" t="s">
        <v>858</v>
      </c>
      <c r="J164" s="80" t="s">
        <v>870</v>
      </c>
      <c r="K164" s="80" t="str">
        <f>IF(COUNTIF('TT BTSC'!$D:$D,B164)&gt;0,"Hư hỏng","Bình thường")</f>
        <v>Bình thường</v>
      </c>
      <c r="L164" s="106"/>
      <c r="M164" s="129" t="s">
        <v>871</v>
      </c>
      <c r="N164" s="106" t="s">
        <v>743</v>
      </c>
      <c r="O164" s="108" t="s">
        <v>148</v>
      </c>
      <c r="P164" s="80">
        <v>2018.0</v>
      </c>
      <c r="Q164" s="80" t="s">
        <v>860</v>
      </c>
      <c r="R164" s="106" t="s">
        <v>861</v>
      </c>
      <c r="S164" s="108" t="s">
        <v>872</v>
      </c>
      <c r="T164" s="110" t="s">
        <v>96</v>
      </c>
      <c r="U164" s="110">
        <v>2.5</v>
      </c>
      <c r="V164" s="112">
        <v>0.0</v>
      </c>
      <c r="W164" s="112"/>
      <c r="X164" s="112"/>
      <c r="Y164" s="112"/>
    </row>
    <row r="165" ht="13.5" customHeight="1" outlineLevel="1">
      <c r="A165" s="80">
        <f t="shared" si="8"/>
        <v>4</v>
      </c>
      <c r="B165" s="115" t="s">
        <v>873</v>
      </c>
      <c r="C165" s="115" t="s">
        <v>874</v>
      </c>
      <c r="D165" s="95" t="str">
        <f>IFERROR(VLOOKUP(B165,' 02.1 KLH-CN MÃ BRAVO MM'!$B:$C,2,0),"")</f>
        <v/>
      </c>
      <c r="E165" s="95"/>
      <c r="F165" s="95" t="s">
        <v>79</v>
      </c>
      <c r="G165" s="86" t="s">
        <v>875</v>
      </c>
      <c r="H165" s="80" t="str">
        <f>VLOOKUP(G165,'01. TH'!$B:$E,3,0)</f>
        <v>3120 x 1495 x 1510</v>
      </c>
      <c r="I165" s="95" t="s">
        <v>858</v>
      </c>
      <c r="J165" s="116"/>
      <c r="K165" s="80" t="str">
        <f>IF(COUNTIF('TT BTSC'!$D:$D,B165)&gt;0,"Hư hỏng","Bình thường")</f>
        <v>Bình thường</v>
      </c>
      <c r="L165" s="119"/>
      <c r="M165" s="155" t="s">
        <v>876</v>
      </c>
      <c r="N165" s="119" t="s">
        <v>454</v>
      </c>
      <c r="O165" s="110" t="s">
        <v>84</v>
      </c>
      <c r="P165" s="95">
        <v>2019.0</v>
      </c>
      <c r="Q165" s="95" t="s">
        <v>878</v>
      </c>
      <c r="R165" s="119" t="s">
        <v>101</v>
      </c>
      <c r="S165" s="110">
        <v>14793.0</v>
      </c>
      <c r="T165" s="110" t="s">
        <v>96</v>
      </c>
      <c r="U165" s="110">
        <v>2.0</v>
      </c>
      <c r="V165" s="112">
        <v>0.0</v>
      </c>
      <c r="W165" s="112"/>
      <c r="X165" s="112"/>
      <c r="Y165" s="112"/>
    </row>
    <row r="166" ht="13.5" customHeight="1" outlineLevel="1">
      <c r="A166" s="80">
        <f t="shared" si="8"/>
        <v>5</v>
      </c>
      <c r="B166" s="84" t="s">
        <v>879</v>
      </c>
      <c r="C166" s="84"/>
      <c r="D166" s="95" t="str">
        <f>IFERROR(VLOOKUP(B166,' 02.1 KLH-CN MÃ BRAVO MM'!$B:$C,2,0),"")</f>
        <v>ATT-A23-0044</v>
      </c>
      <c r="E166" s="95"/>
      <c r="F166" s="95" t="s">
        <v>79</v>
      </c>
      <c r="G166" s="86" t="s">
        <v>880</v>
      </c>
      <c r="H166" s="80" t="str">
        <f>VLOOKUP(G166,'01. TH'!$B:$E,3,0)</f>
        <v/>
      </c>
      <c r="I166" s="80" t="s">
        <v>858</v>
      </c>
      <c r="J166" s="99"/>
      <c r="K166" s="80" t="str">
        <f>IF(COUNTIF('TT BTSC'!$D:$D,B166)&gt;0,"Hư hỏng","Bình thường")</f>
        <v>Bình thường</v>
      </c>
      <c r="L166" s="106"/>
      <c r="M166" s="104"/>
      <c r="N166" s="106" t="s">
        <v>882</v>
      </c>
      <c r="O166" s="108" t="s">
        <v>883</v>
      </c>
      <c r="P166" s="80">
        <v>2019.0</v>
      </c>
      <c r="Q166" s="80" t="s">
        <v>884</v>
      </c>
      <c r="R166" s="106" t="s">
        <v>885</v>
      </c>
      <c r="S166" s="108">
        <v>1.5011901E9</v>
      </c>
      <c r="T166" s="110" t="s">
        <v>886</v>
      </c>
      <c r="U166" s="110"/>
      <c r="V166" s="112">
        <v>0.0</v>
      </c>
      <c r="W166" s="112"/>
      <c r="X166" s="112"/>
      <c r="Y166" s="112"/>
    </row>
    <row r="167" ht="13.5" customHeight="1" outlineLevel="1">
      <c r="A167" s="80">
        <f t="shared" si="8"/>
        <v>6</v>
      </c>
      <c r="B167" s="84" t="s">
        <v>887</v>
      </c>
      <c r="C167" s="86"/>
      <c r="D167" s="95" t="s">
        <v>888</v>
      </c>
      <c r="E167" s="95"/>
      <c r="F167" s="95" t="s">
        <v>154</v>
      </c>
      <c r="G167" s="86" t="s">
        <v>889</v>
      </c>
      <c r="H167" s="80"/>
      <c r="I167" s="80" t="s">
        <v>858</v>
      </c>
      <c r="J167" s="99">
        <v>46361.0</v>
      </c>
      <c r="K167" s="80" t="str">
        <f>IF(COUNTIF('TT BTSC'!$D:$D,B167)&gt;0,"Hư hỏng","Bình thường")</f>
        <v>Bình thường</v>
      </c>
      <c r="L167" s="102"/>
      <c r="M167" s="141" t="s">
        <v>890</v>
      </c>
      <c r="N167" s="80" t="s">
        <v>739</v>
      </c>
      <c r="O167" s="108" t="s">
        <v>260</v>
      </c>
      <c r="P167" s="80">
        <v>2026.0</v>
      </c>
      <c r="Q167" s="80" t="s">
        <v>891</v>
      </c>
      <c r="R167" s="80" t="s">
        <v>892</v>
      </c>
      <c r="S167" s="108" t="s">
        <v>893</v>
      </c>
      <c r="T167" s="110"/>
      <c r="U167" s="110"/>
      <c r="V167" s="112"/>
      <c r="W167" s="112"/>
      <c r="X167" s="112"/>
      <c r="Y167" s="112"/>
    </row>
    <row r="168" ht="13.5" customHeight="1" outlineLevel="1">
      <c r="A168" s="80">
        <f t="shared" si="8"/>
        <v>7</v>
      </c>
      <c r="B168" s="84" t="s">
        <v>894</v>
      </c>
      <c r="C168" s="86"/>
      <c r="D168" s="95" t="str">
        <f>IFERROR(VLOOKUP(B168,' 02.1 KLH-CN MÃ BRAVO MM'!$B:$C,2,0),"")</f>
        <v>ATT-A22-0314</v>
      </c>
      <c r="E168" s="95" t="s">
        <v>895</v>
      </c>
      <c r="F168" s="95" t="s">
        <v>79</v>
      </c>
      <c r="G168" s="86" t="s">
        <v>896</v>
      </c>
      <c r="H168" s="80" t="str">
        <f>VLOOKUP(G168,'01. TH'!$B:$E,3,0)</f>
        <v>4730 x 1750 x 2100</v>
      </c>
      <c r="I168" s="80" t="s">
        <v>858</v>
      </c>
      <c r="J168" s="99">
        <v>45566.0</v>
      </c>
      <c r="K168" s="80" t="str">
        <f>IF(COUNTIF('TT BTSC'!$D:$D,B168)&gt;0,"Hư hỏng","Bình thường")</f>
        <v>Bình thường</v>
      </c>
      <c r="L168" s="102">
        <v>0.98</v>
      </c>
      <c r="M168" s="104"/>
      <c r="N168" s="106" t="s">
        <v>897</v>
      </c>
      <c r="O168" s="108" t="s">
        <v>148</v>
      </c>
      <c r="P168" s="80">
        <v>2021.0</v>
      </c>
      <c r="Q168" s="80" t="s">
        <v>898</v>
      </c>
      <c r="R168" s="106" t="s">
        <v>158</v>
      </c>
      <c r="S168" s="108" t="s">
        <v>899</v>
      </c>
      <c r="T168" s="110" t="s">
        <v>900</v>
      </c>
      <c r="U168" s="110"/>
      <c r="V168" s="112">
        <v>60.0</v>
      </c>
      <c r="W168" s="112"/>
      <c r="X168" s="112"/>
      <c r="Y168" s="112"/>
    </row>
    <row r="169" ht="13.5" customHeight="1" outlineLevel="1">
      <c r="A169" s="80">
        <f t="shared" si="8"/>
        <v>8</v>
      </c>
      <c r="B169" s="86" t="s">
        <v>901</v>
      </c>
      <c r="C169" s="86" t="s">
        <v>902</v>
      </c>
      <c r="D169" s="95" t="str">
        <f>IFERROR(VLOOKUP(B169,' 02.1 KLH-CN MÃ BRAVO MM'!$B:$C,2,0),"")</f>
        <v>A23-XPT-001</v>
      </c>
      <c r="E169" s="95"/>
      <c r="F169" s="95" t="s">
        <v>79</v>
      </c>
      <c r="G169" s="86" t="s">
        <v>903</v>
      </c>
      <c r="H169" s="80" t="str">
        <f>VLOOKUP(G169,'01. TH'!$B:$E,3,0)</f>
        <v/>
      </c>
      <c r="I169" s="80" t="s">
        <v>858</v>
      </c>
      <c r="J169" s="99">
        <v>45446.0</v>
      </c>
      <c r="K169" s="80" t="str">
        <f>IF(COUNTIF('TT BTSC'!$D:$D,B169)&gt;0,"Hư hỏng","Bình thường")</f>
        <v>Bình thường</v>
      </c>
      <c r="L169" s="106"/>
      <c r="M169" s="129" t="s">
        <v>904</v>
      </c>
      <c r="N169" s="106" t="s">
        <v>905</v>
      </c>
      <c r="O169" s="108" t="s">
        <v>883</v>
      </c>
      <c r="P169" s="80">
        <v>2010.0</v>
      </c>
      <c r="Q169" s="80"/>
      <c r="R169" s="106"/>
      <c r="S169" s="108" t="s">
        <v>906</v>
      </c>
      <c r="T169" s="110" t="s">
        <v>96</v>
      </c>
      <c r="U169" s="110">
        <v>3.75</v>
      </c>
      <c r="V169" s="51"/>
      <c r="W169" s="51"/>
      <c r="X169" s="51"/>
      <c r="Y169" s="51"/>
    </row>
    <row r="170" ht="13.5" customHeight="1" outlineLevel="1">
      <c r="A170" s="80">
        <f t="shared" si="8"/>
        <v>9</v>
      </c>
      <c r="B170" s="113" t="s">
        <v>908</v>
      </c>
      <c r="C170" s="113" t="s">
        <v>909</v>
      </c>
      <c r="D170" s="95" t="str">
        <f>IFERROR(VLOOKUP(B170,' 02.1 KLH-CN MÃ BRAVO MM'!$B:$C,2,0),"")</f>
        <v>A23-XTA-008</v>
      </c>
      <c r="E170" s="95"/>
      <c r="F170" s="95" t="s">
        <v>79</v>
      </c>
      <c r="G170" s="115" t="s">
        <v>910</v>
      </c>
      <c r="H170" s="80" t="str">
        <f>VLOOKUP(G170,'01. TH'!$B:$E,3,0)</f>
        <v/>
      </c>
      <c r="I170" s="95" t="s">
        <v>858</v>
      </c>
      <c r="J170" s="116"/>
      <c r="K170" s="80" t="str">
        <f>IF(COUNTIF('TT BTSC'!$D:$D,B170)&gt;0,"Hư hỏng","Bình thường")</f>
        <v>Bình thường</v>
      </c>
      <c r="L170" s="119"/>
      <c r="M170" s="118"/>
      <c r="N170" s="119" t="s">
        <v>911</v>
      </c>
      <c r="O170" s="110" t="s">
        <v>912</v>
      </c>
      <c r="P170" s="95"/>
      <c r="Q170" s="95"/>
      <c r="R170" s="119" t="s">
        <v>792</v>
      </c>
      <c r="S170" s="110">
        <v>113819.0</v>
      </c>
      <c r="T170" s="110" t="s">
        <v>96</v>
      </c>
      <c r="U170" s="110">
        <v>2.0</v>
      </c>
      <c r="V170" s="51"/>
      <c r="W170" s="51"/>
      <c r="X170" s="51"/>
      <c r="Y170" s="51"/>
    </row>
    <row r="171" ht="13.5" customHeight="1" outlineLevel="1">
      <c r="A171" s="80">
        <f t="shared" si="8"/>
        <v>10</v>
      </c>
      <c r="B171" s="84" t="s">
        <v>913</v>
      </c>
      <c r="C171" s="86" t="s">
        <v>914</v>
      </c>
      <c r="D171" s="95" t="str">
        <f>IFERROR(VLOOKUP(B171,' 02.1 KLH-CN MÃ BRAVO MM'!$B:$C,2,0),"")</f>
        <v>A23-XTA-009</v>
      </c>
      <c r="E171" s="95"/>
      <c r="F171" s="95" t="s">
        <v>79</v>
      </c>
      <c r="G171" s="86" t="s">
        <v>910</v>
      </c>
      <c r="H171" s="80" t="str">
        <f>VLOOKUP(G171,'01. TH'!$B:$E,3,0)</f>
        <v/>
      </c>
      <c r="I171" s="80" t="s">
        <v>858</v>
      </c>
      <c r="J171" s="80" t="s">
        <v>915</v>
      </c>
      <c r="K171" s="80" t="str">
        <f>IF(COUNTIF('TT BTSC'!$D:$D,B171)&gt;0,"Hư hỏng","Bình thường")</f>
        <v>Bình thường</v>
      </c>
      <c r="L171" s="106"/>
      <c r="M171" s="104"/>
      <c r="N171" s="106" t="s">
        <v>911</v>
      </c>
      <c r="O171" s="108" t="s">
        <v>912</v>
      </c>
      <c r="P171" s="80"/>
      <c r="Q171" s="80"/>
      <c r="R171" s="106" t="s">
        <v>792</v>
      </c>
      <c r="S171" s="108">
        <v>78504.0</v>
      </c>
      <c r="T171" s="110" t="s">
        <v>96</v>
      </c>
      <c r="U171" s="110">
        <v>2.0</v>
      </c>
      <c r="V171" s="51"/>
      <c r="W171" s="51"/>
      <c r="X171" s="51"/>
      <c r="Y171" s="51"/>
    </row>
    <row r="172" ht="29.25" customHeight="1" outlineLevel="1">
      <c r="A172" s="80">
        <f t="shared" si="8"/>
        <v>11</v>
      </c>
      <c r="B172" s="84" t="s">
        <v>916</v>
      </c>
      <c r="C172" s="108" t="s">
        <v>917</v>
      </c>
      <c r="D172" s="95" t="s">
        <v>918</v>
      </c>
      <c r="E172" s="95"/>
      <c r="F172" s="95" t="s">
        <v>154</v>
      </c>
      <c r="G172" s="86" t="s">
        <v>919</v>
      </c>
      <c r="H172" s="80" t="str">
        <f>VLOOKUP(G172,'01. TH'!$B:$E,3,0)</f>
        <v>5250 x 2170 x 2520</v>
      </c>
      <c r="I172" s="80" t="s">
        <v>858</v>
      </c>
      <c r="J172" s="99">
        <v>45632.0</v>
      </c>
      <c r="K172" s="80" t="str">
        <f>IF(COUNTIF('TT BTSC'!$D:$D,B172)&gt;0,"Hư hỏng","Bình thường")</f>
        <v>Bình thường</v>
      </c>
      <c r="L172" s="102">
        <v>1.0</v>
      </c>
      <c r="M172" s="129" t="s">
        <v>920</v>
      </c>
      <c r="N172" s="80" t="s">
        <v>743</v>
      </c>
      <c r="O172" s="108" t="s">
        <v>148</v>
      </c>
      <c r="P172" s="80">
        <v>2024.0</v>
      </c>
      <c r="Q172" s="80" t="s">
        <v>921</v>
      </c>
      <c r="R172" s="80" t="s">
        <v>922</v>
      </c>
      <c r="S172" s="108" t="s">
        <v>923</v>
      </c>
      <c r="T172" s="110" t="s">
        <v>924</v>
      </c>
      <c r="U172" s="110">
        <v>0.33</v>
      </c>
      <c r="V172" s="112">
        <v>75.0</v>
      </c>
      <c r="W172" s="112"/>
      <c r="X172" s="112"/>
      <c r="Y172" s="112"/>
    </row>
    <row r="173" ht="29.25" customHeight="1" outlineLevel="1">
      <c r="A173" s="80">
        <f t="shared" si="8"/>
        <v>12</v>
      </c>
      <c r="B173" s="86" t="s">
        <v>925</v>
      </c>
      <c r="C173" s="108" t="s">
        <v>926</v>
      </c>
      <c r="D173" s="95" t="s">
        <v>927</v>
      </c>
      <c r="E173" s="95"/>
      <c r="F173" s="95" t="s">
        <v>154</v>
      </c>
      <c r="G173" s="86" t="s">
        <v>919</v>
      </c>
      <c r="H173" s="80" t="str">
        <f>VLOOKUP(G173,'01. TH'!$B:$E,3,0)</f>
        <v>5250 x 2170 x 2520</v>
      </c>
      <c r="I173" s="80" t="s">
        <v>858</v>
      </c>
      <c r="J173" s="99">
        <v>45632.0</v>
      </c>
      <c r="K173" s="80" t="str">
        <f>IF(COUNTIF('TT BTSC'!$D:$D,B173)&gt;0,"Hư hỏng","Bình thường")</f>
        <v>Bình thường</v>
      </c>
      <c r="L173" s="102">
        <v>1.0</v>
      </c>
      <c r="M173" s="129" t="s">
        <v>920</v>
      </c>
      <c r="N173" s="80" t="s">
        <v>743</v>
      </c>
      <c r="O173" s="108" t="s">
        <v>148</v>
      </c>
      <c r="P173" s="80">
        <v>2024.0</v>
      </c>
      <c r="Q173" s="80" t="s">
        <v>921</v>
      </c>
      <c r="R173" s="80" t="s">
        <v>922</v>
      </c>
      <c r="S173" s="108" t="s">
        <v>928</v>
      </c>
      <c r="T173" s="110" t="s">
        <v>929</v>
      </c>
      <c r="U173" s="110">
        <v>0.33</v>
      </c>
      <c r="V173" s="112">
        <v>75.0</v>
      </c>
      <c r="W173" s="112"/>
      <c r="X173" s="112"/>
      <c r="Y173" s="112"/>
    </row>
    <row r="174" ht="29.25" customHeight="1" outlineLevel="1">
      <c r="A174" s="80">
        <f t="shared" si="8"/>
        <v>13</v>
      </c>
      <c r="B174" s="86" t="s">
        <v>930</v>
      </c>
      <c r="C174" s="108" t="s">
        <v>931</v>
      </c>
      <c r="D174" s="95" t="s">
        <v>932</v>
      </c>
      <c r="E174" s="95"/>
      <c r="F174" s="95" t="s">
        <v>154</v>
      </c>
      <c r="G174" s="86" t="s">
        <v>919</v>
      </c>
      <c r="H174" s="80" t="str">
        <f>VLOOKUP(G174,'01. TH'!$B:$E,3,0)</f>
        <v>5250 x 2170 x 2520</v>
      </c>
      <c r="I174" s="80" t="s">
        <v>858</v>
      </c>
      <c r="J174" s="99">
        <v>45632.0</v>
      </c>
      <c r="K174" s="80" t="str">
        <f>IF(COUNTIF('TT BTSC'!$D:$D,B174)&gt;0,"Hư hỏng","Bình thường")</f>
        <v>Bình thường</v>
      </c>
      <c r="L174" s="102">
        <v>1.0</v>
      </c>
      <c r="M174" s="129" t="s">
        <v>920</v>
      </c>
      <c r="N174" s="80" t="s">
        <v>743</v>
      </c>
      <c r="O174" s="108" t="s">
        <v>148</v>
      </c>
      <c r="P174" s="80">
        <v>2024.0</v>
      </c>
      <c r="Q174" s="80" t="s">
        <v>921</v>
      </c>
      <c r="R174" s="80" t="s">
        <v>922</v>
      </c>
      <c r="S174" s="108" t="s">
        <v>934</v>
      </c>
      <c r="T174" s="110" t="s">
        <v>935</v>
      </c>
      <c r="U174" s="155">
        <v>3.0</v>
      </c>
      <c r="V174" s="112">
        <v>75.0</v>
      </c>
      <c r="W174" s="112"/>
      <c r="X174" s="112"/>
      <c r="Y174" s="112"/>
    </row>
    <row r="175" ht="29.25" customHeight="1" outlineLevel="1">
      <c r="A175" s="80">
        <f t="shared" si="8"/>
        <v>14</v>
      </c>
      <c r="B175" s="86" t="s">
        <v>936</v>
      </c>
      <c r="C175" s="108" t="s">
        <v>937</v>
      </c>
      <c r="D175" s="95" t="s">
        <v>938</v>
      </c>
      <c r="E175" s="95"/>
      <c r="F175" s="95" t="s">
        <v>154</v>
      </c>
      <c r="G175" s="86" t="s">
        <v>919</v>
      </c>
      <c r="H175" s="80" t="str">
        <f>VLOOKUP(G175,'01. TH'!$B:$E,3,0)</f>
        <v>5250 x 2170 x 2520</v>
      </c>
      <c r="I175" s="80" t="s">
        <v>858</v>
      </c>
      <c r="J175" s="99">
        <v>45632.0</v>
      </c>
      <c r="K175" s="80" t="str">
        <f>IF(COUNTIF('TT BTSC'!$D:$D,B175)&gt;0,"Hư hỏng","Bình thường")</f>
        <v>Bình thường</v>
      </c>
      <c r="L175" s="102">
        <v>1.0</v>
      </c>
      <c r="M175" s="129" t="s">
        <v>920</v>
      </c>
      <c r="N175" s="80" t="s">
        <v>743</v>
      </c>
      <c r="O175" s="108" t="s">
        <v>148</v>
      </c>
      <c r="P175" s="80">
        <v>2024.0</v>
      </c>
      <c r="Q175" s="80" t="s">
        <v>921</v>
      </c>
      <c r="R175" s="80" t="s">
        <v>922</v>
      </c>
      <c r="S175" s="108" t="s">
        <v>939</v>
      </c>
      <c r="T175" s="110" t="s">
        <v>940</v>
      </c>
      <c r="U175" s="110">
        <v>0.33</v>
      </c>
      <c r="V175" s="112">
        <v>75.0</v>
      </c>
      <c r="W175" s="112"/>
      <c r="X175" s="112"/>
      <c r="Y175" s="112"/>
    </row>
    <row r="176" ht="13.5" customHeight="1" outlineLevel="1">
      <c r="A176" s="80">
        <f t="shared" si="8"/>
        <v>15</v>
      </c>
      <c r="B176" s="183" t="s">
        <v>941</v>
      </c>
      <c r="C176" s="183" t="s">
        <v>942</v>
      </c>
      <c r="D176" s="95" t="str">
        <f>IFERROR(VLOOKUP(B176,' 02.1 KLH-CN MÃ BRAVO MM'!$B:$C,2,0),"")</f>
        <v>ATT-A23-0041</v>
      </c>
      <c r="E176" s="95"/>
      <c r="F176" s="95" t="s">
        <v>79</v>
      </c>
      <c r="G176" s="115" t="s">
        <v>219</v>
      </c>
      <c r="H176" s="80" t="str">
        <f>VLOOKUP(G176,'01. TH'!$B:$E,3,0)</f>
        <v>5260 x 1760 x 2415</v>
      </c>
      <c r="I176" s="184" t="s">
        <v>858</v>
      </c>
      <c r="J176" s="116">
        <v>45419.0</v>
      </c>
      <c r="K176" s="80" t="str">
        <f>IF(COUNTIF('TT BTSC'!$D:$D,B176)&gt;0,"Hư hỏng","Bình thường")</f>
        <v>Bình thường</v>
      </c>
      <c r="L176" s="170"/>
      <c r="M176" s="155" t="s">
        <v>943</v>
      </c>
      <c r="N176" s="184" t="s">
        <v>123</v>
      </c>
      <c r="O176" s="185" t="s">
        <v>84</v>
      </c>
      <c r="P176" s="184">
        <v>2006.0</v>
      </c>
      <c r="Q176" s="80" t="s">
        <v>223</v>
      </c>
      <c r="R176" s="184" t="s">
        <v>462</v>
      </c>
      <c r="S176" s="185">
        <v>5288.0</v>
      </c>
      <c r="T176" s="185" t="s">
        <v>96</v>
      </c>
      <c r="U176" s="140">
        <v>4.0</v>
      </c>
      <c r="V176" s="51"/>
      <c r="W176" s="51"/>
      <c r="X176" s="51"/>
      <c r="Y176" s="51"/>
    </row>
    <row r="177" ht="13.5" customHeight="1" outlineLevel="1">
      <c r="A177" s="80">
        <f t="shared" si="8"/>
        <v>16</v>
      </c>
      <c r="B177" s="86" t="s">
        <v>944</v>
      </c>
      <c r="C177" s="86"/>
      <c r="D177" s="95" t="s">
        <v>945</v>
      </c>
      <c r="E177" s="95"/>
      <c r="F177" s="95" t="s">
        <v>154</v>
      </c>
      <c r="G177" s="86" t="s">
        <v>946</v>
      </c>
      <c r="H177" s="80" t="str">
        <f>VLOOKUP(G177,'01. TH'!$B:$E,3,0)</f>
        <v/>
      </c>
      <c r="I177" s="184" t="s">
        <v>858</v>
      </c>
      <c r="J177" s="80" t="s">
        <v>947</v>
      </c>
      <c r="K177" s="80" t="str">
        <f>IF(COUNTIF('TT BTSC'!$D:$D,B177)&gt;0,"Hư hỏng","Bình thường")</f>
        <v>Bình thường</v>
      </c>
      <c r="L177" s="102"/>
      <c r="M177" s="141" t="s">
        <v>890</v>
      </c>
      <c r="N177" s="80" t="s">
        <v>673</v>
      </c>
      <c r="O177" s="108" t="s">
        <v>948</v>
      </c>
      <c r="P177" s="80">
        <v>2022.0</v>
      </c>
      <c r="Q177" s="80" t="s">
        <v>949</v>
      </c>
      <c r="R177" s="80" t="s">
        <v>950</v>
      </c>
      <c r="S177" s="108">
        <v>203065.0</v>
      </c>
      <c r="T177" s="110" t="s">
        <v>951</v>
      </c>
      <c r="U177" s="110">
        <v>0.5</v>
      </c>
      <c r="V177" s="112">
        <v>0.0</v>
      </c>
      <c r="W177" s="112"/>
      <c r="X177" s="112"/>
      <c r="Y177" s="112"/>
    </row>
    <row r="178" ht="13.5" customHeight="1" outlineLevel="1">
      <c r="A178" s="80">
        <f t="shared" si="8"/>
        <v>17</v>
      </c>
      <c r="B178" s="86" t="s">
        <v>952</v>
      </c>
      <c r="C178" s="86"/>
      <c r="D178" s="95" t="s">
        <v>953</v>
      </c>
      <c r="E178" s="95"/>
      <c r="F178" s="95" t="s">
        <v>154</v>
      </c>
      <c r="G178" s="86" t="s">
        <v>946</v>
      </c>
      <c r="H178" s="80" t="str">
        <f>VLOOKUP(G178,'01. TH'!$B:$E,3,0)</f>
        <v/>
      </c>
      <c r="I178" s="184" t="s">
        <v>858</v>
      </c>
      <c r="J178" s="80" t="s">
        <v>947</v>
      </c>
      <c r="K178" s="80" t="str">
        <f>IF(COUNTIF('TT BTSC'!$D:$D,B178)&gt;0,"Hư hỏng","Bình thường")</f>
        <v>Bình thường</v>
      </c>
      <c r="L178" s="102"/>
      <c r="M178" s="141" t="s">
        <v>890</v>
      </c>
      <c r="N178" s="80" t="s">
        <v>673</v>
      </c>
      <c r="O178" s="108" t="s">
        <v>948</v>
      </c>
      <c r="P178" s="80">
        <v>2022.0</v>
      </c>
      <c r="Q178" s="80" t="s">
        <v>949</v>
      </c>
      <c r="R178" s="80" t="s">
        <v>950</v>
      </c>
      <c r="S178" s="108">
        <v>203175.0</v>
      </c>
      <c r="T178" s="110" t="s">
        <v>954</v>
      </c>
      <c r="U178" s="110">
        <v>0.5</v>
      </c>
      <c r="V178" s="112">
        <v>0.0</v>
      </c>
      <c r="W178" s="112"/>
      <c r="X178" s="112"/>
      <c r="Y178" s="112"/>
    </row>
    <row r="179" ht="13.5" customHeight="1" outlineLevel="1">
      <c r="A179" s="80">
        <f t="shared" si="8"/>
        <v>18</v>
      </c>
      <c r="B179" s="86" t="s">
        <v>955</v>
      </c>
      <c r="C179" s="86"/>
      <c r="D179" s="95" t="s">
        <v>956</v>
      </c>
      <c r="E179" s="95"/>
      <c r="F179" s="95" t="s">
        <v>154</v>
      </c>
      <c r="G179" s="86" t="s">
        <v>946</v>
      </c>
      <c r="H179" s="80" t="str">
        <f>VLOOKUP(G179,'01. TH'!$B:$E,3,0)</f>
        <v/>
      </c>
      <c r="I179" s="184" t="s">
        <v>858</v>
      </c>
      <c r="J179" s="80" t="s">
        <v>947</v>
      </c>
      <c r="K179" s="80" t="str">
        <f>IF(COUNTIF('TT BTSC'!$D:$D,B179)&gt;0,"Hư hỏng","Bình thường")</f>
        <v>Bình thường</v>
      </c>
      <c r="L179" s="102"/>
      <c r="M179" s="141" t="s">
        <v>890</v>
      </c>
      <c r="N179" s="80" t="s">
        <v>673</v>
      </c>
      <c r="O179" s="108" t="s">
        <v>948</v>
      </c>
      <c r="P179" s="80">
        <v>2022.0</v>
      </c>
      <c r="Q179" s="80" t="s">
        <v>949</v>
      </c>
      <c r="R179" s="80" t="s">
        <v>950</v>
      </c>
      <c r="S179" s="108">
        <v>203079.0</v>
      </c>
      <c r="T179" s="110" t="s">
        <v>957</v>
      </c>
      <c r="U179" s="110">
        <v>0.5</v>
      </c>
      <c r="V179" s="112">
        <v>0.0</v>
      </c>
      <c r="W179" s="112"/>
      <c r="X179" s="112"/>
      <c r="Y179" s="112"/>
    </row>
    <row r="180" ht="13.5" customHeight="1" outlineLevel="1">
      <c r="A180" s="80">
        <f t="shared" si="8"/>
        <v>19</v>
      </c>
      <c r="B180" s="86" t="s">
        <v>958</v>
      </c>
      <c r="C180" s="86"/>
      <c r="D180" s="95" t="s">
        <v>959</v>
      </c>
      <c r="E180" s="95"/>
      <c r="F180" s="95" t="s">
        <v>154</v>
      </c>
      <c r="G180" s="86" t="s">
        <v>946</v>
      </c>
      <c r="H180" s="80" t="str">
        <f>VLOOKUP(G180,'01. TH'!$B:$E,3,0)</f>
        <v/>
      </c>
      <c r="I180" s="184" t="s">
        <v>858</v>
      </c>
      <c r="J180" s="80" t="s">
        <v>947</v>
      </c>
      <c r="K180" s="80" t="str">
        <f>IF(COUNTIF('TT BTSC'!$D:$D,B180)&gt;0,"Hư hỏng","Bình thường")</f>
        <v>Bình thường</v>
      </c>
      <c r="L180" s="102"/>
      <c r="M180" s="141" t="s">
        <v>890</v>
      </c>
      <c r="N180" s="80" t="s">
        <v>673</v>
      </c>
      <c r="O180" s="108" t="s">
        <v>948</v>
      </c>
      <c r="P180" s="80">
        <v>2022.0</v>
      </c>
      <c r="Q180" s="80" t="s">
        <v>949</v>
      </c>
      <c r="R180" s="80" t="s">
        <v>950</v>
      </c>
      <c r="S180" s="108">
        <v>203080.0</v>
      </c>
      <c r="T180" s="110" t="s">
        <v>960</v>
      </c>
      <c r="U180" s="110">
        <v>0.5</v>
      </c>
      <c r="V180" s="112">
        <v>0.0</v>
      </c>
      <c r="W180" s="112"/>
      <c r="X180" s="112"/>
      <c r="Y180" s="112"/>
    </row>
    <row r="181" ht="13.5" customHeight="1" outlineLevel="1">
      <c r="A181" s="80">
        <f t="shared" si="8"/>
        <v>20</v>
      </c>
      <c r="B181" s="86" t="s">
        <v>961</v>
      </c>
      <c r="C181" s="86"/>
      <c r="D181" s="95" t="s">
        <v>962</v>
      </c>
      <c r="E181" s="95"/>
      <c r="F181" s="95" t="s">
        <v>154</v>
      </c>
      <c r="G181" s="86" t="s">
        <v>946</v>
      </c>
      <c r="H181" s="80" t="str">
        <f>VLOOKUP(G181,'01. TH'!$B:$E,3,0)</f>
        <v/>
      </c>
      <c r="I181" s="184" t="s">
        <v>858</v>
      </c>
      <c r="J181" s="80" t="s">
        <v>947</v>
      </c>
      <c r="K181" s="80" t="str">
        <f>IF(COUNTIF('TT BTSC'!$D:$D,B181)&gt;0,"Hư hỏng","Bình thường")</f>
        <v>Bình thường</v>
      </c>
      <c r="L181" s="102"/>
      <c r="M181" s="141" t="s">
        <v>890</v>
      </c>
      <c r="N181" s="80" t="s">
        <v>673</v>
      </c>
      <c r="O181" s="108" t="s">
        <v>948</v>
      </c>
      <c r="P181" s="80">
        <v>2022.0</v>
      </c>
      <c r="Q181" s="80" t="s">
        <v>949</v>
      </c>
      <c r="R181" s="80" t="s">
        <v>950</v>
      </c>
      <c r="S181" s="108">
        <v>203082.0</v>
      </c>
      <c r="T181" s="110" t="s">
        <v>963</v>
      </c>
      <c r="U181" s="110">
        <v>0.5</v>
      </c>
      <c r="V181" s="112">
        <v>0.0</v>
      </c>
      <c r="W181" s="112"/>
      <c r="X181" s="112"/>
      <c r="Y181" s="112"/>
    </row>
    <row r="182" ht="13.5" customHeight="1" outlineLevel="1">
      <c r="A182" s="80">
        <f t="shared" si="8"/>
        <v>21</v>
      </c>
      <c r="B182" s="84" t="s">
        <v>964</v>
      </c>
      <c r="C182" s="86"/>
      <c r="D182" s="95" t="str">
        <f>IFERROR(VLOOKUP(B182,' 02.1 KLH-CN MÃ BRAVO MM'!$B:$C,2,0),"")</f>
        <v>A23-CCM-001</v>
      </c>
      <c r="E182" s="95"/>
      <c r="F182" s="86" t="s">
        <v>139</v>
      </c>
      <c r="G182" s="86" t="s">
        <v>965</v>
      </c>
      <c r="H182" s="80" t="str">
        <f>VLOOKUP(G182,'01. TH'!$B:$E,3,0)</f>
        <v/>
      </c>
      <c r="I182" s="184" t="s">
        <v>858</v>
      </c>
      <c r="J182" s="99" t="s">
        <v>966</v>
      </c>
      <c r="K182" s="80" t="str">
        <f>IF(COUNTIF('TT BTSC'!$D:$D,B182)&gt;0,"Hư hỏng","Bình thường")</f>
        <v>Bình thường</v>
      </c>
      <c r="L182" s="102">
        <v>0.7</v>
      </c>
      <c r="M182" s="129" t="s">
        <v>967</v>
      </c>
      <c r="N182" s="106" t="s">
        <v>673</v>
      </c>
      <c r="O182" s="108" t="s">
        <v>968</v>
      </c>
      <c r="P182" s="80"/>
      <c r="Q182" s="80" t="s">
        <v>969</v>
      </c>
      <c r="R182" s="106" t="s">
        <v>970</v>
      </c>
      <c r="S182" s="108" t="s">
        <v>971</v>
      </c>
      <c r="T182" s="110" t="s">
        <v>972</v>
      </c>
      <c r="U182" s="110">
        <v>0.5</v>
      </c>
      <c r="V182" s="112">
        <v>0.0</v>
      </c>
      <c r="W182" s="112"/>
      <c r="X182" s="112"/>
      <c r="Y182" s="112"/>
    </row>
    <row r="183" ht="13.5" customHeight="1" outlineLevel="1">
      <c r="A183" s="80">
        <f t="shared" si="8"/>
        <v>22</v>
      </c>
      <c r="B183" s="186" t="s">
        <v>973</v>
      </c>
      <c r="C183" s="161"/>
      <c r="D183" s="137" t="s">
        <v>974</v>
      </c>
      <c r="E183" s="187"/>
      <c r="F183" s="86" t="s">
        <v>139</v>
      </c>
      <c r="G183" s="86" t="s">
        <v>975</v>
      </c>
      <c r="H183" s="80" t="str">
        <f>VLOOKUP(G183,'01. TH'!$B:$E,3,0)</f>
        <v/>
      </c>
      <c r="I183" s="80" t="s">
        <v>858</v>
      </c>
      <c r="J183" s="137" t="s">
        <v>976</v>
      </c>
      <c r="K183" s="80" t="str">
        <f>IF(COUNTIF('TT BTSC'!$D:$D,B183)&gt;0,"Hư hỏng","Bình thường")</f>
        <v>Bình thường</v>
      </c>
      <c r="L183" s="187"/>
      <c r="M183" s="141" t="s">
        <v>890</v>
      </c>
      <c r="N183" s="137" t="s">
        <v>978</v>
      </c>
      <c r="O183" s="186" t="s">
        <v>979</v>
      </c>
      <c r="P183" s="188"/>
      <c r="Q183" s="137" t="s">
        <v>980</v>
      </c>
      <c r="R183" s="137" t="s">
        <v>981</v>
      </c>
      <c r="S183" s="186">
        <v>341.0</v>
      </c>
      <c r="T183" s="186" t="s">
        <v>982</v>
      </c>
      <c r="U183" s="186">
        <v>2.3</v>
      </c>
      <c r="V183" s="112">
        <v>0.0</v>
      </c>
      <c r="W183" s="112"/>
      <c r="X183" s="112"/>
      <c r="Y183" s="112"/>
    </row>
    <row r="184" ht="13.5" customHeight="1" outlineLevel="1">
      <c r="A184" s="80">
        <f t="shared" si="8"/>
        <v>23</v>
      </c>
      <c r="B184" s="186" t="s">
        <v>983</v>
      </c>
      <c r="C184" s="161"/>
      <c r="D184" s="137" t="s">
        <v>984</v>
      </c>
      <c r="E184" s="187"/>
      <c r="F184" s="95" t="s">
        <v>154</v>
      </c>
      <c r="G184" s="161" t="s">
        <v>985</v>
      </c>
      <c r="H184" s="80" t="str">
        <f>VLOOKUP(G184,'01. TH'!$B:$E,3,0)</f>
        <v/>
      </c>
      <c r="I184" s="80" t="s">
        <v>858</v>
      </c>
      <c r="J184" s="137" t="s">
        <v>986</v>
      </c>
      <c r="K184" s="80" t="str">
        <f>IF(COUNTIF('TT BTSC'!$D:$D,B184)&gt;0,"Hư hỏng","Bình thường")</f>
        <v>Bình thường</v>
      </c>
      <c r="L184" s="187"/>
      <c r="M184" s="104" t="s">
        <v>890</v>
      </c>
      <c r="N184" s="137" t="s">
        <v>987</v>
      </c>
      <c r="O184" s="186" t="s">
        <v>148</v>
      </c>
      <c r="P184" s="137">
        <v>2025.0</v>
      </c>
      <c r="Q184" s="137" t="s">
        <v>988</v>
      </c>
      <c r="R184" s="137" t="s">
        <v>970</v>
      </c>
      <c r="S184" s="186" t="s">
        <v>989</v>
      </c>
      <c r="T184" s="186" t="s">
        <v>990</v>
      </c>
      <c r="U184" s="186">
        <v>1.8</v>
      </c>
      <c r="V184" s="112">
        <v>0.0</v>
      </c>
      <c r="W184" s="112"/>
      <c r="X184" s="112"/>
      <c r="Y184" s="112"/>
    </row>
    <row r="185" ht="13.5" customHeight="1" outlineLevel="1">
      <c r="A185" s="80">
        <f t="shared" si="8"/>
        <v>24</v>
      </c>
      <c r="B185" s="186" t="s">
        <v>991</v>
      </c>
      <c r="C185" s="161"/>
      <c r="D185" s="137" t="s">
        <v>992</v>
      </c>
      <c r="E185" s="187"/>
      <c r="F185" s="95" t="s">
        <v>154</v>
      </c>
      <c r="G185" s="161" t="s">
        <v>985</v>
      </c>
      <c r="H185" s="80" t="str">
        <f>VLOOKUP(G185,'01. TH'!$B:$E,3,0)</f>
        <v/>
      </c>
      <c r="I185" s="80" t="s">
        <v>858</v>
      </c>
      <c r="J185" s="137" t="s">
        <v>986</v>
      </c>
      <c r="K185" s="80" t="str">
        <f>IF(COUNTIF('TT BTSC'!$D:$D,B185)&gt;0,"Hư hỏng","Bình thường")</f>
        <v>Bình thường</v>
      </c>
      <c r="L185" s="187"/>
      <c r="M185" s="104" t="s">
        <v>890</v>
      </c>
      <c r="N185" s="137" t="s">
        <v>987</v>
      </c>
      <c r="O185" s="186" t="s">
        <v>148</v>
      </c>
      <c r="P185" s="137">
        <v>2025.0</v>
      </c>
      <c r="Q185" s="137" t="s">
        <v>988</v>
      </c>
      <c r="R185" s="137" t="s">
        <v>970</v>
      </c>
      <c r="S185" s="186" t="s">
        <v>993</v>
      </c>
      <c r="T185" s="186" t="s">
        <v>994</v>
      </c>
      <c r="U185" s="186">
        <v>1.8</v>
      </c>
      <c r="V185" s="112">
        <v>0.0</v>
      </c>
      <c r="W185" s="112"/>
      <c r="X185" s="112"/>
      <c r="Y185" s="112"/>
    </row>
    <row r="186" ht="13.5" customHeight="1" outlineLevel="1">
      <c r="A186" s="80">
        <f t="shared" si="8"/>
        <v>25</v>
      </c>
      <c r="B186" s="186" t="s">
        <v>995</v>
      </c>
      <c r="C186" s="161"/>
      <c r="D186" s="137" t="s">
        <v>996</v>
      </c>
      <c r="E186" s="187"/>
      <c r="F186" s="95" t="s">
        <v>154</v>
      </c>
      <c r="G186" s="161" t="s">
        <v>985</v>
      </c>
      <c r="H186" s="80" t="str">
        <f>VLOOKUP(G186,'01. TH'!$B:$E,3,0)</f>
        <v/>
      </c>
      <c r="I186" s="80" t="s">
        <v>858</v>
      </c>
      <c r="J186" s="137" t="s">
        <v>986</v>
      </c>
      <c r="K186" s="80" t="str">
        <f>IF(COUNTIF('TT BTSC'!$D:$D,B186)&gt;0,"Hư hỏng","Bình thường")</f>
        <v>Bình thường</v>
      </c>
      <c r="L186" s="187"/>
      <c r="M186" s="104" t="s">
        <v>890</v>
      </c>
      <c r="N186" s="137" t="s">
        <v>987</v>
      </c>
      <c r="O186" s="186" t="s">
        <v>148</v>
      </c>
      <c r="P186" s="137">
        <v>2025.0</v>
      </c>
      <c r="Q186" s="137" t="s">
        <v>988</v>
      </c>
      <c r="R186" s="137" t="s">
        <v>970</v>
      </c>
      <c r="S186" s="186" t="s">
        <v>997</v>
      </c>
      <c r="T186" s="186" t="s">
        <v>998</v>
      </c>
      <c r="U186" s="186">
        <v>1.8</v>
      </c>
      <c r="V186" s="112">
        <v>0.0</v>
      </c>
      <c r="W186" s="112"/>
      <c r="X186" s="112"/>
      <c r="Y186" s="112"/>
    </row>
    <row r="187" ht="13.5" customHeight="1" outlineLevel="1">
      <c r="A187" s="80">
        <f t="shared" si="8"/>
        <v>26</v>
      </c>
      <c r="B187" s="186" t="s">
        <v>999</v>
      </c>
      <c r="C187" s="161"/>
      <c r="D187" s="137" t="s">
        <v>1000</v>
      </c>
      <c r="E187" s="187"/>
      <c r="F187" s="95" t="s">
        <v>154</v>
      </c>
      <c r="G187" s="161" t="s">
        <v>985</v>
      </c>
      <c r="H187" s="80" t="str">
        <f>VLOOKUP(G187,'01. TH'!$B:$E,3,0)</f>
        <v/>
      </c>
      <c r="I187" s="80" t="s">
        <v>858</v>
      </c>
      <c r="J187" s="137" t="s">
        <v>986</v>
      </c>
      <c r="K187" s="80" t="str">
        <f>IF(COUNTIF('TT BTSC'!$D:$D,B187)&gt;0,"Hư hỏng","Bình thường")</f>
        <v>Bình thường</v>
      </c>
      <c r="L187" s="187"/>
      <c r="M187" s="104" t="s">
        <v>890</v>
      </c>
      <c r="N187" s="137" t="s">
        <v>987</v>
      </c>
      <c r="O187" s="186" t="s">
        <v>148</v>
      </c>
      <c r="P187" s="137">
        <v>2025.0</v>
      </c>
      <c r="Q187" s="137" t="s">
        <v>988</v>
      </c>
      <c r="R187" s="137" t="s">
        <v>970</v>
      </c>
      <c r="S187" s="186" t="s">
        <v>1001</v>
      </c>
      <c r="T187" s="186" t="s">
        <v>1002</v>
      </c>
      <c r="U187" s="186">
        <v>1.8</v>
      </c>
      <c r="V187" s="112">
        <v>0.0</v>
      </c>
      <c r="W187" s="112"/>
      <c r="X187" s="112"/>
      <c r="Y187" s="112"/>
    </row>
    <row r="188" ht="13.5" customHeight="1" outlineLevel="1">
      <c r="A188" s="189"/>
      <c r="B188" s="141"/>
      <c r="C188" s="161"/>
      <c r="D188" s="190"/>
      <c r="E188" s="187"/>
      <c r="F188" s="187"/>
      <c r="G188" s="187"/>
      <c r="H188" s="80" t="str">
        <f>VLOOKUP(G188,'01. TH'!$B:$E,3,0)</f>
        <v>#N/A</v>
      </c>
      <c r="I188" s="190"/>
      <c r="J188" s="191"/>
      <c r="K188" s="80" t="str">
        <f>IF(COUNTIF('TT BTSC'!$D:$D,B188)&gt;0,"Hư hỏng","Bình thường")</f>
        <v>Bình thường</v>
      </c>
      <c r="L188" s="187"/>
      <c r="M188" s="190"/>
      <c r="N188" s="187"/>
      <c r="O188" s="190"/>
      <c r="P188" s="190"/>
      <c r="Q188" s="190"/>
      <c r="R188" s="190"/>
      <c r="S188" s="190"/>
      <c r="T188" s="190"/>
      <c r="U188" s="190"/>
      <c r="V188" s="63"/>
      <c r="W188" s="63"/>
      <c r="X188" s="63"/>
      <c r="Y188" s="63"/>
    </row>
    <row r="189" ht="13.5" customHeight="1" outlineLevel="1">
      <c r="A189" s="189"/>
      <c r="B189" s="141"/>
      <c r="C189" s="161" t="s">
        <v>1004</v>
      </c>
      <c r="D189" s="190"/>
      <c r="E189" s="187"/>
      <c r="F189" s="187"/>
      <c r="G189" s="187"/>
      <c r="H189" s="80" t="str">
        <f>VLOOKUP(G189,'01. TH'!$B:$E,3,0)</f>
        <v>#N/A</v>
      </c>
      <c r="I189" s="190"/>
      <c r="J189" s="191"/>
      <c r="K189" s="80" t="str">
        <f>IF(COUNTIF('TT BTSC'!$D:$D,B189)&gt;0,"Hư hỏng","Bình thường")</f>
        <v>Bình thường</v>
      </c>
      <c r="L189" s="187"/>
      <c r="M189" s="190"/>
      <c r="N189" s="187"/>
      <c r="O189" s="190"/>
      <c r="P189" s="190"/>
      <c r="Q189" s="190"/>
      <c r="R189" s="190"/>
      <c r="S189" s="190"/>
      <c r="T189" s="190"/>
      <c r="U189" s="190"/>
      <c r="V189" s="63"/>
      <c r="W189" s="63"/>
      <c r="X189" s="63"/>
      <c r="Y189" s="63"/>
    </row>
    <row r="190" ht="13.5" customHeight="1">
      <c r="A190" s="151" t="s">
        <v>1005</v>
      </c>
      <c r="B190" s="152" t="s">
        <v>1006</v>
      </c>
      <c r="C190" s="72">
        <f>COUNTA($B$191:$B$217)</f>
        <v>25</v>
      </c>
      <c r="D190" s="75" t="str">
        <f>IFERROR(VLOOKUP(B190,' 02.1 KLH-CN MÃ BRAVO MM'!$B:$C,2,0),"")</f>
        <v/>
      </c>
      <c r="E190" s="72"/>
      <c r="F190" s="72"/>
      <c r="G190" s="72"/>
      <c r="H190" s="75"/>
      <c r="I190" s="75"/>
      <c r="J190" s="79"/>
      <c r="K190" s="75"/>
      <c r="L190" s="72"/>
      <c r="M190" s="75"/>
      <c r="N190" s="72"/>
      <c r="O190" s="75"/>
      <c r="P190" s="75"/>
      <c r="Q190" s="75"/>
      <c r="R190" s="75"/>
      <c r="S190" s="75"/>
      <c r="T190" s="75"/>
      <c r="U190" s="75"/>
      <c r="V190" s="63"/>
      <c r="W190" s="63"/>
      <c r="X190" s="63"/>
      <c r="Y190" s="63"/>
    </row>
    <row r="191" ht="13.5" customHeight="1" outlineLevel="1">
      <c r="A191" s="80">
        <v>1.0</v>
      </c>
      <c r="B191" s="84" t="s">
        <v>1007</v>
      </c>
      <c r="C191" s="84" t="s">
        <v>1008</v>
      </c>
      <c r="D191" s="95" t="str">
        <f>IFERROR(VLOOKUP(B191,' 02.1 KLH-CN MÃ BRAVO MM'!$B:$C,2,0),"")</f>
        <v>A23-MKE-016</v>
      </c>
      <c r="E191" s="95"/>
      <c r="F191" s="95" t="s">
        <v>79</v>
      </c>
      <c r="G191" s="86" t="s">
        <v>788</v>
      </c>
      <c r="H191" s="80" t="str">
        <f>VLOOKUP(G191,'01. TH'!$B:$E,3,0)</f>
        <v>3445 x 1865 x 2535</v>
      </c>
      <c r="I191" s="80" t="s">
        <v>1010</v>
      </c>
      <c r="J191" s="99"/>
      <c r="K191" s="80" t="str">
        <f>IF(COUNTIF('TT BTSC'!$D:$D,B191)&gt;0,"Hư hỏng","Bình thường")</f>
        <v>Bình thường</v>
      </c>
      <c r="L191" s="106"/>
      <c r="M191" s="104"/>
      <c r="N191" s="106" t="s">
        <v>454</v>
      </c>
      <c r="O191" s="108" t="s">
        <v>84</v>
      </c>
      <c r="P191" s="80">
        <v>2013.0</v>
      </c>
      <c r="Q191" s="80" t="s">
        <v>791</v>
      </c>
      <c r="R191" s="106" t="s">
        <v>792</v>
      </c>
      <c r="S191" s="108">
        <v>57646.0</v>
      </c>
      <c r="T191" s="110" t="s">
        <v>96</v>
      </c>
      <c r="U191" s="110">
        <v>3.5</v>
      </c>
      <c r="V191" s="112">
        <v>90.0</v>
      </c>
      <c r="W191" s="112"/>
      <c r="X191" s="112"/>
      <c r="Y191" s="112"/>
    </row>
    <row r="192" ht="13.5" customHeight="1" outlineLevel="1">
      <c r="A192" s="80">
        <f t="shared" ref="A192:A215" si="9">A191+1</f>
        <v>2</v>
      </c>
      <c r="B192" s="84" t="s">
        <v>1012</v>
      </c>
      <c r="C192" s="84" t="s">
        <v>1013</v>
      </c>
      <c r="D192" s="95" t="str">
        <f>IFERROR(VLOOKUP(B192,' 02.1 KLH-CN MÃ BRAVO MM'!$B:$C,2,0),"")</f>
        <v>A23-MKE-017</v>
      </c>
      <c r="E192" s="95"/>
      <c r="F192" s="95" t="s">
        <v>79</v>
      </c>
      <c r="G192" s="86" t="s">
        <v>788</v>
      </c>
      <c r="H192" s="80" t="str">
        <f>VLOOKUP(G192,'01. TH'!$B:$E,3,0)</f>
        <v>3445 x 1865 x 2535</v>
      </c>
      <c r="I192" s="80" t="s">
        <v>1010</v>
      </c>
      <c r="J192" s="99"/>
      <c r="K192" s="80" t="str">
        <f>IF(COUNTIF('TT BTSC'!$D:$D,B192)&gt;0,"Hư hỏng","Bình thường")</f>
        <v>Bình thường</v>
      </c>
      <c r="L192" s="106"/>
      <c r="M192" s="104"/>
      <c r="N192" s="106" t="s">
        <v>454</v>
      </c>
      <c r="O192" s="108" t="s">
        <v>84</v>
      </c>
      <c r="P192" s="80">
        <v>2013.0</v>
      </c>
      <c r="Q192" s="80" t="s">
        <v>791</v>
      </c>
      <c r="R192" s="106" t="s">
        <v>792</v>
      </c>
      <c r="S192" s="108">
        <v>56797.0</v>
      </c>
      <c r="T192" s="110" t="s">
        <v>96</v>
      </c>
      <c r="U192" s="110">
        <v>3.5</v>
      </c>
      <c r="V192" s="112">
        <v>90.0</v>
      </c>
      <c r="W192" s="112"/>
      <c r="X192" s="112"/>
      <c r="Y192" s="112"/>
    </row>
    <row r="193" ht="12.75" customHeight="1" outlineLevel="1">
      <c r="A193" s="80">
        <f t="shared" si="9"/>
        <v>3</v>
      </c>
      <c r="B193" s="192" t="s">
        <v>1014</v>
      </c>
      <c r="C193" s="192" t="s">
        <v>1015</v>
      </c>
      <c r="D193" s="95" t="str">
        <f>IFERROR(VLOOKUP(B193,' 02.1 KLH-CN MÃ BRAVO MM'!$B:$C,2,0),"")</f>
        <v>A23-MKE-019</v>
      </c>
      <c r="E193" s="9"/>
      <c r="F193" s="95" t="s">
        <v>79</v>
      </c>
      <c r="G193" s="86" t="s">
        <v>857</v>
      </c>
      <c r="H193" s="80" t="str">
        <f>VLOOKUP(G193,'01. TH'!$B:$E,3,0)</f>
        <v>3226 x 1570 x 1545</v>
      </c>
      <c r="I193" s="137" t="s">
        <v>1010</v>
      </c>
      <c r="J193" s="193"/>
      <c r="K193" s="80" t="s">
        <v>865</v>
      </c>
      <c r="L193" s="6"/>
      <c r="M193" s="141" t="s">
        <v>866</v>
      </c>
      <c r="N193" s="6" t="s">
        <v>743</v>
      </c>
      <c r="O193" s="186" t="s">
        <v>148</v>
      </c>
      <c r="P193" s="137">
        <v>2018.0</v>
      </c>
      <c r="Q193" s="137" t="s">
        <v>860</v>
      </c>
      <c r="R193" s="6" t="s">
        <v>861</v>
      </c>
      <c r="S193" s="186" t="s">
        <v>1016</v>
      </c>
      <c r="T193" s="140" t="s">
        <v>96</v>
      </c>
      <c r="U193" s="110">
        <v>2.5</v>
      </c>
      <c r="V193" s="112">
        <v>0.0</v>
      </c>
      <c r="W193" s="112"/>
      <c r="X193" s="112"/>
      <c r="Y193" s="112"/>
    </row>
    <row r="194" ht="13.5" customHeight="1" outlineLevel="1">
      <c r="A194" s="80">
        <f t="shared" si="9"/>
        <v>4</v>
      </c>
      <c r="B194" s="84" t="s">
        <v>1017</v>
      </c>
      <c r="C194" s="84" t="s">
        <v>1018</v>
      </c>
      <c r="D194" s="95" t="str">
        <f>IFERROR(VLOOKUP(B194,' 02.1 KLH-CN MÃ BRAVO MM'!$B:$C,2,0),"")</f>
        <v>A23-MKE-020</v>
      </c>
      <c r="E194" s="95"/>
      <c r="F194" s="95" t="s">
        <v>79</v>
      </c>
      <c r="G194" s="86" t="s">
        <v>857</v>
      </c>
      <c r="H194" s="80" t="str">
        <f>VLOOKUP(G194,'01. TH'!$B:$E,3,0)</f>
        <v>3226 x 1570 x 1545</v>
      </c>
      <c r="I194" s="80" t="s">
        <v>1010</v>
      </c>
      <c r="J194" s="99"/>
      <c r="K194" s="80" t="str">
        <f>IF(COUNTIF('TT BTSC'!$D:$D,B194)&gt;0,"Hư hỏng","Bình thường")</f>
        <v>Bình thường</v>
      </c>
      <c r="L194" s="106"/>
      <c r="M194" s="141" t="s">
        <v>866</v>
      </c>
      <c r="N194" s="106" t="s">
        <v>743</v>
      </c>
      <c r="O194" s="108" t="s">
        <v>148</v>
      </c>
      <c r="P194" s="80">
        <v>2018.0</v>
      </c>
      <c r="Q194" s="80" t="s">
        <v>860</v>
      </c>
      <c r="R194" s="106" t="s">
        <v>861</v>
      </c>
      <c r="S194" s="108" t="s">
        <v>1022</v>
      </c>
      <c r="T194" s="110" t="s">
        <v>96</v>
      </c>
      <c r="U194" s="110">
        <v>2.5</v>
      </c>
      <c r="V194" s="112">
        <v>0.0</v>
      </c>
      <c r="W194" s="112"/>
      <c r="X194" s="112"/>
      <c r="Y194" s="112"/>
    </row>
    <row r="195" ht="13.5" customHeight="1" outlineLevel="1">
      <c r="A195" s="80">
        <f t="shared" si="9"/>
        <v>5</v>
      </c>
      <c r="B195" s="84" t="s">
        <v>1023</v>
      </c>
      <c r="C195" s="86" t="s">
        <v>1024</v>
      </c>
      <c r="D195" s="95" t="s">
        <v>1025</v>
      </c>
      <c r="E195" s="95"/>
      <c r="F195" s="95" t="s">
        <v>79</v>
      </c>
      <c r="G195" s="86" t="s">
        <v>788</v>
      </c>
      <c r="H195" s="80" t="s">
        <v>108</v>
      </c>
      <c r="I195" s="80" t="s">
        <v>1010</v>
      </c>
      <c r="J195" s="80" t="s">
        <v>1026</v>
      </c>
      <c r="K195" s="80" t="s">
        <v>1027</v>
      </c>
      <c r="L195" s="106"/>
      <c r="M195" s="129" t="s">
        <v>1028</v>
      </c>
      <c r="N195" s="106" t="s">
        <v>454</v>
      </c>
      <c r="O195" s="108" t="s">
        <v>84</v>
      </c>
      <c r="P195" s="80">
        <v>2013.0</v>
      </c>
      <c r="Q195" s="80" t="s">
        <v>791</v>
      </c>
      <c r="R195" s="106" t="s">
        <v>792</v>
      </c>
      <c r="S195" s="108">
        <v>57273.0</v>
      </c>
      <c r="T195" s="110" t="s">
        <v>96</v>
      </c>
      <c r="U195" s="110">
        <v>3.5</v>
      </c>
      <c r="V195" s="112">
        <v>90.0</v>
      </c>
      <c r="W195" s="112"/>
      <c r="X195" s="112"/>
      <c r="Y195" s="112"/>
    </row>
    <row r="196" ht="13.5" customHeight="1" outlineLevel="1">
      <c r="A196" s="80">
        <f t="shared" si="9"/>
        <v>6</v>
      </c>
      <c r="B196" s="86" t="s">
        <v>1029</v>
      </c>
      <c r="C196" s="84" t="s">
        <v>1030</v>
      </c>
      <c r="D196" s="95" t="str">
        <f>IFERROR(VLOOKUP(B196,' 02.1 KLH-CN MÃ BRAVO MM'!$B:$C,2,0),"")</f>
        <v>A23-XPT-002</v>
      </c>
      <c r="E196" s="95"/>
      <c r="F196" s="95" t="s">
        <v>79</v>
      </c>
      <c r="G196" s="86" t="s">
        <v>1031</v>
      </c>
      <c r="H196" s="80" t="str">
        <f>VLOOKUP(G196,'01. TH'!$B:$E,3,0)</f>
        <v/>
      </c>
      <c r="I196" s="80" t="s">
        <v>1010</v>
      </c>
      <c r="J196" s="99"/>
      <c r="K196" s="80" t="str">
        <f>IF(COUNTIF('TT BTSC'!$D:$D,B196)&gt;0,"Hư hỏng","Bình thường")</f>
        <v>Bình thường</v>
      </c>
      <c r="L196" s="106"/>
      <c r="M196" s="104"/>
      <c r="N196" s="106" t="s">
        <v>1032</v>
      </c>
      <c r="O196" s="108" t="s">
        <v>103</v>
      </c>
      <c r="P196" s="80">
        <v>1992.0</v>
      </c>
      <c r="Q196" s="80" t="s">
        <v>1033</v>
      </c>
      <c r="R196" s="106"/>
      <c r="S196" s="108" t="s">
        <v>1034</v>
      </c>
      <c r="T196" s="110" t="s">
        <v>1035</v>
      </c>
      <c r="U196" s="110">
        <v>3.75</v>
      </c>
      <c r="V196" s="112">
        <v>0.0</v>
      </c>
      <c r="W196" s="112"/>
      <c r="X196" s="112"/>
      <c r="Y196" s="112"/>
    </row>
    <row r="197" ht="13.5" customHeight="1" outlineLevel="1">
      <c r="A197" s="80">
        <f t="shared" si="9"/>
        <v>7</v>
      </c>
      <c r="B197" s="84" t="s">
        <v>1009</v>
      </c>
      <c r="C197" s="84" t="s">
        <v>1036</v>
      </c>
      <c r="D197" s="95" t="str">
        <f>IFERROR(VLOOKUP(B197,' 02.1 KLH-CN MÃ BRAVO MM'!$B:$C,2,0),"")</f>
        <v>ATT-A23-0035</v>
      </c>
      <c r="E197" s="95"/>
      <c r="F197" s="95" t="s">
        <v>79</v>
      </c>
      <c r="G197" s="86" t="s">
        <v>219</v>
      </c>
      <c r="H197" s="80" t="str">
        <f>VLOOKUP(G197,'01. TH'!$B:$E,3,0)</f>
        <v>5260 x 1760 x 2415</v>
      </c>
      <c r="I197" s="80" t="s">
        <v>1010</v>
      </c>
      <c r="J197" s="99"/>
      <c r="K197" s="80" t="str">
        <f>IF(COUNTIF('TT BTSC'!$D:$D,B197)&gt;0,"Hư hỏng","Bình thường")</f>
        <v>Bình thường</v>
      </c>
      <c r="L197" s="106"/>
      <c r="M197" s="104"/>
      <c r="N197" s="106" t="s">
        <v>123</v>
      </c>
      <c r="O197" s="108" t="s">
        <v>84</v>
      </c>
      <c r="P197" s="80">
        <v>2006.0</v>
      </c>
      <c r="Q197" s="80" t="s">
        <v>223</v>
      </c>
      <c r="R197" s="106" t="s">
        <v>462</v>
      </c>
      <c r="S197" s="108">
        <v>8332.0</v>
      </c>
      <c r="T197" s="110" t="s">
        <v>96</v>
      </c>
      <c r="U197" s="140">
        <v>4.0</v>
      </c>
      <c r="V197" s="51"/>
      <c r="W197" s="51"/>
      <c r="X197" s="51"/>
      <c r="Y197" s="51"/>
    </row>
    <row r="198" ht="13.5" customHeight="1" outlineLevel="1">
      <c r="A198" s="80">
        <f t="shared" si="9"/>
        <v>8</v>
      </c>
      <c r="B198" s="84" t="s">
        <v>1037</v>
      </c>
      <c r="C198" s="86"/>
      <c r="D198" s="95" t="str">
        <f>IFERROR(VLOOKUP(B198,' 02.1 KLH-CN MÃ BRAVO MM'!$B:$C,2,0),"")</f>
        <v>ATT-A22-0315</v>
      </c>
      <c r="E198" s="80" t="s">
        <v>1038</v>
      </c>
      <c r="F198" s="95" t="s">
        <v>1039</v>
      </c>
      <c r="G198" s="86" t="s">
        <v>896</v>
      </c>
      <c r="H198" s="80" t="str">
        <f>VLOOKUP(G198,'01. TH'!$B:$E,3,0)</f>
        <v>4730 x 1750 x 2100</v>
      </c>
      <c r="I198" s="80" t="s">
        <v>1010</v>
      </c>
      <c r="J198" s="99">
        <v>45566.0</v>
      </c>
      <c r="K198" s="80" t="str">
        <f>IF(COUNTIF('TT BTSC'!$D:$D,B198)&gt;0,"Hư hỏng","Bình thường")</f>
        <v>Bình thường</v>
      </c>
      <c r="L198" s="102">
        <v>0.98</v>
      </c>
      <c r="M198" s="104"/>
      <c r="N198" s="106" t="s">
        <v>897</v>
      </c>
      <c r="O198" s="108" t="s">
        <v>148</v>
      </c>
      <c r="P198" s="80">
        <v>2021.0</v>
      </c>
      <c r="Q198" s="80" t="s">
        <v>898</v>
      </c>
      <c r="R198" s="106" t="s">
        <v>158</v>
      </c>
      <c r="S198" s="108" t="s">
        <v>1041</v>
      </c>
      <c r="T198" s="110" t="s">
        <v>1042</v>
      </c>
      <c r="U198" s="110"/>
      <c r="V198" s="112">
        <v>60.0</v>
      </c>
      <c r="W198" s="112"/>
      <c r="X198" s="112"/>
      <c r="Y198" s="112"/>
    </row>
    <row r="199" ht="27.75" customHeight="1" outlineLevel="1">
      <c r="A199" s="80">
        <f t="shared" si="9"/>
        <v>9</v>
      </c>
      <c r="B199" s="192" t="s">
        <v>1043</v>
      </c>
      <c r="C199" s="192" t="s">
        <v>154</v>
      </c>
      <c r="D199" s="95" t="str">
        <f>IFERROR(VLOOKUP(B199,' 02.1 KLH-CN MÃ BRAVO MM'!$B:$C,2,0),"")</f>
        <v>A23-XTA-019</v>
      </c>
      <c r="E199" s="9"/>
      <c r="F199" s="95" t="s">
        <v>1039</v>
      </c>
      <c r="G199" s="161" t="s">
        <v>919</v>
      </c>
      <c r="H199" s="80" t="str">
        <f>VLOOKUP(G199,'01. TH'!$B:$E,3,0)</f>
        <v>5250 x 2170 x 2520</v>
      </c>
      <c r="I199" s="137" t="s">
        <v>1010</v>
      </c>
      <c r="J199" s="193" t="s">
        <v>966</v>
      </c>
      <c r="K199" s="80" t="str">
        <f>IF(COUNTIF('TT BTSC'!$D:$D,B199)&gt;0,"Hư hỏng","Bình thường")</f>
        <v>Bình thường</v>
      </c>
      <c r="L199" s="6"/>
      <c r="M199" s="141" t="s">
        <v>1045</v>
      </c>
      <c r="N199" s="6" t="s">
        <v>466</v>
      </c>
      <c r="O199" s="186" t="s">
        <v>648</v>
      </c>
      <c r="P199" s="137">
        <v>2024.0</v>
      </c>
      <c r="Q199" s="80" t="s">
        <v>921</v>
      </c>
      <c r="R199" s="6" t="s">
        <v>922</v>
      </c>
      <c r="S199" s="186" t="s">
        <v>1046</v>
      </c>
      <c r="T199" s="140" t="s">
        <v>1047</v>
      </c>
      <c r="U199" s="110">
        <v>0.33</v>
      </c>
      <c r="V199" s="112">
        <v>75.0</v>
      </c>
      <c r="W199" s="112"/>
      <c r="X199" s="112"/>
      <c r="Y199" s="112"/>
    </row>
    <row r="200" ht="43.5" customHeight="1" outlineLevel="1">
      <c r="A200" s="80">
        <f t="shared" si="9"/>
        <v>10</v>
      </c>
      <c r="B200" s="192" t="s">
        <v>1048</v>
      </c>
      <c r="C200" s="192" t="s">
        <v>154</v>
      </c>
      <c r="D200" s="95" t="str">
        <f>IFERROR(VLOOKUP(B200,' 02.1 KLH-CN MÃ BRAVO MM'!$B:$C,2,0),"")</f>
        <v>A23-XTA-020</v>
      </c>
      <c r="E200" s="9"/>
      <c r="F200" s="95" t="s">
        <v>1039</v>
      </c>
      <c r="G200" s="161" t="s">
        <v>919</v>
      </c>
      <c r="H200" s="80" t="str">
        <f>VLOOKUP(G200,'01. TH'!$B:$E,3,0)</f>
        <v>5250 x 2170 x 2520</v>
      </c>
      <c r="I200" s="137" t="s">
        <v>1010</v>
      </c>
      <c r="J200" s="193" t="s">
        <v>966</v>
      </c>
      <c r="K200" s="80" t="str">
        <f>IF(COUNTIF('TT BTSC'!$D:$D,B200)&gt;0,"Hư hỏng","Bình thường")</f>
        <v>Bình thường</v>
      </c>
      <c r="L200" s="6"/>
      <c r="M200" s="141" t="s">
        <v>1049</v>
      </c>
      <c r="N200" s="6" t="s">
        <v>466</v>
      </c>
      <c r="O200" s="186" t="s">
        <v>648</v>
      </c>
      <c r="P200" s="137">
        <v>2024.0</v>
      </c>
      <c r="Q200" s="80" t="s">
        <v>921</v>
      </c>
      <c r="R200" s="6" t="s">
        <v>922</v>
      </c>
      <c r="S200" s="186" t="s">
        <v>1050</v>
      </c>
      <c r="T200" s="140" t="s">
        <v>1051</v>
      </c>
      <c r="U200" s="110">
        <v>3.0</v>
      </c>
      <c r="V200" s="112">
        <v>75.0</v>
      </c>
      <c r="W200" s="112"/>
      <c r="X200" s="112"/>
      <c r="Y200" s="112"/>
    </row>
    <row r="201" ht="31.5" customHeight="1" outlineLevel="1">
      <c r="A201" s="80">
        <f t="shared" si="9"/>
        <v>11</v>
      </c>
      <c r="B201" s="192" t="s">
        <v>1052</v>
      </c>
      <c r="C201" s="115" t="s">
        <v>1053</v>
      </c>
      <c r="D201" s="95" t="s">
        <v>1054</v>
      </c>
      <c r="E201" s="95"/>
      <c r="F201" s="95" t="s">
        <v>1039</v>
      </c>
      <c r="G201" s="115" t="s">
        <v>919</v>
      </c>
      <c r="H201" s="80" t="str">
        <f>VLOOKUP(G201,'01. TH'!$B:$E,3,0)</f>
        <v>5250 x 2170 x 2520</v>
      </c>
      <c r="I201" s="137" t="s">
        <v>1010</v>
      </c>
      <c r="J201" s="116">
        <v>45569.0</v>
      </c>
      <c r="K201" s="80" t="str">
        <f>IF(COUNTIF('TT BTSC'!$D:$D,B201)&gt;0,"Hư hỏng","Bình thường")</f>
        <v>Bình thường</v>
      </c>
      <c r="L201" s="119"/>
      <c r="M201" s="155" t="s">
        <v>1055</v>
      </c>
      <c r="N201" s="95" t="s">
        <v>300</v>
      </c>
      <c r="O201" s="110" t="s">
        <v>148</v>
      </c>
      <c r="P201" s="95">
        <v>2023.0</v>
      </c>
      <c r="Q201" s="80" t="s">
        <v>921</v>
      </c>
      <c r="R201" s="95" t="s">
        <v>682</v>
      </c>
      <c r="S201" s="110" t="s">
        <v>1056</v>
      </c>
      <c r="T201" s="110" t="s">
        <v>1057</v>
      </c>
      <c r="U201" s="110">
        <v>0.33</v>
      </c>
      <c r="V201" s="112">
        <v>75.0</v>
      </c>
      <c r="W201" s="112"/>
      <c r="X201" s="112"/>
      <c r="Y201" s="112"/>
    </row>
    <row r="202" ht="24.75" customHeight="1" outlineLevel="1">
      <c r="A202" s="80">
        <f t="shared" si="9"/>
        <v>12</v>
      </c>
      <c r="B202" s="161" t="s">
        <v>1058</v>
      </c>
      <c r="C202" s="161"/>
      <c r="D202" s="95" t="s">
        <v>1059</v>
      </c>
      <c r="E202" s="9"/>
      <c r="F202" s="95" t="s">
        <v>1039</v>
      </c>
      <c r="G202" s="115" t="s">
        <v>658</v>
      </c>
      <c r="H202" s="80" t="str">
        <f>VLOOKUP(G202,'01. TH'!$B:$E,3,0)</f>
        <v>6380 x 2040 x 2300</v>
      </c>
      <c r="I202" s="137" t="s">
        <v>1010</v>
      </c>
      <c r="J202" s="193">
        <v>46143.0</v>
      </c>
      <c r="K202" s="80" t="str">
        <f>IF(COUNTIF('TT BTSC'!$D:$D,B202)&gt;0,"Hư hỏng","Bình thường")</f>
        <v>Bình thường</v>
      </c>
      <c r="L202" s="6"/>
      <c r="M202" s="141" t="s">
        <v>890</v>
      </c>
      <c r="N202" s="137" t="s">
        <v>661</v>
      </c>
      <c r="O202" s="186" t="s">
        <v>662</v>
      </c>
      <c r="P202" s="137">
        <v>2024.0</v>
      </c>
      <c r="Q202" s="137" t="s">
        <v>663</v>
      </c>
      <c r="R202" s="137" t="s">
        <v>664</v>
      </c>
      <c r="S202" s="186" t="s">
        <v>1061</v>
      </c>
      <c r="T202" s="140" t="s">
        <v>1062</v>
      </c>
      <c r="U202" s="140">
        <v>0.2</v>
      </c>
      <c r="V202" s="112">
        <v>100.0</v>
      </c>
      <c r="W202" s="112"/>
      <c r="X202" s="112"/>
      <c r="Y202" s="112"/>
    </row>
    <row r="203" ht="12.75" customHeight="1" outlineLevel="1">
      <c r="A203" s="80">
        <f t="shared" si="9"/>
        <v>13</v>
      </c>
      <c r="B203" s="161" t="s">
        <v>1063</v>
      </c>
      <c r="C203" s="161"/>
      <c r="D203" s="95" t="s">
        <v>1065</v>
      </c>
      <c r="E203" s="9"/>
      <c r="F203" s="95" t="s">
        <v>1039</v>
      </c>
      <c r="G203" s="86" t="s">
        <v>889</v>
      </c>
      <c r="H203" s="80" t="str">
        <f>VLOOKUP(G203,'01. TH'!$B:$E,3,0)</f>
        <v/>
      </c>
      <c r="I203" s="137" t="s">
        <v>1010</v>
      </c>
      <c r="J203" s="193">
        <v>45789.0</v>
      </c>
      <c r="K203" s="80" t="str">
        <f>IF(COUNTIF('TT BTSC'!$D:$D,B203)&gt;0,"Hư hỏng","Bình thường")</f>
        <v>Bình thường</v>
      </c>
      <c r="L203" s="6"/>
      <c r="M203" s="141" t="s">
        <v>890</v>
      </c>
      <c r="N203" s="137" t="s">
        <v>739</v>
      </c>
      <c r="O203" s="186" t="s">
        <v>260</v>
      </c>
      <c r="P203" s="137">
        <v>2025.0</v>
      </c>
      <c r="Q203" s="137" t="s">
        <v>891</v>
      </c>
      <c r="R203" s="137" t="s">
        <v>1066</v>
      </c>
      <c r="S203" s="186" t="s">
        <v>1067</v>
      </c>
      <c r="T203" s="140" t="s">
        <v>1068</v>
      </c>
      <c r="U203" s="110"/>
      <c r="V203" s="112"/>
      <c r="W203" s="112"/>
      <c r="X203" s="112"/>
      <c r="Y203" s="112"/>
    </row>
    <row r="204" ht="12.75" customHeight="1" outlineLevel="1">
      <c r="A204" s="80">
        <f t="shared" si="9"/>
        <v>14</v>
      </c>
      <c r="B204" s="161" t="s">
        <v>1069</v>
      </c>
      <c r="C204" s="161"/>
      <c r="D204" s="95" t="s">
        <v>1070</v>
      </c>
      <c r="E204" s="9"/>
      <c r="F204" s="95" t="s">
        <v>1039</v>
      </c>
      <c r="G204" s="86" t="s">
        <v>880</v>
      </c>
      <c r="H204" s="80"/>
      <c r="I204" s="137" t="s">
        <v>1010</v>
      </c>
      <c r="J204" s="193">
        <v>46361.0</v>
      </c>
      <c r="K204" s="80" t="str">
        <f>IF(COUNTIF('TT BTSC'!$D:$D,B204)&gt;0,"Hư hỏng","Bình thường")</f>
        <v>Bình thường</v>
      </c>
      <c r="L204" s="6"/>
      <c r="M204" s="141" t="s">
        <v>890</v>
      </c>
      <c r="N204" s="137" t="s">
        <v>739</v>
      </c>
      <c r="O204" s="186" t="s">
        <v>260</v>
      </c>
      <c r="P204" s="137">
        <v>2026.0</v>
      </c>
      <c r="Q204" s="137" t="s">
        <v>1071</v>
      </c>
      <c r="R204" s="137" t="s">
        <v>1072</v>
      </c>
      <c r="S204" s="186" t="s">
        <v>1073</v>
      </c>
      <c r="T204" s="140"/>
      <c r="U204" s="110"/>
      <c r="V204" s="112"/>
      <c r="W204" s="112"/>
      <c r="X204" s="112"/>
      <c r="Y204" s="112"/>
    </row>
    <row r="205" ht="12.75" customHeight="1" outlineLevel="1">
      <c r="A205" s="80">
        <f t="shared" si="9"/>
        <v>15</v>
      </c>
      <c r="B205" s="161" t="s">
        <v>1074</v>
      </c>
      <c r="C205" s="161"/>
      <c r="D205" s="95" t="s">
        <v>1075</v>
      </c>
      <c r="E205" s="9"/>
      <c r="F205" s="95" t="s">
        <v>1039</v>
      </c>
      <c r="G205" s="86" t="s">
        <v>946</v>
      </c>
      <c r="H205" s="80" t="str">
        <f>VLOOKUP(G205,'01. TH'!$B:$E,3,0)</f>
        <v/>
      </c>
      <c r="I205" s="137" t="s">
        <v>1010</v>
      </c>
      <c r="J205" s="137" t="s">
        <v>947</v>
      </c>
      <c r="K205" s="80" t="str">
        <f>IF(COUNTIF('TT BTSC'!$D:$D,B205)&gt;0,"Hư hỏng","Bình thường")</f>
        <v>Bình thường</v>
      </c>
      <c r="L205" s="6"/>
      <c r="M205" s="141" t="s">
        <v>890</v>
      </c>
      <c r="N205" s="137" t="s">
        <v>673</v>
      </c>
      <c r="O205" s="186" t="s">
        <v>948</v>
      </c>
      <c r="P205" s="137">
        <v>2022.0</v>
      </c>
      <c r="Q205" s="137" t="s">
        <v>949</v>
      </c>
      <c r="R205" s="137" t="s">
        <v>950</v>
      </c>
      <c r="S205" s="186">
        <v>203050.0</v>
      </c>
      <c r="T205" s="140" t="s">
        <v>1077</v>
      </c>
      <c r="U205" s="110">
        <v>0.5</v>
      </c>
      <c r="V205" s="112">
        <v>0.0</v>
      </c>
      <c r="W205" s="112"/>
      <c r="X205" s="112"/>
      <c r="Y205" s="112"/>
    </row>
    <row r="206" ht="12.75" customHeight="1" outlineLevel="1">
      <c r="A206" s="80">
        <f t="shared" si="9"/>
        <v>16</v>
      </c>
      <c r="B206" s="161" t="s">
        <v>1078</v>
      </c>
      <c r="C206" s="161"/>
      <c r="D206" s="95" t="s">
        <v>1079</v>
      </c>
      <c r="E206" s="9"/>
      <c r="F206" s="95" t="s">
        <v>1039</v>
      </c>
      <c r="G206" s="86" t="s">
        <v>946</v>
      </c>
      <c r="H206" s="80" t="str">
        <f>VLOOKUP(G206,'01. TH'!$B:$E,3,0)</f>
        <v/>
      </c>
      <c r="I206" s="137" t="s">
        <v>1010</v>
      </c>
      <c r="J206" s="137" t="s">
        <v>947</v>
      </c>
      <c r="K206" s="80" t="str">
        <f>IF(COUNTIF('TT BTSC'!$D:$D,B206)&gt;0,"Hư hỏng","Bình thường")</f>
        <v>Bình thường</v>
      </c>
      <c r="L206" s="6"/>
      <c r="M206" s="141" t="s">
        <v>890</v>
      </c>
      <c r="N206" s="137" t="s">
        <v>673</v>
      </c>
      <c r="O206" s="186" t="s">
        <v>948</v>
      </c>
      <c r="P206" s="137">
        <v>2022.0</v>
      </c>
      <c r="Q206" s="137" t="s">
        <v>949</v>
      </c>
      <c r="R206" s="137" t="s">
        <v>950</v>
      </c>
      <c r="S206" s="186">
        <v>203054.0</v>
      </c>
      <c r="T206" s="140" t="s">
        <v>1080</v>
      </c>
      <c r="U206" s="110">
        <v>0.5</v>
      </c>
      <c r="V206" s="112">
        <v>0.0</v>
      </c>
      <c r="W206" s="112"/>
      <c r="X206" s="112"/>
      <c r="Y206" s="112"/>
    </row>
    <row r="207" ht="12.75" customHeight="1" outlineLevel="1">
      <c r="A207" s="80">
        <f t="shared" si="9"/>
        <v>17</v>
      </c>
      <c r="B207" s="161" t="s">
        <v>1081</v>
      </c>
      <c r="C207" s="161"/>
      <c r="D207" s="95" t="s">
        <v>1082</v>
      </c>
      <c r="E207" s="9"/>
      <c r="F207" s="95" t="s">
        <v>1039</v>
      </c>
      <c r="G207" s="86" t="s">
        <v>946</v>
      </c>
      <c r="H207" s="80" t="str">
        <f>VLOOKUP(G207,'01. TH'!$B:$E,3,0)</f>
        <v/>
      </c>
      <c r="I207" s="137" t="s">
        <v>1010</v>
      </c>
      <c r="J207" s="137" t="s">
        <v>947</v>
      </c>
      <c r="K207" s="80" t="str">
        <f>IF(COUNTIF('TT BTSC'!$D:$D,B207)&gt;0,"Hư hỏng","Bình thường")</f>
        <v>Bình thường</v>
      </c>
      <c r="L207" s="6"/>
      <c r="M207" s="141" t="s">
        <v>890</v>
      </c>
      <c r="N207" s="137" t="s">
        <v>673</v>
      </c>
      <c r="O207" s="186" t="s">
        <v>948</v>
      </c>
      <c r="P207" s="137">
        <v>2022.0</v>
      </c>
      <c r="Q207" s="137" t="s">
        <v>949</v>
      </c>
      <c r="R207" s="137" t="s">
        <v>950</v>
      </c>
      <c r="S207" s="186">
        <v>203068.0</v>
      </c>
      <c r="T207" s="140" t="s">
        <v>1084</v>
      </c>
      <c r="U207" s="110">
        <v>0.5</v>
      </c>
      <c r="V207" s="112">
        <v>0.0</v>
      </c>
      <c r="W207" s="112"/>
      <c r="X207" s="112"/>
      <c r="Y207" s="112"/>
    </row>
    <row r="208" ht="12.75" customHeight="1" outlineLevel="1">
      <c r="A208" s="80">
        <f t="shared" si="9"/>
        <v>18</v>
      </c>
      <c r="B208" s="161" t="s">
        <v>1085</v>
      </c>
      <c r="C208" s="161"/>
      <c r="D208" s="95" t="s">
        <v>1086</v>
      </c>
      <c r="E208" s="9"/>
      <c r="F208" s="95" t="s">
        <v>1039</v>
      </c>
      <c r="G208" s="86" t="s">
        <v>946</v>
      </c>
      <c r="H208" s="80" t="str">
        <f>VLOOKUP(G208,'01. TH'!$B:$E,3,0)</f>
        <v/>
      </c>
      <c r="I208" s="137" t="s">
        <v>1010</v>
      </c>
      <c r="J208" s="137" t="s">
        <v>947</v>
      </c>
      <c r="K208" s="80" t="str">
        <f>IF(COUNTIF('TT BTSC'!$D:$D,B208)&gt;0,"Hư hỏng","Bình thường")</f>
        <v>Bình thường</v>
      </c>
      <c r="L208" s="6"/>
      <c r="M208" s="141" t="s">
        <v>890</v>
      </c>
      <c r="N208" s="137" t="s">
        <v>673</v>
      </c>
      <c r="O208" s="186" t="s">
        <v>948</v>
      </c>
      <c r="P208" s="137">
        <v>2022.0</v>
      </c>
      <c r="Q208" s="137" t="s">
        <v>949</v>
      </c>
      <c r="R208" s="137" t="s">
        <v>950</v>
      </c>
      <c r="S208" s="186">
        <v>203075.0</v>
      </c>
      <c r="T208" s="140" t="s">
        <v>1087</v>
      </c>
      <c r="U208" s="110">
        <v>0.5</v>
      </c>
      <c r="V208" s="112">
        <v>0.0</v>
      </c>
      <c r="W208" s="112"/>
      <c r="X208" s="112"/>
      <c r="Y208" s="112"/>
    </row>
    <row r="209" ht="12.75" customHeight="1" outlineLevel="1">
      <c r="A209" s="80">
        <f t="shared" si="9"/>
        <v>19</v>
      </c>
      <c r="B209" s="161" t="s">
        <v>1088</v>
      </c>
      <c r="C209" s="161"/>
      <c r="D209" s="95" t="s">
        <v>1089</v>
      </c>
      <c r="E209" s="9"/>
      <c r="F209" s="95" t="s">
        <v>1039</v>
      </c>
      <c r="G209" s="86" t="s">
        <v>946</v>
      </c>
      <c r="H209" s="80" t="str">
        <f>VLOOKUP(G209,'01. TH'!$B:$E,3,0)</f>
        <v/>
      </c>
      <c r="I209" s="137" t="s">
        <v>1010</v>
      </c>
      <c r="J209" s="137" t="s">
        <v>947</v>
      </c>
      <c r="K209" s="80" t="str">
        <f>IF(COUNTIF('TT BTSC'!$D:$D,B209)&gt;0,"Hư hỏng","Bình thường")</f>
        <v>Bình thường</v>
      </c>
      <c r="L209" s="6"/>
      <c r="M209" s="141" t="s">
        <v>890</v>
      </c>
      <c r="N209" s="137" t="s">
        <v>673</v>
      </c>
      <c r="O209" s="186" t="s">
        <v>948</v>
      </c>
      <c r="P209" s="137">
        <v>2022.0</v>
      </c>
      <c r="Q209" s="137" t="s">
        <v>949</v>
      </c>
      <c r="R209" s="137" t="s">
        <v>950</v>
      </c>
      <c r="S209" s="186">
        <v>203086.0</v>
      </c>
      <c r="T209" s="140" t="s">
        <v>1090</v>
      </c>
      <c r="U209" s="110">
        <v>0.5</v>
      </c>
      <c r="V209" s="112">
        <v>0.0</v>
      </c>
      <c r="W209" s="112"/>
      <c r="X209" s="112"/>
      <c r="Y209" s="112"/>
    </row>
    <row r="210" ht="12.75" customHeight="1" outlineLevel="1">
      <c r="A210" s="80">
        <f t="shared" si="9"/>
        <v>20</v>
      </c>
      <c r="B210" s="161" t="s">
        <v>1091</v>
      </c>
      <c r="C210" s="161"/>
      <c r="D210" s="95" t="s">
        <v>1092</v>
      </c>
      <c r="E210" s="9"/>
      <c r="F210" s="95" t="s">
        <v>1039</v>
      </c>
      <c r="G210" s="161" t="s">
        <v>975</v>
      </c>
      <c r="H210" s="80" t="str">
        <f>VLOOKUP(G210,'01. TH'!$B:$E,3,0)</f>
        <v/>
      </c>
      <c r="I210" s="137" t="s">
        <v>1010</v>
      </c>
      <c r="J210" s="137" t="s">
        <v>976</v>
      </c>
      <c r="K210" s="80" t="str">
        <f>IF(COUNTIF('TT BTSC'!$D:$D,B210)&gt;0,"Hư hỏng","Bình thường")</f>
        <v>Bình thường</v>
      </c>
      <c r="L210" s="6"/>
      <c r="M210" s="141" t="s">
        <v>890</v>
      </c>
      <c r="N210" s="137" t="s">
        <v>1093</v>
      </c>
      <c r="O210" s="186" t="s">
        <v>979</v>
      </c>
      <c r="P210" s="137"/>
      <c r="Q210" s="137" t="s">
        <v>1094</v>
      </c>
      <c r="R210" s="137" t="s">
        <v>981</v>
      </c>
      <c r="S210" s="186" t="s">
        <v>96</v>
      </c>
      <c r="T210" s="140">
        <v>4418343.0</v>
      </c>
      <c r="U210" s="186">
        <v>2.3</v>
      </c>
      <c r="V210" s="112">
        <v>0.0</v>
      </c>
      <c r="W210" s="112"/>
      <c r="X210" s="112"/>
      <c r="Y210" s="112"/>
    </row>
    <row r="211" ht="12.75" customHeight="1" outlineLevel="1">
      <c r="A211" s="80">
        <f t="shared" si="9"/>
        <v>21</v>
      </c>
      <c r="B211" s="161" t="s">
        <v>1095</v>
      </c>
      <c r="C211" s="161"/>
      <c r="D211" s="95" t="s">
        <v>1096</v>
      </c>
      <c r="E211" s="9"/>
      <c r="F211" s="95" t="s">
        <v>1039</v>
      </c>
      <c r="G211" s="161" t="s">
        <v>975</v>
      </c>
      <c r="H211" s="80" t="str">
        <f>VLOOKUP(G211,'01. TH'!$B:$E,3,0)</f>
        <v/>
      </c>
      <c r="I211" s="137" t="s">
        <v>1010</v>
      </c>
      <c r="J211" s="137" t="s">
        <v>976</v>
      </c>
      <c r="K211" s="80" t="str">
        <f>IF(COUNTIF('TT BTSC'!$D:$D,B211)&gt;0,"Hư hỏng","Bình thường")</f>
        <v>Bình thường</v>
      </c>
      <c r="L211" s="6"/>
      <c r="M211" s="141" t="s">
        <v>890</v>
      </c>
      <c r="N211" s="137" t="s">
        <v>673</v>
      </c>
      <c r="O211" s="186" t="s">
        <v>979</v>
      </c>
      <c r="P211" s="137"/>
      <c r="Q211" s="137" t="s">
        <v>1097</v>
      </c>
      <c r="R211" s="137" t="s">
        <v>981</v>
      </c>
      <c r="S211" s="186">
        <v>871668.0</v>
      </c>
      <c r="T211" s="140">
        <v>20189.0</v>
      </c>
      <c r="U211" s="186">
        <v>2.3</v>
      </c>
      <c r="V211" s="112">
        <v>0.0</v>
      </c>
      <c r="W211" s="112"/>
      <c r="X211" s="112"/>
      <c r="Y211" s="112"/>
    </row>
    <row r="212" ht="12.75" customHeight="1" outlineLevel="1">
      <c r="A212" s="80">
        <f t="shared" si="9"/>
        <v>22</v>
      </c>
      <c r="B212" s="161" t="s">
        <v>1098</v>
      </c>
      <c r="C212" s="161"/>
      <c r="D212" s="95" t="s">
        <v>1099</v>
      </c>
      <c r="E212" s="9"/>
      <c r="F212" s="95" t="s">
        <v>1039</v>
      </c>
      <c r="G212" s="161" t="s">
        <v>985</v>
      </c>
      <c r="H212" s="80" t="str">
        <f>VLOOKUP(G212,'01. TH'!$B:$E,3,0)</f>
        <v/>
      </c>
      <c r="I212" s="137" t="s">
        <v>1010</v>
      </c>
      <c r="J212" s="137" t="s">
        <v>986</v>
      </c>
      <c r="K212" s="80" t="str">
        <f>IF(COUNTIF('TT BTSC'!$D:$D,B212)&gt;0,"Hư hỏng","Bình thường")</f>
        <v>Bình thường</v>
      </c>
      <c r="L212" s="6"/>
      <c r="M212" s="141" t="s">
        <v>890</v>
      </c>
      <c r="N212" s="137" t="s">
        <v>987</v>
      </c>
      <c r="O212" s="186" t="s">
        <v>148</v>
      </c>
      <c r="P212" s="137">
        <v>2025.0</v>
      </c>
      <c r="Q212" s="137" t="s">
        <v>988</v>
      </c>
      <c r="R212" s="137" t="s">
        <v>970</v>
      </c>
      <c r="S212" s="186" t="s">
        <v>1100</v>
      </c>
      <c r="T212" s="140" t="s">
        <v>1101</v>
      </c>
      <c r="U212" s="186">
        <v>1.8</v>
      </c>
      <c r="V212" s="112">
        <v>0.0</v>
      </c>
      <c r="W212" s="112"/>
      <c r="X212" s="112"/>
      <c r="Y212" s="112"/>
    </row>
    <row r="213" ht="12.75" customHeight="1" outlineLevel="1">
      <c r="A213" s="80">
        <f t="shared" si="9"/>
        <v>23</v>
      </c>
      <c r="B213" s="161" t="s">
        <v>1103</v>
      </c>
      <c r="C213" s="161"/>
      <c r="D213" s="95" t="s">
        <v>1104</v>
      </c>
      <c r="E213" s="9"/>
      <c r="F213" s="95" t="s">
        <v>1039</v>
      </c>
      <c r="G213" s="161" t="s">
        <v>985</v>
      </c>
      <c r="H213" s="80" t="str">
        <f>VLOOKUP(G213,'01. TH'!$B:$E,3,0)</f>
        <v/>
      </c>
      <c r="I213" s="137" t="s">
        <v>1010</v>
      </c>
      <c r="J213" s="137" t="s">
        <v>986</v>
      </c>
      <c r="K213" s="80" t="str">
        <f>IF(COUNTIF('TT BTSC'!$D:$D,B213)&gt;0,"Hư hỏng","Bình thường")</f>
        <v>Bình thường</v>
      </c>
      <c r="L213" s="6"/>
      <c r="M213" s="141" t="s">
        <v>890</v>
      </c>
      <c r="N213" s="137" t="s">
        <v>987</v>
      </c>
      <c r="O213" s="186" t="s">
        <v>148</v>
      </c>
      <c r="P213" s="137">
        <v>2025.0</v>
      </c>
      <c r="Q213" s="137" t="s">
        <v>988</v>
      </c>
      <c r="R213" s="137" t="s">
        <v>970</v>
      </c>
      <c r="S213" s="186" t="s">
        <v>1105</v>
      </c>
      <c r="T213" s="140" t="s">
        <v>1106</v>
      </c>
      <c r="U213" s="186">
        <v>1.8</v>
      </c>
      <c r="V213" s="112">
        <v>0.0</v>
      </c>
      <c r="W213" s="112"/>
      <c r="X213" s="112"/>
      <c r="Y213" s="112"/>
    </row>
    <row r="214" ht="12.75" customHeight="1" outlineLevel="1">
      <c r="A214" s="80">
        <f t="shared" si="9"/>
        <v>24</v>
      </c>
      <c r="B214" s="161" t="s">
        <v>1107</v>
      </c>
      <c r="C214" s="161"/>
      <c r="D214" s="95" t="s">
        <v>1108</v>
      </c>
      <c r="E214" s="9"/>
      <c r="F214" s="95" t="s">
        <v>1039</v>
      </c>
      <c r="G214" s="161" t="s">
        <v>985</v>
      </c>
      <c r="H214" s="80" t="str">
        <f>VLOOKUP(G214,'01. TH'!$B:$E,3,0)</f>
        <v/>
      </c>
      <c r="I214" s="137" t="s">
        <v>1010</v>
      </c>
      <c r="J214" s="137" t="s">
        <v>986</v>
      </c>
      <c r="K214" s="80" t="str">
        <f>IF(COUNTIF('TT BTSC'!$D:$D,B214)&gt;0,"Hư hỏng","Bình thường")</f>
        <v>Bình thường</v>
      </c>
      <c r="L214" s="6"/>
      <c r="M214" s="141" t="s">
        <v>890</v>
      </c>
      <c r="N214" s="137" t="s">
        <v>987</v>
      </c>
      <c r="O214" s="186" t="s">
        <v>148</v>
      </c>
      <c r="P214" s="137">
        <v>2025.0</v>
      </c>
      <c r="Q214" s="137" t="s">
        <v>988</v>
      </c>
      <c r="R214" s="137" t="s">
        <v>970</v>
      </c>
      <c r="S214" s="186" t="s">
        <v>1109</v>
      </c>
      <c r="T214" s="140" t="s">
        <v>1110</v>
      </c>
      <c r="U214" s="186">
        <v>1.8</v>
      </c>
      <c r="V214" s="112">
        <v>0.0</v>
      </c>
      <c r="W214" s="112"/>
      <c r="X214" s="112"/>
      <c r="Y214" s="112"/>
    </row>
    <row r="215" ht="12.75" customHeight="1" outlineLevel="1">
      <c r="A215" s="80">
        <f t="shared" si="9"/>
        <v>25</v>
      </c>
      <c r="B215" s="161" t="s">
        <v>1111</v>
      </c>
      <c r="C215" s="161"/>
      <c r="D215" s="95" t="s">
        <v>1112</v>
      </c>
      <c r="E215" s="9"/>
      <c r="F215" s="95" t="s">
        <v>1039</v>
      </c>
      <c r="G215" s="161" t="s">
        <v>985</v>
      </c>
      <c r="H215" s="80" t="str">
        <f>VLOOKUP(G215,'01. TH'!$B:$E,3,0)</f>
        <v/>
      </c>
      <c r="I215" s="137" t="s">
        <v>1010</v>
      </c>
      <c r="J215" s="137" t="s">
        <v>986</v>
      </c>
      <c r="K215" s="80" t="str">
        <f>IF(COUNTIF('TT BTSC'!$D:$D,B215)&gt;0,"Hư hỏng","Bình thường")</f>
        <v>Bình thường</v>
      </c>
      <c r="L215" s="6"/>
      <c r="M215" s="141" t="s">
        <v>890</v>
      </c>
      <c r="N215" s="137" t="s">
        <v>987</v>
      </c>
      <c r="O215" s="186" t="s">
        <v>148</v>
      </c>
      <c r="P215" s="137">
        <v>2025.0</v>
      </c>
      <c r="Q215" s="137" t="s">
        <v>988</v>
      </c>
      <c r="R215" s="137" t="s">
        <v>970</v>
      </c>
      <c r="S215" s="186" t="s">
        <v>1114</v>
      </c>
      <c r="T215" s="140" t="s">
        <v>1115</v>
      </c>
      <c r="U215" s="186">
        <v>1.8</v>
      </c>
      <c r="V215" s="112">
        <v>0.0</v>
      </c>
      <c r="W215" s="112"/>
      <c r="X215" s="112"/>
      <c r="Y215" s="112"/>
    </row>
    <row r="216" ht="12.75" customHeight="1" outlineLevel="1">
      <c r="A216" s="80"/>
      <c r="B216" s="192"/>
      <c r="C216" s="161"/>
      <c r="D216" s="95"/>
      <c r="E216" s="9"/>
      <c r="F216" s="9"/>
      <c r="G216" s="161"/>
      <c r="H216" s="80"/>
      <c r="I216" s="137"/>
      <c r="J216" s="193"/>
      <c r="K216" s="80"/>
      <c r="L216" s="6"/>
      <c r="M216" s="141"/>
      <c r="N216" s="6"/>
      <c r="O216" s="186"/>
      <c r="P216" s="137"/>
      <c r="Q216" s="137"/>
      <c r="R216" s="6"/>
      <c r="S216" s="186"/>
      <c r="T216" s="140"/>
      <c r="U216" s="140"/>
      <c r="V216" s="51"/>
      <c r="W216" s="51"/>
      <c r="X216" s="51"/>
      <c r="Y216" s="51"/>
    </row>
    <row r="217" ht="12.75" customHeight="1" outlineLevel="1">
      <c r="A217" s="80"/>
      <c r="B217" s="192"/>
      <c r="C217" s="161" t="s">
        <v>1004</v>
      </c>
      <c r="D217" s="95"/>
      <c r="E217" s="9"/>
      <c r="F217" s="9"/>
      <c r="G217" s="161"/>
      <c r="H217" s="80" t="str">
        <f>VLOOKUP(G217,'01. TH'!$B:$E,3,0)</f>
        <v>#N/A</v>
      </c>
      <c r="I217" s="137"/>
      <c r="J217" s="193"/>
      <c r="K217" s="80"/>
      <c r="L217" s="6"/>
      <c r="M217" s="141"/>
      <c r="N217" s="6"/>
      <c r="O217" s="186"/>
      <c r="P217" s="137"/>
      <c r="Q217" s="137"/>
      <c r="R217" s="6"/>
      <c r="S217" s="186"/>
      <c r="T217" s="140"/>
      <c r="U217" s="140"/>
      <c r="V217" s="51"/>
      <c r="W217" s="51"/>
      <c r="X217" s="51"/>
      <c r="Y217" s="51"/>
    </row>
    <row r="218" ht="13.5" customHeight="1">
      <c r="A218" s="151" t="s">
        <v>1116</v>
      </c>
      <c r="B218" s="194" t="s">
        <v>1117</v>
      </c>
      <c r="C218" s="72">
        <f>COUNTA($B$219:$B$252)</f>
        <v>32</v>
      </c>
      <c r="D218" s="195" t="str">
        <f>IFERROR(VLOOKUP(B218,' 02.1 KLH-CN MÃ BRAVO MM'!$B:$C,2,0),"")</f>
        <v/>
      </c>
      <c r="E218" s="196"/>
      <c r="F218" s="196"/>
      <c r="G218" s="197"/>
      <c r="H218" s="75"/>
      <c r="I218" s="195"/>
      <c r="J218" s="180"/>
      <c r="K218" s="75"/>
      <c r="L218" s="196"/>
      <c r="M218" s="198"/>
      <c r="N218" s="196"/>
      <c r="O218" s="195"/>
      <c r="P218" s="195"/>
      <c r="Q218" s="195"/>
      <c r="R218" s="195"/>
      <c r="S218" s="195"/>
      <c r="T218" s="195"/>
      <c r="U218" s="199"/>
      <c r="V218" s="200"/>
      <c r="W218" s="200"/>
      <c r="X218" s="200"/>
      <c r="Y218" s="200"/>
    </row>
    <row r="219" ht="13.5" customHeight="1" outlineLevel="1">
      <c r="A219" s="80">
        <v>1.0</v>
      </c>
      <c r="B219" s="84" t="s">
        <v>1118</v>
      </c>
      <c r="C219" s="84" t="s">
        <v>1119</v>
      </c>
      <c r="D219" s="95" t="str">
        <f>IFERROR(VLOOKUP(B219,' 02.1 KLH-CN MÃ BRAVO MM'!$B:$C,2,0),"")</f>
        <v>A23-MKE-023</v>
      </c>
      <c r="E219" s="95"/>
      <c r="F219" s="95" t="s">
        <v>79</v>
      </c>
      <c r="G219" s="86" t="s">
        <v>875</v>
      </c>
      <c r="H219" s="80" t="str">
        <f>VLOOKUP(G219,'01. TH'!$B:$E,3,0)</f>
        <v>3120 x 1495 x 1510</v>
      </c>
      <c r="I219" s="80" t="s">
        <v>1120</v>
      </c>
      <c r="J219" s="99"/>
      <c r="K219" s="80" t="str">
        <f>IF(COUNTIF('TT BTSC'!$D:$D,B219)&gt;0,"Hư hỏng","Bình thường")</f>
        <v>Bình thường</v>
      </c>
      <c r="L219" s="106"/>
      <c r="M219" s="104"/>
      <c r="N219" s="106" t="s">
        <v>454</v>
      </c>
      <c r="O219" s="108" t="s">
        <v>84</v>
      </c>
      <c r="P219" s="80">
        <v>2019.0</v>
      </c>
      <c r="Q219" s="80" t="s">
        <v>878</v>
      </c>
      <c r="R219" s="106" t="s">
        <v>101</v>
      </c>
      <c r="S219" s="108">
        <v>14720.0</v>
      </c>
      <c r="T219" s="110" t="s">
        <v>96</v>
      </c>
      <c r="U219" s="110">
        <v>2.0</v>
      </c>
      <c r="V219" s="112">
        <v>0.0</v>
      </c>
      <c r="W219" s="112"/>
      <c r="X219" s="112"/>
      <c r="Y219" s="112"/>
    </row>
    <row r="220" ht="13.5" customHeight="1" outlineLevel="1">
      <c r="A220" s="80">
        <f t="shared" ref="A220:A250" si="10">1+A219</f>
        <v>2</v>
      </c>
      <c r="B220" s="84" t="s">
        <v>1121</v>
      </c>
      <c r="C220" s="84" t="s">
        <v>1122</v>
      </c>
      <c r="D220" s="95" t="str">
        <f>IFERROR(VLOOKUP(B220,' 02.1 KLH-CN MÃ BRAVO MM'!$B:$C,2,0),"")</f>
        <v>A23-MKE-024</v>
      </c>
      <c r="E220" s="95"/>
      <c r="F220" s="95" t="s">
        <v>79</v>
      </c>
      <c r="G220" s="86" t="s">
        <v>857</v>
      </c>
      <c r="H220" s="80" t="str">
        <f>VLOOKUP(G220,'01. TH'!$B:$E,3,0)</f>
        <v>3226 x 1570 x 1545</v>
      </c>
      <c r="I220" s="80" t="s">
        <v>1120</v>
      </c>
      <c r="J220" s="99">
        <v>43525.0</v>
      </c>
      <c r="K220" s="80" t="str">
        <f>IF(COUNTIF('TT BTSC'!$D:$D,B220)&gt;0,"Hư hỏng","Bình thường")</f>
        <v>Bình thường</v>
      </c>
      <c r="L220" s="102">
        <v>0.4</v>
      </c>
      <c r="M220" s="104"/>
      <c r="N220" s="106" t="s">
        <v>743</v>
      </c>
      <c r="O220" s="108" t="s">
        <v>148</v>
      </c>
      <c r="P220" s="80">
        <v>2018.0</v>
      </c>
      <c r="Q220" s="80" t="s">
        <v>860</v>
      </c>
      <c r="R220" s="106" t="s">
        <v>861</v>
      </c>
      <c r="S220" s="108" t="s">
        <v>1123</v>
      </c>
      <c r="T220" s="110" t="s">
        <v>96</v>
      </c>
      <c r="U220" s="110">
        <v>2.5</v>
      </c>
      <c r="V220" s="112">
        <v>0.0</v>
      </c>
      <c r="W220" s="112"/>
      <c r="X220" s="112"/>
      <c r="Y220" s="112"/>
    </row>
    <row r="221" ht="13.5" customHeight="1" outlineLevel="1">
      <c r="A221" s="80">
        <f t="shared" si="10"/>
        <v>3</v>
      </c>
      <c r="B221" s="84" t="s">
        <v>1124</v>
      </c>
      <c r="C221" s="84" t="s">
        <v>1125</v>
      </c>
      <c r="D221" s="95" t="str">
        <f>IFERROR(VLOOKUP(B221,' 02.1 KLH-CN MÃ BRAVO MM'!$B:$C,2,0),"")</f>
        <v>A23-MKE-025</v>
      </c>
      <c r="E221" s="95"/>
      <c r="F221" s="95" t="s">
        <v>79</v>
      </c>
      <c r="G221" s="86" t="s">
        <v>857</v>
      </c>
      <c r="H221" s="80" t="str">
        <f>VLOOKUP(G221,'01. TH'!$B:$E,3,0)</f>
        <v>3226 x 1570 x 1545</v>
      </c>
      <c r="I221" s="80" t="s">
        <v>1120</v>
      </c>
      <c r="J221" s="99">
        <v>43525.0</v>
      </c>
      <c r="K221" s="80" t="str">
        <f>IF(COUNTIF('TT BTSC'!$D:$D,B221)&gt;0,"Hư hỏng","Bình thường")</f>
        <v>Bình thường</v>
      </c>
      <c r="L221" s="102">
        <v>0.4</v>
      </c>
      <c r="M221" s="104"/>
      <c r="N221" s="106" t="s">
        <v>743</v>
      </c>
      <c r="O221" s="108" t="s">
        <v>148</v>
      </c>
      <c r="P221" s="80">
        <v>2018.0</v>
      </c>
      <c r="Q221" s="80" t="s">
        <v>860</v>
      </c>
      <c r="R221" s="106" t="s">
        <v>861</v>
      </c>
      <c r="S221" s="108" t="s">
        <v>1126</v>
      </c>
      <c r="T221" s="110" t="s">
        <v>96</v>
      </c>
      <c r="U221" s="110">
        <v>2.5</v>
      </c>
      <c r="V221" s="112">
        <v>0.0</v>
      </c>
      <c r="W221" s="112"/>
      <c r="X221" s="112"/>
      <c r="Y221" s="112"/>
    </row>
    <row r="222" ht="13.5" customHeight="1" outlineLevel="1">
      <c r="A222" s="80">
        <f t="shared" si="10"/>
        <v>4</v>
      </c>
      <c r="B222" s="84" t="s">
        <v>1127</v>
      </c>
      <c r="C222" s="84" t="s">
        <v>1128</v>
      </c>
      <c r="D222" s="95" t="str">
        <f>IFERROR(VLOOKUP(B222,' 02.1 KLH-CN MÃ BRAVO MM'!$B:$C,2,0),"")</f>
        <v>A23-MKE-026</v>
      </c>
      <c r="E222" s="95"/>
      <c r="F222" s="95" t="s">
        <v>79</v>
      </c>
      <c r="G222" s="86" t="s">
        <v>857</v>
      </c>
      <c r="H222" s="80" t="str">
        <f>VLOOKUP(G222,'01. TH'!$B:$E,3,0)</f>
        <v>3226 x 1570 x 1545</v>
      </c>
      <c r="I222" s="80" t="s">
        <v>1120</v>
      </c>
      <c r="J222" s="99">
        <v>43525.0</v>
      </c>
      <c r="K222" s="80" t="str">
        <f>IF(COUNTIF('TT BTSC'!$D:$D,B222)&gt;0,"Hư hỏng","Bình thường")</f>
        <v>Bình thường</v>
      </c>
      <c r="L222" s="102">
        <v>0.4</v>
      </c>
      <c r="M222" s="104"/>
      <c r="N222" s="106" t="s">
        <v>743</v>
      </c>
      <c r="O222" s="108" t="s">
        <v>148</v>
      </c>
      <c r="P222" s="80">
        <v>2018.0</v>
      </c>
      <c r="Q222" s="80" t="s">
        <v>860</v>
      </c>
      <c r="R222" s="106" t="s">
        <v>861</v>
      </c>
      <c r="S222" s="108" t="s">
        <v>1129</v>
      </c>
      <c r="T222" s="110" t="s">
        <v>96</v>
      </c>
      <c r="U222" s="110">
        <v>2.5</v>
      </c>
      <c r="V222" s="112">
        <v>0.0</v>
      </c>
      <c r="W222" s="112"/>
      <c r="X222" s="112"/>
      <c r="Y222" s="112"/>
    </row>
    <row r="223" ht="13.5" customHeight="1" outlineLevel="1">
      <c r="A223" s="80">
        <f t="shared" si="10"/>
        <v>5</v>
      </c>
      <c r="B223" s="84" t="s">
        <v>1130</v>
      </c>
      <c r="C223" s="84" t="s">
        <v>1131</v>
      </c>
      <c r="D223" s="95" t="str">
        <f>IFERROR(VLOOKUP(B223,' 02.1 KLH-CN MÃ BRAVO MM'!$B:$C,2,0),"")</f>
        <v>A23-MKE-027</v>
      </c>
      <c r="E223" s="95"/>
      <c r="F223" s="95" t="s">
        <v>79</v>
      </c>
      <c r="G223" s="86" t="s">
        <v>857</v>
      </c>
      <c r="H223" s="80" t="str">
        <f>VLOOKUP(G223,'01. TH'!$B:$E,3,0)</f>
        <v>3226 x 1570 x 1545</v>
      </c>
      <c r="I223" s="80" t="s">
        <v>1120</v>
      </c>
      <c r="J223" s="99">
        <v>43525.0</v>
      </c>
      <c r="K223" s="80" t="str">
        <f>IF(COUNTIF('TT BTSC'!$D:$D,B223)&gt;0,"Hư hỏng","Bình thường")</f>
        <v>Bình thường</v>
      </c>
      <c r="L223" s="102">
        <v>0.4</v>
      </c>
      <c r="M223" s="104"/>
      <c r="N223" s="106" t="s">
        <v>743</v>
      </c>
      <c r="O223" s="108" t="s">
        <v>148</v>
      </c>
      <c r="P223" s="80">
        <v>2018.0</v>
      </c>
      <c r="Q223" s="80" t="s">
        <v>860</v>
      </c>
      <c r="R223" s="106" t="s">
        <v>861</v>
      </c>
      <c r="S223" s="108" t="s">
        <v>1132</v>
      </c>
      <c r="T223" s="110" t="s">
        <v>96</v>
      </c>
      <c r="U223" s="110">
        <v>2.5</v>
      </c>
      <c r="V223" s="112">
        <v>0.0</v>
      </c>
      <c r="W223" s="112"/>
      <c r="X223" s="112"/>
      <c r="Y223" s="112"/>
    </row>
    <row r="224" ht="13.5" customHeight="1" outlineLevel="1">
      <c r="A224" s="80">
        <f t="shared" si="10"/>
        <v>6</v>
      </c>
      <c r="B224" s="84" t="s">
        <v>1020</v>
      </c>
      <c r="C224" s="84" t="s">
        <v>1133</v>
      </c>
      <c r="D224" s="95" t="str">
        <f>IFERROR(VLOOKUP(B224,' 02.1 KLH-CN MÃ BRAVO MM'!$B:$C,2,0),"")</f>
        <v>ATT-A23-0036</v>
      </c>
      <c r="E224" s="95"/>
      <c r="F224" s="95" t="s">
        <v>79</v>
      </c>
      <c r="G224" s="86" t="s">
        <v>219</v>
      </c>
      <c r="H224" s="80" t="str">
        <f>VLOOKUP(G224,'01. TH'!$B:$E,3,0)</f>
        <v>5260 x 1760 x 2415</v>
      </c>
      <c r="I224" s="80" t="s">
        <v>1120</v>
      </c>
      <c r="J224" s="99"/>
      <c r="K224" s="80" t="str">
        <f>IF(COUNTIF('TT BTSC'!$D:$D,B224)&gt;0,"Hư hỏng","Bình thường")</f>
        <v>Bình thường</v>
      </c>
      <c r="L224" s="106"/>
      <c r="M224" s="104"/>
      <c r="N224" s="106" t="s">
        <v>123</v>
      </c>
      <c r="O224" s="108" t="s">
        <v>84</v>
      </c>
      <c r="P224" s="80">
        <v>2006.0</v>
      </c>
      <c r="Q224" s="80" t="s">
        <v>223</v>
      </c>
      <c r="R224" s="106" t="s">
        <v>462</v>
      </c>
      <c r="S224" s="108">
        <v>8608.0</v>
      </c>
      <c r="T224" s="110" t="s">
        <v>96</v>
      </c>
      <c r="U224" s="140">
        <v>4.0</v>
      </c>
      <c r="V224" s="51"/>
      <c r="W224" s="51"/>
      <c r="X224" s="51"/>
      <c r="Y224" s="51"/>
    </row>
    <row r="225" ht="13.5" customHeight="1" outlineLevel="1">
      <c r="A225" s="80">
        <f t="shared" si="10"/>
        <v>7</v>
      </c>
      <c r="B225" s="84" t="s">
        <v>1134</v>
      </c>
      <c r="C225" s="84" t="s">
        <v>1136</v>
      </c>
      <c r="D225" s="95" t="str">
        <f>IFERROR(VLOOKUP(B225,' 02.1 KLH-CN MÃ BRAVO MM'!$B:$C,2,0),"")</f>
        <v>A23-MKE-028</v>
      </c>
      <c r="E225" s="95"/>
      <c r="F225" s="95" t="s">
        <v>79</v>
      </c>
      <c r="G225" s="86" t="s">
        <v>857</v>
      </c>
      <c r="H225" s="80" t="str">
        <f>VLOOKUP(G225,'01. TH'!$B:$E,3,0)</f>
        <v>3226 x 1570 x 1545</v>
      </c>
      <c r="I225" s="80" t="s">
        <v>1120</v>
      </c>
      <c r="J225" s="99"/>
      <c r="K225" s="80" t="str">
        <f>IF(COUNTIF('TT BTSC'!$D:$D,B225)&gt;0,"Hư hỏng","Bình thường")</f>
        <v>Bình thường</v>
      </c>
      <c r="L225" s="106"/>
      <c r="M225" s="104"/>
      <c r="N225" s="106" t="s">
        <v>743</v>
      </c>
      <c r="O225" s="108" t="s">
        <v>148</v>
      </c>
      <c r="P225" s="80">
        <v>2018.0</v>
      </c>
      <c r="Q225" s="80" t="s">
        <v>860</v>
      </c>
      <c r="R225" s="106" t="s">
        <v>861</v>
      </c>
      <c r="S225" s="108" t="s">
        <v>1137</v>
      </c>
      <c r="T225" s="110" t="s">
        <v>96</v>
      </c>
      <c r="U225" s="110">
        <v>2.0</v>
      </c>
      <c r="V225" s="112">
        <v>0.0</v>
      </c>
      <c r="W225" s="112"/>
      <c r="X225" s="112"/>
      <c r="Y225" s="112"/>
    </row>
    <row r="226" ht="13.5" customHeight="1" outlineLevel="1">
      <c r="A226" s="80">
        <f t="shared" si="10"/>
        <v>8</v>
      </c>
      <c r="B226" s="84" t="s">
        <v>1138</v>
      </c>
      <c r="C226" s="84" t="s">
        <v>1139</v>
      </c>
      <c r="D226" s="95" t="str">
        <f>IFERROR(VLOOKUP(B226,' 02.1 KLH-CN MÃ BRAVO MM'!$B:$C,2,0),"")</f>
        <v>A23-MKE-029</v>
      </c>
      <c r="E226" s="95"/>
      <c r="F226" s="95" t="s">
        <v>79</v>
      </c>
      <c r="G226" s="86" t="s">
        <v>875</v>
      </c>
      <c r="H226" s="80" t="str">
        <f>VLOOKUP(G226,'01. TH'!$B:$E,3,0)</f>
        <v>3120 x 1495 x 1510</v>
      </c>
      <c r="I226" s="80" t="s">
        <v>1120</v>
      </c>
      <c r="J226" s="99"/>
      <c r="K226" s="80" t="str">
        <f>IF(COUNTIF('TT BTSC'!$D:$D,B226)&gt;0,"Hư hỏng","Bình thường")</f>
        <v>Bình thường</v>
      </c>
      <c r="L226" s="106"/>
      <c r="M226" s="129" t="s">
        <v>1140</v>
      </c>
      <c r="N226" s="106" t="s">
        <v>454</v>
      </c>
      <c r="O226" s="108" t="s">
        <v>84</v>
      </c>
      <c r="P226" s="80">
        <v>2019.0</v>
      </c>
      <c r="Q226" s="80" t="s">
        <v>878</v>
      </c>
      <c r="R226" s="106" t="s">
        <v>101</v>
      </c>
      <c r="S226" s="108">
        <v>14716.0</v>
      </c>
      <c r="T226" s="110" t="s">
        <v>96</v>
      </c>
      <c r="U226" s="110">
        <v>2.5</v>
      </c>
      <c r="V226" s="112">
        <v>0.0</v>
      </c>
      <c r="W226" s="112"/>
      <c r="X226" s="112"/>
      <c r="Y226" s="112"/>
    </row>
    <row r="227" ht="13.5" customHeight="1" outlineLevel="1">
      <c r="A227" s="80">
        <f t="shared" si="10"/>
        <v>9</v>
      </c>
      <c r="B227" s="84" t="s">
        <v>1141</v>
      </c>
      <c r="C227" s="84" t="s">
        <v>1142</v>
      </c>
      <c r="D227" s="95" t="str">
        <f>IFERROR(VLOOKUP(B227,' 02.1 KLH-CN MÃ BRAVO MM'!$B:$C,2,0),"")</f>
        <v>A23-XPT-003</v>
      </c>
      <c r="E227" s="95"/>
      <c r="F227" s="95" t="s">
        <v>79</v>
      </c>
      <c r="G227" s="86" t="s">
        <v>1143</v>
      </c>
      <c r="H227" s="80" t="str">
        <f>VLOOKUP(G227,'01. TH'!$B:$E,3,0)</f>
        <v/>
      </c>
      <c r="I227" s="80" t="s">
        <v>1120</v>
      </c>
      <c r="J227" s="99"/>
      <c r="K227" s="80" t="str">
        <f>IF(COUNTIF('TT BTSC'!$D:$D,B227)&gt;0,"Hư hỏng","Bình thường")</f>
        <v>Bình thường</v>
      </c>
      <c r="L227" s="106"/>
      <c r="M227" s="104"/>
      <c r="N227" s="106" t="s">
        <v>300</v>
      </c>
      <c r="O227" s="108" t="s">
        <v>148</v>
      </c>
      <c r="P227" s="80">
        <v>2018.0</v>
      </c>
      <c r="Q227" s="80" t="s">
        <v>1144</v>
      </c>
      <c r="R227" s="106" t="s">
        <v>112</v>
      </c>
      <c r="S227" s="108" t="s">
        <v>1146</v>
      </c>
      <c r="T227" s="110" t="s">
        <v>1147</v>
      </c>
      <c r="U227" s="110">
        <v>5.0</v>
      </c>
      <c r="V227" s="112">
        <v>0.0</v>
      </c>
      <c r="W227" s="112"/>
      <c r="X227" s="112"/>
      <c r="Y227" s="112"/>
    </row>
    <row r="228" ht="13.5" customHeight="1" outlineLevel="1">
      <c r="A228" s="80">
        <f t="shared" si="10"/>
        <v>10</v>
      </c>
      <c r="B228" s="84" t="s">
        <v>1148</v>
      </c>
      <c r="C228" s="86"/>
      <c r="D228" s="95" t="str">
        <f>IFERROR(VLOOKUP(B228,' 02.1 KLH-CN MÃ BRAVO MM'!$B:$C,2,0),"")</f>
        <v>ATT-A22-0316</v>
      </c>
      <c r="E228" s="80" t="s">
        <v>1149</v>
      </c>
      <c r="F228" s="95" t="s">
        <v>154</v>
      </c>
      <c r="G228" s="86" t="s">
        <v>896</v>
      </c>
      <c r="H228" s="80" t="str">
        <f>VLOOKUP(G228,'01. TH'!$B:$E,3,0)</f>
        <v>4730 x 1750 x 2100</v>
      </c>
      <c r="I228" s="80" t="s">
        <v>1120</v>
      </c>
      <c r="J228" s="99">
        <v>45566.0</v>
      </c>
      <c r="K228" s="80" t="str">
        <f>IF(COUNTIF('TT BTSC'!$D:$D,B228)&gt;0,"Hư hỏng","Bình thường")</f>
        <v>Bình thường</v>
      </c>
      <c r="L228" s="102">
        <v>0.98</v>
      </c>
      <c r="M228" s="104"/>
      <c r="N228" s="106" t="s">
        <v>897</v>
      </c>
      <c r="O228" s="108" t="s">
        <v>148</v>
      </c>
      <c r="P228" s="80">
        <v>2021.0</v>
      </c>
      <c r="Q228" s="80" t="s">
        <v>898</v>
      </c>
      <c r="R228" s="106" t="s">
        <v>158</v>
      </c>
      <c r="S228" s="108" t="s">
        <v>1151</v>
      </c>
      <c r="T228" s="110" t="s">
        <v>1152</v>
      </c>
      <c r="U228" s="110"/>
      <c r="V228" s="112">
        <v>60.0</v>
      </c>
      <c r="W228" s="112"/>
      <c r="X228" s="112"/>
      <c r="Y228" s="112"/>
    </row>
    <row r="229" ht="13.5" customHeight="1" outlineLevel="1">
      <c r="A229" s="80">
        <f t="shared" si="10"/>
        <v>11</v>
      </c>
      <c r="B229" s="86" t="s">
        <v>1153</v>
      </c>
      <c r="C229" s="84"/>
      <c r="D229" s="95" t="str">
        <f>IFERROR(VLOOKUP(B229,' 02.1 KLH-CN MÃ BRAVO MM'!$B:$C,2,0),"")</f>
        <v>ATT-A23-0044</v>
      </c>
      <c r="E229" s="95"/>
      <c r="F229" s="95" t="s">
        <v>154</v>
      </c>
      <c r="G229" s="86" t="s">
        <v>1154</v>
      </c>
      <c r="H229" s="80" t="str">
        <f>VLOOKUP(G229,'01. TH'!$B:$E,3,0)</f>
        <v/>
      </c>
      <c r="I229" s="80" t="s">
        <v>1120</v>
      </c>
      <c r="J229" s="99"/>
      <c r="K229" s="80" t="str">
        <f>IF(COUNTIF('TT BTSC'!$D:$D,B229)&gt;0,"Hư hỏng","Bình thường")</f>
        <v>Bình thường</v>
      </c>
      <c r="L229" s="102"/>
      <c r="M229" s="129" t="s">
        <v>1156</v>
      </c>
      <c r="N229" s="80" t="s">
        <v>1157</v>
      </c>
      <c r="O229" s="108" t="s">
        <v>260</v>
      </c>
      <c r="P229" s="80">
        <v>2022.0</v>
      </c>
      <c r="Q229" s="80" t="s">
        <v>1158</v>
      </c>
      <c r="R229" s="80" t="s">
        <v>1159</v>
      </c>
      <c r="S229" s="108" t="s">
        <v>1160</v>
      </c>
      <c r="T229" s="110" t="s">
        <v>1161</v>
      </c>
      <c r="U229" s="110">
        <v>0.0</v>
      </c>
      <c r="V229" s="112">
        <v>0.0</v>
      </c>
      <c r="W229" s="112"/>
      <c r="X229" s="112"/>
      <c r="Y229" s="112"/>
    </row>
    <row r="230" ht="13.5" customHeight="1" outlineLevel="1">
      <c r="A230" s="80">
        <f t="shared" si="10"/>
        <v>12</v>
      </c>
      <c r="B230" s="86" t="s">
        <v>1162</v>
      </c>
      <c r="C230" s="84"/>
      <c r="D230" s="95" t="str">
        <f>IFERROR(VLOOKUP(B230,' 02.1 KLH-CN MÃ BRAVO MM'!$B:$C,2,0),"")</f>
        <v>ATT-A23-0044</v>
      </c>
      <c r="E230" s="95"/>
      <c r="F230" s="95" t="s">
        <v>154</v>
      </c>
      <c r="G230" s="86" t="s">
        <v>880</v>
      </c>
      <c r="H230" s="80" t="str">
        <f>VLOOKUP(G230,'01. TH'!$B:$E,3,0)</f>
        <v/>
      </c>
      <c r="I230" s="80" t="s">
        <v>1120</v>
      </c>
      <c r="J230" s="99"/>
      <c r="K230" s="80" t="str">
        <f>IF(COUNTIF('TT BTSC'!$D:$D,B230)&gt;0,"Hư hỏng","Bình thường")</f>
        <v>Bình thường</v>
      </c>
      <c r="L230" s="102"/>
      <c r="M230" s="129"/>
      <c r="N230" s="80" t="s">
        <v>123</v>
      </c>
      <c r="O230" s="108" t="s">
        <v>222</v>
      </c>
      <c r="P230" s="80">
        <v>2008.0</v>
      </c>
      <c r="Q230" s="80" t="s">
        <v>1163</v>
      </c>
      <c r="R230" s="80"/>
      <c r="S230" s="108">
        <v>809168.0</v>
      </c>
      <c r="T230" s="201">
        <v>39630.0</v>
      </c>
      <c r="U230" s="110"/>
      <c r="V230" s="112">
        <v>0.0</v>
      </c>
      <c r="W230" s="112"/>
      <c r="X230" s="112"/>
      <c r="Y230" s="112"/>
    </row>
    <row r="231" ht="13.5" customHeight="1" outlineLevel="1">
      <c r="A231" s="80">
        <f t="shared" si="10"/>
        <v>13</v>
      </c>
      <c r="B231" s="86" t="s">
        <v>1164</v>
      </c>
      <c r="C231" s="84"/>
      <c r="D231" s="95" t="s">
        <v>1165</v>
      </c>
      <c r="E231" s="95"/>
      <c r="F231" s="95" t="s">
        <v>154</v>
      </c>
      <c r="G231" s="86" t="s">
        <v>880</v>
      </c>
      <c r="H231" s="80" t="str">
        <f>VLOOKUP(G231,'01. TH'!$B:$E,3,0)</f>
        <v/>
      </c>
      <c r="I231" s="80" t="s">
        <v>1120</v>
      </c>
      <c r="J231" s="99">
        <v>45669.0</v>
      </c>
      <c r="K231" s="80" t="str">
        <f>IF(COUNTIF('TT BTSC'!$D:$D,B231)&gt;0,"Hư hỏng","Bình thường")</f>
        <v>Bình thường</v>
      </c>
      <c r="L231" s="102"/>
      <c r="M231" s="141" t="s">
        <v>890</v>
      </c>
      <c r="N231" s="80" t="s">
        <v>739</v>
      </c>
      <c r="O231" s="108" t="s">
        <v>260</v>
      </c>
      <c r="P231" s="80">
        <v>2025.0</v>
      </c>
      <c r="Q231" s="80" t="s">
        <v>1071</v>
      </c>
      <c r="R231" s="80" t="s">
        <v>1166</v>
      </c>
      <c r="S231" s="108" t="s">
        <v>1167</v>
      </c>
      <c r="T231" s="110" t="s">
        <v>1168</v>
      </c>
      <c r="U231" s="110"/>
      <c r="V231" s="112"/>
      <c r="W231" s="112" t="s">
        <v>739</v>
      </c>
      <c r="X231" s="112"/>
      <c r="Y231" s="112"/>
    </row>
    <row r="232" ht="13.5" customHeight="1" outlineLevel="1">
      <c r="A232" s="80">
        <f t="shared" si="10"/>
        <v>14</v>
      </c>
      <c r="B232" s="86" t="s">
        <v>1169</v>
      </c>
      <c r="C232" s="84"/>
      <c r="D232" s="95" t="s">
        <v>1170</v>
      </c>
      <c r="E232" s="95"/>
      <c r="F232" s="95" t="s">
        <v>154</v>
      </c>
      <c r="G232" s="86" t="s">
        <v>889</v>
      </c>
      <c r="H232" s="80"/>
      <c r="I232" s="80" t="s">
        <v>1120</v>
      </c>
      <c r="J232" s="99">
        <v>46361.0</v>
      </c>
      <c r="K232" s="80" t="str">
        <f>IF(COUNTIF('TT BTSC'!$D:$D,B232)&gt;0,"Hư hỏng","Bình thường")</f>
        <v>Bình thường</v>
      </c>
      <c r="L232" s="102"/>
      <c r="M232" s="141" t="s">
        <v>890</v>
      </c>
      <c r="N232" s="80" t="s">
        <v>739</v>
      </c>
      <c r="O232" s="108" t="s">
        <v>260</v>
      </c>
      <c r="P232" s="80">
        <v>2026.0</v>
      </c>
      <c r="Q232" s="80" t="s">
        <v>891</v>
      </c>
      <c r="R232" s="80" t="s">
        <v>892</v>
      </c>
      <c r="S232" s="108" t="s">
        <v>1171</v>
      </c>
      <c r="T232" s="110"/>
      <c r="U232" s="110"/>
      <c r="V232" s="112"/>
      <c r="W232" s="112"/>
      <c r="X232" s="112"/>
      <c r="Y232" s="112"/>
    </row>
    <row r="233" ht="13.5" customHeight="1" outlineLevel="1">
      <c r="A233" s="80">
        <f t="shared" si="10"/>
        <v>15</v>
      </c>
      <c r="B233" s="86" t="s">
        <v>1172</v>
      </c>
      <c r="C233" s="84"/>
      <c r="D233" s="95" t="str">
        <f>IFERROR(VLOOKUP(B233,' 02.1 KLH-CN MÃ BRAVO MM'!$B:$C,2,0),"")</f>
        <v>A23-XTA-021</v>
      </c>
      <c r="E233" s="95" t="s">
        <v>1173</v>
      </c>
      <c r="F233" s="95" t="s">
        <v>154</v>
      </c>
      <c r="G233" s="86" t="s">
        <v>919</v>
      </c>
      <c r="H233" s="80" t="str">
        <f>VLOOKUP(G233,'01. TH'!$B:$E,3,0)</f>
        <v>5250 x 2170 x 2520</v>
      </c>
      <c r="I233" s="80" t="s">
        <v>1120</v>
      </c>
      <c r="J233" s="80" t="s">
        <v>966</v>
      </c>
      <c r="K233" s="80" t="str">
        <f>IF(COUNTIF('TT BTSC'!$D:$D,B233)&gt;0,"Hư hỏng","Bình thường")</f>
        <v>Bình thường</v>
      </c>
      <c r="L233" s="102"/>
      <c r="M233" s="129" t="s">
        <v>1174</v>
      </c>
      <c r="N233" s="80" t="s">
        <v>466</v>
      </c>
      <c r="O233" s="108" t="s">
        <v>648</v>
      </c>
      <c r="P233" s="80">
        <v>2024.0</v>
      </c>
      <c r="Q233" s="80" t="s">
        <v>921</v>
      </c>
      <c r="R233" s="80" t="s">
        <v>922</v>
      </c>
      <c r="S233" s="108" t="s">
        <v>1175</v>
      </c>
      <c r="T233" s="110" t="s">
        <v>1176</v>
      </c>
      <c r="U233" s="110">
        <v>0.33</v>
      </c>
      <c r="V233" s="112">
        <v>75.0</v>
      </c>
      <c r="W233" s="112"/>
      <c r="X233" s="112"/>
      <c r="Y233" s="112"/>
    </row>
    <row r="234" ht="13.5" customHeight="1" outlineLevel="1">
      <c r="A234" s="80">
        <f t="shared" si="10"/>
        <v>16</v>
      </c>
      <c r="B234" s="86" t="s">
        <v>1177</v>
      </c>
      <c r="C234" s="84"/>
      <c r="D234" s="95" t="str">
        <f>IFERROR(VLOOKUP(B234,' 02.1 KLH-CN MÃ BRAVO MM'!$B:$C,2,0),"")</f>
        <v>A23-XTA-022</v>
      </c>
      <c r="E234" s="95" t="s">
        <v>1178</v>
      </c>
      <c r="F234" s="95" t="s">
        <v>154</v>
      </c>
      <c r="G234" s="86" t="s">
        <v>919</v>
      </c>
      <c r="H234" s="80" t="str">
        <f>VLOOKUP(G234,'01. TH'!$B:$E,3,0)</f>
        <v>5250 x 2170 x 2520</v>
      </c>
      <c r="I234" s="80" t="s">
        <v>1120</v>
      </c>
      <c r="J234" s="80" t="s">
        <v>966</v>
      </c>
      <c r="K234" s="80" t="str">
        <f>IF(COUNTIF('TT BTSC'!$D:$D,B234)&gt;0,"Hư hỏng","Bình thường")</f>
        <v>Bình thường</v>
      </c>
      <c r="L234" s="102"/>
      <c r="M234" s="129" t="s">
        <v>1174</v>
      </c>
      <c r="N234" s="80" t="s">
        <v>466</v>
      </c>
      <c r="O234" s="108" t="s">
        <v>648</v>
      </c>
      <c r="P234" s="80">
        <v>2024.0</v>
      </c>
      <c r="Q234" s="80" t="s">
        <v>921</v>
      </c>
      <c r="R234" s="80" t="s">
        <v>922</v>
      </c>
      <c r="S234" s="108" t="s">
        <v>1179</v>
      </c>
      <c r="T234" s="110" t="s">
        <v>1180</v>
      </c>
      <c r="U234" s="110">
        <v>0.33</v>
      </c>
      <c r="V234" s="112">
        <v>75.0</v>
      </c>
      <c r="W234" s="112"/>
      <c r="X234" s="112"/>
      <c r="Y234" s="112"/>
    </row>
    <row r="235" ht="33.0" customHeight="1" outlineLevel="1">
      <c r="A235" s="80">
        <f t="shared" si="10"/>
        <v>17</v>
      </c>
      <c r="B235" s="86" t="s">
        <v>1181</v>
      </c>
      <c r="C235" s="86" t="s">
        <v>1182</v>
      </c>
      <c r="D235" s="95" t="str">
        <f>IFERROR(VLOOKUP(C235,' 02.1 KLH-CN MÃ BRAVO MM'!$B:$C,2,0),"")</f>
        <v>A24-XTA-006</v>
      </c>
      <c r="E235" s="95"/>
      <c r="F235" s="95" t="s">
        <v>154</v>
      </c>
      <c r="G235" s="86" t="s">
        <v>919</v>
      </c>
      <c r="H235" s="80" t="str">
        <f>VLOOKUP(G235,'01. TH'!$B:$E,3,0)</f>
        <v>5250 x 2170 x 2520</v>
      </c>
      <c r="I235" s="80" t="s">
        <v>1120</v>
      </c>
      <c r="J235" s="99">
        <v>45569.0</v>
      </c>
      <c r="K235" s="80" t="str">
        <f>IF(COUNTIF('TT BTSC'!$D:$D,B235)&gt;0,"Hư hỏng","Bình thường")</f>
        <v>Bình thường</v>
      </c>
      <c r="L235" s="106"/>
      <c r="M235" s="155" t="s">
        <v>1183</v>
      </c>
      <c r="N235" s="80" t="s">
        <v>300</v>
      </c>
      <c r="O235" s="108" t="s">
        <v>148</v>
      </c>
      <c r="P235" s="80">
        <v>2023.0</v>
      </c>
      <c r="Q235" s="80" t="s">
        <v>921</v>
      </c>
      <c r="R235" s="80" t="s">
        <v>682</v>
      </c>
      <c r="S235" s="108" t="s">
        <v>1184</v>
      </c>
      <c r="T235" s="110" t="s">
        <v>1185</v>
      </c>
      <c r="U235" s="110">
        <v>0.33</v>
      </c>
      <c r="V235" s="112">
        <v>75.0</v>
      </c>
      <c r="W235" s="112"/>
      <c r="X235" s="112"/>
      <c r="Y235" s="112"/>
    </row>
    <row r="236" ht="33.0" customHeight="1" outlineLevel="1">
      <c r="A236" s="80">
        <f t="shared" si="10"/>
        <v>18</v>
      </c>
      <c r="B236" s="86" t="s">
        <v>1186</v>
      </c>
      <c r="C236" s="86" t="s">
        <v>1187</v>
      </c>
      <c r="D236" s="95" t="str">
        <f>IFERROR(VLOOKUP(C236,' 02.1 KLH-CN MÃ BRAVO MM'!$B:$C,2,0),"")</f>
        <v>A24-XTA-007</v>
      </c>
      <c r="E236" s="95"/>
      <c r="F236" s="95" t="s">
        <v>154</v>
      </c>
      <c r="G236" s="86" t="s">
        <v>919</v>
      </c>
      <c r="H236" s="80" t="str">
        <f>VLOOKUP(G236,'01. TH'!$B:$E,3,0)</f>
        <v>5250 x 2170 x 2520</v>
      </c>
      <c r="I236" s="80" t="s">
        <v>1120</v>
      </c>
      <c r="J236" s="99">
        <v>45569.0</v>
      </c>
      <c r="K236" s="80" t="str">
        <f>IF(COUNTIF('TT BTSC'!$D:$D,B236)&gt;0,"Hư hỏng","Bình thường")</f>
        <v>Bình thường</v>
      </c>
      <c r="L236" s="106"/>
      <c r="M236" s="155" t="s">
        <v>1188</v>
      </c>
      <c r="N236" s="80" t="s">
        <v>300</v>
      </c>
      <c r="O236" s="108" t="s">
        <v>148</v>
      </c>
      <c r="P236" s="80">
        <v>2023.0</v>
      </c>
      <c r="Q236" s="80" t="s">
        <v>921</v>
      </c>
      <c r="R236" s="80" t="s">
        <v>682</v>
      </c>
      <c r="S236" s="108" t="s">
        <v>1189</v>
      </c>
      <c r="T236" s="110" t="s">
        <v>1190</v>
      </c>
      <c r="U236" s="110">
        <v>0.33</v>
      </c>
      <c r="V236" s="112">
        <v>75.0</v>
      </c>
      <c r="W236" s="112"/>
      <c r="X236" s="112"/>
      <c r="Y236" s="112"/>
    </row>
    <row r="237" ht="29.25" customHeight="1" outlineLevel="1">
      <c r="A237" s="80">
        <f t="shared" si="10"/>
        <v>19</v>
      </c>
      <c r="B237" s="86" t="s">
        <v>1191</v>
      </c>
      <c r="C237" s="113" t="s">
        <v>1192</v>
      </c>
      <c r="D237" s="95" t="str">
        <f>IFERROR(VLOOKUP(C237,' 02.1 KLH-CN MÃ BRAVO MM'!$B:$C,2,0),"")</f>
        <v>A23-XTA-007</v>
      </c>
      <c r="E237" s="95"/>
      <c r="F237" s="95" t="s">
        <v>79</v>
      </c>
      <c r="G237" s="115" t="s">
        <v>419</v>
      </c>
      <c r="H237" s="80" t="str">
        <f>VLOOKUP(G237,'01. TH'!$B:$E,3,0)</f>
        <v>6170 x 2330 x 2750</v>
      </c>
      <c r="I237" s="80" t="s">
        <v>1120</v>
      </c>
      <c r="J237" s="95" t="s">
        <v>1193</v>
      </c>
      <c r="K237" s="80" t="str">
        <f>IF(COUNTIF('TT BTSC'!$D:$D,B237)&gt;0,"Hư hỏng","Bình thường")</f>
        <v>Bình thường</v>
      </c>
      <c r="L237" s="119"/>
      <c r="M237" s="155" t="s">
        <v>1194</v>
      </c>
      <c r="N237" s="119" t="s">
        <v>300</v>
      </c>
      <c r="O237" s="110" t="s">
        <v>148</v>
      </c>
      <c r="P237" s="95">
        <v>2010.0</v>
      </c>
      <c r="Q237" s="95" t="s">
        <v>1195</v>
      </c>
      <c r="R237" s="119" t="s">
        <v>413</v>
      </c>
      <c r="S237" s="110" t="s">
        <v>1196</v>
      </c>
      <c r="T237" s="110" t="s">
        <v>96</v>
      </c>
      <c r="U237" s="110"/>
      <c r="V237" s="112">
        <v>150.0</v>
      </c>
      <c r="W237" s="112"/>
      <c r="X237" s="112"/>
      <c r="Y237" s="112"/>
    </row>
    <row r="238" ht="13.5" customHeight="1" outlineLevel="1">
      <c r="A238" s="80">
        <f t="shared" si="10"/>
        <v>20</v>
      </c>
      <c r="B238" s="86" t="s">
        <v>1197</v>
      </c>
      <c r="C238" s="86"/>
      <c r="D238" s="95" t="s">
        <v>1198</v>
      </c>
      <c r="E238" s="95"/>
      <c r="F238" s="95" t="s">
        <v>154</v>
      </c>
      <c r="G238" s="86" t="s">
        <v>946</v>
      </c>
      <c r="H238" s="80" t="str">
        <f>VLOOKUP(G238,'01. TH'!$B:$E,3,0)</f>
        <v/>
      </c>
      <c r="I238" s="80" t="s">
        <v>1120</v>
      </c>
      <c r="J238" s="137" t="s">
        <v>947</v>
      </c>
      <c r="K238" s="80" t="str">
        <f>IF(COUNTIF('TT BTSC'!$D:$D,B238)&gt;0,"Hư hỏng","Bình thường")</f>
        <v>Bình thường</v>
      </c>
      <c r="L238" s="102"/>
      <c r="M238" s="141" t="s">
        <v>890</v>
      </c>
      <c r="N238" s="80" t="s">
        <v>673</v>
      </c>
      <c r="O238" s="108" t="s">
        <v>948</v>
      </c>
      <c r="P238" s="80">
        <v>2022.0</v>
      </c>
      <c r="Q238" s="80" t="s">
        <v>949</v>
      </c>
      <c r="R238" s="80" t="s">
        <v>950</v>
      </c>
      <c r="S238" s="108">
        <v>203055.0</v>
      </c>
      <c r="T238" s="110" t="s">
        <v>1199</v>
      </c>
      <c r="U238" s="110">
        <v>0.5</v>
      </c>
      <c r="V238" s="112">
        <v>0.0</v>
      </c>
      <c r="W238" s="112"/>
      <c r="X238" s="112"/>
      <c r="Y238" s="112"/>
    </row>
    <row r="239" ht="13.5" customHeight="1" outlineLevel="1">
      <c r="A239" s="80">
        <f t="shared" si="10"/>
        <v>21</v>
      </c>
      <c r="B239" s="86" t="s">
        <v>1200</v>
      </c>
      <c r="C239" s="86"/>
      <c r="D239" s="95" t="s">
        <v>1201</v>
      </c>
      <c r="E239" s="95"/>
      <c r="F239" s="95" t="s">
        <v>154</v>
      </c>
      <c r="G239" s="86" t="s">
        <v>946</v>
      </c>
      <c r="H239" s="80" t="str">
        <f>VLOOKUP(G239,'01. TH'!$B:$E,3,0)</f>
        <v/>
      </c>
      <c r="I239" s="80" t="s">
        <v>1120</v>
      </c>
      <c r="J239" s="137" t="s">
        <v>947</v>
      </c>
      <c r="K239" s="80" t="str">
        <f>IF(COUNTIF('TT BTSC'!$D:$D,B239)&gt;0,"Hư hỏng","Bình thường")</f>
        <v>Bình thường</v>
      </c>
      <c r="L239" s="102"/>
      <c r="M239" s="141" t="s">
        <v>890</v>
      </c>
      <c r="N239" s="80" t="s">
        <v>673</v>
      </c>
      <c r="O239" s="108" t="s">
        <v>948</v>
      </c>
      <c r="P239" s="80">
        <v>2022.0</v>
      </c>
      <c r="Q239" s="80" t="s">
        <v>949</v>
      </c>
      <c r="R239" s="80" t="s">
        <v>950</v>
      </c>
      <c r="S239" s="108">
        <v>203059.0</v>
      </c>
      <c r="T239" s="110" t="s">
        <v>1202</v>
      </c>
      <c r="U239" s="110">
        <v>0.5</v>
      </c>
      <c r="V239" s="112">
        <v>0.0</v>
      </c>
      <c r="W239" s="112"/>
      <c r="X239" s="112"/>
      <c r="Y239" s="112"/>
    </row>
    <row r="240" ht="13.5" customHeight="1" outlineLevel="1">
      <c r="A240" s="80">
        <f t="shared" si="10"/>
        <v>22</v>
      </c>
      <c r="B240" s="86" t="s">
        <v>1203</v>
      </c>
      <c r="C240" s="86"/>
      <c r="D240" s="95" t="s">
        <v>1204</v>
      </c>
      <c r="E240" s="95"/>
      <c r="F240" s="95" t="s">
        <v>154</v>
      </c>
      <c r="G240" s="86" t="s">
        <v>946</v>
      </c>
      <c r="H240" s="80" t="str">
        <f>VLOOKUP(G240,'01. TH'!$B:$E,3,0)</f>
        <v/>
      </c>
      <c r="I240" s="80" t="s">
        <v>1120</v>
      </c>
      <c r="J240" s="137" t="s">
        <v>947</v>
      </c>
      <c r="K240" s="80" t="str">
        <f>IF(COUNTIF('TT BTSC'!$D:$D,B240)&gt;0,"Hư hỏng","Bình thường")</f>
        <v>Bình thường</v>
      </c>
      <c r="L240" s="102"/>
      <c r="M240" s="141" t="s">
        <v>890</v>
      </c>
      <c r="N240" s="80" t="s">
        <v>673</v>
      </c>
      <c r="O240" s="108" t="s">
        <v>948</v>
      </c>
      <c r="P240" s="80">
        <v>2022.0</v>
      </c>
      <c r="Q240" s="80" t="s">
        <v>949</v>
      </c>
      <c r="R240" s="80" t="s">
        <v>950</v>
      </c>
      <c r="S240" s="108">
        <v>203061.0</v>
      </c>
      <c r="T240" s="110" t="s">
        <v>1205</v>
      </c>
      <c r="U240" s="110">
        <v>0.5</v>
      </c>
      <c r="V240" s="112">
        <v>0.0</v>
      </c>
      <c r="W240" s="112"/>
      <c r="X240" s="112"/>
      <c r="Y240" s="112"/>
    </row>
    <row r="241" ht="13.5" customHeight="1" outlineLevel="1">
      <c r="A241" s="80">
        <f t="shared" si="10"/>
        <v>23</v>
      </c>
      <c r="B241" s="86" t="s">
        <v>1206</v>
      </c>
      <c r="C241" s="86"/>
      <c r="D241" s="95" t="s">
        <v>1207</v>
      </c>
      <c r="E241" s="95"/>
      <c r="F241" s="95" t="s">
        <v>154</v>
      </c>
      <c r="G241" s="86" t="s">
        <v>946</v>
      </c>
      <c r="H241" s="80" t="str">
        <f>VLOOKUP(G241,'01. TH'!$B:$E,3,0)</f>
        <v/>
      </c>
      <c r="I241" s="80" t="s">
        <v>1120</v>
      </c>
      <c r="J241" s="137" t="s">
        <v>947</v>
      </c>
      <c r="K241" s="80" t="str">
        <f>IF(COUNTIF('TT BTSC'!$D:$D,B241)&gt;0,"Hư hỏng","Bình thường")</f>
        <v>Bình thường</v>
      </c>
      <c r="L241" s="102"/>
      <c r="M241" s="141" t="s">
        <v>890</v>
      </c>
      <c r="N241" s="80" t="s">
        <v>673</v>
      </c>
      <c r="O241" s="108" t="s">
        <v>948</v>
      </c>
      <c r="P241" s="80">
        <v>2022.0</v>
      </c>
      <c r="Q241" s="80" t="s">
        <v>949</v>
      </c>
      <c r="R241" s="80" t="s">
        <v>950</v>
      </c>
      <c r="S241" s="108">
        <v>203176.0</v>
      </c>
      <c r="T241" s="110" t="s">
        <v>1208</v>
      </c>
      <c r="U241" s="110">
        <v>0.5</v>
      </c>
      <c r="V241" s="112">
        <v>0.0</v>
      </c>
      <c r="W241" s="112"/>
      <c r="X241" s="112"/>
      <c r="Y241" s="112"/>
    </row>
    <row r="242" ht="13.5" customHeight="1" outlineLevel="1">
      <c r="A242" s="80">
        <f t="shared" si="10"/>
        <v>24</v>
      </c>
      <c r="B242" s="86" t="s">
        <v>1209</v>
      </c>
      <c r="C242" s="86"/>
      <c r="D242" s="95" t="s">
        <v>1210</v>
      </c>
      <c r="E242" s="95"/>
      <c r="F242" s="95" t="s">
        <v>154</v>
      </c>
      <c r="G242" s="86" t="s">
        <v>975</v>
      </c>
      <c r="H242" s="80" t="str">
        <f>VLOOKUP(G242,'01. TH'!$B:$E,3,0)</f>
        <v/>
      </c>
      <c r="I242" s="80" t="s">
        <v>1120</v>
      </c>
      <c r="J242" s="80" t="s">
        <v>976</v>
      </c>
      <c r="K242" s="80" t="str">
        <f>IF(COUNTIF('TT BTSC'!$D:$D,B242)&gt;0,"Hư hỏng","Bình thường")</f>
        <v>Bình thường</v>
      </c>
      <c r="L242" s="102"/>
      <c r="M242" s="141" t="s">
        <v>890</v>
      </c>
      <c r="N242" s="80" t="s">
        <v>1212</v>
      </c>
      <c r="O242" s="108" t="s">
        <v>979</v>
      </c>
      <c r="P242" s="80"/>
      <c r="Q242" s="80" t="s">
        <v>1213</v>
      </c>
      <c r="R242" s="80" t="s">
        <v>981</v>
      </c>
      <c r="S242" s="108" t="s">
        <v>1214</v>
      </c>
      <c r="T242" s="110">
        <v>12168.0</v>
      </c>
      <c r="U242" s="186">
        <v>2.3</v>
      </c>
      <c r="V242" s="112">
        <v>0.0</v>
      </c>
      <c r="W242" s="112"/>
      <c r="X242" s="112"/>
      <c r="Y242" s="112"/>
    </row>
    <row r="243" ht="13.5" customHeight="1" outlineLevel="1">
      <c r="A243" s="80">
        <f t="shared" si="10"/>
        <v>25</v>
      </c>
      <c r="B243" s="86" t="s">
        <v>1215</v>
      </c>
      <c r="C243" s="86"/>
      <c r="D243" s="95" t="s">
        <v>1216</v>
      </c>
      <c r="E243" s="95"/>
      <c r="F243" s="95" t="s">
        <v>154</v>
      </c>
      <c r="G243" s="161" t="s">
        <v>985</v>
      </c>
      <c r="H243" s="80" t="str">
        <f>VLOOKUP(G243,'01. TH'!$B:$E,3,0)</f>
        <v/>
      </c>
      <c r="I243" s="80" t="s">
        <v>1120</v>
      </c>
      <c r="J243" s="137" t="s">
        <v>986</v>
      </c>
      <c r="K243" s="80" t="str">
        <f>IF(COUNTIF('TT BTSC'!$D:$D,B243)&gt;0,"Hư hỏng","Bình thường")</f>
        <v>Bình thường</v>
      </c>
      <c r="L243" s="102"/>
      <c r="M243" s="104" t="s">
        <v>890</v>
      </c>
      <c r="N243" s="80" t="s">
        <v>987</v>
      </c>
      <c r="O243" s="108" t="s">
        <v>148</v>
      </c>
      <c r="P243" s="80">
        <v>2025.0</v>
      </c>
      <c r="Q243" s="80" t="s">
        <v>988</v>
      </c>
      <c r="R243" s="80" t="s">
        <v>970</v>
      </c>
      <c r="S243" s="108" t="s">
        <v>1217</v>
      </c>
      <c r="T243" s="110" t="s">
        <v>1218</v>
      </c>
      <c r="U243" s="186">
        <v>1.8</v>
      </c>
      <c r="V243" s="112">
        <v>0.0</v>
      </c>
      <c r="W243" s="112"/>
      <c r="X243" s="112"/>
      <c r="Y243" s="112"/>
    </row>
    <row r="244" ht="13.5" customHeight="1" outlineLevel="1">
      <c r="A244" s="80">
        <f t="shared" si="10"/>
        <v>26</v>
      </c>
      <c r="B244" s="86" t="s">
        <v>1219</v>
      </c>
      <c r="C244" s="86"/>
      <c r="D244" s="95" t="s">
        <v>1220</v>
      </c>
      <c r="E244" s="95"/>
      <c r="F244" s="95" t="s">
        <v>154</v>
      </c>
      <c r="G244" s="161" t="s">
        <v>985</v>
      </c>
      <c r="H244" s="80" t="str">
        <f>VLOOKUP(G244,'01. TH'!$B:$E,3,0)</f>
        <v/>
      </c>
      <c r="I244" s="80" t="s">
        <v>1120</v>
      </c>
      <c r="J244" s="137" t="s">
        <v>986</v>
      </c>
      <c r="K244" s="80" t="str">
        <f>IF(COUNTIF('TT BTSC'!$D:$D,B244)&gt;0,"Hư hỏng","Bình thường")</f>
        <v>Bình thường</v>
      </c>
      <c r="L244" s="102"/>
      <c r="M244" s="104" t="s">
        <v>890</v>
      </c>
      <c r="N244" s="80" t="s">
        <v>987</v>
      </c>
      <c r="O244" s="108" t="s">
        <v>148</v>
      </c>
      <c r="P244" s="80">
        <v>2025.0</v>
      </c>
      <c r="Q244" s="80" t="s">
        <v>988</v>
      </c>
      <c r="R244" s="80" t="s">
        <v>970</v>
      </c>
      <c r="S244" s="108" t="s">
        <v>1221</v>
      </c>
      <c r="T244" s="110" t="s">
        <v>1222</v>
      </c>
      <c r="U244" s="186">
        <v>1.8</v>
      </c>
      <c r="V244" s="112">
        <v>0.0</v>
      </c>
      <c r="W244" s="112"/>
      <c r="X244" s="112"/>
      <c r="Y244" s="112"/>
    </row>
    <row r="245" ht="13.5" customHeight="1" outlineLevel="1">
      <c r="A245" s="80">
        <f t="shared" si="10"/>
        <v>27</v>
      </c>
      <c r="B245" s="86" t="s">
        <v>1223</v>
      </c>
      <c r="C245" s="86"/>
      <c r="D245" s="95" t="s">
        <v>1224</v>
      </c>
      <c r="E245" s="95"/>
      <c r="F245" s="95" t="s">
        <v>154</v>
      </c>
      <c r="G245" s="161" t="s">
        <v>985</v>
      </c>
      <c r="H245" s="80" t="str">
        <f>VLOOKUP(G245,'01. TH'!$B:$E,3,0)</f>
        <v/>
      </c>
      <c r="I245" s="80" t="s">
        <v>1120</v>
      </c>
      <c r="J245" s="137" t="s">
        <v>986</v>
      </c>
      <c r="K245" s="80" t="str">
        <f>IF(COUNTIF('TT BTSC'!$D:$D,B245)&gt;0,"Hư hỏng","Bình thường")</f>
        <v>Bình thường</v>
      </c>
      <c r="L245" s="102"/>
      <c r="M245" s="104" t="s">
        <v>890</v>
      </c>
      <c r="N245" s="80" t="s">
        <v>987</v>
      </c>
      <c r="O245" s="108" t="s">
        <v>148</v>
      </c>
      <c r="P245" s="80">
        <v>2025.0</v>
      </c>
      <c r="Q245" s="80" t="s">
        <v>988</v>
      </c>
      <c r="R245" s="80" t="s">
        <v>970</v>
      </c>
      <c r="S245" s="108" t="s">
        <v>1225</v>
      </c>
      <c r="T245" s="110" t="s">
        <v>1226</v>
      </c>
      <c r="U245" s="186">
        <v>1.8</v>
      </c>
      <c r="V245" s="112">
        <v>0.0</v>
      </c>
      <c r="W245" s="112"/>
      <c r="X245" s="112"/>
      <c r="Y245" s="112"/>
    </row>
    <row r="246" ht="13.5" customHeight="1" outlineLevel="1">
      <c r="A246" s="80">
        <f t="shared" si="10"/>
        <v>28</v>
      </c>
      <c r="B246" s="86" t="s">
        <v>1227</v>
      </c>
      <c r="C246" s="86"/>
      <c r="D246" s="95" t="s">
        <v>1228</v>
      </c>
      <c r="E246" s="95"/>
      <c r="F246" s="95" t="s">
        <v>154</v>
      </c>
      <c r="G246" s="161" t="s">
        <v>985</v>
      </c>
      <c r="H246" s="80" t="str">
        <f>VLOOKUP(G246,'01. TH'!$B:$E,3,0)</f>
        <v/>
      </c>
      <c r="I246" s="80" t="s">
        <v>1120</v>
      </c>
      <c r="J246" s="137" t="s">
        <v>986</v>
      </c>
      <c r="K246" s="80" t="str">
        <f>IF(COUNTIF('TT BTSC'!$D:$D,B246)&gt;0,"Hư hỏng","Bình thường")</f>
        <v>Bình thường</v>
      </c>
      <c r="L246" s="102"/>
      <c r="M246" s="104" t="s">
        <v>890</v>
      </c>
      <c r="N246" s="80" t="s">
        <v>987</v>
      </c>
      <c r="O246" s="108" t="s">
        <v>148</v>
      </c>
      <c r="P246" s="80">
        <v>2025.0</v>
      </c>
      <c r="Q246" s="80" t="s">
        <v>988</v>
      </c>
      <c r="R246" s="80" t="s">
        <v>970</v>
      </c>
      <c r="S246" s="108" t="s">
        <v>1229</v>
      </c>
      <c r="T246" s="110" t="s">
        <v>1230</v>
      </c>
      <c r="U246" s="186">
        <v>1.8</v>
      </c>
      <c r="V246" s="112">
        <v>0.0</v>
      </c>
      <c r="W246" s="112"/>
      <c r="X246" s="112"/>
      <c r="Y246" s="112"/>
    </row>
    <row r="247" ht="13.5" customHeight="1" outlineLevel="1">
      <c r="A247" s="80">
        <f t="shared" si="10"/>
        <v>29</v>
      </c>
      <c r="B247" s="86" t="s">
        <v>1231</v>
      </c>
      <c r="C247" s="86"/>
      <c r="D247" s="95"/>
      <c r="E247" s="95"/>
      <c r="F247" s="95" t="s">
        <v>154</v>
      </c>
      <c r="G247" s="161" t="s">
        <v>985</v>
      </c>
      <c r="H247" s="80"/>
      <c r="I247" s="80" t="s">
        <v>1120</v>
      </c>
      <c r="J247" s="80" t="s">
        <v>1232</v>
      </c>
      <c r="K247" s="80" t="str">
        <f>IF(COUNTIF('TT BTSC'!$D:$D,B247)&gt;0,"Hư hỏng","Bình thường")</f>
        <v>Bình thường</v>
      </c>
      <c r="L247" s="102"/>
      <c r="M247" s="129" t="s">
        <v>1234</v>
      </c>
      <c r="N247" s="80" t="s">
        <v>987</v>
      </c>
      <c r="O247" s="108" t="s">
        <v>148</v>
      </c>
      <c r="P247" s="80">
        <v>2025.0</v>
      </c>
      <c r="Q247" s="80" t="s">
        <v>1235</v>
      </c>
      <c r="R247" s="80" t="s">
        <v>970</v>
      </c>
      <c r="S247" s="108" t="s">
        <v>1236</v>
      </c>
      <c r="T247" s="110"/>
      <c r="U247" s="186">
        <v>1.8</v>
      </c>
      <c r="V247" s="51"/>
      <c r="W247" s="51"/>
      <c r="X247" s="51"/>
      <c r="Y247" s="51"/>
    </row>
    <row r="248" ht="13.5" customHeight="1" outlineLevel="1">
      <c r="A248" s="80">
        <f t="shared" si="10"/>
        <v>30</v>
      </c>
      <c r="B248" s="86" t="s">
        <v>1237</v>
      </c>
      <c r="C248" s="86"/>
      <c r="D248" s="95"/>
      <c r="E248" s="95"/>
      <c r="F248" s="95" t="s">
        <v>154</v>
      </c>
      <c r="G248" s="161" t="s">
        <v>985</v>
      </c>
      <c r="H248" s="80"/>
      <c r="I248" s="80" t="s">
        <v>1120</v>
      </c>
      <c r="J248" s="80" t="s">
        <v>1232</v>
      </c>
      <c r="K248" s="80" t="str">
        <f>IF(COUNTIF('TT BTSC'!$D:$D,B248)&gt;0,"Hư hỏng","Bình thường")</f>
        <v>Bình thường</v>
      </c>
      <c r="L248" s="102"/>
      <c r="M248" s="129" t="s">
        <v>1234</v>
      </c>
      <c r="N248" s="80" t="s">
        <v>987</v>
      </c>
      <c r="O248" s="108" t="s">
        <v>148</v>
      </c>
      <c r="P248" s="80">
        <v>2025.0</v>
      </c>
      <c r="Q248" s="80" t="s">
        <v>1235</v>
      </c>
      <c r="R248" s="80" t="s">
        <v>970</v>
      </c>
      <c r="S248" s="108" t="s">
        <v>1238</v>
      </c>
      <c r="T248" s="110"/>
      <c r="U248" s="186">
        <v>1.8</v>
      </c>
      <c r="V248" s="51"/>
      <c r="W248" s="51"/>
      <c r="X248" s="51"/>
      <c r="Y248" s="51"/>
    </row>
    <row r="249" ht="13.5" customHeight="1" outlineLevel="1">
      <c r="A249" s="80">
        <f t="shared" si="10"/>
        <v>31</v>
      </c>
      <c r="B249" s="86" t="s">
        <v>1239</v>
      </c>
      <c r="C249" s="86"/>
      <c r="D249" s="95"/>
      <c r="E249" s="95"/>
      <c r="F249" s="95" t="s">
        <v>154</v>
      </c>
      <c r="G249" s="86" t="s">
        <v>1240</v>
      </c>
      <c r="H249" s="80"/>
      <c r="I249" s="80" t="s">
        <v>1120</v>
      </c>
      <c r="J249" s="80" t="s">
        <v>1232</v>
      </c>
      <c r="K249" s="80" t="str">
        <f>IF(COUNTIF('TT BTSC'!$D:$D,B249)&gt;0,"Hư hỏng","Bình thường")</f>
        <v>Bình thường</v>
      </c>
      <c r="L249" s="102"/>
      <c r="M249" s="129" t="s">
        <v>1234</v>
      </c>
      <c r="N249" s="80" t="s">
        <v>1241</v>
      </c>
      <c r="O249" s="108" t="s">
        <v>148</v>
      </c>
      <c r="P249" s="80">
        <v>2025.0</v>
      </c>
      <c r="Q249" s="80" t="s">
        <v>1242</v>
      </c>
      <c r="R249" s="80" t="s">
        <v>1243</v>
      </c>
      <c r="S249" s="108">
        <v>2.505401193E9</v>
      </c>
      <c r="T249" s="110" t="s">
        <v>1244</v>
      </c>
      <c r="U249" s="110"/>
      <c r="V249" s="51"/>
      <c r="W249" s="51"/>
      <c r="X249" s="51"/>
      <c r="Y249" s="51"/>
    </row>
    <row r="250" ht="13.5" customHeight="1" outlineLevel="1">
      <c r="A250" s="80">
        <f t="shared" si="10"/>
        <v>32</v>
      </c>
      <c r="B250" s="86" t="s">
        <v>1245</v>
      </c>
      <c r="C250" s="86"/>
      <c r="D250" s="95"/>
      <c r="E250" s="95"/>
      <c r="F250" s="95" t="s">
        <v>154</v>
      </c>
      <c r="G250" s="86" t="s">
        <v>1240</v>
      </c>
      <c r="H250" s="80"/>
      <c r="I250" s="80" t="s">
        <v>1120</v>
      </c>
      <c r="J250" s="80" t="s">
        <v>1232</v>
      </c>
      <c r="K250" s="80" t="str">
        <f>IF(COUNTIF('TT BTSC'!$D:$D,B250)&gt;0,"Hư hỏng","Bình thường")</f>
        <v>Bình thường</v>
      </c>
      <c r="L250" s="102"/>
      <c r="M250" s="129" t="s">
        <v>1234</v>
      </c>
      <c r="N250" s="80" t="s">
        <v>1241</v>
      </c>
      <c r="O250" s="108" t="s">
        <v>148</v>
      </c>
      <c r="P250" s="80">
        <v>2025.0</v>
      </c>
      <c r="Q250" s="80" t="s">
        <v>1242</v>
      </c>
      <c r="R250" s="80" t="s">
        <v>1243</v>
      </c>
      <c r="S250" s="108">
        <v>2.505401175E9</v>
      </c>
      <c r="T250" s="110" t="s">
        <v>1246</v>
      </c>
      <c r="U250" s="110"/>
      <c r="V250" s="51"/>
      <c r="W250" s="51"/>
      <c r="X250" s="51"/>
      <c r="Y250" s="51"/>
    </row>
    <row r="251" ht="13.5" customHeight="1" outlineLevel="1">
      <c r="A251" s="80"/>
      <c r="B251" s="86"/>
      <c r="C251" s="86"/>
      <c r="D251" s="95"/>
      <c r="E251" s="95"/>
      <c r="F251" s="95"/>
      <c r="G251" s="86"/>
      <c r="H251" s="80"/>
      <c r="I251" s="80"/>
      <c r="J251" s="80"/>
      <c r="K251" s="80"/>
      <c r="L251" s="102"/>
      <c r="M251" s="129"/>
      <c r="N251" s="80"/>
      <c r="O251" s="108"/>
      <c r="P251" s="80"/>
      <c r="Q251" s="80"/>
      <c r="R251" s="80"/>
      <c r="S251" s="108"/>
      <c r="T251" s="110"/>
      <c r="U251" s="110"/>
      <c r="V251" s="51"/>
      <c r="W251" s="51"/>
      <c r="X251" s="51"/>
      <c r="Y251" s="51"/>
    </row>
    <row r="252" ht="13.5" customHeight="1" outlineLevel="1">
      <c r="A252" s="80"/>
      <c r="B252" s="86"/>
      <c r="C252" s="86" t="s">
        <v>1004</v>
      </c>
      <c r="D252" s="95"/>
      <c r="E252" s="95"/>
      <c r="F252" s="95"/>
      <c r="G252" s="86"/>
      <c r="H252" s="80" t="str">
        <f>VLOOKUP(G252,'01. TH'!$B:$E,3,0)</f>
        <v>#N/A</v>
      </c>
      <c r="I252" s="80"/>
      <c r="J252" s="80"/>
      <c r="K252" s="80"/>
      <c r="L252" s="102"/>
      <c r="M252" s="129"/>
      <c r="N252" s="80"/>
      <c r="O252" s="108"/>
      <c r="P252" s="80"/>
      <c r="Q252" s="80"/>
      <c r="R252" s="80"/>
      <c r="S252" s="108"/>
      <c r="T252" s="110"/>
      <c r="U252" s="110"/>
      <c r="V252" s="51"/>
      <c r="W252" s="51"/>
      <c r="X252" s="51"/>
      <c r="Y252" s="51"/>
    </row>
    <row r="253" ht="13.5" customHeight="1">
      <c r="A253" s="151" t="s">
        <v>1247</v>
      </c>
      <c r="B253" s="194" t="s">
        <v>1248</v>
      </c>
      <c r="C253" s="151">
        <f>COUNTA($B$254:$B$281)</f>
        <v>26</v>
      </c>
      <c r="D253" s="195" t="str">
        <f>IFERROR(VLOOKUP(B253,' 02.1 KLH-CN MÃ BRAVO MM'!$B:$C,2,0),"")</f>
        <v/>
      </c>
      <c r="E253" s="196"/>
      <c r="F253" s="196"/>
      <c r="G253" s="151"/>
      <c r="H253" s="75"/>
      <c r="I253" s="195"/>
      <c r="J253" s="180"/>
      <c r="K253" s="75"/>
      <c r="L253" s="196"/>
      <c r="M253" s="202"/>
      <c r="N253" s="196"/>
      <c r="O253" s="195"/>
      <c r="P253" s="195"/>
      <c r="Q253" s="195"/>
      <c r="R253" s="195"/>
      <c r="S253" s="195"/>
      <c r="T253" s="195"/>
      <c r="U253" s="199"/>
      <c r="V253" s="200"/>
      <c r="W253" s="200"/>
      <c r="X253" s="200"/>
      <c r="Y253" s="200"/>
    </row>
    <row r="254" ht="13.5" customHeight="1" outlineLevel="1">
      <c r="A254" s="80">
        <v>1.0</v>
      </c>
      <c r="B254" s="86" t="s">
        <v>1249</v>
      </c>
      <c r="C254" s="86"/>
      <c r="D254" s="95" t="s">
        <v>1250</v>
      </c>
      <c r="E254" s="80" t="s">
        <v>1251</v>
      </c>
      <c r="F254" s="95" t="s">
        <v>154</v>
      </c>
      <c r="G254" s="86" t="s">
        <v>1252</v>
      </c>
      <c r="H254" s="80" t="str">
        <f>VLOOKUP(G254,'01. TH'!$B:$E,3,0)</f>
        <v>4730 x 1750 x 2100</v>
      </c>
      <c r="I254" s="80" t="s">
        <v>1253</v>
      </c>
      <c r="J254" s="203">
        <v>45575.0</v>
      </c>
      <c r="K254" s="80" t="str">
        <f>IF(COUNTIF('TT BTSC'!$D:$D,B254)&gt;0,"Hư hỏng","Bình thường")</f>
        <v>Bình thường</v>
      </c>
      <c r="L254" s="102">
        <v>0.99</v>
      </c>
      <c r="M254" s="129" t="s">
        <v>1254</v>
      </c>
      <c r="N254" s="80" t="s">
        <v>1255</v>
      </c>
      <c r="O254" s="108" t="s">
        <v>148</v>
      </c>
      <c r="P254" s="80">
        <v>2021.0</v>
      </c>
      <c r="Q254" s="80" t="s">
        <v>1256</v>
      </c>
      <c r="R254" s="204" t="s">
        <v>158</v>
      </c>
      <c r="S254" s="108" t="s">
        <v>1257</v>
      </c>
      <c r="T254" s="110" t="s">
        <v>1258</v>
      </c>
      <c r="U254" s="110"/>
      <c r="V254" s="112">
        <v>60.0</v>
      </c>
      <c r="W254" s="112"/>
      <c r="X254" s="112"/>
      <c r="Y254" s="112"/>
    </row>
    <row r="255" ht="13.5" customHeight="1" outlineLevel="1">
      <c r="A255" s="80">
        <f t="shared" ref="A255:A279" si="11">A254+1</f>
        <v>2</v>
      </c>
      <c r="B255" s="86" t="s">
        <v>1259</v>
      </c>
      <c r="C255" s="84" t="s">
        <v>1260</v>
      </c>
      <c r="D255" s="95" t="str">
        <f>IFERROR(VLOOKUP(B255,' 02.1 KLH-CN MÃ BRAVO MM'!$B:$C,2,0),"")</f>
        <v>A24-MKE-010</v>
      </c>
      <c r="E255" s="95"/>
      <c r="F255" s="95" t="s">
        <v>79</v>
      </c>
      <c r="G255" s="86" t="s">
        <v>857</v>
      </c>
      <c r="H255" s="80" t="str">
        <f>VLOOKUP(G255,'01. TH'!$B:$E,3,0)</f>
        <v>3226 x 1570 x 1545</v>
      </c>
      <c r="I255" s="80" t="s">
        <v>1253</v>
      </c>
      <c r="J255" s="80" t="s">
        <v>1261</v>
      </c>
      <c r="K255" s="80" t="str">
        <f>IF(COUNTIF('TT BTSC'!$D:$D,B255)&gt;0,"Hư hỏng","Bình thường")</f>
        <v>Bình thường</v>
      </c>
      <c r="L255" s="106"/>
      <c r="M255" s="129" t="s">
        <v>1262</v>
      </c>
      <c r="N255" s="106" t="s">
        <v>743</v>
      </c>
      <c r="O255" s="108" t="s">
        <v>148</v>
      </c>
      <c r="P255" s="80">
        <v>2018.0</v>
      </c>
      <c r="Q255" s="80" t="s">
        <v>860</v>
      </c>
      <c r="R255" s="106" t="s">
        <v>861</v>
      </c>
      <c r="S255" s="108" t="s">
        <v>1263</v>
      </c>
      <c r="T255" s="110" t="s">
        <v>96</v>
      </c>
      <c r="U255" s="110">
        <v>2.0</v>
      </c>
      <c r="V255" s="112">
        <v>0.0</v>
      </c>
      <c r="W255" s="112"/>
      <c r="X255" s="112"/>
      <c r="Y255" s="112"/>
    </row>
    <row r="256" ht="13.5" customHeight="1" outlineLevel="1">
      <c r="A256" s="80">
        <f t="shared" si="11"/>
        <v>3</v>
      </c>
      <c r="B256" s="84" t="s">
        <v>1264</v>
      </c>
      <c r="C256" s="84" t="s">
        <v>1265</v>
      </c>
      <c r="D256" s="95" t="str">
        <f>IFERROR(VLOOKUP(B256,' 02.1 KLH-CN MÃ BRAVO MM'!$B:$C,2,0),"")</f>
        <v>A24-MKE-018</v>
      </c>
      <c r="E256" s="95"/>
      <c r="F256" s="95" t="s">
        <v>79</v>
      </c>
      <c r="G256" s="86" t="s">
        <v>857</v>
      </c>
      <c r="H256" s="80" t="str">
        <f>VLOOKUP(G256,'01. TH'!$B:$E,3,0)</f>
        <v>3226 x 1570 x 1545</v>
      </c>
      <c r="I256" s="80" t="s">
        <v>1253</v>
      </c>
      <c r="J256" s="99"/>
      <c r="K256" s="80" t="str">
        <f>IF(COUNTIF('TT BTSC'!$D:$D,B256)&gt;0,"Hư hỏng","Bình thường")</f>
        <v>Bình thường</v>
      </c>
      <c r="L256" s="106"/>
      <c r="M256" s="129" t="s">
        <v>1266</v>
      </c>
      <c r="N256" s="106" t="s">
        <v>743</v>
      </c>
      <c r="O256" s="108" t="s">
        <v>148</v>
      </c>
      <c r="P256" s="80">
        <v>2018.0</v>
      </c>
      <c r="Q256" s="80" t="s">
        <v>860</v>
      </c>
      <c r="R256" s="106" t="s">
        <v>861</v>
      </c>
      <c r="S256" s="108" t="s">
        <v>1267</v>
      </c>
      <c r="T256" s="110" t="s">
        <v>96</v>
      </c>
      <c r="U256" s="110">
        <v>2.5</v>
      </c>
      <c r="V256" s="112">
        <v>0.0</v>
      </c>
      <c r="W256" s="112"/>
      <c r="X256" s="112"/>
      <c r="Y256" s="112"/>
    </row>
    <row r="257" ht="13.5" customHeight="1" outlineLevel="1">
      <c r="A257" s="80">
        <f t="shared" si="11"/>
        <v>4</v>
      </c>
      <c r="B257" s="84" t="s">
        <v>1268</v>
      </c>
      <c r="C257" s="84" t="s">
        <v>1269</v>
      </c>
      <c r="D257" s="95" t="str">
        <f>IFERROR(VLOOKUP(B257,' 02.1 KLH-CN MÃ BRAVO MM'!$B:$C,2,0),"")</f>
        <v>A24-MKE-019</v>
      </c>
      <c r="E257" s="95"/>
      <c r="F257" s="95" t="s">
        <v>79</v>
      </c>
      <c r="G257" s="86" t="s">
        <v>857</v>
      </c>
      <c r="H257" s="80" t="str">
        <f>VLOOKUP(G257,'01. TH'!$B:$E,3,0)</f>
        <v>3226 x 1570 x 1545</v>
      </c>
      <c r="I257" s="80" t="s">
        <v>1253</v>
      </c>
      <c r="J257" s="99"/>
      <c r="K257" s="80" t="str">
        <f>IF(COUNTIF('TT BTSC'!$D:$D,B257)&gt;0,"Hư hỏng","Bình thường")</f>
        <v>Bình thường</v>
      </c>
      <c r="L257" s="106"/>
      <c r="M257" s="129" t="s">
        <v>1266</v>
      </c>
      <c r="N257" s="106" t="s">
        <v>743</v>
      </c>
      <c r="O257" s="108" t="s">
        <v>148</v>
      </c>
      <c r="P257" s="80">
        <v>2018.0</v>
      </c>
      <c r="Q257" s="80" t="s">
        <v>860</v>
      </c>
      <c r="R257" s="106" t="s">
        <v>861</v>
      </c>
      <c r="S257" s="108" t="s">
        <v>1271</v>
      </c>
      <c r="T257" s="110" t="s">
        <v>96</v>
      </c>
      <c r="U257" s="110">
        <v>2.5</v>
      </c>
      <c r="V257" s="112">
        <v>0.0</v>
      </c>
      <c r="W257" s="112"/>
      <c r="X257" s="112"/>
      <c r="Y257" s="112"/>
    </row>
    <row r="258" ht="13.5" customHeight="1" outlineLevel="1">
      <c r="A258" s="80">
        <f t="shared" si="11"/>
        <v>5</v>
      </c>
      <c r="B258" s="86" t="s">
        <v>1272</v>
      </c>
      <c r="C258" s="86" t="s">
        <v>1273</v>
      </c>
      <c r="D258" s="95" t="str">
        <f>IFERROR(VLOOKUP(B258,' 02.1 KLH-CN MÃ BRAVO MM'!$B:$C,2,0),"")</f>
        <v>A24-MKE-020</v>
      </c>
      <c r="E258" s="95"/>
      <c r="F258" s="95" t="s">
        <v>79</v>
      </c>
      <c r="G258" s="86" t="s">
        <v>1274</v>
      </c>
      <c r="H258" s="80" t="str">
        <f>VLOOKUP(G258,'01. TH'!$B:$E,3,0)</f>
        <v>2570 x 1200 x 1950</v>
      </c>
      <c r="I258" s="80" t="s">
        <v>1253</v>
      </c>
      <c r="J258" s="80" t="s">
        <v>1275</v>
      </c>
      <c r="K258" s="80" t="str">
        <f>IF(COUNTIF('TT BTSC'!$D:$D,B258)&gt;0,"Hư hỏng","Bình thường")</f>
        <v>Bình thường</v>
      </c>
      <c r="L258" s="106"/>
      <c r="M258" s="129" t="s">
        <v>1266</v>
      </c>
      <c r="N258" s="80" t="s">
        <v>454</v>
      </c>
      <c r="O258" s="108" t="s">
        <v>148</v>
      </c>
      <c r="P258" s="80"/>
      <c r="Q258" s="80" t="s">
        <v>1276</v>
      </c>
      <c r="R258" s="80" t="s">
        <v>1277</v>
      </c>
      <c r="S258" s="108" t="s">
        <v>96</v>
      </c>
      <c r="T258" s="110">
        <v>11368.0</v>
      </c>
      <c r="U258" s="110">
        <v>2.5</v>
      </c>
      <c r="V258" s="112">
        <v>0.0</v>
      </c>
      <c r="W258" s="112"/>
      <c r="X258" s="112"/>
      <c r="Y258" s="112"/>
    </row>
    <row r="259" ht="13.5" customHeight="1" outlineLevel="1">
      <c r="A259" s="80">
        <f t="shared" si="11"/>
        <v>6</v>
      </c>
      <c r="B259" s="84" t="s">
        <v>1278</v>
      </c>
      <c r="C259" s="84" t="s">
        <v>1279</v>
      </c>
      <c r="D259" s="95" t="str">
        <f>IFERROR(VLOOKUP(B259,' 02.1 KLH-CN MÃ BRAVO MM'!$B:$C,2,0),"")</f>
        <v>A24-MKE-017</v>
      </c>
      <c r="E259" s="95"/>
      <c r="F259" s="95" t="s">
        <v>79</v>
      </c>
      <c r="G259" s="86" t="s">
        <v>875</v>
      </c>
      <c r="H259" s="80" t="str">
        <f>VLOOKUP(G259,'01. TH'!$B:$E,3,0)</f>
        <v>3120 x 1495 x 1510</v>
      </c>
      <c r="I259" s="80" t="s">
        <v>1253</v>
      </c>
      <c r="J259" s="99"/>
      <c r="K259" s="80" t="str">
        <f>IF(COUNTIF('TT BTSC'!$D:$D,B259)&gt;0,"Hư hỏng","Bình thường")</f>
        <v>Bình thường</v>
      </c>
      <c r="L259" s="106"/>
      <c r="M259" s="129" t="s">
        <v>1280</v>
      </c>
      <c r="N259" s="80" t="s">
        <v>454</v>
      </c>
      <c r="O259" s="108" t="s">
        <v>84</v>
      </c>
      <c r="P259" s="80">
        <v>2019.0</v>
      </c>
      <c r="Q259" s="80" t="s">
        <v>878</v>
      </c>
      <c r="R259" s="106" t="s">
        <v>101</v>
      </c>
      <c r="S259" s="108" t="s">
        <v>1281</v>
      </c>
      <c r="T259" s="110" t="s">
        <v>96</v>
      </c>
      <c r="U259" s="110">
        <v>2.0</v>
      </c>
      <c r="V259" s="112">
        <v>0.0</v>
      </c>
      <c r="W259" s="112"/>
      <c r="X259" s="112"/>
      <c r="Y259" s="112"/>
    </row>
    <row r="260" ht="24.75" customHeight="1" outlineLevel="1">
      <c r="A260" s="80">
        <f t="shared" si="11"/>
        <v>7</v>
      </c>
      <c r="B260" s="86" t="s">
        <v>1211</v>
      </c>
      <c r="C260" s="134" t="s">
        <v>139</v>
      </c>
      <c r="D260" s="95" t="s">
        <v>1282</v>
      </c>
      <c r="E260" s="95"/>
      <c r="F260" s="95" t="s">
        <v>79</v>
      </c>
      <c r="G260" s="134" t="s">
        <v>1283</v>
      </c>
      <c r="H260" s="80" t="str">
        <f>VLOOKUP(G260,'01. TH'!$B:$E,3,0)</f>
        <v>5260 x 1760 x 2415</v>
      </c>
      <c r="I260" s="80" t="s">
        <v>1253</v>
      </c>
      <c r="J260" s="9" t="s">
        <v>502</v>
      </c>
      <c r="K260" s="80" t="str">
        <f>IF(COUNTIF('TT BTSC'!$D:$D,B260)&gt;0,"Hư hỏng","Bình thường")</f>
        <v>Bình thường</v>
      </c>
      <c r="L260" s="106"/>
      <c r="M260" s="129" t="s">
        <v>1285</v>
      </c>
      <c r="N260" s="80" t="s">
        <v>123</v>
      </c>
      <c r="O260" s="110" t="s">
        <v>84</v>
      </c>
      <c r="P260" s="80">
        <v>2013.0</v>
      </c>
      <c r="Q260" s="80" t="s">
        <v>223</v>
      </c>
      <c r="R260" s="80" t="s">
        <v>462</v>
      </c>
      <c r="S260" s="108" t="s">
        <v>1286</v>
      </c>
      <c r="T260" s="110">
        <v>27539.0</v>
      </c>
      <c r="U260" s="140">
        <v>4.0</v>
      </c>
      <c r="V260" s="112">
        <v>60.0</v>
      </c>
      <c r="W260" s="112"/>
      <c r="X260" s="112"/>
      <c r="Y260" s="112"/>
    </row>
    <row r="261" ht="24.75" customHeight="1" outlineLevel="1">
      <c r="A261" s="80">
        <f t="shared" si="11"/>
        <v>8</v>
      </c>
      <c r="B261" s="86" t="s">
        <v>1233</v>
      </c>
      <c r="C261" s="134" t="s">
        <v>139</v>
      </c>
      <c r="D261" s="95" t="s">
        <v>1287</v>
      </c>
      <c r="E261" s="95"/>
      <c r="F261" s="95" t="s">
        <v>79</v>
      </c>
      <c r="G261" s="134" t="s">
        <v>1283</v>
      </c>
      <c r="H261" s="80" t="str">
        <f>VLOOKUP(G261,'01. TH'!$B:$E,3,0)</f>
        <v>5260 x 1760 x 2415</v>
      </c>
      <c r="I261" s="80" t="s">
        <v>1253</v>
      </c>
      <c r="J261" s="9" t="s">
        <v>502</v>
      </c>
      <c r="K261" s="80" t="str">
        <f>IF(COUNTIF('TT BTSC'!$D:$D,B261)&gt;0,"Hư hỏng","Bình thường")</f>
        <v>Bình thường</v>
      </c>
      <c r="L261" s="106"/>
      <c r="M261" s="129" t="s">
        <v>1285</v>
      </c>
      <c r="N261" s="80" t="s">
        <v>123</v>
      </c>
      <c r="O261" s="110" t="s">
        <v>84</v>
      </c>
      <c r="P261" s="80">
        <v>2013.0</v>
      </c>
      <c r="Q261" s="80" t="s">
        <v>223</v>
      </c>
      <c r="R261" s="80" t="s">
        <v>462</v>
      </c>
      <c r="S261" s="108" t="s">
        <v>1288</v>
      </c>
      <c r="T261" s="110">
        <v>29346.0</v>
      </c>
      <c r="U261" s="140">
        <v>4.0</v>
      </c>
      <c r="V261" s="112">
        <v>60.0</v>
      </c>
      <c r="W261" s="112"/>
      <c r="X261" s="112"/>
      <c r="Y261" s="112"/>
    </row>
    <row r="262" ht="24.0" customHeight="1" outlineLevel="1">
      <c r="A262" s="80">
        <f t="shared" si="11"/>
        <v>9</v>
      </c>
      <c r="B262" s="134" t="s">
        <v>907</v>
      </c>
      <c r="C262" s="134"/>
      <c r="D262" s="9" t="str">
        <f>IFERROR(VLOOKUP(B262,' 02.1 KLH-CN MÃ BRAVO MM'!$B:$C,2,0),"")</f>
        <v>A24-MĐA-013</v>
      </c>
      <c r="E262" s="9"/>
      <c r="F262" s="95" t="s">
        <v>79</v>
      </c>
      <c r="G262" s="134" t="s">
        <v>219</v>
      </c>
      <c r="H262" s="80" t="str">
        <f>VLOOKUP(G262,'01. TH'!$B:$E,3,0)</f>
        <v>5260 x 1760 x 2415</v>
      </c>
      <c r="I262" s="80" t="s">
        <v>1253</v>
      </c>
      <c r="J262" s="9" t="s">
        <v>220</v>
      </c>
      <c r="K262" s="80" t="str">
        <f>IF(COUNTIF('TT BTSC'!$D:$D,B262)&gt;0,"Hư hỏng","Bình thường")</f>
        <v>Bình thường</v>
      </c>
      <c r="L262" s="139"/>
      <c r="M262" s="141" t="s">
        <v>1291</v>
      </c>
      <c r="N262" s="9" t="s">
        <v>123</v>
      </c>
      <c r="O262" s="140" t="s">
        <v>222</v>
      </c>
      <c r="P262" s="9">
        <v>2015.0</v>
      </c>
      <c r="Q262" s="9" t="s">
        <v>223</v>
      </c>
      <c r="R262" s="9" t="s">
        <v>224</v>
      </c>
      <c r="S262" s="140" t="s">
        <v>1294</v>
      </c>
      <c r="T262" s="140">
        <v>35099.0</v>
      </c>
      <c r="U262" s="140">
        <v>4.0</v>
      </c>
      <c r="V262" s="112">
        <v>60.0</v>
      </c>
      <c r="W262" s="112"/>
      <c r="X262" s="112"/>
      <c r="Y262" s="112"/>
    </row>
    <row r="263" ht="33.0" customHeight="1" outlineLevel="1">
      <c r="A263" s="80">
        <f t="shared" si="11"/>
        <v>10</v>
      </c>
      <c r="B263" s="86" t="s">
        <v>1295</v>
      </c>
      <c r="C263" s="134"/>
      <c r="D263" s="95" t="s">
        <v>1296</v>
      </c>
      <c r="E263" s="95"/>
      <c r="F263" s="95" t="s">
        <v>139</v>
      </c>
      <c r="G263" s="161" t="s">
        <v>496</v>
      </c>
      <c r="H263" s="80" t="str">
        <f>VLOOKUP(G263,'01. TH'!$B:$E,3,0)</f>
        <v>2625 x 1290 x 1570</v>
      </c>
      <c r="I263" s="80" t="s">
        <v>1253</v>
      </c>
      <c r="J263" s="138">
        <v>45722.0</v>
      </c>
      <c r="K263" s="80" t="str">
        <f>IF(COUNTIF('TT BTSC'!$D:$D,B263)&gt;0,"Hư hỏng","Bình thường")</f>
        <v>Bình thường</v>
      </c>
      <c r="L263" s="106"/>
      <c r="M263" s="129" t="s">
        <v>1297</v>
      </c>
      <c r="N263" s="80" t="s">
        <v>187</v>
      </c>
      <c r="O263" s="110" t="s">
        <v>84</v>
      </c>
      <c r="P263" s="80">
        <v>1998.0</v>
      </c>
      <c r="Q263" s="80" t="s">
        <v>1298</v>
      </c>
      <c r="R263" s="80" t="s">
        <v>1299</v>
      </c>
      <c r="S263" s="108" t="s">
        <v>1300</v>
      </c>
      <c r="T263" s="110">
        <v>256182.0</v>
      </c>
      <c r="U263" s="140">
        <v>2.5</v>
      </c>
      <c r="V263" s="112">
        <v>42.0</v>
      </c>
      <c r="W263" s="112"/>
      <c r="X263" s="112"/>
      <c r="Y263" s="112"/>
    </row>
    <row r="264" ht="30.0" customHeight="1" outlineLevel="1">
      <c r="A264" s="80">
        <f t="shared" si="11"/>
        <v>11</v>
      </c>
      <c r="B264" s="86" t="s">
        <v>1301</v>
      </c>
      <c r="C264" s="86" t="s">
        <v>1302</v>
      </c>
      <c r="D264" s="95" t="s">
        <v>1303</v>
      </c>
      <c r="E264" s="95"/>
      <c r="F264" s="95" t="s">
        <v>154</v>
      </c>
      <c r="G264" s="86" t="s">
        <v>946</v>
      </c>
      <c r="H264" s="80" t="str">
        <f>VLOOKUP(G264,'01. TH'!$B:$E,3,0)</f>
        <v/>
      </c>
      <c r="I264" s="80" t="s">
        <v>1253</v>
      </c>
      <c r="J264" s="137" t="s">
        <v>1305</v>
      </c>
      <c r="K264" s="80" t="str">
        <f>IF(COUNTIF('TT BTSC'!$D:$D,B264)&gt;0,"Hư hỏng","Bình thường")</f>
        <v>Bình thường</v>
      </c>
      <c r="L264" s="102"/>
      <c r="M264" s="141" t="s">
        <v>1306</v>
      </c>
      <c r="N264" s="80" t="s">
        <v>673</v>
      </c>
      <c r="O264" s="108" t="s">
        <v>948</v>
      </c>
      <c r="P264" s="80">
        <v>2022.0</v>
      </c>
      <c r="Q264" s="80" t="s">
        <v>949</v>
      </c>
      <c r="R264" s="80" t="s">
        <v>950</v>
      </c>
      <c r="S264" s="108">
        <v>203084.0</v>
      </c>
      <c r="T264" s="110" t="s">
        <v>1307</v>
      </c>
      <c r="U264" s="110">
        <v>0.68</v>
      </c>
      <c r="V264" s="112">
        <v>0.0</v>
      </c>
      <c r="W264" s="112"/>
      <c r="X264" s="112"/>
      <c r="Y264" s="112"/>
    </row>
    <row r="265" ht="14.25" customHeight="1" outlineLevel="1">
      <c r="A265" s="80">
        <f t="shared" si="11"/>
        <v>12</v>
      </c>
      <c r="B265" s="86" t="s">
        <v>1308</v>
      </c>
      <c r="C265" s="108" t="s">
        <v>1309</v>
      </c>
      <c r="D265" s="95" t="s">
        <v>1310</v>
      </c>
      <c r="E265" s="95"/>
      <c r="F265" s="95" t="s">
        <v>154</v>
      </c>
      <c r="G265" s="86" t="s">
        <v>919</v>
      </c>
      <c r="H265" s="80" t="str">
        <f>VLOOKUP(G265,'01. TH'!$B:$E,3,0)</f>
        <v>5250 x 2170 x 2520</v>
      </c>
      <c r="I265" s="80" t="s">
        <v>1253</v>
      </c>
      <c r="J265" s="99">
        <v>45632.0</v>
      </c>
      <c r="K265" s="80" t="str">
        <f>IF(COUNTIF('TT BTSC'!$D:$D,B265)&gt;0,"Hư hỏng","Bình thường")</f>
        <v>Bình thường</v>
      </c>
      <c r="L265" s="102">
        <v>1.0</v>
      </c>
      <c r="M265" s="129" t="s">
        <v>1311</v>
      </c>
      <c r="N265" s="106" t="s">
        <v>300</v>
      </c>
      <c r="O265" s="108" t="s">
        <v>148</v>
      </c>
      <c r="P265" s="206">
        <v>2024.0</v>
      </c>
      <c r="Q265" s="80" t="s">
        <v>921</v>
      </c>
      <c r="R265" s="80" t="s">
        <v>922</v>
      </c>
      <c r="S265" s="108" t="s">
        <v>1312</v>
      </c>
      <c r="T265" s="201" t="s">
        <v>1313</v>
      </c>
      <c r="U265" s="110">
        <v>0.33</v>
      </c>
      <c r="V265" s="112">
        <v>75.0</v>
      </c>
      <c r="W265" s="112"/>
      <c r="X265" s="112"/>
      <c r="Y265" s="112"/>
    </row>
    <row r="266" ht="13.5" customHeight="1" outlineLevel="1">
      <c r="A266" s="80">
        <f t="shared" si="11"/>
        <v>13</v>
      </c>
      <c r="B266" s="86" t="s">
        <v>1314</v>
      </c>
      <c r="C266" s="108" t="s">
        <v>1315</v>
      </c>
      <c r="D266" s="95" t="s">
        <v>1316</v>
      </c>
      <c r="E266" s="95"/>
      <c r="F266" s="95" t="s">
        <v>154</v>
      </c>
      <c r="G266" s="86" t="s">
        <v>919</v>
      </c>
      <c r="H266" s="80" t="str">
        <f>VLOOKUP(G266,'01. TH'!$B:$E,3,0)</f>
        <v>5250 x 2170 x 2520</v>
      </c>
      <c r="I266" s="80" t="s">
        <v>1253</v>
      </c>
      <c r="J266" s="99">
        <v>45632.0</v>
      </c>
      <c r="K266" s="80" t="str">
        <f>IF(COUNTIF('TT BTSC'!$D:$D,B266)&gt;0,"Hư hỏng","Bình thường")</f>
        <v>Bình thường</v>
      </c>
      <c r="L266" s="102">
        <v>0.99</v>
      </c>
      <c r="M266" s="129" t="s">
        <v>1311</v>
      </c>
      <c r="N266" s="106" t="s">
        <v>300</v>
      </c>
      <c r="O266" s="108" t="s">
        <v>148</v>
      </c>
      <c r="P266" s="206">
        <v>2024.0</v>
      </c>
      <c r="Q266" s="80" t="s">
        <v>921</v>
      </c>
      <c r="R266" s="80" t="s">
        <v>922</v>
      </c>
      <c r="S266" s="108" t="s">
        <v>1317</v>
      </c>
      <c r="T266" s="201" t="s">
        <v>1318</v>
      </c>
      <c r="U266" s="110">
        <v>0.33</v>
      </c>
      <c r="V266" s="112">
        <v>75.0</v>
      </c>
      <c r="W266" s="112"/>
      <c r="X266" s="112"/>
      <c r="Y266" s="112"/>
    </row>
    <row r="267" ht="13.5" customHeight="1" outlineLevel="1">
      <c r="A267" s="80">
        <f t="shared" si="11"/>
        <v>14</v>
      </c>
      <c r="B267" s="86" t="s">
        <v>1319</v>
      </c>
      <c r="C267" s="84"/>
      <c r="D267" s="95" t="str">
        <f>IFERROR(VLOOKUP(B267,' 02.1 KLH-CN MÃ BRAVO MM'!$B:$C,2,0),"")</f>
        <v>A24-XTA-019</v>
      </c>
      <c r="E267" s="95" t="s">
        <v>1321</v>
      </c>
      <c r="F267" s="95" t="s">
        <v>154</v>
      </c>
      <c r="G267" s="86" t="s">
        <v>919</v>
      </c>
      <c r="H267" s="80" t="str">
        <f>VLOOKUP(G267,'01. TH'!$B:$E,3,0)</f>
        <v>5250 x 2170 x 2520</v>
      </c>
      <c r="I267" s="80" t="s">
        <v>1253</v>
      </c>
      <c r="J267" s="80" t="s">
        <v>966</v>
      </c>
      <c r="K267" s="80" t="str">
        <f>IF(COUNTIF('TT BTSC'!$D:$D,B267)&gt;0,"Hư hỏng","Bình thường")</f>
        <v>Bình thường</v>
      </c>
      <c r="L267" s="106"/>
      <c r="M267" s="129" t="s">
        <v>1322</v>
      </c>
      <c r="N267" s="106" t="s">
        <v>300</v>
      </c>
      <c r="O267" s="108" t="s">
        <v>148</v>
      </c>
      <c r="P267" s="80">
        <v>2024.0</v>
      </c>
      <c r="Q267" s="80" t="s">
        <v>921</v>
      </c>
      <c r="R267" s="106" t="s">
        <v>922</v>
      </c>
      <c r="S267" s="108" t="s">
        <v>1323</v>
      </c>
      <c r="T267" s="110" t="s">
        <v>1324</v>
      </c>
      <c r="U267" s="110">
        <v>3.0</v>
      </c>
      <c r="V267" s="112">
        <v>75.0</v>
      </c>
      <c r="W267" s="112"/>
      <c r="X267" s="112"/>
      <c r="Y267" s="112"/>
    </row>
    <row r="268" ht="13.5" customHeight="1" outlineLevel="1">
      <c r="A268" s="80">
        <f t="shared" si="11"/>
        <v>15</v>
      </c>
      <c r="B268" s="86" t="s">
        <v>1325</v>
      </c>
      <c r="C268" s="86"/>
      <c r="D268" s="95" t="s">
        <v>1326</v>
      </c>
      <c r="E268" s="95"/>
      <c r="F268" s="95" t="s">
        <v>154</v>
      </c>
      <c r="G268" s="86" t="s">
        <v>1327</v>
      </c>
      <c r="H268" s="80"/>
      <c r="I268" s="80" t="s">
        <v>1253</v>
      </c>
      <c r="J268" s="80" t="s">
        <v>1328</v>
      </c>
      <c r="K268" s="80" t="str">
        <f>IF(COUNTIF('TT BTSC'!$D:$D,B268)&gt;0,"Hư hỏng","Bình thường")</f>
        <v>Bình thường</v>
      </c>
      <c r="L268" s="106"/>
      <c r="M268" s="104" t="s">
        <v>890</v>
      </c>
      <c r="N268" s="80" t="s">
        <v>661</v>
      </c>
      <c r="O268" s="108" t="s">
        <v>662</v>
      </c>
      <c r="P268" s="80">
        <v>2024.0</v>
      </c>
      <c r="Q268" s="80" t="s">
        <v>1329</v>
      </c>
      <c r="R268" s="80" t="s">
        <v>664</v>
      </c>
      <c r="S268" s="108" t="s">
        <v>1330</v>
      </c>
      <c r="T268" s="110" t="s">
        <v>1331</v>
      </c>
      <c r="U268" s="140">
        <v>0.2</v>
      </c>
      <c r="V268" s="51"/>
      <c r="W268" s="51"/>
      <c r="X268" s="51"/>
      <c r="Y268" s="51"/>
    </row>
    <row r="269" ht="13.5" customHeight="1" outlineLevel="1">
      <c r="A269" s="80">
        <f t="shared" si="11"/>
        <v>16</v>
      </c>
      <c r="B269" s="86" t="s">
        <v>1332</v>
      </c>
      <c r="C269" s="86" t="s">
        <v>1333</v>
      </c>
      <c r="D269" s="95" t="s">
        <v>1334</v>
      </c>
      <c r="E269" s="95"/>
      <c r="F269" s="95" t="s">
        <v>79</v>
      </c>
      <c r="G269" s="86" t="s">
        <v>910</v>
      </c>
      <c r="H269" s="80" t="str">
        <f>VLOOKUP(G269,'01. TH'!$B:$E,3,0)</f>
        <v/>
      </c>
      <c r="I269" s="80" t="s">
        <v>1253</v>
      </c>
      <c r="J269" s="99">
        <v>41651.0</v>
      </c>
      <c r="K269" s="80" t="str">
        <f>IF(COUNTIF('TT BTSC'!$D:$D,B269)&gt;0,"Hư hỏng","Bình thường")</f>
        <v>Bình thường</v>
      </c>
      <c r="L269" s="106"/>
      <c r="M269" s="129" t="s">
        <v>1335</v>
      </c>
      <c r="N269" s="106" t="s">
        <v>911</v>
      </c>
      <c r="O269" s="108" t="s">
        <v>912</v>
      </c>
      <c r="P269" s="80"/>
      <c r="Q269" s="80"/>
      <c r="R269" s="106" t="s">
        <v>792</v>
      </c>
      <c r="S269" s="108">
        <v>29823.0</v>
      </c>
      <c r="T269" s="110" t="s">
        <v>96</v>
      </c>
      <c r="U269" s="110">
        <v>2.0</v>
      </c>
      <c r="V269" s="51"/>
      <c r="W269" s="51"/>
      <c r="X269" s="51"/>
      <c r="Y269" s="51"/>
    </row>
    <row r="270" ht="13.5" customHeight="1" outlineLevel="1">
      <c r="A270" s="80">
        <f t="shared" si="11"/>
        <v>17</v>
      </c>
      <c r="B270" s="86" t="s">
        <v>1336</v>
      </c>
      <c r="C270" s="86" t="s">
        <v>1337</v>
      </c>
      <c r="D270" s="95" t="s">
        <v>1338</v>
      </c>
      <c r="E270" s="95"/>
      <c r="F270" s="95" t="s">
        <v>79</v>
      </c>
      <c r="G270" s="86" t="s">
        <v>910</v>
      </c>
      <c r="H270" s="80" t="str">
        <f>VLOOKUP(G270,'01. TH'!$B:$E,3,0)</f>
        <v/>
      </c>
      <c r="I270" s="80" t="s">
        <v>1253</v>
      </c>
      <c r="J270" s="99">
        <v>41651.0</v>
      </c>
      <c r="K270" s="80" t="str">
        <f>IF(COUNTIF('TT BTSC'!$D:$D,B270)&gt;0,"Hư hỏng","Bình thường")</f>
        <v>Bình thường</v>
      </c>
      <c r="L270" s="106"/>
      <c r="M270" s="129" t="s">
        <v>1335</v>
      </c>
      <c r="N270" s="106" t="s">
        <v>911</v>
      </c>
      <c r="O270" s="108" t="s">
        <v>912</v>
      </c>
      <c r="P270" s="80"/>
      <c r="Q270" s="80"/>
      <c r="R270" s="106" t="s">
        <v>792</v>
      </c>
      <c r="S270" s="108">
        <v>101437.0</v>
      </c>
      <c r="T270" s="110" t="s">
        <v>96</v>
      </c>
      <c r="U270" s="110">
        <v>2.0</v>
      </c>
      <c r="V270" s="51"/>
      <c r="W270" s="51"/>
      <c r="X270" s="51"/>
      <c r="Y270" s="51"/>
    </row>
    <row r="271" ht="13.5" customHeight="1" outlineLevel="1">
      <c r="A271" s="80">
        <f t="shared" si="11"/>
        <v>18</v>
      </c>
      <c r="B271" s="86" t="s">
        <v>1339</v>
      </c>
      <c r="C271" s="86" t="s">
        <v>1340</v>
      </c>
      <c r="D271" s="95" t="str">
        <f>IFERROR(VLOOKUP(B271,' 02.1 KLH-CN MÃ BRAVO MM'!$B:$C,2,0),"")</f>
        <v/>
      </c>
      <c r="E271" s="95"/>
      <c r="F271" s="95" t="s">
        <v>79</v>
      </c>
      <c r="G271" s="86" t="s">
        <v>1031</v>
      </c>
      <c r="H271" s="80" t="str">
        <f>VLOOKUP(G271,'01. TH'!$B:$E,3,0)</f>
        <v/>
      </c>
      <c r="I271" s="80" t="s">
        <v>1253</v>
      </c>
      <c r="J271" s="99"/>
      <c r="K271" s="80" t="str">
        <f>IF(COUNTIF('TT BTSC'!$D:$D,B271)&gt;0,"Hư hỏng","Bình thường")</f>
        <v>Bình thường</v>
      </c>
      <c r="L271" s="106"/>
      <c r="M271" s="129" t="s">
        <v>1342</v>
      </c>
      <c r="N271" s="106" t="s">
        <v>1032</v>
      </c>
      <c r="O271" s="108" t="s">
        <v>103</v>
      </c>
      <c r="P271" s="80"/>
      <c r="Q271" s="80"/>
      <c r="R271" s="80" t="s">
        <v>1343</v>
      </c>
      <c r="S271" s="108">
        <v>6958.0</v>
      </c>
      <c r="T271" s="110" t="s">
        <v>96</v>
      </c>
      <c r="U271" s="110">
        <v>3.75</v>
      </c>
      <c r="V271" s="51"/>
      <c r="W271" s="51"/>
      <c r="X271" s="51"/>
      <c r="Y271" s="51"/>
    </row>
    <row r="272" ht="13.5" customHeight="1" outlineLevel="1">
      <c r="A272" s="80">
        <f t="shared" si="11"/>
        <v>19</v>
      </c>
      <c r="B272" s="86" t="s">
        <v>1344</v>
      </c>
      <c r="C272" s="86" t="s">
        <v>1345</v>
      </c>
      <c r="D272" s="95" t="str">
        <f>IFERROR(VLOOKUP(B272,' 02.1 KLH-CN MÃ BRAVO MM'!$B:$C,2,0),"")</f>
        <v/>
      </c>
      <c r="E272" s="95"/>
      <c r="F272" s="95" t="s">
        <v>79</v>
      </c>
      <c r="G272" s="86" t="s">
        <v>1346</v>
      </c>
      <c r="H272" s="80" t="str">
        <f>VLOOKUP(G272,'01. TH'!$B:$E,3,0)</f>
        <v>#N/A</v>
      </c>
      <c r="I272" s="80" t="s">
        <v>1253</v>
      </c>
      <c r="J272" s="99"/>
      <c r="K272" s="80" t="str">
        <f>IF(COUNTIF('TT BTSC'!$D:$D,B272)&gt;0,"Hư hỏng","Bình thường")</f>
        <v>Bình thường</v>
      </c>
      <c r="L272" s="106"/>
      <c r="M272" s="129" t="s">
        <v>1342</v>
      </c>
      <c r="N272" s="80" t="s">
        <v>882</v>
      </c>
      <c r="O272" s="108" t="s">
        <v>883</v>
      </c>
      <c r="P272" s="80">
        <v>2019.0</v>
      </c>
      <c r="Q272" s="80" t="s">
        <v>884</v>
      </c>
      <c r="R272" s="80" t="s">
        <v>1347</v>
      </c>
      <c r="S272" s="108">
        <v>1.50119001E9</v>
      </c>
      <c r="T272" s="110" t="s">
        <v>96</v>
      </c>
      <c r="U272" s="110"/>
      <c r="V272" s="112">
        <v>0.0</v>
      </c>
      <c r="W272" s="112"/>
      <c r="X272" s="112"/>
      <c r="Y272" s="112"/>
    </row>
    <row r="273" ht="13.5" customHeight="1" outlineLevel="1">
      <c r="A273" s="80">
        <f t="shared" si="11"/>
        <v>20</v>
      </c>
      <c r="B273" s="86" t="s">
        <v>1348</v>
      </c>
      <c r="C273" s="84"/>
      <c r="D273" s="95" t="s">
        <v>1349</v>
      </c>
      <c r="E273" s="95"/>
      <c r="F273" s="95" t="s">
        <v>154</v>
      </c>
      <c r="G273" s="86" t="s">
        <v>1350</v>
      </c>
      <c r="H273" s="80"/>
      <c r="I273" s="80" t="s">
        <v>1253</v>
      </c>
      <c r="J273" s="99">
        <v>46361.0</v>
      </c>
      <c r="K273" s="80" t="str">
        <f>IF(COUNTIF('TT BTSC'!$D:$D,B273)&gt;0,"Hư hỏng","Bình thường")</f>
        <v>Bình thường</v>
      </c>
      <c r="L273" s="106"/>
      <c r="M273" s="104" t="s">
        <v>890</v>
      </c>
      <c r="N273" s="80" t="s">
        <v>739</v>
      </c>
      <c r="O273" s="108" t="s">
        <v>260</v>
      </c>
      <c r="P273" s="80">
        <v>2026.0</v>
      </c>
      <c r="Q273" s="80" t="s">
        <v>891</v>
      </c>
      <c r="R273" s="80" t="s">
        <v>892</v>
      </c>
      <c r="S273" s="108" t="s">
        <v>1353</v>
      </c>
      <c r="T273" s="110"/>
      <c r="U273" s="110"/>
      <c r="V273" s="112"/>
      <c r="W273" s="112"/>
      <c r="X273" s="112"/>
      <c r="Y273" s="112"/>
    </row>
    <row r="274" ht="13.5" customHeight="1" outlineLevel="1">
      <c r="A274" s="80">
        <f t="shared" si="11"/>
        <v>21</v>
      </c>
      <c r="B274" s="86" t="s">
        <v>1355</v>
      </c>
      <c r="C274" s="84" t="s">
        <v>1356</v>
      </c>
      <c r="D274" s="95" t="str">
        <f>IFERROR(VLOOKUP(C274,' 02.1 KLH-CN MÃ BRAVO MM'!$B:$C,2,0),"")</f>
        <v/>
      </c>
      <c r="E274" s="95"/>
      <c r="F274" s="95" t="s">
        <v>139</v>
      </c>
      <c r="G274" s="86" t="s">
        <v>1357</v>
      </c>
      <c r="H274" s="80" t="str">
        <f>VLOOKUP(G274,'01. TH'!$B:$E,3,0)</f>
        <v/>
      </c>
      <c r="I274" s="80" t="s">
        <v>1253</v>
      </c>
      <c r="J274" s="99">
        <v>45181.0</v>
      </c>
      <c r="K274" s="80" t="str">
        <f>IF(COUNTIF('TT BTSC'!$D:$D,B274)&gt;0,"Hư hỏng","Bình thường")</f>
        <v>Bình thường</v>
      </c>
      <c r="L274" s="106"/>
      <c r="M274" s="129" t="s">
        <v>1358</v>
      </c>
      <c r="N274" s="80" t="s">
        <v>1359</v>
      </c>
      <c r="O274" s="108" t="s">
        <v>883</v>
      </c>
      <c r="P274" s="80">
        <v>2022.0</v>
      </c>
      <c r="Q274" s="80" t="s">
        <v>1360</v>
      </c>
      <c r="R274" s="80" t="s">
        <v>1361</v>
      </c>
      <c r="S274" s="108" t="s">
        <v>96</v>
      </c>
      <c r="T274" s="110" t="s">
        <v>1362</v>
      </c>
      <c r="U274" s="110"/>
      <c r="V274" s="112">
        <v>0.0</v>
      </c>
      <c r="W274" s="112"/>
      <c r="X274" s="112"/>
      <c r="Y274" s="112"/>
    </row>
    <row r="275" ht="13.5" customHeight="1" outlineLevel="1">
      <c r="A275" s="80">
        <f t="shared" si="11"/>
        <v>22</v>
      </c>
      <c r="B275" s="86" t="s">
        <v>1363</v>
      </c>
      <c r="C275" s="84"/>
      <c r="D275" s="95" t="s">
        <v>1364</v>
      </c>
      <c r="E275" s="95"/>
      <c r="F275" s="95" t="s">
        <v>154</v>
      </c>
      <c r="G275" s="161" t="s">
        <v>985</v>
      </c>
      <c r="H275" s="80" t="str">
        <f>VLOOKUP(G275,'01. TH'!$B:$E,3,0)</f>
        <v/>
      </c>
      <c r="I275" s="80" t="s">
        <v>1253</v>
      </c>
      <c r="J275" s="137" t="s">
        <v>986</v>
      </c>
      <c r="K275" s="80" t="str">
        <f>IF(COUNTIF('TT BTSC'!$D:$D,B275)&gt;0,"Hư hỏng","Bình thường")</f>
        <v>Bình thường</v>
      </c>
      <c r="L275" s="106"/>
      <c r="M275" s="104" t="s">
        <v>890</v>
      </c>
      <c r="N275" s="80" t="s">
        <v>987</v>
      </c>
      <c r="O275" s="108" t="s">
        <v>148</v>
      </c>
      <c r="P275" s="80">
        <v>2025.0</v>
      </c>
      <c r="Q275" s="80" t="s">
        <v>988</v>
      </c>
      <c r="R275" s="80" t="s">
        <v>970</v>
      </c>
      <c r="S275" s="108" t="s">
        <v>1365</v>
      </c>
      <c r="T275" s="110" t="s">
        <v>1366</v>
      </c>
      <c r="U275" s="186">
        <v>1.8</v>
      </c>
      <c r="V275" s="112">
        <v>0.0</v>
      </c>
      <c r="W275" s="112"/>
      <c r="X275" s="112"/>
      <c r="Y275" s="112"/>
    </row>
    <row r="276" ht="13.5" customHeight="1" outlineLevel="1">
      <c r="A276" s="80">
        <f t="shared" si="11"/>
        <v>23</v>
      </c>
      <c r="B276" s="86" t="s">
        <v>1367</v>
      </c>
      <c r="C276" s="84"/>
      <c r="D276" s="95" t="s">
        <v>1368</v>
      </c>
      <c r="E276" s="95"/>
      <c r="F276" s="95" t="s">
        <v>154</v>
      </c>
      <c r="G276" s="161" t="s">
        <v>985</v>
      </c>
      <c r="H276" s="80" t="str">
        <f>VLOOKUP(G276,'01. TH'!$B:$E,3,0)</f>
        <v/>
      </c>
      <c r="I276" s="80" t="s">
        <v>1253</v>
      </c>
      <c r="J276" s="137" t="s">
        <v>986</v>
      </c>
      <c r="K276" s="80" t="str">
        <f>IF(COUNTIF('TT BTSC'!$D:$D,B276)&gt;0,"Hư hỏng","Bình thường")</f>
        <v>Bình thường</v>
      </c>
      <c r="L276" s="106"/>
      <c r="M276" s="104" t="s">
        <v>890</v>
      </c>
      <c r="N276" s="80" t="s">
        <v>987</v>
      </c>
      <c r="O276" s="108" t="s">
        <v>148</v>
      </c>
      <c r="P276" s="80">
        <v>2025.0</v>
      </c>
      <c r="Q276" s="80" t="s">
        <v>988</v>
      </c>
      <c r="R276" s="80" t="s">
        <v>970</v>
      </c>
      <c r="S276" s="108" t="s">
        <v>1369</v>
      </c>
      <c r="T276" s="110" t="s">
        <v>1370</v>
      </c>
      <c r="U276" s="186">
        <v>1.8</v>
      </c>
      <c r="V276" s="112">
        <v>0.0</v>
      </c>
      <c r="W276" s="112"/>
      <c r="X276" s="112"/>
      <c r="Y276" s="112"/>
    </row>
    <row r="277" ht="13.5" customHeight="1" outlineLevel="1">
      <c r="A277" s="80">
        <f t="shared" si="11"/>
        <v>24</v>
      </c>
      <c r="B277" s="86" t="s">
        <v>1371</v>
      </c>
      <c r="C277" s="84"/>
      <c r="D277" s="95" t="s">
        <v>1373</v>
      </c>
      <c r="E277" s="95"/>
      <c r="F277" s="95" t="s">
        <v>154</v>
      </c>
      <c r="G277" s="161" t="s">
        <v>985</v>
      </c>
      <c r="H277" s="80" t="str">
        <f>VLOOKUP(G277,'01. TH'!$B:$E,3,0)</f>
        <v/>
      </c>
      <c r="I277" s="80" t="s">
        <v>1253</v>
      </c>
      <c r="J277" s="137" t="s">
        <v>986</v>
      </c>
      <c r="K277" s="80" t="str">
        <f>IF(COUNTIF('TT BTSC'!$D:$D,B277)&gt;0,"Hư hỏng","Bình thường")</f>
        <v>Bình thường</v>
      </c>
      <c r="L277" s="106"/>
      <c r="M277" s="104" t="s">
        <v>890</v>
      </c>
      <c r="N277" s="80" t="s">
        <v>987</v>
      </c>
      <c r="O277" s="108" t="s">
        <v>148</v>
      </c>
      <c r="P277" s="80">
        <v>2025.0</v>
      </c>
      <c r="Q277" s="80" t="s">
        <v>988</v>
      </c>
      <c r="R277" s="80" t="s">
        <v>970</v>
      </c>
      <c r="S277" s="108" t="s">
        <v>1374</v>
      </c>
      <c r="T277" s="110" t="s">
        <v>1366</v>
      </c>
      <c r="U277" s="186">
        <v>1.8</v>
      </c>
      <c r="V277" s="112">
        <v>0.0</v>
      </c>
      <c r="W277" s="112"/>
      <c r="X277" s="112"/>
      <c r="Y277" s="112"/>
    </row>
    <row r="278" ht="13.5" customHeight="1" outlineLevel="1">
      <c r="A278" s="80">
        <f t="shared" si="11"/>
        <v>25</v>
      </c>
      <c r="B278" s="86" t="s">
        <v>1375</v>
      </c>
      <c r="C278" s="84"/>
      <c r="D278" s="95" t="s">
        <v>1376</v>
      </c>
      <c r="E278" s="95"/>
      <c r="F278" s="95" t="s">
        <v>154</v>
      </c>
      <c r="G278" s="161" t="s">
        <v>985</v>
      </c>
      <c r="H278" s="80" t="str">
        <f>VLOOKUP(G278,'01. TH'!$B:$E,3,0)</f>
        <v/>
      </c>
      <c r="I278" s="80" t="s">
        <v>1253</v>
      </c>
      <c r="J278" s="137" t="s">
        <v>986</v>
      </c>
      <c r="K278" s="80" t="str">
        <f>IF(COUNTIF('TT BTSC'!$D:$D,B278)&gt;0,"Hư hỏng","Bình thường")</f>
        <v>Bình thường</v>
      </c>
      <c r="L278" s="106"/>
      <c r="M278" s="104" t="s">
        <v>890</v>
      </c>
      <c r="N278" s="80" t="s">
        <v>987</v>
      </c>
      <c r="O278" s="108" t="s">
        <v>148</v>
      </c>
      <c r="P278" s="80">
        <v>2025.0</v>
      </c>
      <c r="Q278" s="80" t="s">
        <v>988</v>
      </c>
      <c r="R278" s="80" t="s">
        <v>970</v>
      </c>
      <c r="S278" s="108" t="s">
        <v>1377</v>
      </c>
      <c r="T278" s="110" t="s">
        <v>1378</v>
      </c>
      <c r="U278" s="186">
        <v>1.8</v>
      </c>
      <c r="V278" s="112">
        <v>0.0</v>
      </c>
      <c r="W278" s="112"/>
      <c r="X278" s="112"/>
      <c r="Y278" s="112"/>
    </row>
    <row r="279" ht="13.5" customHeight="1" outlineLevel="1">
      <c r="A279" s="80">
        <f t="shared" si="11"/>
        <v>26</v>
      </c>
      <c r="B279" s="86" t="s">
        <v>1379</v>
      </c>
      <c r="C279" s="84" t="s">
        <v>1380</v>
      </c>
      <c r="D279" s="95" t="str">
        <f>IFERROR(VLOOKUP(B279,' 02.1 KLH-CN MÃ BRAVO MM'!$B:$C,2,0),"")</f>
        <v/>
      </c>
      <c r="E279" s="95"/>
      <c r="F279" s="95" t="s">
        <v>79</v>
      </c>
      <c r="G279" s="161" t="s">
        <v>1381</v>
      </c>
      <c r="H279" s="80" t="str">
        <f>VLOOKUP(G279,'01. TH'!$B:$E,3,0)</f>
        <v>4890 x 2015 x 2500</v>
      </c>
      <c r="I279" s="80" t="s">
        <v>1253</v>
      </c>
      <c r="J279" s="137"/>
      <c r="K279" s="80" t="str">
        <f>IF(COUNTIF('TT BTSC'!$D:$D,B279)&gt;0,"Hư hỏng","Bình thường")</f>
        <v>Bình thường</v>
      </c>
      <c r="L279" s="106"/>
      <c r="M279" s="104" t="s">
        <v>1382</v>
      </c>
      <c r="N279" s="80" t="s">
        <v>300</v>
      </c>
      <c r="O279" s="108" t="s">
        <v>148</v>
      </c>
      <c r="P279" s="80">
        <v>2018.0</v>
      </c>
      <c r="Q279" s="80" t="s">
        <v>1383</v>
      </c>
      <c r="R279" s="80" t="s">
        <v>511</v>
      </c>
      <c r="S279" s="108">
        <v>380096.0</v>
      </c>
      <c r="T279" s="110" t="s">
        <v>96</v>
      </c>
      <c r="U279" s="186">
        <v>3.75</v>
      </c>
      <c r="V279" s="112">
        <v>0.0</v>
      </c>
      <c r="W279" s="112"/>
      <c r="X279" s="112"/>
      <c r="Y279" s="112"/>
    </row>
    <row r="280" ht="13.5" customHeight="1" outlineLevel="1">
      <c r="A280" s="80"/>
      <c r="B280" s="84"/>
      <c r="C280" s="86"/>
      <c r="D280" s="95"/>
      <c r="E280" s="95"/>
      <c r="F280" s="95"/>
      <c r="G280" s="86"/>
      <c r="H280" s="80"/>
      <c r="I280" s="80"/>
      <c r="J280" s="99"/>
      <c r="K280" s="80"/>
      <c r="L280" s="106"/>
      <c r="M280" s="129"/>
      <c r="N280" s="80"/>
      <c r="O280" s="108"/>
      <c r="P280" s="80"/>
      <c r="Q280" s="80"/>
      <c r="R280" s="106"/>
      <c r="S280" s="108"/>
      <c r="T280" s="110"/>
      <c r="U280" s="110"/>
      <c r="V280" s="51"/>
      <c r="W280" s="51"/>
      <c r="X280" s="51"/>
      <c r="Y280" s="51"/>
    </row>
    <row r="281" ht="13.5" customHeight="1" outlineLevel="1">
      <c r="A281" s="80"/>
      <c r="B281" s="84"/>
      <c r="C281" s="86" t="s">
        <v>1384</v>
      </c>
      <c r="D281" s="95"/>
      <c r="E281" s="95"/>
      <c r="F281" s="95"/>
      <c r="G281" s="86"/>
      <c r="H281" s="80" t="str">
        <f>VLOOKUP(G281,'01. TH'!$B:$E,3,0)</f>
        <v>#N/A</v>
      </c>
      <c r="I281" s="80"/>
      <c r="J281" s="99"/>
      <c r="K281" s="80"/>
      <c r="L281" s="106"/>
      <c r="M281" s="129"/>
      <c r="N281" s="80"/>
      <c r="O281" s="108"/>
      <c r="P281" s="80"/>
      <c r="Q281" s="80"/>
      <c r="R281" s="106"/>
      <c r="S281" s="108"/>
      <c r="T281" s="110"/>
      <c r="U281" s="110"/>
      <c r="V281" s="51"/>
      <c r="W281" s="51"/>
      <c r="X281" s="51"/>
      <c r="Y281" s="51"/>
    </row>
    <row r="282" ht="13.5" customHeight="1">
      <c r="A282" s="151" t="s">
        <v>1385</v>
      </c>
      <c r="B282" s="194" t="s">
        <v>1386</v>
      </c>
      <c r="C282" s="72">
        <f>COUNTA($B$283:$B$322)</f>
        <v>38</v>
      </c>
      <c r="D282" s="195" t="str">
        <f>IFERROR(VLOOKUP(B282,' 02.1 KLH-CN MÃ BRAVO MM'!$B:$C,2,0),"")</f>
        <v/>
      </c>
      <c r="E282" s="196"/>
      <c r="F282" s="196"/>
      <c r="G282" s="197"/>
      <c r="H282" s="75"/>
      <c r="I282" s="195"/>
      <c r="J282" s="180"/>
      <c r="K282" s="75"/>
      <c r="L282" s="196"/>
      <c r="M282" s="202"/>
      <c r="N282" s="196"/>
      <c r="O282" s="195"/>
      <c r="P282" s="195"/>
      <c r="Q282" s="195"/>
      <c r="R282" s="195"/>
      <c r="S282" s="195"/>
      <c r="T282" s="195"/>
      <c r="U282" s="199"/>
      <c r="V282" s="200"/>
      <c r="W282" s="200"/>
      <c r="X282" s="200"/>
      <c r="Y282" s="200"/>
    </row>
    <row r="283" ht="13.5" customHeight="1" outlineLevel="1">
      <c r="A283" s="80">
        <v>1.0</v>
      </c>
      <c r="B283" s="84" t="s">
        <v>1387</v>
      </c>
      <c r="C283" s="86" t="s">
        <v>1388</v>
      </c>
      <c r="D283" s="95" t="str">
        <f>IFERROR(VLOOKUP(B283,' 02.1 KLH-CN MÃ BRAVO MM'!$B:$C,2,0),"")</f>
        <v>A24-MKE-011</v>
      </c>
      <c r="E283" s="95"/>
      <c r="F283" s="95" t="s">
        <v>79</v>
      </c>
      <c r="G283" s="86" t="s">
        <v>857</v>
      </c>
      <c r="H283" s="80" t="str">
        <f>VLOOKUP(G283,'01. TH'!$B:$E,3,0)</f>
        <v>3226 x 1570 x 1545</v>
      </c>
      <c r="I283" s="80" t="s">
        <v>1389</v>
      </c>
      <c r="J283" s="99"/>
      <c r="K283" s="80" t="str">
        <f>IF(COUNTIF('TT BTSC'!$D:$D,B283)&gt;0,"Hư hỏng","Bình thường")</f>
        <v>Bình thường</v>
      </c>
      <c r="L283" s="106"/>
      <c r="M283" s="104"/>
      <c r="N283" s="106" t="s">
        <v>743</v>
      </c>
      <c r="O283" s="108" t="s">
        <v>148</v>
      </c>
      <c r="P283" s="80">
        <v>2018.0</v>
      </c>
      <c r="Q283" s="80" t="s">
        <v>860</v>
      </c>
      <c r="R283" s="106" t="s">
        <v>861</v>
      </c>
      <c r="S283" s="108" t="s">
        <v>1390</v>
      </c>
      <c r="T283" s="110" t="s">
        <v>96</v>
      </c>
      <c r="U283" s="110">
        <v>2.5</v>
      </c>
      <c r="V283" s="112">
        <v>0.0</v>
      </c>
      <c r="W283" s="112"/>
      <c r="X283" s="112"/>
      <c r="Y283" s="112"/>
    </row>
    <row r="284" ht="13.5" customHeight="1" outlineLevel="1">
      <c r="A284" s="80">
        <f t="shared" ref="A284:A320" si="12">A283+1</f>
        <v>2</v>
      </c>
      <c r="B284" s="84" t="s">
        <v>1391</v>
      </c>
      <c r="C284" s="86" t="s">
        <v>1392</v>
      </c>
      <c r="D284" s="95" t="str">
        <f>IFERROR(VLOOKUP(B284,' 02.1 KLH-CN MÃ BRAVO MM'!$B:$C,2,0),"")</f>
        <v>A24-MKE-012</v>
      </c>
      <c r="E284" s="95"/>
      <c r="F284" s="95" t="s">
        <v>79</v>
      </c>
      <c r="G284" s="86" t="s">
        <v>857</v>
      </c>
      <c r="H284" s="80" t="str">
        <f>VLOOKUP(G284,'01. TH'!$B:$E,3,0)</f>
        <v>3226 x 1570 x 1545</v>
      </c>
      <c r="I284" s="80" t="s">
        <v>1389</v>
      </c>
      <c r="J284" s="99"/>
      <c r="K284" s="80" t="str">
        <f>IF(COUNTIF('TT BTSC'!$D:$D,B284)&gt;0,"Hư hỏng","Bình thường")</f>
        <v>Bình thường</v>
      </c>
      <c r="L284" s="106"/>
      <c r="M284" s="104"/>
      <c r="N284" s="106" t="s">
        <v>743</v>
      </c>
      <c r="O284" s="108" t="s">
        <v>148</v>
      </c>
      <c r="P284" s="80">
        <v>2018.0</v>
      </c>
      <c r="Q284" s="80" t="s">
        <v>860</v>
      </c>
      <c r="R284" s="106" t="s">
        <v>861</v>
      </c>
      <c r="S284" s="108" t="s">
        <v>1393</v>
      </c>
      <c r="T284" s="110" t="s">
        <v>96</v>
      </c>
      <c r="U284" s="110">
        <v>2.0</v>
      </c>
      <c r="V284" s="112">
        <v>0.0</v>
      </c>
      <c r="W284" s="112"/>
      <c r="X284" s="112"/>
      <c r="Y284" s="112"/>
    </row>
    <row r="285" ht="14.25" customHeight="1" outlineLevel="1">
      <c r="A285" s="80">
        <f t="shared" si="12"/>
        <v>3</v>
      </c>
      <c r="B285" s="84" t="s">
        <v>1394</v>
      </c>
      <c r="C285" s="86" t="s">
        <v>1395</v>
      </c>
      <c r="D285" s="95" t="str">
        <f>IFERROR(VLOOKUP(B285,' 02.1 KLH-CN MÃ BRAVO MM'!$B:$C,2,0),"")</f>
        <v>A24-MKE-013</v>
      </c>
      <c r="E285" s="95"/>
      <c r="F285" s="95" t="s">
        <v>79</v>
      </c>
      <c r="G285" s="86" t="s">
        <v>857</v>
      </c>
      <c r="H285" s="80" t="str">
        <f>VLOOKUP(G285,'01. TH'!$B:$E,3,0)</f>
        <v>3226 x 1570 x 1545</v>
      </c>
      <c r="I285" s="80" t="s">
        <v>1389</v>
      </c>
      <c r="J285" s="99"/>
      <c r="K285" s="80" t="str">
        <f>IF(COUNTIF('TT BTSC'!$D:$D,B285)&gt;0,"Hư hỏng","Bình thường")</f>
        <v>Bình thường</v>
      </c>
      <c r="L285" s="106"/>
      <c r="M285" s="104"/>
      <c r="N285" s="106" t="s">
        <v>743</v>
      </c>
      <c r="O285" s="108" t="s">
        <v>148</v>
      </c>
      <c r="P285" s="80">
        <v>2018.0</v>
      </c>
      <c r="Q285" s="80" t="s">
        <v>860</v>
      </c>
      <c r="R285" s="106" t="s">
        <v>861</v>
      </c>
      <c r="S285" s="108" t="s">
        <v>1397</v>
      </c>
      <c r="T285" s="110" t="s">
        <v>96</v>
      </c>
      <c r="U285" s="110">
        <v>2.0</v>
      </c>
      <c r="V285" s="112">
        <v>0.0</v>
      </c>
      <c r="W285" s="112"/>
      <c r="X285" s="112"/>
      <c r="Y285" s="112"/>
    </row>
    <row r="286" ht="13.5" customHeight="1" outlineLevel="1">
      <c r="A286" s="80">
        <f t="shared" si="12"/>
        <v>4</v>
      </c>
      <c r="B286" s="84" t="s">
        <v>1398</v>
      </c>
      <c r="C286" s="86" t="s">
        <v>1399</v>
      </c>
      <c r="D286" s="95" t="str">
        <f>IFERROR(VLOOKUP(B286,' 02.1 KLH-CN MÃ BRAVO MM'!$B:$C,2,0),"")</f>
        <v>A24-MKE-014</v>
      </c>
      <c r="E286" s="95"/>
      <c r="F286" s="95" t="s">
        <v>79</v>
      </c>
      <c r="G286" s="86" t="s">
        <v>875</v>
      </c>
      <c r="H286" s="80" t="str">
        <f>VLOOKUP(G286,'01. TH'!$B:$E,3,0)</f>
        <v>3120 x 1495 x 1510</v>
      </c>
      <c r="I286" s="80" t="s">
        <v>1389</v>
      </c>
      <c r="J286" s="99"/>
      <c r="K286" s="80" t="str">
        <f>IF(COUNTIF('TT BTSC'!$D:$D,B286)&gt;0,"Hư hỏng","Bình thường")</f>
        <v>Bình thường</v>
      </c>
      <c r="L286" s="106"/>
      <c r="M286" s="104"/>
      <c r="N286" s="106" t="s">
        <v>454</v>
      </c>
      <c r="O286" s="108" t="s">
        <v>84</v>
      </c>
      <c r="P286" s="80">
        <v>2019.0</v>
      </c>
      <c r="Q286" s="80" t="s">
        <v>878</v>
      </c>
      <c r="R286" s="106" t="s">
        <v>101</v>
      </c>
      <c r="S286" s="108">
        <v>1665.0</v>
      </c>
      <c r="T286" s="110" t="s">
        <v>96</v>
      </c>
      <c r="U286" s="110">
        <v>2.5</v>
      </c>
      <c r="V286" s="112">
        <v>0.0</v>
      </c>
      <c r="W286" s="112"/>
      <c r="X286" s="112"/>
      <c r="Y286" s="112"/>
    </row>
    <row r="287" ht="13.5" customHeight="1" outlineLevel="1">
      <c r="A287" s="80">
        <f t="shared" si="12"/>
        <v>5</v>
      </c>
      <c r="B287" s="161" t="s">
        <v>1400</v>
      </c>
      <c r="C287" s="161" t="s">
        <v>1401</v>
      </c>
      <c r="D287" s="95" t="str">
        <f>IFERROR(VLOOKUP(B287,' 02.1 KLH-CN MÃ BRAVO MM'!$B:$C,2,0),"")</f>
        <v>A24-MKE-015</v>
      </c>
      <c r="E287" s="9"/>
      <c r="F287" s="95" t="s">
        <v>79</v>
      </c>
      <c r="G287" s="161" t="s">
        <v>788</v>
      </c>
      <c r="H287" s="80" t="str">
        <f>VLOOKUP(G287,'01. TH'!$B:$E,3,0)</f>
        <v>3445 x 1865 x 2535</v>
      </c>
      <c r="I287" s="137" t="s">
        <v>1389</v>
      </c>
      <c r="J287" s="137" t="s">
        <v>1402</v>
      </c>
      <c r="K287" s="80" t="str">
        <f>IF(COUNTIF('TT BTSC'!$D:$D,B287)&gt;0,"Hư hỏng","Bình thường")</f>
        <v>Bình thường</v>
      </c>
      <c r="L287" s="106"/>
      <c r="M287" s="141" t="s">
        <v>1403</v>
      </c>
      <c r="N287" s="6" t="s">
        <v>454</v>
      </c>
      <c r="O287" s="186" t="s">
        <v>84</v>
      </c>
      <c r="P287" s="137">
        <v>2013.0</v>
      </c>
      <c r="Q287" s="137" t="s">
        <v>791</v>
      </c>
      <c r="R287" s="6" t="s">
        <v>792</v>
      </c>
      <c r="S287" s="186" t="s">
        <v>1404</v>
      </c>
      <c r="T287" s="140" t="s">
        <v>96</v>
      </c>
      <c r="U287" s="110">
        <v>3.5</v>
      </c>
      <c r="V287" s="112">
        <v>90.0</v>
      </c>
      <c r="W287" s="112"/>
      <c r="X287" s="112"/>
      <c r="Y287" s="112"/>
    </row>
    <row r="288" ht="13.5" customHeight="1" outlineLevel="1">
      <c r="A288" s="80">
        <f t="shared" si="12"/>
        <v>6</v>
      </c>
      <c r="B288" s="86" t="s">
        <v>1405</v>
      </c>
      <c r="C288" s="86" t="s">
        <v>1406</v>
      </c>
      <c r="D288" s="95" t="str">
        <f>IFERROR(VLOOKUP(B288,' 02.1 KLH-CN MÃ BRAVO MM'!$B:$C,2,0),"")</f>
        <v>A24-MKE-016</v>
      </c>
      <c r="E288" s="95"/>
      <c r="F288" s="95" t="s">
        <v>79</v>
      </c>
      <c r="G288" s="86" t="s">
        <v>857</v>
      </c>
      <c r="H288" s="80" t="str">
        <f>VLOOKUP(G288,'01. TH'!$B:$E,3,0)</f>
        <v>3226 x 1570 x 1545</v>
      </c>
      <c r="I288" s="80" t="s">
        <v>1389</v>
      </c>
      <c r="J288" s="99">
        <v>45600.0</v>
      </c>
      <c r="K288" s="80" t="str">
        <f>IF(COUNTIF('TT BTSC'!$D:$D,B288)&gt;0,"Hư hỏng","Bình thường")</f>
        <v>Bình thường</v>
      </c>
      <c r="L288" s="207"/>
      <c r="M288" s="129" t="s">
        <v>1408</v>
      </c>
      <c r="N288" s="106" t="s">
        <v>743</v>
      </c>
      <c r="O288" s="108" t="s">
        <v>148</v>
      </c>
      <c r="P288" s="80">
        <v>2018.0</v>
      </c>
      <c r="Q288" s="80" t="s">
        <v>860</v>
      </c>
      <c r="R288" s="106" t="s">
        <v>861</v>
      </c>
      <c r="S288" s="108">
        <v>180046.0</v>
      </c>
      <c r="T288" s="110" t="s">
        <v>96</v>
      </c>
      <c r="U288" s="110">
        <v>2.5</v>
      </c>
      <c r="V288" s="112">
        <v>0.0</v>
      </c>
      <c r="W288" s="112"/>
      <c r="X288" s="112"/>
      <c r="Y288" s="112"/>
    </row>
    <row r="289" ht="45.75" customHeight="1" outlineLevel="1">
      <c r="A289" s="80">
        <f t="shared" si="12"/>
        <v>7</v>
      </c>
      <c r="B289" s="115" t="s">
        <v>1409</v>
      </c>
      <c r="C289" s="115" t="s">
        <v>1410</v>
      </c>
      <c r="D289" s="95" t="s">
        <v>1411</v>
      </c>
      <c r="E289" s="9"/>
      <c r="F289" s="95" t="s">
        <v>154</v>
      </c>
      <c r="G289" s="115" t="s">
        <v>1412</v>
      </c>
      <c r="H289" s="80"/>
      <c r="I289" s="80" t="s">
        <v>1389</v>
      </c>
      <c r="J289" s="95" t="s">
        <v>1413</v>
      </c>
      <c r="K289" s="80" t="str">
        <f>IF(COUNTIF('TT BTSC'!$D:$D,B289)&gt;0,"Hư hỏng","Bình thường")</f>
        <v>Bình thường</v>
      </c>
      <c r="L289" s="117"/>
      <c r="M289" s="208" t="s">
        <v>1414</v>
      </c>
      <c r="N289" s="80" t="s">
        <v>739</v>
      </c>
      <c r="O289" s="110" t="s">
        <v>1415</v>
      </c>
      <c r="P289" s="80">
        <v>2024.0</v>
      </c>
      <c r="Q289" s="80" t="s">
        <v>1416</v>
      </c>
      <c r="R289" s="80" t="s">
        <v>1417</v>
      </c>
      <c r="S289" s="108" t="s">
        <v>1418</v>
      </c>
      <c r="T289" s="110" t="s">
        <v>1419</v>
      </c>
      <c r="U289" s="110">
        <v>3.3</v>
      </c>
      <c r="V289" s="112">
        <v>50.0</v>
      </c>
      <c r="W289" s="112"/>
      <c r="X289" s="112"/>
      <c r="Y289" s="112"/>
    </row>
    <row r="290" ht="33.75" customHeight="1" outlineLevel="1">
      <c r="A290" s="80">
        <f t="shared" si="12"/>
        <v>8</v>
      </c>
      <c r="B290" s="115" t="s">
        <v>1420</v>
      </c>
      <c r="C290" s="84" t="s">
        <v>1421</v>
      </c>
      <c r="D290" s="95" t="s">
        <v>1422</v>
      </c>
      <c r="E290" s="95"/>
      <c r="F290" s="95" t="s">
        <v>79</v>
      </c>
      <c r="G290" s="86" t="s">
        <v>788</v>
      </c>
      <c r="H290" s="80" t="str">
        <f>VLOOKUP(G290,'01. TH'!$B:$E,3,0)</f>
        <v>3445 x 1865 x 2535</v>
      </c>
      <c r="I290" s="80" t="s">
        <v>1389</v>
      </c>
      <c r="J290" s="99"/>
      <c r="K290" s="80" t="str">
        <f>IF(COUNTIF('TT BTSC'!$D:$D,C290)&gt;0,"Hư hỏng","Bình thường")</f>
        <v>Bình thường</v>
      </c>
      <c r="L290" s="106"/>
      <c r="M290" s="129" t="s">
        <v>1423</v>
      </c>
      <c r="N290" s="106" t="s">
        <v>454</v>
      </c>
      <c r="O290" s="108" t="s">
        <v>84</v>
      </c>
      <c r="P290" s="80">
        <v>2013.0</v>
      </c>
      <c r="Q290" s="80" t="s">
        <v>791</v>
      </c>
      <c r="R290" s="106" t="s">
        <v>792</v>
      </c>
      <c r="S290" s="108">
        <v>57121.0</v>
      </c>
      <c r="T290" s="110">
        <v>7542.0</v>
      </c>
      <c r="U290" s="110">
        <v>6.6</v>
      </c>
      <c r="V290" s="112">
        <v>90.0</v>
      </c>
      <c r="W290" s="112"/>
      <c r="X290" s="112"/>
      <c r="Y290" s="112"/>
    </row>
    <row r="291" ht="35.25" customHeight="1" outlineLevel="1">
      <c r="A291" s="80">
        <f t="shared" si="12"/>
        <v>9</v>
      </c>
      <c r="B291" s="115" t="s">
        <v>877</v>
      </c>
      <c r="C291" s="134" t="s">
        <v>1424</v>
      </c>
      <c r="D291" s="95" t="str">
        <f>IFERROR(VLOOKUP(B291,' 02.1 KLH-CN MÃ BRAVO MM'!$B:$C,2,0),"")</f>
        <v>ATT-A22-0233</v>
      </c>
      <c r="E291" s="9"/>
      <c r="F291" s="95" t="s">
        <v>79</v>
      </c>
      <c r="G291" s="134" t="s">
        <v>219</v>
      </c>
      <c r="H291" s="80" t="str">
        <f>VLOOKUP(G291,'01. TH'!$B:$E,3,0)</f>
        <v>5260 x 1760 x 2415</v>
      </c>
      <c r="I291" s="80" t="s">
        <v>1389</v>
      </c>
      <c r="J291" s="9" t="s">
        <v>1402</v>
      </c>
      <c r="K291" s="80" t="str">
        <f>IF(COUNTIF('TT BTSC'!$D:$D,B291)&gt;0,"Hư hỏng","Bình thường")</f>
        <v>Bình thường</v>
      </c>
      <c r="L291" s="139">
        <v>0.69</v>
      </c>
      <c r="M291" s="155" t="s">
        <v>1427</v>
      </c>
      <c r="N291" s="209" t="s">
        <v>123</v>
      </c>
      <c r="O291" s="140" t="s">
        <v>84</v>
      </c>
      <c r="P291" s="9">
        <v>2006.0</v>
      </c>
      <c r="Q291" s="9" t="s">
        <v>1428</v>
      </c>
      <c r="R291" s="209" t="s">
        <v>462</v>
      </c>
      <c r="S291" s="140" t="s">
        <v>1429</v>
      </c>
      <c r="T291" s="140">
        <v>11014.0</v>
      </c>
      <c r="U291" s="140">
        <v>4.0</v>
      </c>
      <c r="V291" s="112">
        <v>65.0</v>
      </c>
      <c r="W291" s="112"/>
      <c r="X291" s="112"/>
      <c r="Y291" s="112"/>
    </row>
    <row r="292" ht="24.75" customHeight="1" outlineLevel="1">
      <c r="A292" s="80">
        <f t="shared" si="12"/>
        <v>10</v>
      </c>
      <c r="B292" s="86" t="s">
        <v>859</v>
      </c>
      <c r="C292" s="134" t="s">
        <v>139</v>
      </c>
      <c r="D292" s="95" t="str">
        <f>IFERROR(VLOOKUP(B292,' 02.1 KLH-CN MÃ BRAVO MM'!$B:$C,2,0),"")</f>
        <v>A24-MĐA-049</v>
      </c>
      <c r="E292" s="95"/>
      <c r="F292" s="95" t="s">
        <v>79</v>
      </c>
      <c r="G292" s="86" t="s">
        <v>219</v>
      </c>
      <c r="H292" s="80" t="str">
        <f>VLOOKUP(G292,'01. TH'!$B:$E,3,0)</f>
        <v>5260 x 1760 x 2415</v>
      </c>
      <c r="I292" s="80" t="s">
        <v>1389</v>
      </c>
      <c r="J292" s="80" t="s">
        <v>1430</v>
      </c>
      <c r="K292" s="80" t="s">
        <v>1027</v>
      </c>
      <c r="L292" s="102"/>
      <c r="M292" s="129" t="s">
        <v>1431</v>
      </c>
      <c r="N292" s="80" t="s">
        <v>123</v>
      </c>
      <c r="O292" s="110" t="s">
        <v>84</v>
      </c>
      <c r="P292" s="80">
        <v>2005.0</v>
      </c>
      <c r="Q292" s="80" t="s">
        <v>237</v>
      </c>
      <c r="R292" s="80" t="s">
        <v>1432</v>
      </c>
      <c r="S292" s="108" t="s">
        <v>1433</v>
      </c>
      <c r="T292" s="110">
        <v>27150.0</v>
      </c>
      <c r="U292" s="140">
        <v>4.0</v>
      </c>
      <c r="V292" s="112">
        <v>65.0</v>
      </c>
      <c r="W292" s="112"/>
      <c r="X292" s="112"/>
      <c r="Y292" s="112"/>
    </row>
    <row r="293" ht="24.75" customHeight="1" outlineLevel="1">
      <c r="A293" s="80">
        <f t="shared" si="12"/>
        <v>11</v>
      </c>
      <c r="B293" s="86" t="s">
        <v>933</v>
      </c>
      <c r="C293" s="134" t="s">
        <v>139</v>
      </c>
      <c r="D293" s="95" t="str">
        <f>IFERROR(VLOOKUP(B293,' 02.1 KLH-CN MÃ BRAVO MM'!$B:$C,2,0),"")</f>
        <v>A24-MĐA-014</v>
      </c>
      <c r="E293" s="95"/>
      <c r="F293" s="95" t="s">
        <v>79</v>
      </c>
      <c r="G293" s="86" t="s">
        <v>219</v>
      </c>
      <c r="H293" s="80" t="str">
        <f>VLOOKUP(G293,'01. TH'!$B:$E,3,0)</f>
        <v>5260 x 1760 x 2415</v>
      </c>
      <c r="I293" s="80" t="s">
        <v>1389</v>
      </c>
      <c r="J293" s="80" t="s">
        <v>220</v>
      </c>
      <c r="K293" s="80" t="str">
        <f>IF(COUNTIF('TT BTSC'!$D:$D,B293)&gt;0,"Hư hỏng","Bình thường")</f>
        <v>Bình thường</v>
      </c>
      <c r="L293" s="102"/>
      <c r="M293" s="129" t="s">
        <v>1435</v>
      </c>
      <c r="N293" s="80" t="s">
        <v>123</v>
      </c>
      <c r="O293" s="110" t="s">
        <v>222</v>
      </c>
      <c r="P293" s="80">
        <v>2015.0</v>
      </c>
      <c r="Q293" s="80" t="s">
        <v>223</v>
      </c>
      <c r="R293" s="80" t="s">
        <v>224</v>
      </c>
      <c r="S293" s="108" t="s">
        <v>1436</v>
      </c>
      <c r="T293" s="110">
        <v>20536.0</v>
      </c>
      <c r="U293" s="140">
        <v>4.0</v>
      </c>
      <c r="V293" s="112">
        <v>60.0</v>
      </c>
      <c r="W293" s="112"/>
      <c r="X293" s="112"/>
      <c r="Y293" s="112"/>
    </row>
    <row r="294" ht="13.5" customHeight="1" outlineLevel="1">
      <c r="A294" s="80">
        <f t="shared" si="12"/>
        <v>12</v>
      </c>
      <c r="B294" s="113" t="s">
        <v>1040</v>
      </c>
      <c r="C294" s="115" t="s">
        <v>1437</v>
      </c>
      <c r="D294" s="95" t="str">
        <f>IFERROR(VLOOKUP(B294,' 02.1 KLH-CN MÃ BRAVO MM'!$B:$C,2,0),"")</f>
        <v>ATT-A22-0236</v>
      </c>
      <c r="E294" s="95"/>
      <c r="F294" s="95" t="s">
        <v>79</v>
      </c>
      <c r="G294" s="115" t="s">
        <v>219</v>
      </c>
      <c r="H294" s="80" t="str">
        <f>VLOOKUP(G294,'01. TH'!$B:$E,3,0)</f>
        <v>5260 x 1760 x 2415</v>
      </c>
      <c r="I294" s="95" t="s">
        <v>1389</v>
      </c>
      <c r="J294" s="116"/>
      <c r="K294" s="80" t="str">
        <f>IF(COUNTIF('TT BTSC'!$D:$D,B294)&gt;0,"Hư hỏng","Bình thường")</f>
        <v>Bình thường</v>
      </c>
      <c r="L294" s="117">
        <v>0.69</v>
      </c>
      <c r="M294" s="155" t="s">
        <v>521</v>
      </c>
      <c r="N294" s="119" t="s">
        <v>123</v>
      </c>
      <c r="O294" s="110" t="s">
        <v>84</v>
      </c>
      <c r="P294" s="95">
        <v>2010.0</v>
      </c>
      <c r="Q294" s="95" t="s">
        <v>237</v>
      </c>
      <c r="R294" s="119" t="s">
        <v>462</v>
      </c>
      <c r="S294" s="110" t="s">
        <v>1439</v>
      </c>
      <c r="T294" s="110">
        <v>21629.0</v>
      </c>
      <c r="U294" s="140">
        <v>4.0</v>
      </c>
      <c r="V294" s="112">
        <v>65.0</v>
      </c>
      <c r="W294" s="112"/>
      <c r="X294" s="112"/>
      <c r="Y294" s="112"/>
    </row>
    <row r="295" ht="13.5" customHeight="1" outlineLevel="1">
      <c r="A295" s="80">
        <f t="shared" si="12"/>
        <v>13</v>
      </c>
      <c r="B295" s="183" t="s">
        <v>1150</v>
      </c>
      <c r="C295" s="115" t="s">
        <v>1440</v>
      </c>
      <c r="D295" s="95" t="str">
        <f>IFERROR(VLOOKUP(B295,' 02.1 KLH-CN MÃ BRAVO MM'!$B:$C,2,0),"")</f>
        <v>ATM-A24-0099</v>
      </c>
      <c r="E295" s="95"/>
      <c r="F295" s="95" t="s">
        <v>79</v>
      </c>
      <c r="G295" s="86" t="s">
        <v>100</v>
      </c>
      <c r="H295" s="80" t="str">
        <f>VLOOKUP(G295,'01. TH'!$B:$E,3,0)</f>
        <v>5340 x 1980 x 1895</v>
      </c>
      <c r="I295" s="95" t="s">
        <v>1389</v>
      </c>
      <c r="J295" s="116">
        <v>45139.0</v>
      </c>
      <c r="K295" s="80" t="str">
        <f>IF(COUNTIF('TT BTSC'!$D:$D,B295)&gt;0,"Hư hỏng","Bình thường")</f>
        <v>Bình thường</v>
      </c>
      <c r="L295" s="117">
        <v>0.8</v>
      </c>
      <c r="M295" s="155" t="s">
        <v>521</v>
      </c>
      <c r="N295" s="119" t="s">
        <v>1441</v>
      </c>
      <c r="O295" s="110" t="s">
        <v>84</v>
      </c>
      <c r="P295" s="95">
        <v>2006.0</v>
      </c>
      <c r="Q295" s="95">
        <v>305.0</v>
      </c>
      <c r="R295" s="119" t="s">
        <v>224</v>
      </c>
      <c r="S295" s="110">
        <v>2208498.0</v>
      </c>
      <c r="T295" s="110" t="s">
        <v>96</v>
      </c>
      <c r="U295" s="140">
        <v>4.0</v>
      </c>
      <c r="V295" s="112">
        <v>63.0</v>
      </c>
      <c r="W295" s="112"/>
      <c r="X295" s="112"/>
      <c r="Y295" s="112"/>
    </row>
    <row r="296" ht="13.5" customHeight="1" outlineLevel="1">
      <c r="A296" s="80">
        <f t="shared" si="12"/>
        <v>14</v>
      </c>
      <c r="B296" s="84" t="s">
        <v>1442</v>
      </c>
      <c r="C296" s="86"/>
      <c r="D296" s="95" t="str">
        <f>IFERROR(VLOOKUP(B296,' 02.1 KLH-CN MÃ BRAVO MM'!$B:$C,2,0),"")</f>
        <v>ATT-A22-0320</v>
      </c>
      <c r="E296" s="80" t="s">
        <v>1443</v>
      </c>
      <c r="F296" s="95" t="s">
        <v>154</v>
      </c>
      <c r="G296" s="86" t="s">
        <v>896</v>
      </c>
      <c r="H296" s="80" t="str">
        <f>VLOOKUP(G296,'01. TH'!$B:$E,3,0)</f>
        <v>4730 x 1750 x 2100</v>
      </c>
      <c r="I296" s="80" t="s">
        <v>1389</v>
      </c>
      <c r="J296" s="99">
        <v>45566.0</v>
      </c>
      <c r="K296" s="80" t="str">
        <f>IF(COUNTIF('TT BTSC'!$D:$D,B296)&gt;0,"Hư hỏng","Bình thường")</f>
        <v>Bình thường</v>
      </c>
      <c r="L296" s="102">
        <v>0.98</v>
      </c>
      <c r="M296" s="129" t="s">
        <v>1444</v>
      </c>
      <c r="N296" s="106" t="s">
        <v>897</v>
      </c>
      <c r="O296" s="108" t="s">
        <v>148</v>
      </c>
      <c r="P296" s="80">
        <v>2021.0</v>
      </c>
      <c r="Q296" s="80" t="s">
        <v>898</v>
      </c>
      <c r="R296" s="106" t="s">
        <v>158</v>
      </c>
      <c r="S296" s="108" t="s">
        <v>1445</v>
      </c>
      <c r="T296" s="110" t="s">
        <v>1446</v>
      </c>
      <c r="U296" s="110"/>
      <c r="V296" s="112">
        <v>60.0</v>
      </c>
      <c r="W296" s="112"/>
      <c r="X296" s="112"/>
      <c r="Y296" s="112"/>
    </row>
    <row r="297" ht="13.5" customHeight="1" outlineLevel="1">
      <c r="A297" s="80">
        <f t="shared" si="12"/>
        <v>15</v>
      </c>
      <c r="B297" s="86" t="s">
        <v>1447</v>
      </c>
      <c r="C297" s="86"/>
      <c r="D297" s="95" t="s">
        <v>1448</v>
      </c>
      <c r="E297" s="80" t="s">
        <v>1449</v>
      </c>
      <c r="F297" s="95" t="s">
        <v>154</v>
      </c>
      <c r="G297" s="86" t="s">
        <v>1252</v>
      </c>
      <c r="H297" s="80" t="str">
        <f>VLOOKUP(G297,'01. TH'!$B:$E,3,0)</f>
        <v>4730 x 1750 x 2100</v>
      </c>
      <c r="I297" s="80" t="s">
        <v>1389</v>
      </c>
      <c r="J297" s="80" t="s">
        <v>1450</v>
      </c>
      <c r="K297" s="80" t="str">
        <f>IF(COUNTIF('TT BTSC'!$D:$D,B297)&gt;0,"Hư hỏng","Bình thường")</f>
        <v>Bình thường</v>
      </c>
      <c r="L297" s="106"/>
      <c r="M297" s="104"/>
      <c r="N297" s="106" t="s">
        <v>897</v>
      </c>
      <c r="O297" s="108" t="s">
        <v>148</v>
      </c>
      <c r="P297" s="80">
        <v>2021.0</v>
      </c>
      <c r="Q297" s="80" t="s">
        <v>1256</v>
      </c>
      <c r="R297" s="80" t="s">
        <v>338</v>
      </c>
      <c r="S297" s="108" t="s">
        <v>1451</v>
      </c>
      <c r="T297" s="110" t="s">
        <v>1452</v>
      </c>
      <c r="U297" s="110"/>
      <c r="V297" s="112">
        <v>60.0</v>
      </c>
      <c r="W297" s="112"/>
      <c r="X297" s="112"/>
      <c r="Y297" s="112"/>
    </row>
    <row r="298" ht="13.5" customHeight="1" outlineLevel="1">
      <c r="A298" s="80">
        <f t="shared" si="12"/>
        <v>16</v>
      </c>
      <c r="B298" s="113" t="s">
        <v>1453</v>
      </c>
      <c r="C298" s="115" t="s">
        <v>1454</v>
      </c>
      <c r="D298" s="95" t="str">
        <f>IFERROR(VLOOKUP(B298,' 02.1 KLH-CN MÃ BRAVO MM'!$B:$C,2,0),"")</f>
        <v>ATT-A24-0015</v>
      </c>
      <c r="E298" s="95"/>
      <c r="F298" s="95" t="s">
        <v>79</v>
      </c>
      <c r="G298" s="115" t="s">
        <v>910</v>
      </c>
      <c r="H298" s="80" t="str">
        <f>VLOOKUP(G298,'01. TH'!$B:$E,3,0)</f>
        <v/>
      </c>
      <c r="I298" s="95" t="s">
        <v>1389</v>
      </c>
      <c r="J298" s="116">
        <v>40914.0</v>
      </c>
      <c r="K298" s="80" t="str">
        <f>IF(COUNTIF('TT BTSC'!$D:$D,B298)&gt;0,"Hư hỏng","Bình thường")</f>
        <v>Bình thường</v>
      </c>
      <c r="L298" s="119"/>
      <c r="M298" s="118"/>
      <c r="N298" s="119" t="s">
        <v>911</v>
      </c>
      <c r="O298" s="110" t="s">
        <v>912</v>
      </c>
      <c r="P298" s="95"/>
      <c r="Q298" s="95"/>
      <c r="R298" s="119" t="s">
        <v>792</v>
      </c>
      <c r="S298" s="110" t="s">
        <v>1456</v>
      </c>
      <c r="T298" s="110">
        <v>115002.0</v>
      </c>
      <c r="U298" s="110">
        <v>2.0</v>
      </c>
      <c r="V298" s="51"/>
      <c r="W298" s="51"/>
      <c r="X298" s="51"/>
      <c r="Y298" s="51"/>
    </row>
    <row r="299" ht="13.5" customHeight="1" outlineLevel="1">
      <c r="A299" s="80">
        <f t="shared" si="12"/>
        <v>17</v>
      </c>
      <c r="B299" s="86" t="s">
        <v>1457</v>
      </c>
      <c r="C299" s="86" t="s">
        <v>154</v>
      </c>
      <c r="D299" s="95" t="str">
        <f>IFERROR(VLOOKUP(B299,' 02.1 KLH-CN MÃ BRAVO MM'!$B:$C,2,0),"")</f>
        <v>A24-XTA-004</v>
      </c>
      <c r="E299" s="95"/>
      <c r="F299" s="95" t="s">
        <v>154</v>
      </c>
      <c r="G299" s="86" t="s">
        <v>919</v>
      </c>
      <c r="H299" s="80" t="str">
        <f>VLOOKUP(G299,'01. TH'!$B:$E,3,0)</f>
        <v>5250 x 2170 x 2520</v>
      </c>
      <c r="I299" s="80" t="s">
        <v>1389</v>
      </c>
      <c r="J299" s="99">
        <v>45569.0</v>
      </c>
      <c r="K299" s="80" t="str">
        <f>IF(COUNTIF('TT BTSC'!$D:$D,B299)&gt;0,"Hư hỏng","Bình thường")</f>
        <v>Bình thường</v>
      </c>
      <c r="L299" s="106"/>
      <c r="M299" s="129"/>
      <c r="N299" s="80" t="s">
        <v>300</v>
      </c>
      <c r="O299" s="108" t="s">
        <v>148</v>
      </c>
      <c r="P299" s="80">
        <v>2023.0</v>
      </c>
      <c r="Q299" s="80" t="s">
        <v>921</v>
      </c>
      <c r="R299" s="80" t="s">
        <v>682</v>
      </c>
      <c r="S299" s="108" t="s">
        <v>1458</v>
      </c>
      <c r="T299" s="110" t="s">
        <v>1459</v>
      </c>
      <c r="U299" s="110">
        <v>3.0</v>
      </c>
      <c r="V299" s="112">
        <v>75.0</v>
      </c>
      <c r="W299" s="112"/>
      <c r="X299" s="112"/>
      <c r="Y299" s="112"/>
    </row>
    <row r="300" ht="13.5" customHeight="1" outlineLevel="1">
      <c r="A300" s="80">
        <f t="shared" si="12"/>
        <v>18</v>
      </c>
      <c r="B300" s="86" t="s">
        <v>1460</v>
      </c>
      <c r="C300" s="86" t="s">
        <v>154</v>
      </c>
      <c r="D300" s="95" t="str">
        <f>IFERROR(VLOOKUP(B300,' 02.1 KLH-CN MÃ BRAVO MM'!$B:$C,2,0),"")</f>
        <v>A24-XTA-005</v>
      </c>
      <c r="E300" s="95"/>
      <c r="F300" s="95" t="s">
        <v>154</v>
      </c>
      <c r="G300" s="86" t="s">
        <v>919</v>
      </c>
      <c r="H300" s="80" t="str">
        <f>VLOOKUP(G300,'01. TH'!$B:$E,3,0)</f>
        <v>5250 x 2170 x 2520</v>
      </c>
      <c r="I300" s="80" t="s">
        <v>1389</v>
      </c>
      <c r="J300" s="99">
        <v>45569.0</v>
      </c>
      <c r="K300" s="80" t="str">
        <f>IF(COUNTIF('TT BTSC'!$D:$D,B300)&gt;0,"Hư hỏng","Bình thường")</f>
        <v>Bình thường</v>
      </c>
      <c r="L300" s="106"/>
      <c r="M300" s="129"/>
      <c r="N300" s="80" t="s">
        <v>300</v>
      </c>
      <c r="O300" s="108" t="s">
        <v>148</v>
      </c>
      <c r="P300" s="80">
        <v>2023.0</v>
      </c>
      <c r="Q300" s="80" t="s">
        <v>921</v>
      </c>
      <c r="R300" s="80" t="s">
        <v>682</v>
      </c>
      <c r="S300" s="108" t="s">
        <v>1461</v>
      </c>
      <c r="T300" s="110" t="s">
        <v>1462</v>
      </c>
      <c r="U300" s="110">
        <v>0.33</v>
      </c>
      <c r="V300" s="112">
        <v>75.0</v>
      </c>
      <c r="W300" s="112"/>
      <c r="X300" s="112"/>
      <c r="Y300" s="112"/>
    </row>
    <row r="301" ht="29.25" customHeight="1" outlineLevel="1">
      <c r="A301" s="80">
        <f t="shared" si="12"/>
        <v>19</v>
      </c>
      <c r="B301" s="86" t="s">
        <v>1463</v>
      </c>
      <c r="C301" s="86" t="s">
        <v>154</v>
      </c>
      <c r="D301" s="95" t="str">
        <f>IFERROR(VLOOKUP(B301,' 02.1 KLH-CN MÃ BRAVO MM'!$B:$C,2,0),"")</f>
        <v>A24-XTA-008</v>
      </c>
      <c r="E301" s="95"/>
      <c r="F301" s="95" t="s">
        <v>154</v>
      </c>
      <c r="G301" s="86" t="s">
        <v>919</v>
      </c>
      <c r="H301" s="80" t="str">
        <f>VLOOKUP(G301,'01. TH'!$B:$E,3,0)</f>
        <v>5250 x 2170 x 2520</v>
      </c>
      <c r="I301" s="80" t="s">
        <v>1389</v>
      </c>
      <c r="J301" s="99">
        <v>45569.0</v>
      </c>
      <c r="K301" s="80" t="str">
        <f>IF(COUNTIF('TT BTSC'!$D:$D,B301)&gt;0,"Hư hỏng","Bình thường")</f>
        <v>Bình thường</v>
      </c>
      <c r="L301" s="106"/>
      <c r="M301" s="129" t="s">
        <v>1466</v>
      </c>
      <c r="N301" s="106" t="s">
        <v>300</v>
      </c>
      <c r="O301" s="108" t="s">
        <v>148</v>
      </c>
      <c r="P301" s="80">
        <v>2023.0</v>
      </c>
      <c r="Q301" s="80" t="s">
        <v>921</v>
      </c>
      <c r="R301" s="106" t="s">
        <v>682</v>
      </c>
      <c r="S301" s="108" t="s">
        <v>1467</v>
      </c>
      <c r="T301" s="110" t="s">
        <v>1468</v>
      </c>
      <c r="U301" s="110">
        <v>0.33</v>
      </c>
      <c r="V301" s="112">
        <v>75.0</v>
      </c>
      <c r="W301" s="112"/>
      <c r="X301" s="112"/>
      <c r="Y301" s="112"/>
    </row>
    <row r="302" ht="36.75" customHeight="1" outlineLevel="1">
      <c r="A302" s="80">
        <f t="shared" si="12"/>
        <v>20</v>
      </c>
      <c r="B302" s="86" t="s">
        <v>1469</v>
      </c>
      <c r="C302" s="86" t="s">
        <v>1470</v>
      </c>
      <c r="D302" s="95" t="str">
        <f>IFERROR(VLOOKUP(C302,' 02.1 KLH-CN MÃ BRAVO MM'!$B:$C,2,0),"")</f>
        <v>A24-XTA-018</v>
      </c>
      <c r="E302" s="95" t="s">
        <v>1472</v>
      </c>
      <c r="F302" s="95" t="s">
        <v>154</v>
      </c>
      <c r="G302" s="86" t="s">
        <v>919</v>
      </c>
      <c r="H302" s="80" t="str">
        <f>VLOOKUP(G302,'01. TH'!$B:$E,3,0)</f>
        <v>5250 x 2170 x 2520</v>
      </c>
      <c r="I302" s="80" t="s">
        <v>1389</v>
      </c>
      <c r="J302" s="80" t="s">
        <v>966</v>
      </c>
      <c r="K302" s="80" t="str">
        <f>IF(COUNTIF('TT BTSC'!$D:$D,B302)&gt;0,"Hư hỏng","Bình thường")</f>
        <v>Bình thường</v>
      </c>
      <c r="L302" s="106"/>
      <c r="M302" s="129" t="s">
        <v>1473</v>
      </c>
      <c r="N302" s="106" t="s">
        <v>300</v>
      </c>
      <c r="O302" s="108" t="s">
        <v>148</v>
      </c>
      <c r="P302" s="80">
        <v>2024.0</v>
      </c>
      <c r="Q302" s="80" t="s">
        <v>921</v>
      </c>
      <c r="R302" s="106" t="s">
        <v>922</v>
      </c>
      <c r="S302" s="108" t="s">
        <v>1474</v>
      </c>
      <c r="T302" s="110" t="s">
        <v>1475</v>
      </c>
      <c r="U302" s="110">
        <v>0.33</v>
      </c>
      <c r="V302" s="112">
        <v>75.0</v>
      </c>
      <c r="W302" s="112"/>
      <c r="X302" s="112"/>
      <c r="Y302" s="112"/>
    </row>
    <row r="303" ht="24.75" customHeight="1" outlineLevel="1">
      <c r="A303" s="80">
        <f t="shared" si="12"/>
        <v>21</v>
      </c>
      <c r="B303" s="161" t="s">
        <v>1476</v>
      </c>
      <c r="C303" s="161"/>
      <c r="D303" s="95" t="s">
        <v>1477</v>
      </c>
      <c r="E303" s="9"/>
      <c r="F303" s="95" t="s">
        <v>154</v>
      </c>
      <c r="G303" s="115" t="s">
        <v>658</v>
      </c>
      <c r="H303" s="80" t="str">
        <f>VLOOKUP(G303,'01. TH'!$B:$E,3,0)</f>
        <v>6380 x 2040 x 2300</v>
      </c>
      <c r="I303" s="80" t="s">
        <v>1389</v>
      </c>
      <c r="J303" s="193">
        <v>46296.0</v>
      </c>
      <c r="K303" s="80" t="str">
        <f>IF(COUNTIF('TT BTSC'!$D:$D,B303)&gt;0,"Hư hỏng","Bình thường")</f>
        <v>Bình thường</v>
      </c>
      <c r="L303" s="6"/>
      <c r="M303" s="104" t="s">
        <v>890</v>
      </c>
      <c r="N303" s="137" t="s">
        <v>661</v>
      </c>
      <c r="O303" s="186" t="s">
        <v>662</v>
      </c>
      <c r="P303" s="137">
        <v>2024.0</v>
      </c>
      <c r="Q303" s="137" t="s">
        <v>663</v>
      </c>
      <c r="R303" s="137" t="s">
        <v>664</v>
      </c>
      <c r="S303" s="186" t="s">
        <v>1478</v>
      </c>
      <c r="T303" s="140" t="s">
        <v>1479</v>
      </c>
      <c r="U303" s="140">
        <v>0.2</v>
      </c>
      <c r="V303" s="53">
        <v>100.0</v>
      </c>
      <c r="W303" s="51"/>
      <c r="X303" s="51"/>
      <c r="Y303" s="51"/>
    </row>
    <row r="304" ht="13.5" customHeight="1" outlineLevel="1">
      <c r="A304" s="80">
        <f t="shared" si="12"/>
        <v>22</v>
      </c>
      <c r="B304" s="161" t="s">
        <v>1480</v>
      </c>
      <c r="C304" s="161" t="s">
        <v>1481</v>
      </c>
      <c r="D304" s="95" t="str">
        <f>IFERROR(VLOOKUP(B304,' 02.1 KLH-CN MÃ BRAVO MM'!$B:$C,2,0),"")</f>
        <v>A24-XPT-001</v>
      </c>
      <c r="E304" s="9"/>
      <c r="F304" s="9" t="s">
        <v>79</v>
      </c>
      <c r="G304" s="161" t="s">
        <v>903</v>
      </c>
      <c r="H304" s="80" t="str">
        <f>VLOOKUP(G304,'01. TH'!$B:$E,3,0)</f>
        <v/>
      </c>
      <c r="I304" s="137" t="s">
        <v>1389</v>
      </c>
      <c r="J304" s="137" t="s">
        <v>1402</v>
      </c>
      <c r="K304" s="80" t="str">
        <f>IF(COUNTIF('TT BTSC'!$D:$D,B304)&gt;0,"Hư hỏng","Bình thường")</f>
        <v>Bình thường</v>
      </c>
      <c r="L304" s="6"/>
      <c r="M304" s="141" t="s">
        <v>1403</v>
      </c>
      <c r="N304" s="6" t="s">
        <v>905</v>
      </c>
      <c r="O304" s="186"/>
      <c r="P304" s="137">
        <v>2010.0</v>
      </c>
      <c r="Q304" s="137"/>
      <c r="R304" s="6" t="s">
        <v>1482</v>
      </c>
      <c r="S304" s="186" t="s">
        <v>1483</v>
      </c>
      <c r="T304" s="140" t="s">
        <v>96</v>
      </c>
      <c r="U304" s="110">
        <v>3.75</v>
      </c>
      <c r="V304" s="51"/>
      <c r="W304" s="51"/>
      <c r="X304" s="51"/>
      <c r="Y304" s="51"/>
    </row>
    <row r="305" ht="13.5" customHeight="1" outlineLevel="1">
      <c r="A305" s="80">
        <f t="shared" si="12"/>
        <v>23</v>
      </c>
      <c r="B305" s="161" t="s">
        <v>1484</v>
      </c>
      <c r="C305" s="86" t="s">
        <v>1485</v>
      </c>
      <c r="D305" s="95" t="str">
        <f>IFERROR(VLOOKUP(B305,' 02.1 KLH-CN MÃ BRAVO MM'!$B:$C,2,0),"")</f>
        <v/>
      </c>
      <c r="E305" s="95"/>
      <c r="F305" s="9" t="s">
        <v>79</v>
      </c>
      <c r="G305" s="86" t="s">
        <v>1031</v>
      </c>
      <c r="H305" s="80" t="str">
        <f>VLOOKUP(G305,'01. TH'!$B:$E,3,0)</f>
        <v/>
      </c>
      <c r="I305" s="137" t="s">
        <v>1389</v>
      </c>
      <c r="J305" s="99"/>
      <c r="K305" s="80" t="str">
        <f>IF(COUNTIF('TT BTSC'!$D:$D,B305)&gt;0,"Hư hỏng","Bình thường")</f>
        <v>Bình thường</v>
      </c>
      <c r="L305" s="106"/>
      <c r="M305" s="129" t="s">
        <v>1486</v>
      </c>
      <c r="N305" s="106" t="s">
        <v>1032</v>
      </c>
      <c r="O305" s="108" t="s">
        <v>103</v>
      </c>
      <c r="P305" s="80"/>
      <c r="Q305" s="80"/>
      <c r="R305" s="106"/>
      <c r="S305" s="108">
        <v>18446.0</v>
      </c>
      <c r="T305" s="110" t="s">
        <v>96</v>
      </c>
      <c r="U305" s="110">
        <v>3.75</v>
      </c>
      <c r="V305" s="51"/>
      <c r="W305" s="51"/>
      <c r="X305" s="51"/>
      <c r="Y305" s="51"/>
    </row>
    <row r="306" ht="13.5" customHeight="1" outlineLevel="1">
      <c r="A306" s="80">
        <f t="shared" si="12"/>
        <v>24</v>
      </c>
      <c r="B306" s="161" t="s">
        <v>1488</v>
      </c>
      <c r="C306" s="161"/>
      <c r="D306" s="95" t="str">
        <f>IFERROR(VLOOKUP(B306,' 02.1 KLH-CN MÃ BRAVO MM'!$B:$C,2,0),"")</f>
        <v>A24-XNA-001</v>
      </c>
      <c r="E306" s="9"/>
      <c r="F306" s="9" t="s">
        <v>79</v>
      </c>
      <c r="G306" s="161" t="s">
        <v>880</v>
      </c>
      <c r="H306" s="80" t="str">
        <f>VLOOKUP(G306,'01. TH'!$B:$E,3,0)</f>
        <v/>
      </c>
      <c r="I306" s="137" t="s">
        <v>1389</v>
      </c>
      <c r="J306" s="137"/>
      <c r="K306" s="80" t="str">
        <f>IF(COUNTIF('TT BTSC'!$D:$D,B306)&gt;0,"Hư hỏng","Bình thường")</f>
        <v>Bình thường</v>
      </c>
      <c r="L306" s="6"/>
      <c r="M306" s="141" t="s">
        <v>1490</v>
      </c>
      <c r="N306" s="137" t="s">
        <v>123</v>
      </c>
      <c r="O306" s="186" t="s">
        <v>222</v>
      </c>
      <c r="P306" s="137">
        <v>2007.0</v>
      </c>
      <c r="Q306" s="137" t="s">
        <v>1491</v>
      </c>
      <c r="R306" s="6"/>
      <c r="S306" s="186">
        <v>830261.0</v>
      </c>
      <c r="T306" s="211">
        <v>39114.0</v>
      </c>
      <c r="U306" s="140"/>
      <c r="V306" s="112">
        <v>0.0</v>
      </c>
      <c r="W306" s="112"/>
      <c r="X306" s="112"/>
      <c r="Y306" s="112"/>
    </row>
    <row r="307" ht="12.75" customHeight="1" outlineLevel="1">
      <c r="A307" s="80">
        <f t="shared" si="12"/>
        <v>25</v>
      </c>
      <c r="B307" s="161" t="s">
        <v>1492</v>
      </c>
      <c r="C307" s="161"/>
      <c r="D307" s="95"/>
      <c r="E307" s="9"/>
      <c r="F307" s="9" t="s">
        <v>79</v>
      </c>
      <c r="G307" s="161" t="s">
        <v>880</v>
      </c>
      <c r="H307" s="80" t="str">
        <f>VLOOKUP(G307,'01. TH'!$B:$E,3,0)</f>
        <v/>
      </c>
      <c r="I307" s="137" t="s">
        <v>1389</v>
      </c>
      <c r="J307" s="137"/>
      <c r="K307" s="80" t="str">
        <f>IF(COUNTIF('TT BTSC'!$D:$D,B307)&gt;0,"Hư hỏng","Bình thường")</f>
        <v>Bình thường</v>
      </c>
      <c r="L307" s="6"/>
      <c r="M307" s="141" t="s">
        <v>1490</v>
      </c>
      <c r="N307" s="137" t="s">
        <v>882</v>
      </c>
      <c r="O307" s="186" t="s">
        <v>260</v>
      </c>
      <c r="P307" s="137">
        <v>2019.0</v>
      </c>
      <c r="Q307" s="137" t="s">
        <v>884</v>
      </c>
      <c r="R307" s="137"/>
      <c r="S307" s="186">
        <v>1.501190005E9</v>
      </c>
      <c r="T307" s="140" t="s">
        <v>1493</v>
      </c>
      <c r="U307" s="110"/>
      <c r="V307" s="112"/>
      <c r="W307" s="112"/>
      <c r="X307" s="112"/>
      <c r="Y307" s="112"/>
    </row>
    <row r="308" ht="12.75" customHeight="1" outlineLevel="1">
      <c r="A308" s="80">
        <f t="shared" si="12"/>
        <v>26</v>
      </c>
      <c r="B308" s="161" t="s">
        <v>1494</v>
      </c>
      <c r="C308" s="161"/>
      <c r="D308" s="95" t="s">
        <v>1495</v>
      </c>
      <c r="E308" s="9"/>
      <c r="F308" s="9" t="s">
        <v>154</v>
      </c>
      <c r="G308" s="161" t="s">
        <v>889</v>
      </c>
      <c r="H308" s="80"/>
      <c r="I308" s="137" t="s">
        <v>1389</v>
      </c>
      <c r="J308" s="193">
        <v>46361.0</v>
      </c>
      <c r="K308" s="80" t="str">
        <f>IF(COUNTIF('TT BTSC'!$D:$D,B308)&gt;0,"Hư hỏng","Bình thường")</f>
        <v>Bình thường</v>
      </c>
      <c r="L308" s="6"/>
      <c r="M308" s="104" t="s">
        <v>890</v>
      </c>
      <c r="N308" s="137" t="s">
        <v>739</v>
      </c>
      <c r="O308" s="186" t="s">
        <v>260</v>
      </c>
      <c r="P308" s="137">
        <v>2026.0</v>
      </c>
      <c r="Q308" s="137" t="s">
        <v>891</v>
      </c>
      <c r="R308" s="137" t="s">
        <v>892</v>
      </c>
      <c r="S308" s="186" t="s">
        <v>1073</v>
      </c>
      <c r="T308" s="140"/>
      <c r="U308" s="110"/>
      <c r="V308" s="112"/>
      <c r="W308" s="112"/>
      <c r="X308" s="112"/>
      <c r="Y308" s="112"/>
    </row>
    <row r="309" ht="12.75" customHeight="1" outlineLevel="1">
      <c r="A309" s="80">
        <f t="shared" si="12"/>
        <v>27</v>
      </c>
      <c r="B309" s="161" t="s">
        <v>1496</v>
      </c>
      <c r="C309" s="161"/>
      <c r="D309" s="95" t="s">
        <v>1497</v>
      </c>
      <c r="E309" s="9"/>
      <c r="F309" s="9" t="s">
        <v>154</v>
      </c>
      <c r="G309" s="161" t="s">
        <v>946</v>
      </c>
      <c r="H309" s="80" t="str">
        <f>VLOOKUP(G309,'01. TH'!$B:$E,3,0)</f>
        <v/>
      </c>
      <c r="I309" s="137" t="s">
        <v>1389</v>
      </c>
      <c r="J309" s="137" t="s">
        <v>947</v>
      </c>
      <c r="K309" s="80" t="str">
        <f>IF(COUNTIF('TT BTSC'!$D:$D,B309)&gt;0,"Hư hỏng","Bình thường")</f>
        <v>Bình thường</v>
      </c>
      <c r="L309" s="6"/>
      <c r="M309" s="104" t="s">
        <v>890</v>
      </c>
      <c r="N309" s="137" t="s">
        <v>673</v>
      </c>
      <c r="O309" s="186" t="s">
        <v>948</v>
      </c>
      <c r="P309" s="137">
        <v>2022.0</v>
      </c>
      <c r="Q309" s="137" t="s">
        <v>949</v>
      </c>
      <c r="R309" s="137" t="s">
        <v>950</v>
      </c>
      <c r="S309" s="186">
        <v>203063.0</v>
      </c>
      <c r="T309" s="140" t="s">
        <v>1498</v>
      </c>
      <c r="U309" s="110">
        <v>0.5</v>
      </c>
      <c r="V309" s="112">
        <v>0.0</v>
      </c>
      <c r="W309" s="112"/>
      <c r="X309" s="112"/>
      <c r="Y309" s="112"/>
    </row>
    <row r="310" ht="12.75" customHeight="1" outlineLevel="1">
      <c r="A310" s="80">
        <f t="shared" si="12"/>
        <v>28</v>
      </c>
      <c r="B310" s="161" t="s">
        <v>1499</v>
      </c>
      <c r="C310" s="161"/>
      <c r="D310" s="95" t="s">
        <v>1500</v>
      </c>
      <c r="E310" s="9"/>
      <c r="F310" s="9" t="s">
        <v>154</v>
      </c>
      <c r="G310" s="161" t="s">
        <v>946</v>
      </c>
      <c r="H310" s="80" t="str">
        <f>VLOOKUP(G310,'01. TH'!$B:$E,3,0)</f>
        <v/>
      </c>
      <c r="I310" s="137" t="s">
        <v>1389</v>
      </c>
      <c r="J310" s="137" t="s">
        <v>947</v>
      </c>
      <c r="K310" s="80" t="str">
        <f>IF(COUNTIF('TT BTSC'!$D:$D,B310)&gt;0,"Hư hỏng","Bình thường")</f>
        <v>Bình thường</v>
      </c>
      <c r="L310" s="6"/>
      <c r="M310" s="104" t="s">
        <v>890</v>
      </c>
      <c r="N310" s="137" t="s">
        <v>673</v>
      </c>
      <c r="O310" s="186" t="s">
        <v>948</v>
      </c>
      <c r="P310" s="137">
        <v>2022.0</v>
      </c>
      <c r="Q310" s="137" t="s">
        <v>949</v>
      </c>
      <c r="R310" s="137" t="s">
        <v>950</v>
      </c>
      <c r="S310" s="186">
        <v>203064.0</v>
      </c>
      <c r="T310" s="140" t="s">
        <v>1503</v>
      </c>
      <c r="U310" s="110">
        <v>0.5</v>
      </c>
      <c r="V310" s="112">
        <v>0.0</v>
      </c>
      <c r="W310" s="112"/>
      <c r="X310" s="112"/>
      <c r="Y310" s="112"/>
    </row>
    <row r="311" ht="12.75" customHeight="1" outlineLevel="1">
      <c r="A311" s="80">
        <f t="shared" si="12"/>
        <v>29</v>
      </c>
      <c r="B311" s="161" t="s">
        <v>1504</v>
      </c>
      <c r="C311" s="161"/>
      <c r="D311" s="95" t="s">
        <v>1506</v>
      </c>
      <c r="E311" s="9"/>
      <c r="F311" s="9" t="s">
        <v>154</v>
      </c>
      <c r="G311" s="161" t="s">
        <v>946</v>
      </c>
      <c r="H311" s="80" t="str">
        <f>VLOOKUP(G311,'01. TH'!$B:$E,3,0)</f>
        <v/>
      </c>
      <c r="I311" s="137" t="s">
        <v>1389</v>
      </c>
      <c r="J311" s="137" t="s">
        <v>947</v>
      </c>
      <c r="K311" s="80" t="str">
        <f>IF(COUNTIF('TT BTSC'!$D:$D,B311)&gt;0,"Hư hỏng","Bình thường")</f>
        <v>Bình thường</v>
      </c>
      <c r="L311" s="6"/>
      <c r="M311" s="104" t="s">
        <v>890</v>
      </c>
      <c r="N311" s="137" t="s">
        <v>673</v>
      </c>
      <c r="O311" s="186" t="s">
        <v>948</v>
      </c>
      <c r="P311" s="137">
        <v>2022.0</v>
      </c>
      <c r="Q311" s="137" t="s">
        <v>949</v>
      </c>
      <c r="R311" s="137" t="s">
        <v>950</v>
      </c>
      <c r="S311" s="186">
        <v>203067.0</v>
      </c>
      <c r="T311" s="140" t="s">
        <v>1507</v>
      </c>
      <c r="U311" s="110">
        <v>0.5</v>
      </c>
      <c r="V311" s="112">
        <v>0.0</v>
      </c>
      <c r="W311" s="112"/>
      <c r="X311" s="112"/>
      <c r="Y311" s="112"/>
    </row>
    <row r="312" ht="12.75" customHeight="1" outlineLevel="1">
      <c r="A312" s="80">
        <f t="shared" si="12"/>
        <v>30</v>
      </c>
      <c r="B312" s="161" t="s">
        <v>1508</v>
      </c>
      <c r="C312" s="161"/>
      <c r="D312" s="95" t="s">
        <v>1509</v>
      </c>
      <c r="E312" s="9"/>
      <c r="F312" s="9" t="s">
        <v>154</v>
      </c>
      <c r="G312" s="161" t="s">
        <v>946</v>
      </c>
      <c r="H312" s="80" t="str">
        <f>VLOOKUP(G312,'01. TH'!$B:$E,3,0)</f>
        <v/>
      </c>
      <c r="I312" s="137" t="s">
        <v>1389</v>
      </c>
      <c r="J312" s="137" t="s">
        <v>947</v>
      </c>
      <c r="K312" s="80" t="str">
        <f>IF(COUNTIF('TT BTSC'!$D:$D,B312)&gt;0,"Hư hỏng","Bình thường")</f>
        <v>Bình thường</v>
      </c>
      <c r="L312" s="6"/>
      <c r="M312" s="104" t="s">
        <v>890</v>
      </c>
      <c r="N312" s="137" t="s">
        <v>673</v>
      </c>
      <c r="O312" s="186" t="s">
        <v>948</v>
      </c>
      <c r="P312" s="137">
        <v>2022.0</v>
      </c>
      <c r="Q312" s="137" t="s">
        <v>949</v>
      </c>
      <c r="R312" s="137" t="s">
        <v>950</v>
      </c>
      <c r="S312" s="186">
        <v>203073.0</v>
      </c>
      <c r="T312" s="140" t="s">
        <v>1498</v>
      </c>
      <c r="U312" s="110">
        <v>0.5</v>
      </c>
      <c r="V312" s="112">
        <v>0.0</v>
      </c>
      <c r="W312" s="112"/>
      <c r="X312" s="112"/>
      <c r="Y312" s="112"/>
    </row>
    <row r="313" ht="12.75" customHeight="1" outlineLevel="1">
      <c r="A313" s="80">
        <f t="shared" si="12"/>
        <v>31</v>
      </c>
      <c r="B313" s="161" t="s">
        <v>1510</v>
      </c>
      <c r="C313" s="161"/>
      <c r="D313" s="95" t="s">
        <v>1511</v>
      </c>
      <c r="E313" s="9"/>
      <c r="F313" s="9" t="s">
        <v>154</v>
      </c>
      <c r="G313" s="161" t="s">
        <v>946</v>
      </c>
      <c r="H313" s="80" t="str">
        <f>VLOOKUP(G313,'01. TH'!$B:$E,3,0)</f>
        <v/>
      </c>
      <c r="I313" s="137" t="s">
        <v>1389</v>
      </c>
      <c r="J313" s="137" t="s">
        <v>947</v>
      </c>
      <c r="K313" s="80" t="str">
        <f>IF(COUNTIF('TT BTSC'!$D:$D,B313)&gt;0,"Hư hỏng","Bình thường")</f>
        <v>Bình thường</v>
      </c>
      <c r="L313" s="6"/>
      <c r="M313" s="104" t="s">
        <v>890</v>
      </c>
      <c r="N313" s="137" t="s">
        <v>673</v>
      </c>
      <c r="O313" s="186" t="s">
        <v>948</v>
      </c>
      <c r="P313" s="137">
        <v>2022.0</v>
      </c>
      <c r="Q313" s="137" t="s">
        <v>949</v>
      </c>
      <c r="R313" s="137" t="s">
        <v>950</v>
      </c>
      <c r="S313" s="186">
        <v>203077.0</v>
      </c>
      <c r="T313" s="140" t="s">
        <v>1512</v>
      </c>
      <c r="U313" s="110">
        <v>0.5</v>
      </c>
      <c r="V313" s="112">
        <v>0.0</v>
      </c>
      <c r="W313" s="112"/>
      <c r="X313" s="112"/>
      <c r="Y313" s="112"/>
    </row>
    <row r="314" ht="12.75" customHeight="1" outlineLevel="1">
      <c r="A314" s="80">
        <f t="shared" si="12"/>
        <v>32</v>
      </c>
      <c r="B314" s="161" t="s">
        <v>1513</v>
      </c>
      <c r="C314" s="161"/>
      <c r="D314" s="95" t="s">
        <v>1514</v>
      </c>
      <c r="E314" s="9"/>
      <c r="F314" s="9" t="s">
        <v>139</v>
      </c>
      <c r="G314" s="161" t="s">
        <v>1515</v>
      </c>
      <c r="H314" s="80" t="str">
        <f>VLOOKUP(G314,'01. TH'!$B:$E,3,0)</f>
        <v/>
      </c>
      <c r="I314" s="137" t="s">
        <v>1389</v>
      </c>
      <c r="J314" s="137" t="s">
        <v>1516</v>
      </c>
      <c r="K314" s="80" t="str">
        <f>IF(COUNTIF('TT BTSC'!$D:$D,B314)&gt;0,"Hư hỏng","Bình thường")</f>
        <v>Bình thường</v>
      </c>
      <c r="L314" s="6"/>
      <c r="M314" s="104" t="s">
        <v>890</v>
      </c>
      <c r="N314" s="137" t="s">
        <v>673</v>
      </c>
      <c r="O314" s="186" t="s">
        <v>510</v>
      </c>
      <c r="P314" s="137"/>
      <c r="Q314" s="137" t="s">
        <v>1517</v>
      </c>
      <c r="R314" s="137" t="s">
        <v>1243</v>
      </c>
      <c r="S314" s="186">
        <v>31252.0</v>
      </c>
      <c r="T314" s="140">
        <v>13422.0</v>
      </c>
      <c r="U314" s="186">
        <v>2.3</v>
      </c>
      <c r="V314" s="112">
        <v>0.0</v>
      </c>
      <c r="W314" s="112"/>
      <c r="X314" s="112"/>
      <c r="Y314" s="112"/>
    </row>
    <row r="315" ht="13.5" customHeight="1" outlineLevel="1">
      <c r="A315" s="80">
        <f t="shared" si="12"/>
        <v>33</v>
      </c>
      <c r="B315" s="161" t="s">
        <v>1518</v>
      </c>
      <c r="C315" s="128"/>
      <c r="D315" s="95" t="s">
        <v>1519</v>
      </c>
      <c r="E315" s="9"/>
      <c r="F315" s="9" t="s">
        <v>139</v>
      </c>
      <c r="G315" s="161" t="s">
        <v>1520</v>
      </c>
      <c r="H315" s="80" t="str">
        <f>VLOOKUP(G315,'01. TH'!$B:$E,3,0)</f>
        <v/>
      </c>
      <c r="I315" s="137" t="s">
        <v>1389</v>
      </c>
      <c r="J315" s="212">
        <v>45577.0</v>
      </c>
      <c r="K315" s="80" t="str">
        <f>IF(COUNTIF('TT BTSC'!$D:$D,B315)&gt;0,"Hư hỏng","Bình thường")</f>
        <v>Bình thường</v>
      </c>
      <c r="L315" s="213"/>
      <c r="M315" s="104" t="s">
        <v>890</v>
      </c>
      <c r="N315" s="137" t="s">
        <v>1521</v>
      </c>
      <c r="O315" s="108" t="s">
        <v>662</v>
      </c>
      <c r="P315" s="137">
        <v>2024.0</v>
      </c>
      <c r="Q315" s="137" t="s">
        <v>1522</v>
      </c>
      <c r="R315" s="137" t="s">
        <v>1523</v>
      </c>
      <c r="S315" s="186" t="s">
        <v>1524</v>
      </c>
      <c r="T315" s="140" t="s">
        <v>1525</v>
      </c>
      <c r="U315" s="140"/>
      <c r="V315" s="112">
        <v>0.0</v>
      </c>
      <c r="W315" s="112"/>
      <c r="X315" s="112"/>
      <c r="Y315" s="112"/>
    </row>
    <row r="316" ht="13.5" customHeight="1" outlineLevel="1">
      <c r="A316" s="80">
        <f t="shared" si="12"/>
        <v>34</v>
      </c>
      <c r="B316" s="161" t="s">
        <v>1526</v>
      </c>
      <c r="C316" s="128"/>
      <c r="D316" s="95" t="s">
        <v>1527</v>
      </c>
      <c r="E316" s="9"/>
      <c r="F316" s="9" t="s">
        <v>154</v>
      </c>
      <c r="G316" s="161" t="s">
        <v>985</v>
      </c>
      <c r="H316" s="80" t="str">
        <f>VLOOKUP(G316,'01. TH'!$B:$E,3,0)</f>
        <v/>
      </c>
      <c r="I316" s="137" t="s">
        <v>1389</v>
      </c>
      <c r="J316" s="137" t="s">
        <v>986</v>
      </c>
      <c r="K316" s="80" t="str">
        <f>IF(COUNTIF('TT BTSC'!$D:$D,B316)&gt;0,"Hư hỏng","Bình thường")</f>
        <v>Bình thường</v>
      </c>
      <c r="L316" s="213"/>
      <c r="M316" s="104" t="s">
        <v>890</v>
      </c>
      <c r="N316" s="137" t="s">
        <v>987</v>
      </c>
      <c r="O316" s="108" t="s">
        <v>148</v>
      </c>
      <c r="P316" s="137">
        <v>2025.0</v>
      </c>
      <c r="Q316" s="137" t="s">
        <v>988</v>
      </c>
      <c r="R316" s="137" t="s">
        <v>970</v>
      </c>
      <c r="S316" s="186" t="s">
        <v>1528</v>
      </c>
      <c r="T316" s="140" t="s">
        <v>1529</v>
      </c>
      <c r="U316" s="186">
        <v>1.8</v>
      </c>
      <c r="V316" s="112">
        <v>0.0</v>
      </c>
      <c r="W316" s="112"/>
      <c r="X316" s="112"/>
      <c r="Y316" s="112"/>
    </row>
    <row r="317" ht="13.5" customHeight="1" outlineLevel="1">
      <c r="A317" s="80">
        <f t="shared" si="12"/>
        <v>35</v>
      </c>
      <c r="B317" s="161" t="s">
        <v>1530</v>
      </c>
      <c r="C317" s="128"/>
      <c r="D317" s="95" t="s">
        <v>1531</v>
      </c>
      <c r="E317" s="9"/>
      <c r="F317" s="9" t="s">
        <v>154</v>
      </c>
      <c r="G317" s="161" t="s">
        <v>985</v>
      </c>
      <c r="H317" s="80" t="str">
        <f>VLOOKUP(G317,'01. TH'!$B:$E,3,0)</f>
        <v/>
      </c>
      <c r="I317" s="137" t="s">
        <v>1389</v>
      </c>
      <c r="J317" s="137" t="s">
        <v>986</v>
      </c>
      <c r="K317" s="80" t="str">
        <f>IF(COUNTIF('TT BTSC'!$D:$D,B317)&gt;0,"Hư hỏng","Bình thường")</f>
        <v>Bình thường</v>
      </c>
      <c r="L317" s="213"/>
      <c r="M317" s="104" t="s">
        <v>890</v>
      </c>
      <c r="N317" s="137" t="s">
        <v>987</v>
      </c>
      <c r="O317" s="108" t="s">
        <v>148</v>
      </c>
      <c r="P317" s="137">
        <v>2025.0</v>
      </c>
      <c r="Q317" s="137" t="s">
        <v>988</v>
      </c>
      <c r="R317" s="137" t="s">
        <v>970</v>
      </c>
      <c r="S317" s="186" t="s">
        <v>1532</v>
      </c>
      <c r="T317" s="140" t="s">
        <v>1533</v>
      </c>
      <c r="U317" s="186">
        <v>1.8</v>
      </c>
      <c r="V317" s="112">
        <v>0.0</v>
      </c>
      <c r="W317" s="112"/>
      <c r="X317" s="112"/>
      <c r="Y317" s="112"/>
    </row>
    <row r="318" ht="13.5" customHeight="1" outlineLevel="1">
      <c r="A318" s="80">
        <f t="shared" si="12"/>
        <v>36</v>
      </c>
      <c r="B318" s="161" t="s">
        <v>1534</v>
      </c>
      <c r="C318" s="128"/>
      <c r="D318" s="95" t="s">
        <v>1535</v>
      </c>
      <c r="E318" s="9"/>
      <c r="F318" s="9" t="s">
        <v>154</v>
      </c>
      <c r="G318" s="161" t="s">
        <v>985</v>
      </c>
      <c r="H318" s="80" t="str">
        <f>VLOOKUP(G318,'01. TH'!$B:$E,3,0)</f>
        <v/>
      </c>
      <c r="I318" s="137" t="s">
        <v>1389</v>
      </c>
      <c r="J318" s="137" t="s">
        <v>986</v>
      </c>
      <c r="K318" s="80" t="str">
        <f>IF(COUNTIF('TT BTSC'!$D:$D,B318)&gt;0,"Hư hỏng","Bình thường")</f>
        <v>Bình thường</v>
      </c>
      <c r="L318" s="213"/>
      <c r="M318" s="104" t="s">
        <v>890</v>
      </c>
      <c r="N318" s="137" t="s">
        <v>987</v>
      </c>
      <c r="O318" s="108" t="s">
        <v>148</v>
      </c>
      <c r="P318" s="137">
        <v>2025.0</v>
      </c>
      <c r="Q318" s="137" t="s">
        <v>988</v>
      </c>
      <c r="R318" s="137" t="s">
        <v>970</v>
      </c>
      <c r="S318" s="186" t="s">
        <v>1536</v>
      </c>
      <c r="T318" s="140" t="s">
        <v>1537</v>
      </c>
      <c r="U318" s="186">
        <v>1.8</v>
      </c>
      <c r="V318" s="112">
        <v>0.0</v>
      </c>
      <c r="W318" s="112"/>
      <c r="X318" s="112"/>
      <c r="Y318" s="112"/>
    </row>
    <row r="319" ht="13.5" customHeight="1" outlineLevel="1">
      <c r="A319" s="80">
        <f t="shared" si="12"/>
        <v>37</v>
      </c>
      <c r="B319" s="161" t="s">
        <v>1538</v>
      </c>
      <c r="C319" s="128"/>
      <c r="D319" s="95" t="s">
        <v>1539</v>
      </c>
      <c r="E319" s="9"/>
      <c r="F319" s="9" t="s">
        <v>154</v>
      </c>
      <c r="G319" s="161" t="s">
        <v>985</v>
      </c>
      <c r="H319" s="80" t="str">
        <f>VLOOKUP(G319,'01. TH'!$B:$E,3,0)</f>
        <v/>
      </c>
      <c r="I319" s="137" t="s">
        <v>1389</v>
      </c>
      <c r="J319" s="137" t="s">
        <v>986</v>
      </c>
      <c r="K319" s="80" t="str">
        <f>IF(COUNTIF('TT BTSC'!$D:$D,B319)&gt;0,"Hư hỏng","Bình thường")</f>
        <v>Bình thường</v>
      </c>
      <c r="L319" s="213"/>
      <c r="M319" s="104" t="s">
        <v>890</v>
      </c>
      <c r="N319" s="137" t="s">
        <v>987</v>
      </c>
      <c r="O319" s="108" t="s">
        <v>148</v>
      </c>
      <c r="P319" s="137">
        <v>2025.0</v>
      </c>
      <c r="Q319" s="137" t="s">
        <v>988</v>
      </c>
      <c r="R319" s="137" t="s">
        <v>970</v>
      </c>
      <c r="S319" s="186" t="s">
        <v>1541</v>
      </c>
      <c r="T319" s="140" t="s">
        <v>1542</v>
      </c>
      <c r="U319" s="186">
        <v>1.8</v>
      </c>
      <c r="V319" s="112">
        <v>0.0</v>
      </c>
      <c r="W319" s="112"/>
      <c r="X319" s="112"/>
      <c r="Y319" s="112"/>
    </row>
    <row r="320" ht="13.5" customHeight="1" outlineLevel="1">
      <c r="A320" s="80">
        <f t="shared" si="12"/>
        <v>38</v>
      </c>
      <c r="B320" s="86" t="s">
        <v>1543</v>
      </c>
      <c r="C320" s="134" t="s">
        <v>139</v>
      </c>
      <c r="D320" s="95" t="str">
        <f>IFERROR(VLOOKUP(B320,' 02.1 KLH-CN MÃ BRAVO MM'!$B:$C,2,0),"")</f>
        <v>A24-XLU-005</v>
      </c>
      <c r="E320" s="95"/>
      <c r="F320" s="9" t="s">
        <v>139</v>
      </c>
      <c r="G320" s="86" t="s">
        <v>257</v>
      </c>
      <c r="H320" s="80" t="str">
        <f>VLOOKUP(G320,'01. TH'!$B:$E,3,0)</f>
        <v>3100 x 1400 x 1585</v>
      </c>
      <c r="I320" s="137" t="s">
        <v>1389</v>
      </c>
      <c r="J320" s="80" t="s">
        <v>1430</v>
      </c>
      <c r="K320" s="80" t="s">
        <v>1027</v>
      </c>
      <c r="L320" s="102"/>
      <c r="M320" s="129" t="s">
        <v>1544</v>
      </c>
      <c r="N320" s="80" t="s">
        <v>259</v>
      </c>
      <c r="O320" s="110" t="s">
        <v>84</v>
      </c>
      <c r="P320" s="80">
        <v>2005.0</v>
      </c>
      <c r="Q320" s="80" t="s">
        <v>1545</v>
      </c>
      <c r="R320" s="80" t="s">
        <v>1546</v>
      </c>
      <c r="S320" s="108" t="s">
        <v>1547</v>
      </c>
      <c r="T320" s="110" t="s">
        <v>1548</v>
      </c>
      <c r="U320" s="110">
        <v>2.6</v>
      </c>
      <c r="V320" s="112">
        <v>0.0</v>
      </c>
      <c r="W320" s="112"/>
      <c r="X320" s="112"/>
      <c r="Y320" s="112"/>
    </row>
    <row r="321" ht="13.5" customHeight="1" outlineLevel="1">
      <c r="A321" s="80"/>
      <c r="B321" s="161"/>
      <c r="C321" s="161"/>
      <c r="D321" s="95"/>
      <c r="E321" s="9"/>
      <c r="F321" s="9"/>
      <c r="G321" s="161"/>
      <c r="H321" s="80"/>
      <c r="I321" s="137"/>
      <c r="J321" s="137"/>
      <c r="K321" s="80"/>
      <c r="L321" s="213"/>
      <c r="M321" s="141"/>
      <c r="N321" s="137"/>
      <c r="O321" s="186"/>
      <c r="P321" s="137"/>
      <c r="Q321" s="137"/>
      <c r="R321" s="6"/>
      <c r="S321" s="186"/>
      <c r="T321" s="211"/>
      <c r="U321" s="211"/>
      <c r="V321" s="214"/>
      <c r="W321" s="214"/>
      <c r="X321" s="214"/>
      <c r="Y321" s="214"/>
    </row>
    <row r="322" ht="13.5" customHeight="1" outlineLevel="1">
      <c r="A322" s="80"/>
      <c r="B322" s="161"/>
      <c r="C322" s="161" t="s">
        <v>1549</v>
      </c>
      <c r="D322" s="95"/>
      <c r="E322" s="9"/>
      <c r="F322" s="9"/>
      <c r="G322" s="161"/>
      <c r="H322" s="80" t="str">
        <f>VLOOKUP(G322,'01. TH'!$B:$E,3,0)</f>
        <v>#N/A</v>
      </c>
      <c r="I322" s="137"/>
      <c r="J322" s="137"/>
      <c r="K322" s="80"/>
      <c r="L322" s="213"/>
      <c r="M322" s="141"/>
      <c r="N322" s="137"/>
      <c r="O322" s="186"/>
      <c r="P322" s="137"/>
      <c r="Q322" s="137"/>
      <c r="R322" s="6"/>
      <c r="S322" s="186"/>
      <c r="T322" s="211"/>
      <c r="U322" s="211"/>
      <c r="V322" s="214"/>
      <c r="W322" s="214"/>
      <c r="X322" s="214"/>
      <c r="Y322" s="214"/>
    </row>
    <row r="323" ht="13.5" customHeight="1">
      <c r="A323" s="151" t="s">
        <v>1550</v>
      </c>
      <c r="B323" s="194" t="s">
        <v>1551</v>
      </c>
      <c r="C323" s="72"/>
      <c r="D323" s="195" t="str">
        <f>IFERROR(VLOOKUP(B323,' 02.1 KLH-CN MÃ BRAVO MM'!$B:$C,2,0),"")</f>
        <v/>
      </c>
      <c r="E323" s="196"/>
      <c r="F323" s="196"/>
      <c r="G323" s="197"/>
      <c r="H323" s="75"/>
      <c r="I323" s="195"/>
      <c r="J323" s="180"/>
      <c r="K323" s="75"/>
      <c r="L323" s="196"/>
      <c r="M323" s="202"/>
      <c r="N323" s="196"/>
      <c r="O323" s="195"/>
      <c r="P323" s="195"/>
      <c r="Q323" s="195"/>
      <c r="R323" s="195"/>
      <c r="S323" s="195"/>
      <c r="T323" s="195"/>
      <c r="U323" s="199"/>
      <c r="V323" s="200"/>
      <c r="W323" s="200"/>
      <c r="X323" s="200"/>
      <c r="Y323" s="200"/>
    </row>
    <row r="324" ht="13.5" customHeight="1">
      <c r="A324" s="151" t="s">
        <v>1553</v>
      </c>
      <c r="B324" s="194" t="s">
        <v>1554</v>
      </c>
      <c r="C324" s="151"/>
      <c r="D324" s="195" t="str">
        <f>IFERROR(VLOOKUP(B324,' 02.1 KLH-CN MÃ BRAVO MM'!$B:$C,2,0),"")</f>
        <v/>
      </c>
      <c r="E324" s="196"/>
      <c r="F324" s="196"/>
      <c r="G324" s="197"/>
      <c r="H324" s="75"/>
      <c r="I324" s="195"/>
      <c r="J324" s="180"/>
      <c r="K324" s="75"/>
      <c r="L324" s="196"/>
      <c r="M324" s="202"/>
      <c r="N324" s="196"/>
      <c r="O324" s="195"/>
      <c r="P324" s="195"/>
      <c r="Q324" s="195"/>
      <c r="R324" s="195"/>
      <c r="S324" s="195"/>
      <c r="T324" s="195"/>
      <c r="U324" s="199"/>
      <c r="V324" s="200"/>
      <c r="W324" s="200"/>
      <c r="X324" s="200"/>
      <c r="Y324" s="200"/>
    </row>
    <row r="325" ht="13.5" customHeight="1">
      <c r="A325" s="151" t="s">
        <v>1555</v>
      </c>
      <c r="B325" s="194" t="s">
        <v>1556</v>
      </c>
      <c r="C325" s="72">
        <f>COUNTA($B$326:$B$331)</f>
        <v>4</v>
      </c>
      <c r="D325" s="195" t="str">
        <f>IFERROR(VLOOKUP(B325,' 02.1 KLH-CN MÃ BRAVO MM'!$B:$C,2,0),"")</f>
        <v/>
      </c>
      <c r="E325" s="196"/>
      <c r="F325" s="196"/>
      <c r="G325" s="197"/>
      <c r="H325" s="75"/>
      <c r="I325" s="195"/>
      <c r="J325" s="180"/>
      <c r="K325" s="75"/>
      <c r="L325" s="196"/>
      <c r="M325" s="202"/>
      <c r="N325" s="196"/>
      <c r="O325" s="195"/>
      <c r="P325" s="195"/>
      <c r="Q325" s="195"/>
      <c r="R325" s="195"/>
      <c r="S325" s="195"/>
      <c r="T325" s="195"/>
      <c r="U325" s="199"/>
      <c r="V325" s="200"/>
      <c r="W325" s="200"/>
      <c r="X325" s="200"/>
      <c r="Y325" s="200"/>
    </row>
    <row r="326" ht="13.5" customHeight="1" outlineLevel="1">
      <c r="A326" s="80">
        <v>1.0</v>
      </c>
      <c r="B326" s="86" t="s">
        <v>1557</v>
      </c>
      <c r="C326" s="84" t="s">
        <v>1558</v>
      </c>
      <c r="D326" s="95" t="str">
        <f>IFERROR(VLOOKUP(B326,' 02.1 KLH-CN MÃ BRAVO MM'!$B:$C,2,0),"")</f>
        <v/>
      </c>
      <c r="E326" s="95"/>
      <c r="F326" s="95" t="s">
        <v>79</v>
      </c>
      <c r="G326" s="86" t="s">
        <v>946</v>
      </c>
      <c r="H326" s="80" t="str">
        <f>VLOOKUP(G326,'01. TH'!$B:$E,3,0)</f>
        <v/>
      </c>
      <c r="I326" s="95" t="s">
        <v>1559</v>
      </c>
      <c r="J326" s="99"/>
      <c r="K326" s="80" t="str">
        <f>IF(COUNTIF('TT BTSC'!$D:$D,B326)&gt;0,"Hư hỏng","Bình thường")</f>
        <v>Bình thường</v>
      </c>
      <c r="L326" s="106"/>
      <c r="M326" s="129" t="s">
        <v>1560</v>
      </c>
      <c r="N326" s="106" t="s">
        <v>1561</v>
      </c>
      <c r="O326" s="108" t="s">
        <v>912</v>
      </c>
      <c r="P326" s="80"/>
      <c r="Q326" s="80"/>
      <c r="R326" s="80" t="s">
        <v>950</v>
      </c>
      <c r="S326" s="108" t="s">
        <v>1562</v>
      </c>
      <c r="T326" s="110" t="s">
        <v>96</v>
      </c>
      <c r="U326" s="110">
        <v>1.0</v>
      </c>
      <c r="V326" s="51"/>
      <c r="W326" s="51"/>
      <c r="X326" s="51"/>
      <c r="Y326" s="51"/>
    </row>
    <row r="327" ht="13.5" customHeight="1" outlineLevel="1">
      <c r="A327" s="95">
        <v>2.0</v>
      </c>
      <c r="B327" s="115" t="s">
        <v>1563</v>
      </c>
      <c r="C327" s="113" t="s">
        <v>1564</v>
      </c>
      <c r="D327" s="95" t="str">
        <f>IFERROR(VLOOKUP(B327,' 02.1 KLH-CN MÃ BRAVO MM'!$B:$C,2,0),"")</f>
        <v/>
      </c>
      <c r="E327" s="95"/>
      <c r="F327" s="95" t="s">
        <v>79</v>
      </c>
      <c r="G327" s="86" t="s">
        <v>946</v>
      </c>
      <c r="H327" s="80" t="str">
        <f>VLOOKUP(G327,'01. TH'!$B:$E,3,0)</f>
        <v/>
      </c>
      <c r="I327" s="95" t="s">
        <v>1559</v>
      </c>
      <c r="J327" s="116"/>
      <c r="K327" s="80" t="s">
        <v>1565</v>
      </c>
      <c r="L327" s="119"/>
      <c r="M327" s="129" t="s">
        <v>1566</v>
      </c>
      <c r="N327" s="119" t="s">
        <v>1561</v>
      </c>
      <c r="O327" s="110" t="s">
        <v>912</v>
      </c>
      <c r="P327" s="95"/>
      <c r="Q327" s="95"/>
      <c r="R327" s="95" t="s">
        <v>950</v>
      </c>
      <c r="S327" s="110" t="s">
        <v>1567</v>
      </c>
      <c r="T327" s="110" t="s">
        <v>96</v>
      </c>
      <c r="U327" s="110">
        <v>1.0</v>
      </c>
      <c r="V327" s="51"/>
      <c r="W327" s="51"/>
      <c r="X327" s="51"/>
      <c r="Y327" s="51"/>
    </row>
    <row r="328" ht="13.5" customHeight="1" outlineLevel="1">
      <c r="A328" s="80">
        <v>3.0</v>
      </c>
      <c r="B328" s="113" t="s">
        <v>1568</v>
      </c>
      <c r="C328" s="113" t="s">
        <v>1569</v>
      </c>
      <c r="D328" s="95" t="str">
        <f>IFERROR(VLOOKUP(B328,' 02.1 KLH-CN MÃ BRAVO MM'!$B:$C,2,0),"")</f>
        <v>A23-MKE-030</v>
      </c>
      <c r="E328" s="95"/>
      <c r="F328" s="95" t="s">
        <v>79</v>
      </c>
      <c r="G328" s="115" t="s">
        <v>1274</v>
      </c>
      <c r="H328" s="80" t="str">
        <f>VLOOKUP(G328,'01. TH'!$B:$E,3,0)</f>
        <v>2570 x 1200 x 1950</v>
      </c>
      <c r="I328" s="95" t="s">
        <v>1559</v>
      </c>
      <c r="J328" s="116"/>
      <c r="K328" s="80" t="s">
        <v>1565</v>
      </c>
      <c r="L328" s="119"/>
      <c r="M328" s="129" t="s">
        <v>1566</v>
      </c>
      <c r="N328" s="119" t="s">
        <v>454</v>
      </c>
      <c r="O328" s="110" t="s">
        <v>84</v>
      </c>
      <c r="P328" s="95"/>
      <c r="Q328" s="95" t="s">
        <v>1276</v>
      </c>
      <c r="R328" s="119" t="s">
        <v>1277</v>
      </c>
      <c r="S328" s="110" t="s">
        <v>96</v>
      </c>
      <c r="T328" s="176" t="s">
        <v>1570</v>
      </c>
      <c r="U328" s="110">
        <v>2.0</v>
      </c>
      <c r="V328" s="112">
        <v>0.0</v>
      </c>
      <c r="W328" s="112"/>
      <c r="X328" s="112"/>
      <c r="Y328" s="112"/>
    </row>
    <row r="329" ht="13.5" customHeight="1" outlineLevel="1">
      <c r="A329" s="95">
        <v>4.0</v>
      </c>
      <c r="B329" s="84" t="s">
        <v>1571</v>
      </c>
      <c r="C329" s="84" t="s">
        <v>1572</v>
      </c>
      <c r="D329" s="95" t="str">
        <f>IFERROR(VLOOKUP(B329,' 02.1 KLH-CN MÃ BRAVO MM'!$B:$C,2,0),"")</f>
        <v>A23-MKE-031</v>
      </c>
      <c r="E329" s="95"/>
      <c r="F329" s="95" t="s">
        <v>79</v>
      </c>
      <c r="G329" s="86" t="s">
        <v>1274</v>
      </c>
      <c r="H329" s="80" t="str">
        <f>VLOOKUP(G329,'01. TH'!$B:$E,3,0)</f>
        <v>2570 x 1200 x 1950</v>
      </c>
      <c r="I329" s="80" t="s">
        <v>1559</v>
      </c>
      <c r="J329" s="99"/>
      <c r="K329" s="80" t="str">
        <f>IF(COUNTIF('TT BTSC'!$D:$D,B329)&gt;0,"Hư hỏng","Bình thường")</f>
        <v>Bình thường</v>
      </c>
      <c r="L329" s="106"/>
      <c r="M329" s="215"/>
      <c r="N329" s="106" t="s">
        <v>454</v>
      </c>
      <c r="O329" s="108" t="s">
        <v>84</v>
      </c>
      <c r="P329" s="80"/>
      <c r="Q329" s="80" t="s">
        <v>1276</v>
      </c>
      <c r="R329" s="106" t="s">
        <v>1277</v>
      </c>
      <c r="S329" s="108" t="s">
        <v>96</v>
      </c>
      <c r="T329" s="176" t="s">
        <v>1574</v>
      </c>
      <c r="U329" s="110">
        <v>2.0</v>
      </c>
      <c r="V329" s="112">
        <v>0.0</v>
      </c>
      <c r="W329" s="112"/>
      <c r="X329" s="112"/>
      <c r="Y329" s="112"/>
    </row>
    <row r="330" ht="13.5" customHeight="1" outlineLevel="1">
      <c r="A330" s="95"/>
      <c r="B330" s="84"/>
      <c r="C330" s="86"/>
      <c r="D330" s="95"/>
      <c r="E330" s="95"/>
      <c r="F330" s="95"/>
      <c r="G330" s="86"/>
      <c r="H330" s="80"/>
      <c r="I330" s="80"/>
      <c r="J330" s="99"/>
      <c r="K330" s="80"/>
      <c r="L330" s="106"/>
      <c r="M330" s="215"/>
      <c r="N330" s="106"/>
      <c r="O330" s="108"/>
      <c r="P330" s="80"/>
      <c r="Q330" s="80"/>
      <c r="R330" s="106"/>
      <c r="S330" s="108"/>
      <c r="T330" s="110"/>
      <c r="U330" s="110"/>
      <c r="V330" s="51"/>
      <c r="W330" s="51"/>
      <c r="X330" s="51"/>
      <c r="Y330" s="51"/>
    </row>
    <row r="331" ht="13.5" customHeight="1" outlineLevel="1">
      <c r="A331" s="95"/>
      <c r="B331" s="84"/>
      <c r="C331" s="86" t="s">
        <v>1576</v>
      </c>
      <c r="D331" s="95"/>
      <c r="E331" s="95"/>
      <c r="F331" s="95"/>
      <c r="G331" s="86"/>
      <c r="H331" s="80" t="str">
        <f>VLOOKUP(G331,'01. TH'!$B:$E,3,0)</f>
        <v>#N/A</v>
      </c>
      <c r="I331" s="80"/>
      <c r="J331" s="99"/>
      <c r="K331" s="80"/>
      <c r="L331" s="106"/>
      <c r="M331" s="215"/>
      <c r="N331" s="106"/>
      <c r="O331" s="108"/>
      <c r="P331" s="80"/>
      <c r="Q331" s="80"/>
      <c r="R331" s="106"/>
      <c r="S331" s="108"/>
      <c r="T331" s="110"/>
      <c r="U331" s="110"/>
      <c r="V331" s="51"/>
      <c r="W331" s="51"/>
      <c r="X331" s="51"/>
      <c r="Y331" s="51"/>
    </row>
    <row r="332" ht="13.5" customHeight="1">
      <c r="A332" s="151" t="s">
        <v>1578</v>
      </c>
      <c r="B332" s="194" t="s">
        <v>1579</v>
      </c>
      <c r="C332" s="72">
        <f>COUNTA($B$333:$B$347)</f>
        <v>13</v>
      </c>
      <c r="D332" s="195" t="str">
        <f>IFERROR(VLOOKUP(B332,' 02.1 KLH-CN MÃ BRAVO MM'!$B:$C,2,0),"")</f>
        <v/>
      </c>
      <c r="E332" s="196"/>
      <c r="F332" s="196"/>
      <c r="G332" s="197"/>
      <c r="H332" s="75"/>
      <c r="I332" s="195"/>
      <c r="J332" s="180"/>
      <c r="K332" s="75"/>
      <c r="L332" s="196"/>
      <c r="M332" s="202"/>
      <c r="N332" s="196"/>
      <c r="O332" s="195"/>
      <c r="P332" s="195"/>
      <c r="Q332" s="195"/>
      <c r="R332" s="195"/>
      <c r="S332" s="195"/>
      <c r="T332" s="195"/>
      <c r="U332" s="199"/>
      <c r="V332" s="200"/>
      <c r="W332" s="200"/>
      <c r="X332" s="200"/>
      <c r="Y332" s="200"/>
    </row>
    <row r="333" ht="13.5" customHeight="1" outlineLevel="1">
      <c r="A333" s="80">
        <v>1.0</v>
      </c>
      <c r="B333" s="84" t="s">
        <v>1580</v>
      </c>
      <c r="C333" s="84" t="s">
        <v>1581</v>
      </c>
      <c r="D333" s="95" t="str">
        <f>IFERROR(VLOOKUP(B333,' 02.1 KLH-CN MÃ BRAVO MM'!$B:$C,2,0),"")</f>
        <v>ATT-A22-0242</v>
      </c>
      <c r="E333" s="95"/>
      <c r="F333" s="95" t="s">
        <v>79</v>
      </c>
      <c r="G333" s="86" t="s">
        <v>946</v>
      </c>
      <c r="H333" s="80" t="str">
        <f>VLOOKUP(G333,'01. TH'!$B:$E,3,0)</f>
        <v/>
      </c>
      <c r="I333" s="80" t="s">
        <v>1582</v>
      </c>
      <c r="J333" s="99"/>
      <c r="K333" s="80" t="str">
        <f>IF(COUNTIF('TT BTSC'!$D:$D,B333)&gt;0,"Hư hỏng","Bình thường")</f>
        <v>Bình thường</v>
      </c>
      <c r="L333" s="106"/>
      <c r="M333" s="104"/>
      <c r="N333" s="106" t="s">
        <v>1561</v>
      </c>
      <c r="O333" s="108" t="s">
        <v>912</v>
      </c>
      <c r="P333" s="80"/>
      <c r="Q333" s="80"/>
      <c r="R333" s="80" t="s">
        <v>950</v>
      </c>
      <c r="S333" s="108"/>
      <c r="T333" s="110" t="s">
        <v>96</v>
      </c>
      <c r="U333" s="110">
        <v>0.5</v>
      </c>
      <c r="V333" s="51"/>
      <c r="W333" s="51"/>
      <c r="X333" s="51"/>
      <c r="Y333" s="51"/>
    </row>
    <row r="334" ht="13.5" customHeight="1" outlineLevel="1">
      <c r="A334" s="95">
        <f t="shared" ref="A334:A345" si="13">A333+1</f>
        <v>2</v>
      </c>
      <c r="B334" s="86" t="s">
        <v>1583</v>
      </c>
      <c r="C334" s="84" t="s">
        <v>1584</v>
      </c>
      <c r="D334" s="95" t="str">
        <f>IFERROR(VLOOKUP(B334,' 02.1 KLH-CN MÃ BRAVO MM'!$B:$C,2,0),"")</f>
        <v/>
      </c>
      <c r="E334" s="95"/>
      <c r="F334" s="95" t="s">
        <v>79</v>
      </c>
      <c r="G334" s="86" t="s">
        <v>857</v>
      </c>
      <c r="H334" s="80" t="str">
        <f>VLOOKUP(G334,'01. TH'!$B:$E,3,0)</f>
        <v>3226 x 1570 x 1545</v>
      </c>
      <c r="I334" s="80" t="s">
        <v>1582</v>
      </c>
      <c r="J334" s="99"/>
      <c r="K334" s="80" t="str">
        <f>IF(COUNTIF('TT BTSC'!$D:$D,B334)&gt;0,"Hư hỏng","Bình thường")</f>
        <v>Bình thường</v>
      </c>
      <c r="L334" s="106"/>
      <c r="M334" s="129" t="s">
        <v>1585</v>
      </c>
      <c r="N334" s="106" t="s">
        <v>743</v>
      </c>
      <c r="O334" s="108" t="s">
        <v>148</v>
      </c>
      <c r="P334" s="80">
        <v>2018.0</v>
      </c>
      <c r="Q334" s="80" t="s">
        <v>860</v>
      </c>
      <c r="R334" s="106" t="s">
        <v>861</v>
      </c>
      <c r="S334" s="108" t="s">
        <v>1586</v>
      </c>
      <c r="T334" s="110">
        <v>180001.0</v>
      </c>
      <c r="U334" s="110">
        <v>2.5</v>
      </c>
      <c r="V334" s="112">
        <v>0.0</v>
      </c>
      <c r="W334" s="112"/>
      <c r="X334" s="112"/>
      <c r="Y334" s="112"/>
    </row>
    <row r="335" ht="13.5" customHeight="1" outlineLevel="1">
      <c r="A335" s="95">
        <f t="shared" si="13"/>
        <v>3</v>
      </c>
      <c r="B335" s="84" t="s">
        <v>1587</v>
      </c>
      <c r="C335" s="84" t="s">
        <v>1588</v>
      </c>
      <c r="D335" s="95" t="str">
        <f>IFERROR(VLOOKUP(B335,' 02.1 KLH-CN MÃ BRAVO MM'!$B:$C,2,0),"")</f>
        <v>A22-MKE-003</v>
      </c>
      <c r="E335" s="95"/>
      <c r="F335" s="95" t="s">
        <v>79</v>
      </c>
      <c r="G335" s="86" t="s">
        <v>1274</v>
      </c>
      <c r="H335" s="80" t="str">
        <f>VLOOKUP(G335,'01. TH'!$B:$E,3,0)</f>
        <v>2570 x 1200 x 1950</v>
      </c>
      <c r="I335" s="80" t="s">
        <v>1590</v>
      </c>
      <c r="J335" s="99"/>
      <c r="K335" s="80" t="str">
        <f>IF(COUNTIF('TT BTSC'!$D:$D,B335)&gt;0,"Hư hỏng","Bình thường")</f>
        <v>Bình thường</v>
      </c>
      <c r="L335" s="106"/>
      <c r="M335" s="104"/>
      <c r="N335" s="106" t="s">
        <v>454</v>
      </c>
      <c r="O335" s="108" t="s">
        <v>84</v>
      </c>
      <c r="P335" s="80"/>
      <c r="Q335" s="80" t="s">
        <v>1276</v>
      </c>
      <c r="R335" s="106" t="s">
        <v>1277</v>
      </c>
      <c r="S335" s="108" t="s">
        <v>96</v>
      </c>
      <c r="T335" s="110">
        <v>2216.0</v>
      </c>
      <c r="U335" s="110">
        <v>2.5</v>
      </c>
      <c r="V335" s="112">
        <v>0.0</v>
      </c>
      <c r="W335" s="112"/>
      <c r="X335" s="112"/>
      <c r="Y335" s="112"/>
    </row>
    <row r="336" ht="13.5" customHeight="1" outlineLevel="1">
      <c r="A336" s="95">
        <f t="shared" si="13"/>
        <v>4</v>
      </c>
      <c r="B336" s="84" t="s">
        <v>1591</v>
      </c>
      <c r="C336" s="84" t="s">
        <v>1592</v>
      </c>
      <c r="D336" s="95" t="str">
        <f>IFERROR(VLOOKUP(B336,' 02.1 KLH-CN MÃ BRAVO MM'!$B:$C,2,0),"")</f>
        <v>A22-MKE-002</v>
      </c>
      <c r="E336" s="95"/>
      <c r="F336" s="95" t="s">
        <v>79</v>
      </c>
      <c r="G336" s="86" t="s">
        <v>857</v>
      </c>
      <c r="H336" s="80" t="str">
        <f>VLOOKUP(G336,'01. TH'!$B:$E,3,0)</f>
        <v>3226 x 1570 x 1545</v>
      </c>
      <c r="I336" s="80" t="s">
        <v>1590</v>
      </c>
      <c r="J336" s="99"/>
      <c r="K336" s="80" t="str">
        <f>IF(COUNTIF('TT BTSC'!$D:$D,B336)&gt;0,"Hư hỏng","Bình thường")</f>
        <v>Bình thường</v>
      </c>
      <c r="L336" s="106"/>
      <c r="M336" s="104"/>
      <c r="N336" s="80" t="s">
        <v>1593</v>
      </c>
      <c r="O336" s="108" t="s">
        <v>148</v>
      </c>
      <c r="P336" s="80">
        <v>2012.0</v>
      </c>
      <c r="Q336" s="80" t="s">
        <v>860</v>
      </c>
      <c r="R336" s="106" t="s">
        <v>861</v>
      </c>
      <c r="S336" s="108" t="s">
        <v>1594</v>
      </c>
      <c r="T336" s="110" t="s">
        <v>96</v>
      </c>
      <c r="U336" s="110">
        <v>3.3</v>
      </c>
      <c r="V336" s="112">
        <v>0.0</v>
      </c>
      <c r="W336" s="112"/>
      <c r="X336" s="112"/>
      <c r="Y336" s="112"/>
    </row>
    <row r="337" ht="13.5" customHeight="1" outlineLevel="1">
      <c r="A337" s="95">
        <f t="shared" si="13"/>
        <v>5</v>
      </c>
      <c r="B337" s="84" t="s">
        <v>1595</v>
      </c>
      <c r="C337" s="84" t="s">
        <v>1596</v>
      </c>
      <c r="D337" s="95" t="str">
        <f>IFERROR(VLOOKUP(B337,' 02.1 KLH-CN MÃ BRAVO MM'!$B:$C,2,0),"")</f>
        <v>A22-MKE-001</v>
      </c>
      <c r="E337" s="95"/>
      <c r="F337" s="95" t="s">
        <v>79</v>
      </c>
      <c r="G337" s="86" t="s">
        <v>788</v>
      </c>
      <c r="H337" s="80" t="str">
        <f>VLOOKUP(G337,'01. TH'!$B:$E,3,0)</f>
        <v>3445 x 1865 x 2535</v>
      </c>
      <c r="I337" s="80" t="s">
        <v>1590</v>
      </c>
      <c r="J337" s="99"/>
      <c r="K337" s="80" t="str">
        <f>IF(COUNTIF('TT BTSC'!$D:$D,B337)&gt;0,"Hư hỏng","Bình thường")</f>
        <v>Bình thường</v>
      </c>
      <c r="L337" s="106"/>
      <c r="M337" s="104"/>
      <c r="N337" s="106" t="s">
        <v>454</v>
      </c>
      <c r="O337" s="108" t="s">
        <v>84</v>
      </c>
      <c r="P337" s="80">
        <v>2013.0</v>
      </c>
      <c r="Q337" s="80" t="s">
        <v>791</v>
      </c>
      <c r="R337" s="106" t="s">
        <v>792</v>
      </c>
      <c r="S337" s="108">
        <v>57123.0</v>
      </c>
      <c r="T337" s="110" t="s">
        <v>96</v>
      </c>
      <c r="U337" s="110">
        <v>4.8</v>
      </c>
      <c r="V337" s="112">
        <v>90.0</v>
      </c>
      <c r="W337" s="112"/>
      <c r="X337" s="112"/>
      <c r="Y337" s="112"/>
    </row>
    <row r="338" ht="13.5" customHeight="1" outlineLevel="1">
      <c r="A338" s="95">
        <f t="shared" si="13"/>
        <v>6</v>
      </c>
      <c r="B338" s="86" t="s">
        <v>1597</v>
      </c>
      <c r="C338" s="86" t="s">
        <v>1598</v>
      </c>
      <c r="D338" s="95" t="str">
        <f>IFERROR(VLOOKUP(B338,' 02.1 KLH-CN MÃ BRAVO MM'!$B:$C,2,0),"")</f>
        <v>A22-MKE-005</v>
      </c>
      <c r="E338" s="95"/>
      <c r="F338" s="95" t="s">
        <v>79</v>
      </c>
      <c r="G338" s="86" t="s">
        <v>857</v>
      </c>
      <c r="H338" s="80" t="str">
        <f>VLOOKUP(G338,'01. TH'!$B:$E,3,0)</f>
        <v>3226 x 1570 x 1545</v>
      </c>
      <c r="I338" s="80" t="s">
        <v>1590</v>
      </c>
      <c r="J338" s="80" t="s">
        <v>1599</v>
      </c>
      <c r="K338" s="80" t="str">
        <f>IF(COUNTIF('TT BTSC'!$D:$D,B338)&gt;0,"Hư hỏng","Bình thường")</f>
        <v>Bình thường</v>
      </c>
      <c r="L338" s="106"/>
      <c r="M338" s="129" t="s">
        <v>1600</v>
      </c>
      <c r="N338" s="80" t="s">
        <v>743</v>
      </c>
      <c r="O338" s="108" t="s">
        <v>148</v>
      </c>
      <c r="P338" s="80"/>
      <c r="Q338" s="80" t="s">
        <v>860</v>
      </c>
      <c r="R338" s="80" t="s">
        <v>861</v>
      </c>
      <c r="S338" s="108" t="s">
        <v>96</v>
      </c>
      <c r="T338" s="110" t="s">
        <v>1601</v>
      </c>
      <c r="U338" s="110">
        <v>2.5</v>
      </c>
      <c r="V338" s="112">
        <v>0.0</v>
      </c>
      <c r="W338" s="112"/>
      <c r="X338" s="112"/>
      <c r="Y338" s="112"/>
    </row>
    <row r="339" ht="13.5" customHeight="1" outlineLevel="1">
      <c r="A339" s="95">
        <f t="shared" si="13"/>
        <v>7</v>
      </c>
      <c r="B339" s="86" t="s">
        <v>1602</v>
      </c>
      <c r="C339" s="86" t="s">
        <v>1603</v>
      </c>
      <c r="D339" s="95" t="str">
        <f>IFERROR(VLOOKUP(B339,' 02.1 KLH-CN MÃ BRAVO MM'!$B:$C,2,0),"")</f>
        <v/>
      </c>
      <c r="E339" s="95"/>
      <c r="F339" s="95" t="s">
        <v>79</v>
      </c>
      <c r="G339" s="86" t="s">
        <v>857</v>
      </c>
      <c r="H339" s="80" t="str">
        <f>VLOOKUP(G339,'01. TH'!$B:$E,3,0)</f>
        <v>3226 x 1570 x 1545</v>
      </c>
      <c r="I339" s="80" t="s">
        <v>1590</v>
      </c>
      <c r="J339" s="99"/>
      <c r="K339" s="80" t="str">
        <f>IF(COUNTIF('TT BTSC'!$D:$D,B339)&gt;0,"Hư hỏng","Bình thường")</f>
        <v>Bình thường</v>
      </c>
      <c r="L339" s="106"/>
      <c r="M339" s="129" t="s">
        <v>1607</v>
      </c>
      <c r="N339" s="106" t="s">
        <v>743</v>
      </c>
      <c r="O339" s="108" t="s">
        <v>148</v>
      </c>
      <c r="P339" s="80">
        <v>2018.0</v>
      </c>
      <c r="Q339" s="80" t="s">
        <v>860</v>
      </c>
      <c r="R339" s="106" t="s">
        <v>861</v>
      </c>
      <c r="S339" s="108" t="s">
        <v>1608</v>
      </c>
      <c r="T339" s="110" t="s">
        <v>96</v>
      </c>
      <c r="U339" s="110">
        <v>2.5</v>
      </c>
      <c r="V339" s="112">
        <v>0.0</v>
      </c>
      <c r="W339" s="112"/>
      <c r="X339" s="112"/>
      <c r="Y339" s="112"/>
    </row>
    <row r="340" ht="13.5" customHeight="1" outlineLevel="1">
      <c r="A340" s="95">
        <f t="shared" si="13"/>
        <v>8</v>
      </c>
      <c r="B340" s="86" t="s">
        <v>1609</v>
      </c>
      <c r="C340" s="86" t="s">
        <v>1610</v>
      </c>
      <c r="D340" s="95"/>
      <c r="E340" s="95"/>
      <c r="F340" s="95" t="s">
        <v>79</v>
      </c>
      <c r="G340" s="86" t="s">
        <v>857</v>
      </c>
      <c r="H340" s="80" t="str">
        <f>VLOOKUP(G340,'01. TH'!$B:$E,3,0)</f>
        <v>3226 x 1570 x 1545</v>
      </c>
      <c r="I340" s="80" t="s">
        <v>1590</v>
      </c>
      <c r="J340" s="99"/>
      <c r="K340" s="80" t="str">
        <f>IF(COUNTIF('TT BTSC'!$D:$D,B340)&gt;0,"Hư hỏng","Bình thường")</f>
        <v>Bình thường</v>
      </c>
      <c r="L340" s="106"/>
      <c r="M340" s="129" t="s">
        <v>1611</v>
      </c>
      <c r="N340" s="80" t="s">
        <v>743</v>
      </c>
      <c r="O340" s="108" t="s">
        <v>148</v>
      </c>
      <c r="P340" s="80">
        <v>2018.0</v>
      </c>
      <c r="Q340" s="80" t="s">
        <v>860</v>
      </c>
      <c r="R340" s="80" t="s">
        <v>861</v>
      </c>
      <c r="S340" s="108" t="s">
        <v>1612</v>
      </c>
      <c r="T340" s="110" t="s">
        <v>96</v>
      </c>
      <c r="U340" s="110">
        <v>2.5</v>
      </c>
      <c r="V340" s="112">
        <v>0.0</v>
      </c>
      <c r="W340" s="112"/>
      <c r="X340" s="112"/>
      <c r="Y340" s="112"/>
    </row>
    <row r="341" ht="13.5" customHeight="1" outlineLevel="1">
      <c r="A341" s="95">
        <f t="shared" si="13"/>
        <v>9</v>
      </c>
      <c r="B341" s="86" t="s">
        <v>1613</v>
      </c>
      <c r="C341" s="86" t="s">
        <v>1614</v>
      </c>
      <c r="D341" s="95"/>
      <c r="E341" s="95"/>
      <c r="F341" s="95" t="s">
        <v>79</v>
      </c>
      <c r="G341" s="86" t="s">
        <v>788</v>
      </c>
      <c r="H341" s="80"/>
      <c r="I341" s="80" t="s">
        <v>1590</v>
      </c>
      <c r="J341" s="99" t="s">
        <v>1615</v>
      </c>
      <c r="K341" s="80" t="str">
        <f>IF(COUNTIF('TT BTSC'!$D:$D,B341)&gt;0,"Hư hỏng","Bình thường")</f>
        <v>Bình thường</v>
      </c>
      <c r="L341" s="106"/>
      <c r="M341" s="129" t="s">
        <v>1616</v>
      </c>
      <c r="N341" s="80" t="s">
        <v>454</v>
      </c>
      <c r="O341" s="108" t="s">
        <v>84</v>
      </c>
      <c r="P341" s="80">
        <v>2013.0</v>
      </c>
      <c r="Q341" s="80" t="s">
        <v>791</v>
      </c>
      <c r="R341" s="80" t="s">
        <v>792</v>
      </c>
      <c r="S341" s="108" t="s">
        <v>1617</v>
      </c>
      <c r="T341" s="110" t="s">
        <v>96</v>
      </c>
      <c r="U341" s="110"/>
      <c r="V341" s="112"/>
      <c r="W341" s="112"/>
      <c r="X341" s="112"/>
      <c r="Y341" s="112"/>
    </row>
    <row r="342" ht="33.75" customHeight="1" outlineLevel="1">
      <c r="A342" s="95">
        <f t="shared" si="13"/>
        <v>10</v>
      </c>
      <c r="B342" s="161" t="s">
        <v>1618</v>
      </c>
      <c r="C342" s="115"/>
      <c r="D342" s="80" t="s">
        <v>1619</v>
      </c>
      <c r="E342" s="216"/>
      <c r="F342" s="9" t="s">
        <v>139</v>
      </c>
      <c r="G342" s="161" t="s">
        <v>1620</v>
      </c>
      <c r="H342" s="80" t="str">
        <f>VLOOKUP(G342,'01. TH'!$B:$E,3,0)</f>
        <v>4190 x 2170 x 2590</v>
      </c>
      <c r="I342" s="217" t="s">
        <v>836</v>
      </c>
      <c r="J342" s="95" t="s">
        <v>1621</v>
      </c>
      <c r="K342" s="80" t="str">
        <f>IF(COUNTIF('TT BTSC'!$D:$D,B387)&gt;0,"Hư hỏng","Bình thường")</f>
        <v>Bình thường</v>
      </c>
      <c r="L342" s="218"/>
      <c r="M342" s="219" t="s">
        <v>1622</v>
      </c>
      <c r="N342" s="137" t="s">
        <v>1623</v>
      </c>
      <c r="O342" s="161" t="s">
        <v>1624</v>
      </c>
      <c r="P342" s="220">
        <v>1997.0</v>
      </c>
      <c r="Q342" s="137">
        <v>6200.0</v>
      </c>
      <c r="R342" s="137" t="s">
        <v>705</v>
      </c>
      <c r="S342" s="161" t="s">
        <v>1625</v>
      </c>
      <c r="T342" s="161" t="s">
        <v>1626</v>
      </c>
      <c r="U342" s="221"/>
      <c r="V342" s="144"/>
      <c r="W342" s="53" t="s">
        <v>750</v>
      </c>
      <c r="X342" s="112"/>
      <c r="Y342" s="112"/>
    </row>
    <row r="343" ht="13.5" customHeight="1" outlineLevel="1">
      <c r="A343" s="95">
        <f t="shared" si="13"/>
        <v>11</v>
      </c>
      <c r="B343" s="84" t="s">
        <v>1627</v>
      </c>
      <c r="C343" s="84" t="s">
        <v>1628</v>
      </c>
      <c r="D343" s="95" t="str">
        <f>IFERROR(VLOOKUP(B343,' 02.1 KLH-CN MÃ BRAVO MM'!$B:$C,2,0),"")</f>
        <v>ATT-A22-0242</v>
      </c>
      <c r="E343" s="95"/>
      <c r="F343" s="95" t="s">
        <v>79</v>
      </c>
      <c r="G343" s="86" t="s">
        <v>946</v>
      </c>
      <c r="H343" s="80" t="str">
        <f>VLOOKUP(G343,'01. TH'!$B:$E,3,0)</f>
        <v/>
      </c>
      <c r="I343" s="80" t="s">
        <v>1590</v>
      </c>
      <c r="J343" s="99"/>
      <c r="K343" s="80" t="str">
        <f>IF(COUNTIF('TT BTSC'!$D:$D,B343)&gt;0,"Hư hỏng","Bình thường")</f>
        <v>Bình thường</v>
      </c>
      <c r="L343" s="106"/>
      <c r="M343" s="104"/>
      <c r="N343" s="106" t="s">
        <v>1561</v>
      </c>
      <c r="O343" s="108" t="s">
        <v>912</v>
      </c>
      <c r="P343" s="80"/>
      <c r="Q343" s="80"/>
      <c r="R343" s="106"/>
      <c r="S343" s="108" t="s">
        <v>1630</v>
      </c>
      <c r="T343" s="110" t="s">
        <v>96</v>
      </c>
      <c r="U343" s="110">
        <v>0.5</v>
      </c>
      <c r="V343" s="51"/>
      <c r="W343" s="51"/>
      <c r="X343" s="51"/>
      <c r="Y343" s="51"/>
    </row>
    <row r="344" ht="13.5" customHeight="1" outlineLevel="1">
      <c r="A344" s="95">
        <f t="shared" si="13"/>
        <v>12</v>
      </c>
      <c r="B344" s="222" t="s">
        <v>1631</v>
      </c>
      <c r="C344" s="223" t="s">
        <v>1632</v>
      </c>
      <c r="D344" s="224" t="str">
        <f>IFERROR(VLOOKUP(B344,' 02.1 KLH-CN MÃ BRAVO MM'!$B:$C,2,0),"")</f>
        <v/>
      </c>
      <c r="E344" s="225"/>
      <c r="F344" s="95" t="s">
        <v>79</v>
      </c>
      <c r="G344" s="222" t="s">
        <v>965</v>
      </c>
      <c r="H344" s="80" t="str">
        <f>VLOOKUP(G344,'01. TH'!$B:$E,3,0)</f>
        <v/>
      </c>
      <c r="I344" s="80" t="s">
        <v>1590</v>
      </c>
      <c r="J344" s="226" t="s">
        <v>966</v>
      </c>
      <c r="K344" s="80" t="str">
        <f>IF(COUNTIF('TT BTSC'!$D:$D,B344)&gt;0,"Hư hỏng","Bình thường")</f>
        <v>Bình thường</v>
      </c>
      <c r="L344" s="227">
        <v>0.7</v>
      </c>
      <c r="M344" s="228" t="s">
        <v>1633</v>
      </c>
      <c r="N344" s="229" t="s">
        <v>673</v>
      </c>
      <c r="O344" s="223" t="s">
        <v>968</v>
      </c>
      <c r="P344" s="230"/>
      <c r="Q344" s="231" t="s">
        <v>969</v>
      </c>
      <c r="R344" s="229" t="s">
        <v>970</v>
      </c>
      <c r="S344" s="223" t="s">
        <v>1634</v>
      </c>
      <c r="T344" s="232" t="s">
        <v>1635</v>
      </c>
      <c r="U344" s="233">
        <v>0.5</v>
      </c>
      <c r="V344" s="112">
        <v>0.0</v>
      </c>
      <c r="W344" s="112"/>
      <c r="X344" s="112"/>
      <c r="Y344" s="112"/>
    </row>
    <row r="345" ht="13.5" customHeight="1" outlineLevel="1">
      <c r="A345" s="95">
        <f t="shared" si="13"/>
        <v>13</v>
      </c>
      <c r="B345" s="222" t="s">
        <v>1636</v>
      </c>
      <c r="C345" s="223" t="s">
        <v>1637</v>
      </c>
      <c r="D345" s="224" t="s">
        <v>1638</v>
      </c>
      <c r="E345" s="225"/>
      <c r="F345" s="9" t="s">
        <v>139</v>
      </c>
      <c r="G345" s="222" t="s">
        <v>1639</v>
      </c>
      <c r="H345" s="80"/>
      <c r="I345" s="80" t="s">
        <v>1590</v>
      </c>
      <c r="J345" s="226" t="s">
        <v>1640</v>
      </c>
      <c r="K345" s="80" t="str">
        <f>IF(COUNTIF('TT BTSC'!$D:$D,B345)&gt;0,"Hư hỏng","Bình thường")</f>
        <v>Bình thường</v>
      </c>
      <c r="L345" s="227"/>
      <c r="M345" s="228" t="s">
        <v>1641</v>
      </c>
      <c r="N345" s="229" t="s">
        <v>673</v>
      </c>
      <c r="O345" s="223" t="s">
        <v>510</v>
      </c>
      <c r="P345" s="230"/>
      <c r="Q345" s="231" t="s">
        <v>1642</v>
      </c>
      <c r="R345" s="229" t="s">
        <v>675</v>
      </c>
      <c r="S345" s="223">
        <v>50349.0</v>
      </c>
      <c r="T345" s="232" t="s">
        <v>1643</v>
      </c>
      <c r="U345" s="233"/>
      <c r="V345" s="112"/>
      <c r="W345" s="112"/>
      <c r="X345" s="112"/>
      <c r="Y345" s="112"/>
    </row>
    <row r="346" ht="13.5" customHeight="1" outlineLevel="1">
      <c r="A346" s="80"/>
      <c r="B346" s="86"/>
      <c r="C346" s="86"/>
      <c r="D346" s="95"/>
      <c r="E346" s="95"/>
      <c r="F346" s="95"/>
      <c r="G346" s="86"/>
      <c r="H346" s="80"/>
      <c r="I346" s="80"/>
      <c r="J346" s="80"/>
      <c r="K346" s="80"/>
      <c r="L346" s="106"/>
      <c r="M346" s="129"/>
      <c r="N346" s="80"/>
      <c r="O346" s="108"/>
      <c r="P346" s="80"/>
      <c r="Q346" s="80"/>
      <c r="R346" s="80"/>
      <c r="S346" s="108"/>
      <c r="T346" s="110"/>
      <c r="U346" s="110"/>
      <c r="V346" s="51"/>
      <c r="W346" s="51"/>
      <c r="X346" s="51"/>
      <c r="Y346" s="51"/>
    </row>
    <row r="347" ht="13.5" customHeight="1" outlineLevel="1">
      <c r="A347" s="80"/>
      <c r="B347" s="86"/>
      <c r="C347" s="86" t="s">
        <v>1644</v>
      </c>
      <c r="D347" s="95"/>
      <c r="E347" s="95"/>
      <c r="F347" s="95"/>
      <c r="G347" s="86"/>
      <c r="H347" s="80" t="str">
        <f>VLOOKUP(G347,'01. TH'!$B:$E,3,0)</f>
        <v>#N/A</v>
      </c>
      <c r="I347" s="80"/>
      <c r="J347" s="80"/>
      <c r="K347" s="80"/>
      <c r="L347" s="106"/>
      <c r="M347" s="129"/>
      <c r="N347" s="80"/>
      <c r="O347" s="108"/>
      <c r="P347" s="80"/>
      <c r="Q347" s="80"/>
      <c r="R347" s="80"/>
      <c r="S347" s="108"/>
      <c r="T347" s="110"/>
      <c r="U347" s="110"/>
      <c r="V347" s="51"/>
      <c r="W347" s="51"/>
      <c r="X347" s="51"/>
      <c r="Y347" s="51"/>
    </row>
    <row r="348" ht="13.5" customHeight="1">
      <c r="A348" s="76" t="s">
        <v>1645</v>
      </c>
      <c r="B348" s="55"/>
      <c r="C348" s="59">
        <f>COUNTA($B$349:$B$497)</f>
        <v>145</v>
      </c>
      <c r="D348" s="55" t="str">
        <f>IFERROR(VLOOKUP(B348,' 02.1 KLH-CN MÃ BRAVO MM'!$B:$C,2,0),"")</f>
        <v/>
      </c>
      <c r="E348" s="59"/>
      <c r="F348" s="59"/>
      <c r="G348" s="59"/>
      <c r="H348" s="55"/>
      <c r="I348" s="55"/>
      <c r="J348" s="62"/>
      <c r="K348" s="55"/>
      <c r="L348" s="59"/>
      <c r="M348" s="55"/>
      <c r="N348" s="59"/>
      <c r="O348" s="55"/>
      <c r="P348" s="55"/>
      <c r="Q348" s="55"/>
      <c r="R348" s="55"/>
      <c r="S348" s="55"/>
      <c r="T348" s="55"/>
      <c r="U348" s="55"/>
      <c r="V348" s="63"/>
      <c r="W348" s="63"/>
      <c r="X348" s="63"/>
      <c r="Y348" s="63"/>
    </row>
    <row r="349" ht="13.5" customHeight="1" outlineLevel="1">
      <c r="A349" s="95">
        <v>1.0</v>
      </c>
      <c r="B349" s="84" t="s">
        <v>1647</v>
      </c>
      <c r="C349" s="84" t="s">
        <v>1648</v>
      </c>
      <c r="D349" s="95" t="str">
        <f>IFERROR(VLOOKUP(B349,' 02.1 KLH-CN MÃ BRAVO MM'!$B:$C,2,0),"")</f>
        <v>ATT-A22-0182</v>
      </c>
      <c r="E349" s="95"/>
      <c r="F349" s="95" t="s">
        <v>79</v>
      </c>
      <c r="G349" s="86" t="s">
        <v>844</v>
      </c>
      <c r="H349" s="80" t="str">
        <f>VLOOKUP(G349,'01. TH'!$B:$E,3,0)</f>
        <v>3760 x 1900 x 2570</v>
      </c>
      <c r="I349" s="80" t="s">
        <v>836</v>
      </c>
      <c r="J349" s="215"/>
      <c r="K349" s="80" t="str">
        <f>IF(COUNTIF('TT BTSC'!$D:$D,B349)&gt;0,"Hư hỏng","Bình thường")</f>
        <v>Bình thường</v>
      </c>
      <c r="L349" s="106"/>
      <c r="M349" s="104"/>
      <c r="N349" s="106" t="s">
        <v>454</v>
      </c>
      <c r="O349" s="108" t="s">
        <v>84</v>
      </c>
      <c r="P349" s="80">
        <v>2011.0</v>
      </c>
      <c r="Q349" s="80">
        <v>9540.0</v>
      </c>
      <c r="R349" s="106" t="s">
        <v>845</v>
      </c>
      <c r="S349" s="108">
        <v>2340.0</v>
      </c>
      <c r="T349" s="110" t="s">
        <v>96</v>
      </c>
      <c r="U349" s="110">
        <v>2.5</v>
      </c>
      <c r="V349" s="112">
        <v>110.0</v>
      </c>
      <c r="W349" s="112"/>
      <c r="X349" s="112"/>
      <c r="Y349" s="112"/>
    </row>
    <row r="350" ht="13.5" customHeight="1" outlineLevel="1">
      <c r="A350" s="95">
        <f t="shared" ref="A350:A493" si="14">1+A349</f>
        <v>2</v>
      </c>
      <c r="B350" s="84" t="s">
        <v>1650</v>
      </c>
      <c r="C350" s="84" t="s">
        <v>1651</v>
      </c>
      <c r="D350" s="95" t="str">
        <f>IFERROR(VLOOKUP(B350,' 02.1 KLH-CN MÃ BRAVO MM'!$B:$C,2,0),"")</f>
        <v>ATT-A22-0182</v>
      </c>
      <c r="E350" s="95"/>
      <c r="F350" s="95" t="s">
        <v>79</v>
      </c>
      <c r="G350" s="86" t="s">
        <v>844</v>
      </c>
      <c r="H350" s="80" t="str">
        <f>VLOOKUP(G350,'01. TH'!$B:$E,3,0)</f>
        <v>3760 x 1900 x 2570</v>
      </c>
      <c r="I350" s="80" t="s">
        <v>836</v>
      </c>
      <c r="J350" s="99"/>
      <c r="K350" s="80" t="str">
        <f>IF(COUNTIF('TT BTSC'!$D:$D,B350)&gt;0,"Hư hỏng","Bình thường")</f>
        <v>Bình thường</v>
      </c>
      <c r="L350" s="106"/>
      <c r="M350" s="104"/>
      <c r="N350" s="106" t="s">
        <v>454</v>
      </c>
      <c r="O350" s="108" t="s">
        <v>84</v>
      </c>
      <c r="P350" s="80">
        <v>2011.0</v>
      </c>
      <c r="Q350" s="80">
        <v>9540.0</v>
      </c>
      <c r="R350" s="106" t="s">
        <v>845</v>
      </c>
      <c r="S350" s="108">
        <v>2807.0</v>
      </c>
      <c r="T350" s="110" t="s">
        <v>96</v>
      </c>
      <c r="U350" s="110">
        <v>3.8</v>
      </c>
      <c r="V350" s="112">
        <v>110.0</v>
      </c>
      <c r="W350" s="112"/>
      <c r="X350" s="112"/>
      <c r="Y350" s="112"/>
    </row>
    <row r="351" ht="13.5" customHeight="1" outlineLevel="1">
      <c r="A351" s="95">
        <f t="shared" si="14"/>
        <v>3</v>
      </c>
      <c r="B351" s="113" t="s">
        <v>1652</v>
      </c>
      <c r="C351" s="113" t="s">
        <v>1653</v>
      </c>
      <c r="D351" s="95" t="str">
        <f>IFERROR(VLOOKUP(B351,' 02.1 KLH-CN MÃ BRAVO MM'!$B:$C,2,0),"")</f>
        <v>ATT-A22-0182</v>
      </c>
      <c r="E351" s="95"/>
      <c r="F351" s="95" t="s">
        <v>79</v>
      </c>
      <c r="G351" s="115" t="s">
        <v>844</v>
      </c>
      <c r="H351" s="80" t="str">
        <f>VLOOKUP(G351,'01. TH'!$B:$E,3,0)</f>
        <v>3760 x 1900 x 2570</v>
      </c>
      <c r="I351" s="95" t="s">
        <v>836</v>
      </c>
      <c r="J351" s="116"/>
      <c r="K351" s="80" t="str">
        <f>IF(COUNTIF('TT BTSC'!$D:$D,B351)&gt;0,"Hư hỏng","Bình thường")</f>
        <v>Bình thường</v>
      </c>
      <c r="L351" s="119"/>
      <c r="M351" s="118"/>
      <c r="N351" s="119" t="s">
        <v>454</v>
      </c>
      <c r="O351" s="110" t="s">
        <v>84</v>
      </c>
      <c r="P351" s="95">
        <v>2011.0</v>
      </c>
      <c r="Q351" s="95">
        <v>9540.0</v>
      </c>
      <c r="R351" s="119" t="s">
        <v>845</v>
      </c>
      <c r="S351" s="110">
        <v>2796.0</v>
      </c>
      <c r="T351" s="110" t="s">
        <v>96</v>
      </c>
      <c r="U351" s="110">
        <v>3.8</v>
      </c>
      <c r="V351" s="112">
        <v>110.0</v>
      </c>
      <c r="W351" s="112"/>
      <c r="X351" s="112"/>
      <c r="Y351" s="112"/>
    </row>
    <row r="352" ht="13.5" customHeight="1" outlineLevel="1">
      <c r="A352" s="95">
        <f t="shared" si="14"/>
        <v>4</v>
      </c>
      <c r="B352" s="84" t="s">
        <v>1654</v>
      </c>
      <c r="C352" s="84" t="s">
        <v>1655</v>
      </c>
      <c r="D352" s="95" t="s">
        <v>1422</v>
      </c>
      <c r="E352" s="95"/>
      <c r="F352" s="95" t="s">
        <v>79</v>
      </c>
      <c r="G352" s="86" t="s">
        <v>788</v>
      </c>
      <c r="H352" s="80" t="str">
        <f>VLOOKUP(G352,'01. TH'!$B:$E,3,0)</f>
        <v>3445 x 1865 x 2535</v>
      </c>
      <c r="I352" s="80" t="s">
        <v>836</v>
      </c>
      <c r="J352" s="99"/>
      <c r="K352" s="80" t="str">
        <f>IF(COUNTIF('TT BTSC'!$D:$D,B352)&gt;0,"Hư hỏng","Bình thường")</f>
        <v>Bình thường</v>
      </c>
      <c r="L352" s="106"/>
      <c r="M352" s="104"/>
      <c r="N352" s="106" t="s">
        <v>454</v>
      </c>
      <c r="O352" s="108" t="s">
        <v>84</v>
      </c>
      <c r="P352" s="80">
        <v>2013.0</v>
      </c>
      <c r="Q352" s="80" t="s">
        <v>791</v>
      </c>
      <c r="R352" s="106" t="s">
        <v>792</v>
      </c>
      <c r="S352" s="108">
        <v>57274.0</v>
      </c>
      <c r="T352" s="110">
        <v>9237.0</v>
      </c>
      <c r="U352" s="110">
        <v>3.5</v>
      </c>
      <c r="V352" s="112">
        <v>90.0</v>
      </c>
      <c r="W352" s="112"/>
      <c r="X352" s="112"/>
      <c r="Y352" s="112"/>
    </row>
    <row r="353" ht="13.5" customHeight="1" outlineLevel="1">
      <c r="A353" s="95">
        <f t="shared" si="14"/>
        <v>5</v>
      </c>
      <c r="B353" s="84" t="s">
        <v>1657</v>
      </c>
      <c r="C353" s="84" t="s">
        <v>1658</v>
      </c>
      <c r="D353" s="95" t="str">
        <f>IFERROR(VLOOKUP(B353,' 02.1 KLH-CN MÃ BRAVO MM'!$B:$C,2,0),"")</f>
        <v>A22-MKE-009</v>
      </c>
      <c r="E353" s="95"/>
      <c r="F353" s="95" t="s">
        <v>79</v>
      </c>
      <c r="G353" s="86" t="s">
        <v>687</v>
      </c>
      <c r="H353" s="80" t="str">
        <f>VLOOKUP(G353,'01. TH'!$B:$E,3,0)</f>
        <v>4200 x 2600 x 2900</v>
      </c>
      <c r="I353" s="80" t="s">
        <v>836</v>
      </c>
      <c r="J353" s="99"/>
      <c r="K353" s="80" t="str">
        <f>IF(COUNTIF('TT BTSC'!$D:$D,B353)&gt;0,"Hư hỏng","Bình thường")</f>
        <v>Bình thường</v>
      </c>
      <c r="L353" s="106"/>
      <c r="M353" s="104"/>
      <c r="N353" s="106" t="s">
        <v>689</v>
      </c>
      <c r="O353" s="108" t="s">
        <v>690</v>
      </c>
      <c r="P353" s="80">
        <v>2008.0</v>
      </c>
      <c r="Q353" s="80">
        <v>6603.0</v>
      </c>
      <c r="R353" s="80" t="s">
        <v>271</v>
      </c>
      <c r="S353" s="108">
        <v>5956.0</v>
      </c>
      <c r="T353" s="110" t="s">
        <v>96</v>
      </c>
      <c r="U353" s="110">
        <v>9.0</v>
      </c>
      <c r="V353" s="112">
        <v>158.0</v>
      </c>
      <c r="W353" s="112"/>
      <c r="X353" s="112"/>
      <c r="Y353" s="112"/>
    </row>
    <row r="354" ht="13.5" customHeight="1" outlineLevel="1">
      <c r="A354" s="95">
        <f t="shared" si="14"/>
        <v>6</v>
      </c>
      <c r="B354" s="84" t="s">
        <v>1659</v>
      </c>
      <c r="C354" s="84" t="s">
        <v>1660</v>
      </c>
      <c r="D354" s="95" t="str">
        <f>IFERROR(VLOOKUP(B354,' 02.1 KLH-CN MÃ BRAVO MM'!$B:$C,2,0),"")</f>
        <v>A22-MKE-010</v>
      </c>
      <c r="E354" s="95"/>
      <c r="F354" s="95" t="s">
        <v>79</v>
      </c>
      <c r="G354" s="86" t="s">
        <v>687</v>
      </c>
      <c r="H354" s="80" t="str">
        <f>VLOOKUP(G354,'01. TH'!$B:$E,3,0)</f>
        <v>4200 x 2600 x 2900</v>
      </c>
      <c r="I354" s="80" t="s">
        <v>836</v>
      </c>
      <c r="J354" s="99"/>
      <c r="K354" s="80" t="s">
        <v>1661</v>
      </c>
      <c r="L354" s="106"/>
      <c r="M354" s="104"/>
      <c r="N354" s="106" t="s">
        <v>689</v>
      </c>
      <c r="O354" s="108" t="s">
        <v>690</v>
      </c>
      <c r="P354" s="80">
        <v>2008.0</v>
      </c>
      <c r="Q354" s="80">
        <v>6603.0</v>
      </c>
      <c r="R354" s="80" t="s">
        <v>271</v>
      </c>
      <c r="S354" s="108">
        <v>32551.0</v>
      </c>
      <c r="T354" s="110" t="s">
        <v>96</v>
      </c>
      <c r="U354" s="110">
        <v>7.0</v>
      </c>
      <c r="V354" s="112">
        <v>158.0</v>
      </c>
      <c r="W354" s="112"/>
      <c r="X354" s="112"/>
      <c r="Y354" s="112"/>
    </row>
    <row r="355" ht="13.5" customHeight="1" outlineLevel="1">
      <c r="A355" s="95">
        <f t="shared" si="14"/>
        <v>7</v>
      </c>
      <c r="B355" s="84" t="s">
        <v>1662</v>
      </c>
      <c r="C355" s="84" t="s">
        <v>1663</v>
      </c>
      <c r="D355" s="95" t="str">
        <f>IFERROR(VLOOKUP(B355,' 02.1 KLH-CN MÃ BRAVO MM'!$B:$C,2,0),"")</f>
        <v>A22-MKE-011</v>
      </c>
      <c r="E355" s="95"/>
      <c r="F355" s="95" t="s">
        <v>79</v>
      </c>
      <c r="G355" s="86" t="s">
        <v>857</v>
      </c>
      <c r="H355" s="80" t="str">
        <f>VLOOKUP(G355,'01. TH'!$B:$E,3,0)</f>
        <v>3226 x 1570 x 1545</v>
      </c>
      <c r="I355" s="80" t="s">
        <v>836</v>
      </c>
      <c r="J355" s="99"/>
      <c r="K355" s="80" t="str">
        <f>IF(COUNTIF('TT BTSC'!$D:$D,B355)&gt;0,"Hư hỏng","Bình thường")</f>
        <v>Bình thường</v>
      </c>
      <c r="L355" s="106"/>
      <c r="M355" s="104"/>
      <c r="N355" s="106" t="s">
        <v>743</v>
      </c>
      <c r="O355" s="108" t="s">
        <v>148</v>
      </c>
      <c r="P355" s="80">
        <v>2018.0</v>
      </c>
      <c r="Q355" s="80" t="s">
        <v>860</v>
      </c>
      <c r="R355" s="106" t="s">
        <v>861</v>
      </c>
      <c r="S355" s="235" t="s">
        <v>1664</v>
      </c>
      <c r="T355" s="110">
        <v>80.0</v>
      </c>
      <c r="U355" s="110">
        <v>2.5</v>
      </c>
      <c r="V355" s="112">
        <v>0.0</v>
      </c>
      <c r="W355" s="112"/>
      <c r="X355" s="112"/>
      <c r="Y355" s="112"/>
    </row>
    <row r="356" ht="13.5" customHeight="1" outlineLevel="1">
      <c r="A356" s="95">
        <f t="shared" si="14"/>
        <v>8</v>
      </c>
      <c r="B356" s="113" t="s">
        <v>1665</v>
      </c>
      <c r="C356" s="113" t="s">
        <v>1666</v>
      </c>
      <c r="D356" s="95" t="str">
        <f>IFERROR(VLOOKUP(B356,' 02.1 KLH-CN MÃ BRAVO MM'!$B:$C,2,0),"")</f>
        <v>A22-MKE-015</v>
      </c>
      <c r="E356" s="95"/>
      <c r="F356" s="95" t="s">
        <v>79</v>
      </c>
      <c r="G356" s="115" t="s">
        <v>788</v>
      </c>
      <c r="H356" s="80" t="str">
        <f>VLOOKUP(G356,'01. TH'!$B:$E,3,0)</f>
        <v>3445 x 1865 x 2535</v>
      </c>
      <c r="I356" s="95" t="s">
        <v>836</v>
      </c>
      <c r="J356" s="116"/>
      <c r="K356" s="80" t="str">
        <f>IF(COUNTIF('TT BTSC'!$D:$D,B356)&gt;0,"Hư hỏng","Bình thường")</f>
        <v>Bình thường</v>
      </c>
      <c r="L356" s="119"/>
      <c r="M356" s="118"/>
      <c r="N356" s="119" t="s">
        <v>454</v>
      </c>
      <c r="O356" s="110" t="s">
        <v>84</v>
      </c>
      <c r="P356" s="95">
        <v>2013.0</v>
      </c>
      <c r="Q356" s="95" t="s">
        <v>791</v>
      </c>
      <c r="R356" s="119" t="s">
        <v>792</v>
      </c>
      <c r="S356" s="110" t="s">
        <v>1668</v>
      </c>
      <c r="T356" s="110" t="s">
        <v>96</v>
      </c>
      <c r="U356" s="110">
        <v>3.5</v>
      </c>
      <c r="V356" s="112">
        <v>90.0</v>
      </c>
      <c r="W356" s="112"/>
      <c r="X356" s="112"/>
      <c r="Y356" s="112"/>
    </row>
    <row r="357" ht="13.5" customHeight="1" outlineLevel="1">
      <c r="A357" s="95">
        <f t="shared" si="14"/>
        <v>9</v>
      </c>
      <c r="B357" s="84" t="s">
        <v>1669</v>
      </c>
      <c r="C357" s="84" t="s">
        <v>1670</v>
      </c>
      <c r="D357" s="95" t="str">
        <f>IFERROR(VLOOKUP(B357,' 02.1 KLH-CN MÃ BRAVO MM'!$B:$C,2,0),"")</f>
        <v>A22-MKE-016</v>
      </c>
      <c r="E357" s="95"/>
      <c r="F357" s="95" t="s">
        <v>79</v>
      </c>
      <c r="G357" s="86" t="s">
        <v>857</v>
      </c>
      <c r="H357" s="80" t="str">
        <f>VLOOKUP(G357,'01. TH'!$B:$E,3,0)</f>
        <v>3226 x 1570 x 1545</v>
      </c>
      <c r="I357" s="80" t="s">
        <v>836</v>
      </c>
      <c r="J357" s="99"/>
      <c r="K357" s="80" t="s">
        <v>1661</v>
      </c>
      <c r="L357" s="106"/>
      <c r="M357" s="104"/>
      <c r="N357" s="106" t="s">
        <v>743</v>
      </c>
      <c r="O357" s="108" t="s">
        <v>148</v>
      </c>
      <c r="P357" s="80">
        <v>2018.0</v>
      </c>
      <c r="Q357" s="80" t="s">
        <v>860</v>
      </c>
      <c r="R357" s="106" t="s">
        <v>861</v>
      </c>
      <c r="S357" s="108" t="s">
        <v>1673</v>
      </c>
      <c r="T357" s="110">
        <v>180012.0</v>
      </c>
      <c r="U357" s="110">
        <v>2.0</v>
      </c>
      <c r="V357" s="112">
        <v>0.0</v>
      </c>
      <c r="W357" s="112"/>
      <c r="X357" s="112"/>
      <c r="Y357" s="112"/>
    </row>
    <row r="358" ht="13.5" customHeight="1" outlineLevel="1">
      <c r="A358" s="95">
        <f t="shared" si="14"/>
        <v>10</v>
      </c>
      <c r="B358" s="84" t="s">
        <v>1674</v>
      </c>
      <c r="C358" s="84" t="s">
        <v>1675</v>
      </c>
      <c r="D358" s="95" t="str">
        <f>IFERROR(VLOOKUP(B358,' 02.1 KLH-CN MÃ BRAVO MM'!$B:$C,2,0),"")</f>
        <v>ATT-A22-0321</v>
      </c>
      <c r="E358" s="95"/>
      <c r="F358" s="95" t="s">
        <v>154</v>
      </c>
      <c r="G358" s="86" t="s">
        <v>701</v>
      </c>
      <c r="H358" s="80" t="str">
        <f>VLOOKUP(G358,'01. TH'!$B:$E,3,0)</f>
        <v>4100 x 2100 x 2600</v>
      </c>
      <c r="I358" s="80" t="s">
        <v>836</v>
      </c>
      <c r="J358" s="99">
        <v>45292.0</v>
      </c>
      <c r="K358" s="80" t="str">
        <f>IF(COUNTIF('TT BTSC'!$D:$D,B358)&gt;0,"Hư hỏng","Bình thường")</f>
        <v>Bình thường</v>
      </c>
      <c r="L358" s="102">
        <v>0.97</v>
      </c>
      <c r="M358" s="104"/>
      <c r="N358" s="106" t="s">
        <v>689</v>
      </c>
      <c r="O358" s="108" t="s">
        <v>690</v>
      </c>
      <c r="P358" s="80">
        <v>2022.0</v>
      </c>
      <c r="Q358" s="80">
        <v>5090.0</v>
      </c>
      <c r="R358" s="106" t="s">
        <v>705</v>
      </c>
      <c r="S358" s="108">
        <v>4073059.0</v>
      </c>
      <c r="T358" s="110">
        <v>26911.0</v>
      </c>
      <c r="U358" s="110">
        <v>6.0</v>
      </c>
      <c r="V358" s="112">
        <v>112.0</v>
      </c>
      <c r="W358" s="112"/>
      <c r="X358" s="112"/>
      <c r="Y358" s="112"/>
    </row>
    <row r="359" ht="13.5" customHeight="1" outlineLevel="1">
      <c r="A359" s="95">
        <f t="shared" si="14"/>
        <v>11</v>
      </c>
      <c r="B359" s="84" t="s">
        <v>1676</v>
      </c>
      <c r="C359" s="84" t="s">
        <v>1675</v>
      </c>
      <c r="D359" s="95" t="str">
        <f>IFERROR(VLOOKUP(B359,' 02.1 KLH-CN MÃ BRAVO MM'!$B:$C,2,0),"")</f>
        <v>ATT-A22-0322</v>
      </c>
      <c r="E359" s="95"/>
      <c r="F359" s="95" t="s">
        <v>154</v>
      </c>
      <c r="G359" s="86" t="s">
        <v>701</v>
      </c>
      <c r="H359" s="80" t="str">
        <f>VLOOKUP(G359,'01. TH'!$B:$E,3,0)</f>
        <v>4100 x 2100 x 2600</v>
      </c>
      <c r="I359" s="80" t="s">
        <v>836</v>
      </c>
      <c r="J359" s="99">
        <v>45292.0</v>
      </c>
      <c r="K359" s="80" t="str">
        <f>IF(COUNTIF('TT BTSC'!$D:$D,B359)&gt;0,"Hư hỏng","Bình thường")</f>
        <v>Bình thường</v>
      </c>
      <c r="L359" s="102">
        <v>0.97</v>
      </c>
      <c r="M359" s="104"/>
      <c r="N359" s="106" t="s">
        <v>689</v>
      </c>
      <c r="O359" s="108" t="s">
        <v>690</v>
      </c>
      <c r="P359" s="80">
        <v>2022.0</v>
      </c>
      <c r="Q359" s="80">
        <v>5090.0</v>
      </c>
      <c r="R359" s="106" t="s">
        <v>705</v>
      </c>
      <c r="S359" s="108">
        <v>4073056.0</v>
      </c>
      <c r="T359" s="110">
        <v>27085.0</v>
      </c>
      <c r="U359" s="110">
        <v>6.0</v>
      </c>
      <c r="V359" s="112">
        <v>112.0</v>
      </c>
      <c r="W359" s="112"/>
      <c r="X359" s="112"/>
      <c r="Y359" s="112"/>
    </row>
    <row r="360" ht="13.5" customHeight="1" outlineLevel="1">
      <c r="A360" s="95">
        <f t="shared" si="14"/>
        <v>12</v>
      </c>
      <c r="B360" s="84" t="s">
        <v>1677</v>
      </c>
      <c r="C360" s="84" t="s">
        <v>1678</v>
      </c>
      <c r="D360" s="95" t="str">
        <f>IFERROR(VLOOKUP(B360,' 02.1 KLH-CN MÃ BRAVO MM'!$B:$C,2,0),"")</f>
        <v>A22-MKE-020</v>
      </c>
      <c r="E360" s="95"/>
      <c r="F360" s="95" t="s">
        <v>79</v>
      </c>
      <c r="G360" s="86" t="s">
        <v>857</v>
      </c>
      <c r="H360" s="80" t="str">
        <f>VLOOKUP(G360,'01. TH'!$B:$E,3,0)</f>
        <v>3226 x 1570 x 1545</v>
      </c>
      <c r="I360" s="80" t="s">
        <v>836</v>
      </c>
      <c r="J360" s="80" t="s">
        <v>1680</v>
      </c>
      <c r="K360" s="80" t="str">
        <f>IF(COUNTIF('TT BTSC'!$D:$D,B360)&gt;0,"Hư hỏng","Bình thường")</f>
        <v>Bình thường</v>
      </c>
      <c r="L360" s="106"/>
      <c r="M360" s="104"/>
      <c r="N360" s="106" t="s">
        <v>743</v>
      </c>
      <c r="O360" s="108" t="s">
        <v>148</v>
      </c>
      <c r="P360" s="80">
        <v>2018.0</v>
      </c>
      <c r="Q360" s="80" t="s">
        <v>860</v>
      </c>
      <c r="R360" s="106" t="s">
        <v>861</v>
      </c>
      <c r="S360" s="108">
        <v>180090.0</v>
      </c>
      <c r="T360" s="110" t="s">
        <v>96</v>
      </c>
      <c r="U360" s="110">
        <v>2.5</v>
      </c>
      <c r="V360" s="112">
        <v>0.0</v>
      </c>
      <c r="W360" s="112"/>
      <c r="X360" s="112"/>
      <c r="Y360" s="112"/>
    </row>
    <row r="361" ht="13.5" customHeight="1" outlineLevel="1">
      <c r="A361" s="95">
        <f t="shared" si="14"/>
        <v>13</v>
      </c>
      <c r="B361" s="86" t="s">
        <v>1681</v>
      </c>
      <c r="C361" s="86" t="s">
        <v>773</v>
      </c>
      <c r="D361" s="95" t="str">
        <f>IFERROR(VLOOKUP(B361,' 02.1 KLH-CN MÃ BRAVO MM'!$B:$C,2,0),"")</f>
        <v>ATT-A22-0329</v>
      </c>
      <c r="E361" s="95"/>
      <c r="F361" s="95" t="s">
        <v>154</v>
      </c>
      <c r="G361" s="86" t="s">
        <v>695</v>
      </c>
      <c r="H361" s="80" t="str">
        <f>VLOOKUP(G361,'01. TH'!$B:$E,3,0)</f>
        <v>4835 x 2600 x 2965</v>
      </c>
      <c r="I361" s="80" t="s">
        <v>836</v>
      </c>
      <c r="J361" s="80" t="s">
        <v>696</v>
      </c>
      <c r="K361" s="80" t="str">
        <f>IF(COUNTIF('TT BTSC'!$D:$D,B361)&gt;0,"Hư hỏng","Bình thường")</f>
        <v>Bình thường</v>
      </c>
      <c r="L361" s="106"/>
      <c r="M361" s="104"/>
      <c r="N361" s="106" t="s">
        <v>689</v>
      </c>
      <c r="O361" s="108" t="s">
        <v>690</v>
      </c>
      <c r="P361" s="80">
        <v>2022.0</v>
      </c>
      <c r="Q361" s="80" t="s">
        <v>697</v>
      </c>
      <c r="R361" s="80" t="s">
        <v>271</v>
      </c>
      <c r="S361" s="108" t="s">
        <v>1682</v>
      </c>
      <c r="T361" s="110" t="s">
        <v>1683</v>
      </c>
      <c r="U361" s="110">
        <v>9.5</v>
      </c>
      <c r="V361" s="112">
        <v>220.0</v>
      </c>
      <c r="W361" s="112"/>
      <c r="X361" s="112"/>
      <c r="Y361" s="112"/>
    </row>
    <row r="362" ht="13.5" customHeight="1" outlineLevel="1">
      <c r="A362" s="95">
        <f t="shared" si="14"/>
        <v>14</v>
      </c>
      <c r="B362" s="84" t="s">
        <v>1684</v>
      </c>
      <c r="C362" s="84"/>
      <c r="D362" s="95" t="str">
        <f>IFERROR(VLOOKUP(B362,' 02.1 KLH-CN MÃ BRAVO MM'!$B:$C,2,0),"")</f>
        <v>ATM-A22-0126</v>
      </c>
      <c r="E362" s="95"/>
      <c r="F362" s="9" t="s">
        <v>139</v>
      </c>
      <c r="G362" s="86" t="s">
        <v>1685</v>
      </c>
      <c r="H362" s="80" t="str">
        <f>VLOOKUP(G362,'01. TH'!$B:$E,3,0)</f>
        <v/>
      </c>
      <c r="I362" s="80" t="s">
        <v>836</v>
      </c>
      <c r="J362" s="99">
        <v>45385.0</v>
      </c>
      <c r="K362" s="80" t="str">
        <f>IF(COUNTIF('TT BTSC'!$D:$D,B362)&gt;0,"Hư hỏng","Bình thường")</f>
        <v>Bình thường</v>
      </c>
      <c r="L362" s="102">
        <v>0.97</v>
      </c>
      <c r="M362" s="104"/>
      <c r="N362" s="80" t="s">
        <v>978</v>
      </c>
      <c r="O362" s="108" t="s">
        <v>883</v>
      </c>
      <c r="P362" s="80"/>
      <c r="Q362" s="80" t="s">
        <v>1686</v>
      </c>
      <c r="R362" s="106" t="s">
        <v>271</v>
      </c>
      <c r="S362" s="108" t="s">
        <v>1687</v>
      </c>
      <c r="T362" s="110" t="s">
        <v>1688</v>
      </c>
      <c r="U362" s="110"/>
      <c r="V362" s="112">
        <v>0.0</v>
      </c>
      <c r="W362" s="112"/>
      <c r="X362" s="112"/>
      <c r="Y362" s="112"/>
    </row>
    <row r="363" ht="13.5" customHeight="1" outlineLevel="1">
      <c r="A363" s="95">
        <f t="shared" si="14"/>
        <v>15</v>
      </c>
      <c r="B363" s="86" t="s">
        <v>1689</v>
      </c>
      <c r="C363" s="86" t="s">
        <v>1690</v>
      </c>
      <c r="D363" s="95" t="str">
        <f>IFERROR(VLOOKUP(B363,' 02.1 KLH-CN MÃ BRAVO MM'!$B:$C,2,0),"")</f>
        <v>A22-MKE-022</v>
      </c>
      <c r="E363" s="95"/>
      <c r="F363" s="95" t="s">
        <v>79</v>
      </c>
      <c r="G363" s="86" t="s">
        <v>857</v>
      </c>
      <c r="H363" s="80" t="str">
        <f>VLOOKUP(G363,'01. TH'!$B:$E,3,0)</f>
        <v>3226 x 1570 x 1545</v>
      </c>
      <c r="I363" s="236" t="s">
        <v>836</v>
      </c>
      <c r="J363" s="80" t="s">
        <v>459</v>
      </c>
      <c r="K363" s="80" t="str">
        <f>IF(COUNTIF('TT BTSC'!$D:$D,B363)&gt;0,"Hư hỏng","Bình thường")</f>
        <v>Bình thường</v>
      </c>
      <c r="L363" s="102"/>
      <c r="M363" s="129" t="s">
        <v>1691</v>
      </c>
      <c r="N363" s="80" t="s">
        <v>743</v>
      </c>
      <c r="O363" s="108" t="s">
        <v>148</v>
      </c>
      <c r="P363" s="80">
        <v>2018.0</v>
      </c>
      <c r="Q363" s="80" t="s">
        <v>860</v>
      </c>
      <c r="R363" s="80" t="s">
        <v>861</v>
      </c>
      <c r="S363" s="108" t="s">
        <v>1692</v>
      </c>
      <c r="T363" s="110" t="s">
        <v>96</v>
      </c>
      <c r="U363" s="110">
        <v>2.5</v>
      </c>
      <c r="V363" s="112">
        <v>0.0</v>
      </c>
      <c r="W363" s="112"/>
      <c r="X363" s="112"/>
      <c r="Y363" s="112"/>
    </row>
    <row r="364" ht="13.5" customHeight="1" outlineLevel="1">
      <c r="A364" s="95">
        <f t="shared" si="14"/>
        <v>16</v>
      </c>
      <c r="B364" s="86" t="s">
        <v>1693</v>
      </c>
      <c r="C364" s="86"/>
      <c r="D364" s="95" t="str">
        <f>IFERROR(VLOOKUP(B364,' 02.1 KLH-CN MÃ BRAVO MM'!$B:$C,2,0),"")</f>
        <v>ATM-A22-0129</v>
      </c>
      <c r="E364" s="236"/>
      <c r="F364" s="9" t="s">
        <v>139</v>
      </c>
      <c r="G364" s="237" t="s">
        <v>1694</v>
      </c>
      <c r="H364" s="80" t="str">
        <f>VLOOKUP(G364,'01. TH'!$B:$E,3,0)</f>
        <v/>
      </c>
      <c r="I364" s="236" t="s">
        <v>836</v>
      </c>
      <c r="J364" s="80" t="s">
        <v>1696</v>
      </c>
      <c r="K364" s="80" t="str">
        <f>IF(COUNTIF('TT BTSC'!$D:$D,B364)&gt;0,"Hư hỏng","Bình thường")</f>
        <v>Bình thường</v>
      </c>
      <c r="L364" s="102">
        <v>0.97</v>
      </c>
      <c r="M364" s="129"/>
      <c r="N364" s="236" t="s">
        <v>673</v>
      </c>
      <c r="O364" s="238" t="s">
        <v>883</v>
      </c>
      <c r="P364" s="80"/>
      <c r="Q364" s="236" t="s">
        <v>1697</v>
      </c>
      <c r="R364" s="80" t="s">
        <v>845</v>
      </c>
      <c r="S364" s="238">
        <v>50478.0</v>
      </c>
      <c r="T364" s="238" t="s">
        <v>96</v>
      </c>
      <c r="U364" s="238"/>
      <c r="V364" s="112">
        <v>0.0</v>
      </c>
      <c r="W364" s="112"/>
      <c r="X364" s="112"/>
      <c r="Y364" s="112"/>
    </row>
    <row r="365" ht="13.5" customHeight="1" outlineLevel="1">
      <c r="A365" s="95">
        <f t="shared" si="14"/>
        <v>17</v>
      </c>
      <c r="B365" s="161" t="s">
        <v>1698</v>
      </c>
      <c r="C365" s="161" t="s">
        <v>154</v>
      </c>
      <c r="D365" s="9" t="str">
        <f>IFERROR(VLOOKUP(B365,' 02.1 KLH-CN MÃ BRAVO MM'!$B:$C,2,0),"")</f>
        <v>A22-MKE-051</v>
      </c>
      <c r="E365" s="9"/>
      <c r="F365" s="9" t="s">
        <v>154</v>
      </c>
      <c r="G365" s="161" t="s">
        <v>695</v>
      </c>
      <c r="H365" s="80" t="str">
        <f>VLOOKUP(G365,'01. TH'!$B:$E,3,0)</f>
        <v>4835 x 2600 x 2965</v>
      </c>
      <c r="I365" s="217" t="s">
        <v>836</v>
      </c>
      <c r="J365" s="137" t="s">
        <v>966</v>
      </c>
      <c r="K365" s="80" t="str">
        <f>IF(COUNTIF('TT BTSC'!$D:$D,B365)&gt;0,"Hư hỏng","Bình thường")</f>
        <v>Bình thường</v>
      </c>
      <c r="L365" s="213"/>
      <c r="M365" s="141"/>
      <c r="N365" s="106" t="s">
        <v>689</v>
      </c>
      <c r="O365" s="186" t="s">
        <v>732</v>
      </c>
      <c r="P365" s="137">
        <v>2024.0</v>
      </c>
      <c r="Q365" s="137" t="s">
        <v>697</v>
      </c>
      <c r="R365" s="137" t="s">
        <v>271</v>
      </c>
      <c r="S365" s="186" t="s">
        <v>1699</v>
      </c>
      <c r="T365" s="140" t="s">
        <v>1700</v>
      </c>
      <c r="U365" s="110">
        <v>9.5</v>
      </c>
      <c r="V365" s="112">
        <v>220.0</v>
      </c>
      <c r="W365" s="112"/>
      <c r="X365" s="112"/>
      <c r="Y365" s="112"/>
    </row>
    <row r="366" ht="13.5" customHeight="1" outlineLevel="1">
      <c r="A366" s="95">
        <f t="shared" si="14"/>
        <v>18</v>
      </c>
      <c r="B366" s="161" t="s">
        <v>1701</v>
      </c>
      <c r="C366" s="161" t="s">
        <v>1702</v>
      </c>
      <c r="D366" s="9" t="str">
        <f>IFERROR(VLOOKUP(B366,' 02.1 KLH-CN MÃ BRAVO MM'!$B:$C,2,0),"")</f>
        <v>A22-MKE-052</v>
      </c>
      <c r="E366" s="9"/>
      <c r="F366" s="9" t="s">
        <v>154</v>
      </c>
      <c r="G366" s="161" t="s">
        <v>695</v>
      </c>
      <c r="H366" s="80" t="str">
        <f>VLOOKUP(G366,'01. TH'!$B:$E,3,0)</f>
        <v>4835 x 2600 x 2965</v>
      </c>
      <c r="I366" s="217" t="s">
        <v>836</v>
      </c>
      <c r="J366" s="137" t="s">
        <v>966</v>
      </c>
      <c r="K366" s="80" t="str">
        <f>IF(COUNTIF('TT BTSC'!$D:$D,B366)&gt;0,"Hư hỏng","Bình thường")</f>
        <v>Bình thường</v>
      </c>
      <c r="L366" s="213"/>
      <c r="M366" s="141"/>
      <c r="N366" s="106" t="s">
        <v>689</v>
      </c>
      <c r="O366" s="186" t="s">
        <v>732</v>
      </c>
      <c r="P366" s="137">
        <v>2024.0</v>
      </c>
      <c r="Q366" s="137" t="s">
        <v>697</v>
      </c>
      <c r="R366" s="137" t="s">
        <v>271</v>
      </c>
      <c r="S366" s="186" t="s">
        <v>1703</v>
      </c>
      <c r="T366" s="140" t="s">
        <v>1704</v>
      </c>
      <c r="U366" s="110">
        <v>9.5</v>
      </c>
      <c r="V366" s="112">
        <v>220.0</v>
      </c>
      <c r="W366" s="112"/>
      <c r="X366" s="112"/>
      <c r="Y366" s="112"/>
    </row>
    <row r="367" ht="13.5" customHeight="1" outlineLevel="1">
      <c r="A367" s="95">
        <f t="shared" si="14"/>
        <v>19</v>
      </c>
      <c r="B367" s="115" t="s">
        <v>1705</v>
      </c>
      <c r="C367" s="134" t="s">
        <v>139</v>
      </c>
      <c r="D367" s="9" t="str">
        <f>IFERROR(VLOOKUP(B367,' 02.1 KLH-CN MÃ BRAVO MM'!$B:$C,2,0),"")</f>
        <v>A22-MKE-053</v>
      </c>
      <c r="E367" s="9"/>
      <c r="F367" s="9" t="s">
        <v>139</v>
      </c>
      <c r="G367" s="115" t="s">
        <v>1706</v>
      </c>
      <c r="H367" s="80" t="str">
        <f>VLOOKUP(G367,'01. TH'!$B:$E,3,0)</f>
        <v>3840 x 1960 x 2550</v>
      </c>
      <c r="I367" s="217" t="s">
        <v>836</v>
      </c>
      <c r="J367" s="95" t="s">
        <v>1707</v>
      </c>
      <c r="K367" s="80" t="str">
        <f>IF(COUNTIF('TT BTSC'!$D:$D,B367)&gt;0,"Hư hỏng","Bình thường")</f>
        <v>Bình thường</v>
      </c>
      <c r="L367" s="117"/>
      <c r="M367" s="118"/>
      <c r="N367" s="106" t="s">
        <v>689</v>
      </c>
      <c r="O367" s="186" t="s">
        <v>690</v>
      </c>
      <c r="P367" s="95">
        <v>2004.0</v>
      </c>
      <c r="Q367" s="95">
        <v>5520.0</v>
      </c>
      <c r="R367" s="95" t="s">
        <v>1708</v>
      </c>
      <c r="S367" s="110" t="s">
        <v>1709</v>
      </c>
      <c r="T367" s="110" t="s">
        <v>1710</v>
      </c>
      <c r="U367" s="110"/>
      <c r="V367" s="112">
        <v>118.0</v>
      </c>
      <c r="W367" s="112"/>
      <c r="X367" s="112"/>
      <c r="Y367" s="112"/>
    </row>
    <row r="368" ht="13.5" customHeight="1" outlineLevel="1">
      <c r="A368" s="95">
        <f t="shared" si="14"/>
        <v>20</v>
      </c>
      <c r="B368" s="115" t="s">
        <v>1711</v>
      </c>
      <c r="C368" s="134" t="s">
        <v>139</v>
      </c>
      <c r="D368" s="9" t="str">
        <f>IFERROR(VLOOKUP(B368,' 02.1 KLH-CN MÃ BRAVO MM'!$B:$C,2,0),"")</f>
        <v>A22-MKE-054</v>
      </c>
      <c r="E368" s="9"/>
      <c r="F368" s="9" t="s">
        <v>139</v>
      </c>
      <c r="G368" s="115" t="s">
        <v>1712</v>
      </c>
      <c r="H368" s="80" t="str">
        <f>VLOOKUP(G368,'01. TH'!$B:$E,3,0)</f>
        <v>3510 x 1740 x 2550</v>
      </c>
      <c r="I368" s="217" t="s">
        <v>836</v>
      </c>
      <c r="J368" s="95" t="s">
        <v>1707</v>
      </c>
      <c r="K368" s="80" t="str">
        <f>IF(COUNTIF('TT BTSC'!$D:$D,B368)&gt;0,"Hư hỏng","Bình thường")</f>
        <v>Bình thường</v>
      </c>
      <c r="L368" s="117"/>
      <c r="M368" s="118"/>
      <c r="N368" s="106" t="s">
        <v>689</v>
      </c>
      <c r="O368" s="186" t="s">
        <v>690</v>
      </c>
      <c r="P368" s="95">
        <v>2004.0</v>
      </c>
      <c r="Q368" s="95">
        <v>5510.0</v>
      </c>
      <c r="R368" s="95" t="s">
        <v>1708</v>
      </c>
      <c r="S368" s="110" t="s">
        <v>1713</v>
      </c>
      <c r="T368" s="110" t="s">
        <v>1714</v>
      </c>
      <c r="U368" s="239"/>
      <c r="V368" s="112">
        <v>87.0</v>
      </c>
      <c r="W368" s="112"/>
      <c r="X368" s="112"/>
      <c r="Y368" s="112"/>
    </row>
    <row r="369" ht="13.5" customHeight="1" outlineLevel="1">
      <c r="A369" s="95">
        <f t="shared" si="14"/>
        <v>21</v>
      </c>
      <c r="B369" s="115" t="s">
        <v>1715</v>
      </c>
      <c r="C369" s="134" t="s">
        <v>139</v>
      </c>
      <c r="D369" s="9" t="str">
        <f>IFERROR(VLOOKUP(B369,' 02.1 KLH-CN MÃ BRAVO MM'!$B:$C,2,0),"")</f>
        <v>A22-MKE-055</v>
      </c>
      <c r="E369" s="9"/>
      <c r="F369" s="9" t="s">
        <v>139</v>
      </c>
      <c r="G369" s="115" t="s">
        <v>1620</v>
      </c>
      <c r="H369" s="80" t="str">
        <f>VLOOKUP(G369,'01. TH'!$B:$E,3,0)</f>
        <v>4190 x 2170 x 2590</v>
      </c>
      <c r="I369" s="217" t="s">
        <v>836</v>
      </c>
      <c r="J369" s="116">
        <v>45360.0</v>
      </c>
      <c r="K369" s="80" t="str">
        <f>IF(COUNTIF('TT BTSC'!$D:$D,B369)&gt;0,"Hư hỏng","Bình thường")</f>
        <v>Bình thường</v>
      </c>
      <c r="L369" s="117"/>
      <c r="M369" s="118"/>
      <c r="N369" s="106" t="s">
        <v>689</v>
      </c>
      <c r="O369" s="110" t="s">
        <v>795</v>
      </c>
      <c r="P369" s="95">
        <v>1998.0</v>
      </c>
      <c r="Q369" s="95">
        <v>6200.0</v>
      </c>
      <c r="R369" s="95" t="s">
        <v>705</v>
      </c>
      <c r="S369" s="110" t="s">
        <v>1716</v>
      </c>
      <c r="T369" s="110" t="s">
        <v>1717</v>
      </c>
      <c r="U369" s="110">
        <v>6.5</v>
      </c>
      <c r="V369" s="112">
        <v>159.0</v>
      </c>
      <c r="W369" s="112"/>
      <c r="X369" s="112"/>
      <c r="Y369" s="112"/>
    </row>
    <row r="370" ht="13.5" customHeight="1" outlineLevel="1">
      <c r="A370" s="95">
        <f t="shared" si="14"/>
        <v>22</v>
      </c>
      <c r="B370" s="115" t="s">
        <v>1718</v>
      </c>
      <c r="C370" s="134" t="s">
        <v>139</v>
      </c>
      <c r="D370" s="9" t="str">
        <f>IFERROR(VLOOKUP(B370,' 02.1 KLH-CN MÃ BRAVO MM'!$B:$C,2,0),"")</f>
        <v>A22-MKE-056</v>
      </c>
      <c r="E370" s="9"/>
      <c r="F370" s="9" t="s">
        <v>139</v>
      </c>
      <c r="G370" s="115" t="s">
        <v>1720</v>
      </c>
      <c r="H370" s="80" t="str">
        <f>VLOOKUP(G370,'01. TH'!$B:$E,3,0)</f>
        <v>3840 x 1740 x 2650</v>
      </c>
      <c r="I370" s="217" t="s">
        <v>836</v>
      </c>
      <c r="J370" s="116">
        <v>45360.0</v>
      </c>
      <c r="K370" s="80" t="str">
        <f>IF(COUNTIF('TT BTSC'!$D:$D,B370)&gt;0,"Hư hỏng","Bình thường")</f>
        <v>Bình thường</v>
      </c>
      <c r="L370" s="117"/>
      <c r="M370" s="118"/>
      <c r="N370" s="106" t="s">
        <v>689</v>
      </c>
      <c r="O370" s="110" t="s">
        <v>690</v>
      </c>
      <c r="P370" s="95">
        <v>2006.0</v>
      </c>
      <c r="Q370" s="95">
        <v>5425.0</v>
      </c>
      <c r="R370" s="95" t="s">
        <v>1721</v>
      </c>
      <c r="S370" s="110" t="s">
        <v>1722</v>
      </c>
      <c r="T370" s="110" t="s">
        <v>1723</v>
      </c>
      <c r="U370" s="110"/>
      <c r="V370" s="112">
        <v>127.0</v>
      </c>
      <c r="W370" s="112"/>
      <c r="X370" s="112"/>
      <c r="Y370" s="112"/>
    </row>
    <row r="371" ht="13.5" customHeight="1" outlineLevel="1">
      <c r="A371" s="95">
        <f t="shared" si="14"/>
        <v>23</v>
      </c>
      <c r="B371" s="115" t="s">
        <v>1724</v>
      </c>
      <c r="C371" s="161" t="s">
        <v>1702</v>
      </c>
      <c r="D371" s="95" t="s">
        <v>1725</v>
      </c>
      <c r="E371" s="9"/>
      <c r="F371" s="95" t="s">
        <v>154</v>
      </c>
      <c r="G371" s="115" t="s">
        <v>1726</v>
      </c>
      <c r="H371" s="80" t="str">
        <f>VLOOKUP(G371,'01. TH'!$B:$E,3,0)</f>
        <v>4725 x 1910 x 3160</v>
      </c>
      <c r="I371" s="217" t="s">
        <v>836</v>
      </c>
      <c r="J371" s="95" t="s">
        <v>802</v>
      </c>
      <c r="K371" s="80" t="str">
        <f>IF(COUNTIF('TT BTSC'!$D:$D,B371)&gt;0,"Hư hỏng","Bình thường")</f>
        <v>Bình thường</v>
      </c>
      <c r="L371" s="117"/>
      <c r="M371" s="104" t="s">
        <v>890</v>
      </c>
      <c r="N371" s="95" t="s">
        <v>739</v>
      </c>
      <c r="O371" s="110" t="s">
        <v>1415</v>
      </c>
      <c r="P371" s="95">
        <v>2024.0</v>
      </c>
      <c r="Q371" s="95" t="s">
        <v>1729</v>
      </c>
      <c r="R371" s="95" t="s">
        <v>1730</v>
      </c>
      <c r="S371" s="110" t="s">
        <v>1731</v>
      </c>
      <c r="T371" s="110" t="s">
        <v>1732</v>
      </c>
      <c r="U371" s="110">
        <v>6.0</v>
      </c>
      <c r="V371" s="112">
        <v>140.0</v>
      </c>
      <c r="W371" s="112"/>
      <c r="X371" s="112"/>
      <c r="Y371" s="112"/>
    </row>
    <row r="372" ht="13.5" customHeight="1" outlineLevel="1">
      <c r="A372" s="95">
        <f t="shared" si="14"/>
        <v>24</v>
      </c>
      <c r="B372" s="115" t="s">
        <v>1733</v>
      </c>
      <c r="C372" s="161" t="s">
        <v>1702</v>
      </c>
      <c r="D372" s="95" t="s">
        <v>1734</v>
      </c>
      <c r="E372" s="9"/>
      <c r="F372" s="95" t="s">
        <v>154</v>
      </c>
      <c r="G372" s="115" t="s">
        <v>1735</v>
      </c>
      <c r="H372" s="80" t="str">
        <f>VLOOKUP(G372,'01. TH'!$B:$E,3,0)</f>
        <v>5300 x 2600 x 3150</v>
      </c>
      <c r="I372" s="217" t="s">
        <v>836</v>
      </c>
      <c r="J372" s="95" t="s">
        <v>1736</v>
      </c>
      <c r="K372" s="80" t="str">
        <f>IF(COUNTIF('TT BTSC'!$D:$D,B372)&gt;0,"Hư hỏng","Bình thường")</f>
        <v>Bình thường</v>
      </c>
      <c r="L372" s="117"/>
      <c r="M372" s="104" t="s">
        <v>890</v>
      </c>
      <c r="N372" s="95" t="s">
        <v>739</v>
      </c>
      <c r="O372" s="110" t="s">
        <v>1415</v>
      </c>
      <c r="P372" s="95">
        <v>2024.0</v>
      </c>
      <c r="Q372" s="95" t="s">
        <v>1737</v>
      </c>
      <c r="R372" s="95" t="s">
        <v>1738</v>
      </c>
      <c r="S372" s="110" t="s">
        <v>1739</v>
      </c>
      <c r="T372" s="110" t="s">
        <v>1740</v>
      </c>
      <c r="U372" s="110">
        <v>17.5</v>
      </c>
      <c r="V372" s="112">
        <v>350.0</v>
      </c>
      <c r="W372" s="112"/>
      <c r="X372" s="112"/>
      <c r="Y372" s="112"/>
    </row>
    <row r="373" ht="24.75" customHeight="1" outlineLevel="1">
      <c r="A373" s="95">
        <f t="shared" si="14"/>
        <v>25</v>
      </c>
      <c r="B373" s="115" t="s">
        <v>1741</v>
      </c>
      <c r="C373" s="161" t="s">
        <v>1742</v>
      </c>
      <c r="D373" s="95" t="str">
        <f>IFERROR(VLOOKUP(B373,' 02.1 KLH-CN MÃ BRAVO MM'!$B:$C,2,0),"")</f>
        <v/>
      </c>
      <c r="E373" s="9"/>
      <c r="F373" s="95" t="s">
        <v>79</v>
      </c>
      <c r="G373" s="86" t="s">
        <v>857</v>
      </c>
      <c r="H373" s="80" t="str">
        <f>VLOOKUP(G373,'01. TH'!$B:$E,3,0)</f>
        <v>3226 x 1570 x 1545</v>
      </c>
      <c r="I373" s="217" t="s">
        <v>836</v>
      </c>
      <c r="J373" s="116">
        <v>45689.0</v>
      </c>
      <c r="K373" s="80" t="str">
        <f>IF(COUNTIF('TT BTSC'!$D:$D,B373)&gt;0,"Hư hỏng","Bình thường")</f>
        <v>Bình thường</v>
      </c>
      <c r="L373" s="117"/>
      <c r="M373" s="129" t="s">
        <v>1743</v>
      </c>
      <c r="N373" s="95" t="s">
        <v>743</v>
      </c>
      <c r="O373" s="110" t="s">
        <v>148</v>
      </c>
      <c r="P373" s="95">
        <v>2018.0</v>
      </c>
      <c r="Q373" s="95" t="s">
        <v>860</v>
      </c>
      <c r="R373" s="95" t="s">
        <v>861</v>
      </c>
      <c r="S373" s="110" t="s">
        <v>1744</v>
      </c>
      <c r="T373" s="110" t="s">
        <v>96</v>
      </c>
      <c r="U373" s="110">
        <v>2.5</v>
      </c>
      <c r="V373" s="112">
        <v>0.0</v>
      </c>
      <c r="W373" s="112"/>
      <c r="X373" s="112"/>
      <c r="Y373" s="112"/>
    </row>
    <row r="374" ht="13.5" customHeight="1" outlineLevel="1">
      <c r="A374" s="95">
        <f t="shared" si="14"/>
        <v>26</v>
      </c>
      <c r="B374" s="115" t="s">
        <v>1745</v>
      </c>
      <c r="C374" s="115" t="s">
        <v>1746</v>
      </c>
      <c r="D374" s="95" t="s">
        <v>1747</v>
      </c>
      <c r="E374" s="9"/>
      <c r="F374" s="95" t="s">
        <v>79</v>
      </c>
      <c r="G374" s="115" t="s">
        <v>687</v>
      </c>
      <c r="H374" s="80" t="str">
        <f>VLOOKUP(G374,'01. TH'!$B:$E,3,0)</f>
        <v>4200 x 2600 x 2900</v>
      </c>
      <c r="I374" s="217" t="s">
        <v>836</v>
      </c>
      <c r="J374" s="116"/>
      <c r="K374" s="80" t="str">
        <f>IF(COUNTIF('TT BTSC'!$D:$D,B374)&gt;0,"Hư hỏng","Bình thường")</f>
        <v>Bình thường</v>
      </c>
      <c r="L374" s="119"/>
      <c r="M374" s="155" t="s">
        <v>1748</v>
      </c>
      <c r="N374" s="106" t="s">
        <v>689</v>
      </c>
      <c r="O374" s="110" t="s">
        <v>690</v>
      </c>
      <c r="P374" s="95">
        <v>2018.0</v>
      </c>
      <c r="Q374" s="95">
        <v>6603.0</v>
      </c>
      <c r="R374" s="80" t="s">
        <v>271</v>
      </c>
      <c r="S374" s="110">
        <v>32550.0</v>
      </c>
      <c r="T374" s="110" t="s">
        <v>96</v>
      </c>
      <c r="U374" s="110">
        <v>9.0</v>
      </c>
      <c r="V374" s="112">
        <v>158.0</v>
      </c>
      <c r="W374" s="112"/>
      <c r="X374" s="112"/>
      <c r="Y374" s="112"/>
    </row>
    <row r="375" outlineLevel="1">
      <c r="A375" s="95">
        <f t="shared" si="14"/>
        <v>27</v>
      </c>
      <c r="B375" s="115" t="s">
        <v>1749</v>
      </c>
      <c r="C375" s="113"/>
      <c r="D375" s="95"/>
      <c r="E375" s="9"/>
      <c r="F375" s="95" t="s">
        <v>154</v>
      </c>
      <c r="G375" s="115" t="s">
        <v>782</v>
      </c>
      <c r="H375" s="80" t="str">
        <f>VLOOKUP(G375,'01. TH'!$B:$E,3,0)</f>
        <v>4780 x 2550 x 3000</v>
      </c>
      <c r="I375" s="217" t="s">
        <v>836</v>
      </c>
      <c r="J375" s="116">
        <v>45756.0</v>
      </c>
      <c r="K375" s="80" t="str">
        <f>IF(COUNTIF('TT BTSC'!$D:$D,B375)&gt;0,"Hư hỏng","Bình thường")</f>
        <v>Bình thường</v>
      </c>
      <c r="L375" s="117"/>
      <c r="M375" s="155" t="s">
        <v>1750</v>
      </c>
      <c r="N375" s="106" t="s">
        <v>689</v>
      </c>
      <c r="O375" s="110" t="s">
        <v>690</v>
      </c>
      <c r="P375" s="95">
        <v>2024.0</v>
      </c>
      <c r="Q375" s="95" t="s">
        <v>783</v>
      </c>
      <c r="R375" s="95" t="s">
        <v>549</v>
      </c>
      <c r="S375" s="110" t="s">
        <v>1751</v>
      </c>
      <c r="T375" s="110" t="s">
        <v>1752</v>
      </c>
      <c r="U375" s="110">
        <v>14.0</v>
      </c>
      <c r="V375" s="112">
        <v>300.0</v>
      </c>
      <c r="W375" s="112"/>
      <c r="X375" s="112"/>
      <c r="Y375" s="112"/>
    </row>
    <row r="376" ht="13.5" customHeight="1" outlineLevel="1">
      <c r="A376" s="95">
        <f t="shared" si="14"/>
        <v>28</v>
      </c>
      <c r="B376" s="115" t="s">
        <v>1753</v>
      </c>
      <c r="C376" s="115" t="s">
        <v>1754</v>
      </c>
      <c r="D376" s="95" t="s">
        <v>1755</v>
      </c>
      <c r="E376" s="9"/>
      <c r="F376" s="95" t="s">
        <v>154</v>
      </c>
      <c r="G376" s="115" t="s">
        <v>695</v>
      </c>
      <c r="H376" s="80" t="str">
        <f>VLOOKUP(G376,'01. TH'!$B:$E,3,0)</f>
        <v>4835 x 2600 x 2965</v>
      </c>
      <c r="I376" s="217" t="s">
        <v>836</v>
      </c>
      <c r="J376" s="95" t="s">
        <v>1756</v>
      </c>
      <c r="K376" s="80" t="str">
        <f>IF(COUNTIF('TT BTSC'!$D:$D,B376)&gt;0,"Hư hỏng","Bình thường")</f>
        <v>Bình thường</v>
      </c>
      <c r="L376" s="117"/>
      <c r="M376" s="118"/>
      <c r="N376" s="106" t="s">
        <v>689</v>
      </c>
      <c r="O376" s="110" t="s">
        <v>1415</v>
      </c>
      <c r="P376" s="95">
        <v>2025.0</v>
      </c>
      <c r="Q376" s="95" t="s">
        <v>697</v>
      </c>
      <c r="R376" s="95" t="s">
        <v>271</v>
      </c>
      <c r="S376" s="110" t="s">
        <v>1757</v>
      </c>
      <c r="T376" s="110" t="s">
        <v>1758</v>
      </c>
      <c r="U376" s="110">
        <v>9.5</v>
      </c>
      <c r="V376" s="112">
        <v>220.0</v>
      </c>
      <c r="W376" s="112"/>
      <c r="X376" s="112"/>
      <c r="Y376" s="112"/>
    </row>
    <row r="377" ht="13.5" customHeight="1" outlineLevel="1">
      <c r="A377" s="95">
        <f t="shared" si="14"/>
        <v>29</v>
      </c>
      <c r="B377" s="115" t="s">
        <v>1759</v>
      </c>
      <c r="C377" s="115" t="s">
        <v>1754</v>
      </c>
      <c r="D377" s="95" t="s">
        <v>1760</v>
      </c>
      <c r="E377" s="9"/>
      <c r="F377" s="95" t="s">
        <v>154</v>
      </c>
      <c r="G377" s="115" t="s">
        <v>695</v>
      </c>
      <c r="H377" s="80" t="str">
        <f>VLOOKUP(G377,'01. TH'!$B:$E,3,0)</f>
        <v>4835 x 2600 x 2965</v>
      </c>
      <c r="I377" s="217" t="s">
        <v>836</v>
      </c>
      <c r="J377" s="95" t="s">
        <v>1756</v>
      </c>
      <c r="K377" s="80" t="str">
        <f>IF(COUNTIF('TT BTSC'!$D:$D,B377)&gt;0,"Hư hỏng","Bình thường")</f>
        <v>Bình thường</v>
      </c>
      <c r="L377" s="117"/>
      <c r="M377" s="118"/>
      <c r="N377" s="106" t="s">
        <v>689</v>
      </c>
      <c r="O377" s="110" t="s">
        <v>1415</v>
      </c>
      <c r="P377" s="95">
        <v>2025.0</v>
      </c>
      <c r="Q377" s="95" t="s">
        <v>697</v>
      </c>
      <c r="R377" s="95" t="s">
        <v>271</v>
      </c>
      <c r="S377" s="110" t="s">
        <v>1761</v>
      </c>
      <c r="T377" s="110" t="s">
        <v>1762</v>
      </c>
      <c r="U377" s="110">
        <v>9.5</v>
      </c>
      <c r="V377" s="112">
        <v>220.0</v>
      </c>
      <c r="W377" s="112"/>
      <c r="X377" s="112"/>
      <c r="Y377" s="112"/>
    </row>
    <row r="378" ht="13.5" customHeight="1" outlineLevel="1">
      <c r="A378" s="95">
        <f t="shared" si="14"/>
        <v>30</v>
      </c>
      <c r="B378" s="115" t="s">
        <v>1763</v>
      </c>
      <c r="C378" s="115"/>
      <c r="D378" s="95" t="s">
        <v>1764</v>
      </c>
      <c r="E378" s="9"/>
      <c r="F378" s="9" t="s">
        <v>139</v>
      </c>
      <c r="G378" s="115" t="s">
        <v>1620</v>
      </c>
      <c r="H378" s="80" t="str">
        <f>VLOOKUP(G378,'01. TH'!$B:$E,3,0)</f>
        <v>4190 x 2170 x 2590</v>
      </c>
      <c r="I378" s="217" t="s">
        <v>836</v>
      </c>
      <c r="J378" s="95" t="s">
        <v>1765</v>
      </c>
      <c r="K378" s="80" t="str">
        <f>IF(COUNTIF('TT BTSC'!$D:$D,B378)&gt;0,"Hư hỏng","Bình thường")</f>
        <v>Bình thường</v>
      </c>
      <c r="L378" s="117"/>
      <c r="M378" s="118"/>
      <c r="N378" s="106" t="s">
        <v>689</v>
      </c>
      <c r="O378" s="110" t="s">
        <v>1415</v>
      </c>
      <c r="P378" s="95">
        <v>1998.0</v>
      </c>
      <c r="Q378" s="95">
        <v>6200.0</v>
      </c>
      <c r="R378" s="95" t="s">
        <v>705</v>
      </c>
      <c r="S378" s="110" t="s">
        <v>1766</v>
      </c>
      <c r="T378" s="110" t="s">
        <v>1767</v>
      </c>
      <c r="U378" s="110"/>
      <c r="V378" s="112">
        <v>159.0</v>
      </c>
      <c r="W378" s="112"/>
      <c r="X378" s="112"/>
      <c r="Y378" s="112"/>
    </row>
    <row r="379" ht="13.5" customHeight="1" outlineLevel="1">
      <c r="A379" s="95">
        <f t="shared" si="14"/>
        <v>31</v>
      </c>
      <c r="B379" s="115" t="s">
        <v>1768</v>
      </c>
      <c r="C379" s="115"/>
      <c r="D379" s="95" t="s">
        <v>1769</v>
      </c>
      <c r="E379" s="9"/>
      <c r="F379" s="9" t="s">
        <v>139</v>
      </c>
      <c r="G379" s="115" t="s">
        <v>1770</v>
      </c>
      <c r="H379" s="80" t="str">
        <f>VLOOKUP(G379,'01. TH'!$B:$E,3,0)</f>
        <v>4130 x 2030 x 2580</v>
      </c>
      <c r="I379" s="217" t="s">
        <v>836</v>
      </c>
      <c r="J379" s="95" t="s">
        <v>1765</v>
      </c>
      <c r="K379" s="80" t="str">
        <f>IF(COUNTIF('TT BTSC'!$D:$D,B379)&gt;0,"Hư hỏng","Bình thường")</f>
        <v>Bình thường</v>
      </c>
      <c r="L379" s="117"/>
      <c r="M379" s="118"/>
      <c r="N379" s="106" t="s">
        <v>689</v>
      </c>
      <c r="O379" s="110" t="s">
        <v>1415</v>
      </c>
      <c r="P379" s="95">
        <v>1999.0</v>
      </c>
      <c r="Q379" s="95">
        <v>6210.0</v>
      </c>
      <c r="R379" s="95" t="s">
        <v>845</v>
      </c>
      <c r="S379" s="110" t="s">
        <v>1771</v>
      </c>
      <c r="T379" s="110" t="s">
        <v>1772</v>
      </c>
      <c r="U379" s="110"/>
      <c r="V379" s="112">
        <v>165.0</v>
      </c>
      <c r="W379" s="112"/>
      <c r="X379" s="112"/>
      <c r="Y379" s="112"/>
    </row>
    <row r="380" ht="13.5" customHeight="1" outlineLevel="1">
      <c r="A380" s="95">
        <f t="shared" si="14"/>
        <v>32</v>
      </c>
      <c r="B380" s="115" t="s">
        <v>1773</v>
      </c>
      <c r="C380" s="115"/>
      <c r="D380" s="95" t="s">
        <v>1774</v>
      </c>
      <c r="E380" s="9"/>
      <c r="F380" s="9" t="s">
        <v>139</v>
      </c>
      <c r="G380" s="115" t="s">
        <v>1775</v>
      </c>
      <c r="H380" s="80" t="str">
        <f>VLOOKUP(G380,'01. TH'!$B:$E,3,0)</f>
        <v>4705 x 2445 x 2864</v>
      </c>
      <c r="I380" s="217" t="s">
        <v>836</v>
      </c>
      <c r="J380" s="95" t="s">
        <v>1765</v>
      </c>
      <c r="K380" s="80" t="str">
        <f>IF(COUNTIF('TT BTSC'!$D:$D,B380)&gt;0,"Hư hỏng","Bình thường")</f>
        <v>Bình thường</v>
      </c>
      <c r="L380" s="117"/>
      <c r="M380" s="118"/>
      <c r="N380" s="106" t="s">
        <v>689</v>
      </c>
      <c r="O380" s="110" t="s">
        <v>1415</v>
      </c>
      <c r="P380" s="95">
        <v>1999.0</v>
      </c>
      <c r="Q380" s="95">
        <v>6620.0</v>
      </c>
      <c r="R380" s="95" t="s">
        <v>271</v>
      </c>
      <c r="S380" s="110" t="s">
        <v>1777</v>
      </c>
      <c r="T380" s="110" t="s">
        <v>1778</v>
      </c>
      <c r="U380" s="110"/>
      <c r="V380" s="112">
        <v>207.0</v>
      </c>
      <c r="W380" s="112"/>
      <c r="X380" s="112"/>
      <c r="Y380" s="112"/>
    </row>
    <row r="381" ht="13.5" customHeight="1" outlineLevel="1">
      <c r="A381" s="95">
        <f t="shared" si="14"/>
        <v>33</v>
      </c>
      <c r="B381" s="115" t="s">
        <v>1779</v>
      </c>
      <c r="C381" s="115" t="s">
        <v>1754</v>
      </c>
      <c r="D381" s="95" t="s">
        <v>1780</v>
      </c>
      <c r="E381" s="9"/>
      <c r="F381" s="95" t="s">
        <v>154</v>
      </c>
      <c r="G381" s="115" t="s">
        <v>1781</v>
      </c>
      <c r="H381" s="80"/>
      <c r="I381" s="217" t="s">
        <v>836</v>
      </c>
      <c r="J381" s="95" t="s">
        <v>1782</v>
      </c>
      <c r="K381" s="80" t="str">
        <f>IF(COUNTIF('TT BTSC'!$D:$D,B381)&gt;0,"Hư hỏng","Bình thường")</f>
        <v>Bình thường</v>
      </c>
      <c r="L381" s="117"/>
      <c r="M381" s="118" t="s">
        <v>890</v>
      </c>
      <c r="N381" s="106" t="s">
        <v>739</v>
      </c>
      <c r="O381" s="110" t="s">
        <v>1415</v>
      </c>
      <c r="P381" s="95">
        <v>2026.0</v>
      </c>
      <c r="Q381" s="95" t="s">
        <v>1729</v>
      </c>
      <c r="R381" s="95" t="s">
        <v>1784</v>
      </c>
      <c r="S381" s="110" t="s">
        <v>1785</v>
      </c>
      <c r="T381" s="110" t="s">
        <v>1786</v>
      </c>
      <c r="U381" s="110"/>
      <c r="V381" s="112"/>
      <c r="W381" s="112"/>
      <c r="X381" s="112"/>
      <c r="Y381" s="112"/>
    </row>
    <row r="382" ht="13.5" customHeight="1" outlineLevel="1">
      <c r="A382" s="95">
        <f t="shared" si="14"/>
        <v>34</v>
      </c>
      <c r="B382" s="115" t="s">
        <v>1787</v>
      </c>
      <c r="C382" s="115" t="s">
        <v>1754</v>
      </c>
      <c r="D382" s="95" t="s">
        <v>1788</v>
      </c>
      <c r="E382" s="9"/>
      <c r="F382" s="95" t="s">
        <v>154</v>
      </c>
      <c r="G382" s="115" t="s">
        <v>737</v>
      </c>
      <c r="H382" s="80" t="str">
        <f>VLOOKUP(G382,'01. TH'!$B:$E,3,0)</f>
        <v>5300 x 2620 x 3010</v>
      </c>
      <c r="I382" s="217" t="s">
        <v>836</v>
      </c>
      <c r="J382" s="95" t="s">
        <v>738</v>
      </c>
      <c r="K382" s="80" t="str">
        <f>IF(COUNTIF('TT BTSC'!$D:$D,B382)&gt;0,"Hư hỏng","Bình thường")</f>
        <v>Bình thường</v>
      </c>
      <c r="L382" s="117"/>
      <c r="M382" s="118"/>
      <c r="N382" s="95" t="s">
        <v>739</v>
      </c>
      <c r="O382" s="110" t="s">
        <v>740</v>
      </c>
      <c r="P382" s="95">
        <v>2025.0</v>
      </c>
      <c r="Q382" s="95">
        <v>1504.0</v>
      </c>
      <c r="R382" s="95" t="s">
        <v>278</v>
      </c>
      <c r="S382" s="110" t="s">
        <v>1789</v>
      </c>
      <c r="T382" s="110" t="s">
        <v>1790</v>
      </c>
      <c r="U382" s="110">
        <v>13.0</v>
      </c>
      <c r="V382" s="112">
        <v>350.0</v>
      </c>
      <c r="W382" s="112"/>
      <c r="X382" s="112"/>
      <c r="Y382" s="112"/>
    </row>
    <row r="383" ht="13.5" customHeight="1" outlineLevel="1">
      <c r="A383" s="95">
        <f t="shared" si="14"/>
        <v>35</v>
      </c>
      <c r="B383" s="115" t="s">
        <v>1791</v>
      </c>
      <c r="C383" s="115" t="s">
        <v>1754</v>
      </c>
      <c r="D383" s="95" t="s">
        <v>1792</v>
      </c>
      <c r="E383" s="9"/>
      <c r="F383" s="95" t="s">
        <v>154</v>
      </c>
      <c r="G383" s="115" t="s">
        <v>1781</v>
      </c>
      <c r="H383" s="80"/>
      <c r="I383" s="217" t="s">
        <v>836</v>
      </c>
      <c r="J383" s="95" t="s">
        <v>1782</v>
      </c>
      <c r="K383" s="80" t="str">
        <f>IF(COUNTIF('TT BTSC'!$D:$D,B383)&gt;0,"Hư hỏng","Bình thường")</f>
        <v>Bình thường</v>
      </c>
      <c r="L383" s="117"/>
      <c r="M383" s="118" t="s">
        <v>890</v>
      </c>
      <c r="N383" s="106" t="s">
        <v>739</v>
      </c>
      <c r="O383" s="110" t="s">
        <v>1415</v>
      </c>
      <c r="P383" s="95">
        <v>2026.0</v>
      </c>
      <c r="Q383" s="95" t="s">
        <v>1729</v>
      </c>
      <c r="R383" s="95" t="s">
        <v>1784</v>
      </c>
      <c r="S383" s="110" t="s">
        <v>1793</v>
      </c>
      <c r="T383" s="110" t="s">
        <v>1794</v>
      </c>
      <c r="U383" s="110"/>
      <c r="V383" s="112"/>
      <c r="W383" s="112"/>
      <c r="X383" s="112"/>
      <c r="Y383" s="112"/>
    </row>
    <row r="384" ht="13.5" customHeight="1" outlineLevel="1">
      <c r="A384" s="95">
        <f t="shared" si="14"/>
        <v>36</v>
      </c>
      <c r="B384" s="115" t="s">
        <v>1795</v>
      </c>
      <c r="C384" s="115" t="s">
        <v>1754</v>
      </c>
      <c r="D384" s="95" t="s">
        <v>1796</v>
      </c>
      <c r="E384" s="9"/>
      <c r="F384" s="95" t="s">
        <v>154</v>
      </c>
      <c r="G384" s="115" t="s">
        <v>737</v>
      </c>
      <c r="H384" s="80" t="str">
        <f>VLOOKUP(G384,'01. TH'!$B:$E,3,0)</f>
        <v>5300 x 2620 x 3010</v>
      </c>
      <c r="I384" s="217" t="s">
        <v>836</v>
      </c>
      <c r="J384" s="95" t="s">
        <v>738</v>
      </c>
      <c r="K384" s="80" t="str">
        <f>IF(COUNTIF('TT BTSC'!$D:$D,B384)&gt;0,"Hư hỏng","Bình thường")</f>
        <v>Bình thường</v>
      </c>
      <c r="L384" s="117"/>
      <c r="M384" s="118"/>
      <c r="N384" s="95" t="s">
        <v>739</v>
      </c>
      <c r="O384" s="110" t="s">
        <v>740</v>
      </c>
      <c r="P384" s="95">
        <v>2025.0</v>
      </c>
      <c r="Q384" s="95">
        <v>1504.0</v>
      </c>
      <c r="R384" s="95" t="s">
        <v>278</v>
      </c>
      <c r="S384" s="110" t="s">
        <v>1797</v>
      </c>
      <c r="T384" s="110" t="s">
        <v>1798</v>
      </c>
      <c r="U384" s="110">
        <v>13.0</v>
      </c>
      <c r="V384" s="112">
        <v>350.0</v>
      </c>
      <c r="W384" s="112"/>
      <c r="X384" s="112"/>
      <c r="Y384" s="112"/>
    </row>
    <row r="385" ht="13.5" customHeight="1" outlineLevel="1">
      <c r="A385" s="95">
        <f t="shared" si="14"/>
        <v>37</v>
      </c>
      <c r="B385" s="115" t="s">
        <v>1799</v>
      </c>
      <c r="C385" s="115"/>
      <c r="D385" s="95" t="s">
        <v>1800</v>
      </c>
      <c r="E385" s="9"/>
      <c r="F385" s="9" t="s">
        <v>139</v>
      </c>
      <c r="G385" s="115" t="s">
        <v>1801</v>
      </c>
      <c r="H385" s="80" t="str">
        <f>VLOOKUP(G385,'01. TH'!$B:$E,3,0)</f>
        <v/>
      </c>
      <c r="I385" s="217" t="s">
        <v>836</v>
      </c>
      <c r="J385" s="95" t="s">
        <v>1802</v>
      </c>
      <c r="K385" s="80" t="str">
        <f>IF(COUNTIF('TT BTSC'!$D:$D,B385)&gt;0,"Hư hỏng","Bình thường")</f>
        <v>Bình thường</v>
      </c>
      <c r="L385" s="117"/>
      <c r="M385" s="129" t="s">
        <v>1803</v>
      </c>
      <c r="N385" s="106" t="s">
        <v>689</v>
      </c>
      <c r="O385" s="110" t="s">
        <v>1624</v>
      </c>
      <c r="P385" s="95">
        <v>1995.0</v>
      </c>
      <c r="Q385" s="95">
        <v>6600.0</v>
      </c>
      <c r="R385" s="95" t="s">
        <v>824</v>
      </c>
      <c r="S385" s="110" t="s">
        <v>1804</v>
      </c>
      <c r="T385" s="110" t="s">
        <v>1805</v>
      </c>
      <c r="U385" s="110"/>
      <c r="V385" s="112"/>
      <c r="W385" s="112"/>
      <c r="X385" s="112"/>
      <c r="Y385" s="112"/>
    </row>
    <row r="386" ht="23.25" customHeight="1" outlineLevel="1">
      <c r="A386" s="95">
        <f t="shared" si="14"/>
        <v>38</v>
      </c>
      <c r="B386" s="115" t="s">
        <v>1806</v>
      </c>
      <c r="C386" s="115" t="s">
        <v>1807</v>
      </c>
      <c r="D386" s="95" t="s">
        <v>1808</v>
      </c>
      <c r="E386" s="95"/>
      <c r="F386" s="9" t="s">
        <v>139</v>
      </c>
      <c r="G386" s="115" t="s">
        <v>1770</v>
      </c>
      <c r="H386" s="80"/>
      <c r="I386" s="217" t="s">
        <v>836</v>
      </c>
      <c r="J386" s="95" t="s">
        <v>746</v>
      </c>
      <c r="K386" s="80" t="str">
        <f>IF(COUNTIF('TT BTSC'!$D:$D,B386)&gt;0,"Hư hỏng","Bình thường")</f>
        <v>Bình thường</v>
      </c>
      <c r="L386" s="117"/>
      <c r="M386" s="155" t="s">
        <v>1809</v>
      </c>
      <c r="N386" s="95" t="s">
        <v>747</v>
      </c>
      <c r="O386" s="110" t="s">
        <v>260</v>
      </c>
      <c r="P386" s="95">
        <v>1999.0</v>
      </c>
      <c r="Q386" s="95">
        <v>6210.0</v>
      </c>
      <c r="R386" s="95" t="s">
        <v>845</v>
      </c>
      <c r="S386" s="110" t="s">
        <v>1810</v>
      </c>
      <c r="T386" s="110" t="s">
        <v>1811</v>
      </c>
      <c r="U386" s="110"/>
      <c r="V386" s="175"/>
      <c r="W386" s="53" t="s">
        <v>750</v>
      </c>
      <c r="X386" s="51"/>
      <c r="Y386" s="51"/>
    </row>
    <row r="387" ht="23.25" customHeight="1" outlineLevel="1">
      <c r="A387" s="95">
        <f t="shared" si="14"/>
        <v>39</v>
      </c>
      <c r="B387" s="115" t="s">
        <v>1812</v>
      </c>
      <c r="C387" s="86" t="s">
        <v>1813</v>
      </c>
      <c r="D387" s="95" t="s">
        <v>1814</v>
      </c>
      <c r="E387" s="95"/>
      <c r="F387" s="95" t="s">
        <v>154</v>
      </c>
      <c r="G387" s="86" t="s">
        <v>1815</v>
      </c>
      <c r="H387" s="80"/>
      <c r="I387" s="217" t="s">
        <v>836</v>
      </c>
      <c r="J387" s="80" t="s">
        <v>1782</v>
      </c>
      <c r="K387" s="80" t="str">
        <f>IF(COUNTIF('TT BTSC'!$D:$D,C387)&gt;0,"Hư hỏng","Bình thường")</f>
        <v>Bình thường</v>
      </c>
      <c r="L387" s="106"/>
      <c r="M387" s="208" t="s">
        <v>1817</v>
      </c>
      <c r="N387" s="80" t="s">
        <v>739</v>
      </c>
      <c r="O387" s="108" t="s">
        <v>260</v>
      </c>
      <c r="P387" s="80">
        <v>2026.0</v>
      </c>
      <c r="Q387" s="80" t="s">
        <v>1818</v>
      </c>
      <c r="R387" s="80" t="s">
        <v>1819</v>
      </c>
      <c r="S387" s="108" t="s">
        <v>1820</v>
      </c>
      <c r="T387" s="110" t="s">
        <v>1821</v>
      </c>
      <c r="U387" s="110"/>
      <c r="V387" s="51"/>
      <c r="W387" s="51"/>
      <c r="X387" s="51"/>
      <c r="Y387" s="51"/>
    </row>
    <row r="388" ht="24.0" customHeight="1" outlineLevel="1">
      <c r="A388" s="95">
        <f t="shared" si="14"/>
        <v>40</v>
      </c>
      <c r="B388" s="115" t="s">
        <v>1822</v>
      </c>
      <c r="C388" s="86" t="s">
        <v>1823</v>
      </c>
      <c r="D388" s="95" t="s">
        <v>1824</v>
      </c>
      <c r="E388" s="95"/>
      <c r="F388" s="95" t="s">
        <v>79</v>
      </c>
      <c r="G388" s="86" t="s">
        <v>857</v>
      </c>
      <c r="H388" s="80" t="str">
        <f>VLOOKUP(G388,'01. TH'!$B:$E,3,0)</f>
        <v>3226 x 1570 x 1545</v>
      </c>
      <c r="I388" s="217" t="s">
        <v>836</v>
      </c>
      <c r="J388" s="99"/>
      <c r="K388" s="80" t="str">
        <f>IF(COUNTIF('TT BTSC'!$D:$D,B388)&gt;0,"Hư hỏng","Bình thường")</f>
        <v>Bình thường</v>
      </c>
      <c r="L388" s="106"/>
      <c r="M388" s="208" t="s">
        <v>1826</v>
      </c>
      <c r="N388" s="106" t="s">
        <v>743</v>
      </c>
      <c r="O388" s="108" t="s">
        <v>148</v>
      </c>
      <c r="P388" s="80">
        <v>2018.0</v>
      </c>
      <c r="Q388" s="80" t="s">
        <v>860</v>
      </c>
      <c r="R388" s="106" t="s">
        <v>861</v>
      </c>
      <c r="S388" s="108" t="s">
        <v>1827</v>
      </c>
      <c r="T388" s="110" t="s">
        <v>96</v>
      </c>
      <c r="U388" s="110">
        <v>2.5</v>
      </c>
      <c r="V388" s="112">
        <v>0.0</v>
      </c>
      <c r="W388" s="112"/>
      <c r="X388" s="112"/>
      <c r="Y388" s="112"/>
    </row>
    <row r="389" ht="24.0" customHeight="1" outlineLevel="1">
      <c r="A389" s="95">
        <f t="shared" si="14"/>
        <v>41</v>
      </c>
      <c r="B389" s="115" t="s">
        <v>1828</v>
      </c>
      <c r="C389" s="86" t="s">
        <v>1829</v>
      </c>
      <c r="D389" s="95"/>
      <c r="E389" s="95"/>
      <c r="F389" s="95" t="s">
        <v>79</v>
      </c>
      <c r="G389" s="86" t="s">
        <v>788</v>
      </c>
      <c r="H389" s="80"/>
      <c r="I389" s="217" t="s">
        <v>836</v>
      </c>
      <c r="J389" s="99" t="s">
        <v>1830</v>
      </c>
      <c r="K389" s="80" t="str">
        <f>IF(COUNTIF('TT BTSC'!$D:$D,B389)&gt;0,"Hư hỏng","Bình thường")</f>
        <v>Bình thường</v>
      </c>
      <c r="L389" s="106"/>
      <c r="M389" s="129" t="s">
        <v>1831</v>
      </c>
      <c r="N389" s="106" t="s">
        <v>454</v>
      </c>
      <c r="O389" s="108" t="s">
        <v>84</v>
      </c>
      <c r="P389" s="80">
        <v>2013.0</v>
      </c>
      <c r="Q389" s="80" t="s">
        <v>791</v>
      </c>
      <c r="R389" s="106" t="s">
        <v>792</v>
      </c>
      <c r="S389" s="108">
        <v>57652.0</v>
      </c>
      <c r="T389" s="110" t="s">
        <v>96</v>
      </c>
      <c r="U389" s="110"/>
      <c r="V389" s="112"/>
      <c r="W389" s="112"/>
      <c r="X389" s="112"/>
      <c r="Y389" s="112"/>
    </row>
    <row r="390" ht="19.5" customHeight="1" outlineLevel="1">
      <c r="A390" s="95">
        <f t="shared" si="14"/>
        <v>42</v>
      </c>
      <c r="B390" s="115" t="s">
        <v>1832</v>
      </c>
      <c r="C390" s="86" t="s">
        <v>1833</v>
      </c>
      <c r="D390" s="95" t="str">
        <f>IFERROR(VLOOKUP(C390,' 02.1 KLH-CN MÃ BRAVO MM'!$B:$C,2,0),"")</f>
        <v>A23-MKE-009</v>
      </c>
      <c r="E390" s="95"/>
      <c r="F390" s="95" t="s">
        <v>154</v>
      </c>
      <c r="G390" s="115" t="s">
        <v>782</v>
      </c>
      <c r="H390" s="80" t="str">
        <f>VLOOKUP(G390,'01. TH'!$B:$E,3,0)</f>
        <v>4780 x 2550 x 3000</v>
      </c>
      <c r="I390" s="217" t="s">
        <v>836</v>
      </c>
      <c r="J390" s="116">
        <v>45540.0</v>
      </c>
      <c r="K390" s="80" t="s">
        <v>1027</v>
      </c>
      <c r="L390" s="119"/>
      <c r="M390" s="155" t="s">
        <v>1834</v>
      </c>
      <c r="N390" s="106" t="s">
        <v>689</v>
      </c>
      <c r="O390" s="108" t="s">
        <v>690</v>
      </c>
      <c r="P390" s="95">
        <v>2022.0</v>
      </c>
      <c r="Q390" s="95" t="s">
        <v>783</v>
      </c>
      <c r="R390" s="95" t="s">
        <v>549</v>
      </c>
      <c r="S390" s="110" t="s">
        <v>1835</v>
      </c>
      <c r="T390" s="110" t="s">
        <v>1836</v>
      </c>
      <c r="U390" s="110">
        <v>14.0</v>
      </c>
      <c r="V390" s="112">
        <v>300.0</v>
      </c>
      <c r="W390" s="112"/>
      <c r="X390" s="112"/>
      <c r="Y390" s="112"/>
    </row>
    <row r="391" ht="13.5" customHeight="1" outlineLevel="1">
      <c r="A391" s="95">
        <f t="shared" si="14"/>
        <v>43</v>
      </c>
      <c r="B391" s="115" t="s">
        <v>1837</v>
      </c>
      <c r="C391" s="115" t="s">
        <v>1754</v>
      </c>
      <c r="D391" s="95" t="s">
        <v>1838</v>
      </c>
      <c r="E391" s="9"/>
      <c r="F391" s="95" t="s">
        <v>154</v>
      </c>
      <c r="G391" s="115" t="s">
        <v>1781</v>
      </c>
      <c r="H391" s="80"/>
      <c r="I391" s="217" t="s">
        <v>836</v>
      </c>
      <c r="J391" s="95" t="s">
        <v>1782</v>
      </c>
      <c r="K391" s="80" t="str">
        <f>IF(COUNTIF('TT BTSC'!$D:$D,B391)&gt;0,"Hư hỏng","Bình thường")</f>
        <v>Bình thường</v>
      </c>
      <c r="L391" s="117"/>
      <c r="M391" s="118" t="s">
        <v>890</v>
      </c>
      <c r="N391" s="106" t="s">
        <v>739</v>
      </c>
      <c r="O391" s="110" t="s">
        <v>1415</v>
      </c>
      <c r="P391" s="95">
        <v>2026.0</v>
      </c>
      <c r="Q391" s="95" t="s">
        <v>1729</v>
      </c>
      <c r="R391" s="95" t="s">
        <v>1784</v>
      </c>
      <c r="S391" s="110" t="s">
        <v>1839</v>
      </c>
      <c r="T391" s="110" t="s">
        <v>1840</v>
      </c>
      <c r="U391" s="110"/>
      <c r="V391" s="112"/>
      <c r="W391" s="112"/>
      <c r="X391" s="112"/>
      <c r="Y391" s="112"/>
    </row>
    <row r="392" ht="13.5" customHeight="1" outlineLevel="1">
      <c r="A392" s="95">
        <f t="shared" si="14"/>
        <v>44</v>
      </c>
      <c r="B392" s="115" t="s">
        <v>1841</v>
      </c>
      <c r="C392" s="115" t="s">
        <v>1754</v>
      </c>
      <c r="D392" s="95" t="s">
        <v>1842</v>
      </c>
      <c r="E392" s="9"/>
      <c r="F392" s="95" t="s">
        <v>154</v>
      </c>
      <c r="G392" s="115" t="s">
        <v>1781</v>
      </c>
      <c r="H392" s="80"/>
      <c r="I392" s="217" t="s">
        <v>836</v>
      </c>
      <c r="J392" s="95" t="s">
        <v>1782</v>
      </c>
      <c r="K392" s="80" t="str">
        <f>IF(COUNTIF('TT BTSC'!$D:$D,B392)&gt;0,"Hư hỏng","Bình thường")</f>
        <v>Bình thường</v>
      </c>
      <c r="L392" s="117"/>
      <c r="M392" s="118" t="s">
        <v>890</v>
      </c>
      <c r="N392" s="106" t="s">
        <v>739</v>
      </c>
      <c r="O392" s="110" t="s">
        <v>1415</v>
      </c>
      <c r="P392" s="95">
        <v>2026.0</v>
      </c>
      <c r="Q392" s="95" t="s">
        <v>1729</v>
      </c>
      <c r="R392" s="95" t="s">
        <v>1784</v>
      </c>
      <c r="S392" s="110" t="s">
        <v>1843</v>
      </c>
      <c r="T392" s="110" t="s">
        <v>1844</v>
      </c>
      <c r="U392" s="110"/>
      <c r="V392" s="112"/>
      <c r="W392" s="112"/>
      <c r="X392" s="112"/>
      <c r="Y392" s="112"/>
    </row>
    <row r="393" ht="13.5" customHeight="1" outlineLevel="1">
      <c r="A393" s="95">
        <f t="shared" si="14"/>
        <v>45</v>
      </c>
      <c r="B393" s="115" t="s">
        <v>1846</v>
      </c>
      <c r="C393" s="115" t="s">
        <v>1754</v>
      </c>
      <c r="D393" s="95" t="s">
        <v>1847</v>
      </c>
      <c r="E393" s="9"/>
      <c r="F393" s="95" t="s">
        <v>154</v>
      </c>
      <c r="G393" s="115" t="s">
        <v>1815</v>
      </c>
      <c r="H393" s="80"/>
      <c r="I393" s="217" t="s">
        <v>836</v>
      </c>
      <c r="J393" s="95" t="s">
        <v>1782</v>
      </c>
      <c r="K393" s="80" t="str">
        <f>IF(COUNTIF('TT BTSC'!$D:$D,B393)&gt;0,"Hư hỏng","Bình thường")</f>
        <v>Bình thường</v>
      </c>
      <c r="L393" s="117"/>
      <c r="M393" s="118" t="s">
        <v>890</v>
      </c>
      <c r="N393" s="106" t="s">
        <v>739</v>
      </c>
      <c r="O393" s="110" t="s">
        <v>1415</v>
      </c>
      <c r="P393" s="95">
        <v>2026.0</v>
      </c>
      <c r="Q393" s="95" t="s">
        <v>1818</v>
      </c>
      <c r="R393" s="95" t="s">
        <v>1819</v>
      </c>
      <c r="S393" s="110" t="s">
        <v>1849</v>
      </c>
      <c r="T393" s="110" t="s">
        <v>1850</v>
      </c>
      <c r="U393" s="110"/>
      <c r="V393" s="112"/>
      <c r="W393" s="112"/>
      <c r="X393" s="112"/>
      <c r="Y393" s="112"/>
    </row>
    <row r="394" ht="13.5" customHeight="1" outlineLevel="1">
      <c r="A394" s="95">
        <f t="shared" si="14"/>
        <v>46</v>
      </c>
      <c r="B394" s="115" t="s">
        <v>1851</v>
      </c>
      <c r="C394" s="115" t="s">
        <v>1754</v>
      </c>
      <c r="D394" s="95" t="s">
        <v>1852</v>
      </c>
      <c r="E394" s="9"/>
      <c r="F394" s="95" t="s">
        <v>154</v>
      </c>
      <c r="G394" s="115" t="s">
        <v>1815</v>
      </c>
      <c r="H394" s="80"/>
      <c r="I394" s="217" t="s">
        <v>836</v>
      </c>
      <c r="J394" s="95" t="s">
        <v>1782</v>
      </c>
      <c r="K394" s="80" t="str">
        <f>IF(COUNTIF('TT BTSC'!$D:$D,B394)&gt;0,"Hư hỏng","Bình thường")</f>
        <v>Bình thường</v>
      </c>
      <c r="L394" s="117"/>
      <c r="M394" s="118" t="s">
        <v>890</v>
      </c>
      <c r="N394" s="106" t="s">
        <v>739</v>
      </c>
      <c r="O394" s="110" t="s">
        <v>1415</v>
      </c>
      <c r="P394" s="95">
        <v>2026.0</v>
      </c>
      <c r="Q394" s="95" t="s">
        <v>1818</v>
      </c>
      <c r="R394" s="95" t="s">
        <v>1819</v>
      </c>
      <c r="S394" s="110" t="s">
        <v>1853</v>
      </c>
      <c r="T394" s="110" t="s">
        <v>1854</v>
      </c>
      <c r="U394" s="110"/>
      <c r="V394" s="112"/>
      <c r="W394" s="112"/>
      <c r="X394" s="112"/>
      <c r="Y394" s="112"/>
    </row>
    <row r="395" ht="13.5" customHeight="1" outlineLevel="1">
      <c r="A395" s="95">
        <f t="shared" si="14"/>
        <v>47</v>
      </c>
      <c r="B395" s="115" t="s">
        <v>1855</v>
      </c>
      <c r="C395" s="115" t="s">
        <v>1754</v>
      </c>
      <c r="D395" s="95" t="s">
        <v>1856</v>
      </c>
      <c r="E395" s="9"/>
      <c r="F395" s="95" t="s">
        <v>154</v>
      </c>
      <c r="G395" s="115" t="s">
        <v>1815</v>
      </c>
      <c r="H395" s="80"/>
      <c r="I395" s="217" t="s">
        <v>836</v>
      </c>
      <c r="J395" s="95" t="s">
        <v>1782</v>
      </c>
      <c r="K395" s="80" t="str">
        <f>IF(COUNTIF('TT BTSC'!$D:$D,B395)&gt;0,"Hư hỏng","Bình thường")</f>
        <v>Bình thường</v>
      </c>
      <c r="L395" s="117"/>
      <c r="M395" s="118" t="s">
        <v>890</v>
      </c>
      <c r="N395" s="106" t="s">
        <v>739</v>
      </c>
      <c r="O395" s="110" t="s">
        <v>1415</v>
      </c>
      <c r="P395" s="95">
        <v>2026.0</v>
      </c>
      <c r="Q395" s="95" t="s">
        <v>1818</v>
      </c>
      <c r="R395" s="95" t="s">
        <v>1819</v>
      </c>
      <c r="S395" s="110" t="s">
        <v>1857</v>
      </c>
      <c r="T395" s="110" t="s">
        <v>1858</v>
      </c>
      <c r="U395" s="110"/>
      <c r="V395" s="112"/>
      <c r="W395" s="112"/>
      <c r="X395" s="112"/>
      <c r="Y395" s="112"/>
    </row>
    <row r="396" ht="13.5" customHeight="1" outlineLevel="1">
      <c r="A396" s="95">
        <f t="shared" si="14"/>
        <v>48</v>
      </c>
      <c r="B396" s="115" t="s">
        <v>1859</v>
      </c>
      <c r="C396" s="115" t="s">
        <v>1754</v>
      </c>
      <c r="D396" s="95" t="s">
        <v>1860</v>
      </c>
      <c r="E396" s="9"/>
      <c r="F396" s="95" t="s">
        <v>154</v>
      </c>
      <c r="G396" s="115" t="s">
        <v>1861</v>
      </c>
      <c r="H396" s="80"/>
      <c r="I396" s="217" t="s">
        <v>836</v>
      </c>
      <c r="J396" s="95" t="s">
        <v>1782</v>
      </c>
      <c r="K396" s="80" t="str">
        <f>IF(COUNTIF('TT BTSC'!$D:$D,B396)&gt;0,"Hư hỏng","Bình thường")</f>
        <v>Bình thường</v>
      </c>
      <c r="L396" s="117"/>
      <c r="M396" s="118" t="s">
        <v>890</v>
      </c>
      <c r="N396" s="106" t="s">
        <v>739</v>
      </c>
      <c r="O396" s="110" t="s">
        <v>1415</v>
      </c>
      <c r="P396" s="95">
        <v>2026.0</v>
      </c>
      <c r="Q396" s="95" t="s">
        <v>1862</v>
      </c>
      <c r="R396" s="95" t="s">
        <v>1863</v>
      </c>
      <c r="S396" s="110" t="s">
        <v>1864</v>
      </c>
      <c r="T396" s="110" t="s">
        <v>1865</v>
      </c>
      <c r="U396" s="110"/>
      <c r="V396" s="112"/>
      <c r="W396" s="112"/>
      <c r="X396" s="112"/>
      <c r="Y396" s="112"/>
    </row>
    <row r="397" ht="13.5" customHeight="1" outlineLevel="1">
      <c r="A397" s="95">
        <f t="shared" si="14"/>
        <v>49</v>
      </c>
      <c r="B397" s="115" t="s">
        <v>1866</v>
      </c>
      <c r="C397" s="115" t="s">
        <v>1754</v>
      </c>
      <c r="D397" s="95" t="s">
        <v>1867</v>
      </c>
      <c r="E397" s="9"/>
      <c r="F397" s="95" t="s">
        <v>154</v>
      </c>
      <c r="G397" s="115" t="s">
        <v>1861</v>
      </c>
      <c r="H397" s="80"/>
      <c r="I397" s="217" t="s">
        <v>836</v>
      </c>
      <c r="J397" s="95" t="s">
        <v>1782</v>
      </c>
      <c r="K397" s="80" t="str">
        <f>IF(COUNTIF('TT BTSC'!$D:$D,B397)&gt;0,"Hư hỏng","Bình thường")</f>
        <v>Bình thường</v>
      </c>
      <c r="L397" s="117"/>
      <c r="M397" s="118" t="s">
        <v>890</v>
      </c>
      <c r="N397" s="106" t="s">
        <v>739</v>
      </c>
      <c r="O397" s="110" t="s">
        <v>1415</v>
      </c>
      <c r="P397" s="95">
        <v>2026.0</v>
      </c>
      <c r="Q397" s="95" t="s">
        <v>1862</v>
      </c>
      <c r="R397" s="95" t="s">
        <v>1863</v>
      </c>
      <c r="S397" s="110" t="s">
        <v>1868</v>
      </c>
      <c r="T397" s="110" t="s">
        <v>1869</v>
      </c>
      <c r="U397" s="110"/>
      <c r="V397" s="112"/>
      <c r="W397" s="112"/>
      <c r="X397" s="112"/>
      <c r="Y397" s="112"/>
    </row>
    <row r="398" ht="13.5" customHeight="1" outlineLevel="1">
      <c r="A398" s="95">
        <f t="shared" si="14"/>
        <v>50</v>
      </c>
      <c r="B398" s="115" t="s">
        <v>1870</v>
      </c>
      <c r="C398" s="115" t="s">
        <v>1754</v>
      </c>
      <c r="D398" s="95" t="s">
        <v>1871</v>
      </c>
      <c r="E398" s="9"/>
      <c r="F398" s="95" t="s">
        <v>154</v>
      </c>
      <c r="G398" s="115" t="s">
        <v>1861</v>
      </c>
      <c r="H398" s="80"/>
      <c r="I398" s="217" t="s">
        <v>836</v>
      </c>
      <c r="J398" s="95" t="s">
        <v>1782</v>
      </c>
      <c r="K398" s="80" t="str">
        <f>IF(COUNTIF('TT BTSC'!$D:$D,B398)&gt;0,"Hư hỏng","Bình thường")</f>
        <v>Bình thường</v>
      </c>
      <c r="L398" s="117"/>
      <c r="M398" s="118" t="s">
        <v>890</v>
      </c>
      <c r="N398" s="106" t="s">
        <v>739</v>
      </c>
      <c r="O398" s="110" t="s">
        <v>1415</v>
      </c>
      <c r="P398" s="95">
        <v>2026.0</v>
      </c>
      <c r="Q398" s="95" t="s">
        <v>1862</v>
      </c>
      <c r="R398" s="95" t="s">
        <v>1863</v>
      </c>
      <c r="S398" s="110" t="s">
        <v>1872</v>
      </c>
      <c r="T398" s="110" t="s">
        <v>1873</v>
      </c>
      <c r="U398" s="110"/>
      <c r="V398" s="112"/>
      <c r="W398" s="112"/>
      <c r="X398" s="112"/>
      <c r="Y398" s="112"/>
    </row>
    <row r="399" ht="13.5" customHeight="1" outlineLevel="1">
      <c r="A399" s="95">
        <f t="shared" si="14"/>
        <v>51</v>
      </c>
      <c r="B399" s="115" t="s">
        <v>1874</v>
      </c>
      <c r="C399" s="115" t="s">
        <v>1754</v>
      </c>
      <c r="D399" s="95" t="s">
        <v>1875</v>
      </c>
      <c r="E399" s="9"/>
      <c r="F399" s="95" t="s">
        <v>154</v>
      </c>
      <c r="G399" s="115" t="s">
        <v>1876</v>
      </c>
      <c r="H399" s="80" t="str">
        <f>VLOOKUP(G399,'01. TH'!$B:$E,3,0)</f>
        <v/>
      </c>
      <c r="I399" s="217" t="s">
        <v>836</v>
      </c>
      <c r="J399" s="95" t="s">
        <v>1877</v>
      </c>
      <c r="K399" s="80" t="str">
        <f>IF(COUNTIF('TT BTSC'!$D:$D,B399)&gt;0,"Hư hỏng","Bình thường")</f>
        <v>Bình thường</v>
      </c>
      <c r="L399" s="117"/>
      <c r="M399" s="118"/>
      <c r="N399" s="95" t="s">
        <v>739</v>
      </c>
      <c r="O399" s="110" t="s">
        <v>1415</v>
      </c>
      <c r="P399" s="95">
        <v>2025.0</v>
      </c>
      <c r="Q399" s="95" t="s">
        <v>1878</v>
      </c>
      <c r="R399" s="95" t="s">
        <v>1879</v>
      </c>
      <c r="S399" s="110" t="s">
        <v>1880</v>
      </c>
      <c r="T399" s="110" t="s">
        <v>1881</v>
      </c>
      <c r="U399" s="110"/>
      <c r="V399" s="112">
        <v>0.0</v>
      </c>
      <c r="W399" s="112"/>
      <c r="X399" s="112"/>
      <c r="Y399" s="112"/>
    </row>
    <row r="400" ht="13.5" customHeight="1" outlineLevel="1">
      <c r="A400" s="95">
        <f t="shared" si="14"/>
        <v>52</v>
      </c>
      <c r="B400" s="115" t="s">
        <v>1882</v>
      </c>
      <c r="C400" s="115" t="s">
        <v>1883</v>
      </c>
      <c r="D400" s="95" t="s">
        <v>1884</v>
      </c>
      <c r="E400" s="9"/>
      <c r="F400" s="9" t="s">
        <v>139</v>
      </c>
      <c r="G400" s="115" t="s">
        <v>1885</v>
      </c>
      <c r="H400" s="80" t="str">
        <f>VLOOKUP(G400,'01. TH'!$B:$E,3,0)</f>
        <v>6800 x 3200 x 3400</v>
      </c>
      <c r="I400" s="217" t="s">
        <v>836</v>
      </c>
      <c r="J400" s="95" t="s">
        <v>1756</v>
      </c>
      <c r="K400" s="80" t="str">
        <f>IF(COUNTIF('TT BTSC'!$D:$D,B400)&gt;0,"Hư hỏng","Bình thường")</f>
        <v>Bình thường</v>
      </c>
      <c r="L400" s="117"/>
      <c r="M400" s="118"/>
      <c r="N400" s="95" t="s">
        <v>1887</v>
      </c>
      <c r="O400" s="110" t="s">
        <v>148</v>
      </c>
      <c r="P400" s="95"/>
      <c r="Q400" s="95" t="s">
        <v>1888</v>
      </c>
      <c r="R400" s="95" t="s">
        <v>215</v>
      </c>
      <c r="S400" s="110" t="s">
        <v>1889</v>
      </c>
      <c r="T400" s="110" t="s">
        <v>1890</v>
      </c>
      <c r="U400" s="110"/>
      <c r="V400" s="112">
        <v>0.0</v>
      </c>
      <c r="W400" s="112"/>
      <c r="X400" s="112"/>
      <c r="Y400" s="112"/>
    </row>
    <row r="401" ht="13.5" customHeight="1" outlineLevel="1">
      <c r="A401" s="95">
        <f t="shared" si="14"/>
        <v>53</v>
      </c>
      <c r="B401" s="115" t="s">
        <v>1891</v>
      </c>
      <c r="C401" s="115" t="s">
        <v>1754</v>
      </c>
      <c r="D401" s="95" t="s">
        <v>1892</v>
      </c>
      <c r="E401" s="9"/>
      <c r="F401" s="95" t="s">
        <v>154</v>
      </c>
      <c r="G401" s="115" t="s">
        <v>1893</v>
      </c>
      <c r="H401" s="80" t="str">
        <f>VLOOKUP(G401,'01. TH'!$B:$E,3,0)</f>
        <v/>
      </c>
      <c r="I401" s="217" t="s">
        <v>836</v>
      </c>
      <c r="J401" s="95" t="s">
        <v>1894</v>
      </c>
      <c r="K401" s="80" t="str">
        <f>IF(COUNTIF('TT BTSC'!$D:$D,B401)&gt;0,"Hư hỏng","Bình thường")</f>
        <v>Bình thường</v>
      </c>
      <c r="L401" s="117"/>
      <c r="M401" s="118"/>
      <c r="N401" s="95" t="s">
        <v>739</v>
      </c>
      <c r="O401" s="110" t="s">
        <v>260</v>
      </c>
      <c r="P401" s="95">
        <v>2025.0</v>
      </c>
      <c r="Q401" s="95" t="s">
        <v>1895</v>
      </c>
      <c r="R401" s="95" t="s">
        <v>682</v>
      </c>
      <c r="S401" s="110" t="s">
        <v>1896</v>
      </c>
      <c r="T401" s="110" t="s">
        <v>1897</v>
      </c>
      <c r="U401" s="110"/>
      <c r="V401" s="112"/>
      <c r="W401" s="112"/>
      <c r="X401" s="112"/>
      <c r="Y401" s="112"/>
    </row>
    <row r="402" ht="13.5" customHeight="1" outlineLevel="1">
      <c r="A402" s="95">
        <f t="shared" si="14"/>
        <v>54</v>
      </c>
      <c r="B402" s="115" t="s">
        <v>1898</v>
      </c>
      <c r="C402" s="115" t="s">
        <v>1883</v>
      </c>
      <c r="D402" s="95" t="s">
        <v>1899</v>
      </c>
      <c r="E402" s="9"/>
      <c r="F402" s="9" t="s">
        <v>139</v>
      </c>
      <c r="G402" s="115" t="s">
        <v>1900</v>
      </c>
      <c r="H402" s="80"/>
      <c r="I402" s="217" t="s">
        <v>836</v>
      </c>
      <c r="J402" s="95" t="s">
        <v>671</v>
      </c>
      <c r="K402" s="80" t="str">
        <f>IF(COUNTIF('TT BTSC'!$D:$D,B402)&gt;0,"Hư hỏng","Bình thường")</f>
        <v>Bình thường</v>
      </c>
      <c r="L402" s="117"/>
      <c r="N402" s="95" t="s">
        <v>1901</v>
      </c>
      <c r="O402" s="110" t="s">
        <v>648</v>
      </c>
      <c r="P402" s="95"/>
      <c r="Q402" s="95" t="s">
        <v>1902</v>
      </c>
      <c r="R402" s="95" t="s">
        <v>1903</v>
      </c>
      <c r="S402" s="110" t="s">
        <v>1904</v>
      </c>
      <c r="T402" s="110" t="s">
        <v>1905</v>
      </c>
      <c r="U402" s="110"/>
      <c r="V402" s="112"/>
      <c r="W402" s="112"/>
      <c r="X402" s="112"/>
      <c r="Y402" s="112"/>
    </row>
    <row r="403" ht="13.5" customHeight="1" outlineLevel="1">
      <c r="A403" s="95">
        <f t="shared" si="14"/>
        <v>55</v>
      </c>
      <c r="B403" s="115" t="s">
        <v>1906</v>
      </c>
      <c r="C403" s="115" t="s">
        <v>1883</v>
      </c>
      <c r="D403" s="95" t="s">
        <v>1907</v>
      </c>
      <c r="E403" s="9"/>
      <c r="F403" s="9" t="s">
        <v>139</v>
      </c>
      <c r="G403" s="115" t="s">
        <v>1908</v>
      </c>
      <c r="H403" s="80"/>
      <c r="I403" s="217" t="s">
        <v>836</v>
      </c>
      <c r="J403" s="95" t="s">
        <v>1909</v>
      </c>
      <c r="K403" s="80" t="str">
        <f>IF(COUNTIF('TT BTSC'!$D:$D,B403)&gt;0,"Hư hỏng","Bình thường")</f>
        <v>Bình thường</v>
      </c>
      <c r="L403" s="117"/>
      <c r="M403" s="118" t="s">
        <v>890</v>
      </c>
      <c r="N403" s="95" t="s">
        <v>673</v>
      </c>
      <c r="O403" s="110" t="s">
        <v>510</v>
      </c>
      <c r="P403" s="95"/>
      <c r="Q403" s="95" t="s">
        <v>1910</v>
      </c>
      <c r="R403" s="95" t="s">
        <v>1911</v>
      </c>
      <c r="S403" s="110">
        <v>1174.0</v>
      </c>
      <c r="T403" s="110">
        <v>8391.0</v>
      </c>
      <c r="U403" s="110"/>
      <c r="V403" s="112"/>
      <c r="W403" s="112"/>
      <c r="X403" s="112"/>
      <c r="Y403" s="112"/>
    </row>
    <row r="404" ht="13.5" customHeight="1" outlineLevel="1">
      <c r="A404" s="95">
        <f t="shared" si="14"/>
        <v>56</v>
      </c>
      <c r="B404" s="113" t="s">
        <v>1912</v>
      </c>
      <c r="C404" s="113" t="s">
        <v>1913</v>
      </c>
      <c r="D404" s="95" t="str">
        <f>IFERROR(VLOOKUP(B404,' 02.1 KLH-CN MÃ BRAVO MM'!$B:$C,2,0),"")</f>
        <v>ATT-A22-0194</v>
      </c>
      <c r="E404" s="9"/>
      <c r="F404" s="95" t="s">
        <v>79</v>
      </c>
      <c r="G404" s="115" t="s">
        <v>1783</v>
      </c>
      <c r="H404" s="80" t="str">
        <f>VLOOKUP(G404,'01. TH'!$B:$E,3,0)</f>
        <v/>
      </c>
      <c r="I404" s="95" t="s">
        <v>836</v>
      </c>
      <c r="J404" s="116"/>
      <c r="K404" s="80" t="str">
        <f>IF(COUNTIF('TT BTSC'!$D:$D,B404)&gt;0,"Hư hỏng","Bình thường")</f>
        <v>Bình thường</v>
      </c>
      <c r="L404" s="117"/>
      <c r="M404" s="118"/>
      <c r="N404" s="119" t="s">
        <v>1915</v>
      </c>
      <c r="O404" s="110" t="s">
        <v>883</v>
      </c>
      <c r="P404" s="95"/>
      <c r="Q404" s="95" t="s">
        <v>1916</v>
      </c>
      <c r="R404" s="119" t="s">
        <v>1917</v>
      </c>
      <c r="S404" s="110">
        <v>90516.0</v>
      </c>
      <c r="T404" s="110" t="s">
        <v>96</v>
      </c>
      <c r="U404" s="110">
        <v>11.0</v>
      </c>
      <c r="V404" s="112">
        <v>0.0</v>
      </c>
      <c r="W404" s="112"/>
      <c r="X404" s="112"/>
      <c r="Y404" s="112"/>
    </row>
    <row r="405" ht="13.5" customHeight="1" outlineLevel="1">
      <c r="A405" s="95">
        <f t="shared" si="14"/>
        <v>57</v>
      </c>
      <c r="B405" s="84" t="s">
        <v>1918</v>
      </c>
      <c r="C405" s="84" t="s">
        <v>1919</v>
      </c>
      <c r="D405" s="95" t="str">
        <f>IFERROR(VLOOKUP(B405,' 02.1 KLH-CN MÃ BRAVO MM'!$B:$C,2,0),"")</f>
        <v>A22-XXL-002</v>
      </c>
      <c r="E405" s="95"/>
      <c r="F405" s="95" t="s">
        <v>79</v>
      </c>
      <c r="G405" s="86" t="s">
        <v>1727</v>
      </c>
      <c r="H405" s="80" t="str">
        <f>VLOOKUP(G405,'01. TH'!$B:$E,3,0)</f>
        <v>8259 x 2935 x 3384</v>
      </c>
      <c r="I405" s="80" t="s">
        <v>836</v>
      </c>
      <c r="J405" s="99"/>
      <c r="K405" s="80" t="str">
        <f>IF(COUNTIF('TT BTSC'!$D:$D,B405)&gt;0,"Hư hỏng","Bình thường")</f>
        <v>Bình thường</v>
      </c>
      <c r="L405" s="106"/>
      <c r="M405" s="104"/>
      <c r="N405" s="106" t="s">
        <v>123</v>
      </c>
      <c r="O405" s="108" t="s">
        <v>84</v>
      </c>
      <c r="P405" s="80">
        <v>2020.0</v>
      </c>
      <c r="Q405" s="80" t="s">
        <v>1920</v>
      </c>
      <c r="R405" s="106" t="s">
        <v>1728</v>
      </c>
      <c r="S405" s="108">
        <v>50183.0</v>
      </c>
      <c r="T405" s="110" t="s">
        <v>96</v>
      </c>
      <c r="U405" s="110">
        <v>11.0</v>
      </c>
      <c r="V405" s="112">
        <v>300.0</v>
      </c>
      <c r="W405" s="112"/>
      <c r="X405" s="112"/>
      <c r="Y405" s="112"/>
    </row>
    <row r="406" ht="13.5" customHeight="1" outlineLevel="1">
      <c r="A406" s="95">
        <f t="shared" si="14"/>
        <v>58</v>
      </c>
      <c r="B406" s="113" t="s">
        <v>1921</v>
      </c>
      <c r="C406" s="113" t="s">
        <v>1922</v>
      </c>
      <c r="D406" s="95" t="str">
        <f>IFERROR(VLOOKUP(B406,' 02.1 KLH-CN MÃ BRAVO MM'!$B:$C,2,0),"")</f>
        <v>A22-XXL-004</v>
      </c>
      <c r="E406" s="95"/>
      <c r="F406" s="95" t="s">
        <v>79</v>
      </c>
      <c r="G406" s="115" t="s">
        <v>1695</v>
      </c>
      <c r="H406" s="80" t="str">
        <f>VLOOKUP(G406,'01. TH'!$B:$E,3,0)</f>
        <v>8020 x 2845 x 3375</v>
      </c>
      <c r="I406" s="95" t="s">
        <v>836</v>
      </c>
      <c r="J406" s="116">
        <v>44208.0</v>
      </c>
      <c r="K406" s="80" t="str">
        <f>IF(COUNTIF('TT BTSC'!$D:$D,B406)&gt;0,"Hư hỏng","Bình thường")</f>
        <v>Bình thường</v>
      </c>
      <c r="L406" s="119"/>
      <c r="M406" s="118"/>
      <c r="N406" s="119" t="s">
        <v>123</v>
      </c>
      <c r="O406" s="110" t="s">
        <v>84</v>
      </c>
      <c r="P406" s="95">
        <v>2020.0</v>
      </c>
      <c r="Q406" s="95" t="s">
        <v>1923</v>
      </c>
      <c r="R406" s="95" t="s">
        <v>1924</v>
      </c>
      <c r="S406" s="110">
        <v>50100.0</v>
      </c>
      <c r="T406" s="110">
        <v>18033.0</v>
      </c>
      <c r="U406" s="110">
        <v>14.25</v>
      </c>
      <c r="V406" s="112">
        <v>287.0</v>
      </c>
      <c r="W406" s="112"/>
      <c r="X406" s="112"/>
      <c r="Y406" s="112"/>
    </row>
    <row r="407" ht="13.5" customHeight="1" outlineLevel="1">
      <c r="A407" s="95">
        <f t="shared" si="14"/>
        <v>59</v>
      </c>
      <c r="B407" s="113" t="s">
        <v>1925</v>
      </c>
      <c r="C407" s="113" t="s">
        <v>1675</v>
      </c>
      <c r="D407" s="95" t="str">
        <f>IFERROR(VLOOKUP(B407,' 02.1 KLH-CN MÃ BRAVO MM'!$B:$C,2,0),"")</f>
        <v>ATM-A22-0127</v>
      </c>
      <c r="E407" s="95"/>
      <c r="F407" s="95" t="s">
        <v>79</v>
      </c>
      <c r="G407" s="115" t="s">
        <v>1577</v>
      </c>
      <c r="H407" s="80" t="str">
        <f>VLOOKUP(G407,'01. TH'!$B:$E,3,0)</f>
        <v>3830 x 1810 x 1920</v>
      </c>
      <c r="I407" s="95" t="s">
        <v>836</v>
      </c>
      <c r="J407" s="116">
        <v>45292.0</v>
      </c>
      <c r="K407" s="80" t="str">
        <f>IF(COUNTIF('TT BTSC'!$D:$D,B407)&gt;0,"Hư hỏng","Bình thường")</f>
        <v>Bình thường</v>
      </c>
      <c r="L407" s="117">
        <v>0.98</v>
      </c>
      <c r="M407" s="118"/>
      <c r="N407" s="119" t="s">
        <v>1926</v>
      </c>
      <c r="O407" s="110" t="s">
        <v>1927</v>
      </c>
      <c r="P407" s="95">
        <v>2018.0</v>
      </c>
      <c r="Q407" s="95" t="s">
        <v>1928</v>
      </c>
      <c r="R407" s="119" t="s">
        <v>262</v>
      </c>
      <c r="S407" s="110" t="s">
        <v>1929</v>
      </c>
      <c r="T407" s="110" t="s">
        <v>1930</v>
      </c>
      <c r="U407" s="110"/>
      <c r="V407" s="112">
        <v>0.0</v>
      </c>
      <c r="W407" s="112"/>
      <c r="X407" s="112"/>
      <c r="Y407" s="112"/>
    </row>
    <row r="408" ht="13.5" customHeight="1" outlineLevel="1">
      <c r="A408" s="95">
        <f t="shared" si="14"/>
        <v>60</v>
      </c>
      <c r="B408" s="84" t="s">
        <v>1931</v>
      </c>
      <c r="C408" s="84" t="s">
        <v>1675</v>
      </c>
      <c r="D408" s="95" t="str">
        <f>IFERROR(VLOOKUP(B408,' 02.1 KLH-CN MÃ BRAVO MM'!$B:$C,2,0),"")</f>
        <v>ATM-A22-0120</v>
      </c>
      <c r="E408" s="95"/>
      <c r="F408" s="95" t="s">
        <v>154</v>
      </c>
      <c r="G408" s="86" t="s">
        <v>1434</v>
      </c>
      <c r="H408" s="80" t="str">
        <f>VLOOKUP(G408,'01. TH'!$B:$E,3,0)</f>
        <v/>
      </c>
      <c r="I408" s="80" t="s">
        <v>836</v>
      </c>
      <c r="J408" s="99" t="s">
        <v>1932</v>
      </c>
      <c r="K408" s="80" t="str">
        <f>IF(COUNTIF('TT BTSC'!$D:$D,B408)&gt;0,"Hư hỏng","Bình thường")</f>
        <v>Bình thường</v>
      </c>
      <c r="L408" s="102">
        <v>0.97</v>
      </c>
      <c r="M408" s="104" t="s">
        <v>890</v>
      </c>
      <c r="N408" s="106" t="s">
        <v>1933</v>
      </c>
      <c r="O408" s="108" t="s">
        <v>883</v>
      </c>
      <c r="P408" s="80">
        <v>2023.0</v>
      </c>
      <c r="Q408" s="80" t="s">
        <v>1934</v>
      </c>
      <c r="R408" s="80" t="s">
        <v>504</v>
      </c>
      <c r="S408" s="108" t="s">
        <v>1935</v>
      </c>
      <c r="T408" s="110" t="s">
        <v>1936</v>
      </c>
      <c r="U408" s="110">
        <v>7.0</v>
      </c>
      <c r="V408" s="112">
        <v>100.0</v>
      </c>
      <c r="W408" s="112"/>
      <c r="X408" s="112"/>
      <c r="Y408" s="112"/>
    </row>
    <row r="409" ht="13.5" customHeight="1" outlineLevel="1">
      <c r="A409" s="95">
        <f t="shared" si="14"/>
        <v>61</v>
      </c>
      <c r="B409" s="86" t="s">
        <v>1937</v>
      </c>
      <c r="C409" s="86" t="s">
        <v>1938</v>
      </c>
      <c r="D409" s="95" t="str">
        <f>IFERROR(VLOOKUP(B409,' 02.1 KLH-CN MÃ BRAVO MM'!$B:$C,2,0),"")</f>
        <v>ATT-A22-0324</v>
      </c>
      <c r="E409" s="95"/>
      <c r="F409" s="95" t="s">
        <v>154</v>
      </c>
      <c r="G409" s="86" t="s">
        <v>1396</v>
      </c>
      <c r="H409" s="80" t="str">
        <f>VLOOKUP(G409,'01. TH'!$B:$E,3,0)</f>
        <v/>
      </c>
      <c r="I409" s="80" t="s">
        <v>836</v>
      </c>
      <c r="J409" s="80" t="s">
        <v>1939</v>
      </c>
      <c r="K409" s="80" t="str">
        <f>IF(COUNTIF('TT BTSC'!$D:$D,B409)&gt;0,"Hư hỏng","Bình thường")</f>
        <v>Bình thường</v>
      </c>
      <c r="L409" s="102">
        <v>0.98</v>
      </c>
      <c r="M409" s="129" t="s">
        <v>336</v>
      </c>
      <c r="N409" s="95" t="s">
        <v>1940</v>
      </c>
      <c r="O409" s="108" t="s">
        <v>260</v>
      </c>
      <c r="P409" s="80">
        <v>2022.0</v>
      </c>
      <c r="Q409" s="80" t="s">
        <v>1941</v>
      </c>
      <c r="R409" s="80" t="s">
        <v>413</v>
      </c>
      <c r="S409" s="108" t="s">
        <v>1942</v>
      </c>
      <c r="T409" s="110" t="s">
        <v>1943</v>
      </c>
      <c r="U409" s="110">
        <v>12.0</v>
      </c>
      <c r="V409" s="112">
        <v>200.0</v>
      </c>
      <c r="W409" s="112"/>
      <c r="X409" s="112"/>
      <c r="Y409" s="112"/>
    </row>
    <row r="410" ht="13.5" customHeight="1" outlineLevel="1">
      <c r="A410" s="95">
        <f t="shared" si="14"/>
        <v>62</v>
      </c>
      <c r="B410" s="86" t="s">
        <v>1944</v>
      </c>
      <c r="C410" s="115" t="s">
        <v>1938</v>
      </c>
      <c r="D410" s="95" t="str">
        <f>IFERROR(VLOOKUP(B410,' 02.1 KLH-CN MÃ BRAVO MM'!$B:$C,2,0),"")</f>
        <v>A22-XXL-008</v>
      </c>
      <c r="E410" s="95"/>
      <c r="F410" s="95" t="s">
        <v>154</v>
      </c>
      <c r="G410" s="115" t="s">
        <v>1464</v>
      </c>
      <c r="H410" s="80" t="str">
        <f>VLOOKUP(G410,'01. TH'!$B:$E,3,0)</f>
        <v/>
      </c>
      <c r="I410" s="95" t="s">
        <v>836</v>
      </c>
      <c r="J410" s="116">
        <v>45633.0</v>
      </c>
      <c r="K410" s="80" t="str">
        <f>IF(COUNTIF('TT BTSC'!$D:$D,B410)&gt;0,"Hư hỏng","Bình thường")</f>
        <v>Bình thường</v>
      </c>
      <c r="L410" s="117">
        <v>0.99</v>
      </c>
      <c r="M410" s="155" t="s">
        <v>336</v>
      </c>
      <c r="N410" s="95" t="s">
        <v>1933</v>
      </c>
      <c r="O410" s="108" t="s">
        <v>260</v>
      </c>
      <c r="P410" s="95">
        <v>2024.0</v>
      </c>
      <c r="Q410" s="95" t="s">
        <v>1945</v>
      </c>
      <c r="R410" s="95" t="s">
        <v>1465</v>
      </c>
      <c r="S410" s="110" t="s">
        <v>1946</v>
      </c>
      <c r="T410" s="110" t="s">
        <v>1947</v>
      </c>
      <c r="U410" s="110">
        <v>7.0</v>
      </c>
      <c r="V410" s="112">
        <v>100.0</v>
      </c>
      <c r="W410" s="112"/>
      <c r="X410" s="112"/>
      <c r="Y410" s="112"/>
    </row>
    <row r="411" ht="13.5" customHeight="1" outlineLevel="1">
      <c r="A411" s="95">
        <f t="shared" si="14"/>
        <v>63</v>
      </c>
      <c r="B411" s="86" t="s">
        <v>1948</v>
      </c>
      <c r="C411" s="115" t="s">
        <v>1938</v>
      </c>
      <c r="D411" s="95" t="s">
        <v>1949</v>
      </c>
      <c r="E411" s="95"/>
      <c r="F411" s="95" t="s">
        <v>154</v>
      </c>
      <c r="G411" s="115" t="s">
        <v>1540</v>
      </c>
      <c r="H411" s="80" t="str">
        <f>VLOOKUP(G411,'01. TH'!$B:$E,3,0)</f>
        <v/>
      </c>
      <c r="I411" s="95" t="s">
        <v>836</v>
      </c>
      <c r="J411" s="116" t="s">
        <v>1950</v>
      </c>
      <c r="K411" s="80" t="str">
        <f>IF(COUNTIF('TT BTSC'!$D:$D,B411)&gt;0,"Hư hỏng","Bình thường")</f>
        <v>Bình thường</v>
      </c>
      <c r="L411" s="117"/>
      <c r="M411" s="155" t="s">
        <v>336</v>
      </c>
      <c r="N411" s="95" t="s">
        <v>1933</v>
      </c>
      <c r="O411" s="110" t="s">
        <v>260</v>
      </c>
      <c r="P411" s="95">
        <v>2024.0</v>
      </c>
      <c r="Q411" s="95" t="s">
        <v>1951</v>
      </c>
      <c r="R411" s="95" t="s">
        <v>1465</v>
      </c>
      <c r="S411" s="110" t="s">
        <v>1952</v>
      </c>
      <c r="T411" s="110" t="s">
        <v>1953</v>
      </c>
      <c r="U411" s="110">
        <v>7.0</v>
      </c>
      <c r="V411" s="112">
        <v>100.0</v>
      </c>
      <c r="W411" s="112"/>
      <c r="X411" s="112"/>
      <c r="Y411" s="112"/>
    </row>
    <row r="412" ht="13.5" customHeight="1" outlineLevel="1">
      <c r="A412" s="95">
        <f t="shared" si="14"/>
        <v>64</v>
      </c>
      <c r="B412" s="115" t="s">
        <v>1954</v>
      </c>
      <c r="C412" s="113"/>
      <c r="D412" s="95" t="s">
        <v>1955</v>
      </c>
      <c r="E412" s="95"/>
      <c r="F412" s="95" t="s">
        <v>154</v>
      </c>
      <c r="G412" s="115" t="s">
        <v>1505</v>
      </c>
      <c r="H412" s="80" t="str">
        <f>VLOOKUP(G412,'01. TH'!$B:$E,3,0)</f>
        <v/>
      </c>
      <c r="I412" s="95" t="s">
        <v>836</v>
      </c>
      <c r="J412" s="116">
        <v>45717.0</v>
      </c>
      <c r="K412" s="80" t="str">
        <f>IF(COUNTIF('TT BTSC'!$D:$D,B412)&gt;0,"Hư hỏng","Bình thường")</f>
        <v>Bình thường</v>
      </c>
      <c r="L412" s="119"/>
      <c r="M412" s="155" t="s">
        <v>336</v>
      </c>
      <c r="N412" s="95" t="s">
        <v>1933</v>
      </c>
      <c r="O412" s="110" t="s">
        <v>260</v>
      </c>
      <c r="P412" s="95">
        <v>2024.0</v>
      </c>
      <c r="Q412" s="95" t="s">
        <v>1956</v>
      </c>
      <c r="R412" s="95" t="s">
        <v>1465</v>
      </c>
      <c r="S412" s="110" t="s">
        <v>1957</v>
      </c>
      <c r="T412" s="110" t="s">
        <v>1958</v>
      </c>
      <c r="U412" s="110">
        <v>7.0</v>
      </c>
      <c r="V412" s="112">
        <v>100.0</v>
      </c>
      <c r="W412" s="112"/>
      <c r="X412" s="112"/>
      <c r="Y412" s="112"/>
    </row>
    <row r="413" ht="13.5" customHeight="1" outlineLevel="1">
      <c r="A413" s="95">
        <f t="shared" si="14"/>
        <v>65</v>
      </c>
      <c r="B413" s="115" t="s">
        <v>1959</v>
      </c>
      <c r="C413" s="113"/>
      <c r="D413" s="95" t="s">
        <v>1960</v>
      </c>
      <c r="E413" s="95"/>
      <c r="F413" s="95" t="s">
        <v>154</v>
      </c>
      <c r="G413" s="115" t="s">
        <v>1505</v>
      </c>
      <c r="H413" s="80" t="str">
        <f>VLOOKUP(G413,'01. TH'!$B:$E,3,0)</f>
        <v/>
      </c>
      <c r="I413" s="95" t="s">
        <v>836</v>
      </c>
      <c r="J413" s="116">
        <v>45717.0</v>
      </c>
      <c r="K413" s="80" t="str">
        <f>IF(COUNTIF('TT BTSC'!$D:$D,B413)&gt;0,"Hư hỏng","Bình thường")</f>
        <v>Bình thường</v>
      </c>
      <c r="L413" s="119"/>
      <c r="M413" s="155" t="s">
        <v>336</v>
      </c>
      <c r="N413" s="95" t="s">
        <v>1933</v>
      </c>
      <c r="O413" s="110" t="s">
        <v>260</v>
      </c>
      <c r="P413" s="95">
        <v>2024.0</v>
      </c>
      <c r="Q413" s="95" t="s">
        <v>1956</v>
      </c>
      <c r="R413" s="95" t="s">
        <v>1465</v>
      </c>
      <c r="S413" s="110" t="s">
        <v>1961</v>
      </c>
      <c r="T413" s="110" t="s">
        <v>1962</v>
      </c>
      <c r="U413" s="110">
        <v>7.0</v>
      </c>
      <c r="V413" s="112">
        <v>100.0</v>
      </c>
      <c r="W413" s="112"/>
      <c r="X413" s="112"/>
      <c r="Y413" s="112"/>
    </row>
    <row r="414" ht="13.5" customHeight="1" outlineLevel="1">
      <c r="A414" s="95">
        <f t="shared" si="14"/>
        <v>66</v>
      </c>
      <c r="B414" s="115" t="s">
        <v>1963</v>
      </c>
      <c r="C414" s="113"/>
      <c r="D414" s="95" t="s">
        <v>1964</v>
      </c>
      <c r="E414" s="95"/>
      <c r="F414" s="95" t="s">
        <v>154</v>
      </c>
      <c r="G414" s="115" t="s">
        <v>1605</v>
      </c>
      <c r="H414" s="80" t="str">
        <f>VLOOKUP(G414,'01. TH'!$B:$E,3,0)</f>
        <v/>
      </c>
      <c r="I414" s="95" t="s">
        <v>836</v>
      </c>
      <c r="J414" s="116">
        <v>45939.0</v>
      </c>
      <c r="K414" s="80" t="str">
        <f>IF(COUNTIF('TT BTSC'!$D:$D,B414)&gt;0,"Hư hỏng","Bình thường")</f>
        <v>Bình thường</v>
      </c>
      <c r="L414" s="119"/>
      <c r="M414" s="155" t="s">
        <v>336</v>
      </c>
      <c r="N414" s="95" t="s">
        <v>1940</v>
      </c>
      <c r="O414" s="110" t="s">
        <v>260</v>
      </c>
      <c r="P414" s="95">
        <v>2025.0</v>
      </c>
      <c r="Q414" s="95" t="s">
        <v>1965</v>
      </c>
      <c r="R414" s="95" t="s">
        <v>1606</v>
      </c>
      <c r="S414" s="110" t="s">
        <v>1966</v>
      </c>
      <c r="T414" s="110" t="s">
        <v>1967</v>
      </c>
      <c r="U414" s="110">
        <v>12.0</v>
      </c>
      <c r="V414" s="112">
        <v>200.0</v>
      </c>
      <c r="W414" s="112"/>
      <c r="X414" s="112"/>
      <c r="Y414" s="112"/>
    </row>
    <row r="415" ht="13.5" customHeight="1" outlineLevel="1">
      <c r="A415" s="95">
        <f t="shared" si="14"/>
        <v>67</v>
      </c>
      <c r="B415" s="115" t="s">
        <v>1968</v>
      </c>
      <c r="C415" s="113"/>
      <c r="D415" s="95" t="s">
        <v>1969</v>
      </c>
      <c r="E415" s="95"/>
      <c r="F415" s="95" t="s">
        <v>154</v>
      </c>
      <c r="G415" s="115" t="s">
        <v>1605</v>
      </c>
      <c r="H415" s="80" t="str">
        <f>VLOOKUP(G415,'01. TH'!$B:$E,3,0)</f>
        <v/>
      </c>
      <c r="I415" s="95" t="s">
        <v>836</v>
      </c>
      <c r="J415" s="116">
        <v>45939.0</v>
      </c>
      <c r="K415" s="80" t="str">
        <f>IF(COUNTIF('TT BTSC'!$D:$D,B415)&gt;0,"Hư hỏng","Bình thường")</f>
        <v>Bình thường</v>
      </c>
      <c r="L415" s="119"/>
      <c r="M415" s="155" t="s">
        <v>336</v>
      </c>
      <c r="N415" s="95" t="s">
        <v>1940</v>
      </c>
      <c r="O415" s="110" t="s">
        <v>260</v>
      </c>
      <c r="P415" s="95">
        <v>2025.0</v>
      </c>
      <c r="Q415" s="95" t="s">
        <v>1965</v>
      </c>
      <c r="R415" s="95" t="s">
        <v>1606</v>
      </c>
      <c r="S415" s="110" t="s">
        <v>1970</v>
      </c>
      <c r="T415" s="110" t="s">
        <v>1971</v>
      </c>
      <c r="U415" s="110">
        <v>12.0</v>
      </c>
      <c r="V415" s="112">
        <v>200.0</v>
      </c>
      <c r="W415" s="112"/>
      <c r="X415" s="112"/>
      <c r="Y415" s="112"/>
    </row>
    <row r="416" ht="13.5" customHeight="1" outlineLevel="1">
      <c r="A416" s="95">
        <f t="shared" si="14"/>
        <v>68</v>
      </c>
      <c r="B416" s="115" t="s">
        <v>1972</v>
      </c>
      <c r="C416" s="113"/>
      <c r="D416" s="95" t="s">
        <v>1973</v>
      </c>
      <c r="E416" s="95"/>
      <c r="F416" s="9" t="s">
        <v>139</v>
      </c>
      <c r="G416" s="115" t="s">
        <v>1649</v>
      </c>
      <c r="H416" s="80" t="str">
        <f>VLOOKUP(G416,'01. TH'!$B:$E,3,0)</f>
        <v/>
      </c>
      <c r="I416" s="95" t="s">
        <v>836</v>
      </c>
      <c r="J416" s="95" t="s">
        <v>1976</v>
      </c>
      <c r="K416" s="80" t="str">
        <f>IF(COUNTIF('TT BTSC'!$D:$D,B416)&gt;0,"Hư hỏng","Bình thường")</f>
        <v>Bình thường</v>
      </c>
      <c r="L416" s="119"/>
      <c r="M416" s="155" t="s">
        <v>1977</v>
      </c>
      <c r="N416" s="95" t="s">
        <v>1978</v>
      </c>
      <c r="O416" s="110" t="s">
        <v>662</v>
      </c>
      <c r="P416" s="95">
        <v>2007.0</v>
      </c>
      <c r="Q416" s="95" t="s">
        <v>1979</v>
      </c>
      <c r="R416" s="95" t="s">
        <v>101</v>
      </c>
      <c r="S416" s="110" t="s">
        <v>1980</v>
      </c>
      <c r="T416" s="110" t="s">
        <v>1981</v>
      </c>
      <c r="U416" s="110"/>
      <c r="V416" s="112">
        <v>0.0</v>
      </c>
      <c r="W416" s="112"/>
      <c r="X416" s="112"/>
      <c r="Y416" s="112"/>
    </row>
    <row r="417" ht="13.5" customHeight="1" outlineLevel="1">
      <c r="A417" s="95">
        <f t="shared" si="14"/>
        <v>69</v>
      </c>
      <c r="B417" s="115" t="s">
        <v>1982</v>
      </c>
      <c r="C417" s="113"/>
      <c r="D417" s="95" t="s">
        <v>1983</v>
      </c>
      <c r="E417" s="95"/>
      <c r="F417" s="9" t="s">
        <v>139</v>
      </c>
      <c r="G417" s="115" t="s">
        <v>1984</v>
      </c>
      <c r="H417" s="80" t="str">
        <f>VLOOKUP(G417,'01. TH'!$B:$E,3,0)</f>
        <v>#N/A</v>
      </c>
      <c r="I417" s="95" t="s">
        <v>836</v>
      </c>
      <c r="J417" s="116">
        <v>46002.0</v>
      </c>
      <c r="K417" s="80" t="str">
        <f>IF(COUNTIF('TT BTSC'!$D:$D,B417)&gt;0,"Hư hỏng","Bình thường")</f>
        <v>Bình thường</v>
      </c>
      <c r="L417" s="119"/>
      <c r="M417" s="155" t="s">
        <v>336</v>
      </c>
      <c r="N417" s="95" t="s">
        <v>1940</v>
      </c>
      <c r="O417" s="110" t="s">
        <v>260</v>
      </c>
      <c r="P417" s="95">
        <v>2025.0</v>
      </c>
      <c r="Q417" s="95" t="s">
        <v>1965</v>
      </c>
      <c r="R417" s="95" t="s">
        <v>1985</v>
      </c>
      <c r="S417" s="110" t="s">
        <v>1986</v>
      </c>
      <c r="T417" s="110" t="s">
        <v>1987</v>
      </c>
      <c r="U417" s="110"/>
      <c r="V417" s="112"/>
      <c r="W417" s="112"/>
      <c r="X417" s="112"/>
      <c r="Y417" s="112"/>
    </row>
    <row r="418" ht="13.5" customHeight="1" outlineLevel="1">
      <c r="A418" s="95">
        <f t="shared" si="14"/>
        <v>70</v>
      </c>
      <c r="B418" s="115" t="s">
        <v>1988</v>
      </c>
      <c r="C418" s="113"/>
      <c r="D418" s="95" t="s">
        <v>1989</v>
      </c>
      <c r="E418" s="95"/>
      <c r="F418" s="9" t="s">
        <v>139</v>
      </c>
      <c r="G418" s="115" t="s">
        <v>1290</v>
      </c>
      <c r="H418" s="80" t="str">
        <f>VLOOKUP(G418,'01. TH'!$B:$E,3,0)</f>
        <v/>
      </c>
      <c r="I418" s="95" t="s">
        <v>836</v>
      </c>
      <c r="J418" s="116">
        <v>46082.0</v>
      </c>
      <c r="K418" s="80" t="str">
        <f>IF(COUNTIF('TT BTSC'!$D:$D,B418)&gt;0,"Hư hỏng","Bình thường")</f>
        <v>Bình thường</v>
      </c>
      <c r="L418" s="119"/>
      <c r="M418" s="155" t="s">
        <v>336</v>
      </c>
      <c r="N418" s="95" t="s">
        <v>1990</v>
      </c>
      <c r="O418" s="110" t="s">
        <v>1991</v>
      </c>
      <c r="P418" s="95"/>
      <c r="Q418" s="95">
        <v>753.0</v>
      </c>
      <c r="R418" s="95" t="s">
        <v>1992</v>
      </c>
      <c r="S418" s="110">
        <v>5.11350401E8</v>
      </c>
      <c r="T418" s="110" t="s">
        <v>1993</v>
      </c>
      <c r="U418" s="110"/>
      <c r="V418" s="112"/>
      <c r="W418" s="112"/>
      <c r="X418" s="112"/>
      <c r="Y418" s="112"/>
    </row>
    <row r="419" ht="13.5" customHeight="1" outlineLevel="1">
      <c r="A419" s="95">
        <f t="shared" si="14"/>
        <v>71</v>
      </c>
      <c r="B419" s="115" t="s">
        <v>1994</v>
      </c>
      <c r="C419" s="113"/>
      <c r="D419" s="95" t="s">
        <v>1995</v>
      </c>
      <c r="E419" s="95"/>
      <c r="F419" s="9" t="s">
        <v>139</v>
      </c>
      <c r="G419" s="115" t="s">
        <v>1351</v>
      </c>
      <c r="H419" s="80" t="str">
        <f>VLOOKUP(G419,'01. TH'!$B:$E,3,0)</f>
        <v/>
      </c>
      <c r="I419" s="95" t="s">
        <v>836</v>
      </c>
      <c r="J419" s="116">
        <v>46082.0</v>
      </c>
      <c r="K419" s="80" t="str">
        <f>IF(COUNTIF('TT BTSC'!$D:$D,B419)&gt;0,"Hư hỏng","Bình thường")</f>
        <v>Bình thường</v>
      </c>
      <c r="L419" s="119"/>
      <c r="M419" s="155" t="s">
        <v>336</v>
      </c>
      <c r="N419" s="95" t="s">
        <v>1990</v>
      </c>
      <c r="O419" s="110" t="s">
        <v>1991</v>
      </c>
      <c r="P419" s="95"/>
      <c r="Q419" s="95">
        <v>763.0</v>
      </c>
      <c r="R419" s="95" t="s">
        <v>1996</v>
      </c>
      <c r="S419" s="110">
        <v>5.122157E8</v>
      </c>
      <c r="T419" s="110" t="s">
        <v>1997</v>
      </c>
      <c r="U419" s="110"/>
      <c r="V419" s="112"/>
      <c r="W419" s="112"/>
      <c r="X419" s="112"/>
      <c r="Y419" s="112"/>
    </row>
    <row r="420" ht="13.5" customHeight="1" outlineLevel="1">
      <c r="A420" s="95">
        <f t="shared" si="14"/>
        <v>72</v>
      </c>
      <c r="B420" s="113" t="s">
        <v>1998</v>
      </c>
      <c r="C420" s="113"/>
      <c r="D420" s="95" t="str">
        <f>IFERROR(VLOOKUP(B420,' 02.1 KLH-CN MÃ BRAVO MM'!$B:$C,2,0),"")</f>
        <v>ATT-A22-0055</v>
      </c>
      <c r="E420" s="95"/>
      <c r="F420" s="9" t="s">
        <v>79</v>
      </c>
      <c r="G420" s="115" t="s">
        <v>1346</v>
      </c>
      <c r="H420" s="80" t="str">
        <f>VLOOKUP(G420,'01. TH'!$B:$E,3,0)</f>
        <v>#N/A</v>
      </c>
      <c r="I420" s="95" t="s">
        <v>836</v>
      </c>
      <c r="J420" s="116"/>
      <c r="K420" s="80" t="str">
        <f>IF(COUNTIF('TT BTSC'!$D:$D,B420)&gt;0,"Hư hỏng","Bình thường")</f>
        <v>Bình thường</v>
      </c>
      <c r="L420" s="119"/>
      <c r="M420" s="118"/>
      <c r="N420" s="119" t="s">
        <v>123</v>
      </c>
      <c r="O420" s="110" t="s">
        <v>84</v>
      </c>
      <c r="P420" s="95">
        <v>2015.0</v>
      </c>
      <c r="Q420" s="95" t="s">
        <v>1999</v>
      </c>
      <c r="R420" s="119" t="s">
        <v>2000</v>
      </c>
      <c r="S420" s="110">
        <v>838092.0</v>
      </c>
      <c r="T420" s="110" t="s">
        <v>2001</v>
      </c>
      <c r="U420" s="110"/>
      <c r="V420" s="112">
        <v>0.0</v>
      </c>
      <c r="W420" s="112"/>
      <c r="X420" s="112"/>
      <c r="Y420" s="112"/>
    </row>
    <row r="421" ht="13.5" customHeight="1" outlineLevel="1">
      <c r="A421" s="95">
        <f t="shared" si="14"/>
        <v>73</v>
      </c>
      <c r="B421" s="84" t="s">
        <v>2002</v>
      </c>
      <c r="C421" s="84" t="s">
        <v>773</v>
      </c>
      <c r="D421" s="95" t="str">
        <f>IFERROR(VLOOKUP(B421,' 02.1 KLH-CN MÃ BRAVO MM'!$B:$C,2,0),"")</f>
        <v>ATT-A22-0305</v>
      </c>
      <c r="E421" s="95"/>
      <c r="F421" s="9" t="s">
        <v>79</v>
      </c>
      <c r="G421" s="86" t="s">
        <v>2004</v>
      </c>
      <c r="H421" s="80" t="str">
        <f>VLOOKUP(G421,'01. TH'!$B:$E,3,0)</f>
        <v/>
      </c>
      <c r="I421" s="80" t="s">
        <v>836</v>
      </c>
      <c r="J421" s="99" t="s">
        <v>1932</v>
      </c>
      <c r="K421" s="80" t="str">
        <f>IF(COUNTIF('TT BTSC'!$D:$D,B421)&gt;0,"Hư hỏng","Bình thường")</f>
        <v>Bình thường</v>
      </c>
      <c r="L421" s="102">
        <v>0.97</v>
      </c>
      <c r="M421" s="104" t="s">
        <v>2005</v>
      </c>
      <c r="N421" s="106" t="s">
        <v>123</v>
      </c>
      <c r="O421" s="108" t="s">
        <v>84</v>
      </c>
      <c r="P421" s="80">
        <v>2018.0</v>
      </c>
      <c r="Q421" s="80" t="s">
        <v>2006</v>
      </c>
      <c r="R421" s="106" t="s">
        <v>1145</v>
      </c>
      <c r="S421" s="108">
        <v>308754.0</v>
      </c>
      <c r="T421" s="110" t="s">
        <v>96</v>
      </c>
      <c r="U421" s="110">
        <v>2.0</v>
      </c>
      <c r="V421" s="112">
        <v>58.0</v>
      </c>
      <c r="W421" s="112"/>
      <c r="X421" s="112"/>
      <c r="Y421" s="112"/>
    </row>
    <row r="422" ht="13.5" customHeight="1" outlineLevel="1">
      <c r="A422" s="95">
        <f t="shared" si="14"/>
        <v>74</v>
      </c>
      <c r="B422" s="84" t="s">
        <v>2007</v>
      </c>
      <c r="C422" s="84"/>
      <c r="D422" s="95" t="str">
        <f>IFERROR(VLOOKUP(B422,' 02.1 KLH-CN MÃ BRAVO MM'!$B:$C,2,0),"")</f>
        <v>ATT-A22-0055</v>
      </c>
      <c r="E422" s="95"/>
      <c r="F422" s="9" t="s">
        <v>79</v>
      </c>
      <c r="G422" s="86" t="s">
        <v>889</v>
      </c>
      <c r="H422" s="80" t="str">
        <f>VLOOKUP(G422,'01. TH'!$B:$E,3,0)</f>
        <v/>
      </c>
      <c r="I422" s="80" t="s">
        <v>836</v>
      </c>
      <c r="J422" s="99"/>
      <c r="K422" s="80" t="str">
        <f>IF(COUNTIF('TT BTSC'!$D:$D,B422)&gt;0,"Hư hỏng","Bình thường")</f>
        <v>Bình thường</v>
      </c>
      <c r="L422" s="102"/>
      <c r="M422" s="104" t="s">
        <v>2005</v>
      </c>
      <c r="N422" s="106" t="s">
        <v>123</v>
      </c>
      <c r="O422" s="108" t="s">
        <v>84</v>
      </c>
      <c r="P422" s="80"/>
      <c r="Q422" s="80" t="s">
        <v>2008</v>
      </c>
      <c r="R422" s="80" t="s">
        <v>76</v>
      </c>
      <c r="S422" s="108">
        <v>806003.0</v>
      </c>
      <c r="T422" s="110" t="s">
        <v>96</v>
      </c>
      <c r="U422" s="110"/>
      <c r="V422" s="112">
        <v>0.0</v>
      </c>
      <c r="W422" s="112"/>
      <c r="X422" s="112"/>
      <c r="Y422" s="112"/>
    </row>
    <row r="423" ht="13.5" customHeight="1" outlineLevel="1">
      <c r="A423" s="95">
        <f t="shared" si="14"/>
        <v>75</v>
      </c>
      <c r="B423" s="115" t="s">
        <v>2009</v>
      </c>
      <c r="C423" s="115"/>
      <c r="D423" s="95" t="s">
        <v>2010</v>
      </c>
      <c r="E423" s="95"/>
      <c r="F423" s="9" t="s">
        <v>79</v>
      </c>
      <c r="G423" s="115" t="s">
        <v>2011</v>
      </c>
      <c r="H423" s="80" t="str">
        <f>VLOOKUP(G423,'01. TH'!$B:$E,3,0)</f>
        <v/>
      </c>
      <c r="I423" s="80" t="s">
        <v>836</v>
      </c>
      <c r="J423" s="95" t="s">
        <v>2012</v>
      </c>
      <c r="K423" s="80" t="str">
        <f>IF(COUNTIF('TT BTSC'!$D:$D,B423)&gt;0,"Hư hỏng","Bình thường")</f>
        <v>Bình thường</v>
      </c>
      <c r="L423" s="119"/>
      <c r="M423" s="104" t="s">
        <v>890</v>
      </c>
      <c r="N423" s="95" t="s">
        <v>123</v>
      </c>
      <c r="O423" s="108" t="s">
        <v>84</v>
      </c>
      <c r="P423" s="95">
        <v>2013.0</v>
      </c>
      <c r="Q423" s="95" t="s">
        <v>2013</v>
      </c>
      <c r="R423" s="95" t="s">
        <v>2014</v>
      </c>
      <c r="S423" s="110">
        <v>38377.0</v>
      </c>
      <c r="T423" s="110" t="s">
        <v>96</v>
      </c>
      <c r="U423" s="246">
        <v>4.0</v>
      </c>
      <c r="V423" s="112">
        <v>0.0</v>
      </c>
      <c r="W423" s="112"/>
      <c r="X423" s="112"/>
      <c r="Y423" s="112"/>
    </row>
    <row r="424" ht="13.5" customHeight="1" outlineLevel="1">
      <c r="A424" s="95">
        <f t="shared" si="14"/>
        <v>76</v>
      </c>
      <c r="B424" s="86" t="s">
        <v>2015</v>
      </c>
      <c r="C424" s="86"/>
      <c r="D424" s="95" t="s">
        <v>2016</v>
      </c>
      <c r="E424" s="95"/>
      <c r="F424" s="9" t="s">
        <v>154</v>
      </c>
      <c r="G424" s="161" t="s">
        <v>2017</v>
      </c>
      <c r="H424" s="80" t="str">
        <f>VLOOKUP(G424,'01. TH'!$B:$E,3,0)</f>
        <v/>
      </c>
      <c r="I424" s="80" t="s">
        <v>836</v>
      </c>
      <c r="J424" s="99">
        <v>45813.0</v>
      </c>
      <c r="K424" s="80" t="str">
        <f>IF(COUNTIF('TT BTSC'!$D:$D,B424)&gt;0,"Hư hỏng","Bình thường")</f>
        <v>Bình thường</v>
      </c>
      <c r="L424" s="102"/>
      <c r="M424" s="129" t="s">
        <v>2018</v>
      </c>
      <c r="N424" s="137" t="s">
        <v>1157</v>
      </c>
      <c r="O424" s="108" t="s">
        <v>222</v>
      </c>
      <c r="P424" s="80">
        <v>2024.0</v>
      </c>
      <c r="Q424" s="80" t="s">
        <v>2019</v>
      </c>
      <c r="R424" s="80" t="s">
        <v>792</v>
      </c>
      <c r="S424" s="108" t="s">
        <v>2020</v>
      </c>
      <c r="T424" s="110" t="s">
        <v>2021</v>
      </c>
      <c r="U424" s="110">
        <v>4.0</v>
      </c>
      <c r="V424" s="112">
        <v>60.0</v>
      </c>
      <c r="W424" s="112"/>
      <c r="X424" s="112"/>
      <c r="Y424" s="112"/>
    </row>
    <row r="425" ht="13.5" customHeight="1" outlineLevel="1">
      <c r="A425" s="95">
        <f t="shared" si="14"/>
        <v>77</v>
      </c>
      <c r="B425" s="86" t="s">
        <v>2022</v>
      </c>
      <c r="C425" s="86"/>
      <c r="D425" s="95" t="s">
        <v>2023</v>
      </c>
      <c r="E425" s="95"/>
      <c r="F425" s="9" t="s">
        <v>154</v>
      </c>
      <c r="G425" s="161" t="s">
        <v>2017</v>
      </c>
      <c r="H425" s="80" t="str">
        <f>VLOOKUP(G425,'01. TH'!$B:$E,3,0)</f>
        <v/>
      </c>
      <c r="I425" s="80" t="s">
        <v>836</v>
      </c>
      <c r="J425" s="99">
        <v>45813.0</v>
      </c>
      <c r="K425" s="80" t="str">
        <f>IF(COUNTIF('TT BTSC'!$D:$D,B425)&gt;0,"Hư hỏng","Bình thường")</f>
        <v>Bình thường</v>
      </c>
      <c r="L425" s="102"/>
      <c r="M425" s="129" t="s">
        <v>2024</v>
      </c>
      <c r="N425" s="137" t="s">
        <v>1157</v>
      </c>
      <c r="O425" s="108" t="s">
        <v>222</v>
      </c>
      <c r="P425" s="80">
        <v>2024.0</v>
      </c>
      <c r="Q425" s="80" t="s">
        <v>2019</v>
      </c>
      <c r="R425" s="80" t="s">
        <v>792</v>
      </c>
      <c r="S425" s="108" t="s">
        <v>2025</v>
      </c>
      <c r="T425" s="110" t="s">
        <v>2026</v>
      </c>
      <c r="U425" s="110">
        <v>4.0</v>
      </c>
      <c r="V425" s="112">
        <v>60.0</v>
      </c>
      <c r="W425" s="112"/>
      <c r="X425" s="112"/>
      <c r="Y425" s="112"/>
    </row>
    <row r="426" ht="13.5" customHeight="1" outlineLevel="1">
      <c r="A426" s="95">
        <f t="shared" si="14"/>
        <v>78</v>
      </c>
      <c r="B426" s="115" t="s">
        <v>1060</v>
      </c>
      <c r="C426" s="115" t="s">
        <v>2027</v>
      </c>
      <c r="D426" s="95" t="str">
        <f>IFERROR(VLOOKUP(B426,' 02.1 KLH-CN MÃ BRAVO MM'!$B:$C,2,0),"")</f>
        <v>ATT-A23-0042</v>
      </c>
      <c r="E426" s="95"/>
      <c r="F426" s="95" t="s">
        <v>79</v>
      </c>
      <c r="G426" s="115" t="s">
        <v>219</v>
      </c>
      <c r="H426" s="80" t="str">
        <f>VLOOKUP(G426,'01. TH'!$B:$E,3,0)</f>
        <v>5260 x 1760 x 2415</v>
      </c>
      <c r="I426" s="95" t="s">
        <v>836</v>
      </c>
      <c r="J426" s="116"/>
      <c r="K426" s="80" t="str">
        <f>IF(COUNTIF('TT BTSC'!$D:$D,B426)&gt;0,"Hư hỏng","Bình thường")</f>
        <v>Bình thường</v>
      </c>
      <c r="L426" s="119"/>
      <c r="M426" s="155" t="s">
        <v>2028</v>
      </c>
      <c r="N426" s="119" t="s">
        <v>123</v>
      </c>
      <c r="O426" s="110" t="s">
        <v>84</v>
      </c>
      <c r="P426" s="95">
        <v>2006.0</v>
      </c>
      <c r="Q426" s="95" t="s">
        <v>1428</v>
      </c>
      <c r="R426" s="119" t="s">
        <v>462</v>
      </c>
      <c r="S426" s="110" t="s">
        <v>2030</v>
      </c>
      <c r="T426" s="110" t="s">
        <v>96</v>
      </c>
      <c r="U426" s="140">
        <v>4.0</v>
      </c>
      <c r="V426" s="112">
        <v>65.0</v>
      </c>
      <c r="W426" s="112"/>
      <c r="X426" s="112"/>
      <c r="Y426" s="112"/>
    </row>
    <row r="427" ht="39.0" customHeight="1" outlineLevel="1">
      <c r="A427" s="95">
        <f t="shared" si="14"/>
        <v>79</v>
      </c>
      <c r="B427" s="115" t="s">
        <v>617</v>
      </c>
      <c r="C427" s="86" t="s">
        <v>2031</v>
      </c>
      <c r="D427" s="95" t="s">
        <v>2032</v>
      </c>
      <c r="E427" s="95"/>
      <c r="F427" s="9" t="s">
        <v>139</v>
      </c>
      <c r="G427" s="86" t="s">
        <v>485</v>
      </c>
      <c r="H427" s="80" t="str">
        <f>VLOOKUP(G427,'01. TH'!$B:$E,3,0)</f>
        <v>7820 x 2500 x 3140</v>
      </c>
      <c r="I427" s="95" t="s">
        <v>836</v>
      </c>
      <c r="J427" s="99">
        <v>46026.0</v>
      </c>
      <c r="K427" s="80" t="str">
        <f>IF(COUNTIF('TT BTSC'!$D:$D,C427)&gt;0,"Hư hỏng","Bình thường")</f>
        <v>Bình thường</v>
      </c>
      <c r="L427" s="102"/>
      <c r="M427" s="129" t="s">
        <v>2034</v>
      </c>
      <c r="N427" s="80" t="s">
        <v>1032</v>
      </c>
      <c r="O427" s="108" t="s">
        <v>103</v>
      </c>
      <c r="P427" s="80">
        <v>2012.0</v>
      </c>
      <c r="Q427" s="80" t="s">
        <v>2035</v>
      </c>
      <c r="R427" s="106" t="s">
        <v>105</v>
      </c>
      <c r="S427" s="108" t="s">
        <v>2036</v>
      </c>
      <c r="T427" s="110">
        <v>7.3390872E7</v>
      </c>
      <c r="U427" s="110">
        <v>12.0</v>
      </c>
      <c r="V427" s="112">
        <v>0.0</v>
      </c>
      <c r="W427" s="112"/>
      <c r="X427" s="112"/>
      <c r="Y427" s="112"/>
    </row>
    <row r="428" ht="39.0" customHeight="1" outlineLevel="1">
      <c r="A428" s="95">
        <f t="shared" si="14"/>
        <v>80</v>
      </c>
      <c r="B428" s="115" t="s">
        <v>405</v>
      </c>
      <c r="C428" s="115" t="s">
        <v>2037</v>
      </c>
      <c r="D428" s="95" t="s">
        <v>2038</v>
      </c>
      <c r="E428" s="95"/>
      <c r="F428" s="9" t="s">
        <v>139</v>
      </c>
      <c r="G428" s="115" t="s">
        <v>267</v>
      </c>
      <c r="H428" s="80" t="str">
        <f>VLOOKUP(G428,'01. TH'!$B:$E,3,0)</f>
        <v>8358 x 2540 x 3200</v>
      </c>
      <c r="I428" s="95" t="s">
        <v>836</v>
      </c>
      <c r="J428" s="116">
        <v>45660.0</v>
      </c>
      <c r="K428" s="80" t="str">
        <f>IF(COUNTIF('TT BTSC'!$D:$D,C428)&gt;0,"Hư hỏng","Bình thường")</f>
        <v>Bình thường</v>
      </c>
      <c r="L428" s="117"/>
      <c r="M428" s="150" t="s">
        <v>2039</v>
      </c>
      <c r="N428" s="95" t="s">
        <v>123</v>
      </c>
      <c r="O428" s="110" t="s">
        <v>269</v>
      </c>
      <c r="P428" s="95">
        <v>2006.0</v>
      </c>
      <c r="Q428" s="95" t="s">
        <v>270</v>
      </c>
      <c r="R428" s="95" t="s">
        <v>271</v>
      </c>
      <c r="S428" s="110" t="s">
        <v>2040</v>
      </c>
      <c r="T428" s="110">
        <v>2.1711747E7</v>
      </c>
      <c r="U428" s="140">
        <v>10.0</v>
      </c>
      <c r="V428" s="112">
        <v>130.0</v>
      </c>
      <c r="W428" s="112"/>
      <c r="X428" s="112"/>
      <c r="Y428" s="112"/>
    </row>
    <row r="429" ht="39.0" customHeight="1" outlineLevel="1">
      <c r="A429" s="95">
        <f t="shared" si="14"/>
        <v>81</v>
      </c>
      <c r="B429" s="86" t="s">
        <v>1135</v>
      </c>
      <c r="C429" s="86" t="s">
        <v>2041</v>
      </c>
      <c r="D429" s="95" t="str">
        <f>IFERROR(VLOOKUP(B429,' 02.1 KLH-CN MÃ BRAVO MM'!$B:$C,2,0),"")</f>
        <v/>
      </c>
      <c r="E429" s="95"/>
      <c r="F429" s="95" t="s">
        <v>79</v>
      </c>
      <c r="G429" s="86" t="s">
        <v>100</v>
      </c>
      <c r="H429" s="80" t="str">
        <f>VLOOKUP(G429,'01. TH'!$B:$E,3,0)</f>
        <v>5340 x 1980 x 1895</v>
      </c>
      <c r="I429" s="80" t="s">
        <v>59</v>
      </c>
      <c r="J429" s="99">
        <v>45446.0</v>
      </c>
      <c r="K429" s="80" t="str">
        <f>IF(COUNTIF('TT BTSC'!$D:$D,B429)&gt;0,"Hư hỏng","Bình thường")</f>
        <v>Bình thường</v>
      </c>
      <c r="L429" s="106"/>
      <c r="M429" s="129" t="s">
        <v>2042</v>
      </c>
      <c r="N429" s="80" t="s">
        <v>1441</v>
      </c>
      <c r="O429" s="110" t="s">
        <v>84</v>
      </c>
      <c r="P429" s="80"/>
      <c r="Q429" s="80">
        <v>305.0</v>
      </c>
      <c r="R429" s="80" t="s">
        <v>2043</v>
      </c>
      <c r="S429" s="108" t="s">
        <v>2044</v>
      </c>
      <c r="T429" s="110" t="s">
        <v>2045</v>
      </c>
      <c r="U429" s="140">
        <v>4.0</v>
      </c>
      <c r="V429" s="112">
        <v>63.0</v>
      </c>
      <c r="W429" s="112"/>
      <c r="X429" s="112"/>
      <c r="Y429" s="112"/>
    </row>
    <row r="430" ht="13.5" customHeight="1" outlineLevel="1">
      <c r="A430" s="95">
        <f t="shared" si="14"/>
        <v>82</v>
      </c>
      <c r="B430" s="84" t="s">
        <v>2046</v>
      </c>
      <c r="C430" s="84" t="s">
        <v>2047</v>
      </c>
      <c r="D430" s="95" t="str">
        <f>IFERROR(VLOOKUP(B430,' 02.1 KLH-CN MÃ BRAVO MM'!$B:$C,2,0),"")</f>
        <v>A22-XCC-001</v>
      </c>
      <c r="E430" s="95"/>
      <c r="F430" s="95" t="s">
        <v>79</v>
      </c>
      <c r="G430" s="86" t="s">
        <v>2048</v>
      </c>
      <c r="H430" s="80" t="str">
        <f>VLOOKUP(G430,'01. TH'!$B:$E,3,0)</f>
        <v>8800 x 2500 x 3700</v>
      </c>
      <c r="I430" s="80" t="s">
        <v>836</v>
      </c>
      <c r="J430" s="99"/>
      <c r="K430" s="80" t="str">
        <f>IF(COUNTIF('TT BTSC'!$D:$D,B430)&gt;0,"Hư hỏng","Bình thường")</f>
        <v>Bình thường</v>
      </c>
      <c r="L430" s="106"/>
      <c r="M430" s="104"/>
      <c r="N430" s="106" t="s">
        <v>300</v>
      </c>
      <c r="O430" s="108" t="s">
        <v>148</v>
      </c>
      <c r="P430" s="80">
        <v>2018.0</v>
      </c>
      <c r="Q430" s="80" t="s">
        <v>1144</v>
      </c>
      <c r="R430" s="106" t="s">
        <v>112</v>
      </c>
      <c r="S430" s="108" t="s">
        <v>2049</v>
      </c>
      <c r="T430" s="110" t="s">
        <v>2050</v>
      </c>
      <c r="U430" s="110"/>
      <c r="V430" s="112">
        <v>0.0</v>
      </c>
      <c r="W430" s="112"/>
      <c r="X430" s="112"/>
      <c r="Y430" s="112"/>
    </row>
    <row r="431" ht="13.5" customHeight="1" outlineLevel="1">
      <c r="A431" s="95">
        <f t="shared" si="14"/>
        <v>83</v>
      </c>
      <c r="B431" s="86" t="s">
        <v>2051</v>
      </c>
      <c r="C431" s="84" t="s">
        <v>1675</v>
      </c>
      <c r="D431" s="95" t="str">
        <f>IFERROR(VLOOKUP(B431,' 02.1 KLH-CN MÃ BRAVO MM'!$B:$C,2,0),"")</f>
        <v>ATT-A22-0270</v>
      </c>
      <c r="E431" s="95"/>
      <c r="F431" s="95" t="s">
        <v>154</v>
      </c>
      <c r="G431" s="86" t="s">
        <v>2052</v>
      </c>
      <c r="H431" s="80" t="str">
        <f>VLOOKUP(G431,'01. TH'!$B:$E,3,0)</f>
        <v>7810x3100x3720</v>
      </c>
      <c r="I431" s="80" t="s">
        <v>836</v>
      </c>
      <c r="J431" s="99">
        <v>44927.0</v>
      </c>
      <c r="K431" s="80" t="str">
        <f>IF(COUNTIF('TT BTSC'!$D:$D,B431)&gt;0,"Hư hỏng","Bình thường")</f>
        <v>Bình thường</v>
      </c>
      <c r="L431" s="102">
        <v>0.97</v>
      </c>
      <c r="M431" s="104" t="s">
        <v>890</v>
      </c>
      <c r="N431" s="106" t="s">
        <v>300</v>
      </c>
      <c r="O431" s="108" t="s">
        <v>148</v>
      </c>
      <c r="P431" s="80">
        <v>2017.0</v>
      </c>
      <c r="Q431" s="80" t="s">
        <v>2055</v>
      </c>
      <c r="R431" s="106" t="s">
        <v>2056</v>
      </c>
      <c r="S431" s="108" t="s">
        <v>2057</v>
      </c>
      <c r="T431" s="110" t="s">
        <v>2058</v>
      </c>
      <c r="U431" s="110">
        <v>0.46</v>
      </c>
      <c r="V431" s="112">
        <v>380.0</v>
      </c>
      <c r="W431" s="112"/>
      <c r="X431" s="112"/>
      <c r="Y431" s="112"/>
    </row>
    <row r="432" ht="13.5" customHeight="1" outlineLevel="1">
      <c r="A432" s="95">
        <f t="shared" si="14"/>
        <v>84</v>
      </c>
      <c r="B432" s="84" t="s">
        <v>2059</v>
      </c>
      <c r="C432" s="84" t="s">
        <v>1675</v>
      </c>
      <c r="D432" s="95" t="str">
        <f>IFERROR(VLOOKUP(B432,' 02.1 KLH-CN MÃ BRAVO MM'!$B:$C,2,0),"")</f>
        <v>ATT-A22-0287</v>
      </c>
      <c r="E432" s="95"/>
      <c r="F432" s="95" t="s">
        <v>154</v>
      </c>
      <c r="G432" s="86" t="s">
        <v>2052</v>
      </c>
      <c r="H432" s="80" t="str">
        <f>VLOOKUP(G432,'01. TH'!$B:$E,3,0)</f>
        <v>7810x3100x3720</v>
      </c>
      <c r="I432" s="80" t="s">
        <v>836</v>
      </c>
      <c r="J432" s="99">
        <v>45261.0</v>
      </c>
      <c r="K432" s="80" t="str">
        <f>IF(COUNTIF('TT BTSC'!$D:$D,B432)&gt;0,"Hư hỏng","Bình thường")</f>
        <v>Bình thường</v>
      </c>
      <c r="L432" s="102">
        <v>0.97</v>
      </c>
      <c r="M432" s="104" t="s">
        <v>890</v>
      </c>
      <c r="N432" s="106" t="s">
        <v>300</v>
      </c>
      <c r="O432" s="108" t="s">
        <v>148</v>
      </c>
      <c r="P432" s="80">
        <v>2017.0</v>
      </c>
      <c r="Q432" s="80" t="s">
        <v>2055</v>
      </c>
      <c r="R432" s="106" t="s">
        <v>2056</v>
      </c>
      <c r="S432" s="108" t="s">
        <v>2060</v>
      </c>
      <c r="T432" s="110" t="s">
        <v>2061</v>
      </c>
      <c r="U432" s="110">
        <v>0.46</v>
      </c>
      <c r="V432" s="112">
        <v>380.0</v>
      </c>
      <c r="W432" s="112"/>
      <c r="X432" s="112"/>
      <c r="Y432" s="112"/>
    </row>
    <row r="433" ht="13.5" customHeight="1" outlineLevel="1">
      <c r="A433" s="95">
        <f t="shared" si="14"/>
        <v>85</v>
      </c>
      <c r="B433" s="84" t="s">
        <v>2062</v>
      </c>
      <c r="C433" s="84" t="s">
        <v>1675</v>
      </c>
      <c r="D433" s="95" t="str">
        <f>IFERROR(VLOOKUP(B433,' 02.1 KLH-CN MÃ BRAVO MM'!$B:$C,2,0),"")</f>
        <v>ATT-A22-0288</v>
      </c>
      <c r="E433" s="95"/>
      <c r="F433" s="95" t="s">
        <v>154</v>
      </c>
      <c r="G433" s="86" t="s">
        <v>2052</v>
      </c>
      <c r="H433" s="80" t="str">
        <f>VLOOKUP(G433,'01. TH'!$B:$E,3,0)</f>
        <v>7810x3100x3720</v>
      </c>
      <c r="I433" s="80" t="s">
        <v>836</v>
      </c>
      <c r="J433" s="99">
        <v>45261.0</v>
      </c>
      <c r="K433" s="80" t="str">
        <f>IF(COUNTIF('TT BTSC'!$D:$D,B433)&gt;0,"Hư hỏng","Bình thường")</f>
        <v>Bình thường</v>
      </c>
      <c r="L433" s="102">
        <v>0.97</v>
      </c>
      <c r="M433" s="104" t="s">
        <v>890</v>
      </c>
      <c r="N433" s="106" t="s">
        <v>300</v>
      </c>
      <c r="O433" s="108" t="s">
        <v>148</v>
      </c>
      <c r="P433" s="80">
        <v>2017.0</v>
      </c>
      <c r="Q433" s="80" t="s">
        <v>2055</v>
      </c>
      <c r="R433" s="106" t="s">
        <v>2056</v>
      </c>
      <c r="S433" s="108" t="s">
        <v>2063</v>
      </c>
      <c r="T433" s="110" t="s">
        <v>2064</v>
      </c>
      <c r="U433" s="110">
        <v>5.0</v>
      </c>
      <c r="V433" s="112">
        <v>380.0</v>
      </c>
      <c r="W433" s="112"/>
      <c r="X433" s="112"/>
      <c r="Y433" s="112"/>
    </row>
    <row r="434" ht="13.5" customHeight="1" outlineLevel="1">
      <c r="A434" s="95">
        <f t="shared" si="14"/>
        <v>86</v>
      </c>
      <c r="B434" s="84" t="s">
        <v>2065</v>
      </c>
      <c r="C434" s="84" t="s">
        <v>1675</v>
      </c>
      <c r="D434" s="95" t="str">
        <f>IFERROR(VLOOKUP(B434,' 02.1 KLH-CN MÃ BRAVO MM'!$B:$C,2,0),"")</f>
        <v>A22-XRA-005</v>
      </c>
      <c r="E434" s="95"/>
      <c r="F434" s="95" t="s">
        <v>154</v>
      </c>
      <c r="G434" s="86" t="s">
        <v>2052</v>
      </c>
      <c r="H434" s="80" t="str">
        <f>VLOOKUP(G434,'01. TH'!$B:$E,3,0)</f>
        <v>7810x3100x3720</v>
      </c>
      <c r="I434" s="80" t="s">
        <v>836</v>
      </c>
      <c r="J434" s="99">
        <v>45569.0</v>
      </c>
      <c r="K434" s="80" t="str">
        <f>IF(COUNTIF('TT BTSC'!$D:$D,B434)&gt;0,"Hư hỏng","Bình thường")</f>
        <v>Bình thường</v>
      </c>
      <c r="L434" s="106"/>
      <c r="M434" s="104" t="s">
        <v>890</v>
      </c>
      <c r="N434" s="80" t="s">
        <v>300</v>
      </c>
      <c r="O434" s="108" t="s">
        <v>148</v>
      </c>
      <c r="P434" s="80">
        <v>2017.0</v>
      </c>
      <c r="Q434" s="80" t="s">
        <v>2055</v>
      </c>
      <c r="R434" s="80" t="s">
        <v>2056</v>
      </c>
      <c r="S434" s="108" t="s">
        <v>2066</v>
      </c>
      <c r="T434" s="110" t="s">
        <v>2067</v>
      </c>
      <c r="U434" s="110">
        <v>5.0</v>
      </c>
      <c r="V434" s="112">
        <v>380.0</v>
      </c>
      <c r="W434" s="112"/>
      <c r="X434" s="112"/>
      <c r="Y434" s="112"/>
    </row>
    <row r="435" ht="13.5" customHeight="1" outlineLevel="1">
      <c r="A435" s="95">
        <f t="shared" si="14"/>
        <v>87</v>
      </c>
      <c r="B435" s="84" t="s">
        <v>2068</v>
      </c>
      <c r="C435" s="84" t="s">
        <v>2069</v>
      </c>
      <c r="D435" s="95" t="str">
        <f>IFERROR(VLOOKUP(B435,' 02.1 KLH-CN MÃ BRAVO MM'!$B:$C,2,0),"")</f>
        <v>ATT-A22-0285</v>
      </c>
      <c r="E435" s="95"/>
      <c r="F435" s="95" t="s">
        <v>154</v>
      </c>
      <c r="G435" s="86" t="s">
        <v>2070</v>
      </c>
      <c r="H435" s="80" t="str">
        <f>VLOOKUP(G435,'01. TH'!$B:$E,3,0)</f>
        <v>6160 x 2330 x 2760</v>
      </c>
      <c r="I435" s="80" t="s">
        <v>836</v>
      </c>
      <c r="J435" s="99">
        <v>45261.0</v>
      </c>
      <c r="K435" s="80" t="str">
        <f>IF(COUNTIF('TT BTSC'!$D:$D,B435)&gt;0,"Hư hỏng","Bình thường")</f>
        <v>Bình thường</v>
      </c>
      <c r="L435" s="102">
        <v>0.97</v>
      </c>
      <c r="M435" s="104"/>
      <c r="N435" s="106" t="s">
        <v>300</v>
      </c>
      <c r="O435" s="108" t="s">
        <v>148</v>
      </c>
      <c r="P435" s="80">
        <v>2022.0</v>
      </c>
      <c r="Q435" s="95" t="s">
        <v>315</v>
      </c>
      <c r="R435" s="106" t="s">
        <v>278</v>
      </c>
      <c r="S435" s="110" t="s">
        <v>2071</v>
      </c>
      <c r="T435" s="110" t="s">
        <v>2072</v>
      </c>
      <c r="U435" s="110">
        <v>0.63</v>
      </c>
      <c r="V435" s="112">
        <v>150.0</v>
      </c>
      <c r="W435" s="112"/>
      <c r="X435" s="112"/>
      <c r="Y435" s="112"/>
    </row>
    <row r="436" ht="13.5" customHeight="1" outlineLevel="1">
      <c r="A436" s="95">
        <f t="shared" si="14"/>
        <v>88</v>
      </c>
      <c r="B436" s="84" t="s">
        <v>2073</v>
      </c>
      <c r="C436" s="84" t="s">
        <v>1675</v>
      </c>
      <c r="D436" s="95" t="str">
        <f>IFERROR(VLOOKUP(B436,' 02.1 KLH-CN MÃ BRAVO MM'!$B:$C,2,0),"")</f>
        <v>ATT-A22-0289</v>
      </c>
      <c r="E436" s="95"/>
      <c r="F436" s="95" t="s">
        <v>154</v>
      </c>
      <c r="G436" s="86" t="s">
        <v>2070</v>
      </c>
      <c r="H436" s="80" t="str">
        <f>VLOOKUP(G436,'01. TH'!$B:$E,3,0)</f>
        <v>6160 x 2330 x 2760</v>
      </c>
      <c r="I436" s="80" t="s">
        <v>836</v>
      </c>
      <c r="J436" s="99">
        <v>45261.0</v>
      </c>
      <c r="K436" s="80" t="str">
        <f>IF(COUNTIF('TT BTSC'!$D:$D,B436)&gt;0,"Hư hỏng","Bình thường")</f>
        <v>Bình thường</v>
      </c>
      <c r="L436" s="102">
        <v>0.97</v>
      </c>
      <c r="M436" s="104"/>
      <c r="N436" s="106" t="s">
        <v>300</v>
      </c>
      <c r="O436" s="108" t="s">
        <v>148</v>
      </c>
      <c r="P436" s="80">
        <v>2023.0</v>
      </c>
      <c r="Q436" s="95" t="s">
        <v>315</v>
      </c>
      <c r="R436" s="106" t="s">
        <v>278</v>
      </c>
      <c r="S436" s="108" t="s">
        <v>2074</v>
      </c>
      <c r="T436" s="110" t="s">
        <v>2075</v>
      </c>
      <c r="U436" s="110">
        <v>0.63</v>
      </c>
      <c r="V436" s="112">
        <v>150.0</v>
      </c>
      <c r="W436" s="112"/>
      <c r="X436" s="112"/>
      <c r="Y436" s="112"/>
    </row>
    <row r="437" ht="13.5" customHeight="1" outlineLevel="1">
      <c r="A437" s="95">
        <f t="shared" si="14"/>
        <v>89</v>
      </c>
      <c r="B437" s="84" t="s">
        <v>2076</v>
      </c>
      <c r="C437" s="84" t="s">
        <v>1675</v>
      </c>
      <c r="D437" s="95" t="str">
        <f>IFERROR(VLOOKUP(B437,' 02.1 KLH-CN MÃ BRAVO MM'!$B:$C,2,0),"")</f>
        <v>ATT-A22-0293</v>
      </c>
      <c r="E437" s="95"/>
      <c r="F437" s="95" t="s">
        <v>154</v>
      </c>
      <c r="G437" s="86" t="s">
        <v>2070</v>
      </c>
      <c r="H437" s="80" t="str">
        <f>VLOOKUP(G437,'01. TH'!$B:$E,3,0)</f>
        <v>6160 x 2330 x 2760</v>
      </c>
      <c r="I437" s="80" t="s">
        <v>836</v>
      </c>
      <c r="J437" s="99">
        <v>45261.0</v>
      </c>
      <c r="K437" s="80" t="str">
        <f>IF(COUNTIF('TT BTSC'!$D:$D,B437)&gt;0,"Hư hỏng","Bình thường")</f>
        <v>Bình thường</v>
      </c>
      <c r="L437" s="102">
        <v>0.97</v>
      </c>
      <c r="M437" s="129" t="s">
        <v>2077</v>
      </c>
      <c r="N437" s="106" t="s">
        <v>300</v>
      </c>
      <c r="O437" s="108" t="s">
        <v>148</v>
      </c>
      <c r="P437" s="80">
        <v>2023.0</v>
      </c>
      <c r="Q437" s="95" t="s">
        <v>315</v>
      </c>
      <c r="R437" s="106" t="s">
        <v>278</v>
      </c>
      <c r="S437" s="235" t="s">
        <v>2078</v>
      </c>
      <c r="T437" s="110" t="s">
        <v>2079</v>
      </c>
      <c r="U437" s="110">
        <v>0.63</v>
      </c>
      <c r="V437" s="112">
        <v>150.0</v>
      </c>
      <c r="W437" s="112"/>
      <c r="X437" s="112"/>
      <c r="Y437" s="112"/>
    </row>
    <row r="438" ht="13.5" customHeight="1" outlineLevel="1">
      <c r="A438" s="95">
        <f t="shared" si="14"/>
        <v>90</v>
      </c>
      <c r="B438" s="84" t="s">
        <v>2080</v>
      </c>
      <c r="C438" s="84" t="s">
        <v>1675</v>
      </c>
      <c r="D438" s="95" t="str">
        <f>IFERROR(VLOOKUP(B438,' 02.1 KLH-CN MÃ BRAVO MM'!$B:$C,2,0),"")</f>
        <v>ATT-A22-0294</v>
      </c>
      <c r="E438" s="95"/>
      <c r="F438" s="95" t="s">
        <v>154</v>
      </c>
      <c r="G438" s="86" t="s">
        <v>2070</v>
      </c>
      <c r="H438" s="80" t="str">
        <f>VLOOKUP(G438,'01. TH'!$B:$E,3,0)</f>
        <v>6160 x 2330 x 2760</v>
      </c>
      <c r="I438" s="80" t="s">
        <v>836</v>
      </c>
      <c r="J438" s="99">
        <v>45261.0</v>
      </c>
      <c r="K438" s="80" t="str">
        <f>IF(COUNTIF('TT BTSC'!$D:$D,B438)&gt;0,"Hư hỏng","Bình thường")</f>
        <v>Bình thường</v>
      </c>
      <c r="L438" s="102">
        <v>0.97</v>
      </c>
      <c r="M438" s="129"/>
      <c r="N438" s="106" t="s">
        <v>300</v>
      </c>
      <c r="O438" s="108" t="s">
        <v>148</v>
      </c>
      <c r="P438" s="80">
        <v>2023.0</v>
      </c>
      <c r="Q438" s="95" t="s">
        <v>315</v>
      </c>
      <c r="R438" s="106" t="s">
        <v>278</v>
      </c>
      <c r="S438" s="108" t="s">
        <v>2082</v>
      </c>
      <c r="T438" s="110" t="s">
        <v>2083</v>
      </c>
      <c r="U438" s="110">
        <v>6.5</v>
      </c>
      <c r="V438" s="112">
        <v>150.0</v>
      </c>
      <c r="W438" s="112"/>
      <c r="X438" s="112"/>
      <c r="Y438" s="112"/>
    </row>
    <row r="439" ht="13.5" customHeight="1" outlineLevel="1">
      <c r="A439" s="95">
        <f t="shared" si="14"/>
        <v>91</v>
      </c>
      <c r="B439" s="84" t="s">
        <v>2084</v>
      </c>
      <c r="C439" s="84" t="s">
        <v>1675</v>
      </c>
      <c r="D439" s="95" t="str">
        <f>IFERROR(VLOOKUP(B439,' 02.1 KLH-CN MÃ BRAVO MM'!$B:$C,2,0),"")</f>
        <v>ATT-A22-0296</v>
      </c>
      <c r="E439" s="95"/>
      <c r="F439" s="95" t="s">
        <v>154</v>
      </c>
      <c r="G439" s="86" t="s">
        <v>2070</v>
      </c>
      <c r="H439" s="80" t="str">
        <f>VLOOKUP(G439,'01. TH'!$B:$E,3,0)</f>
        <v>6160 x 2330 x 2760</v>
      </c>
      <c r="I439" s="80" t="s">
        <v>836</v>
      </c>
      <c r="J439" s="99" t="s">
        <v>2085</v>
      </c>
      <c r="K439" s="80" t="str">
        <f>IF(COUNTIF('TT BTSC'!$D:$D,B439)&gt;0,"Hư hỏng","Bình thường")</f>
        <v>Bình thường</v>
      </c>
      <c r="L439" s="102">
        <v>0.97</v>
      </c>
      <c r="M439" s="104" t="s">
        <v>890</v>
      </c>
      <c r="N439" s="106" t="s">
        <v>300</v>
      </c>
      <c r="O439" s="108" t="s">
        <v>148</v>
      </c>
      <c r="P439" s="80">
        <v>2023.0</v>
      </c>
      <c r="Q439" s="95" t="s">
        <v>315</v>
      </c>
      <c r="R439" s="106" t="s">
        <v>278</v>
      </c>
      <c r="S439" s="108" t="s">
        <v>2086</v>
      </c>
      <c r="T439" s="110" t="s">
        <v>2087</v>
      </c>
      <c r="U439" s="110">
        <v>6.5</v>
      </c>
      <c r="V439" s="112">
        <v>150.0</v>
      </c>
      <c r="W439" s="112"/>
      <c r="X439" s="112"/>
      <c r="Y439" s="112"/>
    </row>
    <row r="440" ht="13.5" customHeight="1" outlineLevel="1">
      <c r="A440" s="95">
        <f t="shared" si="14"/>
        <v>92</v>
      </c>
      <c r="B440" s="84" t="s">
        <v>2088</v>
      </c>
      <c r="C440" s="84" t="s">
        <v>1675</v>
      </c>
      <c r="D440" s="95" t="str">
        <f>IFERROR(VLOOKUP(B440,' 02.1 KLH-CN MÃ BRAVO MM'!$B:$C,2,0),"")</f>
        <v>ATT-A22-0297</v>
      </c>
      <c r="E440" s="95"/>
      <c r="F440" s="95" t="s">
        <v>154</v>
      </c>
      <c r="G440" s="86" t="s">
        <v>2070</v>
      </c>
      <c r="H440" s="80" t="str">
        <f>VLOOKUP(G440,'01. TH'!$B:$E,3,0)</f>
        <v>6160 x 2330 x 2760</v>
      </c>
      <c r="I440" s="80" t="s">
        <v>836</v>
      </c>
      <c r="J440" s="99" t="s">
        <v>2085</v>
      </c>
      <c r="K440" s="80" t="str">
        <f>IF(COUNTIF('TT BTSC'!$D:$D,B440)&gt;0,"Hư hỏng","Bình thường")</f>
        <v>Bình thường</v>
      </c>
      <c r="L440" s="102">
        <v>0.97</v>
      </c>
      <c r="M440" s="104" t="s">
        <v>890</v>
      </c>
      <c r="N440" s="106" t="s">
        <v>300</v>
      </c>
      <c r="O440" s="108" t="s">
        <v>148</v>
      </c>
      <c r="P440" s="80">
        <v>2023.0</v>
      </c>
      <c r="Q440" s="95" t="s">
        <v>315</v>
      </c>
      <c r="R440" s="106" t="s">
        <v>278</v>
      </c>
      <c r="S440" s="108" t="s">
        <v>2089</v>
      </c>
      <c r="T440" s="110" t="s">
        <v>2090</v>
      </c>
      <c r="U440" s="110">
        <v>0.63</v>
      </c>
      <c r="V440" s="112">
        <v>150.0</v>
      </c>
      <c r="W440" s="112"/>
      <c r="X440" s="112"/>
      <c r="Y440" s="112"/>
    </row>
    <row r="441" ht="13.5" customHeight="1" outlineLevel="1">
      <c r="A441" s="95">
        <f t="shared" si="14"/>
        <v>93</v>
      </c>
      <c r="B441" s="115" t="s">
        <v>2091</v>
      </c>
      <c r="C441" s="84" t="s">
        <v>1675</v>
      </c>
      <c r="D441" s="95" t="s">
        <v>2092</v>
      </c>
      <c r="E441" s="95"/>
      <c r="F441" s="95" t="s">
        <v>154</v>
      </c>
      <c r="G441" s="86" t="s">
        <v>2070</v>
      </c>
      <c r="H441" s="80" t="str">
        <f>VLOOKUP(G441,'01. TH'!$B:$E,3,0)</f>
        <v>6160 x 2330 x 2760</v>
      </c>
      <c r="I441" s="80" t="s">
        <v>836</v>
      </c>
      <c r="J441" s="116">
        <v>45751.0</v>
      </c>
      <c r="K441" s="80" t="str">
        <f>IF(COUNTIF('TT BTSC'!$D:$D,B441)&gt;0,"Hư hỏng","Bình thường")</f>
        <v>Bình thường</v>
      </c>
      <c r="L441" s="117"/>
      <c r="M441" s="104" t="s">
        <v>890</v>
      </c>
      <c r="N441" s="95" t="s">
        <v>300</v>
      </c>
      <c r="O441" s="110" t="s">
        <v>148</v>
      </c>
      <c r="P441" s="95">
        <v>2024.0</v>
      </c>
      <c r="Q441" s="95" t="s">
        <v>315</v>
      </c>
      <c r="R441" s="95" t="s">
        <v>278</v>
      </c>
      <c r="S441" s="110" t="s">
        <v>2093</v>
      </c>
      <c r="T441" s="110" t="s">
        <v>2094</v>
      </c>
      <c r="U441" s="110">
        <v>0.63</v>
      </c>
      <c r="V441" s="112">
        <v>150.0</v>
      </c>
      <c r="W441" s="112"/>
      <c r="X441" s="112"/>
      <c r="Y441" s="112"/>
    </row>
    <row r="442" outlineLevel="1">
      <c r="A442" s="95">
        <f t="shared" si="14"/>
        <v>94</v>
      </c>
      <c r="B442" s="115" t="s">
        <v>2095</v>
      </c>
      <c r="C442" s="84" t="s">
        <v>1675</v>
      </c>
      <c r="D442" s="95" t="s">
        <v>2096</v>
      </c>
      <c r="E442" s="95"/>
      <c r="F442" s="95" t="s">
        <v>154</v>
      </c>
      <c r="G442" s="86" t="s">
        <v>2070</v>
      </c>
      <c r="H442" s="80" t="str">
        <f>VLOOKUP(G442,'01. TH'!$B:$E,3,0)</f>
        <v>6160 x 2330 x 2760</v>
      </c>
      <c r="I442" s="80" t="s">
        <v>836</v>
      </c>
      <c r="J442" s="116">
        <v>45751.0</v>
      </c>
      <c r="K442" s="80" t="str">
        <f>IF(COUNTIF('TT BTSC'!$D:$D,B442)&gt;0,"Hư hỏng","Bình thường")</f>
        <v>Bình thường</v>
      </c>
      <c r="L442" s="117"/>
      <c r="M442" s="104" t="s">
        <v>890</v>
      </c>
      <c r="N442" s="95" t="s">
        <v>300</v>
      </c>
      <c r="O442" s="110" t="s">
        <v>148</v>
      </c>
      <c r="P442" s="95">
        <v>2024.0</v>
      </c>
      <c r="Q442" s="95" t="s">
        <v>315</v>
      </c>
      <c r="R442" s="95" t="s">
        <v>278</v>
      </c>
      <c r="S442" s="110" t="s">
        <v>2097</v>
      </c>
      <c r="T442" s="110" t="s">
        <v>2098</v>
      </c>
      <c r="U442" s="110">
        <v>0.63</v>
      </c>
      <c r="V442" s="112">
        <v>150.0</v>
      </c>
      <c r="W442" s="112"/>
      <c r="X442" s="112"/>
      <c r="Y442" s="112"/>
    </row>
    <row r="443" ht="13.5" customHeight="1" outlineLevel="1">
      <c r="A443" s="95">
        <f t="shared" si="14"/>
        <v>95</v>
      </c>
      <c r="B443" s="115" t="s">
        <v>2099</v>
      </c>
      <c r="C443" s="84" t="s">
        <v>1675</v>
      </c>
      <c r="D443" s="95" t="s">
        <v>2100</v>
      </c>
      <c r="E443" s="95"/>
      <c r="F443" s="95" t="s">
        <v>154</v>
      </c>
      <c r="G443" s="86" t="s">
        <v>2070</v>
      </c>
      <c r="H443" s="80" t="str">
        <f>VLOOKUP(G443,'01. TH'!$B:$E,3,0)</f>
        <v>6160 x 2330 x 2760</v>
      </c>
      <c r="I443" s="80" t="s">
        <v>836</v>
      </c>
      <c r="J443" s="116">
        <v>45751.0</v>
      </c>
      <c r="K443" s="80" t="str">
        <f>IF(COUNTIF('TT BTSC'!$D:$D,B443)&gt;0,"Hư hỏng","Bình thường")</f>
        <v>Bình thường</v>
      </c>
      <c r="L443" s="117"/>
      <c r="M443" s="104" t="s">
        <v>890</v>
      </c>
      <c r="N443" s="95" t="s">
        <v>300</v>
      </c>
      <c r="O443" s="110" t="s">
        <v>148</v>
      </c>
      <c r="P443" s="95">
        <v>2024.0</v>
      </c>
      <c r="Q443" s="95" t="s">
        <v>315</v>
      </c>
      <c r="R443" s="95" t="s">
        <v>278</v>
      </c>
      <c r="S443" s="110" t="s">
        <v>2101</v>
      </c>
      <c r="T443" s="110" t="s">
        <v>2102</v>
      </c>
      <c r="U443" s="110">
        <v>0.63</v>
      </c>
      <c r="V443" s="112">
        <v>150.0</v>
      </c>
      <c r="W443" s="112"/>
      <c r="X443" s="112"/>
      <c r="Y443" s="112"/>
    </row>
    <row r="444" ht="13.5" customHeight="1" outlineLevel="1">
      <c r="A444" s="95">
        <f t="shared" si="14"/>
        <v>96</v>
      </c>
      <c r="B444" s="115" t="s">
        <v>2103</v>
      </c>
      <c r="C444" s="84" t="s">
        <v>1675</v>
      </c>
      <c r="D444" s="95" t="s">
        <v>2104</v>
      </c>
      <c r="E444" s="95"/>
      <c r="F444" s="95" t="s">
        <v>154</v>
      </c>
      <c r="G444" s="86" t="s">
        <v>2070</v>
      </c>
      <c r="H444" s="80" t="str">
        <f>VLOOKUP(G444,'01. TH'!$B:$E,3,0)</f>
        <v>6160 x 2330 x 2760</v>
      </c>
      <c r="I444" s="80" t="s">
        <v>836</v>
      </c>
      <c r="J444" s="116">
        <v>45751.0</v>
      </c>
      <c r="K444" s="80" t="str">
        <f>IF(COUNTIF('TT BTSC'!$D:$D,B444)&gt;0,"Hư hỏng","Bình thường")</f>
        <v>Bình thường</v>
      </c>
      <c r="L444" s="117"/>
      <c r="M444" s="104" t="s">
        <v>890</v>
      </c>
      <c r="N444" s="95" t="s">
        <v>300</v>
      </c>
      <c r="O444" s="110" t="s">
        <v>148</v>
      </c>
      <c r="P444" s="95">
        <v>2024.0</v>
      </c>
      <c r="Q444" s="95" t="s">
        <v>315</v>
      </c>
      <c r="R444" s="95" t="s">
        <v>278</v>
      </c>
      <c r="S444" s="110" t="s">
        <v>2105</v>
      </c>
      <c r="T444" s="110" t="s">
        <v>2106</v>
      </c>
      <c r="U444" s="110">
        <v>0.63</v>
      </c>
      <c r="V444" s="112">
        <v>150.0</v>
      </c>
      <c r="W444" s="112"/>
      <c r="X444" s="112"/>
      <c r="Y444" s="112"/>
    </row>
    <row r="445" ht="13.5" customHeight="1" outlineLevel="1">
      <c r="A445" s="95">
        <f t="shared" si="14"/>
        <v>97</v>
      </c>
      <c r="B445" s="86" t="s">
        <v>2107</v>
      </c>
      <c r="C445" s="84" t="s">
        <v>1675</v>
      </c>
      <c r="D445" s="95" t="s">
        <v>2108</v>
      </c>
      <c r="E445" s="95"/>
      <c r="F445" s="95" t="s">
        <v>154</v>
      </c>
      <c r="G445" s="86" t="s">
        <v>2070</v>
      </c>
      <c r="H445" s="80" t="str">
        <f>VLOOKUP(G445,'01. TH'!$B:$E,3,0)</f>
        <v>6160 x 2330 x 2760</v>
      </c>
      <c r="I445" s="80" t="s">
        <v>836</v>
      </c>
      <c r="J445" s="99">
        <v>45967.0</v>
      </c>
      <c r="K445" s="80" t="str">
        <f>IF(COUNTIF('TT BTSC'!$D:$D,B445)&gt;0,"Hư hỏng","Bình thường")</f>
        <v>Bình thường</v>
      </c>
      <c r="L445" s="102"/>
      <c r="M445" s="104" t="s">
        <v>890</v>
      </c>
      <c r="N445" s="95" t="s">
        <v>300</v>
      </c>
      <c r="O445" s="110" t="s">
        <v>148</v>
      </c>
      <c r="P445" s="80">
        <v>2024.0</v>
      </c>
      <c r="Q445" s="80" t="s">
        <v>315</v>
      </c>
      <c r="R445" s="95" t="s">
        <v>278</v>
      </c>
      <c r="S445" s="108" t="s">
        <v>2109</v>
      </c>
      <c r="T445" s="110" t="s">
        <v>2110</v>
      </c>
      <c r="U445" s="110">
        <v>0.63</v>
      </c>
      <c r="V445" s="112">
        <v>150.0</v>
      </c>
      <c r="W445" s="112"/>
      <c r="X445" s="112"/>
      <c r="Y445" s="112"/>
    </row>
    <row r="446" ht="13.5" customHeight="1" outlineLevel="1">
      <c r="A446" s="95">
        <f t="shared" si="14"/>
        <v>98</v>
      </c>
      <c r="B446" s="113" t="s">
        <v>2111</v>
      </c>
      <c r="C446" s="113" t="s">
        <v>2111</v>
      </c>
      <c r="D446" s="95" t="str">
        <f>IFERROR(VLOOKUP(B446,' 02.1 KLH-CN MÃ BRAVO MM'!$B:$C,2,0),"")</f>
        <v>ATT-A22-0286</v>
      </c>
      <c r="E446" s="95"/>
      <c r="F446" s="95" t="s">
        <v>154</v>
      </c>
      <c r="G446" s="115" t="s">
        <v>2112</v>
      </c>
      <c r="H446" s="80" t="str">
        <f>VLOOKUP(G446,'01. TH'!$B:$E,3,0)</f>
        <v>6160 x 2330 x 2760</v>
      </c>
      <c r="I446" s="95" t="s">
        <v>836</v>
      </c>
      <c r="J446" s="116">
        <v>45261.0</v>
      </c>
      <c r="K446" s="80" t="str">
        <f>IF(COUNTIF('TT BTSC'!$D:$D,B446)&gt;0,"Hư hỏng","Bình thường")</f>
        <v>Bình thường</v>
      </c>
      <c r="L446" s="117">
        <v>0.97</v>
      </c>
      <c r="M446" s="118"/>
      <c r="N446" s="119" t="s">
        <v>300</v>
      </c>
      <c r="O446" s="110" t="s">
        <v>148</v>
      </c>
      <c r="P446" s="95">
        <v>2022.0</v>
      </c>
      <c r="Q446" s="95" t="s">
        <v>307</v>
      </c>
      <c r="R446" s="119" t="s">
        <v>278</v>
      </c>
      <c r="S446" s="108" t="s">
        <v>2113</v>
      </c>
      <c r="T446" s="110" t="s">
        <v>2114</v>
      </c>
      <c r="U446" s="110">
        <v>0.45</v>
      </c>
      <c r="V446" s="112">
        <v>150.0</v>
      </c>
      <c r="W446" s="112"/>
      <c r="X446" s="112"/>
      <c r="Y446" s="112"/>
    </row>
    <row r="447" ht="13.5" customHeight="1" outlineLevel="1">
      <c r="A447" s="95">
        <f t="shared" si="14"/>
        <v>99</v>
      </c>
      <c r="B447" s="84" t="s">
        <v>2115</v>
      </c>
      <c r="C447" s="84" t="s">
        <v>1675</v>
      </c>
      <c r="D447" s="95" t="str">
        <f>IFERROR(VLOOKUP(B447,' 02.1 KLH-CN MÃ BRAVO MM'!$B:$C,2,0),"")</f>
        <v>ATT-A22-0292</v>
      </c>
      <c r="E447" s="95"/>
      <c r="F447" s="95" t="s">
        <v>154</v>
      </c>
      <c r="G447" s="86" t="s">
        <v>2112</v>
      </c>
      <c r="H447" s="80" t="str">
        <f>VLOOKUP(G447,'01. TH'!$B:$E,3,0)</f>
        <v>6160 x 2330 x 2760</v>
      </c>
      <c r="I447" s="80" t="s">
        <v>836</v>
      </c>
      <c r="J447" s="99">
        <v>45261.0</v>
      </c>
      <c r="K447" s="80" t="str">
        <f>IF(COUNTIF('TT BTSC'!$D:$D,B447)&gt;0,"Hư hỏng","Bình thường")</f>
        <v>Bình thường</v>
      </c>
      <c r="L447" s="102">
        <v>0.97</v>
      </c>
      <c r="M447" s="104"/>
      <c r="N447" s="106" t="s">
        <v>300</v>
      </c>
      <c r="O447" s="108" t="s">
        <v>148</v>
      </c>
      <c r="P447" s="80">
        <v>2022.0</v>
      </c>
      <c r="Q447" s="95" t="s">
        <v>307</v>
      </c>
      <c r="R447" s="106" t="s">
        <v>278</v>
      </c>
      <c r="S447" s="108" t="s">
        <v>2116</v>
      </c>
      <c r="T447" s="110" t="s">
        <v>2117</v>
      </c>
      <c r="U447" s="110">
        <v>0.45</v>
      </c>
      <c r="V447" s="112">
        <v>150.0</v>
      </c>
      <c r="W447" s="112"/>
      <c r="X447" s="112"/>
      <c r="Y447" s="112"/>
    </row>
    <row r="448" ht="13.5" customHeight="1" outlineLevel="1">
      <c r="A448" s="95">
        <f t="shared" si="14"/>
        <v>100</v>
      </c>
      <c r="B448" s="84" t="s">
        <v>2118</v>
      </c>
      <c r="C448" s="84" t="s">
        <v>1675</v>
      </c>
      <c r="D448" s="95" t="str">
        <f>IFERROR(VLOOKUP(B448,' 02.1 KLH-CN MÃ BRAVO MM'!$B:$C,2,0),"")</f>
        <v>ATT-A22-0290</v>
      </c>
      <c r="E448" s="95"/>
      <c r="F448" s="95" t="s">
        <v>154</v>
      </c>
      <c r="G448" s="86" t="s">
        <v>2112</v>
      </c>
      <c r="H448" s="80" t="str">
        <f>VLOOKUP(G448,'01. TH'!$B:$E,3,0)</f>
        <v>6160 x 2330 x 2760</v>
      </c>
      <c r="I448" s="80" t="s">
        <v>836</v>
      </c>
      <c r="J448" s="99">
        <v>45261.0</v>
      </c>
      <c r="K448" s="80" t="str">
        <f>IF(COUNTIF('TT BTSC'!$D:$D,B448)&gt;0,"Hư hỏng","Bình thường")</f>
        <v>Bình thường</v>
      </c>
      <c r="L448" s="102">
        <v>0.97</v>
      </c>
      <c r="M448" s="104"/>
      <c r="N448" s="106" t="s">
        <v>300</v>
      </c>
      <c r="O448" s="108" t="s">
        <v>148</v>
      </c>
      <c r="P448" s="80">
        <v>2022.0</v>
      </c>
      <c r="Q448" s="95" t="s">
        <v>307</v>
      </c>
      <c r="R448" s="106" t="s">
        <v>278</v>
      </c>
      <c r="S448" s="108" t="s">
        <v>2119</v>
      </c>
      <c r="T448" s="110" t="s">
        <v>2120</v>
      </c>
      <c r="U448" s="110">
        <v>4.0</v>
      </c>
      <c r="V448" s="112">
        <v>150.0</v>
      </c>
      <c r="W448" s="112"/>
      <c r="X448" s="112"/>
      <c r="Y448" s="112"/>
    </row>
    <row r="449" ht="13.5" customHeight="1" outlineLevel="1">
      <c r="A449" s="95">
        <f t="shared" si="14"/>
        <v>101</v>
      </c>
      <c r="B449" s="84" t="s">
        <v>2121</v>
      </c>
      <c r="C449" s="84" t="s">
        <v>1675</v>
      </c>
      <c r="D449" s="95" t="str">
        <f>IFERROR(VLOOKUP(B449,' 02.1 KLH-CN MÃ BRAVO MM'!$B:$C,2,0),"")</f>
        <v>ATT-A22-0291</v>
      </c>
      <c r="E449" s="95"/>
      <c r="F449" s="95" t="s">
        <v>154</v>
      </c>
      <c r="G449" s="86" t="s">
        <v>2112</v>
      </c>
      <c r="H449" s="80" t="str">
        <f>VLOOKUP(G449,'01. TH'!$B:$E,3,0)</f>
        <v>6160 x 2330 x 2760</v>
      </c>
      <c r="I449" s="80" t="s">
        <v>836</v>
      </c>
      <c r="J449" s="99">
        <v>45261.0</v>
      </c>
      <c r="K449" s="80" t="str">
        <f>IF(COUNTIF('TT BTSC'!$D:$D,B449)&gt;0,"Hư hỏng","Bình thường")</f>
        <v>Bình thường</v>
      </c>
      <c r="L449" s="102">
        <v>0.97</v>
      </c>
      <c r="M449" s="104"/>
      <c r="N449" s="106" t="s">
        <v>300</v>
      </c>
      <c r="O449" s="108" t="s">
        <v>148</v>
      </c>
      <c r="P449" s="80">
        <v>2022.0</v>
      </c>
      <c r="Q449" s="95" t="s">
        <v>307</v>
      </c>
      <c r="R449" s="106" t="s">
        <v>278</v>
      </c>
      <c r="S449" s="108" t="s">
        <v>2122</v>
      </c>
      <c r="T449" s="110" t="s">
        <v>2123</v>
      </c>
      <c r="U449" s="110">
        <v>0.45</v>
      </c>
      <c r="V449" s="112">
        <v>150.0</v>
      </c>
      <c r="W449" s="112"/>
      <c r="X449" s="112"/>
      <c r="Y449" s="112"/>
    </row>
    <row r="450" ht="13.5" customHeight="1" outlineLevel="1">
      <c r="A450" s="95">
        <f t="shared" si="14"/>
        <v>102</v>
      </c>
      <c r="B450" s="84" t="s">
        <v>2124</v>
      </c>
      <c r="C450" s="84" t="s">
        <v>1675</v>
      </c>
      <c r="D450" s="95" t="str">
        <f>IFERROR(VLOOKUP(B450,' 02.1 KLH-CN MÃ BRAVO MM'!$B:$C,2,0),"")</f>
        <v>ATT-A22-0303</v>
      </c>
      <c r="E450" s="95"/>
      <c r="F450" s="95" t="s">
        <v>154</v>
      </c>
      <c r="G450" s="86" t="s">
        <v>2125</v>
      </c>
      <c r="H450" s="80" t="str">
        <f>VLOOKUP(G450,'01. TH'!$B:$E,3,0)</f>
        <v>6160 x 2330 x 2760</v>
      </c>
      <c r="I450" s="80" t="s">
        <v>836</v>
      </c>
      <c r="J450" s="80" t="s">
        <v>2085</v>
      </c>
      <c r="K450" s="80" t="str">
        <f>IF(COUNTIF('TT BTSC'!$D:$D,B450)&gt;0,"Hư hỏng","Bình thường")</f>
        <v>Bình thường</v>
      </c>
      <c r="L450" s="102">
        <v>0.97</v>
      </c>
      <c r="M450" s="104"/>
      <c r="N450" s="106" t="s">
        <v>300</v>
      </c>
      <c r="O450" s="108" t="s">
        <v>148</v>
      </c>
      <c r="P450" s="80">
        <v>2023.0</v>
      </c>
      <c r="Q450" s="95" t="s">
        <v>307</v>
      </c>
      <c r="R450" s="106" t="s">
        <v>278</v>
      </c>
      <c r="S450" s="108" t="s">
        <v>2126</v>
      </c>
      <c r="T450" s="110" t="s">
        <v>2127</v>
      </c>
      <c r="U450" s="110">
        <v>4.0</v>
      </c>
      <c r="V450" s="112">
        <v>150.0</v>
      </c>
      <c r="W450" s="112"/>
      <c r="X450" s="112"/>
      <c r="Y450" s="112"/>
    </row>
    <row r="451" ht="13.5" customHeight="1" outlineLevel="1">
      <c r="A451" s="95">
        <f t="shared" si="14"/>
        <v>103</v>
      </c>
      <c r="B451" s="84" t="s">
        <v>2128</v>
      </c>
      <c r="C451" s="84" t="s">
        <v>1675</v>
      </c>
      <c r="D451" s="95" t="str">
        <f>IFERROR(VLOOKUP(B451,' 02.1 KLH-CN MÃ BRAVO MM'!$B:$C,2,0),"")</f>
        <v>ATT-A22-0299</v>
      </c>
      <c r="E451" s="95"/>
      <c r="F451" s="95" t="s">
        <v>154</v>
      </c>
      <c r="G451" s="86" t="s">
        <v>2125</v>
      </c>
      <c r="H451" s="80" t="str">
        <f>VLOOKUP(G451,'01. TH'!$B:$E,3,0)</f>
        <v>6160 x 2330 x 2760</v>
      </c>
      <c r="I451" s="80" t="s">
        <v>836</v>
      </c>
      <c r="J451" s="80" t="s">
        <v>2085</v>
      </c>
      <c r="K451" s="80" t="str">
        <f>IF(COUNTIF('TT BTSC'!$D:$D,B451)&gt;0,"Hư hỏng","Bình thường")</f>
        <v>Bình thường</v>
      </c>
      <c r="L451" s="102">
        <v>0.97</v>
      </c>
      <c r="M451" s="104" t="s">
        <v>890</v>
      </c>
      <c r="N451" s="106" t="s">
        <v>300</v>
      </c>
      <c r="O451" s="108" t="s">
        <v>148</v>
      </c>
      <c r="P451" s="80">
        <v>2023.0</v>
      </c>
      <c r="Q451" s="95" t="s">
        <v>307</v>
      </c>
      <c r="R451" s="106" t="s">
        <v>278</v>
      </c>
      <c r="S451" s="108" t="s">
        <v>2129</v>
      </c>
      <c r="T451" s="110" t="s">
        <v>2130</v>
      </c>
      <c r="U451" s="110">
        <v>0.45</v>
      </c>
      <c r="V451" s="112">
        <v>150.0</v>
      </c>
      <c r="W451" s="112"/>
      <c r="X451" s="112"/>
      <c r="Y451" s="112"/>
    </row>
    <row r="452" ht="13.5" customHeight="1" outlineLevel="1">
      <c r="A452" s="95">
        <f t="shared" si="14"/>
        <v>104</v>
      </c>
      <c r="B452" s="115" t="s">
        <v>2131</v>
      </c>
      <c r="C452" s="84" t="s">
        <v>1675</v>
      </c>
      <c r="D452" s="95" t="s">
        <v>2132</v>
      </c>
      <c r="E452" s="95" t="s">
        <v>2133</v>
      </c>
      <c r="F452" s="95" t="s">
        <v>154</v>
      </c>
      <c r="G452" s="86" t="s">
        <v>2125</v>
      </c>
      <c r="H452" s="80" t="str">
        <f>VLOOKUP(G452,'01. TH'!$B:$E,3,0)</f>
        <v>6160 x 2330 x 2760</v>
      </c>
      <c r="I452" s="80" t="s">
        <v>836</v>
      </c>
      <c r="J452" s="116">
        <v>45452.0</v>
      </c>
      <c r="K452" s="80" t="str">
        <f>IF(COUNTIF('TT BTSC'!$D:$D,B452)&gt;0,"Hư hỏng","Bình thường")</f>
        <v>Bình thường</v>
      </c>
      <c r="L452" s="119"/>
      <c r="M452" s="104" t="s">
        <v>890</v>
      </c>
      <c r="N452" s="95" t="s">
        <v>300</v>
      </c>
      <c r="O452" s="110" t="s">
        <v>148</v>
      </c>
      <c r="P452" s="95">
        <v>2024.0</v>
      </c>
      <c r="Q452" s="95" t="s">
        <v>307</v>
      </c>
      <c r="R452" s="95" t="s">
        <v>278</v>
      </c>
      <c r="S452" s="110" t="s">
        <v>2134</v>
      </c>
      <c r="T452" s="110" t="s">
        <v>2135</v>
      </c>
      <c r="U452" s="110">
        <v>0.45</v>
      </c>
      <c r="V452" s="112">
        <v>150.0</v>
      </c>
      <c r="W452" s="112"/>
      <c r="X452" s="112"/>
      <c r="Y452" s="112"/>
    </row>
    <row r="453" ht="13.5" customHeight="1" outlineLevel="1">
      <c r="A453" s="95">
        <f t="shared" si="14"/>
        <v>105</v>
      </c>
      <c r="B453" s="115" t="s">
        <v>2136</v>
      </c>
      <c r="C453" s="84" t="s">
        <v>1675</v>
      </c>
      <c r="D453" s="95" t="s">
        <v>2137</v>
      </c>
      <c r="E453" s="95" t="s">
        <v>2138</v>
      </c>
      <c r="F453" s="95" t="s">
        <v>154</v>
      </c>
      <c r="G453" s="86" t="s">
        <v>2125</v>
      </c>
      <c r="H453" s="80" t="str">
        <f>VLOOKUP(G453,'01. TH'!$B:$E,3,0)</f>
        <v>6160 x 2330 x 2760</v>
      </c>
      <c r="I453" s="80" t="s">
        <v>836</v>
      </c>
      <c r="J453" s="116">
        <v>45452.0</v>
      </c>
      <c r="K453" s="80" t="str">
        <f>IF(COUNTIF('TT BTSC'!$D:$D,B453)&gt;0,"Hư hỏng","Bình thường")</f>
        <v>Bình thường</v>
      </c>
      <c r="L453" s="119"/>
      <c r="M453" s="104" t="s">
        <v>890</v>
      </c>
      <c r="N453" s="95" t="s">
        <v>300</v>
      </c>
      <c r="O453" s="110" t="s">
        <v>148</v>
      </c>
      <c r="P453" s="95">
        <v>2024.0</v>
      </c>
      <c r="Q453" s="95" t="s">
        <v>307</v>
      </c>
      <c r="R453" s="95" t="s">
        <v>278</v>
      </c>
      <c r="S453" s="110" t="s">
        <v>2139</v>
      </c>
      <c r="T453" s="110" t="s">
        <v>2140</v>
      </c>
      <c r="U453" s="110">
        <v>0.45</v>
      </c>
      <c r="V453" s="112">
        <v>150.0</v>
      </c>
      <c r="W453" s="112"/>
      <c r="X453" s="112"/>
      <c r="Y453" s="112"/>
    </row>
    <row r="454" ht="13.5" customHeight="1" outlineLevel="1">
      <c r="A454" s="95">
        <f t="shared" si="14"/>
        <v>106</v>
      </c>
      <c r="B454" s="115" t="s">
        <v>2141</v>
      </c>
      <c r="C454" s="84" t="s">
        <v>1675</v>
      </c>
      <c r="D454" s="95" t="s">
        <v>2142</v>
      </c>
      <c r="E454" s="95" t="s">
        <v>2143</v>
      </c>
      <c r="F454" s="95" t="s">
        <v>154</v>
      </c>
      <c r="G454" s="86" t="s">
        <v>2125</v>
      </c>
      <c r="H454" s="80" t="str">
        <f>VLOOKUP(G454,'01. TH'!$B:$E,3,0)</f>
        <v>6160 x 2330 x 2760</v>
      </c>
      <c r="I454" s="80" t="s">
        <v>836</v>
      </c>
      <c r="J454" s="116">
        <v>45452.0</v>
      </c>
      <c r="K454" s="80" t="str">
        <f>IF(COUNTIF('TT BTSC'!$D:$D,B454)&gt;0,"Hư hỏng","Bình thường")</f>
        <v>Bình thường</v>
      </c>
      <c r="L454" s="119"/>
      <c r="M454" s="104" t="s">
        <v>890</v>
      </c>
      <c r="N454" s="95" t="s">
        <v>300</v>
      </c>
      <c r="O454" s="110" t="s">
        <v>148</v>
      </c>
      <c r="P454" s="95">
        <v>2024.0</v>
      </c>
      <c r="Q454" s="95" t="s">
        <v>307</v>
      </c>
      <c r="R454" s="95" t="s">
        <v>278</v>
      </c>
      <c r="S454" s="110" t="s">
        <v>2144</v>
      </c>
      <c r="T454" s="110" t="s">
        <v>2145</v>
      </c>
      <c r="U454" s="110">
        <v>0.45</v>
      </c>
      <c r="V454" s="112">
        <v>150.0</v>
      </c>
      <c r="W454" s="112"/>
      <c r="X454" s="112"/>
      <c r="Y454" s="112"/>
    </row>
    <row r="455" ht="13.5" customHeight="1" outlineLevel="1">
      <c r="A455" s="95">
        <f t="shared" si="14"/>
        <v>107</v>
      </c>
      <c r="B455" s="115" t="s">
        <v>2146</v>
      </c>
      <c r="C455" s="84" t="s">
        <v>1675</v>
      </c>
      <c r="D455" s="95" t="s">
        <v>2147</v>
      </c>
      <c r="E455" s="95" t="s">
        <v>2148</v>
      </c>
      <c r="F455" s="95" t="s">
        <v>154</v>
      </c>
      <c r="G455" s="86" t="s">
        <v>2125</v>
      </c>
      <c r="H455" s="80" t="str">
        <f>VLOOKUP(G455,'01. TH'!$B:$E,3,0)</f>
        <v>6160 x 2330 x 2760</v>
      </c>
      <c r="I455" s="80" t="s">
        <v>836</v>
      </c>
      <c r="J455" s="116">
        <v>45452.0</v>
      </c>
      <c r="K455" s="80" t="str">
        <f>IF(COUNTIF('TT BTSC'!$D:$D,B455)&gt;0,"Hư hỏng","Bình thường")</f>
        <v>Bình thường</v>
      </c>
      <c r="L455" s="119"/>
      <c r="M455" s="104" t="s">
        <v>890</v>
      </c>
      <c r="N455" s="95" t="s">
        <v>300</v>
      </c>
      <c r="O455" s="110" t="s">
        <v>148</v>
      </c>
      <c r="P455" s="95">
        <v>2024.0</v>
      </c>
      <c r="Q455" s="95" t="s">
        <v>307</v>
      </c>
      <c r="R455" s="95" t="s">
        <v>278</v>
      </c>
      <c r="S455" s="110" t="s">
        <v>2149</v>
      </c>
      <c r="T455" s="110" t="s">
        <v>2150</v>
      </c>
      <c r="U455" s="110">
        <v>0.45</v>
      </c>
      <c r="V455" s="112">
        <v>150.0</v>
      </c>
      <c r="W455" s="112"/>
      <c r="X455" s="112"/>
      <c r="Y455" s="112"/>
    </row>
    <row r="456" ht="13.5" customHeight="1" outlineLevel="1">
      <c r="A456" s="95">
        <f t="shared" si="14"/>
        <v>108</v>
      </c>
      <c r="B456" s="115" t="s">
        <v>2151</v>
      </c>
      <c r="C456" s="84" t="s">
        <v>1675</v>
      </c>
      <c r="D456" s="95" t="s">
        <v>2152</v>
      </c>
      <c r="E456" s="95" t="s">
        <v>2153</v>
      </c>
      <c r="F456" s="95" t="s">
        <v>154</v>
      </c>
      <c r="G456" s="115" t="s">
        <v>2154</v>
      </c>
      <c r="H456" s="80" t="str">
        <f>VLOOKUP(G456,'01. TH'!$B:$E,3,0)</f>
        <v>5910 x 2310 x 2800</v>
      </c>
      <c r="I456" s="80" t="s">
        <v>836</v>
      </c>
      <c r="J456" s="95" t="s">
        <v>2155</v>
      </c>
      <c r="K456" s="80" t="str">
        <f>IF(COUNTIF('TT BTSC'!$D:$D,B456)&gt;0,"Hư hỏng","Bình thường")</f>
        <v>Bình thường</v>
      </c>
      <c r="L456" s="119"/>
      <c r="M456" s="104" t="s">
        <v>890</v>
      </c>
      <c r="N456" s="95" t="s">
        <v>300</v>
      </c>
      <c r="O456" s="110" t="s">
        <v>148</v>
      </c>
      <c r="P456" s="95">
        <v>2024.0</v>
      </c>
      <c r="Q456" s="95" t="s">
        <v>2156</v>
      </c>
      <c r="R456" s="95" t="s">
        <v>338</v>
      </c>
      <c r="S456" s="110" t="s">
        <v>2157</v>
      </c>
      <c r="T456" s="110" t="s">
        <v>2158</v>
      </c>
      <c r="U456" s="110">
        <v>0.61</v>
      </c>
      <c r="V456" s="112">
        <v>150.0</v>
      </c>
      <c r="W456" s="112"/>
      <c r="X456" s="112"/>
      <c r="Y456" s="112"/>
    </row>
    <row r="457" ht="13.5" customHeight="1" outlineLevel="1">
      <c r="A457" s="95">
        <f t="shared" si="14"/>
        <v>109</v>
      </c>
      <c r="B457" s="115" t="s">
        <v>2159</v>
      </c>
      <c r="C457" s="84" t="s">
        <v>1675</v>
      </c>
      <c r="D457" s="95" t="s">
        <v>2160</v>
      </c>
      <c r="E457" s="95"/>
      <c r="F457" s="95" t="s">
        <v>154</v>
      </c>
      <c r="G457" s="115" t="s">
        <v>2154</v>
      </c>
      <c r="H457" s="80" t="str">
        <f>VLOOKUP(G457,'01. TH'!$B:$E,3,0)</f>
        <v>5910 x 2310 x 2800</v>
      </c>
      <c r="I457" s="80" t="s">
        <v>836</v>
      </c>
      <c r="J457" s="95" t="s">
        <v>2155</v>
      </c>
      <c r="K457" s="80" t="str">
        <f>IF(COUNTIF('TT BTSC'!$D:$D,B457)&gt;0,"Hư hỏng","Bình thường")</f>
        <v>Bình thường</v>
      </c>
      <c r="L457" s="119"/>
      <c r="M457" s="104" t="s">
        <v>890</v>
      </c>
      <c r="N457" s="95" t="s">
        <v>300</v>
      </c>
      <c r="O457" s="110" t="s">
        <v>148</v>
      </c>
      <c r="P457" s="95">
        <v>2024.0</v>
      </c>
      <c r="Q457" s="95" t="s">
        <v>2156</v>
      </c>
      <c r="R457" s="95" t="s">
        <v>338</v>
      </c>
      <c r="S457" s="110" t="s">
        <v>2161</v>
      </c>
      <c r="T457" s="110" t="s">
        <v>2162</v>
      </c>
      <c r="U457" s="110">
        <v>4.3</v>
      </c>
      <c r="V457" s="112">
        <v>150.0</v>
      </c>
      <c r="W457" s="112"/>
      <c r="X457" s="112"/>
      <c r="Y457" s="112"/>
    </row>
    <row r="458" ht="13.5" customHeight="1" outlineLevel="1">
      <c r="A458" s="95">
        <f t="shared" si="14"/>
        <v>110</v>
      </c>
      <c r="B458" s="115" t="s">
        <v>2163</v>
      </c>
      <c r="C458" s="84" t="s">
        <v>1675</v>
      </c>
      <c r="D458" s="95" t="s">
        <v>2164</v>
      </c>
      <c r="E458" s="95" t="s">
        <v>2165</v>
      </c>
      <c r="F458" s="95" t="s">
        <v>154</v>
      </c>
      <c r="G458" s="115" t="s">
        <v>2154</v>
      </c>
      <c r="H458" s="80" t="str">
        <f>VLOOKUP(G458,'01. TH'!$B:$E,3,0)</f>
        <v>5910 x 2310 x 2800</v>
      </c>
      <c r="I458" s="80" t="s">
        <v>836</v>
      </c>
      <c r="J458" s="95" t="s">
        <v>2155</v>
      </c>
      <c r="K458" s="80" t="str">
        <f>IF(COUNTIF('TT BTSC'!$D:$D,B458)&gt;0,"Hư hỏng","Bình thường")</f>
        <v>Bình thường</v>
      </c>
      <c r="L458" s="119"/>
      <c r="M458" s="104" t="s">
        <v>890</v>
      </c>
      <c r="N458" s="95" t="s">
        <v>300</v>
      </c>
      <c r="O458" s="110" t="s">
        <v>148</v>
      </c>
      <c r="P458" s="95">
        <v>2024.0</v>
      </c>
      <c r="Q458" s="95" t="s">
        <v>2156</v>
      </c>
      <c r="R458" s="95" t="s">
        <v>338</v>
      </c>
      <c r="S458" s="110" t="s">
        <v>2166</v>
      </c>
      <c r="T458" s="110" t="s">
        <v>2167</v>
      </c>
      <c r="U458" s="110">
        <v>0.61</v>
      </c>
      <c r="V458" s="112">
        <v>150.0</v>
      </c>
      <c r="W458" s="112"/>
      <c r="X458" s="112"/>
      <c r="Y458" s="112"/>
    </row>
    <row r="459" ht="13.5" customHeight="1" outlineLevel="1">
      <c r="A459" s="95">
        <f t="shared" si="14"/>
        <v>111</v>
      </c>
      <c r="B459" s="86" t="s">
        <v>2168</v>
      </c>
      <c r="C459" s="84" t="s">
        <v>2169</v>
      </c>
      <c r="D459" s="95" t="str">
        <f>IFERROR(VLOOKUP(B459,' 02.1 KLH-CN MÃ BRAVO MM'!$B:$C,2,0),"")</f>
        <v>ATT-A22-0258</v>
      </c>
      <c r="E459" s="95"/>
      <c r="F459" s="95" t="s">
        <v>79</v>
      </c>
      <c r="G459" s="86" t="s">
        <v>2170</v>
      </c>
      <c r="H459" s="80" t="str">
        <f>VLOOKUP(G459,'01. TH'!$B:$E,3,0)</f>
        <v>6160 x 2330 x 2750</v>
      </c>
      <c r="I459" s="80" t="s">
        <v>836</v>
      </c>
      <c r="J459" s="99">
        <v>44564.0</v>
      </c>
      <c r="K459" s="80" t="str">
        <f>IF(COUNTIF('TT BTSC'!$D:$D,B459)&gt;0,"Hư hỏng","Bình thường")</f>
        <v>Bình thường</v>
      </c>
      <c r="L459" s="102">
        <v>0.79</v>
      </c>
      <c r="M459" s="129" t="s">
        <v>2171</v>
      </c>
      <c r="N459" s="106" t="s">
        <v>300</v>
      </c>
      <c r="O459" s="108" t="s">
        <v>148</v>
      </c>
      <c r="P459" s="80">
        <v>2021.0</v>
      </c>
      <c r="Q459" s="80" t="s">
        <v>2172</v>
      </c>
      <c r="R459" s="106" t="s">
        <v>413</v>
      </c>
      <c r="S459" s="108" t="s">
        <v>2173</v>
      </c>
      <c r="T459" s="110" t="s">
        <v>2174</v>
      </c>
      <c r="U459" s="110">
        <v>0.3</v>
      </c>
      <c r="V459" s="112">
        <v>150.0</v>
      </c>
      <c r="W459" s="112"/>
      <c r="X459" s="112"/>
      <c r="Y459" s="112"/>
    </row>
    <row r="460" ht="13.5" customHeight="1" outlineLevel="1">
      <c r="A460" s="95">
        <f t="shared" si="14"/>
        <v>112</v>
      </c>
      <c r="B460" s="86" t="s">
        <v>2175</v>
      </c>
      <c r="C460" s="84"/>
      <c r="D460" s="95" t="s">
        <v>2176</v>
      </c>
      <c r="E460" s="95" t="s">
        <v>2177</v>
      </c>
      <c r="F460" s="95" t="s">
        <v>154</v>
      </c>
      <c r="G460" s="86" t="s">
        <v>2178</v>
      </c>
      <c r="H460" s="80" t="str">
        <f>VLOOKUP(G460,'01. TH'!$B:$E,3,0)</f>
        <v>6160 x 2330 x 2760</v>
      </c>
      <c r="I460" s="80" t="s">
        <v>836</v>
      </c>
      <c r="J460" s="99">
        <v>45636.0</v>
      </c>
      <c r="K460" s="80" t="str">
        <f>IF(COUNTIF('TT BTSC'!$D:$D,B460)&gt;0,"Hư hỏng","Bình thường")</f>
        <v>Bình thường</v>
      </c>
      <c r="L460" s="102"/>
      <c r="M460" s="104" t="s">
        <v>890</v>
      </c>
      <c r="N460" s="80" t="s">
        <v>300</v>
      </c>
      <c r="O460" s="108" t="s">
        <v>148</v>
      </c>
      <c r="P460" s="80">
        <v>2024.0</v>
      </c>
      <c r="Q460" s="80" t="s">
        <v>315</v>
      </c>
      <c r="R460" s="80" t="s">
        <v>804</v>
      </c>
      <c r="S460" s="108" t="s">
        <v>2179</v>
      </c>
      <c r="T460" s="110" t="s">
        <v>2180</v>
      </c>
      <c r="U460" s="110">
        <v>0.5</v>
      </c>
      <c r="V460" s="112">
        <v>150.0</v>
      </c>
      <c r="W460" s="112"/>
      <c r="X460" s="112"/>
      <c r="Y460" s="112"/>
    </row>
    <row r="461" ht="13.5" customHeight="1" outlineLevel="1">
      <c r="A461" s="95">
        <f t="shared" si="14"/>
        <v>113</v>
      </c>
      <c r="B461" s="86" t="s">
        <v>2181</v>
      </c>
      <c r="C461" s="84"/>
      <c r="D461" s="95" t="s">
        <v>2182</v>
      </c>
      <c r="E461" s="95"/>
      <c r="F461" s="95" t="s">
        <v>154</v>
      </c>
      <c r="G461" s="86" t="s">
        <v>2183</v>
      </c>
      <c r="H461" s="80" t="str">
        <f>VLOOKUP(G461,'01. TH'!$B:$E,3,0)</f>
        <v>5705x2530x2940</v>
      </c>
      <c r="I461" s="80" t="s">
        <v>836</v>
      </c>
      <c r="J461" s="80" t="s">
        <v>2184</v>
      </c>
      <c r="K461" s="80" t="str">
        <f>IF(COUNTIF('TT BTSC'!$D:$D,B461)&gt;0,"Hư hỏng","Bình thường")</f>
        <v>Bình thường</v>
      </c>
      <c r="L461" s="102"/>
      <c r="M461" s="129" t="s">
        <v>2185</v>
      </c>
      <c r="N461" s="80" t="s">
        <v>300</v>
      </c>
      <c r="O461" s="108" t="s">
        <v>148</v>
      </c>
      <c r="P461" s="80">
        <v>2022.0</v>
      </c>
      <c r="Q461" s="80" t="s">
        <v>2055</v>
      </c>
      <c r="R461" s="80" t="s">
        <v>2186</v>
      </c>
      <c r="S461" s="108" t="s">
        <v>2187</v>
      </c>
      <c r="T461" s="110" t="s">
        <v>2188</v>
      </c>
      <c r="U461" s="110">
        <v>7.0</v>
      </c>
      <c r="V461" s="112">
        <v>380.0</v>
      </c>
      <c r="W461" s="112"/>
      <c r="X461" s="112"/>
      <c r="Y461" s="112"/>
    </row>
    <row r="462" ht="13.5" customHeight="1" outlineLevel="1">
      <c r="A462" s="95">
        <f t="shared" si="14"/>
        <v>114</v>
      </c>
      <c r="B462" s="86" t="s">
        <v>2189</v>
      </c>
      <c r="C462" s="215"/>
      <c r="D462" s="95" t="s">
        <v>2190</v>
      </c>
      <c r="E462" s="95" t="s">
        <v>2191</v>
      </c>
      <c r="F462" s="95" t="s">
        <v>154</v>
      </c>
      <c r="G462" s="86" t="s">
        <v>2192</v>
      </c>
      <c r="H462" s="80" t="str">
        <f>VLOOKUP(G462,'01. TH'!$B:$E,3,0)</f>
        <v>6255x2500x3840</v>
      </c>
      <c r="I462" s="80" t="s">
        <v>836</v>
      </c>
      <c r="J462" s="99">
        <v>45692.0</v>
      </c>
      <c r="K462" s="80" t="str">
        <f>IF(COUNTIF('TT BTSC'!$D:$D,B462)&gt;0,"Hư hỏng","Bình thường")</f>
        <v>Bình thường</v>
      </c>
      <c r="L462" s="102"/>
      <c r="M462" s="129" t="s">
        <v>2193</v>
      </c>
      <c r="N462" s="80" t="s">
        <v>743</v>
      </c>
      <c r="O462" s="108" t="s">
        <v>148</v>
      </c>
      <c r="P462" s="80">
        <v>2024.0</v>
      </c>
      <c r="Q462" s="80" t="s">
        <v>2194</v>
      </c>
      <c r="R462" s="80" t="s">
        <v>2195</v>
      </c>
      <c r="S462" s="108" t="s">
        <v>2196</v>
      </c>
      <c r="T462" s="110" t="s">
        <v>2197</v>
      </c>
      <c r="U462" s="110"/>
      <c r="V462" s="112">
        <v>0.0</v>
      </c>
      <c r="W462" s="112"/>
      <c r="X462" s="112"/>
      <c r="Y462" s="112"/>
    </row>
    <row r="463" ht="13.5" customHeight="1" outlineLevel="1">
      <c r="A463" s="95">
        <f t="shared" si="14"/>
        <v>115</v>
      </c>
      <c r="B463" s="86" t="s">
        <v>2198</v>
      </c>
      <c r="C463" s="247"/>
      <c r="D463" s="95" t="s">
        <v>2199</v>
      </c>
      <c r="E463" s="95" t="s">
        <v>2200</v>
      </c>
      <c r="F463" s="95" t="s">
        <v>154</v>
      </c>
      <c r="G463" s="86" t="s">
        <v>2201</v>
      </c>
      <c r="H463" s="80" t="str">
        <f>VLOOKUP(G463,'01. TH'!$B:$E,3,0)</f>
        <v>6255x2500x3840</v>
      </c>
      <c r="I463" s="80" t="s">
        <v>836</v>
      </c>
      <c r="J463" s="99">
        <v>45909.0</v>
      </c>
      <c r="K463" s="80" t="str">
        <f>IF(COUNTIF('TT BTSC'!$D:$D,B463)&gt;0,"Hư hỏng","Bình thường")</f>
        <v>Bình thường</v>
      </c>
      <c r="L463" s="102"/>
      <c r="M463" s="129" t="s">
        <v>2202</v>
      </c>
      <c r="N463" s="80" t="s">
        <v>2203</v>
      </c>
      <c r="O463" s="108" t="s">
        <v>260</v>
      </c>
      <c r="P463" s="80">
        <v>2025.0</v>
      </c>
      <c r="Q463" s="80" t="s">
        <v>2204</v>
      </c>
      <c r="R463" s="80" t="s">
        <v>2205</v>
      </c>
      <c r="S463" s="108" t="s">
        <v>2206</v>
      </c>
      <c r="T463" s="110" t="s">
        <v>2207</v>
      </c>
      <c r="U463" s="110"/>
      <c r="V463" s="112">
        <v>400.0</v>
      </c>
      <c r="W463" s="112"/>
      <c r="X463" s="112"/>
      <c r="Y463" s="112"/>
    </row>
    <row r="464" ht="13.5" customHeight="1" outlineLevel="1">
      <c r="A464" s="95">
        <f t="shared" si="14"/>
        <v>116</v>
      </c>
      <c r="B464" s="86" t="s">
        <v>2208</v>
      </c>
      <c r="C464" s="247"/>
      <c r="D464" s="95" t="s">
        <v>2209</v>
      </c>
      <c r="E464" s="95" t="s">
        <v>2210</v>
      </c>
      <c r="F464" s="95" t="s">
        <v>154</v>
      </c>
      <c r="G464" s="86" t="s">
        <v>2201</v>
      </c>
      <c r="H464" s="80" t="str">
        <f>VLOOKUP(G464,'01. TH'!$B:$E,3,0)</f>
        <v>6255x2500x3840</v>
      </c>
      <c r="I464" s="80" t="s">
        <v>836</v>
      </c>
      <c r="J464" s="99">
        <v>45879.0</v>
      </c>
      <c r="K464" s="80" t="str">
        <f>IF(COUNTIF('TT BTSC'!$D:$D,B464)&gt;0,"Hư hỏng","Bình thường")</f>
        <v>Bình thường</v>
      </c>
      <c r="L464" s="102"/>
      <c r="M464" s="129" t="s">
        <v>2211</v>
      </c>
      <c r="N464" s="80" t="s">
        <v>2203</v>
      </c>
      <c r="O464" s="108" t="s">
        <v>260</v>
      </c>
      <c r="P464" s="80">
        <v>2025.0</v>
      </c>
      <c r="Q464" s="80" t="s">
        <v>2204</v>
      </c>
      <c r="R464" s="80" t="s">
        <v>2205</v>
      </c>
      <c r="S464" s="108" t="s">
        <v>2212</v>
      </c>
      <c r="T464" s="110" t="s">
        <v>2213</v>
      </c>
      <c r="U464" s="110"/>
      <c r="V464" s="112">
        <v>400.0</v>
      </c>
      <c r="W464" s="112"/>
      <c r="X464" s="112"/>
      <c r="Y464" s="112"/>
    </row>
    <row r="465" ht="13.5" customHeight="1" outlineLevel="1">
      <c r="A465" s="95">
        <f t="shared" si="14"/>
        <v>117</v>
      </c>
      <c r="B465" s="86" t="s">
        <v>2214</v>
      </c>
      <c r="C465" s="247"/>
      <c r="D465" s="95" t="s">
        <v>2215</v>
      </c>
      <c r="E465" s="95" t="s">
        <v>2216</v>
      </c>
      <c r="F465" s="95" t="s">
        <v>154</v>
      </c>
      <c r="G465" s="86" t="s">
        <v>2201</v>
      </c>
      <c r="H465" s="80" t="str">
        <f>VLOOKUP(G465,'01. TH'!$B:$E,3,0)</f>
        <v>6255x2500x3840</v>
      </c>
      <c r="I465" s="80" t="s">
        <v>836</v>
      </c>
      <c r="J465" s="99">
        <v>45879.0</v>
      </c>
      <c r="K465" s="80" t="str">
        <f>IF(COUNTIF('TT BTSC'!$D:$D,B465)&gt;0,"Hư hỏng","Bình thường")</f>
        <v>Bình thường</v>
      </c>
      <c r="L465" s="102"/>
      <c r="M465" s="129" t="s">
        <v>2217</v>
      </c>
      <c r="N465" s="80" t="s">
        <v>2203</v>
      </c>
      <c r="O465" s="108" t="s">
        <v>260</v>
      </c>
      <c r="P465" s="80">
        <v>2025.0</v>
      </c>
      <c r="Q465" s="80" t="s">
        <v>2204</v>
      </c>
      <c r="R465" s="80" t="s">
        <v>2205</v>
      </c>
      <c r="S465" s="108" t="s">
        <v>2218</v>
      </c>
      <c r="T465" s="110" t="s">
        <v>2219</v>
      </c>
      <c r="U465" s="110"/>
      <c r="V465" s="112">
        <v>400.0</v>
      </c>
      <c r="W465" s="112"/>
      <c r="X465" s="112"/>
      <c r="Y465" s="112"/>
    </row>
    <row r="466" ht="13.5" customHeight="1" outlineLevel="1">
      <c r="A466" s="95">
        <f t="shared" si="14"/>
        <v>118</v>
      </c>
      <c r="B466" s="86" t="s">
        <v>2220</v>
      </c>
      <c r="C466" s="247"/>
      <c r="D466" s="95" t="s">
        <v>2221</v>
      </c>
      <c r="E466" s="95" t="s">
        <v>2222</v>
      </c>
      <c r="F466" s="95" t="s">
        <v>154</v>
      </c>
      <c r="G466" s="86" t="s">
        <v>2201</v>
      </c>
      <c r="H466" s="80" t="str">
        <f>VLOOKUP(G466,'01. TH'!$B:$E,3,0)</f>
        <v>6255x2500x3840</v>
      </c>
      <c r="I466" s="80" t="s">
        <v>836</v>
      </c>
      <c r="J466" s="80" t="s">
        <v>2223</v>
      </c>
      <c r="K466" s="80" t="str">
        <f>IF(COUNTIF('TT BTSC'!$D:$D,B466)&gt;0,"Hư hỏng","Bình thường")</f>
        <v>Bình thường</v>
      </c>
      <c r="L466" s="102"/>
      <c r="M466" s="129" t="s">
        <v>2224</v>
      </c>
      <c r="N466" s="80" t="s">
        <v>2203</v>
      </c>
      <c r="O466" s="108" t="s">
        <v>740</v>
      </c>
      <c r="P466" s="80">
        <v>2025.0</v>
      </c>
      <c r="Q466" s="80" t="s">
        <v>2204</v>
      </c>
      <c r="R466" s="80" t="s">
        <v>2205</v>
      </c>
      <c r="S466" s="108" t="s">
        <v>2225</v>
      </c>
      <c r="T466" s="110" t="s">
        <v>2226</v>
      </c>
      <c r="U466" s="110"/>
      <c r="V466" s="112">
        <v>400.0</v>
      </c>
      <c r="W466" s="112"/>
      <c r="X466" s="112"/>
      <c r="Y466" s="112"/>
    </row>
    <row r="467" ht="13.5" customHeight="1" outlineLevel="1">
      <c r="A467" s="95">
        <f t="shared" si="14"/>
        <v>119</v>
      </c>
      <c r="B467" s="86" t="s">
        <v>2227</v>
      </c>
      <c r="C467" s="248"/>
      <c r="D467" s="95" t="s">
        <v>2228</v>
      </c>
      <c r="E467" s="95" t="s">
        <v>2229</v>
      </c>
      <c r="F467" s="95" t="s">
        <v>154</v>
      </c>
      <c r="G467" s="249" t="s">
        <v>2201</v>
      </c>
      <c r="H467" s="80" t="str">
        <f>VLOOKUP(G467,'01. TH'!$B:$E,3,0)</f>
        <v>6255x2500x3840</v>
      </c>
      <c r="I467" s="224" t="s">
        <v>836</v>
      </c>
      <c r="J467" s="80" t="s">
        <v>2230</v>
      </c>
      <c r="K467" s="80" t="str">
        <f>IF(COUNTIF('TT BTSC'!$D:$D,B467)&gt;0,"Hư hỏng","Bình thường")</f>
        <v>Bình thường</v>
      </c>
      <c r="L467" s="250"/>
      <c r="M467" s="129" t="s">
        <v>2231</v>
      </c>
      <c r="N467" s="251" t="s">
        <v>2203</v>
      </c>
      <c r="O467" s="249" t="s">
        <v>740</v>
      </c>
      <c r="P467" s="251">
        <v>2025.0</v>
      </c>
      <c r="Q467" s="251" t="s">
        <v>2204</v>
      </c>
      <c r="R467" s="251" t="s">
        <v>2205</v>
      </c>
      <c r="S467" s="249" t="s">
        <v>2232</v>
      </c>
      <c r="T467" s="249" t="s">
        <v>2233</v>
      </c>
      <c r="U467" s="252"/>
      <c r="V467" s="253">
        <v>400.0</v>
      </c>
      <c r="W467" s="253"/>
      <c r="X467" s="253"/>
      <c r="Y467" s="253"/>
    </row>
    <row r="468" ht="13.5" customHeight="1" outlineLevel="1">
      <c r="A468" s="95">
        <f t="shared" si="14"/>
        <v>120</v>
      </c>
      <c r="B468" s="86" t="s">
        <v>2234</v>
      </c>
      <c r="C468" s="215"/>
      <c r="D468" s="95" t="s">
        <v>2235</v>
      </c>
      <c r="E468" s="95" t="s">
        <v>2236</v>
      </c>
      <c r="F468" s="95" t="s">
        <v>154</v>
      </c>
      <c r="G468" s="249" t="s">
        <v>2201</v>
      </c>
      <c r="H468" s="80" t="str">
        <f>VLOOKUP(G468,'01. TH'!$B:$E,3,0)</f>
        <v>6255x2500x3840</v>
      </c>
      <c r="I468" s="224" t="s">
        <v>836</v>
      </c>
      <c r="J468" s="99">
        <v>46082.0</v>
      </c>
      <c r="K468" s="80" t="str">
        <f>IF(COUNTIF('TT BTSC'!$D:$D,B468)&gt;0,"Hư hỏng","Bình thường")</f>
        <v>Bình thường</v>
      </c>
      <c r="L468" s="102"/>
      <c r="M468" s="104" t="s">
        <v>890</v>
      </c>
      <c r="N468" s="80" t="s">
        <v>2203</v>
      </c>
      <c r="O468" s="108" t="s">
        <v>740</v>
      </c>
      <c r="P468" s="80">
        <v>2025.0</v>
      </c>
      <c r="Q468" s="80" t="s">
        <v>2204</v>
      </c>
      <c r="R468" s="80" t="s">
        <v>2205</v>
      </c>
      <c r="S468" s="108" t="s">
        <v>2238</v>
      </c>
      <c r="T468" s="110" t="s">
        <v>2239</v>
      </c>
      <c r="U468" s="110"/>
      <c r="V468" s="112"/>
      <c r="W468" s="112"/>
      <c r="X468" s="112"/>
      <c r="Y468" s="112"/>
    </row>
    <row r="469" ht="13.5" customHeight="1" outlineLevel="1">
      <c r="A469" s="95">
        <f t="shared" si="14"/>
        <v>121</v>
      </c>
      <c r="B469" s="86" t="s">
        <v>2240</v>
      </c>
      <c r="C469" s="215"/>
      <c r="D469" s="95" t="s">
        <v>2241</v>
      </c>
      <c r="E469" s="95" t="s">
        <v>2242</v>
      </c>
      <c r="F469" s="95" t="s">
        <v>154</v>
      </c>
      <c r="G469" s="249" t="s">
        <v>2201</v>
      </c>
      <c r="H469" s="80" t="str">
        <f>VLOOKUP(G469,'01. TH'!$B:$E,3,0)</f>
        <v>6255x2500x3840</v>
      </c>
      <c r="I469" s="224" t="s">
        <v>836</v>
      </c>
      <c r="J469" s="80" t="s">
        <v>2243</v>
      </c>
      <c r="K469" s="80" t="str">
        <f>IF(COUNTIF('TT BTSC'!$D:$D,B469)&gt;0,"Hư hỏng","Bình thường")</f>
        <v>Bình thường</v>
      </c>
      <c r="L469" s="102"/>
      <c r="M469" s="129" t="s">
        <v>2244</v>
      </c>
      <c r="N469" s="80" t="s">
        <v>2203</v>
      </c>
      <c r="O469" s="108" t="s">
        <v>740</v>
      </c>
      <c r="P469" s="80">
        <v>2025.0</v>
      </c>
      <c r="Q469" s="80" t="s">
        <v>2204</v>
      </c>
      <c r="R469" s="80" t="s">
        <v>2205</v>
      </c>
      <c r="S469" s="108" t="s">
        <v>2245</v>
      </c>
      <c r="T469" s="110" t="s">
        <v>2246</v>
      </c>
      <c r="U469" s="110"/>
      <c r="V469" s="112"/>
      <c r="W469" s="112"/>
      <c r="X469" s="112"/>
      <c r="Y469" s="112"/>
    </row>
    <row r="470" ht="13.5" customHeight="1" outlineLevel="1">
      <c r="A470" s="95">
        <f t="shared" si="14"/>
        <v>122</v>
      </c>
      <c r="B470" s="86" t="s">
        <v>2247</v>
      </c>
      <c r="C470" s="215"/>
      <c r="D470" s="95" t="s">
        <v>2248</v>
      </c>
      <c r="E470" s="95" t="s">
        <v>2249</v>
      </c>
      <c r="F470" s="95" t="s">
        <v>154</v>
      </c>
      <c r="G470" s="249" t="s">
        <v>2201</v>
      </c>
      <c r="H470" s="80"/>
      <c r="I470" s="224" t="s">
        <v>836</v>
      </c>
      <c r="J470" s="99">
        <v>46176.0</v>
      </c>
      <c r="K470" s="80" t="str">
        <f>IF(COUNTIF('TT BTSC'!$D:$D,B470)&gt;0,"Hư hỏng","Bình thường")</f>
        <v>Bình thường</v>
      </c>
      <c r="L470" s="102"/>
      <c r="M470" s="129" t="s">
        <v>2250</v>
      </c>
      <c r="N470" s="80" t="s">
        <v>2203</v>
      </c>
      <c r="O470" s="108" t="s">
        <v>740</v>
      </c>
      <c r="P470" s="80">
        <v>2025.0</v>
      </c>
      <c r="Q470" s="80" t="s">
        <v>2204</v>
      </c>
      <c r="R470" s="80" t="s">
        <v>2251</v>
      </c>
      <c r="S470" s="108" t="s">
        <v>2252</v>
      </c>
      <c r="T470" s="110" t="s">
        <v>2253</v>
      </c>
      <c r="U470" s="110"/>
      <c r="V470" s="112"/>
      <c r="W470" s="112"/>
      <c r="X470" s="112"/>
      <c r="Y470" s="112"/>
    </row>
    <row r="471" ht="13.5" customHeight="1" outlineLevel="1">
      <c r="A471" s="95">
        <f t="shared" si="14"/>
        <v>123</v>
      </c>
      <c r="B471" s="86" t="s">
        <v>2254</v>
      </c>
      <c r="C471" s="215"/>
      <c r="D471" s="95" t="s">
        <v>2255</v>
      </c>
      <c r="E471" s="95" t="s">
        <v>2256</v>
      </c>
      <c r="F471" s="95" t="s">
        <v>154</v>
      </c>
      <c r="G471" s="249" t="s">
        <v>2201</v>
      </c>
      <c r="H471" s="80"/>
      <c r="I471" s="224" t="s">
        <v>836</v>
      </c>
      <c r="J471" s="99">
        <v>46176.0</v>
      </c>
      <c r="K471" s="80" t="str">
        <f>IF(COUNTIF('TT BTSC'!$D:$D,B471)&gt;0,"Hư hỏng","Bình thường")</f>
        <v>Bình thường</v>
      </c>
      <c r="L471" s="102"/>
      <c r="M471" s="129" t="s">
        <v>2257</v>
      </c>
      <c r="N471" s="80" t="s">
        <v>2203</v>
      </c>
      <c r="O471" s="108" t="s">
        <v>740</v>
      </c>
      <c r="P471" s="80">
        <v>2025.0</v>
      </c>
      <c r="Q471" s="80" t="s">
        <v>2204</v>
      </c>
      <c r="R471" s="80" t="s">
        <v>2251</v>
      </c>
      <c r="S471" s="108" t="s">
        <v>2258</v>
      </c>
      <c r="T471" s="110" t="s">
        <v>2259</v>
      </c>
      <c r="U471" s="110"/>
      <c r="V471" s="112"/>
      <c r="W471" s="112"/>
      <c r="X471" s="112"/>
      <c r="Y471" s="112"/>
    </row>
    <row r="472" ht="13.5" customHeight="1" outlineLevel="1">
      <c r="A472" s="95">
        <f t="shared" si="14"/>
        <v>124</v>
      </c>
      <c r="B472" s="86" t="s">
        <v>2260</v>
      </c>
      <c r="C472" s="215"/>
      <c r="D472" s="95" t="s">
        <v>2261</v>
      </c>
      <c r="E472" s="95" t="s">
        <v>2262</v>
      </c>
      <c r="F472" s="95" t="s">
        <v>154</v>
      </c>
      <c r="G472" s="249" t="s">
        <v>2201</v>
      </c>
      <c r="H472" s="80"/>
      <c r="I472" s="224" t="s">
        <v>836</v>
      </c>
      <c r="J472" s="99">
        <v>46176.0</v>
      </c>
      <c r="K472" s="80" t="str">
        <f>IF(COUNTIF('TT BTSC'!$D:$D,B472)&gt;0,"Hư hỏng","Bình thường")</f>
        <v>Bình thường</v>
      </c>
      <c r="L472" s="102"/>
      <c r="M472" s="129" t="s">
        <v>2264</v>
      </c>
      <c r="N472" s="80" t="s">
        <v>2203</v>
      </c>
      <c r="O472" s="108" t="s">
        <v>740</v>
      </c>
      <c r="P472" s="80">
        <v>2025.0</v>
      </c>
      <c r="Q472" s="80" t="s">
        <v>2204</v>
      </c>
      <c r="R472" s="80" t="s">
        <v>2251</v>
      </c>
      <c r="S472" s="108" t="s">
        <v>2265</v>
      </c>
      <c r="T472" s="110" t="s">
        <v>2266</v>
      </c>
      <c r="U472" s="110"/>
      <c r="V472" s="112"/>
      <c r="W472" s="112"/>
      <c r="X472" s="112"/>
      <c r="Y472" s="112"/>
    </row>
    <row r="473" ht="13.5" customHeight="1" outlineLevel="1">
      <c r="A473" s="95">
        <f t="shared" si="14"/>
        <v>125</v>
      </c>
      <c r="B473" s="86" t="s">
        <v>2267</v>
      </c>
      <c r="C473" s="215"/>
      <c r="D473" s="95" t="s">
        <v>2268</v>
      </c>
      <c r="E473" s="95" t="s">
        <v>2269</v>
      </c>
      <c r="F473" s="95" t="s">
        <v>154</v>
      </c>
      <c r="G473" s="249" t="s">
        <v>2201</v>
      </c>
      <c r="H473" s="80"/>
      <c r="I473" s="224" t="s">
        <v>836</v>
      </c>
      <c r="J473" s="99">
        <v>46176.0</v>
      </c>
      <c r="K473" s="80" t="str">
        <f>IF(COUNTIF('TT BTSC'!$D:$D,B473)&gt;0,"Hư hỏng","Bình thường")</f>
        <v>Bình thường</v>
      </c>
      <c r="L473" s="102"/>
      <c r="M473" s="129" t="s">
        <v>2270</v>
      </c>
      <c r="N473" s="80" t="s">
        <v>2203</v>
      </c>
      <c r="O473" s="108" t="s">
        <v>740</v>
      </c>
      <c r="P473" s="80">
        <v>2025.0</v>
      </c>
      <c r="Q473" s="80" t="s">
        <v>2204</v>
      </c>
      <c r="R473" s="80" t="s">
        <v>2251</v>
      </c>
      <c r="S473" s="108" t="s">
        <v>2271</v>
      </c>
      <c r="T473" s="110" t="s">
        <v>2272</v>
      </c>
      <c r="U473" s="110"/>
      <c r="V473" s="112"/>
      <c r="W473" s="112"/>
      <c r="X473" s="112"/>
      <c r="Y473" s="112"/>
    </row>
    <row r="474" ht="13.5" customHeight="1" outlineLevel="1">
      <c r="A474" s="95">
        <f t="shared" si="14"/>
        <v>126</v>
      </c>
      <c r="B474" s="86" t="s">
        <v>2273</v>
      </c>
      <c r="C474" s="215"/>
      <c r="D474" s="95" t="s">
        <v>2274</v>
      </c>
      <c r="E474" s="95"/>
      <c r="F474" s="95" t="s">
        <v>154</v>
      </c>
      <c r="G474" s="86" t="s">
        <v>946</v>
      </c>
      <c r="H474" s="80" t="str">
        <f>VLOOKUP(G474,'01. TH'!$B:$E,3,0)</f>
        <v/>
      </c>
      <c r="I474" s="80" t="s">
        <v>836</v>
      </c>
      <c r="J474" s="99">
        <v>45606.0</v>
      </c>
      <c r="K474" s="80" t="str">
        <f>IF(COUNTIF('TT BTSC'!$D:$D,B474)&gt;0,"Hư hỏng","Bình thường")</f>
        <v>Bình thường</v>
      </c>
      <c r="L474" s="102"/>
      <c r="M474" s="104" t="s">
        <v>890</v>
      </c>
      <c r="N474" s="80" t="s">
        <v>673</v>
      </c>
      <c r="O474" s="108" t="s">
        <v>948</v>
      </c>
      <c r="P474" s="80">
        <v>2022.0</v>
      </c>
      <c r="Q474" s="80" t="s">
        <v>2275</v>
      </c>
      <c r="R474" s="80" t="s">
        <v>950</v>
      </c>
      <c r="S474" s="108">
        <v>203373.0</v>
      </c>
      <c r="T474" s="110" t="s">
        <v>2276</v>
      </c>
      <c r="U474" s="110">
        <v>0.5</v>
      </c>
      <c r="V474" s="112">
        <v>0.0</v>
      </c>
      <c r="W474" s="112"/>
      <c r="X474" s="112"/>
      <c r="Y474" s="112"/>
    </row>
    <row r="475" ht="13.5" customHeight="1" outlineLevel="1">
      <c r="A475" s="95">
        <f t="shared" si="14"/>
        <v>127</v>
      </c>
      <c r="B475" s="86" t="s">
        <v>2277</v>
      </c>
      <c r="C475" s="84"/>
      <c r="D475" s="95" t="s">
        <v>2278</v>
      </c>
      <c r="E475" s="95"/>
      <c r="F475" s="95" t="s">
        <v>154</v>
      </c>
      <c r="G475" s="86" t="s">
        <v>946</v>
      </c>
      <c r="H475" s="80" t="str">
        <f>VLOOKUP(G475,'01. TH'!$B:$E,3,0)</f>
        <v/>
      </c>
      <c r="I475" s="80" t="s">
        <v>836</v>
      </c>
      <c r="J475" s="99">
        <v>45606.0</v>
      </c>
      <c r="K475" s="80" t="str">
        <f>IF(COUNTIF('TT BTSC'!$D:$D,B475)&gt;0,"Hư hỏng","Bình thường")</f>
        <v>Bình thường</v>
      </c>
      <c r="L475" s="102"/>
      <c r="M475" s="104" t="s">
        <v>890</v>
      </c>
      <c r="N475" s="80" t="s">
        <v>673</v>
      </c>
      <c r="O475" s="108" t="s">
        <v>948</v>
      </c>
      <c r="P475" s="80">
        <v>2022.0</v>
      </c>
      <c r="Q475" s="80" t="s">
        <v>2275</v>
      </c>
      <c r="R475" s="80" t="s">
        <v>950</v>
      </c>
      <c r="S475" s="108">
        <v>203356.0</v>
      </c>
      <c r="T475" s="110" t="s">
        <v>2279</v>
      </c>
      <c r="U475" s="110">
        <v>0.5</v>
      </c>
      <c r="V475" s="112">
        <v>0.0</v>
      </c>
      <c r="W475" s="112"/>
      <c r="X475" s="112"/>
      <c r="Y475" s="112"/>
    </row>
    <row r="476" ht="13.5" customHeight="1" outlineLevel="1">
      <c r="A476" s="95">
        <f t="shared" si="14"/>
        <v>128</v>
      </c>
      <c r="B476" s="86" t="s">
        <v>2280</v>
      </c>
      <c r="C476" s="86"/>
      <c r="D476" s="95" t="s">
        <v>2281</v>
      </c>
      <c r="E476" s="95"/>
      <c r="F476" s="95" t="s">
        <v>154</v>
      </c>
      <c r="G476" s="86" t="s">
        <v>946</v>
      </c>
      <c r="H476" s="80" t="str">
        <f>VLOOKUP(G476,'01. TH'!$B:$E,3,0)</f>
        <v/>
      </c>
      <c r="I476" s="80" t="s">
        <v>836</v>
      </c>
      <c r="J476" s="99">
        <v>45393.0</v>
      </c>
      <c r="K476" s="80" t="str">
        <f>IF(COUNTIF('TT BTSC'!$D:$D,B476)&gt;0,"Hư hỏng","Bình thường")</f>
        <v>Bình thường</v>
      </c>
      <c r="L476" s="102"/>
      <c r="M476" s="104" t="s">
        <v>890</v>
      </c>
      <c r="N476" s="80" t="s">
        <v>673</v>
      </c>
      <c r="O476" s="108" t="s">
        <v>948</v>
      </c>
      <c r="P476" s="80">
        <v>2022.0</v>
      </c>
      <c r="Q476" s="80" t="s">
        <v>2275</v>
      </c>
      <c r="R476" s="80" t="s">
        <v>950</v>
      </c>
      <c r="S476" s="108">
        <v>202927.0</v>
      </c>
      <c r="T476" s="110" t="s">
        <v>2282</v>
      </c>
      <c r="U476" s="110">
        <v>0.5</v>
      </c>
      <c r="V476" s="112">
        <v>0.0</v>
      </c>
      <c r="W476" s="112"/>
      <c r="X476" s="112"/>
      <c r="Y476" s="112"/>
    </row>
    <row r="477" ht="13.5" customHeight="1" outlineLevel="1">
      <c r="A477" s="95">
        <f t="shared" si="14"/>
        <v>129</v>
      </c>
      <c r="B477" s="86" t="s">
        <v>2283</v>
      </c>
      <c r="C477" s="86"/>
      <c r="D477" s="95" t="s">
        <v>2284</v>
      </c>
      <c r="E477" s="95"/>
      <c r="F477" s="95" t="s">
        <v>154</v>
      </c>
      <c r="G477" s="86" t="s">
        <v>946</v>
      </c>
      <c r="H477" s="80" t="str">
        <f>VLOOKUP(G477,'01. TH'!$B:$E,3,0)</f>
        <v/>
      </c>
      <c r="I477" s="80" t="s">
        <v>836</v>
      </c>
      <c r="J477" s="99">
        <v>45393.0</v>
      </c>
      <c r="K477" s="80" t="str">
        <f>IF(COUNTIF('TT BTSC'!$D:$D,B477)&gt;0,"Hư hỏng","Bình thường")</f>
        <v>Bình thường</v>
      </c>
      <c r="L477" s="102"/>
      <c r="M477" s="104" t="s">
        <v>890</v>
      </c>
      <c r="N477" s="80" t="s">
        <v>673</v>
      </c>
      <c r="O477" s="108" t="s">
        <v>948</v>
      </c>
      <c r="P477" s="80">
        <v>2022.0</v>
      </c>
      <c r="Q477" s="80" t="s">
        <v>2275</v>
      </c>
      <c r="R477" s="80" t="s">
        <v>950</v>
      </c>
      <c r="S477" s="108">
        <v>202929.0</v>
      </c>
      <c r="T477" s="110" t="s">
        <v>2285</v>
      </c>
      <c r="U477" s="110">
        <v>0.5</v>
      </c>
      <c r="V477" s="112">
        <v>0.0</v>
      </c>
      <c r="W477" s="112"/>
      <c r="X477" s="112"/>
      <c r="Y477" s="112"/>
    </row>
    <row r="478" ht="13.5" customHeight="1" outlineLevel="1">
      <c r="A478" s="95">
        <f t="shared" si="14"/>
        <v>130</v>
      </c>
      <c r="B478" s="86" t="s">
        <v>2286</v>
      </c>
      <c r="C478" s="86"/>
      <c r="D478" s="95" t="s">
        <v>2287</v>
      </c>
      <c r="E478" s="95"/>
      <c r="F478" s="95" t="s">
        <v>154</v>
      </c>
      <c r="G478" s="86" t="s">
        <v>946</v>
      </c>
      <c r="H478" s="80" t="str">
        <f>VLOOKUP(G478,'01. TH'!$B:$E,3,0)</f>
        <v/>
      </c>
      <c r="I478" s="80" t="s">
        <v>836</v>
      </c>
      <c r="J478" s="99">
        <v>45393.0</v>
      </c>
      <c r="K478" s="80" t="str">
        <f>IF(COUNTIF('TT BTSC'!$D:$D,B478)&gt;0,"Hư hỏng","Bình thường")</f>
        <v>Bình thường</v>
      </c>
      <c r="L478" s="102"/>
      <c r="M478" s="104" t="s">
        <v>890</v>
      </c>
      <c r="N478" s="80" t="s">
        <v>673</v>
      </c>
      <c r="O478" s="108" t="s">
        <v>948</v>
      </c>
      <c r="P478" s="80">
        <v>2022.0</v>
      </c>
      <c r="Q478" s="80" t="s">
        <v>2275</v>
      </c>
      <c r="R478" s="80" t="s">
        <v>950</v>
      </c>
      <c r="S478" s="108">
        <v>203359.0</v>
      </c>
      <c r="T478" s="110" t="s">
        <v>2289</v>
      </c>
      <c r="U478" s="110">
        <v>0.5</v>
      </c>
      <c r="V478" s="112">
        <v>0.0</v>
      </c>
      <c r="W478" s="112"/>
      <c r="X478" s="112"/>
      <c r="Y478" s="112"/>
    </row>
    <row r="479" ht="13.5" customHeight="1" outlineLevel="1">
      <c r="A479" s="95">
        <f t="shared" si="14"/>
        <v>131</v>
      </c>
      <c r="B479" s="84" t="s">
        <v>2290</v>
      </c>
      <c r="C479" s="86"/>
      <c r="D479" s="95" t="str">
        <f>IFERROR(VLOOKUP(B479,' 02.1 KLH-CN MÃ BRAVO MM'!$B:$C,2,0),"")</f>
        <v>ATT-A22-0317</v>
      </c>
      <c r="E479" s="80" t="s">
        <v>2291</v>
      </c>
      <c r="F479" s="95" t="s">
        <v>154</v>
      </c>
      <c r="G479" s="86" t="s">
        <v>896</v>
      </c>
      <c r="H479" s="80" t="str">
        <f>VLOOKUP(G479,'01. TH'!$B:$E,3,0)</f>
        <v>4730 x 1750 x 2100</v>
      </c>
      <c r="I479" s="80" t="s">
        <v>836</v>
      </c>
      <c r="J479" s="99">
        <v>45566.0</v>
      </c>
      <c r="K479" s="80" t="str">
        <f>IF(COUNTIF('TT BTSC'!$D:$D,B479)&gt;0,"Hư hỏng","Bình thường")</f>
        <v>Bình thường</v>
      </c>
      <c r="L479" s="102">
        <v>0.98</v>
      </c>
      <c r="M479" s="104"/>
      <c r="N479" s="106" t="s">
        <v>897</v>
      </c>
      <c r="O479" s="108" t="s">
        <v>148</v>
      </c>
      <c r="P479" s="80">
        <v>2021.0</v>
      </c>
      <c r="Q479" s="80" t="s">
        <v>898</v>
      </c>
      <c r="R479" s="106" t="s">
        <v>158</v>
      </c>
      <c r="S479" s="108" t="s">
        <v>2292</v>
      </c>
      <c r="T479" s="110" t="s">
        <v>2293</v>
      </c>
      <c r="U479" s="110"/>
      <c r="V479" s="112">
        <v>60.0</v>
      </c>
      <c r="W479" s="112"/>
      <c r="X479" s="112"/>
      <c r="Y479" s="112"/>
    </row>
    <row r="480" ht="13.5" customHeight="1" outlineLevel="1">
      <c r="A480" s="95">
        <f t="shared" si="14"/>
        <v>132</v>
      </c>
      <c r="B480" s="84" t="s">
        <v>2294</v>
      </c>
      <c r="C480" s="84" t="s">
        <v>773</v>
      </c>
      <c r="D480" s="95" t="str">
        <f>IFERROR(VLOOKUP(B480,' 02.1 KLH-CN MÃ BRAVO MM'!$B:$C,2,0),"")</f>
        <v>ATT-A22-0313</v>
      </c>
      <c r="E480" s="95"/>
      <c r="F480" s="95" t="s">
        <v>154</v>
      </c>
      <c r="G480" s="86" t="s">
        <v>2295</v>
      </c>
      <c r="H480" s="80" t="str">
        <f>VLOOKUP(G480,'01. TH'!$B:$E,3,0)</f>
        <v>3300 x 1300 x 1600</v>
      </c>
      <c r="I480" s="80" t="s">
        <v>836</v>
      </c>
      <c r="J480" s="99">
        <v>44938.0</v>
      </c>
      <c r="K480" s="80" t="str">
        <f>IF(COUNTIF('TT BTSC'!$D:$D,B480)&gt;0,"Hư hỏng","Bình thường")</f>
        <v>Bình thường</v>
      </c>
      <c r="L480" s="102">
        <v>0.93</v>
      </c>
      <c r="M480" s="104" t="s">
        <v>890</v>
      </c>
      <c r="N480" s="106" t="s">
        <v>2296</v>
      </c>
      <c r="O480" s="108" t="s">
        <v>148</v>
      </c>
      <c r="P480" s="80">
        <v>2020.0</v>
      </c>
      <c r="Q480" s="80" t="s">
        <v>2297</v>
      </c>
      <c r="R480" s="106" t="s">
        <v>950</v>
      </c>
      <c r="S480" s="108" t="s">
        <v>2298</v>
      </c>
      <c r="T480" s="110" t="s">
        <v>96</v>
      </c>
      <c r="U480" s="110">
        <v>2.5</v>
      </c>
      <c r="V480" s="112">
        <v>0.0</v>
      </c>
      <c r="W480" s="112"/>
      <c r="X480" s="112"/>
      <c r="Y480" s="112"/>
    </row>
    <row r="481" ht="13.5" customHeight="1" outlineLevel="1">
      <c r="A481" s="95">
        <f t="shared" si="14"/>
        <v>133</v>
      </c>
      <c r="B481" s="84" t="s">
        <v>2299</v>
      </c>
      <c r="C481" s="84" t="s">
        <v>773</v>
      </c>
      <c r="D481" s="95" t="str">
        <f>IFERROR(VLOOKUP(B481,' 02.1 KLH-CN MÃ BRAVO MM'!$B:$C,2,0),"")</f>
        <v>ATT-A22-0327</v>
      </c>
      <c r="E481" s="95"/>
      <c r="F481" s="95" t="s">
        <v>154</v>
      </c>
      <c r="G481" s="86" t="s">
        <v>2295</v>
      </c>
      <c r="H481" s="80" t="str">
        <f>VLOOKUP(G481,'01. TH'!$B:$E,3,0)</f>
        <v>3300 x 1300 x 1600</v>
      </c>
      <c r="I481" s="80" t="s">
        <v>836</v>
      </c>
      <c r="J481" s="80" t="s">
        <v>2300</v>
      </c>
      <c r="K481" s="80" t="str">
        <f>IF(COUNTIF('TT BTSC'!$D:$D,B481)&gt;0,"Hư hỏng","Bình thường")</f>
        <v>Bình thường</v>
      </c>
      <c r="L481" s="102">
        <v>0.95</v>
      </c>
      <c r="M481" s="104" t="s">
        <v>890</v>
      </c>
      <c r="N481" s="106" t="s">
        <v>2296</v>
      </c>
      <c r="O481" s="108" t="s">
        <v>148</v>
      </c>
      <c r="P481" s="80">
        <v>2020.0</v>
      </c>
      <c r="Q481" s="80" t="s">
        <v>2297</v>
      </c>
      <c r="R481" s="106" t="s">
        <v>950</v>
      </c>
      <c r="S481" s="108" t="s">
        <v>2302</v>
      </c>
      <c r="T481" s="110" t="s">
        <v>96</v>
      </c>
      <c r="U481" s="110">
        <v>2.5</v>
      </c>
      <c r="V481" s="112">
        <v>0.0</v>
      </c>
      <c r="W481" s="112"/>
      <c r="X481" s="112"/>
      <c r="Y481" s="112"/>
    </row>
    <row r="482" ht="13.5" customHeight="1" outlineLevel="1">
      <c r="A482" s="95">
        <f t="shared" si="14"/>
        <v>134</v>
      </c>
      <c r="B482" s="86" t="s">
        <v>2303</v>
      </c>
      <c r="C482" s="84"/>
      <c r="D482" s="95" t="str">
        <f>IFERROR(VLOOKUP(B482,' 02.1 KLH-CN MÃ BRAVO MM'!$B:$C,2,0),"")</f>
        <v>A22-XPT-004</v>
      </c>
      <c r="E482" s="95"/>
      <c r="F482" s="95" t="s">
        <v>79</v>
      </c>
      <c r="G482" s="86" t="s">
        <v>2304</v>
      </c>
      <c r="H482" s="80" t="str">
        <f>VLOOKUP(G482,'01. TH'!$B:$E,3,0)</f>
        <v/>
      </c>
      <c r="I482" s="80" t="s">
        <v>836</v>
      </c>
      <c r="J482" s="80"/>
      <c r="K482" s="80" t="str">
        <f>IF(COUNTIF('TT BTSC'!$D:$D,B482)&gt;0,"Hư hỏng","Bình thường")</f>
        <v>Bình thường</v>
      </c>
      <c r="L482" s="102"/>
      <c r="M482" s="129" t="s">
        <v>2306</v>
      </c>
      <c r="N482" s="80" t="s">
        <v>673</v>
      </c>
      <c r="O482" s="108" t="s">
        <v>222</v>
      </c>
      <c r="P482" s="80"/>
      <c r="Q482" s="80" t="s">
        <v>2307</v>
      </c>
      <c r="R482" s="80" t="s">
        <v>2308</v>
      </c>
      <c r="S482" s="108" t="s">
        <v>96</v>
      </c>
      <c r="T482" s="110" t="s">
        <v>2309</v>
      </c>
      <c r="U482" s="110">
        <v>2.4</v>
      </c>
      <c r="V482" s="112">
        <v>0.0</v>
      </c>
      <c r="W482" s="112"/>
      <c r="X482" s="112"/>
      <c r="Y482" s="112"/>
    </row>
    <row r="483" ht="13.5" customHeight="1" outlineLevel="1">
      <c r="A483" s="95">
        <f t="shared" si="14"/>
        <v>135</v>
      </c>
      <c r="B483" s="86" t="s">
        <v>2310</v>
      </c>
      <c r="C483" s="86" t="s">
        <v>2311</v>
      </c>
      <c r="D483" s="95" t="s">
        <v>2312</v>
      </c>
      <c r="E483" s="95"/>
      <c r="F483" s="9" t="s">
        <v>139</v>
      </c>
      <c r="G483" s="161" t="s">
        <v>1520</v>
      </c>
      <c r="H483" s="80" t="str">
        <f>VLOOKUP(G483,'01. TH'!$B:$E,3,0)</f>
        <v/>
      </c>
      <c r="I483" s="80" t="s">
        <v>836</v>
      </c>
      <c r="J483" s="99">
        <v>45454.0</v>
      </c>
      <c r="K483" s="80" t="str">
        <f>IF(COUNTIF('TT BTSC'!$D:$D,B483)&gt;0,"Hư hỏng","Bình thường")</f>
        <v>Bình thường</v>
      </c>
      <c r="L483" s="102"/>
      <c r="M483" s="129" t="s">
        <v>2313</v>
      </c>
      <c r="N483" s="80" t="s">
        <v>1521</v>
      </c>
      <c r="O483" s="108" t="s">
        <v>662</v>
      </c>
      <c r="P483" s="80">
        <v>2024.0</v>
      </c>
      <c r="Q483" s="80" t="s">
        <v>2314</v>
      </c>
      <c r="R483" s="80" t="s">
        <v>2315</v>
      </c>
      <c r="S483" s="108" t="s">
        <v>2316</v>
      </c>
      <c r="T483" s="110">
        <v>410203.0</v>
      </c>
      <c r="U483" s="110"/>
      <c r="V483" s="112">
        <v>0.0</v>
      </c>
      <c r="W483" s="112"/>
      <c r="X483" s="112"/>
      <c r="Y483" s="112"/>
    </row>
    <row r="484" ht="13.5" customHeight="1" outlineLevel="1">
      <c r="A484" s="95">
        <f t="shared" si="14"/>
        <v>136</v>
      </c>
      <c r="B484" s="86" t="s">
        <v>2317</v>
      </c>
      <c r="C484" s="86"/>
      <c r="D484" s="95"/>
      <c r="E484" s="95"/>
      <c r="F484" s="9" t="s">
        <v>139</v>
      </c>
      <c r="G484" s="161" t="s">
        <v>1520</v>
      </c>
      <c r="H484" s="80" t="str">
        <f>VLOOKUP(G484,'01. TH'!$B:$E,3,0)</f>
        <v/>
      </c>
      <c r="I484" s="80" t="s">
        <v>836</v>
      </c>
      <c r="J484" s="80"/>
      <c r="K484" s="80" t="str">
        <f>IF(COUNTIF('TT BTSC'!$D:$D,B484)&gt;0,"Hư hỏng","Bình thường")</f>
        <v>Bình thường</v>
      </c>
      <c r="L484" s="102"/>
      <c r="M484" s="129" t="s">
        <v>2313</v>
      </c>
      <c r="N484" s="137" t="s">
        <v>1521</v>
      </c>
      <c r="O484" s="108" t="s">
        <v>662</v>
      </c>
      <c r="P484" s="80">
        <v>2024.0</v>
      </c>
      <c r="Q484" s="80" t="s">
        <v>1522</v>
      </c>
      <c r="R484" s="80" t="s">
        <v>1523</v>
      </c>
      <c r="S484" s="108" t="s">
        <v>2318</v>
      </c>
      <c r="T484" s="110" t="s">
        <v>2319</v>
      </c>
      <c r="U484" s="110"/>
      <c r="V484" s="112">
        <v>0.0</v>
      </c>
      <c r="W484" s="112"/>
      <c r="X484" s="112"/>
      <c r="Y484" s="112"/>
    </row>
    <row r="485" ht="13.5" customHeight="1" outlineLevel="1">
      <c r="A485" s="95">
        <f t="shared" si="14"/>
        <v>137</v>
      </c>
      <c r="B485" s="86" t="s">
        <v>1719</v>
      </c>
      <c r="C485" s="86" t="s">
        <v>2320</v>
      </c>
      <c r="D485" s="95" t="s">
        <v>2321</v>
      </c>
      <c r="E485" s="95"/>
      <c r="F485" s="9" t="s">
        <v>139</v>
      </c>
      <c r="G485" s="161" t="s">
        <v>496</v>
      </c>
      <c r="H485" s="80" t="str">
        <f>VLOOKUP(G485,'01. TH'!$B:$E,3,0)</f>
        <v>2625 x 1290 x 1570</v>
      </c>
      <c r="I485" s="80" t="s">
        <v>836</v>
      </c>
      <c r="J485" s="99">
        <v>45999.0</v>
      </c>
      <c r="K485" s="80" t="str">
        <f>IF(COUNTIF('TT BTSC'!$D:$D,B485)&gt;0,"Hư hỏng","Bình thường")</f>
        <v>Bình thường</v>
      </c>
      <c r="L485" s="102"/>
      <c r="M485" s="129" t="s">
        <v>2322</v>
      </c>
      <c r="N485" s="80" t="s">
        <v>187</v>
      </c>
      <c r="O485" s="108" t="s">
        <v>510</v>
      </c>
      <c r="P485" s="80">
        <v>2004.0</v>
      </c>
      <c r="Q485" s="80" t="s">
        <v>498</v>
      </c>
      <c r="R485" s="80" t="s">
        <v>462</v>
      </c>
      <c r="S485" s="108" t="s">
        <v>2323</v>
      </c>
      <c r="T485" s="110">
        <v>161031.0</v>
      </c>
      <c r="U485" s="140">
        <v>2.5</v>
      </c>
      <c r="V485" s="112">
        <v>52.0</v>
      </c>
      <c r="W485" s="112"/>
      <c r="X485" s="112"/>
      <c r="Y485" s="112"/>
    </row>
    <row r="486" ht="13.5" customHeight="1" outlineLevel="1">
      <c r="A486" s="95">
        <f t="shared" si="14"/>
        <v>138</v>
      </c>
      <c r="B486" s="86" t="s">
        <v>2324</v>
      </c>
      <c r="C486" s="86"/>
      <c r="D486" s="95" t="s">
        <v>2325</v>
      </c>
      <c r="E486" s="95"/>
      <c r="F486" s="9" t="s">
        <v>139</v>
      </c>
      <c r="G486" s="161" t="s">
        <v>2326</v>
      </c>
      <c r="H486" s="80" t="str">
        <f>VLOOKUP(G486,'01. TH'!$B:$E,3,0)</f>
        <v>6800 x 3200 x 3400</v>
      </c>
      <c r="I486" s="80" t="s">
        <v>836</v>
      </c>
      <c r="J486" s="99">
        <v>45785.0</v>
      </c>
      <c r="K486" s="80" t="str">
        <f>IF(COUNTIF('TT BTSC'!$D:$D,B486)&gt;0,"Hư hỏng","Bình thường")</f>
        <v>Bình thường</v>
      </c>
      <c r="L486" s="102"/>
      <c r="M486" s="129" t="s">
        <v>76</v>
      </c>
      <c r="N486" s="80" t="s">
        <v>1887</v>
      </c>
      <c r="O486" s="108"/>
      <c r="P486" s="80"/>
      <c r="Q486" s="80" t="s">
        <v>2327</v>
      </c>
      <c r="R486" s="80" t="s">
        <v>2328</v>
      </c>
      <c r="S486" s="108">
        <v>20265.0</v>
      </c>
      <c r="T486" s="110" t="s">
        <v>2329</v>
      </c>
      <c r="U486" s="110"/>
      <c r="V486" s="112">
        <v>0.0</v>
      </c>
      <c r="W486" s="112"/>
      <c r="X486" s="112"/>
      <c r="Y486" s="112"/>
    </row>
    <row r="487" ht="13.5" customHeight="1" outlineLevel="1">
      <c r="A487" s="95">
        <f t="shared" si="14"/>
        <v>139</v>
      </c>
      <c r="B487" s="86" t="s">
        <v>2330</v>
      </c>
      <c r="C487" s="86"/>
      <c r="D487" s="95" t="s">
        <v>2331</v>
      </c>
      <c r="E487" s="95"/>
      <c r="F487" s="9" t="s">
        <v>139</v>
      </c>
      <c r="G487" s="161" t="s">
        <v>2332</v>
      </c>
      <c r="H487" s="80" t="str">
        <f>VLOOKUP(G487,'01. TH'!$B:$E,3,0)</f>
        <v/>
      </c>
      <c r="I487" s="80" t="s">
        <v>836</v>
      </c>
      <c r="J487" s="99">
        <v>45785.0</v>
      </c>
      <c r="K487" s="80" t="str">
        <f>IF(COUNTIF('TT BTSC'!$D:$D,B487)&gt;0,"Hư hỏng","Bình thường")</f>
        <v>Bình thường</v>
      </c>
      <c r="L487" s="102"/>
      <c r="M487" s="129" t="s">
        <v>76</v>
      </c>
      <c r="N487" s="80" t="s">
        <v>1887</v>
      </c>
      <c r="O487" s="108"/>
      <c r="P487" s="80">
        <v>1988.0</v>
      </c>
      <c r="Q487" s="80" t="s">
        <v>2334</v>
      </c>
      <c r="R487" s="80" t="s">
        <v>705</v>
      </c>
      <c r="S487" s="108">
        <v>701114.0</v>
      </c>
      <c r="T487" s="110" t="s">
        <v>2335</v>
      </c>
      <c r="U487" s="110">
        <v>8.0</v>
      </c>
      <c r="V487" s="112">
        <v>0.0</v>
      </c>
      <c r="W487" s="112"/>
      <c r="X487" s="112"/>
      <c r="Y487" s="112"/>
    </row>
    <row r="488" ht="13.5" customHeight="1" outlineLevel="1">
      <c r="A488" s="95">
        <f t="shared" si="14"/>
        <v>140</v>
      </c>
      <c r="B488" s="86" t="s">
        <v>2336</v>
      </c>
      <c r="C488" s="84"/>
      <c r="D488" s="95" t="s">
        <v>2337</v>
      </c>
      <c r="E488" s="95"/>
      <c r="F488" s="95" t="s">
        <v>154</v>
      </c>
      <c r="G488" s="161" t="s">
        <v>2338</v>
      </c>
      <c r="H488" s="80" t="str">
        <f>VLOOKUP(G488,'01. TH'!$B:$E,3,0)</f>
        <v/>
      </c>
      <c r="I488" s="80" t="s">
        <v>836</v>
      </c>
      <c r="J488" s="99">
        <v>45669.0</v>
      </c>
      <c r="K488" s="80" t="str">
        <f>IF(COUNTIF('TT BTSC'!$D:$D,B488)&gt;0,"Hư hỏng","Bình thường")</f>
        <v>Bình thường</v>
      </c>
      <c r="L488" s="102"/>
      <c r="M488" s="104" t="s">
        <v>890</v>
      </c>
      <c r="N488" s="80" t="s">
        <v>1093</v>
      </c>
      <c r="O488" s="108" t="s">
        <v>2339</v>
      </c>
      <c r="P488" s="80">
        <v>2025.0</v>
      </c>
      <c r="Q488" s="80" t="s">
        <v>2340</v>
      </c>
      <c r="R488" s="80" t="s">
        <v>2341</v>
      </c>
      <c r="S488" s="108" t="s">
        <v>96</v>
      </c>
      <c r="T488" s="108" t="s">
        <v>96</v>
      </c>
      <c r="U488" s="110"/>
      <c r="V488" s="112"/>
      <c r="W488" s="112"/>
      <c r="X488" s="112"/>
      <c r="Y488" s="112"/>
    </row>
    <row r="489" ht="13.5" customHeight="1" outlineLevel="1">
      <c r="A489" s="95">
        <f t="shared" si="14"/>
        <v>141</v>
      </c>
      <c r="B489" s="86" t="s">
        <v>2342</v>
      </c>
      <c r="C489" s="84"/>
      <c r="D489" s="95" t="s">
        <v>2337</v>
      </c>
      <c r="E489" s="95"/>
      <c r="F489" s="95" t="s">
        <v>154</v>
      </c>
      <c r="G489" s="161" t="s">
        <v>2338</v>
      </c>
      <c r="H489" s="80" t="str">
        <f>VLOOKUP(G489,'01. TH'!$B:$E,3,0)</f>
        <v/>
      </c>
      <c r="I489" s="80" t="s">
        <v>836</v>
      </c>
      <c r="J489" s="99">
        <v>45669.0</v>
      </c>
      <c r="K489" s="80" t="str">
        <f>IF(COUNTIF('TT BTSC'!$D:$D,B489)&gt;0,"Hư hỏng","Bình thường")</f>
        <v>Bình thường</v>
      </c>
      <c r="L489" s="102"/>
      <c r="M489" s="104" t="s">
        <v>890</v>
      </c>
      <c r="N489" s="80" t="s">
        <v>1093</v>
      </c>
      <c r="O489" s="108" t="s">
        <v>2339</v>
      </c>
      <c r="P489" s="80">
        <v>2025.0</v>
      </c>
      <c r="Q489" s="80" t="s">
        <v>2340</v>
      </c>
      <c r="R489" s="80" t="s">
        <v>2341</v>
      </c>
      <c r="S489" s="108" t="s">
        <v>96</v>
      </c>
      <c r="T489" s="108" t="s">
        <v>96</v>
      </c>
      <c r="U489" s="110"/>
      <c r="V489" s="112"/>
      <c r="W489" s="112"/>
      <c r="X489" s="112"/>
      <c r="Y489" s="112"/>
    </row>
    <row r="490" ht="13.5" customHeight="1" outlineLevel="1">
      <c r="A490" s="95">
        <f t="shared" si="14"/>
        <v>142</v>
      </c>
      <c r="B490" s="86" t="s">
        <v>2343</v>
      </c>
      <c r="C490" s="84"/>
      <c r="D490" s="95" t="s">
        <v>2337</v>
      </c>
      <c r="E490" s="95"/>
      <c r="F490" s="95" t="s">
        <v>154</v>
      </c>
      <c r="G490" s="161" t="s">
        <v>2338</v>
      </c>
      <c r="H490" s="80" t="str">
        <f>VLOOKUP(G490,'01. TH'!$B:$E,3,0)</f>
        <v/>
      </c>
      <c r="I490" s="80" t="s">
        <v>836</v>
      </c>
      <c r="J490" s="99">
        <v>45669.0</v>
      </c>
      <c r="K490" s="80" t="str">
        <f>IF(COUNTIF('TT BTSC'!$D:$D,B490)&gt;0,"Hư hỏng","Bình thường")</f>
        <v>Bình thường</v>
      </c>
      <c r="L490" s="102"/>
      <c r="M490" s="104" t="s">
        <v>890</v>
      </c>
      <c r="N490" s="80" t="s">
        <v>1093</v>
      </c>
      <c r="O490" s="108" t="s">
        <v>2339</v>
      </c>
      <c r="P490" s="80">
        <v>2025.0</v>
      </c>
      <c r="Q490" s="80" t="s">
        <v>2340</v>
      </c>
      <c r="R490" s="80" t="s">
        <v>2341</v>
      </c>
      <c r="S490" s="108" t="s">
        <v>96</v>
      </c>
      <c r="T490" s="108" t="s">
        <v>96</v>
      </c>
      <c r="U490" s="110"/>
      <c r="V490" s="112"/>
      <c r="W490" s="112"/>
      <c r="X490" s="112"/>
      <c r="Y490" s="112"/>
    </row>
    <row r="491" ht="13.5" customHeight="1" outlineLevel="1">
      <c r="A491" s="95">
        <f t="shared" si="14"/>
        <v>143</v>
      </c>
      <c r="B491" s="86" t="s">
        <v>2344</v>
      </c>
      <c r="C491" s="84"/>
      <c r="D491" s="95" t="s">
        <v>2337</v>
      </c>
      <c r="E491" s="95"/>
      <c r="F491" s="95" t="s">
        <v>154</v>
      </c>
      <c r="G491" s="161" t="s">
        <v>2338</v>
      </c>
      <c r="H491" s="80" t="str">
        <f>VLOOKUP(G491,'01. TH'!$B:$E,3,0)</f>
        <v/>
      </c>
      <c r="I491" s="80" t="s">
        <v>836</v>
      </c>
      <c r="J491" s="99">
        <v>45669.0</v>
      </c>
      <c r="K491" s="80" t="str">
        <f>IF(COUNTIF('TT BTSC'!$D:$D,B491)&gt;0,"Hư hỏng","Bình thường")</f>
        <v>Bình thường</v>
      </c>
      <c r="L491" s="102"/>
      <c r="M491" s="104" t="s">
        <v>890</v>
      </c>
      <c r="N491" s="80" t="s">
        <v>1093</v>
      </c>
      <c r="O491" s="108" t="s">
        <v>2339</v>
      </c>
      <c r="P491" s="80">
        <v>2025.0</v>
      </c>
      <c r="Q491" s="80" t="s">
        <v>2340</v>
      </c>
      <c r="R491" s="80" t="s">
        <v>2341</v>
      </c>
      <c r="S491" s="108" t="s">
        <v>96</v>
      </c>
      <c r="T491" s="108" t="s">
        <v>96</v>
      </c>
      <c r="U491" s="110"/>
      <c r="V491" s="112"/>
      <c r="W491" s="112"/>
      <c r="X491" s="112"/>
      <c r="Y491" s="112"/>
    </row>
    <row r="492" ht="13.5" customHeight="1" outlineLevel="1">
      <c r="A492" s="95">
        <f t="shared" si="14"/>
        <v>144</v>
      </c>
      <c r="B492" s="86" t="s">
        <v>2345</v>
      </c>
      <c r="C492" s="84"/>
      <c r="D492" s="95" t="s">
        <v>2337</v>
      </c>
      <c r="E492" s="95"/>
      <c r="F492" s="95" t="s">
        <v>154</v>
      </c>
      <c r="G492" s="161" t="s">
        <v>2338</v>
      </c>
      <c r="H492" s="80" t="str">
        <f>VLOOKUP(G492,'01. TH'!$B:$E,3,0)</f>
        <v/>
      </c>
      <c r="I492" s="80" t="s">
        <v>836</v>
      </c>
      <c r="J492" s="99">
        <v>45669.0</v>
      </c>
      <c r="K492" s="80" t="str">
        <f>IF(COUNTIF('TT BTSC'!$D:$D,B492)&gt;0,"Hư hỏng","Bình thường")</f>
        <v>Bình thường</v>
      </c>
      <c r="L492" s="102"/>
      <c r="M492" s="104" t="s">
        <v>890</v>
      </c>
      <c r="N492" s="80" t="s">
        <v>1093</v>
      </c>
      <c r="O492" s="108" t="s">
        <v>2339</v>
      </c>
      <c r="P492" s="80">
        <v>2025.0</v>
      </c>
      <c r="Q492" s="80" t="s">
        <v>2340</v>
      </c>
      <c r="R492" s="80" t="s">
        <v>2341</v>
      </c>
      <c r="S492" s="108" t="s">
        <v>96</v>
      </c>
      <c r="T492" s="108" t="s">
        <v>96</v>
      </c>
      <c r="U492" s="110"/>
      <c r="V492" s="112"/>
      <c r="W492" s="112"/>
      <c r="X492" s="112"/>
      <c r="Y492" s="112"/>
    </row>
    <row r="493" ht="13.5" customHeight="1" outlineLevel="1">
      <c r="A493" s="95">
        <f t="shared" si="14"/>
        <v>145</v>
      </c>
      <c r="B493" s="86" t="s">
        <v>2347</v>
      </c>
      <c r="C493" s="84"/>
      <c r="D493" s="95" t="s">
        <v>2348</v>
      </c>
      <c r="E493" s="95"/>
      <c r="F493" s="95" t="s">
        <v>154</v>
      </c>
      <c r="G493" s="86" t="s">
        <v>2349</v>
      </c>
      <c r="H493" s="80" t="str">
        <f>VLOOKUP(G493,'01. TH'!$B:$E,3,0)</f>
        <v/>
      </c>
      <c r="I493" s="80" t="s">
        <v>836</v>
      </c>
      <c r="J493" s="80" t="s">
        <v>2350</v>
      </c>
      <c r="K493" s="80" t="str">
        <f>IF(COUNTIF('TT BTSC'!$D:$D,B493)&gt;0,"Hư hỏng","Bình thường")</f>
        <v>Bình thường</v>
      </c>
      <c r="L493" s="102"/>
      <c r="M493" s="104" t="s">
        <v>890</v>
      </c>
      <c r="N493" s="80" t="s">
        <v>2351</v>
      </c>
      <c r="O493" s="108" t="s">
        <v>740</v>
      </c>
      <c r="P493" s="80">
        <v>2025.0</v>
      </c>
      <c r="Q493" s="80" t="s">
        <v>2352</v>
      </c>
      <c r="R493" s="80" t="s">
        <v>2353</v>
      </c>
      <c r="S493" s="108" t="s">
        <v>96</v>
      </c>
      <c r="T493" s="110" t="s">
        <v>2354</v>
      </c>
      <c r="U493" s="110"/>
      <c r="V493" s="112"/>
      <c r="W493" s="112"/>
      <c r="X493" s="112"/>
      <c r="Y493" s="112"/>
    </row>
    <row r="494" ht="13.5" customHeight="1" outlineLevel="1">
      <c r="A494" s="95"/>
      <c r="B494" s="84"/>
      <c r="C494" s="84"/>
      <c r="D494" s="95"/>
      <c r="E494" s="95"/>
      <c r="F494" s="95"/>
      <c r="G494" s="86"/>
      <c r="H494" s="80" t="str">
        <f>VLOOKUP(G494,'01. TH'!$B:$E,3,0)</f>
        <v>#N/A</v>
      </c>
      <c r="I494" s="80"/>
      <c r="J494" s="99"/>
      <c r="K494" s="80"/>
      <c r="L494" s="102"/>
      <c r="M494" s="104"/>
      <c r="N494" s="106"/>
      <c r="O494" s="108"/>
      <c r="P494" s="80"/>
      <c r="Q494" s="80"/>
      <c r="R494" s="106"/>
      <c r="S494" s="108"/>
      <c r="T494" s="110"/>
      <c r="U494" s="110"/>
      <c r="V494" s="112"/>
      <c r="W494" s="112"/>
      <c r="X494" s="112"/>
      <c r="Y494" s="112"/>
    </row>
    <row r="495" ht="13.5" customHeight="1" outlineLevel="1">
      <c r="A495" s="95"/>
      <c r="B495" s="84"/>
      <c r="C495" s="84"/>
      <c r="D495" s="95"/>
      <c r="E495" s="95"/>
      <c r="F495" s="95"/>
      <c r="G495" s="86"/>
      <c r="H495" s="80" t="str">
        <f>VLOOKUP(G495,'01. TH'!$B:$E,3,0)</f>
        <v>#N/A</v>
      </c>
      <c r="I495" s="80"/>
      <c r="J495" s="99"/>
      <c r="K495" s="80"/>
      <c r="L495" s="102"/>
      <c r="M495" s="104"/>
      <c r="N495" s="106"/>
      <c r="O495" s="108"/>
      <c r="P495" s="80"/>
      <c r="Q495" s="80"/>
      <c r="R495" s="106"/>
      <c r="S495" s="108"/>
      <c r="T495" s="110"/>
      <c r="U495" s="110"/>
      <c r="V495" s="112"/>
      <c r="W495" s="112"/>
      <c r="X495" s="112"/>
      <c r="Y495" s="112"/>
    </row>
    <row r="496" ht="13.5" customHeight="1" outlineLevel="1">
      <c r="A496" s="95"/>
      <c r="B496" s="84"/>
      <c r="C496" s="84"/>
      <c r="D496" s="95"/>
      <c r="E496" s="95"/>
      <c r="F496" s="95"/>
      <c r="G496" s="86"/>
      <c r="H496" s="80" t="str">
        <f>VLOOKUP(G496,'01. TH'!$B:$E,3,0)</f>
        <v>#N/A</v>
      </c>
      <c r="I496" s="80"/>
      <c r="J496" s="99"/>
      <c r="K496" s="80"/>
      <c r="L496" s="102"/>
      <c r="M496" s="104"/>
      <c r="N496" s="106"/>
      <c r="O496" s="108"/>
      <c r="P496" s="80"/>
      <c r="Q496" s="80"/>
      <c r="R496" s="106"/>
      <c r="S496" s="108"/>
      <c r="T496" s="110"/>
      <c r="U496" s="110"/>
      <c r="V496" s="112"/>
      <c r="W496" s="112"/>
      <c r="X496" s="112"/>
      <c r="Y496" s="112"/>
    </row>
    <row r="497" ht="13.5" customHeight="1" outlineLevel="1">
      <c r="A497" s="95"/>
      <c r="B497" s="86"/>
      <c r="C497" s="86" t="s">
        <v>1576</v>
      </c>
      <c r="D497" s="95"/>
      <c r="E497" s="95"/>
      <c r="F497" s="95"/>
      <c r="G497" s="86"/>
      <c r="H497" s="80" t="str">
        <f>VLOOKUP(G497,'01. TH'!$B:$E,3,0)</f>
        <v>#N/A</v>
      </c>
      <c r="I497" s="80"/>
      <c r="J497" s="80"/>
      <c r="K497" s="80"/>
      <c r="L497" s="102"/>
      <c r="M497" s="129"/>
      <c r="N497" s="80"/>
      <c r="O497" s="108"/>
      <c r="P497" s="80"/>
      <c r="Q497" s="80"/>
      <c r="R497" s="80"/>
      <c r="S497" s="108"/>
      <c r="T497" s="110"/>
      <c r="U497" s="110"/>
      <c r="V497" s="51"/>
      <c r="W497" s="51"/>
      <c r="X497" s="51"/>
      <c r="Y497" s="51"/>
    </row>
    <row r="498" ht="13.5" customHeight="1">
      <c r="A498" s="76" t="s">
        <v>2355</v>
      </c>
      <c r="B498" s="55"/>
      <c r="C498" s="59">
        <f>counta($B$499:$B$520)</f>
        <v>20</v>
      </c>
      <c r="D498" s="55" t="str">
        <f>IFERROR(VLOOKUP(B498,' 02.1 KLH-CN MÃ BRAVO MM'!$B:$C,2,0),"")</f>
        <v/>
      </c>
      <c r="E498" s="59"/>
      <c r="F498" s="59"/>
      <c r="G498" s="59"/>
      <c r="H498" s="55"/>
      <c r="I498" s="55"/>
      <c r="J498" s="62"/>
      <c r="K498" s="55"/>
      <c r="L498" s="59"/>
      <c r="M498" s="55"/>
      <c r="N498" s="59"/>
      <c r="O498" s="55"/>
      <c r="P498" s="55"/>
      <c r="Q498" s="55"/>
      <c r="R498" s="55"/>
      <c r="S498" s="55"/>
      <c r="T498" s="55"/>
      <c r="U498" s="55"/>
      <c r="V498" s="63"/>
      <c r="W498" s="63"/>
      <c r="X498" s="63"/>
      <c r="Y498" s="63"/>
    </row>
    <row r="499" ht="13.5" customHeight="1" outlineLevel="1">
      <c r="A499" s="80">
        <v>1.0</v>
      </c>
      <c r="B499" s="86" t="s">
        <v>2357</v>
      </c>
      <c r="C499" s="86" t="s">
        <v>2358</v>
      </c>
      <c r="D499" s="95" t="str">
        <f>IFERROR(VLOOKUP(B499,' 02.1 KLH-CN MÃ BRAVO MM'!$B:$C,2,0),"")</f>
        <v>ATT-A23-0023</v>
      </c>
      <c r="E499" s="95" t="s">
        <v>2359</v>
      </c>
      <c r="F499" s="95" t="s">
        <v>79</v>
      </c>
      <c r="G499" s="86" t="s">
        <v>2360</v>
      </c>
      <c r="H499" s="80" t="str">
        <f>VLOOKUP(G499,'01. TH'!$B:$E,3,0)</f>
        <v>9510 x 2450 x 2840</v>
      </c>
      <c r="I499" s="80" t="s">
        <v>64</v>
      </c>
      <c r="J499" s="99">
        <v>43835.0</v>
      </c>
      <c r="K499" s="80" t="str">
        <f>IF(COUNTIF('TT BTSC'!$D:$D,B499)&gt;0,"Hư hỏng","Bình thường")</f>
        <v>Bình thường</v>
      </c>
      <c r="L499" s="102">
        <v>0.67</v>
      </c>
      <c r="M499" s="104"/>
      <c r="N499" s="106" t="s">
        <v>147</v>
      </c>
      <c r="O499" s="108" t="s">
        <v>148</v>
      </c>
      <c r="P499" s="80">
        <v>2012.0</v>
      </c>
      <c r="Q499" s="80" t="s">
        <v>2361</v>
      </c>
      <c r="R499" s="80" t="s">
        <v>117</v>
      </c>
      <c r="S499" s="108">
        <v>6005.0</v>
      </c>
      <c r="T499" s="110">
        <v>495027.0</v>
      </c>
      <c r="U499" s="255">
        <v>0.3</v>
      </c>
      <c r="V499" s="112">
        <v>260.0</v>
      </c>
      <c r="W499" s="112"/>
      <c r="X499" s="112"/>
      <c r="Y499" s="112"/>
    </row>
    <row r="500" ht="13.5" customHeight="1" outlineLevel="1">
      <c r="A500" s="80">
        <f t="shared" ref="A500:A518" si="15">A499+1</f>
        <v>2</v>
      </c>
      <c r="B500" s="84" t="s">
        <v>2362</v>
      </c>
      <c r="C500" s="86" t="s">
        <v>2363</v>
      </c>
      <c r="D500" s="95" t="str">
        <f>IFERROR(VLOOKUP(B500,' 02.1 KLH-CN MÃ BRAVO MM'!$B:$C,2,0),"")</f>
        <v>A23-XTA-013</v>
      </c>
      <c r="E500" s="95" t="s">
        <v>2364</v>
      </c>
      <c r="F500" s="95" t="s">
        <v>79</v>
      </c>
      <c r="G500" s="86" t="s">
        <v>2360</v>
      </c>
      <c r="H500" s="80" t="str">
        <f>VLOOKUP(G500,'01. TH'!$B:$E,3,0)</f>
        <v>9510 x 2450 x 2840</v>
      </c>
      <c r="I500" s="80" t="s">
        <v>64</v>
      </c>
      <c r="J500" s="99"/>
      <c r="K500" s="80" t="str">
        <f>IF(COUNTIF('TT BTSC'!$D:$D,B500)&gt;0,"Hư hỏng","Bình thường")</f>
        <v>Bình thường</v>
      </c>
      <c r="L500" s="106"/>
      <c r="M500" s="104"/>
      <c r="N500" s="106" t="s">
        <v>147</v>
      </c>
      <c r="O500" s="108" t="s">
        <v>148</v>
      </c>
      <c r="P500" s="80">
        <v>2012.0</v>
      </c>
      <c r="Q500" s="80" t="s">
        <v>2361</v>
      </c>
      <c r="R500" s="80" t="s">
        <v>117</v>
      </c>
      <c r="S500" s="108" t="s">
        <v>2365</v>
      </c>
      <c r="T500" s="110" t="s">
        <v>96</v>
      </c>
      <c r="U500" s="255">
        <v>0.3</v>
      </c>
      <c r="V500" s="112">
        <v>260.0</v>
      </c>
      <c r="W500" s="112"/>
      <c r="X500" s="112"/>
      <c r="Y500" s="112"/>
    </row>
    <row r="501" ht="13.5" customHeight="1" outlineLevel="1">
      <c r="A501" s="80">
        <f t="shared" si="15"/>
        <v>3</v>
      </c>
      <c r="B501" s="113" t="s">
        <v>2366</v>
      </c>
      <c r="C501" s="115" t="s">
        <v>2367</v>
      </c>
      <c r="D501" s="95" t="str">
        <f>IFERROR(VLOOKUP(B501,' 02.1 KLH-CN MÃ BRAVO MM'!$B:$C,2,0),"")</f>
        <v>ATT-A23-0040</v>
      </c>
      <c r="E501" s="95" t="s">
        <v>2368</v>
      </c>
      <c r="F501" s="95" t="s">
        <v>79</v>
      </c>
      <c r="G501" s="115" t="s">
        <v>2360</v>
      </c>
      <c r="H501" s="80" t="str">
        <f>VLOOKUP(G501,'01. TH'!$B:$E,3,0)</f>
        <v>9510 x 2450 x 2840</v>
      </c>
      <c r="I501" s="95" t="s">
        <v>64</v>
      </c>
      <c r="J501" s="116">
        <v>44114.0</v>
      </c>
      <c r="K501" s="80" t="str">
        <f>IF(COUNTIF('TT BTSC'!$D:$D,B501)&gt;0,"Hư hỏng","Bình thường")</f>
        <v>Bình thường</v>
      </c>
      <c r="L501" s="117">
        <v>0.6</v>
      </c>
      <c r="M501" s="118"/>
      <c r="N501" s="119" t="s">
        <v>147</v>
      </c>
      <c r="O501" s="110" t="s">
        <v>148</v>
      </c>
      <c r="P501" s="95">
        <v>2012.0</v>
      </c>
      <c r="Q501" s="95" t="s">
        <v>2361</v>
      </c>
      <c r="R501" s="80" t="s">
        <v>117</v>
      </c>
      <c r="S501" s="110" t="s">
        <v>2369</v>
      </c>
      <c r="T501" s="110" t="s">
        <v>96</v>
      </c>
      <c r="U501" s="255">
        <v>0.3</v>
      </c>
      <c r="V501" s="112">
        <v>260.0</v>
      </c>
      <c r="W501" s="112"/>
      <c r="X501" s="112"/>
      <c r="Y501" s="112"/>
    </row>
    <row r="502" ht="13.5" customHeight="1" outlineLevel="1">
      <c r="A502" s="80">
        <f t="shared" si="15"/>
        <v>4</v>
      </c>
      <c r="B502" s="84" t="s">
        <v>2371</v>
      </c>
      <c r="C502" s="84" t="s">
        <v>2371</v>
      </c>
      <c r="D502" s="95" t="str">
        <f>IFERROR(VLOOKUP(B502,' 02.1 KLH-CN MÃ BRAVO MM'!$B:$C,2,0),"")</f>
        <v>ATT-A22-0259</v>
      </c>
      <c r="E502" s="95"/>
      <c r="F502" s="95" t="s">
        <v>79</v>
      </c>
      <c r="G502" s="86" t="s">
        <v>2170</v>
      </c>
      <c r="H502" s="80" t="str">
        <f>VLOOKUP(G502,'01. TH'!$B:$E,3,0)</f>
        <v>6160 x 2330 x 2750</v>
      </c>
      <c r="I502" s="80" t="s">
        <v>64</v>
      </c>
      <c r="J502" s="99">
        <v>44564.0</v>
      </c>
      <c r="K502" s="80" t="str">
        <f>IF(COUNTIF('TT BTSC'!$D:$D,B502)&gt;0,"Hư hỏng","Bình thường")</f>
        <v>Bình thường</v>
      </c>
      <c r="L502" s="102">
        <v>0.79</v>
      </c>
      <c r="M502" s="104"/>
      <c r="N502" s="106" t="s">
        <v>300</v>
      </c>
      <c r="O502" s="108" t="s">
        <v>148</v>
      </c>
      <c r="P502" s="80">
        <v>2021.0</v>
      </c>
      <c r="Q502" s="80" t="s">
        <v>2372</v>
      </c>
      <c r="R502" s="106" t="s">
        <v>413</v>
      </c>
      <c r="S502" s="108" t="s">
        <v>2373</v>
      </c>
      <c r="T502" s="110" t="s">
        <v>2374</v>
      </c>
      <c r="U502" s="255">
        <v>0.3</v>
      </c>
      <c r="V502" s="112">
        <v>150.0</v>
      </c>
      <c r="W502" s="112"/>
      <c r="X502" s="112"/>
      <c r="Y502" s="112"/>
    </row>
    <row r="503" ht="13.5" customHeight="1" outlineLevel="1">
      <c r="A503" s="80">
        <f t="shared" si="15"/>
        <v>5</v>
      </c>
      <c r="B503" s="84" t="s">
        <v>2375</v>
      </c>
      <c r="C503" s="84" t="s">
        <v>2375</v>
      </c>
      <c r="D503" s="95" t="str">
        <f>IFERROR(VLOOKUP(B503,' 02.1 KLH-CN MÃ BRAVO MM'!$B:$C,2,0),"")</f>
        <v>ATT-A22-0260</v>
      </c>
      <c r="E503" s="95"/>
      <c r="F503" s="95" t="s">
        <v>79</v>
      </c>
      <c r="G503" s="86" t="s">
        <v>2170</v>
      </c>
      <c r="H503" s="80" t="str">
        <f>VLOOKUP(G503,'01. TH'!$B:$E,3,0)</f>
        <v>6160 x 2330 x 2750</v>
      </c>
      <c r="I503" s="80" t="s">
        <v>64</v>
      </c>
      <c r="J503" s="99">
        <v>44564.0</v>
      </c>
      <c r="K503" s="80" t="str">
        <f>IF(COUNTIF('TT BTSC'!$D:$D,B503)&gt;0,"Hư hỏng","Bình thường")</f>
        <v>Bình thường</v>
      </c>
      <c r="L503" s="102">
        <v>0.79</v>
      </c>
      <c r="M503" s="104"/>
      <c r="N503" s="106" t="s">
        <v>300</v>
      </c>
      <c r="O503" s="108" t="s">
        <v>148</v>
      </c>
      <c r="P503" s="80">
        <v>2021.0</v>
      </c>
      <c r="Q503" s="80" t="s">
        <v>2372</v>
      </c>
      <c r="R503" s="106" t="s">
        <v>413</v>
      </c>
      <c r="S503" s="108" t="s">
        <v>2376</v>
      </c>
      <c r="T503" s="110" t="s">
        <v>2377</v>
      </c>
      <c r="U503" s="255">
        <v>0.3</v>
      </c>
      <c r="V503" s="112">
        <v>150.0</v>
      </c>
      <c r="W503" s="112"/>
      <c r="X503" s="112"/>
      <c r="Y503" s="112"/>
    </row>
    <row r="504" ht="13.5" customHeight="1" outlineLevel="1">
      <c r="A504" s="80">
        <f t="shared" si="15"/>
        <v>6</v>
      </c>
      <c r="B504" s="84" t="s">
        <v>2378</v>
      </c>
      <c r="C504" s="84" t="s">
        <v>2378</v>
      </c>
      <c r="D504" s="95" t="str">
        <f>IFERROR(VLOOKUP(B504,' 02.1 KLH-CN MÃ BRAVO MM'!$B:$C,2,0),"")</f>
        <v>ATT-A22-0261</v>
      </c>
      <c r="E504" s="95"/>
      <c r="F504" s="95" t="s">
        <v>79</v>
      </c>
      <c r="G504" s="86" t="s">
        <v>2170</v>
      </c>
      <c r="H504" s="80" t="str">
        <f>VLOOKUP(G504,'01. TH'!$B:$E,3,0)</f>
        <v>6160 x 2330 x 2750</v>
      </c>
      <c r="I504" s="80" t="s">
        <v>64</v>
      </c>
      <c r="J504" s="99">
        <v>44564.0</v>
      </c>
      <c r="K504" s="80" t="str">
        <f>IF(COUNTIF('TT BTSC'!$D:$D,B504)&gt;0,"Hư hỏng","Bình thường")</f>
        <v>Bình thường</v>
      </c>
      <c r="L504" s="102">
        <v>0.79</v>
      </c>
      <c r="M504" s="104"/>
      <c r="N504" s="106" t="s">
        <v>300</v>
      </c>
      <c r="O504" s="108" t="s">
        <v>148</v>
      </c>
      <c r="P504" s="80">
        <v>2021.0</v>
      </c>
      <c r="Q504" s="80" t="s">
        <v>2372</v>
      </c>
      <c r="R504" s="106" t="s">
        <v>413</v>
      </c>
      <c r="S504" s="108" t="s">
        <v>2379</v>
      </c>
      <c r="T504" s="110" t="s">
        <v>2380</v>
      </c>
      <c r="U504" s="255">
        <v>0.3</v>
      </c>
      <c r="V504" s="112">
        <v>150.0</v>
      </c>
      <c r="W504" s="112"/>
      <c r="X504" s="112"/>
      <c r="Y504" s="112"/>
    </row>
    <row r="505" ht="13.5" customHeight="1" outlineLevel="1">
      <c r="A505" s="80">
        <f t="shared" si="15"/>
        <v>7</v>
      </c>
      <c r="B505" s="84" t="s">
        <v>2381</v>
      </c>
      <c r="C505" s="84" t="s">
        <v>2381</v>
      </c>
      <c r="D505" s="95" t="str">
        <f>IFERROR(VLOOKUP(B505,' 02.1 KLH-CN MÃ BRAVO MM'!$B:$C,2,0),"")</f>
        <v>ATT-A23-0045</v>
      </c>
      <c r="E505" s="95"/>
      <c r="F505" s="95" t="s">
        <v>79</v>
      </c>
      <c r="G505" s="86" t="s">
        <v>2170</v>
      </c>
      <c r="H505" s="80" t="str">
        <f>VLOOKUP(G505,'01. TH'!$B:$E,3,0)</f>
        <v>6160 x 2330 x 2750</v>
      </c>
      <c r="I505" s="80" t="s">
        <v>64</v>
      </c>
      <c r="J505" s="99">
        <v>44570.0</v>
      </c>
      <c r="K505" s="80" t="str">
        <f>IF(COUNTIF('TT BTSC'!$D:$D,B505)&gt;0,"Hư hỏng","Bình thường")</f>
        <v>Bình thường</v>
      </c>
      <c r="L505" s="102">
        <v>0.86</v>
      </c>
      <c r="M505" s="104"/>
      <c r="N505" s="106" t="s">
        <v>300</v>
      </c>
      <c r="O505" s="108" t="s">
        <v>148</v>
      </c>
      <c r="P505" s="80">
        <v>2021.0</v>
      </c>
      <c r="Q505" s="80" t="s">
        <v>2372</v>
      </c>
      <c r="R505" s="106" t="s">
        <v>413</v>
      </c>
      <c r="S505" s="108">
        <v>49595.0</v>
      </c>
      <c r="T505" s="110" t="s">
        <v>96</v>
      </c>
      <c r="U505" s="255">
        <v>0.3</v>
      </c>
      <c r="V505" s="112">
        <v>150.0</v>
      </c>
      <c r="W505" s="112"/>
      <c r="X505" s="112"/>
      <c r="Y505" s="112"/>
    </row>
    <row r="506" ht="13.5" customHeight="1" outlineLevel="1">
      <c r="A506" s="80">
        <f t="shared" si="15"/>
        <v>8</v>
      </c>
      <c r="B506" s="113" t="s">
        <v>2383</v>
      </c>
      <c r="C506" s="115" t="s">
        <v>2384</v>
      </c>
      <c r="D506" s="95" t="str">
        <f>IFERROR(VLOOKUP(B506,' 02.1 KLH-CN MÃ BRAVO MM'!$B:$C,2,0),"")</f>
        <v>A22-XTA-010</v>
      </c>
      <c r="E506" s="95"/>
      <c r="F506" s="95" t="s">
        <v>79</v>
      </c>
      <c r="G506" s="115" t="s">
        <v>2385</v>
      </c>
      <c r="H506" s="80" t="str">
        <f>VLOOKUP(G506,'01. TH'!$B:$E,3,0)</f>
        <v/>
      </c>
      <c r="I506" s="95" t="s">
        <v>64</v>
      </c>
      <c r="J506" s="116"/>
      <c r="K506" s="80" t="str">
        <f>IF(COUNTIF('TT BTSC'!$D:$D,B506)&gt;0,"Hư hỏng","Bình thường")</f>
        <v>Bình thường</v>
      </c>
      <c r="L506" s="119"/>
      <c r="M506" s="118"/>
      <c r="N506" s="119" t="s">
        <v>161</v>
      </c>
      <c r="O506" s="110"/>
      <c r="P506" s="95"/>
      <c r="Q506" s="95" t="s">
        <v>2386</v>
      </c>
      <c r="R506" s="95" t="s">
        <v>2387</v>
      </c>
      <c r="S506" s="110">
        <v>63965.0</v>
      </c>
      <c r="T506" s="110" t="s">
        <v>96</v>
      </c>
      <c r="U506" s="255">
        <v>0.36</v>
      </c>
      <c r="V506" s="51"/>
      <c r="W506" s="51"/>
      <c r="X506" s="51"/>
      <c r="Y506" s="51"/>
    </row>
    <row r="507" ht="13.5" customHeight="1" outlineLevel="1">
      <c r="A507" s="80">
        <f t="shared" si="15"/>
        <v>9</v>
      </c>
      <c r="B507" s="84" t="s">
        <v>2388</v>
      </c>
      <c r="C507" s="86" t="s">
        <v>2389</v>
      </c>
      <c r="D507" s="95" t="str">
        <f>IFERROR(VLOOKUP(B507,' 02.1 KLH-CN MÃ BRAVO MM'!$B:$C,2,0),"")</f>
        <v>A22-XTA-011</v>
      </c>
      <c r="E507" s="95"/>
      <c r="F507" s="95" t="s">
        <v>79</v>
      </c>
      <c r="G507" s="115" t="s">
        <v>2385</v>
      </c>
      <c r="H507" s="80" t="str">
        <f>VLOOKUP(G507,'01. TH'!$B:$E,3,0)</f>
        <v/>
      </c>
      <c r="I507" s="80" t="s">
        <v>64</v>
      </c>
      <c r="J507" s="99"/>
      <c r="K507" s="80" t="str">
        <f>IF(COUNTIF('TT BTSC'!$D:$D,B507)&gt;0,"Hư hỏng","Bình thường")</f>
        <v>Bình thường</v>
      </c>
      <c r="L507" s="106"/>
      <c r="M507" s="104"/>
      <c r="N507" s="106" t="s">
        <v>161</v>
      </c>
      <c r="O507" s="108"/>
      <c r="P507" s="80"/>
      <c r="Q507" s="95" t="s">
        <v>2386</v>
      </c>
      <c r="R507" s="95" t="s">
        <v>2387</v>
      </c>
      <c r="S507" s="108">
        <v>933513.0</v>
      </c>
      <c r="T507" s="110" t="s">
        <v>96</v>
      </c>
      <c r="U507" s="255">
        <v>0.36</v>
      </c>
      <c r="V507" s="51"/>
      <c r="W507" s="51"/>
      <c r="X507" s="51"/>
      <c r="Y507" s="51"/>
    </row>
    <row r="508" ht="13.5" customHeight="1" outlineLevel="1">
      <c r="A508" s="80">
        <f t="shared" si="15"/>
        <v>10</v>
      </c>
      <c r="B508" s="84" t="s">
        <v>2390</v>
      </c>
      <c r="C508" s="84" t="s">
        <v>2390</v>
      </c>
      <c r="D508" s="95" t="str">
        <f>IFERROR(VLOOKUP(B508,' 02.1 KLH-CN MÃ BRAVO MM'!$B:$C,2,0),"")</f>
        <v>ATT-A22-0176</v>
      </c>
      <c r="E508" s="95"/>
      <c r="F508" s="95" t="s">
        <v>79</v>
      </c>
      <c r="G508" s="86" t="s">
        <v>2391</v>
      </c>
      <c r="H508" s="80" t="str">
        <f>VLOOKUP(G508,'01. TH'!$B:$E,3,0)</f>
        <v>9290 x 2500 x 3370</v>
      </c>
      <c r="I508" s="80" t="s">
        <v>64</v>
      </c>
      <c r="J508" s="99"/>
      <c r="K508" s="80" t="str">
        <f>IF(COUNTIF('TT BTSC'!$D:$D,B508)&gt;0,"Hư hỏng","Bình thường")</f>
        <v>Bình thường</v>
      </c>
      <c r="L508" s="106"/>
      <c r="M508" s="104"/>
      <c r="N508" s="106" t="s">
        <v>147</v>
      </c>
      <c r="O508" s="108" t="s">
        <v>148</v>
      </c>
      <c r="P508" s="80">
        <v>2018.0</v>
      </c>
      <c r="Q508" s="80" t="s">
        <v>149</v>
      </c>
      <c r="R508" s="106"/>
      <c r="S508" s="108" t="s">
        <v>2392</v>
      </c>
      <c r="T508" s="110" t="s">
        <v>96</v>
      </c>
      <c r="U508" s="255">
        <v>0.7</v>
      </c>
      <c r="V508" s="112">
        <v>300.0</v>
      </c>
      <c r="W508" s="112"/>
      <c r="X508" s="112"/>
      <c r="Y508" s="112"/>
    </row>
    <row r="509" ht="13.5" customHeight="1" outlineLevel="1">
      <c r="A509" s="80">
        <f t="shared" si="15"/>
        <v>11</v>
      </c>
      <c r="B509" s="84" t="s">
        <v>2393</v>
      </c>
      <c r="C509" s="84" t="s">
        <v>2393</v>
      </c>
      <c r="D509" s="95" t="str">
        <f>IFERROR(VLOOKUP(B509,' 02.1 KLH-CN MÃ BRAVO MM'!$B:$C,2,0),"")</f>
        <v>ATT-A22-0176</v>
      </c>
      <c r="E509" s="95"/>
      <c r="F509" s="95" t="s">
        <v>79</v>
      </c>
      <c r="G509" s="86" t="s">
        <v>2391</v>
      </c>
      <c r="H509" s="80" t="str">
        <f>VLOOKUP(G509,'01. TH'!$B:$E,3,0)</f>
        <v>9290 x 2500 x 3370</v>
      </c>
      <c r="I509" s="80" t="s">
        <v>64</v>
      </c>
      <c r="J509" s="99">
        <v>44198.0</v>
      </c>
      <c r="K509" s="80" t="str">
        <f>IF(COUNTIF('TT BTSC'!$D:$D,B509)&gt;0,"Hư hỏng","Bình thường")</f>
        <v>Bình thường</v>
      </c>
      <c r="L509" s="102">
        <v>0.68</v>
      </c>
      <c r="M509" s="104"/>
      <c r="N509" s="106" t="s">
        <v>147</v>
      </c>
      <c r="O509" s="108" t="s">
        <v>148</v>
      </c>
      <c r="P509" s="80">
        <v>2018.0</v>
      </c>
      <c r="Q509" s="80" t="s">
        <v>149</v>
      </c>
      <c r="R509" s="106" t="s">
        <v>150</v>
      </c>
      <c r="S509" s="108" t="s">
        <v>2394</v>
      </c>
      <c r="T509" s="110" t="s">
        <v>2395</v>
      </c>
      <c r="U509" s="255">
        <v>0.7</v>
      </c>
      <c r="V509" s="112">
        <v>300.0</v>
      </c>
      <c r="W509" s="112"/>
      <c r="X509" s="112"/>
      <c r="Y509" s="112"/>
    </row>
    <row r="510" ht="13.5" customHeight="1" outlineLevel="1">
      <c r="A510" s="80">
        <f t="shared" si="15"/>
        <v>12</v>
      </c>
      <c r="B510" s="115" t="s">
        <v>2396</v>
      </c>
      <c r="C510" s="115" t="s">
        <v>2397</v>
      </c>
      <c r="D510" s="95" t="str">
        <f>IFERROR(VLOOKUP(B510,' 02.1 KLH-CN MÃ BRAVO MM'!$B:$C,2,0),"")</f>
        <v>ATT-A23-0024</v>
      </c>
      <c r="E510" s="95" t="s">
        <v>2398</v>
      </c>
      <c r="F510" s="95" t="s">
        <v>79</v>
      </c>
      <c r="G510" s="115" t="s">
        <v>2399</v>
      </c>
      <c r="H510" s="80" t="str">
        <f>VLOOKUP(G510,'01. TH'!$B:$E,3,0)</f>
        <v>6170 x 2330 x 2750</v>
      </c>
      <c r="I510" s="95" t="s">
        <v>64</v>
      </c>
      <c r="J510" s="116"/>
      <c r="K510" s="80" t="str">
        <f>IF(COUNTIF('TT BTSC'!$D:$D,B510)&gt;0,"Hư hỏng","Bình thường")</f>
        <v>Bình thường</v>
      </c>
      <c r="L510" s="119"/>
      <c r="M510" s="118"/>
      <c r="N510" s="119" t="s">
        <v>300</v>
      </c>
      <c r="O510" s="110" t="s">
        <v>148</v>
      </c>
      <c r="P510" s="95">
        <v>2020.0</v>
      </c>
      <c r="Q510" s="80" t="s">
        <v>2400</v>
      </c>
      <c r="R510" s="119" t="s">
        <v>413</v>
      </c>
      <c r="S510" s="110" t="s">
        <v>2401</v>
      </c>
      <c r="T510" s="110" t="s">
        <v>96</v>
      </c>
      <c r="U510" s="255">
        <v>0.36</v>
      </c>
      <c r="V510" s="112">
        <v>150.0</v>
      </c>
      <c r="W510" s="112"/>
      <c r="X510" s="112"/>
      <c r="Y510" s="112"/>
    </row>
    <row r="511" ht="45.75" customHeight="1" outlineLevel="1">
      <c r="A511" s="80">
        <f t="shared" si="15"/>
        <v>13</v>
      </c>
      <c r="B511" s="86" t="s">
        <v>2402</v>
      </c>
      <c r="C511" s="113" t="s">
        <v>2403</v>
      </c>
      <c r="D511" s="95" t="str">
        <f>IFERROR(VLOOKUP(C511,' 02.1 KLH-CN MÃ BRAVO MM'!$B:$C,2,0),"")</f>
        <v>A23-XTA-001</v>
      </c>
      <c r="E511" s="95"/>
      <c r="F511" s="95" t="s">
        <v>79</v>
      </c>
      <c r="G511" s="86" t="s">
        <v>2391</v>
      </c>
      <c r="H511" s="80" t="str">
        <f>VLOOKUP(G511,'01. TH'!$B:$E,3,0)</f>
        <v>9290 x 2500 x 3370</v>
      </c>
      <c r="I511" s="95" t="s">
        <v>64</v>
      </c>
      <c r="J511" s="116">
        <v>44198.0</v>
      </c>
      <c r="K511" s="80" t="str">
        <f>IF(COUNTIF('TT BTSC'!$D:$D,B511)&gt;0,"Hư hỏng","Bình thường")</f>
        <v>Bình thường</v>
      </c>
      <c r="L511" s="119"/>
      <c r="M511" s="155" t="s">
        <v>2404</v>
      </c>
      <c r="N511" s="119" t="s">
        <v>147</v>
      </c>
      <c r="O511" s="110" t="s">
        <v>148</v>
      </c>
      <c r="P511" s="95">
        <v>2018.0</v>
      </c>
      <c r="Q511" s="95" t="s">
        <v>149</v>
      </c>
      <c r="R511" s="119" t="s">
        <v>150</v>
      </c>
      <c r="S511" s="110" t="s">
        <v>2405</v>
      </c>
      <c r="T511" s="110" t="s">
        <v>96</v>
      </c>
      <c r="U511" s="255">
        <v>0.7</v>
      </c>
      <c r="V511" s="112">
        <v>300.0</v>
      </c>
      <c r="W511" s="112"/>
      <c r="X511" s="112"/>
      <c r="Y511" s="112"/>
    </row>
    <row r="512" ht="62.25" customHeight="1" outlineLevel="1">
      <c r="A512" s="80">
        <f t="shared" si="15"/>
        <v>14</v>
      </c>
      <c r="B512" s="86" t="s">
        <v>2406</v>
      </c>
      <c r="C512" s="256" t="s">
        <v>2407</v>
      </c>
      <c r="D512" s="80" t="s">
        <v>2408</v>
      </c>
      <c r="E512" s="257"/>
      <c r="F512" s="95" t="s">
        <v>79</v>
      </c>
      <c r="G512" s="86" t="s">
        <v>2391</v>
      </c>
      <c r="H512" s="258" t="str">
        <f>VLOOKUP(G512,'01. TH'!$B:$E,3,0)</f>
        <v>9290 x 2500 x 3370</v>
      </c>
      <c r="I512" s="95" t="s">
        <v>64</v>
      </c>
      <c r="J512" s="116">
        <v>44205.0</v>
      </c>
      <c r="K512" s="80" t="str">
        <f>IF(COUNTIF('TT BTSC'!$D:$D,B512)&gt;0,"Hư hỏng","Bình thường")</f>
        <v>Bình thường</v>
      </c>
      <c r="L512" s="259">
        <v>0.7</v>
      </c>
      <c r="M512" s="155" t="s">
        <v>2409</v>
      </c>
      <c r="N512" s="258" t="s">
        <v>147</v>
      </c>
      <c r="O512" s="256" t="s">
        <v>148</v>
      </c>
      <c r="P512" s="258">
        <v>2018.0</v>
      </c>
      <c r="Q512" s="258" t="s">
        <v>149</v>
      </c>
      <c r="R512" s="258" t="s">
        <v>150</v>
      </c>
      <c r="S512" s="256" t="s">
        <v>2410</v>
      </c>
      <c r="T512" s="256" t="s">
        <v>2411</v>
      </c>
      <c r="U512" s="255">
        <v>0.7</v>
      </c>
      <c r="V512" s="260">
        <v>300.0</v>
      </c>
      <c r="W512" s="257"/>
      <c r="X512" s="257"/>
      <c r="Y512" s="257"/>
    </row>
    <row r="513" ht="13.5" customHeight="1" outlineLevel="1">
      <c r="A513" s="80">
        <f t="shared" si="15"/>
        <v>15</v>
      </c>
      <c r="B513" s="261" t="s">
        <v>2412</v>
      </c>
      <c r="C513" s="261" t="s">
        <v>2413</v>
      </c>
      <c r="D513" s="95" t="str">
        <f>IFERROR(VLOOKUP(B513,' 02.1 KLH-CN MÃ BRAVO MM'!$B:$C,2,0),"")</f>
        <v>A23-COT-001</v>
      </c>
      <c r="E513" s="262"/>
      <c r="F513" s="262" t="s">
        <v>2414</v>
      </c>
      <c r="G513" s="261" t="s">
        <v>2415</v>
      </c>
      <c r="H513" s="80" t="str">
        <f>VLOOKUP(G513,'01. TH'!$B:$E,3,0)</f>
        <v/>
      </c>
      <c r="I513" s="263" t="s">
        <v>64</v>
      </c>
      <c r="J513" s="263"/>
      <c r="K513" s="264"/>
      <c r="L513" s="264"/>
      <c r="M513" s="265"/>
      <c r="N513" s="263" t="s">
        <v>2416</v>
      </c>
      <c r="O513" s="266"/>
      <c r="P513" s="263"/>
      <c r="Q513" s="263" t="s">
        <v>2417</v>
      </c>
      <c r="R513" s="263" t="s">
        <v>2418</v>
      </c>
      <c r="S513" s="266" t="s">
        <v>2419</v>
      </c>
      <c r="T513" s="255"/>
      <c r="U513" s="255">
        <v>0.49</v>
      </c>
      <c r="V513" s="112">
        <v>300.0</v>
      </c>
      <c r="W513" s="112"/>
      <c r="X513" s="112"/>
      <c r="Y513" s="112"/>
    </row>
    <row r="514" ht="13.5" customHeight="1" outlineLevel="1">
      <c r="A514" s="80">
        <f t="shared" si="15"/>
        <v>16</v>
      </c>
      <c r="B514" s="261" t="s">
        <v>2420</v>
      </c>
      <c r="C514" s="261" t="s">
        <v>2421</v>
      </c>
      <c r="D514" s="95" t="str">
        <f>IFERROR(VLOOKUP(B514,' 02.1 KLH-CN MÃ BRAVO MM'!$B:$C,2,0),"")</f>
        <v>A23-COT-002</v>
      </c>
      <c r="E514" s="262"/>
      <c r="F514" s="262" t="s">
        <v>2414</v>
      </c>
      <c r="G514" s="261" t="s">
        <v>2415</v>
      </c>
      <c r="H514" s="80" t="str">
        <f>VLOOKUP(G514,'01. TH'!$B:$E,3,0)</f>
        <v/>
      </c>
      <c r="I514" s="263" t="s">
        <v>64</v>
      </c>
      <c r="J514" s="263"/>
      <c r="K514" s="264"/>
      <c r="L514" s="264"/>
      <c r="M514" s="265"/>
      <c r="N514" s="263" t="s">
        <v>2416</v>
      </c>
      <c r="O514" s="266"/>
      <c r="P514" s="263"/>
      <c r="Q514" s="263" t="s">
        <v>2417</v>
      </c>
      <c r="R514" s="263" t="s">
        <v>2418</v>
      </c>
      <c r="S514" s="266" t="s">
        <v>2422</v>
      </c>
      <c r="T514" s="255"/>
      <c r="U514" s="255">
        <v>0.49</v>
      </c>
      <c r="V514" s="112">
        <v>300.0</v>
      </c>
      <c r="W514" s="112"/>
      <c r="X514" s="112"/>
      <c r="Y514" s="112"/>
    </row>
    <row r="515" ht="13.5" customHeight="1" outlineLevel="1">
      <c r="A515" s="80">
        <f t="shared" si="15"/>
        <v>17</v>
      </c>
      <c r="B515" s="261" t="s">
        <v>2423</v>
      </c>
      <c r="C515" s="261" t="s">
        <v>2424</v>
      </c>
      <c r="D515" s="95" t="str">
        <f>IFERROR(VLOOKUP(B515,' 02.1 KLH-CN MÃ BRAVO MM'!$B:$C,2,0),"")</f>
        <v>A23-COT-003</v>
      </c>
      <c r="E515" s="262"/>
      <c r="F515" s="262" t="s">
        <v>2414</v>
      </c>
      <c r="G515" s="261" t="s">
        <v>2415</v>
      </c>
      <c r="H515" s="80" t="str">
        <f>VLOOKUP(G515,'01. TH'!$B:$E,3,0)</f>
        <v/>
      </c>
      <c r="I515" s="263" t="s">
        <v>64</v>
      </c>
      <c r="J515" s="263"/>
      <c r="K515" s="264"/>
      <c r="L515" s="264"/>
      <c r="M515" s="265"/>
      <c r="N515" s="263" t="s">
        <v>2416</v>
      </c>
      <c r="O515" s="266"/>
      <c r="P515" s="263"/>
      <c r="Q515" s="263" t="s">
        <v>2417</v>
      </c>
      <c r="R515" s="263" t="s">
        <v>2418</v>
      </c>
      <c r="S515" s="266" t="s">
        <v>2425</v>
      </c>
      <c r="T515" s="255"/>
      <c r="U515" s="255">
        <v>0.49</v>
      </c>
      <c r="V515" s="112">
        <v>300.0</v>
      </c>
      <c r="W515" s="112"/>
      <c r="X515" s="112"/>
      <c r="Y515" s="112"/>
    </row>
    <row r="516" ht="13.5" customHeight="1" outlineLevel="1">
      <c r="A516" s="80">
        <f t="shared" si="15"/>
        <v>18</v>
      </c>
      <c r="B516" s="261" t="s">
        <v>2426</v>
      </c>
      <c r="C516" s="261" t="s">
        <v>2427</v>
      </c>
      <c r="D516" s="95" t="str">
        <f>IFERROR(VLOOKUP(B516,' 02.1 KLH-CN MÃ BRAVO MM'!$B:$C,2,0),"")</f>
        <v>A23-COT-004</v>
      </c>
      <c r="E516" s="262"/>
      <c r="F516" s="262" t="s">
        <v>2414</v>
      </c>
      <c r="G516" s="261" t="s">
        <v>2415</v>
      </c>
      <c r="H516" s="80" t="str">
        <f>VLOOKUP(G516,'01. TH'!$B:$E,3,0)</f>
        <v/>
      </c>
      <c r="I516" s="263" t="s">
        <v>64</v>
      </c>
      <c r="J516" s="263"/>
      <c r="K516" s="264"/>
      <c r="L516" s="264"/>
      <c r="M516" s="265"/>
      <c r="N516" s="263" t="s">
        <v>2416</v>
      </c>
      <c r="O516" s="266"/>
      <c r="P516" s="263"/>
      <c r="Q516" s="263" t="s">
        <v>2417</v>
      </c>
      <c r="R516" s="263" t="s">
        <v>2418</v>
      </c>
      <c r="S516" s="266" t="s">
        <v>2428</v>
      </c>
      <c r="T516" s="255"/>
      <c r="U516" s="255">
        <v>0.49</v>
      </c>
      <c r="V516" s="112">
        <v>300.0</v>
      </c>
      <c r="W516" s="112"/>
      <c r="X516" s="112"/>
      <c r="Y516" s="112"/>
    </row>
    <row r="517" ht="13.5" customHeight="1" outlineLevel="1">
      <c r="A517" s="80">
        <f t="shared" si="15"/>
        <v>19</v>
      </c>
      <c r="B517" s="261" t="s">
        <v>2429</v>
      </c>
      <c r="C517" s="261" t="s">
        <v>2430</v>
      </c>
      <c r="D517" s="95" t="str">
        <f>IFERROR(VLOOKUP(B517,' 02.1 KLH-CN MÃ BRAVO MM'!$B:$C,2,0),"")</f>
        <v>A23-COT-005</v>
      </c>
      <c r="E517" s="262"/>
      <c r="F517" s="262" t="s">
        <v>2414</v>
      </c>
      <c r="G517" s="261" t="s">
        <v>2415</v>
      </c>
      <c r="H517" s="80" t="str">
        <f>VLOOKUP(G517,'01. TH'!$B:$E,3,0)</f>
        <v/>
      </c>
      <c r="I517" s="263" t="s">
        <v>64</v>
      </c>
      <c r="J517" s="263"/>
      <c r="K517" s="264"/>
      <c r="L517" s="264"/>
      <c r="M517" s="267"/>
      <c r="N517" s="263" t="s">
        <v>2416</v>
      </c>
      <c r="O517" s="266"/>
      <c r="P517" s="263"/>
      <c r="Q517" s="263" t="s">
        <v>2417</v>
      </c>
      <c r="R517" s="263" t="s">
        <v>2418</v>
      </c>
      <c r="S517" s="266" t="s">
        <v>2431</v>
      </c>
      <c r="T517" s="255"/>
      <c r="U517" s="255">
        <v>0.49</v>
      </c>
      <c r="V517" s="112">
        <v>300.0</v>
      </c>
      <c r="W517" s="112"/>
      <c r="X517" s="112"/>
      <c r="Y517" s="112"/>
    </row>
    <row r="518" ht="13.5" customHeight="1" outlineLevel="1">
      <c r="A518" s="80">
        <f t="shared" si="15"/>
        <v>20</v>
      </c>
      <c r="B518" s="261" t="s">
        <v>2432</v>
      </c>
      <c r="C518" s="268" t="s">
        <v>2433</v>
      </c>
      <c r="D518" s="95" t="str">
        <f>IFERROR(VLOOKUP(B518,' 02.1 KLH-CN MÃ BRAVO MM'!$B:$C,2,0),"")</f>
        <v>A23-COT-006</v>
      </c>
      <c r="E518" s="262"/>
      <c r="F518" s="262" t="s">
        <v>2414</v>
      </c>
      <c r="G518" s="261" t="s">
        <v>2415</v>
      </c>
      <c r="H518" s="80" t="str">
        <f>VLOOKUP(G518,'01. TH'!$B:$E,3,0)</f>
        <v/>
      </c>
      <c r="I518" s="263" t="s">
        <v>64</v>
      </c>
      <c r="J518" s="263"/>
      <c r="K518" s="264"/>
      <c r="L518" s="264"/>
      <c r="M518" s="265"/>
      <c r="N518" s="263" t="s">
        <v>2416</v>
      </c>
      <c r="O518" s="266"/>
      <c r="P518" s="263"/>
      <c r="Q518" s="263" t="s">
        <v>2417</v>
      </c>
      <c r="R518" s="263" t="s">
        <v>2418</v>
      </c>
      <c r="S518" s="266" t="s">
        <v>2434</v>
      </c>
      <c r="T518" s="255" t="s">
        <v>2435</v>
      </c>
      <c r="U518" s="255">
        <v>0.49</v>
      </c>
      <c r="V518" s="112">
        <v>300.0</v>
      </c>
      <c r="W518" s="112"/>
      <c r="X518" s="112"/>
      <c r="Y518" s="112"/>
    </row>
    <row r="519" outlineLevel="1">
      <c r="A519" s="128"/>
      <c r="B519" s="128"/>
      <c r="C519" s="128"/>
      <c r="D519" s="128"/>
      <c r="E519" s="128"/>
      <c r="F519" s="269"/>
      <c r="G519" s="128"/>
      <c r="H519" s="80" t="str">
        <f>VLOOKUP(G519,'01. TH'!$B:$E,3,0)</f>
        <v>#N/A</v>
      </c>
      <c r="I519" s="128"/>
      <c r="J519" s="128"/>
      <c r="K519" s="128"/>
      <c r="L519" s="128"/>
      <c r="M519" s="128"/>
      <c r="N519" s="269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</row>
    <row r="520" outlineLevel="1">
      <c r="A520" s="128"/>
      <c r="B520" s="128"/>
      <c r="C520" s="128" t="s">
        <v>2436</v>
      </c>
      <c r="D520" s="128"/>
      <c r="E520" s="128"/>
      <c r="F520" s="269"/>
      <c r="G520" s="128"/>
      <c r="H520" s="80" t="str">
        <f>VLOOKUP(G520,'01. TH'!$B:$E,3,0)</f>
        <v>#N/A</v>
      </c>
      <c r="I520" s="128"/>
      <c r="J520" s="128"/>
      <c r="K520" s="128"/>
      <c r="L520" s="128"/>
      <c r="M520" s="128"/>
      <c r="N520" s="269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</row>
    <row r="521" ht="13.5" customHeight="1">
      <c r="A521" s="76" t="s">
        <v>2437</v>
      </c>
      <c r="B521" s="55"/>
      <c r="C521" s="59">
        <f>COUNTA($B$522:$B$534)</f>
        <v>12</v>
      </c>
      <c r="D521" s="55" t="str">
        <f>IFERROR(VLOOKUP(B521,' 02.1 KLH-CN MÃ BRAVO MM'!$B:$C,2,0),"")</f>
        <v/>
      </c>
      <c r="E521" s="59"/>
      <c r="F521" s="59"/>
      <c r="G521" s="59"/>
      <c r="H521" s="55"/>
      <c r="I521" s="55"/>
      <c r="J521" s="62"/>
      <c r="K521" s="55"/>
      <c r="L521" s="59"/>
      <c r="M521" s="55"/>
      <c r="N521" s="59"/>
      <c r="O521" s="55"/>
      <c r="P521" s="55"/>
      <c r="Q521" s="55"/>
      <c r="R521" s="55"/>
      <c r="S521" s="55"/>
      <c r="T521" s="55"/>
      <c r="U521" s="55"/>
      <c r="V521" s="63"/>
      <c r="W521" s="63"/>
      <c r="X521" s="63"/>
      <c r="Y521" s="63"/>
    </row>
    <row r="522" ht="13.5" customHeight="1" outlineLevel="1">
      <c r="A522" s="80">
        <v>1.0</v>
      </c>
      <c r="B522" s="84" t="str">
        <f t="shared" ref="B522:B525" si="16">C522</f>
        <v>TBT-XTB-001</v>
      </c>
      <c r="C522" s="84" t="s">
        <v>2438</v>
      </c>
      <c r="D522" s="95" t="str">
        <f>IFERROR(VLOOKUP(B522,' 02.1 KLH-CN MÃ BRAVO MM'!$B:$C,2,0),"")</f>
        <v>ATT-A22-0159</v>
      </c>
      <c r="E522" s="95"/>
      <c r="F522" s="95" t="s">
        <v>79</v>
      </c>
      <c r="G522" s="86" t="s">
        <v>2439</v>
      </c>
      <c r="H522" s="80" t="str">
        <f>VLOOKUP(G522,'01. TH'!$B:$E,3,0)</f>
        <v>8310 x 2495 x 3600</v>
      </c>
      <c r="I522" s="80" t="s">
        <v>65</v>
      </c>
      <c r="J522" s="99">
        <v>44197.0</v>
      </c>
      <c r="K522" s="80" t="str">
        <f>IF(COUNTIF('TT BTSC'!$D:$D,B522)&gt;0,"Hư hỏng","Bình thường")</f>
        <v>Bình thường</v>
      </c>
      <c r="L522" s="102">
        <v>0.67</v>
      </c>
      <c r="M522" s="104"/>
      <c r="N522" s="106" t="s">
        <v>1032</v>
      </c>
      <c r="O522" s="108" t="s">
        <v>103</v>
      </c>
      <c r="P522" s="80">
        <v>2017.0</v>
      </c>
      <c r="Q522" s="80" t="s">
        <v>2440</v>
      </c>
      <c r="R522" s="106" t="s">
        <v>2418</v>
      </c>
      <c r="S522" s="108" t="s">
        <v>2441</v>
      </c>
      <c r="T522" s="110" t="s">
        <v>2442</v>
      </c>
      <c r="U522" s="110">
        <v>0.7</v>
      </c>
      <c r="V522" s="112">
        <v>400.0</v>
      </c>
      <c r="W522" s="112"/>
      <c r="X522" s="112"/>
      <c r="Y522" s="112"/>
    </row>
    <row r="523" ht="13.5" customHeight="1" outlineLevel="1">
      <c r="A523" s="80">
        <v>2.0</v>
      </c>
      <c r="B523" s="84" t="str">
        <f t="shared" si="16"/>
        <v>TBT-XTB-002</v>
      </c>
      <c r="C523" s="84" t="s">
        <v>2443</v>
      </c>
      <c r="D523" s="95" t="str">
        <f>IFERROR(VLOOKUP(B523,' 02.1 KLH-CN MÃ BRAVO MM'!$B:$C,2,0),"")</f>
        <v>ATT-A22-0160</v>
      </c>
      <c r="E523" s="95"/>
      <c r="F523" s="95" t="s">
        <v>79</v>
      </c>
      <c r="G523" s="86" t="s">
        <v>2439</v>
      </c>
      <c r="H523" s="80" t="str">
        <f>VLOOKUP(G523,'01. TH'!$B:$E,3,0)</f>
        <v>8310 x 2495 x 3600</v>
      </c>
      <c r="I523" s="80" t="s">
        <v>65</v>
      </c>
      <c r="J523" s="99">
        <v>44197.0</v>
      </c>
      <c r="K523" s="80" t="str">
        <f>IF(COUNTIF('TT BTSC'!$D:$D,B523)&gt;0,"Hư hỏng","Bình thường")</f>
        <v>Bình thường</v>
      </c>
      <c r="L523" s="102">
        <v>0.67</v>
      </c>
      <c r="M523" s="104"/>
      <c r="N523" s="106" t="s">
        <v>1032</v>
      </c>
      <c r="O523" s="108" t="s">
        <v>103</v>
      </c>
      <c r="P523" s="80">
        <v>2017.0</v>
      </c>
      <c r="Q523" s="80" t="s">
        <v>2440</v>
      </c>
      <c r="R523" s="106" t="s">
        <v>2418</v>
      </c>
      <c r="S523" s="108" t="s">
        <v>2444</v>
      </c>
      <c r="T523" s="110" t="s">
        <v>2445</v>
      </c>
      <c r="U523" s="110">
        <v>0.7</v>
      </c>
      <c r="V523" s="112">
        <v>400.0</v>
      </c>
      <c r="W523" s="112"/>
      <c r="X523" s="112"/>
      <c r="Y523" s="112"/>
    </row>
    <row r="524" ht="13.5" customHeight="1" outlineLevel="1">
      <c r="A524" s="80">
        <v>3.0</v>
      </c>
      <c r="B524" s="84" t="str">
        <f t="shared" si="16"/>
        <v>TBT-XTB-003</v>
      </c>
      <c r="C524" s="84" t="s">
        <v>2446</v>
      </c>
      <c r="D524" s="95" t="str">
        <f>IFERROR(VLOOKUP(B524,' 02.1 KLH-CN MÃ BRAVO MM'!$B:$C,2,0),"")</f>
        <v>ATT-A22-0161</v>
      </c>
      <c r="E524" s="95"/>
      <c r="F524" s="95" t="s">
        <v>79</v>
      </c>
      <c r="G524" s="86" t="s">
        <v>2439</v>
      </c>
      <c r="H524" s="80" t="str">
        <f>VLOOKUP(G524,'01. TH'!$B:$E,3,0)</f>
        <v>8310 x 2495 x 3600</v>
      </c>
      <c r="I524" s="80" t="s">
        <v>65</v>
      </c>
      <c r="J524" s="99">
        <v>44197.0</v>
      </c>
      <c r="K524" s="80" t="str">
        <f>IF(COUNTIF('TT BTSC'!$D:$D,B524)&gt;0,"Hư hỏng","Bình thường")</f>
        <v>Bình thường</v>
      </c>
      <c r="L524" s="102">
        <v>0.67</v>
      </c>
      <c r="M524" s="104"/>
      <c r="N524" s="106" t="s">
        <v>1032</v>
      </c>
      <c r="O524" s="108" t="s">
        <v>103</v>
      </c>
      <c r="P524" s="80">
        <v>2017.0</v>
      </c>
      <c r="Q524" s="80" t="s">
        <v>2440</v>
      </c>
      <c r="R524" s="106" t="s">
        <v>2418</v>
      </c>
      <c r="S524" s="108" t="s">
        <v>2447</v>
      </c>
      <c r="T524" s="110" t="s">
        <v>2448</v>
      </c>
      <c r="U524" s="110">
        <v>0.7</v>
      </c>
      <c r="V524" s="112">
        <v>400.0</v>
      </c>
      <c r="W524" s="112"/>
      <c r="X524" s="112"/>
      <c r="Y524" s="112"/>
    </row>
    <row r="525" ht="13.5" customHeight="1" outlineLevel="1">
      <c r="A525" s="95">
        <v>4.0</v>
      </c>
      <c r="B525" s="113" t="str">
        <f t="shared" si="16"/>
        <v>TBT-XTB-004</v>
      </c>
      <c r="C525" s="113" t="s">
        <v>2449</v>
      </c>
      <c r="D525" s="95" t="str">
        <f>IFERROR(VLOOKUP(B525,' 02.1 KLH-CN MÃ BRAVO MM'!$B:$C,2,0),"")</f>
        <v>ATT-A22-0162</v>
      </c>
      <c r="E525" s="95"/>
      <c r="F525" s="95" t="s">
        <v>79</v>
      </c>
      <c r="G525" s="115" t="s">
        <v>2450</v>
      </c>
      <c r="H525" s="80" t="str">
        <f>VLOOKUP(G525,'01. TH'!$B:$E,3,0)</f>
        <v>9830 x 2530 x 4000</v>
      </c>
      <c r="I525" s="95" t="s">
        <v>65</v>
      </c>
      <c r="J525" s="116">
        <v>44197.0</v>
      </c>
      <c r="K525" s="80" t="str">
        <f>IF(COUNTIF('TT BTSC'!$D:$D,B525)&gt;0,"Hư hỏng","Bình thường")</f>
        <v>Bình thường</v>
      </c>
      <c r="L525" s="102">
        <v>0.68</v>
      </c>
      <c r="M525" s="118"/>
      <c r="N525" s="119" t="s">
        <v>2451</v>
      </c>
      <c r="O525" s="110" t="s">
        <v>883</v>
      </c>
      <c r="P525" s="95">
        <v>2018.0</v>
      </c>
      <c r="Q525" s="95" t="s">
        <v>2452</v>
      </c>
      <c r="R525" s="119" t="s">
        <v>2453</v>
      </c>
      <c r="S525" s="110" t="s">
        <v>2454</v>
      </c>
      <c r="T525" s="110" t="s">
        <v>2455</v>
      </c>
      <c r="U525" s="110">
        <v>0.7</v>
      </c>
      <c r="V525" s="112">
        <v>0.0</v>
      </c>
      <c r="W525" s="112"/>
      <c r="X525" s="112"/>
      <c r="Y525" s="112"/>
    </row>
    <row r="526" ht="13.5" customHeight="1" outlineLevel="1">
      <c r="A526" s="80">
        <v>5.0</v>
      </c>
      <c r="B526" s="84" t="s">
        <v>2456</v>
      </c>
      <c r="C526" s="86"/>
      <c r="D526" s="95" t="str">
        <f>IFERROR(VLOOKUP(B526,' 02.1 KLH-CN MÃ BRAVO MM'!$B:$C,2,0),"")</f>
        <v>ATT-A22-0311</v>
      </c>
      <c r="E526" s="80" t="s">
        <v>2457</v>
      </c>
      <c r="F526" s="95" t="s">
        <v>154</v>
      </c>
      <c r="G526" s="86" t="s">
        <v>2458</v>
      </c>
      <c r="H526" s="80" t="str">
        <f>VLOOKUP(G526,'01. TH'!$B:$E,3,0)</f>
        <v>9270 x 2500 x 3860</v>
      </c>
      <c r="I526" s="80" t="s">
        <v>65</v>
      </c>
      <c r="J526" s="99" t="s">
        <v>2459</v>
      </c>
      <c r="K526" s="80" t="str">
        <f>IF(COUNTIF('TT BTSC'!$D:$D,B526)&gt;0,"Hư hỏng","Bình thường")</f>
        <v>Bình thường</v>
      </c>
      <c r="L526" s="102">
        <v>0.98</v>
      </c>
      <c r="M526" s="104"/>
      <c r="N526" s="106" t="s">
        <v>2460</v>
      </c>
      <c r="O526" s="108" t="s">
        <v>883</v>
      </c>
      <c r="P526" s="80">
        <v>2023.0</v>
      </c>
      <c r="Q526" s="80" t="s">
        <v>2461</v>
      </c>
      <c r="R526" s="106" t="s">
        <v>2462</v>
      </c>
      <c r="S526" s="108" t="s">
        <v>2463</v>
      </c>
      <c r="T526" s="110" t="s">
        <v>2464</v>
      </c>
      <c r="U526" s="255">
        <v>0.7</v>
      </c>
      <c r="V526" s="112">
        <v>400.0</v>
      </c>
      <c r="W526" s="112"/>
      <c r="X526" s="112"/>
      <c r="Y526" s="112"/>
    </row>
    <row r="527" ht="13.5" customHeight="1" outlineLevel="1">
      <c r="A527" s="80">
        <v>6.0</v>
      </c>
      <c r="B527" s="84" t="s">
        <v>2465</v>
      </c>
      <c r="C527" s="86"/>
      <c r="D527" s="95" t="str">
        <f>IFERROR(VLOOKUP(B527,' 02.1 KLH-CN MÃ BRAVO MM'!$B:$C,2,0),"")</f>
        <v>ATT-A22-0306</v>
      </c>
      <c r="E527" s="80" t="s">
        <v>2466</v>
      </c>
      <c r="F527" s="95" t="s">
        <v>154</v>
      </c>
      <c r="G527" s="86" t="s">
        <v>2458</v>
      </c>
      <c r="H527" s="80" t="str">
        <f>VLOOKUP(G527,'01. TH'!$B:$E,3,0)</f>
        <v>9270 x 2500 x 3860</v>
      </c>
      <c r="I527" s="80" t="s">
        <v>65</v>
      </c>
      <c r="J527" s="99">
        <v>45150.0</v>
      </c>
      <c r="K527" s="80" t="str">
        <f>IF(COUNTIF('TT BTSC'!$D:$D,B527)&gt;0,"Hư hỏng","Bình thường")</f>
        <v>Bình thường</v>
      </c>
      <c r="L527" s="102">
        <v>0.98</v>
      </c>
      <c r="M527" s="104"/>
      <c r="N527" s="106" t="s">
        <v>2460</v>
      </c>
      <c r="O527" s="108" t="s">
        <v>883</v>
      </c>
      <c r="P527" s="80">
        <v>2023.0</v>
      </c>
      <c r="Q527" s="80" t="s">
        <v>2461</v>
      </c>
      <c r="R527" s="106" t="s">
        <v>2462</v>
      </c>
      <c r="S527" s="108" t="s">
        <v>2467</v>
      </c>
      <c r="T527" s="110" t="s">
        <v>2468</v>
      </c>
      <c r="U527" s="255">
        <v>0.7</v>
      </c>
      <c r="V527" s="112">
        <v>400.0</v>
      </c>
      <c r="W527" s="112"/>
      <c r="X527" s="112"/>
      <c r="Y527" s="112"/>
    </row>
    <row r="528" ht="13.5" customHeight="1" outlineLevel="1">
      <c r="A528" s="80">
        <v>7.0</v>
      </c>
      <c r="B528" s="84" t="s">
        <v>2469</v>
      </c>
      <c r="C528" s="86"/>
      <c r="D528" s="95" t="str">
        <f>IFERROR(VLOOKUP(B528,' 02.1 KLH-CN MÃ BRAVO MM'!$B:$C,2,0),"")</f>
        <v>ATT-A22-0307</v>
      </c>
      <c r="E528" s="80" t="s">
        <v>2470</v>
      </c>
      <c r="F528" s="95" t="s">
        <v>154</v>
      </c>
      <c r="G528" s="86" t="s">
        <v>2458</v>
      </c>
      <c r="H528" s="80" t="str">
        <f>VLOOKUP(G528,'01. TH'!$B:$E,3,0)</f>
        <v>9270 x 2500 x 3860</v>
      </c>
      <c r="I528" s="80" t="s">
        <v>65</v>
      </c>
      <c r="J528" s="99">
        <v>45150.0</v>
      </c>
      <c r="K528" s="80" t="str">
        <f>IF(COUNTIF('TT BTSC'!$D:$D,B528)&gt;0,"Hư hỏng","Bình thường")</f>
        <v>Bình thường</v>
      </c>
      <c r="L528" s="102">
        <v>0.98</v>
      </c>
      <c r="M528" s="104"/>
      <c r="N528" s="106" t="s">
        <v>2460</v>
      </c>
      <c r="O528" s="108" t="s">
        <v>883</v>
      </c>
      <c r="P528" s="80">
        <v>2023.0</v>
      </c>
      <c r="Q528" s="80" t="s">
        <v>2461</v>
      </c>
      <c r="R528" s="106" t="s">
        <v>2462</v>
      </c>
      <c r="S528" s="108" t="s">
        <v>2471</v>
      </c>
      <c r="T528" s="110" t="s">
        <v>2472</v>
      </c>
      <c r="U528" s="255">
        <v>0.7</v>
      </c>
      <c r="V528" s="112">
        <v>400.0</v>
      </c>
      <c r="W528" s="112"/>
      <c r="X528" s="112"/>
      <c r="Y528" s="112"/>
    </row>
    <row r="529" ht="13.5" customHeight="1" outlineLevel="1">
      <c r="A529" s="80">
        <v>8.0</v>
      </c>
      <c r="B529" s="84" t="s">
        <v>2473</v>
      </c>
      <c r="C529" s="86"/>
      <c r="D529" s="95" t="str">
        <f>IFERROR(VLOOKUP(B529,' 02.1 KLH-CN MÃ BRAVO MM'!$B:$C,2,0),"")</f>
        <v>ATT-A22-0308</v>
      </c>
      <c r="E529" s="80" t="s">
        <v>2474</v>
      </c>
      <c r="F529" s="95" t="s">
        <v>154</v>
      </c>
      <c r="G529" s="86" t="s">
        <v>2458</v>
      </c>
      <c r="H529" s="80" t="str">
        <f>VLOOKUP(G529,'01. TH'!$B:$E,3,0)</f>
        <v>9270 x 2500 x 3860</v>
      </c>
      <c r="I529" s="80" t="s">
        <v>65</v>
      </c>
      <c r="J529" s="99">
        <v>45150.0</v>
      </c>
      <c r="K529" s="80" t="str">
        <f>IF(COUNTIF('TT BTSC'!$D:$D,B529)&gt;0,"Hư hỏng","Bình thường")</f>
        <v>Bình thường</v>
      </c>
      <c r="L529" s="102">
        <v>0.98</v>
      </c>
      <c r="M529" s="104"/>
      <c r="N529" s="106" t="s">
        <v>2460</v>
      </c>
      <c r="O529" s="108" t="s">
        <v>883</v>
      </c>
      <c r="P529" s="80">
        <v>2023.0</v>
      </c>
      <c r="Q529" s="80" t="s">
        <v>2461</v>
      </c>
      <c r="R529" s="106" t="s">
        <v>2462</v>
      </c>
      <c r="S529" s="108" t="s">
        <v>2475</v>
      </c>
      <c r="T529" s="110" t="s">
        <v>2476</v>
      </c>
      <c r="U529" s="255">
        <v>0.7</v>
      </c>
      <c r="V529" s="112">
        <v>400.0</v>
      </c>
      <c r="W529" s="112"/>
      <c r="X529" s="112"/>
      <c r="Y529" s="112"/>
    </row>
    <row r="530" ht="13.5" customHeight="1" outlineLevel="1">
      <c r="A530" s="80">
        <v>9.0</v>
      </c>
      <c r="B530" s="84" t="s">
        <v>2477</v>
      </c>
      <c r="C530" s="86"/>
      <c r="D530" s="95" t="str">
        <f>IFERROR(VLOOKUP(B530,' 02.1 KLH-CN MÃ BRAVO MM'!$B:$C,2,0),"")</f>
        <v>ATT-A22-0309</v>
      </c>
      <c r="E530" s="80" t="s">
        <v>2479</v>
      </c>
      <c r="F530" s="95" t="s">
        <v>154</v>
      </c>
      <c r="G530" s="86" t="s">
        <v>2458</v>
      </c>
      <c r="H530" s="80" t="str">
        <f>VLOOKUP(G530,'01. TH'!$B:$E,3,0)</f>
        <v>9270 x 2500 x 3860</v>
      </c>
      <c r="I530" s="80" t="s">
        <v>65</v>
      </c>
      <c r="J530" s="99">
        <v>45150.0</v>
      </c>
      <c r="K530" s="80" t="str">
        <f>IF(COUNTIF('TT BTSC'!$D:$D,B530)&gt;0,"Hư hỏng","Bình thường")</f>
        <v>Bình thường</v>
      </c>
      <c r="L530" s="102">
        <v>0.98</v>
      </c>
      <c r="M530" s="104"/>
      <c r="N530" s="106" t="s">
        <v>2460</v>
      </c>
      <c r="O530" s="108" t="s">
        <v>883</v>
      </c>
      <c r="P530" s="80">
        <v>2023.0</v>
      </c>
      <c r="Q530" s="80" t="s">
        <v>2461</v>
      </c>
      <c r="R530" s="106" t="s">
        <v>2462</v>
      </c>
      <c r="S530" s="108" t="s">
        <v>2480</v>
      </c>
      <c r="T530" s="110" t="s">
        <v>2481</v>
      </c>
      <c r="U530" s="255">
        <v>0.7</v>
      </c>
      <c r="V530" s="112">
        <v>400.0</v>
      </c>
      <c r="W530" s="112"/>
      <c r="X530" s="112"/>
      <c r="Y530" s="112"/>
    </row>
    <row r="531" ht="13.5" customHeight="1" outlineLevel="1">
      <c r="A531" s="80">
        <v>10.0</v>
      </c>
      <c r="B531" s="84" t="s">
        <v>2482</v>
      </c>
      <c r="C531" s="86"/>
      <c r="D531" s="95" t="str">
        <f>IFERROR(VLOOKUP(B531,' 02.1 KLH-CN MÃ BRAVO MM'!$B:$C,2,0),"")</f>
        <v>ATT-A22-0310</v>
      </c>
      <c r="E531" s="80" t="s">
        <v>2483</v>
      </c>
      <c r="F531" s="95" t="s">
        <v>154</v>
      </c>
      <c r="G531" s="86" t="s">
        <v>2458</v>
      </c>
      <c r="H531" s="80" t="str">
        <f>VLOOKUP(G531,'01. TH'!$B:$E,3,0)</f>
        <v>9270 x 2500 x 3860</v>
      </c>
      <c r="I531" s="80" t="s">
        <v>65</v>
      </c>
      <c r="J531" s="99">
        <v>45150.0</v>
      </c>
      <c r="K531" s="80" t="str">
        <f>IF(COUNTIF('TT BTSC'!$D:$D,B531)&gt;0,"Hư hỏng","Bình thường")</f>
        <v>Bình thường</v>
      </c>
      <c r="L531" s="102">
        <v>0.98</v>
      </c>
      <c r="M531" s="104"/>
      <c r="N531" s="106" t="s">
        <v>2460</v>
      </c>
      <c r="O531" s="108" t="s">
        <v>883</v>
      </c>
      <c r="P531" s="80">
        <v>2023.0</v>
      </c>
      <c r="Q531" s="80" t="s">
        <v>2461</v>
      </c>
      <c r="R531" s="106" t="s">
        <v>2462</v>
      </c>
      <c r="S531" s="108" t="s">
        <v>2484</v>
      </c>
      <c r="T531" s="110" t="s">
        <v>2485</v>
      </c>
      <c r="U531" s="255">
        <v>0.7</v>
      </c>
      <c r="V531" s="112">
        <v>400.0</v>
      </c>
      <c r="W531" s="112"/>
      <c r="X531" s="112"/>
      <c r="Y531" s="112"/>
    </row>
    <row r="532" ht="13.5" customHeight="1" outlineLevel="1">
      <c r="A532" s="80">
        <v>11.0</v>
      </c>
      <c r="B532" s="84" t="s">
        <v>2486</v>
      </c>
      <c r="C532" s="84" t="s">
        <v>2486</v>
      </c>
      <c r="D532" s="95" t="str">
        <f>IFERROR(VLOOKUP(B532,' 02.1 KLH-CN MÃ BRAVO MM'!$B:$C,2,0),"")</f>
        <v>ATT-A22-0158</v>
      </c>
      <c r="E532" s="95"/>
      <c r="F532" s="95" t="s">
        <v>79</v>
      </c>
      <c r="G532" s="86" t="s">
        <v>1671</v>
      </c>
      <c r="H532" s="80" t="str">
        <f>VLOOKUP(G532,'01. TH'!$B:$E,3,0)</f>
        <v>6895 x 2470 x 3180</v>
      </c>
      <c r="I532" s="80" t="s">
        <v>65</v>
      </c>
      <c r="J532" s="99">
        <v>44197.0</v>
      </c>
      <c r="K532" s="80" t="str">
        <f>IF(COUNTIF('TT BTSC'!$D:$D,B532)&gt;0,"Hư hỏng","Bình thường")</f>
        <v>Bình thường</v>
      </c>
      <c r="L532" s="102">
        <v>0.68</v>
      </c>
      <c r="M532" s="104"/>
      <c r="N532" s="106" t="s">
        <v>123</v>
      </c>
      <c r="O532" s="108" t="s">
        <v>84</v>
      </c>
      <c r="P532" s="80">
        <v>1994.0</v>
      </c>
      <c r="Q532" s="80" t="s">
        <v>2487</v>
      </c>
      <c r="R532" s="106" t="s">
        <v>1917</v>
      </c>
      <c r="S532" s="108" t="s">
        <v>2488</v>
      </c>
      <c r="T532" s="110" t="s">
        <v>2489</v>
      </c>
      <c r="U532" s="110">
        <v>8.31</v>
      </c>
      <c r="V532" s="112">
        <v>175.0</v>
      </c>
      <c r="W532" s="112"/>
      <c r="X532" s="112"/>
      <c r="Y532" s="112"/>
    </row>
    <row r="533" ht="13.5" customHeight="1" outlineLevel="1">
      <c r="A533" s="80">
        <v>12.0</v>
      </c>
      <c r="B533" s="86" t="s">
        <v>2490</v>
      </c>
      <c r="C533" s="84"/>
      <c r="D533" s="95" t="str">
        <f>IFERROR(VLOOKUP(B533,' 02.1 KLH-CN MÃ BRAVO MM'!$B:$C,2,0),"")</f>
        <v>ATT-A22-0323</v>
      </c>
      <c r="E533" s="95"/>
      <c r="F533" s="95" t="s">
        <v>79</v>
      </c>
      <c r="G533" s="86" t="s">
        <v>2491</v>
      </c>
      <c r="H533" s="80" t="str">
        <f>VLOOKUP(G533,'01. TH'!$B:$E,3,0)</f>
        <v>#N/A</v>
      </c>
      <c r="I533" s="80" t="s">
        <v>65</v>
      </c>
      <c r="J533" s="80" t="s">
        <v>2492</v>
      </c>
      <c r="K533" s="80" t="str">
        <f>IF(COUNTIF('TT BTSC'!$D:$D,B533)&gt;0,"Hư hỏng","Bình thường")</f>
        <v>Bình thường</v>
      </c>
      <c r="L533" s="102">
        <v>0.97</v>
      </c>
      <c r="M533" s="104"/>
      <c r="N533" s="80" t="s">
        <v>123</v>
      </c>
      <c r="O533" s="108" t="s">
        <v>222</v>
      </c>
      <c r="P533" s="80">
        <v>2021.0</v>
      </c>
      <c r="Q533" s="80" t="s">
        <v>2487</v>
      </c>
      <c r="R533" s="80" t="s">
        <v>1672</v>
      </c>
      <c r="S533" s="108" t="s">
        <v>2493</v>
      </c>
      <c r="T533" s="110" t="s">
        <v>2494</v>
      </c>
      <c r="U533" s="110">
        <v>9.0</v>
      </c>
      <c r="V533" s="112">
        <v>175.0</v>
      </c>
      <c r="W533" s="112"/>
      <c r="X533" s="112"/>
      <c r="Y533" s="112"/>
    </row>
    <row r="534" ht="13.5" customHeight="1" outlineLevel="1">
      <c r="A534" s="80"/>
      <c r="B534" s="86"/>
      <c r="C534" s="86" t="s">
        <v>2495</v>
      </c>
      <c r="D534" s="95"/>
      <c r="E534" s="95"/>
      <c r="F534" s="95"/>
      <c r="G534" s="86"/>
      <c r="H534" s="80" t="str">
        <f>VLOOKUP(G534,'01. TH'!$B:$E,3,0)</f>
        <v>#N/A</v>
      </c>
      <c r="I534" s="80"/>
      <c r="J534" s="80"/>
      <c r="K534" s="80" t="str">
        <f>IF(COUNTIF('TT BTSC'!$D:$D,B534)&gt;0,"Hư hỏng","Bình thường")</f>
        <v>Bình thường</v>
      </c>
      <c r="L534" s="102"/>
      <c r="M534" s="104"/>
      <c r="N534" s="80"/>
      <c r="O534" s="108"/>
      <c r="P534" s="80"/>
      <c r="Q534" s="80"/>
      <c r="R534" s="80"/>
      <c r="S534" s="108"/>
      <c r="T534" s="110"/>
      <c r="U534" s="110"/>
      <c r="V534" s="51"/>
      <c r="W534" s="51"/>
      <c r="X534" s="51"/>
      <c r="Y534" s="51"/>
    </row>
    <row r="535" ht="13.5" customHeight="1">
      <c r="A535" s="50" t="s">
        <v>2496</v>
      </c>
      <c r="B535" s="272"/>
      <c r="C535" s="24">
        <f>COUNTA($B$536:$B$544)</f>
        <v>7</v>
      </c>
      <c r="D535" s="272" t="str">
        <f>IFERROR(VLOOKUP(B535,' 02.1 KLH-CN MÃ BRAVO MM'!$B:$C,2,0),"")</f>
        <v/>
      </c>
      <c r="E535" s="21"/>
      <c r="F535" s="21"/>
      <c r="G535" s="21"/>
      <c r="H535" s="272"/>
      <c r="I535" s="272"/>
      <c r="J535" s="273"/>
      <c r="K535" s="24"/>
      <c r="L535" s="21"/>
      <c r="M535" s="272"/>
      <c r="N535" s="21"/>
      <c r="O535" s="272"/>
      <c r="P535" s="272"/>
      <c r="Q535" s="272"/>
      <c r="R535" s="272"/>
      <c r="S535" s="272"/>
      <c r="T535" s="272"/>
      <c r="U535" s="272"/>
      <c r="V535" s="63"/>
      <c r="W535" s="63"/>
      <c r="X535" s="63"/>
      <c r="Y535" s="63"/>
    </row>
    <row r="536" ht="13.5" customHeight="1" outlineLevel="1">
      <c r="A536" s="80">
        <v>1.0</v>
      </c>
      <c r="B536" s="86" t="s">
        <v>2497</v>
      </c>
      <c r="C536" s="84" t="s">
        <v>2497</v>
      </c>
      <c r="D536" s="95" t="str">
        <f>IFERROR(VLOOKUP(B536,' 02.1 KLH-CN MÃ BRAVO MM'!$B:$C,2,0),"")</f>
        <v>A22-MKE-028</v>
      </c>
      <c r="E536" s="95"/>
      <c r="F536" s="95" t="s">
        <v>79</v>
      </c>
      <c r="G536" s="86" t="s">
        <v>857</v>
      </c>
      <c r="H536" s="80" t="str">
        <f>VLOOKUP(G536,'01. TH'!$B:$E,3,0)</f>
        <v>3226 x 1570 x 1545</v>
      </c>
      <c r="I536" s="80" t="s">
        <v>66</v>
      </c>
      <c r="J536" s="99"/>
      <c r="K536" s="80" t="str">
        <f>IF(COUNTIF('TT BTSC'!$D:$D,B536)&gt;0,"Hư hỏng","Bình thường")</f>
        <v>Bình thường</v>
      </c>
      <c r="L536" s="106"/>
      <c r="M536" s="104"/>
      <c r="N536" s="80" t="s">
        <v>1593</v>
      </c>
      <c r="O536" s="108" t="s">
        <v>148</v>
      </c>
      <c r="P536" s="80">
        <v>2018.0</v>
      </c>
      <c r="Q536" s="80" t="s">
        <v>860</v>
      </c>
      <c r="R536" s="106" t="s">
        <v>861</v>
      </c>
      <c r="S536" s="108">
        <v>180069.0</v>
      </c>
      <c r="T536" s="110" t="s">
        <v>96</v>
      </c>
      <c r="U536" s="110">
        <v>2.5</v>
      </c>
      <c r="V536" s="112">
        <v>0.0</v>
      </c>
      <c r="W536" s="112"/>
      <c r="X536" s="112"/>
      <c r="Y536" s="112"/>
    </row>
    <row r="537" ht="19.5" customHeight="1" outlineLevel="1">
      <c r="A537" s="80">
        <v>2.0</v>
      </c>
      <c r="B537" s="86" t="s">
        <v>2498</v>
      </c>
      <c r="C537" s="86" t="s">
        <v>2499</v>
      </c>
      <c r="D537" s="95" t="str">
        <f>IFERROR(VLOOKUP(B537,' 02.1 KLH-CN MÃ BRAVO MM'!$B:$C,2,0),"")</f>
        <v/>
      </c>
      <c r="E537" s="95"/>
      <c r="F537" s="95" t="s">
        <v>79</v>
      </c>
      <c r="G537" s="86" t="s">
        <v>875</v>
      </c>
      <c r="H537" s="80" t="str">
        <f>VLOOKUP(G537,'01. TH'!$B:$E,3,0)</f>
        <v>3120 x 1495 x 1510</v>
      </c>
      <c r="I537" s="80" t="s">
        <v>66</v>
      </c>
      <c r="J537" s="99"/>
      <c r="K537" s="80" t="str">
        <f>IF(COUNTIF('TT BTSC'!$D:$D,B537)&gt;0,"Hư hỏng","Bình thường")</f>
        <v>Bình thường</v>
      </c>
      <c r="L537" s="106"/>
      <c r="M537" s="129" t="s">
        <v>2500</v>
      </c>
      <c r="N537" s="106" t="s">
        <v>454</v>
      </c>
      <c r="O537" s="108" t="s">
        <v>84</v>
      </c>
      <c r="P537" s="80">
        <v>2019.0</v>
      </c>
      <c r="Q537" s="80" t="s">
        <v>878</v>
      </c>
      <c r="R537" s="106" t="s">
        <v>101</v>
      </c>
      <c r="S537" s="235" t="s">
        <v>2501</v>
      </c>
      <c r="T537" s="110" t="s">
        <v>96</v>
      </c>
      <c r="U537" s="110">
        <v>2.5</v>
      </c>
      <c r="V537" s="112">
        <v>0.0</v>
      </c>
      <c r="W537" s="112"/>
      <c r="X537" s="112"/>
      <c r="Y537" s="112"/>
    </row>
    <row r="538" ht="27.0" customHeight="1" outlineLevel="1">
      <c r="A538" s="80">
        <v>3.0</v>
      </c>
      <c r="B538" s="86" t="s">
        <v>2502</v>
      </c>
      <c r="C538" s="115" t="s">
        <v>2503</v>
      </c>
      <c r="D538" s="95" t="str">
        <f>IFERROR(VLOOKUP(C538,' 02.1 KLH-CN MÃ BRAVO MM'!$B:$C,2,0),"")</f>
        <v/>
      </c>
      <c r="E538" s="95"/>
      <c r="F538" s="95" t="s">
        <v>79</v>
      </c>
      <c r="G538" s="115" t="s">
        <v>2504</v>
      </c>
      <c r="H538" s="80" t="str">
        <f>VLOOKUP(G538,'01. TH'!$B:$E,3,0)</f>
        <v/>
      </c>
      <c r="I538" s="80" t="s">
        <v>66</v>
      </c>
      <c r="J538" s="116">
        <v>43862.0</v>
      </c>
      <c r="K538" s="80" t="str">
        <f>IF(COUNTIF('TT BTSC'!$D:$D,B538)&gt;0,"Hư hỏng","Bình thường")</f>
        <v>Bình thường</v>
      </c>
      <c r="L538" s="117">
        <v>0.61</v>
      </c>
      <c r="M538" s="155" t="s">
        <v>2505</v>
      </c>
      <c r="N538" s="95" t="s">
        <v>1032</v>
      </c>
      <c r="O538" s="110"/>
      <c r="P538" s="95">
        <v>2000.0</v>
      </c>
      <c r="Q538" s="95"/>
      <c r="R538" s="119"/>
      <c r="S538" s="110" t="s">
        <v>2506</v>
      </c>
      <c r="T538" s="176" t="s">
        <v>2507</v>
      </c>
      <c r="U538" s="110">
        <v>6.5</v>
      </c>
      <c r="V538" s="51"/>
      <c r="W538" s="51"/>
      <c r="X538" s="51"/>
      <c r="Y538" s="51"/>
    </row>
    <row r="539" ht="13.5" customHeight="1" outlineLevel="1">
      <c r="A539" s="80">
        <v>4.0</v>
      </c>
      <c r="B539" s="115" t="s">
        <v>2508</v>
      </c>
      <c r="C539" s="84" t="s">
        <v>2509</v>
      </c>
      <c r="D539" s="95"/>
      <c r="E539" s="95"/>
      <c r="F539" s="95" t="s">
        <v>79</v>
      </c>
      <c r="G539" s="115" t="s">
        <v>2510</v>
      </c>
      <c r="H539" s="80" t="str">
        <f>VLOOKUP(G539,'01. TH'!$B:$E,3,0)</f>
        <v>9120 x 2450 x 3160</v>
      </c>
      <c r="I539" s="80" t="s">
        <v>66</v>
      </c>
      <c r="J539" s="116"/>
      <c r="K539" s="80" t="str">
        <f>IF(COUNTIF('TT BTSC'!$D:$D,B539)&gt;0,"Hư hỏng","Bình thường")</f>
        <v>Bình thường</v>
      </c>
      <c r="L539" s="117"/>
      <c r="M539" s="155"/>
      <c r="N539" s="95" t="s">
        <v>743</v>
      </c>
      <c r="O539" s="110" t="s">
        <v>148</v>
      </c>
      <c r="P539" s="95">
        <v>2017.0</v>
      </c>
      <c r="Q539" s="95" t="s">
        <v>2512</v>
      </c>
      <c r="R539" s="95" t="s">
        <v>112</v>
      </c>
      <c r="S539" s="110" t="s">
        <v>2513</v>
      </c>
      <c r="T539" s="110" t="s">
        <v>96</v>
      </c>
      <c r="U539" s="110">
        <v>5.0</v>
      </c>
      <c r="V539" s="112">
        <v>220.0</v>
      </c>
      <c r="W539" s="112"/>
      <c r="X539" s="112"/>
      <c r="Y539" s="112"/>
    </row>
    <row r="540" ht="13.5" customHeight="1" outlineLevel="1">
      <c r="A540" s="80">
        <v>5.0</v>
      </c>
      <c r="B540" s="115" t="s">
        <v>2514</v>
      </c>
      <c r="C540" s="215"/>
      <c r="D540" s="95"/>
      <c r="E540" s="95"/>
      <c r="F540" s="95" t="s">
        <v>79</v>
      </c>
      <c r="G540" s="86" t="s">
        <v>2295</v>
      </c>
      <c r="H540" s="80" t="str">
        <f>VLOOKUP(G540,'01. TH'!$B:$E,3,0)</f>
        <v>3300 x 1300 x 1600</v>
      </c>
      <c r="I540" s="80" t="s">
        <v>66</v>
      </c>
      <c r="J540" s="116">
        <v>45963.0</v>
      </c>
      <c r="K540" s="80" t="str">
        <f>IF(COUNTIF('TT BTSC'!$D:$D,B540)&gt;0,"Hư hỏng","Bình thường")</f>
        <v>Bình thường</v>
      </c>
      <c r="L540" s="117"/>
      <c r="M540" s="155" t="s">
        <v>336</v>
      </c>
      <c r="N540" s="95"/>
      <c r="O540" s="110" t="s">
        <v>883</v>
      </c>
      <c r="P540" s="95"/>
      <c r="Q540" s="95" t="s">
        <v>2515</v>
      </c>
      <c r="R540" s="95" t="s">
        <v>2516</v>
      </c>
      <c r="S540" s="110" t="s">
        <v>2517</v>
      </c>
      <c r="T540" s="110" t="s">
        <v>2518</v>
      </c>
      <c r="U540" s="110">
        <v>2.5</v>
      </c>
      <c r="V540" s="112">
        <v>0.0</v>
      </c>
      <c r="W540" s="112"/>
      <c r="X540" s="112"/>
      <c r="Y540" s="112"/>
    </row>
    <row r="541" ht="13.5" customHeight="1" outlineLevel="1">
      <c r="A541" s="80">
        <v>6.0</v>
      </c>
      <c r="B541" s="115" t="s">
        <v>2519</v>
      </c>
      <c r="C541" s="215"/>
      <c r="D541" s="95"/>
      <c r="E541" s="95"/>
      <c r="F541" s="95" t="s">
        <v>79</v>
      </c>
      <c r="G541" s="86" t="s">
        <v>2295</v>
      </c>
      <c r="H541" s="80" t="str">
        <f>VLOOKUP(G541,'01. TH'!$B:$E,3,0)</f>
        <v>3300 x 1300 x 1600</v>
      </c>
      <c r="I541" s="80" t="s">
        <v>66</v>
      </c>
      <c r="J541" s="116">
        <v>45963.0</v>
      </c>
      <c r="K541" s="80" t="str">
        <f>IF(COUNTIF('TT BTSC'!$D:$D,B541)&gt;0,"Hư hỏng","Bình thường")</f>
        <v>Bình thường</v>
      </c>
      <c r="L541" s="117"/>
      <c r="M541" s="155" t="s">
        <v>336</v>
      </c>
      <c r="N541" s="95"/>
      <c r="O541" s="110" t="s">
        <v>883</v>
      </c>
      <c r="P541" s="95"/>
      <c r="Q541" s="95" t="s">
        <v>2515</v>
      </c>
      <c r="R541" s="95" t="s">
        <v>2516</v>
      </c>
      <c r="S541" s="110" t="s">
        <v>2520</v>
      </c>
      <c r="T541" s="110" t="s">
        <v>2521</v>
      </c>
      <c r="U541" s="110">
        <v>2.5</v>
      </c>
      <c r="V541" s="112">
        <v>0.0</v>
      </c>
      <c r="W541" s="112"/>
      <c r="X541" s="112"/>
      <c r="Y541" s="112"/>
    </row>
    <row r="542" ht="13.5" customHeight="1" outlineLevel="1">
      <c r="A542" s="80">
        <v>7.0</v>
      </c>
      <c r="B542" s="115" t="s">
        <v>2522</v>
      </c>
      <c r="C542" s="215"/>
      <c r="D542" s="95"/>
      <c r="E542" s="95"/>
      <c r="F542" s="95" t="s">
        <v>79</v>
      </c>
      <c r="G542" s="86" t="s">
        <v>2295</v>
      </c>
      <c r="H542" s="80" t="str">
        <f>VLOOKUP(G542,'01. TH'!$B:$E,3,0)</f>
        <v>3300 x 1300 x 1600</v>
      </c>
      <c r="I542" s="80" t="s">
        <v>66</v>
      </c>
      <c r="J542" s="116">
        <v>45963.0</v>
      </c>
      <c r="K542" s="80" t="str">
        <f>IF(COUNTIF('TT BTSC'!$D:$D,B542)&gt;0,"Hư hỏng","Bình thường")</f>
        <v>Bình thường</v>
      </c>
      <c r="L542" s="117"/>
      <c r="M542" s="155" t="s">
        <v>336</v>
      </c>
      <c r="N542" s="95"/>
      <c r="O542" s="110" t="s">
        <v>883</v>
      </c>
      <c r="P542" s="95"/>
      <c r="Q542" s="95" t="s">
        <v>2515</v>
      </c>
      <c r="R542" s="95" t="s">
        <v>2516</v>
      </c>
      <c r="S542" s="110" t="s">
        <v>2523</v>
      </c>
      <c r="T542" s="110" t="s">
        <v>2524</v>
      </c>
      <c r="U542" s="110">
        <v>2.5</v>
      </c>
      <c r="V542" s="112">
        <v>0.0</v>
      </c>
      <c r="W542" s="112"/>
      <c r="X542" s="112"/>
      <c r="Y542" s="112"/>
    </row>
    <row r="543" ht="21.0" customHeight="1" outlineLevel="1">
      <c r="A543" s="95"/>
      <c r="B543" s="86"/>
      <c r="C543" s="115"/>
      <c r="D543" s="95"/>
      <c r="E543" s="95"/>
      <c r="F543" s="95"/>
      <c r="G543" s="115"/>
      <c r="H543" s="80"/>
      <c r="I543" s="80"/>
      <c r="J543" s="116"/>
      <c r="K543" s="80"/>
      <c r="L543" s="117"/>
      <c r="M543" s="155"/>
      <c r="N543" s="95"/>
      <c r="O543" s="110"/>
      <c r="P543" s="95"/>
      <c r="Q543" s="95"/>
      <c r="R543" s="119"/>
      <c r="S543" s="110"/>
      <c r="T543" s="110"/>
      <c r="U543" s="110"/>
      <c r="V543" s="51"/>
      <c r="W543" s="51"/>
      <c r="X543" s="51"/>
      <c r="Y543" s="51"/>
    </row>
    <row r="544" ht="21.0" customHeight="1" outlineLevel="1">
      <c r="A544" s="95"/>
      <c r="B544" s="86"/>
      <c r="C544" s="115" t="s">
        <v>759</v>
      </c>
      <c r="D544" s="95"/>
      <c r="E544" s="95"/>
      <c r="F544" s="95"/>
      <c r="G544" s="115"/>
      <c r="H544" s="80" t="str">
        <f>VLOOKUP(G544,'01. TH'!$B:$E,3,0)</f>
        <v>#N/A</v>
      </c>
      <c r="I544" s="80"/>
      <c r="J544" s="116"/>
      <c r="K544" s="80"/>
      <c r="L544" s="117"/>
      <c r="M544" s="155"/>
      <c r="N544" s="95"/>
      <c r="O544" s="110"/>
      <c r="P544" s="95"/>
      <c r="Q544" s="95"/>
      <c r="R544" s="119"/>
      <c r="S544" s="110"/>
      <c r="T544" s="110"/>
      <c r="U544" s="110"/>
      <c r="V544" s="51"/>
      <c r="W544" s="51"/>
      <c r="X544" s="51"/>
      <c r="Y544" s="51"/>
    </row>
    <row r="545" ht="13.5" customHeight="1">
      <c r="A545" s="50" t="s">
        <v>2525</v>
      </c>
      <c r="B545" s="272"/>
      <c r="C545" s="24">
        <f>COUNTA($B$546:$B$552)</f>
        <v>5</v>
      </c>
      <c r="D545" s="272" t="str">
        <f>IFERROR(VLOOKUP(B545,' 02.1 KLH-CN MÃ BRAVO MM'!$B:$C,2,0),"")</f>
        <v/>
      </c>
      <c r="E545" s="21"/>
      <c r="F545" s="21"/>
      <c r="G545" s="21"/>
      <c r="H545" s="272"/>
      <c r="I545" s="272"/>
      <c r="J545" s="273"/>
      <c r="K545" s="24"/>
      <c r="L545" s="21"/>
      <c r="M545" s="272"/>
      <c r="N545" s="21"/>
      <c r="O545" s="272"/>
      <c r="P545" s="272"/>
      <c r="Q545" s="272"/>
      <c r="R545" s="272"/>
      <c r="S545" s="272"/>
      <c r="T545" s="272"/>
      <c r="U545" s="272"/>
      <c r="V545" s="63"/>
      <c r="W545" s="63"/>
      <c r="X545" s="63"/>
      <c r="Y545" s="63"/>
    </row>
    <row r="546" ht="13.5" customHeight="1" outlineLevel="1">
      <c r="A546" s="80">
        <v>1.0</v>
      </c>
      <c r="B546" s="86" t="s">
        <v>2526</v>
      </c>
      <c r="C546" s="84" t="s">
        <v>2527</v>
      </c>
      <c r="D546" s="95" t="str">
        <f>IFERROR(VLOOKUP(B546,' 02.1 KLH-CN MÃ BRAVO MM'!$B:$C,2,0),"")</f>
        <v>A22-XLO-001</v>
      </c>
      <c r="E546" s="95"/>
      <c r="F546" s="95" t="s">
        <v>79</v>
      </c>
      <c r="G546" s="86" t="s">
        <v>2295</v>
      </c>
      <c r="H546" s="80" t="str">
        <f>VLOOKUP(G546,'01. TH'!$B:$E,3,0)</f>
        <v>3300 x 1300 x 1600</v>
      </c>
      <c r="I546" s="80" t="s">
        <v>63</v>
      </c>
      <c r="J546" s="99"/>
      <c r="K546" s="80" t="str">
        <f>IF(COUNTIF('TT BTSC'!$D:$D,B546)&gt;0,"Hư hỏng","Bình thường")</f>
        <v>Bình thường</v>
      </c>
      <c r="L546" s="106"/>
      <c r="M546" s="104"/>
      <c r="N546" s="106"/>
      <c r="O546" s="108"/>
      <c r="P546" s="80"/>
      <c r="Q546" s="80"/>
      <c r="R546" s="80" t="s">
        <v>2528</v>
      </c>
      <c r="S546" s="108" t="s">
        <v>2529</v>
      </c>
      <c r="T546" s="110" t="s">
        <v>96</v>
      </c>
      <c r="U546" s="110">
        <v>2.5</v>
      </c>
      <c r="V546" s="51"/>
      <c r="W546" s="51"/>
      <c r="X546" s="51"/>
      <c r="Y546" s="51"/>
    </row>
    <row r="547" ht="13.5" customHeight="1" outlineLevel="1">
      <c r="A547" s="80">
        <v>2.0</v>
      </c>
      <c r="B547" s="86" t="s">
        <v>2527</v>
      </c>
      <c r="C547" s="84" t="s">
        <v>2530</v>
      </c>
      <c r="D547" s="95" t="str">
        <f>IFERROR(VLOOKUP(B547,' 02.1 KLH-CN MÃ BRAVO MM'!$B:$C,2,0),"")</f>
        <v>A22-XLO-002</v>
      </c>
      <c r="E547" s="95"/>
      <c r="F547" s="95" t="s">
        <v>79</v>
      </c>
      <c r="G547" s="86" t="s">
        <v>2295</v>
      </c>
      <c r="H547" s="80" t="str">
        <f>VLOOKUP(G547,'01. TH'!$B:$E,3,0)</f>
        <v>3300 x 1300 x 1600</v>
      </c>
      <c r="I547" s="80" t="s">
        <v>63</v>
      </c>
      <c r="J547" s="99"/>
      <c r="K547" s="80" t="str">
        <f>IF(COUNTIF('TT BTSC'!$D:$D,B547)&gt;0,"Hư hỏng","Bình thường")</f>
        <v>Bình thường</v>
      </c>
      <c r="L547" s="106"/>
      <c r="M547" s="104"/>
      <c r="N547" s="106"/>
      <c r="O547" s="108"/>
      <c r="P547" s="80"/>
      <c r="Q547" s="80"/>
      <c r="R547" s="80" t="s">
        <v>2528</v>
      </c>
      <c r="S547" s="108" t="s">
        <v>2531</v>
      </c>
      <c r="T547" s="110" t="s">
        <v>96</v>
      </c>
      <c r="U547" s="110">
        <v>2.5</v>
      </c>
      <c r="V547" s="51"/>
      <c r="W547" s="51"/>
      <c r="X547" s="51"/>
      <c r="Y547" s="51"/>
    </row>
    <row r="548" ht="13.5" customHeight="1" outlineLevel="1">
      <c r="A548" s="80">
        <v>3.0</v>
      </c>
      <c r="B548" s="86" t="s">
        <v>2530</v>
      </c>
      <c r="C548" s="84" t="s">
        <v>2532</v>
      </c>
      <c r="D548" s="95" t="str">
        <f>IFERROR(VLOOKUP(B548,' 02.1 KLH-CN MÃ BRAVO MM'!$B:$C,2,0),"")</f>
        <v>A22-XLO-003</v>
      </c>
      <c r="E548" s="95"/>
      <c r="F548" s="95" t="s">
        <v>79</v>
      </c>
      <c r="G548" s="86" t="s">
        <v>2295</v>
      </c>
      <c r="H548" s="80" t="str">
        <f>VLOOKUP(G548,'01. TH'!$B:$E,3,0)</f>
        <v>3300 x 1300 x 1600</v>
      </c>
      <c r="I548" s="80" t="s">
        <v>63</v>
      </c>
      <c r="J548" s="99"/>
      <c r="K548" s="80" t="str">
        <f>IF(COUNTIF('TT BTSC'!$D:$D,B548)&gt;0,"Hư hỏng","Bình thường")</f>
        <v>Bình thường</v>
      </c>
      <c r="L548" s="106"/>
      <c r="M548" s="104"/>
      <c r="N548" s="106"/>
      <c r="O548" s="108"/>
      <c r="P548" s="80"/>
      <c r="Q548" s="80"/>
      <c r="R548" s="80" t="s">
        <v>2528</v>
      </c>
      <c r="S548" s="108" t="s">
        <v>2533</v>
      </c>
      <c r="T548" s="110" t="s">
        <v>96</v>
      </c>
      <c r="U548" s="110">
        <v>2.5</v>
      </c>
      <c r="V548" s="51"/>
      <c r="W548" s="51"/>
      <c r="X548" s="51"/>
      <c r="Y548" s="51"/>
    </row>
    <row r="549" ht="13.5" customHeight="1" outlineLevel="1">
      <c r="A549" s="80">
        <v>4.0</v>
      </c>
      <c r="B549" s="86" t="s">
        <v>2534</v>
      </c>
      <c r="C549" s="86"/>
      <c r="D549" s="95" t="s">
        <v>2535</v>
      </c>
      <c r="E549" s="95"/>
      <c r="F549" s="95" t="s">
        <v>79</v>
      </c>
      <c r="G549" s="86" t="s">
        <v>2017</v>
      </c>
      <c r="H549" s="80" t="str">
        <f>VLOOKUP(G549,'01. TH'!$B:$E,3,0)</f>
        <v/>
      </c>
      <c r="I549" s="80" t="s">
        <v>63</v>
      </c>
      <c r="J549" s="80" t="s">
        <v>2536</v>
      </c>
      <c r="K549" s="80" t="str">
        <f>IF(COUNTIF('TT BTSC'!$D:$D,B549)&gt;0,"Hư hỏng","Bình thường")</f>
        <v>Bình thường</v>
      </c>
      <c r="L549" s="106"/>
      <c r="M549" s="104"/>
      <c r="N549" s="80" t="s">
        <v>1157</v>
      </c>
      <c r="O549" s="108" t="s">
        <v>260</v>
      </c>
      <c r="P549" s="80">
        <v>2024.0</v>
      </c>
      <c r="Q549" s="80" t="s">
        <v>2019</v>
      </c>
      <c r="R549" s="80" t="s">
        <v>792</v>
      </c>
      <c r="S549" s="108" t="s">
        <v>2537</v>
      </c>
      <c r="T549" s="110" t="s">
        <v>96</v>
      </c>
      <c r="U549" s="246">
        <v>2.5</v>
      </c>
      <c r="V549" s="112">
        <v>60.0</v>
      </c>
      <c r="W549" s="112"/>
      <c r="X549" s="112"/>
      <c r="Y549" s="112"/>
    </row>
    <row r="550" ht="13.5" customHeight="1" outlineLevel="1">
      <c r="A550" s="80">
        <v>5.0</v>
      </c>
      <c r="B550" s="86" t="s">
        <v>2538</v>
      </c>
      <c r="C550" s="86"/>
      <c r="D550" s="95"/>
      <c r="E550" s="95"/>
      <c r="F550" s="95" t="s">
        <v>154</v>
      </c>
      <c r="G550" s="86" t="s">
        <v>2539</v>
      </c>
      <c r="H550" s="80"/>
      <c r="I550" s="80" t="s">
        <v>63</v>
      </c>
      <c r="J550" s="80" t="s">
        <v>2540</v>
      </c>
      <c r="K550" s="80" t="str">
        <f>IF(COUNTIF('TT BTSC'!$D:$D,B550)&gt;0,"Hư hỏng","Bình thường")</f>
        <v>Bình thường</v>
      </c>
      <c r="L550" s="106"/>
      <c r="M550" s="104"/>
      <c r="N550" s="80" t="s">
        <v>1157</v>
      </c>
      <c r="O550" s="108" t="s">
        <v>260</v>
      </c>
      <c r="P550" s="80">
        <v>2026.0</v>
      </c>
      <c r="Q550" s="80" t="s">
        <v>2541</v>
      </c>
      <c r="R550" s="80" t="s">
        <v>2542</v>
      </c>
      <c r="S550" s="108" t="s">
        <v>2543</v>
      </c>
      <c r="T550" s="110" t="s">
        <v>96</v>
      </c>
      <c r="U550" s="110">
        <v>2.5</v>
      </c>
      <c r="V550" s="51"/>
      <c r="W550" s="51"/>
      <c r="X550" s="51"/>
      <c r="Y550" s="51"/>
    </row>
    <row r="551" ht="13.5" customHeight="1" outlineLevel="1">
      <c r="A551" s="80"/>
      <c r="B551" s="86"/>
      <c r="C551" s="86"/>
      <c r="D551" s="95"/>
      <c r="E551" s="95"/>
      <c r="F551" s="95"/>
      <c r="G551" s="86"/>
      <c r="H551" s="80"/>
      <c r="I551" s="80"/>
      <c r="J551" s="99"/>
      <c r="K551" s="80"/>
      <c r="L551" s="106"/>
      <c r="M551" s="104"/>
      <c r="N551" s="106"/>
      <c r="O551" s="108"/>
      <c r="P551" s="80"/>
      <c r="Q551" s="80"/>
      <c r="R551" s="80"/>
      <c r="S551" s="108"/>
      <c r="T551" s="110"/>
      <c r="U551" s="110"/>
      <c r="V551" s="51"/>
      <c r="W551" s="51"/>
      <c r="X551" s="51"/>
      <c r="Y551" s="51"/>
    </row>
    <row r="552" ht="13.5" customHeight="1" outlineLevel="1">
      <c r="A552" s="80"/>
      <c r="B552" s="86"/>
      <c r="C552" s="86" t="s">
        <v>759</v>
      </c>
      <c r="D552" s="95"/>
      <c r="E552" s="95"/>
      <c r="F552" s="95"/>
      <c r="G552" s="86"/>
      <c r="H552" s="80" t="str">
        <f>VLOOKUP(G552,'01. TH'!$B:$E,3,0)</f>
        <v>#N/A</v>
      </c>
      <c r="I552" s="80"/>
      <c r="J552" s="99"/>
      <c r="K552" s="80" t="str">
        <f>IF(COUNTIF('TT BTSC'!$D:$D,B552)&gt;0,"Hư hỏng","Bình thường")</f>
        <v>Bình thường</v>
      </c>
      <c r="L552" s="106"/>
      <c r="M552" s="104"/>
      <c r="N552" s="106"/>
      <c r="O552" s="108"/>
      <c r="P552" s="80"/>
      <c r="Q552" s="80"/>
      <c r="R552" s="80"/>
      <c r="S552" s="108"/>
      <c r="T552" s="110"/>
      <c r="U552" s="110"/>
      <c r="V552" s="51"/>
      <c r="W552" s="51"/>
      <c r="X552" s="51"/>
      <c r="Y552" s="51"/>
    </row>
    <row r="553" ht="13.5" customHeight="1">
      <c r="A553" s="50" t="s">
        <v>2544</v>
      </c>
      <c r="B553" s="272"/>
      <c r="C553" s="24">
        <f>COUNTA($B$554:$B$558)</f>
        <v>4</v>
      </c>
      <c r="D553" s="272" t="str">
        <f>IFERROR(VLOOKUP(B553,' 02.1 KLH-CN MÃ BRAVO MM'!$B:$C,2,0),"")</f>
        <v/>
      </c>
      <c r="E553" s="21"/>
      <c r="F553" s="21"/>
      <c r="G553" s="21"/>
      <c r="H553" s="272"/>
      <c r="I553" s="272"/>
      <c r="J553" s="273"/>
      <c r="K553" s="24"/>
      <c r="L553" s="21"/>
      <c r="M553" s="272"/>
      <c r="N553" s="21"/>
      <c r="O553" s="272"/>
      <c r="P553" s="272"/>
      <c r="Q553" s="272"/>
      <c r="R553" s="272"/>
      <c r="S553" s="272"/>
      <c r="T553" s="272"/>
      <c r="U553" s="272"/>
      <c r="V553" s="63"/>
      <c r="W553" s="63"/>
      <c r="X553" s="63"/>
      <c r="Y553" s="63"/>
    </row>
    <row r="554" ht="13.5" customHeight="1" outlineLevel="1">
      <c r="A554" s="80">
        <v>1.0</v>
      </c>
      <c r="B554" s="86" t="s">
        <v>2545</v>
      </c>
      <c r="C554" s="86" t="s">
        <v>2546</v>
      </c>
      <c r="D554" s="95" t="str">
        <f>IFERROR(VLOOKUP(B554,' 02.1 KLH-CN MÃ BRAVO MM'!$B:$C,2,0),"")</f>
        <v>A23-MKE-032</v>
      </c>
      <c r="E554" s="95"/>
      <c r="F554" s="95" t="s">
        <v>79</v>
      </c>
      <c r="G554" s="86" t="s">
        <v>857</v>
      </c>
      <c r="H554" s="80" t="str">
        <f>VLOOKUP(G554,'01. TH'!$B:$E,3,0)</f>
        <v>3226 x 1570 x 1545</v>
      </c>
      <c r="I554" s="80" t="s">
        <v>50</v>
      </c>
      <c r="J554" s="99"/>
      <c r="K554" s="80" t="str">
        <f>IF(COUNTIF('TT BTSC'!$D:$D,B554)&gt;0,"Hư hỏng","Bình thường")</f>
        <v>Bình thường</v>
      </c>
      <c r="L554" s="106"/>
      <c r="M554" s="104"/>
      <c r="N554" s="80" t="s">
        <v>743</v>
      </c>
      <c r="O554" s="108" t="s">
        <v>148</v>
      </c>
      <c r="P554" s="80"/>
      <c r="Q554" s="80" t="s">
        <v>860</v>
      </c>
      <c r="R554" s="80" t="s">
        <v>861</v>
      </c>
      <c r="S554" s="108" t="s">
        <v>2547</v>
      </c>
      <c r="T554" s="110"/>
      <c r="U554" s="110">
        <v>2.5</v>
      </c>
      <c r="V554" s="112">
        <v>0.0</v>
      </c>
      <c r="W554" s="112"/>
      <c r="X554" s="112"/>
      <c r="Y554" s="112"/>
    </row>
    <row r="555" ht="13.5" customHeight="1" outlineLevel="1">
      <c r="A555" s="80">
        <v>2.0</v>
      </c>
      <c r="B555" s="86" t="s">
        <v>2548</v>
      </c>
      <c r="C555" s="86" t="s">
        <v>2549</v>
      </c>
      <c r="D555" s="95" t="str">
        <f>IFERROR(VLOOKUP(B555,' 02.1 KLH-CN MÃ BRAVO MM'!$B:$C,2,0),"")</f>
        <v>A23-MKE-033</v>
      </c>
      <c r="E555" s="95"/>
      <c r="F555" s="95" t="s">
        <v>79</v>
      </c>
      <c r="G555" s="86" t="s">
        <v>857</v>
      </c>
      <c r="H555" s="80" t="str">
        <f>VLOOKUP(G555,'01. TH'!$B:$E,3,0)</f>
        <v>3226 x 1570 x 1545</v>
      </c>
      <c r="I555" s="80" t="s">
        <v>50</v>
      </c>
      <c r="J555" s="99"/>
      <c r="K555" s="80" t="str">
        <f>IF(COUNTIF('TT BTSC'!$D:$D,B555)&gt;0,"Hư hỏng","Bình thường")</f>
        <v>Bình thường</v>
      </c>
      <c r="L555" s="106"/>
      <c r="M555" s="104"/>
      <c r="N555" s="80" t="s">
        <v>743</v>
      </c>
      <c r="O555" s="108" t="s">
        <v>148</v>
      </c>
      <c r="P555" s="80"/>
      <c r="Q555" s="80" t="s">
        <v>860</v>
      </c>
      <c r="R555" s="80" t="s">
        <v>861</v>
      </c>
      <c r="S555" s="108" t="s">
        <v>2550</v>
      </c>
      <c r="T555" s="110"/>
      <c r="U555" s="110">
        <v>2.5</v>
      </c>
      <c r="V555" s="112">
        <v>0.0</v>
      </c>
      <c r="W555" s="112"/>
      <c r="X555" s="112"/>
      <c r="Y555" s="112"/>
    </row>
    <row r="556" ht="13.5" customHeight="1" outlineLevel="1">
      <c r="A556" s="80">
        <v>3.0</v>
      </c>
      <c r="B556" s="86" t="s">
        <v>2551</v>
      </c>
      <c r="C556" s="84" t="s">
        <v>2552</v>
      </c>
      <c r="D556" s="95" t="str">
        <f>IFERROR(VLOOKUP(C556,' 02.1 KLH-CN MÃ BRAVO MM'!$B:$C,2,0),"")</f>
        <v>A22-MKE-031</v>
      </c>
      <c r="E556" s="95"/>
      <c r="F556" s="95" t="s">
        <v>79</v>
      </c>
      <c r="G556" s="86" t="s">
        <v>857</v>
      </c>
      <c r="H556" s="80" t="str">
        <f>VLOOKUP(G556,'01. TH'!$B:$E,3,0)</f>
        <v>3226 x 1570 x 1545</v>
      </c>
      <c r="I556" s="80" t="s">
        <v>50</v>
      </c>
      <c r="J556" s="99"/>
      <c r="K556" s="80" t="str">
        <f>IF(COUNTIF('TT BTSC'!$D:$D,B556)&gt;0,"Hư hỏng","Bình thường")</f>
        <v>Bình thường</v>
      </c>
      <c r="L556" s="106"/>
      <c r="M556" s="104"/>
      <c r="N556" s="106" t="s">
        <v>743</v>
      </c>
      <c r="O556" s="108" t="s">
        <v>148</v>
      </c>
      <c r="P556" s="80">
        <v>2012.0</v>
      </c>
      <c r="Q556" s="80" t="s">
        <v>860</v>
      </c>
      <c r="R556" s="106" t="s">
        <v>861</v>
      </c>
      <c r="S556" s="108" t="s">
        <v>2553</v>
      </c>
      <c r="T556" s="110" t="s">
        <v>96</v>
      </c>
      <c r="U556" s="110">
        <v>2.5</v>
      </c>
      <c r="V556" s="112">
        <v>0.0</v>
      </c>
      <c r="W556" s="112"/>
      <c r="X556" s="112"/>
      <c r="Y556" s="112"/>
    </row>
    <row r="557" ht="39.0" customHeight="1" outlineLevel="1">
      <c r="A557" s="80">
        <v>4.0</v>
      </c>
      <c r="B557" s="86" t="s">
        <v>2554</v>
      </c>
      <c r="C557" s="86" t="s">
        <v>2555</v>
      </c>
      <c r="D557" s="95" t="str">
        <f>IFERROR(VLOOKUP(B557,' 02.1 KLH-CN MÃ BRAVO MM'!$B:$C,2,0),"")</f>
        <v/>
      </c>
      <c r="E557" s="95"/>
      <c r="F557" s="95" t="s">
        <v>79</v>
      </c>
      <c r="G557" s="86" t="s">
        <v>2510</v>
      </c>
      <c r="H557" s="80" t="str">
        <f>VLOOKUP(G557,'01. TH'!$B:$E,3,0)</f>
        <v>9120 x 2450 x 3160</v>
      </c>
      <c r="I557" s="80" t="s">
        <v>50</v>
      </c>
      <c r="J557" s="80" t="s">
        <v>2556</v>
      </c>
      <c r="K557" s="80" t="str">
        <f>IF(COUNTIF('TT BTSC'!$D:$D,B557)&gt;0,"Hư hỏng","Bình thường")</f>
        <v>Bình thường</v>
      </c>
      <c r="L557" s="102">
        <v>0.65</v>
      </c>
      <c r="M557" s="129" t="s">
        <v>2557</v>
      </c>
      <c r="N557" s="106" t="s">
        <v>1593</v>
      </c>
      <c r="O557" s="108" t="s">
        <v>148</v>
      </c>
      <c r="P557" s="80">
        <v>2018.0</v>
      </c>
      <c r="Q557" s="80" t="s">
        <v>2512</v>
      </c>
      <c r="R557" s="106" t="s">
        <v>112</v>
      </c>
      <c r="S557" s="108" t="s">
        <v>2558</v>
      </c>
      <c r="T557" s="110" t="s">
        <v>2559</v>
      </c>
      <c r="U557" s="110">
        <v>5.0</v>
      </c>
      <c r="V557" s="112">
        <v>220.0</v>
      </c>
      <c r="W557" s="112"/>
      <c r="X557" s="112"/>
      <c r="Y557" s="112"/>
    </row>
    <row r="558" ht="13.5" customHeight="1" outlineLevel="1">
      <c r="A558" s="80"/>
      <c r="B558" s="86"/>
      <c r="C558" s="86" t="s">
        <v>759</v>
      </c>
      <c r="D558" s="95"/>
      <c r="E558" s="95"/>
      <c r="F558" s="95"/>
      <c r="G558" s="86"/>
      <c r="H558" s="80" t="str">
        <f>VLOOKUP(G558,'01. TH'!$B:$E,3,0)</f>
        <v>#N/A</v>
      </c>
      <c r="I558" s="80"/>
      <c r="J558" s="99"/>
      <c r="K558" s="80" t="str">
        <f>IF(COUNTIF('TT BTSC'!$D:$D,B558)&gt;0,"Hư hỏng","Bình thường")</f>
        <v>Bình thường</v>
      </c>
      <c r="L558" s="106"/>
      <c r="M558" s="104"/>
      <c r="N558" s="80"/>
      <c r="O558" s="108"/>
      <c r="P558" s="80"/>
      <c r="Q558" s="80"/>
      <c r="R558" s="80"/>
      <c r="S558" s="108"/>
      <c r="T558" s="110"/>
      <c r="U558" s="110"/>
      <c r="V558" s="51"/>
      <c r="W558" s="51"/>
      <c r="X558" s="51"/>
      <c r="Y558" s="51"/>
    </row>
    <row r="559" ht="13.5" customHeight="1">
      <c r="A559" s="50" t="s">
        <v>2560</v>
      </c>
      <c r="B559" s="272"/>
      <c r="C559" s="24">
        <f>COUNTA($B$560:$B$581)</f>
        <v>20</v>
      </c>
      <c r="D559" s="272" t="str">
        <f>IFERROR(VLOOKUP(B559,' 02.1 KLH-CN MÃ BRAVO MM'!$B:$C,2,0),"")</f>
        <v/>
      </c>
      <c r="E559" s="21"/>
      <c r="F559" s="21"/>
      <c r="G559" s="21"/>
      <c r="H559" s="272"/>
      <c r="I559" s="272"/>
      <c r="J559" s="273"/>
      <c r="K559" s="24"/>
      <c r="L559" s="21"/>
      <c r="M559" s="272"/>
      <c r="N559" s="21"/>
      <c r="O559" s="272"/>
      <c r="P559" s="272"/>
      <c r="Q559" s="272"/>
      <c r="R559" s="272"/>
      <c r="S559" s="272"/>
      <c r="T559" s="272"/>
      <c r="U559" s="272"/>
      <c r="V559" s="63"/>
      <c r="W559" s="63"/>
      <c r="X559" s="63"/>
      <c r="Y559" s="63"/>
    </row>
    <row r="560" ht="13.5" customHeight="1" outlineLevel="1">
      <c r="A560" s="95">
        <v>1.0</v>
      </c>
      <c r="B560" s="113" t="s">
        <v>2561</v>
      </c>
      <c r="C560" s="113" t="s">
        <v>582</v>
      </c>
      <c r="D560" s="95" t="str">
        <f>IFERROR(VLOOKUP(B560,' 02.1 KLH-CN MÃ BRAVO MM'!$B:$C,2,0),"")</f>
        <v>A22-XCA-004</v>
      </c>
      <c r="E560" s="95"/>
      <c r="F560" s="95" t="s">
        <v>79</v>
      </c>
      <c r="G560" s="115" t="s">
        <v>2562</v>
      </c>
      <c r="H560" s="80" t="str">
        <f>VLOOKUP(G560,'01. TH'!$B:$E,3,0)</f>
        <v/>
      </c>
      <c r="I560" s="80" t="s">
        <v>2563</v>
      </c>
      <c r="J560" s="116"/>
      <c r="K560" s="80" t="str">
        <f>IF(COUNTIF('TT BTSC'!$D:$D,B560)&gt;0,"Hư hỏng","Bình thường")</f>
        <v>Bình thường</v>
      </c>
      <c r="L560" s="119"/>
      <c r="M560" s="118"/>
      <c r="N560" s="119" t="s">
        <v>1032</v>
      </c>
      <c r="O560" s="110" t="s">
        <v>103</v>
      </c>
      <c r="P560" s="95"/>
      <c r="Q560" s="95"/>
      <c r="R560" s="119"/>
      <c r="S560" s="110" t="s">
        <v>96</v>
      </c>
      <c r="T560" s="110">
        <v>107291.0</v>
      </c>
      <c r="U560" s="110">
        <v>4.2</v>
      </c>
      <c r="V560" s="51"/>
      <c r="W560" s="51"/>
      <c r="X560" s="51"/>
      <c r="Y560" s="51"/>
    </row>
    <row r="561" ht="13.5" customHeight="1" outlineLevel="1">
      <c r="A561" s="80">
        <f t="shared" ref="A561:A579" si="17">A560+1</f>
        <v>2</v>
      </c>
      <c r="B561" s="86" t="s">
        <v>2564</v>
      </c>
      <c r="C561" s="84" t="s">
        <v>2565</v>
      </c>
      <c r="D561" s="95" t="str">
        <f>IFERROR(VLOOKUP(B561,' 02.1 KLH-CN MÃ BRAVO MM'!$B:$C,2,0),"")</f>
        <v>A22-XCA-002</v>
      </c>
      <c r="E561" s="95"/>
      <c r="F561" s="95" t="s">
        <v>154</v>
      </c>
      <c r="G561" s="86" t="s">
        <v>2566</v>
      </c>
      <c r="H561" s="80" t="str">
        <f>VLOOKUP(G561,'01. TH'!$B:$E,3,0)</f>
        <v>13530 x 2600 x 3700</v>
      </c>
      <c r="I561" s="80" t="s">
        <v>2563</v>
      </c>
      <c r="J561" s="99">
        <v>45478.0</v>
      </c>
      <c r="K561" s="80" t="str">
        <f>IF(COUNTIF('TT BTSC'!$D:$D,B561)&gt;0,"Hư hỏng","Bình thường")</f>
        <v>Bình thường</v>
      </c>
      <c r="L561" s="102">
        <v>1.0</v>
      </c>
      <c r="M561" s="129" t="s">
        <v>2567</v>
      </c>
      <c r="N561" s="80" t="s">
        <v>2568</v>
      </c>
      <c r="O561" s="108" t="s">
        <v>260</v>
      </c>
      <c r="P561" s="80">
        <v>2023.0</v>
      </c>
      <c r="Q561" s="80" t="s">
        <v>2569</v>
      </c>
      <c r="R561" s="80" t="s">
        <v>571</v>
      </c>
      <c r="S561" s="108" t="s">
        <v>2570</v>
      </c>
      <c r="T561" s="110" t="s">
        <v>2571</v>
      </c>
      <c r="U561" s="110">
        <v>7.5</v>
      </c>
      <c r="V561" s="112">
        <v>0.0</v>
      </c>
      <c r="W561" s="112"/>
      <c r="X561" s="112"/>
      <c r="Y561" s="112"/>
    </row>
    <row r="562" ht="13.5" customHeight="1" outlineLevel="1">
      <c r="A562" s="80">
        <f t="shared" si="17"/>
        <v>3</v>
      </c>
      <c r="B562" s="86" t="s">
        <v>2572</v>
      </c>
      <c r="C562" s="186" t="s">
        <v>2573</v>
      </c>
      <c r="D562" s="95" t="str">
        <f>IFERROR(VLOOKUP(B562,' 02.1 KLH-CN MÃ BRAVO MM'!$B:$C,2,0),"")</f>
        <v>A22-XCA-006</v>
      </c>
      <c r="E562" s="137"/>
      <c r="F562" s="95" t="s">
        <v>79</v>
      </c>
      <c r="G562" s="274" t="s">
        <v>2574</v>
      </c>
      <c r="H562" s="80" t="str">
        <f>VLOOKUP(G562,'01. TH'!$B:$E,3,0)</f>
        <v>9120 x 2450 x 3160</v>
      </c>
      <c r="I562" s="80" t="s">
        <v>2563</v>
      </c>
      <c r="J562" s="193">
        <v>45329.0</v>
      </c>
      <c r="K562" s="80" t="str">
        <f>IF(COUNTIF('TT BTSC'!$D:$D,B562)&gt;0,"Hư hỏng","Bình thường")</f>
        <v>Bình thường</v>
      </c>
      <c r="L562" s="275"/>
      <c r="M562" s="141" t="s">
        <v>2575</v>
      </c>
      <c r="N562" s="6" t="s">
        <v>743</v>
      </c>
      <c r="O562" s="108" t="s">
        <v>148</v>
      </c>
      <c r="P562" s="137">
        <v>2018.0</v>
      </c>
      <c r="Q562" s="204" t="s">
        <v>2512</v>
      </c>
      <c r="R562" s="276" t="s">
        <v>112</v>
      </c>
      <c r="S562" s="277" t="s">
        <v>2576</v>
      </c>
      <c r="T562" s="278" t="s">
        <v>2577</v>
      </c>
      <c r="U562" s="110">
        <v>5.0</v>
      </c>
      <c r="V562" s="112">
        <v>220.0</v>
      </c>
      <c r="W562" s="112"/>
      <c r="X562" s="112"/>
      <c r="Y562" s="112"/>
    </row>
    <row r="563" ht="13.5" customHeight="1" outlineLevel="1">
      <c r="A563" s="80">
        <f t="shared" si="17"/>
        <v>4</v>
      </c>
      <c r="B563" s="86" t="s">
        <v>2578</v>
      </c>
      <c r="C563" s="186"/>
      <c r="D563" s="95" t="s">
        <v>2579</v>
      </c>
      <c r="E563" s="137"/>
      <c r="F563" s="95" t="s">
        <v>154</v>
      </c>
      <c r="G563" s="134" t="s">
        <v>2580</v>
      </c>
      <c r="H563" s="80" t="str">
        <f>VLOOKUP(G563,'01. TH'!$B:$E,3,0)</f>
        <v>11845 x 2500 x 3690</v>
      </c>
      <c r="I563" s="80" t="s">
        <v>2563</v>
      </c>
      <c r="J563" s="193" t="s">
        <v>2581</v>
      </c>
      <c r="K563" s="80" t="str">
        <f>IF(COUNTIF('TT BTSC'!$D:$D,B563)&gt;0,"Hư hỏng","Bình thường")</f>
        <v>Bình thường</v>
      </c>
      <c r="L563" s="275"/>
      <c r="M563" s="104" t="s">
        <v>890</v>
      </c>
      <c r="N563" s="137" t="s">
        <v>2582</v>
      </c>
      <c r="O563" s="108" t="s">
        <v>648</v>
      </c>
      <c r="P563" s="137">
        <v>2022.0</v>
      </c>
      <c r="Q563" s="204" t="s">
        <v>2583</v>
      </c>
      <c r="R563" s="204" t="s">
        <v>2584</v>
      </c>
      <c r="S563" s="277" t="s">
        <v>2585</v>
      </c>
      <c r="T563" s="278">
        <v>8.2162916E7</v>
      </c>
      <c r="U563" s="246">
        <v>6.0</v>
      </c>
      <c r="V563" s="144">
        <v>260.0</v>
      </c>
      <c r="W563" s="144"/>
      <c r="X563" s="144"/>
      <c r="Y563" s="144"/>
    </row>
    <row r="564" ht="22.5" customHeight="1" outlineLevel="1">
      <c r="A564" s="80">
        <f t="shared" si="17"/>
        <v>5</v>
      </c>
      <c r="B564" s="134" t="s">
        <v>2586</v>
      </c>
      <c r="C564" s="134" t="s">
        <v>154</v>
      </c>
      <c r="D564" s="9" t="s">
        <v>2587</v>
      </c>
      <c r="E564" s="9"/>
      <c r="F564" s="95" t="s">
        <v>154</v>
      </c>
      <c r="G564" s="134" t="s">
        <v>2580</v>
      </c>
      <c r="H564" s="80" t="str">
        <f>VLOOKUP(G564,'01. TH'!$B:$E,3,0)</f>
        <v>11845 x 2500 x 3690</v>
      </c>
      <c r="I564" s="80" t="s">
        <v>2563</v>
      </c>
      <c r="J564" s="138">
        <v>45757.0</v>
      </c>
      <c r="K564" s="80" t="str">
        <f>IF(COUNTIF('TT BTSC'!$D:$D,B564)&gt;0,"Hư hỏng","Bình thường")</f>
        <v>Bình thường</v>
      </c>
      <c r="L564" s="139"/>
      <c r="M564" s="129" t="s">
        <v>2588</v>
      </c>
      <c r="N564" s="9" t="s">
        <v>2582</v>
      </c>
      <c r="O564" s="140" t="s">
        <v>662</v>
      </c>
      <c r="P564" s="9">
        <v>2023.0</v>
      </c>
      <c r="Q564" s="9" t="s">
        <v>2589</v>
      </c>
      <c r="R564" s="9" t="s">
        <v>2590</v>
      </c>
      <c r="S564" s="140" t="s">
        <v>2591</v>
      </c>
      <c r="T564" s="140" t="s">
        <v>2592</v>
      </c>
      <c r="U564" s="140">
        <v>6.0</v>
      </c>
      <c r="V564" s="144">
        <v>260.0</v>
      </c>
      <c r="W564" s="144"/>
      <c r="X564" s="144"/>
      <c r="Y564" s="144"/>
    </row>
    <row r="565" ht="13.5" customHeight="1" outlineLevel="1">
      <c r="A565" s="80">
        <f t="shared" si="17"/>
        <v>6</v>
      </c>
      <c r="B565" s="279" t="s">
        <v>2593</v>
      </c>
      <c r="C565" s="279" t="s">
        <v>2594</v>
      </c>
      <c r="D565" s="280" t="str">
        <f>IFERROR(VLOOKUP(B565,' 02.1 KLH-CN MÃ BRAVO MM'!$B:$C,2,0),"")</f>
        <v/>
      </c>
      <c r="E565" s="280"/>
      <c r="F565" s="95" t="s">
        <v>79</v>
      </c>
      <c r="G565" s="281" t="s">
        <v>2595</v>
      </c>
      <c r="H565" s="80" t="str">
        <f>VLOOKUP(G565,'01. TH'!$B:$E,3,0)</f>
        <v>12160 x 2500 x 3950</v>
      </c>
      <c r="I565" s="80" t="s">
        <v>2563</v>
      </c>
      <c r="J565" s="282"/>
      <c r="K565" s="80" t="str">
        <f>IF(COUNTIF('TT BTSC'!$D:$D,B565)&gt;0,"Hư hỏng","Bình thường")</f>
        <v>Bình thường</v>
      </c>
      <c r="L565" s="283"/>
      <c r="M565" s="284"/>
      <c r="N565" s="285" t="s">
        <v>201</v>
      </c>
      <c r="O565" s="286" t="s">
        <v>148</v>
      </c>
      <c r="P565" s="287"/>
      <c r="Q565" s="287" t="s">
        <v>2596</v>
      </c>
      <c r="R565" s="285" t="s">
        <v>2453</v>
      </c>
      <c r="S565" s="286" t="s">
        <v>2597</v>
      </c>
      <c r="T565" s="288" t="s">
        <v>2598</v>
      </c>
      <c r="U565" s="288">
        <v>7.1</v>
      </c>
      <c r="V565" s="112">
        <v>250.0</v>
      </c>
      <c r="W565" s="112"/>
      <c r="X565" s="112"/>
      <c r="Y565" s="112"/>
    </row>
    <row r="566" ht="13.5" customHeight="1" outlineLevel="1">
      <c r="A566" s="80">
        <f t="shared" si="17"/>
        <v>7</v>
      </c>
      <c r="B566" s="84" t="s">
        <v>2599</v>
      </c>
      <c r="C566" s="84" t="s">
        <v>2600</v>
      </c>
      <c r="D566" s="95" t="str">
        <f>IFERROR(VLOOKUP(B566,' 02.1 KLH-CN MÃ BRAVO MM'!$B:$C,2,0),"")</f>
        <v>A22-XNA-002</v>
      </c>
      <c r="E566" s="95"/>
      <c r="F566" s="95" t="s">
        <v>79</v>
      </c>
      <c r="G566" s="86" t="s">
        <v>2601</v>
      </c>
      <c r="H566" s="80" t="str">
        <f>VLOOKUP(G566,'01. TH'!$B:$E,3,0)</f>
        <v/>
      </c>
      <c r="I566" s="80" t="s">
        <v>2563</v>
      </c>
      <c r="J566" s="99"/>
      <c r="K566" s="80" t="str">
        <f>IF(COUNTIF('TT BTSC'!$D:$D,B566)&gt;0,"Hư hỏng","Bình thường")</f>
        <v>Bình thường</v>
      </c>
      <c r="L566" s="106"/>
      <c r="M566" s="104"/>
      <c r="N566" s="80" t="s">
        <v>1157</v>
      </c>
      <c r="O566" s="108"/>
      <c r="P566" s="80"/>
      <c r="Q566" s="80"/>
      <c r="R566" s="106"/>
      <c r="S566" s="108" t="s">
        <v>2602</v>
      </c>
      <c r="T566" s="110" t="s">
        <v>96</v>
      </c>
      <c r="U566" s="110">
        <v>2.0</v>
      </c>
      <c r="V566" s="51"/>
      <c r="W566" s="51"/>
      <c r="X566" s="51"/>
      <c r="Y566" s="51"/>
    </row>
    <row r="567" ht="13.5" customHeight="1" outlineLevel="1">
      <c r="A567" s="80">
        <f t="shared" si="17"/>
        <v>8</v>
      </c>
      <c r="B567" s="84" t="s">
        <v>2604</v>
      </c>
      <c r="C567" s="84" t="s">
        <v>2604</v>
      </c>
      <c r="D567" s="95" t="str">
        <f>IFERROR(VLOOKUP(B567,' 02.1 KLH-CN MÃ BRAVO MM'!$B:$C,2,0),"")</f>
        <v>A22-MKE-029</v>
      </c>
      <c r="E567" s="95"/>
      <c r="F567" s="95" t="s">
        <v>79</v>
      </c>
      <c r="G567" s="86" t="s">
        <v>788</v>
      </c>
      <c r="H567" s="80" t="str">
        <f>VLOOKUP(G567,'01. TH'!$B:$E,3,0)</f>
        <v>3445 x 1865 x 2535</v>
      </c>
      <c r="I567" s="80" t="s">
        <v>2563</v>
      </c>
      <c r="J567" s="215"/>
      <c r="K567" s="80" t="str">
        <f>IF(COUNTIF('TT BTSC'!$D:$D,B567)&gt;0,"Hư hỏng","Bình thường")</f>
        <v>Bình thường</v>
      </c>
      <c r="L567" s="106"/>
      <c r="M567" s="104"/>
      <c r="N567" s="106" t="s">
        <v>454</v>
      </c>
      <c r="O567" s="108" t="s">
        <v>84</v>
      </c>
      <c r="P567" s="80">
        <v>2013.0</v>
      </c>
      <c r="Q567" s="80" t="s">
        <v>791</v>
      </c>
      <c r="R567" s="106" t="s">
        <v>792</v>
      </c>
      <c r="S567" s="108" t="s">
        <v>2605</v>
      </c>
      <c r="T567" s="110" t="s">
        <v>96</v>
      </c>
      <c r="U567" s="110">
        <v>3.5</v>
      </c>
      <c r="V567" s="112">
        <v>90.0</v>
      </c>
      <c r="W567" s="112"/>
      <c r="X567" s="112"/>
      <c r="Y567" s="112"/>
    </row>
    <row r="568" ht="13.5" customHeight="1" outlineLevel="1">
      <c r="A568" s="80">
        <f t="shared" si="17"/>
        <v>9</v>
      </c>
      <c r="B568" s="84" t="s">
        <v>2606</v>
      </c>
      <c r="C568" s="84" t="s">
        <v>2607</v>
      </c>
      <c r="D568" s="95" t="str">
        <f>IFERROR(VLOOKUP(B568,' 02.1 KLH-CN MÃ BRAVO MM'!$B:$C,2,0),"")</f>
        <v>A22-MKE-030</v>
      </c>
      <c r="E568" s="95"/>
      <c r="F568" s="95" t="s">
        <v>79</v>
      </c>
      <c r="G568" s="86" t="s">
        <v>2608</v>
      </c>
      <c r="H568" s="80" t="str">
        <f>VLOOKUP(G568,'01. TH'!$B:$E,3,0)</f>
        <v/>
      </c>
      <c r="I568" s="80" t="s">
        <v>2563</v>
      </c>
      <c r="J568" s="99"/>
      <c r="K568" s="80" t="str">
        <f>IF(COUNTIF('TT BTSC'!$D:$D,B568)&gt;0,"Hư hỏng","Bình thường")</f>
        <v>Bình thường</v>
      </c>
      <c r="L568" s="106"/>
      <c r="M568" s="104"/>
      <c r="N568" s="106" t="s">
        <v>2609</v>
      </c>
      <c r="O568" s="108" t="s">
        <v>84</v>
      </c>
      <c r="P568" s="80"/>
      <c r="Q568" s="80"/>
      <c r="R568" s="289" t="s">
        <v>1277</v>
      </c>
      <c r="S568" s="108" t="s">
        <v>2610</v>
      </c>
      <c r="T568" s="110" t="s">
        <v>96</v>
      </c>
      <c r="U568" s="110"/>
      <c r="V568" s="51"/>
      <c r="W568" s="51"/>
      <c r="X568" s="51"/>
      <c r="Y568" s="51"/>
    </row>
    <row r="569" ht="13.5" customHeight="1" outlineLevel="1">
      <c r="A569" s="80">
        <f t="shared" si="17"/>
        <v>10</v>
      </c>
      <c r="B569" s="84" t="s">
        <v>2611</v>
      </c>
      <c r="C569" s="84"/>
      <c r="D569" s="95" t="str">
        <f>IFERROR(VLOOKUP(B569,' 02.1 KLH-CN MÃ BRAVO MM'!$B:$C,2,0),"")</f>
        <v>A22-MKE-032</v>
      </c>
      <c r="E569" s="95"/>
      <c r="F569" s="95" t="s">
        <v>79</v>
      </c>
      <c r="G569" s="86" t="s">
        <v>857</v>
      </c>
      <c r="H569" s="80" t="str">
        <f>VLOOKUP(G569,'01. TH'!$B:$E,3,0)</f>
        <v>3226 x 1570 x 1545</v>
      </c>
      <c r="I569" s="80" t="s">
        <v>2563</v>
      </c>
      <c r="J569" s="99"/>
      <c r="K569" s="80" t="str">
        <f>IF(COUNTIF('TT BTSC'!$D:$D,B569)&gt;0,"Hư hỏng","Bình thường")</f>
        <v>Bình thường</v>
      </c>
      <c r="L569" s="106"/>
      <c r="M569" s="104"/>
      <c r="N569" s="106" t="s">
        <v>743</v>
      </c>
      <c r="O569" s="108" t="s">
        <v>148</v>
      </c>
      <c r="P569" s="80">
        <v>2012.0</v>
      </c>
      <c r="Q569" s="80" t="s">
        <v>860</v>
      </c>
      <c r="R569" s="106" t="s">
        <v>861</v>
      </c>
      <c r="S569" s="108" t="s">
        <v>2612</v>
      </c>
      <c r="T569" s="110" t="s">
        <v>96</v>
      </c>
      <c r="U569" s="110">
        <v>2.5</v>
      </c>
      <c r="V569" s="112">
        <v>0.0</v>
      </c>
      <c r="W569" s="112"/>
      <c r="X569" s="112"/>
      <c r="Y569" s="112"/>
    </row>
    <row r="570" ht="13.5" customHeight="1" outlineLevel="1">
      <c r="A570" s="80">
        <f t="shared" si="17"/>
        <v>11</v>
      </c>
      <c r="B570" s="84" t="s">
        <v>2614</v>
      </c>
      <c r="C570" s="84" t="s">
        <v>2615</v>
      </c>
      <c r="D570" s="95" t="str">
        <f>IFERROR(VLOOKUP(B570,' 02.1 KLH-CN MÃ BRAVO MM'!$B:$C,2,0),"")</f>
        <v>A22-XNA-001</v>
      </c>
      <c r="E570" s="95"/>
      <c r="F570" s="95" t="s">
        <v>79</v>
      </c>
      <c r="G570" s="86" t="s">
        <v>2616</v>
      </c>
      <c r="H570" s="80" t="str">
        <f>VLOOKUP(G570,'01. TH'!$B:$E,3,0)</f>
        <v/>
      </c>
      <c r="I570" s="80" t="s">
        <v>2563</v>
      </c>
      <c r="J570" s="99"/>
      <c r="K570" s="80" t="str">
        <f>IF(COUNTIF('TT BTSC'!$D:$D,B570)&gt;0,"Hư hỏng","Bình thường")</f>
        <v>Bình thường</v>
      </c>
      <c r="L570" s="106"/>
      <c r="M570" s="104"/>
      <c r="N570" s="106" t="s">
        <v>2617</v>
      </c>
      <c r="O570" s="108" t="s">
        <v>84</v>
      </c>
      <c r="P570" s="80"/>
      <c r="Q570" s="80"/>
      <c r="R570" s="106"/>
      <c r="S570" s="108">
        <v>31059.0</v>
      </c>
      <c r="T570" s="110" t="s">
        <v>2618</v>
      </c>
      <c r="U570" s="246">
        <v>2.5</v>
      </c>
      <c r="V570" s="51"/>
      <c r="W570" s="51"/>
      <c r="X570" s="51"/>
      <c r="Y570" s="51"/>
    </row>
    <row r="571" ht="13.5" customHeight="1" outlineLevel="1">
      <c r="A571" s="80">
        <f t="shared" si="17"/>
        <v>12</v>
      </c>
      <c r="B571" s="84" t="s">
        <v>2619</v>
      </c>
      <c r="C571" s="84" t="s">
        <v>2620</v>
      </c>
      <c r="D571" s="95" t="str">
        <f>IFERROR(VLOOKUP(B571,' 02.1 KLH-CN MÃ BRAVO MM'!$B:$C,2,0),"")</f>
        <v>ATT-A22-0275</v>
      </c>
      <c r="E571" s="80"/>
      <c r="F571" s="95" t="s">
        <v>79</v>
      </c>
      <c r="G571" s="86" t="s">
        <v>2295</v>
      </c>
      <c r="H571" s="80" t="str">
        <f>VLOOKUP(G571,'01. TH'!$B:$E,3,0)</f>
        <v>3300 x 1300 x 1600</v>
      </c>
      <c r="I571" s="80" t="s">
        <v>2563</v>
      </c>
      <c r="J571" s="99">
        <v>44936.0</v>
      </c>
      <c r="K571" s="80" t="str">
        <f>IF(COUNTIF('TT BTSC'!$D:$D,B571)&gt;0,"Hư hỏng","Bình thường")</f>
        <v>Bình thường</v>
      </c>
      <c r="L571" s="102">
        <v>0.95</v>
      </c>
      <c r="M571" s="104"/>
      <c r="N571" s="106" t="s">
        <v>2296</v>
      </c>
      <c r="O571" s="108" t="s">
        <v>148</v>
      </c>
      <c r="P571" s="80"/>
      <c r="Q571" s="80" t="s">
        <v>2623</v>
      </c>
      <c r="R571" s="106" t="s">
        <v>278</v>
      </c>
      <c r="S571" s="108" t="s">
        <v>2624</v>
      </c>
      <c r="T571" s="110" t="s">
        <v>96</v>
      </c>
      <c r="U571" s="110">
        <v>2.5</v>
      </c>
      <c r="V571" s="112">
        <v>0.0</v>
      </c>
      <c r="W571" s="112"/>
      <c r="X571" s="112"/>
      <c r="Y571" s="112"/>
    </row>
    <row r="572" ht="13.5" customHeight="1" outlineLevel="1">
      <c r="A572" s="80">
        <f t="shared" si="17"/>
        <v>13</v>
      </c>
      <c r="B572" s="84" t="s">
        <v>2625</v>
      </c>
      <c r="C572" s="215"/>
      <c r="D572" s="95" t="str">
        <f>IFERROR(VLOOKUP(B572,' 02.1 KLH-CN MÃ BRAVO MM'!$B:$C,2,0),"")</f>
        <v>ATT-A22-0281</v>
      </c>
      <c r="E572" s="80"/>
      <c r="F572" s="95" t="s">
        <v>79</v>
      </c>
      <c r="G572" s="86" t="s">
        <v>2295</v>
      </c>
      <c r="H572" s="80" t="str">
        <f>VLOOKUP(G572,'01. TH'!$B:$E,3,0)</f>
        <v>3300 x 1300 x 1600</v>
      </c>
      <c r="I572" s="80" t="s">
        <v>2563</v>
      </c>
      <c r="J572" s="80" t="s">
        <v>2626</v>
      </c>
      <c r="K572" s="80" t="str">
        <f>IF(COUNTIF('TT BTSC'!$D:$D,B572)&gt;0,"Hư hỏng","Bình thường")</f>
        <v>Bình thường</v>
      </c>
      <c r="L572" s="102">
        <v>0.94</v>
      </c>
      <c r="M572" s="104"/>
      <c r="N572" s="106" t="s">
        <v>2296</v>
      </c>
      <c r="O572" s="108" t="s">
        <v>148</v>
      </c>
      <c r="P572" s="80"/>
      <c r="Q572" s="80" t="s">
        <v>2623</v>
      </c>
      <c r="R572" s="106" t="s">
        <v>278</v>
      </c>
      <c r="S572" s="108" t="s">
        <v>2627</v>
      </c>
      <c r="T572" s="110" t="s">
        <v>96</v>
      </c>
      <c r="U572" s="110">
        <v>2.5</v>
      </c>
      <c r="V572" s="112">
        <v>0.0</v>
      </c>
      <c r="W572" s="112"/>
      <c r="X572" s="112"/>
      <c r="Y572" s="112"/>
    </row>
    <row r="573" ht="13.5" customHeight="1" outlineLevel="1">
      <c r="A573" s="80">
        <f t="shared" si="17"/>
        <v>14</v>
      </c>
      <c r="B573" s="84" t="s">
        <v>2628</v>
      </c>
      <c r="C573" s="84"/>
      <c r="D573" s="95" t="str">
        <f>IFERROR(VLOOKUP(B573,' 02.1 KLH-CN MÃ BRAVO MM'!$B:$C,2,0),"")</f>
        <v>ATT-A22-0282</v>
      </c>
      <c r="E573" s="80"/>
      <c r="F573" s="95" t="s">
        <v>79</v>
      </c>
      <c r="G573" s="86" t="s">
        <v>2295</v>
      </c>
      <c r="H573" s="80" t="str">
        <f>VLOOKUP(G573,'01. TH'!$B:$E,3,0)</f>
        <v>3300 x 1300 x 1600</v>
      </c>
      <c r="I573" s="80" t="s">
        <v>2563</v>
      </c>
      <c r="J573" s="80" t="s">
        <v>2626</v>
      </c>
      <c r="K573" s="80" t="str">
        <f>IF(COUNTIF('TT BTSC'!$D:$D,B573)&gt;0,"Hư hỏng","Bình thường")</f>
        <v>Bình thường</v>
      </c>
      <c r="L573" s="102">
        <v>0.94</v>
      </c>
      <c r="M573" s="104"/>
      <c r="N573" s="106" t="s">
        <v>2296</v>
      </c>
      <c r="O573" s="108" t="s">
        <v>148</v>
      </c>
      <c r="P573" s="80"/>
      <c r="Q573" s="80" t="s">
        <v>2623</v>
      </c>
      <c r="R573" s="106" t="s">
        <v>278</v>
      </c>
      <c r="S573" s="108" t="s">
        <v>2629</v>
      </c>
      <c r="T573" s="110" t="s">
        <v>96</v>
      </c>
      <c r="U573" s="110">
        <v>2.5</v>
      </c>
      <c r="V573" s="112">
        <v>0.0</v>
      </c>
      <c r="W573" s="112"/>
      <c r="X573" s="112"/>
      <c r="Y573" s="112"/>
    </row>
    <row r="574" ht="13.5" customHeight="1" outlineLevel="1">
      <c r="A574" s="80">
        <f t="shared" si="17"/>
        <v>15</v>
      </c>
      <c r="B574" s="84" t="s">
        <v>2630</v>
      </c>
      <c r="C574" s="84"/>
      <c r="D574" s="95" t="str">
        <f>IFERROR(VLOOKUP(B574,' 02.1 KLH-CN MÃ BRAVO MM'!$B:$C,2,0),"")</f>
        <v>ATT-A22-0325</v>
      </c>
      <c r="E574" s="80"/>
      <c r="F574" s="95" t="s">
        <v>79</v>
      </c>
      <c r="G574" s="86" t="s">
        <v>2295</v>
      </c>
      <c r="H574" s="80" t="str">
        <f>VLOOKUP(G574,'01. TH'!$B:$E,3,0)</f>
        <v>3300 x 1300 x 1600</v>
      </c>
      <c r="I574" s="80" t="s">
        <v>2563</v>
      </c>
      <c r="J574" s="99">
        <v>45474.0</v>
      </c>
      <c r="K574" s="80" t="str">
        <f>IF(COUNTIF('TT BTSC'!$D:$D,B574)&gt;0,"Hư hỏng","Bình thường")</f>
        <v>Bình thường</v>
      </c>
      <c r="L574" s="102">
        <v>0.98</v>
      </c>
      <c r="M574" s="104"/>
      <c r="N574" s="106" t="s">
        <v>2296</v>
      </c>
      <c r="O574" s="108" t="s">
        <v>148</v>
      </c>
      <c r="P574" s="80"/>
      <c r="Q574" s="80" t="s">
        <v>2623</v>
      </c>
      <c r="R574" s="106" t="s">
        <v>278</v>
      </c>
      <c r="S574" s="108" t="s">
        <v>2631</v>
      </c>
      <c r="T574" s="110" t="s">
        <v>96</v>
      </c>
      <c r="U574" s="110">
        <v>2.5</v>
      </c>
      <c r="V574" s="112">
        <v>0.0</v>
      </c>
      <c r="W574" s="112"/>
      <c r="X574" s="112"/>
      <c r="Y574" s="112"/>
    </row>
    <row r="575" ht="13.5" customHeight="1" outlineLevel="1">
      <c r="A575" s="80">
        <f t="shared" si="17"/>
        <v>16</v>
      </c>
      <c r="B575" s="84" t="s">
        <v>2620</v>
      </c>
      <c r="C575" s="84"/>
      <c r="D575" s="95" t="str">
        <f>IFERROR(VLOOKUP(B575,' 02.1 KLH-CN MÃ BRAVO MM'!$B:$C,2,0),"")</f>
        <v>ATT-A22-0326</v>
      </c>
      <c r="E575" s="80"/>
      <c r="F575" s="95" t="s">
        <v>79</v>
      </c>
      <c r="G575" s="86" t="s">
        <v>2295</v>
      </c>
      <c r="H575" s="80" t="str">
        <f>VLOOKUP(G575,'01. TH'!$B:$E,3,0)</f>
        <v>3300 x 1300 x 1600</v>
      </c>
      <c r="I575" s="80" t="s">
        <v>2563</v>
      </c>
      <c r="J575" s="99">
        <v>45352.0</v>
      </c>
      <c r="K575" s="80" t="str">
        <f>IF(COUNTIF('TT BTSC'!$D:$D,B575)&gt;0,"Hư hỏng","Bình thường")</f>
        <v>Bình thường</v>
      </c>
      <c r="L575" s="102">
        <v>0.95</v>
      </c>
      <c r="M575" s="104"/>
      <c r="N575" s="106" t="s">
        <v>2296</v>
      </c>
      <c r="O575" s="108" t="s">
        <v>148</v>
      </c>
      <c r="P575" s="80"/>
      <c r="Q575" s="80" t="s">
        <v>2623</v>
      </c>
      <c r="R575" s="106" t="s">
        <v>278</v>
      </c>
      <c r="S575" s="108" t="s">
        <v>2632</v>
      </c>
      <c r="T575" s="110" t="s">
        <v>96</v>
      </c>
      <c r="U575" s="110">
        <v>2.5</v>
      </c>
      <c r="V575" s="112">
        <v>0.0</v>
      </c>
      <c r="W575" s="112"/>
      <c r="X575" s="112"/>
      <c r="Y575" s="112"/>
    </row>
    <row r="576" ht="13.5" customHeight="1" outlineLevel="1">
      <c r="A576" s="80">
        <f t="shared" si="17"/>
        <v>17</v>
      </c>
      <c r="B576" s="84" t="s">
        <v>2633</v>
      </c>
      <c r="C576" s="84" t="s">
        <v>2633</v>
      </c>
      <c r="D576" s="95" t="str">
        <f>IFERROR(VLOOKUP(B576,' 02.1 KLH-CN MÃ BRAVO MM'!$B:$C,2,0),"")</f>
        <v>ATT-A22-0276</v>
      </c>
      <c r="E576" s="80"/>
      <c r="F576" s="95" t="s">
        <v>79</v>
      </c>
      <c r="G576" s="86" t="s">
        <v>2295</v>
      </c>
      <c r="H576" s="80" t="str">
        <f>VLOOKUP(G576,'01. TH'!$B:$E,3,0)</f>
        <v>3300 x 1300 x 1600</v>
      </c>
      <c r="I576" s="80" t="s">
        <v>2563</v>
      </c>
      <c r="J576" s="99">
        <v>44936.0</v>
      </c>
      <c r="K576" s="80" t="str">
        <f>IF(COUNTIF('TT BTSC'!$D:$D,B576)&gt;0,"Hư hỏng","Bình thường")</f>
        <v>Bình thường</v>
      </c>
      <c r="L576" s="102">
        <v>0.95</v>
      </c>
      <c r="M576" s="104"/>
      <c r="N576" s="106" t="s">
        <v>2296</v>
      </c>
      <c r="O576" s="108" t="s">
        <v>148</v>
      </c>
      <c r="P576" s="80"/>
      <c r="Q576" s="80" t="s">
        <v>2623</v>
      </c>
      <c r="R576" s="106" t="s">
        <v>278</v>
      </c>
      <c r="S576" s="108" t="s">
        <v>2634</v>
      </c>
      <c r="T576" s="110" t="s">
        <v>96</v>
      </c>
      <c r="U576" s="110">
        <v>2.5</v>
      </c>
      <c r="V576" s="112">
        <v>0.0</v>
      </c>
      <c r="W576" s="112"/>
      <c r="X576" s="112"/>
      <c r="Y576" s="112"/>
    </row>
    <row r="577" ht="13.5" customHeight="1" outlineLevel="1">
      <c r="A577" s="80">
        <f t="shared" si="17"/>
        <v>18</v>
      </c>
      <c r="B577" s="84" t="s">
        <v>2635</v>
      </c>
      <c r="C577" s="84" t="s">
        <v>2625</v>
      </c>
      <c r="D577" s="95" t="str">
        <f>IFERROR(VLOOKUP(B577,' 02.1 KLH-CN MÃ BRAVO MM'!$B:$C,2,0),"")</f>
        <v>A22-XLO-007</v>
      </c>
      <c r="E577" s="95"/>
      <c r="F577" s="95" t="s">
        <v>79</v>
      </c>
      <c r="G577" s="86" t="s">
        <v>2295</v>
      </c>
      <c r="H577" s="80" t="str">
        <f>VLOOKUP(G577,'01. TH'!$B:$E,3,0)</f>
        <v>3300 x 1300 x 1600</v>
      </c>
      <c r="I577" s="80" t="s">
        <v>2563</v>
      </c>
      <c r="J577" s="99"/>
      <c r="K577" s="80" t="str">
        <f>IF(COUNTIF('TT BTSC'!$D:$D,B577)&gt;0,"Hư hỏng","Bình thường")</f>
        <v>Bình thường</v>
      </c>
      <c r="L577" s="106"/>
      <c r="M577" s="104"/>
      <c r="N577" s="106" t="s">
        <v>2636</v>
      </c>
      <c r="O577" s="108" t="s">
        <v>148</v>
      </c>
      <c r="P577" s="80"/>
      <c r="Q577" s="80" t="s">
        <v>2623</v>
      </c>
      <c r="R577" s="106" t="s">
        <v>278</v>
      </c>
      <c r="S577" s="108" t="s">
        <v>2637</v>
      </c>
      <c r="T577" s="110" t="s">
        <v>96</v>
      </c>
      <c r="U577" s="110">
        <v>2.5</v>
      </c>
      <c r="V577" s="112">
        <v>0.0</v>
      </c>
      <c r="W577" s="112"/>
      <c r="X577" s="112"/>
      <c r="Y577" s="112"/>
    </row>
    <row r="578" ht="13.5" customHeight="1" outlineLevel="1">
      <c r="A578" s="80">
        <f t="shared" si="17"/>
        <v>19</v>
      </c>
      <c r="B578" s="84" t="s">
        <v>2638</v>
      </c>
      <c r="C578" s="84"/>
      <c r="D578" s="95" t="str">
        <f>IFERROR(VLOOKUP(B578,' 02.1 KLH-CN MÃ BRAVO MM'!$B:$C,2,0),"")</f>
        <v>A22-XLO-008</v>
      </c>
      <c r="E578" s="95"/>
      <c r="F578" s="95" t="s">
        <v>79</v>
      </c>
      <c r="G578" s="86" t="s">
        <v>2295</v>
      </c>
      <c r="H578" s="80" t="str">
        <f>VLOOKUP(G578,'01. TH'!$B:$E,3,0)</f>
        <v>3300 x 1300 x 1600</v>
      </c>
      <c r="I578" s="80" t="s">
        <v>2563</v>
      </c>
      <c r="J578" s="99"/>
      <c r="K578" s="80" t="str">
        <f>IF(COUNTIF('TT BTSC'!$D:$D,B578)&gt;0,"Hư hỏng","Bình thường")</f>
        <v>Bình thường</v>
      </c>
      <c r="L578" s="106"/>
      <c r="M578" s="104"/>
      <c r="N578" s="106" t="s">
        <v>2639</v>
      </c>
      <c r="O578" s="108"/>
      <c r="P578" s="80"/>
      <c r="Q578" s="80" t="s">
        <v>2623</v>
      </c>
      <c r="R578" s="106" t="s">
        <v>278</v>
      </c>
      <c r="S578" s="108" t="s">
        <v>2640</v>
      </c>
      <c r="T578" s="110" t="s">
        <v>96</v>
      </c>
      <c r="U578" s="110">
        <v>2.5</v>
      </c>
      <c r="V578" s="112">
        <v>0.0</v>
      </c>
      <c r="W578" s="112"/>
      <c r="X578" s="112"/>
      <c r="Y578" s="112"/>
    </row>
    <row r="579" ht="13.5" customHeight="1" outlineLevel="1">
      <c r="A579" s="80">
        <f t="shared" si="17"/>
        <v>20</v>
      </c>
      <c r="B579" s="84" t="s">
        <v>2641</v>
      </c>
      <c r="C579" s="84" t="s">
        <v>2628</v>
      </c>
      <c r="D579" s="95" t="str">
        <f>IFERROR(VLOOKUP(B579,' 02.1 KLH-CN MÃ BRAVO MM'!$B:$C,2,0),"")</f>
        <v>A22-XLO-009</v>
      </c>
      <c r="E579" s="95"/>
      <c r="F579" s="95" t="s">
        <v>79</v>
      </c>
      <c r="G579" s="86" t="s">
        <v>2295</v>
      </c>
      <c r="H579" s="80" t="str">
        <f>VLOOKUP(G579,'01. TH'!$B:$E,3,0)</f>
        <v>3300 x 1300 x 1600</v>
      </c>
      <c r="I579" s="80" t="s">
        <v>2563</v>
      </c>
      <c r="J579" s="99"/>
      <c r="K579" s="80" t="str">
        <f>IF(COUNTIF('TT BTSC'!$D:$D,B579)&gt;0,"Hư hỏng","Bình thường")</f>
        <v>Bình thường</v>
      </c>
      <c r="L579" s="106"/>
      <c r="M579" s="215"/>
      <c r="N579" s="106" t="s">
        <v>2639</v>
      </c>
      <c r="O579" s="108"/>
      <c r="P579" s="80"/>
      <c r="Q579" s="80" t="s">
        <v>2623</v>
      </c>
      <c r="R579" s="106" t="s">
        <v>278</v>
      </c>
      <c r="S579" s="108" t="s">
        <v>2644</v>
      </c>
      <c r="T579" s="110" t="s">
        <v>96</v>
      </c>
      <c r="U579" s="110">
        <v>2.5</v>
      </c>
      <c r="V579" s="112">
        <v>0.0</v>
      </c>
      <c r="W579" s="112"/>
      <c r="X579" s="112"/>
      <c r="Y579" s="112"/>
    </row>
    <row r="580" ht="13.5" customHeight="1" outlineLevel="1">
      <c r="A580" s="80"/>
      <c r="B580" s="84"/>
      <c r="C580" s="86"/>
      <c r="D580" s="95"/>
      <c r="E580" s="95"/>
      <c r="F580" s="95"/>
      <c r="G580" s="86"/>
      <c r="H580" s="80"/>
      <c r="I580" s="80"/>
      <c r="J580" s="99"/>
      <c r="K580" s="80"/>
      <c r="L580" s="106"/>
      <c r="M580" s="215"/>
      <c r="N580" s="106"/>
      <c r="O580" s="108"/>
      <c r="P580" s="80"/>
      <c r="Q580" s="80"/>
      <c r="R580" s="106"/>
      <c r="S580" s="108"/>
      <c r="T580" s="110"/>
      <c r="U580" s="110"/>
      <c r="V580" s="51"/>
      <c r="W580" s="51"/>
      <c r="X580" s="51"/>
      <c r="Y580" s="51"/>
    </row>
    <row r="581" ht="13.5" customHeight="1" outlineLevel="1">
      <c r="A581" s="80"/>
      <c r="B581" s="84"/>
      <c r="C581" s="86" t="s">
        <v>759</v>
      </c>
      <c r="D581" s="95"/>
      <c r="E581" s="95"/>
      <c r="F581" s="95"/>
      <c r="G581" s="86"/>
      <c r="H581" s="80" t="str">
        <f>VLOOKUP(G581,'01. TH'!$B:$E,3,0)</f>
        <v>#N/A</v>
      </c>
      <c r="I581" s="80"/>
      <c r="J581" s="99"/>
      <c r="K581" s="80"/>
      <c r="L581" s="106"/>
      <c r="M581" s="215"/>
      <c r="N581" s="106"/>
      <c r="O581" s="108"/>
      <c r="P581" s="80"/>
      <c r="Q581" s="80"/>
      <c r="R581" s="106"/>
      <c r="S581" s="108"/>
      <c r="T581" s="110"/>
      <c r="U581" s="110"/>
      <c r="V581" s="51"/>
      <c r="W581" s="51"/>
      <c r="X581" s="51"/>
      <c r="Y581" s="51"/>
    </row>
    <row r="582" ht="13.5" customHeight="1">
      <c r="A582" s="76" t="s">
        <v>2645</v>
      </c>
      <c r="B582" s="55"/>
      <c r="C582" s="243">
        <f>COUNTA($B$583:$B$608)</f>
        <v>24</v>
      </c>
      <c r="D582" s="55" t="str">
        <f>IFERROR(VLOOKUP(B582,' 02.1 KLH-CN MÃ BRAVO MM'!$B:$C,2,0),"")</f>
        <v/>
      </c>
      <c r="E582" s="59"/>
      <c r="F582" s="59"/>
      <c r="G582" s="59"/>
      <c r="H582" s="55"/>
      <c r="I582" s="55"/>
      <c r="J582" s="62"/>
      <c r="K582" s="55"/>
      <c r="L582" s="59"/>
      <c r="M582" s="55"/>
      <c r="N582" s="59"/>
      <c r="O582" s="55"/>
      <c r="P582" s="55"/>
      <c r="Q582" s="55"/>
      <c r="R582" s="55"/>
      <c r="S582" s="55"/>
      <c r="T582" s="55"/>
      <c r="U582" s="55"/>
      <c r="V582" s="63"/>
      <c r="W582" s="63"/>
      <c r="X582" s="63"/>
      <c r="Y582" s="63"/>
    </row>
    <row r="583" ht="13.5" customHeight="1" outlineLevel="1">
      <c r="A583" s="95">
        <v>1.0</v>
      </c>
      <c r="B583" s="115" t="s">
        <v>2646</v>
      </c>
      <c r="C583" s="113" t="s">
        <v>2647</v>
      </c>
      <c r="D583" s="95" t="str">
        <f>IFERROR(VLOOKUP(B583,' 02.1 KLH-CN MÃ BRAVO MM'!$B:$C,2,0),"")</f>
        <v/>
      </c>
      <c r="E583" s="95"/>
      <c r="F583" s="95" t="s">
        <v>79</v>
      </c>
      <c r="G583" s="115" t="s">
        <v>875</v>
      </c>
      <c r="H583" s="80" t="str">
        <f>VLOOKUP(G583,'01. TH'!$B:$E,3,0)</f>
        <v>3120 x 1495 x 1510</v>
      </c>
      <c r="I583" s="80" t="s">
        <v>68</v>
      </c>
      <c r="J583" s="116">
        <v>42011.0</v>
      </c>
      <c r="K583" s="80" t="str">
        <f>IF(COUNTIF('TT BTSC'!$D:$D,B583)&gt;0,"Hư hỏng","Bình thường")</f>
        <v>Bình thường</v>
      </c>
      <c r="L583" s="117">
        <v>0.0</v>
      </c>
      <c r="M583" s="118" t="s">
        <v>2648</v>
      </c>
      <c r="N583" s="119" t="s">
        <v>454</v>
      </c>
      <c r="O583" s="110" t="s">
        <v>84</v>
      </c>
      <c r="P583" s="95">
        <v>2015.0</v>
      </c>
      <c r="Q583" s="95" t="s">
        <v>878</v>
      </c>
      <c r="R583" s="119" t="s">
        <v>101</v>
      </c>
      <c r="S583" s="110">
        <v>1659.0</v>
      </c>
      <c r="T583" s="110" t="s">
        <v>96</v>
      </c>
      <c r="U583" s="110">
        <v>2.5</v>
      </c>
      <c r="V583" s="112">
        <v>0.0</v>
      </c>
      <c r="W583" s="112"/>
      <c r="X583" s="112" t="s">
        <v>2649</v>
      </c>
      <c r="Y583" s="112"/>
    </row>
    <row r="584" ht="13.5" customHeight="1" outlineLevel="1">
      <c r="A584" s="80">
        <f t="shared" ref="A584:A606" si="18">A583+1</f>
        <v>2</v>
      </c>
      <c r="B584" s="86" t="s">
        <v>2650</v>
      </c>
      <c r="C584" s="86" t="s">
        <v>2651</v>
      </c>
      <c r="D584" s="95" t="s">
        <v>2652</v>
      </c>
      <c r="E584" s="95" t="s">
        <v>2653</v>
      </c>
      <c r="F584" s="95" t="s">
        <v>79</v>
      </c>
      <c r="G584" s="86" t="s">
        <v>896</v>
      </c>
      <c r="H584" s="80" t="str">
        <f>VLOOKUP(G584,'01. TH'!$B:$E,3,0)</f>
        <v>4730 x 1750 x 2100</v>
      </c>
      <c r="I584" s="80" t="s">
        <v>68</v>
      </c>
      <c r="J584" s="99">
        <v>45566.0</v>
      </c>
      <c r="K584" s="80" t="str">
        <f>IF(COUNTIF('TT BTSC'!$D:$D,B584)&gt;0,"Hư hỏng","Bình thường")</f>
        <v>Bình thường</v>
      </c>
      <c r="L584" s="102">
        <v>0.98</v>
      </c>
      <c r="M584" s="129" t="s">
        <v>2654</v>
      </c>
      <c r="N584" s="106" t="s">
        <v>897</v>
      </c>
      <c r="O584" s="108" t="s">
        <v>148</v>
      </c>
      <c r="P584" s="80">
        <v>2021.0</v>
      </c>
      <c r="Q584" s="80" t="s">
        <v>898</v>
      </c>
      <c r="R584" s="106" t="s">
        <v>158</v>
      </c>
      <c r="S584" s="108" t="s">
        <v>2655</v>
      </c>
      <c r="T584" s="110" t="s">
        <v>2656</v>
      </c>
      <c r="U584" s="110"/>
      <c r="V584" s="112">
        <v>60.0</v>
      </c>
      <c r="W584" s="112"/>
      <c r="X584" s="112" t="s">
        <v>2657</v>
      </c>
      <c r="Y584" s="112"/>
    </row>
    <row r="585" ht="13.5" customHeight="1" outlineLevel="1">
      <c r="A585" s="80">
        <f t="shared" si="18"/>
        <v>3</v>
      </c>
      <c r="B585" s="86" t="s">
        <v>2658</v>
      </c>
      <c r="C585" s="84"/>
      <c r="D585" s="95"/>
      <c r="E585" s="95"/>
      <c r="F585" s="95" t="s">
        <v>79</v>
      </c>
      <c r="G585" s="115" t="s">
        <v>875</v>
      </c>
      <c r="H585" s="80" t="str">
        <f>VLOOKUP(G585,'01. TH'!$B:$E,3,0)</f>
        <v>3120 x 1495 x 1510</v>
      </c>
      <c r="I585" s="80" t="s">
        <v>68</v>
      </c>
      <c r="J585" s="99"/>
      <c r="K585" s="80" t="str">
        <f>IF(COUNTIF('TT BTSC'!$D:$D,B585)&gt;0,"Hư hỏng","Bình thường")</f>
        <v>Bình thường</v>
      </c>
      <c r="L585" s="102"/>
      <c r="M585" s="104"/>
      <c r="N585" s="119" t="s">
        <v>454</v>
      </c>
      <c r="O585" s="110" t="s">
        <v>84</v>
      </c>
      <c r="P585" s="95">
        <v>2015.0</v>
      </c>
      <c r="Q585" s="95" t="s">
        <v>878</v>
      </c>
      <c r="R585" s="119" t="s">
        <v>101</v>
      </c>
      <c r="S585" s="235" t="s">
        <v>2660</v>
      </c>
      <c r="T585" s="110" t="s">
        <v>96</v>
      </c>
      <c r="U585" s="110">
        <v>2.5</v>
      </c>
      <c r="V585" s="112">
        <v>0.0</v>
      </c>
      <c r="W585" s="112"/>
      <c r="X585" s="112" t="s">
        <v>2649</v>
      </c>
      <c r="Y585" s="112"/>
    </row>
    <row r="586" ht="13.5" customHeight="1" outlineLevel="1">
      <c r="A586" s="80">
        <f t="shared" si="18"/>
        <v>4</v>
      </c>
      <c r="B586" s="86" t="s">
        <v>2661</v>
      </c>
      <c r="C586" s="86"/>
      <c r="D586" s="95"/>
      <c r="E586" s="80" t="s">
        <v>2662</v>
      </c>
      <c r="F586" s="95" t="s">
        <v>79</v>
      </c>
      <c r="G586" s="86" t="s">
        <v>2663</v>
      </c>
      <c r="H586" s="80" t="str">
        <f>VLOOKUP(G586,'01. TH'!$B:$E,3,0)</f>
        <v/>
      </c>
      <c r="I586" s="80" t="s">
        <v>68</v>
      </c>
      <c r="J586" s="99"/>
      <c r="K586" s="80" t="str">
        <f>IF(COUNTIF('TT BTSC'!$D:$D,B586)&gt;0,"Hư hỏng","Bình thường")</f>
        <v>Bình thường</v>
      </c>
      <c r="L586" s="102"/>
      <c r="M586" s="129" t="s">
        <v>2664</v>
      </c>
      <c r="N586" s="80" t="s">
        <v>2665</v>
      </c>
      <c r="O586" s="108" t="s">
        <v>2666</v>
      </c>
      <c r="P586" s="80">
        <v>2018.0</v>
      </c>
      <c r="Q586" s="80" t="s">
        <v>2667</v>
      </c>
      <c r="R586" s="80" t="s">
        <v>2668</v>
      </c>
      <c r="S586" s="108" t="s">
        <v>2669</v>
      </c>
      <c r="T586" s="110" t="s">
        <v>2670</v>
      </c>
      <c r="U586" s="110"/>
      <c r="V586" s="112">
        <v>80.0</v>
      </c>
      <c r="W586" s="112"/>
      <c r="X586" s="86" t="s">
        <v>2671</v>
      </c>
      <c r="Y586" s="112"/>
    </row>
    <row r="587" ht="13.5" customHeight="1" outlineLevel="1">
      <c r="A587" s="80">
        <f t="shared" si="18"/>
        <v>5</v>
      </c>
      <c r="B587" s="86" t="s">
        <v>2672</v>
      </c>
      <c r="C587" s="86"/>
      <c r="D587" s="95"/>
      <c r="E587" s="80" t="s">
        <v>2673</v>
      </c>
      <c r="F587" s="95" t="s">
        <v>79</v>
      </c>
      <c r="G587" s="86" t="s">
        <v>2663</v>
      </c>
      <c r="H587" s="80" t="str">
        <f>VLOOKUP(G587,'01. TH'!$B:$E,3,0)</f>
        <v/>
      </c>
      <c r="I587" s="80" t="s">
        <v>68</v>
      </c>
      <c r="J587" s="99"/>
      <c r="K587" s="80" t="str">
        <f>IF(COUNTIF('TT BTSC'!$D:$D,B587)&gt;0,"Hư hỏng","Bình thường")</f>
        <v>Bình thường</v>
      </c>
      <c r="L587" s="102"/>
      <c r="M587" s="129" t="s">
        <v>2674</v>
      </c>
      <c r="N587" s="80" t="s">
        <v>2665</v>
      </c>
      <c r="O587" s="108" t="s">
        <v>2666</v>
      </c>
      <c r="P587" s="80">
        <v>2018.0</v>
      </c>
      <c r="Q587" s="80" t="s">
        <v>2667</v>
      </c>
      <c r="R587" s="80" t="s">
        <v>2668</v>
      </c>
      <c r="S587" s="108" t="s">
        <v>2675</v>
      </c>
      <c r="T587" s="110" t="s">
        <v>2676</v>
      </c>
      <c r="U587" s="110"/>
      <c r="V587" s="112">
        <v>80.0</v>
      </c>
      <c r="W587" s="112"/>
      <c r="X587" s="86" t="s">
        <v>2671</v>
      </c>
      <c r="Y587" s="112"/>
    </row>
    <row r="588" ht="13.5" customHeight="1" outlineLevel="1">
      <c r="A588" s="80">
        <f t="shared" si="18"/>
        <v>6</v>
      </c>
      <c r="B588" s="86" t="s">
        <v>2677</v>
      </c>
      <c r="C588" s="86"/>
      <c r="D588" s="95"/>
      <c r="E588" s="80" t="s">
        <v>2678</v>
      </c>
      <c r="F588" s="95" t="s">
        <v>79</v>
      </c>
      <c r="G588" s="86" t="s">
        <v>2663</v>
      </c>
      <c r="H588" s="80" t="str">
        <f>VLOOKUP(G588,'01. TH'!$B:$E,3,0)</f>
        <v/>
      </c>
      <c r="I588" s="80" t="s">
        <v>68</v>
      </c>
      <c r="J588" s="99"/>
      <c r="K588" s="80" t="str">
        <f>IF(COUNTIF('TT BTSC'!$D:$D,B588)&gt;0,"Hư hỏng","Bình thường")</f>
        <v>Bình thường</v>
      </c>
      <c r="L588" s="102"/>
      <c r="M588" s="129" t="s">
        <v>2679</v>
      </c>
      <c r="N588" s="80" t="s">
        <v>2665</v>
      </c>
      <c r="O588" s="108" t="s">
        <v>2666</v>
      </c>
      <c r="P588" s="80">
        <v>2018.0</v>
      </c>
      <c r="Q588" s="80" t="s">
        <v>2667</v>
      </c>
      <c r="R588" s="80" t="s">
        <v>2668</v>
      </c>
      <c r="S588" s="108"/>
      <c r="T588" s="110"/>
      <c r="U588" s="110"/>
      <c r="V588" s="112">
        <v>80.0</v>
      </c>
      <c r="W588" s="112"/>
      <c r="X588" s="86" t="s">
        <v>2680</v>
      </c>
      <c r="Y588" s="112"/>
    </row>
    <row r="589" ht="13.5" customHeight="1" outlineLevel="1">
      <c r="A589" s="80">
        <f t="shared" si="18"/>
        <v>7</v>
      </c>
      <c r="B589" s="86" t="s">
        <v>2681</v>
      </c>
      <c r="C589" s="86"/>
      <c r="D589" s="95"/>
      <c r="E589" s="80" t="s">
        <v>2682</v>
      </c>
      <c r="F589" s="95" t="s">
        <v>79</v>
      </c>
      <c r="G589" s="86" t="s">
        <v>2663</v>
      </c>
      <c r="H589" s="80" t="str">
        <f>VLOOKUP(G589,'01. TH'!$B:$E,3,0)</f>
        <v/>
      </c>
      <c r="I589" s="80" t="s">
        <v>68</v>
      </c>
      <c r="J589" s="99"/>
      <c r="K589" s="80" t="str">
        <f>IF(COUNTIF('TT BTSC'!$D:$D,B589)&gt;0,"Hư hỏng","Bình thường")</f>
        <v>Bình thường</v>
      </c>
      <c r="L589" s="102"/>
      <c r="M589" s="129" t="s">
        <v>2683</v>
      </c>
      <c r="N589" s="80" t="s">
        <v>2665</v>
      </c>
      <c r="O589" s="108" t="s">
        <v>2666</v>
      </c>
      <c r="P589" s="80">
        <v>2018.0</v>
      </c>
      <c r="Q589" s="80" t="s">
        <v>2667</v>
      </c>
      <c r="R589" s="80" t="s">
        <v>2668</v>
      </c>
      <c r="S589" s="108" t="s">
        <v>2684</v>
      </c>
      <c r="T589" s="110" t="s">
        <v>2685</v>
      </c>
      <c r="U589" s="110"/>
      <c r="V589" s="112">
        <v>80.0</v>
      </c>
      <c r="W589" s="112"/>
      <c r="X589" s="86" t="s">
        <v>2671</v>
      </c>
      <c r="Y589" s="112"/>
    </row>
    <row r="590" ht="13.5" customHeight="1" outlineLevel="1">
      <c r="A590" s="80">
        <f t="shared" si="18"/>
        <v>8</v>
      </c>
      <c r="B590" s="86" t="s">
        <v>2686</v>
      </c>
      <c r="C590" s="86"/>
      <c r="D590" s="95"/>
      <c r="E590" s="80" t="s">
        <v>2687</v>
      </c>
      <c r="F590" s="95" t="s">
        <v>79</v>
      </c>
      <c r="G590" s="86" t="s">
        <v>2663</v>
      </c>
      <c r="H590" s="80" t="str">
        <f>VLOOKUP(G590,'01. TH'!$B:$E,3,0)</f>
        <v/>
      </c>
      <c r="I590" s="80" t="s">
        <v>68</v>
      </c>
      <c r="J590" s="99"/>
      <c r="K590" s="80" t="str">
        <f>IF(COUNTIF('TT BTSC'!$D:$D,B590)&gt;0,"Hư hỏng","Bình thường")</f>
        <v>Bình thường</v>
      </c>
      <c r="L590" s="102"/>
      <c r="M590" s="129" t="s">
        <v>2688</v>
      </c>
      <c r="N590" s="80" t="s">
        <v>2665</v>
      </c>
      <c r="O590" s="108" t="s">
        <v>2666</v>
      </c>
      <c r="P590" s="80">
        <v>2017.0</v>
      </c>
      <c r="Q590" s="80" t="s">
        <v>2667</v>
      </c>
      <c r="R590" s="80" t="s">
        <v>2668</v>
      </c>
      <c r="S590" s="108" t="s">
        <v>2689</v>
      </c>
      <c r="T590" s="110" t="s">
        <v>2690</v>
      </c>
      <c r="U590" s="110"/>
      <c r="V590" s="112">
        <v>80.0</v>
      </c>
      <c r="W590" s="112"/>
      <c r="X590" s="86" t="s">
        <v>2691</v>
      </c>
      <c r="Y590" s="112"/>
    </row>
    <row r="591" ht="13.5" customHeight="1" outlineLevel="1">
      <c r="A591" s="80">
        <f t="shared" si="18"/>
        <v>9</v>
      </c>
      <c r="B591" s="86" t="s">
        <v>2692</v>
      </c>
      <c r="C591" s="86"/>
      <c r="D591" s="95"/>
      <c r="E591" s="80" t="s">
        <v>2693</v>
      </c>
      <c r="F591" s="95" t="s">
        <v>79</v>
      </c>
      <c r="G591" s="86" t="s">
        <v>2694</v>
      </c>
      <c r="H591" s="80" t="str">
        <f>VLOOKUP(G591,'01. TH'!$B:$E,3,0)</f>
        <v/>
      </c>
      <c r="I591" s="80" t="s">
        <v>68</v>
      </c>
      <c r="J591" s="99"/>
      <c r="K591" s="80" t="str">
        <f>IF(COUNTIF('TT BTSC'!$D:$D,B591)&gt;0,"Hư hỏng","Bình thường")</f>
        <v>Bình thường</v>
      </c>
      <c r="L591" s="102"/>
      <c r="M591" s="129" t="s">
        <v>2695</v>
      </c>
      <c r="N591" s="80" t="s">
        <v>2696</v>
      </c>
      <c r="O591" s="108" t="s">
        <v>732</v>
      </c>
      <c r="P591" s="80">
        <v>2014.0</v>
      </c>
      <c r="Q591" s="80" t="s">
        <v>2697</v>
      </c>
      <c r="R591" s="80" t="s">
        <v>2698</v>
      </c>
      <c r="S591" s="108"/>
      <c r="T591" s="110"/>
      <c r="U591" s="110"/>
      <c r="V591" s="112">
        <v>0.0</v>
      </c>
      <c r="W591" s="112"/>
      <c r="X591" s="86" t="s">
        <v>2699</v>
      </c>
      <c r="Y591" s="112"/>
    </row>
    <row r="592" ht="13.5" customHeight="1" outlineLevel="1">
      <c r="A592" s="80">
        <f t="shared" si="18"/>
        <v>10</v>
      </c>
      <c r="B592" s="86" t="s">
        <v>2700</v>
      </c>
      <c r="C592" s="86"/>
      <c r="D592" s="95"/>
      <c r="E592" s="80" t="s">
        <v>2701</v>
      </c>
      <c r="F592" s="95" t="s">
        <v>79</v>
      </c>
      <c r="G592" s="86" t="s">
        <v>2663</v>
      </c>
      <c r="H592" s="80" t="str">
        <f>VLOOKUP(G592,'01. TH'!$B:$E,3,0)</f>
        <v/>
      </c>
      <c r="I592" s="80" t="s">
        <v>68</v>
      </c>
      <c r="J592" s="99"/>
      <c r="K592" s="80" t="str">
        <f>IF(COUNTIF('TT BTSC'!$D:$D,B592)&gt;0,"Hư hỏng","Bình thường")</f>
        <v>Bình thường</v>
      </c>
      <c r="L592" s="102"/>
      <c r="M592" s="129" t="s">
        <v>2702</v>
      </c>
      <c r="N592" s="80" t="s">
        <v>2665</v>
      </c>
      <c r="O592" s="108" t="s">
        <v>2666</v>
      </c>
      <c r="P592" s="80">
        <v>2018.0</v>
      </c>
      <c r="Q592" s="80" t="s">
        <v>2667</v>
      </c>
      <c r="R592" s="80" t="s">
        <v>2668</v>
      </c>
      <c r="S592" s="108" t="s">
        <v>2703</v>
      </c>
      <c r="T592" s="110" t="s">
        <v>2704</v>
      </c>
      <c r="U592" s="110"/>
      <c r="V592" s="112">
        <v>80.0</v>
      </c>
      <c r="W592" s="112"/>
      <c r="X592" s="86" t="s">
        <v>2680</v>
      </c>
      <c r="Y592" s="112"/>
    </row>
    <row r="593" ht="13.5" customHeight="1" outlineLevel="1">
      <c r="A593" s="80">
        <f t="shared" si="18"/>
        <v>11</v>
      </c>
      <c r="B593" s="86" t="s">
        <v>2705</v>
      </c>
      <c r="C593" s="86"/>
      <c r="D593" s="95"/>
      <c r="E593" s="80" t="s">
        <v>2706</v>
      </c>
      <c r="F593" s="95" t="s">
        <v>79</v>
      </c>
      <c r="G593" s="86" t="s">
        <v>2707</v>
      </c>
      <c r="H593" s="80" t="str">
        <f>VLOOKUP(G593,'01. TH'!$B:$E,3,0)</f>
        <v/>
      </c>
      <c r="I593" s="80" t="s">
        <v>68</v>
      </c>
      <c r="J593" s="99"/>
      <c r="K593" s="80" t="str">
        <f>IF(COUNTIF('TT BTSC'!$D:$D,B593)&gt;0,"Hư hỏng","Bình thường")</f>
        <v>Bình thường</v>
      </c>
      <c r="L593" s="102"/>
      <c r="M593" s="129" t="s">
        <v>2702</v>
      </c>
      <c r="N593" s="80" t="s">
        <v>1255</v>
      </c>
      <c r="O593" s="108" t="s">
        <v>2666</v>
      </c>
      <c r="P593" s="80">
        <v>2019.0</v>
      </c>
      <c r="Q593" s="80" t="s">
        <v>2709</v>
      </c>
      <c r="R593" s="80" t="s">
        <v>2584</v>
      </c>
      <c r="S593" s="108" t="s">
        <v>2710</v>
      </c>
      <c r="T593" s="110" t="s">
        <v>2711</v>
      </c>
      <c r="U593" s="110"/>
      <c r="V593" s="112">
        <v>0.0</v>
      </c>
      <c r="W593" s="112"/>
      <c r="X593" s="86" t="s">
        <v>2707</v>
      </c>
      <c r="Y593" s="112"/>
    </row>
    <row r="594" ht="13.5" customHeight="1" outlineLevel="1">
      <c r="A594" s="80">
        <f t="shared" si="18"/>
        <v>12</v>
      </c>
      <c r="B594" s="86" t="s">
        <v>2712</v>
      </c>
      <c r="C594" s="86"/>
      <c r="D594" s="95"/>
      <c r="E594" s="80" t="s">
        <v>2713</v>
      </c>
      <c r="F594" s="95" t="s">
        <v>79</v>
      </c>
      <c r="G594" s="86" t="s">
        <v>2714</v>
      </c>
      <c r="H594" s="80" t="str">
        <f>VLOOKUP(G594,'01. TH'!$B:$E,3,0)</f>
        <v/>
      </c>
      <c r="I594" s="80" t="s">
        <v>68</v>
      </c>
      <c r="J594" s="99"/>
      <c r="K594" s="80" t="str">
        <f>IF(COUNTIF('TT BTSC'!$D:$D,B594)&gt;0,"Hư hỏng","Bình thường")</f>
        <v>Bình thường</v>
      </c>
      <c r="L594" s="102"/>
      <c r="M594" s="129" t="s">
        <v>2715</v>
      </c>
      <c r="N594" s="80" t="s">
        <v>2716</v>
      </c>
      <c r="O594" s="108" t="s">
        <v>222</v>
      </c>
      <c r="P594" s="80">
        <v>2009.0</v>
      </c>
      <c r="Q594" s="80" t="s">
        <v>2717</v>
      </c>
      <c r="R594" s="80" t="s">
        <v>2718</v>
      </c>
      <c r="S594" s="108" t="s">
        <v>2719</v>
      </c>
      <c r="T594" s="110" t="s">
        <v>2720</v>
      </c>
      <c r="U594" s="110"/>
      <c r="V594" s="112">
        <v>0.0</v>
      </c>
      <c r="W594" s="112"/>
      <c r="X594" s="86" t="s">
        <v>2721</v>
      </c>
      <c r="Y594" s="112"/>
    </row>
    <row r="595" ht="13.5" customHeight="1" outlineLevel="1">
      <c r="A595" s="80">
        <f t="shared" si="18"/>
        <v>13</v>
      </c>
      <c r="B595" s="86" t="s">
        <v>2722</v>
      </c>
      <c r="C595" s="86"/>
      <c r="D595" s="95"/>
      <c r="E595" s="80" t="s">
        <v>2723</v>
      </c>
      <c r="F595" s="95" t="s">
        <v>79</v>
      </c>
      <c r="G595" s="86" t="s">
        <v>2724</v>
      </c>
      <c r="H595" s="80" t="str">
        <f>VLOOKUP(G595,'01. TH'!$B:$E,3,0)</f>
        <v/>
      </c>
      <c r="I595" s="80" t="s">
        <v>68</v>
      </c>
      <c r="J595" s="99"/>
      <c r="K595" s="80" t="str">
        <f>IF(COUNTIF('TT BTSC'!$D:$D,B595)&gt;0,"Hư hỏng","Bình thường")</f>
        <v>Bình thường</v>
      </c>
      <c r="L595" s="102"/>
      <c r="M595" s="129" t="s">
        <v>2725</v>
      </c>
      <c r="N595" s="80" t="s">
        <v>2716</v>
      </c>
      <c r="O595" s="108" t="s">
        <v>222</v>
      </c>
      <c r="P595" s="80">
        <v>2013.0</v>
      </c>
      <c r="Q595" s="80" t="s">
        <v>2726</v>
      </c>
      <c r="R595" s="80" t="s">
        <v>2668</v>
      </c>
      <c r="S595" s="108" t="s">
        <v>2727</v>
      </c>
      <c r="T595" s="110" t="s">
        <v>2728</v>
      </c>
      <c r="U595" s="110"/>
      <c r="V595" s="112">
        <v>0.0</v>
      </c>
      <c r="W595" s="112"/>
      <c r="X595" s="86" t="s">
        <v>2729</v>
      </c>
      <c r="Y595" s="112"/>
    </row>
    <row r="596" ht="13.5" customHeight="1" outlineLevel="1">
      <c r="A596" s="80">
        <f t="shared" si="18"/>
        <v>14</v>
      </c>
      <c r="B596" s="86" t="s">
        <v>2730</v>
      </c>
      <c r="C596" s="86"/>
      <c r="D596" s="95"/>
      <c r="E596" s="80" t="s">
        <v>2731</v>
      </c>
      <c r="F596" s="95" t="s">
        <v>79</v>
      </c>
      <c r="G596" s="86" t="s">
        <v>2732</v>
      </c>
      <c r="H596" s="80" t="str">
        <f>VLOOKUP(G596,'01. TH'!$B:$E,3,0)</f>
        <v/>
      </c>
      <c r="I596" s="80" t="s">
        <v>68</v>
      </c>
      <c r="J596" s="99"/>
      <c r="K596" s="80" t="str">
        <f>IF(COUNTIF('TT BTSC'!$D:$D,B596)&gt;0,"Hư hỏng","Bình thường")</f>
        <v>Bình thường</v>
      </c>
      <c r="L596" s="102"/>
      <c r="M596" s="129" t="s">
        <v>2715</v>
      </c>
      <c r="N596" s="80" t="s">
        <v>2665</v>
      </c>
      <c r="O596" s="108" t="s">
        <v>2666</v>
      </c>
      <c r="P596" s="80">
        <v>2019.0</v>
      </c>
      <c r="Q596" s="80" t="s">
        <v>2733</v>
      </c>
      <c r="R596" s="80" t="s">
        <v>2734</v>
      </c>
      <c r="S596" s="108" t="s">
        <v>2735</v>
      </c>
      <c r="T596" s="110" t="s">
        <v>2736</v>
      </c>
      <c r="U596" s="110"/>
      <c r="V596" s="112">
        <v>0.0</v>
      </c>
      <c r="W596" s="112"/>
      <c r="X596" s="86" t="s">
        <v>2737</v>
      </c>
      <c r="Y596" s="112"/>
    </row>
    <row r="597" ht="13.5" customHeight="1" outlineLevel="1">
      <c r="A597" s="80">
        <f t="shared" si="18"/>
        <v>15</v>
      </c>
      <c r="B597" s="86" t="s">
        <v>2738</v>
      </c>
      <c r="C597" s="86"/>
      <c r="D597" s="95"/>
      <c r="E597" s="80" t="s">
        <v>2739</v>
      </c>
      <c r="F597" s="95" t="s">
        <v>79</v>
      </c>
      <c r="G597" s="86" t="s">
        <v>2740</v>
      </c>
      <c r="H597" s="80" t="str">
        <f>VLOOKUP(G597,'01. TH'!$B:$E,3,0)</f>
        <v/>
      </c>
      <c r="I597" s="80" t="s">
        <v>68</v>
      </c>
      <c r="J597" s="99"/>
      <c r="K597" s="80" t="str">
        <f>IF(COUNTIF('TT BTSC'!$D:$D,B597)&gt;0,"Hư hỏng","Bình thường")</f>
        <v>Bình thường</v>
      </c>
      <c r="L597" s="102"/>
      <c r="M597" s="129" t="s">
        <v>2741</v>
      </c>
      <c r="N597" s="80" t="s">
        <v>1032</v>
      </c>
      <c r="O597" s="108" t="s">
        <v>2666</v>
      </c>
      <c r="P597" s="80">
        <v>2016.0</v>
      </c>
      <c r="Q597" s="80" t="s">
        <v>2742</v>
      </c>
      <c r="R597" s="80" t="s">
        <v>682</v>
      </c>
      <c r="S597" s="108"/>
      <c r="T597" s="110"/>
      <c r="U597" s="110"/>
      <c r="V597" s="112">
        <v>0.0</v>
      </c>
      <c r="W597" s="112"/>
      <c r="X597" s="86" t="s">
        <v>2740</v>
      </c>
      <c r="Y597" s="112"/>
    </row>
    <row r="598" ht="13.5" customHeight="1" outlineLevel="1">
      <c r="A598" s="80">
        <f t="shared" si="18"/>
        <v>16</v>
      </c>
      <c r="B598" s="86" t="s">
        <v>2743</v>
      </c>
      <c r="C598" s="86"/>
      <c r="D598" s="95"/>
      <c r="E598" s="80" t="s">
        <v>2744</v>
      </c>
      <c r="F598" s="95" t="s">
        <v>79</v>
      </c>
      <c r="G598" s="86" t="s">
        <v>2694</v>
      </c>
      <c r="H598" s="80" t="str">
        <f>VLOOKUP(G598,'01. TH'!$B:$E,3,0)</f>
        <v/>
      </c>
      <c r="I598" s="80" t="s">
        <v>68</v>
      </c>
      <c r="J598" s="99"/>
      <c r="K598" s="80" t="str">
        <f>IF(COUNTIF('TT BTSC'!$D:$D,B598)&gt;0,"Hư hỏng","Bình thường")</f>
        <v>Bình thường</v>
      </c>
      <c r="L598" s="102"/>
      <c r="M598" s="129" t="s">
        <v>2745</v>
      </c>
      <c r="N598" s="80" t="s">
        <v>2696</v>
      </c>
      <c r="O598" s="108" t="s">
        <v>732</v>
      </c>
      <c r="P598" s="80">
        <v>2024.0</v>
      </c>
      <c r="Q598" s="80" t="s">
        <v>2697</v>
      </c>
      <c r="R598" s="80" t="s">
        <v>2698</v>
      </c>
      <c r="S598" s="108" t="s">
        <v>2746</v>
      </c>
      <c r="T598" s="110" t="s">
        <v>2747</v>
      </c>
      <c r="U598" s="110"/>
      <c r="V598" s="51"/>
      <c r="W598" s="51"/>
      <c r="X598" s="86" t="s">
        <v>2748</v>
      </c>
      <c r="Y598" s="51"/>
    </row>
    <row r="599" ht="13.5" customHeight="1" outlineLevel="1">
      <c r="A599" s="80">
        <f t="shared" si="18"/>
        <v>17</v>
      </c>
      <c r="B599" s="86" t="s">
        <v>2749</v>
      </c>
      <c r="C599" s="86"/>
      <c r="D599" s="95"/>
      <c r="E599" s="80" t="s">
        <v>2750</v>
      </c>
      <c r="F599" s="95" t="s">
        <v>79</v>
      </c>
      <c r="G599" s="86" t="s">
        <v>2663</v>
      </c>
      <c r="H599" s="80" t="str">
        <f>VLOOKUP(G599,'01. TH'!$B:$E,3,0)</f>
        <v/>
      </c>
      <c r="I599" s="80" t="s">
        <v>68</v>
      </c>
      <c r="J599" s="99"/>
      <c r="K599" s="80" t="str">
        <f>IF(COUNTIF('TT BTSC'!$D:$D,B599)&gt;0,"Hư hỏng","Bình thường")</f>
        <v>Bình thường</v>
      </c>
      <c r="L599" s="102"/>
      <c r="M599" s="129" t="s">
        <v>2751</v>
      </c>
      <c r="N599" s="80" t="s">
        <v>2665</v>
      </c>
      <c r="O599" s="108" t="s">
        <v>2666</v>
      </c>
      <c r="P599" s="80">
        <v>2018.0</v>
      </c>
      <c r="Q599" s="80" t="s">
        <v>2667</v>
      </c>
      <c r="R599" s="80" t="s">
        <v>2668</v>
      </c>
      <c r="S599" s="108" t="s">
        <v>2752</v>
      </c>
      <c r="T599" s="110" t="s">
        <v>2753</v>
      </c>
      <c r="U599" s="110"/>
      <c r="V599" s="51"/>
      <c r="W599" s="51"/>
      <c r="X599" s="51"/>
      <c r="Y599" s="51"/>
    </row>
    <row r="600" ht="13.5" customHeight="1" outlineLevel="1">
      <c r="A600" s="80">
        <f t="shared" si="18"/>
        <v>18</v>
      </c>
      <c r="B600" s="86" t="s">
        <v>2754</v>
      </c>
      <c r="C600" s="86"/>
      <c r="D600" s="95"/>
      <c r="E600" s="80" t="s">
        <v>2755</v>
      </c>
      <c r="F600" s="95" t="s">
        <v>79</v>
      </c>
      <c r="G600" s="86" t="s">
        <v>2756</v>
      </c>
      <c r="H600" s="80" t="str">
        <f>VLOOKUP(G600,'01. TH'!$B:$E,3,0)</f>
        <v/>
      </c>
      <c r="I600" s="80" t="s">
        <v>68</v>
      </c>
      <c r="J600" s="99"/>
      <c r="K600" s="80" t="str">
        <f>IF(COUNTIF('TT BTSC'!$D:$D,B600)&gt;0,"Hư hỏng","Bình thường")</f>
        <v>Bình thường</v>
      </c>
      <c r="L600" s="102"/>
      <c r="M600" s="129"/>
      <c r="N600" s="80" t="s">
        <v>2757</v>
      </c>
      <c r="O600" s="108"/>
      <c r="P600" s="80"/>
      <c r="Q600" s="80"/>
      <c r="R600" s="80"/>
      <c r="S600" s="108"/>
      <c r="T600" s="110"/>
      <c r="U600" s="110">
        <v>8.0</v>
      </c>
      <c r="V600" s="51"/>
      <c r="W600" s="51"/>
      <c r="X600" s="51"/>
      <c r="Y600" s="51"/>
    </row>
    <row r="601" ht="13.5" customHeight="1" outlineLevel="1">
      <c r="A601" s="80">
        <f t="shared" si="18"/>
        <v>19</v>
      </c>
      <c r="B601" s="86" t="s">
        <v>2758</v>
      </c>
      <c r="C601" s="86"/>
      <c r="D601" s="95" t="s">
        <v>2759</v>
      </c>
      <c r="E601" s="80" t="s">
        <v>2760</v>
      </c>
      <c r="F601" s="95" t="s">
        <v>154</v>
      </c>
      <c r="G601" s="86" t="s">
        <v>2761</v>
      </c>
      <c r="H601" s="80" t="str">
        <f>VLOOKUP(G601,'01. TH'!$B:$E,3,0)</f>
        <v>4730 x 1750 x 2100</v>
      </c>
      <c r="I601" s="80" t="s">
        <v>68</v>
      </c>
      <c r="J601" s="99">
        <v>45452.0</v>
      </c>
      <c r="K601" s="80" t="str">
        <f>IF(COUNTIF('TT BTSC'!$D:$D,B601)&gt;0,"Hư hỏng","Bình thường")</f>
        <v>Bình thường</v>
      </c>
      <c r="L601" s="102"/>
      <c r="M601" s="104" t="s">
        <v>890</v>
      </c>
      <c r="N601" s="80" t="s">
        <v>897</v>
      </c>
      <c r="O601" s="108" t="s">
        <v>148</v>
      </c>
      <c r="P601" s="80">
        <v>2024.0</v>
      </c>
      <c r="Q601" s="80" t="s">
        <v>2762</v>
      </c>
      <c r="R601" s="80" t="s">
        <v>158</v>
      </c>
      <c r="S601" s="108" t="s">
        <v>2763</v>
      </c>
      <c r="T601" s="110" t="s">
        <v>2764</v>
      </c>
      <c r="U601" s="110">
        <v>2.9</v>
      </c>
      <c r="V601" s="112">
        <v>60.0</v>
      </c>
      <c r="W601" s="112"/>
      <c r="X601" s="112"/>
      <c r="Y601" s="112"/>
    </row>
    <row r="602" ht="13.5" customHeight="1" outlineLevel="1">
      <c r="A602" s="80">
        <f t="shared" si="18"/>
        <v>20</v>
      </c>
      <c r="B602" s="86" t="s">
        <v>2765</v>
      </c>
      <c r="C602" s="86"/>
      <c r="D602" s="95" t="s">
        <v>2766</v>
      </c>
      <c r="E602" s="80" t="s">
        <v>2767</v>
      </c>
      <c r="F602" s="95" t="s">
        <v>154</v>
      </c>
      <c r="G602" s="86" t="s">
        <v>2761</v>
      </c>
      <c r="H602" s="80" t="str">
        <f>VLOOKUP(G602,'01. TH'!$B:$E,3,0)</f>
        <v>4730 x 1750 x 2100</v>
      </c>
      <c r="I602" s="80" t="s">
        <v>68</v>
      </c>
      <c r="J602" s="99">
        <v>45452.0</v>
      </c>
      <c r="K602" s="80" t="str">
        <f>IF(COUNTIF('TT BTSC'!$D:$D,B602)&gt;0,"Hư hỏng","Bình thường")</f>
        <v>Bình thường</v>
      </c>
      <c r="L602" s="102"/>
      <c r="M602" s="104" t="s">
        <v>890</v>
      </c>
      <c r="N602" s="80" t="s">
        <v>897</v>
      </c>
      <c r="O602" s="108" t="s">
        <v>148</v>
      </c>
      <c r="P602" s="80">
        <v>2024.0</v>
      </c>
      <c r="Q602" s="80" t="s">
        <v>2762</v>
      </c>
      <c r="R602" s="80" t="s">
        <v>158</v>
      </c>
      <c r="S602" s="108" t="s">
        <v>2768</v>
      </c>
      <c r="T602" s="110" t="s">
        <v>2769</v>
      </c>
      <c r="U602" s="110">
        <v>2.9</v>
      </c>
      <c r="V602" s="112">
        <v>60.0</v>
      </c>
      <c r="W602" s="112"/>
      <c r="X602" s="112"/>
      <c r="Y602" s="112"/>
    </row>
    <row r="603" ht="13.5" customHeight="1" outlineLevel="1">
      <c r="A603" s="80">
        <f t="shared" si="18"/>
        <v>21</v>
      </c>
      <c r="B603" s="86" t="s">
        <v>2770</v>
      </c>
      <c r="C603" s="86"/>
      <c r="D603" s="95" t="s">
        <v>2771</v>
      </c>
      <c r="E603" s="80" t="s">
        <v>2772</v>
      </c>
      <c r="F603" s="95" t="s">
        <v>154</v>
      </c>
      <c r="G603" s="86" t="s">
        <v>2761</v>
      </c>
      <c r="H603" s="80" t="str">
        <f>VLOOKUP(G603,'01. TH'!$B:$E,3,0)</f>
        <v>4730 x 1750 x 2100</v>
      </c>
      <c r="I603" s="80" t="s">
        <v>68</v>
      </c>
      <c r="J603" s="99">
        <v>45452.0</v>
      </c>
      <c r="K603" s="80" t="str">
        <f>IF(COUNTIF('TT BTSC'!$D:$D,B603)&gt;0,"Hư hỏng","Bình thường")</f>
        <v>Bình thường</v>
      </c>
      <c r="L603" s="102"/>
      <c r="M603" s="104" t="s">
        <v>890</v>
      </c>
      <c r="N603" s="80" t="s">
        <v>897</v>
      </c>
      <c r="O603" s="108" t="s">
        <v>148</v>
      </c>
      <c r="P603" s="80">
        <v>2024.0</v>
      </c>
      <c r="Q603" s="80" t="s">
        <v>2762</v>
      </c>
      <c r="R603" s="80" t="s">
        <v>158</v>
      </c>
      <c r="S603" s="108" t="s">
        <v>2773</v>
      </c>
      <c r="T603" s="110" t="s">
        <v>2774</v>
      </c>
      <c r="U603" s="110">
        <v>2.9</v>
      </c>
      <c r="V603" s="112">
        <v>60.0</v>
      </c>
      <c r="W603" s="112"/>
      <c r="X603" s="112"/>
      <c r="Y603" s="112"/>
    </row>
    <row r="604" ht="13.5" customHeight="1" outlineLevel="1">
      <c r="A604" s="80">
        <f t="shared" si="18"/>
        <v>22</v>
      </c>
      <c r="B604" s="86" t="s">
        <v>2775</v>
      </c>
      <c r="C604" s="86"/>
      <c r="D604" s="95" t="s">
        <v>2776</v>
      </c>
      <c r="E604" s="95"/>
      <c r="F604" s="95" t="s">
        <v>154</v>
      </c>
      <c r="G604" s="86" t="s">
        <v>2777</v>
      </c>
      <c r="H604" s="80" t="str">
        <f>VLOOKUP(G604,'01. TH'!$B:$E,3,0)</f>
        <v>4730 x 1750 x 2100</v>
      </c>
      <c r="I604" s="80" t="s">
        <v>68</v>
      </c>
      <c r="J604" s="99">
        <v>45452.0</v>
      </c>
      <c r="K604" s="80" t="str">
        <f>IF(COUNTIF('TT BTSC'!$D:$D,B604)&gt;0,"Hư hỏng","Bình thường")</f>
        <v>Bình thường</v>
      </c>
      <c r="L604" s="102"/>
      <c r="M604" s="104" t="s">
        <v>890</v>
      </c>
      <c r="N604" s="80" t="s">
        <v>897</v>
      </c>
      <c r="O604" s="108" t="s">
        <v>148</v>
      </c>
      <c r="P604" s="80">
        <v>2023.0</v>
      </c>
      <c r="Q604" s="80" t="s">
        <v>2778</v>
      </c>
      <c r="R604" s="80" t="s">
        <v>158</v>
      </c>
      <c r="S604" s="108" t="s">
        <v>2779</v>
      </c>
      <c r="T604" s="110" t="s">
        <v>2780</v>
      </c>
      <c r="U604" s="110"/>
      <c r="V604" s="112">
        <v>65.0</v>
      </c>
      <c r="W604" s="112"/>
      <c r="X604" s="112"/>
      <c r="Y604" s="112"/>
    </row>
    <row r="605" ht="24.0" customHeight="1" outlineLevel="1">
      <c r="A605" s="80">
        <f t="shared" si="18"/>
        <v>23</v>
      </c>
      <c r="B605" s="86" t="s">
        <v>2781</v>
      </c>
      <c r="C605" s="86" t="s">
        <v>2782</v>
      </c>
      <c r="D605" s="95" t="s">
        <v>2783</v>
      </c>
      <c r="E605" s="95"/>
      <c r="F605" s="95" t="s">
        <v>154</v>
      </c>
      <c r="G605" s="86" t="s">
        <v>658</v>
      </c>
      <c r="H605" s="80"/>
      <c r="I605" s="80" t="s">
        <v>68</v>
      </c>
      <c r="J605" s="193">
        <v>46114.0</v>
      </c>
      <c r="K605" s="80" t="str">
        <f>IF(COUNTIF('TT BTSC'!$D:$D,C605)&gt;0,"Hư hỏng","Bình thường")</f>
        <v>Bình thường</v>
      </c>
      <c r="L605" s="102"/>
      <c r="M605" s="141" t="s">
        <v>2784</v>
      </c>
      <c r="N605" s="80" t="s">
        <v>661</v>
      </c>
      <c r="O605" s="108" t="s">
        <v>662</v>
      </c>
      <c r="P605" s="80">
        <v>2024.0</v>
      </c>
      <c r="Q605" s="80" t="s">
        <v>663</v>
      </c>
      <c r="R605" s="80" t="s">
        <v>664</v>
      </c>
      <c r="S605" s="108" t="s">
        <v>2785</v>
      </c>
      <c r="T605" s="110" t="s">
        <v>2786</v>
      </c>
      <c r="U605" s="110"/>
      <c r="V605" s="112"/>
      <c r="W605" s="112"/>
      <c r="X605" s="112"/>
      <c r="Y605" s="112"/>
    </row>
    <row r="606" ht="22.5" customHeight="1" outlineLevel="1">
      <c r="A606" s="80">
        <f t="shared" si="18"/>
        <v>24</v>
      </c>
      <c r="B606" s="86" t="s">
        <v>2787</v>
      </c>
      <c r="C606" s="84" t="s">
        <v>2788</v>
      </c>
      <c r="D606" s="95" t="s">
        <v>2789</v>
      </c>
      <c r="E606" s="95"/>
      <c r="F606" s="95" t="s">
        <v>79</v>
      </c>
      <c r="G606" s="86" t="s">
        <v>2170</v>
      </c>
      <c r="H606" s="80" t="str">
        <f>VLOOKUP(G606,'01. TH'!$B:$E,3,0)</f>
        <v>6160 x 2330 x 2750</v>
      </c>
      <c r="I606" s="80" t="s">
        <v>68</v>
      </c>
      <c r="J606" s="99">
        <v>44570.0</v>
      </c>
      <c r="K606" s="80" t="str">
        <f>IF(COUNTIF('TT BTSC'!$D:$D,B606)&gt;0,"Hư hỏng","Bình thường")</f>
        <v>Bình thường</v>
      </c>
      <c r="L606" s="102">
        <v>0.76</v>
      </c>
      <c r="M606" s="129" t="s">
        <v>2790</v>
      </c>
      <c r="N606" s="106" t="s">
        <v>300</v>
      </c>
      <c r="O606" s="108" t="s">
        <v>148</v>
      </c>
      <c r="P606" s="80">
        <v>2021.0</v>
      </c>
      <c r="Q606" s="80" t="s">
        <v>2372</v>
      </c>
      <c r="R606" s="106" t="s">
        <v>413</v>
      </c>
      <c r="S606" s="108">
        <v>49596.0</v>
      </c>
      <c r="T606" s="110" t="s">
        <v>96</v>
      </c>
      <c r="U606" s="255">
        <v>0.3</v>
      </c>
      <c r="V606" s="112">
        <v>150.0</v>
      </c>
      <c r="W606" s="112"/>
      <c r="X606" s="112"/>
      <c r="Y606" s="112"/>
    </row>
    <row r="607" ht="13.5" customHeight="1" outlineLevel="1">
      <c r="A607" s="80"/>
      <c r="B607" s="86"/>
      <c r="C607" s="86"/>
      <c r="D607" s="95"/>
      <c r="E607" s="95"/>
      <c r="F607" s="95"/>
      <c r="G607" s="86"/>
      <c r="H607" s="80"/>
      <c r="I607" s="80"/>
      <c r="J607" s="99"/>
      <c r="K607" s="80"/>
      <c r="L607" s="102"/>
      <c r="M607" s="129"/>
      <c r="N607" s="80"/>
      <c r="O607" s="108"/>
      <c r="P607" s="80"/>
      <c r="Q607" s="80"/>
      <c r="R607" s="80"/>
      <c r="S607" s="108"/>
      <c r="T607" s="110"/>
      <c r="U607" s="110"/>
      <c r="V607" s="51"/>
      <c r="W607" s="51"/>
      <c r="X607" s="51"/>
      <c r="Y607" s="51"/>
    </row>
    <row r="608" ht="13.5" customHeight="1" outlineLevel="1">
      <c r="A608" s="80"/>
      <c r="B608" s="86"/>
      <c r="C608" s="86" t="s">
        <v>759</v>
      </c>
      <c r="D608" s="95"/>
      <c r="E608" s="95"/>
      <c r="F608" s="95"/>
      <c r="G608" s="86"/>
      <c r="H608" s="80" t="str">
        <f>VLOOKUP(G608,'01. TH'!$B:$E,3,0)</f>
        <v>#N/A</v>
      </c>
      <c r="I608" s="80"/>
      <c r="J608" s="99"/>
      <c r="K608" s="80"/>
      <c r="L608" s="102"/>
      <c r="M608" s="129"/>
      <c r="N608" s="80"/>
      <c r="O608" s="108"/>
      <c r="P608" s="80"/>
      <c r="Q608" s="80"/>
      <c r="R608" s="80"/>
      <c r="S608" s="108"/>
      <c r="T608" s="110"/>
      <c r="U608" s="110"/>
      <c r="V608" s="51"/>
      <c r="W608" s="51"/>
      <c r="X608" s="51"/>
      <c r="Y608" s="51"/>
    </row>
    <row r="609" ht="13.5" customHeight="1">
      <c r="A609" s="76" t="s">
        <v>2791</v>
      </c>
      <c r="B609" s="55"/>
      <c r="C609" s="243">
        <f>COUNTA($B$610:$B$621)</f>
        <v>10</v>
      </c>
      <c r="D609" s="55" t="str">
        <f>IFERROR(VLOOKUP(B609,' 02.1 KLH-CN MÃ BRAVO MM'!$B:$C,2,0),"")</f>
        <v/>
      </c>
      <c r="E609" s="59"/>
      <c r="F609" s="59"/>
      <c r="G609" s="59"/>
      <c r="H609" s="55"/>
      <c r="I609" s="55"/>
      <c r="J609" s="62"/>
      <c r="K609" s="55"/>
      <c r="L609" s="59"/>
      <c r="M609" s="55"/>
      <c r="N609" s="59"/>
      <c r="O609" s="55"/>
      <c r="P609" s="55"/>
      <c r="Q609" s="55"/>
      <c r="R609" s="55"/>
      <c r="S609" s="55"/>
      <c r="T609" s="55"/>
      <c r="U609" s="55"/>
      <c r="V609" s="63"/>
      <c r="W609" s="63"/>
      <c r="X609" s="63"/>
      <c r="Y609" s="63"/>
    </row>
    <row r="610" ht="13.5" customHeight="1" outlineLevel="1">
      <c r="A610" s="80">
        <v>1.0</v>
      </c>
      <c r="B610" s="86" t="s">
        <v>2792</v>
      </c>
      <c r="C610" s="86" t="s">
        <v>2793</v>
      </c>
      <c r="D610" s="95" t="str">
        <f>IFERROR(VLOOKUP(B610,' 02.1 KLH-CN MÃ BRAVO MM'!$B:$C,2,0),"")</f>
        <v>-</v>
      </c>
      <c r="E610" s="95"/>
      <c r="F610" s="95" t="s">
        <v>79</v>
      </c>
      <c r="G610" s="86" t="s">
        <v>2263</v>
      </c>
      <c r="H610" s="80" t="str">
        <f>VLOOKUP(G610,'01. TH'!$B:$E,3,0)</f>
        <v>6160 x 2330 x 2750</v>
      </c>
      <c r="I610" s="80" t="s">
        <v>2794</v>
      </c>
      <c r="J610" s="80" t="s">
        <v>2795</v>
      </c>
      <c r="K610" s="80" t="str">
        <f>IF(COUNTIF('TT BTSC'!$D:$D,B610)&gt;0,"Hư hỏng","Bình thường")</f>
        <v>Bình thường</v>
      </c>
      <c r="L610" s="106"/>
      <c r="M610" s="104"/>
      <c r="N610" s="80" t="s">
        <v>743</v>
      </c>
      <c r="O610" s="108" t="s">
        <v>148</v>
      </c>
      <c r="P610" s="80"/>
      <c r="Q610" s="80" t="s">
        <v>2372</v>
      </c>
      <c r="R610" s="80" t="s">
        <v>413</v>
      </c>
      <c r="S610" s="108" t="s">
        <v>2796</v>
      </c>
      <c r="T610" s="110" t="s">
        <v>96</v>
      </c>
      <c r="U610" s="110"/>
      <c r="V610" s="112">
        <v>150.0</v>
      </c>
      <c r="W610" s="112"/>
      <c r="X610" s="112"/>
      <c r="Y610" s="112"/>
    </row>
    <row r="611" ht="13.5" customHeight="1" outlineLevel="1">
      <c r="A611" s="80">
        <v>2.0</v>
      </c>
      <c r="B611" s="86" t="s">
        <v>2797</v>
      </c>
      <c r="C611" s="190"/>
      <c r="D611" s="95" t="str">
        <f>IFERROR(VLOOKUP(B611,' 02.1 KLH-CN MÃ BRAVO MM'!$B:$C,2,0),"")</f>
        <v>-</v>
      </c>
      <c r="E611" s="187"/>
      <c r="F611" s="95" t="s">
        <v>79</v>
      </c>
      <c r="G611" s="293" t="s">
        <v>2478</v>
      </c>
      <c r="H611" s="80" t="str">
        <f>VLOOKUP(G611,'01. TH'!$B:$E,3,0)</f>
        <v/>
      </c>
      <c r="I611" s="80" t="s">
        <v>2794</v>
      </c>
      <c r="J611" s="189" t="s">
        <v>2798</v>
      </c>
      <c r="K611" s="80" t="str">
        <f>IF(COUNTIF('TT BTSC'!$D:$D,B611)&gt;0,"Hư hỏng","Bình thường")</f>
        <v>Bình thường</v>
      </c>
      <c r="L611" s="187"/>
      <c r="M611" s="104"/>
      <c r="N611" s="80" t="s">
        <v>743</v>
      </c>
      <c r="O611" s="108" t="s">
        <v>148</v>
      </c>
      <c r="P611" s="187"/>
      <c r="Q611" s="137" t="s">
        <v>2799</v>
      </c>
      <c r="R611" s="137" t="s">
        <v>682</v>
      </c>
      <c r="S611" s="190"/>
      <c r="T611" s="294"/>
      <c r="U611" s="294"/>
      <c r="V611" s="63"/>
      <c r="W611" s="63"/>
      <c r="X611" s="63"/>
      <c r="Y611" s="63"/>
    </row>
    <row r="612" ht="13.5" customHeight="1" outlineLevel="1">
      <c r="A612" s="80">
        <v>3.0</v>
      </c>
      <c r="B612" s="86" t="s">
        <v>2800</v>
      </c>
      <c r="C612" s="190"/>
      <c r="D612" s="95" t="str">
        <f>IFERROR(VLOOKUP(B612,' 02.1 KLH-CN MÃ BRAVO MM'!$B:$C,2,0),"")</f>
        <v>-</v>
      </c>
      <c r="E612" s="187"/>
      <c r="F612" s="95" t="s">
        <v>79</v>
      </c>
      <c r="G612" s="295" t="s">
        <v>2511</v>
      </c>
      <c r="H612" s="80" t="str">
        <f>VLOOKUP(G612,'01. TH'!$B:$E,3,0)</f>
        <v/>
      </c>
      <c r="I612" s="80" t="s">
        <v>2794</v>
      </c>
      <c r="J612" s="80" t="s">
        <v>2795</v>
      </c>
      <c r="K612" s="80" t="str">
        <f>IF(COUNTIF('TT BTSC'!$D:$D,B612)&gt;0,"Hư hỏng","Bình thường")</f>
        <v>Bình thường</v>
      </c>
      <c r="L612" s="187"/>
      <c r="M612" s="104"/>
      <c r="N612" s="80" t="s">
        <v>743</v>
      </c>
      <c r="O612" s="108" t="s">
        <v>148</v>
      </c>
      <c r="P612" s="187"/>
      <c r="Q612" s="137" t="s">
        <v>2801</v>
      </c>
      <c r="R612" s="137" t="s">
        <v>682</v>
      </c>
      <c r="S612" s="190"/>
      <c r="T612" s="294"/>
      <c r="U612" s="294"/>
      <c r="V612" s="63"/>
      <c r="W612" s="63"/>
      <c r="X612" s="63"/>
      <c r="Y612" s="63"/>
    </row>
    <row r="613" ht="13.5" customHeight="1" outlineLevel="1">
      <c r="A613" s="80">
        <v>4.0</v>
      </c>
      <c r="B613" s="86" t="s">
        <v>2802</v>
      </c>
      <c r="C613" s="190"/>
      <c r="D613" s="95" t="str">
        <f>IFERROR(VLOOKUP(B613,' 02.1 KLH-CN MÃ BRAVO MM'!$B:$C,2,0),"")</f>
        <v>-</v>
      </c>
      <c r="E613" s="187"/>
      <c r="F613" s="95" t="s">
        <v>79</v>
      </c>
      <c r="G613" s="296" t="s">
        <v>2803</v>
      </c>
      <c r="H613" s="80" t="str">
        <f>VLOOKUP(G613,'01. TH'!$B:$E,3,0)</f>
        <v/>
      </c>
      <c r="I613" s="80" t="s">
        <v>2794</v>
      </c>
      <c r="J613" s="80" t="s">
        <v>2795</v>
      </c>
      <c r="K613" s="80" t="str">
        <f>IF(COUNTIF('TT BTSC'!$D:$D,B613)&gt;0,"Hư hỏng","Bình thường")</f>
        <v>Bình thường</v>
      </c>
      <c r="L613" s="187"/>
      <c r="M613" s="104"/>
      <c r="N613" s="106" t="s">
        <v>2617</v>
      </c>
      <c r="O613" s="190"/>
      <c r="P613" s="187"/>
      <c r="Q613" s="187"/>
      <c r="R613" s="187"/>
      <c r="S613" s="190"/>
      <c r="T613" s="294"/>
      <c r="U613" s="246">
        <v>2.5</v>
      </c>
      <c r="V613" s="51"/>
      <c r="W613" s="51"/>
      <c r="X613" s="51"/>
      <c r="Y613" s="51"/>
    </row>
    <row r="614" ht="13.5" customHeight="1" outlineLevel="1">
      <c r="A614" s="80">
        <v>5.0</v>
      </c>
      <c r="B614" s="86" t="s">
        <v>2804</v>
      </c>
      <c r="C614" s="141"/>
      <c r="D614" s="95" t="str">
        <f>IFERROR(VLOOKUP(B614,' 02.1 KLH-CN MÃ BRAVO MM'!$B:$C,2,0),"")</f>
        <v>-</v>
      </c>
      <c r="E614" s="137" t="s">
        <v>2805</v>
      </c>
      <c r="F614" s="95" t="s">
        <v>79</v>
      </c>
      <c r="G614" s="296" t="s">
        <v>2806</v>
      </c>
      <c r="H614" s="80" t="str">
        <f>VLOOKUP(G614,'01. TH'!$B:$E,3,0)</f>
        <v/>
      </c>
      <c r="I614" s="80" t="s">
        <v>2794</v>
      </c>
      <c r="J614" s="80" t="s">
        <v>2795</v>
      </c>
      <c r="K614" s="80" t="str">
        <f>IF(COUNTIF('TT BTSC'!$D:$D,B614)&gt;0,"Hư hỏng","Bình thường")</f>
        <v>Bình thường</v>
      </c>
      <c r="L614" s="187"/>
      <c r="M614" s="104"/>
      <c r="N614" s="189" t="s">
        <v>2807</v>
      </c>
      <c r="O614" s="141" t="s">
        <v>2808</v>
      </c>
      <c r="P614" s="187"/>
      <c r="Q614" s="187"/>
      <c r="R614" s="187"/>
      <c r="S614" s="190"/>
      <c r="T614" s="294"/>
      <c r="U614" s="294"/>
      <c r="V614" s="63"/>
      <c r="W614" s="63"/>
      <c r="X614" s="63"/>
      <c r="Y614" s="63"/>
    </row>
    <row r="615" ht="13.5" customHeight="1" outlineLevel="1">
      <c r="A615" s="80">
        <v>6.0</v>
      </c>
      <c r="B615" s="86" t="s">
        <v>2809</v>
      </c>
      <c r="C615" s="190"/>
      <c r="D615" s="95" t="str">
        <f>IFERROR(VLOOKUP(B615,' 02.1 KLH-CN MÃ BRAVO MM'!$B:$C,2,0),"")</f>
        <v>ATT-A22-0284</v>
      </c>
      <c r="E615" s="297"/>
      <c r="F615" s="95" t="s">
        <v>79</v>
      </c>
      <c r="G615" s="86" t="s">
        <v>2295</v>
      </c>
      <c r="H615" s="80" t="str">
        <f>VLOOKUP(G615,'01. TH'!$B:$E,3,0)</f>
        <v>3300 x 1300 x 1600</v>
      </c>
      <c r="I615" s="80" t="s">
        <v>2794</v>
      </c>
      <c r="J615" s="137" t="s">
        <v>2626</v>
      </c>
      <c r="K615" s="80" t="str">
        <f>IF(COUNTIF('TT BTSC'!$D:$D,B615)&gt;0,"Hư hỏng","Bình thường")</f>
        <v>Bình thường</v>
      </c>
      <c r="L615" s="213">
        <v>0.94</v>
      </c>
      <c r="M615" s="104"/>
      <c r="N615" s="187"/>
      <c r="O615" s="108" t="s">
        <v>883</v>
      </c>
      <c r="P615" s="189">
        <v>2021.0</v>
      </c>
      <c r="Q615" s="204" t="s">
        <v>2623</v>
      </c>
      <c r="R615" s="204" t="s">
        <v>278</v>
      </c>
      <c r="S615" s="277" t="s">
        <v>2810</v>
      </c>
      <c r="T615" s="278" t="s">
        <v>2811</v>
      </c>
      <c r="U615" s="110">
        <v>2.5</v>
      </c>
      <c r="V615" s="112">
        <v>0.0</v>
      </c>
      <c r="W615" s="112"/>
      <c r="X615" s="112"/>
      <c r="Y615" s="112"/>
    </row>
    <row r="616" ht="13.5" customHeight="1" outlineLevel="1">
      <c r="A616" s="80">
        <v>7.0</v>
      </c>
      <c r="B616" s="86" t="s">
        <v>2812</v>
      </c>
      <c r="C616" s="190"/>
      <c r="D616" s="95" t="str">
        <f>IFERROR(VLOOKUP(B616,' 02.1 KLH-CN MÃ BRAVO MM'!$B:$C,2,0),"")</f>
        <v>ATT-A22-0283</v>
      </c>
      <c r="E616" s="297"/>
      <c r="F616" s="95" t="s">
        <v>79</v>
      </c>
      <c r="G616" s="86" t="s">
        <v>2295</v>
      </c>
      <c r="H616" s="80" t="str">
        <f>VLOOKUP(G616,'01. TH'!$B:$E,3,0)</f>
        <v>3300 x 1300 x 1600</v>
      </c>
      <c r="I616" s="80" t="s">
        <v>2794</v>
      </c>
      <c r="J616" s="137" t="s">
        <v>2626</v>
      </c>
      <c r="K616" s="80" t="str">
        <f>IF(COUNTIF('TT BTSC'!$D:$D,B616)&gt;0,"Hư hỏng","Bình thường")</f>
        <v>Bình thường</v>
      </c>
      <c r="L616" s="213">
        <v>0.94</v>
      </c>
      <c r="M616" s="104"/>
      <c r="N616" s="187"/>
      <c r="O616" s="108" t="s">
        <v>883</v>
      </c>
      <c r="P616" s="189">
        <v>2021.0</v>
      </c>
      <c r="Q616" s="204" t="s">
        <v>2623</v>
      </c>
      <c r="R616" s="204" t="s">
        <v>278</v>
      </c>
      <c r="S616" s="277" t="s">
        <v>2813</v>
      </c>
      <c r="T616" s="278" t="s">
        <v>2814</v>
      </c>
      <c r="U616" s="110">
        <v>2.5</v>
      </c>
      <c r="V616" s="112">
        <v>0.0</v>
      </c>
      <c r="W616" s="112"/>
      <c r="X616" s="112"/>
      <c r="Y616" s="112"/>
    </row>
    <row r="617" ht="13.5" customHeight="1" outlineLevel="1">
      <c r="A617" s="80">
        <v>8.0</v>
      </c>
      <c r="B617" s="86" t="s">
        <v>2815</v>
      </c>
      <c r="C617" s="190"/>
      <c r="D617" s="95" t="str">
        <f>IFERROR(VLOOKUP(B617,' 02.1 KLH-CN MÃ BRAVO MM'!$B:$C,2,0),"")</f>
        <v>ATT-A22-0277</v>
      </c>
      <c r="E617" s="297"/>
      <c r="F617" s="95" t="s">
        <v>79</v>
      </c>
      <c r="G617" s="86" t="s">
        <v>2295</v>
      </c>
      <c r="H617" s="80" t="str">
        <f>VLOOKUP(G617,'01. TH'!$B:$E,3,0)</f>
        <v>3300 x 1300 x 1600</v>
      </c>
      <c r="I617" s="80" t="s">
        <v>2794</v>
      </c>
      <c r="J617" s="137" t="s">
        <v>2626</v>
      </c>
      <c r="K617" s="80" t="str">
        <f>IF(COUNTIF('TT BTSC'!$D:$D,B617)&gt;0,"Hư hỏng","Bình thường")</f>
        <v>Bình thường</v>
      </c>
      <c r="L617" s="213">
        <v>0.94</v>
      </c>
      <c r="M617" s="104"/>
      <c r="N617" s="187"/>
      <c r="O617" s="108" t="s">
        <v>883</v>
      </c>
      <c r="P617" s="189">
        <v>2021.0</v>
      </c>
      <c r="Q617" s="204" t="s">
        <v>2623</v>
      </c>
      <c r="R617" s="204" t="s">
        <v>278</v>
      </c>
      <c r="S617" s="277">
        <v>2.2060447E7</v>
      </c>
      <c r="T617" s="278" t="s">
        <v>2816</v>
      </c>
      <c r="U617" s="110">
        <v>2.5</v>
      </c>
      <c r="V617" s="112">
        <v>0.0</v>
      </c>
      <c r="W617" s="112"/>
      <c r="X617" s="112"/>
      <c r="Y617" s="112"/>
    </row>
    <row r="618" ht="13.5" customHeight="1" outlineLevel="1">
      <c r="A618" s="80">
        <v>9.0</v>
      </c>
      <c r="B618" s="86" t="s">
        <v>2817</v>
      </c>
      <c r="C618" s="190"/>
      <c r="D618" s="95" t="str">
        <f>IFERROR(VLOOKUP(B618,' 02.1 KLH-CN MÃ BRAVO MM'!$B:$C,2,0),"")</f>
        <v>A22-XLO-004</v>
      </c>
      <c r="E618" s="297"/>
      <c r="F618" s="95" t="s">
        <v>79</v>
      </c>
      <c r="G618" s="86" t="s">
        <v>2295</v>
      </c>
      <c r="H618" s="80" t="str">
        <f>VLOOKUP(G618,'01. TH'!$B:$E,3,0)</f>
        <v>3300 x 1300 x 1600</v>
      </c>
      <c r="I618" s="80" t="s">
        <v>2794</v>
      </c>
      <c r="J618" s="137" t="s">
        <v>2626</v>
      </c>
      <c r="K618" s="80" t="str">
        <f>IF(COUNTIF('TT BTSC'!$D:$D,B618)&gt;0,"Hư hỏng","Bình thường")</f>
        <v>Bình thường</v>
      </c>
      <c r="L618" s="213">
        <v>0.94</v>
      </c>
      <c r="M618" s="104"/>
      <c r="N618" s="187"/>
      <c r="O618" s="108" t="s">
        <v>883</v>
      </c>
      <c r="P618" s="189">
        <v>2021.0</v>
      </c>
      <c r="Q618" s="204" t="s">
        <v>2623</v>
      </c>
      <c r="R618" s="204" t="s">
        <v>278</v>
      </c>
      <c r="S618" s="277">
        <v>2.206046E7</v>
      </c>
      <c r="T618" s="278" t="s">
        <v>2818</v>
      </c>
      <c r="U618" s="110">
        <v>2.5</v>
      </c>
      <c r="V618" s="112">
        <v>0.0</v>
      </c>
      <c r="W618" s="112"/>
      <c r="X618" s="112"/>
      <c r="Y618" s="112"/>
    </row>
    <row r="619" ht="13.5" customHeight="1" outlineLevel="1">
      <c r="A619" s="80">
        <v>10.0</v>
      </c>
      <c r="B619" s="86" t="s">
        <v>2819</v>
      </c>
      <c r="C619" s="190"/>
      <c r="D619" s="95" t="str">
        <f>IFERROR(VLOOKUP(B619,' 02.1 KLH-CN MÃ BRAVO MM'!$B:$C,2,0),"")</f>
        <v>A22-XLO-005</v>
      </c>
      <c r="E619" s="187"/>
      <c r="F619" s="95" t="s">
        <v>79</v>
      </c>
      <c r="G619" s="86" t="s">
        <v>2295</v>
      </c>
      <c r="H619" s="80" t="str">
        <f>VLOOKUP(G619,'01. TH'!$B:$E,3,0)</f>
        <v>3300 x 1300 x 1600</v>
      </c>
      <c r="I619" s="80" t="s">
        <v>2794</v>
      </c>
      <c r="J619" s="189" t="s">
        <v>2798</v>
      </c>
      <c r="K619" s="80" t="str">
        <f>IF(COUNTIF('TT BTSC'!$D:$D,B619)&gt;0,"Hư hỏng","Bình thường")</f>
        <v>Bình thường</v>
      </c>
      <c r="L619" s="187"/>
      <c r="M619" s="190"/>
      <c r="N619" s="187"/>
      <c r="O619" s="108" t="s">
        <v>883</v>
      </c>
      <c r="P619" s="189">
        <v>2021.0</v>
      </c>
      <c r="Q619" s="204" t="s">
        <v>2623</v>
      </c>
      <c r="R619" s="204" t="s">
        <v>278</v>
      </c>
      <c r="S619" s="277" t="s">
        <v>2820</v>
      </c>
      <c r="T619" s="278" t="s">
        <v>2821</v>
      </c>
      <c r="U619" s="110">
        <v>2.5</v>
      </c>
      <c r="V619" s="112">
        <v>0.0</v>
      </c>
      <c r="W619" s="112"/>
      <c r="X619" s="112"/>
      <c r="Y619" s="112"/>
    </row>
    <row r="620" ht="13.5" customHeight="1" outlineLevel="1">
      <c r="A620" s="80"/>
      <c r="B620" s="86"/>
      <c r="C620" s="86"/>
      <c r="D620" s="95"/>
      <c r="E620" s="95"/>
      <c r="F620" s="95"/>
      <c r="G620" s="86"/>
      <c r="H620" s="80"/>
      <c r="I620" s="80"/>
      <c r="J620" s="99"/>
      <c r="K620" s="80"/>
      <c r="L620" s="106"/>
      <c r="M620" s="129"/>
      <c r="N620" s="80"/>
      <c r="O620" s="108"/>
      <c r="P620" s="80"/>
      <c r="Q620" s="80"/>
      <c r="R620" s="80"/>
      <c r="S620" s="108"/>
      <c r="T620" s="110"/>
      <c r="U620" s="110"/>
      <c r="V620" s="51"/>
      <c r="W620" s="51"/>
      <c r="X620" s="51"/>
      <c r="Y620" s="51"/>
    </row>
    <row r="621" ht="13.5" customHeight="1" outlineLevel="1">
      <c r="A621" s="80"/>
      <c r="B621" s="86"/>
      <c r="C621" s="86" t="s">
        <v>759</v>
      </c>
      <c r="D621" s="95"/>
      <c r="E621" s="95"/>
      <c r="F621" s="95"/>
      <c r="G621" s="86"/>
      <c r="H621" s="80" t="str">
        <f>VLOOKUP(G621,'01. TH'!$B:$E,3,0)</f>
        <v>#N/A</v>
      </c>
      <c r="I621" s="80"/>
      <c r="J621" s="99"/>
      <c r="K621" s="80"/>
      <c r="L621" s="106"/>
      <c r="M621" s="129"/>
      <c r="N621" s="80"/>
      <c r="O621" s="108"/>
      <c r="P621" s="80"/>
      <c r="Q621" s="80"/>
      <c r="R621" s="80"/>
      <c r="S621" s="108"/>
      <c r="T621" s="110"/>
      <c r="U621" s="110"/>
      <c r="V621" s="51"/>
      <c r="W621" s="51"/>
      <c r="X621" s="51"/>
      <c r="Y621" s="51"/>
    </row>
    <row r="622" ht="13.5" customHeight="1">
      <c r="A622" s="76" t="s">
        <v>2822</v>
      </c>
      <c r="B622" s="55"/>
      <c r="C622" s="243">
        <f>COUNTA($B$623:$B$633)</f>
        <v>9</v>
      </c>
      <c r="D622" s="55" t="str">
        <f>IFERROR(VLOOKUP(B622,' 02.1 KLH-CN MÃ BRAVO MM'!$B:$C,2,0),"")</f>
        <v/>
      </c>
      <c r="E622" s="59"/>
      <c r="F622" s="59"/>
      <c r="G622" s="59"/>
      <c r="H622" s="55"/>
      <c r="I622" s="55"/>
      <c r="J622" s="62"/>
      <c r="K622" s="55"/>
      <c r="L622" s="59"/>
      <c r="M622" s="55"/>
      <c r="N622" s="59"/>
      <c r="O622" s="55"/>
      <c r="P622" s="55"/>
      <c r="Q622" s="55"/>
      <c r="R622" s="55"/>
      <c r="S622" s="55"/>
      <c r="T622" s="55"/>
      <c r="U622" s="55"/>
      <c r="V622" s="63"/>
      <c r="W622" s="63"/>
      <c r="X622" s="63"/>
      <c r="Y622" s="63"/>
    </row>
    <row r="623" ht="13.5" customHeight="1" outlineLevel="1">
      <c r="A623" s="80">
        <v>1.0</v>
      </c>
      <c r="B623" s="86" t="s">
        <v>2823</v>
      </c>
      <c r="C623" s="186" t="s">
        <v>2824</v>
      </c>
      <c r="D623" s="95" t="s">
        <v>2825</v>
      </c>
      <c r="E623" s="137"/>
      <c r="F623" s="137" t="s">
        <v>154</v>
      </c>
      <c r="G623" s="274" t="s">
        <v>1252</v>
      </c>
      <c r="H623" s="80" t="str">
        <f>VLOOKUP(G623,'01. TH'!$B:$E,3,0)</f>
        <v>4730 x 1750 x 2100</v>
      </c>
      <c r="I623" s="106" t="s">
        <v>70</v>
      </c>
      <c r="J623" s="193">
        <v>45606.0</v>
      </c>
      <c r="K623" s="80" t="str">
        <f>IF(COUNTIF('TT BTSC'!$D:$D,B623)&gt;0,"Hư hỏng","Bình thường")</f>
        <v>Bình thường</v>
      </c>
      <c r="L623" s="275">
        <v>0.99</v>
      </c>
      <c r="M623" s="190"/>
      <c r="N623" s="137" t="s">
        <v>897</v>
      </c>
      <c r="O623" s="108" t="s">
        <v>648</v>
      </c>
      <c r="P623" s="137">
        <v>2021.0</v>
      </c>
      <c r="Q623" s="204" t="s">
        <v>1256</v>
      </c>
      <c r="R623" s="204" t="s">
        <v>158</v>
      </c>
      <c r="S623" s="277" t="s">
        <v>2826</v>
      </c>
      <c r="T623" s="278" t="s">
        <v>2827</v>
      </c>
      <c r="U623" s="246"/>
      <c r="V623" s="112">
        <v>60.0</v>
      </c>
      <c r="W623" s="112"/>
      <c r="X623" s="80" t="s">
        <v>2828</v>
      </c>
      <c r="Y623" s="112"/>
    </row>
    <row r="624" ht="13.5" customHeight="1" outlineLevel="1">
      <c r="A624" s="80">
        <f t="shared" ref="A624:A631" si="19">A623+1</f>
        <v>2</v>
      </c>
      <c r="B624" s="86" t="s">
        <v>2829</v>
      </c>
      <c r="C624" s="186" t="s">
        <v>2830</v>
      </c>
      <c r="D624" s="95" t="s">
        <v>2831</v>
      </c>
      <c r="E624" s="137"/>
      <c r="F624" s="137" t="s">
        <v>154</v>
      </c>
      <c r="G624" s="274" t="s">
        <v>1252</v>
      </c>
      <c r="H624" s="80" t="str">
        <f>VLOOKUP(G624,'01. TH'!$B:$E,3,0)</f>
        <v>4730 x 1750 x 2100</v>
      </c>
      <c r="I624" s="106" t="s">
        <v>70</v>
      </c>
      <c r="J624" s="193">
        <v>45575.0</v>
      </c>
      <c r="K624" s="80" t="str">
        <f>IF(COUNTIF('TT BTSC'!$D:$D,B624)&gt;0,"Hư hỏng","Bình thường")</f>
        <v>Bình thường</v>
      </c>
      <c r="L624" s="275">
        <v>0.99</v>
      </c>
      <c r="M624" s="190"/>
      <c r="N624" s="137" t="s">
        <v>897</v>
      </c>
      <c r="O624" s="108" t="s">
        <v>648</v>
      </c>
      <c r="P624" s="137">
        <v>2021.0</v>
      </c>
      <c r="Q624" s="204" t="s">
        <v>1256</v>
      </c>
      <c r="R624" s="204" t="s">
        <v>158</v>
      </c>
      <c r="S624" s="277" t="s">
        <v>2832</v>
      </c>
      <c r="T624" s="278" t="s">
        <v>2833</v>
      </c>
      <c r="U624" s="246"/>
      <c r="V624" s="112">
        <v>60.0</v>
      </c>
      <c r="W624" s="112"/>
      <c r="X624" s="80" t="s">
        <v>2834</v>
      </c>
      <c r="Y624" s="112"/>
    </row>
    <row r="625" ht="13.5" customHeight="1" outlineLevel="1">
      <c r="A625" s="80">
        <f t="shared" si="19"/>
        <v>3</v>
      </c>
      <c r="B625" s="86" t="s">
        <v>2835</v>
      </c>
      <c r="C625" s="186"/>
      <c r="D625" s="95" t="s">
        <v>2836</v>
      </c>
      <c r="E625" s="137" t="s">
        <v>2837</v>
      </c>
      <c r="F625" s="137" t="s">
        <v>154</v>
      </c>
      <c r="G625" s="274" t="s">
        <v>2838</v>
      </c>
      <c r="H625" s="80"/>
      <c r="I625" s="106" t="s">
        <v>70</v>
      </c>
      <c r="J625" s="137" t="s">
        <v>2839</v>
      </c>
      <c r="K625" s="80" t="str">
        <f>IF(COUNTIF('TT BTSC'!$D:$D,B625)&gt;0,"Hư hỏng","Bình thường")</f>
        <v>Bình thường</v>
      </c>
      <c r="L625" s="275"/>
      <c r="M625" s="141"/>
      <c r="N625" s="137" t="s">
        <v>897</v>
      </c>
      <c r="O625" s="108" t="s">
        <v>662</v>
      </c>
      <c r="P625" s="137">
        <v>2024.0</v>
      </c>
      <c r="Q625" s="204" t="s">
        <v>2840</v>
      </c>
      <c r="R625" s="204" t="s">
        <v>158</v>
      </c>
      <c r="S625" s="277" t="s">
        <v>2841</v>
      </c>
      <c r="T625" s="278" t="s">
        <v>2842</v>
      </c>
      <c r="U625" s="246"/>
      <c r="V625" s="112"/>
      <c r="W625" s="112"/>
      <c r="X625" s="80"/>
      <c r="Y625" s="112"/>
    </row>
    <row r="626" ht="13.5" customHeight="1" outlineLevel="1">
      <c r="A626" s="80">
        <f t="shared" si="19"/>
        <v>4</v>
      </c>
      <c r="B626" s="86" t="s">
        <v>2843</v>
      </c>
      <c r="C626" s="186"/>
      <c r="D626" s="95" t="str">
        <f>IFERROR(VLOOKUP(B626,' 02.1 KLH-CN MÃ BRAVO MM'!$B:$C,2,0),"")</f>
        <v>A22-XMA-001</v>
      </c>
      <c r="E626" s="137"/>
      <c r="F626" s="137" t="s">
        <v>79</v>
      </c>
      <c r="G626" s="274" t="s">
        <v>2844</v>
      </c>
      <c r="H626" s="80" t="str">
        <f>VLOOKUP(G626,'01. TH'!$B:$E,3,0)</f>
        <v>1913 x 689 x 1076</v>
      </c>
      <c r="I626" s="106" t="s">
        <v>70</v>
      </c>
      <c r="J626" s="193">
        <v>45058.0</v>
      </c>
      <c r="K626" s="80" t="str">
        <f>IF(COUNTIF('TT BTSC'!$D:$D,B626)&gt;0,"Hư hỏng","Bình thường")</f>
        <v>Bình thường</v>
      </c>
      <c r="L626" s="275"/>
      <c r="M626" s="141" t="s">
        <v>2845</v>
      </c>
      <c r="N626" s="137" t="s">
        <v>1093</v>
      </c>
      <c r="O626" s="108" t="s">
        <v>148</v>
      </c>
      <c r="P626" s="137"/>
      <c r="Q626" s="204" t="s">
        <v>2846</v>
      </c>
      <c r="R626" s="204" t="s">
        <v>2847</v>
      </c>
      <c r="S626" s="277" t="s">
        <v>2848</v>
      </c>
      <c r="T626" s="278" t="s">
        <v>2849</v>
      </c>
      <c r="U626" s="246"/>
      <c r="V626" s="112">
        <v>0.0</v>
      </c>
      <c r="W626" s="112"/>
      <c r="X626" s="80" t="s">
        <v>2850</v>
      </c>
      <c r="Y626" s="112"/>
    </row>
    <row r="627" ht="13.5" customHeight="1" outlineLevel="1">
      <c r="A627" s="80">
        <f t="shared" si="19"/>
        <v>5</v>
      </c>
      <c r="B627" s="86" t="s">
        <v>2851</v>
      </c>
      <c r="C627" s="186"/>
      <c r="D627" s="95" t="str">
        <f>IFERROR(VLOOKUP(B627,' 02.1 KLH-CN MÃ BRAVO MM'!$B:$C,2,0),"")</f>
        <v>A22-XMA-002</v>
      </c>
      <c r="E627" s="137"/>
      <c r="F627" s="137" t="s">
        <v>79</v>
      </c>
      <c r="G627" s="274" t="s">
        <v>2844</v>
      </c>
      <c r="H627" s="80" t="str">
        <f>VLOOKUP(G627,'01. TH'!$B:$E,3,0)</f>
        <v>1913 x 689 x 1076</v>
      </c>
      <c r="I627" s="106" t="s">
        <v>70</v>
      </c>
      <c r="J627" s="193"/>
      <c r="K627" s="80" t="str">
        <f>IF(COUNTIF('TT BTSC'!$D:$D,B627)&gt;0,"Hư hỏng","Bình thường")</f>
        <v>Bình thường</v>
      </c>
      <c r="L627" s="275"/>
      <c r="M627" s="141" t="s">
        <v>2852</v>
      </c>
      <c r="N627" s="137" t="s">
        <v>1093</v>
      </c>
      <c r="O627" s="108" t="s">
        <v>148</v>
      </c>
      <c r="P627" s="137"/>
      <c r="Q627" s="204" t="s">
        <v>2846</v>
      </c>
      <c r="R627" s="204" t="s">
        <v>2847</v>
      </c>
      <c r="S627" s="277" t="s">
        <v>2853</v>
      </c>
      <c r="T627" s="278" t="s">
        <v>2854</v>
      </c>
      <c r="U627" s="246"/>
      <c r="V627" s="112">
        <v>0.0</v>
      </c>
      <c r="W627" s="112"/>
      <c r="X627" s="80" t="s">
        <v>2850</v>
      </c>
      <c r="Y627" s="112"/>
    </row>
    <row r="628" ht="13.5" customHeight="1" outlineLevel="1">
      <c r="A628" s="80">
        <f t="shared" si="19"/>
        <v>6</v>
      </c>
      <c r="B628" s="86" t="s">
        <v>2855</v>
      </c>
      <c r="C628" s="186"/>
      <c r="D628" s="95" t="str">
        <f>IFERROR(VLOOKUP(B628,' 02.1 KLH-CN MÃ BRAVO MM'!$B:$C,2,0),"")</f>
        <v>A22-XMA-003</v>
      </c>
      <c r="E628" s="137"/>
      <c r="F628" s="137" t="s">
        <v>79</v>
      </c>
      <c r="G628" s="274" t="s">
        <v>2844</v>
      </c>
      <c r="H628" s="80" t="str">
        <f>VLOOKUP(G628,'01. TH'!$B:$E,3,0)</f>
        <v>1913 x 689 x 1076</v>
      </c>
      <c r="I628" s="106" t="s">
        <v>70</v>
      </c>
      <c r="J628" s="193"/>
      <c r="K628" s="80" t="str">
        <f>IF(COUNTIF('TT BTSC'!$D:$D,B628)&gt;0,"Hư hỏng","Bình thường")</f>
        <v>Bình thường</v>
      </c>
      <c r="L628" s="275"/>
      <c r="M628" s="141" t="s">
        <v>2856</v>
      </c>
      <c r="N628" s="137" t="s">
        <v>1093</v>
      </c>
      <c r="O628" s="108" t="s">
        <v>148</v>
      </c>
      <c r="P628" s="137"/>
      <c r="Q628" s="204" t="s">
        <v>2846</v>
      </c>
      <c r="R628" s="204" t="s">
        <v>2847</v>
      </c>
      <c r="S628" s="277" t="s">
        <v>96</v>
      </c>
      <c r="T628" s="278" t="s">
        <v>2858</v>
      </c>
      <c r="U628" s="246"/>
      <c r="V628" s="112">
        <v>0.0</v>
      </c>
      <c r="W628" s="112"/>
      <c r="X628" s="80" t="s">
        <v>70</v>
      </c>
      <c r="Y628" s="112"/>
    </row>
    <row r="629" outlineLevel="1">
      <c r="A629" s="80">
        <f t="shared" si="19"/>
        <v>7</v>
      </c>
      <c r="B629" s="86" t="s">
        <v>2859</v>
      </c>
      <c r="C629" s="186" t="s">
        <v>2860</v>
      </c>
      <c r="D629" s="95" t="s">
        <v>2861</v>
      </c>
      <c r="E629" s="137"/>
      <c r="F629" s="137" t="s">
        <v>79</v>
      </c>
      <c r="G629" s="274" t="s">
        <v>2844</v>
      </c>
      <c r="H629" s="80" t="str">
        <f>VLOOKUP(G629,'01. TH'!$B:$E,3,0)</f>
        <v>1913 x 689 x 1076</v>
      </c>
      <c r="I629" s="106" t="s">
        <v>70</v>
      </c>
      <c r="J629" s="193">
        <v>45841.0</v>
      </c>
      <c r="K629" s="80" t="str">
        <f>IF(COUNTIF('TT BTSC'!$D:$D,B629)&gt;0,"Hư hỏng","Bình thường")</f>
        <v>Bình thường</v>
      </c>
      <c r="L629" s="275"/>
      <c r="M629" s="141" t="s">
        <v>2862</v>
      </c>
      <c r="N629" s="137" t="s">
        <v>1093</v>
      </c>
      <c r="O629" s="108" t="s">
        <v>148</v>
      </c>
      <c r="P629" s="137"/>
      <c r="Q629" s="204" t="s">
        <v>2846</v>
      </c>
      <c r="R629" s="204" t="s">
        <v>2847</v>
      </c>
      <c r="S629" s="277" t="s">
        <v>2863</v>
      </c>
      <c r="T629" s="278" t="s">
        <v>2864</v>
      </c>
      <c r="U629" s="246"/>
      <c r="V629" s="112">
        <v>0.0</v>
      </c>
      <c r="W629" s="112"/>
      <c r="X629" s="80" t="s">
        <v>2850</v>
      </c>
      <c r="Y629" s="112"/>
    </row>
    <row r="630" ht="13.5" customHeight="1" outlineLevel="1">
      <c r="A630" s="80">
        <f t="shared" si="19"/>
        <v>8</v>
      </c>
      <c r="B630" s="86" t="s">
        <v>2865</v>
      </c>
      <c r="C630" s="186"/>
      <c r="D630" s="95" t="str">
        <f>IFERROR(VLOOKUP(B630,' 02.1 KLH-CN MÃ BRAVO MM'!$B:$C,2,0),"")</f>
        <v>A22-LBR-001</v>
      </c>
      <c r="E630" s="137" t="s">
        <v>2866</v>
      </c>
      <c r="F630" s="137" t="s">
        <v>79</v>
      </c>
      <c r="G630" s="274" t="s">
        <v>754</v>
      </c>
      <c r="H630" s="80" t="str">
        <f>VLOOKUP(G630,'01. TH'!$B:$E,3,0)</f>
        <v/>
      </c>
      <c r="I630" s="106" t="s">
        <v>70</v>
      </c>
      <c r="J630" s="193"/>
      <c r="K630" s="80" t="str">
        <f>IF(COUNTIF('TT BTSC'!$D:$D,B630)&gt;0,"Hư hỏng","Bình thường")</f>
        <v>Bình thường</v>
      </c>
      <c r="L630" s="275"/>
      <c r="M630" s="141" t="s">
        <v>2867</v>
      </c>
      <c r="N630" s="137" t="s">
        <v>756</v>
      </c>
      <c r="O630" s="108"/>
      <c r="P630" s="137"/>
      <c r="Q630" s="204"/>
      <c r="R630" s="204"/>
      <c r="S630" s="277" t="s">
        <v>2868</v>
      </c>
      <c r="T630" s="278" t="s">
        <v>96</v>
      </c>
      <c r="U630" s="246"/>
      <c r="V630" s="51"/>
      <c r="W630" s="51"/>
      <c r="X630" s="80" t="s">
        <v>2869</v>
      </c>
      <c r="Y630" s="51"/>
    </row>
    <row r="631" ht="13.5" customHeight="1" outlineLevel="1">
      <c r="A631" s="80">
        <f t="shared" si="19"/>
        <v>9</v>
      </c>
      <c r="B631" s="86" t="s">
        <v>2870</v>
      </c>
      <c r="C631" s="186"/>
      <c r="D631" s="95" t="str">
        <f>IFERROR(VLOOKUP(B631,' 02.1 KLH-CN MÃ BRAVO MM'!$B:$C,2,0),"")</f>
        <v>A22-LBR-002</v>
      </c>
      <c r="E631" s="137" t="s">
        <v>2871</v>
      </c>
      <c r="F631" s="137" t="s">
        <v>79</v>
      </c>
      <c r="G631" s="274" t="s">
        <v>754</v>
      </c>
      <c r="H631" s="80" t="str">
        <f>VLOOKUP(G631,'01. TH'!$B:$E,3,0)</f>
        <v/>
      </c>
      <c r="I631" s="106" t="s">
        <v>70</v>
      </c>
      <c r="J631" s="193">
        <v>45636.0</v>
      </c>
      <c r="K631" s="80" t="str">
        <f>IF(COUNTIF('TT BTSC'!$D:$D,B631)&gt;0,"Hư hỏng","Bình thường")</f>
        <v>Bình thường</v>
      </c>
      <c r="L631" s="275"/>
      <c r="M631" s="141" t="s">
        <v>2872</v>
      </c>
      <c r="N631" s="137" t="s">
        <v>756</v>
      </c>
      <c r="O631" s="108"/>
      <c r="P631" s="137"/>
      <c r="Q631" s="204"/>
      <c r="R631" s="204"/>
      <c r="S631" s="277"/>
      <c r="T631" s="278"/>
      <c r="U631" s="246"/>
      <c r="V631" s="51"/>
      <c r="W631" s="51"/>
      <c r="X631" s="80" t="s">
        <v>2873</v>
      </c>
      <c r="Y631" s="51"/>
    </row>
    <row r="632" ht="13.5" customHeight="1" outlineLevel="1">
      <c r="A632" s="80"/>
      <c r="B632" s="86"/>
      <c r="C632" s="186"/>
      <c r="D632" s="95"/>
      <c r="E632" s="137"/>
      <c r="F632" s="137"/>
      <c r="G632" s="274"/>
      <c r="H632" s="80"/>
      <c r="I632" s="80"/>
      <c r="J632" s="193"/>
      <c r="K632" s="80"/>
      <c r="L632" s="275"/>
      <c r="M632" s="141"/>
      <c r="N632" s="137"/>
      <c r="O632" s="108"/>
      <c r="P632" s="137"/>
      <c r="Q632" s="204"/>
      <c r="R632" s="204"/>
      <c r="S632" s="277"/>
      <c r="T632" s="278"/>
      <c r="U632" s="246"/>
      <c r="V632" s="51"/>
      <c r="W632" s="51"/>
      <c r="X632" s="51"/>
      <c r="Y632" s="51"/>
    </row>
    <row r="633" ht="13.5" customHeight="1" outlineLevel="1">
      <c r="A633" s="80"/>
      <c r="B633" s="86"/>
      <c r="C633" s="186" t="s">
        <v>759</v>
      </c>
      <c r="D633" s="95"/>
      <c r="E633" s="137"/>
      <c r="F633" s="137"/>
      <c r="G633" s="274"/>
      <c r="H633" s="80" t="str">
        <f>VLOOKUP(G633,'01. TH'!$B:$E,3,0)</f>
        <v>#N/A</v>
      </c>
      <c r="I633" s="80"/>
      <c r="J633" s="193"/>
      <c r="K633" s="80"/>
      <c r="L633" s="275"/>
      <c r="M633" s="141"/>
      <c r="N633" s="137"/>
      <c r="O633" s="108"/>
      <c r="P633" s="137"/>
      <c r="Q633" s="204"/>
      <c r="R633" s="204"/>
      <c r="S633" s="277"/>
      <c r="T633" s="278"/>
      <c r="U633" s="246"/>
      <c r="V633" s="51"/>
      <c r="W633" s="51"/>
      <c r="X633" s="51"/>
      <c r="Y633" s="51"/>
    </row>
    <row r="634" ht="13.5" customHeight="1">
      <c r="A634" s="76" t="s">
        <v>2874</v>
      </c>
      <c r="B634" s="55"/>
      <c r="C634" s="243">
        <f>COUNTA($B$635:$B$639)</f>
        <v>3</v>
      </c>
      <c r="D634" s="55"/>
      <c r="E634" s="59"/>
      <c r="F634" s="59"/>
      <c r="G634" s="59"/>
      <c r="H634" s="55"/>
      <c r="I634" s="55"/>
      <c r="J634" s="62"/>
      <c r="K634" s="55"/>
      <c r="L634" s="59"/>
      <c r="M634" s="55"/>
      <c r="N634" s="59"/>
      <c r="O634" s="55"/>
      <c r="P634" s="55"/>
      <c r="Q634" s="55"/>
      <c r="R634" s="55"/>
      <c r="S634" s="55"/>
      <c r="T634" s="55"/>
      <c r="U634" s="55"/>
      <c r="V634" s="63"/>
      <c r="W634" s="63"/>
      <c r="X634" s="63"/>
      <c r="Y634" s="63"/>
    </row>
    <row r="635" ht="28.5" customHeight="1" outlineLevel="1">
      <c r="A635" s="80">
        <v>1.0</v>
      </c>
      <c r="B635" s="86" t="s">
        <v>2875</v>
      </c>
      <c r="C635" s="186" t="s">
        <v>2876</v>
      </c>
      <c r="D635" s="137" t="s">
        <v>2877</v>
      </c>
      <c r="E635" s="137" t="s">
        <v>2878</v>
      </c>
      <c r="F635" s="137" t="s">
        <v>79</v>
      </c>
      <c r="G635" s="86" t="s">
        <v>896</v>
      </c>
      <c r="H635" s="80" t="str">
        <f>VLOOKUP(G635,'01. TH'!$B:$E,3,0)</f>
        <v>4730 x 1750 x 2100</v>
      </c>
      <c r="I635" s="80" t="s">
        <v>71</v>
      </c>
      <c r="J635" s="137" t="s">
        <v>2879</v>
      </c>
      <c r="K635" s="80" t="str">
        <f>IF(COUNTIF('TT BTSC'!$D:$D,B635)&gt;0,"Hư hỏng","Bình thường")</f>
        <v>Bình thường</v>
      </c>
      <c r="L635" s="275">
        <v>0.98</v>
      </c>
      <c r="M635" s="129" t="s">
        <v>2880</v>
      </c>
      <c r="N635" s="137" t="s">
        <v>897</v>
      </c>
      <c r="O635" s="108" t="s">
        <v>148</v>
      </c>
      <c r="P635" s="137">
        <v>2021.0</v>
      </c>
      <c r="Q635" s="204" t="s">
        <v>898</v>
      </c>
      <c r="R635" s="204" t="s">
        <v>158</v>
      </c>
      <c r="S635" s="277" t="s">
        <v>2881</v>
      </c>
      <c r="T635" s="278" t="s">
        <v>2882</v>
      </c>
      <c r="U635" s="246"/>
      <c r="V635" s="112">
        <v>60.0</v>
      </c>
      <c r="W635" s="112"/>
      <c r="X635" s="112"/>
      <c r="Y635" s="112"/>
    </row>
    <row r="636" ht="28.5" customHeight="1" outlineLevel="1">
      <c r="A636" s="80">
        <v>2.0</v>
      </c>
      <c r="B636" s="86" t="s">
        <v>2883</v>
      </c>
      <c r="C636" s="186" t="s">
        <v>2884</v>
      </c>
      <c r="D636" s="95" t="s">
        <v>2885</v>
      </c>
      <c r="E636" s="137" t="s">
        <v>2884</v>
      </c>
      <c r="F636" s="137" t="s">
        <v>79</v>
      </c>
      <c r="G636" s="86" t="s">
        <v>1252</v>
      </c>
      <c r="H636" s="80" t="str">
        <f>VLOOKUP(G636,'01. TH'!$B:$E,3,0)</f>
        <v>4730 x 1750 x 2100</v>
      </c>
      <c r="I636" s="80" t="s">
        <v>71</v>
      </c>
      <c r="J636" s="137" t="s">
        <v>2879</v>
      </c>
      <c r="K636" s="80" t="str">
        <f>IF(COUNTIF('TT BTSC'!$D:$D,B636)&gt;0,"Hư hỏng","Bình thường")</f>
        <v>Bình thường</v>
      </c>
      <c r="L636" s="275"/>
      <c r="M636" s="129" t="s">
        <v>2886</v>
      </c>
      <c r="N636" s="137" t="s">
        <v>1255</v>
      </c>
      <c r="O636" s="108" t="s">
        <v>648</v>
      </c>
      <c r="P636" s="137">
        <v>2021.0</v>
      </c>
      <c r="Q636" s="204" t="s">
        <v>1256</v>
      </c>
      <c r="R636" s="204" t="s">
        <v>158</v>
      </c>
      <c r="S636" s="277" t="s">
        <v>2887</v>
      </c>
      <c r="T636" s="278" t="s">
        <v>2888</v>
      </c>
      <c r="U636" s="246"/>
      <c r="V636" s="112">
        <v>60.0</v>
      </c>
      <c r="W636" s="112"/>
      <c r="X636" s="112"/>
      <c r="Y636" s="112"/>
    </row>
    <row r="637" ht="28.5" customHeight="1" outlineLevel="1">
      <c r="A637" s="80">
        <v>3.0</v>
      </c>
      <c r="B637" s="86" t="s">
        <v>2889</v>
      </c>
      <c r="C637" s="186" t="s">
        <v>2890</v>
      </c>
      <c r="D637" s="95" t="s">
        <v>2891</v>
      </c>
      <c r="E637" s="137" t="s">
        <v>2890</v>
      </c>
      <c r="F637" s="137" t="s">
        <v>79</v>
      </c>
      <c r="G637" s="86" t="s">
        <v>1252</v>
      </c>
      <c r="H637" s="80" t="str">
        <f>VLOOKUP(G637,'01. TH'!$B:$E,3,0)</f>
        <v>4730 x 1750 x 2100</v>
      </c>
      <c r="I637" s="80" t="s">
        <v>71</v>
      </c>
      <c r="J637" s="137" t="s">
        <v>1450</v>
      </c>
      <c r="K637" s="80" t="str">
        <f>IF(COUNTIF('TT BTSC'!$D:$D,B637)&gt;0,"Hư hỏng","Bình thường")</f>
        <v>Bình thường</v>
      </c>
      <c r="L637" s="275"/>
      <c r="M637" s="129" t="s">
        <v>2892</v>
      </c>
      <c r="N637" s="137" t="s">
        <v>1255</v>
      </c>
      <c r="O637" s="108" t="s">
        <v>648</v>
      </c>
      <c r="P637" s="137">
        <v>2021.0</v>
      </c>
      <c r="Q637" s="204" t="s">
        <v>1256</v>
      </c>
      <c r="R637" s="204" t="s">
        <v>158</v>
      </c>
      <c r="S637" s="277" t="s">
        <v>2893</v>
      </c>
      <c r="T637" s="278" t="s">
        <v>2894</v>
      </c>
      <c r="U637" s="246"/>
      <c r="V637" s="112">
        <v>60.0</v>
      </c>
      <c r="W637" s="112"/>
      <c r="X637" s="112"/>
      <c r="Y637" s="112"/>
    </row>
    <row r="638" ht="13.5" customHeight="1" outlineLevel="1">
      <c r="A638" s="80"/>
      <c r="B638" s="86"/>
      <c r="C638" s="186"/>
      <c r="D638" s="95"/>
      <c r="E638" s="137"/>
      <c r="F638" s="137"/>
      <c r="G638" s="274"/>
      <c r="H638" s="80"/>
      <c r="I638" s="80"/>
      <c r="J638" s="193"/>
      <c r="K638" s="80"/>
      <c r="L638" s="275"/>
      <c r="M638" s="190"/>
      <c r="N638" s="137"/>
      <c r="O638" s="108"/>
      <c r="P638" s="137"/>
      <c r="Q638" s="204"/>
      <c r="R638" s="204"/>
      <c r="S638" s="277"/>
      <c r="T638" s="278"/>
      <c r="U638" s="246"/>
      <c r="V638" s="51"/>
      <c r="W638" s="51"/>
      <c r="X638" s="51"/>
      <c r="Y638" s="51"/>
    </row>
    <row r="639" ht="13.5" customHeight="1" outlineLevel="1">
      <c r="A639" s="80"/>
      <c r="B639" s="86"/>
      <c r="C639" s="186" t="s">
        <v>759</v>
      </c>
      <c r="D639" s="95"/>
      <c r="E639" s="137"/>
      <c r="F639" s="137"/>
      <c r="G639" s="274"/>
      <c r="H639" s="80" t="str">
        <f>VLOOKUP(G639,'01. TH'!$B:$E,3,0)</f>
        <v>#N/A</v>
      </c>
      <c r="I639" s="80"/>
      <c r="J639" s="193"/>
      <c r="K639" s="80"/>
      <c r="L639" s="275"/>
      <c r="M639" s="190"/>
      <c r="N639" s="137"/>
      <c r="O639" s="108"/>
      <c r="P639" s="137"/>
      <c r="Q639" s="204"/>
      <c r="R639" s="204"/>
      <c r="S639" s="277"/>
      <c r="T639" s="278"/>
      <c r="U639" s="246"/>
      <c r="V639" s="51"/>
      <c r="W639" s="51"/>
      <c r="X639" s="51"/>
      <c r="Y639" s="51"/>
    </row>
    <row r="640" ht="13.5" customHeight="1">
      <c r="A640" s="76" t="s">
        <v>2895</v>
      </c>
      <c r="B640" s="76"/>
      <c r="C640" s="243">
        <f>COUNTA(B641:B648)</f>
        <v>7</v>
      </c>
      <c r="D640" s="55"/>
      <c r="E640" s="59"/>
      <c r="F640" s="59"/>
      <c r="G640" s="59"/>
      <c r="H640" s="55"/>
      <c r="I640" s="55"/>
      <c r="J640" s="62"/>
      <c r="K640" s="55"/>
      <c r="L640" s="59"/>
      <c r="M640" s="55"/>
      <c r="N640" s="59"/>
      <c r="O640" s="55"/>
      <c r="P640" s="55"/>
      <c r="Q640" s="55"/>
      <c r="R640" s="55"/>
      <c r="S640" s="55"/>
      <c r="T640" s="55"/>
      <c r="U640" s="55"/>
      <c r="V640" s="63"/>
      <c r="W640" s="63"/>
      <c r="X640" s="63"/>
      <c r="Y640" s="63"/>
    </row>
    <row r="641" ht="13.5" customHeight="1" outlineLevel="1">
      <c r="A641" s="80">
        <v>1.0</v>
      </c>
      <c r="B641" s="86" t="s">
        <v>2896</v>
      </c>
      <c r="C641" s="186"/>
      <c r="D641" s="95"/>
      <c r="E641" s="137"/>
      <c r="F641" s="137" t="s">
        <v>79</v>
      </c>
      <c r="G641" s="86" t="s">
        <v>2616</v>
      </c>
      <c r="H641" s="80" t="str">
        <f>VLOOKUP(G641,'01. TH'!$B:$E,3,0)</f>
        <v/>
      </c>
      <c r="I641" s="80" t="s">
        <v>51</v>
      </c>
      <c r="J641" s="193">
        <v>45931.0</v>
      </c>
      <c r="K641" s="80" t="str">
        <f>IF(COUNTIF('TT BTSC'!$D:$D,B641)&gt;0,"Hư hỏng","Bình thường")</f>
        <v>Bình thường</v>
      </c>
      <c r="L641" s="275"/>
      <c r="M641" s="104" t="s">
        <v>890</v>
      </c>
      <c r="N641" s="137" t="s">
        <v>2617</v>
      </c>
      <c r="O641" s="108" t="s">
        <v>222</v>
      </c>
      <c r="P641" s="137">
        <v>2022.0</v>
      </c>
      <c r="Q641" s="204" t="s">
        <v>2897</v>
      </c>
      <c r="R641" s="204" t="s">
        <v>2898</v>
      </c>
      <c r="S641" s="277" t="s">
        <v>2899</v>
      </c>
      <c r="T641" s="278" t="s">
        <v>96</v>
      </c>
      <c r="U641" s="246">
        <v>2.5</v>
      </c>
      <c r="V641" s="112">
        <v>0.0</v>
      </c>
      <c r="W641" s="112"/>
      <c r="X641" s="112"/>
      <c r="Y641" s="112"/>
    </row>
    <row r="642" ht="13.5" customHeight="1" outlineLevel="1">
      <c r="A642" s="80">
        <f t="shared" ref="A642:A647" si="20">A641+1</f>
        <v>2</v>
      </c>
      <c r="B642" s="86" t="s">
        <v>2900</v>
      </c>
      <c r="C642" s="186"/>
      <c r="D642" s="95"/>
      <c r="E642" s="137"/>
      <c r="F642" s="137" t="s">
        <v>79</v>
      </c>
      <c r="G642" s="186" t="s">
        <v>1350</v>
      </c>
      <c r="H642" s="80" t="str">
        <f>VLOOKUP(G642,'01. TH'!$B:$E,3,0)</f>
        <v>#N/A</v>
      </c>
      <c r="I642" s="80" t="s">
        <v>51</v>
      </c>
      <c r="J642" s="193"/>
      <c r="K642" s="80" t="str">
        <f>IF(COUNTIF('TT BTSC'!$D:$D,B642)&gt;0,"Hư hỏng","Bình thường")</f>
        <v>Bình thường</v>
      </c>
      <c r="L642" s="275"/>
      <c r="M642" s="141"/>
      <c r="N642" s="298" t="s">
        <v>1157</v>
      </c>
      <c r="O642" s="299" t="s">
        <v>260</v>
      </c>
      <c r="P642" s="299">
        <v>2021.0</v>
      </c>
      <c r="Q642" s="299" t="s">
        <v>2901</v>
      </c>
      <c r="R642" s="300"/>
      <c r="S642" s="299" t="s">
        <v>2902</v>
      </c>
      <c r="T642" s="278"/>
      <c r="U642" s="246"/>
      <c r="V642" s="51"/>
      <c r="W642" s="51"/>
      <c r="X642" s="51"/>
      <c r="Y642" s="51"/>
    </row>
    <row r="643" ht="13.5" customHeight="1" outlineLevel="1">
      <c r="A643" s="80">
        <f t="shared" si="20"/>
        <v>3</v>
      </c>
      <c r="B643" s="86" t="s">
        <v>2903</v>
      </c>
      <c r="C643" s="186"/>
      <c r="D643" s="95"/>
      <c r="E643" s="137"/>
      <c r="F643" s="137" t="s">
        <v>79</v>
      </c>
      <c r="G643" s="186" t="s">
        <v>1350</v>
      </c>
      <c r="H643" s="80"/>
      <c r="I643" s="80" t="s">
        <v>51</v>
      </c>
      <c r="J643" s="193"/>
      <c r="K643" s="80" t="str">
        <f>IF(COUNTIF('TT BTSC'!$D:$D,B643)&gt;0,"Hư hỏng","Bình thường")</f>
        <v>Bình thường</v>
      </c>
      <c r="L643" s="275"/>
      <c r="M643" s="141"/>
      <c r="N643" s="298" t="s">
        <v>1157</v>
      </c>
      <c r="O643" s="299" t="s">
        <v>260</v>
      </c>
      <c r="P643" s="299">
        <v>2021.0</v>
      </c>
      <c r="Q643" s="299" t="s">
        <v>2901</v>
      </c>
      <c r="R643" s="300"/>
      <c r="S643" s="299" t="s">
        <v>2904</v>
      </c>
      <c r="T643" s="278"/>
      <c r="U643" s="246"/>
      <c r="V643" s="51"/>
      <c r="W643" s="51"/>
      <c r="X643" s="51"/>
      <c r="Y643" s="51"/>
    </row>
    <row r="644" ht="13.5" customHeight="1" outlineLevel="1">
      <c r="A644" s="80">
        <f t="shared" si="20"/>
        <v>4</v>
      </c>
      <c r="B644" s="86" t="s">
        <v>2905</v>
      </c>
      <c r="C644" s="186"/>
      <c r="D644" s="95"/>
      <c r="E644" s="137"/>
      <c r="F644" s="137" t="s">
        <v>79</v>
      </c>
      <c r="G644" s="186" t="s">
        <v>1350</v>
      </c>
      <c r="H644" s="80"/>
      <c r="I644" s="80" t="s">
        <v>51</v>
      </c>
      <c r="J644" s="193"/>
      <c r="K644" s="80" t="str">
        <f>IF(COUNTIF('TT BTSC'!$D:$D,B644)&gt;0,"Hư hỏng","Bình thường")</f>
        <v>Bình thường</v>
      </c>
      <c r="L644" s="275"/>
      <c r="M644" s="141"/>
      <c r="N644" s="298" t="s">
        <v>1157</v>
      </c>
      <c r="O644" s="299" t="s">
        <v>260</v>
      </c>
      <c r="P644" s="299">
        <v>2021.0</v>
      </c>
      <c r="Q644" s="299" t="s">
        <v>2901</v>
      </c>
      <c r="R644" s="300"/>
      <c r="S644" s="299" t="s">
        <v>2906</v>
      </c>
      <c r="T644" s="278"/>
      <c r="U644" s="246"/>
      <c r="V644" s="51"/>
      <c r="W644" s="51"/>
      <c r="X644" s="51"/>
      <c r="Y644" s="51"/>
    </row>
    <row r="645" ht="13.5" customHeight="1" outlineLevel="1">
      <c r="A645" s="80">
        <f t="shared" si="20"/>
        <v>5</v>
      </c>
      <c r="B645" s="86" t="s">
        <v>2907</v>
      </c>
      <c r="C645" s="186"/>
      <c r="D645" s="95"/>
      <c r="E645" s="137"/>
      <c r="F645" s="137" t="s">
        <v>79</v>
      </c>
      <c r="G645" s="186" t="s">
        <v>2908</v>
      </c>
      <c r="H645" s="80"/>
      <c r="I645" s="80" t="s">
        <v>51</v>
      </c>
      <c r="J645" s="193"/>
      <c r="K645" s="80" t="str">
        <f>IF(COUNTIF('TT BTSC'!$D:$D,B645)&gt;0,"Hư hỏng","Bình thường")</f>
        <v>Bình thường</v>
      </c>
      <c r="L645" s="275"/>
      <c r="M645" s="141"/>
      <c r="N645" s="298" t="s">
        <v>1157</v>
      </c>
      <c r="O645" s="299" t="s">
        <v>260</v>
      </c>
      <c r="P645" s="299">
        <v>2021.0</v>
      </c>
      <c r="Q645" s="299" t="s">
        <v>2909</v>
      </c>
      <c r="R645" s="300"/>
      <c r="S645" s="299" t="s">
        <v>2910</v>
      </c>
      <c r="T645" s="278"/>
      <c r="U645" s="246"/>
      <c r="V645" s="51"/>
      <c r="W645" s="51"/>
      <c r="X645" s="51"/>
      <c r="Y645" s="51"/>
    </row>
    <row r="646" ht="13.5" customHeight="1" outlineLevel="1">
      <c r="A646" s="80">
        <f t="shared" si="20"/>
        <v>6</v>
      </c>
      <c r="B646" s="86" t="s">
        <v>2911</v>
      </c>
      <c r="C646" s="186"/>
      <c r="D646" s="95"/>
      <c r="E646" s="137"/>
      <c r="F646" s="137" t="s">
        <v>79</v>
      </c>
      <c r="G646" s="186" t="s">
        <v>2912</v>
      </c>
      <c r="H646" s="80" t="str">
        <f>VLOOKUP(G646,'01. TH'!$B:$E,3,0)</f>
        <v/>
      </c>
      <c r="I646" s="80" t="s">
        <v>51</v>
      </c>
      <c r="J646" s="193"/>
      <c r="K646" s="80" t="str">
        <f>IF(COUNTIF('TT BTSC'!$D:$D,B646)&gt;0,"Hư hỏng","Bình thường")</f>
        <v>Bình thường</v>
      </c>
      <c r="L646" s="275"/>
      <c r="M646" s="141"/>
      <c r="N646" s="298" t="s">
        <v>1157</v>
      </c>
      <c r="O646" s="299" t="s">
        <v>260</v>
      </c>
      <c r="P646" s="299">
        <v>2021.0</v>
      </c>
      <c r="Q646" s="299" t="s">
        <v>2913</v>
      </c>
      <c r="R646" s="300"/>
      <c r="S646" s="299" t="s">
        <v>2914</v>
      </c>
      <c r="T646" s="278"/>
      <c r="U646" s="246"/>
      <c r="V646" s="51"/>
      <c r="W646" s="51"/>
      <c r="X646" s="51"/>
      <c r="Y646" s="51"/>
    </row>
    <row r="647" ht="13.5" customHeight="1" outlineLevel="1">
      <c r="A647" s="80">
        <f t="shared" si="20"/>
        <v>7</v>
      </c>
      <c r="B647" s="86" t="s">
        <v>2915</v>
      </c>
      <c r="C647" s="186"/>
      <c r="D647" s="95"/>
      <c r="E647" s="137"/>
      <c r="F647" s="137" t="s">
        <v>79</v>
      </c>
      <c r="G647" s="186" t="s">
        <v>2912</v>
      </c>
      <c r="H647" s="80" t="str">
        <f>VLOOKUP(G647,'01. TH'!$B:$E,3,0)</f>
        <v/>
      </c>
      <c r="I647" s="80" t="s">
        <v>51</v>
      </c>
      <c r="J647" s="193"/>
      <c r="K647" s="80" t="str">
        <f>IF(COUNTIF('TT BTSC'!$D:$D,B647)&gt;0,"Hư hỏng","Bình thường")</f>
        <v>Bình thường</v>
      </c>
      <c r="L647" s="275"/>
      <c r="M647" s="141"/>
      <c r="N647" s="298" t="s">
        <v>1157</v>
      </c>
      <c r="O647" s="299" t="s">
        <v>260</v>
      </c>
      <c r="P647" s="299">
        <v>2021.0</v>
      </c>
      <c r="Q647" s="299" t="s">
        <v>2913</v>
      </c>
      <c r="R647" s="300"/>
      <c r="S647" s="299" t="s">
        <v>2916</v>
      </c>
      <c r="T647" s="278"/>
      <c r="U647" s="246"/>
      <c r="V647" s="51"/>
      <c r="W647" s="51"/>
      <c r="X647" s="51"/>
      <c r="Y647" s="51"/>
    </row>
    <row r="648" ht="13.5" customHeight="1" outlineLevel="1">
      <c r="A648" s="80"/>
      <c r="B648" s="86"/>
      <c r="C648" s="186"/>
      <c r="D648" s="95"/>
      <c r="E648" s="137"/>
      <c r="F648" s="137"/>
      <c r="G648" s="186"/>
      <c r="H648" s="80"/>
      <c r="I648" s="80"/>
      <c r="J648" s="193"/>
      <c r="K648" s="80"/>
      <c r="L648" s="275"/>
      <c r="M648" s="141"/>
      <c r="N648" s="298"/>
      <c r="O648" s="299"/>
      <c r="P648" s="299"/>
      <c r="Q648" s="299"/>
      <c r="R648" s="300"/>
      <c r="S648" s="299"/>
      <c r="T648" s="278"/>
      <c r="U648" s="246"/>
      <c r="V648" s="51"/>
      <c r="W648" s="51"/>
      <c r="X648" s="51"/>
      <c r="Y648" s="51"/>
    </row>
    <row r="649" ht="13.5" customHeight="1">
      <c r="A649" s="76" t="s">
        <v>2917</v>
      </c>
      <c r="B649" s="76"/>
      <c r="C649" s="243">
        <f>COUNTA(B650:B658)</f>
        <v>8</v>
      </c>
      <c r="D649" s="55"/>
      <c r="E649" s="59"/>
      <c r="F649" s="59"/>
      <c r="G649" s="59"/>
      <c r="H649" s="55"/>
      <c r="I649" s="55"/>
      <c r="J649" s="62"/>
      <c r="K649" s="55"/>
      <c r="L649" s="59"/>
      <c r="M649" s="55"/>
      <c r="N649" s="59"/>
      <c r="O649" s="55"/>
      <c r="P649" s="55"/>
      <c r="Q649" s="55"/>
      <c r="R649" s="55"/>
      <c r="S649" s="55"/>
      <c r="T649" s="55"/>
      <c r="U649" s="55"/>
      <c r="V649" s="63"/>
      <c r="W649" s="63"/>
      <c r="X649" s="63"/>
      <c r="Y649" s="63"/>
    </row>
    <row r="650" ht="13.5" customHeight="1">
      <c r="A650" s="80">
        <v>1.0</v>
      </c>
      <c r="B650" s="86" t="s">
        <v>2918</v>
      </c>
      <c r="C650" s="186"/>
      <c r="D650" s="95"/>
      <c r="E650" s="137"/>
      <c r="F650" s="137" t="s">
        <v>79</v>
      </c>
      <c r="G650" s="186" t="s">
        <v>1346</v>
      </c>
      <c r="H650" s="80"/>
      <c r="I650" s="80" t="s">
        <v>52</v>
      </c>
      <c r="J650" s="193"/>
      <c r="K650" s="80" t="s">
        <v>865</v>
      </c>
      <c r="L650" s="275"/>
      <c r="M650" s="301" t="s">
        <v>2919</v>
      </c>
      <c r="N650" s="298" t="s">
        <v>1157</v>
      </c>
      <c r="O650" s="108"/>
      <c r="P650" s="299">
        <v>2023.0</v>
      </c>
      <c r="Q650" s="204" t="s">
        <v>2920</v>
      </c>
      <c r="R650" s="204"/>
      <c r="S650" s="277">
        <v>1.501190032E9</v>
      </c>
      <c r="T650" s="278"/>
      <c r="U650" s="246"/>
      <c r="V650" s="51"/>
      <c r="W650" s="51"/>
      <c r="X650" s="51"/>
      <c r="Y650" s="51"/>
    </row>
    <row r="651" ht="13.5" customHeight="1">
      <c r="A651" s="80">
        <f t="shared" ref="A651:A657" si="21">A650+1</f>
        <v>2</v>
      </c>
      <c r="B651" s="86" t="s">
        <v>2921</v>
      </c>
      <c r="C651" s="186"/>
      <c r="D651" s="95"/>
      <c r="E651" s="137"/>
      <c r="F651" s="137" t="s">
        <v>79</v>
      </c>
      <c r="G651" s="186" t="s">
        <v>1350</v>
      </c>
      <c r="H651" s="80"/>
      <c r="I651" s="80" t="s">
        <v>52</v>
      </c>
      <c r="J651" s="193"/>
      <c r="K651" s="80" t="str">
        <f>IF(COUNTIF('TT BTSC'!$D:$D,B651)&gt;0,"Hư hỏng","Bình thường")</f>
        <v>Bình thường</v>
      </c>
      <c r="L651" s="275"/>
      <c r="M651" s="301" t="s">
        <v>2922</v>
      </c>
      <c r="N651" s="298" t="s">
        <v>1157</v>
      </c>
      <c r="O651" s="108"/>
      <c r="P651" s="299">
        <v>2023.0</v>
      </c>
      <c r="Q651" s="204" t="s">
        <v>2923</v>
      </c>
      <c r="R651" s="204"/>
      <c r="S651" s="277" t="s">
        <v>2924</v>
      </c>
      <c r="T651" s="278"/>
      <c r="U651" s="246"/>
      <c r="V651" s="51"/>
      <c r="W651" s="51"/>
      <c r="X651" s="51"/>
      <c r="Y651" s="51"/>
    </row>
    <row r="652" ht="13.5" customHeight="1">
      <c r="A652" s="80">
        <f t="shared" si="21"/>
        <v>3</v>
      </c>
      <c r="B652" s="86" t="s">
        <v>2925</v>
      </c>
      <c r="C652" s="186"/>
      <c r="D652" s="95"/>
      <c r="E652" s="137"/>
      <c r="F652" s="137" t="s">
        <v>79</v>
      </c>
      <c r="G652" s="186" t="s">
        <v>1346</v>
      </c>
      <c r="H652" s="80"/>
      <c r="I652" s="80" t="s">
        <v>52</v>
      </c>
      <c r="J652" s="193"/>
      <c r="K652" s="80" t="str">
        <f>IF(COUNTIF('TT BTSC'!$D:$D,B652)&gt;0,"Hư hỏng","Bình thường")</f>
        <v>Bình thường</v>
      </c>
      <c r="L652" s="275"/>
      <c r="M652" s="186" t="s">
        <v>2926</v>
      </c>
      <c r="N652" s="137" t="s">
        <v>882</v>
      </c>
      <c r="O652" s="108"/>
      <c r="P652" s="299">
        <v>2021.0</v>
      </c>
      <c r="Q652" s="204" t="s">
        <v>2927</v>
      </c>
      <c r="R652" s="204"/>
      <c r="S652" s="277">
        <v>1.501190033E9</v>
      </c>
      <c r="T652" s="278"/>
      <c r="U652" s="246"/>
      <c r="V652" s="51"/>
      <c r="W652" s="51"/>
      <c r="X652" s="51"/>
      <c r="Y652" s="51"/>
    </row>
    <row r="653" ht="13.5" customHeight="1">
      <c r="A653" s="80">
        <f t="shared" si="21"/>
        <v>4</v>
      </c>
      <c r="B653" s="86" t="s">
        <v>2928</v>
      </c>
      <c r="C653" s="186"/>
      <c r="D653" s="95"/>
      <c r="E653" s="137"/>
      <c r="F653" s="137" t="s">
        <v>79</v>
      </c>
      <c r="G653" s="186" t="s">
        <v>1346</v>
      </c>
      <c r="H653" s="80"/>
      <c r="I653" s="80" t="s">
        <v>52</v>
      </c>
      <c r="J653" s="193"/>
      <c r="K653" s="80" t="str">
        <f>IF(COUNTIF('TT BTSC'!$D:$D,B653)&gt;0,"Hư hỏng","Bình thường")</f>
        <v>Bình thường</v>
      </c>
      <c r="L653" s="275"/>
      <c r="M653" s="186" t="s">
        <v>2926</v>
      </c>
      <c r="N653" s="137" t="s">
        <v>882</v>
      </c>
      <c r="O653" s="108"/>
      <c r="P653" s="299">
        <v>2021.0</v>
      </c>
      <c r="Q653" s="204" t="s">
        <v>2927</v>
      </c>
      <c r="R653" s="204"/>
      <c r="S653" s="277">
        <v>1.501190062E9</v>
      </c>
      <c r="T653" s="278"/>
      <c r="U653" s="246"/>
      <c r="V653" s="51"/>
      <c r="W653" s="51"/>
      <c r="X653" s="51"/>
      <c r="Y653" s="51"/>
    </row>
    <row r="654" ht="13.5" customHeight="1">
      <c r="A654" s="80">
        <f t="shared" si="21"/>
        <v>5</v>
      </c>
      <c r="B654" s="86" t="s">
        <v>2929</v>
      </c>
      <c r="C654" s="186"/>
      <c r="D654" s="95"/>
      <c r="E654" s="137"/>
      <c r="F654" s="137" t="s">
        <v>79</v>
      </c>
      <c r="G654" s="186" t="s">
        <v>1346</v>
      </c>
      <c r="H654" s="80"/>
      <c r="I654" s="80" t="s">
        <v>52</v>
      </c>
      <c r="J654" s="193"/>
      <c r="K654" s="80" t="str">
        <f>IF(COUNTIF('TT BTSC'!$D:$D,B654)&gt;0,"Hư hỏng","Bình thường")</f>
        <v>Bình thường</v>
      </c>
      <c r="L654" s="275"/>
      <c r="M654" s="186" t="s">
        <v>2926</v>
      </c>
      <c r="N654" s="137" t="s">
        <v>882</v>
      </c>
      <c r="O654" s="108"/>
      <c r="P654" s="299">
        <v>2021.0</v>
      </c>
      <c r="Q654" s="204" t="s">
        <v>2927</v>
      </c>
      <c r="R654" s="204"/>
      <c r="S654" s="277">
        <v>1.501190058E9</v>
      </c>
      <c r="T654" s="278"/>
      <c r="U654" s="246"/>
      <c r="V654" s="51"/>
      <c r="W654" s="51"/>
      <c r="X654" s="51"/>
      <c r="Y654" s="51"/>
    </row>
    <row r="655" ht="13.5" customHeight="1">
      <c r="A655" s="80">
        <f t="shared" si="21"/>
        <v>6</v>
      </c>
      <c r="B655" s="86" t="s">
        <v>2930</v>
      </c>
      <c r="C655" s="186"/>
      <c r="D655" s="95"/>
      <c r="E655" s="137"/>
      <c r="F655" s="137" t="s">
        <v>79</v>
      </c>
      <c r="G655" s="186" t="s">
        <v>1346</v>
      </c>
      <c r="H655" s="80"/>
      <c r="I655" s="80" t="s">
        <v>52</v>
      </c>
      <c r="J655" s="193"/>
      <c r="K655" s="80" t="s">
        <v>865</v>
      </c>
      <c r="L655" s="275"/>
      <c r="M655" s="301" t="s">
        <v>2931</v>
      </c>
      <c r="N655" s="137" t="s">
        <v>882</v>
      </c>
      <c r="O655" s="108"/>
      <c r="P655" s="299">
        <v>2021.0</v>
      </c>
      <c r="Q655" s="204" t="s">
        <v>2927</v>
      </c>
      <c r="R655" s="204"/>
      <c r="S655" s="277">
        <v>1.501190065E9</v>
      </c>
      <c r="T655" s="278"/>
      <c r="U655" s="246"/>
      <c r="V655" s="51"/>
      <c r="W655" s="51"/>
      <c r="X655" s="51"/>
      <c r="Y655" s="51"/>
    </row>
    <row r="656" ht="13.5" customHeight="1">
      <c r="A656" s="80">
        <f t="shared" si="21"/>
        <v>7</v>
      </c>
      <c r="B656" s="86" t="s">
        <v>2932</v>
      </c>
      <c r="C656" s="186"/>
      <c r="D656" s="95"/>
      <c r="E656" s="137"/>
      <c r="F656" s="137" t="s">
        <v>79</v>
      </c>
      <c r="G656" s="186" t="s">
        <v>1346</v>
      </c>
      <c r="H656" s="80"/>
      <c r="I656" s="80" t="s">
        <v>52</v>
      </c>
      <c r="J656" s="193"/>
      <c r="K656" s="80" t="s">
        <v>865</v>
      </c>
      <c r="L656" s="275"/>
      <c r="M656" s="301" t="s">
        <v>2931</v>
      </c>
      <c r="N656" s="137" t="s">
        <v>123</v>
      </c>
      <c r="O656" s="108"/>
      <c r="P656" s="299">
        <v>2007.0</v>
      </c>
      <c r="Q656" s="204" t="s">
        <v>1163</v>
      </c>
      <c r="R656" s="204"/>
      <c r="S656" s="277">
        <v>809168.0</v>
      </c>
      <c r="T656" s="278"/>
      <c r="U656" s="246"/>
      <c r="V656" s="51"/>
      <c r="W656" s="51"/>
      <c r="X656" s="51"/>
      <c r="Y656" s="51"/>
    </row>
    <row r="657" ht="13.5" customHeight="1">
      <c r="A657" s="80">
        <f t="shared" si="21"/>
        <v>8</v>
      </c>
      <c r="B657" s="86" t="s">
        <v>2933</v>
      </c>
      <c r="C657" s="186"/>
      <c r="D657" s="95"/>
      <c r="E657" s="137"/>
      <c r="F657" s="137" t="s">
        <v>79</v>
      </c>
      <c r="G657" s="186" t="s">
        <v>1346</v>
      </c>
      <c r="H657" s="80"/>
      <c r="I657" s="80" t="s">
        <v>52</v>
      </c>
      <c r="J657" s="193"/>
      <c r="K657" s="80" t="str">
        <f>IF(COUNTIF('TT BTSC'!$D:$D,B657)&gt;0,"Hư hỏng","Bình thường")</f>
        <v>Bình thường</v>
      </c>
      <c r="L657" s="275"/>
      <c r="M657" s="301" t="s">
        <v>2934</v>
      </c>
      <c r="N657" s="137" t="s">
        <v>123</v>
      </c>
      <c r="O657" s="108"/>
      <c r="P657" s="299">
        <v>2017.0</v>
      </c>
      <c r="Q657" s="204" t="s">
        <v>1999</v>
      </c>
      <c r="R657" s="204"/>
      <c r="S657" s="277">
        <v>841392.0</v>
      </c>
      <c r="T657" s="278"/>
      <c r="U657" s="246"/>
      <c r="V657" s="51"/>
      <c r="W657" s="51"/>
      <c r="X657" s="51"/>
      <c r="Y657" s="51"/>
    </row>
    <row r="658" ht="13.5" customHeight="1">
      <c r="A658" s="80"/>
      <c r="B658" s="86"/>
      <c r="C658" s="186"/>
      <c r="D658" s="95"/>
      <c r="E658" s="137"/>
      <c r="F658" s="137"/>
      <c r="G658" s="274"/>
      <c r="H658" s="80"/>
      <c r="I658" s="80"/>
      <c r="J658" s="193"/>
      <c r="K658" s="80"/>
      <c r="L658" s="275"/>
      <c r="M658" s="141"/>
      <c r="N658" s="137"/>
      <c r="O658" s="108"/>
      <c r="P658" s="137"/>
      <c r="Q658" s="204"/>
      <c r="R658" s="204"/>
      <c r="S658" s="277"/>
      <c r="T658" s="278"/>
      <c r="U658" s="246"/>
      <c r="V658" s="51"/>
      <c r="W658" s="51"/>
      <c r="X658" s="51"/>
      <c r="Y658" s="51"/>
    </row>
    <row r="659" ht="13.5" customHeight="1">
      <c r="A659" s="76" t="s">
        <v>2935</v>
      </c>
      <c r="B659" s="76"/>
      <c r="C659" s="243">
        <f>COUNTA(B660:B663)</f>
        <v>1</v>
      </c>
      <c r="D659" s="55"/>
      <c r="E659" s="59"/>
      <c r="F659" s="59"/>
      <c r="G659" s="59"/>
      <c r="H659" s="55"/>
      <c r="I659" s="55"/>
      <c r="J659" s="62"/>
      <c r="K659" s="55"/>
      <c r="L659" s="59"/>
      <c r="M659" s="55"/>
      <c r="N659" s="59"/>
      <c r="O659" s="55"/>
      <c r="P659" s="55"/>
      <c r="Q659" s="55"/>
      <c r="R659" s="55"/>
      <c r="S659" s="55"/>
      <c r="T659" s="55"/>
      <c r="U659" s="55"/>
      <c r="V659" s="63"/>
      <c r="W659" s="63"/>
      <c r="X659" s="63"/>
      <c r="Y659" s="63"/>
    </row>
    <row r="660" ht="13.5" customHeight="1" outlineLevel="1">
      <c r="A660" s="95">
        <v>1.0</v>
      </c>
      <c r="B660" s="86" t="s">
        <v>2936</v>
      </c>
      <c r="C660" s="84" t="s">
        <v>2937</v>
      </c>
      <c r="D660" s="95" t="s">
        <v>2938</v>
      </c>
      <c r="E660" s="95"/>
      <c r="F660" s="137" t="s">
        <v>79</v>
      </c>
      <c r="G660" s="86" t="s">
        <v>2939</v>
      </c>
      <c r="H660" s="80" t="str">
        <f>VLOOKUP(G660,'01. TH'!$B:$E,3,0)</f>
        <v>#N/A</v>
      </c>
      <c r="I660" s="80" t="s">
        <v>2940</v>
      </c>
      <c r="J660" s="99">
        <v>46089.0</v>
      </c>
      <c r="K660" s="80" t="str">
        <f>IF(COUNTIF('TT BTSC'!$D:$D,B660)&gt;0,"Hư hỏng","Bình thường")</f>
        <v>Bình thường</v>
      </c>
      <c r="L660" s="102">
        <v>0.97</v>
      </c>
      <c r="M660" s="208" t="s">
        <v>2941</v>
      </c>
      <c r="N660" s="106" t="s">
        <v>300</v>
      </c>
      <c r="O660" s="108" t="s">
        <v>148</v>
      </c>
      <c r="P660" s="80">
        <v>2023.0</v>
      </c>
      <c r="Q660" s="95" t="s">
        <v>307</v>
      </c>
      <c r="R660" s="106" t="s">
        <v>278</v>
      </c>
      <c r="S660" s="108" t="s">
        <v>2942</v>
      </c>
      <c r="T660" s="110" t="s">
        <v>2943</v>
      </c>
      <c r="U660" s="110">
        <v>0.45</v>
      </c>
      <c r="V660" s="112">
        <v>150.0</v>
      </c>
      <c r="W660" s="112"/>
      <c r="X660" s="112"/>
      <c r="Y660" s="112"/>
    </row>
    <row r="661" ht="13.5" customHeight="1">
      <c r="A661" s="80"/>
      <c r="B661" s="86"/>
      <c r="C661" s="186"/>
      <c r="D661" s="95"/>
      <c r="E661" s="137"/>
      <c r="F661" s="137"/>
      <c r="G661" s="274"/>
      <c r="H661" s="80"/>
      <c r="I661" s="80"/>
      <c r="J661" s="193"/>
      <c r="K661" s="80"/>
      <c r="L661" s="275"/>
      <c r="M661" s="141"/>
      <c r="N661" s="137"/>
      <c r="O661" s="108"/>
      <c r="P661" s="137"/>
      <c r="Q661" s="204"/>
      <c r="R661" s="204"/>
      <c r="S661" s="277"/>
      <c r="T661" s="278"/>
      <c r="U661" s="246"/>
      <c r="V661" s="51"/>
      <c r="W661" s="51"/>
      <c r="X661" s="51"/>
      <c r="Y661" s="51"/>
    </row>
    <row r="662" ht="13.5" customHeight="1">
      <c r="A662" s="80"/>
      <c r="B662" s="86"/>
      <c r="C662" s="186"/>
      <c r="D662" s="95"/>
      <c r="E662" s="137"/>
      <c r="F662" s="137"/>
      <c r="G662" s="274"/>
      <c r="H662" s="80"/>
      <c r="I662" s="80"/>
      <c r="J662" s="193"/>
      <c r="K662" s="80"/>
      <c r="L662" s="275"/>
      <c r="M662" s="141"/>
      <c r="N662" s="137"/>
      <c r="O662" s="108"/>
      <c r="P662" s="137"/>
      <c r="Q662" s="204"/>
      <c r="R662" s="204"/>
      <c r="S662" s="277"/>
      <c r="T662" s="278"/>
      <c r="U662" s="246"/>
      <c r="V662" s="51"/>
      <c r="W662" s="51"/>
      <c r="X662" s="51"/>
      <c r="Y662" s="51"/>
    </row>
    <row r="663" ht="13.5" customHeight="1">
      <c r="A663" s="80"/>
      <c r="B663" s="86"/>
      <c r="C663" s="186"/>
      <c r="D663" s="95"/>
      <c r="E663" s="137"/>
      <c r="F663" s="137"/>
      <c r="G663" s="274"/>
      <c r="H663" s="80"/>
      <c r="I663" s="80"/>
      <c r="J663" s="193"/>
      <c r="K663" s="80"/>
      <c r="L663" s="275"/>
      <c r="M663" s="141"/>
      <c r="N663" s="137"/>
      <c r="O663" s="108"/>
      <c r="P663" s="137"/>
      <c r="Q663" s="204"/>
      <c r="R663" s="204"/>
      <c r="S663" s="277"/>
      <c r="T663" s="278"/>
      <c r="U663" s="246"/>
      <c r="V663" s="51"/>
      <c r="W663" s="51"/>
      <c r="X663" s="51"/>
      <c r="Y663" s="51"/>
    </row>
    <row r="664" ht="13.5" customHeight="1">
      <c r="A664" s="302" t="s">
        <v>2944</v>
      </c>
      <c r="B664" s="303" t="s">
        <v>2945</v>
      </c>
      <c r="C664" s="304"/>
      <c r="D664" s="305"/>
      <c r="E664" s="305"/>
      <c r="F664" s="305"/>
      <c r="G664" s="305" t="s">
        <v>2946</v>
      </c>
      <c r="H664" s="304"/>
      <c r="I664" s="305"/>
      <c r="J664" s="306"/>
      <c r="K664" s="304"/>
      <c r="L664" s="305"/>
      <c r="M664" s="304"/>
      <c r="N664" s="305"/>
      <c r="O664" s="304"/>
      <c r="P664" s="305"/>
      <c r="Q664" s="305"/>
      <c r="R664" s="305"/>
      <c r="S664" s="304"/>
      <c r="T664" s="304"/>
      <c r="U664" s="304"/>
      <c r="V664" s="307"/>
      <c r="W664" s="307"/>
      <c r="X664" s="307"/>
      <c r="Y664" s="307"/>
    </row>
    <row r="665" ht="13.5" customHeight="1" outlineLevel="1">
      <c r="A665" s="308" t="s">
        <v>2947</v>
      </c>
      <c r="B665" s="309" t="s">
        <v>2948</v>
      </c>
      <c r="C665" s="308">
        <f>COUNTA($B$666:$B$669)</f>
        <v>2</v>
      </c>
      <c r="D665" s="310"/>
      <c r="E665" s="310"/>
      <c r="F665" s="310"/>
      <c r="G665" s="310"/>
      <c r="H665" s="310"/>
      <c r="I665" s="310"/>
      <c r="J665" s="311"/>
      <c r="K665" s="310"/>
      <c r="L665" s="310"/>
      <c r="M665" s="312"/>
      <c r="N665" s="310"/>
      <c r="O665" s="312"/>
      <c r="P665" s="310"/>
      <c r="Q665" s="310"/>
      <c r="R665" s="310"/>
      <c r="S665" s="312"/>
      <c r="T665" s="312"/>
      <c r="U665" s="312"/>
      <c r="V665" s="313"/>
      <c r="W665" s="313"/>
      <c r="X665" s="313"/>
      <c r="Y665" s="313"/>
    </row>
    <row r="666" ht="14.25" customHeight="1" outlineLevel="1">
      <c r="A666" s="314">
        <v>1.0</v>
      </c>
      <c r="B666" s="315" t="s">
        <v>2949</v>
      </c>
      <c r="C666" s="316" t="s">
        <v>2950</v>
      </c>
      <c r="D666" s="314"/>
      <c r="E666" s="314"/>
      <c r="F666" s="314"/>
      <c r="G666" s="315" t="s">
        <v>1143</v>
      </c>
      <c r="H666" s="314" t="str">
        <f>VLOOKUP(G666,'01. TH'!$B:$E,3,0)</f>
        <v/>
      </c>
      <c r="I666" s="314" t="s">
        <v>2951</v>
      </c>
      <c r="J666" s="317" t="s">
        <v>2952</v>
      </c>
      <c r="K666" s="80" t="s">
        <v>1565</v>
      </c>
      <c r="L666" s="318"/>
      <c r="M666" s="312"/>
      <c r="N666" s="318" t="s">
        <v>300</v>
      </c>
      <c r="O666" s="319" t="s">
        <v>148</v>
      </c>
      <c r="P666" s="314">
        <v>2018.0</v>
      </c>
      <c r="Q666" s="314" t="s">
        <v>1144</v>
      </c>
      <c r="R666" s="318" t="s">
        <v>112</v>
      </c>
      <c r="S666" s="319" t="s">
        <v>2953</v>
      </c>
      <c r="T666" s="319" t="s">
        <v>2954</v>
      </c>
      <c r="U666" s="319">
        <v>3.75</v>
      </c>
      <c r="V666" s="320">
        <v>0.0</v>
      </c>
      <c r="W666" s="320"/>
      <c r="X666" s="320"/>
      <c r="Y666" s="320"/>
    </row>
    <row r="667" ht="13.5" customHeight="1" outlineLevel="1">
      <c r="A667" s="314">
        <v>2.0</v>
      </c>
      <c r="B667" s="315" t="s">
        <v>2955</v>
      </c>
      <c r="C667" s="315" t="s">
        <v>2956</v>
      </c>
      <c r="D667" s="314" t="str">
        <f>IFERROR(VLOOKUP(B667,' 02.1 KLH-CN MÃ BRAVO MM'!$B:$C,2,0),"")</f>
        <v>A22-XPT-001</v>
      </c>
      <c r="E667" s="314"/>
      <c r="F667" s="314"/>
      <c r="G667" s="315" t="s">
        <v>903</v>
      </c>
      <c r="H667" s="314" t="str">
        <f>VLOOKUP(G667,'01. TH'!$B:$E,3,0)</f>
        <v/>
      </c>
      <c r="I667" s="314" t="s">
        <v>2951</v>
      </c>
      <c r="J667" s="317"/>
      <c r="K667" s="80" t="s">
        <v>1565</v>
      </c>
      <c r="L667" s="318"/>
      <c r="M667" s="312"/>
      <c r="N667" s="318" t="s">
        <v>905</v>
      </c>
      <c r="O667" s="319" t="s">
        <v>883</v>
      </c>
      <c r="P667" s="314">
        <v>2009.0</v>
      </c>
      <c r="Q667" s="314"/>
      <c r="R667" s="318" t="s">
        <v>413</v>
      </c>
      <c r="S667" s="319" t="s">
        <v>2957</v>
      </c>
      <c r="T667" s="319" t="s">
        <v>2958</v>
      </c>
      <c r="U667" s="319">
        <v>3.75</v>
      </c>
      <c r="V667" s="321"/>
      <c r="W667" s="321"/>
      <c r="X667" s="321"/>
      <c r="Y667" s="321"/>
    </row>
    <row r="668" outlineLevel="1">
      <c r="A668" s="215"/>
      <c r="B668" s="322"/>
      <c r="C668" s="215"/>
      <c r="D668" s="215"/>
      <c r="E668" s="207"/>
      <c r="F668" s="207"/>
      <c r="G668" s="215"/>
      <c r="H668" s="80" t="str">
        <f>VLOOKUP(G668,'01. TH'!$B:$E,3,0)</f>
        <v>#N/A</v>
      </c>
      <c r="I668" s="215"/>
      <c r="J668" s="215"/>
      <c r="K668" s="215"/>
      <c r="L668" s="215"/>
      <c r="M668" s="215"/>
      <c r="N668" s="207"/>
      <c r="O668" s="215"/>
      <c r="P668" s="215"/>
      <c r="Q668" s="215"/>
      <c r="R668" s="215"/>
      <c r="S668" s="215"/>
      <c r="T668" s="215"/>
      <c r="U668" s="323"/>
      <c r="V668" s="200"/>
      <c r="W668" s="200"/>
      <c r="X668" s="200"/>
      <c r="Y668" s="200"/>
    </row>
    <row r="669" ht="13.5" customHeight="1" outlineLevel="1">
      <c r="A669" s="80"/>
      <c r="B669" s="84"/>
      <c r="C669" s="86" t="s">
        <v>1576</v>
      </c>
      <c r="D669" s="95"/>
      <c r="E669" s="95"/>
      <c r="F669" s="95"/>
      <c r="G669" s="86"/>
      <c r="H669" s="80" t="str">
        <f>VLOOKUP(G669,'01. TH'!$B:$E,3,0)</f>
        <v>#N/A</v>
      </c>
      <c r="I669" s="80"/>
      <c r="J669" s="99"/>
      <c r="K669" s="80"/>
      <c r="L669" s="106"/>
      <c r="M669" s="129"/>
      <c r="N669" s="106"/>
      <c r="O669" s="108"/>
      <c r="P669" s="80"/>
      <c r="Q669" s="80"/>
      <c r="R669" s="106"/>
      <c r="S669" s="108"/>
      <c r="T669" s="110"/>
      <c r="U669" s="110"/>
      <c r="V669" s="51"/>
      <c r="W669" s="51"/>
      <c r="X669" s="51"/>
      <c r="Y669" s="51"/>
    </row>
    <row r="670">
      <c r="F670" s="324"/>
    </row>
    <row r="671">
      <c r="F671" s="324"/>
    </row>
    <row r="672" ht="13.5" customHeight="1">
      <c r="A672" s="325"/>
      <c r="B672" s="326"/>
      <c r="C672" s="327"/>
      <c r="D672" s="327"/>
      <c r="E672" s="327"/>
      <c r="F672" s="327"/>
      <c r="G672" s="325"/>
      <c r="H672" s="327"/>
      <c r="I672" s="327"/>
      <c r="J672" s="328"/>
      <c r="K672" s="327"/>
      <c r="L672" s="327"/>
      <c r="M672" s="329"/>
      <c r="N672" s="327"/>
      <c r="O672" s="329"/>
      <c r="P672" s="327"/>
      <c r="Q672" s="327"/>
      <c r="R672" s="327"/>
      <c r="S672" s="329"/>
      <c r="T672" s="329"/>
      <c r="U672" s="329"/>
      <c r="V672" s="330"/>
      <c r="W672" s="330"/>
      <c r="X672" s="330"/>
      <c r="Y672" s="330"/>
    </row>
    <row r="673" ht="13.5" customHeight="1">
      <c r="A673" s="325"/>
      <c r="B673" s="326"/>
      <c r="C673" s="327"/>
      <c r="D673" s="327"/>
      <c r="E673" s="327"/>
      <c r="F673" s="327"/>
      <c r="G673" s="325"/>
      <c r="H673" s="327"/>
      <c r="I673" s="327"/>
      <c r="J673" s="328"/>
      <c r="K673" s="327"/>
      <c r="L673" s="327"/>
      <c r="M673" s="329"/>
      <c r="N673" s="327"/>
      <c r="O673" s="329"/>
      <c r="P673" s="327"/>
      <c r="Q673" s="327"/>
      <c r="R673" s="327"/>
      <c r="S673" s="329"/>
      <c r="T673" s="329"/>
      <c r="U673" s="329"/>
      <c r="V673" s="330"/>
      <c r="W673" s="330"/>
      <c r="X673" s="330"/>
      <c r="Y673" s="330"/>
    </row>
    <row r="674" ht="13.5" customHeight="1">
      <c r="A674" s="331" t="s">
        <v>76</v>
      </c>
      <c r="B674" s="332" t="s">
        <v>2959</v>
      </c>
      <c r="C674" s="333">
        <f>COUNTA(G675:G739)</f>
        <v>59</v>
      </c>
      <c r="D674" s="333"/>
      <c r="E674" s="333"/>
      <c r="F674" s="333"/>
      <c r="G674" s="331" t="s">
        <v>2960</v>
      </c>
      <c r="H674" s="333"/>
      <c r="I674" s="333"/>
      <c r="J674" s="334"/>
      <c r="K674" s="333"/>
      <c r="L674" s="333"/>
      <c r="M674" s="335"/>
      <c r="N674" s="333"/>
      <c r="O674" s="335"/>
      <c r="P674" s="333"/>
      <c r="Q674" s="333"/>
      <c r="R674" s="333"/>
      <c r="S674" s="335"/>
      <c r="T674" s="335"/>
      <c r="U674" s="335"/>
      <c r="V674" s="336"/>
      <c r="W674" s="336"/>
      <c r="X674" s="336"/>
      <c r="Y674" s="336"/>
    </row>
    <row r="675" ht="13.5" customHeight="1">
      <c r="A675" s="337">
        <v>1.0</v>
      </c>
      <c r="B675" s="338"/>
      <c r="C675" s="338" t="s">
        <v>2961</v>
      </c>
      <c r="D675" s="339"/>
      <c r="E675" s="339"/>
      <c r="F675" s="340"/>
      <c r="G675" s="341" t="s">
        <v>857</v>
      </c>
      <c r="H675" s="342" t="str">
        <f>VLOOKUP(G675,'01. TH'!$B:$E,3,0)</f>
        <v>3226 x 1570 x 1545</v>
      </c>
      <c r="I675" s="337" t="s">
        <v>2963</v>
      </c>
      <c r="J675" s="343"/>
      <c r="K675" s="340" t="s">
        <v>2964</v>
      </c>
      <c r="L675" s="340"/>
      <c r="M675" s="326" t="s">
        <v>2965</v>
      </c>
      <c r="N675" s="337" t="s">
        <v>743</v>
      </c>
      <c r="O675" s="344" t="s">
        <v>148</v>
      </c>
      <c r="P675" s="337">
        <v>2018.0</v>
      </c>
      <c r="Q675" s="337" t="s">
        <v>860</v>
      </c>
      <c r="R675" s="337" t="s">
        <v>861</v>
      </c>
      <c r="S675" s="344" t="s">
        <v>2966</v>
      </c>
      <c r="T675" s="344" t="s">
        <v>96</v>
      </c>
      <c r="U675" s="345">
        <v>2.5</v>
      </c>
      <c r="V675" s="346">
        <v>0.0</v>
      </c>
      <c r="W675" s="346"/>
      <c r="X675" s="346"/>
      <c r="Y675" s="346"/>
    </row>
    <row r="676" ht="13.5" customHeight="1">
      <c r="A676" s="337">
        <f t="shared" ref="A676:A722" si="22">A675+1</f>
        <v>2</v>
      </c>
      <c r="B676" s="338"/>
      <c r="C676" s="338" t="s">
        <v>2967</v>
      </c>
      <c r="D676" s="339"/>
      <c r="E676" s="339"/>
      <c r="F676" s="340"/>
      <c r="G676" s="338" t="s">
        <v>2608</v>
      </c>
      <c r="H676" s="342" t="str">
        <f>VLOOKUP(G676,'01. TH'!$B:$E,3,0)</f>
        <v/>
      </c>
      <c r="I676" s="337" t="s">
        <v>2963</v>
      </c>
      <c r="J676" s="343"/>
      <c r="K676" s="340" t="s">
        <v>2964</v>
      </c>
      <c r="L676" s="340"/>
      <c r="M676" s="326" t="s">
        <v>2965</v>
      </c>
      <c r="N676" s="337" t="s">
        <v>2609</v>
      </c>
      <c r="O676" s="344" t="s">
        <v>148</v>
      </c>
      <c r="P676" s="337"/>
      <c r="Q676" s="337"/>
      <c r="R676" s="337" t="s">
        <v>1277</v>
      </c>
      <c r="S676" s="344" t="s">
        <v>2968</v>
      </c>
      <c r="T676" s="344" t="s">
        <v>96</v>
      </c>
      <c r="U676" s="344"/>
      <c r="V676" s="347"/>
      <c r="W676" s="347"/>
      <c r="X676" s="347"/>
      <c r="Y676" s="347"/>
    </row>
    <row r="677" ht="13.5" customHeight="1">
      <c r="A677" s="337">
        <f t="shared" si="22"/>
        <v>3</v>
      </c>
      <c r="B677" s="348" t="s">
        <v>2969</v>
      </c>
      <c r="C677" s="348" t="s">
        <v>2970</v>
      </c>
      <c r="D677" s="340"/>
      <c r="E677" s="340"/>
      <c r="F677" s="340"/>
      <c r="G677" s="338" t="s">
        <v>2971</v>
      </c>
      <c r="H677" s="342" t="str">
        <f>VLOOKUP(G677,'01. TH'!$B:$E,3,0)</f>
        <v>#N/A</v>
      </c>
      <c r="I677" s="337" t="s">
        <v>2963</v>
      </c>
      <c r="J677" s="343"/>
      <c r="K677" s="340" t="s">
        <v>836</v>
      </c>
      <c r="L677" s="340"/>
      <c r="M677" s="326" t="s">
        <v>2965</v>
      </c>
      <c r="N677" s="337" t="s">
        <v>1441</v>
      </c>
      <c r="O677" s="344" t="s">
        <v>84</v>
      </c>
      <c r="P677" s="340"/>
      <c r="Q677" s="337">
        <v>303.0</v>
      </c>
      <c r="R677" s="340"/>
      <c r="S677" s="344">
        <v>857.0</v>
      </c>
      <c r="T677" s="349">
        <v>4262.0</v>
      </c>
      <c r="U677" s="301">
        <v>4.0</v>
      </c>
      <c r="V677" s="346">
        <v>54.0</v>
      </c>
      <c r="W677" s="346"/>
      <c r="X677" s="346"/>
      <c r="Y677" s="346"/>
    </row>
    <row r="678" ht="13.5" customHeight="1">
      <c r="A678" s="337">
        <f t="shared" si="22"/>
        <v>4</v>
      </c>
      <c r="B678" s="350" t="s">
        <v>2972</v>
      </c>
      <c r="C678" s="350" t="s">
        <v>2973</v>
      </c>
      <c r="D678" s="342" t="str">
        <f>IFERROR(VLOOKUP(B678,' 02.1 KLH-CN MÃ BRAVO MM'!$B:$C,2,0),"")</f>
        <v>A22-MKE-013</v>
      </c>
      <c r="E678" s="342"/>
      <c r="F678" s="342"/>
      <c r="G678" s="341" t="s">
        <v>857</v>
      </c>
      <c r="H678" s="342" t="str">
        <f>VLOOKUP(G678,'01. TH'!$B:$E,3,0)</f>
        <v>3226 x 1570 x 1545</v>
      </c>
      <c r="I678" s="337" t="s">
        <v>2963</v>
      </c>
      <c r="J678" s="351"/>
      <c r="K678" s="342" t="s">
        <v>836</v>
      </c>
      <c r="L678" s="352"/>
      <c r="M678" s="326" t="s">
        <v>2965</v>
      </c>
      <c r="N678" s="352" t="s">
        <v>743</v>
      </c>
      <c r="O678" s="345" t="s">
        <v>148</v>
      </c>
      <c r="P678" s="342">
        <v>2018.0</v>
      </c>
      <c r="Q678" s="342" t="s">
        <v>860</v>
      </c>
      <c r="R678" s="352" t="s">
        <v>861</v>
      </c>
      <c r="S678" s="345" t="s">
        <v>2974</v>
      </c>
      <c r="T678" s="345" t="s">
        <v>96</v>
      </c>
      <c r="U678" s="345">
        <v>2.5</v>
      </c>
      <c r="V678" s="346">
        <v>0.0</v>
      </c>
      <c r="W678" s="346"/>
      <c r="X678" s="346"/>
      <c r="Y678" s="346"/>
    </row>
    <row r="679" ht="13.5" customHeight="1">
      <c r="A679" s="337">
        <f t="shared" si="22"/>
        <v>5</v>
      </c>
      <c r="B679" s="348" t="s">
        <v>2975</v>
      </c>
      <c r="C679" s="348" t="s">
        <v>2976</v>
      </c>
      <c r="D679" s="337"/>
      <c r="E679" s="337"/>
      <c r="F679" s="337" t="s">
        <v>2977</v>
      </c>
      <c r="G679" s="338" t="s">
        <v>2978</v>
      </c>
      <c r="H679" s="342" t="str">
        <f>VLOOKUP(G679,'01. TH'!$B:$E,3,0)</f>
        <v>#N/A</v>
      </c>
      <c r="I679" s="337" t="s">
        <v>2963</v>
      </c>
      <c r="J679" s="353"/>
      <c r="K679" s="337" t="s">
        <v>836</v>
      </c>
      <c r="L679" s="340"/>
      <c r="M679" s="326" t="s">
        <v>2965</v>
      </c>
      <c r="N679" s="340" t="s">
        <v>743</v>
      </c>
      <c r="O679" s="344" t="s">
        <v>148</v>
      </c>
      <c r="P679" s="337">
        <v>2018.0</v>
      </c>
      <c r="Q679" s="337" t="s">
        <v>1383</v>
      </c>
      <c r="R679" s="340" t="s">
        <v>2979</v>
      </c>
      <c r="S679" s="344">
        <v>880102.0</v>
      </c>
      <c r="T679" s="344" t="s">
        <v>96</v>
      </c>
      <c r="U679" s="344"/>
      <c r="V679" s="346">
        <v>0.0</v>
      </c>
      <c r="W679" s="346"/>
      <c r="X679" s="346"/>
      <c r="Y679" s="346"/>
    </row>
    <row r="680" ht="13.5" customHeight="1">
      <c r="A680" s="337">
        <f t="shared" si="22"/>
        <v>6</v>
      </c>
      <c r="B680" s="348" t="s">
        <v>2980</v>
      </c>
      <c r="C680" s="348" t="s">
        <v>2981</v>
      </c>
      <c r="D680" s="337"/>
      <c r="E680" s="337"/>
      <c r="F680" s="337" t="s">
        <v>2982</v>
      </c>
      <c r="G680" s="338" t="s">
        <v>2983</v>
      </c>
      <c r="H680" s="342" t="str">
        <f>VLOOKUP(G680,'01. TH'!$B:$E,3,0)</f>
        <v>#N/A</v>
      </c>
      <c r="I680" s="337" t="s">
        <v>2963</v>
      </c>
      <c r="J680" s="353">
        <v>44197.0</v>
      </c>
      <c r="K680" s="337" t="s">
        <v>836</v>
      </c>
      <c r="L680" s="354">
        <v>0.0</v>
      </c>
      <c r="M680" s="326" t="s">
        <v>2965</v>
      </c>
      <c r="N680" s="340" t="s">
        <v>2984</v>
      </c>
      <c r="O680" s="344" t="s">
        <v>883</v>
      </c>
      <c r="P680" s="337">
        <v>2014.0</v>
      </c>
      <c r="Q680" s="337" t="s">
        <v>2985</v>
      </c>
      <c r="R680" s="340" t="s">
        <v>2986</v>
      </c>
      <c r="S680" s="344">
        <v>6042.0</v>
      </c>
      <c r="T680" s="344" t="s">
        <v>96</v>
      </c>
      <c r="U680" s="344"/>
      <c r="V680" s="346">
        <v>0.0</v>
      </c>
      <c r="W680" s="346"/>
      <c r="X680" s="346"/>
      <c r="Y680" s="346"/>
    </row>
    <row r="681" ht="13.5" customHeight="1">
      <c r="A681" s="337">
        <f t="shared" si="22"/>
        <v>7</v>
      </c>
      <c r="B681" s="348" t="s">
        <v>2987</v>
      </c>
      <c r="C681" s="348" t="s">
        <v>2988</v>
      </c>
      <c r="D681" s="337"/>
      <c r="E681" s="337"/>
      <c r="F681" s="337"/>
      <c r="G681" s="338" t="s">
        <v>2989</v>
      </c>
      <c r="H681" s="342" t="str">
        <f>VLOOKUP(G681,'01. TH'!$B:$E,3,0)</f>
        <v>#N/A</v>
      </c>
      <c r="I681" s="337" t="s">
        <v>2963</v>
      </c>
      <c r="J681" s="353"/>
      <c r="K681" s="337" t="s">
        <v>55</v>
      </c>
      <c r="L681" s="340"/>
      <c r="M681" s="326" t="s">
        <v>2965</v>
      </c>
      <c r="N681" s="340" t="s">
        <v>905</v>
      </c>
      <c r="O681" s="344"/>
      <c r="P681" s="337"/>
      <c r="Q681" s="337"/>
      <c r="R681" s="340"/>
      <c r="S681" s="355" t="s">
        <v>2990</v>
      </c>
      <c r="T681" s="344" t="s">
        <v>96</v>
      </c>
      <c r="U681" s="344"/>
      <c r="V681" s="347"/>
      <c r="W681" s="347"/>
      <c r="X681" s="347"/>
      <c r="Y681" s="347"/>
    </row>
    <row r="682" ht="13.5" customHeight="1">
      <c r="A682" s="337">
        <f t="shared" si="22"/>
        <v>8</v>
      </c>
      <c r="B682" s="348" t="str">
        <f t="shared" ref="B682:B683" si="23">C682</f>
        <v>CVC-XTA-012</v>
      </c>
      <c r="C682" s="348" t="s">
        <v>2991</v>
      </c>
      <c r="D682" s="337"/>
      <c r="E682" s="337"/>
      <c r="F682" s="337"/>
      <c r="G682" s="338" t="s">
        <v>2992</v>
      </c>
      <c r="H682" s="342" t="str">
        <f>VLOOKUP(G682,'01. TH'!$B:$E,3,0)</f>
        <v>#N/A</v>
      </c>
      <c r="I682" s="337" t="s">
        <v>2963</v>
      </c>
      <c r="J682" s="353"/>
      <c r="K682" s="337" t="s">
        <v>64</v>
      </c>
      <c r="L682" s="340"/>
      <c r="M682" s="326" t="s">
        <v>2965</v>
      </c>
      <c r="N682" s="340" t="s">
        <v>300</v>
      </c>
      <c r="O682" s="344" t="s">
        <v>148</v>
      </c>
      <c r="P682" s="337">
        <v>2012.0</v>
      </c>
      <c r="Q682" s="337"/>
      <c r="R682" s="340"/>
      <c r="S682" s="344">
        <v>32169.0</v>
      </c>
      <c r="T682" s="344" t="s">
        <v>96</v>
      </c>
      <c r="U682" s="344"/>
      <c r="V682" s="347"/>
      <c r="W682" s="347"/>
      <c r="X682" s="347"/>
      <c r="Y682" s="347"/>
    </row>
    <row r="683" ht="13.5" customHeight="1">
      <c r="A683" s="337">
        <f t="shared" si="22"/>
        <v>9</v>
      </c>
      <c r="B683" s="348" t="str">
        <f t="shared" si="23"/>
        <v>CVC-XTA-013</v>
      </c>
      <c r="C683" s="348" t="s">
        <v>2993</v>
      </c>
      <c r="D683" s="337"/>
      <c r="E683" s="337"/>
      <c r="F683" s="337" t="s">
        <v>2994</v>
      </c>
      <c r="G683" s="338" t="s">
        <v>2995</v>
      </c>
      <c r="H683" s="342" t="str">
        <f>VLOOKUP(G683,'01. TH'!$B:$E,3,0)</f>
        <v>#N/A</v>
      </c>
      <c r="I683" s="337" t="s">
        <v>2963</v>
      </c>
      <c r="J683" s="353">
        <v>40910.0</v>
      </c>
      <c r="K683" s="337" t="s">
        <v>64</v>
      </c>
      <c r="L683" s="354">
        <v>0.0</v>
      </c>
      <c r="M683" s="326" t="s">
        <v>2965</v>
      </c>
      <c r="N683" s="340" t="s">
        <v>1032</v>
      </c>
      <c r="O683" s="344" t="s">
        <v>103</v>
      </c>
      <c r="P683" s="337"/>
      <c r="Q683" s="337"/>
      <c r="R683" s="340"/>
      <c r="S683" s="344">
        <v>55454.0</v>
      </c>
      <c r="T683" s="344" t="s">
        <v>96</v>
      </c>
      <c r="U683" s="344"/>
      <c r="V683" s="347"/>
      <c r="W683" s="347"/>
      <c r="X683" s="347"/>
      <c r="Y683" s="347"/>
    </row>
    <row r="684" ht="13.5" customHeight="1">
      <c r="A684" s="337">
        <f t="shared" si="22"/>
        <v>10</v>
      </c>
      <c r="B684" s="350" t="s">
        <v>2996</v>
      </c>
      <c r="C684" s="350" t="s">
        <v>2997</v>
      </c>
      <c r="D684" s="342" t="s">
        <v>1422</v>
      </c>
      <c r="E684" s="342"/>
      <c r="F684" s="342"/>
      <c r="G684" s="341" t="s">
        <v>788</v>
      </c>
      <c r="H684" s="342" t="str">
        <f>VLOOKUP(G684,'01. TH'!$B:$E,3,0)</f>
        <v>3445 x 1865 x 2535</v>
      </c>
      <c r="I684" s="337" t="s">
        <v>2963</v>
      </c>
      <c r="J684" s="351"/>
      <c r="K684" s="342" t="s">
        <v>836</v>
      </c>
      <c r="L684" s="352"/>
      <c r="M684" s="326" t="s">
        <v>2998</v>
      </c>
      <c r="N684" s="352" t="s">
        <v>454</v>
      </c>
      <c r="O684" s="345" t="s">
        <v>84</v>
      </c>
      <c r="P684" s="342">
        <v>2013.0</v>
      </c>
      <c r="Q684" s="342" t="s">
        <v>791</v>
      </c>
      <c r="R684" s="352" t="s">
        <v>792</v>
      </c>
      <c r="S684" s="345">
        <v>56762.0</v>
      </c>
      <c r="T684" s="345">
        <v>65.0</v>
      </c>
      <c r="U684" s="345">
        <v>3.5</v>
      </c>
      <c r="V684" s="346">
        <v>90.0</v>
      </c>
      <c r="W684" s="346"/>
      <c r="X684" s="346"/>
      <c r="Y684" s="346"/>
    </row>
    <row r="685" ht="13.5" customHeight="1">
      <c r="A685" s="337">
        <f t="shared" si="22"/>
        <v>11</v>
      </c>
      <c r="B685" s="350" t="s">
        <v>2999</v>
      </c>
      <c r="C685" s="350" t="s">
        <v>3000</v>
      </c>
      <c r="D685" s="342" t="str">
        <f>IFERROR(VLOOKUP(B685,' 02.1 KLH-CN MÃ BRAVO MM'!$B:$C,2,0),"")</f>
        <v>A22-MKE-012</v>
      </c>
      <c r="E685" s="342"/>
      <c r="F685" s="342"/>
      <c r="G685" s="341" t="s">
        <v>857</v>
      </c>
      <c r="H685" s="342" t="str">
        <f>VLOOKUP(G685,'01. TH'!$B:$E,3,0)</f>
        <v>3226 x 1570 x 1545</v>
      </c>
      <c r="I685" s="337" t="s">
        <v>2963</v>
      </c>
      <c r="J685" s="351"/>
      <c r="K685" s="342" t="s">
        <v>836</v>
      </c>
      <c r="L685" s="352"/>
      <c r="M685" s="326" t="s">
        <v>2998</v>
      </c>
      <c r="N685" s="352" t="s">
        <v>743</v>
      </c>
      <c r="O685" s="345" t="s">
        <v>148</v>
      </c>
      <c r="P685" s="342">
        <v>2018.0</v>
      </c>
      <c r="Q685" s="342" t="s">
        <v>860</v>
      </c>
      <c r="R685" s="352" t="s">
        <v>861</v>
      </c>
      <c r="S685" s="356" t="s">
        <v>3001</v>
      </c>
      <c r="T685" s="356" t="s">
        <v>3002</v>
      </c>
      <c r="U685" s="345">
        <v>2.5</v>
      </c>
      <c r="V685" s="346">
        <v>0.0</v>
      </c>
      <c r="W685" s="346"/>
      <c r="X685" s="346"/>
      <c r="Y685" s="346"/>
    </row>
    <row r="686" ht="13.5" customHeight="1">
      <c r="A686" s="337">
        <f t="shared" si="22"/>
        <v>12</v>
      </c>
      <c r="B686" s="350" t="s">
        <v>3003</v>
      </c>
      <c r="C686" s="350" t="s">
        <v>3004</v>
      </c>
      <c r="D686" s="342" t="str">
        <f>IFERROR(VLOOKUP(B686,' 02.1 KLH-CN MÃ BRAVO MM'!$B:$C,2,0),"")</f>
        <v>A22-MKE-014</v>
      </c>
      <c r="E686" s="342"/>
      <c r="F686" s="342"/>
      <c r="G686" s="341" t="s">
        <v>857</v>
      </c>
      <c r="H686" s="342" t="str">
        <f>VLOOKUP(G686,'01. TH'!$B:$E,3,0)</f>
        <v>3226 x 1570 x 1545</v>
      </c>
      <c r="I686" s="337" t="s">
        <v>2963</v>
      </c>
      <c r="J686" s="351"/>
      <c r="K686" s="342" t="s">
        <v>836</v>
      </c>
      <c r="L686" s="352"/>
      <c r="M686" s="326" t="s">
        <v>2998</v>
      </c>
      <c r="N686" s="352" t="s">
        <v>743</v>
      </c>
      <c r="O686" s="345" t="s">
        <v>148</v>
      </c>
      <c r="P686" s="342">
        <v>2018.0</v>
      </c>
      <c r="Q686" s="342" t="s">
        <v>860</v>
      </c>
      <c r="R686" s="352" t="s">
        <v>861</v>
      </c>
      <c r="S686" s="356" t="s">
        <v>3005</v>
      </c>
      <c r="T686" s="345">
        <v>80076.0</v>
      </c>
      <c r="U686" s="345">
        <v>2.5</v>
      </c>
      <c r="V686" s="346">
        <v>0.0</v>
      </c>
      <c r="W686" s="346"/>
      <c r="X686" s="346"/>
      <c r="Y686" s="346"/>
    </row>
    <row r="687" ht="13.5" customHeight="1">
      <c r="A687" s="337">
        <f t="shared" si="22"/>
        <v>13</v>
      </c>
      <c r="B687" s="350" t="s">
        <v>3006</v>
      </c>
      <c r="C687" s="350" t="s">
        <v>3007</v>
      </c>
      <c r="D687" s="342" t="str">
        <f>IFERROR(VLOOKUP(B687,' 02.1 KLH-CN MÃ BRAVO MM'!$B:$C,2,0),"")</f>
        <v>A22-MKE-017</v>
      </c>
      <c r="E687" s="342"/>
      <c r="F687" s="342"/>
      <c r="G687" s="341" t="s">
        <v>857</v>
      </c>
      <c r="H687" s="342" t="str">
        <f>VLOOKUP(G687,'01. TH'!$B:$E,3,0)</f>
        <v>3226 x 1570 x 1545</v>
      </c>
      <c r="I687" s="337" t="s">
        <v>2963</v>
      </c>
      <c r="J687" s="351"/>
      <c r="K687" s="342" t="s">
        <v>836</v>
      </c>
      <c r="L687" s="352"/>
      <c r="M687" s="326" t="s">
        <v>2998</v>
      </c>
      <c r="N687" s="352" t="s">
        <v>743</v>
      </c>
      <c r="O687" s="345" t="s">
        <v>148</v>
      </c>
      <c r="P687" s="342">
        <v>2018.0</v>
      </c>
      <c r="Q687" s="342" t="s">
        <v>860</v>
      </c>
      <c r="R687" s="352" t="s">
        <v>861</v>
      </c>
      <c r="S687" s="345" t="s">
        <v>3008</v>
      </c>
      <c r="T687" s="345">
        <v>180053.0</v>
      </c>
      <c r="U687" s="345">
        <v>2.5</v>
      </c>
      <c r="V687" s="346">
        <v>0.0</v>
      </c>
      <c r="W687" s="346"/>
      <c r="X687" s="346"/>
      <c r="Y687" s="346"/>
    </row>
    <row r="688" ht="13.5" customHeight="1">
      <c r="A688" s="337">
        <f t="shared" si="22"/>
        <v>14</v>
      </c>
      <c r="B688" s="350" t="s">
        <v>3009</v>
      </c>
      <c r="C688" s="350" t="s">
        <v>3010</v>
      </c>
      <c r="D688" s="342" t="str">
        <f>IFERROR(VLOOKUP(B688,' 02.1 KLH-CN MÃ BRAVO MM'!$B:$C,2,0),"")</f>
        <v>ATT-A22-0182</v>
      </c>
      <c r="E688" s="342"/>
      <c r="F688" s="342" t="s">
        <v>3011</v>
      </c>
      <c r="G688" s="341" t="s">
        <v>844</v>
      </c>
      <c r="H688" s="342" t="str">
        <f>VLOOKUP(G688,'01. TH'!$B:$E,3,0)</f>
        <v>3760 x 1900 x 2570</v>
      </c>
      <c r="I688" s="337" t="s">
        <v>2963</v>
      </c>
      <c r="J688" s="351"/>
      <c r="K688" s="342" t="s">
        <v>836</v>
      </c>
      <c r="L688" s="352"/>
      <c r="M688" s="326" t="s">
        <v>2998</v>
      </c>
      <c r="N688" s="352" t="s">
        <v>454</v>
      </c>
      <c r="O688" s="345" t="s">
        <v>84</v>
      </c>
      <c r="P688" s="342">
        <v>2011.0</v>
      </c>
      <c r="Q688" s="342">
        <v>9540.0</v>
      </c>
      <c r="R688" s="352" t="s">
        <v>845</v>
      </c>
      <c r="S688" s="345">
        <v>2482.0</v>
      </c>
      <c r="T688" s="345" t="s">
        <v>96</v>
      </c>
      <c r="U688" s="345">
        <v>3.8</v>
      </c>
      <c r="V688" s="346">
        <v>110.0</v>
      </c>
      <c r="W688" s="346"/>
      <c r="X688" s="346"/>
      <c r="Y688" s="346"/>
    </row>
    <row r="689" ht="13.5" customHeight="1">
      <c r="A689" s="337">
        <f t="shared" si="22"/>
        <v>15</v>
      </c>
      <c r="B689" s="350" t="s">
        <v>3012</v>
      </c>
      <c r="C689" s="341" t="s">
        <v>3013</v>
      </c>
      <c r="D689" s="342" t="str">
        <f>IFERROR(VLOOKUP(B689,' 02.1 KLH-CN MÃ BRAVO MM'!$B:$C,2,0),"")</f>
        <v>A22-MKE-019</v>
      </c>
      <c r="E689" s="342"/>
      <c r="F689" s="342"/>
      <c r="G689" s="341" t="s">
        <v>857</v>
      </c>
      <c r="H689" s="342" t="str">
        <f>VLOOKUP(G689,'01. TH'!$B:$E,3,0)</f>
        <v>3226 x 1570 x 1545</v>
      </c>
      <c r="I689" s="337" t="s">
        <v>2963</v>
      </c>
      <c r="J689" s="342" t="s">
        <v>3014</v>
      </c>
      <c r="K689" s="342" t="s">
        <v>836</v>
      </c>
      <c r="L689" s="352"/>
      <c r="M689" s="326" t="s">
        <v>2998</v>
      </c>
      <c r="N689" s="352" t="s">
        <v>743</v>
      </c>
      <c r="O689" s="345" t="s">
        <v>148</v>
      </c>
      <c r="P689" s="342">
        <v>2018.0</v>
      </c>
      <c r="Q689" s="342" t="s">
        <v>860</v>
      </c>
      <c r="R689" s="352" t="s">
        <v>861</v>
      </c>
      <c r="S689" s="345" t="s">
        <v>3015</v>
      </c>
      <c r="T689" s="345" t="s">
        <v>96</v>
      </c>
      <c r="U689" s="345">
        <v>2.5</v>
      </c>
      <c r="V689" s="346">
        <v>0.0</v>
      </c>
      <c r="W689" s="346"/>
      <c r="X689" s="346"/>
      <c r="Y689" s="346"/>
    </row>
    <row r="690" ht="13.5" customHeight="1">
      <c r="A690" s="337">
        <f t="shared" si="22"/>
        <v>16</v>
      </c>
      <c r="B690" s="350" t="s">
        <v>3016</v>
      </c>
      <c r="C690" s="350" t="s">
        <v>3017</v>
      </c>
      <c r="D690" s="342" t="str">
        <f>IFERROR(VLOOKUP(B690,' 02.1 KLH-CN MÃ BRAVO MM'!$B:$C,2,0),"")</f>
        <v>ATT-A22-0182</v>
      </c>
      <c r="E690" s="342"/>
      <c r="F690" s="342" t="s">
        <v>3018</v>
      </c>
      <c r="G690" s="341" t="s">
        <v>844</v>
      </c>
      <c r="H690" s="342" t="str">
        <f>VLOOKUP(G690,'01. TH'!$B:$E,3,0)</f>
        <v>3760 x 1900 x 2570</v>
      </c>
      <c r="I690" s="337" t="s">
        <v>2963</v>
      </c>
      <c r="J690" s="342" t="s">
        <v>1680</v>
      </c>
      <c r="K690" s="342" t="s">
        <v>836</v>
      </c>
      <c r="L690" s="352"/>
      <c r="M690" s="326" t="s">
        <v>2998</v>
      </c>
      <c r="N690" s="352" t="s">
        <v>454</v>
      </c>
      <c r="O690" s="345" t="s">
        <v>84</v>
      </c>
      <c r="P690" s="342">
        <v>2011.0</v>
      </c>
      <c r="Q690" s="342">
        <v>9540.0</v>
      </c>
      <c r="R690" s="352" t="s">
        <v>845</v>
      </c>
      <c r="S690" s="345">
        <v>3106.0</v>
      </c>
      <c r="T690" s="345" t="s">
        <v>96</v>
      </c>
      <c r="U690" s="345">
        <v>3.8</v>
      </c>
      <c r="V690" s="346">
        <v>110.0</v>
      </c>
      <c r="W690" s="346"/>
      <c r="X690" s="346"/>
      <c r="Y690" s="346"/>
    </row>
    <row r="691" ht="19.5" customHeight="1">
      <c r="A691" s="337">
        <f t="shared" si="22"/>
        <v>17</v>
      </c>
      <c r="B691" s="341" t="s">
        <v>3019</v>
      </c>
      <c r="C691" s="357" t="s">
        <v>2498</v>
      </c>
      <c r="D691" s="342" t="str">
        <f>IFERROR(VLOOKUP(B691,' 02.1 KLH-CN MÃ BRAVO MM'!$B:$C,2,0),"")</f>
        <v>ATT-A22-0023</v>
      </c>
      <c r="E691" s="342"/>
      <c r="F691" s="342" t="s">
        <v>1422</v>
      </c>
      <c r="G691" s="341" t="s">
        <v>875</v>
      </c>
      <c r="H691" s="342" t="str">
        <f>VLOOKUP(G691,'01. TH'!$B:$E,3,0)</f>
        <v>3120 x 1495 x 1510</v>
      </c>
      <c r="I691" s="337" t="s">
        <v>2963</v>
      </c>
      <c r="J691" s="342" t="s">
        <v>3020</v>
      </c>
      <c r="K691" s="358" t="s">
        <v>836</v>
      </c>
      <c r="L691" s="359">
        <v>0.55</v>
      </c>
      <c r="M691" s="326" t="s">
        <v>2998</v>
      </c>
      <c r="N691" s="358" t="s">
        <v>454</v>
      </c>
      <c r="O691" s="360" t="s">
        <v>222</v>
      </c>
      <c r="P691" s="358">
        <v>2019.0</v>
      </c>
      <c r="Q691" s="358">
        <v>4508.0</v>
      </c>
      <c r="R691" s="358" t="s">
        <v>101</v>
      </c>
      <c r="S691" s="361" t="s">
        <v>3021</v>
      </c>
      <c r="T691" s="360" t="s">
        <v>3022</v>
      </c>
      <c r="U691" s="345">
        <v>2.5</v>
      </c>
      <c r="V691" s="346">
        <v>0.0</v>
      </c>
      <c r="W691" s="346"/>
      <c r="X691" s="346"/>
      <c r="Y691" s="346"/>
    </row>
    <row r="692" ht="13.5" customHeight="1">
      <c r="A692" s="337">
        <f t="shared" si="22"/>
        <v>18</v>
      </c>
      <c r="B692" s="350" t="s">
        <v>3023</v>
      </c>
      <c r="C692" s="350" t="s">
        <v>3024</v>
      </c>
      <c r="D692" s="342" t="str">
        <f>IFERROR(VLOOKUP(B692,' 02.1 KLH-CN MÃ BRAVO MM'!$B:$C,2,0),"")</f>
        <v>ATT-A22-0016</v>
      </c>
      <c r="E692" s="342"/>
      <c r="F692" s="342" t="s">
        <v>3025</v>
      </c>
      <c r="G692" s="341" t="s">
        <v>910</v>
      </c>
      <c r="H692" s="342" t="str">
        <f>VLOOKUP(G692,'01. TH'!$B:$E,3,0)</f>
        <v/>
      </c>
      <c r="I692" s="337" t="s">
        <v>2963</v>
      </c>
      <c r="J692" s="351"/>
      <c r="K692" s="342" t="s">
        <v>836</v>
      </c>
      <c r="L692" s="352"/>
      <c r="M692" s="326" t="s">
        <v>2998</v>
      </c>
      <c r="N692" s="352" t="s">
        <v>911</v>
      </c>
      <c r="O692" s="345" t="s">
        <v>912</v>
      </c>
      <c r="P692" s="342"/>
      <c r="Q692" s="342"/>
      <c r="R692" s="352" t="s">
        <v>792</v>
      </c>
      <c r="S692" s="345">
        <v>78509.0</v>
      </c>
      <c r="T692" s="345" t="s">
        <v>96</v>
      </c>
      <c r="U692" s="345">
        <v>2.0</v>
      </c>
      <c r="V692" s="347"/>
      <c r="W692" s="347"/>
      <c r="X692" s="347"/>
      <c r="Y692" s="347"/>
    </row>
    <row r="693" ht="13.5" customHeight="1">
      <c r="A693" s="337">
        <f t="shared" si="22"/>
        <v>19</v>
      </c>
      <c r="B693" s="350" t="s">
        <v>3026</v>
      </c>
      <c r="C693" s="350" t="s">
        <v>3027</v>
      </c>
      <c r="D693" s="342" t="str">
        <f>IFERROR(VLOOKUP(B693,' 02.1 KLH-CN MÃ BRAVO MM'!$B:$C,2,0),"")</f>
        <v>ATT-A22-0016</v>
      </c>
      <c r="E693" s="342"/>
      <c r="F693" s="342" t="s">
        <v>3025</v>
      </c>
      <c r="G693" s="341" t="s">
        <v>910</v>
      </c>
      <c r="H693" s="342" t="str">
        <f>VLOOKUP(G693,'01. TH'!$B:$E,3,0)</f>
        <v/>
      </c>
      <c r="I693" s="337" t="s">
        <v>2963</v>
      </c>
      <c r="J693" s="351"/>
      <c r="K693" s="342" t="s">
        <v>836</v>
      </c>
      <c r="L693" s="352"/>
      <c r="M693" s="326" t="s">
        <v>2998</v>
      </c>
      <c r="N693" s="352" t="s">
        <v>911</v>
      </c>
      <c r="O693" s="345" t="s">
        <v>912</v>
      </c>
      <c r="P693" s="342"/>
      <c r="Q693" s="342"/>
      <c r="R693" s="352" t="s">
        <v>792</v>
      </c>
      <c r="S693" s="345">
        <v>58759.0</v>
      </c>
      <c r="T693" s="345" t="s">
        <v>96</v>
      </c>
      <c r="U693" s="345">
        <v>2.0</v>
      </c>
      <c r="V693" s="347"/>
      <c r="W693" s="347"/>
      <c r="X693" s="347"/>
      <c r="Y693" s="347"/>
    </row>
    <row r="694" ht="13.5" customHeight="1">
      <c r="A694" s="337">
        <f t="shared" si="22"/>
        <v>20</v>
      </c>
      <c r="B694" s="341" t="s">
        <v>3028</v>
      </c>
      <c r="C694" s="341" t="s">
        <v>3029</v>
      </c>
      <c r="D694" s="342" t="str">
        <f>IFERROR(VLOOKUP(B694,' 02.1 KLH-CN MÃ BRAVO MM'!$B:$C,2,0),"")</f>
        <v>A23-MKE-003</v>
      </c>
      <c r="E694" s="342"/>
      <c r="F694" s="342" t="s">
        <v>2029</v>
      </c>
      <c r="G694" s="341" t="s">
        <v>788</v>
      </c>
      <c r="H694" s="342" t="str">
        <f>VLOOKUP(G694,'01. TH'!$B:$E,3,0)</f>
        <v>3445 x 1865 x 2535</v>
      </c>
      <c r="I694" s="337" t="s">
        <v>2963</v>
      </c>
      <c r="J694" s="351">
        <v>45352.0</v>
      </c>
      <c r="K694" s="342" t="s">
        <v>45</v>
      </c>
      <c r="L694" s="352"/>
      <c r="M694" s="326" t="s">
        <v>2998</v>
      </c>
      <c r="N694" s="352" t="s">
        <v>454</v>
      </c>
      <c r="O694" s="345" t="s">
        <v>84</v>
      </c>
      <c r="P694" s="342">
        <v>2013.0</v>
      </c>
      <c r="Q694" s="342" t="s">
        <v>791</v>
      </c>
      <c r="R694" s="352" t="s">
        <v>792</v>
      </c>
      <c r="S694" s="345">
        <v>57271.0</v>
      </c>
      <c r="T694" s="345" t="s">
        <v>96</v>
      </c>
      <c r="U694" s="345">
        <v>3.5</v>
      </c>
      <c r="V694" s="346">
        <v>90.0</v>
      </c>
      <c r="W694" s="346"/>
      <c r="X694" s="346"/>
      <c r="Y694" s="346"/>
    </row>
    <row r="695" ht="13.5" customHeight="1">
      <c r="A695" s="337">
        <f t="shared" si="22"/>
        <v>21</v>
      </c>
      <c r="B695" s="350" t="s">
        <v>3030</v>
      </c>
      <c r="C695" s="341" t="s">
        <v>3031</v>
      </c>
      <c r="D695" s="342" t="str">
        <f>IFERROR(VLOOKUP(B695,' 02.1 KLH-CN MÃ BRAVO MM'!$B:$C,2,0),"")</f>
        <v>A23-MKE-010</v>
      </c>
      <c r="E695" s="342"/>
      <c r="F695" s="342" t="s">
        <v>3032</v>
      </c>
      <c r="G695" s="341" t="s">
        <v>3033</v>
      </c>
      <c r="H695" s="342" t="str">
        <f>VLOOKUP(G695,'01. TH'!$B:$E,3,0)</f>
        <v>#N/A</v>
      </c>
      <c r="I695" s="337" t="s">
        <v>2963</v>
      </c>
      <c r="J695" s="351">
        <v>43862.0</v>
      </c>
      <c r="K695" s="342" t="s">
        <v>45</v>
      </c>
      <c r="L695" s="359">
        <v>0.46</v>
      </c>
      <c r="M695" s="326" t="s">
        <v>2998</v>
      </c>
      <c r="N695" s="352" t="s">
        <v>837</v>
      </c>
      <c r="O695" s="345" t="s">
        <v>3034</v>
      </c>
      <c r="P695" s="342">
        <v>2018.0</v>
      </c>
      <c r="Q695" s="342" t="s">
        <v>3035</v>
      </c>
      <c r="R695" s="352" t="s">
        <v>824</v>
      </c>
      <c r="S695" s="345">
        <v>162744.0</v>
      </c>
      <c r="T695" s="345" t="s">
        <v>96</v>
      </c>
      <c r="U695" s="345">
        <v>8.5</v>
      </c>
      <c r="V695" s="346">
        <v>0.0</v>
      </c>
      <c r="W695" s="346"/>
      <c r="X695" s="346"/>
      <c r="Y695" s="346"/>
    </row>
    <row r="696" ht="13.5" customHeight="1">
      <c r="A696" s="337">
        <f t="shared" si="22"/>
        <v>22</v>
      </c>
      <c r="B696" s="350" t="s">
        <v>3036</v>
      </c>
      <c r="C696" s="341" t="s">
        <v>3037</v>
      </c>
      <c r="D696" s="342" t="str">
        <f>IFERROR(VLOOKUP(B696,' 02.1 KLH-CN MÃ BRAVO MM'!$B:$C,2,0),"")</f>
        <v>A23-MKE-011</v>
      </c>
      <c r="E696" s="342"/>
      <c r="F696" s="342" t="s">
        <v>3032</v>
      </c>
      <c r="G696" s="341" t="s">
        <v>3033</v>
      </c>
      <c r="H696" s="342" t="str">
        <f>VLOOKUP(G696,'01. TH'!$B:$E,3,0)</f>
        <v>#N/A</v>
      </c>
      <c r="I696" s="337" t="s">
        <v>2963</v>
      </c>
      <c r="J696" s="351">
        <v>43862.0</v>
      </c>
      <c r="K696" s="342" t="s">
        <v>45</v>
      </c>
      <c r="L696" s="359">
        <v>0.46</v>
      </c>
      <c r="M696" s="326" t="s">
        <v>2998</v>
      </c>
      <c r="N696" s="352" t="s">
        <v>837</v>
      </c>
      <c r="O696" s="345" t="s">
        <v>3034</v>
      </c>
      <c r="P696" s="342">
        <v>2018.0</v>
      </c>
      <c r="Q696" s="342" t="s">
        <v>3035</v>
      </c>
      <c r="R696" s="352" t="s">
        <v>824</v>
      </c>
      <c r="S696" s="345">
        <v>171754.0</v>
      </c>
      <c r="T696" s="345" t="s">
        <v>96</v>
      </c>
      <c r="U696" s="345">
        <v>8.5</v>
      </c>
      <c r="V696" s="346">
        <v>0.0</v>
      </c>
      <c r="W696" s="346"/>
      <c r="X696" s="346"/>
      <c r="Y696" s="346"/>
    </row>
    <row r="697" ht="13.5" customHeight="1">
      <c r="A697" s="337">
        <f t="shared" si="22"/>
        <v>23</v>
      </c>
      <c r="B697" s="341" t="s">
        <v>3038</v>
      </c>
      <c r="C697" s="341" t="s">
        <v>3039</v>
      </c>
      <c r="D697" s="342" t="str">
        <f>IFERROR(VLOOKUP(B697,' 02.1 KLH-CN MÃ BRAVO MM'!$B:$C,2,0),"")</f>
        <v>ATT-A23-0015</v>
      </c>
      <c r="E697" s="342"/>
      <c r="F697" s="342" t="s">
        <v>3032</v>
      </c>
      <c r="G697" s="341" t="s">
        <v>3033</v>
      </c>
      <c r="H697" s="342" t="str">
        <f>VLOOKUP(G697,'01. TH'!$B:$E,3,0)</f>
        <v>#N/A</v>
      </c>
      <c r="I697" s="337" t="s">
        <v>2963</v>
      </c>
      <c r="J697" s="351">
        <v>43862.0</v>
      </c>
      <c r="K697" s="342" t="s">
        <v>56</v>
      </c>
      <c r="L697" s="359">
        <v>0.46</v>
      </c>
      <c r="M697" s="326" t="s">
        <v>2998</v>
      </c>
      <c r="N697" s="352" t="s">
        <v>837</v>
      </c>
      <c r="O697" s="345" t="s">
        <v>838</v>
      </c>
      <c r="P697" s="342">
        <v>2018.0</v>
      </c>
      <c r="Q697" s="342" t="s">
        <v>3035</v>
      </c>
      <c r="R697" s="352" t="s">
        <v>824</v>
      </c>
      <c r="S697" s="345">
        <v>394479.0</v>
      </c>
      <c r="T697" s="345" t="s">
        <v>96</v>
      </c>
      <c r="U697" s="345">
        <v>8.5</v>
      </c>
      <c r="V697" s="346">
        <v>0.0</v>
      </c>
      <c r="W697" s="346"/>
      <c r="X697" s="346"/>
      <c r="Y697" s="346"/>
    </row>
    <row r="698" ht="13.5" customHeight="1">
      <c r="A698" s="337">
        <f t="shared" si="22"/>
        <v>24</v>
      </c>
      <c r="B698" s="350" t="s">
        <v>3040</v>
      </c>
      <c r="C698" s="350" t="s">
        <v>3041</v>
      </c>
      <c r="D698" s="342" t="str">
        <f>IFERROR(VLOOKUP(B698,' 02.1 KLH-CN MÃ BRAVO MM'!$B:$C,2,0),"")</f>
        <v>ATT-A22-0242</v>
      </c>
      <c r="E698" s="342"/>
      <c r="F698" s="342"/>
      <c r="G698" s="341" t="s">
        <v>946</v>
      </c>
      <c r="H698" s="342" t="str">
        <f>VLOOKUP(G698,'01. TH'!$B:$E,3,0)</f>
        <v/>
      </c>
      <c r="I698" s="337" t="s">
        <v>2963</v>
      </c>
      <c r="J698" s="351"/>
      <c r="K698" s="342" t="s">
        <v>1582</v>
      </c>
      <c r="L698" s="352"/>
      <c r="M698" s="326" t="s">
        <v>2998</v>
      </c>
      <c r="N698" s="352" t="s">
        <v>1561</v>
      </c>
      <c r="O698" s="345" t="s">
        <v>912</v>
      </c>
      <c r="P698" s="342"/>
      <c r="Q698" s="342"/>
      <c r="R698" s="342" t="s">
        <v>950</v>
      </c>
      <c r="S698" s="345"/>
      <c r="T698" s="345" t="s">
        <v>96</v>
      </c>
      <c r="U698" s="345">
        <v>0.5</v>
      </c>
      <c r="V698" s="347"/>
      <c r="W698" s="347"/>
      <c r="X698" s="347"/>
      <c r="Y698" s="347"/>
    </row>
    <row r="699" ht="13.5" customHeight="1">
      <c r="A699" s="337">
        <f t="shared" si="22"/>
        <v>25</v>
      </c>
      <c r="B699" s="350" t="s">
        <v>3042</v>
      </c>
      <c r="C699" s="350" t="s">
        <v>3043</v>
      </c>
      <c r="D699" s="342" t="str">
        <f>IFERROR(VLOOKUP(B699,' 02.1 KLH-CN MÃ BRAVO MM'!$B:$C,2,0),"")</f>
        <v>A22-MKE-004</v>
      </c>
      <c r="E699" s="342"/>
      <c r="F699" s="342"/>
      <c r="G699" s="341" t="s">
        <v>3044</v>
      </c>
      <c r="H699" s="342" t="str">
        <f>VLOOKUP(G699,'01. TH'!$B:$E,3,0)</f>
        <v/>
      </c>
      <c r="I699" s="337" t="s">
        <v>2963</v>
      </c>
      <c r="J699" s="351"/>
      <c r="K699" s="342" t="s">
        <v>1590</v>
      </c>
      <c r="L699" s="352"/>
      <c r="M699" s="326" t="s">
        <v>2998</v>
      </c>
      <c r="N699" s="352" t="s">
        <v>2609</v>
      </c>
      <c r="O699" s="345" t="s">
        <v>84</v>
      </c>
      <c r="P699" s="342"/>
      <c r="Q699" s="342" t="s">
        <v>2609</v>
      </c>
      <c r="R699" s="337" t="s">
        <v>1277</v>
      </c>
      <c r="S699" s="345" t="s">
        <v>96</v>
      </c>
      <c r="T699" s="345">
        <v>20054.0</v>
      </c>
      <c r="U699" s="345"/>
      <c r="V699" s="346">
        <v>0.0</v>
      </c>
      <c r="W699" s="346"/>
      <c r="X699" s="346"/>
      <c r="Y699" s="346"/>
    </row>
    <row r="700" ht="13.5" customHeight="1">
      <c r="A700" s="337">
        <f t="shared" si="22"/>
        <v>26</v>
      </c>
      <c r="B700" s="362" t="s">
        <v>3045</v>
      </c>
      <c r="C700" s="362" t="s">
        <v>3046</v>
      </c>
      <c r="D700" s="342" t="str">
        <f>IFERROR(VLOOKUP(B700,' 02.1 KLH-CN MÃ BRAVO MM'!$B:$C,2,0),"")</f>
        <v>ATT-A24-0015</v>
      </c>
      <c r="E700" s="363"/>
      <c r="F700" s="363" t="s">
        <v>3047</v>
      </c>
      <c r="G700" s="362" t="s">
        <v>910</v>
      </c>
      <c r="H700" s="342" t="str">
        <f>VLOOKUP(G700,'01. TH'!$B:$E,3,0)</f>
        <v/>
      </c>
      <c r="I700" s="337" t="s">
        <v>2963</v>
      </c>
      <c r="J700" s="363" t="s">
        <v>1402</v>
      </c>
      <c r="K700" s="363" t="s">
        <v>1389</v>
      </c>
      <c r="L700" s="364"/>
      <c r="M700" s="326" t="s">
        <v>2998</v>
      </c>
      <c r="N700" s="364" t="s">
        <v>911</v>
      </c>
      <c r="O700" s="301" t="s">
        <v>912</v>
      </c>
      <c r="P700" s="363"/>
      <c r="Q700" s="363"/>
      <c r="R700" s="364" t="s">
        <v>792</v>
      </c>
      <c r="S700" s="301" t="s">
        <v>1456</v>
      </c>
      <c r="T700" s="301">
        <v>77109.0</v>
      </c>
      <c r="U700" s="345">
        <v>2.0</v>
      </c>
      <c r="V700" s="347"/>
      <c r="W700" s="347"/>
      <c r="X700" s="347"/>
      <c r="Y700" s="347"/>
    </row>
    <row r="701" ht="13.5" customHeight="1">
      <c r="A701" s="337">
        <f t="shared" si="22"/>
        <v>27</v>
      </c>
      <c r="B701" s="350" t="s">
        <v>3048</v>
      </c>
      <c r="C701" s="341" t="s">
        <v>3049</v>
      </c>
      <c r="D701" s="342" t="str">
        <f>IFERROR(VLOOKUP(B701,' 02.1 KLH-CN MÃ BRAVO MM'!$B:$C,2,0),"")</f>
        <v>ATT-A24-0015</v>
      </c>
      <c r="E701" s="342"/>
      <c r="F701" s="342" t="s">
        <v>3047</v>
      </c>
      <c r="G701" s="341" t="s">
        <v>910</v>
      </c>
      <c r="H701" s="342" t="str">
        <f>VLOOKUP(G701,'01. TH'!$B:$E,3,0)</f>
        <v/>
      </c>
      <c r="I701" s="337" t="s">
        <v>2963</v>
      </c>
      <c r="J701" s="351"/>
      <c r="K701" s="342" t="s">
        <v>1389</v>
      </c>
      <c r="L701" s="352"/>
      <c r="M701" s="326" t="s">
        <v>2998</v>
      </c>
      <c r="N701" s="352" t="s">
        <v>911</v>
      </c>
      <c r="O701" s="345" t="s">
        <v>912</v>
      </c>
      <c r="P701" s="342"/>
      <c r="Q701" s="342"/>
      <c r="R701" s="352" t="s">
        <v>792</v>
      </c>
      <c r="S701" s="345" t="s">
        <v>1456</v>
      </c>
      <c r="T701" s="345">
        <v>77052.0</v>
      </c>
      <c r="U701" s="345">
        <v>2.0</v>
      </c>
      <c r="V701" s="347"/>
      <c r="W701" s="347"/>
      <c r="X701" s="347"/>
      <c r="Y701" s="347"/>
    </row>
    <row r="702" ht="24.0" customHeight="1">
      <c r="A702" s="337">
        <f t="shared" si="22"/>
        <v>28</v>
      </c>
      <c r="B702" s="350" t="s">
        <v>3050</v>
      </c>
      <c r="C702" s="341" t="s">
        <v>3051</v>
      </c>
      <c r="D702" s="342" t="str">
        <f>IFERROR(VLOOKUP(B702,' 02.1 KLH-CN MÃ BRAVO MM'!$B:$C,2,0),"")</f>
        <v>ATT-A24-0022</v>
      </c>
      <c r="E702" s="342"/>
      <c r="F702" s="342" t="s">
        <v>1083</v>
      </c>
      <c r="G702" s="341" t="s">
        <v>452</v>
      </c>
      <c r="H702" s="342" t="str">
        <f>VLOOKUP(G702,'01. TH'!$B:$E,3,0)</f>
        <v>4749 x 1700 x 2470</v>
      </c>
      <c r="I702" s="337" t="s">
        <v>2963</v>
      </c>
      <c r="J702" s="351"/>
      <c r="K702" s="342" t="s">
        <v>1389</v>
      </c>
      <c r="L702" s="352"/>
      <c r="M702" s="326" t="s">
        <v>2998</v>
      </c>
      <c r="N702" s="352" t="s">
        <v>454</v>
      </c>
      <c r="O702" s="345" t="s">
        <v>84</v>
      </c>
      <c r="P702" s="342">
        <v>2015.0</v>
      </c>
      <c r="Q702" s="342" t="s">
        <v>455</v>
      </c>
      <c r="R702" s="352" t="s">
        <v>456</v>
      </c>
      <c r="S702" s="345">
        <v>60284.0</v>
      </c>
      <c r="T702" s="345" t="s">
        <v>96</v>
      </c>
      <c r="U702" s="301">
        <v>4.0</v>
      </c>
      <c r="V702" s="346">
        <v>40.0</v>
      </c>
      <c r="W702" s="346"/>
      <c r="X702" s="346"/>
      <c r="Y702" s="346"/>
    </row>
    <row r="703" ht="13.5" customHeight="1">
      <c r="A703" s="337">
        <f t="shared" si="22"/>
        <v>29</v>
      </c>
      <c r="B703" s="350" t="s">
        <v>3052</v>
      </c>
      <c r="C703" s="350" t="s">
        <v>3053</v>
      </c>
      <c r="D703" s="342" t="str">
        <f>IFERROR(VLOOKUP(B703,' 02.1 KLH-CN MÃ BRAVO MM'!$B:$C,2,0),"")</f>
        <v>ATT-A24-0022</v>
      </c>
      <c r="E703" s="342"/>
      <c r="F703" s="342" t="s">
        <v>1083</v>
      </c>
      <c r="G703" s="341" t="s">
        <v>452</v>
      </c>
      <c r="H703" s="342" t="str">
        <f>VLOOKUP(G703,'01. TH'!$B:$E,3,0)</f>
        <v>4749 x 1700 x 2470</v>
      </c>
      <c r="I703" s="337" t="s">
        <v>2963</v>
      </c>
      <c r="J703" s="351">
        <v>43617.0</v>
      </c>
      <c r="K703" s="342" t="s">
        <v>1389</v>
      </c>
      <c r="L703" s="359">
        <v>0.4</v>
      </c>
      <c r="M703" s="326" t="s">
        <v>2998</v>
      </c>
      <c r="N703" s="352" t="s">
        <v>454</v>
      </c>
      <c r="O703" s="345" t="s">
        <v>84</v>
      </c>
      <c r="P703" s="342">
        <v>2015.0</v>
      </c>
      <c r="Q703" s="342" t="s">
        <v>455</v>
      </c>
      <c r="R703" s="352" t="s">
        <v>456</v>
      </c>
      <c r="S703" s="345">
        <v>60273.0</v>
      </c>
      <c r="T703" s="345" t="s">
        <v>96</v>
      </c>
      <c r="U703" s="301">
        <v>4.0</v>
      </c>
      <c r="V703" s="346">
        <v>40.0</v>
      </c>
      <c r="W703" s="346"/>
      <c r="X703" s="346"/>
      <c r="Y703" s="346"/>
    </row>
    <row r="704" ht="13.5" customHeight="1">
      <c r="A704" s="337">
        <f t="shared" si="22"/>
        <v>30</v>
      </c>
      <c r="B704" s="341" t="s">
        <v>3054</v>
      </c>
      <c r="C704" s="341" t="s">
        <v>3055</v>
      </c>
      <c r="D704" s="342" t="str">
        <f>IFERROR(VLOOKUP(B704,' 02.1 KLH-CN MÃ BRAVO MM'!$B:$C,2,0),"")</f>
        <v/>
      </c>
      <c r="E704" s="342"/>
      <c r="F704" s="342"/>
      <c r="G704" s="341" t="s">
        <v>857</v>
      </c>
      <c r="H704" s="342" t="str">
        <f>VLOOKUP(G704,'01. TH'!$B:$E,3,0)</f>
        <v>3226 x 1570 x 1545</v>
      </c>
      <c r="I704" s="337" t="s">
        <v>2963</v>
      </c>
      <c r="J704" s="351"/>
      <c r="K704" s="342" t="s">
        <v>1389</v>
      </c>
      <c r="L704" s="352"/>
      <c r="M704" s="326" t="s">
        <v>2998</v>
      </c>
      <c r="N704" s="352" t="s">
        <v>743</v>
      </c>
      <c r="O704" s="345" t="s">
        <v>148</v>
      </c>
      <c r="P704" s="342">
        <v>2018.0</v>
      </c>
      <c r="Q704" s="342" t="s">
        <v>860</v>
      </c>
      <c r="R704" s="352" t="s">
        <v>861</v>
      </c>
      <c r="S704" s="345" t="s">
        <v>3056</v>
      </c>
      <c r="T704" s="345" t="s">
        <v>96</v>
      </c>
      <c r="U704" s="345">
        <v>2.5</v>
      </c>
      <c r="V704" s="346">
        <v>0.0</v>
      </c>
      <c r="W704" s="346"/>
      <c r="X704" s="346"/>
      <c r="Y704" s="346"/>
    </row>
    <row r="705" ht="13.5" customHeight="1">
      <c r="A705" s="337">
        <f t="shared" si="22"/>
        <v>31</v>
      </c>
      <c r="B705" s="350" t="s">
        <v>3057</v>
      </c>
      <c r="C705" s="350" t="s">
        <v>3058</v>
      </c>
      <c r="D705" s="342" t="str">
        <f>IFERROR(VLOOKUP(C705,' 02.1 KLH-CN MÃ BRAVO MM'!$B:$C,2,0),"")</f>
        <v>ATT-A24-0067</v>
      </c>
      <c r="E705" s="342"/>
      <c r="F705" s="342" t="s">
        <v>3059</v>
      </c>
      <c r="G705" s="341" t="s">
        <v>946</v>
      </c>
      <c r="H705" s="342" t="str">
        <f>VLOOKUP(G705,'01. TH'!$B:$E,3,0)</f>
        <v/>
      </c>
      <c r="I705" s="337" t="s">
        <v>2963</v>
      </c>
      <c r="J705" s="351"/>
      <c r="K705" s="342" t="s">
        <v>1253</v>
      </c>
      <c r="L705" s="352"/>
      <c r="M705" s="326" t="s">
        <v>2998</v>
      </c>
      <c r="N705" s="352" t="s">
        <v>1561</v>
      </c>
      <c r="O705" s="345" t="s">
        <v>912</v>
      </c>
      <c r="P705" s="342"/>
      <c r="Q705" s="342"/>
      <c r="R705" s="352" t="s">
        <v>950</v>
      </c>
      <c r="S705" s="345" t="s">
        <v>3060</v>
      </c>
      <c r="T705" s="345" t="s">
        <v>96</v>
      </c>
      <c r="U705" s="345">
        <v>0.5</v>
      </c>
      <c r="V705" s="347"/>
      <c r="W705" s="347"/>
      <c r="X705" s="347"/>
      <c r="Y705" s="347"/>
    </row>
    <row r="706" ht="13.5" customHeight="1">
      <c r="A706" s="337">
        <f t="shared" si="22"/>
        <v>32</v>
      </c>
      <c r="B706" s="350" t="s">
        <v>3061</v>
      </c>
      <c r="C706" s="357" t="s">
        <v>3062</v>
      </c>
      <c r="D706" s="365" t="str">
        <f>IFERROR(VLOOKUP(C706,' 02.1 KLH-CN MÃ BRAVO MM'!$B:$C,2,0),"")</f>
        <v>ATT-A24-0067</v>
      </c>
      <c r="E706" s="365"/>
      <c r="F706" s="365" t="s">
        <v>3059</v>
      </c>
      <c r="G706" s="341" t="s">
        <v>946</v>
      </c>
      <c r="H706" s="342" t="str">
        <f>VLOOKUP(G706,'01. TH'!$B:$E,3,0)</f>
        <v/>
      </c>
      <c r="I706" s="337" t="s">
        <v>2963</v>
      </c>
      <c r="J706" s="366"/>
      <c r="K706" s="342" t="s">
        <v>1253</v>
      </c>
      <c r="L706" s="367"/>
      <c r="M706" s="326" t="s">
        <v>2998</v>
      </c>
      <c r="N706" s="365" t="s">
        <v>1561</v>
      </c>
      <c r="O706" s="368" t="s">
        <v>912</v>
      </c>
      <c r="P706" s="367"/>
      <c r="Q706" s="367"/>
      <c r="R706" s="365" t="s">
        <v>950</v>
      </c>
      <c r="S706" s="368" t="s">
        <v>3063</v>
      </c>
      <c r="T706" s="368" t="s">
        <v>96</v>
      </c>
      <c r="U706" s="345">
        <v>0.5</v>
      </c>
      <c r="V706" s="347"/>
      <c r="W706" s="347"/>
      <c r="X706" s="347"/>
      <c r="Y706" s="347"/>
    </row>
    <row r="707" ht="13.5" customHeight="1">
      <c r="A707" s="337">
        <f t="shared" si="22"/>
        <v>33</v>
      </c>
      <c r="B707" s="350" t="s">
        <v>3064</v>
      </c>
      <c r="C707" s="350" t="s">
        <v>3065</v>
      </c>
      <c r="D707" s="342" t="str">
        <f>IFERROR(VLOOKUP(C707,' 02.1 KLH-CN MÃ BRAVO MM'!$B:$C,2,0),"")</f>
        <v>ATT-A24-0067</v>
      </c>
      <c r="E707" s="342"/>
      <c r="F707" s="342" t="s">
        <v>3059</v>
      </c>
      <c r="G707" s="341" t="s">
        <v>946</v>
      </c>
      <c r="H707" s="342" t="str">
        <f>VLOOKUP(G707,'01. TH'!$B:$E,3,0)</f>
        <v/>
      </c>
      <c r="I707" s="337" t="s">
        <v>2963</v>
      </c>
      <c r="J707" s="351"/>
      <c r="K707" s="342" t="s">
        <v>1253</v>
      </c>
      <c r="L707" s="352"/>
      <c r="M707" s="326" t="s">
        <v>2998</v>
      </c>
      <c r="N707" s="352" t="s">
        <v>1561</v>
      </c>
      <c r="O707" s="345" t="s">
        <v>912</v>
      </c>
      <c r="P707" s="342"/>
      <c r="Q707" s="342"/>
      <c r="R707" s="352" t="s">
        <v>950</v>
      </c>
      <c r="S707" s="345" t="s">
        <v>3066</v>
      </c>
      <c r="T707" s="345" t="s">
        <v>96</v>
      </c>
      <c r="U707" s="345">
        <v>0.5</v>
      </c>
      <c r="V707" s="347"/>
      <c r="W707" s="347"/>
      <c r="X707" s="347"/>
      <c r="Y707" s="347"/>
    </row>
    <row r="708" ht="13.5" customHeight="1">
      <c r="A708" s="337">
        <f t="shared" si="22"/>
        <v>34</v>
      </c>
      <c r="B708" s="341" t="s">
        <v>3067</v>
      </c>
      <c r="C708" s="350" t="s">
        <v>3068</v>
      </c>
      <c r="D708" s="342" t="str">
        <f>IFERROR(VLOOKUP(B708,' 02.1 KLH-CN MÃ BRAVO MM'!$B:$C,2,0),"")</f>
        <v>ATT-A24-0067</v>
      </c>
      <c r="E708" s="342"/>
      <c r="F708" s="342" t="s">
        <v>3059</v>
      </c>
      <c r="G708" s="341" t="s">
        <v>946</v>
      </c>
      <c r="H708" s="342" t="str">
        <f>VLOOKUP(G708,'01. TH'!$B:$E,3,0)</f>
        <v/>
      </c>
      <c r="I708" s="337" t="s">
        <v>2963</v>
      </c>
      <c r="J708" s="342" t="s">
        <v>1261</v>
      </c>
      <c r="K708" s="342" t="s">
        <v>1253</v>
      </c>
      <c r="L708" s="352"/>
      <c r="M708" s="326" t="s">
        <v>2998</v>
      </c>
      <c r="N708" s="352" t="s">
        <v>1561</v>
      </c>
      <c r="O708" s="345" t="s">
        <v>912</v>
      </c>
      <c r="P708" s="342"/>
      <c r="Q708" s="342"/>
      <c r="R708" s="352" t="s">
        <v>950</v>
      </c>
      <c r="S708" s="345" t="s">
        <v>3069</v>
      </c>
      <c r="T708" s="345" t="s">
        <v>96</v>
      </c>
      <c r="U708" s="345">
        <v>0.5</v>
      </c>
      <c r="V708" s="347"/>
      <c r="W708" s="347"/>
      <c r="X708" s="347"/>
      <c r="Y708" s="347"/>
    </row>
    <row r="709" ht="13.5" customHeight="1">
      <c r="A709" s="337">
        <f t="shared" si="22"/>
        <v>35</v>
      </c>
      <c r="B709" s="341" t="s">
        <v>3070</v>
      </c>
      <c r="C709" s="350" t="s">
        <v>3071</v>
      </c>
      <c r="D709" s="342" t="str">
        <f>IFERROR(VLOOKUP(B709,' 02.1 KLH-CN MÃ BRAVO MM'!$B:$C,2,0),"")</f>
        <v>ATT-A24-0067</v>
      </c>
      <c r="E709" s="342"/>
      <c r="F709" s="342" t="s">
        <v>3059</v>
      </c>
      <c r="G709" s="341" t="s">
        <v>946</v>
      </c>
      <c r="H709" s="342" t="str">
        <f>VLOOKUP(G709,'01. TH'!$B:$E,3,0)</f>
        <v/>
      </c>
      <c r="I709" s="337" t="s">
        <v>2963</v>
      </c>
      <c r="J709" s="342" t="s">
        <v>1261</v>
      </c>
      <c r="K709" s="342" t="s">
        <v>1253</v>
      </c>
      <c r="L709" s="352"/>
      <c r="M709" s="326" t="s">
        <v>2998</v>
      </c>
      <c r="N709" s="352" t="s">
        <v>1561</v>
      </c>
      <c r="O709" s="345" t="s">
        <v>912</v>
      </c>
      <c r="P709" s="342"/>
      <c r="Q709" s="342"/>
      <c r="R709" s="352" t="s">
        <v>950</v>
      </c>
      <c r="S709" s="345" t="s">
        <v>3072</v>
      </c>
      <c r="T709" s="345" t="s">
        <v>96</v>
      </c>
      <c r="U709" s="345">
        <v>0.68</v>
      </c>
      <c r="V709" s="347"/>
      <c r="W709" s="347"/>
      <c r="X709" s="347"/>
      <c r="Y709" s="347"/>
    </row>
    <row r="710" ht="13.5" customHeight="1">
      <c r="A710" s="337">
        <f t="shared" si="22"/>
        <v>36</v>
      </c>
      <c r="B710" s="341" t="s">
        <v>3073</v>
      </c>
      <c r="C710" s="341" t="s">
        <v>3074</v>
      </c>
      <c r="D710" s="342" t="str">
        <f>IFERROR(VLOOKUP(C710,' 02.1 KLH-CN MÃ BRAVO MM'!$B:$C,2,0),"")</f>
        <v>ATT-A22-0242</v>
      </c>
      <c r="E710" s="342"/>
      <c r="F710" s="342" t="s">
        <v>3075</v>
      </c>
      <c r="G710" s="341" t="s">
        <v>946</v>
      </c>
      <c r="H710" s="342" t="str">
        <f>VLOOKUP(G710,'01. TH'!$B:$E,3,0)</f>
        <v/>
      </c>
      <c r="I710" s="337" t="s">
        <v>2963</v>
      </c>
      <c r="J710" s="351">
        <v>43112.0</v>
      </c>
      <c r="K710" s="342" t="s">
        <v>1253</v>
      </c>
      <c r="L710" s="359"/>
      <c r="M710" s="326" t="s">
        <v>2998</v>
      </c>
      <c r="N710" s="342" t="s">
        <v>1561</v>
      </c>
      <c r="O710" s="345" t="s">
        <v>912</v>
      </c>
      <c r="P710" s="342"/>
      <c r="Q710" s="342"/>
      <c r="R710" s="342" t="s">
        <v>950</v>
      </c>
      <c r="S710" s="345" t="s">
        <v>3022</v>
      </c>
      <c r="T710" s="345" t="s">
        <v>3076</v>
      </c>
      <c r="U710" s="345">
        <v>0.5</v>
      </c>
      <c r="V710" s="347"/>
      <c r="W710" s="347"/>
      <c r="X710" s="347"/>
      <c r="Y710" s="347"/>
    </row>
    <row r="711" ht="13.5" customHeight="1">
      <c r="A711" s="337">
        <f t="shared" si="22"/>
        <v>37</v>
      </c>
      <c r="B711" s="341" t="s">
        <v>3077</v>
      </c>
      <c r="C711" s="350" t="s">
        <v>3078</v>
      </c>
      <c r="D711" s="342" t="str">
        <f>IFERROR(VLOOKUP(B711,' 02.1 KLH-CN MÃ BRAVO MM'!$B:$C,2,0),"")</f>
        <v/>
      </c>
      <c r="E711" s="342"/>
      <c r="F711" s="342" t="s">
        <v>3047</v>
      </c>
      <c r="G711" s="341" t="s">
        <v>910</v>
      </c>
      <c r="H711" s="342" t="str">
        <f>VLOOKUP(G711,'01. TH'!$B:$E,3,0)</f>
        <v/>
      </c>
      <c r="I711" s="337" t="s">
        <v>2963</v>
      </c>
      <c r="J711" s="351"/>
      <c r="K711" s="342" t="s">
        <v>1253</v>
      </c>
      <c r="L711" s="352"/>
      <c r="M711" s="326" t="s">
        <v>2998</v>
      </c>
      <c r="N711" s="352" t="s">
        <v>911</v>
      </c>
      <c r="O711" s="345" t="s">
        <v>912</v>
      </c>
      <c r="P711" s="342"/>
      <c r="Q711" s="342"/>
      <c r="R711" s="352" t="s">
        <v>792</v>
      </c>
      <c r="S711" s="345" t="s">
        <v>3079</v>
      </c>
      <c r="T711" s="345" t="s">
        <v>96</v>
      </c>
      <c r="U711" s="345">
        <v>2.0</v>
      </c>
      <c r="V711" s="347"/>
      <c r="W711" s="347"/>
      <c r="X711" s="347"/>
      <c r="Y711" s="347"/>
    </row>
    <row r="712" ht="13.5" customHeight="1">
      <c r="A712" s="337">
        <f t="shared" si="22"/>
        <v>38</v>
      </c>
      <c r="B712" s="341" t="s">
        <v>3080</v>
      </c>
      <c r="C712" s="350"/>
      <c r="D712" s="342" t="s">
        <v>3081</v>
      </c>
      <c r="E712" s="342"/>
      <c r="F712" s="342"/>
      <c r="G712" s="341" t="s">
        <v>3082</v>
      </c>
      <c r="H712" s="342" t="str">
        <f>VLOOKUP(G712,'01. TH'!$B:$E,3,0)</f>
        <v/>
      </c>
      <c r="I712" s="337" t="s">
        <v>2963</v>
      </c>
      <c r="J712" s="351">
        <v>45300.0</v>
      </c>
      <c r="K712" s="342" t="s">
        <v>1253</v>
      </c>
      <c r="L712" s="352"/>
      <c r="M712" s="326" t="s">
        <v>2998</v>
      </c>
      <c r="N712" s="342" t="s">
        <v>3083</v>
      </c>
      <c r="O712" s="345" t="s">
        <v>3084</v>
      </c>
      <c r="P712" s="342">
        <v>2024.0</v>
      </c>
      <c r="Q712" s="342" t="s">
        <v>3085</v>
      </c>
      <c r="R712" s="342" t="s">
        <v>3086</v>
      </c>
      <c r="S712" s="345"/>
      <c r="T712" s="345" t="s">
        <v>3087</v>
      </c>
      <c r="U712" s="301">
        <v>0.6</v>
      </c>
      <c r="V712" s="346">
        <v>0.0</v>
      </c>
      <c r="W712" s="346"/>
      <c r="X712" s="346"/>
      <c r="Y712" s="346"/>
    </row>
    <row r="713" ht="13.5" customHeight="1">
      <c r="A713" s="337">
        <f t="shared" si="22"/>
        <v>39</v>
      </c>
      <c r="B713" s="341" t="s">
        <v>3088</v>
      </c>
      <c r="C713" s="350"/>
      <c r="D713" s="342" t="s">
        <v>3089</v>
      </c>
      <c r="E713" s="342"/>
      <c r="F713" s="342"/>
      <c r="G713" s="341" t="s">
        <v>3082</v>
      </c>
      <c r="H713" s="342" t="str">
        <f>VLOOKUP(G713,'01. TH'!$B:$E,3,0)</f>
        <v/>
      </c>
      <c r="I713" s="337" t="s">
        <v>2963</v>
      </c>
      <c r="J713" s="342" t="s">
        <v>3090</v>
      </c>
      <c r="K713" s="342" t="s">
        <v>1253</v>
      </c>
      <c r="L713" s="352"/>
      <c r="M713" s="326" t="s">
        <v>2998</v>
      </c>
      <c r="N713" s="342" t="s">
        <v>3083</v>
      </c>
      <c r="O713" s="345" t="s">
        <v>3084</v>
      </c>
      <c r="P713" s="342">
        <v>2024.0</v>
      </c>
      <c r="Q713" s="342" t="s">
        <v>3091</v>
      </c>
      <c r="R713" s="342" t="s">
        <v>3086</v>
      </c>
      <c r="S713" s="345" t="s">
        <v>96</v>
      </c>
      <c r="T713" s="345" t="s">
        <v>96</v>
      </c>
      <c r="U713" s="301">
        <v>0.6</v>
      </c>
      <c r="V713" s="346">
        <v>0.0</v>
      </c>
      <c r="W713" s="346"/>
      <c r="X713" s="346"/>
      <c r="Y713" s="346"/>
    </row>
    <row r="714">
      <c r="A714" s="337">
        <f t="shared" si="22"/>
        <v>40</v>
      </c>
      <c r="B714" s="350" t="s">
        <v>3092</v>
      </c>
      <c r="C714" s="350" t="s">
        <v>3093</v>
      </c>
      <c r="D714" s="342" t="str">
        <f>IFERROR(VLOOKUP(B714,' 02.1 KLH-CN MÃ BRAVO MM'!$B:$C,2,0),"")</f>
        <v>A23-MKE-022</v>
      </c>
      <c r="E714" s="342"/>
      <c r="F714" s="342" t="s">
        <v>2029</v>
      </c>
      <c r="G714" s="341" t="s">
        <v>788</v>
      </c>
      <c r="H714" s="342" t="str">
        <f>VLOOKUP(G714,'01. TH'!$B:$E,3,0)</f>
        <v>3445 x 1865 x 2535</v>
      </c>
      <c r="I714" s="337" t="s">
        <v>2963</v>
      </c>
      <c r="J714" s="351"/>
      <c r="K714" s="342" t="s">
        <v>1120</v>
      </c>
      <c r="L714" s="352"/>
      <c r="M714" s="326" t="s">
        <v>2998</v>
      </c>
      <c r="N714" s="352" t="s">
        <v>454</v>
      </c>
      <c r="O714" s="345" t="s">
        <v>84</v>
      </c>
      <c r="P714" s="342">
        <v>2013.0</v>
      </c>
      <c r="Q714" s="342" t="s">
        <v>791</v>
      </c>
      <c r="R714" s="352" t="s">
        <v>792</v>
      </c>
      <c r="S714" s="345">
        <v>57125.0</v>
      </c>
      <c r="T714" s="345" t="s">
        <v>96</v>
      </c>
      <c r="U714" s="345">
        <v>3.5</v>
      </c>
      <c r="V714" s="346">
        <v>90.0</v>
      </c>
      <c r="W714" s="346"/>
      <c r="X714" s="346"/>
      <c r="Y714" s="346"/>
    </row>
    <row r="715" ht="13.5" customHeight="1">
      <c r="A715" s="337">
        <f t="shared" si="22"/>
        <v>41</v>
      </c>
      <c r="B715" s="348" t="s">
        <v>3094</v>
      </c>
      <c r="C715" s="348" t="s">
        <v>3095</v>
      </c>
      <c r="D715" s="342" t="str">
        <f>IFERROR(VLOOKUP(B715,' 02.1 KLH-CN MÃ BRAVO MM'!$B:$C,2,0),"")</f>
        <v>ATT-A23-0037</v>
      </c>
      <c r="E715" s="337"/>
      <c r="F715" s="337" t="s">
        <v>3096</v>
      </c>
      <c r="G715" s="338" t="s">
        <v>219</v>
      </c>
      <c r="H715" s="342" t="str">
        <f>VLOOKUP(G715,'01. TH'!$B:$E,3,0)</f>
        <v>5260 x 1760 x 2415</v>
      </c>
      <c r="I715" s="337" t="s">
        <v>2963</v>
      </c>
      <c r="J715" s="353"/>
      <c r="K715" s="337" t="s">
        <v>1120</v>
      </c>
      <c r="L715" s="340"/>
      <c r="M715" s="326" t="s">
        <v>2998</v>
      </c>
      <c r="N715" s="340" t="s">
        <v>123</v>
      </c>
      <c r="O715" s="344" t="s">
        <v>84</v>
      </c>
      <c r="P715" s="337">
        <v>2006.0</v>
      </c>
      <c r="Q715" s="337" t="s">
        <v>1428</v>
      </c>
      <c r="R715" s="340" t="s">
        <v>462</v>
      </c>
      <c r="S715" s="344">
        <v>9873.0</v>
      </c>
      <c r="T715" s="345" t="s">
        <v>96</v>
      </c>
      <c r="U715" s="301">
        <v>4.0</v>
      </c>
      <c r="V715" s="346">
        <v>65.0</v>
      </c>
      <c r="W715" s="346"/>
      <c r="X715" s="346"/>
      <c r="Y715" s="346"/>
    </row>
    <row r="716" ht="13.5" customHeight="1">
      <c r="A716" s="337">
        <f t="shared" si="22"/>
        <v>42</v>
      </c>
      <c r="B716" s="369" t="s">
        <v>3097</v>
      </c>
      <c r="C716" s="369" t="s">
        <v>3098</v>
      </c>
      <c r="D716" s="370" t="str">
        <f>IFERROR(VLOOKUP(B716,' 02.1 KLH-CN MÃ BRAVO MM'!$B:$C,2,0),"")</f>
        <v>A23-XTA-011</v>
      </c>
      <c r="E716" s="371"/>
      <c r="F716" s="372"/>
      <c r="G716" s="373" t="s">
        <v>910</v>
      </c>
      <c r="H716" s="342" t="str">
        <f>VLOOKUP(G716,'01. TH'!$B:$E,3,0)</f>
        <v/>
      </c>
      <c r="I716" s="337" t="s">
        <v>2963</v>
      </c>
      <c r="J716" s="374"/>
      <c r="K716" s="370" t="s">
        <v>1120</v>
      </c>
      <c r="L716" s="375"/>
      <c r="M716" s="326" t="s">
        <v>2998</v>
      </c>
      <c r="N716" s="376" t="s">
        <v>911</v>
      </c>
      <c r="O716" s="377" t="s">
        <v>912</v>
      </c>
      <c r="P716" s="371"/>
      <c r="Q716" s="371"/>
      <c r="R716" s="376" t="s">
        <v>792</v>
      </c>
      <c r="S716" s="377" t="s">
        <v>96</v>
      </c>
      <c r="T716" s="377">
        <v>55581.0</v>
      </c>
      <c r="U716" s="377">
        <v>2.0</v>
      </c>
      <c r="V716" s="378"/>
      <c r="W716" s="378"/>
      <c r="X716" s="378"/>
      <c r="Y716" s="378"/>
    </row>
    <row r="717" ht="13.5" customHeight="1">
      <c r="A717" s="337">
        <f t="shared" si="22"/>
        <v>43</v>
      </c>
      <c r="B717" s="379" t="s">
        <v>3099</v>
      </c>
      <c r="C717" s="379" t="s">
        <v>3100</v>
      </c>
      <c r="D717" s="380" t="str">
        <f>IFERROR(VLOOKUP(B717,' 02.1 KLH-CN MÃ BRAVO MM'!$B:$C,2,0),"")</f>
        <v>A23-XTA-012</v>
      </c>
      <c r="E717" s="381"/>
      <c r="F717" s="382"/>
      <c r="G717" s="383" t="s">
        <v>910</v>
      </c>
      <c r="H717" s="342" t="str">
        <f>VLOOKUP(G717,'01. TH'!$B:$E,3,0)</f>
        <v/>
      </c>
      <c r="I717" s="337" t="s">
        <v>2963</v>
      </c>
      <c r="J717" s="384"/>
      <c r="K717" s="380" t="s">
        <v>1120</v>
      </c>
      <c r="L717" s="385"/>
      <c r="M717" s="326" t="s">
        <v>2998</v>
      </c>
      <c r="N717" s="386" t="s">
        <v>911</v>
      </c>
      <c r="O717" s="387" t="s">
        <v>912</v>
      </c>
      <c r="P717" s="381"/>
      <c r="Q717" s="381"/>
      <c r="R717" s="386" t="s">
        <v>792</v>
      </c>
      <c r="S717" s="381"/>
      <c r="T717" s="387" t="s">
        <v>96</v>
      </c>
      <c r="U717" s="387">
        <v>2.0</v>
      </c>
      <c r="V717" s="388"/>
      <c r="W717" s="388"/>
      <c r="X717" s="388"/>
      <c r="Y717" s="388"/>
    </row>
    <row r="718" ht="13.5" customHeight="1">
      <c r="A718" s="337">
        <f t="shared" si="22"/>
        <v>44</v>
      </c>
      <c r="B718" s="341" t="s">
        <v>3101</v>
      </c>
      <c r="C718" s="350" t="s">
        <v>3102</v>
      </c>
      <c r="D718" s="342" t="str">
        <f>IFERROR(VLOOKUP(B718,' 02.1 KLH-CN MÃ BRAVO MM'!$B:$C,2,0),"")</f>
        <v>A23-XTA-010</v>
      </c>
      <c r="E718" s="342"/>
      <c r="F718" s="342"/>
      <c r="G718" s="341" t="s">
        <v>910</v>
      </c>
      <c r="H718" s="342" t="str">
        <f>VLOOKUP(G718,'01. TH'!$B:$E,3,0)</f>
        <v/>
      </c>
      <c r="I718" s="337" t="s">
        <v>2963</v>
      </c>
      <c r="J718" s="351"/>
      <c r="K718" s="342" t="s">
        <v>1010</v>
      </c>
      <c r="L718" s="352"/>
      <c r="M718" s="326" t="s">
        <v>2998</v>
      </c>
      <c r="N718" s="352" t="s">
        <v>911</v>
      </c>
      <c r="O718" s="345" t="s">
        <v>912</v>
      </c>
      <c r="P718" s="342"/>
      <c r="Q718" s="342"/>
      <c r="R718" s="352" t="s">
        <v>792</v>
      </c>
      <c r="S718" s="345"/>
      <c r="T718" s="345" t="s">
        <v>96</v>
      </c>
      <c r="U718" s="345">
        <v>2.0</v>
      </c>
      <c r="V718" s="347"/>
      <c r="W718" s="347"/>
      <c r="X718" s="347"/>
      <c r="Y718" s="347"/>
    </row>
    <row r="719" ht="13.5" customHeight="1">
      <c r="A719" s="337">
        <f t="shared" si="22"/>
        <v>45</v>
      </c>
      <c r="B719" s="350" t="s">
        <v>3103</v>
      </c>
      <c r="C719" s="350" t="s">
        <v>3104</v>
      </c>
      <c r="D719" s="342" t="str">
        <f>IFERROR(VLOOKUP(B719,' 02.1 KLH-CN MÃ BRAVO MM'!$B:$C,2,0),"")</f>
        <v>ATT-A22-0123</v>
      </c>
      <c r="E719" s="342"/>
      <c r="F719" s="342" t="s">
        <v>3105</v>
      </c>
      <c r="G719" s="341" t="s">
        <v>219</v>
      </c>
      <c r="H719" s="342" t="str">
        <f>VLOOKUP(G719,'01. TH'!$B:$E,3,0)</f>
        <v>5260 x 1760 x 2415</v>
      </c>
      <c r="I719" s="337" t="s">
        <v>2963</v>
      </c>
      <c r="J719" s="351">
        <v>44105.0</v>
      </c>
      <c r="K719" s="342" t="s">
        <v>2964</v>
      </c>
      <c r="L719" s="359">
        <v>0.65</v>
      </c>
      <c r="M719" s="326" t="s">
        <v>3106</v>
      </c>
      <c r="N719" s="352" t="s">
        <v>123</v>
      </c>
      <c r="O719" s="345" t="s">
        <v>84</v>
      </c>
      <c r="P719" s="342">
        <v>2006.0</v>
      </c>
      <c r="Q719" s="342" t="s">
        <v>3107</v>
      </c>
      <c r="R719" s="352"/>
      <c r="S719" s="345" t="s">
        <v>3108</v>
      </c>
      <c r="T719" s="345">
        <v>10189.0</v>
      </c>
      <c r="U719" s="301">
        <v>4.0</v>
      </c>
      <c r="V719" s="346">
        <v>60.0</v>
      </c>
      <c r="W719" s="346"/>
      <c r="X719" s="346"/>
      <c r="Y719" s="346"/>
    </row>
    <row r="720" ht="13.5" customHeight="1">
      <c r="A720" s="337">
        <f t="shared" si="22"/>
        <v>46</v>
      </c>
      <c r="B720" s="341" t="s">
        <v>3109</v>
      </c>
      <c r="C720" s="350" t="s">
        <v>3110</v>
      </c>
      <c r="D720" s="341" t="s">
        <v>3025</v>
      </c>
      <c r="E720" s="342"/>
      <c r="F720" s="342" t="s">
        <v>3025</v>
      </c>
      <c r="G720" s="341" t="s">
        <v>910</v>
      </c>
      <c r="H720" s="342" t="str">
        <f>VLOOKUP(G720,'01. TH'!$B:$E,3,0)</f>
        <v/>
      </c>
      <c r="I720" s="337" t="s">
        <v>2963</v>
      </c>
      <c r="J720" s="351">
        <v>41651.0</v>
      </c>
      <c r="K720" s="342" t="s">
        <v>2964</v>
      </c>
      <c r="L720" s="352"/>
      <c r="M720" s="326" t="s">
        <v>3106</v>
      </c>
      <c r="N720" s="352" t="s">
        <v>911</v>
      </c>
      <c r="O720" s="345" t="s">
        <v>912</v>
      </c>
      <c r="P720" s="342"/>
      <c r="Q720" s="342"/>
      <c r="R720" s="352" t="s">
        <v>792</v>
      </c>
      <c r="S720" s="345">
        <v>55065.0</v>
      </c>
      <c r="T720" s="345" t="s">
        <v>96</v>
      </c>
      <c r="U720" s="345">
        <v>2.0</v>
      </c>
      <c r="V720" s="347"/>
      <c r="W720" s="347"/>
      <c r="X720" s="347"/>
      <c r="Y720" s="347"/>
    </row>
    <row r="721" ht="13.5" customHeight="1">
      <c r="A721" s="337">
        <f t="shared" si="22"/>
        <v>47</v>
      </c>
      <c r="B721" s="341" t="s">
        <v>3111</v>
      </c>
      <c r="C721" s="341" t="s">
        <v>3112</v>
      </c>
      <c r="D721" s="342" t="str">
        <f>IFERROR(VLOOKUP(B721,' 02.1 KLH-CN MÃ BRAVO MM'!$B:$C,2,0),"")</f>
        <v>ATT-A22-0242</v>
      </c>
      <c r="E721" s="342"/>
      <c r="F721" s="342" t="s">
        <v>3075</v>
      </c>
      <c r="G721" s="341" t="s">
        <v>946</v>
      </c>
      <c r="H721" s="342" t="str">
        <f>VLOOKUP(G721,'01. TH'!$B:$E,3,0)</f>
        <v/>
      </c>
      <c r="I721" s="337" t="s">
        <v>2963</v>
      </c>
      <c r="J721" s="351">
        <v>43112.0</v>
      </c>
      <c r="K721" s="342" t="s">
        <v>2964</v>
      </c>
      <c r="L721" s="359"/>
      <c r="M721" s="326" t="s">
        <v>3106</v>
      </c>
      <c r="N721" s="342" t="s">
        <v>1561</v>
      </c>
      <c r="O721" s="345" t="s">
        <v>912</v>
      </c>
      <c r="P721" s="342"/>
      <c r="Q721" s="342"/>
      <c r="R721" s="342" t="s">
        <v>950</v>
      </c>
      <c r="S721" s="345" t="s">
        <v>3022</v>
      </c>
      <c r="T721" s="345" t="s">
        <v>3113</v>
      </c>
      <c r="U721" s="345">
        <v>0.5</v>
      </c>
      <c r="V721" s="347"/>
      <c r="W721" s="347"/>
      <c r="X721" s="347"/>
      <c r="Y721" s="347"/>
    </row>
    <row r="722" ht="13.5" customHeight="1">
      <c r="A722" s="337">
        <f t="shared" si="22"/>
        <v>48</v>
      </c>
      <c r="B722" s="350" t="s">
        <v>3114</v>
      </c>
      <c r="C722" s="350"/>
      <c r="D722" s="342" t="str">
        <f>IFERROR(VLOOKUP(B722,' 02.1 KLH-CN MÃ BRAVO MM'!$B:$C,2,0),"")</f>
        <v>A24-XB0-001</v>
      </c>
      <c r="E722" s="342"/>
      <c r="F722" s="342"/>
      <c r="G722" s="341" t="s">
        <v>3115</v>
      </c>
      <c r="H722" s="342" t="str">
        <f>VLOOKUP(G722,'01. TH'!$B:$E,3,0)</f>
        <v>#N/A</v>
      </c>
      <c r="I722" s="337" t="s">
        <v>2963</v>
      </c>
      <c r="J722" s="351"/>
      <c r="K722" s="342" t="s">
        <v>55</v>
      </c>
      <c r="L722" s="359">
        <v>0.05</v>
      </c>
      <c r="M722" s="326" t="s">
        <v>3106</v>
      </c>
      <c r="N722" s="352" t="s">
        <v>1032</v>
      </c>
      <c r="O722" s="345" t="s">
        <v>103</v>
      </c>
      <c r="P722" s="342">
        <v>2005.0</v>
      </c>
      <c r="Q722" s="342" t="s">
        <v>3116</v>
      </c>
      <c r="R722" s="352" t="s">
        <v>571</v>
      </c>
      <c r="S722" s="345" t="s">
        <v>3117</v>
      </c>
      <c r="T722" s="345" t="s">
        <v>96</v>
      </c>
      <c r="U722" s="345" t="s">
        <v>3118</v>
      </c>
      <c r="V722" s="346">
        <v>0.0</v>
      </c>
      <c r="W722" s="346"/>
      <c r="X722" s="346"/>
      <c r="Y722" s="346"/>
    </row>
    <row r="723" ht="13.5" customHeight="1" outlineLevel="1">
      <c r="A723" s="389">
        <v>4.0</v>
      </c>
      <c r="B723" s="390" t="s">
        <v>3119</v>
      </c>
      <c r="C723" s="390" t="s">
        <v>3120</v>
      </c>
      <c r="D723" s="389" t="str">
        <f>IFERROR(VLOOKUP(B723,' 02.1 KLH-CN MÃ BRAVO MM'!$B:$C,2,0),"")</f>
        <v>A22-MKE-027</v>
      </c>
      <c r="E723" s="389"/>
      <c r="F723" s="389"/>
      <c r="G723" s="391" t="s">
        <v>788</v>
      </c>
      <c r="H723" s="389" t="str">
        <f>VLOOKUP(G723,'01. TH'!$B:$E,3,0)</f>
        <v>3445 x 1865 x 2535</v>
      </c>
      <c r="I723" s="337" t="s">
        <v>2963</v>
      </c>
      <c r="J723" s="392"/>
      <c r="K723" s="342" t="s">
        <v>1565</v>
      </c>
      <c r="L723" s="393"/>
      <c r="M723" s="394"/>
      <c r="N723" s="393" t="s">
        <v>454</v>
      </c>
      <c r="O723" s="395" t="s">
        <v>84</v>
      </c>
      <c r="P723" s="389">
        <v>2013.0</v>
      </c>
      <c r="Q723" s="389" t="s">
        <v>791</v>
      </c>
      <c r="R723" s="393" t="s">
        <v>3121</v>
      </c>
      <c r="S723" s="395" t="s">
        <v>3122</v>
      </c>
      <c r="T723" s="395" t="s">
        <v>96</v>
      </c>
      <c r="U723" s="395">
        <v>3.5</v>
      </c>
      <c r="V723" s="396">
        <v>90.0</v>
      </c>
      <c r="W723" s="396"/>
      <c r="X723" s="396"/>
      <c r="Y723" s="396"/>
    </row>
    <row r="724" ht="13.5" customHeight="1" outlineLevel="1">
      <c r="A724" s="389">
        <v>5.0</v>
      </c>
      <c r="B724" s="390" t="s">
        <v>3123</v>
      </c>
      <c r="C724" s="390" t="s">
        <v>3124</v>
      </c>
      <c r="D724" s="389" t="str">
        <f>IFERROR(VLOOKUP(B724,' 02.1 KLH-CN MÃ BRAVO MM'!$B:$C,2,0),"")</f>
        <v>A22-MKE-025</v>
      </c>
      <c r="E724" s="389"/>
      <c r="F724" s="389"/>
      <c r="G724" s="391" t="s">
        <v>857</v>
      </c>
      <c r="H724" s="389" t="str">
        <f>VLOOKUP(G724,'01. TH'!$B:$E,3,0)</f>
        <v>3226 x 1570 x 1545</v>
      </c>
      <c r="I724" s="337" t="s">
        <v>2963</v>
      </c>
      <c r="J724" s="392"/>
      <c r="K724" s="342" t="s">
        <v>1565</v>
      </c>
      <c r="L724" s="393"/>
      <c r="M724" s="394"/>
      <c r="N724" s="393" t="s">
        <v>743</v>
      </c>
      <c r="O724" s="395" t="s">
        <v>148</v>
      </c>
      <c r="P724" s="389">
        <v>2018.0</v>
      </c>
      <c r="Q724" s="389" t="s">
        <v>860</v>
      </c>
      <c r="R724" s="393" t="s">
        <v>861</v>
      </c>
      <c r="S724" s="395" t="s">
        <v>3125</v>
      </c>
      <c r="T724" s="395" t="s">
        <v>96</v>
      </c>
      <c r="U724" s="395">
        <v>2.5</v>
      </c>
      <c r="V724" s="396">
        <v>0.0</v>
      </c>
      <c r="W724" s="396"/>
      <c r="X724" s="396"/>
      <c r="Y724" s="396"/>
    </row>
    <row r="725" ht="13.5" customHeight="1" outlineLevel="1">
      <c r="A725" s="389">
        <v>6.0</v>
      </c>
      <c r="B725" s="390" t="s">
        <v>3126</v>
      </c>
      <c r="C725" s="390" t="s">
        <v>3127</v>
      </c>
      <c r="D725" s="389" t="str">
        <f>IFERROR(VLOOKUP(B725,' 02.1 KLH-CN MÃ BRAVO MM'!$B:$C,2,0),"")</f>
        <v>A22-MKE-023</v>
      </c>
      <c r="E725" s="389"/>
      <c r="F725" s="389"/>
      <c r="G725" s="391" t="s">
        <v>857</v>
      </c>
      <c r="H725" s="389" t="str">
        <f>VLOOKUP(G725,'01. TH'!$B:$E,3,0)</f>
        <v>3226 x 1570 x 1545</v>
      </c>
      <c r="I725" s="337" t="s">
        <v>2963</v>
      </c>
      <c r="J725" s="392"/>
      <c r="K725" s="342" t="s">
        <v>1565</v>
      </c>
      <c r="L725" s="393"/>
      <c r="M725" s="394"/>
      <c r="N725" s="393" t="s">
        <v>743</v>
      </c>
      <c r="O725" s="395" t="s">
        <v>148</v>
      </c>
      <c r="P725" s="389">
        <v>2018.0</v>
      </c>
      <c r="Q725" s="389" t="s">
        <v>860</v>
      </c>
      <c r="R725" s="393" t="s">
        <v>861</v>
      </c>
      <c r="S725" s="395" t="s">
        <v>3128</v>
      </c>
      <c r="T725" s="395" t="s">
        <v>96</v>
      </c>
      <c r="U725" s="395">
        <v>2.5</v>
      </c>
      <c r="V725" s="396">
        <v>0.0</v>
      </c>
      <c r="W725" s="396"/>
      <c r="X725" s="396"/>
      <c r="Y725" s="396"/>
    </row>
    <row r="726" ht="13.5" customHeight="1" outlineLevel="1">
      <c r="A726" s="80">
        <f>A182+1</f>
        <v>22</v>
      </c>
      <c r="B726" s="186" t="s">
        <v>3129</v>
      </c>
      <c r="C726" s="161"/>
      <c r="D726" s="137" t="s">
        <v>3130</v>
      </c>
      <c r="E726" s="187"/>
      <c r="F726" s="187"/>
      <c r="G726" s="86" t="s">
        <v>3082</v>
      </c>
      <c r="H726" s="80" t="str">
        <f>VLOOKUP(G726,'01. TH'!$B:$E,3,0)</f>
        <v/>
      </c>
      <c r="I726" s="80" t="s">
        <v>858</v>
      </c>
      <c r="J726" s="137" t="s">
        <v>3090</v>
      </c>
      <c r="K726" s="80" t="str">
        <f>IF(COUNTIF('TT BTSC'!$D:$D,B726)&gt;0,"Hư hỏng","Bình thường")</f>
        <v>Bình thường</v>
      </c>
      <c r="L726" s="187"/>
      <c r="M726" s="141" t="s">
        <v>890</v>
      </c>
      <c r="N726" s="137" t="s">
        <v>3083</v>
      </c>
      <c r="O726" s="186" t="s">
        <v>3084</v>
      </c>
      <c r="P726" s="137">
        <v>2024.0</v>
      </c>
      <c r="Q726" s="137" t="s">
        <v>3091</v>
      </c>
      <c r="R726" s="137" t="s">
        <v>3086</v>
      </c>
      <c r="S726" s="186" t="s">
        <v>96</v>
      </c>
      <c r="T726" s="186" t="s">
        <v>96</v>
      </c>
      <c r="U726" s="186">
        <v>0.6</v>
      </c>
      <c r="V726" s="112">
        <v>0.0</v>
      </c>
      <c r="W726" s="112"/>
      <c r="X726" s="112"/>
      <c r="Y726" s="112"/>
    </row>
    <row r="727" ht="15.0" customHeight="1" outlineLevel="1">
      <c r="A727" s="80">
        <f>A726+1</f>
        <v>23</v>
      </c>
      <c r="B727" s="186" t="s">
        <v>3131</v>
      </c>
      <c r="C727" s="161"/>
      <c r="D727" s="137" t="s">
        <v>3132</v>
      </c>
      <c r="E727" s="187"/>
      <c r="F727" s="187"/>
      <c r="G727" s="86" t="s">
        <v>3082</v>
      </c>
      <c r="H727" s="80" t="str">
        <f>VLOOKUP(G727,'01. TH'!$B:$E,3,0)</f>
        <v/>
      </c>
      <c r="I727" s="80" t="s">
        <v>858</v>
      </c>
      <c r="J727" s="137" t="s">
        <v>3090</v>
      </c>
      <c r="K727" s="80" t="str">
        <f>IF(COUNTIF('TT BTSC'!$D:$D,B727)&gt;0,"Hư hỏng","Bình thường")</f>
        <v>Bình thường</v>
      </c>
      <c r="L727" s="187"/>
      <c r="M727" s="141" t="s">
        <v>890</v>
      </c>
      <c r="N727" s="137" t="s">
        <v>3083</v>
      </c>
      <c r="O727" s="186" t="s">
        <v>3084</v>
      </c>
      <c r="P727" s="137">
        <v>2024.0</v>
      </c>
      <c r="Q727" s="137" t="s">
        <v>3091</v>
      </c>
      <c r="R727" s="137" t="s">
        <v>3086</v>
      </c>
      <c r="S727" s="186" t="s">
        <v>96</v>
      </c>
      <c r="T727" s="186" t="s">
        <v>96</v>
      </c>
      <c r="U727" s="186">
        <v>0.6</v>
      </c>
      <c r="V727" s="112">
        <v>0.0</v>
      </c>
      <c r="W727" s="112"/>
      <c r="X727" s="112"/>
      <c r="Y727" s="112"/>
    </row>
    <row r="728" ht="12.75" customHeight="1" outlineLevel="1">
      <c r="A728" s="80">
        <f>A209+1</f>
        <v>20</v>
      </c>
      <c r="B728" s="161" t="s">
        <v>3133</v>
      </c>
      <c r="C728" s="161"/>
      <c r="D728" s="95" t="s">
        <v>3134</v>
      </c>
      <c r="E728" s="9"/>
      <c r="F728" s="9"/>
      <c r="G728" s="86" t="s">
        <v>3082</v>
      </c>
      <c r="H728" s="80" t="str">
        <f>VLOOKUP(G728,'01. TH'!$B:$E,3,0)</f>
        <v/>
      </c>
      <c r="I728" s="137" t="s">
        <v>1010</v>
      </c>
      <c r="J728" s="137" t="s">
        <v>3090</v>
      </c>
      <c r="K728" s="80" t="str">
        <f>IF(COUNTIF('TT BTSC'!$D:$D,B728)&gt;0,"Hư hỏng","Bình thường")</f>
        <v>Bình thường</v>
      </c>
      <c r="L728" s="6"/>
      <c r="M728" s="141" t="s">
        <v>890</v>
      </c>
      <c r="N728" s="137" t="s">
        <v>3083</v>
      </c>
      <c r="O728" s="186" t="s">
        <v>3084</v>
      </c>
      <c r="P728" s="137">
        <v>2024.0</v>
      </c>
      <c r="Q728" s="137" t="s">
        <v>3091</v>
      </c>
      <c r="R728" s="137" t="s">
        <v>3086</v>
      </c>
      <c r="S728" s="186" t="s">
        <v>96</v>
      </c>
      <c r="T728" s="140" t="s">
        <v>96</v>
      </c>
      <c r="U728" s="186">
        <v>0.6</v>
      </c>
      <c r="V728" s="112">
        <v>0.0</v>
      </c>
      <c r="W728" s="112"/>
      <c r="X728" s="112"/>
      <c r="Y728" s="112"/>
    </row>
    <row r="729" ht="12.75" customHeight="1" outlineLevel="1">
      <c r="A729" s="80">
        <f>A728+1</f>
        <v>21</v>
      </c>
      <c r="B729" s="161" t="s">
        <v>3135</v>
      </c>
      <c r="C729" s="161"/>
      <c r="D729" s="95" t="s">
        <v>3136</v>
      </c>
      <c r="E729" s="9"/>
      <c r="F729" s="9"/>
      <c r="G729" s="86" t="s">
        <v>3082</v>
      </c>
      <c r="H729" s="80" t="str">
        <f>VLOOKUP(G729,'01. TH'!$B:$E,3,0)</f>
        <v/>
      </c>
      <c r="I729" s="137" t="s">
        <v>1010</v>
      </c>
      <c r="J729" s="137" t="s">
        <v>3090</v>
      </c>
      <c r="K729" s="80" t="str">
        <f>IF(COUNTIF('TT BTSC'!$D:$D,B729)&gt;0,"Hư hỏng","Bình thường")</f>
        <v>Bình thường</v>
      </c>
      <c r="L729" s="6"/>
      <c r="M729" s="141" t="s">
        <v>890</v>
      </c>
      <c r="N729" s="137" t="s">
        <v>3083</v>
      </c>
      <c r="O729" s="186" t="s">
        <v>3084</v>
      </c>
      <c r="P729" s="137">
        <v>2024.0</v>
      </c>
      <c r="Q729" s="137" t="s">
        <v>3091</v>
      </c>
      <c r="R729" s="137" t="s">
        <v>3086</v>
      </c>
      <c r="S729" s="186" t="s">
        <v>96</v>
      </c>
      <c r="T729" s="140" t="s">
        <v>96</v>
      </c>
      <c r="U729" s="186">
        <v>0.6</v>
      </c>
      <c r="V729" s="112">
        <v>0.0</v>
      </c>
      <c r="W729" s="112"/>
      <c r="X729" s="112"/>
      <c r="Y729" s="112"/>
    </row>
    <row r="730" ht="13.5" customHeight="1" outlineLevel="1">
      <c r="A730" s="80">
        <f>1+A241</f>
        <v>24</v>
      </c>
      <c r="B730" s="86" t="s">
        <v>3137</v>
      </c>
      <c r="C730" s="86"/>
      <c r="D730" s="95" t="s">
        <v>3138</v>
      </c>
      <c r="E730" s="95"/>
      <c r="F730" s="95"/>
      <c r="G730" s="86" t="s">
        <v>3082</v>
      </c>
      <c r="H730" s="80" t="str">
        <f>VLOOKUP(G730,'01. TH'!$B:$E,3,0)</f>
        <v/>
      </c>
      <c r="I730" s="80" t="s">
        <v>1120</v>
      </c>
      <c r="J730" s="137" t="s">
        <v>3090</v>
      </c>
      <c r="K730" s="80" t="str">
        <f>IF(COUNTIF('TT BTSC'!$D:$D,B730)&gt;0,"Hư hỏng","Bình thường")</f>
        <v>Bình thường</v>
      </c>
      <c r="L730" s="102"/>
      <c r="M730" s="141" t="s">
        <v>890</v>
      </c>
      <c r="N730" s="80" t="s">
        <v>3083</v>
      </c>
      <c r="O730" s="108" t="s">
        <v>3084</v>
      </c>
      <c r="P730" s="80">
        <v>2024.0</v>
      </c>
      <c r="Q730" s="80" t="s">
        <v>3091</v>
      </c>
      <c r="R730" s="80" t="s">
        <v>3086</v>
      </c>
      <c r="S730" s="108" t="s">
        <v>96</v>
      </c>
      <c r="T730" s="110" t="s">
        <v>96</v>
      </c>
      <c r="U730" s="186">
        <v>0.6</v>
      </c>
      <c r="V730" s="112">
        <v>0.0</v>
      </c>
      <c r="W730" s="112"/>
      <c r="X730" s="112"/>
      <c r="Y730" s="112"/>
    </row>
    <row r="731" ht="13.5" customHeight="1" outlineLevel="1">
      <c r="A731" s="80">
        <f>1+A730</f>
        <v>25</v>
      </c>
      <c r="B731" s="86" t="s">
        <v>3139</v>
      </c>
      <c r="C731" s="86"/>
      <c r="D731" s="95" t="s">
        <v>3140</v>
      </c>
      <c r="E731" s="95"/>
      <c r="F731" s="95"/>
      <c r="G731" s="86" t="s">
        <v>3082</v>
      </c>
      <c r="H731" s="80" t="str">
        <f>VLOOKUP(G731,'01. TH'!$B:$E,3,0)</f>
        <v/>
      </c>
      <c r="I731" s="80" t="s">
        <v>1120</v>
      </c>
      <c r="J731" s="137" t="s">
        <v>3090</v>
      </c>
      <c r="K731" s="80" t="str">
        <f>IF(COUNTIF('TT BTSC'!$D:$D,B731)&gt;0,"Hư hỏng","Bình thường")</f>
        <v>Bình thường</v>
      </c>
      <c r="L731" s="102"/>
      <c r="M731" s="141" t="s">
        <v>890</v>
      </c>
      <c r="N731" s="80" t="s">
        <v>3083</v>
      </c>
      <c r="O731" s="108" t="s">
        <v>3084</v>
      </c>
      <c r="P731" s="80">
        <v>2024.0</v>
      </c>
      <c r="Q731" s="80" t="s">
        <v>3091</v>
      </c>
      <c r="R731" s="80" t="s">
        <v>3086</v>
      </c>
      <c r="S731" s="108" t="s">
        <v>96</v>
      </c>
      <c r="T731" s="110" t="s">
        <v>96</v>
      </c>
      <c r="U731" s="186">
        <v>0.6</v>
      </c>
      <c r="V731" s="112">
        <v>0.0</v>
      </c>
      <c r="W731" s="112"/>
      <c r="X731" s="112"/>
      <c r="Y731" s="112"/>
    </row>
    <row r="732" ht="13.5" customHeight="1" outlineLevel="1">
      <c r="A732" s="80">
        <f>A314+1</f>
        <v>33</v>
      </c>
      <c r="B732" s="161" t="s">
        <v>3141</v>
      </c>
      <c r="C732" s="161"/>
      <c r="D732" s="95" t="s">
        <v>3142</v>
      </c>
      <c r="E732" s="9"/>
      <c r="F732" s="9"/>
      <c r="G732" s="161" t="s">
        <v>3082</v>
      </c>
      <c r="H732" s="80" t="str">
        <f>VLOOKUP(G732,'01. TH'!$B:$E,3,0)</f>
        <v/>
      </c>
      <c r="I732" s="137" t="s">
        <v>1389</v>
      </c>
      <c r="J732" s="137" t="s">
        <v>3090</v>
      </c>
      <c r="K732" s="80" t="str">
        <f>IF(COUNTIF('TT BTSC'!$D:$D,B732)&gt;0,"Hư hỏng","Bình thường")</f>
        <v>Bình thường</v>
      </c>
      <c r="L732" s="213"/>
      <c r="M732" s="104" t="s">
        <v>890</v>
      </c>
      <c r="N732" s="137" t="s">
        <v>3083</v>
      </c>
      <c r="O732" s="186" t="s">
        <v>3084</v>
      </c>
      <c r="P732" s="137">
        <v>2024.0</v>
      </c>
      <c r="Q732" s="137" t="s">
        <v>3091</v>
      </c>
      <c r="R732" s="137" t="s">
        <v>3086</v>
      </c>
      <c r="S732" s="186" t="s">
        <v>96</v>
      </c>
      <c r="T732" s="140" t="s">
        <v>96</v>
      </c>
      <c r="U732" s="186">
        <v>0.6</v>
      </c>
      <c r="V732" s="112">
        <v>0.0</v>
      </c>
      <c r="W732" s="112"/>
      <c r="X732" s="112"/>
      <c r="Y732" s="112"/>
    </row>
    <row r="733" ht="13.5" customHeight="1" outlineLevel="1">
      <c r="A733" s="80">
        <f>A732+1</f>
        <v>34</v>
      </c>
      <c r="B733" s="161" t="s">
        <v>3144</v>
      </c>
      <c r="C733" s="161"/>
      <c r="D733" s="95" t="s">
        <v>3145</v>
      </c>
      <c r="E733" s="9"/>
      <c r="F733" s="9"/>
      <c r="G733" s="161" t="s">
        <v>3082</v>
      </c>
      <c r="H733" s="80" t="str">
        <f>VLOOKUP(G733,'01. TH'!$B:$E,3,0)</f>
        <v/>
      </c>
      <c r="I733" s="137" t="s">
        <v>1389</v>
      </c>
      <c r="J733" s="137" t="s">
        <v>3090</v>
      </c>
      <c r="K733" s="80" t="str">
        <f>IF(COUNTIF('TT BTSC'!$D:$D,B733)&gt;0,"Hư hỏng","Bình thường")</f>
        <v>Bình thường</v>
      </c>
      <c r="L733" s="213"/>
      <c r="M733" s="104" t="s">
        <v>890</v>
      </c>
      <c r="N733" s="137" t="s">
        <v>3083</v>
      </c>
      <c r="O733" s="186" t="s">
        <v>3084</v>
      </c>
      <c r="P733" s="137">
        <v>2024.0</v>
      </c>
      <c r="Q733" s="137" t="s">
        <v>3091</v>
      </c>
      <c r="R733" s="137" t="s">
        <v>3086</v>
      </c>
      <c r="S733" s="186" t="s">
        <v>96</v>
      </c>
      <c r="T733" s="140" t="s">
        <v>96</v>
      </c>
      <c r="U733" s="186">
        <v>0.6</v>
      </c>
      <c r="V733" s="112">
        <v>0.0</v>
      </c>
      <c r="W733" s="112"/>
      <c r="X733" s="112"/>
      <c r="Y733" s="112"/>
    </row>
    <row r="734">
      <c r="A734" s="337"/>
      <c r="B734" s="348"/>
      <c r="C734" s="348"/>
      <c r="D734" s="337"/>
      <c r="E734" s="337"/>
      <c r="F734" s="337"/>
      <c r="G734" s="338"/>
      <c r="H734" s="342"/>
      <c r="I734" s="337"/>
      <c r="J734" s="353"/>
      <c r="K734" s="337"/>
      <c r="L734" s="354"/>
      <c r="M734" s="326"/>
      <c r="N734" s="340"/>
      <c r="O734" s="344"/>
      <c r="P734" s="337"/>
      <c r="Q734" s="337"/>
      <c r="R734" s="340"/>
      <c r="S734" s="344"/>
      <c r="T734" s="344"/>
      <c r="U734" s="344"/>
      <c r="V734" s="347"/>
      <c r="W734" s="347"/>
      <c r="X734" s="347"/>
      <c r="Y734" s="347"/>
    </row>
    <row r="735">
      <c r="A735" s="337"/>
      <c r="B735" s="348"/>
      <c r="C735" s="348"/>
      <c r="D735" s="337"/>
      <c r="E735" s="337"/>
      <c r="F735" s="337"/>
      <c r="G735" s="338"/>
      <c r="H735" s="342"/>
      <c r="I735" s="337"/>
      <c r="J735" s="353"/>
      <c r="K735" s="337"/>
      <c r="L735" s="354"/>
      <c r="M735" s="326"/>
      <c r="N735" s="340"/>
      <c r="O735" s="344"/>
      <c r="P735" s="337"/>
      <c r="Q735" s="337"/>
      <c r="R735" s="340"/>
      <c r="S735" s="344"/>
      <c r="T735" s="344"/>
      <c r="U735" s="344"/>
      <c r="V735" s="347"/>
      <c r="W735" s="347"/>
      <c r="X735" s="347"/>
      <c r="Y735" s="347"/>
    </row>
    <row r="736">
      <c r="A736" s="337"/>
      <c r="B736" s="348"/>
      <c r="C736" s="348"/>
      <c r="D736" s="337"/>
      <c r="E736" s="337"/>
      <c r="F736" s="337"/>
      <c r="G736" s="338"/>
      <c r="H736" s="342"/>
      <c r="I736" s="337"/>
      <c r="J736" s="353"/>
      <c r="K736" s="337"/>
      <c r="L736" s="354"/>
      <c r="M736" s="326"/>
      <c r="N736" s="340"/>
      <c r="O736" s="344"/>
      <c r="P736" s="337"/>
      <c r="Q736" s="337"/>
      <c r="R736" s="340"/>
      <c r="S736" s="344"/>
      <c r="T736" s="344"/>
      <c r="U736" s="344"/>
      <c r="V736" s="347"/>
      <c r="W736" s="347"/>
      <c r="X736" s="347"/>
      <c r="Y736" s="347"/>
    </row>
    <row r="737">
      <c r="A737" s="337"/>
      <c r="B737" s="348"/>
      <c r="C737" s="348"/>
      <c r="D737" s="337"/>
      <c r="E737" s="337"/>
      <c r="F737" s="337"/>
      <c r="G737" s="338"/>
      <c r="H737" s="342"/>
      <c r="I737" s="337"/>
      <c r="J737" s="353"/>
      <c r="K737" s="337"/>
      <c r="L737" s="354"/>
      <c r="M737" s="326"/>
      <c r="N737" s="340"/>
      <c r="O737" s="344"/>
      <c r="P737" s="337"/>
      <c r="Q737" s="337"/>
      <c r="R737" s="340"/>
      <c r="S737" s="344"/>
      <c r="T737" s="344"/>
      <c r="U737" s="344"/>
      <c r="V737" s="347"/>
      <c r="W737" s="347"/>
      <c r="X737" s="347"/>
      <c r="Y737" s="347"/>
    </row>
    <row r="738">
      <c r="A738" s="337"/>
      <c r="B738" s="348"/>
      <c r="C738" s="348"/>
      <c r="D738" s="337"/>
      <c r="E738" s="337"/>
      <c r="F738" s="337"/>
      <c r="G738" s="338"/>
      <c r="H738" s="342" t="str">
        <f>VLOOKUP(G738,'01. TH'!$B:$E,3,0)</f>
        <v>#N/A</v>
      </c>
      <c r="I738" s="337"/>
      <c r="J738" s="353"/>
      <c r="K738" s="337"/>
      <c r="L738" s="354"/>
      <c r="M738" s="326"/>
      <c r="N738" s="340"/>
      <c r="O738" s="344"/>
      <c r="P738" s="337"/>
      <c r="Q738" s="337"/>
      <c r="R738" s="340"/>
      <c r="S738" s="344"/>
      <c r="T738" s="344"/>
      <c r="U738" s="344"/>
      <c r="V738" s="347"/>
      <c r="W738" s="347"/>
      <c r="X738" s="347"/>
      <c r="Y738" s="347"/>
    </row>
    <row r="739" ht="13.5" customHeight="1">
      <c r="A739" s="337"/>
      <c r="B739" s="348"/>
      <c r="C739" s="348"/>
      <c r="D739" s="337"/>
      <c r="E739" s="337"/>
      <c r="F739" s="337"/>
      <c r="G739" s="338"/>
      <c r="H739" s="342" t="str">
        <f>VLOOKUP(G739,'01. TH'!$B:$E,3,0)</f>
        <v>#N/A</v>
      </c>
      <c r="I739" s="337"/>
      <c r="J739" s="353"/>
      <c r="K739" s="337"/>
      <c r="L739" s="354"/>
      <c r="M739" s="326"/>
      <c r="N739" s="340"/>
      <c r="O739" s="344"/>
      <c r="P739" s="337"/>
      <c r="Q739" s="337"/>
      <c r="R739" s="340"/>
      <c r="S739" s="344"/>
      <c r="T739" s="344"/>
      <c r="U739" s="344"/>
      <c r="V739" s="347"/>
      <c r="W739" s="347"/>
      <c r="X739" s="347"/>
      <c r="Y739" s="347"/>
    </row>
    <row r="740" ht="13.5" customHeight="1">
      <c r="A740" s="397" t="s">
        <v>76</v>
      </c>
      <c r="B740" s="398" t="s">
        <v>3147</v>
      </c>
      <c r="C740" s="399">
        <f>COUNTA(B741:B748)</f>
        <v>8</v>
      </c>
      <c r="D740" s="399"/>
      <c r="E740" s="399"/>
      <c r="F740" s="399"/>
      <c r="G740" s="397" t="s">
        <v>3148</v>
      </c>
      <c r="H740" s="399"/>
      <c r="I740" s="399"/>
      <c r="J740" s="400"/>
      <c r="K740" s="399"/>
      <c r="L740" s="399"/>
      <c r="M740" s="401"/>
      <c r="N740" s="399"/>
      <c r="O740" s="401"/>
      <c r="P740" s="399"/>
      <c r="Q740" s="399"/>
      <c r="R740" s="399"/>
      <c r="S740" s="401"/>
      <c r="T740" s="401"/>
      <c r="U740" s="401"/>
      <c r="V740" s="307"/>
      <c r="W740" s="307"/>
      <c r="X740" s="307"/>
      <c r="Y740" s="307"/>
    </row>
    <row r="741" ht="27.75" customHeight="1">
      <c r="A741" s="402">
        <v>1.0</v>
      </c>
      <c r="B741" s="403" t="s">
        <v>3149</v>
      </c>
      <c r="C741" s="403" t="s">
        <v>154</v>
      </c>
      <c r="D741" s="404" t="s">
        <v>3150</v>
      </c>
      <c r="E741" s="404"/>
      <c r="F741" s="404"/>
      <c r="G741" s="403" t="s">
        <v>282</v>
      </c>
      <c r="H741" s="402" t="str">
        <f>VLOOKUP(G741,'01. TH'!$B:$E,3,0)</f>
        <v>8700 x 2800 x 3010</v>
      </c>
      <c r="I741" s="402" t="s">
        <v>3151</v>
      </c>
      <c r="J741" s="405">
        <v>45963.0</v>
      </c>
      <c r="K741" s="406"/>
      <c r="L741" s="407"/>
      <c r="M741" s="408" t="s">
        <v>3152</v>
      </c>
      <c r="N741" s="404" t="s">
        <v>123</v>
      </c>
      <c r="O741" s="409" t="s">
        <v>222</v>
      </c>
      <c r="P741" s="404">
        <v>2004.0</v>
      </c>
      <c r="Q741" s="404" t="s">
        <v>3153</v>
      </c>
      <c r="R741" s="404" t="s">
        <v>209</v>
      </c>
      <c r="S741" s="409" t="s">
        <v>3154</v>
      </c>
      <c r="T741" s="409" t="s">
        <v>3155</v>
      </c>
      <c r="U741" s="409">
        <v>14.0</v>
      </c>
      <c r="V741" s="410">
        <v>340.0</v>
      </c>
      <c r="W741" s="410"/>
      <c r="X741" s="410"/>
      <c r="Y741" s="410"/>
    </row>
    <row r="742" ht="13.5" customHeight="1">
      <c r="A742" s="402">
        <v>2.0</v>
      </c>
      <c r="B742" s="411" t="s">
        <v>3156</v>
      </c>
      <c r="C742" s="412" t="s">
        <v>3157</v>
      </c>
      <c r="D742" s="402" t="str">
        <f>IFERROR(VLOOKUP(B742,' 02.1 KLH-CN MÃ BRAVO MM'!$B:$C,2,0),"")</f>
        <v>A23-MKE-004</v>
      </c>
      <c r="E742" s="402"/>
      <c r="F742" s="402" t="s">
        <v>2029</v>
      </c>
      <c r="G742" s="412" t="s">
        <v>844</v>
      </c>
      <c r="H742" s="402" t="str">
        <f>VLOOKUP(G742,'01. TH'!$B:$E,3,0)</f>
        <v>3760 x 1900 x 2570</v>
      </c>
      <c r="I742" s="402" t="s">
        <v>3151</v>
      </c>
      <c r="J742" s="413"/>
      <c r="K742" s="402"/>
      <c r="L742" s="414"/>
      <c r="M742" s="415" t="s">
        <v>3158</v>
      </c>
      <c r="N742" s="414" t="s">
        <v>454</v>
      </c>
      <c r="O742" s="416" t="s">
        <v>84</v>
      </c>
      <c r="P742" s="402">
        <v>2011.0</v>
      </c>
      <c r="Q742" s="402">
        <v>9540.0</v>
      </c>
      <c r="R742" s="414" t="s">
        <v>845</v>
      </c>
      <c r="S742" s="416">
        <v>77433.0</v>
      </c>
      <c r="T742" s="416" t="s">
        <v>96</v>
      </c>
      <c r="U742" s="416">
        <v>3.8</v>
      </c>
      <c r="V742" s="410">
        <v>110.0</v>
      </c>
      <c r="W742" s="410"/>
      <c r="X742" s="410"/>
      <c r="Y742" s="410"/>
    </row>
    <row r="743" ht="13.5" customHeight="1">
      <c r="A743" s="402">
        <v>3.0</v>
      </c>
      <c r="B743" s="411" t="s">
        <v>3159</v>
      </c>
      <c r="C743" s="411" t="s">
        <v>3160</v>
      </c>
      <c r="D743" s="402" t="str">
        <f>IFERROR(VLOOKUP(B743,' 02.1 KLH-CN MÃ BRAVO MM'!$B:$C,2,0),"")</f>
        <v>A23-MKE-015</v>
      </c>
      <c r="E743" s="402"/>
      <c r="F743" s="402" t="s">
        <v>2029</v>
      </c>
      <c r="G743" s="412" t="s">
        <v>844</v>
      </c>
      <c r="H743" s="402" t="str">
        <f>VLOOKUP(G743,'01. TH'!$B:$E,3,0)</f>
        <v>3760 x 1900 x 2570</v>
      </c>
      <c r="I743" s="402" t="s">
        <v>3151</v>
      </c>
      <c r="J743" s="413"/>
      <c r="K743" s="402"/>
      <c r="L743" s="414"/>
      <c r="M743" s="415" t="s">
        <v>3158</v>
      </c>
      <c r="N743" s="414" t="s">
        <v>454</v>
      </c>
      <c r="O743" s="416" t="s">
        <v>84</v>
      </c>
      <c r="P743" s="402">
        <v>2013.0</v>
      </c>
      <c r="Q743" s="402">
        <v>9540.0</v>
      </c>
      <c r="R743" s="414" t="s">
        <v>845</v>
      </c>
      <c r="S743" s="416">
        <v>173035.0</v>
      </c>
      <c r="T743" s="416" t="s">
        <v>96</v>
      </c>
      <c r="U743" s="416">
        <v>3.8</v>
      </c>
      <c r="V743" s="410">
        <v>110.0</v>
      </c>
      <c r="W743" s="410"/>
      <c r="X743" s="410"/>
      <c r="Y743" s="410"/>
    </row>
    <row r="744" ht="13.5" customHeight="1">
      <c r="A744" s="404">
        <v>4.0</v>
      </c>
      <c r="B744" s="417" t="s">
        <v>3161</v>
      </c>
      <c r="C744" s="417" t="s">
        <v>1675</v>
      </c>
      <c r="D744" s="404" t="str">
        <f>IFERROR(VLOOKUP(B744,' 02.1 KLH-CN MÃ BRAVO MM'!$B:$C,2,0),"")</f>
        <v>ATT-A22-0271</v>
      </c>
      <c r="E744" s="404"/>
      <c r="F744" s="404" t="s">
        <v>3162</v>
      </c>
      <c r="G744" s="403" t="s">
        <v>3163</v>
      </c>
      <c r="H744" s="402" t="str">
        <f>VLOOKUP(G744,'01. TH'!$B:$E,3,0)</f>
        <v>#N/A</v>
      </c>
      <c r="I744" s="404" t="s">
        <v>3164</v>
      </c>
      <c r="J744" s="418">
        <v>44927.0</v>
      </c>
      <c r="K744" s="404"/>
      <c r="L744" s="419">
        <v>0.97</v>
      </c>
      <c r="M744" s="420" t="s">
        <v>3165</v>
      </c>
      <c r="N744" s="421" t="s">
        <v>300</v>
      </c>
      <c r="O744" s="409" t="s">
        <v>148</v>
      </c>
      <c r="P744" s="404">
        <v>2017.0</v>
      </c>
      <c r="Q744" s="404" t="s">
        <v>2055</v>
      </c>
      <c r="R744" s="421" t="s">
        <v>2056</v>
      </c>
      <c r="S744" s="409" t="s">
        <v>3166</v>
      </c>
      <c r="T744" s="409" t="s">
        <v>3167</v>
      </c>
      <c r="U744" s="409">
        <v>6.0</v>
      </c>
      <c r="V744" s="410">
        <v>380.0</v>
      </c>
      <c r="W744" s="410"/>
      <c r="X744" s="410"/>
      <c r="Y744" s="410"/>
    </row>
    <row r="745" ht="13.5" customHeight="1">
      <c r="A745" s="404">
        <v>5.0</v>
      </c>
      <c r="B745" s="417" t="s">
        <v>3168</v>
      </c>
      <c r="C745" s="417" t="s">
        <v>3169</v>
      </c>
      <c r="D745" s="404" t="str">
        <f>IFERROR(VLOOKUP(B745,' 02.1 KLH-CN MÃ BRAVO MM'!$B:$C,2,0),"")</f>
        <v/>
      </c>
      <c r="E745" s="404"/>
      <c r="F745" s="404" t="s">
        <v>3170</v>
      </c>
      <c r="G745" s="403" t="s">
        <v>3171</v>
      </c>
      <c r="H745" s="402" t="str">
        <f>VLOOKUP(G745,'01. TH'!$B:$E,3,0)</f>
        <v>#N/A</v>
      </c>
      <c r="I745" s="404" t="s">
        <v>3164</v>
      </c>
      <c r="J745" s="418">
        <v>41644.0</v>
      </c>
      <c r="K745" s="404"/>
      <c r="L745" s="419">
        <v>0.4</v>
      </c>
      <c r="M745" s="420" t="s">
        <v>3173</v>
      </c>
      <c r="N745" s="421" t="s">
        <v>3174</v>
      </c>
      <c r="O745" s="409" t="s">
        <v>3175</v>
      </c>
      <c r="P745" s="404">
        <v>2004.0</v>
      </c>
      <c r="Q745" s="404" t="s">
        <v>3176</v>
      </c>
      <c r="R745" s="421" t="s">
        <v>3177</v>
      </c>
      <c r="S745" s="409" t="s">
        <v>3178</v>
      </c>
      <c r="T745" s="409" t="s">
        <v>96</v>
      </c>
      <c r="U745" s="409"/>
      <c r="V745" s="410">
        <v>0.0</v>
      </c>
      <c r="W745" s="410"/>
      <c r="X745" s="410"/>
      <c r="Y745" s="410"/>
    </row>
    <row r="746" ht="13.5" customHeight="1">
      <c r="A746" s="404">
        <v>6.0</v>
      </c>
      <c r="B746" s="403" t="s">
        <v>76</v>
      </c>
      <c r="C746" s="417"/>
      <c r="D746" s="404"/>
      <c r="E746" s="404"/>
      <c r="F746" s="404"/>
      <c r="G746" s="403" t="s">
        <v>3179</v>
      </c>
      <c r="H746" s="402" t="str">
        <f>VLOOKUP(G746,'01. TH'!$B:$E,3,0)</f>
        <v>#N/A</v>
      </c>
      <c r="I746" s="404" t="s">
        <v>3164</v>
      </c>
      <c r="J746" s="404" t="s">
        <v>3180</v>
      </c>
      <c r="K746" s="404"/>
      <c r="L746" s="419"/>
      <c r="M746" s="420" t="s">
        <v>3181</v>
      </c>
      <c r="N746" s="414" t="s">
        <v>689</v>
      </c>
      <c r="O746" s="409" t="s">
        <v>1991</v>
      </c>
      <c r="P746" s="404">
        <v>1997.0</v>
      </c>
      <c r="Q746" s="404">
        <v>7810.0</v>
      </c>
      <c r="R746" s="404" t="s">
        <v>3182</v>
      </c>
      <c r="S746" s="409" t="s">
        <v>3183</v>
      </c>
      <c r="T746" s="409" t="s">
        <v>3184</v>
      </c>
      <c r="U746" s="409"/>
      <c r="V746" s="410">
        <v>344.0</v>
      </c>
      <c r="W746" s="410"/>
      <c r="X746" s="410"/>
      <c r="Y746" s="410"/>
    </row>
    <row r="747" ht="13.5" customHeight="1">
      <c r="A747" s="402">
        <f>A518+1</f>
        <v>21</v>
      </c>
      <c r="B747" s="422" t="s">
        <v>3185</v>
      </c>
      <c r="C747" s="422" t="s">
        <v>3186</v>
      </c>
      <c r="D747" s="402"/>
      <c r="E747" s="423"/>
      <c r="F747" s="423"/>
      <c r="G747" s="422" t="s">
        <v>2415</v>
      </c>
      <c r="H747" s="402" t="str">
        <f>VLOOKUP(G747,'01. TH'!$B:$E,3,0)</f>
        <v/>
      </c>
      <c r="I747" s="423"/>
      <c r="J747" s="424">
        <v>45940.0</v>
      </c>
      <c r="K747" s="425"/>
      <c r="L747" s="425"/>
      <c r="M747" s="426" t="s">
        <v>3187</v>
      </c>
      <c r="N747" s="423" t="s">
        <v>2416</v>
      </c>
      <c r="O747" s="427"/>
      <c r="P747" s="423"/>
      <c r="Q747" s="423" t="s">
        <v>2417</v>
      </c>
      <c r="R747" s="423" t="s">
        <v>2418</v>
      </c>
      <c r="S747" s="427" t="s">
        <v>3188</v>
      </c>
      <c r="T747" s="427" t="s">
        <v>3189</v>
      </c>
      <c r="U747" s="427">
        <v>0.49</v>
      </c>
      <c r="V747" s="410">
        <v>300.0</v>
      </c>
      <c r="W747" s="410"/>
      <c r="X747" s="410"/>
      <c r="Y747" s="410"/>
    </row>
    <row r="748" ht="13.5" customHeight="1">
      <c r="A748" s="402">
        <f>A747+1</f>
        <v>22</v>
      </c>
      <c r="B748" s="422" t="s">
        <v>3190</v>
      </c>
      <c r="C748" s="422" t="s">
        <v>3191</v>
      </c>
      <c r="D748" s="402"/>
      <c r="E748" s="423"/>
      <c r="F748" s="423"/>
      <c r="G748" s="422" t="s">
        <v>2415</v>
      </c>
      <c r="H748" s="402" t="str">
        <f>VLOOKUP(G748,'01. TH'!$B:$E,3,0)</f>
        <v/>
      </c>
      <c r="I748" s="423"/>
      <c r="J748" s="424">
        <v>45940.0</v>
      </c>
      <c r="K748" s="425"/>
      <c r="L748" s="425"/>
      <c r="M748" s="426" t="s">
        <v>3187</v>
      </c>
      <c r="N748" s="423" t="s">
        <v>2416</v>
      </c>
      <c r="O748" s="427"/>
      <c r="P748" s="423"/>
      <c r="Q748" s="423" t="s">
        <v>2417</v>
      </c>
      <c r="R748" s="423" t="s">
        <v>2418</v>
      </c>
      <c r="S748" s="427" t="s">
        <v>3192</v>
      </c>
      <c r="T748" s="427" t="s">
        <v>3193</v>
      </c>
      <c r="U748" s="427">
        <v>0.49</v>
      </c>
      <c r="V748" s="410">
        <v>300.0</v>
      </c>
      <c r="W748" s="410"/>
      <c r="X748" s="410"/>
      <c r="Y748" s="410"/>
    </row>
    <row r="749" ht="13.5" customHeight="1" outlineLevel="1">
      <c r="A749" s="80">
        <f>A512+1</f>
        <v>15</v>
      </c>
      <c r="B749" s="86" t="s">
        <v>3194</v>
      </c>
      <c r="C749" s="84"/>
      <c r="D749" s="95" t="str">
        <f>IFERROR(VLOOKUP(B749,' 02.1 KLH-CN MÃ BRAVO MM'!$B:$C,2,0),"")</f>
        <v>A22-BUS-001</v>
      </c>
      <c r="E749" s="95"/>
      <c r="F749" s="95"/>
      <c r="G749" s="86" t="s">
        <v>3195</v>
      </c>
      <c r="H749" s="80" t="str">
        <f>VLOOKUP(G749,'01. TH'!$B:$E,3,0)</f>
        <v/>
      </c>
      <c r="I749" s="80" t="s">
        <v>64</v>
      </c>
      <c r="J749" s="80" t="s">
        <v>2492</v>
      </c>
      <c r="K749" s="80" t="s">
        <v>1565</v>
      </c>
      <c r="L749" s="106"/>
      <c r="M749" s="129" t="s">
        <v>3196</v>
      </c>
      <c r="N749" s="80" t="s">
        <v>743</v>
      </c>
      <c r="O749" s="108" t="s">
        <v>148</v>
      </c>
      <c r="P749" s="80">
        <v>2006.0</v>
      </c>
      <c r="Q749" s="80" t="s">
        <v>3197</v>
      </c>
      <c r="R749" s="80" t="s">
        <v>3198</v>
      </c>
      <c r="S749" s="108" t="s">
        <v>3199</v>
      </c>
      <c r="T749" s="110" t="s">
        <v>3200</v>
      </c>
      <c r="U749" s="255">
        <v>0.0</v>
      </c>
      <c r="V749" s="112">
        <v>0.0</v>
      </c>
      <c r="W749" s="112"/>
      <c r="X749" s="112"/>
      <c r="Y749" s="112"/>
    </row>
    <row r="750" ht="13.5" customHeight="1" outlineLevel="1">
      <c r="A750" s="80">
        <f>A749+1</f>
        <v>16</v>
      </c>
      <c r="B750" s="86" t="s">
        <v>3201</v>
      </c>
      <c r="C750" s="84"/>
      <c r="D750" s="95" t="str">
        <f>IFERROR(VLOOKUP(B750,' 02.1 KLH-CN MÃ BRAVO MM'!$B:$C,2,0),"")</f>
        <v>A22-BUS-002</v>
      </c>
      <c r="E750" s="95"/>
      <c r="F750" s="95"/>
      <c r="G750" s="86" t="s">
        <v>3195</v>
      </c>
      <c r="H750" s="80" t="str">
        <f>VLOOKUP(G750,'01. TH'!$B:$E,3,0)</f>
        <v/>
      </c>
      <c r="I750" s="80" t="s">
        <v>64</v>
      </c>
      <c r="J750" s="80" t="s">
        <v>2492</v>
      </c>
      <c r="K750" s="80" t="s">
        <v>1565</v>
      </c>
      <c r="L750" s="106"/>
      <c r="M750" s="129" t="s">
        <v>3196</v>
      </c>
      <c r="N750" s="80" t="s">
        <v>743</v>
      </c>
      <c r="O750" s="108" t="s">
        <v>148</v>
      </c>
      <c r="P750" s="80">
        <v>2006.0</v>
      </c>
      <c r="Q750" s="80" t="s">
        <v>3197</v>
      </c>
      <c r="R750" s="80" t="s">
        <v>3198</v>
      </c>
      <c r="S750" s="108" t="s">
        <v>3202</v>
      </c>
      <c r="T750" s="110" t="s">
        <v>3203</v>
      </c>
      <c r="U750" s="255">
        <v>0.0</v>
      </c>
      <c r="V750" s="112">
        <v>0.0</v>
      </c>
      <c r="W750" s="112"/>
      <c r="X750" s="112"/>
      <c r="Y750" s="112"/>
    </row>
    <row r="751" ht="13.5" customHeight="1">
      <c r="A751" s="84"/>
      <c r="B751" s="84"/>
      <c r="C751" s="84"/>
      <c r="D751" s="106"/>
      <c r="E751" s="106"/>
      <c r="F751" s="106"/>
      <c r="G751" s="84"/>
      <c r="H751" s="106"/>
      <c r="I751" s="106"/>
      <c r="J751" s="106"/>
      <c r="K751" s="106"/>
      <c r="L751" s="106"/>
      <c r="M751" s="104"/>
      <c r="N751" s="106"/>
      <c r="O751" s="428"/>
      <c r="P751" s="106"/>
      <c r="Q751" s="84"/>
      <c r="R751" s="84"/>
      <c r="S751" s="428"/>
      <c r="T751" s="428"/>
      <c r="U751" s="428"/>
      <c r="V751" s="428"/>
      <c r="W751" s="428"/>
      <c r="X751" s="428"/>
      <c r="Y751" s="428"/>
    </row>
    <row r="752" ht="13.5" customHeight="1">
      <c r="A752" s="84"/>
      <c r="B752" s="84"/>
      <c r="C752" s="84"/>
      <c r="D752" s="106"/>
      <c r="E752" s="106"/>
      <c r="F752" s="106"/>
      <c r="G752" s="84"/>
      <c r="H752" s="106"/>
      <c r="I752" s="106"/>
      <c r="J752" s="106"/>
      <c r="K752" s="106"/>
      <c r="L752" s="106"/>
      <c r="M752" s="104"/>
      <c r="N752" s="106"/>
      <c r="O752" s="428"/>
      <c r="P752" s="106"/>
      <c r="Q752" s="84"/>
      <c r="R752" s="84"/>
      <c r="S752" s="428"/>
      <c r="T752" s="428"/>
      <c r="U752" s="428"/>
      <c r="V752" s="428"/>
      <c r="W752" s="428"/>
      <c r="X752" s="428"/>
      <c r="Y752" s="428"/>
    </row>
    <row r="753" ht="13.5" customHeight="1">
      <c r="A753" s="84"/>
      <c r="B753" s="84"/>
      <c r="C753" s="84"/>
      <c r="D753" s="106"/>
      <c r="E753" s="106"/>
      <c r="F753" s="106"/>
      <c r="G753" s="84"/>
      <c r="H753" s="106"/>
      <c r="I753" s="106"/>
      <c r="J753" s="106"/>
      <c r="K753" s="106"/>
      <c r="L753" s="106"/>
      <c r="M753" s="104"/>
      <c r="N753" s="106"/>
      <c r="O753" s="428"/>
      <c r="P753" s="106"/>
      <c r="Q753" s="84"/>
      <c r="R753" s="84"/>
      <c r="S753" s="428"/>
      <c r="T753" s="428"/>
      <c r="U753" s="428"/>
      <c r="V753" s="428"/>
      <c r="W753" s="428"/>
      <c r="X753" s="428"/>
      <c r="Y753" s="428"/>
    </row>
    <row r="754" ht="13.5" customHeight="1">
      <c r="A754" s="84"/>
      <c r="B754" s="84"/>
      <c r="C754" s="84"/>
      <c r="D754" s="106"/>
      <c r="E754" s="106"/>
      <c r="F754" s="106"/>
      <c r="G754" s="84"/>
      <c r="H754" s="106"/>
      <c r="I754" s="106"/>
      <c r="J754" s="106"/>
      <c r="K754" s="106"/>
      <c r="L754" s="106"/>
      <c r="M754" s="104"/>
      <c r="N754" s="106"/>
      <c r="O754" s="428"/>
      <c r="P754" s="106"/>
      <c r="Q754" s="84"/>
      <c r="R754" s="84"/>
      <c r="S754" s="428"/>
      <c r="T754" s="428"/>
      <c r="U754" s="428"/>
      <c r="V754" s="428"/>
      <c r="W754" s="428"/>
      <c r="X754" s="428"/>
      <c r="Y754" s="428"/>
    </row>
    <row r="755" ht="13.5" customHeight="1">
      <c r="A755" s="84"/>
      <c r="B755" s="84"/>
      <c r="C755" s="84"/>
      <c r="D755" s="106"/>
      <c r="E755" s="106"/>
      <c r="F755" s="106"/>
      <c r="G755" s="84"/>
      <c r="H755" s="106"/>
      <c r="I755" s="106"/>
      <c r="J755" s="106"/>
      <c r="K755" s="106"/>
      <c r="L755" s="106"/>
      <c r="M755" s="104"/>
      <c r="N755" s="106"/>
      <c r="O755" s="428"/>
      <c r="P755" s="106"/>
      <c r="Q755" s="84"/>
      <c r="R755" s="84"/>
      <c r="S755" s="428"/>
      <c r="T755" s="428"/>
      <c r="U755" s="428"/>
      <c r="V755" s="428"/>
      <c r="W755" s="428"/>
      <c r="X755" s="428"/>
      <c r="Y755" s="428"/>
    </row>
    <row r="756" ht="13.5" customHeight="1">
      <c r="A756" s="84"/>
      <c r="B756" s="84"/>
      <c r="C756" s="84"/>
      <c r="D756" s="106"/>
      <c r="E756" s="106"/>
      <c r="F756" s="106"/>
      <c r="G756" s="84"/>
      <c r="H756" s="106"/>
      <c r="I756" s="106"/>
      <c r="J756" s="106"/>
      <c r="K756" s="106"/>
      <c r="L756" s="106"/>
      <c r="M756" s="104"/>
      <c r="N756" s="106"/>
      <c r="O756" s="428"/>
      <c r="P756" s="106"/>
      <c r="Q756" s="84"/>
      <c r="R756" s="84"/>
      <c r="S756" s="428"/>
      <c r="T756" s="428"/>
      <c r="U756" s="428"/>
      <c r="V756" s="428"/>
      <c r="W756" s="428"/>
      <c r="X756" s="428"/>
      <c r="Y756" s="428"/>
    </row>
    <row r="757" ht="13.5" customHeight="1">
      <c r="A757" s="84"/>
      <c r="B757" s="84"/>
      <c r="C757" s="84"/>
      <c r="D757" s="106"/>
      <c r="E757" s="106"/>
      <c r="F757" s="106"/>
      <c r="G757" s="84"/>
      <c r="H757" s="106"/>
      <c r="I757" s="106"/>
      <c r="J757" s="106"/>
      <c r="K757" s="106"/>
      <c r="L757" s="106"/>
      <c r="M757" s="104"/>
      <c r="N757" s="106"/>
      <c r="O757" s="428"/>
      <c r="P757" s="106"/>
      <c r="Q757" s="84"/>
      <c r="R757" s="84"/>
      <c r="S757" s="428"/>
      <c r="T757" s="428"/>
      <c r="U757" s="428"/>
      <c r="V757" s="428"/>
      <c r="W757" s="428"/>
      <c r="X757" s="428"/>
      <c r="Y757" s="428"/>
    </row>
    <row r="758" ht="13.5" customHeight="1">
      <c r="A758" s="84"/>
      <c r="B758" s="84"/>
      <c r="C758" s="84"/>
      <c r="D758" s="106"/>
      <c r="E758" s="106"/>
      <c r="F758" s="106"/>
      <c r="G758" s="84"/>
      <c r="H758" s="106"/>
      <c r="I758" s="106"/>
      <c r="J758" s="106"/>
      <c r="K758" s="106"/>
      <c r="L758" s="106"/>
      <c r="M758" s="104"/>
      <c r="N758" s="106"/>
      <c r="O758" s="428"/>
      <c r="P758" s="106"/>
      <c r="Q758" s="84"/>
      <c r="R758" s="84"/>
      <c r="S758" s="428"/>
      <c r="T758" s="428"/>
      <c r="U758" s="428"/>
      <c r="V758" s="428"/>
      <c r="W758" s="428"/>
      <c r="X758" s="428"/>
      <c r="Y758" s="428"/>
    </row>
    <row r="759" ht="13.5" customHeight="1">
      <c r="A759" s="84"/>
      <c r="B759" s="84"/>
      <c r="C759" s="84"/>
      <c r="D759" s="106"/>
      <c r="E759" s="106"/>
      <c r="F759" s="106"/>
      <c r="G759" s="84"/>
      <c r="H759" s="106"/>
      <c r="I759" s="106"/>
      <c r="J759" s="106"/>
      <c r="K759" s="106"/>
      <c r="L759" s="106"/>
      <c r="M759" s="104"/>
      <c r="N759" s="106"/>
      <c r="O759" s="428"/>
      <c r="P759" s="106"/>
      <c r="Q759" s="84"/>
      <c r="R759" s="84"/>
      <c r="S759" s="428"/>
      <c r="T759" s="428"/>
      <c r="U759" s="428"/>
      <c r="V759" s="428"/>
      <c r="W759" s="428"/>
      <c r="X759" s="428"/>
      <c r="Y759" s="428"/>
    </row>
    <row r="760" ht="13.5" customHeight="1">
      <c r="A760" s="84"/>
      <c r="B760" s="84"/>
      <c r="C760" s="84"/>
      <c r="D760" s="106"/>
      <c r="E760" s="106"/>
      <c r="F760" s="106"/>
      <c r="G760" s="84"/>
      <c r="H760" s="106"/>
      <c r="I760" s="106"/>
      <c r="J760" s="106"/>
      <c r="K760" s="106"/>
      <c r="L760" s="106"/>
      <c r="M760" s="104"/>
      <c r="N760" s="106"/>
      <c r="O760" s="428"/>
      <c r="P760" s="106"/>
      <c r="Q760" s="84"/>
      <c r="R760" s="84"/>
      <c r="S760" s="428"/>
      <c r="T760" s="428"/>
      <c r="U760" s="428"/>
      <c r="V760" s="428"/>
      <c r="W760" s="428"/>
      <c r="X760" s="428"/>
      <c r="Y760" s="428"/>
    </row>
    <row r="761" ht="13.5" customHeight="1">
      <c r="A761" s="84"/>
      <c r="B761" s="84"/>
      <c r="C761" s="84"/>
      <c r="D761" s="106"/>
      <c r="E761" s="106"/>
      <c r="F761" s="106"/>
      <c r="G761" s="84"/>
      <c r="H761" s="106"/>
      <c r="I761" s="106"/>
      <c r="J761" s="106"/>
      <c r="K761" s="106"/>
      <c r="L761" s="106"/>
      <c r="M761" s="104"/>
      <c r="N761" s="106"/>
      <c r="O761" s="428"/>
      <c r="P761" s="106"/>
      <c r="Q761" s="84"/>
      <c r="R761" s="84"/>
      <c r="S761" s="428"/>
      <c r="T761" s="428"/>
      <c r="U761" s="428"/>
      <c r="V761" s="428"/>
      <c r="W761" s="428"/>
      <c r="X761" s="428"/>
      <c r="Y761" s="428"/>
    </row>
    <row r="762" ht="13.5" customHeight="1">
      <c r="A762" s="84"/>
      <c r="B762" s="84"/>
      <c r="C762" s="84"/>
      <c r="D762" s="106"/>
      <c r="E762" s="106"/>
      <c r="F762" s="106"/>
      <c r="G762" s="84"/>
      <c r="H762" s="106"/>
      <c r="I762" s="106"/>
      <c r="J762" s="106"/>
      <c r="K762" s="106"/>
      <c r="L762" s="106"/>
      <c r="M762" s="104"/>
      <c r="N762" s="106"/>
      <c r="O762" s="428"/>
      <c r="P762" s="106"/>
      <c r="Q762" s="84"/>
      <c r="R762" s="84"/>
      <c r="S762" s="428"/>
      <c r="T762" s="428"/>
      <c r="U762" s="428"/>
      <c r="V762" s="428"/>
      <c r="W762" s="428"/>
      <c r="X762" s="428"/>
      <c r="Y762" s="428"/>
    </row>
    <row r="763" ht="13.5" customHeight="1">
      <c r="A763" s="84"/>
      <c r="B763" s="84"/>
      <c r="C763" s="84"/>
      <c r="D763" s="106"/>
      <c r="E763" s="106"/>
      <c r="F763" s="106"/>
      <c r="G763" s="84"/>
      <c r="H763" s="106"/>
      <c r="I763" s="106"/>
      <c r="J763" s="106"/>
      <c r="K763" s="106"/>
      <c r="L763" s="106"/>
      <c r="M763" s="104"/>
      <c r="N763" s="106"/>
      <c r="O763" s="428"/>
      <c r="P763" s="106"/>
      <c r="Q763" s="84"/>
      <c r="R763" s="84"/>
      <c r="S763" s="428"/>
      <c r="T763" s="428"/>
      <c r="U763" s="428"/>
      <c r="V763" s="428"/>
      <c r="W763" s="428"/>
      <c r="X763" s="428"/>
      <c r="Y763" s="428"/>
    </row>
    <row r="764" ht="13.5" customHeight="1">
      <c r="A764" s="84"/>
      <c r="B764" s="84"/>
      <c r="C764" s="84"/>
      <c r="D764" s="106"/>
      <c r="E764" s="106"/>
      <c r="F764" s="106"/>
      <c r="G764" s="84"/>
      <c r="H764" s="106"/>
      <c r="I764" s="106"/>
      <c r="J764" s="106"/>
      <c r="K764" s="106"/>
      <c r="L764" s="106"/>
      <c r="M764" s="104"/>
      <c r="N764" s="106"/>
      <c r="O764" s="428"/>
      <c r="P764" s="106"/>
      <c r="Q764" s="84"/>
      <c r="R764" s="84"/>
      <c r="S764" s="428"/>
      <c r="T764" s="428"/>
      <c r="U764" s="428"/>
      <c r="V764" s="428"/>
      <c r="W764" s="428"/>
      <c r="X764" s="428"/>
      <c r="Y764" s="428"/>
    </row>
    <row r="765" ht="13.5" customHeight="1">
      <c r="A765" s="84"/>
      <c r="B765" s="84"/>
      <c r="C765" s="84"/>
      <c r="D765" s="106"/>
      <c r="E765" s="106"/>
      <c r="F765" s="106"/>
      <c r="G765" s="84"/>
      <c r="H765" s="106"/>
      <c r="I765" s="106"/>
      <c r="J765" s="106"/>
      <c r="K765" s="106"/>
      <c r="L765" s="106"/>
      <c r="M765" s="104"/>
      <c r="N765" s="106"/>
      <c r="O765" s="428"/>
      <c r="P765" s="106"/>
      <c r="Q765" s="84"/>
      <c r="R765" s="84"/>
      <c r="S765" s="428"/>
      <c r="T765" s="428"/>
      <c r="U765" s="428"/>
      <c r="V765" s="428"/>
      <c r="W765" s="428"/>
      <c r="X765" s="428"/>
      <c r="Y765" s="428"/>
    </row>
    <row r="766" ht="13.5" customHeight="1">
      <c r="A766" s="84"/>
      <c r="B766" s="84"/>
      <c r="C766" s="84"/>
      <c r="D766" s="106"/>
      <c r="E766" s="106"/>
      <c r="F766" s="106"/>
      <c r="G766" s="84"/>
      <c r="H766" s="106"/>
      <c r="I766" s="106"/>
      <c r="J766" s="106"/>
      <c r="K766" s="106"/>
      <c r="L766" s="106"/>
      <c r="M766" s="104"/>
      <c r="N766" s="106"/>
      <c r="O766" s="428"/>
      <c r="P766" s="106"/>
      <c r="Q766" s="84"/>
      <c r="R766" s="84"/>
      <c r="S766" s="428"/>
      <c r="T766" s="428"/>
      <c r="U766" s="428"/>
      <c r="V766" s="428"/>
      <c r="W766" s="428"/>
      <c r="X766" s="428"/>
      <c r="Y766" s="428"/>
    </row>
    <row r="767" ht="13.5" customHeight="1">
      <c r="A767" s="84"/>
      <c r="B767" s="84"/>
      <c r="C767" s="84"/>
      <c r="D767" s="106"/>
      <c r="E767" s="106"/>
      <c r="F767" s="106"/>
      <c r="G767" s="84"/>
      <c r="H767" s="106"/>
      <c r="I767" s="106"/>
      <c r="J767" s="106"/>
      <c r="K767" s="106"/>
      <c r="L767" s="106"/>
      <c r="M767" s="104"/>
      <c r="N767" s="106"/>
      <c r="O767" s="428"/>
      <c r="P767" s="106"/>
      <c r="Q767" s="84"/>
      <c r="R767" s="84"/>
      <c r="S767" s="428"/>
      <c r="T767" s="428"/>
      <c r="U767" s="428"/>
      <c r="V767" s="428"/>
      <c r="W767" s="428"/>
      <c r="X767" s="428"/>
      <c r="Y767" s="428"/>
    </row>
    <row r="768" ht="13.5" customHeight="1">
      <c r="A768" s="84"/>
      <c r="B768" s="84"/>
      <c r="C768" s="84"/>
      <c r="D768" s="106"/>
      <c r="E768" s="106"/>
      <c r="F768" s="106"/>
      <c r="G768" s="84"/>
      <c r="H768" s="106"/>
      <c r="I768" s="106"/>
      <c r="J768" s="106"/>
      <c r="K768" s="106"/>
      <c r="L768" s="106"/>
      <c r="M768" s="104"/>
      <c r="N768" s="106"/>
      <c r="O768" s="428"/>
      <c r="P768" s="106"/>
      <c r="Q768" s="84"/>
      <c r="R768" s="84"/>
      <c r="S768" s="428"/>
      <c r="T768" s="428"/>
      <c r="U768" s="428"/>
      <c r="V768" s="428"/>
      <c r="W768" s="428"/>
      <c r="X768" s="428"/>
      <c r="Y768" s="428"/>
    </row>
    <row r="769" ht="13.5" customHeight="1">
      <c r="A769" s="84"/>
      <c r="B769" s="84"/>
      <c r="C769" s="84"/>
      <c r="D769" s="106"/>
      <c r="E769" s="106"/>
      <c r="F769" s="106"/>
      <c r="G769" s="84"/>
      <c r="H769" s="106"/>
      <c r="I769" s="106"/>
      <c r="J769" s="106"/>
      <c r="K769" s="106"/>
      <c r="L769" s="106"/>
      <c r="M769" s="104"/>
      <c r="N769" s="106"/>
      <c r="O769" s="428"/>
      <c r="P769" s="106"/>
      <c r="Q769" s="84"/>
      <c r="R769" s="84"/>
      <c r="S769" s="428"/>
      <c r="T769" s="428"/>
      <c r="U769" s="428"/>
      <c r="V769" s="428"/>
      <c r="W769" s="428"/>
      <c r="X769" s="428"/>
      <c r="Y769" s="428"/>
    </row>
    <row r="770" ht="13.5" customHeight="1">
      <c r="A770" s="84"/>
      <c r="B770" s="84"/>
      <c r="C770" s="84"/>
      <c r="D770" s="106"/>
      <c r="E770" s="106"/>
      <c r="F770" s="106"/>
      <c r="G770" s="84"/>
      <c r="H770" s="106"/>
      <c r="I770" s="106"/>
      <c r="J770" s="106"/>
      <c r="K770" s="106"/>
      <c r="L770" s="106"/>
      <c r="M770" s="104"/>
      <c r="N770" s="106"/>
      <c r="O770" s="428"/>
      <c r="P770" s="106"/>
      <c r="Q770" s="84"/>
      <c r="R770" s="84"/>
      <c r="S770" s="428"/>
      <c r="T770" s="428"/>
      <c r="U770" s="428"/>
      <c r="V770" s="428"/>
      <c r="W770" s="428"/>
      <c r="X770" s="428"/>
      <c r="Y770" s="428"/>
    </row>
    <row r="771" ht="13.5" customHeight="1">
      <c r="A771" s="84"/>
      <c r="B771" s="84"/>
      <c r="C771" s="84"/>
      <c r="D771" s="106"/>
      <c r="E771" s="106"/>
      <c r="F771" s="106"/>
      <c r="G771" s="84"/>
      <c r="H771" s="106"/>
      <c r="I771" s="106"/>
      <c r="J771" s="106"/>
      <c r="K771" s="106"/>
      <c r="L771" s="106"/>
      <c r="M771" s="104"/>
      <c r="N771" s="106"/>
      <c r="O771" s="428"/>
      <c r="P771" s="106"/>
      <c r="Q771" s="84"/>
      <c r="R771" s="84"/>
      <c r="S771" s="428"/>
      <c r="T771" s="428"/>
      <c r="U771" s="428"/>
      <c r="V771" s="428"/>
      <c r="W771" s="428"/>
      <c r="X771" s="428"/>
      <c r="Y771" s="428"/>
    </row>
    <row r="772" ht="13.5" customHeight="1">
      <c r="A772" s="84"/>
      <c r="B772" s="84"/>
      <c r="C772" s="84"/>
      <c r="D772" s="106"/>
      <c r="E772" s="106"/>
      <c r="F772" s="106"/>
      <c r="G772" s="84"/>
      <c r="H772" s="106"/>
      <c r="I772" s="106"/>
      <c r="J772" s="106"/>
      <c r="K772" s="106"/>
      <c r="L772" s="106"/>
      <c r="M772" s="104"/>
      <c r="N772" s="106"/>
      <c r="O772" s="428"/>
      <c r="P772" s="106"/>
      <c r="Q772" s="84"/>
      <c r="R772" s="84"/>
      <c r="S772" s="428"/>
      <c r="T772" s="428"/>
      <c r="U772" s="428"/>
      <c r="V772" s="428"/>
      <c r="W772" s="428"/>
      <c r="X772" s="428"/>
      <c r="Y772" s="428"/>
    </row>
    <row r="773" ht="13.5" customHeight="1">
      <c r="A773" s="84"/>
      <c r="B773" s="84"/>
      <c r="C773" s="84"/>
      <c r="D773" s="106"/>
      <c r="E773" s="106"/>
      <c r="F773" s="106"/>
      <c r="G773" s="84"/>
      <c r="H773" s="106"/>
      <c r="I773" s="106"/>
      <c r="J773" s="106"/>
      <c r="K773" s="106"/>
      <c r="L773" s="106"/>
      <c r="M773" s="104"/>
      <c r="N773" s="106"/>
      <c r="O773" s="428"/>
      <c r="P773" s="106"/>
      <c r="Q773" s="84"/>
      <c r="R773" s="84"/>
      <c r="S773" s="428"/>
      <c r="T773" s="428"/>
      <c r="U773" s="428"/>
      <c r="V773" s="428"/>
      <c r="W773" s="428"/>
      <c r="X773" s="428"/>
      <c r="Y773" s="428"/>
    </row>
    <row r="774" ht="13.5" customHeight="1">
      <c r="A774" s="84"/>
      <c r="B774" s="84"/>
      <c r="C774" s="84"/>
      <c r="D774" s="106"/>
      <c r="E774" s="106"/>
      <c r="F774" s="106"/>
      <c r="G774" s="84"/>
      <c r="H774" s="106"/>
      <c r="I774" s="106"/>
      <c r="J774" s="106"/>
      <c r="K774" s="106"/>
      <c r="L774" s="106"/>
      <c r="M774" s="104"/>
      <c r="N774" s="106"/>
      <c r="O774" s="428"/>
      <c r="P774" s="106"/>
      <c r="Q774" s="84"/>
      <c r="R774" s="84"/>
      <c r="S774" s="428"/>
      <c r="T774" s="428"/>
      <c r="U774" s="428"/>
      <c r="V774" s="428"/>
      <c r="W774" s="428"/>
      <c r="X774" s="428"/>
      <c r="Y774" s="428"/>
    </row>
    <row r="775" ht="13.5" customHeight="1">
      <c r="A775" s="84"/>
      <c r="B775" s="84"/>
      <c r="C775" s="84"/>
      <c r="D775" s="106"/>
      <c r="E775" s="106"/>
      <c r="F775" s="106"/>
      <c r="G775" s="84"/>
      <c r="H775" s="106"/>
      <c r="I775" s="106"/>
      <c r="J775" s="106"/>
      <c r="K775" s="106"/>
      <c r="L775" s="106"/>
      <c r="M775" s="104"/>
      <c r="N775" s="106"/>
      <c r="O775" s="428"/>
      <c r="P775" s="106"/>
      <c r="Q775" s="84"/>
      <c r="R775" s="84"/>
      <c r="S775" s="428"/>
      <c r="T775" s="428"/>
      <c r="U775" s="428"/>
      <c r="V775" s="428"/>
      <c r="W775" s="428"/>
      <c r="X775" s="428"/>
      <c r="Y775" s="428"/>
    </row>
    <row r="776" ht="13.5" customHeight="1">
      <c r="A776" s="84"/>
      <c r="B776" s="84"/>
      <c r="C776" s="84"/>
      <c r="D776" s="106"/>
      <c r="E776" s="106"/>
      <c r="F776" s="106"/>
      <c r="G776" s="84"/>
      <c r="H776" s="106"/>
      <c r="I776" s="106"/>
      <c r="J776" s="106"/>
      <c r="K776" s="106"/>
      <c r="L776" s="106"/>
      <c r="M776" s="104"/>
      <c r="N776" s="106"/>
      <c r="O776" s="428"/>
      <c r="P776" s="106"/>
      <c r="Q776" s="84"/>
      <c r="R776" s="84"/>
      <c r="S776" s="428"/>
      <c r="T776" s="428"/>
      <c r="U776" s="428"/>
      <c r="V776" s="428"/>
      <c r="W776" s="428"/>
      <c r="X776" s="428"/>
      <c r="Y776" s="428"/>
    </row>
    <row r="777" ht="13.5" customHeight="1">
      <c r="A777" s="84"/>
      <c r="B777" s="84"/>
      <c r="C777" s="84"/>
      <c r="D777" s="106"/>
      <c r="E777" s="106"/>
      <c r="F777" s="106"/>
      <c r="G777" s="84"/>
      <c r="H777" s="106"/>
      <c r="I777" s="106"/>
      <c r="J777" s="106"/>
      <c r="K777" s="106"/>
      <c r="L777" s="106"/>
      <c r="M777" s="104"/>
      <c r="N777" s="106"/>
      <c r="O777" s="428"/>
      <c r="P777" s="106"/>
      <c r="Q777" s="84"/>
      <c r="R777" s="84"/>
      <c r="S777" s="428"/>
      <c r="T777" s="428"/>
      <c r="U777" s="428"/>
      <c r="V777" s="428"/>
      <c r="W777" s="428"/>
      <c r="X777" s="428"/>
      <c r="Y777" s="428"/>
    </row>
    <row r="778" ht="13.5" customHeight="1">
      <c r="A778" s="84"/>
      <c r="B778" s="84"/>
      <c r="C778" s="84"/>
      <c r="D778" s="106"/>
      <c r="E778" s="106"/>
      <c r="F778" s="106"/>
      <c r="G778" s="84"/>
      <c r="H778" s="106"/>
      <c r="I778" s="106"/>
      <c r="J778" s="106"/>
      <c r="K778" s="106"/>
      <c r="L778" s="106"/>
      <c r="M778" s="104"/>
      <c r="N778" s="106"/>
      <c r="O778" s="428"/>
      <c r="P778" s="106"/>
      <c r="Q778" s="84"/>
      <c r="R778" s="84"/>
      <c r="S778" s="428"/>
      <c r="T778" s="428"/>
      <c r="U778" s="428"/>
      <c r="V778" s="428"/>
      <c r="W778" s="428"/>
      <c r="X778" s="428"/>
      <c r="Y778" s="428"/>
    </row>
    <row r="779" ht="13.5" customHeight="1">
      <c r="A779" s="84"/>
      <c r="B779" s="84"/>
      <c r="C779" s="84"/>
      <c r="D779" s="106"/>
      <c r="E779" s="106"/>
      <c r="F779" s="106"/>
      <c r="G779" s="84"/>
      <c r="H779" s="106"/>
      <c r="I779" s="106"/>
      <c r="J779" s="106"/>
      <c r="K779" s="106"/>
      <c r="L779" s="106"/>
      <c r="M779" s="104"/>
      <c r="N779" s="106"/>
      <c r="O779" s="428"/>
      <c r="P779" s="106"/>
      <c r="Q779" s="84"/>
      <c r="R779" s="84"/>
      <c r="S779" s="428"/>
      <c r="T779" s="428"/>
      <c r="U779" s="428"/>
      <c r="V779" s="428"/>
      <c r="W779" s="428"/>
      <c r="X779" s="428"/>
      <c r="Y779" s="428"/>
    </row>
    <row r="780" ht="13.5" customHeight="1">
      <c r="A780" s="84"/>
      <c r="B780" s="84"/>
      <c r="C780" s="84"/>
      <c r="D780" s="106"/>
      <c r="E780" s="106"/>
      <c r="F780" s="106"/>
      <c r="G780" s="84"/>
      <c r="H780" s="106"/>
      <c r="I780" s="106"/>
      <c r="J780" s="106"/>
      <c r="K780" s="106"/>
      <c r="L780" s="106"/>
      <c r="M780" s="104"/>
      <c r="N780" s="106"/>
      <c r="O780" s="428"/>
      <c r="P780" s="106"/>
      <c r="Q780" s="84"/>
      <c r="R780" s="84"/>
      <c r="S780" s="428"/>
      <c r="T780" s="428"/>
      <c r="U780" s="428"/>
      <c r="V780" s="428"/>
      <c r="W780" s="428"/>
      <c r="X780" s="428"/>
      <c r="Y780" s="428"/>
    </row>
    <row r="781" ht="13.5" customHeight="1">
      <c r="A781" s="84"/>
      <c r="B781" s="84"/>
      <c r="C781" s="84"/>
      <c r="D781" s="106"/>
      <c r="E781" s="106"/>
      <c r="F781" s="106"/>
      <c r="G781" s="84"/>
      <c r="H781" s="106"/>
      <c r="I781" s="106"/>
      <c r="J781" s="106"/>
      <c r="K781" s="106"/>
      <c r="L781" s="106"/>
      <c r="M781" s="104"/>
      <c r="N781" s="106"/>
      <c r="O781" s="428"/>
      <c r="P781" s="106"/>
      <c r="Q781" s="84"/>
      <c r="R781" s="84"/>
      <c r="S781" s="428"/>
      <c r="T781" s="428"/>
      <c r="U781" s="428"/>
      <c r="V781" s="428"/>
      <c r="W781" s="428"/>
      <c r="X781" s="428"/>
      <c r="Y781" s="428"/>
    </row>
    <row r="782" ht="13.5" customHeight="1">
      <c r="A782" s="84"/>
      <c r="B782" s="84"/>
      <c r="C782" s="84"/>
      <c r="D782" s="106"/>
      <c r="E782" s="106"/>
      <c r="F782" s="106"/>
      <c r="G782" s="84"/>
      <c r="H782" s="106"/>
      <c r="I782" s="106"/>
      <c r="J782" s="106"/>
      <c r="K782" s="106"/>
      <c r="L782" s="106"/>
      <c r="M782" s="104"/>
      <c r="N782" s="106"/>
      <c r="O782" s="428"/>
      <c r="P782" s="106"/>
      <c r="Q782" s="84"/>
      <c r="R782" s="84"/>
      <c r="S782" s="428"/>
      <c r="T782" s="428"/>
      <c r="U782" s="428"/>
      <c r="V782" s="428"/>
      <c r="W782" s="428"/>
      <c r="X782" s="428"/>
      <c r="Y782" s="428"/>
    </row>
    <row r="783" ht="13.5" customHeight="1">
      <c r="A783" s="84"/>
      <c r="B783" s="84"/>
      <c r="C783" s="84"/>
      <c r="D783" s="106"/>
      <c r="E783" s="106"/>
      <c r="F783" s="106"/>
      <c r="G783" s="84"/>
      <c r="H783" s="106"/>
      <c r="I783" s="106"/>
      <c r="J783" s="106"/>
      <c r="K783" s="106"/>
      <c r="L783" s="106"/>
      <c r="M783" s="104"/>
      <c r="N783" s="106"/>
      <c r="O783" s="428"/>
      <c r="P783" s="106"/>
      <c r="Q783" s="84"/>
      <c r="R783" s="84"/>
      <c r="S783" s="428"/>
      <c r="T783" s="428"/>
      <c r="U783" s="428"/>
      <c r="V783" s="428"/>
      <c r="W783" s="428"/>
      <c r="X783" s="428"/>
      <c r="Y783" s="428"/>
    </row>
    <row r="784" ht="13.5" customHeight="1">
      <c r="A784" s="84"/>
      <c r="B784" s="84"/>
      <c r="C784" s="84"/>
      <c r="D784" s="106"/>
      <c r="E784" s="106"/>
      <c r="F784" s="106"/>
      <c r="G784" s="84"/>
      <c r="H784" s="106"/>
      <c r="I784" s="106"/>
      <c r="J784" s="106"/>
      <c r="K784" s="106"/>
      <c r="L784" s="106"/>
      <c r="M784" s="104"/>
      <c r="N784" s="106"/>
      <c r="O784" s="428"/>
      <c r="P784" s="106"/>
      <c r="Q784" s="84"/>
      <c r="R784" s="84"/>
      <c r="S784" s="428"/>
      <c r="T784" s="428"/>
      <c r="U784" s="428"/>
      <c r="V784" s="428"/>
      <c r="W784" s="428"/>
      <c r="X784" s="428"/>
      <c r="Y784" s="428"/>
    </row>
    <row r="785" ht="13.5" customHeight="1">
      <c r="A785" s="84"/>
      <c r="B785" s="84"/>
      <c r="C785" s="84"/>
      <c r="D785" s="106"/>
      <c r="E785" s="106"/>
      <c r="F785" s="106"/>
      <c r="G785" s="84"/>
      <c r="H785" s="106"/>
      <c r="I785" s="106"/>
      <c r="J785" s="106"/>
      <c r="K785" s="106"/>
      <c r="L785" s="106"/>
      <c r="M785" s="104"/>
      <c r="N785" s="106"/>
      <c r="O785" s="428"/>
      <c r="P785" s="106"/>
      <c r="Q785" s="84"/>
      <c r="R785" s="84"/>
      <c r="S785" s="428"/>
      <c r="T785" s="428"/>
      <c r="U785" s="428"/>
      <c r="V785" s="428"/>
      <c r="W785" s="428"/>
      <c r="X785" s="428"/>
      <c r="Y785" s="428"/>
    </row>
    <row r="786" ht="13.5" customHeight="1">
      <c r="A786" s="84"/>
      <c r="B786" s="84"/>
      <c r="C786" s="84"/>
      <c r="D786" s="106"/>
      <c r="E786" s="106"/>
      <c r="F786" s="106"/>
      <c r="G786" s="84"/>
      <c r="H786" s="106"/>
      <c r="I786" s="106"/>
      <c r="J786" s="106"/>
      <c r="K786" s="106"/>
      <c r="L786" s="106"/>
      <c r="M786" s="104"/>
      <c r="N786" s="106"/>
      <c r="O786" s="428"/>
      <c r="P786" s="106"/>
      <c r="Q786" s="84"/>
      <c r="R786" s="84"/>
      <c r="S786" s="428"/>
      <c r="T786" s="428"/>
      <c r="U786" s="428"/>
      <c r="V786" s="428"/>
      <c r="W786" s="428"/>
      <c r="X786" s="428"/>
      <c r="Y786" s="428"/>
    </row>
    <row r="787" ht="13.5" customHeight="1">
      <c r="A787" s="84"/>
      <c r="B787" s="84"/>
      <c r="C787" s="84"/>
      <c r="D787" s="106"/>
      <c r="E787" s="106"/>
      <c r="F787" s="106"/>
      <c r="G787" s="84"/>
      <c r="H787" s="106"/>
      <c r="I787" s="106"/>
      <c r="J787" s="106"/>
      <c r="K787" s="106"/>
      <c r="L787" s="106"/>
      <c r="M787" s="104"/>
      <c r="N787" s="106"/>
      <c r="O787" s="428"/>
      <c r="P787" s="106"/>
      <c r="Q787" s="84"/>
      <c r="R787" s="84"/>
      <c r="S787" s="428"/>
      <c r="T787" s="428"/>
      <c r="U787" s="428"/>
      <c r="V787" s="428"/>
      <c r="W787" s="428"/>
      <c r="X787" s="428"/>
      <c r="Y787" s="428"/>
    </row>
    <row r="788" ht="13.5" customHeight="1">
      <c r="A788" s="84"/>
      <c r="B788" s="84"/>
      <c r="C788" s="84"/>
      <c r="D788" s="106"/>
      <c r="E788" s="106"/>
      <c r="F788" s="106"/>
      <c r="G788" s="84"/>
      <c r="H788" s="106"/>
      <c r="I788" s="106"/>
      <c r="J788" s="106"/>
      <c r="K788" s="106"/>
      <c r="L788" s="106"/>
      <c r="M788" s="104"/>
      <c r="N788" s="106"/>
      <c r="O788" s="428"/>
      <c r="P788" s="106"/>
      <c r="Q788" s="84"/>
      <c r="R788" s="84"/>
      <c r="S788" s="428"/>
      <c r="T788" s="428"/>
      <c r="U788" s="428"/>
      <c r="V788" s="428"/>
      <c r="W788" s="428"/>
      <c r="X788" s="428"/>
      <c r="Y788" s="428"/>
    </row>
    <row r="789" ht="13.5" customHeight="1">
      <c r="A789" s="84"/>
      <c r="B789" s="84"/>
      <c r="C789" s="84"/>
      <c r="D789" s="106"/>
      <c r="E789" s="106"/>
      <c r="F789" s="106"/>
      <c r="G789" s="84"/>
      <c r="H789" s="106"/>
      <c r="I789" s="106"/>
      <c r="J789" s="106"/>
      <c r="K789" s="106"/>
      <c r="L789" s="106"/>
      <c r="M789" s="104"/>
      <c r="N789" s="106"/>
      <c r="O789" s="428"/>
      <c r="P789" s="106"/>
      <c r="Q789" s="84"/>
      <c r="R789" s="84"/>
      <c r="S789" s="428"/>
      <c r="T789" s="428"/>
      <c r="U789" s="428"/>
      <c r="V789" s="428"/>
      <c r="W789" s="428"/>
      <c r="X789" s="428"/>
      <c r="Y789" s="428"/>
    </row>
    <row r="790" ht="13.5" customHeight="1">
      <c r="A790" s="84"/>
      <c r="B790" s="84"/>
      <c r="C790" s="84"/>
      <c r="D790" s="106"/>
      <c r="E790" s="106"/>
      <c r="F790" s="106"/>
      <c r="G790" s="84"/>
      <c r="H790" s="106"/>
      <c r="I790" s="106"/>
      <c r="J790" s="106"/>
      <c r="K790" s="106"/>
      <c r="L790" s="106"/>
      <c r="M790" s="104"/>
      <c r="N790" s="106"/>
      <c r="O790" s="428"/>
      <c r="P790" s="106"/>
      <c r="Q790" s="84"/>
      <c r="R790" s="84"/>
      <c r="S790" s="428"/>
      <c r="T790" s="428"/>
      <c r="U790" s="428"/>
      <c r="V790" s="428"/>
      <c r="W790" s="428"/>
      <c r="X790" s="428"/>
      <c r="Y790" s="428"/>
    </row>
    <row r="791" ht="13.5" customHeight="1">
      <c r="A791" s="84"/>
      <c r="B791" s="84"/>
      <c r="C791" s="84"/>
      <c r="D791" s="106"/>
      <c r="E791" s="106"/>
      <c r="F791" s="106"/>
      <c r="G791" s="84"/>
      <c r="H791" s="106"/>
      <c r="I791" s="106"/>
      <c r="J791" s="106"/>
      <c r="K791" s="106"/>
      <c r="L791" s="106"/>
      <c r="M791" s="104"/>
      <c r="N791" s="106"/>
      <c r="O791" s="428"/>
      <c r="P791" s="106"/>
      <c r="Q791" s="84"/>
      <c r="R791" s="84"/>
      <c r="S791" s="428"/>
      <c r="T791" s="428"/>
      <c r="U791" s="428"/>
      <c r="V791" s="428"/>
      <c r="W791" s="428"/>
      <c r="X791" s="428"/>
      <c r="Y791" s="428"/>
    </row>
    <row r="792" ht="13.5" customHeight="1">
      <c r="A792" s="84"/>
      <c r="B792" s="84"/>
      <c r="C792" s="84"/>
      <c r="D792" s="106"/>
      <c r="E792" s="106"/>
      <c r="F792" s="106"/>
      <c r="G792" s="84"/>
      <c r="H792" s="106"/>
      <c r="I792" s="106"/>
      <c r="J792" s="106"/>
      <c r="K792" s="106"/>
      <c r="L792" s="106"/>
      <c r="M792" s="104"/>
      <c r="N792" s="106"/>
      <c r="O792" s="428"/>
      <c r="P792" s="106"/>
      <c r="Q792" s="84"/>
      <c r="R792" s="84"/>
      <c r="S792" s="428"/>
      <c r="T792" s="428"/>
      <c r="U792" s="428"/>
      <c r="V792" s="428"/>
      <c r="W792" s="428"/>
      <c r="X792" s="428"/>
      <c r="Y792" s="428"/>
    </row>
    <row r="793" ht="13.5" customHeight="1">
      <c r="A793" s="84"/>
      <c r="B793" s="84"/>
      <c r="C793" s="84"/>
      <c r="D793" s="106"/>
      <c r="E793" s="106"/>
      <c r="F793" s="106"/>
      <c r="G793" s="84"/>
      <c r="H793" s="106"/>
      <c r="I793" s="106"/>
      <c r="J793" s="106"/>
      <c r="K793" s="106"/>
      <c r="L793" s="106"/>
      <c r="M793" s="104"/>
      <c r="N793" s="106"/>
      <c r="O793" s="428"/>
      <c r="P793" s="106"/>
      <c r="Q793" s="84"/>
      <c r="R793" s="84"/>
      <c r="S793" s="428"/>
      <c r="T793" s="428"/>
      <c r="U793" s="428"/>
      <c r="V793" s="428"/>
      <c r="W793" s="428"/>
      <c r="X793" s="428"/>
      <c r="Y793" s="428"/>
    </row>
    <row r="794" ht="13.5" customHeight="1">
      <c r="A794" s="84"/>
      <c r="B794" s="84"/>
      <c r="C794" s="84"/>
      <c r="D794" s="106"/>
      <c r="E794" s="106"/>
      <c r="F794" s="106"/>
      <c r="G794" s="84"/>
      <c r="H794" s="106"/>
      <c r="I794" s="106"/>
      <c r="J794" s="106"/>
      <c r="K794" s="106"/>
      <c r="L794" s="106"/>
      <c r="M794" s="104"/>
      <c r="N794" s="106"/>
      <c r="O794" s="428"/>
      <c r="P794" s="106"/>
      <c r="Q794" s="84"/>
      <c r="R794" s="84"/>
      <c r="S794" s="428"/>
      <c r="T794" s="428"/>
      <c r="U794" s="428"/>
      <c r="V794" s="428"/>
      <c r="W794" s="428"/>
      <c r="X794" s="428"/>
      <c r="Y794" s="428"/>
    </row>
    <row r="795" ht="13.5" customHeight="1">
      <c r="A795" s="84"/>
      <c r="B795" s="84"/>
      <c r="C795" s="84"/>
      <c r="D795" s="106"/>
      <c r="E795" s="106"/>
      <c r="F795" s="106"/>
      <c r="G795" s="84"/>
      <c r="H795" s="106"/>
      <c r="I795" s="106"/>
      <c r="J795" s="106"/>
      <c r="K795" s="106"/>
      <c r="L795" s="106"/>
      <c r="M795" s="104"/>
      <c r="N795" s="106"/>
      <c r="O795" s="428"/>
      <c r="P795" s="106"/>
      <c r="Q795" s="84"/>
      <c r="R795" s="84"/>
      <c r="S795" s="428"/>
      <c r="T795" s="428"/>
      <c r="U795" s="428"/>
      <c r="V795" s="428"/>
      <c r="W795" s="428"/>
      <c r="X795" s="428"/>
      <c r="Y795" s="428"/>
    </row>
    <row r="796" ht="13.5" customHeight="1">
      <c r="A796" s="84"/>
      <c r="B796" s="84"/>
      <c r="C796" s="84"/>
      <c r="D796" s="106"/>
      <c r="E796" s="106"/>
      <c r="F796" s="106"/>
      <c r="G796" s="84"/>
      <c r="H796" s="106"/>
      <c r="I796" s="106"/>
      <c r="J796" s="106"/>
      <c r="K796" s="106"/>
      <c r="L796" s="106"/>
      <c r="M796" s="104"/>
      <c r="N796" s="106"/>
      <c r="O796" s="428"/>
      <c r="P796" s="106"/>
      <c r="Q796" s="84"/>
      <c r="R796" s="84"/>
      <c r="S796" s="428"/>
      <c r="T796" s="428"/>
      <c r="U796" s="428"/>
      <c r="V796" s="428"/>
      <c r="W796" s="428"/>
      <c r="X796" s="428"/>
      <c r="Y796" s="428"/>
    </row>
    <row r="797" ht="13.5" customHeight="1">
      <c r="A797" s="84"/>
      <c r="B797" s="84"/>
      <c r="C797" s="84"/>
      <c r="D797" s="106"/>
      <c r="E797" s="106"/>
      <c r="F797" s="106"/>
      <c r="G797" s="84"/>
      <c r="H797" s="106"/>
      <c r="I797" s="106"/>
      <c r="J797" s="106"/>
      <c r="K797" s="106"/>
      <c r="L797" s="106"/>
      <c r="M797" s="104"/>
      <c r="N797" s="106"/>
      <c r="O797" s="428"/>
      <c r="P797" s="106"/>
      <c r="Q797" s="84"/>
      <c r="R797" s="84"/>
      <c r="S797" s="428"/>
      <c r="T797" s="428"/>
      <c r="U797" s="428"/>
      <c r="V797" s="428"/>
      <c r="W797" s="428"/>
      <c r="X797" s="428"/>
      <c r="Y797" s="428"/>
    </row>
    <row r="798" ht="13.5" customHeight="1">
      <c r="A798" s="84"/>
      <c r="B798" s="84"/>
      <c r="C798" s="84"/>
      <c r="D798" s="106"/>
      <c r="E798" s="106"/>
      <c r="F798" s="106"/>
      <c r="G798" s="84"/>
      <c r="H798" s="106"/>
      <c r="I798" s="106"/>
      <c r="J798" s="106"/>
      <c r="K798" s="106"/>
      <c r="L798" s="106"/>
      <c r="M798" s="104"/>
      <c r="N798" s="106"/>
      <c r="O798" s="428"/>
      <c r="P798" s="106"/>
      <c r="Q798" s="84"/>
      <c r="R798" s="84"/>
      <c r="S798" s="428"/>
      <c r="T798" s="428"/>
      <c r="U798" s="428"/>
      <c r="V798" s="428"/>
      <c r="W798" s="428"/>
      <c r="X798" s="428"/>
      <c r="Y798" s="428"/>
    </row>
    <row r="799" ht="13.5" customHeight="1">
      <c r="A799" s="84"/>
      <c r="B799" s="84"/>
      <c r="C799" s="84"/>
      <c r="D799" s="106"/>
      <c r="E799" s="106"/>
      <c r="F799" s="106"/>
      <c r="G799" s="84"/>
      <c r="H799" s="106"/>
      <c r="I799" s="106"/>
      <c r="J799" s="106"/>
      <c r="K799" s="106"/>
      <c r="L799" s="106"/>
      <c r="M799" s="104"/>
      <c r="N799" s="106"/>
      <c r="O799" s="428"/>
      <c r="P799" s="106"/>
      <c r="Q799" s="84"/>
      <c r="R799" s="84"/>
      <c r="S799" s="428"/>
      <c r="T799" s="428"/>
      <c r="U799" s="428"/>
      <c r="V799" s="428"/>
      <c r="W799" s="428"/>
      <c r="X799" s="428"/>
      <c r="Y799" s="428"/>
    </row>
    <row r="800" ht="13.5" customHeight="1">
      <c r="A800" s="84"/>
      <c r="B800" s="84"/>
      <c r="C800" s="84"/>
      <c r="D800" s="106"/>
      <c r="E800" s="106"/>
      <c r="F800" s="106"/>
      <c r="G800" s="84"/>
      <c r="H800" s="106"/>
      <c r="I800" s="106"/>
      <c r="J800" s="106"/>
      <c r="K800" s="106"/>
      <c r="L800" s="106"/>
      <c r="M800" s="104"/>
      <c r="N800" s="106"/>
      <c r="O800" s="428"/>
      <c r="P800" s="106"/>
      <c r="Q800" s="84"/>
      <c r="R800" s="84"/>
      <c r="S800" s="428"/>
      <c r="T800" s="428"/>
      <c r="U800" s="428"/>
      <c r="V800" s="428"/>
      <c r="W800" s="428"/>
      <c r="X800" s="428"/>
      <c r="Y800" s="428"/>
    </row>
    <row r="801" ht="13.5" customHeight="1">
      <c r="A801" s="84"/>
      <c r="B801" s="84"/>
      <c r="C801" s="84"/>
      <c r="D801" s="106"/>
      <c r="E801" s="106"/>
      <c r="F801" s="106"/>
      <c r="G801" s="84"/>
      <c r="H801" s="106"/>
      <c r="I801" s="106"/>
      <c r="J801" s="106"/>
      <c r="K801" s="106"/>
      <c r="L801" s="106"/>
      <c r="M801" s="104"/>
      <c r="N801" s="106"/>
      <c r="O801" s="428"/>
      <c r="P801" s="106"/>
      <c r="Q801" s="84"/>
      <c r="R801" s="84"/>
      <c r="S801" s="428"/>
      <c r="T801" s="428"/>
      <c r="U801" s="428"/>
      <c r="V801" s="428"/>
      <c r="W801" s="428"/>
      <c r="X801" s="428"/>
      <c r="Y801" s="428"/>
    </row>
    <row r="802" ht="13.5" customHeight="1">
      <c r="A802" s="84"/>
      <c r="B802" s="84"/>
      <c r="C802" s="84"/>
      <c r="D802" s="106"/>
      <c r="E802" s="106"/>
      <c r="F802" s="106"/>
      <c r="G802" s="84"/>
      <c r="H802" s="106"/>
      <c r="I802" s="106"/>
      <c r="J802" s="106"/>
      <c r="K802" s="106"/>
      <c r="L802" s="106"/>
      <c r="M802" s="104"/>
      <c r="N802" s="106"/>
      <c r="O802" s="428"/>
      <c r="P802" s="106"/>
      <c r="Q802" s="84"/>
      <c r="R802" s="84"/>
      <c r="S802" s="428"/>
      <c r="T802" s="428"/>
      <c r="U802" s="428"/>
      <c r="V802" s="428"/>
      <c r="W802" s="428"/>
      <c r="X802" s="428"/>
      <c r="Y802" s="428"/>
    </row>
    <row r="803" ht="13.5" customHeight="1">
      <c r="A803" s="84"/>
      <c r="B803" s="84"/>
      <c r="C803" s="84"/>
      <c r="D803" s="106"/>
      <c r="E803" s="106"/>
      <c r="F803" s="106"/>
      <c r="G803" s="84"/>
      <c r="H803" s="106"/>
      <c r="I803" s="106"/>
      <c r="J803" s="106"/>
      <c r="K803" s="106"/>
      <c r="L803" s="106"/>
      <c r="M803" s="104"/>
      <c r="N803" s="106"/>
      <c r="O803" s="428"/>
      <c r="P803" s="106"/>
      <c r="Q803" s="84"/>
      <c r="R803" s="84"/>
      <c r="S803" s="428"/>
      <c r="T803" s="428"/>
      <c r="U803" s="428"/>
      <c r="V803" s="428"/>
      <c r="W803" s="428"/>
      <c r="X803" s="428"/>
      <c r="Y803" s="428"/>
    </row>
    <row r="804" ht="13.5" customHeight="1">
      <c r="A804" s="84"/>
      <c r="B804" s="84"/>
      <c r="C804" s="84"/>
      <c r="D804" s="106"/>
      <c r="E804" s="106"/>
      <c r="F804" s="106"/>
      <c r="G804" s="84"/>
      <c r="H804" s="106"/>
      <c r="I804" s="106"/>
      <c r="J804" s="106"/>
      <c r="K804" s="106"/>
      <c r="L804" s="106"/>
      <c r="M804" s="104"/>
      <c r="N804" s="106"/>
      <c r="O804" s="428"/>
      <c r="P804" s="106"/>
      <c r="Q804" s="84"/>
      <c r="R804" s="84"/>
      <c r="S804" s="428"/>
      <c r="T804" s="428"/>
      <c r="U804" s="428"/>
      <c r="V804" s="428"/>
      <c r="W804" s="428"/>
      <c r="X804" s="428"/>
      <c r="Y804" s="428"/>
    </row>
    <row r="805" ht="13.5" customHeight="1">
      <c r="A805" s="84"/>
      <c r="B805" s="84"/>
      <c r="C805" s="84"/>
      <c r="D805" s="106"/>
      <c r="E805" s="106"/>
      <c r="F805" s="106"/>
      <c r="G805" s="84"/>
      <c r="H805" s="106"/>
      <c r="I805" s="106"/>
      <c r="J805" s="106"/>
      <c r="K805" s="106"/>
      <c r="L805" s="106"/>
      <c r="M805" s="104"/>
      <c r="N805" s="106"/>
      <c r="O805" s="428"/>
      <c r="P805" s="106"/>
      <c r="Q805" s="84"/>
      <c r="R805" s="84"/>
      <c r="S805" s="428"/>
      <c r="T805" s="428"/>
      <c r="U805" s="428"/>
      <c r="V805" s="428"/>
      <c r="W805" s="428"/>
      <c r="X805" s="428"/>
      <c r="Y805" s="428"/>
    </row>
    <row r="806" ht="13.5" customHeight="1">
      <c r="A806" s="84"/>
      <c r="B806" s="84"/>
      <c r="C806" s="84"/>
      <c r="D806" s="106"/>
      <c r="E806" s="106"/>
      <c r="F806" s="106"/>
      <c r="G806" s="84"/>
      <c r="H806" s="106"/>
      <c r="I806" s="106"/>
      <c r="J806" s="106"/>
      <c r="K806" s="106"/>
      <c r="L806" s="106"/>
      <c r="M806" s="104"/>
      <c r="N806" s="106"/>
      <c r="O806" s="428"/>
      <c r="P806" s="106"/>
      <c r="Q806" s="84"/>
      <c r="R806" s="84"/>
      <c r="S806" s="428"/>
      <c r="T806" s="428"/>
      <c r="U806" s="428"/>
      <c r="V806" s="428"/>
      <c r="W806" s="428"/>
      <c r="X806" s="428"/>
      <c r="Y806" s="428"/>
    </row>
    <row r="807" ht="13.5" customHeight="1">
      <c r="A807" s="84"/>
      <c r="B807" s="84"/>
      <c r="C807" s="84"/>
      <c r="D807" s="106"/>
      <c r="E807" s="106"/>
      <c r="F807" s="106"/>
      <c r="G807" s="84"/>
      <c r="H807" s="106"/>
      <c r="I807" s="106"/>
      <c r="J807" s="106"/>
      <c r="K807" s="106"/>
      <c r="L807" s="106"/>
      <c r="M807" s="104"/>
      <c r="N807" s="106"/>
      <c r="O807" s="428"/>
      <c r="P807" s="106"/>
      <c r="Q807" s="84"/>
      <c r="R807" s="84"/>
      <c r="S807" s="428"/>
      <c r="T807" s="428"/>
      <c r="U807" s="428"/>
      <c r="V807" s="428"/>
      <c r="W807" s="428"/>
      <c r="X807" s="428"/>
      <c r="Y807" s="428"/>
    </row>
    <row r="808" ht="13.5" customHeight="1">
      <c r="A808" s="84"/>
      <c r="B808" s="84"/>
      <c r="C808" s="84"/>
      <c r="D808" s="106"/>
      <c r="E808" s="106"/>
      <c r="F808" s="106"/>
      <c r="G808" s="84"/>
      <c r="H808" s="106"/>
      <c r="I808" s="106"/>
      <c r="J808" s="106"/>
      <c r="K808" s="106"/>
      <c r="L808" s="106"/>
      <c r="M808" s="104"/>
      <c r="N808" s="106"/>
      <c r="O808" s="428"/>
      <c r="P808" s="106"/>
      <c r="Q808" s="84"/>
      <c r="R808" s="84"/>
      <c r="S808" s="428"/>
      <c r="T808" s="428"/>
      <c r="U808" s="428"/>
      <c r="V808" s="428"/>
      <c r="W808" s="428"/>
      <c r="X808" s="428"/>
      <c r="Y808" s="428"/>
    </row>
    <row r="809" ht="13.5" customHeight="1">
      <c r="A809" s="84"/>
      <c r="B809" s="84"/>
      <c r="C809" s="84"/>
      <c r="D809" s="106"/>
      <c r="E809" s="106"/>
      <c r="F809" s="106"/>
      <c r="G809" s="84"/>
      <c r="H809" s="106"/>
      <c r="I809" s="106"/>
      <c r="J809" s="106"/>
      <c r="K809" s="106"/>
      <c r="L809" s="106"/>
      <c r="M809" s="104"/>
      <c r="N809" s="106"/>
      <c r="O809" s="428"/>
      <c r="P809" s="106"/>
      <c r="Q809" s="84"/>
      <c r="R809" s="84"/>
      <c r="S809" s="428"/>
      <c r="T809" s="428"/>
      <c r="U809" s="428"/>
      <c r="V809" s="428"/>
      <c r="W809" s="428"/>
      <c r="X809" s="428"/>
      <c r="Y809" s="428"/>
    </row>
    <row r="810" ht="13.5" customHeight="1">
      <c r="A810" s="84"/>
      <c r="B810" s="84"/>
      <c r="C810" s="84"/>
      <c r="D810" s="106"/>
      <c r="E810" s="106"/>
      <c r="F810" s="106"/>
      <c r="G810" s="84"/>
      <c r="H810" s="106"/>
      <c r="I810" s="106"/>
      <c r="J810" s="106"/>
      <c r="K810" s="106"/>
      <c r="L810" s="106"/>
      <c r="M810" s="104"/>
      <c r="N810" s="106"/>
      <c r="O810" s="428"/>
      <c r="P810" s="106"/>
      <c r="Q810" s="84"/>
      <c r="R810" s="84"/>
      <c r="S810" s="428"/>
      <c r="T810" s="428"/>
      <c r="U810" s="428"/>
      <c r="V810" s="428"/>
      <c r="W810" s="428"/>
      <c r="X810" s="428"/>
      <c r="Y810" s="428"/>
    </row>
    <row r="811" ht="13.5" customHeight="1">
      <c r="A811" s="84"/>
      <c r="B811" s="84"/>
      <c r="C811" s="84"/>
      <c r="D811" s="106"/>
      <c r="E811" s="106"/>
      <c r="F811" s="106"/>
      <c r="G811" s="84"/>
      <c r="H811" s="106"/>
      <c r="I811" s="106"/>
      <c r="J811" s="106"/>
      <c r="K811" s="106"/>
      <c r="L811" s="106"/>
      <c r="M811" s="104"/>
      <c r="N811" s="106"/>
      <c r="O811" s="428"/>
      <c r="P811" s="106"/>
      <c r="Q811" s="84"/>
      <c r="R811" s="84"/>
      <c r="S811" s="428"/>
      <c r="T811" s="428"/>
      <c r="U811" s="428"/>
      <c r="V811" s="428"/>
      <c r="W811" s="428"/>
      <c r="X811" s="428"/>
      <c r="Y811" s="428"/>
    </row>
    <row r="812" ht="13.5" customHeight="1">
      <c r="A812" s="84"/>
      <c r="B812" s="84"/>
      <c r="C812" s="84"/>
      <c r="D812" s="106"/>
      <c r="E812" s="106"/>
      <c r="F812" s="106"/>
      <c r="G812" s="84"/>
      <c r="H812" s="106"/>
      <c r="I812" s="106"/>
      <c r="J812" s="106"/>
      <c r="K812" s="106"/>
      <c r="L812" s="106"/>
      <c r="M812" s="104"/>
      <c r="N812" s="106"/>
      <c r="O812" s="428"/>
      <c r="P812" s="106"/>
      <c r="Q812" s="84"/>
      <c r="R812" s="84"/>
      <c r="S812" s="428"/>
      <c r="T812" s="428"/>
      <c r="U812" s="428"/>
      <c r="V812" s="428"/>
      <c r="W812" s="428"/>
      <c r="X812" s="428"/>
      <c r="Y812" s="428"/>
    </row>
    <row r="813" ht="13.5" customHeight="1">
      <c r="A813" s="84"/>
      <c r="B813" s="84"/>
      <c r="C813" s="84"/>
      <c r="D813" s="106"/>
      <c r="E813" s="106"/>
      <c r="F813" s="106"/>
      <c r="G813" s="84"/>
      <c r="H813" s="106"/>
      <c r="I813" s="106"/>
      <c r="J813" s="106"/>
      <c r="K813" s="106"/>
      <c r="L813" s="106"/>
      <c r="M813" s="104"/>
      <c r="N813" s="106"/>
      <c r="O813" s="428"/>
      <c r="P813" s="106"/>
      <c r="Q813" s="84"/>
      <c r="R813" s="84"/>
      <c r="S813" s="428"/>
      <c r="T813" s="428"/>
      <c r="U813" s="428"/>
      <c r="V813" s="428"/>
      <c r="W813" s="428"/>
      <c r="X813" s="428"/>
      <c r="Y813" s="428"/>
    </row>
    <row r="814" ht="13.5" customHeight="1">
      <c r="A814" s="84"/>
      <c r="B814" s="84"/>
      <c r="C814" s="84"/>
      <c r="D814" s="106"/>
      <c r="E814" s="106"/>
      <c r="F814" s="106"/>
      <c r="G814" s="84"/>
      <c r="H814" s="106"/>
      <c r="I814" s="106"/>
      <c r="J814" s="106"/>
      <c r="K814" s="106"/>
      <c r="L814" s="106"/>
      <c r="M814" s="104"/>
      <c r="N814" s="106"/>
      <c r="O814" s="428"/>
      <c r="P814" s="106"/>
      <c r="Q814" s="84"/>
      <c r="R814" s="84"/>
      <c r="S814" s="428"/>
      <c r="T814" s="428"/>
      <c r="U814" s="428"/>
      <c r="V814" s="428"/>
      <c r="W814" s="428"/>
      <c r="X814" s="428"/>
      <c r="Y814" s="428"/>
    </row>
    <row r="815" ht="13.5" customHeight="1">
      <c r="A815" s="84"/>
      <c r="B815" s="84"/>
      <c r="C815" s="84"/>
      <c r="D815" s="106"/>
      <c r="E815" s="106"/>
      <c r="F815" s="106"/>
      <c r="G815" s="84"/>
      <c r="H815" s="106"/>
      <c r="I815" s="106"/>
      <c r="J815" s="106"/>
      <c r="K815" s="106"/>
      <c r="L815" s="106"/>
      <c r="M815" s="104"/>
      <c r="N815" s="106"/>
      <c r="O815" s="428"/>
      <c r="P815" s="106"/>
      <c r="Q815" s="84"/>
      <c r="R815" s="84"/>
      <c r="S815" s="428"/>
      <c r="T815" s="428"/>
      <c r="U815" s="428"/>
      <c r="V815" s="428"/>
      <c r="W815" s="428"/>
      <c r="X815" s="428"/>
      <c r="Y815" s="428"/>
    </row>
    <row r="816" ht="13.5" customHeight="1">
      <c r="A816" s="84"/>
      <c r="B816" s="84"/>
      <c r="C816" s="84"/>
      <c r="D816" s="106"/>
      <c r="E816" s="106"/>
      <c r="F816" s="106"/>
      <c r="G816" s="84"/>
      <c r="H816" s="106"/>
      <c r="I816" s="106"/>
      <c r="J816" s="106"/>
      <c r="K816" s="106"/>
      <c r="L816" s="106"/>
      <c r="M816" s="104"/>
      <c r="N816" s="106"/>
      <c r="O816" s="428"/>
      <c r="P816" s="106"/>
      <c r="Q816" s="84"/>
      <c r="R816" s="84"/>
      <c r="S816" s="428"/>
      <c r="T816" s="428"/>
      <c r="U816" s="428"/>
      <c r="V816" s="428"/>
      <c r="W816" s="428"/>
      <c r="X816" s="428"/>
      <c r="Y816" s="428"/>
    </row>
    <row r="817" ht="13.5" customHeight="1">
      <c r="A817" s="84"/>
      <c r="B817" s="84"/>
      <c r="C817" s="84"/>
      <c r="D817" s="106"/>
      <c r="E817" s="106"/>
      <c r="F817" s="106"/>
      <c r="G817" s="84"/>
      <c r="H817" s="106"/>
      <c r="I817" s="106"/>
      <c r="J817" s="106"/>
      <c r="K817" s="106"/>
      <c r="L817" s="106"/>
      <c r="M817" s="104"/>
      <c r="N817" s="106"/>
      <c r="O817" s="428"/>
      <c r="P817" s="106"/>
      <c r="Q817" s="84"/>
      <c r="R817" s="84"/>
      <c r="S817" s="428"/>
      <c r="T817" s="428"/>
      <c r="U817" s="428"/>
      <c r="V817" s="428"/>
      <c r="W817" s="428"/>
      <c r="X817" s="428"/>
      <c r="Y817" s="428"/>
    </row>
    <row r="818" ht="13.5" customHeight="1">
      <c r="A818" s="84"/>
      <c r="B818" s="84"/>
      <c r="C818" s="84"/>
      <c r="D818" s="106"/>
      <c r="E818" s="106"/>
      <c r="F818" s="106"/>
      <c r="G818" s="84"/>
      <c r="H818" s="106"/>
      <c r="I818" s="106"/>
      <c r="J818" s="106"/>
      <c r="K818" s="106"/>
      <c r="L818" s="106"/>
      <c r="M818" s="104"/>
      <c r="N818" s="106"/>
      <c r="O818" s="428"/>
      <c r="P818" s="106"/>
      <c r="Q818" s="84"/>
      <c r="R818" s="84"/>
      <c r="S818" s="428"/>
      <c r="T818" s="428"/>
      <c r="U818" s="428"/>
      <c r="V818" s="428"/>
      <c r="W818" s="428"/>
      <c r="X818" s="428"/>
      <c r="Y818" s="428"/>
    </row>
    <row r="819" ht="13.5" customHeight="1">
      <c r="A819" s="84"/>
      <c r="B819" s="84"/>
      <c r="C819" s="84"/>
      <c r="D819" s="106"/>
      <c r="E819" s="106"/>
      <c r="F819" s="106"/>
      <c r="G819" s="84"/>
      <c r="H819" s="106"/>
      <c r="I819" s="106"/>
      <c r="J819" s="106"/>
      <c r="K819" s="106"/>
      <c r="L819" s="106"/>
      <c r="M819" s="104"/>
      <c r="N819" s="106"/>
      <c r="O819" s="428"/>
      <c r="P819" s="106"/>
      <c r="Q819" s="84"/>
      <c r="R819" s="84"/>
      <c r="S819" s="428"/>
      <c r="T819" s="428"/>
      <c r="U819" s="428"/>
      <c r="V819" s="428"/>
      <c r="W819" s="428"/>
      <c r="X819" s="428"/>
      <c r="Y819" s="428"/>
    </row>
    <row r="820" ht="13.5" customHeight="1">
      <c r="A820" s="84"/>
      <c r="B820" s="84"/>
      <c r="C820" s="84"/>
      <c r="D820" s="106"/>
      <c r="E820" s="106"/>
      <c r="F820" s="106"/>
      <c r="G820" s="84"/>
      <c r="H820" s="106"/>
      <c r="I820" s="106"/>
      <c r="J820" s="106"/>
      <c r="K820" s="106"/>
      <c r="L820" s="106"/>
      <c r="M820" s="104"/>
      <c r="N820" s="106"/>
      <c r="O820" s="428"/>
      <c r="P820" s="106"/>
      <c r="Q820" s="84"/>
      <c r="R820" s="84"/>
      <c r="S820" s="428"/>
      <c r="T820" s="428"/>
      <c r="U820" s="428"/>
      <c r="V820" s="428"/>
      <c r="W820" s="428"/>
      <c r="X820" s="428"/>
      <c r="Y820" s="428"/>
    </row>
    <row r="821" ht="13.5" customHeight="1">
      <c r="A821" s="84"/>
      <c r="B821" s="84"/>
      <c r="C821" s="84"/>
      <c r="D821" s="106"/>
      <c r="E821" s="106"/>
      <c r="F821" s="106"/>
      <c r="G821" s="84"/>
      <c r="H821" s="106"/>
      <c r="I821" s="106"/>
      <c r="J821" s="106"/>
      <c r="K821" s="106"/>
      <c r="L821" s="106"/>
      <c r="M821" s="104"/>
      <c r="N821" s="106"/>
      <c r="O821" s="428"/>
      <c r="P821" s="106"/>
      <c r="Q821" s="84"/>
      <c r="R821" s="84"/>
      <c r="S821" s="428"/>
      <c r="T821" s="428"/>
      <c r="U821" s="428"/>
      <c r="V821" s="428"/>
      <c r="W821" s="428"/>
      <c r="X821" s="428"/>
      <c r="Y821" s="428"/>
    </row>
    <row r="822" ht="13.5" customHeight="1">
      <c r="A822" s="84"/>
      <c r="B822" s="84"/>
      <c r="C822" s="84"/>
      <c r="D822" s="106"/>
      <c r="E822" s="106"/>
      <c r="F822" s="106"/>
      <c r="G822" s="84"/>
      <c r="H822" s="106"/>
      <c r="I822" s="106"/>
      <c r="J822" s="106"/>
      <c r="K822" s="106"/>
      <c r="L822" s="106"/>
      <c r="M822" s="104"/>
      <c r="N822" s="106"/>
      <c r="O822" s="428"/>
      <c r="P822" s="106"/>
      <c r="Q822" s="84"/>
      <c r="R822" s="84"/>
      <c r="S822" s="428"/>
      <c r="T822" s="428"/>
      <c r="U822" s="428"/>
      <c r="V822" s="428"/>
      <c r="W822" s="428"/>
      <c r="X822" s="428"/>
      <c r="Y822" s="428"/>
    </row>
    <row r="823" ht="13.5" customHeight="1">
      <c r="A823" s="84"/>
      <c r="B823" s="84"/>
      <c r="C823" s="84"/>
      <c r="D823" s="106"/>
      <c r="E823" s="106"/>
      <c r="F823" s="106"/>
      <c r="G823" s="84"/>
      <c r="H823" s="106"/>
      <c r="I823" s="106"/>
      <c r="J823" s="106"/>
      <c r="K823" s="106"/>
      <c r="L823" s="106"/>
      <c r="M823" s="104"/>
      <c r="N823" s="106"/>
      <c r="O823" s="428"/>
      <c r="P823" s="106"/>
      <c r="Q823" s="84"/>
      <c r="R823" s="84"/>
      <c r="S823" s="428"/>
      <c r="T823" s="428"/>
      <c r="U823" s="428"/>
      <c r="V823" s="428"/>
      <c r="W823" s="428"/>
      <c r="X823" s="428"/>
      <c r="Y823" s="428"/>
    </row>
    <row r="824" ht="13.5" customHeight="1">
      <c r="A824" s="84"/>
      <c r="B824" s="84"/>
      <c r="C824" s="84"/>
      <c r="D824" s="106"/>
      <c r="E824" s="106"/>
      <c r="F824" s="106"/>
      <c r="G824" s="84"/>
      <c r="H824" s="106"/>
      <c r="I824" s="106"/>
      <c r="J824" s="106"/>
      <c r="K824" s="106"/>
      <c r="L824" s="106"/>
      <c r="M824" s="104"/>
      <c r="N824" s="106"/>
      <c r="O824" s="428"/>
      <c r="P824" s="106"/>
      <c r="Q824" s="84"/>
      <c r="R824" s="84"/>
      <c r="S824" s="428"/>
      <c r="T824" s="428"/>
      <c r="U824" s="428"/>
      <c r="V824" s="428"/>
      <c r="W824" s="428"/>
      <c r="X824" s="428"/>
      <c r="Y824" s="428"/>
    </row>
    <row r="825" ht="13.5" customHeight="1">
      <c r="A825" s="84"/>
      <c r="B825" s="84"/>
      <c r="C825" s="84"/>
      <c r="D825" s="106"/>
      <c r="E825" s="106"/>
      <c r="F825" s="106"/>
      <c r="G825" s="84"/>
      <c r="H825" s="106"/>
      <c r="I825" s="106"/>
      <c r="J825" s="106"/>
      <c r="K825" s="106"/>
      <c r="L825" s="106"/>
      <c r="M825" s="104"/>
      <c r="N825" s="106"/>
      <c r="O825" s="428"/>
      <c r="P825" s="106"/>
      <c r="Q825" s="84"/>
      <c r="R825" s="84"/>
      <c r="S825" s="428"/>
      <c r="T825" s="428"/>
      <c r="U825" s="428"/>
      <c r="V825" s="428"/>
      <c r="W825" s="428"/>
      <c r="X825" s="428"/>
      <c r="Y825" s="428"/>
    </row>
    <row r="826" ht="13.5" customHeight="1">
      <c r="A826" s="84"/>
      <c r="B826" s="84"/>
      <c r="C826" s="84"/>
      <c r="D826" s="106"/>
      <c r="E826" s="106"/>
      <c r="F826" s="106"/>
      <c r="G826" s="84"/>
      <c r="H826" s="106"/>
      <c r="I826" s="106"/>
      <c r="J826" s="106"/>
      <c r="K826" s="106"/>
      <c r="L826" s="106"/>
      <c r="M826" s="104"/>
      <c r="N826" s="106"/>
      <c r="O826" s="428"/>
      <c r="P826" s="106"/>
      <c r="Q826" s="84"/>
      <c r="R826" s="84"/>
      <c r="S826" s="428"/>
      <c r="T826" s="428"/>
      <c r="U826" s="428"/>
      <c r="V826" s="428"/>
      <c r="W826" s="428"/>
      <c r="X826" s="428"/>
      <c r="Y826" s="428"/>
    </row>
    <row r="827" ht="13.5" customHeight="1">
      <c r="A827" s="84"/>
      <c r="B827" s="84"/>
      <c r="C827" s="84"/>
      <c r="D827" s="106"/>
      <c r="E827" s="106"/>
      <c r="F827" s="106"/>
      <c r="G827" s="84"/>
      <c r="H827" s="106"/>
      <c r="I827" s="106"/>
      <c r="J827" s="106"/>
      <c r="K827" s="106"/>
      <c r="L827" s="106"/>
      <c r="M827" s="104"/>
      <c r="N827" s="106"/>
      <c r="O827" s="428"/>
      <c r="P827" s="106"/>
      <c r="Q827" s="84"/>
      <c r="R827" s="84"/>
      <c r="S827" s="428"/>
      <c r="T827" s="428"/>
      <c r="U827" s="428"/>
      <c r="V827" s="428"/>
      <c r="W827" s="428"/>
      <c r="X827" s="428"/>
      <c r="Y827" s="428"/>
    </row>
    <row r="828" ht="13.5" customHeight="1">
      <c r="A828" s="84"/>
      <c r="B828" s="84"/>
      <c r="C828" s="84"/>
      <c r="D828" s="106"/>
      <c r="E828" s="106"/>
      <c r="F828" s="106"/>
      <c r="G828" s="84"/>
      <c r="H828" s="106"/>
      <c r="I828" s="106"/>
      <c r="J828" s="106"/>
      <c r="K828" s="106"/>
      <c r="L828" s="106"/>
      <c r="M828" s="104"/>
      <c r="N828" s="106"/>
      <c r="O828" s="428"/>
      <c r="P828" s="106"/>
      <c r="Q828" s="84"/>
      <c r="R828" s="84"/>
      <c r="S828" s="428"/>
      <c r="T828" s="428"/>
      <c r="U828" s="428"/>
      <c r="V828" s="428"/>
      <c r="W828" s="428"/>
      <c r="X828" s="428"/>
      <c r="Y828" s="428"/>
    </row>
    <row r="829" ht="13.5" customHeight="1">
      <c r="A829" s="84"/>
      <c r="B829" s="84"/>
      <c r="C829" s="84"/>
      <c r="D829" s="106"/>
      <c r="E829" s="106"/>
      <c r="F829" s="106"/>
      <c r="G829" s="84"/>
      <c r="H829" s="106"/>
      <c r="I829" s="106"/>
      <c r="J829" s="106"/>
      <c r="K829" s="106"/>
      <c r="L829" s="106"/>
      <c r="M829" s="104"/>
      <c r="N829" s="106"/>
      <c r="O829" s="428"/>
      <c r="P829" s="106"/>
      <c r="Q829" s="84"/>
      <c r="R829" s="84"/>
      <c r="S829" s="428"/>
      <c r="T829" s="428"/>
      <c r="U829" s="428"/>
      <c r="V829" s="428"/>
      <c r="W829" s="428"/>
      <c r="X829" s="428"/>
      <c r="Y829" s="428"/>
    </row>
    <row r="830" ht="13.5" customHeight="1">
      <c r="A830" s="84"/>
      <c r="B830" s="84"/>
      <c r="C830" s="84"/>
      <c r="D830" s="106"/>
      <c r="E830" s="106"/>
      <c r="F830" s="106"/>
      <c r="G830" s="84"/>
      <c r="H830" s="106"/>
      <c r="I830" s="106"/>
      <c r="J830" s="106"/>
      <c r="K830" s="106"/>
      <c r="L830" s="106"/>
      <c r="M830" s="104"/>
      <c r="N830" s="106"/>
      <c r="O830" s="428"/>
      <c r="P830" s="106"/>
      <c r="Q830" s="84"/>
      <c r="R830" s="84"/>
      <c r="S830" s="428"/>
      <c r="T830" s="428"/>
      <c r="U830" s="428"/>
      <c r="V830" s="428"/>
      <c r="W830" s="428"/>
      <c r="X830" s="428"/>
      <c r="Y830" s="428"/>
    </row>
    <row r="831" ht="13.5" customHeight="1">
      <c r="A831" s="84"/>
      <c r="B831" s="84"/>
      <c r="C831" s="84"/>
      <c r="D831" s="106"/>
      <c r="E831" s="106"/>
      <c r="F831" s="106"/>
      <c r="G831" s="84"/>
      <c r="H831" s="106"/>
      <c r="I831" s="106"/>
      <c r="J831" s="106"/>
      <c r="K831" s="106"/>
      <c r="L831" s="106"/>
      <c r="M831" s="104"/>
      <c r="N831" s="106"/>
      <c r="O831" s="428"/>
      <c r="P831" s="106"/>
      <c r="Q831" s="84"/>
      <c r="R831" s="84"/>
      <c r="S831" s="428"/>
      <c r="T831" s="428"/>
      <c r="U831" s="428"/>
      <c r="V831" s="428"/>
      <c r="W831" s="428"/>
      <c r="X831" s="428"/>
      <c r="Y831" s="428"/>
    </row>
    <row r="832" ht="13.5" customHeight="1">
      <c r="A832" s="84"/>
      <c r="B832" s="84"/>
      <c r="C832" s="84"/>
      <c r="D832" s="106"/>
      <c r="E832" s="106"/>
      <c r="F832" s="106"/>
      <c r="G832" s="84"/>
      <c r="H832" s="106"/>
      <c r="I832" s="106"/>
      <c r="J832" s="106"/>
      <c r="K832" s="106"/>
      <c r="L832" s="106"/>
      <c r="M832" s="104"/>
      <c r="N832" s="106"/>
      <c r="O832" s="428"/>
      <c r="P832" s="106"/>
      <c r="Q832" s="84"/>
      <c r="R832" s="84"/>
      <c r="S832" s="428"/>
      <c r="T832" s="428"/>
      <c r="U832" s="428"/>
      <c r="V832" s="428"/>
      <c r="W832" s="428"/>
      <c r="X832" s="428"/>
      <c r="Y832" s="428"/>
    </row>
    <row r="833" ht="13.5" customHeight="1">
      <c r="A833" s="84"/>
      <c r="B833" s="84"/>
      <c r="C833" s="84"/>
      <c r="D833" s="106"/>
      <c r="E833" s="106"/>
      <c r="F833" s="106"/>
      <c r="G833" s="84"/>
      <c r="H833" s="106"/>
      <c r="I833" s="106"/>
      <c r="J833" s="106"/>
      <c r="K833" s="106"/>
      <c r="L833" s="106"/>
      <c r="M833" s="104"/>
      <c r="N833" s="106"/>
      <c r="O833" s="428"/>
      <c r="P833" s="106"/>
      <c r="Q833" s="84"/>
      <c r="R833" s="84"/>
      <c r="S833" s="428"/>
      <c r="T833" s="428"/>
      <c r="U833" s="428"/>
      <c r="V833" s="428"/>
      <c r="W833" s="428"/>
      <c r="X833" s="428"/>
      <c r="Y833" s="428"/>
    </row>
    <row r="834" ht="13.5" customHeight="1">
      <c r="A834" s="84"/>
      <c r="B834" s="84"/>
      <c r="C834" s="84"/>
      <c r="D834" s="106"/>
      <c r="E834" s="106"/>
      <c r="F834" s="106"/>
      <c r="G834" s="84"/>
      <c r="H834" s="106"/>
      <c r="I834" s="106"/>
      <c r="J834" s="106"/>
      <c r="K834" s="106"/>
      <c r="L834" s="106"/>
      <c r="M834" s="104"/>
      <c r="N834" s="106"/>
      <c r="O834" s="428"/>
      <c r="P834" s="106"/>
      <c r="Q834" s="84"/>
      <c r="R834" s="84"/>
      <c r="S834" s="428"/>
      <c r="T834" s="428"/>
      <c r="U834" s="428"/>
      <c r="V834" s="428"/>
      <c r="W834" s="428"/>
      <c r="X834" s="428"/>
      <c r="Y834" s="428"/>
    </row>
    <row r="835" ht="13.5" customHeight="1">
      <c r="A835" s="84"/>
      <c r="B835" s="84"/>
      <c r="C835" s="84"/>
      <c r="D835" s="106"/>
      <c r="E835" s="106"/>
      <c r="F835" s="106"/>
      <c r="G835" s="84"/>
      <c r="H835" s="106"/>
      <c r="I835" s="106"/>
      <c r="J835" s="106"/>
      <c r="K835" s="106"/>
      <c r="L835" s="106"/>
      <c r="M835" s="104"/>
      <c r="N835" s="106"/>
      <c r="O835" s="428"/>
      <c r="P835" s="106"/>
      <c r="Q835" s="84"/>
      <c r="R835" s="84"/>
      <c r="S835" s="428"/>
      <c r="T835" s="428"/>
      <c r="U835" s="428"/>
      <c r="V835" s="428"/>
      <c r="W835" s="428"/>
      <c r="X835" s="428"/>
      <c r="Y835" s="428"/>
    </row>
    <row r="836" ht="13.5" customHeight="1">
      <c r="A836" s="84"/>
      <c r="B836" s="84"/>
      <c r="C836" s="84"/>
      <c r="D836" s="106"/>
      <c r="E836" s="106"/>
      <c r="F836" s="106"/>
      <c r="G836" s="84"/>
      <c r="H836" s="106"/>
      <c r="I836" s="106"/>
      <c r="J836" s="106"/>
      <c r="K836" s="106"/>
      <c r="L836" s="106"/>
      <c r="M836" s="104"/>
      <c r="N836" s="106"/>
      <c r="O836" s="428"/>
      <c r="P836" s="106"/>
      <c r="Q836" s="84"/>
      <c r="R836" s="84"/>
      <c r="S836" s="428"/>
      <c r="T836" s="428"/>
      <c r="U836" s="428"/>
      <c r="V836" s="428"/>
      <c r="W836" s="428"/>
      <c r="X836" s="428"/>
      <c r="Y836" s="428"/>
    </row>
    <row r="837" ht="13.5" customHeight="1">
      <c r="A837" s="84"/>
      <c r="B837" s="84"/>
      <c r="C837" s="84"/>
      <c r="D837" s="106"/>
      <c r="E837" s="106"/>
      <c r="F837" s="106"/>
      <c r="G837" s="84"/>
      <c r="H837" s="106"/>
      <c r="I837" s="106"/>
      <c r="J837" s="106"/>
      <c r="K837" s="106"/>
      <c r="L837" s="106"/>
      <c r="M837" s="104"/>
      <c r="N837" s="106"/>
      <c r="O837" s="428"/>
      <c r="P837" s="106"/>
      <c r="Q837" s="84"/>
      <c r="R837" s="84"/>
      <c r="S837" s="428"/>
      <c r="T837" s="428"/>
      <c r="U837" s="428"/>
      <c r="V837" s="428"/>
      <c r="W837" s="428"/>
      <c r="X837" s="428"/>
      <c r="Y837" s="428"/>
    </row>
    <row r="838" ht="13.5" customHeight="1">
      <c r="A838" s="84"/>
      <c r="B838" s="84"/>
      <c r="C838" s="84"/>
      <c r="D838" s="106"/>
      <c r="E838" s="106"/>
      <c r="F838" s="106"/>
      <c r="G838" s="84"/>
      <c r="H838" s="106"/>
      <c r="I838" s="106"/>
      <c r="J838" s="106"/>
      <c r="K838" s="106"/>
      <c r="L838" s="106"/>
      <c r="M838" s="104"/>
      <c r="N838" s="106"/>
      <c r="O838" s="428"/>
      <c r="P838" s="106"/>
      <c r="Q838" s="84"/>
      <c r="R838" s="84"/>
      <c r="S838" s="428"/>
      <c r="T838" s="428"/>
      <c r="U838" s="428"/>
      <c r="V838" s="428"/>
      <c r="W838" s="428"/>
      <c r="X838" s="428"/>
      <c r="Y838" s="428"/>
    </row>
    <row r="839" ht="13.5" customHeight="1">
      <c r="A839" s="84"/>
      <c r="B839" s="84"/>
      <c r="C839" s="84"/>
      <c r="D839" s="106"/>
      <c r="E839" s="106"/>
      <c r="F839" s="106"/>
      <c r="G839" s="84"/>
      <c r="H839" s="106"/>
      <c r="I839" s="106"/>
      <c r="J839" s="106"/>
      <c r="K839" s="106"/>
      <c r="L839" s="106"/>
      <c r="M839" s="104"/>
      <c r="N839" s="106"/>
      <c r="O839" s="428"/>
      <c r="P839" s="106"/>
      <c r="Q839" s="84"/>
      <c r="R839" s="84"/>
      <c r="S839" s="428"/>
      <c r="T839" s="428"/>
      <c r="U839" s="428"/>
      <c r="V839" s="428"/>
      <c r="W839" s="428"/>
      <c r="X839" s="428"/>
      <c r="Y839" s="428"/>
    </row>
    <row r="840" ht="13.5" customHeight="1">
      <c r="A840" s="84"/>
      <c r="B840" s="84"/>
      <c r="C840" s="84"/>
      <c r="D840" s="106"/>
      <c r="E840" s="106"/>
      <c r="F840" s="106"/>
      <c r="G840" s="84"/>
      <c r="H840" s="106"/>
      <c r="I840" s="106"/>
      <c r="J840" s="106"/>
      <c r="K840" s="106"/>
      <c r="L840" s="106"/>
      <c r="M840" s="104"/>
      <c r="N840" s="106"/>
      <c r="O840" s="428"/>
      <c r="P840" s="106"/>
      <c r="Q840" s="84"/>
      <c r="R840" s="84"/>
      <c r="S840" s="428"/>
      <c r="T840" s="428"/>
      <c r="U840" s="428"/>
      <c r="V840" s="428"/>
      <c r="W840" s="428"/>
      <c r="X840" s="428"/>
      <c r="Y840" s="428"/>
    </row>
    <row r="841" ht="13.5" customHeight="1">
      <c r="A841" s="84"/>
      <c r="B841" s="84"/>
      <c r="C841" s="84"/>
      <c r="D841" s="106"/>
      <c r="E841" s="106"/>
      <c r="F841" s="106"/>
      <c r="G841" s="84"/>
      <c r="H841" s="106"/>
      <c r="I841" s="106"/>
      <c r="J841" s="106"/>
      <c r="K841" s="106"/>
      <c r="L841" s="106"/>
      <c r="M841" s="104"/>
      <c r="N841" s="106"/>
      <c r="O841" s="428"/>
      <c r="P841" s="106"/>
      <c r="Q841" s="84"/>
      <c r="R841" s="84"/>
      <c r="S841" s="428"/>
      <c r="T841" s="428"/>
      <c r="U841" s="428"/>
      <c r="V841" s="428"/>
      <c r="W841" s="428"/>
      <c r="X841" s="428"/>
      <c r="Y841" s="428"/>
    </row>
    <row r="842" ht="13.5" customHeight="1">
      <c r="A842" s="84"/>
      <c r="B842" s="84"/>
      <c r="C842" s="84"/>
      <c r="D842" s="106"/>
      <c r="E842" s="106"/>
      <c r="F842" s="106"/>
      <c r="G842" s="84"/>
      <c r="H842" s="106"/>
      <c r="I842" s="106"/>
      <c r="J842" s="106"/>
      <c r="K842" s="106"/>
      <c r="L842" s="106"/>
      <c r="M842" s="104"/>
      <c r="N842" s="106"/>
      <c r="O842" s="428"/>
      <c r="P842" s="106"/>
      <c r="Q842" s="84"/>
      <c r="R842" s="84"/>
      <c r="S842" s="428"/>
      <c r="T842" s="428"/>
      <c r="U842" s="428"/>
      <c r="V842" s="428"/>
      <c r="W842" s="428"/>
      <c r="X842" s="428"/>
      <c r="Y842" s="428"/>
    </row>
    <row r="843" ht="13.5" customHeight="1">
      <c r="A843" s="84"/>
      <c r="B843" s="84"/>
      <c r="C843" s="84"/>
      <c r="D843" s="106"/>
      <c r="E843" s="106"/>
      <c r="F843" s="106"/>
      <c r="G843" s="84"/>
      <c r="H843" s="106"/>
      <c r="I843" s="106"/>
      <c r="J843" s="106"/>
      <c r="K843" s="106"/>
      <c r="L843" s="106"/>
      <c r="M843" s="104"/>
      <c r="N843" s="106"/>
      <c r="O843" s="428"/>
      <c r="P843" s="106"/>
      <c r="Q843" s="84"/>
      <c r="R843" s="84"/>
      <c r="S843" s="428"/>
      <c r="T843" s="428"/>
      <c r="U843" s="428"/>
      <c r="V843" s="428"/>
      <c r="W843" s="428"/>
      <c r="X843" s="428"/>
      <c r="Y843" s="428"/>
    </row>
    <row r="844" ht="13.5" customHeight="1">
      <c r="A844" s="84"/>
      <c r="B844" s="84"/>
      <c r="C844" s="84"/>
      <c r="D844" s="106"/>
      <c r="E844" s="106"/>
      <c r="F844" s="106"/>
      <c r="G844" s="84"/>
      <c r="H844" s="106"/>
      <c r="I844" s="106"/>
      <c r="J844" s="106"/>
      <c r="K844" s="106"/>
      <c r="L844" s="106"/>
      <c r="M844" s="104"/>
      <c r="N844" s="106"/>
      <c r="O844" s="428"/>
      <c r="P844" s="106"/>
      <c r="Q844" s="84"/>
      <c r="R844" s="84"/>
      <c r="S844" s="428"/>
      <c r="T844" s="428"/>
      <c r="U844" s="428"/>
      <c r="V844" s="428"/>
      <c r="W844" s="428"/>
      <c r="X844" s="428"/>
      <c r="Y844" s="428"/>
    </row>
    <row r="845" ht="13.5" customHeight="1">
      <c r="A845" s="84"/>
      <c r="B845" s="84"/>
      <c r="C845" s="84"/>
      <c r="D845" s="106"/>
      <c r="E845" s="106"/>
      <c r="F845" s="106"/>
      <c r="G845" s="84"/>
      <c r="H845" s="106"/>
      <c r="I845" s="106"/>
      <c r="J845" s="106"/>
      <c r="K845" s="106"/>
      <c r="L845" s="106"/>
      <c r="M845" s="104"/>
      <c r="N845" s="106"/>
      <c r="O845" s="428"/>
      <c r="P845" s="106"/>
      <c r="Q845" s="84"/>
      <c r="R845" s="84"/>
      <c r="S845" s="428"/>
      <c r="T845" s="428"/>
      <c r="U845" s="428"/>
      <c r="V845" s="428"/>
      <c r="W845" s="428"/>
      <c r="X845" s="428"/>
      <c r="Y845" s="428"/>
    </row>
    <row r="846" ht="13.5" customHeight="1">
      <c r="A846" s="84"/>
      <c r="B846" s="84"/>
      <c r="C846" s="84"/>
      <c r="D846" s="106"/>
      <c r="E846" s="106"/>
      <c r="F846" s="106"/>
      <c r="G846" s="84"/>
      <c r="H846" s="106"/>
      <c r="I846" s="106"/>
      <c r="J846" s="106"/>
      <c r="K846" s="106"/>
      <c r="L846" s="106"/>
      <c r="M846" s="104"/>
      <c r="N846" s="106"/>
      <c r="O846" s="428"/>
      <c r="P846" s="106"/>
      <c r="Q846" s="84"/>
      <c r="R846" s="84"/>
      <c r="S846" s="428"/>
      <c r="T846" s="428"/>
      <c r="U846" s="428"/>
      <c r="V846" s="428"/>
      <c r="W846" s="428"/>
      <c r="X846" s="428"/>
      <c r="Y846" s="428"/>
    </row>
    <row r="847" ht="13.5" customHeight="1">
      <c r="A847" s="84"/>
      <c r="B847" s="84"/>
      <c r="C847" s="84"/>
      <c r="D847" s="106"/>
      <c r="E847" s="106"/>
      <c r="F847" s="106"/>
      <c r="G847" s="84"/>
      <c r="H847" s="106"/>
      <c r="I847" s="106"/>
      <c r="J847" s="106"/>
      <c r="K847" s="106"/>
      <c r="L847" s="106"/>
      <c r="M847" s="104"/>
      <c r="N847" s="106"/>
      <c r="O847" s="428"/>
      <c r="P847" s="106"/>
      <c r="Q847" s="84"/>
      <c r="R847" s="84"/>
      <c r="S847" s="428"/>
      <c r="T847" s="428"/>
      <c r="U847" s="428"/>
      <c r="V847" s="428"/>
      <c r="W847" s="428"/>
      <c r="X847" s="428"/>
      <c r="Y847" s="428"/>
    </row>
    <row r="848" ht="13.5" customHeight="1">
      <c r="A848" s="84"/>
      <c r="B848" s="84"/>
      <c r="C848" s="84"/>
      <c r="D848" s="106"/>
      <c r="E848" s="106"/>
      <c r="F848" s="106"/>
      <c r="G848" s="84"/>
      <c r="H848" s="106"/>
      <c r="I848" s="106"/>
      <c r="J848" s="106"/>
      <c r="K848" s="106"/>
      <c r="L848" s="106"/>
      <c r="M848" s="104"/>
      <c r="N848" s="106"/>
      <c r="O848" s="428"/>
      <c r="P848" s="106"/>
      <c r="Q848" s="84"/>
      <c r="R848" s="84"/>
      <c r="S848" s="428"/>
      <c r="T848" s="428"/>
      <c r="U848" s="428"/>
      <c r="V848" s="428"/>
      <c r="W848" s="428"/>
      <c r="X848" s="428"/>
      <c r="Y848" s="428"/>
    </row>
    <row r="849" ht="13.5" customHeight="1">
      <c r="A849" s="84"/>
      <c r="B849" s="84"/>
      <c r="C849" s="84"/>
      <c r="D849" s="106"/>
      <c r="E849" s="106"/>
      <c r="F849" s="106"/>
      <c r="G849" s="84"/>
      <c r="H849" s="106"/>
      <c r="I849" s="106"/>
      <c r="J849" s="106"/>
      <c r="K849" s="106"/>
      <c r="L849" s="106"/>
      <c r="M849" s="104"/>
      <c r="N849" s="106"/>
      <c r="O849" s="428"/>
      <c r="P849" s="106"/>
      <c r="Q849" s="84"/>
      <c r="R849" s="84"/>
      <c r="S849" s="428"/>
      <c r="T849" s="428"/>
      <c r="U849" s="428"/>
      <c r="V849" s="428"/>
      <c r="W849" s="428"/>
      <c r="X849" s="428"/>
      <c r="Y849" s="428"/>
    </row>
    <row r="850" ht="13.5" customHeight="1">
      <c r="A850" s="84"/>
      <c r="B850" s="84"/>
      <c r="C850" s="84"/>
      <c r="D850" s="106"/>
      <c r="E850" s="106"/>
      <c r="F850" s="106"/>
      <c r="G850" s="84"/>
      <c r="H850" s="106"/>
      <c r="I850" s="106"/>
      <c r="J850" s="106"/>
      <c r="K850" s="106"/>
      <c r="L850" s="106"/>
      <c r="M850" s="104"/>
      <c r="N850" s="106"/>
      <c r="O850" s="428"/>
      <c r="P850" s="106"/>
      <c r="Q850" s="84"/>
      <c r="R850" s="84"/>
      <c r="S850" s="428"/>
      <c r="T850" s="428"/>
      <c r="U850" s="428"/>
      <c r="V850" s="428"/>
      <c r="W850" s="428"/>
      <c r="X850" s="428"/>
      <c r="Y850" s="428"/>
    </row>
    <row r="851" ht="13.5" customHeight="1">
      <c r="A851" s="84"/>
      <c r="B851" s="84"/>
      <c r="C851" s="84"/>
      <c r="D851" s="106"/>
      <c r="E851" s="106"/>
      <c r="F851" s="106"/>
      <c r="G851" s="84"/>
      <c r="H851" s="106"/>
      <c r="I851" s="106"/>
      <c r="J851" s="106"/>
      <c r="K851" s="106"/>
      <c r="L851" s="106"/>
      <c r="M851" s="104"/>
      <c r="N851" s="106"/>
      <c r="O851" s="428"/>
      <c r="P851" s="106"/>
      <c r="Q851" s="84"/>
      <c r="R851" s="84"/>
      <c r="S851" s="428"/>
      <c r="T851" s="428"/>
      <c r="U851" s="428"/>
      <c r="V851" s="428"/>
      <c r="W851" s="428"/>
      <c r="X851" s="428"/>
      <c r="Y851" s="428"/>
    </row>
    <row r="852" ht="13.5" customHeight="1">
      <c r="A852" s="84"/>
      <c r="B852" s="84"/>
      <c r="C852" s="84"/>
      <c r="D852" s="106"/>
      <c r="E852" s="106"/>
      <c r="F852" s="106"/>
      <c r="G852" s="84"/>
      <c r="H852" s="106"/>
      <c r="I852" s="106"/>
      <c r="J852" s="106"/>
      <c r="K852" s="106"/>
      <c r="L852" s="106"/>
      <c r="M852" s="104"/>
      <c r="N852" s="106"/>
      <c r="O852" s="428"/>
      <c r="P852" s="106"/>
      <c r="Q852" s="84"/>
      <c r="R852" s="84"/>
      <c r="S852" s="428"/>
      <c r="T852" s="428"/>
      <c r="U852" s="428"/>
      <c r="V852" s="428"/>
      <c r="W852" s="428"/>
      <c r="X852" s="428"/>
      <c r="Y852" s="428"/>
    </row>
    <row r="853" ht="13.5" customHeight="1">
      <c r="A853" s="84"/>
      <c r="B853" s="84"/>
      <c r="C853" s="84"/>
      <c r="D853" s="106"/>
      <c r="E853" s="106"/>
      <c r="F853" s="106"/>
      <c r="G853" s="84"/>
      <c r="H853" s="106"/>
      <c r="I853" s="106"/>
      <c r="J853" s="106"/>
      <c r="K853" s="106"/>
      <c r="L853" s="106"/>
      <c r="M853" s="104"/>
      <c r="N853" s="106"/>
      <c r="O853" s="428"/>
      <c r="P853" s="106"/>
      <c r="Q853" s="84"/>
      <c r="R853" s="84"/>
      <c r="S853" s="428"/>
      <c r="T853" s="428"/>
      <c r="U853" s="428"/>
      <c r="V853" s="428"/>
      <c r="W853" s="428"/>
      <c r="X853" s="428"/>
      <c r="Y853" s="428"/>
    </row>
    <row r="854" ht="13.5" customHeight="1">
      <c r="A854" s="84"/>
      <c r="B854" s="84"/>
      <c r="C854" s="84"/>
      <c r="D854" s="106"/>
      <c r="E854" s="106"/>
      <c r="F854" s="106"/>
      <c r="G854" s="84"/>
      <c r="H854" s="106"/>
      <c r="I854" s="106"/>
      <c r="J854" s="106"/>
      <c r="K854" s="106"/>
      <c r="L854" s="106"/>
      <c r="M854" s="104"/>
      <c r="N854" s="106"/>
      <c r="O854" s="428"/>
      <c r="P854" s="106"/>
      <c r="Q854" s="84"/>
      <c r="R854" s="84"/>
      <c r="S854" s="428"/>
      <c r="T854" s="428"/>
      <c r="U854" s="428"/>
      <c r="V854" s="428"/>
      <c r="W854" s="428"/>
      <c r="X854" s="428"/>
      <c r="Y854" s="428"/>
    </row>
    <row r="855" ht="13.5" customHeight="1">
      <c r="A855" s="84"/>
      <c r="B855" s="84"/>
      <c r="C855" s="84"/>
      <c r="D855" s="106"/>
      <c r="E855" s="106"/>
      <c r="F855" s="106"/>
      <c r="G855" s="84"/>
      <c r="H855" s="106"/>
      <c r="I855" s="106"/>
      <c r="J855" s="106"/>
      <c r="K855" s="106"/>
      <c r="L855" s="106"/>
      <c r="M855" s="104"/>
      <c r="N855" s="106"/>
      <c r="O855" s="428"/>
      <c r="P855" s="106"/>
      <c r="Q855" s="84"/>
      <c r="R855" s="84"/>
      <c r="S855" s="428"/>
      <c r="T855" s="428"/>
      <c r="U855" s="428"/>
      <c r="V855" s="428"/>
      <c r="W855" s="428"/>
      <c r="X855" s="428"/>
      <c r="Y855" s="428"/>
    </row>
    <row r="856" ht="13.5" customHeight="1">
      <c r="A856" s="84"/>
      <c r="B856" s="84"/>
      <c r="C856" s="84"/>
      <c r="D856" s="106"/>
      <c r="E856" s="106"/>
      <c r="F856" s="106"/>
      <c r="G856" s="84"/>
      <c r="H856" s="106"/>
      <c r="I856" s="106"/>
      <c r="J856" s="106"/>
      <c r="K856" s="106"/>
      <c r="L856" s="106"/>
      <c r="M856" s="104"/>
      <c r="N856" s="106"/>
      <c r="O856" s="428"/>
      <c r="P856" s="106"/>
      <c r="Q856" s="84"/>
      <c r="R856" s="84"/>
      <c r="S856" s="428"/>
      <c r="T856" s="428"/>
      <c r="U856" s="428"/>
      <c r="V856" s="428"/>
      <c r="W856" s="428"/>
      <c r="X856" s="428"/>
      <c r="Y856" s="428"/>
    </row>
    <row r="857" ht="13.5" customHeight="1">
      <c r="A857" s="84"/>
      <c r="B857" s="84"/>
      <c r="C857" s="84"/>
      <c r="D857" s="106"/>
      <c r="E857" s="106"/>
      <c r="F857" s="106"/>
      <c r="G857" s="84"/>
      <c r="H857" s="106"/>
      <c r="I857" s="106"/>
      <c r="J857" s="106"/>
      <c r="K857" s="106"/>
      <c r="L857" s="106"/>
      <c r="M857" s="104"/>
      <c r="N857" s="106"/>
      <c r="O857" s="428"/>
      <c r="P857" s="106"/>
      <c r="Q857" s="84"/>
      <c r="R857" s="84"/>
      <c r="S857" s="428"/>
      <c r="T857" s="428"/>
      <c r="U857" s="428"/>
      <c r="V857" s="428"/>
      <c r="W857" s="428"/>
      <c r="X857" s="428"/>
      <c r="Y857" s="428"/>
    </row>
    <row r="858" ht="13.5" customHeight="1">
      <c r="A858" s="84"/>
      <c r="B858" s="84"/>
      <c r="C858" s="84"/>
      <c r="D858" s="106"/>
      <c r="E858" s="106"/>
      <c r="F858" s="106"/>
      <c r="G858" s="84"/>
      <c r="H858" s="106"/>
      <c r="I858" s="106"/>
      <c r="J858" s="106"/>
      <c r="K858" s="106"/>
      <c r="L858" s="106"/>
      <c r="M858" s="104"/>
      <c r="N858" s="106"/>
      <c r="O858" s="428"/>
      <c r="P858" s="106"/>
      <c r="Q858" s="84"/>
      <c r="R858" s="84"/>
      <c r="S858" s="428"/>
      <c r="T858" s="428"/>
      <c r="U858" s="428"/>
      <c r="V858" s="428"/>
      <c r="W858" s="428"/>
      <c r="X858" s="428"/>
      <c r="Y858" s="428"/>
    </row>
    <row r="859" ht="13.5" customHeight="1">
      <c r="A859" s="84"/>
      <c r="B859" s="84"/>
      <c r="C859" s="84"/>
      <c r="D859" s="106"/>
      <c r="E859" s="106"/>
      <c r="F859" s="106"/>
      <c r="G859" s="84"/>
      <c r="H859" s="106"/>
      <c r="I859" s="106"/>
      <c r="J859" s="106"/>
      <c r="K859" s="106"/>
      <c r="L859" s="106"/>
      <c r="M859" s="104"/>
      <c r="N859" s="106"/>
      <c r="O859" s="428"/>
      <c r="P859" s="106"/>
      <c r="Q859" s="84"/>
      <c r="R859" s="84"/>
      <c r="S859" s="428"/>
      <c r="T859" s="428"/>
      <c r="U859" s="428"/>
      <c r="V859" s="428"/>
      <c r="W859" s="428"/>
      <c r="X859" s="428"/>
      <c r="Y859" s="428"/>
    </row>
    <row r="860" ht="13.5" customHeight="1">
      <c r="A860" s="84"/>
      <c r="B860" s="84"/>
      <c r="C860" s="84"/>
      <c r="D860" s="106"/>
      <c r="E860" s="106"/>
      <c r="F860" s="106"/>
      <c r="G860" s="84"/>
      <c r="H860" s="106"/>
      <c r="I860" s="106"/>
      <c r="J860" s="106"/>
      <c r="K860" s="106"/>
      <c r="L860" s="106"/>
      <c r="M860" s="104"/>
      <c r="N860" s="106"/>
      <c r="O860" s="428"/>
      <c r="P860" s="106"/>
      <c r="Q860" s="84"/>
      <c r="R860" s="84"/>
      <c r="S860" s="428"/>
      <c r="T860" s="428"/>
      <c r="U860" s="428"/>
      <c r="V860" s="428"/>
      <c r="W860" s="428"/>
      <c r="X860" s="428"/>
      <c r="Y860" s="428"/>
    </row>
    <row r="861" ht="13.5" customHeight="1">
      <c r="A861" s="84"/>
      <c r="B861" s="84"/>
      <c r="C861" s="84"/>
      <c r="D861" s="106"/>
      <c r="E861" s="106"/>
      <c r="F861" s="106"/>
      <c r="G861" s="84"/>
      <c r="H861" s="106"/>
      <c r="I861" s="106"/>
      <c r="J861" s="106"/>
      <c r="K861" s="106"/>
      <c r="L861" s="106"/>
      <c r="M861" s="104"/>
      <c r="N861" s="106"/>
      <c r="O861" s="428"/>
      <c r="P861" s="106"/>
      <c r="Q861" s="84"/>
      <c r="R861" s="84"/>
      <c r="S861" s="428"/>
      <c r="T861" s="428"/>
      <c r="U861" s="428"/>
      <c r="V861" s="428"/>
      <c r="W861" s="428"/>
      <c r="X861" s="428"/>
      <c r="Y861" s="428"/>
    </row>
    <row r="862" ht="13.5" customHeight="1">
      <c r="A862" s="84"/>
      <c r="B862" s="84"/>
      <c r="C862" s="84"/>
      <c r="D862" s="106"/>
      <c r="E862" s="106"/>
      <c r="F862" s="106"/>
      <c r="G862" s="84"/>
      <c r="H862" s="106"/>
      <c r="I862" s="106"/>
      <c r="J862" s="106"/>
      <c r="K862" s="106"/>
      <c r="L862" s="106"/>
      <c r="M862" s="104"/>
      <c r="N862" s="106"/>
      <c r="O862" s="428"/>
      <c r="P862" s="106"/>
      <c r="Q862" s="84"/>
      <c r="R862" s="84"/>
      <c r="S862" s="428"/>
      <c r="T862" s="428"/>
      <c r="U862" s="428"/>
      <c r="V862" s="428"/>
      <c r="W862" s="428"/>
      <c r="X862" s="428"/>
      <c r="Y862" s="428"/>
    </row>
    <row r="863" ht="13.5" customHeight="1">
      <c r="A863" s="84"/>
      <c r="B863" s="84"/>
      <c r="C863" s="84"/>
      <c r="D863" s="106"/>
      <c r="E863" s="106"/>
      <c r="F863" s="106"/>
      <c r="G863" s="84"/>
      <c r="H863" s="106"/>
      <c r="I863" s="106"/>
      <c r="J863" s="106"/>
      <c r="K863" s="106"/>
      <c r="L863" s="106"/>
      <c r="M863" s="104"/>
      <c r="N863" s="106"/>
      <c r="O863" s="428"/>
      <c r="P863" s="106"/>
      <c r="Q863" s="84"/>
      <c r="R863" s="84"/>
      <c r="S863" s="428"/>
      <c r="T863" s="428"/>
      <c r="U863" s="428"/>
      <c r="V863" s="428"/>
      <c r="W863" s="428"/>
      <c r="X863" s="428"/>
      <c r="Y863" s="428"/>
    </row>
    <row r="864" ht="13.5" customHeight="1">
      <c r="A864" s="84"/>
      <c r="B864" s="84"/>
      <c r="C864" s="84"/>
      <c r="D864" s="106"/>
      <c r="E864" s="106"/>
      <c r="F864" s="106"/>
      <c r="G864" s="84"/>
      <c r="H864" s="106"/>
      <c r="I864" s="106"/>
      <c r="J864" s="106"/>
      <c r="K864" s="106"/>
      <c r="L864" s="106"/>
      <c r="M864" s="104"/>
      <c r="N864" s="106"/>
      <c r="O864" s="428"/>
      <c r="P864" s="106"/>
      <c r="Q864" s="84"/>
      <c r="R864" s="84"/>
      <c r="S864" s="428"/>
      <c r="T864" s="428"/>
      <c r="U864" s="428"/>
      <c r="V864" s="428"/>
      <c r="W864" s="428"/>
      <c r="X864" s="428"/>
      <c r="Y864" s="428"/>
    </row>
    <row r="865" ht="13.5" customHeight="1">
      <c r="A865" s="84"/>
      <c r="B865" s="84"/>
      <c r="C865" s="84"/>
      <c r="D865" s="106"/>
      <c r="E865" s="106"/>
      <c r="F865" s="106"/>
      <c r="G865" s="84"/>
      <c r="H865" s="106"/>
      <c r="I865" s="106"/>
      <c r="J865" s="106"/>
      <c r="K865" s="106"/>
      <c r="L865" s="106"/>
      <c r="M865" s="104"/>
      <c r="N865" s="106"/>
      <c r="O865" s="428"/>
      <c r="P865" s="106"/>
      <c r="Q865" s="84"/>
      <c r="R865" s="84"/>
      <c r="S865" s="428"/>
      <c r="T865" s="428"/>
      <c r="U865" s="428"/>
      <c r="V865" s="428"/>
      <c r="W865" s="428"/>
      <c r="X865" s="428"/>
      <c r="Y865" s="428"/>
    </row>
    <row r="866" ht="13.5" customHeight="1">
      <c r="A866" s="84"/>
      <c r="B866" s="84"/>
      <c r="C866" s="84"/>
      <c r="D866" s="106"/>
      <c r="E866" s="106"/>
      <c r="F866" s="106"/>
      <c r="G866" s="84"/>
      <c r="H866" s="106"/>
      <c r="I866" s="106"/>
      <c r="J866" s="106"/>
      <c r="K866" s="106"/>
      <c r="L866" s="106"/>
      <c r="M866" s="104"/>
      <c r="N866" s="106"/>
      <c r="O866" s="428"/>
      <c r="P866" s="106"/>
      <c r="Q866" s="84"/>
      <c r="R866" s="84"/>
      <c r="S866" s="428"/>
      <c r="T866" s="428"/>
      <c r="U866" s="428"/>
      <c r="V866" s="428"/>
      <c r="W866" s="428"/>
      <c r="X866" s="428"/>
      <c r="Y866" s="428"/>
    </row>
    <row r="867" ht="13.5" customHeight="1">
      <c r="A867" s="84"/>
      <c r="B867" s="84"/>
      <c r="C867" s="84"/>
      <c r="D867" s="106"/>
      <c r="E867" s="106"/>
      <c r="F867" s="106"/>
      <c r="G867" s="84"/>
      <c r="H867" s="106"/>
      <c r="I867" s="106"/>
      <c r="J867" s="106"/>
      <c r="K867" s="106"/>
      <c r="L867" s="106"/>
      <c r="M867" s="104"/>
      <c r="N867" s="106"/>
      <c r="O867" s="428"/>
      <c r="P867" s="106"/>
      <c r="Q867" s="84"/>
      <c r="R867" s="84"/>
      <c r="S867" s="428"/>
      <c r="T867" s="428"/>
      <c r="U867" s="428"/>
      <c r="V867" s="428"/>
      <c r="W867" s="428"/>
      <c r="X867" s="428"/>
      <c r="Y867" s="428"/>
    </row>
    <row r="868" ht="13.5" customHeight="1">
      <c r="A868" s="84"/>
      <c r="B868" s="84"/>
      <c r="C868" s="84"/>
      <c r="D868" s="106"/>
      <c r="E868" s="106"/>
      <c r="F868" s="106"/>
      <c r="G868" s="84"/>
      <c r="H868" s="106"/>
      <c r="I868" s="106"/>
      <c r="J868" s="106"/>
      <c r="K868" s="106"/>
      <c r="L868" s="106"/>
      <c r="M868" s="104"/>
      <c r="N868" s="106"/>
      <c r="O868" s="428"/>
      <c r="P868" s="106"/>
      <c r="Q868" s="84"/>
      <c r="R868" s="84"/>
      <c r="S868" s="428"/>
      <c r="T868" s="428"/>
      <c r="U868" s="428"/>
      <c r="V868" s="428"/>
      <c r="W868" s="428"/>
      <c r="X868" s="428"/>
      <c r="Y868" s="428"/>
    </row>
    <row r="869" ht="13.5" customHeight="1">
      <c r="A869" s="84"/>
      <c r="B869" s="84"/>
      <c r="C869" s="84"/>
      <c r="D869" s="106"/>
      <c r="E869" s="106"/>
      <c r="F869" s="106"/>
      <c r="G869" s="84"/>
      <c r="H869" s="106"/>
      <c r="I869" s="106"/>
      <c r="J869" s="106"/>
      <c r="K869" s="106"/>
      <c r="L869" s="106"/>
      <c r="M869" s="104"/>
      <c r="N869" s="106"/>
      <c r="O869" s="428"/>
      <c r="P869" s="106"/>
      <c r="Q869" s="84"/>
      <c r="R869" s="84"/>
      <c r="S869" s="428"/>
      <c r="T869" s="428"/>
      <c r="U869" s="428"/>
      <c r="V869" s="428"/>
      <c r="W869" s="428"/>
      <c r="X869" s="428"/>
      <c r="Y869" s="428"/>
    </row>
    <row r="870" ht="13.5" customHeight="1">
      <c r="A870" s="84"/>
      <c r="B870" s="84"/>
      <c r="C870" s="84"/>
      <c r="D870" s="106"/>
      <c r="E870" s="106"/>
      <c r="F870" s="106"/>
      <c r="G870" s="84"/>
      <c r="H870" s="106"/>
      <c r="I870" s="106"/>
      <c r="J870" s="106"/>
      <c r="K870" s="106"/>
      <c r="L870" s="106"/>
      <c r="M870" s="104"/>
      <c r="N870" s="106"/>
      <c r="O870" s="428"/>
      <c r="P870" s="106"/>
      <c r="Q870" s="84"/>
      <c r="R870" s="84"/>
      <c r="S870" s="428"/>
      <c r="T870" s="428"/>
      <c r="U870" s="428"/>
      <c r="V870" s="428"/>
      <c r="W870" s="428"/>
      <c r="X870" s="428"/>
      <c r="Y870" s="428"/>
    </row>
    <row r="871" ht="13.5" customHeight="1">
      <c r="A871" s="84"/>
      <c r="B871" s="84"/>
      <c r="C871" s="84"/>
      <c r="D871" s="106"/>
      <c r="E871" s="106"/>
      <c r="F871" s="106"/>
      <c r="G871" s="84"/>
      <c r="H871" s="106"/>
      <c r="I871" s="106"/>
      <c r="J871" s="106"/>
      <c r="K871" s="106"/>
      <c r="L871" s="106"/>
      <c r="M871" s="104"/>
      <c r="N871" s="106"/>
      <c r="O871" s="428"/>
      <c r="P871" s="106"/>
      <c r="Q871" s="84"/>
      <c r="R871" s="84"/>
      <c r="S871" s="428"/>
      <c r="T871" s="428"/>
      <c r="U871" s="428"/>
      <c r="V871" s="428"/>
      <c r="W871" s="428"/>
      <c r="X871" s="428"/>
      <c r="Y871" s="428"/>
    </row>
    <row r="872" ht="13.5" customHeight="1">
      <c r="A872" s="84"/>
      <c r="B872" s="84"/>
      <c r="C872" s="84"/>
      <c r="D872" s="106"/>
      <c r="E872" s="106"/>
      <c r="F872" s="106"/>
      <c r="G872" s="84"/>
      <c r="H872" s="106"/>
      <c r="I872" s="106"/>
      <c r="J872" s="106"/>
      <c r="K872" s="106"/>
      <c r="L872" s="106"/>
      <c r="M872" s="104"/>
      <c r="N872" s="106"/>
      <c r="O872" s="428"/>
      <c r="P872" s="106"/>
      <c r="Q872" s="84"/>
      <c r="R872" s="84"/>
      <c r="S872" s="428"/>
      <c r="T872" s="428"/>
      <c r="U872" s="428"/>
      <c r="V872" s="428"/>
      <c r="W872" s="428"/>
      <c r="X872" s="428"/>
      <c r="Y872" s="428"/>
    </row>
    <row r="873" ht="13.5" customHeight="1">
      <c r="A873" s="84"/>
      <c r="B873" s="84"/>
      <c r="C873" s="84"/>
      <c r="D873" s="106"/>
      <c r="E873" s="106"/>
      <c r="F873" s="106"/>
      <c r="G873" s="84"/>
      <c r="H873" s="106"/>
      <c r="I873" s="106"/>
      <c r="J873" s="106"/>
      <c r="K873" s="106"/>
      <c r="L873" s="106"/>
      <c r="M873" s="104"/>
      <c r="N873" s="106"/>
      <c r="O873" s="428"/>
      <c r="P873" s="106"/>
      <c r="Q873" s="84"/>
      <c r="R873" s="84"/>
      <c r="S873" s="428"/>
      <c r="T873" s="428"/>
      <c r="U873" s="428"/>
      <c r="V873" s="428"/>
      <c r="W873" s="428"/>
      <c r="X873" s="428"/>
      <c r="Y873" s="428"/>
    </row>
    <row r="874" ht="13.5" customHeight="1">
      <c r="A874" s="84"/>
      <c r="B874" s="84"/>
      <c r="C874" s="84"/>
      <c r="D874" s="106"/>
      <c r="E874" s="106"/>
      <c r="F874" s="106"/>
      <c r="G874" s="84"/>
      <c r="H874" s="106"/>
      <c r="I874" s="106"/>
      <c r="J874" s="106"/>
      <c r="K874" s="106"/>
      <c r="L874" s="106"/>
      <c r="M874" s="104"/>
      <c r="N874" s="106"/>
      <c r="O874" s="428"/>
      <c r="P874" s="106"/>
      <c r="Q874" s="84"/>
      <c r="R874" s="84"/>
      <c r="S874" s="428"/>
      <c r="T874" s="428"/>
      <c r="U874" s="428"/>
      <c r="V874" s="428"/>
      <c r="W874" s="428"/>
      <c r="X874" s="428"/>
      <c r="Y874" s="428"/>
    </row>
    <row r="875" ht="13.5" customHeight="1">
      <c r="A875" s="84"/>
      <c r="B875" s="84"/>
      <c r="C875" s="84"/>
      <c r="D875" s="106"/>
      <c r="E875" s="106"/>
      <c r="F875" s="106"/>
      <c r="G875" s="84"/>
      <c r="H875" s="106"/>
      <c r="I875" s="106"/>
      <c r="J875" s="106"/>
      <c r="K875" s="106"/>
      <c r="L875" s="106"/>
      <c r="M875" s="104"/>
      <c r="N875" s="106"/>
      <c r="O875" s="428"/>
      <c r="P875" s="106"/>
      <c r="Q875" s="84"/>
      <c r="R875" s="84"/>
      <c r="S875" s="428"/>
      <c r="T875" s="428"/>
      <c r="U875" s="428"/>
      <c r="V875" s="428"/>
      <c r="W875" s="428"/>
      <c r="X875" s="428"/>
      <c r="Y875" s="428"/>
    </row>
    <row r="876" ht="13.5" customHeight="1">
      <c r="A876" s="84"/>
      <c r="B876" s="84"/>
      <c r="C876" s="84"/>
      <c r="D876" s="106"/>
      <c r="E876" s="106"/>
      <c r="F876" s="106"/>
      <c r="G876" s="84"/>
      <c r="H876" s="106"/>
      <c r="I876" s="106"/>
      <c r="J876" s="106"/>
      <c r="K876" s="106"/>
      <c r="L876" s="106"/>
      <c r="M876" s="104"/>
      <c r="N876" s="106"/>
      <c r="O876" s="428"/>
      <c r="P876" s="106"/>
      <c r="Q876" s="84"/>
      <c r="R876" s="84"/>
      <c r="S876" s="428"/>
      <c r="T876" s="428"/>
      <c r="U876" s="428"/>
      <c r="V876" s="428"/>
      <c r="W876" s="428"/>
      <c r="X876" s="428"/>
      <c r="Y876" s="428"/>
    </row>
    <row r="877" ht="13.5" customHeight="1">
      <c r="A877" s="84"/>
      <c r="B877" s="84"/>
      <c r="C877" s="84"/>
      <c r="D877" s="106"/>
      <c r="E877" s="106"/>
      <c r="F877" s="106"/>
      <c r="G877" s="84"/>
      <c r="H877" s="106"/>
      <c r="I877" s="106"/>
      <c r="J877" s="106"/>
      <c r="K877" s="106"/>
      <c r="L877" s="106"/>
      <c r="M877" s="104"/>
      <c r="N877" s="106"/>
      <c r="O877" s="428"/>
      <c r="P877" s="106"/>
      <c r="Q877" s="84"/>
      <c r="R877" s="84"/>
      <c r="S877" s="428"/>
      <c r="T877" s="428"/>
      <c r="U877" s="428"/>
      <c r="V877" s="428"/>
      <c r="W877" s="428"/>
      <c r="X877" s="428"/>
      <c r="Y877" s="428"/>
    </row>
    <row r="878" ht="13.5" customHeight="1">
      <c r="A878" s="84"/>
      <c r="B878" s="84"/>
      <c r="C878" s="84"/>
      <c r="D878" s="106"/>
      <c r="E878" s="106"/>
      <c r="F878" s="106"/>
      <c r="G878" s="84"/>
      <c r="H878" s="106"/>
      <c r="I878" s="106"/>
      <c r="J878" s="106"/>
      <c r="K878" s="106"/>
      <c r="L878" s="106"/>
      <c r="M878" s="104"/>
      <c r="N878" s="106"/>
      <c r="O878" s="428"/>
      <c r="P878" s="106"/>
      <c r="Q878" s="84"/>
      <c r="R878" s="84"/>
      <c r="S878" s="428"/>
      <c r="T878" s="428"/>
      <c r="U878" s="428"/>
      <c r="V878" s="428"/>
      <c r="W878" s="428"/>
      <c r="X878" s="428"/>
      <c r="Y878" s="428"/>
    </row>
    <row r="879" ht="13.5" customHeight="1">
      <c r="A879" s="84"/>
      <c r="B879" s="84"/>
      <c r="C879" s="84"/>
      <c r="D879" s="106"/>
      <c r="E879" s="106"/>
      <c r="F879" s="106"/>
      <c r="G879" s="84"/>
      <c r="H879" s="106"/>
      <c r="I879" s="106"/>
      <c r="J879" s="106"/>
      <c r="K879" s="106"/>
      <c r="L879" s="106"/>
      <c r="M879" s="104"/>
      <c r="N879" s="106"/>
      <c r="O879" s="428"/>
      <c r="P879" s="106"/>
      <c r="Q879" s="84"/>
      <c r="R879" s="84"/>
      <c r="S879" s="428"/>
      <c r="T879" s="428"/>
      <c r="U879" s="428"/>
      <c r="V879" s="428"/>
      <c r="W879" s="428"/>
      <c r="X879" s="428"/>
      <c r="Y879" s="428"/>
    </row>
    <row r="880" ht="13.5" customHeight="1">
      <c r="A880" s="84"/>
      <c r="B880" s="84"/>
      <c r="C880" s="84"/>
      <c r="D880" s="106"/>
      <c r="E880" s="106"/>
      <c r="F880" s="106"/>
      <c r="G880" s="84"/>
      <c r="H880" s="106"/>
      <c r="I880" s="106"/>
      <c r="J880" s="106"/>
      <c r="K880" s="106"/>
      <c r="L880" s="106"/>
      <c r="M880" s="104"/>
      <c r="N880" s="106"/>
      <c r="O880" s="428"/>
      <c r="P880" s="106"/>
      <c r="Q880" s="84"/>
      <c r="R880" s="84"/>
      <c r="S880" s="428"/>
      <c r="T880" s="428"/>
      <c r="U880" s="428"/>
      <c r="V880" s="428"/>
      <c r="W880" s="428"/>
      <c r="X880" s="428"/>
      <c r="Y880" s="428"/>
    </row>
    <row r="881" ht="13.5" customHeight="1">
      <c r="A881" s="84"/>
      <c r="B881" s="84"/>
      <c r="C881" s="84"/>
      <c r="D881" s="106"/>
      <c r="E881" s="106"/>
      <c r="F881" s="106"/>
      <c r="G881" s="84"/>
      <c r="H881" s="106"/>
      <c r="I881" s="106"/>
      <c r="J881" s="106"/>
      <c r="K881" s="106"/>
      <c r="L881" s="106"/>
      <c r="M881" s="104"/>
      <c r="N881" s="106"/>
      <c r="O881" s="428"/>
      <c r="P881" s="106"/>
      <c r="Q881" s="84"/>
      <c r="R881" s="84"/>
      <c r="S881" s="428"/>
      <c r="T881" s="428"/>
      <c r="U881" s="428"/>
      <c r="V881" s="428"/>
      <c r="W881" s="428"/>
      <c r="X881" s="428"/>
      <c r="Y881" s="428"/>
    </row>
    <row r="882" ht="13.5" customHeight="1">
      <c r="A882" s="84"/>
      <c r="B882" s="84"/>
      <c r="C882" s="84"/>
      <c r="D882" s="106"/>
      <c r="E882" s="106"/>
      <c r="F882" s="106"/>
      <c r="G882" s="84"/>
      <c r="H882" s="106"/>
      <c r="I882" s="106"/>
      <c r="J882" s="106"/>
      <c r="K882" s="106"/>
      <c r="L882" s="106"/>
      <c r="M882" s="104"/>
      <c r="N882" s="106"/>
      <c r="O882" s="428"/>
      <c r="P882" s="106"/>
      <c r="Q882" s="84"/>
      <c r="R882" s="84"/>
      <c r="S882" s="428"/>
      <c r="T882" s="428"/>
      <c r="U882" s="428"/>
      <c r="V882" s="428"/>
      <c r="W882" s="428"/>
      <c r="X882" s="428"/>
      <c r="Y882" s="428"/>
    </row>
    <row r="883" ht="13.5" customHeight="1">
      <c r="A883" s="84"/>
      <c r="B883" s="84"/>
      <c r="C883" s="84"/>
      <c r="D883" s="106"/>
      <c r="E883" s="106"/>
      <c r="F883" s="106"/>
      <c r="G883" s="84"/>
      <c r="H883" s="106"/>
      <c r="I883" s="106"/>
      <c r="J883" s="106"/>
      <c r="K883" s="106"/>
      <c r="L883" s="106"/>
      <c r="M883" s="104"/>
      <c r="N883" s="106"/>
      <c r="O883" s="428"/>
      <c r="P883" s="106"/>
      <c r="Q883" s="84"/>
      <c r="R883" s="84"/>
      <c r="S883" s="428"/>
      <c r="T883" s="428"/>
      <c r="U883" s="428"/>
      <c r="V883" s="428"/>
      <c r="W883" s="428"/>
      <c r="X883" s="428"/>
      <c r="Y883" s="428"/>
    </row>
    <row r="884" ht="13.5" customHeight="1">
      <c r="A884" s="84"/>
      <c r="B884" s="84"/>
      <c r="C884" s="84"/>
      <c r="D884" s="106"/>
      <c r="E884" s="106"/>
      <c r="F884" s="106"/>
      <c r="G884" s="84"/>
      <c r="H884" s="106"/>
      <c r="I884" s="106"/>
      <c r="J884" s="106"/>
      <c r="K884" s="106"/>
      <c r="L884" s="106"/>
      <c r="M884" s="104"/>
      <c r="N884" s="106"/>
      <c r="O884" s="428"/>
      <c r="P884" s="106"/>
      <c r="Q884" s="84"/>
      <c r="R884" s="84"/>
      <c r="S884" s="428"/>
      <c r="T884" s="428"/>
      <c r="U884" s="428"/>
      <c r="V884" s="428"/>
      <c r="W884" s="428"/>
      <c r="X884" s="428"/>
      <c r="Y884" s="428"/>
    </row>
    <row r="885" ht="13.5" customHeight="1">
      <c r="A885" s="84"/>
      <c r="B885" s="84"/>
      <c r="C885" s="84"/>
      <c r="D885" s="106"/>
      <c r="E885" s="106"/>
      <c r="F885" s="106"/>
      <c r="G885" s="84"/>
      <c r="H885" s="106"/>
      <c r="I885" s="106"/>
      <c r="J885" s="106"/>
      <c r="K885" s="106"/>
      <c r="L885" s="106"/>
      <c r="M885" s="104"/>
      <c r="N885" s="106"/>
      <c r="O885" s="428"/>
      <c r="P885" s="106"/>
      <c r="Q885" s="84"/>
      <c r="R885" s="84"/>
      <c r="S885" s="428"/>
      <c r="T885" s="428"/>
      <c r="U885" s="428"/>
      <c r="V885" s="428"/>
      <c r="W885" s="428"/>
      <c r="X885" s="428"/>
      <c r="Y885" s="428"/>
    </row>
    <row r="886" ht="13.5" customHeight="1">
      <c r="A886" s="84"/>
      <c r="B886" s="84"/>
      <c r="C886" s="84"/>
      <c r="D886" s="106"/>
      <c r="E886" s="106"/>
      <c r="F886" s="106"/>
      <c r="G886" s="84"/>
      <c r="H886" s="106"/>
      <c r="I886" s="106"/>
      <c r="J886" s="106"/>
      <c r="K886" s="106"/>
      <c r="L886" s="106"/>
      <c r="M886" s="104"/>
      <c r="N886" s="106"/>
      <c r="O886" s="428"/>
      <c r="P886" s="106"/>
      <c r="Q886" s="84"/>
      <c r="R886" s="84"/>
      <c r="S886" s="428"/>
      <c r="T886" s="428"/>
      <c r="U886" s="428"/>
      <c r="V886" s="428"/>
      <c r="W886" s="428"/>
      <c r="X886" s="428"/>
      <c r="Y886" s="428"/>
    </row>
    <row r="887" ht="13.5" customHeight="1">
      <c r="A887" s="84"/>
      <c r="B887" s="84"/>
      <c r="C887" s="84"/>
      <c r="D887" s="106"/>
      <c r="E887" s="106"/>
      <c r="F887" s="106"/>
      <c r="G887" s="84"/>
      <c r="H887" s="106"/>
      <c r="I887" s="106"/>
      <c r="J887" s="106"/>
      <c r="K887" s="106"/>
      <c r="L887" s="106"/>
      <c r="M887" s="104"/>
      <c r="N887" s="106"/>
      <c r="O887" s="428"/>
      <c r="P887" s="106"/>
      <c r="Q887" s="84"/>
      <c r="R887" s="84"/>
      <c r="S887" s="428"/>
      <c r="T887" s="428"/>
      <c r="U887" s="428"/>
      <c r="V887" s="428"/>
      <c r="W887" s="428"/>
      <c r="X887" s="428"/>
      <c r="Y887" s="428"/>
    </row>
    <row r="888" ht="13.5" customHeight="1">
      <c r="A888" s="84"/>
      <c r="B888" s="84"/>
      <c r="C888" s="84"/>
      <c r="D888" s="106"/>
      <c r="E888" s="106"/>
      <c r="F888" s="106"/>
      <c r="G888" s="84"/>
      <c r="H888" s="106"/>
      <c r="I888" s="106"/>
      <c r="J888" s="106"/>
      <c r="K888" s="106"/>
      <c r="L888" s="106"/>
      <c r="M888" s="104"/>
      <c r="N888" s="106"/>
      <c r="O888" s="428"/>
      <c r="P888" s="106"/>
      <c r="Q888" s="84"/>
      <c r="R888" s="84"/>
      <c r="S888" s="428"/>
      <c r="T888" s="428"/>
      <c r="U888" s="428"/>
      <c r="V888" s="428"/>
      <c r="W888" s="428"/>
      <c r="X888" s="428"/>
      <c r="Y888" s="428"/>
    </row>
    <row r="889" ht="13.5" customHeight="1">
      <c r="A889" s="84"/>
      <c r="B889" s="84"/>
      <c r="C889" s="84"/>
      <c r="D889" s="106"/>
      <c r="E889" s="106"/>
      <c r="F889" s="106"/>
      <c r="G889" s="84"/>
      <c r="H889" s="106"/>
      <c r="I889" s="106"/>
      <c r="J889" s="106"/>
      <c r="K889" s="106"/>
      <c r="L889" s="106"/>
      <c r="M889" s="104"/>
      <c r="N889" s="106"/>
      <c r="O889" s="428"/>
      <c r="P889" s="106"/>
      <c r="Q889" s="84"/>
      <c r="R889" s="84"/>
      <c r="S889" s="428"/>
      <c r="T889" s="428"/>
      <c r="U889" s="428"/>
      <c r="V889" s="428"/>
      <c r="W889" s="428"/>
      <c r="X889" s="428"/>
      <c r="Y889" s="428"/>
    </row>
    <row r="890" ht="13.5" customHeight="1">
      <c r="A890" s="84"/>
      <c r="B890" s="84"/>
      <c r="C890" s="84"/>
      <c r="D890" s="106"/>
      <c r="E890" s="106"/>
      <c r="F890" s="106"/>
      <c r="G890" s="84"/>
      <c r="H890" s="106"/>
      <c r="I890" s="106"/>
      <c r="J890" s="106"/>
      <c r="K890" s="106"/>
      <c r="L890" s="106"/>
      <c r="M890" s="104"/>
      <c r="N890" s="106"/>
      <c r="O890" s="428"/>
      <c r="P890" s="106"/>
      <c r="Q890" s="84"/>
      <c r="R890" s="84"/>
      <c r="S890" s="428"/>
      <c r="T890" s="428"/>
      <c r="U890" s="428"/>
      <c r="V890" s="428"/>
      <c r="W890" s="428"/>
      <c r="X890" s="428"/>
      <c r="Y890" s="428"/>
    </row>
    <row r="891" ht="13.5" customHeight="1">
      <c r="A891" s="84"/>
      <c r="B891" s="84"/>
      <c r="C891" s="84"/>
      <c r="D891" s="106"/>
      <c r="E891" s="106"/>
      <c r="F891" s="106"/>
      <c r="G891" s="84"/>
      <c r="H891" s="106"/>
      <c r="I891" s="106"/>
      <c r="J891" s="106"/>
      <c r="K891" s="106"/>
      <c r="L891" s="106"/>
      <c r="M891" s="104"/>
      <c r="N891" s="106"/>
      <c r="O891" s="428"/>
      <c r="P891" s="106"/>
      <c r="Q891" s="84"/>
      <c r="R891" s="84"/>
      <c r="S891" s="428"/>
      <c r="T891" s="428"/>
      <c r="U891" s="428"/>
      <c r="V891" s="428"/>
      <c r="W891" s="428"/>
      <c r="X891" s="428"/>
      <c r="Y891" s="428"/>
    </row>
    <row r="892" ht="13.5" customHeight="1">
      <c r="A892" s="84"/>
      <c r="B892" s="84"/>
      <c r="C892" s="84"/>
      <c r="D892" s="106"/>
      <c r="E892" s="106"/>
      <c r="F892" s="106"/>
      <c r="G892" s="84"/>
      <c r="H892" s="106"/>
      <c r="I892" s="106"/>
      <c r="J892" s="106"/>
      <c r="K892" s="106"/>
      <c r="L892" s="106"/>
      <c r="M892" s="104"/>
      <c r="N892" s="106"/>
      <c r="O892" s="428"/>
      <c r="P892" s="106"/>
      <c r="Q892" s="84"/>
      <c r="R892" s="84"/>
      <c r="S892" s="428"/>
      <c r="T892" s="428"/>
      <c r="U892" s="428"/>
      <c r="V892" s="428"/>
      <c r="W892" s="428"/>
      <c r="X892" s="428"/>
      <c r="Y892" s="428"/>
    </row>
    <row r="893" ht="13.5" customHeight="1">
      <c r="A893" s="84"/>
      <c r="B893" s="84"/>
      <c r="C893" s="84"/>
      <c r="D893" s="106"/>
      <c r="E893" s="106"/>
      <c r="F893" s="106"/>
      <c r="G893" s="84"/>
      <c r="H893" s="106"/>
      <c r="I893" s="106"/>
      <c r="J893" s="106"/>
      <c r="K893" s="106"/>
      <c r="L893" s="106"/>
      <c r="M893" s="104"/>
      <c r="N893" s="106"/>
      <c r="O893" s="428"/>
      <c r="P893" s="106"/>
      <c r="Q893" s="84"/>
      <c r="R893" s="84"/>
      <c r="S893" s="428"/>
      <c r="T893" s="428"/>
      <c r="U893" s="428"/>
      <c r="V893" s="428"/>
      <c r="W893" s="428"/>
      <c r="X893" s="428"/>
      <c r="Y893" s="428"/>
    </row>
    <row r="894" ht="13.5" customHeight="1">
      <c r="A894" s="84"/>
      <c r="B894" s="84"/>
      <c r="C894" s="84"/>
      <c r="D894" s="106"/>
      <c r="E894" s="106"/>
      <c r="F894" s="106"/>
      <c r="G894" s="84"/>
      <c r="H894" s="106"/>
      <c r="I894" s="106"/>
      <c r="J894" s="106"/>
      <c r="K894" s="106"/>
      <c r="L894" s="106"/>
      <c r="M894" s="104"/>
      <c r="N894" s="106"/>
      <c r="O894" s="428"/>
      <c r="P894" s="106"/>
      <c r="Q894" s="84"/>
      <c r="R894" s="84"/>
      <c r="S894" s="428"/>
      <c r="T894" s="428"/>
      <c r="U894" s="428"/>
      <c r="V894" s="428"/>
      <c r="W894" s="428"/>
      <c r="X894" s="428"/>
      <c r="Y894" s="428"/>
    </row>
    <row r="895" ht="13.5" customHeight="1">
      <c r="A895" s="84"/>
      <c r="B895" s="84"/>
      <c r="C895" s="84"/>
      <c r="D895" s="106"/>
      <c r="E895" s="106"/>
      <c r="F895" s="106"/>
      <c r="G895" s="84"/>
      <c r="H895" s="106"/>
      <c r="I895" s="106"/>
      <c r="J895" s="106"/>
      <c r="K895" s="106"/>
      <c r="L895" s="106"/>
      <c r="M895" s="104"/>
      <c r="N895" s="106"/>
      <c r="O895" s="428"/>
      <c r="P895" s="106"/>
      <c r="Q895" s="84"/>
      <c r="R895" s="84"/>
      <c r="S895" s="428"/>
      <c r="T895" s="428"/>
      <c r="U895" s="428"/>
      <c r="V895" s="428"/>
      <c r="W895" s="428"/>
      <c r="X895" s="428"/>
      <c r="Y895" s="428"/>
    </row>
    <row r="896" ht="13.5" customHeight="1">
      <c r="A896" s="84"/>
      <c r="B896" s="84"/>
      <c r="C896" s="84"/>
      <c r="D896" s="106"/>
      <c r="E896" s="106"/>
      <c r="F896" s="106"/>
      <c r="G896" s="84"/>
      <c r="H896" s="106"/>
      <c r="I896" s="106"/>
      <c r="J896" s="106"/>
      <c r="K896" s="106"/>
      <c r="L896" s="106"/>
      <c r="M896" s="104"/>
      <c r="N896" s="106"/>
      <c r="O896" s="428"/>
      <c r="P896" s="106"/>
      <c r="Q896" s="84"/>
      <c r="R896" s="84"/>
      <c r="S896" s="428"/>
      <c r="T896" s="428"/>
      <c r="U896" s="428"/>
      <c r="V896" s="428"/>
      <c r="W896" s="428"/>
      <c r="X896" s="428"/>
      <c r="Y896" s="428"/>
    </row>
    <row r="897" ht="13.5" customHeight="1">
      <c r="A897" s="84"/>
      <c r="B897" s="84"/>
      <c r="C897" s="84"/>
      <c r="D897" s="106"/>
      <c r="E897" s="106"/>
      <c r="F897" s="106"/>
      <c r="G897" s="84"/>
      <c r="H897" s="106"/>
      <c r="I897" s="106"/>
      <c r="J897" s="106"/>
      <c r="K897" s="106"/>
      <c r="L897" s="106"/>
      <c r="M897" s="104"/>
      <c r="N897" s="106"/>
      <c r="O897" s="428"/>
      <c r="P897" s="106"/>
      <c r="Q897" s="84"/>
      <c r="R897" s="84"/>
      <c r="S897" s="428"/>
      <c r="T897" s="428"/>
      <c r="U897" s="428"/>
      <c r="V897" s="428"/>
      <c r="W897" s="428"/>
      <c r="X897" s="428"/>
      <c r="Y897" s="428"/>
    </row>
    <row r="898" ht="13.5" customHeight="1">
      <c r="A898" s="84"/>
      <c r="B898" s="84"/>
      <c r="C898" s="84"/>
      <c r="D898" s="106"/>
      <c r="E898" s="106"/>
      <c r="F898" s="106"/>
      <c r="G898" s="84"/>
      <c r="H898" s="106"/>
      <c r="I898" s="106"/>
      <c r="J898" s="106"/>
      <c r="K898" s="106"/>
      <c r="L898" s="106"/>
      <c r="M898" s="104"/>
      <c r="N898" s="106"/>
      <c r="O898" s="428"/>
      <c r="P898" s="106"/>
      <c r="Q898" s="84"/>
      <c r="R898" s="84"/>
      <c r="S898" s="428"/>
      <c r="T898" s="428"/>
      <c r="U898" s="428"/>
      <c r="V898" s="428"/>
      <c r="W898" s="428"/>
      <c r="X898" s="428"/>
      <c r="Y898" s="428"/>
    </row>
    <row r="899" ht="13.5" customHeight="1">
      <c r="A899" s="84"/>
      <c r="B899" s="84"/>
      <c r="C899" s="84"/>
      <c r="D899" s="106"/>
      <c r="E899" s="106"/>
      <c r="F899" s="106"/>
      <c r="G899" s="84"/>
      <c r="H899" s="106"/>
      <c r="I899" s="106"/>
      <c r="J899" s="106"/>
      <c r="K899" s="106"/>
      <c r="L899" s="106"/>
      <c r="M899" s="104"/>
      <c r="N899" s="106"/>
      <c r="O899" s="428"/>
      <c r="P899" s="106"/>
      <c r="Q899" s="84"/>
      <c r="R899" s="84"/>
      <c r="S899" s="428"/>
      <c r="T899" s="428"/>
      <c r="U899" s="428"/>
      <c r="V899" s="428"/>
      <c r="W899" s="428"/>
      <c r="X899" s="428"/>
      <c r="Y899" s="428"/>
    </row>
    <row r="900" ht="13.5" customHeight="1">
      <c r="A900" s="84"/>
      <c r="B900" s="84"/>
      <c r="C900" s="84"/>
      <c r="D900" s="106"/>
      <c r="E900" s="106"/>
      <c r="F900" s="106"/>
      <c r="G900" s="84"/>
      <c r="H900" s="106"/>
      <c r="I900" s="106"/>
      <c r="J900" s="106"/>
      <c r="K900" s="106"/>
      <c r="L900" s="106"/>
      <c r="M900" s="104"/>
      <c r="N900" s="106"/>
      <c r="O900" s="428"/>
      <c r="P900" s="106"/>
      <c r="Q900" s="84"/>
      <c r="R900" s="84"/>
      <c r="S900" s="428"/>
      <c r="T900" s="428"/>
      <c r="U900" s="428"/>
      <c r="V900" s="428"/>
      <c r="W900" s="428"/>
      <c r="X900" s="428"/>
      <c r="Y900" s="428"/>
    </row>
    <row r="901" ht="13.5" customHeight="1">
      <c r="A901" s="84"/>
      <c r="B901" s="84"/>
      <c r="C901" s="84"/>
      <c r="D901" s="106"/>
      <c r="E901" s="106"/>
      <c r="F901" s="106"/>
      <c r="G901" s="84"/>
      <c r="H901" s="106"/>
      <c r="I901" s="106"/>
      <c r="J901" s="106"/>
      <c r="K901" s="106"/>
      <c r="L901" s="106"/>
      <c r="M901" s="104"/>
      <c r="N901" s="106"/>
      <c r="O901" s="428"/>
      <c r="P901" s="106"/>
      <c r="Q901" s="84"/>
      <c r="R901" s="84"/>
      <c r="S901" s="428"/>
      <c r="T901" s="428"/>
      <c r="U901" s="428"/>
      <c r="V901" s="428"/>
      <c r="W901" s="428"/>
      <c r="X901" s="428"/>
      <c r="Y901" s="428"/>
    </row>
    <row r="902" ht="13.5" customHeight="1">
      <c r="A902" s="84"/>
      <c r="B902" s="84"/>
      <c r="C902" s="84"/>
      <c r="D902" s="106"/>
      <c r="E902" s="106"/>
      <c r="F902" s="106"/>
      <c r="G902" s="84"/>
      <c r="H902" s="106"/>
      <c r="I902" s="106"/>
      <c r="J902" s="106"/>
      <c r="K902" s="106"/>
      <c r="L902" s="106"/>
      <c r="M902" s="104"/>
      <c r="N902" s="106"/>
      <c r="O902" s="428"/>
      <c r="P902" s="106"/>
      <c r="Q902" s="84"/>
      <c r="R902" s="84"/>
      <c r="S902" s="428"/>
      <c r="T902" s="428"/>
      <c r="U902" s="428"/>
      <c r="V902" s="428"/>
      <c r="W902" s="428"/>
      <c r="X902" s="428"/>
      <c r="Y902" s="428"/>
    </row>
    <row r="903" ht="13.5" customHeight="1">
      <c r="A903" s="84"/>
      <c r="B903" s="84"/>
      <c r="C903" s="84"/>
      <c r="D903" s="106"/>
      <c r="E903" s="106"/>
      <c r="F903" s="106"/>
      <c r="G903" s="84"/>
      <c r="H903" s="106"/>
      <c r="I903" s="106"/>
      <c r="J903" s="106"/>
      <c r="K903" s="106"/>
      <c r="L903" s="106"/>
      <c r="M903" s="104"/>
      <c r="N903" s="106"/>
      <c r="O903" s="428"/>
      <c r="P903" s="106"/>
      <c r="Q903" s="84"/>
      <c r="R903" s="84"/>
      <c r="S903" s="428"/>
      <c r="T903" s="428"/>
      <c r="U903" s="428"/>
      <c r="V903" s="428"/>
      <c r="W903" s="428"/>
      <c r="X903" s="428"/>
      <c r="Y903" s="428"/>
    </row>
    <row r="904" ht="13.5" customHeight="1">
      <c r="A904" s="84"/>
      <c r="B904" s="84"/>
      <c r="C904" s="84"/>
      <c r="D904" s="106"/>
      <c r="E904" s="106"/>
      <c r="F904" s="106"/>
      <c r="G904" s="84"/>
      <c r="H904" s="106"/>
      <c r="I904" s="106"/>
      <c r="J904" s="106"/>
      <c r="K904" s="106"/>
      <c r="L904" s="106"/>
      <c r="M904" s="104"/>
      <c r="N904" s="106"/>
      <c r="O904" s="428"/>
      <c r="P904" s="106"/>
      <c r="Q904" s="84"/>
      <c r="R904" s="84"/>
      <c r="S904" s="428"/>
      <c r="T904" s="428"/>
      <c r="U904" s="428"/>
      <c r="V904" s="428"/>
      <c r="W904" s="428"/>
      <c r="X904" s="428"/>
      <c r="Y904" s="428"/>
    </row>
    <row r="905" ht="13.5" customHeight="1">
      <c r="A905" s="84"/>
      <c r="B905" s="84"/>
      <c r="C905" s="84"/>
      <c r="D905" s="106"/>
      <c r="E905" s="106"/>
      <c r="F905" s="106"/>
      <c r="G905" s="84"/>
      <c r="H905" s="106"/>
      <c r="I905" s="106"/>
      <c r="J905" s="106"/>
      <c r="K905" s="106"/>
      <c r="L905" s="106"/>
      <c r="M905" s="104"/>
      <c r="N905" s="106"/>
      <c r="O905" s="428"/>
      <c r="P905" s="106"/>
      <c r="Q905" s="84"/>
      <c r="R905" s="84"/>
      <c r="S905" s="428"/>
      <c r="T905" s="428"/>
      <c r="U905" s="428"/>
      <c r="V905" s="428"/>
      <c r="W905" s="428"/>
      <c r="X905" s="428"/>
      <c r="Y905" s="428"/>
    </row>
    <row r="906" ht="13.5" customHeight="1">
      <c r="A906" s="84"/>
      <c r="B906" s="84"/>
      <c r="C906" s="84"/>
      <c r="D906" s="106"/>
      <c r="E906" s="106"/>
      <c r="F906" s="106"/>
      <c r="G906" s="84"/>
      <c r="H906" s="106"/>
      <c r="I906" s="106"/>
      <c r="J906" s="106"/>
      <c r="K906" s="106"/>
      <c r="L906" s="106"/>
      <c r="M906" s="104"/>
      <c r="N906" s="106"/>
      <c r="O906" s="428"/>
      <c r="P906" s="106"/>
      <c r="Q906" s="84"/>
      <c r="R906" s="84"/>
      <c r="S906" s="428"/>
      <c r="T906" s="428"/>
      <c r="U906" s="428"/>
      <c r="V906" s="428"/>
      <c r="W906" s="428"/>
      <c r="X906" s="428"/>
      <c r="Y906" s="428"/>
    </row>
    <row r="907" ht="13.5" customHeight="1">
      <c r="A907" s="84"/>
      <c r="B907" s="84"/>
      <c r="C907" s="84"/>
      <c r="D907" s="106"/>
      <c r="E907" s="106"/>
      <c r="F907" s="106"/>
      <c r="G907" s="84"/>
      <c r="H907" s="106"/>
      <c r="I907" s="106"/>
      <c r="J907" s="106"/>
      <c r="K907" s="106"/>
      <c r="L907" s="106"/>
      <c r="M907" s="104"/>
      <c r="N907" s="106"/>
      <c r="O907" s="428"/>
      <c r="P907" s="106"/>
      <c r="Q907" s="84"/>
      <c r="R907" s="84"/>
      <c r="S907" s="428"/>
      <c r="T907" s="428"/>
      <c r="U907" s="428"/>
      <c r="V907" s="428"/>
      <c r="W907" s="428"/>
      <c r="X907" s="428"/>
      <c r="Y907" s="428"/>
    </row>
    <row r="908" ht="13.5" customHeight="1">
      <c r="A908" s="84"/>
      <c r="B908" s="84"/>
      <c r="C908" s="84"/>
      <c r="D908" s="106"/>
      <c r="E908" s="106"/>
      <c r="F908" s="106"/>
      <c r="G908" s="84"/>
      <c r="H908" s="106"/>
      <c r="I908" s="106"/>
      <c r="J908" s="106"/>
      <c r="K908" s="106"/>
      <c r="L908" s="106"/>
      <c r="M908" s="104"/>
      <c r="N908" s="106"/>
      <c r="O908" s="428"/>
      <c r="P908" s="106"/>
      <c r="Q908" s="84"/>
      <c r="R908" s="84"/>
      <c r="S908" s="428"/>
      <c r="T908" s="428"/>
      <c r="U908" s="428"/>
      <c r="V908" s="428"/>
      <c r="W908" s="428"/>
      <c r="X908" s="428"/>
      <c r="Y908" s="428"/>
    </row>
    <row r="909" ht="13.5" customHeight="1">
      <c r="A909" s="84"/>
      <c r="B909" s="84"/>
      <c r="C909" s="84"/>
      <c r="D909" s="106"/>
      <c r="E909" s="106"/>
      <c r="F909" s="106"/>
      <c r="G909" s="84"/>
      <c r="H909" s="106"/>
      <c r="I909" s="106"/>
      <c r="J909" s="106"/>
      <c r="K909" s="106"/>
      <c r="L909" s="106"/>
      <c r="M909" s="104"/>
      <c r="N909" s="106"/>
      <c r="O909" s="428"/>
      <c r="P909" s="106"/>
      <c r="Q909" s="84"/>
      <c r="R909" s="84"/>
      <c r="S909" s="428"/>
      <c r="T909" s="428"/>
      <c r="U909" s="428"/>
      <c r="V909" s="428"/>
      <c r="W909" s="428"/>
      <c r="X909" s="428"/>
      <c r="Y909" s="428"/>
    </row>
    <row r="910" ht="13.5" customHeight="1">
      <c r="A910" s="84"/>
      <c r="B910" s="84"/>
      <c r="C910" s="84"/>
      <c r="D910" s="106"/>
      <c r="E910" s="106"/>
      <c r="F910" s="106"/>
      <c r="G910" s="84"/>
      <c r="H910" s="106"/>
      <c r="I910" s="106"/>
      <c r="J910" s="106"/>
      <c r="K910" s="106"/>
      <c r="L910" s="106"/>
      <c r="M910" s="104"/>
      <c r="N910" s="106"/>
      <c r="O910" s="428"/>
      <c r="P910" s="106"/>
      <c r="Q910" s="84"/>
      <c r="R910" s="84"/>
      <c r="S910" s="428"/>
      <c r="T910" s="428"/>
      <c r="U910" s="428"/>
      <c r="V910" s="428"/>
      <c r="W910" s="428"/>
      <c r="X910" s="428"/>
      <c r="Y910" s="428"/>
    </row>
    <row r="911" ht="13.5" customHeight="1">
      <c r="A911" s="84"/>
      <c r="B911" s="84"/>
      <c r="C911" s="84"/>
      <c r="D911" s="106"/>
      <c r="E911" s="106"/>
      <c r="F911" s="106"/>
      <c r="G911" s="84"/>
      <c r="H911" s="106"/>
      <c r="I911" s="106"/>
      <c r="J911" s="106"/>
      <c r="K911" s="106"/>
      <c r="L911" s="106"/>
      <c r="M911" s="104"/>
      <c r="N911" s="106"/>
      <c r="O911" s="428"/>
      <c r="P911" s="106"/>
      <c r="Q911" s="84"/>
      <c r="R911" s="84"/>
      <c r="S911" s="428"/>
      <c r="T911" s="428"/>
      <c r="U911" s="428"/>
      <c r="V911" s="428"/>
      <c r="W911" s="428"/>
      <c r="X911" s="428"/>
      <c r="Y911" s="428"/>
    </row>
    <row r="912" ht="13.5" customHeight="1">
      <c r="A912" s="84"/>
      <c r="B912" s="84"/>
      <c r="C912" s="84"/>
      <c r="D912" s="106"/>
      <c r="E912" s="106"/>
      <c r="F912" s="106"/>
      <c r="G912" s="84"/>
      <c r="H912" s="106"/>
      <c r="I912" s="106"/>
      <c r="J912" s="106"/>
      <c r="K912" s="106"/>
      <c r="L912" s="106"/>
      <c r="M912" s="104"/>
      <c r="N912" s="106"/>
      <c r="O912" s="428"/>
      <c r="P912" s="106"/>
      <c r="Q912" s="84"/>
      <c r="R912" s="84"/>
      <c r="S912" s="428"/>
      <c r="T912" s="428"/>
      <c r="U912" s="428"/>
      <c r="V912" s="428"/>
      <c r="W912" s="428"/>
      <c r="X912" s="428"/>
      <c r="Y912" s="428"/>
    </row>
    <row r="913" ht="13.5" customHeight="1">
      <c r="A913" s="84"/>
      <c r="B913" s="84"/>
      <c r="C913" s="84"/>
      <c r="D913" s="106"/>
      <c r="E913" s="106"/>
      <c r="F913" s="106"/>
      <c r="G913" s="84"/>
      <c r="H913" s="106"/>
      <c r="I913" s="106"/>
      <c r="J913" s="106"/>
      <c r="K913" s="106"/>
      <c r="L913" s="106"/>
      <c r="M913" s="104"/>
      <c r="N913" s="106"/>
      <c r="O913" s="428"/>
      <c r="P913" s="106"/>
      <c r="Q913" s="84"/>
      <c r="R913" s="84"/>
      <c r="S913" s="428"/>
      <c r="T913" s="428"/>
      <c r="U913" s="428"/>
      <c r="V913" s="428"/>
      <c r="W913" s="428"/>
      <c r="X913" s="428"/>
      <c r="Y913" s="428"/>
    </row>
    <row r="914" ht="13.5" customHeight="1">
      <c r="A914" s="84"/>
      <c r="B914" s="84"/>
      <c r="C914" s="84"/>
      <c r="D914" s="106"/>
      <c r="E914" s="106"/>
      <c r="F914" s="106"/>
      <c r="G914" s="84"/>
      <c r="H914" s="106"/>
      <c r="I914" s="106"/>
      <c r="J914" s="106"/>
      <c r="K914" s="106"/>
      <c r="L914" s="106"/>
      <c r="M914" s="104"/>
      <c r="N914" s="106"/>
      <c r="O914" s="428"/>
      <c r="P914" s="106"/>
      <c r="Q914" s="84"/>
      <c r="R914" s="84"/>
      <c r="S914" s="428"/>
      <c r="T914" s="428"/>
      <c r="U914" s="428"/>
      <c r="V914" s="428"/>
      <c r="W914" s="428"/>
      <c r="X914" s="428"/>
      <c r="Y914" s="428"/>
    </row>
    <row r="915" ht="13.5" customHeight="1">
      <c r="A915" s="84"/>
      <c r="B915" s="84"/>
      <c r="C915" s="84"/>
      <c r="D915" s="106"/>
      <c r="E915" s="106"/>
      <c r="F915" s="106"/>
      <c r="G915" s="84"/>
      <c r="H915" s="106"/>
      <c r="I915" s="106"/>
      <c r="J915" s="106"/>
      <c r="K915" s="106"/>
      <c r="L915" s="106"/>
      <c r="M915" s="104"/>
      <c r="N915" s="106"/>
      <c r="O915" s="428"/>
      <c r="P915" s="106"/>
      <c r="Q915" s="84"/>
      <c r="R915" s="84"/>
      <c r="S915" s="428"/>
      <c r="T915" s="428"/>
      <c r="U915" s="428"/>
      <c r="V915" s="428"/>
      <c r="W915" s="428"/>
      <c r="X915" s="428"/>
      <c r="Y915" s="428"/>
    </row>
    <row r="916" ht="13.5" customHeight="1">
      <c r="A916" s="84"/>
      <c r="B916" s="84"/>
      <c r="C916" s="84"/>
      <c r="D916" s="106"/>
      <c r="E916" s="106"/>
      <c r="F916" s="106"/>
      <c r="G916" s="84"/>
      <c r="H916" s="106"/>
      <c r="I916" s="106"/>
      <c r="J916" s="106"/>
      <c r="K916" s="106"/>
      <c r="L916" s="106"/>
      <c r="M916" s="104"/>
      <c r="N916" s="106"/>
      <c r="O916" s="428"/>
      <c r="P916" s="106"/>
      <c r="Q916" s="84"/>
      <c r="R916" s="84"/>
      <c r="S916" s="428"/>
      <c r="T916" s="428"/>
      <c r="U916" s="428"/>
      <c r="V916" s="428"/>
      <c r="W916" s="428"/>
      <c r="X916" s="428"/>
      <c r="Y916" s="428"/>
    </row>
    <row r="917" ht="13.5" customHeight="1">
      <c r="A917" s="84"/>
      <c r="B917" s="84"/>
      <c r="C917" s="84"/>
      <c r="D917" s="106"/>
      <c r="E917" s="106"/>
      <c r="F917" s="106"/>
      <c r="G917" s="84"/>
      <c r="H917" s="106"/>
      <c r="I917" s="106"/>
      <c r="J917" s="106"/>
      <c r="K917" s="106"/>
      <c r="L917" s="106"/>
      <c r="M917" s="104"/>
      <c r="N917" s="106"/>
      <c r="O917" s="428"/>
      <c r="P917" s="106"/>
      <c r="Q917" s="84"/>
      <c r="R917" s="84"/>
      <c r="S917" s="428"/>
      <c r="T917" s="428"/>
      <c r="U917" s="428"/>
      <c r="V917" s="428"/>
      <c r="W917" s="428"/>
      <c r="X917" s="428"/>
      <c r="Y917" s="428"/>
    </row>
    <row r="918" ht="13.5" customHeight="1">
      <c r="A918" s="84"/>
      <c r="B918" s="84"/>
      <c r="C918" s="84"/>
      <c r="D918" s="106"/>
      <c r="E918" s="106"/>
      <c r="F918" s="106"/>
      <c r="G918" s="84"/>
      <c r="H918" s="106"/>
      <c r="I918" s="106"/>
      <c r="J918" s="106"/>
      <c r="K918" s="106"/>
      <c r="L918" s="106"/>
      <c r="M918" s="104"/>
      <c r="N918" s="106"/>
      <c r="O918" s="428"/>
      <c r="P918" s="106"/>
      <c r="Q918" s="84"/>
      <c r="R918" s="84"/>
      <c r="S918" s="428"/>
      <c r="T918" s="428"/>
      <c r="U918" s="428"/>
      <c r="V918" s="428"/>
      <c r="W918" s="428"/>
      <c r="X918" s="428"/>
      <c r="Y918" s="428"/>
    </row>
    <row r="919" ht="13.5" customHeight="1">
      <c r="A919" s="84"/>
      <c r="B919" s="84"/>
      <c r="C919" s="84"/>
      <c r="D919" s="106"/>
      <c r="E919" s="106"/>
      <c r="F919" s="106"/>
      <c r="G919" s="84"/>
      <c r="H919" s="106"/>
      <c r="I919" s="106"/>
      <c r="J919" s="106"/>
      <c r="K919" s="106"/>
      <c r="L919" s="106"/>
      <c r="M919" s="104"/>
      <c r="N919" s="106"/>
      <c r="O919" s="428"/>
      <c r="P919" s="106"/>
      <c r="Q919" s="84"/>
      <c r="R919" s="84"/>
      <c r="S919" s="428"/>
      <c r="T919" s="428"/>
      <c r="U919" s="428"/>
      <c r="V919" s="428"/>
      <c r="W919" s="428"/>
      <c r="X919" s="428"/>
      <c r="Y919" s="428"/>
    </row>
    <row r="920" ht="13.5" customHeight="1">
      <c r="A920" s="84"/>
      <c r="B920" s="84"/>
      <c r="C920" s="84"/>
      <c r="D920" s="106"/>
      <c r="E920" s="106"/>
      <c r="F920" s="106"/>
      <c r="G920" s="84"/>
      <c r="H920" s="106"/>
      <c r="I920" s="106"/>
      <c r="J920" s="106"/>
      <c r="K920" s="106"/>
      <c r="L920" s="106"/>
      <c r="M920" s="104"/>
      <c r="N920" s="106"/>
      <c r="O920" s="428"/>
      <c r="P920" s="106"/>
      <c r="Q920" s="84"/>
      <c r="R920" s="84"/>
      <c r="S920" s="428"/>
      <c r="T920" s="428"/>
      <c r="U920" s="428"/>
      <c r="V920" s="428"/>
      <c r="W920" s="428"/>
      <c r="X920" s="428"/>
      <c r="Y920" s="428"/>
    </row>
    <row r="921" ht="13.5" customHeight="1">
      <c r="A921" s="84"/>
      <c r="B921" s="84"/>
      <c r="C921" s="84"/>
      <c r="D921" s="106"/>
      <c r="E921" s="106"/>
      <c r="F921" s="106"/>
      <c r="G921" s="84"/>
      <c r="H921" s="106"/>
      <c r="I921" s="106"/>
      <c r="J921" s="106"/>
      <c r="K921" s="106"/>
      <c r="L921" s="106"/>
      <c r="M921" s="104"/>
      <c r="N921" s="106"/>
      <c r="O921" s="428"/>
      <c r="P921" s="106"/>
      <c r="Q921" s="84"/>
      <c r="R921" s="84"/>
      <c r="S921" s="428"/>
      <c r="T921" s="428"/>
      <c r="U921" s="428"/>
      <c r="V921" s="428"/>
      <c r="W921" s="428"/>
      <c r="X921" s="428"/>
      <c r="Y921" s="428"/>
    </row>
    <row r="922" ht="13.5" customHeight="1">
      <c r="A922" s="84"/>
      <c r="B922" s="84"/>
      <c r="C922" s="84"/>
      <c r="D922" s="106"/>
      <c r="E922" s="106"/>
      <c r="F922" s="106"/>
      <c r="G922" s="84"/>
      <c r="H922" s="106"/>
      <c r="I922" s="106"/>
      <c r="J922" s="106"/>
      <c r="K922" s="106"/>
      <c r="L922" s="106"/>
      <c r="M922" s="104"/>
      <c r="N922" s="106"/>
      <c r="O922" s="428"/>
      <c r="P922" s="106"/>
      <c r="Q922" s="84"/>
      <c r="R922" s="84"/>
      <c r="S922" s="428"/>
      <c r="T922" s="428"/>
      <c r="U922" s="428"/>
      <c r="V922" s="428"/>
      <c r="W922" s="428"/>
      <c r="X922" s="428"/>
      <c r="Y922" s="428"/>
    </row>
    <row r="923" ht="13.5" customHeight="1">
      <c r="A923" s="84"/>
      <c r="B923" s="84"/>
      <c r="C923" s="84"/>
      <c r="D923" s="106"/>
      <c r="E923" s="106"/>
      <c r="F923" s="106"/>
      <c r="G923" s="84"/>
      <c r="H923" s="106"/>
      <c r="I923" s="106"/>
      <c r="J923" s="106"/>
      <c r="K923" s="106"/>
      <c r="L923" s="106"/>
      <c r="M923" s="104"/>
      <c r="N923" s="106"/>
      <c r="O923" s="428"/>
      <c r="P923" s="106"/>
      <c r="Q923" s="84"/>
      <c r="R923" s="84"/>
      <c r="S923" s="428"/>
      <c r="T923" s="428"/>
      <c r="U923" s="428"/>
      <c r="V923" s="428"/>
      <c r="W923" s="428"/>
      <c r="X923" s="428"/>
      <c r="Y923" s="428"/>
    </row>
    <row r="924" ht="13.5" customHeight="1">
      <c r="A924" s="84"/>
      <c r="B924" s="84"/>
      <c r="C924" s="84"/>
      <c r="D924" s="106"/>
      <c r="E924" s="106"/>
      <c r="F924" s="106"/>
      <c r="G924" s="84"/>
      <c r="H924" s="106"/>
      <c r="I924" s="106"/>
      <c r="J924" s="106"/>
      <c r="K924" s="106"/>
      <c r="L924" s="106"/>
      <c r="M924" s="104"/>
      <c r="N924" s="106"/>
      <c r="O924" s="428"/>
      <c r="P924" s="106"/>
      <c r="Q924" s="84"/>
      <c r="R924" s="84"/>
      <c r="S924" s="428"/>
      <c r="T924" s="428"/>
      <c r="U924" s="428"/>
      <c r="V924" s="428"/>
      <c r="W924" s="428"/>
      <c r="X924" s="428"/>
      <c r="Y924" s="428"/>
    </row>
    <row r="925" ht="13.5" customHeight="1">
      <c r="A925" s="84"/>
      <c r="B925" s="84"/>
      <c r="C925" s="84"/>
      <c r="D925" s="106"/>
      <c r="E925" s="106"/>
      <c r="F925" s="106"/>
      <c r="G925" s="84"/>
      <c r="H925" s="106"/>
      <c r="I925" s="106"/>
      <c r="J925" s="106"/>
      <c r="K925" s="106"/>
      <c r="L925" s="106"/>
      <c r="M925" s="104"/>
      <c r="N925" s="106"/>
      <c r="O925" s="428"/>
      <c r="P925" s="106"/>
      <c r="Q925" s="84"/>
      <c r="R925" s="84"/>
      <c r="S925" s="428"/>
      <c r="T925" s="428"/>
      <c r="U925" s="428"/>
      <c r="V925" s="428"/>
      <c r="W925" s="428"/>
      <c r="X925" s="428"/>
      <c r="Y925" s="428"/>
    </row>
    <row r="926" ht="13.5" customHeight="1">
      <c r="A926" s="84"/>
      <c r="B926" s="84"/>
      <c r="C926" s="84"/>
      <c r="D926" s="106"/>
      <c r="E926" s="106"/>
      <c r="F926" s="106"/>
      <c r="G926" s="84"/>
      <c r="H926" s="106"/>
      <c r="I926" s="106"/>
      <c r="J926" s="106"/>
      <c r="K926" s="106"/>
      <c r="L926" s="106"/>
      <c r="M926" s="104"/>
      <c r="N926" s="106"/>
      <c r="O926" s="428"/>
      <c r="P926" s="106"/>
      <c r="Q926" s="84"/>
      <c r="R926" s="84"/>
      <c r="S926" s="428"/>
      <c r="T926" s="428"/>
      <c r="U926" s="428"/>
      <c r="V926" s="428"/>
      <c r="W926" s="428"/>
      <c r="X926" s="428"/>
      <c r="Y926" s="428"/>
    </row>
    <row r="927" ht="13.5" customHeight="1">
      <c r="A927" s="84"/>
      <c r="B927" s="84"/>
      <c r="C927" s="84"/>
      <c r="D927" s="106"/>
      <c r="E927" s="106"/>
      <c r="F927" s="106"/>
      <c r="G927" s="84"/>
      <c r="H927" s="106"/>
      <c r="I927" s="106"/>
      <c r="J927" s="106"/>
      <c r="K927" s="106"/>
      <c r="L927" s="106"/>
      <c r="M927" s="104"/>
      <c r="N927" s="106"/>
      <c r="O927" s="428"/>
      <c r="P927" s="106"/>
      <c r="Q927" s="84"/>
      <c r="R927" s="84"/>
      <c r="S927" s="428"/>
      <c r="T927" s="428"/>
      <c r="U927" s="428"/>
      <c r="V927" s="428"/>
      <c r="W927" s="428"/>
      <c r="X927" s="428"/>
      <c r="Y927" s="428"/>
    </row>
    <row r="928" ht="13.5" customHeight="1">
      <c r="A928" s="84"/>
      <c r="B928" s="84"/>
      <c r="C928" s="84"/>
      <c r="D928" s="106"/>
      <c r="E928" s="106"/>
      <c r="F928" s="106"/>
      <c r="G928" s="84"/>
      <c r="H928" s="106"/>
      <c r="I928" s="106"/>
      <c r="J928" s="106"/>
      <c r="K928" s="106"/>
      <c r="L928" s="106"/>
      <c r="M928" s="104"/>
      <c r="N928" s="106"/>
      <c r="O928" s="428"/>
      <c r="P928" s="106"/>
      <c r="Q928" s="84"/>
      <c r="R928" s="84"/>
      <c r="S928" s="428"/>
      <c r="T928" s="428"/>
      <c r="U928" s="428"/>
      <c r="V928" s="428"/>
      <c r="W928" s="428"/>
      <c r="X928" s="428"/>
      <c r="Y928" s="428"/>
    </row>
    <row r="929" ht="13.5" customHeight="1">
      <c r="A929" s="84"/>
      <c r="B929" s="84"/>
      <c r="C929" s="84"/>
      <c r="D929" s="106"/>
      <c r="E929" s="106"/>
      <c r="F929" s="106"/>
      <c r="G929" s="84"/>
      <c r="H929" s="106"/>
      <c r="I929" s="106"/>
      <c r="J929" s="106"/>
      <c r="K929" s="106"/>
      <c r="L929" s="106"/>
      <c r="M929" s="104"/>
      <c r="N929" s="106"/>
      <c r="O929" s="428"/>
      <c r="P929" s="106"/>
      <c r="Q929" s="84"/>
      <c r="R929" s="84"/>
      <c r="S929" s="428"/>
      <c r="T929" s="428"/>
      <c r="U929" s="428"/>
      <c r="V929" s="428"/>
      <c r="W929" s="428"/>
      <c r="X929" s="428"/>
      <c r="Y929" s="428"/>
    </row>
    <row r="930" ht="13.5" customHeight="1">
      <c r="A930" s="84"/>
      <c r="B930" s="84"/>
      <c r="C930" s="84"/>
      <c r="D930" s="106"/>
      <c r="E930" s="106"/>
      <c r="F930" s="106"/>
      <c r="G930" s="84"/>
      <c r="H930" s="106"/>
      <c r="I930" s="106"/>
      <c r="J930" s="106"/>
      <c r="K930" s="106"/>
      <c r="L930" s="106"/>
      <c r="M930" s="104"/>
      <c r="N930" s="106"/>
      <c r="O930" s="428"/>
      <c r="P930" s="106"/>
      <c r="Q930" s="84"/>
      <c r="R930" s="84"/>
      <c r="S930" s="428"/>
      <c r="T930" s="428"/>
      <c r="U930" s="428"/>
      <c r="V930" s="428"/>
      <c r="W930" s="428"/>
      <c r="X930" s="428"/>
      <c r="Y930" s="428"/>
    </row>
    <row r="931" ht="13.5" customHeight="1">
      <c r="A931" s="84"/>
      <c r="B931" s="84"/>
      <c r="C931" s="84"/>
      <c r="D931" s="106"/>
      <c r="E931" s="106"/>
      <c r="F931" s="106"/>
      <c r="G931" s="84"/>
      <c r="H931" s="106"/>
      <c r="I931" s="106"/>
      <c r="J931" s="106"/>
      <c r="K931" s="106"/>
      <c r="L931" s="106"/>
      <c r="M931" s="104"/>
      <c r="N931" s="106"/>
      <c r="O931" s="428"/>
      <c r="P931" s="106"/>
      <c r="Q931" s="84"/>
      <c r="R931" s="84"/>
      <c r="S931" s="428"/>
      <c r="T931" s="428"/>
      <c r="U931" s="428"/>
      <c r="V931" s="428"/>
      <c r="W931" s="428"/>
      <c r="X931" s="428"/>
      <c r="Y931" s="428"/>
    </row>
    <row r="932" ht="13.5" customHeight="1">
      <c r="A932" s="84"/>
      <c r="B932" s="84"/>
      <c r="C932" s="84"/>
      <c r="D932" s="106"/>
      <c r="E932" s="106"/>
      <c r="F932" s="106"/>
      <c r="G932" s="84"/>
      <c r="H932" s="106"/>
      <c r="I932" s="106"/>
      <c r="J932" s="106"/>
      <c r="K932" s="106"/>
      <c r="L932" s="106"/>
      <c r="M932" s="104"/>
      <c r="N932" s="106"/>
      <c r="O932" s="428"/>
      <c r="P932" s="106"/>
      <c r="Q932" s="84"/>
      <c r="R932" s="84"/>
      <c r="S932" s="428"/>
      <c r="T932" s="428"/>
      <c r="U932" s="428"/>
      <c r="V932" s="428"/>
      <c r="W932" s="428"/>
      <c r="X932" s="428"/>
      <c r="Y932" s="428"/>
    </row>
    <row r="933" ht="13.5" customHeight="1">
      <c r="A933" s="84"/>
      <c r="B933" s="84"/>
      <c r="C933" s="84"/>
      <c r="D933" s="106"/>
      <c r="E933" s="106"/>
      <c r="F933" s="106"/>
      <c r="G933" s="84"/>
      <c r="H933" s="106"/>
      <c r="I933" s="106"/>
      <c r="J933" s="106"/>
      <c r="K933" s="106"/>
      <c r="L933" s="106"/>
      <c r="M933" s="104"/>
      <c r="N933" s="106"/>
      <c r="O933" s="428"/>
      <c r="P933" s="106"/>
      <c r="Q933" s="84"/>
      <c r="R933" s="84"/>
      <c r="S933" s="428"/>
      <c r="T933" s="428"/>
      <c r="U933" s="428"/>
      <c r="V933" s="428"/>
      <c r="W933" s="428"/>
      <c r="X933" s="428"/>
      <c r="Y933" s="428"/>
    </row>
    <row r="934" ht="13.5" customHeight="1">
      <c r="A934" s="84"/>
      <c r="B934" s="84"/>
      <c r="C934" s="84"/>
      <c r="D934" s="106"/>
      <c r="E934" s="106"/>
      <c r="F934" s="106"/>
      <c r="G934" s="84"/>
      <c r="H934" s="106"/>
      <c r="I934" s="106"/>
      <c r="J934" s="106"/>
      <c r="K934" s="106"/>
      <c r="L934" s="106"/>
      <c r="M934" s="104"/>
      <c r="N934" s="106"/>
      <c r="O934" s="428"/>
      <c r="P934" s="106"/>
      <c r="Q934" s="84"/>
      <c r="R934" s="84"/>
      <c r="S934" s="428"/>
      <c r="T934" s="428"/>
      <c r="U934" s="428"/>
      <c r="V934" s="428"/>
      <c r="W934" s="428"/>
      <c r="X934" s="428"/>
      <c r="Y934" s="428"/>
    </row>
    <row r="935" ht="13.5" customHeight="1">
      <c r="A935" s="84"/>
      <c r="B935" s="84"/>
      <c r="C935" s="84"/>
      <c r="D935" s="106"/>
      <c r="E935" s="106"/>
      <c r="F935" s="106"/>
      <c r="G935" s="84"/>
      <c r="H935" s="106"/>
      <c r="I935" s="106"/>
      <c r="J935" s="106"/>
      <c r="K935" s="106"/>
      <c r="L935" s="106"/>
      <c r="M935" s="104"/>
      <c r="N935" s="106"/>
      <c r="O935" s="428"/>
      <c r="P935" s="106"/>
      <c r="Q935" s="84"/>
      <c r="R935" s="84"/>
      <c r="S935" s="428"/>
      <c r="T935" s="428"/>
      <c r="U935" s="428"/>
      <c r="V935" s="428"/>
      <c r="W935" s="428"/>
      <c r="X935" s="428"/>
      <c r="Y935" s="428"/>
    </row>
    <row r="936" ht="13.5" customHeight="1">
      <c r="A936" s="84"/>
      <c r="B936" s="84"/>
      <c r="C936" s="84"/>
      <c r="D936" s="106"/>
      <c r="E936" s="106"/>
      <c r="F936" s="106"/>
      <c r="G936" s="84"/>
      <c r="H936" s="106"/>
      <c r="I936" s="106"/>
      <c r="J936" s="106"/>
      <c r="K936" s="106"/>
      <c r="L936" s="106"/>
      <c r="M936" s="104"/>
      <c r="N936" s="106"/>
      <c r="O936" s="428"/>
      <c r="P936" s="106"/>
      <c r="Q936" s="84"/>
      <c r="R936" s="84"/>
      <c r="S936" s="428"/>
      <c r="T936" s="428"/>
      <c r="U936" s="428"/>
      <c r="V936" s="428"/>
      <c r="W936" s="428"/>
      <c r="X936" s="428"/>
      <c r="Y936" s="428"/>
    </row>
    <row r="937" ht="13.5" customHeight="1">
      <c r="A937" s="84"/>
      <c r="B937" s="84"/>
      <c r="C937" s="84"/>
      <c r="D937" s="106"/>
      <c r="E937" s="106"/>
      <c r="F937" s="106"/>
      <c r="G937" s="84"/>
      <c r="H937" s="106"/>
      <c r="I937" s="106"/>
      <c r="J937" s="106"/>
      <c r="K937" s="106"/>
      <c r="L937" s="106"/>
      <c r="M937" s="104"/>
      <c r="N937" s="106"/>
      <c r="O937" s="428"/>
      <c r="P937" s="106"/>
      <c r="Q937" s="84"/>
      <c r="R937" s="84"/>
      <c r="S937" s="428"/>
      <c r="T937" s="428"/>
      <c r="U937" s="428"/>
      <c r="V937" s="428"/>
      <c r="W937" s="428"/>
      <c r="X937" s="428"/>
      <c r="Y937" s="428"/>
    </row>
    <row r="938" ht="13.5" customHeight="1">
      <c r="A938" s="84"/>
      <c r="B938" s="84"/>
      <c r="C938" s="84"/>
      <c r="D938" s="106"/>
      <c r="E938" s="106"/>
      <c r="F938" s="106"/>
      <c r="G938" s="84"/>
      <c r="H938" s="106"/>
      <c r="I938" s="106"/>
      <c r="J938" s="106"/>
      <c r="K938" s="106"/>
      <c r="L938" s="106"/>
      <c r="M938" s="104"/>
      <c r="N938" s="106"/>
      <c r="O938" s="428"/>
      <c r="P938" s="106"/>
      <c r="Q938" s="84"/>
      <c r="R938" s="84"/>
      <c r="S938" s="428"/>
      <c r="T938" s="428"/>
      <c r="U938" s="428"/>
      <c r="V938" s="428"/>
      <c r="W938" s="428"/>
      <c r="X938" s="428"/>
      <c r="Y938" s="428"/>
    </row>
    <row r="939" ht="13.5" customHeight="1">
      <c r="A939" s="84"/>
      <c r="B939" s="84"/>
      <c r="C939" s="84"/>
      <c r="D939" s="106"/>
      <c r="E939" s="106"/>
      <c r="F939" s="106"/>
      <c r="G939" s="84"/>
      <c r="H939" s="106"/>
      <c r="I939" s="106"/>
      <c r="J939" s="106"/>
      <c r="K939" s="106"/>
      <c r="L939" s="106"/>
      <c r="M939" s="104"/>
      <c r="N939" s="106"/>
      <c r="O939" s="428"/>
      <c r="P939" s="106"/>
      <c r="Q939" s="84"/>
      <c r="R939" s="84"/>
      <c r="S939" s="428"/>
      <c r="T939" s="428"/>
      <c r="U939" s="428"/>
      <c r="V939" s="428"/>
      <c r="W939" s="428"/>
      <c r="X939" s="428"/>
      <c r="Y939" s="428"/>
    </row>
    <row r="940" ht="13.5" customHeight="1">
      <c r="A940" s="84"/>
      <c r="B940" s="84"/>
      <c r="C940" s="84"/>
      <c r="D940" s="106"/>
      <c r="E940" s="106"/>
      <c r="F940" s="106"/>
      <c r="G940" s="84"/>
      <c r="H940" s="106"/>
      <c r="I940" s="106"/>
      <c r="J940" s="106"/>
      <c r="K940" s="106"/>
      <c r="L940" s="106"/>
      <c r="M940" s="104"/>
      <c r="N940" s="106"/>
      <c r="O940" s="428"/>
      <c r="P940" s="106"/>
      <c r="Q940" s="84"/>
      <c r="R940" s="84"/>
      <c r="S940" s="428"/>
      <c r="T940" s="428"/>
      <c r="U940" s="428"/>
      <c r="V940" s="428"/>
      <c r="W940" s="428"/>
      <c r="X940" s="428"/>
      <c r="Y940" s="428"/>
    </row>
    <row r="941" ht="13.5" customHeight="1">
      <c r="A941" s="84"/>
      <c r="B941" s="84"/>
      <c r="C941" s="84"/>
      <c r="D941" s="106"/>
      <c r="E941" s="106"/>
      <c r="F941" s="106"/>
      <c r="G941" s="84"/>
      <c r="H941" s="106"/>
      <c r="I941" s="106"/>
      <c r="J941" s="106"/>
      <c r="K941" s="106"/>
      <c r="L941" s="106"/>
      <c r="M941" s="104"/>
      <c r="N941" s="106"/>
      <c r="O941" s="428"/>
      <c r="P941" s="106"/>
      <c r="Q941" s="84"/>
      <c r="R941" s="84"/>
      <c r="S941" s="428"/>
      <c r="T941" s="428"/>
      <c r="U941" s="428"/>
      <c r="V941" s="428"/>
      <c r="W941" s="428"/>
      <c r="X941" s="428"/>
      <c r="Y941" s="428"/>
    </row>
    <row r="942" ht="13.5" customHeight="1">
      <c r="A942" s="84"/>
      <c r="B942" s="84"/>
      <c r="C942" s="84"/>
      <c r="D942" s="106"/>
      <c r="E942" s="106"/>
      <c r="F942" s="106"/>
      <c r="G942" s="84"/>
      <c r="H942" s="106"/>
      <c r="I942" s="106"/>
      <c r="J942" s="106"/>
      <c r="K942" s="106"/>
      <c r="L942" s="106"/>
      <c r="M942" s="104"/>
      <c r="N942" s="106"/>
      <c r="O942" s="428"/>
      <c r="P942" s="106"/>
      <c r="Q942" s="84"/>
      <c r="R942" s="84"/>
      <c r="S942" s="428"/>
      <c r="T942" s="428"/>
      <c r="U942" s="428"/>
      <c r="V942" s="428"/>
      <c r="W942" s="428"/>
      <c r="X942" s="428"/>
      <c r="Y942" s="428"/>
    </row>
    <row r="943" ht="13.5" customHeight="1">
      <c r="A943" s="84"/>
      <c r="B943" s="84"/>
      <c r="C943" s="84"/>
      <c r="D943" s="106"/>
      <c r="E943" s="106"/>
      <c r="F943" s="106"/>
      <c r="G943" s="84"/>
      <c r="H943" s="106"/>
      <c r="I943" s="106"/>
      <c r="J943" s="106"/>
      <c r="K943" s="106"/>
      <c r="L943" s="106"/>
      <c r="M943" s="104"/>
      <c r="N943" s="106"/>
      <c r="O943" s="428"/>
      <c r="P943" s="106"/>
      <c r="Q943" s="84"/>
      <c r="R943" s="84"/>
      <c r="S943" s="428"/>
      <c r="T943" s="428"/>
      <c r="U943" s="428"/>
      <c r="V943" s="428"/>
      <c r="W943" s="428"/>
      <c r="X943" s="428"/>
      <c r="Y943" s="428"/>
    </row>
    <row r="944" ht="13.5" customHeight="1">
      <c r="A944" s="84"/>
      <c r="B944" s="84"/>
      <c r="C944" s="84"/>
      <c r="D944" s="106"/>
      <c r="E944" s="106"/>
      <c r="F944" s="106"/>
      <c r="G944" s="84"/>
      <c r="H944" s="106"/>
      <c r="I944" s="106"/>
      <c r="J944" s="106"/>
      <c r="K944" s="106"/>
      <c r="L944" s="106"/>
      <c r="M944" s="104"/>
      <c r="N944" s="106"/>
      <c r="O944" s="428"/>
      <c r="P944" s="106"/>
      <c r="Q944" s="84"/>
      <c r="R944" s="84"/>
      <c r="S944" s="428"/>
      <c r="T944" s="428"/>
      <c r="U944" s="428"/>
      <c r="V944" s="428"/>
      <c r="W944" s="428"/>
      <c r="X944" s="428"/>
      <c r="Y944" s="428"/>
    </row>
    <row r="945" ht="13.5" customHeight="1">
      <c r="A945" s="84"/>
      <c r="B945" s="84"/>
      <c r="C945" s="84"/>
      <c r="D945" s="106"/>
      <c r="E945" s="106"/>
      <c r="F945" s="106"/>
      <c r="G945" s="84"/>
      <c r="H945" s="106"/>
      <c r="I945" s="106"/>
      <c r="J945" s="106"/>
      <c r="K945" s="106"/>
      <c r="L945" s="106"/>
      <c r="M945" s="104"/>
      <c r="N945" s="106"/>
      <c r="O945" s="428"/>
      <c r="P945" s="106"/>
      <c r="Q945" s="84"/>
      <c r="R945" s="84"/>
      <c r="S945" s="428"/>
      <c r="T945" s="428"/>
      <c r="U945" s="428"/>
      <c r="V945" s="428"/>
      <c r="W945" s="428"/>
      <c r="X945" s="428"/>
      <c r="Y945" s="428"/>
    </row>
    <row r="946" ht="13.5" customHeight="1">
      <c r="A946" s="84"/>
      <c r="B946" s="84"/>
      <c r="C946" s="84"/>
      <c r="D946" s="106"/>
      <c r="E946" s="106"/>
      <c r="F946" s="106"/>
      <c r="G946" s="84"/>
      <c r="H946" s="106"/>
      <c r="I946" s="106"/>
      <c r="J946" s="106"/>
      <c r="K946" s="106"/>
      <c r="L946" s="106"/>
      <c r="M946" s="104"/>
      <c r="N946" s="106"/>
      <c r="O946" s="428"/>
      <c r="P946" s="106"/>
      <c r="Q946" s="84"/>
      <c r="R946" s="84"/>
      <c r="S946" s="428"/>
      <c r="T946" s="428"/>
      <c r="U946" s="428"/>
      <c r="V946" s="428"/>
      <c r="W946" s="428"/>
      <c r="X946" s="428"/>
      <c r="Y946" s="428"/>
    </row>
    <row r="947" ht="13.5" customHeight="1">
      <c r="A947" s="84"/>
      <c r="B947" s="84"/>
      <c r="C947" s="84"/>
      <c r="D947" s="106"/>
      <c r="E947" s="106"/>
      <c r="F947" s="106"/>
      <c r="G947" s="84"/>
      <c r="H947" s="106"/>
      <c r="I947" s="106"/>
      <c r="J947" s="106"/>
      <c r="K947" s="106"/>
      <c r="L947" s="106"/>
      <c r="M947" s="104"/>
      <c r="N947" s="106"/>
      <c r="O947" s="428"/>
      <c r="P947" s="106"/>
      <c r="Q947" s="84"/>
      <c r="R947" s="84"/>
      <c r="S947" s="428"/>
      <c r="T947" s="428"/>
      <c r="U947" s="428"/>
      <c r="V947" s="428"/>
      <c r="W947" s="428"/>
      <c r="X947" s="428"/>
      <c r="Y947" s="428"/>
    </row>
    <row r="948" ht="13.5" customHeight="1">
      <c r="A948" s="84"/>
      <c r="B948" s="84"/>
      <c r="C948" s="84"/>
      <c r="D948" s="106"/>
      <c r="E948" s="106"/>
      <c r="F948" s="106"/>
      <c r="G948" s="84"/>
      <c r="H948" s="106"/>
      <c r="I948" s="106"/>
      <c r="J948" s="106"/>
      <c r="K948" s="106"/>
      <c r="L948" s="106"/>
      <c r="M948" s="104"/>
      <c r="N948" s="106"/>
      <c r="O948" s="428"/>
      <c r="P948" s="106"/>
      <c r="Q948" s="84"/>
      <c r="R948" s="84"/>
      <c r="S948" s="428"/>
      <c r="T948" s="428"/>
      <c r="U948" s="428"/>
      <c r="V948" s="428"/>
      <c r="W948" s="428"/>
      <c r="X948" s="428"/>
      <c r="Y948" s="428"/>
    </row>
    <row r="949" ht="13.5" customHeight="1">
      <c r="A949" s="84"/>
      <c r="B949" s="84"/>
      <c r="C949" s="84"/>
      <c r="D949" s="106"/>
      <c r="E949" s="106"/>
      <c r="F949" s="106"/>
      <c r="G949" s="84"/>
      <c r="H949" s="106"/>
      <c r="I949" s="106"/>
      <c r="J949" s="106"/>
      <c r="K949" s="106"/>
      <c r="L949" s="106"/>
      <c r="M949" s="104"/>
      <c r="N949" s="106"/>
      <c r="O949" s="428"/>
      <c r="P949" s="106"/>
      <c r="Q949" s="84"/>
      <c r="R949" s="84"/>
      <c r="S949" s="428"/>
      <c r="T949" s="428"/>
      <c r="U949" s="428"/>
      <c r="V949" s="428"/>
      <c r="W949" s="428"/>
      <c r="X949" s="428"/>
      <c r="Y949" s="428"/>
    </row>
    <row r="950" ht="13.5" customHeight="1">
      <c r="A950" s="84"/>
      <c r="B950" s="84"/>
      <c r="C950" s="84"/>
      <c r="D950" s="106"/>
      <c r="E950" s="106"/>
      <c r="F950" s="106"/>
      <c r="G950" s="84"/>
      <c r="H950" s="106"/>
      <c r="I950" s="106"/>
      <c r="J950" s="106"/>
      <c r="K950" s="106"/>
      <c r="L950" s="106"/>
      <c r="M950" s="104"/>
      <c r="N950" s="106"/>
      <c r="O950" s="428"/>
      <c r="P950" s="106"/>
      <c r="Q950" s="84"/>
      <c r="R950" s="84"/>
      <c r="S950" s="428"/>
      <c r="T950" s="428"/>
      <c r="U950" s="428"/>
      <c r="V950" s="428"/>
      <c r="W950" s="428"/>
      <c r="X950" s="428"/>
      <c r="Y950" s="428"/>
    </row>
    <row r="951" ht="13.5" customHeight="1">
      <c r="A951" s="84"/>
      <c r="B951" s="84"/>
      <c r="C951" s="84"/>
      <c r="D951" s="106"/>
      <c r="E951" s="106"/>
      <c r="F951" s="106"/>
      <c r="G951" s="84"/>
      <c r="H951" s="106"/>
      <c r="I951" s="106"/>
      <c r="J951" s="106"/>
      <c r="K951" s="106"/>
      <c r="L951" s="106"/>
      <c r="M951" s="104"/>
      <c r="N951" s="106"/>
      <c r="O951" s="428"/>
      <c r="P951" s="106"/>
      <c r="Q951" s="84"/>
      <c r="R951" s="84"/>
      <c r="S951" s="428"/>
      <c r="T951" s="428"/>
      <c r="U951" s="428"/>
      <c r="V951" s="428"/>
      <c r="W951" s="428"/>
      <c r="X951" s="428"/>
      <c r="Y951" s="428"/>
    </row>
    <row r="952" ht="13.5" customHeight="1">
      <c r="A952" s="84"/>
      <c r="B952" s="84"/>
      <c r="C952" s="84"/>
      <c r="D952" s="106"/>
      <c r="E952" s="106"/>
      <c r="F952" s="106"/>
      <c r="G952" s="84"/>
      <c r="H952" s="106"/>
      <c r="I952" s="106"/>
      <c r="J952" s="106"/>
      <c r="K952" s="106"/>
      <c r="L952" s="106"/>
      <c r="M952" s="104"/>
      <c r="N952" s="106"/>
      <c r="O952" s="428"/>
      <c r="P952" s="106"/>
      <c r="Q952" s="84"/>
      <c r="R952" s="84"/>
      <c r="S952" s="428"/>
      <c r="T952" s="428"/>
      <c r="U952" s="428"/>
      <c r="V952" s="428"/>
      <c r="W952" s="428"/>
      <c r="X952" s="428"/>
      <c r="Y952" s="428"/>
    </row>
    <row r="953" ht="13.5" customHeight="1">
      <c r="A953" s="84"/>
      <c r="B953" s="84"/>
      <c r="C953" s="84"/>
      <c r="D953" s="106"/>
      <c r="E953" s="106"/>
      <c r="F953" s="106"/>
      <c r="G953" s="84"/>
      <c r="H953" s="106"/>
      <c r="I953" s="106"/>
      <c r="J953" s="106"/>
      <c r="K953" s="106"/>
      <c r="L953" s="106"/>
      <c r="M953" s="104"/>
      <c r="N953" s="106"/>
      <c r="O953" s="428"/>
      <c r="P953" s="106"/>
      <c r="Q953" s="84"/>
      <c r="R953" s="84"/>
      <c r="S953" s="428"/>
      <c r="T953" s="428"/>
      <c r="U953" s="428"/>
      <c r="V953" s="428"/>
      <c r="W953" s="428"/>
      <c r="X953" s="428"/>
      <c r="Y953" s="428"/>
    </row>
    <row r="954" ht="13.5" customHeight="1">
      <c r="A954" s="84"/>
      <c r="B954" s="84"/>
      <c r="C954" s="84"/>
      <c r="D954" s="106"/>
      <c r="E954" s="106"/>
      <c r="F954" s="106"/>
      <c r="G954" s="84"/>
      <c r="H954" s="106"/>
      <c r="I954" s="106"/>
      <c r="J954" s="106"/>
      <c r="K954" s="106"/>
      <c r="L954" s="106"/>
      <c r="M954" s="104"/>
      <c r="N954" s="106"/>
      <c r="O954" s="428"/>
      <c r="P954" s="106"/>
      <c r="Q954" s="84"/>
      <c r="R954" s="84"/>
      <c r="S954" s="428"/>
      <c r="T954" s="428"/>
      <c r="U954" s="428"/>
      <c r="V954" s="428"/>
      <c r="W954" s="428"/>
      <c r="X954" s="428"/>
      <c r="Y954" s="428"/>
    </row>
    <row r="955" ht="13.5" customHeight="1">
      <c r="A955" s="84"/>
      <c r="B955" s="84"/>
      <c r="C955" s="84"/>
      <c r="D955" s="106"/>
      <c r="E955" s="106"/>
      <c r="F955" s="106"/>
      <c r="G955" s="84"/>
      <c r="H955" s="106"/>
      <c r="I955" s="106"/>
      <c r="J955" s="106"/>
      <c r="K955" s="106"/>
      <c r="L955" s="106"/>
      <c r="M955" s="104"/>
      <c r="N955" s="106"/>
      <c r="O955" s="428"/>
      <c r="P955" s="106"/>
      <c r="Q955" s="84"/>
      <c r="R955" s="84"/>
      <c r="S955" s="428"/>
      <c r="T955" s="428"/>
      <c r="U955" s="428"/>
      <c r="V955" s="428"/>
      <c r="W955" s="428"/>
      <c r="X955" s="428"/>
      <c r="Y955" s="428"/>
    </row>
    <row r="956" ht="13.5" customHeight="1">
      <c r="A956" s="84"/>
      <c r="B956" s="84"/>
      <c r="C956" s="84"/>
      <c r="D956" s="106"/>
      <c r="E956" s="106"/>
      <c r="F956" s="106"/>
      <c r="G956" s="84"/>
      <c r="H956" s="106"/>
      <c r="I956" s="106"/>
      <c r="J956" s="106"/>
      <c r="K956" s="106"/>
      <c r="L956" s="106"/>
      <c r="M956" s="104"/>
      <c r="N956" s="106"/>
      <c r="O956" s="428"/>
      <c r="P956" s="106"/>
      <c r="Q956" s="84"/>
      <c r="R956" s="84"/>
      <c r="S956" s="428"/>
      <c r="T956" s="428"/>
      <c r="U956" s="428"/>
      <c r="V956" s="428"/>
      <c r="W956" s="428"/>
      <c r="X956" s="428"/>
      <c r="Y956" s="428"/>
    </row>
    <row r="957" ht="13.5" customHeight="1">
      <c r="A957" s="84"/>
      <c r="B957" s="84"/>
      <c r="C957" s="84"/>
      <c r="D957" s="106"/>
      <c r="E957" s="106"/>
      <c r="F957" s="106"/>
      <c r="G957" s="84"/>
      <c r="H957" s="106"/>
      <c r="I957" s="106"/>
      <c r="J957" s="106"/>
      <c r="K957" s="106"/>
      <c r="L957" s="106"/>
      <c r="M957" s="104"/>
      <c r="N957" s="106"/>
      <c r="O957" s="428"/>
      <c r="P957" s="106"/>
      <c r="Q957" s="84"/>
      <c r="R957" s="84"/>
      <c r="S957" s="428"/>
      <c r="T957" s="428"/>
      <c r="U957" s="428"/>
      <c r="V957" s="428"/>
      <c r="W957" s="428"/>
      <c r="X957" s="428"/>
      <c r="Y957" s="428"/>
    </row>
    <row r="958" ht="13.5" customHeight="1">
      <c r="A958" s="84"/>
      <c r="B958" s="84"/>
      <c r="C958" s="84"/>
      <c r="D958" s="106"/>
      <c r="E958" s="106"/>
      <c r="F958" s="106"/>
      <c r="G958" s="84"/>
      <c r="H958" s="106"/>
      <c r="I958" s="106"/>
      <c r="J958" s="106"/>
      <c r="K958" s="106"/>
      <c r="L958" s="106"/>
      <c r="M958" s="104"/>
      <c r="N958" s="106"/>
      <c r="O958" s="428"/>
      <c r="P958" s="106"/>
      <c r="Q958" s="84"/>
      <c r="R958" s="84"/>
      <c r="S958" s="428"/>
      <c r="T958" s="428"/>
      <c r="U958" s="428"/>
      <c r="V958" s="428"/>
      <c r="W958" s="428"/>
      <c r="X958" s="428"/>
      <c r="Y958" s="428"/>
    </row>
    <row r="959" ht="13.5" customHeight="1">
      <c r="A959" s="84"/>
      <c r="B959" s="84"/>
      <c r="C959" s="84"/>
      <c r="D959" s="106"/>
      <c r="E959" s="106"/>
      <c r="F959" s="106"/>
      <c r="G959" s="84"/>
      <c r="H959" s="106"/>
      <c r="I959" s="106"/>
      <c r="J959" s="106"/>
      <c r="K959" s="106"/>
      <c r="L959" s="106"/>
      <c r="M959" s="104"/>
      <c r="N959" s="106"/>
      <c r="O959" s="428"/>
      <c r="P959" s="106"/>
      <c r="Q959" s="84"/>
      <c r="R959" s="84"/>
      <c r="S959" s="428"/>
      <c r="T959" s="428"/>
      <c r="U959" s="428"/>
      <c r="V959" s="428"/>
      <c r="W959" s="428"/>
      <c r="X959" s="428"/>
      <c r="Y959" s="428"/>
    </row>
    <row r="960" ht="13.5" customHeight="1">
      <c r="A960" s="84"/>
      <c r="B960" s="84"/>
      <c r="C960" s="84"/>
      <c r="D960" s="106"/>
      <c r="E960" s="106"/>
      <c r="F960" s="106"/>
      <c r="G960" s="84"/>
      <c r="H960" s="106"/>
      <c r="I960" s="106"/>
      <c r="J960" s="106"/>
      <c r="K960" s="106"/>
      <c r="L960" s="106"/>
      <c r="M960" s="104"/>
      <c r="N960" s="106"/>
      <c r="O960" s="428"/>
      <c r="P960" s="106"/>
      <c r="Q960" s="84"/>
      <c r="R960" s="84"/>
      <c r="S960" s="428"/>
      <c r="T960" s="428"/>
      <c r="U960" s="428"/>
      <c r="V960" s="428"/>
      <c r="W960" s="428"/>
      <c r="X960" s="428"/>
      <c r="Y960" s="428"/>
    </row>
    <row r="961" ht="13.5" customHeight="1">
      <c r="A961" s="84"/>
      <c r="B961" s="84"/>
      <c r="C961" s="84"/>
      <c r="D961" s="106"/>
      <c r="E961" s="106"/>
      <c r="F961" s="106"/>
      <c r="G961" s="84"/>
      <c r="H961" s="106"/>
      <c r="I961" s="106"/>
      <c r="J961" s="106"/>
      <c r="K961" s="106"/>
      <c r="L961" s="106"/>
      <c r="M961" s="104"/>
      <c r="N961" s="106"/>
      <c r="O961" s="428"/>
      <c r="P961" s="106"/>
      <c r="Q961" s="84"/>
      <c r="R961" s="84"/>
      <c r="S961" s="428"/>
      <c r="T961" s="428"/>
      <c r="U961" s="428"/>
      <c r="V961" s="428"/>
      <c r="W961" s="428"/>
      <c r="X961" s="428"/>
      <c r="Y961" s="428"/>
    </row>
    <row r="962" ht="13.5" customHeight="1">
      <c r="A962" s="84"/>
      <c r="B962" s="84"/>
      <c r="C962" s="84"/>
      <c r="D962" s="106"/>
      <c r="E962" s="106"/>
      <c r="F962" s="106"/>
      <c r="G962" s="84"/>
      <c r="H962" s="106"/>
      <c r="I962" s="106"/>
      <c r="J962" s="106"/>
      <c r="K962" s="106"/>
      <c r="L962" s="106"/>
      <c r="M962" s="104"/>
      <c r="N962" s="106"/>
      <c r="O962" s="428"/>
      <c r="P962" s="106"/>
      <c r="Q962" s="84"/>
      <c r="R962" s="84"/>
      <c r="S962" s="428"/>
      <c r="T962" s="428"/>
      <c r="U962" s="428"/>
      <c r="V962" s="428"/>
      <c r="W962" s="428"/>
      <c r="X962" s="428"/>
      <c r="Y962" s="428"/>
    </row>
    <row r="963" ht="13.5" customHeight="1">
      <c r="A963" s="84"/>
      <c r="B963" s="84"/>
      <c r="C963" s="84"/>
      <c r="D963" s="106"/>
      <c r="E963" s="106"/>
      <c r="F963" s="106"/>
      <c r="G963" s="84"/>
      <c r="H963" s="106"/>
      <c r="I963" s="106"/>
      <c r="J963" s="106"/>
      <c r="K963" s="106"/>
      <c r="L963" s="106"/>
      <c r="M963" s="104"/>
      <c r="N963" s="106"/>
      <c r="O963" s="428"/>
      <c r="P963" s="106"/>
      <c r="Q963" s="84"/>
      <c r="R963" s="84"/>
      <c r="S963" s="428"/>
      <c r="T963" s="428"/>
      <c r="U963" s="428"/>
      <c r="V963" s="428"/>
      <c r="W963" s="428"/>
      <c r="X963" s="428"/>
      <c r="Y963" s="428"/>
    </row>
    <row r="964" ht="13.5" customHeight="1">
      <c r="A964" s="84"/>
      <c r="B964" s="84"/>
      <c r="C964" s="84"/>
      <c r="D964" s="106"/>
      <c r="E964" s="106"/>
      <c r="F964" s="106"/>
      <c r="G964" s="84"/>
      <c r="H964" s="106"/>
      <c r="I964" s="106"/>
      <c r="J964" s="106"/>
      <c r="K964" s="106"/>
      <c r="L964" s="106"/>
      <c r="M964" s="104"/>
      <c r="N964" s="106"/>
      <c r="O964" s="428"/>
      <c r="P964" s="106"/>
      <c r="Q964" s="84"/>
      <c r="R964" s="84"/>
      <c r="S964" s="428"/>
      <c r="T964" s="428"/>
      <c r="U964" s="428"/>
      <c r="V964" s="428"/>
      <c r="W964" s="428"/>
      <c r="X964" s="428"/>
      <c r="Y964" s="428"/>
    </row>
    <row r="965" ht="13.5" customHeight="1">
      <c r="A965" s="84"/>
      <c r="B965" s="84"/>
      <c r="C965" s="84"/>
      <c r="D965" s="106"/>
      <c r="E965" s="106"/>
      <c r="F965" s="106"/>
      <c r="G965" s="84"/>
      <c r="H965" s="106"/>
      <c r="I965" s="106"/>
      <c r="J965" s="106"/>
      <c r="K965" s="106"/>
      <c r="L965" s="106"/>
      <c r="M965" s="104"/>
      <c r="N965" s="106"/>
      <c r="O965" s="428"/>
      <c r="P965" s="106"/>
      <c r="Q965" s="84"/>
      <c r="R965" s="84"/>
      <c r="S965" s="428"/>
      <c r="T965" s="428"/>
      <c r="U965" s="428"/>
      <c r="V965" s="428"/>
      <c r="W965" s="428"/>
      <c r="X965" s="428"/>
      <c r="Y965" s="428"/>
    </row>
    <row r="966" ht="13.5" customHeight="1">
      <c r="A966" s="84"/>
      <c r="B966" s="84"/>
      <c r="C966" s="84"/>
      <c r="D966" s="106"/>
      <c r="E966" s="106"/>
      <c r="F966" s="106"/>
      <c r="G966" s="84"/>
      <c r="H966" s="106"/>
      <c r="I966" s="106"/>
      <c r="J966" s="106"/>
      <c r="K966" s="106"/>
      <c r="L966" s="106"/>
      <c r="M966" s="104"/>
      <c r="N966" s="106"/>
      <c r="O966" s="428"/>
      <c r="P966" s="106"/>
      <c r="Q966" s="84"/>
      <c r="R966" s="84"/>
      <c r="S966" s="428"/>
      <c r="T966" s="428"/>
      <c r="U966" s="428"/>
      <c r="V966" s="428"/>
      <c r="W966" s="428"/>
      <c r="X966" s="428"/>
      <c r="Y966" s="428"/>
    </row>
    <row r="967" ht="13.5" customHeight="1">
      <c r="A967" s="84"/>
      <c r="B967" s="84"/>
      <c r="C967" s="84"/>
      <c r="D967" s="106"/>
      <c r="E967" s="106"/>
      <c r="F967" s="106"/>
      <c r="G967" s="84"/>
      <c r="H967" s="106"/>
      <c r="I967" s="106"/>
      <c r="J967" s="106"/>
      <c r="K967" s="106"/>
      <c r="L967" s="106"/>
      <c r="M967" s="104"/>
      <c r="N967" s="106"/>
      <c r="O967" s="428"/>
      <c r="P967" s="106"/>
      <c r="Q967" s="84"/>
      <c r="R967" s="84"/>
      <c r="S967" s="428"/>
      <c r="T967" s="428"/>
      <c r="U967" s="428"/>
      <c r="V967" s="428"/>
      <c r="W967" s="428"/>
      <c r="X967" s="428"/>
      <c r="Y967" s="428"/>
    </row>
    <row r="968" ht="13.5" customHeight="1">
      <c r="A968" s="84"/>
      <c r="B968" s="84"/>
      <c r="C968" s="84"/>
      <c r="D968" s="106"/>
      <c r="E968" s="106"/>
      <c r="F968" s="106"/>
      <c r="G968" s="84"/>
      <c r="H968" s="106"/>
      <c r="I968" s="106"/>
      <c r="J968" s="106"/>
      <c r="K968" s="106"/>
      <c r="L968" s="106"/>
      <c r="M968" s="104"/>
      <c r="N968" s="106"/>
      <c r="O968" s="428"/>
      <c r="P968" s="106"/>
      <c r="Q968" s="84"/>
      <c r="R968" s="84"/>
      <c r="S968" s="428"/>
      <c r="T968" s="428"/>
      <c r="U968" s="428"/>
      <c r="V968" s="428"/>
      <c r="W968" s="428"/>
      <c r="X968" s="428"/>
      <c r="Y968" s="428"/>
    </row>
    <row r="969" ht="13.5" customHeight="1">
      <c r="A969" s="84"/>
      <c r="B969" s="84"/>
      <c r="C969" s="84"/>
      <c r="D969" s="106"/>
      <c r="E969" s="106"/>
      <c r="F969" s="106"/>
      <c r="G969" s="84"/>
      <c r="H969" s="106"/>
      <c r="I969" s="106"/>
      <c r="J969" s="106"/>
      <c r="K969" s="106"/>
      <c r="L969" s="106"/>
      <c r="M969" s="104"/>
      <c r="N969" s="106"/>
      <c r="O969" s="428"/>
      <c r="P969" s="106"/>
      <c r="Q969" s="84"/>
      <c r="R969" s="84"/>
      <c r="S969" s="428"/>
      <c r="T969" s="428"/>
      <c r="U969" s="428"/>
      <c r="V969" s="428"/>
      <c r="W969" s="428"/>
      <c r="X969" s="428"/>
      <c r="Y969" s="428"/>
    </row>
    <row r="970" ht="13.5" customHeight="1">
      <c r="A970" s="84"/>
      <c r="B970" s="84"/>
      <c r="C970" s="84"/>
      <c r="D970" s="106"/>
      <c r="E970" s="106"/>
      <c r="F970" s="106"/>
      <c r="G970" s="84"/>
      <c r="H970" s="106"/>
      <c r="I970" s="106"/>
      <c r="J970" s="106"/>
      <c r="K970" s="106"/>
      <c r="L970" s="106"/>
      <c r="M970" s="104"/>
      <c r="N970" s="106"/>
      <c r="O970" s="428"/>
      <c r="P970" s="106"/>
      <c r="Q970" s="84"/>
      <c r="R970" s="84"/>
      <c r="S970" s="428"/>
      <c r="T970" s="428"/>
      <c r="U970" s="428"/>
      <c r="V970" s="428"/>
      <c r="W970" s="428"/>
      <c r="X970" s="428"/>
      <c r="Y970" s="428"/>
    </row>
    <row r="971" ht="13.5" customHeight="1">
      <c r="A971" s="84"/>
      <c r="B971" s="84"/>
      <c r="C971" s="84"/>
      <c r="D971" s="106"/>
      <c r="E971" s="106"/>
      <c r="F971" s="106"/>
      <c r="G971" s="84"/>
      <c r="H971" s="106"/>
      <c r="I971" s="106"/>
      <c r="J971" s="106"/>
      <c r="K971" s="106"/>
      <c r="L971" s="106"/>
      <c r="M971" s="104"/>
      <c r="N971" s="106"/>
      <c r="O971" s="428"/>
      <c r="P971" s="106"/>
      <c r="Q971" s="84"/>
      <c r="R971" s="84"/>
      <c r="S971" s="428"/>
      <c r="T971" s="428"/>
      <c r="U971" s="428"/>
      <c r="V971" s="428"/>
      <c r="W971" s="428"/>
      <c r="X971" s="428"/>
      <c r="Y971" s="428"/>
    </row>
    <row r="972" ht="13.5" customHeight="1">
      <c r="A972" s="84"/>
      <c r="B972" s="84"/>
      <c r="C972" s="84"/>
      <c r="D972" s="106"/>
      <c r="E972" s="106"/>
      <c r="F972" s="106"/>
      <c r="G972" s="84"/>
      <c r="H972" s="106"/>
      <c r="I972" s="106"/>
      <c r="J972" s="106"/>
      <c r="K972" s="106"/>
      <c r="L972" s="106"/>
      <c r="M972" s="104"/>
      <c r="N972" s="106"/>
      <c r="O972" s="428"/>
      <c r="P972" s="106"/>
      <c r="Q972" s="84"/>
      <c r="R972" s="84"/>
      <c r="S972" s="428"/>
      <c r="T972" s="428"/>
      <c r="U972" s="428"/>
      <c r="V972" s="428"/>
      <c r="W972" s="428"/>
      <c r="X972" s="428"/>
      <c r="Y972" s="428"/>
    </row>
    <row r="973" ht="13.5" customHeight="1">
      <c r="A973" s="84"/>
      <c r="B973" s="84"/>
      <c r="C973" s="84"/>
      <c r="D973" s="106"/>
      <c r="E973" s="106"/>
      <c r="F973" s="106"/>
      <c r="G973" s="84"/>
      <c r="H973" s="106"/>
      <c r="I973" s="106"/>
      <c r="J973" s="106"/>
      <c r="K973" s="106"/>
      <c r="L973" s="106"/>
      <c r="M973" s="104"/>
      <c r="N973" s="106"/>
      <c r="O973" s="428"/>
      <c r="P973" s="106"/>
      <c r="Q973" s="84"/>
      <c r="R973" s="84"/>
      <c r="S973" s="428"/>
      <c r="T973" s="428"/>
      <c r="U973" s="428"/>
      <c r="V973" s="428"/>
      <c r="W973" s="428"/>
      <c r="X973" s="428"/>
      <c r="Y973" s="428"/>
    </row>
    <row r="974" ht="13.5" customHeight="1">
      <c r="A974" s="84"/>
      <c r="B974" s="84"/>
      <c r="C974" s="84"/>
      <c r="D974" s="106"/>
      <c r="E974" s="106"/>
      <c r="F974" s="106"/>
      <c r="G974" s="84"/>
      <c r="H974" s="106"/>
      <c r="I974" s="106"/>
      <c r="J974" s="106"/>
      <c r="K974" s="106"/>
      <c r="L974" s="106"/>
      <c r="M974" s="104"/>
      <c r="N974" s="106"/>
      <c r="O974" s="428"/>
      <c r="P974" s="106"/>
      <c r="Q974" s="84"/>
      <c r="R974" s="84"/>
      <c r="S974" s="428"/>
      <c r="T974" s="428"/>
      <c r="U974" s="428"/>
      <c r="V974" s="428"/>
      <c r="W974" s="428"/>
      <c r="X974" s="428"/>
      <c r="Y974" s="428"/>
    </row>
    <row r="975" ht="13.5" customHeight="1">
      <c r="A975" s="84"/>
      <c r="B975" s="84"/>
      <c r="C975" s="84"/>
      <c r="D975" s="106"/>
      <c r="E975" s="106"/>
      <c r="F975" s="106"/>
      <c r="G975" s="84"/>
      <c r="H975" s="106"/>
      <c r="I975" s="106"/>
      <c r="J975" s="106"/>
      <c r="K975" s="106"/>
      <c r="L975" s="106"/>
      <c r="M975" s="104"/>
      <c r="N975" s="106"/>
      <c r="O975" s="428"/>
      <c r="P975" s="106"/>
      <c r="Q975" s="84"/>
      <c r="R975" s="84"/>
      <c r="S975" s="428"/>
      <c r="T975" s="428"/>
      <c r="U975" s="428"/>
      <c r="V975" s="428"/>
      <c r="W975" s="428"/>
      <c r="X975" s="428"/>
      <c r="Y975" s="428"/>
    </row>
    <row r="976" ht="13.5" customHeight="1">
      <c r="A976" s="84"/>
      <c r="B976" s="84"/>
      <c r="C976" s="84"/>
      <c r="D976" s="106"/>
      <c r="E976" s="106"/>
      <c r="F976" s="106"/>
      <c r="G976" s="84"/>
      <c r="H976" s="106"/>
      <c r="I976" s="106"/>
      <c r="J976" s="106"/>
      <c r="K976" s="106"/>
      <c r="L976" s="106"/>
      <c r="M976" s="104"/>
      <c r="N976" s="106"/>
      <c r="O976" s="428"/>
      <c r="P976" s="106"/>
      <c r="Q976" s="84"/>
      <c r="R976" s="84"/>
      <c r="S976" s="428"/>
      <c r="T976" s="428"/>
      <c r="U976" s="428"/>
      <c r="V976" s="428"/>
      <c r="W976" s="428"/>
      <c r="X976" s="428"/>
      <c r="Y976" s="428"/>
    </row>
    <row r="977" ht="13.5" customHeight="1">
      <c r="A977" s="84"/>
      <c r="B977" s="84"/>
      <c r="C977" s="84"/>
      <c r="D977" s="106"/>
      <c r="E977" s="106"/>
      <c r="F977" s="106"/>
      <c r="G977" s="84"/>
      <c r="H977" s="106"/>
      <c r="I977" s="106"/>
      <c r="J977" s="106"/>
      <c r="K977" s="106"/>
      <c r="L977" s="106"/>
      <c r="M977" s="104"/>
      <c r="N977" s="106"/>
      <c r="O977" s="428"/>
      <c r="P977" s="106"/>
      <c r="Q977" s="84"/>
      <c r="R977" s="84"/>
      <c r="S977" s="428"/>
      <c r="T977" s="428"/>
      <c r="U977" s="428"/>
      <c r="V977" s="428"/>
      <c r="W977" s="428"/>
      <c r="X977" s="428"/>
      <c r="Y977" s="428"/>
    </row>
    <row r="978" ht="13.5" customHeight="1">
      <c r="A978" s="84"/>
      <c r="B978" s="84"/>
      <c r="C978" s="84"/>
      <c r="D978" s="106"/>
      <c r="E978" s="106"/>
      <c r="F978" s="106"/>
      <c r="G978" s="84"/>
      <c r="H978" s="106"/>
      <c r="I978" s="106"/>
      <c r="J978" s="106"/>
      <c r="K978" s="106"/>
      <c r="L978" s="106"/>
      <c r="M978" s="104"/>
      <c r="N978" s="106"/>
      <c r="O978" s="428"/>
      <c r="P978" s="106"/>
      <c r="Q978" s="84"/>
      <c r="R978" s="84"/>
      <c r="S978" s="428"/>
      <c r="T978" s="428"/>
      <c r="U978" s="428"/>
      <c r="V978" s="428"/>
      <c r="W978" s="428"/>
      <c r="X978" s="428"/>
      <c r="Y978" s="428"/>
    </row>
    <row r="979" ht="13.5" customHeight="1">
      <c r="A979" s="84"/>
      <c r="B979" s="84"/>
      <c r="C979" s="84"/>
      <c r="D979" s="106"/>
      <c r="E979" s="106"/>
      <c r="F979" s="106"/>
      <c r="G979" s="84"/>
      <c r="H979" s="106"/>
      <c r="I979" s="106"/>
      <c r="J979" s="106"/>
      <c r="K979" s="106"/>
      <c r="L979" s="106"/>
      <c r="M979" s="104"/>
      <c r="N979" s="106"/>
      <c r="O979" s="428"/>
      <c r="P979" s="106"/>
      <c r="Q979" s="84"/>
      <c r="R979" s="84"/>
      <c r="S979" s="428"/>
      <c r="T979" s="428"/>
      <c r="U979" s="428"/>
      <c r="V979" s="428"/>
      <c r="W979" s="428"/>
      <c r="X979" s="428"/>
      <c r="Y979" s="428"/>
    </row>
    <row r="980" ht="13.5" customHeight="1">
      <c r="A980" s="84"/>
      <c r="B980" s="84"/>
      <c r="C980" s="84"/>
      <c r="D980" s="106"/>
      <c r="E980" s="106"/>
      <c r="F980" s="106"/>
      <c r="G980" s="84"/>
      <c r="H980" s="106"/>
      <c r="I980" s="106"/>
      <c r="J980" s="106"/>
      <c r="K980" s="106"/>
      <c r="L980" s="106"/>
      <c r="M980" s="104"/>
      <c r="N980" s="106"/>
      <c r="O980" s="428"/>
      <c r="P980" s="106"/>
      <c r="Q980" s="84"/>
      <c r="R980" s="84"/>
      <c r="S980" s="428"/>
      <c r="T980" s="428"/>
      <c r="U980" s="428"/>
      <c r="V980" s="428"/>
      <c r="W980" s="428"/>
      <c r="X980" s="428"/>
      <c r="Y980" s="428"/>
    </row>
    <row r="981" ht="13.5" customHeight="1">
      <c r="A981" s="84"/>
      <c r="B981" s="84"/>
      <c r="C981" s="84"/>
      <c r="D981" s="106"/>
      <c r="E981" s="106"/>
      <c r="F981" s="106"/>
      <c r="G981" s="84"/>
      <c r="H981" s="106"/>
      <c r="I981" s="106"/>
      <c r="J981" s="106"/>
      <c r="K981" s="106"/>
      <c r="L981" s="106"/>
      <c r="M981" s="104"/>
      <c r="N981" s="106"/>
      <c r="O981" s="428"/>
      <c r="P981" s="106"/>
      <c r="Q981" s="84"/>
      <c r="R981" s="84"/>
      <c r="S981" s="428"/>
      <c r="T981" s="428"/>
      <c r="U981" s="428"/>
      <c r="V981" s="428"/>
      <c r="W981" s="428"/>
      <c r="X981" s="428"/>
      <c r="Y981" s="428"/>
    </row>
    <row r="982" ht="13.5" customHeight="1">
      <c r="A982" s="84"/>
      <c r="B982" s="84"/>
      <c r="C982" s="84"/>
      <c r="D982" s="106"/>
      <c r="E982" s="106"/>
      <c r="F982" s="106"/>
      <c r="G982" s="84"/>
      <c r="H982" s="106"/>
      <c r="I982" s="106"/>
      <c r="J982" s="106"/>
      <c r="K982" s="106"/>
      <c r="L982" s="106"/>
      <c r="M982" s="104"/>
      <c r="N982" s="106"/>
      <c r="O982" s="428"/>
      <c r="P982" s="106"/>
      <c r="Q982" s="84"/>
      <c r="R982" s="84"/>
      <c r="S982" s="428"/>
      <c r="T982" s="428"/>
      <c r="U982" s="428"/>
      <c r="V982" s="428"/>
      <c r="W982" s="428"/>
      <c r="X982" s="428"/>
      <c r="Y982" s="428"/>
    </row>
    <row r="983" ht="13.5" customHeight="1">
      <c r="A983" s="84"/>
      <c r="B983" s="84"/>
      <c r="C983" s="84"/>
      <c r="D983" s="106"/>
      <c r="E983" s="106"/>
      <c r="F983" s="106"/>
      <c r="G983" s="84"/>
      <c r="H983" s="106"/>
      <c r="I983" s="106"/>
      <c r="J983" s="106"/>
      <c r="K983" s="106"/>
      <c r="L983" s="106"/>
      <c r="M983" s="104"/>
      <c r="N983" s="106"/>
      <c r="O983" s="428"/>
      <c r="P983" s="106"/>
      <c r="Q983" s="84"/>
      <c r="R983" s="84"/>
      <c r="S983" s="428"/>
      <c r="T983" s="428"/>
      <c r="U983" s="428"/>
      <c r="V983" s="428"/>
      <c r="W983" s="428"/>
      <c r="X983" s="428"/>
      <c r="Y983" s="428"/>
    </row>
    <row r="984" ht="13.5" customHeight="1">
      <c r="A984" s="84"/>
      <c r="B984" s="84"/>
      <c r="C984" s="84"/>
      <c r="D984" s="106"/>
      <c r="E984" s="106"/>
      <c r="F984" s="106"/>
      <c r="G984" s="84"/>
      <c r="H984" s="106"/>
      <c r="I984" s="106"/>
      <c r="J984" s="106"/>
      <c r="K984" s="106"/>
      <c r="L984" s="106"/>
      <c r="M984" s="104"/>
      <c r="N984" s="106"/>
      <c r="O984" s="428"/>
      <c r="P984" s="106"/>
      <c r="Q984" s="84"/>
      <c r="R984" s="84"/>
      <c r="S984" s="428"/>
      <c r="T984" s="428"/>
      <c r="U984" s="428"/>
      <c r="V984" s="428"/>
      <c r="W984" s="428"/>
      <c r="X984" s="428"/>
      <c r="Y984" s="428"/>
    </row>
    <row r="985" ht="13.5" customHeight="1">
      <c r="A985" s="84"/>
      <c r="B985" s="84"/>
      <c r="C985" s="84"/>
      <c r="D985" s="106"/>
      <c r="E985" s="106"/>
      <c r="F985" s="106"/>
      <c r="G985" s="84"/>
      <c r="H985" s="106"/>
      <c r="I985" s="106"/>
      <c r="J985" s="106"/>
      <c r="K985" s="106"/>
      <c r="L985" s="106"/>
      <c r="M985" s="104"/>
      <c r="N985" s="106"/>
      <c r="O985" s="428"/>
      <c r="P985" s="106"/>
      <c r="Q985" s="84"/>
      <c r="R985" s="84"/>
      <c r="S985" s="428"/>
      <c r="T985" s="428"/>
      <c r="U985" s="428"/>
      <c r="V985" s="428"/>
      <c r="W985" s="428"/>
      <c r="X985" s="428"/>
      <c r="Y985" s="428"/>
    </row>
    <row r="986" ht="13.5" customHeight="1">
      <c r="A986" s="84"/>
      <c r="B986" s="84"/>
      <c r="C986" s="84"/>
      <c r="D986" s="106"/>
      <c r="E986" s="106"/>
      <c r="F986" s="106"/>
      <c r="G986" s="84"/>
      <c r="H986" s="106"/>
      <c r="I986" s="106"/>
      <c r="J986" s="106"/>
      <c r="K986" s="106"/>
      <c r="L986" s="106"/>
      <c r="M986" s="104"/>
      <c r="N986" s="106"/>
      <c r="O986" s="428"/>
      <c r="P986" s="106"/>
      <c r="Q986" s="84"/>
      <c r="R986" s="84"/>
      <c r="S986" s="428"/>
      <c r="T986" s="428"/>
      <c r="U986" s="428"/>
      <c r="V986" s="428"/>
      <c r="W986" s="428"/>
      <c r="X986" s="428"/>
      <c r="Y986" s="428"/>
    </row>
    <row r="987" ht="13.5" customHeight="1">
      <c r="A987" s="84"/>
      <c r="B987" s="84"/>
      <c r="C987" s="84"/>
      <c r="D987" s="106"/>
      <c r="E987" s="106"/>
      <c r="F987" s="106"/>
      <c r="G987" s="84"/>
      <c r="H987" s="106"/>
      <c r="I987" s="106"/>
      <c r="J987" s="106"/>
      <c r="K987" s="106"/>
      <c r="L987" s="106"/>
      <c r="M987" s="104"/>
      <c r="N987" s="106"/>
      <c r="O987" s="428"/>
      <c r="P987" s="106"/>
      <c r="Q987" s="84"/>
      <c r="R987" s="84"/>
      <c r="S987" s="428"/>
      <c r="T987" s="428"/>
      <c r="U987" s="428"/>
      <c r="V987" s="428"/>
      <c r="W987" s="428"/>
      <c r="X987" s="428"/>
      <c r="Y987" s="428"/>
    </row>
    <row r="988" ht="13.5" customHeight="1">
      <c r="A988" s="84"/>
      <c r="B988" s="84"/>
      <c r="C988" s="84"/>
      <c r="D988" s="106"/>
      <c r="E988" s="106"/>
      <c r="F988" s="106"/>
      <c r="G988" s="84"/>
      <c r="H988" s="106"/>
      <c r="I988" s="106"/>
      <c r="J988" s="106"/>
      <c r="K988" s="106"/>
      <c r="L988" s="106"/>
      <c r="M988" s="104"/>
      <c r="N988" s="106"/>
      <c r="O988" s="428"/>
      <c r="P988" s="106"/>
      <c r="Q988" s="84"/>
      <c r="R988" s="84"/>
      <c r="S988" s="428"/>
      <c r="T988" s="428"/>
      <c r="U988" s="428"/>
      <c r="V988" s="428"/>
      <c r="W988" s="428"/>
      <c r="X988" s="428"/>
      <c r="Y988" s="428"/>
    </row>
    <row r="989" ht="13.5" customHeight="1">
      <c r="A989" s="84"/>
      <c r="B989" s="84"/>
      <c r="C989" s="84"/>
      <c r="D989" s="106"/>
      <c r="E989" s="106"/>
      <c r="F989" s="106"/>
      <c r="G989" s="84"/>
      <c r="H989" s="106"/>
      <c r="I989" s="106"/>
      <c r="J989" s="106"/>
      <c r="K989" s="106"/>
      <c r="L989" s="106"/>
      <c r="M989" s="104"/>
      <c r="N989" s="106"/>
      <c r="O989" s="428"/>
      <c r="P989" s="106"/>
      <c r="Q989" s="84"/>
      <c r="R989" s="84"/>
      <c r="S989" s="428"/>
      <c r="T989" s="428"/>
      <c r="U989" s="428"/>
      <c r="V989" s="428"/>
      <c r="W989" s="428"/>
      <c r="X989" s="428"/>
      <c r="Y989" s="428"/>
    </row>
    <row r="990" ht="13.5" customHeight="1">
      <c r="A990" s="84"/>
      <c r="B990" s="84"/>
      <c r="C990" s="84"/>
      <c r="D990" s="106"/>
      <c r="E990" s="106"/>
      <c r="F990" s="106"/>
      <c r="G990" s="84"/>
      <c r="H990" s="106"/>
      <c r="I990" s="106"/>
      <c r="J990" s="106"/>
      <c r="K990" s="106"/>
      <c r="L990" s="106"/>
      <c r="M990" s="104"/>
      <c r="N990" s="106"/>
      <c r="O990" s="428"/>
      <c r="P990" s="106"/>
      <c r="Q990" s="84"/>
      <c r="R990" s="84"/>
      <c r="S990" s="428"/>
      <c r="T990" s="428"/>
      <c r="U990" s="428"/>
      <c r="V990" s="428"/>
      <c r="W990" s="428"/>
      <c r="X990" s="428"/>
      <c r="Y990" s="428"/>
    </row>
    <row r="991" ht="13.5" customHeight="1">
      <c r="A991" s="84"/>
      <c r="B991" s="84"/>
      <c r="C991" s="84"/>
      <c r="D991" s="106"/>
      <c r="E991" s="106"/>
      <c r="F991" s="106"/>
      <c r="G991" s="84"/>
      <c r="H991" s="106"/>
      <c r="I991" s="106"/>
      <c r="J991" s="106"/>
      <c r="K991" s="106"/>
      <c r="L991" s="106"/>
      <c r="M991" s="104"/>
      <c r="N991" s="106"/>
      <c r="O991" s="428"/>
      <c r="P991" s="106"/>
      <c r="Q991" s="84"/>
      <c r="R991" s="84"/>
      <c r="S991" s="428"/>
      <c r="T991" s="428"/>
      <c r="U991" s="428"/>
      <c r="V991" s="428"/>
      <c r="W991" s="428"/>
      <c r="X991" s="428"/>
      <c r="Y991" s="428"/>
    </row>
    <row r="992" ht="13.5" customHeight="1">
      <c r="A992" s="84"/>
      <c r="B992" s="84"/>
      <c r="C992" s="84"/>
      <c r="D992" s="106"/>
      <c r="E992" s="106"/>
      <c r="F992" s="106"/>
      <c r="G992" s="84"/>
      <c r="H992" s="106"/>
      <c r="I992" s="106"/>
      <c r="J992" s="106"/>
      <c r="K992" s="106"/>
      <c r="L992" s="106"/>
      <c r="M992" s="104"/>
      <c r="N992" s="106"/>
      <c r="O992" s="428"/>
      <c r="P992" s="106"/>
      <c r="Q992" s="84"/>
      <c r="R992" s="84"/>
      <c r="S992" s="428"/>
      <c r="T992" s="428"/>
      <c r="U992" s="428"/>
      <c r="V992" s="428"/>
      <c r="W992" s="428"/>
      <c r="X992" s="428"/>
      <c r="Y992" s="428"/>
    </row>
    <row r="993" ht="13.5" customHeight="1">
      <c r="A993" s="84"/>
      <c r="B993" s="84"/>
      <c r="C993" s="84"/>
      <c r="D993" s="106"/>
      <c r="E993" s="106"/>
      <c r="F993" s="106"/>
      <c r="G993" s="84"/>
      <c r="H993" s="106"/>
      <c r="I993" s="106"/>
      <c r="J993" s="106"/>
      <c r="K993" s="106"/>
      <c r="L993" s="106"/>
      <c r="M993" s="104"/>
      <c r="N993" s="106"/>
      <c r="O993" s="428"/>
      <c r="P993" s="106"/>
      <c r="Q993" s="84"/>
      <c r="R993" s="84"/>
      <c r="S993" s="428"/>
      <c r="T993" s="428"/>
      <c r="U993" s="428"/>
      <c r="V993" s="428"/>
      <c r="W993" s="428"/>
      <c r="X993" s="428"/>
      <c r="Y993" s="428"/>
    </row>
    <row r="994" ht="13.5" customHeight="1">
      <c r="A994" s="84"/>
      <c r="B994" s="84"/>
      <c r="C994" s="84"/>
      <c r="D994" s="106"/>
      <c r="E994" s="106"/>
      <c r="F994" s="106"/>
      <c r="G994" s="84"/>
      <c r="H994" s="106"/>
      <c r="I994" s="106"/>
      <c r="J994" s="106"/>
      <c r="K994" s="106"/>
      <c r="L994" s="106"/>
      <c r="M994" s="104"/>
      <c r="N994" s="106"/>
      <c r="O994" s="428"/>
      <c r="P994" s="106"/>
      <c r="Q994" s="84"/>
      <c r="R994" s="84"/>
      <c r="S994" s="428"/>
      <c r="T994" s="428"/>
      <c r="U994" s="428"/>
      <c r="V994" s="428"/>
      <c r="W994" s="428"/>
      <c r="X994" s="428"/>
      <c r="Y994" s="428"/>
    </row>
    <row r="995" ht="13.5" customHeight="1">
      <c r="A995" s="84"/>
      <c r="B995" s="84"/>
      <c r="C995" s="84"/>
      <c r="D995" s="106"/>
      <c r="E995" s="106"/>
      <c r="F995" s="106"/>
      <c r="G995" s="84"/>
      <c r="H995" s="106"/>
      <c r="I995" s="106"/>
      <c r="J995" s="106"/>
      <c r="K995" s="106"/>
      <c r="L995" s="106"/>
      <c r="M995" s="104"/>
      <c r="N995" s="106"/>
      <c r="O995" s="428"/>
      <c r="P995" s="106"/>
      <c r="Q995" s="84"/>
      <c r="R995" s="84"/>
      <c r="S995" s="428"/>
      <c r="T995" s="428"/>
      <c r="U995" s="428"/>
      <c r="V995" s="428"/>
      <c r="W995" s="428"/>
      <c r="X995" s="428"/>
      <c r="Y995" s="428"/>
    </row>
    <row r="996" ht="13.5" customHeight="1">
      <c r="A996" s="84"/>
      <c r="B996" s="84"/>
      <c r="C996" s="84"/>
      <c r="D996" s="106"/>
      <c r="E996" s="106"/>
      <c r="F996" s="106"/>
      <c r="G996" s="84"/>
      <c r="H996" s="106"/>
      <c r="I996" s="106"/>
      <c r="J996" s="106"/>
      <c r="K996" s="106"/>
      <c r="L996" s="106"/>
      <c r="M996" s="104"/>
      <c r="N996" s="106"/>
      <c r="O996" s="428"/>
      <c r="P996" s="106"/>
      <c r="Q996" s="84"/>
      <c r="R996" s="84"/>
      <c r="S996" s="428"/>
      <c r="T996" s="428"/>
      <c r="U996" s="428"/>
      <c r="V996" s="428"/>
      <c r="W996" s="428"/>
      <c r="X996" s="428"/>
      <c r="Y996" s="428"/>
    </row>
    <row r="997" ht="13.5" customHeight="1">
      <c r="A997" s="84"/>
      <c r="B997" s="84"/>
      <c r="C997" s="84"/>
      <c r="D997" s="106"/>
      <c r="E997" s="106"/>
      <c r="F997" s="106"/>
      <c r="G997" s="84"/>
      <c r="H997" s="106"/>
      <c r="I997" s="106"/>
      <c r="J997" s="106"/>
      <c r="K997" s="106"/>
      <c r="L997" s="106"/>
      <c r="M997" s="104"/>
      <c r="N997" s="106"/>
      <c r="O997" s="428"/>
      <c r="P997" s="106"/>
      <c r="Q997" s="84"/>
      <c r="R997" s="84"/>
      <c r="S997" s="428"/>
      <c r="T997" s="428"/>
      <c r="U997" s="428"/>
      <c r="V997" s="428"/>
      <c r="W997" s="428"/>
      <c r="X997" s="428"/>
      <c r="Y997" s="428"/>
    </row>
    <row r="998" ht="13.5" customHeight="1">
      <c r="A998" s="84"/>
      <c r="B998" s="84"/>
      <c r="C998" s="84"/>
      <c r="D998" s="106"/>
      <c r="E998" s="106"/>
      <c r="F998" s="106"/>
      <c r="G998" s="84"/>
      <c r="H998" s="106"/>
      <c r="I998" s="106"/>
      <c r="J998" s="106"/>
      <c r="K998" s="106"/>
      <c r="L998" s="106"/>
      <c r="M998" s="104"/>
      <c r="N998" s="106"/>
      <c r="O998" s="428"/>
      <c r="P998" s="106"/>
      <c r="Q998" s="84"/>
      <c r="R998" s="84"/>
      <c r="S998" s="428"/>
      <c r="T998" s="428"/>
      <c r="U998" s="428"/>
      <c r="V998" s="428"/>
      <c r="W998" s="428"/>
      <c r="X998" s="428"/>
      <c r="Y998" s="428"/>
    </row>
    <row r="999" ht="13.5" customHeight="1">
      <c r="A999" s="84"/>
      <c r="B999" s="84"/>
      <c r="C999" s="84"/>
      <c r="D999" s="106"/>
      <c r="E999" s="106"/>
      <c r="F999" s="106"/>
      <c r="G999" s="84"/>
      <c r="H999" s="106"/>
      <c r="I999" s="106"/>
      <c r="J999" s="106"/>
      <c r="K999" s="106"/>
      <c r="L999" s="106"/>
      <c r="M999" s="104"/>
      <c r="N999" s="106"/>
      <c r="O999" s="428"/>
      <c r="P999" s="106"/>
      <c r="Q999" s="84"/>
      <c r="R999" s="84"/>
      <c r="S999" s="428"/>
      <c r="T999" s="428"/>
      <c r="U999" s="428"/>
      <c r="V999" s="428"/>
      <c r="W999" s="428"/>
      <c r="X999" s="428"/>
      <c r="Y999" s="428"/>
    </row>
    <row r="1000" ht="13.5" customHeight="1">
      <c r="A1000" s="84"/>
      <c r="B1000" s="84"/>
      <c r="C1000" s="84"/>
      <c r="D1000" s="106"/>
      <c r="E1000" s="106"/>
      <c r="F1000" s="106"/>
      <c r="G1000" s="84"/>
      <c r="H1000" s="106"/>
      <c r="I1000" s="106"/>
      <c r="J1000" s="106"/>
      <c r="K1000" s="106"/>
      <c r="L1000" s="106"/>
      <c r="M1000" s="104"/>
      <c r="N1000" s="106"/>
      <c r="O1000" s="428"/>
      <c r="P1000" s="106"/>
      <c r="Q1000" s="84"/>
      <c r="R1000" s="84"/>
      <c r="S1000" s="428"/>
      <c r="T1000" s="428"/>
      <c r="U1000" s="428"/>
      <c r="V1000" s="428"/>
      <c r="W1000" s="428"/>
      <c r="X1000" s="428"/>
      <c r="Y1000" s="428"/>
    </row>
    <row r="1001" ht="13.5" customHeight="1">
      <c r="A1001" s="84"/>
      <c r="B1001" s="84"/>
      <c r="C1001" s="84"/>
      <c r="D1001" s="106"/>
      <c r="E1001" s="106"/>
      <c r="F1001" s="106"/>
      <c r="G1001" s="84"/>
      <c r="H1001" s="106"/>
      <c r="I1001" s="106"/>
      <c r="J1001" s="106"/>
      <c r="K1001" s="106"/>
      <c r="L1001" s="106"/>
      <c r="M1001" s="104"/>
      <c r="N1001" s="106"/>
      <c r="O1001" s="428"/>
      <c r="P1001" s="106"/>
      <c r="Q1001" s="84"/>
      <c r="R1001" s="84"/>
      <c r="S1001" s="428"/>
      <c r="T1001" s="428"/>
      <c r="U1001" s="428"/>
      <c r="V1001" s="428"/>
      <c r="W1001" s="428"/>
      <c r="X1001" s="428"/>
      <c r="Y1001" s="428"/>
    </row>
    <row r="1002" ht="13.5" customHeight="1">
      <c r="A1002" s="84"/>
      <c r="B1002" s="84"/>
      <c r="C1002" s="84"/>
      <c r="D1002" s="106"/>
      <c r="E1002" s="106"/>
      <c r="F1002" s="106"/>
      <c r="G1002" s="84"/>
      <c r="H1002" s="106"/>
      <c r="I1002" s="106"/>
      <c r="J1002" s="106"/>
      <c r="K1002" s="106"/>
      <c r="L1002" s="106"/>
      <c r="M1002" s="104"/>
      <c r="N1002" s="106"/>
      <c r="O1002" s="428"/>
      <c r="P1002" s="106"/>
      <c r="Q1002" s="84"/>
      <c r="R1002" s="84"/>
      <c r="S1002" s="428"/>
      <c r="T1002" s="428"/>
      <c r="U1002" s="428"/>
      <c r="V1002" s="428"/>
      <c r="W1002" s="428"/>
      <c r="X1002" s="428"/>
      <c r="Y1002" s="428"/>
    </row>
    <row r="1003" ht="13.5" customHeight="1">
      <c r="A1003" s="84"/>
      <c r="B1003" s="84"/>
      <c r="C1003" s="84"/>
      <c r="D1003" s="106"/>
      <c r="E1003" s="106"/>
      <c r="F1003" s="106"/>
      <c r="G1003" s="84"/>
      <c r="H1003" s="106"/>
      <c r="I1003" s="106"/>
      <c r="J1003" s="106"/>
      <c r="K1003" s="106"/>
      <c r="L1003" s="106"/>
      <c r="M1003" s="104"/>
      <c r="N1003" s="106"/>
      <c r="O1003" s="428"/>
      <c r="P1003" s="106"/>
      <c r="Q1003" s="84"/>
      <c r="R1003" s="84"/>
      <c r="S1003" s="428"/>
      <c r="T1003" s="428"/>
      <c r="U1003" s="428"/>
      <c r="V1003" s="428"/>
      <c r="W1003" s="428"/>
      <c r="X1003" s="428"/>
      <c r="Y1003" s="428"/>
    </row>
    <row r="1004" ht="13.5" customHeight="1">
      <c r="A1004" s="84"/>
      <c r="B1004" s="84"/>
      <c r="C1004" s="84"/>
      <c r="D1004" s="106"/>
      <c r="E1004" s="106"/>
      <c r="F1004" s="106"/>
      <c r="G1004" s="84"/>
      <c r="H1004" s="106"/>
      <c r="I1004" s="106"/>
      <c r="J1004" s="106"/>
      <c r="K1004" s="106"/>
      <c r="L1004" s="106"/>
      <c r="M1004" s="104"/>
      <c r="N1004" s="106"/>
      <c r="O1004" s="428"/>
      <c r="P1004" s="106"/>
      <c r="Q1004" s="84"/>
      <c r="R1004" s="84"/>
      <c r="S1004" s="428"/>
      <c r="T1004" s="428"/>
      <c r="U1004" s="428"/>
      <c r="V1004" s="428"/>
      <c r="W1004" s="428"/>
      <c r="X1004" s="428"/>
      <c r="Y1004" s="428"/>
    </row>
    <row r="1005" ht="13.5" customHeight="1">
      <c r="A1005" s="84"/>
      <c r="B1005" s="84"/>
      <c r="C1005" s="84"/>
      <c r="D1005" s="106"/>
      <c r="E1005" s="106"/>
      <c r="F1005" s="106"/>
      <c r="G1005" s="84"/>
      <c r="H1005" s="106"/>
      <c r="I1005" s="106"/>
      <c r="J1005" s="106"/>
      <c r="K1005" s="106"/>
      <c r="L1005" s="106"/>
      <c r="M1005" s="104"/>
      <c r="N1005" s="106"/>
      <c r="O1005" s="428"/>
      <c r="P1005" s="106"/>
      <c r="Q1005" s="84"/>
      <c r="R1005" s="84"/>
      <c r="S1005" s="428"/>
      <c r="T1005" s="428"/>
      <c r="U1005" s="428"/>
      <c r="V1005" s="428"/>
      <c r="W1005" s="428"/>
      <c r="X1005" s="428"/>
      <c r="Y1005" s="428"/>
    </row>
    <row r="1006" ht="13.5" customHeight="1">
      <c r="A1006" s="84"/>
      <c r="B1006" s="84"/>
      <c r="C1006" s="84"/>
      <c r="D1006" s="106"/>
      <c r="E1006" s="106"/>
      <c r="F1006" s="106"/>
      <c r="G1006" s="84"/>
      <c r="H1006" s="106"/>
      <c r="I1006" s="106"/>
      <c r="J1006" s="106"/>
      <c r="K1006" s="106"/>
      <c r="L1006" s="106"/>
      <c r="M1006" s="104"/>
      <c r="N1006" s="106"/>
      <c r="O1006" s="428"/>
      <c r="P1006" s="106"/>
      <c r="Q1006" s="84"/>
      <c r="R1006" s="84"/>
      <c r="S1006" s="428"/>
      <c r="T1006" s="428"/>
      <c r="U1006" s="428"/>
      <c r="V1006" s="428"/>
      <c r="W1006" s="428"/>
      <c r="X1006" s="428"/>
      <c r="Y1006" s="428"/>
    </row>
    <row r="1007" ht="13.5" customHeight="1">
      <c r="A1007" s="84"/>
      <c r="B1007" s="84"/>
      <c r="C1007" s="84"/>
      <c r="D1007" s="106"/>
      <c r="E1007" s="106"/>
      <c r="F1007" s="106"/>
      <c r="G1007" s="84"/>
      <c r="H1007" s="106"/>
      <c r="I1007" s="106"/>
      <c r="J1007" s="106"/>
      <c r="K1007" s="106"/>
      <c r="L1007" s="106"/>
      <c r="M1007" s="104"/>
      <c r="N1007" s="106"/>
      <c r="O1007" s="428"/>
      <c r="P1007" s="106"/>
      <c r="Q1007" s="84"/>
      <c r="R1007" s="84"/>
      <c r="S1007" s="428"/>
      <c r="T1007" s="428"/>
      <c r="U1007" s="428"/>
      <c r="V1007" s="428"/>
      <c r="W1007" s="428"/>
      <c r="X1007" s="428"/>
      <c r="Y1007" s="428"/>
    </row>
    <row r="1008" ht="13.5" customHeight="1">
      <c r="A1008" s="84"/>
      <c r="B1008" s="84"/>
      <c r="C1008" s="84"/>
      <c r="D1008" s="106"/>
      <c r="E1008" s="106"/>
      <c r="F1008" s="106"/>
      <c r="G1008" s="84"/>
      <c r="H1008" s="106"/>
      <c r="I1008" s="106"/>
      <c r="J1008" s="106"/>
      <c r="K1008" s="106"/>
      <c r="L1008" s="106"/>
      <c r="M1008" s="104"/>
      <c r="N1008" s="106"/>
      <c r="O1008" s="428"/>
      <c r="P1008" s="106"/>
      <c r="Q1008" s="84"/>
      <c r="R1008" s="84"/>
      <c r="S1008" s="428"/>
      <c r="T1008" s="428"/>
      <c r="U1008" s="428"/>
      <c r="V1008" s="428"/>
      <c r="W1008" s="428"/>
      <c r="X1008" s="428"/>
      <c r="Y1008" s="428"/>
    </row>
    <row r="1009" ht="13.5" customHeight="1">
      <c r="A1009" s="84"/>
      <c r="B1009" s="84"/>
      <c r="C1009" s="84"/>
      <c r="D1009" s="106"/>
      <c r="E1009" s="106"/>
      <c r="F1009" s="106"/>
      <c r="G1009" s="84"/>
      <c r="H1009" s="106"/>
      <c r="I1009" s="106"/>
      <c r="J1009" s="106"/>
      <c r="K1009" s="106"/>
      <c r="L1009" s="106"/>
      <c r="M1009" s="104"/>
      <c r="N1009" s="106"/>
      <c r="O1009" s="428"/>
      <c r="P1009" s="106"/>
      <c r="Q1009" s="84"/>
      <c r="R1009" s="84"/>
      <c r="S1009" s="428"/>
      <c r="T1009" s="428"/>
      <c r="U1009" s="428"/>
      <c r="V1009" s="428"/>
      <c r="W1009" s="428"/>
      <c r="X1009" s="428"/>
      <c r="Y1009" s="428"/>
    </row>
    <row r="1010" ht="13.5" customHeight="1">
      <c r="A1010" s="84"/>
      <c r="B1010" s="84"/>
      <c r="C1010" s="84"/>
      <c r="D1010" s="106"/>
      <c r="E1010" s="106"/>
      <c r="F1010" s="106"/>
      <c r="G1010" s="84"/>
      <c r="H1010" s="106"/>
      <c r="I1010" s="106"/>
      <c r="J1010" s="106"/>
      <c r="K1010" s="106"/>
      <c r="L1010" s="106"/>
      <c r="M1010" s="104"/>
      <c r="N1010" s="106"/>
      <c r="O1010" s="428"/>
      <c r="P1010" s="106"/>
      <c r="Q1010" s="84"/>
      <c r="R1010" s="84"/>
      <c r="S1010" s="428"/>
      <c r="T1010" s="428"/>
      <c r="U1010" s="428"/>
      <c r="V1010" s="428"/>
      <c r="W1010" s="428"/>
      <c r="X1010" s="428"/>
      <c r="Y1010" s="428"/>
    </row>
    <row r="1011" ht="13.5" customHeight="1">
      <c r="A1011" s="84"/>
      <c r="B1011" s="84"/>
      <c r="C1011" s="84"/>
      <c r="D1011" s="106"/>
      <c r="E1011" s="106"/>
      <c r="F1011" s="106"/>
      <c r="G1011" s="84"/>
      <c r="H1011" s="106"/>
      <c r="I1011" s="106"/>
      <c r="J1011" s="106"/>
      <c r="K1011" s="106"/>
      <c r="L1011" s="106"/>
      <c r="M1011" s="104"/>
      <c r="N1011" s="106"/>
      <c r="O1011" s="428"/>
      <c r="P1011" s="106"/>
      <c r="Q1011" s="84"/>
      <c r="R1011" s="84"/>
      <c r="S1011" s="428"/>
      <c r="T1011" s="428"/>
      <c r="U1011" s="428"/>
      <c r="V1011" s="428"/>
      <c r="W1011" s="428"/>
      <c r="X1011" s="428"/>
      <c r="Y1011" s="428"/>
    </row>
    <row r="1012" ht="13.5" customHeight="1">
      <c r="A1012" s="84"/>
      <c r="B1012" s="84"/>
      <c r="C1012" s="84"/>
      <c r="D1012" s="106"/>
      <c r="E1012" s="106"/>
      <c r="F1012" s="106"/>
      <c r="G1012" s="84"/>
      <c r="H1012" s="106"/>
      <c r="I1012" s="106"/>
      <c r="J1012" s="106"/>
      <c r="K1012" s="106"/>
      <c r="L1012" s="106"/>
      <c r="M1012" s="104"/>
      <c r="N1012" s="106"/>
      <c r="O1012" s="428"/>
      <c r="P1012" s="106"/>
      <c r="Q1012" s="84"/>
      <c r="R1012" s="84"/>
      <c r="S1012" s="428"/>
      <c r="T1012" s="428"/>
      <c r="U1012" s="428"/>
      <c r="V1012" s="428"/>
      <c r="W1012" s="428"/>
      <c r="X1012" s="428"/>
      <c r="Y1012" s="428"/>
    </row>
    <row r="1013" ht="13.5" customHeight="1">
      <c r="A1013" s="84"/>
      <c r="B1013" s="84"/>
      <c r="C1013" s="84"/>
      <c r="D1013" s="106"/>
      <c r="E1013" s="106"/>
      <c r="F1013" s="106"/>
      <c r="G1013" s="84"/>
      <c r="H1013" s="106"/>
      <c r="I1013" s="106"/>
      <c r="J1013" s="106"/>
      <c r="K1013" s="106"/>
      <c r="L1013" s="106"/>
      <c r="M1013" s="104"/>
      <c r="N1013" s="106"/>
      <c r="O1013" s="428"/>
      <c r="P1013" s="106"/>
      <c r="Q1013" s="84"/>
      <c r="R1013" s="84"/>
      <c r="S1013" s="428"/>
      <c r="T1013" s="428"/>
      <c r="U1013" s="428"/>
      <c r="V1013" s="428"/>
      <c r="W1013" s="428"/>
      <c r="X1013" s="428"/>
      <c r="Y1013" s="428"/>
    </row>
    <row r="1014" ht="13.5" customHeight="1">
      <c r="A1014" s="84"/>
      <c r="B1014" s="84"/>
      <c r="C1014" s="84"/>
      <c r="D1014" s="106"/>
      <c r="E1014" s="106"/>
      <c r="F1014" s="106"/>
      <c r="G1014" s="84"/>
      <c r="H1014" s="106"/>
      <c r="I1014" s="106"/>
      <c r="J1014" s="106"/>
      <c r="K1014" s="106"/>
      <c r="L1014" s="106"/>
      <c r="M1014" s="104"/>
      <c r="N1014" s="106"/>
      <c r="O1014" s="428"/>
      <c r="P1014" s="106"/>
      <c r="Q1014" s="84"/>
      <c r="R1014" s="84"/>
      <c r="S1014" s="428"/>
      <c r="T1014" s="428"/>
      <c r="U1014" s="428"/>
      <c r="V1014" s="428"/>
      <c r="W1014" s="428"/>
      <c r="X1014" s="428"/>
      <c r="Y1014" s="428"/>
    </row>
    <row r="1015" ht="13.5" customHeight="1">
      <c r="A1015" s="84"/>
      <c r="B1015" s="84"/>
      <c r="C1015" s="84"/>
      <c r="D1015" s="106"/>
      <c r="E1015" s="106"/>
      <c r="F1015" s="106"/>
      <c r="G1015" s="84"/>
      <c r="H1015" s="106"/>
      <c r="I1015" s="106"/>
      <c r="J1015" s="106"/>
      <c r="K1015" s="106"/>
      <c r="L1015" s="106"/>
      <c r="M1015" s="104"/>
      <c r="N1015" s="106"/>
      <c r="O1015" s="428"/>
      <c r="P1015" s="106"/>
      <c r="Q1015" s="84"/>
      <c r="R1015" s="84"/>
      <c r="S1015" s="428"/>
      <c r="T1015" s="428"/>
      <c r="U1015" s="428"/>
      <c r="V1015" s="428"/>
      <c r="W1015" s="428"/>
      <c r="X1015" s="428"/>
      <c r="Y1015" s="428"/>
    </row>
    <row r="1016" ht="13.5" customHeight="1">
      <c r="A1016" s="84"/>
      <c r="B1016" s="84"/>
      <c r="C1016" s="84"/>
      <c r="D1016" s="106"/>
      <c r="E1016" s="106"/>
      <c r="F1016" s="106"/>
      <c r="G1016" s="84"/>
      <c r="H1016" s="106"/>
      <c r="I1016" s="106"/>
      <c r="J1016" s="106"/>
      <c r="K1016" s="106"/>
      <c r="L1016" s="106"/>
      <c r="M1016" s="104"/>
      <c r="N1016" s="106"/>
      <c r="O1016" s="428"/>
      <c r="P1016" s="106"/>
      <c r="Q1016" s="84"/>
      <c r="R1016" s="84"/>
      <c r="S1016" s="428"/>
      <c r="T1016" s="428"/>
      <c r="U1016" s="428"/>
      <c r="V1016" s="428"/>
      <c r="W1016" s="428"/>
      <c r="X1016" s="428"/>
      <c r="Y1016" s="428"/>
    </row>
    <row r="1017" ht="13.5" customHeight="1">
      <c r="A1017" s="84"/>
      <c r="B1017" s="84"/>
      <c r="C1017" s="84"/>
      <c r="D1017" s="106"/>
      <c r="E1017" s="106"/>
      <c r="F1017" s="106"/>
      <c r="G1017" s="84"/>
      <c r="H1017" s="106"/>
      <c r="I1017" s="106"/>
      <c r="J1017" s="106"/>
      <c r="K1017" s="106"/>
      <c r="L1017" s="106"/>
      <c r="M1017" s="104"/>
      <c r="N1017" s="106"/>
      <c r="O1017" s="428"/>
      <c r="P1017" s="106"/>
      <c r="Q1017" s="84"/>
      <c r="R1017" s="84"/>
      <c r="S1017" s="428"/>
      <c r="T1017" s="428"/>
      <c r="U1017" s="428"/>
      <c r="V1017" s="428"/>
      <c r="W1017" s="428"/>
      <c r="X1017" s="428"/>
      <c r="Y1017" s="428"/>
    </row>
    <row r="1018" ht="13.5" customHeight="1">
      <c r="A1018" s="84"/>
      <c r="B1018" s="84"/>
      <c r="C1018" s="84"/>
      <c r="D1018" s="106"/>
      <c r="E1018" s="106"/>
      <c r="F1018" s="106"/>
      <c r="G1018" s="84"/>
      <c r="H1018" s="106"/>
      <c r="I1018" s="106"/>
      <c r="J1018" s="106"/>
      <c r="K1018" s="106"/>
      <c r="L1018" s="106"/>
      <c r="M1018" s="104"/>
      <c r="N1018" s="106"/>
      <c r="O1018" s="428"/>
      <c r="P1018" s="106"/>
      <c r="Q1018" s="84"/>
      <c r="R1018" s="84"/>
      <c r="S1018" s="428"/>
      <c r="T1018" s="428"/>
      <c r="U1018" s="428"/>
      <c r="V1018" s="428"/>
      <c r="W1018" s="428"/>
      <c r="X1018" s="428"/>
      <c r="Y1018" s="428"/>
    </row>
    <row r="1019" ht="13.5" customHeight="1">
      <c r="A1019" s="84"/>
      <c r="B1019" s="84"/>
      <c r="C1019" s="84"/>
      <c r="D1019" s="106"/>
      <c r="E1019" s="106"/>
      <c r="F1019" s="106"/>
      <c r="G1019" s="84"/>
      <c r="H1019" s="106"/>
      <c r="I1019" s="106"/>
      <c r="J1019" s="106"/>
      <c r="K1019" s="106"/>
      <c r="L1019" s="106"/>
      <c r="M1019" s="104"/>
      <c r="N1019" s="106"/>
      <c r="O1019" s="428"/>
      <c r="P1019" s="106"/>
      <c r="Q1019" s="84"/>
      <c r="R1019" s="84"/>
      <c r="S1019" s="428"/>
      <c r="T1019" s="428"/>
      <c r="U1019" s="428"/>
      <c r="V1019" s="428"/>
      <c r="W1019" s="428"/>
      <c r="X1019" s="428"/>
      <c r="Y1019" s="428"/>
    </row>
    <row r="1020" ht="13.5" customHeight="1">
      <c r="A1020" s="84"/>
      <c r="B1020" s="84"/>
      <c r="C1020" s="84"/>
      <c r="D1020" s="106"/>
      <c r="E1020" s="106"/>
      <c r="F1020" s="106"/>
      <c r="G1020" s="84"/>
      <c r="H1020" s="106"/>
      <c r="I1020" s="106"/>
      <c r="J1020" s="106"/>
      <c r="K1020" s="106"/>
      <c r="L1020" s="106"/>
      <c r="M1020" s="104"/>
      <c r="N1020" s="106"/>
      <c r="O1020" s="428"/>
      <c r="P1020" s="106"/>
      <c r="Q1020" s="84"/>
      <c r="R1020" s="84"/>
      <c r="S1020" s="428"/>
      <c r="T1020" s="428"/>
      <c r="U1020" s="428"/>
      <c r="V1020" s="428"/>
      <c r="W1020" s="428"/>
      <c r="X1020" s="428"/>
      <c r="Y1020" s="428"/>
    </row>
    <row r="1021" ht="13.5" customHeight="1">
      <c r="A1021" s="84"/>
      <c r="B1021" s="84"/>
      <c r="C1021" s="84"/>
      <c r="D1021" s="106"/>
      <c r="E1021" s="106"/>
      <c r="F1021" s="106"/>
      <c r="G1021" s="84"/>
      <c r="H1021" s="106"/>
      <c r="I1021" s="106"/>
      <c r="J1021" s="106"/>
      <c r="K1021" s="106"/>
      <c r="L1021" s="106"/>
      <c r="M1021" s="104"/>
      <c r="N1021" s="106"/>
      <c r="O1021" s="428"/>
      <c r="P1021" s="106"/>
      <c r="Q1021" s="84"/>
      <c r="R1021" s="84"/>
      <c r="S1021" s="428"/>
      <c r="T1021" s="428"/>
      <c r="U1021" s="428"/>
      <c r="V1021" s="428"/>
      <c r="W1021" s="428"/>
      <c r="X1021" s="428"/>
      <c r="Y1021" s="428"/>
    </row>
    <row r="1022" ht="13.5" customHeight="1">
      <c r="A1022" s="84"/>
      <c r="B1022" s="84"/>
      <c r="C1022" s="84"/>
      <c r="D1022" s="106"/>
      <c r="E1022" s="106"/>
      <c r="F1022" s="106"/>
      <c r="G1022" s="84"/>
      <c r="H1022" s="106"/>
      <c r="I1022" s="106"/>
      <c r="J1022" s="106"/>
      <c r="K1022" s="106"/>
      <c r="L1022" s="106"/>
      <c r="M1022" s="104"/>
      <c r="N1022" s="106"/>
      <c r="O1022" s="428"/>
      <c r="P1022" s="106"/>
      <c r="Q1022" s="84"/>
      <c r="R1022" s="84"/>
      <c r="S1022" s="428"/>
      <c r="T1022" s="428"/>
      <c r="U1022" s="428"/>
      <c r="V1022" s="428"/>
      <c r="W1022" s="428"/>
      <c r="X1022" s="428"/>
      <c r="Y1022" s="428"/>
    </row>
    <row r="1023" ht="13.5" customHeight="1">
      <c r="A1023" s="84"/>
      <c r="B1023" s="84"/>
      <c r="C1023" s="84"/>
      <c r="D1023" s="106"/>
      <c r="E1023" s="106"/>
      <c r="F1023" s="106"/>
      <c r="G1023" s="84"/>
      <c r="H1023" s="106"/>
      <c r="I1023" s="106"/>
      <c r="J1023" s="106"/>
      <c r="K1023" s="106"/>
      <c r="L1023" s="106"/>
      <c r="M1023" s="104"/>
      <c r="N1023" s="106"/>
      <c r="O1023" s="428"/>
      <c r="P1023" s="106"/>
      <c r="Q1023" s="84"/>
      <c r="R1023" s="84"/>
      <c r="S1023" s="428"/>
      <c r="T1023" s="428"/>
      <c r="U1023" s="428"/>
      <c r="V1023" s="428"/>
      <c r="W1023" s="428"/>
      <c r="X1023" s="428"/>
      <c r="Y1023" s="428"/>
    </row>
    <row r="1024" ht="13.5" customHeight="1">
      <c r="A1024" s="84"/>
      <c r="B1024" s="84"/>
      <c r="C1024" s="84"/>
      <c r="D1024" s="106"/>
      <c r="E1024" s="106"/>
      <c r="F1024" s="106"/>
      <c r="G1024" s="84"/>
      <c r="H1024" s="106"/>
      <c r="I1024" s="106"/>
      <c r="J1024" s="106"/>
      <c r="K1024" s="106"/>
      <c r="L1024" s="106"/>
      <c r="M1024" s="104"/>
      <c r="N1024" s="106"/>
      <c r="O1024" s="428"/>
      <c r="P1024" s="106"/>
      <c r="Q1024" s="84"/>
      <c r="R1024" s="84"/>
      <c r="S1024" s="428"/>
      <c r="T1024" s="428"/>
      <c r="U1024" s="428"/>
      <c r="V1024" s="428"/>
      <c r="W1024" s="428"/>
      <c r="X1024" s="428"/>
      <c r="Y1024" s="428"/>
    </row>
    <row r="1025" ht="13.5" customHeight="1">
      <c r="A1025" s="84"/>
      <c r="B1025" s="84"/>
      <c r="C1025" s="84"/>
      <c r="D1025" s="106"/>
      <c r="E1025" s="106"/>
      <c r="F1025" s="106"/>
      <c r="G1025" s="84"/>
      <c r="H1025" s="106"/>
      <c r="I1025" s="106"/>
      <c r="J1025" s="106"/>
      <c r="K1025" s="106"/>
      <c r="L1025" s="106"/>
      <c r="M1025" s="104"/>
      <c r="N1025" s="106"/>
      <c r="O1025" s="428"/>
      <c r="P1025" s="106"/>
      <c r="Q1025" s="84"/>
      <c r="R1025" s="84"/>
      <c r="S1025" s="428"/>
      <c r="T1025" s="428"/>
      <c r="U1025" s="428"/>
      <c r="V1025" s="428"/>
      <c r="W1025" s="428"/>
      <c r="X1025" s="428"/>
      <c r="Y1025" s="428"/>
    </row>
    <row r="1026" ht="13.5" customHeight="1">
      <c r="A1026" s="84"/>
      <c r="B1026" s="84"/>
      <c r="C1026" s="84"/>
      <c r="D1026" s="106"/>
      <c r="E1026" s="106"/>
      <c r="F1026" s="106"/>
      <c r="G1026" s="84"/>
      <c r="H1026" s="106"/>
      <c r="I1026" s="106"/>
      <c r="J1026" s="106"/>
      <c r="K1026" s="106"/>
      <c r="L1026" s="106"/>
      <c r="M1026" s="104"/>
      <c r="N1026" s="106"/>
      <c r="O1026" s="428"/>
      <c r="P1026" s="106"/>
      <c r="Q1026" s="84"/>
      <c r="R1026" s="84"/>
      <c r="S1026" s="428"/>
      <c r="T1026" s="428"/>
      <c r="U1026" s="428"/>
      <c r="V1026" s="428"/>
      <c r="W1026" s="428"/>
      <c r="X1026" s="428"/>
      <c r="Y1026" s="428"/>
    </row>
    <row r="1027" ht="13.5" customHeight="1">
      <c r="A1027" s="84"/>
      <c r="B1027" s="84"/>
      <c r="C1027" s="84"/>
      <c r="D1027" s="106"/>
      <c r="E1027" s="106"/>
      <c r="F1027" s="106"/>
      <c r="G1027" s="84"/>
      <c r="H1027" s="106"/>
      <c r="I1027" s="106"/>
      <c r="J1027" s="106"/>
      <c r="K1027" s="106"/>
      <c r="L1027" s="106"/>
      <c r="M1027" s="104"/>
      <c r="N1027" s="106"/>
      <c r="O1027" s="428"/>
      <c r="P1027" s="106"/>
      <c r="Q1027" s="84"/>
      <c r="R1027" s="84"/>
      <c r="S1027" s="428"/>
      <c r="T1027" s="428"/>
      <c r="U1027" s="428"/>
      <c r="V1027" s="428"/>
      <c r="W1027" s="428"/>
      <c r="X1027" s="428"/>
      <c r="Y1027" s="428"/>
    </row>
    <row r="1028" ht="13.5" customHeight="1">
      <c r="A1028" s="84"/>
      <c r="B1028" s="84"/>
      <c r="C1028" s="84"/>
      <c r="D1028" s="106"/>
      <c r="E1028" s="106"/>
      <c r="F1028" s="106"/>
      <c r="G1028" s="84"/>
      <c r="H1028" s="106"/>
      <c r="I1028" s="106"/>
      <c r="J1028" s="106"/>
      <c r="K1028" s="106"/>
      <c r="L1028" s="106"/>
      <c r="M1028" s="104"/>
      <c r="N1028" s="106"/>
      <c r="O1028" s="428"/>
      <c r="P1028" s="106"/>
      <c r="Q1028" s="84"/>
      <c r="R1028" s="84"/>
      <c r="S1028" s="428"/>
      <c r="T1028" s="428"/>
      <c r="U1028" s="428"/>
      <c r="V1028" s="428"/>
      <c r="W1028" s="428"/>
      <c r="X1028" s="428"/>
      <c r="Y1028" s="428"/>
    </row>
    <row r="1029" ht="13.5" customHeight="1">
      <c r="A1029" s="84"/>
      <c r="B1029" s="84"/>
      <c r="C1029" s="84"/>
      <c r="D1029" s="106"/>
      <c r="E1029" s="106"/>
      <c r="F1029" s="106"/>
      <c r="G1029" s="84"/>
      <c r="H1029" s="106"/>
      <c r="I1029" s="106"/>
      <c r="J1029" s="106"/>
      <c r="K1029" s="106"/>
      <c r="L1029" s="106"/>
      <c r="M1029" s="104"/>
      <c r="N1029" s="106"/>
      <c r="O1029" s="428"/>
      <c r="P1029" s="106"/>
      <c r="Q1029" s="84"/>
      <c r="R1029" s="84"/>
      <c r="S1029" s="428"/>
      <c r="T1029" s="428"/>
      <c r="U1029" s="428"/>
      <c r="V1029" s="428"/>
      <c r="W1029" s="428"/>
      <c r="X1029" s="428"/>
      <c r="Y1029" s="428"/>
    </row>
    <row r="1030" ht="13.5" customHeight="1">
      <c r="A1030" s="84"/>
      <c r="B1030" s="84"/>
      <c r="C1030" s="84"/>
      <c r="D1030" s="106"/>
      <c r="E1030" s="106"/>
      <c r="F1030" s="106"/>
      <c r="G1030" s="84"/>
      <c r="H1030" s="106"/>
      <c r="I1030" s="106"/>
      <c r="J1030" s="106"/>
      <c r="K1030" s="106"/>
      <c r="L1030" s="106"/>
      <c r="M1030" s="104"/>
      <c r="N1030" s="106"/>
      <c r="O1030" s="428"/>
      <c r="P1030" s="106"/>
      <c r="Q1030" s="84"/>
      <c r="R1030" s="84"/>
      <c r="S1030" s="428"/>
      <c r="T1030" s="428"/>
      <c r="U1030" s="428"/>
      <c r="V1030" s="428"/>
      <c r="W1030" s="428"/>
      <c r="X1030" s="428"/>
      <c r="Y1030" s="428"/>
    </row>
    <row r="1031" ht="13.5" customHeight="1">
      <c r="A1031" s="84"/>
      <c r="B1031" s="84"/>
      <c r="C1031" s="84"/>
      <c r="D1031" s="106"/>
      <c r="E1031" s="106"/>
      <c r="F1031" s="106"/>
      <c r="G1031" s="84"/>
      <c r="H1031" s="106"/>
      <c r="I1031" s="106"/>
      <c r="J1031" s="106"/>
      <c r="K1031" s="106"/>
      <c r="L1031" s="106"/>
      <c r="M1031" s="104"/>
      <c r="N1031" s="106"/>
      <c r="O1031" s="428"/>
      <c r="P1031" s="106"/>
      <c r="Q1031" s="84"/>
      <c r="R1031" s="84"/>
      <c r="S1031" s="428"/>
      <c r="T1031" s="428"/>
      <c r="U1031" s="428"/>
      <c r="V1031" s="428"/>
      <c r="W1031" s="428"/>
      <c r="X1031" s="428"/>
      <c r="Y1031" s="428"/>
    </row>
    <row r="1032" ht="13.5" customHeight="1">
      <c r="A1032" s="84"/>
      <c r="B1032" s="84"/>
      <c r="C1032" s="84"/>
      <c r="D1032" s="106"/>
      <c r="E1032" s="106"/>
      <c r="F1032" s="106"/>
      <c r="G1032" s="84"/>
      <c r="H1032" s="106"/>
      <c r="I1032" s="106"/>
      <c r="J1032" s="106"/>
      <c r="K1032" s="106"/>
      <c r="L1032" s="106"/>
      <c r="M1032" s="104"/>
      <c r="N1032" s="106"/>
      <c r="O1032" s="428"/>
      <c r="P1032" s="106"/>
      <c r="Q1032" s="84"/>
      <c r="R1032" s="84"/>
      <c r="S1032" s="428"/>
      <c r="T1032" s="428"/>
      <c r="U1032" s="428"/>
      <c r="V1032" s="428"/>
      <c r="W1032" s="428"/>
      <c r="X1032" s="428"/>
      <c r="Y1032" s="428"/>
    </row>
    <row r="1033" ht="13.5" customHeight="1">
      <c r="A1033" s="84"/>
      <c r="B1033" s="84"/>
      <c r="C1033" s="84"/>
      <c r="D1033" s="106"/>
      <c r="E1033" s="106"/>
      <c r="F1033" s="106"/>
      <c r="G1033" s="84"/>
      <c r="H1033" s="106"/>
      <c r="I1033" s="106"/>
      <c r="J1033" s="106"/>
      <c r="K1033" s="106"/>
      <c r="L1033" s="106"/>
      <c r="M1033" s="104"/>
      <c r="N1033" s="106"/>
      <c r="O1033" s="428"/>
      <c r="P1033" s="106"/>
      <c r="Q1033" s="84"/>
      <c r="R1033" s="84"/>
      <c r="S1033" s="428"/>
      <c r="T1033" s="428"/>
      <c r="U1033" s="428"/>
      <c r="V1033" s="428"/>
      <c r="W1033" s="428"/>
      <c r="X1033" s="428"/>
      <c r="Y1033" s="428"/>
    </row>
    <row r="1034" ht="13.5" customHeight="1">
      <c r="A1034" s="84"/>
      <c r="B1034" s="84"/>
      <c r="C1034" s="84"/>
      <c r="D1034" s="106"/>
      <c r="E1034" s="106"/>
      <c r="F1034" s="106"/>
      <c r="G1034" s="84"/>
      <c r="H1034" s="106"/>
      <c r="I1034" s="106"/>
      <c r="J1034" s="106"/>
      <c r="K1034" s="106"/>
      <c r="L1034" s="106"/>
      <c r="M1034" s="104"/>
      <c r="N1034" s="106"/>
      <c r="O1034" s="428"/>
      <c r="P1034" s="106"/>
      <c r="Q1034" s="84"/>
      <c r="R1034" s="84"/>
      <c r="S1034" s="428"/>
      <c r="T1034" s="428"/>
      <c r="U1034" s="428"/>
      <c r="V1034" s="428"/>
      <c r="W1034" s="428"/>
      <c r="X1034" s="428"/>
      <c r="Y1034" s="428"/>
    </row>
    <row r="1035" ht="13.5" customHeight="1">
      <c r="A1035" s="84"/>
      <c r="B1035" s="84"/>
      <c r="C1035" s="84"/>
      <c r="D1035" s="106"/>
      <c r="E1035" s="106"/>
      <c r="F1035" s="106"/>
      <c r="G1035" s="84"/>
      <c r="H1035" s="106"/>
      <c r="I1035" s="106"/>
      <c r="J1035" s="106"/>
      <c r="K1035" s="106"/>
      <c r="L1035" s="106"/>
      <c r="M1035" s="104"/>
      <c r="N1035" s="106"/>
      <c r="O1035" s="428"/>
      <c r="P1035" s="106"/>
      <c r="Q1035" s="84"/>
      <c r="R1035" s="84"/>
      <c r="S1035" s="428"/>
      <c r="T1035" s="428"/>
      <c r="U1035" s="428"/>
      <c r="V1035" s="428"/>
      <c r="W1035" s="428"/>
      <c r="X1035" s="428"/>
      <c r="Y1035" s="428"/>
    </row>
    <row r="1036" ht="13.5" customHeight="1">
      <c r="A1036" s="84"/>
      <c r="B1036" s="84"/>
      <c r="C1036" s="84"/>
      <c r="D1036" s="106"/>
      <c r="E1036" s="106"/>
      <c r="F1036" s="106"/>
      <c r="G1036" s="84"/>
      <c r="H1036" s="106"/>
      <c r="I1036" s="106"/>
      <c r="J1036" s="106"/>
      <c r="K1036" s="106"/>
      <c r="L1036" s="106"/>
      <c r="M1036" s="104"/>
      <c r="N1036" s="106"/>
      <c r="O1036" s="428"/>
      <c r="P1036" s="106"/>
      <c r="Q1036" s="84"/>
      <c r="R1036" s="84"/>
      <c r="S1036" s="428"/>
      <c r="T1036" s="428"/>
      <c r="U1036" s="428"/>
      <c r="V1036" s="428"/>
      <c r="W1036" s="428"/>
      <c r="X1036" s="428"/>
      <c r="Y1036" s="428"/>
    </row>
    <row r="1037" ht="13.5" customHeight="1">
      <c r="A1037" s="84"/>
      <c r="B1037" s="84"/>
      <c r="C1037" s="84"/>
      <c r="D1037" s="106"/>
      <c r="E1037" s="106"/>
      <c r="F1037" s="106"/>
      <c r="G1037" s="84"/>
      <c r="H1037" s="106"/>
      <c r="I1037" s="106"/>
      <c r="J1037" s="106"/>
      <c r="K1037" s="106"/>
      <c r="L1037" s="106"/>
      <c r="M1037" s="104"/>
      <c r="N1037" s="106"/>
      <c r="O1037" s="428"/>
      <c r="P1037" s="106"/>
      <c r="Q1037" s="84"/>
      <c r="R1037" s="84"/>
      <c r="S1037" s="428"/>
      <c r="T1037" s="428"/>
      <c r="U1037" s="428"/>
      <c r="V1037" s="428"/>
      <c r="W1037" s="428"/>
      <c r="X1037" s="428"/>
      <c r="Y1037" s="428"/>
    </row>
    <row r="1038" ht="13.5" customHeight="1">
      <c r="A1038" s="84"/>
      <c r="B1038" s="84"/>
      <c r="C1038" s="84"/>
      <c r="D1038" s="106"/>
      <c r="E1038" s="106"/>
      <c r="F1038" s="106"/>
      <c r="G1038" s="84"/>
      <c r="H1038" s="106"/>
      <c r="I1038" s="106"/>
      <c r="J1038" s="106"/>
      <c r="K1038" s="106"/>
      <c r="L1038" s="106"/>
      <c r="M1038" s="104"/>
      <c r="N1038" s="106"/>
      <c r="O1038" s="428"/>
      <c r="P1038" s="106"/>
      <c r="Q1038" s="84"/>
      <c r="R1038" s="84"/>
      <c r="S1038" s="428"/>
      <c r="T1038" s="428"/>
      <c r="U1038" s="428"/>
      <c r="V1038" s="428"/>
      <c r="W1038" s="428"/>
      <c r="X1038" s="428"/>
      <c r="Y1038" s="428"/>
    </row>
    <row r="1039" ht="13.5" customHeight="1">
      <c r="A1039" s="84"/>
      <c r="B1039" s="84"/>
      <c r="C1039" s="84"/>
      <c r="D1039" s="106"/>
      <c r="E1039" s="106"/>
      <c r="F1039" s="106"/>
      <c r="G1039" s="84"/>
      <c r="H1039" s="106"/>
      <c r="I1039" s="106"/>
      <c r="J1039" s="106"/>
      <c r="K1039" s="106"/>
      <c r="L1039" s="106"/>
      <c r="M1039" s="104"/>
      <c r="N1039" s="106"/>
      <c r="O1039" s="428"/>
      <c r="P1039" s="106"/>
      <c r="Q1039" s="84"/>
      <c r="R1039" s="84"/>
      <c r="S1039" s="428"/>
      <c r="T1039" s="428"/>
      <c r="U1039" s="428"/>
      <c r="V1039" s="428"/>
      <c r="W1039" s="428"/>
      <c r="X1039" s="428"/>
      <c r="Y1039" s="428"/>
    </row>
    <row r="1040" ht="13.5" customHeight="1">
      <c r="A1040" s="84"/>
      <c r="B1040" s="84"/>
      <c r="C1040" s="84"/>
      <c r="D1040" s="106"/>
      <c r="E1040" s="106"/>
      <c r="F1040" s="106"/>
      <c r="G1040" s="84"/>
      <c r="H1040" s="106"/>
      <c r="I1040" s="106"/>
      <c r="J1040" s="106"/>
      <c r="K1040" s="106"/>
      <c r="L1040" s="106"/>
      <c r="M1040" s="104"/>
      <c r="N1040" s="106"/>
      <c r="O1040" s="428"/>
      <c r="P1040" s="106"/>
      <c r="Q1040" s="84"/>
      <c r="R1040" s="84"/>
      <c r="S1040" s="428"/>
      <c r="T1040" s="428"/>
      <c r="U1040" s="428"/>
      <c r="V1040" s="428"/>
      <c r="W1040" s="428"/>
      <c r="X1040" s="428"/>
      <c r="Y1040" s="428"/>
    </row>
    <row r="1041" ht="13.5" customHeight="1">
      <c r="A1041" s="84"/>
      <c r="B1041" s="84"/>
      <c r="C1041" s="84"/>
      <c r="D1041" s="106"/>
      <c r="E1041" s="106"/>
      <c r="F1041" s="106"/>
      <c r="G1041" s="84"/>
      <c r="H1041" s="106"/>
      <c r="I1041" s="106"/>
      <c r="J1041" s="106"/>
      <c r="K1041" s="106"/>
      <c r="L1041" s="106"/>
      <c r="M1041" s="104"/>
      <c r="N1041" s="106"/>
      <c r="O1041" s="428"/>
      <c r="P1041" s="106"/>
      <c r="Q1041" s="84"/>
      <c r="R1041" s="84"/>
      <c r="S1041" s="428"/>
      <c r="T1041" s="428"/>
      <c r="U1041" s="428"/>
      <c r="V1041" s="428"/>
      <c r="W1041" s="428"/>
      <c r="X1041" s="428"/>
      <c r="Y1041" s="428"/>
    </row>
    <row r="1042" ht="13.5" customHeight="1">
      <c r="A1042" s="84"/>
      <c r="B1042" s="84"/>
      <c r="C1042" s="84"/>
      <c r="D1042" s="106"/>
      <c r="E1042" s="106"/>
      <c r="F1042" s="106"/>
      <c r="G1042" s="84"/>
      <c r="H1042" s="106"/>
      <c r="I1042" s="106"/>
      <c r="J1042" s="106"/>
      <c r="K1042" s="106"/>
      <c r="L1042" s="106"/>
      <c r="M1042" s="104"/>
      <c r="N1042" s="106"/>
      <c r="O1042" s="428"/>
      <c r="P1042" s="106"/>
      <c r="Q1042" s="84"/>
      <c r="R1042" s="84"/>
      <c r="S1042" s="428"/>
      <c r="T1042" s="428"/>
      <c r="U1042" s="428"/>
      <c r="V1042" s="428"/>
      <c r="W1042" s="428"/>
      <c r="X1042" s="428"/>
      <c r="Y1042" s="428"/>
    </row>
    <row r="1043" ht="13.5" customHeight="1">
      <c r="A1043" s="84"/>
      <c r="B1043" s="84"/>
      <c r="C1043" s="84"/>
      <c r="D1043" s="106"/>
      <c r="E1043" s="106"/>
      <c r="F1043" s="106"/>
      <c r="G1043" s="84"/>
      <c r="H1043" s="106"/>
      <c r="I1043" s="106"/>
      <c r="J1043" s="106"/>
      <c r="K1043" s="106"/>
      <c r="L1043" s="106"/>
      <c r="M1043" s="104"/>
      <c r="N1043" s="106"/>
      <c r="O1043" s="428"/>
      <c r="P1043" s="106"/>
      <c r="Q1043" s="84"/>
      <c r="R1043" s="84"/>
      <c r="S1043" s="428"/>
      <c r="T1043" s="428"/>
      <c r="U1043" s="428"/>
      <c r="V1043" s="428"/>
      <c r="W1043" s="428"/>
      <c r="X1043" s="428"/>
      <c r="Y1043" s="428"/>
    </row>
    <row r="1044" ht="13.5" customHeight="1">
      <c r="A1044" s="84"/>
      <c r="B1044" s="84"/>
      <c r="C1044" s="84"/>
      <c r="D1044" s="106"/>
      <c r="E1044" s="106"/>
      <c r="F1044" s="106"/>
      <c r="G1044" s="84"/>
      <c r="H1044" s="106"/>
      <c r="I1044" s="106"/>
      <c r="J1044" s="106"/>
      <c r="K1044" s="106"/>
      <c r="L1044" s="106"/>
      <c r="M1044" s="104"/>
      <c r="N1044" s="106"/>
      <c r="O1044" s="428"/>
      <c r="P1044" s="106"/>
      <c r="Q1044" s="84"/>
      <c r="R1044" s="84"/>
      <c r="S1044" s="428"/>
      <c r="T1044" s="428"/>
      <c r="U1044" s="428"/>
      <c r="V1044" s="428"/>
      <c r="W1044" s="428"/>
      <c r="X1044" s="428"/>
      <c r="Y1044" s="428"/>
    </row>
    <row r="1045" ht="13.5" customHeight="1">
      <c r="A1045" s="84"/>
      <c r="B1045" s="84"/>
      <c r="C1045" s="84"/>
      <c r="D1045" s="106"/>
      <c r="E1045" s="106"/>
      <c r="F1045" s="106"/>
      <c r="G1045" s="84"/>
      <c r="H1045" s="106"/>
      <c r="I1045" s="106"/>
      <c r="J1045" s="106"/>
      <c r="K1045" s="106"/>
      <c r="L1045" s="106"/>
      <c r="M1045" s="104"/>
      <c r="N1045" s="106"/>
      <c r="O1045" s="428"/>
      <c r="P1045" s="106"/>
      <c r="Q1045" s="84"/>
      <c r="R1045" s="84"/>
      <c r="S1045" s="428"/>
      <c r="T1045" s="428"/>
      <c r="U1045" s="428"/>
      <c r="V1045" s="428"/>
      <c r="W1045" s="428"/>
      <c r="X1045" s="428"/>
      <c r="Y1045" s="428"/>
    </row>
    <row r="1046" ht="13.5" customHeight="1">
      <c r="A1046" s="84"/>
      <c r="B1046" s="84"/>
      <c r="C1046" s="84"/>
      <c r="D1046" s="106"/>
      <c r="E1046" s="106"/>
      <c r="F1046" s="106"/>
      <c r="G1046" s="84"/>
      <c r="H1046" s="106"/>
      <c r="I1046" s="106"/>
      <c r="J1046" s="106"/>
      <c r="K1046" s="106"/>
      <c r="L1046" s="106"/>
      <c r="M1046" s="104"/>
      <c r="N1046" s="106"/>
      <c r="O1046" s="428"/>
      <c r="P1046" s="106"/>
      <c r="Q1046" s="84"/>
      <c r="R1046" s="84"/>
      <c r="S1046" s="428"/>
      <c r="T1046" s="428"/>
      <c r="U1046" s="428"/>
      <c r="V1046" s="428"/>
      <c r="W1046" s="428"/>
      <c r="X1046" s="428"/>
      <c r="Y1046" s="428"/>
    </row>
    <row r="1047" ht="13.5" customHeight="1">
      <c r="A1047" s="84"/>
      <c r="B1047" s="84"/>
      <c r="C1047" s="84"/>
      <c r="D1047" s="106"/>
      <c r="E1047" s="106"/>
      <c r="F1047" s="106"/>
      <c r="G1047" s="84"/>
      <c r="H1047" s="106"/>
      <c r="I1047" s="106"/>
      <c r="J1047" s="106"/>
      <c r="K1047" s="106"/>
      <c r="L1047" s="106"/>
      <c r="M1047" s="104"/>
      <c r="N1047" s="106"/>
      <c r="O1047" s="428"/>
      <c r="P1047" s="106"/>
      <c r="Q1047" s="84"/>
      <c r="R1047" s="84"/>
      <c r="S1047" s="428"/>
      <c r="T1047" s="428"/>
      <c r="U1047" s="428"/>
      <c r="V1047" s="428"/>
      <c r="W1047" s="428"/>
      <c r="X1047" s="428"/>
      <c r="Y1047" s="428"/>
    </row>
    <row r="1048" ht="13.5" customHeight="1">
      <c r="A1048" s="84"/>
      <c r="B1048" s="84"/>
      <c r="C1048" s="84"/>
      <c r="D1048" s="106"/>
      <c r="E1048" s="106"/>
      <c r="F1048" s="106"/>
      <c r="G1048" s="84"/>
      <c r="H1048" s="106"/>
      <c r="I1048" s="106"/>
      <c r="J1048" s="106"/>
      <c r="K1048" s="106"/>
      <c r="L1048" s="106"/>
      <c r="M1048" s="104"/>
      <c r="N1048" s="106"/>
      <c r="O1048" s="428"/>
      <c r="P1048" s="106"/>
      <c r="Q1048" s="84"/>
      <c r="R1048" s="84"/>
      <c r="S1048" s="428"/>
      <c r="T1048" s="428"/>
      <c r="U1048" s="428"/>
      <c r="V1048" s="428"/>
      <c r="W1048" s="428"/>
      <c r="X1048" s="428"/>
      <c r="Y1048" s="428"/>
    </row>
    <row r="1049" ht="13.5" customHeight="1">
      <c r="A1049" s="84"/>
      <c r="B1049" s="84"/>
      <c r="C1049" s="84"/>
      <c r="D1049" s="106"/>
      <c r="E1049" s="106"/>
      <c r="F1049" s="106"/>
      <c r="G1049" s="84"/>
      <c r="H1049" s="106"/>
      <c r="I1049" s="106"/>
      <c r="J1049" s="106"/>
      <c r="K1049" s="106"/>
      <c r="L1049" s="106"/>
      <c r="M1049" s="104"/>
      <c r="N1049" s="106"/>
      <c r="O1049" s="428"/>
      <c r="P1049" s="106"/>
      <c r="Q1049" s="84"/>
      <c r="R1049" s="84"/>
      <c r="S1049" s="428"/>
      <c r="T1049" s="428"/>
      <c r="U1049" s="428"/>
      <c r="V1049" s="428"/>
      <c r="W1049" s="428"/>
      <c r="X1049" s="428"/>
      <c r="Y1049" s="428"/>
    </row>
    <row r="1050" ht="13.5" customHeight="1">
      <c r="A1050" s="84"/>
      <c r="B1050" s="84"/>
      <c r="C1050" s="84"/>
      <c r="D1050" s="106"/>
      <c r="E1050" s="106"/>
      <c r="F1050" s="106"/>
      <c r="G1050" s="84"/>
      <c r="H1050" s="106"/>
      <c r="I1050" s="106"/>
      <c r="J1050" s="106"/>
      <c r="K1050" s="106"/>
      <c r="L1050" s="106"/>
      <c r="M1050" s="104"/>
      <c r="N1050" s="106"/>
      <c r="O1050" s="428"/>
      <c r="P1050" s="106"/>
      <c r="Q1050" s="84"/>
      <c r="R1050" s="84"/>
      <c r="S1050" s="428"/>
      <c r="T1050" s="428"/>
      <c r="U1050" s="428"/>
      <c r="V1050" s="428"/>
      <c r="W1050" s="428"/>
      <c r="X1050" s="428"/>
      <c r="Y1050" s="428"/>
    </row>
    <row r="1051" ht="13.5" customHeight="1">
      <c r="A1051" s="84"/>
      <c r="B1051" s="84"/>
      <c r="C1051" s="84"/>
      <c r="D1051" s="106"/>
      <c r="E1051" s="106"/>
      <c r="F1051" s="106"/>
      <c r="G1051" s="84"/>
      <c r="H1051" s="106"/>
      <c r="I1051" s="106"/>
      <c r="J1051" s="106"/>
      <c r="K1051" s="106"/>
      <c r="L1051" s="106"/>
      <c r="M1051" s="104"/>
      <c r="N1051" s="106"/>
      <c r="O1051" s="428"/>
      <c r="P1051" s="106"/>
      <c r="Q1051" s="84"/>
      <c r="R1051" s="84"/>
      <c r="S1051" s="428"/>
      <c r="T1051" s="428"/>
      <c r="U1051" s="428"/>
      <c r="V1051" s="428"/>
      <c r="W1051" s="428"/>
      <c r="X1051" s="428"/>
      <c r="Y1051" s="428"/>
    </row>
    <row r="1052" ht="13.5" customHeight="1">
      <c r="A1052" s="84"/>
      <c r="B1052" s="84"/>
      <c r="C1052" s="84"/>
      <c r="D1052" s="106"/>
      <c r="E1052" s="106"/>
      <c r="F1052" s="106"/>
      <c r="G1052" s="84"/>
      <c r="H1052" s="106"/>
      <c r="I1052" s="106"/>
      <c r="J1052" s="106"/>
      <c r="K1052" s="106"/>
      <c r="L1052" s="106"/>
      <c r="M1052" s="104"/>
      <c r="N1052" s="106"/>
      <c r="O1052" s="428"/>
      <c r="P1052" s="106"/>
      <c r="Q1052" s="84"/>
      <c r="R1052" s="84"/>
      <c r="S1052" s="428"/>
      <c r="T1052" s="428"/>
      <c r="U1052" s="428"/>
      <c r="V1052" s="428"/>
      <c r="W1052" s="428"/>
      <c r="X1052" s="428"/>
      <c r="Y1052" s="428"/>
    </row>
    <row r="1053" ht="13.5" customHeight="1">
      <c r="A1053" s="84"/>
      <c r="B1053" s="84"/>
      <c r="C1053" s="84"/>
      <c r="D1053" s="106"/>
      <c r="E1053" s="106"/>
      <c r="F1053" s="106"/>
      <c r="G1053" s="84"/>
      <c r="H1053" s="106"/>
      <c r="I1053" s="106"/>
      <c r="J1053" s="106"/>
      <c r="K1053" s="106"/>
      <c r="L1053" s="106"/>
      <c r="M1053" s="104"/>
      <c r="N1053" s="106"/>
      <c r="O1053" s="428"/>
      <c r="P1053" s="106"/>
      <c r="Q1053" s="84"/>
      <c r="R1053" s="84"/>
      <c r="S1053" s="428"/>
      <c r="T1053" s="428"/>
      <c r="U1053" s="428"/>
      <c r="V1053" s="428"/>
      <c r="W1053" s="428"/>
      <c r="X1053" s="428"/>
      <c r="Y1053" s="428"/>
    </row>
    <row r="1054" ht="13.5" customHeight="1">
      <c r="A1054" s="84"/>
      <c r="B1054" s="84"/>
      <c r="C1054" s="84"/>
      <c r="D1054" s="106"/>
      <c r="E1054" s="106"/>
      <c r="F1054" s="106"/>
      <c r="G1054" s="84"/>
      <c r="H1054" s="106"/>
      <c r="I1054" s="106"/>
      <c r="J1054" s="106"/>
      <c r="K1054" s="106"/>
      <c r="L1054" s="106"/>
      <c r="M1054" s="104"/>
      <c r="N1054" s="106"/>
      <c r="O1054" s="428"/>
      <c r="P1054" s="106"/>
      <c r="Q1054" s="84"/>
      <c r="R1054" s="84"/>
      <c r="S1054" s="428"/>
      <c r="T1054" s="428"/>
      <c r="U1054" s="428"/>
      <c r="V1054" s="428"/>
      <c r="W1054" s="428"/>
      <c r="X1054" s="428"/>
      <c r="Y1054" s="428"/>
    </row>
    <row r="1055" ht="13.5" customHeight="1">
      <c r="A1055" s="84"/>
      <c r="B1055" s="84"/>
      <c r="C1055" s="84"/>
      <c r="D1055" s="106"/>
      <c r="E1055" s="106"/>
      <c r="F1055" s="106"/>
      <c r="G1055" s="84"/>
      <c r="H1055" s="106"/>
      <c r="I1055" s="106"/>
      <c r="J1055" s="106"/>
      <c r="K1055" s="106"/>
      <c r="L1055" s="106"/>
      <c r="M1055" s="104"/>
      <c r="N1055" s="106"/>
      <c r="O1055" s="428"/>
      <c r="P1055" s="106"/>
      <c r="Q1055" s="84"/>
      <c r="R1055" s="84"/>
      <c r="S1055" s="428"/>
      <c r="T1055" s="428"/>
      <c r="U1055" s="428"/>
      <c r="V1055" s="428"/>
      <c r="W1055" s="428"/>
      <c r="X1055" s="428"/>
      <c r="Y1055" s="428"/>
    </row>
    <row r="1056" ht="13.5" customHeight="1">
      <c r="A1056" s="84"/>
      <c r="B1056" s="84"/>
      <c r="C1056" s="84"/>
      <c r="D1056" s="106"/>
      <c r="E1056" s="106"/>
      <c r="F1056" s="106"/>
      <c r="G1056" s="84"/>
      <c r="H1056" s="106"/>
      <c r="I1056" s="106"/>
      <c r="J1056" s="106"/>
      <c r="K1056" s="106"/>
      <c r="L1056" s="106"/>
      <c r="M1056" s="104"/>
      <c r="N1056" s="106"/>
      <c r="O1056" s="428"/>
      <c r="P1056" s="106"/>
      <c r="Q1056" s="84"/>
      <c r="R1056" s="84"/>
      <c r="S1056" s="428"/>
      <c r="T1056" s="428"/>
      <c r="U1056" s="428"/>
      <c r="V1056" s="428"/>
      <c r="W1056" s="428"/>
      <c r="X1056" s="428"/>
      <c r="Y1056" s="428"/>
    </row>
    <row r="1057" ht="13.5" customHeight="1">
      <c r="A1057" s="84"/>
      <c r="B1057" s="84"/>
      <c r="C1057" s="84"/>
      <c r="D1057" s="106"/>
      <c r="E1057" s="106"/>
      <c r="F1057" s="106"/>
      <c r="G1057" s="84"/>
      <c r="H1057" s="106"/>
      <c r="I1057" s="106"/>
      <c r="J1057" s="106"/>
      <c r="K1057" s="106"/>
      <c r="L1057" s="106"/>
      <c r="M1057" s="104"/>
      <c r="N1057" s="106"/>
      <c r="O1057" s="428"/>
      <c r="P1057" s="106"/>
      <c r="Q1057" s="84"/>
      <c r="R1057" s="84"/>
      <c r="S1057" s="428"/>
      <c r="T1057" s="428"/>
      <c r="U1057" s="428"/>
      <c r="V1057" s="428"/>
      <c r="W1057" s="428"/>
      <c r="X1057" s="428"/>
      <c r="Y1057" s="428"/>
    </row>
    <row r="1058" ht="13.5" customHeight="1">
      <c r="A1058" s="84"/>
      <c r="B1058" s="84"/>
      <c r="C1058" s="84"/>
      <c r="D1058" s="106"/>
      <c r="E1058" s="106"/>
      <c r="F1058" s="106"/>
      <c r="G1058" s="84"/>
      <c r="H1058" s="106"/>
      <c r="I1058" s="106"/>
      <c r="J1058" s="106"/>
      <c r="K1058" s="106"/>
      <c r="L1058" s="106"/>
      <c r="M1058" s="104"/>
      <c r="N1058" s="106"/>
      <c r="O1058" s="428"/>
      <c r="P1058" s="106"/>
      <c r="Q1058" s="84"/>
      <c r="R1058" s="84"/>
      <c r="S1058" s="428"/>
      <c r="T1058" s="428"/>
      <c r="U1058" s="428"/>
      <c r="V1058" s="428"/>
      <c r="W1058" s="428"/>
      <c r="X1058" s="428"/>
      <c r="Y1058" s="428"/>
    </row>
    <row r="1059" ht="13.5" customHeight="1">
      <c r="A1059" s="84"/>
      <c r="B1059" s="84"/>
      <c r="C1059" s="84"/>
      <c r="D1059" s="106"/>
      <c r="E1059" s="106"/>
      <c r="F1059" s="106"/>
      <c r="G1059" s="84"/>
      <c r="H1059" s="106"/>
      <c r="I1059" s="106"/>
      <c r="J1059" s="106"/>
      <c r="K1059" s="106"/>
      <c r="L1059" s="106"/>
      <c r="M1059" s="104"/>
      <c r="N1059" s="106"/>
      <c r="O1059" s="428"/>
      <c r="P1059" s="106"/>
      <c r="Q1059" s="84"/>
      <c r="R1059" s="84"/>
      <c r="S1059" s="428"/>
      <c r="T1059" s="428"/>
      <c r="U1059" s="428"/>
      <c r="V1059" s="428"/>
      <c r="W1059" s="428"/>
      <c r="X1059" s="428"/>
      <c r="Y1059" s="428"/>
    </row>
    <row r="1060" ht="13.5" customHeight="1">
      <c r="A1060" s="84"/>
      <c r="B1060" s="84"/>
      <c r="C1060" s="84"/>
      <c r="D1060" s="106"/>
      <c r="E1060" s="106"/>
      <c r="F1060" s="106"/>
      <c r="G1060" s="84"/>
      <c r="H1060" s="106"/>
      <c r="I1060" s="106"/>
      <c r="J1060" s="106"/>
      <c r="K1060" s="106"/>
      <c r="L1060" s="106"/>
      <c r="M1060" s="104"/>
      <c r="N1060" s="106"/>
      <c r="O1060" s="428"/>
      <c r="P1060" s="106"/>
      <c r="Q1060" s="84"/>
      <c r="R1060" s="84"/>
      <c r="S1060" s="428"/>
      <c r="T1060" s="428"/>
      <c r="U1060" s="428"/>
      <c r="V1060" s="428"/>
      <c r="W1060" s="428"/>
      <c r="X1060" s="428"/>
      <c r="Y1060" s="428"/>
    </row>
    <row r="1061" ht="13.5" customHeight="1">
      <c r="A1061" s="84"/>
      <c r="B1061" s="84"/>
      <c r="C1061" s="84"/>
      <c r="D1061" s="106"/>
      <c r="E1061" s="106"/>
      <c r="F1061" s="106"/>
      <c r="G1061" s="84"/>
      <c r="H1061" s="106"/>
      <c r="I1061" s="106"/>
      <c r="J1061" s="106"/>
      <c r="K1061" s="106"/>
      <c r="L1061" s="106"/>
      <c r="M1061" s="104"/>
      <c r="N1061" s="106"/>
      <c r="O1061" s="428"/>
      <c r="P1061" s="106"/>
      <c r="Q1061" s="84"/>
      <c r="R1061" s="84"/>
      <c r="S1061" s="428"/>
      <c r="T1061" s="428"/>
      <c r="U1061" s="428"/>
      <c r="V1061" s="428"/>
      <c r="W1061" s="428"/>
      <c r="X1061" s="428"/>
      <c r="Y1061" s="428"/>
    </row>
    <row r="1062" ht="13.5" customHeight="1">
      <c r="A1062" s="84"/>
      <c r="B1062" s="84"/>
      <c r="C1062" s="84"/>
      <c r="D1062" s="106"/>
      <c r="E1062" s="106"/>
      <c r="F1062" s="106"/>
      <c r="G1062" s="84"/>
      <c r="H1062" s="106"/>
      <c r="I1062" s="106"/>
      <c r="J1062" s="106"/>
      <c r="K1062" s="106"/>
      <c r="L1062" s="106"/>
      <c r="M1062" s="104"/>
      <c r="N1062" s="106"/>
      <c r="O1062" s="428"/>
      <c r="P1062" s="106"/>
      <c r="Q1062" s="84"/>
      <c r="R1062" s="84"/>
      <c r="S1062" s="428"/>
      <c r="T1062" s="428"/>
      <c r="U1062" s="428"/>
      <c r="V1062" s="428"/>
      <c r="W1062" s="428"/>
      <c r="X1062" s="428"/>
      <c r="Y1062" s="428"/>
    </row>
    <row r="1063" ht="13.5" customHeight="1">
      <c r="A1063" s="84"/>
      <c r="B1063" s="84"/>
      <c r="C1063" s="84"/>
      <c r="D1063" s="106"/>
      <c r="E1063" s="106"/>
      <c r="F1063" s="106"/>
      <c r="G1063" s="84"/>
      <c r="H1063" s="106"/>
      <c r="I1063" s="106"/>
      <c r="J1063" s="106"/>
      <c r="K1063" s="106"/>
      <c r="L1063" s="106"/>
      <c r="M1063" s="104"/>
      <c r="N1063" s="106"/>
      <c r="O1063" s="428"/>
      <c r="P1063" s="106"/>
      <c r="Q1063" s="84"/>
      <c r="R1063" s="84"/>
      <c r="S1063" s="428"/>
      <c r="T1063" s="428"/>
      <c r="U1063" s="428"/>
      <c r="V1063" s="428"/>
      <c r="W1063" s="428"/>
      <c r="X1063" s="428"/>
      <c r="Y1063" s="428"/>
    </row>
    <row r="1064" ht="13.5" customHeight="1">
      <c r="A1064" s="84"/>
      <c r="B1064" s="84"/>
      <c r="C1064" s="84"/>
      <c r="D1064" s="106"/>
      <c r="E1064" s="106"/>
      <c r="F1064" s="106"/>
      <c r="G1064" s="84"/>
      <c r="H1064" s="106"/>
      <c r="I1064" s="106"/>
      <c r="J1064" s="106"/>
      <c r="K1064" s="106"/>
      <c r="L1064" s="106"/>
      <c r="M1064" s="104"/>
      <c r="N1064" s="106"/>
      <c r="O1064" s="428"/>
      <c r="P1064" s="106"/>
      <c r="Q1064" s="84"/>
      <c r="R1064" s="84"/>
      <c r="S1064" s="428"/>
      <c r="T1064" s="428"/>
      <c r="U1064" s="428"/>
      <c r="V1064" s="428"/>
      <c r="W1064" s="428"/>
      <c r="X1064" s="428"/>
      <c r="Y1064" s="428"/>
    </row>
    <row r="1065" ht="13.5" customHeight="1">
      <c r="A1065" s="84"/>
      <c r="B1065" s="84"/>
      <c r="C1065" s="84"/>
      <c r="D1065" s="106"/>
      <c r="E1065" s="106"/>
      <c r="F1065" s="106"/>
      <c r="G1065" s="84"/>
      <c r="H1065" s="106"/>
      <c r="I1065" s="106"/>
      <c r="J1065" s="106"/>
      <c r="K1065" s="106"/>
      <c r="L1065" s="106"/>
      <c r="M1065" s="104"/>
      <c r="N1065" s="106"/>
      <c r="O1065" s="428"/>
      <c r="P1065" s="106"/>
      <c r="Q1065" s="84"/>
      <c r="R1065" s="84"/>
      <c r="S1065" s="428"/>
      <c r="T1065" s="428"/>
      <c r="U1065" s="428"/>
      <c r="V1065" s="428"/>
      <c r="W1065" s="428"/>
      <c r="X1065" s="428"/>
      <c r="Y1065" s="428"/>
    </row>
    <row r="1066" ht="13.5" customHeight="1">
      <c r="A1066" s="84"/>
      <c r="B1066" s="84"/>
      <c r="C1066" s="84"/>
      <c r="D1066" s="106"/>
      <c r="E1066" s="106"/>
      <c r="F1066" s="106"/>
      <c r="G1066" s="84"/>
      <c r="H1066" s="106"/>
      <c r="I1066" s="106"/>
      <c r="J1066" s="106"/>
      <c r="K1066" s="106"/>
      <c r="L1066" s="106"/>
      <c r="M1066" s="104"/>
      <c r="N1066" s="106"/>
      <c r="O1066" s="428"/>
      <c r="P1066" s="106"/>
      <c r="Q1066" s="84"/>
      <c r="R1066" s="84"/>
      <c r="S1066" s="428"/>
      <c r="T1066" s="428"/>
      <c r="U1066" s="428"/>
      <c r="V1066" s="428"/>
      <c r="W1066" s="428"/>
      <c r="X1066" s="428"/>
      <c r="Y1066" s="428"/>
    </row>
    <row r="1067" ht="13.5" customHeight="1">
      <c r="A1067" s="84"/>
      <c r="B1067" s="84"/>
      <c r="C1067" s="84"/>
      <c r="D1067" s="106"/>
      <c r="E1067" s="106"/>
      <c r="F1067" s="106"/>
      <c r="G1067" s="84"/>
      <c r="H1067" s="106"/>
      <c r="I1067" s="106"/>
      <c r="J1067" s="106"/>
      <c r="K1067" s="106"/>
      <c r="L1067" s="106"/>
      <c r="M1067" s="104"/>
      <c r="N1067" s="106"/>
      <c r="O1067" s="428"/>
      <c r="P1067" s="106"/>
      <c r="Q1067" s="84"/>
      <c r="R1067" s="84"/>
      <c r="S1067" s="428"/>
      <c r="T1067" s="428"/>
      <c r="U1067" s="428"/>
      <c r="V1067" s="428"/>
      <c r="W1067" s="428"/>
      <c r="X1067" s="428"/>
      <c r="Y1067" s="428"/>
    </row>
    <row r="1068" ht="13.5" customHeight="1">
      <c r="A1068" s="84"/>
      <c r="B1068" s="84"/>
      <c r="C1068" s="84"/>
      <c r="D1068" s="106"/>
      <c r="E1068" s="106"/>
      <c r="F1068" s="106"/>
      <c r="G1068" s="84"/>
      <c r="H1068" s="106"/>
      <c r="I1068" s="106"/>
      <c r="J1068" s="106"/>
      <c r="K1068" s="106"/>
      <c r="L1068" s="106"/>
      <c r="M1068" s="104"/>
      <c r="N1068" s="106"/>
      <c r="O1068" s="428"/>
      <c r="P1068" s="106"/>
      <c r="Q1068" s="84"/>
      <c r="R1068" s="84"/>
      <c r="S1068" s="428"/>
      <c r="T1068" s="428"/>
      <c r="U1068" s="428"/>
      <c r="V1068" s="428"/>
      <c r="W1068" s="428"/>
      <c r="X1068" s="428"/>
      <c r="Y1068" s="428"/>
    </row>
    <row r="1069" ht="13.5" customHeight="1">
      <c r="A1069" s="84"/>
      <c r="B1069" s="84"/>
      <c r="C1069" s="84"/>
      <c r="D1069" s="106"/>
      <c r="E1069" s="106"/>
      <c r="F1069" s="106"/>
      <c r="G1069" s="84"/>
      <c r="H1069" s="106"/>
      <c r="I1069" s="106"/>
      <c r="J1069" s="106"/>
      <c r="K1069" s="106"/>
      <c r="L1069" s="106"/>
      <c r="M1069" s="104"/>
      <c r="N1069" s="106"/>
      <c r="O1069" s="428"/>
      <c r="P1069" s="106"/>
      <c r="Q1069" s="84"/>
      <c r="R1069" s="84"/>
      <c r="S1069" s="428"/>
      <c r="T1069" s="428"/>
      <c r="U1069" s="428"/>
      <c r="V1069" s="428"/>
      <c r="W1069" s="428"/>
      <c r="X1069" s="428"/>
      <c r="Y1069" s="428"/>
    </row>
    <row r="1070" ht="13.5" customHeight="1">
      <c r="A1070" s="84"/>
      <c r="B1070" s="84"/>
      <c r="C1070" s="84"/>
      <c r="D1070" s="106"/>
      <c r="E1070" s="106"/>
      <c r="F1070" s="106"/>
      <c r="G1070" s="84"/>
      <c r="H1070" s="106"/>
      <c r="I1070" s="106"/>
      <c r="J1070" s="106"/>
      <c r="K1070" s="106"/>
      <c r="L1070" s="106"/>
      <c r="M1070" s="104"/>
      <c r="N1070" s="106"/>
      <c r="O1070" s="428"/>
      <c r="P1070" s="106"/>
      <c r="Q1070" s="84"/>
      <c r="R1070" s="84"/>
      <c r="S1070" s="428"/>
      <c r="T1070" s="428"/>
      <c r="U1070" s="428"/>
      <c r="V1070" s="428"/>
      <c r="W1070" s="428"/>
      <c r="X1070" s="428"/>
      <c r="Y1070" s="428"/>
    </row>
    <row r="1071" ht="13.5" customHeight="1">
      <c r="A1071" s="84"/>
      <c r="B1071" s="84"/>
      <c r="C1071" s="84"/>
      <c r="D1071" s="106"/>
      <c r="E1071" s="106"/>
      <c r="F1071" s="106"/>
      <c r="G1071" s="84"/>
      <c r="H1071" s="106"/>
      <c r="I1071" s="106"/>
      <c r="J1071" s="106"/>
      <c r="K1071" s="106"/>
      <c r="L1071" s="106"/>
      <c r="M1071" s="104"/>
      <c r="N1071" s="106"/>
      <c r="O1071" s="428"/>
      <c r="P1071" s="106"/>
      <c r="Q1071" s="84"/>
      <c r="R1071" s="84"/>
      <c r="S1071" s="428"/>
      <c r="T1071" s="428"/>
      <c r="U1071" s="428"/>
      <c r="V1071" s="428"/>
      <c r="W1071" s="428"/>
      <c r="X1071" s="428"/>
      <c r="Y1071" s="428"/>
    </row>
    <row r="1072" ht="13.5" customHeight="1">
      <c r="A1072" s="84"/>
      <c r="B1072" s="84"/>
      <c r="C1072" s="84"/>
      <c r="D1072" s="106"/>
      <c r="E1072" s="106"/>
      <c r="F1072" s="106"/>
      <c r="G1072" s="84"/>
      <c r="H1072" s="106"/>
      <c r="I1072" s="106"/>
      <c r="J1072" s="106"/>
      <c r="K1072" s="106"/>
      <c r="L1072" s="106"/>
      <c r="M1072" s="104"/>
      <c r="N1072" s="106"/>
      <c r="O1072" s="428"/>
      <c r="P1072" s="106"/>
      <c r="Q1072" s="84"/>
      <c r="R1072" s="84"/>
      <c r="S1072" s="428"/>
      <c r="T1072" s="428"/>
      <c r="U1072" s="428"/>
      <c r="V1072" s="428"/>
      <c r="W1072" s="428"/>
      <c r="X1072" s="428"/>
      <c r="Y1072" s="428"/>
    </row>
    <row r="1073" ht="13.5" customHeight="1">
      <c r="A1073" s="84"/>
      <c r="B1073" s="84"/>
      <c r="C1073" s="84"/>
      <c r="D1073" s="106"/>
      <c r="E1073" s="106"/>
      <c r="F1073" s="106"/>
      <c r="G1073" s="84"/>
      <c r="H1073" s="106"/>
      <c r="I1073" s="106"/>
      <c r="J1073" s="106"/>
      <c r="K1073" s="106"/>
      <c r="L1073" s="106"/>
      <c r="M1073" s="104"/>
      <c r="N1073" s="106"/>
      <c r="O1073" s="428"/>
      <c r="P1073" s="106"/>
      <c r="Q1073" s="84"/>
      <c r="R1073" s="84"/>
      <c r="S1073" s="428"/>
      <c r="T1073" s="428"/>
      <c r="U1073" s="428"/>
      <c r="V1073" s="428"/>
      <c r="W1073" s="428"/>
      <c r="X1073" s="428"/>
      <c r="Y1073" s="428"/>
    </row>
    <row r="1074" ht="13.5" customHeight="1">
      <c r="A1074" s="84"/>
      <c r="B1074" s="84"/>
      <c r="C1074" s="84"/>
      <c r="D1074" s="106"/>
      <c r="E1074" s="106"/>
      <c r="F1074" s="106"/>
      <c r="G1074" s="84"/>
      <c r="H1074" s="106"/>
      <c r="I1074" s="106"/>
      <c r="J1074" s="106"/>
      <c r="K1074" s="106"/>
      <c r="L1074" s="106"/>
      <c r="M1074" s="104"/>
      <c r="N1074" s="106"/>
      <c r="O1074" s="428"/>
      <c r="P1074" s="106"/>
      <c r="Q1074" s="84"/>
      <c r="R1074" s="84"/>
      <c r="S1074" s="428"/>
      <c r="T1074" s="428"/>
      <c r="U1074" s="428"/>
      <c r="V1074" s="428"/>
      <c r="W1074" s="428"/>
      <c r="X1074" s="428"/>
      <c r="Y1074" s="428"/>
    </row>
    <row r="1075" ht="13.5" customHeight="1">
      <c r="A1075" s="84"/>
      <c r="B1075" s="84"/>
      <c r="C1075" s="84"/>
      <c r="D1075" s="106"/>
      <c r="E1075" s="106"/>
      <c r="F1075" s="106"/>
      <c r="G1075" s="84"/>
      <c r="H1075" s="106"/>
      <c r="I1075" s="106"/>
      <c r="J1075" s="106"/>
      <c r="K1075" s="106"/>
      <c r="L1075" s="106"/>
      <c r="M1075" s="104"/>
      <c r="N1075" s="106"/>
      <c r="O1075" s="428"/>
      <c r="P1075" s="106"/>
      <c r="Q1075" s="84"/>
      <c r="R1075" s="84"/>
      <c r="S1075" s="428"/>
      <c r="T1075" s="428"/>
      <c r="U1075" s="428"/>
      <c r="V1075" s="428"/>
      <c r="W1075" s="428"/>
      <c r="X1075" s="428"/>
      <c r="Y1075" s="428"/>
    </row>
    <row r="1076" ht="13.5" customHeight="1">
      <c r="A1076" s="84"/>
      <c r="B1076" s="84"/>
      <c r="C1076" s="84"/>
      <c r="D1076" s="106"/>
      <c r="E1076" s="106"/>
      <c r="F1076" s="106"/>
      <c r="G1076" s="84"/>
      <c r="H1076" s="106"/>
      <c r="I1076" s="106"/>
      <c r="J1076" s="106"/>
      <c r="K1076" s="106"/>
      <c r="L1076" s="106"/>
      <c r="M1076" s="104"/>
      <c r="N1076" s="106"/>
      <c r="O1076" s="428"/>
      <c r="P1076" s="106"/>
      <c r="Q1076" s="84"/>
      <c r="R1076" s="84"/>
      <c r="S1076" s="428"/>
      <c r="T1076" s="428"/>
      <c r="U1076" s="428"/>
      <c r="V1076" s="428"/>
      <c r="W1076" s="428"/>
      <c r="X1076" s="428"/>
      <c r="Y1076" s="428"/>
    </row>
    <row r="1077" ht="13.5" customHeight="1">
      <c r="A1077" s="84"/>
      <c r="B1077" s="84"/>
      <c r="C1077" s="84"/>
      <c r="D1077" s="106"/>
      <c r="E1077" s="106"/>
      <c r="F1077" s="106"/>
      <c r="G1077" s="84"/>
      <c r="H1077" s="106"/>
      <c r="I1077" s="106"/>
      <c r="J1077" s="106"/>
      <c r="K1077" s="106"/>
      <c r="L1077" s="106"/>
      <c r="M1077" s="104"/>
      <c r="N1077" s="106"/>
      <c r="O1077" s="428"/>
      <c r="P1077" s="106"/>
      <c r="Q1077" s="84"/>
      <c r="R1077" s="84"/>
      <c r="S1077" s="428"/>
      <c r="T1077" s="428"/>
      <c r="U1077" s="428"/>
      <c r="V1077" s="428"/>
      <c r="W1077" s="428"/>
      <c r="X1077" s="428"/>
      <c r="Y1077" s="428"/>
    </row>
    <row r="1078" ht="13.5" customHeight="1">
      <c r="A1078" s="84"/>
      <c r="B1078" s="84"/>
      <c r="C1078" s="84"/>
      <c r="D1078" s="106"/>
      <c r="E1078" s="106"/>
      <c r="F1078" s="106"/>
      <c r="G1078" s="84"/>
      <c r="H1078" s="106"/>
      <c r="I1078" s="106"/>
      <c r="J1078" s="106"/>
      <c r="K1078" s="106"/>
      <c r="L1078" s="106"/>
      <c r="M1078" s="104"/>
      <c r="N1078" s="106"/>
      <c r="O1078" s="428"/>
      <c r="P1078" s="106"/>
      <c r="Q1078" s="84"/>
      <c r="R1078" s="84"/>
      <c r="S1078" s="428"/>
      <c r="T1078" s="428"/>
      <c r="U1078" s="428"/>
      <c r="V1078" s="428"/>
      <c r="W1078" s="428"/>
      <c r="X1078" s="428"/>
      <c r="Y1078" s="428"/>
    </row>
    <row r="1079" ht="13.5" customHeight="1">
      <c r="A1079" s="84"/>
      <c r="B1079" s="84"/>
      <c r="C1079" s="84"/>
      <c r="D1079" s="106"/>
      <c r="E1079" s="106"/>
      <c r="F1079" s="106"/>
      <c r="G1079" s="84"/>
      <c r="H1079" s="106"/>
      <c r="I1079" s="106"/>
      <c r="J1079" s="106"/>
      <c r="K1079" s="106"/>
      <c r="L1079" s="106"/>
      <c r="M1079" s="104"/>
      <c r="N1079" s="106"/>
      <c r="O1079" s="428"/>
      <c r="P1079" s="106"/>
      <c r="Q1079" s="84"/>
      <c r="R1079" s="84"/>
      <c r="S1079" s="428"/>
      <c r="T1079" s="428"/>
      <c r="U1079" s="428"/>
      <c r="V1079" s="428"/>
      <c r="W1079" s="428"/>
      <c r="X1079" s="428"/>
      <c r="Y1079" s="428"/>
    </row>
    <row r="1080" ht="13.5" customHeight="1">
      <c r="A1080" s="84"/>
      <c r="B1080" s="84"/>
      <c r="C1080" s="84"/>
      <c r="D1080" s="106"/>
      <c r="E1080" s="106"/>
      <c r="F1080" s="106"/>
      <c r="G1080" s="84"/>
      <c r="H1080" s="106"/>
      <c r="I1080" s="106"/>
      <c r="J1080" s="106"/>
      <c r="K1080" s="106"/>
      <c r="L1080" s="106"/>
      <c r="M1080" s="104"/>
      <c r="N1080" s="106"/>
      <c r="O1080" s="428"/>
      <c r="P1080" s="106"/>
      <c r="Q1080" s="84"/>
      <c r="R1080" s="84"/>
      <c r="S1080" s="428"/>
      <c r="T1080" s="428"/>
      <c r="U1080" s="428"/>
      <c r="V1080" s="428"/>
      <c r="W1080" s="428"/>
      <c r="X1080" s="428"/>
      <c r="Y1080" s="428"/>
    </row>
    <row r="1081" ht="13.5" customHeight="1">
      <c r="A1081" s="84"/>
      <c r="B1081" s="84"/>
      <c r="C1081" s="84"/>
      <c r="D1081" s="106"/>
      <c r="E1081" s="106"/>
      <c r="F1081" s="106"/>
      <c r="G1081" s="84"/>
      <c r="H1081" s="106"/>
      <c r="I1081" s="106"/>
      <c r="J1081" s="106"/>
      <c r="K1081" s="106"/>
      <c r="L1081" s="106"/>
      <c r="M1081" s="104"/>
      <c r="N1081" s="106"/>
      <c r="O1081" s="428"/>
      <c r="P1081" s="106"/>
      <c r="Q1081" s="84"/>
      <c r="R1081" s="84"/>
      <c r="S1081" s="428"/>
      <c r="T1081" s="428"/>
      <c r="U1081" s="428"/>
      <c r="V1081" s="428"/>
      <c r="W1081" s="428"/>
      <c r="X1081" s="428"/>
      <c r="Y1081" s="428"/>
    </row>
    <row r="1082" ht="13.5" customHeight="1">
      <c r="A1082" s="84"/>
      <c r="B1082" s="84"/>
      <c r="C1082" s="84"/>
      <c r="D1082" s="106"/>
      <c r="E1082" s="106"/>
      <c r="F1082" s="106"/>
      <c r="G1082" s="84"/>
      <c r="H1082" s="106"/>
      <c r="I1082" s="106"/>
      <c r="J1082" s="106"/>
      <c r="K1082" s="106"/>
      <c r="L1082" s="106"/>
      <c r="M1082" s="104"/>
      <c r="N1082" s="106"/>
      <c r="O1082" s="428"/>
      <c r="P1082" s="106"/>
      <c r="Q1082" s="84"/>
      <c r="R1082" s="84"/>
      <c r="S1082" s="428"/>
      <c r="T1082" s="428"/>
      <c r="U1082" s="428"/>
      <c r="V1082" s="428"/>
      <c r="W1082" s="428"/>
      <c r="X1082" s="428"/>
      <c r="Y1082" s="428"/>
    </row>
    <row r="1083" ht="13.5" customHeight="1">
      <c r="A1083" s="84"/>
      <c r="B1083" s="84"/>
      <c r="C1083" s="84"/>
      <c r="D1083" s="106"/>
      <c r="E1083" s="106"/>
      <c r="F1083" s="106"/>
      <c r="G1083" s="84"/>
      <c r="H1083" s="106"/>
      <c r="I1083" s="106"/>
      <c r="J1083" s="106"/>
      <c r="K1083" s="106"/>
      <c r="L1083" s="106"/>
      <c r="M1083" s="104"/>
      <c r="N1083" s="106"/>
      <c r="O1083" s="428"/>
      <c r="P1083" s="106"/>
      <c r="Q1083" s="84"/>
      <c r="R1083" s="84"/>
      <c r="S1083" s="428"/>
      <c r="T1083" s="428"/>
      <c r="U1083" s="428"/>
      <c r="V1083" s="428"/>
      <c r="W1083" s="428"/>
      <c r="X1083" s="428"/>
      <c r="Y1083" s="428"/>
    </row>
    <row r="1084" ht="13.5" customHeight="1">
      <c r="A1084" s="84"/>
      <c r="B1084" s="84"/>
      <c r="C1084" s="84"/>
      <c r="D1084" s="106"/>
      <c r="E1084" s="106"/>
      <c r="F1084" s="106"/>
      <c r="G1084" s="84"/>
      <c r="H1084" s="106"/>
      <c r="I1084" s="106"/>
      <c r="J1084" s="106"/>
      <c r="K1084" s="106"/>
      <c r="L1084" s="106"/>
      <c r="M1084" s="104"/>
      <c r="N1084" s="106"/>
      <c r="O1084" s="428"/>
      <c r="P1084" s="106"/>
      <c r="Q1084" s="84"/>
      <c r="R1084" s="84"/>
      <c r="S1084" s="428"/>
      <c r="T1084" s="428"/>
      <c r="U1084" s="428"/>
      <c r="V1084" s="428"/>
      <c r="W1084" s="428"/>
      <c r="X1084" s="428"/>
      <c r="Y1084" s="428"/>
    </row>
    <row r="1085" ht="13.5" customHeight="1">
      <c r="A1085" s="84"/>
      <c r="B1085" s="84"/>
      <c r="C1085" s="84"/>
      <c r="D1085" s="106"/>
      <c r="E1085" s="106"/>
      <c r="F1085" s="106"/>
      <c r="G1085" s="84"/>
      <c r="H1085" s="106"/>
      <c r="I1085" s="106"/>
      <c r="J1085" s="106"/>
      <c r="K1085" s="106"/>
      <c r="L1085" s="106"/>
      <c r="M1085" s="104"/>
      <c r="N1085" s="106"/>
      <c r="O1085" s="428"/>
      <c r="P1085" s="106"/>
      <c r="Q1085" s="84"/>
      <c r="R1085" s="84"/>
      <c r="S1085" s="428"/>
      <c r="T1085" s="428"/>
      <c r="U1085" s="428"/>
      <c r="V1085" s="428"/>
      <c r="W1085" s="428"/>
      <c r="X1085" s="428"/>
      <c r="Y1085" s="428"/>
    </row>
    <row r="1086" ht="13.5" customHeight="1">
      <c r="A1086" s="84"/>
      <c r="B1086" s="84"/>
      <c r="C1086" s="84"/>
      <c r="D1086" s="106"/>
      <c r="E1086" s="106"/>
      <c r="F1086" s="106"/>
      <c r="G1086" s="84"/>
      <c r="H1086" s="106"/>
      <c r="I1086" s="106"/>
      <c r="J1086" s="106"/>
      <c r="K1086" s="106"/>
      <c r="L1086" s="106"/>
      <c r="M1086" s="104"/>
      <c r="N1086" s="106"/>
      <c r="O1086" s="428"/>
      <c r="P1086" s="106"/>
      <c r="Q1086" s="84"/>
      <c r="R1086" s="84"/>
      <c r="S1086" s="428"/>
      <c r="T1086" s="428"/>
      <c r="U1086" s="428"/>
      <c r="V1086" s="428"/>
      <c r="W1086" s="428"/>
      <c r="X1086" s="428"/>
      <c r="Y1086" s="428"/>
    </row>
    <row r="1087" ht="13.5" customHeight="1">
      <c r="A1087" s="84"/>
      <c r="B1087" s="84"/>
      <c r="C1087" s="84"/>
      <c r="D1087" s="106"/>
      <c r="E1087" s="106"/>
      <c r="F1087" s="106"/>
      <c r="G1087" s="84"/>
      <c r="H1087" s="106"/>
      <c r="I1087" s="106"/>
      <c r="J1087" s="106"/>
      <c r="K1087" s="106"/>
      <c r="L1087" s="106"/>
      <c r="M1087" s="104"/>
      <c r="N1087" s="106"/>
      <c r="O1087" s="428"/>
      <c r="P1087" s="106"/>
      <c r="Q1087" s="84"/>
      <c r="R1087" s="84"/>
      <c r="S1087" s="428"/>
      <c r="T1087" s="428"/>
      <c r="U1087" s="428"/>
      <c r="V1087" s="428"/>
      <c r="W1087" s="428"/>
      <c r="X1087" s="428"/>
      <c r="Y1087" s="428"/>
    </row>
    <row r="1088" ht="13.5" customHeight="1">
      <c r="A1088" s="84"/>
      <c r="B1088" s="84"/>
      <c r="C1088" s="84"/>
      <c r="D1088" s="106"/>
      <c r="E1088" s="106"/>
      <c r="F1088" s="106"/>
      <c r="G1088" s="84"/>
      <c r="H1088" s="106"/>
      <c r="I1088" s="106"/>
      <c r="J1088" s="106"/>
      <c r="K1088" s="106"/>
      <c r="L1088" s="106"/>
      <c r="M1088" s="104"/>
      <c r="N1088" s="106"/>
      <c r="O1088" s="428"/>
      <c r="P1088" s="106"/>
      <c r="Q1088" s="84"/>
      <c r="R1088" s="84"/>
      <c r="S1088" s="428"/>
      <c r="T1088" s="428"/>
      <c r="U1088" s="428"/>
      <c r="V1088" s="428"/>
      <c r="W1088" s="428"/>
      <c r="X1088" s="428"/>
      <c r="Y1088" s="428"/>
    </row>
    <row r="1089" ht="13.5" customHeight="1">
      <c r="A1089" s="84"/>
      <c r="B1089" s="84"/>
      <c r="C1089" s="84"/>
      <c r="D1089" s="106"/>
      <c r="E1089" s="106"/>
      <c r="F1089" s="106"/>
      <c r="G1089" s="84"/>
      <c r="H1089" s="106"/>
      <c r="I1089" s="106"/>
      <c r="J1089" s="106"/>
      <c r="K1089" s="106"/>
      <c r="L1089" s="106"/>
      <c r="M1089" s="104"/>
      <c r="N1089" s="106"/>
      <c r="O1089" s="428"/>
      <c r="P1089" s="106"/>
      <c r="Q1089" s="84"/>
      <c r="R1089" s="84"/>
      <c r="S1089" s="428"/>
      <c r="T1089" s="428"/>
      <c r="U1089" s="428"/>
      <c r="V1089" s="428"/>
      <c r="W1089" s="428"/>
      <c r="X1089" s="428"/>
      <c r="Y1089" s="428"/>
    </row>
    <row r="1090" ht="13.5" customHeight="1">
      <c r="A1090" s="84"/>
      <c r="B1090" s="84"/>
      <c r="C1090" s="84"/>
      <c r="D1090" s="106"/>
      <c r="E1090" s="106"/>
      <c r="F1090" s="106"/>
      <c r="G1090" s="84"/>
      <c r="H1090" s="106"/>
      <c r="I1090" s="106"/>
      <c r="J1090" s="106"/>
      <c r="K1090" s="106"/>
      <c r="L1090" s="106"/>
      <c r="M1090" s="104"/>
      <c r="N1090" s="106"/>
      <c r="O1090" s="428"/>
      <c r="P1090" s="106"/>
      <c r="Q1090" s="84"/>
      <c r="R1090" s="84"/>
      <c r="S1090" s="428"/>
      <c r="T1090" s="428"/>
      <c r="U1090" s="428"/>
      <c r="V1090" s="428"/>
      <c r="W1090" s="428"/>
      <c r="X1090" s="428"/>
      <c r="Y1090" s="428"/>
    </row>
    <row r="1091" ht="13.5" customHeight="1">
      <c r="A1091" s="84"/>
      <c r="B1091" s="84"/>
      <c r="C1091" s="84"/>
      <c r="D1091" s="106"/>
      <c r="E1091" s="106"/>
      <c r="F1091" s="106"/>
      <c r="G1091" s="84"/>
      <c r="H1091" s="106"/>
      <c r="I1091" s="106"/>
      <c r="J1091" s="106"/>
      <c r="K1091" s="106"/>
      <c r="L1091" s="106"/>
      <c r="M1091" s="104"/>
      <c r="N1091" s="106"/>
      <c r="O1091" s="428"/>
      <c r="P1091" s="106"/>
      <c r="Q1091" s="84"/>
      <c r="R1091" s="84"/>
      <c r="S1091" s="428"/>
      <c r="T1091" s="428"/>
      <c r="U1091" s="428"/>
      <c r="V1091" s="428"/>
      <c r="W1091" s="428"/>
      <c r="X1091" s="428"/>
      <c r="Y1091" s="428"/>
    </row>
    <row r="1092" ht="13.5" customHeight="1">
      <c r="A1092" s="84"/>
      <c r="B1092" s="84"/>
      <c r="C1092" s="84"/>
      <c r="D1092" s="106"/>
      <c r="E1092" s="106"/>
      <c r="F1092" s="106"/>
      <c r="G1092" s="84"/>
      <c r="H1092" s="106"/>
      <c r="I1092" s="106"/>
      <c r="J1092" s="106"/>
      <c r="K1092" s="106"/>
      <c r="L1092" s="106"/>
      <c r="M1092" s="104"/>
      <c r="N1092" s="106"/>
      <c r="O1092" s="428"/>
      <c r="P1092" s="106"/>
      <c r="Q1092" s="84"/>
      <c r="R1092" s="84"/>
      <c r="S1092" s="428"/>
      <c r="T1092" s="428"/>
      <c r="U1092" s="428"/>
      <c r="V1092" s="428"/>
      <c r="W1092" s="428"/>
      <c r="X1092" s="428"/>
      <c r="Y1092" s="428"/>
    </row>
    <row r="1093" ht="13.5" customHeight="1">
      <c r="A1093" s="84"/>
      <c r="B1093" s="84"/>
      <c r="C1093" s="84"/>
      <c r="D1093" s="106"/>
      <c r="E1093" s="106"/>
      <c r="F1093" s="106"/>
      <c r="G1093" s="84"/>
      <c r="H1093" s="106"/>
      <c r="I1093" s="106"/>
      <c r="J1093" s="106"/>
      <c r="K1093" s="106"/>
      <c r="L1093" s="106"/>
      <c r="M1093" s="104"/>
      <c r="N1093" s="106"/>
      <c r="O1093" s="428"/>
      <c r="P1093" s="106"/>
      <c r="Q1093" s="84"/>
      <c r="R1093" s="84"/>
      <c r="S1093" s="428"/>
      <c r="T1093" s="428"/>
      <c r="U1093" s="428"/>
      <c r="V1093" s="428"/>
      <c r="W1093" s="428"/>
      <c r="X1093" s="428"/>
      <c r="Y1093" s="428"/>
    </row>
    <row r="1094" ht="13.5" customHeight="1">
      <c r="A1094" s="84"/>
      <c r="B1094" s="84"/>
      <c r="C1094" s="84"/>
      <c r="D1094" s="106"/>
      <c r="E1094" s="106"/>
      <c r="F1094" s="106"/>
      <c r="G1094" s="84"/>
      <c r="H1094" s="106"/>
      <c r="I1094" s="106"/>
      <c r="J1094" s="106"/>
      <c r="K1094" s="106"/>
      <c r="L1094" s="106"/>
      <c r="M1094" s="104"/>
      <c r="N1094" s="106"/>
      <c r="O1094" s="428"/>
      <c r="P1094" s="106"/>
      <c r="Q1094" s="84"/>
      <c r="R1094" s="84"/>
      <c r="S1094" s="428"/>
      <c r="T1094" s="428"/>
      <c r="U1094" s="428"/>
      <c r="V1094" s="428"/>
      <c r="W1094" s="428"/>
      <c r="X1094" s="428"/>
      <c r="Y1094" s="428"/>
    </row>
    <row r="1095" ht="13.5" customHeight="1">
      <c r="A1095" s="84"/>
      <c r="B1095" s="84"/>
      <c r="C1095" s="84"/>
      <c r="D1095" s="106"/>
      <c r="E1095" s="106"/>
      <c r="F1095" s="106"/>
      <c r="G1095" s="84"/>
      <c r="H1095" s="106"/>
      <c r="I1095" s="106"/>
      <c r="J1095" s="106"/>
      <c r="K1095" s="106"/>
      <c r="L1095" s="106"/>
      <c r="M1095" s="104"/>
      <c r="N1095" s="106"/>
      <c r="O1095" s="428"/>
      <c r="P1095" s="106"/>
      <c r="Q1095" s="84"/>
      <c r="R1095" s="84"/>
      <c r="S1095" s="428"/>
      <c r="T1095" s="428"/>
      <c r="U1095" s="428"/>
      <c r="V1095" s="428"/>
      <c r="W1095" s="428"/>
      <c r="X1095" s="428"/>
      <c r="Y1095" s="428"/>
    </row>
    <row r="1096" ht="13.5" customHeight="1">
      <c r="A1096" s="84"/>
      <c r="B1096" s="84"/>
      <c r="C1096" s="84"/>
      <c r="D1096" s="106"/>
      <c r="E1096" s="106"/>
      <c r="F1096" s="106"/>
      <c r="G1096" s="84"/>
      <c r="H1096" s="106"/>
      <c r="I1096" s="106"/>
      <c r="J1096" s="106"/>
      <c r="K1096" s="106"/>
      <c r="L1096" s="106"/>
      <c r="M1096" s="104"/>
      <c r="N1096" s="106"/>
      <c r="O1096" s="428"/>
      <c r="P1096" s="106"/>
      <c r="Q1096" s="84"/>
      <c r="R1096" s="84"/>
      <c r="S1096" s="428"/>
      <c r="T1096" s="428"/>
      <c r="U1096" s="428"/>
      <c r="V1096" s="428"/>
      <c r="W1096" s="428"/>
      <c r="X1096" s="428"/>
      <c r="Y1096" s="428"/>
    </row>
    <row r="1097" ht="13.5" customHeight="1">
      <c r="A1097" s="84"/>
      <c r="B1097" s="84"/>
      <c r="C1097" s="84"/>
      <c r="D1097" s="106"/>
      <c r="E1097" s="106"/>
      <c r="F1097" s="106"/>
      <c r="G1097" s="84"/>
      <c r="H1097" s="106"/>
      <c r="I1097" s="106"/>
      <c r="J1097" s="106"/>
      <c r="K1097" s="106"/>
      <c r="L1097" s="106"/>
      <c r="M1097" s="104"/>
      <c r="N1097" s="106"/>
      <c r="O1097" s="428"/>
      <c r="P1097" s="106"/>
      <c r="Q1097" s="84"/>
      <c r="R1097" s="84"/>
      <c r="S1097" s="428"/>
      <c r="T1097" s="428"/>
      <c r="U1097" s="428"/>
      <c r="V1097" s="428"/>
      <c r="W1097" s="428"/>
      <c r="X1097" s="428"/>
      <c r="Y1097" s="428"/>
    </row>
    <row r="1098" ht="13.5" customHeight="1">
      <c r="A1098" s="84"/>
      <c r="B1098" s="84"/>
      <c r="C1098" s="84"/>
      <c r="D1098" s="106"/>
      <c r="E1098" s="106"/>
      <c r="F1098" s="106"/>
      <c r="G1098" s="84"/>
      <c r="H1098" s="106"/>
      <c r="I1098" s="106"/>
      <c r="J1098" s="106"/>
      <c r="K1098" s="106"/>
      <c r="L1098" s="106"/>
      <c r="M1098" s="104"/>
      <c r="N1098" s="106"/>
      <c r="O1098" s="428"/>
      <c r="P1098" s="106"/>
      <c r="Q1098" s="84"/>
      <c r="R1098" s="84"/>
      <c r="S1098" s="428"/>
      <c r="T1098" s="428"/>
      <c r="U1098" s="428"/>
      <c r="V1098" s="428"/>
      <c r="W1098" s="428"/>
      <c r="X1098" s="428"/>
      <c r="Y1098" s="428"/>
    </row>
    <row r="1099" ht="13.5" customHeight="1">
      <c r="A1099" s="84"/>
      <c r="B1099" s="84"/>
      <c r="C1099" s="84"/>
      <c r="D1099" s="106"/>
      <c r="E1099" s="106"/>
      <c r="F1099" s="106"/>
      <c r="G1099" s="84"/>
      <c r="H1099" s="106"/>
      <c r="I1099" s="106"/>
      <c r="J1099" s="106"/>
      <c r="K1099" s="106"/>
      <c r="L1099" s="106"/>
      <c r="M1099" s="104"/>
      <c r="N1099" s="106"/>
      <c r="O1099" s="428"/>
      <c r="P1099" s="106"/>
      <c r="Q1099" s="84"/>
      <c r="R1099" s="84"/>
      <c r="S1099" s="428"/>
      <c r="T1099" s="428"/>
      <c r="U1099" s="428"/>
      <c r="V1099" s="428"/>
      <c r="W1099" s="428"/>
      <c r="X1099" s="428"/>
      <c r="Y1099" s="428"/>
    </row>
    <row r="1100" ht="13.5" customHeight="1">
      <c r="A1100" s="84"/>
      <c r="B1100" s="84"/>
      <c r="C1100" s="84"/>
      <c r="D1100" s="106"/>
      <c r="E1100" s="106"/>
      <c r="F1100" s="106"/>
      <c r="G1100" s="84"/>
      <c r="H1100" s="106"/>
      <c r="I1100" s="106"/>
      <c r="J1100" s="106"/>
      <c r="K1100" s="106"/>
      <c r="L1100" s="106"/>
      <c r="M1100" s="104"/>
      <c r="N1100" s="106"/>
      <c r="O1100" s="428"/>
      <c r="P1100" s="106"/>
      <c r="Q1100" s="84"/>
      <c r="R1100" s="84"/>
      <c r="S1100" s="428"/>
      <c r="T1100" s="428"/>
      <c r="U1100" s="428"/>
      <c r="V1100" s="428"/>
      <c r="W1100" s="428"/>
      <c r="X1100" s="428"/>
      <c r="Y1100" s="428"/>
    </row>
    <row r="1101" ht="13.5" customHeight="1">
      <c r="A1101" s="84"/>
      <c r="B1101" s="84"/>
      <c r="C1101" s="84"/>
      <c r="D1101" s="106"/>
      <c r="E1101" s="106"/>
      <c r="F1101" s="106"/>
      <c r="G1101" s="84"/>
      <c r="H1101" s="106"/>
      <c r="I1101" s="106"/>
      <c r="J1101" s="106"/>
      <c r="K1101" s="106"/>
      <c r="L1101" s="106"/>
      <c r="M1101" s="104"/>
      <c r="N1101" s="106"/>
      <c r="O1101" s="428"/>
      <c r="P1101" s="106"/>
      <c r="Q1101" s="84"/>
      <c r="R1101" s="84"/>
      <c r="S1101" s="428"/>
      <c r="T1101" s="428"/>
      <c r="U1101" s="428"/>
      <c r="V1101" s="428"/>
      <c r="W1101" s="428"/>
      <c r="X1101" s="428"/>
      <c r="Y1101" s="428"/>
    </row>
    <row r="1102" ht="13.5" customHeight="1">
      <c r="A1102" s="84"/>
      <c r="B1102" s="84"/>
      <c r="C1102" s="84"/>
      <c r="D1102" s="106"/>
      <c r="E1102" s="106"/>
      <c r="F1102" s="106"/>
      <c r="G1102" s="84"/>
      <c r="H1102" s="106"/>
      <c r="I1102" s="106"/>
      <c r="J1102" s="106"/>
      <c r="K1102" s="106"/>
      <c r="L1102" s="106"/>
      <c r="M1102" s="104"/>
      <c r="N1102" s="106"/>
      <c r="O1102" s="428"/>
      <c r="P1102" s="106"/>
      <c r="Q1102" s="84"/>
      <c r="R1102" s="84"/>
      <c r="S1102" s="428"/>
      <c r="T1102" s="428"/>
      <c r="U1102" s="428"/>
      <c r="V1102" s="428"/>
      <c r="W1102" s="428"/>
      <c r="X1102" s="428"/>
      <c r="Y1102" s="428"/>
    </row>
    <row r="1103" ht="13.5" customHeight="1">
      <c r="A1103" s="84"/>
      <c r="B1103" s="84"/>
      <c r="C1103" s="84"/>
      <c r="D1103" s="106"/>
      <c r="E1103" s="106"/>
      <c r="F1103" s="106"/>
      <c r="G1103" s="84"/>
      <c r="H1103" s="106"/>
      <c r="I1103" s="106"/>
      <c r="J1103" s="106"/>
      <c r="K1103" s="106"/>
      <c r="L1103" s="106"/>
      <c r="M1103" s="104"/>
      <c r="N1103" s="106"/>
      <c r="O1103" s="428"/>
      <c r="P1103" s="106"/>
      <c r="Q1103" s="84"/>
      <c r="R1103" s="84"/>
      <c r="S1103" s="428"/>
      <c r="T1103" s="428"/>
      <c r="U1103" s="428"/>
      <c r="V1103" s="428"/>
      <c r="W1103" s="428"/>
      <c r="X1103" s="428"/>
      <c r="Y1103" s="428"/>
    </row>
    <row r="1104" ht="13.5" customHeight="1">
      <c r="A1104" s="84"/>
      <c r="B1104" s="84"/>
      <c r="C1104" s="84"/>
      <c r="D1104" s="106"/>
      <c r="E1104" s="106"/>
      <c r="F1104" s="106"/>
      <c r="G1104" s="84"/>
      <c r="H1104" s="106"/>
      <c r="I1104" s="106"/>
      <c r="J1104" s="106"/>
      <c r="K1104" s="106"/>
      <c r="L1104" s="106"/>
      <c r="M1104" s="104"/>
      <c r="N1104" s="106"/>
      <c r="O1104" s="428"/>
      <c r="P1104" s="106"/>
      <c r="Q1104" s="84"/>
      <c r="R1104" s="84"/>
      <c r="S1104" s="428"/>
      <c r="T1104" s="428"/>
      <c r="U1104" s="428"/>
      <c r="V1104" s="428"/>
      <c r="W1104" s="428"/>
      <c r="X1104" s="428"/>
      <c r="Y1104" s="428"/>
    </row>
    <row r="1105" ht="13.5" customHeight="1">
      <c r="A1105" s="84"/>
      <c r="B1105" s="84"/>
      <c r="C1105" s="84"/>
      <c r="D1105" s="106"/>
      <c r="E1105" s="106"/>
      <c r="F1105" s="106"/>
      <c r="G1105" s="84"/>
      <c r="H1105" s="106"/>
      <c r="I1105" s="106"/>
      <c r="J1105" s="106"/>
      <c r="K1105" s="106"/>
      <c r="L1105" s="106"/>
      <c r="M1105" s="104"/>
      <c r="N1105" s="106"/>
      <c r="O1105" s="428"/>
      <c r="P1105" s="106"/>
      <c r="Q1105" s="84"/>
      <c r="R1105" s="84"/>
      <c r="S1105" s="428"/>
      <c r="T1105" s="428"/>
      <c r="U1105" s="428"/>
      <c r="V1105" s="428"/>
      <c r="W1105" s="428"/>
      <c r="X1105" s="428"/>
      <c r="Y1105" s="428"/>
    </row>
    <row r="1106" ht="13.5" customHeight="1">
      <c r="A1106" s="84"/>
      <c r="B1106" s="84"/>
      <c r="C1106" s="84"/>
      <c r="D1106" s="106"/>
      <c r="E1106" s="106"/>
      <c r="F1106" s="106"/>
      <c r="G1106" s="84"/>
      <c r="H1106" s="106"/>
      <c r="I1106" s="106"/>
      <c r="J1106" s="106"/>
      <c r="K1106" s="106"/>
      <c r="L1106" s="106"/>
      <c r="M1106" s="104"/>
      <c r="N1106" s="106"/>
      <c r="O1106" s="428"/>
      <c r="P1106" s="106"/>
      <c r="Q1106" s="84"/>
      <c r="R1106" s="84"/>
      <c r="S1106" s="428"/>
      <c r="T1106" s="428"/>
      <c r="U1106" s="428"/>
      <c r="V1106" s="428"/>
      <c r="W1106" s="428"/>
      <c r="X1106" s="428"/>
      <c r="Y1106" s="428"/>
    </row>
    <row r="1107" ht="13.5" customHeight="1">
      <c r="A1107" s="84"/>
      <c r="B1107" s="84"/>
      <c r="C1107" s="84"/>
      <c r="D1107" s="106"/>
      <c r="E1107" s="106"/>
      <c r="F1107" s="106"/>
      <c r="G1107" s="84"/>
      <c r="H1107" s="106"/>
      <c r="I1107" s="106"/>
      <c r="J1107" s="106"/>
      <c r="K1107" s="106"/>
      <c r="L1107" s="106"/>
      <c r="M1107" s="104"/>
      <c r="N1107" s="106"/>
      <c r="O1107" s="428"/>
      <c r="P1107" s="106"/>
      <c r="Q1107" s="84"/>
      <c r="R1107" s="84"/>
      <c r="S1107" s="428"/>
      <c r="T1107" s="428"/>
      <c r="U1107" s="428"/>
      <c r="V1107" s="428"/>
      <c r="W1107" s="428"/>
      <c r="X1107" s="428"/>
      <c r="Y1107" s="428"/>
    </row>
    <row r="1108" ht="13.5" customHeight="1">
      <c r="A1108" s="84"/>
      <c r="B1108" s="84"/>
      <c r="C1108" s="84"/>
      <c r="D1108" s="106"/>
      <c r="E1108" s="106"/>
      <c r="F1108" s="106"/>
      <c r="G1108" s="84"/>
      <c r="H1108" s="106"/>
      <c r="I1108" s="106"/>
      <c r="J1108" s="106"/>
      <c r="K1108" s="106"/>
      <c r="L1108" s="106"/>
      <c r="M1108" s="104"/>
      <c r="N1108" s="106"/>
      <c r="O1108" s="428"/>
      <c r="P1108" s="106"/>
      <c r="Q1108" s="84"/>
      <c r="R1108" s="84"/>
      <c r="S1108" s="428"/>
      <c r="T1108" s="428"/>
      <c r="U1108" s="428"/>
      <c r="V1108" s="428"/>
      <c r="W1108" s="428"/>
      <c r="X1108" s="428"/>
      <c r="Y1108" s="428"/>
    </row>
    <row r="1109" ht="13.5" customHeight="1">
      <c r="A1109" s="84"/>
      <c r="B1109" s="84"/>
      <c r="C1109" s="84"/>
      <c r="D1109" s="106"/>
      <c r="E1109" s="106"/>
      <c r="F1109" s="106"/>
      <c r="G1109" s="84"/>
      <c r="H1109" s="106"/>
      <c r="I1109" s="106"/>
      <c r="J1109" s="106"/>
      <c r="K1109" s="106"/>
      <c r="L1109" s="106"/>
      <c r="M1109" s="104"/>
      <c r="N1109" s="106"/>
      <c r="O1109" s="428"/>
      <c r="P1109" s="106"/>
      <c r="Q1109" s="84"/>
      <c r="R1109" s="84"/>
      <c r="S1109" s="428"/>
      <c r="T1109" s="428"/>
      <c r="U1109" s="428"/>
      <c r="V1109" s="428"/>
      <c r="W1109" s="428"/>
      <c r="X1109" s="428"/>
      <c r="Y1109" s="428"/>
    </row>
    <row r="1110" ht="13.5" customHeight="1">
      <c r="A1110" s="84"/>
      <c r="B1110" s="84"/>
      <c r="C1110" s="84"/>
      <c r="D1110" s="106"/>
      <c r="E1110" s="106"/>
      <c r="F1110" s="106"/>
      <c r="G1110" s="84"/>
      <c r="H1110" s="106"/>
      <c r="I1110" s="106"/>
      <c r="J1110" s="106"/>
      <c r="K1110" s="106"/>
      <c r="L1110" s="106"/>
      <c r="M1110" s="104"/>
      <c r="N1110" s="106"/>
      <c r="O1110" s="428"/>
      <c r="P1110" s="106"/>
      <c r="Q1110" s="84"/>
      <c r="R1110" s="84"/>
      <c r="S1110" s="428"/>
      <c r="T1110" s="428"/>
      <c r="U1110" s="428"/>
      <c r="V1110" s="428"/>
      <c r="W1110" s="428"/>
      <c r="X1110" s="428"/>
      <c r="Y1110" s="428"/>
    </row>
    <row r="1111" ht="13.5" customHeight="1">
      <c r="A1111" s="84"/>
      <c r="B1111" s="84"/>
      <c r="C1111" s="84"/>
      <c r="D1111" s="106"/>
      <c r="E1111" s="106"/>
      <c r="F1111" s="106"/>
      <c r="G1111" s="84"/>
      <c r="H1111" s="106"/>
      <c r="I1111" s="106"/>
      <c r="J1111" s="106"/>
      <c r="K1111" s="106"/>
      <c r="L1111" s="106"/>
      <c r="M1111" s="104"/>
      <c r="N1111" s="106"/>
      <c r="O1111" s="428"/>
      <c r="P1111" s="106"/>
      <c r="Q1111" s="84"/>
      <c r="R1111" s="84"/>
      <c r="S1111" s="428"/>
      <c r="T1111" s="428"/>
      <c r="U1111" s="428"/>
      <c r="V1111" s="428"/>
      <c r="W1111" s="428"/>
      <c r="X1111" s="428"/>
      <c r="Y1111" s="428"/>
    </row>
    <row r="1112" ht="13.5" customHeight="1">
      <c r="A1112" s="84"/>
      <c r="B1112" s="84"/>
      <c r="C1112" s="84"/>
      <c r="D1112" s="106"/>
      <c r="E1112" s="106"/>
      <c r="F1112" s="106"/>
      <c r="G1112" s="84"/>
      <c r="H1112" s="106"/>
      <c r="I1112" s="106"/>
      <c r="J1112" s="106"/>
      <c r="K1112" s="106"/>
      <c r="L1112" s="106"/>
      <c r="M1112" s="104"/>
      <c r="N1112" s="106"/>
      <c r="O1112" s="428"/>
      <c r="P1112" s="106"/>
      <c r="Q1112" s="84"/>
      <c r="R1112" s="84"/>
      <c r="S1112" s="428"/>
      <c r="T1112" s="428"/>
      <c r="U1112" s="428"/>
      <c r="V1112" s="428"/>
      <c r="W1112" s="428"/>
      <c r="X1112" s="428"/>
      <c r="Y1112" s="428"/>
    </row>
    <row r="1113" ht="13.5" customHeight="1">
      <c r="A1113" s="84"/>
      <c r="B1113" s="84"/>
      <c r="C1113" s="84"/>
      <c r="D1113" s="106"/>
      <c r="E1113" s="106"/>
      <c r="F1113" s="106"/>
      <c r="G1113" s="84"/>
      <c r="H1113" s="106"/>
      <c r="I1113" s="106"/>
      <c r="J1113" s="106"/>
      <c r="K1113" s="106"/>
      <c r="L1113" s="106"/>
      <c r="M1113" s="104"/>
      <c r="N1113" s="106"/>
      <c r="O1113" s="428"/>
      <c r="P1113" s="106"/>
      <c r="Q1113" s="84"/>
      <c r="R1113" s="84"/>
      <c r="S1113" s="428"/>
      <c r="T1113" s="428"/>
      <c r="U1113" s="428"/>
      <c r="V1113" s="428"/>
      <c r="W1113" s="428"/>
      <c r="X1113" s="428"/>
      <c r="Y1113" s="428"/>
    </row>
    <row r="1114" ht="13.5" customHeight="1">
      <c r="A1114" s="84"/>
      <c r="B1114" s="84"/>
      <c r="C1114" s="84"/>
      <c r="D1114" s="106"/>
      <c r="E1114" s="106"/>
      <c r="F1114" s="106"/>
      <c r="G1114" s="84"/>
      <c r="H1114" s="106"/>
      <c r="I1114" s="106"/>
      <c r="J1114" s="106"/>
      <c r="K1114" s="106"/>
      <c r="L1114" s="106"/>
      <c r="M1114" s="104"/>
      <c r="N1114" s="106"/>
      <c r="O1114" s="428"/>
      <c r="P1114" s="106"/>
      <c r="Q1114" s="84"/>
      <c r="R1114" s="84"/>
      <c r="S1114" s="428"/>
      <c r="T1114" s="428"/>
      <c r="U1114" s="428"/>
      <c r="V1114" s="428"/>
      <c r="W1114" s="428"/>
      <c r="X1114" s="428"/>
      <c r="Y1114" s="428"/>
    </row>
    <row r="1115" ht="13.5" customHeight="1">
      <c r="A1115" s="84"/>
      <c r="B1115" s="84"/>
      <c r="C1115" s="84"/>
      <c r="D1115" s="106"/>
      <c r="E1115" s="106"/>
      <c r="F1115" s="106"/>
      <c r="G1115" s="84"/>
      <c r="H1115" s="106"/>
      <c r="I1115" s="106"/>
      <c r="J1115" s="106"/>
      <c r="K1115" s="106"/>
      <c r="L1115" s="106"/>
      <c r="M1115" s="104"/>
      <c r="N1115" s="106"/>
      <c r="O1115" s="428"/>
      <c r="P1115" s="106"/>
      <c r="Q1115" s="84"/>
      <c r="R1115" s="84"/>
      <c r="S1115" s="428"/>
      <c r="T1115" s="428"/>
      <c r="U1115" s="428"/>
      <c r="V1115" s="428"/>
      <c r="W1115" s="428"/>
      <c r="X1115" s="428"/>
      <c r="Y1115" s="428"/>
    </row>
    <row r="1116" ht="13.5" customHeight="1">
      <c r="A1116" s="84"/>
      <c r="B1116" s="84"/>
      <c r="C1116" s="84"/>
      <c r="D1116" s="106"/>
      <c r="E1116" s="106"/>
      <c r="F1116" s="106"/>
      <c r="G1116" s="84"/>
      <c r="H1116" s="106"/>
      <c r="I1116" s="106"/>
      <c r="J1116" s="106"/>
      <c r="K1116" s="106"/>
      <c r="L1116" s="106"/>
      <c r="M1116" s="104"/>
      <c r="N1116" s="106"/>
      <c r="O1116" s="428"/>
      <c r="P1116" s="106"/>
      <c r="Q1116" s="84"/>
      <c r="R1116" s="84"/>
      <c r="S1116" s="428"/>
      <c r="T1116" s="428"/>
      <c r="U1116" s="428"/>
      <c r="V1116" s="428"/>
      <c r="W1116" s="428"/>
      <c r="X1116" s="428"/>
      <c r="Y1116" s="428"/>
    </row>
    <row r="1117" ht="13.5" customHeight="1">
      <c r="A1117" s="84"/>
      <c r="B1117" s="84"/>
      <c r="C1117" s="84"/>
      <c r="D1117" s="106"/>
      <c r="E1117" s="106"/>
      <c r="F1117" s="106"/>
      <c r="G1117" s="84"/>
      <c r="H1117" s="106"/>
      <c r="I1117" s="106"/>
      <c r="J1117" s="106"/>
      <c r="K1117" s="106"/>
      <c r="L1117" s="106"/>
      <c r="M1117" s="104"/>
      <c r="N1117" s="106"/>
      <c r="O1117" s="428"/>
      <c r="P1117" s="106"/>
      <c r="Q1117" s="84"/>
      <c r="R1117" s="84"/>
      <c r="S1117" s="428"/>
      <c r="T1117" s="428"/>
      <c r="U1117" s="428"/>
      <c r="V1117" s="428"/>
      <c r="W1117" s="428"/>
      <c r="X1117" s="428"/>
      <c r="Y1117" s="428"/>
    </row>
    <row r="1118" ht="13.5" customHeight="1">
      <c r="A1118" s="84"/>
      <c r="B1118" s="84"/>
      <c r="C1118" s="84"/>
      <c r="D1118" s="106"/>
      <c r="E1118" s="106"/>
      <c r="F1118" s="106"/>
      <c r="G1118" s="84"/>
      <c r="H1118" s="106"/>
      <c r="I1118" s="106"/>
      <c r="J1118" s="106"/>
      <c r="K1118" s="106"/>
      <c r="L1118" s="106"/>
      <c r="M1118" s="104"/>
      <c r="N1118" s="106"/>
      <c r="O1118" s="428"/>
      <c r="P1118" s="106"/>
      <c r="Q1118" s="84"/>
      <c r="R1118" s="84"/>
      <c r="S1118" s="428"/>
      <c r="T1118" s="428"/>
      <c r="U1118" s="428"/>
      <c r="V1118" s="428"/>
      <c r="W1118" s="428"/>
      <c r="X1118" s="428"/>
      <c r="Y1118" s="428"/>
    </row>
    <row r="1119" ht="13.5" customHeight="1">
      <c r="A1119" s="84"/>
      <c r="B1119" s="84"/>
      <c r="C1119" s="84"/>
      <c r="D1119" s="106"/>
      <c r="E1119" s="106"/>
      <c r="F1119" s="106"/>
      <c r="G1119" s="84"/>
      <c r="H1119" s="106"/>
      <c r="I1119" s="106"/>
      <c r="J1119" s="106"/>
      <c r="K1119" s="106"/>
      <c r="L1119" s="106"/>
      <c r="M1119" s="104"/>
      <c r="N1119" s="106"/>
      <c r="O1119" s="428"/>
      <c r="P1119" s="106"/>
      <c r="Q1119" s="84"/>
      <c r="R1119" s="84"/>
      <c r="S1119" s="428"/>
      <c r="T1119" s="428"/>
      <c r="U1119" s="428"/>
      <c r="V1119" s="428"/>
      <c r="W1119" s="428"/>
      <c r="X1119" s="428"/>
      <c r="Y1119" s="428"/>
    </row>
    <row r="1120" ht="13.5" customHeight="1">
      <c r="A1120" s="84"/>
      <c r="B1120" s="84"/>
      <c r="C1120" s="84"/>
      <c r="D1120" s="106"/>
      <c r="E1120" s="106"/>
      <c r="F1120" s="106"/>
      <c r="G1120" s="84"/>
      <c r="H1120" s="106"/>
      <c r="I1120" s="106"/>
      <c r="J1120" s="106"/>
      <c r="K1120" s="106"/>
      <c r="L1120" s="106"/>
      <c r="M1120" s="104"/>
      <c r="N1120" s="106"/>
      <c r="O1120" s="428"/>
      <c r="P1120" s="106"/>
      <c r="Q1120" s="84"/>
      <c r="R1120" s="84"/>
      <c r="S1120" s="428"/>
      <c r="T1120" s="428"/>
      <c r="U1120" s="428"/>
      <c r="V1120" s="428"/>
      <c r="W1120" s="428"/>
      <c r="X1120" s="428"/>
      <c r="Y1120" s="428"/>
    </row>
    <row r="1121" ht="13.5" customHeight="1">
      <c r="A1121" s="84"/>
      <c r="B1121" s="84"/>
      <c r="C1121" s="84"/>
      <c r="D1121" s="106"/>
      <c r="E1121" s="106"/>
      <c r="F1121" s="106"/>
      <c r="G1121" s="84"/>
      <c r="H1121" s="106"/>
      <c r="I1121" s="106"/>
      <c r="J1121" s="106"/>
      <c r="K1121" s="106"/>
      <c r="L1121" s="106"/>
      <c r="M1121" s="104"/>
      <c r="N1121" s="106"/>
      <c r="O1121" s="428"/>
      <c r="P1121" s="106"/>
      <c r="Q1121" s="84"/>
      <c r="R1121" s="84"/>
      <c r="S1121" s="428"/>
      <c r="T1121" s="428"/>
      <c r="U1121" s="428"/>
      <c r="V1121" s="428"/>
      <c r="W1121" s="428"/>
      <c r="X1121" s="428"/>
      <c r="Y1121" s="428"/>
    </row>
    <row r="1122" ht="13.5" customHeight="1">
      <c r="A1122" s="84"/>
      <c r="B1122" s="84"/>
      <c r="C1122" s="84"/>
      <c r="D1122" s="106"/>
      <c r="E1122" s="106"/>
      <c r="F1122" s="106"/>
      <c r="G1122" s="84"/>
      <c r="H1122" s="106"/>
      <c r="I1122" s="106"/>
      <c r="J1122" s="106"/>
      <c r="K1122" s="106"/>
      <c r="L1122" s="106"/>
      <c r="M1122" s="104"/>
      <c r="N1122" s="106"/>
      <c r="O1122" s="428"/>
      <c r="P1122" s="106"/>
      <c r="Q1122" s="84"/>
      <c r="R1122" s="84"/>
      <c r="S1122" s="428"/>
      <c r="T1122" s="428"/>
      <c r="U1122" s="428"/>
      <c r="V1122" s="428"/>
      <c r="W1122" s="428"/>
      <c r="X1122" s="428"/>
      <c r="Y1122" s="428"/>
    </row>
    <row r="1123" ht="13.5" customHeight="1">
      <c r="A1123" s="84"/>
      <c r="B1123" s="84"/>
      <c r="C1123" s="84"/>
      <c r="D1123" s="106"/>
      <c r="E1123" s="106"/>
      <c r="F1123" s="106"/>
      <c r="G1123" s="84"/>
      <c r="H1123" s="106"/>
      <c r="I1123" s="106"/>
      <c r="J1123" s="106"/>
      <c r="K1123" s="106"/>
      <c r="L1123" s="106"/>
      <c r="M1123" s="104"/>
      <c r="N1123" s="106"/>
      <c r="O1123" s="428"/>
      <c r="P1123" s="106"/>
      <c r="Q1123" s="84"/>
      <c r="R1123" s="84"/>
      <c r="S1123" s="428"/>
      <c r="T1123" s="428"/>
      <c r="U1123" s="428"/>
      <c r="V1123" s="428"/>
      <c r="W1123" s="428"/>
      <c r="X1123" s="428"/>
      <c r="Y1123" s="428"/>
    </row>
    <row r="1124" ht="13.5" customHeight="1">
      <c r="A1124" s="84"/>
      <c r="B1124" s="84"/>
      <c r="C1124" s="84"/>
      <c r="D1124" s="106"/>
      <c r="E1124" s="106"/>
      <c r="F1124" s="106"/>
      <c r="G1124" s="84"/>
      <c r="H1124" s="106"/>
      <c r="I1124" s="106"/>
      <c r="J1124" s="106"/>
      <c r="K1124" s="106"/>
      <c r="L1124" s="106"/>
      <c r="M1124" s="104"/>
      <c r="N1124" s="106"/>
      <c r="O1124" s="428"/>
      <c r="P1124" s="106"/>
      <c r="Q1124" s="84"/>
      <c r="R1124" s="84"/>
      <c r="S1124" s="428"/>
      <c r="T1124" s="428"/>
      <c r="U1124" s="428"/>
      <c r="V1124" s="428"/>
      <c r="W1124" s="428"/>
      <c r="X1124" s="428"/>
      <c r="Y1124" s="428"/>
    </row>
    <row r="1125" ht="13.5" customHeight="1">
      <c r="A1125" s="84"/>
      <c r="B1125" s="84"/>
      <c r="C1125" s="84"/>
      <c r="D1125" s="106"/>
      <c r="E1125" s="106"/>
      <c r="F1125" s="106"/>
      <c r="G1125" s="84"/>
      <c r="H1125" s="106"/>
      <c r="I1125" s="106"/>
      <c r="J1125" s="106"/>
      <c r="K1125" s="106"/>
      <c r="L1125" s="106"/>
      <c r="M1125" s="104"/>
      <c r="N1125" s="106"/>
      <c r="O1125" s="428"/>
      <c r="P1125" s="106"/>
      <c r="Q1125" s="84"/>
      <c r="R1125" s="84"/>
      <c r="S1125" s="428"/>
      <c r="T1125" s="428"/>
      <c r="U1125" s="428"/>
      <c r="V1125" s="428"/>
      <c r="W1125" s="428"/>
      <c r="X1125" s="428"/>
      <c r="Y1125" s="428"/>
    </row>
    <row r="1126" ht="13.5" customHeight="1">
      <c r="A1126" s="84"/>
      <c r="B1126" s="84"/>
      <c r="C1126" s="84"/>
      <c r="D1126" s="106"/>
      <c r="E1126" s="106"/>
      <c r="F1126" s="106"/>
      <c r="G1126" s="84"/>
      <c r="H1126" s="106"/>
      <c r="I1126" s="106"/>
      <c r="J1126" s="106"/>
      <c r="K1126" s="106"/>
      <c r="L1126" s="106"/>
      <c r="M1126" s="104"/>
      <c r="N1126" s="106"/>
      <c r="O1126" s="428"/>
      <c r="P1126" s="106"/>
      <c r="Q1126" s="84"/>
      <c r="R1126" s="84"/>
      <c r="S1126" s="428"/>
      <c r="T1126" s="428"/>
      <c r="U1126" s="428"/>
      <c r="V1126" s="428"/>
      <c r="W1126" s="428"/>
      <c r="X1126" s="428"/>
      <c r="Y1126" s="428"/>
    </row>
    <row r="1127" ht="13.5" customHeight="1">
      <c r="A1127" s="84"/>
      <c r="B1127" s="84"/>
      <c r="C1127" s="84"/>
      <c r="D1127" s="106"/>
      <c r="E1127" s="106"/>
      <c r="F1127" s="106"/>
      <c r="G1127" s="84"/>
      <c r="H1127" s="106"/>
      <c r="I1127" s="106"/>
      <c r="J1127" s="106"/>
      <c r="K1127" s="106"/>
      <c r="L1127" s="106"/>
      <c r="M1127" s="104"/>
      <c r="N1127" s="106"/>
      <c r="O1127" s="428"/>
      <c r="P1127" s="106"/>
      <c r="Q1127" s="84"/>
      <c r="R1127" s="84"/>
      <c r="S1127" s="428"/>
      <c r="T1127" s="428"/>
      <c r="U1127" s="428"/>
      <c r="V1127" s="428"/>
      <c r="W1127" s="428"/>
      <c r="X1127" s="428"/>
      <c r="Y1127" s="428"/>
    </row>
    <row r="1128" ht="13.5" customHeight="1">
      <c r="A1128" s="84"/>
      <c r="B1128" s="84"/>
      <c r="C1128" s="84"/>
      <c r="D1128" s="106"/>
      <c r="E1128" s="106"/>
      <c r="F1128" s="106"/>
      <c r="G1128" s="84"/>
      <c r="H1128" s="106"/>
      <c r="I1128" s="106"/>
      <c r="J1128" s="106"/>
      <c r="K1128" s="106"/>
      <c r="L1128" s="106"/>
      <c r="M1128" s="104"/>
      <c r="N1128" s="106"/>
      <c r="O1128" s="428"/>
      <c r="P1128" s="106"/>
      <c r="Q1128" s="84"/>
      <c r="R1128" s="84"/>
      <c r="S1128" s="428"/>
      <c r="T1128" s="428"/>
      <c r="U1128" s="428"/>
      <c r="V1128" s="428"/>
      <c r="W1128" s="428"/>
      <c r="X1128" s="428"/>
      <c r="Y1128" s="428"/>
    </row>
    <row r="1129" ht="13.5" customHeight="1">
      <c r="A1129" s="84"/>
      <c r="B1129" s="84"/>
      <c r="C1129" s="84"/>
      <c r="D1129" s="106"/>
      <c r="E1129" s="106"/>
      <c r="F1129" s="106"/>
      <c r="G1129" s="84"/>
      <c r="H1129" s="106"/>
      <c r="I1129" s="106"/>
      <c r="J1129" s="106"/>
      <c r="K1129" s="106"/>
      <c r="L1129" s="106"/>
      <c r="M1129" s="104"/>
      <c r="N1129" s="106"/>
      <c r="O1129" s="428"/>
      <c r="P1129" s="106"/>
      <c r="Q1129" s="84"/>
      <c r="R1129" s="84"/>
      <c r="S1129" s="428"/>
      <c r="T1129" s="428"/>
      <c r="U1129" s="428"/>
      <c r="V1129" s="428"/>
      <c r="W1129" s="428"/>
      <c r="X1129" s="428"/>
      <c r="Y1129" s="428"/>
    </row>
    <row r="1130" ht="13.5" customHeight="1">
      <c r="A1130" s="84"/>
      <c r="B1130" s="84"/>
      <c r="C1130" s="84"/>
      <c r="D1130" s="106"/>
      <c r="E1130" s="106"/>
      <c r="F1130" s="106"/>
      <c r="G1130" s="84"/>
      <c r="H1130" s="106"/>
      <c r="I1130" s="106"/>
      <c r="J1130" s="106"/>
      <c r="K1130" s="106"/>
      <c r="L1130" s="106"/>
      <c r="M1130" s="104"/>
      <c r="N1130" s="106"/>
      <c r="O1130" s="428"/>
      <c r="P1130" s="106"/>
      <c r="Q1130" s="84"/>
      <c r="R1130" s="84"/>
      <c r="S1130" s="428"/>
      <c r="T1130" s="428"/>
      <c r="U1130" s="428"/>
      <c r="V1130" s="428"/>
      <c r="W1130" s="428"/>
      <c r="X1130" s="428"/>
      <c r="Y1130" s="428"/>
    </row>
    <row r="1131" ht="13.5" customHeight="1">
      <c r="A1131" s="84"/>
      <c r="B1131" s="84"/>
      <c r="C1131" s="84"/>
      <c r="D1131" s="106"/>
      <c r="E1131" s="106"/>
      <c r="F1131" s="106"/>
      <c r="G1131" s="84"/>
      <c r="H1131" s="106"/>
      <c r="I1131" s="106"/>
      <c r="J1131" s="106"/>
      <c r="K1131" s="106"/>
      <c r="L1131" s="106"/>
      <c r="M1131" s="104"/>
      <c r="N1131" s="106"/>
      <c r="O1131" s="428"/>
      <c r="P1131" s="106"/>
      <c r="Q1131" s="84"/>
      <c r="R1131" s="84"/>
      <c r="S1131" s="428"/>
      <c r="T1131" s="428"/>
      <c r="U1131" s="428"/>
      <c r="V1131" s="428"/>
      <c r="W1131" s="428"/>
      <c r="X1131" s="428"/>
      <c r="Y1131" s="428"/>
    </row>
    <row r="1132" ht="13.5" customHeight="1">
      <c r="A1132" s="84"/>
      <c r="B1132" s="84"/>
      <c r="C1132" s="84"/>
      <c r="D1132" s="106"/>
      <c r="E1132" s="106"/>
      <c r="F1132" s="106"/>
      <c r="G1132" s="84"/>
      <c r="H1132" s="106"/>
      <c r="I1132" s="106"/>
      <c r="J1132" s="106"/>
      <c r="K1132" s="106"/>
      <c r="L1132" s="106"/>
      <c r="M1132" s="104"/>
      <c r="N1132" s="106"/>
      <c r="O1132" s="428"/>
      <c r="P1132" s="106"/>
      <c r="Q1132" s="84"/>
      <c r="R1132" s="84"/>
      <c r="S1132" s="428"/>
      <c r="T1132" s="428"/>
      <c r="U1132" s="428"/>
      <c r="V1132" s="428"/>
      <c r="W1132" s="428"/>
      <c r="X1132" s="428"/>
      <c r="Y1132" s="428"/>
    </row>
    <row r="1133" ht="13.5" customHeight="1">
      <c r="A1133" s="84"/>
      <c r="B1133" s="84"/>
      <c r="C1133" s="84"/>
      <c r="D1133" s="106"/>
      <c r="E1133" s="106"/>
      <c r="F1133" s="106"/>
      <c r="G1133" s="84"/>
      <c r="H1133" s="106"/>
      <c r="I1133" s="106"/>
      <c r="J1133" s="106"/>
      <c r="K1133" s="106"/>
      <c r="L1133" s="106"/>
      <c r="M1133" s="104"/>
      <c r="N1133" s="106"/>
      <c r="O1133" s="428"/>
      <c r="P1133" s="106"/>
      <c r="Q1133" s="84"/>
      <c r="R1133" s="84"/>
      <c r="S1133" s="428"/>
      <c r="T1133" s="428"/>
      <c r="U1133" s="428"/>
      <c r="V1133" s="428"/>
      <c r="W1133" s="428"/>
      <c r="X1133" s="428"/>
      <c r="Y1133" s="428"/>
    </row>
    <row r="1134" ht="13.5" customHeight="1">
      <c r="A1134" s="84"/>
      <c r="B1134" s="84"/>
      <c r="C1134" s="84"/>
      <c r="D1134" s="106"/>
      <c r="E1134" s="106"/>
      <c r="F1134" s="106"/>
      <c r="G1134" s="84"/>
      <c r="H1134" s="106"/>
      <c r="I1134" s="106"/>
      <c r="J1134" s="106"/>
      <c r="K1134" s="106"/>
      <c r="L1134" s="106"/>
      <c r="M1134" s="104"/>
      <c r="N1134" s="106"/>
      <c r="O1134" s="428"/>
      <c r="P1134" s="106"/>
      <c r="Q1134" s="84"/>
      <c r="R1134" s="84"/>
      <c r="S1134" s="428"/>
      <c r="T1134" s="428"/>
      <c r="U1134" s="428"/>
      <c r="V1134" s="428"/>
      <c r="W1134" s="428"/>
      <c r="X1134" s="428"/>
      <c r="Y1134" s="428"/>
    </row>
    <row r="1135" ht="13.5" customHeight="1">
      <c r="A1135" s="84"/>
      <c r="B1135" s="84"/>
      <c r="C1135" s="84"/>
      <c r="D1135" s="106"/>
      <c r="E1135" s="106"/>
      <c r="F1135" s="106"/>
      <c r="G1135" s="84"/>
      <c r="H1135" s="106"/>
      <c r="I1135" s="106"/>
      <c r="J1135" s="106"/>
      <c r="K1135" s="106"/>
      <c r="L1135" s="106"/>
      <c r="M1135" s="104"/>
      <c r="N1135" s="106"/>
      <c r="O1135" s="428"/>
      <c r="P1135" s="106"/>
      <c r="Q1135" s="84"/>
      <c r="R1135" s="84"/>
      <c r="S1135" s="428"/>
      <c r="T1135" s="428"/>
      <c r="U1135" s="428"/>
      <c r="V1135" s="428"/>
      <c r="W1135" s="428"/>
      <c r="X1135" s="428"/>
      <c r="Y1135" s="428"/>
    </row>
    <row r="1136" ht="13.5" customHeight="1">
      <c r="A1136" s="84"/>
      <c r="B1136" s="84"/>
      <c r="C1136" s="84"/>
      <c r="D1136" s="106"/>
      <c r="E1136" s="106"/>
      <c r="F1136" s="106"/>
      <c r="G1136" s="84"/>
      <c r="H1136" s="106"/>
      <c r="I1136" s="106"/>
      <c r="J1136" s="106"/>
      <c r="K1136" s="106"/>
      <c r="L1136" s="106"/>
      <c r="M1136" s="104"/>
      <c r="N1136" s="106"/>
      <c r="O1136" s="428"/>
      <c r="P1136" s="106"/>
      <c r="Q1136" s="84"/>
      <c r="R1136" s="84"/>
      <c r="S1136" s="428"/>
      <c r="T1136" s="428"/>
      <c r="U1136" s="428"/>
      <c r="V1136" s="428"/>
      <c r="W1136" s="428"/>
      <c r="X1136" s="428"/>
      <c r="Y1136" s="428"/>
    </row>
    <row r="1137" ht="13.5" customHeight="1">
      <c r="A1137" s="84"/>
      <c r="B1137" s="84"/>
      <c r="C1137" s="84"/>
      <c r="D1137" s="106"/>
      <c r="E1137" s="106"/>
      <c r="F1137" s="106"/>
      <c r="G1137" s="84"/>
      <c r="H1137" s="106"/>
      <c r="I1137" s="106"/>
      <c r="J1137" s="106"/>
      <c r="K1137" s="106"/>
      <c r="L1137" s="106"/>
      <c r="M1137" s="104"/>
      <c r="N1137" s="106"/>
      <c r="O1137" s="428"/>
      <c r="P1137" s="106"/>
      <c r="Q1137" s="84"/>
      <c r="R1137" s="84"/>
      <c r="S1137" s="428"/>
      <c r="T1137" s="428"/>
      <c r="U1137" s="428"/>
      <c r="V1137" s="428"/>
      <c r="W1137" s="428"/>
      <c r="X1137" s="428"/>
      <c r="Y1137" s="428"/>
    </row>
    <row r="1138" ht="13.5" customHeight="1">
      <c r="A1138" s="84"/>
      <c r="B1138" s="84"/>
      <c r="C1138" s="84"/>
      <c r="D1138" s="106"/>
      <c r="E1138" s="106"/>
      <c r="F1138" s="106"/>
      <c r="G1138" s="84"/>
      <c r="H1138" s="106"/>
      <c r="I1138" s="106"/>
      <c r="J1138" s="106"/>
      <c r="K1138" s="106"/>
      <c r="L1138" s="106"/>
      <c r="M1138" s="104"/>
      <c r="N1138" s="106"/>
      <c r="O1138" s="428"/>
      <c r="P1138" s="106"/>
      <c r="Q1138" s="84"/>
      <c r="R1138" s="84"/>
      <c r="S1138" s="428"/>
      <c r="T1138" s="428"/>
      <c r="U1138" s="428"/>
      <c r="V1138" s="428"/>
      <c r="W1138" s="428"/>
      <c r="X1138" s="428"/>
      <c r="Y1138" s="428"/>
    </row>
    <row r="1139" ht="13.5" customHeight="1">
      <c r="A1139" s="84"/>
      <c r="B1139" s="84"/>
      <c r="C1139" s="84"/>
      <c r="D1139" s="106"/>
      <c r="E1139" s="106"/>
      <c r="F1139" s="106"/>
      <c r="G1139" s="84"/>
      <c r="H1139" s="106"/>
      <c r="I1139" s="106"/>
      <c r="J1139" s="106"/>
      <c r="K1139" s="106"/>
      <c r="L1139" s="106"/>
      <c r="M1139" s="104"/>
      <c r="N1139" s="106"/>
      <c r="O1139" s="428"/>
      <c r="P1139" s="106"/>
      <c r="Q1139" s="84"/>
      <c r="R1139" s="84"/>
      <c r="S1139" s="428"/>
      <c r="T1139" s="428"/>
      <c r="U1139" s="428"/>
      <c r="V1139" s="428"/>
      <c r="W1139" s="428"/>
      <c r="X1139" s="428"/>
      <c r="Y1139" s="428"/>
    </row>
    <row r="1140" ht="13.5" customHeight="1">
      <c r="A1140" s="84"/>
      <c r="B1140" s="84"/>
      <c r="C1140" s="84"/>
      <c r="D1140" s="106"/>
      <c r="E1140" s="106"/>
      <c r="F1140" s="106"/>
      <c r="G1140" s="84"/>
      <c r="H1140" s="106"/>
      <c r="I1140" s="106"/>
      <c r="J1140" s="106"/>
      <c r="K1140" s="106"/>
      <c r="L1140" s="106"/>
      <c r="M1140" s="104"/>
      <c r="N1140" s="106"/>
      <c r="O1140" s="428"/>
      <c r="P1140" s="106"/>
      <c r="Q1140" s="84"/>
      <c r="R1140" s="84"/>
      <c r="S1140" s="428"/>
      <c r="T1140" s="428"/>
      <c r="U1140" s="428"/>
      <c r="V1140" s="428"/>
      <c r="W1140" s="428"/>
      <c r="X1140" s="428"/>
      <c r="Y1140" s="428"/>
    </row>
    <row r="1141" ht="13.5" customHeight="1">
      <c r="A1141" s="84"/>
      <c r="B1141" s="84"/>
      <c r="C1141" s="84"/>
      <c r="D1141" s="106"/>
      <c r="E1141" s="106"/>
      <c r="F1141" s="106"/>
      <c r="G1141" s="84"/>
      <c r="H1141" s="106"/>
      <c r="I1141" s="106"/>
      <c r="J1141" s="106"/>
      <c r="K1141" s="106"/>
      <c r="L1141" s="106"/>
      <c r="M1141" s="104"/>
      <c r="N1141" s="106"/>
      <c r="O1141" s="428"/>
      <c r="P1141" s="106"/>
      <c r="Q1141" s="84"/>
      <c r="R1141" s="84"/>
      <c r="S1141" s="428"/>
      <c r="T1141" s="428"/>
      <c r="U1141" s="428"/>
      <c r="V1141" s="428"/>
      <c r="W1141" s="428"/>
      <c r="X1141" s="428"/>
      <c r="Y1141" s="428"/>
    </row>
    <row r="1142" ht="13.5" customHeight="1">
      <c r="A1142" s="84"/>
      <c r="B1142" s="84"/>
      <c r="C1142" s="84"/>
      <c r="D1142" s="106"/>
      <c r="E1142" s="106"/>
      <c r="F1142" s="106"/>
      <c r="G1142" s="84"/>
      <c r="H1142" s="106"/>
      <c r="I1142" s="106"/>
      <c r="J1142" s="106"/>
      <c r="K1142" s="106"/>
      <c r="L1142" s="106"/>
      <c r="M1142" s="104"/>
      <c r="N1142" s="106"/>
      <c r="O1142" s="428"/>
      <c r="P1142" s="106"/>
      <c r="Q1142" s="84"/>
      <c r="R1142" s="84"/>
      <c r="S1142" s="428"/>
      <c r="T1142" s="428"/>
      <c r="U1142" s="428"/>
      <c r="V1142" s="428"/>
      <c r="W1142" s="428"/>
      <c r="X1142" s="428"/>
      <c r="Y1142" s="428"/>
    </row>
    <row r="1143" ht="13.5" customHeight="1">
      <c r="A1143" s="84"/>
      <c r="B1143" s="84"/>
      <c r="C1143" s="84"/>
      <c r="D1143" s="106"/>
      <c r="E1143" s="106"/>
      <c r="F1143" s="106"/>
      <c r="G1143" s="84"/>
      <c r="H1143" s="106"/>
      <c r="I1143" s="106"/>
      <c r="J1143" s="106"/>
      <c r="K1143" s="106"/>
      <c r="L1143" s="106"/>
      <c r="M1143" s="104"/>
      <c r="N1143" s="106"/>
      <c r="O1143" s="428"/>
      <c r="P1143" s="106"/>
      <c r="Q1143" s="84"/>
      <c r="R1143" s="84"/>
      <c r="S1143" s="428"/>
      <c r="T1143" s="428"/>
      <c r="U1143" s="428"/>
      <c r="V1143" s="428"/>
      <c r="W1143" s="428"/>
      <c r="X1143" s="428"/>
      <c r="Y1143" s="428"/>
    </row>
    <row r="1144" ht="13.5" customHeight="1">
      <c r="A1144" s="84"/>
      <c r="B1144" s="84"/>
      <c r="C1144" s="84"/>
      <c r="D1144" s="106"/>
      <c r="E1144" s="106"/>
      <c r="F1144" s="106"/>
      <c r="G1144" s="84"/>
      <c r="H1144" s="106"/>
      <c r="I1144" s="106"/>
      <c r="J1144" s="106"/>
      <c r="K1144" s="106"/>
      <c r="L1144" s="106"/>
      <c r="M1144" s="104"/>
      <c r="N1144" s="106"/>
      <c r="O1144" s="428"/>
      <c r="P1144" s="106"/>
      <c r="Q1144" s="84"/>
      <c r="R1144" s="84"/>
      <c r="S1144" s="428"/>
      <c r="T1144" s="428"/>
      <c r="U1144" s="428"/>
      <c r="V1144" s="428"/>
      <c r="W1144" s="428"/>
      <c r="X1144" s="428"/>
      <c r="Y1144" s="428"/>
    </row>
    <row r="1145" ht="13.5" customHeight="1">
      <c r="A1145" s="84"/>
      <c r="B1145" s="84"/>
      <c r="C1145" s="84"/>
      <c r="D1145" s="106"/>
      <c r="E1145" s="106"/>
      <c r="F1145" s="106"/>
      <c r="G1145" s="84"/>
      <c r="H1145" s="106"/>
      <c r="I1145" s="106"/>
      <c r="J1145" s="106"/>
      <c r="K1145" s="106"/>
      <c r="L1145" s="106"/>
      <c r="M1145" s="104"/>
      <c r="N1145" s="106"/>
      <c r="O1145" s="428"/>
      <c r="P1145" s="106"/>
      <c r="Q1145" s="84"/>
      <c r="R1145" s="84"/>
      <c r="S1145" s="428"/>
      <c r="T1145" s="428"/>
      <c r="U1145" s="428"/>
      <c r="V1145" s="428"/>
      <c r="W1145" s="428"/>
      <c r="X1145" s="428"/>
      <c r="Y1145" s="428"/>
    </row>
    <row r="1146" ht="13.5" customHeight="1">
      <c r="A1146" s="84"/>
      <c r="B1146" s="84"/>
      <c r="C1146" s="84"/>
      <c r="D1146" s="106"/>
      <c r="E1146" s="106"/>
      <c r="F1146" s="106"/>
      <c r="G1146" s="84"/>
      <c r="H1146" s="106"/>
      <c r="I1146" s="106"/>
      <c r="J1146" s="106"/>
      <c r="K1146" s="106"/>
      <c r="L1146" s="106"/>
      <c r="M1146" s="104"/>
      <c r="N1146" s="106"/>
      <c r="O1146" s="428"/>
      <c r="P1146" s="106"/>
      <c r="Q1146" s="84"/>
      <c r="R1146" s="84"/>
      <c r="S1146" s="428"/>
      <c r="T1146" s="428"/>
      <c r="U1146" s="428"/>
      <c r="V1146" s="428"/>
      <c r="W1146" s="428"/>
      <c r="X1146" s="428"/>
      <c r="Y1146" s="428"/>
    </row>
    <row r="1147" ht="13.5" customHeight="1">
      <c r="A1147" s="84"/>
      <c r="B1147" s="84"/>
      <c r="C1147" s="84"/>
      <c r="D1147" s="106"/>
      <c r="E1147" s="106"/>
      <c r="F1147" s="106"/>
      <c r="G1147" s="84"/>
      <c r="H1147" s="106"/>
      <c r="I1147" s="106"/>
      <c r="J1147" s="106"/>
      <c r="K1147" s="106"/>
      <c r="L1147" s="106"/>
      <c r="M1147" s="104"/>
      <c r="N1147" s="106"/>
      <c r="O1147" s="428"/>
      <c r="P1147" s="106"/>
      <c r="Q1147" s="84"/>
      <c r="R1147" s="84"/>
      <c r="S1147" s="428"/>
      <c r="T1147" s="428"/>
      <c r="U1147" s="428"/>
      <c r="V1147" s="428"/>
      <c r="W1147" s="428"/>
      <c r="X1147" s="428"/>
      <c r="Y1147" s="428"/>
    </row>
    <row r="1148" ht="13.5" customHeight="1">
      <c r="A1148" s="84"/>
      <c r="B1148" s="84"/>
      <c r="C1148" s="84"/>
      <c r="D1148" s="106"/>
      <c r="E1148" s="106"/>
      <c r="F1148" s="106"/>
      <c r="G1148" s="84"/>
      <c r="H1148" s="106"/>
      <c r="I1148" s="106"/>
      <c r="J1148" s="106"/>
      <c r="K1148" s="106"/>
      <c r="L1148" s="106"/>
      <c r="M1148" s="104"/>
      <c r="N1148" s="106"/>
      <c r="O1148" s="428"/>
      <c r="P1148" s="106"/>
      <c r="Q1148" s="84"/>
      <c r="R1148" s="84"/>
      <c r="S1148" s="428"/>
      <c r="T1148" s="428"/>
      <c r="U1148" s="428"/>
      <c r="V1148" s="428"/>
      <c r="W1148" s="428"/>
      <c r="X1148" s="428"/>
      <c r="Y1148" s="428"/>
    </row>
    <row r="1149" ht="13.5" customHeight="1">
      <c r="A1149" s="84"/>
      <c r="B1149" s="84"/>
      <c r="C1149" s="84"/>
      <c r="D1149" s="106"/>
      <c r="E1149" s="106"/>
      <c r="F1149" s="106"/>
      <c r="G1149" s="84"/>
      <c r="H1149" s="106"/>
      <c r="I1149" s="106"/>
      <c r="J1149" s="106"/>
      <c r="K1149" s="106"/>
      <c r="L1149" s="106"/>
      <c r="M1149" s="104"/>
      <c r="N1149" s="106"/>
      <c r="O1149" s="428"/>
      <c r="P1149" s="106"/>
      <c r="Q1149" s="84"/>
      <c r="R1149" s="84"/>
      <c r="S1149" s="428"/>
      <c r="T1149" s="428"/>
      <c r="U1149" s="428"/>
      <c r="V1149" s="428"/>
      <c r="W1149" s="428"/>
      <c r="X1149" s="428"/>
      <c r="Y1149" s="428"/>
    </row>
    <row r="1150" ht="13.5" customHeight="1">
      <c r="A1150" s="84"/>
      <c r="B1150" s="84"/>
      <c r="C1150" s="84"/>
      <c r="D1150" s="106"/>
      <c r="E1150" s="106"/>
      <c r="F1150" s="106"/>
      <c r="G1150" s="84"/>
      <c r="H1150" s="106"/>
      <c r="I1150" s="106"/>
      <c r="J1150" s="106"/>
      <c r="K1150" s="106"/>
      <c r="L1150" s="106"/>
      <c r="M1150" s="104"/>
      <c r="N1150" s="106"/>
      <c r="O1150" s="428"/>
      <c r="P1150" s="106"/>
      <c r="Q1150" s="84"/>
      <c r="R1150" s="84"/>
      <c r="S1150" s="428"/>
      <c r="T1150" s="428"/>
      <c r="U1150" s="428"/>
      <c r="V1150" s="428"/>
      <c r="W1150" s="428"/>
      <c r="X1150" s="428"/>
      <c r="Y1150" s="428"/>
    </row>
    <row r="1151" ht="13.5" customHeight="1">
      <c r="A1151" s="84"/>
      <c r="B1151" s="84"/>
      <c r="C1151" s="84"/>
      <c r="D1151" s="106"/>
      <c r="E1151" s="106"/>
      <c r="F1151" s="106"/>
      <c r="G1151" s="84"/>
      <c r="H1151" s="106"/>
      <c r="I1151" s="106"/>
      <c r="J1151" s="106"/>
      <c r="K1151" s="106"/>
      <c r="L1151" s="106"/>
      <c r="M1151" s="104"/>
      <c r="N1151" s="106"/>
      <c r="O1151" s="428"/>
      <c r="P1151" s="106"/>
      <c r="Q1151" s="84"/>
      <c r="R1151" s="84"/>
      <c r="S1151" s="428"/>
      <c r="T1151" s="428"/>
      <c r="U1151" s="428"/>
      <c r="V1151" s="428"/>
      <c r="W1151" s="428"/>
      <c r="X1151" s="428"/>
      <c r="Y1151" s="428"/>
    </row>
    <row r="1152" ht="13.5" customHeight="1">
      <c r="A1152" s="84"/>
      <c r="B1152" s="84"/>
      <c r="C1152" s="84"/>
      <c r="D1152" s="106"/>
      <c r="E1152" s="106"/>
      <c r="F1152" s="106"/>
      <c r="G1152" s="84"/>
      <c r="H1152" s="106"/>
      <c r="I1152" s="106"/>
      <c r="J1152" s="106"/>
      <c r="K1152" s="106"/>
      <c r="L1152" s="106"/>
      <c r="M1152" s="104"/>
      <c r="N1152" s="106"/>
      <c r="O1152" s="428"/>
      <c r="P1152" s="106"/>
      <c r="Q1152" s="84"/>
      <c r="R1152" s="84"/>
      <c r="S1152" s="428"/>
      <c r="T1152" s="428"/>
      <c r="U1152" s="428"/>
      <c r="V1152" s="428"/>
      <c r="W1152" s="428"/>
      <c r="X1152" s="428"/>
      <c r="Y1152" s="428"/>
    </row>
    <row r="1153" ht="13.5" customHeight="1">
      <c r="A1153" s="84"/>
      <c r="B1153" s="84"/>
      <c r="C1153" s="84"/>
      <c r="D1153" s="106"/>
      <c r="E1153" s="106"/>
      <c r="F1153" s="106"/>
      <c r="G1153" s="84"/>
      <c r="H1153" s="106"/>
      <c r="I1153" s="106"/>
      <c r="J1153" s="106"/>
      <c r="K1153" s="106"/>
      <c r="L1153" s="106"/>
      <c r="M1153" s="104"/>
      <c r="N1153" s="106"/>
      <c r="O1153" s="428"/>
      <c r="P1153" s="106"/>
      <c r="Q1153" s="84"/>
      <c r="R1153" s="84"/>
      <c r="S1153" s="428"/>
      <c r="T1153" s="428"/>
      <c r="U1153" s="428"/>
      <c r="V1153" s="428"/>
      <c r="W1153" s="428"/>
      <c r="X1153" s="428"/>
      <c r="Y1153" s="428"/>
    </row>
    <row r="1154" ht="13.5" customHeight="1">
      <c r="A1154" s="84"/>
      <c r="B1154" s="84"/>
      <c r="C1154" s="84"/>
      <c r="D1154" s="106"/>
      <c r="E1154" s="106"/>
      <c r="F1154" s="106"/>
      <c r="G1154" s="84"/>
      <c r="H1154" s="106"/>
      <c r="I1154" s="106"/>
      <c r="J1154" s="106"/>
      <c r="K1154" s="106"/>
      <c r="L1154" s="106"/>
      <c r="M1154" s="104"/>
      <c r="N1154" s="106"/>
      <c r="O1154" s="428"/>
      <c r="P1154" s="106"/>
      <c r="Q1154" s="84"/>
      <c r="R1154" s="84"/>
      <c r="S1154" s="428"/>
      <c r="T1154" s="428"/>
      <c r="U1154" s="428"/>
      <c r="V1154" s="428"/>
      <c r="W1154" s="428"/>
      <c r="X1154" s="428"/>
      <c r="Y1154" s="428"/>
    </row>
    <row r="1155" ht="13.5" customHeight="1">
      <c r="A1155" s="84"/>
      <c r="B1155" s="84"/>
      <c r="C1155" s="84"/>
      <c r="D1155" s="106"/>
      <c r="E1155" s="106"/>
      <c r="F1155" s="106"/>
      <c r="G1155" s="84"/>
      <c r="H1155" s="106"/>
      <c r="I1155" s="106"/>
      <c r="J1155" s="106"/>
      <c r="K1155" s="106"/>
      <c r="L1155" s="106"/>
      <c r="M1155" s="104"/>
      <c r="N1155" s="106"/>
      <c r="O1155" s="428"/>
      <c r="P1155" s="106"/>
      <c r="Q1155" s="84"/>
      <c r="R1155" s="84"/>
      <c r="S1155" s="428"/>
      <c r="T1155" s="428"/>
      <c r="U1155" s="428"/>
      <c r="V1155" s="428"/>
      <c r="W1155" s="428"/>
      <c r="X1155" s="428"/>
      <c r="Y1155" s="428"/>
    </row>
    <row r="1156" ht="13.5" customHeight="1">
      <c r="A1156" s="84"/>
      <c r="B1156" s="84"/>
      <c r="C1156" s="84"/>
      <c r="D1156" s="106"/>
      <c r="E1156" s="106"/>
      <c r="F1156" s="106"/>
      <c r="G1156" s="84"/>
      <c r="H1156" s="106"/>
      <c r="I1156" s="106"/>
      <c r="J1156" s="106"/>
      <c r="K1156" s="106"/>
      <c r="L1156" s="106"/>
      <c r="M1156" s="104"/>
      <c r="N1156" s="106"/>
      <c r="O1156" s="428"/>
      <c r="P1156" s="106"/>
      <c r="Q1156" s="84"/>
      <c r="R1156" s="84"/>
      <c r="S1156" s="428"/>
      <c r="T1156" s="428"/>
      <c r="U1156" s="428"/>
      <c r="V1156" s="428"/>
      <c r="W1156" s="428"/>
      <c r="X1156" s="428"/>
      <c r="Y1156" s="428"/>
    </row>
    <row r="1157" ht="13.5" customHeight="1">
      <c r="A1157" s="84"/>
      <c r="B1157" s="84"/>
      <c r="C1157" s="84"/>
      <c r="D1157" s="106"/>
      <c r="E1157" s="106"/>
      <c r="F1157" s="106"/>
      <c r="G1157" s="84"/>
      <c r="H1157" s="106"/>
      <c r="I1157" s="106"/>
      <c r="J1157" s="106"/>
      <c r="K1157" s="106"/>
      <c r="L1157" s="106"/>
      <c r="M1157" s="104"/>
      <c r="N1157" s="106"/>
      <c r="O1157" s="428"/>
      <c r="P1157" s="106"/>
      <c r="Q1157" s="84"/>
      <c r="R1157" s="84"/>
      <c r="S1157" s="428"/>
      <c r="T1157" s="428"/>
      <c r="U1157" s="428"/>
      <c r="V1157" s="428"/>
      <c r="W1157" s="428"/>
      <c r="X1157" s="428"/>
      <c r="Y1157" s="428"/>
    </row>
    <row r="1158" ht="13.5" customHeight="1">
      <c r="A1158" s="84"/>
      <c r="B1158" s="84"/>
      <c r="C1158" s="84"/>
      <c r="D1158" s="106"/>
      <c r="E1158" s="106"/>
      <c r="F1158" s="106"/>
      <c r="G1158" s="84"/>
      <c r="H1158" s="106"/>
      <c r="I1158" s="106"/>
      <c r="J1158" s="106"/>
      <c r="K1158" s="106"/>
      <c r="L1158" s="106"/>
      <c r="M1158" s="104"/>
      <c r="N1158" s="106"/>
      <c r="O1158" s="428"/>
      <c r="P1158" s="106"/>
      <c r="Q1158" s="84"/>
      <c r="R1158" s="84"/>
      <c r="S1158" s="428"/>
      <c r="T1158" s="428"/>
      <c r="U1158" s="428"/>
      <c r="V1158" s="428"/>
      <c r="W1158" s="428"/>
      <c r="X1158" s="428"/>
      <c r="Y1158" s="428"/>
    </row>
    <row r="1159" ht="13.5" customHeight="1">
      <c r="A1159" s="84"/>
      <c r="B1159" s="84"/>
      <c r="C1159" s="84"/>
      <c r="D1159" s="106"/>
      <c r="E1159" s="106"/>
      <c r="F1159" s="106"/>
      <c r="G1159" s="84"/>
      <c r="H1159" s="106"/>
      <c r="I1159" s="106"/>
      <c r="J1159" s="106"/>
      <c r="K1159" s="106"/>
      <c r="L1159" s="106"/>
      <c r="M1159" s="104"/>
      <c r="N1159" s="106"/>
      <c r="O1159" s="428"/>
      <c r="P1159" s="106"/>
      <c r="Q1159" s="84"/>
      <c r="R1159" s="84"/>
      <c r="S1159" s="428"/>
      <c r="T1159" s="428"/>
      <c r="U1159" s="428"/>
      <c r="V1159" s="428"/>
      <c r="W1159" s="428"/>
      <c r="X1159" s="428"/>
      <c r="Y1159" s="428"/>
    </row>
    <row r="1160" ht="13.5" customHeight="1">
      <c r="A1160" s="84"/>
      <c r="B1160" s="84"/>
      <c r="C1160" s="84"/>
      <c r="D1160" s="106"/>
      <c r="E1160" s="106"/>
      <c r="F1160" s="106"/>
      <c r="G1160" s="84"/>
      <c r="H1160" s="106"/>
      <c r="I1160" s="106"/>
      <c r="J1160" s="106"/>
      <c r="K1160" s="106"/>
      <c r="L1160" s="106"/>
      <c r="M1160" s="104"/>
      <c r="N1160" s="106"/>
      <c r="O1160" s="428"/>
      <c r="P1160" s="106"/>
      <c r="Q1160" s="84"/>
      <c r="R1160" s="84"/>
      <c r="S1160" s="428"/>
      <c r="T1160" s="428"/>
      <c r="U1160" s="428"/>
      <c r="V1160" s="428"/>
      <c r="W1160" s="428"/>
      <c r="X1160" s="428"/>
      <c r="Y1160" s="428"/>
    </row>
    <row r="1161" ht="13.5" customHeight="1">
      <c r="A1161" s="84"/>
      <c r="B1161" s="84"/>
      <c r="C1161" s="84"/>
      <c r="D1161" s="106"/>
      <c r="E1161" s="106"/>
      <c r="F1161" s="106"/>
      <c r="G1161" s="84"/>
      <c r="H1161" s="106"/>
      <c r="I1161" s="106"/>
      <c r="J1161" s="106"/>
      <c r="K1161" s="106"/>
      <c r="L1161" s="106"/>
      <c r="M1161" s="104"/>
      <c r="N1161" s="106"/>
      <c r="O1161" s="428"/>
      <c r="P1161" s="106"/>
      <c r="Q1161" s="84"/>
      <c r="R1161" s="84"/>
      <c r="S1161" s="428"/>
      <c r="T1161" s="428"/>
      <c r="U1161" s="428"/>
      <c r="V1161" s="428"/>
      <c r="W1161" s="428"/>
      <c r="X1161" s="428"/>
      <c r="Y1161" s="428"/>
    </row>
    <row r="1162" ht="13.5" customHeight="1">
      <c r="A1162" s="84"/>
      <c r="B1162" s="84"/>
      <c r="C1162" s="84"/>
      <c r="D1162" s="106"/>
      <c r="E1162" s="106"/>
      <c r="F1162" s="106"/>
      <c r="G1162" s="84"/>
      <c r="H1162" s="106"/>
      <c r="I1162" s="106"/>
      <c r="J1162" s="106"/>
      <c r="K1162" s="106"/>
      <c r="L1162" s="106"/>
      <c r="M1162" s="104"/>
      <c r="N1162" s="106"/>
      <c r="O1162" s="428"/>
      <c r="P1162" s="106"/>
      <c r="Q1162" s="84"/>
      <c r="R1162" s="84"/>
      <c r="S1162" s="428"/>
      <c r="T1162" s="428"/>
      <c r="U1162" s="428"/>
      <c r="V1162" s="428"/>
      <c r="W1162" s="428"/>
      <c r="X1162" s="428"/>
      <c r="Y1162" s="428"/>
    </row>
    <row r="1163" ht="13.5" customHeight="1">
      <c r="A1163" s="84"/>
      <c r="B1163" s="84"/>
      <c r="C1163" s="84"/>
      <c r="D1163" s="106"/>
      <c r="E1163" s="106"/>
      <c r="F1163" s="106"/>
      <c r="G1163" s="84"/>
      <c r="H1163" s="106"/>
      <c r="I1163" s="106"/>
      <c r="J1163" s="106"/>
      <c r="K1163" s="106"/>
      <c r="L1163" s="106"/>
      <c r="M1163" s="104"/>
      <c r="N1163" s="106"/>
      <c r="O1163" s="428"/>
      <c r="P1163" s="106"/>
      <c r="Q1163" s="84"/>
      <c r="R1163" s="84"/>
      <c r="S1163" s="428"/>
      <c r="T1163" s="428"/>
      <c r="U1163" s="428"/>
      <c r="V1163" s="428"/>
      <c r="W1163" s="428"/>
      <c r="X1163" s="428"/>
      <c r="Y1163" s="428"/>
    </row>
    <row r="1164" ht="13.5" customHeight="1">
      <c r="A1164" s="84"/>
      <c r="B1164" s="84"/>
      <c r="C1164" s="84"/>
      <c r="D1164" s="106"/>
      <c r="E1164" s="106"/>
      <c r="F1164" s="106"/>
      <c r="G1164" s="84"/>
      <c r="H1164" s="106"/>
      <c r="I1164" s="106"/>
      <c r="J1164" s="106"/>
      <c r="K1164" s="106"/>
      <c r="L1164" s="106"/>
      <c r="M1164" s="104"/>
      <c r="N1164" s="106"/>
      <c r="O1164" s="428"/>
      <c r="P1164" s="106"/>
      <c r="Q1164" s="84"/>
      <c r="R1164" s="84"/>
      <c r="S1164" s="428"/>
      <c r="T1164" s="428"/>
      <c r="U1164" s="428"/>
      <c r="V1164" s="428"/>
      <c r="W1164" s="428"/>
      <c r="X1164" s="428"/>
      <c r="Y1164" s="428"/>
    </row>
    <row r="1165" ht="13.5" customHeight="1">
      <c r="A1165" s="84"/>
      <c r="B1165" s="84"/>
      <c r="C1165" s="84"/>
      <c r="D1165" s="106"/>
      <c r="E1165" s="106"/>
      <c r="F1165" s="106"/>
      <c r="G1165" s="84"/>
      <c r="H1165" s="106"/>
      <c r="I1165" s="106"/>
      <c r="J1165" s="106"/>
      <c r="K1165" s="106"/>
      <c r="L1165" s="106"/>
      <c r="M1165" s="104"/>
      <c r="N1165" s="106"/>
      <c r="O1165" s="428"/>
      <c r="P1165" s="106"/>
      <c r="Q1165" s="84"/>
      <c r="R1165" s="84"/>
      <c r="S1165" s="428"/>
      <c r="T1165" s="428"/>
      <c r="U1165" s="428"/>
      <c r="V1165" s="428"/>
      <c r="W1165" s="428"/>
      <c r="X1165" s="428"/>
      <c r="Y1165" s="428"/>
    </row>
    <row r="1166" ht="13.5" customHeight="1">
      <c r="A1166" s="84"/>
      <c r="B1166" s="84"/>
      <c r="C1166" s="84"/>
      <c r="D1166" s="106"/>
      <c r="E1166" s="106"/>
      <c r="F1166" s="106"/>
      <c r="G1166" s="84"/>
      <c r="H1166" s="106"/>
      <c r="I1166" s="106"/>
      <c r="J1166" s="106"/>
      <c r="K1166" s="106"/>
      <c r="L1166" s="106"/>
      <c r="M1166" s="104"/>
      <c r="N1166" s="106"/>
      <c r="O1166" s="428"/>
      <c r="P1166" s="106"/>
      <c r="Q1166" s="84"/>
      <c r="R1166" s="84"/>
      <c r="S1166" s="428"/>
      <c r="T1166" s="428"/>
      <c r="U1166" s="428"/>
      <c r="V1166" s="428"/>
      <c r="W1166" s="428"/>
      <c r="X1166" s="428"/>
      <c r="Y1166" s="428"/>
    </row>
    <row r="1167" ht="13.5" customHeight="1">
      <c r="A1167" s="84"/>
      <c r="B1167" s="84"/>
      <c r="C1167" s="84"/>
      <c r="D1167" s="106"/>
      <c r="E1167" s="106"/>
      <c r="F1167" s="106"/>
      <c r="G1167" s="84"/>
      <c r="H1167" s="106"/>
      <c r="I1167" s="106"/>
      <c r="J1167" s="106"/>
      <c r="K1167" s="106"/>
      <c r="L1167" s="106"/>
      <c r="M1167" s="104"/>
      <c r="N1167" s="106"/>
      <c r="O1167" s="428"/>
      <c r="P1167" s="106"/>
      <c r="Q1167" s="84"/>
      <c r="R1167" s="84"/>
      <c r="S1167" s="428"/>
      <c r="T1167" s="428"/>
      <c r="U1167" s="428"/>
      <c r="V1167" s="428"/>
      <c r="W1167" s="428"/>
      <c r="X1167" s="428"/>
      <c r="Y1167" s="428"/>
    </row>
    <row r="1168" ht="13.5" customHeight="1">
      <c r="A1168" s="84"/>
      <c r="B1168" s="84"/>
      <c r="C1168" s="84"/>
      <c r="D1168" s="106"/>
      <c r="E1168" s="106"/>
      <c r="F1168" s="106"/>
      <c r="G1168" s="84"/>
      <c r="H1168" s="106"/>
      <c r="I1168" s="106"/>
      <c r="J1168" s="106"/>
      <c r="K1168" s="106"/>
      <c r="L1168" s="106"/>
      <c r="M1168" s="104"/>
      <c r="N1168" s="106"/>
      <c r="O1168" s="428"/>
      <c r="P1168" s="106"/>
      <c r="Q1168" s="84"/>
      <c r="R1168" s="84"/>
      <c r="S1168" s="428"/>
      <c r="T1168" s="428"/>
      <c r="U1168" s="428"/>
      <c r="V1168" s="428"/>
      <c r="W1168" s="428"/>
      <c r="X1168" s="428"/>
      <c r="Y1168" s="428"/>
    </row>
    <row r="1169" ht="13.5" customHeight="1">
      <c r="A1169" s="84"/>
      <c r="B1169" s="84"/>
      <c r="C1169" s="84"/>
      <c r="D1169" s="106"/>
      <c r="E1169" s="106"/>
      <c r="F1169" s="106"/>
      <c r="G1169" s="84"/>
      <c r="H1169" s="106"/>
      <c r="I1169" s="106"/>
      <c r="J1169" s="106"/>
      <c r="K1169" s="106"/>
      <c r="L1169" s="106"/>
      <c r="M1169" s="104"/>
      <c r="N1169" s="106"/>
      <c r="O1169" s="428"/>
      <c r="P1169" s="106"/>
      <c r="Q1169" s="84"/>
      <c r="R1169" s="84"/>
      <c r="S1169" s="428"/>
      <c r="T1169" s="428"/>
      <c r="U1169" s="428"/>
      <c r="V1169" s="428"/>
      <c r="W1169" s="428"/>
      <c r="X1169" s="428"/>
      <c r="Y1169" s="428"/>
    </row>
    <row r="1170" ht="13.5" customHeight="1">
      <c r="A1170" s="84"/>
      <c r="B1170" s="84"/>
      <c r="C1170" s="84"/>
      <c r="D1170" s="106"/>
      <c r="E1170" s="106"/>
      <c r="F1170" s="106"/>
      <c r="G1170" s="84"/>
      <c r="H1170" s="106"/>
      <c r="I1170" s="106"/>
      <c r="J1170" s="106"/>
      <c r="K1170" s="106"/>
      <c r="L1170" s="106"/>
      <c r="M1170" s="104"/>
      <c r="N1170" s="106"/>
      <c r="O1170" s="428"/>
      <c r="P1170" s="106"/>
      <c r="Q1170" s="84"/>
      <c r="R1170" s="84"/>
      <c r="S1170" s="428"/>
      <c r="T1170" s="428"/>
      <c r="U1170" s="428"/>
      <c r="V1170" s="428"/>
      <c r="W1170" s="428"/>
      <c r="X1170" s="428"/>
      <c r="Y1170" s="428"/>
    </row>
    <row r="1171" ht="13.5" customHeight="1">
      <c r="A1171" s="84"/>
      <c r="B1171" s="84"/>
      <c r="C1171" s="84"/>
      <c r="D1171" s="106"/>
      <c r="E1171" s="106"/>
      <c r="F1171" s="106"/>
      <c r="G1171" s="84"/>
      <c r="H1171" s="106"/>
      <c r="I1171" s="106"/>
      <c r="J1171" s="106"/>
      <c r="K1171" s="106"/>
      <c r="L1171" s="106"/>
      <c r="M1171" s="104"/>
      <c r="N1171" s="106"/>
      <c r="O1171" s="428"/>
      <c r="P1171" s="106"/>
      <c r="Q1171" s="84"/>
      <c r="R1171" s="84"/>
      <c r="S1171" s="428"/>
      <c r="T1171" s="428"/>
      <c r="U1171" s="428"/>
      <c r="V1171" s="428"/>
      <c r="W1171" s="428"/>
      <c r="X1171" s="428"/>
      <c r="Y1171" s="428"/>
    </row>
    <row r="1172" ht="13.5" customHeight="1">
      <c r="A1172" s="84"/>
      <c r="B1172" s="84"/>
      <c r="C1172" s="84"/>
      <c r="D1172" s="106"/>
      <c r="E1172" s="106"/>
      <c r="F1172" s="106"/>
      <c r="G1172" s="84"/>
      <c r="H1172" s="106"/>
      <c r="I1172" s="106"/>
      <c r="J1172" s="106"/>
      <c r="K1172" s="106"/>
      <c r="L1172" s="106"/>
      <c r="M1172" s="104"/>
      <c r="N1172" s="106"/>
      <c r="O1172" s="428"/>
      <c r="P1172" s="106"/>
      <c r="Q1172" s="84"/>
      <c r="R1172" s="84"/>
      <c r="S1172" s="428"/>
      <c r="T1172" s="428"/>
      <c r="U1172" s="428"/>
      <c r="V1172" s="428"/>
      <c r="W1172" s="428"/>
      <c r="X1172" s="428"/>
      <c r="Y1172" s="428"/>
    </row>
    <row r="1173" ht="13.5" customHeight="1">
      <c r="A1173" s="84"/>
      <c r="B1173" s="84"/>
      <c r="C1173" s="84"/>
      <c r="D1173" s="106"/>
      <c r="E1173" s="106"/>
      <c r="F1173" s="106"/>
      <c r="G1173" s="84"/>
      <c r="H1173" s="106"/>
      <c r="I1173" s="106"/>
      <c r="J1173" s="106"/>
      <c r="K1173" s="106"/>
      <c r="L1173" s="106"/>
      <c r="M1173" s="104"/>
      <c r="N1173" s="106"/>
      <c r="O1173" s="428"/>
      <c r="P1173" s="106"/>
      <c r="Q1173" s="84"/>
      <c r="R1173" s="84"/>
      <c r="S1173" s="428"/>
      <c r="T1173" s="428"/>
      <c r="U1173" s="428"/>
      <c r="V1173" s="428"/>
      <c r="W1173" s="428"/>
      <c r="X1173" s="428"/>
      <c r="Y1173" s="428"/>
    </row>
    <row r="1174" ht="13.5" customHeight="1">
      <c r="A1174" s="84"/>
      <c r="B1174" s="84"/>
      <c r="C1174" s="84"/>
      <c r="D1174" s="106"/>
      <c r="E1174" s="106"/>
      <c r="F1174" s="106"/>
      <c r="G1174" s="84"/>
      <c r="H1174" s="106"/>
      <c r="I1174" s="106"/>
      <c r="J1174" s="106"/>
      <c r="K1174" s="106"/>
      <c r="L1174" s="106"/>
      <c r="M1174" s="104"/>
      <c r="N1174" s="106"/>
      <c r="O1174" s="428"/>
      <c r="P1174" s="106"/>
      <c r="Q1174" s="84"/>
      <c r="R1174" s="84"/>
      <c r="S1174" s="428"/>
      <c r="T1174" s="428"/>
      <c r="U1174" s="428"/>
      <c r="V1174" s="428"/>
      <c r="W1174" s="428"/>
      <c r="X1174" s="428"/>
      <c r="Y1174" s="428"/>
    </row>
    <row r="1175" ht="13.5" customHeight="1">
      <c r="A1175" s="84"/>
      <c r="B1175" s="84"/>
      <c r="C1175" s="84"/>
      <c r="D1175" s="106"/>
      <c r="E1175" s="106"/>
      <c r="F1175" s="106"/>
      <c r="G1175" s="84"/>
      <c r="H1175" s="106"/>
      <c r="I1175" s="106"/>
      <c r="J1175" s="106"/>
      <c r="K1175" s="106"/>
      <c r="L1175" s="106"/>
      <c r="M1175" s="104"/>
      <c r="N1175" s="106"/>
      <c r="O1175" s="428"/>
      <c r="P1175" s="106"/>
      <c r="Q1175" s="84"/>
      <c r="R1175" s="84"/>
      <c r="S1175" s="428"/>
      <c r="T1175" s="428"/>
      <c r="U1175" s="428"/>
      <c r="V1175" s="428"/>
      <c r="W1175" s="428"/>
      <c r="X1175" s="428"/>
      <c r="Y1175" s="428"/>
    </row>
    <row r="1176" ht="13.5" customHeight="1">
      <c r="A1176" s="84"/>
      <c r="B1176" s="84"/>
      <c r="C1176" s="84"/>
      <c r="D1176" s="106"/>
      <c r="E1176" s="106"/>
      <c r="F1176" s="106"/>
      <c r="G1176" s="84"/>
      <c r="H1176" s="106"/>
      <c r="I1176" s="106"/>
      <c r="J1176" s="106"/>
      <c r="K1176" s="106"/>
      <c r="L1176" s="106"/>
      <c r="M1176" s="104"/>
      <c r="N1176" s="106"/>
      <c r="O1176" s="428"/>
      <c r="P1176" s="106"/>
      <c r="Q1176" s="84"/>
      <c r="R1176" s="84"/>
      <c r="S1176" s="428"/>
      <c r="T1176" s="428"/>
      <c r="U1176" s="428"/>
      <c r="V1176" s="428"/>
      <c r="W1176" s="428"/>
      <c r="X1176" s="428"/>
      <c r="Y1176" s="428"/>
    </row>
    <row r="1177" ht="13.5" customHeight="1">
      <c r="A1177" s="84"/>
      <c r="B1177" s="84"/>
      <c r="C1177" s="84"/>
      <c r="D1177" s="106"/>
      <c r="E1177" s="106"/>
      <c r="F1177" s="106"/>
      <c r="G1177" s="84"/>
      <c r="H1177" s="106"/>
      <c r="I1177" s="106"/>
      <c r="J1177" s="106"/>
      <c r="K1177" s="106"/>
      <c r="L1177" s="106"/>
      <c r="M1177" s="104"/>
      <c r="N1177" s="106"/>
      <c r="O1177" s="428"/>
      <c r="P1177" s="106"/>
      <c r="Q1177" s="84"/>
      <c r="R1177" s="84"/>
      <c r="S1177" s="428"/>
      <c r="T1177" s="428"/>
      <c r="U1177" s="428"/>
      <c r="V1177" s="428"/>
      <c r="W1177" s="428"/>
      <c r="X1177" s="428"/>
      <c r="Y1177" s="428"/>
    </row>
    <row r="1178" ht="13.5" customHeight="1">
      <c r="A1178" s="84"/>
      <c r="B1178" s="84"/>
      <c r="C1178" s="84"/>
      <c r="D1178" s="106"/>
      <c r="E1178" s="106"/>
      <c r="F1178" s="106"/>
      <c r="G1178" s="84"/>
      <c r="H1178" s="106"/>
      <c r="I1178" s="106"/>
      <c r="J1178" s="106"/>
      <c r="K1178" s="106"/>
      <c r="L1178" s="106"/>
      <c r="M1178" s="104"/>
      <c r="N1178" s="106"/>
      <c r="O1178" s="428"/>
      <c r="P1178" s="106"/>
      <c r="Q1178" s="84"/>
      <c r="R1178" s="84"/>
      <c r="S1178" s="428"/>
      <c r="T1178" s="428"/>
      <c r="U1178" s="428"/>
      <c r="V1178" s="428"/>
      <c r="W1178" s="428"/>
      <c r="X1178" s="428"/>
      <c r="Y1178" s="428"/>
    </row>
    <row r="1179" ht="13.5" customHeight="1">
      <c r="A1179" s="84"/>
      <c r="B1179" s="84"/>
      <c r="C1179" s="84"/>
      <c r="D1179" s="106"/>
      <c r="E1179" s="106"/>
      <c r="F1179" s="106"/>
      <c r="G1179" s="84"/>
      <c r="H1179" s="106"/>
      <c r="I1179" s="106"/>
      <c r="J1179" s="106"/>
      <c r="K1179" s="106"/>
      <c r="L1179" s="106"/>
      <c r="M1179" s="104"/>
      <c r="N1179" s="106"/>
      <c r="O1179" s="428"/>
      <c r="P1179" s="106"/>
      <c r="Q1179" s="84"/>
      <c r="R1179" s="84"/>
      <c r="S1179" s="428"/>
      <c r="T1179" s="428"/>
      <c r="U1179" s="428"/>
      <c r="V1179" s="428"/>
      <c r="W1179" s="428"/>
      <c r="X1179" s="428"/>
      <c r="Y1179" s="428"/>
    </row>
    <row r="1180" ht="13.5" customHeight="1">
      <c r="A1180" s="84"/>
      <c r="B1180" s="84"/>
      <c r="C1180" s="84"/>
      <c r="D1180" s="106"/>
      <c r="E1180" s="106"/>
      <c r="F1180" s="106"/>
      <c r="G1180" s="84"/>
      <c r="H1180" s="106"/>
      <c r="I1180" s="106"/>
      <c r="J1180" s="106"/>
      <c r="K1180" s="106"/>
      <c r="L1180" s="106"/>
      <c r="M1180" s="104"/>
      <c r="N1180" s="106"/>
      <c r="O1180" s="428"/>
      <c r="P1180" s="106"/>
      <c r="Q1180" s="84"/>
      <c r="R1180" s="84"/>
      <c r="S1180" s="428"/>
      <c r="T1180" s="428"/>
      <c r="U1180" s="428"/>
      <c r="V1180" s="428"/>
      <c r="W1180" s="428"/>
      <c r="X1180" s="428"/>
      <c r="Y1180" s="428"/>
    </row>
    <row r="1181" ht="13.5" customHeight="1">
      <c r="A1181" s="84"/>
      <c r="B1181" s="84"/>
      <c r="C1181" s="84"/>
      <c r="D1181" s="106"/>
      <c r="E1181" s="106"/>
      <c r="F1181" s="106"/>
      <c r="G1181" s="84"/>
      <c r="H1181" s="106"/>
      <c r="I1181" s="106"/>
      <c r="J1181" s="106"/>
      <c r="K1181" s="106"/>
      <c r="L1181" s="106"/>
      <c r="M1181" s="104"/>
      <c r="N1181" s="106"/>
      <c r="O1181" s="428"/>
      <c r="P1181" s="106"/>
      <c r="Q1181" s="84"/>
      <c r="R1181" s="84"/>
      <c r="S1181" s="428"/>
      <c r="T1181" s="428"/>
      <c r="U1181" s="428"/>
      <c r="V1181" s="428"/>
      <c r="W1181" s="428"/>
      <c r="X1181" s="428"/>
      <c r="Y1181" s="428"/>
    </row>
    <row r="1182" ht="13.5" customHeight="1">
      <c r="A1182" s="84"/>
      <c r="B1182" s="84"/>
      <c r="C1182" s="84"/>
      <c r="D1182" s="106"/>
      <c r="E1182" s="106"/>
      <c r="F1182" s="106"/>
      <c r="G1182" s="84"/>
      <c r="H1182" s="106"/>
      <c r="I1182" s="106"/>
      <c r="J1182" s="106"/>
      <c r="K1182" s="106"/>
      <c r="L1182" s="106"/>
      <c r="M1182" s="104"/>
      <c r="N1182" s="106"/>
      <c r="O1182" s="428"/>
      <c r="P1182" s="106"/>
      <c r="Q1182" s="84"/>
      <c r="R1182" s="84"/>
      <c r="S1182" s="428"/>
      <c r="T1182" s="428"/>
      <c r="U1182" s="428"/>
      <c r="V1182" s="428"/>
      <c r="W1182" s="428"/>
      <c r="X1182" s="428"/>
      <c r="Y1182" s="428"/>
    </row>
    <row r="1183" ht="13.5" customHeight="1">
      <c r="A1183" s="84"/>
      <c r="B1183" s="84"/>
      <c r="C1183" s="84"/>
      <c r="D1183" s="106"/>
      <c r="E1183" s="106"/>
      <c r="F1183" s="106"/>
      <c r="G1183" s="84"/>
      <c r="H1183" s="106"/>
      <c r="I1183" s="106"/>
      <c r="J1183" s="106"/>
      <c r="K1183" s="106"/>
      <c r="L1183" s="106"/>
      <c r="M1183" s="104"/>
      <c r="N1183" s="106"/>
      <c r="O1183" s="428"/>
      <c r="P1183" s="106"/>
      <c r="Q1183" s="84"/>
      <c r="R1183" s="84"/>
      <c r="S1183" s="428"/>
      <c r="T1183" s="428"/>
      <c r="U1183" s="428"/>
      <c r="V1183" s="428"/>
      <c r="W1183" s="428"/>
      <c r="X1183" s="428"/>
      <c r="Y1183" s="428"/>
    </row>
    <row r="1184" ht="13.5" customHeight="1">
      <c r="A1184" s="84"/>
      <c r="B1184" s="84"/>
      <c r="C1184" s="84"/>
      <c r="D1184" s="106"/>
      <c r="E1184" s="106"/>
      <c r="F1184" s="106"/>
      <c r="G1184" s="84"/>
      <c r="H1184" s="106"/>
      <c r="I1184" s="106"/>
      <c r="J1184" s="106"/>
      <c r="K1184" s="106"/>
      <c r="L1184" s="106"/>
      <c r="M1184" s="104"/>
      <c r="N1184" s="106"/>
      <c r="O1184" s="428"/>
      <c r="P1184" s="106"/>
      <c r="Q1184" s="84"/>
      <c r="R1184" s="84"/>
      <c r="S1184" s="428"/>
      <c r="T1184" s="428"/>
      <c r="U1184" s="428"/>
      <c r="V1184" s="428"/>
      <c r="W1184" s="428"/>
      <c r="X1184" s="428"/>
      <c r="Y1184" s="428"/>
    </row>
    <row r="1185" ht="13.5" customHeight="1">
      <c r="A1185" s="84"/>
      <c r="B1185" s="84"/>
      <c r="C1185" s="84"/>
      <c r="D1185" s="106"/>
      <c r="E1185" s="106"/>
      <c r="F1185" s="106"/>
      <c r="G1185" s="84"/>
      <c r="H1185" s="106"/>
      <c r="I1185" s="106"/>
      <c r="J1185" s="106"/>
      <c r="K1185" s="106"/>
      <c r="L1185" s="106"/>
      <c r="M1185" s="104"/>
      <c r="N1185" s="106"/>
      <c r="O1185" s="428"/>
      <c r="P1185" s="106"/>
      <c r="Q1185" s="84"/>
      <c r="R1185" s="84"/>
      <c r="S1185" s="428"/>
      <c r="T1185" s="428"/>
      <c r="U1185" s="428"/>
      <c r="V1185" s="428"/>
      <c r="W1185" s="428"/>
      <c r="X1185" s="428"/>
      <c r="Y1185" s="428"/>
    </row>
    <row r="1186" ht="13.5" customHeight="1">
      <c r="A1186" s="84"/>
      <c r="B1186" s="84"/>
      <c r="C1186" s="84"/>
      <c r="D1186" s="106"/>
      <c r="E1186" s="106"/>
      <c r="F1186" s="106"/>
      <c r="G1186" s="84"/>
      <c r="H1186" s="106"/>
      <c r="I1186" s="106"/>
      <c r="J1186" s="106"/>
      <c r="K1186" s="106"/>
      <c r="L1186" s="106"/>
      <c r="M1186" s="104"/>
      <c r="N1186" s="106"/>
      <c r="O1186" s="428"/>
      <c r="P1186" s="106"/>
      <c r="Q1186" s="84"/>
      <c r="R1186" s="84"/>
      <c r="S1186" s="428"/>
      <c r="T1186" s="428"/>
      <c r="U1186" s="428"/>
      <c r="V1186" s="428"/>
      <c r="W1186" s="428"/>
      <c r="X1186" s="428"/>
      <c r="Y1186" s="428"/>
    </row>
    <row r="1187" ht="13.5" customHeight="1">
      <c r="A1187" s="84"/>
      <c r="B1187" s="84"/>
      <c r="C1187" s="84"/>
      <c r="D1187" s="106"/>
      <c r="E1187" s="106"/>
      <c r="F1187" s="106"/>
      <c r="G1187" s="84"/>
      <c r="H1187" s="106"/>
      <c r="I1187" s="106"/>
      <c r="J1187" s="106"/>
      <c r="K1187" s="106"/>
      <c r="L1187" s="106"/>
      <c r="M1187" s="104"/>
      <c r="N1187" s="106"/>
      <c r="O1187" s="428"/>
      <c r="P1187" s="106"/>
      <c r="Q1187" s="84"/>
      <c r="R1187" s="84"/>
      <c r="S1187" s="428"/>
      <c r="T1187" s="428"/>
      <c r="U1187" s="428"/>
      <c r="V1187" s="428"/>
      <c r="W1187" s="428"/>
      <c r="X1187" s="428"/>
      <c r="Y1187" s="428"/>
    </row>
    <row r="1188" ht="13.5" customHeight="1">
      <c r="A1188" s="84"/>
      <c r="B1188" s="84"/>
      <c r="C1188" s="84"/>
      <c r="D1188" s="106"/>
      <c r="E1188" s="106"/>
      <c r="F1188" s="106"/>
      <c r="G1188" s="84"/>
      <c r="H1188" s="106"/>
      <c r="I1188" s="106"/>
      <c r="J1188" s="106"/>
      <c r="K1188" s="106"/>
      <c r="L1188" s="106"/>
      <c r="M1188" s="104"/>
      <c r="N1188" s="106"/>
      <c r="O1188" s="428"/>
      <c r="P1188" s="106"/>
      <c r="Q1188" s="84"/>
      <c r="R1188" s="84"/>
      <c r="S1188" s="428"/>
      <c r="T1188" s="428"/>
      <c r="U1188" s="428"/>
      <c r="V1188" s="428"/>
      <c r="W1188" s="428"/>
      <c r="X1188" s="428"/>
      <c r="Y1188" s="428"/>
    </row>
    <row r="1189" ht="13.5" customHeight="1">
      <c r="A1189" s="84"/>
      <c r="B1189" s="84"/>
      <c r="C1189" s="84"/>
      <c r="D1189" s="106"/>
      <c r="E1189" s="106"/>
      <c r="F1189" s="106"/>
      <c r="G1189" s="84"/>
      <c r="H1189" s="106"/>
      <c r="I1189" s="106"/>
      <c r="J1189" s="106"/>
      <c r="K1189" s="106"/>
      <c r="L1189" s="106"/>
      <c r="M1189" s="104"/>
      <c r="N1189" s="106"/>
      <c r="O1189" s="428"/>
      <c r="P1189" s="106"/>
      <c r="Q1189" s="84"/>
      <c r="R1189" s="84"/>
      <c r="S1189" s="428"/>
      <c r="T1189" s="428"/>
      <c r="U1189" s="428"/>
      <c r="V1189" s="428"/>
      <c r="W1189" s="428"/>
      <c r="X1189" s="428"/>
      <c r="Y1189" s="428"/>
    </row>
    <row r="1190" ht="13.5" customHeight="1">
      <c r="A1190" s="84"/>
      <c r="B1190" s="84"/>
      <c r="C1190" s="84"/>
      <c r="D1190" s="106"/>
      <c r="E1190" s="106"/>
      <c r="F1190" s="106"/>
      <c r="G1190" s="84"/>
      <c r="H1190" s="106"/>
      <c r="I1190" s="106"/>
      <c r="J1190" s="106"/>
      <c r="K1190" s="106"/>
      <c r="L1190" s="106"/>
      <c r="M1190" s="104"/>
      <c r="N1190" s="106"/>
      <c r="O1190" s="428"/>
      <c r="P1190" s="106"/>
      <c r="Q1190" s="84"/>
      <c r="R1190" s="84"/>
      <c r="S1190" s="428"/>
      <c r="T1190" s="428"/>
      <c r="U1190" s="428"/>
      <c r="V1190" s="428"/>
      <c r="W1190" s="428"/>
      <c r="X1190" s="428"/>
      <c r="Y1190" s="428"/>
    </row>
    <row r="1191" ht="13.5" customHeight="1">
      <c r="A1191" s="84"/>
      <c r="B1191" s="84"/>
      <c r="C1191" s="84"/>
      <c r="D1191" s="106"/>
      <c r="E1191" s="106"/>
      <c r="F1191" s="106"/>
      <c r="G1191" s="84"/>
      <c r="H1191" s="106"/>
      <c r="I1191" s="106"/>
      <c r="J1191" s="106"/>
      <c r="K1191" s="106"/>
      <c r="L1191" s="106"/>
      <c r="M1191" s="104"/>
      <c r="N1191" s="106"/>
      <c r="O1191" s="428"/>
      <c r="P1191" s="106"/>
      <c r="Q1191" s="84"/>
      <c r="R1191" s="84"/>
      <c r="S1191" s="428"/>
      <c r="T1191" s="428"/>
      <c r="U1191" s="428"/>
      <c r="V1191" s="428"/>
      <c r="W1191" s="428"/>
      <c r="X1191" s="428"/>
      <c r="Y1191" s="428"/>
    </row>
    <row r="1192" ht="13.5" customHeight="1">
      <c r="A1192" s="84"/>
      <c r="B1192" s="84"/>
      <c r="C1192" s="84"/>
      <c r="D1192" s="106"/>
      <c r="E1192" s="106"/>
      <c r="F1192" s="106"/>
      <c r="G1192" s="84"/>
      <c r="H1192" s="106"/>
      <c r="I1192" s="106"/>
      <c r="J1192" s="106"/>
      <c r="K1192" s="106"/>
      <c r="L1192" s="106"/>
      <c r="M1192" s="104"/>
      <c r="N1192" s="106"/>
      <c r="O1192" s="428"/>
      <c r="P1192" s="106"/>
      <c r="Q1192" s="84"/>
      <c r="R1192" s="84"/>
      <c r="S1192" s="428"/>
      <c r="T1192" s="428"/>
      <c r="U1192" s="428"/>
      <c r="V1192" s="428"/>
      <c r="W1192" s="428"/>
      <c r="X1192" s="428"/>
      <c r="Y1192" s="428"/>
    </row>
    <row r="1193" ht="13.5" customHeight="1">
      <c r="A1193" s="84"/>
      <c r="B1193" s="84"/>
      <c r="C1193" s="84"/>
      <c r="D1193" s="106"/>
      <c r="E1193" s="106"/>
      <c r="F1193" s="106"/>
      <c r="G1193" s="84"/>
      <c r="H1193" s="106"/>
      <c r="I1193" s="106"/>
      <c r="J1193" s="106"/>
      <c r="K1193" s="106"/>
      <c r="L1193" s="106"/>
      <c r="M1193" s="104"/>
      <c r="N1193" s="106"/>
      <c r="O1193" s="428"/>
      <c r="P1193" s="106"/>
      <c r="Q1193" s="84"/>
      <c r="R1193" s="84"/>
      <c r="S1193" s="428"/>
      <c r="T1193" s="428"/>
      <c r="U1193" s="428"/>
      <c r="V1193" s="428"/>
      <c r="W1193" s="428"/>
      <c r="X1193" s="428"/>
      <c r="Y1193" s="428"/>
    </row>
    <row r="1194" ht="13.5" customHeight="1">
      <c r="A1194" s="84"/>
      <c r="B1194" s="84"/>
      <c r="C1194" s="84"/>
      <c r="D1194" s="106"/>
      <c r="E1194" s="106"/>
      <c r="F1194" s="106"/>
      <c r="G1194" s="84"/>
      <c r="H1194" s="106"/>
      <c r="I1194" s="106"/>
      <c r="J1194" s="106"/>
      <c r="K1194" s="106"/>
      <c r="L1194" s="106"/>
      <c r="M1194" s="104"/>
      <c r="N1194" s="106"/>
      <c r="O1194" s="428"/>
      <c r="P1194" s="106"/>
      <c r="Q1194" s="84"/>
      <c r="R1194" s="84"/>
      <c r="S1194" s="428"/>
      <c r="T1194" s="428"/>
      <c r="U1194" s="428"/>
      <c r="V1194" s="428"/>
      <c r="W1194" s="428"/>
      <c r="X1194" s="428"/>
      <c r="Y1194" s="428"/>
    </row>
    <row r="1195" ht="13.5" customHeight="1">
      <c r="A1195" s="84"/>
      <c r="B1195" s="84"/>
      <c r="C1195" s="84"/>
      <c r="D1195" s="106"/>
      <c r="E1195" s="106"/>
      <c r="F1195" s="106"/>
      <c r="G1195" s="84"/>
      <c r="H1195" s="106"/>
      <c r="I1195" s="106"/>
      <c r="J1195" s="106"/>
      <c r="K1195" s="106"/>
      <c r="L1195" s="106"/>
      <c r="M1195" s="104"/>
      <c r="N1195" s="106"/>
      <c r="O1195" s="428"/>
      <c r="P1195" s="106"/>
      <c r="Q1195" s="84"/>
      <c r="R1195" s="84"/>
      <c r="S1195" s="428"/>
      <c r="T1195" s="428"/>
      <c r="U1195" s="428"/>
      <c r="V1195" s="428"/>
      <c r="W1195" s="428"/>
      <c r="X1195" s="428"/>
      <c r="Y1195" s="428"/>
    </row>
    <row r="1196" ht="13.5" customHeight="1">
      <c r="A1196" s="84"/>
      <c r="B1196" s="84"/>
      <c r="C1196" s="84"/>
      <c r="D1196" s="106"/>
      <c r="E1196" s="106"/>
      <c r="F1196" s="106"/>
      <c r="G1196" s="84"/>
      <c r="H1196" s="106"/>
      <c r="I1196" s="106"/>
      <c r="J1196" s="106"/>
      <c r="K1196" s="106"/>
      <c r="L1196" s="106"/>
      <c r="M1196" s="104"/>
      <c r="N1196" s="106"/>
      <c r="O1196" s="428"/>
      <c r="P1196" s="106"/>
      <c r="Q1196" s="84"/>
      <c r="R1196" s="84"/>
      <c r="S1196" s="428"/>
      <c r="T1196" s="428"/>
      <c r="U1196" s="428"/>
      <c r="V1196" s="428"/>
      <c r="W1196" s="428"/>
      <c r="X1196" s="428"/>
      <c r="Y1196" s="428"/>
    </row>
    <row r="1197" ht="13.5" customHeight="1">
      <c r="A1197" s="84"/>
      <c r="B1197" s="84"/>
      <c r="C1197" s="84"/>
      <c r="D1197" s="106"/>
      <c r="E1197" s="106"/>
      <c r="F1197" s="106"/>
      <c r="G1197" s="84"/>
      <c r="H1197" s="106"/>
      <c r="I1197" s="106"/>
      <c r="J1197" s="106"/>
      <c r="K1197" s="106"/>
      <c r="L1197" s="106"/>
      <c r="M1197" s="104"/>
      <c r="N1197" s="106"/>
      <c r="O1197" s="428"/>
      <c r="P1197" s="106"/>
      <c r="Q1197" s="84"/>
      <c r="R1197" s="84"/>
      <c r="S1197" s="428"/>
      <c r="T1197" s="428"/>
      <c r="U1197" s="428"/>
      <c r="V1197" s="428"/>
      <c r="W1197" s="428"/>
      <c r="X1197" s="428"/>
      <c r="Y1197" s="428"/>
    </row>
    <row r="1198" ht="13.5" customHeight="1">
      <c r="A1198" s="84"/>
      <c r="B1198" s="84"/>
      <c r="C1198" s="84"/>
      <c r="D1198" s="106"/>
      <c r="E1198" s="106"/>
      <c r="F1198" s="106"/>
      <c r="G1198" s="84"/>
      <c r="H1198" s="106"/>
      <c r="I1198" s="106"/>
      <c r="J1198" s="106"/>
      <c r="K1198" s="106"/>
      <c r="L1198" s="106"/>
      <c r="M1198" s="104"/>
      <c r="N1198" s="106"/>
      <c r="O1198" s="428"/>
      <c r="P1198" s="106"/>
      <c r="Q1198" s="84"/>
      <c r="R1198" s="84"/>
      <c r="S1198" s="428"/>
      <c r="T1198" s="428"/>
      <c r="U1198" s="428"/>
      <c r="V1198" s="428"/>
      <c r="W1198" s="428"/>
      <c r="X1198" s="428"/>
      <c r="Y1198" s="428"/>
    </row>
    <row r="1199" ht="13.5" customHeight="1">
      <c r="A1199" s="84"/>
      <c r="B1199" s="84"/>
      <c r="C1199" s="84"/>
      <c r="D1199" s="106"/>
      <c r="E1199" s="106"/>
      <c r="F1199" s="106"/>
      <c r="G1199" s="84"/>
      <c r="H1199" s="106"/>
      <c r="I1199" s="106"/>
      <c r="J1199" s="106"/>
      <c r="K1199" s="106"/>
      <c r="L1199" s="106"/>
      <c r="M1199" s="104"/>
      <c r="N1199" s="106"/>
      <c r="O1199" s="428"/>
      <c r="P1199" s="106"/>
      <c r="Q1199" s="84"/>
      <c r="R1199" s="84"/>
      <c r="S1199" s="428"/>
      <c r="T1199" s="428"/>
      <c r="U1199" s="428"/>
      <c r="V1199" s="428"/>
      <c r="W1199" s="428"/>
      <c r="X1199" s="428"/>
      <c r="Y1199" s="428"/>
    </row>
    <row r="1200" ht="13.5" customHeight="1">
      <c r="A1200" s="84"/>
      <c r="B1200" s="84"/>
      <c r="C1200" s="84"/>
      <c r="D1200" s="106"/>
      <c r="E1200" s="106"/>
      <c r="F1200" s="106"/>
      <c r="G1200" s="84"/>
      <c r="H1200" s="106"/>
      <c r="I1200" s="106"/>
      <c r="J1200" s="106"/>
      <c r="K1200" s="106"/>
      <c r="L1200" s="106"/>
      <c r="M1200" s="104"/>
      <c r="N1200" s="106"/>
      <c r="O1200" s="428"/>
      <c r="P1200" s="106"/>
      <c r="Q1200" s="84"/>
      <c r="R1200" s="84"/>
      <c r="S1200" s="428"/>
      <c r="T1200" s="428"/>
      <c r="U1200" s="428"/>
      <c r="V1200" s="428"/>
      <c r="W1200" s="428"/>
      <c r="X1200" s="428"/>
      <c r="Y1200" s="428"/>
    </row>
    <row r="1201" ht="13.5" customHeight="1">
      <c r="A1201" s="84"/>
      <c r="B1201" s="84"/>
      <c r="C1201" s="84"/>
      <c r="D1201" s="106"/>
      <c r="E1201" s="106"/>
      <c r="F1201" s="106"/>
      <c r="G1201" s="84"/>
      <c r="H1201" s="106"/>
      <c r="I1201" s="106"/>
      <c r="J1201" s="106"/>
      <c r="K1201" s="106"/>
      <c r="L1201" s="106"/>
      <c r="M1201" s="104"/>
      <c r="N1201" s="106"/>
      <c r="O1201" s="428"/>
      <c r="P1201" s="106"/>
      <c r="Q1201" s="84"/>
      <c r="R1201" s="84"/>
      <c r="S1201" s="428"/>
      <c r="T1201" s="428"/>
      <c r="U1201" s="428"/>
      <c r="V1201" s="428"/>
      <c r="W1201" s="428"/>
      <c r="X1201" s="428"/>
      <c r="Y1201" s="428"/>
    </row>
    <row r="1202" ht="13.5" customHeight="1">
      <c r="A1202" s="84"/>
      <c r="B1202" s="84"/>
      <c r="C1202" s="84"/>
      <c r="D1202" s="106"/>
      <c r="E1202" s="106"/>
      <c r="F1202" s="106"/>
      <c r="G1202" s="84"/>
      <c r="H1202" s="106"/>
      <c r="I1202" s="106"/>
      <c r="J1202" s="106"/>
      <c r="K1202" s="106"/>
      <c r="L1202" s="106"/>
      <c r="M1202" s="104"/>
      <c r="N1202" s="106"/>
      <c r="O1202" s="428"/>
      <c r="P1202" s="106"/>
      <c r="Q1202" s="84"/>
      <c r="R1202" s="84"/>
      <c r="S1202" s="428"/>
      <c r="T1202" s="428"/>
      <c r="U1202" s="428"/>
      <c r="V1202" s="428"/>
      <c r="W1202" s="428"/>
      <c r="X1202" s="428"/>
      <c r="Y1202" s="428"/>
    </row>
    <row r="1203" ht="13.5" customHeight="1">
      <c r="A1203" s="84"/>
      <c r="B1203" s="84"/>
      <c r="C1203" s="84"/>
      <c r="D1203" s="106"/>
      <c r="E1203" s="106"/>
      <c r="F1203" s="106"/>
      <c r="G1203" s="84"/>
      <c r="H1203" s="106"/>
      <c r="I1203" s="106"/>
      <c r="J1203" s="106"/>
      <c r="K1203" s="106"/>
      <c r="L1203" s="106"/>
      <c r="M1203" s="104"/>
      <c r="N1203" s="106"/>
      <c r="O1203" s="428"/>
      <c r="P1203" s="106"/>
      <c r="Q1203" s="84"/>
      <c r="R1203" s="84"/>
      <c r="S1203" s="428"/>
      <c r="T1203" s="428"/>
      <c r="U1203" s="428"/>
      <c r="V1203" s="428"/>
      <c r="W1203" s="428"/>
      <c r="X1203" s="428"/>
      <c r="Y1203" s="428"/>
    </row>
    <row r="1204" ht="13.5" customHeight="1">
      <c r="A1204" s="84"/>
      <c r="B1204" s="84"/>
      <c r="C1204" s="84"/>
      <c r="D1204" s="106"/>
      <c r="E1204" s="106"/>
      <c r="F1204" s="106"/>
      <c r="G1204" s="84"/>
      <c r="H1204" s="106"/>
      <c r="I1204" s="106"/>
      <c r="J1204" s="106"/>
      <c r="K1204" s="106"/>
      <c r="L1204" s="106"/>
      <c r="M1204" s="104"/>
      <c r="N1204" s="106"/>
      <c r="O1204" s="428"/>
      <c r="P1204" s="106"/>
      <c r="Q1204" s="84"/>
      <c r="R1204" s="84"/>
      <c r="S1204" s="428"/>
      <c r="T1204" s="428"/>
      <c r="U1204" s="428"/>
      <c r="V1204" s="428"/>
      <c r="W1204" s="428"/>
      <c r="X1204" s="428"/>
      <c r="Y1204" s="428"/>
    </row>
    <row r="1205" ht="13.5" customHeight="1">
      <c r="A1205" s="84"/>
      <c r="B1205" s="84"/>
      <c r="C1205" s="84"/>
      <c r="D1205" s="106"/>
      <c r="E1205" s="106"/>
      <c r="F1205" s="106"/>
      <c r="G1205" s="84"/>
      <c r="H1205" s="106"/>
      <c r="I1205" s="106"/>
      <c r="J1205" s="106"/>
      <c r="K1205" s="106"/>
      <c r="L1205" s="106"/>
      <c r="M1205" s="104"/>
      <c r="N1205" s="106"/>
      <c r="O1205" s="428"/>
      <c r="P1205" s="106"/>
      <c r="Q1205" s="84"/>
      <c r="R1205" s="84"/>
      <c r="S1205" s="428"/>
      <c r="T1205" s="428"/>
      <c r="U1205" s="428"/>
      <c r="V1205" s="428"/>
      <c r="W1205" s="428"/>
      <c r="X1205" s="428"/>
      <c r="Y1205" s="428"/>
    </row>
    <row r="1206" ht="13.5" customHeight="1">
      <c r="A1206" s="84"/>
      <c r="B1206" s="84"/>
      <c r="C1206" s="84"/>
      <c r="D1206" s="106"/>
      <c r="E1206" s="106"/>
      <c r="F1206" s="106"/>
      <c r="G1206" s="84"/>
      <c r="H1206" s="106"/>
      <c r="I1206" s="106"/>
      <c r="J1206" s="106"/>
      <c r="K1206" s="106"/>
      <c r="L1206" s="106"/>
      <c r="M1206" s="104"/>
      <c r="N1206" s="106"/>
      <c r="O1206" s="428"/>
      <c r="P1206" s="106"/>
      <c r="Q1206" s="84"/>
      <c r="R1206" s="84"/>
      <c r="S1206" s="428"/>
      <c r="T1206" s="428"/>
      <c r="U1206" s="428"/>
      <c r="V1206" s="428"/>
      <c r="W1206" s="428"/>
      <c r="X1206" s="428"/>
      <c r="Y1206" s="428"/>
    </row>
    <row r="1207" ht="13.5" customHeight="1">
      <c r="A1207" s="84"/>
      <c r="B1207" s="84"/>
      <c r="C1207" s="84"/>
      <c r="D1207" s="106"/>
      <c r="E1207" s="106"/>
      <c r="F1207" s="106"/>
      <c r="G1207" s="84"/>
      <c r="H1207" s="106"/>
      <c r="I1207" s="106"/>
      <c r="J1207" s="106"/>
      <c r="K1207" s="106"/>
      <c r="L1207" s="106"/>
      <c r="M1207" s="104"/>
      <c r="N1207" s="106"/>
      <c r="O1207" s="428"/>
      <c r="P1207" s="106"/>
      <c r="Q1207" s="84"/>
      <c r="R1207" s="84"/>
      <c r="S1207" s="428"/>
      <c r="T1207" s="428"/>
      <c r="U1207" s="428"/>
      <c r="V1207" s="428"/>
      <c r="W1207" s="428"/>
      <c r="X1207" s="428"/>
      <c r="Y1207" s="428"/>
    </row>
    <row r="1208" ht="13.5" customHeight="1">
      <c r="A1208" s="84"/>
      <c r="B1208" s="84"/>
      <c r="C1208" s="84"/>
      <c r="D1208" s="106"/>
      <c r="E1208" s="106"/>
      <c r="F1208" s="106"/>
      <c r="G1208" s="84"/>
      <c r="H1208" s="106"/>
      <c r="I1208" s="106"/>
      <c r="J1208" s="106"/>
      <c r="K1208" s="106"/>
      <c r="L1208" s="106"/>
      <c r="M1208" s="104"/>
      <c r="N1208" s="106"/>
      <c r="O1208" s="428"/>
      <c r="P1208" s="106"/>
      <c r="Q1208" s="84"/>
      <c r="R1208" s="84"/>
      <c r="S1208" s="428"/>
      <c r="T1208" s="428"/>
      <c r="U1208" s="428"/>
      <c r="V1208" s="428"/>
      <c r="W1208" s="428"/>
      <c r="X1208" s="428"/>
      <c r="Y1208" s="428"/>
    </row>
    <row r="1209" ht="13.5" customHeight="1">
      <c r="A1209" s="84"/>
      <c r="B1209" s="84"/>
      <c r="C1209" s="84"/>
      <c r="D1209" s="106"/>
      <c r="E1209" s="106"/>
      <c r="F1209" s="106"/>
      <c r="G1209" s="84"/>
      <c r="H1209" s="106"/>
      <c r="I1209" s="106"/>
      <c r="J1209" s="106"/>
      <c r="K1209" s="106"/>
      <c r="L1209" s="106"/>
      <c r="M1209" s="104"/>
      <c r="N1209" s="106"/>
      <c r="O1209" s="428"/>
      <c r="P1209" s="106"/>
      <c r="Q1209" s="84"/>
      <c r="R1209" s="84"/>
      <c r="S1209" s="428"/>
      <c r="T1209" s="428"/>
      <c r="U1209" s="428"/>
      <c r="V1209" s="428"/>
      <c r="W1209" s="428"/>
      <c r="X1209" s="428"/>
      <c r="Y1209" s="428"/>
    </row>
    <row r="1210" ht="13.5" customHeight="1">
      <c r="A1210" s="84"/>
      <c r="B1210" s="84"/>
      <c r="C1210" s="84"/>
      <c r="D1210" s="106"/>
      <c r="E1210" s="106"/>
      <c r="F1210" s="106"/>
      <c r="G1210" s="84"/>
      <c r="H1210" s="106"/>
      <c r="I1210" s="106"/>
      <c r="J1210" s="106"/>
      <c r="K1210" s="106"/>
      <c r="L1210" s="106"/>
      <c r="M1210" s="104"/>
      <c r="N1210" s="106"/>
      <c r="O1210" s="428"/>
      <c r="P1210" s="106"/>
      <c r="Q1210" s="84"/>
      <c r="R1210" s="84"/>
      <c r="S1210" s="428"/>
      <c r="T1210" s="428"/>
      <c r="U1210" s="428"/>
      <c r="V1210" s="428"/>
      <c r="W1210" s="428"/>
      <c r="X1210" s="428"/>
      <c r="Y1210" s="428"/>
    </row>
    <row r="1211" ht="13.5" customHeight="1">
      <c r="A1211" s="84"/>
      <c r="B1211" s="84"/>
      <c r="C1211" s="84"/>
      <c r="D1211" s="106"/>
      <c r="E1211" s="106"/>
      <c r="F1211" s="106"/>
      <c r="G1211" s="84"/>
      <c r="H1211" s="106"/>
      <c r="I1211" s="106"/>
      <c r="J1211" s="106"/>
      <c r="K1211" s="106"/>
      <c r="L1211" s="106"/>
      <c r="M1211" s="104"/>
      <c r="N1211" s="106"/>
      <c r="O1211" s="428"/>
      <c r="P1211" s="106"/>
      <c r="Q1211" s="84"/>
      <c r="R1211" s="84"/>
      <c r="S1211" s="428"/>
      <c r="T1211" s="428"/>
      <c r="U1211" s="428"/>
      <c r="V1211" s="428"/>
      <c r="W1211" s="428"/>
      <c r="X1211" s="428"/>
      <c r="Y1211" s="428"/>
    </row>
    <row r="1212" ht="13.5" customHeight="1">
      <c r="A1212" s="84"/>
      <c r="B1212" s="84"/>
      <c r="C1212" s="84"/>
      <c r="D1212" s="106"/>
      <c r="E1212" s="106"/>
      <c r="F1212" s="106"/>
      <c r="G1212" s="84"/>
      <c r="H1212" s="106"/>
      <c r="I1212" s="106"/>
      <c r="J1212" s="106"/>
      <c r="K1212" s="106"/>
      <c r="L1212" s="106"/>
      <c r="M1212" s="104"/>
      <c r="N1212" s="106"/>
      <c r="O1212" s="428"/>
      <c r="P1212" s="106"/>
      <c r="Q1212" s="84"/>
      <c r="R1212" s="84"/>
      <c r="S1212" s="428"/>
      <c r="T1212" s="428"/>
      <c r="U1212" s="428"/>
      <c r="V1212" s="428"/>
      <c r="W1212" s="428"/>
      <c r="X1212" s="428"/>
      <c r="Y1212" s="428"/>
    </row>
    <row r="1213" ht="13.5" customHeight="1">
      <c r="A1213" s="84"/>
      <c r="B1213" s="84"/>
      <c r="C1213" s="84"/>
      <c r="D1213" s="106"/>
      <c r="E1213" s="106"/>
      <c r="F1213" s="106"/>
      <c r="G1213" s="84"/>
      <c r="H1213" s="106"/>
      <c r="I1213" s="106"/>
      <c r="J1213" s="106"/>
      <c r="K1213" s="106"/>
      <c r="L1213" s="106"/>
      <c r="M1213" s="104"/>
      <c r="N1213" s="106"/>
      <c r="O1213" s="428"/>
      <c r="P1213" s="106"/>
      <c r="Q1213" s="84"/>
      <c r="R1213" s="84"/>
      <c r="S1213" s="428"/>
      <c r="T1213" s="428"/>
      <c r="U1213" s="428"/>
      <c r="V1213" s="428"/>
      <c r="W1213" s="428"/>
      <c r="X1213" s="428"/>
      <c r="Y1213" s="428"/>
    </row>
    <row r="1214" ht="13.5" customHeight="1">
      <c r="A1214" s="84"/>
      <c r="B1214" s="84"/>
      <c r="C1214" s="84"/>
      <c r="D1214" s="106"/>
      <c r="E1214" s="106"/>
      <c r="F1214" s="106"/>
      <c r="G1214" s="84"/>
      <c r="H1214" s="106"/>
      <c r="I1214" s="106"/>
      <c r="J1214" s="106"/>
      <c r="K1214" s="106"/>
      <c r="L1214" s="106"/>
      <c r="M1214" s="104"/>
      <c r="N1214" s="106"/>
      <c r="O1214" s="428"/>
      <c r="P1214" s="106"/>
      <c r="Q1214" s="84"/>
      <c r="R1214" s="84"/>
      <c r="S1214" s="428"/>
      <c r="T1214" s="428"/>
      <c r="U1214" s="428"/>
      <c r="V1214" s="428"/>
      <c r="W1214" s="428"/>
      <c r="X1214" s="428"/>
      <c r="Y1214" s="428"/>
    </row>
    <row r="1215" ht="13.5" customHeight="1">
      <c r="A1215" s="84"/>
      <c r="B1215" s="84"/>
      <c r="C1215" s="84"/>
      <c r="D1215" s="106"/>
      <c r="E1215" s="106"/>
      <c r="F1215" s="106"/>
      <c r="G1215" s="84"/>
      <c r="H1215" s="106"/>
      <c r="I1215" s="106"/>
      <c r="J1215" s="106"/>
      <c r="K1215" s="106"/>
      <c r="L1215" s="106"/>
      <c r="M1215" s="104"/>
      <c r="N1215" s="106"/>
      <c r="O1215" s="428"/>
      <c r="P1215" s="106"/>
      <c r="Q1215" s="84"/>
      <c r="R1215" s="84"/>
      <c r="S1215" s="428"/>
      <c r="T1215" s="428"/>
      <c r="U1215" s="428"/>
      <c r="V1215" s="428"/>
      <c r="W1215" s="428"/>
      <c r="X1215" s="428"/>
      <c r="Y1215" s="428"/>
    </row>
    <row r="1216" ht="13.5" customHeight="1">
      <c r="A1216" s="84"/>
      <c r="B1216" s="84"/>
      <c r="C1216" s="84"/>
      <c r="D1216" s="106"/>
      <c r="E1216" s="106"/>
      <c r="F1216" s="106"/>
      <c r="G1216" s="84"/>
      <c r="H1216" s="106"/>
      <c r="I1216" s="106"/>
      <c r="J1216" s="106"/>
      <c r="K1216" s="106"/>
      <c r="L1216" s="106"/>
      <c r="M1216" s="104"/>
      <c r="N1216" s="106"/>
      <c r="O1216" s="428"/>
      <c r="P1216" s="106"/>
      <c r="Q1216" s="84"/>
      <c r="R1216" s="84"/>
      <c r="S1216" s="428"/>
      <c r="T1216" s="428"/>
      <c r="U1216" s="428"/>
      <c r="V1216" s="428"/>
      <c r="W1216" s="428"/>
      <c r="X1216" s="428"/>
      <c r="Y1216" s="428"/>
    </row>
    <row r="1217" ht="13.5" customHeight="1">
      <c r="A1217" s="84"/>
      <c r="B1217" s="84"/>
      <c r="C1217" s="84"/>
      <c r="D1217" s="106"/>
      <c r="E1217" s="106"/>
      <c r="F1217" s="106"/>
      <c r="G1217" s="84"/>
      <c r="H1217" s="106"/>
      <c r="I1217" s="106"/>
      <c r="J1217" s="106"/>
      <c r="K1217" s="106"/>
      <c r="L1217" s="106"/>
      <c r="M1217" s="104"/>
      <c r="N1217" s="106"/>
      <c r="O1217" s="428"/>
      <c r="P1217" s="106"/>
      <c r="Q1217" s="84"/>
      <c r="R1217" s="84"/>
      <c r="S1217" s="428"/>
      <c r="T1217" s="428"/>
      <c r="U1217" s="428"/>
      <c r="V1217" s="428"/>
      <c r="W1217" s="428"/>
      <c r="X1217" s="428"/>
      <c r="Y1217" s="428"/>
    </row>
    <row r="1218" ht="13.5" customHeight="1">
      <c r="A1218" s="84"/>
      <c r="B1218" s="84"/>
      <c r="C1218" s="84"/>
      <c r="D1218" s="106"/>
      <c r="E1218" s="106"/>
      <c r="F1218" s="106"/>
      <c r="G1218" s="84"/>
      <c r="H1218" s="106"/>
      <c r="I1218" s="106"/>
      <c r="J1218" s="106"/>
      <c r="K1218" s="106"/>
      <c r="L1218" s="106"/>
      <c r="M1218" s="104"/>
      <c r="N1218" s="106"/>
      <c r="O1218" s="428"/>
      <c r="P1218" s="106"/>
      <c r="Q1218" s="84"/>
      <c r="R1218" s="84"/>
      <c r="S1218" s="428"/>
      <c r="T1218" s="428"/>
      <c r="U1218" s="428"/>
      <c r="V1218" s="428"/>
      <c r="W1218" s="428"/>
      <c r="X1218" s="428"/>
      <c r="Y1218" s="428"/>
    </row>
    <row r="1219" ht="13.5" customHeight="1">
      <c r="A1219" s="84"/>
      <c r="B1219" s="84"/>
      <c r="C1219" s="84"/>
      <c r="D1219" s="106"/>
      <c r="E1219" s="106"/>
      <c r="F1219" s="106"/>
      <c r="G1219" s="84"/>
      <c r="H1219" s="106"/>
      <c r="I1219" s="106"/>
      <c r="J1219" s="106"/>
      <c r="K1219" s="106"/>
      <c r="L1219" s="106"/>
      <c r="M1219" s="104"/>
      <c r="N1219" s="106"/>
      <c r="O1219" s="428"/>
      <c r="P1219" s="106"/>
      <c r="Q1219" s="84"/>
      <c r="R1219" s="84"/>
      <c r="S1219" s="428"/>
      <c r="T1219" s="428"/>
      <c r="U1219" s="428"/>
      <c r="V1219" s="428"/>
      <c r="W1219" s="428"/>
      <c r="X1219" s="428"/>
      <c r="Y1219" s="428"/>
    </row>
    <row r="1220" ht="13.5" customHeight="1">
      <c r="A1220" s="84"/>
      <c r="B1220" s="84"/>
      <c r="C1220" s="84"/>
      <c r="D1220" s="106"/>
      <c r="E1220" s="106"/>
      <c r="F1220" s="106"/>
      <c r="G1220" s="84"/>
      <c r="H1220" s="106"/>
      <c r="I1220" s="106"/>
      <c r="J1220" s="106"/>
      <c r="K1220" s="106"/>
      <c r="L1220" s="106"/>
      <c r="M1220" s="104"/>
      <c r="N1220" s="106"/>
      <c r="O1220" s="428"/>
      <c r="P1220" s="106"/>
      <c r="Q1220" s="84"/>
      <c r="R1220" s="84"/>
      <c r="S1220" s="428"/>
      <c r="T1220" s="428"/>
      <c r="U1220" s="428"/>
      <c r="V1220" s="428"/>
      <c r="W1220" s="428"/>
      <c r="X1220" s="428"/>
      <c r="Y1220" s="428"/>
    </row>
    <row r="1221" ht="13.5" customHeight="1">
      <c r="A1221" s="84"/>
      <c r="B1221" s="84"/>
      <c r="C1221" s="84"/>
      <c r="D1221" s="106"/>
      <c r="E1221" s="106"/>
      <c r="F1221" s="106"/>
      <c r="G1221" s="84"/>
      <c r="H1221" s="106"/>
      <c r="I1221" s="106"/>
      <c r="J1221" s="106"/>
      <c r="K1221" s="106"/>
      <c r="L1221" s="106"/>
      <c r="M1221" s="104"/>
      <c r="N1221" s="106"/>
      <c r="O1221" s="428"/>
      <c r="P1221" s="106"/>
      <c r="Q1221" s="84"/>
      <c r="R1221" s="84"/>
      <c r="S1221" s="428"/>
      <c r="T1221" s="428"/>
      <c r="U1221" s="428"/>
      <c r="V1221" s="428"/>
      <c r="W1221" s="428"/>
      <c r="X1221" s="428"/>
      <c r="Y1221" s="428"/>
    </row>
    <row r="1222" ht="13.5" customHeight="1">
      <c r="A1222" s="84"/>
      <c r="B1222" s="84"/>
      <c r="C1222" s="84"/>
      <c r="D1222" s="106"/>
      <c r="E1222" s="106"/>
      <c r="F1222" s="106"/>
      <c r="G1222" s="84"/>
      <c r="H1222" s="106"/>
      <c r="I1222" s="106"/>
      <c r="J1222" s="106"/>
      <c r="K1222" s="106"/>
      <c r="L1222" s="106"/>
      <c r="M1222" s="104"/>
      <c r="N1222" s="106"/>
      <c r="O1222" s="428"/>
      <c r="P1222" s="106"/>
      <c r="Q1222" s="84"/>
      <c r="R1222" s="84"/>
      <c r="S1222" s="428"/>
      <c r="T1222" s="428"/>
      <c r="U1222" s="428"/>
      <c r="V1222" s="428"/>
      <c r="W1222" s="428"/>
      <c r="X1222" s="428"/>
      <c r="Y1222" s="428"/>
    </row>
    <row r="1223" ht="13.5" customHeight="1">
      <c r="A1223" s="84"/>
      <c r="B1223" s="84"/>
      <c r="C1223" s="84"/>
      <c r="D1223" s="106"/>
      <c r="E1223" s="106"/>
      <c r="F1223" s="106"/>
      <c r="G1223" s="84"/>
      <c r="H1223" s="106"/>
      <c r="I1223" s="106"/>
      <c r="J1223" s="106"/>
      <c r="K1223" s="106"/>
      <c r="L1223" s="106"/>
      <c r="M1223" s="104"/>
      <c r="N1223" s="106"/>
      <c r="O1223" s="428"/>
      <c r="P1223" s="106"/>
      <c r="Q1223" s="84"/>
      <c r="R1223" s="84"/>
      <c r="S1223" s="428"/>
      <c r="T1223" s="428"/>
      <c r="U1223" s="428"/>
      <c r="V1223" s="428"/>
      <c r="W1223" s="428"/>
      <c r="X1223" s="428"/>
      <c r="Y1223" s="428"/>
    </row>
    <row r="1224" ht="13.5" customHeight="1">
      <c r="A1224" s="84"/>
      <c r="B1224" s="84"/>
      <c r="C1224" s="84"/>
      <c r="D1224" s="106"/>
      <c r="E1224" s="106"/>
      <c r="F1224" s="106"/>
      <c r="G1224" s="84"/>
      <c r="H1224" s="106"/>
      <c r="I1224" s="106"/>
      <c r="J1224" s="106"/>
      <c r="K1224" s="106"/>
      <c r="L1224" s="106"/>
      <c r="M1224" s="104"/>
      <c r="N1224" s="106"/>
      <c r="O1224" s="428"/>
      <c r="P1224" s="106"/>
      <c r="Q1224" s="84"/>
      <c r="R1224" s="84"/>
      <c r="S1224" s="428"/>
      <c r="T1224" s="428"/>
      <c r="U1224" s="428"/>
      <c r="V1224" s="428"/>
      <c r="W1224" s="428"/>
      <c r="X1224" s="428"/>
      <c r="Y1224" s="428"/>
    </row>
    <row r="1225" ht="13.5" customHeight="1">
      <c r="A1225" s="84"/>
      <c r="B1225" s="84"/>
      <c r="C1225" s="84"/>
      <c r="D1225" s="106"/>
      <c r="E1225" s="106"/>
      <c r="F1225" s="106"/>
      <c r="G1225" s="84"/>
      <c r="H1225" s="106"/>
      <c r="I1225" s="106"/>
      <c r="J1225" s="106"/>
      <c r="K1225" s="106"/>
      <c r="L1225" s="106"/>
      <c r="M1225" s="104"/>
      <c r="N1225" s="106"/>
      <c r="O1225" s="428"/>
      <c r="P1225" s="106"/>
      <c r="Q1225" s="84"/>
      <c r="R1225" s="84"/>
      <c r="S1225" s="428"/>
      <c r="T1225" s="428"/>
      <c r="U1225" s="428"/>
      <c r="V1225" s="428"/>
      <c r="W1225" s="428"/>
      <c r="X1225" s="428"/>
      <c r="Y1225" s="428"/>
    </row>
    <row r="1226" ht="13.5" customHeight="1">
      <c r="A1226" s="84"/>
      <c r="B1226" s="84"/>
      <c r="C1226" s="84"/>
      <c r="D1226" s="106"/>
      <c r="E1226" s="106"/>
      <c r="F1226" s="106"/>
      <c r="G1226" s="84"/>
      <c r="H1226" s="106"/>
      <c r="I1226" s="106"/>
      <c r="J1226" s="106"/>
      <c r="K1226" s="106"/>
      <c r="L1226" s="106"/>
      <c r="M1226" s="104"/>
      <c r="N1226" s="106"/>
      <c r="O1226" s="428"/>
      <c r="P1226" s="106"/>
      <c r="Q1226" s="84"/>
      <c r="R1226" s="84"/>
      <c r="S1226" s="428"/>
      <c r="T1226" s="428"/>
      <c r="U1226" s="428"/>
      <c r="V1226" s="428"/>
      <c r="W1226" s="428"/>
      <c r="X1226" s="428"/>
      <c r="Y1226" s="428"/>
    </row>
    <row r="1227" ht="13.5" customHeight="1">
      <c r="A1227" s="84"/>
      <c r="B1227" s="84"/>
      <c r="C1227" s="84"/>
      <c r="D1227" s="106"/>
      <c r="E1227" s="106"/>
      <c r="F1227" s="106"/>
      <c r="G1227" s="84"/>
      <c r="H1227" s="106"/>
      <c r="I1227" s="106"/>
      <c r="J1227" s="106"/>
      <c r="K1227" s="106"/>
      <c r="L1227" s="106"/>
      <c r="M1227" s="104"/>
      <c r="N1227" s="106"/>
      <c r="O1227" s="428"/>
      <c r="P1227" s="106"/>
      <c r="Q1227" s="84"/>
      <c r="R1227" s="84"/>
      <c r="S1227" s="428"/>
      <c r="T1227" s="428"/>
      <c r="U1227" s="428"/>
      <c r="V1227" s="428"/>
      <c r="W1227" s="428"/>
      <c r="X1227" s="428"/>
      <c r="Y1227" s="428"/>
    </row>
    <row r="1228" ht="13.5" customHeight="1">
      <c r="A1228" s="84"/>
      <c r="B1228" s="84"/>
      <c r="C1228" s="84"/>
      <c r="D1228" s="106"/>
      <c r="E1228" s="106"/>
      <c r="F1228" s="106"/>
      <c r="G1228" s="84"/>
      <c r="H1228" s="106"/>
      <c r="I1228" s="106"/>
      <c r="J1228" s="106"/>
      <c r="K1228" s="106"/>
      <c r="L1228" s="106"/>
      <c r="M1228" s="104"/>
      <c r="N1228" s="106"/>
      <c r="O1228" s="428"/>
      <c r="P1228" s="106"/>
      <c r="Q1228" s="84"/>
      <c r="R1228" s="84"/>
      <c r="S1228" s="428"/>
      <c r="T1228" s="428"/>
      <c r="U1228" s="428"/>
      <c r="V1228" s="428"/>
      <c r="W1228" s="428"/>
      <c r="X1228" s="428"/>
      <c r="Y1228" s="428"/>
    </row>
    <row r="1229" ht="13.5" customHeight="1">
      <c r="A1229" s="84"/>
      <c r="B1229" s="84"/>
      <c r="C1229" s="84"/>
      <c r="D1229" s="106"/>
      <c r="E1229" s="106"/>
      <c r="F1229" s="106"/>
      <c r="G1229" s="84"/>
      <c r="H1229" s="106"/>
      <c r="I1229" s="106"/>
      <c r="J1229" s="106"/>
      <c r="K1229" s="106"/>
      <c r="L1229" s="106"/>
      <c r="M1229" s="104"/>
      <c r="N1229" s="106"/>
      <c r="O1229" s="428"/>
      <c r="P1229" s="106"/>
      <c r="Q1229" s="84"/>
      <c r="R1229" s="84"/>
      <c r="S1229" s="428"/>
      <c r="T1229" s="428"/>
      <c r="U1229" s="428"/>
      <c r="V1229" s="428"/>
      <c r="W1229" s="428"/>
      <c r="X1229" s="428"/>
      <c r="Y1229" s="428"/>
    </row>
    <row r="1230" ht="13.5" customHeight="1">
      <c r="A1230" s="84"/>
      <c r="B1230" s="84"/>
      <c r="C1230" s="84"/>
      <c r="D1230" s="106"/>
      <c r="E1230" s="106"/>
      <c r="F1230" s="106"/>
      <c r="G1230" s="84"/>
      <c r="H1230" s="106"/>
      <c r="I1230" s="106"/>
      <c r="J1230" s="106"/>
      <c r="K1230" s="106"/>
      <c r="L1230" s="106"/>
      <c r="M1230" s="104"/>
      <c r="N1230" s="106"/>
      <c r="O1230" s="428"/>
      <c r="P1230" s="106"/>
      <c r="Q1230" s="84"/>
      <c r="R1230" s="84"/>
      <c r="S1230" s="428"/>
      <c r="T1230" s="428"/>
      <c r="U1230" s="428"/>
      <c r="V1230" s="428"/>
      <c r="W1230" s="428"/>
      <c r="X1230" s="428"/>
      <c r="Y1230" s="428"/>
    </row>
    <row r="1231" ht="13.5" customHeight="1">
      <c r="A1231" s="84"/>
      <c r="B1231" s="84"/>
      <c r="C1231" s="84"/>
      <c r="D1231" s="106"/>
      <c r="E1231" s="106"/>
      <c r="F1231" s="106"/>
      <c r="G1231" s="84"/>
      <c r="H1231" s="106"/>
      <c r="I1231" s="106"/>
      <c r="J1231" s="106"/>
      <c r="K1231" s="106"/>
      <c r="L1231" s="106"/>
      <c r="M1231" s="104"/>
      <c r="N1231" s="106"/>
      <c r="O1231" s="428"/>
      <c r="P1231" s="106"/>
      <c r="Q1231" s="84"/>
      <c r="R1231" s="84"/>
      <c r="S1231" s="428"/>
      <c r="T1231" s="428"/>
      <c r="U1231" s="428"/>
      <c r="V1231" s="428"/>
      <c r="W1231" s="428"/>
      <c r="X1231" s="428"/>
      <c r="Y1231" s="428"/>
    </row>
    <row r="1232" ht="13.5" customHeight="1">
      <c r="A1232" s="84"/>
      <c r="B1232" s="84"/>
      <c r="C1232" s="84"/>
      <c r="D1232" s="106"/>
      <c r="E1232" s="106"/>
      <c r="F1232" s="106"/>
      <c r="G1232" s="84"/>
      <c r="H1232" s="106"/>
      <c r="I1232" s="106"/>
      <c r="J1232" s="106"/>
      <c r="K1232" s="106"/>
      <c r="L1232" s="106"/>
      <c r="M1232" s="104"/>
      <c r="N1232" s="106"/>
      <c r="O1232" s="428"/>
      <c r="P1232" s="106"/>
      <c r="Q1232" s="84"/>
      <c r="R1232" s="84"/>
      <c r="S1232" s="428"/>
      <c r="T1232" s="428"/>
      <c r="U1232" s="428"/>
      <c r="V1232" s="428"/>
      <c r="W1232" s="428"/>
      <c r="X1232" s="428"/>
      <c r="Y1232" s="428"/>
    </row>
    <row r="1233" ht="13.5" customHeight="1">
      <c r="A1233" s="84"/>
      <c r="B1233" s="84"/>
      <c r="C1233" s="84"/>
      <c r="D1233" s="106"/>
      <c r="E1233" s="106"/>
      <c r="F1233" s="106"/>
      <c r="G1233" s="84"/>
      <c r="H1233" s="106"/>
      <c r="I1233" s="106"/>
      <c r="J1233" s="106"/>
      <c r="K1233" s="106"/>
      <c r="L1233" s="106"/>
      <c r="M1233" s="104"/>
      <c r="N1233" s="106"/>
      <c r="O1233" s="428"/>
      <c r="P1233" s="106"/>
      <c r="Q1233" s="84"/>
      <c r="R1233" s="84"/>
      <c r="S1233" s="428"/>
      <c r="T1233" s="428"/>
      <c r="U1233" s="428"/>
      <c r="V1233" s="428"/>
      <c r="W1233" s="428"/>
      <c r="X1233" s="428"/>
      <c r="Y1233" s="428"/>
    </row>
    <row r="1234" ht="13.5" customHeight="1">
      <c r="A1234" s="84"/>
      <c r="B1234" s="84"/>
      <c r="C1234" s="84"/>
      <c r="D1234" s="106"/>
      <c r="E1234" s="106"/>
      <c r="F1234" s="106"/>
      <c r="G1234" s="84"/>
      <c r="H1234" s="106"/>
      <c r="I1234" s="106"/>
      <c r="J1234" s="106"/>
      <c r="K1234" s="106"/>
      <c r="L1234" s="106"/>
      <c r="M1234" s="104"/>
      <c r="N1234" s="106"/>
      <c r="O1234" s="428"/>
      <c r="P1234" s="106"/>
      <c r="Q1234" s="84"/>
      <c r="R1234" s="84"/>
      <c r="S1234" s="428"/>
      <c r="T1234" s="428"/>
      <c r="U1234" s="428"/>
      <c r="V1234" s="428"/>
      <c r="W1234" s="428"/>
      <c r="X1234" s="428"/>
      <c r="Y1234" s="428"/>
    </row>
    <row r="1235" ht="13.5" customHeight="1">
      <c r="A1235" s="84"/>
      <c r="B1235" s="84"/>
      <c r="C1235" s="84"/>
      <c r="D1235" s="106"/>
      <c r="E1235" s="106"/>
      <c r="F1235" s="106"/>
      <c r="G1235" s="84"/>
      <c r="H1235" s="106"/>
      <c r="I1235" s="106"/>
      <c r="J1235" s="106"/>
      <c r="K1235" s="106"/>
      <c r="L1235" s="106"/>
      <c r="M1235" s="104"/>
      <c r="N1235" s="106"/>
      <c r="O1235" s="428"/>
      <c r="P1235" s="106"/>
      <c r="Q1235" s="84"/>
      <c r="R1235" s="84"/>
      <c r="S1235" s="428"/>
      <c r="T1235" s="428"/>
      <c r="U1235" s="428"/>
      <c r="V1235" s="428"/>
      <c r="W1235" s="428"/>
      <c r="X1235" s="428"/>
      <c r="Y1235" s="428"/>
    </row>
    <row r="1236" ht="13.5" customHeight="1">
      <c r="A1236" s="84"/>
      <c r="B1236" s="84"/>
      <c r="C1236" s="84"/>
      <c r="D1236" s="106"/>
      <c r="E1236" s="106"/>
      <c r="F1236" s="106"/>
      <c r="G1236" s="84"/>
      <c r="H1236" s="106"/>
      <c r="I1236" s="106"/>
      <c r="J1236" s="106"/>
      <c r="K1236" s="106"/>
      <c r="L1236" s="106"/>
      <c r="M1236" s="104"/>
      <c r="N1236" s="106"/>
      <c r="O1236" s="428"/>
      <c r="P1236" s="106"/>
      <c r="Q1236" s="84"/>
      <c r="R1236" s="84"/>
      <c r="S1236" s="428"/>
      <c r="T1236" s="428"/>
      <c r="U1236" s="428"/>
      <c r="V1236" s="428"/>
      <c r="W1236" s="428"/>
      <c r="X1236" s="428"/>
      <c r="Y1236" s="428"/>
    </row>
    <row r="1237" ht="13.5" customHeight="1">
      <c r="A1237" s="84"/>
      <c r="B1237" s="84"/>
      <c r="C1237" s="84"/>
      <c r="D1237" s="106"/>
      <c r="E1237" s="106"/>
      <c r="F1237" s="106"/>
      <c r="G1237" s="84"/>
      <c r="H1237" s="106"/>
      <c r="I1237" s="106"/>
      <c r="J1237" s="106"/>
      <c r="K1237" s="106"/>
      <c r="L1237" s="106"/>
      <c r="M1237" s="104"/>
      <c r="N1237" s="106"/>
      <c r="O1237" s="428"/>
      <c r="P1237" s="106"/>
      <c r="Q1237" s="84"/>
      <c r="R1237" s="84"/>
      <c r="S1237" s="428"/>
      <c r="T1237" s="428"/>
      <c r="U1237" s="428"/>
      <c r="V1237" s="428"/>
      <c r="W1237" s="428"/>
      <c r="X1237" s="428"/>
      <c r="Y1237" s="428"/>
    </row>
    <row r="1238" ht="13.5" customHeight="1">
      <c r="A1238" s="84"/>
      <c r="B1238" s="84"/>
      <c r="C1238" s="84"/>
      <c r="D1238" s="106"/>
      <c r="E1238" s="106"/>
      <c r="F1238" s="106"/>
      <c r="G1238" s="84"/>
      <c r="H1238" s="106"/>
      <c r="I1238" s="106"/>
      <c r="J1238" s="106"/>
      <c r="K1238" s="106"/>
      <c r="L1238" s="106"/>
      <c r="M1238" s="104"/>
      <c r="N1238" s="106"/>
      <c r="O1238" s="428"/>
      <c r="P1238" s="106"/>
      <c r="Q1238" s="84"/>
      <c r="R1238" s="84"/>
      <c r="S1238" s="428"/>
      <c r="T1238" s="428"/>
      <c r="U1238" s="428"/>
      <c r="V1238" s="428"/>
      <c r="W1238" s="428"/>
      <c r="X1238" s="428"/>
      <c r="Y1238" s="428"/>
    </row>
    <row r="1239" ht="13.5" customHeight="1">
      <c r="A1239" s="84"/>
      <c r="B1239" s="84"/>
      <c r="C1239" s="84"/>
      <c r="D1239" s="106"/>
      <c r="E1239" s="106"/>
      <c r="F1239" s="106"/>
      <c r="G1239" s="84"/>
      <c r="H1239" s="106"/>
      <c r="I1239" s="106"/>
      <c r="J1239" s="106"/>
      <c r="K1239" s="106"/>
      <c r="L1239" s="106"/>
      <c r="M1239" s="104"/>
      <c r="N1239" s="106"/>
      <c r="O1239" s="428"/>
      <c r="P1239" s="106"/>
      <c r="Q1239" s="84"/>
      <c r="R1239" s="84"/>
      <c r="S1239" s="428"/>
      <c r="T1239" s="428"/>
      <c r="U1239" s="428"/>
      <c r="V1239" s="428"/>
      <c r="W1239" s="428"/>
      <c r="X1239" s="428"/>
      <c r="Y1239" s="428"/>
    </row>
    <row r="1240" ht="13.5" customHeight="1">
      <c r="A1240" s="84"/>
      <c r="B1240" s="84"/>
      <c r="C1240" s="84"/>
      <c r="D1240" s="106"/>
      <c r="E1240" s="106"/>
      <c r="F1240" s="106"/>
      <c r="G1240" s="84"/>
      <c r="H1240" s="106"/>
      <c r="I1240" s="106"/>
      <c r="J1240" s="106"/>
      <c r="K1240" s="106"/>
      <c r="L1240" s="106"/>
      <c r="M1240" s="104"/>
      <c r="N1240" s="106"/>
      <c r="O1240" s="428"/>
      <c r="P1240" s="106"/>
      <c r="Q1240" s="84"/>
      <c r="R1240" s="84"/>
      <c r="S1240" s="428"/>
      <c r="T1240" s="428"/>
      <c r="U1240" s="428"/>
      <c r="V1240" s="428"/>
      <c r="W1240" s="428"/>
      <c r="X1240" s="428"/>
      <c r="Y1240" s="428"/>
    </row>
    <row r="1241" ht="13.5" customHeight="1">
      <c r="A1241" s="84"/>
      <c r="B1241" s="84"/>
      <c r="C1241" s="84"/>
      <c r="D1241" s="106"/>
      <c r="E1241" s="106"/>
      <c r="F1241" s="106"/>
      <c r="G1241" s="84"/>
      <c r="H1241" s="106"/>
      <c r="I1241" s="106"/>
      <c r="J1241" s="106"/>
      <c r="K1241" s="106"/>
      <c r="L1241" s="106"/>
      <c r="M1241" s="104"/>
      <c r="N1241" s="106"/>
      <c r="O1241" s="428"/>
      <c r="P1241" s="106"/>
      <c r="Q1241" s="84"/>
      <c r="R1241" s="84"/>
      <c r="S1241" s="428"/>
      <c r="T1241" s="428"/>
      <c r="U1241" s="428"/>
      <c r="V1241" s="428"/>
      <c r="W1241" s="428"/>
      <c r="X1241" s="428"/>
      <c r="Y1241" s="428"/>
    </row>
    <row r="1242" ht="13.5" customHeight="1">
      <c r="A1242" s="84"/>
      <c r="B1242" s="84"/>
      <c r="C1242" s="84"/>
      <c r="D1242" s="106"/>
      <c r="E1242" s="106"/>
      <c r="F1242" s="106"/>
      <c r="G1242" s="84"/>
      <c r="H1242" s="106"/>
      <c r="I1242" s="106"/>
      <c r="J1242" s="106"/>
      <c r="K1242" s="106"/>
      <c r="L1242" s="106"/>
      <c r="M1242" s="104"/>
      <c r="N1242" s="106"/>
      <c r="O1242" s="428"/>
      <c r="P1242" s="106"/>
      <c r="Q1242" s="84"/>
      <c r="R1242" s="84"/>
      <c r="S1242" s="428"/>
      <c r="T1242" s="428"/>
      <c r="U1242" s="428"/>
      <c r="V1242" s="428"/>
      <c r="W1242" s="428"/>
      <c r="X1242" s="428"/>
      <c r="Y1242" s="428"/>
    </row>
    <row r="1243" ht="13.5" customHeight="1">
      <c r="A1243" s="84"/>
      <c r="B1243" s="84"/>
      <c r="C1243" s="84"/>
      <c r="D1243" s="106"/>
      <c r="E1243" s="106"/>
      <c r="F1243" s="106"/>
      <c r="G1243" s="84"/>
      <c r="H1243" s="106"/>
      <c r="I1243" s="106"/>
      <c r="J1243" s="106"/>
      <c r="K1243" s="106"/>
      <c r="L1243" s="106"/>
      <c r="M1243" s="104"/>
      <c r="N1243" s="106"/>
      <c r="O1243" s="428"/>
      <c r="P1243" s="106"/>
      <c r="Q1243" s="84"/>
      <c r="R1243" s="84"/>
      <c r="S1243" s="428"/>
      <c r="T1243" s="428"/>
      <c r="U1243" s="428"/>
      <c r="V1243" s="428"/>
      <c r="W1243" s="428"/>
      <c r="X1243" s="428"/>
      <c r="Y1243" s="428"/>
    </row>
    <row r="1244" ht="13.5" customHeight="1">
      <c r="A1244" s="84"/>
      <c r="B1244" s="84"/>
      <c r="C1244" s="84"/>
      <c r="D1244" s="106"/>
      <c r="E1244" s="106"/>
      <c r="F1244" s="106"/>
      <c r="G1244" s="84"/>
      <c r="H1244" s="106"/>
      <c r="I1244" s="106"/>
      <c r="J1244" s="106"/>
      <c r="K1244" s="106"/>
      <c r="L1244" s="106"/>
      <c r="M1244" s="104"/>
      <c r="N1244" s="106"/>
      <c r="O1244" s="428"/>
      <c r="P1244" s="106"/>
      <c r="Q1244" s="84"/>
      <c r="R1244" s="84"/>
      <c r="S1244" s="428"/>
      <c r="T1244" s="428"/>
      <c r="U1244" s="428"/>
      <c r="V1244" s="428"/>
      <c r="W1244" s="428"/>
      <c r="X1244" s="428"/>
      <c r="Y1244" s="428"/>
    </row>
    <row r="1245" ht="13.5" customHeight="1">
      <c r="A1245" s="84"/>
      <c r="B1245" s="84"/>
      <c r="C1245" s="84"/>
      <c r="D1245" s="106"/>
      <c r="E1245" s="106"/>
      <c r="F1245" s="106"/>
      <c r="G1245" s="84"/>
      <c r="H1245" s="106"/>
      <c r="I1245" s="106"/>
      <c r="J1245" s="106"/>
      <c r="K1245" s="106"/>
      <c r="L1245" s="106"/>
      <c r="M1245" s="104"/>
      <c r="N1245" s="106"/>
      <c r="O1245" s="428"/>
      <c r="P1245" s="106"/>
      <c r="Q1245" s="84"/>
      <c r="R1245" s="84"/>
      <c r="S1245" s="428"/>
      <c r="T1245" s="428"/>
      <c r="U1245" s="428"/>
      <c r="V1245" s="428"/>
      <c r="W1245" s="428"/>
      <c r="X1245" s="428"/>
      <c r="Y1245" s="428"/>
    </row>
    <row r="1246" ht="13.5" customHeight="1">
      <c r="A1246" s="84"/>
      <c r="B1246" s="84"/>
      <c r="C1246" s="84"/>
      <c r="D1246" s="106"/>
      <c r="E1246" s="106"/>
      <c r="F1246" s="106"/>
      <c r="G1246" s="84"/>
      <c r="H1246" s="106"/>
      <c r="I1246" s="106"/>
      <c r="J1246" s="106"/>
      <c r="K1246" s="106"/>
      <c r="L1246" s="106"/>
      <c r="M1246" s="104"/>
      <c r="N1246" s="106"/>
      <c r="O1246" s="428"/>
      <c r="P1246" s="106"/>
      <c r="Q1246" s="84"/>
      <c r="R1246" s="84"/>
      <c r="S1246" s="428"/>
      <c r="T1246" s="428"/>
      <c r="U1246" s="428"/>
      <c r="V1246" s="428"/>
      <c r="W1246" s="428"/>
      <c r="X1246" s="428"/>
      <c r="Y1246" s="428"/>
    </row>
    <row r="1247" ht="13.5" customHeight="1">
      <c r="A1247" s="84"/>
      <c r="B1247" s="84"/>
      <c r="C1247" s="84"/>
      <c r="D1247" s="106"/>
      <c r="E1247" s="106"/>
      <c r="F1247" s="106"/>
      <c r="G1247" s="84"/>
      <c r="H1247" s="106"/>
      <c r="I1247" s="106"/>
      <c r="J1247" s="106"/>
      <c r="K1247" s="106"/>
      <c r="L1247" s="106"/>
      <c r="M1247" s="104"/>
      <c r="N1247" s="106"/>
      <c r="O1247" s="428"/>
      <c r="P1247" s="106"/>
      <c r="Q1247" s="84"/>
      <c r="R1247" s="84"/>
      <c r="S1247" s="428"/>
      <c r="T1247" s="428"/>
      <c r="U1247" s="428"/>
      <c r="V1247" s="428"/>
      <c r="W1247" s="428"/>
      <c r="X1247" s="428"/>
      <c r="Y1247" s="428"/>
    </row>
    <row r="1248" ht="13.5" customHeight="1">
      <c r="A1248" s="84"/>
      <c r="B1248" s="84"/>
      <c r="C1248" s="84"/>
      <c r="D1248" s="106"/>
      <c r="E1248" s="106"/>
      <c r="F1248" s="106"/>
      <c r="G1248" s="84"/>
      <c r="H1248" s="106"/>
      <c r="I1248" s="106"/>
      <c r="J1248" s="106"/>
      <c r="K1248" s="106"/>
      <c r="L1248" s="106"/>
      <c r="M1248" s="104"/>
      <c r="N1248" s="106"/>
      <c r="O1248" s="428"/>
      <c r="P1248" s="106"/>
      <c r="Q1248" s="84"/>
      <c r="R1248" s="84"/>
      <c r="S1248" s="428"/>
      <c r="T1248" s="428"/>
      <c r="U1248" s="428"/>
      <c r="V1248" s="428"/>
      <c r="W1248" s="428"/>
      <c r="X1248" s="428"/>
      <c r="Y1248" s="428"/>
    </row>
    <row r="1249" ht="13.5" customHeight="1">
      <c r="A1249" s="84"/>
      <c r="B1249" s="84"/>
      <c r="C1249" s="84"/>
      <c r="D1249" s="106"/>
      <c r="E1249" s="106"/>
      <c r="F1249" s="106"/>
      <c r="G1249" s="84"/>
      <c r="H1249" s="106"/>
      <c r="I1249" s="106"/>
      <c r="J1249" s="106"/>
      <c r="K1249" s="106"/>
      <c r="L1249" s="106"/>
      <c r="M1249" s="104"/>
      <c r="N1249" s="106"/>
      <c r="O1249" s="428"/>
      <c r="P1249" s="106"/>
      <c r="Q1249" s="84"/>
      <c r="R1249" s="84"/>
      <c r="S1249" s="428"/>
      <c r="T1249" s="428"/>
      <c r="U1249" s="428"/>
      <c r="V1249" s="428"/>
      <c r="W1249" s="428"/>
      <c r="X1249" s="428"/>
      <c r="Y1249" s="428"/>
    </row>
    <row r="1250" ht="13.5" customHeight="1">
      <c r="A1250" s="84"/>
      <c r="B1250" s="84"/>
      <c r="C1250" s="84"/>
      <c r="D1250" s="106"/>
      <c r="E1250" s="106"/>
      <c r="F1250" s="106"/>
      <c r="G1250" s="84"/>
      <c r="H1250" s="106"/>
      <c r="I1250" s="106"/>
      <c r="J1250" s="106"/>
      <c r="K1250" s="106"/>
      <c r="L1250" s="106"/>
      <c r="M1250" s="104"/>
      <c r="N1250" s="106"/>
      <c r="O1250" s="428"/>
      <c r="P1250" s="106"/>
      <c r="Q1250" s="84"/>
      <c r="R1250" s="84"/>
      <c r="S1250" s="428"/>
      <c r="T1250" s="428"/>
      <c r="U1250" s="428"/>
      <c r="V1250" s="428"/>
      <c r="W1250" s="428"/>
      <c r="X1250" s="428"/>
      <c r="Y1250" s="428"/>
    </row>
    <row r="1251" ht="13.5" customHeight="1">
      <c r="A1251" s="84"/>
      <c r="B1251" s="84"/>
      <c r="C1251" s="84"/>
      <c r="D1251" s="106"/>
      <c r="E1251" s="106"/>
      <c r="F1251" s="106"/>
      <c r="G1251" s="84"/>
      <c r="H1251" s="106"/>
      <c r="I1251" s="106"/>
      <c r="J1251" s="106"/>
      <c r="K1251" s="106"/>
      <c r="L1251" s="106"/>
      <c r="M1251" s="104"/>
      <c r="N1251" s="106"/>
      <c r="O1251" s="428"/>
      <c r="P1251" s="106"/>
      <c r="Q1251" s="84"/>
      <c r="R1251" s="84"/>
      <c r="S1251" s="428"/>
      <c r="T1251" s="428"/>
      <c r="U1251" s="428"/>
      <c r="V1251" s="428"/>
      <c r="W1251" s="428"/>
      <c r="X1251" s="428"/>
      <c r="Y1251" s="428"/>
    </row>
    <row r="1252" ht="13.5" customHeight="1">
      <c r="A1252" s="84"/>
      <c r="B1252" s="84"/>
      <c r="C1252" s="84"/>
      <c r="D1252" s="106"/>
      <c r="E1252" s="106"/>
      <c r="F1252" s="106"/>
      <c r="G1252" s="84"/>
      <c r="H1252" s="106"/>
      <c r="I1252" s="106"/>
      <c r="J1252" s="106"/>
      <c r="K1252" s="106"/>
      <c r="L1252" s="106"/>
      <c r="M1252" s="104"/>
      <c r="N1252" s="106"/>
      <c r="O1252" s="428"/>
      <c r="P1252" s="106"/>
      <c r="Q1252" s="84"/>
      <c r="R1252" s="84"/>
      <c r="S1252" s="428"/>
      <c r="T1252" s="428"/>
      <c r="U1252" s="428"/>
      <c r="V1252" s="428"/>
      <c r="W1252" s="428"/>
      <c r="X1252" s="428"/>
      <c r="Y1252" s="428"/>
    </row>
    <row r="1253" ht="13.5" customHeight="1">
      <c r="A1253" s="84"/>
      <c r="B1253" s="84"/>
      <c r="C1253" s="84"/>
      <c r="D1253" s="106"/>
      <c r="E1253" s="106"/>
      <c r="F1253" s="106"/>
      <c r="G1253" s="84"/>
      <c r="H1253" s="106"/>
      <c r="I1253" s="106"/>
      <c r="J1253" s="106"/>
      <c r="K1253" s="106"/>
      <c r="L1253" s="106"/>
      <c r="M1253" s="104"/>
      <c r="N1253" s="106"/>
      <c r="O1253" s="428"/>
      <c r="P1253" s="106"/>
      <c r="Q1253" s="84"/>
      <c r="R1253" s="84"/>
      <c r="S1253" s="428"/>
      <c r="T1253" s="428"/>
      <c r="U1253" s="428"/>
      <c r="V1253" s="428"/>
      <c r="W1253" s="428"/>
      <c r="X1253" s="428"/>
      <c r="Y1253" s="428"/>
    </row>
    <row r="1254" ht="13.5" customHeight="1">
      <c r="A1254" s="84"/>
      <c r="B1254" s="84"/>
      <c r="C1254" s="84"/>
      <c r="D1254" s="106"/>
      <c r="E1254" s="106"/>
      <c r="F1254" s="106"/>
      <c r="G1254" s="84"/>
      <c r="H1254" s="106"/>
      <c r="I1254" s="106"/>
      <c r="J1254" s="106"/>
      <c r="K1254" s="106"/>
      <c r="L1254" s="106"/>
      <c r="M1254" s="104"/>
      <c r="N1254" s="106"/>
      <c r="O1254" s="428"/>
      <c r="P1254" s="106"/>
      <c r="Q1254" s="84"/>
      <c r="R1254" s="84"/>
      <c r="S1254" s="428"/>
      <c r="T1254" s="428"/>
      <c r="U1254" s="428"/>
      <c r="V1254" s="428"/>
      <c r="W1254" s="428"/>
      <c r="X1254" s="428"/>
      <c r="Y1254" s="428"/>
    </row>
    <row r="1255" ht="13.5" customHeight="1">
      <c r="A1255" s="84"/>
      <c r="B1255" s="84"/>
      <c r="C1255" s="84"/>
      <c r="D1255" s="106"/>
      <c r="E1255" s="106"/>
      <c r="F1255" s="106"/>
      <c r="G1255" s="84"/>
      <c r="H1255" s="106"/>
      <c r="I1255" s="106"/>
      <c r="J1255" s="106"/>
      <c r="K1255" s="106"/>
      <c r="L1255" s="106"/>
      <c r="M1255" s="104"/>
      <c r="N1255" s="106"/>
      <c r="O1255" s="428"/>
      <c r="P1255" s="106"/>
      <c r="Q1255" s="84"/>
      <c r="R1255" s="84"/>
      <c r="S1255" s="428"/>
      <c r="T1255" s="428"/>
      <c r="U1255" s="428"/>
      <c r="V1255" s="428"/>
      <c r="W1255" s="428"/>
      <c r="X1255" s="428"/>
      <c r="Y1255" s="428"/>
    </row>
    <row r="1256" ht="13.5" customHeight="1">
      <c r="A1256" s="84"/>
      <c r="B1256" s="84"/>
      <c r="C1256" s="84"/>
      <c r="D1256" s="106"/>
      <c r="E1256" s="106"/>
      <c r="F1256" s="106"/>
      <c r="G1256" s="84"/>
      <c r="H1256" s="106"/>
      <c r="I1256" s="106"/>
      <c r="J1256" s="106"/>
      <c r="K1256" s="106"/>
      <c r="L1256" s="106"/>
      <c r="M1256" s="104"/>
      <c r="N1256" s="106"/>
      <c r="O1256" s="428"/>
      <c r="P1256" s="106"/>
      <c r="Q1256" s="84"/>
      <c r="R1256" s="84"/>
      <c r="S1256" s="428"/>
      <c r="T1256" s="428"/>
      <c r="U1256" s="428"/>
      <c r="V1256" s="428"/>
      <c r="W1256" s="428"/>
      <c r="X1256" s="428"/>
      <c r="Y1256" s="428"/>
    </row>
    <row r="1257" ht="13.5" customHeight="1">
      <c r="A1257" s="84"/>
      <c r="B1257" s="84"/>
      <c r="C1257" s="84"/>
      <c r="D1257" s="106"/>
      <c r="E1257" s="106"/>
      <c r="F1257" s="106"/>
      <c r="G1257" s="84"/>
      <c r="H1257" s="106"/>
      <c r="I1257" s="106"/>
      <c r="J1257" s="106"/>
      <c r="K1257" s="106"/>
      <c r="L1257" s="106"/>
      <c r="M1257" s="104"/>
      <c r="N1257" s="106"/>
      <c r="O1257" s="428"/>
      <c r="P1257" s="106"/>
      <c r="Q1257" s="84"/>
      <c r="R1257" s="84"/>
      <c r="S1257" s="428"/>
      <c r="T1257" s="428"/>
      <c r="U1257" s="428"/>
      <c r="V1257" s="428"/>
      <c r="W1257" s="428"/>
      <c r="X1257" s="428"/>
      <c r="Y1257" s="428"/>
    </row>
    <row r="1258" ht="13.5" customHeight="1">
      <c r="A1258" s="84"/>
      <c r="B1258" s="84"/>
      <c r="C1258" s="84"/>
      <c r="D1258" s="106"/>
      <c r="E1258" s="106"/>
      <c r="F1258" s="106"/>
      <c r="G1258" s="84"/>
      <c r="H1258" s="106"/>
      <c r="I1258" s="106"/>
      <c r="J1258" s="106"/>
      <c r="K1258" s="106"/>
      <c r="L1258" s="106"/>
      <c r="M1258" s="104"/>
      <c r="N1258" s="106"/>
      <c r="O1258" s="428"/>
      <c r="P1258" s="106"/>
      <c r="Q1258" s="84"/>
      <c r="R1258" s="84"/>
      <c r="S1258" s="428"/>
      <c r="T1258" s="428"/>
      <c r="U1258" s="428"/>
      <c r="V1258" s="428"/>
      <c r="W1258" s="428"/>
      <c r="X1258" s="428"/>
      <c r="Y1258" s="428"/>
    </row>
    <row r="1259" ht="13.5" customHeight="1">
      <c r="A1259" s="84"/>
      <c r="B1259" s="84"/>
      <c r="C1259" s="84"/>
      <c r="D1259" s="106"/>
      <c r="E1259" s="106"/>
      <c r="F1259" s="106"/>
      <c r="G1259" s="84"/>
      <c r="H1259" s="106"/>
      <c r="I1259" s="106"/>
      <c r="J1259" s="106"/>
      <c r="K1259" s="106"/>
      <c r="L1259" s="106"/>
      <c r="M1259" s="104"/>
      <c r="N1259" s="106"/>
      <c r="O1259" s="428"/>
      <c r="P1259" s="106"/>
      <c r="Q1259" s="84"/>
      <c r="R1259" s="84"/>
      <c r="S1259" s="428"/>
      <c r="T1259" s="428"/>
      <c r="U1259" s="428"/>
      <c r="V1259" s="428"/>
      <c r="W1259" s="428"/>
      <c r="X1259" s="428"/>
      <c r="Y1259" s="428"/>
    </row>
    <row r="1260" ht="13.5" customHeight="1">
      <c r="A1260" s="84"/>
      <c r="B1260" s="84"/>
      <c r="C1260" s="84"/>
      <c r="D1260" s="106"/>
      <c r="E1260" s="106"/>
      <c r="F1260" s="106"/>
      <c r="G1260" s="84"/>
      <c r="H1260" s="106"/>
      <c r="I1260" s="106"/>
      <c r="J1260" s="106"/>
      <c r="K1260" s="106"/>
      <c r="L1260" s="106"/>
      <c r="M1260" s="104"/>
      <c r="N1260" s="106"/>
      <c r="O1260" s="428"/>
      <c r="P1260" s="106"/>
      <c r="Q1260" s="84"/>
      <c r="R1260" s="84"/>
      <c r="S1260" s="428"/>
      <c r="T1260" s="428"/>
      <c r="U1260" s="428"/>
      <c r="V1260" s="428"/>
      <c r="W1260" s="428"/>
      <c r="X1260" s="428"/>
      <c r="Y1260" s="428"/>
    </row>
    <row r="1261" ht="13.5" customHeight="1">
      <c r="A1261" s="84"/>
      <c r="B1261" s="84"/>
      <c r="C1261" s="84"/>
      <c r="D1261" s="106"/>
      <c r="E1261" s="106"/>
      <c r="F1261" s="106"/>
      <c r="G1261" s="84"/>
      <c r="H1261" s="106"/>
      <c r="I1261" s="106"/>
      <c r="J1261" s="106"/>
      <c r="K1261" s="106"/>
      <c r="L1261" s="106"/>
      <c r="M1261" s="104"/>
      <c r="N1261" s="106"/>
      <c r="O1261" s="428"/>
      <c r="P1261" s="106"/>
      <c r="Q1261" s="84"/>
      <c r="R1261" s="84"/>
      <c r="S1261" s="428"/>
      <c r="T1261" s="428"/>
      <c r="U1261" s="428"/>
      <c r="V1261" s="428"/>
      <c r="W1261" s="428"/>
      <c r="X1261" s="428"/>
      <c r="Y1261" s="428"/>
    </row>
    <row r="1262" ht="13.5" customHeight="1">
      <c r="A1262" s="84"/>
      <c r="B1262" s="84"/>
      <c r="C1262" s="84"/>
      <c r="D1262" s="106"/>
      <c r="E1262" s="106"/>
      <c r="F1262" s="106"/>
      <c r="G1262" s="84"/>
      <c r="H1262" s="106"/>
      <c r="I1262" s="106"/>
      <c r="J1262" s="106"/>
      <c r="K1262" s="106"/>
      <c r="L1262" s="106"/>
      <c r="M1262" s="104"/>
      <c r="N1262" s="106"/>
      <c r="O1262" s="428"/>
      <c r="P1262" s="106"/>
      <c r="Q1262" s="84"/>
      <c r="R1262" s="84"/>
      <c r="S1262" s="428"/>
      <c r="T1262" s="428"/>
      <c r="U1262" s="428"/>
      <c r="V1262" s="428"/>
      <c r="W1262" s="428"/>
      <c r="X1262" s="428"/>
      <c r="Y1262" s="428"/>
    </row>
    <row r="1263" ht="13.5" customHeight="1">
      <c r="A1263" s="84"/>
      <c r="B1263" s="84"/>
      <c r="C1263" s="84"/>
      <c r="D1263" s="106"/>
      <c r="E1263" s="106"/>
      <c r="F1263" s="106"/>
      <c r="G1263" s="84"/>
      <c r="H1263" s="106"/>
      <c r="I1263" s="106"/>
      <c r="J1263" s="106"/>
      <c r="K1263" s="106"/>
      <c r="L1263" s="106"/>
      <c r="M1263" s="104"/>
      <c r="N1263" s="106"/>
      <c r="O1263" s="428"/>
      <c r="P1263" s="106"/>
      <c r="Q1263" s="84"/>
      <c r="R1263" s="84"/>
      <c r="S1263" s="428"/>
      <c r="T1263" s="428"/>
      <c r="U1263" s="428"/>
      <c r="V1263" s="428"/>
      <c r="W1263" s="428"/>
      <c r="X1263" s="428"/>
      <c r="Y1263" s="428"/>
    </row>
    <row r="1264" ht="13.5" customHeight="1">
      <c r="A1264" s="84"/>
      <c r="B1264" s="84"/>
      <c r="C1264" s="84"/>
      <c r="D1264" s="106"/>
      <c r="E1264" s="106"/>
      <c r="F1264" s="106"/>
      <c r="G1264" s="84"/>
      <c r="H1264" s="106"/>
      <c r="I1264" s="106"/>
      <c r="J1264" s="106"/>
      <c r="K1264" s="106"/>
      <c r="L1264" s="106"/>
      <c r="M1264" s="104"/>
      <c r="N1264" s="106"/>
      <c r="O1264" s="428"/>
      <c r="P1264" s="106"/>
      <c r="Q1264" s="84"/>
      <c r="R1264" s="84"/>
      <c r="S1264" s="428"/>
      <c r="T1264" s="428"/>
      <c r="U1264" s="428"/>
      <c r="V1264" s="428"/>
      <c r="W1264" s="428"/>
      <c r="X1264" s="428"/>
      <c r="Y1264" s="428"/>
    </row>
    <row r="1265" ht="13.5" customHeight="1">
      <c r="A1265" s="84"/>
      <c r="B1265" s="84"/>
      <c r="C1265" s="84"/>
      <c r="D1265" s="106"/>
      <c r="E1265" s="106"/>
      <c r="F1265" s="106"/>
      <c r="G1265" s="84"/>
      <c r="H1265" s="106"/>
      <c r="I1265" s="106"/>
      <c r="J1265" s="106"/>
      <c r="K1265" s="106"/>
      <c r="L1265" s="106"/>
      <c r="M1265" s="104"/>
      <c r="N1265" s="106"/>
      <c r="O1265" s="428"/>
      <c r="P1265" s="106"/>
      <c r="Q1265" s="84"/>
      <c r="R1265" s="84"/>
      <c r="S1265" s="428"/>
      <c r="T1265" s="428"/>
      <c r="U1265" s="428"/>
      <c r="V1265" s="428"/>
      <c r="W1265" s="428"/>
      <c r="X1265" s="428"/>
      <c r="Y1265" s="428"/>
    </row>
    <row r="1266" ht="13.5" customHeight="1">
      <c r="A1266" s="84"/>
      <c r="B1266" s="84"/>
      <c r="C1266" s="84"/>
      <c r="D1266" s="106"/>
      <c r="E1266" s="106"/>
      <c r="F1266" s="106"/>
      <c r="G1266" s="84"/>
      <c r="H1266" s="106"/>
      <c r="I1266" s="106"/>
      <c r="J1266" s="106"/>
      <c r="K1266" s="106"/>
      <c r="L1266" s="106"/>
      <c r="M1266" s="104"/>
      <c r="N1266" s="106"/>
      <c r="O1266" s="428"/>
      <c r="P1266" s="106"/>
      <c r="Q1266" s="84"/>
      <c r="R1266" s="84"/>
      <c r="S1266" s="428"/>
      <c r="T1266" s="428"/>
      <c r="U1266" s="428"/>
      <c r="V1266" s="428"/>
      <c r="W1266" s="428"/>
      <c r="X1266" s="428"/>
      <c r="Y1266" s="428"/>
    </row>
    <row r="1267" ht="13.5" customHeight="1">
      <c r="A1267" s="84"/>
      <c r="B1267" s="84"/>
      <c r="C1267" s="84"/>
      <c r="D1267" s="106"/>
      <c r="E1267" s="106"/>
      <c r="F1267" s="106"/>
      <c r="G1267" s="84"/>
      <c r="H1267" s="106"/>
      <c r="I1267" s="106"/>
      <c r="J1267" s="106"/>
      <c r="K1267" s="106"/>
      <c r="L1267" s="106"/>
      <c r="M1267" s="104"/>
      <c r="N1267" s="106"/>
      <c r="O1267" s="428"/>
      <c r="P1267" s="106"/>
      <c r="Q1267" s="84"/>
      <c r="R1267" s="84"/>
      <c r="S1267" s="428"/>
      <c r="T1267" s="428"/>
      <c r="U1267" s="428"/>
      <c r="V1267" s="428"/>
      <c r="W1267" s="428"/>
      <c r="X1267" s="428"/>
      <c r="Y1267" s="428"/>
    </row>
    <row r="1268" ht="13.5" customHeight="1">
      <c r="A1268" s="84"/>
      <c r="B1268" s="84"/>
      <c r="C1268" s="84"/>
      <c r="D1268" s="106"/>
      <c r="E1268" s="106"/>
      <c r="F1268" s="106"/>
      <c r="G1268" s="84"/>
      <c r="H1268" s="106"/>
      <c r="I1268" s="106"/>
      <c r="J1268" s="106"/>
      <c r="K1268" s="106"/>
      <c r="L1268" s="106"/>
      <c r="M1268" s="104"/>
      <c r="N1268" s="106"/>
      <c r="O1268" s="428"/>
      <c r="P1268" s="106"/>
      <c r="Q1268" s="84"/>
      <c r="R1268" s="84"/>
      <c r="S1268" s="428"/>
      <c r="T1268" s="428"/>
      <c r="U1268" s="428"/>
      <c r="V1268" s="428"/>
      <c r="W1268" s="428"/>
      <c r="X1268" s="428"/>
      <c r="Y1268" s="428"/>
    </row>
    <row r="1269" ht="13.5" customHeight="1">
      <c r="A1269" s="84"/>
      <c r="B1269" s="84"/>
      <c r="C1269" s="84"/>
      <c r="D1269" s="106"/>
      <c r="E1269" s="106"/>
      <c r="F1269" s="106"/>
      <c r="G1269" s="84"/>
      <c r="H1269" s="106"/>
      <c r="I1269" s="106"/>
      <c r="J1269" s="106"/>
      <c r="K1269" s="106"/>
      <c r="L1269" s="106"/>
      <c r="M1269" s="104"/>
      <c r="N1269" s="106"/>
      <c r="O1269" s="428"/>
      <c r="P1269" s="106"/>
      <c r="Q1269" s="84"/>
      <c r="R1269" s="84"/>
      <c r="S1269" s="428"/>
      <c r="T1269" s="428"/>
      <c r="U1269" s="428"/>
      <c r="V1269" s="428"/>
      <c r="W1269" s="428"/>
      <c r="X1269" s="428"/>
      <c r="Y1269" s="428"/>
    </row>
    <row r="1270" ht="13.5" customHeight="1">
      <c r="A1270" s="84"/>
      <c r="B1270" s="84"/>
      <c r="C1270" s="84"/>
      <c r="D1270" s="106"/>
      <c r="E1270" s="106"/>
      <c r="F1270" s="106"/>
      <c r="G1270" s="84"/>
      <c r="H1270" s="106"/>
      <c r="I1270" s="106"/>
      <c r="J1270" s="106"/>
      <c r="K1270" s="106"/>
      <c r="L1270" s="106"/>
      <c r="M1270" s="104"/>
      <c r="N1270" s="106"/>
      <c r="O1270" s="428"/>
      <c r="P1270" s="106"/>
      <c r="Q1270" s="84"/>
      <c r="R1270" s="84"/>
      <c r="S1270" s="428"/>
      <c r="T1270" s="428"/>
      <c r="U1270" s="428"/>
      <c r="V1270" s="428"/>
      <c r="W1270" s="428"/>
      <c r="X1270" s="428"/>
      <c r="Y1270" s="428"/>
    </row>
    <row r="1271" ht="13.5" customHeight="1">
      <c r="A1271" s="84"/>
      <c r="B1271" s="84"/>
      <c r="C1271" s="84"/>
      <c r="D1271" s="106"/>
      <c r="E1271" s="106"/>
      <c r="F1271" s="106"/>
      <c r="G1271" s="84"/>
      <c r="H1271" s="106"/>
      <c r="I1271" s="106"/>
      <c r="J1271" s="106"/>
      <c r="K1271" s="106"/>
      <c r="L1271" s="106"/>
      <c r="M1271" s="104"/>
      <c r="N1271" s="106"/>
      <c r="O1271" s="428"/>
      <c r="P1271" s="106"/>
      <c r="Q1271" s="84"/>
      <c r="R1271" s="84"/>
      <c r="S1271" s="428"/>
      <c r="T1271" s="428"/>
      <c r="U1271" s="428"/>
      <c r="V1271" s="428"/>
      <c r="W1271" s="428"/>
      <c r="X1271" s="428"/>
      <c r="Y1271" s="428"/>
    </row>
    <row r="1272" ht="13.5" customHeight="1">
      <c r="A1272" s="84"/>
      <c r="B1272" s="84"/>
      <c r="C1272" s="84"/>
      <c r="D1272" s="106"/>
      <c r="E1272" s="106"/>
      <c r="F1272" s="106"/>
      <c r="G1272" s="84"/>
      <c r="H1272" s="106"/>
      <c r="I1272" s="106"/>
      <c r="J1272" s="106"/>
      <c r="K1272" s="106"/>
      <c r="L1272" s="106"/>
      <c r="M1272" s="104"/>
      <c r="N1272" s="106"/>
      <c r="O1272" s="428"/>
      <c r="P1272" s="106"/>
      <c r="Q1272" s="84"/>
      <c r="R1272" s="84"/>
      <c r="S1272" s="428"/>
      <c r="T1272" s="428"/>
      <c r="U1272" s="428"/>
      <c r="V1272" s="428"/>
      <c r="W1272" s="428"/>
      <c r="X1272" s="428"/>
      <c r="Y1272" s="428"/>
    </row>
    <row r="1273" ht="13.5" customHeight="1">
      <c r="A1273" s="84"/>
      <c r="B1273" s="84"/>
      <c r="C1273" s="84"/>
      <c r="D1273" s="106"/>
      <c r="E1273" s="106"/>
      <c r="F1273" s="106"/>
      <c r="G1273" s="84"/>
      <c r="H1273" s="106"/>
      <c r="I1273" s="106"/>
      <c r="J1273" s="106"/>
      <c r="K1273" s="106"/>
      <c r="L1273" s="106"/>
      <c r="M1273" s="104"/>
      <c r="N1273" s="106"/>
      <c r="O1273" s="428"/>
      <c r="P1273" s="106"/>
      <c r="Q1273" s="84"/>
      <c r="R1273" s="84"/>
      <c r="S1273" s="428"/>
      <c r="T1273" s="428"/>
      <c r="U1273" s="428"/>
      <c r="V1273" s="428"/>
      <c r="W1273" s="428"/>
      <c r="X1273" s="428"/>
      <c r="Y1273" s="428"/>
    </row>
    <row r="1274" ht="13.5" customHeight="1">
      <c r="A1274" s="84"/>
      <c r="B1274" s="84"/>
      <c r="C1274" s="84"/>
      <c r="D1274" s="106"/>
      <c r="E1274" s="106"/>
      <c r="F1274" s="106"/>
      <c r="G1274" s="84"/>
      <c r="H1274" s="106"/>
      <c r="I1274" s="106"/>
      <c r="J1274" s="106"/>
      <c r="K1274" s="106"/>
      <c r="L1274" s="106"/>
      <c r="M1274" s="104"/>
      <c r="N1274" s="106"/>
      <c r="O1274" s="428"/>
      <c r="P1274" s="106"/>
      <c r="Q1274" s="84"/>
      <c r="R1274" s="84"/>
      <c r="S1274" s="428"/>
      <c r="T1274" s="428"/>
      <c r="U1274" s="428"/>
      <c r="V1274" s="428"/>
      <c r="W1274" s="428"/>
      <c r="X1274" s="428"/>
      <c r="Y1274" s="428"/>
    </row>
    <row r="1275" ht="13.5" customHeight="1">
      <c r="A1275" s="84"/>
      <c r="B1275" s="84"/>
      <c r="C1275" s="84"/>
      <c r="D1275" s="106"/>
      <c r="E1275" s="106"/>
      <c r="F1275" s="106"/>
      <c r="G1275" s="84"/>
      <c r="H1275" s="106"/>
      <c r="I1275" s="106"/>
      <c r="J1275" s="106"/>
      <c r="K1275" s="106"/>
      <c r="L1275" s="106"/>
      <c r="M1275" s="104"/>
      <c r="N1275" s="106"/>
      <c r="O1275" s="428"/>
      <c r="P1275" s="106"/>
      <c r="Q1275" s="84"/>
      <c r="R1275" s="84"/>
      <c r="S1275" s="428"/>
      <c r="T1275" s="428"/>
      <c r="U1275" s="428"/>
      <c r="V1275" s="428"/>
      <c r="W1275" s="428"/>
      <c r="X1275" s="428"/>
      <c r="Y1275" s="428"/>
    </row>
    <row r="1276" ht="13.5" customHeight="1">
      <c r="A1276" s="84"/>
      <c r="B1276" s="84"/>
      <c r="C1276" s="84"/>
      <c r="D1276" s="106"/>
      <c r="E1276" s="106"/>
      <c r="F1276" s="106"/>
      <c r="G1276" s="84"/>
      <c r="H1276" s="106"/>
      <c r="I1276" s="106"/>
      <c r="J1276" s="106"/>
      <c r="K1276" s="106"/>
      <c r="L1276" s="106"/>
      <c r="M1276" s="104"/>
      <c r="N1276" s="106"/>
      <c r="O1276" s="428"/>
      <c r="P1276" s="106"/>
      <c r="Q1276" s="84"/>
      <c r="R1276" s="84"/>
      <c r="S1276" s="428"/>
      <c r="T1276" s="428"/>
      <c r="U1276" s="428"/>
      <c r="V1276" s="428"/>
      <c r="W1276" s="428"/>
      <c r="X1276" s="428"/>
      <c r="Y1276" s="428"/>
    </row>
    <row r="1277" ht="13.5" customHeight="1">
      <c r="A1277" s="84"/>
      <c r="B1277" s="84"/>
      <c r="C1277" s="84"/>
      <c r="D1277" s="106"/>
      <c r="E1277" s="106"/>
      <c r="F1277" s="106"/>
      <c r="G1277" s="84"/>
      <c r="H1277" s="106"/>
      <c r="I1277" s="106"/>
      <c r="J1277" s="106"/>
      <c r="K1277" s="106"/>
      <c r="L1277" s="106"/>
      <c r="M1277" s="104"/>
      <c r="N1277" s="106"/>
      <c r="O1277" s="428"/>
      <c r="P1277" s="106"/>
      <c r="Q1277" s="84"/>
      <c r="R1277" s="84"/>
      <c r="S1277" s="428"/>
      <c r="T1277" s="428"/>
      <c r="U1277" s="428"/>
      <c r="V1277" s="428"/>
      <c r="W1277" s="428"/>
      <c r="X1277" s="428"/>
      <c r="Y1277" s="428"/>
    </row>
    <row r="1278" ht="13.5" customHeight="1">
      <c r="A1278" s="84"/>
      <c r="B1278" s="84"/>
      <c r="C1278" s="84"/>
      <c r="D1278" s="106"/>
      <c r="E1278" s="106"/>
      <c r="F1278" s="106"/>
      <c r="G1278" s="84"/>
      <c r="H1278" s="106"/>
      <c r="I1278" s="106"/>
      <c r="J1278" s="106"/>
      <c r="K1278" s="106"/>
      <c r="L1278" s="106"/>
      <c r="M1278" s="104"/>
      <c r="N1278" s="106"/>
      <c r="O1278" s="428"/>
      <c r="P1278" s="106"/>
      <c r="Q1278" s="84"/>
      <c r="R1278" s="84"/>
      <c r="S1278" s="428"/>
      <c r="T1278" s="428"/>
      <c r="U1278" s="428"/>
      <c r="V1278" s="428"/>
      <c r="W1278" s="428"/>
      <c r="X1278" s="428"/>
      <c r="Y1278" s="428"/>
    </row>
    <row r="1279" ht="13.5" customHeight="1">
      <c r="A1279" s="84"/>
      <c r="B1279" s="84"/>
      <c r="C1279" s="84"/>
      <c r="D1279" s="106"/>
      <c r="E1279" s="106"/>
      <c r="F1279" s="106"/>
      <c r="G1279" s="84"/>
      <c r="H1279" s="106"/>
      <c r="I1279" s="106"/>
      <c r="J1279" s="106"/>
      <c r="K1279" s="106"/>
      <c r="L1279" s="106"/>
      <c r="M1279" s="104"/>
      <c r="N1279" s="106"/>
      <c r="O1279" s="428"/>
      <c r="P1279" s="106"/>
      <c r="Q1279" s="84"/>
      <c r="R1279" s="84"/>
      <c r="S1279" s="428"/>
      <c r="T1279" s="428"/>
      <c r="U1279" s="428"/>
      <c r="V1279" s="428"/>
      <c r="W1279" s="428"/>
      <c r="X1279" s="428"/>
      <c r="Y1279" s="428"/>
    </row>
    <row r="1280" ht="13.5" customHeight="1">
      <c r="A1280" s="84"/>
      <c r="B1280" s="84"/>
      <c r="C1280" s="84"/>
      <c r="D1280" s="106"/>
      <c r="E1280" s="106"/>
      <c r="F1280" s="106"/>
      <c r="G1280" s="84"/>
      <c r="H1280" s="106"/>
      <c r="I1280" s="106"/>
      <c r="J1280" s="106"/>
      <c r="K1280" s="106"/>
      <c r="L1280" s="106"/>
      <c r="M1280" s="104"/>
      <c r="N1280" s="106"/>
      <c r="O1280" s="428"/>
      <c r="P1280" s="106"/>
      <c r="Q1280" s="84"/>
      <c r="R1280" s="84"/>
      <c r="S1280" s="428"/>
      <c r="T1280" s="428"/>
      <c r="U1280" s="428"/>
      <c r="V1280" s="428"/>
      <c r="W1280" s="428"/>
      <c r="X1280" s="428"/>
      <c r="Y1280" s="428"/>
    </row>
    <row r="1281" ht="13.5" customHeight="1">
      <c r="A1281" s="84"/>
      <c r="B1281" s="84"/>
      <c r="C1281" s="84"/>
      <c r="D1281" s="106"/>
      <c r="E1281" s="106"/>
      <c r="F1281" s="106"/>
      <c r="G1281" s="84"/>
      <c r="H1281" s="106"/>
      <c r="I1281" s="106"/>
      <c r="J1281" s="106"/>
      <c r="K1281" s="106"/>
      <c r="L1281" s="106"/>
      <c r="M1281" s="104"/>
      <c r="N1281" s="106"/>
      <c r="O1281" s="428"/>
      <c r="P1281" s="106"/>
      <c r="Q1281" s="84"/>
      <c r="R1281" s="84"/>
      <c r="S1281" s="428"/>
      <c r="T1281" s="428"/>
      <c r="U1281" s="428"/>
      <c r="V1281" s="428"/>
      <c r="W1281" s="428"/>
      <c r="X1281" s="428"/>
      <c r="Y1281" s="428"/>
    </row>
    <row r="1282" ht="13.5" customHeight="1">
      <c r="A1282" s="84"/>
      <c r="B1282" s="84"/>
      <c r="C1282" s="84"/>
      <c r="D1282" s="106"/>
      <c r="E1282" s="106"/>
      <c r="F1282" s="106"/>
      <c r="G1282" s="84"/>
      <c r="H1282" s="106"/>
      <c r="I1282" s="106"/>
      <c r="J1282" s="106"/>
      <c r="K1282" s="106"/>
      <c r="L1282" s="106"/>
      <c r="M1282" s="104"/>
      <c r="N1282" s="106"/>
      <c r="O1282" s="428"/>
      <c r="P1282" s="106"/>
      <c r="Q1282" s="84"/>
      <c r="R1282" s="84"/>
      <c r="S1282" s="428"/>
      <c r="T1282" s="428"/>
      <c r="U1282" s="428"/>
      <c r="V1282" s="428"/>
      <c r="W1282" s="428"/>
      <c r="X1282" s="428"/>
      <c r="Y1282" s="428"/>
    </row>
    <row r="1283" ht="13.5" customHeight="1">
      <c r="A1283" s="84"/>
      <c r="B1283" s="84"/>
      <c r="C1283" s="84"/>
      <c r="D1283" s="106"/>
      <c r="E1283" s="106"/>
      <c r="F1283" s="106"/>
      <c r="G1283" s="84"/>
      <c r="H1283" s="106"/>
      <c r="I1283" s="106"/>
      <c r="J1283" s="106"/>
      <c r="K1283" s="106"/>
      <c r="L1283" s="106"/>
      <c r="M1283" s="104"/>
      <c r="N1283" s="106"/>
      <c r="O1283" s="428"/>
      <c r="P1283" s="106"/>
      <c r="Q1283" s="84"/>
      <c r="R1283" s="84"/>
      <c r="S1283" s="428"/>
      <c r="T1283" s="428"/>
      <c r="U1283" s="428"/>
      <c r="V1283" s="428"/>
      <c r="W1283" s="428"/>
      <c r="X1283" s="428"/>
      <c r="Y1283" s="428"/>
    </row>
    <row r="1284" ht="13.5" customHeight="1">
      <c r="A1284" s="84"/>
      <c r="B1284" s="84"/>
      <c r="C1284" s="84"/>
      <c r="D1284" s="106"/>
      <c r="E1284" s="106"/>
      <c r="F1284" s="106"/>
      <c r="G1284" s="84"/>
      <c r="H1284" s="106"/>
      <c r="I1284" s="106"/>
      <c r="J1284" s="106"/>
      <c r="K1284" s="106"/>
      <c r="L1284" s="106"/>
      <c r="M1284" s="104"/>
      <c r="N1284" s="106"/>
      <c r="O1284" s="428"/>
      <c r="P1284" s="106"/>
      <c r="Q1284" s="84"/>
      <c r="R1284" s="84"/>
      <c r="S1284" s="428"/>
      <c r="T1284" s="428"/>
      <c r="U1284" s="428"/>
      <c r="V1284" s="428"/>
      <c r="W1284" s="428"/>
      <c r="X1284" s="428"/>
      <c r="Y1284" s="428"/>
    </row>
    <row r="1285" ht="13.5" customHeight="1">
      <c r="A1285" s="84"/>
      <c r="B1285" s="84"/>
      <c r="C1285" s="84"/>
      <c r="D1285" s="106"/>
      <c r="E1285" s="106"/>
      <c r="F1285" s="106"/>
      <c r="G1285" s="84"/>
      <c r="H1285" s="106"/>
      <c r="I1285" s="106"/>
      <c r="J1285" s="106"/>
      <c r="K1285" s="106"/>
      <c r="L1285" s="106"/>
      <c r="M1285" s="104"/>
      <c r="N1285" s="106"/>
      <c r="O1285" s="428"/>
      <c r="P1285" s="106"/>
      <c r="Q1285" s="84"/>
      <c r="R1285" s="84"/>
      <c r="S1285" s="428"/>
      <c r="T1285" s="428"/>
      <c r="U1285" s="428"/>
      <c r="V1285" s="428"/>
      <c r="W1285" s="428"/>
      <c r="X1285" s="428"/>
      <c r="Y1285" s="428"/>
    </row>
    <row r="1286" ht="13.5" customHeight="1">
      <c r="A1286" s="84"/>
      <c r="B1286" s="84"/>
      <c r="C1286" s="84"/>
      <c r="D1286" s="106"/>
      <c r="E1286" s="106"/>
      <c r="F1286" s="106"/>
      <c r="G1286" s="84"/>
      <c r="H1286" s="106"/>
      <c r="I1286" s="106"/>
      <c r="J1286" s="106"/>
      <c r="K1286" s="106"/>
      <c r="L1286" s="106"/>
      <c r="M1286" s="104"/>
      <c r="N1286" s="106"/>
      <c r="O1286" s="428"/>
      <c r="P1286" s="106"/>
      <c r="Q1286" s="84"/>
      <c r="R1286" s="84"/>
      <c r="S1286" s="428"/>
      <c r="T1286" s="428"/>
      <c r="U1286" s="428"/>
      <c r="V1286" s="428"/>
      <c r="W1286" s="428"/>
      <c r="X1286" s="428"/>
      <c r="Y1286" s="428"/>
    </row>
    <row r="1287" ht="13.5" customHeight="1">
      <c r="A1287" s="84"/>
      <c r="B1287" s="84"/>
      <c r="C1287" s="84"/>
      <c r="D1287" s="106"/>
      <c r="E1287" s="106"/>
      <c r="F1287" s="106"/>
      <c r="G1287" s="84"/>
      <c r="H1287" s="106"/>
      <c r="I1287" s="106"/>
      <c r="J1287" s="106"/>
      <c r="K1287" s="106"/>
      <c r="L1287" s="106"/>
      <c r="M1287" s="104"/>
      <c r="N1287" s="106"/>
      <c r="O1287" s="428"/>
      <c r="P1287" s="106"/>
      <c r="Q1287" s="84"/>
      <c r="R1287" s="84"/>
      <c r="S1287" s="428"/>
      <c r="T1287" s="428"/>
      <c r="U1287" s="428"/>
      <c r="V1287" s="428"/>
      <c r="W1287" s="428"/>
      <c r="X1287" s="428"/>
      <c r="Y1287" s="428"/>
    </row>
    <row r="1288" ht="13.5" customHeight="1">
      <c r="A1288" s="84"/>
      <c r="B1288" s="84"/>
      <c r="C1288" s="84"/>
      <c r="D1288" s="106"/>
      <c r="E1288" s="106"/>
      <c r="F1288" s="106"/>
      <c r="G1288" s="84"/>
      <c r="H1288" s="106"/>
      <c r="I1288" s="106"/>
      <c r="J1288" s="106"/>
      <c r="K1288" s="106"/>
      <c r="L1288" s="106"/>
      <c r="M1288" s="104"/>
      <c r="N1288" s="106"/>
      <c r="O1288" s="428"/>
      <c r="P1288" s="106"/>
      <c r="Q1288" s="84"/>
      <c r="R1288" s="84"/>
      <c r="S1288" s="428"/>
      <c r="T1288" s="428"/>
      <c r="U1288" s="428"/>
      <c r="V1288" s="428"/>
      <c r="W1288" s="428"/>
      <c r="X1288" s="428"/>
      <c r="Y1288" s="428"/>
    </row>
    <row r="1289" ht="13.5" customHeight="1">
      <c r="A1289" s="84"/>
      <c r="B1289" s="84"/>
      <c r="C1289" s="84"/>
      <c r="D1289" s="106"/>
      <c r="E1289" s="106"/>
      <c r="F1289" s="106"/>
      <c r="G1289" s="84"/>
      <c r="H1289" s="106"/>
      <c r="I1289" s="106"/>
      <c r="J1289" s="106"/>
      <c r="K1289" s="106"/>
      <c r="L1289" s="106"/>
      <c r="M1289" s="104"/>
      <c r="N1289" s="106"/>
      <c r="O1289" s="428"/>
      <c r="P1289" s="106"/>
      <c r="Q1289" s="84"/>
      <c r="R1289" s="84"/>
      <c r="S1289" s="428"/>
      <c r="T1289" s="428"/>
      <c r="U1289" s="428"/>
      <c r="V1289" s="428"/>
      <c r="W1289" s="428"/>
      <c r="X1289" s="428"/>
      <c r="Y1289" s="428"/>
    </row>
    <row r="1290" ht="13.5" customHeight="1">
      <c r="A1290" s="84"/>
      <c r="B1290" s="84"/>
      <c r="C1290" s="84"/>
      <c r="D1290" s="106"/>
      <c r="E1290" s="106"/>
      <c r="F1290" s="106"/>
      <c r="G1290" s="84"/>
      <c r="H1290" s="106"/>
      <c r="I1290" s="106"/>
      <c r="J1290" s="106"/>
      <c r="K1290" s="106"/>
      <c r="L1290" s="106"/>
      <c r="M1290" s="104"/>
      <c r="N1290" s="106"/>
      <c r="O1290" s="428"/>
      <c r="P1290" s="106"/>
      <c r="Q1290" s="84"/>
      <c r="R1290" s="84"/>
      <c r="S1290" s="428"/>
      <c r="T1290" s="428"/>
      <c r="U1290" s="428"/>
      <c r="V1290" s="428"/>
      <c r="W1290" s="428"/>
      <c r="X1290" s="428"/>
      <c r="Y1290" s="428"/>
    </row>
    <row r="1291" ht="13.5" customHeight="1">
      <c r="A1291" s="84"/>
      <c r="B1291" s="84"/>
      <c r="C1291" s="84"/>
      <c r="D1291" s="106"/>
      <c r="E1291" s="106"/>
      <c r="F1291" s="106"/>
      <c r="G1291" s="84"/>
      <c r="H1291" s="106"/>
      <c r="I1291" s="106"/>
      <c r="J1291" s="106"/>
      <c r="K1291" s="106"/>
      <c r="L1291" s="106"/>
      <c r="M1291" s="104"/>
      <c r="N1291" s="106"/>
      <c r="O1291" s="428"/>
      <c r="P1291" s="106"/>
      <c r="Q1291" s="84"/>
      <c r="R1291" s="84"/>
      <c r="S1291" s="428"/>
      <c r="T1291" s="428"/>
      <c r="U1291" s="428"/>
      <c r="V1291" s="428"/>
      <c r="W1291" s="428"/>
      <c r="X1291" s="428"/>
      <c r="Y1291" s="428"/>
    </row>
    <row r="1292" ht="13.5" customHeight="1">
      <c r="A1292" s="84"/>
      <c r="B1292" s="84"/>
      <c r="C1292" s="84"/>
      <c r="D1292" s="106"/>
      <c r="E1292" s="106"/>
      <c r="F1292" s="106"/>
      <c r="G1292" s="84"/>
      <c r="H1292" s="106"/>
      <c r="I1292" s="106"/>
      <c r="J1292" s="106"/>
      <c r="K1292" s="106"/>
      <c r="L1292" s="106"/>
      <c r="M1292" s="104"/>
      <c r="N1292" s="106"/>
      <c r="O1292" s="428"/>
      <c r="P1292" s="106"/>
      <c r="Q1292" s="84"/>
      <c r="R1292" s="84"/>
      <c r="S1292" s="428"/>
      <c r="T1292" s="428"/>
      <c r="U1292" s="428"/>
      <c r="V1292" s="428"/>
      <c r="W1292" s="428"/>
      <c r="X1292" s="428"/>
      <c r="Y1292" s="428"/>
    </row>
    <row r="1293" ht="13.5" customHeight="1">
      <c r="A1293" s="84"/>
      <c r="B1293" s="84"/>
      <c r="C1293" s="84"/>
      <c r="D1293" s="106"/>
      <c r="E1293" s="106"/>
      <c r="F1293" s="106"/>
      <c r="G1293" s="84"/>
      <c r="H1293" s="106"/>
      <c r="I1293" s="106"/>
      <c r="J1293" s="106"/>
      <c r="K1293" s="106"/>
      <c r="L1293" s="106"/>
      <c r="M1293" s="104"/>
      <c r="N1293" s="106"/>
      <c r="O1293" s="428"/>
      <c r="P1293" s="106"/>
      <c r="Q1293" s="84"/>
      <c r="R1293" s="84"/>
      <c r="S1293" s="428"/>
      <c r="T1293" s="428"/>
      <c r="U1293" s="428"/>
      <c r="V1293" s="428"/>
      <c r="W1293" s="428"/>
      <c r="X1293" s="428"/>
      <c r="Y1293" s="428"/>
    </row>
    <row r="1294" ht="13.5" customHeight="1">
      <c r="A1294" s="84"/>
      <c r="B1294" s="84"/>
      <c r="C1294" s="84"/>
      <c r="D1294" s="106"/>
      <c r="E1294" s="106"/>
      <c r="F1294" s="106"/>
      <c r="G1294" s="84"/>
      <c r="H1294" s="106"/>
      <c r="I1294" s="106"/>
      <c r="J1294" s="106"/>
      <c r="K1294" s="106"/>
      <c r="L1294" s="106"/>
      <c r="M1294" s="104"/>
      <c r="N1294" s="106"/>
      <c r="O1294" s="428"/>
      <c r="P1294" s="106"/>
      <c r="Q1294" s="84"/>
      <c r="R1294" s="84"/>
      <c r="S1294" s="428"/>
      <c r="T1294" s="428"/>
      <c r="U1294" s="428"/>
      <c r="V1294" s="428"/>
      <c r="W1294" s="428"/>
      <c r="X1294" s="428"/>
      <c r="Y1294" s="428"/>
    </row>
    <row r="1295" ht="13.5" customHeight="1">
      <c r="A1295" s="84"/>
      <c r="B1295" s="84"/>
      <c r="C1295" s="84"/>
      <c r="D1295" s="106"/>
      <c r="E1295" s="106"/>
      <c r="F1295" s="106"/>
      <c r="G1295" s="84"/>
      <c r="H1295" s="106"/>
      <c r="I1295" s="106"/>
      <c r="J1295" s="106"/>
      <c r="K1295" s="106"/>
      <c r="L1295" s="106"/>
      <c r="M1295" s="104"/>
      <c r="N1295" s="106"/>
      <c r="O1295" s="428"/>
      <c r="P1295" s="106"/>
      <c r="Q1295" s="84"/>
      <c r="R1295" s="84"/>
      <c r="S1295" s="428"/>
      <c r="T1295" s="428"/>
      <c r="U1295" s="428"/>
      <c r="V1295" s="428"/>
      <c r="W1295" s="428"/>
      <c r="X1295" s="428"/>
      <c r="Y1295" s="428"/>
    </row>
    <row r="1296" ht="13.5" customHeight="1">
      <c r="A1296" s="84"/>
      <c r="B1296" s="84"/>
      <c r="C1296" s="84"/>
      <c r="D1296" s="106"/>
      <c r="E1296" s="106"/>
      <c r="F1296" s="106"/>
      <c r="G1296" s="84"/>
      <c r="H1296" s="106"/>
      <c r="I1296" s="106"/>
      <c r="J1296" s="106"/>
      <c r="K1296" s="106"/>
      <c r="L1296" s="106"/>
      <c r="M1296" s="104"/>
      <c r="N1296" s="106"/>
      <c r="O1296" s="428"/>
      <c r="P1296" s="106"/>
      <c r="Q1296" s="84"/>
      <c r="R1296" s="84"/>
      <c r="S1296" s="428"/>
      <c r="T1296" s="428"/>
      <c r="U1296" s="428"/>
      <c r="V1296" s="428"/>
      <c r="W1296" s="428"/>
      <c r="X1296" s="428"/>
      <c r="Y1296" s="428"/>
    </row>
    <row r="1297" ht="13.5" customHeight="1">
      <c r="A1297" s="84"/>
      <c r="B1297" s="84"/>
      <c r="C1297" s="84"/>
      <c r="D1297" s="106"/>
      <c r="E1297" s="106"/>
      <c r="F1297" s="106"/>
      <c r="G1297" s="84"/>
      <c r="H1297" s="106"/>
      <c r="I1297" s="106"/>
      <c r="J1297" s="106"/>
      <c r="K1297" s="106"/>
      <c r="L1297" s="106"/>
      <c r="M1297" s="104"/>
      <c r="N1297" s="106"/>
      <c r="O1297" s="428"/>
      <c r="P1297" s="106"/>
      <c r="Q1297" s="84"/>
      <c r="R1297" s="84"/>
      <c r="S1297" s="428"/>
      <c r="T1297" s="428"/>
      <c r="U1297" s="428"/>
      <c r="V1297" s="428"/>
      <c r="W1297" s="428"/>
      <c r="X1297" s="428"/>
      <c r="Y1297" s="428"/>
    </row>
    <row r="1298" ht="13.5" customHeight="1">
      <c r="A1298" s="84"/>
      <c r="B1298" s="84"/>
      <c r="C1298" s="84"/>
      <c r="D1298" s="106"/>
      <c r="E1298" s="106"/>
      <c r="F1298" s="106"/>
      <c r="G1298" s="84"/>
      <c r="H1298" s="106"/>
      <c r="I1298" s="106"/>
      <c r="J1298" s="106"/>
      <c r="K1298" s="106"/>
      <c r="L1298" s="106"/>
      <c r="M1298" s="104"/>
      <c r="N1298" s="106"/>
      <c r="O1298" s="428"/>
      <c r="P1298" s="106"/>
      <c r="Q1298" s="84"/>
      <c r="R1298" s="84"/>
      <c r="S1298" s="428"/>
      <c r="T1298" s="428"/>
      <c r="U1298" s="428"/>
      <c r="V1298" s="428"/>
      <c r="W1298" s="428"/>
      <c r="X1298" s="428"/>
      <c r="Y1298" s="428"/>
    </row>
    <row r="1299" ht="13.5" customHeight="1">
      <c r="A1299" s="84"/>
      <c r="B1299" s="84"/>
      <c r="C1299" s="84"/>
      <c r="D1299" s="106"/>
      <c r="E1299" s="106"/>
      <c r="F1299" s="106"/>
      <c r="G1299" s="84"/>
      <c r="H1299" s="106"/>
      <c r="I1299" s="106"/>
      <c r="J1299" s="106"/>
      <c r="K1299" s="106"/>
      <c r="L1299" s="106"/>
      <c r="M1299" s="104"/>
      <c r="N1299" s="106"/>
      <c r="O1299" s="428"/>
      <c r="P1299" s="106"/>
      <c r="Q1299" s="84"/>
      <c r="R1299" s="84"/>
      <c r="S1299" s="428"/>
      <c r="T1299" s="428"/>
      <c r="U1299" s="428"/>
      <c r="V1299" s="428"/>
      <c r="W1299" s="428"/>
      <c r="X1299" s="428"/>
      <c r="Y1299" s="428"/>
    </row>
    <row r="1300" ht="13.5" customHeight="1">
      <c r="A1300" s="84"/>
      <c r="B1300" s="84"/>
      <c r="C1300" s="84"/>
      <c r="D1300" s="106"/>
      <c r="E1300" s="106"/>
      <c r="F1300" s="106"/>
      <c r="G1300" s="84"/>
      <c r="H1300" s="106"/>
      <c r="I1300" s="106"/>
      <c r="J1300" s="106"/>
      <c r="K1300" s="106"/>
      <c r="L1300" s="106"/>
      <c r="M1300" s="104"/>
      <c r="N1300" s="106"/>
      <c r="O1300" s="428"/>
      <c r="P1300" s="106"/>
      <c r="Q1300" s="84"/>
      <c r="R1300" s="84"/>
      <c r="S1300" s="428"/>
      <c r="T1300" s="428"/>
      <c r="U1300" s="428"/>
      <c r="V1300" s="428"/>
      <c r="W1300" s="428"/>
      <c r="X1300" s="428"/>
      <c r="Y1300" s="428"/>
    </row>
    <row r="1301" ht="13.5" customHeight="1">
      <c r="A1301" s="84"/>
      <c r="B1301" s="84"/>
      <c r="C1301" s="84"/>
      <c r="D1301" s="106"/>
      <c r="E1301" s="106"/>
      <c r="F1301" s="106"/>
      <c r="G1301" s="84"/>
      <c r="H1301" s="106"/>
      <c r="I1301" s="106"/>
      <c r="J1301" s="106"/>
      <c r="K1301" s="106"/>
      <c r="L1301" s="106"/>
      <c r="M1301" s="104"/>
      <c r="N1301" s="106"/>
      <c r="O1301" s="428"/>
      <c r="P1301" s="106"/>
      <c r="Q1301" s="84"/>
      <c r="R1301" s="84"/>
      <c r="S1301" s="428"/>
      <c r="T1301" s="428"/>
      <c r="U1301" s="428"/>
      <c r="V1301" s="428"/>
      <c r="W1301" s="428"/>
      <c r="X1301" s="428"/>
      <c r="Y1301" s="428"/>
    </row>
    <row r="1302" ht="13.5" customHeight="1">
      <c r="A1302" s="84"/>
      <c r="B1302" s="84"/>
      <c r="C1302" s="84"/>
      <c r="D1302" s="106"/>
      <c r="E1302" s="106"/>
      <c r="F1302" s="106"/>
      <c r="G1302" s="84"/>
      <c r="H1302" s="106"/>
      <c r="I1302" s="106"/>
      <c r="J1302" s="106"/>
      <c r="K1302" s="106"/>
      <c r="L1302" s="106"/>
      <c r="M1302" s="104"/>
      <c r="N1302" s="106"/>
      <c r="O1302" s="428"/>
      <c r="P1302" s="106"/>
      <c r="Q1302" s="84"/>
      <c r="R1302" s="84"/>
      <c r="S1302" s="428"/>
      <c r="T1302" s="428"/>
      <c r="U1302" s="428"/>
      <c r="V1302" s="428"/>
      <c r="W1302" s="428"/>
      <c r="X1302" s="428"/>
      <c r="Y1302" s="428"/>
    </row>
    <row r="1303" ht="13.5" customHeight="1">
      <c r="A1303" s="84"/>
      <c r="B1303" s="84"/>
      <c r="C1303" s="84"/>
      <c r="D1303" s="106"/>
      <c r="E1303" s="106"/>
      <c r="F1303" s="106"/>
      <c r="G1303" s="84"/>
      <c r="H1303" s="106"/>
      <c r="I1303" s="106"/>
      <c r="J1303" s="106"/>
      <c r="K1303" s="106"/>
      <c r="L1303" s="106"/>
      <c r="M1303" s="104"/>
      <c r="N1303" s="106"/>
      <c r="O1303" s="428"/>
      <c r="P1303" s="106"/>
      <c r="Q1303" s="84"/>
      <c r="R1303" s="84"/>
      <c r="S1303" s="428"/>
      <c r="T1303" s="428"/>
      <c r="U1303" s="428"/>
      <c r="V1303" s="428"/>
      <c r="W1303" s="428"/>
      <c r="X1303" s="428"/>
      <c r="Y1303" s="428"/>
    </row>
    <row r="1304" ht="13.5" customHeight="1">
      <c r="A1304" s="84"/>
      <c r="B1304" s="84"/>
      <c r="C1304" s="84"/>
      <c r="D1304" s="106"/>
      <c r="E1304" s="106"/>
      <c r="F1304" s="106"/>
      <c r="G1304" s="84"/>
      <c r="H1304" s="106"/>
      <c r="I1304" s="106"/>
      <c r="J1304" s="106"/>
      <c r="K1304" s="106"/>
      <c r="L1304" s="106"/>
      <c r="M1304" s="104"/>
      <c r="N1304" s="106"/>
      <c r="O1304" s="428"/>
      <c r="P1304" s="106"/>
      <c r="Q1304" s="84"/>
      <c r="R1304" s="84"/>
      <c r="S1304" s="428"/>
      <c r="T1304" s="428"/>
      <c r="U1304" s="428"/>
      <c r="V1304" s="428"/>
      <c r="W1304" s="428"/>
      <c r="X1304" s="428"/>
      <c r="Y1304" s="428"/>
    </row>
    <row r="1305" ht="13.5" customHeight="1">
      <c r="A1305" s="84"/>
      <c r="B1305" s="84"/>
      <c r="C1305" s="84"/>
      <c r="D1305" s="106"/>
      <c r="E1305" s="106"/>
      <c r="F1305" s="106"/>
      <c r="G1305" s="84"/>
      <c r="H1305" s="106"/>
      <c r="I1305" s="106"/>
      <c r="J1305" s="106"/>
      <c r="K1305" s="106"/>
      <c r="L1305" s="106"/>
      <c r="M1305" s="104"/>
      <c r="N1305" s="106"/>
      <c r="O1305" s="428"/>
      <c r="P1305" s="106"/>
      <c r="Q1305" s="84"/>
      <c r="R1305" s="84"/>
      <c r="S1305" s="428"/>
      <c r="T1305" s="428"/>
      <c r="U1305" s="428"/>
      <c r="V1305" s="428"/>
      <c r="W1305" s="428"/>
      <c r="X1305" s="428"/>
      <c r="Y1305" s="428"/>
    </row>
    <row r="1306" ht="13.5" customHeight="1">
      <c r="A1306" s="84"/>
      <c r="B1306" s="84"/>
      <c r="C1306" s="84"/>
      <c r="D1306" s="106"/>
      <c r="E1306" s="106"/>
      <c r="F1306" s="106"/>
      <c r="G1306" s="84"/>
      <c r="H1306" s="106"/>
      <c r="I1306" s="106"/>
      <c r="J1306" s="106"/>
      <c r="K1306" s="106"/>
      <c r="L1306" s="106"/>
      <c r="M1306" s="104"/>
      <c r="N1306" s="106"/>
      <c r="O1306" s="428"/>
      <c r="P1306" s="106"/>
      <c r="Q1306" s="84"/>
      <c r="R1306" s="84"/>
      <c r="S1306" s="428"/>
      <c r="T1306" s="428"/>
      <c r="U1306" s="428"/>
      <c r="V1306" s="428"/>
      <c r="W1306" s="428"/>
      <c r="X1306" s="428"/>
      <c r="Y1306" s="428"/>
    </row>
    <row r="1307" ht="13.5" customHeight="1">
      <c r="A1307" s="84"/>
      <c r="B1307" s="84"/>
      <c r="C1307" s="84"/>
      <c r="D1307" s="106"/>
      <c r="E1307" s="106"/>
      <c r="F1307" s="106"/>
      <c r="G1307" s="84"/>
      <c r="H1307" s="106"/>
      <c r="I1307" s="106"/>
      <c r="J1307" s="106"/>
      <c r="K1307" s="106"/>
      <c r="L1307" s="106"/>
      <c r="M1307" s="104"/>
      <c r="N1307" s="106"/>
      <c r="O1307" s="428"/>
      <c r="P1307" s="106"/>
      <c r="Q1307" s="84"/>
      <c r="R1307" s="84"/>
      <c r="S1307" s="428"/>
      <c r="T1307" s="428"/>
      <c r="U1307" s="428"/>
      <c r="V1307" s="428"/>
      <c r="W1307" s="428"/>
      <c r="X1307" s="428"/>
      <c r="Y1307" s="428"/>
    </row>
    <row r="1308" ht="13.5" customHeight="1">
      <c r="A1308" s="84"/>
      <c r="B1308" s="84"/>
      <c r="C1308" s="84"/>
      <c r="D1308" s="106"/>
      <c r="E1308" s="106"/>
      <c r="F1308" s="106"/>
      <c r="G1308" s="84"/>
      <c r="H1308" s="106"/>
      <c r="I1308" s="106"/>
      <c r="J1308" s="106"/>
      <c r="K1308" s="106"/>
      <c r="L1308" s="106"/>
      <c r="M1308" s="104"/>
      <c r="N1308" s="106"/>
      <c r="O1308" s="428"/>
      <c r="P1308" s="106"/>
      <c r="Q1308" s="84"/>
      <c r="R1308" s="84"/>
      <c r="S1308" s="428"/>
      <c r="T1308" s="428"/>
      <c r="U1308" s="428"/>
      <c r="V1308" s="428"/>
      <c r="W1308" s="428"/>
      <c r="X1308" s="428"/>
      <c r="Y1308" s="428"/>
    </row>
    <row r="1309" ht="13.5" customHeight="1">
      <c r="A1309" s="84"/>
      <c r="B1309" s="84"/>
      <c r="C1309" s="84"/>
      <c r="D1309" s="106"/>
      <c r="E1309" s="106"/>
      <c r="F1309" s="106"/>
      <c r="G1309" s="84"/>
      <c r="H1309" s="106"/>
      <c r="I1309" s="106"/>
      <c r="J1309" s="106"/>
      <c r="K1309" s="106"/>
      <c r="L1309" s="106"/>
      <c r="M1309" s="104"/>
      <c r="N1309" s="106"/>
      <c r="O1309" s="428"/>
      <c r="P1309" s="106"/>
      <c r="Q1309" s="84"/>
      <c r="R1309" s="84"/>
      <c r="S1309" s="428"/>
      <c r="T1309" s="428"/>
      <c r="U1309" s="428"/>
      <c r="V1309" s="428"/>
      <c r="W1309" s="428"/>
      <c r="X1309" s="428"/>
      <c r="Y1309" s="428"/>
    </row>
    <row r="1310" ht="13.5" customHeight="1">
      <c r="A1310" s="84"/>
      <c r="B1310" s="84"/>
      <c r="C1310" s="84"/>
      <c r="D1310" s="106"/>
      <c r="E1310" s="106"/>
      <c r="F1310" s="106"/>
      <c r="G1310" s="84"/>
      <c r="H1310" s="106"/>
      <c r="I1310" s="106"/>
      <c r="J1310" s="106"/>
      <c r="K1310" s="106"/>
      <c r="L1310" s="106"/>
      <c r="M1310" s="104"/>
      <c r="N1310" s="106"/>
      <c r="O1310" s="428"/>
      <c r="P1310" s="106"/>
      <c r="Q1310" s="84"/>
      <c r="R1310" s="84"/>
      <c r="S1310" s="428"/>
      <c r="T1310" s="428"/>
      <c r="U1310" s="428"/>
      <c r="V1310" s="428"/>
      <c r="W1310" s="428"/>
      <c r="X1310" s="428"/>
      <c r="Y1310" s="428"/>
    </row>
    <row r="1311" ht="13.5" customHeight="1">
      <c r="A1311" s="84"/>
      <c r="B1311" s="84"/>
      <c r="C1311" s="84"/>
      <c r="D1311" s="106"/>
      <c r="E1311" s="106"/>
      <c r="F1311" s="106"/>
      <c r="G1311" s="84"/>
      <c r="H1311" s="106"/>
      <c r="I1311" s="106"/>
      <c r="J1311" s="106"/>
      <c r="K1311" s="106"/>
      <c r="L1311" s="106"/>
      <c r="M1311" s="104"/>
      <c r="N1311" s="106"/>
      <c r="O1311" s="428"/>
      <c r="P1311" s="106"/>
      <c r="Q1311" s="84"/>
      <c r="R1311" s="84"/>
      <c r="S1311" s="428"/>
      <c r="T1311" s="428"/>
      <c r="U1311" s="428"/>
      <c r="V1311" s="428"/>
      <c r="W1311" s="428"/>
      <c r="X1311" s="428"/>
      <c r="Y1311" s="428"/>
    </row>
    <row r="1312" ht="13.5" customHeight="1">
      <c r="A1312" s="84"/>
      <c r="B1312" s="84"/>
      <c r="C1312" s="84"/>
      <c r="D1312" s="106"/>
      <c r="E1312" s="106"/>
      <c r="F1312" s="106"/>
      <c r="G1312" s="84"/>
      <c r="H1312" s="106"/>
      <c r="I1312" s="106"/>
      <c r="J1312" s="106"/>
      <c r="K1312" s="106"/>
      <c r="L1312" s="106"/>
      <c r="M1312" s="104"/>
      <c r="N1312" s="106"/>
      <c r="O1312" s="428"/>
      <c r="P1312" s="106"/>
      <c r="Q1312" s="84"/>
      <c r="R1312" s="84"/>
      <c r="S1312" s="428"/>
      <c r="T1312" s="428"/>
      <c r="U1312" s="428"/>
      <c r="V1312" s="428"/>
      <c r="W1312" s="428"/>
      <c r="X1312" s="428"/>
      <c r="Y1312" s="428"/>
    </row>
    <row r="1313" ht="13.5" customHeight="1">
      <c r="A1313" s="84"/>
      <c r="B1313" s="84"/>
      <c r="C1313" s="84"/>
      <c r="D1313" s="106"/>
      <c r="E1313" s="106"/>
      <c r="F1313" s="106"/>
      <c r="G1313" s="84"/>
      <c r="H1313" s="106"/>
      <c r="I1313" s="106"/>
      <c r="J1313" s="106"/>
      <c r="K1313" s="106"/>
      <c r="L1313" s="106"/>
      <c r="M1313" s="104"/>
      <c r="N1313" s="106"/>
      <c r="O1313" s="428"/>
      <c r="P1313" s="106"/>
      <c r="Q1313" s="84"/>
      <c r="R1313" s="84"/>
      <c r="S1313" s="428"/>
      <c r="T1313" s="428"/>
      <c r="U1313" s="428"/>
      <c r="V1313" s="428"/>
      <c r="W1313" s="428"/>
      <c r="X1313" s="428"/>
      <c r="Y1313" s="428"/>
    </row>
    <row r="1314" ht="13.5" customHeight="1">
      <c r="A1314" s="84"/>
      <c r="B1314" s="84"/>
      <c r="C1314" s="84"/>
      <c r="D1314" s="106"/>
      <c r="E1314" s="106"/>
      <c r="F1314" s="106"/>
      <c r="G1314" s="84"/>
      <c r="H1314" s="106"/>
      <c r="I1314" s="106"/>
      <c r="J1314" s="106"/>
      <c r="K1314" s="106"/>
      <c r="L1314" s="106"/>
      <c r="M1314" s="104"/>
      <c r="N1314" s="106"/>
      <c r="O1314" s="428"/>
      <c r="P1314" s="106"/>
      <c r="Q1314" s="84"/>
      <c r="R1314" s="84"/>
      <c r="S1314" s="428"/>
      <c r="T1314" s="428"/>
      <c r="U1314" s="428"/>
      <c r="V1314" s="428"/>
      <c r="W1314" s="428"/>
      <c r="X1314" s="428"/>
      <c r="Y1314" s="428"/>
    </row>
    <row r="1315" ht="13.5" customHeight="1">
      <c r="A1315" s="84"/>
      <c r="B1315" s="84"/>
      <c r="C1315" s="84"/>
      <c r="D1315" s="106"/>
      <c r="E1315" s="106"/>
      <c r="F1315" s="106"/>
      <c r="G1315" s="84"/>
      <c r="H1315" s="106"/>
      <c r="I1315" s="106"/>
      <c r="J1315" s="106"/>
      <c r="K1315" s="106"/>
      <c r="L1315" s="106"/>
      <c r="M1315" s="104"/>
      <c r="N1315" s="106"/>
      <c r="O1315" s="428"/>
      <c r="P1315" s="106"/>
      <c r="Q1315" s="84"/>
      <c r="R1315" s="84"/>
      <c r="S1315" s="428"/>
      <c r="T1315" s="428"/>
      <c r="U1315" s="428"/>
      <c r="V1315" s="428"/>
      <c r="W1315" s="428"/>
      <c r="X1315" s="428"/>
      <c r="Y1315" s="428"/>
    </row>
    <row r="1316" ht="13.5" customHeight="1">
      <c r="A1316" s="84"/>
      <c r="B1316" s="84"/>
      <c r="C1316" s="84"/>
      <c r="D1316" s="106"/>
      <c r="E1316" s="106"/>
      <c r="F1316" s="106"/>
      <c r="G1316" s="84"/>
      <c r="H1316" s="106"/>
      <c r="I1316" s="106"/>
      <c r="J1316" s="106"/>
      <c r="K1316" s="106"/>
      <c r="L1316" s="106"/>
      <c r="M1316" s="104"/>
      <c r="N1316" s="106"/>
      <c r="O1316" s="428"/>
      <c r="P1316" s="106"/>
      <c r="Q1316" s="84"/>
      <c r="R1316" s="84"/>
      <c r="S1316" s="428"/>
      <c r="T1316" s="428"/>
      <c r="U1316" s="428"/>
      <c r="V1316" s="428"/>
      <c r="W1316" s="428"/>
      <c r="X1316" s="428"/>
      <c r="Y1316" s="428"/>
    </row>
    <row r="1317" ht="13.5" customHeight="1">
      <c r="A1317" s="84"/>
      <c r="B1317" s="84"/>
      <c r="C1317" s="84"/>
      <c r="D1317" s="106"/>
      <c r="E1317" s="106"/>
      <c r="F1317" s="106"/>
      <c r="G1317" s="84"/>
      <c r="H1317" s="106"/>
      <c r="I1317" s="106"/>
      <c r="J1317" s="106"/>
      <c r="K1317" s="106"/>
      <c r="L1317" s="106"/>
      <c r="M1317" s="104"/>
      <c r="N1317" s="106"/>
      <c r="O1317" s="428"/>
      <c r="P1317" s="106"/>
      <c r="Q1317" s="84"/>
      <c r="R1317" s="84"/>
      <c r="S1317" s="428"/>
      <c r="T1317" s="428"/>
      <c r="U1317" s="428"/>
      <c r="V1317" s="428"/>
      <c r="W1317" s="428"/>
      <c r="X1317" s="428"/>
      <c r="Y1317" s="428"/>
    </row>
    <row r="1318" ht="13.5" customHeight="1">
      <c r="A1318" s="84"/>
      <c r="B1318" s="84"/>
      <c r="C1318" s="84"/>
      <c r="D1318" s="106"/>
      <c r="E1318" s="106"/>
      <c r="F1318" s="106"/>
      <c r="G1318" s="84"/>
      <c r="H1318" s="106"/>
      <c r="I1318" s="106"/>
      <c r="J1318" s="106"/>
      <c r="K1318" s="106"/>
      <c r="L1318" s="106"/>
      <c r="M1318" s="104"/>
      <c r="N1318" s="106"/>
      <c r="O1318" s="428"/>
      <c r="P1318" s="106"/>
      <c r="Q1318" s="84"/>
      <c r="R1318" s="84"/>
      <c r="S1318" s="428"/>
      <c r="T1318" s="428"/>
      <c r="U1318" s="428"/>
      <c r="V1318" s="428"/>
      <c r="W1318" s="428"/>
      <c r="X1318" s="428"/>
      <c r="Y1318" s="428"/>
    </row>
    <row r="1319" ht="13.5" customHeight="1">
      <c r="A1319" s="84"/>
      <c r="B1319" s="84"/>
      <c r="C1319" s="84"/>
      <c r="D1319" s="106"/>
      <c r="E1319" s="106"/>
      <c r="F1319" s="106"/>
      <c r="G1319" s="84"/>
      <c r="H1319" s="106"/>
      <c r="I1319" s="106"/>
      <c r="J1319" s="106"/>
      <c r="K1319" s="106"/>
      <c r="L1319" s="106"/>
      <c r="M1319" s="104"/>
      <c r="N1319" s="106"/>
      <c r="O1319" s="428"/>
      <c r="P1319" s="106"/>
      <c r="Q1319" s="84"/>
      <c r="R1319" s="84"/>
      <c r="S1319" s="428"/>
      <c r="T1319" s="428"/>
      <c r="U1319" s="428"/>
      <c r="V1319" s="428"/>
      <c r="W1319" s="428"/>
      <c r="X1319" s="428"/>
      <c r="Y1319" s="428"/>
    </row>
    <row r="1320" ht="13.5" customHeight="1">
      <c r="A1320" s="84"/>
      <c r="B1320" s="84"/>
      <c r="C1320" s="84"/>
      <c r="D1320" s="106"/>
      <c r="E1320" s="106"/>
      <c r="F1320" s="106"/>
      <c r="G1320" s="84"/>
      <c r="H1320" s="106"/>
      <c r="I1320" s="106"/>
      <c r="J1320" s="106"/>
      <c r="K1320" s="106"/>
      <c r="L1320" s="106"/>
      <c r="M1320" s="104"/>
      <c r="N1320" s="106"/>
      <c r="O1320" s="428"/>
      <c r="P1320" s="106"/>
      <c r="Q1320" s="84"/>
      <c r="R1320" s="84"/>
      <c r="S1320" s="428"/>
      <c r="T1320" s="428"/>
      <c r="U1320" s="428"/>
      <c r="V1320" s="428"/>
      <c r="W1320" s="428"/>
      <c r="X1320" s="428"/>
      <c r="Y1320" s="428"/>
    </row>
    <row r="1321" ht="13.5" customHeight="1">
      <c r="A1321" s="84"/>
      <c r="B1321" s="84"/>
      <c r="C1321" s="84"/>
      <c r="D1321" s="106"/>
      <c r="E1321" s="106"/>
      <c r="F1321" s="106"/>
      <c r="G1321" s="84"/>
      <c r="H1321" s="106"/>
      <c r="I1321" s="106"/>
      <c r="J1321" s="106"/>
      <c r="K1321" s="106"/>
      <c r="L1321" s="106"/>
      <c r="M1321" s="104"/>
      <c r="N1321" s="106"/>
      <c r="O1321" s="428"/>
      <c r="P1321" s="106"/>
      <c r="Q1321" s="84"/>
      <c r="R1321" s="84"/>
      <c r="S1321" s="428"/>
      <c r="T1321" s="428"/>
      <c r="U1321" s="428"/>
      <c r="V1321" s="428"/>
      <c r="W1321" s="428"/>
      <c r="X1321" s="428"/>
      <c r="Y1321" s="428"/>
    </row>
    <row r="1322" ht="13.5" customHeight="1">
      <c r="A1322" s="84"/>
      <c r="B1322" s="84"/>
      <c r="C1322" s="84"/>
      <c r="D1322" s="106"/>
      <c r="E1322" s="106"/>
      <c r="F1322" s="106"/>
      <c r="G1322" s="84"/>
      <c r="H1322" s="106"/>
      <c r="I1322" s="106"/>
      <c r="J1322" s="106"/>
      <c r="K1322" s="106"/>
      <c r="L1322" s="106"/>
      <c r="M1322" s="104"/>
      <c r="N1322" s="106"/>
      <c r="O1322" s="428"/>
      <c r="P1322" s="106"/>
      <c r="Q1322" s="84"/>
      <c r="R1322" s="84"/>
      <c r="S1322" s="428"/>
      <c r="T1322" s="428"/>
      <c r="U1322" s="428"/>
      <c r="V1322" s="428"/>
      <c r="W1322" s="428"/>
      <c r="X1322" s="428"/>
      <c r="Y1322" s="428"/>
    </row>
    <row r="1323" ht="13.5" customHeight="1">
      <c r="A1323" s="84"/>
      <c r="B1323" s="84"/>
      <c r="C1323" s="84"/>
      <c r="D1323" s="106"/>
      <c r="E1323" s="106"/>
      <c r="F1323" s="106"/>
      <c r="G1323" s="84"/>
      <c r="H1323" s="106"/>
      <c r="I1323" s="106"/>
      <c r="J1323" s="106"/>
      <c r="K1323" s="106"/>
      <c r="L1323" s="106"/>
      <c r="M1323" s="104"/>
      <c r="N1323" s="106"/>
      <c r="O1323" s="428"/>
      <c r="P1323" s="106"/>
      <c r="Q1323" s="84"/>
      <c r="R1323" s="84"/>
      <c r="S1323" s="428"/>
      <c r="T1323" s="428"/>
      <c r="U1323" s="428"/>
      <c r="V1323" s="428"/>
      <c r="W1323" s="428"/>
      <c r="X1323" s="428"/>
      <c r="Y1323" s="428"/>
    </row>
    <row r="1324" ht="13.5" customHeight="1">
      <c r="A1324" s="84"/>
      <c r="B1324" s="84"/>
      <c r="C1324" s="84"/>
      <c r="D1324" s="106"/>
      <c r="E1324" s="106"/>
      <c r="F1324" s="106"/>
      <c r="G1324" s="84"/>
      <c r="H1324" s="106"/>
      <c r="I1324" s="106"/>
      <c r="J1324" s="106"/>
      <c r="K1324" s="106"/>
      <c r="L1324" s="106"/>
      <c r="M1324" s="104"/>
      <c r="N1324" s="106"/>
      <c r="O1324" s="428"/>
      <c r="P1324" s="106"/>
      <c r="Q1324" s="84"/>
      <c r="R1324" s="84"/>
      <c r="S1324" s="428"/>
      <c r="T1324" s="428"/>
      <c r="U1324" s="428"/>
      <c r="V1324" s="428"/>
      <c r="W1324" s="428"/>
      <c r="X1324" s="428"/>
      <c r="Y1324" s="428"/>
    </row>
    <row r="1325" ht="13.5" customHeight="1">
      <c r="A1325" s="84"/>
      <c r="B1325" s="84"/>
      <c r="C1325" s="84"/>
      <c r="D1325" s="106"/>
      <c r="E1325" s="106"/>
      <c r="F1325" s="106"/>
      <c r="G1325" s="84"/>
      <c r="H1325" s="106"/>
      <c r="I1325" s="106"/>
      <c r="J1325" s="106"/>
      <c r="K1325" s="106"/>
      <c r="L1325" s="106"/>
      <c r="M1325" s="104"/>
      <c r="N1325" s="106"/>
      <c r="O1325" s="428"/>
      <c r="P1325" s="106"/>
      <c r="Q1325" s="84"/>
      <c r="R1325" s="84"/>
      <c r="S1325" s="428"/>
      <c r="T1325" s="428"/>
      <c r="U1325" s="428"/>
      <c r="V1325" s="428"/>
      <c r="W1325" s="428"/>
      <c r="X1325" s="428"/>
      <c r="Y1325" s="428"/>
    </row>
    <row r="1326" ht="13.5" customHeight="1">
      <c r="A1326" s="84"/>
      <c r="B1326" s="84"/>
      <c r="C1326" s="84"/>
      <c r="D1326" s="106"/>
      <c r="E1326" s="106"/>
      <c r="F1326" s="106"/>
      <c r="G1326" s="84"/>
      <c r="H1326" s="106"/>
      <c r="I1326" s="106"/>
      <c r="J1326" s="106"/>
      <c r="K1326" s="106"/>
      <c r="L1326" s="106"/>
      <c r="M1326" s="104"/>
      <c r="N1326" s="106"/>
      <c r="O1326" s="428"/>
      <c r="P1326" s="106"/>
      <c r="Q1326" s="84"/>
      <c r="R1326" s="84"/>
      <c r="S1326" s="428"/>
      <c r="T1326" s="428"/>
      <c r="U1326" s="428"/>
      <c r="V1326" s="428"/>
      <c r="W1326" s="428"/>
      <c r="X1326" s="428"/>
      <c r="Y1326" s="428"/>
    </row>
    <row r="1327" ht="13.5" customHeight="1">
      <c r="A1327" s="84"/>
      <c r="B1327" s="84"/>
      <c r="C1327" s="84"/>
      <c r="D1327" s="106"/>
      <c r="E1327" s="106"/>
      <c r="F1327" s="106"/>
      <c r="G1327" s="84"/>
      <c r="H1327" s="106"/>
      <c r="I1327" s="106"/>
      <c r="J1327" s="106"/>
      <c r="K1327" s="106"/>
      <c r="L1327" s="106"/>
      <c r="M1327" s="104"/>
      <c r="N1327" s="106"/>
      <c r="O1327" s="428"/>
      <c r="P1327" s="106"/>
      <c r="Q1327" s="84"/>
      <c r="R1327" s="84"/>
      <c r="S1327" s="428"/>
      <c r="T1327" s="428"/>
      <c r="U1327" s="428"/>
      <c r="V1327" s="428"/>
      <c r="W1327" s="428"/>
      <c r="X1327" s="428"/>
      <c r="Y1327" s="428"/>
    </row>
    <row r="1328" ht="13.5" customHeight="1">
      <c r="A1328" s="84"/>
      <c r="B1328" s="84"/>
      <c r="C1328" s="84"/>
      <c r="D1328" s="106"/>
      <c r="E1328" s="106"/>
      <c r="F1328" s="106"/>
      <c r="G1328" s="84"/>
      <c r="H1328" s="106"/>
      <c r="I1328" s="106"/>
      <c r="J1328" s="106"/>
      <c r="K1328" s="106"/>
      <c r="L1328" s="106"/>
      <c r="M1328" s="104"/>
      <c r="N1328" s="106"/>
      <c r="O1328" s="428"/>
      <c r="P1328" s="106"/>
      <c r="Q1328" s="84"/>
      <c r="R1328" s="84"/>
      <c r="S1328" s="428"/>
      <c r="T1328" s="428"/>
      <c r="U1328" s="428"/>
      <c r="V1328" s="428"/>
      <c r="W1328" s="428"/>
      <c r="X1328" s="428"/>
      <c r="Y1328" s="428"/>
    </row>
    <row r="1329" ht="13.5" customHeight="1">
      <c r="A1329" s="84"/>
      <c r="B1329" s="84"/>
      <c r="C1329" s="84"/>
      <c r="D1329" s="106"/>
      <c r="E1329" s="106"/>
      <c r="F1329" s="106"/>
      <c r="G1329" s="84"/>
      <c r="H1329" s="106"/>
      <c r="I1329" s="106"/>
      <c r="J1329" s="106"/>
      <c r="K1329" s="106"/>
      <c r="L1329" s="106"/>
      <c r="M1329" s="104"/>
      <c r="N1329" s="106"/>
      <c r="O1329" s="428"/>
      <c r="P1329" s="106"/>
      <c r="Q1329" s="84"/>
      <c r="R1329" s="84"/>
      <c r="S1329" s="428"/>
      <c r="T1329" s="428"/>
      <c r="U1329" s="428"/>
      <c r="V1329" s="428"/>
      <c r="W1329" s="428"/>
      <c r="X1329" s="428"/>
      <c r="Y1329" s="428"/>
    </row>
    <row r="1330" ht="13.5" customHeight="1">
      <c r="A1330" s="84"/>
      <c r="B1330" s="84"/>
      <c r="C1330" s="84"/>
      <c r="D1330" s="106"/>
      <c r="E1330" s="106"/>
      <c r="F1330" s="106"/>
      <c r="G1330" s="84"/>
      <c r="H1330" s="106"/>
      <c r="I1330" s="106"/>
      <c r="J1330" s="106"/>
      <c r="K1330" s="106"/>
      <c r="L1330" s="106"/>
      <c r="M1330" s="104"/>
      <c r="N1330" s="106"/>
      <c r="O1330" s="428"/>
      <c r="P1330" s="106"/>
      <c r="Q1330" s="84"/>
      <c r="R1330" s="84"/>
      <c r="S1330" s="428"/>
      <c r="T1330" s="428"/>
      <c r="U1330" s="428"/>
      <c r="V1330" s="428"/>
      <c r="W1330" s="428"/>
      <c r="X1330" s="428"/>
      <c r="Y1330" s="428"/>
    </row>
    <row r="1331" ht="13.5" customHeight="1">
      <c r="A1331" s="84"/>
      <c r="B1331" s="84"/>
      <c r="C1331" s="84"/>
      <c r="D1331" s="106"/>
      <c r="E1331" s="106"/>
      <c r="F1331" s="106"/>
      <c r="G1331" s="84"/>
      <c r="H1331" s="106"/>
      <c r="I1331" s="106"/>
      <c r="J1331" s="106"/>
      <c r="K1331" s="106"/>
      <c r="L1331" s="106"/>
      <c r="M1331" s="104"/>
      <c r="N1331" s="106"/>
      <c r="O1331" s="428"/>
      <c r="P1331" s="106"/>
      <c r="Q1331" s="84"/>
      <c r="R1331" s="84"/>
      <c r="S1331" s="428"/>
      <c r="T1331" s="428"/>
      <c r="U1331" s="428"/>
      <c r="V1331" s="428"/>
      <c r="W1331" s="428"/>
      <c r="X1331" s="428"/>
      <c r="Y1331" s="428"/>
    </row>
    <row r="1332" ht="13.5" customHeight="1">
      <c r="A1332" s="84"/>
      <c r="B1332" s="84"/>
      <c r="C1332" s="84"/>
      <c r="D1332" s="106"/>
      <c r="E1332" s="106"/>
      <c r="F1332" s="106"/>
      <c r="G1332" s="84"/>
      <c r="H1332" s="106"/>
      <c r="I1332" s="106"/>
      <c r="J1332" s="106"/>
      <c r="K1332" s="106"/>
      <c r="L1332" s="106"/>
      <c r="M1332" s="104"/>
      <c r="N1332" s="106"/>
      <c r="O1332" s="428"/>
      <c r="P1332" s="106"/>
      <c r="Q1332" s="84"/>
      <c r="R1332" s="84"/>
      <c r="S1332" s="428"/>
      <c r="T1332" s="428"/>
      <c r="U1332" s="428"/>
      <c r="V1332" s="428"/>
      <c r="W1332" s="428"/>
      <c r="X1332" s="428"/>
      <c r="Y1332" s="428"/>
    </row>
    <row r="1333" ht="13.5" customHeight="1">
      <c r="A1333" s="84"/>
      <c r="B1333" s="84"/>
      <c r="C1333" s="84"/>
      <c r="D1333" s="106"/>
      <c r="E1333" s="106"/>
      <c r="F1333" s="106"/>
      <c r="G1333" s="84"/>
      <c r="H1333" s="106"/>
      <c r="I1333" s="106"/>
      <c r="J1333" s="106"/>
      <c r="K1333" s="106"/>
      <c r="L1333" s="106"/>
      <c r="M1333" s="104"/>
      <c r="N1333" s="106"/>
      <c r="O1333" s="428"/>
      <c r="P1333" s="106"/>
      <c r="Q1333" s="84"/>
      <c r="R1333" s="84"/>
      <c r="S1333" s="428"/>
      <c r="T1333" s="428"/>
      <c r="U1333" s="428"/>
      <c r="V1333" s="428"/>
      <c r="W1333" s="428"/>
      <c r="X1333" s="428"/>
      <c r="Y1333" s="428"/>
    </row>
    <row r="1334" ht="13.5" customHeight="1">
      <c r="A1334" s="84"/>
      <c r="B1334" s="84"/>
      <c r="C1334" s="84"/>
      <c r="D1334" s="106"/>
      <c r="E1334" s="106"/>
      <c r="F1334" s="106"/>
      <c r="G1334" s="84"/>
      <c r="H1334" s="106"/>
      <c r="I1334" s="106"/>
      <c r="J1334" s="106"/>
      <c r="K1334" s="106"/>
      <c r="L1334" s="106"/>
      <c r="M1334" s="104"/>
      <c r="N1334" s="106"/>
      <c r="O1334" s="428"/>
      <c r="P1334" s="106"/>
      <c r="Q1334" s="84"/>
      <c r="R1334" s="84"/>
      <c r="S1334" s="428"/>
      <c r="T1334" s="428"/>
      <c r="U1334" s="428"/>
      <c r="V1334" s="428"/>
      <c r="W1334" s="428"/>
      <c r="X1334" s="428"/>
      <c r="Y1334" s="428"/>
    </row>
    <row r="1335" ht="13.5" customHeight="1">
      <c r="A1335" s="84"/>
      <c r="B1335" s="84"/>
      <c r="C1335" s="84"/>
      <c r="D1335" s="106"/>
      <c r="E1335" s="106"/>
      <c r="F1335" s="106"/>
      <c r="G1335" s="84"/>
      <c r="H1335" s="106"/>
      <c r="I1335" s="106"/>
      <c r="J1335" s="106"/>
      <c r="K1335" s="106"/>
      <c r="L1335" s="106"/>
      <c r="M1335" s="104"/>
      <c r="N1335" s="106"/>
      <c r="O1335" s="428"/>
      <c r="P1335" s="106"/>
      <c r="Q1335" s="84"/>
      <c r="R1335" s="84"/>
      <c r="S1335" s="428"/>
      <c r="T1335" s="428"/>
      <c r="U1335" s="428"/>
      <c r="V1335" s="428"/>
      <c r="W1335" s="428"/>
      <c r="X1335" s="428"/>
      <c r="Y1335" s="428"/>
    </row>
    <row r="1336" ht="13.5" customHeight="1">
      <c r="A1336" s="84"/>
      <c r="B1336" s="84"/>
      <c r="C1336" s="84"/>
      <c r="D1336" s="106"/>
      <c r="E1336" s="106"/>
      <c r="F1336" s="106"/>
      <c r="G1336" s="84"/>
      <c r="H1336" s="106"/>
      <c r="I1336" s="106"/>
      <c r="J1336" s="106"/>
      <c r="K1336" s="106"/>
      <c r="L1336" s="106"/>
      <c r="M1336" s="104"/>
      <c r="N1336" s="106"/>
      <c r="O1336" s="428"/>
      <c r="P1336" s="106"/>
      <c r="Q1336" s="84"/>
      <c r="R1336" s="84"/>
      <c r="S1336" s="428"/>
      <c r="T1336" s="428"/>
      <c r="U1336" s="428"/>
      <c r="V1336" s="428"/>
      <c r="W1336" s="428"/>
      <c r="X1336" s="428"/>
      <c r="Y1336" s="428"/>
    </row>
    <row r="1337" ht="13.5" customHeight="1">
      <c r="A1337" s="84"/>
      <c r="B1337" s="84"/>
      <c r="C1337" s="84"/>
      <c r="D1337" s="106"/>
      <c r="E1337" s="106"/>
      <c r="F1337" s="106"/>
      <c r="G1337" s="84"/>
      <c r="H1337" s="106"/>
      <c r="I1337" s="106"/>
      <c r="J1337" s="106"/>
      <c r="K1337" s="106"/>
      <c r="L1337" s="106"/>
      <c r="M1337" s="104"/>
      <c r="N1337" s="106"/>
      <c r="O1337" s="428"/>
      <c r="P1337" s="106"/>
      <c r="Q1337" s="84"/>
      <c r="R1337" s="84"/>
      <c r="S1337" s="428"/>
      <c r="T1337" s="428"/>
      <c r="U1337" s="428"/>
      <c r="V1337" s="428"/>
      <c r="W1337" s="428"/>
      <c r="X1337" s="428"/>
      <c r="Y1337" s="428"/>
    </row>
    <row r="1338" ht="13.5" customHeight="1">
      <c r="A1338" s="84"/>
      <c r="B1338" s="84"/>
      <c r="C1338" s="84"/>
      <c r="D1338" s="106"/>
      <c r="E1338" s="106"/>
      <c r="F1338" s="106"/>
      <c r="G1338" s="84"/>
      <c r="H1338" s="106"/>
      <c r="I1338" s="106"/>
      <c r="J1338" s="106"/>
      <c r="K1338" s="106"/>
      <c r="L1338" s="106"/>
      <c r="M1338" s="104"/>
      <c r="N1338" s="106"/>
      <c r="O1338" s="428"/>
      <c r="P1338" s="106"/>
      <c r="Q1338" s="84"/>
      <c r="R1338" s="84"/>
      <c r="S1338" s="428"/>
      <c r="T1338" s="428"/>
      <c r="U1338" s="428"/>
      <c r="V1338" s="428"/>
      <c r="W1338" s="428"/>
      <c r="X1338" s="428"/>
      <c r="Y1338" s="428"/>
    </row>
    <row r="1339" ht="13.5" customHeight="1">
      <c r="A1339" s="84"/>
      <c r="B1339" s="84"/>
      <c r="C1339" s="84"/>
      <c r="D1339" s="106"/>
      <c r="E1339" s="106"/>
      <c r="F1339" s="106"/>
      <c r="G1339" s="84"/>
      <c r="H1339" s="106"/>
      <c r="I1339" s="106"/>
      <c r="J1339" s="106"/>
      <c r="K1339" s="106"/>
      <c r="L1339" s="106"/>
      <c r="M1339" s="104"/>
      <c r="N1339" s="106"/>
      <c r="O1339" s="428"/>
      <c r="P1339" s="106"/>
      <c r="Q1339" s="84"/>
      <c r="R1339" s="84"/>
      <c r="S1339" s="428"/>
      <c r="T1339" s="428"/>
      <c r="U1339" s="428"/>
      <c r="V1339" s="428"/>
      <c r="W1339" s="428"/>
      <c r="X1339" s="428"/>
      <c r="Y1339" s="428"/>
    </row>
    <row r="1340" ht="13.5" customHeight="1">
      <c r="A1340" s="84"/>
      <c r="B1340" s="84"/>
      <c r="C1340" s="84"/>
      <c r="D1340" s="106"/>
      <c r="E1340" s="106"/>
      <c r="F1340" s="106"/>
      <c r="G1340" s="84"/>
      <c r="H1340" s="106"/>
      <c r="I1340" s="106"/>
      <c r="J1340" s="106"/>
      <c r="K1340" s="106"/>
      <c r="L1340" s="106"/>
      <c r="M1340" s="104"/>
      <c r="N1340" s="106"/>
      <c r="O1340" s="428"/>
      <c r="P1340" s="106"/>
      <c r="Q1340" s="84"/>
      <c r="R1340" s="84"/>
      <c r="S1340" s="428"/>
      <c r="T1340" s="428"/>
      <c r="U1340" s="428"/>
      <c r="V1340" s="428"/>
      <c r="W1340" s="428"/>
      <c r="X1340" s="428"/>
      <c r="Y1340" s="428"/>
    </row>
    <row r="1341" ht="13.5" customHeight="1">
      <c r="A1341" s="84"/>
      <c r="B1341" s="84"/>
      <c r="C1341" s="84"/>
      <c r="D1341" s="106"/>
      <c r="E1341" s="106"/>
      <c r="F1341" s="106"/>
      <c r="G1341" s="84"/>
      <c r="H1341" s="106"/>
      <c r="I1341" s="106"/>
      <c r="J1341" s="106"/>
      <c r="K1341" s="106"/>
      <c r="L1341" s="106"/>
      <c r="M1341" s="104"/>
      <c r="N1341" s="106"/>
      <c r="O1341" s="428"/>
      <c r="P1341" s="106"/>
      <c r="Q1341" s="84"/>
      <c r="R1341" s="84"/>
      <c r="S1341" s="428"/>
      <c r="T1341" s="428"/>
      <c r="U1341" s="428"/>
      <c r="V1341" s="428"/>
      <c r="W1341" s="428"/>
      <c r="X1341" s="428"/>
      <c r="Y1341" s="428"/>
    </row>
    <row r="1342" ht="13.5" customHeight="1">
      <c r="A1342" s="84"/>
      <c r="B1342" s="84"/>
      <c r="C1342" s="84"/>
      <c r="D1342" s="106"/>
      <c r="E1342" s="106"/>
      <c r="F1342" s="106"/>
      <c r="G1342" s="84"/>
      <c r="H1342" s="106"/>
      <c r="I1342" s="106"/>
      <c r="J1342" s="106"/>
      <c r="K1342" s="106"/>
      <c r="L1342" s="106"/>
      <c r="M1342" s="104"/>
      <c r="N1342" s="106"/>
      <c r="O1342" s="428"/>
      <c r="P1342" s="106"/>
      <c r="Q1342" s="84"/>
      <c r="R1342" s="84"/>
      <c r="S1342" s="428"/>
      <c r="T1342" s="428"/>
      <c r="U1342" s="428"/>
      <c r="V1342" s="428"/>
      <c r="W1342" s="428"/>
      <c r="X1342" s="428"/>
      <c r="Y1342" s="428"/>
    </row>
    <row r="1343" ht="13.5" customHeight="1">
      <c r="A1343" s="84"/>
      <c r="B1343" s="84"/>
      <c r="C1343" s="84"/>
      <c r="D1343" s="106"/>
      <c r="E1343" s="106"/>
      <c r="F1343" s="106"/>
      <c r="G1343" s="84"/>
      <c r="H1343" s="106"/>
      <c r="I1343" s="106"/>
      <c r="J1343" s="106"/>
      <c r="K1343" s="106"/>
      <c r="L1343" s="106"/>
      <c r="M1343" s="104"/>
      <c r="N1343" s="106"/>
      <c r="O1343" s="428"/>
      <c r="P1343" s="106"/>
      <c r="Q1343" s="84"/>
      <c r="R1343" s="84"/>
      <c r="S1343" s="428"/>
      <c r="T1343" s="428"/>
      <c r="U1343" s="428"/>
      <c r="V1343" s="428"/>
      <c r="W1343" s="428"/>
      <c r="X1343" s="428"/>
      <c r="Y1343" s="428"/>
    </row>
    <row r="1344" ht="13.5" customHeight="1">
      <c r="A1344" s="84"/>
      <c r="B1344" s="84"/>
      <c r="C1344" s="84"/>
      <c r="D1344" s="106"/>
      <c r="E1344" s="106"/>
      <c r="F1344" s="106"/>
      <c r="G1344" s="84"/>
      <c r="H1344" s="106"/>
      <c r="I1344" s="106"/>
      <c r="J1344" s="106"/>
      <c r="K1344" s="106"/>
      <c r="L1344" s="106"/>
      <c r="M1344" s="104"/>
      <c r="N1344" s="106"/>
      <c r="O1344" s="428"/>
      <c r="P1344" s="106"/>
      <c r="Q1344" s="84"/>
      <c r="R1344" s="84"/>
      <c r="S1344" s="428"/>
      <c r="T1344" s="428"/>
      <c r="U1344" s="428"/>
      <c r="V1344" s="428"/>
      <c r="W1344" s="428"/>
      <c r="X1344" s="428"/>
      <c r="Y1344" s="428"/>
    </row>
    <row r="1345" ht="13.5" customHeight="1">
      <c r="A1345" s="84"/>
      <c r="B1345" s="84"/>
      <c r="C1345" s="84"/>
      <c r="D1345" s="106"/>
      <c r="E1345" s="106"/>
      <c r="F1345" s="106"/>
      <c r="G1345" s="84"/>
      <c r="H1345" s="106"/>
      <c r="I1345" s="106"/>
      <c r="J1345" s="106"/>
      <c r="K1345" s="106"/>
      <c r="L1345" s="106"/>
      <c r="M1345" s="104"/>
      <c r="N1345" s="106"/>
      <c r="O1345" s="428"/>
      <c r="P1345" s="106"/>
      <c r="Q1345" s="84"/>
      <c r="R1345" s="84"/>
      <c r="S1345" s="428"/>
      <c r="T1345" s="428"/>
      <c r="U1345" s="428"/>
      <c r="V1345" s="428"/>
      <c r="W1345" s="428"/>
      <c r="X1345" s="428"/>
      <c r="Y1345" s="428"/>
    </row>
    <row r="1346" ht="13.5" customHeight="1">
      <c r="A1346" s="84"/>
      <c r="B1346" s="84"/>
      <c r="C1346" s="84"/>
      <c r="D1346" s="106"/>
      <c r="E1346" s="106"/>
      <c r="F1346" s="106"/>
      <c r="G1346" s="84"/>
      <c r="H1346" s="106"/>
      <c r="I1346" s="106"/>
      <c r="J1346" s="106"/>
      <c r="K1346" s="106"/>
      <c r="L1346" s="106"/>
      <c r="M1346" s="104"/>
      <c r="N1346" s="106"/>
      <c r="O1346" s="428"/>
      <c r="P1346" s="106"/>
      <c r="Q1346" s="84"/>
      <c r="R1346" s="84"/>
      <c r="S1346" s="428"/>
      <c r="T1346" s="428"/>
      <c r="U1346" s="428"/>
      <c r="V1346" s="428"/>
      <c r="W1346" s="428"/>
      <c r="X1346" s="428"/>
      <c r="Y1346" s="428"/>
    </row>
    <row r="1347" ht="13.5" customHeight="1">
      <c r="A1347" s="84"/>
      <c r="B1347" s="84"/>
      <c r="C1347" s="84"/>
      <c r="D1347" s="106"/>
      <c r="E1347" s="106"/>
      <c r="F1347" s="106"/>
      <c r="G1347" s="84"/>
      <c r="H1347" s="106"/>
      <c r="I1347" s="106"/>
      <c r="J1347" s="106"/>
      <c r="K1347" s="106"/>
      <c r="L1347" s="106"/>
      <c r="M1347" s="104"/>
      <c r="N1347" s="106"/>
      <c r="O1347" s="428"/>
      <c r="P1347" s="106"/>
      <c r="Q1347" s="84"/>
      <c r="R1347" s="84"/>
      <c r="S1347" s="428"/>
      <c r="T1347" s="428"/>
      <c r="U1347" s="428"/>
      <c r="V1347" s="428"/>
      <c r="W1347" s="428"/>
      <c r="X1347" s="428"/>
      <c r="Y1347" s="428"/>
    </row>
    <row r="1348" ht="13.5" customHeight="1">
      <c r="A1348" s="84"/>
      <c r="B1348" s="84"/>
      <c r="C1348" s="84"/>
      <c r="D1348" s="106"/>
      <c r="E1348" s="106"/>
      <c r="F1348" s="106"/>
      <c r="G1348" s="84"/>
      <c r="H1348" s="106"/>
      <c r="I1348" s="106"/>
      <c r="J1348" s="106"/>
      <c r="K1348" s="106"/>
      <c r="L1348" s="106"/>
      <c r="M1348" s="104"/>
      <c r="N1348" s="106"/>
      <c r="O1348" s="428"/>
      <c r="P1348" s="106"/>
      <c r="Q1348" s="84"/>
      <c r="R1348" s="84"/>
      <c r="S1348" s="428"/>
      <c r="T1348" s="428"/>
      <c r="U1348" s="428"/>
      <c r="V1348" s="428"/>
      <c r="W1348" s="428"/>
      <c r="X1348" s="428"/>
      <c r="Y1348" s="428"/>
    </row>
    <row r="1349" ht="13.5" customHeight="1">
      <c r="A1349" s="84"/>
      <c r="B1349" s="84"/>
      <c r="C1349" s="84"/>
      <c r="D1349" s="106"/>
      <c r="E1349" s="106"/>
      <c r="F1349" s="106"/>
      <c r="G1349" s="84"/>
      <c r="H1349" s="106"/>
      <c r="I1349" s="106"/>
      <c r="J1349" s="106"/>
      <c r="K1349" s="106"/>
      <c r="L1349" s="106"/>
      <c r="M1349" s="104"/>
      <c r="N1349" s="106"/>
      <c r="O1349" s="428"/>
      <c r="P1349" s="106"/>
      <c r="Q1349" s="84"/>
      <c r="R1349" s="84"/>
      <c r="S1349" s="428"/>
      <c r="T1349" s="428"/>
      <c r="U1349" s="428"/>
      <c r="V1349" s="428"/>
      <c r="W1349" s="428"/>
      <c r="X1349" s="428"/>
      <c r="Y1349" s="428"/>
    </row>
    <row r="1350" ht="13.5" customHeight="1">
      <c r="A1350" s="84"/>
      <c r="B1350" s="84"/>
      <c r="C1350" s="84"/>
      <c r="D1350" s="106"/>
      <c r="E1350" s="106"/>
      <c r="F1350" s="106"/>
      <c r="G1350" s="84"/>
      <c r="H1350" s="106"/>
      <c r="I1350" s="106"/>
      <c r="J1350" s="106"/>
      <c r="K1350" s="106"/>
      <c r="L1350" s="106"/>
      <c r="M1350" s="104"/>
      <c r="N1350" s="106"/>
      <c r="O1350" s="428"/>
      <c r="P1350" s="106"/>
      <c r="Q1350" s="84"/>
      <c r="R1350" s="84"/>
      <c r="S1350" s="428"/>
      <c r="T1350" s="428"/>
      <c r="U1350" s="428"/>
      <c r="V1350" s="428"/>
      <c r="W1350" s="428"/>
      <c r="X1350" s="428"/>
      <c r="Y1350" s="428"/>
    </row>
    <row r="1351" ht="13.5" customHeight="1">
      <c r="A1351" s="84"/>
      <c r="B1351" s="84"/>
      <c r="C1351" s="84"/>
      <c r="D1351" s="106"/>
      <c r="E1351" s="106"/>
      <c r="F1351" s="106"/>
      <c r="G1351" s="84"/>
      <c r="H1351" s="106"/>
      <c r="I1351" s="106"/>
      <c r="J1351" s="106"/>
      <c r="K1351" s="106"/>
      <c r="L1351" s="106"/>
      <c r="M1351" s="104"/>
      <c r="N1351" s="106"/>
      <c r="O1351" s="428"/>
      <c r="P1351" s="106"/>
      <c r="Q1351" s="84"/>
      <c r="R1351" s="84"/>
      <c r="S1351" s="428"/>
      <c r="T1351" s="428"/>
      <c r="U1351" s="428"/>
      <c r="V1351" s="428"/>
      <c r="W1351" s="428"/>
      <c r="X1351" s="428"/>
      <c r="Y1351" s="428"/>
    </row>
    <row r="1352" ht="13.5" customHeight="1">
      <c r="A1352" s="84"/>
      <c r="B1352" s="84"/>
      <c r="C1352" s="84"/>
      <c r="D1352" s="106"/>
      <c r="E1352" s="106"/>
      <c r="F1352" s="106"/>
      <c r="G1352" s="84"/>
      <c r="H1352" s="106"/>
      <c r="I1352" s="106"/>
      <c r="J1352" s="106"/>
      <c r="K1352" s="106"/>
      <c r="L1352" s="106"/>
      <c r="M1352" s="104"/>
      <c r="N1352" s="106"/>
      <c r="O1352" s="428"/>
      <c r="P1352" s="106"/>
      <c r="Q1352" s="84"/>
      <c r="R1352" s="84"/>
      <c r="S1352" s="428"/>
      <c r="T1352" s="428"/>
      <c r="U1352" s="428"/>
      <c r="V1352" s="428"/>
      <c r="W1352" s="428"/>
      <c r="X1352" s="428"/>
      <c r="Y1352" s="428"/>
    </row>
    <row r="1353" ht="13.5" customHeight="1">
      <c r="A1353" s="84"/>
      <c r="B1353" s="84"/>
      <c r="C1353" s="84"/>
      <c r="D1353" s="106"/>
      <c r="E1353" s="106"/>
      <c r="F1353" s="106"/>
      <c r="G1353" s="84"/>
      <c r="H1353" s="106"/>
      <c r="I1353" s="106"/>
      <c r="J1353" s="106"/>
      <c r="K1353" s="106"/>
      <c r="L1353" s="106"/>
      <c r="M1353" s="104"/>
      <c r="N1353" s="106"/>
      <c r="O1353" s="428"/>
      <c r="P1353" s="106"/>
      <c r="Q1353" s="84"/>
      <c r="R1353" s="84"/>
      <c r="S1353" s="428"/>
      <c r="T1353" s="428"/>
      <c r="U1353" s="428"/>
      <c r="V1353" s="428"/>
      <c r="W1353" s="428"/>
      <c r="X1353" s="428"/>
      <c r="Y1353" s="428"/>
    </row>
    <row r="1354" ht="13.5" customHeight="1">
      <c r="A1354" s="84"/>
      <c r="B1354" s="84"/>
      <c r="C1354" s="84"/>
      <c r="D1354" s="106"/>
      <c r="E1354" s="106"/>
      <c r="F1354" s="106"/>
      <c r="G1354" s="84"/>
      <c r="H1354" s="106"/>
      <c r="I1354" s="106"/>
      <c r="J1354" s="106"/>
      <c r="K1354" s="106"/>
      <c r="L1354" s="106"/>
      <c r="M1354" s="104"/>
      <c r="N1354" s="106"/>
      <c r="O1354" s="428"/>
      <c r="P1354" s="106"/>
      <c r="Q1354" s="84"/>
      <c r="R1354" s="84"/>
      <c r="S1354" s="428"/>
      <c r="T1354" s="428"/>
      <c r="U1354" s="428"/>
      <c r="V1354" s="428"/>
      <c r="W1354" s="428"/>
      <c r="X1354" s="428"/>
      <c r="Y1354" s="428"/>
    </row>
    <row r="1355" ht="13.5" customHeight="1">
      <c r="A1355" s="84"/>
      <c r="B1355" s="84"/>
      <c r="C1355" s="84"/>
      <c r="D1355" s="106"/>
      <c r="E1355" s="106"/>
      <c r="F1355" s="106"/>
      <c r="G1355" s="84"/>
      <c r="H1355" s="106"/>
      <c r="I1355" s="106"/>
      <c r="J1355" s="106"/>
      <c r="K1355" s="106"/>
      <c r="L1355" s="106"/>
      <c r="M1355" s="104"/>
      <c r="N1355" s="106"/>
      <c r="O1355" s="428"/>
      <c r="P1355" s="106"/>
      <c r="Q1355" s="84"/>
      <c r="R1355" s="84"/>
      <c r="S1355" s="428"/>
      <c r="T1355" s="428"/>
      <c r="U1355" s="428"/>
      <c r="V1355" s="428"/>
      <c r="W1355" s="428"/>
      <c r="X1355" s="428"/>
      <c r="Y1355" s="428"/>
    </row>
    <row r="1356" ht="13.5" customHeight="1">
      <c r="A1356" s="84"/>
      <c r="B1356" s="84"/>
      <c r="C1356" s="84"/>
      <c r="D1356" s="106"/>
      <c r="E1356" s="106"/>
      <c r="F1356" s="106"/>
      <c r="G1356" s="84"/>
      <c r="H1356" s="106"/>
      <c r="I1356" s="106"/>
      <c r="J1356" s="106"/>
      <c r="K1356" s="106"/>
      <c r="L1356" s="106"/>
      <c r="M1356" s="104"/>
      <c r="N1356" s="106"/>
      <c r="O1356" s="428"/>
      <c r="P1356" s="106"/>
      <c r="Q1356" s="84"/>
      <c r="R1356" s="84"/>
      <c r="S1356" s="428"/>
      <c r="T1356" s="428"/>
      <c r="U1356" s="428"/>
      <c r="V1356" s="428"/>
      <c r="W1356" s="428"/>
      <c r="X1356" s="428"/>
      <c r="Y1356" s="428"/>
    </row>
    <row r="1357" ht="13.5" customHeight="1">
      <c r="A1357" s="84"/>
      <c r="B1357" s="84"/>
      <c r="C1357" s="84"/>
      <c r="D1357" s="106"/>
      <c r="E1357" s="106"/>
      <c r="F1357" s="106"/>
      <c r="G1357" s="84"/>
      <c r="H1357" s="106"/>
      <c r="I1357" s="106"/>
      <c r="J1357" s="106"/>
      <c r="K1357" s="106"/>
      <c r="L1357" s="106"/>
      <c r="M1357" s="104"/>
      <c r="N1357" s="106"/>
      <c r="O1357" s="428"/>
      <c r="P1357" s="106"/>
      <c r="Q1357" s="84"/>
      <c r="R1357" s="84"/>
      <c r="S1357" s="428"/>
      <c r="T1357" s="428"/>
      <c r="U1357" s="428"/>
      <c r="V1357" s="428"/>
      <c r="W1357" s="428"/>
      <c r="X1357" s="428"/>
      <c r="Y1357" s="428"/>
    </row>
    <row r="1358" ht="13.5" customHeight="1">
      <c r="A1358" s="84"/>
      <c r="B1358" s="84"/>
      <c r="C1358" s="84"/>
      <c r="D1358" s="106"/>
      <c r="E1358" s="106"/>
      <c r="F1358" s="106"/>
      <c r="G1358" s="84"/>
      <c r="H1358" s="106"/>
      <c r="I1358" s="106"/>
      <c r="J1358" s="106"/>
      <c r="K1358" s="106"/>
      <c r="L1358" s="106"/>
      <c r="M1358" s="104"/>
      <c r="N1358" s="106"/>
      <c r="O1358" s="428"/>
      <c r="P1358" s="106"/>
      <c r="Q1358" s="84"/>
      <c r="R1358" s="84"/>
      <c r="S1358" s="428"/>
      <c r="T1358" s="428"/>
      <c r="U1358" s="428"/>
      <c r="V1358" s="428"/>
      <c r="W1358" s="428"/>
      <c r="X1358" s="428"/>
      <c r="Y1358" s="428"/>
    </row>
    <row r="1359" ht="13.5" customHeight="1">
      <c r="A1359" s="84"/>
      <c r="B1359" s="84"/>
      <c r="C1359" s="84"/>
      <c r="D1359" s="106"/>
      <c r="E1359" s="106"/>
      <c r="F1359" s="106"/>
      <c r="G1359" s="84"/>
      <c r="H1359" s="106"/>
      <c r="I1359" s="106"/>
      <c r="J1359" s="106"/>
      <c r="K1359" s="106"/>
      <c r="L1359" s="106"/>
      <c r="M1359" s="104"/>
      <c r="N1359" s="106"/>
      <c r="O1359" s="428"/>
      <c r="P1359" s="106"/>
      <c r="Q1359" s="84"/>
      <c r="R1359" s="84"/>
      <c r="S1359" s="428"/>
      <c r="T1359" s="428"/>
      <c r="U1359" s="428"/>
      <c r="V1359" s="428"/>
      <c r="W1359" s="428"/>
      <c r="X1359" s="428"/>
      <c r="Y1359" s="428"/>
    </row>
    <row r="1360" ht="13.5" customHeight="1">
      <c r="A1360" s="84"/>
      <c r="B1360" s="84"/>
      <c r="C1360" s="84"/>
      <c r="D1360" s="106"/>
      <c r="E1360" s="106"/>
      <c r="F1360" s="106"/>
      <c r="G1360" s="84"/>
      <c r="H1360" s="106"/>
      <c r="I1360" s="106"/>
      <c r="J1360" s="106"/>
      <c r="K1360" s="106"/>
      <c r="L1360" s="106"/>
      <c r="M1360" s="104"/>
      <c r="N1360" s="106"/>
      <c r="O1360" s="428"/>
      <c r="P1360" s="106"/>
      <c r="Q1360" s="84"/>
      <c r="R1360" s="84"/>
      <c r="S1360" s="428"/>
      <c r="T1360" s="428"/>
      <c r="U1360" s="428"/>
      <c r="V1360" s="428"/>
      <c r="W1360" s="428"/>
      <c r="X1360" s="428"/>
      <c r="Y1360" s="428"/>
    </row>
    <row r="1361" ht="13.5" customHeight="1">
      <c r="A1361" s="84"/>
      <c r="B1361" s="84"/>
      <c r="C1361" s="84"/>
      <c r="D1361" s="106"/>
      <c r="E1361" s="106"/>
      <c r="F1361" s="106"/>
      <c r="G1361" s="84"/>
      <c r="H1361" s="106"/>
      <c r="I1361" s="106"/>
      <c r="J1361" s="106"/>
      <c r="K1361" s="106"/>
      <c r="L1361" s="106"/>
      <c r="M1361" s="104"/>
      <c r="N1361" s="106"/>
      <c r="O1361" s="428"/>
      <c r="P1361" s="106"/>
      <c r="Q1361" s="84"/>
      <c r="R1361" s="84"/>
      <c r="S1361" s="428"/>
      <c r="T1361" s="428"/>
      <c r="U1361" s="428"/>
      <c r="V1361" s="428"/>
      <c r="W1361" s="428"/>
      <c r="X1361" s="428"/>
      <c r="Y1361" s="428"/>
    </row>
    <row r="1362" ht="13.5" customHeight="1">
      <c r="A1362" s="84"/>
      <c r="B1362" s="84"/>
      <c r="C1362" s="84"/>
      <c r="D1362" s="106"/>
      <c r="E1362" s="106"/>
      <c r="F1362" s="106"/>
      <c r="G1362" s="84"/>
      <c r="H1362" s="106"/>
      <c r="I1362" s="106"/>
      <c r="J1362" s="106"/>
      <c r="K1362" s="106"/>
      <c r="L1362" s="106"/>
      <c r="M1362" s="104"/>
      <c r="N1362" s="106"/>
      <c r="O1362" s="428"/>
      <c r="P1362" s="106"/>
      <c r="Q1362" s="84"/>
      <c r="R1362" s="84"/>
      <c r="S1362" s="428"/>
      <c r="T1362" s="428"/>
      <c r="U1362" s="428"/>
      <c r="V1362" s="428"/>
      <c r="W1362" s="428"/>
      <c r="X1362" s="428"/>
      <c r="Y1362" s="428"/>
    </row>
    <row r="1363" ht="13.5" customHeight="1">
      <c r="A1363" s="84"/>
      <c r="B1363" s="84"/>
      <c r="C1363" s="84"/>
      <c r="D1363" s="106"/>
      <c r="E1363" s="106"/>
      <c r="F1363" s="106"/>
      <c r="G1363" s="84"/>
      <c r="H1363" s="106"/>
      <c r="I1363" s="106"/>
      <c r="J1363" s="106"/>
      <c r="K1363" s="106"/>
      <c r="L1363" s="106"/>
      <c r="M1363" s="104"/>
      <c r="N1363" s="106"/>
      <c r="O1363" s="428"/>
      <c r="P1363" s="106"/>
      <c r="Q1363" s="84"/>
      <c r="R1363" s="84"/>
      <c r="S1363" s="428"/>
      <c r="T1363" s="428"/>
      <c r="U1363" s="428"/>
      <c r="V1363" s="428"/>
      <c r="W1363" s="428"/>
      <c r="X1363" s="428"/>
      <c r="Y1363" s="428"/>
    </row>
    <row r="1364" ht="13.5" customHeight="1">
      <c r="A1364" s="84"/>
      <c r="B1364" s="84"/>
      <c r="C1364" s="84"/>
      <c r="D1364" s="106"/>
      <c r="E1364" s="106"/>
      <c r="F1364" s="106"/>
      <c r="G1364" s="84"/>
      <c r="H1364" s="106"/>
      <c r="I1364" s="106"/>
      <c r="J1364" s="106"/>
      <c r="K1364" s="106"/>
      <c r="L1364" s="106"/>
      <c r="M1364" s="104"/>
      <c r="N1364" s="106"/>
      <c r="O1364" s="428"/>
      <c r="P1364" s="106"/>
      <c r="Q1364" s="84"/>
      <c r="R1364" s="84"/>
      <c r="S1364" s="428"/>
      <c r="T1364" s="428"/>
      <c r="U1364" s="428"/>
      <c r="V1364" s="428"/>
      <c r="W1364" s="428"/>
      <c r="X1364" s="428"/>
      <c r="Y1364" s="428"/>
    </row>
    <row r="1365" ht="13.5" customHeight="1">
      <c r="A1365" s="84"/>
      <c r="B1365" s="84"/>
      <c r="C1365" s="84"/>
      <c r="D1365" s="106"/>
      <c r="E1365" s="106"/>
      <c r="F1365" s="106"/>
      <c r="G1365" s="84"/>
      <c r="H1365" s="106"/>
      <c r="I1365" s="106"/>
      <c r="J1365" s="106"/>
      <c r="K1365" s="106"/>
      <c r="L1365" s="106"/>
      <c r="M1365" s="104"/>
      <c r="N1365" s="106"/>
      <c r="O1365" s="428"/>
      <c r="P1365" s="106"/>
      <c r="Q1365" s="84"/>
      <c r="R1365" s="84"/>
      <c r="S1365" s="428"/>
      <c r="T1365" s="428"/>
      <c r="U1365" s="428"/>
      <c r="V1365" s="428"/>
      <c r="W1365" s="428"/>
      <c r="X1365" s="428"/>
      <c r="Y1365" s="428"/>
    </row>
    <row r="1366" ht="13.5" customHeight="1">
      <c r="A1366" s="84"/>
      <c r="B1366" s="84"/>
      <c r="C1366" s="84"/>
      <c r="D1366" s="106"/>
      <c r="E1366" s="106"/>
      <c r="F1366" s="106"/>
      <c r="G1366" s="84"/>
      <c r="H1366" s="106"/>
      <c r="I1366" s="106"/>
      <c r="J1366" s="106"/>
      <c r="K1366" s="106"/>
      <c r="L1366" s="106"/>
      <c r="M1366" s="104"/>
      <c r="N1366" s="106"/>
      <c r="O1366" s="428"/>
      <c r="P1366" s="106"/>
      <c r="Q1366" s="84"/>
      <c r="R1366" s="84"/>
      <c r="S1366" s="428"/>
      <c r="T1366" s="428"/>
      <c r="U1366" s="428"/>
      <c r="V1366" s="428"/>
      <c r="W1366" s="428"/>
      <c r="X1366" s="428"/>
      <c r="Y1366" s="428"/>
    </row>
    <row r="1367" ht="13.5" customHeight="1">
      <c r="A1367" s="84"/>
      <c r="B1367" s="84"/>
      <c r="C1367" s="84"/>
      <c r="D1367" s="106"/>
      <c r="E1367" s="106"/>
      <c r="F1367" s="106"/>
      <c r="G1367" s="84"/>
      <c r="H1367" s="106"/>
      <c r="I1367" s="106"/>
      <c r="J1367" s="106"/>
      <c r="K1367" s="106"/>
      <c r="L1367" s="106"/>
      <c r="M1367" s="104"/>
      <c r="N1367" s="106"/>
      <c r="O1367" s="428"/>
      <c r="P1367" s="106"/>
      <c r="Q1367" s="84"/>
      <c r="R1367" s="84"/>
      <c r="S1367" s="428"/>
      <c r="T1367" s="428"/>
      <c r="U1367" s="428"/>
      <c r="V1367" s="428"/>
      <c r="W1367" s="428"/>
      <c r="X1367" s="428"/>
      <c r="Y1367" s="428"/>
    </row>
    <row r="1368" ht="13.5" customHeight="1">
      <c r="A1368" s="84"/>
      <c r="B1368" s="84"/>
      <c r="C1368" s="84"/>
      <c r="D1368" s="106"/>
      <c r="E1368" s="106"/>
      <c r="F1368" s="106"/>
      <c r="G1368" s="84"/>
      <c r="H1368" s="106"/>
      <c r="I1368" s="106"/>
      <c r="J1368" s="106"/>
      <c r="K1368" s="106"/>
      <c r="L1368" s="106"/>
      <c r="M1368" s="104"/>
      <c r="N1368" s="106"/>
      <c r="O1368" s="428"/>
      <c r="P1368" s="106"/>
      <c r="Q1368" s="84"/>
      <c r="R1368" s="84"/>
      <c r="S1368" s="428"/>
      <c r="T1368" s="428"/>
      <c r="U1368" s="428"/>
      <c r="V1368" s="428"/>
      <c r="W1368" s="428"/>
      <c r="X1368" s="428"/>
      <c r="Y1368" s="428"/>
    </row>
  </sheetData>
  <conditionalFormatting sqref="C605">
    <cfRule type="expression" dxfId="0" priority="1">
      <formula>countif(B:B,C605)&gt;1</formula>
    </cfRule>
  </conditionalFormatting>
  <conditionalFormatting sqref="C290">
    <cfRule type="expression" dxfId="0" priority="2">
      <formula>countif(B:B,C290)&gt;1</formula>
    </cfRule>
  </conditionalFormatting>
  <conditionalFormatting sqref="B342">
    <cfRule type="expression" dxfId="0" priority="3">
      <formula>countif(C:C,B342)&gt;1</formula>
    </cfRule>
  </conditionalFormatting>
  <conditionalFormatting sqref="C387">
    <cfRule type="expression" dxfId="0" priority="4">
      <formula>countif(B:B,C387)&gt;1</formula>
    </cfRule>
  </conditionalFormatting>
  <conditionalFormatting sqref="C389:C390">
    <cfRule type="expression" dxfId="0" priority="5">
      <formula>countif(B:B,C389)&gt;1</formula>
    </cfRule>
  </conditionalFormatting>
  <conditionalFormatting sqref="A90 A400:A401 A409:A410 A420:A421 A431:A432 A442:A443 A452:A453 A463:A464 A474:A475 A485">
    <cfRule type="expression" dxfId="0" priority="6">
      <formula>countif(B:B,A90)&gt;1</formula>
    </cfRule>
  </conditionalFormatting>
  <conditionalFormatting sqref="C428">
    <cfRule type="expression" dxfId="0" priority="7">
      <formula>countif(B:B,C428)&gt;1</formula>
    </cfRule>
  </conditionalFormatting>
  <conditionalFormatting sqref="C427">
    <cfRule type="expression" dxfId="0" priority="8">
      <formula>countif(B:B,C427)&gt;1</formula>
    </cfRule>
  </conditionalFormatting>
  <conditionalFormatting sqref="C237">
    <cfRule type="expression" dxfId="0" priority="9">
      <formula>countif(B:B,C237)&gt;1</formula>
    </cfRule>
  </conditionalFormatting>
  <conditionalFormatting sqref="C273:C279">
    <cfRule type="expression" dxfId="0" priority="10">
      <formula>countif(B:B,C273)&gt;1</formula>
    </cfRule>
  </conditionalFormatting>
  <conditionalFormatting sqref="H629">
    <cfRule type="containsText" dxfId="1" priority="11" operator="containsText" text="Hư hỏng">
      <formula>NOT(ISERROR(SEARCH(("Hư hỏng"),(H629))))</formula>
    </cfRule>
  </conditionalFormatting>
  <conditionalFormatting sqref="H629">
    <cfRule type="containsText" dxfId="2" priority="12" operator="containsText" text="Thu hồi">
      <formula>NOT(ISERROR(SEARCH(("Thu hồi"),(H629))))</formula>
    </cfRule>
  </conditionalFormatting>
  <conditionalFormatting sqref="H629">
    <cfRule type="containsText" dxfId="3" priority="13" operator="containsText" text="bình thường">
      <formula>NOT(ISERROR(SEARCH(("bình thường"),(H629))))</formula>
    </cfRule>
  </conditionalFormatting>
  <conditionalFormatting sqref="B705:C707">
    <cfRule type="expression" dxfId="0" priority="14">
      <formula>countif(A:A,B705)&gt;1</formula>
    </cfRule>
  </conditionalFormatting>
  <conditionalFormatting sqref="B264 B710:C710">
    <cfRule type="expression" dxfId="0" priority="15">
      <formula>countif(A:A,B264)&gt;1</formula>
    </cfRule>
  </conditionalFormatting>
  <conditionalFormatting sqref="C90 C445 C483 C485:C487">
    <cfRule type="expression" dxfId="0" priority="16">
      <formula>countif(B:B,C90)&gt;1</formula>
    </cfRule>
  </conditionalFormatting>
  <conditionalFormatting sqref="B315:B319">
    <cfRule type="expression" dxfId="0" priority="17">
      <formula>countif(B:B,B315)&gt;1</formula>
    </cfRule>
  </conditionalFormatting>
  <conditionalFormatting sqref="C145">
    <cfRule type="expression" dxfId="0" priority="18">
      <formula>countif(B:B,C145)&gt;1</formula>
    </cfRule>
  </conditionalFormatting>
  <conditionalFormatting sqref="C236">
    <cfRule type="expression" dxfId="0" priority="19">
      <formula>countif(B:B,C236)&gt;1</formula>
    </cfRule>
  </conditionalFormatting>
  <conditionalFormatting sqref="C235:C236">
    <cfRule type="expression" dxfId="0" priority="20">
      <formula>countif(B:B,C235)&gt;1</formula>
    </cfRule>
  </conditionalFormatting>
  <conditionalFormatting sqref="D201">
    <cfRule type="expression" dxfId="4" priority="21">
      <formula>$I201="Hư hỏng"</formula>
    </cfRule>
  </conditionalFormatting>
  <conditionalFormatting sqref="C301:C302">
    <cfRule type="expression" dxfId="0" priority="22">
      <formula>countif(B:B,C301)&gt;1</formula>
    </cfRule>
  </conditionalFormatting>
  <conditionalFormatting sqref="C556">
    <cfRule type="expression" dxfId="0" priority="23">
      <formula>countif(B:B,C556)&gt;1</formula>
    </cfRule>
  </conditionalFormatting>
  <conditionalFormatting sqref="C561">
    <cfRule type="expression" dxfId="0" priority="24">
      <formula>countif(B:B,C561)&gt;1</formula>
    </cfRule>
  </conditionalFormatting>
  <conditionalFormatting sqref="C254:C255 E254 C267 C708:C709 C712">
    <cfRule type="expression" dxfId="0" priority="25">
      <formula>countif(B:B,C254)&gt;1</formula>
    </cfRule>
  </conditionalFormatting>
  <conditionalFormatting sqref="B536:B544 C536 C538:C544 B557:C557 B561:C561 B620:C621">
    <cfRule type="expression" dxfId="0" priority="26">
      <formula>countif(A:A,B536)&gt;1</formula>
    </cfRule>
  </conditionalFormatting>
  <conditionalFormatting sqref="A1 B1:B314 C90 C119 C121 C170:C176 C201 C262:C264 C272 C279 B320:B341 C334 C342 B343:B535 C344:C345 C386 C510:C520 B537:B538 B540:B556 B558:B560 B562:B1368 C660 C666 C671 C747:C750">
    <cfRule type="expression" dxfId="0" priority="27">
      <formula>countif(A:A,A1)&gt;1</formula>
    </cfRule>
  </conditionalFormatting>
  <conditionalFormatting sqref="A1:Y1368">
    <cfRule type="expression" dxfId="4" priority="28">
      <formula>$K1="Hư hỏng"</formula>
    </cfRule>
  </conditionalFormatting>
  <hyperlinks>
    <hyperlink r:id="rId1" ref="Y4"/>
  </hyperlinks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135"/>
    <pageSetUpPr/>
  </sheetPr>
  <sheetViews>
    <sheetView showGridLines="0" workbookViewId="0">
      <pane xSplit="7.0" ySplit="2.0" topLeftCell="H3" activePane="bottomRight" state="frozen"/>
      <selection activeCell="H1" sqref="H1" pane="topRight"/>
      <selection activeCell="A3" sqref="A3" pane="bottomLeft"/>
      <selection activeCell="H3" sqref="H3" pane="bottomRight"/>
    </sheetView>
  </sheetViews>
  <sheetFormatPr customHeight="1" defaultColWidth="12.63" defaultRowHeight="15.0" outlineLevelRow="1"/>
  <cols>
    <col customWidth="1" min="1" max="1" width="6.38"/>
    <col customWidth="1" min="2" max="2" width="24.13"/>
    <col customWidth="1" min="3" max="3" width="23.0"/>
    <col customWidth="1" min="4" max="4" width="16.25"/>
    <col customWidth="1" min="5" max="5" width="9.75"/>
    <col customWidth="1" hidden="1" min="6" max="6" width="12.63"/>
    <col customWidth="1" min="7" max="7" width="31.75"/>
    <col customWidth="1" hidden="1" min="8" max="8" width="18.88"/>
    <col customWidth="1" min="9" max="9" width="14.88"/>
    <col customWidth="1" min="10" max="10" width="13.88"/>
    <col customWidth="1" min="11" max="11" width="14.75"/>
    <col customWidth="1" min="12" max="12" width="7.63"/>
    <col customWidth="1" min="13" max="13" width="43.0"/>
    <col customWidth="1" min="14" max="14" width="12.63"/>
    <col customWidth="1" min="15" max="16" width="9.63"/>
    <col customWidth="1" min="17" max="17" width="11.25"/>
    <col customWidth="1" min="18" max="18" width="10.13"/>
    <col customWidth="1" min="19" max="19" width="20.63"/>
    <col customWidth="1" min="20" max="20" width="19.88"/>
    <col customWidth="1" min="21" max="21" width="13.63"/>
  </cols>
  <sheetData>
    <row r="1" ht="27.75" customHeight="1">
      <c r="A1" s="15" t="s">
        <v>2</v>
      </c>
      <c r="B1" s="16"/>
      <c r="C1" s="18"/>
      <c r="D1" s="20"/>
      <c r="E1" s="20"/>
      <c r="F1" s="18"/>
      <c r="G1" s="18"/>
      <c r="H1" s="25"/>
      <c r="I1" s="25"/>
      <c r="J1" s="27"/>
      <c r="K1" s="32"/>
      <c r="L1" s="35"/>
      <c r="M1" s="32"/>
      <c r="N1" s="40" t="s">
        <v>3</v>
      </c>
      <c r="O1" s="40"/>
      <c r="P1" s="40"/>
      <c r="Q1" s="40"/>
      <c r="R1" s="40"/>
      <c r="S1" s="40"/>
      <c r="T1" s="40"/>
      <c r="U1" s="8"/>
    </row>
    <row r="2" ht="26.25" customHeight="1">
      <c r="A2" s="21" t="s">
        <v>5</v>
      </c>
      <c r="B2" s="46" t="s">
        <v>6</v>
      </c>
      <c r="C2" s="24" t="s">
        <v>7</v>
      </c>
      <c r="D2" s="24" t="s">
        <v>8</v>
      </c>
      <c r="E2" s="24" t="s">
        <v>9</v>
      </c>
      <c r="F2" s="24" t="s">
        <v>37</v>
      </c>
      <c r="G2" s="24" t="s">
        <v>11</v>
      </c>
      <c r="H2" s="24" t="s">
        <v>12</v>
      </c>
      <c r="I2" s="24" t="s">
        <v>13</v>
      </c>
      <c r="J2" s="24" t="s">
        <v>14</v>
      </c>
      <c r="K2" s="24" t="str">
        <f>"Tình trạng "&amp;char(10)&amp;"Hỏng: "&amp;COUNTIF(K3:K1386,"Hư hỏng")&amp;"/"&amp;C3</f>
        <v>Tình trạng 
Hỏng: 12/577</v>
      </c>
      <c r="L2" s="24" t="s">
        <v>18</v>
      </c>
      <c r="M2" s="61" t="s">
        <v>19</v>
      </c>
      <c r="N2" s="21" t="s">
        <v>21</v>
      </c>
      <c r="O2" s="21" t="s">
        <v>22</v>
      </c>
      <c r="P2" s="21" t="s">
        <v>23</v>
      </c>
      <c r="Q2" s="24" t="s">
        <v>25</v>
      </c>
      <c r="R2" s="21" t="s">
        <v>26</v>
      </c>
      <c r="S2" s="41" t="s">
        <v>27</v>
      </c>
      <c r="T2" s="24" t="s">
        <v>29</v>
      </c>
      <c r="U2" s="24" t="s">
        <v>53</v>
      </c>
    </row>
    <row r="3" ht="12.75" customHeight="1">
      <c r="A3" s="66"/>
      <c r="B3" s="67" t="s">
        <v>60</v>
      </c>
      <c r="C3" s="68">
        <f>SUM(C4,C104,C142,C276,C413,C683)</f>
        <v>577</v>
      </c>
      <c r="D3" s="68"/>
      <c r="E3" s="68"/>
      <c r="F3" s="68"/>
      <c r="G3" s="68"/>
      <c r="H3" s="68"/>
      <c r="I3" s="68"/>
      <c r="J3" s="68"/>
      <c r="K3" s="68"/>
      <c r="L3" s="68"/>
      <c r="M3" s="71"/>
      <c r="N3" s="66"/>
      <c r="O3" s="66"/>
      <c r="P3" s="66"/>
      <c r="Q3" s="68"/>
      <c r="R3" s="66"/>
      <c r="S3" s="74"/>
      <c r="T3" s="68"/>
      <c r="U3" s="66"/>
    </row>
    <row r="4" ht="13.5" customHeight="1">
      <c r="A4" s="76" t="s">
        <v>75</v>
      </c>
      <c r="B4" s="77"/>
      <c r="C4" s="59">
        <f>SUM(C5,C65,C83,C96)</f>
        <v>83</v>
      </c>
      <c r="D4" s="59"/>
      <c r="E4" s="59"/>
      <c r="F4" s="55"/>
      <c r="G4" s="59"/>
      <c r="H4" s="55"/>
      <c r="I4" s="55"/>
      <c r="J4" s="62"/>
      <c r="K4" s="55"/>
      <c r="L4" s="59"/>
      <c r="M4" s="81"/>
      <c r="N4" s="55"/>
      <c r="O4" s="55"/>
      <c r="P4" s="55"/>
      <c r="Q4" s="55"/>
      <c r="R4" s="55"/>
      <c r="S4" s="55"/>
      <c r="T4" s="55"/>
      <c r="U4" s="55"/>
    </row>
    <row r="5" ht="13.5" customHeight="1">
      <c r="A5" s="82" t="s">
        <v>76</v>
      </c>
      <c r="B5" s="83" t="s">
        <v>77</v>
      </c>
      <c r="C5" s="85">
        <f>SUM(C6,C29,C34)</f>
        <v>52</v>
      </c>
      <c r="D5" s="87"/>
      <c r="E5" s="87"/>
      <c r="F5" s="83"/>
      <c r="G5" s="83"/>
      <c r="H5" s="82"/>
      <c r="I5" s="87"/>
      <c r="J5" s="89"/>
      <c r="K5" s="82"/>
      <c r="L5" s="90"/>
      <c r="M5" s="91"/>
      <c r="N5" s="92"/>
      <c r="O5" s="92"/>
      <c r="P5" s="87"/>
      <c r="Q5" s="87"/>
      <c r="R5" s="85"/>
      <c r="S5" s="92"/>
      <c r="T5" s="92"/>
      <c r="U5" s="87"/>
    </row>
    <row r="6" ht="13.5" customHeight="1">
      <c r="A6" s="94" t="s">
        <v>80</v>
      </c>
      <c r="B6" s="96" t="s">
        <v>81</v>
      </c>
      <c r="C6" s="97">
        <f>COUNTA(B7:B28)</f>
        <v>20</v>
      </c>
      <c r="D6" s="98"/>
      <c r="E6" s="98"/>
      <c r="F6" s="96"/>
      <c r="G6" s="100"/>
      <c r="H6" s="94"/>
      <c r="I6" s="94"/>
      <c r="J6" s="101"/>
      <c r="K6" s="94"/>
      <c r="L6" s="103"/>
      <c r="M6" s="105"/>
      <c r="N6" s="107"/>
      <c r="O6" s="107"/>
      <c r="P6" s="94"/>
      <c r="Q6" s="94"/>
      <c r="R6" s="97"/>
      <c r="S6" s="107"/>
      <c r="T6" s="109"/>
      <c r="U6" s="94"/>
    </row>
    <row r="7" ht="13.5" customHeight="1">
      <c r="A7" s="80">
        <v>1.0</v>
      </c>
      <c r="B7" s="113" t="s">
        <v>78</v>
      </c>
      <c r="C7" s="84" t="str">
        <f>IFERROR(VLOOKUP(B7,'02. MM-KLH'!$B$6:$T$823,2,0),"")</f>
        <v>ĐQSD</v>
      </c>
      <c r="D7" s="95" t="str">
        <f>IFERROR(VLOOKUP(B7,'02. MM-KLH'!$B$6:$T$823,3,0),"")</f>
        <v>ATT-A23-0025</v>
      </c>
      <c r="E7" s="86" t="str">
        <f>IFERROR(VLOOKUP(B7,'02. MM-KLH'!$B$6:$T$823,4,0),"")</f>
        <v/>
      </c>
      <c r="F7" s="115" t="s">
        <v>91</v>
      </c>
      <c r="G7" s="86" t="str">
        <f>IFERROR(VLOOKUP(B7,'02. MM-KLH'!$B$6:$T$823,6,0),"")</f>
        <v>Máy đào KOBELCO bánh xích gàu 1.2m3</v>
      </c>
      <c r="H7" s="80" t="s">
        <v>97</v>
      </c>
      <c r="I7" s="80" t="str">
        <f>IFERROR(VLOOKUP(B7,'02. MM-KLH'!$B$6:$T$823,8,0),"")</f>
        <v>CGTC DP</v>
      </c>
      <c r="J7" s="99">
        <f>IFERROR(VLOOKUP(B7,'02. MM-KLH'!$B$6:$T$823,9,0),"")</f>
        <v>43835</v>
      </c>
      <c r="K7" s="80" t="str">
        <f>IFERROR(VLOOKUP(B7,'02. MM-KLH'!$B$6:$T$823,10,0),"")</f>
        <v>Bình thường</v>
      </c>
      <c r="L7" s="102">
        <f>IFERROR(VLOOKUP(B7,'02. MM-KLH'!$B$6:$T$823,11,0),"")</f>
        <v>0.67</v>
      </c>
      <c r="M7" s="127" t="str">
        <f>IFERROR(VLOOKUP(B7,'02. MM-KLH'!$B$6:$T$823,12,0),"")</f>
        <v/>
      </c>
      <c r="N7" s="108" t="str">
        <f>IFERROR(VLOOKUP(B7,'02. MM-KLH'!$B$6:$T$823,13,0),"")</f>
        <v>KOBELCO</v>
      </c>
      <c r="O7" s="108" t="str">
        <f>IFERROR(VLOOKUP(B7,'02. MM-KLH'!$B$6:$T$823,14,0),"")</f>
        <v>NHẬT BẢN</v>
      </c>
      <c r="P7" s="80">
        <f>IFERROR(VLOOKUP(B7,'02. MM-KLH'!$B$6:$T$823,15,0),"")</f>
        <v>2019</v>
      </c>
      <c r="Q7" s="80" t="str">
        <f>IFERROR(VLOOKUP(B7,'02. MM-KLH'!$B$6:$T$823,16,0),"")</f>
        <v>SK200-08</v>
      </c>
      <c r="R7" s="106" t="str">
        <f>IFERROR(VLOOKUP(B7,'02. MM-KLH'!$B$6:$T$823,17,0),"")</f>
        <v>170HP</v>
      </c>
      <c r="S7" s="108" t="str">
        <f>IFERROR(VLOOKUP(B7,'02. MM-KLH'!$B$6:$T$823,18,0),"")</f>
        <v>LQ16-10073 </v>
      </c>
      <c r="T7" s="110" t="str">
        <f>IFERROR(VLOOKUP(B7,'02. MM-KLH'!$B$6:$T$823,19,0),"")</f>
        <v>R0033333</v>
      </c>
      <c r="U7" s="130" t="s">
        <v>79</v>
      </c>
    </row>
    <row r="8" ht="13.5" customHeight="1">
      <c r="A8" s="95">
        <f t="shared" ref="A8:A26" si="1">A7+1</f>
        <v>2</v>
      </c>
      <c r="B8" s="113" t="s">
        <v>89</v>
      </c>
      <c r="C8" s="84" t="str">
        <f>IFERROR(VLOOKUP(B8,'02. MM-KLH'!$B$6:$T$823,2,0),"")</f>
        <v/>
      </c>
      <c r="D8" s="95" t="str">
        <f>IFERROR(VLOOKUP(B8,'02. MM-KLH'!$B$6:$T$823,3,0),"")</f>
        <v>ATT-A23-0011</v>
      </c>
      <c r="E8" s="86" t="str">
        <f>IFERROR(VLOOKUP(B8,'02. MM-KLH'!$B$6:$T$823,4,0),"")</f>
        <v/>
      </c>
      <c r="F8" s="115" t="s">
        <v>120</v>
      </c>
      <c r="G8" s="86" t="str">
        <f>IFERROR(VLOOKUP(B8,'02. MM-KLH'!$B$6:$T$823,6,0),"")</f>
        <v>Máy đào SH210 bánh xích gàu 0.9m3</v>
      </c>
      <c r="H8" s="80" t="s">
        <v>97</v>
      </c>
      <c r="I8" s="80" t="str">
        <f>IFERROR(VLOOKUP(B8,'02. MM-KLH'!$B$6:$T$823,8,0),"")</f>
        <v>CGTC DP</v>
      </c>
      <c r="J8" s="99">
        <f>IFERROR(VLOOKUP(B8,'02. MM-KLH'!$B$6:$T$823,9,0),"")</f>
        <v>43801</v>
      </c>
      <c r="K8" s="80" t="str">
        <f>IFERROR(VLOOKUP(B8,'02. MM-KLH'!$B$6:$T$823,10,0),"")</f>
        <v>Bình thường</v>
      </c>
      <c r="L8" s="102">
        <f>IFERROR(VLOOKUP(B8,'02. MM-KLH'!$B$6:$T$823,11,0),"")</f>
        <v>0.4</v>
      </c>
      <c r="M8" s="127" t="str">
        <f>IFERROR(VLOOKUP(B8,'02. MM-KLH'!$B$6:$T$823,12,0),"")</f>
        <v/>
      </c>
      <c r="N8" s="108" t="str">
        <f>IFERROR(VLOOKUP(B8,'02. MM-KLH'!$B$6:$T$823,13,0),"")</f>
        <v>SUMITOMO</v>
      </c>
      <c r="O8" s="108" t="str">
        <f>IFERROR(VLOOKUP(B8,'02. MM-KLH'!$B$6:$T$823,14,0),"")</f>
        <v>NHẬT BẢN</v>
      </c>
      <c r="P8" s="80">
        <f>IFERROR(VLOOKUP(B8,'02. MM-KLH'!$B$6:$T$823,15,0),"")</f>
        <v>1993</v>
      </c>
      <c r="Q8" s="80" t="str">
        <f>IFERROR(VLOOKUP(B8,'02. MM-KLH'!$B$6:$T$823,16,0),"")</f>
        <v>SH210</v>
      </c>
      <c r="R8" s="106" t="str">
        <f>IFERROR(VLOOKUP(B8,'02. MM-KLH'!$B$6:$T$823,17,0),"")</f>
        <v>156HP</v>
      </c>
      <c r="S8" s="108" t="str">
        <f>IFERROR(VLOOKUP(B8,'02. MM-KLH'!$B$6:$T$823,18,0),"")</f>
        <v>STN210T6P00BH2390</v>
      </c>
      <c r="T8" s="110" t="str">
        <f>IFERROR(VLOOKUP(B8,'02. MM-KLH'!$B$6:$T$823,19,0),"")</f>
        <v>CCN</v>
      </c>
      <c r="U8" s="130" t="s">
        <v>79</v>
      </c>
    </row>
    <row r="9" ht="13.5" customHeight="1">
      <c r="A9" s="95">
        <f t="shared" si="1"/>
        <v>3</v>
      </c>
      <c r="B9" s="113" t="s">
        <v>110</v>
      </c>
      <c r="C9" s="84" t="str">
        <f>IFERROR(VLOOKUP(B9,'02. MM-KLH'!$B$6:$T$823,2,0),"")</f>
        <v/>
      </c>
      <c r="D9" s="95" t="str">
        <f>IFERROR(VLOOKUP(B9,'02. MM-KLH'!$B$6:$T$823,3,0),"")</f>
        <v>ATM-A22-0087</v>
      </c>
      <c r="E9" s="86" t="str">
        <f>IFERROR(VLOOKUP(B9,'02. MM-KLH'!$B$6:$T$823,4,0),"")</f>
        <v/>
      </c>
      <c r="F9" s="115" t="s">
        <v>134</v>
      </c>
      <c r="G9" s="86" t="str">
        <f>IFERROR(VLOOKUP(B9,'02. MM-KLH'!$B$6:$T$823,6,0),"")</f>
        <v>Máy đào SH210 bánh xích gàu 0.9m3</v>
      </c>
      <c r="H9" s="80" t="s">
        <v>97</v>
      </c>
      <c r="I9" s="80" t="str">
        <f>IFERROR(VLOOKUP(B9,'02. MM-KLH'!$B$6:$T$823,8,0),"")</f>
        <v>CGTC DP</v>
      </c>
      <c r="J9" s="99">
        <f>IFERROR(VLOOKUP(B9,'02. MM-KLH'!$B$6:$T$823,9,0),"")</f>
        <v>44200</v>
      </c>
      <c r="K9" s="80" t="str">
        <f>IFERROR(VLOOKUP(B9,'02. MM-KLH'!$B$6:$T$823,10,0),"")</f>
        <v>Bình thường</v>
      </c>
      <c r="L9" s="102">
        <f>IFERROR(VLOOKUP(B9,'02. MM-KLH'!$B$6:$T$823,11,0),"")</f>
        <v>0.7</v>
      </c>
      <c r="M9" s="127" t="str">
        <f>IFERROR(VLOOKUP(B9,'02. MM-KLH'!$B$6:$T$823,12,0),"")</f>
        <v/>
      </c>
      <c r="N9" s="108" t="str">
        <f>IFERROR(VLOOKUP(B9,'02. MM-KLH'!$B$6:$T$823,13,0),"")</f>
        <v>SUMITOMO</v>
      </c>
      <c r="O9" s="108" t="str">
        <f>IFERROR(VLOOKUP(B9,'02. MM-KLH'!$B$6:$T$823,14,0),"")</f>
        <v>NHẬT BẢN</v>
      </c>
      <c r="P9" s="80">
        <f>IFERROR(VLOOKUP(B9,'02. MM-KLH'!$B$6:$T$823,15,0),"")</f>
        <v>2020</v>
      </c>
      <c r="Q9" s="80" t="str">
        <f>IFERROR(VLOOKUP(B9,'02. MM-KLH'!$B$6:$T$823,16,0),"")</f>
        <v>SH210-6</v>
      </c>
      <c r="R9" s="106" t="str">
        <f>IFERROR(VLOOKUP(B9,'02. MM-KLH'!$B$6:$T$823,17,0),"")</f>
        <v>160HP</v>
      </c>
      <c r="S9" s="108" t="str">
        <f>IFERROR(VLOOKUP(B9,'02. MM-KLH'!$B$6:$T$823,18,0),"")</f>
        <v>STN210T6P00BH2695</v>
      </c>
      <c r="T9" s="110">
        <f>IFERROR(VLOOKUP(B9,'02. MM-KLH'!$B$6:$T$823,19,0),"")</f>
        <v>801502</v>
      </c>
      <c r="U9" s="130" t="s">
        <v>79</v>
      </c>
    </row>
    <row r="10" ht="13.5" customHeight="1">
      <c r="A10" s="95">
        <f t="shared" si="1"/>
        <v>4</v>
      </c>
      <c r="B10" s="113" t="s">
        <v>152</v>
      </c>
      <c r="C10" s="84" t="str">
        <f>IFERROR(VLOOKUP(B10,'02. MM-KLH'!$B$6:$T$823,2,0),"")</f>
        <v>MĐ 13 HT-KLH</v>
      </c>
      <c r="D10" s="95" t="str">
        <f>IFERROR(VLOOKUP(B10,'02. MM-KLH'!$B$6:$T$823,3,0),"")</f>
        <v>ATT-A24-0053</v>
      </c>
      <c r="E10" s="86" t="str">
        <f>IFERROR(VLOOKUP(B10,'02. MM-KLH'!$B$6:$T$823,4,0),"")</f>
        <v/>
      </c>
      <c r="F10" s="115" t="s">
        <v>159</v>
      </c>
      <c r="G10" s="86" t="str">
        <f>IFERROR(VLOOKUP(B10,'02. MM-KLH'!$B$6:$T$823,6,0),"")</f>
        <v>Máy đào SH210 bánh xích gàu 0.9m3</v>
      </c>
      <c r="H10" s="80" t="s">
        <v>97</v>
      </c>
      <c r="I10" s="80" t="str">
        <f>IFERROR(VLOOKUP(B10,'02. MM-KLH'!$B$6:$T$823,8,0),"")</f>
        <v>CGTC LP</v>
      </c>
      <c r="J10" s="99">
        <f>IFERROR(VLOOKUP(B10,'02. MM-KLH'!$B$6:$T$823,9,0),"")</f>
        <v>44197</v>
      </c>
      <c r="K10" s="80" t="str">
        <f>IFERROR(VLOOKUP(B10,'02. MM-KLH'!$B$6:$T$823,10,0),"")</f>
        <v>Bình thường</v>
      </c>
      <c r="L10" s="102">
        <f>IFERROR(VLOOKUP(B10,'02. MM-KLH'!$B$6:$T$823,11,0),"")</f>
        <v>0.67</v>
      </c>
      <c r="M10" s="127" t="str">
        <f>IFERROR(VLOOKUP(B10,'02. MM-KLH'!$B$6:$T$823,12,0),"")</f>
        <v/>
      </c>
      <c r="N10" s="108" t="str">
        <f>IFERROR(VLOOKUP(B10,'02. MM-KLH'!$B$6:$T$823,13,0),"")</f>
        <v>SUMITOMO</v>
      </c>
      <c r="O10" s="108" t="str">
        <f>IFERROR(VLOOKUP(B10,'02. MM-KLH'!$B$6:$T$823,14,0),"")</f>
        <v>NHẬT BẢN</v>
      </c>
      <c r="P10" s="80">
        <f>IFERROR(VLOOKUP(B10,'02. MM-KLH'!$B$6:$T$823,15,0),"")</f>
        <v>2020</v>
      </c>
      <c r="Q10" s="80" t="str">
        <f>IFERROR(VLOOKUP(B10,'02. MM-KLH'!$B$6:$T$823,16,0),"")</f>
        <v>SH210-6</v>
      </c>
      <c r="R10" s="106" t="str">
        <f>IFERROR(VLOOKUP(B10,'02. MM-KLH'!$B$6:$T$823,17,0),"")</f>
        <v>156HP</v>
      </c>
      <c r="S10" s="108" t="str">
        <f>IFERROR(VLOOKUP(B10,'02. MM-KLH'!$B$6:$T$823,18,0),"")</f>
        <v>STN210T6V00BH2623</v>
      </c>
      <c r="T10" s="110">
        <f>IFERROR(VLOOKUP(B10,'02. MM-KLH'!$B$6:$T$823,19,0),"")</f>
        <v>800391</v>
      </c>
      <c r="U10" s="130" t="s">
        <v>79</v>
      </c>
    </row>
    <row r="11" ht="13.5" customHeight="1">
      <c r="A11" s="95">
        <f t="shared" si="1"/>
        <v>5</v>
      </c>
      <c r="B11" s="115" t="s">
        <v>181</v>
      </c>
      <c r="C11" s="84" t="str">
        <f>IFERROR(VLOOKUP(B11,'02. MM-KLH'!$B$6:$T$823,2,0),"")</f>
        <v>CHT-MĐA-046</v>
      </c>
      <c r="D11" s="95" t="str">
        <f>IFERROR(VLOOKUP(B11,'02. MM-KLH'!$B$6:$T$823,3,0),"")</f>
        <v>ATM-A22-0086</v>
      </c>
      <c r="E11" s="86" t="str">
        <f>IFERROR(VLOOKUP(B11,'02. MM-KLH'!$B$6:$T$823,4,0),"")</f>
        <v/>
      </c>
      <c r="F11" s="115" t="s">
        <v>182</v>
      </c>
      <c r="G11" s="86" t="str">
        <f>IFERROR(VLOOKUP(B11,'02. MM-KLH'!$B$6:$T$823,6,0),"")</f>
        <v>Máy đào SH210 bánh xích gàu 0.9m3</v>
      </c>
      <c r="H11" s="80" t="s">
        <v>97</v>
      </c>
      <c r="I11" s="80" t="str">
        <f>IFERROR(VLOOKUP(B11,'02. MM-KLH'!$B$6:$T$823,8,0),"")</f>
        <v>CGTC AD</v>
      </c>
      <c r="J11" s="99">
        <f>IFERROR(VLOOKUP(B11,'02. MM-KLH'!$B$6:$T$823,9,0),"")</f>
        <v>44287</v>
      </c>
      <c r="K11" s="80" t="str">
        <f>IFERROR(VLOOKUP(B11,'02. MM-KLH'!$B$6:$T$823,10,0),"")</f>
        <v>Bình thường</v>
      </c>
      <c r="L11" s="102">
        <f>IFERROR(VLOOKUP(B11,'02. MM-KLH'!$B$6:$T$823,11,0),"")</f>
        <v>0.7</v>
      </c>
      <c r="M11" s="127" t="str">
        <f>IFERROR(VLOOKUP(B11,'02. MM-KLH'!$B$6:$T$823,12,0),"")</f>
        <v/>
      </c>
      <c r="N11" s="108" t="str">
        <f>IFERROR(VLOOKUP(B11,'02. MM-KLH'!$B$6:$T$823,13,0),"")</f>
        <v>SUMITOMO</v>
      </c>
      <c r="O11" s="108" t="str">
        <f>IFERROR(VLOOKUP(B11,'02. MM-KLH'!$B$6:$T$823,14,0),"")</f>
        <v>NHẬT BẢN</v>
      </c>
      <c r="P11" s="80">
        <f>IFERROR(VLOOKUP(B11,'02. MM-KLH'!$B$6:$T$823,15,0),"")</f>
        <v>2021</v>
      </c>
      <c r="Q11" s="80" t="str">
        <f>IFERROR(VLOOKUP(B11,'02. MM-KLH'!$B$6:$T$823,16,0),"")</f>
        <v>SH210-6</v>
      </c>
      <c r="R11" s="106" t="str">
        <f>IFERROR(VLOOKUP(B11,'02. MM-KLH'!$B$6:$T$823,17,0),"")</f>
        <v>160HP</v>
      </c>
      <c r="S11" s="108" t="str">
        <f>IFERROR(VLOOKUP(B11,'02. MM-KLH'!$B$6:$T$823,18,0),"")</f>
        <v>STN210T6C00BH3091</v>
      </c>
      <c r="T11" s="110">
        <f>IFERROR(VLOOKUP(B11,'02. MM-KLH'!$B$6:$T$823,19,0),"")</f>
        <v>816364</v>
      </c>
      <c r="U11" s="130" t="s">
        <v>79</v>
      </c>
    </row>
    <row r="12" ht="13.5" customHeight="1">
      <c r="A12" s="95">
        <f t="shared" si="1"/>
        <v>6</v>
      </c>
      <c r="B12" s="115" t="s">
        <v>193</v>
      </c>
      <c r="C12" s="84" t="str">
        <f>IFERROR(VLOOKUP(B12,'02. MM-KLH'!$B$6:$T$823,2,0),"")</f>
        <v>CHT-MĐA-024</v>
      </c>
      <c r="D12" s="95" t="str">
        <f>IFERROR(VLOOKUP(B12,'02. MM-KLH'!$B$6:$T$823,3,0),"")</f>
        <v>ATT-A22-0143</v>
      </c>
      <c r="E12" s="86" t="str">
        <f>IFERROR(VLOOKUP(B12,'02. MM-KLH'!$B$6:$T$823,4,0),"")</f>
        <v/>
      </c>
      <c r="F12" s="115" t="s">
        <v>198</v>
      </c>
      <c r="G12" s="86" t="str">
        <f>IFERROR(VLOOKUP(B12,'02. MM-KLH'!$B$6:$T$823,6,0),"")</f>
        <v>Máy đào SH210 bánh xích gàu 0.9m3</v>
      </c>
      <c r="H12" s="80" t="s">
        <v>97</v>
      </c>
      <c r="I12" s="80" t="str">
        <f>IFERROR(VLOOKUP(B12,'02. MM-KLH'!$B$6:$T$823,8,0),"")</f>
        <v>CGTC AD</v>
      </c>
      <c r="J12" s="99" t="str">
        <f>IFERROR(VLOOKUP(B12,'02. MM-KLH'!$B$6:$T$823,9,0),"")</f>
        <v/>
      </c>
      <c r="K12" s="80" t="str">
        <f>IFERROR(VLOOKUP(B12,'02. MM-KLH'!$B$6:$T$823,10,0),"")</f>
        <v>Bình thường</v>
      </c>
      <c r="L12" s="102">
        <f>IFERROR(VLOOKUP(B12,'02. MM-KLH'!$B$6:$T$823,11,0),"")</f>
        <v>0.66</v>
      </c>
      <c r="M12" s="127" t="str">
        <f>IFERROR(VLOOKUP(B12,'02. MM-KLH'!$B$6:$T$823,12,0),"")</f>
        <v/>
      </c>
      <c r="N12" s="108" t="str">
        <f>IFERROR(VLOOKUP(B12,'02. MM-KLH'!$B$6:$T$823,13,0),"")</f>
        <v>SUMITOMO</v>
      </c>
      <c r="O12" s="108" t="str">
        <f>IFERROR(VLOOKUP(B12,'02. MM-KLH'!$B$6:$T$823,14,0),"")</f>
        <v>NHẬT BẢN</v>
      </c>
      <c r="P12" s="80">
        <f>IFERROR(VLOOKUP(B12,'02. MM-KLH'!$B$6:$T$823,15,0),"")</f>
        <v>2020</v>
      </c>
      <c r="Q12" s="80" t="str">
        <f>IFERROR(VLOOKUP(B12,'02. MM-KLH'!$B$6:$T$823,16,0),"")</f>
        <v>SH210-6</v>
      </c>
      <c r="R12" s="106" t="str">
        <f>IFERROR(VLOOKUP(B12,'02. MM-KLH'!$B$6:$T$823,17,0),"")</f>
        <v>156HP</v>
      </c>
      <c r="S12" s="108" t="str">
        <f>IFERROR(VLOOKUP(B12,'02. MM-KLH'!$B$6:$T$823,18,0),"")</f>
        <v>STN210T6V00BH2671</v>
      </c>
      <c r="T12" s="110">
        <f>IFERROR(VLOOKUP(B12,'02. MM-KLH'!$B$6:$T$823,19,0),"")</f>
        <v>800456</v>
      </c>
      <c r="U12" s="130" t="s">
        <v>79</v>
      </c>
    </row>
    <row r="13" ht="30.0" customHeight="1">
      <c r="A13" s="95">
        <f t="shared" si="1"/>
        <v>7</v>
      </c>
      <c r="B13" s="134" t="s">
        <v>218</v>
      </c>
      <c r="C13" s="84" t="str">
        <f>IFERROR(VLOOKUP(B13,'02. MM-KLH'!$B$6:$T$823,2,0),"")</f>
        <v>MỚI (ĐQSD)</v>
      </c>
      <c r="D13" s="95" t="str">
        <f>IFERROR(VLOOKUP(B13,'02. MM-KLH'!$B$6:$T$823,3,0),"")</f>
        <v>A23-MĐA-066</v>
      </c>
      <c r="E13" s="86" t="str">
        <f>IFERROR(VLOOKUP(B13,'02. MM-KLH'!$B$6:$T$823,4,0),"")</f>
        <v/>
      </c>
      <c r="F13" s="134"/>
      <c r="G13" s="86" t="str">
        <f>IFERROR(VLOOKUP(B13,'02. MM-KLH'!$B$6:$T$823,6,0),"")</f>
        <v>Máy đào KOMATSU bánh lốp gàu 0.7m3</v>
      </c>
      <c r="H13" s="80" t="s">
        <v>97</v>
      </c>
      <c r="I13" s="80" t="str">
        <f>IFERROR(VLOOKUP(B13,'02. MM-KLH'!$B$6:$T$823,8,0),"")</f>
        <v>CGTC DP</v>
      </c>
      <c r="J13" s="99">
        <f>IFERROR(VLOOKUP(B13,'02. MM-KLH'!$B$6:$T$823,9,0),"")</f>
        <v>45963</v>
      </c>
      <c r="K13" s="80" t="str">
        <f>IFERROR(VLOOKUP(B13,'02. MM-KLH'!$B$6:$T$823,10,0),"")</f>
        <v>Bình thường</v>
      </c>
      <c r="L13" s="102" t="str">
        <f>IFERROR(VLOOKUP(B13,'02. MM-KLH'!$B$6:$T$823,11,0),"")</f>
        <v/>
      </c>
      <c r="M13" s="127" t="str">
        <f>IFERROR(VLOOKUP(B13,'02. MM-KLH'!$B$6:$T$823,12,0),"")</f>
        <v>Bàn giao về XDCB ngày 11/02/2025
- Bàn giao về B.ĐN theo TTr số 03-T02/2025/B.XDCB</v>
      </c>
      <c r="N13" s="108" t="str">
        <f>IFERROR(VLOOKUP(B13,'02. MM-KLH'!$B$6:$T$823,13,0),"")</f>
        <v>KOMATSU</v>
      </c>
      <c r="O13" s="108" t="str">
        <f>IFERROR(VLOOKUP(B13,'02. MM-KLH'!$B$6:$T$823,14,0),"")</f>
        <v>ĐỨC</v>
      </c>
      <c r="P13" s="80">
        <f>IFERROR(VLOOKUP(B13,'02. MM-KLH'!$B$6:$T$823,15,0),"")</f>
        <v>2006</v>
      </c>
      <c r="Q13" s="80" t="str">
        <f>IFERROR(VLOOKUP(B13,'02. MM-KLH'!$B$6:$T$823,16,0),"")</f>
        <v>PW160-7</v>
      </c>
      <c r="R13" s="106" t="str">
        <f>IFERROR(VLOOKUP(B13,'02. MM-KLH'!$B$6:$T$823,17,0),"")</f>
        <v>120HP</v>
      </c>
      <c r="S13" s="108" t="str">
        <f>IFERROR(VLOOKUP(B13,'02. MM-KLH'!$B$6:$T$823,18,0),"")</f>
        <v>KMTPW013T79H50346</v>
      </c>
      <c r="T13" s="110">
        <f>IFERROR(VLOOKUP(B13,'02. MM-KLH'!$B$6:$T$823,19,0),"")</f>
        <v>21721047</v>
      </c>
      <c r="U13" s="130" t="s">
        <v>235</v>
      </c>
    </row>
    <row r="14" ht="13.5" customHeight="1">
      <c r="A14" s="95">
        <f t="shared" si="1"/>
        <v>8</v>
      </c>
      <c r="B14" s="113" t="s">
        <v>98</v>
      </c>
      <c r="C14" s="84" t="str">
        <f>IFERROR(VLOOKUP(B14,'02. MM-KLH'!$B$6:$T$823,2,0),"")</f>
        <v/>
      </c>
      <c r="D14" s="95" t="str">
        <f>IFERROR(VLOOKUP(B14,'02. MM-KLH'!$B$6:$T$823,3,0),"")</f>
        <v>ATT-A23-0034</v>
      </c>
      <c r="E14" s="86" t="str">
        <f>IFERROR(VLOOKUP(B14,'02. MM-KLH'!$B$6:$T$823,4,0),"")</f>
        <v/>
      </c>
      <c r="F14" s="115" t="s">
        <v>241</v>
      </c>
      <c r="G14" s="86" t="str">
        <f>IFERROR(VLOOKUP(B14,'02. MM-KLH'!$B$6:$T$823,6,0),"")</f>
        <v>Máy đào DX140W bánh lốp gàu 0.7m3</v>
      </c>
      <c r="H14" s="80" t="s">
        <v>97</v>
      </c>
      <c r="I14" s="80" t="str">
        <f>IFERROR(VLOOKUP(B14,'02. MM-KLH'!$B$6:$T$823,8,0),"")</f>
        <v>CGTC DP</v>
      </c>
      <c r="J14" s="99">
        <f>IFERROR(VLOOKUP(B14,'02. MM-KLH'!$B$6:$T$823,9,0),"")</f>
        <v>44110</v>
      </c>
      <c r="K14" s="80" t="str">
        <f>IFERROR(VLOOKUP(B14,'02. MM-KLH'!$B$6:$T$823,10,0),"")</f>
        <v>Bình thường</v>
      </c>
      <c r="L14" s="102">
        <f>IFERROR(VLOOKUP(B14,'02. MM-KLH'!$B$6:$T$823,11,0),"")</f>
        <v>0.68</v>
      </c>
      <c r="M14" s="143" t="str">
        <f>IFERROR(VLOOKUP(B14,'02. MM-KLH'!$B$6:$T$823,12,0),"")</f>
        <v/>
      </c>
      <c r="N14" s="108" t="str">
        <f>IFERROR(VLOOKUP(B14,'02. MM-KLH'!$B$6:$T$823,13,0),"")</f>
        <v>DOOSAN</v>
      </c>
      <c r="O14" s="108" t="str">
        <f>IFERROR(VLOOKUP(B14,'02. MM-KLH'!$B$6:$T$823,14,0),"")</f>
        <v>HÀN QUỐC</v>
      </c>
      <c r="P14" s="80">
        <f>IFERROR(VLOOKUP(B14,'02. MM-KLH'!$B$6:$T$823,15,0),"")</f>
        <v>2019</v>
      </c>
      <c r="Q14" s="80" t="str">
        <f>IFERROR(VLOOKUP(B14,'02. MM-KLH'!$B$6:$T$823,16,0),"")</f>
        <v>DX140W</v>
      </c>
      <c r="R14" s="106" t="str">
        <f>IFERROR(VLOOKUP(B14,'02. MM-KLH'!$B$6:$T$823,17,0),"")</f>
        <v>133HP</v>
      </c>
      <c r="S14" s="108" t="str">
        <f>IFERROR(VLOOKUP(B14,'02. MM-KLH'!$B$6:$T$823,18,0),"")</f>
        <v>DHKCEWAAVK5008713</v>
      </c>
      <c r="T14" s="110" t="str">
        <f>IFERROR(VLOOKUP(B14,'02. MM-KLH'!$B$6:$T$823,19,0),"")</f>
        <v>CCN</v>
      </c>
      <c r="U14" s="130" t="s">
        <v>79</v>
      </c>
    </row>
    <row r="15" ht="13.5" customHeight="1">
      <c r="A15" s="95">
        <f t="shared" si="1"/>
        <v>9</v>
      </c>
      <c r="B15" s="113" t="s">
        <v>107</v>
      </c>
      <c r="C15" s="84" t="str">
        <f>IFERROR(VLOOKUP(B15,'02. MM-KLH'!$B$6:$T$823,2,0),"")</f>
        <v/>
      </c>
      <c r="D15" s="95" t="str">
        <f>IFERROR(VLOOKUP(B15,'02. MM-KLH'!$B$6:$T$823,3,0),"")</f>
        <v>ATT-A23-0012</v>
      </c>
      <c r="E15" s="86" t="str">
        <f>IFERROR(VLOOKUP(B15,'02. MM-KLH'!$B$6:$T$823,4,0),"")</f>
        <v/>
      </c>
      <c r="F15" s="115" t="s">
        <v>263</v>
      </c>
      <c r="G15" s="86" t="str">
        <f>IFERROR(VLOOKUP(B15,'02. MM-KLH'!$B$6:$T$823,6,0),"")</f>
        <v>Máy đào DX140W bánh lốp gàu 0.7m3</v>
      </c>
      <c r="H15" s="80" t="s">
        <v>97</v>
      </c>
      <c r="I15" s="80" t="str">
        <f>IFERROR(VLOOKUP(B15,'02. MM-KLH'!$B$6:$T$823,8,0),"")</f>
        <v>CGTC DP</v>
      </c>
      <c r="J15" s="99">
        <f>IFERROR(VLOOKUP(B15,'02. MM-KLH'!$B$6:$T$823,9,0),"")</f>
        <v>43801</v>
      </c>
      <c r="K15" s="80" t="str">
        <f>IFERROR(VLOOKUP(B15,'02. MM-KLH'!$B$6:$T$823,10,0),"")</f>
        <v>Bình thường</v>
      </c>
      <c r="L15" s="102">
        <f>IFERROR(VLOOKUP(B15,'02. MM-KLH'!$B$6:$T$823,11,0),"")</f>
        <v>0.4</v>
      </c>
      <c r="M15" s="143" t="str">
        <f>IFERROR(VLOOKUP(B15,'02. MM-KLH'!$B$6:$T$823,12,0),"")</f>
        <v/>
      </c>
      <c r="N15" s="108" t="str">
        <f>IFERROR(VLOOKUP(B15,'02. MM-KLH'!$B$6:$T$823,13,0),"")</f>
        <v>DOOSAN</v>
      </c>
      <c r="O15" s="108" t="str">
        <f>IFERROR(VLOOKUP(B15,'02. MM-KLH'!$B$6:$T$823,14,0),"")</f>
        <v>HÀN QUỐC</v>
      </c>
      <c r="P15" s="80">
        <f>IFERROR(VLOOKUP(B15,'02. MM-KLH'!$B$6:$T$823,15,0),"")</f>
        <v>2018</v>
      </c>
      <c r="Q15" s="80" t="str">
        <f>IFERROR(VLOOKUP(B15,'02. MM-KLH'!$B$6:$T$823,16,0),"")</f>
        <v>DX140W</v>
      </c>
      <c r="R15" s="106" t="str">
        <f>IFERROR(VLOOKUP(B15,'02. MM-KLH'!$B$6:$T$823,17,0),"")</f>
        <v>133HP</v>
      </c>
      <c r="S15" s="108" t="str">
        <f>IFERROR(VLOOKUP(B15,'02. MM-KLH'!$B$6:$T$823,18,0),"")</f>
        <v>DHKCEWAAEK5008652</v>
      </c>
      <c r="T15" s="110" t="str">
        <f>IFERROR(VLOOKUP(B15,'02. MM-KLH'!$B$6:$T$823,19,0),"")</f>
        <v>CCN</v>
      </c>
      <c r="U15" s="130" t="s">
        <v>79</v>
      </c>
    </row>
    <row r="16" ht="13.5" customHeight="1">
      <c r="A16" s="95">
        <f t="shared" si="1"/>
        <v>10</v>
      </c>
      <c r="B16" s="113" t="s">
        <v>289</v>
      </c>
      <c r="C16" s="84" t="str">
        <f>IFERROR(VLOOKUP(B16,'02. MM-KLH'!$B$6:$T$823,2,0),"")</f>
        <v>MĐ 15 HT-KLH</v>
      </c>
      <c r="D16" s="95" t="str">
        <f>IFERROR(VLOOKUP(B16,'02. MM-KLH'!$B$6:$T$823,3,0),"")</f>
        <v>ATT-A24-0049</v>
      </c>
      <c r="E16" s="86" t="str">
        <f>IFERROR(VLOOKUP(B16,'02. MM-KLH'!$B$6:$T$823,4,0),"")</f>
        <v/>
      </c>
      <c r="F16" s="115" t="s">
        <v>298</v>
      </c>
      <c r="G16" s="86" t="str">
        <f>IFERROR(VLOOKUP(B16,'02. MM-KLH'!$B$6:$T$823,6,0),"")</f>
        <v>Máy đào DX140W bánh lốp gàu 0.7m3</v>
      </c>
      <c r="H16" s="80" t="s">
        <v>97</v>
      </c>
      <c r="I16" s="80" t="str">
        <f>IFERROR(VLOOKUP(B16,'02. MM-KLH'!$B$6:$T$823,8,0),"")</f>
        <v>CGTC LP</v>
      </c>
      <c r="J16" s="99">
        <f>IFERROR(VLOOKUP(B16,'02. MM-KLH'!$B$6:$T$823,9,0),"")</f>
        <v>44197</v>
      </c>
      <c r="K16" s="80" t="str">
        <f>IFERROR(VLOOKUP(B16,'02. MM-KLH'!$B$6:$T$823,10,0),"")</f>
        <v>Bình thường</v>
      </c>
      <c r="L16" s="102">
        <f>IFERROR(VLOOKUP(B16,'02. MM-KLH'!$B$6:$T$823,11,0),"")</f>
        <v>0.67</v>
      </c>
      <c r="M16" s="143" t="str">
        <f>IFERROR(VLOOKUP(B16,'02. MM-KLH'!$B$6:$T$823,12,0),"")</f>
        <v/>
      </c>
      <c r="N16" s="108" t="str">
        <f>IFERROR(VLOOKUP(B16,'02. MM-KLH'!$B$6:$T$823,13,0),"")</f>
        <v>DOOSAN</v>
      </c>
      <c r="O16" s="108" t="str">
        <f>IFERROR(VLOOKUP(B16,'02. MM-KLH'!$B$6:$T$823,14,0),"")</f>
        <v>HÀN QUỐC</v>
      </c>
      <c r="P16" s="80">
        <f>IFERROR(VLOOKUP(B16,'02. MM-KLH'!$B$6:$T$823,15,0),"")</f>
        <v>2020</v>
      </c>
      <c r="Q16" s="80" t="str">
        <f>IFERROR(VLOOKUP(B16,'02. MM-KLH'!$B$6:$T$823,16,0),"")</f>
        <v>DX140W</v>
      </c>
      <c r="R16" s="106" t="str">
        <f>IFERROR(VLOOKUP(B16,'02. MM-KLH'!$B$6:$T$823,17,0),"")</f>
        <v>133HP</v>
      </c>
      <c r="S16" s="108" t="str">
        <f>IFERROR(VLOOKUP(B16,'02. MM-KLH'!$B$6:$T$823,18,0),"")</f>
        <v>DHKCEWAAHL5008817</v>
      </c>
      <c r="T16" s="110" t="str">
        <f>IFERROR(VLOOKUP(B16,'02. MM-KLH'!$B$6:$T$823,19,0),"")</f>
        <v>DB58TIS039588EJ</v>
      </c>
      <c r="U16" s="130" t="s">
        <v>79</v>
      </c>
    </row>
    <row r="17" ht="13.5" customHeight="1">
      <c r="A17" s="95">
        <f t="shared" si="1"/>
        <v>11</v>
      </c>
      <c r="B17" s="113" t="s">
        <v>322</v>
      </c>
      <c r="C17" s="84" t="str">
        <f>IFERROR(VLOOKUP(B17,'02. MM-KLH'!$B$6:$T$823,2,0),"")</f>
        <v>MĐ 16 HT-KLH</v>
      </c>
      <c r="D17" s="95" t="str">
        <f>IFERROR(VLOOKUP(B17,'02. MM-KLH'!$B$6:$T$823,3,0),"")</f>
        <v>ATT-A24-0050</v>
      </c>
      <c r="E17" s="86" t="str">
        <f>IFERROR(VLOOKUP(B17,'02. MM-KLH'!$B$6:$T$823,4,0),"")</f>
        <v/>
      </c>
      <c r="F17" s="115" t="s">
        <v>329</v>
      </c>
      <c r="G17" s="86" t="str">
        <f>IFERROR(VLOOKUP(B17,'02. MM-KLH'!$B$6:$T$823,6,0),"")</f>
        <v>Máy đào DX140W bánh lốp gàu 0.7m3</v>
      </c>
      <c r="H17" s="80" t="s">
        <v>97</v>
      </c>
      <c r="I17" s="80" t="str">
        <f>IFERROR(VLOOKUP(B17,'02. MM-KLH'!$B$6:$T$823,8,0),"")</f>
        <v>CGTC LP</v>
      </c>
      <c r="J17" s="99">
        <f>IFERROR(VLOOKUP(B17,'02. MM-KLH'!$B$6:$T$823,9,0),"")</f>
        <v>44197</v>
      </c>
      <c r="K17" s="80" t="str">
        <f>IFERROR(VLOOKUP(B17,'02. MM-KLH'!$B$6:$T$823,10,0),"")</f>
        <v>Bình thường</v>
      </c>
      <c r="L17" s="102">
        <f>IFERROR(VLOOKUP(B17,'02. MM-KLH'!$B$6:$T$823,11,0),"")</f>
        <v>0.67</v>
      </c>
      <c r="M17" s="143" t="str">
        <f>IFERROR(VLOOKUP(B17,'02. MM-KLH'!$B$6:$T$823,12,0),"")</f>
        <v/>
      </c>
      <c r="N17" s="108" t="str">
        <f>IFERROR(VLOOKUP(B17,'02. MM-KLH'!$B$6:$T$823,13,0),"")</f>
        <v>DOOSAN</v>
      </c>
      <c r="O17" s="108" t="str">
        <f>IFERROR(VLOOKUP(B17,'02. MM-KLH'!$B$6:$T$823,14,0),"")</f>
        <v>HÀN QUỐC</v>
      </c>
      <c r="P17" s="80">
        <f>IFERROR(VLOOKUP(B17,'02. MM-KLH'!$B$6:$T$823,15,0),"")</f>
        <v>2020</v>
      </c>
      <c r="Q17" s="80" t="str">
        <f>IFERROR(VLOOKUP(B17,'02. MM-KLH'!$B$6:$T$823,16,0),"")</f>
        <v>DX140W</v>
      </c>
      <c r="R17" s="106" t="str">
        <f>IFERROR(VLOOKUP(B17,'02. MM-KLH'!$B$6:$T$823,17,0),"")</f>
        <v>133HP</v>
      </c>
      <c r="S17" s="108" t="str">
        <f>IFERROR(VLOOKUP(B17,'02. MM-KLH'!$B$6:$T$823,18,0),"")</f>
        <v>DHKCEWAAHL5008818</v>
      </c>
      <c r="T17" s="110" t="str">
        <f>IFERROR(VLOOKUP(B17,'02. MM-KLH'!$B$6:$T$823,19,0),"")</f>
        <v>DB58TIS039734EJ</v>
      </c>
      <c r="U17" s="130" t="s">
        <v>79</v>
      </c>
    </row>
    <row r="18" ht="13.5" customHeight="1">
      <c r="A18" s="95">
        <f t="shared" si="1"/>
        <v>12</v>
      </c>
      <c r="B18" s="113" t="s">
        <v>354</v>
      </c>
      <c r="C18" s="84" t="str">
        <f>IFERROR(VLOOKUP(B18,'02. MM-KLH'!$B$6:$T$823,2,0),"")</f>
        <v>CHT-MĐA-025</v>
      </c>
      <c r="D18" s="95" t="str">
        <f>IFERROR(VLOOKUP(B18,'02. MM-KLH'!$B$6:$T$823,3,0),"")</f>
        <v>ATT-A22-0120</v>
      </c>
      <c r="E18" s="86" t="str">
        <f>IFERROR(VLOOKUP(B18,'02. MM-KLH'!$B$6:$T$823,4,0),"")</f>
        <v/>
      </c>
      <c r="F18" s="115" t="s">
        <v>360</v>
      </c>
      <c r="G18" s="86" t="str">
        <f>IFERROR(VLOOKUP(B18,'02. MM-KLH'!$B$6:$T$823,6,0),"")</f>
        <v>Máy đào DX140W bánh lốp gàu 0.7m3</v>
      </c>
      <c r="H18" s="80" t="s">
        <v>97</v>
      </c>
      <c r="I18" s="80" t="str">
        <f>IFERROR(VLOOKUP(B18,'02. MM-KLH'!$B$6:$T$823,8,0),"")</f>
        <v>CGTC AD</v>
      </c>
      <c r="J18" s="99" t="str">
        <f>IFERROR(VLOOKUP(B18,'02. MM-KLH'!$B$6:$T$823,9,0),"")</f>
        <v>14/09/2020</v>
      </c>
      <c r="K18" s="80" t="str">
        <f>IFERROR(VLOOKUP(B18,'02. MM-KLH'!$B$6:$T$823,10,0),"")</f>
        <v>Bình thường</v>
      </c>
      <c r="L18" s="102" t="str">
        <f>IFERROR(VLOOKUP(B18,'02. MM-KLH'!$B$6:$T$823,11,0),"")</f>
        <v/>
      </c>
      <c r="M18" s="143" t="str">
        <f>IFERROR(VLOOKUP(B18,'02. MM-KLH'!$B$6:$T$823,12,0),"")</f>
        <v/>
      </c>
      <c r="N18" s="108" t="str">
        <f>IFERROR(VLOOKUP(B18,'02. MM-KLH'!$B$6:$T$823,13,0),"")</f>
        <v>DOOSAN</v>
      </c>
      <c r="O18" s="108" t="str">
        <f>IFERROR(VLOOKUP(B18,'02. MM-KLH'!$B$6:$T$823,14,0),"")</f>
        <v>HÀN QUỐC</v>
      </c>
      <c r="P18" s="80">
        <f>IFERROR(VLOOKUP(B18,'02. MM-KLH'!$B$6:$T$823,15,0),"")</f>
        <v>2020</v>
      </c>
      <c r="Q18" s="80" t="str">
        <f>IFERROR(VLOOKUP(B18,'02. MM-KLH'!$B$6:$T$823,16,0),"")</f>
        <v>DX140W</v>
      </c>
      <c r="R18" s="106" t="str">
        <f>IFERROR(VLOOKUP(B18,'02. MM-KLH'!$B$6:$T$823,17,0),"")</f>
        <v>133HP</v>
      </c>
      <c r="S18" s="108" t="str">
        <f>IFERROR(VLOOKUP(B18,'02. MM-KLH'!$B$6:$T$823,18,0),"")</f>
        <v>DHKCEWAAHL5008819</v>
      </c>
      <c r="T18" s="110" t="str">
        <f>IFERROR(VLOOKUP(B18,'02. MM-KLH'!$B$6:$T$823,19,0),"")</f>
        <v>DB58TIS039733EJ</v>
      </c>
      <c r="U18" s="130" t="s">
        <v>79</v>
      </c>
    </row>
    <row r="19" ht="13.5" customHeight="1">
      <c r="A19" s="95">
        <f t="shared" si="1"/>
        <v>13</v>
      </c>
      <c r="B19" s="113" t="s">
        <v>377</v>
      </c>
      <c r="C19" s="84" t="str">
        <f>IFERROR(VLOOKUP(B19,'02. MM-KLH'!$B$6:$T$823,2,0),"")</f>
        <v>CHT-MĐA-026</v>
      </c>
      <c r="D19" s="95" t="str">
        <f>IFERROR(VLOOKUP(B19,'02. MM-KLH'!$B$6:$T$823,3,0),"")</f>
        <v>ATT-A22-0120</v>
      </c>
      <c r="E19" s="86" t="str">
        <f>IFERROR(VLOOKUP(B19,'02. MM-KLH'!$B$6:$T$823,4,0),"")</f>
        <v/>
      </c>
      <c r="F19" s="115" t="s">
        <v>360</v>
      </c>
      <c r="G19" s="86" t="str">
        <f>IFERROR(VLOOKUP(B19,'02. MM-KLH'!$B$6:$T$823,6,0),"")</f>
        <v>Máy đào DX140W bánh lốp gàu 0.7m3</v>
      </c>
      <c r="H19" s="80" t="s">
        <v>97</v>
      </c>
      <c r="I19" s="80" t="str">
        <f>IFERROR(VLOOKUP(B19,'02. MM-KLH'!$B$6:$T$823,8,0),"")</f>
        <v>CGTC AD</v>
      </c>
      <c r="J19" s="99" t="str">
        <f>IFERROR(VLOOKUP(B19,'02. MM-KLH'!$B$6:$T$823,9,0),"")</f>
        <v>14/09/2020</v>
      </c>
      <c r="K19" s="80" t="str">
        <f>IFERROR(VLOOKUP(B19,'02. MM-KLH'!$B$6:$T$823,10,0),"")</f>
        <v>Bình thường</v>
      </c>
      <c r="L19" s="102" t="str">
        <f>IFERROR(VLOOKUP(B19,'02. MM-KLH'!$B$6:$T$823,11,0),"")</f>
        <v/>
      </c>
      <c r="M19" s="143" t="str">
        <f>IFERROR(VLOOKUP(B19,'02. MM-KLH'!$B$6:$T$823,12,0),"")</f>
        <v/>
      </c>
      <c r="N19" s="108" t="str">
        <f>IFERROR(VLOOKUP(B19,'02. MM-KLH'!$B$6:$T$823,13,0),"")</f>
        <v>DOOSAN</v>
      </c>
      <c r="O19" s="108" t="str">
        <f>IFERROR(VLOOKUP(B19,'02. MM-KLH'!$B$6:$T$823,14,0),"")</f>
        <v>HÀN QUỐC</v>
      </c>
      <c r="P19" s="80">
        <f>IFERROR(VLOOKUP(B19,'02. MM-KLH'!$B$6:$T$823,15,0),"")</f>
        <v>2020</v>
      </c>
      <c r="Q19" s="80" t="str">
        <f>IFERROR(VLOOKUP(B19,'02. MM-KLH'!$B$6:$T$823,16,0),"")</f>
        <v>DX140W</v>
      </c>
      <c r="R19" s="106" t="str">
        <f>IFERROR(VLOOKUP(B19,'02. MM-KLH'!$B$6:$T$823,17,0),"")</f>
        <v>133HP</v>
      </c>
      <c r="S19" s="108" t="str">
        <f>IFERROR(VLOOKUP(B19,'02. MM-KLH'!$B$6:$T$823,18,0),"")</f>
        <v>DHKCEWAASL5008820</v>
      </c>
      <c r="T19" s="110" t="str">
        <f>IFERROR(VLOOKUP(B19,'02. MM-KLH'!$B$6:$T$823,19,0),"")</f>
        <v>DB58TIS039729EJ</v>
      </c>
      <c r="U19" s="130" t="s">
        <v>79</v>
      </c>
    </row>
    <row r="20" ht="13.5" customHeight="1">
      <c r="A20" s="95">
        <f t="shared" si="1"/>
        <v>14</v>
      </c>
      <c r="B20" s="115" t="s">
        <v>388</v>
      </c>
      <c r="C20" s="84" t="str">
        <f>IFERROR(VLOOKUP(B20,'02. MM-KLH'!$B$6:$T$823,2,0),"")</f>
        <v>MỚI (ĐQSD)</v>
      </c>
      <c r="D20" s="95" t="str">
        <f>IFERROR(VLOOKUP(B20,'02. MM-KLH'!$B$6:$T$823,3,0),"")</f>
        <v>A24-MĐA-068</v>
      </c>
      <c r="E20" s="86" t="str">
        <f>IFERROR(VLOOKUP(B20,'02. MM-KLH'!$B$6:$T$823,4,0),"")</f>
        <v/>
      </c>
      <c r="F20" s="115" t="s">
        <v>391</v>
      </c>
      <c r="G20" s="86" t="str">
        <f>IFERROR(VLOOKUP(B20,'02. MM-KLH'!$B$6:$T$823,6,0),"")</f>
        <v>Máy đào KOMATSU bánh lốp gàu 0.7m3</v>
      </c>
      <c r="H20" s="80" t="s">
        <v>394</v>
      </c>
      <c r="I20" s="80" t="str">
        <f>IFERROR(VLOOKUP(B20,'02. MM-KLH'!$B$6:$T$823,8,0),"")</f>
        <v>CGTC LP</v>
      </c>
      <c r="J20" s="99" t="str">
        <f>IFERROR(VLOOKUP(B20,'02. MM-KLH'!$B$6:$T$823,9,0),"")</f>
        <v>27/07/2025</v>
      </c>
      <c r="K20" s="80" t="str">
        <f>IFERROR(VLOOKUP(B20,'02. MM-KLH'!$B$6:$T$823,10,0),"")</f>
        <v>Bình thường</v>
      </c>
      <c r="L20" s="102" t="str">
        <f>IFERROR(VLOOKUP(B20,'02. MM-KLH'!$B$6:$T$823,11,0),"")</f>
        <v/>
      </c>
      <c r="M20" s="143" t="str">
        <f>IFERROR(VLOOKUP(B20,'02. MM-KLH'!$B$6:$T$823,12,0),"")</f>
        <v>Đầu tư mới (ĐQSD)</v>
      </c>
      <c r="N20" s="108" t="str">
        <f>IFERROR(VLOOKUP(B20,'02. MM-KLH'!$B$6:$T$823,13,0),"")</f>
        <v>KOMATSU</v>
      </c>
      <c r="O20" s="108" t="str">
        <f>IFERROR(VLOOKUP(B20,'02. MM-KLH'!$B$6:$T$823,14,0),"")</f>
        <v>NHẬT BẢN</v>
      </c>
      <c r="P20" s="80">
        <f>IFERROR(VLOOKUP(B20,'02. MM-KLH'!$B$6:$T$823,15,0),"")</f>
        <v>1990</v>
      </c>
      <c r="Q20" s="80" t="str">
        <f>IFERROR(VLOOKUP(B20,'02. MM-KLH'!$B$6:$T$823,16,0),"")</f>
        <v>PW200-1</v>
      </c>
      <c r="R20" s="106" t="str">
        <f>IFERROR(VLOOKUP(B20,'02. MM-KLH'!$B$6:$T$823,17,0),"")</f>
        <v>115HP</v>
      </c>
      <c r="S20" s="108" t="str">
        <f>IFERROR(VLOOKUP(B20,'02. MM-KLH'!$B$6:$T$823,18,0),"")</f>
        <v>PW200110186</v>
      </c>
      <c r="T20" s="110" t="str">
        <f>IFERROR(VLOOKUP(B20,'02. MM-KLH'!$B$6:$T$823,19,0),"")</f>
        <v>6D105121806</v>
      </c>
      <c r="U20" s="130" t="s">
        <v>235</v>
      </c>
    </row>
    <row r="21" ht="28.5" customHeight="1">
      <c r="A21" s="95">
        <f t="shared" si="1"/>
        <v>15</v>
      </c>
      <c r="B21" s="115" t="s">
        <v>405</v>
      </c>
      <c r="C21" s="84" t="str">
        <f>IFERROR(VLOOKUP(B21,'02. MM-KLH'!$B$6:$T$823,2,0),"")</f>
        <v>CHT-MĐA-070</v>
      </c>
      <c r="D21" s="95" t="str">
        <f>IFERROR(VLOOKUP(B21,'02. MM-KLH'!$B$6:$T$823,3,0),"")</f>
        <v>A22-MĐA-070</v>
      </c>
      <c r="E21" s="86" t="str">
        <f>IFERROR(VLOOKUP(B21,'02. MM-KLH'!$B$6:$T$823,4,0),"")</f>
        <v/>
      </c>
      <c r="F21" s="115" t="s">
        <v>411</v>
      </c>
      <c r="G21" s="86" t="str">
        <f>IFERROR(VLOOKUP(B21,'02. MM-KLH'!$B$6:$T$823,6,0),"")</f>
        <v>Máy đào KOMATSU bánh lốp gàu 0.7m3</v>
      </c>
      <c r="H21" s="80" t="s">
        <v>416</v>
      </c>
      <c r="I21" s="80" t="str">
        <f>IFERROR(VLOOKUP(B21,'02. MM-KLH'!$B$6:$T$823,8,0),"")</f>
        <v>XN Bò AD</v>
      </c>
      <c r="J21" s="99">
        <f>IFERROR(VLOOKUP(B21,'02. MM-KLH'!$B$6:$T$823,9,0),"")</f>
        <v>45660</v>
      </c>
      <c r="K21" s="80" t="str">
        <f>IFERROR(VLOOKUP(B21,'02. MM-KLH'!$B$6:$T$823,10,0),"")</f>
        <v>Bình thường</v>
      </c>
      <c r="L21" s="102" t="str">
        <f>IFERROR(VLOOKUP(B21,'02. MM-KLH'!$B$6:$T$823,11,0),"")</f>
        <v/>
      </c>
      <c r="M21" s="143" t="str">
        <f>IFERROR(VLOOKUP(B21,'02. MM-KLH'!$B$6:$T$823,12,0),"")</f>
        <v>- Bàn giao về XDCB ngày 01/03/2025
- Bàn giao về XNB ngày 09/04/2026</v>
      </c>
      <c r="N21" s="108" t="str">
        <f>IFERROR(VLOOKUP(B21,'02. MM-KLH'!$B$6:$T$823,13,0),"")</f>
        <v>KOMATSU</v>
      </c>
      <c r="O21" s="108" t="str">
        <f>IFERROR(VLOOKUP(B21,'02. MM-KLH'!$B$6:$T$823,14,0),"")</f>
        <v>ĐỨC</v>
      </c>
      <c r="P21" s="80">
        <f>IFERROR(VLOOKUP(B21,'02. MM-KLH'!$B$6:$T$823,15,0),"")</f>
        <v>2006</v>
      </c>
      <c r="Q21" s="80" t="str">
        <f>IFERROR(VLOOKUP(B21,'02. MM-KLH'!$B$6:$T$823,16,0),"")</f>
        <v>PW160-7</v>
      </c>
      <c r="R21" s="106" t="str">
        <f>IFERROR(VLOOKUP(B21,'02. MM-KLH'!$B$6:$T$823,17,0),"")</f>
        <v>120HP</v>
      </c>
      <c r="S21" s="108" t="str">
        <f>IFERROR(VLOOKUP(B21,'02. MM-KLH'!$B$6:$T$823,18,0),"")</f>
        <v>KMTPW013K79H50270</v>
      </c>
      <c r="T21" s="110">
        <f>IFERROR(VLOOKUP(B21,'02. MM-KLH'!$B$6:$T$823,19,0),"")</f>
        <v>21711747</v>
      </c>
      <c r="U21" s="130" t="s">
        <v>235</v>
      </c>
    </row>
    <row r="22" ht="13.5" customHeight="1">
      <c r="A22" s="95">
        <f t="shared" si="1"/>
        <v>16</v>
      </c>
      <c r="B22" s="134" t="s">
        <v>273</v>
      </c>
      <c r="C22" s="84" t="str">
        <f>IFERROR(VLOOKUP(B22,'02. MM-KLH'!$B$6:$T$823,2,0),"")</f>
        <v>MỚI (ĐQSD)</v>
      </c>
      <c r="D22" s="95" t="str">
        <f>IFERROR(VLOOKUP(B22,'02. MM-KLH'!$B$6:$T$823,3,0),"")</f>
        <v>A23-MĐA-067</v>
      </c>
      <c r="E22" s="86" t="str">
        <f>IFERROR(VLOOKUP(B22,'02. MM-KLH'!$B$6:$T$823,4,0),"")</f>
        <v/>
      </c>
      <c r="F22" s="134"/>
      <c r="G22" s="86" t="str">
        <f>IFERROR(VLOOKUP(B22,'02. MM-KLH'!$B$6:$T$823,6,0),"")</f>
        <v>Máy đào KOMATSU bánh lốp gàu 0.8m3</v>
      </c>
      <c r="H22" s="80" t="s">
        <v>97</v>
      </c>
      <c r="I22" s="80" t="str">
        <f>IFERROR(VLOOKUP(B22,'02. MM-KLH'!$B$6:$T$823,8,0),"")</f>
        <v>CGTC DP</v>
      </c>
      <c r="J22" s="99">
        <f>IFERROR(VLOOKUP(B22,'02. MM-KLH'!$B$6:$T$823,9,0),"")</f>
        <v>45963</v>
      </c>
      <c r="K22" s="80" t="str">
        <f>IFERROR(VLOOKUP(B22,'02. MM-KLH'!$B$6:$T$823,10,0),"")</f>
        <v>Bình thường</v>
      </c>
      <c r="L22" s="102" t="str">
        <f>IFERROR(VLOOKUP(B22,'02. MM-KLH'!$B$6:$T$823,11,0),"")</f>
        <v/>
      </c>
      <c r="M22" s="127" t="str">
        <f>IFERROR(VLOOKUP(B22,'02. MM-KLH'!$B$6:$T$823,12,0),"")</f>
        <v>Bàn giao về XDCB ngày 11/02/2025</v>
      </c>
      <c r="N22" s="108" t="str">
        <f>IFERROR(VLOOKUP(B22,'02. MM-KLH'!$B$6:$T$823,13,0),"")</f>
        <v>KOMATSU</v>
      </c>
      <c r="O22" s="108" t="str">
        <f>IFERROR(VLOOKUP(B22,'02. MM-KLH'!$B$6:$T$823,14,0),"")</f>
        <v>NHẬT BẢN</v>
      </c>
      <c r="P22" s="80">
        <f>IFERROR(VLOOKUP(B22,'02. MM-KLH'!$B$6:$T$823,15,0),"")</f>
        <v>2012</v>
      </c>
      <c r="Q22" s="80" t="str">
        <f>IFERROR(VLOOKUP(B22,'02. MM-KLH'!$B$6:$T$823,16,0),"")</f>
        <v>PW200-7</v>
      </c>
      <c r="R22" s="106" t="str">
        <f>IFERROR(VLOOKUP(B22,'02. MM-KLH'!$B$6:$T$823,17,0),"")</f>
        <v>150HP</v>
      </c>
      <c r="S22" s="108" t="str">
        <f>IFERROR(VLOOKUP(B22,'02. MM-KLH'!$B$6:$T$823,18,0),"")</f>
        <v>KMTPW015K79H50237</v>
      </c>
      <c r="T22" s="110">
        <f>IFERROR(VLOOKUP(B22,'02. MM-KLH'!$B$6:$T$823,19,0),"")</f>
        <v>21719691</v>
      </c>
      <c r="U22" s="130" t="s">
        <v>235</v>
      </c>
    </row>
    <row r="23" ht="13.5" customHeight="1">
      <c r="A23" s="95">
        <f t="shared" si="1"/>
        <v>17</v>
      </c>
      <c r="B23" s="115" t="s">
        <v>444</v>
      </c>
      <c r="C23" s="84" t="str">
        <f>IFERROR(VLOOKUP(B23,'02. MM-KLH'!$B$6:$T$823,2,0),"")</f>
        <v>MỚI (ĐQSD)</v>
      </c>
      <c r="D23" s="95" t="str">
        <f>IFERROR(VLOOKUP(B23,'02. MM-KLH'!$B$6:$T$823,3,0),"")</f>
        <v>A22-MĐA-071</v>
      </c>
      <c r="E23" s="86" t="str">
        <f>IFERROR(VLOOKUP(B23,'02. MM-KLH'!$B$6:$T$823,4,0),"")</f>
        <v/>
      </c>
      <c r="F23" s="115"/>
      <c r="G23" s="86" t="str">
        <f>IFERROR(VLOOKUP(B23,'02. MM-KLH'!$B$6:$T$823,6,0),"")</f>
        <v>Máy đào KOMATSU bánh xích gàu 0.8m3</v>
      </c>
      <c r="H23" s="80" t="s">
        <v>97</v>
      </c>
      <c r="I23" s="80" t="str">
        <f>IFERROR(VLOOKUP(B23,'02. MM-KLH'!$B$6:$T$823,8,0),"")</f>
        <v>CGTC AD</v>
      </c>
      <c r="J23" s="99">
        <f>IFERROR(VLOOKUP(B23,'02. MM-KLH'!$B$6:$T$823,9,0),"")</f>
        <v>45660</v>
      </c>
      <c r="K23" s="80" t="str">
        <f>IFERROR(VLOOKUP(B23,'02. MM-KLH'!$B$6:$T$823,10,0),"")</f>
        <v>Bình thường</v>
      </c>
      <c r="L23" s="102" t="str">
        <f>IFERROR(VLOOKUP(B23,'02. MM-KLH'!$B$6:$T$823,11,0),"")</f>
        <v/>
      </c>
      <c r="M23" s="127" t="str">
        <f>IFERROR(VLOOKUP(B23,'02. MM-KLH'!$B$6:$T$823,12,0),"")</f>
        <v>Bàn giao về XDCB ngày 01/03/2025</v>
      </c>
      <c r="N23" s="108" t="str">
        <f>IFERROR(VLOOKUP(B23,'02. MM-KLH'!$B$6:$T$823,13,0),"")</f>
        <v>KOMATSU</v>
      </c>
      <c r="O23" s="108" t="str">
        <f>IFERROR(VLOOKUP(B23,'02. MM-KLH'!$B$6:$T$823,14,0),"")</f>
        <v>NHẬT BẢN</v>
      </c>
      <c r="P23" s="80">
        <f>IFERROR(VLOOKUP(B23,'02. MM-KLH'!$B$6:$T$823,15,0),"")</f>
        <v>2012</v>
      </c>
      <c r="Q23" s="80" t="str">
        <f>IFERROR(VLOOKUP(B23,'02. MM-KLH'!$B$6:$T$823,16,0),"")</f>
        <v>PC200-8N1</v>
      </c>
      <c r="R23" s="106" t="str">
        <f>IFERROR(VLOOKUP(B23,'02. MM-KLH'!$B$6:$T$823,17,0),"")</f>
        <v>150HP</v>
      </c>
      <c r="S23" s="108" t="str">
        <f>IFERROR(VLOOKUP(B23,'02. MM-KLH'!$B$6:$T$823,18,0),"")</f>
        <v>KMTPC197L02354297</v>
      </c>
      <c r="T23" s="110" t="str">
        <f>IFERROR(VLOOKUP(B23,'02. MM-KLH'!$B$6:$T$823,19,0),"")</f>
        <v>6D10726100136</v>
      </c>
      <c r="U23" s="130" t="s">
        <v>235</v>
      </c>
    </row>
    <row r="24" ht="27.0" customHeight="1">
      <c r="A24" s="95">
        <f t="shared" si="1"/>
        <v>18</v>
      </c>
      <c r="B24" s="115" t="s">
        <v>280</v>
      </c>
      <c r="C24" s="84" t="str">
        <f>IFERROR(VLOOKUP(B24,'02. MM-KLH'!$B$6:$T$823,2,0),"")</f>
        <v>MỚI (ĐQSD)</v>
      </c>
      <c r="D24" s="95" t="str">
        <f>IFERROR(VLOOKUP(B24,'02. MM-KLH'!$B$6:$T$823,3,0),"")</f>
        <v>A23-MĐA-072</v>
      </c>
      <c r="E24" s="86" t="str">
        <f>IFERROR(VLOOKUP(B24,'02. MM-KLH'!$B$6:$T$823,4,0),"")</f>
        <v/>
      </c>
      <c r="F24" s="115"/>
      <c r="G24" s="86" t="str">
        <f>IFERROR(VLOOKUP(B24,'02. MM-KLH'!$B$6:$T$823,6,0),"")</f>
        <v>Máy đào KOMATSU bánh xích gàu 0.8m3</v>
      </c>
      <c r="H24" s="80" t="s">
        <v>394</v>
      </c>
      <c r="I24" s="80" t="str">
        <f>IFERROR(VLOOKUP(B24,'02. MM-KLH'!$B$6:$T$823,8,0),"")</f>
        <v>CGTC DP</v>
      </c>
      <c r="J24" s="99" t="str">
        <f>IFERROR(VLOOKUP(B24,'02. MM-KLH'!$B$6:$T$823,9,0),"")</f>
        <v>28/05/2025</v>
      </c>
      <c r="K24" s="80" t="str">
        <f>IFERROR(VLOOKUP(B24,'02. MM-KLH'!$B$6:$T$823,10,0),"")</f>
        <v>Bình thường</v>
      </c>
      <c r="L24" s="102" t="str">
        <f>IFERROR(VLOOKUP(B24,'02. MM-KLH'!$B$6:$T$823,11,0),"")</f>
        <v/>
      </c>
      <c r="M24" s="127" t="str">
        <f>IFERROR(VLOOKUP(B24,'02. MM-KLH'!$B$6:$T$823,12,0),"")</f>
        <v>Đầu tư mới (Tài sản DP)</v>
      </c>
      <c r="N24" s="108" t="str">
        <f>IFERROR(VLOOKUP(B24,'02. MM-KLH'!$B$6:$T$823,13,0),"")</f>
        <v>KOMATSU</v>
      </c>
      <c r="O24" s="108" t="str">
        <f>IFERROR(VLOOKUP(B24,'02. MM-KLH'!$B$6:$T$823,14,0),"")</f>
        <v>NHẬT BẢN</v>
      </c>
      <c r="P24" s="80">
        <f>IFERROR(VLOOKUP(B24,'02. MM-KLH'!$B$6:$T$823,15,0),"")</f>
        <v>2005</v>
      </c>
      <c r="Q24" s="80" t="str">
        <f>IFERROR(VLOOKUP(B24,'02. MM-KLH'!$B$6:$T$823,16,0),"")</f>
        <v>PC228US-3N0</v>
      </c>
      <c r="R24" s="106" t="str">
        <f>IFERROR(VLOOKUP(B24,'02. MM-KLH'!$B$6:$T$823,17,0),"")</f>
        <v>145HP</v>
      </c>
      <c r="S24" s="108" t="str">
        <f>IFERROR(VLOOKUP(B24,'02. MM-KLH'!$B$6:$T$823,18,0),"")</f>
        <v>KMTPC057E02032035</v>
      </c>
      <c r="T24" s="110" t="str">
        <f>IFERROR(VLOOKUP(B24,'02. MM-KLH'!$B$6:$T$823,19,0),"")</f>
        <v>6D1022638264</v>
      </c>
      <c r="U24" s="130" t="s">
        <v>235</v>
      </c>
    </row>
    <row r="25" ht="27.0" customHeight="1">
      <c r="A25" s="95">
        <f t="shared" si="1"/>
        <v>19</v>
      </c>
      <c r="B25" s="115" t="s">
        <v>480</v>
      </c>
      <c r="C25" s="84" t="str">
        <f>IFERROR(VLOOKUP(B25,'02. MM-KLH'!$B$6:$T$823,2,0),"")</f>
        <v>MỚI (ĐQSD)</v>
      </c>
      <c r="D25" s="95" t="str">
        <f>IFERROR(VLOOKUP(B25,'02. MM-KLH'!$B$6:$T$823,3,0),"")</f>
        <v>A23-MDA-073</v>
      </c>
      <c r="E25" s="86" t="str">
        <f>IFERROR(VLOOKUP(B25,'02. MM-KLH'!$B$6:$T$823,4,0),"")</f>
        <v/>
      </c>
      <c r="F25" s="115"/>
      <c r="G25" s="86" t="str">
        <f>IFERROR(VLOOKUP(B25,'02. MM-KLH'!$B$6:$T$823,6,0),"")</f>
        <v>Máy đào KOMATSU bánh xích gàu 0.8m3</v>
      </c>
      <c r="H25" s="80" t="s">
        <v>416</v>
      </c>
      <c r="I25" s="80" t="str">
        <f>IFERROR(VLOOKUP(B25,'02. MM-KLH'!$B$6:$T$823,8,0),"")</f>
        <v>CGTC AD</v>
      </c>
      <c r="J25" s="99" t="str">
        <f>IFERROR(VLOOKUP(B25,'02. MM-KLH'!$B$6:$T$823,9,0),"")</f>
        <v>28/05/2025</v>
      </c>
      <c r="K25" s="80" t="str">
        <f>IFERROR(VLOOKUP(B25,'02. MM-KLH'!$B$6:$T$823,10,0),"")</f>
        <v>Bình thường</v>
      </c>
      <c r="L25" s="102" t="str">
        <f>IFERROR(VLOOKUP(B25,'02. MM-KLH'!$B$6:$T$823,11,0),"")</f>
        <v/>
      </c>
      <c r="M25" s="127" t="str">
        <f>IFERROR(VLOOKUP(B25,'02. MM-KLH'!$B$6:$T$823,12,0),"")</f>
        <v>Đầu tư mới  (Tài sản DP)
- Bàn giao về CGTC ADM theo TTr số 04-T05/2025/B.XDCB</v>
      </c>
      <c r="N25" s="108" t="str">
        <f>IFERROR(VLOOKUP(B25,'02. MM-KLH'!$B$6:$T$823,13,0),"")</f>
        <v>KOMATSU</v>
      </c>
      <c r="O25" s="108" t="str">
        <f>IFERROR(VLOOKUP(B25,'02. MM-KLH'!$B$6:$T$823,14,0),"")</f>
        <v>NHẬT BẢN</v>
      </c>
      <c r="P25" s="80">
        <f>IFERROR(VLOOKUP(B25,'02. MM-KLH'!$B$6:$T$823,15,0),"")</f>
        <v>2003</v>
      </c>
      <c r="Q25" s="80" t="str">
        <f>IFERROR(VLOOKUP(B25,'02. MM-KLH'!$B$6:$T$823,16,0),"")</f>
        <v>PC228US-3N0</v>
      </c>
      <c r="R25" s="106" t="str">
        <f>IFERROR(VLOOKUP(B25,'02. MM-KLH'!$B$6:$T$823,17,0),"")</f>
        <v>145HP</v>
      </c>
      <c r="S25" s="108" t="str">
        <f>IFERROR(VLOOKUP(B25,'02. MM-KLH'!$B$6:$T$823,18,0),"")</f>
        <v>KMTPC057C02030553</v>
      </c>
      <c r="T25" s="110" t="str">
        <f>IFERROR(VLOOKUP(B25,'02. MM-KLH'!$B$6:$T$823,19,0),"")</f>
        <v>6D10226327476</v>
      </c>
      <c r="U25" s="130" t="s">
        <v>235</v>
      </c>
    </row>
    <row r="26" ht="13.5" customHeight="1">
      <c r="A26" s="95">
        <f t="shared" si="1"/>
        <v>20</v>
      </c>
      <c r="B26" s="115" t="s">
        <v>488</v>
      </c>
      <c r="C26" s="84" t="str">
        <f>IFERROR(VLOOKUP(B26,'02. MM-KLH'!$B$6:$T$823,2,0),"")</f>
        <v>MỚI (ĐQSD)</v>
      </c>
      <c r="D26" s="95" t="str">
        <f>IFERROR(VLOOKUP(B26,'02. MM-KLH'!$B$6:$T$823,3,0),"")</f>
        <v>A24-MĐA-065</v>
      </c>
      <c r="E26" s="86" t="str">
        <f>IFERROR(VLOOKUP(B26,'02. MM-KLH'!$B$6:$T$823,4,0),"")</f>
        <v/>
      </c>
      <c r="F26" s="115"/>
      <c r="G26" s="86" t="str">
        <f>IFERROR(VLOOKUP(B26,'02. MM-KLH'!$B$6:$T$823,6,0),"")</f>
        <v>Máy đào KOMATSU bánh xích gàu 0.8m3</v>
      </c>
      <c r="H26" s="80" t="s">
        <v>514</v>
      </c>
      <c r="I26" s="80" t="str">
        <f>IFERROR(VLOOKUP(B26,'02. MM-KLH'!$B$6:$T$823,8,0),"")</f>
        <v>CGTC LP</v>
      </c>
      <c r="J26" s="99">
        <f>IFERROR(VLOOKUP(B26,'02. MM-KLH'!$B$6:$T$823,9,0),"")</f>
        <v>45722</v>
      </c>
      <c r="K26" s="80" t="str">
        <f>IFERROR(VLOOKUP(B26,'02. MM-KLH'!$B$6:$T$823,10,0),"")</f>
        <v>Bình thường</v>
      </c>
      <c r="L26" s="102" t="str">
        <f>IFERROR(VLOOKUP(B26,'02. MM-KLH'!$B$6:$T$823,11,0),"")</f>
        <v/>
      </c>
      <c r="M26" s="127" t="str">
        <f>IFERROR(VLOOKUP(B26,'02. MM-KLH'!$B$6:$T$823,12,0),"")</f>
        <v>Đầu tư mới (ĐQSD)</v>
      </c>
      <c r="N26" s="108" t="str">
        <f>IFERROR(VLOOKUP(B26,'02. MM-KLH'!$B$6:$T$823,13,0),"")</f>
        <v>KOMATSU</v>
      </c>
      <c r="O26" s="108" t="str">
        <f>IFERROR(VLOOKUP(B26,'02. MM-KLH'!$B$6:$T$823,14,0),"")</f>
        <v>NHẬT BẢN</v>
      </c>
      <c r="P26" s="80">
        <f>IFERROR(VLOOKUP(B26,'02. MM-KLH'!$B$6:$T$823,15,0),"")</f>
        <v>2010</v>
      </c>
      <c r="Q26" s="80" t="str">
        <f>IFERROR(VLOOKUP(B26,'02. MM-KLH'!$B$6:$T$823,16,0),"")</f>
        <v>PC200-8N1</v>
      </c>
      <c r="R26" s="106" t="str">
        <f>IFERROR(VLOOKUP(B26,'02. MM-KLH'!$B$6:$T$823,17,0),"")</f>
        <v>145HP</v>
      </c>
      <c r="S26" s="108" t="str">
        <f>IFERROR(VLOOKUP(B26,'02. MM-KLH'!$B$6:$T$823,18,0),"")</f>
        <v>KMTPC197A02351172</v>
      </c>
      <c r="T26" s="110" t="str">
        <f>IFERROR(VLOOKUP(B26,'02. MM-KLH'!$B$6:$T$823,19,0),"")</f>
        <v>6D10726567400</v>
      </c>
      <c r="U26" s="130" t="s">
        <v>235</v>
      </c>
    </row>
    <row r="27" ht="13.5" customHeight="1">
      <c r="A27" s="80"/>
      <c r="B27" s="113"/>
      <c r="C27" s="84" t="str">
        <f>IFERROR(VLOOKUP(B27,'02. MM-KLH'!$B$6:$T$823,2,0),"")</f>
        <v/>
      </c>
      <c r="D27" s="95" t="str">
        <f>IFERROR(VLOOKUP(B27,'02. MM-KLH'!$B$6:$T$823,3,0),"")</f>
        <v/>
      </c>
      <c r="E27" s="86" t="str">
        <f>IFERROR(VLOOKUP(B27,'02. MM-KLH'!$B$6:$T$823,4,0),"")</f>
        <v/>
      </c>
      <c r="F27" s="115"/>
      <c r="G27" s="86" t="str">
        <f>IFERROR(VLOOKUP(B27,'02. MM-KLH'!$B$6:$T$823,6,0),"")</f>
        <v/>
      </c>
      <c r="H27" s="80" t="s">
        <v>525</v>
      </c>
      <c r="I27" s="80" t="str">
        <f>IFERROR(VLOOKUP(B27,'02. MM-KLH'!$B$6:$T$823,8,0),"")</f>
        <v/>
      </c>
      <c r="J27" s="99" t="str">
        <f>IFERROR(VLOOKUP(B27,'02. MM-KLH'!$B$6:$T$823,9,0),"")</f>
        <v/>
      </c>
      <c r="K27" s="80" t="str">
        <f>IFERROR(VLOOKUP(B27,'02. MM-KLH'!$B$6:$T$823,10,0),"")</f>
        <v/>
      </c>
      <c r="L27" s="102" t="str">
        <f>IFERROR(VLOOKUP(B27,'02. MM-KLH'!$B$6:$T$823,11,0),"")</f>
        <v/>
      </c>
      <c r="M27" s="127" t="str">
        <f>IFERROR(VLOOKUP(B27,'02. MM-KLH'!$B$6:$T$823,12,0),"")</f>
        <v/>
      </c>
      <c r="N27" s="108" t="str">
        <f>IFERROR(VLOOKUP(B27,'02. MM-KLH'!$B$6:$T$823,13,0),"")</f>
        <v/>
      </c>
      <c r="O27" s="108" t="str">
        <f>IFERROR(VLOOKUP(B27,'02. MM-KLH'!$B$6:$T$823,14,0),"")</f>
        <v/>
      </c>
      <c r="P27" s="80" t="str">
        <f>IFERROR(VLOOKUP(B27,'02. MM-KLH'!$B$6:$T$823,15,0),"")</f>
        <v/>
      </c>
      <c r="Q27" s="80" t="str">
        <f>IFERROR(VLOOKUP(B27,'02. MM-KLH'!$B$6:$T$823,16,0),"")</f>
        <v/>
      </c>
      <c r="R27" s="106" t="str">
        <f>IFERROR(VLOOKUP(B27,'02. MM-KLH'!$B$6:$T$823,17,0),"")</f>
        <v/>
      </c>
      <c r="S27" s="108" t="str">
        <f>IFERROR(VLOOKUP(B27,'02. MM-KLH'!$B$6:$T$823,18,0),"")</f>
        <v/>
      </c>
      <c r="T27" s="110" t="str">
        <f>IFERROR(VLOOKUP(B27,'02. MM-KLH'!$B$6:$T$823,19,0),"")</f>
        <v/>
      </c>
      <c r="U27" s="130"/>
    </row>
    <row r="28" ht="13.5" customHeight="1">
      <c r="A28" s="80"/>
      <c r="B28" s="113"/>
      <c r="C28" s="84"/>
      <c r="D28" s="95" t="str">
        <f>IFERROR(VLOOKUP(B28,'02. MM-KLH'!$B$6:$T$823,3,0),"")</f>
        <v/>
      </c>
      <c r="E28" s="86" t="str">
        <f>IFERROR(VLOOKUP(B28,'02. MM-KLH'!$B$6:$T$823,4,0),"")</f>
        <v/>
      </c>
      <c r="F28" s="115"/>
      <c r="G28" s="86" t="str">
        <f>IFERROR(VLOOKUP(B28,'02. MM-KLH'!$B$6:$T$823,6,0),"")</f>
        <v/>
      </c>
      <c r="H28" s="80"/>
      <c r="I28" s="80" t="str">
        <f>IFERROR(VLOOKUP(B28,'02. MM-KLH'!$B$6:$T$823,8,0),"")</f>
        <v/>
      </c>
      <c r="J28" s="99" t="str">
        <f>IFERROR(VLOOKUP(B28,'02. MM-KLH'!$B$6:$T$823,9,0),"")</f>
        <v/>
      </c>
      <c r="K28" s="80" t="str">
        <f>IFERROR(VLOOKUP(B28,'02. MM-KLH'!$B$6:$T$823,10,0),"")</f>
        <v/>
      </c>
      <c r="L28" s="102" t="str">
        <f>IFERROR(VLOOKUP(B28,'02. MM-KLH'!$B$6:$T$823,11,0),"")</f>
        <v/>
      </c>
      <c r="M28" s="143" t="str">
        <f>IFERROR(VLOOKUP(B28,'02. MM-KLH'!$B$6:$T$823,12,0),"")</f>
        <v/>
      </c>
      <c r="N28" s="108" t="str">
        <f>IFERROR(VLOOKUP(B28,'02. MM-KLH'!$B$6:$T$823,13,0),"")</f>
        <v/>
      </c>
      <c r="O28" s="108" t="str">
        <f>IFERROR(VLOOKUP(B28,'02. MM-KLH'!$B$6:$T$823,14,0),"")</f>
        <v/>
      </c>
      <c r="P28" s="80" t="str">
        <f>IFERROR(VLOOKUP(B28,'02. MM-KLH'!$B$6:$T$823,15,0),"")</f>
        <v/>
      </c>
      <c r="Q28" s="80" t="str">
        <f>IFERROR(VLOOKUP(B28,'02. MM-KLH'!$B$6:$T$823,16,0),"")</f>
        <v/>
      </c>
      <c r="R28" s="106" t="str">
        <f>IFERROR(VLOOKUP(B28,'02. MM-KLH'!$B$6:$T$823,17,0),"")</f>
        <v/>
      </c>
      <c r="S28" s="108" t="str">
        <f>IFERROR(VLOOKUP(B28,'02. MM-KLH'!$B$6:$T$823,18,0),"")</f>
        <v/>
      </c>
      <c r="T28" s="110" t="str">
        <f>IFERROR(VLOOKUP(B28,'02. MM-KLH'!$B$6:$T$823,19,0),"")</f>
        <v/>
      </c>
      <c r="U28" s="130"/>
    </row>
    <row r="29" ht="13.5" customHeight="1">
      <c r="A29" s="94" t="s">
        <v>80</v>
      </c>
      <c r="B29" s="96" t="s">
        <v>568</v>
      </c>
      <c r="C29" s="97">
        <f>COUNTA(B30:B33)</f>
        <v>3</v>
      </c>
      <c r="D29" s="98" t="str">
        <f>IFERROR(VLOOKUP(B29,'02. MM-KLH'!$B$6:$T$823,3,0),"")</f>
        <v/>
      </c>
      <c r="E29" s="98" t="str">
        <f>IFERROR(VLOOKUP(B29,'02. MM-KLH'!$B$6:$T$823,4,0),"")</f>
        <v/>
      </c>
      <c r="F29" s="96"/>
      <c r="G29" s="100" t="str">
        <f>IFERROR(VLOOKUP(B29,'02. MM-KLH'!$B$6:$T$823,6,0),"")</f>
        <v/>
      </c>
      <c r="H29" s="94"/>
      <c r="I29" s="94" t="str">
        <f>IFERROR(VLOOKUP(B29,'02. MM-KLH'!$B$6:$T$823,8,0),"")</f>
        <v/>
      </c>
      <c r="J29" s="101" t="str">
        <f>IFERROR(VLOOKUP(B29,'02. MM-KLH'!$B$6:$T$823,9,0),"")</f>
        <v/>
      </c>
      <c r="K29" s="94" t="str">
        <f>IFERROR(VLOOKUP(B29,'02. MM-KLH'!$B$6:$T$823,10,0),"")</f>
        <v/>
      </c>
      <c r="L29" s="103" t="str">
        <f>IFERROR(VLOOKUP(B29,'02. MM-KLH'!$B$6:$T$823,11,0),"")</f>
        <v/>
      </c>
      <c r="M29" s="105" t="str">
        <f>IFERROR(VLOOKUP(B29,'02. MM-KLH'!$B$6:$T$823,12,0),"")</f>
        <v/>
      </c>
      <c r="N29" s="107" t="str">
        <f>IFERROR(VLOOKUP(B29,'02. MM-KLH'!$B$6:$T$823,13,0),"")</f>
        <v/>
      </c>
      <c r="O29" s="107" t="str">
        <f>IFERROR(VLOOKUP(B29,'02. MM-KLH'!$B$6:$T$823,14,0),"")</f>
        <v/>
      </c>
      <c r="P29" s="94" t="str">
        <f>IFERROR(VLOOKUP(B29,'02. MM-KLH'!$B$6:$T$823,15,0),"")</f>
        <v/>
      </c>
      <c r="Q29" s="94" t="str">
        <f>IFERROR(VLOOKUP(B29,'02. MM-KLH'!$B$6:$T$823,16,0),"")</f>
        <v/>
      </c>
      <c r="R29" s="97" t="str">
        <f>IFERROR(VLOOKUP(B29,'02. MM-KLH'!$B$6:$T$823,17,0),"")</f>
        <v/>
      </c>
      <c r="S29" s="107" t="str">
        <f>IFERROR(VLOOKUP(B29,'02. MM-KLH'!$B$6:$T$823,18,0),"")</f>
        <v/>
      </c>
      <c r="T29" s="109" t="str">
        <f>IFERROR(VLOOKUP(B29,'02. MM-KLH'!$B$6:$T$823,19,0),"")</f>
        <v/>
      </c>
      <c r="U29" s="94" t="str">
        <f>IFERROR(VLOOKUP(G29,'02. MM-KLH'!$B$6:$T$823,15,0),"")</f>
        <v/>
      </c>
    </row>
    <row r="30" ht="13.5" customHeight="1">
      <c r="A30" s="95">
        <v>1.0</v>
      </c>
      <c r="B30" s="113" t="s">
        <v>114</v>
      </c>
      <c r="C30" s="84" t="str">
        <f>IFERROR(VLOOKUP(B30,'02. MM-KLH'!$B$6:$T$823,2,0),"")</f>
        <v/>
      </c>
      <c r="D30" s="95" t="str">
        <f>IFERROR(VLOOKUP(B30,'02. MM-KLH'!$B$6:$T$823,3,0),"")</f>
        <v>ATM-A22-0088</v>
      </c>
      <c r="E30" s="86" t="str">
        <f>IFERROR(VLOOKUP(B30,'02. MM-KLH'!$B$6:$T$823,4,0),"")</f>
        <v/>
      </c>
      <c r="F30" s="115" t="s">
        <v>581</v>
      </c>
      <c r="G30" s="86" t="str">
        <f>IFERROR(VLOOKUP(B30,'02. MM-KLH'!$B$6:$T$823,6,0),"")</f>
        <v>Máy đào SH130 bánh xích gàu 0.5m3</v>
      </c>
      <c r="H30" s="80" t="s">
        <v>97</v>
      </c>
      <c r="I30" s="80" t="str">
        <f>IFERROR(VLOOKUP(B30,'02. MM-KLH'!$B$6:$T$823,8,0),"")</f>
        <v>CGTC DP</v>
      </c>
      <c r="J30" s="99">
        <f>IFERROR(VLOOKUP(B30,'02. MM-KLH'!$B$6:$T$823,9,0),"")</f>
        <v>44200</v>
      </c>
      <c r="K30" s="80" t="str">
        <f>IFERROR(VLOOKUP(B30,'02. MM-KLH'!$B$6:$T$823,10,0),"")</f>
        <v>Bình thường</v>
      </c>
      <c r="L30" s="102">
        <f>IFERROR(VLOOKUP(B30,'02. MM-KLH'!$B$6:$T$823,11,0),"")</f>
        <v>0.7</v>
      </c>
      <c r="M30" s="143" t="str">
        <f>IFERROR(VLOOKUP(B30,'02. MM-KLH'!$B$6:$T$823,12,0),"")</f>
        <v/>
      </c>
      <c r="N30" s="108" t="str">
        <f>IFERROR(VLOOKUP(B30,'02. MM-KLH'!$B$6:$T$823,13,0),"")</f>
        <v>SUMITOMO</v>
      </c>
      <c r="O30" s="108" t="str">
        <f>IFERROR(VLOOKUP(B30,'02. MM-KLH'!$B$6:$T$823,14,0),"")</f>
        <v>NHẬT BẢN</v>
      </c>
      <c r="P30" s="80">
        <f>IFERROR(VLOOKUP(B30,'02. MM-KLH'!$B$6:$T$823,15,0),"")</f>
        <v>2021</v>
      </c>
      <c r="Q30" s="80" t="str">
        <f>IFERROR(VLOOKUP(B30,'02. MM-KLH'!$B$6:$T$823,16,0),"")</f>
        <v>SH130-6</v>
      </c>
      <c r="R30" s="106" t="str">
        <f>IFERROR(VLOOKUP(B30,'02. MM-KLH'!$B$6:$T$823,17,0),"")</f>
        <v>96HP</v>
      </c>
      <c r="S30" s="108" t="str">
        <f>IFERROR(VLOOKUP(B30,'02. MM-KLH'!$B$6:$T$823,18,0),"")</f>
        <v>STN130T6A00BH1835</v>
      </c>
      <c r="T30" s="110" t="str">
        <f>IFERROR(VLOOKUP(B30,'02. MM-KLH'!$B$6:$T$823,19,0),"")</f>
        <v>6041164JJ1</v>
      </c>
      <c r="U30" s="130" t="s">
        <v>79</v>
      </c>
    </row>
    <row r="31" ht="13.5" customHeight="1">
      <c r="A31" s="80">
        <v>2.0</v>
      </c>
      <c r="B31" s="113" t="s">
        <v>439</v>
      </c>
      <c r="C31" s="84" t="str">
        <f>IFERROR(VLOOKUP(B31,'02. MM-KLH'!$B$6:$T$823,2,0),"")</f>
        <v>MĐ 14 HT-KLH</v>
      </c>
      <c r="D31" s="95" t="str">
        <f>IFERROR(VLOOKUP(B31,'02. MM-KLH'!$B$6:$T$823,3,0),"")</f>
        <v>ATT-A24-0052</v>
      </c>
      <c r="E31" s="86" t="str">
        <f>IFERROR(VLOOKUP(B31,'02. MM-KLH'!$B$6:$T$823,4,0),"")</f>
        <v/>
      </c>
      <c r="F31" s="115" t="s">
        <v>601</v>
      </c>
      <c r="G31" s="86" t="str">
        <f>IFERROR(VLOOKUP(B31,'02. MM-KLH'!$B$6:$T$823,6,0),"")</f>
        <v>Máy đào SH130 bánh xích gàu 0.5m3</v>
      </c>
      <c r="H31" s="80" t="s">
        <v>97</v>
      </c>
      <c r="I31" s="80" t="str">
        <f>IFERROR(VLOOKUP(B31,'02. MM-KLH'!$B$6:$T$823,8,0),"")</f>
        <v>CGTC LP</v>
      </c>
      <c r="J31" s="99">
        <f>IFERROR(VLOOKUP(B31,'02. MM-KLH'!$B$6:$T$823,9,0),"")</f>
        <v>44197</v>
      </c>
      <c r="K31" s="80" t="str">
        <f>IFERROR(VLOOKUP(B31,'02. MM-KLH'!$B$6:$T$823,10,0),"")</f>
        <v>Bình thường</v>
      </c>
      <c r="L31" s="102">
        <f>IFERROR(VLOOKUP(B31,'02. MM-KLH'!$B$6:$T$823,11,0),"")</f>
        <v>0.67</v>
      </c>
      <c r="M31" s="143" t="str">
        <f>IFERROR(VLOOKUP(B31,'02. MM-KLH'!$B$6:$T$823,12,0),"")</f>
        <v/>
      </c>
      <c r="N31" s="108" t="str">
        <f>IFERROR(VLOOKUP(B31,'02. MM-KLH'!$B$6:$T$823,13,0),"")</f>
        <v>SUMITOMO</v>
      </c>
      <c r="O31" s="108" t="str">
        <f>IFERROR(VLOOKUP(B31,'02. MM-KLH'!$B$6:$T$823,14,0),"")</f>
        <v>NHẬT BẢN</v>
      </c>
      <c r="P31" s="80">
        <f>IFERROR(VLOOKUP(B31,'02. MM-KLH'!$B$6:$T$823,15,0),"")</f>
        <v>2019</v>
      </c>
      <c r="Q31" s="80" t="str">
        <f>IFERROR(VLOOKUP(B31,'02. MM-KLH'!$B$6:$T$823,16,0),"")</f>
        <v>SH130-6</v>
      </c>
      <c r="R31" s="106" t="str">
        <f>IFERROR(VLOOKUP(B31,'02. MM-KLH'!$B$6:$T$823,17,0),"")</f>
        <v>96HP</v>
      </c>
      <c r="S31" s="108" t="str">
        <f>IFERROR(VLOOKUP(B31,'02. MM-KLH'!$B$6:$T$823,18,0),"")</f>
        <v>STN130T6V00BH1607</v>
      </c>
      <c r="T31" s="110" t="str">
        <f>IFERROR(VLOOKUP(B31,'02. MM-KLH'!$B$6:$T$823,19,0),"")</f>
        <v>2757064JJ1</v>
      </c>
      <c r="U31" s="130" t="s">
        <v>79</v>
      </c>
    </row>
    <row r="32" ht="37.5" customHeight="1">
      <c r="A32" s="80">
        <v>3.0</v>
      </c>
      <c r="B32" s="115" t="s">
        <v>617</v>
      </c>
      <c r="C32" s="84" t="str">
        <f>IFERROR(VLOOKUP(B32,'02. MM-KLH'!$B$6:$T$823,2,0),"")</f>
        <v>CHT-MĐA-064</v>
      </c>
      <c r="D32" s="95" t="str">
        <f>IFERROR(VLOOKUP(B32,'02. MM-KLH'!$B$6:$T$823,3,0),"")</f>
        <v>A24-MĐA-064</v>
      </c>
      <c r="E32" s="86" t="str">
        <f>IFERROR(VLOOKUP(B32,'02. MM-KLH'!$B$6:$T$823,4,0),"")</f>
        <v/>
      </c>
      <c r="F32" s="115"/>
      <c r="G32" s="86" t="str">
        <f>IFERROR(VLOOKUP(B32,'02. MM-KLH'!$B$6:$T$823,6,0),"")</f>
        <v>Máy đào ROBEX 140W bánh lốp gàu 0.5m3</v>
      </c>
      <c r="H32" s="80" t="s">
        <v>97</v>
      </c>
      <c r="I32" s="80" t="str">
        <f>IFERROR(VLOOKUP(B32,'02. MM-KLH'!$B$6:$T$823,8,0),"")</f>
        <v>XN Bò AD</v>
      </c>
      <c r="J32" s="99">
        <f>IFERROR(VLOOKUP(B32,'02. MM-KLH'!$B$6:$T$823,9,0),"")</f>
        <v>46026</v>
      </c>
      <c r="K32" s="80" t="str">
        <f>IFERROR(VLOOKUP(B32,'02. MM-KLH'!$B$6:$T$823,10,0),"")</f>
        <v>Bình thường</v>
      </c>
      <c r="L32" s="102" t="str">
        <f>IFERROR(VLOOKUP(B32,'02. MM-KLH'!$B$6:$T$823,11,0),"")</f>
        <v/>
      </c>
      <c r="M32" s="143" t="str">
        <f>IFERROR(VLOOKUP(B32,'02. MM-KLH'!$B$6:$T$823,12,0),"")</f>
        <v>- Đầu tư mới CGTC Lumphat ngày 18/12/2024 (ĐQSD)
- Cho XN Bò mượn T5/2025 (Chưa bàn giao)
- Bàn giao XN Bò 01/04/2026</v>
      </c>
      <c r="N32" s="108" t="str">
        <f>IFERROR(VLOOKUP(B32,'02. MM-KLH'!$B$6:$T$823,13,0),"")</f>
        <v>HYUNDAI</v>
      </c>
      <c r="O32" s="108" t="str">
        <f>IFERROR(VLOOKUP(B32,'02. MM-KLH'!$B$6:$T$823,14,0),"")</f>
        <v>HÀN QUỐC</v>
      </c>
      <c r="P32" s="80">
        <f>IFERROR(VLOOKUP(B32,'02. MM-KLH'!$B$6:$T$823,15,0),"")</f>
        <v>2012</v>
      </c>
      <c r="Q32" s="80" t="str">
        <f>IFERROR(VLOOKUP(B32,'02. MM-KLH'!$B$6:$T$823,16,0),"")</f>
        <v>ROBEX 140W</v>
      </c>
      <c r="R32" s="106" t="str">
        <f>IFERROR(VLOOKUP(B32,'02. MM-KLH'!$B$6:$T$823,17,0),"")</f>
        <v>133HP</v>
      </c>
      <c r="S32" s="108" t="str">
        <f>IFERROR(VLOOKUP(B32,'02. MM-KLH'!$B$6:$T$823,18,0),"")</f>
        <v>4LC0001417</v>
      </c>
      <c r="T32" s="110">
        <f>IFERROR(VLOOKUP(B32,'02. MM-KLH'!$B$6:$T$823,19,0),"")</f>
        <v>73390872</v>
      </c>
      <c r="U32" s="130" t="s">
        <v>235</v>
      </c>
    </row>
    <row r="33">
      <c r="B33" s="169"/>
      <c r="D33" s="95" t="str">
        <f>IFERROR(VLOOKUP(B33,'02. MM-KLH'!$B$6:$T$823,3,0),"")</f>
        <v/>
      </c>
      <c r="E33" s="86" t="str">
        <f>IFERROR(VLOOKUP(B33,'02. MM-KLH'!$B$6:$T$823,4,0),"")</f>
        <v/>
      </c>
      <c r="G33" s="86" t="str">
        <f>IFERROR(VLOOKUP(B33,'02. MM-KLH'!$B$6:$T$823,6,0),"")</f>
        <v/>
      </c>
      <c r="I33" s="80" t="str">
        <f>IFERROR(VLOOKUP(B33,'02. MM-KLH'!$B$6:$T$823,8,0),"")</f>
        <v/>
      </c>
      <c r="J33" s="99" t="str">
        <f>IFERROR(VLOOKUP(B33,'02. MM-KLH'!$B$6:$T$823,9,0),"")</f>
        <v/>
      </c>
      <c r="K33" s="80" t="str">
        <f>IFERROR(VLOOKUP(B33,'02. MM-KLH'!$B$6:$T$823,10,0),"")</f>
        <v/>
      </c>
      <c r="L33" s="102" t="str">
        <f>IFERROR(VLOOKUP(B33,'02. MM-KLH'!$B$6:$T$823,11,0),"")</f>
        <v/>
      </c>
      <c r="M33" s="143" t="str">
        <f>IFERROR(VLOOKUP(B33,'02. MM-KLH'!$B$6:$T$823,12,0),"")</f>
        <v/>
      </c>
      <c r="N33" s="108" t="str">
        <f>IFERROR(VLOOKUP(B33,'02. MM-KLH'!$B$6:$T$823,13,0),"")</f>
        <v/>
      </c>
      <c r="O33" s="108" t="str">
        <f>IFERROR(VLOOKUP(B33,'02. MM-KLH'!$B$6:$T$823,14,0),"")</f>
        <v/>
      </c>
      <c r="P33" s="80" t="str">
        <f>IFERROR(VLOOKUP(B33,'02. MM-KLH'!$B$6:$T$823,15,0),"")</f>
        <v/>
      </c>
      <c r="Q33" s="80" t="str">
        <f>IFERROR(VLOOKUP(B33,'02. MM-KLH'!$B$6:$T$823,16,0),"")</f>
        <v/>
      </c>
      <c r="R33" s="106" t="str">
        <f>IFERROR(VLOOKUP(B33,'02. MM-KLH'!$B$6:$T$823,17,0),"")</f>
        <v/>
      </c>
      <c r="S33" s="108" t="str">
        <f>IFERROR(VLOOKUP(B33,'02. MM-KLH'!$B$6:$T$823,18,0),"")</f>
        <v/>
      </c>
      <c r="T33" s="110" t="str">
        <f>IFERROR(VLOOKUP(B33,'02. MM-KLH'!$B$6:$T$823,19,0),"")</f>
        <v/>
      </c>
      <c r="U33" s="80" t="str">
        <f>IFERROR(VLOOKUP(G33,'02. MM-KLH'!$B$6:$T$823,15,0),"")</f>
        <v/>
      </c>
    </row>
    <row r="34" ht="13.5" customHeight="1">
      <c r="A34" s="94" t="s">
        <v>80</v>
      </c>
      <c r="B34" s="96" t="s">
        <v>659</v>
      </c>
      <c r="C34" s="97">
        <f>COUNTA(B35:B64)</f>
        <v>29</v>
      </c>
      <c r="D34" s="98" t="str">
        <f>IFERROR(VLOOKUP(B34,'02. MM-KLH'!$B$6:$T$823,3,0),"")</f>
        <v/>
      </c>
      <c r="E34" s="98" t="str">
        <f>IFERROR(VLOOKUP(B34,'02. MM-KLH'!$B$6:$T$823,4,0),"")</f>
        <v/>
      </c>
      <c r="F34" s="96"/>
      <c r="G34" s="100" t="str">
        <f>IFERROR(VLOOKUP(B34,'02. MM-KLH'!$B$6:$T$823,6,0),"")</f>
        <v/>
      </c>
      <c r="H34" s="94"/>
      <c r="I34" s="94" t="str">
        <f>IFERROR(VLOOKUP(B34,'02. MM-KLH'!$B$6:$T$823,8,0),"")</f>
        <v/>
      </c>
      <c r="J34" s="101" t="str">
        <f>IFERROR(VLOOKUP(B34,'02. MM-KLH'!$B$6:$T$823,9,0),"")</f>
        <v/>
      </c>
      <c r="K34" s="94" t="str">
        <f>IFERROR(VLOOKUP(B34,'02. MM-KLH'!$B$6:$T$823,10,0),"")</f>
        <v/>
      </c>
      <c r="L34" s="103" t="str">
        <f>IFERROR(VLOOKUP(B34,'02. MM-KLH'!$B$6:$T$823,11,0),"")</f>
        <v/>
      </c>
      <c r="M34" s="105" t="str">
        <f>IFERROR(VLOOKUP(B34,'02. MM-KLH'!$B$6:$T$823,12,0),"")</f>
        <v/>
      </c>
      <c r="N34" s="107" t="str">
        <f>IFERROR(VLOOKUP(B34,'02. MM-KLH'!$B$6:$T$823,13,0),"")</f>
        <v/>
      </c>
      <c r="O34" s="107" t="str">
        <f>IFERROR(VLOOKUP(B34,'02. MM-KLH'!$B$6:$T$823,14,0),"")</f>
        <v/>
      </c>
      <c r="P34" s="94" t="str">
        <f>IFERROR(VLOOKUP(B34,'02. MM-KLH'!$B$6:$T$823,15,0),"")</f>
        <v/>
      </c>
      <c r="Q34" s="94" t="str">
        <f>IFERROR(VLOOKUP(B34,'02. MM-KLH'!$B$6:$T$823,16,0),"")</f>
        <v/>
      </c>
      <c r="R34" s="97" t="str">
        <f>IFERROR(VLOOKUP(B34,'02. MM-KLH'!$B$6:$T$823,17,0),"")</f>
        <v/>
      </c>
      <c r="S34" s="107" t="str">
        <f>IFERROR(VLOOKUP(B34,'02. MM-KLH'!$B$6:$T$823,18,0),"")</f>
        <v/>
      </c>
      <c r="T34" s="109" t="str">
        <f>IFERROR(VLOOKUP(B34,'02. MM-KLH'!$B$6:$T$823,19,0),"")</f>
        <v/>
      </c>
      <c r="U34" s="94" t="str">
        <f>IFERROR(VLOOKUP(G34,'02. MM-KLH'!$B$6:$T$823,15,0),"")</f>
        <v/>
      </c>
    </row>
    <row r="35" ht="27.75" customHeight="1">
      <c r="A35" s="80">
        <v>1.0</v>
      </c>
      <c r="B35" s="134" t="s">
        <v>243</v>
      </c>
      <c r="C35" s="134" t="str">
        <f>IFERROR(VLOOKUP(B35,'02. MM-KLH'!$B$6:$T$823,2,0),"")</f>
        <v>MỚI (ĐQSD)</v>
      </c>
      <c r="D35" s="95" t="str">
        <f>IFERROR(VLOOKUP(B35,'02. MM-KLH'!$B$6:$T$823,3,0),"")</f>
        <v>A23-MĐA-047</v>
      </c>
      <c r="E35" s="86" t="str">
        <f>IFERROR(VLOOKUP(B35,'02. MM-KLH'!$B$6:$T$823,4,0),"")</f>
        <v/>
      </c>
      <c r="F35" s="134"/>
      <c r="G35" s="86" t="str">
        <f>IFERROR(VLOOKUP(B35,'02. MM-KLH'!$B$6:$T$823,6,0),"")</f>
        <v>Máy đào KOMATSU bánh xích gàu 0.3m3</v>
      </c>
      <c r="H35" s="80" t="s">
        <v>702</v>
      </c>
      <c r="I35" s="80" t="str">
        <f>IFERROR(VLOOKUP(B35,'02. MM-KLH'!$B$6:$T$823,8,0),"")</f>
        <v>CGTC DP</v>
      </c>
      <c r="J35" s="99">
        <f>IFERROR(VLOOKUP(B35,'02. MM-KLH'!$B$6:$T$823,9,0),"")</f>
        <v>45298</v>
      </c>
      <c r="K35" s="80" t="str">
        <f>IFERROR(VLOOKUP(B35,'02. MM-KLH'!$B$6:$T$823,10,0),"")</f>
        <v>Bình thường</v>
      </c>
      <c r="L35" s="102" t="str">
        <f>IFERROR(VLOOKUP(B35,'02. MM-KLH'!$B$6:$T$823,11,0),"")</f>
        <v/>
      </c>
      <c r="M35" s="143" t="str">
        <f>IFERROR(VLOOKUP(B35,'02. MM-KLH'!$B$6:$T$823,12,0),"")</f>
        <v>Bàn giao về XDCB ngày 01/07/2024</v>
      </c>
      <c r="N35" s="108" t="str">
        <f>IFERROR(VLOOKUP(B35,'02. MM-KLH'!$B$6:$T$823,13,0),"")</f>
        <v>KOMATSU</v>
      </c>
      <c r="O35" s="108" t="str">
        <f>IFERROR(VLOOKUP(B35,'02. MM-KLH'!$B$6:$T$823,14,0),"")</f>
        <v>NHẬT BẢN</v>
      </c>
      <c r="P35" s="80">
        <f>IFERROR(VLOOKUP(B35,'02. MM-KLH'!$B$6:$T$823,15,0),"")</f>
        <v>2013</v>
      </c>
      <c r="Q35" s="80" t="str">
        <f>IFERROR(VLOOKUP(B35,'02. MM-KLH'!$B$6:$T$823,16,0),"")</f>
        <v>PC40MR-3</v>
      </c>
      <c r="R35" s="106" t="str">
        <f>IFERROR(VLOOKUP(B35,'02. MM-KLH'!$B$6:$T$823,17,0),"")</f>
        <v>40HP</v>
      </c>
      <c r="S35" s="108" t="str">
        <f>IFERROR(VLOOKUP(B35,'02. MM-KLH'!$B$6:$T$823,18,0),"")</f>
        <v>KMTPC203V04021194</v>
      </c>
      <c r="T35" s="110">
        <f>IFERROR(VLOOKUP(B35,'02. MM-KLH'!$B$6:$T$823,19,0),"")</f>
        <v>25275</v>
      </c>
      <c r="U35" s="130" t="s">
        <v>235</v>
      </c>
    </row>
    <row r="36" ht="27.75" customHeight="1">
      <c r="A36" s="95">
        <f t="shared" ref="A36:A63" si="2">A35+1</f>
        <v>2</v>
      </c>
      <c r="B36" s="134" t="s">
        <v>246</v>
      </c>
      <c r="C36" s="134" t="str">
        <f>IFERROR(VLOOKUP(B36,'02. MM-KLH'!$B$6:$T$823,2,0),"")</f>
        <v>MỚI (ĐQSD)</v>
      </c>
      <c r="D36" s="95" t="str">
        <f>IFERROR(VLOOKUP(B36,'02. MM-KLH'!$B$6:$T$823,3,0),"")</f>
        <v>A23-MĐA-048</v>
      </c>
      <c r="E36" s="86" t="str">
        <f>IFERROR(VLOOKUP(B36,'02. MM-KLH'!$B$6:$T$823,4,0),"")</f>
        <v/>
      </c>
      <c r="F36" s="134"/>
      <c r="G36" s="86" t="str">
        <f>IFERROR(VLOOKUP(B36,'02. MM-KLH'!$B$6:$T$823,6,0),"")</f>
        <v>Máy đào KOMATSU bánh xích gàu 0.3m3</v>
      </c>
      <c r="H36" s="80" t="s">
        <v>702</v>
      </c>
      <c r="I36" s="80" t="str">
        <f>IFERROR(VLOOKUP(B36,'02. MM-KLH'!$B$6:$T$823,8,0),"")</f>
        <v>CGTC DP</v>
      </c>
      <c r="J36" s="99">
        <f>IFERROR(VLOOKUP(B36,'02. MM-KLH'!$B$6:$T$823,9,0),"")</f>
        <v>45298</v>
      </c>
      <c r="K36" s="80" t="str">
        <f>IFERROR(VLOOKUP(B36,'02. MM-KLH'!$B$6:$T$823,10,0),"")</f>
        <v>Bình thường</v>
      </c>
      <c r="L36" s="102" t="str">
        <f>IFERROR(VLOOKUP(B36,'02. MM-KLH'!$B$6:$T$823,11,0),"")</f>
        <v/>
      </c>
      <c r="M36" s="143" t="str">
        <f>IFERROR(VLOOKUP(B36,'02. MM-KLH'!$B$6:$T$823,12,0),"")</f>
        <v>Bàn giao về XDCB ngày 01/07/2024 </v>
      </c>
      <c r="N36" s="108" t="str">
        <f>IFERROR(VLOOKUP(B36,'02. MM-KLH'!$B$6:$T$823,13,0),"")</f>
        <v>KOMATSU</v>
      </c>
      <c r="O36" s="108" t="str">
        <f>IFERROR(VLOOKUP(B36,'02. MM-KLH'!$B$6:$T$823,14,0),"")</f>
        <v>NHẬT BẢN</v>
      </c>
      <c r="P36" s="80">
        <f>IFERROR(VLOOKUP(B36,'02. MM-KLH'!$B$6:$T$823,15,0),"")</f>
        <v>2013</v>
      </c>
      <c r="Q36" s="80" t="str">
        <f>IFERROR(VLOOKUP(B36,'02. MM-KLH'!$B$6:$T$823,16,0),"")</f>
        <v>PC40MR-3</v>
      </c>
      <c r="R36" s="106" t="str">
        <f>IFERROR(VLOOKUP(B36,'02. MM-KLH'!$B$6:$T$823,17,0),"")</f>
        <v>40HP</v>
      </c>
      <c r="S36" s="108" t="str">
        <f>IFERROR(VLOOKUP(B36,'02. MM-KLH'!$B$6:$T$823,18,0),"")</f>
        <v>KMTPC203K04021031</v>
      </c>
      <c r="T36" s="110">
        <f>IFERROR(VLOOKUP(B36,'02. MM-KLH'!$B$6:$T$823,19,0),"")</f>
        <v>27440</v>
      </c>
      <c r="U36" s="130" t="s">
        <v>235</v>
      </c>
    </row>
    <row r="37" ht="27.75" customHeight="1">
      <c r="A37" s="95">
        <f t="shared" si="2"/>
        <v>3</v>
      </c>
      <c r="B37" s="134" t="s">
        <v>217</v>
      </c>
      <c r="C37" s="134" t="str">
        <f>IFERROR(VLOOKUP(B37,'02. MM-KLH'!$B$6:$T$823,2,0),"")</f>
        <v>MỚI (ĐQSD)</v>
      </c>
      <c r="D37" s="95" t="str">
        <f>IFERROR(VLOOKUP(B37,'02. MM-KLH'!$B$6:$T$823,3,0),"")</f>
        <v>A23-MĐA-013</v>
      </c>
      <c r="E37" s="86" t="str">
        <f>IFERROR(VLOOKUP(B37,'02. MM-KLH'!$B$6:$T$823,4,0),"")</f>
        <v/>
      </c>
      <c r="F37" s="134"/>
      <c r="G37" s="86" t="str">
        <f>IFERROR(VLOOKUP(B37,'02. MM-KLH'!$B$6:$T$823,6,0),"")</f>
        <v>Máy đào KOMATSU bánh xích gàu 0.3m3</v>
      </c>
      <c r="H37" s="80" t="s">
        <v>702</v>
      </c>
      <c r="I37" s="80" t="str">
        <f>IFERROR(VLOOKUP(B37,'02. MM-KLH'!$B$6:$T$823,8,0),"")</f>
        <v>CGTC DP</v>
      </c>
      <c r="J37" s="99" t="str">
        <f>IFERROR(VLOOKUP(B37,'02. MM-KLH'!$B$6:$T$823,9,0),"")</f>
        <v>29/07/2024</v>
      </c>
      <c r="K37" s="80" t="str">
        <f>IFERROR(VLOOKUP(B37,'02. MM-KLH'!$B$6:$T$823,10,0),"")</f>
        <v>Bình thường</v>
      </c>
      <c r="L37" s="102" t="str">
        <f>IFERROR(VLOOKUP(B37,'02. MM-KLH'!$B$6:$T$823,11,0),"")</f>
        <v/>
      </c>
      <c r="M37" s="143" t="str">
        <f>IFERROR(VLOOKUP(B37,'02. MM-KLH'!$B$6:$T$823,12,0),"")</f>
        <v>Bàn giao về XDCB (DP3) ngày 29/07/2024 </v>
      </c>
      <c r="N37" s="108" t="str">
        <f>IFERROR(VLOOKUP(B37,'02. MM-KLH'!$B$6:$T$823,13,0),"")</f>
        <v>KOMATSU</v>
      </c>
      <c r="O37" s="108" t="str">
        <f>IFERROR(VLOOKUP(B37,'02. MM-KLH'!$B$6:$T$823,14,0),"")</f>
        <v>NHẬT BẢN</v>
      </c>
      <c r="P37" s="80">
        <f>IFERROR(VLOOKUP(B37,'02. MM-KLH'!$B$6:$T$823,15,0),"")</f>
        <v>2015</v>
      </c>
      <c r="Q37" s="80" t="str">
        <f>IFERROR(VLOOKUP(B37,'02. MM-KLH'!$B$6:$T$823,16,0),"")</f>
        <v>PC40MR-3</v>
      </c>
      <c r="R37" s="106" t="str">
        <f>IFERROR(VLOOKUP(B37,'02. MM-KLH'!$B$6:$T$823,17,0),"")</f>
        <v>40HP</v>
      </c>
      <c r="S37" s="108" t="str">
        <f>IFERROR(VLOOKUP(B37,'02. MM-KLH'!$B$6:$T$823,18,0),"")</f>
        <v>KMTPC212VFE019356</v>
      </c>
      <c r="T37" s="110">
        <f>IFERROR(VLOOKUP(B37,'02. MM-KLH'!$B$6:$T$823,19,0),"")</f>
        <v>38204</v>
      </c>
      <c r="U37" s="130" t="s">
        <v>235</v>
      </c>
    </row>
    <row r="38" ht="27.75" customHeight="1">
      <c r="A38" s="95">
        <f t="shared" si="2"/>
        <v>4</v>
      </c>
      <c r="B38" s="134" t="s">
        <v>226</v>
      </c>
      <c r="C38" s="134" t="str">
        <f>IFERROR(VLOOKUP(B38,'02. MM-KLH'!$B$6:$T$823,2,0),"")</f>
        <v>MỚI (ĐQSD)</v>
      </c>
      <c r="D38" s="95" t="str">
        <f>IFERROR(VLOOKUP(B38,'02. MM-KLH'!$B$6:$T$823,3,0),"")</f>
        <v>A23-MĐA-014</v>
      </c>
      <c r="E38" s="86" t="str">
        <f>IFERROR(VLOOKUP(B38,'02. MM-KLH'!$B$6:$T$823,4,0),"")</f>
        <v/>
      </c>
      <c r="F38" s="134"/>
      <c r="G38" s="86" t="str">
        <f>IFERROR(VLOOKUP(B38,'02. MM-KLH'!$B$6:$T$823,6,0),"")</f>
        <v>Máy đào KOMATSU bánh xích gàu 0.3m3</v>
      </c>
      <c r="H38" s="80" t="s">
        <v>702</v>
      </c>
      <c r="I38" s="80" t="str">
        <f>IFERROR(VLOOKUP(B38,'02. MM-KLH'!$B$6:$T$823,8,0),"")</f>
        <v>CGTC DP</v>
      </c>
      <c r="J38" s="99" t="str">
        <f>IFERROR(VLOOKUP(B38,'02. MM-KLH'!$B$6:$T$823,9,0),"")</f>
        <v>26/07/2024</v>
      </c>
      <c r="K38" s="80" t="str">
        <f>IFERROR(VLOOKUP(B38,'02. MM-KLH'!$B$6:$T$823,10,0),"")</f>
        <v>Bình thường</v>
      </c>
      <c r="L38" s="102" t="str">
        <f>IFERROR(VLOOKUP(B38,'02. MM-KLH'!$B$6:$T$823,11,0),"")</f>
        <v/>
      </c>
      <c r="M38" s="143" t="str">
        <f>IFERROR(VLOOKUP(B38,'02. MM-KLH'!$B$6:$T$823,12,0),"")</f>
        <v>Bàn giao về XDCB (DP2) ngày 26/07/2024 </v>
      </c>
      <c r="N38" s="108" t="str">
        <f>IFERROR(VLOOKUP(B38,'02. MM-KLH'!$B$6:$T$823,13,0),"")</f>
        <v>KOMATSU</v>
      </c>
      <c r="O38" s="108" t="str">
        <f>IFERROR(VLOOKUP(B38,'02. MM-KLH'!$B$6:$T$823,14,0),"")</f>
        <v>NHẬT BẢN</v>
      </c>
      <c r="P38" s="80">
        <f>IFERROR(VLOOKUP(B38,'02. MM-KLH'!$B$6:$T$823,15,0),"")</f>
        <v>2012</v>
      </c>
      <c r="Q38" s="80" t="str">
        <f>IFERROR(VLOOKUP(B38,'02. MM-KLH'!$B$6:$T$823,16,0),"")</f>
        <v>PC40MR-3</v>
      </c>
      <c r="R38" s="106" t="str">
        <f>IFERROR(VLOOKUP(B38,'02. MM-KLH'!$B$6:$T$823,17,0),"")</f>
        <v>40HP</v>
      </c>
      <c r="S38" s="108" t="str">
        <f>IFERROR(VLOOKUP(B38,'02. MM-KLH'!$B$6:$T$823,18,0),"")</f>
        <v>KMTPC203L04019805</v>
      </c>
      <c r="T38" s="110">
        <f>IFERROR(VLOOKUP(B38,'02. MM-KLH'!$B$6:$T$823,19,0),"")</f>
        <v>25866</v>
      </c>
      <c r="U38" s="130" t="s">
        <v>235</v>
      </c>
    </row>
    <row r="39" ht="27.75" customHeight="1">
      <c r="A39" s="95">
        <f t="shared" si="2"/>
        <v>5</v>
      </c>
      <c r="B39" s="134" t="s">
        <v>230</v>
      </c>
      <c r="C39" s="134" t="str">
        <f>IFERROR(VLOOKUP(B39,'02. MM-KLH'!$B$6:$T$823,2,0),"")</f>
        <v>MỚI (ĐQSD)</v>
      </c>
      <c r="D39" s="95" t="str">
        <f>IFERROR(VLOOKUP(B39,'02. MM-KLH'!$B$6:$T$823,3,0),"")</f>
        <v>A23-MĐA-015</v>
      </c>
      <c r="E39" s="86" t="str">
        <f>IFERROR(VLOOKUP(B39,'02. MM-KLH'!$B$6:$T$823,4,0),"")</f>
        <v/>
      </c>
      <c r="F39" s="134"/>
      <c r="G39" s="86" t="str">
        <f>IFERROR(VLOOKUP(B39,'02. MM-KLH'!$B$6:$T$823,6,0),"")</f>
        <v>Máy đào KOMATSU bánh xích gàu 0.3m3</v>
      </c>
      <c r="H39" s="80" t="s">
        <v>702</v>
      </c>
      <c r="I39" s="80" t="str">
        <f>IFERROR(VLOOKUP(B39,'02. MM-KLH'!$B$6:$T$823,8,0),"")</f>
        <v>CGTC DP</v>
      </c>
      <c r="J39" s="99" t="str">
        <f>IFERROR(VLOOKUP(B39,'02. MM-KLH'!$B$6:$T$823,9,0),"")</f>
        <v>29/07/2024</v>
      </c>
      <c r="K39" s="80" t="str">
        <f>IFERROR(VLOOKUP(B39,'02. MM-KLH'!$B$6:$T$823,10,0),"")</f>
        <v>Bình thường</v>
      </c>
      <c r="L39" s="102" t="str">
        <f>IFERROR(VLOOKUP(B39,'02. MM-KLH'!$B$6:$T$823,11,0),"")</f>
        <v/>
      </c>
      <c r="M39" s="143" t="str">
        <f>IFERROR(VLOOKUP(B39,'02. MM-KLH'!$B$6:$T$823,12,0),"")</f>
        <v>Bàn giao về XDCB (DP1) ngày 29/07/2024 </v>
      </c>
      <c r="N39" s="108" t="str">
        <f>IFERROR(VLOOKUP(B39,'02. MM-KLH'!$B$6:$T$823,13,0),"")</f>
        <v>KOMATSU</v>
      </c>
      <c r="O39" s="108" t="str">
        <f>IFERROR(VLOOKUP(B39,'02. MM-KLH'!$B$6:$T$823,14,0),"")</f>
        <v>NHẬT BẢN</v>
      </c>
      <c r="P39" s="80">
        <f>IFERROR(VLOOKUP(B39,'02. MM-KLH'!$B$6:$T$823,15,0),"")</f>
        <v>2015</v>
      </c>
      <c r="Q39" s="80" t="str">
        <f>IFERROR(VLOOKUP(B39,'02. MM-KLH'!$B$6:$T$823,16,0),"")</f>
        <v>PC40MR-3</v>
      </c>
      <c r="R39" s="106" t="str">
        <f>IFERROR(VLOOKUP(B39,'02. MM-KLH'!$B$6:$T$823,17,0),"")</f>
        <v>40HP</v>
      </c>
      <c r="S39" s="108" t="str">
        <f>IFERROR(VLOOKUP(B39,'02. MM-KLH'!$B$6:$T$823,18,0),"")</f>
        <v>KMTPC203AFE023466</v>
      </c>
      <c r="T39" s="110">
        <f>IFERROR(VLOOKUP(B39,'02. MM-KLH'!$B$6:$T$823,19,0),"")</f>
        <v>36975</v>
      </c>
      <c r="U39" s="130" t="s">
        <v>235</v>
      </c>
    </row>
    <row r="40" ht="27.75" customHeight="1">
      <c r="A40" s="95">
        <f t="shared" si="2"/>
        <v>6</v>
      </c>
      <c r="B40" s="134" t="s">
        <v>233</v>
      </c>
      <c r="C40" s="134" t="str">
        <f>IFERROR(VLOOKUP(B40,'02. MM-KLH'!$B$6:$T$823,2,0),"")</f>
        <v>MỚI (ĐQSD)</v>
      </c>
      <c r="D40" s="95" t="str">
        <f>IFERROR(VLOOKUP(B40,'02. MM-KLH'!$B$6:$T$823,3,0),"")</f>
        <v>A23-MĐA-062</v>
      </c>
      <c r="E40" s="86" t="str">
        <f>IFERROR(VLOOKUP(B40,'02. MM-KLH'!$B$6:$T$823,4,0),"")</f>
        <v/>
      </c>
      <c r="F40" s="134"/>
      <c r="G40" s="86" t="str">
        <f>IFERROR(VLOOKUP(B40,'02. MM-KLH'!$B$6:$T$823,6,0),"")</f>
        <v>Máy đào KOMATSU bánh xích gàu 0.3m3</v>
      </c>
      <c r="H40" s="80" t="s">
        <v>702</v>
      </c>
      <c r="I40" s="80" t="str">
        <f>IFERROR(VLOOKUP(B40,'02. MM-KLH'!$B$6:$T$823,8,0),"")</f>
        <v>CGTC DP</v>
      </c>
      <c r="J40" s="99">
        <f>IFERROR(VLOOKUP(B40,'02. MM-KLH'!$B$6:$T$823,9,0),"")</f>
        <v>45302</v>
      </c>
      <c r="K40" s="80" t="str">
        <f>IFERROR(VLOOKUP(B40,'02. MM-KLH'!$B$6:$T$823,10,0),"")</f>
        <v>Bình thường</v>
      </c>
      <c r="L40" s="102" t="str">
        <f>IFERROR(VLOOKUP(B40,'02. MM-KLH'!$B$6:$T$823,11,0),"")</f>
        <v/>
      </c>
      <c r="M40" s="143" t="str">
        <f>IFERROR(VLOOKUP(B40,'02. MM-KLH'!$B$6:$T$823,12,0),"")</f>
        <v>Bàn giao về XDCB ngày 01/11/2024 </v>
      </c>
      <c r="N40" s="108" t="str">
        <f>IFERROR(VLOOKUP(B40,'02. MM-KLH'!$B$6:$T$823,13,0),"")</f>
        <v>KOMATSU</v>
      </c>
      <c r="O40" s="108" t="str">
        <f>IFERROR(VLOOKUP(B40,'02. MM-KLH'!$B$6:$T$823,14,0),"")</f>
        <v>NHẬT BẢN</v>
      </c>
      <c r="P40" s="80">
        <f>IFERROR(VLOOKUP(B40,'02. MM-KLH'!$B$6:$T$823,15,0),"")</f>
        <v>2017</v>
      </c>
      <c r="Q40" s="80" t="str">
        <f>IFERROR(VLOOKUP(B40,'02. MM-KLH'!$B$6:$T$823,16,0),"")</f>
        <v>PC55MR-3</v>
      </c>
      <c r="R40" s="106" t="str">
        <f>IFERROR(VLOOKUP(B40,'02. MM-KLH'!$B$6:$T$823,17,0),"")</f>
        <v>40HP</v>
      </c>
      <c r="S40" s="108" t="str">
        <f>IFERROR(VLOOKUP(B40,'02. MM-KLH'!$B$6:$T$823,18,0),"")</f>
        <v>020242</v>
      </c>
      <c r="T40" s="110">
        <f>IFERROR(VLOOKUP(B40,'02. MM-KLH'!$B$6:$T$823,19,0),"")</f>
        <v>10671</v>
      </c>
      <c r="U40" s="130" t="s">
        <v>235</v>
      </c>
    </row>
    <row r="41" ht="27.75" customHeight="1">
      <c r="A41" s="95">
        <f t="shared" si="2"/>
        <v>7</v>
      </c>
      <c r="B41" s="134" t="s">
        <v>239</v>
      </c>
      <c r="C41" s="134" t="str">
        <f>IFERROR(VLOOKUP(B41,'02. MM-KLH'!$B$6:$T$823,2,0),"")</f>
        <v>MỚI (ĐQSD)</v>
      </c>
      <c r="D41" s="95" t="str">
        <f>IFERROR(VLOOKUP(B41,'02. MM-KLH'!$B$6:$T$823,3,0),"")</f>
        <v>A23-MĐA-063</v>
      </c>
      <c r="E41" s="86" t="str">
        <f>IFERROR(VLOOKUP(B41,'02. MM-KLH'!$B$6:$T$823,4,0),"")</f>
        <v/>
      </c>
      <c r="F41" s="134"/>
      <c r="G41" s="86" t="str">
        <f>IFERROR(VLOOKUP(B41,'02. MM-KLH'!$B$6:$T$823,6,0),"")</f>
        <v>Máy đào KOMATSU bánh xích gàu 0.3m3</v>
      </c>
      <c r="H41" s="80" t="s">
        <v>702</v>
      </c>
      <c r="I41" s="80" t="str">
        <f>IFERROR(VLOOKUP(B41,'02. MM-KLH'!$B$6:$T$823,8,0),"")</f>
        <v>CGTC DP</v>
      </c>
      <c r="J41" s="99">
        <f>IFERROR(VLOOKUP(B41,'02. MM-KLH'!$B$6:$T$823,9,0),"")</f>
        <v>45302</v>
      </c>
      <c r="K41" s="80" t="str">
        <f>IFERROR(VLOOKUP(B41,'02. MM-KLH'!$B$6:$T$823,10,0),"")</f>
        <v>Bình thường</v>
      </c>
      <c r="L41" s="102" t="str">
        <f>IFERROR(VLOOKUP(B41,'02. MM-KLH'!$B$6:$T$823,11,0),"")</f>
        <v/>
      </c>
      <c r="M41" s="143" t="str">
        <f>IFERROR(VLOOKUP(B41,'02. MM-KLH'!$B$6:$T$823,12,0),"")</f>
        <v>Bàn giao về XDCB ngày 01/11/2024 </v>
      </c>
      <c r="N41" s="108" t="str">
        <f>IFERROR(VLOOKUP(B41,'02. MM-KLH'!$B$6:$T$823,13,0),"")</f>
        <v>KOMATSU</v>
      </c>
      <c r="O41" s="108" t="str">
        <f>IFERROR(VLOOKUP(B41,'02. MM-KLH'!$B$6:$T$823,14,0),"")</f>
        <v>NHẬT BẢN</v>
      </c>
      <c r="P41" s="80">
        <f>IFERROR(VLOOKUP(B41,'02. MM-KLH'!$B$6:$T$823,15,0),"")</f>
        <v>2015</v>
      </c>
      <c r="Q41" s="80" t="str">
        <f>IFERROR(VLOOKUP(B41,'02. MM-KLH'!$B$6:$T$823,16,0),"")</f>
        <v>PC55MR-3</v>
      </c>
      <c r="R41" s="106" t="str">
        <f>IFERROR(VLOOKUP(B41,'02. MM-KLH'!$B$6:$T$823,17,0),"")</f>
        <v>40HP</v>
      </c>
      <c r="S41" s="108" t="str">
        <f>IFERROR(VLOOKUP(B41,'02. MM-KLH'!$B$6:$T$823,18,0),"")</f>
        <v>019139</v>
      </c>
      <c r="T41" s="110">
        <f>IFERROR(VLOOKUP(B41,'02. MM-KLH'!$B$6:$T$823,19,0),"")</f>
        <v>36094</v>
      </c>
      <c r="U41" s="130" t="s">
        <v>235</v>
      </c>
    </row>
    <row r="42" ht="27.75" customHeight="1">
      <c r="A42" s="95">
        <f t="shared" si="2"/>
        <v>8</v>
      </c>
      <c r="B42" s="134" t="s">
        <v>249</v>
      </c>
      <c r="C42" s="134" t="str">
        <f>IFERROR(VLOOKUP(B42,'02. MM-KLH'!$B$6:$T$823,2,0),"")</f>
        <v>MỚI (ĐQSD)</v>
      </c>
      <c r="D42" s="95" t="str">
        <f>IFERROR(VLOOKUP(B42,'02. MM-KLH'!$B$6:$T$823,3,0),"")</f>
        <v>A23-MĐA-078</v>
      </c>
      <c r="E42" s="86" t="str">
        <f>IFERROR(VLOOKUP(B42,'02. MM-KLH'!$B$6:$T$823,4,0),"")</f>
        <v/>
      </c>
      <c r="F42" s="134"/>
      <c r="G42" s="86" t="str">
        <f>IFERROR(VLOOKUP(B42,'02. MM-KLH'!$B$6:$T$823,6,0),"")</f>
        <v>Máy đào KOMATSU bánh xích gàu 0.3m3</v>
      </c>
      <c r="H42" s="80" t="s">
        <v>851</v>
      </c>
      <c r="I42" s="80" t="str">
        <f>IFERROR(VLOOKUP(B42,'02. MM-KLH'!$B$6:$T$823,8,0),"")</f>
        <v>CGTC DP</v>
      </c>
      <c r="J42" s="99">
        <f>IFERROR(VLOOKUP(B42,'02. MM-KLH'!$B$6:$T$823,9,0),"")</f>
        <v>46002</v>
      </c>
      <c r="K42" s="80" t="str">
        <f>IFERROR(VLOOKUP(B42,'02. MM-KLH'!$B$6:$T$823,10,0),"")</f>
        <v>Bình thường</v>
      </c>
      <c r="L42" s="102" t="str">
        <f>IFERROR(VLOOKUP(B42,'02. MM-KLH'!$B$6:$T$823,11,0),"")</f>
        <v/>
      </c>
      <c r="M42" s="143" t="str">
        <f>IFERROR(VLOOKUP(B42,'02. MM-KLH'!$B$6:$T$823,12,0),"")</f>
        <v>Xe đã qua sử dụng bàn giao XDCB ngày 13/11/2025</v>
      </c>
      <c r="N42" s="108" t="str">
        <f>IFERROR(VLOOKUP(B42,'02. MM-KLH'!$B$6:$T$823,13,0),"")</f>
        <v>KOMATSU</v>
      </c>
      <c r="O42" s="108" t="str">
        <f>IFERROR(VLOOKUP(B42,'02. MM-KLH'!$B$6:$T$823,14,0),"")</f>
        <v>NHẬT BẢN</v>
      </c>
      <c r="P42" s="80">
        <f>IFERROR(VLOOKUP(B42,'02. MM-KLH'!$B$6:$T$823,15,0),"")</f>
        <v>2015</v>
      </c>
      <c r="Q42" s="80" t="str">
        <f>IFERROR(VLOOKUP(B42,'02. MM-KLH'!$B$6:$T$823,16,0),"")</f>
        <v>PC40MR-3-AC</v>
      </c>
      <c r="R42" s="106" t="str">
        <f>IFERROR(VLOOKUP(B42,'02. MM-KLH'!$B$6:$T$823,17,0),"")</f>
        <v>40HP</v>
      </c>
      <c r="S42" s="108" t="str">
        <f>IFERROR(VLOOKUP(B42,'02. MM-KLH'!$B$6:$T$823,18,0),"")</f>
        <v>KMTPC203KFE023963</v>
      </c>
      <c r="T42" s="110" t="str">
        <f>IFERROR(VLOOKUP(B42,'02. MM-KLH'!$B$6:$T$823,19,0),"")</f>
        <v>KACJ4722</v>
      </c>
      <c r="U42" s="130" t="s">
        <v>235</v>
      </c>
    </row>
    <row r="43" ht="27.75" customHeight="1">
      <c r="A43" s="95">
        <f t="shared" si="2"/>
        <v>9</v>
      </c>
      <c r="B43" s="115" t="s">
        <v>859</v>
      </c>
      <c r="C43" s="134" t="str">
        <f>IFERROR(VLOOKUP(B43,'02. MM-KLH'!$B$6:$T$823,2,0),"")</f>
        <v>MỚI (ĐQSD)</v>
      </c>
      <c r="D43" s="95" t="str">
        <f>IFERROR(VLOOKUP(B43,'02. MM-KLH'!$B$6:$T$823,3,0),"")</f>
        <v>A24-MĐA-049</v>
      </c>
      <c r="E43" s="86" t="str">
        <f>IFERROR(VLOOKUP(B43,'02. MM-KLH'!$B$6:$T$823,4,0),"")</f>
        <v/>
      </c>
      <c r="F43" s="115"/>
      <c r="G43" s="86" t="str">
        <f>IFERROR(VLOOKUP(B43,'02. MM-KLH'!$B$6:$T$823,6,0),"")</f>
        <v>Máy đào KOMATSU bánh xích gàu 0.3m3</v>
      </c>
      <c r="H43" s="80" t="s">
        <v>702</v>
      </c>
      <c r="I43" s="80" t="str">
        <f>IFERROR(VLOOKUP(B43,'02. MM-KLH'!$B$6:$T$823,8,0),"")</f>
        <v>XN Chuối LP3</v>
      </c>
      <c r="J43" s="99" t="str">
        <f>IFERROR(VLOOKUP(B43,'02. MM-KLH'!$B$6:$T$823,9,0),"")</f>
        <v>30/06/2024</v>
      </c>
      <c r="K43" s="80" t="str">
        <f>IFERROR(VLOOKUP(B43,'02. MM-KLH'!$B$6:$T$823,10,0),"")</f>
        <v>Bình thường</v>
      </c>
      <c r="L43" s="102" t="str">
        <f>IFERROR(VLOOKUP(B43,'02. MM-KLH'!$B$6:$T$823,11,0),"")</f>
        <v/>
      </c>
      <c r="M43" s="143" t="str">
        <f>IFERROR(VLOOKUP(B43,'02. MM-KLH'!$B$6:$T$823,12,0),"")</f>
        <v>CGTC LP đchuyen ngày 15/03/2026
Bàn giao về XDCB LP ngày 01/07/2024</v>
      </c>
      <c r="N43" s="108" t="str">
        <f>IFERROR(VLOOKUP(B43,'02. MM-KLH'!$B$6:$T$823,13,0),"")</f>
        <v>KOMATSU</v>
      </c>
      <c r="O43" s="108" t="str">
        <f>IFERROR(VLOOKUP(B43,'02. MM-KLH'!$B$6:$T$823,14,0),"")</f>
        <v>NHẬT BẢN</v>
      </c>
      <c r="P43" s="80">
        <f>IFERROR(VLOOKUP(B43,'02. MM-KLH'!$B$6:$T$823,15,0),"")</f>
        <v>2005</v>
      </c>
      <c r="Q43" s="80" t="str">
        <f>IFERROR(VLOOKUP(B43,'02. MM-KLH'!$B$6:$T$823,16,0),"")</f>
        <v>PC55MR-3</v>
      </c>
      <c r="R43" s="106" t="str">
        <f>IFERROR(VLOOKUP(B43,'02. MM-KLH'!$B$6:$T$823,17,0),"")</f>
        <v>38HP</v>
      </c>
      <c r="S43" s="108" t="str">
        <f>IFERROR(VLOOKUP(B43,'02. MM-KLH'!$B$6:$T$823,18,0),"")</f>
        <v>KMTPC212T40417418</v>
      </c>
      <c r="T43" s="110">
        <f>IFERROR(VLOOKUP(B43,'02. MM-KLH'!$B$6:$T$823,19,0),"")</f>
        <v>27150</v>
      </c>
      <c r="U43" s="130" t="s">
        <v>235</v>
      </c>
    </row>
    <row r="44" ht="27.75" customHeight="1">
      <c r="A44" s="95">
        <f t="shared" si="2"/>
        <v>10</v>
      </c>
      <c r="B44" s="115" t="s">
        <v>877</v>
      </c>
      <c r="C44" s="134" t="str">
        <f>IFERROR(VLOOKUP(B44,'02. MM-KLH'!$B$6:$T$823,2,0),"")</f>
        <v>XL3-MĐA-006(MĐ41HTKLH)</v>
      </c>
      <c r="D44" s="95" t="str">
        <f>IFERROR(VLOOKUP(B44,'02. MM-KLH'!$B$6:$T$823,3,0),"")</f>
        <v>ATT-A22-0233</v>
      </c>
      <c r="E44" s="86" t="str">
        <f>IFERROR(VLOOKUP(B44,'02. MM-KLH'!$B$6:$T$823,4,0),"")</f>
        <v/>
      </c>
      <c r="F44" s="134" t="s">
        <v>881</v>
      </c>
      <c r="G44" s="86" t="str">
        <f>IFERROR(VLOOKUP(B44,'02. MM-KLH'!$B$6:$T$823,6,0),"")</f>
        <v>Máy đào KOMATSU bánh xích gàu 0.3m3</v>
      </c>
      <c r="H44" s="80" t="s">
        <v>702</v>
      </c>
      <c r="I44" s="80" t="str">
        <f>IFERROR(VLOOKUP(B44,'02. MM-KLH'!$B$6:$T$823,8,0),"")</f>
        <v>XN Chuối LP3</v>
      </c>
      <c r="J44" s="99" t="str">
        <f>IFERROR(VLOOKUP(B44,'02. MM-KLH'!$B$6:$T$823,9,0),"")</f>
        <v>21/02/2024</v>
      </c>
      <c r="K44" s="80" t="str">
        <f>IFERROR(VLOOKUP(B44,'02. MM-KLH'!$B$6:$T$823,10,0),"")</f>
        <v>Bình thường</v>
      </c>
      <c r="L44" s="102">
        <f>IFERROR(VLOOKUP(B44,'02. MM-KLH'!$B$6:$T$823,11,0),"")</f>
        <v>0.69</v>
      </c>
      <c r="M44" s="143" t="str">
        <f>IFERROR(VLOOKUP(B44,'02. MM-KLH'!$B$6:$T$823,12,0),"")</f>
        <v>LP3 đ,chuyển qua ngày 28/06/2024
- CGTC LP đchuyen qua ngày 26/05/2025</v>
      </c>
      <c r="N44" s="108" t="str">
        <f>IFERROR(VLOOKUP(B44,'02. MM-KLH'!$B$6:$T$823,13,0),"")</f>
        <v>KOMATSU</v>
      </c>
      <c r="O44" s="108" t="str">
        <f>IFERROR(VLOOKUP(B44,'02. MM-KLH'!$B$6:$T$823,14,0),"")</f>
        <v>NHẬT BẢN</v>
      </c>
      <c r="P44" s="80">
        <f>IFERROR(VLOOKUP(B44,'02. MM-KLH'!$B$6:$T$823,15,0),"")</f>
        <v>2006</v>
      </c>
      <c r="Q44" s="80" t="str">
        <f>IFERROR(VLOOKUP(B44,'02. MM-KLH'!$B$6:$T$823,16,0),"")</f>
        <v>PC50MR-2</v>
      </c>
      <c r="R44" s="106" t="str">
        <f>IFERROR(VLOOKUP(B44,'02. MM-KLH'!$B$6:$T$823,17,0),"")</f>
        <v>39HP</v>
      </c>
      <c r="S44" s="108" t="str">
        <f>IFERROR(VLOOKUP(B44,'02. MM-KLH'!$B$6:$T$823,18,0),"")</f>
        <v>KMTPC094E05008137</v>
      </c>
      <c r="T44" s="110">
        <f>IFERROR(VLOOKUP(B44,'02. MM-KLH'!$B$6:$T$823,19,0),"")</f>
        <v>11014</v>
      </c>
      <c r="U44" s="130" t="s">
        <v>79</v>
      </c>
    </row>
    <row r="45" ht="27.75" customHeight="1">
      <c r="A45" s="95">
        <f t="shared" si="2"/>
        <v>11</v>
      </c>
      <c r="B45" s="134" t="s">
        <v>907</v>
      </c>
      <c r="C45" s="134" t="str">
        <f>IFERROR(VLOOKUP(B45,'02. MM-KLH'!$B$6:$T$823,2,0),"")</f>
        <v/>
      </c>
      <c r="D45" s="95" t="str">
        <f>IFERROR(VLOOKUP(B45,'02. MM-KLH'!$B$6:$T$823,3,0),"")</f>
        <v>A24-MĐA-013</v>
      </c>
      <c r="E45" s="86" t="str">
        <f>IFERROR(VLOOKUP(B45,'02. MM-KLH'!$B$6:$T$823,4,0),"")</f>
        <v/>
      </c>
      <c r="F45" s="134"/>
      <c r="G45" s="86" t="str">
        <f>IFERROR(VLOOKUP(B45,'02. MM-KLH'!$B$6:$T$823,6,0),"")</f>
        <v>Máy đào KOMATSU bánh xích gàu 0.3m3</v>
      </c>
      <c r="H45" s="80" t="s">
        <v>702</v>
      </c>
      <c r="I45" s="80" t="str">
        <f>IFERROR(VLOOKUP(B45,'02. MM-KLH'!$B$6:$T$823,8,0),"")</f>
        <v>XN Chuối LP1</v>
      </c>
      <c r="J45" s="99" t="str">
        <f>IFERROR(VLOOKUP(B45,'02. MM-KLH'!$B$6:$T$823,9,0),"")</f>
        <v>29/07/2024</v>
      </c>
      <c r="K45" s="80" t="str">
        <f>IFERROR(VLOOKUP(B45,'02. MM-KLH'!$B$6:$T$823,10,0),"")</f>
        <v>Bình thường</v>
      </c>
      <c r="L45" s="102" t="str">
        <f>IFERROR(VLOOKUP(B45,'02. MM-KLH'!$B$6:$T$823,11,0),"")</f>
        <v/>
      </c>
      <c r="M45" s="143" t="str">
        <f>IFERROR(VLOOKUP(B45,'02. MM-KLH'!$B$6:$T$823,12,0),"")</f>
        <v>Bàn giao về XDCB ngày 29/07/2024 (LP1)</v>
      </c>
      <c r="N45" s="108" t="str">
        <f>IFERROR(VLOOKUP(B45,'02. MM-KLH'!$B$6:$T$823,13,0),"")</f>
        <v>KOMATSU</v>
      </c>
      <c r="O45" s="108" t="str">
        <f>IFERROR(VLOOKUP(B45,'02. MM-KLH'!$B$6:$T$823,14,0),"")</f>
        <v>NHẬT BẢN</v>
      </c>
      <c r="P45" s="80">
        <f>IFERROR(VLOOKUP(B45,'02. MM-KLH'!$B$6:$T$823,15,0),"")</f>
        <v>2015</v>
      </c>
      <c r="Q45" s="80" t="str">
        <f>IFERROR(VLOOKUP(B45,'02. MM-KLH'!$B$6:$T$823,16,0),"")</f>
        <v>PC40MR-3</v>
      </c>
      <c r="R45" s="106" t="str">
        <f>IFERROR(VLOOKUP(B45,'02. MM-KLH'!$B$6:$T$823,17,0),"")</f>
        <v>40HP</v>
      </c>
      <c r="S45" s="108" t="str">
        <f>IFERROR(VLOOKUP(B45,'02. MM-KLH'!$B$6:$T$823,18,0),"")</f>
        <v>KMTPC203VFE022946</v>
      </c>
      <c r="T45" s="110">
        <f>IFERROR(VLOOKUP(B45,'02. MM-KLH'!$B$6:$T$823,19,0),"")</f>
        <v>35099</v>
      </c>
      <c r="U45" s="130" t="s">
        <v>235</v>
      </c>
    </row>
    <row r="46" ht="27.75" customHeight="1">
      <c r="A46" s="95">
        <f t="shared" si="2"/>
        <v>12</v>
      </c>
      <c r="B46" s="134" t="s">
        <v>933</v>
      </c>
      <c r="C46" s="134" t="str">
        <f>IFERROR(VLOOKUP(B46,'02. MM-KLH'!$B$6:$T$823,2,0),"")</f>
        <v>MỚI (ĐQSD)</v>
      </c>
      <c r="D46" s="95" t="str">
        <f>IFERROR(VLOOKUP(B46,'02. MM-KLH'!$B$6:$T$823,3,0),"")</f>
        <v>A24-MĐA-014</v>
      </c>
      <c r="E46" s="86" t="str">
        <f>IFERROR(VLOOKUP(B46,'02. MM-KLH'!$B$6:$T$823,4,0),"")</f>
        <v/>
      </c>
      <c r="F46" s="134"/>
      <c r="G46" s="86" t="str">
        <f>IFERROR(VLOOKUP(B46,'02. MM-KLH'!$B$6:$T$823,6,0),"")</f>
        <v>Máy đào KOMATSU bánh xích gàu 0.3m3</v>
      </c>
      <c r="H46" s="80" t="s">
        <v>702</v>
      </c>
      <c r="I46" s="80" t="str">
        <f>IFERROR(VLOOKUP(B46,'02. MM-KLH'!$B$6:$T$823,8,0),"")</f>
        <v>XN Chuối LP3</v>
      </c>
      <c r="J46" s="99" t="str">
        <f>IFERROR(VLOOKUP(B46,'02. MM-KLH'!$B$6:$T$823,9,0),"")</f>
        <v>29/07/2024</v>
      </c>
      <c r="K46" s="80" t="str">
        <f>IFERROR(VLOOKUP(B46,'02. MM-KLH'!$B$6:$T$823,10,0),"")</f>
        <v>Bình thường</v>
      </c>
      <c r="L46" s="102" t="str">
        <f>IFERROR(VLOOKUP(B46,'02. MM-KLH'!$B$6:$T$823,11,0),"")</f>
        <v/>
      </c>
      <c r="M46" s="143" t="str">
        <f>IFERROR(VLOOKUP(B46,'02. MM-KLH'!$B$6:$T$823,12,0),"")</f>
        <v>CGTC LP đchuyen ngày 15/03/2026
Bàn giao về XDCB ngày 29/07/2024 </v>
      </c>
      <c r="N46" s="108" t="str">
        <f>IFERROR(VLOOKUP(B46,'02. MM-KLH'!$B$6:$T$823,13,0),"")</f>
        <v>KOMATSU</v>
      </c>
      <c r="O46" s="108" t="str">
        <f>IFERROR(VLOOKUP(B46,'02. MM-KLH'!$B$6:$T$823,14,0),"")</f>
        <v>NHẬT BẢN</v>
      </c>
      <c r="P46" s="80">
        <f>IFERROR(VLOOKUP(B46,'02. MM-KLH'!$B$6:$T$823,15,0),"")</f>
        <v>2015</v>
      </c>
      <c r="Q46" s="80" t="str">
        <f>IFERROR(VLOOKUP(B46,'02. MM-KLH'!$B$6:$T$823,16,0),"")</f>
        <v>PC40MR-3</v>
      </c>
      <c r="R46" s="106" t="str">
        <f>IFERROR(VLOOKUP(B46,'02. MM-KLH'!$B$6:$T$823,17,0),"")</f>
        <v>40HP</v>
      </c>
      <c r="S46" s="108" t="str">
        <f>IFERROR(VLOOKUP(B46,'02. MM-KLH'!$B$6:$T$823,18,0),"")</f>
        <v>KMTPC203A04018037</v>
      </c>
      <c r="T46" s="110">
        <f>IFERROR(VLOOKUP(B46,'02. MM-KLH'!$B$6:$T$823,19,0),"")</f>
        <v>20536</v>
      </c>
      <c r="U46" s="130" t="s">
        <v>235</v>
      </c>
    </row>
    <row r="47" ht="27.75" customHeight="1">
      <c r="A47" s="95">
        <f t="shared" si="2"/>
        <v>13</v>
      </c>
      <c r="B47" s="113" t="s">
        <v>457</v>
      </c>
      <c r="C47" s="134" t="str">
        <f>IFERROR(VLOOKUP(B47,'02. MM-KLH'!$B$6:$T$823,2,0),"")</f>
        <v>LP4-MĐA-001(XLA-MĐA-001)</v>
      </c>
      <c r="D47" s="95" t="str">
        <f>IFERROR(VLOOKUP(B47,'02. MM-KLH'!$B$6:$T$823,3,0),"")</f>
        <v>A24-MĐA-012</v>
      </c>
      <c r="E47" s="86" t="str">
        <f>IFERROR(VLOOKUP(B47,'02. MM-KLH'!$B$6:$T$823,4,0),"")</f>
        <v/>
      </c>
      <c r="F47" s="115"/>
      <c r="G47" s="86" t="str">
        <f>IFERROR(VLOOKUP(B47,'02. MM-KLH'!$B$6:$T$823,6,0),"")</f>
        <v>Máy đào KOMATSU bánh xích gàu 0.3m3</v>
      </c>
      <c r="H47" s="80" t="s">
        <v>702</v>
      </c>
      <c r="I47" s="80" t="str">
        <f>IFERROR(VLOOKUP(B47,'02. MM-KLH'!$B$6:$T$823,8,0),"")</f>
        <v>CGTC LP</v>
      </c>
      <c r="J47" s="99" t="str">
        <f>IFERROR(VLOOKUP(B47,'02. MM-KLH'!$B$6:$T$823,9,0),"")</f>
        <v>16/07/2024</v>
      </c>
      <c r="K47" s="80" t="str">
        <f>IFERROR(VLOOKUP(B47,'02. MM-KLH'!$B$6:$T$823,10,0),"")</f>
        <v>Bình thường</v>
      </c>
      <c r="L47" s="102" t="str">
        <f>IFERROR(VLOOKUP(B47,'02. MM-KLH'!$B$6:$T$823,11,0),"")</f>
        <v/>
      </c>
      <c r="M47" s="143" t="str">
        <f>IFERROR(VLOOKUP(B47,'02. MM-KLH'!$B$6:$T$823,12,0),"")</f>
        <v>XN LP4 bàn giao về XDCB ngày 16.07.2024</v>
      </c>
      <c r="N47" s="108" t="str">
        <f>IFERROR(VLOOKUP(B47,'02. MM-KLH'!$B$6:$T$823,13,0),"")</f>
        <v>KOMATSU</v>
      </c>
      <c r="O47" s="108" t="str">
        <f>IFERROR(VLOOKUP(B47,'02. MM-KLH'!$B$6:$T$823,14,0),"")</f>
        <v>NHẬT BẢN</v>
      </c>
      <c r="P47" s="80">
        <f>IFERROR(VLOOKUP(B47,'02. MM-KLH'!$B$6:$T$823,15,0),"")</f>
        <v>2006</v>
      </c>
      <c r="Q47" s="80" t="str">
        <f>IFERROR(VLOOKUP(B47,'02. MM-KLH'!$B$6:$T$823,16,0),"")</f>
        <v>PC40-MR</v>
      </c>
      <c r="R47" s="106" t="str">
        <f>IFERROR(VLOOKUP(B47,'02. MM-KLH'!$B$6:$T$823,17,0),"")</f>
        <v>39HP</v>
      </c>
      <c r="S47" s="108">
        <f>IFERROR(VLOOKUP(B47,'02. MM-KLH'!$B$6:$T$823,18,0),"")</f>
        <v>9101</v>
      </c>
      <c r="T47" s="110" t="str">
        <f>IFERROR(VLOOKUP(B47,'02. MM-KLH'!$B$6:$T$823,19,0),"")</f>
        <v>CCN</v>
      </c>
      <c r="U47" s="130" t="s">
        <v>79</v>
      </c>
    </row>
    <row r="48" ht="27.75" customHeight="1">
      <c r="A48" s="95">
        <f t="shared" si="2"/>
        <v>14</v>
      </c>
      <c r="B48" s="115" t="s">
        <v>590</v>
      </c>
      <c r="C48" s="134" t="str">
        <f>IFERROR(VLOOKUP(B48,'02. MM-KLH'!$B$6:$T$823,2,0),"")</f>
        <v>MD39HT-KLH(XB1-MĐA-001)</v>
      </c>
      <c r="D48" s="95" t="str">
        <f>IFERROR(VLOOKUP(B48,'02. MM-KLH'!$B$6:$T$823,3,0),"")</f>
        <v>ATT-A22-0231</v>
      </c>
      <c r="E48" s="86" t="str">
        <f>IFERROR(VLOOKUP(B48,'02. MM-KLH'!$B$6:$T$823,4,0),"")</f>
        <v/>
      </c>
      <c r="F48" s="115" t="s">
        <v>977</v>
      </c>
      <c r="G48" s="86" t="str">
        <f>IFERROR(VLOOKUP(B48,'02. MM-KLH'!$B$6:$T$823,6,0),"")</f>
        <v>Máy đào KOMATSU bánh xích gàu 0.3m3</v>
      </c>
      <c r="H48" s="80" t="s">
        <v>702</v>
      </c>
      <c r="I48" s="80" t="str">
        <f>IFERROR(VLOOKUP(B48,'02. MM-KLH'!$B$6:$T$823,8,0),"")</f>
        <v>CGTC AD</v>
      </c>
      <c r="J48" s="99">
        <f>IFERROR(VLOOKUP(B48,'02. MM-KLH'!$B$6:$T$823,9,0),"")</f>
        <v>44199</v>
      </c>
      <c r="K48" s="80" t="str">
        <f>IFERROR(VLOOKUP(B48,'02. MM-KLH'!$B$6:$T$823,10,0),"")</f>
        <v>Bình thường</v>
      </c>
      <c r="L48" s="102">
        <f>IFERROR(VLOOKUP(B48,'02. MM-KLH'!$B$6:$T$823,11,0),"")</f>
        <v>0.69</v>
      </c>
      <c r="M48" s="143" t="str">
        <f>IFERROR(VLOOKUP(B48,'02. MM-KLH'!$B$6:$T$823,12,0),"")</f>
        <v>XNB đ.chuyển qua ngày 25/06/2024</v>
      </c>
      <c r="N48" s="108" t="str">
        <f>IFERROR(VLOOKUP(B48,'02. MM-KLH'!$B$6:$T$823,13,0),"")</f>
        <v>KOMATSU</v>
      </c>
      <c r="O48" s="108" t="str">
        <f>IFERROR(VLOOKUP(B48,'02. MM-KLH'!$B$6:$T$823,14,0),"")</f>
        <v>NHẬT BẢN</v>
      </c>
      <c r="P48" s="80">
        <f>IFERROR(VLOOKUP(B48,'02. MM-KLH'!$B$6:$T$823,15,0),"")</f>
        <v>2014</v>
      </c>
      <c r="Q48" s="80" t="str">
        <f>IFERROR(VLOOKUP(B48,'02. MM-KLH'!$B$6:$T$823,16,0),"")</f>
        <v>PC40MR-3</v>
      </c>
      <c r="R48" s="106" t="str">
        <f>IFERROR(VLOOKUP(B48,'02. MM-KLH'!$B$6:$T$823,17,0),"")</f>
        <v>39HP</v>
      </c>
      <c r="S48" s="108" t="str">
        <f>IFERROR(VLOOKUP(B48,'02. MM-KLH'!$B$6:$T$823,18,0),"")</f>
        <v>KMTPC023LEE022317</v>
      </c>
      <c r="T48" s="110">
        <f>IFERROR(VLOOKUP(B48,'02. MM-KLH'!$B$6:$T$823,19,0),"")</f>
        <v>32816</v>
      </c>
      <c r="U48" s="130" t="s">
        <v>79</v>
      </c>
    </row>
    <row r="49" ht="27.75" customHeight="1">
      <c r="A49" s="95">
        <f t="shared" si="2"/>
        <v>15</v>
      </c>
      <c r="B49" s="183" t="s">
        <v>941</v>
      </c>
      <c r="C49" s="134" t="str">
        <f>IFERROR(VLOOKUP(B49,'02. MM-KLH'!$B$6:$T$823,2,0),"")</f>
        <v>CNN-MĐA-002(MĐ08HTKLH)</v>
      </c>
      <c r="D49" s="95" t="str">
        <f>IFERROR(VLOOKUP(B49,'02. MM-KLH'!$B$6:$T$823,3,0),"")</f>
        <v>ATT-A23-0041</v>
      </c>
      <c r="E49" s="86" t="str">
        <f>IFERROR(VLOOKUP(B49,'02. MM-KLH'!$B$6:$T$823,4,0),"")</f>
        <v/>
      </c>
      <c r="F49" s="115" t="s">
        <v>1003</v>
      </c>
      <c r="G49" s="86" t="str">
        <f>IFERROR(VLOOKUP(B49,'02. MM-KLH'!$B$6:$T$823,6,0),"")</f>
        <v>Máy đào KOMATSU bánh xích gàu 0.3m3</v>
      </c>
      <c r="H49" s="80" t="s">
        <v>702</v>
      </c>
      <c r="I49" s="80" t="str">
        <f>IFERROR(VLOOKUP(B49,'02. MM-KLH'!$B$6:$T$823,8,0),"")</f>
        <v>XN Chuối DP1</v>
      </c>
      <c r="J49" s="99">
        <f>IFERROR(VLOOKUP(B49,'02. MM-KLH'!$B$6:$T$823,9,0),"")</f>
        <v>45419</v>
      </c>
      <c r="K49" s="80" t="str">
        <f>IFERROR(VLOOKUP(B49,'02. MM-KLH'!$B$6:$T$823,10,0),"")</f>
        <v>Bình thường</v>
      </c>
      <c r="L49" s="102" t="str">
        <f>IFERROR(VLOOKUP(B49,'02. MM-KLH'!$B$6:$T$823,11,0),"")</f>
        <v/>
      </c>
      <c r="M49" s="143" t="str">
        <f>IFERROR(VLOOKUP(B49,'02. MM-KLH'!$B$6:$T$823,12,0),"")</f>
        <v>Lắp tb gấp lá chuối (XD1-TBG-001)</v>
      </c>
      <c r="N49" s="108" t="str">
        <f>IFERROR(VLOOKUP(B49,'02. MM-KLH'!$B$6:$T$823,13,0),"")</f>
        <v>KOMATSU</v>
      </c>
      <c r="O49" s="108" t="str">
        <f>IFERROR(VLOOKUP(B49,'02. MM-KLH'!$B$6:$T$823,14,0),"")</f>
        <v>NHẬT BẢN</v>
      </c>
      <c r="P49" s="80">
        <f>IFERROR(VLOOKUP(B49,'02. MM-KLH'!$B$6:$T$823,15,0),"")</f>
        <v>2006</v>
      </c>
      <c r="Q49" s="80" t="str">
        <f>IFERROR(VLOOKUP(B49,'02. MM-KLH'!$B$6:$T$823,16,0),"")</f>
        <v>PC40MR-3</v>
      </c>
      <c r="R49" s="106" t="str">
        <f>IFERROR(VLOOKUP(B49,'02. MM-KLH'!$B$6:$T$823,17,0),"")</f>
        <v>39HP</v>
      </c>
      <c r="S49" s="108">
        <f>IFERROR(VLOOKUP(B49,'02. MM-KLH'!$B$6:$T$823,18,0),"")</f>
        <v>5288</v>
      </c>
      <c r="T49" s="110" t="str">
        <f>IFERROR(VLOOKUP(B49,'02. MM-KLH'!$B$6:$T$823,19,0),"")</f>
        <v>CCN</v>
      </c>
      <c r="U49" s="130" t="s">
        <v>79</v>
      </c>
    </row>
    <row r="50" ht="27.75" customHeight="1">
      <c r="A50" s="95">
        <f t="shared" si="2"/>
        <v>16</v>
      </c>
      <c r="B50" s="113" t="s">
        <v>1009</v>
      </c>
      <c r="C50" s="134" t="str">
        <f>IFERROR(VLOOKUP(B50,'02. MM-KLH'!$B$6:$T$823,2,0),"")</f>
        <v>MĐ 10 HT-KLH</v>
      </c>
      <c r="D50" s="95" t="str">
        <f>IFERROR(VLOOKUP(B50,'02. MM-KLH'!$B$6:$T$823,3,0),"")</f>
        <v>ATT-A23-0035</v>
      </c>
      <c r="E50" s="86" t="str">
        <f>IFERROR(VLOOKUP(B50,'02. MM-KLH'!$B$6:$T$823,4,0),"")</f>
        <v/>
      </c>
      <c r="F50" s="115" t="s">
        <v>1011</v>
      </c>
      <c r="G50" s="86" t="str">
        <f>IFERROR(VLOOKUP(B50,'02. MM-KLH'!$B$6:$T$823,6,0),"")</f>
        <v>Máy đào KOMATSU bánh xích gàu 0.3m3</v>
      </c>
      <c r="H50" s="80" t="s">
        <v>702</v>
      </c>
      <c r="I50" s="80" t="str">
        <f>IFERROR(VLOOKUP(B50,'02. MM-KLH'!$B$6:$T$823,8,0),"")</f>
        <v>XN Chuối DP2</v>
      </c>
      <c r="J50" s="99" t="str">
        <f>IFERROR(VLOOKUP(B50,'02. MM-KLH'!$B$6:$T$823,9,0),"")</f>
        <v/>
      </c>
      <c r="K50" s="80" t="str">
        <f>IFERROR(VLOOKUP(B50,'02. MM-KLH'!$B$6:$T$823,10,0),"")</f>
        <v>Bình thường</v>
      </c>
      <c r="L50" s="102" t="str">
        <f>IFERROR(VLOOKUP(B50,'02. MM-KLH'!$B$6:$T$823,11,0),"")</f>
        <v/>
      </c>
      <c r="M50" s="143" t="str">
        <f>IFERROR(VLOOKUP(B50,'02. MM-KLH'!$B$6:$T$823,12,0),"")</f>
        <v/>
      </c>
      <c r="N50" s="108" t="str">
        <f>IFERROR(VLOOKUP(B50,'02. MM-KLH'!$B$6:$T$823,13,0),"")</f>
        <v>KOMATSU</v>
      </c>
      <c r="O50" s="108" t="str">
        <f>IFERROR(VLOOKUP(B50,'02. MM-KLH'!$B$6:$T$823,14,0),"")</f>
        <v>NHẬT BẢN</v>
      </c>
      <c r="P50" s="80">
        <f>IFERROR(VLOOKUP(B50,'02. MM-KLH'!$B$6:$T$823,15,0),"")</f>
        <v>2006</v>
      </c>
      <c r="Q50" s="80" t="str">
        <f>IFERROR(VLOOKUP(B50,'02. MM-KLH'!$B$6:$T$823,16,0),"")</f>
        <v>PC40MR-3</v>
      </c>
      <c r="R50" s="106" t="str">
        <f>IFERROR(VLOOKUP(B50,'02. MM-KLH'!$B$6:$T$823,17,0),"")</f>
        <v>39HP</v>
      </c>
      <c r="S50" s="108">
        <f>IFERROR(VLOOKUP(B50,'02. MM-KLH'!$B$6:$T$823,18,0),"")</f>
        <v>8332</v>
      </c>
      <c r="T50" s="110" t="str">
        <f>IFERROR(VLOOKUP(B50,'02. MM-KLH'!$B$6:$T$823,19,0),"")</f>
        <v>CCN</v>
      </c>
      <c r="U50" s="130" t="s">
        <v>79</v>
      </c>
    </row>
    <row r="51" ht="27.75" customHeight="1">
      <c r="A51" s="95">
        <f t="shared" si="2"/>
        <v>17</v>
      </c>
      <c r="B51" s="113" t="s">
        <v>1020</v>
      </c>
      <c r="C51" s="134" t="str">
        <f>IFERROR(VLOOKUP(B51,'02. MM-KLH'!$B$6:$T$823,2,0),"")</f>
        <v>MĐ 09 HT-KLH</v>
      </c>
      <c r="D51" s="95" t="str">
        <f>IFERROR(VLOOKUP(B51,'02. MM-KLH'!$B$6:$T$823,3,0),"")</f>
        <v>ATT-A23-0036</v>
      </c>
      <c r="E51" s="86" t="str">
        <f>IFERROR(VLOOKUP(B51,'02. MM-KLH'!$B$6:$T$823,4,0),"")</f>
        <v/>
      </c>
      <c r="F51" s="115" t="s">
        <v>1021</v>
      </c>
      <c r="G51" s="86" t="str">
        <f>IFERROR(VLOOKUP(B51,'02. MM-KLH'!$B$6:$T$823,6,0),"")</f>
        <v>Máy đào KOMATSU bánh xích gàu 0.3m3</v>
      </c>
      <c r="H51" s="80" t="s">
        <v>702</v>
      </c>
      <c r="I51" s="80" t="str">
        <f>IFERROR(VLOOKUP(B51,'02. MM-KLH'!$B$6:$T$823,8,0),"")</f>
        <v>XN Chuối DP3</v>
      </c>
      <c r="J51" s="99" t="str">
        <f>IFERROR(VLOOKUP(B51,'02. MM-KLH'!$B$6:$T$823,9,0),"")</f>
        <v/>
      </c>
      <c r="K51" s="80" t="str">
        <f>IFERROR(VLOOKUP(B51,'02. MM-KLH'!$B$6:$T$823,10,0),"")</f>
        <v>Bình thường</v>
      </c>
      <c r="L51" s="102" t="str">
        <f>IFERROR(VLOOKUP(B51,'02. MM-KLH'!$B$6:$T$823,11,0),"")</f>
        <v/>
      </c>
      <c r="M51" s="143" t="str">
        <f>IFERROR(VLOOKUP(B51,'02. MM-KLH'!$B$6:$T$823,12,0),"")</f>
        <v/>
      </c>
      <c r="N51" s="108" t="str">
        <f>IFERROR(VLOOKUP(B51,'02. MM-KLH'!$B$6:$T$823,13,0),"")</f>
        <v>KOMATSU</v>
      </c>
      <c r="O51" s="108" t="str">
        <f>IFERROR(VLOOKUP(B51,'02. MM-KLH'!$B$6:$T$823,14,0),"")</f>
        <v>NHẬT BẢN</v>
      </c>
      <c r="P51" s="80">
        <f>IFERROR(VLOOKUP(B51,'02. MM-KLH'!$B$6:$T$823,15,0),"")</f>
        <v>2006</v>
      </c>
      <c r="Q51" s="80" t="str">
        <f>IFERROR(VLOOKUP(B51,'02. MM-KLH'!$B$6:$T$823,16,0),"")</f>
        <v>PC40MR-3</v>
      </c>
      <c r="R51" s="106" t="str">
        <f>IFERROR(VLOOKUP(B51,'02. MM-KLH'!$B$6:$T$823,17,0),"")</f>
        <v>39HP</v>
      </c>
      <c r="S51" s="108">
        <f>IFERROR(VLOOKUP(B51,'02. MM-KLH'!$B$6:$T$823,18,0),"")</f>
        <v>8608</v>
      </c>
      <c r="T51" s="110" t="str">
        <f>IFERROR(VLOOKUP(B51,'02. MM-KLH'!$B$6:$T$823,19,0),"")</f>
        <v>CCN</v>
      </c>
      <c r="U51" s="130" t="s">
        <v>79</v>
      </c>
    </row>
    <row r="52" ht="28.5" customHeight="1">
      <c r="A52" s="95">
        <f t="shared" si="2"/>
        <v>18</v>
      </c>
      <c r="B52" s="113" t="s">
        <v>1040</v>
      </c>
      <c r="C52" s="134" t="str">
        <f>IFERROR(VLOOKUP(B52,'02. MM-KLH'!$B$6:$T$823,2,0),"")</f>
        <v>MĐ40HTKLH</v>
      </c>
      <c r="D52" s="95" t="str">
        <f>IFERROR(VLOOKUP(B52,'02. MM-KLH'!$B$6:$T$823,3,0),"")</f>
        <v>ATT-A22-0236</v>
      </c>
      <c r="E52" s="86" t="str">
        <f>IFERROR(VLOOKUP(B52,'02. MM-KLH'!$B$6:$T$823,4,0),"")</f>
        <v/>
      </c>
      <c r="F52" s="115" t="s">
        <v>1044</v>
      </c>
      <c r="G52" s="86" t="str">
        <f>IFERROR(VLOOKUP(B52,'02. MM-KLH'!$B$6:$T$823,6,0),"")</f>
        <v>Máy đào KOMATSU bánh xích gàu 0.3m3</v>
      </c>
      <c r="H52" s="80" t="s">
        <v>702</v>
      </c>
      <c r="I52" s="80" t="str">
        <f>IFERROR(VLOOKUP(B52,'02. MM-KLH'!$B$6:$T$823,8,0),"")</f>
        <v>XN Chuối LP3</v>
      </c>
      <c r="J52" s="99" t="str">
        <f>IFERROR(VLOOKUP(B52,'02. MM-KLH'!$B$6:$T$823,9,0),"")</f>
        <v/>
      </c>
      <c r="K52" s="80" t="str">
        <f>IFERROR(VLOOKUP(B52,'02. MM-KLH'!$B$6:$T$823,10,0),"")</f>
        <v>Bình thường</v>
      </c>
      <c r="L52" s="102">
        <f>IFERROR(VLOOKUP(B52,'02. MM-KLH'!$B$6:$T$823,11,0),"")</f>
        <v>0.69</v>
      </c>
      <c r="M52" s="143" t="str">
        <f>IFERROR(VLOOKUP(B52,'02. MM-KLH'!$B$6:$T$823,12,0),"")</f>
        <v>ĐỀ XUẤT THANH LÝ</v>
      </c>
      <c r="N52" s="108" t="str">
        <f>IFERROR(VLOOKUP(B52,'02. MM-KLH'!$B$6:$T$823,13,0),"")</f>
        <v>KOMATSU</v>
      </c>
      <c r="O52" s="108" t="str">
        <f>IFERROR(VLOOKUP(B52,'02. MM-KLH'!$B$6:$T$823,14,0),"")</f>
        <v>NHẬT BẢN</v>
      </c>
      <c r="P52" s="80">
        <f>IFERROR(VLOOKUP(B52,'02. MM-KLH'!$B$6:$T$823,15,0),"")</f>
        <v>2010</v>
      </c>
      <c r="Q52" s="80" t="str">
        <f>IFERROR(VLOOKUP(B52,'02. MM-KLH'!$B$6:$T$823,16,0),"")</f>
        <v>PC55MR-3</v>
      </c>
      <c r="R52" s="106" t="str">
        <f>IFERROR(VLOOKUP(B52,'02. MM-KLH'!$B$6:$T$823,17,0),"")</f>
        <v>39HP</v>
      </c>
      <c r="S52" s="108" t="str">
        <f>IFERROR(VLOOKUP(B52,'02. MM-KLH'!$B$6:$T$823,18,0),"")</f>
        <v>KMTPC212P040416271</v>
      </c>
      <c r="T52" s="110">
        <f>IFERROR(VLOOKUP(B52,'02. MM-KLH'!$B$6:$T$823,19,0),"")</f>
        <v>21629</v>
      </c>
      <c r="U52" s="130" t="s">
        <v>79</v>
      </c>
    </row>
    <row r="53" ht="28.5" customHeight="1">
      <c r="A53" s="95">
        <f t="shared" si="2"/>
        <v>19</v>
      </c>
      <c r="B53" s="115" t="s">
        <v>1060</v>
      </c>
      <c r="C53" s="134" t="str">
        <f>IFERROR(VLOOKUP(B53,'02. MM-KLH'!$B$6:$T$823,2,0),"")</f>
        <v>CNN-MĐA-001(MĐ05HTKLH)</v>
      </c>
      <c r="D53" s="95" t="str">
        <f>IFERROR(VLOOKUP(B53,'02. MM-KLH'!$B$6:$T$823,3,0),"")</f>
        <v>ATT-A23-0042</v>
      </c>
      <c r="E53" s="86" t="str">
        <f>IFERROR(VLOOKUP(B53,'02. MM-KLH'!$B$6:$T$823,4,0),"")</f>
        <v/>
      </c>
      <c r="F53" s="115" t="s">
        <v>1064</v>
      </c>
      <c r="G53" s="86" t="str">
        <f>IFERROR(VLOOKUP(B53,'02. MM-KLH'!$B$6:$T$823,6,0),"")</f>
        <v>Máy đào KOMATSU bánh xích gàu 0.3m3</v>
      </c>
      <c r="H53" s="80" t="s">
        <v>702</v>
      </c>
      <c r="I53" s="80" t="str">
        <f>IFERROR(VLOOKUP(B53,'02. MM-KLH'!$B$6:$T$823,8,0),"")</f>
        <v>XN Bò AD</v>
      </c>
      <c r="J53" s="99" t="str">
        <f>IFERROR(VLOOKUP(B53,'02. MM-KLH'!$B$6:$T$823,9,0),"")</f>
        <v/>
      </c>
      <c r="K53" s="80" t="str">
        <f>IFERROR(VLOOKUP(B53,'02. MM-KLH'!$B$6:$T$823,10,0),"")</f>
        <v>Bình thường</v>
      </c>
      <c r="L53" s="102" t="str">
        <f>IFERROR(VLOOKUP(B53,'02. MM-KLH'!$B$6:$T$823,11,0),"")</f>
        <v/>
      </c>
      <c r="M53" s="143" t="str">
        <f>IFERROR(VLOOKUP(B53,'02. MM-KLH'!$B$6:$T$823,12,0),"")</f>
        <v>Xe đã qua sử dụng (lắp TB gắp gỗ)</v>
      </c>
      <c r="N53" s="108" t="str">
        <f>IFERROR(VLOOKUP(B53,'02. MM-KLH'!$B$6:$T$823,13,0),"")</f>
        <v>KOMATSU</v>
      </c>
      <c r="O53" s="108" t="str">
        <f>IFERROR(VLOOKUP(B53,'02. MM-KLH'!$B$6:$T$823,14,0),"")</f>
        <v>NHẬT BẢN</v>
      </c>
      <c r="P53" s="80">
        <f>IFERROR(VLOOKUP(B53,'02. MM-KLH'!$B$6:$T$823,15,0),"")</f>
        <v>2006</v>
      </c>
      <c r="Q53" s="80" t="str">
        <f>IFERROR(VLOOKUP(B53,'02. MM-KLH'!$B$6:$T$823,16,0),"")</f>
        <v>PC50MR-2</v>
      </c>
      <c r="R53" s="106" t="str">
        <f>IFERROR(VLOOKUP(B53,'02. MM-KLH'!$B$6:$T$823,17,0),"")</f>
        <v>39HP</v>
      </c>
      <c r="S53" s="108" t="str">
        <f>IFERROR(VLOOKUP(B53,'02. MM-KLH'!$B$6:$T$823,18,0),"")</f>
        <v>KMTPC094K05007351</v>
      </c>
      <c r="T53" s="110" t="str">
        <f>IFERROR(VLOOKUP(B53,'02. MM-KLH'!$B$6:$T$823,19,0),"")</f>
        <v>CCN</v>
      </c>
      <c r="U53" s="130" t="s">
        <v>79</v>
      </c>
    </row>
    <row r="54" ht="28.5" customHeight="1">
      <c r="A54" s="95">
        <f t="shared" si="2"/>
        <v>20</v>
      </c>
      <c r="B54" s="115" t="s">
        <v>450</v>
      </c>
      <c r="C54" s="134" t="str">
        <f>IFERROR(VLOOKUP(B54,'02. MM-KLH'!$B$6:$T$823,2,0),"")</f>
        <v>CHT-MĐA-050(MĐ20HTKLH)</v>
      </c>
      <c r="D54" s="95" t="str">
        <f>IFERROR(VLOOKUP(B54,'02. MM-KLH'!$B$6:$T$823,3,0),"")</f>
        <v/>
      </c>
      <c r="E54" s="86" t="str">
        <f>IFERROR(VLOOKUP(B54,'02. MM-KLH'!$B$6:$T$823,4,0),"")</f>
        <v/>
      </c>
      <c r="F54" s="115" t="s">
        <v>1083</v>
      </c>
      <c r="G54" s="86" t="str">
        <f>IFERROR(VLOOKUP(B54,'02. MM-KLH'!$B$6:$T$823,6,0),"")</f>
        <v>Máy đào U35 bánh xích gàu 0.3m3</v>
      </c>
      <c r="H54" s="80" t="s">
        <v>702</v>
      </c>
      <c r="I54" s="80" t="str">
        <f>IFERROR(VLOOKUP(B54,'02. MM-KLH'!$B$6:$T$823,8,0),"")</f>
        <v>CGTC LP</v>
      </c>
      <c r="J54" s="99" t="str">
        <f>IFERROR(VLOOKUP(B54,'02. MM-KLH'!$B$6:$T$823,9,0),"")</f>
        <v/>
      </c>
      <c r="K54" s="80" t="str">
        <f>IFERROR(VLOOKUP(B54,'02. MM-KLH'!$B$6:$T$823,10,0),"")</f>
        <v>Bình thường</v>
      </c>
      <c r="L54" s="102" t="str">
        <f>IFERROR(VLOOKUP(B54,'02. MM-KLH'!$B$6:$T$823,11,0),"")</f>
        <v/>
      </c>
      <c r="M54" s="143" t="str">
        <f>IFERROR(VLOOKUP(B54,'02. MM-KLH'!$B$6:$T$823,12,0),"")</f>
        <v>LP3 đ,chuyển qua ngày 28/06/2024</v>
      </c>
      <c r="N54" s="108" t="str">
        <f>IFERROR(VLOOKUP(B54,'02. MM-KLH'!$B$6:$T$823,13,0),"")</f>
        <v>KUBOTA</v>
      </c>
      <c r="O54" s="108" t="str">
        <f>IFERROR(VLOOKUP(B54,'02. MM-KLH'!$B$6:$T$823,14,0),"")</f>
        <v>NHẬT BẢN</v>
      </c>
      <c r="P54" s="80">
        <f>IFERROR(VLOOKUP(B54,'02. MM-KLH'!$B$6:$T$823,15,0),"")</f>
        <v>2015</v>
      </c>
      <c r="Q54" s="80" t="str">
        <f>IFERROR(VLOOKUP(B54,'02. MM-KLH'!$B$6:$T$823,16,0),"")</f>
        <v>U35-6</v>
      </c>
      <c r="R54" s="106" t="str">
        <f>IFERROR(VLOOKUP(B54,'02. MM-KLH'!$B$6:$T$823,17,0),"")</f>
        <v>32HP</v>
      </c>
      <c r="S54" s="108">
        <f>IFERROR(VLOOKUP(B54,'02. MM-KLH'!$B$6:$T$823,18,0),"")</f>
        <v>60432</v>
      </c>
      <c r="T54" s="110" t="str">
        <f>IFERROR(VLOOKUP(B54,'02. MM-KLH'!$B$6:$T$823,19,0),"")</f>
        <v>CCN</v>
      </c>
      <c r="U54" s="130" t="s">
        <v>79</v>
      </c>
    </row>
    <row r="55" ht="28.5" customHeight="1">
      <c r="A55" s="95">
        <f t="shared" si="2"/>
        <v>21</v>
      </c>
      <c r="B55" s="115" t="s">
        <v>594</v>
      </c>
      <c r="C55" s="134" t="str">
        <f>IFERROR(VLOOKUP(B55,'02. MM-KLH'!$B$6:$T$823,2,0),"")</f>
        <v>MĐ35 HTKLH(XA2-MĐA-002)</v>
      </c>
      <c r="D55" s="95" t="str">
        <f>IFERROR(VLOOKUP(B55,'02. MM-KLH'!$B$6:$T$823,3,0),"")</f>
        <v>ATM-A22-0018</v>
      </c>
      <c r="E55" s="86" t="str">
        <f>IFERROR(VLOOKUP(B55,'02. MM-KLH'!$B$6:$T$823,4,0),"")</f>
        <v/>
      </c>
      <c r="F55" s="115" t="s">
        <v>1102</v>
      </c>
      <c r="G55" s="86" t="str">
        <f>IFERROR(VLOOKUP(B55,'02. MM-KLH'!$B$6:$T$823,6,0),"")</f>
        <v>Máy đào U35 bánh xích gàu 0.3m3</v>
      </c>
      <c r="H55" s="80" t="s">
        <v>702</v>
      </c>
      <c r="I55" s="80" t="str">
        <f>IFERROR(VLOOKUP(B55,'02. MM-KLH'!$B$6:$T$823,8,0),"")</f>
        <v>CGTC AD</v>
      </c>
      <c r="J55" s="99" t="str">
        <f>IFERROR(VLOOKUP(B55,'02. MM-KLH'!$B$6:$T$823,9,0),"")</f>
        <v/>
      </c>
      <c r="K55" s="80" t="str">
        <f>IFERROR(VLOOKUP(B55,'02. MM-KLH'!$B$6:$T$823,10,0),"")</f>
        <v>Bình thường</v>
      </c>
      <c r="L55" s="102">
        <f>IFERROR(VLOOKUP(B55,'02. MM-KLH'!$B$6:$T$823,11,0),"")</f>
        <v>0.4</v>
      </c>
      <c r="M55" s="143" t="str">
        <f>IFERROR(VLOOKUP(B55,'02. MM-KLH'!$B$6:$T$823,12,0),"")</f>
        <v>ĐỀ XUẤT THANH LÝ
XN AD2 đ.chuyển qua ngày 25/06/2024 </v>
      </c>
      <c r="N55" s="108" t="str">
        <f>IFERROR(VLOOKUP(B55,'02. MM-KLH'!$B$6:$T$823,13,0),"")</f>
        <v>KUBOTA</v>
      </c>
      <c r="O55" s="108" t="str">
        <f>IFERROR(VLOOKUP(B55,'02. MM-KLH'!$B$6:$T$823,14,0),"")</f>
        <v>NHẬT BẢN</v>
      </c>
      <c r="P55" s="80">
        <f>IFERROR(VLOOKUP(B55,'02. MM-KLH'!$B$6:$T$823,15,0),"")</f>
        <v>2015</v>
      </c>
      <c r="Q55" s="80" t="str">
        <f>IFERROR(VLOOKUP(B55,'02. MM-KLH'!$B$6:$T$823,16,0),"")</f>
        <v>U35-6</v>
      </c>
      <c r="R55" s="106" t="str">
        <f>IFERROR(VLOOKUP(B55,'02. MM-KLH'!$B$6:$T$823,17,0),"")</f>
        <v>32HP</v>
      </c>
      <c r="S55" s="108" t="str">
        <f>IFERROR(VLOOKUP(B55,'02. MM-KLH'!$B$6:$T$823,18,0),"")</f>
        <v>JKUU0356H01H60283</v>
      </c>
      <c r="T55" s="110" t="str">
        <f>IFERROR(VLOOKUP(B55,'02. MM-KLH'!$B$6:$T$823,19,0),"")</f>
        <v>7HN2997</v>
      </c>
      <c r="U55" s="130" t="s">
        <v>79</v>
      </c>
    </row>
    <row r="56" ht="28.5" customHeight="1">
      <c r="A56" s="95">
        <f t="shared" si="2"/>
        <v>22</v>
      </c>
      <c r="B56" s="115" t="s">
        <v>599</v>
      </c>
      <c r="C56" s="134" t="str">
        <f>IFERROR(VLOOKUP(B56,'02. MM-KLH'!$B$6:$T$823,2,0),"")</f>
        <v>MĐ36 HTKLH(XA2-MĐA-003)</v>
      </c>
      <c r="D56" s="95" t="str">
        <f>IFERROR(VLOOKUP(B56,'02. MM-KLH'!$B$6:$T$823,3,0),"")</f>
        <v>ATM-A22-0018</v>
      </c>
      <c r="E56" s="86" t="str">
        <f>IFERROR(VLOOKUP(B56,'02. MM-KLH'!$B$6:$T$823,4,0),"")</f>
        <v/>
      </c>
      <c r="F56" s="115" t="s">
        <v>1102</v>
      </c>
      <c r="G56" s="86" t="str">
        <f>IFERROR(VLOOKUP(B56,'02. MM-KLH'!$B$6:$T$823,6,0),"")</f>
        <v>Máy đào U35 bánh xích gàu 0.3m3</v>
      </c>
      <c r="H56" s="80" t="s">
        <v>702</v>
      </c>
      <c r="I56" s="80" t="str">
        <f>IFERROR(VLOOKUP(B56,'02. MM-KLH'!$B$6:$T$823,8,0),"")</f>
        <v>CGTC AD</v>
      </c>
      <c r="J56" s="99" t="str">
        <f>IFERROR(VLOOKUP(B56,'02. MM-KLH'!$B$6:$T$823,9,0),"")</f>
        <v/>
      </c>
      <c r="K56" s="80" t="str">
        <f>IFERROR(VLOOKUP(B56,'02. MM-KLH'!$B$6:$T$823,10,0),"")</f>
        <v>Bình thường</v>
      </c>
      <c r="L56" s="102">
        <f>IFERROR(VLOOKUP(B56,'02. MM-KLH'!$B$6:$T$823,11,0),"")</f>
        <v>0.4</v>
      </c>
      <c r="M56" s="143" t="str">
        <f>IFERROR(VLOOKUP(B56,'02. MM-KLH'!$B$6:$T$823,12,0),"")</f>
        <v>ĐỀ XUẤT THANH LÝ
XN AD2 đ.chuyển qua ngày 25/06/2024 </v>
      </c>
      <c r="N56" s="108" t="str">
        <f>IFERROR(VLOOKUP(B56,'02. MM-KLH'!$B$6:$T$823,13,0),"")</f>
        <v>KUBOTA</v>
      </c>
      <c r="O56" s="108" t="str">
        <f>IFERROR(VLOOKUP(B56,'02. MM-KLH'!$B$6:$T$823,14,0),"")</f>
        <v>NHẬT BẢN</v>
      </c>
      <c r="P56" s="80">
        <f>IFERROR(VLOOKUP(B56,'02. MM-KLH'!$B$6:$T$823,15,0),"")</f>
        <v>2015</v>
      </c>
      <c r="Q56" s="80" t="str">
        <f>IFERROR(VLOOKUP(B56,'02. MM-KLH'!$B$6:$T$823,16,0),"")</f>
        <v>U35-6</v>
      </c>
      <c r="R56" s="106" t="str">
        <f>IFERROR(VLOOKUP(B56,'02. MM-KLH'!$B$6:$T$823,17,0),"")</f>
        <v>32HP</v>
      </c>
      <c r="S56" s="108" t="str">
        <f>IFERROR(VLOOKUP(B56,'02. MM-KLH'!$B$6:$T$823,18,0),"")</f>
        <v>JKUU0356H01H60431</v>
      </c>
      <c r="T56" s="110" t="str">
        <f>IFERROR(VLOOKUP(B56,'02. MM-KLH'!$B$6:$T$823,19,0),"")</f>
        <v>7HR1204</v>
      </c>
      <c r="U56" s="130" t="s">
        <v>79</v>
      </c>
    </row>
    <row r="57" ht="28.5" customHeight="1">
      <c r="A57" s="95">
        <f t="shared" si="2"/>
        <v>23</v>
      </c>
      <c r="B57" s="115" t="s">
        <v>604</v>
      </c>
      <c r="C57" s="134" t="str">
        <f>IFERROR(VLOOKUP(B57,'02. MM-KLH'!$B$6:$T$823,2,0),"")</f>
        <v>MĐ30 VCKLH(XA2-MĐA-001)</v>
      </c>
      <c r="D57" s="95" t="str">
        <f>IFERROR(VLOOKUP(B57,'02. MM-KLH'!$B$6:$T$823,3,0),"")</f>
        <v>A22-MĐA-061</v>
      </c>
      <c r="E57" s="86" t="str">
        <f>IFERROR(VLOOKUP(B57,'02. MM-KLH'!$B$6:$T$823,4,0),"")</f>
        <v/>
      </c>
      <c r="F57" s="115" t="s">
        <v>1102</v>
      </c>
      <c r="G57" s="86" t="str">
        <f>IFERROR(VLOOKUP(B57,'02. MM-KLH'!$B$6:$T$823,6,0),"")</f>
        <v>Máy đào U35 bánh xích gàu 0.3m3</v>
      </c>
      <c r="H57" s="80" t="s">
        <v>702</v>
      </c>
      <c r="I57" s="80" t="str">
        <f>IFERROR(VLOOKUP(B57,'02. MM-KLH'!$B$6:$T$823,8,0),"")</f>
        <v>CGTC AD</v>
      </c>
      <c r="J57" s="99">
        <f>IFERROR(VLOOKUP(B57,'02. MM-KLH'!$B$6:$T$823,9,0),"")</f>
        <v>45512</v>
      </c>
      <c r="K57" s="80" t="str">
        <f>IFERROR(VLOOKUP(B57,'02. MM-KLH'!$B$6:$T$823,10,0),"")</f>
        <v>Bình thường</v>
      </c>
      <c r="L57" s="102">
        <f>IFERROR(VLOOKUP(B57,'02. MM-KLH'!$B$6:$T$823,11,0),"")</f>
        <v>0.4</v>
      </c>
      <c r="M57" s="143" t="str">
        <f>IFERROR(VLOOKUP(B57,'02. MM-KLH'!$B$6:$T$823,12,0),"")</f>
        <v>ĐỀ XUẤT THANH LÝ
XN AD2 đ.chuyển qua ngày 08/08/2024 </v>
      </c>
      <c r="N57" s="108" t="str">
        <f>IFERROR(VLOOKUP(B57,'02. MM-KLH'!$B$6:$T$823,13,0),"")</f>
        <v>KUBOTA</v>
      </c>
      <c r="O57" s="108" t="str">
        <f>IFERROR(VLOOKUP(B57,'02. MM-KLH'!$B$6:$T$823,14,0),"")</f>
        <v>NHẬT BẢN</v>
      </c>
      <c r="P57" s="80">
        <f>IFERROR(VLOOKUP(B57,'02. MM-KLH'!$B$6:$T$823,15,0),"")</f>
        <v>2015</v>
      </c>
      <c r="Q57" s="80" t="str">
        <f>IFERROR(VLOOKUP(B57,'02. MM-KLH'!$B$6:$T$823,16,0),"")</f>
        <v>U35-6</v>
      </c>
      <c r="R57" s="106" t="str">
        <f>IFERROR(VLOOKUP(B57,'02. MM-KLH'!$B$6:$T$823,17,0),"")</f>
        <v>32HP</v>
      </c>
      <c r="S57" s="108" t="str">
        <f>IFERROR(VLOOKUP(B57,'02. MM-KLH'!$B$6:$T$823,18,0),"")</f>
        <v>JKUU0356V01H60277</v>
      </c>
      <c r="T57" s="110" t="str">
        <f>IFERROR(VLOOKUP(B57,'02. MM-KLH'!$B$6:$T$823,19,0),"")</f>
        <v>7HL9269</v>
      </c>
      <c r="U57" s="130" t="s">
        <v>79</v>
      </c>
    </row>
    <row r="58" ht="36.75" customHeight="1">
      <c r="A58" s="95">
        <f t="shared" si="2"/>
        <v>24</v>
      </c>
      <c r="B58" s="115" t="s">
        <v>1135</v>
      </c>
      <c r="C58" s="134" t="str">
        <f>IFERROR(VLOOKUP(B58,'02. MM-KLH'!$B$6:$T$823,2,0),"")</f>
        <v>CHT-MĐA-053</v>
      </c>
      <c r="D58" s="95" t="str">
        <f>IFERROR(VLOOKUP(B58,'02. MM-KLH'!$B$6:$T$823,3,0),"")</f>
        <v/>
      </c>
      <c r="E58" s="86" t="str">
        <f>IFERROR(VLOOKUP(B58,'02. MM-KLH'!$B$6:$T$823,4,0),"")</f>
        <v/>
      </c>
      <c r="F58" s="115"/>
      <c r="G58" s="86" t="str">
        <f>IFERROR(VLOOKUP(B58,'02. MM-KLH'!$B$6:$T$823,6,0),"")</f>
        <v>Máy đào CAT 305 bánh xích gàu 0.3m3</v>
      </c>
      <c r="H58" s="80" t="s">
        <v>702</v>
      </c>
      <c r="I58" s="80" t="str">
        <f>IFERROR(VLOOKUP(B58,'02. MM-KLH'!$B$6:$T$823,8,0),"")</f>
        <v>CGTC AD</v>
      </c>
      <c r="J58" s="99">
        <f>IFERROR(VLOOKUP(B58,'02. MM-KLH'!$B$6:$T$823,9,0),"")</f>
        <v>45446</v>
      </c>
      <c r="K58" s="80" t="str">
        <f>IFERROR(VLOOKUP(B58,'02. MM-KLH'!$B$6:$T$823,10,0),"")</f>
        <v>Bình thường</v>
      </c>
      <c r="L58" s="102" t="str">
        <f>IFERROR(VLOOKUP(B58,'02. MM-KLH'!$B$6:$T$823,11,0),"")</f>
        <v/>
      </c>
      <c r="M58" s="143" t="str">
        <f>IFERROR(VLOOKUP(B58,'02. MM-KLH'!$B$6:$T$823,12,0),"")</f>
        <v>ĐỀ XUÁT THANH LÝ
XNB đ.chuyển qua ngày 25/06/2024
- CGTC ADM chuyển về lại xí nghiệp Bò gắp gỗ</v>
      </c>
      <c r="N58" s="108" t="str">
        <f>IFERROR(VLOOKUP(B58,'02. MM-KLH'!$B$6:$T$823,13,0),"")</f>
        <v>CAT</v>
      </c>
      <c r="O58" s="108" t="str">
        <f>IFERROR(VLOOKUP(B58,'02. MM-KLH'!$B$6:$T$823,14,0),"")</f>
        <v>NHẬT BẢN</v>
      </c>
      <c r="P58" s="80" t="str">
        <f>IFERROR(VLOOKUP(B58,'02. MM-KLH'!$B$6:$T$823,15,0),"")</f>
        <v/>
      </c>
      <c r="Q58" s="80">
        <f>IFERROR(VLOOKUP(B58,'02. MM-KLH'!$B$6:$T$823,16,0),"")</f>
        <v>305</v>
      </c>
      <c r="R58" s="106" t="str">
        <f>IFERROR(VLOOKUP(B58,'02. MM-KLH'!$B$6:$T$823,17,0),"")</f>
        <v>42HP</v>
      </c>
      <c r="S58" s="108" t="str">
        <f>IFERROR(VLOOKUP(B58,'02. MM-KLH'!$B$6:$T$823,18,0),"")</f>
        <v>CAT00305HDCR00990</v>
      </c>
      <c r="T58" s="110" t="str">
        <f>IFERROR(VLOOKUP(B58,'02. MM-KLH'!$B$6:$T$823,19,0),"")</f>
        <v>20269B4</v>
      </c>
      <c r="U58" s="130" t="s">
        <v>79</v>
      </c>
    </row>
    <row r="59" ht="28.5" customHeight="1">
      <c r="A59" s="95">
        <f t="shared" si="2"/>
        <v>25</v>
      </c>
      <c r="B59" s="183" t="s">
        <v>1150</v>
      </c>
      <c r="C59" s="134" t="str">
        <f>IFERROR(VLOOKUP(B59,'02. MM-KLH'!$B$6:$T$823,2,0),"")</f>
        <v>MĐ32-HTKLH</v>
      </c>
      <c r="D59" s="95" t="str">
        <f>IFERROR(VLOOKUP(B59,'02. MM-KLH'!$B$6:$T$823,3,0),"")</f>
        <v>ATM-A24-0099</v>
      </c>
      <c r="E59" s="86" t="str">
        <f>IFERROR(VLOOKUP(B59,'02. MM-KLH'!$B$6:$T$823,4,0),"")</f>
        <v/>
      </c>
      <c r="F59" s="115" t="s">
        <v>1155</v>
      </c>
      <c r="G59" s="86" t="str">
        <f>IFERROR(VLOOKUP(B59,'02. MM-KLH'!$B$6:$T$823,6,0),"")</f>
        <v>Máy đào CAT 305 bánh xích gàu 0.3m3</v>
      </c>
      <c r="H59" s="80" t="s">
        <v>702</v>
      </c>
      <c r="I59" s="80" t="str">
        <f>IFERROR(VLOOKUP(B59,'02. MM-KLH'!$B$6:$T$823,8,0),"")</f>
        <v>XN Chuối LP3</v>
      </c>
      <c r="J59" s="99">
        <f>IFERROR(VLOOKUP(B59,'02. MM-KLH'!$B$6:$T$823,9,0),"")</f>
        <v>45139</v>
      </c>
      <c r="K59" s="80" t="str">
        <f>IFERROR(VLOOKUP(B59,'02. MM-KLH'!$B$6:$T$823,10,0),"")</f>
        <v>Bình thường</v>
      </c>
      <c r="L59" s="102">
        <f>IFERROR(VLOOKUP(B59,'02. MM-KLH'!$B$6:$T$823,11,0),"")</f>
        <v>0.8</v>
      </c>
      <c r="M59" s="143" t="str">
        <f>IFERROR(VLOOKUP(B59,'02. MM-KLH'!$B$6:$T$823,12,0),"")</f>
        <v>ĐỀ XUẤT THANH LÝ</v>
      </c>
      <c r="N59" s="108" t="str">
        <f>IFERROR(VLOOKUP(B59,'02. MM-KLH'!$B$6:$T$823,13,0),"")</f>
        <v>CAT</v>
      </c>
      <c r="O59" s="108" t="str">
        <f>IFERROR(VLOOKUP(B59,'02. MM-KLH'!$B$6:$T$823,14,0),"")</f>
        <v>NHẬT BẢN</v>
      </c>
      <c r="P59" s="80">
        <f>IFERROR(VLOOKUP(B59,'02. MM-KLH'!$B$6:$T$823,15,0),"")</f>
        <v>2006</v>
      </c>
      <c r="Q59" s="80">
        <f>IFERROR(VLOOKUP(B59,'02. MM-KLH'!$B$6:$T$823,16,0),"")</f>
        <v>305</v>
      </c>
      <c r="R59" s="106" t="str">
        <f>IFERROR(VLOOKUP(B59,'02. MM-KLH'!$B$6:$T$823,17,0),"")</f>
        <v>40HP</v>
      </c>
      <c r="S59" s="108">
        <f>IFERROR(VLOOKUP(B59,'02. MM-KLH'!$B$6:$T$823,18,0),"")</f>
        <v>2208498</v>
      </c>
      <c r="T59" s="110" t="str">
        <f>IFERROR(VLOOKUP(B59,'02. MM-KLH'!$B$6:$T$823,19,0),"")</f>
        <v>CCN</v>
      </c>
      <c r="U59" s="130" t="s">
        <v>79</v>
      </c>
    </row>
    <row r="60" ht="28.5" customHeight="1">
      <c r="A60" s="95">
        <f t="shared" si="2"/>
        <v>26</v>
      </c>
      <c r="B60" s="134" t="s">
        <v>609</v>
      </c>
      <c r="C60" s="134" t="str">
        <f>IFERROR(VLOOKUP(B60,'02. MM-KLH'!$B$6:$T$823,2,0),"")</f>
        <v>MỚI (ĐQSD)</v>
      </c>
      <c r="D60" s="95" t="str">
        <f>IFERROR(VLOOKUP(B60,'02. MM-KLH'!$B$6:$T$823,3,0),"")</f>
        <v>A23-MĐA-065</v>
      </c>
      <c r="E60" s="86" t="str">
        <f>IFERROR(VLOOKUP(B60,'02. MM-KLH'!$B$6:$T$823,4,0),"")</f>
        <v/>
      </c>
      <c r="F60" s="134"/>
      <c r="G60" s="86" t="str">
        <f>IFERROR(VLOOKUP(B60,'02. MM-KLH'!$B$6:$T$823,6,0),"")</f>
        <v>Máy đào KOMATSU bánh xích gàu 0.3m3</v>
      </c>
      <c r="H60" s="80" t="s">
        <v>702</v>
      </c>
      <c r="I60" s="80" t="str">
        <f>IFERROR(VLOOKUP(B60,'02. MM-KLH'!$B$6:$T$823,8,0),"")</f>
        <v>CGTC AD</v>
      </c>
      <c r="J60" s="99">
        <f>IFERROR(VLOOKUP(B60,'02. MM-KLH'!$B$6:$T$823,9,0),"")</f>
        <v>45963</v>
      </c>
      <c r="K60" s="80" t="str">
        <f>IFERROR(VLOOKUP(B60,'02. MM-KLH'!$B$6:$T$823,10,0),"")</f>
        <v>Bình thường</v>
      </c>
      <c r="L60" s="102" t="str">
        <f>IFERROR(VLOOKUP(B60,'02. MM-KLH'!$B$6:$T$823,11,0),"")</f>
        <v/>
      </c>
      <c r="M60" s="143" t="str">
        <f>IFERROR(VLOOKUP(B60,'02. MM-KLH'!$B$6:$T$823,12,0),"")</f>
        <v>Bàn giao về XDCB ngày 11/02/2025 (Xe ở ADM)</v>
      </c>
      <c r="N60" s="108" t="str">
        <f>IFERROR(VLOOKUP(B60,'02. MM-KLH'!$B$6:$T$823,13,0),"")</f>
        <v>KOMATSU</v>
      </c>
      <c r="O60" s="108" t="str">
        <f>IFERROR(VLOOKUP(B60,'02. MM-KLH'!$B$6:$T$823,14,0),"")</f>
        <v>NHẬT BẢN</v>
      </c>
      <c r="P60" s="80">
        <f>IFERROR(VLOOKUP(B60,'02. MM-KLH'!$B$6:$T$823,15,0),"")</f>
        <v>2012</v>
      </c>
      <c r="Q60" s="80" t="str">
        <f>IFERROR(VLOOKUP(B60,'02. MM-KLH'!$B$6:$T$823,16,0),"")</f>
        <v>PC55MR-3</v>
      </c>
      <c r="R60" s="106" t="str">
        <f>IFERROR(VLOOKUP(B60,'02. MM-KLH'!$B$6:$T$823,17,0),"")</f>
        <v>40HP</v>
      </c>
      <c r="S60" s="108" t="str">
        <f>IFERROR(VLOOKUP(B60,'02. MM-KLH'!$B$6:$T$823,18,0),"")</f>
        <v>KMTPC212J04017231</v>
      </c>
      <c r="T60" s="110">
        <f>IFERROR(VLOOKUP(B60,'02. MM-KLH'!$B$6:$T$823,19,0),"")</f>
        <v>26018</v>
      </c>
      <c r="U60" s="130" t="s">
        <v>235</v>
      </c>
    </row>
    <row r="61" ht="28.5" customHeight="1">
      <c r="A61" s="95">
        <f t="shared" si="2"/>
        <v>27</v>
      </c>
      <c r="B61" s="115" t="s">
        <v>612</v>
      </c>
      <c r="C61" s="134" t="str">
        <f>IFERROR(VLOOKUP(B61,'02. MM-KLH'!$B$6:$T$823,2,0),"")</f>
        <v>MỚI (ĐQSD)</v>
      </c>
      <c r="D61" s="95" t="str">
        <f>IFERROR(VLOOKUP(B61,'02. MM-KLH'!$B$6:$T$823,3,0),"")</f>
        <v>A22-MĐA-069</v>
      </c>
      <c r="E61" s="86" t="str">
        <f>IFERROR(VLOOKUP(B61,'02. MM-KLH'!$B$6:$T$823,4,0),"")</f>
        <v/>
      </c>
      <c r="F61" s="115"/>
      <c r="G61" s="86" t="str">
        <f>IFERROR(VLOOKUP(B61,'02. MM-KLH'!$B$6:$T$823,6,0),"")</f>
        <v>Máy đào KOMATSU bánh xích gàu 0.3m3</v>
      </c>
      <c r="H61" s="80" t="s">
        <v>702</v>
      </c>
      <c r="I61" s="80" t="str">
        <f>IFERROR(VLOOKUP(B61,'02. MM-KLH'!$B$6:$T$823,8,0),"")</f>
        <v>CGTC AD</v>
      </c>
      <c r="J61" s="99">
        <f>IFERROR(VLOOKUP(B61,'02. MM-KLH'!$B$6:$T$823,9,0),"")</f>
        <v>45660</v>
      </c>
      <c r="K61" s="80" t="str">
        <f>IFERROR(VLOOKUP(B61,'02. MM-KLH'!$B$6:$T$823,10,0),"")</f>
        <v>Bình thường</v>
      </c>
      <c r="L61" s="102" t="str">
        <f>IFERROR(VLOOKUP(B61,'02. MM-KLH'!$B$6:$T$823,11,0),"")</f>
        <v/>
      </c>
      <c r="M61" s="143" t="str">
        <f>IFERROR(VLOOKUP(B61,'02. MM-KLH'!$B$6:$T$823,12,0),"")</f>
        <v>Bàn giao về XDCB ngày 01/03/2025</v>
      </c>
      <c r="N61" s="108" t="str">
        <f>IFERROR(VLOOKUP(B61,'02. MM-KLH'!$B$6:$T$823,13,0),"")</f>
        <v>KOMATSU</v>
      </c>
      <c r="O61" s="108" t="str">
        <f>IFERROR(VLOOKUP(B61,'02. MM-KLH'!$B$6:$T$823,14,0),"")</f>
        <v>NHẬT BẢN</v>
      </c>
      <c r="P61" s="80">
        <f>IFERROR(VLOOKUP(B61,'02. MM-KLH'!$B$6:$T$823,15,0),"")</f>
        <v>2012</v>
      </c>
      <c r="Q61" s="80" t="str">
        <f>IFERROR(VLOOKUP(B61,'02. MM-KLH'!$B$6:$T$823,16,0),"")</f>
        <v>PC55MR-3</v>
      </c>
      <c r="R61" s="106" t="str">
        <f>IFERROR(VLOOKUP(B61,'02. MM-KLH'!$B$6:$T$823,17,0),"")</f>
        <v>40HP</v>
      </c>
      <c r="S61" s="108" t="str">
        <f>IFERROR(VLOOKUP(B61,'02. MM-KLH'!$B$6:$T$823,18,0),"")</f>
        <v>KMTPC212K04017065</v>
      </c>
      <c r="T61" s="110">
        <f>IFERROR(VLOOKUP(B61,'02. MM-KLH'!$B$6:$T$823,19,0),"")</f>
        <v>25186</v>
      </c>
      <c r="U61" s="130" t="s">
        <v>235</v>
      </c>
    </row>
    <row r="62" ht="28.5" customHeight="1">
      <c r="A62" s="95">
        <f t="shared" si="2"/>
        <v>28</v>
      </c>
      <c r="B62" s="115" t="s">
        <v>1211</v>
      </c>
      <c r="C62" s="134" t="str">
        <f>IFERROR(VLOOKUP(B62,'02. MM-KLH'!$B$6:$T$823,2,0),"")</f>
        <v>MỚI (ĐQSD)</v>
      </c>
      <c r="D62" s="95" t="str">
        <f>IFERROR(VLOOKUP(B62,'02. MM-KLH'!$B$6:$T$823,3,0),"")</f>
        <v>A24-MĐA-066</v>
      </c>
      <c r="E62" s="86" t="str">
        <f>IFERROR(VLOOKUP(B62,'02. MM-KLH'!$B$6:$T$823,4,0),"")</f>
        <v/>
      </c>
      <c r="F62" s="115"/>
      <c r="G62" s="86" t="str">
        <f>IFERROR(VLOOKUP(B62,'02. MM-KLH'!$B$6:$T$823,6,0),"")</f>
        <v>Máy đào KOMATSU bánh xích gàu 0.3m3</v>
      </c>
      <c r="H62" s="80"/>
      <c r="I62" s="80" t="str">
        <f>IFERROR(VLOOKUP(B62,'02. MM-KLH'!$B$6:$T$823,8,0),"")</f>
        <v>XN Chuối LP1</v>
      </c>
      <c r="J62" s="99" t="str">
        <f>IFERROR(VLOOKUP(B62,'02. MM-KLH'!$B$6:$T$823,9,0),"")</f>
        <v>27/07/2025</v>
      </c>
      <c r="K62" s="80" t="str">
        <f>IFERROR(VLOOKUP(B62,'02. MM-KLH'!$B$6:$T$823,10,0),"")</f>
        <v>Bình thường</v>
      </c>
      <c r="L62" s="102" t="str">
        <f>IFERROR(VLOOKUP(B62,'02. MM-KLH'!$B$6:$T$823,11,0),"")</f>
        <v/>
      </c>
      <c r="M62" s="143" t="str">
        <f>IFERROR(VLOOKUP(B62,'02. MM-KLH'!$B$6:$T$823,12,0),"")</f>
        <v>- CGTC LP bàn giao ngày 29/07/2025
- Đầu tư mới (ĐQSD)</v>
      </c>
      <c r="N62" s="108" t="str">
        <f>IFERROR(VLOOKUP(B62,'02. MM-KLH'!$B$6:$T$823,13,0),"")</f>
        <v>KOMATSU</v>
      </c>
      <c r="O62" s="108" t="str">
        <f>IFERROR(VLOOKUP(B62,'02. MM-KLH'!$B$6:$T$823,14,0),"")</f>
        <v>NHẬT BẢN</v>
      </c>
      <c r="P62" s="80">
        <f>IFERROR(VLOOKUP(B62,'02. MM-KLH'!$B$6:$T$823,15,0),"")</f>
        <v>2013</v>
      </c>
      <c r="Q62" s="80" t="str">
        <f>IFERROR(VLOOKUP(B62,'02. MM-KLH'!$B$6:$T$823,16,0),"")</f>
        <v>PC40MR-3</v>
      </c>
      <c r="R62" s="106" t="str">
        <f>IFERROR(VLOOKUP(B62,'02. MM-KLH'!$B$6:$T$823,17,0),"")</f>
        <v>39HP</v>
      </c>
      <c r="S62" s="108" t="str">
        <f>IFERROR(VLOOKUP(B62,'02. MM-KLH'!$B$6:$T$823,18,0),"")</f>
        <v>KMTPC203C04021039</v>
      </c>
      <c r="T62" s="110">
        <f>IFERROR(VLOOKUP(B62,'02. MM-KLH'!$B$6:$T$823,19,0),"")</f>
        <v>27539</v>
      </c>
      <c r="U62" s="130" t="s">
        <v>235</v>
      </c>
    </row>
    <row r="63" ht="28.5" customHeight="1">
      <c r="A63" s="95">
        <f t="shared" si="2"/>
        <v>29</v>
      </c>
      <c r="B63" s="115" t="s">
        <v>1233</v>
      </c>
      <c r="C63" s="134" t="str">
        <f>IFERROR(VLOOKUP(B63,'02. MM-KLH'!$B$6:$T$823,2,0),"")</f>
        <v>MỚI (ĐQSD)</v>
      </c>
      <c r="D63" s="95" t="str">
        <f>IFERROR(VLOOKUP(B63,'02. MM-KLH'!$B$6:$T$823,3,0),"")</f>
        <v>A24-MĐA-067</v>
      </c>
      <c r="E63" s="86" t="str">
        <f>IFERROR(VLOOKUP(B63,'02. MM-KLH'!$B$6:$T$823,4,0),"")</f>
        <v/>
      </c>
      <c r="F63" s="115"/>
      <c r="G63" s="86" t="str">
        <f>IFERROR(VLOOKUP(B63,'02. MM-KLH'!$B$6:$T$823,6,0),"")</f>
        <v>Máy đào KOMATSU bánh xích gàu 0.3m3</v>
      </c>
      <c r="H63" s="80"/>
      <c r="I63" s="80" t="str">
        <f>IFERROR(VLOOKUP(B63,'02. MM-KLH'!$B$6:$T$823,8,0),"")</f>
        <v>XN Chuối LP1</v>
      </c>
      <c r="J63" s="99" t="str">
        <f>IFERROR(VLOOKUP(B63,'02. MM-KLH'!$B$6:$T$823,9,0),"")</f>
        <v>27/07/2025</v>
      </c>
      <c r="K63" s="80" t="str">
        <f>IFERROR(VLOOKUP(B63,'02. MM-KLH'!$B$6:$T$823,10,0),"")</f>
        <v>Bình thường</v>
      </c>
      <c r="L63" s="102" t="str">
        <f>IFERROR(VLOOKUP(B63,'02. MM-KLH'!$B$6:$T$823,11,0),"")</f>
        <v/>
      </c>
      <c r="M63" s="143" t="str">
        <f>IFERROR(VLOOKUP(B63,'02. MM-KLH'!$B$6:$T$823,12,0),"")</f>
        <v>- CGTC LP bàn giao ngày 29/07/2025
- Đầu tư mới (ĐQSD)</v>
      </c>
      <c r="N63" s="108" t="str">
        <f>IFERROR(VLOOKUP(B63,'02. MM-KLH'!$B$6:$T$823,13,0),"")</f>
        <v>KOMATSU</v>
      </c>
      <c r="O63" s="108" t="str">
        <f>IFERROR(VLOOKUP(B63,'02. MM-KLH'!$B$6:$T$823,14,0),"")</f>
        <v>NHẬT BẢN</v>
      </c>
      <c r="P63" s="80">
        <f>IFERROR(VLOOKUP(B63,'02. MM-KLH'!$B$6:$T$823,15,0),"")</f>
        <v>2013</v>
      </c>
      <c r="Q63" s="80" t="str">
        <f>IFERROR(VLOOKUP(B63,'02. MM-KLH'!$B$6:$T$823,16,0),"")</f>
        <v>PC40MR-3</v>
      </c>
      <c r="R63" s="106" t="str">
        <f>IFERROR(VLOOKUP(B63,'02. MM-KLH'!$B$6:$T$823,17,0),"")</f>
        <v>39HP</v>
      </c>
      <c r="S63" s="108" t="str">
        <f>IFERROR(VLOOKUP(B63,'02. MM-KLH'!$B$6:$T$823,18,0),"")</f>
        <v>KMTPC203E04021413</v>
      </c>
      <c r="T63" s="110">
        <f>IFERROR(VLOOKUP(B63,'02. MM-KLH'!$B$6:$T$823,19,0),"")</f>
        <v>29346</v>
      </c>
      <c r="U63" s="130" t="s">
        <v>235</v>
      </c>
    </row>
    <row r="64">
      <c r="B64" s="169"/>
      <c r="D64" s="95" t="str">
        <f>IFERROR(VLOOKUP(B64,'02. MM-KLH'!$B$6:$T$823,3,0),"")</f>
        <v/>
      </c>
      <c r="E64" s="86" t="str">
        <f>IFERROR(VLOOKUP(B64,'02. MM-KLH'!$B$6:$T$823,4,0),"")</f>
        <v/>
      </c>
      <c r="G64" s="86" t="str">
        <f>IFERROR(VLOOKUP(B64,'02. MM-KLH'!$B$6:$T$823,6,0),"")</f>
        <v/>
      </c>
      <c r="I64" s="80" t="str">
        <f>IFERROR(VLOOKUP(B64,'02. MM-KLH'!$B$6:$T$823,8,0),"")</f>
        <v/>
      </c>
      <c r="J64" s="99" t="str">
        <f>IFERROR(VLOOKUP(B64,'02. MM-KLH'!$B$6:$T$823,9,0),"")</f>
        <v/>
      </c>
      <c r="K64" s="80" t="str">
        <f>IFERROR(VLOOKUP(B64,'02. MM-KLH'!$B$6:$T$823,10,0),"")</f>
        <v/>
      </c>
      <c r="L64" s="102" t="str">
        <f>IFERROR(VLOOKUP(B64,'02. MM-KLH'!$B$6:$T$823,11,0),"")</f>
        <v/>
      </c>
      <c r="M64" s="143" t="str">
        <f>IFERROR(VLOOKUP(B64,'02. MM-KLH'!$B$6:$T$823,12,0),"")</f>
        <v/>
      </c>
      <c r="N64" s="108" t="str">
        <f>IFERROR(VLOOKUP(B64,'02. MM-KLH'!$B$6:$T$823,13,0),"")</f>
        <v/>
      </c>
      <c r="O64" s="108" t="str">
        <f>IFERROR(VLOOKUP(B64,'02. MM-KLH'!$B$6:$T$823,14,0),"")</f>
        <v/>
      </c>
      <c r="P64" s="80" t="str">
        <f>IFERROR(VLOOKUP(B64,'02. MM-KLH'!$B$6:$T$823,15,0),"")</f>
        <v/>
      </c>
      <c r="Q64" s="80" t="str">
        <f>IFERROR(VLOOKUP(B64,'02. MM-KLH'!$B$6:$T$823,16,0),"")</f>
        <v/>
      </c>
      <c r="R64" s="106" t="str">
        <f>IFERROR(VLOOKUP(B64,'02. MM-KLH'!$B$6:$T$823,17,0),"")</f>
        <v/>
      </c>
      <c r="S64" s="108" t="str">
        <f>IFERROR(VLOOKUP(B64,'02. MM-KLH'!$B$6:$T$823,18,0),"")</f>
        <v/>
      </c>
      <c r="T64" s="110" t="str">
        <f>IFERROR(VLOOKUP(B64,'02. MM-KLH'!$B$6:$T$823,19,0),"")</f>
        <v/>
      </c>
      <c r="U64" s="110" t="str">
        <f>IFERROR(VLOOKUP(C64,'02. MM-KLH'!$B$6:$T$823,19,0),"")</f>
        <v/>
      </c>
    </row>
    <row r="65" ht="13.5" customHeight="1">
      <c r="A65" s="82" t="s">
        <v>76</v>
      </c>
      <c r="B65" s="83" t="s">
        <v>1270</v>
      </c>
      <c r="C65" s="85">
        <f>COUNTA(B66:B82)</f>
        <v>15</v>
      </c>
      <c r="D65" s="85" t="str">
        <f>IFERROR(VLOOKUP(B65,'02. MM-KLH'!$B$6:$T$823,3,0),"")</f>
        <v/>
      </c>
      <c r="E65" s="85" t="str">
        <f>IFERROR(VLOOKUP(B65,'02. MM-KLH'!$B$6:$T$823,4,0),"")</f>
        <v/>
      </c>
      <c r="F65" s="85"/>
      <c r="G65" s="85" t="str">
        <f>IFERROR(VLOOKUP(B65,'02. MM-KLH'!$B$6:$T$823,6,0),"")</f>
        <v/>
      </c>
      <c r="H65" s="85"/>
      <c r="I65" s="85" t="str">
        <f>IFERROR(VLOOKUP(B65,'02. MM-KLH'!$B$6:$T$823,8,0),"")</f>
        <v/>
      </c>
      <c r="J65" s="85" t="str">
        <f>IFERROR(VLOOKUP(B65,'02. MM-KLH'!$B$6:$T$823,9,0),"")</f>
        <v/>
      </c>
      <c r="K65" s="85" t="str">
        <f>IFERROR(VLOOKUP(B65,'02. MM-KLH'!$B$6:$T$823,10,0),"")</f>
        <v/>
      </c>
      <c r="L65" s="85" t="str">
        <f>IFERROR(VLOOKUP(B65,'02. MM-KLH'!$B$6:$T$823,11,0),"")</f>
        <v/>
      </c>
      <c r="M65" s="85" t="str">
        <f>IFERROR(VLOOKUP(B65,'02. MM-KLH'!$B$6:$T$823,12,0),"")</f>
        <v/>
      </c>
      <c r="N65" s="85" t="str">
        <f>IFERROR(VLOOKUP(B65,'02. MM-KLH'!$B$6:$T$823,13,0),"")</f>
        <v/>
      </c>
      <c r="O65" s="85" t="str">
        <f>IFERROR(VLOOKUP(B65,'02. MM-KLH'!$B$6:$T$823,14,0),"")</f>
        <v/>
      </c>
      <c r="P65" s="85" t="str">
        <f>IFERROR(VLOOKUP(B65,'02. MM-KLH'!$B$6:$T$823,15,0),"")</f>
        <v/>
      </c>
      <c r="Q65" s="85" t="str">
        <f>IFERROR(VLOOKUP(B65,'02. MM-KLH'!$B$6:$T$823,16,0),"")</f>
        <v/>
      </c>
      <c r="R65" s="85" t="str">
        <f>IFERROR(VLOOKUP(B65,'02. MM-KLH'!$B$6:$T$823,17,0),"")</f>
        <v/>
      </c>
      <c r="S65" s="85" t="str">
        <f>IFERROR(VLOOKUP(B65,'02. MM-KLH'!$B$6:$T$823,18,0),"")</f>
        <v/>
      </c>
      <c r="T65" s="85" t="str">
        <f>IFERROR(VLOOKUP(B65,'02. MM-KLH'!$B$6:$T$823,19,0),"")</f>
        <v/>
      </c>
      <c r="U65" s="85" t="str">
        <f>IFERROR(VLOOKUP(C65,'02. MM-KLH'!$B$6:$T$823,19,0),"")</f>
        <v/>
      </c>
    </row>
    <row r="66" ht="13.5" customHeight="1">
      <c r="A66" s="80">
        <v>1.0</v>
      </c>
      <c r="B66" s="113" t="s">
        <v>121</v>
      </c>
      <c r="C66" s="113" t="str">
        <f>IFERROR(VLOOKUP(B66,'02. MM-KLH'!$B$6:$T$823,2,0),"")</f>
        <v/>
      </c>
      <c r="D66" s="95" t="str">
        <f>IFERROR(VLOOKUP(B66,'02. MM-KLH'!$B$6:$T$823,3,0),"")</f>
        <v>ATT-A23-0027</v>
      </c>
      <c r="E66" s="86" t="str">
        <f>IFERROR(VLOOKUP(B66,'02. MM-KLH'!$B$6:$T$823,4,0),"")</f>
        <v/>
      </c>
      <c r="F66" s="115" t="s">
        <v>1289</v>
      </c>
      <c r="G66" s="86" t="str">
        <f>IFERROR(VLOOKUP(B66,'02. MM-KLH'!$B$6:$T$823,6,0),"")</f>
        <v>Máy ủi KOMATSU D31PX</v>
      </c>
      <c r="H66" s="80" t="s">
        <v>1292</v>
      </c>
      <c r="I66" s="80" t="str">
        <f>IFERROR(VLOOKUP(B66,'02. MM-KLH'!$B$6:$T$823,8,0),"")</f>
        <v>CGTC DP</v>
      </c>
      <c r="J66" s="99">
        <f>IFERROR(VLOOKUP(B66,'02. MM-KLH'!$B$6:$T$823,9,0),"")</f>
        <v>43952</v>
      </c>
      <c r="K66" s="80" t="str">
        <f>IFERROR(VLOOKUP(B66,'02. MM-KLH'!$B$6:$T$823,10,0),"")</f>
        <v>Bình thường</v>
      </c>
      <c r="L66" s="102" t="str">
        <f>IFERROR(VLOOKUP(B66,'02. MM-KLH'!$B$6:$T$823,11,0),"")</f>
        <v/>
      </c>
      <c r="M66" s="143" t="str">
        <f>IFERROR(VLOOKUP(B66,'02. MM-KLH'!$B$6:$T$823,12,0),"")</f>
        <v/>
      </c>
      <c r="N66" s="108" t="str">
        <f>IFERROR(VLOOKUP(B66,'02. MM-KLH'!$B$6:$T$823,13,0),"")</f>
        <v>KOMATSU</v>
      </c>
      <c r="O66" s="108" t="str">
        <f>IFERROR(VLOOKUP(B66,'02. MM-KLH'!$B$6:$T$823,14,0),"")</f>
        <v>NHẬT BẢN</v>
      </c>
      <c r="P66" s="80">
        <f>IFERROR(VLOOKUP(B66,'02. MM-KLH'!$B$6:$T$823,15,0),"")</f>
        <v>1997</v>
      </c>
      <c r="Q66" s="80" t="str">
        <f>IFERROR(VLOOKUP(B66,'02. MM-KLH'!$B$6:$T$823,16,0),"")</f>
        <v>D31PX</v>
      </c>
      <c r="R66" s="106" t="str">
        <f>IFERROR(VLOOKUP(B66,'02. MM-KLH'!$B$6:$T$823,17,0),"")</f>
        <v>80HP</v>
      </c>
      <c r="S66" s="108" t="str">
        <f>IFERROR(VLOOKUP(B66,'02. MM-KLH'!$B$6:$T$823,18,0),"")</f>
        <v>KMT0D007V0151352</v>
      </c>
      <c r="T66" s="110" t="str">
        <f>IFERROR(VLOOKUP(B66,'02. MM-KLH'!$B$6:$T$823,19,0),"")</f>
        <v>CCN</v>
      </c>
      <c r="U66" s="130" t="s">
        <v>79</v>
      </c>
    </row>
    <row r="67" ht="13.5" customHeight="1">
      <c r="A67" s="95">
        <f t="shared" ref="A67:A80" si="3">A66+1</f>
        <v>2</v>
      </c>
      <c r="B67" s="113" t="s">
        <v>520</v>
      </c>
      <c r="C67" s="113" t="str">
        <f>IFERROR(VLOOKUP(B67,'02. MM-KLH'!$B$6:$T$823,2,0),"")</f>
        <v>CHT-MUI-005</v>
      </c>
      <c r="D67" s="95" t="str">
        <f>IFERROR(VLOOKUP(B67,'02. MM-KLH'!$B$6:$T$823,3,0),"")</f>
        <v>ATT-A22-0128</v>
      </c>
      <c r="E67" s="86" t="str">
        <f>IFERROR(VLOOKUP(B67,'02. MM-KLH'!$B$6:$T$823,4,0),"")</f>
        <v/>
      </c>
      <c r="F67" s="115" t="s">
        <v>1304</v>
      </c>
      <c r="G67" s="86" t="str">
        <f>IFERROR(VLOOKUP(B67,'02. MM-KLH'!$B$6:$T$823,6,0),"")</f>
        <v>Máy ủi KOMATSU D31PX</v>
      </c>
      <c r="H67" s="80" t="s">
        <v>1292</v>
      </c>
      <c r="I67" s="80" t="str">
        <f>IFERROR(VLOOKUP(B67,'02. MM-KLH'!$B$6:$T$823,8,0),"")</f>
        <v>CGTC AD</v>
      </c>
      <c r="J67" s="99">
        <f>IFERROR(VLOOKUP(B67,'02. MM-KLH'!$B$6:$T$823,9,0),"")</f>
        <v>43841</v>
      </c>
      <c r="K67" s="80" t="str">
        <f>IFERROR(VLOOKUP(B67,'02. MM-KLH'!$B$6:$T$823,10,0),"")</f>
        <v>Bình thường</v>
      </c>
      <c r="L67" s="102">
        <f>IFERROR(VLOOKUP(B67,'02. MM-KLH'!$B$6:$T$823,11,0),"")</f>
        <v>0.5</v>
      </c>
      <c r="M67" s="143" t="str">
        <f>IFERROR(VLOOKUP(B67,'02. MM-KLH'!$B$6:$T$823,12,0),"")</f>
        <v>ĐỀ XUẤT THANH LÝ</v>
      </c>
      <c r="N67" s="108" t="str">
        <f>IFERROR(VLOOKUP(B67,'02. MM-KLH'!$B$6:$T$823,13,0),"")</f>
        <v>KOMATSU</v>
      </c>
      <c r="O67" s="108" t="str">
        <f>IFERROR(VLOOKUP(B67,'02. MM-KLH'!$B$6:$T$823,14,0),"")</f>
        <v>NHẬT BẢN</v>
      </c>
      <c r="P67" s="80">
        <f>IFERROR(VLOOKUP(B67,'02. MM-KLH'!$B$6:$T$823,15,0),"")</f>
        <v>2005</v>
      </c>
      <c r="Q67" s="80" t="str">
        <f>IFERROR(VLOOKUP(B67,'02. MM-KLH'!$B$6:$T$823,16,0),"")</f>
        <v>D31PX</v>
      </c>
      <c r="R67" s="106" t="str">
        <f>IFERROR(VLOOKUP(B67,'02. MM-KLH'!$B$6:$T$823,17,0),"")</f>
        <v>80HP</v>
      </c>
      <c r="S67" s="108" t="str">
        <f>IFERROR(VLOOKUP(B67,'02. MM-KLH'!$B$6:$T$823,18,0),"")</f>
        <v>KMT0D0070E01050840</v>
      </c>
      <c r="T67" s="110" t="str">
        <f>IFERROR(VLOOKUP(B67,'02. MM-KLH'!$B$6:$T$823,19,0),"")</f>
        <v>4D10226357443</v>
      </c>
      <c r="U67" s="130" t="s">
        <v>79</v>
      </c>
    </row>
    <row r="68" ht="13.5" customHeight="1">
      <c r="A68" s="95">
        <f t="shared" si="3"/>
        <v>3</v>
      </c>
      <c r="B68" s="113" t="s">
        <v>524</v>
      </c>
      <c r="C68" s="113" t="str">
        <f>IFERROR(VLOOKUP(B68,'02. MM-KLH'!$B$6:$T$823,2,0),"")</f>
        <v>CHT-MUI-006</v>
      </c>
      <c r="D68" s="95" t="str">
        <f>IFERROR(VLOOKUP(B68,'02. MM-KLH'!$B$6:$T$823,3,0),"")</f>
        <v>ATT-A22-0148</v>
      </c>
      <c r="E68" s="86" t="str">
        <f>IFERROR(VLOOKUP(B68,'02. MM-KLH'!$B$6:$T$823,4,0),"")</f>
        <v/>
      </c>
      <c r="F68" s="115" t="s">
        <v>1320</v>
      </c>
      <c r="G68" s="86" t="str">
        <f>IFERROR(VLOOKUP(B68,'02. MM-KLH'!$B$6:$T$823,6,0),"")</f>
        <v>Máy ủi KOMATSU D31PX</v>
      </c>
      <c r="H68" s="80" t="s">
        <v>1292</v>
      </c>
      <c r="I68" s="80" t="str">
        <f>IFERROR(VLOOKUP(B68,'02. MM-KLH'!$B$6:$T$823,8,0),"")</f>
        <v>CGTC AD</v>
      </c>
      <c r="J68" s="99">
        <f>IFERROR(VLOOKUP(B68,'02. MM-KLH'!$B$6:$T$823,9,0),"")</f>
        <v>43841</v>
      </c>
      <c r="K68" s="80" t="str">
        <f>IFERROR(VLOOKUP(B68,'02. MM-KLH'!$B$6:$T$823,10,0),"")</f>
        <v>Bình thường</v>
      </c>
      <c r="L68" s="102">
        <f>IFERROR(VLOOKUP(B68,'02. MM-KLH'!$B$6:$T$823,11,0),"")</f>
        <v>0.5</v>
      </c>
      <c r="M68" s="143" t="str">
        <f>IFERROR(VLOOKUP(B68,'02. MM-KLH'!$B$6:$T$823,12,0),"")</f>
        <v/>
      </c>
      <c r="N68" s="108" t="str">
        <f>IFERROR(VLOOKUP(B68,'02. MM-KLH'!$B$6:$T$823,13,0),"")</f>
        <v>KOMATSU</v>
      </c>
      <c r="O68" s="108" t="str">
        <f>IFERROR(VLOOKUP(B68,'02. MM-KLH'!$B$6:$T$823,14,0),"")</f>
        <v>NHẬT BẢN</v>
      </c>
      <c r="P68" s="80">
        <f>IFERROR(VLOOKUP(B68,'02. MM-KLH'!$B$6:$T$823,15,0),"")</f>
        <v>2004</v>
      </c>
      <c r="Q68" s="80" t="str">
        <f>IFERROR(VLOOKUP(B68,'02. MM-KLH'!$B$6:$T$823,16,0),"")</f>
        <v>D31PX</v>
      </c>
      <c r="R68" s="106" t="str">
        <f>IFERROR(VLOOKUP(B68,'02. MM-KLH'!$B$6:$T$823,17,0),"")</f>
        <v>80HP</v>
      </c>
      <c r="S68" s="108" t="str">
        <f>IFERROR(VLOOKUP(B68,'02. MM-KLH'!$B$6:$T$823,18,0),"")</f>
        <v>KMT0D007L01050625</v>
      </c>
      <c r="T68" s="110" t="str">
        <f>IFERROR(VLOOKUP(B68,'02. MM-KLH'!$B$6:$T$823,19,0),"")</f>
        <v>4D10226340664</v>
      </c>
      <c r="U68" s="130" t="s">
        <v>79</v>
      </c>
    </row>
    <row r="69" ht="13.5" customHeight="1">
      <c r="A69" s="95">
        <f t="shared" si="3"/>
        <v>4</v>
      </c>
      <c r="B69" s="113" t="s">
        <v>382</v>
      </c>
      <c r="C69" s="113" t="str">
        <f>IFERROR(VLOOKUP(B69,'02. MM-KLH'!$B$6:$T$823,2,0),"")</f>
        <v>XU 03 HT-KLH</v>
      </c>
      <c r="D69" s="95" t="str">
        <f>IFERROR(VLOOKUP(B69,'02. MM-KLH'!$B$6:$T$823,3,0),"")</f>
        <v>ATT-A24-0056</v>
      </c>
      <c r="E69" s="86" t="str">
        <f>IFERROR(VLOOKUP(B69,'02. MM-KLH'!$B$6:$T$823,4,0),"")</f>
        <v/>
      </c>
      <c r="F69" s="115" t="s">
        <v>1341</v>
      </c>
      <c r="G69" s="86" t="str">
        <f>IFERROR(VLOOKUP(B69,'02. MM-KLH'!$B$6:$T$823,6,0),"")</f>
        <v>Máy ủi KOMATSU D31PX</v>
      </c>
      <c r="H69" s="80" t="s">
        <v>1292</v>
      </c>
      <c r="I69" s="80" t="str">
        <f>IFERROR(VLOOKUP(B69,'02. MM-KLH'!$B$6:$T$823,8,0),"")</f>
        <v>CGTC LP</v>
      </c>
      <c r="J69" s="99">
        <f>IFERROR(VLOOKUP(B69,'02. MM-KLH'!$B$6:$T$823,9,0),"")</f>
        <v>44197</v>
      </c>
      <c r="K69" s="80" t="str">
        <f>IFERROR(VLOOKUP(B69,'02. MM-KLH'!$B$6:$T$823,10,0),"")</f>
        <v>Bình thường</v>
      </c>
      <c r="L69" s="102">
        <f>IFERROR(VLOOKUP(B69,'02. MM-KLH'!$B$6:$T$823,11,0),"")</f>
        <v>0.67</v>
      </c>
      <c r="M69" s="143" t="str">
        <f>IFERROR(VLOOKUP(B69,'02. MM-KLH'!$B$6:$T$823,12,0),"")</f>
        <v/>
      </c>
      <c r="N69" s="108" t="str">
        <f>IFERROR(VLOOKUP(B69,'02. MM-KLH'!$B$6:$T$823,13,0),"")</f>
        <v>KOMATSU</v>
      </c>
      <c r="O69" s="108" t="str">
        <f>IFERROR(VLOOKUP(B69,'02. MM-KLH'!$B$6:$T$823,14,0),"")</f>
        <v>NHẬT BẢN</v>
      </c>
      <c r="P69" s="80">
        <f>IFERROR(VLOOKUP(B69,'02. MM-KLH'!$B$6:$T$823,15,0),"")</f>
        <v>2006</v>
      </c>
      <c r="Q69" s="80" t="str">
        <f>IFERROR(VLOOKUP(B69,'02. MM-KLH'!$B$6:$T$823,16,0),"")</f>
        <v>D31PX-21</v>
      </c>
      <c r="R69" s="106" t="str">
        <f>IFERROR(VLOOKUP(B69,'02. MM-KLH'!$B$6:$T$823,17,0),"")</f>
        <v>80HP</v>
      </c>
      <c r="S69" s="108" t="str">
        <f>IFERROR(VLOOKUP(B69,'02. MM-KLH'!$B$6:$T$823,18,0),"")</f>
        <v>KMT0D007T01051120</v>
      </c>
      <c r="T69" s="110" t="str">
        <f>IFERROR(VLOOKUP(B69,'02. MM-KLH'!$B$6:$T$823,19,0),"")</f>
        <v>4D10226384955</v>
      </c>
      <c r="U69" s="130" t="s">
        <v>79</v>
      </c>
    </row>
    <row r="70" ht="13.5" customHeight="1">
      <c r="A70" s="95">
        <f t="shared" si="3"/>
        <v>5</v>
      </c>
      <c r="B70" s="113" t="s">
        <v>386</v>
      </c>
      <c r="C70" s="113" t="str">
        <f>IFERROR(VLOOKUP(B70,'02. MM-KLH'!$B$6:$T$823,2,0),"")</f>
        <v>XU 04 HT-KLH</v>
      </c>
      <c r="D70" s="95" t="str">
        <f>IFERROR(VLOOKUP(B70,'02. MM-KLH'!$B$6:$T$823,3,0),"")</f>
        <v>ATT-A24-0048</v>
      </c>
      <c r="E70" s="86" t="str">
        <f>IFERROR(VLOOKUP(B70,'02. MM-KLH'!$B$6:$T$823,4,0),"")</f>
        <v/>
      </c>
      <c r="F70" s="115" t="s">
        <v>1354</v>
      </c>
      <c r="G70" s="86" t="str">
        <f>IFERROR(VLOOKUP(B70,'02. MM-KLH'!$B$6:$T$823,6,0),"")</f>
        <v>Máy ủi KOMATSU D31PX</v>
      </c>
      <c r="H70" s="80" t="s">
        <v>1292</v>
      </c>
      <c r="I70" s="80" t="str">
        <f>IFERROR(VLOOKUP(B70,'02. MM-KLH'!$B$6:$T$823,8,0),"")</f>
        <v>CGTC LP</v>
      </c>
      <c r="J70" s="99">
        <f>IFERROR(VLOOKUP(B70,'02. MM-KLH'!$B$6:$T$823,9,0),"")</f>
        <v>44197</v>
      </c>
      <c r="K70" s="80" t="str">
        <f>IFERROR(VLOOKUP(B70,'02. MM-KLH'!$B$6:$T$823,10,0),"")</f>
        <v>Bình thường</v>
      </c>
      <c r="L70" s="102">
        <f>IFERROR(VLOOKUP(B70,'02. MM-KLH'!$B$6:$T$823,11,0),"")</f>
        <v>0.6</v>
      </c>
      <c r="M70" s="143" t="str">
        <f>IFERROR(VLOOKUP(B70,'02. MM-KLH'!$B$6:$T$823,12,0),"")</f>
        <v/>
      </c>
      <c r="N70" s="108" t="str">
        <f>IFERROR(VLOOKUP(B70,'02. MM-KLH'!$B$6:$T$823,13,0),"")</f>
        <v>KOMATSU</v>
      </c>
      <c r="O70" s="108" t="str">
        <f>IFERROR(VLOOKUP(B70,'02. MM-KLH'!$B$6:$T$823,14,0),"")</f>
        <v>NHẬT BẢN</v>
      </c>
      <c r="P70" s="80">
        <f>IFERROR(VLOOKUP(B70,'02. MM-KLH'!$B$6:$T$823,15,0),"")</f>
        <v>2008</v>
      </c>
      <c r="Q70" s="80" t="str">
        <f>IFERROR(VLOOKUP(B70,'02. MM-KLH'!$B$6:$T$823,16,0),"")</f>
        <v>D31PX-21</v>
      </c>
      <c r="R70" s="106" t="str">
        <f>IFERROR(VLOOKUP(B70,'02. MM-KLH'!$B$6:$T$823,17,0),"")</f>
        <v>80HP</v>
      </c>
      <c r="S70" s="108" t="str">
        <f>IFERROR(VLOOKUP(B70,'02. MM-KLH'!$B$6:$T$823,18,0),"")</f>
        <v>KMT0D007C01051611</v>
      </c>
      <c r="T70" s="110" t="str">
        <f>IFERROR(VLOOKUP(B70,'02. MM-KLH'!$B$6:$T$823,19,0),"")</f>
        <v>4D10226427091</v>
      </c>
      <c r="U70" s="130" t="s">
        <v>79</v>
      </c>
    </row>
    <row r="71" ht="13.5" customHeight="1">
      <c r="A71" s="95">
        <f t="shared" si="3"/>
        <v>6</v>
      </c>
      <c r="B71" s="113" t="s">
        <v>534</v>
      </c>
      <c r="C71" s="113" t="str">
        <f>IFERROR(VLOOKUP(B71,'02. MM-KLH'!$B$6:$T$823,2,0),"")</f>
        <v>CHT-MUI-008</v>
      </c>
      <c r="D71" s="95" t="str">
        <f>IFERROR(VLOOKUP(B71,'02. MM-KLH'!$B$6:$T$823,3,0),"")</f>
        <v>ATT-A22-0169</v>
      </c>
      <c r="E71" s="86" t="str">
        <f>IFERROR(VLOOKUP(B71,'02. MM-KLH'!$B$6:$T$823,4,0),"")</f>
        <v/>
      </c>
      <c r="F71" s="115" t="s">
        <v>1372</v>
      </c>
      <c r="G71" s="86" t="str">
        <f>IFERROR(VLOOKUP(B71,'02. MM-KLH'!$B$6:$T$823,6,0),"")</f>
        <v>Máy ủi KOMATSU D31PX</v>
      </c>
      <c r="H71" s="80" t="s">
        <v>1292</v>
      </c>
      <c r="I71" s="80" t="str">
        <f>IFERROR(VLOOKUP(B71,'02. MM-KLH'!$B$6:$T$823,8,0),"")</f>
        <v>CGTC AD</v>
      </c>
      <c r="J71" s="99">
        <f>IFERROR(VLOOKUP(B71,'02. MM-KLH'!$B$6:$T$823,9,0),"")</f>
        <v>44198</v>
      </c>
      <c r="K71" s="80" t="str">
        <f>IFERROR(VLOOKUP(B71,'02. MM-KLH'!$B$6:$T$823,10,0),"")</f>
        <v>Bình thường</v>
      </c>
      <c r="L71" s="102">
        <f>IFERROR(VLOOKUP(B71,'02. MM-KLH'!$B$6:$T$823,11,0),"")</f>
        <v>0.68</v>
      </c>
      <c r="M71" s="143" t="str">
        <f>IFERROR(VLOOKUP(B71,'02. MM-KLH'!$B$6:$T$823,12,0),"")</f>
        <v/>
      </c>
      <c r="N71" s="108" t="str">
        <f>IFERROR(VLOOKUP(B71,'02. MM-KLH'!$B$6:$T$823,13,0),"")</f>
        <v>KOMATSU</v>
      </c>
      <c r="O71" s="108" t="str">
        <f>IFERROR(VLOOKUP(B71,'02. MM-KLH'!$B$6:$T$823,14,0),"")</f>
        <v>NHẬT BẢN</v>
      </c>
      <c r="P71" s="80">
        <f>IFERROR(VLOOKUP(B71,'02. MM-KLH'!$B$6:$T$823,15,0),"")</f>
        <v>2006</v>
      </c>
      <c r="Q71" s="80" t="str">
        <f>IFERROR(VLOOKUP(B71,'02. MM-KLH'!$B$6:$T$823,16,0),"")</f>
        <v>D31PX-21</v>
      </c>
      <c r="R71" s="106" t="str">
        <f>IFERROR(VLOOKUP(B71,'02. MM-KLH'!$B$6:$T$823,17,0),"")</f>
        <v>75HP</v>
      </c>
      <c r="S71" s="108" t="str">
        <f>IFERROR(VLOOKUP(B71,'02. MM-KLH'!$B$6:$T$823,18,0),"")</f>
        <v>KMT0D007P01051250</v>
      </c>
      <c r="T71" s="110" t="str">
        <f>IFERROR(VLOOKUP(B71,'02. MM-KLH'!$B$6:$T$823,19,0),"")</f>
        <v>4D10226392645</v>
      </c>
      <c r="U71" s="130" t="s">
        <v>79</v>
      </c>
    </row>
    <row r="72" ht="13.5" customHeight="1">
      <c r="A72" s="95">
        <f t="shared" si="3"/>
        <v>7</v>
      </c>
      <c r="B72" s="134" t="s">
        <v>287</v>
      </c>
      <c r="C72" s="113" t="str">
        <f>IFERROR(VLOOKUP(B72,'02. MM-KLH'!$B$6:$T$823,2,0),"")</f>
        <v>MỚI (ĐQSD)</v>
      </c>
      <c r="D72" s="95" t="str">
        <f>IFERROR(VLOOKUP(B72,'02. MM-KLH'!$B$6:$T$823,3,0),"")</f>
        <v>A23-MUI-011</v>
      </c>
      <c r="E72" s="86" t="str">
        <f>IFERROR(VLOOKUP(B72,'02. MM-KLH'!$B$6:$T$823,4,0),"")</f>
        <v/>
      </c>
      <c r="F72" s="134"/>
      <c r="G72" s="86" t="str">
        <f>IFERROR(VLOOKUP(B72,'02. MM-KLH'!$B$6:$T$823,6,0),"")</f>
        <v>Máy ủi KOMATSU D31PX</v>
      </c>
      <c r="H72" s="80" t="s">
        <v>1292</v>
      </c>
      <c r="I72" s="80" t="str">
        <f>IFERROR(VLOOKUP(B72,'02. MM-KLH'!$B$6:$T$823,8,0),"")</f>
        <v>CGTC DP</v>
      </c>
      <c r="J72" s="99">
        <f>IFERROR(VLOOKUP(B72,'02. MM-KLH'!$B$6:$T$823,9,0),"")</f>
        <v>45963</v>
      </c>
      <c r="K72" s="80" t="str">
        <f>IFERROR(VLOOKUP(B72,'02. MM-KLH'!$B$6:$T$823,10,0),"")</f>
        <v>Bình thường</v>
      </c>
      <c r="L72" s="102" t="str">
        <f>IFERROR(VLOOKUP(B72,'02. MM-KLH'!$B$6:$T$823,11,0),"")</f>
        <v/>
      </c>
      <c r="M72" s="143" t="str">
        <f>IFERROR(VLOOKUP(B72,'02. MM-KLH'!$B$6:$T$823,12,0),"")</f>
        <v>Bàn giao về XDCB ngày 11/02/2025</v>
      </c>
      <c r="N72" s="108" t="str">
        <f>IFERROR(VLOOKUP(B72,'02. MM-KLH'!$B$6:$T$823,13,0),"")</f>
        <v>KOMATSU</v>
      </c>
      <c r="O72" s="108" t="str">
        <f>IFERROR(VLOOKUP(B72,'02. MM-KLH'!$B$6:$T$823,14,0),"")</f>
        <v>NHẬT BẢN</v>
      </c>
      <c r="P72" s="80">
        <f>IFERROR(VLOOKUP(B72,'02. MM-KLH'!$B$6:$T$823,15,0),"")</f>
        <v>2003</v>
      </c>
      <c r="Q72" s="80" t="str">
        <f>IFERROR(VLOOKUP(B72,'02. MM-KLH'!$B$6:$T$823,16,0),"")</f>
        <v>D31PX-21</v>
      </c>
      <c r="R72" s="106" t="str">
        <f>IFERROR(VLOOKUP(B72,'02. MM-KLH'!$B$6:$T$823,17,0),"")</f>
        <v>76HP</v>
      </c>
      <c r="S72" s="108" t="str">
        <f>IFERROR(VLOOKUP(B72,'02. MM-KLH'!$B$6:$T$823,18,0),"")</f>
        <v>D31PX2150296</v>
      </c>
      <c r="T72" s="110" t="str">
        <f>IFERROR(VLOOKUP(B72,'02. MM-KLH'!$B$6:$T$823,19,0),"")</f>
        <v>4D10226319872</v>
      </c>
      <c r="U72" s="130" t="s">
        <v>235</v>
      </c>
    </row>
    <row r="73" ht="13.5" customHeight="1">
      <c r="A73" s="95">
        <f t="shared" si="3"/>
        <v>8</v>
      </c>
      <c r="B73" s="134" t="s">
        <v>537</v>
      </c>
      <c r="C73" s="113" t="str">
        <f>IFERROR(VLOOKUP(B73,'02. MM-KLH'!$B$6:$T$823,2,0),"")</f>
        <v>MỚI (ĐQSD)</v>
      </c>
      <c r="D73" s="95" t="str">
        <f>IFERROR(VLOOKUP(B73,'02. MM-KLH'!$B$6:$T$823,3,0),"")</f>
        <v>A23-MUI-012</v>
      </c>
      <c r="E73" s="86" t="str">
        <f>IFERROR(VLOOKUP(B73,'02. MM-KLH'!$B$6:$T$823,4,0),"")</f>
        <v/>
      </c>
      <c r="F73" s="134"/>
      <c r="G73" s="86" t="str">
        <f>IFERROR(VLOOKUP(B73,'02. MM-KLH'!$B$6:$T$823,6,0),"")</f>
        <v>Máy ủi KOMATSU D31PX</v>
      </c>
      <c r="H73" s="80" t="s">
        <v>1292</v>
      </c>
      <c r="I73" s="80" t="str">
        <f>IFERROR(VLOOKUP(B73,'02. MM-KLH'!$B$6:$T$823,8,0),"")</f>
        <v>CGTC AD</v>
      </c>
      <c r="J73" s="99">
        <f>IFERROR(VLOOKUP(B73,'02. MM-KLH'!$B$6:$T$823,9,0),"")</f>
        <v>45963</v>
      </c>
      <c r="K73" s="80" t="str">
        <f>IFERROR(VLOOKUP(B73,'02. MM-KLH'!$B$6:$T$823,10,0),"")</f>
        <v>Bình thường</v>
      </c>
      <c r="L73" s="102" t="str">
        <f>IFERROR(VLOOKUP(B73,'02. MM-KLH'!$B$6:$T$823,11,0),"")</f>
        <v/>
      </c>
      <c r="M73" s="143" t="str">
        <f>IFERROR(VLOOKUP(B73,'02. MM-KLH'!$B$6:$T$823,12,0),"")</f>
        <v>Bàn giao về XDCB ngày 11/02/2025 (Xe ở ADM)</v>
      </c>
      <c r="N73" s="108" t="str">
        <f>IFERROR(VLOOKUP(B73,'02. MM-KLH'!$B$6:$T$823,13,0),"")</f>
        <v>KOMATSU</v>
      </c>
      <c r="O73" s="108" t="str">
        <f>IFERROR(VLOOKUP(B73,'02. MM-KLH'!$B$6:$T$823,14,0),"")</f>
        <v>NHẬT BẢN</v>
      </c>
      <c r="P73" s="80">
        <f>IFERROR(VLOOKUP(B73,'02. MM-KLH'!$B$6:$T$823,15,0),"")</f>
        <v>2006</v>
      </c>
      <c r="Q73" s="80" t="str">
        <f>IFERROR(VLOOKUP(B73,'02. MM-KLH'!$B$6:$T$823,16,0),"")</f>
        <v>D31PX-21</v>
      </c>
      <c r="R73" s="106" t="str">
        <f>IFERROR(VLOOKUP(B73,'02. MM-KLH'!$B$6:$T$823,17,0),"")</f>
        <v>76HP</v>
      </c>
      <c r="S73" s="108" t="str">
        <f>IFERROR(VLOOKUP(B73,'02. MM-KLH'!$B$6:$T$823,18,0),"")</f>
        <v>KMT0D007T01051313</v>
      </c>
      <c r="T73" s="110" t="str">
        <f>IFERROR(VLOOKUP(B73,'02. MM-KLH'!$B$6:$T$823,19,0),"")</f>
        <v>4D10226397126</v>
      </c>
      <c r="U73" s="130" t="s">
        <v>235</v>
      </c>
    </row>
    <row r="74" ht="13.5" customHeight="1">
      <c r="A74" s="95">
        <f t="shared" si="3"/>
        <v>9</v>
      </c>
      <c r="B74" s="134" t="s">
        <v>507</v>
      </c>
      <c r="C74" s="113" t="str">
        <f>IFERROR(VLOOKUP(B74,'02. MM-KLH'!$B$6:$T$823,2,0),"")</f>
        <v>MỚI (ĐQSD)</v>
      </c>
      <c r="D74" s="95" t="str">
        <f>IFERROR(VLOOKUP(B74,'02. MM-KLH'!$B$6:$T$823,3,0),"")</f>
        <v>A24-MUI-014</v>
      </c>
      <c r="E74" s="86" t="str">
        <f>IFERROR(VLOOKUP(B74,'02. MM-KLH'!$B$6:$T$823,4,0),"")</f>
        <v/>
      </c>
      <c r="F74" s="134"/>
      <c r="G74" s="86" t="str">
        <f>IFERROR(VLOOKUP(B74,'02. MM-KLH'!$B$6:$T$823,6,0),"")</f>
        <v>Máy ủi KOMATSU D31PX-21</v>
      </c>
      <c r="H74" s="80" t="s">
        <v>1407</v>
      </c>
      <c r="I74" s="80" t="str">
        <f>IFERROR(VLOOKUP(B74,'02. MM-KLH'!$B$6:$T$823,8,0),"")</f>
        <v>CGTC LP</v>
      </c>
      <c r="J74" s="99" t="str">
        <f>IFERROR(VLOOKUP(B74,'02. MM-KLH'!$B$6:$T$823,9,0),"")</f>
        <v>26/07/2025</v>
      </c>
      <c r="K74" s="80" t="str">
        <f>IFERROR(VLOOKUP(B74,'02. MM-KLH'!$B$6:$T$823,10,0),"")</f>
        <v>Bình thường</v>
      </c>
      <c r="L74" s="102" t="str">
        <f>IFERROR(VLOOKUP(B74,'02. MM-KLH'!$B$6:$T$823,11,0),"")</f>
        <v/>
      </c>
      <c r="M74" s="143" t="str">
        <f>IFERROR(VLOOKUP(B74,'02. MM-KLH'!$B$6:$T$823,12,0),"")</f>
        <v>Đầu tư mới (ĐQSD)</v>
      </c>
      <c r="N74" s="108" t="str">
        <f>IFERROR(VLOOKUP(B74,'02. MM-KLH'!$B$6:$T$823,13,0),"")</f>
        <v>KOMATSU</v>
      </c>
      <c r="O74" s="108" t="str">
        <f>IFERROR(VLOOKUP(B74,'02. MM-KLH'!$B$6:$T$823,14,0),"")</f>
        <v>Nhật Bản</v>
      </c>
      <c r="P74" s="80">
        <f>IFERROR(VLOOKUP(B74,'02. MM-KLH'!$B$6:$T$823,15,0),"")</f>
        <v>2006</v>
      </c>
      <c r="Q74" s="80" t="str">
        <f>IFERROR(VLOOKUP(B74,'02. MM-KLH'!$B$6:$T$823,16,0),"")</f>
        <v>D31PX-21</v>
      </c>
      <c r="R74" s="106" t="str">
        <f>IFERROR(VLOOKUP(B74,'02. MM-KLH'!$B$6:$T$823,17,0),"")</f>
        <v>78HP</v>
      </c>
      <c r="S74" s="108" t="str">
        <f>IFERROR(VLOOKUP(B74,'02. MM-KLH'!$B$6:$T$823,18,0),"")</f>
        <v>KMT0D007J01051638</v>
      </c>
      <c r="T74" s="110" t="str">
        <f>IFERROR(VLOOKUP(B74,'02. MM-KLH'!$B$6:$T$823,19,0),"")</f>
        <v>4D10226430130</v>
      </c>
      <c r="U74" s="130" t="s">
        <v>235</v>
      </c>
    </row>
    <row r="75" ht="13.5" customHeight="1">
      <c r="A75" s="95">
        <f t="shared" si="3"/>
        <v>10</v>
      </c>
      <c r="B75" s="113" t="s">
        <v>392</v>
      </c>
      <c r="C75" s="113" t="str">
        <f>IFERROR(VLOOKUP(B75,'02. MM-KLH'!$B$6:$T$823,2,0),"")</f>
        <v>XU 09 HT-KLH</v>
      </c>
      <c r="D75" s="95" t="str">
        <f>IFERROR(VLOOKUP(B75,'02. MM-KLH'!$B$6:$T$823,3,0),"")</f>
        <v>ATT-A22-0170</v>
      </c>
      <c r="E75" s="86" t="str">
        <f>IFERROR(VLOOKUP(B75,'02. MM-KLH'!$B$6:$T$823,4,0),"")</f>
        <v/>
      </c>
      <c r="F75" s="115" t="s">
        <v>1425</v>
      </c>
      <c r="G75" s="86" t="str">
        <f>IFERROR(VLOOKUP(B75,'02. MM-KLH'!$B$6:$T$823,6,0),"")</f>
        <v>Máy ủi KOMATSU D60P</v>
      </c>
      <c r="H75" s="80" t="s">
        <v>1426</v>
      </c>
      <c r="I75" s="80" t="str">
        <f>IFERROR(VLOOKUP(B75,'02. MM-KLH'!$B$6:$T$823,8,0),"")</f>
        <v>CGTC LP</v>
      </c>
      <c r="J75" s="99">
        <f>IFERROR(VLOOKUP(B75,'02. MM-KLH'!$B$6:$T$823,9,0),"")</f>
        <v>44228</v>
      </c>
      <c r="K75" s="80" t="str">
        <f>IFERROR(VLOOKUP(B75,'02. MM-KLH'!$B$6:$T$823,10,0),"")</f>
        <v>Bình thường</v>
      </c>
      <c r="L75" s="102">
        <f>IFERROR(VLOOKUP(B75,'02. MM-KLH'!$B$6:$T$823,11,0),"")</f>
        <v>0.68</v>
      </c>
      <c r="M75" s="143" t="str">
        <f>IFERROR(VLOOKUP(B75,'02. MM-KLH'!$B$6:$T$823,12,0),"")</f>
        <v/>
      </c>
      <c r="N75" s="108" t="str">
        <f>IFERROR(VLOOKUP(B75,'02. MM-KLH'!$B$6:$T$823,13,0),"")</f>
        <v>KOMATSU</v>
      </c>
      <c r="O75" s="108" t="str">
        <f>IFERROR(VLOOKUP(B75,'02. MM-KLH'!$B$6:$T$823,14,0),"")</f>
        <v>NHẬT BẢN</v>
      </c>
      <c r="P75" s="80">
        <f>IFERROR(VLOOKUP(B75,'02. MM-KLH'!$B$6:$T$823,15,0),"")</f>
        <v>1995</v>
      </c>
      <c r="Q75" s="80" t="str">
        <f>IFERROR(VLOOKUP(B75,'02. MM-KLH'!$B$6:$T$823,16,0),"")</f>
        <v>D60P</v>
      </c>
      <c r="R75" s="106" t="str">
        <f>IFERROR(VLOOKUP(B75,'02. MM-KLH'!$B$6:$T$823,17,0),"")</f>
        <v>190HP</v>
      </c>
      <c r="S75" s="108" t="str">
        <f>IFERROR(VLOOKUP(B75,'02. MM-KLH'!$B$6:$T$823,18,0),"")</f>
        <v>D60P1261254</v>
      </c>
      <c r="T75" s="110" t="str">
        <f>IFERROR(VLOOKUP(B75,'02. MM-KLH'!$B$6:$T$823,19,0),"")</f>
        <v>6D125-30638</v>
      </c>
      <c r="U75" s="130" t="s">
        <v>79</v>
      </c>
    </row>
    <row r="76" ht="13.5" customHeight="1">
      <c r="A76" s="95">
        <f t="shared" si="3"/>
        <v>11</v>
      </c>
      <c r="B76" s="113" t="s">
        <v>127</v>
      </c>
      <c r="C76" s="113" t="str">
        <f>IFERROR(VLOOKUP(B76,'02. MM-KLH'!$B$6:$T$823,2,0),"")</f>
        <v/>
      </c>
      <c r="D76" s="95" t="str">
        <f>IFERROR(VLOOKUP(B76,'02. MM-KLH'!$B$6:$T$823,3,0),"")</f>
        <v>ATT-A23-0031</v>
      </c>
      <c r="E76" s="86" t="str">
        <f>IFERROR(VLOOKUP(B76,'02. MM-KLH'!$B$6:$T$823,4,0),"")</f>
        <v/>
      </c>
      <c r="F76" s="115" t="s">
        <v>1438</v>
      </c>
      <c r="G76" s="86" t="str">
        <f>IFERROR(VLOOKUP(B76,'02. MM-KLH'!$B$6:$T$823,6,0),"")</f>
        <v>Máy ủi KOMATSU D60P-12E</v>
      </c>
      <c r="H76" s="80" t="s">
        <v>1426</v>
      </c>
      <c r="I76" s="80" t="str">
        <f>IFERROR(VLOOKUP(B76,'02. MM-KLH'!$B$6:$T$823,8,0),"")</f>
        <v>CGTC DP</v>
      </c>
      <c r="J76" s="99">
        <f>IFERROR(VLOOKUP(B76,'02. MM-KLH'!$B$6:$T$823,9,0),"")</f>
        <v>43837</v>
      </c>
      <c r="K76" s="80" t="str">
        <f>IFERROR(VLOOKUP(B76,'02. MM-KLH'!$B$6:$T$823,10,0),"")</f>
        <v>Bình thường</v>
      </c>
      <c r="L76" s="102" t="str">
        <f>IFERROR(VLOOKUP(B76,'02. MM-KLH'!$B$6:$T$823,11,0),"")</f>
        <v/>
      </c>
      <c r="M76" s="143" t="str">
        <f>IFERROR(VLOOKUP(B76,'02. MM-KLH'!$B$6:$T$823,12,0),"")</f>
        <v/>
      </c>
      <c r="N76" s="108" t="str">
        <f>IFERROR(VLOOKUP(B76,'02. MM-KLH'!$B$6:$T$823,13,0),"")</f>
        <v>KOMATSU</v>
      </c>
      <c r="O76" s="108" t="str">
        <f>IFERROR(VLOOKUP(B76,'02. MM-KLH'!$B$6:$T$823,14,0),"")</f>
        <v>NHẬT BẢN</v>
      </c>
      <c r="P76" s="80">
        <f>IFERROR(VLOOKUP(B76,'02. MM-KLH'!$B$6:$T$823,15,0),"")</f>
        <v>2002</v>
      </c>
      <c r="Q76" s="80" t="str">
        <f>IFERROR(VLOOKUP(B76,'02. MM-KLH'!$B$6:$T$823,16,0),"")</f>
        <v>D60P-12E</v>
      </c>
      <c r="R76" s="106" t="str">
        <f>IFERROR(VLOOKUP(B76,'02. MM-KLH'!$B$6:$T$823,17,0),"")</f>
        <v>190HP</v>
      </c>
      <c r="S76" s="108" t="str">
        <f>IFERROR(VLOOKUP(B76,'02. MM-KLH'!$B$6:$T$823,18,0),"")</f>
        <v>D60P1260763</v>
      </c>
      <c r="T76" s="110" t="str">
        <f>IFERROR(VLOOKUP(B76,'02. MM-KLH'!$B$6:$T$823,19,0),"")</f>
        <v>CCN</v>
      </c>
      <c r="U76" s="130" t="s">
        <v>79</v>
      </c>
    </row>
    <row r="77" ht="13.5" customHeight="1">
      <c r="A77" s="95">
        <f t="shared" si="3"/>
        <v>12</v>
      </c>
      <c r="B77" s="113" t="s">
        <v>132</v>
      </c>
      <c r="C77" s="113" t="str">
        <f>IFERROR(VLOOKUP(B77,'02. MM-KLH'!$B$6:$T$823,2,0),"")</f>
        <v/>
      </c>
      <c r="D77" s="95" t="str">
        <f>IFERROR(VLOOKUP(B77,'02. MM-KLH'!$B$6:$T$823,3,0),"")</f>
        <v>ATM-A22-0089</v>
      </c>
      <c r="E77" s="86" t="str">
        <f>IFERROR(VLOOKUP(B77,'02. MM-KLH'!$B$6:$T$823,4,0),"")</f>
        <v/>
      </c>
      <c r="F77" s="115" t="s">
        <v>1455</v>
      </c>
      <c r="G77" s="86" t="str">
        <f>IFERROR(VLOOKUP(B77,'02. MM-KLH'!$B$6:$T$823,6,0),"")</f>
        <v>Máy ủi KOMATSU D65P-12</v>
      </c>
      <c r="H77" s="80" t="s">
        <v>1426</v>
      </c>
      <c r="I77" s="80" t="str">
        <f>IFERROR(VLOOKUP(B77,'02. MM-KLH'!$B$6:$T$823,8,0),"")</f>
        <v>CGTC DP</v>
      </c>
      <c r="J77" s="99">
        <f>IFERROR(VLOOKUP(B77,'02. MM-KLH'!$B$6:$T$823,9,0),"")</f>
        <v>44287</v>
      </c>
      <c r="K77" s="80" t="str">
        <f>IFERROR(VLOOKUP(B77,'02. MM-KLH'!$B$6:$T$823,10,0),"")</f>
        <v>Bình thường</v>
      </c>
      <c r="L77" s="102">
        <f>IFERROR(VLOOKUP(B77,'02. MM-KLH'!$B$6:$T$823,11,0),"")</f>
        <v>0.7</v>
      </c>
      <c r="M77" s="143" t="str">
        <f>IFERROR(VLOOKUP(B77,'02. MM-KLH'!$B$6:$T$823,12,0),"")</f>
        <v/>
      </c>
      <c r="N77" s="108" t="str">
        <f>IFERROR(VLOOKUP(B77,'02. MM-KLH'!$B$6:$T$823,13,0),"")</f>
        <v>KOMATSU</v>
      </c>
      <c r="O77" s="108" t="str">
        <f>IFERROR(VLOOKUP(B77,'02. MM-KLH'!$B$6:$T$823,14,0),"")</f>
        <v>NHẬT BẢN</v>
      </c>
      <c r="P77" s="80">
        <f>IFERROR(VLOOKUP(B77,'02. MM-KLH'!$B$6:$T$823,15,0),"")</f>
        <v>1992</v>
      </c>
      <c r="Q77" s="80" t="str">
        <f>IFERROR(VLOOKUP(B77,'02. MM-KLH'!$B$6:$T$823,16,0),"")</f>
        <v>D65P-12</v>
      </c>
      <c r="R77" s="106" t="str">
        <f>IFERROR(VLOOKUP(B77,'02. MM-KLH'!$B$6:$T$823,17,0),"")</f>
        <v>190HP</v>
      </c>
      <c r="S77" s="108" t="str">
        <f>IFERROR(VLOOKUP(B77,'02. MM-KLH'!$B$6:$T$823,18,0),"")</f>
        <v>D65P1260304</v>
      </c>
      <c r="T77" s="110" t="str">
        <f>IFERROR(VLOOKUP(B77,'02. MM-KLH'!$B$6:$T$823,19,0),"")</f>
        <v>6D12554976</v>
      </c>
      <c r="U77" s="130" t="s">
        <v>79</v>
      </c>
    </row>
    <row r="78" ht="13.5" customHeight="1">
      <c r="A78" s="95">
        <f t="shared" si="3"/>
        <v>13</v>
      </c>
      <c r="B78" s="113" t="s">
        <v>528</v>
      </c>
      <c r="C78" s="113" t="str">
        <f>IFERROR(VLOOKUP(B78,'02. MM-KLH'!$B$6:$T$823,2,0),"")</f>
        <v>CHT-MUI-007</v>
      </c>
      <c r="D78" s="95" t="str">
        <f>IFERROR(VLOOKUP(B78,'02. MM-KLH'!$B$6:$T$823,3,0),"")</f>
        <v>ATT-A22-0136</v>
      </c>
      <c r="E78" s="86" t="str">
        <f>IFERROR(VLOOKUP(B78,'02. MM-KLH'!$B$6:$T$823,4,0),"")</f>
        <v/>
      </c>
      <c r="F78" s="115" t="s">
        <v>1471</v>
      </c>
      <c r="G78" s="86" t="str">
        <f>IFERROR(VLOOKUP(B78,'02. MM-KLH'!$B$6:$T$823,6,0),"")</f>
        <v>Máy ủi KOMATSU D65PX-12</v>
      </c>
      <c r="H78" s="80" t="s">
        <v>1426</v>
      </c>
      <c r="I78" s="80" t="str">
        <f>IFERROR(VLOOKUP(B78,'02. MM-KLH'!$B$6:$T$823,8,0),"")</f>
        <v>CGTC AD</v>
      </c>
      <c r="J78" s="99">
        <f>IFERROR(VLOOKUP(B78,'02. MM-KLH'!$B$6:$T$823,9,0),"")</f>
        <v>43841</v>
      </c>
      <c r="K78" s="80" t="str">
        <f>IFERROR(VLOOKUP(B78,'02. MM-KLH'!$B$6:$T$823,10,0),"")</f>
        <v>Bình thường</v>
      </c>
      <c r="L78" s="102">
        <f>IFERROR(VLOOKUP(B78,'02. MM-KLH'!$B$6:$T$823,11,0),"")</f>
        <v>0.66</v>
      </c>
      <c r="M78" s="143" t="str">
        <f>IFERROR(VLOOKUP(B78,'02. MM-KLH'!$B$6:$T$823,12,0),"")</f>
        <v/>
      </c>
      <c r="N78" s="108" t="str">
        <f>IFERROR(VLOOKUP(B78,'02. MM-KLH'!$B$6:$T$823,13,0),"")</f>
        <v>KOMATSU</v>
      </c>
      <c r="O78" s="108" t="str">
        <f>IFERROR(VLOOKUP(B78,'02. MM-KLH'!$B$6:$T$823,14,0),"")</f>
        <v>NHẬT BẢN</v>
      </c>
      <c r="P78" s="80">
        <f>IFERROR(VLOOKUP(B78,'02. MM-KLH'!$B$6:$T$823,15,0),"")</f>
        <v>1996</v>
      </c>
      <c r="Q78" s="80" t="str">
        <f>IFERROR(VLOOKUP(B78,'02. MM-KLH'!$B$6:$T$823,16,0),"")</f>
        <v>D65PX-12E</v>
      </c>
      <c r="R78" s="106" t="str">
        <f>IFERROR(VLOOKUP(B78,'02. MM-KLH'!$B$6:$T$823,17,0),"")</f>
        <v>205HP</v>
      </c>
      <c r="S78" s="108" t="str">
        <f>IFERROR(VLOOKUP(B78,'02. MM-KLH'!$B$6:$T$823,18,0),"")</f>
        <v>D60P1261177</v>
      </c>
      <c r="T78" s="110" t="str">
        <f>IFERROR(VLOOKUP(B78,'02. MM-KLH'!$B$6:$T$823,19,0),"")</f>
        <v>6D12564712</v>
      </c>
      <c r="U78" s="130" t="s">
        <v>79</v>
      </c>
    </row>
    <row r="79" ht="27.75" customHeight="1">
      <c r="A79" s="95">
        <f t="shared" si="3"/>
        <v>14</v>
      </c>
      <c r="B79" s="113" t="s">
        <v>138</v>
      </c>
      <c r="C79" s="113" t="str">
        <f>IFERROR(VLOOKUP(B79,'02. MM-KLH'!$B$6:$T$823,2,0),"")</f>
        <v>MỚI (ĐQSD)</v>
      </c>
      <c r="D79" s="95" t="str">
        <f>IFERROR(VLOOKUP(B79,'02. MM-KLH'!$B$6:$T$823,3,0),"")</f>
        <v>A23-MUI-013</v>
      </c>
      <c r="E79" s="86" t="str">
        <f>IFERROR(VLOOKUP(B79,'02. MM-KLH'!$B$6:$T$823,4,0),"")</f>
        <v/>
      </c>
      <c r="F79" s="115" t="s">
        <v>1487</v>
      </c>
      <c r="G79" s="86" t="str">
        <f>IFERROR(VLOOKUP(B79,'02. MM-KLH'!$B$6:$T$823,6,0),"")</f>
        <v>Máy ủi KOMATSU D60P-12E</v>
      </c>
      <c r="H79" s="80" t="s">
        <v>1489</v>
      </c>
      <c r="I79" s="80" t="str">
        <f>IFERROR(VLOOKUP(B79,'02. MM-KLH'!$B$6:$T$823,8,0),"")</f>
        <v>CGTC DP</v>
      </c>
      <c r="J79" s="99" t="str">
        <f>IFERROR(VLOOKUP(B79,'02. MM-KLH'!$B$6:$T$823,9,0),"")</f>
        <v>28/05/2025</v>
      </c>
      <c r="K79" s="80" t="str">
        <f>IFERROR(VLOOKUP(B79,'02. MM-KLH'!$B$6:$T$823,10,0),"")</f>
        <v>Bình thường</v>
      </c>
      <c r="L79" s="102" t="str">
        <f>IFERROR(VLOOKUP(B79,'02. MM-KLH'!$B$6:$T$823,11,0),"")</f>
        <v/>
      </c>
      <c r="M79" s="143" t="str">
        <f>IFERROR(VLOOKUP(B79,'02. MM-KLH'!$B$6:$T$823,12,0),"")</f>
        <v>Đầu tư mới  ĐQSD (Tài sản DP)
- Bàn giao về CGTC ADM theo TTr số 04-T05/2025/B.XDCB</v>
      </c>
      <c r="N79" s="108" t="str">
        <f>IFERROR(VLOOKUP(B79,'02. MM-KLH'!$B$6:$T$823,13,0),"")</f>
        <v>KOMATSU</v>
      </c>
      <c r="O79" s="108" t="str">
        <f>IFERROR(VLOOKUP(B79,'02. MM-KLH'!$B$6:$T$823,14,0),"")</f>
        <v>NHẬT BẢN</v>
      </c>
      <c r="P79" s="80">
        <f>IFERROR(VLOOKUP(B79,'02. MM-KLH'!$B$6:$T$823,15,0),"")</f>
        <v>1994</v>
      </c>
      <c r="Q79" s="80" t="str">
        <f>IFERROR(VLOOKUP(B79,'02. MM-KLH'!$B$6:$T$823,16,0),"")</f>
        <v>D60P-12E</v>
      </c>
      <c r="R79" s="106" t="str">
        <f>IFERROR(VLOOKUP(B79,'02. MM-KLH'!$B$6:$T$823,17,0),"")</f>
        <v>190HP</v>
      </c>
      <c r="S79" s="108" t="str">
        <f>IFERROR(VLOOKUP(B79,'02. MM-KLH'!$B$6:$T$823,18,0),"")</f>
        <v>D60P1260928</v>
      </c>
      <c r="T79" s="110" t="str">
        <f>IFERROR(VLOOKUP(B79,'02. MM-KLH'!$B$6:$T$823,19,0),"")</f>
        <v>6D12562174</v>
      </c>
      <c r="U79" s="130" t="s">
        <v>235</v>
      </c>
    </row>
    <row r="80" ht="33.75" customHeight="1">
      <c r="A80" s="95">
        <f t="shared" si="3"/>
        <v>15</v>
      </c>
      <c r="B80" s="115" t="s">
        <v>542</v>
      </c>
      <c r="C80" s="113" t="str">
        <f>IFERROR(VLOOKUP(B80,'02. MM-KLH'!$B$6:$T$823,2,0),"")</f>
        <v>XB1-MUI-001</v>
      </c>
      <c r="D80" s="95" t="str">
        <f>IFERROR(VLOOKUP(B80,'02. MM-KLH'!$B$6:$T$823,3,0),"")</f>
        <v>A23-MUI-014</v>
      </c>
      <c r="E80" s="86" t="str">
        <f>IFERROR(VLOOKUP(B80,'02. MM-KLH'!$B$6:$T$823,4,0),"")</f>
        <v/>
      </c>
      <c r="F80" s="115" t="s">
        <v>1501</v>
      </c>
      <c r="G80" s="86" t="str">
        <f>IFERROR(VLOOKUP(B80,'02. MM-KLH'!$B$6:$T$823,6,0),"")</f>
        <v>Máy ủi KOMATSU D61</v>
      </c>
      <c r="H80" s="80" t="s">
        <v>1502</v>
      </c>
      <c r="I80" s="80" t="str">
        <f>IFERROR(VLOOKUP(B80,'02. MM-KLH'!$B$6:$T$823,8,0),"")</f>
        <v>CGTC AD</v>
      </c>
      <c r="J80" s="99" t="str">
        <f>IFERROR(VLOOKUP(B80,'02. MM-KLH'!$B$6:$T$823,9,0),"")</f>
        <v>20/07/2026</v>
      </c>
      <c r="K80" s="80" t="str">
        <f>IFERROR(VLOOKUP(B80,'02. MM-KLH'!$B$6:$T$823,10,0),"")</f>
        <v>Bình thường</v>
      </c>
      <c r="L80" s="102" t="str">
        <f>IFERROR(VLOOKUP(B80,'02. MM-KLH'!$B$6:$T$823,11,0),"")</f>
        <v/>
      </c>
      <c r="M80" s="143" t="str">
        <f>IFERROR(VLOOKUP(B80,'02. MM-KLH'!$B$6:$T$823,12,0),"")</f>
        <v>- Dự án dứa chuyển qua XNB 
- 20/07/2026 XNB điều  chuyển lại cho CGTC phục vụ dự án dứa</v>
      </c>
      <c r="N80" s="108" t="str">
        <f>IFERROR(VLOOKUP(B80,'02. MM-KLH'!$B$6:$T$823,13,0),"")</f>
        <v>KOMATSU</v>
      </c>
      <c r="O80" s="108" t="str">
        <f>IFERROR(VLOOKUP(B80,'02. MM-KLH'!$B$6:$T$823,14,0),"")</f>
        <v>Nhật Bản</v>
      </c>
      <c r="P80" s="80">
        <f>IFERROR(VLOOKUP(B80,'02. MM-KLH'!$B$6:$T$823,15,0),"")</f>
        <v>2006</v>
      </c>
      <c r="Q80" s="80" t="str">
        <f>IFERROR(VLOOKUP(B80,'02. MM-KLH'!$B$6:$T$823,16,0),"")</f>
        <v>D61PX-15</v>
      </c>
      <c r="R80" s="106" t="str">
        <f>IFERROR(VLOOKUP(B80,'02. MM-KLH'!$B$6:$T$823,17,0),"")</f>
        <v>155HP</v>
      </c>
      <c r="S80" s="108" t="str">
        <f>IFERROR(VLOOKUP(B80,'02. MM-KLH'!$B$6:$T$823,18,0),"")</f>
        <v>KMT0D063H51B40955</v>
      </c>
      <c r="T80" s="110">
        <f>IFERROR(VLOOKUP(B80,'02. MM-KLH'!$B$6:$T$823,19,0),"")</f>
        <v>30559211</v>
      </c>
      <c r="U80" s="130" t="s">
        <v>235</v>
      </c>
    </row>
    <row r="81" ht="13.5" customHeight="1">
      <c r="A81" s="95"/>
      <c r="B81" s="115"/>
      <c r="C81" s="113" t="str">
        <f>IFERROR(VLOOKUP(B81,'02. MM-KLH'!$B$6:$T$823,2,0),"")</f>
        <v/>
      </c>
      <c r="D81" s="95" t="str">
        <f>IFERROR(VLOOKUP(B81,'02. MM-KLH'!$B$6:$T$823,3,0),"")</f>
        <v/>
      </c>
      <c r="E81" s="86" t="str">
        <f>IFERROR(VLOOKUP(B81,'02. MM-KLH'!$B$6:$T$823,4,0),"")</f>
        <v/>
      </c>
      <c r="F81" s="115" t="s">
        <v>1501</v>
      </c>
      <c r="G81" s="86" t="str">
        <f>IFERROR(VLOOKUP(B81,'02. MM-KLH'!$B$6:$T$823,6,0),"")</f>
        <v/>
      </c>
      <c r="H81" s="80" t="s">
        <v>1502</v>
      </c>
      <c r="I81" s="80" t="str">
        <f>IFERROR(VLOOKUP(B81,'02. MM-KLH'!$B$6:$T$823,8,0),"")</f>
        <v/>
      </c>
      <c r="J81" s="99" t="str">
        <f>IFERROR(VLOOKUP(B81,'02. MM-KLH'!$B$6:$T$823,9,0),"")</f>
        <v/>
      </c>
      <c r="K81" s="80" t="str">
        <f>IFERROR(VLOOKUP(B81,'02. MM-KLH'!$B$6:$T$823,10,0),"")</f>
        <v/>
      </c>
      <c r="L81" s="102" t="str">
        <f>IFERROR(VLOOKUP(B81,'02. MM-KLH'!$B$6:$T$823,11,0),"")</f>
        <v/>
      </c>
      <c r="M81" s="143" t="str">
        <f>IFERROR(VLOOKUP(B81,'02. MM-KLH'!$B$6:$T$823,12,0),"")</f>
        <v/>
      </c>
      <c r="N81" s="108" t="str">
        <f>IFERROR(VLOOKUP(B81,'02. MM-KLH'!$B$6:$T$823,13,0),"")</f>
        <v/>
      </c>
      <c r="O81" s="108" t="str">
        <f>IFERROR(VLOOKUP(B81,'02. MM-KLH'!$B$6:$T$823,14,0),"")</f>
        <v/>
      </c>
      <c r="P81" s="80" t="str">
        <f>IFERROR(VLOOKUP(B81,'02. MM-KLH'!$B$6:$T$823,15,0),"")</f>
        <v/>
      </c>
      <c r="Q81" s="80" t="str">
        <f>IFERROR(VLOOKUP(B81,'02. MM-KLH'!$B$6:$T$823,16,0),"")</f>
        <v/>
      </c>
      <c r="R81" s="106" t="str">
        <f>IFERROR(VLOOKUP(B81,'02. MM-KLH'!$B$6:$T$823,17,0),"")</f>
        <v/>
      </c>
      <c r="S81" s="108" t="str">
        <f>IFERROR(VLOOKUP(B81,'02. MM-KLH'!$B$6:$T$823,18,0),"")</f>
        <v/>
      </c>
      <c r="T81" s="110" t="str">
        <f>IFERROR(VLOOKUP(B81,'02. MM-KLH'!$B$6:$T$823,19,0),"")</f>
        <v/>
      </c>
      <c r="U81" s="130"/>
    </row>
    <row r="82">
      <c r="B82" s="169"/>
      <c r="D82" s="95" t="str">
        <f>IFERROR(VLOOKUP(B82,'02. MM-KLH'!$B$6:$T$823,3,0),"")</f>
        <v/>
      </c>
      <c r="E82" s="86" t="str">
        <f>IFERROR(VLOOKUP(B82,'02. MM-KLH'!$B$6:$T$823,4,0),"")</f>
        <v/>
      </c>
      <c r="G82" s="86" t="str">
        <f>IFERROR(VLOOKUP(B82,'02. MM-KLH'!$B$6:$T$823,6,0),"")</f>
        <v/>
      </c>
      <c r="I82" s="80" t="str">
        <f>IFERROR(VLOOKUP(B82,'02. MM-KLH'!$B$6:$T$823,8,0),"")</f>
        <v/>
      </c>
      <c r="J82" s="99" t="str">
        <f>IFERROR(VLOOKUP(B82,'02. MM-KLH'!$B$6:$T$823,9,0),"")</f>
        <v/>
      </c>
      <c r="K82" s="80" t="str">
        <f>IFERROR(VLOOKUP(B82,'02. MM-KLH'!$B$6:$T$823,10,0),"")</f>
        <v/>
      </c>
      <c r="L82" s="102" t="str">
        <f>IFERROR(VLOOKUP(B82,'02. MM-KLH'!$B$6:$T$823,11,0),"")</f>
        <v/>
      </c>
      <c r="M82" s="143" t="str">
        <f>IFERROR(VLOOKUP(B82,'02. MM-KLH'!$B$6:$T$823,12,0),"")</f>
        <v/>
      </c>
      <c r="N82" s="108" t="str">
        <f>IFERROR(VLOOKUP(B82,'02. MM-KLH'!$B$6:$T$823,13,0),"")</f>
        <v/>
      </c>
      <c r="O82" s="108" t="str">
        <f>IFERROR(VLOOKUP(B82,'02. MM-KLH'!$B$6:$T$823,14,0),"")</f>
        <v/>
      </c>
      <c r="P82" s="80" t="str">
        <f>IFERROR(VLOOKUP(B82,'02. MM-KLH'!$B$6:$T$823,15,0),"")</f>
        <v/>
      </c>
      <c r="Q82" s="80" t="str">
        <f>IFERROR(VLOOKUP(B82,'02. MM-KLH'!$B$6:$T$823,16,0),"")</f>
        <v/>
      </c>
      <c r="R82" s="106" t="str">
        <f>IFERROR(VLOOKUP(B82,'02. MM-KLH'!$B$6:$T$823,17,0),"")</f>
        <v/>
      </c>
      <c r="S82" s="108" t="str">
        <f>IFERROR(VLOOKUP(B82,'02. MM-KLH'!$B$6:$T$823,18,0),"")</f>
        <v/>
      </c>
      <c r="T82" s="110" t="str">
        <f>IFERROR(VLOOKUP(B82,'02. MM-KLH'!$B$6:$T$823,19,0),"")</f>
        <v/>
      </c>
      <c r="U82" s="110" t="str">
        <f>IFERROR(VLOOKUP(C82,'02. MM-KLH'!$B$6:$T$823,19,0),"")</f>
        <v/>
      </c>
    </row>
    <row r="83" ht="13.5" customHeight="1">
      <c r="A83" s="82" t="s">
        <v>76</v>
      </c>
      <c r="B83" s="83" t="s">
        <v>1552</v>
      </c>
      <c r="C83" s="85">
        <f>COUNTA(B84:B95)</f>
        <v>11</v>
      </c>
      <c r="D83" s="85" t="str">
        <f>IFERROR(VLOOKUP(B83,'02. MM-KLH'!$B$6:$T$823,3,0),"")</f>
        <v/>
      </c>
      <c r="E83" s="85" t="str">
        <f>IFERROR(VLOOKUP(B83,'02. MM-KLH'!$B$6:$T$823,4,0),"")</f>
        <v/>
      </c>
      <c r="F83" s="85"/>
      <c r="G83" s="85" t="str">
        <f>IFERROR(VLOOKUP(B83,'02. MM-KLH'!$B$6:$T$823,6,0),"")</f>
        <v/>
      </c>
      <c r="H83" s="85"/>
      <c r="I83" s="85" t="str">
        <f>IFERROR(VLOOKUP(B83,'02. MM-KLH'!$B$6:$T$823,8,0),"")</f>
        <v/>
      </c>
      <c r="J83" s="85" t="str">
        <f>IFERROR(VLOOKUP(B83,'02. MM-KLH'!$B$6:$T$823,9,0),"")</f>
        <v/>
      </c>
      <c r="K83" s="85" t="str">
        <f>IFERROR(VLOOKUP(B83,'02. MM-KLH'!$B$6:$T$823,10,0),"")</f>
        <v/>
      </c>
      <c r="L83" s="85" t="str">
        <f>IFERROR(VLOOKUP(B83,'02. MM-KLH'!$B$6:$T$823,11,0),"")</f>
        <v/>
      </c>
      <c r="M83" s="85" t="str">
        <f>IFERROR(VLOOKUP(B83,'02. MM-KLH'!$B$6:$T$823,12,0),"")</f>
        <v/>
      </c>
      <c r="N83" s="85" t="str">
        <f>IFERROR(VLOOKUP(B83,'02. MM-KLH'!$B$6:$T$823,13,0),"")</f>
        <v/>
      </c>
      <c r="O83" s="85" t="str">
        <f>IFERROR(VLOOKUP(B83,'02. MM-KLH'!$B$6:$T$823,14,0),"")</f>
        <v/>
      </c>
      <c r="P83" s="85" t="str">
        <f>IFERROR(VLOOKUP(B83,'02. MM-KLH'!$B$6:$T$823,15,0),"")</f>
        <v/>
      </c>
      <c r="Q83" s="85" t="str">
        <f>IFERROR(VLOOKUP(B83,'02. MM-KLH'!$B$6:$T$823,16,0),"")</f>
        <v/>
      </c>
      <c r="R83" s="85" t="str">
        <f>IFERROR(VLOOKUP(B83,'02. MM-KLH'!$B$6:$T$823,17,0),"")</f>
        <v/>
      </c>
      <c r="S83" s="85" t="str">
        <f>IFERROR(VLOOKUP(B83,'02. MM-KLH'!$B$6:$T$823,18,0),"")</f>
        <v/>
      </c>
      <c r="T83" s="85" t="str">
        <f>IFERROR(VLOOKUP(B83,'02. MM-KLH'!$B$6:$T$823,19,0),"")</f>
        <v/>
      </c>
      <c r="U83" s="85" t="str">
        <f>IFERROR(VLOOKUP(C83,'02. MM-KLH'!$B$6:$T$823,19,0),"")</f>
        <v/>
      </c>
    </row>
    <row r="84" ht="13.5" customHeight="1">
      <c r="A84" s="95">
        <v>1.0</v>
      </c>
      <c r="B84" s="113" t="s">
        <v>185</v>
      </c>
      <c r="C84" s="84" t="str">
        <f>IFERROR(VLOOKUP(B84,'02. MM-KLH'!$B$6:$T$823,2,0),"")</f>
        <v/>
      </c>
      <c r="D84" s="95" t="str">
        <f>IFERROR(VLOOKUP(B84,'02. MM-KLH'!$B$6:$T$823,3,0),"")</f>
        <v>ATT-A23-0026</v>
      </c>
      <c r="E84" s="86" t="str">
        <f>IFERROR(VLOOKUP(B84,'02. MM-KLH'!$B$6:$T$823,4,0),"")</f>
        <v/>
      </c>
      <c r="F84" s="115" t="s">
        <v>1573</v>
      </c>
      <c r="G84" s="86" t="str">
        <f>IFERROR(VLOOKUP(B84,'02. MM-KLH'!$B$6:$T$823,6,0),"")</f>
        <v>Xe lu rung SV521DH 11 tấn</v>
      </c>
      <c r="H84" s="80" t="s">
        <v>1575</v>
      </c>
      <c r="I84" s="80" t="str">
        <f>IFERROR(VLOOKUP(B84,'02. MM-KLH'!$B$6:$T$823,8,0),"")</f>
        <v>CGTC DP</v>
      </c>
      <c r="J84" s="99">
        <f>IFERROR(VLOOKUP(B84,'02. MM-KLH'!$B$6:$T$823,9,0),"")</f>
        <v>43835</v>
      </c>
      <c r="K84" s="80" t="str">
        <f>IFERROR(VLOOKUP(B84,'02. MM-KLH'!$B$6:$T$823,10,0),"")</f>
        <v>Bình thường</v>
      </c>
      <c r="L84" s="102">
        <f>IFERROR(VLOOKUP(B84,'02. MM-KLH'!$B$6:$T$823,11,0),"")</f>
        <v>0.67</v>
      </c>
      <c r="M84" s="143" t="str">
        <f>IFERROR(VLOOKUP(B84,'02. MM-KLH'!$B$6:$T$823,12,0),"")</f>
        <v/>
      </c>
      <c r="N84" s="108" t="str">
        <f>IFERROR(VLOOKUP(B84,'02. MM-KLH'!$B$6:$T$823,13,0),"")</f>
        <v>SAKAI</v>
      </c>
      <c r="O84" s="108" t="str">
        <f>IFERROR(VLOOKUP(B84,'02. MM-KLH'!$B$6:$T$823,14,0),"")</f>
        <v>NHẬT BẢN</v>
      </c>
      <c r="P84" s="80">
        <f>IFERROR(VLOOKUP(B84,'02. MM-KLH'!$B$6:$T$823,15,0),"")</f>
        <v>2006</v>
      </c>
      <c r="Q84" s="80" t="str">
        <f>IFERROR(VLOOKUP(B84,'02. MM-KLH'!$B$6:$T$823,16,0),"")</f>
        <v>SV521DH</v>
      </c>
      <c r="R84" s="106" t="str">
        <f>IFERROR(VLOOKUP(B84,'02. MM-KLH'!$B$6:$T$823,17,0),"")</f>
        <v>112HP</v>
      </c>
      <c r="S84" s="108" t="str">
        <f>IFERROR(VLOOKUP(B84,'02. MM-KLH'!$B$6:$T$823,18,0),"")</f>
        <v>2SV6610202</v>
      </c>
      <c r="T84" s="110" t="str">
        <f>IFERROR(VLOOKUP(B84,'02. MM-KLH'!$B$6:$T$823,19,0),"")</f>
        <v>CCN</v>
      </c>
      <c r="U84" s="130" t="s">
        <v>79</v>
      </c>
    </row>
    <row r="85" ht="13.5" customHeight="1">
      <c r="A85" s="95">
        <f t="shared" ref="A85:A94" si="4">A84+1</f>
        <v>2</v>
      </c>
      <c r="B85" s="113" t="s">
        <v>399</v>
      </c>
      <c r="C85" s="84" t="str">
        <f>IFERROR(VLOOKUP(B85,'02. MM-KLH'!$B$6:$T$823,2,0),"")</f>
        <v>XL 03 HT-KLH</v>
      </c>
      <c r="D85" s="95" t="str">
        <f>IFERROR(VLOOKUP(B85,'02. MM-KLH'!$B$6:$T$823,3,0),"")</f>
        <v>ATT-A24-0057</v>
      </c>
      <c r="E85" s="86" t="str">
        <f>IFERROR(VLOOKUP(B85,'02. MM-KLH'!$B$6:$T$823,4,0),"")</f>
        <v/>
      </c>
      <c r="F85" s="115" t="s">
        <v>1589</v>
      </c>
      <c r="G85" s="86" t="str">
        <f>IFERROR(VLOOKUP(B85,'02. MM-KLH'!$B$6:$T$823,6,0),"")</f>
        <v>Xe lu rung SV521DH 11 tấn</v>
      </c>
      <c r="H85" s="80" t="s">
        <v>1575</v>
      </c>
      <c r="I85" s="80" t="str">
        <f>IFERROR(VLOOKUP(B85,'02. MM-KLH'!$B$6:$T$823,8,0),"")</f>
        <v>CGTC LP</v>
      </c>
      <c r="J85" s="99">
        <f>IFERROR(VLOOKUP(B85,'02. MM-KLH'!$B$6:$T$823,9,0),"")</f>
        <v>44197</v>
      </c>
      <c r="K85" s="80" t="str">
        <f>IFERROR(VLOOKUP(B85,'02. MM-KLH'!$B$6:$T$823,10,0),"")</f>
        <v>Bình thường</v>
      </c>
      <c r="L85" s="102">
        <f>IFERROR(VLOOKUP(B85,'02. MM-KLH'!$B$6:$T$823,11,0),"")</f>
        <v>0.6</v>
      </c>
      <c r="M85" s="143" t="str">
        <f>IFERROR(VLOOKUP(B85,'02. MM-KLH'!$B$6:$T$823,12,0),"")</f>
        <v/>
      </c>
      <c r="N85" s="108" t="str">
        <f>IFERROR(VLOOKUP(B85,'02. MM-KLH'!$B$6:$T$823,13,0),"")</f>
        <v>SAKAI</v>
      </c>
      <c r="O85" s="108" t="str">
        <f>IFERROR(VLOOKUP(B85,'02. MM-KLH'!$B$6:$T$823,14,0),"")</f>
        <v>NHẬT BẢN</v>
      </c>
      <c r="P85" s="80">
        <f>IFERROR(VLOOKUP(B85,'02. MM-KLH'!$B$6:$T$823,15,0),"")</f>
        <v>2020</v>
      </c>
      <c r="Q85" s="80" t="str">
        <f>IFERROR(VLOOKUP(B85,'02. MM-KLH'!$B$6:$T$823,16,0),"")</f>
        <v>SV521DH</v>
      </c>
      <c r="R85" s="106" t="str">
        <f>IFERROR(VLOOKUP(B85,'02. MM-KLH'!$B$6:$T$823,17,0),"")</f>
        <v>112HP</v>
      </c>
      <c r="S85" s="108" t="str">
        <f>IFERROR(VLOOKUP(B85,'02. MM-KLH'!$B$6:$T$823,18,0),"")</f>
        <v>2SV6610477</v>
      </c>
      <c r="T85" s="110">
        <f>IFERROR(VLOOKUP(B85,'02. MM-KLH'!$B$6:$T$823,19,0),"")</f>
        <v>133243</v>
      </c>
      <c r="U85" s="130" t="s">
        <v>79</v>
      </c>
    </row>
    <row r="86" ht="13.5" customHeight="1">
      <c r="A86" s="95">
        <f t="shared" si="4"/>
        <v>3</v>
      </c>
      <c r="B86" s="113" t="s">
        <v>555</v>
      </c>
      <c r="C86" s="84" t="str">
        <f>IFERROR(VLOOKUP(B86,'02. MM-KLH'!$B$6:$T$823,2,0),"")</f>
        <v>CHT-XLU-007</v>
      </c>
      <c r="D86" s="95" t="str">
        <f>IFERROR(VLOOKUP(B86,'02. MM-KLH'!$B$6:$T$823,3,0),"")</f>
        <v>ATM-A22-0090</v>
      </c>
      <c r="E86" s="86" t="str">
        <f>IFERROR(VLOOKUP(B86,'02. MM-KLH'!$B$6:$T$823,4,0),"")</f>
        <v/>
      </c>
      <c r="F86" s="115" t="s">
        <v>1604</v>
      </c>
      <c r="G86" s="86" t="str">
        <f>IFERROR(VLOOKUP(B86,'02. MM-KLH'!$B$6:$T$823,6,0),"")</f>
        <v>Xe lu rung SV521DH 11 tấn</v>
      </c>
      <c r="H86" s="80" t="s">
        <v>1575</v>
      </c>
      <c r="I86" s="80" t="str">
        <f>IFERROR(VLOOKUP(B86,'02. MM-KLH'!$B$6:$T$823,8,0),"")</f>
        <v>CGTC AD</v>
      </c>
      <c r="J86" s="99">
        <f>IFERROR(VLOOKUP(B86,'02. MM-KLH'!$B$6:$T$823,9,0),"")</f>
        <v>44287</v>
      </c>
      <c r="K86" s="80" t="str">
        <f>IFERROR(VLOOKUP(B86,'02. MM-KLH'!$B$6:$T$823,10,0),"")</f>
        <v>Bình thường</v>
      </c>
      <c r="L86" s="102">
        <f>IFERROR(VLOOKUP(B86,'02. MM-KLH'!$B$6:$T$823,11,0),"")</f>
        <v>0.7</v>
      </c>
      <c r="M86" s="143" t="str">
        <f>IFERROR(VLOOKUP(B86,'02. MM-KLH'!$B$6:$T$823,12,0),"")</f>
        <v/>
      </c>
      <c r="N86" s="108" t="str">
        <f>IFERROR(VLOOKUP(B86,'02. MM-KLH'!$B$6:$T$823,13,0),"")</f>
        <v>SAKAI</v>
      </c>
      <c r="O86" s="108" t="str">
        <f>IFERROR(VLOOKUP(B86,'02. MM-KLH'!$B$6:$T$823,14,0),"")</f>
        <v>NHẬT BẢN</v>
      </c>
      <c r="P86" s="80">
        <f>IFERROR(VLOOKUP(B86,'02. MM-KLH'!$B$6:$T$823,15,0),"")</f>
        <v>2020</v>
      </c>
      <c r="Q86" s="80" t="str">
        <f>IFERROR(VLOOKUP(B86,'02. MM-KLH'!$B$6:$T$823,16,0),"")</f>
        <v>SV521DH</v>
      </c>
      <c r="R86" s="106" t="str">
        <f>IFERROR(VLOOKUP(B86,'02. MM-KLH'!$B$6:$T$823,17,0),"")</f>
        <v>113HP</v>
      </c>
      <c r="S86" s="108" t="str">
        <f>IFERROR(VLOOKUP(B86,'02. MM-KLH'!$B$6:$T$823,18,0),"")</f>
        <v>2SV6610527</v>
      </c>
      <c r="T86" s="110">
        <f>IFERROR(VLOOKUP(B86,'02. MM-KLH'!$B$6:$T$823,19,0),"")</f>
        <v>133945</v>
      </c>
      <c r="U86" s="130" t="s">
        <v>79</v>
      </c>
    </row>
    <row r="87" ht="13.5" customHeight="1">
      <c r="A87" s="95">
        <f t="shared" si="4"/>
        <v>4</v>
      </c>
      <c r="B87" s="113" t="s">
        <v>402</v>
      </c>
      <c r="C87" s="84" t="str">
        <f>IFERROR(VLOOKUP(B87,'02. MM-KLH'!$B$6:$T$823,2,0),"")</f>
        <v>XL 04 HT-KLH</v>
      </c>
      <c r="D87" s="95" t="str">
        <f>IFERROR(VLOOKUP(B87,'02. MM-KLH'!$B$6:$T$823,3,0),"")</f>
        <v>ATT-A24-0058</v>
      </c>
      <c r="E87" s="86" t="str">
        <f>IFERROR(VLOOKUP(B87,'02. MM-KLH'!$B$6:$T$823,4,0),"")</f>
        <v/>
      </c>
      <c r="F87" s="115" t="s">
        <v>1629</v>
      </c>
      <c r="G87" s="86" t="str">
        <f>IFERROR(VLOOKUP(B87,'02. MM-KLH'!$B$6:$T$823,6,0),"")</f>
        <v>Xe lu tĩnh R2 10 tấn</v>
      </c>
      <c r="H87" s="80" t="s">
        <v>1575</v>
      </c>
      <c r="I87" s="80" t="str">
        <f>IFERROR(VLOOKUP(B87,'02. MM-KLH'!$B$6:$T$823,8,0),"")</f>
        <v>CGTC LP</v>
      </c>
      <c r="J87" s="99">
        <f>IFERROR(VLOOKUP(B87,'02. MM-KLH'!$B$6:$T$823,9,0),"")</f>
        <v>44197</v>
      </c>
      <c r="K87" s="80" t="str">
        <f>IFERROR(VLOOKUP(B87,'02. MM-KLH'!$B$6:$T$823,10,0),"")</f>
        <v>Bình thường</v>
      </c>
      <c r="L87" s="102">
        <f>IFERROR(VLOOKUP(B87,'02. MM-KLH'!$B$6:$T$823,11,0),"")</f>
        <v>0.6</v>
      </c>
      <c r="M87" s="143" t="str">
        <f>IFERROR(VLOOKUP(B87,'02. MM-KLH'!$B$6:$T$823,12,0),"")</f>
        <v/>
      </c>
      <c r="N87" s="108" t="str">
        <f>IFERROR(VLOOKUP(B87,'02. MM-KLH'!$B$6:$T$823,13,0),"")</f>
        <v>SAKAI</v>
      </c>
      <c r="O87" s="108" t="str">
        <f>IFERROR(VLOOKUP(B87,'02. MM-KLH'!$B$6:$T$823,14,0),"")</f>
        <v>NHẬT BẢN</v>
      </c>
      <c r="P87" s="80">
        <f>IFERROR(VLOOKUP(B87,'02. MM-KLH'!$B$6:$T$823,15,0),"")</f>
        <v>2000</v>
      </c>
      <c r="Q87" s="80" t="str">
        <f>IFERROR(VLOOKUP(B87,'02. MM-KLH'!$B$6:$T$823,16,0),"")</f>
        <v>R2</v>
      </c>
      <c r="R87" s="106" t="str">
        <f>IFERROR(VLOOKUP(B87,'02. MM-KLH'!$B$6:$T$823,17,0),"")</f>
        <v>74HP</v>
      </c>
      <c r="S87" s="108" t="str">
        <f>IFERROR(VLOOKUP(B87,'02. MM-KLH'!$B$6:$T$823,18,0),"")</f>
        <v>RR321551</v>
      </c>
      <c r="T87" s="110" t="str">
        <f>IFERROR(VLOOKUP(B87,'02. MM-KLH'!$B$6:$T$823,19,0),"")</f>
        <v>W04DF15218</v>
      </c>
      <c r="U87" s="130" t="s">
        <v>79</v>
      </c>
    </row>
    <row r="88" ht="13.5" customHeight="1">
      <c r="A88" s="95">
        <f t="shared" si="4"/>
        <v>5</v>
      </c>
      <c r="B88" s="113" t="s">
        <v>191</v>
      </c>
      <c r="C88" s="84" t="str">
        <f>IFERROR(VLOOKUP(B88,'02. MM-KLH'!$B$6:$T$823,2,0),"")</f>
        <v/>
      </c>
      <c r="D88" s="95" t="str">
        <f>IFERROR(VLOOKUP(B88,'02. MM-KLH'!$B$6:$T$823,3,0),"")</f>
        <v>ATT-A22-0153</v>
      </c>
      <c r="E88" s="86" t="str">
        <f>IFERROR(VLOOKUP(B88,'02. MM-KLH'!$B$6:$T$823,4,0),"")</f>
        <v/>
      </c>
      <c r="F88" s="115" t="s">
        <v>1646</v>
      </c>
      <c r="G88" s="86" t="str">
        <f>IFERROR(VLOOKUP(B88,'02. MM-KLH'!$B$6:$T$823,6,0),"")</f>
        <v>Xe lu tĩnh R2 10 tấn</v>
      </c>
      <c r="H88" s="80" t="s">
        <v>1575</v>
      </c>
      <c r="I88" s="80" t="str">
        <f>IFERROR(VLOOKUP(B88,'02. MM-KLH'!$B$6:$T$823,8,0),"")</f>
        <v>CGTC DP</v>
      </c>
      <c r="J88" s="99">
        <f>IFERROR(VLOOKUP(B88,'02. MM-KLH'!$B$6:$T$823,9,0),"")</f>
        <v>44136</v>
      </c>
      <c r="K88" s="80" t="str">
        <f>IFERROR(VLOOKUP(B88,'02. MM-KLH'!$B$6:$T$823,10,0),"")</f>
        <v>Bình thường</v>
      </c>
      <c r="L88" s="102">
        <f>IFERROR(VLOOKUP(B88,'02. MM-KLH'!$B$6:$T$823,11,0),"")</f>
        <v>0.5</v>
      </c>
      <c r="M88" s="143" t="str">
        <f>IFERROR(VLOOKUP(B88,'02. MM-KLH'!$B$6:$T$823,12,0),"")</f>
        <v/>
      </c>
      <c r="N88" s="108" t="str">
        <f>IFERROR(VLOOKUP(B88,'02. MM-KLH'!$B$6:$T$823,13,0),"")</f>
        <v>SAKAI</v>
      </c>
      <c r="O88" s="108" t="str">
        <f>IFERROR(VLOOKUP(B88,'02. MM-KLH'!$B$6:$T$823,14,0),"")</f>
        <v>NHẬT BẢN</v>
      </c>
      <c r="P88" s="80">
        <f>IFERROR(VLOOKUP(B88,'02. MM-KLH'!$B$6:$T$823,15,0),"")</f>
        <v>1990</v>
      </c>
      <c r="Q88" s="80" t="str">
        <f>IFERROR(VLOOKUP(B88,'02. MM-KLH'!$B$6:$T$823,16,0),"")</f>
        <v>R2S</v>
      </c>
      <c r="R88" s="106" t="str">
        <f>IFERROR(VLOOKUP(B88,'02. MM-KLH'!$B$6:$T$823,17,0),"")</f>
        <v>74HP</v>
      </c>
      <c r="S88" s="108" t="str">
        <f>IFERROR(VLOOKUP(B88,'02. MM-KLH'!$B$6:$T$823,18,0),"")</f>
        <v>RR211446</v>
      </c>
      <c r="T88" s="110" t="str">
        <f>IFERROR(VLOOKUP(B88,'02. MM-KLH'!$B$6:$T$823,19,0),"")</f>
        <v>W04DA26254</v>
      </c>
      <c r="U88" s="130" t="s">
        <v>79</v>
      </c>
    </row>
    <row r="89" ht="13.5" customHeight="1">
      <c r="A89" s="95">
        <f t="shared" si="4"/>
        <v>6</v>
      </c>
      <c r="B89" s="113" t="s">
        <v>551</v>
      </c>
      <c r="C89" s="84" t="str">
        <f>IFERROR(VLOOKUP(B89,'02. MM-KLH'!$B$6:$T$823,2,0),"")</f>
        <v>CHT-XLU-006</v>
      </c>
      <c r="D89" s="95" t="str">
        <f>IFERROR(VLOOKUP(B89,'02. MM-KLH'!$B$6:$T$823,3,0),"")</f>
        <v>ATT-A22-0152</v>
      </c>
      <c r="E89" s="86" t="str">
        <f>IFERROR(VLOOKUP(B89,'02. MM-KLH'!$B$6:$T$823,4,0),"")</f>
        <v/>
      </c>
      <c r="F89" s="115" t="s">
        <v>1656</v>
      </c>
      <c r="G89" s="86" t="str">
        <f>IFERROR(VLOOKUP(B89,'02. MM-KLH'!$B$6:$T$823,6,0),"")</f>
        <v>Xe lu tĩnh R2 10 tấn</v>
      </c>
      <c r="H89" s="80" t="s">
        <v>1575</v>
      </c>
      <c r="I89" s="80" t="str">
        <f>IFERROR(VLOOKUP(B89,'02. MM-KLH'!$B$6:$T$823,8,0),"")</f>
        <v>CGTC AD</v>
      </c>
      <c r="J89" s="99">
        <f>IFERROR(VLOOKUP(B89,'02. MM-KLH'!$B$6:$T$823,9,0),"")</f>
        <v>44136</v>
      </c>
      <c r="K89" s="80" t="str">
        <f>IFERROR(VLOOKUP(B89,'02. MM-KLH'!$B$6:$T$823,10,0),"")</f>
        <v>Bình thường</v>
      </c>
      <c r="L89" s="102">
        <f>IFERROR(VLOOKUP(B89,'02. MM-KLH'!$B$6:$T$823,11,0),"")</f>
        <v>0.66</v>
      </c>
      <c r="M89" s="143" t="str">
        <f>IFERROR(VLOOKUP(B89,'02. MM-KLH'!$B$6:$T$823,12,0),"")</f>
        <v/>
      </c>
      <c r="N89" s="108" t="str">
        <f>IFERROR(VLOOKUP(B89,'02. MM-KLH'!$B$6:$T$823,13,0),"")</f>
        <v>SAKAI</v>
      </c>
      <c r="O89" s="108" t="str">
        <f>IFERROR(VLOOKUP(B89,'02. MM-KLH'!$B$6:$T$823,14,0),"")</f>
        <v>NHẬT BẢN</v>
      </c>
      <c r="P89" s="80">
        <f>IFERROR(VLOOKUP(B89,'02. MM-KLH'!$B$6:$T$823,15,0),"")</f>
        <v>1997</v>
      </c>
      <c r="Q89" s="80" t="str">
        <f>IFERROR(VLOOKUP(B89,'02. MM-KLH'!$B$6:$T$823,16,0),"")</f>
        <v>R2H</v>
      </c>
      <c r="R89" s="106" t="str">
        <f>IFERROR(VLOOKUP(B89,'02. MM-KLH'!$B$6:$T$823,17,0),"")</f>
        <v>74HP</v>
      </c>
      <c r="S89" s="108" t="str">
        <f>IFERROR(VLOOKUP(B89,'02. MM-KLH'!$B$6:$T$823,18,0),"")</f>
        <v>RR321002</v>
      </c>
      <c r="T89" s="110" t="str">
        <f>IFERROR(VLOOKUP(B89,'02. MM-KLH'!$B$6:$T$823,19,0),"")</f>
        <v>W04DF11156</v>
      </c>
      <c r="U89" s="130" t="s">
        <v>79</v>
      </c>
    </row>
    <row r="90" ht="30.75" customHeight="1">
      <c r="A90" s="95">
        <f t="shared" si="4"/>
        <v>7</v>
      </c>
      <c r="B90" s="134" t="s">
        <v>256</v>
      </c>
      <c r="C90" s="84" t="str">
        <f>IFERROR(VLOOKUP(B90,'02. MM-KLH'!$B$6:$T$823,2,0),"")</f>
        <v>MỚI (ĐQSD)</v>
      </c>
      <c r="D90" s="95" t="str">
        <f>IFERROR(VLOOKUP(B90,'02. MM-KLH'!$B$6:$T$823,3,0),"")</f>
        <v>A23-XLU-008</v>
      </c>
      <c r="E90" s="86" t="str">
        <f>IFERROR(VLOOKUP(B90,'02. MM-KLH'!$B$6:$T$823,4,0),"")</f>
        <v/>
      </c>
      <c r="F90" s="134"/>
      <c r="G90" s="86" t="str">
        <f>IFERROR(VLOOKUP(B90,'02. MM-KLH'!$B$6:$T$823,6,0),"")</f>
        <v>Xe lu rung DYNAPAC 5 tấn</v>
      </c>
      <c r="H90" s="80" t="s">
        <v>1667</v>
      </c>
      <c r="I90" s="80" t="str">
        <f>IFERROR(VLOOKUP(B90,'02. MM-KLH'!$B$6:$T$823,8,0),"")</f>
        <v>CGTC DP</v>
      </c>
      <c r="J90" s="99">
        <f>IFERROR(VLOOKUP(B90,'02. MM-KLH'!$B$6:$T$823,9,0),"")</f>
        <v>45330</v>
      </c>
      <c r="K90" s="80" t="str">
        <f>IFERROR(VLOOKUP(B90,'02. MM-KLH'!$B$6:$T$823,10,0),"")</f>
        <v>Bình thường</v>
      </c>
      <c r="L90" s="102" t="str">
        <f>IFERROR(VLOOKUP(B90,'02. MM-KLH'!$B$6:$T$823,11,0),"")</f>
        <v/>
      </c>
      <c r="M90" s="143" t="str">
        <f>IFERROR(VLOOKUP(B90,'02. MM-KLH'!$B$6:$T$823,12,0),"")</f>
        <v>Bàn giao về XDCB (DP1) ngày 02/08/2024 
XN DP1 bàn giao lại CGTC DP ngày 19/08/2025</v>
      </c>
      <c r="N90" s="108" t="str">
        <f>IFERROR(VLOOKUP(B90,'02. MM-KLH'!$B$6:$T$823,13,0),"")</f>
        <v>HITACHI</v>
      </c>
      <c r="O90" s="108" t="str">
        <f>IFERROR(VLOOKUP(B90,'02. MM-KLH'!$B$6:$T$823,14,0),"")</f>
        <v>TRUNG QUỐC</v>
      </c>
      <c r="P90" s="80">
        <f>IFERROR(VLOOKUP(B90,'02. MM-KLH'!$B$6:$T$823,15,0),"")</f>
        <v>2005</v>
      </c>
      <c r="Q90" s="80" t="str">
        <f>IFERROR(VLOOKUP(B90,'02. MM-KLH'!$B$6:$T$823,16,0),"")</f>
        <v>CC150C-2</v>
      </c>
      <c r="R90" s="106" t="str">
        <f>IFERROR(VLOOKUP(B90,'02. MM-KLH'!$B$6:$T$823,17,0),"")</f>
        <v>75HP</v>
      </c>
      <c r="S90" s="108" t="str">
        <f>IFERROR(VLOOKUP(B90,'02. MM-KLH'!$B$6:$T$823,18,0),"")</f>
        <v>HCM8U600L00010288</v>
      </c>
      <c r="T90" s="110" t="str">
        <f>IFERROR(VLOOKUP(B90,'02. MM-KLH'!$B$6:$T$823,19,0),"")</f>
        <v>3LD2-453954</v>
      </c>
      <c r="U90" s="130" t="s">
        <v>235</v>
      </c>
    </row>
    <row r="91">
      <c r="A91" s="95">
        <f t="shared" si="4"/>
        <v>8</v>
      </c>
      <c r="B91" s="115" t="s">
        <v>1295</v>
      </c>
      <c r="C91" s="84" t="str">
        <f>IFERROR(VLOOKUP(B91,'02. MM-KLH'!$B$6:$T$823,2,0),"")</f>
        <v/>
      </c>
      <c r="D91" s="95" t="str">
        <f>IFERROR(VLOOKUP(B91,'02. MM-KLH'!$B$6:$T$823,3,0),"")</f>
        <v>A24-XLU-006</v>
      </c>
      <c r="E91" s="86" t="str">
        <f>IFERROR(VLOOKUP(B91,'02. MM-KLH'!$B$6:$T$823,4,0),"")</f>
        <v/>
      </c>
      <c r="F91" s="115" t="s">
        <v>1341</v>
      </c>
      <c r="G91" s="86" t="str">
        <f>IFERROR(VLOOKUP(B91,'02. MM-KLH'!$B$6:$T$823,6,0),"")</f>
        <v>Xe lu rung Sakai 3.5 tấn</v>
      </c>
      <c r="H91" s="80" t="s">
        <v>1679</v>
      </c>
      <c r="I91" s="80" t="str">
        <f>IFERROR(VLOOKUP(B91,'02. MM-KLH'!$B$6:$T$823,8,0),"")</f>
        <v>XN Chuối LP1</v>
      </c>
      <c r="J91" s="99">
        <f>IFERROR(VLOOKUP(B91,'02. MM-KLH'!$B$6:$T$823,9,0),"")</f>
        <v>45722</v>
      </c>
      <c r="K91" s="80" t="str">
        <f>IFERROR(VLOOKUP(B91,'02. MM-KLH'!$B$6:$T$823,10,0),"")</f>
        <v>Bình thường</v>
      </c>
      <c r="L91" s="102" t="str">
        <f>IFERROR(VLOOKUP(B91,'02. MM-KLH'!$B$6:$T$823,11,0),"")</f>
        <v/>
      </c>
      <c r="M91" s="143" t="str">
        <f>IFERROR(VLOOKUP(B91,'02. MM-KLH'!$B$6:$T$823,12,0),"")</f>
        <v>CGTC LP đchuyen ngày 13/12/2025
Đầu tư mới (ĐQSD)</v>
      </c>
      <c r="N91" s="108" t="str">
        <f>IFERROR(VLOOKUP(B91,'02. MM-KLH'!$B$6:$T$823,13,0),"")</f>
        <v>SAKAI</v>
      </c>
      <c r="O91" s="108" t="str">
        <f>IFERROR(VLOOKUP(B91,'02. MM-KLH'!$B$6:$T$823,14,0),"")</f>
        <v>NHẬT BẢN</v>
      </c>
      <c r="P91" s="80">
        <f>IFERROR(VLOOKUP(B91,'02. MM-KLH'!$B$6:$T$823,15,0),"")</f>
        <v>1998</v>
      </c>
      <c r="Q91" s="80" t="str">
        <f>IFERROR(VLOOKUP(B91,'02. MM-KLH'!$B$6:$T$823,16,0),"")</f>
        <v>SW350-1</v>
      </c>
      <c r="R91" s="106" t="str">
        <f>IFERROR(VLOOKUP(B91,'02. MM-KLH'!$B$6:$T$823,17,0),"")</f>
        <v>28HP</v>
      </c>
      <c r="S91" s="108" t="str">
        <f>IFERROR(VLOOKUP(B91,'02. MM-KLH'!$B$6:$T$823,18,0),"")</f>
        <v>VSW1410104</v>
      </c>
      <c r="T91" s="110">
        <f>IFERROR(VLOOKUP(B91,'02. MM-KLH'!$B$6:$T$823,19,0),"")</f>
        <v>256182</v>
      </c>
      <c r="U91" s="130" t="s">
        <v>235</v>
      </c>
    </row>
    <row r="92" ht="13.5" customHeight="1">
      <c r="A92" s="95">
        <f t="shared" si="4"/>
        <v>9</v>
      </c>
      <c r="B92" s="115" t="s">
        <v>494</v>
      </c>
      <c r="C92" s="84" t="str">
        <f>IFERROR(VLOOKUP(B92,'02. MM-KLH'!$B$6:$T$823,2,0),"")</f>
        <v>MỚI (ĐQSD)</v>
      </c>
      <c r="D92" s="95" t="str">
        <f>IFERROR(VLOOKUP(B92,'02. MM-KLH'!$B$6:$T$823,3,0),"")</f>
        <v>A24-XLU-008</v>
      </c>
      <c r="E92" s="86" t="str">
        <f>IFERROR(VLOOKUP(B92,'02. MM-KLH'!$B$6:$T$823,4,0),"")</f>
        <v/>
      </c>
      <c r="F92" s="115" t="s">
        <v>1589</v>
      </c>
      <c r="G92" s="86" t="str">
        <f>IFERROR(VLOOKUP(B92,'02. MM-KLH'!$B$6:$T$823,6,0),"")</f>
        <v>Xe lu rung Sakai 3.5 tấn</v>
      </c>
      <c r="H92" s="80" t="s">
        <v>1679</v>
      </c>
      <c r="I92" s="80" t="str">
        <f>IFERROR(VLOOKUP(B92,'02. MM-KLH'!$B$6:$T$823,8,0),"")</f>
        <v>CGTC LP</v>
      </c>
      <c r="J92" s="99" t="str">
        <f>IFERROR(VLOOKUP(B92,'02. MM-KLH'!$B$6:$T$823,9,0),"")</f>
        <v>26/07/2025</v>
      </c>
      <c r="K92" s="80" t="str">
        <f>IFERROR(VLOOKUP(B92,'02. MM-KLH'!$B$6:$T$823,10,0),"")</f>
        <v>Bình thường</v>
      </c>
      <c r="L92" s="102" t="str">
        <f>IFERROR(VLOOKUP(B92,'02. MM-KLH'!$B$6:$T$823,11,0),"")</f>
        <v/>
      </c>
      <c r="M92" s="143" t="str">
        <f>IFERROR(VLOOKUP(B92,'02. MM-KLH'!$B$6:$T$823,12,0),"")</f>
        <v>Đầu tư mới (ĐQSD)</v>
      </c>
      <c r="N92" s="108" t="str">
        <f>IFERROR(VLOOKUP(B92,'02. MM-KLH'!$B$6:$T$823,13,0),"")</f>
        <v>SAKAI</v>
      </c>
      <c r="O92" s="108" t="str">
        <f>IFERROR(VLOOKUP(B92,'02. MM-KLH'!$B$6:$T$823,14,0),"")</f>
        <v>NHẬT BẢN</v>
      </c>
      <c r="P92" s="80">
        <f>IFERROR(VLOOKUP(B92,'02. MM-KLH'!$B$6:$T$823,15,0),"")</f>
        <v>2004</v>
      </c>
      <c r="Q92" s="80" t="str">
        <f>IFERROR(VLOOKUP(B92,'02. MM-KLH'!$B$6:$T$823,16,0),"")</f>
        <v>TW500W‑1</v>
      </c>
      <c r="R92" s="106" t="str">
        <f>IFERROR(VLOOKUP(B92,'02. MM-KLH'!$B$6:$T$823,17,0),"")</f>
        <v>39HP</v>
      </c>
      <c r="S92" s="108" t="str">
        <f>IFERROR(VLOOKUP(B92,'02. MM-KLH'!$B$6:$T$823,18,0),"")</f>
        <v>VTW1521818</v>
      </c>
      <c r="T92" s="110">
        <f>IFERROR(VLOOKUP(B92,'02. MM-KLH'!$B$6:$T$823,19,0),"")</f>
        <v>166376</v>
      </c>
      <c r="U92" s="130" t="s">
        <v>235</v>
      </c>
    </row>
    <row r="93" ht="13.5" customHeight="1">
      <c r="A93" s="95">
        <f t="shared" si="4"/>
        <v>10</v>
      </c>
      <c r="B93" s="115" t="s">
        <v>1543</v>
      </c>
      <c r="C93" s="84" t="str">
        <f>IFERROR(VLOOKUP(B93,'02. MM-KLH'!$B$6:$T$823,2,0),"")</f>
        <v>MỚI (ĐQSD)</v>
      </c>
      <c r="D93" s="95" t="str">
        <f>IFERROR(VLOOKUP(B93,'02. MM-KLH'!$B$6:$T$823,3,0),"")</f>
        <v>A24-XLU-005</v>
      </c>
      <c r="E93" s="86" t="str">
        <f>IFERROR(VLOOKUP(B93,'02. MM-KLH'!$B$6:$T$823,4,0),"")</f>
        <v/>
      </c>
      <c r="F93" s="115"/>
      <c r="G93" s="86" t="str">
        <f>IFERROR(VLOOKUP(B93,'02. MM-KLH'!$B$6:$T$823,6,0),"")</f>
        <v>Xe lu rung DYNAPAC 5 tấn</v>
      </c>
      <c r="H93" s="80" t="s">
        <v>1667</v>
      </c>
      <c r="I93" s="80" t="str">
        <f>IFERROR(VLOOKUP(B93,'02. MM-KLH'!$B$6:$T$823,8,0),"")</f>
        <v>XN Chuối LP3</v>
      </c>
      <c r="J93" s="99" t="str">
        <f>IFERROR(VLOOKUP(B93,'02. MM-KLH'!$B$6:$T$823,9,0),"")</f>
        <v>30/06/2024</v>
      </c>
      <c r="K93" s="80" t="str">
        <f>IFERROR(VLOOKUP(B93,'02. MM-KLH'!$B$6:$T$823,10,0),"")</f>
        <v>Bình thường</v>
      </c>
      <c r="L93" s="102" t="str">
        <f>IFERROR(VLOOKUP(B93,'02. MM-KLH'!$B$6:$T$823,11,0),"")</f>
        <v/>
      </c>
      <c r="M93" s="143" t="str">
        <f>IFERROR(VLOOKUP(B93,'02. MM-KLH'!$B$6:$T$823,12,0),"")</f>
        <v>CGTC LP đchuyen ngày 27/12/2025</v>
      </c>
      <c r="N93" s="108" t="str">
        <f>IFERROR(VLOOKUP(B93,'02. MM-KLH'!$B$6:$T$823,13,0),"")</f>
        <v>HITACHI</v>
      </c>
      <c r="O93" s="108" t="str">
        <f>IFERROR(VLOOKUP(B93,'02. MM-KLH'!$B$6:$T$823,14,0),"")</f>
        <v>NHẬT BẢN</v>
      </c>
      <c r="P93" s="80">
        <f>IFERROR(VLOOKUP(B93,'02. MM-KLH'!$B$6:$T$823,15,0),"")</f>
        <v>2005</v>
      </c>
      <c r="Q93" s="80" t="str">
        <f>IFERROR(VLOOKUP(B93,'02. MM-KLH'!$B$6:$T$823,16,0),"")</f>
        <v>CCC150C-2</v>
      </c>
      <c r="R93" s="106" t="str">
        <f>IFERROR(VLOOKUP(B93,'02. MM-KLH'!$B$6:$T$823,17,0),"")</f>
        <v>16HP</v>
      </c>
      <c r="S93" s="108" t="str">
        <f>IFERROR(VLOOKUP(B93,'02. MM-KLH'!$B$6:$T$823,18,0),"")</f>
        <v>HCM8U600A00010287</v>
      </c>
      <c r="T93" s="110" t="str">
        <f>IFERROR(VLOOKUP(B93,'02. MM-KLH'!$B$6:$T$823,19,0),"")</f>
        <v>3LD2 - 453951</v>
      </c>
      <c r="U93" s="130" t="s">
        <v>235</v>
      </c>
    </row>
    <row r="94">
      <c r="A94" s="95">
        <f t="shared" si="4"/>
        <v>11</v>
      </c>
      <c r="B94" s="115" t="s">
        <v>1719</v>
      </c>
      <c r="C94" s="84" t="str">
        <f>IFERROR(VLOOKUP(B94,'02. MM-KLH'!$B$6:$T$823,2,0),"")</f>
        <v>CHT-XLU-010</v>
      </c>
      <c r="D94" s="95" t="str">
        <f>IFERROR(VLOOKUP(B94,'02. MM-KLH'!$B$6:$T$823,3,0),"")</f>
        <v>A24-XLU-007</v>
      </c>
      <c r="E94" s="86" t="str">
        <f>IFERROR(VLOOKUP(B94,'02. MM-KLH'!$B$6:$T$823,4,0),"")</f>
        <v/>
      </c>
      <c r="F94" s="115" t="s">
        <v>1341</v>
      </c>
      <c r="G94" s="86" t="str">
        <f>IFERROR(VLOOKUP(B94,'02. MM-KLH'!$B$6:$T$823,6,0),"")</f>
        <v>Xe lu rung Sakai 3.5 tấn</v>
      </c>
      <c r="H94" s="80" t="s">
        <v>1679</v>
      </c>
      <c r="I94" s="80" t="str">
        <f>IFERROR(VLOOKUP(B94,'02. MM-KLH'!$B$6:$T$823,8,0),"")</f>
        <v>XN Bò AD</v>
      </c>
      <c r="J94" s="99">
        <f>IFERROR(VLOOKUP(B94,'02. MM-KLH'!$B$6:$T$823,9,0),"")</f>
        <v>45999</v>
      </c>
      <c r="K94" s="80" t="str">
        <f>IFERROR(VLOOKUP(B94,'02. MM-KLH'!$B$6:$T$823,10,0),"")</f>
        <v>Bình thường</v>
      </c>
      <c r="L94" s="102" t="str">
        <f>IFERROR(VLOOKUP(B94,'02. MM-KLH'!$B$6:$T$823,11,0),"")</f>
        <v/>
      </c>
      <c r="M94" s="143" t="str">
        <f>IFERROR(VLOOKUP(B94,'02. MM-KLH'!$B$6:$T$823,12,0),"")</f>
        <v>CGTC LP Đ.chuyển mượn dài hạn 12.08.2025</v>
      </c>
      <c r="N94" s="108" t="str">
        <f>IFERROR(VLOOKUP(B94,'02. MM-KLH'!$B$6:$T$823,13,0),"")</f>
        <v>SAKAI</v>
      </c>
      <c r="O94" s="108" t="str">
        <f>IFERROR(VLOOKUP(B94,'02. MM-KLH'!$B$6:$T$823,14,0),"")</f>
        <v>Nhật Bản</v>
      </c>
      <c r="P94" s="80">
        <f>IFERROR(VLOOKUP(B94,'02. MM-KLH'!$B$6:$T$823,15,0),"")</f>
        <v>2004</v>
      </c>
      <c r="Q94" s="80" t="str">
        <f>IFERROR(VLOOKUP(B94,'02. MM-KLH'!$B$6:$T$823,16,0),"")</f>
        <v>TW500W‑1</v>
      </c>
      <c r="R94" s="106" t="str">
        <f>IFERROR(VLOOKUP(B94,'02. MM-KLH'!$B$6:$T$823,17,0),"")</f>
        <v>39HP</v>
      </c>
      <c r="S94" s="108" t="str">
        <f>IFERROR(VLOOKUP(B94,'02. MM-KLH'!$B$6:$T$823,18,0),"")</f>
        <v>VTW1521664</v>
      </c>
      <c r="T94" s="110">
        <f>IFERROR(VLOOKUP(B94,'02. MM-KLH'!$B$6:$T$823,19,0),"")</f>
        <v>161031</v>
      </c>
      <c r="U94" s="130" t="s">
        <v>235</v>
      </c>
    </row>
    <row r="95">
      <c r="B95" s="169"/>
      <c r="D95" s="95" t="str">
        <f>IFERROR(VLOOKUP(B95,'02. MM-KLH'!$B$6:$T$823,3,0),"")</f>
        <v/>
      </c>
      <c r="E95" s="86" t="str">
        <f>IFERROR(VLOOKUP(B95,'02. MM-KLH'!$B$6:$T$823,4,0),"")</f>
        <v/>
      </c>
      <c r="G95" s="86" t="str">
        <f>IFERROR(VLOOKUP(B95,'02. MM-KLH'!$B$6:$T$823,6,0),"")</f>
        <v/>
      </c>
      <c r="I95" s="80" t="str">
        <f>IFERROR(VLOOKUP(B95,'02. MM-KLH'!$B$6:$T$823,8,0),"")</f>
        <v/>
      </c>
      <c r="J95" s="99" t="str">
        <f>IFERROR(VLOOKUP(B95,'02. MM-KLH'!$B$6:$T$823,9,0),"")</f>
        <v/>
      </c>
      <c r="K95" s="80" t="str">
        <f>IFERROR(VLOOKUP(B95,'02. MM-KLH'!$B$6:$T$823,10,0),"")</f>
        <v/>
      </c>
      <c r="L95" s="102" t="str">
        <f>IFERROR(VLOOKUP(B95,'02. MM-KLH'!$B$6:$T$823,11,0),"")</f>
        <v/>
      </c>
      <c r="M95" s="143" t="str">
        <f>IFERROR(VLOOKUP(B95,'02. MM-KLH'!$B$6:$T$823,12,0),"")</f>
        <v/>
      </c>
      <c r="N95" s="108" t="str">
        <f>IFERROR(VLOOKUP(B95,'02. MM-KLH'!$B$6:$T$823,13,0),"")</f>
        <v/>
      </c>
      <c r="O95" s="108" t="str">
        <f>IFERROR(VLOOKUP(B95,'02. MM-KLH'!$B$6:$T$823,14,0),"")</f>
        <v/>
      </c>
      <c r="P95" s="80" t="str">
        <f>IFERROR(VLOOKUP(B95,'02. MM-KLH'!$B$6:$T$823,15,0),"")</f>
        <v/>
      </c>
      <c r="Q95" s="80" t="str">
        <f>IFERROR(VLOOKUP(B95,'02. MM-KLH'!$B$6:$T$823,16,0),"")</f>
        <v/>
      </c>
      <c r="R95" s="106" t="str">
        <f>IFERROR(VLOOKUP(B95,'02. MM-KLH'!$B$6:$T$823,17,0),"")</f>
        <v/>
      </c>
      <c r="S95" s="108" t="str">
        <f>IFERROR(VLOOKUP(B95,'02. MM-KLH'!$B$6:$T$823,18,0),"")</f>
        <v/>
      </c>
      <c r="T95" s="110" t="str">
        <f>IFERROR(VLOOKUP(B95,'02. MM-KLH'!$B$6:$T$823,19,0),"")</f>
        <v/>
      </c>
      <c r="U95" s="110" t="str">
        <f>IFERROR(VLOOKUP(C95,'02. MM-KLH'!$B$6:$T$823,19,0),"")</f>
        <v/>
      </c>
    </row>
    <row r="96" ht="13.5" customHeight="1">
      <c r="A96" s="82" t="s">
        <v>76</v>
      </c>
      <c r="B96" s="83" t="s">
        <v>1776</v>
      </c>
      <c r="C96" s="85">
        <f>COUNTA(B97:B103)</f>
        <v>5</v>
      </c>
      <c r="D96" s="85" t="str">
        <f>IFERROR(VLOOKUP(B96,'02. MM-KLH'!$B$6:$T$823,3,0),"")</f>
        <v/>
      </c>
      <c r="E96" s="85" t="str">
        <f>IFERROR(VLOOKUP(B96,'02. MM-KLH'!$B$6:$T$823,4,0),"")</f>
        <v/>
      </c>
      <c r="F96" s="85"/>
      <c r="G96" s="85" t="str">
        <f>IFERROR(VLOOKUP(B96,'02. MM-KLH'!$B$6:$T$823,6,0),"")</f>
        <v/>
      </c>
      <c r="H96" s="85"/>
      <c r="I96" s="85" t="str">
        <f>IFERROR(VLOOKUP(B96,'02. MM-KLH'!$B$6:$T$823,8,0),"")</f>
        <v/>
      </c>
      <c r="J96" s="85" t="str">
        <f>IFERROR(VLOOKUP(B96,'02. MM-KLH'!$B$6:$T$823,9,0),"")</f>
        <v/>
      </c>
      <c r="K96" s="85" t="str">
        <f>IFERROR(VLOOKUP(B96,'02. MM-KLH'!$B$6:$T$823,10,0),"")</f>
        <v/>
      </c>
      <c r="L96" s="85" t="str">
        <f>IFERROR(VLOOKUP(B96,'02. MM-KLH'!$B$6:$T$823,11,0),"")</f>
        <v/>
      </c>
      <c r="M96" s="85" t="str">
        <f>IFERROR(VLOOKUP(B96,'02. MM-KLH'!$B$6:$T$823,12,0),"")</f>
        <v/>
      </c>
      <c r="N96" s="85" t="str">
        <f>IFERROR(VLOOKUP(B96,'02. MM-KLH'!$B$6:$T$823,13,0),"")</f>
        <v/>
      </c>
      <c r="O96" s="85" t="str">
        <f>IFERROR(VLOOKUP(B96,'02. MM-KLH'!$B$6:$T$823,14,0),"")</f>
        <v/>
      </c>
      <c r="P96" s="85" t="str">
        <f>IFERROR(VLOOKUP(B96,'02. MM-KLH'!$B$6:$T$823,15,0),"")</f>
        <v/>
      </c>
      <c r="Q96" s="85" t="str">
        <f>IFERROR(VLOOKUP(B96,'02. MM-KLH'!$B$6:$T$823,16,0),"")</f>
        <v/>
      </c>
      <c r="R96" s="85" t="str">
        <f>IFERROR(VLOOKUP(B96,'02. MM-KLH'!$B$6:$T$823,17,0),"")</f>
        <v/>
      </c>
      <c r="S96" s="85" t="str">
        <f>IFERROR(VLOOKUP(B96,'02. MM-KLH'!$B$6:$T$823,18,0),"")</f>
        <v/>
      </c>
      <c r="T96" s="85" t="str">
        <f>IFERROR(VLOOKUP(B96,'02. MM-KLH'!$B$6:$T$823,19,0),"")</f>
        <v/>
      </c>
      <c r="U96" s="85" t="str">
        <f>IFERROR(VLOOKUP(C96,'02. MM-KLH'!$B$6:$T$823,19,0),"")</f>
        <v/>
      </c>
    </row>
    <row r="97" ht="13.5" customHeight="1">
      <c r="A97" s="80">
        <v>1.0</v>
      </c>
      <c r="B97" s="113" t="s">
        <v>206</v>
      </c>
      <c r="C97" s="113" t="str">
        <f>IFERROR(VLOOKUP(B97,'02. MM-KLH'!$B$6:$T$823,2,0),"")</f>
        <v/>
      </c>
      <c r="D97" s="95" t="str">
        <f>IFERROR(VLOOKUP(B97,'02. MM-KLH'!$B$6:$T$823,3,0),"")</f>
        <v>ATT-A22-0156</v>
      </c>
      <c r="E97" s="86" t="str">
        <f>IFERROR(VLOOKUP(B97,'02. MM-KLH'!$B$6:$T$823,4,0),"")</f>
        <v/>
      </c>
      <c r="F97" s="115" t="s">
        <v>1816</v>
      </c>
      <c r="G97" s="86" t="str">
        <f>IFERROR(VLOOKUP(B97,'02. MM-KLH'!$B$6:$T$823,6,0),"")</f>
        <v>Xe ban KOMATSU GD605A</v>
      </c>
      <c r="H97" s="80" t="s">
        <v>1825</v>
      </c>
      <c r="I97" s="80" t="str">
        <f>IFERROR(VLOOKUP(B97,'02. MM-KLH'!$B$6:$T$823,8,0),"")</f>
        <v>CGTC DP</v>
      </c>
      <c r="J97" s="99">
        <f>IFERROR(VLOOKUP(B97,'02. MM-KLH'!$B$6:$T$823,9,0),"")</f>
        <v>44166</v>
      </c>
      <c r="K97" s="80" t="str">
        <f>IFERROR(VLOOKUP(B97,'02. MM-KLH'!$B$6:$T$823,10,0),"")</f>
        <v>Bình thường</v>
      </c>
      <c r="L97" s="102">
        <f>IFERROR(VLOOKUP(B97,'02. MM-KLH'!$B$6:$T$823,11,0),"")</f>
        <v>0.67</v>
      </c>
      <c r="M97" s="143" t="str">
        <f>IFERROR(VLOOKUP(B97,'02. MM-KLH'!$B$6:$T$823,12,0),"")</f>
        <v/>
      </c>
      <c r="N97" s="108" t="str">
        <f>IFERROR(VLOOKUP(B97,'02. MM-KLH'!$B$6:$T$823,13,0),"")</f>
        <v>KOMATSU</v>
      </c>
      <c r="O97" s="108" t="str">
        <f>IFERROR(VLOOKUP(B97,'02. MM-KLH'!$B$6:$T$823,14,0),"")</f>
        <v>NHẬT BẢN</v>
      </c>
      <c r="P97" s="80">
        <f>IFERROR(VLOOKUP(B97,'02. MM-KLH'!$B$6:$T$823,15,0),"")</f>
        <v>1994</v>
      </c>
      <c r="Q97" s="80" t="str">
        <f>IFERROR(VLOOKUP(B97,'02. MM-KLH'!$B$6:$T$823,16,0),"")</f>
        <v>GD605A-5</v>
      </c>
      <c r="R97" s="106" t="str">
        <f>IFERROR(VLOOKUP(B97,'02. MM-KLH'!$B$6:$T$823,17,0),"")</f>
        <v>145HP</v>
      </c>
      <c r="S97" s="108" t="str">
        <f>IFERROR(VLOOKUP(B97,'02. MM-KLH'!$B$6:$T$823,18,0),"")</f>
        <v>G605A54617</v>
      </c>
      <c r="T97" s="110" t="str">
        <f>IFERROR(VLOOKUP(B97,'02. MM-KLH'!$B$6:$T$823,19,0),"")</f>
        <v>6D12561378</v>
      </c>
      <c r="U97" s="130" t="s">
        <v>79</v>
      </c>
    </row>
    <row r="98" ht="13.5" customHeight="1">
      <c r="A98" s="95">
        <f t="shared" ref="A98:A101" si="5">A97+1</f>
        <v>2</v>
      </c>
      <c r="B98" s="113" t="s">
        <v>378</v>
      </c>
      <c r="C98" s="113" t="str">
        <f>IFERROR(VLOOKUP(B98,'02. MM-KLH'!$B$6:$T$823,2,0),"")</f>
        <v>XB 02 HT-KLH</v>
      </c>
      <c r="D98" s="95" t="str">
        <f>IFERROR(VLOOKUP(B98,'02. MM-KLH'!$B$6:$T$823,3,0),"")</f>
        <v>ATT-A24-0059</v>
      </c>
      <c r="E98" s="86" t="str">
        <f>IFERROR(VLOOKUP(B98,'02. MM-KLH'!$B$6:$T$823,4,0),"")</f>
        <v/>
      </c>
      <c r="F98" s="115" t="s">
        <v>1848</v>
      </c>
      <c r="G98" s="86" t="str">
        <f>IFERROR(VLOOKUP(B98,'02. MM-KLH'!$B$6:$T$823,6,0),"")</f>
        <v>Xe ban KOMATSU GD605A</v>
      </c>
      <c r="H98" s="80" t="s">
        <v>1825</v>
      </c>
      <c r="I98" s="80" t="str">
        <f>IFERROR(VLOOKUP(B98,'02. MM-KLH'!$B$6:$T$823,8,0),"")</f>
        <v>CGTC LP</v>
      </c>
      <c r="J98" s="99">
        <f>IFERROR(VLOOKUP(B98,'02. MM-KLH'!$B$6:$T$823,9,0),"")</f>
        <v>44197</v>
      </c>
      <c r="K98" s="80" t="str">
        <f>IFERROR(VLOOKUP(B98,'02. MM-KLH'!$B$6:$T$823,10,0),"")</f>
        <v>Bình thường</v>
      </c>
      <c r="L98" s="102">
        <f>IFERROR(VLOOKUP(B98,'02. MM-KLH'!$B$6:$T$823,11,0),"")</f>
        <v>0.67</v>
      </c>
      <c r="M98" s="143" t="str">
        <f>IFERROR(VLOOKUP(B98,'02. MM-KLH'!$B$6:$T$823,12,0),"")</f>
        <v/>
      </c>
      <c r="N98" s="108" t="str">
        <f>IFERROR(VLOOKUP(B98,'02. MM-KLH'!$B$6:$T$823,13,0),"")</f>
        <v>KOMATSU</v>
      </c>
      <c r="O98" s="108" t="str">
        <f>IFERROR(VLOOKUP(B98,'02. MM-KLH'!$B$6:$T$823,14,0),"")</f>
        <v>NHẬT BẢN</v>
      </c>
      <c r="P98" s="80">
        <f>IFERROR(VLOOKUP(B98,'02. MM-KLH'!$B$6:$T$823,15,0),"")</f>
        <v>1995</v>
      </c>
      <c r="Q98" s="80" t="str">
        <f>IFERROR(VLOOKUP(B98,'02. MM-KLH'!$B$6:$T$823,16,0),"")</f>
        <v>GD605A-5</v>
      </c>
      <c r="R98" s="106" t="str">
        <f>IFERROR(VLOOKUP(B98,'02. MM-KLH'!$B$6:$T$823,17,0),"")</f>
        <v>145HP</v>
      </c>
      <c r="S98" s="108" t="str">
        <f>IFERROR(VLOOKUP(B98,'02. MM-KLH'!$B$6:$T$823,18,0),"")</f>
        <v>G60A51575</v>
      </c>
      <c r="T98" s="110" t="str">
        <f>IFERROR(VLOOKUP(B98,'02. MM-KLH'!$B$6:$T$823,19,0),"")</f>
        <v>6D12562969</v>
      </c>
      <c r="U98" s="130" t="s">
        <v>79</v>
      </c>
    </row>
    <row r="99" ht="13.5" customHeight="1">
      <c r="A99" s="95">
        <f t="shared" si="5"/>
        <v>3</v>
      </c>
      <c r="B99" s="113" t="s">
        <v>517</v>
      </c>
      <c r="C99" s="113" t="str">
        <f>IFERROR(VLOOKUP(B99,'02. MM-KLH'!$B$6:$T$823,2,0),"")</f>
        <v>CHT-BAN-004</v>
      </c>
      <c r="D99" s="95" t="str">
        <f>IFERROR(VLOOKUP(B99,'02. MM-KLH'!$B$6:$T$823,3,0),"")</f>
        <v>ATT-A22-0135</v>
      </c>
      <c r="E99" s="86" t="str">
        <f>IFERROR(VLOOKUP(B99,'02. MM-KLH'!$B$6:$T$823,4,0),"")</f>
        <v/>
      </c>
      <c r="F99" s="115" t="s">
        <v>1886</v>
      </c>
      <c r="G99" s="86" t="str">
        <f>IFERROR(VLOOKUP(B99,'02. MM-KLH'!$B$6:$T$823,6,0),"")</f>
        <v>Xe ban KOMATSU GD605A</v>
      </c>
      <c r="H99" s="80" t="s">
        <v>1825</v>
      </c>
      <c r="I99" s="80" t="str">
        <f>IFERROR(VLOOKUP(B99,'02. MM-KLH'!$B$6:$T$823,8,0),"")</f>
        <v>CGTC AD</v>
      </c>
      <c r="J99" s="99">
        <f>IFERROR(VLOOKUP(B99,'02. MM-KLH'!$B$6:$T$823,9,0),"")</f>
        <v>44136</v>
      </c>
      <c r="K99" s="80" t="str">
        <f>IFERROR(VLOOKUP(B99,'02. MM-KLH'!$B$6:$T$823,10,0),"")</f>
        <v>Bình thường</v>
      </c>
      <c r="L99" s="102">
        <f>IFERROR(VLOOKUP(B99,'02. MM-KLH'!$B$6:$T$823,11,0),"")</f>
        <v>0.66</v>
      </c>
      <c r="M99" s="143" t="str">
        <f>IFERROR(VLOOKUP(B99,'02. MM-KLH'!$B$6:$T$823,12,0),"")</f>
        <v/>
      </c>
      <c r="N99" s="108" t="str">
        <f>IFERROR(VLOOKUP(B99,'02. MM-KLH'!$B$6:$T$823,13,0),"")</f>
        <v>KOMATSU</v>
      </c>
      <c r="O99" s="108" t="str">
        <f>IFERROR(VLOOKUP(B99,'02. MM-KLH'!$B$6:$T$823,14,0),"")</f>
        <v>NHẬT BẢN</v>
      </c>
      <c r="P99" s="80">
        <f>IFERROR(VLOOKUP(B99,'02. MM-KLH'!$B$6:$T$823,15,0),"")</f>
        <v>1995</v>
      </c>
      <c r="Q99" s="80" t="str">
        <f>IFERROR(VLOOKUP(B99,'02. MM-KLH'!$B$6:$T$823,16,0),"")</f>
        <v>GD605A-5</v>
      </c>
      <c r="R99" s="106" t="str">
        <f>IFERROR(VLOOKUP(B99,'02. MM-KLH'!$B$6:$T$823,17,0),"")</f>
        <v>145HP</v>
      </c>
      <c r="S99" s="108" t="str">
        <f>IFERROR(VLOOKUP(B99,'02. MM-KLH'!$B$6:$T$823,18,0),"")</f>
        <v>G60A54058</v>
      </c>
      <c r="T99" s="110" t="str">
        <f>IFERROR(VLOOKUP(B99,'02. MM-KLH'!$B$6:$T$823,19,0),"")</f>
        <v>6D12532782</v>
      </c>
      <c r="U99" s="130" t="s">
        <v>79</v>
      </c>
    </row>
    <row r="100" ht="13.5" customHeight="1">
      <c r="A100" s="95">
        <f t="shared" si="5"/>
        <v>4</v>
      </c>
      <c r="B100" s="113" t="s">
        <v>212</v>
      </c>
      <c r="C100" s="113" t="str">
        <f>IFERROR(VLOOKUP(B100,'02. MM-KLH'!$B$6:$T$823,2,0),"")</f>
        <v/>
      </c>
      <c r="D100" s="95" t="str">
        <f>IFERROR(VLOOKUP(B100,'02. MM-KLH'!$B$6:$T$823,3,0),"")</f>
        <v>ATT-A23-0033</v>
      </c>
      <c r="E100" s="86" t="str">
        <f>IFERROR(VLOOKUP(B100,'02. MM-KLH'!$B$6:$T$823,4,0),"")</f>
        <v/>
      </c>
      <c r="F100" s="115" t="s">
        <v>1914</v>
      </c>
      <c r="G100" s="86" t="str">
        <f>IFERROR(VLOOKUP(B100,'02. MM-KLH'!$B$6:$T$823,6,0),"")</f>
        <v>Xe ban Komatsu 705A</v>
      </c>
      <c r="H100" s="80" t="s">
        <v>1825</v>
      </c>
      <c r="I100" s="80" t="str">
        <f>IFERROR(VLOOKUP(B100,'02. MM-KLH'!$B$6:$T$823,8,0),"")</f>
        <v>CGTC DP</v>
      </c>
      <c r="J100" s="99">
        <f>IFERROR(VLOOKUP(B100,'02. MM-KLH'!$B$6:$T$823,9,0),"")</f>
        <v>43837</v>
      </c>
      <c r="K100" s="80" t="str">
        <f>IFERROR(VLOOKUP(B100,'02. MM-KLH'!$B$6:$T$823,10,0),"")</f>
        <v>Bình thường</v>
      </c>
      <c r="L100" s="102" t="str">
        <f>IFERROR(VLOOKUP(B100,'02. MM-KLH'!$B$6:$T$823,11,0),"")</f>
        <v/>
      </c>
      <c r="M100" s="143" t="str">
        <f>IFERROR(VLOOKUP(B100,'02. MM-KLH'!$B$6:$T$823,12,0),"")</f>
        <v/>
      </c>
      <c r="N100" s="108" t="str">
        <f>IFERROR(VLOOKUP(B100,'02. MM-KLH'!$B$6:$T$823,13,0),"")</f>
        <v>KOMATSU</v>
      </c>
      <c r="O100" s="108" t="str">
        <f>IFERROR(VLOOKUP(B100,'02. MM-KLH'!$B$6:$T$823,14,0),"")</f>
        <v>NHẬT BẢN</v>
      </c>
      <c r="P100" s="80">
        <f>IFERROR(VLOOKUP(B100,'02. MM-KLH'!$B$6:$T$823,15,0),"")</f>
        <v>2018</v>
      </c>
      <c r="Q100" s="80" t="str">
        <f>IFERROR(VLOOKUP(B100,'02. MM-KLH'!$B$6:$T$823,16,0),"")</f>
        <v>705A</v>
      </c>
      <c r="R100" s="106" t="str">
        <f>IFERROR(VLOOKUP(B100,'02. MM-KLH'!$B$6:$T$823,17,0),"")</f>
        <v>200HP</v>
      </c>
      <c r="S100" s="108" t="str">
        <f>IFERROR(VLOOKUP(B100,'02. MM-KLH'!$B$6:$T$823,18,0),"")</f>
        <v>G70A4A11006</v>
      </c>
      <c r="T100" s="110" t="str">
        <f>IFERROR(VLOOKUP(B100,'02. MM-KLH'!$B$6:$T$823,19,0),"")</f>
        <v>CCN</v>
      </c>
      <c r="U100" s="130" t="s">
        <v>79</v>
      </c>
    </row>
    <row r="101" ht="29.25" customHeight="1">
      <c r="A101" s="95">
        <f t="shared" si="5"/>
        <v>5</v>
      </c>
      <c r="B101" s="113" t="s">
        <v>637</v>
      </c>
      <c r="C101" s="113" t="str">
        <f>IFERROR(VLOOKUP(B101,'02. MM-KLH'!$B$6:$T$823,2,0),"")</f>
        <v>MỚI (ĐQSD)</v>
      </c>
      <c r="D101" s="95" t="str">
        <f>IFERROR(VLOOKUP(B101,'02. MM-KLH'!$B$6:$T$823,3,0),"")</f>
        <v>A23-BAN-005</v>
      </c>
      <c r="E101" s="86" t="str">
        <f>IFERROR(VLOOKUP(B101,'02. MM-KLH'!$B$6:$T$823,4,0),"")</f>
        <v/>
      </c>
      <c r="F101" s="115" t="s">
        <v>241</v>
      </c>
      <c r="G101" s="86" t="str">
        <f>IFERROR(VLOOKUP(B101,'02. MM-KLH'!$B$6:$T$823,6,0),"")</f>
        <v>Xe ban KOMATSU GD605A</v>
      </c>
      <c r="H101" s="80" t="s">
        <v>1825</v>
      </c>
      <c r="I101" s="80" t="str">
        <f>IFERROR(VLOOKUP(B101,'02. MM-KLH'!$B$6:$T$823,8,0),"")</f>
        <v>CGTC AD</v>
      </c>
      <c r="J101" s="99" t="str">
        <f>IFERROR(VLOOKUP(B101,'02. MM-KLH'!$B$6:$T$823,9,0),"")</f>
        <v>28/05/2025</v>
      </c>
      <c r="K101" s="80" t="str">
        <f>IFERROR(VLOOKUP(B101,'02. MM-KLH'!$B$6:$T$823,10,0),"")</f>
        <v>Bình thường</v>
      </c>
      <c r="L101" s="102" t="str">
        <f>IFERROR(VLOOKUP(B101,'02. MM-KLH'!$B$6:$T$823,11,0),"")</f>
        <v/>
      </c>
      <c r="M101" s="143" t="str">
        <f>IFERROR(VLOOKUP(B101,'02. MM-KLH'!$B$6:$T$823,12,0),"")</f>
        <v>Đầu tư mới  (Tài sản DP)
- Bàn giao về CGTC ADM theo TTr số 04-T05/2025/B.XDCB</v>
      </c>
      <c r="N101" s="108" t="str">
        <f>IFERROR(VLOOKUP(B101,'02. MM-KLH'!$B$6:$T$823,13,0),"")</f>
        <v>KOMATSU</v>
      </c>
      <c r="O101" s="108" t="str">
        <f>IFERROR(VLOOKUP(B101,'02. MM-KLH'!$B$6:$T$823,14,0),"")</f>
        <v>NHẬT BẢN</v>
      </c>
      <c r="P101" s="80">
        <f>IFERROR(VLOOKUP(B101,'02. MM-KLH'!$B$6:$T$823,15,0),"")</f>
        <v>1994</v>
      </c>
      <c r="Q101" s="80" t="str">
        <f>IFERROR(VLOOKUP(B101,'02. MM-KLH'!$B$6:$T$823,16,0),"")</f>
        <v>GD605A-5</v>
      </c>
      <c r="R101" s="106" t="str">
        <f>IFERROR(VLOOKUP(B101,'02. MM-KLH'!$B$6:$T$823,17,0),"")</f>
        <v>155HP</v>
      </c>
      <c r="S101" s="108" t="str">
        <f>IFERROR(VLOOKUP(B101,'02. MM-KLH'!$B$6:$T$823,18,0),"")</f>
        <v>G60A54622</v>
      </c>
      <c r="T101" s="110" t="str">
        <f>IFERROR(VLOOKUP(B101,'02. MM-KLH'!$B$6:$T$823,19,0),"")</f>
        <v>6D12561725</v>
      </c>
      <c r="U101" s="130" t="s">
        <v>235</v>
      </c>
    </row>
    <row r="102">
      <c r="A102" s="128"/>
      <c r="B102" s="241"/>
      <c r="C102" s="113" t="str">
        <f>IFERROR(VLOOKUP(B102,'02. MM-KLH'!$B$6:$T$823,2,0),"")</f>
        <v/>
      </c>
      <c r="D102" s="95" t="str">
        <f>IFERROR(VLOOKUP(B102,'02. MM-KLH'!$B$6:$T$823,3,0),"")</f>
        <v/>
      </c>
      <c r="E102" s="86" t="str">
        <f>IFERROR(VLOOKUP(B102,'02. MM-KLH'!$B$6:$T$823,4,0),"")</f>
        <v/>
      </c>
      <c r="F102" s="115" t="s">
        <v>1011</v>
      </c>
      <c r="G102" s="86" t="str">
        <f>IFERROR(VLOOKUP(B102,'02. MM-KLH'!$B$6:$T$823,6,0),"")</f>
        <v/>
      </c>
      <c r="H102" s="80" t="s">
        <v>1825</v>
      </c>
      <c r="I102" s="80" t="str">
        <f>IFERROR(VLOOKUP(B102,'02. MM-KLH'!$B$6:$T$823,8,0),"")</f>
        <v/>
      </c>
      <c r="J102" s="99" t="str">
        <f>IFERROR(VLOOKUP(B102,'02. MM-KLH'!$B$6:$T$823,9,0),"")</f>
        <v/>
      </c>
      <c r="K102" s="80" t="str">
        <f>IFERROR(VLOOKUP(B102,'02. MM-KLH'!$B$6:$T$823,10,0),"")</f>
        <v/>
      </c>
      <c r="L102" s="102" t="str">
        <f>IFERROR(VLOOKUP(B102,'02. MM-KLH'!$B$6:$T$823,11,0),"")</f>
        <v/>
      </c>
      <c r="M102" s="242" t="str">
        <f>IFERROR(VLOOKUP(B102,'02. MM-KLH'!$B$6:$T$823,12,0),"")</f>
        <v/>
      </c>
      <c r="N102" s="108" t="str">
        <f>IFERROR(VLOOKUP(B102,'02. MM-KLH'!$B$6:$T$823,13,0),"")</f>
        <v/>
      </c>
      <c r="O102" s="108" t="str">
        <f>IFERROR(VLOOKUP(B102,'02. MM-KLH'!$B$6:$T$823,14,0),"")</f>
        <v/>
      </c>
      <c r="P102" s="80" t="str">
        <f>IFERROR(VLOOKUP(B102,'02. MM-KLH'!$B$6:$T$823,15,0),"")</f>
        <v/>
      </c>
      <c r="Q102" s="80" t="str">
        <f>IFERROR(VLOOKUP(B102,'02. MM-KLH'!$B$6:$T$823,16,0),"")</f>
        <v/>
      </c>
      <c r="R102" s="106" t="str">
        <f>IFERROR(VLOOKUP(B102,'02. MM-KLH'!$B$6:$T$823,17,0),"")</f>
        <v/>
      </c>
      <c r="S102" s="108" t="str">
        <f>IFERROR(VLOOKUP(B102,'02. MM-KLH'!$B$6:$T$823,18,0),"")</f>
        <v/>
      </c>
      <c r="T102" s="110" t="str">
        <f>IFERROR(VLOOKUP(B102,'02. MM-KLH'!$B$6:$T$823,19,0),"")</f>
        <v/>
      </c>
      <c r="U102" s="68"/>
    </row>
    <row r="103">
      <c r="A103" s="128"/>
      <c r="B103" s="241"/>
      <c r="C103" s="128"/>
      <c r="D103" s="95" t="str">
        <f>IFERROR(VLOOKUP(B103,'02. MM-KLH'!$B$6:$T$823,3,0),"")</f>
        <v/>
      </c>
      <c r="E103" s="86" t="str">
        <f>IFERROR(VLOOKUP(B103,'02. MM-KLH'!$B$6:$T$823,4,0),"")</f>
        <v/>
      </c>
      <c r="F103" s="128"/>
      <c r="G103" s="86" t="str">
        <f>IFERROR(VLOOKUP(B103,'02. MM-KLH'!$B$6:$T$823,6,0),"")</f>
        <v/>
      </c>
      <c r="H103" s="128"/>
      <c r="I103" s="80" t="str">
        <f>IFERROR(VLOOKUP(B103,'02. MM-KLH'!$B$6:$T$823,8,0),"")</f>
        <v/>
      </c>
      <c r="J103" s="99" t="str">
        <f>IFERROR(VLOOKUP(B103,'02. MM-KLH'!$B$6:$T$823,9,0),"")</f>
        <v/>
      </c>
      <c r="K103" s="80" t="str">
        <f>IFERROR(VLOOKUP(B103,'02. MM-KLH'!$B$6:$T$823,10,0),"")</f>
        <v/>
      </c>
      <c r="L103" s="102" t="str">
        <f>IFERROR(VLOOKUP(B103,'02. MM-KLH'!$B$6:$T$823,11,0),"")</f>
        <v/>
      </c>
      <c r="M103" s="242" t="str">
        <f>IFERROR(VLOOKUP(B103,'02. MM-KLH'!$B$6:$T$823,12,0),"")</f>
        <v/>
      </c>
      <c r="N103" s="108" t="str">
        <f>IFERROR(VLOOKUP(B103,'02. MM-KLH'!$B$6:$T$823,13,0),"")</f>
        <v/>
      </c>
      <c r="O103" s="108" t="str">
        <f>IFERROR(VLOOKUP(B103,'02. MM-KLH'!$B$6:$T$823,14,0),"")</f>
        <v/>
      </c>
      <c r="P103" s="80" t="str">
        <f>IFERROR(VLOOKUP(B103,'02. MM-KLH'!$B$6:$T$823,15,0),"")</f>
        <v/>
      </c>
      <c r="Q103" s="80" t="str">
        <f>IFERROR(VLOOKUP(B103,'02. MM-KLH'!$B$6:$T$823,16,0),"")</f>
        <v/>
      </c>
      <c r="R103" s="106" t="str">
        <f>IFERROR(VLOOKUP(B103,'02. MM-KLH'!$B$6:$T$823,17,0),"")</f>
        <v/>
      </c>
      <c r="S103" s="108" t="str">
        <f>IFERROR(VLOOKUP(B103,'02. MM-KLH'!$B$6:$T$823,18,0),"")</f>
        <v/>
      </c>
      <c r="T103" s="110" t="str">
        <f>IFERROR(VLOOKUP(B103,'02. MM-KLH'!$B$6:$T$823,19,0),"")</f>
        <v/>
      </c>
      <c r="U103" s="68"/>
    </row>
    <row r="104" ht="13.5" customHeight="1">
      <c r="A104" s="243" t="s">
        <v>1974</v>
      </c>
      <c r="B104" s="244" t="s">
        <v>1975</v>
      </c>
      <c r="C104" s="59">
        <f>SUM(C105,C109,C139)</f>
        <v>29</v>
      </c>
      <c r="D104" s="59" t="str">
        <f>IFERROR(VLOOKUP(B104,'02. MM-KLH'!$B$6:$T$823,3,0),"")</f>
        <v/>
      </c>
      <c r="E104" s="59" t="str">
        <f>IFERROR(VLOOKUP(B104,'02. MM-KLH'!$B$6:$T$823,4,0),"")</f>
        <v/>
      </c>
      <c r="F104" s="59"/>
      <c r="G104" s="59" t="str">
        <f>IFERROR(VLOOKUP(B104,'02. MM-KLH'!$B$6:$T$823,6,0),"")</f>
        <v/>
      </c>
      <c r="H104" s="59"/>
      <c r="I104" s="59" t="str">
        <f>IFERROR(VLOOKUP(B104,'02. MM-KLH'!$B$6:$T$823,8,0),"")</f>
        <v/>
      </c>
      <c r="J104" s="59" t="str">
        <f>IFERROR(VLOOKUP(B104,'02. MM-KLH'!$B$6:$T$823,9,0),"")</f>
        <v/>
      </c>
      <c r="K104" s="59" t="str">
        <f>IFERROR(VLOOKUP(B104,'02. MM-KLH'!$B$6:$T$823,10,0),"")</f>
        <v/>
      </c>
      <c r="L104" s="59" t="str">
        <f>IFERROR(VLOOKUP(B104,'02. MM-KLH'!$B$6:$T$823,11,0),"")</f>
        <v/>
      </c>
      <c r="M104" s="59" t="str">
        <f>IFERROR(VLOOKUP(B104,'02. MM-KLH'!$B$6:$T$823,12,0),"")</f>
        <v/>
      </c>
      <c r="N104" s="59" t="str">
        <f>IFERROR(VLOOKUP(B104,'02. MM-KLH'!$B$6:$T$823,13,0),"")</f>
        <v/>
      </c>
      <c r="O104" s="59" t="str">
        <f>IFERROR(VLOOKUP(B104,'02. MM-KLH'!$B$6:$T$823,14,0),"")</f>
        <v/>
      </c>
      <c r="P104" s="59" t="str">
        <f>IFERROR(VLOOKUP(B104,'02. MM-KLH'!$B$6:$T$823,15,0),"")</f>
        <v/>
      </c>
      <c r="Q104" s="59" t="str">
        <f>IFERROR(VLOOKUP(B104,'02. MM-KLH'!$B$6:$T$823,16,0),"")</f>
        <v/>
      </c>
      <c r="R104" s="59" t="str">
        <f>IFERROR(VLOOKUP(B104,'02. MM-KLH'!$B$6:$T$823,17,0),"")</f>
        <v/>
      </c>
      <c r="S104" s="59" t="str">
        <f>IFERROR(VLOOKUP(B104,'02. MM-KLH'!$B$6:$T$823,18,0),"")</f>
        <v/>
      </c>
      <c r="T104" s="59" t="str">
        <f>IFERROR(VLOOKUP(B104,'02. MM-KLH'!$B$6:$T$823,19,0),"")</f>
        <v/>
      </c>
      <c r="U104" s="59" t="str">
        <f>IFERROR(VLOOKUP(C104,'02. MM-KLH'!$B$6:$T$823,19,0),"")</f>
        <v/>
      </c>
    </row>
    <row r="105" ht="13.5" customHeight="1">
      <c r="A105" s="151" t="s">
        <v>653</v>
      </c>
      <c r="B105" s="245" t="s">
        <v>2003</v>
      </c>
      <c r="C105" s="72">
        <f>COUNTA(B106:B108)</f>
        <v>2</v>
      </c>
      <c r="D105" s="72" t="str">
        <f>IFERROR(VLOOKUP(B105,'02. MM-KLH'!$B$6:$T$823,3,0),"")</f>
        <v/>
      </c>
      <c r="E105" s="72" t="str">
        <f>IFERROR(VLOOKUP(B105,'02. MM-KLH'!$B$6:$T$823,4,0),"")</f>
        <v/>
      </c>
      <c r="F105" s="72"/>
      <c r="G105" s="72" t="str">
        <f>IFERROR(VLOOKUP(B105,'02. MM-KLH'!$B$6:$T$823,6,0),"")</f>
        <v/>
      </c>
      <c r="H105" s="72"/>
      <c r="I105" s="72" t="str">
        <f>IFERROR(VLOOKUP(B105,'02. MM-KLH'!$B$6:$T$823,8,0),"")</f>
        <v/>
      </c>
      <c r="J105" s="72" t="str">
        <f>IFERROR(VLOOKUP(B105,'02. MM-KLH'!$B$6:$T$823,9,0),"")</f>
        <v/>
      </c>
      <c r="K105" s="72" t="str">
        <f>IFERROR(VLOOKUP(B105,'02. MM-KLH'!$B$6:$T$823,10,0),"")</f>
        <v/>
      </c>
      <c r="L105" s="72" t="str">
        <f>IFERROR(VLOOKUP(B105,'02. MM-KLH'!$B$6:$T$823,11,0),"")</f>
        <v/>
      </c>
      <c r="M105" s="72" t="str">
        <f>IFERROR(VLOOKUP(B105,'02. MM-KLH'!$B$6:$T$823,12,0),"")</f>
        <v/>
      </c>
      <c r="N105" s="72" t="str">
        <f>IFERROR(VLOOKUP(B105,'02. MM-KLH'!$B$6:$T$823,13,0),"")</f>
        <v/>
      </c>
      <c r="O105" s="72" t="str">
        <f>IFERROR(VLOOKUP(B105,'02. MM-KLH'!$B$6:$T$823,14,0),"")</f>
        <v/>
      </c>
      <c r="P105" s="72" t="str">
        <f>IFERROR(VLOOKUP(B105,'02. MM-KLH'!$B$6:$T$823,15,0),"")</f>
        <v/>
      </c>
      <c r="Q105" s="72" t="str">
        <f>IFERROR(VLOOKUP(B105,'02. MM-KLH'!$B$6:$T$823,16,0),"")</f>
        <v/>
      </c>
      <c r="R105" s="72" t="str">
        <f>IFERROR(VLOOKUP(B105,'02. MM-KLH'!$B$6:$T$823,17,0),"")</f>
        <v/>
      </c>
      <c r="S105" s="72" t="str">
        <f>IFERROR(VLOOKUP(B105,'02. MM-KLH'!$B$6:$T$823,18,0),"")</f>
        <v/>
      </c>
      <c r="T105" s="72" t="str">
        <f>IFERROR(VLOOKUP(B105,'02. MM-KLH'!$B$6:$T$823,19,0),"")</f>
        <v/>
      </c>
      <c r="U105" s="72" t="str">
        <f>IFERROR(VLOOKUP(C105,'02. MM-KLH'!$B$6:$T$823,19,0),"")</f>
        <v/>
      </c>
    </row>
    <row r="106" ht="13.5" customHeight="1">
      <c r="A106" s="95">
        <v>1.0</v>
      </c>
      <c r="B106" s="115" t="s">
        <v>786</v>
      </c>
      <c r="C106" s="86" t="str">
        <f>IFERROR(VLOOKUP(B106,'02. MM-KLH'!$B$6:$T$823,2,0),"")</f>
        <v>XB1-MKE-025/XAD-MKE-014</v>
      </c>
      <c r="D106" s="95" t="str">
        <f>IFERROR(VLOOKUP(B106,'02. MM-KLH'!$B$6:$T$823,3,0),"")</f>
        <v>ATT-A23-0019</v>
      </c>
      <c r="E106" s="86" t="str">
        <f>IFERROR(VLOOKUP(B106,'02. MM-KLH'!$B$6:$T$823,4,0),"")</f>
        <v/>
      </c>
      <c r="F106" s="115" t="s">
        <v>2029</v>
      </c>
      <c r="G106" s="86" t="str">
        <f>IFERROR(VLOOKUP(B106,'02. MM-KLH'!$B$6:$T$823,6,0),"")</f>
        <v>Máy cày M6040</v>
      </c>
      <c r="H106" s="80" t="s">
        <v>2033</v>
      </c>
      <c r="I106" s="80" t="str">
        <f>IFERROR(VLOOKUP(B106,'02. MM-KLH'!$B$6:$T$823,8,0),"")</f>
        <v>CGLĐ LP</v>
      </c>
      <c r="J106" s="99" t="str">
        <f>IFERROR(VLOOKUP(B106,'02. MM-KLH'!$B$6:$T$823,9,0),"")</f>
        <v>30/03/2024</v>
      </c>
      <c r="K106" s="80" t="str">
        <f>IFERROR(VLOOKUP(B106,'02. MM-KLH'!$B$6:$T$823,10,0),"")</f>
        <v>Bình thường</v>
      </c>
      <c r="L106" s="102" t="str">
        <f>IFERROR(VLOOKUP(B106,'02. MM-KLH'!$B$6:$T$823,11,0),"")</f>
        <v/>
      </c>
      <c r="M106" s="143" t="str">
        <f>IFERROR(VLOOKUP(B106,'02. MM-KLH'!$B$6:$T$823,12,0),"")</f>
        <v>Xe điều chuyển từ XNB</v>
      </c>
      <c r="N106" s="108" t="str">
        <f>IFERROR(VLOOKUP(B106,'02. MM-KLH'!$B$6:$T$823,13,0),"")</f>
        <v>KUBOTA</v>
      </c>
      <c r="O106" s="108" t="str">
        <f>IFERROR(VLOOKUP(B106,'02. MM-KLH'!$B$6:$T$823,14,0),"")</f>
        <v>NHẬT BẢN</v>
      </c>
      <c r="P106" s="80">
        <f>IFERROR(VLOOKUP(B106,'02. MM-KLH'!$B$6:$T$823,15,0),"")</f>
        <v>2013</v>
      </c>
      <c r="Q106" s="80" t="str">
        <f>IFERROR(VLOOKUP(B106,'02. MM-KLH'!$B$6:$T$823,16,0),"")</f>
        <v>M6040</v>
      </c>
      <c r="R106" s="106" t="str">
        <f>IFERROR(VLOOKUP(B106,'02. MM-KLH'!$B$6:$T$823,17,0),"")</f>
        <v>60HP</v>
      </c>
      <c r="S106" s="108">
        <f>IFERROR(VLOOKUP(B106,'02. MM-KLH'!$B$6:$T$823,18,0),"")</f>
        <v>57548</v>
      </c>
      <c r="T106" s="110" t="str">
        <f>IFERROR(VLOOKUP(B106,'02. MM-KLH'!$B$6:$T$823,19,0),"")</f>
        <v>CCN</v>
      </c>
      <c r="U106" s="130" t="s">
        <v>79</v>
      </c>
    </row>
    <row r="107" ht="13.5" customHeight="1">
      <c r="A107" s="95">
        <f>A106+1</f>
        <v>2</v>
      </c>
      <c r="B107" s="115" t="s">
        <v>842</v>
      </c>
      <c r="C107" s="86" t="str">
        <f>IFERROR(VLOOKUP(B107,'02. MM-KLH'!$B$6:$T$823,2,0),"")</f>
        <v>CNN-MKE-015(MK56VCKLH)</v>
      </c>
      <c r="D107" s="95" t="str">
        <f>IFERROR(VLOOKUP(B107,'02. MM-KLH'!$B$6:$T$823,3,0),"")</f>
        <v>ATT-A22-0182</v>
      </c>
      <c r="E107" s="86" t="str">
        <f>IFERROR(VLOOKUP(B107,'02. MM-KLH'!$B$6:$T$823,4,0),"")</f>
        <v/>
      </c>
      <c r="F107" s="115" t="s">
        <v>2053</v>
      </c>
      <c r="G107" s="86" t="str">
        <f>IFERROR(VLOOKUP(B107,'02. MM-KLH'!$B$6:$T$823,6,0),"")</f>
        <v>Máy cày M9540</v>
      </c>
      <c r="H107" s="80" t="s">
        <v>2054</v>
      </c>
      <c r="I107" s="80" t="str">
        <f>IFERROR(VLOOKUP(B107,'02. MM-KLH'!$B$6:$T$823,8,0),"")</f>
        <v>XN Bò AD</v>
      </c>
      <c r="J107" s="99" t="str">
        <f>IFERROR(VLOOKUP(B107,'02. MM-KLH'!$B$6:$T$823,9,0),"")</f>
        <v/>
      </c>
      <c r="K107" s="80" t="str">
        <f>IFERROR(VLOOKUP(B107,'02. MM-KLH'!$B$6:$T$823,10,0),"")</f>
        <v>Bình thường</v>
      </c>
      <c r="L107" s="102" t="str">
        <f>IFERROR(VLOOKUP(B107,'02. MM-KLH'!$B$6:$T$823,11,0),"")</f>
        <v/>
      </c>
      <c r="M107" s="143" t="str">
        <f>IFERROR(VLOOKUP(B107,'02. MM-KLH'!$B$6:$T$823,12,0),"")</f>
        <v/>
      </c>
      <c r="N107" s="108" t="str">
        <f>IFERROR(VLOOKUP(B107,'02. MM-KLH'!$B$6:$T$823,13,0),"")</f>
        <v>KUBOTA</v>
      </c>
      <c r="O107" s="108" t="str">
        <f>IFERROR(VLOOKUP(B107,'02. MM-KLH'!$B$6:$T$823,14,0),"")</f>
        <v>NHẬT BẢN</v>
      </c>
      <c r="P107" s="80">
        <f>IFERROR(VLOOKUP(B107,'02. MM-KLH'!$B$6:$T$823,15,0),"")</f>
        <v>2011</v>
      </c>
      <c r="Q107" s="80">
        <f>IFERROR(VLOOKUP(B107,'02. MM-KLH'!$B$6:$T$823,16,0),"")</f>
        <v>9540</v>
      </c>
      <c r="R107" s="106" t="str">
        <f>IFERROR(VLOOKUP(B107,'02. MM-KLH'!$B$6:$T$823,17,0),"")</f>
        <v>95HP</v>
      </c>
      <c r="S107" s="108" t="str">
        <f>IFERROR(VLOOKUP(B107,'02. MM-KLH'!$B$6:$T$823,18,0),"")</f>
        <v>BY0896</v>
      </c>
      <c r="T107" s="110" t="str">
        <f>IFERROR(VLOOKUP(B107,'02. MM-KLH'!$B$6:$T$823,19,0),"")</f>
        <v>CCN</v>
      </c>
      <c r="U107" s="130" t="s">
        <v>79</v>
      </c>
    </row>
    <row r="108" ht="13.5" customHeight="1">
      <c r="A108" s="80"/>
      <c r="B108" s="113"/>
      <c r="C108" s="86"/>
      <c r="D108" s="95" t="str">
        <f>IFERROR(VLOOKUP(B108,'02. MM-KLH'!$B$6:$T$823,3,0),"")</f>
        <v/>
      </c>
      <c r="E108" s="86" t="str">
        <f>IFERROR(VLOOKUP(B108,'02. MM-KLH'!$B$6:$T$823,4,0),"")</f>
        <v/>
      </c>
      <c r="F108" s="115"/>
      <c r="G108" s="86" t="str">
        <f>IFERROR(VLOOKUP(B108,'02. MM-KLH'!$B$6:$T$823,6,0),"")</f>
        <v/>
      </c>
      <c r="H108" s="80"/>
      <c r="I108" s="80" t="str">
        <f>IFERROR(VLOOKUP(B108,'02. MM-KLH'!$B$6:$T$823,8,0),"")</f>
        <v/>
      </c>
      <c r="J108" s="99" t="str">
        <f>IFERROR(VLOOKUP(B108,'02. MM-KLH'!$B$6:$T$823,9,0),"")</f>
        <v/>
      </c>
      <c r="K108" s="80" t="str">
        <f>IFERROR(VLOOKUP(B108,'02. MM-KLH'!$B$6:$T$823,10,0),"")</f>
        <v/>
      </c>
      <c r="L108" s="102" t="str">
        <f>IFERROR(VLOOKUP(B108,'02. MM-KLH'!$B$6:$T$823,11,0),"")</f>
        <v/>
      </c>
      <c r="M108" s="143" t="str">
        <f>IFERROR(VLOOKUP(B108,'02. MM-KLH'!$B$6:$T$823,12,0),"")</f>
        <v/>
      </c>
      <c r="N108" s="108" t="str">
        <f>IFERROR(VLOOKUP(B108,'02. MM-KLH'!$B$6:$T$823,13,0),"")</f>
        <v/>
      </c>
      <c r="O108" s="108" t="str">
        <f>IFERROR(VLOOKUP(B108,'02. MM-KLH'!$B$6:$T$823,14,0),"")</f>
        <v/>
      </c>
      <c r="P108" s="80" t="str">
        <f>IFERROR(VLOOKUP(B108,'02. MM-KLH'!$B$6:$T$823,15,0),"")</f>
        <v/>
      </c>
      <c r="Q108" s="80" t="str">
        <f>IFERROR(VLOOKUP(B108,'02. MM-KLH'!$B$6:$T$823,16,0),"")</f>
        <v/>
      </c>
      <c r="R108" s="106" t="str">
        <f>IFERROR(VLOOKUP(B108,'02. MM-KLH'!$B$6:$T$823,17,0),"")</f>
        <v/>
      </c>
      <c r="S108" s="108" t="str">
        <f>IFERROR(VLOOKUP(B108,'02. MM-KLH'!$B$6:$T$823,18,0),"")</f>
        <v/>
      </c>
      <c r="T108" s="110" t="str">
        <f>IFERROR(VLOOKUP(B108,'02. MM-KLH'!$B$6:$T$823,19,0),"")</f>
        <v/>
      </c>
      <c r="U108" s="110" t="str">
        <f>IFERROR(VLOOKUP(C108,'02. MM-KLH'!$B$6:$T$823,19,0),"")</f>
        <v/>
      </c>
    </row>
    <row r="109" ht="13.5" customHeight="1">
      <c r="A109" s="151" t="s">
        <v>653</v>
      </c>
      <c r="B109" s="245" t="s">
        <v>2081</v>
      </c>
      <c r="C109" s="72">
        <f>COUNTA(B110:B138)</f>
        <v>26</v>
      </c>
      <c r="D109" s="72" t="str">
        <f>IFERROR(VLOOKUP(B109,'02. MM-KLH'!$B$6:$T$823,3,0),"")</f>
        <v/>
      </c>
      <c r="E109" s="72" t="str">
        <f>IFERROR(VLOOKUP(B109,'02. MM-KLH'!$B$6:$T$823,4,0),"")</f>
        <v/>
      </c>
      <c r="F109" s="72"/>
      <c r="G109" s="72" t="str">
        <f>IFERROR(VLOOKUP(B109,'02. MM-KLH'!$B$6:$T$823,6,0),"")</f>
        <v/>
      </c>
      <c r="H109" s="72"/>
      <c r="I109" s="72" t="str">
        <f>IFERROR(VLOOKUP(B109,'02. MM-KLH'!$B$6:$T$823,8,0),"")</f>
        <v/>
      </c>
      <c r="J109" s="72" t="str">
        <f>IFERROR(VLOOKUP(B109,'02. MM-KLH'!$B$6:$T$823,9,0),"")</f>
        <v/>
      </c>
      <c r="K109" s="72" t="str">
        <f>IFERROR(VLOOKUP(B109,'02. MM-KLH'!$B$6:$T$823,10,0),"")</f>
        <v/>
      </c>
      <c r="L109" s="72" t="str">
        <f>IFERROR(VLOOKUP(B109,'02. MM-KLH'!$B$6:$T$823,11,0),"")</f>
        <v/>
      </c>
      <c r="M109" s="72" t="str">
        <f>IFERROR(VLOOKUP(B109,'02. MM-KLH'!$B$6:$T$823,12,0),"")</f>
        <v/>
      </c>
      <c r="N109" s="72" t="str">
        <f>IFERROR(VLOOKUP(B109,'02. MM-KLH'!$B$6:$T$823,13,0),"")</f>
        <v/>
      </c>
      <c r="O109" s="72" t="str">
        <f>IFERROR(VLOOKUP(B109,'02. MM-KLH'!$B$6:$T$823,14,0),"")</f>
        <v/>
      </c>
      <c r="P109" s="72" t="str">
        <f>IFERROR(VLOOKUP(B109,'02. MM-KLH'!$B$6:$T$823,15,0),"")</f>
        <v/>
      </c>
      <c r="Q109" s="72" t="str">
        <f>IFERROR(VLOOKUP(B109,'02. MM-KLH'!$B$6:$T$823,16,0),"")</f>
        <v/>
      </c>
      <c r="R109" s="72" t="str">
        <f>IFERROR(VLOOKUP(B109,'02. MM-KLH'!$B$6:$T$823,17,0),"")</f>
        <v/>
      </c>
      <c r="S109" s="72" t="str">
        <f>IFERROR(VLOOKUP(B109,'02. MM-KLH'!$B$6:$T$823,18,0),"")</f>
        <v/>
      </c>
      <c r="T109" s="72" t="str">
        <f>IFERROR(VLOOKUP(B109,'02. MM-KLH'!$B$6:$T$823,19,0),"")</f>
        <v/>
      </c>
      <c r="U109" s="72" t="str">
        <f>IFERROR(VLOOKUP(C109,'02. MM-KLH'!$B$6:$T$823,19,0),"")</f>
        <v/>
      </c>
    </row>
    <row r="110" ht="13.5" customHeight="1">
      <c r="A110" s="80">
        <v>1.0</v>
      </c>
      <c r="B110" s="113" t="s">
        <v>685</v>
      </c>
      <c r="C110" s="86" t="str">
        <f>IFERROR(VLOOKUP(B110,'02. MM-KLH'!$B$6:$T$823,2,0),"")</f>
        <v>MK06NNKLH</v>
      </c>
      <c r="D110" s="95" t="str">
        <f>IFERROR(VLOOKUP(B110,'02. MM-KLH'!$B$6:$T$823,3,0),"")</f>
        <v>A23-MKE-005</v>
      </c>
      <c r="E110" s="86" t="str">
        <f>IFERROR(VLOOKUP(B110,'02. MM-KLH'!$B$6:$T$823,4,0),"")</f>
        <v/>
      </c>
      <c r="F110" s="115" t="s">
        <v>1747</v>
      </c>
      <c r="G110" s="86" t="str">
        <f>IFERROR(VLOOKUP(B110,'02. MM-KLH'!$B$6:$T$823,6,0),"")</f>
        <v>Máy cày JD 6603</v>
      </c>
      <c r="H110" s="80" t="s">
        <v>2054</v>
      </c>
      <c r="I110" s="80" t="str">
        <f>IFERROR(VLOOKUP(B110,'02. MM-KLH'!$B$6:$T$823,8,0),"")</f>
        <v>CGLĐ DP</v>
      </c>
      <c r="J110" s="99" t="str">
        <f>IFERROR(VLOOKUP(B110,'02. MM-KLH'!$B$6:$T$823,9,0),"")</f>
        <v/>
      </c>
      <c r="K110" s="80" t="str">
        <f>IFERROR(VLOOKUP(B110,'02. MM-KLH'!$B$6:$T$823,10,0),"")</f>
        <v>Bình thường</v>
      </c>
      <c r="L110" s="102" t="str">
        <f>IFERROR(VLOOKUP(B110,'02. MM-KLH'!$B$6:$T$823,11,0),"")</f>
        <v/>
      </c>
      <c r="M110" s="143" t="str">
        <f>IFERROR(VLOOKUP(B110,'02. MM-KLH'!$B$6:$T$823,12,0),"")</f>
        <v>ĐCHUYEN HỖ TRỢ XNB 2 THÁNG TỪ 13/07/2026</v>
      </c>
      <c r="N110" s="108" t="str">
        <f>IFERROR(VLOOKUP(B110,'02. MM-KLH'!$B$6:$T$823,13,0),"")</f>
        <v>JOHN DEERE</v>
      </c>
      <c r="O110" s="108" t="str">
        <f>IFERROR(VLOOKUP(B110,'02. MM-KLH'!$B$6:$T$823,14,0),"")</f>
        <v>MỸ</v>
      </c>
      <c r="P110" s="80">
        <f>IFERROR(VLOOKUP(B110,'02. MM-KLH'!$B$6:$T$823,15,0),"")</f>
        <v>2018</v>
      </c>
      <c r="Q110" s="80">
        <f>IFERROR(VLOOKUP(B110,'02. MM-KLH'!$B$6:$T$823,16,0),"")</f>
        <v>6603</v>
      </c>
      <c r="R110" s="106" t="str">
        <f>IFERROR(VLOOKUP(B110,'02. MM-KLH'!$B$6:$T$823,17,0),"")</f>
        <v>120HP</v>
      </c>
      <c r="S110" s="108">
        <f>IFERROR(VLOOKUP(B110,'02. MM-KLH'!$B$6:$T$823,18,0),"")</f>
        <v>33028</v>
      </c>
      <c r="T110" s="110" t="str">
        <f>IFERROR(VLOOKUP(B110,'02. MM-KLH'!$B$6:$T$823,19,0),"")</f>
        <v>CCN</v>
      </c>
      <c r="U110" s="130" t="s">
        <v>79</v>
      </c>
    </row>
    <row r="111" ht="13.5" customHeight="1">
      <c r="A111" s="80">
        <f t="shared" ref="A111:A135" si="6">A110+1</f>
        <v>2</v>
      </c>
      <c r="B111" s="113" t="s">
        <v>691</v>
      </c>
      <c r="C111" s="86" t="str">
        <f>IFERROR(VLOOKUP(B111,'02. MM-KLH'!$B$6:$T$823,2,0),"")</f>
        <v>XDP-MKE-006(MK12NNKLH)</v>
      </c>
      <c r="D111" s="95" t="str">
        <f>IFERROR(VLOOKUP(B111,'02. MM-KLH'!$B$6:$T$823,3,0),"")</f>
        <v>A23-MKE-006</v>
      </c>
      <c r="E111" s="86" t="str">
        <f>IFERROR(VLOOKUP(B111,'02. MM-KLH'!$B$6:$T$823,4,0),"")</f>
        <v/>
      </c>
      <c r="F111" s="115" t="s">
        <v>1747</v>
      </c>
      <c r="G111" s="86" t="str">
        <f>IFERROR(VLOOKUP(B111,'02. MM-KLH'!$B$6:$T$823,6,0),"")</f>
        <v>Máy cày JD 6603</v>
      </c>
      <c r="H111" s="80" t="s">
        <v>2054</v>
      </c>
      <c r="I111" s="80" t="str">
        <f>IFERROR(VLOOKUP(B111,'02. MM-KLH'!$B$6:$T$823,8,0),"")</f>
        <v>CGLĐ DP</v>
      </c>
      <c r="J111" s="99">
        <f>IFERROR(VLOOKUP(B111,'02. MM-KLH'!$B$6:$T$823,9,0),"")</f>
        <v>43862</v>
      </c>
      <c r="K111" s="80" t="str">
        <f>IFERROR(VLOOKUP(B111,'02. MM-KLH'!$B$6:$T$823,10,0),"")</f>
        <v>Bình thường</v>
      </c>
      <c r="L111" s="102">
        <f>IFERROR(VLOOKUP(B111,'02. MM-KLH'!$B$6:$T$823,11,0),"")</f>
        <v>0.5</v>
      </c>
      <c r="M111" s="143" t="str">
        <f>IFERROR(VLOOKUP(B111,'02. MM-KLH'!$B$6:$T$823,12,0),"")</f>
        <v/>
      </c>
      <c r="N111" s="108" t="str">
        <f>IFERROR(VLOOKUP(B111,'02. MM-KLH'!$B$6:$T$823,13,0),"")</f>
        <v>JOHN DEERE</v>
      </c>
      <c r="O111" s="108" t="str">
        <f>IFERROR(VLOOKUP(B111,'02. MM-KLH'!$B$6:$T$823,14,0),"")</f>
        <v>MỸ</v>
      </c>
      <c r="P111" s="80">
        <f>IFERROR(VLOOKUP(B111,'02. MM-KLH'!$B$6:$T$823,15,0),"")</f>
        <v>2018</v>
      </c>
      <c r="Q111" s="80">
        <f>IFERROR(VLOOKUP(B111,'02. MM-KLH'!$B$6:$T$823,16,0),"")</f>
        <v>6603</v>
      </c>
      <c r="R111" s="106" t="str">
        <f>IFERROR(VLOOKUP(B111,'02. MM-KLH'!$B$6:$T$823,17,0),"")</f>
        <v>120HP</v>
      </c>
      <c r="S111" s="108">
        <f>IFERROR(VLOOKUP(B111,'02. MM-KLH'!$B$6:$T$823,18,0),"")</f>
        <v>33178</v>
      </c>
      <c r="T111" s="110" t="str">
        <f>IFERROR(VLOOKUP(B111,'02. MM-KLH'!$B$6:$T$823,19,0),"")</f>
        <v>CCN</v>
      </c>
      <c r="U111" s="130" t="s">
        <v>79</v>
      </c>
    </row>
    <row r="112" ht="13.5" customHeight="1">
      <c r="A112" s="80">
        <f t="shared" si="6"/>
        <v>3</v>
      </c>
      <c r="B112" s="115" t="s">
        <v>1745</v>
      </c>
      <c r="C112" s="86" t="str">
        <f>IFERROR(VLOOKUP(B112,'02. MM-KLH'!$B$6:$T$823,2,0),"")</f>
        <v>MK07NNKLH</v>
      </c>
      <c r="D112" s="95" t="str">
        <f>IFERROR(VLOOKUP(B112,'02. MM-KLH'!$B$6:$T$823,3,0),"")</f>
        <v>ATT-A23-0016</v>
      </c>
      <c r="E112" s="86" t="str">
        <f>IFERROR(VLOOKUP(B112,'02. MM-KLH'!$B$6:$T$823,4,0),"")</f>
        <v/>
      </c>
      <c r="F112" s="115" t="s">
        <v>1747</v>
      </c>
      <c r="G112" s="86" t="str">
        <f>IFERROR(VLOOKUP(B112,'02. MM-KLH'!$B$6:$T$823,6,0),"")</f>
        <v>Máy cày JD 6603</v>
      </c>
      <c r="H112" s="80" t="s">
        <v>2054</v>
      </c>
      <c r="I112" s="80" t="str">
        <f>IFERROR(VLOOKUP(B112,'02. MM-KLH'!$B$6:$T$823,8,0),"")</f>
        <v>XN Bò AD</v>
      </c>
      <c r="J112" s="99" t="str">
        <f>IFERROR(VLOOKUP(B112,'02. MM-KLH'!$B$6:$T$823,9,0),"")</f>
        <v/>
      </c>
      <c r="K112" s="80" t="str">
        <f>IFERROR(VLOOKUP(B112,'02. MM-KLH'!$B$6:$T$823,10,0),"")</f>
        <v>Bình thường</v>
      </c>
      <c r="L112" s="102" t="str">
        <f>IFERROR(VLOOKUP(B112,'02. MM-KLH'!$B$6:$T$823,11,0),"")</f>
        <v/>
      </c>
      <c r="M112" s="143" t="str">
        <f>IFERROR(VLOOKUP(B112,'02. MM-KLH'!$B$6:$T$823,12,0),"")</f>
        <v>Hoán đổi xe với CGLĐ LP ngày 06.02.2025 </v>
      </c>
      <c r="N112" s="108" t="str">
        <f>IFERROR(VLOOKUP(B112,'02. MM-KLH'!$B$6:$T$823,13,0),"")</f>
        <v>JOHN DEERE</v>
      </c>
      <c r="O112" s="108" t="str">
        <f>IFERROR(VLOOKUP(B112,'02. MM-KLH'!$B$6:$T$823,14,0),"")</f>
        <v>MỸ</v>
      </c>
      <c r="P112" s="80">
        <f>IFERROR(VLOOKUP(B112,'02. MM-KLH'!$B$6:$T$823,15,0),"")</f>
        <v>2018</v>
      </c>
      <c r="Q112" s="80">
        <f>IFERROR(VLOOKUP(B112,'02. MM-KLH'!$B$6:$T$823,16,0),"")</f>
        <v>6603</v>
      </c>
      <c r="R112" s="106" t="str">
        <f>IFERROR(VLOOKUP(B112,'02. MM-KLH'!$B$6:$T$823,17,0),"")</f>
        <v>120HP</v>
      </c>
      <c r="S112" s="108">
        <f>IFERROR(VLOOKUP(B112,'02. MM-KLH'!$B$6:$T$823,18,0),"")</f>
        <v>32550</v>
      </c>
      <c r="T112" s="110" t="str">
        <f>IFERROR(VLOOKUP(B112,'02. MM-KLH'!$B$6:$T$823,19,0),"")</f>
        <v>CCN</v>
      </c>
      <c r="U112" s="130" t="s">
        <v>79</v>
      </c>
    </row>
    <row r="113" ht="13.5" customHeight="1">
      <c r="A113" s="80">
        <f t="shared" si="6"/>
        <v>4</v>
      </c>
      <c r="B113" s="115" t="s">
        <v>762</v>
      </c>
      <c r="C113" s="86" t="str">
        <f>IFERROR(VLOOKUP(B113,'02. MM-KLH'!$B$6:$T$823,2,0),"")</f>
        <v>CNN-MKE-008(MK08NNKLH)</v>
      </c>
      <c r="D113" s="95" t="str">
        <f>IFERROR(VLOOKUP(B113,'02. MM-KLH'!$B$6:$T$823,3,0),"")</f>
        <v>ATT-A23-0016</v>
      </c>
      <c r="E113" s="86" t="str">
        <f>IFERROR(VLOOKUP(B113,'02. MM-KLH'!$B$6:$T$823,4,0),"")</f>
        <v/>
      </c>
      <c r="F113" s="115" t="s">
        <v>1747</v>
      </c>
      <c r="G113" s="86" t="str">
        <f>IFERROR(VLOOKUP(B113,'02. MM-KLH'!$B$6:$T$823,6,0),"")</f>
        <v>Máy cày JD 6603</v>
      </c>
      <c r="H113" s="80" t="s">
        <v>2054</v>
      </c>
      <c r="I113" s="80" t="str">
        <f>IFERROR(VLOOKUP(B113,'02. MM-KLH'!$B$6:$T$823,8,0),"")</f>
        <v>CGLĐ LP</v>
      </c>
      <c r="J113" s="99" t="str">
        <f>IFERROR(VLOOKUP(B113,'02. MM-KLH'!$B$6:$T$823,9,0),"")</f>
        <v/>
      </c>
      <c r="K113" s="80" t="str">
        <f>IFERROR(VLOOKUP(B113,'02. MM-KLH'!$B$6:$T$823,10,0),"")</f>
        <v>Bình thường</v>
      </c>
      <c r="L113" s="102" t="str">
        <f>IFERROR(VLOOKUP(B113,'02. MM-KLH'!$B$6:$T$823,11,0),"")</f>
        <v/>
      </c>
      <c r="M113" s="143" t="str">
        <f>IFERROR(VLOOKUP(B113,'02. MM-KLH'!$B$6:$T$823,12,0),"")</f>
        <v>ĐCHUYEN HỖ TRỢ XNB 2 THÁNG TỪ 13/07/2026</v>
      </c>
      <c r="N113" s="108" t="str">
        <f>IFERROR(VLOOKUP(B113,'02. MM-KLH'!$B$6:$T$823,13,0),"")</f>
        <v>JOHN DEERE</v>
      </c>
      <c r="O113" s="108" t="str">
        <f>IFERROR(VLOOKUP(B113,'02. MM-KLH'!$B$6:$T$823,14,0),"")</f>
        <v>MỸ</v>
      </c>
      <c r="P113" s="80">
        <f>IFERROR(VLOOKUP(B113,'02. MM-KLH'!$B$6:$T$823,15,0),"")</f>
        <v>2018</v>
      </c>
      <c r="Q113" s="80">
        <f>IFERROR(VLOOKUP(B113,'02. MM-KLH'!$B$6:$T$823,16,0),"")</f>
        <v>6603</v>
      </c>
      <c r="R113" s="106" t="str">
        <f>IFERROR(VLOOKUP(B113,'02. MM-KLH'!$B$6:$T$823,17,0),"")</f>
        <v>120HP</v>
      </c>
      <c r="S113" s="108">
        <f>IFERROR(VLOOKUP(B113,'02. MM-KLH'!$B$6:$T$823,18,0),"")</f>
        <v>32607</v>
      </c>
      <c r="T113" s="110" t="str">
        <f>IFERROR(VLOOKUP(B113,'02. MM-KLH'!$B$6:$T$823,19,0),"")</f>
        <v>CCN</v>
      </c>
      <c r="U113" s="130" t="s">
        <v>79</v>
      </c>
    </row>
    <row r="114" ht="13.5" customHeight="1">
      <c r="A114" s="80">
        <f t="shared" si="6"/>
        <v>5</v>
      </c>
      <c r="B114" s="115" t="s">
        <v>764</v>
      </c>
      <c r="C114" s="86" t="str">
        <f>IFERROR(VLOOKUP(B114,'02. MM-KLH'!$B$6:$T$823,2,0),"")</f>
        <v>CNN-MKE-010 (MK10NNKLH)</v>
      </c>
      <c r="D114" s="95" t="str">
        <f>IFERROR(VLOOKUP(B114,'02. MM-KLH'!$B$6:$T$823,3,0),"")</f>
        <v>ATT-A23-0016</v>
      </c>
      <c r="E114" s="86" t="str">
        <f>IFERROR(VLOOKUP(B114,'02. MM-KLH'!$B$6:$T$823,4,0),"")</f>
        <v/>
      </c>
      <c r="F114" s="115" t="s">
        <v>1747</v>
      </c>
      <c r="G114" s="86" t="str">
        <f>IFERROR(VLOOKUP(B114,'02. MM-KLH'!$B$6:$T$823,6,0),"")</f>
        <v>Máy cày JD 6603</v>
      </c>
      <c r="H114" s="80" t="s">
        <v>2054</v>
      </c>
      <c r="I114" s="80" t="str">
        <f>IFERROR(VLOOKUP(B114,'02. MM-KLH'!$B$6:$T$823,8,0),"")</f>
        <v>CGLĐ LP</v>
      </c>
      <c r="J114" s="99" t="str">
        <f>IFERROR(VLOOKUP(B114,'02. MM-KLH'!$B$6:$T$823,9,0),"")</f>
        <v/>
      </c>
      <c r="K114" s="80" t="str">
        <f>IFERROR(VLOOKUP(B114,'02. MM-KLH'!$B$6:$T$823,10,0),"")</f>
        <v>Bình thường</v>
      </c>
      <c r="L114" s="102" t="str">
        <f>IFERROR(VLOOKUP(B114,'02. MM-KLH'!$B$6:$T$823,11,0),"")</f>
        <v/>
      </c>
      <c r="M114" s="143" t="str">
        <f>IFERROR(VLOOKUP(B114,'02. MM-KLH'!$B$6:$T$823,12,0),"")</f>
        <v/>
      </c>
      <c r="N114" s="108" t="str">
        <f>IFERROR(VLOOKUP(B114,'02. MM-KLH'!$B$6:$T$823,13,0),"")</f>
        <v>JOHN DEERE</v>
      </c>
      <c r="O114" s="108" t="str">
        <f>IFERROR(VLOOKUP(B114,'02. MM-KLH'!$B$6:$T$823,14,0),"")</f>
        <v>MỸ</v>
      </c>
      <c r="P114" s="80">
        <f>IFERROR(VLOOKUP(B114,'02. MM-KLH'!$B$6:$T$823,15,0),"")</f>
        <v>2018</v>
      </c>
      <c r="Q114" s="80">
        <f>IFERROR(VLOOKUP(B114,'02. MM-KLH'!$B$6:$T$823,16,0),"")</f>
        <v>6603</v>
      </c>
      <c r="R114" s="106" t="str">
        <f>IFERROR(VLOOKUP(B114,'02. MM-KLH'!$B$6:$T$823,17,0),"")</f>
        <v>120HP</v>
      </c>
      <c r="S114" s="108" t="str">
        <f>IFERROR(VLOOKUP(B114,'02. MM-KLH'!$B$6:$T$823,18,0),"")</f>
        <v>J0033179</v>
      </c>
      <c r="T114" s="110" t="str">
        <f>IFERROR(VLOOKUP(B114,'02. MM-KLH'!$B$6:$T$823,19,0),"")</f>
        <v>05958</v>
      </c>
      <c r="U114" s="130" t="s">
        <v>79</v>
      </c>
    </row>
    <row r="115" ht="13.5" customHeight="1">
      <c r="A115" s="80">
        <f t="shared" si="6"/>
        <v>6</v>
      </c>
      <c r="B115" s="115" t="s">
        <v>768</v>
      </c>
      <c r="C115" s="86" t="str">
        <f>IFERROR(VLOOKUP(B115,'02. MM-KLH'!$B$6:$T$823,2,0),"")</f>
        <v>CNN-MKE-011(MK11NNKLH)</v>
      </c>
      <c r="D115" s="95" t="str">
        <f>IFERROR(VLOOKUP(B115,'02. MM-KLH'!$B$6:$T$823,3,0),"")</f>
        <v>ATT-A23-0016</v>
      </c>
      <c r="E115" s="86" t="str">
        <f>IFERROR(VLOOKUP(B115,'02. MM-KLH'!$B$6:$T$823,4,0),"")</f>
        <v/>
      </c>
      <c r="F115" s="115" t="s">
        <v>1747</v>
      </c>
      <c r="G115" s="86" t="str">
        <f>IFERROR(VLOOKUP(B115,'02. MM-KLH'!$B$6:$T$823,6,0),"")</f>
        <v>Máy cày JD 6603</v>
      </c>
      <c r="H115" s="80" t="s">
        <v>2054</v>
      </c>
      <c r="I115" s="80" t="str">
        <f>IFERROR(VLOOKUP(B115,'02. MM-KLH'!$B$6:$T$823,8,0),"")</f>
        <v>CGLĐ LP</v>
      </c>
      <c r="J115" s="99" t="str">
        <f>IFERROR(VLOOKUP(B115,'02. MM-KLH'!$B$6:$T$823,9,0),"")</f>
        <v/>
      </c>
      <c r="K115" s="80" t="str">
        <f>IFERROR(VLOOKUP(B115,'02. MM-KLH'!$B$6:$T$823,10,0),"")</f>
        <v>Bình thường</v>
      </c>
      <c r="L115" s="102" t="str">
        <f>IFERROR(VLOOKUP(B115,'02. MM-KLH'!$B$6:$T$823,11,0),"")</f>
        <v/>
      </c>
      <c r="M115" s="143" t="str">
        <f>IFERROR(VLOOKUP(B115,'02. MM-KLH'!$B$6:$T$823,12,0),"")</f>
        <v/>
      </c>
      <c r="N115" s="108" t="str">
        <f>IFERROR(VLOOKUP(B115,'02. MM-KLH'!$B$6:$T$823,13,0),"")</f>
        <v>JOHN DEERE</v>
      </c>
      <c r="O115" s="108" t="str">
        <f>IFERROR(VLOOKUP(B115,'02. MM-KLH'!$B$6:$T$823,14,0),"")</f>
        <v>MỸ</v>
      </c>
      <c r="P115" s="80">
        <f>IFERROR(VLOOKUP(B115,'02. MM-KLH'!$B$6:$T$823,15,0),"")</f>
        <v>2018</v>
      </c>
      <c r="Q115" s="80">
        <f>IFERROR(VLOOKUP(B115,'02. MM-KLH'!$B$6:$T$823,16,0),"")</f>
        <v>6603</v>
      </c>
      <c r="R115" s="106" t="str">
        <f>IFERROR(VLOOKUP(B115,'02. MM-KLH'!$B$6:$T$823,17,0),"")</f>
        <v>120HP</v>
      </c>
      <c r="S115" s="108" t="str">
        <f>IFERROR(VLOOKUP(B115,'02. MM-KLH'!$B$6:$T$823,18,0),"")</f>
        <v>1P06603XLJ0032211</v>
      </c>
      <c r="T115" s="110" t="str">
        <f>IFERROR(VLOOKUP(B115,'02. MM-KLH'!$B$6:$T$823,19,0),"")</f>
        <v>PE6068E003752</v>
      </c>
      <c r="U115" s="130" t="s">
        <v>79</v>
      </c>
    </row>
    <row r="116" ht="13.5" customHeight="1">
      <c r="A116" s="80">
        <f t="shared" si="6"/>
        <v>7</v>
      </c>
      <c r="B116" s="115" t="s">
        <v>840</v>
      </c>
      <c r="C116" s="86" t="str">
        <f>IFERROR(VLOOKUP(B116,'02. MM-KLH'!$B$6:$T$823,2,0),"")</f>
        <v>CNN-MKE-013(MK13NNKLH)</v>
      </c>
      <c r="D116" s="95" t="str">
        <f>IFERROR(VLOOKUP(B116,'02. MM-KLH'!$B$6:$T$823,3,0),"")</f>
        <v>ATT-A23-0016</v>
      </c>
      <c r="E116" s="86" t="str">
        <f>IFERROR(VLOOKUP(B116,'02. MM-KLH'!$B$6:$T$823,4,0),"")</f>
        <v/>
      </c>
      <c r="F116" s="115" t="s">
        <v>1747</v>
      </c>
      <c r="G116" s="86" t="str">
        <f>IFERROR(VLOOKUP(B116,'02. MM-KLH'!$B$6:$T$823,6,0),"")</f>
        <v>Máy cày JD 6603</v>
      </c>
      <c r="H116" s="80" t="s">
        <v>2054</v>
      </c>
      <c r="I116" s="80" t="str">
        <f>IFERROR(VLOOKUP(B116,'02. MM-KLH'!$B$6:$T$823,8,0),"")</f>
        <v>XN Bò AD</v>
      </c>
      <c r="J116" s="99">
        <f>IFERROR(VLOOKUP(B116,'02. MM-KLH'!$B$6:$T$823,9,0),"")</f>
        <v>43862</v>
      </c>
      <c r="K116" s="80" t="str">
        <f>IFERROR(VLOOKUP(B116,'02. MM-KLH'!$B$6:$T$823,10,0),"")</f>
        <v>Bình thường</v>
      </c>
      <c r="L116" s="102">
        <f>IFERROR(VLOOKUP(B116,'02. MM-KLH'!$B$6:$T$823,11,0),"")</f>
        <v>0.5</v>
      </c>
      <c r="M116" s="143" t="str">
        <f>IFERROR(VLOOKUP(B116,'02. MM-KLH'!$B$6:$T$823,12,0),"")</f>
        <v/>
      </c>
      <c r="N116" s="108" t="str">
        <f>IFERROR(VLOOKUP(B116,'02. MM-KLH'!$B$6:$T$823,13,0),"")</f>
        <v>JOHN DEERE</v>
      </c>
      <c r="O116" s="108" t="str">
        <f>IFERROR(VLOOKUP(B116,'02. MM-KLH'!$B$6:$T$823,14,0),"")</f>
        <v>MỸ</v>
      </c>
      <c r="P116" s="80">
        <f>IFERROR(VLOOKUP(B116,'02. MM-KLH'!$B$6:$T$823,15,0),"")</f>
        <v>2018</v>
      </c>
      <c r="Q116" s="80">
        <f>IFERROR(VLOOKUP(B116,'02. MM-KLH'!$B$6:$T$823,16,0),"")</f>
        <v>6603</v>
      </c>
      <c r="R116" s="106" t="str">
        <f>IFERROR(VLOOKUP(B116,'02. MM-KLH'!$B$6:$T$823,17,0),"")</f>
        <v>120HP</v>
      </c>
      <c r="S116" s="108">
        <f>IFERROR(VLOOKUP(B116,'02. MM-KLH'!$B$6:$T$823,18,0),"")</f>
        <v>33027</v>
      </c>
      <c r="T116" s="110" t="str">
        <f>IFERROR(VLOOKUP(B116,'02. MM-KLH'!$B$6:$T$823,19,0),"")</f>
        <v>CCN</v>
      </c>
      <c r="U116" s="130" t="s">
        <v>79</v>
      </c>
    </row>
    <row r="117" ht="13.5" customHeight="1">
      <c r="A117" s="80">
        <f t="shared" si="6"/>
        <v>8</v>
      </c>
      <c r="B117" s="115" t="s">
        <v>693</v>
      </c>
      <c r="C117" s="86" t="str">
        <f>IFERROR(VLOOKUP(B117,'02. MM-KLH'!$B$6:$T$823,2,0),"")</f>
        <v>MỚI </v>
      </c>
      <c r="D117" s="95" t="str">
        <f>IFERROR(VLOOKUP(B117,'02. MM-KLH'!$B$6:$T$823,3,0),"")</f>
        <v>A23-MKE-007</v>
      </c>
      <c r="E117" s="86" t="str">
        <f>IFERROR(VLOOKUP(B117,'02. MM-KLH'!$B$6:$T$823,4,0),"")</f>
        <v/>
      </c>
      <c r="F117" s="115" t="s">
        <v>2288</v>
      </c>
      <c r="G117" s="86" t="str">
        <f>IFERROR(VLOOKUP(B117,'02. MM-KLH'!$B$6:$T$823,6,0),"")</f>
        <v>Máy cày JD 6120B</v>
      </c>
      <c r="H117" s="80" t="s">
        <v>2054</v>
      </c>
      <c r="I117" s="80" t="str">
        <f>IFERROR(VLOOKUP(B117,'02. MM-KLH'!$B$6:$T$823,8,0),"")</f>
        <v>CGLĐ DP</v>
      </c>
      <c r="J117" s="99" t="str">
        <f>IFERROR(VLOOKUP(B117,'02. MM-KLH'!$B$6:$T$823,9,0),"")</f>
        <v>15/03/2024</v>
      </c>
      <c r="K117" s="80" t="str">
        <f>IFERROR(VLOOKUP(B117,'02. MM-KLH'!$B$6:$T$823,10,0),"")</f>
        <v>Bình thường</v>
      </c>
      <c r="L117" s="102" t="str">
        <f>IFERROR(VLOOKUP(B117,'02. MM-KLH'!$B$6:$T$823,11,0),"")</f>
        <v/>
      </c>
      <c r="M117" s="143" t="str">
        <f>IFERROR(VLOOKUP(B117,'02. MM-KLH'!$B$6:$T$823,12,0),"")</f>
        <v/>
      </c>
      <c r="N117" s="108" t="str">
        <f>IFERROR(VLOOKUP(B117,'02. MM-KLH'!$B$6:$T$823,13,0),"")</f>
        <v>JOHN DEERE</v>
      </c>
      <c r="O117" s="108" t="str">
        <f>IFERROR(VLOOKUP(B117,'02. MM-KLH'!$B$6:$T$823,14,0),"")</f>
        <v>MỸ</v>
      </c>
      <c r="P117" s="80">
        <f>IFERROR(VLOOKUP(B117,'02. MM-KLH'!$B$6:$T$823,15,0),"")</f>
        <v>2022</v>
      </c>
      <c r="Q117" s="80" t="str">
        <f>IFERROR(VLOOKUP(B117,'02. MM-KLH'!$B$6:$T$823,16,0),"")</f>
        <v>6120B</v>
      </c>
      <c r="R117" s="106" t="str">
        <f>IFERROR(VLOOKUP(B117,'02. MM-KLH'!$B$6:$T$823,17,0),"")</f>
        <v>120HP</v>
      </c>
      <c r="S117" s="108" t="str">
        <f>IFERROR(VLOOKUP(B117,'02. MM-KLH'!$B$6:$T$823,18,0),"")</f>
        <v>1YR6120BARD210216</v>
      </c>
      <c r="T117" s="110" t="str">
        <f>IFERROR(VLOOKUP(B117,'02. MM-KLH'!$B$6:$T$823,19,0),"")</f>
        <v>PE4045N035815</v>
      </c>
      <c r="U117" s="130" t="s">
        <v>2301</v>
      </c>
    </row>
    <row r="118" ht="13.5" customHeight="1">
      <c r="A118" s="80">
        <f t="shared" si="6"/>
        <v>9</v>
      </c>
      <c r="B118" s="115" t="s">
        <v>772</v>
      </c>
      <c r="C118" s="86" t="str">
        <f>IFERROR(VLOOKUP(B118,'02. MM-KLH'!$B$6:$T$823,2,0),"")</f>
        <v>MỚI</v>
      </c>
      <c r="D118" s="95" t="str">
        <f>IFERROR(VLOOKUP(B118,'02. MM-KLH'!$B$6:$T$823,3,0),"")</f>
        <v>ATM-A24-0101</v>
      </c>
      <c r="E118" s="86" t="str">
        <f>IFERROR(VLOOKUP(B118,'02. MM-KLH'!$B$6:$T$823,4,0),"")</f>
        <v/>
      </c>
      <c r="F118" s="115" t="s">
        <v>2305</v>
      </c>
      <c r="G118" s="86" t="str">
        <f>IFERROR(VLOOKUP(B118,'02. MM-KLH'!$B$6:$T$823,6,0),"")</f>
        <v>Máy cày JD 6120B</v>
      </c>
      <c r="H118" s="80" t="s">
        <v>2054</v>
      </c>
      <c r="I118" s="80" t="str">
        <f>IFERROR(VLOOKUP(B118,'02. MM-KLH'!$B$6:$T$823,8,0),"")</f>
        <v>CGLĐ LP</v>
      </c>
      <c r="J118" s="99" t="str">
        <f>IFERROR(VLOOKUP(B118,'02. MM-KLH'!$B$6:$T$823,9,0),"")</f>
        <v>15/03/2024</v>
      </c>
      <c r="K118" s="80" t="str">
        <f>IFERROR(VLOOKUP(B118,'02. MM-KLH'!$B$6:$T$823,10,0),"")</f>
        <v>Bình thường</v>
      </c>
      <c r="L118" s="102" t="str">
        <f>IFERROR(VLOOKUP(B118,'02. MM-KLH'!$B$6:$T$823,11,0),"")</f>
        <v/>
      </c>
      <c r="M118" s="143" t="str">
        <f>IFERROR(VLOOKUP(B118,'02. MM-KLH'!$B$6:$T$823,12,0),"")</f>
        <v/>
      </c>
      <c r="N118" s="108" t="str">
        <f>IFERROR(VLOOKUP(B118,'02. MM-KLH'!$B$6:$T$823,13,0),"")</f>
        <v>JOHN DEERE</v>
      </c>
      <c r="O118" s="108" t="str">
        <f>IFERROR(VLOOKUP(B118,'02. MM-KLH'!$B$6:$T$823,14,0),"")</f>
        <v>MỸ</v>
      </c>
      <c r="P118" s="80">
        <f>IFERROR(VLOOKUP(B118,'02. MM-KLH'!$B$6:$T$823,15,0),"")</f>
        <v>2022</v>
      </c>
      <c r="Q118" s="80" t="str">
        <f>IFERROR(VLOOKUP(B118,'02. MM-KLH'!$B$6:$T$823,16,0),"")</f>
        <v>6120B</v>
      </c>
      <c r="R118" s="106" t="str">
        <f>IFERROR(VLOOKUP(B118,'02. MM-KLH'!$B$6:$T$823,17,0),"")</f>
        <v>120HP</v>
      </c>
      <c r="S118" s="108" t="str">
        <f>IFERROR(VLOOKUP(B118,'02. MM-KLH'!$B$6:$T$823,18,0),"")</f>
        <v>1YR6120BERD210219</v>
      </c>
      <c r="T118" s="110" t="str">
        <f>IFERROR(VLOOKUP(B118,'02. MM-KLH'!$B$6:$T$823,19,0),"")</f>
        <v>PE4045N035800</v>
      </c>
      <c r="U118" s="130" t="s">
        <v>2301</v>
      </c>
    </row>
    <row r="119" ht="13.5" customHeight="1">
      <c r="A119" s="80">
        <f t="shared" si="6"/>
        <v>10</v>
      </c>
      <c r="B119" s="115" t="s">
        <v>700</v>
      </c>
      <c r="C119" s="86" t="str">
        <f>IFERROR(VLOOKUP(B119,'02. MM-KLH'!$B$6:$T$823,2,0),"")</f>
        <v>MỚI </v>
      </c>
      <c r="D119" s="95" t="str">
        <f>IFERROR(VLOOKUP(B119,'02. MM-KLH'!$B$6:$T$823,3,0),"")</f>
        <v>A23-MKE-008</v>
      </c>
      <c r="E119" s="86" t="str">
        <f>IFERROR(VLOOKUP(B119,'02. MM-KLH'!$B$6:$T$823,4,0),"")</f>
        <v/>
      </c>
      <c r="F119" s="115" t="s">
        <v>2333</v>
      </c>
      <c r="G119" s="86" t="str">
        <f>IFERROR(VLOOKUP(B119,'02. MM-KLH'!$B$6:$T$823,6,0),"")</f>
        <v>Máy cày JD 5090E</v>
      </c>
      <c r="H119" s="80" t="s">
        <v>2033</v>
      </c>
      <c r="I119" s="80" t="str">
        <f>IFERROR(VLOOKUP(B119,'02. MM-KLH'!$B$6:$T$823,8,0),"")</f>
        <v>CGLĐ DP</v>
      </c>
      <c r="J119" s="99" t="str">
        <f>IFERROR(VLOOKUP(B119,'02. MM-KLH'!$B$6:$T$823,9,0),"")</f>
        <v>15/03/2024</v>
      </c>
      <c r="K119" s="80" t="str">
        <f>IFERROR(VLOOKUP(B119,'02. MM-KLH'!$B$6:$T$823,10,0),"")</f>
        <v>Bình thường</v>
      </c>
      <c r="L119" s="102" t="str">
        <f>IFERROR(VLOOKUP(B119,'02. MM-KLH'!$B$6:$T$823,11,0),"")</f>
        <v/>
      </c>
      <c r="M119" s="143" t="str">
        <f>IFERROR(VLOOKUP(B119,'02. MM-KLH'!$B$6:$T$823,12,0),"")</f>
        <v/>
      </c>
      <c r="N119" s="108" t="str">
        <f>IFERROR(VLOOKUP(B119,'02. MM-KLH'!$B$6:$T$823,13,0),"")</f>
        <v>JOHN DEERE</v>
      </c>
      <c r="O119" s="108" t="str">
        <f>IFERROR(VLOOKUP(B119,'02. MM-KLH'!$B$6:$T$823,14,0),"")</f>
        <v>MỸ</v>
      </c>
      <c r="P119" s="80">
        <f>IFERROR(VLOOKUP(B119,'02. MM-KLH'!$B$6:$T$823,15,0),"")</f>
        <v>2022</v>
      </c>
      <c r="Q119" s="80" t="str">
        <f>IFERROR(VLOOKUP(B119,'02. MM-KLH'!$B$6:$T$823,16,0),"")</f>
        <v>5090E</v>
      </c>
      <c r="R119" s="106" t="str">
        <f>IFERROR(VLOOKUP(B119,'02. MM-KLH'!$B$6:$T$823,17,0),"")</f>
        <v>90HP</v>
      </c>
      <c r="S119" s="108" t="str">
        <f>IFERROR(VLOOKUP(B119,'02. MM-KLH'!$B$6:$T$823,18,0),"")</f>
        <v>1P05090ELN4073859</v>
      </c>
      <c r="T119" s="110" t="str">
        <f>IFERROR(VLOOKUP(B119,'02. MM-KLH'!$B$6:$T$823,19,0),"")</f>
        <v>PE4045E028102</v>
      </c>
      <c r="U119" s="130" t="s">
        <v>2301</v>
      </c>
    </row>
    <row r="120" ht="13.5" customHeight="1">
      <c r="A120" s="80">
        <f t="shared" si="6"/>
        <v>11</v>
      </c>
      <c r="B120" s="115" t="s">
        <v>847</v>
      </c>
      <c r="C120" s="86" t="str">
        <f>IFERROR(VLOOKUP(B120,'02. MM-KLH'!$B$6:$T$823,2,0),"")</f>
        <v>MỚI</v>
      </c>
      <c r="D120" s="95" t="str">
        <f>IFERROR(VLOOKUP(B120,'02. MM-KLH'!$B$6:$T$823,3,0),"")</f>
        <v>ATM-A24-0102</v>
      </c>
      <c r="E120" s="86" t="str">
        <f>IFERROR(VLOOKUP(B120,'02. MM-KLH'!$B$6:$T$823,4,0),"")</f>
        <v/>
      </c>
      <c r="F120" s="115" t="s">
        <v>2346</v>
      </c>
      <c r="G120" s="86" t="str">
        <f>IFERROR(VLOOKUP(B120,'02. MM-KLH'!$B$6:$T$823,6,0),"")</f>
        <v>Máy cày JD 5090E</v>
      </c>
      <c r="H120" s="80" t="s">
        <v>2033</v>
      </c>
      <c r="I120" s="80" t="str">
        <f>IFERROR(VLOOKUP(B120,'02. MM-KLH'!$B$6:$T$823,8,0),"")</f>
        <v>XN Bò AD</v>
      </c>
      <c r="J120" s="99" t="str">
        <f>IFERROR(VLOOKUP(B120,'02. MM-KLH'!$B$6:$T$823,9,0),"")</f>
        <v>15/03/2024</v>
      </c>
      <c r="K120" s="80" t="str">
        <f>IFERROR(VLOOKUP(B120,'02. MM-KLH'!$B$6:$T$823,10,0),"")</f>
        <v>Bình thường</v>
      </c>
      <c r="L120" s="102" t="str">
        <f>IFERROR(VLOOKUP(B120,'02. MM-KLH'!$B$6:$T$823,11,0),"")</f>
        <v/>
      </c>
      <c r="M120" s="143" t="str">
        <f>IFERROR(VLOOKUP(B120,'02. MM-KLH'!$B$6:$T$823,12,0),"")</f>
        <v>Đ.chuyển từ đội CGLĐ LP ngày 12.08.2024</v>
      </c>
      <c r="N120" s="108" t="str">
        <f>IFERROR(VLOOKUP(B120,'02. MM-KLH'!$B$6:$T$823,13,0),"")</f>
        <v>JOHN DEERE</v>
      </c>
      <c r="O120" s="108" t="str">
        <f>IFERROR(VLOOKUP(B120,'02. MM-KLH'!$B$6:$T$823,14,0),"")</f>
        <v>MỸ</v>
      </c>
      <c r="P120" s="80">
        <f>IFERROR(VLOOKUP(B120,'02. MM-KLH'!$B$6:$T$823,15,0),"")</f>
        <v>2022</v>
      </c>
      <c r="Q120" s="80" t="str">
        <f>IFERROR(VLOOKUP(B120,'02. MM-KLH'!$B$6:$T$823,16,0),"")</f>
        <v>5090E</v>
      </c>
      <c r="R120" s="106" t="str">
        <f>IFERROR(VLOOKUP(B120,'02. MM-KLH'!$B$6:$T$823,17,0),"")</f>
        <v>90HP</v>
      </c>
      <c r="S120" s="108" t="str">
        <f>IFERROR(VLOOKUP(B120,'02. MM-KLH'!$B$6:$T$823,18,0),"")</f>
        <v>1P05090EVN4073521</v>
      </c>
      <c r="T120" s="110" t="str">
        <f>IFERROR(VLOOKUP(B120,'02. MM-KLH'!$B$6:$T$823,19,0),"")</f>
        <v>PE4045E027602</v>
      </c>
      <c r="U120" s="130" t="s">
        <v>2301</v>
      </c>
    </row>
    <row r="121" ht="13.5" customHeight="1">
      <c r="A121" s="80">
        <f t="shared" si="6"/>
        <v>12</v>
      </c>
      <c r="B121" s="115" t="s">
        <v>776</v>
      </c>
      <c r="C121" s="86" t="str">
        <f>IFERROR(VLOOKUP(B121,'02. MM-KLH'!$B$6:$T$823,2,0),"")</f>
        <v>XB1-MKE-025</v>
      </c>
      <c r="D121" s="95" t="str">
        <f>IFERROR(VLOOKUP(B121,'02. MM-KLH'!$B$6:$T$823,3,0),"")</f>
        <v>ATT-A22-0312</v>
      </c>
      <c r="E121" s="86" t="str">
        <f>IFERROR(VLOOKUP(B121,'02. MM-KLH'!$B$6:$T$823,4,0),"")</f>
        <v/>
      </c>
      <c r="F121" s="115" t="s">
        <v>2356</v>
      </c>
      <c r="G121" s="86" t="str">
        <f>IFERROR(VLOOKUP(B121,'02. MM-KLH'!$B$6:$T$823,6,0),"")</f>
        <v>Máy cày JD 5090E</v>
      </c>
      <c r="H121" s="80" t="s">
        <v>2033</v>
      </c>
      <c r="I121" s="80" t="str">
        <f>IFERROR(VLOOKUP(B121,'02. MM-KLH'!$B$6:$T$823,8,0),"")</f>
        <v>CGLĐ LP</v>
      </c>
      <c r="J121" s="99">
        <f>IFERROR(VLOOKUP(B121,'02. MM-KLH'!$B$6:$T$823,9,0),"")</f>
        <v>45634</v>
      </c>
      <c r="K121" s="80" t="str">
        <f>IFERROR(VLOOKUP(B121,'02. MM-KLH'!$B$6:$T$823,10,0),"")</f>
        <v>Bình thường</v>
      </c>
      <c r="L121" s="102">
        <f>IFERROR(VLOOKUP(B121,'02. MM-KLH'!$B$6:$T$823,11,0),"")</f>
        <v>0.97</v>
      </c>
      <c r="M121" s="143" t="str">
        <f>IFERROR(VLOOKUP(B121,'02. MM-KLH'!$B$6:$T$823,12,0),"")</f>
        <v>Đ.chuyển từ đội CGLĐ AD ngày 12.08.2024</v>
      </c>
      <c r="N121" s="108" t="str">
        <f>IFERROR(VLOOKUP(B121,'02. MM-KLH'!$B$6:$T$823,13,0),"")</f>
        <v>JOHN DEERE</v>
      </c>
      <c r="O121" s="108" t="str">
        <f>IFERROR(VLOOKUP(B121,'02. MM-KLH'!$B$6:$T$823,14,0),"")</f>
        <v>MỸ</v>
      </c>
      <c r="P121" s="80">
        <f>IFERROR(VLOOKUP(B121,'02. MM-KLH'!$B$6:$T$823,15,0),"")</f>
        <v>2022</v>
      </c>
      <c r="Q121" s="80">
        <f>IFERROR(VLOOKUP(B121,'02. MM-KLH'!$B$6:$T$823,16,0),"")</f>
        <v>5090</v>
      </c>
      <c r="R121" s="106" t="str">
        <f>IFERROR(VLOOKUP(B121,'02. MM-KLH'!$B$6:$T$823,17,0),"")</f>
        <v>90HP</v>
      </c>
      <c r="S121" s="108" t="str">
        <f>IFERROR(VLOOKUP(B121,'02. MM-KLH'!$B$6:$T$823,18,0),"")</f>
        <v>1P05090EHN4073538</v>
      </c>
      <c r="T121" s="110" t="str">
        <f>IFERROR(VLOOKUP(B121,'02. MM-KLH'!$B$6:$T$823,19,0),"")</f>
        <v>PE4045E027590</v>
      </c>
      <c r="U121" s="130" t="s">
        <v>2301</v>
      </c>
    </row>
    <row r="122" ht="13.5" customHeight="1">
      <c r="A122" s="80">
        <f t="shared" si="6"/>
        <v>13</v>
      </c>
      <c r="B122" s="115" t="s">
        <v>1832</v>
      </c>
      <c r="C122" s="86" t="str">
        <f>IFERROR(VLOOKUP(B122,'02. MM-KLH'!$B$6:$T$823,2,0),"")</f>
        <v>CNN-MKE-024</v>
      </c>
      <c r="D122" s="95" t="str">
        <f>IFERROR(VLOOKUP(B122,'02. MM-KLH'!$B$6:$T$823,3,0),"")</f>
        <v>A23-MKE-009</v>
      </c>
      <c r="E122" s="86" t="str">
        <f>IFERROR(VLOOKUP(B122,'02. MM-KLH'!$B$6:$T$823,4,0),"")</f>
        <v/>
      </c>
      <c r="F122" s="115"/>
      <c r="G122" s="86" t="str">
        <f>IFERROR(VLOOKUP(B122,'02. MM-KLH'!$B$6:$T$823,6,0),"")</f>
        <v>Máy cày JD 6155J</v>
      </c>
      <c r="H122" s="80" t="s">
        <v>2370</v>
      </c>
      <c r="I122" s="80" t="str">
        <f>IFERROR(VLOOKUP(B122,'02. MM-KLH'!$B$6:$T$823,8,0),"")</f>
        <v>XN Bò AD</v>
      </c>
      <c r="J122" s="99">
        <f>IFERROR(VLOOKUP(B122,'02. MM-KLH'!$B$6:$T$823,9,0),"")</f>
        <v>45540</v>
      </c>
      <c r="K122" s="80" t="str">
        <f>IFERROR(VLOOKUP(B122,'02. MM-KLH'!$B$6:$T$823,10,0),"")</f>
        <v>Bình thường</v>
      </c>
      <c r="L122" s="102" t="str">
        <f>IFERROR(VLOOKUP(B122,'02. MM-KLH'!$B$6:$T$823,11,0),"")</f>
        <v/>
      </c>
      <c r="M122" s="143" t="str">
        <f>IFERROR(VLOOKUP(B122,'02. MM-KLH'!$B$6:$T$823,12,0),"")</f>
        <v>CGLĐ LP đchuyen qua ngày 22.05.2026</v>
      </c>
      <c r="N122" s="108" t="str">
        <f>IFERROR(VLOOKUP(B122,'02. MM-KLH'!$B$6:$T$823,13,0),"")</f>
        <v>JOHN DEERE</v>
      </c>
      <c r="O122" s="108" t="str">
        <f>IFERROR(VLOOKUP(B122,'02. MM-KLH'!$B$6:$T$823,14,0),"")</f>
        <v>MỸ</v>
      </c>
      <c r="P122" s="80">
        <f>IFERROR(VLOOKUP(B122,'02. MM-KLH'!$B$6:$T$823,15,0),"")</f>
        <v>2022</v>
      </c>
      <c r="Q122" s="80" t="str">
        <f>IFERROR(VLOOKUP(B122,'02. MM-KLH'!$B$6:$T$823,16,0),"")</f>
        <v>6155J</v>
      </c>
      <c r="R122" s="106" t="str">
        <f>IFERROR(VLOOKUP(B122,'02. MM-KLH'!$B$6:$T$823,17,0),"")</f>
        <v>155HP</v>
      </c>
      <c r="S122" s="108" t="str">
        <f>IFERROR(VLOOKUP(B122,'02. MM-KLH'!$B$6:$T$823,18,0),"")</f>
        <v>1P06155JCP8010851</v>
      </c>
      <c r="T122" s="110" t="str">
        <f>IFERROR(VLOOKUP(B122,'02. MM-KLH'!$B$6:$T$823,19,0),"")</f>
        <v>PE6068J008136</v>
      </c>
      <c r="U122" s="130" t="s">
        <v>2301</v>
      </c>
    </row>
    <row r="123" ht="13.5" customHeight="1">
      <c r="A123" s="80">
        <f t="shared" si="6"/>
        <v>14</v>
      </c>
      <c r="B123" s="115" t="s">
        <v>781</v>
      </c>
      <c r="C123" s="86" t="str">
        <f>IFERROR(VLOOKUP(B123,'02. MM-KLH'!$B$6:$T$823,2,0),"")</f>
        <v>MỚI</v>
      </c>
      <c r="D123" s="95" t="str">
        <f>IFERROR(VLOOKUP(B123,'02. MM-KLH'!$B$6:$T$823,3,0),"")</f>
        <v>ATM-A24-0103</v>
      </c>
      <c r="E123" s="86" t="str">
        <f>IFERROR(VLOOKUP(B123,'02. MM-KLH'!$B$6:$T$823,4,0),"")</f>
        <v/>
      </c>
      <c r="F123" s="115" t="s">
        <v>2382</v>
      </c>
      <c r="G123" s="86" t="str">
        <f>IFERROR(VLOOKUP(B123,'02. MM-KLH'!$B$6:$T$823,6,0),"")</f>
        <v>Máy cày JD 6155J</v>
      </c>
      <c r="H123" s="80" t="s">
        <v>2370</v>
      </c>
      <c r="I123" s="80" t="str">
        <f>IFERROR(VLOOKUP(B123,'02. MM-KLH'!$B$6:$T$823,8,0),"")</f>
        <v>CGLĐ LP</v>
      </c>
      <c r="J123" s="99">
        <f>IFERROR(VLOOKUP(B123,'02. MM-KLH'!$B$6:$T$823,9,0),"")</f>
        <v>45540</v>
      </c>
      <c r="K123" s="80" t="str">
        <f>IFERROR(VLOOKUP(B123,'02. MM-KLH'!$B$6:$T$823,10,0),"")</f>
        <v>Bình thường</v>
      </c>
      <c r="L123" s="102" t="str">
        <f>IFERROR(VLOOKUP(B123,'02. MM-KLH'!$B$6:$T$823,11,0),"")</f>
        <v/>
      </c>
      <c r="M123" s="143" t="str">
        <f>IFERROR(VLOOKUP(B123,'02. MM-KLH'!$B$6:$T$823,12,0),"")</f>
        <v/>
      </c>
      <c r="N123" s="108" t="str">
        <f>IFERROR(VLOOKUP(B123,'02. MM-KLH'!$B$6:$T$823,13,0),"")</f>
        <v>JOHN DEERE</v>
      </c>
      <c r="O123" s="108" t="str">
        <f>IFERROR(VLOOKUP(B123,'02. MM-KLH'!$B$6:$T$823,14,0),"")</f>
        <v>MỸ</v>
      </c>
      <c r="P123" s="80">
        <f>IFERROR(VLOOKUP(B123,'02. MM-KLH'!$B$6:$T$823,15,0),"")</f>
        <v>2022</v>
      </c>
      <c r="Q123" s="80" t="str">
        <f>IFERROR(VLOOKUP(B123,'02. MM-KLH'!$B$6:$T$823,16,0),"")</f>
        <v>6155J</v>
      </c>
      <c r="R123" s="106" t="str">
        <f>IFERROR(VLOOKUP(B123,'02. MM-KLH'!$B$6:$T$823,17,0),"")</f>
        <v>155HP</v>
      </c>
      <c r="S123" s="108" t="str">
        <f>IFERROR(VLOOKUP(B123,'02. MM-KLH'!$B$6:$T$823,18,0),"")</f>
        <v>1P06155JJP8010850</v>
      </c>
      <c r="T123" s="110" t="str">
        <f>IFERROR(VLOOKUP(B123,'02. MM-KLH'!$B$6:$T$823,19,0),"")</f>
        <v>PE6068J008148</v>
      </c>
      <c r="U123" s="130" t="s">
        <v>2301</v>
      </c>
    </row>
    <row r="124" ht="13.5" customHeight="1">
      <c r="A124" s="80">
        <f t="shared" si="6"/>
        <v>15</v>
      </c>
      <c r="B124" s="115" t="s">
        <v>793</v>
      </c>
      <c r="C124" s="86" t="str">
        <f>IFERROR(VLOOKUP(B124,'02. MM-KLH'!$B$6:$T$823,2,0),"")</f>
        <v>MỚI (ĐQSD)</v>
      </c>
      <c r="D124" s="95" t="str">
        <f>IFERROR(VLOOKUP(B124,'02. MM-KLH'!$B$6:$T$823,3,0),"")</f>
        <v>A24-MKE-021</v>
      </c>
      <c r="E124" s="86" t="str">
        <f>IFERROR(VLOOKUP(B124,'02. MM-KLH'!$B$6:$T$823,4,0),"")</f>
        <v/>
      </c>
      <c r="F124" s="115" t="s">
        <v>794</v>
      </c>
      <c r="G124" s="86" t="str">
        <f>IFERROR(VLOOKUP(B124,'02. MM-KLH'!$B$6:$T$823,6,0),"")</f>
        <v>Máy cày JD 6400</v>
      </c>
      <c r="H124" s="80" t="s">
        <v>2033</v>
      </c>
      <c r="I124" s="80" t="str">
        <f>IFERROR(VLOOKUP(B124,'02. MM-KLH'!$B$6:$T$823,8,0),"")</f>
        <v>CGLĐ LP</v>
      </c>
      <c r="J124" s="99">
        <f>IFERROR(VLOOKUP(B124,'02. MM-KLH'!$B$6:$T$823,9,0),"")</f>
        <v>45360</v>
      </c>
      <c r="K124" s="80" t="str">
        <f>IFERROR(VLOOKUP(B124,'02. MM-KLH'!$B$6:$T$823,10,0),"")</f>
        <v>Bình thường</v>
      </c>
      <c r="L124" s="102" t="str">
        <f>IFERROR(VLOOKUP(B124,'02. MM-KLH'!$B$6:$T$823,11,0),"")</f>
        <v/>
      </c>
      <c r="M124" s="143" t="str">
        <f>IFERROR(VLOOKUP(B124,'02. MM-KLH'!$B$6:$T$823,12,0),"")</f>
        <v>Đầu tư mới</v>
      </c>
      <c r="N124" s="108" t="str">
        <f>IFERROR(VLOOKUP(B124,'02. MM-KLH'!$B$6:$T$823,13,0),"")</f>
        <v>JOHN DEERE</v>
      </c>
      <c r="O124" s="108" t="str">
        <f>IFERROR(VLOOKUP(B124,'02. MM-KLH'!$B$6:$T$823,14,0),"")</f>
        <v>ĐỨC</v>
      </c>
      <c r="P124" s="80">
        <f>IFERROR(VLOOKUP(B124,'02. MM-KLH'!$B$6:$T$823,15,0),"")</f>
        <v>1998</v>
      </c>
      <c r="Q124" s="80">
        <f>IFERROR(VLOOKUP(B124,'02. MM-KLH'!$B$6:$T$823,16,0),"")</f>
        <v>6400</v>
      </c>
      <c r="R124" s="106" t="str">
        <f>IFERROR(VLOOKUP(B124,'02. MM-KLH'!$B$6:$T$823,17,0),"")</f>
        <v>100HP</v>
      </c>
      <c r="S124" s="108" t="str">
        <f>IFERROR(VLOOKUP(B124,'02. MM-KLH'!$B$6:$T$823,18,0),"")</f>
        <v>L06400V127612</v>
      </c>
      <c r="T124" s="110" t="str">
        <f>IFERROR(VLOOKUP(B124,'02. MM-KLH'!$B$6:$T$823,19,0),"")</f>
        <v>CD4045T744536</v>
      </c>
      <c r="U124" s="130" t="s">
        <v>235</v>
      </c>
    </row>
    <row r="125" ht="13.5" customHeight="1">
      <c r="A125" s="80">
        <f t="shared" si="6"/>
        <v>16</v>
      </c>
      <c r="B125" s="115" t="s">
        <v>708</v>
      </c>
      <c r="C125" s="86" t="str">
        <f>IFERROR(VLOOKUP(B125,'02. MM-KLH'!$B$6:$T$823,2,0),"")</f>
        <v>MỚI (ĐQSD)</v>
      </c>
      <c r="D125" s="95" t="str">
        <f>IFERROR(VLOOKUP(B125,'02. MM-KLH'!$B$6:$T$823,3,0),"")</f>
        <v>A23-MKE-034</v>
      </c>
      <c r="E125" s="86" t="str">
        <f>IFERROR(VLOOKUP(B125,'02. MM-KLH'!$B$6:$T$823,4,0),"")</f>
        <v/>
      </c>
      <c r="F125" s="115"/>
      <c r="G125" s="86" t="str">
        <f>IFERROR(VLOOKUP(B125,'02. MM-KLH'!$B$6:$T$823,6,0),"")</f>
        <v>Máy cày JD 6400</v>
      </c>
      <c r="H125" s="80" t="s">
        <v>2370</v>
      </c>
      <c r="I125" s="80" t="str">
        <f>IFERROR(VLOOKUP(B125,'02. MM-KLH'!$B$6:$T$823,8,0),"")</f>
        <v>CGLĐ DP</v>
      </c>
      <c r="J125" s="99" t="str">
        <f>IFERROR(VLOOKUP(B125,'02. MM-KLH'!$B$6:$T$823,9,0),"")</f>
        <v>18/01/2025</v>
      </c>
      <c r="K125" s="80" t="str">
        <f>IFERROR(VLOOKUP(B125,'02. MM-KLH'!$B$6:$T$823,10,0),"")</f>
        <v>Bình thường</v>
      </c>
      <c r="L125" s="102" t="str">
        <f>IFERROR(VLOOKUP(B125,'02. MM-KLH'!$B$6:$T$823,11,0),"")</f>
        <v/>
      </c>
      <c r="M125" s="143" t="str">
        <f>IFERROR(VLOOKUP(B125,'02. MM-KLH'!$B$6:$T$823,12,0),"")</f>
        <v>Đầu tư mới</v>
      </c>
      <c r="N125" s="108" t="str">
        <f>IFERROR(VLOOKUP(B125,'02. MM-KLH'!$B$6:$T$823,13,0),"")</f>
        <v>JOHN DEERE</v>
      </c>
      <c r="O125" s="108" t="str">
        <f>IFERROR(VLOOKUP(B125,'02. MM-KLH'!$B$6:$T$823,14,0),"")</f>
        <v>MỸ</v>
      </c>
      <c r="P125" s="80">
        <f>IFERROR(VLOOKUP(B125,'02. MM-KLH'!$B$6:$T$823,15,0),"")</f>
        <v>1998</v>
      </c>
      <c r="Q125" s="80">
        <f>IFERROR(VLOOKUP(B125,'02. MM-KLH'!$B$6:$T$823,16,0),"")</f>
        <v>6400</v>
      </c>
      <c r="R125" s="106" t="str">
        <f>IFERROR(VLOOKUP(B125,'02. MM-KLH'!$B$6:$T$823,17,0),"")</f>
        <v>100HP</v>
      </c>
      <c r="S125" s="108" t="str">
        <f>IFERROR(VLOOKUP(B125,'02. MM-KLH'!$B$6:$T$823,18,0),"")</f>
        <v>V120937</v>
      </c>
      <c r="T125" s="110" t="str">
        <f>IFERROR(VLOOKUP(B125,'02. MM-KLH'!$B$6:$T$823,19,0),"")</f>
        <v>T149522</v>
      </c>
      <c r="U125" s="130" t="s">
        <v>235</v>
      </c>
    </row>
    <row r="126" ht="13.5" customHeight="1">
      <c r="A126" s="80">
        <f t="shared" si="6"/>
        <v>17</v>
      </c>
      <c r="B126" s="115" t="s">
        <v>714</v>
      </c>
      <c r="C126" s="86" t="str">
        <f>IFERROR(VLOOKUP(B126,'02. MM-KLH'!$B$6:$T$823,2,0),"")</f>
        <v>MỚI (ĐQSD)</v>
      </c>
      <c r="D126" s="95" t="str">
        <f>IFERROR(VLOOKUP(B126,'02. MM-KLH'!$B$6:$T$823,3,0),"")</f>
        <v>A23-MKE-035</v>
      </c>
      <c r="E126" s="86" t="str">
        <f>IFERROR(VLOOKUP(B126,'02. MM-KLH'!$B$6:$T$823,4,0),"")</f>
        <v/>
      </c>
      <c r="F126" s="115"/>
      <c r="G126" s="86" t="str">
        <f>IFERROR(VLOOKUP(B126,'02. MM-KLH'!$B$6:$T$823,6,0),"")</f>
        <v>Máy cày JD 6400</v>
      </c>
      <c r="H126" s="80" t="s">
        <v>2370</v>
      </c>
      <c r="I126" s="80" t="str">
        <f>IFERROR(VLOOKUP(B126,'02. MM-KLH'!$B$6:$T$823,8,0),"")</f>
        <v>CGLĐ DP</v>
      </c>
      <c r="J126" s="99" t="str">
        <f>IFERROR(VLOOKUP(B126,'02. MM-KLH'!$B$6:$T$823,9,0),"")</f>
        <v>18/01/2025</v>
      </c>
      <c r="K126" s="80" t="str">
        <f>IFERROR(VLOOKUP(B126,'02. MM-KLH'!$B$6:$T$823,10,0),"")</f>
        <v>Bình thường</v>
      </c>
      <c r="L126" s="102" t="str">
        <f>IFERROR(VLOOKUP(B126,'02. MM-KLH'!$B$6:$T$823,11,0),"")</f>
        <v/>
      </c>
      <c r="M126" s="143" t="str">
        <f>IFERROR(VLOOKUP(B126,'02. MM-KLH'!$B$6:$T$823,12,0),"")</f>
        <v>Đầu tư mới</v>
      </c>
      <c r="N126" s="108" t="str">
        <f>IFERROR(VLOOKUP(B126,'02. MM-KLH'!$B$6:$T$823,13,0),"")</f>
        <v>JOHN DEERE</v>
      </c>
      <c r="O126" s="108" t="str">
        <f>IFERROR(VLOOKUP(B126,'02. MM-KLH'!$B$6:$T$823,14,0),"")</f>
        <v>MỸ</v>
      </c>
      <c r="P126" s="80">
        <f>IFERROR(VLOOKUP(B126,'02. MM-KLH'!$B$6:$T$823,15,0),"")</f>
        <v>1998</v>
      </c>
      <c r="Q126" s="80">
        <f>IFERROR(VLOOKUP(B126,'02. MM-KLH'!$B$6:$T$823,16,0),"")</f>
        <v>6400</v>
      </c>
      <c r="R126" s="106" t="str">
        <f>IFERROR(VLOOKUP(B126,'02. MM-KLH'!$B$6:$T$823,17,0),"")</f>
        <v>100HP</v>
      </c>
      <c r="S126" s="108" t="str">
        <f>IFERROR(VLOOKUP(B126,'02. MM-KLH'!$B$6:$T$823,18,0),"")</f>
        <v>V190731</v>
      </c>
      <c r="T126" s="110" t="str">
        <f>IFERROR(VLOOKUP(B126,'02. MM-KLH'!$B$6:$T$823,19,0),"")</f>
        <v>T318857</v>
      </c>
      <c r="U126" s="130" t="s">
        <v>235</v>
      </c>
    </row>
    <row r="127" ht="13.5" customHeight="1">
      <c r="A127" s="80">
        <f t="shared" si="6"/>
        <v>18</v>
      </c>
      <c r="B127" s="270" t="s">
        <v>806</v>
      </c>
      <c r="C127" s="86" t="str">
        <f>IFERROR(VLOOKUP(B127,'02. MM-KLH'!$B$6:$T$823,2,0),"")</f>
        <v>MỚI (ĐQSD)</v>
      </c>
      <c r="D127" s="95" t="str">
        <f>IFERROR(VLOOKUP(B127,'02. MM-KLH'!$B$6:$T$823,3,0),"")</f>
        <v>A24-MKE-030</v>
      </c>
      <c r="E127" s="86" t="str">
        <f>IFERROR(VLOOKUP(B127,'02. MM-KLH'!$B$6:$T$823,4,0),"")</f>
        <v/>
      </c>
      <c r="F127" s="270"/>
      <c r="G127" s="86" t="str">
        <f>IFERROR(VLOOKUP(B127,'02. MM-KLH'!$B$6:$T$823,6,0),"")</f>
        <v>Máy cày JD 3350</v>
      </c>
      <c r="H127" s="271" t="s">
        <v>2033</v>
      </c>
      <c r="I127" s="80" t="str">
        <f>IFERROR(VLOOKUP(B127,'02. MM-KLH'!$B$6:$T$823,8,0),"")</f>
        <v>CGLĐ LP</v>
      </c>
      <c r="J127" s="99">
        <f>IFERROR(VLOOKUP(B127,'02. MM-KLH'!$B$6:$T$823,9,0),"")</f>
        <v>45993</v>
      </c>
      <c r="K127" s="80" t="str">
        <f>IFERROR(VLOOKUP(B127,'02. MM-KLH'!$B$6:$T$823,10,0),"")</f>
        <v>Bình thường</v>
      </c>
      <c r="L127" s="102" t="str">
        <f>IFERROR(VLOOKUP(B127,'02. MM-KLH'!$B$6:$T$823,11,0),"")</f>
        <v/>
      </c>
      <c r="M127" s="143" t="str">
        <f>IFERROR(VLOOKUP(B127,'02. MM-KLH'!$B$6:$T$823,12,0),"")</f>
        <v>Đầu tư mới</v>
      </c>
      <c r="N127" s="108" t="str">
        <f>IFERROR(VLOOKUP(B127,'02. MM-KLH'!$B$6:$T$823,13,0),"")</f>
        <v>JOHN DEERE</v>
      </c>
      <c r="O127" s="108" t="str">
        <f>IFERROR(VLOOKUP(B127,'02. MM-KLH'!$B$6:$T$823,14,0),"")</f>
        <v>ĐỨC</v>
      </c>
      <c r="P127" s="80">
        <f>IFERROR(VLOOKUP(B127,'02. MM-KLH'!$B$6:$T$823,15,0),"")</f>
        <v>1993</v>
      </c>
      <c r="Q127" s="80">
        <f>IFERROR(VLOOKUP(B127,'02. MM-KLH'!$B$6:$T$823,16,0),"")</f>
        <v>3350</v>
      </c>
      <c r="R127" s="106" t="str">
        <f>IFERROR(VLOOKUP(B127,'02. MM-KLH'!$B$6:$T$823,17,0),"")</f>
        <v>100HP</v>
      </c>
      <c r="S127" s="108">
        <f>IFERROR(VLOOKUP(B127,'02. MM-KLH'!$B$6:$T$823,18,0),"")</f>
        <v>608107</v>
      </c>
      <c r="T127" s="110" t="str">
        <f>IFERROR(VLOOKUP(B127,'02. MM-KLH'!$B$6:$T$823,19,0),"")</f>
        <v>CD0635-90696675</v>
      </c>
      <c r="U127" s="130" t="s">
        <v>235</v>
      </c>
    </row>
    <row r="128" ht="13.5" customHeight="1">
      <c r="A128" s="80">
        <f t="shared" si="6"/>
        <v>19</v>
      </c>
      <c r="B128" s="270" t="s">
        <v>809</v>
      </c>
      <c r="C128" s="86" t="str">
        <f>IFERROR(VLOOKUP(B128,'02. MM-KLH'!$B$6:$T$823,2,0),"")</f>
        <v>MỚI (ĐQSD)</v>
      </c>
      <c r="D128" s="95" t="str">
        <f>IFERROR(VLOOKUP(B128,'02. MM-KLH'!$B$6:$T$823,3,0),"")</f>
        <v>A24-MKE-031</v>
      </c>
      <c r="E128" s="86" t="str">
        <f>IFERROR(VLOOKUP(B128,'02. MM-KLH'!$B$6:$T$823,4,0),"")</f>
        <v/>
      </c>
      <c r="F128" s="270"/>
      <c r="G128" s="86" t="str">
        <f>IFERROR(VLOOKUP(B128,'02. MM-KLH'!$B$6:$T$823,6,0),"")</f>
        <v>Máy cày JD 3650</v>
      </c>
      <c r="H128" s="271" t="s">
        <v>2054</v>
      </c>
      <c r="I128" s="80" t="str">
        <f>IFERROR(VLOOKUP(B128,'02. MM-KLH'!$B$6:$T$823,8,0),"")</f>
        <v>CGLĐ LP</v>
      </c>
      <c r="J128" s="99" t="str">
        <f>IFERROR(VLOOKUP(B128,'02. MM-KLH'!$B$6:$T$823,9,0),"")</f>
        <v>25/02/2025</v>
      </c>
      <c r="K128" s="80" t="str">
        <f>IFERROR(VLOOKUP(B128,'02. MM-KLH'!$B$6:$T$823,10,0),"")</f>
        <v>Bình thường</v>
      </c>
      <c r="L128" s="102" t="str">
        <f>IFERROR(VLOOKUP(B128,'02. MM-KLH'!$B$6:$T$823,11,0),"")</f>
        <v/>
      </c>
      <c r="M128" s="143" t="str">
        <f>IFERROR(VLOOKUP(B128,'02. MM-KLH'!$B$6:$T$823,12,0),"")</f>
        <v>Đầu tư mới</v>
      </c>
      <c r="N128" s="108" t="str">
        <f>IFERROR(VLOOKUP(B128,'02. MM-KLH'!$B$6:$T$823,13,0),"")</f>
        <v>JOHN DEERE</v>
      </c>
      <c r="O128" s="108" t="str">
        <f>IFERROR(VLOOKUP(B128,'02. MM-KLH'!$B$6:$T$823,14,0),"")</f>
        <v>ĐỨC</v>
      </c>
      <c r="P128" s="80">
        <f>IFERROR(VLOOKUP(B128,'02. MM-KLH'!$B$6:$T$823,15,0),"")</f>
        <v>1993</v>
      </c>
      <c r="Q128" s="80">
        <f>IFERROR(VLOOKUP(B128,'02. MM-KLH'!$B$6:$T$823,16,0),"")</f>
        <v>3650</v>
      </c>
      <c r="R128" s="106" t="str">
        <f>IFERROR(VLOOKUP(B128,'02. MM-KLH'!$B$6:$T$823,17,0),"")</f>
        <v>115HP</v>
      </c>
      <c r="S128" s="108" t="str">
        <f>IFERROR(VLOOKUP(B128,'02. MM-KLH'!$B$6:$T$823,18,0),"")</f>
        <v>U573763</v>
      </c>
      <c r="T128" s="110" t="str">
        <f>IFERROR(VLOOKUP(B128,'02. MM-KLH'!$B$6:$T$823,19,0),"")</f>
        <v>149701CD</v>
      </c>
      <c r="U128" s="130" t="s">
        <v>235</v>
      </c>
    </row>
    <row r="129" ht="13.5" customHeight="1">
      <c r="A129" s="80">
        <f t="shared" si="6"/>
        <v>20</v>
      </c>
      <c r="B129" s="115" t="s">
        <v>718</v>
      </c>
      <c r="C129" s="86" t="str">
        <f>IFERROR(VLOOKUP(B129,'02. MM-KLH'!$B$6:$T$823,2,0),"")</f>
        <v>MỚI (ĐQSD)</v>
      </c>
      <c r="D129" s="95" t="str">
        <f>IFERROR(VLOOKUP(B129,'02. MM-KLH'!$B$6:$T$823,3,0),"")</f>
        <v>A23-MKE-036</v>
      </c>
      <c r="E129" s="86" t="str">
        <f>IFERROR(VLOOKUP(B129,'02. MM-KLH'!$B$6:$T$823,4,0),"")</f>
        <v/>
      </c>
      <c r="F129" s="115"/>
      <c r="G129" s="86" t="str">
        <f>IFERROR(VLOOKUP(B129,'02. MM-KLH'!$B$6:$T$823,6,0),"")</f>
        <v>Máy cày JD 2850</v>
      </c>
      <c r="H129" s="80" t="s">
        <v>2054</v>
      </c>
      <c r="I129" s="80" t="str">
        <f>IFERROR(VLOOKUP(B129,'02. MM-KLH'!$B$6:$T$823,8,0),"")</f>
        <v>CGLĐ DP</v>
      </c>
      <c r="J129" s="99">
        <f>IFERROR(VLOOKUP(B129,'02. MM-KLH'!$B$6:$T$823,9,0),"")</f>
        <v>45811</v>
      </c>
      <c r="K129" s="80" t="str">
        <f>IFERROR(VLOOKUP(B129,'02. MM-KLH'!$B$6:$T$823,10,0),"")</f>
        <v>Bình thường</v>
      </c>
      <c r="L129" s="102" t="str">
        <f>IFERROR(VLOOKUP(B129,'02. MM-KLH'!$B$6:$T$823,11,0),"")</f>
        <v/>
      </c>
      <c r="M129" s="143" t="str">
        <f>IFERROR(VLOOKUP(B129,'02. MM-KLH'!$B$6:$T$823,12,0),"")</f>
        <v>Đầu tư mới</v>
      </c>
      <c r="N129" s="108" t="str">
        <f>IFERROR(VLOOKUP(B129,'02. MM-KLH'!$B$6:$T$823,13,0),"")</f>
        <v>JOHN DEERE</v>
      </c>
      <c r="O129" s="108" t="str">
        <f>IFERROR(VLOOKUP(B129,'02. MM-KLH'!$B$6:$T$823,14,0),"")</f>
        <v>ĐỨC</v>
      </c>
      <c r="P129" s="80">
        <f>IFERROR(VLOOKUP(B129,'02. MM-KLH'!$B$6:$T$823,15,0),"")</f>
        <v>1994</v>
      </c>
      <c r="Q129" s="80">
        <f>IFERROR(VLOOKUP(B129,'02. MM-KLH'!$B$6:$T$823,16,0),"")</f>
        <v>2850</v>
      </c>
      <c r="R129" s="106" t="str">
        <f>IFERROR(VLOOKUP(B129,'02. MM-KLH'!$B$6:$T$823,17,0),"")</f>
        <v>85HP</v>
      </c>
      <c r="S129" s="108" t="str">
        <f>IFERROR(VLOOKUP(B129,'02. MM-KLH'!$B$6:$T$823,18,0),"")</f>
        <v>717696L</v>
      </c>
      <c r="T129" s="110" t="str">
        <f>IFERROR(VLOOKUP(B129,'02. MM-KLH'!$B$6:$T$823,19,0),"")</f>
        <v>CD4239T907229</v>
      </c>
      <c r="U129" s="130" t="s">
        <v>235</v>
      </c>
    </row>
    <row r="130" ht="13.5" customHeight="1">
      <c r="A130" s="80">
        <f t="shared" si="6"/>
        <v>21</v>
      </c>
      <c r="B130" s="115" t="s">
        <v>724</v>
      </c>
      <c r="C130" s="86" t="str">
        <f>IFERROR(VLOOKUP(B130,'02. MM-KLH'!$B$6:$T$823,2,0),"")</f>
        <v>MỚI (ĐQSD)</v>
      </c>
      <c r="D130" s="95" t="str">
        <f>IFERROR(VLOOKUP(B130,'02. MM-KLH'!$B$6:$T$823,3,0),"")</f>
        <v>A23-MKE-037</v>
      </c>
      <c r="E130" s="86" t="str">
        <f>IFERROR(VLOOKUP(B130,'02. MM-KLH'!$B$6:$T$823,4,0),"")</f>
        <v/>
      </c>
      <c r="F130" s="115"/>
      <c r="G130" s="86" t="str">
        <f>IFERROR(VLOOKUP(B130,'02. MM-KLH'!$B$6:$T$823,6,0),"")</f>
        <v>Máy cày JD 3350</v>
      </c>
      <c r="H130" s="80" t="s">
        <v>2054</v>
      </c>
      <c r="I130" s="80" t="str">
        <f>IFERROR(VLOOKUP(B130,'02. MM-KLH'!$B$6:$T$823,8,0),"")</f>
        <v>CGLĐ DP</v>
      </c>
      <c r="J130" s="99">
        <f>IFERROR(VLOOKUP(B130,'02. MM-KLH'!$B$6:$T$823,9,0),"")</f>
        <v>45811</v>
      </c>
      <c r="K130" s="80" t="str">
        <f>IFERROR(VLOOKUP(B130,'02. MM-KLH'!$B$6:$T$823,10,0),"")</f>
        <v>Bình thường</v>
      </c>
      <c r="L130" s="102" t="str">
        <f>IFERROR(VLOOKUP(B130,'02. MM-KLH'!$B$6:$T$823,11,0),"")</f>
        <v/>
      </c>
      <c r="M130" s="143" t="str">
        <f>IFERROR(VLOOKUP(B130,'02. MM-KLH'!$B$6:$T$823,12,0),"")</f>
        <v>Đầu tư mới</v>
      </c>
      <c r="N130" s="108" t="str">
        <f>IFERROR(VLOOKUP(B130,'02. MM-KLH'!$B$6:$T$823,13,0),"")</f>
        <v>JOHN DEERE</v>
      </c>
      <c r="O130" s="108" t="str">
        <f>IFERROR(VLOOKUP(B130,'02. MM-KLH'!$B$6:$T$823,14,0),"")</f>
        <v>ĐỨC</v>
      </c>
      <c r="P130" s="80">
        <f>IFERROR(VLOOKUP(B130,'02. MM-KLH'!$B$6:$T$823,15,0),"")</f>
        <v>1993</v>
      </c>
      <c r="Q130" s="80">
        <f>IFERROR(VLOOKUP(B130,'02. MM-KLH'!$B$6:$T$823,16,0),"")</f>
        <v>3350</v>
      </c>
      <c r="R130" s="106" t="str">
        <f>IFERROR(VLOOKUP(B130,'02. MM-KLH'!$B$6:$T$823,17,0),"")</f>
        <v>100HP</v>
      </c>
      <c r="S130" s="108" t="str">
        <f>IFERROR(VLOOKUP(B130,'02. MM-KLH'!$B$6:$T$823,18,0),"")</f>
        <v>711050L</v>
      </c>
      <c r="T130" s="110" t="str">
        <f>IFERROR(VLOOKUP(B130,'02. MM-KLH'!$B$6:$T$823,19,0),"")</f>
        <v>CD6359D897588</v>
      </c>
      <c r="U130" s="130" t="s">
        <v>235</v>
      </c>
    </row>
    <row r="131" ht="13.5" customHeight="1">
      <c r="A131" s="80">
        <f t="shared" si="6"/>
        <v>22</v>
      </c>
      <c r="B131" s="115" t="s">
        <v>729</v>
      </c>
      <c r="C131" s="86" t="str">
        <f>IFERROR(VLOOKUP(B131,'02. MM-KLH'!$B$6:$T$823,2,0),"")</f>
        <v>MỚI (ĐQSD)</v>
      </c>
      <c r="D131" s="95" t="str">
        <f>IFERROR(VLOOKUP(B131,'02. MM-KLH'!$B$6:$T$823,3,0),"")</f>
        <v>A23-MKE-038</v>
      </c>
      <c r="E131" s="86" t="str">
        <f>IFERROR(VLOOKUP(B131,'02. MM-KLH'!$B$6:$T$823,4,0),"")</f>
        <v/>
      </c>
      <c r="F131" s="115"/>
      <c r="G131" s="86" t="str">
        <f>IFERROR(VLOOKUP(B131,'02. MM-KLH'!$B$6:$T$823,6,0),"")</f>
        <v>Máy cày JD 7800</v>
      </c>
      <c r="H131" s="80" t="s">
        <v>2054</v>
      </c>
      <c r="I131" s="80" t="str">
        <f>IFERROR(VLOOKUP(B131,'02. MM-KLH'!$B$6:$T$823,8,0),"")</f>
        <v>CGLĐ DP</v>
      </c>
      <c r="J131" s="99">
        <f>IFERROR(VLOOKUP(B131,'02. MM-KLH'!$B$6:$T$823,9,0),"")</f>
        <v>45811</v>
      </c>
      <c r="K131" s="80" t="str">
        <f>IFERROR(VLOOKUP(B131,'02. MM-KLH'!$B$6:$T$823,10,0),"")</f>
        <v>Bình thường</v>
      </c>
      <c r="L131" s="102" t="str">
        <f>IFERROR(VLOOKUP(B131,'02. MM-KLH'!$B$6:$T$823,11,0),"")</f>
        <v/>
      </c>
      <c r="M131" s="143" t="str">
        <f>IFERROR(VLOOKUP(B131,'02. MM-KLH'!$B$6:$T$823,12,0),"")</f>
        <v>Đầu tư mới</v>
      </c>
      <c r="N131" s="108" t="str">
        <f>IFERROR(VLOOKUP(B131,'02. MM-KLH'!$B$6:$T$823,13,0),"")</f>
        <v>JOHN DEERE</v>
      </c>
      <c r="O131" s="108" t="str">
        <f>IFERROR(VLOOKUP(B131,'02. MM-KLH'!$B$6:$T$823,14,0),"")</f>
        <v>MỸ</v>
      </c>
      <c r="P131" s="80">
        <f>IFERROR(VLOOKUP(B131,'02. MM-KLH'!$B$6:$T$823,15,0),"")</f>
        <v>1997</v>
      </c>
      <c r="Q131" s="80">
        <f>IFERROR(VLOOKUP(B131,'02. MM-KLH'!$B$6:$T$823,16,0),"")</f>
        <v>7800</v>
      </c>
      <c r="R131" s="106" t="str">
        <f>IFERROR(VLOOKUP(B131,'02. MM-KLH'!$B$6:$T$823,17,0),"")</f>
        <v>170HP</v>
      </c>
      <c r="S131" s="108" t="str">
        <f>IFERROR(VLOOKUP(B131,'02. MM-KLH'!$B$6:$T$823,18,0),"")</f>
        <v>RW7800P015834</v>
      </c>
      <c r="T131" s="110" t="str">
        <f>IFERROR(VLOOKUP(B131,'02. MM-KLH'!$B$6:$T$823,19,0),"")</f>
        <v>RG6076T568036</v>
      </c>
      <c r="U131" s="130" t="s">
        <v>235</v>
      </c>
    </row>
    <row r="132" ht="13.5" customHeight="1">
      <c r="A132" s="80">
        <f t="shared" si="6"/>
        <v>23</v>
      </c>
      <c r="B132" s="115" t="s">
        <v>815</v>
      </c>
      <c r="C132" s="86" t="str">
        <f>IFERROR(VLOOKUP(B132,'02. MM-KLH'!$B$6:$T$823,2,0),"")</f>
        <v>MỚI (ĐQSD)</v>
      </c>
      <c r="D132" s="95" t="str">
        <f>IFERROR(VLOOKUP(B132,'02. MM-KLH'!$B$6:$T$823,3,0),"")</f>
        <v>A24-MKE-036</v>
      </c>
      <c r="E132" s="86" t="str">
        <f>IFERROR(VLOOKUP(B132,'02. MM-KLH'!$B$6:$T$823,4,0),"")</f>
        <v/>
      </c>
      <c r="F132" s="115"/>
      <c r="G132" s="86" t="str">
        <f>IFERROR(VLOOKUP(B132,'02. MM-KLH'!$B$6:$T$823,6,0),"")</f>
        <v>Máy cày JD 3640</v>
      </c>
      <c r="H132" s="80"/>
      <c r="I132" s="80" t="str">
        <f>IFERROR(VLOOKUP(B132,'02. MM-KLH'!$B$6:$T$823,8,0),"")</f>
        <v>CGLĐ LP</v>
      </c>
      <c r="J132" s="99" t="str">
        <f>IFERROR(VLOOKUP(B132,'02. MM-KLH'!$B$6:$T$823,9,0),"")</f>
        <v>29/04/2025</v>
      </c>
      <c r="K132" s="80" t="str">
        <f>IFERROR(VLOOKUP(B132,'02. MM-KLH'!$B$6:$T$823,10,0),"")</f>
        <v>Bình thường</v>
      </c>
      <c r="L132" s="102" t="str">
        <f>IFERROR(VLOOKUP(B132,'02. MM-KLH'!$B$6:$T$823,11,0),"")</f>
        <v/>
      </c>
      <c r="M132" s="143" t="str">
        <f>IFERROR(VLOOKUP(B132,'02. MM-KLH'!$B$6:$T$823,12,0),"")</f>
        <v>Đầu tư mới</v>
      </c>
      <c r="N132" s="108" t="str">
        <f>IFERROR(VLOOKUP(B132,'02. MM-KLH'!$B$6:$T$823,13,0),"")</f>
        <v>JOHN DEERE</v>
      </c>
      <c r="O132" s="108" t="str">
        <f>IFERROR(VLOOKUP(B132,'02. MM-KLH'!$B$6:$T$823,14,0),"")</f>
        <v>ĐỨC</v>
      </c>
      <c r="P132" s="80">
        <f>IFERROR(VLOOKUP(B132,'02. MM-KLH'!$B$6:$T$823,15,0),"")</f>
        <v>1987</v>
      </c>
      <c r="Q132" s="80">
        <f>IFERROR(VLOOKUP(B132,'02. MM-KLH'!$B$6:$T$823,16,0),"")</f>
        <v>3640</v>
      </c>
      <c r="R132" s="106" t="str">
        <f>IFERROR(VLOOKUP(B132,'02. MM-KLH'!$B$6:$T$823,17,0),"")</f>
        <v>115HP</v>
      </c>
      <c r="S132" s="108" t="str">
        <f>IFERROR(VLOOKUP(B132,'02. MM-KLH'!$B$6:$T$823,18,0),"")</f>
        <v>579925L</v>
      </c>
      <c r="T132" s="110" t="str">
        <f>IFERROR(VLOOKUP(B132,'02. MM-KLH'!$B$6:$T$823,19,0),"")</f>
        <v>CD6359D704281</v>
      </c>
      <c r="U132" s="130" t="s">
        <v>235</v>
      </c>
    </row>
    <row r="133" ht="13.5" customHeight="1">
      <c r="A133" s="80">
        <f t="shared" si="6"/>
        <v>24</v>
      </c>
      <c r="B133" s="115" t="s">
        <v>821</v>
      </c>
      <c r="C133" s="86" t="str">
        <f>IFERROR(VLOOKUP(B133,'02. MM-KLH'!$B$6:$T$823,2,0),"")</f>
        <v>MỚI (ĐQSD)</v>
      </c>
      <c r="D133" s="95" t="str">
        <f>IFERROR(VLOOKUP(B133,'02. MM-KLH'!$B$6:$T$823,3,0),"")</f>
        <v>A24-MKE-037</v>
      </c>
      <c r="E133" s="86" t="str">
        <f>IFERROR(VLOOKUP(B133,'02. MM-KLH'!$B$6:$T$823,4,0),"")</f>
        <v/>
      </c>
      <c r="F133" s="115"/>
      <c r="G133" s="86" t="str">
        <f>IFERROR(VLOOKUP(B133,'02. MM-KLH'!$B$6:$T$823,6,0),"")</f>
        <v>Máy cày JD 6300</v>
      </c>
      <c r="H133" s="80"/>
      <c r="I133" s="80" t="str">
        <f>IFERROR(VLOOKUP(B133,'02. MM-KLH'!$B$6:$T$823,8,0),"")</f>
        <v>CGLĐ LP</v>
      </c>
      <c r="J133" s="99" t="str">
        <f>IFERROR(VLOOKUP(B133,'02. MM-KLH'!$B$6:$T$823,9,0),"")</f>
        <v>29/04/2025</v>
      </c>
      <c r="K133" s="80" t="str">
        <f>IFERROR(VLOOKUP(B133,'02. MM-KLH'!$B$6:$T$823,10,0),"")</f>
        <v>Bình thường</v>
      </c>
      <c r="L133" s="102" t="str">
        <f>IFERROR(VLOOKUP(B133,'02. MM-KLH'!$B$6:$T$823,11,0),"")</f>
        <v/>
      </c>
      <c r="M133" s="143" t="str">
        <f>IFERROR(VLOOKUP(B133,'02. MM-KLH'!$B$6:$T$823,12,0),"")</f>
        <v>Đầu tư mới</v>
      </c>
      <c r="N133" s="108" t="str">
        <f>IFERROR(VLOOKUP(B133,'02. MM-KLH'!$B$6:$T$823,13,0),"")</f>
        <v>JOHN DEERE</v>
      </c>
      <c r="O133" s="108" t="str">
        <f>IFERROR(VLOOKUP(B133,'02. MM-KLH'!$B$6:$T$823,14,0),"")</f>
        <v>ĐỨC</v>
      </c>
      <c r="P133" s="80">
        <f>IFERROR(VLOOKUP(B133,'02. MM-KLH'!$B$6:$T$823,15,0),"")</f>
        <v>1994</v>
      </c>
      <c r="Q133" s="80">
        <f>IFERROR(VLOOKUP(B133,'02. MM-KLH'!$B$6:$T$823,16,0),"")</f>
        <v>6300</v>
      </c>
      <c r="R133" s="106" t="str">
        <f>IFERROR(VLOOKUP(B133,'02. MM-KLH'!$B$6:$T$823,17,0),"")</f>
        <v>110HP</v>
      </c>
      <c r="S133" s="108" t="str">
        <f>IFERROR(VLOOKUP(B133,'02. MM-KLH'!$B$6:$T$823,18,0),"")</f>
        <v>L06100X111345</v>
      </c>
      <c r="T133" s="110" t="str">
        <f>IFERROR(VLOOKUP(B133,'02. MM-KLH'!$B$6:$T$823,19,0),"")</f>
        <v>CD4045D133056</v>
      </c>
      <c r="U133" s="130" t="s">
        <v>235</v>
      </c>
    </row>
    <row r="134">
      <c r="A134" s="80">
        <f t="shared" si="6"/>
        <v>25</v>
      </c>
      <c r="B134" s="115" t="s">
        <v>744</v>
      </c>
      <c r="C134" s="86" t="str">
        <f>IFERROR(VLOOKUP(B134,'02. MM-KLH'!$B$6:$T$823,2,0),"")</f>
        <v>MỚI (ĐQSD)</v>
      </c>
      <c r="D134" s="95" t="str">
        <f>IFERROR(VLOOKUP(B134,'02. MM-KLH'!$B$6:$T$823,3,0),"")</f>
        <v>A22-MKE-039</v>
      </c>
      <c r="E134" s="86" t="str">
        <f>IFERROR(VLOOKUP(B134,'02. MM-KLH'!$B$6:$T$823,4,0),"")</f>
        <v/>
      </c>
      <c r="F134" s="115"/>
      <c r="G134" s="86" t="str">
        <f>IFERROR(VLOOKUP(B134,'02. MM-KLH'!$B$6:$T$823,6,0),"")</f>
        <v>Máy cày JD 3350</v>
      </c>
      <c r="H134" s="80"/>
      <c r="I134" s="80" t="str">
        <f>IFERROR(VLOOKUP(B134,'02. MM-KLH'!$B$6:$T$823,8,0),"")</f>
        <v>CGLĐ DP</v>
      </c>
      <c r="J134" s="99" t="str">
        <f>IFERROR(VLOOKUP(B134,'02. MM-KLH'!$B$6:$T$823,9,0),"")</f>
        <v>16/03/2026</v>
      </c>
      <c r="K134" s="80" t="str">
        <f>IFERROR(VLOOKUP(B134,'02. MM-KLH'!$B$6:$T$823,10,0),"")</f>
        <v>Bình thường</v>
      </c>
      <c r="L134" s="102" t="str">
        <f>IFERROR(VLOOKUP(B134,'02. MM-KLH'!$B$6:$T$823,11,0),"")</f>
        <v/>
      </c>
      <c r="M134" s="143" t="str">
        <f>IFERROR(VLOOKUP(B134,'02. MM-KLH'!$B$6:$T$823,12,0),"")</f>
        <v>Đầu tư mới</v>
      </c>
      <c r="N134" s="108" t="str">
        <f>IFERROR(VLOOKUP(B134,'02. MM-KLH'!$B$6:$T$823,13,0),"")</f>
        <v>JOHNDEERE</v>
      </c>
      <c r="O134" s="108" t="str">
        <f>IFERROR(VLOOKUP(B134,'02. MM-KLH'!$B$6:$T$823,14,0),"")</f>
        <v>TRUNG QUỐC</v>
      </c>
      <c r="P134" s="80">
        <f>IFERROR(VLOOKUP(B134,'02. MM-KLH'!$B$6:$T$823,15,0),"")</f>
        <v>1993</v>
      </c>
      <c r="Q134" s="80">
        <f>IFERROR(VLOOKUP(B134,'02. MM-KLH'!$B$6:$T$823,16,0),"")</f>
        <v>3350</v>
      </c>
      <c r="R134" s="106" t="str">
        <f>IFERROR(VLOOKUP(B134,'02. MM-KLH'!$B$6:$T$823,17,0),"")</f>
        <v>100HP</v>
      </c>
      <c r="S134" s="108" t="str">
        <f>IFERROR(VLOOKUP(B134,'02. MM-KLH'!$B$6:$T$823,18,0),"")</f>
        <v>636964L</v>
      </c>
      <c r="T134" s="110" t="str">
        <f>IFERROR(VLOOKUP(B134,'02. MM-KLH'!$B$6:$T$823,19,0),"")</f>
        <v>CD6359D776913</v>
      </c>
      <c r="U134" s="130" t="s">
        <v>235</v>
      </c>
    </row>
    <row r="135">
      <c r="A135" s="80">
        <f t="shared" si="6"/>
        <v>26</v>
      </c>
      <c r="B135" s="115" t="s">
        <v>1806</v>
      </c>
      <c r="C135" s="86" t="str">
        <f>IFERROR(VLOOKUP(B135,'02. MM-KLH'!$B$6:$T$823,2,0),"")</f>
        <v>CNN-MKE-040</v>
      </c>
      <c r="D135" s="95" t="str">
        <f>IFERROR(VLOOKUP(B135,'02. MM-KLH'!$B$6:$T$823,3,0),"")</f>
        <v>A22-MKE-040</v>
      </c>
      <c r="E135" s="86" t="str">
        <f>IFERROR(VLOOKUP(B135,'02. MM-KLH'!$B$6:$T$823,4,0),"")</f>
        <v/>
      </c>
      <c r="F135" s="115"/>
      <c r="G135" s="86" t="str">
        <f>IFERROR(VLOOKUP(B135,'02. MM-KLH'!$B$6:$T$823,6,0),"")</f>
        <v>Máy cày JD 6210</v>
      </c>
      <c r="H135" s="80"/>
      <c r="I135" s="80" t="str">
        <f>IFERROR(VLOOKUP(B135,'02. MM-KLH'!$B$6:$T$823,8,0),"")</f>
        <v>XN Bò AD</v>
      </c>
      <c r="J135" s="99" t="str">
        <f>IFERROR(VLOOKUP(B135,'02. MM-KLH'!$B$6:$T$823,9,0),"")</f>
        <v>16/03/2026</v>
      </c>
      <c r="K135" s="80" t="str">
        <f>IFERROR(VLOOKUP(B135,'02. MM-KLH'!$B$6:$T$823,10,0),"")</f>
        <v>Bình thường</v>
      </c>
      <c r="L135" s="102" t="str">
        <f>IFERROR(VLOOKUP(B135,'02. MM-KLH'!$B$6:$T$823,11,0),"")</f>
        <v/>
      </c>
      <c r="M135" s="143" t="str">
        <f>IFERROR(VLOOKUP(B135,'02. MM-KLH'!$B$6:$T$823,12,0),"")</f>
        <v>Đầu tư mới (16/03/2026)
- CGLĐ DP đchuyen XNB ngày 07/04/2026</v>
      </c>
      <c r="N135" s="108" t="str">
        <f>IFERROR(VLOOKUP(B135,'02. MM-KLH'!$B$6:$T$823,13,0),"")</f>
        <v>JOHNDEERE</v>
      </c>
      <c r="O135" s="108" t="str">
        <f>IFERROR(VLOOKUP(B135,'02. MM-KLH'!$B$6:$T$823,14,0),"")</f>
        <v>TRUNG QUỐC</v>
      </c>
      <c r="P135" s="80">
        <f>IFERROR(VLOOKUP(B135,'02. MM-KLH'!$B$6:$T$823,15,0),"")</f>
        <v>1999</v>
      </c>
      <c r="Q135" s="80">
        <f>IFERROR(VLOOKUP(B135,'02. MM-KLH'!$B$6:$T$823,16,0),"")</f>
        <v>6210</v>
      </c>
      <c r="R135" s="106" t="str">
        <f>IFERROR(VLOOKUP(B135,'02. MM-KLH'!$B$6:$T$823,17,0),"")</f>
        <v>95HP</v>
      </c>
      <c r="S135" s="108" t="str">
        <f>IFERROR(VLOOKUP(B135,'02. MM-KLH'!$B$6:$T$823,18,0),"")</f>
        <v>309429L</v>
      </c>
      <c r="T135" s="110" t="str">
        <f>IFERROR(VLOOKUP(B135,'02. MM-KLH'!$B$6:$T$823,19,0),"")</f>
        <v>CD4045T640751</v>
      </c>
      <c r="U135" s="130" t="s">
        <v>235</v>
      </c>
    </row>
    <row r="136">
      <c r="A136" s="128"/>
      <c r="B136" s="241"/>
      <c r="C136" s="86"/>
      <c r="D136" s="95"/>
      <c r="E136" s="86"/>
      <c r="F136" s="128"/>
      <c r="G136" s="86"/>
      <c r="H136" s="128"/>
      <c r="I136" s="80"/>
      <c r="J136" s="99"/>
      <c r="K136" s="80"/>
      <c r="L136" s="102"/>
      <c r="M136" s="242"/>
      <c r="N136" s="108"/>
      <c r="O136" s="108"/>
      <c r="P136" s="80"/>
      <c r="Q136" s="80"/>
      <c r="R136" s="106"/>
      <c r="S136" s="108"/>
      <c r="T136" s="110"/>
      <c r="U136" s="110"/>
    </row>
    <row r="137">
      <c r="A137" s="128"/>
      <c r="B137" s="241"/>
      <c r="C137" s="86"/>
      <c r="D137" s="95"/>
      <c r="E137" s="86"/>
      <c r="F137" s="128"/>
      <c r="G137" s="86"/>
      <c r="H137" s="128"/>
      <c r="I137" s="80"/>
      <c r="J137" s="99"/>
      <c r="K137" s="80"/>
      <c r="L137" s="102"/>
      <c r="M137" s="242"/>
      <c r="N137" s="108"/>
      <c r="O137" s="108"/>
      <c r="P137" s="80"/>
      <c r="Q137" s="80"/>
      <c r="R137" s="106"/>
      <c r="S137" s="108"/>
      <c r="T137" s="110"/>
      <c r="U137" s="110"/>
    </row>
    <row r="138">
      <c r="B138" s="169"/>
      <c r="C138" s="86" t="str">
        <f>IFERROR(VLOOKUP(B138,'02. MM-KLH'!$B$6:$T$823,2,0),"")</f>
        <v/>
      </c>
      <c r="D138" s="95" t="str">
        <f>IFERROR(VLOOKUP(B138,'02. MM-KLH'!$B$6:$T$823,3,0),"")</f>
        <v/>
      </c>
      <c r="E138" s="86" t="str">
        <f>IFERROR(VLOOKUP(B138,'02. MM-KLH'!$B$6:$T$823,4,0),"")</f>
        <v/>
      </c>
      <c r="G138" s="86" t="str">
        <f>IFERROR(VLOOKUP(B138,'02. MM-KLH'!$B$6:$T$823,6,0),"")</f>
        <v/>
      </c>
      <c r="I138" s="80" t="str">
        <f>IFERROR(VLOOKUP(B138,'02. MM-KLH'!$B$6:$T$823,8,0),"")</f>
        <v/>
      </c>
      <c r="J138" s="99" t="str">
        <f>IFERROR(VLOOKUP(B138,'02. MM-KLH'!$B$6:$T$823,9,0),"")</f>
        <v/>
      </c>
      <c r="K138" s="80" t="str">
        <f>IFERROR(VLOOKUP(B138,'02. MM-KLH'!$B$6:$T$823,10,0),"")</f>
        <v/>
      </c>
      <c r="L138" s="102" t="str">
        <f>IFERROR(VLOOKUP(B138,'02. MM-KLH'!$B$6:$T$823,11,0),"")</f>
        <v/>
      </c>
      <c r="M138" s="143"/>
      <c r="N138" s="108" t="str">
        <f>IFERROR(VLOOKUP(B138,'02. MM-KLH'!$B$6:$T$823,13,0),"")</f>
        <v/>
      </c>
      <c r="O138" s="108" t="str">
        <f>IFERROR(VLOOKUP(B138,'02. MM-KLH'!$B$6:$T$823,14,0),"")</f>
        <v/>
      </c>
      <c r="P138" s="80" t="str">
        <f>IFERROR(VLOOKUP(B138,'02. MM-KLH'!$B$6:$T$823,15,0),"")</f>
        <v/>
      </c>
      <c r="Q138" s="80" t="str">
        <f>IFERROR(VLOOKUP(B138,'02. MM-KLH'!$B$6:$T$823,16,0),"")</f>
        <v/>
      </c>
      <c r="R138" s="106" t="str">
        <f>IFERROR(VLOOKUP(B138,'02. MM-KLH'!$B$6:$T$823,17,0),"")</f>
        <v/>
      </c>
      <c r="S138" s="108" t="str">
        <f>IFERROR(VLOOKUP(B138,'02. MM-KLH'!$B$6:$T$823,18,0),"")</f>
        <v/>
      </c>
      <c r="T138" s="110" t="str">
        <f>IFERROR(VLOOKUP(B138,'02. MM-KLH'!$B$6:$T$823,19,0),"")</f>
        <v/>
      </c>
      <c r="U138" s="110" t="str">
        <f>IFERROR(VLOOKUP(C138,'02. MM-KLH'!$B$6:$T$823,19,0),"")</f>
        <v/>
      </c>
    </row>
    <row r="139" ht="13.5" customHeight="1">
      <c r="A139" s="151" t="s">
        <v>653</v>
      </c>
      <c r="B139" s="245" t="s">
        <v>2603</v>
      </c>
      <c r="C139" s="72">
        <f>COUNTA(B140:B141)</f>
        <v>1</v>
      </c>
      <c r="D139" s="72" t="str">
        <f>IFERROR(VLOOKUP(B139,'02. MM-KLH'!$B$6:$T$823,3,0),"")</f>
        <v/>
      </c>
      <c r="E139" s="72" t="str">
        <f>IFERROR(VLOOKUP(B139,'02. MM-KLH'!$B$6:$T$823,4,0),"")</f>
        <v/>
      </c>
      <c r="F139" s="72"/>
      <c r="G139" s="72" t="str">
        <f>IFERROR(VLOOKUP(B139,'02. MM-KLH'!$B$6:$T$823,6,0),"")</f>
        <v/>
      </c>
      <c r="H139" s="72"/>
      <c r="I139" s="72" t="str">
        <f>IFERROR(VLOOKUP(B139,'02. MM-KLH'!$B$6:$T$823,8,0),"")</f>
        <v/>
      </c>
      <c r="J139" s="72" t="str">
        <f>IFERROR(VLOOKUP(B139,'02. MM-KLH'!$B$6:$T$823,9,0),"")</f>
        <v/>
      </c>
      <c r="K139" s="72" t="str">
        <f>IFERROR(VLOOKUP(B139,'02. MM-KLH'!$B$6:$T$823,10,0),"")</f>
        <v/>
      </c>
      <c r="L139" s="72" t="str">
        <f>IFERROR(VLOOKUP(B139,'02. MM-KLH'!$B$6:$T$823,11,0),"")</f>
        <v/>
      </c>
      <c r="M139" s="72" t="str">
        <f>IFERROR(VLOOKUP(B139,'02. MM-KLH'!$B$6:$T$823,12,0),"")</f>
        <v/>
      </c>
      <c r="N139" s="72" t="str">
        <f>IFERROR(VLOOKUP(B139,'02. MM-KLH'!$B$6:$T$823,13,0),"")</f>
        <v/>
      </c>
      <c r="O139" s="72" t="str">
        <f>IFERROR(VLOOKUP(B139,'02. MM-KLH'!$B$6:$T$823,14,0),"")</f>
        <v/>
      </c>
      <c r="P139" s="72" t="str">
        <f>IFERROR(VLOOKUP(B139,'02. MM-KLH'!$B$6:$T$823,15,0),"")</f>
        <v/>
      </c>
      <c r="Q139" s="72" t="str">
        <f>IFERROR(VLOOKUP(B139,'02. MM-KLH'!$B$6:$T$823,16,0),"")</f>
        <v/>
      </c>
      <c r="R139" s="72" t="str">
        <f>IFERROR(VLOOKUP(B139,'02. MM-KLH'!$B$6:$T$823,17,0),"")</f>
        <v/>
      </c>
      <c r="S139" s="72" t="str">
        <f>IFERROR(VLOOKUP(B139,'02. MM-KLH'!$B$6:$T$823,18,0),"")</f>
        <v/>
      </c>
      <c r="T139" s="72" t="str">
        <f>IFERROR(VLOOKUP(B139,'02. MM-KLH'!$B$6:$T$823,19,0),"")</f>
        <v/>
      </c>
      <c r="U139" s="72" t="str">
        <f>IFERROR(VLOOKUP(C139,'02. MM-KLH'!$B$6:$T$823,19,0),"")</f>
        <v/>
      </c>
    </row>
    <row r="140" ht="13.5" customHeight="1">
      <c r="A140" s="95">
        <v>1.0</v>
      </c>
      <c r="B140" s="115" t="s">
        <v>833</v>
      </c>
      <c r="C140" s="115" t="str">
        <f>IFERROR(VLOOKUP(B140,'02. MM-KLH'!$B$6:$T$823,2,0),"")</f>
        <v>CNN-MKE-001(MK01NNKLH)</v>
      </c>
      <c r="D140" s="95" t="str">
        <f>IFERROR(VLOOKUP(B140,'02. MM-KLH'!$B$6:$T$823,3,0),"")</f>
        <v>ATT-A23-0017</v>
      </c>
      <c r="E140" s="86" t="str">
        <f>IFERROR(VLOOKUP(B140,'02. MM-KLH'!$B$6:$T$823,4,0),"")</f>
        <v/>
      </c>
      <c r="F140" s="115" t="s">
        <v>2622</v>
      </c>
      <c r="G140" s="86" t="str">
        <f>IFERROR(VLOOKUP(B140,'02. MM-KLH'!$B$6:$T$823,6,0),"")</f>
        <v>Máy cày NH TD157</v>
      </c>
      <c r="H140" s="80" t="s">
        <v>2370</v>
      </c>
      <c r="I140" s="80" t="str">
        <f>IFERROR(VLOOKUP(B140,'02. MM-KLH'!$B$6:$T$823,8,0),"")</f>
        <v>XN Bò AD</v>
      </c>
      <c r="J140" s="99" t="str">
        <f>IFERROR(VLOOKUP(B140,'02. MM-KLH'!$B$6:$T$823,9,0),"")</f>
        <v/>
      </c>
      <c r="K140" s="80" t="str">
        <f>IFERROR(VLOOKUP(B140,'02. MM-KLH'!$B$6:$T$823,10,0),"")</f>
        <v>Bình thường</v>
      </c>
      <c r="L140" s="102" t="str">
        <f>IFERROR(VLOOKUP(B140,'02. MM-KLH'!$B$6:$T$823,11,0),"")</f>
        <v/>
      </c>
      <c r="M140" s="143" t="str">
        <f>IFERROR(VLOOKUP(B140,'02. MM-KLH'!$B$6:$T$823,12,0),"")</f>
        <v/>
      </c>
      <c r="N140" s="108" t="str">
        <f>IFERROR(VLOOKUP(B140,'02. MM-KLH'!$B$6:$T$823,13,0),"")</f>
        <v>NEW HOLLAND</v>
      </c>
      <c r="O140" s="108" t="str">
        <f>IFERROR(VLOOKUP(B140,'02. MM-KLH'!$B$6:$T$823,14,0),"")</f>
        <v>THỔ NHỈ KỲ</v>
      </c>
      <c r="P140" s="80">
        <f>IFERROR(VLOOKUP(B140,'02. MM-KLH'!$B$6:$T$823,15,0),"")</f>
        <v>2018</v>
      </c>
      <c r="Q140" s="80" t="str">
        <f>IFERROR(VLOOKUP(B140,'02. MM-KLH'!$B$6:$T$823,16,0),"")</f>
        <v>TD157</v>
      </c>
      <c r="R140" s="106" t="str">
        <f>IFERROR(VLOOKUP(B140,'02. MM-KLH'!$B$6:$T$823,17,0),"")</f>
        <v>150HP</v>
      </c>
      <c r="S140" s="108">
        <f>IFERROR(VLOOKUP(B140,'02. MM-KLH'!$B$6:$T$823,18,0),"")</f>
        <v>73737</v>
      </c>
      <c r="T140" s="110" t="str">
        <f>IFERROR(VLOOKUP(B140,'02. MM-KLH'!$B$6:$T$823,19,0),"")</f>
        <v>CCN</v>
      </c>
      <c r="U140" s="130" t="s">
        <v>79</v>
      </c>
    </row>
    <row r="141" ht="13.5" customHeight="1">
      <c r="A141" s="290"/>
      <c r="B141" s="291"/>
      <c r="C141" s="292"/>
      <c r="D141" s="95" t="str">
        <f>IFERROR(VLOOKUP(B141,'02. MM-KLH'!$B$6:$T$823,3,0),"")</f>
        <v/>
      </c>
      <c r="E141" s="86" t="str">
        <f>IFERROR(VLOOKUP(B141,'02. MM-KLH'!$B$6:$T$823,4,0),"")</f>
        <v/>
      </c>
      <c r="F141" s="292"/>
      <c r="G141" s="86" t="str">
        <f>IFERROR(VLOOKUP(B141,'02. MM-KLH'!$B$6:$T$823,6,0),"")</f>
        <v/>
      </c>
      <c r="H141" s="290"/>
      <c r="I141" s="80" t="str">
        <f>IFERROR(VLOOKUP(B141,'02. MM-KLH'!$B$6:$T$823,8,0),"")</f>
        <v/>
      </c>
      <c r="J141" s="99" t="str">
        <f>IFERROR(VLOOKUP(B141,'02. MM-KLH'!$B$6:$T$823,9,0),"")</f>
        <v/>
      </c>
      <c r="K141" s="80" t="str">
        <f>IFERROR(VLOOKUP(B141,'02. MM-KLH'!$B$6:$T$823,10,0),"")</f>
        <v/>
      </c>
      <c r="L141" s="102" t="str">
        <f>IFERROR(VLOOKUP(B141,'02. MM-KLH'!$B$6:$T$823,11,0),"")</f>
        <v/>
      </c>
      <c r="M141" s="143" t="str">
        <f>IFERROR(VLOOKUP(B141,'02. MM-KLH'!$B$6:$T$823,12,0),"")</f>
        <v/>
      </c>
      <c r="N141" s="108" t="str">
        <f>IFERROR(VLOOKUP(B141,'02. MM-KLH'!$B$6:$T$823,13,0),"")</f>
        <v/>
      </c>
      <c r="O141" s="108" t="str">
        <f>IFERROR(VLOOKUP(B141,'02. MM-KLH'!$B$6:$T$823,14,0),"")</f>
        <v/>
      </c>
      <c r="P141" s="80" t="str">
        <f>IFERROR(VLOOKUP(B141,'02. MM-KLH'!$B$6:$T$823,15,0),"")</f>
        <v/>
      </c>
      <c r="Q141" s="80" t="str">
        <f>IFERROR(VLOOKUP(B141,'02. MM-KLH'!$B$6:$T$823,16,0),"")</f>
        <v/>
      </c>
      <c r="R141" s="106" t="str">
        <f>IFERROR(VLOOKUP(B141,'02. MM-KLH'!$B$6:$T$823,17,0),"")</f>
        <v/>
      </c>
      <c r="S141" s="108" t="str">
        <f>IFERROR(VLOOKUP(B141,'02. MM-KLH'!$B$6:$T$823,18,0),"")</f>
        <v/>
      </c>
      <c r="T141" s="110" t="str">
        <f>IFERROR(VLOOKUP(B141,'02. MM-KLH'!$B$6:$T$823,19,0),"")</f>
        <v/>
      </c>
      <c r="U141" s="110" t="str">
        <f>IFERROR(VLOOKUP(C141,'02. MM-KLH'!$B$6:$T$823,19,0),"")</f>
        <v/>
      </c>
    </row>
    <row r="142" ht="13.5" customHeight="1">
      <c r="A142" s="243" t="s">
        <v>2642</v>
      </c>
      <c r="B142" s="244" t="s">
        <v>2643</v>
      </c>
      <c r="C142" s="59">
        <f>SUM(C143,C178,C207,C229,C259,C262)</f>
        <v>109</v>
      </c>
      <c r="D142" s="59" t="str">
        <f>IFERROR(VLOOKUP(B142,'02. MM-KLH'!$B$6:$T$823,3,0),"")</f>
        <v/>
      </c>
      <c r="E142" s="59" t="str">
        <f>IFERROR(VLOOKUP(B142,'02. MM-KLH'!$B$6:$T$823,4,0),"")</f>
        <v/>
      </c>
      <c r="F142" s="59"/>
      <c r="G142" s="59" t="str">
        <f>IFERROR(VLOOKUP(B142,'02. MM-KLH'!$B$6:$T$823,6,0),"")</f>
        <v/>
      </c>
      <c r="H142" s="59"/>
      <c r="I142" s="59" t="str">
        <f>IFERROR(VLOOKUP(B142,'02. MM-KLH'!$B$6:$T$823,8,0),"")</f>
        <v/>
      </c>
      <c r="J142" s="59" t="str">
        <f>IFERROR(VLOOKUP(B142,'02. MM-KLH'!$B$6:$T$823,9,0),"")</f>
        <v/>
      </c>
      <c r="K142" s="59" t="str">
        <f>IFERROR(VLOOKUP(B142,'02. MM-KLH'!$B$6:$T$823,10,0),"")</f>
        <v/>
      </c>
      <c r="L142" s="59" t="str">
        <f>IFERROR(VLOOKUP(B142,'02. MM-KLH'!$B$6:$T$823,11,0),"")</f>
        <v/>
      </c>
      <c r="M142" s="59" t="str">
        <f>IFERROR(VLOOKUP(B142,'02. MM-KLH'!$B$6:$T$823,12,0),"")</f>
        <v/>
      </c>
      <c r="N142" s="59" t="str">
        <f>IFERROR(VLOOKUP(B142,'02. MM-KLH'!$B$6:$T$823,13,0),"")</f>
        <v/>
      </c>
      <c r="O142" s="59" t="str">
        <f>IFERROR(VLOOKUP(B142,'02. MM-KLH'!$B$6:$T$823,14,0),"")</f>
        <v/>
      </c>
      <c r="P142" s="59" t="str">
        <f>IFERROR(VLOOKUP(B142,'02. MM-KLH'!$B$6:$T$823,15,0),"")</f>
        <v/>
      </c>
      <c r="Q142" s="59" t="str">
        <f>IFERROR(VLOOKUP(B142,'02. MM-KLH'!$B$6:$T$823,16,0),"")</f>
        <v/>
      </c>
      <c r="R142" s="59" t="str">
        <f>IFERROR(VLOOKUP(B142,'02. MM-KLH'!$B$6:$T$823,17,0),"")</f>
        <v/>
      </c>
      <c r="S142" s="59" t="str">
        <f>IFERROR(VLOOKUP(B142,'02. MM-KLH'!$B$6:$T$823,18,0),"")</f>
        <v/>
      </c>
      <c r="T142" s="59" t="str">
        <f>IFERROR(VLOOKUP(B142,'02. MM-KLH'!$B$6:$T$823,19,0),"")</f>
        <v/>
      </c>
      <c r="U142" s="59" t="str">
        <f>IFERROR(VLOOKUP(C142,'02. MM-KLH'!$B$6:$T$823,19,0),"")</f>
        <v/>
      </c>
    </row>
    <row r="143" ht="13.5" customHeight="1">
      <c r="A143" s="82" t="s">
        <v>76</v>
      </c>
      <c r="B143" s="83" t="s">
        <v>2659</v>
      </c>
      <c r="C143" s="85">
        <f>COUNTA(B144:B177)</f>
        <v>33</v>
      </c>
      <c r="D143" s="85" t="str">
        <f>IFERROR(VLOOKUP(B143,'02. MM-KLH'!$B$6:$T$823,3,0),"")</f>
        <v/>
      </c>
      <c r="E143" s="85" t="str">
        <f>IFERROR(VLOOKUP(B143,'02. MM-KLH'!$B$6:$T$823,4,0),"")</f>
        <v/>
      </c>
      <c r="F143" s="85"/>
      <c r="G143" s="85" t="str">
        <f>IFERROR(VLOOKUP(B143,'02. MM-KLH'!$B$6:$T$823,6,0),"")</f>
        <v/>
      </c>
      <c r="H143" s="85"/>
      <c r="I143" s="85" t="str">
        <f>IFERROR(VLOOKUP(B143,'02. MM-KLH'!$B$6:$T$823,8,0),"")</f>
        <v/>
      </c>
      <c r="J143" s="85" t="str">
        <f>IFERROR(VLOOKUP(B143,'02. MM-KLH'!$B$6:$T$823,9,0),"")</f>
        <v/>
      </c>
      <c r="K143" s="85" t="str">
        <f>IFERROR(VLOOKUP(B143,'02. MM-KLH'!$B$6:$T$823,10,0),"")</f>
        <v/>
      </c>
      <c r="L143" s="85" t="str">
        <f>IFERROR(VLOOKUP(B143,'02. MM-KLH'!$B$6:$T$823,11,0),"")</f>
        <v/>
      </c>
      <c r="M143" s="85" t="str">
        <f>IFERROR(VLOOKUP(B143,'02. MM-KLH'!$B$6:$T$823,12,0),"")</f>
        <v/>
      </c>
      <c r="N143" s="85" t="str">
        <f>IFERROR(VLOOKUP(B143,'02. MM-KLH'!$B$6:$T$823,13,0),"")</f>
        <v/>
      </c>
      <c r="O143" s="85" t="str">
        <f>IFERROR(VLOOKUP(B143,'02. MM-KLH'!$B$6:$T$823,14,0),"")</f>
        <v/>
      </c>
      <c r="P143" s="85" t="str">
        <f>IFERROR(VLOOKUP(B143,'02. MM-KLH'!$B$6:$T$823,15,0),"")</f>
        <v/>
      </c>
      <c r="Q143" s="85" t="str">
        <f>IFERROR(VLOOKUP(B143,'02. MM-KLH'!$B$6:$T$823,16,0),"")</f>
        <v/>
      </c>
      <c r="R143" s="85" t="str">
        <f>IFERROR(VLOOKUP(B143,'02. MM-KLH'!$B$6:$T$823,17,0),"")</f>
        <v/>
      </c>
      <c r="S143" s="85" t="str">
        <f>IFERROR(VLOOKUP(B143,'02. MM-KLH'!$B$6:$T$823,18,0),"")</f>
        <v/>
      </c>
      <c r="T143" s="85" t="str">
        <f>IFERROR(VLOOKUP(B143,'02. MM-KLH'!$B$6:$T$823,19,0),"")</f>
        <v/>
      </c>
      <c r="U143" s="85" t="str">
        <f>IFERROR(VLOOKUP(C143,'02. MM-KLH'!$B$6:$T$823,19,0),"")</f>
        <v/>
      </c>
    </row>
    <row r="144" ht="13.5" customHeight="1">
      <c r="A144" s="80">
        <v>1.0</v>
      </c>
      <c r="B144" s="113" t="s">
        <v>855</v>
      </c>
      <c r="C144" s="84" t="str">
        <f>IFERROR(VLOOKUP(B144,'02. MM-KLH'!$B$6:$T$823,2,0),"")</f>
        <v>MK 05-VC KLH</v>
      </c>
      <c r="D144" s="95" t="str">
        <f>IFERROR(VLOOKUP(B144,'02. MM-KLH'!$B$6:$T$823,3,0),"")</f>
        <v>A23-MKE-012</v>
      </c>
      <c r="E144" s="86" t="str">
        <f>IFERROR(VLOOKUP(B144,'02. MM-KLH'!$B$6:$T$823,4,0),"")</f>
        <v/>
      </c>
      <c r="F144" s="115" t="s">
        <v>1824</v>
      </c>
      <c r="G144" s="86" t="str">
        <f>IFERROR(VLOOKUP(B144,'02. MM-KLH'!$B$6:$T$823,6,0),"")</f>
        <v>Máy cày KAM50</v>
      </c>
      <c r="H144" s="80" t="s">
        <v>2033</v>
      </c>
      <c r="I144" s="80" t="str">
        <f>IFERROR(VLOOKUP(B144,'02. MM-KLH'!$B$6:$T$823,8,0),"")</f>
        <v>XN Chuối DP1</v>
      </c>
      <c r="J144" s="99" t="str">
        <f>IFERROR(VLOOKUP(B144,'02. MM-KLH'!$B$6:$T$823,9,0),"")</f>
        <v/>
      </c>
      <c r="K144" s="80" t="str">
        <f>IFERROR(VLOOKUP(B144,'02. MM-KLH'!$B$6:$T$823,10,0),"")</f>
        <v>Bình thường</v>
      </c>
      <c r="L144" s="102" t="str">
        <f>IFERROR(VLOOKUP(B144,'02. MM-KLH'!$B$6:$T$823,11,0),"")</f>
        <v/>
      </c>
      <c r="M144" s="143" t="str">
        <f>IFERROR(VLOOKUP(B144,'02. MM-KLH'!$B$6:$T$823,12,0),"")</f>
        <v/>
      </c>
      <c r="N144" s="108" t="str">
        <f>IFERROR(VLOOKUP(B144,'02. MM-KLH'!$B$6:$T$823,13,0),"")</f>
        <v>THACO</v>
      </c>
      <c r="O144" s="108" t="str">
        <f>IFERROR(VLOOKUP(B144,'02. MM-KLH'!$B$6:$T$823,14,0),"")</f>
        <v>VIỆT NAM</v>
      </c>
      <c r="P144" s="80">
        <f>IFERROR(VLOOKUP(B144,'02. MM-KLH'!$B$6:$T$823,15,0),"")</f>
        <v>2018</v>
      </c>
      <c r="Q144" s="80" t="str">
        <f>IFERROR(VLOOKUP(B144,'02. MM-KLH'!$B$6:$T$823,16,0),"")</f>
        <v>KAM50</v>
      </c>
      <c r="R144" s="106" t="str">
        <f>IFERROR(VLOOKUP(B144,'02. MM-KLH'!$B$6:$T$823,17,0),"")</f>
        <v>50HP</v>
      </c>
      <c r="S144" s="108" t="str">
        <f>IFERROR(VLOOKUP(B144,'02. MM-KLH'!$B$6:$T$823,18,0),"")</f>
        <v>C000012</v>
      </c>
      <c r="T144" s="110" t="str">
        <f>IFERROR(VLOOKUP(B144,'02. MM-KLH'!$B$6:$T$823,19,0),"")</f>
        <v>CCN</v>
      </c>
      <c r="U144" s="130" t="s">
        <v>79</v>
      </c>
    </row>
    <row r="145" ht="13.5" customHeight="1">
      <c r="A145" s="80">
        <f t="shared" ref="A145:A176" si="7">1+A144</f>
        <v>2</v>
      </c>
      <c r="B145" s="113" t="s">
        <v>863</v>
      </c>
      <c r="C145" s="84" t="str">
        <f>IFERROR(VLOOKUP(B145,'02. MM-KLH'!$B$6:$T$823,2,0),"")</f>
        <v>MK 73-VC KLH</v>
      </c>
      <c r="D145" s="95" t="str">
        <f>IFERROR(VLOOKUP(B145,'02. MM-KLH'!$B$6:$T$823,3,0),"")</f>
        <v>A23-MKE-013</v>
      </c>
      <c r="E145" s="86" t="str">
        <f>IFERROR(VLOOKUP(B145,'02. MM-KLH'!$B$6:$T$823,4,0),"")</f>
        <v/>
      </c>
      <c r="F145" s="115" t="s">
        <v>1824</v>
      </c>
      <c r="G145" s="86" t="str">
        <f>IFERROR(VLOOKUP(B145,'02. MM-KLH'!$B$6:$T$823,6,0),"")</f>
        <v>Máy cày KAM50</v>
      </c>
      <c r="H145" s="80" t="s">
        <v>2033</v>
      </c>
      <c r="I145" s="80" t="str">
        <f>IFERROR(VLOOKUP(B145,'02. MM-KLH'!$B$6:$T$823,8,0),"")</f>
        <v>XN Chuối DP1</v>
      </c>
      <c r="J145" s="99" t="str">
        <f>IFERROR(VLOOKUP(B145,'02. MM-KLH'!$B$6:$T$823,9,0),"")</f>
        <v/>
      </c>
      <c r="K145" s="80" t="str">
        <f>IFERROR(VLOOKUP(B145,'02. MM-KLH'!$B$6:$T$823,10,0),"")</f>
        <v>Hư hỏng</v>
      </c>
      <c r="L145" s="102" t="str">
        <f>IFERROR(VLOOKUP(B145,'02. MM-KLH'!$B$6:$T$823,11,0),"")</f>
        <v/>
      </c>
      <c r="M145" s="143" t="str">
        <f>IFERROR(VLOOKUP(B145,'02. MM-KLH'!$B$6:$T$823,12,0),"")</f>
        <v>ĐX LOẠI BIÊN</v>
      </c>
      <c r="N145" s="108" t="str">
        <f>IFERROR(VLOOKUP(B145,'02. MM-KLH'!$B$6:$T$823,13,0),"")</f>
        <v>THACO</v>
      </c>
      <c r="O145" s="108" t="str">
        <f>IFERROR(VLOOKUP(B145,'02. MM-KLH'!$B$6:$T$823,14,0),"")</f>
        <v>VIỆT NAM</v>
      </c>
      <c r="P145" s="80">
        <f>IFERROR(VLOOKUP(B145,'02. MM-KLH'!$B$6:$T$823,15,0),"")</f>
        <v>2018</v>
      </c>
      <c r="Q145" s="80" t="str">
        <f>IFERROR(VLOOKUP(B145,'02. MM-KLH'!$B$6:$T$823,16,0),"")</f>
        <v>KAM50</v>
      </c>
      <c r="R145" s="106" t="str">
        <f>IFERROR(VLOOKUP(B145,'02. MM-KLH'!$B$6:$T$823,17,0),"")</f>
        <v>50HP</v>
      </c>
      <c r="S145" s="108" t="str">
        <f>IFERROR(VLOOKUP(B145,'02. MM-KLH'!$B$6:$T$823,18,0),"")</f>
        <v>C000072</v>
      </c>
      <c r="T145" s="110" t="str">
        <f>IFERROR(VLOOKUP(B145,'02. MM-KLH'!$B$6:$T$823,19,0),"")</f>
        <v>CCN</v>
      </c>
      <c r="U145" s="130" t="s">
        <v>79</v>
      </c>
    </row>
    <row r="146" ht="13.5" customHeight="1">
      <c r="A146" s="80">
        <f t="shared" si="7"/>
        <v>3</v>
      </c>
      <c r="B146" s="115" t="s">
        <v>868</v>
      </c>
      <c r="C146" s="84" t="str">
        <f>IFERROR(VLOOKUP(B146,'02. MM-KLH'!$B$6:$T$823,2,0),"")</f>
        <v>CNN-MKE-001(MK04VCKLH)</v>
      </c>
      <c r="D146" s="95" t="str">
        <f>IFERROR(VLOOKUP(B146,'02. MM-KLH'!$B$6:$T$823,3,0),"")</f>
        <v>A23-MKE-014</v>
      </c>
      <c r="E146" s="86" t="str">
        <f>IFERROR(VLOOKUP(B146,'02. MM-KLH'!$B$6:$T$823,4,0),"")</f>
        <v/>
      </c>
      <c r="F146" s="115" t="s">
        <v>1824</v>
      </c>
      <c r="G146" s="86" t="str">
        <f>IFERROR(VLOOKUP(B146,'02. MM-KLH'!$B$6:$T$823,6,0),"")</f>
        <v>Máy cày KAM50</v>
      </c>
      <c r="H146" s="80" t="s">
        <v>2033</v>
      </c>
      <c r="I146" s="80" t="str">
        <f>IFERROR(VLOOKUP(B146,'02. MM-KLH'!$B$6:$T$823,8,0),"")</f>
        <v>XN Chuối DP1</v>
      </c>
      <c r="J146" s="99" t="str">
        <f>IFERROR(VLOOKUP(B146,'02. MM-KLH'!$B$6:$T$823,9,0),"")</f>
        <v>24/04/2024</v>
      </c>
      <c r="K146" s="80" t="str">
        <f>IFERROR(VLOOKUP(B146,'02. MM-KLH'!$B$6:$T$823,10,0),"")</f>
        <v>Bình thường</v>
      </c>
      <c r="L146" s="102" t="str">
        <f>IFERROR(VLOOKUP(B146,'02. MM-KLH'!$B$6:$T$823,11,0),"")</f>
        <v/>
      </c>
      <c r="M146" s="143" t="str">
        <f>IFERROR(VLOOKUP(B146,'02. MM-KLH'!$B$6:$T$823,12,0),"")</f>
        <v>CGLD DP giao qua</v>
      </c>
      <c r="N146" s="108" t="str">
        <f>IFERROR(VLOOKUP(B146,'02. MM-KLH'!$B$6:$T$823,13,0),"")</f>
        <v>THACO</v>
      </c>
      <c r="O146" s="108" t="str">
        <f>IFERROR(VLOOKUP(B146,'02. MM-KLH'!$B$6:$T$823,14,0),"")</f>
        <v>VIỆT NAM</v>
      </c>
      <c r="P146" s="80">
        <f>IFERROR(VLOOKUP(B146,'02. MM-KLH'!$B$6:$T$823,15,0),"")</f>
        <v>2018</v>
      </c>
      <c r="Q146" s="80" t="str">
        <f>IFERROR(VLOOKUP(B146,'02. MM-KLH'!$B$6:$T$823,16,0),"")</f>
        <v>KAM50</v>
      </c>
      <c r="R146" s="106" t="str">
        <f>IFERROR(VLOOKUP(B146,'02. MM-KLH'!$B$6:$T$823,17,0),"")</f>
        <v>50HP</v>
      </c>
      <c r="S146" s="108" t="str">
        <f>IFERROR(VLOOKUP(B146,'02. MM-KLH'!$B$6:$T$823,18,0),"")</f>
        <v>C000025</v>
      </c>
      <c r="T146" s="110" t="str">
        <f>IFERROR(VLOOKUP(B146,'02. MM-KLH'!$B$6:$T$823,19,0),"")</f>
        <v>CCN</v>
      </c>
      <c r="U146" s="130" t="s">
        <v>79</v>
      </c>
    </row>
    <row r="147" ht="12.75" customHeight="1">
      <c r="A147" s="80">
        <f t="shared" si="7"/>
        <v>4</v>
      </c>
      <c r="B147" s="183" t="s">
        <v>1014</v>
      </c>
      <c r="C147" s="84" t="str">
        <f>IFERROR(VLOOKUP(B147,'02. MM-KLH'!$B$6:$T$823,2,0),"")</f>
        <v>MK 69-VC KLH</v>
      </c>
      <c r="D147" s="95" t="str">
        <f>IFERROR(VLOOKUP(B147,'02. MM-KLH'!$B$6:$T$823,3,0),"")</f>
        <v>A23-MKE-019</v>
      </c>
      <c r="E147" s="86" t="str">
        <f>IFERROR(VLOOKUP(B147,'02. MM-KLH'!$B$6:$T$823,4,0),"")</f>
        <v/>
      </c>
      <c r="F147" s="134" t="s">
        <v>1824</v>
      </c>
      <c r="G147" s="86" t="str">
        <f>IFERROR(VLOOKUP(B147,'02. MM-KLH'!$B$6:$T$823,6,0),"")</f>
        <v>Máy cày KAM50</v>
      </c>
      <c r="H147" s="80" t="s">
        <v>2033</v>
      </c>
      <c r="I147" s="80" t="str">
        <f>IFERROR(VLOOKUP(B147,'02. MM-KLH'!$B$6:$T$823,8,0),"")</f>
        <v>XN Chuối DP2</v>
      </c>
      <c r="J147" s="99" t="str">
        <f>IFERROR(VLOOKUP(B147,'02. MM-KLH'!$B$6:$T$823,9,0),"")</f>
        <v/>
      </c>
      <c r="K147" s="80" t="str">
        <f>IFERROR(VLOOKUP(B147,'02. MM-KLH'!$B$6:$T$823,10,0),"")</f>
        <v>Hư hỏng</v>
      </c>
      <c r="L147" s="102" t="str">
        <f>IFERROR(VLOOKUP(B147,'02. MM-KLH'!$B$6:$T$823,11,0),"")</f>
        <v/>
      </c>
      <c r="M147" s="143" t="str">
        <f>IFERROR(VLOOKUP(B147,'02. MM-KLH'!$B$6:$T$823,12,0),"")</f>
        <v>ĐX LOẠI BIÊN</v>
      </c>
      <c r="N147" s="108" t="str">
        <f>IFERROR(VLOOKUP(B147,'02. MM-KLH'!$B$6:$T$823,13,0),"")</f>
        <v>THACO</v>
      </c>
      <c r="O147" s="108" t="str">
        <f>IFERROR(VLOOKUP(B147,'02. MM-KLH'!$B$6:$T$823,14,0),"")</f>
        <v>VIỆT NAM</v>
      </c>
      <c r="P147" s="80">
        <f>IFERROR(VLOOKUP(B147,'02. MM-KLH'!$B$6:$T$823,15,0),"")</f>
        <v>2018</v>
      </c>
      <c r="Q147" s="80" t="str">
        <f>IFERROR(VLOOKUP(B147,'02. MM-KLH'!$B$6:$T$823,16,0),"")</f>
        <v>KAM50</v>
      </c>
      <c r="R147" s="106" t="str">
        <f>IFERROR(VLOOKUP(B147,'02. MM-KLH'!$B$6:$T$823,17,0),"")</f>
        <v>50HP</v>
      </c>
      <c r="S147" s="108" t="str">
        <f>IFERROR(VLOOKUP(B147,'02. MM-KLH'!$B$6:$T$823,18,0),"")</f>
        <v>C000011</v>
      </c>
      <c r="T147" s="110" t="str">
        <f>IFERROR(VLOOKUP(B147,'02. MM-KLH'!$B$6:$T$823,19,0),"")</f>
        <v>CCN</v>
      </c>
      <c r="U147" s="130" t="s">
        <v>79</v>
      </c>
    </row>
    <row r="148" ht="13.5" customHeight="1">
      <c r="A148" s="80">
        <f t="shared" si="7"/>
        <v>5</v>
      </c>
      <c r="B148" s="113" t="s">
        <v>1017</v>
      </c>
      <c r="C148" s="84" t="str">
        <f>IFERROR(VLOOKUP(B148,'02. MM-KLH'!$B$6:$T$823,2,0),"")</f>
        <v>MK 70-VC KLH</v>
      </c>
      <c r="D148" s="95" t="str">
        <f>IFERROR(VLOOKUP(B148,'02. MM-KLH'!$B$6:$T$823,3,0),"")</f>
        <v>A23-MKE-020</v>
      </c>
      <c r="E148" s="86" t="str">
        <f>IFERROR(VLOOKUP(B148,'02. MM-KLH'!$B$6:$T$823,4,0),"")</f>
        <v/>
      </c>
      <c r="F148" s="115" t="s">
        <v>1824</v>
      </c>
      <c r="G148" s="86" t="str">
        <f>IFERROR(VLOOKUP(B148,'02. MM-KLH'!$B$6:$T$823,6,0),"")</f>
        <v>Máy cày KAM50</v>
      </c>
      <c r="H148" s="80" t="s">
        <v>2033</v>
      </c>
      <c r="I148" s="80" t="str">
        <f>IFERROR(VLOOKUP(B148,'02. MM-KLH'!$B$6:$T$823,8,0),"")</f>
        <v>XN Chuối DP2</v>
      </c>
      <c r="J148" s="99" t="str">
        <f>IFERROR(VLOOKUP(B148,'02. MM-KLH'!$B$6:$T$823,9,0),"")</f>
        <v/>
      </c>
      <c r="K148" s="80" t="str">
        <f>IFERROR(VLOOKUP(B148,'02. MM-KLH'!$B$6:$T$823,10,0),"")</f>
        <v>Bình thường</v>
      </c>
      <c r="L148" s="102" t="str">
        <f>IFERROR(VLOOKUP(B148,'02. MM-KLH'!$B$6:$T$823,11,0),"")</f>
        <v/>
      </c>
      <c r="M148" s="143" t="str">
        <f>IFERROR(VLOOKUP(B148,'02. MM-KLH'!$B$6:$T$823,12,0),"")</f>
        <v>ĐX LOẠI BIÊN</v>
      </c>
      <c r="N148" s="108" t="str">
        <f>IFERROR(VLOOKUP(B148,'02. MM-KLH'!$B$6:$T$823,13,0),"")</f>
        <v>THACO</v>
      </c>
      <c r="O148" s="108" t="str">
        <f>IFERROR(VLOOKUP(B148,'02. MM-KLH'!$B$6:$T$823,14,0),"")</f>
        <v>VIỆT NAM</v>
      </c>
      <c r="P148" s="80">
        <f>IFERROR(VLOOKUP(B148,'02. MM-KLH'!$B$6:$T$823,15,0),"")</f>
        <v>2018</v>
      </c>
      <c r="Q148" s="80" t="str">
        <f>IFERROR(VLOOKUP(B148,'02. MM-KLH'!$B$6:$T$823,16,0),"")</f>
        <v>KAM50</v>
      </c>
      <c r="R148" s="106" t="str">
        <f>IFERROR(VLOOKUP(B148,'02. MM-KLH'!$B$6:$T$823,17,0),"")</f>
        <v>50HP</v>
      </c>
      <c r="S148" s="108" t="str">
        <f>IFERROR(VLOOKUP(B148,'02. MM-KLH'!$B$6:$T$823,18,0),"")</f>
        <v>C00007</v>
      </c>
      <c r="T148" s="110" t="str">
        <f>IFERROR(VLOOKUP(B148,'02. MM-KLH'!$B$6:$T$823,19,0),"")</f>
        <v>CCN</v>
      </c>
      <c r="U148" s="130" t="s">
        <v>79</v>
      </c>
    </row>
    <row r="149" ht="13.5" customHeight="1">
      <c r="A149" s="80">
        <f t="shared" si="7"/>
        <v>6</v>
      </c>
      <c r="B149" s="113" t="s">
        <v>1121</v>
      </c>
      <c r="C149" s="84" t="str">
        <f>IFERROR(VLOOKUP(B149,'02. MM-KLH'!$B$6:$T$823,2,0),"")</f>
        <v>MK 74-VC KLH</v>
      </c>
      <c r="D149" s="95" t="str">
        <f>IFERROR(VLOOKUP(B149,'02. MM-KLH'!$B$6:$T$823,3,0),"")</f>
        <v>A23-MKE-024</v>
      </c>
      <c r="E149" s="86" t="str">
        <f>IFERROR(VLOOKUP(B149,'02. MM-KLH'!$B$6:$T$823,4,0),"")</f>
        <v/>
      </c>
      <c r="F149" s="115" t="s">
        <v>1824</v>
      </c>
      <c r="G149" s="86" t="str">
        <f>IFERROR(VLOOKUP(B149,'02. MM-KLH'!$B$6:$T$823,6,0),"")</f>
        <v>Máy cày KAM50</v>
      </c>
      <c r="H149" s="80" t="s">
        <v>2033</v>
      </c>
      <c r="I149" s="80" t="str">
        <f>IFERROR(VLOOKUP(B149,'02. MM-KLH'!$B$6:$T$823,8,0),"")</f>
        <v>XN Chuối DP3</v>
      </c>
      <c r="J149" s="99">
        <f>IFERROR(VLOOKUP(B149,'02. MM-KLH'!$B$6:$T$823,9,0),"")</f>
        <v>43525</v>
      </c>
      <c r="K149" s="80" t="str">
        <f>IFERROR(VLOOKUP(B149,'02. MM-KLH'!$B$6:$T$823,10,0),"")</f>
        <v>Bình thường</v>
      </c>
      <c r="L149" s="102">
        <f>IFERROR(VLOOKUP(B149,'02. MM-KLH'!$B$6:$T$823,11,0),"")</f>
        <v>0.4</v>
      </c>
      <c r="M149" s="143" t="str">
        <f>IFERROR(VLOOKUP(B149,'02. MM-KLH'!$B$6:$T$823,12,0),"")</f>
        <v/>
      </c>
      <c r="N149" s="108" t="str">
        <f>IFERROR(VLOOKUP(B149,'02. MM-KLH'!$B$6:$T$823,13,0),"")</f>
        <v>THACO</v>
      </c>
      <c r="O149" s="108" t="str">
        <f>IFERROR(VLOOKUP(B149,'02. MM-KLH'!$B$6:$T$823,14,0),"")</f>
        <v>VIỆT NAM</v>
      </c>
      <c r="P149" s="80">
        <f>IFERROR(VLOOKUP(B149,'02. MM-KLH'!$B$6:$T$823,15,0),"")</f>
        <v>2018</v>
      </c>
      <c r="Q149" s="80" t="str">
        <f>IFERROR(VLOOKUP(B149,'02. MM-KLH'!$B$6:$T$823,16,0),"")</f>
        <v>KAM50</v>
      </c>
      <c r="R149" s="106" t="str">
        <f>IFERROR(VLOOKUP(B149,'02. MM-KLH'!$B$6:$T$823,17,0),"")</f>
        <v>50HP</v>
      </c>
      <c r="S149" s="108" t="str">
        <f>IFERROR(VLOOKUP(B149,'02. MM-KLH'!$B$6:$T$823,18,0),"")</f>
        <v>C000083</v>
      </c>
      <c r="T149" s="110" t="str">
        <f>IFERROR(VLOOKUP(B149,'02. MM-KLH'!$B$6:$T$823,19,0),"")</f>
        <v>CCN</v>
      </c>
      <c r="U149" s="130" t="s">
        <v>79</v>
      </c>
    </row>
    <row r="150" ht="13.5" customHeight="1">
      <c r="A150" s="80">
        <f t="shared" si="7"/>
        <v>7</v>
      </c>
      <c r="B150" s="113" t="s">
        <v>1124</v>
      </c>
      <c r="C150" s="84" t="str">
        <f>IFERROR(VLOOKUP(B150,'02. MM-KLH'!$B$6:$T$823,2,0),"")</f>
        <v>MK 68-VC KLH</v>
      </c>
      <c r="D150" s="95" t="str">
        <f>IFERROR(VLOOKUP(B150,'02. MM-KLH'!$B$6:$T$823,3,0),"")</f>
        <v>A23-MKE-025</v>
      </c>
      <c r="E150" s="86" t="str">
        <f>IFERROR(VLOOKUP(B150,'02. MM-KLH'!$B$6:$T$823,4,0),"")</f>
        <v/>
      </c>
      <c r="F150" s="115" t="s">
        <v>1824</v>
      </c>
      <c r="G150" s="86" t="str">
        <f>IFERROR(VLOOKUP(B150,'02. MM-KLH'!$B$6:$T$823,6,0),"")</f>
        <v>Máy cày KAM50</v>
      </c>
      <c r="H150" s="80" t="s">
        <v>2033</v>
      </c>
      <c r="I150" s="80" t="str">
        <f>IFERROR(VLOOKUP(B150,'02. MM-KLH'!$B$6:$T$823,8,0),"")</f>
        <v>XN Chuối DP3</v>
      </c>
      <c r="J150" s="99">
        <f>IFERROR(VLOOKUP(B150,'02. MM-KLH'!$B$6:$T$823,9,0),"")</f>
        <v>43525</v>
      </c>
      <c r="K150" s="80" t="str">
        <f>IFERROR(VLOOKUP(B150,'02. MM-KLH'!$B$6:$T$823,10,0),"")</f>
        <v>Bình thường</v>
      </c>
      <c r="L150" s="102">
        <f>IFERROR(VLOOKUP(B150,'02. MM-KLH'!$B$6:$T$823,11,0),"")</f>
        <v>0.4</v>
      </c>
      <c r="M150" s="143" t="str">
        <f>IFERROR(VLOOKUP(B150,'02. MM-KLH'!$B$6:$T$823,12,0),"")</f>
        <v/>
      </c>
      <c r="N150" s="108" t="str">
        <f>IFERROR(VLOOKUP(B150,'02. MM-KLH'!$B$6:$T$823,13,0),"")</f>
        <v>THACO</v>
      </c>
      <c r="O150" s="108" t="str">
        <f>IFERROR(VLOOKUP(B150,'02. MM-KLH'!$B$6:$T$823,14,0),"")</f>
        <v>VIỆT NAM</v>
      </c>
      <c r="P150" s="80">
        <f>IFERROR(VLOOKUP(B150,'02. MM-KLH'!$B$6:$T$823,15,0),"")</f>
        <v>2018</v>
      </c>
      <c r="Q150" s="80" t="str">
        <f>IFERROR(VLOOKUP(B150,'02. MM-KLH'!$B$6:$T$823,16,0),"")</f>
        <v>KAM50</v>
      </c>
      <c r="R150" s="106" t="str">
        <f>IFERROR(VLOOKUP(B150,'02. MM-KLH'!$B$6:$T$823,17,0),"")</f>
        <v>50HP</v>
      </c>
      <c r="S150" s="108" t="str">
        <f>IFERROR(VLOOKUP(B150,'02. MM-KLH'!$B$6:$T$823,18,0),"")</f>
        <v>C000070</v>
      </c>
      <c r="T150" s="110" t="str">
        <f>IFERROR(VLOOKUP(B150,'02. MM-KLH'!$B$6:$T$823,19,0),"")</f>
        <v>CCN</v>
      </c>
      <c r="U150" s="130" t="s">
        <v>79</v>
      </c>
    </row>
    <row r="151" ht="13.5" customHeight="1">
      <c r="A151" s="80">
        <f t="shared" si="7"/>
        <v>8</v>
      </c>
      <c r="B151" s="113" t="s">
        <v>1127</v>
      </c>
      <c r="C151" s="84" t="str">
        <f>IFERROR(VLOOKUP(B151,'02. MM-KLH'!$B$6:$T$823,2,0),"")</f>
        <v>MK 76-VC KLH</v>
      </c>
      <c r="D151" s="95" t="str">
        <f>IFERROR(VLOOKUP(B151,'02. MM-KLH'!$B$6:$T$823,3,0),"")</f>
        <v>A23-MKE-026</v>
      </c>
      <c r="E151" s="86" t="str">
        <f>IFERROR(VLOOKUP(B151,'02. MM-KLH'!$B$6:$T$823,4,0),"")</f>
        <v/>
      </c>
      <c r="F151" s="115" t="s">
        <v>1824</v>
      </c>
      <c r="G151" s="86" t="str">
        <f>IFERROR(VLOOKUP(B151,'02. MM-KLH'!$B$6:$T$823,6,0),"")</f>
        <v>Máy cày KAM50</v>
      </c>
      <c r="H151" s="80" t="s">
        <v>2033</v>
      </c>
      <c r="I151" s="80" t="str">
        <f>IFERROR(VLOOKUP(B151,'02. MM-KLH'!$B$6:$T$823,8,0),"")</f>
        <v>XN Chuối DP3</v>
      </c>
      <c r="J151" s="99">
        <f>IFERROR(VLOOKUP(B151,'02. MM-KLH'!$B$6:$T$823,9,0),"")</f>
        <v>43525</v>
      </c>
      <c r="K151" s="80" t="str">
        <f>IFERROR(VLOOKUP(B151,'02. MM-KLH'!$B$6:$T$823,10,0),"")</f>
        <v>Bình thường</v>
      </c>
      <c r="L151" s="102">
        <f>IFERROR(VLOOKUP(B151,'02. MM-KLH'!$B$6:$T$823,11,0),"")</f>
        <v>0.4</v>
      </c>
      <c r="M151" s="143" t="str">
        <f>IFERROR(VLOOKUP(B151,'02. MM-KLH'!$B$6:$T$823,12,0),"")</f>
        <v/>
      </c>
      <c r="N151" s="108" t="str">
        <f>IFERROR(VLOOKUP(B151,'02. MM-KLH'!$B$6:$T$823,13,0),"")</f>
        <v>THACO</v>
      </c>
      <c r="O151" s="108" t="str">
        <f>IFERROR(VLOOKUP(B151,'02. MM-KLH'!$B$6:$T$823,14,0),"")</f>
        <v>VIỆT NAM</v>
      </c>
      <c r="P151" s="80">
        <f>IFERROR(VLOOKUP(B151,'02. MM-KLH'!$B$6:$T$823,15,0),"")</f>
        <v>2018</v>
      </c>
      <c r="Q151" s="80" t="str">
        <f>IFERROR(VLOOKUP(B151,'02. MM-KLH'!$B$6:$T$823,16,0),"")</f>
        <v>KAM50</v>
      </c>
      <c r="R151" s="106" t="str">
        <f>IFERROR(VLOOKUP(B151,'02. MM-KLH'!$B$6:$T$823,17,0),"")</f>
        <v>50HP</v>
      </c>
      <c r="S151" s="108" t="str">
        <f>IFERROR(VLOOKUP(B151,'02. MM-KLH'!$B$6:$T$823,18,0),"")</f>
        <v>C000036</v>
      </c>
      <c r="T151" s="110" t="str">
        <f>IFERROR(VLOOKUP(B151,'02. MM-KLH'!$B$6:$T$823,19,0),"")</f>
        <v>CCN</v>
      </c>
      <c r="U151" s="130" t="s">
        <v>79</v>
      </c>
    </row>
    <row r="152">
      <c r="A152" s="80">
        <f t="shared" si="7"/>
        <v>9</v>
      </c>
      <c r="B152" s="113" t="s">
        <v>1130</v>
      </c>
      <c r="C152" s="84" t="str">
        <f>IFERROR(VLOOKUP(B152,'02. MM-KLH'!$B$6:$T$823,2,0),"")</f>
        <v>MK 80-VC KLH</v>
      </c>
      <c r="D152" s="95" t="str">
        <f>IFERROR(VLOOKUP(B152,'02. MM-KLH'!$B$6:$T$823,3,0),"")</f>
        <v>A23-MKE-027</v>
      </c>
      <c r="E152" s="86" t="str">
        <f>IFERROR(VLOOKUP(B152,'02. MM-KLH'!$B$6:$T$823,4,0),"")</f>
        <v/>
      </c>
      <c r="F152" s="115" t="s">
        <v>1824</v>
      </c>
      <c r="G152" s="86" t="str">
        <f>IFERROR(VLOOKUP(B152,'02. MM-KLH'!$B$6:$T$823,6,0),"")</f>
        <v>Máy cày KAM50</v>
      </c>
      <c r="H152" s="80" t="s">
        <v>2033</v>
      </c>
      <c r="I152" s="80" t="str">
        <f>IFERROR(VLOOKUP(B152,'02. MM-KLH'!$B$6:$T$823,8,0),"")</f>
        <v>XN Chuối DP3</v>
      </c>
      <c r="J152" s="99">
        <f>IFERROR(VLOOKUP(B152,'02. MM-KLH'!$B$6:$T$823,9,0),"")</f>
        <v>43525</v>
      </c>
      <c r="K152" s="80" t="str">
        <f>IFERROR(VLOOKUP(B152,'02. MM-KLH'!$B$6:$T$823,10,0),"")</f>
        <v>Bình thường</v>
      </c>
      <c r="L152" s="102">
        <f>IFERROR(VLOOKUP(B152,'02. MM-KLH'!$B$6:$T$823,11,0),"")</f>
        <v>0.4</v>
      </c>
      <c r="M152" s="143" t="str">
        <f>IFERROR(VLOOKUP(B152,'02. MM-KLH'!$B$6:$T$823,12,0),"")</f>
        <v/>
      </c>
      <c r="N152" s="108" t="str">
        <f>IFERROR(VLOOKUP(B152,'02. MM-KLH'!$B$6:$T$823,13,0),"")</f>
        <v>THACO</v>
      </c>
      <c r="O152" s="108" t="str">
        <f>IFERROR(VLOOKUP(B152,'02. MM-KLH'!$B$6:$T$823,14,0),"")</f>
        <v>VIỆT NAM</v>
      </c>
      <c r="P152" s="80">
        <f>IFERROR(VLOOKUP(B152,'02. MM-KLH'!$B$6:$T$823,15,0),"")</f>
        <v>2018</v>
      </c>
      <c r="Q152" s="80" t="str">
        <f>IFERROR(VLOOKUP(B152,'02. MM-KLH'!$B$6:$T$823,16,0),"")</f>
        <v>KAM50</v>
      </c>
      <c r="R152" s="106" t="str">
        <f>IFERROR(VLOOKUP(B152,'02. MM-KLH'!$B$6:$T$823,17,0),"")</f>
        <v>50HP</v>
      </c>
      <c r="S152" s="108" t="str">
        <f>IFERROR(VLOOKUP(B152,'02. MM-KLH'!$B$6:$T$823,18,0),"")</f>
        <v>C000013</v>
      </c>
      <c r="T152" s="110" t="str">
        <f>IFERROR(VLOOKUP(B152,'02. MM-KLH'!$B$6:$T$823,19,0),"")</f>
        <v>CCN</v>
      </c>
      <c r="U152" s="130" t="s">
        <v>79</v>
      </c>
    </row>
    <row r="153" ht="13.5" customHeight="1">
      <c r="A153" s="80">
        <f t="shared" si="7"/>
        <v>10</v>
      </c>
      <c r="B153" s="113" t="s">
        <v>1134</v>
      </c>
      <c r="C153" s="84" t="str">
        <f>IFERROR(VLOOKUP(B153,'02. MM-KLH'!$B$6:$T$823,2,0),"")</f>
        <v>MK 75-VC KLH</v>
      </c>
      <c r="D153" s="95" t="str">
        <f>IFERROR(VLOOKUP(B153,'02. MM-KLH'!$B$6:$T$823,3,0),"")</f>
        <v>A23-MKE-028</v>
      </c>
      <c r="E153" s="86" t="str">
        <f>IFERROR(VLOOKUP(B153,'02. MM-KLH'!$B$6:$T$823,4,0),"")</f>
        <v/>
      </c>
      <c r="F153" s="115" t="s">
        <v>1824</v>
      </c>
      <c r="G153" s="86" t="str">
        <f>IFERROR(VLOOKUP(B153,'02. MM-KLH'!$B$6:$T$823,6,0),"")</f>
        <v>Máy cày KAM50</v>
      </c>
      <c r="H153" s="80" t="s">
        <v>2033</v>
      </c>
      <c r="I153" s="80" t="str">
        <f>IFERROR(VLOOKUP(B153,'02. MM-KLH'!$B$6:$T$823,8,0),"")</f>
        <v>XN Chuối DP3</v>
      </c>
      <c r="J153" s="99" t="str">
        <f>IFERROR(VLOOKUP(B153,'02. MM-KLH'!$B$6:$T$823,9,0),"")</f>
        <v/>
      </c>
      <c r="K153" s="80" t="str">
        <f>IFERROR(VLOOKUP(B153,'02. MM-KLH'!$B$6:$T$823,10,0),"")</f>
        <v>Bình thường</v>
      </c>
      <c r="L153" s="102" t="str">
        <f>IFERROR(VLOOKUP(B153,'02. MM-KLH'!$B$6:$T$823,11,0),"")</f>
        <v/>
      </c>
      <c r="M153" s="143" t="str">
        <f>IFERROR(VLOOKUP(B153,'02. MM-KLH'!$B$6:$T$823,12,0),"")</f>
        <v/>
      </c>
      <c r="N153" s="108" t="str">
        <f>IFERROR(VLOOKUP(B153,'02. MM-KLH'!$B$6:$T$823,13,0),"")</f>
        <v>THACO</v>
      </c>
      <c r="O153" s="108" t="str">
        <f>IFERROR(VLOOKUP(B153,'02. MM-KLH'!$B$6:$T$823,14,0),"")</f>
        <v>VIỆT NAM</v>
      </c>
      <c r="P153" s="80">
        <f>IFERROR(VLOOKUP(B153,'02. MM-KLH'!$B$6:$T$823,15,0),"")</f>
        <v>2018</v>
      </c>
      <c r="Q153" s="80" t="str">
        <f>IFERROR(VLOOKUP(B153,'02. MM-KLH'!$B$6:$T$823,16,0),"")</f>
        <v>KAM50</v>
      </c>
      <c r="R153" s="106" t="str">
        <f>IFERROR(VLOOKUP(B153,'02. MM-KLH'!$B$6:$T$823,17,0),"")</f>
        <v>50HP</v>
      </c>
      <c r="S153" s="108" t="str">
        <f>IFERROR(VLOOKUP(B153,'02. MM-KLH'!$B$6:$T$823,18,0),"")</f>
        <v>C000084</v>
      </c>
      <c r="T153" s="110" t="str">
        <f>IFERROR(VLOOKUP(B153,'02. MM-KLH'!$B$6:$T$823,19,0),"")</f>
        <v>CCN</v>
      </c>
      <c r="U153" s="130" t="s">
        <v>79</v>
      </c>
    </row>
    <row r="154" ht="13.5" customHeight="1">
      <c r="A154" s="80">
        <f t="shared" si="7"/>
        <v>11</v>
      </c>
      <c r="B154" s="115" t="s">
        <v>1259</v>
      </c>
      <c r="C154" s="84" t="str">
        <f>IFERROR(VLOOKUP(B154,'02. MM-KLH'!$B$6:$T$823,2,0),"")</f>
        <v>XL4-MKE-004</v>
      </c>
      <c r="D154" s="95" t="str">
        <f>IFERROR(VLOOKUP(B154,'02. MM-KLH'!$B$6:$T$823,3,0),"")</f>
        <v>A24-MKE-010</v>
      </c>
      <c r="E154" s="86" t="str">
        <f>IFERROR(VLOOKUP(B154,'02. MM-KLH'!$B$6:$T$823,4,0),"")</f>
        <v/>
      </c>
      <c r="F154" s="115"/>
      <c r="G154" s="86" t="str">
        <f>IFERROR(VLOOKUP(B154,'02. MM-KLH'!$B$6:$T$823,6,0),"")</f>
        <v>Máy cày KAM50</v>
      </c>
      <c r="H154" s="80" t="s">
        <v>2033</v>
      </c>
      <c r="I154" s="80" t="str">
        <f>IFERROR(VLOOKUP(B154,'02. MM-KLH'!$B$6:$T$823,8,0),"")</f>
        <v>XN Chuối LP1</v>
      </c>
      <c r="J154" s="99" t="str">
        <f>IFERROR(VLOOKUP(B154,'02. MM-KLH'!$B$6:$T$823,9,0),"")</f>
        <v>28/06/2024</v>
      </c>
      <c r="K154" s="80" t="str">
        <f>IFERROR(VLOOKUP(B154,'02. MM-KLH'!$B$6:$T$823,10,0),"")</f>
        <v>Bình thường</v>
      </c>
      <c r="L154" s="102" t="str">
        <f>IFERROR(VLOOKUP(B154,'02. MM-KLH'!$B$6:$T$823,11,0),"")</f>
        <v/>
      </c>
      <c r="M154" s="143" t="str">
        <f>IFERROR(VLOOKUP(B154,'02. MM-KLH'!$B$6:$T$823,12,0),"")</f>
        <v>LP4 bàn giao qua ngày 28/06/2024</v>
      </c>
      <c r="N154" s="108" t="str">
        <f>IFERROR(VLOOKUP(B154,'02. MM-KLH'!$B$6:$T$823,13,0),"")</f>
        <v>THACO</v>
      </c>
      <c r="O154" s="108" t="str">
        <f>IFERROR(VLOOKUP(B154,'02. MM-KLH'!$B$6:$T$823,14,0),"")</f>
        <v>VIỆT NAM</v>
      </c>
      <c r="P154" s="80">
        <f>IFERROR(VLOOKUP(B154,'02. MM-KLH'!$B$6:$T$823,15,0),"")</f>
        <v>2018</v>
      </c>
      <c r="Q154" s="80" t="str">
        <f>IFERROR(VLOOKUP(B154,'02. MM-KLH'!$B$6:$T$823,16,0),"")</f>
        <v>KAM50</v>
      </c>
      <c r="R154" s="106" t="str">
        <f>IFERROR(VLOOKUP(B154,'02. MM-KLH'!$B$6:$T$823,17,0),"")</f>
        <v>50HP</v>
      </c>
      <c r="S154" s="108" t="str">
        <f>IFERROR(VLOOKUP(B154,'02. MM-KLH'!$B$6:$T$823,18,0),"")</f>
        <v>C000052</v>
      </c>
      <c r="T154" s="110" t="str">
        <f>IFERROR(VLOOKUP(B154,'02. MM-KLH'!$B$6:$T$823,19,0),"")</f>
        <v>CCN</v>
      </c>
      <c r="U154" s="130" t="s">
        <v>79</v>
      </c>
    </row>
    <row r="155" ht="13.5" customHeight="1">
      <c r="A155" s="80">
        <f t="shared" si="7"/>
        <v>12</v>
      </c>
      <c r="B155" s="113" t="s">
        <v>1264</v>
      </c>
      <c r="C155" s="84" t="str">
        <f>IFERROR(VLOOKUP(B155,'02. MM-KLH'!$B$6:$T$823,2,0),"")</f>
        <v>LP4-MKE-002</v>
      </c>
      <c r="D155" s="95" t="str">
        <f>IFERROR(VLOOKUP(B155,'02. MM-KLH'!$B$6:$T$823,3,0),"")</f>
        <v>A24-MKE-018</v>
      </c>
      <c r="E155" s="86" t="str">
        <f>IFERROR(VLOOKUP(B155,'02. MM-KLH'!$B$6:$T$823,4,0),"")</f>
        <v/>
      </c>
      <c r="F155" s="115"/>
      <c r="G155" s="86" t="str">
        <f>IFERROR(VLOOKUP(B155,'02. MM-KLH'!$B$6:$T$823,6,0),"")</f>
        <v>Máy cày KAM50</v>
      </c>
      <c r="H155" s="80" t="s">
        <v>2033</v>
      </c>
      <c r="I155" s="80" t="str">
        <f>IFERROR(VLOOKUP(B155,'02. MM-KLH'!$B$6:$T$823,8,0),"")</f>
        <v>XN Chuối LP1</v>
      </c>
      <c r="J155" s="99" t="str">
        <f>IFERROR(VLOOKUP(B155,'02. MM-KLH'!$B$6:$T$823,9,0),"")</f>
        <v/>
      </c>
      <c r="K155" s="80" t="str">
        <f>IFERROR(VLOOKUP(B155,'02. MM-KLH'!$B$6:$T$823,10,0),"")</f>
        <v>Bình thường</v>
      </c>
      <c r="L155" s="102" t="str">
        <f>IFERROR(VLOOKUP(B155,'02. MM-KLH'!$B$6:$T$823,11,0),"")</f>
        <v/>
      </c>
      <c r="M155" s="143" t="str">
        <f>IFERROR(VLOOKUP(B155,'02. MM-KLH'!$B$6:$T$823,12,0),"")</f>
        <v>-Đ.chuyển từ LP4 sang LP1 ngày 16.07.2024</v>
      </c>
      <c r="N155" s="108" t="str">
        <f>IFERROR(VLOOKUP(B155,'02. MM-KLH'!$B$6:$T$823,13,0),"")</f>
        <v>THACO</v>
      </c>
      <c r="O155" s="108" t="str">
        <f>IFERROR(VLOOKUP(B155,'02. MM-KLH'!$B$6:$T$823,14,0),"")</f>
        <v>VIỆT NAM</v>
      </c>
      <c r="P155" s="80">
        <f>IFERROR(VLOOKUP(B155,'02. MM-KLH'!$B$6:$T$823,15,0),"")</f>
        <v>2018</v>
      </c>
      <c r="Q155" s="80" t="str">
        <f>IFERROR(VLOOKUP(B155,'02. MM-KLH'!$B$6:$T$823,16,0),"")</f>
        <v>KAM50</v>
      </c>
      <c r="R155" s="106" t="str">
        <f>IFERROR(VLOOKUP(B155,'02. MM-KLH'!$B$6:$T$823,17,0),"")</f>
        <v>50HP</v>
      </c>
      <c r="S155" s="108" t="str">
        <f>IFERROR(VLOOKUP(B155,'02. MM-KLH'!$B$6:$T$823,18,0),"")</f>
        <v>C000017</v>
      </c>
      <c r="T155" s="110" t="str">
        <f>IFERROR(VLOOKUP(B155,'02. MM-KLH'!$B$6:$T$823,19,0),"")</f>
        <v>CCN</v>
      </c>
      <c r="U155" s="130" t="s">
        <v>79</v>
      </c>
    </row>
    <row r="156" ht="13.5" customHeight="1">
      <c r="A156" s="80">
        <f t="shared" si="7"/>
        <v>13</v>
      </c>
      <c r="B156" s="113" t="s">
        <v>1268</v>
      </c>
      <c r="C156" s="84" t="str">
        <f>IFERROR(VLOOKUP(B156,'02. MM-KLH'!$B$6:$T$823,2,0),"")</f>
        <v>LP4-MKE-003</v>
      </c>
      <c r="D156" s="95" t="str">
        <f>IFERROR(VLOOKUP(B156,'02. MM-KLH'!$B$6:$T$823,3,0),"")</f>
        <v>A24-MKE-019</v>
      </c>
      <c r="E156" s="86" t="str">
        <f>IFERROR(VLOOKUP(B156,'02. MM-KLH'!$B$6:$T$823,4,0),"")</f>
        <v/>
      </c>
      <c r="F156" s="115"/>
      <c r="G156" s="86" t="str">
        <f>IFERROR(VLOOKUP(B156,'02. MM-KLH'!$B$6:$T$823,6,0),"")</f>
        <v>Máy cày KAM50</v>
      </c>
      <c r="H156" s="80" t="s">
        <v>2033</v>
      </c>
      <c r="I156" s="80" t="str">
        <f>IFERROR(VLOOKUP(B156,'02. MM-KLH'!$B$6:$T$823,8,0),"")</f>
        <v>XN Chuối LP1</v>
      </c>
      <c r="J156" s="99" t="str">
        <f>IFERROR(VLOOKUP(B156,'02. MM-KLH'!$B$6:$T$823,9,0),"")</f>
        <v/>
      </c>
      <c r="K156" s="80" t="str">
        <f>IFERROR(VLOOKUP(B156,'02. MM-KLH'!$B$6:$T$823,10,0),"")</f>
        <v>Bình thường</v>
      </c>
      <c r="L156" s="102" t="str">
        <f>IFERROR(VLOOKUP(B156,'02. MM-KLH'!$B$6:$T$823,11,0),"")</f>
        <v/>
      </c>
      <c r="M156" s="143" t="str">
        <f>IFERROR(VLOOKUP(B156,'02. MM-KLH'!$B$6:$T$823,12,0),"")</f>
        <v>-Đ.chuyển từ LP4 sang LP1 ngày 16.07.2024</v>
      </c>
      <c r="N156" s="108" t="str">
        <f>IFERROR(VLOOKUP(B156,'02. MM-KLH'!$B$6:$T$823,13,0),"")</f>
        <v>THACO</v>
      </c>
      <c r="O156" s="108" t="str">
        <f>IFERROR(VLOOKUP(B156,'02. MM-KLH'!$B$6:$T$823,14,0),"")</f>
        <v>VIỆT NAM</v>
      </c>
      <c r="P156" s="80">
        <f>IFERROR(VLOOKUP(B156,'02. MM-KLH'!$B$6:$T$823,15,0),"")</f>
        <v>2018</v>
      </c>
      <c r="Q156" s="80" t="str">
        <f>IFERROR(VLOOKUP(B156,'02. MM-KLH'!$B$6:$T$823,16,0),"")</f>
        <v>KAM50</v>
      </c>
      <c r="R156" s="106" t="str">
        <f>IFERROR(VLOOKUP(B156,'02. MM-KLH'!$B$6:$T$823,17,0),"")</f>
        <v>50HP</v>
      </c>
      <c r="S156" s="108" t="str">
        <f>IFERROR(VLOOKUP(B156,'02. MM-KLH'!$B$6:$T$823,18,0),"")</f>
        <v>C000063</v>
      </c>
      <c r="T156" s="110" t="str">
        <f>IFERROR(VLOOKUP(B156,'02. MM-KLH'!$B$6:$T$823,19,0),"")</f>
        <v>CCN</v>
      </c>
      <c r="U156" s="130" t="s">
        <v>79</v>
      </c>
    </row>
    <row r="157" ht="13.5" customHeight="1">
      <c r="A157" s="80">
        <f t="shared" si="7"/>
        <v>14</v>
      </c>
      <c r="B157" s="113" t="s">
        <v>1387</v>
      </c>
      <c r="C157" s="84" t="str">
        <f>IFERROR(VLOOKUP(B157,'02. MM-KLH'!$B$6:$T$823,2,0),"")</f>
        <v>LP3-MKE-001(MK11-VCKLH)</v>
      </c>
      <c r="D157" s="95" t="str">
        <f>IFERROR(VLOOKUP(B157,'02. MM-KLH'!$B$6:$T$823,3,0),"")</f>
        <v>A24-MKE-011</v>
      </c>
      <c r="E157" s="86" t="str">
        <f>IFERROR(VLOOKUP(B157,'02. MM-KLH'!$B$6:$T$823,4,0),"")</f>
        <v/>
      </c>
      <c r="F157" s="115"/>
      <c r="G157" s="86" t="str">
        <f>IFERROR(VLOOKUP(B157,'02. MM-KLH'!$B$6:$T$823,6,0),"")</f>
        <v>Máy cày KAM50</v>
      </c>
      <c r="H157" s="80" t="s">
        <v>2033</v>
      </c>
      <c r="I157" s="80" t="str">
        <f>IFERROR(VLOOKUP(B157,'02. MM-KLH'!$B$6:$T$823,8,0),"")</f>
        <v>XN Chuối LP3</v>
      </c>
      <c r="J157" s="99" t="str">
        <f>IFERROR(VLOOKUP(B157,'02. MM-KLH'!$B$6:$T$823,9,0),"")</f>
        <v/>
      </c>
      <c r="K157" s="80" t="str">
        <f>IFERROR(VLOOKUP(B157,'02. MM-KLH'!$B$6:$T$823,10,0),"")</f>
        <v>Bình thường</v>
      </c>
      <c r="L157" s="102" t="str">
        <f>IFERROR(VLOOKUP(B157,'02. MM-KLH'!$B$6:$T$823,11,0),"")</f>
        <v/>
      </c>
      <c r="M157" s="143" t="str">
        <f>IFERROR(VLOOKUP(B157,'02. MM-KLH'!$B$6:$T$823,12,0),"")</f>
        <v/>
      </c>
      <c r="N157" s="108" t="str">
        <f>IFERROR(VLOOKUP(B157,'02. MM-KLH'!$B$6:$T$823,13,0),"")</f>
        <v>THACO</v>
      </c>
      <c r="O157" s="108" t="str">
        <f>IFERROR(VLOOKUP(B157,'02. MM-KLH'!$B$6:$T$823,14,0),"")</f>
        <v>VIỆT NAM</v>
      </c>
      <c r="P157" s="80">
        <f>IFERROR(VLOOKUP(B157,'02. MM-KLH'!$B$6:$T$823,15,0),"")</f>
        <v>2018</v>
      </c>
      <c r="Q157" s="80" t="str">
        <f>IFERROR(VLOOKUP(B157,'02. MM-KLH'!$B$6:$T$823,16,0),"")</f>
        <v>KAM50</v>
      </c>
      <c r="R157" s="106" t="str">
        <f>IFERROR(VLOOKUP(B157,'02. MM-KLH'!$B$6:$T$823,17,0),"")</f>
        <v>50HP</v>
      </c>
      <c r="S157" s="108" t="str">
        <f>IFERROR(VLOOKUP(B157,'02. MM-KLH'!$B$6:$T$823,18,0),"")</f>
        <v>C000057</v>
      </c>
      <c r="T157" s="110" t="str">
        <f>IFERROR(VLOOKUP(B157,'02. MM-KLH'!$B$6:$T$823,19,0),"")</f>
        <v>CCN</v>
      </c>
      <c r="U157" s="130" t="s">
        <v>79</v>
      </c>
    </row>
    <row r="158" ht="13.5" customHeight="1">
      <c r="A158" s="80">
        <f t="shared" si="7"/>
        <v>15</v>
      </c>
      <c r="B158" s="113" t="s">
        <v>1391</v>
      </c>
      <c r="C158" s="84" t="str">
        <f>IFERROR(VLOOKUP(B158,'02. MM-KLH'!$B$6:$T$823,2,0),"")</f>
        <v>LP3-MKE-002(MK24-VCKLH)</v>
      </c>
      <c r="D158" s="95" t="str">
        <f>IFERROR(VLOOKUP(B158,'02. MM-KLH'!$B$6:$T$823,3,0),"")</f>
        <v>A24-MKE-012</v>
      </c>
      <c r="E158" s="86" t="str">
        <f>IFERROR(VLOOKUP(B158,'02. MM-KLH'!$B$6:$T$823,4,0),"")</f>
        <v/>
      </c>
      <c r="F158" s="115"/>
      <c r="G158" s="86" t="str">
        <f>IFERROR(VLOOKUP(B158,'02. MM-KLH'!$B$6:$T$823,6,0),"")</f>
        <v>Máy cày KAM50</v>
      </c>
      <c r="H158" s="80" t="s">
        <v>2033</v>
      </c>
      <c r="I158" s="80" t="str">
        <f>IFERROR(VLOOKUP(B158,'02. MM-KLH'!$B$6:$T$823,8,0),"")</f>
        <v>XN Chuối LP3</v>
      </c>
      <c r="J158" s="99" t="str">
        <f>IFERROR(VLOOKUP(B158,'02. MM-KLH'!$B$6:$T$823,9,0),"")</f>
        <v/>
      </c>
      <c r="K158" s="80" t="str">
        <f>IFERROR(VLOOKUP(B158,'02. MM-KLH'!$B$6:$T$823,10,0),"")</f>
        <v>Bình thường</v>
      </c>
      <c r="L158" s="102" t="str">
        <f>IFERROR(VLOOKUP(B158,'02. MM-KLH'!$B$6:$T$823,11,0),"")</f>
        <v/>
      </c>
      <c r="M158" s="143" t="str">
        <f>IFERROR(VLOOKUP(B158,'02. MM-KLH'!$B$6:$T$823,12,0),"")</f>
        <v/>
      </c>
      <c r="N158" s="108" t="str">
        <f>IFERROR(VLOOKUP(B158,'02. MM-KLH'!$B$6:$T$823,13,0),"")</f>
        <v>THACO</v>
      </c>
      <c r="O158" s="108" t="str">
        <f>IFERROR(VLOOKUP(B158,'02. MM-KLH'!$B$6:$T$823,14,0),"")</f>
        <v>VIỆT NAM</v>
      </c>
      <c r="P158" s="80">
        <f>IFERROR(VLOOKUP(B158,'02. MM-KLH'!$B$6:$T$823,15,0),"")</f>
        <v>2018</v>
      </c>
      <c r="Q158" s="80" t="str">
        <f>IFERROR(VLOOKUP(B158,'02. MM-KLH'!$B$6:$T$823,16,0),"")</f>
        <v>KAM50</v>
      </c>
      <c r="R158" s="106" t="str">
        <f>IFERROR(VLOOKUP(B158,'02. MM-KLH'!$B$6:$T$823,17,0),"")</f>
        <v>50HP</v>
      </c>
      <c r="S158" s="108" t="str">
        <f>IFERROR(VLOOKUP(B158,'02. MM-KLH'!$B$6:$T$823,18,0),"")</f>
        <v>C000056</v>
      </c>
      <c r="T158" s="110" t="str">
        <f>IFERROR(VLOOKUP(B158,'02. MM-KLH'!$B$6:$T$823,19,0),"")</f>
        <v>CCN</v>
      </c>
      <c r="U158" s="130" t="s">
        <v>79</v>
      </c>
    </row>
    <row r="159" ht="13.5" customHeight="1">
      <c r="A159" s="80">
        <f t="shared" si="7"/>
        <v>16</v>
      </c>
      <c r="B159" s="113" t="s">
        <v>1394</v>
      </c>
      <c r="C159" s="84" t="str">
        <f>IFERROR(VLOOKUP(B159,'02. MM-KLH'!$B$6:$T$823,2,0),"")</f>
        <v>LP3-MKE-003(MK32-VCKLH)</v>
      </c>
      <c r="D159" s="95" t="str">
        <f>IFERROR(VLOOKUP(B159,'02. MM-KLH'!$B$6:$T$823,3,0),"")</f>
        <v>A24-MKE-013</v>
      </c>
      <c r="E159" s="86" t="str">
        <f>IFERROR(VLOOKUP(B159,'02. MM-KLH'!$B$6:$T$823,4,0),"")</f>
        <v/>
      </c>
      <c r="F159" s="115"/>
      <c r="G159" s="86" t="str">
        <f>IFERROR(VLOOKUP(B159,'02. MM-KLH'!$B$6:$T$823,6,0),"")</f>
        <v>Máy cày KAM50</v>
      </c>
      <c r="H159" s="80" t="s">
        <v>2033</v>
      </c>
      <c r="I159" s="80" t="str">
        <f>IFERROR(VLOOKUP(B159,'02. MM-KLH'!$B$6:$T$823,8,0),"")</f>
        <v>XN Chuối LP3</v>
      </c>
      <c r="J159" s="99" t="str">
        <f>IFERROR(VLOOKUP(B159,'02. MM-KLH'!$B$6:$T$823,9,0),"")</f>
        <v/>
      </c>
      <c r="K159" s="80" t="str">
        <f>IFERROR(VLOOKUP(B159,'02. MM-KLH'!$B$6:$T$823,10,0),"")</f>
        <v>Bình thường</v>
      </c>
      <c r="L159" s="102" t="str">
        <f>IFERROR(VLOOKUP(B159,'02. MM-KLH'!$B$6:$T$823,11,0),"")</f>
        <v/>
      </c>
      <c r="M159" s="143" t="str">
        <f>IFERROR(VLOOKUP(B159,'02. MM-KLH'!$B$6:$T$823,12,0),"")</f>
        <v/>
      </c>
      <c r="N159" s="108" t="str">
        <f>IFERROR(VLOOKUP(B159,'02. MM-KLH'!$B$6:$T$823,13,0),"")</f>
        <v>THACO</v>
      </c>
      <c r="O159" s="108" t="str">
        <f>IFERROR(VLOOKUP(B159,'02. MM-KLH'!$B$6:$T$823,14,0),"")</f>
        <v>VIỆT NAM</v>
      </c>
      <c r="P159" s="80">
        <f>IFERROR(VLOOKUP(B159,'02. MM-KLH'!$B$6:$T$823,15,0),"")</f>
        <v>2018</v>
      </c>
      <c r="Q159" s="80" t="str">
        <f>IFERROR(VLOOKUP(B159,'02. MM-KLH'!$B$6:$T$823,16,0),"")</f>
        <v>KAM50</v>
      </c>
      <c r="R159" s="106" t="str">
        <f>IFERROR(VLOOKUP(B159,'02. MM-KLH'!$B$6:$T$823,17,0),"")</f>
        <v>50HP</v>
      </c>
      <c r="S159" s="108" t="str">
        <f>IFERROR(VLOOKUP(B159,'02. MM-KLH'!$B$6:$T$823,18,0),"")</f>
        <v>C000027</v>
      </c>
      <c r="T159" s="110" t="str">
        <f>IFERROR(VLOOKUP(B159,'02. MM-KLH'!$B$6:$T$823,19,0),"")</f>
        <v>CCN</v>
      </c>
      <c r="U159" s="130" t="s">
        <v>79</v>
      </c>
    </row>
    <row r="160" ht="13.5" customHeight="1">
      <c r="A160" s="80">
        <f t="shared" si="7"/>
        <v>17</v>
      </c>
      <c r="B160" s="115" t="s">
        <v>1405</v>
      </c>
      <c r="C160" s="84" t="str">
        <f>IFERROR(VLOOKUP(B160,'02. MM-KLH'!$B$6:$T$823,2,0),"")</f>
        <v>XD3-MKE-009(MK 79-VC KLH)</v>
      </c>
      <c r="D160" s="95" t="str">
        <f>IFERROR(VLOOKUP(B160,'02. MM-KLH'!$B$6:$T$823,3,0),"")</f>
        <v>A24-MKE-016</v>
      </c>
      <c r="E160" s="86" t="str">
        <f>IFERROR(VLOOKUP(B160,'02. MM-KLH'!$B$6:$T$823,4,0),"")</f>
        <v/>
      </c>
      <c r="F160" s="115"/>
      <c r="G160" s="86" t="str">
        <f>IFERROR(VLOOKUP(B160,'02. MM-KLH'!$B$6:$T$823,6,0),"")</f>
        <v>Máy cày KAM50</v>
      </c>
      <c r="H160" s="80" t="s">
        <v>2033</v>
      </c>
      <c r="I160" s="80" t="str">
        <f>IFERROR(VLOOKUP(B160,'02. MM-KLH'!$B$6:$T$823,8,0),"")</f>
        <v>XN Chuối LP3</v>
      </c>
      <c r="J160" s="99">
        <f>IFERROR(VLOOKUP(B160,'02. MM-KLH'!$B$6:$T$823,9,0),"")</f>
        <v>45600</v>
      </c>
      <c r="K160" s="80" t="str">
        <f>IFERROR(VLOOKUP(B160,'02. MM-KLH'!$B$6:$T$823,10,0),"")</f>
        <v>Bình thường</v>
      </c>
      <c r="L160" s="102" t="str">
        <f>IFERROR(VLOOKUP(B160,'02. MM-KLH'!$B$6:$T$823,11,0),"")</f>
        <v/>
      </c>
      <c r="M160" s="143" t="str">
        <f>IFERROR(VLOOKUP(B160,'02. MM-KLH'!$B$6:$T$823,12,0),"")</f>
        <v>Điều chuyển từ DP3 ngày 11/04/2024</v>
      </c>
      <c r="N160" s="108" t="str">
        <f>IFERROR(VLOOKUP(B160,'02. MM-KLH'!$B$6:$T$823,13,0),"")</f>
        <v>THACO</v>
      </c>
      <c r="O160" s="108" t="str">
        <f>IFERROR(VLOOKUP(B160,'02. MM-KLH'!$B$6:$T$823,14,0),"")</f>
        <v>VIỆT NAM</v>
      </c>
      <c r="P160" s="80">
        <f>IFERROR(VLOOKUP(B160,'02. MM-KLH'!$B$6:$T$823,15,0),"")</f>
        <v>2018</v>
      </c>
      <c r="Q160" s="80" t="str">
        <f>IFERROR(VLOOKUP(B160,'02. MM-KLH'!$B$6:$T$823,16,0),"")</f>
        <v>KAM50</v>
      </c>
      <c r="R160" s="106" t="str">
        <f>IFERROR(VLOOKUP(B160,'02. MM-KLH'!$B$6:$T$823,17,0),"")</f>
        <v>50HP</v>
      </c>
      <c r="S160" s="108">
        <f>IFERROR(VLOOKUP(B160,'02. MM-KLH'!$B$6:$T$823,18,0),"")</f>
        <v>180046</v>
      </c>
      <c r="T160" s="110" t="str">
        <f>IFERROR(VLOOKUP(B160,'02. MM-KLH'!$B$6:$T$823,19,0),"")</f>
        <v>CCN</v>
      </c>
      <c r="U160" s="130" t="s">
        <v>79</v>
      </c>
    </row>
    <row r="161" ht="13.5" customHeight="1">
      <c r="A161" s="80">
        <f t="shared" si="7"/>
        <v>18</v>
      </c>
      <c r="B161" s="113" t="s">
        <v>1591</v>
      </c>
      <c r="C161" s="84" t="str">
        <f>IFERROR(VLOOKUP(B161,'02. MM-KLH'!$B$6:$T$823,2,0),"")</f>
        <v>MK28/CAT-MKE-002</v>
      </c>
      <c r="D161" s="95" t="str">
        <f>IFERROR(VLOOKUP(B161,'02. MM-KLH'!$B$6:$T$823,3,0),"")</f>
        <v>A22-MKE-002</v>
      </c>
      <c r="E161" s="86" t="str">
        <f>IFERROR(VLOOKUP(B161,'02. MM-KLH'!$B$6:$T$823,4,0),"")</f>
        <v/>
      </c>
      <c r="F161" s="115"/>
      <c r="G161" s="86" t="str">
        <f>IFERROR(VLOOKUP(B161,'02. MM-KLH'!$B$6:$T$823,6,0),"")</f>
        <v>Máy cày KAM50</v>
      </c>
      <c r="H161" s="80" t="s">
        <v>2033</v>
      </c>
      <c r="I161" s="80" t="str">
        <f>IFERROR(VLOOKUP(B161,'02. MM-KLH'!$B$6:$T$823,8,0),"")</f>
        <v>XOÀI AD</v>
      </c>
      <c r="J161" s="99" t="str">
        <f>IFERROR(VLOOKUP(B161,'02. MM-KLH'!$B$6:$T$823,9,0),"")</f>
        <v/>
      </c>
      <c r="K161" s="80" t="str">
        <f>IFERROR(VLOOKUP(B161,'02. MM-KLH'!$B$6:$T$823,10,0),"")</f>
        <v>Bình thường</v>
      </c>
      <c r="L161" s="102" t="str">
        <f>IFERROR(VLOOKUP(B161,'02. MM-KLH'!$B$6:$T$823,11,0),"")</f>
        <v/>
      </c>
      <c r="M161" s="143" t="str">
        <f>IFERROR(VLOOKUP(B161,'02. MM-KLH'!$B$6:$T$823,12,0),"")</f>
        <v/>
      </c>
      <c r="N161" s="108" t="str">
        <f>IFERROR(VLOOKUP(B161,'02. MM-KLH'!$B$6:$T$823,13,0),"")</f>
        <v>THACO </v>
      </c>
      <c r="O161" s="108" t="str">
        <f>IFERROR(VLOOKUP(B161,'02. MM-KLH'!$B$6:$T$823,14,0),"")</f>
        <v>VIỆT NAM</v>
      </c>
      <c r="P161" s="80">
        <f>IFERROR(VLOOKUP(B161,'02. MM-KLH'!$B$6:$T$823,15,0),"")</f>
        <v>2012</v>
      </c>
      <c r="Q161" s="80" t="str">
        <f>IFERROR(VLOOKUP(B161,'02. MM-KLH'!$B$6:$T$823,16,0),"")</f>
        <v>KAM50</v>
      </c>
      <c r="R161" s="106" t="str">
        <f>IFERROR(VLOOKUP(B161,'02. MM-KLH'!$B$6:$T$823,17,0),"")</f>
        <v>50HP</v>
      </c>
      <c r="S161" s="108" t="str">
        <f>IFERROR(VLOOKUP(B161,'02. MM-KLH'!$B$6:$T$823,18,0),"")</f>
        <v>C000082</v>
      </c>
      <c r="T161" s="110" t="str">
        <f>IFERROR(VLOOKUP(B161,'02. MM-KLH'!$B$6:$T$823,19,0),"")</f>
        <v>CCN</v>
      </c>
      <c r="U161" s="130" t="s">
        <v>79</v>
      </c>
    </row>
    <row r="162" ht="13.5" customHeight="1">
      <c r="A162" s="80">
        <f t="shared" si="7"/>
        <v>19</v>
      </c>
      <c r="B162" s="115" t="s">
        <v>1597</v>
      </c>
      <c r="C162" s="84" t="str">
        <f>IFERROR(VLOOKUP(B162,'02. MM-KLH'!$B$6:$T$823,2,0),"")</f>
        <v>XAD-MKE-002</v>
      </c>
      <c r="D162" s="95" t="str">
        <f>IFERROR(VLOOKUP(B162,'02. MM-KLH'!$B$6:$T$823,3,0),"")</f>
        <v>A22-MKE-005</v>
      </c>
      <c r="E162" s="86" t="str">
        <f>IFERROR(VLOOKUP(B162,'02. MM-KLH'!$B$6:$T$823,4,0),"")</f>
        <v/>
      </c>
      <c r="F162" s="115"/>
      <c r="G162" s="86" t="str">
        <f>IFERROR(VLOOKUP(B162,'02. MM-KLH'!$B$6:$T$823,6,0),"")</f>
        <v>Máy cày KAM50</v>
      </c>
      <c r="H162" s="80" t="s">
        <v>2033</v>
      </c>
      <c r="I162" s="80" t="str">
        <f>IFERROR(VLOOKUP(B162,'02. MM-KLH'!$B$6:$T$823,8,0),"")</f>
        <v>XOÀI AD</v>
      </c>
      <c r="J162" s="99" t="str">
        <f>IFERROR(VLOOKUP(B162,'02. MM-KLH'!$B$6:$T$823,9,0),"")</f>
        <v>27/02/2024</v>
      </c>
      <c r="K162" s="80" t="str">
        <f>IFERROR(VLOOKUP(B162,'02. MM-KLH'!$B$6:$T$823,10,0),"")</f>
        <v>Bình thường</v>
      </c>
      <c r="L162" s="102" t="str">
        <f>IFERROR(VLOOKUP(B162,'02. MM-KLH'!$B$6:$T$823,11,0),"")</f>
        <v/>
      </c>
      <c r="M162" s="143" t="str">
        <f>IFERROR(VLOOKUP(B162,'02. MM-KLH'!$B$6:$T$823,12,0),"")</f>
        <v>Từ Xí nghiệp AD2 qua</v>
      </c>
      <c r="N162" s="108" t="str">
        <f>IFERROR(VLOOKUP(B162,'02. MM-KLH'!$B$6:$T$823,13,0),"")</f>
        <v>THACO</v>
      </c>
      <c r="O162" s="108" t="str">
        <f>IFERROR(VLOOKUP(B162,'02. MM-KLH'!$B$6:$T$823,14,0),"")</f>
        <v>VIỆT NAM</v>
      </c>
      <c r="P162" s="80" t="str">
        <f>IFERROR(VLOOKUP(B162,'02. MM-KLH'!$B$6:$T$823,15,0),"")</f>
        <v/>
      </c>
      <c r="Q162" s="80" t="str">
        <f>IFERROR(VLOOKUP(B162,'02. MM-KLH'!$B$6:$T$823,16,0),"")</f>
        <v>KAM50</v>
      </c>
      <c r="R162" s="106" t="str">
        <f>IFERROR(VLOOKUP(B162,'02. MM-KLH'!$B$6:$T$823,17,0),"")</f>
        <v>50HP</v>
      </c>
      <c r="S162" s="108" t="str">
        <f>IFERROR(VLOOKUP(B162,'02. MM-KLH'!$B$6:$T$823,18,0),"")</f>
        <v>CCN</v>
      </c>
      <c r="T162" s="110" t="str">
        <f>IFERROR(VLOOKUP(B162,'02. MM-KLH'!$B$6:$T$823,19,0),"")</f>
        <v>C000079</v>
      </c>
      <c r="U162" s="130" t="s">
        <v>79</v>
      </c>
    </row>
    <row r="163" ht="13.5" customHeight="1">
      <c r="A163" s="80">
        <f t="shared" si="7"/>
        <v>20</v>
      </c>
      <c r="B163" s="115" t="s">
        <v>1602</v>
      </c>
      <c r="C163" s="84" t="str">
        <f>IFERROR(VLOOKUP(B163,'02. MM-KLH'!$B$6:$T$823,2,0),"")</f>
        <v>MK07 VCKLH(XA2-MKE-007)</v>
      </c>
      <c r="D163" s="95" t="str">
        <f>IFERROR(VLOOKUP(B163,'02. MM-KLH'!$B$6:$T$823,3,0),"")</f>
        <v/>
      </c>
      <c r="E163" s="86" t="str">
        <f>IFERROR(VLOOKUP(B163,'02. MM-KLH'!$B$6:$T$823,4,0),"")</f>
        <v/>
      </c>
      <c r="F163" s="115"/>
      <c r="G163" s="86" t="str">
        <f>IFERROR(VLOOKUP(B163,'02. MM-KLH'!$B$6:$T$823,6,0),"")</f>
        <v>Máy cày KAM50</v>
      </c>
      <c r="H163" s="80" t="s">
        <v>2033</v>
      </c>
      <c r="I163" s="80" t="str">
        <f>IFERROR(VLOOKUP(B163,'02. MM-KLH'!$B$6:$T$823,8,0),"")</f>
        <v>XOÀI AD</v>
      </c>
      <c r="J163" s="99" t="str">
        <f>IFERROR(VLOOKUP(B163,'02. MM-KLH'!$B$6:$T$823,9,0),"")</f>
        <v/>
      </c>
      <c r="K163" s="80" t="str">
        <f>IFERROR(VLOOKUP(B163,'02. MM-KLH'!$B$6:$T$823,10,0),"")</f>
        <v>Bình thường</v>
      </c>
      <c r="L163" s="102" t="str">
        <f>IFERROR(VLOOKUP(B163,'02. MM-KLH'!$B$6:$T$823,11,0),"")</f>
        <v/>
      </c>
      <c r="M163" s="143" t="str">
        <f>IFERROR(VLOOKUP(B163,'02. MM-KLH'!$B$6:$T$823,12,0),"")</f>
        <v>AD2 ddchuyen qua ngày 28.09.2024</v>
      </c>
      <c r="N163" s="108" t="str">
        <f>IFERROR(VLOOKUP(B163,'02. MM-KLH'!$B$6:$T$823,13,0),"")</f>
        <v>THACO</v>
      </c>
      <c r="O163" s="108" t="str">
        <f>IFERROR(VLOOKUP(B163,'02. MM-KLH'!$B$6:$T$823,14,0),"")</f>
        <v>VIỆT NAM</v>
      </c>
      <c r="P163" s="80">
        <f>IFERROR(VLOOKUP(B163,'02. MM-KLH'!$B$6:$T$823,15,0),"")</f>
        <v>2018</v>
      </c>
      <c r="Q163" s="80" t="str">
        <f>IFERROR(VLOOKUP(B163,'02. MM-KLH'!$B$6:$T$823,16,0),"")</f>
        <v>KAM50</v>
      </c>
      <c r="R163" s="106" t="str">
        <f>IFERROR(VLOOKUP(B163,'02. MM-KLH'!$B$6:$T$823,17,0),"")</f>
        <v>50HP</v>
      </c>
      <c r="S163" s="108" t="str">
        <f>IFERROR(VLOOKUP(B163,'02. MM-KLH'!$B$6:$T$823,18,0),"")</f>
        <v>C000075</v>
      </c>
      <c r="T163" s="110" t="str">
        <f>IFERROR(VLOOKUP(B163,'02. MM-KLH'!$B$6:$T$823,19,0),"")</f>
        <v>CCN</v>
      </c>
      <c r="U163" s="130" t="s">
        <v>79</v>
      </c>
    </row>
    <row r="164" ht="13.5" customHeight="1">
      <c r="A164" s="80">
        <f t="shared" si="7"/>
        <v>21</v>
      </c>
      <c r="B164" s="115" t="s">
        <v>1609</v>
      </c>
      <c r="C164" s="84" t="str">
        <f>IFERROR(VLOOKUP(B164,'02. MM-KLH'!$B$6:$T$823,2,0),"")</f>
        <v>XA2-MKE-006</v>
      </c>
      <c r="D164" s="95" t="str">
        <f>IFERROR(VLOOKUP(B164,'02. MM-KLH'!$B$6:$T$823,3,0),"")</f>
        <v/>
      </c>
      <c r="E164" s="86" t="str">
        <f>IFERROR(VLOOKUP(B164,'02. MM-KLH'!$B$6:$T$823,4,0),"")</f>
        <v/>
      </c>
      <c r="F164" s="115"/>
      <c r="G164" s="86" t="str">
        <f>IFERROR(VLOOKUP(B164,'02. MM-KLH'!$B$6:$T$823,6,0),"")</f>
        <v>Máy cày KAM50</v>
      </c>
      <c r="H164" s="80" t="s">
        <v>2033</v>
      </c>
      <c r="I164" s="80" t="str">
        <f>IFERROR(VLOOKUP(B164,'02. MM-KLH'!$B$6:$T$823,8,0),"")</f>
        <v>XOÀI AD</v>
      </c>
      <c r="J164" s="99" t="str">
        <f>IFERROR(VLOOKUP(B164,'02. MM-KLH'!$B$6:$T$823,9,0),"")</f>
        <v/>
      </c>
      <c r="K164" s="80" t="str">
        <f>IFERROR(VLOOKUP(B164,'02. MM-KLH'!$B$6:$T$823,10,0),"")</f>
        <v>Bình thường</v>
      </c>
      <c r="L164" s="102" t="str">
        <f>IFERROR(VLOOKUP(B164,'02. MM-KLH'!$B$6:$T$823,11,0),"")</f>
        <v/>
      </c>
      <c r="M164" s="143" t="str">
        <f>IFERROR(VLOOKUP(B164,'02. MM-KLH'!$B$6:$T$823,12,0),"")</f>
        <v>AD2 ddchuyen qua ngày 30.09.2024</v>
      </c>
      <c r="N164" s="108" t="str">
        <f>IFERROR(VLOOKUP(B164,'02. MM-KLH'!$B$6:$T$823,13,0),"")</f>
        <v>THACO</v>
      </c>
      <c r="O164" s="108" t="str">
        <f>IFERROR(VLOOKUP(B164,'02. MM-KLH'!$B$6:$T$823,14,0),"")</f>
        <v>VIỆT NAM</v>
      </c>
      <c r="P164" s="80">
        <f>IFERROR(VLOOKUP(B164,'02. MM-KLH'!$B$6:$T$823,15,0),"")</f>
        <v>2018</v>
      </c>
      <c r="Q164" s="80" t="str">
        <f>IFERROR(VLOOKUP(B164,'02. MM-KLH'!$B$6:$T$823,16,0),"")</f>
        <v>KAM50</v>
      </c>
      <c r="R164" s="106" t="str">
        <f>IFERROR(VLOOKUP(B164,'02. MM-KLH'!$B$6:$T$823,17,0),"")</f>
        <v>50HP</v>
      </c>
      <c r="S164" s="108" t="str">
        <f>IFERROR(VLOOKUP(B164,'02. MM-KLH'!$B$6:$T$823,18,0),"")</f>
        <v>C000010</v>
      </c>
      <c r="T164" s="110" t="str">
        <f>IFERROR(VLOOKUP(B164,'02. MM-KLH'!$B$6:$T$823,19,0),"")</f>
        <v>CCN</v>
      </c>
      <c r="U164" s="130" t="s">
        <v>79</v>
      </c>
    </row>
    <row r="165" ht="13.5" customHeight="1">
      <c r="A165" s="80">
        <f t="shared" si="7"/>
        <v>22</v>
      </c>
      <c r="B165" s="113" t="s">
        <v>1662</v>
      </c>
      <c r="C165" s="84" t="str">
        <f>IFERROR(VLOOKUP(B165,'02. MM-KLH'!$B$6:$T$823,2,0),"")</f>
        <v>MK23VC-KLH</v>
      </c>
      <c r="D165" s="95" t="str">
        <f>IFERROR(VLOOKUP(B165,'02. MM-KLH'!$B$6:$T$823,3,0),"")</f>
        <v>A22-MKE-011</v>
      </c>
      <c r="E165" s="86" t="str">
        <f>IFERROR(VLOOKUP(B165,'02. MM-KLH'!$B$6:$T$823,4,0),"")</f>
        <v/>
      </c>
      <c r="F165" s="115"/>
      <c r="G165" s="86" t="str">
        <f>IFERROR(VLOOKUP(B165,'02. MM-KLH'!$B$6:$T$823,6,0),"")</f>
        <v>Máy cày KAM50</v>
      </c>
      <c r="H165" s="80" t="s">
        <v>2033</v>
      </c>
      <c r="I165" s="80" t="str">
        <f>IFERROR(VLOOKUP(B165,'02. MM-KLH'!$B$6:$T$823,8,0),"")</f>
        <v>XN Bò AD</v>
      </c>
      <c r="J165" s="99" t="str">
        <f>IFERROR(VLOOKUP(B165,'02. MM-KLH'!$B$6:$T$823,9,0),"")</f>
        <v/>
      </c>
      <c r="K165" s="80" t="str">
        <f>IFERROR(VLOOKUP(B165,'02. MM-KLH'!$B$6:$T$823,10,0),"")</f>
        <v>Bình thường</v>
      </c>
      <c r="L165" s="102" t="str">
        <f>IFERROR(VLOOKUP(B165,'02. MM-KLH'!$B$6:$T$823,11,0),"")</f>
        <v/>
      </c>
      <c r="M165" s="143" t="str">
        <f>IFERROR(VLOOKUP(B165,'02. MM-KLH'!$B$6:$T$823,12,0),"")</f>
        <v/>
      </c>
      <c r="N165" s="108" t="str">
        <f>IFERROR(VLOOKUP(B165,'02. MM-KLH'!$B$6:$T$823,13,0),"")</f>
        <v>THACO</v>
      </c>
      <c r="O165" s="108" t="str">
        <f>IFERROR(VLOOKUP(B165,'02. MM-KLH'!$B$6:$T$823,14,0),"")</f>
        <v>VIỆT NAM</v>
      </c>
      <c r="P165" s="80">
        <f>IFERROR(VLOOKUP(B165,'02. MM-KLH'!$B$6:$T$823,15,0),"")</f>
        <v>2018</v>
      </c>
      <c r="Q165" s="80" t="str">
        <f>IFERROR(VLOOKUP(B165,'02. MM-KLH'!$B$6:$T$823,16,0),"")</f>
        <v>KAM50</v>
      </c>
      <c r="R165" s="106" t="str">
        <f>IFERROR(VLOOKUP(B165,'02. MM-KLH'!$B$6:$T$823,17,0),"")</f>
        <v>50HP</v>
      </c>
      <c r="S165" s="108" t="str">
        <f>IFERROR(VLOOKUP(B165,'02. MM-KLH'!$B$6:$T$823,18,0),"")</f>
        <v>0000087</v>
      </c>
      <c r="T165" s="110">
        <f>IFERROR(VLOOKUP(B165,'02. MM-KLH'!$B$6:$T$823,19,0),"")</f>
        <v>80</v>
      </c>
      <c r="U165" s="130" t="s">
        <v>79</v>
      </c>
    </row>
    <row r="166" ht="13.5" customHeight="1">
      <c r="A166" s="80">
        <f t="shared" si="7"/>
        <v>23</v>
      </c>
      <c r="B166" s="113" t="s">
        <v>1669</v>
      </c>
      <c r="C166" s="84" t="str">
        <f>IFERROR(VLOOKUP(B166,'02. MM-KLH'!$B$6:$T$823,2,0),"")</f>
        <v>MK27-VCKLH</v>
      </c>
      <c r="D166" s="95" t="str">
        <f>IFERROR(VLOOKUP(B166,'02. MM-KLH'!$B$6:$T$823,3,0),"")</f>
        <v>A22-MKE-016</v>
      </c>
      <c r="E166" s="86" t="str">
        <f>IFERROR(VLOOKUP(B166,'02. MM-KLH'!$B$6:$T$823,4,0),"")</f>
        <v/>
      </c>
      <c r="F166" s="115"/>
      <c r="G166" s="86" t="str">
        <f>IFERROR(VLOOKUP(B166,'02. MM-KLH'!$B$6:$T$823,6,0),"")</f>
        <v>Máy cày KAM50</v>
      </c>
      <c r="H166" s="80" t="s">
        <v>2033</v>
      </c>
      <c r="I166" s="80" t="str">
        <f>IFERROR(VLOOKUP(B166,'02. MM-KLH'!$B$6:$T$823,8,0),"")</f>
        <v>XN Bò AD</v>
      </c>
      <c r="J166" s="99" t="str">
        <f>IFERROR(VLOOKUP(B166,'02. MM-KLH'!$B$6:$T$823,9,0),"")</f>
        <v/>
      </c>
      <c r="K166" s="80" t="str">
        <f>IFERROR(VLOOKUP(B166,'02. MM-KLH'!$B$6:$T$823,10,0),"")</f>
        <v>Bình thường</v>
      </c>
      <c r="L166" s="102" t="str">
        <f>IFERROR(VLOOKUP(B166,'02. MM-KLH'!$B$6:$T$823,11,0),"")</f>
        <v/>
      </c>
      <c r="M166" s="143" t="str">
        <f>IFERROR(VLOOKUP(B166,'02. MM-KLH'!$B$6:$T$823,12,0),"")</f>
        <v/>
      </c>
      <c r="N166" s="108" t="str">
        <f>IFERROR(VLOOKUP(B166,'02. MM-KLH'!$B$6:$T$823,13,0),"")</f>
        <v>THACO</v>
      </c>
      <c r="O166" s="108" t="str">
        <f>IFERROR(VLOOKUP(B166,'02. MM-KLH'!$B$6:$T$823,14,0),"")</f>
        <v>VIỆT NAM</v>
      </c>
      <c r="P166" s="80">
        <f>IFERROR(VLOOKUP(B166,'02. MM-KLH'!$B$6:$T$823,15,0),"")</f>
        <v>2018</v>
      </c>
      <c r="Q166" s="80" t="str">
        <f>IFERROR(VLOOKUP(B166,'02. MM-KLH'!$B$6:$T$823,16,0),"")</f>
        <v>KAM50</v>
      </c>
      <c r="R166" s="106" t="str">
        <f>IFERROR(VLOOKUP(B166,'02. MM-KLH'!$B$6:$T$823,17,0),"")</f>
        <v>50HP</v>
      </c>
      <c r="S166" s="108" t="str">
        <f>IFERROR(VLOOKUP(B166,'02. MM-KLH'!$B$6:$T$823,18,0),"")</f>
        <v>C000077</v>
      </c>
      <c r="T166" s="110">
        <f>IFERROR(VLOOKUP(B166,'02. MM-KLH'!$B$6:$T$823,19,0),"")</f>
        <v>180012</v>
      </c>
      <c r="U166" s="130" t="s">
        <v>79</v>
      </c>
    </row>
    <row r="167" ht="13.5" customHeight="1">
      <c r="A167" s="80">
        <f t="shared" si="7"/>
        <v>24</v>
      </c>
      <c r="B167" s="115" t="s">
        <v>1583</v>
      </c>
      <c r="C167" s="84" t="str">
        <f>IFERROR(VLOOKUP(B167,'02. MM-KLH'!$B$6:$T$823,2,0),"")</f>
        <v>XB1-MKE-020</v>
      </c>
      <c r="D167" s="95" t="str">
        <f>IFERROR(VLOOKUP(B167,'02. MM-KLH'!$B$6:$T$823,3,0),"")</f>
        <v/>
      </c>
      <c r="E167" s="86" t="str">
        <f>IFERROR(VLOOKUP(B167,'02. MM-KLH'!$B$6:$T$823,4,0),"")</f>
        <v/>
      </c>
      <c r="F167" s="115"/>
      <c r="G167" s="86" t="str">
        <f>IFERROR(VLOOKUP(B167,'02. MM-KLH'!$B$6:$T$823,6,0),"")</f>
        <v>Máy cày KAM50</v>
      </c>
      <c r="H167" s="80" t="s">
        <v>2033</v>
      </c>
      <c r="I167" s="80" t="str">
        <f>IFERROR(VLOOKUP(B167,'02. MM-KLH'!$B$6:$T$823,8,0),"")</f>
        <v>BƯỞI AD</v>
      </c>
      <c r="J167" s="99" t="str">
        <f>IFERROR(VLOOKUP(B167,'02. MM-KLH'!$B$6:$T$823,9,0),"")</f>
        <v/>
      </c>
      <c r="K167" s="80" t="str">
        <f>IFERROR(VLOOKUP(B167,'02. MM-KLH'!$B$6:$T$823,10,0),"")</f>
        <v>Bình thường</v>
      </c>
      <c r="L167" s="102" t="str">
        <f>IFERROR(VLOOKUP(B167,'02. MM-KLH'!$B$6:$T$823,11,0),"")</f>
        <v/>
      </c>
      <c r="M167" s="143" t="str">
        <f>IFERROR(VLOOKUP(B167,'02. MM-KLH'!$B$6:$T$823,12,0),"")</f>
        <v>xnb điều chuyển 17/01/2026</v>
      </c>
      <c r="N167" s="108" t="str">
        <f>IFERROR(VLOOKUP(B167,'02. MM-KLH'!$B$6:$T$823,13,0),"")</f>
        <v>THACO</v>
      </c>
      <c r="O167" s="108" t="str">
        <f>IFERROR(VLOOKUP(B167,'02. MM-KLH'!$B$6:$T$823,14,0),"")</f>
        <v>VIỆT NAM</v>
      </c>
      <c r="P167" s="80">
        <f>IFERROR(VLOOKUP(B167,'02. MM-KLH'!$B$6:$T$823,15,0),"")</f>
        <v>2018</v>
      </c>
      <c r="Q167" s="80" t="str">
        <f>IFERROR(VLOOKUP(B167,'02. MM-KLH'!$B$6:$T$823,16,0),"")</f>
        <v>KAM50</v>
      </c>
      <c r="R167" s="106" t="str">
        <f>IFERROR(VLOOKUP(B167,'02. MM-KLH'!$B$6:$T$823,17,0),"")</f>
        <v>50HP</v>
      </c>
      <c r="S167" s="108" t="str">
        <f>IFERROR(VLOOKUP(B167,'02. MM-KLH'!$B$6:$T$823,18,0),"")</f>
        <v>C000074</v>
      </c>
      <c r="T167" s="110">
        <f>IFERROR(VLOOKUP(B167,'02. MM-KLH'!$B$6:$T$823,19,0),"")</f>
        <v>180001</v>
      </c>
      <c r="U167" s="130" t="s">
        <v>79</v>
      </c>
    </row>
    <row r="168" ht="13.5" customHeight="1">
      <c r="A168" s="80">
        <f t="shared" si="7"/>
        <v>25</v>
      </c>
      <c r="B168" s="113" t="s">
        <v>1677</v>
      </c>
      <c r="C168" s="84" t="str">
        <f>IFERROR(VLOOKUP(B168,'02. MM-KLH'!$B$6:$T$823,2,0),"")</f>
        <v>MK20-VCKLH(XAD-MKE-009)</v>
      </c>
      <c r="D168" s="95" t="str">
        <f>IFERROR(VLOOKUP(B168,'02. MM-KLH'!$B$6:$T$823,3,0),"")</f>
        <v>A22-MKE-020</v>
      </c>
      <c r="E168" s="86" t="str">
        <f>IFERROR(VLOOKUP(B168,'02. MM-KLH'!$B$6:$T$823,4,0),"")</f>
        <v/>
      </c>
      <c r="F168" s="115"/>
      <c r="G168" s="86" t="str">
        <f>IFERROR(VLOOKUP(B168,'02. MM-KLH'!$B$6:$T$823,6,0),"")</f>
        <v>Máy cày KAM50</v>
      </c>
      <c r="H168" s="80" t="s">
        <v>2033</v>
      </c>
      <c r="I168" s="80" t="str">
        <f>IFERROR(VLOOKUP(B168,'02. MM-KLH'!$B$6:$T$823,8,0),"")</f>
        <v>XN Bò AD</v>
      </c>
      <c r="J168" s="99" t="str">
        <f>IFERROR(VLOOKUP(B168,'02. MM-KLH'!$B$6:$T$823,9,0),"")</f>
        <v>28/11/2023</v>
      </c>
      <c r="K168" s="80" t="str">
        <f>IFERROR(VLOOKUP(B168,'02. MM-KLH'!$B$6:$T$823,10,0),"")</f>
        <v>Bình thường</v>
      </c>
      <c r="L168" s="102" t="str">
        <f>IFERROR(VLOOKUP(B168,'02. MM-KLH'!$B$6:$T$823,11,0),"")</f>
        <v/>
      </c>
      <c r="M168" s="143" t="str">
        <f>IFERROR(VLOOKUP(B168,'02. MM-KLH'!$B$6:$T$823,12,0),"")</f>
        <v/>
      </c>
      <c r="N168" s="108" t="str">
        <f>IFERROR(VLOOKUP(B168,'02. MM-KLH'!$B$6:$T$823,13,0),"")</f>
        <v>THACO</v>
      </c>
      <c r="O168" s="108" t="str">
        <f>IFERROR(VLOOKUP(B168,'02. MM-KLH'!$B$6:$T$823,14,0),"")</f>
        <v>VIỆT NAM</v>
      </c>
      <c r="P168" s="80">
        <f>IFERROR(VLOOKUP(B168,'02. MM-KLH'!$B$6:$T$823,15,0),"")</f>
        <v>2018</v>
      </c>
      <c r="Q168" s="80" t="str">
        <f>IFERROR(VLOOKUP(B168,'02. MM-KLH'!$B$6:$T$823,16,0),"")</f>
        <v>KAM50</v>
      </c>
      <c r="R168" s="106" t="str">
        <f>IFERROR(VLOOKUP(B168,'02. MM-KLH'!$B$6:$T$823,17,0),"")</f>
        <v>50HP</v>
      </c>
      <c r="S168" s="108">
        <f>IFERROR(VLOOKUP(B168,'02. MM-KLH'!$B$6:$T$823,18,0),"")</f>
        <v>180090</v>
      </c>
      <c r="T168" s="110" t="str">
        <f>IFERROR(VLOOKUP(B168,'02. MM-KLH'!$B$6:$T$823,19,0),"")</f>
        <v>CCN</v>
      </c>
      <c r="U168" s="130" t="s">
        <v>79</v>
      </c>
    </row>
    <row r="169" ht="13.5" customHeight="1">
      <c r="A169" s="80">
        <f t="shared" si="7"/>
        <v>26</v>
      </c>
      <c r="B169" s="115" t="s">
        <v>1689</v>
      </c>
      <c r="C169" s="84" t="str">
        <f>IFERROR(VLOOKUP(B169,'02. MM-KLH'!$B$6:$T$823,2,0),"")</f>
        <v>XA2-MKE-003</v>
      </c>
      <c r="D169" s="95" t="str">
        <f>IFERROR(VLOOKUP(B169,'02. MM-KLH'!$B$6:$T$823,3,0),"")</f>
        <v>A22-MKE-022</v>
      </c>
      <c r="E169" s="86" t="str">
        <f>IFERROR(VLOOKUP(B169,'02. MM-KLH'!$B$6:$T$823,4,0),"")</f>
        <v/>
      </c>
      <c r="F169" s="115"/>
      <c r="G169" s="86" t="str">
        <f>IFERROR(VLOOKUP(B169,'02. MM-KLH'!$B$6:$T$823,6,0),"")</f>
        <v>Máy cày KAM50</v>
      </c>
      <c r="H169" s="80" t="s">
        <v>2033</v>
      </c>
      <c r="I169" s="80" t="str">
        <f>IFERROR(VLOOKUP(B169,'02. MM-KLH'!$B$6:$T$823,8,0),"")</f>
        <v>XN Bò AD</v>
      </c>
      <c r="J169" s="99" t="str">
        <f>IFERROR(VLOOKUP(B169,'02. MM-KLH'!$B$6:$T$823,9,0),"")</f>
        <v>16/07/2024</v>
      </c>
      <c r="K169" s="80" t="str">
        <f>IFERROR(VLOOKUP(B169,'02. MM-KLH'!$B$6:$T$823,10,0),"")</f>
        <v>Bình thường</v>
      </c>
      <c r="L169" s="102" t="str">
        <f>IFERROR(VLOOKUP(B169,'02. MM-KLH'!$B$6:$T$823,11,0),"")</f>
        <v/>
      </c>
      <c r="M169" s="143" t="str">
        <f>IFERROR(VLOOKUP(B169,'02. MM-KLH'!$B$6:$T$823,12,0),"")</f>
        <v>Điều chuyển từ XN AD ngày 16/07/2024 gắn TB cuộn cỏ</v>
      </c>
      <c r="N169" s="108" t="str">
        <f>IFERROR(VLOOKUP(B169,'02. MM-KLH'!$B$6:$T$823,13,0),"")</f>
        <v>THACO</v>
      </c>
      <c r="O169" s="108" t="str">
        <f>IFERROR(VLOOKUP(B169,'02. MM-KLH'!$B$6:$T$823,14,0),"")</f>
        <v>VIỆT NAM</v>
      </c>
      <c r="P169" s="80">
        <f>IFERROR(VLOOKUP(B169,'02. MM-KLH'!$B$6:$T$823,15,0),"")</f>
        <v>2018</v>
      </c>
      <c r="Q169" s="80" t="str">
        <f>IFERROR(VLOOKUP(B169,'02. MM-KLH'!$B$6:$T$823,16,0),"")</f>
        <v>KAM50</v>
      </c>
      <c r="R169" s="106" t="str">
        <f>IFERROR(VLOOKUP(B169,'02. MM-KLH'!$B$6:$T$823,17,0),"")</f>
        <v>50HP</v>
      </c>
      <c r="S169" s="108" t="str">
        <f>IFERROR(VLOOKUP(B169,'02. MM-KLH'!$B$6:$T$823,18,0),"")</f>
        <v>C000046</v>
      </c>
      <c r="T169" s="110" t="str">
        <f>IFERROR(VLOOKUP(B169,'02. MM-KLH'!$B$6:$T$823,19,0),"")</f>
        <v>CCN</v>
      </c>
      <c r="U169" s="130" t="s">
        <v>79</v>
      </c>
    </row>
    <row r="170" ht="30.75" customHeight="1">
      <c r="A170" s="80">
        <f t="shared" si="7"/>
        <v>27</v>
      </c>
      <c r="B170" s="115" t="s">
        <v>1741</v>
      </c>
      <c r="C170" s="84" t="str">
        <f>IFERROR(VLOOKUP(B170,'02. MM-KLH'!$B$6:$T$823,2,0),"")</f>
        <v>MK 71-VC KLH(XD2-MKE-007</v>
      </c>
      <c r="D170" s="95" t="str">
        <f>IFERROR(VLOOKUP(B170,'02. MM-KLH'!$B$6:$T$823,3,0),"")</f>
        <v/>
      </c>
      <c r="E170" s="86" t="str">
        <f>IFERROR(VLOOKUP(B170,'02. MM-KLH'!$B$6:$T$823,4,0),"")</f>
        <v/>
      </c>
      <c r="F170" s="115" t="s">
        <v>1824</v>
      </c>
      <c r="G170" s="86" t="str">
        <f>IFERROR(VLOOKUP(B170,'02. MM-KLH'!$B$6:$T$823,6,0),"")</f>
        <v>Máy cày KAM50</v>
      </c>
      <c r="H170" s="80" t="s">
        <v>2033</v>
      </c>
      <c r="I170" s="80" t="str">
        <f>IFERROR(VLOOKUP(B170,'02. MM-KLH'!$B$6:$T$823,8,0),"")</f>
        <v>XN Bò AD</v>
      </c>
      <c r="J170" s="99">
        <f>IFERROR(VLOOKUP(B170,'02. MM-KLH'!$B$6:$T$823,9,0),"")</f>
        <v>45689</v>
      </c>
      <c r="K170" s="80" t="str">
        <f>IFERROR(VLOOKUP(B170,'02. MM-KLH'!$B$6:$T$823,10,0),"")</f>
        <v>Bình thường</v>
      </c>
      <c r="L170" s="102" t="str">
        <f>IFERROR(VLOOKUP(B170,'02. MM-KLH'!$B$6:$T$823,11,0),"")</f>
        <v/>
      </c>
      <c r="M170" s="143" t="str">
        <f>IFERROR(VLOOKUP(B170,'02. MM-KLH'!$B$6:$T$823,12,0),"")</f>
        <v>- Điều chuyển từ XN DP2 ngày 02/01/2025</v>
      </c>
      <c r="N170" s="108" t="str">
        <f>IFERROR(VLOOKUP(B170,'02. MM-KLH'!$B$6:$T$823,13,0),"")</f>
        <v>THACO</v>
      </c>
      <c r="O170" s="108" t="str">
        <f>IFERROR(VLOOKUP(B170,'02. MM-KLH'!$B$6:$T$823,14,0),"")</f>
        <v>VIỆT NAM</v>
      </c>
      <c r="P170" s="80">
        <f>IFERROR(VLOOKUP(B170,'02. MM-KLH'!$B$6:$T$823,15,0),"")</f>
        <v>2018</v>
      </c>
      <c r="Q170" s="80" t="str">
        <f>IFERROR(VLOOKUP(B170,'02. MM-KLH'!$B$6:$T$823,16,0),"")</f>
        <v>KAM50</v>
      </c>
      <c r="R170" s="106" t="str">
        <f>IFERROR(VLOOKUP(B170,'02. MM-KLH'!$B$6:$T$823,17,0),"")</f>
        <v>50HP</v>
      </c>
      <c r="S170" s="108" t="str">
        <f>IFERROR(VLOOKUP(B170,'02. MM-KLH'!$B$6:$T$823,18,0),"")</f>
        <v>C000015</v>
      </c>
      <c r="T170" s="110" t="str">
        <f>IFERROR(VLOOKUP(B170,'02. MM-KLH'!$B$6:$T$823,19,0),"")</f>
        <v>CCN</v>
      </c>
      <c r="U170" s="130" t="s">
        <v>79</v>
      </c>
    </row>
    <row r="171" ht="13.5" customHeight="1">
      <c r="A171" s="80">
        <f t="shared" si="7"/>
        <v>28</v>
      </c>
      <c r="B171" s="115" t="s">
        <v>2497</v>
      </c>
      <c r="C171" s="84" t="str">
        <f>IFERROR(VLOOKUP(B171,'02. MM-KLH'!$B$6:$T$823,2,0),"")</f>
        <v>ĐNA-MKE-001</v>
      </c>
      <c r="D171" s="95" t="str">
        <f>IFERROR(VLOOKUP(B171,'02. MM-KLH'!$B$6:$T$823,3,0),"")</f>
        <v>A22-MKE-028</v>
      </c>
      <c r="E171" s="86" t="str">
        <f>IFERROR(VLOOKUP(B171,'02. MM-KLH'!$B$6:$T$823,4,0),"")</f>
        <v/>
      </c>
      <c r="F171" s="115"/>
      <c r="G171" s="86" t="str">
        <f>IFERROR(VLOOKUP(B171,'02. MM-KLH'!$B$6:$T$823,6,0),"")</f>
        <v>Máy cày KAM50</v>
      </c>
      <c r="H171" s="80" t="s">
        <v>2033</v>
      </c>
      <c r="I171" s="80" t="str">
        <f>IFERROR(VLOOKUP(B171,'02. MM-KLH'!$B$6:$T$823,8,0),"")</f>
        <v>Ban điện nước</v>
      </c>
      <c r="J171" s="99" t="str">
        <f>IFERROR(VLOOKUP(B171,'02. MM-KLH'!$B$6:$T$823,9,0),"")</f>
        <v/>
      </c>
      <c r="K171" s="80" t="str">
        <f>IFERROR(VLOOKUP(B171,'02. MM-KLH'!$B$6:$T$823,10,0),"")</f>
        <v>Bình thường</v>
      </c>
      <c r="L171" s="102" t="str">
        <f>IFERROR(VLOOKUP(B171,'02. MM-KLH'!$B$6:$T$823,11,0),"")</f>
        <v/>
      </c>
      <c r="M171" s="143" t="str">
        <f>IFERROR(VLOOKUP(B171,'02. MM-KLH'!$B$6:$T$823,12,0),"")</f>
        <v/>
      </c>
      <c r="N171" s="108" t="str">
        <f>IFERROR(VLOOKUP(B171,'02. MM-KLH'!$B$6:$T$823,13,0),"")</f>
        <v>THACO </v>
      </c>
      <c r="O171" s="108" t="str">
        <f>IFERROR(VLOOKUP(B171,'02. MM-KLH'!$B$6:$T$823,14,0),"")</f>
        <v>VIỆT NAM</v>
      </c>
      <c r="P171" s="80">
        <f>IFERROR(VLOOKUP(B171,'02. MM-KLH'!$B$6:$T$823,15,0),"")</f>
        <v>2018</v>
      </c>
      <c r="Q171" s="80" t="str">
        <f>IFERROR(VLOOKUP(B171,'02. MM-KLH'!$B$6:$T$823,16,0),"")</f>
        <v>KAM50</v>
      </c>
      <c r="R171" s="106" t="str">
        <f>IFERROR(VLOOKUP(B171,'02. MM-KLH'!$B$6:$T$823,17,0),"")</f>
        <v>50HP</v>
      </c>
      <c r="S171" s="108">
        <f>IFERROR(VLOOKUP(B171,'02. MM-KLH'!$B$6:$T$823,18,0),"")</f>
        <v>180069</v>
      </c>
      <c r="T171" s="110" t="str">
        <f>IFERROR(VLOOKUP(B171,'02. MM-KLH'!$B$6:$T$823,19,0),"")</f>
        <v>CCN</v>
      </c>
      <c r="U171" s="130" t="s">
        <v>79</v>
      </c>
    </row>
    <row r="172" ht="13.5" customHeight="1">
      <c r="A172" s="80">
        <f t="shared" si="7"/>
        <v>29</v>
      </c>
      <c r="B172" s="115" t="s">
        <v>2545</v>
      </c>
      <c r="C172" s="84" t="str">
        <f>IFERROR(VLOOKUP(B172,'02. MM-KLH'!$B$6:$T$823,2,0),"")</f>
        <v>MK 03 -VC KLH</v>
      </c>
      <c r="D172" s="95" t="str">
        <f>IFERROR(VLOOKUP(B172,'02. MM-KLH'!$B$6:$T$823,3,0),"")</f>
        <v>A23-MKE-032</v>
      </c>
      <c r="E172" s="86" t="str">
        <f>IFERROR(VLOOKUP(B172,'02. MM-KLH'!$B$6:$T$823,4,0),"")</f>
        <v/>
      </c>
      <c r="F172" s="115" t="s">
        <v>3143</v>
      </c>
      <c r="G172" s="86" t="str">
        <f>IFERROR(VLOOKUP(B172,'02. MM-KLH'!$B$6:$T$823,6,0),"")</f>
        <v>Máy cày KAM50</v>
      </c>
      <c r="H172" s="80" t="s">
        <v>2033</v>
      </c>
      <c r="I172" s="80" t="str">
        <f>IFERROR(VLOOKUP(B172,'02. MM-KLH'!$B$6:$T$823,8,0),"")</f>
        <v>Xưởng Cơ khí DP</v>
      </c>
      <c r="J172" s="99" t="str">
        <f>IFERROR(VLOOKUP(B172,'02. MM-KLH'!$B$6:$T$823,9,0),"")</f>
        <v/>
      </c>
      <c r="K172" s="80" t="str">
        <f>IFERROR(VLOOKUP(B172,'02. MM-KLH'!$B$6:$T$823,10,0),"")</f>
        <v>Bình thường</v>
      </c>
      <c r="L172" s="102" t="str">
        <f>IFERROR(VLOOKUP(B172,'02. MM-KLH'!$B$6:$T$823,11,0),"")</f>
        <v/>
      </c>
      <c r="M172" s="143" t="str">
        <f>IFERROR(VLOOKUP(B172,'02. MM-KLH'!$B$6:$T$823,12,0),"")</f>
        <v/>
      </c>
      <c r="N172" s="108" t="str">
        <f>IFERROR(VLOOKUP(B172,'02. MM-KLH'!$B$6:$T$823,13,0),"")</f>
        <v>THACO</v>
      </c>
      <c r="O172" s="108" t="str">
        <f>IFERROR(VLOOKUP(B172,'02. MM-KLH'!$B$6:$T$823,14,0),"")</f>
        <v>VIỆT NAM</v>
      </c>
      <c r="P172" s="80" t="str">
        <f>IFERROR(VLOOKUP(B172,'02. MM-KLH'!$B$6:$T$823,15,0),"")</f>
        <v/>
      </c>
      <c r="Q172" s="80" t="str">
        <f>IFERROR(VLOOKUP(B172,'02. MM-KLH'!$B$6:$T$823,16,0),"")</f>
        <v>KAM50</v>
      </c>
      <c r="R172" s="106" t="str">
        <f>IFERROR(VLOOKUP(B172,'02. MM-KLH'!$B$6:$T$823,17,0),"")</f>
        <v>50HP</v>
      </c>
      <c r="S172" s="108" t="str">
        <f>IFERROR(VLOOKUP(B172,'02. MM-KLH'!$B$6:$T$823,18,0),"")</f>
        <v>C000080</v>
      </c>
      <c r="T172" s="110" t="str">
        <f>IFERROR(VLOOKUP(B172,'02. MM-KLH'!$B$6:$T$823,19,0),"")</f>
        <v/>
      </c>
      <c r="U172" s="130" t="s">
        <v>79</v>
      </c>
    </row>
    <row r="173" ht="13.5" customHeight="1">
      <c r="A173" s="80">
        <f t="shared" si="7"/>
        <v>30</v>
      </c>
      <c r="B173" s="115" t="s">
        <v>2548</v>
      </c>
      <c r="C173" s="84" t="str">
        <f>IFERROR(VLOOKUP(B173,'02. MM-KLH'!$B$6:$T$823,2,0),"")</f>
        <v>MK 77 -VC KLH</v>
      </c>
      <c r="D173" s="95" t="str">
        <f>IFERROR(VLOOKUP(B173,'02. MM-KLH'!$B$6:$T$823,3,0),"")</f>
        <v>A23-MKE-033</v>
      </c>
      <c r="E173" s="86" t="str">
        <f>IFERROR(VLOOKUP(B173,'02. MM-KLH'!$B$6:$T$823,4,0),"")</f>
        <v/>
      </c>
      <c r="F173" s="115" t="s">
        <v>3143</v>
      </c>
      <c r="G173" s="86" t="str">
        <f>IFERROR(VLOOKUP(B173,'02. MM-KLH'!$B$6:$T$823,6,0),"")</f>
        <v>Máy cày KAM50</v>
      </c>
      <c r="H173" s="80" t="s">
        <v>2033</v>
      </c>
      <c r="I173" s="80" t="str">
        <f>IFERROR(VLOOKUP(B173,'02. MM-KLH'!$B$6:$T$823,8,0),"")</f>
        <v>Xưởng Cơ khí DP</v>
      </c>
      <c r="J173" s="99" t="str">
        <f>IFERROR(VLOOKUP(B173,'02. MM-KLH'!$B$6:$T$823,9,0),"")</f>
        <v/>
      </c>
      <c r="K173" s="80" t="str">
        <f>IFERROR(VLOOKUP(B173,'02. MM-KLH'!$B$6:$T$823,10,0),"")</f>
        <v>Bình thường</v>
      </c>
      <c r="L173" s="102" t="str">
        <f>IFERROR(VLOOKUP(B173,'02. MM-KLH'!$B$6:$T$823,11,0),"")</f>
        <v/>
      </c>
      <c r="M173" s="143" t="str">
        <f>IFERROR(VLOOKUP(B173,'02. MM-KLH'!$B$6:$T$823,12,0),"")</f>
        <v/>
      </c>
      <c r="N173" s="108" t="str">
        <f>IFERROR(VLOOKUP(B173,'02. MM-KLH'!$B$6:$T$823,13,0),"")</f>
        <v>THACO</v>
      </c>
      <c r="O173" s="108" t="str">
        <f>IFERROR(VLOOKUP(B173,'02. MM-KLH'!$B$6:$T$823,14,0),"")</f>
        <v>VIỆT NAM</v>
      </c>
      <c r="P173" s="80" t="str">
        <f>IFERROR(VLOOKUP(B173,'02. MM-KLH'!$B$6:$T$823,15,0),"")</f>
        <v/>
      </c>
      <c r="Q173" s="80" t="str">
        <f>IFERROR(VLOOKUP(B173,'02. MM-KLH'!$B$6:$T$823,16,0),"")</f>
        <v>KAM50</v>
      </c>
      <c r="R173" s="106" t="str">
        <f>IFERROR(VLOOKUP(B173,'02. MM-KLH'!$B$6:$T$823,17,0),"")</f>
        <v>50HP</v>
      </c>
      <c r="S173" s="108" t="str">
        <f>IFERROR(VLOOKUP(B173,'02. MM-KLH'!$B$6:$T$823,18,0),"")</f>
        <v>C000016</v>
      </c>
      <c r="T173" s="110" t="str">
        <f>IFERROR(VLOOKUP(B173,'02. MM-KLH'!$B$6:$T$823,19,0),"")</f>
        <v/>
      </c>
      <c r="U173" s="130" t="s">
        <v>79</v>
      </c>
    </row>
    <row r="174" ht="13.5" customHeight="1">
      <c r="A174" s="80">
        <f t="shared" si="7"/>
        <v>31</v>
      </c>
      <c r="B174" s="115" t="s">
        <v>2551</v>
      </c>
      <c r="C174" s="84" t="str">
        <f>IFERROR(VLOOKUP(B174,'02. MM-KLH'!$B$6:$T$823,2,0),"")</f>
        <v>CKC-MKE-001</v>
      </c>
      <c r="D174" s="95" t="str">
        <f>IFERROR(VLOOKUP(B174,'02. MM-KLH'!$B$6:$T$823,3,0),"")</f>
        <v>A22-MKE-031</v>
      </c>
      <c r="E174" s="86" t="str">
        <f>IFERROR(VLOOKUP(B174,'02. MM-KLH'!$B$6:$T$823,4,0),"")</f>
        <v/>
      </c>
      <c r="F174" s="115"/>
      <c r="G174" s="86" t="str">
        <f>IFERROR(VLOOKUP(B174,'02. MM-KLH'!$B$6:$T$823,6,0),"")</f>
        <v>Máy cày KAM50</v>
      </c>
      <c r="H174" s="80" t="s">
        <v>2033</v>
      </c>
      <c r="I174" s="80" t="str">
        <f>IFERROR(VLOOKUP(B174,'02. MM-KLH'!$B$6:$T$823,8,0),"")</f>
        <v>Xưởng Cơ khí DP</v>
      </c>
      <c r="J174" s="99" t="str">
        <f>IFERROR(VLOOKUP(B174,'02. MM-KLH'!$B$6:$T$823,9,0),"")</f>
        <v/>
      </c>
      <c r="K174" s="80" t="str">
        <f>IFERROR(VLOOKUP(B174,'02. MM-KLH'!$B$6:$T$823,10,0),"")</f>
        <v>Bình thường</v>
      </c>
      <c r="L174" s="102" t="str">
        <f>IFERROR(VLOOKUP(B174,'02. MM-KLH'!$B$6:$T$823,11,0),"")</f>
        <v/>
      </c>
      <c r="M174" s="143" t="str">
        <f>IFERROR(VLOOKUP(B174,'02. MM-KLH'!$B$6:$T$823,12,0),"")</f>
        <v/>
      </c>
      <c r="N174" s="108" t="str">
        <f>IFERROR(VLOOKUP(B174,'02. MM-KLH'!$B$6:$T$823,13,0),"")</f>
        <v>THACO</v>
      </c>
      <c r="O174" s="108" t="str">
        <f>IFERROR(VLOOKUP(B174,'02. MM-KLH'!$B$6:$T$823,14,0),"")</f>
        <v>VIỆT NAM</v>
      </c>
      <c r="P174" s="80">
        <f>IFERROR(VLOOKUP(B174,'02. MM-KLH'!$B$6:$T$823,15,0),"")</f>
        <v>2012</v>
      </c>
      <c r="Q174" s="80" t="str">
        <f>IFERROR(VLOOKUP(B174,'02. MM-KLH'!$B$6:$T$823,16,0),"")</f>
        <v>KAM50</v>
      </c>
      <c r="R174" s="106" t="str">
        <f>IFERROR(VLOOKUP(B174,'02. MM-KLH'!$B$6:$T$823,17,0),"")</f>
        <v>50HP</v>
      </c>
      <c r="S174" s="108" t="str">
        <f>IFERROR(VLOOKUP(B174,'02. MM-KLH'!$B$6:$T$823,18,0),"")</f>
        <v>TAMMT05AJC000044</v>
      </c>
      <c r="T174" s="110" t="str">
        <f>IFERROR(VLOOKUP(B174,'02. MM-KLH'!$B$6:$T$823,19,0),"")</f>
        <v>CCN</v>
      </c>
      <c r="U174" s="130" t="s">
        <v>79</v>
      </c>
    </row>
    <row r="175" ht="13.5" customHeight="1">
      <c r="A175" s="80">
        <f t="shared" si="7"/>
        <v>32</v>
      </c>
      <c r="B175" s="113" t="s">
        <v>2611</v>
      </c>
      <c r="C175" s="84" t="str">
        <f>IFERROR(VLOOKUP(B175,'02. MM-KLH'!$B$6:$T$823,2,0),"")</f>
        <v/>
      </c>
      <c r="D175" s="95" t="str">
        <f>IFERROR(VLOOKUP(B175,'02. MM-KLH'!$B$6:$T$823,3,0),"")</f>
        <v>A22-MKE-032</v>
      </c>
      <c r="E175" s="86" t="str">
        <f>IFERROR(VLOOKUP(B175,'02. MM-KLH'!$B$6:$T$823,4,0),"")</f>
        <v/>
      </c>
      <c r="F175" s="115"/>
      <c r="G175" s="86" t="str">
        <f>IFERROR(VLOOKUP(B175,'02. MM-KLH'!$B$6:$T$823,6,0),"")</f>
        <v>Máy cày KAM50</v>
      </c>
      <c r="H175" s="80" t="s">
        <v>2033</v>
      </c>
      <c r="I175" s="80" t="str">
        <f>IFERROR(VLOOKUP(B175,'02. MM-KLH'!$B$6:$T$823,8,0),"")</f>
        <v>Thagricons</v>
      </c>
      <c r="J175" s="99" t="str">
        <f>IFERROR(VLOOKUP(B175,'02. MM-KLH'!$B$6:$T$823,9,0),"")</f>
        <v/>
      </c>
      <c r="K175" s="80" t="str">
        <f>IFERROR(VLOOKUP(B175,'02. MM-KLH'!$B$6:$T$823,10,0),"")</f>
        <v>Bình thường</v>
      </c>
      <c r="L175" s="102" t="str">
        <f>IFERROR(VLOOKUP(B175,'02. MM-KLH'!$B$6:$T$823,11,0),"")</f>
        <v/>
      </c>
      <c r="M175" s="143" t="str">
        <f>IFERROR(VLOOKUP(B175,'02. MM-KLH'!$B$6:$T$823,12,0),"")</f>
        <v/>
      </c>
      <c r="N175" s="108" t="str">
        <f>IFERROR(VLOOKUP(B175,'02. MM-KLH'!$B$6:$T$823,13,0),"")</f>
        <v>THACO</v>
      </c>
      <c r="O175" s="108" t="str">
        <f>IFERROR(VLOOKUP(B175,'02. MM-KLH'!$B$6:$T$823,14,0),"")</f>
        <v>VIỆT NAM</v>
      </c>
      <c r="P175" s="80">
        <f>IFERROR(VLOOKUP(B175,'02. MM-KLH'!$B$6:$T$823,15,0),"")</f>
        <v>2012</v>
      </c>
      <c r="Q175" s="80" t="str">
        <f>IFERROR(VLOOKUP(B175,'02. MM-KLH'!$B$6:$T$823,16,0),"")</f>
        <v>KAM50</v>
      </c>
      <c r="R175" s="106" t="str">
        <f>IFERROR(VLOOKUP(B175,'02. MM-KLH'!$B$6:$T$823,17,0),"")</f>
        <v>50HP</v>
      </c>
      <c r="S175" s="108" t="str">
        <f>IFERROR(VLOOKUP(B175,'02. MM-KLH'!$B$6:$T$823,18,0),"")</f>
        <v>TAMMT05AJC000089</v>
      </c>
      <c r="T175" s="110" t="str">
        <f>IFERROR(VLOOKUP(B175,'02. MM-KLH'!$B$6:$T$823,19,0),"")</f>
        <v>CCN</v>
      </c>
      <c r="U175" s="130" t="s">
        <v>79</v>
      </c>
    </row>
    <row r="176" ht="27.75" customHeight="1">
      <c r="A176" s="80">
        <f t="shared" si="7"/>
        <v>33</v>
      </c>
      <c r="B176" s="115" t="s">
        <v>1822</v>
      </c>
      <c r="C176" s="84" t="str">
        <f>IFERROR(VLOOKUP(B176,'02. MM-KLH'!$B$6:$T$823,2,0),"")</f>
        <v>XXA-MKE-009</v>
      </c>
      <c r="D176" s="95" t="str">
        <f>IFERROR(VLOOKUP(B176,'02. MM-KLH'!$B$6:$T$823,3,0),"")</f>
        <v>ATT-A23-0002</v>
      </c>
      <c r="E176" s="86" t="str">
        <f>IFERROR(VLOOKUP(B176,'02. MM-KLH'!$B$6:$T$823,4,0),"")</f>
        <v/>
      </c>
      <c r="F176" s="115" t="s">
        <v>1824</v>
      </c>
      <c r="G176" s="86" t="str">
        <f>IFERROR(VLOOKUP(B176,'02. MM-KLH'!$B$6:$T$823,6,0),"")</f>
        <v>Máy cày KAM50</v>
      </c>
      <c r="H176" s="80" t="s">
        <v>2033</v>
      </c>
      <c r="I176" s="80" t="str">
        <f>IFERROR(VLOOKUP(B176,'02. MM-KLH'!$B$6:$T$823,8,0),"")</f>
        <v>XN Bò AD</v>
      </c>
      <c r="J176" s="99" t="str">
        <f>IFERROR(VLOOKUP(B176,'02. MM-KLH'!$B$6:$T$823,9,0),"")</f>
        <v/>
      </c>
      <c r="K176" s="80" t="str">
        <f>IFERROR(VLOOKUP(B176,'02. MM-KLH'!$B$6:$T$823,10,0),"")</f>
        <v>Bình thường</v>
      </c>
      <c r="L176" s="102" t="str">
        <f>IFERROR(VLOOKUP(B176,'02. MM-KLH'!$B$6:$T$823,11,0),"")</f>
        <v/>
      </c>
      <c r="M176" s="143" t="str">
        <f>IFERROR(VLOOKUP(B176,'02. MM-KLH'!$B$6:$T$823,12,0),"")</f>
        <v>- XN DP2 điều chuyển qua CAT AD ngày 12/02/2025
- XN CAT AD điều chuyển qua XN Bò AD1 ngày 18/05/2026</v>
      </c>
      <c r="N176" s="108" t="str">
        <f>IFERROR(VLOOKUP(B176,'02. MM-KLH'!$B$6:$T$823,13,0),"")</f>
        <v>THACO</v>
      </c>
      <c r="O176" s="108" t="str">
        <f>IFERROR(VLOOKUP(B176,'02. MM-KLH'!$B$6:$T$823,14,0),"")</f>
        <v>VIỆT NAM</v>
      </c>
      <c r="P176" s="80">
        <f>IFERROR(VLOOKUP(B176,'02. MM-KLH'!$B$6:$T$823,15,0),"")</f>
        <v>2018</v>
      </c>
      <c r="Q176" s="80" t="str">
        <f>IFERROR(VLOOKUP(B176,'02. MM-KLH'!$B$6:$T$823,16,0),"")</f>
        <v>KAM50</v>
      </c>
      <c r="R176" s="106" t="str">
        <f>IFERROR(VLOOKUP(B176,'02. MM-KLH'!$B$6:$T$823,17,0),"")</f>
        <v>50HP</v>
      </c>
      <c r="S176" s="108" t="str">
        <f>IFERROR(VLOOKUP(B176,'02. MM-KLH'!$B$6:$T$823,18,0),"")</f>
        <v>C000053</v>
      </c>
      <c r="T176" s="110" t="str">
        <f>IFERROR(VLOOKUP(B176,'02. MM-KLH'!$B$6:$T$823,19,0),"")</f>
        <v>CCN</v>
      </c>
      <c r="U176" s="130" t="s">
        <v>79</v>
      </c>
    </row>
    <row r="177" ht="13.5" customHeight="1">
      <c r="A177" s="80"/>
      <c r="B177" s="113"/>
      <c r="C177" s="84" t="str">
        <f>IFERROR(VLOOKUP(B177,'02. MM-KLH'!$B$6:$T$823,2,0),"")</f>
        <v/>
      </c>
      <c r="D177" s="95" t="str">
        <f>IFERROR(VLOOKUP(B177,'02. MM-KLH'!$B$6:$T$823,3,0),"")</f>
        <v/>
      </c>
      <c r="E177" s="86" t="str">
        <f>IFERROR(VLOOKUP(B177,'02. MM-KLH'!$B$6:$T$823,4,0),"")</f>
        <v/>
      </c>
      <c r="F177" s="115"/>
      <c r="G177" s="86" t="str">
        <f>IFERROR(VLOOKUP(B177,'02. MM-KLH'!$B$6:$T$823,6,0),"")</f>
        <v/>
      </c>
      <c r="H177" s="80"/>
      <c r="I177" s="80" t="str">
        <f>IFERROR(VLOOKUP(B177,'02. MM-KLH'!$B$6:$T$823,8,0),"")</f>
        <v/>
      </c>
      <c r="J177" s="99" t="str">
        <f>IFERROR(VLOOKUP(B177,'02. MM-KLH'!$B$6:$T$823,9,0),"")</f>
        <v/>
      </c>
      <c r="K177" s="80" t="str">
        <f>IFERROR(VLOOKUP(B177,'02. MM-KLH'!$B$6:$T$823,10,0),"")</f>
        <v/>
      </c>
      <c r="L177" s="102" t="str">
        <f>IFERROR(VLOOKUP(B177,'02. MM-KLH'!$B$6:$T$823,11,0),"")</f>
        <v/>
      </c>
      <c r="M177" s="143" t="str">
        <f>IFERROR(VLOOKUP(B177,'02. MM-KLH'!$B$6:$T$823,12,0),"")</f>
        <v/>
      </c>
      <c r="N177" s="108" t="str">
        <f>IFERROR(VLOOKUP(B177,'02. MM-KLH'!$B$6:$T$823,13,0),"")</f>
        <v/>
      </c>
      <c r="O177" s="108" t="str">
        <f>IFERROR(VLOOKUP(B177,'02. MM-KLH'!$B$6:$T$823,14,0),"")</f>
        <v/>
      </c>
      <c r="P177" s="80" t="str">
        <f>IFERROR(VLOOKUP(B177,'02. MM-KLH'!$B$6:$T$823,15,0),"")</f>
        <v/>
      </c>
      <c r="Q177" s="80" t="str">
        <f>IFERROR(VLOOKUP(B177,'02. MM-KLH'!$B$6:$T$823,16,0),"")</f>
        <v/>
      </c>
      <c r="R177" s="106" t="str">
        <f>IFERROR(VLOOKUP(B177,'02. MM-KLH'!$B$6:$T$823,17,0),"")</f>
        <v/>
      </c>
      <c r="S177" s="108" t="str">
        <f>IFERROR(VLOOKUP(B177,'02. MM-KLH'!$B$6:$T$823,18,0),"")</f>
        <v/>
      </c>
      <c r="T177" s="110" t="str">
        <f>IFERROR(VLOOKUP(B177,'02. MM-KLH'!$B$6:$T$823,19,0),"")</f>
        <v/>
      </c>
      <c r="U177" s="110" t="str">
        <f>IFERROR(VLOOKUP(C177,'02. MM-KLH'!$B$6:$T$823,19,0),"")</f>
        <v/>
      </c>
    </row>
    <row r="178" ht="13.5" customHeight="1">
      <c r="A178" s="82" t="s">
        <v>76</v>
      </c>
      <c r="B178" s="83" t="s">
        <v>3205</v>
      </c>
      <c r="C178" s="85">
        <f>COUNTA(B179:B206)</f>
        <v>26</v>
      </c>
      <c r="D178" s="85" t="str">
        <f>IFERROR(VLOOKUP(B178,'02. MM-KLH'!$B$6:$T$823,3,0),"")</f>
        <v/>
      </c>
      <c r="E178" s="85" t="str">
        <f>IFERROR(VLOOKUP(B178,'02. MM-KLH'!$B$6:$T$823,4,0),"")</f>
        <v/>
      </c>
      <c r="F178" s="85"/>
      <c r="G178" s="85" t="str">
        <f>IFERROR(VLOOKUP(B178,'02. MM-KLH'!$B$6:$T$823,6,0),"")</f>
        <v/>
      </c>
      <c r="H178" s="85"/>
      <c r="I178" s="85" t="str">
        <f>IFERROR(VLOOKUP(B178,'02. MM-KLH'!$B$6:$T$823,8,0),"")</f>
        <v/>
      </c>
      <c r="J178" s="85" t="str">
        <f>IFERROR(VLOOKUP(B178,'02. MM-KLH'!$B$6:$T$823,9,0),"")</f>
        <v/>
      </c>
      <c r="K178" s="85" t="str">
        <f>IFERROR(VLOOKUP(B178,'02. MM-KLH'!$B$6:$T$823,10,0),"")</f>
        <v/>
      </c>
      <c r="L178" s="85" t="str">
        <f>IFERROR(VLOOKUP(B178,'02. MM-KLH'!$B$6:$T$823,11,0),"")</f>
        <v/>
      </c>
      <c r="M178" s="85" t="str">
        <f>IFERROR(VLOOKUP(B178,'02. MM-KLH'!$B$6:$T$823,12,0),"")</f>
        <v/>
      </c>
      <c r="N178" s="85" t="str">
        <f>IFERROR(VLOOKUP(B178,'02. MM-KLH'!$B$6:$T$823,13,0),"")</f>
        <v/>
      </c>
      <c r="O178" s="85" t="str">
        <f>IFERROR(VLOOKUP(B178,'02. MM-KLH'!$B$6:$T$823,14,0),"")</f>
        <v/>
      </c>
      <c r="P178" s="85" t="str">
        <f>IFERROR(VLOOKUP(B178,'02. MM-KLH'!$B$6:$T$823,15,0),"")</f>
        <v/>
      </c>
      <c r="Q178" s="85" t="str">
        <f>IFERROR(VLOOKUP(B178,'02. MM-KLH'!$B$6:$T$823,16,0),"")</f>
        <v/>
      </c>
      <c r="R178" s="85" t="str">
        <f>IFERROR(VLOOKUP(B178,'02. MM-KLH'!$B$6:$T$823,17,0),"")</f>
        <v/>
      </c>
      <c r="S178" s="85" t="str">
        <f>IFERROR(VLOOKUP(B178,'02. MM-KLH'!$B$6:$T$823,18,0),"")</f>
        <v/>
      </c>
      <c r="T178" s="85" t="str">
        <f>IFERROR(VLOOKUP(B178,'02. MM-KLH'!$B$6:$T$823,19,0),"")</f>
        <v/>
      </c>
      <c r="U178" s="85" t="str">
        <f>IFERROR(VLOOKUP(C178,'02. MM-KLH'!$B$6:$T$823,19,0),"")</f>
        <v/>
      </c>
    </row>
    <row r="179" ht="13.5" customHeight="1">
      <c r="A179" s="80">
        <v>1.0</v>
      </c>
      <c r="B179" s="113" t="s">
        <v>1568</v>
      </c>
      <c r="C179" s="113" t="str">
        <f>IFERROR(VLOOKUP(B179,'02. MM-KLH'!$B$6:$T$823,2,0),"")</f>
        <v>XB1-MKE-007</v>
      </c>
      <c r="D179" s="95" t="str">
        <f>IFERROR(VLOOKUP(B179,'02. MM-KLH'!$B$6:$T$823,3,0),"")</f>
        <v>A23-MKE-030</v>
      </c>
      <c r="E179" s="86" t="str">
        <f>IFERROR(VLOOKUP(B179,'02. MM-KLH'!$B$6:$T$823,4,0),"")</f>
        <v/>
      </c>
      <c r="F179" s="115"/>
      <c r="G179" s="86" t="str">
        <f>IFERROR(VLOOKUP(B179,'02. MM-KLH'!$B$6:$T$823,6,0),"")</f>
        <v>Máy cày KUBOTA L2002DT</v>
      </c>
      <c r="H179" s="80" t="s">
        <v>2033</v>
      </c>
      <c r="I179" s="80" t="str">
        <f>IFERROR(VLOOKUP(B179,'02. MM-KLH'!$B$6:$T$823,8,0),"")</f>
        <v>Xoài DP</v>
      </c>
      <c r="J179" s="99" t="str">
        <f>IFERROR(VLOOKUP(B179,'02. MM-KLH'!$B$6:$T$823,9,0),"")</f>
        <v/>
      </c>
      <c r="K179" s="80" t="str">
        <f>IFERROR(VLOOKUP(B179,'02. MM-KLH'!$B$6:$T$823,10,0),"")</f>
        <v>Hư hỏng</v>
      </c>
      <c r="L179" s="102" t="str">
        <f>IFERROR(VLOOKUP(B179,'02. MM-KLH'!$B$6:$T$823,11,0),"")</f>
        <v/>
      </c>
      <c r="M179" s="143" t="str">
        <f>IFERROR(VLOOKUP(B179,'02. MM-KLH'!$B$6:$T$823,12,0),"")</f>
        <v>DX LOẠI BIÊN</v>
      </c>
      <c r="N179" s="108" t="str">
        <f>IFERROR(VLOOKUP(B179,'02. MM-KLH'!$B$6:$T$823,13,0),"")</f>
        <v>KUBOTA</v>
      </c>
      <c r="O179" s="108" t="str">
        <f>IFERROR(VLOOKUP(B179,'02. MM-KLH'!$B$6:$T$823,14,0),"")</f>
        <v>NHẬT BẢN</v>
      </c>
      <c r="P179" s="80" t="str">
        <f>IFERROR(VLOOKUP(B179,'02. MM-KLH'!$B$6:$T$823,15,0),"")</f>
        <v/>
      </c>
      <c r="Q179" s="80" t="str">
        <f>IFERROR(VLOOKUP(B179,'02. MM-KLH'!$B$6:$T$823,16,0),"")</f>
        <v>L2002DT</v>
      </c>
      <c r="R179" s="106" t="str">
        <f>IFERROR(VLOOKUP(B179,'02. MM-KLH'!$B$6:$T$823,17,0),"")</f>
        <v>20HP</v>
      </c>
      <c r="S179" s="108" t="str">
        <f>IFERROR(VLOOKUP(B179,'02. MM-KLH'!$B$6:$T$823,18,0),"")</f>
        <v>CCN</v>
      </c>
      <c r="T179" s="110" t="str">
        <f>IFERROR(VLOOKUP(B179,'02. MM-KLH'!$B$6:$T$823,19,0),"")</f>
        <v>02250</v>
      </c>
      <c r="U179" s="130" t="s">
        <v>79</v>
      </c>
    </row>
    <row r="180" ht="13.5" customHeight="1">
      <c r="A180" s="95">
        <f t="shared" ref="A180:A204" si="8">A179+1</f>
        <v>2</v>
      </c>
      <c r="B180" s="113" t="s">
        <v>1571</v>
      </c>
      <c r="C180" s="113" t="str">
        <f>IFERROR(VLOOKUP(B180,'02. MM-KLH'!$B$6:$T$823,2,0),"")</f>
        <v>XB1-MKE-009</v>
      </c>
      <c r="D180" s="95" t="str">
        <f>IFERROR(VLOOKUP(B180,'02. MM-KLH'!$B$6:$T$823,3,0),"")</f>
        <v>A23-MKE-031</v>
      </c>
      <c r="E180" s="86" t="str">
        <f>IFERROR(VLOOKUP(B180,'02. MM-KLH'!$B$6:$T$823,4,0),"")</f>
        <v/>
      </c>
      <c r="F180" s="115"/>
      <c r="G180" s="86" t="str">
        <f>IFERROR(VLOOKUP(B180,'02. MM-KLH'!$B$6:$T$823,6,0),"")</f>
        <v>Máy cày KUBOTA L2002DT</v>
      </c>
      <c r="H180" s="80" t="s">
        <v>2033</v>
      </c>
      <c r="I180" s="80" t="str">
        <f>IFERROR(VLOOKUP(B180,'02. MM-KLH'!$B$6:$T$823,8,0),"")</f>
        <v>Xoài DP</v>
      </c>
      <c r="J180" s="99" t="str">
        <f>IFERROR(VLOOKUP(B180,'02. MM-KLH'!$B$6:$T$823,9,0),"")</f>
        <v/>
      </c>
      <c r="K180" s="80" t="str">
        <f>IFERROR(VLOOKUP(B180,'02. MM-KLH'!$B$6:$T$823,10,0),"")</f>
        <v>Bình thường</v>
      </c>
      <c r="L180" s="102" t="str">
        <f>IFERROR(VLOOKUP(B180,'02. MM-KLH'!$B$6:$T$823,11,0),"")</f>
        <v/>
      </c>
      <c r="M180" s="143" t="str">
        <f>IFERROR(VLOOKUP(B180,'02. MM-KLH'!$B$6:$T$823,12,0),"")</f>
        <v/>
      </c>
      <c r="N180" s="108" t="str">
        <f>IFERROR(VLOOKUP(B180,'02. MM-KLH'!$B$6:$T$823,13,0),"")</f>
        <v>KUBOTA</v>
      </c>
      <c r="O180" s="108" t="str">
        <f>IFERROR(VLOOKUP(B180,'02. MM-KLH'!$B$6:$T$823,14,0),"")</f>
        <v>NHẬT BẢN</v>
      </c>
      <c r="P180" s="80" t="str">
        <f>IFERROR(VLOOKUP(B180,'02. MM-KLH'!$B$6:$T$823,15,0),"")</f>
        <v/>
      </c>
      <c r="Q180" s="80" t="str">
        <f>IFERROR(VLOOKUP(B180,'02. MM-KLH'!$B$6:$T$823,16,0),"")</f>
        <v>L2002DT</v>
      </c>
      <c r="R180" s="106" t="str">
        <f>IFERROR(VLOOKUP(B180,'02. MM-KLH'!$B$6:$T$823,17,0),"")</f>
        <v>20HP</v>
      </c>
      <c r="S180" s="108" t="str">
        <f>IFERROR(VLOOKUP(B180,'02. MM-KLH'!$B$6:$T$823,18,0),"")</f>
        <v>CCN</v>
      </c>
      <c r="T180" s="110" t="str">
        <f>IFERROR(VLOOKUP(B180,'02. MM-KLH'!$B$6:$T$823,19,0),"")</f>
        <v>03315</v>
      </c>
      <c r="U180" s="130" t="s">
        <v>79</v>
      </c>
    </row>
    <row r="181" ht="13.5" customHeight="1">
      <c r="A181" s="95">
        <f t="shared" si="8"/>
        <v>3</v>
      </c>
      <c r="B181" s="115" t="s">
        <v>1272</v>
      </c>
      <c r="C181" s="113" t="str">
        <f>IFERROR(VLOOKUP(B181,'02. MM-KLH'!$B$6:$T$823,2,0),"")</f>
        <v>XB1-MKE-008(MK90-VCKLH)</v>
      </c>
      <c r="D181" s="95" t="str">
        <f>IFERROR(VLOOKUP(B181,'02. MM-KLH'!$B$6:$T$823,3,0),"")</f>
        <v>A24-MKE-020</v>
      </c>
      <c r="E181" s="86" t="str">
        <f>IFERROR(VLOOKUP(B181,'02. MM-KLH'!$B$6:$T$823,4,0),"")</f>
        <v/>
      </c>
      <c r="F181" s="115"/>
      <c r="G181" s="86" t="str">
        <f>IFERROR(VLOOKUP(B181,'02. MM-KLH'!$B$6:$T$823,6,0),"")</f>
        <v>Máy cày KUBOTA L2002DT</v>
      </c>
      <c r="H181" s="80" t="s">
        <v>2033</v>
      </c>
      <c r="I181" s="80" t="str">
        <f>IFERROR(VLOOKUP(B181,'02. MM-KLH'!$B$6:$T$823,8,0),"")</f>
        <v>XN Chuối LP1</v>
      </c>
      <c r="J181" s="99" t="str">
        <f>IFERROR(VLOOKUP(B181,'02. MM-KLH'!$B$6:$T$823,9,0),"")</f>
        <v>23/01/2024</v>
      </c>
      <c r="K181" s="80" t="str">
        <f>IFERROR(VLOOKUP(B181,'02. MM-KLH'!$B$6:$T$823,10,0),"")</f>
        <v>Bình thường</v>
      </c>
      <c r="L181" s="102" t="str">
        <f>IFERROR(VLOOKUP(B181,'02. MM-KLH'!$B$6:$T$823,11,0),"")</f>
        <v/>
      </c>
      <c r="M181" s="143" t="str">
        <f>IFERROR(VLOOKUP(B181,'02. MM-KLH'!$B$6:$T$823,12,0),"")</f>
        <v>-Đ.chuyển từ LP4 sang LP1 ngày 16.07.2024</v>
      </c>
      <c r="N181" s="108" t="str">
        <f>IFERROR(VLOOKUP(B181,'02. MM-KLH'!$B$6:$T$823,13,0),"")</f>
        <v>KUBOTA</v>
      </c>
      <c r="O181" s="108" t="str">
        <f>IFERROR(VLOOKUP(B181,'02. MM-KLH'!$B$6:$T$823,14,0),"")</f>
        <v>VIỆT NAM</v>
      </c>
      <c r="P181" s="80" t="str">
        <f>IFERROR(VLOOKUP(B181,'02. MM-KLH'!$B$6:$T$823,15,0),"")</f>
        <v/>
      </c>
      <c r="Q181" s="80" t="str">
        <f>IFERROR(VLOOKUP(B181,'02. MM-KLH'!$B$6:$T$823,16,0),"")</f>
        <v>L2002DT</v>
      </c>
      <c r="R181" s="106" t="str">
        <f>IFERROR(VLOOKUP(B181,'02. MM-KLH'!$B$6:$T$823,17,0),"")</f>
        <v>20HP</v>
      </c>
      <c r="S181" s="108" t="str">
        <f>IFERROR(VLOOKUP(B181,'02. MM-KLH'!$B$6:$T$823,18,0),"")</f>
        <v>CCN</v>
      </c>
      <c r="T181" s="110">
        <f>IFERROR(VLOOKUP(B181,'02. MM-KLH'!$B$6:$T$823,19,0),"")</f>
        <v>11368</v>
      </c>
      <c r="U181" s="130" t="s">
        <v>79</v>
      </c>
    </row>
    <row r="182" ht="13.5" customHeight="1">
      <c r="A182" s="95">
        <f t="shared" si="8"/>
        <v>4</v>
      </c>
      <c r="B182" s="113" t="s">
        <v>1587</v>
      </c>
      <c r="C182" s="113" t="str">
        <f>IFERROR(VLOOKUP(B182,'02. MM-KLH'!$B$6:$T$823,2,0),"")</f>
        <v>XB1-MKE-024</v>
      </c>
      <c r="D182" s="95" t="str">
        <f>IFERROR(VLOOKUP(B182,'02. MM-KLH'!$B$6:$T$823,3,0),"")</f>
        <v>A22-MKE-003</v>
      </c>
      <c r="E182" s="86" t="str">
        <f>IFERROR(VLOOKUP(B182,'02. MM-KLH'!$B$6:$T$823,4,0),"")</f>
        <v/>
      </c>
      <c r="F182" s="115"/>
      <c r="G182" s="86" t="str">
        <f>IFERROR(VLOOKUP(B182,'02. MM-KLH'!$B$6:$T$823,6,0),"")</f>
        <v>Máy cày KUBOTA L2002DT</v>
      </c>
      <c r="H182" s="80" t="s">
        <v>2033</v>
      </c>
      <c r="I182" s="80" t="str">
        <f>IFERROR(VLOOKUP(B182,'02. MM-KLH'!$B$6:$T$823,8,0),"")</f>
        <v>XOÀI AD</v>
      </c>
      <c r="J182" s="99" t="str">
        <f>IFERROR(VLOOKUP(B182,'02. MM-KLH'!$B$6:$T$823,9,0),"")</f>
        <v/>
      </c>
      <c r="K182" s="80" t="str">
        <f>IFERROR(VLOOKUP(B182,'02. MM-KLH'!$B$6:$T$823,10,0),"")</f>
        <v>Bình thường</v>
      </c>
      <c r="L182" s="102" t="str">
        <f>IFERROR(VLOOKUP(B182,'02. MM-KLH'!$B$6:$T$823,11,0),"")</f>
        <v/>
      </c>
      <c r="M182" s="143" t="str">
        <f>IFERROR(VLOOKUP(B182,'02. MM-KLH'!$B$6:$T$823,12,0),"")</f>
        <v/>
      </c>
      <c r="N182" s="108" t="str">
        <f>IFERROR(VLOOKUP(B182,'02. MM-KLH'!$B$6:$T$823,13,0),"")</f>
        <v>KUBOTA</v>
      </c>
      <c r="O182" s="108" t="str">
        <f>IFERROR(VLOOKUP(B182,'02. MM-KLH'!$B$6:$T$823,14,0),"")</f>
        <v>NHẬT BẢN</v>
      </c>
      <c r="P182" s="80" t="str">
        <f>IFERROR(VLOOKUP(B182,'02. MM-KLH'!$B$6:$T$823,15,0),"")</f>
        <v/>
      </c>
      <c r="Q182" s="80" t="str">
        <f>IFERROR(VLOOKUP(B182,'02. MM-KLH'!$B$6:$T$823,16,0),"")</f>
        <v>L2002DT</v>
      </c>
      <c r="R182" s="106" t="str">
        <f>IFERROR(VLOOKUP(B182,'02. MM-KLH'!$B$6:$T$823,17,0),"")</f>
        <v>20HP</v>
      </c>
      <c r="S182" s="108" t="str">
        <f>IFERROR(VLOOKUP(B182,'02. MM-KLH'!$B$6:$T$823,18,0),"")</f>
        <v>CCN</v>
      </c>
      <c r="T182" s="110">
        <f>IFERROR(VLOOKUP(B182,'02. MM-KLH'!$B$6:$T$823,19,0),"")</f>
        <v>2216</v>
      </c>
      <c r="U182" s="130" t="s">
        <v>79</v>
      </c>
    </row>
    <row r="183" ht="13.5" customHeight="1">
      <c r="A183" s="95">
        <f t="shared" si="8"/>
        <v>5</v>
      </c>
      <c r="B183" s="115" t="s">
        <v>1828</v>
      </c>
      <c r="C183" s="113" t="str">
        <f>IFERROR(VLOOKUP(B183,'02. MM-KLH'!$B$6:$T$823,2,0),"")</f>
        <v>XBA-MKE-001</v>
      </c>
      <c r="D183" s="95" t="str">
        <f>IFERROR(VLOOKUP(B183,'02. MM-KLH'!$B$6:$T$823,3,0),"")</f>
        <v/>
      </c>
      <c r="E183" s="86" t="str">
        <f>IFERROR(VLOOKUP(B183,'02. MM-KLH'!$B$6:$T$823,4,0),"")</f>
        <v/>
      </c>
      <c r="F183" s="115"/>
      <c r="G183" s="86" t="str">
        <f>IFERROR(VLOOKUP(B183,'02. MM-KLH'!$B$6:$T$823,6,0),"")</f>
        <v>Máy cày M6040</v>
      </c>
      <c r="H183" s="80" t="s">
        <v>2033</v>
      </c>
      <c r="I183" s="80" t="str">
        <f>IFERROR(VLOOKUP(B183,'02. MM-KLH'!$B$6:$T$823,8,0),"")</f>
        <v>XN Bò AD</v>
      </c>
      <c r="J183" s="99" t="str">
        <f>IFERROR(VLOOKUP(B183,'02. MM-KLH'!$B$6:$T$823,9,0),"")</f>
        <v>21/05/2026</v>
      </c>
      <c r="K183" s="80" t="str">
        <f>IFERROR(VLOOKUP(B183,'02. MM-KLH'!$B$6:$T$823,10,0),"")</f>
        <v>Bình thường</v>
      </c>
      <c r="L183" s="102" t="str">
        <f>IFERROR(VLOOKUP(B183,'02. MM-KLH'!$B$6:$T$823,11,0),"")</f>
        <v/>
      </c>
      <c r="M183" s="143" t="str">
        <f>IFERROR(VLOOKUP(B183,'02. MM-KLH'!$B$6:$T$823,12,0),"")</f>
        <v>- XN CAT AD điều chuyển qua XN Bò AD1 ngày 21/05/2026</v>
      </c>
      <c r="N183" s="108" t="str">
        <f>IFERROR(VLOOKUP(B183,'02. MM-KLH'!$B$6:$T$823,13,0),"")</f>
        <v>KUBOTA</v>
      </c>
      <c r="O183" s="108" t="str">
        <f>IFERROR(VLOOKUP(B183,'02. MM-KLH'!$B$6:$T$823,14,0),"")</f>
        <v>NHẬT BẢN</v>
      </c>
      <c r="P183" s="80">
        <f>IFERROR(VLOOKUP(B183,'02. MM-KLH'!$B$6:$T$823,15,0),"")</f>
        <v>2013</v>
      </c>
      <c r="Q183" s="80" t="str">
        <f>IFERROR(VLOOKUP(B183,'02. MM-KLH'!$B$6:$T$823,16,0),"")</f>
        <v>M6040</v>
      </c>
      <c r="R183" s="106" t="str">
        <f>IFERROR(VLOOKUP(B183,'02. MM-KLH'!$B$6:$T$823,17,0),"")</f>
        <v>60HP</v>
      </c>
      <c r="S183" s="108">
        <f>IFERROR(VLOOKUP(B183,'02. MM-KLH'!$B$6:$T$823,18,0),"")</f>
        <v>57652</v>
      </c>
      <c r="T183" s="110" t="str">
        <f>IFERROR(VLOOKUP(B183,'02. MM-KLH'!$B$6:$T$823,19,0),"")</f>
        <v>CCN</v>
      </c>
      <c r="U183" s="130" t="s">
        <v>79</v>
      </c>
    </row>
    <row r="184" ht="13.5" customHeight="1">
      <c r="A184" s="95">
        <f t="shared" si="8"/>
        <v>6</v>
      </c>
      <c r="B184" s="115" t="s">
        <v>1023</v>
      </c>
      <c r="C184" s="113" t="str">
        <f>IFERROR(VLOOKUP(B184,'02. MM-KLH'!$B$6:$T$823,2,0),"")</f>
        <v>CNN-MKE-003</v>
      </c>
      <c r="D184" s="95" t="str">
        <f>IFERROR(VLOOKUP(B184,'02. MM-KLH'!$B$6:$T$823,3,0),"")</f>
        <v>A23-MKE-002</v>
      </c>
      <c r="E184" s="86" t="str">
        <f>IFERROR(VLOOKUP(B184,'02. MM-KLH'!$B$6:$T$823,4,0),"")</f>
        <v/>
      </c>
      <c r="F184" s="115"/>
      <c r="G184" s="86" t="str">
        <f>IFERROR(VLOOKUP(B184,'02. MM-KLH'!$B$6:$T$823,6,0),"")</f>
        <v>Máy cày M6040</v>
      </c>
      <c r="H184" s="80" t="s">
        <v>2033</v>
      </c>
      <c r="I184" s="80" t="str">
        <f>IFERROR(VLOOKUP(B184,'02. MM-KLH'!$B$6:$T$823,8,0),"")</f>
        <v>XN Chuối DP2</v>
      </c>
      <c r="J184" s="99" t="str">
        <f>IFERROR(VLOOKUP(B184,'02. MM-KLH'!$B$6:$T$823,9,0),"")</f>
        <v>28/01/2026</v>
      </c>
      <c r="K184" s="80" t="str">
        <f>IFERROR(VLOOKUP(B184,'02. MM-KLH'!$B$6:$T$823,10,0),"")</f>
        <v>Bình thường</v>
      </c>
      <c r="L184" s="102" t="str">
        <f>IFERROR(VLOOKUP(B184,'02. MM-KLH'!$B$6:$T$823,11,0),"")</f>
        <v/>
      </c>
      <c r="M184" s="143" t="str">
        <f>IFERROR(VLOOKUP(B184,'02. MM-KLH'!$B$6:$T$823,12,0),"")</f>
        <v>Điều chuyển từ CGLĐ DP sang 28/01/2026</v>
      </c>
      <c r="N184" s="108" t="str">
        <f>IFERROR(VLOOKUP(B184,'02. MM-KLH'!$B$6:$T$823,13,0),"")</f>
        <v>KUBOTA</v>
      </c>
      <c r="O184" s="108" t="str">
        <f>IFERROR(VLOOKUP(B184,'02. MM-KLH'!$B$6:$T$823,14,0),"")</f>
        <v>NHẬT BẢN</v>
      </c>
      <c r="P184" s="80">
        <f>IFERROR(VLOOKUP(B184,'02. MM-KLH'!$B$6:$T$823,15,0),"")</f>
        <v>2013</v>
      </c>
      <c r="Q184" s="80" t="str">
        <f>IFERROR(VLOOKUP(B184,'02. MM-KLH'!$B$6:$T$823,16,0),"")</f>
        <v>M6040</v>
      </c>
      <c r="R184" s="106" t="str">
        <f>IFERROR(VLOOKUP(B184,'02. MM-KLH'!$B$6:$T$823,17,0),"")</f>
        <v>60HP</v>
      </c>
      <c r="S184" s="108">
        <f>IFERROR(VLOOKUP(B184,'02. MM-KLH'!$B$6:$T$823,18,0),"")</f>
        <v>57273</v>
      </c>
      <c r="T184" s="110" t="str">
        <f>IFERROR(VLOOKUP(B184,'02. MM-KLH'!$B$6:$T$823,19,0),"")</f>
        <v>CCN</v>
      </c>
      <c r="U184" s="130" t="s">
        <v>79</v>
      </c>
    </row>
    <row r="185" ht="13.5" customHeight="1">
      <c r="A185" s="95">
        <f t="shared" si="8"/>
        <v>7</v>
      </c>
      <c r="B185" s="113" t="s">
        <v>1278</v>
      </c>
      <c r="C185" s="113" t="str">
        <f>IFERROR(VLOOKUP(B185,'02. MM-KLH'!$B$6:$T$823,2,0),"")</f>
        <v>LP4-MKE-001</v>
      </c>
      <c r="D185" s="95" t="str">
        <f>IFERROR(VLOOKUP(B185,'02. MM-KLH'!$B$6:$T$823,3,0),"")</f>
        <v>A24-MKE-017</v>
      </c>
      <c r="E185" s="86" t="str">
        <f>IFERROR(VLOOKUP(B185,'02. MM-KLH'!$B$6:$T$823,4,0),"")</f>
        <v/>
      </c>
      <c r="F185" s="115"/>
      <c r="G185" s="86" t="str">
        <f>IFERROR(VLOOKUP(B185,'02. MM-KLH'!$B$6:$T$823,6,0),"")</f>
        <v>Máy cày L4508</v>
      </c>
      <c r="H185" s="80" t="s">
        <v>2033</v>
      </c>
      <c r="I185" s="80" t="str">
        <f>IFERROR(VLOOKUP(B185,'02. MM-KLH'!$B$6:$T$823,8,0),"")</f>
        <v>XN Chuối LP1</v>
      </c>
      <c r="J185" s="99" t="str">
        <f>IFERROR(VLOOKUP(B185,'02. MM-KLH'!$B$6:$T$823,9,0),"")</f>
        <v/>
      </c>
      <c r="K185" s="80" t="str">
        <f>IFERROR(VLOOKUP(B185,'02. MM-KLH'!$B$6:$T$823,10,0),"")</f>
        <v>Bình thường</v>
      </c>
      <c r="L185" s="102" t="str">
        <f>IFERROR(VLOOKUP(B185,'02. MM-KLH'!$B$6:$T$823,11,0),"")</f>
        <v/>
      </c>
      <c r="M185" s="143" t="str">
        <f>IFERROR(VLOOKUP(B185,'02. MM-KLH'!$B$6:$T$823,12,0),"")</f>
        <v>-Đ.chuyển từ LP4 sang LP1 ngày 26.09.2024</v>
      </c>
      <c r="N185" s="108" t="str">
        <f>IFERROR(VLOOKUP(B185,'02. MM-KLH'!$B$6:$T$823,13,0),"")</f>
        <v>KUBOTA</v>
      </c>
      <c r="O185" s="108" t="str">
        <f>IFERROR(VLOOKUP(B185,'02. MM-KLH'!$B$6:$T$823,14,0),"")</f>
        <v>NHẬT BẢN</v>
      </c>
      <c r="P185" s="80">
        <f>IFERROR(VLOOKUP(B185,'02. MM-KLH'!$B$6:$T$823,15,0),"")</f>
        <v>2019</v>
      </c>
      <c r="Q185" s="80" t="str">
        <f>IFERROR(VLOOKUP(B185,'02. MM-KLH'!$B$6:$T$823,16,0),"")</f>
        <v>L4508</v>
      </c>
      <c r="R185" s="106" t="str">
        <f>IFERROR(VLOOKUP(B185,'02. MM-KLH'!$B$6:$T$823,17,0),"")</f>
        <v>45HP</v>
      </c>
      <c r="S185" s="108" t="str">
        <f>IFERROR(VLOOKUP(B185,'02. MM-KLH'!$B$6:$T$823,18,0),"")</f>
        <v>V2208-BC1659</v>
      </c>
      <c r="T185" s="110" t="str">
        <f>IFERROR(VLOOKUP(B185,'02. MM-KLH'!$B$6:$T$823,19,0),"")</f>
        <v>CCN</v>
      </c>
      <c r="U185" s="130" t="s">
        <v>79</v>
      </c>
    </row>
    <row r="186" ht="13.5" customHeight="1">
      <c r="A186" s="95">
        <f t="shared" si="8"/>
        <v>8</v>
      </c>
      <c r="B186" s="113" t="s">
        <v>1118</v>
      </c>
      <c r="C186" s="113" t="str">
        <f>IFERROR(VLOOKUP(B186,'02. MM-KLH'!$B$6:$T$823,2,0),"")</f>
        <v>MK 93-VC KLH</v>
      </c>
      <c r="D186" s="95" t="str">
        <f>IFERROR(VLOOKUP(B186,'02. MM-KLH'!$B$6:$T$823,3,0),"")</f>
        <v>A23-MKE-023</v>
      </c>
      <c r="E186" s="86" t="str">
        <f>IFERROR(VLOOKUP(B186,'02. MM-KLH'!$B$6:$T$823,4,0),"")</f>
        <v/>
      </c>
      <c r="F186" s="115"/>
      <c r="G186" s="86" t="str">
        <f>IFERROR(VLOOKUP(B186,'02. MM-KLH'!$B$6:$T$823,6,0),"")</f>
        <v>Máy cày L4508</v>
      </c>
      <c r="H186" s="80" t="s">
        <v>2033</v>
      </c>
      <c r="I186" s="80" t="str">
        <f>IFERROR(VLOOKUP(B186,'02. MM-KLH'!$B$6:$T$823,8,0),"")</f>
        <v>XN Chuối DP3</v>
      </c>
      <c r="J186" s="99" t="str">
        <f>IFERROR(VLOOKUP(B186,'02. MM-KLH'!$B$6:$T$823,9,0),"")</f>
        <v/>
      </c>
      <c r="K186" s="80" t="str">
        <f>IFERROR(VLOOKUP(B186,'02. MM-KLH'!$B$6:$T$823,10,0),"")</f>
        <v>Bình thường</v>
      </c>
      <c r="L186" s="102" t="str">
        <f>IFERROR(VLOOKUP(B186,'02. MM-KLH'!$B$6:$T$823,11,0),"")</f>
        <v/>
      </c>
      <c r="M186" s="143" t="str">
        <f>IFERROR(VLOOKUP(B186,'02. MM-KLH'!$B$6:$T$823,12,0),"")</f>
        <v/>
      </c>
      <c r="N186" s="108" t="str">
        <f>IFERROR(VLOOKUP(B186,'02. MM-KLH'!$B$6:$T$823,13,0),"")</f>
        <v>KUBOTA</v>
      </c>
      <c r="O186" s="108" t="str">
        <f>IFERROR(VLOOKUP(B186,'02. MM-KLH'!$B$6:$T$823,14,0),"")</f>
        <v>NHẬT BẢN</v>
      </c>
      <c r="P186" s="80">
        <f>IFERROR(VLOOKUP(B186,'02. MM-KLH'!$B$6:$T$823,15,0),"")</f>
        <v>2019</v>
      </c>
      <c r="Q186" s="80" t="str">
        <f>IFERROR(VLOOKUP(B186,'02. MM-KLH'!$B$6:$T$823,16,0),"")</f>
        <v>L4508</v>
      </c>
      <c r="R186" s="106" t="str">
        <f>IFERROR(VLOOKUP(B186,'02. MM-KLH'!$B$6:$T$823,17,0),"")</f>
        <v>45HP</v>
      </c>
      <c r="S186" s="108">
        <f>IFERROR(VLOOKUP(B186,'02. MM-KLH'!$B$6:$T$823,18,0),"")</f>
        <v>14720</v>
      </c>
      <c r="T186" s="110" t="str">
        <f>IFERROR(VLOOKUP(B186,'02. MM-KLH'!$B$6:$T$823,19,0),"")</f>
        <v>CCN</v>
      </c>
      <c r="U186" s="130" t="s">
        <v>79</v>
      </c>
    </row>
    <row r="187" ht="13.5" customHeight="1">
      <c r="A187" s="95">
        <f t="shared" si="8"/>
        <v>9</v>
      </c>
      <c r="B187" s="113" t="s">
        <v>1138</v>
      </c>
      <c r="C187" s="113" t="str">
        <f>IFERROR(VLOOKUP(B187,'02. MM-KLH'!$B$6:$T$823,2,0),"")</f>
        <v>MK 95-VC KLH</v>
      </c>
      <c r="D187" s="95" t="str">
        <f>IFERROR(VLOOKUP(B187,'02. MM-KLH'!$B$6:$T$823,3,0),"")</f>
        <v>A23-MKE-029</v>
      </c>
      <c r="E187" s="86" t="str">
        <f>IFERROR(VLOOKUP(B187,'02. MM-KLH'!$B$6:$T$823,4,0),"")</f>
        <v/>
      </c>
      <c r="F187" s="115"/>
      <c r="G187" s="86" t="str">
        <f>IFERROR(VLOOKUP(B187,'02. MM-KLH'!$B$6:$T$823,6,0),"")</f>
        <v>Máy cày L4508</v>
      </c>
      <c r="H187" s="80" t="s">
        <v>2033</v>
      </c>
      <c r="I187" s="80" t="str">
        <f>IFERROR(VLOOKUP(B187,'02. MM-KLH'!$B$6:$T$823,8,0),"")</f>
        <v>XN Chuối DP3</v>
      </c>
      <c r="J187" s="99" t="str">
        <f>IFERROR(VLOOKUP(B187,'02. MM-KLH'!$B$6:$T$823,9,0),"")</f>
        <v/>
      </c>
      <c r="K187" s="80" t="str">
        <f>IFERROR(VLOOKUP(B187,'02. MM-KLH'!$B$6:$T$823,10,0),"")</f>
        <v>Bình thường</v>
      </c>
      <c r="L187" s="102" t="str">
        <f>IFERROR(VLOOKUP(B187,'02. MM-KLH'!$B$6:$T$823,11,0),"")</f>
        <v/>
      </c>
      <c r="M187" s="143" t="str">
        <f>IFERROR(VLOOKUP(B187,'02. MM-KLH'!$B$6:$T$823,12,0),"")</f>
        <v>Cho LP3 mượn 10/06/2024</v>
      </c>
      <c r="N187" s="108" t="str">
        <f>IFERROR(VLOOKUP(B187,'02. MM-KLH'!$B$6:$T$823,13,0),"")</f>
        <v>KUBOTA</v>
      </c>
      <c r="O187" s="108" t="str">
        <f>IFERROR(VLOOKUP(B187,'02. MM-KLH'!$B$6:$T$823,14,0),"")</f>
        <v>NHẬT BẢN</v>
      </c>
      <c r="P187" s="80">
        <f>IFERROR(VLOOKUP(B187,'02. MM-KLH'!$B$6:$T$823,15,0),"")</f>
        <v>2019</v>
      </c>
      <c r="Q187" s="80" t="str">
        <f>IFERROR(VLOOKUP(B187,'02. MM-KLH'!$B$6:$T$823,16,0),"")</f>
        <v>L4508</v>
      </c>
      <c r="R187" s="106" t="str">
        <f>IFERROR(VLOOKUP(B187,'02. MM-KLH'!$B$6:$T$823,17,0),"")</f>
        <v>45HP</v>
      </c>
      <c r="S187" s="108">
        <f>IFERROR(VLOOKUP(B187,'02. MM-KLH'!$B$6:$T$823,18,0),"")</f>
        <v>14716</v>
      </c>
      <c r="T187" s="110" t="str">
        <f>IFERROR(VLOOKUP(B187,'02. MM-KLH'!$B$6:$T$823,19,0),"")</f>
        <v>CCN</v>
      </c>
      <c r="U187" s="130" t="s">
        <v>79</v>
      </c>
    </row>
    <row r="188" ht="13.5" customHeight="1">
      <c r="A188" s="95">
        <f t="shared" si="8"/>
        <v>10</v>
      </c>
      <c r="B188" s="113" t="s">
        <v>1398</v>
      </c>
      <c r="C188" s="113" t="str">
        <f>IFERROR(VLOOKUP(B188,'02. MM-KLH'!$B$6:$T$823,2,0),"")</f>
        <v>LP3-MKE-004(MK50-VCKLH)</v>
      </c>
      <c r="D188" s="95" t="str">
        <f>IFERROR(VLOOKUP(B188,'02. MM-KLH'!$B$6:$T$823,3,0),"")</f>
        <v>A24-MKE-014</v>
      </c>
      <c r="E188" s="86" t="str">
        <f>IFERROR(VLOOKUP(B188,'02. MM-KLH'!$B$6:$T$823,4,0),"")</f>
        <v/>
      </c>
      <c r="F188" s="115"/>
      <c r="G188" s="86" t="str">
        <f>IFERROR(VLOOKUP(B188,'02. MM-KLH'!$B$6:$T$823,6,0),"")</f>
        <v>Máy cày L4508</v>
      </c>
      <c r="H188" s="80" t="s">
        <v>2033</v>
      </c>
      <c r="I188" s="80" t="str">
        <f>IFERROR(VLOOKUP(B188,'02. MM-KLH'!$B$6:$T$823,8,0),"")</f>
        <v>XN Chuối LP3</v>
      </c>
      <c r="J188" s="99" t="str">
        <f>IFERROR(VLOOKUP(B188,'02. MM-KLH'!$B$6:$T$823,9,0),"")</f>
        <v/>
      </c>
      <c r="K188" s="80" t="str">
        <f>IFERROR(VLOOKUP(B188,'02. MM-KLH'!$B$6:$T$823,10,0),"")</f>
        <v>Bình thường</v>
      </c>
      <c r="L188" s="102" t="str">
        <f>IFERROR(VLOOKUP(B188,'02. MM-KLH'!$B$6:$T$823,11,0),"")</f>
        <v/>
      </c>
      <c r="M188" s="143" t="str">
        <f>IFERROR(VLOOKUP(B188,'02. MM-KLH'!$B$6:$T$823,12,0),"")</f>
        <v/>
      </c>
      <c r="N188" s="108" t="str">
        <f>IFERROR(VLOOKUP(B188,'02. MM-KLH'!$B$6:$T$823,13,0),"")</f>
        <v>KUBOTA</v>
      </c>
      <c r="O188" s="108" t="str">
        <f>IFERROR(VLOOKUP(B188,'02. MM-KLH'!$B$6:$T$823,14,0),"")</f>
        <v>NHẬT BẢN</v>
      </c>
      <c r="P188" s="80">
        <f>IFERROR(VLOOKUP(B188,'02. MM-KLH'!$B$6:$T$823,15,0),"")</f>
        <v>2019</v>
      </c>
      <c r="Q188" s="80" t="str">
        <f>IFERROR(VLOOKUP(B188,'02. MM-KLH'!$B$6:$T$823,16,0),"")</f>
        <v>L4508</v>
      </c>
      <c r="R188" s="106" t="str">
        <f>IFERROR(VLOOKUP(B188,'02. MM-KLH'!$B$6:$T$823,17,0),"")</f>
        <v>45HP</v>
      </c>
      <c r="S188" s="108">
        <f>IFERROR(VLOOKUP(B188,'02. MM-KLH'!$B$6:$T$823,18,0),"")</f>
        <v>1665</v>
      </c>
      <c r="T188" s="110" t="str">
        <f>IFERROR(VLOOKUP(B188,'02. MM-KLH'!$B$6:$T$823,19,0),"")</f>
        <v>CCN</v>
      </c>
      <c r="U188" s="130" t="s">
        <v>79</v>
      </c>
    </row>
    <row r="189" ht="13.5" customHeight="1">
      <c r="A189" s="95">
        <f t="shared" si="8"/>
        <v>11</v>
      </c>
      <c r="B189" s="115" t="s">
        <v>2498</v>
      </c>
      <c r="C189" s="113" t="str">
        <f>IFERROR(VLOOKUP(B189,'02. MM-KLH'!$B$6:$T$823,2,0),"")</f>
        <v>MK49 VCKLH(XA2-MKE-008)</v>
      </c>
      <c r="D189" s="95" t="str">
        <f>IFERROR(VLOOKUP(B189,'02. MM-KLH'!$B$6:$T$823,3,0),"")</f>
        <v/>
      </c>
      <c r="E189" s="86" t="str">
        <f>IFERROR(VLOOKUP(B189,'02. MM-KLH'!$B$6:$T$823,4,0),"")</f>
        <v/>
      </c>
      <c r="F189" s="115" t="s">
        <v>1422</v>
      </c>
      <c r="G189" s="86" t="str">
        <f>IFERROR(VLOOKUP(B189,'02. MM-KLH'!$B$6:$T$823,6,0),"")</f>
        <v>Máy cày L4508</v>
      </c>
      <c r="H189" s="80" t="s">
        <v>2033</v>
      </c>
      <c r="I189" s="80" t="str">
        <f>IFERROR(VLOOKUP(B189,'02. MM-KLH'!$B$6:$T$823,8,0),"")</f>
        <v>Ban điện nước</v>
      </c>
      <c r="J189" s="99" t="str">
        <f>IFERROR(VLOOKUP(B189,'02. MM-KLH'!$B$6:$T$823,9,0),"")</f>
        <v/>
      </c>
      <c r="K189" s="80" t="str">
        <f>IFERROR(VLOOKUP(B189,'02. MM-KLH'!$B$6:$T$823,10,0),"")</f>
        <v>Bình thường</v>
      </c>
      <c r="L189" s="102" t="str">
        <f>IFERROR(VLOOKUP(B189,'02. MM-KLH'!$B$6:$T$823,11,0),"")</f>
        <v/>
      </c>
      <c r="M189" s="143" t="str">
        <f>IFERROR(VLOOKUP(B189,'02. MM-KLH'!$B$6:$T$823,12,0),"")</f>
        <v>-Đ.chuyển từ AD2 ngày 05/02/2025</v>
      </c>
      <c r="N189" s="108" t="str">
        <f>IFERROR(VLOOKUP(B189,'02. MM-KLH'!$B$6:$T$823,13,0),"")</f>
        <v>KUBOTA</v>
      </c>
      <c r="O189" s="108" t="str">
        <f>IFERROR(VLOOKUP(B189,'02. MM-KLH'!$B$6:$T$823,14,0),"")</f>
        <v>NHẬT BẢN</v>
      </c>
      <c r="P189" s="80">
        <f>IFERROR(VLOOKUP(B189,'02. MM-KLH'!$B$6:$T$823,15,0),"")</f>
        <v>2019</v>
      </c>
      <c r="Q189" s="80" t="str">
        <f>IFERROR(VLOOKUP(B189,'02. MM-KLH'!$B$6:$T$823,16,0),"")</f>
        <v>L4508</v>
      </c>
      <c r="R189" s="106" t="str">
        <f>IFERROR(VLOOKUP(B189,'02. MM-KLH'!$B$6:$T$823,17,0),"")</f>
        <v>45HP</v>
      </c>
      <c r="S189" s="108" t="str">
        <f>IFERROR(VLOOKUP(B189,'02. MM-KLH'!$B$6:$T$823,18,0),"")</f>
        <v>0950</v>
      </c>
      <c r="T189" s="110" t="str">
        <f>IFERROR(VLOOKUP(B189,'02. MM-KLH'!$B$6:$T$823,19,0),"")</f>
        <v>CCN</v>
      </c>
      <c r="U189" s="130" t="s">
        <v>79</v>
      </c>
    </row>
    <row r="190" ht="13.5" customHeight="1">
      <c r="A190" s="95">
        <f t="shared" si="8"/>
        <v>12</v>
      </c>
      <c r="B190" s="115" t="s">
        <v>873</v>
      </c>
      <c r="C190" s="113" t="str">
        <f>IFERROR(VLOOKUP(B190,'02. MM-KLH'!$B$6:$T$823,2,0),"")</f>
        <v>MK47 VCKLH(XA2-MKE-009)</v>
      </c>
      <c r="D190" s="95" t="str">
        <f>IFERROR(VLOOKUP(B190,'02. MM-KLH'!$B$6:$T$823,3,0),"")</f>
        <v/>
      </c>
      <c r="E190" s="86" t="str">
        <f>IFERROR(VLOOKUP(B190,'02. MM-KLH'!$B$6:$T$823,4,0),"")</f>
        <v/>
      </c>
      <c r="F190" s="115" t="s">
        <v>1422</v>
      </c>
      <c r="G190" s="86" t="str">
        <f>IFERROR(VLOOKUP(B190,'02. MM-KLH'!$B$6:$T$823,6,0),"")</f>
        <v>Máy cày L4508</v>
      </c>
      <c r="H190" s="80" t="s">
        <v>2033</v>
      </c>
      <c r="I190" s="80" t="str">
        <f>IFERROR(VLOOKUP(B190,'02. MM-KLH'!$B$6:$T$823,8,0),"")</f>
        <v>XN Chuối DP1</v>
      </c>
      <c r="J190" s="99" t="str">
        <f>IFERROR(VLOOKUP(B190,'02. MM-KLH'!$B$6:$T$823,9,0),"")</f>
        <v/>
      </c>
      <c r="K190" s="80" t="str">
        <f>IFERROR(VLOOKUP(B190,'02. MM-KLH'!$B$6:$T$823,10,0),"")</f>
        <v>Bình thường</v>
      </c>
      <c r="L190" s="102" t="str">
        <f>IFERROR(VLOOKUP(B190,'02. MM-KLH'!$B$6:$T$823,11,0),"")</f>
        <v/>
      </c>
      <c r="M190" s="143" t="str">
        <f>IFERROR(VLOOKUP(B190,'02. MM-KLH'!$B$6:$T$823,12,0),"")</f>
        <v>AD2 bàn giao ngày 23/02/2025</v>
      </c>
      <c r="N190" s="108" t="str">
        <f>IFERROR(VLOOKUP(B190,'02. MM-KLH'!$B$6:$T$823,13,0),"")</f>
        <v>KUBOTA</v>
      </c>
      <c r="O190" s="108" t="str">
        <f>IFERROR(VLOOKUP(B190,'02. MM-KLH'!$B$6:$T$823,14,0),"")</f>
        <v>NHẬT BẢN</v>
      </c>
      <c r="P190" s="80">
        <f>IFERROR(VLOOKUP(B190,'02. MM-KLH'!$B$6:$T$823,15,0),"")</f>
        <v>2019</v>
      </c>
      <c r="Q190" s="80" t="str">
        <f>IFERROR(VLOOKUP(B190,'02. MM-KLH'!$B$6:$T$823,16,0),"")</f>
        <v>L4508</v>
      </c>
      <c r="R190" s="106" t="str">
        <f>IFERROR(VLOOKUP(B190,'02. MM-KLH'!$B$6:$T$823,17,0),"")</f>
        <v>45HP</v>
      </c>
      <c r="S190" s="108">
        <f>IFERROR(VLOOKUP(B190,'02. MM-KLH'!$B$6:$T$823,18,0),"")</f>
        <v>14793</v>
      </c>
      <c r="T190" s="110" t="str">
        <f>IFERROR(VLOOKUP(B190,'02. MM-KLH'!$B$6:$T$823,19,0),"")</f>
        <v>CCN</v>
      </c>
      <c r="U190" s="130" t="s">
        <v>79</v>
      </c>
    </row>
    <row r="191" ht="13.5" customHeight="1">
      <c r="A191" s="95">
        <f t="shared" si="8"/>
        <v>13</v>
      </c>
      <c r="B191" s="115" t="s">
        <v>2646</v>
      </c>
      <c r="C191" s="113" t="str">
        <f>IFERROR(VLOOKUP(B191,'02. MM-KLH'!$B$6:$T$823,2,0),"")</f>
        <v>MK46-VCKLH</v>
      </c>
      <c r="D191" s="95" t="str">
        <f>IFERROR(VLOOKUP(B191,'02. MM-KLH'!$B$6:$T$823,3,0),"")</f>
        <v/>
      </c>
      <c r="E191" s="86" t="str">
        <f>IFERROR(VLOOKUP(B191,'02. MM-KLH'!$B$6:$T$823,4,0),"")</f>
        <v/>
      </c>
      <c r="F191" s="115" t="s">
        <v>1422</v>
      </c>
      <c r="G191" s="86" t="str">
        <f>IFERROR(VLOOKUP(B191,'02. MM-KLH'!$B$6:$T$823,6,0),"")</f>
        <v>Máy cày L4508</v>
      </c>
      <c r="H191" s="80" t="s">
        <v>2033</v>
      </c>
      <c r="I191" s="80" t="str">
        <f>IFERROR(VLOOKUP(B191,'02. MM-KLH'!$B$6:$T$823,8,0),"")</f>
        <v>HÀNH CHÍNH KLH</v>
      </c>
      <c r="J191" s="99">
        <f>IFERROR(VLOOKUP(B191,'02. MM-KLH'!$B$6:$T$823,9,0),"")</f>
        <v>42011</v>
      </c>
      <c r="K191" s="80" t="str">
        <f>IFERROR(VLOOKUP(B191,'02. MM-KLH'!$B$6:$T$823,10,0),"")</f>
        <v>Bình thường</v>
      </c>
      <c r="L191" s="102">
        <f>IFERROR(VLOOKUP(B191,'02. MM-KLH'!$B$6:$T$823,11,0),"")</f>
        <v>0</v>
      </c>
      <c r="M191" s="143" t="str">
        <f>IFERROR(VLOOKUP(B191,'02. MM-KLH'!$B$6:$T$823,12,0),"")</f>
        <v>Điều chuyển từ xí nghiệp bò</v>
      </c>
      <c r="N191" s="108" t="str">
        <f>IFERROR(VLOOKUP(B191,'02. MM-KLH'!$B$6:$T$823,13,0),"")</f>
        <v>KUBOTA</v>
      </c>
      <c r="O191" s="108" t="str">
        <f>IFERROR(VLOOKUP(B191,'02. MM-KLH'!$B$6:$T$823,14,0),"")</f>
        <v>NHẬT BẢN</v>
      </c>
      <c r="P191" s="80">
        <f>IFERROR(VLOOKUP(B191,'02. MM-KLH'!$B$6:$T$823,15,0),"")</f>
        <v>2015</v>
      </c>
      <c r="Q191" s="80" t="str">
        <f>IFERROR(VLOOKUP(B191,'02. MM-KLH'!$B$6:$T$823,16,0),"")</f>
        <v>L4508</v>
      </c>
      <c r="R191" s="106" t="str">
        <f>IFERROR(VLOOKUP(B191,'02. MM-KLH'!$B$6:$T$823,17,0),"")</f>
        <v>45HP</v>
      </c>
      <c r="S191" s="108">
        <f>IFERROR(VLOOKUP(B191,'02. MM-KLH'!$B$6:$T$823,18,0),"")</f>
        <v>1659</v>
      </c>
      <c r="T191" s="110" t="str">
        <f>IFERROR(VLOOKUP(B191,'02. MM-KLH'!$B$6:$T$823,19,0),"")</f>
        <v>CCN</v>
      </c>
      <c r="U191" s="130" t="s">
        <v>79</v>
      </c>
    </row>
    <row r="192" ht="13.5" customHeight="1">
      <c r="A192" s="95">
        <f t="shared" si="8"/>
        <v>14</v>
      </c>
      <c r="B192" s="115" t="s">
        <v>2658</v>
      </c>
      <c r="C192" s="113" t="str">
        <f>IFERROR(VLOOKUP(B192,'02. MM-KLH'!$B$6:$T$823,2,0),"")</f>
        <v/>
      </c>
      <c r="D192" s="95" t="str">
        <f>IFERROR(VLOOKUP(B192,'02. MM-KLH'!$B$6:$T$823,3,0),"")</f>
        <v/>
      </c>
      <c r="E192" s="86" t="str">
        <f>IFERROR(VLOOKUP(B192,'02. MM-KLH'!$B$6:$T$823,4,0),"")</f>
        <v/>
      </c>
      <c r="F192" s="115"/>
      <c r="G192" s="86" t="str">
        <f>IFERROR(VLOOKUP(B192,'02. MM-KLH'!$B$6:$T$823,6,0),"")</f>
        <v>Máy cày L4508</v>
      </c>
      <c r="H192" s="80" t="s">
        <v>2033</v>
      </c>
      <c r="I192" s="80" t="str">
        <f>IFERROR(VLOOKUP(B192,'02. MM-KLH'!$B$6:$T$823,8,0),"")</f>
        <v>HÀNH CHÍNH KLH</v>
      </c>
      <c r="J192" s="99" t="str">
        <f>IFERROR(VLOOKUP(B192,'02. MM-KLH'!$B$6:$T$823,9,0),"")</f>
        <v/>
      </c>
      <c r="K192" s="80" t="str">
        <f>IFERROR(VLOOKUP(B192,'02. MM-KLH'!$B$6:$T$823,10,0),"")</f>
        <v>Bình thường</v>
      </c>
      <c r="L192" s="102" t="str">
        <f>IFERROR(VLOOKUP(B192,'02. MM-KLH'!$B$6:$T$823,11,0),"")</f>
        <v/>
      </c>
      <c r="M192" s="143" t="str">
        <f>IFERROR(VLOOKUP(B192,'02. MM-KLH'!$B$6:$T$823,12,0),"")</f>
        <v/>
      </c>
      <c r="N192" s="108" t="str">
        <f>IFERROR(VLOOKUP(B192,'02. MM-KLH'!$B$6:$T$823,13,0),"")</f>
        <v>KUBOTA</v>
      </c>
      <c r="O192" s="108" t="str">
        <f>IFERROR(VLOOKUP(B192,'02. MM-KLH'!$B$6:$T$823,14,0),"")</f>
        <v>NHẬT BẢN</v>
      </c>
      <c r="P192" s="80">
        <f>IFERROR(VLOOKUP(B192,'02. MM-KLH'!$B$6:$T$823,15,0),"")</f>
        <v>2015</v>
      </c>
      <c r="Q192" s="80" t="str">
        <f>IFERROR(VLOOKUP(B192,'02. MM-KLH'!$B$6:$T$823,16,0),"")</f>
        <v>L4508</v>
      </c>
      <c r="R192" s="106" t="str">
        <f>IFERROR(VLOOKUP(B192,'02. MM-KLH'!$B$6:$T$823,17,0),"")</f>
        <v>45HP</v>
      </c>
      <c r="S192" s="108" t="str">
        <f>IFERROR(VLOOKUP(B192,'02. MM-KLH'!$B$6:$T$823,18,0),"")</f>
        <v>01720</v>
      </c>
      <c r="T192" s="110" t="str">
        <f>IFERROR(VLOOKUP(B192,'02. MM-KLH'!$B$6:$T$823,19,0),"")</f>
        <v>CCN</v>
      </c>
      <c r="U192" s="130" t="s">
        <v>79</v>
      </c>
    </row>
    <row r="193" ht="13.5" customHeight="1">
      <c r="A193" s="95">
        <f t="shared" si="8"/>
        <v>15</v>
      </c>
      <c r="B193" s="113" t="s">
        <v>1007</v>
      </c>
      <c r="C193" s="113" t="str">
        <f>IFERROR(VLOOKUP(B193,'02. MM-KLH'!$B$6:$T$823,2,0),"")</f>
        <v>MK 83-VC KLH</v>
      </c>
      <c r="D193" s="95" t="str">
        <f>IFERROR(VLOOKUP(B193,'02. MM-KLH'!$B$6:$T$823,3,0),"")</f>
        <v>A23-MKE-016</v>
      </c>
      <c r="E193" s="86" t="str">
        <f>IFERROR(VLOOKUP(B193,'02. MM-KLH'!$B$6:$T$823,4,0),"")</f>
        <v/>
      </c>
      <c r="F193" s="115" t="s">
        <v>2029</v>
      </c>
      <c r="G193" s="86" t="str">
        <f>IFERROR(VLOOKUP(B193,'02. MM-KLH'!$B$6:$T$823,6,0),"")</f>
        <v>Máy cày M6040</v>
      </c>
      <c r="H193" s="80" t="s">
        <v>2033</v>
      </c>
      <c r="I193" s="80" t="str">
        <f>IFERROR(VLOOKUP(B193,'02. MM-KLH'!$B$6:$T$823,8,0),"")</f>
        <v>XN Chuối DP2</v>
      </c>
      <c r="J193" s="99" t="str">
        <f>IFERROR(VLOOKUP(B193,'02. MM-KLH'!$B$6:$T$823,9,0),"")</f>
        <v/>
      </c>
      <c r="K193" s="80" t="str">
        <f>IFERROR(VLOOKUP(B193,'02. MM-KLH'!$B$6:$T$823,10,0),"")</f>
        <v>Bình thường</v>
      </c>
      <c r="L193" s="102" t="str">
        <f>IFERROR(VLOOKUP(B193,'02. MM-KLH'!$B$6:$T$823,11,0),"")</f>
        <v/>
      </c>
      <c r="M193" s="143" t="str">
        <f>IFERROR(VLOOKUP(B193,'02. MM-KLH'!$B$6:$T$823,12,0),"")</f>
        <v/>
      </c>
      <c r="N193" s="108" t="str">
        <f>IFERROR(VLOOKUP(B193,'02. MM-KLH'!$B$6:$T$823,13,0),"")</f>
        <v>KUBOTA</v>
      </c>
      <c r="O193" s="108" t="str">
        <f>IFERROR(VLOOKUP(B193,'02. MM-KLH'!$B$6:$T$823,14,0),"")</f>
        <v>NHẬT BẢN</v>
      </c>
      <c r="P193" s="80">
        <f>IFERROR(VLOOKUP(B193,'02. MM-KLH'!$B$6:$T$823,15,0),"")</f>
        <v>2013</v>
      </c>
      <c r="Q193" s="80" t="str">
        <f>IFERROR(VLOOKUP(B193,'02. MM-KLH'!$B$6:$T$823,16,0),"")</f>
        <v>M6040</v>
      </c>
      <c r="R193" s="106" t="str">
        <f>IFERROR(VLOOKUP(B193,'02. MM-KLH'!$B$6:$T$823,17,0),"")</f>
        <v>60HP</v>
      </c>
      <c r="S193" s="108">
        <f>IFERROR(VLOOKUP(B193,'02. MM-KLH'!$B$6:$T$823,18,0),"")</f>
        <v>57646</v>
      </c>
      <c r="T193" s="110" t="str">
        <f>IFERROR(VLOOKUP(B193,'02. MM-KLH'!$B$6:$T$823,19,0),"")</f>
        <v>CCN</v>
      </c>
      <c r="U193" s="130" t="s">
        <v>79</v>
      </c>
    </row>
    <row r="194" ht="13.5" customHeight="1">
      <c r="A194" s="95">
        <f t="shared" si="8"/>
        <v>16</v>
      </c>
      <c r="B194" s="113" t="s">
        <v>1012</v>
      </c>
      <c r="C194" s="113" t="str">
        <f>IFERROR(VLOOKUP(B194,'02. MM-KLH'!$B$6:$T$823,2,0),"")</f>
        <v>MK 86-VC KLH</v>
      </c>
      <c r="D194" s="95" t="str">
        <f>IFERROR(VLOOKUP(B194,'02. MM-KLH'!$B$6:$T$823,3,0),"")</f>
        <v>A23-MKE-017</v>
      </c>
      <c r="E194" s="86" t="str">
        <f>IFERROR(VLOOKUP(B194,'02. MM-KLH'!$B$6:$T$823,4,0),"")</f>
        <v/>
      </c>
      <c r="F194" s="115" t="s">
        <v>2029</v>
      </c>
      <c r="G194" s="86" t="str">
        <f>IFERROR(VLOOKUP(B194,'02. MM-KLH'!$B$6:$T$823,6,0),"")</f>
        <v>Máy cày M6040</v>
      </c>
      <c r="H194" s="80" t="s">
        <v>2033</v>
      </c>
      <c r="I194" s="80" t="str">
        <f>IFERROR(VLOOKUP(B194,'02. MM-KLH'!$B$6:$T$823,8,0),"")</f>
        <v>XN Chuối DP2</v>
      </c>
      <c r="J194" s="99" t="str">
        <f>IFERROR(VLOOKUP(B194,'02. MM-KLH'!$B$6:$T$823,9,0),"")</f>
        <v/>
      </c>
      <c r="K194" s="80" t="str">
        <f>IFERROR(VLOOKUP(B194,'02. MM-KLH'!$B$6:$T$823,10,0),"")</f>
        <v>Bình thường</v>
      </c>
      <c r="L194" s="102" t="str">
        <f>IFERROR(VLOOKUP(B194,'02. MM-KLH'!$B$6:$T$823,11,0),"")</f>
        <v/>
      </c>
      <c r="M194" s="143" t="str">
        <f>IFERROR(VLOOKUP(B194,'02. MM-KLH'!$B$6:$T$823,12,0),"")</f>
        <v/>
      </c>
      <c r="N194" s="108" t="str">
        <f>IFERROR(VLOOKUP(B194,'02. MM-KLH'!$B$6:$T$823,13,0),"")</f>
        <v>KUBOTA</v>
      </c>
      <c r="O194" s="108" t="str">
        <f>IFERROR(VLOOKUP(B194,'02. MM-KLH'!$B$6:$T$823,14,0),"")</f>
        <v>NHẬT BẢN</v>
      </c>
      <c r="P194" s="80">
        <f>IFERROR(VLOOKUP(B194,'02. MM-KLH'!$B$6:$T$823,15,0),"")</f>
        <v>2013</v>
      </c>
      <c r="Q194" s="80" t="str">
        <f>IFERROR(VLOOKUP(B194,'02. MM-KLH'!$B$6:$T$823,16,0),"")</f>
        <v>M6040</v>
      </c>
      <c r="R194" s="106" t="str">
        <f>IFERROR(VLOOKUP(B194,'02. MM-KLH'!$B$6:$T$823,17,0),"")</f>
        <v>60HP</v>
      </c>
      <c r="S194" s="108">
        <f>IFERROR(VLOOKUP(B194,'02. MM-KLH'!$B$6:$T$823,18,0),"")</f>
        <v>56797</v>
      </c>
      <c r="T194" s="110" t="str">
        <f>IFERROR(VLOOKUP(B194,'02. MM-KLH'!$B$6:$T$823,19,0),"")</f>
        <v>CCN</v>
      </c>
      <c r="U194" s="130" t="s">
        <v>79</v>
      </c>
    </row>
    <row r="195" ht="13.5" customHeight="1">
      <c r="A195" s="95">
        <f t="shared" si="8"/>
        <v>17</v>
      </c>
      <c r="B195" s="134" t="s">
        <v>1400</v>
      </c>
      <c r="C195" s="113" t="str">
        <f>IFERROR(VLOOKUP(B195,'02. MM-KLH'!$B$6:$T$823,2,0),"")</f>
        <v>XL1-MKE-001(MK39VCKLH)</v>
      </c>
      <c r="D195" s="95" t="str">
        <f>IFERROR(VLOOKUP(B195,'02. MM-KLH'!$B$6:$T$823,3,0),"")</f>
        <v>A24-MKE-015</v>
      </c>
      <c r="E195" s="86" t="str">
        <f>IFERROR(VLOOKUP(B195,'02. MM-KLH'!$B$6:$T$823,4,0),"")</f>
        <v/>
      </c>
      <c r="F195" s="134"/>
      <c r="G195" s="86" t="str">
        <f>IFERROR(VLOOKUP(B195,'02. MM-KLH'!$B$6:$T$823,6,0),"")</f>
        <v>Máy cày M6040</v>
      </c>
      <c r="H195" s="80" t="s">
        <v>2033</v>
      </c>
      <c r="I195" s="80" t="str">
        <f>IFERROR(VLOOKUP(B195,'02. MM-KLH'!$B$6:$T$823,8,0),"")</f>
        <v>XN Chuối LP3</v>
      </c>
      <c r="J195" s="99" t="str">
        <f>IFERROR(VLOOKUP(B195,'02. MM-KLH'!$B$6:$T$823,9,0),"")</f>
        <v>21/02/2024</v>
      </c>
      <c r="K195" s="80" t="str">
        <f>IFERROR(VLOOKUP(B195,'02. MM-KLH'!$B$6:$T$823,10,0),"")</f>
        <v>Bình thường</v>
      </c>
      <c r="L195" s="102" t="str">
        <f>IFERROR(VLOOKUP(B195,'02. MM-KLH'!$B$6:$T$823,11,0),"")</f>
        <v/>
      </c>
      <c r="M195" s="143" t="str">
        <f>IFERROR(VLOOKUP(B195,'02. MM-KLH'!$B$6:$T$823,12,0),"")</f>
        <v>LP1 Đ.chuyen qua LP3</v>
      </c>
      <c r="N195" s="108" t="str">
        <f>IFERROR(VLOOKUP(B195,'02. MM-KLH'!$B$6:$T$823,13,0),"")</f>
        <v>KUBOTA</v>
      </c>
      <c r="O195" s="108" t="str">
        <f>IFERROR(VLOOKUP(B195,'02. MM-KLH'!$B$6:$T$823,14,0),"")</f>
        <v>NHẬT BẢN</v>
      </c>
      <c r="P195" s="80">
        <f>IFERROR(VLOOKUP(B195,'02. MM-KLH'!$B$6:$T$823,15,0),"")</f>
        <v>2013</v>
      </c>
      <c r="Q195" s="80" t="str">
        <f>IFERROR(VLOOKUP(B195,'02. MM-KLH'!$B$6:$T$823,16,0),"")</f>
        <v>M6040</v>
      </c>
      <c r="R195" s="106" t="str">
        <f>IFERROR(VLOOKUP(B195,'02. MM-KLH'!$B$6:$T$823,17,0),"")</f>
        <v>60HP</v>
      </c>
      <c r="S195" s="108" t="str">
        <f>IFERROR(VLOOKUP(B195,'02. MM-KLH'!$B$6:$T$823,18,0),"")</f>
        <v>D57605</v>
      </c>
      <c r="T195" s="110" t="str">
        <f>IFERROR(VLOOKUP(B195,'02. MM-KLH'!$B$6:$T$823,19,0),"")</f>
        <v>CCN</v>
      </c>
      <c r="U195" s="130" t="s">
        <v>79</v>
      </c>
    </row>
    <row r="196" ht="13.5" customHeight="1">
      <c r="A196" s="95">
        <f t="shared" si="8"/>
        <v>18</v>
      </c>
      <c r="B196" s="113" t="s">
        <v>1595</v>
      </c>
      <c r="C196" s="113" t="str">
        <f>IFERROR(VLOOKUP(B196,'02. MM-KLH'!$B$6:$T$823,2,0),"")</f>
        <v>MK87/CAT-MKE-003</v>
      </c>
      <c r="D196" s="95" t="str">
        <f>IFERROR(VLOOKUP(B196,'02. MM-KLH'!$B$6:$T$823,3,0),"")</f>
        <v>A22-MKE-001</v>
      </c>
      <c r="E196" s="86" t="str">
        <f>IFERROR(VLOOKUP(B196,'02. MM-KLH'!$B$6:$T$823,4,0),"")</f>
        <v/>
      </c>
      <c r="F196" s="115"/>
      <c r="G196" s="86" t="str">
        <f>IFERROR(VLOOKUP(B196,'02. MM-KLH'!$B$6:$T$823,6,0),"")</f>
        <v>Máy cày M6040</v>
      </c>
      <c r="H196" s="80" t="s">
        <v>2033</v>
      </c>
      <c r="I196" s="80" t="str">
        <f>IFERROR(VLOOKUP(B196,'02. MM-KLH'!$B$6:$T$823,8,0),"")</f>
        <v>XOÀI AD</v>
      </c>
      <c r="J196" s="99" t="str">
        <f>IFERROR(VLOOKUP(B196,'02. MM-KLH'!$B$6:$T$823,9,0),"")</f>
        <v/>
      </c>
      <c r="K196" s="80" t="str">
        <f>IFERROR(VLOOKUP(B196,'02. MM-KLH'!$B$6:$T$823,10,0),"")</f>
        <v>Bình thường</v>
      </c>
      <c r="L196" s="102" t="str">
        <f>IFERROR(VLOOKUP(B196,'02. MM-KLH'!$B$6:$T$823,11,0),"")</f>
        <v/>
      </c>
      <c r="M196" s="143" t="str">
        <f>IFERROR(VLOOKUP(B196,'02. MM-KLH'!$B$6:$T$823,12,0),"")</f>
        <v/>
      </c>
      <c r="N196" s="108" t="str">
        <f>IFERROR(VLOOKUP(B196,'02. MM-KLH'!$B$6:$T$823,13,0),"")</f>
        <v>KUBOTA</v>
      </c>
      <c r="O196" s="108" t="str">
        <f>IFERROR(VLOOKUP(B196,'02. MM-KLH'!$B$6:$T$823,14,0),"")</f>
        <v>NHẬT BẢN</v>
      </c>
      <c r="P196" s="80">
        <f>IFERROR(VLOOKUP(B196,'02. MM-KLH'!$B$6:$T$823,15,0),"")</f>
        <v>2013</v>
      </c>
      <c r="Q196" s="80" t="str">
        <f>IFERROR(VLOOKUP(B196,'02. MM-KLH'!$B$6:$T$823,16,0),"")</f>
        <v>M6040</v>
      </c>
      <c r="R196" s="106" t="str">
        <f>IFERROR(VLOOKUP(B196,'02. MM-KLH'!$B$6:$T$823,17,0),"")</f>
        <v>60HP</v>
      </c>
      <c r="S196" s="108">
        <f>IFERROR(VLOOKUP(B196,'02. MM-KLH'!$B$6:$T$823,18,0),"")</f>
        <v>57123</v>
      </c>
      <c r="T196" s="110" t="str">
        <f>IFERROR(VLOOKUP(B196,'02. MM-KLH'!$B$6:$T$823,19,0),"")</f>
        <v>CCN</v>
      </c>
      <c r="U196" s="130" t="s">
        <v>79</v>
      </c>
    </row>
    <row r="197" ht="13.5" customHeight="1">
      <c r="A197" s="95">
        <f t="shared" si="8"/>
        <v>19</v>
      </c>
      <c r="B197" s="113" t="s">
        <v>1654</v>
      </c>
      <c r="C197" s="113" t="str">
        <f>IFERROR(VLOOKUP(B197,'02. MM-KLH'!$B$6:$T$823,2,0),"")</f>
        <v>RAT-OYD</v>
      </c>
      <c r="D197" s="95" t="str">
        <f>IFERROR(VLOOKUP(B197,'02. MM-KLH'!$B$6:$T$823,3,0),"")</f>
        <v>ATT-A22-0023</v>
      </c>
      <c r="E197" s="86" t="str">
        <f>IFERROR(VLOOKUP(B197,'02. MM-KLH'!$B$6:$T$823,4,0),"")</f>
        <v/>
      </c>
      <c r="F197" s="115"/>
      <c r="G197" s="86" t="str">
        <f>IFERROR(VLOOKUP(B197,'02. MM-KLH'!$B$6:$T$823,6,0),"")</f>
        <v>Máy cày M6040</v>
      </c>
      <c r="H197" s="80" t="s">
        <v>2033</v>
      </c>
      <c r="I197" s="80" t="str">
        <f>IFERROR(VLOOKUP(B197,'02. MM-KLH'!$B$6:$T$823,8,0),"")</f>
        <v>XN Bò AD</v>
      </c>
      <c r="J197" s="99" t="str">
        <f>IFERROR(VLOOKUP(B197,'02. MM-KLH'!$B$6:$T$823,9,0),"")</f>
        <v/>
      </c>
      <c r="K197" s="80" t="str">
        <f>IFERROR(VLOOKUP(B197,'02. MM-KLH'!$B$6:$T$823,10,0),"")</f>
        <v>Bình thường</v>
      </c>
      <c r="L197" s="102" t="str">
        <f>IFERROR(VLOOKUP(B197,'02. MM-KLH'!$B$6:$T$823,11,0),"")</f>
        <v/>
      </c>
      <c r="M197" s="143" t="str">
        <f>IFERROR(VLOOKUP(B197,'02. MM-KLH'!$B$6:$T$823,12,0),"")</f>
        <v/>
      </c>
      <c r="N197" s="108" t="str">
        <f>IFERROR(VLOOKUP(B197,'02. MM-KLH'!$B$6:$T$823,13,0),"")</f>
        <v>KUBOTA</v>
      </c>
      <c r="O197" s="108" t="str">
        <f>IFERROR(VLOOKUP(B197,'02. MM-KLH'!$B$6:$T$823,14,0),"")</f>
        <v>NHẬT BẢN</v>
      </c>
      <c r="P197" s="80">
        <f>IFERROR(VLOOKUP(B197,'02. MM-KLH'!$B$6:$T$823,15,0),"")</f>
        <v>2013</v>
      </c>
      <c r="Q197" s="80" t="str">
        <f>IFERROR(VLOOKUP(B197,'02. MM-KLH'!$B$6:$T$823,16,0),"")</f>
        <v>M6040</v>
      </c>
      <c r="R197" s="106" t="str">
        <f>IFERROR(VLOOKUP(B197,'02. MM-KLH'!$B$6:$T$823,17,0),"")</f>
        <v>60HP</v>
      </c>
      <c r="S197" s="108">
        <f>IFERROR(VLOOKUP(B197,'02. MM-KLH'!$B$6:$T$823,18,0),"")</f>
        <v>57274</v>
      </c>
      <c r="T197" s="110">
        <f>IFERROR(VLOOKUP(B197,'02. MM-KLH'!$B$6:$T$823,19,0),"")</f>
        <v>9237</v>
      </c>
      <c r="U197" s="130" t="s">
        <v>79</v>
      </c>
    </row>
    <row r="198" ht="13.5" customHeight="1">
      <c r="A198" s="95">
        <f t="shared" si="8"/>
        <v>20</v>
      </c>
      <c r="B198" s="115" t="s">
        <v>1420</v>
      </c>
      <c r="C198" s="113" t="str">
        <f>IFERROR(VLOOKUP(B198,'02. MM-KLH'!$B$6:$T$823,2,0),"")</f>
        <v>XB1-MKE-006</v>
      </c>
      <c r="D198" s="95" t="str">
        <f>IFERROR(VLOOKUP(B198,'02. MM-KLH'!$B$6:$T$823,3,0),"")</f>
        <v>ATT-A22-0023</v>
      </c>
      <c r="E198" s="86" t="str">
        <f>IFERROR(VLOOKUP(B198,'02. MM-KLH'!$B$6:$T$823,4,0),"")</f>
        <v/>
      </c>
      <c r="F198" s="115"/>
      <c r="G198" s="86" t="str">
        <f>IFERROR(VLOOKUP(B198,'02. MM-KLH'!$B$6:$T$823,6,0),"")</f>
        <v>Máy cày M6040</v>
      </c>
      <c r="H198" s="80" t="s">
        <v>2033</v>
      </c>
      <c r="I198" s="80" t="str">
        <f>IFERROR(VLOOKUP(B198,'02. MM-KLH'!$B$6:$T$823,8,0),"")</f>
        <v>XN Chuối LP3</v>
      </c>
      <c r="J198" s="99" t="str">
        <f>IFERROR(VLOOKUP(B198,'02. MM-KLH'!$B$6:$T$823,9,0),"")</f>
        <v/>
      </c>
      <c r="K198" s="80" t="str">
        <f>IFERROR(VLOOKUP(B198,'02. MM-KLH'!$B$6:$T$823,10,0),"")</f>
        <v>Bình thường</v>
      </c>
      <c r="L198" s="102" t="str">
        <f>IFERROR(VLOOKUP(B198,'02. MM-KLH'!$B$6:$T$823,11,0),"")</f>
        <v/>
      </c>
      <c r="M198" s="143" t="str">
        <f>IFERROR(VLOOKUP(B198,'02. MM-KLH'!$B$6:$T$823,12,0),"")</f>
        <v>đchuyen từ xnb ngày 18/06/2026</v>
      </c>
      <c r="N198" s="108" t="str">
        <f>IFERROR(VLOOKUP(B198,'02. MM-KLH'!$B$6:$T$823,13,0),"")</f>
        <v>KUBOTA</v>
      </c>
      <c r="O198" s="108" t="str">
        <f>IFERROR(VLOOKUP(B198,'02. MM-KLH'!$B$6:$T$823,14,0),"")</f>
        <v>NHẬT BẢN</v>
      </c>
      <c r="P198" s="80">
        <f>IFERROR(VLOOKUP(B198,'02. MM-KLH'!$B$6:$T$823,15,0),"")</f>
        <v>2013</v>
      </c>
      <c r="Q198" s="80" t="str">
        <f>IFERROR(VLOOKUP(B198,'02. MM-KLH'!$B$6:$T$823,16,0),"")</f>
        <v>M6040</v>
      </c>
      <c r="R198" s="106" t="str">
        <f>IFERROR(VLOOKUP(B198,'02. MM-KLH'!$B$6:$T$823,17,0),"")</f>
        <v>60HP</v>
      </c>
      <c r="S198" s="108">
        <f>IFERROR(VLOOKUP(B198,'02. MM-KLH'!$B$6:$T$823,18,0),"")</f>
        <v>57121</v>
      </c>
      <c r="T198" s="110">
        <f>IFERROR(VLOOKUP(B198,'02. MM-KLH'!$B$6:$T$823,19,0),"")</f>
        <v>7542</v>
      </c>
      <c r="U198" s="130" t="s">
        <v>79</v>
      </c>
    </row>
    <row r="199" ht="13.5" customHeight="1">
      <c r="A199" s="95">
        <f t="shared" si="8"/>
        <v>21</v>
      </c>
      <c r="B199" s="115" t="s">
        <v>1613</v>
      </c>
      <c r="C199" s="113" t="str">
        <f>IFERROR(VLOOKUP(B199,'02. MM-KLH'!$B$6:$T$823,2,0),"")</f>
        <v>XB1-MKE-031</v>
      </c>
      <c r="D199" s="95" t="str">
        <f>IFERROR(VLOOKUP(B199,'02. MM-KLH'!$B$6:$T$823,3,0),"")</f>
        <v/>
      </c>
      <c r="E199" s="86" t="str">
        <f>IFERROR(VLOOKUP(B199,'02. MM-KLH'!$B$6:$T$823,4,0),"")</f>
        <v/>
      </c>
      <c r="F199" s="115"/>
      <c r="G199" s="86" t="str">
        <f>IFERROR(VLOOKUP(B199,'02. MM-KLH'!$B$6:$T$823,6,0),"")</f>
        <v>Máy cày M6040</v>
      </c>
      <c r="H199" s="80" t="s">
        <v>2033</v>
      </c>
      <c r="I199" s="80" t="str">
        <f>IFERROR(VLOOKUP(B199,'02. MM-KLH'!$B$6:$T$823,8,0),"")</f>
        <v>XOÀI AD</v>
      </c>
      <c r="J199" s="99" t="str">
        <f>IFERROR(VLOOKUP(B199,'02. MM-KLH'!$B$6:$T$823,9,0),"")</f>
        <v>20/05/2026</v>
      </c>
      <c r="K199" s="80" t="str">
        <f>IFERROR(VLOOKUP(B199,'02. MM-KLH'!$B$6:$T$823,10,0),"")</f>
        <v>Bình thường</v>
      </c>
      <c r="L199" s="102" t="str">
        <f>IFERROR(VLOOKUP(B199,'02. MM-KLH'!$B$6:$T$823,11,0),"")</f>
        <v/>
      </c>
      <c r="M199" s="143" t="str">
        <f>IFERROR(VLOOKUP(B199,'02. MM-KLH'!$B$6:$T$823,12,0),"")</f>
        <v>Điều chuyển từ XNB qua ngày 20/05/2026</v>
      </c>
      <c r="N199" s="108" t="str">
        <f>IFERROR(VLOOKUP(B199,'02. MM-KLH'!$B$6:$T$823,13,0),"")</f>
        <v>KUBOTA</v>
      </c>
      <c r="O199" s="108" t="str">
        <f>IFERROR(VLOOKUP(B199,'02. MM-KLH'!$B$6:$T$823,14,0),"")</f>
        <v>NHẬT BẢN</v>
      </c>
      <c r="P199" s="80">
        <f>IFERROR(VLOOKUP(B199,'02. MM-KLH'!$B$6:$T$823,15,0),"")</f>
        <v>2013</v>
      </c>
      <c r="Q199" s="80" t="str">
        <f>IFERROR(VLOOKUP(B199,'02. MM-KLH'!$B$6:$T$823,16,0),"")</f>
        <v>M6040</v>
      </c>
      <c r="R199" s="106" t="str">
        <f>IFERROR(VLOOKUP(B199,'02. MM-KLH'!$B$6:$T$823,17,0),"")</f>
        <v>60HP</v>
      </c>
      <c r="S199" s="108" t="str">
        <f>IFERROR(VLOOKUP(B199,'02. MM-KLH'!$B$6:$T$823,18,0),"")</f>
        <v>M6040SUD57124</v>
      </c>
      <c r="T199" s="110" t="str">
        <f>IFERROR(VLOOKUP(B199,'02. MM-KLH'!$B$6:$T$823,19,0),"")</f>
        <v>CCN</v>
      </c>
      <c r="U199" s="130" t="s">
        <v>79</v>
      </c>
    </row>
    <row r="200" ht="13.5" customHeight="1">
      <c r="A200" s="95">
        <f t="shared" si="8"/>
        <v>22</v>
      </c>
      <c r="B200" s="113" t="s">
        <v>2604</v>
      </c>
      <c r="C200" s="113" t="str">
        <f>IFERROR(VLOOKUP(B200,'02. MM-KLH'!$B$6:$T$823,2,0),"")</f>
        <v>CKC-MKE-004</v>
      </c>
      <c r="D200" s="95" t="str">
        <f>IFERROR(VLOOKUP(B200,'02. MM-KLH'!$B$6:$T$823,3,0),"")</f>
        <v>A22-MKE-029</v>
      </c>
      <c r="E200" s="86" t="str">
        <f>IFERROR(VLOOKUP(B200,'02. MM-KLH'!$B$6:$T$823,4,0),"")</f>
        <v/>
      </c>
      <c r="F200" s="115"/>
      <c r="G200" s="86" t="str">
        <f>IFERROR(VLOOKUP(B200,'02. MM-KLH'!$B$6:$T$823,6,0),"")</f>
        <v>Máy cày M6040</v>
      </c>
      <c r="H200" s="80" t="s">
        <v>2033</v>
      </c>
      <c r="I200" s="80" t="str">
        <f>IFERROR(VLOOKUP(B200,'02. MM-KLH'!$B$6:$T$823,8,0),"")</f>
        <v>Thagricons</v>
      </c>
      <c r="J200" s="99" t="str">
        <f>IFERROR(VLOOKUP(B200,'02. MM-KLH'!$B$6:$T$823,9,0),"")</f>
        <v/>
      </c>
      <c r="K200" s="80" t="str">
        <f>IFERROR(VLOOKUP(B200,'02. MM-KLH'!$B$6:$T$823,10,0),"")</f>
        <v>Bình thường</v>
      </c>
      <c r="L200" s="102" t="str">
        <f>IFERROR(VLOOKUP(B200,'02. MM-KLH'!$B$6:$T$823,11,0),"")</f>
        <v/>
      </c>
      <c r="M200" s="143" t="str">
        <f>IFERROR(VLOOKUP(B200,'02. MM-KLH'!$B$6:$T$823,12,0),"")</f>
        <v/>
      </c>
      <c r="N200" s="108" t="str">
        <f>IFERROR(VLOOKUP(B200,'02. MM-KLH'!$B$6:$T$823,13,0),"")</f>
        <v>KUBOTA</v>
      </c>
      <c r="O200" s="108" t="str">
        <f>IFERROR(VLOOKUP(B200,'02. MM-KLH'!$B$6:$T$823,14,0),"")</f>
        <v>NHẬT BẢN</v>
      </c>
      <c r="P200" s="80">
        <f>IFERROR(VLOOKUP(B200,'02. MM-KLH'!$B$6:$T$823,15,0),"")</f>
        <v>2013</v>
      </c>
      <c r="Q200" s="80" t="str">
        <f>IFERROR(VLOOKUP(B200,'02. MM-KLH'!$B$6:$T$823,16,0),"")</f>
        <v>M6040</v>
      </c>
      <c r="R200" s="106" t="str">
        <f>IFERROR(VLOOKUP(B200,'02. MM-KLH'!$B$6:$T$823,17,0),"")</f>
        <v>60HP</v>
      </c>
      <c r="S200" s="108" t="str">
        <f>IFERROR(VLOOKUP(B200,'02. MM-KLH'!$B$6:$T$823,18,0),"")</f>
        <v>FD202H-16335</v>
      </c>
      <c r="T200" s="110" t="str">
        <f>IFERROR(VLOOKUP(B200,'02. MM-KLH'!$B$6:$T$823,19,0),"")</f>
        <v>CCN</v>
      </c>
      <c r="U200" s="130" t="s">
        <v>79</v>
      </c>
    </row>
    <row r="201" ht="13.5" customHeight="1">
      <c r="A201" s="95">
        <f t="shared" si="8"/>
        <v>23</v>
      </c>
      <c r="B201" s="113" t="s">
        <v>1665</v>
      </c>
      <c r="C201" s="113" t="str">
        <f>IFERROR(VLOOKUP(B201,'02. MM-KLH'!$B$6:$T$823,2,0),"")</f>
        <v>MK38VC-KLH</v>
      </c>
      <c r="D201" s="95" t="str">
        <f>IFERROR(VLOOKUP(B201,'02. MM-KLH'!$B$6:$T$823,3,0),"")</f>
        <v>A22-MKE-015</v>
      </c>
      <c r="E201" s="86" t="str">
        <f>IFERROR(VLOOKUP(B201,'02. MM-KLH'!$B$6:$T$823,4,0),"")</f>
        <v/>
      </c>
      <c r="F201" s="115"/>
      <c r="G201" s="86" t="str">
        <f>IFERROR(VLOOKUP(B201,'02. MM-KLH'!$B$6:$T$823,6,0),"")</f>
        <v>Máy cày M6040</v>
      </c>
      <c r="H201" s="80" t="s">
        <v>2033</v>
      </c>
      <c r="I201" s="80" t="str">
        <f>IFERROR(VLOOKUP(B201,'02. MM-KLH'!$B$6:$T$823,8,0),"")</f>
        <v>XN Bò AD</v>
      </c>
      <c r="J201" s="99" t="str">
        <f>IFERROR(VLOOKUP(B201,'02. MM-KLH'!$B$6:$T$823,9,0),"")</f>
        <v/>
      </c>
      <c r="K201" s="80" t="str">
        <f>IFERROR(VLOOKUP(B201,'02. MM-KLH'!$B$6:$T$823,10,0),"")</f>
        <v>Bình thường</v>
      </c>
      <c r="L201" s="102" t="str">
        <f>IFERROR(VLOOKUP(B201,'02. MM-KLH'!$B$6:$T$823,11,0),"")</f>
        <v/>
      </c>
      <c r="M201" s="143" t="str">
        <f>IFERROR(VLOOKUP(B201,'02. MM-KLH'!$B$6:$T$823,12,0),"")</f>
        <v/>
      </c>
      <c r="N201" s="108" t="str">
        <f>IFERROR(VLOOKUP(B201,'02. MM-KLH'!$B$6:$T$823,13,0),"")</f>
        <v>KUBOTA</v>
      </c>
      <c r="O201" s="108" t="str">
        <f>IFERROR(VLOOKUP(B201,'02. MM-KLH'!$B$6:$T$823,14,0),"")</f>
        <v>NHẬT BẢN</v>
      </c>
      <c r="P201" s="80">
        <f>IFERROR(VLOOKUP(B201,'02. MM-KLH'!$B$6:$T$823,15,0),"")</f>
        <v>2013</v>
      </c>
      <c r="Q201" s="80" t="str">
        <f>IFERROR(VLOOKUP(B201,'02. MM-KLH'!$B$6:$T$823,16,0),"")</f>
        <v>M6040</v>
      </c>
      <c r="R201" s="106" t="str">
        <f>IFERROR(VLOOKUP(B201,'02. MM-KLH'!$B$6:$T$823,17,0),"")</f>
        <v>60HP</v>
      </c>
      <c r="S201" s="108" t="str">
        <f>IFERROR(VLOOKUP(B201,'02. MM-KLH'!$B$6:$T$823,18,0),"")</f>
        <v>D57126</v>
      </c>
      <c r="T201" s="110" t="str">
        <f>IFERROR(VLOOKUP(B201,'02. MM-KLH'!$B$6:$T$823,19,0),"")</f>
        <v>CCN</v>
      </c>
      <c r="U201" s="130" t="s">
        <v>79</v>
      </c>
    </row>
    <row r="202" ht="13.5" customHeight="1">
      <c r="A202" s="95">
        <f t="shared" si="8"/>
        <v>24</v>
      </c>
      <c r="B202" s="113" t="s">
        <v>1647</v>
      </c>
      <c r="C202" s="113" t="str">
        <f>IFERROR(VLOOKUP(B202,'02. MM-KLH'!$B$6:$T$823,2,0),"")</f>
        <v>MK17NN-KLH</v>
      </c>
      <c r="D202" s="95" t="str">
        <f>IFERROR(VLOOKUP(B202,'02. MM-KLH'!$B$6:$T$823,3,0),"")</f>
        <v>ATT-A22-0182</v>
      </c>
      <c r="E202" s="86" t="str">
        <f>IFERROR(VLOOKUP(B202,'02. MM-KLH'!$B$6:$T$823,4,0),"")</f>
        <v/>
      </c>
      <c r="F202" s="115" t="s">
        <v>3208</v>
      </c>
      <c r="G202" s="86" t="str">
        <f>IFERROR(VLOOKUP(B202,'02. MM-KLH'!$B$6:$T$823,6,0),"")</f>
        <v>Máy cày M9540</v>
      </c>
      <c r="H202" s="80" t="s">
        <v>2054</v>
      </c>
      <c r="I202" s="80" t="str">
        <f>IFERROR(VLOOKUP(B202,'02. MM-KLH'!$B$6:$T$823,8,0),"")</f>
        <v>XN Bò AD</v>
      </c>
      <c r="J202" s="99" t="str">
        <f>IFERROR(VLOOKUP(B202,'02. MM-KLH'!$B$6:$T$823,9,0),"")</f>
        <v/>
      </c>
      <c r="K202" s="80" t="str">
        <f>IFERROR(VLOOKUP(B202,'02. MM-KLH'!$B$6:$T$823,10,0),"")</f>
        <v>Bình thường</v>
      </c>
      <c r="L202" s="102" t="str">
        <f>IFERROR(VLOOKUP(B202,'02. MM-KLH'!$B$6:$T$823,11,0),"")</f>
        <v/>
      </c>
      <c r="M202" s="143" t="str">
        <f>IFERROR(VLOOKUP(B202,'02. MM-KLH'!$B$6:$T$823,12,0),"")</f>
        <v/>
      </c>
      <c r="N202" s="108" t="str">
        <f>IFERROR(VLOOKUP(B202,'02. MM-KLH'!$B$6:$T$823,13,0),"")</f>
        <v>KUBOTA</v>
      </c>
      <c r="O202" s="108" t="str">
        <f>IFERROR(VLOOKUP(B202,'02. MM-KLH'!$B$6:$T$823,14,0),"")</f>
        <v>NHẬT BẢN</v>
      </c>
      <c r="P202" s="80">
        <f>IFERROR(VLOOKUP(B202,'02. MM-KLH'!$B$6:$T$823,15,0),"")</f>
        <v>2011</v>
      </c>
      <c r="Q202" s="80">
        <f>IFERROR(VLOOKUP(B202,'02. MM-KLH'!$B$6:$T$823,16,0),"")</f>
        <v>9540</v>
      </c>
      <c r="R202" s="106" t="str">
        <f>IFERROR(VLOOKUP(B202,'02. MM-KLH'!$B$6:$T$823,17,0),"")</f>
        <v>95HP</v>
      </c>
      <c r="S202" s="108">
        <f>IFERROR(VLOOKUP(B202,'02. MM-KLH'!$B$6:$T$823,18,0),"")</f>
        <v>2340</v>
      </c>
      <c r="T202" s="110" t="str">
        <f>IFERROR(VLOOKUP(B202,'02. MM-KLH'!$B$6:$T$823,19,0),"")</f>
        <v>CCN</v>
      </c>
      <c r="U202" s="130" t="s">
        <v>79</v>
      </c>
    </row>
    <row r="203" ht="13.5" customHeight="1">
      <c r="A203" s="95">
        <f t="shared" si="8"/>
        <v>25</v>
      </c>
      <c r="B203" s="113" t="s">
        <v>1650</v>
      </c>
      <c r="C203" s="113" t="str">
        <f>IFERROR(VLOOKUP(B203,'02. MM-KLH'!$B$6:$T$823,2,0),"")</f>
        <v>MK19NN-KLH</v>
      </c>
      <c r="D203" s="95" t="str">
        <f>IFERROR(VLOOKUP(B203,'02. MM-KLH'!$B$6:$T$823,3,0),"")</f>
        <v>ATT-A22-0182</v>
      </c>
      <c r="E203" s="86" t="str">
        <f>IFERROR(VLOOKUP(B203,'02. MM-KLH'!$B$6:$T$823,4,0),"")</f>
        <v/>
      </c>
      <c r="F203" s="115" t="s">
        <v>3209</v>
      </c>
      <c r="G203" s="86" t="str">
        <f>IFERROR(VLOOKUP(B203,'02. MM-KLH'!$B$6:$T$823,6,0),"")</f>
        <v>Máy cày M9540</v>
      </c>
      <c r="H203" s="80" t="s">
        <v>2054</v>
      </c>
      <c r="I203" s="80" t="str">
        <f>IFERROR(VLOOKUP(B203,'02. MM-KLH'!$B$6:$T$823,8,0),"")</f>
        <v>XN Bò AD</v>
      </c>
      <c r="J203" s="99" t="str">
        <f>IFERROR(VLOOKUP(B203,'02. MM-KLH'!$B$6:$T$823,9,0),"")</f>
        <v/>
      </c>
      <c r="K203" s="80" t="str">
        <f>IFERROR(VLOOKUP(B203,'02. MM-KLH'!$B$6:$T$823,10,0),"")</f>
        <v>Bình thường</v>
      </c>
      <c r="L203" s="102" t="str">
        <f>IFERROR(VLOOKUP(B203,'02. MM-KLH'!$B$6:$T$823,11,0),"")</f>
        <v/>
      </c>
      <c r="M203" s="143" t="str">
        <f>IFERROR(VLOOKUP(B203,'02. MM-KLH'!$B$6:$T$823,12,0),"")</f>
        <v/>
      </c>
      <c r="N203" s="108" t="str">
        <f>IFERROR(VLOOKUP(B203,'02. MM-KLH'!$B$6:$T$823,13,0),"")</f>
        <v>KUBOTA</v>
      </c>
      <c r="O203" s="108" t="str">
        <f>IFERROR(VLOOKUP(B203,'02. MM-KLH'!$B$6:$T$823,14,0),"")</f>
        <v>NHẬT BẢN</v>
      </c>
      <c r="P203" s="80">
        <f>IFERROR(VLOOKUP(B203,'02. MM-KLH'!$B$6:$T$823,15,0),"")</f>
        <v>2011</v>
      </c>
      <c r="Q203" s="80">
        <f>IFERROR(VLOOKUP(B203,'02. MM-KLH'!$B$6:$T$823,16,0),"")</f>
        <v>9540</v>
      </c>
      <c r="R203" s="106" t="str">
        <f>IFERROR(VLOOKUP(B203,'02. MM-KLH'!$B$6:$T$823,17,0),"")</f>
        <v>95HP</v>
      </c>
      <c r="S203" s="108">
        <f>IFERROR(VLOOKUP(B203,'02. MM-KLH'!$B$6:$T$823,18,0),"")</f>
        <v>2807</v>
      </c>
      <c r="T203" s="110" t="str">
        <f>IFERROR(VLOOKUP(B203,'02. MM-KLH'!$B$6:$T$823,19,0),"")</f>
        <v>CCN</v>
      </c>
      <c r="U203" s="130" t="s">
        <v>79</v>
      </c>
    </row>
    <row r="204" ht="13.5" customHeight="1">
      <c r="A204" s="95">
        <f t="shared" si="8"/>
        <v>26</v>
      </c>
      <c r="B204" s="113" t="s">
        <v>1652</v>
      </c>
      <c r="C204" s="113" t="str">
        <f>IFERROR(VLOOKUP(B204,'02. MM-KLH'!$B$6:$T$823,2,0),"")</f>
        <v>MK10VC-KLH</v>
      </c>
      <c r="D204" s="95" t="str">
        <f>IFERROR(VLOOKUP(B204,'02. MM-KLH'!$B$6:$T$823,3,0),"")</f>
        <v>ATT-A22-0182</v>
      </c>
      <c r="E204" s="86" t="str">
        <f>IFERROR(VLOOKUP(B204,'02. MM-KLH'!$B$6:$T$823,4,0),"")</f>
        <v/>
      </c>
      <c r="F204" s="115" t="s">
        <v>3210</v>
      </c>
      <c r="G204" s="86" t="str">
        <f>IFERROR(VLOOKUP(B204,'02. MM-KLH'!$B$6:$T$823,6,0),"")</f>
        <v>Máy cày M9540</v>
      </c>
      <c r="H204" s="80" t="s">
        <v>2054</v>
      </c>
      <c r="I204" s="80" t="str">
        <f>IFERROR(VLOOKUP(B204,'02. MM-KLH'!$B$6:$T$823,8,0),"")</f>
        <v>XN Bò AD</v>
      </c>
      <c r="J204" s="99" t="str">
        <f>IFERROR(VLOOKUP(B204,'02. MM-KLH'!$B$6:$T$823,9,0),"")</f>
        <v/>
      </c>
      <c r="K204" s="80" t="str">
        <f>IFERROR(VLOOKUP(B204,'02. MM-KLH'!$B$6:$T$823,10,0),"")</f>
        <v>Bình thường</v>
      </c>
      <c r="L204" s="102" t="str">
        <f>IFERROR(VLOOKUP(B204,'02. MM-KLH'!$B$6:$T$823,11,0),"")</f>
        <v/>
      </c>
      <c r="M204" s="143" t="str">
        <f>IFERROR(VLOOKUP(B204,'02. MM-KLH'!$B$6:$T$823,12,0),"")</f>
        <v/>
      </c>
      <c r="N204" s="108" t="str">
        <f>IFERROR(VLOOKUP(B204,'02. MM-KLH'!$B$6:$T$823,13,0),"")</f>
        <v>KUBOTA</v>
      </c>
      <c r="O204" s="108" t="str">
        <f>IFERROR(VLOOKUP(B204,'02. MM-KLH'!$B$6:$T$823,14,0),"")</f>
        <v>NHẬT BẢN</v>
      </c>
      <c r="P204" s="80">
        <f>IFERROR(VLOOKUP(B204,'02. MM-KLH'!$B$6:$T$823,15,0),"")</f>
        <v>2011</v>
      </c>
      <c r="Q204" s="80">
        <f>IFERROR(VLOOKUP(B204,'02. MM-KLH'!$B$6:$T$823,16,0),"")</f>
        <v>9540</v>
      </c>
      <c r="R204" s="106" t="str">
        <f>IFERROR(VLOOKUP(B204,'02. MM-KLH'!$B$6:$T$823,17,0),"")</f>
        <v>95HP</v>
      </c>
      <c r="S204" s="108">
        <f>IFERROR(VLOOKUP(B204,'02. MM-KLH'!$B$6:$T$823,18,0),"")</f>
        <v>2796</v>
      </c>
      <c r="T204" s="110" t="str">
        <f>IFERROR(VLOOKUP(B204,'02. MM-KLH'!$B$6:$T$823,19,0),"")</f>
        <v>CCN</v>
      </c>
      <c r="U204" s="130" t="s">
        <v>79</v>
      </c>
    </row>
    <row r="205">
      <c r="A205" s="128"/>
      <c r="B205" s="241"/>
      <c r="C205" s="113" t="str">
        <f>IFERROR(VLOOKUP(B205,'02. MM-KLH'!$B$6:$T$823,2,0),"")</f>
        <v/>
      </c>
      <c r="D205" s="95" t="str">
        <f>IFERROR(VLOOKUP(B205,'02. MM-KLH'!$B$6:$T$823,3,0),"")</f>
        <v/>
      </c>
      <c r="E205" s="86" t="str">
        <f>IFERROR(VLOOKUP(B205,'02. MM-KLH'!$B$6:$T$823,4,0),"")</f>
        <v/>
      </c>
      <c r="F205" s="128"/>
      <c r="G205" s="86" t="str">
        <f>IFERROR(VLOOKUP(B205,'02. MM-KLH'!$B$6:$T$823,6,0),"")</f>
        <v/>
      </c>
      <c r="H205" s="128"/>
      <c r="I205" s="80" t="str">
        <f>IFERROR(VLOOKUP(B205,'02. MM-KLH'!$B$6:$T$823,8,0),"")</f>
        <v/>
      </c>
      <c r="J205" s="99" t="str">
        <f>IFERROR(VLOOKUP(B205,'02. MM-KLH'!$B$6:$T$823,9,0),"")</f>
        <v/>
      </c>
      <c r="K205" s="80" t="str">
        <f>IFERROR(VLOOKUP(B205,'02. MM-KLH'!$B$6:$T$823,10,0),"")</f>
        <v/>
      </c>
      <c r="L205" s="102" t="str">
        <f>IFERROR(VLOOKUP(B205,'02. MM-KLH'!$B$6:$T$823,11,0),"")</f>
        <v/>
      </c>
      <c r="M205" s="242" t="str">
        <f>IFERROR(VLOOKUP(B205,'02. MM-KLH'!$B$6:$T$823,12,0),"")</f>
        <v/>
      </c>
      <c r="N205" s="108" t="str">
        <f>IFERROR(VLOOKUP(B205,'02. MM-KLH'!$B$6:$T$823,13,0),"")</f>
        <v/>
      </c>
      <c r="O205" s="108" t="str">
        <f>IFERROR(VLOOKUP(B205,'02. MM-KLH'!$B$6:$T$823,14,0),"")</f>
        <v/>
      </c>
      <c r="P205" s="80" t="str">
        <f>IFERROR(VLOOKUP(B205,'02. MM-KLH'!$B$6:$T$823,15,0),"")</f>
        <v/>
      </c>
      <c r="Q205" s="80" t="str">
        <f>IFERROR(VLOOKUP(B205,'02. MM-KLH'!$B$6:$T$823,16,0),"")</f>
        <v/>
      </c>
      <c r="R205" s="106" t="str">
        <f>IFERROR(VLOOKUP(B205,'02. MM-KLH'!$B$6:$T$823,17,0),"")</f>
        <v/>
      </c>
      <c r="S205" s="108" t="str">
        <f>IFERROR(VLOOKUP(B205,'02. MM-KLH'!$B$6:$T$823,18,0),"")</f>
        <v/>
      </c>
      <c r="T205" s="110" t="str">
        <f>IFERROR(VLOOKUP(B205,'02. MM-KLH'!$B$6:$T$823,19,0),"")</f>
        <v/>
      </c>
      <c r="U205" s="110" t="str">
        <f>IFERROR(VLOOKUP(C205,'02. MM-KLH'!$B$6:$T$823,19,0),"")</f>
        <v/>
      </c>
    </row>
    <row r="206">
      <c r="A206" s="128"/>
      <c r="B206" s="241"/>
      <c r="C206" s="113" t="str">
        <f>IFERROR(VLOOKUP(B206,'02. MM-KLH'!$B$6:$T$823,2,0),"")</f>
        <v/>
      </c>
      <c r="D206" s="95" t="str">
        <f>IFERROR(VLOOKUP(B206,'02. MM-KLH'!$B$6:$T$823,3,0),"")</f>
        <v/>
      </c>
      <c r="E206" s="86" t="str">
        <f>IFERROR(VLOOKUP(B206,'02. MM-KLH'!$B$6:$T$823,4,0),"")</f>
        <v/>
      </c>
      <c r="F206" s="128"/>
      <c r="G206" s="86" t="str">
        <f>IFERROR(VLOOKUP(B206,'02. MM-KLH'!$B$6:$T$823,6,0),"")</f>
        <v/>
      </c>
      <c r="H206" s="128"/>
      <c r="I206" s="80" t="str">
        <f>IFERROR(VLOOKUP(B206,'02. MM-KLH'!$B$6:$T$823,8,0),"")</f>
        <v/>
      </c>
      <c r="J206" s="99" t="str">
        <f>IFERROR(VLOOKUP(B206,'02. MM-KLH'!$B$6:$T$823,9,0),"")</f>
        <v/>
      </c>
      <c r="K206" s="80" t="str">
        <f>IFERROR(VLOOKUP(B206,'02. MM-KLH'!$B$6:$T$823,10,0),"")</f>
        <v/>
      </c>
      <c r="L206" s="102" t="str">
        <f>IFERROR(VLOOKUP(B206,'02. MM-KLH'!$B$6:$T$823,11,0),"")</f>
        <v/>
      </c>
      <c r="M206" s="242" t="str">
        <f>IFERROR(VLOOKUP(B206,'02. MM-KLH'!$B$6:$T$823,12,0),"")</f>
        <v/>
      </c>
      <c r="N206" s="108" t="str">
        <f>IFERROR(VLOOKUP(B206,'02. MM-KLH'!$B$6:$T$823,13,0),"")</f>
        <v/>
      </c>
      <c r="O206" s="108" t="str">
        <f>IFERROR(VLOOKUP(B206,'02. MM-KLH'!$B$6:$T$823,14,0),"")</f>
        <v/>
      </c>
      <c r="P206" s="80" t="str">
        <f>IFERROR(VLOOKUP(B206,'02. MM-KLH'!$B$6:$T$823,15,0),"")</f>
        <v/>
      </c>
      <c r="Q206" s="80" t="str">
        <f>IFERROR(VLOOKUP(B206,'02. MM-KLH'!$B$6:$T$823,16,0),"")</f>
        <v/>
      </c>
      <c r="R206" s="106" t="str">
        <f>IFERROR(VLOOKUP(B206,'02. MM-KLH'!$B$6:$T$823,17,0),"")</f>
        <v/>
      </c>
      <c r="S206" s="108" t="str">
        <f>IFERROR(VLOOKUP(B206,'02. MM-KLH'!$B$6:$T$823,18,0),"")</f>
        <v/>
      </c>
      <c r="T206" s="110" t="str">
        <f>IFERROR(VLOOKUP(B206,'02. MM-KLH'!$B$6:$T$823,19,0),"")</f>
        <v/>
      </c>
      <c r="U206" s="110" t="str">
        <f>IFERROR(VLOOKUP(C206,'02. MM-KLH'!$B$6:$T$823,19,0),"")</f>
        <v/>
      </c>
    </row>
    <row r="207" ht="13.5" customHeight="1">
      <c r="A207" s="82" t="s">
        <v>76</v>
      </c>
      <c r="B207" s="83" t="s">
        <v>3211</v>
      </c>
      <c r="C207" s="85">
        <f>COUNTA(B208:B228)</f>
        <v>19</v>
      </c>
      <c r="D207" s="85" t="str">
        <f>IFERROR(VLOOKUP(B207,'02. MM-KLH'!$B$6:$T$823,3,0),"")</f>
        <v/>
      </c>
      <c r="E207" s="85" t="str">
        <f>IFERROR(VLOOKUP(B207,'02. MM-KLH'!$B$6:$T$823,4,0),"")</f>
        <v/>
      </c>
      <c r="F207" s="85"/>
      <c r="G207" s="85" t="str">
        <f>IFERROR(VLOOKUP(B207,'02. MM-KLH'!$B$6:$T$823,6,0),"")</f>
        <v/>
      </c>
      <c r="H207" s="85"/>
      <c r="I207" s="85" t="str">
        <f>IFERROR(VLOOKUP(B207,'02. MM-KLH'!$B$6:$T$823,8,0),"")</f>
        <v/>
      </c>
      <c r="J207" s="85" t="str">
        <f>IFERROR(VLOOKUP(B207,'02. MM-KLH'!$B$6:$T$823,9,0),"")</f>
        <v/>
      </c>
      <c r="K207" s="85" t="str">
        <f>IFERROR(VLOOKUP(B207,'02. MM-KLH'!$B$6:$T$823,10,0),"")</f>
        <v/>
      </c>
      <c r="L207" s="85" t="str">
        <f>IFERROR(VLOOKUP(B207,'02. MM-KLH'!$B$6:$T$823,11,0),"")</f>
        <v/>
      </c>
      <c r="M207" s="85" t="str">
        <f>IFERROR(VLOOKUP(B207,'02. MM-KLH'!$B$6:$T$823,12,0),"")</f>
        <v/>
      </c>
      <c r="N207" s="85" t="str">
        <f>IFERROR(VLOOKUP(B207,'02. MM-KLH'!$B$6:$T$823,13,0),"")</f>
        <v/>
      </c>
      <c r="O207" s="85" t="str">
        <f>IFERROR(VLOOKUP(B207,'02. MM-KLH'!$B$6:$T$823,14,0),"")</f>
        <v/>
      </c>
      <c r="P207" s="85" t="str">
        <f>IFERROR(VLOOKUP(B207,'02. MM-KLH'!$B$6:$T$823,15,0),"")</f>
        <v/>
      </c>
      <c r="Q207" s="85" t="str">
        <f>IFERROR(VLOOKUP(B207,'02. MM-KLH'!$B$6:$T$823,16,0),"")</f>
        <v/>
      </c>
      <c r="R207" s="85" t="str">
        <f>IFERROR(VLOOKUP(B207,'02. MM-KLH'!$B$6:$T$823,17,0),"")</f>
        <v/>
      </c>
      <c r="S207" s="85" t="str">
        <f>IFERROR(VLOOKUP(B207,'02. MM-KLH'!$B$6:$T$823,18,0),"")</f>
        <v/>
      </c>
      <c r="T207" s="85" t="str">
        <f>IFERROR(VLOOKUP(B207,'02. MM-KLH'!$B$6:$T$823,19,0),"")</f>
        <v/>
      </c>
      <c r="U207" s="85" t="str">
        <f>IFERROR(VLOOKUP(C207,'02. MM-KLH'!$B$6:$T$823,19,0),"")</f>
        <v/>
      </c>
    </row>
    <row r="208" ht="13.5" customHeight="1">
      <c r="A208" s="95">
        <f>1+A2074</f>
        <v>1</v>
      </c>
      <c r="B208" s="113" t="s">
        <v>1657</v>
      </c>
      <c r="C208" s="84" t="str">
        <f>IFERROR(VLOOKUP(B208,'02. MM-KLH'!$B$6:$T$823,2,0),"")</f>
        <v>MK05NN-KLH</v>
      </c>
      <c r="D208" s="95" t="str">
        <f>IFERROR(VLOOKUP(B208,'02. MM-KLH'!$B$6:$T$823,3,0),"")</f>
        <v>A22-MKE-009</v>
      </c>
      <c r="E208" s="86" t="str">
        <f>IFERROR(VLOOKUP(B208,'02. MM-KLH'!$B$6:$T$823,4,0),"")</f>
        <v/>
      </c>
      <c r="F208" s="115"/>
      <c r="G208" s="86" t="str">
        <f>IFERROR(VLOOKUP(B208,'02. MM-KLH'!$B$6:$T$823,6,0),"")</f>
        <v>Máy cày JD 6603</v>
      </c>
      <c r="H208" s="80" t="s">
        <v>2054</v>
      </c>
      <c r="I208" s="80" t="str">
        <f>IFERROR(VLOOKUP(B208,'02. MM-KLH'!$B$6:$T$823,8,0),"")</f>
        <v>XN Bò AD</v>
      </c>
      <c r="J208" s="99" t="str">
        <f>IFERROR(VLOOKUP(B208,'02. MM-KLH'!$B$6:$T$823,9,0),"")</f>
        <v/>
      </c>
      <c r="K208" s="80" t="str">
        <f>IFERROR(VLOOKUP(B208,'02. MM-KLH'!$B$6:$T$823,10,0),"")</f>
        <v>Bình thường</v>
      </c>
      <c r="L208" s="102" t="str">
        <f>IFERROR(VLOOKUP(B208,'02. MM-KLH'!$B$6:$T$823,11,0),"")</f>
        <v/>
      </c>
      <c r="M208" s="143" t="str">
        <f>IFERROR(VLOOKUP(B208,'02. MM-KLH'!$B$6:$T$823,12,0),"")</f>
        <v/>
      </c>
      <c r="N208" s="108" t="str">
        <f>IFERROR(VLOOKUP(B208,'02. MM-KLH'!$B$6:$T$823,13,0),"")</f>
        <v>JOHN DEERE</v>
      </c>
      <c r="O208" s="108" t="str">
        <f>IFERROR(VLOOKUP(B208,'02. MM-KLH'!$B$6:$T$823,14,0),"")</f>
        <v>MỸ</v>
      </c>
      <c r="P208" s="80">
        <f>IFERROR(VLOOKUP(B208,'02. MM-KLH'!$B$6:$T$823,15,0),"")</f>
        <v>2008</v>
      </c>
      <c r="Q208" s="80">
        <f>IFERROR(VLOOKUP(B208,'02. MM-KLH'!$B$6:$T$823,16,0),"")</f>
        <v>6603</v>
      </c>
      <c r="R208" s="106" t="str">
        <f>IFERROR(VLOOKUP(B208,'02. MM-KLH'!$B$6:$T$823,17,0),"")</f>
        <v>120HP</v>
      </c>
      <c r="S208" s="108">
        <f>IFERROR(VLOOKUP(B208,'02. MM-KLH'!$B$6:$T$823,18,0),"")</f>
        <v>5956</v>
      </c>
      <c r="T208" s="110" t="str">
        <f>IFERROR(VLOOKUP(B208,'02. MM-KLH'!$B$6:$T$823,19,0),"")</f>
        <v>CCN</v>
      </c>
      <c r="U208" s="130" t="s">
        <v>79</v>
      </c>
    </row>
    <row r="209" ht="13.5" customHeight="1">
      <c r="A209" s="95">
        <f t="shared" ref="A209:A226" si="9">1+A208</f>
        <v>2</v>
      </c>
      <c r="B209" s="113" t="s">
        <v>1659</v>
      </c>
      <c r="C209" s="84" t="str">
        <f>IFERROR(VLOOKUP(B209,'02. MM-KLH'!$B$6:$T$823,2,0),"")</f>
        <v>MK09NN-KLH</v>
      </c>
      <c r="D209" s="95" t="str">
        <f>IFERROR(VLOOKUP(B209,'02. MM-KLH'!$B$6:$T$823,3,0),"")</f>
        <v>A22-MKE-010</v>
      </c>
      <c r="E209" s="86" t="str">
        <f>IFERROR(VLOOKUP(B209,'02. MM-KLH'!$B$6:$T$823,4,0),"")</f>
        <v/>
      </c>
      <c r="F209" s="115"/>
      <c r="G209" s="86" t="str">
        <f>IFERROR(VLOOKUP(B209,'02. MM-KLH'!$B$6:$T$823,6,0),"")</f>
        <v>Máy cày JD 6603</v>
      </c>
      <c r="H209" s="80" t="s">
        <v>2054</v>
      </c>
      <c r="I209" s="80" t="str">
        <f>IFERROR(VLOOKUP(B209,'02. MM-KLH'!$B$6:$T$823,8,0),"")</f>
        <v>XN Bò AD</v>
      </c>
      <c r="J209" s="99" t="str">
        <f>IFERROR(VLOOKUP(B209,'02. MM-KLH'!$B$6:$T$823,9,0),"")</f>
        <v/>
      </c>
      <c r="K209" s="80" t="str">
        <f>IFERROR(VLOOKUP(B209,'02. MM-KLH'!$B$6:$T$823,10,0),"")</f>
        <v>Bình thường</v>
      </c>
      <c r="L209" s="102" t="str">
        <f>IFERROR(VLOOKUP(B209,'02. MM-KLH'!$B$6:$T$823,11,0),"")</f>
        <v/>
      </c>
      <c r="M209" s="143" t="str">
        <f>IFERROR(VLOOKUP(B209,'02. MM-KLH'!$B$6:$T$823,12,0),"")</f>
        <v/>
      </c>
      <c r="N209" s="108" t="str">
        <f>IFERROR(VLOOKUP(B209,'02. MM-KLH'!$B$6:$T$823,13,0),"")</f>
        <v>JOHN DEERE</v>
      </c>
      <c r="O209" s="108" t="str">
        <f>IFERROR(VLOOKUP(B209,'02. MM-KLH'!$B$6:$T$823,14,0),"")</f>
        <v>MỸ</v>
      </c>
      <c r="P209" s="80">
        <f>IFERROR(VLOOKUP(B209,'02. MM-KLH'!$B$6:$T$823,15,0),"")</f>
        <v>2008</v>
      </c>
      <c r="Q209" s="80">
        <f>IFERROR(VLOOKUP(B209,'02. MM-KLH'!$B$6:$T$823,16,0),"")</f>
        <v>6603</v>
      </c>
      <c r="R209" s="106" t="str">
        <f>IFERROR(VLOOKUP(B209,'02. MM-KLH'!$B$6:$T$823,17,0),"")</f>
        <v>120HP</v>
      </c>
      <c r="S209" s="108">
        <f>IFERROR(VLOOKUP(B209,'02. MM-KLH'!$B$6:$T$823,18,0),"")</f>
        <v>32551</v>
      </c>
      <c r="T209" s="110" t="str">
        <f>IFERROR(VLOOKUP(B209,'02. MM-KLH'!$B$6:$T$823,19,0),"")</f>
        <v>CCN</v>
      </c>
      <c r="U209" s="130" t="s">
        <v>79</v>
      </c>
    </row>
    <row r="210" ht="13.5" customHeight="1">
      <c r="A210" s="95">
        <f t="shared" si="9"/>
        <v>3</v>
      </c>
      <c r="B210" s="113" t="s">
        <v>1674</v>
      </c>
      <c r="C210" s="84" t="str">
        <f>IFERROR(VLOOKUP(B210,'02. MM-KLH'!$B$6:$T$823,2,0),"")</f>
        <v>Mới</v>
      </c>
      <c r="D210" s="95" t="str">
        <f>IFERROR(VLOOKUP(B210,'02. MM-KLH'!$B$6:$T$823,3,0),"")</f>
        <v>ATT-A22-0321</v>
      </c>
      <c r="E210" s="86" t="str">
        <f>IFERROR(VLOOKUP(B210,'02. MM-KLH'!$B$6:$T$823,4,0),"")</f>
        <v/>
      </c>
      <c r="F210" s="115" t="s">
        <v>3212</v>
      </c>
      <c r="G210" s="86" t="str">
        <f>IFERROR(VLOOKUP(B210,'02. MM-KLH'!$B$6:$T$823,6,0),"")</f>
        <v>Máy cày JD 5090E</v>
      </c>
      <c r="H210" s="80" t="s">
        <v>2033</v>
      </c>
      <c r="I210" s="80" t="str">
        <f>IFERROR(VLOOKUP(B210,'02. MM-KLH'!$B$6:$T$823,8,0),"")</f>
        <v>XN Bò AD</v>
      </c>
      <c r="J210" s="99">
        <f>IFERROR(VLOOKUP(B210,'02. MM-KLH'!$B$6:$T$823,9,0),"")</f>
        <v>45292</v>
      </c>
      <c r="K210" s="80" t="str">
        <f>IFERROR(VLOOKUP(B210,'02. MM-KLH'!$B$6:$T$823,10,0),"")</f>
        <v>Bình thường</v>
      </c>
      <c r="L210" s="102">
        <f>IFERROR(VLOOKUP(B210,'02. MM-KLH'!$B$6:$T$823,11,0),"")</f>
        <v>0.97</v>
      </c>
      <c r="M210" s="143" t="str">
        <f>IFERROR(VLOOKUP(B210,'02. MM-KLH'!$B$6:$T$823,12,0),"")</f>
        <v/>
      </c>
      <c r="N210" s="108" t="str">
        <f>IFERROR(VLOOKUP(B210,'02. MM-KLH'!$B$6:$T$823,13,0),"")</f>
        <v>JOHN DEERE</v>
      </c>
      <c r="O210" s="108" t="str">
        <f>IFERROR(VLOOKUP(B210,'02. MM-KLH'!$B$6:$T$823,14,0),"")</f>
        <v>MỸ</v>
      </c>
      <c r="P210" s="80">
        <f>IFERROR(VLOOKUP(B210,'02. MM-KLH'!$B$6:$T$823,15,0),"")</f>
        <v>2022</v>
      </c>
      <c r="Q210" s="80">
        <f>IFERROR(VLOOKUP(B210,'02. MM-KLH'!$B$6:$T$823,16,0),"")</f>
        <v>5090</v>
      </c>
      <c r="R210" s="106" t="str">
        <f>IFERROR(VLOOKUP(B210,'02. MM-KLH'!$B$6:$T$823,17,0),"")</f>
        <v>90HP</v>
      </c>
      <c r="S210" s="108">
        <f>IFERROR(VLOOKUP(B210,'02. MM-KLH'!$B$6:$T$823,18,0),"")</f>
        <v>4073059</v>
      </c>
      <c r="T210" s="110">
        <f>IFERROR(VLOOKUP(B210,'02. MM-KLH'!$B$6:$T$823,19,0),"")</f>
        <v>26911</v>
      </c>
      <c r="U210" s="130" t="s">
        <v>2301</v>
      </c>
    </row>
    <row r="211" ht="13.5" customHeight="1">
      <c r="A211" s="95">
        <f t="shared" si="9"/>
        <v>4</v>
      </c>
      <c r="B211" s="113" t="s">
        <v>1676</v>
      </c>
      <c r="C211" s="84" t="str">
        <f>IFERROR(VLOOKUP(B211,'02. MM-KLH'!$B$6:$T$823,2,0),"")</f>
        <v>Mới</v>
      </c>
      <c r="D211" s="95" t="str">
        <f>IFERROR(VLOOKUP(B211,'02. MM-KLH'!$B$6:$T$823,3,0),"")</f>
        <v>ATT-A22-0322</v>
      </c>
      <c r="E211" s="86" t="str">
        <f>IFERROR(VLOOKUP(B211,'02. MM-KLH'!$B$6:$T$823,4,0),"")</f>
        <v/>
      </c>
      <c r="F211" s="115" t="s">
        <v>3213</v>
      </c>
      <c r="G211" s="86" t="str">
        <f>IFERROR(VLOOKUP(B211,'02. MM-KLH'!$B$6:$T$823,6,0),"")</f>
        <v>Máy cày JD 5090E</v>
      </c>
      <c r="H211" s="80" t="s">
        <v>2033</v>
      </c>
      <c r="I211" s="80" t="str">
        <f>IFERROR(VLOOKUP(B211,'02. MM-KLH'!$B$6:$T$823,8,0),"")</f>
        <v>XN Bò AD</v>
      </c>
      <c r="J211" s="99">
        <f>IFERROR(VLOOKUP(B211,'02. MM-KLH'!$B$6:$T$823,9,0),"")</f>
        <v>45292</v>
      </c>
      <c r="K211" s="80" t="str">
        <f>IFERROR(VLOOKUP(B211,'02. MM-KLH'!$B$6:$T$823,10,0),"")</f>
        <v>Bình thường</v>
      </c>
      <c r="L211" s="102">
        <f>IFERROR(VLOOKUP(B211,'02. MM-KLH'!$B$6:$T$823,11,0),"")</f>
        <v>0.97</v>
      </c>
      <c r="M211" s="143" t="str">
        <f>IFERROR(VLOOKUP(B211,'02. MM-KLH'!$B$6:$T$823,12,0),"")</f>
        <v/>
      </c>
      <c r="N211" s="108" t="str">
        <f>IFERROR(VLOOKUP(B211,'02. MM-KLH'!$B$6:$T$823,13,0),"")</f>
        <v>JOHN DEERE</v>
      </c>
      <c r="O211" s="108" t="str">
        <f>IFERROR(VLOOKUP(B211,'02. MM-KLH'!$B$6:$T$823,14,0),"")</f>
        <v>MỸ</v>
      </c>
      <c r="P211" s="80">
        <f>IFERROR(VLOOKUP(B211,'02. MM-KLH'!$B$6:$T$823,15,0),"")</f>
        <v>2022</v>
      </c>
      <c r="Q211" s="80">
        <f>IFERROR(VLOOKUP(B211,'02. MM-KLH'!$B$6:$T$823,16,0),"")</f>
        <v>5090</v>
      </c>
      <c r="R211" s="106" t="str">
        <f>IFERROR(VLOOKUP(B211,'02. MM-KLH'!$B$6:$T$823,17,0),"")</f>
        <v>90HP</v>
      </c>
      <c r="S211" s="108">
        <f>IFERROR(VLOOKUP(B211,'02. MM-KLH'!$B$6:$T$823,18,0),"")</f>
        <v>4073056</v>
      </c>
      <c r="T211" s="110">
        <f>IFERROR(VLOOKUP(B211,'02. MM-KLH'!$B$6:$T$823,19,0),"")</f>
        <v>27085</v>
      </c>
      <c r="U211" s="130" t="s">
        <v>2301</v>
      </c>
    </row>
    <row r="212" ht="13.5" customHeight="1">
      <c r="A212" s="95">
        <f t="shared" si="9"/>
        <v>5</v>
      </c>
      <c r="B212" s="115" t="s">
        <v>1681</v>
      </c>
      <c r="C212" s="84" t="str">
        <f>IFERROR(VLOOKUP(B212,'02. MM-KLH'!$B$6:$T$823,2,0),"")</f>
        <v>MỚI</v>
      </c>
      <c r="D212" s="95" t="str">
        <f>IFERROR(VLOOKUP(B212,'02. MM-KLH'!$B$6:$T$823,3,0),"")</f>
        <v>ATT-A22-0329</v>
      </c>
      <c r="E212" s="86" t="str">
        <f>IFERROR(VLOOKUP(B212,'02. MM-KLH'!$B$6:$T$823,4,0),"")</f>
        <v/>
      </c>
      <c r="F212" s="115" t="s">
        <v>3214</v>
      </c>
      <c r="G212" s="86" t="str">
        <f>IFERROR(VLOOKUP(B212,'02. MM-KLH'!$B$6:$T$823,6,0),"")</f>
        <v>Máy cày JD 6120B</v>
      </c>
      <c r="H212" s="80" t="s">
        <v>2054</v>
      </c>
      <c r="I212" s="80" t="str">
        <f>IFERROR(VLOOKUP(B212,'02. MM-KLH'!$B$6:$T$823,8,0),"")</f>
        <v>XN Bò AD</v>
      </c>
      <c r="J212" s="99" t="str">
        <f>IFERROR(VLOOKUP(B212,'02. MM-KLH'!$B$6:$T$823,9,0),"")</f>
        <v>15/03/2024</v>
      </c>
      <c r="K212" s="80" t="str">
        <f>IFERROR(VLOOKUP(B212,'02. MM-KLH'!$B$6:$T$823,10,0),"")</f>
        <v>Bình thường</v>
      </c>
      <c r="L212" s="102" t="str">
        <f>IFERROR(VLOOKUP(B212,'02. MM-KLH'!$B$6:$T$823,11,0),"")</f>
        <v/>
      </c>
      <c r="M212" s="143" t="str">
        <f>IFERROR(VLOOKUP(B212,'02. MM-KLH'!$B$6:$T$823,12,0),"")</f>
        <v/>
      </c>
      <c r="N212" s="108" t="str">
        <f>IFERROR(VLOOKUP(B212,'02. MM-KLH'!$B$6:$T$823,13,0),"")</f>
        <v>JOHN DEERE</v>
      </c>
      <c r="O212" s="108" t="str">
        <f>IFERROR(VLOOKUP(B212,'02. MM-KLH'!$B$6:$T$823,14,0),"")</f>
        <v>MỸ</v>
      </c>
      <c r="P212" s="80">
        <f>IFERROR(VLOOKUP(B212,'02. MM-KLH'!$B$6:$T$823,15,0),"")</f>
        <v>2022</v>
      </c>
      <c r="Q212" s="80" t="str">
        <f>IFERROR(VLOOKUP(B212,'02. MM-KLH'!$B$6:$T$823,16,0),"")</f>
        <v>6120B</v>
      </c>
      <c r="R212" s="106" t="str">
        <f>IFERROR(VLOOKUP(B212,'02. MM-KLH'!$B$6:$T$823,17,0),"")</f>
        <v>120HP</v>
      </c>
      <c r="S212" s="108" t="str">
        <f>IFERROR(VLOOKUP(B212,'02. MM-KLH'!$B$6:$T$823,18,0),"")</f>
        <v>1YR6120BLRD210217</v>
      </c>
      <c r="T212" s="110" t="str">
        <f>IFERROR(VLOOKUP(B212,'02. MM-KLH'!$B$6:$T$823,19,0),"")</f>
        <v>PE4045N035792</v>
      </c>
      <c r="U212" s="130" t="s">
        <v>2301</v>
      </c>
    </row>
    <row r="213" ht="13.5" customHeight="1">
      <c r="A213" s="95">
        <f t="shared" si="9"/>
        <v>6</v>
      </c>
      <c r="B213" s="134" t="s">
        <v>1698</v>
      </c>
      <c r="C213" s="84" t="str">
        <f>IFERROR(VLOOKUP(B213,'02. MM-KLH'!$B$6:$T$823,2,0),"")</f>
        <v>MỚI</v>
      </c>
      <c r="D213" s="95" t="str">
        <f>IFERROR(VLOOKUP(B213,'02. MM-KLH'!$B$6:$T$823,3,0),"")</f>
        <v>A22-MKE-051</v>
      </c>
      <c r="E213" s="86" t="str">
        <f>IFERROR(VLOOKUP(B213,'02. MM-KLH'!$B$6:$T$823,4,0),"")</f>
        <v/>
      </c>
      <c r="F213" s="134"/>
      <c r="G213" s="86" t="str">
        <f>IFERROR(VLOOKUP(B213,'02. MM-KLH'!$B$6:$T$823,6,0),"")</f>
        <v>Máy cày JD 6120B</v>
      </c>
      <c r="H213" s="80" t="s">
        <v>2054</v>
      </c>
      <c r="I213" s="80" t="str">
        <f>IFERROR(VLOOKUP(B213,'02. MM-KLH'!$B$6:$T$823,8,0),"")</f>
        <v>XN Bò AD</v>
      </c>
      <c r="J213" s="99" t="str">
        <f>IFERROR(VLOOKUP(B213,'02. MM-KLH'!$B$6:$T$823,9,0),"")</f>
        <v>30/07/2024</v>
      </c>
      <c r="K213" s="80" t="str">
        <f>IFERROR(VLOOKUP(B213,'02. MM-KLH'!$B$6:$T$823,10,0),"")</f>
        <v>Bình thường</v>
      </c>
      <c r="L213" s="102" t="str">
        <f>IFERROR(VLOOKUP(B213,'02. MM-KLH'!$B$6:$T$823,11,0),"")</f>
        <v/>
      </c>
      <c r="M213" s="143" t="str">
        <f>IFERROR(VLOOKUP(B213,'02. MM-KLH'!$B$6:$T$823,12,0),"")</f>
        <v/>
      </c>
      <c r="N213" s="108" t="str">
        <f>IFERROR(VLOOKUP(B213,'02. MM-KLH'!$B$6:$T$823,13,0),"")</f>
        <v>JOHN DEERE</v>
      </c>
      <c r="O213" s="108" t="str">
        <f>IFERROR(VLOOKUP(B213,'02. MM-KLH'!$B$6:$T$823,14,0),"")</f>
        <v>MỸ</v>
      </c>
      <c r="P213" s="80">
        <f>IFERROR(VLOOKUP(B213,'02. MM-KLH'!$B$6:$T$823,15,0),"")</f>
        <v>2024</v>
      </c>
      <c r="Q213" s="80" t="str">
        <f>IFERROR(VLOOKUP(B213,'02. MM-KLH'!$B$6:$T$823,16,0),"")</f>
        <v>6120B</v>
      </c>
      <c r="R213" s="106" t="str">
        <f>IFERROR(VLOOKUP(B213,'02. MM-KLH'!$B$6:$T$823,17,0),"")</f>
        <v>120HP</v>
      </c>
      <c r="S213" s="108" t="str">
        <f>IFERROR(VLOOKUP(B213,'02. MM-KLH'!$B$6:$T$823,18,0),"")</f>
        <v>1YR6120BJRD210227</v>
      </c>
      <c r="T213" s="110" t="str">
        <f>IFERROR(VLOOKUP(B213,'02. MM-KLH'!$B$6:$T$823,19,0),"")</f>
        <v>PE4045N035812</v>
      </c>
      <c r="U213" s="130" t="s">
        <v>2301</v>
      </c>
    </row>
    <row r="214" ht="13.5" customHeight="1">
      <c r="A214" s="95">
        <f t="shared" si="9"/>
        <v>7</v>
      </c>
      <c r="B214" s="134" t="s">
        <v>1701</v>
      </c>
      <c r="C214" s="84" t="str">
        <f>IFERROR(VLOOKUP(B214,'02. MM-KLH'!$B$6:$T$823,2,0),"")</f>
        <v>MỚ́I</v>
      </c>
      <c r="D214" s="95" t="str">
        <f>IFERROR(VLOOKUP(B214,'02. MM-KLH'!$B$6:$T$823,3,0),"")</f>
        <v>A22-MKE-052</v>
      </c>
      <c r="E214" s="86" t="str">
        <f>IFERROR(VLOOKUP(B214,'02. MM-KLH'!$B$6:$T$823,4,0),"")</f>
        <v/>
      </c>
      <c r="F214" s="134"/>
      <c r="G214" s="86" t="str">
        <f>IFERROR(VLOOKUP(B214,'02. MM-KLH'!$B$6:$T$823,6,0),"")</f>
        <v>Máy cày JD 6120B</v>
      </c>
      <c r="H214" s="80" t="s">
        <v>2054</v>
      </c>
      <c r="I214" s="80" t="str">
        <f>IFERROR(VLOOKUP(B214,'02. MM-KLH'!$B$6:$T$823,8,0),"")</f>
        <v>XN Bò AD</v>
      </c>
      <c r="J214" s="99" t="str">
        <f>IFERROR(VLOOKUP(B214,'02. MM-KLH'!$B$6:$T$823,9,0),"")</f>
        <v>30/07/2024</v>
      </c>
      <c r="K214" s="80" t="str">
        <f>IFERROR(VLOOKUP(B214,'02. MM-KLH'!$B$6:$T$823,10,0),"")</f>
        <v>Bình thường</v>
      </c>
      <c r="L214" s="102" t="str">
        <f>IFERROR(VLOOKUP(B214,'02. MM-KLH'!$B$6:$T$823,11,0),"")</f>
        <v/>
      </c>
      <c r="M214" s="143" t="str">
        <f>IFERROR(VLOOKUP(B214,'02. MM-KLH'!$B$6:$T$823,12,0),"")</f>
        <v/>
      </c>
      <c r="N214" s="108" t="str">
        <f>IFERROR(VLOOKUP(B214,'02. MM-KLH'!$B$6:$T$823,13,0),"")</f>
        <v>JOHN DEERE</v>
      </c>
      <c r="O214" s="108" t="str">
        <f>IFERROR(VLOOKUP(B214,'02. MM-KLH'!$B$6:$T$823,14,0),"")</f>
        <v>MỸ</v>
      </c>
      <c r="P214" s="80">
        <f>IFERROR(VLOOKUP(B214,'02. MM-KLH'!$B$6:$T$823,15,0),"")</f>
        <v>2024</v>
      </c>
      <c r="Q214" s="80" t="str">
        <f>IFERROR(VLOOKUP(B214,'02. MM-KLH'!$B$6:$T$823,16,0),"")</f>
        <v>6120B</v>
      </c>
      <c r="R214" s="106" t="str">
        <f>IFERROR(VLOOKUP(B214,'02. MM-KLH'!$B$6:$T$823,17,0),"")</f>
        <v>120HP</v>
      </c>
      <c r="S214" s="108" t="str">
        <f>IFERROR(VLOOKUP(B214,'02. MM-KLH'!$B$6:$T$823,18,0),"")</f>
        <v>1YR6120BKRD210226</v>
      </c>
      <c r="T214" s="110" t="str">
        <f>IFERROR(VLOOKUP(B214,'02. MM-KLH'!$B$6:$T$823,19,0),"")</f>
        <v>PE4045N035868</v>
      </c>
      <c r="U214" s="130" t="s">
        <v>2301</v>
      </c>
    </row>
    <row r="215" ht="13.5" customHeight="1">
      <c r="A215" s="95">
        <f t="shared" si="9"/>
        <v>8</v>
      </c>
      <c r="B215" s="115" t="s">
        <v>1705</v>
      </c>
      <c r="C215" s="84" t="str">
        <f>IFERROR(VLOOKUP(B215,'02. MM-KLH'!$B$6:$T$823,2,0),"")</f>
        <v>MỚI (ĐQSD)</v>
      </c>
      <c r="D215" s="95" t="str">
        <f>IFERROR(VLOOKUP(B215,'02. MM-KLH'!$B$6:$T$823,3,0),"")</f>
        <v>A22-MKE-053</v>
      </c>
      <c r="E215" s="86" t="str">
        <f>IFERROR(VLOOKUP(B215,'02. MM-KLH'!$B$6:$T$823,4,0),"")</f>
        <v/>
      </c>
      <c r="F215" s="115"/>
      <c r="G215" s="86" t="str">
        <f>IFERROR(VLOOKUP(B215,'02. MM-KLH'!$B$6:$T$823,6,0),"")</f>
        <v>Máy cày JD 5520</v>
      </c>
      <c r="H215" s="80" t="s">
        <v>2033</v>
      </c>
      <c r="I215" s="80" t="str">
        <f>IFERROR(VLOOKUP(B215,'02. MM-KLH'!$B$6:$T$823,8,0),"")</f>
        <v>XN Bò AD</v>
      </c>
      <c r="J215" s="99" t="str">
        <f>IFERROR(VLOOKUP(B215,'02. MM-KLH'!$B$6:$T$823,9,0),"")</f>
        <v>30/08/2024</v>
      </c>
      <c r="K215" s="80" t="str">
        <f>IFERROR(VLOOKUP(B215,'02. MM-KLH'!$B$6:$T$823,10,0),"")</f>
        <v>Bình thường</v>
      </c>
      <c r="L215" s="102" t="str">
        <f>IFERROR(VLOOKUP(B215,'02. MM-KLH'!$B$6:$T$823,11,0),"")</f>
        <v/>
      </c>
      <c r="M215" s="143" t="str">
        <f>IFERROR(VLOOKUP(B215,'02. MM-KLH'!$B$6:$T$823,12,0),"")</f>
        <v/>
      </c>
      <c r="N215" s="108" t="str">
        <f>IFERROR(VLOOKUP(B215,'02. MM-KLH'!$B$6:$T$823,13,0),"")</f>
        <v>JOHN DEERE</v>
      </c>
      <c r="O215" s="108" t="str">
        <f>IFERROR(VLOOKUP(B215,'02. MM-KLH'!$B$6:$T$823,14,0),"")</f>
        <v>MỸ</v>
      </c>
      <c r="P215" s="80">
        <f>IFERROR(VLOOKUP(B215,'02. MM-KLH'!$B$6:$T$823,15,0),"")</f>
        <v>2004</v>
      </c>
      <c r="Q215" s="80">
        <f>IFERROR(VLOOKUP(B215,'02. MM-KLH'!$B$6:$T$823,16,0),"")</f>
        <v>5520</v>
      </c>
      <c r="R215" s="106" t="str">
        <f>IFERROR(VLOOKUP(B215,'02. MM-KLH'!$B$6:$T$823,17,0),"")</f>
        <v>89HP</v>
      </c>
      <c r="S215" s="108" t="str">
        <f>IFERROR(VLOOKUP(B215,'02. MM-KLH'!$B$6:$T$823,18,0),"")</f>
        <v>54110883Y</v>
      </c>
      <c r="T215" s="110" t="str">
        <f>IFERROR(VLOOKUP(B215,'02. MM-KLH'!$B$6:$T$823,19,0),"")</f>
        <v>PE4045D043015</v>
      </c>
      <c r="U215" s="130" t="s">
        <v>235</v>
      </c>
    </row>
    <row r="216" ht="13.5" customHeight="1">
      <c r="A216" s="95">
        <f t="shared" si="9"/>
        <v>9</v>
      </c>
      <c r="B216" s="115" t="s">
        <v>1711</v>
      </c>
      <c r="C216" s="84" t="str">
        <f>IFERROR(VLOOKUP(B216,'02. MM-KLH'!$B$6:$T$823,2,0),"")</f>
        <v>MỚI (ĐQSD)</v>
      </c>
      <c r="D216" s="95" t="str">
        <f>IFERROR(VLOOKUP(B216,'02. MM-KLH'!$B$6:$T$823,3,0),"")</f>
        <v>A22-MKE-054</v>
      </c>
      <c r="E216" s="86" t="str">
        <f>IFERROR(VLOOKUP(B216,'02. MM-KLH'!$B$6:$T$823,4,0),"")</f>
        <v/>
      </c>
      <c r="F216" s="115"/>
      <c r="G216" s="86" t="str">
        <f>IFERROR(VLOOKUP(B216,'02. MM-KLH'!$B$6:$T$823,6,0),"")</f>
        <v>Máy cày JD 5510</v>
      </c>
      <c r="H216" s="80" t="s">
        <v>2033</v>
      </c>
      <c r="I216" s="80" t="str">
        <f>IFERROR(VLOOKUP(B216,'02. MM-KLH'!$B$6:$T$823,8,0),"")</f>
        <v>XN Bò AD</v>
      </c>
      <c r="J216" s="99" t="str">
        <f>IFERROR(VLOOKUP(B216,'02. MM-KLH'!$B$6:$T$823,9,0),"")</f>
        <v>30/08/2024</v>
      </c>
      <c r="K216" s="80" t="str">
        <f>IFERROR(VLOOKUP(B216,'02. MM-KLH'!$B$6:$T$823,10,0),"")</f>
        <v>Bình thường</v>
      </c>
      <c r="L216" s="102" t="str">
        <f>IFERROR(VLOOKUP(B216,'02. MM-KLH'!$B$6:$T$823,11,0),"")</f>
        <v/>
      </c>
      <c r="M216" s="143" t="str">
        <f>IFERROR(VLOOKUP(B216,'02. MM-KLH'!$B$6:$T$823,12,0),"")</f>
        <v/>
      </c>
      <c r="N216" s="108" t="str">
        <f>IFERROR(VLOOKUP(B216,'02. MM-KLH'!$B$6:$T$823,13,0),"")</f>
        <v>JOHN DEERE</v>
      </c>
      <c r="O216" s="108" t="str">
        <f>IFERROR(VLOOKUP(B216,'02. MM-KLH'!$B$6:$T$823,14,0),"")</f>
        <v>MỸ</v>
      </c>
      <c r="P216" s="80">
        <f>IFERROR(VLOOKUP(B216,'02. MM-KLH'!$B$6:$T$823,15,0),"")</f>
        <v>2004</v>
      </c>
      <c r="Q216" s="80">
        <f>IFERROR(VLOOKUP(B216,'02. MM-KLH'!$B$6:$T$823,16,0),"")</f>
        <v>5510</v>
      </c>
      <c r="R216" s="106" t="str">
        <f>IFERROR(VLOOKUP(B216,'02. MM-KLH'!$B$6:$T$823,17,0),"")</f>
        <v>89HP</v>
      </c>
      <c r="S216" s="108" t="str">
        <f>IFERROR(VLOOKUP(B216,'02. MM-KLH'!$B$6:$T$823,18,0),"")</f>
        <v>54110015Y</v>
      </c>
      <c r="T216" s="110" t="str">
        <f>IFERROR(VLOOKUP(B216,'02. MM-KLH'!$B$6:$T$823,19,0),"")</f>
        <v>PE4045D043101</v>
      </c>
      <c r="U216" s="130" t="s">
        <v>235</v>
      </c>
    </row>
    <row r="217" ht="13.5" customHeight="1">
      <c r="A217" s="95">
        <f t="shared" si="9"/>
        <v>10</v>
      </c>
      <c r="B217" s="115" t="s">
        <v>1715</v>
      </c>
      <c r="C217" s="84" t="str">
        <f>IFERROR(VLOOKUP(B217,'02. MM-KLH'!$B$6:$T$823,2,0),"")</f>
        <v>MỚI (ĐQSD)</v>
      </c>
      <c r="D217" s="95" t="str">
        <f>IFERROR(VLOOKUP(B217,'02. MM-KLH'!$B$6:$T$823,3,0),"")</f>
        <v>A22-MKE-055</v>
      </c>
      <c r="E217" s="86" t="str">
        <f>IFERROR(VLOOKUP(B217,'02. MM-KLH'!$B$6:$T$823,4,0),"")</f>
        <v/>
      </c>
      <c r="F217" s="115"/>
      <c r="G217" s="86" t="str">
        <f>IFERROR(VLOOKUP(B217,'02. MM-KLH'!$B$6:$T$823,6,0),"")</f>
        <v>Máy cày JD 6200</v>
      </c>
      <c r="H217" s="80" t="s">
        <v>2033</v>
      </c>
      <c r="I217" s="80" t="str">
        <f>IFERROR(VLOOKUP(B217,'02. MM-KLH'!$B$6:$T$823,8,0),"")</f>
        <v>XN Bò AD</v>
      </c>
      <c r="J217" s="99">
        <f>IFERROR(VLOOKUP(B217,'02. MM-KLH'!$B$6:$T$823,9,0),"")</f>
        <v>45360</v>
      </c>
      <c r="K217" s="80" t="str">
        <f>IFERROR(VLOOKUP(B217,'02. MM-KLH'!$B$6:$T$823,10,0),"")</f>
        <v>Bình thường</v>
      </c>
      <c r="L217" s="102" t="str">
        <f>IFERROR(VLOOKUP(B217,'02. MM-KLH'!$B$6:$T$823,11,0),"")</f>
        <v/>
      </c>
      <c r="M217" s="143" t="str">
        <f>IFERROR(VLOOKUP(B217,'02. MM-KLH'!$B$6:$T$823,12,0),"")</f>
        <v/>
      </c>
      <c r="N217" s="108" t="str">
        <f>IFERROR(VLOOKUP(B217,'02. MM-KLH'!$B$6:$T$823,13,0),"")</f>
        <v>JOHN DEERE</v>
      </c>
      <c r="O217" s="108" t="str">
        <f>IFERROR(VLOOKUP(B217,'02. MM-KLH'!$B$6:$T$823,14,0),"")</f>
        <v>ĐỨC</v>
      </c>
      <c r="P217" s="80">
        <f>IFERROR(VLOOKUP(B217,'02. MM-KLH'!$B$6:$T$823,15,0),"")</f>
        <v>1998</v>
      </c>
      <c r="Q217" s="80">
        <f>IFERROR(VLOOKUP(B217,'02. MM-KLH'!$B$6:$T$823,16,0),"")</f>
        <v>6200</v>
      </c>
      <c r="R217" s="106" t="str">
        <f>IFERROR(VLOOKUP(B217,'02. MM-KLH'!$B$6:$T$823,17,0),"")</f>
        <v>90HP</v>
      </c>
      <c r="S217" s="108" t="str">
        <f>IFERROR(VLOOKUP(B217,'02. MM-KLH'!$B$6:$T$823,18,0),"")</f>
        <v>L06200X115877</v>
      </c>
      <c r="T217" s="110" t="str">
        <f>IFERROR(VLOOKUP(B217,'02. MM-KLH'!$B$6:$T$823,19,0),"")</f>
        <v>CD4039T142137</v>
      </c>
      <c r="U217" s="130" t="s">
        <v>235</v>
      </c>
    </row>
    <row r="218" ht="13.5" customHeight="1">
      <c r="A218" s="95">
        <f t="shared" si="9"/>
        <v>11</v>
      </c>
      <c r="B218" s="115" t="s">
        <v>1718</v>
      </c>
      <c r="C218" s="84" t="str">
        <f>IFERROR(VLOOKUP(B218,'02. MM-KLH'!$B$6:$T$823,2,0),"")</f>
        <v>MỚI (ĐQSD)</v>
      </c>
      <c r="D218" s="95" t="str">
        <f>IFERROR(VLOOKUP(B218,'02. MM-KLH'!$B$6:$T$823,3,0),"")</f>
        <v>A22-MKE-056</v>
      </c>
      <c r="E218" s="86" t="str">
        <f>IFERROR(VLOOKUP(B218,'02. MM-KLH'!$B$6:$T$823,4,0),"")</f>
        <v/>
      </c>
      <c r="F218" s="115"/>
      <c r="G218" s="86" t="str">
        <f>IFERROR(VLOOKUP(B218,'02. MM-KLH'!$B$6:$T$823,6,0),"")</f>
        <v>Máy cày JD 5425</v>
      </c>
      <c r="H218" s="80" t="s">
        <v>2033</v>
      </c>
      <c r="I218" s="80" t="str">
        <f>IFERROR(VLOOKUP(B218,'02. MM-KLH'!$B$6:$T$823,8,0),"")</f>
        <v>XN Bò AD</v>
      </c>
      <c r="J218" s="99">
        <f>IFERROR(VLOOKUP(B218,'02. MM-KLH'!$B$6:$T$823,9,0),"")</f>
        <v>45360</v>
      </c>
      <c r="K218" s="80" t="str">
        <f>IFERROR(VLOOKUP(B218,'02. MM-KLH'!$B$6:$T$823,10,0),"")</f>
        <v>Bình thường</v>
      </c>
      <c r="L218" s="102" t="str">
        <f>IFERROR(VLOOKUP(B218,'02. MM-KLH'!$B$6:$T$823,11,0),"")</f>
        <v/>
      </c>
      <c r="M218" s="143" t="str">
        <f>IFERROR(VLOOKUP(B218,'02. MM-KLH'!$B$6:$T$823,12,0),"")</f>
        <v/>
      </c>
      <c r="N218" s="108" t="str">
        <f>IFERROR(VLOOKUP(B218,'02. MM-KLH'!$B$6:$T$823,13,0),"")</f>
        <v>JOHN DEERE</v>
      </c>
      <c r="O218" s="108" t="str">
        <f>IFERROR(VLOOKUP(B218,'02. MM-KLH'!$B$6:$T$823,14,0),"")</f>
        <v>MỸ</v>
      </c>
      <c r="P218" s="80">
        <f>IFERROR(VLOOKUP(B218,'02. MM-KLH'!$B$6:$T$823,15,0),"")</f>
        <v>2006</v>
      </c>
      <c r="Q218" s="80">
        <f>IFERROR(VLOOKUP(B218,'02. MM-KLH'!$B$6:$T$823,16,0),"")</f>
        <v>5425</v>
      </c>
      <c r="R218" s="106" t="str">
        <f>IFERROR(VLOOKUP(B218,'02. MM-KLH'!$B$6:$T$823,17,0),"")</f>
        <v>81HP</v>
      </c>
      <c r="S218" s="108" t="str">
        <f>IFERROR(VLOOKUP(B218,'02. MM-KLH'!$B$6:$T$823,18,0),"")</f>
        <v>542510101Y</v>
      </c>
      <c r="T218" s="110" t="str">
        <f>IFERROR(VLOOKUP(B218,'02. MM-KLH'!$B$6:$T$823,19,0),"")</f>
        <v>PE4045T722734</v>
      </c>
      <c r="U218" s="130" t="s">
        <v>235</v>
      </c>
    </row>
    <row r="219" ht="13.5" customHeight="1">
      <c r="A219" s="95">
        <f t="shared" si="9"/>
        <v>12</v>
      </c>
      <c r="B219" s="115" t="s">
        <v>1749</v>
      </c>
      <c r="C219" s="84" t="str">
        <f>IFERROR(VLOOKUP(B219,'02. MM-KLH'!$B$6:$T$823,2,0),"")</f>
        <v/>
      </c>
      <c r="D219" s="95" t="str">
        <f>IFERROR(VLOOKUP(B219,'02. MM-KLH'!$B$6:$T$823,3,0),"")</f>
        <v/>
      </c>
      <c r="E219" s="86" t="str">
        <f>IFERROR(VLOOKUP(B219,'02. MM-KLH'!$B$6:$T$823,4,0),"")</f>
        <v/>
      </c>
      <c r="F219" s="115"/>
      <c r="G219" s="86" t="str">
        <f>IFERROR(VLOOKUP(B219,'02. MM-KLH'!$B$6:$T$823,6,0),"")</f>
        <v>Máy cày JD 6155J</v>
      </c>
      <c r="H219" s="80" t="s">
        <v>2033</v>
      </c>
      <c r="I219" s="80" t="str">
        <f>IFERROR(VLOOKUP(B219,'02. MM-KLH'!$B$6:$T$823,8,0),"")</f>
        <v>XN Bò AD</v>
      </c>
      <c r="J219" s="99">
        <f>IFERROR(VLOOKUP(B219,'02. MM-KLH'!$B$6:$T$823,9,0),"")</f>
        <v>45756</v>
      </c>
      <c r="K219" s="80" t="str">
        <f>IFERROR(VLOOKUP(B219,'02. MM-KLH'!$B$6:$T$823,10,0),"")</f>
        <v>Bình thường</v>
      </c>
      <c r="L219" s="102" t="str">
        <f>IFERROR(VLOOKUP(B219,'02. MM-KLH'!$B$6:$T$823,11,0),"")</f>
        <v/>
      </c>
      <c r="M219" s="143" t="str">
        <f>IFERROR(VLOOKUP(B219,'02. MM-KLH'!$B$6:$T$823,12,0),"")</f>
        <v>- Điều chuyển từ KLH SN Ttr số: "002-08/2025-B.CN:</v>
      </c>
      <c r="N219" s="108" t="str">
        <f>IFERROR(VLOOKUP(B219,'02. MM-KLH'!$B$6:$T$823,13,0),"")</f>
        <v>JOHN DEERE</v>
      </c>
      <c r="O219" s="108" t="str">
        <f>IFERROR(VLOOKUP(B219,'02. MM-KLH'!$B$6:$T$823,14,0),"")</f>
        <v>MỸ</v>
      </c>
      <c r="P219" s="80">
        <f>IFERROR(VLOOKUP(B219,'02. MM-KLH'!$B$6:$T$823,15,0),"")</f>
        <v>2024</v>
      </c>
      <c r="Q219" s="80" t="str">
        <f>IFERROR(VLOOKUP(B219,'02. MM-KLH'!$B$6:$T$823,16,0),"")</f>
        <v>6155J</v>
      </c>
      <c r="R219" s="106" t="str">
        <f>IFERROR(VLOOKUP(B219,'02. MM-KLH'!$B$6:$T$823,17,0),"")</f>
        <v>155HP</v>
      </c>
      <c r="S219" s="108" t="str">
        <f>IFERROR(VLOOKUP(B219,'02. MM-KLH'!$B$6:$T$823,18,0),"")</f>
        <v>1P06155JPR8010864</v>
      </c>
      <c r="T219" s="110" t="str">
        <f>IFERROR(VLOOKUP(B219,'02. MM-KLH'!$B$6:$T$823,19,0),"")</f>
        <v>PE6068J008216</v>
      </c>
      <c r="U219" s="130" t="s">
        <v>2301</v>
      </c>
    </row>
    <row r="220" ht="13.5" customHeight="1">
      <c r="A220" s="95">
        <f t="shared" si="9"/>
        <v>13</v>
      </c>
      <c r="B220" s="115" t="s">
        <v>1753</v>
      </c>
      <c r="C220" s="84" t="str">
        <f>IFERROR(VLOOKUP(B220,'02. MM-KLH'!$B$6:$T$823,2,0),"")</f>
        <v>Mới (100%)</v>
      </c>
      <c r="D220" s="95" t="str">
        <f>IFERROR(VLOOKUP(B220,'02. MM-KLH'!$B$6:$T$823,3,0),"")</f>
        <v>A22-MKE-047</v>
      </c>
      <c r="E220" s="86" t="str">
        <f>IFERROR(VLOOKUP(B220,'02. MM-KLH'!$B$6:$T$823,4,0),"")</f>
        <v/>
      </c>
      <c r="F220" s="115"/>
      <c r="G220" s="86" t="str">
        <f>IFERROR(VLOOKUP(B220,'02. MM-KLH'!$B$6:$T$823,6,0),"")</f>
        <v>Máy cày JD 6120B</v>
      </c>
      <c r="H220" s="80" t="s">
        <v>2033</v>
      </c>
      <c r="I220" s="80" t="str">
        <f>IFERROR(VLOOKUP(B220,'02. MM-KLH'!$B$6:$T$823,8,0),"")</f>
        <v>XN Bò AD</v>
      </c>
      <c r="J220" s="99" t="str">
        <f>IFERROR(VLOOKUP(B220,'02. MM-KLH'!$B$6:$T$823,9,0),"")</f>
        <v>19/09/2025</v>
      </c>
      <c r="K220" s="80" t="str">
        <f>IFERROR(VLOOKUP(B220,'02. MM-KLH'!$B$6:$T$823,10,0),"")</f>
        <v>Bình thường</v>
      </c>
      <c r="L220" s="102" t="str">
        <f>IFERROR(VLOOKUP(B220,'02. MM-KLH'!$B$6:$T$823,11,0),"")</f>
        <v/>
      </c>
      <c r="M220" s="143" t="str">
        <f>IFERROR(VLOOKUP(B220,'02. MM-KLH'!$B$6:$T$823,12,0),"")</f>
        <v/>
      </c>
      <c r="N220" s="108" t="str">
        <f>IFERROR(VLOOKUP(B220,'02. MM-KLH'!$B$6:$T$823,13,0),"")</f>
        <v>JOHN DEERE</v>
      </c>
      <c r="O220" s="108" t="str">
        <f>IFERROR(VLOOKUP(B220,'02. MM-KLH'!$B$6:$T$823,14,0),"")</f>
        <v>TRUNG QUỐC </v>
      </c>
      <c r="P220" s="80">
        <f>IFERROR(VLOOKUP(B220,'02. MM-KLH'!$B$6:$T$823,15,0),"")</f>
        <v>2025</v>
      </c>
      <c r="Q220" s="80" t="str">
        <f>IFERROR(VLOOKUP(B220,'02. MM-KLH'!$B$6:$T$823,16,0),"")</f>
        <v>6120B</v>
      </c>
      <c r="R220" s="106" t="str">
        <f>IFERROR(VLOOKUP(B220,'02. MM-KLH'!$B$6:$T$823,17,0),"")</f>
        <v>120HP</v>
      </c>
      <c r="S220" s="108" t="str">
        <f>IFERROR(VLOOKUP(B220,'02. MM-KLH'!$B$6:$T$823,18,0),"")</f>
        <v>1YR6120BLSV220083</v>
      </c>
      <c r="T220" s="110" t="str">
        <f>IFERROR(VLOOKUP(B220,'02. MM-KLH'!$B$6:$T$823,19,0),"")</f>
        <v>PE4045N051252</v>
      </c>
      <c r="U220" s="130" t="s">
        <v>2301</v>
      </c>
    </row>
    <row r="221" ht="13.5" customHeight="1">
      <c r="A221" s="95">
        <f t="shared" si="9"/>
        <v>14</v>
      </c>
      <c r="B221" s="115" t="s">
        <v>1759</v>
      </c>
      <c r="C221" s="84" t="str">
        <f>IFERROR(VLOOKUP(B221,'02. MM-KLH'!$B$6:$T$823,2,0),"")</f>
        <v>Mới (100%)</v>
      </c>
      <c r="D221" s="95" t="str">
        <f>IFERROR(VLOOKUP(B221,'02. MM-KLH'!$B$6:$T$823,3,0),"")</f>
        <v>A22-MKE-048</v>
      </c>
      <c r="E221" s="86" t="str">
        <f>IFERROR(VLOOKUP(B221,'02. MM-KLH'!$B$6:$T$823,4,0),"")</f>
        <v/>
      </c>
      <c r="F221" s="115"/>
      <c r="G221" s="86" t="str">
        <f>IFERROR(VLOOKUP(B221,'02. MM-KLH'!$B$6:$T$823,6,0),"")</f>
        <v>Máy cày JD 6120B</v>
      </c>
      <c r="H221" s="80" t="s">
        <v>2033</v>
      </c>
      <c r="I221" s="80" t="str">
        <f>IFERROR(VLOOKUP(B221,'02. MM-KLH'!$B$6:$T$823,8,0),"")</f>
        <v>XN Bò AD</v>
      </c>
      <c r="J221" s="99" t="str">
        <f>IFERROR(VLOOKUP(B221,'02. MM-KLH'!$B$6:$T$823,9,0),"")</f>
        <v>19/09/2025</v>
      </c>
      <c r="K221" s="80" t="str">
        <f>IFERROR(VLOOKUP(B221,'02. MM-KLH'!$B$6:$T$823,10,0),"")</f>
        <v>Bình thường</v>
      </c>
      <c r="L221" s="102" t="str">
        <f>IFERROR(VLOOKUP(B221,'02. MM-KLH'!$B$6:$T$823,11,0),"")</f>
        <v/>
      </c>
      <c r="M221" s="143" t="str">
        <f>IFERROR(VLOOKUP(B221,'02. MM-KLH'!$B$6:$T$823,12,0),"")</f>
        <v/>
      </c>
      <c r="N221" s="108" t="str">
        <f>IFERROR(VLOOKUP(B221,'02. MM-KLH'!$B$6:$T$823,13,0),"")</f>
        <v>JOHN DEERE</v>
      </c>
      <c r="O221" s="108" t="str">
        <f>IFERROR(VLOOKUP(B221,'02. MM-KLH'!$B$6:$T$823,14,0),"")</f>
        <v>TRUNG QUỐC </v>
      </c>
      <c r="P221" s="80">
        <f>IFERROR(VLOOKUP(B221,'02. MM-KLH'!$B$6:$T$823,15,0),"")</f>
        <v>2025</v>
      </c>
      <c r="Q221" s="80" t="str">
        <f>IFERROR(VLOOKUP(B221,'02. MM-KLH'!$B$6:$T$823,16,0),"")</f>
        <v>6120B</v>
      </c>
      <c r="R221" s="106" t="str">
        <f>IFERROR(VLOOKUP(B221,'02. MM-KLH'!$B$6:$T$823,17,0),"")</f>
        <v>120HP</v>
      </c>
      <c r="S221" s="108" t="str">
        <f>IFERROR(VLOOKUP(B221,'02. MM-KLH'!$B$6:$T$823,18,0),"")</f>
        <v>1YR6120BHSV220084</v>
      </c>
      <c r="T221" s="110" t="str">
        <f>IFERROR(VLOOKUP(B221,'02. MM-KLH'!$B$6:$T$823,19,0),"")</f>
        <v>PE4045N051256</v>
      </c>
      <c r="U221" s="130" t="s">
        <v>2301</v>
      </c>
    </row>
    <row r="222" ht="13.5" customHeight="1">
      <c r="A222" s="95">
        <f t="shared" si="9"/>
        <v>15</v>
      </c>
      <c r="B222" s="115" t="s">
        <v>1763</v>
      </c>
      <c r="C222" s="84" t="str">
        <f>IFERROR(VLOOKUP(B222,'02. MM-KLH'!$B$6:$T$823,2,0),"")</f>
        <v/>
      </c>
      <c r="D222" s="95" t="str">
        <f>IFERROR(VLOOKUP(B222,'02. MM-KLH'!$B$6:$T$823,3,0),"")</f>
        <v>A22-MKE-049</v>
      </c>
      <c r="E222" s="86" t="str">
        <f>IFERROR(VLOOKUP(B222,'02. MM-KLH'!$B$6:$T$823,4,0),"")</f>
        <v/>
      </c>
      <c r="F222" s="115"/>
      <c r="G222" s="86" t="str">
        <f>IFERROR(VLOOKUP(B222,'02. MM-KLH'!$B$6:$T$823,6,0),"")</f>
        <v>Máy cày JD 6200</v>
      </c>
      <c r="H222" s="80" t="s">
        <v>2033</v>
      </c>
      <c r="I222" s="80" t="str">
        <f>IFERROR(VLOOKUP(B222,'02. MM-KLH'!$B$6:$T$823,8,0),"")</f>
        <v>XN Bò AD</v>
      </c>
      <c r="J222" s="99" t="str">
        <f>IFERROR(VLOOKUP(B222,'02. MM-KLH'!$B$6:$T$823,9,0),"")</f>
        <v>26/09/2025</v>
      </c>
      <c r="K222" s="80" t="str">
        <f>IFERROR(VLOOKUP(B222,'02. MM-KLH'!$B$6:$T$823,10,0),"")</f>
        <v>Bình thường</v>
      </c>
      <c r="L222" s="102" t="str">
        <f>IFERROR(VLOOKUP(B222,'02. MM-KLH'!$B$6:$T$823,11,0),"")</f>
        <v/>
      </c>
      <c r="M222" s="143" t="str">
        <f>IFERROR(VLOOKUP(B222,'02. MM-KLH'!$B$6:$T$823,12,0),"")</f>
        <v/>
      </c>
      <c r="N222" s="108" t="str">
        <f>IFERROR(VLOOKUP(B222,'02. MM-KLH'!$B$6:$T$823,13,0),"")</f>
        <v>JOHN DEERE</v>
      </c>
      <c r="O222" s="108" t="str">
        <f>IFERROR(VLOOKUP(B222,'02. MM-KLH'!$B$6:$T$823,14,0),"")</f>
        <v>TRUNG QUỐC </v>
      </c>
      <c r="P222" s="80">
        <f>IFERROR(VLOOKUP(B222,'02. MM-KLH'!$B$6:$T$823,15,0),"")</f>
        <v>1998</v>
      </c>
      <c r="Q222" s="80">
        <f>IFERROR(VLOOKUP(B222,'02. MM-KLH'!$B$6:$T$823,16,0),"")</f>
        <v>6200</v>
      </c>
      <c r="R222" s="106" t="str">
        <f>IFERROR(VLOOKUP(B222,'02. MM-KLH'!$B$6:$T$823,17,0),"")</f>
        <v>90HP</v>
      </c>
      <c r="S222" s="108" t="str">
        <f>IFERROR(VLOOKUP(B222,'02. MM-KLH'!$B$6:$T$823,18,0),"")</f>
        <v>L06200X154907</v>
      </c>
      <c r="T222" s="110" t="str">
        <f>IFERROR(VLOOKUP(B222,'02. MM-KLH'!$B$6:$T$823,19,0),"")</f>
        <v>CD4039T232227</v>
      </c>
      <c r="U222" s="130" t="s">
        <v>235</v>
      </c>
    </row>
    <row r="223">
      <c r="A223" s="95">
        <f t="shared" si="9"/>
        <v>16</v>
      </c>
      <c r="B223" s="115" t="s">
        <v>1768</v>
      </c>
      <c r="C223" s="84" t="str">
        <f>IFERROR(VLOOKUP(B223,'02. MM-KLH'!$B$6:$T$823,2,0),"")</f>
        <v/>
      </c>
      <c r="D223" s="95" t="str">
        <f>IFERROR(VLOOKUP(B223,'02. MM-KLH'!$B$6:$T$823,3,0),"")</f>
        <v>A22-MKE-050</v>
      </c>
      <c r="E223" s="86" t="str">
        <f>IFERROR(VLOOKUP(B223,'02. MM-KLH'!$B$6:$T$823,4,0),"")</f>
        <v/>
      </c>
      <c r="F223" s="115"/>
      <c r="G223" s="86" t="str">
        <f>IFERROR(VLOOKUP(B223,'02. MM-KLH'!$B$6:$T$823,6,0),"")</f>
        <v>Máy cày JD 6210</v>
      </c>
      <c r="H223" s="80" t="s">
        <v>2033</v>
      </c>
      <c r="I223" s="80" t="str">
        <f>IFERROR(VLOOKUP(B223,'02. MM-KLH'!$B$6:$T$823,8,0),"")</f>
        <v>XN Bò AD</v>
      </c>
      <c r="J223" s="99" t="str">
        <f>IFERROR(VLOOKUP(B223,'02. MM-KLH'!$B$6:$T$823,9,0),"")</f>
        <v>26/09/2025</v>
      </c>
      <c r="K223" s="80" t="str">
        <f>IFERROR(VLOOKUP(B223,'02. MM-KLH'!$B$6:$T$823,10,0),"")</f>
        <v>Bình thường</v>
      </c>
      <c r="L223" s="102" t="str">
        <f>IFERROR(VLOOKUP(B223,'02. MM-KLH'!$B$6:$T$823,11,0),"")</f>
        <v/>
      </c>
      <c r="M223" s="143" t="str">
        <f>IFERROR(VLOOKUP(B223,'02. MM-KLH'!$B$6:$T$823,12,0),"")</f>
        <v/>
      </c>
      <c r="N223" s="108" t="str">
        <f>IFERROR(VLOOKUP(B223,'02. MM-KLH'!$B$6:$T$823,13,0),"")</f>
        <v>JOHN DEERE</v>
      </c>
      <c r="O223" s="108" t="str">
        <f>IFERROR(VLOOKUP(B223,'02. MM-KLH'!$B$6:$T$823,14,0),"")</f>
        <v>TRUNG QUỐC </v>
      </c>
      <c r="P223" s="80">
        <f>IFERROR(VLOOKUP(B223,'02. MM-KLH'!$B$6:$T$823,15,0),"")</f>
        <v>1999</v>
      </c>
      <c r="Q223" s="80">
        <f>IFERROR(VLOOKUP(B223,'02. MM-KLH'!$B$6:$T$823,16,0),"")</f>
        <v>6210</v>
      </c>
      <c r="R223" s="106" t="str">
        <f>IFERROR(VLOOKUP(B223,'02. MM-KLH'!$B$6:$T$823,17,0),"")</f>
        <v>95HP</v>
      </c>
      <c r="S223" s="108" t="str">
        <f>IFERROR(VLOOKUP(B223,'02. MM-KLH'!$B$6:$T$823,18,0),"")</f>
        <v>322019L</v>
      </c>
      <c r="T223" s="110" t="str">
        <f>IFERROR(VLOOKUP(B223,'02. MM-KLH'!$B$6:$T$823,19,0),"")</f>
        <v>CD4045T534901</v>
      </c>
      <c r="U223" s="130" t="s">
        <v>235</v>
      </c>
    </row>
    <row r="224" ht="13.5" customHeight="1">
      <c r="A224" s="95">
        <f t="shared" si="9"/>
        <v>17</v>
      </c>
      <c r="B224" s="115" t="s">
        <v>1773</v>
      </c>
      <c r="C224" s="84" t="str">
        <f>IFERROR(VLOOKUP(B224,'02. MM-KLH'!$B$6:$T$823,2,0),"")</f>
        <v/>
      </c>
      <c r="D224" s="95" t="str">
        <f>IFERROR(VLOOKUP(B224,'02. MM-KLH'!$B$6:$T$823,3,0),"")</f>
        <v>A22-MKE-057</v>
      </c>
      <c r="E224" s="86" t="str">
        <f>IFERROR(VLOOKUP(B224,'02. MM-KLH'!$B$6:$T$823,4,0),"")</f>
        <v/>
      </c>
      <c r="F224" s="115"/>
      <c r="G224" s="86" t="str">
        <f>IFERROR(VLOOKUP(B224,'02. MM-KLH'!$B$6:$T$823,6,0),"")</f>
        <v>Máy cày JD 6620</v>
      </c>
      <c r="H224" s="80" t="s">
        <v>2033</v>
      </c>
      <c r="I224" s="80" t="str">
        <f>IFERROR(VLOOKUP(B224,'02. MM-KLH'!$B$6:$T$823,8,0),"")</f>
        <v>XN Bò AD</v>
      </c>
      <c r="J224" s="99" t="str">
        <f>IFERROR(VLOOKUP(B224,'02. MM-KLH'!$B$6:$T$823,9,0),"")</f>
        <v>26/09/2025</v>
      </c>
      <c r="K224" s="80" t="str">
        <f>IFERROR(VLOOKUP(B224,'02. MM-KLH'!$B$6:$T$823,10,0),"")</f>
        <v>Bình thường</v>
      </c>
      <c r="L224" s="102" t="str">
        <f>IFERROR(VLOOKUP(B224,'02. MM-KLH'!$B$6:$T$823,11,0),"")</f>
        <v/>
      </c>
      <c r="M224" s="143" t="str">
        <f>IFERROR(VLOOKUP(B224,'02. MM-KLH'!$B$6:$T$823,12,0),"")</f>
        <v/>
      </c>
      <c r="N224" s="108" t="str">
        <f>IFERROR(VLOOKUP(B224,'02. MM-KLH'!$B$6:$T$823,13,0),"")</f>
        <v>JOHN DEERE</v>
      </c>
      <c r="O224" s="108" t="str">
        <f>IFERROR(VLOOKUP(B224,'02. MM-KLH'!$B$6:$T$823,14,0),"")</f>
        <v>TRUNG QUỐC </v>
      </c>
      <c r="P224" s="80">
        <f>IFERROR(VLOOKUP(B224,'02. MM-KLH'!$B$6:$T$823,15,0),"")</f>
        <v>1999</v>
      </c>
      <c r="Q224" s="80">
        <f>IFERROR(VLOOKUP(B224,'02. MM-KLH'!$B$6:$T$823,16,0),"")</f>
        <v>6620</v>
      </c>
      <c r="R224" s="106" t="str">
        <f>IFERROR(VLOOKUP(B224,'02. MM-KLH'!$B$6:$T$823,17,0),"")</f>
        <v>120HP</v>
      </c>
      <c r="S224" s="108" t="str">
        <f>IFERROR(VLOOKUP(B224,'02. MM-KLH'!$B$6:$T$823,18,0),"")</f>
        <v>L06620D501194</v>
      </c>
      <c r="T224" s="110" t="str">
        <f>IFERROR(VLOOKUP(B224,'02. MM-KLH'!$B$6:$T$823,19,0),"")</f>
        <v>CD6068G073699</v>
      </c>
      <c r="U224" s="130" t="s">
        <v>235</v>
      </c>
    </row>
    <row r="225" ht="13.5" customHeight="1">
      <c r="A225" s="95">
        <f t="shared" si="9"/>
        <v>18</v>
      </c>
      <c r="B225" s="115" t="s">
        <v>1799</v>
      </c>
      <c r="C225" s="84" t="str">
        <f>IFERROR(VLOOKUP(B225,'02. MM-KLH'!$B$6:$T$823,2,0),"")</f>
        <v/>
      </c>
      <c r="D225" s="95" t="str">
        <f>IFERROR(VLOOKUP(B225,'02. MM-KLH'!$B$6:$T$823,3,0),"")</f>
        <v>A22-MKE-063</v>
      </c>
      <c r="E225" s="86" t="str">
        <f>IFERROR(VLOOKUP(B225,'02. MM-KLH'!$B$6:$T$823,4,0),"")</f>
        <v/>
      </c>
      <c r="F225" s="115"/>
      <c r="G225" s="86" t="str">
        <f>IFERROR(VLOOKUP(B225,'02. MM-KLH'!$B$6:$T$823,6,0),"")</f>
        <v>Máy cày JD 6600</v>
      </c>
      <c r="H225" s="80" t="s">
        <v>2033</v>
      </c>
      <c r="I225" s="80" t="str">
        <f>IFERROR(VLOOKUP(B225,'02. MM-KLH'!$B$6:$T$823,8,0),"")</f>
        <v>XN Bò AD</v>
      </c>
      <c r="J225" s="99" t="str">
        <f>IFERROR(VLOOKUP(B225,'02. MM-KLH'!$B$6:$T$823,9,0),"")</f>
        <v>14/01/2026</v>
      </c>
      <c r="K225" s="80" t="str">
        <f>IFERROR(VLOOKUP(B225,'02. MM-KLH'!$B$6:$T$823,10,0),"")</f>
        <v>Bình thường</v>
      </c>
      <c r="L225" s="102" t="str">
        <f>IFERROR(VLOOKUP(B225,'02. MM-KLH'!$B$6:$T$823,11,0),"")</f>
        <v/>
      </c>
      <c r="M225" s="143" t="str">
        <f>IFERROR(VLOOKUP(B225,'02. MM-KLH'!$B$6:$T$823,12,0),"")</f>
        <v>Đầu tư mới (ĐQSD)</v>
      </c>
      <c r="N225" s="108" t="str">
        <f>IFERROR(VLOOKUP(B225,'02. MM-KLH'!$B$6:$T$823,13,0),"")</f>
        <v>JOHN DEERE</v>
      </c>
      <c r="O225" s="108" t="str">
        <f>IFERROR(VLOOKUP(B225,'02. MM-KLH'!$B$6:$T$823,14,0),"")</f>
        <v>Đức</v>
      </c>
      <c r="P225" s="80">
        <f>IFERROR(VLOOKUP(B225,'02. MM-KLH'!$B$6:$T$823,15,0),"")</f>
        <v>1995</v>
      </c>
      <c r="Q225" s="80">
        <f>IFERROR(VLOOKUP(B225,'02. MM-KLH'!$B$6:$T$823,16,0),"")</f>
        <v>6600</v>
      </c>
      <c r="R225" s="106" t="str">
        <f>IFERROR(VLOOKUP(B225,'02. MM-KLH'!$B$6:$T$823,17,0),"")</f>
        <v>110HP</v>
      </c>
      <c r="S225" s="108" t="str">
        <f>IFERROR(VLOOKUP(B225,'02. MM-KLH'!$B$6:$T$823,18,0),"")</f>
        <v>L06600V172903</v>
      </c>
      <c r="T225" s="110" t="str">
        <f>IFERROR(VLOOKUP(B225,'02. MM-KLH'!$B$6:$T$823,19,0),"")</f>
        <v>CD6059T276336</v>
      </c>
      <c r="U225" s="130" t="s">
        <v>235</v>
      </c>
    </row>
    <row r="226" ht="42.0" customHeight="1">
      <c r="A226" s="95">
        <f t="shared" si="9"/>
        <v>19</v>
      </c>
      <c r="B226" s="115" t="s">
        <v>1618</v>
      </c>
      <c r="C226" s="84" t="str">
        <f>IFERROR(VLOOKUP(B226,'02. MM-KLH'!$B$6:$T$823,2,0),"")</f>
        <v/>
      </c>
      <c r="D226" s="95" t="str">
        <f>IFERROR(VLOOKUP(B226,'02. MM-KLH'!$B$6:$T$823,3,0),"")</f>
        <v>A22-MKE-062</v>
      </c>
      <c r="E226" s="86" t="str">
        <f>IFERROR(VLOOKUP(B226,'02. MM-KLH'!$B$6:$T$823,4,0),"")</f>
        <v/>
      </c>
      <c r="F226" s="115"/>
      <c r="G226" s="86" t="str">
        <f>IFERROR(VLOOKUP(B226,'02. MM-KLH'!$B$6:$T$823,6,0),"")</f>
        <v>Máy cày JD 6200</v>
      </c>
      <c r="H226" s="80" t="s">
        <v>2033</v>
      </c>
      <c r="I226" s="80" t="str">
        <f>IFERROR(VLOOKUP(B226,'02. MM-KLH'!$B$6:$T$823,8,0),"")</f>
        <v>XN Bò AD</v>
      </c>
      <c r="J226" s="99" t="str">
        <f>IFERROR(VLOOKUP(B226,'02. MM-KLH'!$B$6:$T$823,9,0),"")</f>
        <v>25/12/2025</v>
      </c>
      <c r="K226" s="80" t="str">
        <f>IFERROR(VLOOKUP(B226,'02. MM-KLH'!$B$6:$T$823,10,0),"")</f>
        <v>Bình thường</v>
      </c>
      <c r="L226" s="102" t="str">
        <f>IFERROR(VLOOKUP(B226,'02. MM-KLH'!$B$6:$T$823,11,0),"")</f>
        <v/>
      </c>
      <c r="M226" s="143" t="str">
        <f>IFERROR(VLOOKUP(B226,'02. MM-KLH'!$B$6:$T$823,12,0),"")</f>
        <v>- Đầu tư mới ngày 25/12/2025
- XN CAT AD điều chuyển qua XN Bò AD1 ngày 18/05/2026
- XN Bò chuyển về lại xn Xoài 13/06/2026</v>
      </c>
      <c r="N226" s="108" t="str">
        <f>IFERROR(VLOOKUP(B226,'02. MM-KLH'!$B$6:$T$823,13,0),"")</f>
        <v>John Deere</v>
      </c>
      <c r="O226" s="108" t="str">
        <f>IFERROR(VLOOKUP(B226,'02. MM-KLH'!$B$6:$T$823,14,0),"")</f>
        <v>Đức</v>
      </c>
      <c r="P226" s="80">
        <f>IFERROR(VLOOKUP(B226,'02. MM-KLH'!$B$6:$T$823,15,0),"")</f>
        <v>1997</v>
      </c>
      <c r="Q226" s="80">
        <f>IFERROR(VLOOKUP(B226,'02. MM-KLH'!$B$6:$T$823,16,0),"")</f>
        <v>6200</v>
      </c>
      <c r="R226" s="106" t="str">
        <f>IFERROR(VLOOKUP(B226,'02. MM-KLH'!$B$6:$T$823,17,0),"")</f>
        <v>90HP</v>
      </c>
      <c r="S226" s="108" t="str">
        <f>IFERROR(VLOOKUP(B226,'02. MM-KLH'!$B$6:$T$823,18,0),"")</f>
        <v>L06200V203044</v>
      </c>
      <c r="T226" s="110" t="str">
        <f>IFERROR(VLOOKUP(B226,'02. MM-KLH'!$B$6:$T$823,19,0),"")</f>
        <v>CD4039T351816</v>
      </c>
      <c r="U226" s="130" t="s">
        <v>235</v>
      </c>
    </row>
    <row r="227" ht="13.5" customHeight="1">
      <c r="A227" s="95"/>
      <c r="B227" s="115"/>
      <c r="C227" s="84"/>
      <c r="D227" s="95"/>
      <c r="E227" s="86"/>
      <c r="F227" s="115"/>
      <c r="G227" s="86"/>
      <c r="H227" s="80"/>
      <c r="I227" s="80"/>
      <c r="J227" s="99"/>
      <c r="K227" s="80"/>
      <c r="L227" s="102"/>
      <c r="M227" s="143"/>
      <c r="N227" s="108"/>
      <c r="O227" s="108"/>
      <c r="P227" s="80"/>
      <c r="Q227" s="80"/>
      <c r="R227" s="106"/>
      <c r="S227" s="108"/>
      <c r="T227" s="110"/>
      <c r="U227" s="479"/>
    </row>
    <row r="228" ht="13.5" customHeight="1">
      <c r="A228" s="95"/>
      <c r="B228" s="115"/>
      <c r="C228" s="84" t="str">
        <f>IFERROR(VLOOKUP(B228,'02. MM-KLH'!$B$6:$T$823,2,0),"")</f>
        <v/>
      </c>
      <c r="D228" s="95" t="str">
        <f>IFERROR(VLOOKUP(B228,'02. MM-KLH'!$B$6:$T$823,3,0),"")</f>
        <v/>
      </c>
      <c r="E228" s="86" t="str">
        <f>IFERROR(VLOOKUP(B228,'02. MM-KLH'!$B$6:$T$823,4,0),"")</f>
        <v/>
      </c>
      <c r="F228" s="115"/>
      <c r="G228" s="86" t="str">
        <f>IFERROR(VLOOKUP(B228,'02. MM-KLH'!$B$6:$T$823,6,0),"")</f>
        <v/>
      </c>
      <c r="H228" s="80"/>
      <c r="I228" s="80" t="str">
        <f>IFERROR(VLOOKUP(B228,'02. MM-KLH'!$B$6:$T$823,8,0),"")</f>
        <v/>
      </c>
      <c r="J228" s="99" t="str">
        <f>IFERROR(VLOOKUP(B228,'02. MM-KLH'!$B$6:$T$823,9,0),"")</f>
        <v/>
      </c>
      <c r="K228" s="80" t="str">
        <f>IFERROR(VLOOKUP(B228,'02. MM-KLH'!$B$6:$T$823,10,0),"")</f>
        <v/>
      </c>
      <c r="L228" s="102" t="str">
        <f>IFERROR(VLOOKUP(B228,'02. MM-KLH'!$B$6:$T$823,11,0),"")</f>
        <v/>
      </c>
      <c r="M228" s="143" t="str">
        <f>IFERROR(VLOOKUP(B228,'02. MM-KLH'!$B$6:$T$823,12,0),"")</f>
        <v/>
      </c>
      <c r="N228" s="108" t="str">
        <f>IFERROR(VLOOKUP(B228,'02. MM-KLH'!$B$6:$T$823,13,0),"")</f>
        <v/>
      </c>
      <c r="O228" s="108" t="str">
        <f>IFERROR(VLOOKUP(B228,'02. MM-KLH'!$B$6:$T$823,14,0),"")</f>
        <v/>
      </c>
      <c r="P228" s="80" t="str">
        <f>IFERROR(VLOOKUP(B228,'02. MM-KLH'!$B$6:$T$823,15,0),"")</f>
        <v/>
      </c>
      <c r="Q228" s="80" t="str">
        <f>IFERROR(VLOOKUP(B228,'02. MM-KLH'!$B$6:$T$823,16,0),"")</f>
        <v/>
      </c>
      <c r="R228" s="106" t="str">
        <f>IFERROR(VLOOKUP(B228,'02. MM-KLH'!$B$6:$T$823,17,0),"")</f>
        <v/>
      </c>
      <c r="S228" s="108" t="str">
        <f>IFERROR(VLOOKUP(B228,'02. MM-KLH'!$B$6:$T$823,18,0),"")</f>
        <v/>
      </c>
      <c r="T228" s="110" t="str">
        <f>IFERROR(VLOOKUP(B228,'02. MM-KLH'!$B$6:$T$823,19,0),"")</f>
        <v/>
      </c>
      <c r="U228" s="110" t="str">
        <f>IFERROR(VLOOKUP(C228,'02. MM-KLH'!$B$6:$T$823,19,0),"")</f>
        <v/>
      </c>
    </row>
    <row r="229" ht="13.5" customHeight="1">
      <c r="A229" s="82" t="s">
        <v>76</v>
      </c>
      <c r="B229" s="83" t="s">
        <v>3403</v>
      </c>
      <c r="C229" s="85">
        <f>COUNTA(B230:B258)</f>
        <v>19</v>
      </c>
      <c r="D229" s="85" t="str">
        <f>IFERROR(VLOOKUP(B229,'02. MM-KLH'!$B$6:$T$823,3,0),"")</f>
        <v/>
      </c>
      <c r="E229" s="85" t="str">
        <f>IFERROR(VLOOKUP(B229,'02. MM-KLH'!$B$6:$T$823,4,0),"")</f>
        <v/>
      </c>
      <c r="F229" s="85"/>
      <c r="G229" s="85" t="str">
        <f>IFERROR(VLOOKUP(B229,'02. MM-KLH'!$B$6:$T$823,6,0),"")</f>
        <v/>
      </c>
      <c r="H229" s="85"/>
      <c r="I229" s="85" t="str">
        <f>IFERROR(VLOOKUP(B229,'02. MM-KLH'!$B$6:$T$823,8,0),"")</f>
        <v/>
      </c>
      <c r="J229" s="85" t="str">
        <f>IFERROR(VLOOKUP(B229,'02. MM-KLH'!$B$6:$T$823,9,0),"")</f>
        <v/>
      </c>
      <c r="K229" s="85" t="str">
        <f>IFERROR(VLOOKUP(B229,'02. MM-KLH'!$B$6:$T$823,10,0),"")</f>
        <v/>
      </c>
      <c r="L229" s="85" t="str">
        <f>IFERROR(VLOOKUP(B229,'02. MM-KLH'!$B$6:$T$823,11,0),"")</f>
        <v/>
      </c>
      <c r="M229" s="85" t="str">
        <f>IFERROR(VLOOKUP(B229,'02. MM-KLH'!$B$6:$T$823,12,0),"")</f>
        <v/>
      </c>
      <c r="N229" s="85" t="str">
        <f>IFERROR(VLOOKUP(B229,'02. MM-KLH'!$B$6:$T$823,13,0),"")</f>
        <v/>
      </c>
      <c r="O229" s="85" t="str">
        <f>IFERROR(VLOOKUP(B229,'02. MM-KLH'!$B$6:$T$823,14,0),"")</f>
        <v/>
      </c>
      <c r="P229" s="85" t="str">
        <f>IFERROR(VLOOKUP(B229,'02. MM-KLH'!$B$6:$T$823,15,0),"")</f>
        <v/>
      </c>
      <c r="Q229" s="85" t="str">
        <f>IFERROR(VLOOKUP(B229,'02. MM-KLH'!$B$6:$T$823,16,0),"")</f>
        <v/>
      </c>
      <c r="R229" s="85" t="str">
        <f>IFERROR(VLOOKUP(B229,'02. MM-KLH'!$B$6:$T$823,17,0),"")</f>
        <v/>
      </c>
      <c r="S229" s="85" t="str">
        <f>IFERROR(VLOOKUP(B229,'02. MM-KLH'!$B$6:$T$823,18,0),"")</f>
        <v/>
      </c>
      <c r="T229" s="85" t="str">
        <f>IFERROR(VLOOKUP(B229,'02. MM-KLH'!$B$6:$T$823,19,0),"")</f>
        <v/>
      </c>
      <c r="U229" s="85" t="str">
        <f>IFERROR(VLOOKUP(C229,'02. MM-KLH'!$B$6:$T$823,19,0),"")</f>
        <v/>
      </c>
    </row>
    <row r="230" ht="40.5" customHeight="1">
      <c r="A230" s="80">
        <v>1.0</v>
      </c>
      <c r="B230" s="115" t="s">
        <v>1409</v>
      </c>
      <c r="C230" s="86" t="str">
        <f>IFERROR(VLOOKUP(B230,'02. MM-KLH'!$B$6:$T$823,2,0),"")</f>
        <v>XXA-MKE-008</v>
      </c>
      <c r="D230" s="95" t="str">
        <f>IFERROR(VLOOKUP(B230,'02. MM-KLH'!$B$6:$T$823,3,0),"")</f>
        <v>A22-MKE-008</v>
      </c>
      <c r="E230" s="86" t="str">
        <f>IFERROR(VLOOKUP(B230,'02. MM-KLH'!$B$6:$T$823,4,0),"")</f>
        <v/>
      </c>
      <c r="F230" s="115"/>
      <c r="G230" s="86" t="str">
        <f>IFERROR(VLOOKUP(B230,'02. MM-KLH'!$B$6:$T$823,6,0),"")</f>
        <v>Máy cày LOVOL P3050</v>
      </c>
      <c r="H230" s="80" t="s">
        <v>2033</v>
      </c>
      <c r="I230" s="80" t="str">
        <f>IFERROR(VLOOKUP(B230,'02. MM-KLH'!$B$6:$T$823,8,0),"")</f>
        <v>XN Chuối LP3</v>
      </c>
      <c r="J230" s="99" t="str">
        <f>IFERROR(VLOOKUP(B230,'02. MM-KLH'!$B$6:$T$823,9,0),"")</f>
        <v>18/05/2026</v>
      </c>
      <c r="K230" s="80" t="str">
        <f>IFERROR(VLOOKUP(B230,'02. MM-KLH'!$B$6:$T$823,10,0),"")</f>
        <v>Bình thường</v>
      </c>
      <c r="L230" s="102" t="str">
        <f>IFERROR(VLOOKUP(B230,'02. MM-KLH'!$B$6:$T$823,11,0),"")</f>
        <v/>
      </c>
      <c r="M230" s="143" t="str">
        <f>IFERROR(VLOOKUP(B230,'02. MM-KLH'!$B$6:$T$823,12,0),"")</f>
        <v>- Đầu tư mới ngày 25/10/2024
- XN CAT AD điều chuyển qua XN Bò AD1 ngày 18/05/2026
- XNB đchyen qua ngày 08/06/2026</v>
      </c>
      <c r="N230" s="108" t="str">
        <f>IFERROR(VLOOKUP(B230,'02. MM-KLH'!$B$6:$T$823,13,0),"")</f>
        <v>LOVOL</v>
      </c>
      <c r="O230" s="108" t="str">
        <f>IFERROR(VLOOKUP(B230,'02. MM-KLH'!$B$6:$T$823,14,0),"")</f>
        <v>TRUNG QUỐC </v>
      </c>
      <c r="P230" s="80">
        <f>IFERROR(VLOOKUP(B230,'02. MM-KLH'!$B$6:$T$823,15,0),"")</f>
        <v>2024</v>
      </c>
      <c r="Q230" s="80" t="str">
        <f>IFERROR(VLOOKUP(B230,'02. MM-KLH'!$B$6:$T$823,16,0),"")</f>
        <v>P3050</v>
      </c>
      <c r="R230" s="106" t="str">
        <f>IFERROR(VLOOKUP(B230,'02. MM-KLH'!$B$6:$T$823,17,0),"")</f>
        <v>47Hp</v>
      </c>
      <c r="S230" s="108" t="str">
        <f>IFERROR(VLOOKUP(B230,'02. MM-KLH'!$B$6:$T$823,18,0),"")</f>
        <v>TY1S312020001K301198R03</v>
      </c>
      <c r="T230" s="110" t="str">
        <f>IFERROR(VLOOKUP(B230,'02. MM-KLH'!$B$6:$T$823,19,0),"")</f>
        <v>FTTP3A34VRS000231</v>
      </c>
      <c r="U230" s="130" t="s">
        <v>2301</v>
      </c>
    </row>
    <row r="231" ht="13.5" customHeight="1">
      <c r="A231" s="95">
        <f t="shared" ref="A231:A248" si="10">A230+1</f>
        <v>2</v>
      </c>
      <c r="B231" s="115" t="s">
        <v>1724</v>
      </c>
      <c r="C231" s="86" t="str">
        <f>IFERROR(VLOOKUP(B231,'02. MM-KLH'!$B$6:$T$823,2,0),"")</f>
        <v>MỚ́I</v>
      </c>
      <c r="D231" s="95" t="str">
        <f>IFERROR(VLOOKUP(B231,'02. MM-KLH'!$B$6:$T$823,3,0),"")</f>
        <v>A22-MKE-041</v>
      </c>
      <c r="E231" s="86" t="str">
        <f>IFERROR(VLOOKUP(B231,'02. MM-KLH'!$B$6:$T$823,4,0),"")</f>
        <v/>
      </c>
      <c r="F231" s="115"/>
      <c r="G231" s="86" t="str">
        <f>IFERROR(VLOOKUP(B231,'02. MM-KLH'!$B$6:$T$823,6,0),"")</f>
        <v>Máy cày LOVOL P4100</v>
      </c>
      <c r="H231" s="80" t="s">
        <v>2054</v>
      </c>
      <c r="I231" s="80" t="str">
        <f>IFERROR(VLOOKUP(B231,'02. MM-KLH'!$B$6:$T$823,8,0),"")</f>
        <v>XN Bò AD</v>
      </c>
      <c r="J231" s="99" t="str">
        <f>IFERROR(VLOOKUP(B231,'02. MM-KLH'!$B$6:$T$823,9,0),"")</f>
        <v>25/10/2024</v>
      </c>
      <c r="K231" s="80" t="str">
        <f>IFERROR(VLOOKUP(B231,'02. MM-KLH'!$B$6:$T$823,10,0),"")</f>
        <v>Bình thường</v>
      </c>
      <c r="L231" s="102" t="str">
        <f>IFERROR(VLOOKUP(B231,'02. MM-KLH'!$B$6:$T$823,11,0),"")</f>
        <v/>
      </c>
      <c r="M231" s="143" t="str">
        <f>IFERROR(VLOOKUP(B231,'02. MM-KLH'!$B$6:$T$823,12,0),"")</f>
        <v>Đầu tư mới</v>
      </c>
      <c r="N231" s="108" t="str">
        <f>IFERROR(VLOOKUP(B231,'02. MM-KLH'!$B$6:$T$823,13,0),"")</f>
        <v>LOVOL</v>
      </c>
      <c r="O231" s="108" t="str">
        <f>IFERROR(VLOOKUP(B231,'02. MM-KLH'!$B$6:$T$823,14,0),"")</f>
        <v>TRUNG QUỐC </v>
      </c>
      <c r="P231" s="80">
        <f>IFERROR(VLOOKUP(B231,'02. MM-KLH'!$B$6:$T$823,15,0),"")</f>
        <v>2024</v>
      </c>
      <c r="Q231" s="80" t="str">
        <f>IFERROR(VLOOKUP(B231,'02. MM-KLH'!$B$6:$T$823,16,0),"")</f>
        <v>P4100</v>
      </c>
      <c r="R231" s="106" t="str">
        <f>IFERROR(VLOOKUP(B231,'02. MM-KLH'!$B$6:$T$823,17,0),"")</f>
        <v>98HP</v>
      </c>
      <c r="S231" s="108" t="str">
        <f>IFERROR(VLOOKUP(B231,'02. MM-KLH'!$B$6:$T$823,18,0),"")</f>
        <v>E424H012739</v>
      </c>
      <c r="T231" s="110" t="str">
        <f>IFERROR(VLOOKUP(B231,'02. MM-KLH'!$B$6:$T$823,19,0),"")</f>
        <v>P400120RV</v>
      </c>
      <c r="U231" s="130" t="s">
        <v>2301</v>
      </c>
    </row>
    <row r="232" ht="13.5" customHeight="1">
      <c r="A232" s="95">
        <f t="shared" si="10"/>
        <v>3</v>
      </c>
      <c r="B232" s="115" t="s">
        <v>798</v>
      </c>
      <c r="C232" s="86" t="str">
        <f>IFERROR(VLOOKUP(B232,'02. MM-KLH'!$B$6:$T$823,2,0),"")</f>
        <v>XB1-MKE-042</v>
      </c>
      <c r="D232" s="95" t="str">
        <f>IFERROR(VLOOKUP(B232,'02. MM-KLH'!$B$6:$T$823,3,0),"")</f>
        <v>A22-MKE-042</v>
      </c>
      <c r="E232" s="86" t="str">
        <f>IFERROR(VLOOKUP(B232,'02. MM-KLH'!$B$6:$T$823,4,0),"")</f>
        <v/>
      </c>
      <c r="F232" s="115"/>
      <c r="G232" s="86" t="str">
        <f>IFERROR(VLOOKUP(B232,'02. MM-KLH'!$B$6:$T$823,6,0),"")</f>
        <v>Máy cày LOVOL 1504</v>
      </c>
      <c r="H232" s="80" t="s">
        <v>2370</v>
      </c>
      <c r="I232" s="80" t="str">
        <f>IFERROR(VLOOKUP(B232,'02. MM-KLH'!$B$6:$T$823,8,0),"")</f>
        <v>CGLĐ LP</v>
      </c>
      <c r="J232" s="99" t="str">
        <f>IFERROR(VLOOKUP(B232,'02. MM-KLH'!$B$6:$T$823,9,0),"")</f>
        <v>25/10/2024</v>
      </c>
      <c r="K232" s="80" t="str">
        <f>IFERROR(VLOOKUP(B232,'02. MM-KLH'!$B$6:$T$823,10,0),"")</f>
        <v>Bình thường</v>
      </c>
      <c r="L232" s="102" t="str">
        <f>IFERROR(VLOOKUP(B232,'02. MM-KLH'!$B$6:$T$823,11,0),"")</f>
        <v/>
      </c>
      <c r="M232" s="143" t="str">
        <f>IFERROR(VLOOKUP(B232,'02. MM-KLH'!$B$6:$T$823,12,0),"")</f>
        <v>Hoán đổi xe XNB theo chủ trương BLĐ 06.02.2025</v>
      </c>
      <c r="N232" s="108" t="str">
        <f>IFERROR(VLOOKUP(B232,'02. MM-KLH'!$B$6:$T$823,13,0),"")</f>
        <v>LOVOL</v>
      </c>
      <c r="O232" s="108" t="str">
        <f>IFERROR(VLOOKUP(B232,'02. MM-KLH'!$B$6:$T$823,14,0),"")</f>
        <v>Trung Quốc</v>
      </c>
      <c r="P232" s="80">
        <f>IFERROR(VLOOKUP(B232,'02. MM-KLH'!$B$6:$T$823,15,0),"")</f>
        <v>2024</v>
      </c>
      <c r="Q232" s="80">
        <f>IFERROR(VLOOKUP(B232,'02. MM-KLH'!$B$6:$T$823,16,0),"")</f>
        <v>1504</v>
      </c>
      <c r="R232" s="106" t="str">
        <f>IFERROR(VLOOKUP(B232,'02. MM-KLH'!$B$6:$T$823,17,0),"")</f>
        <v>147HP</v>
      </c>
      <c r="S232" s="108" t="str">
        <f>IFERROR(VLOOKUP(B232,'02. MM-KLH'!$B$6:$T$823,18,0),"")</f>
        <v>6P23C005870</v>
      </c>
      <c r="T232" s="110" t="str">
        <f>IFERROR(VLOOKUP(B232,'02. MM-KLH'!$B$6:$T$823,19,0),"")</f>
        <v>CCN</v>
      </c>
      <c r="U232" s="130" t="s">
        <v>2301</v>
      </c>
    </row>
    <row r="233" ht="13.5" customHeight="1">
      <c r="A233" s="95">
        <f t="shared" si="10"/>
        <v>4</v>
      </c>
      <c r="B233" s="115" t="s">
        <v>1733</v>
      </c>
      <c r="C233" s="86" t="str">
        <f>IFERROR(VLOOKUP(B233,'02. MM-KLH'!$B$6:$T$823,2,0),"")</f>
        <v>MỚ́I</v>
      </c>
      <c r="D233" s="95" t="str">
        <f>IFERROR(VLOOKUP(B233,'02. MM-KLH'!$B$6:$T$823,3,0),"")</f>
        <v>A22-MKE-043</v>
      </c>
      <c r="E233" s="86" t="str">
        <f>IFERROR(VLOOKUP(B233,'02. MM-KLH'!$B$6:$T$823,4,0),"")</f>
        <v/>
      </c>
      <c r="F233" s="115"/>
      <c r="G233" s="86" t="str">
        <f>IFERROR(VLOOKUP(B233,'02. MM-KLH'!$B$6:$T$823,6,0),"")</f>
        <v>Máy cày LOVOL 2204</v>
      </c>
      <c r="H233" s="80" t="s">
        <v>2370</v>
      </c>
      <c r="I233" s="80" t="str">
        <f>IFERROR(VLOOKUP(B233,'02. MM-KLH'!$B$6:$T$823,8,0),"")</f>
        <v>XN Bò AD</v>
      </c>
      <c r="J233" s="99" t="str">
        <f>IFERROR(VLOOKUP(B233,'02. MM-KLH'!$B$6:$T$823,9,0),"")</f>
        <v>26/10/2024</v>
      </c>
      <c r="K233" s="80" t="str">
        <f>IFERROR(VLOOKUP(B233,'02. MM-KLH'!$B$6:$T$823,10,0),"")</f>
        <v>Bình thường</v>
      </c>
      <c r="L233" s="102" t="str">
        <f>IFERROR(VLOOKUP(B233,'02. MM-KLH'!$B$6:$T$823,11,0),"")</f>
        <v/>
      </c>
      <c r="M233" s="143" t="str">
        <f>IFERROR(VLOOKUP(B233,'02. MM-KLH'!$B$6:$T$823,12,0),"")</f>
        <v>Đầu tư mới</v>
      </c>
      <c r="N233" s="108" t="str">
        <f>IFERROR(VLOOKUP(B233,'02. MM-KLH'!$B$6:$T$823,13,0),"")</f>
        <v>LOVOL</v>
      </c>
      <c r="O233" s="108" t="str">
        <f>IFERROR(VLOOKUP(B233,'02. MM-KLH'!$B$6:$T$823,14,0),"")</f>
        <v>TRUNG QUỐC </v>
      </c>
      <c r="P233" s="80">
        <f>IFERROR(VLOOKUP(B233,'02. MM-KLH'!$B$6:$T$823,15,0),"")</f>
        <v>2024</v>
      </c>
      <c r="Q233" s="80" t="str">
        <f>IFERROR(VLOOKUP(B233,'02. MM-KLH'!$B$6:$T$823,16,0),"")</f>
        <v>TR2204</v>
      </c>
      <c r="R233" s="106" t="str">
        <f>IFERROR(VLOOKUP(B233,'02. MM-KLH'!$B$6:$T$823,17,0),"")</f>
        <v>217HP</v>
      </c>
      <c r="S233" s="108" t="str">
        <f>IFERROR(VLOOKUP(B233,'02. MM-KLH'!$B$6:$T$823,18,0),"")</f>
        <v>M600085RM</v>
      </c>
      <c r="T233" s="110" t="str">
        <f>IFERROR(VLOOKUP(B233,'02. MM-KLH'!$B$6:$T$823,19,0),"")</f>
        <v>7324C004472</v>
      </c>
      <c r="U233" s="130" t="s">
        <v>2301</v>
      </c>
    </row>
    <row r="234" ht="13.5" customHeight="1">
      <c r="A234" s="95">
        <f t="shared" si="10"/>
        <v>5</v>
      </c>
      <c r="B234" s="115" t="s">
        <v>735</v>
      </c>
      <c r="C234" s="86" t="str">
        <f>IFERROR(VLOOKUP(B234,'02. MM-KLH'!$B$6:$T$823,2,0),"")</f>
        <v/>
      </c>
      <c r="D234" s="95" t="str">
        <f>IFERROR(VLOOKUP(B234,'02. MM-KLH'!$B$6:$T$823,3,0),"")</f>
        <v>A22-MKE-060</v>
      </c>
      <c r="E234" s="86" t="str">
        <f>IFERROR(VLOOKUP(B234,'02. MM-KLH'!$B$6:$T$823,4,0),"")</f>
        <v/>
      </c>
      <c r="F234" s="115"/>
      <c r="G234" s="86" t="str">
        <f>IFERROR(VLOOKUP(B234,'02. MM-KLH'!$B$6:$T$823,6,0),"")</f>
        <v>Máy cày LOVOL 1504</v>
      </c>
      <c r="H234" s="80" t="s">
        <v>2370</v>
      </c>
      <c r="I234" s="80" t="str">
        <f>IFERROR(VLOOKUP(B234,'02. MM-KLH'!$B$6:$T$823,8,0),"")</f>
        <v>CGLĐ DP</v>
      </c>
      <c r="J234" s="99" t="str">
        <f>IFERROR(VLOOKUP(B234,'02. MM-KLH'!$B$6:$T$823,9,0),"")</f>
        <v>18/12/2025</v>
      </c>
      <c r="K234" s="80" t="str">
        <f>IFERROR(VLOOKUP(B234,'02. MM-KLH'!$B$6:$T$823,10,0),"")</f>
        <v>Bình thường</v>
      </c>
      <c r="L234" s="102" t="str">
        <f>IFERROR(VLOOKUP(B234,'02. MM-KLH'!$B$6:$T$823,11,0),"")</f>
        <v/>
      </c>
      <c r="M234" s="143" t="str">
        <f>IFERROR(VLOOKUP(B234,'02. MM-KLH'!$B$6:$T$823,12,0),"")</f>
        <v>Đầu tư mới</v>
      </c>
      <c r="N234" s="108" t="str">
        <f>IFERROR(VLOOKUP(B234,'02. MM-KLH'!$B$6:$T$823,13,0),"")</f>
        <v>LOVOL</v>
      </c>
      <c r="O234" s="108" t="str">
        <f>IFERROR(VLOOKUP(B234,'02. MM-KLH'!$B$6:$T$823,14,0),"")</f>
        <v>Trung Quốc</v>
      </c>
      <c r="P234" s="80">
        <f>IFERROR(VLOOKUP(B234,'02. MM-KLH'!$B$6:$T$823,15,0),"")</f>
        <v>2025</v>
      </c>
      <c r="Q234" s="80">
        <f>IFERROR(VLOOKUP(B234,'02. MM-KLH'!$B$6:$T$823,16,0),"")</f>
        <v>1504</v>
      </c>
      <c r="R234" s="106" t="str">
        <f>IFERROR(VLOOKUP(B234,'02. MM-KLH'!$B$6:$T$823,17,0),"")</f>
        <v>150HP</v>
      </c>
      <c r="S234" s="108" t="str">
        <f>IFERROR(VLOOKUP(B234,'02. MM-KLH'!$B$6:$T$823,18,0),"")</f>
        <v>M600279SX</v>
      </c>
      <c r="T234" s="110" t="str">
        <f>IFERROR(VLOOKUP(B234,'02. MM-KLH'!$B$6:$T$823,19,0),"")</f>
        <v>WP6G180E3306P25J023348</v>
      </c>
      <c r="U234" s="130" t="s">
        <v>2301</v>
      </c>
    </row>
    <row r="235" ht="13.5" customHeight="1">
      <c r="A235" s="95">
        <f t="shared" si="10"/>
        <v>6</v>
      </c>
      <c r="B235" s="115" t="s">
        <v>827</v>
      </c>
      <c r="C235" s="86" t="str">
        <f>IFERROR(VLOOKUP(B235,'02. MM-KLH'!$B$6:$T$823,2,0),"")</f>
        <v/>
      </c>
      <c r="D235" s="95" t="str">
        <f>IFERROR(VLOOKUP(B235,'02. MM-KLH'!$B$6:$T$823,3,0),"")</f>
        <v>A22-MKE-058</v>
      </c>
      <c r="E235" s="86" t="str">
        <f>IFERROR(VLOOKUP(B235,'02. MM-KLH'!$B$6:$T$823,4,0),"")</f>
        <v/>
      </c>
      <c r="F235" s="115"/>
      <c r="G235" s="86" t="str">
        <f>IFERROR(VLOOKUP(B235,'02. MM-KLH'!$B$6:$T$823,6,0),"")</f>
        <v>Máy cày LOVOL 1504</v>
      </c>
      <c r="H235" s="80" t="s">
        <v>2370</v>
      </c>
      <c r="I235" s="80" t="str">
        <f>IFERROR(VLOOKUP(B235,'02. MM-KLH'!$B$6:$T$823,8,0),"")</f>
        <v>CGLĐ LP</v>
      </c>
      <c r="J235" s="99" t="str">
        <f>IFERROR(VLOOKUP(B235,'02. MM-KLH'!$B$6:$T$823,9,0),"")</f>
        <v>18/12/2025</v>
      </c>
      <c r="K235" s="80" t="str">
        <f>IFERROR(VLOOKUP(B235,'02. MM-KLH'!$B$6:$T$823,10,0),"")</f>
        <v>Bình thường</v>
      </c>
      <c r="L235" s="102" t="str">
        <f>IFERROR(VLOOKUP(B235,'02. MM-KLH'!$B$6:$T$823,11,0),"")</f>
        <v/>
      </c>
      <c r="M235" s="143" t="str">
        <f>IFERROR(VLOOKUP(B235,'02. MM-KLH'!$B$6:$T$823,12,0),"")</f>
        <v>Đầu tư mới</v>
      </c>
      <c r="N235" s="108" t="str">
        <f>IFERROR(VLOOKUP(B235,'02. MM-KLH'!$B$6:$T$823,13,0),"")</f>
        <v>LOVOL</v>
      </c>
      <c r="O235" s="108" t="str">
        <f>IFERROR(VLOOKUP(B235,'02. MM-KLH'!$B$6:$T$823,14,0),"")</f>
        <v>Trung Quốc</v>
      </c>
      <c r="P235" s="80">
        <f>IFERROR(VLOOKUP(B235,'02. MM-KLH'!$B$6:$T$823,15,0),"")</f>
        <v>2025</v>
      </c>
      <c r="Q235" s="80">
        <f>IFERROR(VLOOKUP(B235,'02. MM-KLH'!$B$6:$T$823,16,0),"")</f>
        <v>1504</v>
      </c>
      <c r="R235" s="106" t="str">
        <f>IFERROR(VLOOKUP(B235,'02. MM-KLH'!$B$6:$T$823,17,0),"")</f>
        <v>150HP</v>
      </c>
      <c r="S235" s="108" t="str">
        <f>IFERROR(VLOOKUP(B235,'02. MM-KLH'!$B$6:$T$823,18,0),"")</f>
        <v>M600277SU</v>
      </c>
      <c r="T235" s="110" t="str">
        <f>IFERROR(VLOOKUP(B235,'02. MM-KLH'!$B$6:$T$823,19,0),"")</f>
        <v>WP6G180E3306P25J023351</v>
      </c>
      <c r="U235" s="130" t="s">
        <v>2301</v>
      </c>
    </row>
    <row r="236" ht="13.5" customHeight="1">
      <c r="A236" s="95">
        <f t="shared" si="10"/>
        <v>7</v>
      </c>
      <c r="B236" s="115" t="s">
        <v>1795</v>
      </c>
      <c r="C236" s="86" t="str">
        <f>IFERROR(VLOOKUP(B236,'02. MM-KLH'!$B$6:$T$823,2,0),"")</f>
        <v>Mới (100%)</v>
      </c>
      <c r="D236" s="95" t="str">
        <f>IFERROR(VLOOKUP(B236,'02. MM-KLH'!$B$6:$T$823,3,0),"")</f>
        <v>A22-MKE-061</v>
      </c>
      <c r="E236" s="86" t="str">
        <f>IFERROR(VLOOKUP(B236,'02. MM-KLH'!$B$6:$T$823,4,0),"")</f>
        <v/>
      </c>
      <c r="F236" s="115"/>
      <c r="G236" s="86" t="str">
        <f>IFERROR(VLOOKUP(B236,'02. MM-KLH'!$B$6:$T$823,6,0),"")</f>
        <v>Máy cày LOVOL 1504</v>
      </c>
      <c r="H236" s="80" t="s">
        <v>2370</v>
      </c>
      <c r="I236" s="80" t="str">
        <f>IFERROR(VLOOKUP(B236,'02. MM-KLH'!$B$6:$T$823,8,0),"")</f>
        <v>XN Bò AD</v>
      </c>
      <c r="J236" s="99" t="str">
        <f>IFERROR(VLOOKUP(B236,'02. MM-KLH'!$B$6:$T$823,9,0),"")</f>
        <v>18/12/2025</v>
      </c>
      <c r="K236" s="80" t="str">
        <f>IFERROR(VLOOKUP(B236,'02. MM-KLH'!$B$6:$T$823,10,0),"")</f>
        <v>Bình thường</v>
      </c>
      <c r="L236" s="102" t="str">
        <f>IFERROR(VLOOKUP(B236,'02. MM-KLH'!$B$6:$T$823,11,0),"")</f>
        <v/>
      </c>
      <c r="M236" s="143" t="str">
        <f>IFERROR(VLOOKUP(B236,'02. MM-KLH'!$B$6:$T$823,12,0),"")</f>
        <v/>
      </c>
      <c r="N236" s="108" t="str">
        <f>IFERROR(VLOOKUP(B236,'02. MM-KLH'!$B$6:$T$823,13,0),"")</f>
        <v>LOVOL</v>
      </c>
      <c r="O236" s="108" t="str">
        <f>IFERROR(VLOOKUP(B236,'02. MM-KLH'!$B$6:$T$823,14,0),"")</f>
        <v>Trung Quốc</v>
      </c>
      <c r="P236" s="80">
        <f>IFERROR(VLOOKUP(B236,'02. MM-KLH'!$B$6:$T$823,15,0),"")</f>
        <v>2025</v>
      </c>
      <c r="Q236" s="80">
        <f>IFERROR(VLOOKUP(B236,'02. MM-KLH'!$B$6:$T$823,16,0),"")</f>
        <v>1504</v>
      </c>
      <c r="R236" s="106" t="str">
        <f>IFERROR(VLOOKUP(B236,'02. MM-KLH'!$B$6:$T$823,17,0),"")</f>
        <v>150HP</v>
      </c>
      <c r="S236" s="108" t="str">
        <f>IFERROR(VLOOKUP(B236,'02. MM-KLH'!$B$6:$T$823,18,0),"")</f>
        <v>M600280SX</v>
      </c>
      <c r="T236" s="110" t="str">
        <f>IFERROR(VLOOKUP(B236,'02. MM-KLH'!$B$6:$T$823,19,0),"")</f>
        <v>WP6G180E3306P25J023350</v>
      </c>
      <c r="U236" s="130" t="s">
        <v>2301</v>
      </c>
    </row>
    <row r="237" ht="13.5" customHeight="1">
      <c r="A237" s="95">
        <f t="shared" si="10"/>
        <v>8</v>
      </c>
      <c r="B237" s="115" t="s">
        <v>1787</v>
      </c>
      <c r="C237" s="86" t="str">
        <f>IFERROR(VLOOKUP(B237,'02. MM-KLH'!$B$6:$T$823,2,0),"")</f>
        <v>Mới (100%)</v>
      </c>
      <c r="D237" s="95" t="str">
        <f>IFERROR(VLOOKUP(B237,'02. MM-KLH'!$B$6:$T$823,3,0),"")</f>
        <v>A22-MKE-059</v>
      </c>
      <c r="E237" s="86" t="str">
        <f>IFERROR(VLOOKUP(B237,'02. MM-KLH'!$B$6:$T$823,4,0),"")</f>
        <v/>
      </c>
      <c r="F237" s="115"/>
      <c r="G237" s="86" t="str">
        <f>IFERROR(VLOOKUP(B237,'02. MM-KLH'!$B$6:$T$823,6,0),"")</f>
        <v>Máy cày LOVOL 1504</v>
      </c>
      <c r="H237" s="80" t="s">
        <v>2370</v>
      </c>
      <c r="I237" s="80" t="str">
        <f>IFERROR(VLOOKUP(B237,'02. MM-KLH'!$B$6:$T$823,8,0),"")</f>
        <v>XN Bò AD</v>
      </c>
      <c r="J237" s="99" t="str">
        <f>IFERROR(VLOOKUP(B237,'02. MM-KLH'!$B$6:$T$823,9,0),"")</f>
        <v>18/12/2025</v>
      </c>
      <c r="K237" s="80" t="str">
        <f>IFERROR(VLOOKUP(B237,'02. MM-KLH'!$B$6:$T$823,10,0),"")</f>
        <v>Bình thường</v>
      </c>
      <c r="L237" s="102" t="str">
        <f>IFERROR(VLOOKUP(B237,'02. MM-KLH'!$B$6:$T$823,11,0),"")</f>
        <v/>
      </c>
      <c r="M237" s="143" t="str">
        <f>IFERROR(VLOOKUP(B237,'02. MM-KLH'!$B$6:$T$823,12,0),"")</f>
        <v/>
      </c>
      <c r="N237" s="108" t="str">
        <f>IFERROR(VLOOKUP(B237,'02. MM-KLH'!$B$6:$T$823,13,0),"")</f>
        <v>LOVOL</v>
      </c>
      <c r="O237" s="108" t="str">
        <f>IFERROR(VLOOKUP(B237,'02. MM-KLH'!$B$6:$T$823,14,0),"")</f>
        <v>Trung Quốc</v>
      </c>
      <c r="P237" s="80">
        <f>IFERROR(VLOOKUP(B237,'02. MM-KLH'!$B$6:$T$823,15,0),"")</f>
        <v>2025</v>
      </c>
      <c r="Q237" s="80">
        <f>IFERROR(VLOOKUP(B237,'02. MM-KLH'!$B$6:$T$823,16,0),"")</f>
        <v>1504</v>
      </c>
      <c r="R237" s="106" t="str">
        <f>IFERROR(VLOOKUP(B237,'02. MM-KLH'!$B$6:$T$823,17,0),"")</f>
        <v>150HP</v>
      </c>
      <c r="S237" s="108" t="str">
        <f>IFERROR(VLOOKUP(B237,'02. MM-KLH'!$B$6:$T$823,18,0),"")</f>
        <v>M600278SX</v>
      </c>
      <c r="T237" s="110" t="str">
        <f>IFERROR(VLOOKUP(B237,'02. MM-KLH'!$B$6:$T$823,19,0),"")</f>
        <v>WP6G180E3306P25J023349</v>
      </c>
      <c r="U237" s="130" t="s">
        <v>2301</v>
      </c>
    </row>
    <row r="238" ht="13.5" customHeight="1">
      <c r="A238" s="95">
        <f t="shared" si="10"/>
        <v>9</v>
      </c>
      <c r="B238" s="115" t="s">
        <v>1779</v>
      </c>
      <c r="C238" s="86" t="str">
        <f>IFERROR(VLOOKUP(B238,'02. MM-KLH'!$B$6:$T$823,2,0),"")</f>
        <v>Mới (100%)</v>
      </c>
      <c r="D238" s="95" t="str">
        <f>IFERROR(VLOOKUP(B238,'02. MM-KLH'!$B$6:$T$823,3,0),"")</f>
        <v>A22-MKE-064</v>
      </c>
      <c r="E238" s="86" t="str">
        <f>IFERROR(VLOOKUP(B238,'02. MM-KLH'!$B$6:$T$823,4,0),"")</f>
        <v/>
      </c>
      <c r="F238" s="115"/>
      <c r="G238" s="86" t="str">
        <f>IFERROR(VLOOKUP(B238,'02. MM-KLH'!$B$6:$T$823,6,0),"")</f>
        <v>Máy cày LOVOL P4100</v>
      </c>
      <c r="H238" s="80" t="s">
        <v>2370</v>
      </c>
      <c r="I238" s="80" t="str">
        <f>IFERROR(VLOOKUP(B238,'02. MM-KLH'!$B$6:$T$823,8,0),"")</f>
        <v>XN Bò AD</v>
      </c>
      <c r="J238" s="99" t="str">
        <f>IFERROR(VLOOKUP(B238,'02. MM-KLH'!$B$6:$T$823,9,0),"")</f>
        <v>28/05/2026</v>
      </c>
      <c r="K238" s="80" t="str">
        <f>IFERROR(VLOOKUP(B238,'02. MM-KLH'!$B$6:$T$823,10,0),"")</f>
        <v>Bình thường</v>
      </c>
      <c r="L238" s="102" t="str">
        <f>IFERROR(VLOOKUP(B238,'02. MM-KLH'!$B$6:$T$823,11,0),"")</f>
        <v/>
      </c>
      <c r="M238" s="143" t="str">
        <f>IFERROR(VLOOKUP(B238,'02. MM-KLH'!$B$6:$T$823,12,0),"")</f>
        <v>Đầu tư mới</v>
      </c>
      <c r="N238" s="108" t="str">
        <f>IFERROR(VLOOKUP(B238,'02. MM-KLH'!$B$6:$T$823,13,0),"")</f>
        <v>LOVOL</v>
      </c>
      <c r="O238" s="108" t="str">
        <f>IFERROR(VLOOKUP(B238,'02. MM-KLH'!$B$6:$T$823,14,0),"")</f>
        <v>TRUNG QUỐC </v>
      </c>
      <c r="P238" s="80">
        <f>IFERROR(VLOOKUP(B238,'02. MM-KLH'!$B$6:$T$823,15,0),"")</f>
        <v>2026</v>
      </c>
      <c r="Q238" s="80" t="str">
        <f>IFERROR(VLOOKUP(B238,'02. MM-KLH'!$B$6:$T$823,16,0),"")</f>
        <v>P4100</v>
      </c>
      <c r="R238" s="106" t="str">
        <f>IFERROR(VLOOKUP(B238,'02. MM-KLH'!$B$6:$T$823,17,0),"")</f>
        <v>100 HP</v>
      </c>
      <c r="S238" s="108" t="str">
        <f>IFERROR(VLOOKUP(B238,'02. MM-KLH'!$B$6:$T$823,18,0),"")</f>
        <v>P400050TM</v>
      </c>
      <c r="T238" s="110" t="str">
        <f>IFERROR(VLOOKUP(B238,'02. MM-KLH'!$B$6:$T$823,19,0),"")</f>
        <v>E426C008054</v>
      </c>
      <c r="U238" s="130" t="s">
        <v>2301</v>
      </c>
    </row>
    <row r="239" ht="30.75" customHeight="1">
      <c r="A239" s="95">
        <f t="shared" si="10"/>
        <v>10</v>
      </c>
      <c r="B239" s="115" t="s">
        <v>1812</v>
      </c>
      <c r="C239" s="86" t="str">
        <f>IFERROR(VLOOKUP(B239,'02. MM-KLH'!$B$6:$T$823,2,0),"")</f>
        <v>XXA-MKE-012</v>
      </c>
      <c r="D239" s="95" t="str">
        <f>IFERROR(VLOOKUP(B239,'02. MM-KLH'!$B$6:$T$823,3,0),"")</f>
        <v>A24-MKE-038</v>
      </c>
      <c r="E239" s="86" t="str">
        <f>IFERROR(VLOOKUP(B239,'02. MM-KLH'!$B$6:$T$823,4,0),"")</f>
        <v/>
      </c>
      <c r="F239" s="115"/>
      <c r="G239" s="86" t="str">
        <f>IFERROR(VLOOKUP(B239,'02. MM-KLH'!$B$6:$T$823,6,0),"")</f>
        <v>Máy cày LOVOL P4110</v>
      </c>
      <c r="H239" s="80" t="s">
        <v>2370</v>
      </c>
      <c r="I239" s="80" t="str">
        <f>IFERROR(VLOOKUP(B239,'02. MM-KLH'!$B$6:$T$823,8,0),"")</f>
        <v>XN Bò AD</v>
      </c>
      <c r="J239" s="99" t="str">
        <f>IFERROR(VLOOKUP(B239,'02. MM-KLH'!$B$6:$T$823,9,0),"")</f>
        <v>28/05/2026</v>
      </c>
      <c r="K239" s="80" t="str">
        <f>IFERROR(VLOOKUP(B239,'02. MM-KLH'!$B$6:$T$823,10,0),"")</f>
        <v>Bình thường</v>
      </c>
      <c r="L239" s="102" t="str">
        <f>IFERROR(VLOOKUP(B239,'02. MM-KLH'!$B$6:$T$823,11,0),"")</f>
        <v/>
      </c>
      <c r="M239" s="143" t="str">
        <f>IFERROR(VLOOKUP(B239,'02. MM-KLH'!$B$6:$T$823,12,0),"")</f>
        <v>- Đầu tư mới XN Xoài T6/2026
- Chuyển về XN Bò 13/06/2026</v>
      </c>
      <c r="N239" s="108" t="str">
        <f>IFERROR(VLOOKUP(B239,'02. MM-KLH'!$B$6:$T$823,13,0),"")</f>
        <v>LOVOL</v>
      </c>
      <c r="O239" s="108" t="str">
        <f>IFERROR(VLOOKUP(B239,'02. MM-KLH'!$B$6:$T$823,14,0),"")</f>
        <v>TRUNG QUỐC</v>
      </c>
      <c r="P239" s="80">
        <f>IFERROR(VLOOKUP(B239,'02. MM-KLH'!$B$6:$T$823,15,0),"")</f>
        <v>2026</v>
      </c>
      <c r="Q239" s="80" t="str">
        <f>IFERROR(VLOOKUP(B239,'02. MM-KLH'!$B$6:$T$823,16,0),"")</f>
        <v>P4110</v>
      </c>
      <c r="R239" s="106" t="str">
        <f>IFERROR(VLOOKUP(B239,'02. MM-KLH'!$B$6:$T$823,17,0),"")</f>
        <v>110 HP</v>
      </c>
      <c r="S239" s="108" t="str">
        <f>IFERROR(VLOOKUP(B239,'02. MM-KLH'!$B$6:$T$823,18,0),"")</f>
        <v>P400067TM</v>
      </c>
      <c r="T239" s="110" t="str">
        <f>IFERROR(VLOOKUP(B239,'02. MM-KLH'!$B$6:$T$823,19,0),"")</f>
        <v>E426C008079</v>
      </c>
      <c r="U239" s="130" t="s">
        <v>2301</v>
      </c>
    </row>
    <row r="240" ht="13.5" customHeight="1">
      <c r="A240" s="95">
        <f t="shared" si="10"/>
        <v>11</v>
      </c>
      <c r="B240" s="115" t="s">
        <v>1791</v>
      </c>
      <c r="C240" s="86" t="str">
        <f>IFERROR(VLOOKUP(B240,'02. MM-KLH'!$B$6:$T$823,2,0),"")</f>
        <v>Mới (100%)</v>
      </c>
      <c r="D240" s="95" t="str">
        <f>IFERROR(VLOOKUP(B240,'02. MM-KLH'!$B$6:$T$823,3,0),"")</f>
        <v>A22-MKE-065</v>
      </c>
      <c r="E240" s="86" t="str">
        <f>IFERROR(VLOOKUP(B240,'02. MM-KLH'!$B$6:$T$823,4,0),"")</f>
        <v/>
      </c>
      <c r="F240" s="115"/>
      <c r="G240" s="86" t="str">
        <f>IFERROR(VLOOKUP(B240,'02. MM-KLH'!$B$6:$T$823,6,0),"")</f>
        <v>Máy cày LOVOL P4100</v>
      </c>
      <c r="H240" s="80" t="s">
        <v>2370</v>
      </c>
      <c r="I240" s="80" t="str">
        <f>IFERROR(VLOOKUP(B240,'02. MM-KLH'!$B$6:$T$823,8,0),"")</f>
        <v>XN Bò AD</v>
      </c>
      <c r="J240" s="99" t="str">
        <f>IFERROR(VLOOKUP(B240,'02. MM-KLH'!$B$6:$T$823,9,0),"")</f>
        <v>28/05/2026</v>
      </c>
      <c r="K240" s="80" t="str">
        <f>IFERROR(VLOOKUP(B240,'02. MM-KLH'!$B$6:$T$823,10,0),"")</f>
        <v>Bình thường</v>
      </c>
      <c r="L240" s="102" t="str">
        <f>IFERROR(VLOOKUP(B240,'02. MM-KLH'!$B$6:$T$823,11,0),"")</f>
        <v/>
      </c>
      <c r="M240" s="143" t="str">
        <f>IFERROR(VLOOKUP(B240,'02. MM-KLH'!$B$6:$T$823,12,0),"")</f>
        <v>Đầu tư mới</v>
      </c>
      <c r="N240" s="108" t="str">
        <f>IFERROR(VLOOKUP(B240,'02. MM-KLH'!$B$6:$T$823,13,0),"")</f>
        <v>LOVOL</v>
      </c>
      <c r="O240" s="108" t="str">
        <f>IFERROR(VLOOKUP(B240,'02. MM-KLH'!$B$6:$T$823,14,0),"")</f>
        <v>TRUNG QUỐC </v>
      </c>
      <c r="P240" s="80">
        <f>IFERROR(VLOOKUP(B240,'02. MM-KLH'!$B$6:$T$823,15,0),"")</f>
        <v>2026</v>
      </c>
      <c r="Q240" s="80" t="str">
        <f>IFERROR(VLOOKUP(B240,'02. MM-KLH'!$B$6:$T$823,16,0),"")</f>
        <v>P4100</v>
      </c>
      <c r="R240" s="106" t="str">
        <f>IFERROR(VLOOKUP(B240,'02. MM-KLH'!$B$6:$T$823,17,0),"")</f>
        <v>100 HP</v>
      </c>
      <c r="S240" s="108" t="str">
        <f>IFERROR(VLOOKUP(B240,'02. MM-KLH'!$B$6:$T$823,18,0),"")</f>
        <v>P400051TM</v>
      </c>
      <c r="T240" s="110" t="str">
        <f>IFERROR(VLOOKUP(B240,'02. MM-KLH'!$B$6:$T$823,19,0),"")</f>
        <v>E426C008049</v>
      </c>
      <c r="U240" s="130" t="s">
        <v>2301</v>
      </c>
    </row>
    <row r="241" ht="13.5" customHeight="1">
      <c r="A241" s="95">
        <f t="shared" si="10"/>
        <v>12</v>
      </c>
      <c r="B241" s="115" t="s">
        <v>1837</v>
      </c>
      <c r="C241" s="86" t="str">
        <f>IFERROR(VLOOKUP(B241,'02. MM-KLH'!$B$6:$T$823,2,0),"")</f>
        <v>Mới (100%)</v>
      </c>
      <c r="D241" s="95" t="str">
        <f>IFERROR(VLOOKUP(B241,'02. MM-KLH'!$B$6:$T$823,3,0),"")</f>
        <v>A22-MKE-066</v>
      </c>
      <c r="E241" s="86" t="str">
        <f>IFERROR(VLOOKUP(B241,'02. MM-KLH'!$B$6:$T$823,4,0),"")</f>
        <v/>
      </c>
      <c r="F241" s="115"/>
      <c r="G241" s="86" t="str">
        <f>IFERROR(VLOOKUP(B241,'02. MM-KLH'!$B$6:$T$823,6,0),"")</f>
        <v>Máy cày LOVOL P4100</v>
      </c>
      <c r="H241" s="80" t="s">
        <v>2370</v>
      </c>
      <c r="I241" s="80" t="str">
        <f>IFERROR(VLOOKUP(B241,'02. MM-KLH'!$B$6:$T$823,8,0),"")</f>
        <v>XN Bò AD</v>
      </c>
      <c r="J241" s="99" t="str">
        <f>IFERROR(VLOOKUP(B241,'02. MM-KLH'!$B$6:$T$823,9,0),"")</f>
        <v>28/05/2026</v>
      </c>
      <c r="K241" s="80" t="str">
        <f>IFERROR(VLOOKUP(B241,'02. MM-KLH'!$B$6:$T$823,10,0),"")</f>
        <v>Bình thường</v>
      </c>
      <c r="L241" s="102" t="str">
        <f>IFERROR(VLOOKUP(B241,'02. MM-KLH'!$B$6:$T$823,11,0),"")</f>
        <v/>
      </c>
      <c r="M241" s="143" t="str">
        <f>IFERROR(VLOOKUP(B241,'02. MM-KLH'!$B$6:$T$823,12,0),"")</f>
        <v>Đầu tư mới</v>
      </c>
      <c r="N241" s="108" t="str">
        <f>IFERROR(VLOOKUP(B241,'02. MM-KLH'!$B$6:$T$823,13,0),"")</f>
        <v>LOVOL</v>
      </c>
      <c r="O241" s="108" t="str">
        <f>IFERROR(VLOOKUP(B241,'02. MM-KLH'!$B$6:$T$823,14,0),"")</f>
        <v>TRUNG QUỐC </v>
      </c>
      <c r="P241" s="80">
        <f>IFERROR(VLOOKUP(B241,'02. MM-KLH'!$B$6:$T$823,15,0),"")</f>
        <v>2026</v>
      </c>
      <c r="Q241" s="80" t="str">
        <f>IFERROR(VLOOKUP(B241,'02. MM-KLH'!$B$6:$T$823,16,0),"")</f>
        <v>P4100</v>
      </c>
      <c r="R241" s="106" t="str">
        <f>IFERROR(VLOOKUP(B241,'02. MM-KLH'!$B$6:$T$823,17,0),"")</f>
        <v>100 HP</v>
      </c>
      <c r="S241" s="108" t="str">
        <f>IFERROR(VLOOKUP(B241,'02. MM-KLH'!$B$6:$T$823,18,0),"")</f>
        <v>P400052TM</v>
      </c>
      <c r="T241" s="110" t="str">
        <f>IFERROR(VLOOKUP(B241,'02. MM-KLH'!$B$6:$T$823,19,0),"")</f>
        <v>E426C008042</v>
      </c>
      <c r="U241" s="130" t="s">
        <v>2301</v>
      </c>
    </row>
    <row r="242" ht="13.5" customHeight="1">
      <c r="A242" s="95">
        <f t="shared" si="10"/>
        <v>13</v>
      </c>
      <c r="B242" s="115" t="s">
        <v>1841</v>
      </c>
      <c r="C242" s="86" t="str">
        <f>IFERROR(VLOOKUP(B242,'02. MM-KLH'!$B$6:$T$823,2,0),"")</f>
        <v>Mới (100%)</v>
      </c>
      <c r="D242" s="95" t="str">
        <f>IFERROR(VLOOKUP(B242,'02. MM-KLH'!$B$6:$T$823,3,0),"")</f>
        <v>A22-MKE-067</v>
      </c>
      <c r="E242" s="86" t="str">
        <f>IFERROR(VLOOKUP(B242,'02. MM-KLH'!$B$6:$T$823,4,0),"")</f>
        <v/>
      </c>
      <c r="F242" s="115"/>
      <c r="G242" s="86" t="str">
        <f>IFERROR(VLOOKUP(B242,'02. MM-KLH'!$B$6:$T$823,6,0),"")</f>
        <v>Máy cày LOVOL P4100</v>
      </c>
      <c r="H242" s="80" t="s">
        <v>2370</v>
      </c>
      <c r="I242" s="80" t="str">
        <f>IFERROR(VLOOKUP(B242,'02. MM-KLH'!$B$6:$T$823,8,0),"")</f>
        <v>XN Bò AD</v>
      </c>
      <c r="J242" s="99" t="str">
        <f>IFERROR(VLOOKUP(B242,'02. MM-KLH'!$B$6:$T$823,9,0),"")</f>
        <v>28/05/2026</v>
      </c>
      <c r="K242" s="80" t="str">
        <f>IFERROR(VLOOKUP(B242,'02. MM-KLH'!$B$6:$T$823,10,0),"")</f>
        <v>Bình thường</v>
      </c>
      <c r="L242" s="102" t="str">
        <f>IFERROR(VLOOKUP(B242,'02. MM-KLH'!$B$6:$T$823,11,0),"")</f>
        <v/>
      </c>
      <c r="M242" s="143" t="str">
        <f>IFERROR(VLOOKUP(B242,'02. MM-KLH'!$B$6:$T$823,12,0),"")</f>
        <v>Đầu tư mới</v>
      </c>
      <c r="N242" s="108" t="str">
        <f>IFERROR(VLOOKUP(B242,'02. MM-KLH'!$B$6:$T$823,13,0),"")</f>
        <v>LOVOL</v>
      </c>
      <c r="O242" s="108" t="str">
        <f>IFERROR(VLOOKUP(B242,'02. MM-KLH'!$B$6:$T$823,14,0),"")</f>
        <v>TRUNG QUỐC </v>
      </c>
      <c r="P242" s="80">
        <f>IFERROR(VLOOKUP(B242,'02. MM-KLH'!$B$6:$T$823,15,0),"")</f>
        <v>2026</v>
      </c>
      <c r="Q242" s="80" t="str">
        <f>IFERROR(VLOOKUP(B242,'02. MM-KLH'!$B$6:$T$823,16,0),"")</f>
        <v>P4100</v>
      </c>
      <c r="R242" s="106" t="str">
        <f>IFERROR(VLOOKUP(B242,'02. MM-KLH'!$B$6:$T$823,17,0),"")</f>
        <v>100 HP</v>
      </c>
      <c r="S242" s="108" t="str">
        <f>IFERROR(VLOOKUP(B242,'02. MM-KLH'!$B$6:$T$823,18,0),"")</f>
        <v>P400053TM</v>
      </c>
      <c r="T242" s="110" t="str">
        <f>IFERROR(VLOOKUP(B242,'02. MM-KLH'!$B$6:$T$823,19,0),"")</f>
        <v>E426C008052</v>
      </c>
      <c r="U242" s="130" t="s">
        <v>2301</v>
      </c>
    </row>
    <row r="243" ht="13.5" customHeight="1">
      <c r="A243" s="95">
        <f t="shared" si="10"/>
        <v>14</v>
      </c>
      <c r="B243" s="115" t="s">
        <v>1846</v>
      </c>
      <c r="C243" s="86" t="str">
        <f>IFERROR(VLOOKUP(B243,'02. MM-KLH'!$B$6:$T$823,2,0),"")</f>
        <v>Mới (100%)</v>
      </c>
      <c r="D243" s="95" t="str">
        <f>IFERROR(VLOOKUP(B243,'02. MM-KLH'!$B$6:$T$823,3,0),"")</f>
        <v>A24-MKE-039</v>
      </c>
      <c r="E243" s="86" t="str">
        <f>IFERROR(VLOOKUP(B243,'02. MM-KLH'!$B$6:$T$823,4,0),"")</f>
        <v/>
      </c>
      <c r="F243" s="115"/>
      <c r="G243" s="86" t="str">
        <f>IFERROR(VLOOKUP(B243,'02. MM-KLH'!$B$6:$T$823,6,0),"")</f>
        <v>Máy cày LOVOL P4110</v>
      </c>
      <c r="H243" s="80" t="s">
        <v>2370</v>
      </c>
      <c r="I243" s="80" t="str">
        <f>IFERROR(VLOOKUP(B243,'02. MM-KLH'!$B$6:$T$823,8,0),"")</f>
        <v>XN Bò AD</v>
      </c>
      <c r="J243" s="99" t="str">
        <f>IFERROR(VLOOKUP(B243,'02. MM-KLH'!$B$6:$T$823,9,0),"")</f>
        <v>28/05/2026</v>
      </c>
      <c r="K243" s="80" t="str">
        <f>IFERROR(VLOOKUP(B243,'02. MM-KLH'!$B$6:$T$823,10,0),"")</f>
        <v>Bình thường</v>
      </c>
      <c r="L243" s="102" t="str">
        <f>IFERROR(VLOOKUP(B243,'02. MM-KLH'!$B$6:$T$823,11,0),"")</f>
        <v/>
      </c>
      <c r="M243" s="143" t="str">
        <f>IFERROR(VLOOKUP(B243,'02. MM-KLH'!$B$6:$T$823,12,0),"")</f>
        <v>Đầu tư mới</v>
      </c>
      <c r="N243" s="108" t="str">
        <f>IFERROR(VLOOKUP(B243,'02. MM-KLH'!$B$6:$T$823,13,0),"")</f>
        <v>LOVOL</v>
      </c>
      <c r="O243" s="108" t="str">
        <f>IFERROR(VLOOKUP(B243,'02. MM-KLH'!$B$6:$T$823,14,0),"")</f>
        <v>TRUNG QUỐC </v>
      </c>
      <c r="P243" s="80">
        <f>IFERROR(VLOOKUP(B243,'02. MM-KLH'!$B$6:$T$823,15,0),"")</f>
        <v>2026</v>
      </c>
      <c r="Q243" s="80" t="str">
        <f>IFERROR(VLOOKUP(B243,'02. MM-KLH'!$B$6:$T$823,16,0),"")</f>
        <v>P4110</v>
      </c>
      <c r="R243" s="106" t="str">
        <f>IFERROR(VLOOKUP(B243,'02. MM-KLH'!$B$6:$T$823,17,0),"")</f>
        <v>110 HP</v>
      </c>
      <c r="S243" s="108" t="str">
        <f>IFERROR(VLOOKUP(B243,'02. MM-KLH'!$B$6:$T$823,18,0),"")</f>
        <v>P400068TM</v>
      </c>
      <c r="T243" s="110" t="str">
        <f>IFERROR(VLOOKUP(B243,'02. MM-KLH'!$B$6:$T$823,19,0),"")</f>
        <v>E426C008939</v>
      </c>
      <c r="U243" s="130" t="s">
        <v>2301</v>
      </c>
    </row>
    <row r="244" ht="13.5" customHeight="1">
      <c r="A244" s="95">
        <f t="shared" si="10"/>
        <v>15</v>
      </c>
      <c r="B244" s="115" t="s">
        <v>1851</v>
      </c>
      <c r="C244" s="86" t="str">
        <f>IFERROR(VLOOKUP(B244,'02. MM-KLH'!$B$6:$T$823,2,0),"")</f>
        <v>Mới (100%)</v>
      </c>
      <c r="D244" s="95" t="str">
        <f>IFERROR(VLOOKUP(B244,'02. MM-KLH'!$B$6:$T$823,3,0),"")</f>
        <v>A24-MKE-040</v>
      </c>
      <c r="E244" s="86" t="str">
        <f>IFERROR(VLOOKUP(B244,'02. MM-KLH'!$B$6:$T$823,4,0),"")</f>
        <v/>
      </c>
      <c r="F244" s="115"/>
      <c r="G244" s="86" t="str">
        <f>IFERROR(VLOOKUP(B244,'02. MM-KLH'!$B$6:$T$823,6,0),"")</f>
        <v>Máy cày LOVOL P4110</v>
      </c>
      <c r="H244" s="80" t="s">
        <v>2370</v>
      </c>
      <c r="I244" s="80" t="str">
        <f>IFERROR(VLOOKUP(B244,'02. MM-KLH'!$B$6:$T$823,8,0),"")</f>
        <v>XN Bò AD</v>
      </c>
      <c r="J244" s="99" t="str">
        <f>IFERROR(VLOOKUP(B244,'02. MM-KLH'!$B$6:$T$823,9,0),"")</f>
        <v>28/05/2026</v>
      </c>
      <c r="K244" s="80" t="str">
        <f>IFERROR(VLOOKUP(B244,'02. MM-KLH'!$B$6:$T$823,10,0),"")</f>
        <v>Bình thường</v>
      </c>
      <c r="L244" s="102" t="str">
        <f>IFERROR(VLOOKUP(B244,'02. MM-KLH'!$B$6:$T$823,11,0),"")</f>
        <v/>
      </c>
      <c r="M244" s="143" t="str">
        <f>IFERROR(VLOOKUP(B244,'02. MM-KLH'!$B$6:$T$823,12,0),"")</f>
        <v>Đầu tư mới</v>
      </c>
      <c r="N244" s="108" t="str">
        <f>IFERROR(VLOOKUP(B244,'02. MM-KLH'!$B$6:$T$823,13,0),"")</f>
        <v>LOVOL</v>
      </c>
      <c r="O244" s="108" t="str">
        <f>IFERROR(VLOOKUP(B244,'02. MM-KLH'!$B$6:$T$823,14,0),"")</f>
        <v>TRUNG QUỐC </v>
      </c>
      <c r="P244" s="80">
        <f>IFERROR(VLOOKUP(B244,'02. MM-KLH'!$B$6:$T$823,15,0),"")</f>
        <v>2026</v>
      </c>
      <c r="Q244" s="80" t="str">
        <f>IFERROR(VLOOKUP(B244,'02. MM-KLH'!$B$6:$T$823,16,0),"")</f>
        <v>P4110</v>
      </c>
      <c r="R244" s="106" t="str">
        <f>IFERROR(VLOOKUP(B244,'02. MM-KLH'!$B$6:$T$823,17,0),"")</f>
        <v>110 HP</v>
      </c>
      <c r="S244" s="108" t="str">
        <f>IFERROR(VLOOKUP(B244,'02. MM-KLH'!$B$6:$T$823,18,0),"")</f>
        <v>P400069TM</v>
      </c>
      <c r="T244" s="110" t="str">
        <f>IFERROR(VLOOKUP(B244,'02. MM-KLH'!$B$6:$T$823,19,0),"")</f>
        <v>E426C008097</v>
      </c>
      <c r="U244" s="130" t="s">
        <v>2301</v>
      </c>
    </row>
    <row r="245" ht="13.5" customHeight="1">
      <c r="A245" s="95">
        <f t="shared" si="10"/>
        <v>16</v>
      </c>
      <c r="B245" s="115" t="s">
        <v>1855</v>
      </c>
      <c r="C245" s="86" t="str">
        <f>IFERROR(VLOOKUP(B245,'02. MM-KLH'!$B$6:$T$823,2,0),"")</f>
        <v>Mới (100%)</v>
      </c>
      <c r="D245" s="95" t="str">
        <f>IFERROR(VLOOKUP(B245,'02. MM-KLH'!$B$6:$T$823,3,0),"")</f>
        <v>A24-MKE-041</v>
      </c>
      <c r="E245" s="86" t="str">
        <f>IFERROR(VLOOKUP(B245,'02. MM-KLH'!$B$6:$T$823,4,0),"")</f>
        <v/>
      </c>
      <c r="F245" s="115"/>
      <c r="G245" s="86" t="str">
        <f>IFERROR(VLOOKUP(B245,'02. MM-KLH'!$B$6:$T$823,6,0),"")</f>
        <v>Máy cày LOVOL P4110</v>
      </c>
      <c r="H245" s="80" t="s">
        <v>2370</v>
      </c>
      <c r="I245" s="80" t="str">
        <f>IFERROR(VLOOKUP(B245,'02. MM-KLH'!$B$6:$T$823,8,0),"")</f>
        <v>XN Bò AD</v>
      </c>
      <c r="J245" s="99" t="str">
        <f>IFERROR(VLOOKUP(B245,'02. MM-KLH'!$B$6:$T$823,9,0),"")</f>
        <v>28/05/2026</v>
      </c>
      <c r="K245" s="80" t="str">
        <f>IFERROR(VLOOKUP(B245,'02. MM-KLH'!$B$6:$T$823,10,0),"")</f>
        <v>Bình thường</v>
      </c>
      <c r="L245" s="102" t="str">
        <f>IFERROR(VLOOKUP(B245,'02. MM-KLH'!$B$6:$T$823,11,0),"")</f>
        <v/>
      </c>
      <c r="M245" s="143" t="str">
        <f>IFERROR(VLOOKUP(B245,'02. MM-KLH'!$B$6:$T$823,12,0),"")</f>
        <v>Đầu tư mới</v>
      </c>
      <c r="N245" s="108" t="str">
        <f>IFERROR(VLOOKUP(B245,'02. MM-KLH'!$B$6:$T$823,13,0),"")</f>
        <v>LOVOL</v>
      </c>
      <c r="O245" s="108" t="str">
        <f>IFERROR(VLOOKUP(B245,'02. MM-KLH'!$B$6:$T$823,14,0),"")</f>
        <v>TRUNG QUỐC </v>
      </c>
      <c r="P245" s="80">
        <f>IFERROR(VLOOKUP(B245,'02. MM-KLH'!$B$6:$T$823,15,0),"")</f>
        <v>2026</v>
      </c>
      <c r="Q245" s="80" t="str">
        <f>IFERROR(VLOOKUP(B245,'02. MM-KLH'!$B$6:$T$823,16,0),"")</f>
        <v>P4110</v>
      </c>
      <c r="R245" s="106" t="str">
        <f>IFERROR(VLOOKUP(B245,'02. MM-KLH'!$B$6:$T$823,17,0),"")</f>
        <v>110 HP</v>
      </c>
      <c r="S245" s="108" t="str">
        <f>IFERROR(VLOOKUP(B245,'02. MM-KLH'!$B$6:$T$823,18,0),"")</f>
        <v>P400070TM</v>
      </c>
      <c r="T245" s="110" t="str">
        <f>IFERROR(VLOOKUP(B245,'02. MM-KLH'!$B$6:$T$823,19,0),"")</f>
        <v>E426C008092</v>
      </c>
      <c r="U245" s="130" t="s">
        <v>2301</v>
      </c>
    </row>
    <row r="246" ht="13.5" customHeight="1">
      <c r="A246" s="95">
        <f t="shared" si="10"/>
        <v>17</v>
      </c>
      <c r="B246" s="115" t="s">
        <v>1859</v>
      </c>
      <c r="C246" s="86" t="str">
        <f>IFERROR(VLOOKUP(B246,'02. MM-KLH'!$B$6:$T$823,2,0),"")</f>
        <v>Mới (100%)</v>
      </c>
      <c r="D246" s="95" t="str">
        <f>IFERROR(VLOOKUP(B246,'02. MM-KLH'!$B$6:$T$823,3,0),"")</f>
        <v>A23-MKE-039</v>
      </c>
      <c r="E246" s="86" t="str">
        <f>IFERROR(VLOOKUP(B246,'02. MM-KLH'!$B$6:$T$823,4,0),"")</f>
        <v/>
      </c>
      <c r="F246" s="115"/>
      <c r="G246" s="86" t="str">
        <f>IFERROR(VLOOKUP(B246,'02. MM-KLH'!$B$6:$T$823,6,0),"")</f>
        <v>Máy cày LOVOL TR1504</v>
      </c>
      <c r="H246" s="80" t="s">
        <v>2370</v>
      </c>
      <c r="I246" s="80" t="str">
        <f>IFERROR(VLOOKUP(B246,'02. MM-KLH'!$B$6:$T$823,8,0),"")</f>
        <v>XN Bò AD</v>
      </c>
      <c r="J246" s="99" t="str">
        <f>IFERROR(VLOOKUP(B246,'02. MM-KLH'!$B$6:$T$823,9,0),"")</f>
        <v>28/05/2026</v>
      </c>
      <c r="K246" s="80" t="str">
        <f>IFERROR(VLOOKUP(B246,'02. MM-KLH'!$B$6:$T$823,10,0),"")</f>
        <v>Bình thường</v>
      </c>
      <c r="L246" s="102" t="str">
        <f>IFERROR(VLOOKUP(B246,'02. MM-KLH'!$B$6:$T$823,11,0),"")</f>
        <v/>
      </c>
      <c r="M246" s="143" t="str">
        <f>IFERROR(VLOOKUP(B246,'02. MM-KLH'!$B$6:$T$823,12,0),"")</f>
        <v>Đầu tư mới</v>
      </c>
      <c r="N246" s="108" t="str">
        <f>IFERROR(VLOOKUP(B246,'02. MM-KLH'!$B$6:$T$823,13,0),"")</f>
        <v>LOVOL</v>
      </c>
      <c r="O246" s="108" t="str">
        <f>IFERROR(VLOOKUP(B246,'02. MM-KLH'!$B$6:$T$823,14,0),"")</f>
        <v>TRUNG QUỐC </v>
      </c>
      <c r="P246" s="80">
        <f>IFERROR(VLOOKUP(B246,'02. MM-KLH'!$B$6:$T$823,15,0),"")</f>
        <v>2026</v>
      </c>
      <c r="Q246" s="80" t="str">
        <f>IFERROR(VLOOKUP(B246,'02. MM-KLH'!$B$6:$T$823,16,0),"")</f>
        <v>TR1504</v>
      </c>
      <c r="R246" s="106" t="str">
        <f>IFERROR(VLOOKUP(B246,'02. MM-KLH'!$B$6:$T$823,17,0),"")</f>
        <v>150 HP</v>
      </c>
      <c r="S246" s="108" t="str">
        <f>IFERROR(VLOOKUP(B246,'02. MM-KLH'!$B$6:$T$823,18,0),"")</f>
        <v>M600086TY</v>
      </c>
      <c r="T246" s="110" t="str">
        <f>IFERROR(VLOOKUP(B246,'02. MM-KLH'!$B$6:$T$823,19,0),"")</f>
        <v>6P26C009038</v>
      </c>
      <c r="U246" s="130" t="s">
        <v>2301</v>
      </c>
    </row>
    <row r="247" ht="13.5" customHeight="1">
      <c r="A247" s="95">
        <f t="shared" si="10"/>
        <v>18</v>
      </c>
      <c r="B247" s="115" t="s">
        <v>1866</v>
      </c>
      <c r="C247" s="86" t="str">
        <f>IFERROR(VLOOKUP(B247,'02. MM-KLH'!$B$6:$T$823,2,0),"")</f>
        <v>Mới (100%)</v>
      </c>
      <c r="D247" s="95" t="str">
        <f>IFERROR(VLOOKUP(B247,'02. MM-KLH'!$B$6:$T$823,3,0),"")</f>
        <v>A23-MKE-040</v>
      </c>
      <c r="E247" s="86" t="str">
        <f>IFERROR(VLOOKUP(B247,'02. MM-KLH'!$B$6:$T$823,4,0),"")</f>
        <v/>
      </c>
      <c r="F247" s="115"/>
      <c r="G247" s="86" t="str">
        <f>IFERROR(VLOOKUP(B247,'02. MM-KLH'!$B$6:$T$823,6,0),"")</f>
        <v>Máy cày LOVOL TR1504</v>
      </c>
      <c r="H247" s="80" t="s">
        <v>2370</v>
      </c>
      <c r="I247" s="80" t="str">
        <f>IFERROR(VLOOKUP(B247,'02. MM-KLH'!$B$6:$T$823,8,0),"")</f>
        <v>XN Bò AD</v>
      </c>
      <c r="J247" s="99" t="str">
        <f>IFERROR(VLOOKUP(B247,'02. MM-KLH'!$B$6:$T$823,9,0),"")</f>
        <v>28/05/2026</v>
      </c>
      <c r="K247" s="80" t="str">
        <f>IFERROR(VLOOKUP(B247,'02. MM-KLH'!$B$6:$T$823,10,0),"")</f>
        <v>Bình thường</v>
      </c>
      <c r="L247" s="102" t="str">
        <f>IFERROR(VLOOKUP(B247,'02. MM-KLH'!$B$6:$T$823,11,0),"")</f>
        <v/>
      </c>
      <c r="M247" s="143" t="str">
        <f>IFERROR(VLOOKUP(B247,'02. MM-KLH'!$B$6:$T$823,12,0),"")</f>
        <v>Đầu tư mới</v>
      </c>
      <c r="N247" s="108" t="str">
        <f>IFERROR(VLOOKUP(B247,'02. MM-KLH'!$B$6:$T$823,13,0),"")</f>
        <v>LOVOL</v>
      </c>
      <c r="O247" s="108" t="str">
        <f>IFERROR(VLOOKUP(B247,'02. MM-KLH'!$B$6:$T$823,14,0),"")</f>
        <v>TRUNG QUỐC </v>
      </c>
      <c r="P247" s="80">
        <f>IFERROR(VLOOKUP(B247,'02. MM-KLH'!$B$6:$T$823,15,0),"")</f>
        <v>2026</v>
      </c>
      <c r="Q247" s="80" t="str">
        <f>IFERROR(VLOOKUP(B247,'02. MM-KLH'!$B$6:$T$823,16,0),"")</f>
        <v>TR1504</v>
      </c>
      <c r="R247" s="106" t="str">
        <f>IFERROR(VLOOKUP(B247,'02. MM-KLH'!$B$6:$T$823,17,0),"")</f>
        <v>150 HP</v>
      </c>
      <c r="S247" s="108" t="str">
        <f>IFERROR(VLOOKUP(B247,'02. MM-KLH'!$B$6:$T$823,18,0),"")</f>
        <v>M600087TY</v>
      </c>
      <c r="T247" s="110" t="str">
        <f>IFERROR(VLOOKUP(B247,'02. MM-KLH'!$B$6:$T$823,19,0),"")</f>
        <v>6P26C009039</v>
      </c>
      <c r="U247" s="130" t="s">
        <v>2301</v>
      </c>
    </row>
    <row r="248" ht="13.5" customHeight="1">
      <c r="A248" s="95">
        <f t="shared" si="10"/>
        <v>19</v>
      </c>
      <c r="B248" s="115" t="s">
        <v>1870</v>
      </c>
      <c r="C248" s="86" t="str">
        <f>IFERROR(VLOOKUP(B248,'02. MM-KLH'!$B$6:$T$823,2,0),"")</f>
        <v>Mới (100%)</v>
      </c>
      <c r="D248" s="95" t="str">
        <f>IFERROR(VLOOKUP(B248,'02. MM-KLH'!$B$6:$T$823,3,0),"")</f>
        <v>A23-MKE-041</v>
      </c>
      <c r="E248" s="86" t="str">
        <f>IFERROR(VLOOKUP(B248,'02. MM-KLH'!$B$6:$T$823,4,0),"")</f>
        <v/>
      </c>
      <c r="F248" s="115"/>
      <c r="G248" s="86" t="str">
        <f>IFERROR(VLOOKUP(B248,'02. MM-KLH'!$B$6:$T$823,6,0),"")</f>
        <v>Máy cày LOVOL TR1504</v>
      </c>
      <c r="H248" s="80" t="s">
        <v>2370</v>
      </c>
      <c r="I248" s="80" t="str">
        <f>IFERROR(VLOOKUP(B248,'02. MM-KLH'!$B$6:$T$823,8,0),"")</f>
        <v>XN Bò AD</v>
      </c>
      <c r="J248" s="99" t="str">
        <f>IFERROR(VLOOKUP(B248,'02. MM-KLH'!$B$6:$T$823,9,0),"")</f>
        <v>28/05/2026</v>
      </c>
      <c r="K248" s="80" t="str">
        <f>IFERROR(VLOOKUP(B248,'02. MM-KLH'!$B$6:$T$823,10,0),"")</f>
        <v>Bình thường</v>
      </c>
      <c r="L248" s="102" t="str">
        <f>IFERROR(VLOOKUP(B248,'02. MM-KLH'!$B$6:$T$823,11,0),"")</f>
        <v/>
      </c>
      <c r="M248" s="143" t="str">
        <f>IFERROR(VLOOKUP(B248,'02. MM-KLH'!$B$6:$T$823,12,0),"")</f>
        <v>Đầu tư mới</v>
      </c>
      <c r="N248" s="108" t="str">
        <f>IFERROR(VLOOKUP(B248,'02. MM-KLH'!$B$6:$T$823,13,0),"")</f>
        <v>LOVOL</v>
      </c>
      <c r="O248" s="108" t="str">
        <f>IFERROR(VLOOKUP(B248,'02. MM-KLH'!$B$6:$T$823,14,0),"")</f>
        <v>TRUNG QUỐC </v>
      </c>
      <c r="P248" s="80">
        <f>IFERROR(VLOOKUP(B248,'02. MM-KLH'!$B$6:$T$823,15,0),"")</f>
        <v>2026</v>
      </c>
      <c r="Q248" s="80" t="str">
        <f>IFERROR(VLOOKUP(B248,'02. MM-KLH'!$B$6:$T$823,16,0),"")</f>
        <v>TR1504</v>
      </c>
      <c r="R248" s="106" t="str">
        <f>IFERROR(VLOOKUP(B248,'02. MM-KLH'!$B$6:$T$823,17,0),"")</f>
        <v>150 HP</v>
      </c>
      <c r="S248" s="108" t="str">
        <f>IFERROR(VLOOKUP(B248,'02. MM-KLH'!$B$6:$T$823,18,0),"")</f>
        <v>M600088TY</v>
      </c>
      <c r="T248" s="110" t="str">
        <f>IFERROR(VLOOKUP(B248,'02. MM-KLH'!$B$6:$T$823,19,0),"")</f>
        <v>6P26C009040</v>
      </c>
      <c r="U248" s="130" t="s">
        <v>2301</v>
      </c>
    </row>
    <row r="249" ht="13.5" customHeight="1">
      <c r="A249" s="95">
        <f t="shared" ref="A249:A255" si="11">1+A248</f>
        <v>20</v>
      </c>
      <c r="B249" s="115"/>
      <c r="C249" s="86" t="str">
        <f>IFERROR(VLOOKUP(B249,'02. MM-KLH'!$B$6:$T$823,2,0),"")</f>
        <v/>
      </c>
      <c r="D249" s="95" t="str">
        <f>IFERROR(VLOOKUP(B249,'02. MM-KLH'!$B$6:$T$823,3,0),"")</f>
        <v/>
      </c>
      <c r="E249" s="86" t="str">
        <f>IFERROR(VLOOKUP(B249,'02. MM-KLH'!$B$6:$T$823,4,0),"")</f>
        <v/>
      </c>
      <c r="F249" s="115"/>
      <c r="G249" s="86" t="str">
        <f>IFERROR(VLOOKUP(B249,'02. MM-KLH'!$B$6:$T$823,6,0),"")</f>
        <v/>
      </c>
      <c r="H249" s="80" t="s">
        <v>2370</v>
      </c>
      <c r="I249" s="80" t="str">
        <f>IFERROR(VLOOKUP(B249,'02. MM-KLH'!$B$6:$T$823,8,0),"")</f>
        <v/>
      </c>
      <c r="J249" s="99" t="str">
        <f>IFERROR(VLOOKUP(B249,'02. MM-KLH'!$B$6:$T$823,9,0),"")</f>
        <v/>
      </c>
      <c r="K249" s="80" t="str">
        <f>IFERROR(VLOOKUP(B249,'02. MM-KLH'!$B$6:$T$823,10,0),"")</f>
        <v/>
      </c>
      <c r="L249" s="102" t="str">
        <f>IFERROR(VLOOKUP(B249,'02. MM-KLH'!$B$6:$T$823,11,0),"")</f>
        <v/>
      </c>
      <c r="M249" s="143" t="str">
        <f>IFERROR(VLOOKUP(B249,'02. MM-KLH'!$B$6:$T$823,12,0),"")</f>
        <v/>
      </c>
      <c r="N249" s="108" t="str">
        <f>IFERROR(VLOOKUP(B249,'02. MM-KLH'!$B$6:$T$823,13,0),"")</f>
        <v/>
      </c>
      <c r="O249" s="108" t="str">
        <f>IFERROR(VLOOKUP(B249,'02. MM-KLH'!$B$6:$T$823,14,0),"")</f>
        <v/>
      </c>
      <c r="P249" s="80" t="str">
        <f>IFERROR(VLOOKUP(B249,'02. MM-KLH'!$B$6:$T$823,15,0),"")</f>
        <v/>
      </c>
      <c r="Q249" s="80" t="str">
        <f>IFERROR(VLOOKUP(B249,'02. MM-KLH'!$B$6:$T$823,16,0),"")</f>
        <v/>
      </c>
      <c r="R249" s="106" t="str">
        <f>IFERROR(VLOOKUP(B249,'02. MM-KLH'!$B$6:$T$823,17,0),"")</f>
        <v/>
      </c>
      <c r="S249" s="108" t="str">
        <f>IFERROR(VLOOKUP(B249,'02. MM-KLH'!$B$6:$T$823,18,0),"")</f>
        <v/>
      </c>
      <c r="T249" s="110" t="str">
        <f>IFERROR(VLOOKUP(B249,'02. MM-KLH'!$B$6:$T$823,19,0),"")</f>
        <v/>
      </c>
      <c r="U249" s="130" t="s">
        <v>2301</v>
      </c>
    </row>
    <row r="250" ht="13.5" customHeight="1">
      <c r="A250" s="95">
        <f t="shared" si="11"/>
        <v>21</v>
      </c>
      <c r="B250" s="115"/>
      <c r="C250" s="86" t="str">
        <f>IFERROR(VLOOKUP(B250,'02. MM-KLH'!$B$6:$T$823,2,0),"")</f>
        <v/>
      </c>
      <c r="D250" s="95" t="str">
        <f>IFERROR(VLOOKUP(B250,'02. MM-KLH'!$B$6:$T$823,3,0),"")</f>
        <v/>
      </c>
      <c r="E250" s="86" t="str">
        <f>IFERROR(VLOOKUP(B250,'02. MM-KLH'!$B$6:$T$823,4,0),"")</f>
        <v/>
      </c>
      <c r="F250" s="115"/>
      <c r="G250" s="86" t="str">
        <f>IFERROR(VLOOKUP(B250,'02. MM-KLH'!$B$6:$T$823,6,0),"")</f>
        <v/>
      </c>
      <c r="H250" s="80" t="s">
        <v>2370</v>
      </c>
      <c r="I250" s="80" t="str">
        <f>IFERROR(VLOOKUP(B250,'02. MM-KLH'!$B$6:$T$823,8,0),"")</f>
        <v/>
      </c>
      <c r="J250" s="99" t="str">
        <f>IFERROR(VLOOKUP(B250,'02. MM-KLH'!$B$6:$T$823,9,0),"")</f>
        <v/>
      </c>
      <c r="K250" s="80" t="str">
        <f>IFERROR(VLOOKUP(B250,'02. MM-KLH'!$B$6:$T$823,10,0),"")</f>
        <v/>
      </c>
      <c r="L250" s="102" t="str">
        <f>IFERROR(VLOOKUP(B250,'02. MM-KLH'!$B$6:$T$823,11,0),"")</f>
        <v/>
      </c>
      <c r="M250" s="143" t="str">
        <f>IFERROR(VLOOKUP(B250,'02. MM-KLH'!$B$6:$T$823,12,0),"")</f>
        <v/>
      </c>
      <c r="N250" s="108" t="str">
        <f>IFERROR(VLOOKUP(B250,'02. MM-KLH'!$B$6:$T$823,13,0),"")</f>
        <v/>
      </c>
      <c r="O250" s="108" t="str">
        <f>IFERROR(VLOOKUP(B250,'02. MM-KLH'!$B$6:$T$823,14,0),"")</f>
        <v/>
      </c>
      <c r="P250" s="80" t="str">
        <f>IFERROR(VLOOKUP(B250,'02. MM-KLH'!$B$6:$T$823,15,0),"")</f>
        <v/>
      </c>
      <c r="Q250" s="80" t="str">
        <f>IFERROR(VLOOKUP(B250,'02. MM-KLH'!$B$6:$T$823,16,0),"")</f>
        <v/>
      </c>
      <c r="R250" s="106" t="str">
        <f>IFERROR(VLOOKUP(B250,'02. MM-KLH'!$B$6:$T$823,17,0),"")</f>
        <v/>
      </c>
      <c r="S250" s="108" t="str">
        <f>IFERROR(VLOOKUP(B250,'02. MM-KLH'!$B$6:$T$823,18,0),"")</f>
        <v/>
      </c>
      <c r="T250" s="110" t="str">
        <f>IFERROR(VLOOKUP(B250,'02. MM-KLH'!$B$6:$T$823,19,0),"")</f>
        <v/>
      </c>
      <c r="U250" s="130" t="s">
        <v>2301</v>
      </c>
    </row>
    <row r="251" ht="13.5" customHeight="1">
      <c r="A251" s="95">
        <f t="shared" si="11"/>
        <v>22</v>
      </c>
      <c r="B251" s="115"/>
      <c r="C251" s="86" t="str">
        <f>IFERROR(VLOOKUP(B251,'02. MM-KLH'!$B$6:$T$823,2,0),"")</f>
        <v/>
      </c>
      <c r="D251" s="95" t="str">
        <f>IFERROR(VLOOKUP(B251,'02. MM-KLH'!$B$6:$T$823,3,0),"")</f>
        <v/>
      </c>
      <c r="E251" s="86" t="str">
        <f>IFERROR(VLOOKUP(B251,'02. MM-KLH'!$B$6:$T$823,4,0),"")</f>
        <v/>
      </c>
      <c r="F251" s="115"/>
      <c r="G251" s="86" t="str">
        <f>IFERROR(VLOOKUP(B251,'02. MM-KLH'!$B$6:$T$823,6,0),"")</f>
        <v/>
      </c>
      <c r="H251" s="80" t="s">
        <v>2370</v>
      </c>
      <c r="I251" s="80" t="str">
        <f>IFERROR(VLOOKUP(B251,'02. MM-KLH'!$B$6:$T$823,8,0),"")</f>
        <v/>
      </c>
      <c r="J251" s="99" t="str">
        <f>IFERROR(VLOOKUP(B251,'02. MM-KLH'!$B$6:$T$823,9,0),"")</f>
        <v/>
      </c>
      <c r="K251" s="80" t="str">
        <f>IFERROR(VLOOKUP(B251,'02. MM-KLH'!$B$6:$T$823,10,0),"")</f>
        <v/>
      </c>
      <c r="L251" s="102" t="str">
        <f>IFERROR(VLOOKUP(B251,'02. MM-KLH'!$B$6:$T$823,11,0),"")</f>
        <v/>
      </c>
      <c r="M251" s="143" t="str">
        <f>IFERROR(VLOOKUP(B251,'02. MM-KLH'!$B$6:$T$823,12,0),"")</f>
        <v/>
      </c>
      <c r="N251" s="108" t="str">
        <f>IFERROR(VLOOKUP(B251,'02. MM-KLH'!$B$6:$T$823,13,0),"")</f>
        <v/>
      </c>
      <c r="O251" s="108" t="str">
        <f>IFERROR(VLOOKUP(B251,'02. MM-KLH'!$B$6:$T$823,14,0),"")</f>
        <v/>
      </c>
      <c r="P251" s="80" t="str">
        <f>IFERROR(VLOOKUP(B251,'02. MM-KLH'!$B$6:$T$823,15,0),"")</f>
        <v/>
      </c>
      <c r="Q251" s="80" t="str">
        <f>IFERROR(VLOOKUP(B251,'02. MM-KLH'!$B$6:$T$823,16,0),"")</f>
        <v/>
      </c>
      <c r="R251" s="106" t="str">
        <f>IFERROR(VLOOKUP(B251,'02. MM-KLH'!$B$6:$T$823,17,0),"")</f>
        <v/>
      </c>
      <c r="S251" s="108" t="str">
        <f>IFERROR(VLOOKUP(B251,'02. MM-KLH'!$B$6:$T$823,18,0),"")</f>
        <v/>
      </c>
      <c r="T251" s="110" t="str">
        <f>IFERROR(VLOOKUP(B251,'02. MM-KLH'!$B$6:$T$823,19,0),"")</f>
        <v/>
      </c>
      <c r="U251" s="130" t="s">
        <v>2301</v>
      </c>
    </row>
    <row r="252" ht="13.5" customHeight="1">
      <c r="A252" s="95">
        <f t="shared" si="11"/>
        <v>23</v>
      </c>
      <c r="B252" s="115"/>
      <c r="C252" s="86" t="str">
        <f>IFERROR(VLOOKUP(B252,'02. MM-KLH'!$B$6:$T$823,2,0),"")</f>
        <v/>
      </c>
      <c r="D252" s="95" t="str">
        <f>IFERROR(VLOOKUP(B252,'02. MM-KLH'!$B$6:$T$823,3,0),"")</f>
        <v/>
      </c>
      <c r="E252" s="86" t="str">
        <f>IFERROR(VLOOKUP(B252,'02. MM-KLH'!$B$6:$T$823,4,0),"")</f>
        <v/>
      </c>
      <c r="F252" s="115"/>
      <c r="G252" s="86" t="str">
        <f>IFERROR(VLOOKUP(B252,'02. MM-KLH'!$B$6:$T$823,6,0),"")</f>
        <v/>
      </c>
      <c r="H252" s="80" t="s">
        <v>2370</v>
      </c>
      <c r="I252" s="80" t="str">
        <f>IFERROR(VLOOKUP(B252,'02. MM-KLH'!$B$6:$T$823,8,0),"")</f>
        <v/>
      </c>
      <c r="J252" s="99" t="str">
        <f>IFERROR(VLOOKUP(B252,'02. MM-KLH'!$B$6:$T$823,9,0),"")</f>
        <v/>
      </c>
      <c r="K252" s="80" t="str">
        <f>IFERROR(VLOOKUP(B252,'02. MM-KLH'!$B$6:$T$823,10,0),"")</f>
        <v/>
      </c>
      <c r="L252" s="102" t="str">
        <f>IFERROR(VLOOKUP(B252,'02. MM-KLH'!$B$6:$T$823,11,0),"")</f>
        <v/>
      </c>
      <c r="M252" s="143" t="str">
        <f>IFERROR(VLOOKUP(B252,'02. MM-KLH'!$B$6:$T$823,12,0),"")</f>
        <v/>
      </c>
      <c r="N252" s="108" t="str">
        <f>IFERROR(VLOOKUP(B252,'02. MM-KLH'!$B$6:$T$823,13,0),"")</f>
        <v/>
      </c>
      <c r="O252" s="108" t="str">
        <f>IFERROR(VLOOKUP(B252,'02. MM-KLH'!$B$6:$T$823,14,0),"")</f>
        <v/>
      </c>
      <c r="P252" s="80" t="str">
        <f>IFERROR(VLOOKUP(B252,'02. MM-KLH'!$B$6:$T$823,15,0),"")</f>
        <v/>
      </c>
      <c r="Q252" s="80" t="str">
        <f>IFERROR(VLOOKUP(B252,'02. MM-KLH'!$B$6:$T$823,16,0),"")</f>
        <v/>
      </c>
      <c r="R252" s="106" t="str">
        <f>IFERROR(VLOOKUP(B252,'02. MM-KLH'!$B$6:$T$823,17,0),"")</f>
        <v/>
      </c>
      <c r="S252" s="108" t="str">
        <f>IFERROR(VLOOKUP(B252,'02. MM-KLH'!$B$6:$T$823,18,0),"")</f>
        <v/>
      </c>
      <c r="T252" s="110" t="str">
        <f>IFERROR(VLOOKUP(B252,'02. MM-KLH'!$B$6:$T$823,19,0),"")</f>
        <v/>
      </c>
      <c r="U252" s="130" t="s">
        <v>2301</v>
      </c>
    </row>
    <row r="253" ht="13.5" customHeight="1">
      <c r="A253" s="95">
        <f t="shared" si="11"/>
        <v>24</v>
      </c>
      <c r="B253" s="115"/>
      <c r="C253" s="86" t="str">
        <f>IFERROR(VLOOKUP(B253,'02. MM-KLH'!$B$6:$T$823,2,0),"")</f>
        <v/>
      </c>
      <c r="D253" s="95" t="str">
        <f>IFERROR(VLOOKUP(B253,'02. MM-KLH'!$B$6:$T$823,3,0),"")</f>
        <v/>
      </c>
      <c r="E253" s="86" t="str">
        <f>IFERROR(VLOOKUP(B253,'02. MM-KLH'!$B$6:$T$823,4,0),"")</f>
        <v/>
      </c>
      <c r="F253" s="115"/>
      <c r="G253" s="86" t="str">
        <f>IFERROR(VLOOKUP(B253,'02. MM-KLH'!$B$6:$T$823,6,0),"")</f>
        <v/>
      </c>
      <c r="H253" s="80" t="s">
        <v>2370</v>
      </c>
      <c r="I253" s="80" t="str">
        <f>IFERROR(VLOOKUP(B253,'02. MM-KLH'!$B$6:$T$823,8,0),"")</f>
        <v/>
      </c>
      <c r="J253" s="99" t="str">
        <f>IFERROR(VLOOKUP(B253,'02. MM-KLH'!$B$6:$T$823,9,0),"")</f>
        <v/>
      </c>
      <c r="K253" s="80" t="str">
        <f>IFERROR(VLOOKUP(B253,'02. MM-KLH'!$B$6:$T$823,10,0),"")</f>
        <v/>
      </c>
      <c r="L253" s="102" t="str">
        <f>IFERROR(VLOOKUP(B253,'02. MM-KLH'!$B$6:$T$823,11,0),"")</f>
        <v/>
      </c>
      <c r="M253" s="143" t="str">
        <f>IFERROR(VLOOKUP(B253,'02. MM-KLH'!$B$6:$T$823,12,0),"")</f>
        <v/>
      </c>
      <c r="N253" s="108" t="str">
        <f>IFERROR(VLOOKUP(B253,'02. MM-KLH'!$B$6:$T$823,13,0),"")</f>
        <v/>
      </c>
      <c r="O253" s="108" t="str">
        <f>IFERROR(VLOOKUP(B253,'02. MM-KLH'!$B$6:$T$823,14,0),"")</f>
        <v/>
      </c>
      <c r="P253" s="80" t="str">
        <f>IFERROR(VLOOKUP(B253,'02. MM-KLH'!$B$6:$T$823,15,0),"")</f>
        <v/>
      </c>
      <c r="Q253" s="80" t="str">
        <f>IFERROR(VLOOKUP(B253,'02. MM-KLH'!$B$6:$T$823,16,0),"")</f>
        <v/>
      </c>
      <c r="R253" s="106" t="str">
        <f>IFERROR(VLOOKUP(B253,'02. MM-KLH'!$B$6:$T$823,17,0),"")</f>
        <v/>
      </c>
      <c r="S253" s="108" t="str">
        <f>IFERROR(VLOOKUP(B253,'02. MM-KLH'!$B$6:$T$823,18,0),"")</f>
        <v/>
      </c>
      <c r="T253" s="110" t="str">
        <f>IFERROR(VLOOKUP(B253,'02. MM-KLH'!$B$6:$T$823,19,0),"")</f>
        <v/>
      </c>
      <c r="U253" s="130" t="s">
        <v>2301</v>
      </c>
    </row>
    <row r="254" ht="13.5" customHeight="1">
      <c r="A254" s="95">
        <f t="shared" si="11"/>
        <v>25</v>
      </c>
      <c r="B254" s="115"/>
      <c r="C254" s="86" t="str">
        <f>IFERROR(VLOOKUP(B254,'02. MM-KLH'!$B$6:$T$823,2,0),"")</f>
        <v/>
      </c>
      <c r="D254" s="95" t="str">
        <f>IFERROR(VLOOKUP(B254,'02. MM-KLH'!$B$6:$T$823,3,0),"")</f>
        <v/>
      </c>
      <c r="E254" s="86" t="str">
        <f>IFERROR(VLOOKUP(B254,'02. MM-KLH'!$B$6:$T$823,4,0),"")</f>
        <v/>
      </c>
      <c r="F254" s="115"/>
      <c r="G254" s="86" t="str">
        <f>IFERROR(VLOOKUP(B254,'02. MM-KLH'!$B$6:$T$823,6,0),"")</f>
        <v/>
      </c>
      <c r="H254" s="80" t="s">
        <v>2370</v>
      </c>
      <c r="I254" s="80" t="str">
        <f>IFERROR(VLOOKUP(B254,'02. MM-KLH'!$B$6:$T$823,8,0),"")</f>
        <v/>
      </c>
      <c r="J254" s="99" t="str">
        <f>IFERROR(VLOOKUP(B254,'02. MM-KLH'!$B$6:$T$823,9,0),"")</f>
        <v/>
      </c>
      <c r="K254" s="80" t="str">
        <f>IFERROR(VLOOKUP(B254,'02. MM-KLH'!$B$6:$T$823,10,0),"")</f>
        <v/>
      </c>
      <c r="L254" s="102" t="str">
        <f>IFERROR(VLOOKUP(B254,'02. MM-KLH'!$B$6:$T$823,11,0),"")</f>
        <v/>
      </c>
      <c r="M254" s="143" t="str">
        <f>IFERROR(VLOOKUP(B254,'02. MM-KLH'!$B$6:$T$823,12,0),"")</f>
        <v/>
      </c>
      <c r="N254" s="108" t="str">
        <f>IFERROR(VLOOKUP(B254,'02. MM-KLH'!$B$6:$T$823,13,0),"")</f>
        <v/>
      </c>
      <c r="O254" s="108" t="str">
        <f>IFERROR(VLOOKUP(B254,'02. MM-KLH'!$B$6:$T$823,14,0),"")</f>
        <v/>
      </c>
      <c r="P254" s="80" t="str">
        <f>IFERROR(VLOOKUP(B254,'02. MM-KLH'!$B$6:$T$823,15,0),"")</f>
        <v/>
      </c>
      <c r="Q254" s="80" t="str">
        <f>IFERROR(VLOOKUP(B254,'02. MM-KLH'!$B$6:$T$823,16,0),"")</f>
        <v/>
      </c>
      <c r="R254" s="106" t="str">
        <f>IFERROR(VLOOKUP(B254,'02. MM-KLH'!$B$6:$T$823,17,0),"")</f>
        <v/>
      </c>
      <c r="S254" s="108" t="str">
        <f>IFERROR(VLOOKUP(B254,'02. MM-KLH'!$B$6:$T$823,18,0),"")</f>
        <v/>
      </c>
      <c r="T254" s="110" t="str">
        <f>IFERROR(VLOOKUP(B254,'02. MM-KLH'!$B$6:$T$823,19,0),"")</f>
        <v/>
      </c>
      <c r="U254" s="130" t="s">
        <v>2301</v>
      </c>
    </row>
    <row r="255" ht="13.5" customHeight="1">
      <c r="A255" s="95">
        <f t="shared" si="11"/>
        <v>26</v>
      </c>
      <c r="B255" s="115"/>
      <c r="C255" s="86" t="str">
        <f>IFERROR(VLOOKUP(B255,'02. MM-KLH'!$B$6:$T$823,2,0),"")</f>
        <v/>
      </c>
      <c r="D255" s="95" t="str">
        <f>IFERROR(VLOOKUP(B255,'02. MM-KLH'!$B$6:$T$823,3,0),"")</f>
        <v/>
      </c>
      <c r="E255" s="86" t="str">
        <f>IFERROR(VLOOKUP(B255,'02. MM-KLH'!$B$6:$T$823,4,0),"")</f>
        <v/>
      </c>
      <c r="F255" s="115"/>
      <c r="G255" s="86" t="str">
        <f>IFERROR(VLOOKUP(B255,'02. MM-KLH'!$B$6:$T$823,6,0),"")</f>
        <v/>
      </c>
      <c r="H255" s="80" t="s">
        <v>2370</v>
      </c>
      <c r="I255" s="80" t="str">
        <f>IFERROR(VLOOKUP(B255,'02. MM-KLH'!$B$6:$T$823,8,0),"")</f>
        <v/>
      </c>
      <c r="J255" s="99" t="str">
        <f>IFERROR(VLOOKUP(B255,'02. MM-KLH'!$B$6:$T$823,9,0),"")</f>
        <v/>
      </c>
      <c r="K255" s="80" t="str">
        <f>IFERROR(VLOOKUP(B255,'02. MM-KLH'!$B$6:$T$823,10,0),"")</f>
        <v/>
      </c>
      <c r="L255" s="102" t="str">
        <f>IFERROR(VLOOKUP(B255,'02. MM-KLH'!$B$6:$T$823,11,0),"")</f>
        <v/>
      </c>
      <c r="M255" s="143" t="str">
        <f>IFERROR(VLOOKUP(B255,'02. MM-KLH'!$B$6:$T$823,12,0),"")</f>
        <v/>
      </c>
      <c r="N255" s="108" t="str">
        <f>IFERROR(VLOOKUP(B255,'02. MM-KLH'!$B$6:$T$823,13,0),"")</f>
        <v/>
      </c>
      <c r="O255" s="108" t="str">
        <f>IFERROR(VLOOKUP(B255,'02. MM-KLH'!$B$6:$T$823,14,0),"")</f>
        <v/>
      </c>
      <c r="P255" s="80" t="str">
        <f>IFERROR(VLOOKUP(B255,'02. MM-KLH'!$B$6:$T$823,15,0),"")</f>
        <v/>
      </c>
      <c r="Q255" s="80" t="str">
        <f>IFERROR(VLOOKUP(B255,'02. MM-KLH'!$B$6:$T$823,16,0),"")</f>
        <v/>
      </c>
      <c r="R255" s="106" t="str">
        <f>IFERROR(VLOOKUP(B255,'02. MM-KLH'!$B$6:$T$823,17,0),"")</f>
        <v/>
      </c>
      <c r="S255" s="108" t="str">
        <f>IFERROR(VLOOKUP(B255,'02. MM-KLH'!$B$6:$T$823,18,0),"")</f>
        <v/>
      </c>
      <c r="T255" s="110" t="str">
        <f>IFERROR(VLOOKUP(B255,'02. MM-KLH'!$B$6:$T$823,19,0),"")</f>
        <v/>
      </c>
      <c r="U255" s="130" t="s">
        <v>2301</v>
      </c>
    </row>
    <row r="256" ht="13.5" customHeight="1">
      <c r="A256" s="95"/>
      <c r="B256" s="115"/>
      <c r="C256" s="86"/>
      <c r="D256" s="95"/>
      <c r="E256" s="86"/>
      <c r="F256" s="513"/>
      <c r="G256" s="86"/>
      <c r="H256" s="80"/>
      <c r="I256" s="80"/>
      <c r="J256" s="99"/>
      <c r="K256" s="80"/>
      <c r="L256" s="102"/>
      <c r="M256" s="143"/>
      <c r="N256" s="108"/>
      <c r="O256" s="108"/>
      <c r="P256" s="80"/>
      <c r="Q256" s="80"/>
      <c r="R256" s="106"/>
      <c r="S256" s="108"/>
      <c r="T256" s="110"/>
      <c r="U256" s="479"/>
    </row>
    <row r="257" ht="13.5" customHeight="1">
      <c r="A257" s="95"/>
      <c r="B257" s="115"/>
      <c r="C257" s="86"/>
      <c r="D257" s="95"/>
      <c r="E257" s="86"/>
      <c r="F257" s="513"/>
      <c r="G257" s="86"/>
      <c r="H257" s="80"/>
      <c r="I257" s="80"/>
      <c r="J257" s="99"/>
      <c r="K257" s="80"/>
      <c r="L257" s="102"/>
      <c r="M257" s="143"/>
      <c r="N257" s="108"/>
      <c r="O257" s="108"/>
      <c r="P257" s="80"/>
      <c r="Q257" s="80"/>
      <c r="R257" s="106"/>
      <c r="S257" s="108"/>
      <c r="T257" s="110"/>
      <c r="U257" s="479"/>
    </row>
    <row r="258" ht="13.5" customHeight="1">
      <c r="A258" s="95"/>
      <c r="B258" s="115"/>
      <c r="C258" s="86" t="str">
        <f>IFERROR(VLOOKUP(B258,'02. MM-KLH'!$B$6:$T$823,2,0),"")</f>
        <v/>
      </c>
      <c r="D258" s="95" t="str">
        <f>IFERROR(VLOOKUP(B258,'02. MM-KLH'!$B$6:$T$823,3,0),"")</f>
        <v/>
      </c>
      <c r="E258" s="86" t="str">
        <f>IFERROR(VLOOKUP(B258,'02. MM-KLH'!$B$6:$T$823,4,0),"")</f>
        <v/>
      </c>
      <c r="F258" s="513"/>
      <c r="G258" s="86" t="str">
        <f>IFERROR(VLOOKUP(B258,'02. MM-KLH'!$B$6:$T$823,6,0),"")</f>
        <v/>
      </c>
      <c r="H258" s="80"/>
      <c r="I258" s="80" t="str">
        <f>IFERROR(VLOOKUP(B258,'02. MM-KLH'!$B$6:$T$823,8,0),"")</f>
        <v/>
      </c>
      <c r="J258" s="99" t="str">
        <f>IFERROR(VLOOKUP(B258,'02. MM-KLH'!$B$6:$T$823,9,0),"")</f>
        <v/>
      </c>
      <c r="K258" s="80" t="str">
        <f>IFERROR(VLOOKUP(B258,'02. MM-KLH'!$B$6:$T$823,10,0),"")</f>
        <v/>
      </c>
      <c r="L258" s="102" t="str">
        <f>IFERROR(VLOOKUP(B258,'02. MM-KLH'!$B$6:$T$823,11,0),"")</f>
        <v/>
      </c>
      <c r="M258" s="143" t="str">
        <f>IFERROR(VLOOKUP(B258,'02. MM-KLH'!$B$6:$T$823,12,0),"")</f>
        <v/>
      </c>
      <c r="N258" s="108" t="str">
        <f>IFERROR(VLOOKUP(B258,'02. MM-KLH'!$B$6:$T$823,13,0),"")</f>
        <v/>
      </c>
      <c r="O258" s="108" t="str">
        <f>IFERROR(VLOOKUP(B258,'02. MM-KLH'!$B$6:$T$823,14,0),"")</f>
        <v/>
      </c>
      <c r="P258" s="80" t="str">
        <f>IFERROR(VLOOKUP(B258,'02. MM-KLH'!$B$6:$T$823,15,0),"")</f>
        <v/>
      </c>
      <c r="Q258" s="80" t="str">
        <f>IFERROR(VLOOKUP(B258,'02. MM-KLH'!$B$6:$T$823,16,0),"")</f>
        <v/>
      </c>
      <c r="R258" s="106" t="str">
        <f>IFERROR(VLOOKUP(B258,'02. MM-KLH'!$B$6:$T$823,17,0),"")</f>
        <v/>
      </c>
      <c r="S258" s="108" t="str">
        <f>IFERROR(VLOOKUP(B258,'02. MM-KLH'!$B$6:$T$823,18,0),"")</f>
        <v/>
      </c>
      <c r="T258" s="110" t="str">
        <f>IFERROR(VLOOKUP(B258,'02. MM-KLH'!$B$6:$T$823,19,0),"")</f>
        <v/>
      </c>
      <c r="U258" s="110" t="str">
        <f>IFERROR(VLOOKUP(C258,'02. MM-KLH'!$B$6:$T$823,19,0),"")</f>
        <v/>
      </c>
    </row>
    <row r="259" ht="13.5" customHeight="1">
      <c r="A259" s="82" t="s">
        <v>76</v>
      </c>
      <c r="B259" s="83" t="s">
        <v>4065</v>
      </c>
      <c r="C259" s="85">
        <f>COUNTA(B260:B261)</f>
        <v>1</v>
      </c>
      <c r="D259" s="85" t="str">
        <f>IFERROR(VLOOKUP(B259,'02. MM-KLH'!$B$6:$T$823,3,0),"")</f>
        <v/>
      </c>
      <c r="E259" s="85" t="str">
        <f>IFERROR(VLOOKUP(B259,'02. MM-KLH'!$B$6:$T$823,4,0),"")</f>
        <v/>
      </c>
      <c r="F259" s="85"/>
      <c r="G259" s="85" t="str">
        <f>IFERROR(VLOOKUP(B259,'02. MM-KLH'!$B$6:$T$823,6,0),"")</f>
        <v/>
      </c>
      <c r="H259" s="85"/>
      <c r="I259" s="85" t="str">
        <f>IFERROR(VLOOKUP(B259,'02. MM-KLH'!$B$6:$T$823,8,0),"")</f>
        <v/>
      </c>
      <c r="J259" s="85" t="str">
        <f>IFERROR(VLOOKUP(B259,'02. MM-KLH'!$B$6:$T$823,9,0),"")</f>
        <v/>
      </c>
      <c r="K259" s="85" t="str">
        <f>IFERROR(VLOOKUP(B259,'02. MM-KLH'!$B$6:$T$823,10,0),"")</f>
        <v/>
      </c>
      <c r="L259" s="85" t="str">
        <f>IFERROR(VLOOKUP(B259,'02. MM-KLH'!$B$6:$T$823,11,0),"")</f>
        <v/>
      </c>
      <c r="M259" s="85" t="str">
        <f>IFERROR(VLOOKUP(B259,'02. MM-KLH'!$B$6:$T$823,12,0),"")</f>
        <v/>
      </c>
      <c r="N259" s="85" t="str">
        <f>IFERROR(VLOOKUP(B259,'02. MM-KLH'!$B$6:$T$823,13,0),"")</f>
        <v/>
      </c>
      <c r="O259" s="85" t="str">
        <f>IFERROR(VLOOKUP(B259,'02. MM-KLH'!$B$6:$T$823,14,0),"")</f>
        <v/>
      </c>
      <c r="P259" s="85" t="str">
        <f>IFERROR(VLOOKUP(B259,'02. MM-KLH'!$B$6:$T$823,15,0),"")</f>
        <v/>
      </c>
      <c r="Q259" s="85" t="str">
        <f>IFERROR(VLOOKUP(B259,'02. MM-KLH'!$B$6:$T$823,16,0),"")</f>
        <v/>
      </c>
      <c r="R259" s="85" t="str">
        <f>IFERROR(VLOOKUP(B259,'02. MM-KLH'!$B$6:$T$823,17,0),"")</f>
        <v/>
      </c>
      <c r="S259" s="85" t="str">
        <f>IFERROR(VLOOKUP(B259,'02. MM-KLH'!$B$6:$T$823,18,0),"")</f>
        <v/>
      </c>
      <c r="T259" s="85" t="str">
        <f>IFERROR(VLOOKUP(B259,'02. MM-KLH'!$B$6:$T$823,19,0),"")</f>
        <v/>
      </c>
      <c r="U259" s="85" t="str">
        <f>IFERROR(VLOOKUP(C259,'02. MM-KLH'!$B$6:$T$823,19,0),"")</f>
        <v/>
      </c>
    </row>
    <row r="260" ht="13.5" customHeight="1">
      <c r="A260" s="80">
        <v>1.0</v>
      </c>
      <c r="B260" s="113" t="s">
        <v>2606</v>
      </c>
      <c r="C260" s="113" t="str">
        <f>IFERROR(VLOOKUP(B260,'02. MM-KLH'!$B$6:$T$823,2,0),"")</f>
        <v>CKC-MKE-005</v>
      </c>
      <c r="D260" s="95" t="str">
        <f>IFERROR(VLOOKUP(B260,'02. MM-KLH'!$B$6:$T$823,3,0),"")</f>
        <v>A22-MKE-030</v>
      </c>
      <c r="E260" s="86" t="str">
        <f>IFERROR(VLOOKUP(B260,'02. MM-KLH'!$B$6:$T$823,4,0),"")</f>
        <v/>
      </c>
      <c r="F260" s="115"/>
      <c r="G260" s="86" t="str">
        <f>IFERROR(VLOOKUP(B260,'02. MM-KLH'!$B$6:$T$823,6,0),"")</f>
        <v>Máy cày SHIBAURA</v>
      </c>
      <c r="H260" s="80" t="s">
        <v>2033</v>
      </c>
      <c r="I260" s="80" t="str">
        <f>IFERROR(VLOOKUP(B260,'02. MM-KLH'!$B$6:$T$823,8,0),"")</f>
        <v>Thagricons</v>
      </c>
      <c r="J260" s="99" t="str">
        <f>IFERROR(VLOOKUP(B260,'02. MM-KLH'!$B$6:$T$823,9,0),"")</f>
        <v/>
      </c>
      <c r="K260" s="80" t="str">
        <f>IFERROR(VLOOKUP(B260,'02. MM-KLH'!$B$6:$T$823,10,0),"")</f>
        <v>Bình thường</v>
      </c>
      <c r="L260" s="102" t="str">
        <f>IFERROR(VLOOKUP(B260,'02. MM-KLH'!$B$6:$T$823,11,0),"")</f>
        <v/>
      </c>
      <c r="M260" s="143" t="str">
        <f>IFERROR(VLOOKUP(B260,'02. MM-KLH'!$B$6:$T$823,12,0),"")</f>
        <v/>
      </c>
      <c r="N260" s="108" t="str">
        <f>IFERROR(VLOOKUP(B260,'02. MM-KLH'!$B$6:$T$823,13,0),"")</f>
        <v>SHIBAURA</v>
      </c>
      <c r="O260" s="108" t="str">
        <f>IFERROR(VLOOKUP(B260,'02. MM-KLH'!$B$6:$T$823,14,0),"")</f>
        <v>NHẬT BẢN</v>
      </c>
      <c r="P260" s="80" t="str">
        <f>IFERROR(VLOOKUP(B260,'02. MM-KLH'!$B$6:$T$823,15,0),"")</f>
        <v/>
      </c>
      <c r="Q260" s="80" t="str">
        <f>IFERROR(VLOOKUP(B260,'02. MM-KLH'!$B$6:$T$823,16,0),"")</f>
        <v/>
      </c>
      <c r="R260" s="106" t="str">
        <f>IFERROR(VLOOKUP(B260,'02. MM-KLH'!$B$6:$T$823,17,0),"")</f>
        <v>20HP</v>
      </c>
      <c r="S260" s="108" t="str">
        <f>IFERROR(VLOOKUP(B260,'02. MM-KLH'!$B$6:$T$823,18,0),"")</f>
        <v>10434T</v>
      </c>
      <c r="T260" s="110" t="str">
        <f>IFERROR(VLOOKUP(B260,'02. MM-KLH'!$B$6:$T$823,19,0),"")</f>
        <v>CCN</v>
      </c>
      <c r="U260" s="130" t="s">
        <v>79</v>
      </c>
    </row>
    <row r="261" ht="13.5" customHeight="1">
      <c r="A261" s="80"/>
      <c r="B261" s="113"/>
      <c r="C261" s="113" t="str">
        <f>IFERROR(VLOOKUP(B261,'02. MM-KLH'!$B$6:$T$823,2,0),"")</f>
        <v/>
      </c>
      <c r="D261" s="95" t="str">
        <f>IFERROR(VLOOKUP(B261,'02. MM-KLH'!$B$6:$T$823,3,0),"")</f>
        <v/>
      </c>
      <c r="E261" s="86" t="str">
        <f>IFERROR(VLOOKUP(B261,'02. MM-KLH'!$B$6:$T$823,4,0),"")</f>
        <v/>
      </c>
      <c r="F261" s="115"/>
      <c r="G261" s="86" t="str">
        <f>IFERROR(VLOOKUP(B261,'02. MM-KLH'!$B$6:$T$823,6,0),"")</f>
        <v/>
      </c>
      <c r="H261" s="80"/>
      <c r="I261" s="80" t="str">
        <f>IFERROR(VLOOKUP(B261,'02. MM-KLH'!$B$6:$T$823,8,0),"")</f>
        <v/>
      </c>
      <c r="J261" s="99" t="str">
        <f>IFERROR(VLOOKUP(B261,'02. MM-KLH'!$B$6:$T$823,9,0),"")</f>
        <v/>
      </c>
      <c r="K261" s="80" t="str">
        <f>IFERROR(VLOOKUP(B261,'02. MM-KLH'!$B$6:$T$823,10,0),"")</f>
        <v/>
      </c>
      <c r="L261" s="102" t="str">
        <f>IFERROR(VLOOKUP(B261,'02. MM-KLH'!$B$6:$T$823,11,0),"")</f>
        <v/>
      </c>
      <c r="M261" s="143" t="str">
        <f>IFERROR(VLOOKUP(B261,'02. MM-KLH'!$B$6:$T$823,12,0),"")</f>
        <v/>
      </c>
      <c r="N261" s="108" t="str">
        <f>IFERROR(VLOOKUP(B261,'02. MM-KLH'!$B$6:$T$823,13,0),"")</f>
        <v/>
      </c>
      <c r="O261" s="108" t="str">
        <f>IFERROR(VLOOKUP(B261,'02. MM-KLH'!$B$6:$T$823,14,0),"")</f>
        <v/>
      </c>
      <c r="P261" s="80" t="str">
        <f>IFERROR(VLOOKUP(B261,'02. MM-KLH'!$B$6:$T$823,15,0),"")</f>
        <v/>
      </c>
      <c r="Q261" s="80" t="str">
        <f>IFERROR(VLOOKUP(B261,'02. MM-KLH'!$B$6:$T$823,16,0),"")</f>
        <v/>
      </c>
      <c r="R261" s="106" t="str">
        <f>IFERROR(VLOOKUP(B261,'02. MM-KLH'!$B$6:$T$823,17,0),"")</f>
        <v/>
      </c>
      <c r="S261" s="108" t="str">
        <f>IFERROR(VLOOKUP(B261,'02. MM-KLH'!$B$6:$T$823,18,0),"")</f>
        <v/>
      </c>
      <c r="T261" s="110" t="str">
        <f>IFERROR(VLOOKUP(B261,'02. MM-KLH'!$B$6:$T$823,19,0),"")</f>
        <v/>
      </c>
      <c r="U261" s="130"/>
    </row>
    <row r="262" ht="13.5" customHeight="1">
      <c r="A262" s="82" t="s">
        <v>76</v>
      </c>
      <c r="B262" s="83" t="s">
        <v>4163</v>
      </c>
      <c r="C262" s="85">
        <f>COUNTA(B263:B275)</f>
        <v>11</v>
      </c>
      <c r="D262" s="85" t="str">
        <f>IFERROR(VLOOKUP(B262,'02. MM-KLH'!$B$6:$T$823,3,0),"")</f>
        <v/>
      </c>
      <c r="E262" s="85" t="str">
        <f>IFERROR(VLOOKUP(B262,'02. MM-KLH'!$B$6:$T$823,4,0),"")</f>
        <v/>
      </c>
      <c r="F262" s="85"/>
      <c r="G262" s="85" t="str">
        <f>IFERROR(VLOOKUP(B262,'02. MM-KLH'!$B$6:$T$823,6,0),"")</f>
        <v/>
      </c>
      <c r="H262" s="85"/>
      <c r="I262" s="85" t="str">
        <f>IFERROR(VLOOKUP(B262,'02. MM-KLH'!$B$6:$T$823,8,0),"")</f>
        <v/>
      </c>
      <c r="J262" s="85" t="str">
        <f>IFERROR(VLOOKUP(B262,'02. MM-KLH'!$B$6:$T$823,9,0),"")</f>
        <v/>
      </c>
      <c r="K262" s="85" t="str">
        <f>IFERROR(VLOOKUP(B262,'02. MM-KLH'!$B$6:$T$823,10,0),"")</f>
        <v/>
      </c>
      <c r="L262" s="85" t="str">
        <f>IFERROR(VLOOKUP(B262,'02. MM-KLH'!$B$6:$T$823,11,0),"")</f>
        <v/>
      </c>
      <c r="M262" s="85" t="str">
        <f>IFERROR(VLOOKUP(B262,'02. MM-KLH'!$B$6:$T$823,12,0),"")</f>
        <v/>
      </c>
      <c r="N262" s="85" t="str">
        <f>IFERROR(VLOOKUP(B262,'02. MM-KLH'!$B$6:$T$823,13,0),"")</f>
        <v/>
      </c>
      <c r="O262" s="85" t="str">
        <f>IFERROR(VLOOKUP(B262,'02. MM-KLH'!$B$6:$T$823,14,0),"")</f>
        <v/>
      </c>
      <c r="P262" s="85" t="str">
        <f>IFERROR(VLOOKUP(B262,'02. MM-KLH'!$B$6:$T$823,15,0),"")</f>
        <v/>
      </c>
      <c r="Q262" s="85" t="str">
        <f>IFERROR(VLOOKUP(B262,'02. MM-KLH'!$B$6:$T$823,16,0),"")</f>
        <v/>
      </c>
      <c r="R262" s="85" t="str">
        <f>IFERROR(VLOOKUP(B262,'02. MM-KLH'!$B$6:$T$823,17,0),"")</f>
        <v/>
      </c>
      <c r="S262" s="85" t="str">
        <f>IFERROR(VLOOKUP(B262,'02. MM-KLH'!$B$6:$T$823,18,0),"")</f>
        <v/>
      </c>
      <c r="T262" s="85" t="str">
        <f>IFERROR(VLOOKUP(B262,'02. MM-KLH'!$B$6:$T$823,19,0),"")</f>
        <v/>
      </c>
      <c r="U262" s="85" t="str">
        <f>IFERROR(VLOOKUP(C262,'02. MM-KLH'!$B$6:$T$823,19,0),"")</f>
        <v/>
      </c>
    </row>
    <row r="263" ht="13.5" customHeight="1">
      <c r="A263" s="95">
        <v>1.0</v>
      </c>
      <c r="B263" s="113" t="s">
        <v>1684</v>
      </c>
      <c r="C263" s="84" t="str">
        <f>IFERROR(VLOOKUP(B263,'02. MM-KLH'!$B$6:$T$823,2,0),"")</f>
        <v/>
      </c>
      <c r="D263" s="95" t="str">
        <f>IFERROR(VLOOKUP(B263,'02. MM-KLH'!$B$6:$T$823,3,0),"")</f>
        <v>ATM-A22-0126</v>
      </c>
      <c r="E263" s="86" t="str">
        <f>IFERROR(VLOOKUP(B263,'02. MM-KLH'!$B$6:$T$823,4,0),"")</f>
        <v/>
      </c>
      <c r="F263" s="115" t="s">
        <v>4185</v>
      </c>
      <c r="G263" s="86" t="str">
        <f>IFERROR(VLOOKUP(B263,'02. MM-KLH'!$B$6:$T$823,6,0),"")</f>
        <v>Máy cày bánh xích ISEKI</v>
      </c>
      <c r="H263" s="80" t="s">
        <v>2054</v>
      </c>
      <c r="I263" s="80" t="str">
        <f>IFERROR(VLOOKUP(B263,'02. MM-KLH'!$B$6:$T$823,8,0),"")</f>
        <v>XN Bò AD</v>
      </c>
      <c r="J263" s="99">
        <f>IFERROR(VLOOKUP(B263,'02. MM-KLH'!$B$6:$T$823,9,0),"")</f>
        <v>45385</v>
      </c>
      <c r="K263" s="80" t="str">
        <f>IFERROR(VLOOKUP(B263,'02. MM-KLH'!$B$6:$T$823,10,0),"")</f>
        <v>Bình thường</v>
      </c>
      <c r="L263" s="102">
        <f>IFERROR(VLOOKUP(B263,'02. MM-KLH'!$B$6:$T$823,11,0),"")</f>
        <v>0.97</v>
      </c>
      <c r="M263" s="143" t="str">
        <f>IFERROR(VLOOKUP(B263,'02. MM-KLH'!$B$6:$T$823,12,0),"")</f>
        <v/>
      </c>
      <c r="N263" s="108" t="str">
        <f>IFERROR(VLOOKUP(B263,'02. MM-KLH'!$B$6:$T$823,13,0),"")</f>
        <v>ISEKI</v>
      </c>
      <c r="O263" s="108" t="str">
        <f>IFERROR(VLOOKUP(B263,'02. MM-KLH'!$B$6:$T$823,14,0),"")</f>
        <v>TRUNG QUỐC</v>
      </c>
      <c r="P263" s="80" t="str">
        <f>IFERROR(VLOOKUP(B263,'02. MM-KLH'!$B$6:$T$823,15,0),"")</f>
        <v/>
      </c>
      <c r="Q263" s="80" t="str">
        <f>IFERROR(VLOOKUP(B263,'02. MM-KLH'!$B$6:$T$823,16,0),"")</f>
        <v>TA-C120</v>
      </c>
      <c r="R263" s="106" t="str">
        <f>IFERROR(VLOOKUP(B263,'02. MM-KLH'!$B$6:$T$823,17,0),"")</f>
        <v>120HP</v>
      </c>
      <c r="S263" s="108" t="str">
        <f>IFERROR(VLOOKUP(B263,'02. MM-KLH'!$B$6:$T$823,18,0),"")</f>
        <v>K12A/10050</v>
      </c>
      <c r="T263" s="110" t="str">
        <f>IFERROR(VLOOKUP(B263,'02. MM-KLH'!$B$6:$T$823,19,0),"")</f>
        <v>S6S025912</v>
      </c>
      <c r="U263" s="130" t="s">
        <v>79</v>
      </c>
    </row>
    <row r="264" ht="13.5" customHeight="1">
      <c r="A264" s="95">
        <f t="shared" ref="A264:A273" si="12">A263+1</f>
        <v>2</v>
      </c>
      <c r="B264" s="115" t="s">
        <v>1693</v>
      </c>
      <c r="C264" s="84" t="str">
        <f>IFERROR(VLOOKUP(B264,'02. MM-KLH'!$B$6:$T$823,2,0),"")</f>
        <v/>
      </c>
      <c r="D264" s="95" t="str">
        <f>IFERROR(VLOOKUP(B264,'02. MM-KLH'!$B$6:$T$823,3,0),"")</f>
        <v>ATM-A22-0129</v>
      </c>
      <c r="E264" s="86" t="str">
        <f>IFERROR(VLOOKUP(B264,'02. MM-KLH'!$B$6:$T$823,4,0),"")</f>
        <v/>
      </c>
      <c r="F264" s="513" t="s">
        <v>4206</v>
      </c>
      <c r="G264" s="86" t="str">
        <f>IFERROR(VLOOKUP(B264,'02. MM-KLH'!$B$6:$T$823,6,0),"")</f>
        <v>Máy cày bánh xích YANMAR</v>
      </c>
      <c r="H264" s="80" t="s">
        <v>2054</v>
      </c>
      <c r="I264" s="80" t="str">
        <f>IFERROR(VLOOKUP(B264,'02. MM-KLH'!$B$6:$T$823,8,0),"")</f>
        <v>XN Bò AD</v>
      </c>
      <c r="J264" s="99" t="str">
        <f>IFERROR(VLOOKUP(B264,'02. MM-KLH'!$B$6:$T$823,9,0),"")</f>
        <v>22/07/2024</v>
      </c>
      <c r="K264" s="80" t="str">
        <f>IFERROR(VLOOKUP(B264,'02. MM-KLH'!$B$6:$T$823,10,0),"")</f>
        <v>Bình thường</v>
      </c>
      <c r="L264" s="102">
        <f>IFERROR(VLOOKUP(B264,'02. MM-KLH'!$B$6:$T$823,11,0),"")</f>
        <v>0.97</v>
      </c>
      <c r="M264" s="143" t="str">
        <f>IFERROR(VLOOKUP(B264,'02. MM-KLH'!$B$6:$T$823,12,0),"")</f>
        <v/>
      </c>
      <c r="N264" s="108" t="str">
        <f>IFERROR(VLOOKUP(B264,'02. MM-KLH'!$B$6:$T$823,13,0),"")</f>
        <v>YANMAR</v>
      </c>
      <c r="O264" s="108" t="str">
        <f>IFERROR(VLOOKUP(B264,'02. MM-KLH'!$B$6:$T$823,14,0),"")</f>
        <v>TRUNG QUỐC</v>
      </c>
      <c r="P264" s="80" t="str">
        <f>IFERROR(VLOOKUP(B264,'02. MM-KLH'!$B$6:$T$823,15,0),"")</f>
        <v/>
      </c>
      <c r="Q264" s="80" t="str">
        <f>IFERROR(VLOOKUP(B264,'02. MM-KLH'!$B$6:$T$823,16,0),"")</f>
        <v>CT95</v>
      </c>
      <c r="R264" s="106" t="str">
        <f>IFERROR(VLOOKUP(B264,'02. MM-KLH'!$B$6:$T$823,17,0),"")</f>
        <v>95HP</v>
      </c>
      <c r="S264" s="108">
        <f>IFERROR(VLOOKUP(B264,'02. MM-KLH'!$B$6:$T$823,18,0),"")</f>
        <v>50478</v>
      </c>
      <c r="T264" s="110" t="str">
        <f>IFERROR(VLOOKUP(B264,'02. MM-KLH'!$B$6:$T$823,19,0),"")</f>
        <v>CCN</v>
      </c>
      <c r="U264" s="130" t="s">
        <v>79</v>
      </c>
    </row>
    <row r="265" ht="13.5" customHeight="1">
      <c r="A265" s="95">
        <f t="shared" si="12"/>
        <v>3</v>
      </c>
      <c r="B265" s="115" t="s">
        <v>1874</v>
      </c>
      <c r="C265" s="84" t="str">
        <f>IFERROR(VLOOKUP(B265,'02. MM-KLH'!$B$6:$T$823,2,0),"")</f>
        <v>Mới (100%)</v>
      </c>
      <c r="D265" s="95" t="str">
        <f>IFERROR(VLOOKUP(B265,'02. MM-KLH'!$B$6:$T$823,3,0),"")</f>
        <v>A23-MKX-001</v>
      </c>
      <c r="E265" s="86" t="str">
        <f>IFERROR(VLOOKUP(B265,'02. MM-KLH'!$B$6:$T$823,4,0),"")</f>
        <v/>
      </c>
      <c r="F265" s="513" t="s">
        <v>4240</v>
      </c>
      <c r="G265" s="86" t="str">
        <f>IFERROR(VLOOKUP(B265,'02. MM-KLH'!$B$6:$T$823,6,0),"")</f>
        <v>Máy cày bánh xích LOVOL</v>
      </c>
      <c r="H265" s="80" t="s">
        <v>2054</v>
      </c>
      <c r="I265" s="80" t="str">
        <f>IFERROR(VLOOKUP(B265,'02. MM-KLH'!$B$6:$T$823,8,0),"")</f>
        <v>XN Bò AD</v>
      </c>
      <c r="J265" s="99" t="str">
        <f>IFERROR(VLOOKUP(B265,'02. MM-KLH'!$B$6:$T$823,9,0),"")</f>
        <v>25/08/2025</v>
      </c>
      <c r="K265" s="80" t="str">
        <f>IFERROR(VLOOKUP(B265,'02. MM-KLH'!$B$6:$T$823,10,0),"")</f>
        <v>Bình thường</v>
      </c>
      <c r="L265" s="102" t="str">
        <f>IFERROR(VLOOKUP(B265,'02. MM-KLH'!$B$6:$T$823,11,0),"")</f>
        <v/>
      </c>
      <c r="M265" s="143" t="str">
        <f>IFERROR(VLOOKUP(B265,'02. MM-KLH'!$B$6:$T$823,12,0),"")</f>
        <v/>
      </c>
      <c r="N265" s="108" t="str">
        <f>IFERROR(VLOOKUP(B265,'02. MM-KLH'!$B$6:$T$823,13,0),"")</f>
        <v>LOVOL</v>
      </c>
      <c r="O265" s="108" t="str">
        <f>IFERROR(VLOOKUP(B265,'02. MM-KLH'!$B$6:$T$823,14,0),"")</f>
        <v>TRUNG QUỐC </v>
      </c>
      <c r="P265" s="80">
        <f>IFERROR(VLOOKUP(B265,'02. MM-KLH'!$B$6:$T$823,15,0),"")</f>
        <v>2025</v>
      </c>
      <c r="Q265" s="80" t="str">
        <f>IFERROR(VLOOKUP(B265,'02. MM-KLH'!$B$6:$T$823,16,0),"")</f>
        <v>1GZL-230X</v>
      </c>
      <c r="R265" s="106" t="str">
        <f>IFERROR(VLOOKUP(B265,'02. MM-KLH'!$B$6:$T$823,17,0),"")</f>
        <v>102HP</v>
      </c>
      <c r="S265" s="108" t="str">
        <f>IFERROR(VLOOKUP(B265,'02. MM-KLH'!$B$6:$T$823,18,0),"")</f>
        <v>FTHRXX23CSN000034</v>
      </c>
      <c r="T265" s="110" t="str">
        <f>IFERROR(VLOOKUP(B265,'02. MM-KLH'!$B$6:$T$823,19,0),"")</f>
        <v>Q250577684G</v>
      </c>
      <c r="U265" s="130" t="s">
        <v>2301</v>
      </c>
    </row>
    <row r="266" ht="13.5" customHeight="1">
      <c r="A266" s="95">
        <f t="shared" si="12"/>
        <v>4</v>
      </c>
      <c r="B266" s="115" t="s">
        <v>1882</v>
      </c>
      <c r="C266" s="84" t="str">
        <f>IFERROR(VLOOKUP(B266,'02. MM-KLH'!$B$6:$T$823,2,0),"")</f>
        <v>Mới (ĐQSD)</v>
      </c>
      <c r="D266" s="95" t="str">
        <f>IFERROR(VLOOKUP(B266,'02. MM-KLH'!$B$6:$T$823,3,0),"")</f>
        <v>A22-MKX-002</v>
      </c>
      <c r="E266" s="86" t="str">
        <f>IFERROR(VLOOKUP(B266,'02. MM-KLH'!$B$6:$T$823,4,0),"")</f>
        <v/>
      </c>
      <c r="F266" s="513" t="s">
        <v>4256</v>
      </c>
      <c r="G266" s="86" t="str">
        <f>IFERROR(VLOOKUP(B266,'02. MM-KLH'!$B$6:$T$823,6,0),"")</f>
        <v>Máy cày bánh xích MOROOKA</v>
      </c>
      <c r="H266" s="80" t="s">
        <v>2054</v>
      </c>
      <c r="I266" s="80" t="str">
        <f>IFERROR(VLOOKUP(B266,'02. MM-KLH'!$B$6:$T$823,8,0),"")</f>
        <v>XN Bò AD</v>
      </c>
      <c r="J266" s="99" t="str">
        <f>IFERROR(VLOOKUP(B266,'02. MM-KLH'!$B$6:$T$823,9,0),"")</f>
        <v>19/09/2025</v>
      </c>
      <c r="K266" s="80" t="str">
        <f>IFERROR(VLOOKUP(B266,'02. MM-KLH'!$B$6:$T$823,10,0),"")</f>
        <v>Bình thường</v>
      </c>
      <c r="L266" s="102" t="str">
        <f>IFERROR(VLOOKUP(B266,'02. MM-KLH'!$B$6:$T$823,11,0),"")</f>
        <v/>
      </c>
      <c r="M266" s="143" t="str">
        <f>IFERROR(VLOOKUP(B266,'02. MM-KLH'!$B$6:$T$823,12,0),"")</f>
        <v/>
      </c>
      <c r="N266" s="108" t="str">
        <f>IFERROR(VLOOKUP(B266,'02. MM-KLH'!$B$6:$T$823,13,0),"")</f>
        <v>MOROOKA</v>
      </c>
      <c r="O266" s="108" t="str">
        <f>IFERROR(VLOOKUP(B266,'02. MM-KLH'!$B$6:$T$823,14,0),"")</f>
        <v>VIỆT NAM</v>
      </c>
      <c r="P266" s="80" t="str">
        <f>IFERROR(VLOOKUP(B266,'02. MM-KLH'!$B$6:$T$823,15,0),"")</f>
        <v/>
      </c>
      <c r="Q266" s="80" t="str">
        <f>IFERROR(VLOOKUP(B266,'02. MM-KLH'!$B$6:$T$823,16,0),"")</f>
        <v>MK-200</v>
      </c>
      <c r="R266" s="106" t="str">
        <f>IFERROR(VLOOKUP(B266,'02. MM-KLH'!$B$6:$T$823,17,0),"")</f>
        <v>200HP</v>
      </c>
      <c r="S266" s="108" t="str">
        <f>IFERROR(VLOOKUP(B266,'02. MM-KLH'!$B$6:$T$823,18,0),"")</f>
        <v>T20022</v>
      </c>
      <c r="T266" s="110" t="str">
        <f>IFERROR(VLOOKUP(B266,'02. MM-KLH'!$B$6:$T$823,19,0),"")</f>
        <v>H06C TF11820</v>
      </c>
      <c r="U266" s="130" t="s">
        <v>79</v>
      </c>
    </row>
    <row r="267" ht="13.5" customHeight="1">
      <c r="A267" s="95">
        <f t="shared" si="12"/>
        <v>5</v>
      </c>
      <c r="B267" s="115" t="s">
        <v>1891</v>
      </c>
      <c r="C267" s="84" t="str">
        <f>IFERROR(VLOOKUP(B267,'02. MM-KLH'!$B$6:$T$823,2,0),"")</f>
        <v>Mới (100%)</v>
      </c>
      <c r="D267" s="95" t="str">
        <f>IFERROR(VLOOKUP(B267,'02. MM-KLH'!$B$6:$T$823,3,0),"")</f>
        <v>A22-MKX-003</v>
      </c>
      <c r="E267" s="86" t="str">
        <f>IFERROR(VLOOKUP(B267,'02. MM-KLH'!$B$6:$T$823,4,0),"")</f>
        <v/>
      </c>
      <c r="F267" s="513" t="s">
        <v>4267</v>
      </c>
      <c r="G267" s="86" t="str">
        <f>IFERROR(VLOOKUP(B267,'02. MM-KLH'!$B$6:$T$823,6,0),"")</f>
        <v>Máy cày bánh xích LOVOL TB1002C</v>
      </c>
      <c r="H267" s="80" t="s">
        <v>2054</v>
      </c>
      <c r="I267" s="80" t="str">
        <f>IFERROR(VLOOKUP(B267,'02. MM-KLH'!$B$6:$T$823,8,0),"")</f>
        <v>XN Bò AD</v>
      </c>
      <c r="J267" s="99" t="str">
        <f>IFERROR(VLOOKUP(B267,'02. MM-KLH'!$B$6:$T$823,9,0),"")</f>
        <v>15/12/2025</v>
      </c>
      <c r="K267" s="80" t="str">
        <f>IFERROR(VLOOKUP(B267,'02. MM-KLH'!$B$6:$T$823,10,0),"")</f>
        <v>Bình thường</v>
      </c>
      <c r="L267" s="102" t="str">
        <f>IFERROR(VLOOKUP(B267,'02. MM-KLH'!$B$6:$T$823,11,0),"")</f>
        <v/>
      </c>
      <c r="M267" s="143" t="str">
        <f>IFERROR(VLOOKUP(B267,'02. MM-KLH'!$B$6:$T$823,12,0),"")</f>
        <v/>
      </c>
      <c r="N267" s="108" t="str">
        <f>IFERROR(VLOOKUP(B267,'02. MM-KLH'!$B$6:$T$823,13,0),"")</f>
        <v>LOVOL</v>
      </c>
      <c r="O267" s="108" t="str">
        <f>IFERROR(VLOOKUP(B267,'02. MM-KLH'!$B$6:$T$823,14,0),"")</f>
        <v>TRUNG QUỐC</v>
      </c>
      <c r="P267" s="80">
        <f>IFERROR(VLOOKUP(B267,'02. MM-KLH'!$B$6:$T$823,15,0),"")</f>
        <v>2025</v>
      </c>
      <c r="Q267" s="80" t="str">
        <f>IFERROR(VLOOKUP(B267,'02. MM-KLH'!$B$6:$T$823,16,0),"")</f>
        <v>TB1002-C</v>
      </c>
      <c r="R267" s="106" t="str">
        <f>IFERROR(VLOOKUP(B267,'02. MM-KLH'!$B$6:$T$823,17,0),"")</f>
        <v>100HP</v>
      </c>
      <c r="S267" s="108" t="str">
        <f>IFERROR(VLOOKUP(B267,'02. MM-KLH'!$B$6:$T$823,18,0),"")</f>
        <v>FTTM3AD2CSC000020</v>
      </c>
      <c r="T267" s="110" t="str">
        <f>IFERROR(VLOOKUP(B267,'02. MM-KLH'!$B$6:$T$823,19,0),"")</f>
        <v>Q250194560G</v>
      </c>
      <c r="U267" s="130" t="s">
        <v>79</v>
      </c>
    </row>
    <row r="268" ht="13.5" customHeight="1">
      <c r="A268" s="95">
        <f t="shared" si="12"/>
        <v>6</v>
      </c>
      <c r="B268" s="115" t="s">
        <v>1898</v>
      </c>
      <c r="C268" s="84" t="str">
        <f>IFERROR(VLOOKUP(B268,'02. MM-KLH'!$B$6:$T$823,2,0),"")</f>
        <v>Mới (ĐQSD)</v>
      </c>
      <c r="D268" s="95" t="str">
        <f>IFERROR(VLOOKUP(B268,'02. MM-KLH'!$B$6:$T$823,3,0),"")</f>
        <v>A22-MKX-004</v>
      </c>
      <c r="E268" s="86" t="str">
        <f>IFERROR(VLOOKUP(B268,'02. MM-KLH'!$B$6:$T$823,4,0),"")</f>
        <v/>
      </c>
      <c r="F268" s="513" t="s">
        <v>4279</v>
      </c>
      <c r="G268" s="86" t="str">
        <f>IFERROR(VLOOKUP(B268,'02. MM-KLH'!$B$6:$T$823,6,0),"")</f>
        <v>Máy cày bánh xích MK 250</v>
      </c>
      <c r="H268" s="80" t="s">
        <v>2054</v>
      </c>
      <c r="I268" s="80" t="str">
        <f>IFERROR(VLOOKUP(B268,'02. MM-KLH'!$B$6:$T$823,8,0),"")</f>
        <v>XN Bò AD</v>
      </c>
      <c r="J268" s="99" t="str">
        <f>IFERROR(VLOOKUP(B268,'02. MM-KLH'!$B$6:$T$823,9,0),"")</f>
        <v>19/01/2026</v>
      </c>
      <c r="K268" s="80" t="str">
        <f>IFERROR(VLOOKUP(B268,'02. MM-KLH'!$B$6:$T$823,10,0),"")</f>
        <v>Bình thường</v>
      </c>
      <c r="L268" s="102" t="str">
        <f>IFERROR(VLOOKUP(B268,'02. MM-KLH'!$B$6:$T$823,11,0),"")</f>
        <v/>
      </c>
      <c r="M268" s="143" t="str">
        <f>IFERROR(VLOOKUP(B268,'02. MM-KLH'!$B$6:$T$823,12,0),"")</f>
        <v/>
      </c>
      <c r="N268" s="108" t="str">
        <f>IFERROR(VLOOKUP(B268,'02. MM-KLH'!$B$6:$T$823,13,0),"")</f>
        <v>Morooka</v>
      </c>
      <c r="O268" s="108" t="str">
        <f>IFERROR(VLOOKUP(B268,'02. MM-KLH'!$B$6:$T$823,14,0),"")</f>
        <v>Việt Nam</v>
      </c>
      <c r="P268" s="80" t="str">
        <f>IFERROR(VLOOKUP(B268,'02. MM-KLH'!$B$6:$T$823,15,0),"")</f>
        <v/>
      </c>
      <c r="Q268" s="80" t="str">
        <f>IFERROR(VLOOKUP(B268,'02. MM-KLH'!$B$6:$T$823,16,0),"")</f>
        <v>MK 250</v>
      </c>
      <c r="R268" s="106" t="str">
        <f>IFERROR(VLOOKUP(B268,'02. MM-KLH'!$B$6:$T$823,17,0),"")</f>
        <v>250HP</v>
      </c>
      <c r="S268" s="108" t="str">
        <f>IFERROR(VLOOKUP(B268,'02. MM-KLH'!$B$6:$T$823,18,0),"")</f>
        <v>T22032</v>
      </c>
      <c r="T268" s="110" t="str">
        <f>IFERROR(VLOOKUP(B268,'02. MM-KLH'!$B$6:$T$823,19,0),"")</f>
        <v>6D108-19718</v>
      </c>
      <c r="U268" s="130" t="s">
        <v>79</v>
      </c>
    </row>
    <row r="269" ht="13.5" customHeight="1">
      <c r="A269" s="95">
        <f t="shared" si="12"/>
        <v>7</v>
      </c>
      <c r="B269" s="115" t="s">
        <v>1906</v>
      </c>
      <c r="C269" s="84" t="str">
        <f>IFERROR(VLOOKUP(B269,'02. MM-KLH'!$B$6:$T$823,2,0),"")</f>
        <v>Mới (ĐQSD)</v>
      </c>
      <c r="D269" s="95" t="str">
        <f>IFERROR(VLOOKUP(B269,'02. MM-KLH'!$B$6:$T$823,3,0),"")</f>
        <v>A22-MKX-005</v>
      </c>
      <c r="E269" s="86" t="str">
        <f>IFERROR(VLOOKUP(B269,'02. MM-KLH'!$B$6:$T$823,4,0),"")</f>
        <v/>
      </c>
      <c r="F269" s="513" t="s">
        <v>4303</v>
      </c>
      <c r="G269" s="86" t="str">
        <f>IFERROR(VLOOKUP(B269,'02. MM-KLH'!$B$6:$T$823,6,0),"")</f>
        <v>Máy cày bánh xích CT55</v>
      </c>
      <c r="H269" s="80" t="s">
        <v>2054</v>
      </c>
      <c r="I269" s="80" t="str">
        <f>IFERROR(VLOOKUP(B269,'02. MM-KLH'!$B$6:$T$823,8,0),"")</f>
        <v>XN Bò AD</v>
      </c>
      <c r="J269" s="99" t="str">
        <f>IFERROR(VLOOKUP(B269,'02. MM-KLH'!$B$6:$T$823,9,0),"")</f>
        <v>23/01/2026</v>
      </c>
      <c r="K269" s="80" t="str">
        <f>IFERROR(VLOOKUP(B269,'02. MM-KLH'!$B$6:$T$823,10,0),"")</f>
        <v>Bình thường</v>
      </c>
      <c r="L269" s="102" t="str">
        <f>IFERROR(VLOOKUP(B269,'02. MM-KLH'!$B$6:$T$823,11,0),"")</f>
        <v/>
      </c>
      <c r="M269" s="143" t="str">
        <f>IFERROR(VLOOKUP(B269,'02. MM-KLH'!$B$6:$T$823,12,0),"")</f>
        <v>Đầu tư mới</v>
      </c>
      <c r="N269" s="108" t="str">
        <f>IFERROR(VLOOKUP(B269,'02. MM-KLH'!$B$6:$T$823,13,0),"")</f>
        <v>YANMAR</v>
      </c>
      <c r="O269" s="108" t="str">
        <f>IFERROR(VLOOKUP(B269,'02. MM-KLH'!$B$6:$T$823,14,0),"")</f>
        <v>Nhật Bản</v>
      </c>
      <c r="P269" s="80" t="str">
        <f>IFERROR(VLOOKUP(B269,'02. MM-KLH'!$B$6:$T$823,15,0),"")</f>
        <v/>
      </c>
      <c r="Q269" s="80" t="str">
        <f>IFERROR(VLOOKUP(B269,'02. MM-KLH'!$B$6:$T$823,16,0),"")</f>
        <v>CT55</v>
      </c>
      <c r="R269" s="106" t="str">
        <f>IFERROR(VLOOKUP(B269,'02. MM-KLH'!$B$6:$T$823,17,0),"")</f>
        <v>55HP</v>
      </c>
      <c r="S269" s="108">
        <f>IFERROR(VLOOKUP(B269,'02. MM-KLH'!$B$6:$T$823,18,0),"")</f>
        <v>1174</v>
      </c>
      <c r="T269" s="110">
        <f>IFERROR(VLOOKUP(B269,'02. MM-KLH'!$B$6:$T$823,19,0),"")</f>
        <v>8391</v>
      </c>
      <c r="U269" s="130" t="s">
        <v>79</v>
      </c>
    </row>
    <row r="270" ht="29.25" customHeight="1">
      <c r="A270" s="95">
        <f t="shared" si="12"/>
        <v>8</v>
      </c>
      <c r="B270" s="115" t="s">
        <v>667</v>
      </c>
      <c r="C270" s="84" t="str">
        <f>IFERROR(VLOOKUP(B270,'02. MM-KLH'!$B$6:$T$823,2,0),"")</f>
        <v>XB1-MKX-006</v>
      </c>
      <c r="D270" s="95" t="str">
        <f>IFERROR(VLOOKUP(B270,'02. MM-KLH'!$B$6:$T$823,3,0),"")</f>
        <v>A22-MKX-006</v>
      </c>
      <c r="E270" s="86" t="str">
        <f>IFERROR(VLOOKUP(B270,'02. MM-KLH'!$B$6:$T$823,4,0),"")</f>
        <v/>
      </c>
      <c r="F270" s="513" t="s">
        <v>4303</v>
      </c>
      <c r="G270" s="86" t="str">
        <f>IFERROR(VLOOKUP(B270,'02. MM-KLH'!$B$6:$T$823,6,0),"")</f>
        <v>Máy cày bánh xích CT65</v>
      </c>
      <c r="H270" s="80" t="s">
        <v>2054</v>
      </c>
      <c r="I270" s="80" t="str">
        <f>IFERROR(VLOOKUP(B270,'02. MM-KLH'!$B$6:$T$823,8,0),"")</f>
        <v>CGLĐ DP</v>
      </c>
      <c r="J270" s="99" t="str">
        <f>IFERROR(VLOOKUP(B270,'02. MM-KLH'!$B$6:$T$823,9,0),"")</f>
        <v>19/01/2026</v>
      </c>
      <c r="K270" s="80" t="str">
        <f>IFERROR(VLOOKUP(B270,'02. MM-KLH'!$B$6:$T$823,10,0),"")</f>
        <v>Bình thường</v>
      </c>
      <c r="L270" s="102" t="str">
        <f>IFERROR(VLOOKUP(B270,'02. MM-KLH'!$B$6:$T$823,11,0),"")</f>
        <v/>
      </c>
      <c r="M270" s="143" t="str">
        <f>IFERROR(VLOOKUP(B270,'02. MM-KLH'!$B$6:$T$823,12,0),"")</f>
        <v>- Đầu tư mới (ĐQSD)- 19/01/2026
- 03/07/2026 XNB đchuyen qua CGLĐ DP &amp; LP</v>
      </c>
      <c r="N270" s="108" t="str">
        <f>IFERROR(VLOOKUP(B270,'02. MM-KLH'!$B$6:$T$823,13,0),"")</f>
        <v>YANMAR</v>
      </c>
      <c r="O270" s="108" t="str">
        <f>IFERROR(VLOOKUP(B270,'02. MM-KLH'!$B$6:$T$823,14,0),"")</f>
        <v>Nhật Bản</v>
      </c>
      <c r="P270" s="80" t="str">
        <f>IFERROR(VLOOKUP(B270,'02. MM-KLH'!$B$6:$T$823,15,0),"")</f>
        <v/>
      </c>
      <c r="Q270" s="80" t="str">
        <f>IFERROR(VLOOKUP(B270,'02. MM-KLH'!$B$6:$T$823,16,0),"")</f>
        <v>CT65</v>
      </c>
      <c r="R270" s="106" t="str">
        <f>IFERROR(VLOOKUP(B270,'02. MM-KLH'!$B$6:$T$823,17,0),"")</f>
        <v>65HP</v>
      </c>
      <c r="S270" s="108">
        <f>IFERROR(VLOOKUP(B270,'02. MM-KLH'!$B$6:$T$823,18,0),"")</f>
        <v>10139</v>
      </c>
      <c r="T270" s="110">
        <f>IFERROR(VLOOKUP(B270,'02. MM-KLH'!$B$6:$T$823,19,0),"")</f>
        <v>2463</v>
      </c>
      <c r="U270" s="130" t="s">
        <v>79</v>
      </c>
    </row>
    <row r="271" ht="29.25" customHeight="1">
      <c r="A271" s="95">
        <f t="shared" si="12"/>
        <v>9</v>
      </c>
      <c r="B271" s="115" t="s">
        <v>676</v>
      </c>
      <c r="C271" s="84" t="str">
        <f>IFERROR(VLOOKUP(B271,'02. MM-KLH'!$B$6:$T$823,2,0),"")</f>
        <v/>
      </c>
      <c r="D271" s="95" t="str">
        <f>IFERROR(VLOOKUP(B271,'02. MM-KLH'!$B$6:$T$823,3,0),"")</f>
        <v>A24-MKX-001</v>
      </c>
      <c r="E271" s="86" t="str">
        <f>IFERROR(VLOOKUP(B271,'02. MM-KLH'!$B$6:$T$823,4,0),"")</f>
        <v/>
      </c>
      <c r="F271" s="513" t="s">
        <v>4303</v>
      </c>
      <c r="G271" s="86" t="str">
        <f>IFERROR(VLOOKUP(B271,'02. MM-KLH'!$B$6:$T$823,6,0),"")</f>
        <v>Máy cày bánh xích Mitsubishi</v>
      </c>
      <c r="H271" s="80" t="s">
        <v>2054</v>
      </c>
      <c r="I271" s="80" t="str">
        <f>IFERROR(VLOOKUP(B271,'02. MM-KLH'!$B$6:$T$823,8,0),"")</f>
        <v>CGLĐ DP</v>
      </c>
      <c r="J271" s="99">
        <f>IFERROR(VLOOKUP(B271,'02. MM-KLH'!$B$6:$T$823,9,0),"")</f>
        <v>46088</v>
      </c>
      <c r="K271" s="80" t="str">
        <f>IFERROR(VLOOKUP(B271,'02. MM-KLH'!$B$6:$T$823,10,0),"")</f>
        <v>Bình thường</v>
      </c>
      <c r="L271" s="102" t="str">
        <f>IFERROR(VLOOKUP(B271,'02. MM-KLH'!$B$6:$T$823,11,0),"")</f>
        <v/>
      </c>
      <c r="M271" s="143" t="str">
        <f>IFERROR(VLOOKUP(B271,'02. MM-KLH'!$B$6:$T$823,12,0),"")</f>
        <v>Ngày nhập qua KLH: 04/06/2024</v>
      </c>
      <c r="N271" s="108" t="str">
        <f>IFERROR(VLOOKUP(B271,'02. MM-KLH'!$B$6:$T$823,13,0),"")</f>
        <v>MITSUBISHI</v>
      </c>
      <c r="O271" s="108" t="str">
        <f>IFERROR(VLOOKUP(B271,'02. MM-KLH'!$B$6:$T$823,14,0),"")</f>
        <v>NHẬT BẢN</v>
      </c>
      <c r="P271" s="80">
        <f>IFERROR(VLOOKUP(B271,'02. MM-KLH'!$B$6:$T$823,15,0),"")</f>
        <v>2016</v>
      </c>
      <c r="Q271" s="80" t="str">
        <f>IFERROR(VLOOKUP(B271,'02. MM-KLH'!$B$6:$T$823,16,0),"")</f>
        <v>MKM100</v>
      </c>
      <c r="R271" s="106" t="str">
        <f>IFERROR(VLOOKUP(B271,'02. MM-KLH'!$B$6:$T$823,17,0),"")</f>
        <v>100HP</v>
      </c>
      <c r="S271" s="108" t="str">
        <f>IFERROR(VLOOKUP(B271,'02. MM-KLH'!$B$6:$T$823,18,0),"")</f>
        <v>K10A-10011</v>
      </c>
      <c r="T271" s="110" t="str">
        <f>IFERROR(VLOOKUP(B271,'02. MM-KLH'!$B$6:$T$823,19,0),"")</f>
        <v>6S6-019410</v>
      </c>
      <c r="U271" s="130" t="s">
        <v>79</v>
      </c>
    </row>
    <row r="272" ht="13.5" customHeight="1">
      <c r="A272" s="95">
        <f t="shared" si="12"/>
        <v>10</v>
      </c>
      <c r="B272" s="115" t="s">
        <v>1636</v>
      </c>
      <c r="C272" s="84" t="str">
        <f>IFERROR(VLOOKUP(B272,'02. MM-KLH'!$B$6:$T$823,2,0),"")</f>
        <v>XB1-MKX-007</v>
      </c>
      <c r="D272" s="95" t="str">
        <f>IFERROR(VLOOKUP(B272,'02. MM-KLH'!$B$6:$T$823,3,0),"")</f>
        <v>A22-MKX-007</v>
      </c>
      <c r="E272" s="86" t="str">
        <f>IFERROR(VLOOKUP(B272,'02. MM-KLH'!$B$6:$T$823,4,0),"")</f>
        <v/>
      </c>
      <c r="F272" s="513" t="s">
        <v>4384</v>
      </c>
      <c r="G272" s="86" t="str">
        <f>IFERROR(VLOOKUP(B272,'02. MM-KLH'!$B$6:$T$823,6,0),"")</f>
        <v>Máy kéo bánh xích CT652</v>
      </c>
      <c r="H272" s="80" t="s">
        <v>2054</v>
      </c>
      <c r="I272" s="80" t="str">
        <f>IFERROR(VLOOKUP(B272,'02. MM-KLH'!$B$6:$T$823,8,0),"")</f>
        <v>XOÀI AD</v>
      </c>
      <c r="J272" s="99" t="str">
        <f>IFERROR(VLOOKUP(B272,'02. MM-KLH'!$B$6:$T$823,9,0),"")</f>
        <v>29/05/2026</v>
      </c>
      <c r="K272" s="80" t="str">
        <f>IFERROR(VLOOKUP(B272,'02. MM-KLH'!$B$6:$T$823,10,0),"")</f>
        <v>Bình thường</v>
      </c>
      <c r="L272" s="102" t="str">
        <f>IFERROR(VLOOKUP(B272,'02. MM-KLH'!$B$6:$T$823,11,0),"")</f>
        <v/>
      </c>
      <c r="M272" s="143" t="str">
        <f>IFERROR(VLOOKUP(B272,'02. MM-KLH'!$B$6:$T$823,12,0),"")</f>
        <v>Điều chuyển từ XNB qua ngày 29/05/2026</v>
      </c>
      <c r="N272" s="108" t="str">
        <f>IFERROR(VLOOKUP(B272,'02. MM-KLH'!$B$6:$T$823,13,0),"")</f>
        <v>YANMAR</v>
      </c>
      <c r="O272" s="108" t="str">
        <f>IFERROR(VLOOKUP(B272,'02. MM-KLH'!$B$6:$T$823,14,0),"")</f>
        <v>Nhật Bản</v>
      </c>
      <c r="P272" s="80" t="str">
        <f>IFERROR(VLOOKUP(B272,'02. MM-KLH'!$B$6:$T$823,15,0),"")</f>
        <v/>
      </c>
      <c r="Q272" s="80" t="str">
        <f>IFERROR(VLOOKUP(B272,'02. MM-KLH'!$B$6:$T$823,16,0),"")</f>
        <v>CT652</v>
      </c>
      <c r="R272" s="106" t="str">
        <f>IFERROR(VLOOKUP(B272,'02. MM-KLH'!$B$6:$T$823,17,0),"")</f>
        <v>65HP</v>
      </c>
      <c r="S272" s="108">
        <f>IFERROR(VLOOKUP(B272,'02. MM-KLH'!$B$6:$T$823,18,0),"")</f>
        <v>50349</v>
      </c>
      <c r="T272" s="110" t="str">
        <f>IFERROR(VLOOKUP(B272,'02. MM-KLH'!$B$6:$T$823,19,0),"")</f>
        <v>R2091</v>
      </c>
      <c r="U272" s="130" t="s">
        <v>79</v>
      </c>
    </row>
    <row r="273" ht="20.25" customHeight="1">
      <c r="A273" s="95">
        <f t="shared" si="12"/>
        <v>11</v>
      </c>
      <c r="B273" s="115" t="s">
        <v>2347</v>
      </c>
      <c r="C273" s="84" t="str">
        <f>IFERROR(VLOOKUP(B273,'02. MM-KLH'!$B$6:$T$823,2,0),"")</f>
        <v/>
      </c>
      <c r="D273" s="95" t="str">
        <f>IFERROR(VLOOKUP(B273,'02. MM-KLH'!$B$6:$T$823,3,0),"")</f>
        <v>A22-XBX-001</v>
      </c>
      <c r="E273" s="86" t="str">
        <f>IFERROR(VLOOKUP(B273,'02. MM-KLH'!$B$6:$T$823,4,0),"")</f>
        <v/>
      </c>
      <c r="F273" s="513" t="s">
        <v>4279</v>
      </c>
      <c r="G273" s="86" t="str">
        <f>IFERROR(VLOOKUP(B273,'02. MM-KLH'!$B$6:$T$823,6,0),"")</f>
        <v>Xe bánh xích gom phân chuồng </v>
      </c>
      <c r="H273" s="80" t="s">
        <v>2054</v>
      </c>
      <c r="I273" s="80" t="str">
        <f>IFERROR(VLOOKUP(B273,'02. MM-KLH'!$B$6:$T$823,8,0),"")</f>
        <v>XN Bò AD</v>
      </c>
      <c r="J273" s="99" t="str">
        <f>IFERROR(VLOOKUP(B273,'02. MM-KLH'!$B$6:$T$823,9,0),"")</f>
        <v>16/01/2026</v>
      </c>
      <c r="K273" s="80" t="str">
        <f>IFERROR(VLOOKUP(B273,'02. MM-KLH'!$B$6:$T$823,10,0),"")</f>
        <v>Bình thường</v>
      </c>
      <c r="L273" s="102" t="str">
        <f>IFERROR(VLOOKUP(B273,'02. MM-KLH'!$B$6:$T$823,11,0),"")</f>
        <v/>
      </c>
      <c r="M273" s="143" t="str">
        <f>IFERROR(VLOOKUP(B273,'02. MM-KLH'!$B$6:$T$823,12,0),"")</f>
        <v>Đầu tư mới</v>
      </c>
      <c r="N273" s="108" t="str">
        <f>IFERROR(VLOOKUP(B273,'02. MM-KLH'!$B$6:$T$823,13,0),"")</f>
        <v>MNIGKO</v>
      </c>
      <c r="O273" s="108" t="str">
        <f>IFERROR(VLOOKUP(B273,'02. MM-KLH'!$B$6:$T$823,14,0),"")</f>
        <v>Trung Quốc</v>
      </c>
      <c r="P273" s="80">
        <f>IFERROR(VLOOKUP(B273,'02. MM-KLH'!$B$6:$T$823,15,0),"")</f>
        <v>2025</v>
      </c>
      <c r="Q273" s="80" t="str">
        <f>IFERROR(VLOOKUP(B273,'02. MM-KLH'!$B$6:$T$823,16,0),"")</f>
        <v>MINGKO</v>
      </c>
      <c r="R273" s="106" t="str">
        <f>IFERROR(VLOOKUP(B273,'02. MM-KLH'!$B$6:$T$823,17,0),"")</f>
        <v>38.3HP</v>
      </c>
      <c r="S273" s="108" t="str">
        <f>IFERROR(VLOOKUP(B273,'02. MM-KLH'!$B$6:$T$823,18,0),"")</f>
        <v>CCN</v>
      </c>
      <c r="T273" s="110" t="str">
        <f>IFERROR(VLOOKUP(B273,'02. MM-KLH'!$B$6:$T$823,19,0),"")</f>
        <v>31101A</v>
      </c>
      <c r="U273" s="130" t="s">
        <v>79</v>
      </c>
    </row>
    <row r="274" ht="13.5" customHeight="1">
      <c r="A274" s="95"/>
      <c r="B274" s="115"/>
      <c r="C274" s="84"/>
      <c r="D274" s="95"/>
      <c r="E274" s="86"/>
      <c r="F274" s="513"/>
      <c r="G274" s="86"/>
      <c r="H274" s="80"/>
      <c r="I274" s="80"/>
      <c r="J274" s="99"/>
      <c r="K274" s="80"/>
      <c r="L274" s="102"/>
      <c r="M274" s="143"/>
      <c r="N274" s="108"/>
      <c r="O274" s="108"/>
      <c r="P274" s="80"/>
      <c r="Q274" s="80"/>
      <c r="R274" s="106"/>
      <c r="S274" s="108"/>
      <c r="T274" s="110"/>
      <c r="U274" s="130"/>
    </row>
    <row r="275" ht="13.5" customHeight="1">
      <c r="A275" s="95"/>
      <c r="B275" s="115"/>
      <c r="C275" s="84" t="str">
        <f>IFERROR(VLOOKUP(B275,'02. MM-KLH'!$B$6:$T$823,2,0),"")</f>
        <v/>
      </c>
      <c r="D275" s="95" t="str">
        <f>IFERROR(VLOOKUP(B275,'02. MM-KLH'!$B$6:$T$823,3,0),"")</f>
        <v/>
      </c>
      <c r="E275" s="86" t="str">
        <f>IFERROR(VLOOKUP(B275,'02. MM-KLH'!$B$6:$T$823,4,0),"")</f>
        <v/>
      </c>
      <c r="F275" s="513"/>
      <c r="G275" s="86" t="str">
        <f>IFERROR(VLOOKUP(B275,'02. MM-KLH'!$B$6:$T$823,6,0),"")</f>
        <v/>
      </c>
      <c r="H275" s="80"/>
      <c r="I275" s="80" t="str">
        <f>IFERROR(VLOOKUP(B275,'02. MM-KLH'!$B$6:$T$823,8,0),"")</f>
        <v/>
      </c>
      <c r="J275" s="99" t="str">
        <f>IFERROR(VLOOKUP(B275,'02. MM-KLH'!$B$6:$T$823,9,0),"")</f>
        <v/>
      </c>
      <c r="K275" s="80" t="str">
        <f>IFERROR(VLOOKUP(B275,'02. MM-KLH'!$B$6:$T$823,10,0),"")</f>
        <v/>
      </c>
      <c r="L275" s="102" t="str">
        <f>IFERROR(VLOOKUP(B275,'02. MM-KLH'!$B$6:$T$823,11,0),"")</f>
        <v/>
      </c>
      <c r="M275" s="143" t="str">
        <f>IFERROR(VLOOKUP(B275,'02. MM-KLH'!$B$6:$T$823,12,0),"")</f>
        <v/>
      </c>
      <c r="N275" s="108" t="str">
        <f>IFERROR(VLOOKUP(B275,'02. MM-KLH'!$B$6:$T$823,13,0),"")</f>
        <v/>
      </c>
      <c r="O275" s="108" t="str">
        <f>IFERROR(VLOOKUP(B275,'02. MM-KLH'!$B$6:$T$823,14,0),"")</f>
        <v/>
      </c>
      <c r="P275" s="80" t="str">
        <f>IFERROR(VLOOKUP(B275,'02. MM-KLH'!$B$6:$T$823,15,0),"")</f>
        <v/>
      </c>
      <c r="Q275" s="80" t="str">
        <f>IFERROR(VLOOKUP(B275,'02. MM-KLH'!$B$6:$T$823,16,0),"")</f>
        <v/>
      </c>
      <c r="R275" s="106" t="str">
        <f>IFERROR(VLOOKUP(B275,'02. MM-KLH'!$B$6:$T$823,17,0),"")</f>
        <v/>
      </c>
      <c r="S275" s="108" t="str">
        <f>IFERROR(VLOOKUP(B275,'02. MM-KLH'!$B$6:$T$823,18,0),"")</f>
        <v/>
      </c>
      <c r="T275" s="110" t="str">
        <f>IFERROR(VLOOKUP(B275,'02. MM-KLH'!$B$6:$T$823,19,0),"")</f>
        <v/>
      </c>
      <c r="U275" s="130"/>
    </row>
    <row r="276" ht="13.5" customHeight="1">
      <c r="A276" s="243" t="s">
        <v>4476</v>
      </c>
      <c r="B276" s="244" t="s">
        <v>4477</v>
      </c>
      <c r="C276" s="59">
        <f>SUM(C277,C336,C377,C401,C409,C360)</f>
        <v>118</v>
      </c>
      <c r="D276" s="59" t="str">
        <f>IFERROR(VLOOKUP(B276,'02. MM-KLH'!$B$6:$T$823,3,0),"")</f>
        <v/>
      </c>
      <c r="E276" s="59" t="str">
        <f>IFERROR(VLOOKUP(B276,'02. MM-KLH'!$B$6:$T$823,4,0),"")</f>
        <v/>
      </c>
      <c r="F276" s="59"/>
      <c r="G276" s="59" t="str">
        <f>IFERROR(VLOOKUP(B276,'02. MM-KLH'!$B$6:$T$823,6,0),"")</f>
        <v/>
      </c>
      <c r="H276" s="59"/>
      <c r="I276" s="59" t="str">
        <f>IFERROR(VLOOKUP(B276,'02. MM-KLH'!$B$6:$T$823,8,0),"")</f>
        <v/>
      </c>
      <c r="J276" s="59" t="str">
        <f>IFERROR(VLOOKUP(B276,'02. MM-KLH'!$B$6:$T$823,9,0),"")</f>
        <v/>
      </c>
      <c r="K276" s="59" t="str">
        <f>IFERROR(VLOOKUP(B276,'02. MM-KLH'!$B$6:$T$823,10,0),"")</f>
        <v/>
      </c>
      <c r="L276" s="59" t="str">
        <f>IFERROR(VLOOKUP(B276,'02. MM-KLH'!$B$6:$T$823,11,0),"")</f>
        <v/>
      </c>
      <c r="M276" s="59" t="str">
        <f>IFERROR(VLOOKUP(B276,'02. MM-KLH'!$B$6:$T$823,12,0),"")</f>
        <v/>
      </c>
      <c r="N276" s="59" t="str">
        <f>IFERROR(VLOOKUP(B276,'02. MM-KLH'!$B$6:$T$823,13,0),"")</f>
        <v/>
      </c>
      <c r="O276" s="59" t="str">
        <f>IFERROR(VLOOKUP(B276,'02. MM-KLH'!$B$6:$T$823,14,0),"")</f>
        <v/>
      </c>
      <c r="P276" s="59" t="str">
        <f>IFERROR(VLOOKUP(B276,'02. MM-KLH'!$B$6:$T$823,15,0),"")</f>
        <v/>
      </c>
      <c r="Q276" s="59" t="str">
        <f>IFERROR(VLOOKUP(B276,'02. MM-KLH'!$B$6:$T$823,16,0),"")</f>
        <v/>
      </c>
      <c r="R276" s="59" t="str">
        <f>IFERROR(VLOOKUP(B276,'02. MM-KLH'!$B$6:$T$823,17,0),"")</f>
        <v/>
      </c>
      <c r="S276" s="59" t="str">
        <f>IFERROR(VLOOKUP(B276,'02. MM-KLH'!$B$6:$T$823,18,0),"")</f>
        <v/>
      </c>
      <c r="T276" s="59" t="str">
        <f>IFERROR(VLOOKUP(B276,'02. MM-KLH'!$B$6:$T$823,19,0),"")</f>
        <v/>
      </c>
      <c r="U276" s="59" t="str">
        <f>IFERROR(VLOOKUP(C276,'02. MM-KLH'!$B$6:$T$823,19,0),"")</f>
        <v/>
      </c>
    </row>
    <row r="277" ht="13.5" customHeight="1">
      <c r="A277" s="82" t="s">
        <v>76</v>
      </c>
      <c r="B277" s="83" t="s">
        <v>4502</v>
      </c>
      <c r="C277" s="85">
        <f>COUNTA(B278:B335)</f>
        <v>56</v>
      </c>
      <c r="D277" s="85" t="str">
        <f>IFERROR(VLOOKUP(B277,'02. MM-KLH'!$B$6:$T$823,3,0),"")</f>
        <v/>
      </c>
      <c r="E277" s="85" t="str">
        <f>IFERROR(VLOOKUP(B277,'02. MM-KLH'!$B$6:$T$823,4,0),"")</f>
        <v/>
      </c>
      <c r="F277" s="85"/>
      <c r="G277" s="85" t="str">
        <f>IFERROR(VLOOKUP(B277,'02. MM-KLH'!$B$6:$T$823,6,0),"")</f>
        <v/>
      </c>
      <c r="H277" s="85"/>
      <c r="I277" s="85" t="str">
        <f>IFERROR(VLOOKUP(B277,'02. MM-KLH'!$B$6:$T$823,8,0),"")</f>
        <v/>
      </c>
      <c r="J277" s="85" t="str">
        <f>IFERROR(VLOOKUP(B277,'02. MM-KLH'!$B$6:$T$823,9,0),"")</f>
        <v/>
      </c>
      <c r="K277" s="85" t="str">
        <f>IFERROR(VLOOKUP(B277,'02. MM-KLH'!$B$6:$T$823,10,0),"")</f>
        <v/>
      </c>
      <c r="L277" s="85" t="str">
        <f>IFERROR(VLOOKUP(B277,'02. MM-KLH'!$B$6:$T$823,11,0),"")</f>
        <v/>
      </c>
      <c r="M277" s="85" t="str">
        <f>IFERROR(VLOOKUP(B277,'02. MM-KLH'!$B$6:$T$823,12,0),"")</f>
        <v/>
      </c>
      <c r="N277" s="85" t="str">
        <f>IFERROR(VLOOKUP(B277,'02. MM-KLH'!$B$6:$T$823,13,0),"")</f>
        <v/>
      </c>
      <c r="O277" s="85" t="str">
        <f>IFERROR(VLOOKUP(B277,'02. MM-KLH'!$B$6:$T$823,14,0),"")</f>
        <v/>
      </c>
      <c r="P277" s="85" t="str">
        <f>IFERROR(VLOOKUP(B277,'02. MM-KLH'!$B$6:$T$823,15,0),"")</f>
        <v/>
      </c>
      <c r="Q277" s="85" t="str">
        <f>IFERROR(VLOOKUP(B277,'02. MM-KLH'!$B$6:$T$823,16,0),"")</f>
        <v/>
      </c>
      <c r="R277" s="85" t="str">
        <f>IFERROR(VLOOKUP(B277,'02. MM-KLH'!$B$6:$T$823,17,0),"")</f>
        <v/>
      </c>
      <c r="S277" s="85" t="str">
        <f>IFERROR(VLOOKUP(B277,'02. MM-KLH'!$B$6:$T$823,18,0),"")</f>
        <v/>
      </c>
      <c r="T277" s="85" t="str">
        <f>IFERROR(VLOOKUP(B277,'02. MM-KLH'!$B$6:$T$823,19,0),"")</f>
        <v/>
      </c>
      <c r="U277" s="85" t="str">
        <f>IFERROR(VLOOKUP(C277,'02. MM-KLH'!$B$6:$T$823,19,0),"")</f>
        <v/>
      </c>
    </row>
    <row r="278" ht="13.5" customHeight="1">
      <c r="A278" s="80">
        <v>1.0</v>
      </c>
      <c r="B278" s="113" t="s">
        <v>145</v>
      </c>
      <c r="C278" s="113" t="str">
        <f>IFERROR(VLOOKUP(B278,'02. MM-KLH'!$B$6:$T$823,2,0),"")</f>
        <v/>
      </c>
      <c r="D278" s="95" t="str">
        <f>IFERROR(VLOOKUP(B278,'02. MM-KLH'!$B$6:$T$823,3,0),"")</f>
        <v>A23-XTA-002</v>
      </c>
      <c r="E278" s="86" t="str">
        <f>IFERROR(VLOOKUP(B278,'02. MM-KLH'!$B$6:$T$823,4,0),"")</f>
        <v/>
      </c>
      <c r="F278" s="570"/>
      <c r="G278" s="86" t="str">
        <f>IFERROR(VLOOKUP(B278,'02. MM-KLH'!$B$6:$T$823,6,0),"")</f>
        <v>Xe ben AUMAN GTL D300 E4</v>
      </c>
      <c r="H278" s="80" t="s">
        <v>4525</v>
      </c>
      <c r="I278" s="80" t="str">
        <f>IFERROR(VLOOKUP(B278,'02. MM-KLH'!$B$6:$T$823,8,0),"")</f>
        <v>CGTC DP</v>
      </c>
      <c r="J278" s="99" t="str">
        <f>IFERROR(VLOOKUP(B278,'02. MM-KLH'!$B$6:$T$823,9,0),"")</f>
        <v/>
      </c>
      <c r="K278" s="80" t="str">
        <f>IFERROR(VLOOKUP(B278,'02. MM-KLH'!$B$6:$T$823,10,0),"")</f>
        <v>Bình thường</v>
      </c>
      <c r="L278" s="102" t="str">
        <f>IFERROR(VLOOKUP(B278,'02. MM-KLH'!$B$6:$T$823,11,0),"")</f>
        <v/>
      </c>
      <c r="M278" s="143" t="str">
        <f>IFERROR(VLOOKUP(B278,'02. MM-KLH'!$B$6:$T$823,12,0),"")</f>
        <v/>
      </c>
      <c r="N278" s="108" t="str">
        <f>IFERROR(VLOOKUP(B278,'02. MM-KLH'!$B$6:$T$823,13,0),"")</f>
        <v>THACO AUMAN</v>
      </c>
      <c r="O278" s="108" t="str">
        <f>IFERROR(VLOOKUP(B278,'02. MM-KLH'!$B$6:$T$823,14,0),"")</f>
        <v>VIỆT NAM</v>
      </c>
      <c r="P278" s="80">
        <f>IFERROR(VLOOKUP(B278,'02. MM-KLH'!$B$6:$T$823,15,0),"")</f>
        <v>2018</v>
      </c>
      <c r="Q278" s="80" t="str">
        <f>IFERROR(VLOOKUP(B278,'02. MM-KLH'!$B$6:$T$823,16,0),"")</f>
        <v>GTL D300E4</v>
      </c>
      <c r="R278" s="106" t="str">
        <f>IFERROR(VLOOKUP(B278,'02. MM-KLH'!$B$6:$T$823,17,0),"")</f>
        <v>375HP</v>
      </c>
      <c r="S278" s="108" t="str">
        <f>IFERROR(VLOOKUP(B278,'02. MM-KLH'!$B$6:$T$823,18,0),"")</f>
        <v>RNHD30FWAJC078089</v>
      </c>
      <c r="T278" s="110" t="str">
        <f>IFERROR(VLOOKUP(B278,'02. MM-KLH'!$B$6:$T$823,19,0),"")</f>
        <v>CCN</v>
      </c>
      <c r="U278" s="130" t="s">
        <v>79</v>
      </c>
    </row>
    <row r="279" ht="13.5" customHeight="1">
      <c r="A279" s="80">
        <f t="shared" ref="A279:A333" si="13">A278+1</f>
        <v>2</v>
      </c>
      <c r="B279" s="113" t="s">
        <v>423</v>
      </c>
      <c r="C279" s="113" t="str">
        <f>IFERROR(VLOOKUP(B279,'02. MM-KLH'!$B$6:$T$823,2,0),"")</f>
        <v>XT 17 HT-KLH</v>
      </c>
      <c r="D279" s="95" t="str">
        <f>IFERROR(VLOOKUP(B279,'02. MM-KLH'!$B$6:$T$823,3,0),"")</f>
        <v>ATT-A24-0080</v>
      </c>
      <c r="E279" s="86" t="str">
        <f>IFERROR(VLOOKUP(B279,'02. MM-KLH'!$B$6:$T$823,4,0),"")</f>
        <v/>
      </c>
      <c r="F279" s="115" t="s">
        <v>4551</v>
      </c>
      <c r="G279" s="86" t="str">
        <f>IFERROR(VLOOKUP(B279,'02. MM-KLH'!$B$6:$T$823,6,0),"")</f>
        <v>Xe ben AUMAN GTL D300 E4</v>
      </c>
      <c r="H279" s="80" t="s">
        <v>4525</v>
      </c>
      <c r="I279" s="80" t="str">
        <f>IFERROR(VLOOKUP(B279,'02. MM-KLH'!$B$6:$T$823,8,0),"")</f>
        <v>CGTC LP</v>
      </c>
      <c r="J279" s="99">
        <f>IFERROR(VLOOKUP(B279,'02. MM-KLH'!$B$6:$T$823,9,0),"")</f>
        <v>44205</v>
      </c>
      <c r="K279" s="80" t="str">
        <f>IFERROR(VLOOKUP(B279,'02. MM-KLH'!$B$6:$T$823,10,0),"")</f>
        <v>Bình thường</v>
      </c>
      <c r="L279" s="102">
        <f>IFERROR(VLOOKUP(B279,'02. MM-KLH'!$B$6:$T$823,11,0),"")</f>
        <v>0.7</v>
      </c>
      <c r="M279" s="143" t="str">
        <f>IFERROR(VLOOKUP(B279,'02. MM-KLH'!$B$6:$T$823,12,0),"")</f>
        <v/>
      </c>
      <c r="N279" s="108" t="str">
        <f>IFERROR(VLOOKUP(B279,'02. MM-KLH'!$B$6:$T$823,13,0),"")</f>
        <v>THACO AUMAN</v>
      </c>
      <c r="O279" s="108" t="str">
        <f>IFERROR(VLOOKUP(B279,'02. MM-KLH'!$B$6:$T$823,14,0),"")</f>
        <v>VIỆT NAM</v>
      </c>
      <c r="P279" s="80">
        <f>IFERROR(VLOOKUP(B279,'02. MM-KLH'!$B$6:$T$823,15,0),"")</f>
        <v>2018</v>
      </c>
      <c r="Q279" s="80" t="str">
        <f>IFERROR(VLOOKUP(B279,'02. MM-KLH'!$B$6:$T$823,16,0),"")</f>
        <v>GTL D300E4</v>
      </c>
      <c r="R279" s="106" t="str">
        <f>IFERROR(VLOOKUP(B279,'02. MM-KLH'!$B$6:$T$823,17,0),"")</f>
        <v>375HP</v>
      </c>
      <c r="S279" s="108" t="str">
        <f>IFERROR(VLOOKUP(B279,'02. MM-KLH'!$B$6:$T$823,18,0),"")</f>
        <v>RNHD30FWAJCO078095</v>
      </c>
      <c r="T279" s="110" t="str">
        <f>IFERROR(VLOOKUP(B279,'02. MM-KLH'!$B$6:$T$823,19,0),"")</f>
        <v>WP10375E431618A009923</v>
      </c>
      <c r="U279" s="130" t="s">
        <v>79</v>
      </c>
    </row>
    <row r="280" ht="13.5" customHeight="1">
      <c r="A280" s="80">
        <f t="shared" si="13"/>
        <v>3</v>
      </c>
      <c r="B280" s="113" t="s">
        <v>561</v>
      </c>
      <c r="C280" s="113" t="str">
        <f>IFERROR(VLOOKUP(B280,'02. MM-KLH'!$B$6:$T$823,2,0),"")</f>
        <v>CHT-XTA-011</v>
      </c>
      <c r="D280" s="95" t="str">
        <f>IFERROR(VLOOKUP(B280,'02. MM-KLH'!$B$6:$T$823,3,0),"")</f>
        <v>ATT-A22-0171</v>
      </c>
      <c r="E280" s="86" t="str">
        <f>IFERROR(VLOOKUP(B280,'02. MM-KLH'!$B$6:$T$823,4,0),"")</f>
        <v/>
      </c>
      <c r="F280" s="115" t="s">
        <v>4567</v>
      </c>
      <c r="G280" s="86" t="str">
        <f>IFERROR(VLOOKUP(B280,'02. MM-KLH'!$B$6:$T$823,6,0),"")</f>
        <v>Xe ben AUMAN GTL D300 E4</v>
      </c>
      <c r="H280" s="80" t="s">
        <v>4525</v>
      </c>
      <c r="I280" s="80" t="str">
        <f>IFERROR(VLOOKUP(B280,'02. MM-KLH'!$B$6:$T$823,8,0),"")</f>
        <v>CGTC AD</v>
      </c>
      <c r="J280" s="99">
        <f>IFERROR(VLOOKUP(B280,'02. MM-KLH'!$B$6:$T$823,9,0),"")</f>
        <v>44198</v>
      </c>
      <c r="K280" s="80" t="str">
        <f>IFERROR(VLOOKUP(B280,'02. MM-KLH'!$B$6:$T$823,10,0),"")</f>
        <v>Bình thường</v>
      </c>
      <c r="L280" s="102">
        <f>IFERROR(VLOOKUP(B280,'02. MM-KLH'!$B$6:$T$823,11,0),"")</f>
        <v>0.32</v>
      </c>
      <c r="M280" s="143" t="str">
        <f>IFERROR(VLOOKUP(B280,'02. MM-KLH'!$B$6:$T$823,12,0),"")</f>
        <v/>
      </c>
      <c r="N280" s="108" t="str">
        <f>IFERROR(VLOOKUP(B280,'02. MM-KLH'!$B$6:$T$823,13,0),"")</f>
        <v>THACO AUMAN</v>
      </c>
      <c r="O280" s="108" t="str">
        <f>IFERROR(VLOOKUP(B280,'02. MM-KLH'!$B$6:$T$823,14,0),"")</f>
        <v>VIỆT NAM</v>
      </c>
      <c r="P280" s="80">
        <f>IFERROR(VLOOKUP(B280,'02. MM-KLH'!$B$6:$T$823,15,0),"")</f>
        <v>2018</v>
      </c>
      <c r="Q280" s="80" t="str">
        <f>IFERROR(VLOOKUP(B280,'02. MM-KLH'!$B$6:$T$823,16,0),"")</f>
        <v>GTL D300E4</v>
      </c>
      <c r="R280" s="106" t="str">
        <f>IFERROR(VLOOKUP(B280,'02. MM-KLH'!$B$6:$T$823,17,0),"")</f>
        <v>375HP</v>
      </c>
      <c r="S280" s="108" t="str">
        <f>IFERROR(VLOOKUP(B280,'02. MM-KLH'!$B$6:$T$823,18,0),"")</f>
        <v>RNHD30FWAJC078104</v>
      </c>
      <c r="T280" s="110" t="str">
        <f>IFERROR(VLOOKUP(B280,'02. MM-KLH'!$B$6:$T$823,19,0),"")</f>
        <v>WP10375E431618A009907</v>
      </c>
      <c r="U280" s="130" t="s">
        <v>79</v>
      </c>
    </row>
    <row r="281" ht="13.5" customHeight="1">
      <c r="A281" s="80">
        <f t="shared" si="13"/>
        <v>4</v>
      </c>
      <c r="B281" s="113" t="s">
        <v>564</v>
      </c>
      <c r="C281" s="113" t="str">
        <f>IFERROR(VLOOKUP(B281,'02. MM-KLH'!$B$6:$T$823,2,0),"")</f>
        <v>CHT-XTA-012</v>
      </c>
      <c r="D281" s="95" t="str">
        <f>IFERROR(VLOOKUP(B281,'02. MM-KLH'!$B$6:$T$823,3,0),"")</f>
        <v>ATT-A22-0171</v>
      </c>
      <c r="E281" s="86" t="str">
        <f>IFERROR(VLOOKUP(B281,'02. MM-KLH'!$B$6:$T$823,4,0),"")</f>
        <v/>
      </c>
      <c r="F281" s="115" t="s">
        <v>4567</v>
      </c>
      <c r="G281" s="86" t="str">
        <f>IFERROR(VLOOKUP(B281,'02. MM-KLH'!$B$6:$T$823,6,0),"")</f>
        <v>Xe ben AUMAN GTL D300 E4</v>
      </c>
      <c r="H281" s="80" t="s">
        <v>4525</v>
      </c>
      <c r="I281" s="80" t="str">
        <f>IFERROR(VLOOKUP(B281,'02. MM-KLH'!$B$6:$T$823,8,0),"")</f>
        <v>CGTC AD</v>
      </c>
      <c r="J281" s="99">
        <f>IFERROR(VLOOKUP(B281,'02. MM-KLH'!$B$6:$T$823,9,0),"")</f>
        <v>44198</v>
      </c>
      <c r="K281" s="80" t="str">
        <f>IFERROR(VLOOKUP(B281,'02. MM-KLH'!$B$6:$T$823,10,0),"")</f>
        <v>Bình thường</v>
      </c>
      <c r="L281" s="102" t="str">
        <f>IFERROR(VLOOKUP(B281,'02. MM-KLH'!$B$6:$T$823,11,0),"")</f>
        <v/>
      </c>
      <c r="M281" s="143" t="str">
        <f>IFERROR(VLOOKUP(B281,'02. MM-KLH'!$B$6:$T$823,12,0),"")</f>
        <v/>
      </c>
      <c r="N281" s="108" t="str">
        <f>IFERROR(VLOOKUP(B281,'02. MM-KLH'!$B$6:$T$823,13,0),"")</f>
        <v>THACO AUMAN</v>
      </c>
      <c r="O281" s="108" t="str">
        <f>IFERROR(VLOOKUP(B281,'02. MM-KLH'!$B$6:$T$823,14,0),"")</f>
        <v>VIỆT NAM</v>
      </c>
      <c r="P281" s="80">
        <f>IFERROR(VLOOKUP(B281,'02. MM-KLH'!$B$6:$T$823,15,0),"")</f>
        <v>2018</v>
      </c>
      <c r="Q281" s="80" t="str">
        <f>IFERROR(VLOOKUP(B281,'02. MM-KLH'!$B$6:$T$823,16,0),"")</f>
        <v>GTL D300E4</v>
      </c>
      <c r="R281" s="106" t="str">
        <f>IFERROR(VLOOKUP(B281,'02. MM-KLH'!$B$6:$T$823,17,0),"")</f>
        <v>375HP</v>
      </c>
      <c r="S281" s="108" t="str">
        <f>IFERROR(VLOOKUP(B281,'02. MM-KLH'!$B$6:$T$823,18,0),"")</f>
        <v>RNHD30FWAJC75800</v>
      </c>
      <c r="T281" s="110" t="str">
        <f>IFERROR(VLOOKUP(B281,'02. MM-KLH'!$B$6:$T$823,19,0),"")</f>
        <v>WP10375E431617K140763</v>
      </c>
      <c r="U281" s="130" t="s">
        <v>79</v>
      </c>
    </row>
    <row r="282" ht="13.5" customHeight="1">
      <c r="A282" s="80">
        <f t="shared" si="13"/>
        <v>5</v>
      </c>
      <c r="B282" s="113" t="s">
        <v>408</v>
      </c>
      <c r="C282" s="113" t="str">
        <f>IFERROR(VLOOKUP(B282,'02. MM-KLH'!$B$6:$T$823,2,0),"")</f>
        <v>XT 04 HT-KLH</v>
      </c>
      <c r="D282" s="95" t="str">
        <f>IFERROR(VLOOKUP(B282,'02. MM-KLH'!$B$6:$T$823,3,0),"")</f>
        <v>ATT-A24-0061</v>
      </c>
      <c r="E282" s="86" t="str">
        <f>IFERROR(VLOOKUP(B282,'02. MM-KLH'!$B$6:$T$823,4,0),"")</f>
        <v/>
      </c>
      <c r="F282" s="115" t="s">
        <v>4606</v>
      </c>
      <c r="G282" s="86" t="str">
        <f>IFERROR(VLOOKUP(B282,'02. MM-KLH'!$B$6:$T$823,6,0),"")</f>
        <v>Xe ben FD140</v>
      </c>
      <c r="H282" s="80" t="s">
        <v>4609</v>
      </c>
      <c r="I282" s="80" t="str">
        <f>IFERROR(VLOOKUP(B282,'02. MM-KLH'!$B$6:$T$823,8,0),"")</f>
        <v>CGTC LP</v>
      </c>
      <c r="J282" s="99">
        <f>IFERROR(VLOOKUP(B282,'02. MM-KLH'!$B$6:$T$823,9,0),"")</f>
        <v>44197</v>
      </c>
      <c r="K282" s="80" t="str">
        <f>IFERROR(VLOOKUP(B282,'02. MM-KLH'!$B$6:$T$823,10,0),"")</f>
        <v>Bình thường</v>
      </c>
      <c r="L282" s="102">
        <f>IFERROR(VLOOKUP(B282,'02. MM-KLH'!$B$6:$T$823,11,0),"")</f>
        <v>0.68</v>
      </c>
      <c r="M282" s="143" t="str">
        <f>IFERROR(VLOOKUP(B282,'02. MM-KLH'!$B$6:$T$823,12,0),"")</f>
        <v/>
      </c>
      <c r="N282" s="108" t="str">
        <f>IFERROR(VLOOKUP(B282,'02. MM-KLH'!$B$6:$T$823,13,0),"")</f>
        <v>THACO FORLAND</v>
      </c>
      <c r="O282" s="108" t="str">
        <f>IFERROR(VLOOKUP(B282,'02. MM-KLH'!$B$6:$T$823,14,0),"")</f>
        <v>VIỆT NAM</v>
      </c>
      <c r="P282" s="80">
        <f>IFERROR(VLOOKUP(B282,'02. MM-KLH'!$B$6:$T$823,15,0),"")</f>
        <v>2020</v>
      </c>
      <c r="Q282" s="80" t="str">
        <f>IFERROR(VLOOKUP(B282,'02. MM-KLH'!$B$6:$T$823,16,0),"")</f>
        <v>FD140-8T</v>
      </c>
      <c r="R282" s="106" t="str">
        <f>IFERROR(VLOOKUP(B282,'02. MM-KLH'!$B$6:$T$823,17,0),"")</f>
        <v>140HP</v>
      </c>
      <c r="S282" s="108" t="str">
        <f>IFERROR(VLOOKUP(B282,'02. MM-KLH'!$B$6:$T$823,18,0),"")</f>
        <v>RNHF14FYALT024045</v>
      </c>
      <c r="T282" s="110" t="str">
        <f>IFERROR(VLOOKUP(B282,'02. MM-KLH'!$B$6:$T$823,19,0),"")</f>
        <v>YC4D140-48D59M1J20731</v>
      </c>
      <c r="U282" s="130" t="s">
        <v>79</v>
      </c>
    </row>
    <row r="283" ht="13.5" customHeight="1">
      <c r="A283" s="80">
        <f t="shared" si="13"/>
        <v>6</v>
      </c>
      <c r="B283" s="113" t="s">
        <v>558</v>
      </c>
      <c r="C283" s="113" t="str">
        <f>IFERROR(VLOOKUP(B283,'02. MM-KLH'!$B$6:$T$823,2,0),"")</f>
        <v>CHT-XTA-008</v>
      </c>
      <c r="D283" s="95" t="str">
        <f>IFERROR(VLOOKUP(B283,'02. MM-KLH'!$B$6:$T$823,3,0),"")</f>
        <v>ATT-A24-0062</v>
      </c>
      <c r="E283" s="86" t="str">
        <f>IFERROR(VLOOKUP(B283,'02. MM-KLH'!$B$6:$T$823,4,0),"")</f>
        <v/>
      </c>
      <c r="F283" s="115" t="s">
        <v>4632</v>
      </c>
      <c r="G283" s="86" t="str">
        <f>IFERROR(VLOOKUP(B283,'02. MM-KLH'!$B$6:$T$823,6,0),"")</f>
        <v>Xe ben FD140</v>
      </c>
      <c r="H283" s="80" t="s">
        <v>4609</v>
      </c>
      <c r="I283" s="80" t="str">
        <f>IFERROR(VLOOKUP(B283,'02. MM-KLH'!$B$6:$T$823,8,0),"")</f>
        <v>CGTC AD</v>
      </c>
      <c r="J283" s="99" t="str">
        <f>IFERROR(VLOOKUP(B283,'02. MM-KLH'!$B$6:$T$823,9,0),"")</f>
        <v/>
      </c>
      <c r="K283" s="80" t="str">
        <f>IFERROR(VLOOKUP(B283,'02. MM-KLH'!$B$6:$T$823,10,0),"")</f>
        <v>Bình thường</v>
      </c>
      <c r="L283" s="102">
        <f>IFERROR(VLOOKUP(B283,'02. MM-KLH'!$B$6:$T$823,11,0),"")</f>
        <v>0.68</v>
      </c>
      <c r="M283" s="143" t="str">
        <f>IFERROR(VLOOKUP(B283,'02. MM-KLH'!$B$6:$T$823,12,0),"")</f>
        <v/>
      </c>
      <c r="N283" s="108" t="str">
        <f>IFERROR(VLOOKUP(B283,'02. MM-KLH'!$B$6:$T$823,13,0),"")</f>
        <v>THACO FORLAND</v>
      </c>
      <c r="O283" s="108" t="str">
        <f>IFERROR(VLOOKUP(B283,'02. MM-KLH'!$B$6:$T$823,14,0),"")</f>
        <v>VIỆT NAM</v>
      </c>
      <c r="P283" s="80">
        <f>IFERROR(VLOOKUP(B283,'02. MM-KLH'!$B$6:$T$823,15,0),"")</f>
        <v>2020</v>
      </c>
      <c r="Q283" s="80" t="str">
        <f>IFERROR(VLOOKUP(B283,'02. MM-KLH'!$B$6:$T$823,16,0),"")</f>
        <v>FD140-8T</v>
      </c>
      <c r="R283" s="106" t="str">
        <f>IFERROR(VLOOKUP(B283,'02. MM-KLH'!$B$6:$T$823,17,0),"")</f>
        <v>140HP</v>
      </c>
      <c r="S283" s="108" t="str">
        <f>IFERROR(VLOOKUP(B283,'02. MM-KLH'!$B$6:$T$823,18,0),"")</f>
        <v>RNHF14FYALT024043</v>
      </c>
      <c r="T283" s="110" t="str">
        <f>IFERROR(VLOOKUP(B283,'02. MM-KLH'!$B$6:$T$823,19,0),"")</f>
        <v>YC4D140-48D59M1J20797</v>
      </c>
      <c r="U283" s="130" t="s">
        <v>79</v>
      </c>
    </row>
    <row r="284" ht="13.5" customHeight="1">
      <c r="A284" s="80">
        <f t="shared" si="13"/>
        <v>7</v>
      </c>
      <c r="B284" s="113" t="s">
        <v>417</v>
      </c>
      <c r="C284" s="113" t="str">
        <f>IFERROR(VLOOKUP(B284,'02. MM-KLH'!$B$6:$T$823,2,0),"")</f>
        <v>XT 05 HT-KLH</v>
      </c>
      <c r="D284" s="95" t="str">
        <f>IFERROR(VLOOKUP(B284,'02. MM-KLH'!$B$6:$T$823,3,0),"")</f>
        <v>A24-XTA-010</v>
      </c>
      <c r="E284" s="86" t="str">
        <f>IFERROR(VLOOKUP(B284,'02. MM-KLH'!$B$6:$T$823,4,0),"")</f>
        <v/>
      </c>
      <c r="F284" s="115"/>
      <c r="G284" s="86" t="str">
        <f>IFERROR(VLOOKUP(B284,'02. MM-KLH'!$B$6:$T$823,6,0),"")</f>
        <v>Xe ben FD850</v>
      </c>
      <c r="H284" s="80" t="s">
        <v>4609</v>
      </c>
      <c r="I284" s="80" t="str">
        <f>IFERROR(VLOOKUP(B284,'02. MM-KLH'!$B$6:$T$823,8,0),"")</f>
        <v>CGTC LP</v>
      </c>
      <c r="J284" s="99" t="str">
        <f>IFERROR(VLOOKUP(B284,'02. MM-KLH'!$B$6:$T$823,9,0),"")</f>
        <v/>
      </c>
      <c r="K284" s="80" t="str">
        <f>IFERROR(VLOOKUP(B284,'02. MM-KLH'!$B$6:$T$823,10,0),"")</f>
        <v>Bình thường</v>
      </c>
      <c r="L284" s="102" t="str">
        <f>IFERROR(VLOOKUP(B284,'02. MM-KLH'!$B$6:$T$823,11,0),"")</f>
        <v/>
      </c>
      <c r="M284" s="143" t="str">
        <f>IFERROR(VLOOKUP(B284,'02. MM-KLH'!$B$6:$T$823,12,0),"")</f>
        <v/>
      </c>
      <c r="N284" s="108" t="str">
        <f>IFERROR(VLOOKUP(B284,'02. MM-KLH'!$B$6:$T$823,13,0),"")</f>
        <v>THACO FORLAND</v>
      </c>
      <c r="O284" s="108" t="str">
        <f>IFERROR(VLOOKUP(B284,'02. MM-KLH'!$B$6:$T$823,14,0),"")</f>
        <v>VIỆT NAM</v>
      </c>
      <c r="P284" s="80">
        <f>IFERROR(VLOOKUP(B284,'02. MM-KLH'!$B$6:$T$823,15,0),"")</f>
        <v>2020</v>
      </c>
      <c r="Q284" s="80" t="str">
        <f>IFERROR(VLOOKUP(B284,'02. MM-KLH'!$B$6:$T$823,16,0),"")</f>
        <v>FD850-5T</v>
      </c>
      <c r="R284" s="106" t="str">
        <f>IFERROR(VLOOKUP(B284,'02. MM-KLH'!$B$6:$T$823,17,0),"")</f>
        <v>140HP</v>
      </c>
      <c r="S284" s="108" t="str">
        <f>IFERROR(VLOOKUP(B284,'02. MM-KLH'!$B$6:$T$823,18,0),"")</f>
        <v>RNHF14FYALC008840</v>
      </c>
      <c r="T284" s="110" t="str">
        <f>IFERROR(VLOOKUP(B284,'02. MM-KLH'!$B$6:$T$823,19,0),"")</f>
        <v>D59M1J20132</v>
      </c>
      <c r="U284" s="130" t="s">
        <v>79</v>
      </c>
    </row>
    <row r="285" ht="13.5" customHeight="1">
      <c r="A285" s="80">
        <f t="shared" si="13"/>
        <v>8</v>
      </c>
      <c r="B285" s="115" t="s">
        <v>153</v>
      </c>
      <c r="C285" s="113" t="str">
        <f>IFERROR(VLOOKUP(B285,'02. MM-KLH'!$B$6:$T$823,2,0),"")</f>
        <v>MỚI</v>
      </c>
      <c r="D285" s="95" t="str">
        <f>IFERROR(VLOOKUP(B285,'02. MM-KLH'!$B$6:$T$823,3,0),"")</f>
        <v>A23-XTA-024</v>
      </c>
      <c r="E285" s="86" t="str">
        <f>IFERROR(VLOOKUP(B285,'02. MM-KLH'!$B$6:$T$823,4,0),"")</f>
        <v>3A-6815</v>
      </c>
      <c r="F285" s="115"/>
      <c r="G285" s="86" t="str">
        <f>IFERROR(VLOOKUP(B285,'02. MM-KLH'!$B$6:$T$823,6,0),"")</f>
        <v>Xe ben HOWO TXD600</v>
      </c>
      <c r="H285" s="80" t="s">
        <v>4525</v>
      </c>
      <c r="I285" s="80" t="str">
        <f>IFERROR(VLOOKUP(B285,'02. MM-KLH'!$B$6:$T$823,8,0),"")</f>
        <v>CGTC DP</v>
      </c>
      <c r="J285" s="99">
        <f>IFERROR(VLOOKUP(B285,'02. MM-KLH'!$B$6:$T$823,9,0),"")</f>
        <v>45749</v>
      </c>
      <c r="K285" s="80" t="str">
        <f>IFERROR(VLOOKUP(B285,'02. MM-KLH'!$B$6:$T$823,10,0),"")</f>
        <v>Bình thường</v>
      </c>
      <c r="L285" s="102" t="str">
        <f>IFERROR(VLOOKUP(B285,'02. MM-KLH'!$B$6:$T$823,11,0),"")</f>
        <v/>
      </c>
      <c r="M285" s="143" t="str">
        <f>IFERROR(VLOOKUP(B285,'02. MM-KLH'!$B$6:$T$823,12,0),"")</f>
        <v>Đầu tư mới </v>
      </c>
      <c r="N285" s="108" t="str">
        <f>IFERROR(VLOOKUP(B285,'02. MM-KLH'!$B$6:$T$823,13,0),"")</f>
        <v>HOWO</v>
      </c>
      <c r="O285" s="108" t="str">
        <f>IFERROR(VLOOKUP(B285,'02. MM-KLH'!$B$6:$T$823,14,0),"")</f>
        <v>VIỆT NAM</v>
      </c>
      <c r="P285" s="80">
        <f>IFERROR(VLOOKUP(B285,'02. MM-KLH'!$B$6:$T$823,15,0),"")</f>
        <v>2022</v>
      </c>
      <c r="Q285" s="80" t="str">
        <f>IFERROR(VLOOKUP(B285,'02. MM-KLH'!$B$6:$T$823,16,0),"")</f>
        <v>HOWO TX D600</v>
      </c>
      <c r="R285" s="106" t="str">
        <f>IFERROR(VLOOKUP(B285,'02. MM-KLH'!$B$6:$T$823,17,0),"")</f>
        <v>380HP</v>
      </c>
      <c r="S285" s="108" t="str">
        <f>IFERROR(VLOOKUP(B285,'02. MM-KLH'!$B$6:$T$823,18,0),"")</f>
        <v>RNHD24CWANT057806</v>
      </c>
      <c r="T285" s="110" t="str">
        <f>IFERROR(VLOOKUP(B285,'02. MM-KLH'!$B$6:$T$823,19,0),"")</f>
        <v>1622B008395</v>
      </c>
      <c r="U285" s="130" t="s">
        <v>2301</v>
      </c>
    </row>
    <row r="286" ht="13.5" customHeight="1">
      <c r="A286" s="80">
        <f t="shared" si="13"/>
        <v>9</v>
      </c>
      <c r="B286" s="115" t="s">
        <v>166</v>
      </c>
      <c r="C286" s="113" t="str">
        <f>IFERROR(VLOOKUP(B286,'02. MM-KLH'!$B$6:$T$823,2,0),"")</f>
        <v>MỚI</v>
      </c>
      <c r="D286" s="95" t="str">
        <f>IFERROR(VLOOKUP(B286,'02. MM-KLH'!$B$6:$T$823,3,0),"")</f>
        <v>A23-XTA-025</v>
      </c>
      <c r="E286" s="86" t="str">
        <f>IFERROR(VLOOKUP(B286,'02. MM-KLH'!$B$6:$T$823,4,0),"")</f>
        <v>3A-6820</v>
      </c>
      <c r="F286" s="115"/>
      <c r="G286" s="86" t="str">
        <f>IFERROR(VLOOKUP(B286,'02. MM-KLH'!$B$6:$T$823,6,0),"")</f>
        <v>Xe ben HOWO TXD600</v>
      </c>
      <c r="H286" s="80" t="s">
        <v>4525</v>
      </c>
      <c r="I286" s="80" t="str">
        <f>IFERROR(VLOOKUP(B286,'02. MM-KLH'!$B$6:$T$823,8,0),"")</f>
        <v>CGTC DP</v>
      </c>
      <c r="J286" s="99">
        <f>IFERROR(VLOOKUP(B286,'02. MM-KLH'!$B$6:$T$823,9,0),"")</f>
        <v>45749</v>
      </c>
      <c r="K286" s="80" t="str">
        <f>IFERROR(VLOOKUP(B286,'02. MM-KLH'!$B$6:$T$823,10,0),"")</f>
        <v>Bình thường</v>
      </c>
      <c r="L286" s="102" t="str">
        <f>IFERROR(VLOOKUP(B286,'02. MM-KLH'!$B$6:$T$823,11,0),"")</f>
        <v/>
      </c>
      <c r="M286" s="143" t="str">
        <f>IFERROR(VLOOKUP(B286,'02. MM-KLH'!$B$6:$T$823,12,0),"")</f>
        <v>Đầu tư mới </v>
      </c>
      <c r="N286" s="108" t="str">
        <f>IFERROR(VLOOKUP(B286,'02. MM-KLH'!$B$6:$T$823,13,0),"")</f>
        <v>HOWO</v>
      </c>
      <c r="O286" s="108" t="str">
        <f>IFERROR(VLOOKUP(B286,'02. MM-KLH'!$B$6:$T$823,14,0),"")</f>
        <v>VIỆT NAM</v>
      </c>
      <c r="P286" s="80">
        <f>IFERROR(VLOOKUP(B286,'02. MM-KLH'!$B$6:$T$823,15,0),"")</f>
        <v>2022</v>
      </c>
      <c r="Q286" s="80" t="str">
        <f>IFERROR(VLOOKUP(B286,'02. MM-KLH'!$B$6:$T$823,16,0),"")</f>
        <v>HOWO TX D600</v>
      </c>
      <c r="R286" s="106" t="str">
        <f>IFERROR(VLOOKUP(B286,'02. MM-KLH'!$B$6:$T$823,17,0),"")</f>
        <v>380HP</v>
      </c>
      <c r="S286" s="108" t="str">
        <f>IFERROR(VLOOKUP(B286,'02. MM-KLH'!$B$6:$T$823,18,0),"")</f>
        <v>RNHD24CWANT057808</v>
      </c>
      <c r="T286" s="110" t="str">
        <f>IFERROR(VLOOKUP(B286,'02. MM-KLH'!$B$6:$T$823,19,0),"")</f>
        <v>1622B008391</v>
      </c>
      <c r="U286" s="130" t="s">
        <v>2301</v>
      </c>
    </row>
    <row r="287" ht="27.75" customHeight="1">
      <c r="A287" s="80">
        <f t="shared" si="13"/>
        <v>10</v>
      </c>
      <c r="B287" s="115" t="s">
        <v>171</v>
      </c>
      <c r="C287" s="113" t="str">
        <f>IFERROR(VLOOKUP(B287,'02. MM-KLH'!$B$6:$T$823,2,0),"")</f>
        <v> </v>
      </c>
      <c r="D287" s="95" t="str">
        <f>IFERROR(VLOOKUP(B287,'02. MM-KLH'!$B$6:$T$823,3,0),"")</f>
        <v>A23-XTA-026</v>
      </c>
      <c r="E287" s="86" t="str">
        <f>IFERROR(VLOOKUP(B287,'02. MM-KLH'!$B$6:$T$823,4,0),"")</f>
        <v>3A-6821</v>
      </c>
      <c r="F287" s="115"/>
      <c r="G287" s="86" t="str">
        <f>IFERROR(VLOOKUP(B287,'02. MM-KLH'!$B$6:$T$823,6,0),"")</f>
        <v>Xe ben HOWO TXD600</v>
      </c>
      <c r="H287" s="80" t="s">
        <v>4525</v>
      </c>
      <c r="I287" s="80" t="str">
        <f>IFERROR(VLOOKUP(B287,'02. MM-KLH'!$B$6:$T$823,8,0),"")</f>
        <v>CGTC DP</v>
      </c>
      <c r="J287" s="99">
        <f>IFERROR(VLOOKUP(B287,'02. MM-KLH'!$B$6:$T$823,9,0),"")</f>
        <v>45749</v>
      </c>
      <c r="K287" s="80" t="str">
        <f>IFERROR(VLOOKUP(B287,'02. MM-KLH'!$B$6:$T$823,10,0),"")</f>
        <v>Bình thường</v>
      </c>
      <c r="L287" s="102" t="str">
        <f>IFERROR(VLOOKUP(B287,'02. MM-KLH'!$B$6:$T$823,11,0),"")</f>
        <v/>
      </c>
      <c r="M287" s="143" t="str">
        <f>IFERROR(VLOOKUP(B287,'02. MM-KLH'!$B$6:$T$823,12,0),"")</f>
        <v>- Chuyển ra CGTC AD mượn
Đầu tư mới </v>
      </c>
      <c r="N287" s="108" t="str">
        <f>IFERROR(VLOOKUP(B287,'02. MM-KLH'!$B$6:$T$823,13,0),"")</f>
        <v>HOWO</v>
      </c>
      <c r="O287" s="108" t="str">
        <f>IFERROR(VLOOKUP(B287,'02. MM-KLH'!$B$6:$T$823,14,0),"")</f>
        <v>VIỆT NAM</v>
      </c>
      <c r="P287" s="80">
        <f>IFERROR(VLOOKUP(B287,'02. MM-KLH'!$B$6:$T$823,15,0),"")</f>
        <v>2022</v>
      </c>
      <c r="Q287" s="80" t="str">
        <f>IFERROR(VLOOKUP(B287,'02. MM-KLH'!$B$6:$T$823,16,0),"")</f>
        <v>HOWO TX D600</v>
      </c>
      <c r="R287" s="106" t="str">
        <f>IFERROR(VLOOKUP(B287,'02. MM-KLH'!$B$6:$T$823,17,0),"")</f>
        <v>380HP</v>
      </c>
      <c r="S287" s="108" t="str">
        <f>IFERROR(VLOOKUP(B287,'02. MM-KLH'!$B$6:$T$823,18,0),"")</f>
        <v>RNHD24CWANT057810</v>
      </c>
      <c r="T287" s="110" t="str">
        <f>IFERROR(VLOOKUP(B287,'02. MM-KLH'!$B$6:$T$823,19,0),"")</f>
        <v>1622B008389</v>
      </c>
      <c r="U287" s="130" t="s">
        <v>2301</v>
      </c>
    </row>
    <row r="288" ht="26.25" customHeight="1">
      <c r="A288" s="80">
        <f t="shared" si="13"/>
        <v>11</v>
      </c>
      <c r="B288" s="115" t="s">
        <v>631</v>
      </c>
      <c r="C288" s="113" t="str">
        <f>IFERROR(VLOOKUP(B288,'02. MM-KLH'!$B$6:$T$823,2,0),"")</f>
        <v>MỚI</v>
      </c>
      <c r="D288" s="95" t="str">
        <f>IFERROR(VLOOKUP(B288,'02. MM-KLH'!$B$6:$T$823,3,0),"")</f>
        <v>A24-XTA-020</v>
      </c>
      <c r="E288" s="86" t="str">
        <f>IFERROR(VLOOKUP(B288,'02. MM-KLH'!$B$6:$T$823,4,0),"")</f>
        <v>3A-6814</v>
      </c>
      <c r="F288" s="115"/>
      <c r="G288" s="86" t="str">
        <f>IFERROR(VLOOKUP(B288,'02. MM-KLH'!$B$6:$T$823,6,0),"")</f>
        <v>Xe ben HOWO TXD600</v>
      </c>
      <c r="H288" s="80" t="s">
        <v>4525</v>
      </c>
      <c r="I288" s="80" t="str">
        <f>IFERROR(VLOOKUP(B288,'02. MM-KLH'!$B$6:$T$823,8,0),"")</f>
        <v>CGTC AD</v>
      </c>
      <c r="J288" s="99">
        <f>IFERROR(VLOOKUP(B288,'02. MM-KLH'!$B$6:$T$823,9,0),"")</f>
        <v>45749</v>
      </c>
      <c r="K288" s="80" t="str">
        <f>IFERROR(VLOOKUP(B288,'02. MM-KLH'!$B$6:$T$823,10,0),"")</f>
        <v>Bình thường</v>
      </c>
      <c r="L288" s="102" t="str">
        <f>IFERROR(VLOOKUP(B288,'02. MM-KLH'!$B$6:$T$823,11,0),"")</f>
        <v/>
      </c>
      <c r="M288" s="143" t="str">
        <f>IFERROR(VLOOKUP(B288,'02. MM-KLH'!$B$6:$T$823,12,0),"")</f>
        <v>- CGTC Lp đchuyển adm
Đầu tư mới</v>
      </c>
      <c r="N288" s="108" t="str">
        <f>IFERROR(VLOOKUP(B288,'02. MM-KLH'!$B$6:$T$823,13,0),"")</f>
        <v>HOWO</v>
      </c>
      <c r="O288" s="108" t="str">
        <f>IFERROR(VLOOKUP(B288,'02. MM-KLH'!$B$6:$T$823,14,0),"")</f>
        <v>VIỆT NAM</v>
      </c>
      <c r="P288" s="80">
        <f>IFERROR(VLOOKUP(B288,'02. MM-KLH'!$B$6:$T$823,15,0),"")</f>
        <v>2022</v>
      </c>
      <c r="Q288" s="80" t="str">
        <f>IFERROR(VLOOKUP(B288,'02. MM-KLH'!$B$6:$T$823,16,0),"")</f>
        <v>HOWO TX D600</v>
      </c>
      <c r="R288" s="106" t="str">
        <f>IFERROR(VLOOKUP(B288,'02. MM-KLH'!$B$6:$T$823,17,0),"")</f>
        <v>380HP</v>
      </c>
      <c r="S288" s="108" t="str">
        <f>IFERROR(VLOOKUP(B288,'02. MM-KLH'!$B$6:$T$823,18,0),"")</f>
        <v>RNHD24CWANT063481</v>
      </c>
      <c r="T288" s="110" t="str">
        <f>IFERROR(VLOOKUP(B288,'02. MM-KLH'!$B$6:$T$823,19,0),"")</f>
        <v>1622D017402</v>
      </c>
      <c r="U288" s="130" t="s">
        <v>2301</v>
      </c>
    </row>
    <row r="289" ht="13.5" customHeight="1">
      <c r="A289" s="80">
        <f t="shared" si="13"/>
        <v>12</v>
      </c>
      <c r="B289" s="115" t="s">
        <v>427</v>
      </c>
      <c r="C289" s="113" t="str">
        <f>IFERROR(VLOOKUP(B289,'02. MM-KLH'!$B$6:$T$823,2,0),"")</f>
        <v>MỚI</v>
      </c>
      <c r="D289" s="95" t="str">
        <f>IFERROR(VLOOKUP(B289,'02. MM-KLH'!$B$6:$T$823,3,0),"")</f>
        <v>A24-XTA-021</v>
      </c>
      <c r="E289" s="86" t="str">
        <f>IFERROR(VLOOKUP(B289,'02. MM-KLH'!$B$6:$T$823,4,0),"")</f>
        <v>3A-6808</v>
      </c>
      <c r="F289" s="115"/>
      <c r="G289" s="86" t="str">
        <f>IFERROR(VLOOKUP(B289,'02. MM-KLH'!$B$6:$T$823,6,0),"")</f>
        <v>Xe ben HOWO TXD600</v>
      </c>
      <c r="H289" s="80" t="s">
        <v>4525</v>
      </c>
      <c r="I289" s="80" t="str">
        <f>IFERROR(VLOOKUP(B289,'02. MM-KLH'!$B$6:$T$823,8,0),"")</f>
        <v>CGTC LP</v>
      </c>
      <c r="J289" s="99">
        <f>IFERROR(VLOOKUP(B289,'02. MM-KLH'!$B$6:$T$823,9,0),"")</f>
        <v>45749</v>
      </c>
      <c r="K289" s="80" t="str">
        <f>IFERROR(VLOOKUP(B289,'02. MM-KLH'!$B$6:$T$823,10,0),"")</f>
        <v>Bình thường</v>
      </c>
      <c r="L289" s="102" t="str">
        <f>IFERROR(VLOOKUP(B289,'02. MM-KLH'!$B$6:$T$823,11,0),"")</f>
        <v/>
      </c>
      <c r="M289" s="143" t="str">
        <f>IFERROR(VLOOKUP(B289,'02. MM-KLH'!$B$6:$T$823,12,0),"")</f>
        <v>Đầu tư mới</v>
      </c>
      <c r="N289" s="108" t="str">
        <f>IFERROR(VLOOKUP(B289,'02. MM-KLH'!$B$6:$T$823,13,0),"")</f>
        <v>HOWO</v>
      </c>
      <c r="O289" s="108" t="str">
        <f>IFERROR(VLOOKUP(B289,'02. MM-KLH'!$B$6:$T$823,14,0),"")</f>
        <v>VIỆT NAM</v>
      </c>
      <c r="P289" s="80">
        <f>IFERROR(VLOOKUP(B289,'02. MM-KLH'!$B$6:$T$823,15,0),"")</f>
        <v>2022</v>
      </c>
      <c r="Q289" s="80" t="str">
        <f>IFERROR(VLOOKUP(B289,'02. MM-KLH'!$B$6:$T$823,16,0),"")</f>
        <v>HOWO TX D600</v>
      </c>
      <c r="R289" s="106" t="str">
        <f>IFERROR(VLOOKUP(B289,'02. MM-KLH'!$B$6:$T$823,17,0),"")</f>
        <v>380HP</v>
      </c>
      <c r="S289" s="108" t="str">
        <f>IFERROR(VLOOKUP(B289,'02. MM-KLH'!$B$6:$T$823,18,0),"")</f>
        <v>RNHD24CWANT063483</v>
      </c>
      <c r="T289" s="110" t="str">
        <f>IFERROR(VLOOKUP(B289,'02. MM-KLH'!$B$6:$T$823,19,0),"")</f>
        <v>1622D017391</v>
      </c>
      <c r="U289" s="130" t="s">
        <v>2301</v>
      </c>
    </row>
    <row r="290" ht="13.5" customHeight="1">
      <c r="A290" s="80">
        <f t="shared" si="13"/>
        <v>13</v>
      </c>
      <c r="B290" s="115" t="s">
        <v>432</v>
      </c>
      <c r="C290" s="113" t="str">
        <f>IFERROR(VLOOKUP(B290,'02. MM-KLH'!$B$6:$T$823,2,0),"")</f>
        <v>MỚI</v>
      </c>
      <c r="D290" s="95" t="str">
        <f>IFERROR(VLOOKUP(B290,'02. MM-KLH'!$B$6:$T$823,3,0),"")</f>
        <v>A24-XTA-022</v>
      </c>
      <c r="E290" s="86" t="str">
        <f>IFERROR(VLOOKUP(B290,'02. MM-KLH'!$B$6:$T$823,4,0),"")</f>
        <v>3A-6809</v>
      </c>
      <c r="F290" s="115"/>
      <c r="G290" s="86" t="str">
        <f>IFERROR(VLOOKUP(B290,'02. MM-KLH'!$B$6:$T$823,6,0),"")</f>
        <v>Xe ben HOWO TXD600</v>
      </c>
      <c r="H290" s="80" t="s">
        <v>4525</v>
      </c>
      <c r="I290" s="80" t="str">
        <f>IFERROR(VLOOKUP(B290,'02. MM-KLH'!$B$6:$T$823,8,0),"")</f>
        <v>CGTC LP</v>
      </c>
      <c r="J290" s="99">
        <f>IFERROR(VLOOKUP(B290,'02. MM-KLH'!$B$6:$T$823,9,0),"")</f>
        <v>45749</v>
      </c>
      <c r="K290" s="80" t="str">
        <f>IFERROR(VLOOKUP(B290,'02. MM-KLH'!$B$6:$T$823,10,0),"")</f>
        <v>Bình thường</v>
      </c>
      <c r="L290" s="102" t="str">
        <f>IFERROR(VLOOKUP(B290,'02. MM-KLH'!$B$6:$T$823,11,0),"")</f>
        <v/>
      </c>
      <c r="M290" s="143" t="str">
        <f>IFERROR(VLOOKUP(B290,'02. MM-KLH'!$B$6:$T$823,12,0),"")</f>
        <v>Đầu tư mới</v>
      </c>
      <c r="N290" s="108" t="str">
        <f>IFERROR(VLOOKUP(B290,'02. MM-KLH'!$B$6:$T$823,13,0),"")</f>
        <v>HOWO</v>
      </c>
      <c r="O290" s="108" t="str">
        <f>IFERROR(VLOOKUP(B290,'02. MM-KLH'!$B$6:$T$823,14,0),"")</f>
        <v>VIỆT NAM</v>
      </c>
      <c r="P290" s="80">
        <f>IFERROR(VLOOKUP(B290,'02. MM-KLH'!$B$6:$T$823,15,0),"")</f>
        <v>2022</v>
      </c>
      <c r="Q290" s="80" t="str">
        <f>IFERROR(VLOOKUP(B290,'02. MM-KLH'!$B$6:$T$823,16,0),"")</f>
        <v>HOWO TX D600</v>
      </c>
      <c r="R290" s="106" t="str">
        <f>IFERROR(VLOOKUP(B290,'02. MM-KLH'!$B$6:$T$823,17,0),"")</f>
        <v>380HP</v>
      </c>
      <c r="S290" s="108" t="str">
        <f>IFERROR(VLOOKUP(B290,'02. MM-KLH'!$B$6:$T$823,18,0),"")</f>
        <v>RNHD24CWANT063484</v>
      </c>
      <c r="T290" s="110" t="str">
        <f>IFERROR(VLOOKUP(B290,'02. MM-KLH'!$B$6:$T$823,19,0),"")</f>
        <v>1622D017399</v>
      </c>
      <c r="U290" s="130" t="s">
        <v>2301</v>
      </c>
    </row>
    <row r="291" ht="13.5" customHeight="1">
      <c r="A291" s="80">
        <f t="shared" si="13"/>
        <v>14</v>
      </c>
      <c r="B291" s="134" t="s">
        <v>178</v>
      </c>
      <c r="C291" s="113" t="str">
        <f>IFERROR(VLOOKUP(B291,'02. MM-KLH'!$B$6:$T$823,2,0),"")</f>
        <v>MỚI</v>
      </c>
      <c r="D291" s="95" t="str">
        <f>IFERROR(VLOOKUP(B291,'02. MM-KLH'!$B$6:$T$823,3,0),"")</f>
        <v>A23-XTA-036</v>
      </c>
      <c r="E291" s="86" t="str">
        <f>IFERROR(VLOOKUP(B291,'02. MM-KLH'!$B$6:$T$823,4,0),"")</f>
        <v>3A-6818</v>
      </c>
      <c r="F291" s="134"/>
      <c r="G291" s="86" t="str">
        <f>IFERROR(VLOOKUP(B291,'02. MM-KLH'!$B$6:$T$823,6,0),"")</f>
        <v>Xe ben HOWO TXD600</v>
      </c>
      <c r="H291" s="80" t="s">
        <v>4525</v>
      </c>
      <c r="I291" s="80" t="str">
        <f>IFERROR(VLOOKUP(B291,'02. MM-KLH'!$B$6:$T$823,8,0),"")</f>
        <v>CGTC DP</v>
      </c>
      <c r="J291" s="99">
        <f>IFERROR(VLOOKUP(B291,'02. MM-KLH'!$B$6:$T$823,9,0),"")</f>
        <v>45661</v>
      </c>
      <c r="K291" s="80" t="str">
        <f>IFERROR(VLOOKUP(B291,'02. MM-KLH'!$B$6:$T$823,10,0),"")</f>
        <v>Bình thường</v>
      </c>
      <c r="L291" s="102" t="str">
        <f>IFERROR(VLOOKUP(B291,'02. MM-KLH'!$B$6:$T$823,11,0),"")</f>
        <v/>
      </c>
      <c r="M291" s="143" t="str">
        <f>IFERROR(VLOOKUP(B291,'02. MM-KLH'!$B$6:$T$823,12,0),"")</f>
        <v>Đầu tư mới </v>
      </c>
      <c r="N291" s="108" t="str">
        <f>IFERROR(VLOOKUP(B291,'02. MM-KLH'!$B$6:$T$823,13,0),"")</f>
        <v>HOWO</v>
      </c>
      <c r="O291" s="108" t="str">
        <f>IFERROR(VLOOKUP(B291,'02. MM-KLH'!$B$6:$T$823,14,0),"")</f>
        <v>VIỆT NAM</v>
      </c>
      <c r="P291" s="80">
        <f>IFERROR(VLOOKUP(B291,'02. MM-KLH'!$B$6:$T$823,15,0),"")</f>
        <v>2022</v>
      </c>
      <c r="Q291" s="80" t="str">
        <f>IFERROR(VLOOKUP(B291,'02. MM-KLH'!$B$6:$T$823,16,0),"")</f>
        <v>HOWO TX D600</v>
      </c>
      <c r="R291" s="106" t="str">
        <f>IFERROR(VLOOKUP(B291,'02. MM-KLH'!$B$6:$T$823,17,0),"")</f>
        <v>380HP</v>
      </c>
      <c r="S291" s="108" t="str">
        <f>IFERROR(VLOOKUP(B291,'02. MM-KLH'!$B$6:$T$823,18,0),"")</f>
        <v>RNHD24CWART000069</v>
      </c>
      <c r="T291" s="110" t="str">
        <f>IFERROR(VLOOKUP(B291,'02. MM-KLH'!$B$6:$T$823,19,0),"")</f>
        <v>1622F024360</v>
      </c>
      <c r="U291" s="130" t="s">
        <v>2301</v>
      </c>
    </row>
    <row r="292" ht="13.5" customHeight="1">
      <c r="A292" s="80">
        <f t="shared" si="13"/>
        <v>15</v>
      </c>
      <c r="B292" s="134" t="s">
        <v>620</v>
      </c>
      <c r="C292" s="113" t="str">
        <f>IFERROR(VLOOKUP(B292,'02. MM-KLH'!$B$6:$T$823,2,0),"")</f>
        <v>MỚI</v>
      </c>
      <c r="D292" s="95" t="str">
        <f>IFERROR(VLOOKUP(B292,'02. MM-KLH'!$B$6:$T$823,3,0),"")</f>
        <v>A23-XTA-034</v>
      </c>
      <c r="E292" s="86" t="str">
        <f>IFERROR(VLOOKUP(B292,'02. MM-KLH'!$B$6:$T$823,4,0),"")</f>
        <v>3A-6823</v>
      </c>
      <c r="F292" s="134"/>
      <c r="G292" s="86" t="str">
        <f>IFERROR(VLOOKUP(B292,'02. MM-KLH'!$B$6:$T$823,6,0),"")</f>
        <v>Xe ben HOWO TXD600</v>
      </c>
      <c r="H292" s="80" t="s">
        <v>4525</v>
      </c>
      <c r="I292" s="80" t="str">
        <f>IFERROR(VLOOKUP(B292,'02. MM-KLH'!$B$6:$T$823,8,0),"")</f>
        <v>CGTC AD</v>
      </c>
      <c r="J292" s="99">
        <f>IFERROR(VLOOKUP(B292,'02. MM-KLH'!$B$6:$T$823,9,0),"")</f>
        <v>45661</v>
      </c>
      <c r="K292" s="80" t="str">
        <f>IFERROR(VLOOKUP(B292,'02. MM-KLH'!$B$6:$T$823,10,0),"")</f>
        <v>Bình thường</v>
      </c>
      <c r="L292" s="102" t="str">
        <f>IFERROR(VLOOKUP(B292,'02. MM-KLH'!$B$6:$T$823,11,0),"")</f>
        <v/>
      </c>
      <c r="M292" s="143" t="str">
        <f>IFERROR(VLOOKUP(B292,'02. MM-KLH'!$B$6:$T$823,12,0),"")</f>
        <v>Đầu tư mới (xe thuộc tài sản DP)</v>
      </c>
      <c r="N292" s="108" t="str">
        <f>IFERROR(VLOOKUP(B292,'02. MM-KLH'!$B$6:$T$823,13,0),"")</f>
        <v>HOWO</v>
      </c>
      <c r="O292" s="108" t="str">
        <f>IFERROR(VLOOKUP(B292,'02. MM-KLH'!$B$6:$T$823,14,0),"")</f>
        <v>VIỆT NAM</v>
      </c>
      <c r="P292" s="80">
        <f>IFERROR(VLOOKUP(B292,'02. MM-KLH'!$B$6:$T$823,15,0),"")</f>
        <v>2022</v>
      </c>
      <c r="Q292" s="80" t="str">
        <f>IFERROR(VLOOKUP(B292,'02. MM-KLH'!$B$6:$T$823,16,0),"")</f>
        <v>HOWO TX D600</v>
      </c>
      <c r="R292" s="106" t="str">
        <f>IFERROR(VLOOKUP(B292,'02. MM-KLH'!$B$6:$T$823,17,0),"")</f>
        <v>380HP</v>
      </c>
      <c r="S292" s="108" t="str">
        <f>IFERROR(VLOOKUP(B292,'02. MM-KLH'!$B$6:$T$823,18,0),"")</f>
        <v>RNHD24CWART000063</v>
      </c>
      <c r="T292" s="110" t="str">
        <f>IFERROR(VLOOKUP(B292,'02. MM-KLH'!$B$6:$T$823,19,0),"")</f>
        <v>1622F024356</v>
      </c>
      <c r="U292" s="130" t="s">
        <v>2301</v>
      </c>
    </row>
    <row r="293" ht="13.5" customHeight="1">
      <c r="A293" s="80">
        <f t="shared" si="13"/>
        <v>16</v>
      </c>
      <c r="B293" s="134" t="s">
        <v>626</v>
      </c>
      <c r="C293" s="113" t="str">
        <f>IFERROR(VLOOKUP(B293,'02. MM-KLH'!$B$6:$T$823,2,0),"")</f>
        <v>MỚI</v>
      </c>
      <c r="D293" s="95" t="str">
        <f>IFERROR(VLOOKUP(B293,'02. MM-KLH'!$B$6:$T$823,3,0),"")</f>
        <v>A23-XTA-035</v>
      </c>
      <c r="E293" s="86" t="str">
        <f>IFERROR(VLOOKUP(B293,'02. MM-KLH'!$B$6:$T$823,4,0),"")</f>
        <v>3A-6822</v>
      </c>
      <c r="F293" s="134"/>
      <c r="G293" s="86" t="str">
        <f>IFERROR(VLOOKUP(B293,'02. MM-KLH'!$B$6:$T$823,6,0),"")</f>
        <v>Xe ben HOWO TXD600</v>
      </c>
      <c r="H293" s="80" t="s">
        <v>4525</v>
      </c>
      <c r="I293" s="80" t="str">
        <f>IFERROR(VLOOKUP(B293,'02. MM-KLH'!$B$6:$T$823,8,0),"")</f>
        <v>CGTC AD</v>
      </c>
      <c r="J293" s="99">
        <f>IFERROR(VLOOKUP(B293,'02. MM-KLH'!$B$6:$T$823,9,0),"")</f>
        <v>45661</v>
      </c>
      <c r="K293" s="80" t="str">
        <f>IFERROR(VLOOKUP(B293,'02. MM-KLH'!$B$6:$T$823,10,0),"")</f>
        <v>Bình thường</v>
      </c>
      <c r="L293" s="102" t="str">
        <f>IFERROR(VLOOKUP(B293,'02. MM-KLH'!$B$6:$T$823,11,0),"")</f>
        <v/>
      </c>
      <c r="M293" s="143" t="str">
        <f>IFERROR(VLOOKUP(B293,'02. MM-KLH'!$B$6:$T$823,12,0),"")</f>
        <v>Đầu tư mới (xe thuộc tài sản DP)</v>
      </c>
      <c r="N293" s="108" t="str">
        <f>IFERROR(VLOOKUP(B293,'02. MM-KLH'!$B$6:$T$823,13,0),"")</f>
        <v>HOWO</v>
      </c>
      <c r="O293" s="108" t="str">
        <f>IFERROR(VLOOKUP(B293,'02. MM-KLH'!$B$6:$T$823,14,0),"")</f>
        <v>VIỆT NAM</v>
      </c>
      <c r="P293" s="80">
        <f>IFERROR(VLOOKUP(B293,'02. MM-KLH'!$B$6:$T$823,15,0),"")</f>
        <v>2022</v>
      </c>
      <c r="Q293" s="80" t="str">
        <f>IFERROR(VLOOKUP(B293,'02. MM-KLH'!$B$6:$T$823,16,0),"")</f>
        <v>HOWO TX D600</v>
      </c>
      <c r="R293" s="106" t="str">
        <f>IFERROR(VLOOKUP(B293,'02. MM-KLH'!$B$6:$T$823,17,0),"")</f>
        <v>380HP</v>
      </c>
      <c r="S293" s="108" t="str">
        <f>IFERROR(VLOOKUP(B293,'02. MM-KLH'!$B$6:$T$823,18,0),"")</f>
        <v>RNHD24CWART000064</v>
      </c>
      <c r="T293" s="110" t="str">
        <f>IFERROR(VLOOKUP(B293,'02. MM-KLH'!$B$6:$T$823,19,0),"")</f>
        <v>1622F024357</v>
      </c>
      <c r="U293" s="130" t="s">
        <v>2301</v>
      </c>
    </row>
    <row r="294" ht="13.5" customHeight="1">
      <c r="A294" s="80">
        <f t="shared" si="13"/>
        <v>17</v>
      </c>
      <c r="B294" s="134" t="s">
        <v>357</v>
      </c>
      <c r="C294" s="113" t="str">
        <f>IFERROR(VLOOKUP(B294,'02. MM-KLH'!$B$6:$T$823,2,0),"")</f>
        <v>MỚI</v>
      </c>
      <c r="D294" s="95" t="str">
        <f>IFERROR(VLOOKUP(B294,'02. MM-KLH'!$B$6:$T$823,3,0),"")</f>
        <v>A23-XTA-045</v>
      </c>
      <c r="E294" s="86" t="str">
        <f>IFERROR(VLOOKUP(B294,'02. MM-KLH'!$B$6:$T$823,4,0),"")</f>
        <v>3A-6829</v>
      </c>
      <c r="F294" s="134"/>
      <c r="G294" s="86" t="str">
        <f>IFERROR(VLOOKUP(B294,'02. MM-KLH'!$B$6:$T$823,6,0),"")</f>
        <v>Xe ben HOWO TXD600</v>
      </c>
      <c r="H294" s="80" t="s">
        <v>4525</v>
      </c>
      <c r="I294" s="80" t="str">
        <f>IFERROR(VLOOKUP(B294,'02. MM-KLH'!$B$6:$T$823,8,0),"")</f>
        <v>CGTC DP</v>
      </c>
      <c r="J294" s="99">
        <f>IFERROR(VLOOKUP(B294,'02. MM-KLH'!$B$6:$T$823,9,0),"")</f>
        <v>45997</v>
      </c>
      <c r="K294" s="80" t="str">
        <f>IFERROR(VLOOKUP(B294,'02. MM-KLH'!$B$6:$T$823,10,0),"")</f>
        <v>Bình thường</v>
      </c>
      <c r="L294" s="102" t="str">
        <f>IFERROR(VLOOKUP(B294,'02. MM-KLH'!$B$6:$T$823,11,0),"")</f>
        <v/>
      </c>
      <c r="M294" s="143" t="str">
        <f>IFERROR(VLOOKUP(B294,'02. MM-KLH'!$B$6:$T$823,12,0),"")</f>
        <v>Đầu tư mới</v>
      </c>
      <c r="N294" s="108" t="str">
        <f>IFERROR(VLOOKUP(B294,'02. MM-KLH'!$B$6:$T$823,13,0),"")</f>
        <v>HOWO</v>
      </c>
      <c r="O294" s="108" t="str">
        <f>IFERROR(VLOOKUP(B294,'02. MM-KLH'!$B$6:$T$823,14,0),"")</f>
        <v>VIỆT NAM</v>
      </c>
      <c r="P294" s="80">
        <f>IFERROR(VLOOKUP(B294,'02. MM-KLH'!$B$6:$T$823,15,0),"")</f>
        <v>2022</v>
      </c>
      <c r="Q294" s="80" t="str">
        <f>IFERROR(VLOOKUP(B294,'02. MM-KLH'!$B$6:$T$823,16,0),"")</f>
        <v>HOWO TX D600</v>
      </c>
      <c r="R294" s="106" t="str">
        <f>IFERROR(VLOOKUP(B294,'02. MM-KLH'!$B$6:$T$823,17,0),"")</f>
        <v>380HP</v>
      </c>
      <c r="S294" s="108" t="str">
        <f>IFERROR(VLOOKUP(B294,'02. MM-KLH'!$B$6:$T$823,18,0),"")</f>
        <v>RNHD24CWART00061</v>
      </c>
      <c r="T294" s="110" t="str">
        <f>IFERROR(VLOOKUP(B294,'02. MM-KLH'!$B$6:$T$823,19,0),"")</f>
        <v>WP10380E53*1622F024366*</v>
      </c>
      <c r="U294" s="130" t="s">
        <v>2301</v>
      </c>
    </row>
    <row r="295" ht="13.5" customHeight="1">
      <c r="A295" s="80">
        <f t="shared" si="13"/>
        <v>18</v>
      </c>
      <c r="B295" s="134" t="s">
        <v>363</v>
      </c>
      <c r="C295" s="113" t="str">
        <f>IFERROR(VLOOKUP(B295,'02. MM-KLH'!$B$6:$T$823,2,0),"")</f>
        <v>MỚI</v>
      </c>
      <c r="D295" s="95" t="str">
        <f>IFERROR(VLOOKUP(B295,'02. MM-KLH'!$B$6:$T$823,3,0),"")</f>
        <v>A23-XTA-046</v>
      </c>
      <c r="E295" s="86" t="str">
        <f>IFERROR(VLOOKUP(B295,'02. MM-KLH'!$B$6:$T$823,4,0),"")</f>
        <v>3A-6819</v>
      </c>
      <c r="F295" s="134"/>
      <c r="G295" s="86" t="str">
        <f>IFERROR(VLOOKUP(B295,'02. MM-KLH'!$B$6:$T$823,6,0),"")</f>
        <v>Xe ben HOWO TXD600</v>
      </c>
      <c r="H295" s="80" t="s">
        <v>4525</v>
      </c>
      <c r="I295" s="80" t="str">
        <f>IFERROR(VLOOKUP(B295,'02. MM-KLH'!$B$6:$T$823,8,0),"")</f>
        <v>CGTC DP</v>
      </c>
      <c r="J295" s="99">
        <f>IFERROR(VLOOKUP(B295,'02. MM-KLH'!$B$6:$T$823,9,0),"")</f>
        <v>45997</v>
      </c>
      <c r="K295" s="80" t="str">
        <f>IFERROR(VLOOKUP(B295,'02. MM-KLH'!$B$6:$T$823,10,0),"")</f>
        <v>Bình thường</v>
      </c>
      <c r="L295" s="102" t="str">
        <f>IFERROR(VLOOKUP(B295,'02. MM-KLH'!$B$6:$T$823,11,0),"")</f>
        <v/>
      </c>
      <c r="M295" s="143" t="str">
        <f>IFERROR(VLOOKUP(B295,'02. MM-KLH'!$B$6:$T$823,12,0),"")</f>
        <v>Đầu tư mới</v>
      </c>
      <c r="N295" s="108" t="str">
        <f>IFERROR(VLOOKUP(B295,'02. MM-KLH'!$B$6:$T$823,13,0),"")</f>
        <v>HOWO</v>
      </c>
      <c r="O295" s="108" t="str">
        <f>IFERROR(VLOOKUP(B295,'02. MM-KLH'!$B$6:$T$823,14,0),"")</f>
        <v>VIỆT NAM</v>
      </c>
      <c r="P295" s="80">
        <f>IFERROR(VLOOKUP(B295,'02. MM-KLH'!$B$6:$T$823,15,0),"")</f>
        <v>2022</v>
      </c>
      <c r="Q295" s="80" t="str">
        <f>IFERROR(VLOOKUP(B295,'02. MM-KLH'!$B$6:$T$823,16,0),"")</f>
        <v>HOWO TX D600</v>
      </c>
      <c r="R295" s="106" t="str">
        <f>IFERROR(VLOOKUP(B295,'02. MM-KLH'!$B$6:$T$823,17,0),"")</f>
        <v>380HP</v>
      </c>
      <c r="S295" s="108" t="str">
        <f>IFERROR(VLOOKUP(B295,'02. MM-KLH'!$B$6:$T$823,18,0),"")</f>
        <v>RNHD24CWART00062</v>
      </c>
      <c r="T295" s="110" t="str">
        <f>IFERROR(VLOOKUP(B295,'02. MM-KLH'!$B$6:$T$823,19,0),"")</f>
        <v>WP10380E53*1622F024350*</v>
      </c>
      <c r="U295" s="130" t="s">
        <v>2301</v>
      </c>
    </row>
    <row r="296" ht="13.5" customHeight="1">
      <c r="A296" s="80">
        <f t="shared" si="13"/>
        <v>19</v>
      </c>
      <c r="B296" s="134" t="s">
        <v>294</v>
      </c>
      <c r="C296" s="113" t="str">
        <f>IFERROR(VLOOKUP(B296,'02. MM-KLH'!$B$6:$T$823,2,0),"")</f>
        <v>MỚI</v>
      </c>
      <c r="D296" s="95" t="str">
        <f>IFERROR(VLOOKUP(B296,'02. MM-KLH'!$B$6:$T$823,3,0),"")</f>
        <v>A23-XTA-030</v>
      </c>
      <c r="E296" s="86" t="str">
        <f>IFERROR(VLOOKUP(B296,'02. MM-KLH'!$B$6:$T$823,4,0),"")</f>
        <v>3A-6816</v>
      </c>
      <c r="F296" s="134"/>
      <c r="G296" s="86" t="str">
        <f>IFERROR(VLOOKUP(B296,'02. MM-KLH'!$B$6:$T$823,6,0),"")</f>
        <v>Xe ben FD150</v>
      </c>
      <c r="H296" s="80" t="s">
        <v>4525</v>
      </c>
      <c r="I296" s="80" t="str">
        <f>IFERROR(VLOOKUP(B296,'02. MM-KLH'!$B$6:$T$823,8,0),"")</f>
        <v>CGTC DP</v>
      </c>
      <c r="J296" s="99">
        <f>IFERROR(VLOOKUP(B296,'02. MM-KLH'!$B$6:$T$823,9,0),"")</f>
        <v>45841</v>
      </c>
      <c r="K296" s="80" t="str">
        <f>IFERROR(VLOOKUP(B296,'02. MM-KLH'!$B$6:$T$823,10,0),"")</f>
        <v>Bình thường</v>
      </c>
      <c r="L296" s="102" t="str">
        <f>IFERROR(VLOOKUP(B296,'02. MM-KLH'!$B$6:$T$823,11,0),"")</f>
        <v/>
      </c>
      <c r="M296" s="143" t="str">
        <f>IFERROR(VLOOKUP(B296,'02. MM-KLH'!$B$6:$T$823,12,0),"")</f>
        <v>Bàn giao về XDCB ngày 07/03/2025</v>
      </c>
      <c r="N296" s="108" t="str">
        <f>IFERROR(VLOOKUP(B296,'02. MM-KLH'!$B$6:$T$823,13,0),"")</f>
        <v>THACO FORLAND</v>
      </c>
      <c r="O296" s="108" t="str">
        <f>IFERROR(VLOOKUP(B296,'02. MM-KLH'!$B$6:$T$823,14,0),"")</f>
        <v>VIỆT NAM</v>
      </c>
      <c r="P296" s="80">
        <f>IFERROR(VLOOKUP(B296,'02. MM-KLH'!$B$6:$T$823,15,0),"")</f>
        <v>2024</v>
      </c>
      <c r="Q296" s="80" t="str">
        <f>IFERROR(VLOOKUP(B296,'02. MM-KLH'!$B$6:$T$823,16,0),"")</f>
        <v>FD150-4WD </v>
      </c>
      <c r="R296" s="106" t="str">
        <f>IFERROR(VLOOKUP(B296,'02. MM-KLH'!$B$6:$T$823,17,0),"")</f>
        <v>150HP</v>
      </c>
      <c r="S296" s="108" t="str">
        <f>IFERROR(VLOOKUP(B296,'02. MM-KLH'!$B$6:$T$823,18,0),"")</f>
        <v>RNHF16FYART000834</v>
      </c>
      <c r="T296" s="110" t="str">
        <f>IFERROR(VLOOKUP(B296,'02. MM-KLH'!$B$6:$T$823,19,0),"")</f>
        <v>D59M1N01254</v>
      </c>
      <c r="U296" s="130" t="s">
        <v>2301</v>
      </c>
    </row>
    <row r="297" ht="13.5" customHeight="1">
      <c r="A297" s="80">
        <f t="shared" si="13"/>
        <v>20</v>
      </c>
      <c r="B297" s="134" t="s">
        <v>304</v>
      </c>
      <c r="C297" s="113" t="str">
        <f>IFERROR(VLOOKUP(B297,'02. MM-KLH'!$B$6:$T$823,2,0),"")</f>
        <v>MỚI</v>
      </c>
      <c r="D297" s="95" t="str">
        <f>IFERROR(VLOOKUP(B297,'02. MM-KLH'!$B$6:$T$823,3,0),"")</f>
        <v>A23-XTA-031</v>
      </c>
      <c r="E297" s="86" t="str">
        <f>IFERROR(VLOOKUP(B297,'02. MM-KLH'!$B$6:$T$823,4,0),"")</f>
        <v>3A-6817</v>
      </c>
      <c r="F297" s="134"/>
      <c r="G297" s="86" t="str">
        <f>IFERROR(VLOOKUP(B297,'02. MM-KLH'!$B$6:$T$823,6,0),"")</f>
        <v>Xe ben FD150</v>
      </c>
      <c r="H297" s="80" t="s">
        <v>4525</v>
      </c>
      <c r="I297" s="80" t="str">
        <f>IFERROR(VLOOKUP(B297,'02. MM-KLH'!$B$6:$T$823,8,0),"")</f>
        <v>CGTC DP</v>
      </c>
      <c r="J297" s="99">
        <f>IFERROR(VLOOKUP(B297,'02. MM-KLH'!$B$6:$T$823,9,0),"")</f>
        <v>45841</v>
      </c>
      <c r="K297" s="80" t="str">
        <f>IFERROR(VLOOKUP(B297,'02. MM-KLH'!$B$6:$T$823,10,0),"")</f>
        <v>Bình thường</v>
      </c>
      <c r="L297" s="102" t="str">
        <f>IFERROR(VLOOKUP(B297,'02. MM-KLH'!$B$6:$T$823,11,0),"")</f>
        <v/>
      </c>
      <c r="M297" s="143" t="str">
        <f>IFERROR(VLOOKUP(B297,'02. MM-KLH'!$B$6:$T$823,12,0),"")</f>
        <v>Bàn giao về XDCB ngày 07/03/2025</v>
      </c>
      <c r="N297" s="108" t="str">
        <f>IFERROR(VLOOKUP(B297,'02. MM-KLH'!$B$6:$T$823,13,0),"")</f>
        <v>THACO FORLAND</v>
      </c>
      <c r="O297" s="108" t="str">
        <f>IFERROR(VLOOKUP(B297,'02. MM-KLH'!$B$6:$T$823,14,0),"")</f>
        <v>VIỆT NAM</v>
      </c>
      <c r="P297" s="80">
        <f>IFERROR(VLOOKUP(B297,'02. MM-KLH'!$B$6:$T$823,15,0),"")</f>
        <v>2024</v>
      </c>
      <c r="Q297" s="80" t="str">
        <f>IFERROR(VLOOKUP(B297,'02. MM-KLH'!$B$6:$T$823,16,0),"")</f>
        <v>FD150-4WD</v>
      </c>
      <c r="R297" s="106" t="str">
        <f>IFERROR(VLOOKUP(B297,'02. MM-KLH'!$B$6:$T$823,17,0),"")</f>
        <v>150HP</v>
      </c>
      <c r="S297" s="108" t="str">
        <f>IFERROR(VLOOKUP(B297,'02. MM-KLH'!$B$6:$T$823,18,0),"")</f>
        <v>RNHF16FYART000835</v>
      </c>
      <c r="T297" s="110" t="str">
        <f>IFERROR(VLOOKUP(B297,'02. MM-KLH'!$B$6:$T$823,19,0),"")</f>
        <v>D59M1N01360</v>
      </c>
      <c r="U297" s="130" t="s">
        <v>2301</v>
      </c>
    </row>
    <row r="298" ht="13.5" customHeight="1">
      <c r="A298" s="80">
        <f t="shared" si="13"/>
        <v>21</v>
      </c>
      <c r="B298" s="113" t="s">
        <v>463</v>
      </c>
      <c r="C298" s="113" t="str">
        <f>IFERROR(VLOOKUP(B298,'02. MM-KLH'!$B$6:$T$823,2,0),"")</f>
        <v>MỚI</v>
      </c>
      <c r="D298" s="95" t="str">
        <f>IFERROR(VLOOKUP(B298,'02. MM-KLH'!$B$6:$T$823,3,0),"")</f>
        <v>A24-XTA-032</v>
      </c>
      <c r="E298" s="86" t="str">
        <f>IFERROR(VLOOKUP(B298,'02. MM-KLH'!$B$6:$T$823,4,0),"")</f>
        <v>3A-6813</v>
      </c>
      <c r="F298" s="115"/>
      <c r="G298" s="86" t="str">
        <f>IFERROR(VLOOKUP(B298,'02. MM-KLH'!$B$6:$T$823,6,0),"")</f>
        <v>Xe ben FD150</v>
      </c>
      <c r="H298" s="80" t="s">
        <v>4525</v>
      </c>
      <c r="I298" s="80" t="str">
        <f>IFERROR(VLOOKUP(B298,'02. MM-KLH'!$B$6:$T$823,8,0),"")</f>
        <v>CGTC LP</v>
      </c>
      <c r="J298" s="99">
        <f>IFERROR(VLOOKUP(B298,'02. MM-KLH'!$B$6:$T$823,9,0),"")</f>
        <v>45841</v>
      </c>
      <c r="K298" s="80" t="str">
        <f>IFERROR(VLOOKUP(B298,'02. MM-KLH'!$B$6:$T$823,10,0),"")</f>
        <v>Bình thường</v>
      </c>
      <c r="L298" s="102" t="str">
        <f>IFERROR(VLOOKUP(B298,'02. MM-KLH'!$B$6:$T$823,11,0),"")</f>
        <v/>
      </c>
      <c r="M298" s="143" t="str">
        <f>IFERROR(VLOOKUP(B298,'02. MM-KLH'!$B$6:$T$823,12,0),"")</f>
        <v>Bàn giao về XDCB ngày 07/03/2025</v>
      </c>
      <c r="N298" s="108" t="str">
        <f>IFERROR(VLOOKUP(B298,'02. MM-KLH'!$B$6:$T$823,13,0),"")</f>
        <v>FORLAND</v>
      </c>
      <c r="O298" s="108" t="str">
        <f>IFERROR(VLOOKUP(B298,'02. MM-KLH'!$B$6:$T$823,14,0),"")</f>
        <v>VIỆT NAM</v>
      </c>
      <c r="P298" s="80">
        <f>IFERROR(VLOOKUP(B298,'02. MM-KLH'!$B$6:$T$823,15,0),"")</f>
        <v>2024</v>
      </c>
      <c r="Q298" s="80" t="str">
        <f>IFERROR(VLOOKUP(B298,'02. MM-KLH'!$B$6:$T$823,16,0),"")</f>
        <v>FD150-4WD</v>
      </c>
      <c r="R298" s="106" t="str">
        <f>IFERROR(VLOOKUP(B298,'02. MM-KLH'!$B$6:$T$823,17,0),"")</f>
        <v>150HP</v>
      </c>
      <c r="S298" s="108" t="str">
        <f>IFERROR(VLOOKUP(B298,'02. MM-KLH'!$B$6:$T$823,18,0),"")</f>
        <v>RNHF16FYART000830</v>
      </c>
      <c r="T298" s="110" t="str">
        <f>IFERROR(VLOOKUP(B298,'02. MM-KLH'!$B$6:$T$823,19,0),"")</f>
        <v>D59M1N01292</v>
      </c>
      <c r="U298" s="130" t="s">
        <v>2301</v>
      </c>
    </row>
    <row r="299" ht="13.5" customHeight="1">
      <c r="A299" s="80">
        <f t="shared" si="13"/>
        <v>22</v>
      </c>
      <c r="B299" s="113" t="s">
        <v>469</v>
      </c>
      <c r="C299" s="113" t="str">
        <f>IFERROR(VLOOKUP(B299,'02. MM-KLH'!$B$6:$T$823,2,0),"")</f>
        <v>MỚI</v>
      </c>
      <c r="D299" s="95" t="str">
        <f>IFERROR(VLOOKUP(B299,'02. MM-KLH'!$B$6:$T$823,3,0),"")</f>
        <v>A24-XTA-033</v>
      </c>
      <c r="E299" s="86" t="str">
        <f>IFERROR(VLOOKUP(B299,'02. MM-KLH'!$B$6:$T$823,4,0),"")</f>
        <v>3A-6804</v>
      </c>
      <c r="F299" s="115"/>
      <c r="G299" s="86" t="str">
        <f>IFERROR(VLOOKUP(B299,'02. MM-KLH'!$B$6:$T$823,6,0),"")</f>
        <v>Xe ben FD150</v>
      </c>
      <c r="H299" s="80" t="s">
        <v>4525</v>
      </c>
      <c r="I299" s="80" t="str">
        <f>IFERROR(VLOOKUP(B299,'02. MM-KLH'!$B$6:$T$823,8,0),"")</f>
        <v>CGTC LP</v>
      </c>
      <c r="J299" s="99">
        <f>IFERROR(VLOOKUP(B299,'02. MM-KLH'!$B$6:$T$823,9,0),"")</f>
        <v>45841</v>
      </c>
      <c r="K299" s="80" t="str">
        <f>IFERROR(VLOOKUP(B299,'02. MM-KLH'!$B$6:$T$823,10,0),"")</f>
        <v>Bình thường</v>
      </c>
      <c r="L299" s="102" t="str">
        <f>IFERROR(VLOOKUP(B299,'02. MM-KLH'!$B$6:$T$823,11,0),"")</f>
        <v/>
      </c>
      <c r="M299" s="143" t="str">
        <f>IFERROR(VLOOKUP(B299,'02. MM-KLH'!$B$6:$T$823,12,0),"")</f>
        <v>Bàn giao về XDCB ngày 07/03/2025</v>
      </c>
      <c r="N299" s="108" t="str">
        <f>IFERROR(VLOOKUP(B299,'02. MM-KLH'!$B$6:$T$823,13,0),"")</f>
        <v>FORLAND</v>
      </c>
      <c r="O299" s="108" t="str">
        <f>IFERROR(VLOOKUP(B299,'02. MM-KLH'!$B$6:$T$823,14,0),"")</f>
        <v>VIỆT NAM</v>
      </c>
      <c r="P299" s="80">
        <f>IFERROR(VLOOKUP(B299,'02. MM-KLH'!$B$6:$T$823,15,0),"")</f>
        <v>2024</v>
      </c>
      <c r="Q299" s="80" t="str">
        <f>IFERROR(VLOOKUP(B299,'02. MM-KLH'!$B$6:$T$823,16,0),"")</f>
        <v>FD150-4WD</v>
      </c>
      <c r="R299" s="106" t="str">
        <f>IFERROR(VLOOKUP(B299,'02. MM-KLH'!$B$6:$T$823,17,0),"")</f>
        <v>150HP</v>
      </c>
      <c r="S299" s="108" t="str">
        <f>IFERROR(VLOOKUP(B299,'02. MM-KLH'!$B$6:$T$823,18,0),"")</f>
        <v>RNHF16FYART000831</v>
      </c>
      <c r="T299" s="110" t="str">
        <f>IFERROR(VLOOKUP(B299,'02. MM-KLH'!$B$6:$T$823,19,0),"")</f>
        <v>D59M1N01308</v>
      </c>
      <c r="U299" s="130" t="s">
        <v>2301</v>
      </c>
    </row>
    <row r="300" ht="13.5" customHeight="1">
      <c r="A300" s="80">
        <f t="shared" si="13"/>
        <v>23</v>
      </c>
      <c r="B300" s="113" t="s">
        <v>310</v>
      </c>
      <c r="C300" s="113" t="str">
        <f>IFERROR(VLOOKUP(B300,'02. MM-KLH'!$B$6:$T$823,2,0),"")</f>
        <v>MỚI</v>
      </c>
      <c r="D300" s="95" t="str">
        <f>IFERROR(VLOOKUP(B300,'02. MM-KLH'!$B$6:$T$823,3,0),"")</f>
        <v>A23-XTA-037</v>
      </c>
      <c r="E300" s="86" t="str">
        <f>IFERROR(VLOOKUP(B300,'02. MM-KLH'!$B$6:$T$823,4,0),"")</f>
        <v/>
      </c>
      <c r="F300" s="115"/>
      <c r="G300" s="86" t="str">
        <f>IFERROR(VLOOKUP(B300,'02. MM-KLH'!$B$6:$T$823,6,0),"")</f>
        <v>Xe ben FC150</v>
      </c>
      <c r="H300" s="80" t="s">
        <v>4525</v>
      </c>
      <c r="I300" s="80" t="str">
        <f>IFERROR(VLOOKUP(B300,'02. MM-KLH'!$B$6:$T$823,8,0),"")</f>
        <v>CGTC DP</v>
      </c>
      <c r="J300" s="99" t="str">
        <f>IFERROR(VLOOKUP(B300,'02. MM-KLH'!$B$6:$T$823,9,0),"")</f>
        <v>29/05/2025</v>
      </c>
      <c r="K300" s="80" t="str">
        <f>IFERROR(VLOOKUP(B300,'02. MM-KLH'!$B$6:$T$823,10,0),"")</f>
        <v>Bình thường</v>
      </c>
      <c r="L300" s="102" t="str">
        <f>IFERROR(VLOOKUP(B300,'02. MM-KLH'!$B$6:$T$823,11,0),"")</f>
        <v/>
      </c>
      <c r="M300" s="143" t="str">
        <f>IFERROR(VLOOKUP(B300,'02. MM-KLH'!$B$6:$T$823,12,0),"")</f>
        <v>Bàn giao về XDCB ngày 29/05/2025</v>
      </c>
      <c r="N300" s="108" t="str">
        <f>IFERROR(VLOOKUP(B300,'02. MM-KLH'!$B$6:$T$823,13,0),"")</f>
        <v>THACO FORLAND</v>
      </c>
      <c r="O300" s="108" t="str">
        <f>IFERROR(VLOOKUP(B300,'02. MM-KLH'!$B$6:$T$823,14,0),"")</f>
        <v>VIỆT NAM</v>
      </c>
      <c r="P300" s="80">
        <f>IFERROR(VLOOKUP(B300,'02. MM-KLH'!$B$6:$T$823,15,0),"")</f>
        <v>2024</v>
      </c>
      <c r="Q300" s="80" t="str">
        <f>IFERROR(VLOOKUP(B300,'02. MM-KLH'!$B$6:$T$823,16,0),"")</f>
        <v>FC150-4WD</v>
      </c>
      <c r="R300" s="106" t="str">
        <f>IFERROR(VLOOKUP(B300,'02. MM-KLH'!$B$6:$T$823,17,0),"")</f>
        <v>150HP</v>
      </c>
      <c r="S300" s="108" t="str">
        <f>IFERROR(VLOOKUP(B300,'02. MM-KLH'!$B$6:$T$823,18,0),"")</f>
        <v>RNHF16FYBRT000132</v>
      </c>
      <c r="T300" s="110" t="str">
        <f>IFERROR(VLOOKUP(B300,'02. MM-KLH'!$B$6:$T$823,19,0),"")</f>
        <v>D59M1N01088</v>
      </c>
      <c r="U300" s="130" t="s">
        <v>2301</v>
      </c>
    </row>
    <row r="301" ht="13.5" customHeight="1">
      <c r="A301" s="80">
        <f t="shared" si="13"/>
        <v>24</v>
      </c>
      <c r="B301" s="113" t="s">
        <v>318</v>
      </c>
      <c r="C301" s="113" t="str">
        <f>IFERROR(VLOOKUP(B301,'02. MM-KLH'!$B$6:$T$823,2,0),"")</f>
        <v>MỚI</v>
      </c>
      <c r="D301" s="95" t="str">
        <f>IFERROR(VLOOKUP(B301,'02. MM-KLH'!$B$6:$T$823,3,0),"")</f>
        <v>A23-XTA-038</v>
      </c>
      <c r="E301" s="86" t="str">
        <f>IFERROR(VLOOKUP(B301,'02. MM-KLH'!$B$6:$T$823,4,0),"")</f>
        <v/>
      </c>
      <c r="F301" s="115"/>
      <c r="G301" s="86" t="str">
        <f>IFERROR(VLOOKUP(B301,'02. MM-KLH'!$B$6:$T$823,6,0),"")</f>
        <v>Xe ben FC150</v>
      </c>
      <c r="H301" s="80" t="s">
        <v>4525</v>
      </c>
      <c r="I301" s="80" t="str">
        <f>IFERROR(VLOOKUP(B301,'02. MM-KLH'!$B$6:$T$823,8,0),"")</f>
        <v>CGTC DP</v>
      </c>
      <c r="J301" s="99" t="str">
        <f>IFERROR(VLOOKUP(B301,'02. MM-KLH'!$B$6:$T$823,9,0),"")</f>
        <v>29/05/2025</v>
      </c>
      <c r="K301" s="80" t="str">
        <f>IFERROR(VLOOKUP(B301,'02. MM-KLH'!$B$6:$T$823,10,0),"")</f>
        <v>Bình thường</v>
      </c>
      <c r="L301" s="102" t="str">
        <f>IFERROR(VLOOKUP(B301,'02. MM-KLH'!$B$6:$T$823,11,0),"")</f>
        <v/>
      </c>
      <c r="M301" s="143" t="str">
        <f>IFERROR(VLOOKUP(B301,'02. MM-KLH'!$B$6:$T$823,12,0),"")</f>
        <v>Bàn giao về XDCB ngày 29/05/2025</v>
      </c>
      <c r="N301" s="108" t="str">
        <f>IFERROR(VLOOKUP(B301,'02. MM-KLH'!$B$6:$T$823,13,0),"")</f>
        <v>THACO FORLAND</v>
      </c>
      <c r="O301" s="108" t="str">
        <f>IFERROR(VLOOKUP(B301,'02. MM-KLH'!$B$6:$T$823,14,0),"")</f>
        <v>VIỆT NAM</v>
      </c>
      <c r="P301" s="80">
        <f>IFERROR(VLOOKUP(B301,'02. MM-KLH'!$B$6:$T$823,15,0),"")</f>
        <v>2024</v>
      </c>
      <c r="Q301" s="80" t="str">
        <f>IFERROR(VLOOKUP(B301,'02. MM-KLH'!$B$6:$T$823,16,0),"")</f>
        <v>FC150-4WD</v>
      </c>
      <c r="R301" s="106" t="str">
        <f>IFERROR(VLOOKUP(B301,'02. MM-KLH'!$B$6:$T$823,17,0),"")</f>
        <v>150HP</v>
      </c>
      <c r="S301" s="108" t="str">
        <f>IFERROR(VLOOKUP(B301,'02. MM-KLH'!$B$6:$T$823,18,0),"")</f>
        <v>RNHF16FYBRT000133</v>
      </c>
      <c r="T301" s="110" t="str">
        <f>IFERROR(VLOOKUP(B301,'02. MM-KLH'!$B$6:$T$823,19,0),"")</f>
        <v>D59M1N01089</v>
      </c>
      <c r="U301" s="130" t="s">
        <v>2301</v>
      </c>
    </row>
    <row r="302" ht="13.5" customHeight="1">
      <c r="A302" s="80">
        <f t="shared" si="13"/>
        <v>25</v>
      </c>
      <c r="B302" s="113" t="s">
        <v>323</v>
      </c>
      <c r="C302" s="113" t="str">
        <f>IFERROR(VLOOKUP(B302,'02. MM-KLH'!$B$6:$T$823,2,0),"")</f>
        <v>MỚI</v>
      </c>
      <c r="D302" s="95" t="str">
        <f>IFERROR(VLOOKUP(B302,'02. MM-KLH'!$B$6:$T$823,3,0),"")</f>
        <v>A23-XTA-039</v>
      </c>
      <c r="E302" s="86" t="str">
        <f>IFERROR(VLOOKUP(B302,'02. MM-KLH'!$B$6:$T$823,4,0),"")</f>
        <v/>
      </c>
      <c r="F302" s="115"/>
      <c r="G302" s="86" t="str">
        <f>IFERROR(VLOOKUP(B302,'02. MM-KLH'!$B$6:$T$823,6,0),"")</f>
        <v>Xe ben FC150</v>
      </c>
      <c r="H302" s="80" t="s">
        <v>4525</v>
      </c>
      <c r="I302" s="80" t="str">
        <f>IFERROR(VLOOKUP(B302,'02. MM-KLH'!$B$6:$T$823,8,0),"")</f>
        <v>CGTC DP</v>
      </c>
      <c r="J302" s="99" t="str">
        <f>IFERROR(VLOOKUP(B302,'02. MM-KLH'!$B$6:$T$823,9,0),"")</f>
        <v>29/05/2025</v>
      </c>
      <c r="K302" s="80" t="str">
        <f>IFERROR(VLOOKUP(B302,'02. MM-KLH'!$B$6:$T$823,10,0),"")</f>
        <v>Bình thường</v>
      </c>
      <c r="L302" s="102" t="str">
        <f>IFERROR(VLOOKUP(B302,'02. MM-KLH'!$B$6:$T$823,11,0),"")</f>
        <v/>
      </c>
      <c r="M302" s="143" t="str">
        <f>IFERROR(VLOOKUP(B302,'02. MM-KLH'!$B$6:$T$823,12,0),"")</f>
        <v>Bàn giao về XDCB ngày 29/05/2025</v>
      </c>
      <c r="N302" s="108" t="str">
        <f>IFERROR(VLOOKUP(B302,'02. MM-KLH'!$B$6:$T$823,13,0),"")</f>
        <v>THACO FORLAND</v>
      </c>
      <c r="O302" s="108" t="str">
        <f>IFERROR(VLOOKUP(B302,'02. MM-KLH'!$B$6:$T$823,14,0),"")</f>
        <v>VIỆT NAM</v>
      </c>
      <c r="P302" s="80">
        <f>IFERROR(VLOOKUP(B302,'02. MM-KLH'!$B$6:$T$823,15,0),"")</f>
        <v>2024</v>
      </c>
      <c r="Q302" s="80" t="str">
        <f>IFERROR(VLOOKUP(B302,'02. MM-KLH'!$B$6:$T$823,16,0),"")</f>
        <v>FC150-4WD</v>
      </c>
      <c r="R302" s="106" t="str">
        <f>IFERROR(VLOOKUP(B302,'02. MM-KLH'!$B$6:$T$823,17,0),"")</f>
        <v>150HP</v>
      </c>
      <c r="S302" s="108" t="str">
        <f>IFERROR(VLOOKUP(B302,'02. MM-KLH'!$B$6:$T$823,18,0),"")</f>
        <v>RNHF16FYBRT000134</v>
      </c>
      <c r="T302" s="110" t="str">
        <f>IFERROR(VLOOKUP(B302,'02. MM-KLH'!$B$6:$T$823,19,0),"")</f>
        <v>D59M1N01091</v>
      </c>
      <c r="U302" s="130" t="s">
        <v>2301</v>
      </c>
    </row>
    <row r="303" ht="13.5" customHeight="1">
      <c r="A303" s="80">
        <f t="shared" si="13"/>
        <v>26</v>
      </c>
      <c r="B303" s="113" t="s">
        <v>327</v>
      </c>
      <c r="C303" s="113" t="str">
        <f>IFERROR(VLOOKUP(B303,'02. MM-KLH'!$B$6:$T$823,2,0),"")</f>
        <v>MỚI</v>
      </c>
      <c r="D303" s="95" t="str">
        <f>IFERROR(VLOOKUP(B303,'02. MM-KLH'!$B$6:$T$823,3,0),"")</f>
        <v>A23-XTA-040</v>
      </c>
      <c r="E303" s="86" t="str">
        <f>IFERROR(VLOOKUP(B303,'02. MM-KLH'!$B$6:$T$823,4,0),"")</f>
        <v/>
      </c>
      <c r="F303" s="115"/>
      <c r="G303" s="86" t="str">
        <f>IFERROR(VLOOKUP(B303,'02. MM-KLH'!$B$6:$T$823,6,0),"")</f>
        <v>Xe ben FC150</v>
      </c>
      <c r="H303" s="80" t="s">
        <v>4525</v>
      </c>
      <c r="I303" s="80" t="str">
        <f>IFERROR(VLOOKUP(B303,'02. MM-KLH'!$B$6:$T$823,8,0),"")</f>
        <v>CGTC DP</v>
      </c>
      <c r="J303" s="99" t="str">
        <f>IFERROR(VLOOKUP(B303,'02. MM-KLH'!$B$6:$T$823,9,0),"")</f>
        <v>29/05/2025</v>
      </c>
      <c r="K303" s="80" t="str">
        <f>IFERROR(VLOOKUP(B303,'02. MM-KLH'!$B$6:$T$823,10,0),"")</f>
        <v>Bình thường</v>
      </c>
      <c r="L303" s="102" t="str">
        <f>IFERROR(VLOOKUP(B303,'02. MM-KLH'!$B$6:$T$823,11,0),"")</f>
        <v/>
      </c>
      <c r="M303" s="143" t="str">
        <f>IFERROR(VLOOKUP(B303,'02. MM-KLH'!$B$6:$T$823,12,0),"")</f>
        <v>Bàn giao về XDCB ngày 29/05/2025</v>
      </c>
      <c r="N303" s="108" t="str">
        <f>IFERROR(VLOOKUP(B303,'02. MM-KLH'!$B$6:$T$823,13,0),"")</f>
        <v>THACO FORLAND</v>
      </c>
      <c r="O303" s="108" t="str">
        <f>IFERROR(VLOOKUP(B303,'02. MM-KLH'!$B$6:$T$823,14,0),"")</f>
        <v>VIỆT NAM</v>
      </c>
      <c r="P303" s="80">
        <f>IFERROR(VLOOKUP(B303,'02. MM-KLH'!$B$6:$T$823,15,0),"")</f>
        <v>2024</v>
      </c>
      <c r="Q303" s="80" t="str">
        <f>IFERROR(VLOOKUP(B303,'02. MM-KLH'!$B$6:$T$823,16,0),"")</f>
        <v>FC150-4WD</v>
      </c>
      <c r="R303" s="106" t="str">
        <f>IFERROR(VLOOKUP(B303,'02. MM-KLH'!$B$6:$T$823,17,0),"")</f>
        <v>150HP</v>
      </c>
      <c r="S303" s="108" t="str">
        <f>IFERROR(VLOOKUP(B303,'02. MM-KLH'!$B$6:$T$823,18,0),"")</f>
        <v>RNHF16FYBRT000135</v>
      </c>
      <c r="T303" s="110" t="str">
        <f>IFERROR(VLOOKUP(B303,'02. MM-KLH'!$B$6:$T$823,19,0),"")</f>
        <v>D59M1N01092</v>
      </c>
      <c r="U303" s="130" t="s">
        <v>2301</v>
      </c>
    </row>
    <row r="304" ht="13.5" customHeight="1">
      <c r="A304" s="80">
        <f t="shared" si="13"/>
        <v>27</v>
      </c>
      <c r="B304" s="113" t="s">
        <v>474</v>
      </c>
      <c r="C304" s="113" t="str">
        <f>IFERROR(VLOOKUP(B304,'02. MM-KLH'!$B$6:$T$823,2,0),"")</f>
        <v>MỚI</v>
      </c>
      <c r="D304" s="95" t="str">
        <f>IFERROR(VLOOKUP(B304,'02. MM-KLH'!$B$6:$T$823,3,0),"")</f>
        <v>A24-XTA-034</v>
      </c>
      <c r="E304" s="86" t="str">
        <f>IFERROR(VLOOKUP(B304,'02. MM-KLH'!$B$6:$T$823,4,0),"")</f>
        <v/>
      </c>
      <c r="F304" s="115"/>
      <c r="G304" s="86" t="str">
        <f>IFERROR(VLOOKUP(B304,'02. MM-KLH'!$B$6:$T$823,6,0),"")</f>
        <v>Xe ben FC150</v>
      </c>
      <c r="H304" s="80" t="s">
        <v>4525</v>
      </c>
      <c r="I304" s="80" t="str">
        <f>IFERROR(VLOOKUP(B304,'02. MM-KLH'!$B$6:$T$823,8,0),"")</f>
        <v>CGTC LP</v>
      </c>
      <c r="J304" s="99" t="str">
        <f>IFERROR(VLOOKUP(B304,'02. MM-KLH'!$B$6:$T$823,9,0),"")</f>
        <v>29/05/2025</v>
      </c>
      <c r="K304" s="80" t="str">
        <f>IFERROR(VLOOKUP(B304,'02. MM-KLH'!$B$6:$T$823,10,0),"")</f>
        <v>Bình thường</v>
      </c>
      <c r="L304" s="102" t="str">
        <f>IFERROR(VLOOKUP(B304,'02. MM-KLH'!$B$6:$T$823,11,0),"")</f>
        <v/>
      </c>
      <c r="M304" s="143" t="str">
        <f>IFERROR(VLOOKUP(B304,'02. MM-KLH'!$B$6:$T$823,12,0),"")</f>
        <v>Bàn giao về XDCB ngày 29/05/2025</v>
      </c>
      <c r="N304" s="108" t="str">
        <f>IFERROR(VLOOKUP(B304,'02. MM-KLH'!$B$6:$T$823,13,0),"")</f>
        <v>FORLAND</v>
      </c>
      <c r="O304" s="108" t="str">
        <f>IFERROR(VLOOKUP(B304,'02. MM-KLH'!$B$6:$T$823,14,0),"")</f>
        <v>VIỆT NAM</v>
      </c>
      <c r="P304" s="80">
        <f>IFERROR(VLOOKUP(B304,'02. MM-KLH'!$B$6:$T$823,15,0),"")</f>
        <v>2024</v>
      </c>
      <c r="Q304" s="80" t="str">
        <f>IFERROR(VLOOKUP(B304,'02. MM-KLH'!$B$6:$T$823,16,0),"")</f>
        <v>FC150-4WD</v>
      </c>
      <c r="R304" s="106" t="str">
        <f>IFERROR(VLOOKUP(B304,'02. MM-KLH'!$B$6:$T$823,17,0),"")</f>
        <v>150HP</v>
      </c>
      <c r="S304" s="108" t="str">
        <f>IFERROR(VLOOKUP(B304,'02. MM-KLH'!$B$6:$T$823,18,0),"")</f>
        <v>RNHF16FYBRT000136</v>
      </c>
      <c r="T304" s="110" t="str">
        <f>IFERROR(VLOOKUP(B304,'02. MM-KLH'!$B$6:$T$823,19,0),"")</f>
        <v>D59M1N01094</v>
      </c>
      <c r="U304" s="130" t="s">
        <v>2301</v>
      </c>
    </row>
    <row r="305" ht="13.5" customHeight="1">
      <c r="A305" s="80">
        <f t="shared" si="13"/>
        <v>28</v>
      </c>
      <c r="B305" s="113" t="s">
        <v>478</v>
      </c>
      <c r="C305" s="113" t="str">
        <f>IFERROR(VLOOKUP(B305,'02. MM-KLH'!$B$6:$T$823,2,0),"")</f>
        <v>MỚI</v>
      </c>
      <c r="D305" s="95" t="str">
        <f>IFERROR(VLOOKUP(B305,'02. MM-KLH'!$B$6:$T$823,3,0),"")</f>
        <v>A24-XTA-035</v>
      </c>
      <c r="E305" s="86" t="str">
        <f>IFERROR(VLOOKUP(B305,'02. MM-KLH'!$B$6:$T$823,4,0),"")</f>
        <v/>
      </c>
      <c r="F305" s="115"/>
      <c r="G305" s="86" t="str">
        <f>IFERROR(VLOOKUP(B305,'02. MM-KLH'!$B$6:$T$823,6,0),"")</f>
        <v>Xe ben FC150</v>
      </c>
      <c r="H305" s="80" t="s">
        <v>4525</v>
      </c>
      <c r="I305" s="80" t="str">
        <f>IFERROR(VLOOKUP(B305,'02. MM-KLH'!$B$6:$T$823,8,0),"")</f>
        <v>CGTC LP</v>
      </c>
      <c r="J305" s="99" t="str">
        <f>IFERROR(VLOOKUP(B305,'02. MM-KLH'!$B$6:$T$823,9,0),"")</f>
        <v>29/05/2025</v>
      </c>
      <c r="K305" s="80" t="str">
        <f>IFERROR(VLOOKUP(B305,'02. MM-KLH'!$B$6:$T$823,10,0),"")</f>
        <v>Bình thường</v>
      </c>
      <c r="L305" s="102" t="str">
        <f>IFERROR(VLOOKUP(B305,'02. MM-KLH'!$B$6:$T$823,11,0),"")</f>
        <v/>
      </c>
      <c r="M305" s="143" t="str">
        <f>IFERROR(VLOOKUP(B305,'02. MM-KLH'!$B$6:$T$823,12,0),"")</f>
        <v>Bàn giao về XDCB ngày 29/05/2025</v>
      </c>
      <c r="N305" s="108" t="str">
        <f>IFERROR(VLOOKUP(B305,'02. MM-KLH'!$B$6:$T$823,13,0),"")</f>
        <v>FORLAND</v>
      </c>
      <c r="O305" s="108" t="str">
        <f>IFERROR(VLOOKUP(B305,'02. MM-KLH'!$B$6:$T$823,14,0),"")</f>
        <v>VIỆT NAM</v>
      </c>
      <c r="P305" s="80">
        <f>IFERROR(VLOOKUP(B305,'02. MM-KLH'!$B$6:$T$823,15,0),"")</f>
        <v>2024</v>
      </c>
      <c r="Q305" s="80" t="str">
        <f>IFERROR(VLOOKUP(B305,'02. MM-KLH'!$B$6:$T$823,16,0),"")</f>
        <v>FC150-4WD</v>
      </c>
      <c r="R305" s="106" t="str">
        <f>IFERROR(VLOOKUP(B305,'02. MM-KLH'!$B$6:$T$823,17,0),"")</f>
        <v>150HP</v>
      </c>
      <c r="S305" s="108" t="str">
        <f>IFERROR(VLOOKUP(B305,'02. MM-KLH'!$B$6:$T$823,18,0),"")</f>
        <v>RNHF16FYBRT000137</v>
      </c>
      <c r="T305" s="110" t="str">
        <f>IFERROR(VLOOKUP(B305,'02. MM-KLH'!$B$6:$T$823,19,0),"")</f>
        <v>D59M1N01095</v>
      </c>
      <c r="U305" s="130" t="s">
        <v>2301</v>
      </c>
    </row>
    <row r="306" ht="13.5" customHeight="1">
      <c r="A306" s="80">
        <f t="shared" si="13"/>
        <v>29</v>
      </c>
      <c r="B306" s="113" t="s">
        <v>483</v>
      </c>
      <c r="C306" s="113" t="str">
        <f>IFERROR(VLOOKUP(B306,'02. MM-KLH'!$B$6:$T$823,2,0),"")</f>
        <v>MỚI</v>
      </c>
      <c r="D306" s="95" t="str">
        <f>IFERROR(VLOOKUP(B306,'02. MM-KLH'!$B$6:$T$823,3,0),"")</f>
        <v>A24-XTA-036</v>
      </c>
      <c r="E306" s="86" t="str">
        <f>IFERROR(VLOOKUP(B306,'02. MM-KLH'!$B$6:$T$823,4,0),"")</f>
        <v/>
      </c>
      <c r="F306" s="115"/>
      <c r="G306" s="86" t="str">
        <f>IFERROR(VLOOKUP(B306,'02. MM-KLH'!$B$6:$T$823,6,0),"")</f>
        <v>Xe ben FC150</v>
      </c>
      <c r="H306" s="80" t="s">
        <v>4525</v>
      </c>
      <c r="I306" s="80" t="str">
        <f>IFERROR(VLOOKUP(B306,'02. MM-KLH'!$B$6:$T$823,8,0),"")</f>
        <v>CGTC LP</v>
      </c>
      <c r="J306" s="99" t="str">
        <f>IFERROR(VLOOKUP(B306,'02. MM-KLH'!$B$6:$T$823,9,0),"")</f>
        <v>29/05/2025</v>
      </c>
      <c r="K306" s="80" t="str">
        <f>IFERROR(VLOOKUP(B306,'02. MM-KLH'!$B$6:$T$823,10,0),"")</f>
        <v>Bình thường</v>
      </c>
      <c r="L306" s="102" t="str">
        <f>IFERROR(VLOOKUP(B306,'02. MM-KLH'!$B$6:$T$823,11,0),"")</f>
        <v/>
      </c>
      <c r="M306" s="143" t="str">
        <f>IFERROR(VLOOKUP(B306,'02. MM-KLH'!$B$6:$T$823,12,0),"")</f>
        <v>Bàn giao về XDCB ngày 29/05/2025</v>
      </c>
      <c r="N306" s="108" t="str">
        <f>IFERROR(VLOOKUP(B306,'02. MM-KLH'!$B$6:$T$823,13,0),"")</f>
        <v>FORLAND</v>
      </c>
      <c r="O306" s="108" t="str">
        <f>IFERROR(VLOOKUP(B306,'02. MM-KLH'!$B$6:$T$823,14,0),"")</f>
        <v>VIỆT NAM</v>
      </c>
      <c r="P306" s="80">
        <f>IFERROR(VLOOKUP(B306,'02. MM-KLH'!$B$6:$T$823,15,0),"")</f>
        <v>2024</v>
      </c>
      <c r="Q306" s="80" t="str">
        <f>IFERROR(VLOOKUP(B306,'02. MM-KLH'!$B$6:$T$823,16,0),"")</f>
        <v>FC150-4WD</v>
      </c>
      <c r="R306" s="106" t="str">
        <f>IFERROR(VLOOKUP(B306,'02. MM-KLH'!$B$6:$T$823,17,0),"")</f>
        <v>150HP</v>
      </c>
      <c r="S306" s="108" t="str">
        <f>IFERROR(VLOOKUP(B306,'02. MM-KLH'!$B$6:$T$823,18,0),"")</f>
        <v>RNHF16FYBRT000138</v>
      </c>
      <c r="T306" s="110" t="str">
        <f>IFERROR(VLOOKUP(B306,'02. MM-KLH'!$B$6:$T$823,19,0),"")</f>
        <v>D59M1N01096</v>
      </c>
      <c r="U306" s="130" t="s">
        <v>2301</v>
      </c>
    </row>
    <row r="307" ht="29.25" customHeight="1">
      <c r="A307" s="80">
        <f t="shared" si="13"/>
        <v>30</v>
      </c>
      <c r="B307" s="115" t="s">
        <v>332</v>
      </c>
      <c r="C307" s="113" t="str">
        <f>IFERROR(VLOOKUP(B307,'02. MM-KLH'!$B$6:$T$823,2,0),"")</f>
        <v>MỚI</v>
      </c>
      <c r="D307" s="95" t="str">
        <f>IFERROR(VLOOKUP(B307,'02. MM-KLH'!$B$6:$T$823,3,0),"")</f>
        <v>A23-XTA-041</v>
      </c>
      <c r="E307" s="86" t="str">
        <f>IFERROR(VLOOKUP(B307,'02. MM-KLH'!$B$6:$T$823,4,0),"")</f>
        <v>3A-6828</v>
      </c>
      <c r="F307" s="115"/>
      <c r="G307" s="86" t="str">
        <f>IFERROR(VLOOKUP(B307,'02. MM-KLH'!$B$6:$T$823,6,0),"")</f>
        <v>Xe ben FD120</v>
      </c>
      <c r="H307" s="80" t="s">
        <v>4525</v>
      </c>
      <c r="I307" s="80" t="str">
        <f>IFERROR(VLOOKUP(B307,'02. MM-KLH'!$B$6:$T$823,8,0),"")</f>
        <v>CGTC DP</v>
      </c>
      <c r="J307" s="99">
        <f>IFERROR(VLOOKUP(B307,'02. MM-KLH'!$B$6:$T$823,9,0),"")</f>
        <v>45936</v>
      </c>
      <c r="K307" s="80" t="str">
        <f>IFERROR(VLOOKUP(B307,'02. MM-KLH'!$B$6:$T$823,10,0),"")</f>
        <v>Bình thường</v>
      </c>
      <c r="L307" s="102" t="str">
        <f>IFERROR(VLOOKUP(B307,'02. MM-KLH'!$B$6:$T$823,11,0),"")</f>
        <v/>
      </c>
      <c r="M307" s="143" t="str">
        <f>IFERROR(VLOOKUP(B307,'02. MM-KLH'!$B$6:$T$823,12,0),"")</f>
        <v>Đầu tư mới</v>
      </c>
      <c r="N307" s="108" t="str">
        <f>IFERROR(VLOOKUP(B307,'02. MM-KLH'!$B$6:$T$823,13,0),"")</f>
        <v>THACO FORLAND</v>
      </c>
      <c r="O307" s="108" t="str">
        <f>IFERROR(VLOOKUP(B307,'02. MM-KLH'!$B$6:$T$823,14,0),"")</f>
        <v>VIỆT NAM</v>
      </c>
      <c r="P307" s="80">
        <f>IFERROR(VLOOKUP(B307,'02. MM-KLH'!$B$6:$T$823,15,0),"")</f>
        <v>2024</v>
      </c>
      <c r="Q307" s="80" t="str">
        <f>IFERROR(VLOOKUP(B307,'02. MM-KLH'!$B$6:$T$823,16,0),"")</f>
        <v>FD120-4WD</v>
      </c>
      <c r="R307" s="106" t="str">
        <f>IFERROR(VLOOKUP(B307,'02. MM-KLH'!$B$6:$T$823,17,0),"")</f>
        <v>129HP</v>
      </c>
      <c r="S307" s="108" t="str">
        <f>IFERROR(VLOOKUP(B307,'02. MM-KLH'!$B$6:$T$823,18,0),"")</f>
        <v>RNHF12FNBRT002062</v>
      </c>
      <c r="T307" s="110" t="str">
        <f>IFERROR(VLOOKUP(B307,'02. MM-KLH'!$B$6:$T$823,19,0),"")</f>
        <v>YN38CRD1*AGN22000242*</v>
      </c>
      <c r="U307" s="130" t="s">
        <v>2301</v>
      </c>
    </row>
    <row r="308" ht="29.25" customHeight="1">
      <c r="A308" s="80">
        <f t="shared" si="13"/>
        <v>31</v>
      </c>
      <c r="B308" s="115" t="s">
        <v>341</v>
      </c>
      <c r="C308" s="113" t="str">
        <f>IFERROR(VLOOKUP(B308,'02. MM-KLH'!$B$6:$T$823,2,0),"")</f>
        <v>MỚI</v>
      </c>
      <c r="D308" s="95" t="str">
        <f>IFERROR(VLOOKUP(B308,'02. MM-KLH'!$B$6:$T$823,3,0),"")</f>
        <v>A23-XTA-042</v>
      </c>
      <c r="E308" s="86" t="str">
        <f>IFERROR(VLOOKUP(B308,'02. MM-KLH'!$B$6:$T$823,4,0),"")</f>
        <v>3A-6827</v>
      </c>
      <c r="F308" s="115"/>
      <c r="G308" s="86" t="str">
        <f>IFERROR(VLOOKUP(B308,'02. MM-KLH'!$B$6:$T$823,6,0),"")</f>
        <v>Xe ben FD120</v>
      </c>
      <c r="H308" s="80" t="s">
        <v>4525</v>
      </c>
      <c r="I308" s="80" t="str">
        <f>IFERROR(VLOOKUP(B308,'02. MM-KLH'!$B$6:$T$823,8,0),"")</f>
        <v>CGTC DP</v>
      </c>
      <c r="J308" s="99">
        <f>IFERROR(VLOOKUP(B308,'02. MM-KLH'!$B$6:$T$823,9,0),"")</f>
        <v>45936</v>
      </c>
      <c r="K308" s="80" t="str">
        <f>IFERROR(VLOOKUP(B308,'02. MM-KLH'!$B$6:$T$823,10,0),"")</f>
        <v>Bình thường</v>
      </c>
      <c r="L308" s="102" t="str">
        <f>IFERROR(VLOOKUP(B308,'02. MM-KLH'!$B$6:$T$823,11,0),"")</f>
        <v/>
      </c>
      <c r="M308" s="143" t="str">
        <f>IFERROR(VLOOKUP(B308,'02. MM-KLH'!$B$6:$T$823,12,0),"")</f>
        <v>Đầu tư mới</v>
      </c>
      <c r="N308" s="108" t="str">
        <f>IFERROR(VLOOKUP(B308,'02. MM-KLH'!$B$6:$T$823,13,0),"")</f>
        <v>THACO FORLAND</v>
      </c>
      <c r="O308" s="108" t="str">
        <f>IFERROR(VLOOKUP(B308,'02. MM-KLH'!$B$6:$T$823,14,0),"")</f>
        <v>VIỆT NAM</v>
      </c>
      <c r="P308" s="80">
        <f>IFERROR(VLOOKUP(B308,'02. MM-KLH'!$B$6:$T$823,15,0),"")</f>
        <v>2024</v>
      </c>
      <c r="Q308" s="80" t="str">
        <f>IFERROR(VLOOKUP(B308,'02. MM-KLH'!$B$6:$T$823,16,0),"")</f>
        <v>FD120-4WD</v>
      </c>
      <c r="R308" s="106" t="str">
        <f>IFERROR(VLOOKUP(B308,'02. MM-KLH'!$B$6:$T$823,17,0),"")</f>
        <v>129HP</v>
      </c>
      <c r="S308" s="108" t="str">
        <f>IFERROR(VLOOKUP(B308,'02. MM-KLH'!$B$6:$T$823,18,0),"")</f>
        <v>RNHF12FNBRT002063</v>
      </c>
      <c r="T308" s="110" t="str">
        <f>IFERROR(VLOOKUP(B308,'02. MM-KLH'!$B$6:$T$823,19,0),"")</f>
        <v>YN38CRD1*AGN22000243*</v>
      </c>
      <c r="U308" s="130" t="s">
        <v>2301</v>
      </c>
    </row>
    <row r="309" ht="29.25" customHeight="1">
      <c r="A309" s="80">
        <f t="shared" si="13"/>
        <v>32</v>
      </c>
      <c r="B309" s="115" t="s">
        <v>346</v>
      </c>
      <c r="C309" s="113" t="str">
        <f>IFERROR(VLOOKUP(B309,'02. MM-KLH'!$B$6:$T$823,2,0),"")</f>
        <v>MỚI</v>
      </c>
      <c r="D309" s="95" t="str">
        <f>IFERROR(VLOOKUP(B309,'02. MM-KLH'!$B$6:$T$823,3,0),"")</f>
        <v>A23-XTA-043</v>
      </c>
      <c r="E309" s="86" t="str">
        <f>IFERROR(VLOOKUP(B309,'02. MM-KLH'!$B$6:$T$823,4,0),"")</f>
        <v>3A-6826</v>
      </c>
      <c r="F309" s="115"/>
      <c r="G309" s="86" t="str">
        <f>IFERROR(VLOOKUP(B309,'02. MM-KLH'!$B$6:$T$823,6,0),"")</f>
        <v>Xe ben FD120</v>
      </c>
      <c r="H309" s="80" t="s">
        <v>4525</v>
      </c>
      <c r="I309" s="80" t="str">
        <f>IFERROR(VLOOKUP(B309,'02. MM-KLH'!$B$6:$T$823,8,0),"")</f>
        <v>CGTC DP</v>
      </c>
      <c r="J309" s="99">
        <f>IFERROR(VLOOKUP(B309,'02. MM-KLH'!$B$6:$T$823,9,0),"")</f>
        <v>45936</v>
      </c>
      <c r="K309" s="80" t="str">
        <f>IFERROR(VLOOKUP(B309,'02. MM-KLH'!$B$6:$T$823,10,0),"")</f>
        <v>Bình thường</v>
      </c>
      <c r="L309" s="102" t="str">
        <f>IFERROR(VLOOKUP(B309,'02. MM-KLH'!$B$6:$T$823,11,0),"")</f>
        <v/>
      </c>
      <c r="M309" s="143" t="str">
        <f>IFERROR(VLOOKUP(B309,'02. MM-KLH'!$B$6:$T$823,12,0),"")</f>
        <v>Đầu tư mới</v>
      </c>
      <c r="N309" s="108" t="str">
        <f>IFERROR(VLOOKUP(B309,'02. MM-KLH'!$B$6:$T$823,13,0),"")</f>
        <v>THACO FORLAND</v>
      </c>
      <c r="O309" s="108" t="str">
        <f>IFERROR(VLOOKUP(B309,'02. MM-KLH'!$B$6:$T$823,14,0),"")</f>
        <v>VIỆT NAM</v>
      </c>
      <c r="P309" s="80">
        <f>IFERROR(VLOOKUP(B309,'02. MM-KLH'!$B$6:$T$823,15,0),"")</f>
        <v>2024</v>
      </c>
      <c r="Q309" s="80" t="str">
        <f>IFERROR(VLOOKUP(B309,'02. MM-KLH'!$B$6:$T$823,16,0),"")</f>
        <v>FD120-4WD</v>
      </c>
      <c r="R309" s="106" t="str">
        <f>IFERROR(VLOOKUP(B309,'02. MM-KLH'!$B$6:$T$823,17,0),"")</f>
        <v>129HP</v>
      </c>
      <c r="S309" s="108" t="str">
        <f>IFERROR(VLOOKUP(B309,'02. MM-KLH'!$B$6:$T$823,18,0),"")</f>
        <v>RNHF12FNBRT002064</v>
      </c>
      <c r="T309" s="110" t="str">
        <f>IFERROR(VLOOKUP(B309,'02. MM-KLH'!$B$6:$T$823,19,0),"")</f>
        <v>YN38CRD1*AGN22000244*</v>
      </c>
      <c r="U309" s="130" t="s">
        <v>2301</v>
      </c>
    </row>
    <row r="310" ht="29.25" customHeight="1">
      <c r="A310" s="80">
        <f t="shared" si="13"/>
        <v>33</v>
      </c>
      <c r="B310" s="115" t="s">
        <v>351</v>
      </c>
      <c r="C310" s="113" t="str">
        <f>IFERROR(VLOOKUP(B310,'02. MM-KLH'!$B$6:$T$823,2,0),"")</f>
        <v>MỚI</v>
      </c>
      <c r="D310" s="95" t="str">
        <f>IFERROR(VLOOKUP(B310,'02. MM-KLH'!$B$6:$T$823,3,0),"")</f>
        <v>A23-XTA-044</v>
      </c>
      <c r="E310" s="86" t="str">
        <f>IFERROR(VLOOKUP(B310,'02. MM-KLH'!$B$6:$T$823,4,0),"")</f>
        <v>3A-6825</v>
      </c>
      <c r="F310" s="115"/>
      <c r="G310" s="86" t="str">
        <f>IFERROR(VLOOKUP(B310,'02. MM-KLH'!$B$6:$T$823,6,0),"")</f>
        <v>Xe ben FD120</v>
      </c>
      <c r="H310" s="80" t="s">
        <v>4525</v>
      </c>
      <c r="I310" s="80" t="str">
        <f>IFERROR(VLOOKUP(B310,'02. MM-KLH'!$B$6:$T$823,8,0),"")</f>
        <v>CGTC DP</v>
      </c>
      <c r="J310" s="99">
        <f>IFERROR(VLOOKUP(B310,'02. MM-KLH'!$B$6:$T$823,9,0),"")</f>
        <v>45936</v>
      </c>
      <c r="K310" s="80" t="str">
        <f>IFERROR(VLOOKUP(B310,'02. MM-KLH'!$B$6:$T$823,10,0),"")</f>
        <v>Bình thường</v>
      </c>
      <c r="L310" s="102" t="str">
        <f>IFERROR(VLOOKUP(B310,'02. MM-KLH'!$B$6:$T$823,11,0),"")</f>
        <v/>
      </c>
      <c r="M310" s="143" t="str">
        <f>IFERROR(VLOOKUP(B310,'02. MM-KLH'!$B$6:$T$823,12,0),"")</f>
        <v>Đầu tư mới</v>
      </c>
      <c r="N310" s="108" t="str">
        <f>IFERROR(VLOOKUP(B310,'02. MM-KLH'!$B$6:$T$823,13,0),"")</f>
        <v>THACO FORLAND</v>
      </c>
      <c r="O310" s="108" t="str">
        <f>IFERROR(VLOOKUP(B310,'02. MM-KLH'!$B$6:$T$823,14,0),"")</f>
        <v>VIỆT NAM</v>
      </c>
      <c r="P310" s="80">
        <f>IFERROR(VLOOKUP(B310,'02. MM-KLH'!$B$6:$T$823,15,0),"")</f>
        <v>2024</v>
      </c>
      <c r="Q310" s="80" t="str">
        <f>IFERROR(VLOOKUP(B310,'02. MM-KLH'!$B$6:$T$823,16,0),"")</f>
        <v>FD120-4WD</v>
      </c>
      <c r="R310" s="106" t="str">
        <f>IFERROR(VLOOKUP(B310,'02. MM-KLH'!$B$6:$T$823,17,0),"")</f>
        <v>129HP</v>
      </c>
      <c r="S310" s="108" t="str">
        <f>IFERROR(VLOOKUP(B310,'02. MM-KLH'!$B$6:$T$823,18,0),"")</f>
        <v>RNHF12FNBRT002065</v>
      </c>
      <c r="T310" s="110" t="str">
        <f>IFERROR(VLOOKUP(B310,'02. MM-KLH'!$B$6:$T$823,19,0),"")</f>
        <v>YN38CRD1*AGN22000245*</v>
      </c>
      <c r="U310" s="130" t="s">
        <v>2301</v>
      </c>
    </row>
    <row r="311" ht="29.25" customHeight="1">
      <c r="A311" s="80">
        <f t="shared" si="13"/>
        <v>34</v>
      </c>
      <c r="B311" s="115" t="s">
        <v>645</v>
      </c>
      <c r="C311" s="113" t="str">
        <f>IFERROR(VLOOKUP(B311,'02. MM-KLH'!$B$6:$T$823,2,0),"")</f>
        <v>MỚI</v>
      </c>
      <c r="D311" s="95" t="str">
        <f>IFERROR(VLOOKUP(B311,'02. MM-KLH'!$B$6:$T$823,3,0),"")</f>
        <v>A22-XTA-048</v>
      </c>
      <c r="E311" s="86" t="str">
        <f>IFERROR(VLOOKUP(B311,'02. MM-KLH'!$B$6:$T$823,4,0),"")</f>
        <v>3A-6800</v>
      </c>
      <c r="F311" s="115"/>
      <c r="G311" s="86" t="str">
        <f>IFERROR(VLOOKUP(B311,'02. MM-KLH'!$B$6:$T$823,6,0),"")</f>
        <v>Xe ben FD120</v>
      </c>
      <c r="H311" s="80" t="s">
        <v>4525</v>
      </c>
      <c r="I311" s="80" t="str">
        <f>IFERROR(VLOOKUP(B311,'02. MM-KLH'!$B$6:$T$823,8,0),"")</f>
        <v>CGTC AD</v>
      </c>
      <c r="J311" s="99">
        <f>IFERROR(VLOOKUP(B311,'02. MM-KLH'!$B$6:$T$823,9,0),"")</f>
        <v>45936</v>
      </c>
      <c r="K311" s="80" t="str">
        <f>IFERROR(VLOOKUP(B311,'02. MM-KLH'!$B$6:$T$823,10,0),"")</f>
        <v>Bình thường</v>
      </c>
      <c r="L311" s="102" t="str">
        <f>IFERROR(VLOOKUP(B311,'02. MM-KLH'!$B$6:$T$823,11,0),"")</f>
        <v/>
      </c>
      <c r="M311" s="143" t="str">
        <f>IFERROR(VLOOKUP(B311,'02. MM-KLH'!$B$6:$T$823,12,0),"")</f>
        <v>-</v>
      </c>
      <c r="N311" s="108" t="str">
        <f>IFERROR(VLOOKUP(B311,'02. MM-KLH'!$B$6:$T$823,13,0),"")</f>
        <v>FORLAND</v>
      </c>
      <c r="O311" s="108" t="str">
        <f>IFERROR(VLOOKUP(B311,'02. MM-KLH'!$B$6:$T$823,14,0),"")</f>
        <v>Việt Nam</v>
      </c>
      <c r="P311" s="80">
        <f>IFERROR(VLOOKUP(B311,'02. MM-KLH'!$B$6:$T$823,15,0),"")</f>
        <v>2024</v>
      </c>
      <c r="Q311" s="80" t="str">
        <f>IFERROR(VLOOKUP(B311,'02. MM-KLH'!$B$6:$T$823,16,0),"")</f>
        <v>FD120-4WD</v>
      </c>
      <c r="R311" s="106" t="str">
        <f>IFERROR(VLOOKUP(B311,'02. MM-KLH'!$B$6:$T$823,17,0),"")</f>
        <v>129HP</v>
      </c>
      <c r="S311" s="108" t="str">
        <f>IFERROR(VLOOKUP(B311,'02. MM-KLH'!$B$6:$T$823,18,0),"")</f>
        <v>RNHF12FNBRT002066</v>
      </c>
      <c r="T311" s="110" t="str">
        <f>IFERROR(VLOOKUP(B311,'02. MM-KLH'!$B$6:$T$823,19,0),"")</f>
        <v>YN38CRD1*AGN22000246*</v>
      </c>
      <c r="U311" s="130" t="s">
        <v>2301</v>
      </c>
    </row>
    <row r="312" ht="29.25" customHeight="1">
      <c r="A312" s="80">
        <f t="shared" si="13"/>
        <v>35</v>
      </c>
      <c r="B312" s="113" t="s">
        <v>916</v>
      </c>
      <c r="C312" s="113" t="str">
        <f>IFERROR(VLOOKUP(B312,'02. MM-KLH'!$B$6:$T$823,2,0),"")</f>
        <v>67111 (CHT-XTA-020)</v>
      </c>
      <c r="D312" s="95" t="str">
        <f>IFERROR(VLOOKUP(B312,'02. MM-KLH'!$B$6:$T$823,3,0),"")</f>
        <v>A23-XTA-003</v>
      </c>
      <c r="E312" s="86" t="str">
        <f>IFERROR(VLOOKUP(B312,'02. MM-KLH'!$B$6:$T$823,4,0),"")</f>
        <v/>
      </c>
      <c r="F312" s="115" t="s">
        <v>1054</v>
      </c>
      <c r="G312" s="86" t="str">
        <f>IFERROR(VLOOKUP(B312,'02. MM-KLH'!$B$6:$T$823,6,0),"")</f>
        <v>Xe ben Forland FD990-4WDXTH4-5T</v>
      </c>
      <c r="H312" s="80" t="s">
        <v>5490</v>
      </c>
      <c r="I312" s="80" t="str">
        <f>IFERROR(VLOOKUP(B312,'02. MM-KLH'!$B$6:$T$823,8,0),"")</f>
        <v>XN Chuối DP1</v>
      </c>
      <c r="J312" s="99">
        <f>IFERROR(VLOOKUP(B312,'02. MM-KLH'!$B$6:$T$823,9,0),"")</f>
        <v>45632</v>
      </c>
      <c r="K312" s="80" t="str">
        <f>IFERROR(VLOOKUP(B312,'02. MM-KLH'!$B$6:$T$823,10,0),"")</f>
        <v>Bình thường</v>
      </c>
      <c r="L312" s="102">
        <f>IFERROR(VLOOKUP(B312,'02. MM-KLH'!$B$6:$T$823,11,0),"")</f>
        <v>1</v>
      </c>
      <c r="M312" s="143" t="str">
        <f>IFERROR(VLOOKUP(B312,'02. MM-KLH'!$B$6:$T$823,12,0),"")</f>
        <v>Đ.chuyển từ CGTC DP ngày 07/02/2025
Đ.chuyển từ XN DP1 ngày 25/06/2024</v>
      </c>
      <c r="N312" s="108" t="str">
        <f>IFERROR(VLOOKUP(B312,'02. MM-KLH'!$B$6:$T$823,13,0),"")</f>
        <v>THACO</v>
      </c>
      <c r="O312" s="108" t="str">
        <f>IFERROR(VLOOKUP(B312,'02. MM-KLH'!$B$6:$T$823,14,0),"")</f>
        <v>VIỆT NAM</v>
      </c>
      <c r="P312" s="80">
        <f>IFERROR(VLOOKUP(B312,'02. MM-KLH'!$B$6:$T$823,15,0),"")</f>
        <v>2024</v>
      </c>
      <c r="Q312" s="80" t="str">
        <f>IFERROR(VLOOKUP(B312,'02. MM-KLH'!$B$6:$T$823,16,0),"")</f>
        <v> FD990-4WD</v>
      </c>
      <c r="R312" s="106" t="str">
        <f>IFERROR(VLOOKUP(B312,'02. MM-KLH'!$B$6:$T$823,17,0),"")</f>
        <v>94HP</v>
      </c>
      <c r="S312" s="108" t="str">
        <f>IFERROR(VLOOKUP(B312,'02. MM-KLH'!$B$6:$T$823,18,0),"")</f>
        <v>RNHF99FACRT090613</v>
      </c>
      <c r="T312" s="110" t="str">
        <f>IFERROR(VLOOKUP(B312,'02. MM-KLH'!$B$6:$T$823,19,0),"")</f>
        <v>4DW93-95E4*B0576949*</v>
      </c>
      <c r="U312" s="130" t="s">
        <v>2301</v>
      </c>
    </row>
    <row r="313" ht="29.25" customHeight="1">
      <c r="A313" s="80">
        <f t="shared" si="13"/>
        <v>36</v>
      </c>
      <c r="B313" s="115" t="s">
        <v>925</v>
      </c>
      <c r="C313" s="113" t="str">
        <f>IFERROR(VLOOKUP(B313,'02. MM-KLH'!$B$6:$T$823,2,0),"")</f>
        <v>67272 (CHT-XTA-021)</v>
      </c>
      <c r="D313" s="95" t="str">
        <f>IFERROR(VLOOKUP(B313,'02. MM-KLH'!$B$6:$T$823,3,0),"")</f>
        <v>A23-XTA-004</v>
      </c>
      <c r="E313" s="86" t="str">
        <f>IFERROR(VLOOKUP(B313,'02. MM-KLH'!$B$6:$T$823,4,0),"")</f>
        <v/>
      </c>
      <c r="F313" s="115" t="s">
        <v>5525</v>
      </c>
      <c r="G313" s="86" t="str">
        <f>IFERROR(VLOOKUP(B313,'02. MM-KLH'!$B$6:$T$823,6,0),"")</f>
        <v>Xe ben Forland FD990-4WDXTH4-5T</v>
      </c>
      <c r="H313" s="80" t="s">
        <v>5490</v>
      </c>
      <c r="I313" s="80" t="str">
        <f>IFERROR(VLOOKUP(B313,'02. MM-KLH'!$B$6:$T$823,8,0),"")</f>
        <v>XN Chuối DP1</v>
      </c>
      <c r="J313" s="99">
        <f>IFERROR(VLOOKUP(B313,'02. MM-KLH'!$B$6:$T$823,9,0),"")</f>
        <v>45632</v>
      </c>
      <c r="K313" s="80" t="str">
        <f>IFERROR(VLOOKUP(B313,'02. MM-KLH'!$B$6:$T$823,10,0),"")</f>
        <v>Bình thường</v>
      </c>
      <c r="L313" s="102">
        <f>IFERROR(VLOOKUP(B313,'02. MM-KLH'!$B$6:$T$823,11,0),"")</f>
        <v>1</v>
      </c>
      <c r="M313" s="143" t="str">
        <f>IFERROR(VLOOKUP(B313,'02. MM-KLH'!$B$6:$T$823,12,0),"")</f>
        <v>Đ.chuyển từ CGTC DP ngày 07/02/2025
Đ.chuyển từ XN DP1 ngày 25/06/2024</v>
      </c>
      <c r="N313" s="108" t="str">
        <f>IFERROR(VLOOKUP(B313,'02. MM-KLH'!$B$6:$T$823,13,0),"")</f>
        <v>THACO</v>
      </c>
      <c r="O313" s="108" t="str">
        <f>IFERROR(VLOOKUP(B313,'02. MM-KLH'!$B$6:$T$823,14,0),"")</f>
        <v>VIỆT NAM</v>
      </c>
      <c r="P313" s="80">
        <f>IFERROR(VLOOKUP(B313,'02. MM-KLH'!$B$6:$T$823,15,0),"")</f>
        <v>2024</v>
      </c>
      <c r="Q313" s="80" t="str">
        <f>IFERROR(VLOOKUP(B313,'02. MM-KLH'!$B$6:$T$823,16,0),"")</f>
        <v> FD990-4WD</v>
      </c>
      <c r="R313" s="106" t="str">
        <f>IFERROR(VLOOKUP(B313,'02. MM-KLH'!$B$6:$T$823,17,0),"")</f>
        <v>94HP</v>
      </c>
      <c r="S313" s="108" t="str">
        <f>IFERROR(VLOOKUP(B313,'02. MM-KLH'!$B$6:$T$823,18,0),"")</f>
        <v>RNHF99FACRT090609</v>
      </c>
      <c r="T313" s="110" t="str">
        <f>IFERROR(VLOOKUP(B313,'02. MM-KLH'!$B$6:$T$823,19,0),"")</f>
        <v>4DW93-95E4*B0576971*</v>
      </c>
      <c r="U313" s="130" t="s">
        <v>2301</v>
      </c>
    </row>
    <row r="314" ht="29.25" customHeight="1">
      <c r="A314" s="80">
        <f t="shared" si="13"/>
        <v>37</v>
      </c>
      <c r="B314" s="115" t="s">
        <v>930</v>
      </c>
      <c r="C314" s="113" t="str">
        <f>IFERROR(VLOOKUP(B314,'02. MM-KLH'!$B$6:$T$823,2,0),"")</f>
        <v>68889 (CHT-XTA-022)</v>
      </c>
      <c r="D314" s="95" t="str">
        <f>IFERROR(VLOOKUP(B314,'02. MM-KLH'!$B$6:$T$823,3,0),"")</f>
        <v>A23-XTA-005</v>
      </c>
      <c r="E314" s="86" t="str">
        <f>IFERROR(VLOOKUP(B314,'02. MM-KLH'!$B$6:$T$823,4,0),"")</f>
        <v/>
      </c>
      <c r="F314" s="115" t="s">
        <v>5562</v>
      </c>
      <c r="G314" s="86" t="str">
        <f>IFERROR(VLOOKUP(B314,'02. MM-KLH'!$B$6:$T$823,6,0),"")</f>
        <v>Xe ben Forland FD990-4WDXTH4-5T</v>
      </c>
      <c r="H314" s="80" t="s">
        <v>5490</v>
      </c>
      <c r="I314" s="80" t="str">
        <f>IFERROR(VLOOKUP(B314,'02. MM-KLH'!$B$6:$T$823,8,0),"")</f>
        <v>XN Chuối DP1</v>
      </c>
      <c r="J314" s="99">
        <f>IFERROR(VLOOKUP(B314,'02. MM-KLH'!$B$6:$T$823,9,0),"")</f>
        <v>45632</v>
      </c>
      <c r="K314" s="80" t="str">
        <f>IFERROR(VLOOKUP(B314,'02. MM-KLH'!$B$6:$T$823,10,0),"")</f>
        <v>Bình thường</v>
      </c>
      <c r="L314" s="102">
        <f>IFERROR(VLOOKUP(B314,'02. MM-KLH'!$B$6:$T$823,11,0),"")</f>
        <v>1</v>
      </c>
      <c r="M314" s="143" t="str">
        <f>IFERROR(VLOOKUP(B314,'02. MM-KLH'!$B$6:$T$823,12,0),"")</f>
        <v>Đ.chuyển từ CGTC DP ngày 07/02/2025
Đ.chuyển từ XN DP1 ngày 25/06/2024</v>
      </c>
      <c r="N314" s="108" t="str">
        <f>IFERROR(VLOOKUP(B314,'02. MM-KLH'!$B$6:$T$823,13,0),"")</f>
        <v>THACO</v>
      </c>
      <c r="O314" s="108" t="str">
        <f>IFERROR(VLOOKUP(B314,'02. MM-KLH'!$B$6:$T$823,14,0),"")</f>
        <v>VIỆT NAM</v>
      </c>
      <c r="P314" s="80">
        <f>IFERROR(VLOOKUP(B314,'02. MM-KLH'!$B$6:$T$823,15,0),"")</f>
        <v>2024</v>
      </c>
      <c r="Q314" s="80" t="str">
        <f>IFERROR(VLOOKUP(B314,'02. MM-KLH'!$B$6:$T$823,16,0),"")</f>
        <v> FD990-4WD</v>
      </c>
      <c r="R314" s="106" t="str">
        <f>IFERROR(VLOOKUP(B314,'02. MM-KLH'!$B$6:$T$823,17,0),"")</f>
        <v>94HP</v>
      </c>
      <c r="S314" s="108" t="str">
        <f>IFERROR(VLOOKUP(B314,'02. MM-KLH'!$B$6:$T$823,18,0),"")</f>
        <v>RNHF99FACRT087868</v>
      </c>
      <c r="T314" s="110" t="str">
        <f>IFERROR(VLOOKUP(B314,'02. MM-KLH'!$B$6:$T$823,19,0),"")</f>
        <v>4DW93-95E4*B0576946*</v>
      </c>
      <c r="U314" s="130" t="s">
        <v>2301</v>
      </c>
    </row>
    <row r="315" ht="29.25" customHeight="1">
      <c r="A315" s="80">
        <f t="shared" si="13"/>
        <v>38</v>
      </c>
      <c r="B315" s="115" t="s">
        <v>936</v>
      </c>
      <c r="C315" s="113" t="str">
        <f>IFERROR(VLOOKUP(B315,'02. MM-KLH'!$B$6:$T$823,2,0),"")</f>
        <v>67112 (CHT-XTA-023)</v>
      </c>
      <c r="D315" s="95" t="str">
        <f>IFERROR(VLOOKUP(B315,'02. MM-KLH'!$B$6:$T$823,3,0),"")</f>
        <v>A23-XTA-006</v>
      </c>
      <c r="E315" s="86" t="str">
        <f>IFERROR(VLOOKUP(B315,'02. MM-KLH'!$B$6:$T$823,4,0),"")</f>
        <v/>
      </c>
      <c r="F315" s="115" t="s">
        <v>5595</v>
      </c>
      <c r="G315" s="86" t="str">
        <f>IFERROR(VLOOKUP(B315,'02. MM-KLH'!$B$6:$T$823,6,0),"")</f>
        <v>Xe ben Forland FD990-4WDXTH4-5T</v>
      </c>
      <c r="H315" s="80" t="s">
        <v>5490</v>
      </c>
      <c r="I315" s="80" t="str">
        <f>IFERROR(VLOOKUP(B315,'02. MM-KLH'!$B$6:$T$823,8,0),"")</f>
        <v>XN Chuối DP1</v>
      </c>
      <c r="J315" s="99">
        <f>IFERROR(VLOOKUP(B315,'02. MM-KLH'!$B$6:$T$823,9,0),"")</f>
        <v>45632</v>
      </c>
      <c r="K315" s="80" t="str">
        <f>IFERROR(VLOOKUP(B315,'02. MM-KLH'!$B$6:$T$823,10,0),"")</f>
        <v>Bình thường</v>
      </c>
      <c r="L315" s="102">
        <f>IFERROR(VLOOKUP(B315,'02. MM-KLH'!$B$6:$T$823,11,0),"")</f>
        <v>1</v>
      </c>
      <c r="M315" s="143" t="str">
        <f>IFERROR(VLOOKUP(B315,'02. MM-KLH'!$B$6:$T$823,12,0),"")</f>
        <v>Đ.chuyển từ CGTC DP ngày 07/02/2025
Đ.chuyển từ XN DP1 ngày 25/06/2024</v>
      </c>
      <c r="N315" s="108" t="str">
        <f>IFERROR(VLOOKUP(B315,'02. MM-KLH'!$B$6:$T$823,13,0),"")</f>
        <v>THACO</v>
      </c>
      <c r="O315" s="108" t="str">
        <f>IFERROR(VLOOKUP(B315,'02. MM-KLH'!$B$6:$T$823,14,0),"")</f>
        <v>VIỆT NAM</v>
      </c>
      <c r="P315" s="80">
        <f>IFERROR(VLOOKUP(B315,'02. MM-KLH'!$B$6:$T$823,15,0),"")</f>
        <v>2024</v>
      </c>
      <c r="Q315" s="80" t="str">
        <f>IFERROR(VLOOKUP(B315,'02. MM-KLH'!$B$6:$T$823,16,0),"")</f>
        <v> FD990-4WD</v>
      </c>
      <c r="R315" s="106" t="str">
        <f>IFERROR(VLOOKUP(B315,'02. MM-KLH'!$B$6:$T$823,17,0),"")</f>
        <v>94HP</v>
      </c>
      <c r="S315" s="108" t="str">
        <f>IFERROR(VLOOKUP(B315,'02. MM-KLH'!$B$6:$T$823,18,0),"")</f>
        <v>RNHF99FACRT090610</v>
      </c>
      <c r="T315" s="110" t="str">
        <f>IFERROR(VLOOKUP(B315,'02. MM-KLH'!$B$6:$T$823,19,0),"")</f>
        <v>4DW93-95E4*B0576959*</v>
      </c>
      <c r="U315" s="130" t="s">
        <v>2301</v>
      </c>
    </row>
    <row r="316" ht="31.5" customHeight="1">
      <c r="A316" s="80">
        <f t="shared" si="13"/>
        <v>39</v>
      </c>
      <c r="B316" s="183" t="s">
        <v>1052</v>
      </c>
      <c r="C316" s="113" t="str">
        <f>IFERROR(VLOOKUP(B316,'02. MM-KLH'!$B$6:$T$823,2,0),"")</f>
        <v>XL3-XTA-003</v>
      </c>
      <c r="D316" s="95" t="str">
        <f>IFERROR(VLOOKUP(B316,'02. MM-KLH'!$B$6:$T$823,3,0),"")</f>
        <v>A24-XTA-003</v>
      </c>
      <c r="E316" s="86" t="str">
        <f>IFERROR(VLOOKUP(B316,'02. MM-KLH'!$B$6:$T$823,4,0),"")</f>
        <v/>
      </c>
      <c r="F316" s="115"/>
      <c r="G316" s="86" t="str">
        <f>IFERROR(VLOOKUP(B316,'02. MM-KLH'!$B$6:$T$823,6,0),"")</f>
        <v>Xe ben Forland FD990-4WDXTH4-5T</v>
      </c>
      <c r="H316" s="80" t="s">
        <v>5490</v>
      </c>
      <c r="I316" s="80" t="str">
        <f>IFERROR(VLOOKUP(B316,'02. MM-KLH'!$B$6:$T$823,8,0),"")</f>
        <v>XN Chuối DP2</v>
      </c>
      <c r="J316" s="99">
        <f>IFERROR(VLOOKUP(B316,'02. MM-KLH'!$B$6:$T$823,9,0),"")</f>
        <v>45569</v>
      </c>
      <c r="K316" s="80" t="str">
        <f>IFERROR(VLOOKUP(B316,'02. MM-KLH'!$B$6:$T$823,10,0),"")</f>
        <v>Bình thường</v>
      </c>
      <c r="L316" s="102" t="str">
        <f>IFERROR(VLOOKUP(B316,'02. MM-KLH'!$B$6:$T$823,11,0),"")</f>
        <v/>
      </c>
      <c r="M316" s="143" t="str">
        <f>IFERROR(VLOOKUP(B316,'02. MM-KLH'!$B$6:$T$823,12,0),"")</f>
        <v>LP3 bàn giao DP2 ngày 07/02/2025 
-XN LP3 bàn giao ngày 10/10/2024</v>
      </c>
      <c r="N316" s="108" t="str">
        <f>IFERROR(VLOOKUP(B316,'02. MM-KLH'!$B$6:$T$823,13,0),"")</f>
        <v>THACO FORLAND</v>
      </c>
      <c r="O316" s="108" t="str">
        <f>IFERROR(VLOOKUP(B316,'02. MM-KLH'!$B$6:$T$823,14,0),"")</f>
        <v>VIỆT NAM</v>
      </c>
      <c r="P316" s="80">
        <f>IFERROR(VLOOKUP(B316,'02. MM-KLH'!$B$6:$T$823,15,0),"")</f>
        <v>2023</v>
      </c>
      <c r="Q316" s="80" t="str">
        <f>IFERROR(VLOOKUP(B316,'02. MM-KLH'!$B$6:$T$823,16,0),"")</f>
        <v> FD990-4WD</v>
      </c>
      <c r="R316" s="106" t="str">
        <f>IFERROR(VLOOKUP(B316,'02. MM-KLH'!$B$6:$T$823,17,0),"")</f>
        <v>100HP</v>
      </c>
      <c r="S316" s="108" t="str">
        <f>IFERROR(VLOOKUP(B316,'02. MM-KLH'!$B$6:$T$823,18,0),"")</f>
        <v>RNHF99FACPT075129</v>
      </c>
      <c r="T316" s="110" t="str">
        <f>IFERROR(VLOOKUP(B316,'02. MM-KLH'!$B$6:$T$823,19,0),"")</f>
        <v>4DW9395E4B0576690</v>
      </c>
      <c r="U316" s="130" t="s">
        <v>2301</v>
      </c>
    </row>
    <row r="317" ht="26.25" customHeight="1">
      <c r="A317" s="80">
        <f t="shared" si="13"/>
        <v>40</v>
      </c>
      <c r="B317" s="183" t="s">
        <v>1043</v>
      </c>
      <c r="C317" s="113" t="str">
        <f>IFERROR(VLOOKUP(B317,'02. MM-KLH'!$B$6:$T$823,2,0),"")</f>
        <v>MỚI</v>
      </c>
      <c r="D317" s="95" t="str">
        <f>IFERROR(VLOOKUP(B317,'02. MM-KLH'!$B$6:$T$823,3,0),"")</f>
        <v>A23-XTA-019</v>
      </c>
      <c r="E317" s="86" t="str">
        <f>IFERROR(VLOOKUP(B317,'02. MM-KLH'!$B$6:$T$823,4,0),"")</f>
        <v/>
      </c>
      <c r="F317" s="134"/>
      <c r="G317" s="86" t="str">
        <f>IFERROR(VLOOKUP(B317,'02. MM-KLH'!$B$6:$T$823,6,0),"")</f>
        <v>Xe ben Forland FD990-4WDXTH4-5T</v>
      </c>
      <c r="H317" s="80" t="s">
        <v>5490</v>
      </c>
      <c r="I317" s="80" t="str">
        <f>IFERROR(VLOOKUP(B317,'02. MM-KLH'!$B$6:$T$823,8,0),"")</f>
        <v>XN Chuối DP2</v>
      </c>
      <c r="J317" s="99" t="str">
        <f>IFERROR(VLOOKUP(B317,'02. MM-KLH'!$B$6:$T$823,9,0),"")</f>
        <v>30/07/2024</v>
      </c>
      <c r="K317" s="80" t="str">
        <f>IFERROR(VLOOKUP(B317,'02. MM-KLH'!$B$6:$T$823,10,0),"")</f>
        <v>Bình thường</v>
      </c>
      <c r="L317" s="102" t="str">
        <f>IFERROR(VLOOKUP(B317,'02. MM-KLH'!$B$6:$T$823,11,0),"")</f>
        <v/>
      </c>
      <c r="M317" s="143" t="str">
        <f>IFERROR(VLOOKUP(B317,'02. MM-KLH'!$B$6:$T$823,12,0),"")</f>
        <v>Bàn giao về XDCB Ngày 30.07.2024</v>
      </c>
      <c r="N317" s="108" t="str">
        <f>IFERROR(VLOOKUP(B317,'02. MM-KLH'!$B$6:$T$823,13,0),"")</f>
        <v>FORLAND</v>
      </c>
      <c r="O317" s="108" t="str">
        <f>IFERROR(VLOOKUP(B317,'02. MM-KLH'!$B$6:$T$823,14,0),"")</f>
        <v>Việt Nam</v>
      </c>
      <c r="P317" s="80">
        <f>IFERROR(VLOOKUP(B317,'02. MM-KLH'!$B$6:$T$823,15,0),"")</f>
        <v>2024</v>
      </c>
      <c r="Q317" s="80" t="str">
        <f>IFERROR(VLOOKUP(B317,'02. MM-KLH'!$B$6:$T$823,16,0),"")</f>
        <v> FD990-4WD</v>
      </c>
      <c r="R317" s="106" t="str">
        <f>IFERROR(VLOOKUP(B317,'02. MM-KLH'!$B$6:$T$823,17,0),"")</f>
        <v>94HP</v>
      </c>
      <c r="S317" s="108" t="str">
        <f>IFERROR(VLOOKUP(B317,'02. MM-KLH'!$B$6:$T$823,18,0),"")</f>
        <v>RNHF99FACRT092728</v>
      </c>
      <c r="T317" s="110" t="str">
        <f>IFERROR(VLOOKUP(B317,'02. MM-KLH'!$B$6:$T$823,19,0),"")</f>
        <v>B0576976</v>
      </c>
      <c r="U317" s="130" t="s">
        <v>2301</v>
      </c>
    </row>
    <row r="318" ht="39.75" customHeight="1">
      <c r="A318" s="80">
        <f t="shared" si="13"/>
        <v>41</v>
      </c>
      <c r="B318" s="183" t="s">
        <v>1048</v>
      </c>
      <c r="C318" s="113" t="str">
        <f>IFERROR(VLOOKUP(B318,'02. MM-KLH'!$B$6:$T$823,2,0),"")</f>
        <v>MỚI</v>
      </c>
      <c r="D318" s="95" t="str">
        <f>IFERROR(VLOOKUP(B318,'02. MM-KLH'!$B$6:$T$823,3,0),"")</f>
        <v>A23-XTA-020</v>
      </c>
      <c r="E318" s="86" t="str">
        <f>IFERROR(VLOOKUP(B318,'02. MM-KLH'!$B$6:$T$823,4,0),"")</f>
        <v/>
      </c>
      <c r="F318" s="134"/>
      <c r="G318" s="86" t="str">
        <f>IFERROR(VLOOKUP(B318,'02. MM-KLH'!$B$6:$T$823,6,0),"")</f>
        <v>Xe ben Forland FD990-4WDXTH4-5T</v>
      </c>
      <c r="H318" s="80" t="s">
        <v>5490</v>
      </c>
      <c r="I318" s="80" t="str">
        <f>IFERROR(VLOOKUP(B318,'02. MM-KLH'!$B$6:$T$823,8,0),"")</f>
        <v>XN Chuối DP2</v>
      </c>
      <c r="J318" s="99" t="str">
        <f>IFERROR(VLOOKUP(B318,'02. MM-KLH'!$B$6:$T$823,9,0),"")</f>
        <v>30/07/2024</v>
      </c>
      <c r="K318" s="80" t="str">
        <f>IFERROR(VLOOKUP(B318,'02. MM-KLH'!$B$6:$T$823,10,0),"")</f>
        <v>Bình thường</v>
      </c>
      <c r="L318" s="102" t="str">
        <f>IFERROR(VLOOKUP(B318,'02. MM-KLH'!$B$6:$T$823,11,0),"")</f>
        <v/>
      </c>
      <c r="M318" s="143" t="str">
        <f>IFERROR(VLOOKUP(B318,'02. MM-KLH'!$B$6:$T$823,12,0),"")</f>
        <v>Bàn giao về XDCB Ngày 30.07.2024
- xe bị TN ngày 09/04/2025
- xe TN đã lấy về ngày 25/07/2025</v>
      </c>
      <c r="N318" s="108" t="str">
        <f>IFERROR(VLOOKUP(B318,'02. MM-KLH'!$B$6:$T$823,13,0),"")</f>
        <v>FORLAND</v>
      </c>
      <c r="O318" s="108" t="str">
        <f>IFERROR(VLOOKUP(B318,'02. MM-KLH'!$B$6:$T$823,14,0),"")</f>
        <v>Việt Nam</v>
      </c>
      <c r="P318" s="80">
        <f>IFERROR(VLOOKUP(B318,'02. MM-KLH'!$B$6:$T$823,15,0),"")</f>
        <v>2024</v>
      </c>
      <c r="Q318" s="80" t="str">
        <f>IFERROR(VLOOKUP(B318,'02. MM-KLH'!$B$6:$T$823,16,0),"")</f>
        <v> FD990-4WD</v>
      </c>
      <c r="R318" s="106" t="str">
        <f>IFERROR(VLOOKUP(B318,'02. MM-KLH'!$B$6:$T$823,17,0),"")</f>
        <v>94HP</v>
      </c>
      <c r="S318" s="108" t="str">
        <f>IFERROR(VLOOKUP(B318,'02. MM-KLH'!$B$6:$T$823,18,0),"")</f>
        <v>RNHF99FACRT092729</v>
      </c>
      <c r="T318" s="110" t="str">
        <f>IFERROR(VLOOKUP(B318,'02. MM-KLH'!$B$6:$T$823,19,0),"")</f>
        <v>B0577298</v>
      </c>
      <c r="U318" s="130" t="s">
        <v>2301</v>
      </c>
    </row>
    <row r="319" ht="24.0" customHeight="1">
      <c r="A319" s="80">
        <f t="shared" si="13"/>
        <v>42</v>
      </c>
      <c r="B319" s="115" t="s">
        <v>1172</v>
      </c>
      <c r="C319" s="113" t="str">
        <f>IFERROR(VLOOKUP(B319,'02. MM-KLH'!$B$6:$T$823,2,0),"")</f>
        <v/>
      </c>
      <c r="D319" s="95" t="str">
        <f>IFERROR(VLOOKUP(B319,'02. MM-KLH'!$B$6:$T$823,3,0),"")</f>
        <v>A23-XTA-021</v>
      </c>
      <c r="E319" s="86" t="str">
        <f>IFERROR(VLOOKUP(B319,'02. MM-KLH'!$B$6:$T$823,4,0),"")</f>
        <v>3A-6810</v>
      </c>
      <c r="F319" s="115"/>
      <c r="G319" s="86" t="str">
        <f>IFERROR(VLOOKUP(B319,'02. MM-KLH'!$B$6:$T$823,6,0),"")</f>
        <v>Xe ben Forland FD990-4WDXTH4-5T</v>
      </c>
      <c r="H319" s="80" t="s">
        <v>5490</v>
      </c>
      <c r="I319" s="80" t="str">
        <f>IFERROR(VLOOKUP(B319,'02. MM-KLH'!$B$6:$T$823,8,0),"")</f>
        <v>XN Chuối DP3</v>
      </c>
      <c r="J319" s="99" t="str">
        <f>IFERROR(VLOOKUP(B319,'02. MM-KLH'!$B$6:$T$823,9,0),"")</f>
        <v>30/07/2024</v>
      </c>
      <c r="K319" s="80" t="str">
        <f>IFERROR(VLOOKUP(B319,'02. MM-KLH'!$B$6:$T$823,10,0),"")</f>
        <v>Bình thường</v>
      </c>
      <c r="L319" s="102" t="str">
        <f>IFERROR(VLOOKUP(B319,'02. MM-KLH'!$B$6:$T$823,11,0),"")</f>
        <v/>
      </c>
      <c r="M319" s="143" t="str">
        <f>IFERROR(VLOOKUP(B319,'02. MM-KLH'!$B$6:$T$823,12,0),"")</f>
        <v>Bàn giao về XDCB ngày 30.07.2024</v>
      </c>
      <c r="N319" s="108" t="str">
        <f>IFERROR(VLOOKUP(B319,'02. MM-KLH'!$B$6:$T$823,13,0),"")</f>
        <v>FORLAND</v>
      </c>
      <c r="O319" s="108" t="str">
        <f>IFERROR(VLOOKUP(B319,'02. MM-KLH'!$B$6:$T$823,14,0),"")</f>
        <v>Việt Nam</v>
      </c>
      <c r="P319" s="80">
        <f>IFERROR(VLOOKUP(B319,'02. MM-KLH'!$B$6:$T$823,15,0),"")</f>
        <v>2024</v>
      </c>
      <c r="Q319" s="80" t="str">
        <f>IFERROR(VLOOKUP(B319,'02. MM-KLH'!$B$6:$T$823,16,0),"")</f>
        <v> FD990-4WD</v>
      </c>
      <c r="R319" s="106" t="str">
        <f>IFERROR(VLOOKUP(B319,'02. MM-KLH'!$B$6:$T$823,17,0),"")</f>
        <v>94HP</v>
      </c>
      <c r="S319" s="108" t="str">
        <f>IFERROR(VLOOKUP(B319,'02. MM-KLH'!$B$6:$T$823,18,0),"")</f>
        <v>RNHF99FACRT092725</v>
      </c>
      <c r="T319" s="110" t="str">
        <f>IFERROR(VLOOKUP(B319,'02. MM-KLH'!$B$6:$T$823,19,0),"")</f>
        <v>B0576973</v>
      </c>
      <c r="U319" s="130" t="s">
        <v>2301</v>
      </c>
    </row>
    <row r="320" ht="24.0" customHeight="1">
      <c r="A320" s="80">
        <f t="shared" si="13"/>
        <v>43</v>
      </c>
      <c r="B320" s="115" t="s">
        <v>1177</v>
      </c>
      <c r="C320" s="113" t="str">
        <f>IFERROR(VLOOKUP(B320,'02. MM-KLH'!$B$6:$T$823,2,0),"")</f>
        <v/>
      </c>
      <c r="D320" s="95" t="str">
        <f>IFERROR(VLOOKUP(B320,'02. MM-KLH'!$B$6:$T$823,3,0),"")</f>
        <v>A23-XTA-022</v>
      </c>
      <c r="E320" s="86" t="str">
        <f>IFERROR(VLOOKUP(B320,'02. MM-KLH'!$B$6:$T$823,4,0),"")</f>
        <v>3A-6811</v>
      </c>
      <c r="F320" s="115"/>
      <c r="G320" s="86" t="str">
        <f>IFERROR(VLOOKUP(B320,'02. MM-KLH'!$B$6:$T$823,6,0),"")</f>
        <v>Xe ben Forland FD990-4WDXTH4-5T</v>
      </c>
      <c r="H320" s="80" t="s">
        <v>5490</v>
      </c>
      <c r="I320" s="80" t="str">
        <f>IFERROR(VLOOKUP(B320,'02. MM-KLH'!$B$6:$T$823,8,0),"")</f>
        <v>XN Chuối DP3</v>
      </c>
      <c r="J320" s="99" t="str">
        <f>IFERROR(VLOOKUP(B320,'02. MM-KLH'!$B$6:$T$823,9,0),"")</f>
        <v>30/07/2024</v>
      </c>
      <c r="K320" s="80" t="str">
        <f>IFERROR(VLOOKUP(B320,'02. MM-KLH'!$B$6:$T$823,10,0),"")</f>
        <v>Bình thường</v>
      </c>
      <c r="L320" s="102" t="str">
        <f>IFERROR(VLOOKUP(B320,'02. MM-KLH'!$B$6:$T$823,11,0),"")</f>
        <v/>
      </c>
      <c r="M320" s="143" t="str">
        <f>IFERROR(VLOOKUP(B320,'02. MM-KLH'!$B$6:$T$823,12,0),"")</f>
        <v>Bàn giao về XDCB ngày 30.07.2024</v>
      </c>
      <c r="N320" s="108" t="str">
        <f>IFERROR(VLOOKUP(B320,'02. MM-KLH'!$B$6:$T$823,13,0),"")</f>
        <v>FORLAND</v>
      </c>
      <c r="O320" s="108" t="str">
        <f>IFERROR(VLOOKUP(B320,'02. MM-KLH'!$B$6:$T$823,14,0),"")</f>
        <v>Việt Nam</v>
      </c>
      <c r="P320" s="80">
        <f>IFERROR(VLOOKUP(B320,'02. MM-KLH'!$B$6:$T$823,15,0),"")</f>
        <v>2024</v>
      </c>
      <c r="Q320" s="80" t="str">
        <f>IFERROR(VLOOKUP(B320,'02. MM-KLH'!$B$6:$T$823,16,0),"")</f>
        <v> FD990-4WD</v>
      </c>
      <c r="R320" s="106" t="str">
        <f>IFERROR(VLOOKUP(B320,'02. MM-KLH'!$B$6:$T$823,17,0),"")</f>
        <v>94HP</v>
      </c>
      <c r="S320" s="108" t="str">
        <f>IFERROR(VLOOKUP(B320,'02. MM-KLH'!$B$6:$T$823,18,0),"")</f>
        <v>RNHF99FACRT090615</v>
      </c>
      <c r="T320" s="110" t="str">
        <f>IFERROR(VLOOKUP(B320,'02. MM-KLH'!$B$6:$T$823,19,0),"")</f>
        <v>B0576944</v>
      </c>
      <c r="U320" s="130" t="s">
        <v>2301</v>
      </c>
    </row>
    <row r="321" ht="33.0" customHeight="1">
      <c r="A321" s="80">
        <f t="shared" si="13"/>
        <v>44</v>
      </c>
      <c r="B321" s="115" t="s">
        <v>1181</v>
      </c>
      <c r="C321" s="113" t="str">
        <f>IFERROR(VLOOKUP(B321,'02. MM-KLH'!$B$6:$T$823,2,0),"")</f>
        <v>XL3-XTA-006</v>
      </c>
      <c r="D321" s="95" t="str">
        <f>IFERROR(VLOOKUP(B321,'02. MM-KLH'!$B$6:$T$823,3,0),"")</f>
        <v>A24-XTA-006</v>
      </c>
      <c r="E321" s="86" t="str">
        <f>IFERROR(VLOOKUP(B321,'02. MM-KLH'!$B$6:$T$823,4,0),"")</f>
        <v/>
      </c>
      <c r="F321" s="115"/>
      <c r="G321" s="86" t="str">
        <f>IFERROR(VLOOKUP(B321,'02. MM-KLH'!$B$6:$T$823,6,0),"")</f>
        <v>Xe ben Forland FD990-4WDXTH4-5T</v>
      </c>
      <c r="H321" s="80" t="s">
        <v>5490</v>
      </c>
      <c r="I321" s="80" t="str">
        <f>IFERROR(VLOOKUP(B321,'02. MM-KLH'!$B$6:$T$823,8,0),"")</f>
        <v>XN Chuối DP3</v>
      </c>
      <c r="J321" s="99">
        <f>IFERROR(VLOOKUP(B321,'02. MM-KLH'!$B$6:$T$823,9,0),"")</f>
        <v>45569</v>
      </c>
      <c r="K321" s="80" t="str">
        <f>IFERROR(VLOOKUP(B321,'02. MM-KLH'!$B$6:$T$823,10,0),"")</f>
        <v>Bình thường</v>
      </c>
      <c r="L321" s="102" t="str">
        <f>IFERROR(VLOOKUP(B321,'02. MM-KLH'!$B$6:$T$823,11,0),"")</f>
        <v/>
      </c>
      <c r="M321" s="143" t="str">
        <f>IFERROR(VLOOKUP(B321,'02. MM-KLH'!$B$6:$T$823,12,0),"")</f>
        <v>- LP3 bàn giao DP3 ngày 07/02/2025
-XN LP3 bàn giao ngày 10/10/2024</v>
      </c>
      <c r="N321" s="108" t="str">
        <f>IFERROR(VLOOKUP(B321,'02. MM-KLH'!$B$6:$T$823,13,0),"")</f>
        <v>THACO FORLAND</v>
      </c>
      <c r="O321" s="108" t="str">
        <f>IFERROR(VLOOKUP(B321,'02. MM-KLH'!$B$6:$T$823,14,0),"")</f>
        <v>VIỆT NAM</v>
      </c>
      <c r="P321" s="80">
        <f>IFERROR(VLOOKUP(B321,'02. MM-KLH'!$B$6:$T$823,15,0),"")</f>
        <v>2023</v>
      </c>
      <c r="Q321" s="80" t="str">
        <f>IFERROR(VLOOKUP(B321,'02. MM-KLH'!$B$6:$T$823,16,0),"")</f>
        <v> FD990-4WD</v>
      </c>
      <c r="R321" s="106" t="str">
        <f>IFERROR(VLOOKUP(B321,'02. MM-KLH'!$B$6:$T$823,17,0),"")</f>
        <v>100HP</v>
      </c>
      <c r="S321" s="108" t="str">
        <f>IFERROR(VLOOKUP(B321,'02. MM-KLH'!$B$6:$T$823,18,0),"")</f>
        <v>RNHF99FACRT087863</v>
      </c>
      <c r="T321" s="110" t="str">
        <f>IFERROR(VLOOKUP(B321,'02. MM-KLH'!$B$6:$T$823,19,0),"")</f>
        <v>4DW9395E4B0577289</v>
      </c>
      <c r="U321" s="130" t="s">
        <v>2301</v>
      </c>
    </row>
    <row r="322" ht="33.0" customHeight="1">
      <c r="A322" s="80">
        <f t="shared" si="13"/>
        <v>45</v>
      </c>
      <c r="B322" s="115" t="s">
        <v>1186</v>
      </c>
      <c r="C322" s="113" t="str">
        <f>IFERROR(VLOOKUP(B322,'02. MM-KLH'!$B$6:$T$823,2,0),"")</f>
        <v>XL3-XTA-007</v>
      </c>
      <c r="D322" s="95" t="str">
        <f>IFERROR(VLOOKUP(B322,'02. MM-KLH'!$B$6:$T$823,3,0),"")</f>
        <v>A24-XTA-007</v>
      </c>
      <c r="E322" s="86" t="str">
        <f>IFERROR(VLOOKUP(B322,'02. MM-KLH'!$B$6:$T$823,4,0),"")</f>
        <v/>
      </c>
      <c r="F322" s="115"/>
      <c r="G322" s="86" t="str">
        <f>IFERROR(VLOOKUP(B322,'02. MM-KLH'!$B$6:$T$823,6,0),"")</f>
        <v>Xe ben Forland FD990-4WDXTH4-5T</v>
      </c>
      <c r="H322" s="80" t="s">
        <v>5490</v>
      </c>
      <c r="I322" s="80" t="str">
        <f>IFERROR(VLOOKUP(B322,'02. MM-KLH'!$B$6:$T$823,8,0),"")</f>
        <v>XN Chuối DP3</v>
      </c>
      <c r="J322" s="99">
        <f>IFERROR(VLOOKUP(B322,'02. MM-KLH'!$B$6:$T$823,9,0),"")</f>
        <v>45569</v>
      </c>
      <c r="K322" s="80" t="str">
        <f>IFERROR(VLOOKUP(B322,'02. MM-KLH'!$B$6:$T$823,10,0),"")</f>
        <v>Bình thường</v>
      </c>
      <c r="L322" s="102" t="str">
        <f>IFERROR(VLOOKUP(B322,'02. MM-KLH'!$B$6:$T$823,11,0),"")</f>
        <v/>
      </c>
      <c r="M322" s="143" t="str">
        <f>IFERROR(VLOOKUP(B322,'02. MM-KLH'!$B$6:$T$823,12,0),"")</f>
        <v>XN LP3 bàn giao DP3 ngày 07/02/2025</v>
      </c>
      <c r="N322" s="108" t="str">
        <f>IFERROR(VLOOKUP(B322,'02. MM-KLH'!$B$6:$T$823,13,0),"")</f>
        <v>THACO FORLAND</v>
      </c>
      <c r="O322" s="108" t="str">
        <f>IFERROR(VLOOKUP(B322,'02. MM-KLH'!$B$6:$T$823,14,0),"")</f>
        <v>VIỆT NAM</v>
      </c>
      <c r="P322" s="80">
        <f>IFERROR(VLOOKUP(B322,'02. MM-KLH'!$B$6:$T$823,15,0),"")</f>
        <v>2023</v>
      </c>
      <c r="Q322" s="80" t="str">
        <f>IFERROR(VLOOKUP(B322,'02. MM-KLH'!$B$6:$T$823,16,0),"")</f>
        <v> FD990-4WD</v>
      </c>
      <c r="R322" s="106" t="str">
        <f>IFERROR(VLOOKUP(B322,'02. MM-KLH'!$B$6:$T$823,17,0),"")</f>
        <v>100HP</v>
      </c>
      <c r="S322" s="108" t="str">
        <f>IFERROR(VLOOKUP(B322,'02. MM-KLH'!$B$6:$T$823,18,0),"")</f>
        <v>RNHF99FACRT087864</v>
      </c>
      <c r="T322" s="110" t="str">
        <f>IFERROR(VLOOKUP(B322,'02. MM-KLH'!$B$6:$T$823,19,0),"")</f>
        <v>4DW9395E4B0577291</v>
      </c>
      <c r="U322" s="130" t="s">
        <v>2301</v>
      </c>
    </row>
    <row r="323" ht="24.75" customHeight="1">
      <c r="A323" s="80">
        <f t="shared" si="13"/>
        <v>46</v>
      </c>
      <c r="B323" s="115" t="s">
        <v>1191</v>
      </c>
      <c r="C323" s="113" t="str">
        <f>IFERROR(VLOOKUP(B323,'02. MM-KLH'!$B$6:$T$823,2,0),"")</f>
        <v>CHT-XTA-002</v>
      </c>
      <c r="D323" s="95" t="str">
        <f>IFERROR(VLOOKUP(B323,'02. MM-KLH'!$B$6:$T$823,3,0),"")</f>
        <v>A23-XTA-007</v>
      </c>
      <c r="E323" s="86" t="str">
        <f>IFERROR(VLOOKUP(B323,'02. MM-KLH'!$B$6:$T$823,4,0),"")</f>
        <v/>
      </c>
      <c r="F323" s="115"/>
      <c r="G323" s="86" t="str">
        <f>IFERROR(VLOOKUP(B323,'02. MM-KLH'!$B$6:$T$823,6,0),"")</f>
        <v>Xe ben FD850</v>
      </c>
      <c r="H323" s="80" t="s">
        <v>5490</v>
      </c>
      <c r="I323" s="80" t="str">
        <f>IFERROR(VLOOKUP(B323,'02. MM-KLH'!$B$6:$T$823,8,0),"")</f>
        <v>XN Chuối DP3</v>
      </c>
      <c r="J323" s="99" t="str">
        <f>IFERROR(VLOOKUP(B323,'02. MM-KLH'!$B$6:$T$823,9,0),"")</f>
        <v>31/01/2024</v>
      </c>
      <c r="K323" s="80" t="str">
        <f>IFERROR(VLOOKUP(B323,'02. MM-KLH'!$B$6:$T$823,10,0),"")</f>
        <v>Bình thường</v>
      </c>
      <c r="L323" s="102" t="str">
        <f>IFERROR(VLOOKUP(B323,'02. MM-KLH'!$B$6:$T$823,11,0),"")</f>
        <v/>
      </c>
      <c r="M323" s="143" t="str">
        <f>IFERROR(VLOOKUP(B323,'02. MM-KLH'!$B$6:$T$823,12,0),"")</f>
        <v>Từ CGTC DP qua HC KLH 28/01/2024
- P.QLVH bàn giao DP3 10/04/2026</v>
      </c>
      <c r="N323" s="108" t="str">
        <f>IFERROR(VLOOKUP(B323,'02. MM-KLH'!$B$6:$T$823,13,0),"")</f>
        <v>THACO FORLAND</v>
      </c>
      <c r="O323" s="108" t="str">
        <f>IFERROR(VLOOKUP(B323,'02. MM-KLH'!$B$6:$T$823,14,0),"")</f>
        <v>VIỆT NAM</v>
      </c>
      <c r="P323" s="80">
        <f>IFERROR(VLOOKUP(B323,'02. MM-KLH'!$B$6:$T$823,15,0),"")</f>
        <v>2010</v>
      </c>
      <c r="Q323" s="80" t="str">
        <f>IFERROR(VLOOKUP(B323,'02. MM-KLH'!$B$6:$T$823,16,0),"")</f>
        <v>FD850-8T</v>
      </c>
      <c r="R323" s="106" t="str">
        <f>IFERROR(VLOOKUP(B323,'02. MM-KLH'!$B$6:$T$823,17,0),"")</f>
        <v>140HP</v>
      </c>
      <c r="S323" s="108" t="str">
        <f>IFERROR(VLOOKUP(B323,'02. MM-KLH'!$B$6:$T$823,18,0),"")</f>
        <v>RNHF14FYAL0008847</v>
      </c>
      <c r="T323" s="110" t="str">
        <f>IFERROR(VLOOKUP(B323,'02. MM-KLH'!$B$6:$T$823,19,0),"")</f>
        <v>CCN</v>
      </c>
      <c r="U323" s="130" t="s">
        <v>79</v>
      </c>
    </row>
    <row r="324" ht="24.75" customHeight="1">
      <c r="A324" s="80">
        <f t="shared" si="13"/>
        <v>47</v>
      </c>
      <c r="B324" s="115" t="s">
        <v>1308</v>
      </c>
      <c r="C324" s="113" t="str">
        <f>IFERROR(VLOOKUP(B324,'02. MM-KLH'!$B$6:$T$823,2,0),"")</f>
        <v>65789 (CHT-XTA-018)</v>
      </c>
      <c r="D324" s="95" t="str">
        <f>IFERROR(VLOOKUP(B324,'02. MM-KLH'!$B$6:$T$823,3,0),"")</f>
        <v>A24-XTA-001</v>
      </c>
      <c r="E324" s="86" t="str">
        <f>IFERROR(VLOOKUP(B324,'02. MM-KLH'!$B$6:$T$823,4,0),"")</f>
        <v/>
      </c>
      <c r="F324" s="115" t="s">
        <v>5735</v>
      </c>
      <c r="G324" s="86" t="str">
        <f>IFERROR(VLOOKUP(B324,'02. MM-KLH'!$B$6:$T$823,6,0),"")</f>
        <v>Xe ben Forland FD990-4WDXTH4-5T</v>
      </c>
      <c r="H324" s="80" t="s">
        <v>5490</v>
      </c>
      <c r="I324" s="80" t="str">
        <f>IFERROR(VLOOKUP(B324,'02. MM-KLH'!$B$6:$T$823,8,0),"")</f>
        <v>XN Chuối LP1</v>
      </c>
      <c r="J324" s="99">
        <f>IFERROR(VLOOKUP(B324,'02. MM-KLH'!$B$6:$T$823,9,0),"")</f>
        <v>45632</v>
      </c>
      <c r="K324" s="80" t="str">
        <f>IFERROR(VLOOKUP(B324,'02. MM-KLH'!$B$6:$T$823,10,0),"")</f>
        <v>Bình thường</v>
      </c>
      <c r="L324" s="102">
        <f>IFERROR(VLOOKUP(B324,'02. MM-KLH'!$B$6:$T$823,11,0),"")</f>
        <v>1</v>
      </c>
      <c r="M324" s="143" t="str">
        <f>IFERROR(VLOOKUP(B324,'02. MM-KLH'!$B$6:$T$823,12,0),"")</f>
        <v>Đ.chuyển từ XN LP1 ngày 25/06/2024</v>
      </c>
      <c r="N324" s="108" t="str">
        <f>IFERROR(VLOOKUP(B324,'02. MM-KLH'!$B$6:$T$823,13,0),"")</f>
        <v>THACO FORLAND</v>
      </c>
      <c r="O324" s="108" t="str">
        <f>IFERROR(VLOOKUP(B324,'02. MM-KLH'!$B$6:$T$823,14,0),"")</f>
        <v>VIỆT NAM</v>
      </c>
      <c r="P324" s="80">
        <f>IFERROR(VLOOKUP(B324,'02. MM-KLH'!$B$6:$T$823,15,0),"")</f>
        <v>2024</v>
      </c>
      <c r="Q324" s="80" t="str">
        <f>IFERROR(VLOOKUP(B324,'02. MM-KLH'!$B$6:$T$823,16,0),"")</f>
        <v> FD990-4WD</v>
      </c>
      <c r="R324" s="106" t="str">
        <f>IFERROR(VLOOKUP(B324,'02. MM-KLH'!$B$6:$T$823,17,0),"")</f>
        <v>94HP</v>
      </c>
      <c r="S324" s="108" t="str">
        <f>IFERROR(VLOOKUP(B324,'02. MM-KLH'!$B$6:$T$823,18,0),"")</f>
        <v>RNHF99FACRT087866</v>
      </c>
      <c r="T324" s="110" t="str">
        <f>IFERROR(VLOOKUP(B324,'02. MM-KLH'!$B$6:$T$823,19,0),"")</f>
        <v>4DW93-95E4*B0577301*</v>
      </c>
      <c r="U324" s="130" t="s">
        <v>2301</v>
      </c>
    </row>
    <row r="325" ht="24.75" customHeight="1">
      <c r="A325" s="80">
        <f t="shared" si="13"/>
        <v>48</v>
      </c>
      <c r="B325" s="115" t="s">
        <v>1314</v>
      </c>
      <c r="C325" s="113" t="str">
        <f>IFERROR(VLOOKUP(B325,'02. MM-KLH'!$B$6:$T$823,2,0),"")</f>
        <v>68890 (CHT-XTA-019)</v>
      </c>
      <c r="D325" s="95" t="str">
        <f>IFERROR(VLOOKUP(B325,'02. MM-KLH'!$B$6:$T$823,3,0),"")</f>
        <v>A24-XTA-002</v>
      </c>
      <c r="E325" s="86" t="str">
        <f>IFERROR(VLOOKUP(B325,'02. MM-KLH'!$B$6:$T$823,4,0),"")</f>
        <v/>
      </c>
      <c r="F325" s="115" t="s">
        <v>5736</v>
      </c>
      <c r="G325" s="86" t="str">
        <f>IFERROR(VLOOKUP(B325,'02. MM-KLH'!$B$6:$T$823,6,0),"")</f>
        <v>Xe ben Forland FD990-4WDXTH4-5T</v>
      </c>
      <c r="H325" s="80" t="s">
        <v>5490</v>
      </c>
      <c r="I325" s="80" t="str">
        <f>IFERROR(VLOOKUP(B325,'02. MM-KLH'!$B$6:$T$823,8,0),"")</f>
        <v>XN Chuối LP1</v>
      </c>
      <c r="J325" s="99">
        <f>IFERROR(VLOOKUP(B325,'02. MM-KLH'!$B$6:$T$823,9,0),"")</f>
        <v>45632</v>
      </c>
      <c r="K325" s="80" t="str">
        <f>IFERROR(VLOOKUP(B325,'02. MM-KLH'!$B$6:$T$823,10,0),"")</f>
        <v>Bình thường</v>
      </c>
      <c r="L325" s="102">
        <f>IFERROR(VLOOKUP(B325,'02. MM-KLH'!$B$6:$T$823,11,0),"")</f>
        <v>0.99</v>
      </c>
      <c r="M325" s="143" t="str">
        <f>IFERROR(VLOOKUP(B325,'02. MM-KLH'!$B$6:$T$823,12,0),"")</f>
        <v>Đ.chuyển từ XN LP1 ngày 25/06/2024</v>
      </c>
      <c r="N325" s="108" t="str">
        <f>IFERROR(VLOOKUP(B325,'02. MM-KLH'!$B$6:$T$823,13,0),"")</f>
        <v>THACO FORLAND</v>
      </c>
      <c r="O325" s="108" t="str">
        <f>IFERROR(VLOOKUP(B325,'02. MM-KLH'!$B$6:$T$823,14,0),"")</f>
        <v>VIỆT NAM</v>
      </c>
      <c r="P325" s="80">
        <f>IFERROR(VLOOKUP(B325,'02. MM-KLH'!$B$6:$T$823,15,0),"")</f>
        <v>2024</v>
      </c>
      <c r="Q325" s="80" t="str">
        <f>IFERROR(VLOOKUP(B325,'02. MM-KLH'!$B$6:$T$823,16,0),"")</f>
        <v> FD990-4WD</v>
      </c>
      <c r="R325" s="106" t="str">
        <f>IFERROR(VLOOKUP(B325,'02. MM-KLH'!$B$6:$T$823,17,0),"")</f>
        <v>94HP</v>
      </c>
      <c r="S325" s="108" t="str">
        <f>IFERROR(VLOOKUP(B325,'02. MM-KLH'!$B$6:$T$823,18,0),"")</f>
        <v>RNHF99FACRT090611</v>
      </c>
      <c r="T325" s="110" t="str">
        <f>IFERROR(VLOOKUP(B325,'02. MM-KLH'!$B$6:$T$823,19,0),"")</f>
        <v>4DW93-95E4*B0576952*</v>
      </c>
      <c r="U325" s="130" t="s">
        <v>2301</v>
      </c>
    </row>
    <row r="326" ht="27.0" customHeight="1">
      <c r="A326" s="80">
        <f t="shared" si="13"/>
        <v>49</v>
      </c>
      <c r="B326" s="115" t="s">
        <v>1319</v>
      </c>
      <c r="C326" s="113" t="str">
        <f>IFERROR(VLOOKUP(B326,'02. MM-KLH'!$B$6:$T$823,2,0),"")</f>
        <v/>
      </c>
      <c r="D326" s="95" t="str">
        <f>IFERROR(VLOOKUP(B326,'02. MM-KLH'!$B$6:$T$823,3,0),"")</f>
        <v>A24-XTA-019</v>
      </c>
      <c r="E326" s="86" t="str">
        <f>IFERROR(VLOOKUP(B326,'02. MM-KLH'!$B$6:$T$823,4,0),"")</f>
        <v>3A-6812</v>
      </c>
      <c r="F326" s="115"/>
      <c r="G326" s="86" t="str">
        <f>IFERROR(VLOOKUP(B326,'02. MM-KLH'!$B$6:$T$823,6,0),"")</f>
        <v>Xe ben Forland FD990-4WDXTH4-5T</v>
      </c>
      <c r="H326" s="80" t="s">
        <v>5490</v>
      </c>
      <c r="I326" s="80" t="str">
        <f>IFERROR(VLOOKUP(B326,'02. MM-KLH'!$B$6:$T$823,8,0),"")</f>
        <v>XN Chuối LP1</v>
      </c>
      <c r="J326" s="99" t="str">
        <f>IFERROR(VLOOKUP(B326,'02. MM-KLH'!$B$6:$T$823,9,0),"")</f>
        <v>30/07/2024</v>
      </c>
      <c r="K326" s="80" t="str">
        <f>IFERROR(VLOOKUP(B326,'02. MM-KLH'!$B$6:$T$823,10,0),"")</f>
        <v>Bình thường</v>
      </c>
      <c r="L326" s="102" t="str">
        <f>IFERROR(VLOOKUP(B326,'02. MM-KLH'!$B$6:$T$823,11,0),"")</f>
        <v/>
      </c>
      <c r="M326" s="143" t="str">
        <f>IFERROR(VLOOKUP(B326,'02. MM-KLH'!$B$6:$T$823,12,0),"")</f>
        <v>Bàn giao về XDCB (LP1) ngày 30.07.2024</v>
      </c>
      <c r="N326" s="108" t="str">
        <f>IFERROR(VLOOKUP(B326,'02. MM-KLH'!$B$6:$T$823,13,0),"")</f>
        <v>THACO FORLAND</v>
      </c>
      <c r="O326" s="108" t="str">
        <f>IFERROR(VLOOKUP(B326,'02. MM-KLH'!$B$6:$T$823,14,0),"")</f>
        <v>VIỆT NAM</v>
      </c>
      <c r="P326" s="80">
        <f>IFERROR(VLOOKUP(B326,'02. MM-KLH'!$B$6:$T$823,15,0),"")</f>
        <v>2024</v>
      </c>
      <c r="Q326" s="80" t="str">
        <f>IFERROR(VLOOKUP(B326,'02. MM-KLH'!$B$6:$T$823,16,0),"")</f>
        <v> FD990-4WD</v>
      </c>
      <c r="R326" s="106" t="str">
        <f>IFERROR(VLOOKUP(B326,'02. MM-KLH'!$B$6:$T$823,17,0),"")</f>
        <v>94HP</v>
      </c>
      <c r="S326" s="108" t="str">
        <f>IFERROR(VLOOKUP(B326,'02. MM-KLH'!$B$6:$T$823,18,0),"")</f>
        <v>RNHF99FACRT090616</v>
      </c>
      <c r="T326" s="110" t="str">
        <f>IFERROR(VLOOKUP(B326,'02. MM-KLH'!$B$6:$T$823,19,0),"")</f>
        <v>B0577292</v>
      </c>
      <c r="U326" s="130" t="s">
        <v>2301</v>
      </c>
    </row>
    <row r="327" ht="29.25" customHeight="1">
      <c r="A327" s="80">
        <f t="shared" si="13"/>
        <v>50</v>
      </c>
      <c r="B327" s="115" t="s">
        <v>1463</v>
      </c>
      <c r="C327" s="113" t="str">
        <f>IFERROR(VLOOKUP(B327,'02. MM-KLH'!$B$6:$T$823,2,0),"")</f>
        <v>MỚI</v>
      </c>
      <c r="D327" s="95" t="str">
        <f>IFERROR(VLOOKUP(B327,'02. MM-KLH'!$B$6:$T$823,3,0),"")</f>
        <v>A24-XTA-008</v>
      </c>
      <c r="E327" s="86" t="str">
        <f>IFERROR(VLOOKUP(B327,'02. MM-KLH'!$B$6:$T$823,4,0),"")</f>
        <v/>
      </c>
      <c r="F327" s="115"/>
      <c r="G327" s="86" t="str">
        <f>IFERROR(VLOOKUP(B327,'02. MM-KLH'!$B$6:$T$823,6,0),"")</f>
        <v>Xe ben Forland FD990-4WDXTH4-5T</v>
      </c>
      <c r="H327" s="80" t="s">
        <v>5490</v>
      </c>
      <c r="I327" s="80" t="str">
        <f>IFERROR(VLOOKUP(B327,'02. MM-KLH'!$B$6:$T$823,8,0),"")</f>
        <v>XN Chuối LP3</v>
      </c>
      <c r="J327" s="99">
        <f>IFERROR(VLOOKUP(B327,'02. MM-KLH'!$B$6:$T$823,9,0),"")</f>
        <v>45569</v>
      </c>
      <c r="K327" s="80" t="str">
        <f>IFERROR(VLOOKUP(B327,'02. MM-KLH'!$B$6:$T$823,10,0),"")</f>
        <v>Bình thường</v>
      </c>
      <c r="L327" s="102" t="str">
        <f>IFERROR(VLOOKUP(B327,'02. MM-KLH'!$B$6:$T$823,11,0),"")</f>
        <v/>
      </c>
      <c r="M327" s="143" t="str">
        <f>IFERROR(VLOOKUP(B327,'02. MM-KLH'!$B$6:$T$823,12,0),"")</f>
        <v>- CGTC LP bàn giao ngày 07/02/2025
-XN LP3 bàn giao CGTC LP ngày 10/10/2024</v>
      </c>
      <c r="N327" s="108" t="str">
        <f>IFERROR(VLOOKUP(B327,'02. MM-KLH'!$B$6:$T$823,13,0),"")</f>
        <v>THACO FORLAND</v>
      </c>
      <c r="O327" s="108" t="str">
        <f>IFERROR(VLOOKUP(B327,'02. MM-KLH'!$B$6:$T$823,14,0),"")</f>
        <v>VIỆT NAM</v>
      </c>
      <c r="P327" s="80">
        <f>IFERROR(VLOOKUP(B327,'02. MM-KLH'!$B$6:$T$823,15,0),"")</f>
        <v>2023</v>
      </c>
      <c r="Q327" s="80" t="str">
        <f>IFERROR(VLOOKUP(B327,'02. MM-KLH'!$B$6:$T$823,16,0),"")</f>
        <v> FD990-4WD</v>
      </c>
      <c r="R327" s="106" t="str">
        <f>IFERROR(VLOOKUP(B327,'02. MM-KLH'!$B$6:$T$823,17,0),"")</f>
        <v>100HP</v>
      </c>
      <c r="S327" s="108" t="str">
        <f>IFERROR(VLOOKUP(B327,'02. MM-KLH'!$B$6:$T$823,18,0),"")</f>
        <v>RNHF99FACNT055633</v>
      </c>
      <c r="T327" s="110" t="str">
        <f>IFERROR(VLOOKUP(B327,'02. MM-KLH'!$B$6:$T$823,19,0),"")</f>
        <v>4DW9395E4B0530476</v>
      </c>
      <c r="U327" s="130" t="s">
        <v>2301</v>
      </c>
    </row>
    <row r="328" ht="33.0" customHeight="1">
      <c r="A328" s="80">
        <f t="shared" si="13"/>
        <v>51</v>
      </c>
      <c r="B328" s="115" t="s">
        <v>1469</v>
      </c>
      <c r="C328" s="113" t="str">
        <f>IFERROR(VLOOKUP(B328,'02. MM-KLH'!$B$6:$T$823,2,0),"")</f>
        <v>XL1-XTA-003</v>
      </c>
      <c r="D328" s="95" t="str">
        <f>IFERROR(VLOOKUP(B328,'02. MM-KLH'!$B$6:$T$823,3,0),"")</f>
        <v>A24-XTA-018</v>
      </c>
      <c r="E328" s="86" t="str">
        <f>IFERROR(VLOOKUP(B328,'02. MM-KLH'!$B$6:$T$823,4,0),"")</f>
        <v>3A-6824</v>
      </c>
      <c r="F328" s="115"/>
      <c r="G328" s="86" t="str">
        <f>IFERROR(VLOOKUP(B328,'02. MM-KLH'!$B$6:$T$823,6,0),"")</f>
        <v>Xe ben Forland FD990-4WDXTH4-5T</v>
      </c>
      <c r="H328" s="80" t="s">
        <v>5490</v>
      </c>
      <c r="I328" s="80" t="str">
        <f>IFERROR(VLOOKUP(B328,'02. MM-KLH'!$B$6:$T$823,8,0),"")</f>
        <v>XN Chuối LP3</v>
      </c>
      <c r="J328" s="99" t="str">
        <f>IFERROR(VLOOKUP(B328,'02. MM-KLH'!$B$6:$T$823,9,0),"")</f>
        <v>30/07/2024</v>
      </c>
      <c r="K328" s="80" t="str">
        <f>IFERROR(VLOOKUP(B328,'02. MM-KLH'!$B$6:$T$823,10,0),"")</f>
        <v>Bình thường</v>
      </c>
      <c r="L328" s="102" t="str">
        <f>IFERROR(VLOOKUP(B328,'02. MM-KLH'!$B$6:$T$823,11,0),"")</f>
        <v/>
      </c>
      <c r="M328" s="143" t="str">
        <f>IFERROR(VLOOKUP(B328,'02. MM-KLH'!$B$6:$T$823,12,0),"")</f>
        <v>LP1 bàn giao LP3 07/02/2025 
Bàn giao về XDCB (LP1) ngày 30.07.2024
Xe lắp bồn phun thuốc</v>
      </c>
      <c r="N328" s="108" t="str">
        <f>IFERROR(VLOOKUP(B328,'02. MM-KLH'!$B$6:$T$823,13,0),"")</f>
        <v>THACO FORLAND</v>
      </c>
      <c r="O328" s="108" t="str">
        <f>IFERROR(VLOOKUP(B328,'02. MM-KLH'!$B$6:$T$823,14,0),"")</f>
        <v>VIỆT NAM</v>
      </c>
      <c r="P328" s="80">
        <f>IFERROR(VLOOKUP(B328,'02. MM-KLH'!$B$6:$T$823,15,0),"")</f>
        <v>2024</v>
      </c>
      <c r="Q328" s="80" t="str">
        <f>IFERROR(VLOOKUP(B328,'02. MM-KLH'!$B$6:$T$823,16,0),"")</f>
        <v> FD990-4WD</v>
      </c>
      <c r="R328" s="106" t="str">
        <f>IFERROR(VLOOKUP(B328,'02. MM-KLH'!$B$6:$T$823,17,0),"")</f>
        <v>94HP</v>
      </c>
      <c r="S328" s="108" t="str">
        <f>IFERROR(VLOOKUP(B328,'02. MM-KLH'!$B$6:$T$823,18,0),"")</f>
        <v>RNHF99FACRT092726</v>
      </c>
      <c r="T328" s="110" t="str">
        <f>IFERROR(VLOOKUP(B328,'02. MM-KLH'!$B$6:$T$823,19,0),"")</f>
        <v>B0577285</v>
      </c>
      <c r="U328" s="130" t="s">
        <v>2301</v>
      </c>
    </row>
    <row r="329" ht="13.5" customHeight="1">
      <c r="A329" s="80">
        <f t="shared" si="13"/>
        <v>52</v>
      </c>
      <c r="B329" s="115" t="s">
        <v>1457</v>
      </c>
      <c r="C329" s="113" t="str">
        <f>IFERROR(VLOOKUP(B329,'02. MM-KLH'!$B$6:$T$823,2,0),"")</f>
        <v>MỚI</v>
      </c>
      <c r="D329" s="95" t="str">
        <f>IFERROR(VLOOKUP(B329,'02. MM-KLH'!$B$6:$T$823,3,0),"")</f>
        <v>A24-XTA-004</v>
      </c>
      <c r="E329" s="86" t="str">
        <f>IFERROR(VLOOKUP(B329,'02. MM-KLH'!$B$6:$T$823,4,0),"")</f>
        <v/>
      </c>
      <c r="F329" s="115"/>
      <c r="G329" s="86" t="str">
        <f>IFERROR(VLOOKUP(B329,'02. MM-KLH'!$B$6:$T$823,6,0),"")</f>
        <v>Xe ben Forland FD990-4WDXTH4-5T</v>
      </c>
      <c r="H329" s="80" t="s">
        <v>5490</v>
      </c>
      <c r="I329" s="80" t="str">
        <f>IFERROR(VLOOKUP(B329,'02. MM-KLH'!$B$6:$T$823,8,0),"")</f>
        <v>XN Chuối LP3</v>
      </c>
      <c r="J329" s="99">
        <f>IFERROR(VLOOKUP(B329,'02. MM-KLH'!$B$6:$T$823,9,0),"")</f>
        <v>45569</v>
      </c>
      <c r="K329" s="80" t="str">
        <f>IFERROR(VLOOKUP(B329,'02. MM-KLH'!$B$6:$T$823,10,0),"")</f>
        <v>Bình thường</v>
      </c>
      <c r="L329" s="102" t="str">
        <f>IFERROR(VLOOKUP(B329,'02. MM-KLH'!$B$6:$T$823,11,0),"")</f>
        <v/>
      </c>
      <c r="M329" s="143" t="str">
        <f>IFERROR(VLOOKUP(B329,'02. MM-KLH'!$B$6:$T$823,12,0),"")</f>
        <v/>
      </c>
      <c r="N329" s="108" t="str">
        <f>IFERROR(VLOOKUP(B329,'02. MM-KLH'!$B$6:$T$823,13,0),"")</f>
        <v>THACO FORLAND</v>
      </c>
      <c r="O329" s="108" t="str">
        <f>IFERROR(VLOOKUP(B329,'02. MM-KLH'!$B$6:$T$823,14,0),"")</f>
        <v>VIỆT NAM</v>
      </c>
      <c r="P329" s="80">
        <f>IFERROR(VLOOKUP(B329,'02. MM-KLH'!$B$6:$T$823,15,0),"")</f>
        <v>2023</v>
      </c>
      <c r="Q329" s="80" t="str">
        <f>IFERROR(VLOOKUP(B329,'02. MM-KLH'!$B$6:$T$823,16,0),"")</f>
        <v> FD990-4WD</v>
      </c>
      <c r="R329" s="106" t="str">
        <f>IFERROR(VLOOKUP(B329,'02. MM-KLH'!$B$6:$T$823,17,0),"")</f>
        <v>100HP</v>
      </c>
      <c r="S329" s="108" t="str">
        <f>IFERROR(VLOOKUP(B329,'02. MM-KLH'!$B$6:$T$823,18,0),"")</f>
        <v>RNHF99FACPT075130</v>
      </c>
      <c r="T329" s="110" t="str">
        <f>IFERROR(VLOOKUP(B329,'02. MM-KLH'!$B$6:$T$823,19,0),"")</f>
        <v>4DW9395E4B0575115</v>
      </c>
      <c r="U329" s="130" t="s">
        <v>2301</v>
      </c>
    </row>
    <row r="330" ht="13.5" customHeight="1">
      <c r="A330" s="80">
        <f t="shared" si="13"/>
        <v>53</v>
      </c>
      <c r="B330" s="115" t="s">
        <v>1460</v>
      </c>
      <c r="C330" s="113" t="str">
        <f>IFERROR(VLOOKUP(B330,'02. MM-KLH'!$B$6:$T$823,2,0),"")</f>
        <v>MỚI</v>
      </c>
      <c r="D330" s="95" t="str">
        <f>IFERROR(VLOOKUP(B330,'02. MM-KLH'!$B$6:$T$823,3,0),"")</f>
        <v>A24-XTA-005</v>
      </c>
      <c r="E330" s="86" t="str">
        <f>IFERROR(VLOOKUP(B330,'02. MM-KLH'!$B$6:$T$823,4,0),"")</f>
        <v/>
      </c>
      <c r="F330" s="115"/>
      <c r="G330" s="86" t="str">
        <f>IFERROR(VLOOKUP(B330,'02. MM-KLH'!$B$6:$T$823,6,0),"")</f>
        <v>Xe ben Forland FD990-4WDXTH4-5T</v>
      </c>
      <c r="H330" s="80" t="s">
        <v>5490</v>
      </c>
      <c r="I330" s="80" t="str">
        <f>IFERROR(VLOOKUP(B330,'02. MM-KLH'!$B$6:$T$823,8,0),"")</f>
        <v>XN Chuối LP3</v>
      </c>
      <c r="J330" s="99">
        <f>IFERROR(VLOOKUP(B330,'02. MM-KLH'!$B$6:$T$823,9,0),"")</f>
        <v>45569</v>
      </c>
      <c r="K330" s="80" t="str">
        <f>IFERROR(VLOOKUP(B330,'02. MM-KLH'!$B$6:$T$823,10,0),"")</f>
        <v>Bình thường</v>
      </c>
      <c r="L330" s="102" t="str">
        <f>IFERROR(VLOOKUP(B330,'02. MM-KLH'!$B$6:$T$823,11,0),"")</f>
        <v/>
      </c>
      <c r="M330" s="143" t="str">
        <f>IFERROR(VLOOKUP(B330,'02. MM-KLH'!$B$6:$T$823,12,0),"")</f>
        <v/>
      </c>
      <c r="N330" s="108" t="str">
        <f>IFERROR(VLOOKUP(B330,'02. MM-KLH'!$B$6:$T$823,13,0),"")</f>
        <v>THACO FORLAND</v>
      </c>
      <c r="O330" s="108" t="str">
        <f>IFERROR(VLOOKUP(B330,'02. MM-KLH'!$B$6:$T$823,14,0),"")</f>
        <v>VIỆT NAM</v>
      </c>
      <c r="P330" s="80">
        <f>IFERROR(VLOOKUP(B330,'02. MM-KLH'!$B$6:$T$823,15,0),"")</f>
        <v>2023</v>
      </c>
      <c r="Q330" s="80" t="str">
        <f>IFERROR(VLOOKUP(B330,'02. MM-KLH'!$B$6:$T$823,16,0),"")</f>
        <v> FD990-4WD</v>
      </c>
      <c r="R330" s="106" t="str">
        <f>IFERROR(VLOOKUP(B330,'02. MM-KLH'!$B$6:$T$823,17,0),"")</f>
        <v>100HP</v>
      </c>
      <c r="S330" s="108" t="str">
        <f>IFERROR(VLOOKUP(B330,'02. MM-KLH'!$B$6:$T$823,18,0),"")</f>
        <v>RNHF99FACPT076907</v>
      </c>
      <c r="T330" s="110" t="str">
        <f>IFERROR(VLOOKUP(B330,'02. MM-KLH'!$B$6:$T$823,19,0),"")</f>
        <v>4DW9395E4B0576687</v>
      </c>
      <c r="U330" s="130" t="s">
        <v>2301</v>
      </c>
    </row>
    <row r="331" ht="13.5" customHeight="1">
      <c r="A331" s="80">
        <f t="shared" si="13"/>
        <v>54</v>
      </c>
      <c r="B331" s="86" t="s">
        <v>2936</v>
      </c>
      <c r="C331" s="113" t="str">
        <f>IFERROR(VLOOKUP(B331,'02. MM-KLH'!$B$6:$T$823,2,0),"")</f>
        <v>XB1-XCP-007</v>
      </c>
      <c r="D331" s="95" t="str">
        <f>IFERROR(VLOOKUP(B331,'02. MM-KLH'!$B$6:$T$823,3,0),"")</f>
        <v>ATT-A22-0298</v>
      </c>
      <c r="E331" s="86" t="str">
        <f>IFERROR(VLOOKUP(B331,'02. MM-KLH'!$B$6:$T$823,4,0),"")</f>
        <v/>
      </c>
      <c r="F331" s="115" t="s">
        <v>2938</v>
      </c>
      <c r="G331" s="86" t="str">
        <f>IFERROR(VLOOKUP(B331,'02. MM-KLH'!$B$6:$T$823,6,0),"")</f>
        <v>Xe ben FD150 (8.7m3)</v>
      </c>
      <c r="H331" s="80" t="s">
        <v>5739</v>
      </c>
      <c r="I331" s="80" t="str">
        <f>IFERROR(VLOOKUP(B331,'02. MM-KLH'!$B$6:$T$823,8,0),"")</f>
        <v>Vườn tăng gia</v>
      </c>
      <c r="J331" s="99">
        <f>IFERROR(VLOOKUP(B331,'02. MM-KLH'!$B$6:$T$823,9,0),"")</f>
        <v>46089</v>
      </c>
      <c r="K331" s="80" t="str">
        <f>IFERROR(VLOOKUP(B331,'02. MM-KLH'!$B$6:$T$823,10,0),"")</f>
        <v>Bình thường</v>
      </c>
      <c r="L331" s="102">
        <f>IFERROR(VLOOKUP(B331,'02. MM-KLH'!$B$6:$T$823,11,0),"")</f>
        <v>0.97</v>
      </c>
      <c r="M331" s="143" t="str">
        <f>IFERROR(VLOOKUP(B331,'02. MM-KLH'!$B$6:$T$823,12,0),"")</f>
        <v> Điều chuyển từ xí nghiệp Bò qua ngày 02/08/2026</v>
      </c>
      <c r="N331" s="108" t="str">
        <f>IFERROR(VLOOKUP(B331,'02. MM-KLH'!$B$6:$T$823,13,0),"")</f>
        <v>THACO FORLAND</v>
      </c>
      <c r="O331" s="108" t="str">
        <f>IFERROR(VLOOKUP(B331,'02. MM-KLH'!$B$6:$T$823,14,0),"")</f>
        <v>VIỆT NAM</v>
      </c>
      <c r="P331" s="80">
        <f>IFERROR(VLOOKUP(B331,'02. MM-KLH'!$B$6:$T$823,15,0),"")</f>
        <v>2023</v>
      </c>
      <c r="Q331" s="80" t="str">
        <f>IFERROR(VLOOKUP(B331,'02. MM-KLH'!$B$6:$T$823,16,0),"")</f>
        <v>FD150-4WD</v>
      </c>
      <c r="R331" s="106" t="str">
        <f>IFERROR(VLOOKUP(B331,'02. MM-KLH'!$B$6:$T$823,17,0),"")</f>
        <v>150HP</v>
      </c>
      <c r="S331" s="108" t="str">
        <f>IFERROR(VLOOKUP(B331,'02. MM-KLH'!$B$6:$T$823,18,0),"")</f>
        <v>RNHF16FYAPTO77537</v>
      </c>
      <c r="T331" s="110" t="str">
        <f>IFERROR(VLOOKUP(B331,'02. MM-KLH'!$B$6:$T$823,19,0),"")</f>
        <v>YC4D150-48D59M1N00931</v>
      </c>
      <c r="U331" s="130" t="s">
        <v>2301</v>
      </c>
    </row>
    <row r="332" ht="13.5" customHeight="1">
      <c r="A332" s="80">
        <f t="shared" si="13"/>
        <v>55</v>
      </c>
      <c r="B332" s="113" t="s">
        <v>2383</v>
      </c>
      <c r="C332" s="86" t="str">
        <f>IFERROR(VLOOKUP(B332,'02. MM-KLH'!$B$6:$T$823,2,0),"")</f>
        <v> 81C-07982</v>
      </c>
      <c r="D332" s="95" t="str">
        <f>IFERROR(VLOOKUP(B332,'02. MM-KLH'!$B$6:$T$823,3,0),"")</f>
        <v>A22-XTA-010</v>
      </c>
      <c r="E332" s="86" t="str">
        <f>IFERROR(VLOOKUP(B332,'02. MM-KLH'!$B$6:$T$823,4,0),"")</f>
        <v/>
      </c>
      <c r="F332" s="115"/>
      <c r="G332" s="86" t="str">
        <f>IFERROR(VLOOKUP(B332,'02. MM-KLH'!$B$6:$T$823,6,0),"")</f>
        <v>Xe tải ben Howo 371</v>
      </c>
      <c r="H332" s="80" t="s">
        <v>4525</v>
      </c>
      <c r="I332" s="80" t="str">
        <f>IFERROR(VLOOKUP(B332,'02. MM-KLH'!$B$6:$T$823,8,0),"")</f>
        <v>Phòng GNVC</v>
      </c>
      <c r="J332" s="99" t="str">
        <f>IFERROR(VLOOKUP(B332,'02. MM-KLH'!$B$6:$T$823,9,0),"")</f>
        <v/>
      </c>
      <c r="K332" s="80" t="str">
        <f>IFERROR(VLOOKUP(B332,'02. MM-KLH'!$B$6:$T$823,10,0),"")</f>
        <v>Bình thường</v>
      </c>
      <c r="L332" s="102" t="str">
        <f>IFERROR(VLOOKUP(B332,'02. MM-KLH'!$B$6:$T$823,11,0),"")</f>
        <v/>
      </c>
      <c r="M332" s="143" t="str">
        <f>IFERROR(VLOOKUP(B332,'02. MM-KLH'!$B$6:$T$823,12,0),"")</f>
        <v/>
      </c>
      <c r="N332" s="108" t="str">
        <f>IFERROR(VLOOKUP(B332,'02. MM-KLH'!$B$6:$T$823,13,0),"")</f>
        <v>HOWO</v>
      </c>
      <c r="O332" s="108" t="str">
        <f>IFERROR(VLOOKUP(B332,'02. MM-KLH'!$B$6:$T$823,14,0),"")</f>
        <v/>
      </c>
      <c r="P332" s="80" t="str">
        <f>IFERROR(VLOOKUP(B332,'02. MM-KLH'!$B$6:$T$823,15,0),"")</f>
        <v/>
      </c>
      <c r="Q332" s="80" t="str">
        <f>IFERROR(VLOOKUP(B332,'02. MM-KLH'!$B$6:$T$823,16,0),"")</f>
        <v>HOWO 371</v>
      </c>
      <c r="R332" s="106" t="str">
        <f>IFERROR(VLOOKUP(B332,'02. MM-KLH'!$B$6:$T$823,17,0),"")</f>
        <v>300HP</v>
      </c>
      <c r="S332" s="108">
        <f>IFERROR(VLOOKUP(B332,'02. MM-KLH'!$B$6:$T$823,18,0),"")</f>
        <v>63965</v>
      </c>
      <c r="T332" s="110" t="str">
        <f>IFERROR(VLOOKUP(B332,'02. MM-KLH'!$B$6:$T$823,19,0),"")</f>
        <v>CCN</v>
      </c>
      <c r="U332" s="130" t="s">
        <v>79</v>
      </c>
    </row>
    <row r="333" ht="13.5" customHeight="1">
      <c r="A333" s="80">
        <f t="shared" si="13"/>
        <v>56</v>
      </c>
      <c r="B333" s="113" t="s">
        <v>2388</v>
      </c>
      <c r="C333" s="86" t="str">
        <f>IFERROR(VLOOKUP(B333,'02. MM-KLH'!$B$6:$T$823,2,0),"")</f>
        <v>81C-08007</v>
      </c>
      <c r="D333" s="95" t="str">
        <f>IFERROR(VLOOKUP(B333,'02. MM-KLH'!$B$6:$T$823,3,0),"")</f>
        <v>A22-XTA-011</v>
      </c>
      <c r="E333" s="86" t="str">
        <f>IFERROR(VLOOKUP(B333,'02. MM-KLH'!$B$6:$T$823,4,0),"")</f>
        <v/>
      </c>
      <c r="F333" s="115"/>
      <c r="G333" s="86" t="str">
        <f>IFERROR(VLOOKUP(B333,'02. MM-KLH'!$B$6:$T$823,6,0),"")</f>
        <v>Xe tải ben Howo 371</v>
      </c>
      <c r="H333" s="80" t="s">
        <v>4525</v>
      </c>
      <c r="I333" s="80" t="str">
        <f>IFERROR(VLOOKUP(B333,'02. MM-KLH'!$B$6:$T$823,8,0),"")</f>
        <v>Phòng GNVC</v>
      </c>
      <c r="J333" s="99" t="str">
        <f>IFERROR(VLOOKUP(B333,'02. MM-KLH'!$B$6:$T$823,9,0),"")</f>
        <v/>
      </c>
      <c r="K333" s="80" t="str">
        <f>IFERROR(VLOOKUP(B333,'02. MM-KLH'!$B$6:$T$823,10,0),"")</f>
        <v>Bình thường</v>
      </c>
      <c r="L333" s="102" t="str">
        <f>IFERROR(VLOOKUP(B333,'02. MM-KLH'!$B$6:$T$823,11,0),"")</f>
        <v/>
      </c>
      <c r="M333" s="143" t="str">
        <f>IFERROR(VLOOKUP(B333,'02. MM-KLH'!$B$6:$T$823,12,0),"")</f>
        <v/>
      </c>
      <c r="N333" s="108" t="str">
        <f>IFERROR(VLOOKUP(B333,'02. MM-KLH'!$B$6:$T$823,13,0),"")</f>
        <v>HOWO</v>
      </c>
      <c r="O333" s="108" t="str">
        <f>IFERROR(VLOOKUP(B333,'02. MM-KLH'!$B$6:$T$823,14,0),"")</f>
        <v/>
      </c>
      <c r="P333" s="80" t="str">
        <f>IFERROR(VLOOKUP(B333,'02. MM-KLH'!$B$6:$T$823,15,0),"")</f>
        <v/>
      </c>
      <c r="Q333" s="80" t="str">
        <f>IFERROR(VLOOKUP(B333,'02. MM-KLH'!$B$6:$T$823,16,0),"")</f>
        <v>HOWO 371</v>
      </c>
      <c r="R333" s="106" t="str">
        <f>IFERROR(VLOOKUP(B333,'02. MM-KLH'!$B$6:$T$823,17,0),"")</f>
        <v>300HP</v>
      </c>
      <c r="S333" s="108">
        <f>IFERROR(VLOOKUP(B333,'02. MM-KLH'!$B$6:$T$823,18,0),"")</f>
        <v>933513</v>
      </c>
      <c r="T333" s="110" t="str">
        <f>IFERROR(VLOOKUP(B333,'02. MM-KLH'!$B$6:$T$823,19,0),"")</f>
        <v>CCN</v>
      </c>
      <c r="U333" s="130" t="s">
        <v>79</v>
      </c>
    </row>
    <row r="334">
      <c r="B334" s="169"/>
      <c r="C334" s="113"/>
      <c r="D334" s="95"/>
      <c r="E334" s="86"/>
      <c r="G334" s="86"/>
      <c r="I334" s="80"/>
      <c r="J334" s="99"/>
      <c r="K334" s="80"/>
      <c r="L334" s="102"/>
      <c r="M334" s="143"/>
      <c r="N334" s="108"/>
      <c r="O334" s="108"/>
      <c r="P334" s="80"/>
      <c r="Q334" s="80"/>
      <c r="R334" s="106"/>
      <c r="S334" s="108"/>
      <c r="T334" s="110"/>
      <c r="U334" s="479"/>
    </row>
    <row r="335">
      <c r="B335" s="169"/>
      <c r="C335" s="113" t="str">
        <f>IFERROR(VLOOKUP(B335,'02. MM-KLH'!$B$6:$T$823,2,0),"")</f>
        <v/>
      </c>
      <c r="D335" s="95" t="str">
        <f>IFERROR(VLOOKUP(B335,'02. MM-KLH'!$B$6:$T$823,3,0),"")</f>
        <v/>
      </c>
      <c r="E335" s="86" t="str">
        <f>IFERROR(VLOOKUP(B335,'02. MM-KLH'!$B$6:$T$823,4,0),"")</f>
        <v/>
      </c>
      <c r="G335" s="86" t="str">
        <f>IFERROR(VLOOKUP(B335,'02. MM-KLH'!$B$6:$T$823,6,0),"")</f>
        <v/>
      </c>
      <c r="I335" s="80" t="str">
        <f>IFERROR(VLOOKUP(B335,'02. MM-KLH'!$B$6:$T$823,8,0),"")</f>
        <v/>
      </c>
      <c r="J335" s="99" t="str">
        <f>IFERROR(VLOOKUP(B335,'02. MM-KLH'!$B$6:$T$823,9,0),"")</f>
        <v/>
      </c>
      <c r="K335" s="80" t="str">
        <f>IFERROR(VLOOKUP(B335,'02. MM-KLH'!$B$6:$T$823,10,0),"")</f>
        <v/>
      </c>
      <c r="L335" s="102" t="str">
        <f>IFERROR(VLOOKUP(B335,'02. MM-KLH'!$B$6:$T$823,11,0),"")</f>
        <v/>
      </c>
      <c r="M335" s="143" t="str">
        <f>IFERROR(VLOOKUP(B335,'02. MM-KLH'!$B$6:$T$823,12,0),"")</f>
        <v/>
      </c>
      <c r="N335" s="108" t="str">
        <f>IFERROR(VLOOKUP(B335,'02. MM-KLH'!$B$6:$T$823,13,0),"")</f>
        <v/>
      </c>
      <c r="O335" s="108" t="str">
        <f>IFERROR(VLOOKUP(B335,'02. MM-KLH'!$B$6:$T$823,14,0),"")</f>
        <v/>
      </c>
      <c r="P335" s="80" t="str">
        <f>IFERROR(VLOOKUP(B335,'02. MM-KLH'!$B$6:$T$823,15,0),"")</f>
        <v/>
      </c>
      <c r="Q335" s="80" t="str">
        <f>IFERROR(VLOOKUP(B335,'02. MM-KLH'!$B$6:$T$823,16,0),"")</f>
        <v/>
      </c>
      <c r="R335" s="106" t="str">
        <f>IFERROR(VLOOKUP(B335,'02. MM-KLH'!$B$6:$T$823,17,0),"")</f>
        <v/>
      </c>
      <c r="S335" s="108" t="str">
        <f>IFERROR(VLOOKUP(B335,'02. MM-KLH'!$B$6:$T$823,18,0),"")</f>
        <v/>
      </c>
      <c r="T335" s="110" t="str">
        <f>IFERROR(VLOOKUP(B335,'02. MM-KLH'!$B$6:$T$823,19,0),"")</f>
        <v/>
      </c>
      <c r="U335" s="110" t="str">
        <f>IFERROR(VLOOKUP(C335,'02. MM-KLH'!$B$6:$T$823,19,0),"")</f>
        <v/>
      </c>
    </row>
    <row r="336" ht="13.5" customHeight="1">
      <c r="A336" s="82" t="s">
        <v>76</v>
      </c>
      <c r="B336" s="83" t="s">
        <v>5740</v>
      </c>
      <c r="C336" s="87">
        <f>COUNTA(B337:B359)</f>
        <v>21</v>
      </c>
      <c r="D336" s="85" t="str">
        <f>IFERROR(VLOOKUP(B336,'02. MM-KLH'!$B$6:$T$823,3,0),"")</f>
        <v/>
      </c>
      <c r="E336" s="85" t="str">
        <f>IFERROR(VLOOKUP(B336,'02. MM-KLH'!$B$6:$T$823,4,0),"")</f>
        <v/>
      </c>
      <c r="F336" s="85"/>
      <c r="G336" s="85" t="str">
        <f>IFERROR(VLOOKUP(B336,'02. MM-KLH'!$B$6:$T$823,6,0),"")</f>
        <v/>
      </c>
      <c r="H336" s="85"/>
      <c r="I336" s="85" t="str">
        <f>IFERROR(VLOOKUP(B336,'02. MM-KLH'!$B$6:$T$823,8,0),"")</f>
        <v/>
      </c>
      <c r="J336" s="85" t="str">
        <f>IFERROR(VLOOKUP(B336,'02. MM-KLH'!$B$6:$T$823,9,0),"")</f>
        <v/>
      </c>
      <c r="K336" s="85" t="str">
        <f>IFERROR(VLOOKUP(B336,'02. MM-KLH'!$B$6:$T$823,10,0),"")</f>
        <v/>
      </c>
      <c r="L336" s="85" t="str">
        <f>IFERROR(VLOOKUP(B336,'02. MM-KLH'!$B$6:$T$823,11,0),"")</f>
        <v/>
      </c>
      <c r="M336" s="85" t="str">
        <f>IFERROR(VLOOKUP(B336,'02. MM-KLH'!$B$6:$T$823,12,0),"")</f>
        <v/>
      </c>
      <c r="N336" s="85" t="str">
        <f>IFERROR(VLOOKUP(B336,'02. MM-KLH'!$B$6:$T$823,13,0),"")</f>
        <v/>
      </c>
      <c r="O336" s="85" t="str">
        <f>IFERROR(VLOOKUP(B336,'02. MM-KLH'!$B$6:$T$823,14,0),"")</f>
        <v/>
      </c>
      <c r="P336" s="85" t="str">
        <f>IFERROR(VLOOKUP(B336,'02. MM-KLH'!$B$6:$T$823,15,0),"")</f>
        <v/>
      </c>
      <c r="Q336" s="85" t="str">
        <f>IFERROR(VLOOKUP(B336,'02. MM-KLH'!$B$6:$T$823,16,0),"")</f>
        <v/>
      </c>
      <c r="R336" s="85" t="str">
        <f>IFERROR(VLOOKUP(B336,'02. MM-KLH'!$B$6:$T$823,17,0),"")</f>
        <v/>
      </c>
      <c r="S336" s="85" t="str">
        <f>IFERROR(VLOOKUP(B336,'02. MM-KLH'!$B$6:$T$823,18,0),"")</f>
        <v/>
      </c>
      <c r="T336" s="85" t="str">
        <f>IFERROR(VLOOKUP(B336,'02. MM-KLH'!$B$6:$T$823,19,0),"")</f>
        <v/>
      </c>
      <c r="U336" s="85" t="str">
        <f>IFERROR(VLOOKUP(C336,'02. MM-KLH'!$B$6:$T$823,19,0),"")</f>
        <v/>
      </c>
    </row>
    <row r="337" ht="13.5" customHeight="1">
      <c r="A337" s="80">
        <v>1.0</v>
      </c>
      <c r="B337" s="113" t="s">
        <v>908</v>
      </c>
      <c r="C337" s="86" t="str">
        <f>IFERROR(VLOOKUP(B337,'02. MM-KLH'!$B$6:$T$823,2,0),"")</f>
        <v>XT 20 VC-KLH</v>
      </c>
      <c r="D337" s="95" t="str">
        <f>IFERROR(VLOOKUP(B337,'02. MM-KLH'!$B$6:$T$823,3,0),"")</f>
        <v>A23-XTA-008</v>
      </c>
      <c r="E337" s="86" t="str">
        <f>IFERROR(VLOOKUP(B337,'02. MM-KLH'!$B$6:$T$823,4,0),"")</f>
        <v/>
      </c>
      <c r="F337" s="115"/>
      <c r="G337" s="86" t="str">
        <f>IFERROR(VLOOKUP(B337,'02. MM-KLH'!$B$6:$T$823,6,0),"")</f>
        <v>Xe tải KOZUN</v>
      </c>
      <c r="H337" s="80" t="s">
        <v>5490</v>
      </c>
      <c r="I337" s="80" t="str">
        <f>IFERROR(VLOOKUP(B337,'02. MM-KLH'!$B$6:$T$823,8,0),"")</f>
        <v>XN Chuối DP1</v>
      </c>
      <c r="J337" s="99" t="str">
        <f>IFERROR(VLOOKUP(B337,'02. MM-KLH'!$B$6:$T$823,9,0),"")</f>
        <v/>
      </c>
      <c r="K337" s="80" t="str">
        <f>IFERROR(VLOOKUP(B337,'02. MM-KLH'!$B$6:$T$823,10,0),"")</f>
        <v>Bình thường</v>
      </c>
      <c r="L337" s="102" t="str">
        <f>IFERROR(VLOOKUP(B337,'02. MM-KLH'!$B$6:$T$823,11,0),"")</f>
        <v/>
      </c>
      <c r="M337" s="143" t="str">
        <f>IFERROR(VLOOKUP(B337,'02. MM-KLH'!$B$6:$T$823,12,0),"")</f>
        <v/>
      </c>
      <c r="N337" s="108" t="str">
        <f>IFERROR(VLOOKUP(B337,'02. MM-KLH'!$B$6:$T$823,13,0),"")</f>
        <v>KOZUN</v>
      </c>
      <c r="O337" s="108" t="str">
        <f>IFERROR(VLOOKUP(B337,'02. MM-KLH'!$B$6:$T$823,14,0),"")</f>
        <v>CAMPUCHIA</v>
      </c>
      <c r="P337" s="80" t="str">
        <f>IFERROR(VLOOKUP(B337,'02. MM-KLH'!$B$6:$T$823,15,0),"")</f>
        <v/>
      </c>
      <c r="Q337" s="80" t="str">
        <f>IFERROR(VLOOKUP(B337,'02. MM-KLH'!$B$6:$T$823,16,0),"")</f>
        <v/>
      </c>
      <c r="R337" s="106" t="str">
        <f>IFERROR(VLOOKUP(B337,'02. MM-KLH'!$B$6:$T$823,17,0),"")</f>
        <v>60HP</v>
      </c>
      <c r="S337" s="108">
        <f>IFERROR(VLOOKUP(B337,'02. MM-KLH'!$B$6:$T$823,18,0),"")</f>
        <v>113819</v>
      </c>
      <c r="T337" s="110" t="str">
        <f>IFERROR(VLOOKUP(B337,'02. MM-KLH'!$B$6:$T$823,19,0),"")</f>
        <v>CCN</v>
      </c>
      <c r="U337" s="130" t="s">
        <v>79</v>
      </c>
    </row>
    <row r="338" ht="13.5" customHeight="1">
      <c r="A338" s="80">
        <f t="shared" ref="A338:A347" si="14">A337+1</f>
        <v>2</v>
      </c>
      <c r="B338" s="113" t="s">
        <v>913</v>
      </c>
      <c r="C338" s="86" t="str">
        <f>IFERROR(VLOOKUP(B338,'02. MM-KLH'!$B$6:$T$823,2,0),"")</f>
        <v>XT24VC-KLH(XB1-XTA-002)</v>
      </c>
      <c r="D338" s="95" t="str">
        <f>IFERROR(VLOOKUP(B338,'02. MM-KLH'!$B$6:$T$823,3,0),"")</f>
        <v>A23-XTA-009</v>
      </c>
      <c r="E338" s="86" t="str">
        <f>IFERROR(VLOOKUP(B338,'02. MM-KLH'!$B$6:$T$823,4,0),"")</f>
        <v/>
      </c>
      <c r="F338" s="115"/>
      <c r="G338" s="86" t="str">
        <f>IFERROR(VLOOKUP(B338,'02. MM-KLH'!$B$6:$T$823,6,0),"")</f>
        <v>Xe tải KOZUN</v>
      </c>
      <c r="H338" s="80" t="s">
        <v>5490</v>
      </c>
      <c r="I338" s="80" t="str">
        <f>IFERROR(VLOOKUP(B338,'02. MM-KLH'!$B$6:$T$823,8,0),"")</f>
        <v>XN Chuối DP1</v>
      </c>
      <c r="J338" s="99" t="str">
        <f>IFERROR(VLOOKUP(B338,'02. MM-KLH'!$B$6:$T$823,9,0),"")</f>
        <v>13/05/2024</v>
      </c>
      <c r="K338" s="80" t="str">
        <f>IFERROR(VLOOKUP(B338,'02. MM-KLH'!$B$6:$T$823,10,0),"")</f>
        <v>Bình thường</v>
      </c>
      <c r="L338" s="102" t="str">
        <f>IFERROR(VLOOKUP(B338,'02. MM-KLH'!$B$6:$T$823,11,0),"")</f>
        <v/>
      </c>
      <c r="M338" s="143" t="str">
        <f>IFERROR(VLOOKUP(B338,'02. MM-KLH'!$B$6:$T$823,12,0),"")</f>
        <v/>
      </c>
      <c r="N338" s="108" t="str">
        <f>IFERROR(VLOOKUP(B338,'02. MM-KLH'!$B$6:$T$823,13,0),"")</f>
        <v>KOZUN</v>
      </c>
      <c r="O338" s="108" t="str">
        <f>IFERROR(VLOOKUP(B338,'02. MM-KLH'!$B$6:$T$823,14,0),"")</f>
        <v>CAMPUCHIA</v>
      </c>
      <c r="P338" s="80" t="str">
        <f>IFERROR(VLOOKUP(B338,'02. MM-KLH'!$B$6:$T$823,15,0),"")</f>
        <v/>
      </c>
      <c r="Q338" s="80" t="str">
        <f>IFERROR(VLOOKUP(B338,'02. MM-KLH'!$B$6:$T$823,16,0),"")</f>
        <v/>
      </c>
      <c r="R338" s="106" t="str">
        <f>IFERROR(VLOOKUP(B338,'02. MM-KLH'!$B$6:$T$823,17,0),"")</f>
        <v>60HP</v>
      </c>
      <c r="S338" s="108">
        <f>IFERROR(VLOOKUP(B338,'02. MM-KLH'!$B$6:$T$823,18,0),"")</f>
        <v>78504</v>
      </c>
      <c r="T338" s="110" t="str">
        <f>IFERROR(VLOOKUP(B338,'02. MM-KLH'!$B$6:$T$823,19,0),"")</f>
        <v>CCN</v>
      </c>
      <c r="U338" s="130" t="s">
        <v>79</v>
      </c>
    </row>
    <row r="339" ht="13.5" customHeight="1">
      <c r="A339" s="80">
        <f t="shared" si="14"/>
        <v>3</v>
      </c>
      <c r="B339" s="113" t="s">
        <v>1453</v>
      </c>
      <c r="C339" s="86" t="str">
        <f>IFERROR(VLOOKUP(B339,'02. MM-KLH'!$B$6:$T$823,2,0),"")</f>
        <v>LP3-XTA-002(XT18-VCKLH)</v>
      </c>
      <c r="D339" s="95" t="str">
        <f>IFERROR(VLOOKUP(B339,'02. MM-KLH'!$B$6:$T$823,3,0),"")</f>
        <v>ATT-A24-0015</v>
      </c>
      <c r="E339" s="86" t="str">
        <f>IFERROR(VLOOKUP(B339,'02. MM-KLH'!$B$6:$T$823,4,0),"")</f>
        <v/>
      </c>
      <c r="F339" s="115" t="s">
        <v>3047</v>
      </c>
      <c r="G339" s="86" t="str">
        <f>IFERROR(VLOOKUP(B339,'02. MM-KLH'!$B$6:$T$823,6,0),"")</f>
        <v>Xe tải KOZUN</v>
      </c>
      <c r="H339" s="80" t="s">
        <v>5490</v>
      </c>
      <c r="I339" s="80" t="str">
        <f>IFERROR(VLOOKUP(B339,'02. MM-KLH'!$B$6:$T$823,8,0),"")</f>
        <v>XN Chuối LP3</v>
      </c>
      <c r="J339" s="99">
        <f>IFERROR(VLOOKUP(B339,'02. MM-KLH'!$B$6:$T$823,9,0),"")</f>
        <v>40914</v>
      </c>
      <c r="K339" s="80" t="str">
        <f>IFERROR(VLOOKUP(B339,'02. MM-KLH'!$B$6:$T$823,10,0),"")</f>
        <v>Bình thường</v>
      </c>
      <c r="L339" s="102" t="str">
        <f>IFERROR(VLOOKUP(B339,'02. MM-KLH'!$B$6:$T$823,11,0),"")</f>
        <v/>
      </c>
      <c r="M339" s="143" t="str">
        <f>IFERROR(VLOOKUP(B339,'02. MM-KLH'!$B$6:$T$823,12,0),"")</f>
        <v/>
      </c>
      <c r="N339" s="108" t="str">
        <f>IFERROR(VLOOKUP(B339,'02. MM-KLH'!$B$6:$T$823,13,0),"")</f>
        <v>KOZUN</v>
      </c>
      <c r="O339" s="108" t="str">
        <f>IFERROR(VLOOKUP(B339,'02. MM-KLH'!$B$6:$T$823,14,0),"")</f>
        <v>CAMPUCHIA</v>
      </c>
      <c r="P339" s="80" t="str">
        <f>IFERROR(VLOOKUP(B339,'02. MM-KLH'!$B$6:$T$823,15,0),"")</f>
        <v/>
      </c>
      <c r="Q339" s="80" t="str">
        <f>IFERROR(VLOOKUP(B339,'02. MM-KLH'!$B$6:$T$823,16,0),"")</f>
        <v/>
      </c>
      <c r="R339" s="106" t="str">
        <f>IFERROR(VLOOKUP(B339,'02. MM-KLH'!$B$6:$T$823,17,0),"")</f>
        <v>60HP</v>
      </c>
      <c r="S339" s="108" t="str">
        <f>IFERROR(VLOOKUP(B339,'02. MM-KLH'!$B$6:$T$823,18,0),"")</f>
        <v>Mất số khung</v>
      </c>
      <c r="T339" s="110">
        <f>IFERROR(VLOOKUP(B339,'02. MM-KLH'!$B$6:$T$823,19,0),"")</f>
        <v>115002</v>
      </c>
      <c r="U339" s="130" t="s">
        <v>79</v>
      </c>
    </row>
    <row r="340" ht="13.5" customHeight="1">
      <c r="A340" s="80">
        <f t="shared" si="14"/>
        <v>4</v>
      </c>
      <c r="B340" s="115" t="s">
        <v>1332</v>
      </c>
      <c r="C340" s="86" t="str">
        <f>IFERROR(VLOOKUP(B340,'02. MM-KLH'!$B$6:$T$823,2,0),"")</f>
        <v>XT17 - VCKLH(XA2-XTA-002)</v>
      </c>
      <c r="D340" s="95" t="str">
        <f>IFERROR(VLOOKUP(B340,'02. MM-KLH'!$B$6:$T$823,3,0),"")</f>
        <v>ATT-A22-0017</v>
      </c>
      <c r="E340" s="86" t="str">
        <f>IFERROR(VLOOKUP(B340,'02. MM-KLH'!$B$6:$T$823,4,0),"")</f>
        <v/>
      </c>
      <c r="F340" s="115" t="s">
        <v>1334</v>
      </c>
      <c r="G340" s="86" t="str">
        <f>IFERROR(VLOOKUP(B340,'02. MM-KLH'!$B$6:$T$823,6,0),"")</f>
        <v>Xe tải KOZUN</v>
      </c>
      <c r="H340" s="80" t="s">
        <v>5490</v>
      </c>
      <c r="I340" s="80" t="str">
        <f>IFERROR(VLOOKUP(B340,'02. MM-KLH'!$B$6:$T$823,8,0),"")</f>
        <v>XN Chuối LP1</v>
      </c>
      <c r="J340" s="99">
        <f>IFERROR(VLOOKUP(B340,'02. MM-KLH'!$B$6:$T$823,9,0),"")</f>
        <v>41651</v>
      </c>
      <c r="K340" s="80" t="str">
        <f>IFERROR(VLOOKUP(B340,'02. MM-KLH'!$B$6:$T$823,10,0),"")</f>
        <v>Bình thường</v>
      </c>
      <c r="L340" s="102" t="str">
        <f>IFERROR(VLOOKUP(B340,'02. MM-KLH'!$B$6:$T$823,11,0),"")</f>
        <v/>
      </c>
      <c r="M340" s="143" t="str">
        <f>IFERROR(VLOOKUP(B340,'02. MM-KLH'!$B$6:$T$823,12,0),"")</f>
        <v>-Đ.chuyển từ AD2 sang LP1 ngày 17.02.2025</v>
      </c>
      <c r="N340" s="108" t="str">
        <f>IFERROR(VLOOKUP(B340,'02. MM-KLH'!$B$6:$T$823,13,0),"")</f>
        <v>KOZUN</v>
      </c>
      <c r="O340" s="108" t="str">
        <f>IFERROR(VLOOKUP(B340,'02. MM-KLH'!$B$6:$T$823,14,0),"")</f>
        <v>CAMPUCHIA</v>
      </c>
      <c r="P340" s="80" t="str">
        <f>IFERROR(VLOOKUP(B340,'02. MM-KLH'!$B$6:$T$823,15,0),"")</f>
        <v/>
      </c>
      <c r="Q340" s="80" t="str">
        <f>IFERROR(VLOOKUP(B340,'02. MM-KLH'!$B$6:$T$823,16,0),"")</f>
        <v/>
      </c>
      <c r="R340" s="106" t="str">
        <f>IFERROR(VLOOKUP(B340,'02. MM-KLH'!$B$6:$T$823,17,0),"")</f>
        <v>60HP</v>
      </c>
      <c r="S340" s="108">
        <f>IFERROR(VLOOKUP(B340,'02. MM-KLH'!$B$6:$T$823,18,0),"")</f>
        <v>29823</v>
      </c>
      <c r="T340" s="110" t="str">
        <f>IFERROR(VLOOKUP(B340,'02. MM-KLH'!$B$6:$T$823,19,0),"")</f>
        <v>CCN</v>
      </c>
      <c r="U340" s="130" t="s">
        <v>79</v>
      </c>
    </row>
    <row r="341" ht="13.5" customHeight="1">
      <c r="A341" s="80">
        <f t="shared" si="14"/>
        <v>5</v>
      </c>
      <c r="B341" s="115" t="s">
        <v>1336</v>
      </c>
      <c r="C341" s="86" t="str">
        <f>IFERROR(VLOOKUP(B341,'02. MM-KLH'!$B$6:$T$823,2,0),"")</f>
        <v>XT23 - VC KLH(XA2-XTA-003)</v>
      </c>
      <c r="D341" s="95" t="str">
        <f>IFERROR(VLOOKUP(B341,'02. MM-KLH'!$B$6:$T$823,3,0),"")</f>
        <v>ATT-A22-0018</v>
      </c>
      <c r="E341" s="86" t="str">
        <f>IFERROR(VLOOKUP(B341,'02. MM-KLH'!$B$6:$T$823,4,0),"")</f>
        <v/>
      </c>
      <c r="F341" s="115" t="s">
        <v>1338</v>
      </c>
      <c r="G341" s="86" t="str">
        <f>IFERROR(VLOOKUP(B341,'02. MM-KLH'!$B$6:$T$823,6,0),"")</f>
        <v>Xe tải KOZUN</v>
      </c>
      <c r="H341" s="80" t="s">
        <v>5490</v>
      </c>
      <c r="I341" s="80" t="str">
        <f>IFERROR(VLOOKUP(B341,'02. MM-KLH'!$B$6:$T$823,8,0),"")</f>
        <v>XN Chuối LP1</v>
      </c>
      <c r="J341" s="99">
        <f>IFERROR(VLOOKUP(B341,'02. MM-KLH'!$B$6:$T$823,9,0),"")</f>
        <v>41651</v>
      </c>
      <c r="K341" s="80" t="str">
        <f>IFERROR(VLOOKUP(B341,'02. MM-KLH'!$B$6:$T$823,10,0),"")</f>
        <v>Bình thường</v>
      </c>
      <c r="L341" s="102" t="str">
        <f>IFERROR(VLOOKUP(B341,'02. MM-KLH'!$B$6:$T$823,11,0),"")</f>
        <v/>
      </c>
      <c r="M341" s="143" t="str">
        <f>IFERROR(VLOOKUP(B341,'02. MM-KLH'!$B$6:$T$823,12,0),"")</f>
        <v>-Đ.chuyển từ AD2 sang LP1 ngày 17.02.2025</v>
      </c>
      <c r="N341" s="108" t="str">
        <f>IFERROR(VLOOKUP(B341,'02. MM-KLH'!$B$6:$T$823,13,0),"")</f>
        <v>KOZUN</v>
      </c>
      <c r="O341" s="108" t="str">
        <f>IFERROR(VLOOKUP(B341,'02. MM-KLH'!$B$6:$T$823,14,0),"")</f>
        <v>CAMPUCHIA</v>
      </c>
      <c r="P341" s="80" t="str">
        <f>IFERROR(VLOOKUP(B341,'02. MM-KLH'!$B$6:$T$823,15,0),"")</f>
        <v/>
      </c>
      <c r="Q341" s="80" t="str">
        <f>IFERROR(VLOOKUP(B341,'02. MM-KLH'!$B$6:$T$823,16,0),"")</f>
        <v/>
      </c>
      <c r="R341" s="106" t="str">
        <f>IFERROR(VLOOKUP(B341,'02. MM-KLH'!$B$6:$T$823,17,0),"")</f>
        <v>60HP</v>
      </c>
      <c r="S341" s="108">
        <f>IFERROR(VLOOKUP(B341,'02. MM-KLH'!$B$6:$T$823,18,0),"")</f>
        <v>101437</v>
      </c>
      <c r="T341" s="110" t="str">
        <f>IFERROR(VLOOKUP(B341,'02. MM-KLH'!$B$6:$T$823,19,0),"")</f>
        <v>CCN</v>
      </c>
      <c r="U341" s="130" t="s">
        <v>79</v>
      </c>
    </row>
    <row r="342" ht="24.75" customHeight="1">
      <c r="A342" s="80">
        <f t="shared" si="14"/>
        <v>6</v>
      </c>
      <c r="B342" s="115" t="s">
        <v>655</v>
      </c>
      <c r="C342" s="86" t="str">
        <f>IFERROR(VLOOKUP(B342,'02. MM-KLH'!$B$6:$T$823,2,0),"")</f>
        <v>XD1-XTA-007</v>
      </c>
      <c r="D342" s="95" t="str">
        <f>IFERROR(VLOOKUP(B342,'02. MM-KLH'!$B$6:$T$823,3,0),"")</f>
        <v>A23-XTA-048</v>
      </c>
      <c r="E342" s="86" t="str">
        <f>IFERROR(VLOOKUP(B342,'02. MM-KLH'!$B$6:$T$823,4,0),"")</f>
        <v/>
      </c>
      <c r="F342" s="115" t="s">
        <v>5743</v>
      </c>
      <c r="G342" s="86" t="str">
        <f>IFERROR(VLOOKUP(B342,'02. MM-KLH'!$B$6:$T$823,6,0),"")</f>
        <v>Xe tải THACO FRONTIER TF490</v>
      </c>
      <c r="H342" s="80" t="s">
        <v>5490</v>
      </c>
      <c r="I342" s="80" t="str">
        <f>IFERROR(VLOOKUP(B342,'02. MM-KLH'!$B$6:$T$823,8,0),"")</f>
        <v>CGLĐ DP</v>
      </c>
      <c r="J342" s="99">
        <f>IFERROR(VLOOKUP(B342,'02. MM-KLH'!$B$6:$T$823,9,0),"")</f>
        <v>46266</v>
      </c>
      <c r="K342" s="80" t="str">
        <f>IFERROR(VLOOKUP(B342,'02. MM-KLH'!$B$6:$T$823,10,0),"")</f>
        <v>Bình thường</v>
      </c>
      <c r="L342" s="102" t="str">
        <f>IFERROR(VLOOKUP(B342,'02. MM-KLH'!$B$6:$T$823,11,0),"")</f>
        <v/>
      </c>
      <c r="M342" s="143" t="str">
        <f>IFERROR(VLOOKUP(B342,'02. MM-KLH'!$B$6:$T$823,12,0),"")</f>
        <v>Đầu tư mới (XN DP1 đchuyển CGLĐ DP ngày 14.01.2026)
- Phục vụ chở giống trồng mới</v>
      </c>
      <c r="N342" s="108" t="str">
        <f>IFERROR(VLOOKUP(B342,'02. MM-KLH'!$B$6:$T$823,13,0),"")</f>
        <v>THACO FRONTIER</v>
      </c>
      <c r="O342" s="108" t="str">
        <f>IFERROR(VLOOKUP(B342,'02. MM-KLH'!$B$6:$T$823,14,0),"")</f>
        <v>VIỆT NAM</v>
      </c>
      <c r="P342" s="80">
        <f>IFERROR(VLOOKUP(B342,'02. MM-KLH'!$B$6:$T$823,15,0),"")</f>
        <v>2024</v>
      </c>
      <c r="Q342" s="80" t="str">
        <f>IFERROR(VLOOKUP(B342,'02. MM-KLH'!$B$6:$T$823,16,0),"")</f>
        <v>TF490</v>
      </c>
      <c r="R342" s="106" t="str">
        <f>IFERROR(VLOOKUP(B342,'02. MM-KLH'!$B$6:$T$823,17,0),"")</f>
        <v>107HP</v>
      </c>
      <c r="S342" s="108" t="str">
        <f>IFERROR(VLOOKUP(B342,'02. MM-KLH'!$B$6:$T$823,18,0),"")</f>
        <v>RNHA49TZART082912</v>
      </c>
      <c r="T342" s="110" t="str">
        <f>IFERROR(VLOOKUP(B342,'02. MM-KLH'!$B$6:$T$823,19,0),"")</f>
        <v>JE493ZLQ4*37100377*</v>
      </c>
      <c r="U342" s="130" t="s">
        <v>2301</v>
      </c>
    </row>
    <row r="343" ht="13.5" customHeight="1">
      <c r="A343" s="80">
        <f t="shared" si="14"/>
        <v>7</v>
      </c>
      <c r="B343" s="115" t="s">
        <v>1058</v>
      </c>
      <c r="C343" s="86" t="str">
        <f>IFERROR(VLOOKUP(B343,'02. MM-KLH'!$B$6:$T$823,2,0),"")</f>
        <v/>
      </c>
      <c r="D343" s="95" t="str">
        <f>IFERROR(VLOOKUP(B343,'02. MM-KLH'!$B$6:$T$823,3,0),"")</f>
        <v>A23-XTA-049</v>
      </c>
      <c r="E343" s="86" t="str">
        <f>IFERROR(VLOOKUP(B343,'02. MM-KLH'!$B$6:$T$823,4,0),"")</f>
        <v/>
      </c>
      <c r="F343" s="115" t="s">
        <v>5743</v>
      </c>
      <c r="G343" s="86" t="str">
        <f>IFERROR(VLOOKUP(B343,'02. MM-KLH'!$B$6:$T$823,6,0),"")</f>
        <v>Xe tải THACO FRONTIER TF490</v>
      </c>
      <c r="H343" s="80" t="s">
        <v>5490</v>
      </c>
      <c r="I343" s="80" t="str">
        <f>IFERROR(VLOOKUP(B343,'02. MM-KLH'!$B$6:$T$823,8,0),"")</f>
        <v>XN Chuối DP2</v>
      </c>
      <c r="J343" s="99">
        <f>IFERROR(VLOOKUP(B343,'02. MM-KLH'!$B$6:$T$823,9,0),"")</f>
        <v>46143</v>
      </c>
      <c r="K343" s="80" t="str">
        <f>IFERROR(VLOOKUP(B343,'02. MM-KLH'!$B$6:$T$823,10,0),"")</f>
        <v>Bình thường</v>
      </c>
      <c r="L343" s="102" t="str">
        <f>IFERROR(VLOOKUP(B343,'02. MM-KLH'!$B$6:$T$823,11,0),"")</f>
        <v/>
      </c>
      <c r="M343" s="143" t="str">
        <f>IFERROR(VLOOKUP(B343,'02. MM-KLH'!$B$6:$T$823,12,0),"")</f>
        <v>Đầu tư mới</v>
      </c>
      <c r="N343" s="108" t="str">
        <f>IFERROR(VLOOKUP(B343,'02. MM-KLH'!$B$6:$T$823,13,0),"")</f>
        <v>THACO FRONTIER</v>
      </c>
      <c r="O343" s="108" t="str">
        <f>IFERROR(VLOOKUP(B343,'02. MM-KLH'!$B$6:$T$823,14,0),"")</f>
        <v>VIỆT NAM</v>
      </c>
      <c r="P343" s="80">
        <f>IFERROR(VLOOKUP(B343,'02. MM-KLH'!$B$6:$T$823,15,0),"")</f>
        <v>2024</v>
      </c>
      <c r="Q343" s="80" t="str">
        <f>IFERROR(VLOOKUP(B343,'02. MM-KLH'!$B$6:$T$823,16,0),"")</f>
        <v>TF490</v>
      </c>
      <c r="R343" s="106" t="str">
        <f>IFERROR(VLOOKUP(B343,'02. MM-KLH'!$B$6:$T$823,17,0),"")</f>
        <v>107HP</v>
      </c>
      <c r="S343" s="108" t="str">
        <f>IFERROR(VLOOKUP(B343,'02. MM-KLH'!$B$6:$T$823,18,0),"")</f>
        <v>RNHA49TZART082919</v>
      </c>
      <c r="T343" s="110" t="str">
        <f>IFERROR(VLOOKUP(B343,'02. MM-KLH'!$B$6:$T$823,19,0),"")</f>
        <v>JE493ZLQ4*37100368*</v>
      </c>
      <c r="U343" s="130" t="s">
        <v>2301</v>
      </c>
    </row>
    <row r="344" ht="13.5" customHeight="1">
      <c r="A344" s="80">
        <f t="shared" si="14"/>
        <v>8</v>
      </c>
      <c r="B344" s="115" t="s">
        <v>1476</v>
      </c>
      <c r="C344" s="86" t="str">
        <f>IFERROR(VLOOKUP(B344,'02. MM-KLH'!$B$6:$T$823,2,0),"")</f>
        <v/>
      </c>
      <c r="D344" s="95" t="str">
        <f>IFERROR(VLOOKUP(B344,'02. MM-KLH'!$B$6:$T$823,3,0),"")</f>
        <v>A24-XTA-037</v>
      </c>
      <c r="E344" s="86" t="str">
        <f>IFERROR(VLOOKUP(B344,'02. MM-KLH'!$B$6:$T$823,4,0),"")</f>
        <v/>
      </c>
      <c r="F344" s="115" t="s">
        <v>5745</v>
      </c>
      <c r="G344" s="86" t="str">
        <f>IFERROR(VLOOKUP(B344,'02. MM-KLH'!$B$6:$T$823,6,0),"")</f>
        <v>Xe tải THACO FRONTIER TF490</v>
      </c>
      <c r="H344" s="80" t="s">
        <v>5490</v>
      </c>
      <c r="I344" s="80" t="str">
        <f>IFERROR(VLOOKUP(B344,'02. MM-KLH'!$B$6:$T$823,8,0),"")</f>
        <v>XN Chuối LP3</v>
      </c>
      <c r="J344" s="99">
        <f>IFERROR(VLOOKUP(B344,'02. MM-KLH'!$B$6:$T$823,9,0),"")</f>
        <v>46296</v>
      </c>
      <c r="K344" s="80" t="str">
        <f>IFERROR(VLOOKUP(B344,'02. MM-KLH'!$B$6:$T$823,10,0),"")</f>
        <v>Bình thường</v>
      </c>
      <c r="L344" s="102" t="str">
        <f>IFERROR(VLOOKUP(B344,'02. MM-KLH'!$B$6:$T$823,11,0),"")</f>
        <v/>
      </c>
      <c r="M344" s="143" t="str">
        <f>IFERROR(VLOOKUP(B344,'02. MM-KLH'!$B$6:$T$823,12,0),"")</f>
        <v>Đầu tư mới</v>
      </c>
      <c r="N344" s="108" t="str">
        <f>IFERROR(VLOOKUP(B344,'02. MM-KLH'!$B$6:$T$823,13,0),"")</f>
        <v>THACO FRONTIER</v>
      </c>
      <c r="O344" s="108" t="str">
        <f>IFERROR(VLOOKUP(B344,'02. MM-KLH'!$B$6:$T$823,14,0),"")</f>
        <v>VIỆT NAM</v>
      </c>
      <c r="P344" s="80">
        <f>IFERROR(VLOOKUP(B344,'02. MM-KLH'!$B$6:$T$823,15,0),"")</f>
        <v>2024</v>
      </c>
      <c r="Q344" s="80" t="str">
        <f>IFERROR(VLOOKUP(B344,'02. MM-KLH'!$B$6:$T$823,16,0),"")</f>
        <v>TF490</v>
      </c>
      <c r="R344" s="106" t="str">
        <f>IFERROR(VLOOKUP(B344,'02. MM-KLH'!$B$6:$T$823,17,0),"")</f>
        <v>107HP</v>
      </c>
      <c r="S344" s="108" t="str">
        <f>IFERROR(VLOOKUP(B344,'02. MM-KLH'!$B$6:$T$823,18,0),"")</f>
        <v>RNHA49TZART082920</v>
      </c>
      <c r="T344" s="110" t="str">
        <f>IFERROR(VLOOKUP(B344,'02. MM-KLH'!$B$6:$T$823,19,0),"")</f>
        <v>JE493ZLQ4*37100378*</v>
      </c>
      <c r="U344" s="130" t="s">
        <v>2301</v>
      </c>
    </row>
    <row r="345" ht="13.5" customHeight="1">
      <c r="A345" s="80">
        <f t="shared" si="14"/>
        <v>9</v>
      </c>
      <c r="B345" s="115" t="s">
        <v>1325</v>
      </c>
      <c r="C345" s="86" t="str">
        <f>IFERROR(VLOOKUP(B345,'02. MM-KLH'!$B$6:$T$823,2,0),"")</f>
        <v/>
      </c>
      <c r="D345" s="95" t="str">
        <f>IFERROR(VLOOKUP(B345,'02. MM-KLH'!$B$6:$T$823,3,0),"")</f>
        <v>A24-XTA-038</v>
      </c>
      <c r="E345" s="86" t="str">
        <f>IFERROR(VLOOKUP(B345,'02. MM-KLH'!$B$6:$T$823,4,0),"")</f>
        <v/>
      </c>
      <c r="F345" s="115" t="s">
        <v>5746</v>
      </c>
      <c r="G345" s="86" t="str">
        <f>IFERROR(VLOOKUP(B345,'02. MM-KLH'!$B$6:$T$823,6,0),"")</f>
        <v>Xe tải THACO FRONTIER TF700</v>
      </c>
      <c r="H345" s="80" t="s">
        <v>5490</v>
      </c>
      <c r="I345" s="80" t="str">
        <f>IFERROR(VLOOKUP(B345,'02. MM-KLH'!$B$6:$T$823,8,0),"")</f>
        <v>XN Chuối LP1</v>
      </c>
      <c r="J345" s="99" t="str">
        <f>IFERROR(VLOOKUP(B345,'02. MM-KLH'!$B$6:$T$823,9,0),"")</f>
        <v>26/01/2026</v>
      </c>
      <c r="K345" s="80" t="str">
        <f>IFERROR(VLOOKUP(B345,'02. MM-KLH'!$B$6:$T$823,10,0),"")</f>
        <v>Bình thường</v>
      </c>
      <c r="L345" s="102" t="str">
        <f>IFERROR(VLOOKUP(B345,'02. MM-KLH'!$B$6:$T$823,11,0),"")</f>
        <v/>
      </c>
      <c r="M345" s="143" t="str">
        <f>IFERROR(VLOOKUP(B345,'02. MM-KLH'!$B$6:$T$823,12,0),"")</f>
        <v>Đầu tư mới</v>
      </c>
      <c r="N345" s="108" t="str">
        <f>IFERROR(VLOOKUP(B345,'02. MM-KLH'!$B$6:$T$823,13,0),"")</f>
        <v>THACO FRONTIER</v>
      </c>
      <c r="O345" s="108" t="str">
        <f>IFERROR(VLOOKUP(B345,'02. MM-KLH'!$B$6:$T$823,14,0),"")</f>
        <v>VIỆT NAM</v>
      </c>
      <c r="P345" s="80">
        <f>IFERROR(VLOOKUP(B345,'02. MM-KLH'!$B$6:$T$823,15,0),"")</f>
        <v>2024</v>
      </c>
      <c r="Q345" s="80" t="str">
        <f>IFERROR(VLOOKUP(B345,'02. MM-KLH'!$B$6:$T$823,16,0),"")</f>
        <v>TF700</v>
      </c>
      <c r="R345" s="106" t="str">
        <f>IFERROR(VLOOKUP(B345,'02. MM-KLH'!$B$6:$T$823,17,0),"")</f>
        <v>107HP</v>
      </c>
      <c r="S345" s="108" t="str">
        <f>IFERROR(VLOOKUP(B345,'02. MM-KLH'!$B$6:$T$823,18,0),"")</f>
        <v>RNHA69TZAPT082910</v>
      </c>
      <c r="T345" s="110" t="str">
        <f>IFERROR(VLOOKUP(B345,'02. MM-KLH'!$B$6:$T$823,19,0),"")</f>
        <v>JE493ZLQ4*37100367*</v>
      </c>
      <c r="U345" s="130" t="s">
        <v>2301</v>
      </c>
    </row>
    <row r="346" ht="13.5" customHeight="1">
      <c r="A346" s="80">
        <f t="shared" si="14"/>
        <v>10</v>
      </c>
      <c r="B346" s="115" t="s">
        <v>2168</v>
      </c>
      <c r="C346" s="86" t="str">
        <f>IFERROR(VLOOKUP(B346,'02. MM-KLH'!$B$6:$T$823,2,0),"")</f>
        <v>CVC-XTA-004</v>
      </c>
      <c r="D346" s="95" t="str">
        <f>IFERROR(VLOOKUP(B346,'02. MM-KLH'!$B$6:$T$823,3,0),"")</f>
        <v>ATT-A22-0258</v>
      </c>
      <c r="E346" s="86" t="str">
        <f>IFERROR(VLOOKUP(B346,'02. MM-KLH'!$B$6:$T$823,4,0),"")</f>
        <v/>
      </c>
      <c r="F346" s="115" t="s">
        <v>5748</v>
      </c>
      <c r="G346" s="86" t="str">
        <f>IFERROR(VLOOKUP(B346,'02. MM-KLH'!$B$6:$T$823,6,0),"")</f>
        <v>Xe tải thùng FD140</v>
      </c>
      <c r="H346" s="80" t="s">
        <v>4609</v>
      </c>
      <c r="I346" s="80" t="str">
        <f>IFERROR(VLOOKUP(B346,'02. MM-KLH'!$B$6:$T$823,8,0),"")</f>
        <v>XN Bò AD</v>
      </c>
      <c r="J346" s="99">
        <f>IFERROR(VLOOKUP(B346,'02. MM-KLH'!$B$6:$T$823,9,0),"")</f>
        <v>44564</v>
      </c>
      <c r="K346" s="80" t="str">
        <f>IFERROR(VLOOKUP(B346,'02. MM-KLH'!$B$6:$T$823,10,0),"")</f>
        <v>Bình thường</v>
      </c>
      <c r="L346" s="102">
        <f>IFERROR(VLOOKUP(B346,'02. MM-KLH'!$B$6:$T$823,11,0),"")</f>
        <v>0.79</v>
      </c>
      <c r="M346" s="143" t="str">
        <f>IFERROR(VLOOKUP(B346,'02. MM-KLH'!$B$6:$T$823,12,0),"")</f>
        <v>Điều chuyển từ GNVC KLH 08/07/2024 </v>
      </c>
      <c r="N346" s="108" t="str">
        <f>IFERROR(VLOOKUP(B346,'02. MM-KLH'!$B$6:$T$823,13,0),"")</f>
        <v>THACO FORLAND</v>
      </c>
      <c r="O346" s="108" t="str">
        <f>IFERROR(VLOOKUP(B346,'02. MM-KLH'!$B$6:$T$823,14,0),"")</f>
        <v>VIỆT NAM</v>
      </c>
      <c r="P346" s="80">
        <f>IFERROR(VLOOKUP(B346,'02. MM-KLH'!$B$6:$T$823,15,0),"")</f>
        <v>2021</v>
      </c>
      <c r="Q346" s="80" t="str">
        <f>IFERROR(VLOOKUP(B346,'02. MM-KLH'!$B$6:$T$823,16,0),"")</f>
        <v>FD140-4WD</v>
      </c>
      <c r="R346" s="106" t="str">
        <f>IFERROR(VLOOKUP(B346,'02. MM-KLH'!$B$6:$T$823,17,0),"")</f>
        <v>140HP</v>
      </c>
      <c r="S346" s="108" t="str">
        <f>IFERROR(VLOOKUP(B346,'02. MM-KLH'!$B$6:$T$823,18,0),"")</f>
        <v>RNHF14FYAMT052027</v>
      </c>
      <c r="T346" s="110" t="str">
        <f>IFERROR(VLOOKUP(B346,'02. MM-KLH'!$B$6:$T$823,19,0),"")</f>
        <v>YC4D140-48D59M1M00546</v>
      </c>
      <c r="U346" s="130" t="s">
        <v>79</v>
      </c>
    </row>
    <row r="347" ht="13.5" customHeight="1">
      <c r="A347" s="80">
        <f t="shared" si="14"/>
        <v>11</v>
      </c>
      <c r="B347" s="115" t="s">
        <v>2175</v>
      </c>
      <c r="C347" s="86" t="str">
        <f>IFERROR(VLOOKUP(B347,'02. MM-KLH'!$B$6:$T$823,2,0),"")</f>
        <v/>
      </c>
      <c r="D347" s="95" t="str">
        <f>IFERROR(VLOOKUP(B347,'02. MM-KLH'!$B$6:$T$823,3,0),"")</f>
        <v>A22-XTA-006</v>
      </c>
      <c r="E347" s="86" t="str">
        <f>IFERROR(VLOOKUP(B347,'02. MM-KLH'!$B$6:$T$823,4,0),"")</f>
        <v>3A-6805</v>
      </c>
      <c r="F347" s="115"/>
      <c r="G347" s="86" t="str">
        <f>IFERROR(VLOOKUP(B347,'02. MM-KLH'!$B$6:$T$823,6,0),"")</f>
        <v>Xe tải thùng FC150</v>
      </c>
      <c r="H347" s="80" t="s">
        <v>4609</v>
      </c>
      <c r="I347" s="80" t="str">
        <f>IFERROR(VLOOKUP(B347,'02. MM-KLH'!$B$6:$T$823,8,0),"")</f>
        <v>XN Bò AD</v>
      </c>
      <c r="J347" s="99">
        <f>IFERROR(VLOOKUP(B347,'02. MM-KLH'!$B$6:$T$823,9,0),"")</f>
        <v>45636</v>
      </c>
      <c r="K347" s="80" t="str">
        <f>IFERROR(VLOOKUP(B347,'02. MM-KLH'!$B$6:$T$823,10,0),"")</f>
        <v>Bình thường</v>
      </c>
      <c r="L347" s="102" t="str">
        <f>IFERROR(VLOOKUP(B347,'02. MM-KLH'!$B$6:$T$823,11,0),"")</f>
        <v/>
      </c>
      <c r="M347" s="143" t="str">
        <f>IFERROR(VLOOKUP(B347,'02. MM-KLH'!$B$6:$T$823,12,0),"")</f>
        <v>Đầu tư mới</v>
      </c>
      <c r="N347" s="108" t="str">
        <f>IFERROR(VLOOKUP(B347,'02. MM-KLH'!$B$6:$T$823,13,0),"")</f>
        <v>THACO FORLAND</v>
      </c>
      <c r="O347" s="108" t="str">
        <f>IFERROR(VLOOKUP(B347,'02. MM-KLH'!$B$6:$T$823,14,0),"")</f>
        <v>VIỆT NAM</v>
      </c>
      <c r="P347" s="80">
        <f>IFERROR(VLOOKUP(B347,'02. MM-KLH'!$B$6:$T$823,15,0),"")</f>
        <v>2024</v>
      </c>
      <c r="Q347" s="80" t="str">
        <f>IFERROR(VLOOKUP(B347,'02. MM-KLH'!$B$6:$T$823,16,0),"")</f>
        <v>FC150-4WD</v>
      </c>
      <c r="R347" s="106" t="str">
        <f>IFERROR(VLOOKUP(B347,'02. MM-KLH'!$B$6:$T$823,17,0),"")</f>
        <v>147HP</v>
      </c>
      <c r="S347" s="108" t="str">
        <f>IFERROR(VLOOKUP(B347,'02. MM-KLH'!$B$6:$T$823,18,0),"")</f>
        <v>RNHF16FYBRT077509</v>
      </c>
      <c r="T347" s="110" t="str">
        <f>IFERROR(VLOOKUP(B347,'02. MM-KLH'!$B$6:$T$823,19,0),"")</f>
        <v>D59M1N01082</v>
      </c>
      <c r="U347" s="130" t="s">
        <v>79</v>
      </c>
    </row>
    <row r="348" ht="13.5" customHeight="1">
      <c r="A348" s="80">
        <f>A475+1</f>
        <v>6</v>
      </c>
      <c r="B348" s="113" t="s">
        <v>2357</v>
      </c>
      <c r="C348" s="86" t="str">
        <f>IFERROR(VLOOKUP(B348,'02. MM-KLH'!$B$6:$T$823,2,0),"")</f>
        <v>CVC-XTA-001 (3A-0813)</v>
      </c>
      <c r="D348" s="95" t="str">
        <f>IFERROR(VLOOKUP(B348,'02. MM-KLH'!$B$6:$T$823,3,0),"")</f>
        <v>ATT-A23-0023</v>
      </c>
      <c r="E348" s="86" t="str">
        <f>IFERROR(VLOOKUP(B348,'02. MM-KLH'!$B$6:$T$823,4,0),"")</f>
        <v>3A-0813</v>
      </c>
      <c r="F348" s="115" t="s">
        <v>5750</v>
      </c>
      <c r="G348" s="86" t="str">
        <f>IFERROR(VLOOKUP(B348,'02. MM-KLH'!$B$6:$T$823,6,0),"")</f>
        <v>Xe tải thùng Auman C160</v>
      </c>
      <c r="H348" s="80" t="s">
        <v>4525</v>
      </c>
      <c r="I348" s="80" t="str">
        <f>IFERROR(VLOOKUP(B348,'02. MM-KLH'!$B$6:$T$823,8,0),"")</f>
        <v>Phòng GNVC</v>
      </c>
      <c r="J348" s="99">
        <f>IFERROR(VLOOKUP(B348,'02. MM-KLH'!$B$6:$T$823,9,0),"")</f>
        <v>43835</v>
      </c>
      <c r="K348" s="80" t="str">
        <f>IFERROR(VLOOKUP(B348,'02. MM-KLH'!$B$6:$T$823,10,0),"")</f>
        <v>Bình thường</v>
      </c>
      <c r="L348" s="102">
        <f>IFERROR(VLOOKUP(B348,'02. MM-KLH'!$B$6:$T$823,11,0),"")</f>
        <v>0.67</v>
      </c>
      <c r="M348" s="143" t="str">
        <f>IFERROR(VLOOKUP(B348,'02. MM-KLH'!$B$6:$T$823,12,0),"")</f>
        <v/>
      </c>
      <c r="N348" s="108" t="str">
        <f>IFERROR(VLOOKUP(B348,'02. MM-KLH'!$B$6:$T$823,13,0),"")</f>
        <v>THACO AUMAN</v>
      </c>
      <c r="O348" s="108" t="str">
        <f>IFERROR(VLOOKUP(B348,'02. MM-KLH'!$B$6:$T$823,14,0),"")</f>
        <v>VIỆT NAM</v>
      </c>
      <c r="P348" s="80">
        <f>IFERROR(VLOOKUP(B348,'02. MM-KLH'!$B$6:$T$823,15,0),"")</f>
        <v>2012</v>
      </c>
      <c r="Q348" s="80" t="str">
        <f>IFERROR(VLOOKUP(B348,'02. MM-KLH'!$B$6:$T$823,16,0),"")</f>
        <v>C160</v>
      </c>
      <c r="R348" s="106" t="str">
        <f>IFERROR(VLOOKUP(B348,'02. MM-KLH'!$B$6:$T$823,17,0),"")</f>
        <v>96HP</v>
      </c>
      <c r="S348" s="108">
        <f>IFERROR(VLOOKUP(B348,'02. MM-KLH'!$B$6:$T$823,18,0),"")</f>
        <v>6005</v>
      </c>
      <c r="T348" s="110">
        <f>IFERROR(VLOOKUP(B348,'02. MM-KLH'!$B$6:$T$823,19,0),"")</f>
        <v>495027</v>
      </c>
      <c r="U348" s="130" t="s">
        <v>79</v>
      </c>
    </row>
    <row r="349" ht="13.5" customHeight="1">
      <c r="A349" s="80">
        <f t="shared" ref="A349:A354" si="15">A348+1</f>
        <v>7</v>
      </c>
      <c r="B349" s="113" t="s">
        <v>2362</v>
      </c>
      <c r="C349" s="86" t="str">
        <f>IFERROR(VLOOKUP(B349,'02. MM-KLH'!$B$6:$T$823,2,0),"")</f>
        <v>CVC-XTA-002 (3F-2956)</v>
      </c>
      <c r="D349" s="95" t="str">
        <f>IFERROR(VLOOKUP(B349,'02. MM-KLH'!$B$6:$T$823,3,0),"")</f>
        <v>A23-XTA-013</v>
      </c>
      <c r="E349" s="86" t="str">
        <f>IFERROR(VLOOKUP(B349,'02. MM-KLH'!$B$6:$T$823,4,0),"")</f>
        <v>3F-2956</v>
      </c>
      <c r="F349" s="115"/>
      <c r="G349" s="86" t="str">
        <f>IFERROR(VLOOKUP(B349,'02. MM-KLH'!$B$6:$T$823,6,0),"")</f>
        <v>Xe tải thùng Auman C160</v>
      </c>
      <c r="H349" s="80" t="s">
        <v>4525</v>
      </c>
      <c r="I349" s="80" t="str">
        <f>IFERROR(VLOOKUP(B349,'02. MM-KLH'!$B$6:$T$823,8,0),"")</f>
        <v>Phòng GNVC</v>
      </c>
      <c r="J349" s="99" t="str">
        <f>IFERROR(VLOOKUP(B349,'02. MM-KLH'!$B$6:$T$823,9,0),"")</f>
        <v/>
      </c>
      <c r="K349" s="80" t="str">
        <f>IFERROR(VLOOKUP(B349,'02. MM-KLH'!$B$6:$T$823,10,0),"")</f>
        <v>Bình thường</v>
      </c>
      <c r="L349" s="102" t="str">
        <f>IFERROR(VLOOKUP(B349,'02. MM-KLH'!$B$6:$T$823,11,0),"")</f>
        <v/>
      </c>
      <c r="M349" s="143" t="str">
        <f>IFERROR(VLOOKUP(B349,'02. MM-KLH'!$B$6:$T$823,12,0),"")</f>
        <v/>
      </c>
      <c r="N349" s="108" t="str">
        <f>IFERROR(VLOOKUP(B349,'02. MM-KLH'!$B$6:$T$823,13,0),"")</f>
        <v>THACO AUMAN</v>
      </c>
      <c r="O349" s="108" t="str">
        <f>IFERROR(VLOOKUP(B349,'02. MM-KLH'!$B$6:$T$823,14,0),"")</f>
        <v>VIỆT NAM</v>
      </c>
      <c r="P349" s="80">
        <f>IFERROR(VLOOKUP(B349,'02. MM-KLH'!$B$6:$T$823,15,0),"")</f>
        <v>2012</v>
      </c>
      <c r="Q349" s="80" t="str">
        <f>IFERROR(VLOOKUP(B349,'02. MM-KLH'!$B$6:$T$823,16,0),"")</f>
        <v>C160</v>
      </c>
      <c r="R349" s="106" t="str">
        <f>IFERROR(VLOOKUP(B349,'02. MM-KLH'!$B$6:$T$823,17,0),"")</f>
        <v>96HP</v>
      </c>
      <c r="S349" s="108" t="str">
        <f>IFERROR(VLOOKUP(B349,'02. MM-KLH'!$B$6:$T$823,18,0),"")</f>
        <v>C006006</v>
      </c>
      <c r="T349" s="110" t="str">
        <f>IFERROR(VLOOKUP(B349,'02. MM-KLH'!$B$6:$T$823,19,0),"")</f>
        <v>CCN</v>
      </c>
      <c r="U349" s="130" t="s">
        <v>79</v>
      </c>
    </row>
    <row r="350" ht="13.5" customHeight="1">
      <c r="A350" s="80">
        <f t="shared" si="15"/>
        <v>8</v>
      </c>
      <c r="B350" s="113" t="s">
        <v>2366</v>
      </c>
      <c r="C350" s="86" t="str">
        <f>IFERROR(VLOOKUP(B350,'02. MM-KLH'!$B$6:$T$823,2,0),"")</f>
        <v>CVC-XTA-003 (3A-6603)</v>
      </c>
      <c r="D350" s="95" t="str">
        <f>IFERROR(VLOOKUP(B350,'02. MM-KLH'!$B$6:$T$823,3,0),"")</f>
        <v>ATT-A23-0040</v>
      </c>
      <c r="E350" s="86" t="str">
        <f>IFERROR(VLOOKUP(B350,'02. MM-KLH'!$B$6:$T$823,4,0),"")</f>
        <v>3A-6603</v>
      </c>
      <c r="F350" s="115" t="s">
        <v>5751</v>
      </c>
      <c r="G350" s="86" t="str">
        <f>IFERROR(VLOOKUP(B350,'02. MM-KLH'!$B$6:$T$823,6,0),"")</f>
        <v>Xe tải thùng Auman C160</v>
      </c>
      <c r="H350" s="80" t="s">
        <v>4525</v>
      </c>
      <c r="I350" s="80" t="str">
        <f>IFERROR(VLOOKUP(B350,'02. MM-KLH'!$B$6:$T$823,8,0),"")</f>
        <v>Phòng GNVC</v>
      </c>
      <c r="J350" s="99">
        <f>IFERROR(VLOOKUP(B350,'02. MM-KLH'!$B$6:$T$823,9,0),"")</f>
        <v>44114</v>
      </c>
      <c r="K350" s="80" t="str">
        <f>IFERROR(VLOOKUP(B350,'02. MM-KLH'!$B$6:$T$823,10,0),"")</f>
        <v>Bình thường</v>
      </c>
      <c r="L350" s="102">
        <f>IFERROR(VLOOKUP(B350,'02. MM-KLH'!$B$6:$T$823,11,0),"")</f>
        <v>0.6</v>
      </c>
      <c r="M350" s="143" t="str">
        <f>IFERROR(VLOOKUP(B350,'02. MM-KLH'!$B$6:$T$823,12,0),"")</f>
        <v/>
      </c>
      <c r="N350" s="108" t="str">
        <f>IFERROR(VLOOKUP(B350,'02. MM-KLH'!$B$6:$T$823,13,0),"")</f>
        <v>THACO AUMAN</v>
      </c>
      <c r="O350" s="108" t="str">
        <f>IFERROR(VLOOKUP(B350,'02. MM-KLH'!$B$6:$T$823,14,0),"")</f>
        <v>VIỆT NAM</v>
      </c>
      <c r="P350" s="80">
        <f>IFERROR(VLOOKUP(B350,'02. MM-KLH'!$B$6:$T$823,15,0),"")</f>
        <v>2012</v>
      </c>
      <c r="Q350" s="80" t="str">
        <f>IFERROR(VLOOKUP(B350,'02. MM-KLH'!$B$6:$T$823,16,0),"")</f>
        <v>C160</v>
      </c>
      <c r="R350" s="106" t="str">
        <f>IFERROR(VLOOKUP(B350,'02. MM-KLH'!$B$6:$T$823,17,0),"")</f>
        <v>96HP</v>
      </c>
      <c r="S350" s="108" t="str">
        <f>IFERROR(VLOOKUP(B350,'02. MM-KLH'!$B$6:$T$823,18,0),"")</f>
        <v>C006003</v>
      </c>
      <c r="T350" s="110" t="str">
        <f>IFERROR(VLOOKUP(B350,'02. MM-KLH'!$B$6:$T$823,19,0),"")</f>
        <v>CCN</v>
      </c>
      <c r="U350" s="130" t="s">
        <v>79</v>
      </c>
    </row>
    <row r="351" ht="13.5" customHeight="1">
      <c r="A351" s="80">
        <f t="shared" si="15"/>
        <v>9</v>
      </c>
      <c r="B351" s="113" t="s">
        <v>2371</v>
      </c>
      <c r="C351" s="86" t="str">
        <f>IFERROR(VLOOKUP(B351,'02. MM-KLH'!$B$6:$T$823,2,0),"")</f>
        <v>CVC-XTA-005</v>
      </c>
      <c r="D351" s="95" t="str">
        <f>IFERROR(VLOOKUP(B351,'02. MM-KLH'!$B$6:$T$823,3,0),"")</f>
        <v>ATT-A22-0259</v>
      </c>
      <c r="E351" s="86" t="str">
        <f>IFERROR(VLOOKUP(B351,'02. MM-KLH'!$B$6:$T$823,4,0),"")</f>
        <v/>
      </c>
      <c r="F351" s="115" t="s">
        <v>5752</v>
      </c>
      <c r="G351" s="86" t="str">
        <f>IFERROR(VLOOKUP(B351,'02. MM-KLH'!$B$6:$T$823,6,0),"")</f>
        <v>Xe tải thùng FD140</v>
      </c>
      <c r="H351" s="80" t="s">
        <v>4609</v>
      </c>
      <c r="I351" s="80" t="str">
        <f>IFERROR(VLOOKUP(B351,'02. MM-KLH'!$B$6:$T$823,8,0),"")</f>
        <v>Phòng GNVC</v>
      </c>
      <c r="J351" s="99">
        <f>IFERROR(VLOOKUP(B351,'02. MM-KLH'!$B$6:$T$823,9,0),"")</f>
        <v>44564</v>
      </c>
      <c r="K351" s="80" t="str">
        <f>IFERROR(VLOOKUP(B351,'02. MM-KLH'!$B$6:$T$823,10,0),"")</f>
        <v>Bình thường</v>
      </c>
      <c r="L351" s="102">
        <f>IFERROR(VLOOKUP(B351,'02. MM-KLH'!$B$6:$T$823,11,0),"")</f>
        <v>0.79</v>
      </c>
      <c r="M351" s="143" t="str">
        <f>IFERROR(VLOOKUP(B351,'02. MM-KLH'!$B$6:$T$823,12,0),"")</f>
        <v/>
      </c>
      <c r="N351" s="108" t="str">
        <f>IFERROR(VLOOKUP(B351,'02. MM-KLH'!$B$6:$T$823,13,0),"")</f>
        <v>THACO FORLAND</v>
      </c>
      <c r="O351" s="108" t="str">
        <f>IFERROR(VLOOKUP(B351,'02. MM-KLH'!$B$6:$T$823,14,0),"")</f>
        <v>VIỆT NAM</v>
      </c>
      <c r="P351" s="80">
        <f>IFERROR(VLOOKUP(B351,'02. MM-KLH'!$B$6:$T$823,15,0),"")</f>
        <v>2021</v>
      </c>
      <c r="Q351" s="80" t="str">
        <f>IFERROR(VLOOKUP(B351,'02. MM-KLH'!$B$6:$T$823,16,0),"")</f>
        <v>FD140</v>
      </c>
      <c r="R351" s="106" t="str">
        <f>IFERROR(VLOOKUP(B351,'02. MM-KLH'!$B$6:$T$823,17,0),"")</f>
        <v>140HP</v>
      </c>
      <c r="S351" s="108" t="str">
        <f>IFERROR(VLOOKUP(B351,'02. MM-KLH'!$B$6:$T$823,18,0),"")</f>
        <v>RNHF14FYAMT052028</v>
      </c>
      <c r="T351" s="110" t="str">
        <f>IFERROR(VLOOKUP(B351,'02. MM-KLH'!$B$6:$T$823,19,0),"")</f>
        <v>YC4D140-48D59M1M00594</v>
      </c>
      <c r="U351" s="130" t="s">
        <v>79</v>
      </c>
    </row>
    <row r="352" ht="13.5" customHeight="1">
      <c r="A352" s="80">
        <f t="shared" si="15"/>
        <v>10</v>
      </c>
      <c r="B352" s="113" t="s">
        <v>2375</v>
      </c>
      <c r="C352" s="86" t="str">
        <f>IFERROR(VLOOKUP(B352,'02. MM-KLH'!$B$6:$T$823,2,0),"")</f>
        <v>CVC-XTA-006</v>
      </c>
      <c r="D352" s="95" t="str">
        <f>IFERROR(VLOOKUP(B352,'02. MM-KLH'!$B$6:$T$823,3,0),"")</f>
        <v>ATT-A22-0260</v>
      </c>
      <c r="E352" s="86" t="str">
        <f>IFERROR(VLOOKUP(B352,'02. MM-KLH'!$B$6:$T$823,4,0),"")</f>
        <v/>
      </c>
      <c r="F352" s="115" t="s">
        <v>5753</v>
      </c>
      <c r="G352" s="86" t="str">
        <f>IFERROR(VLOOKUP(B352,'02. MM-KLH'!$B$6:$T$823,6,0),"")</f>
        <v>Xe tải thùng FD140</v>
      </c>
      <c r="H352" s="80" t="s">
        <v>4609</v>
      </c>
      <c r="I352" s="80" t="str">
        <f>IFERROR(VLOOKUP(B352,'02. MM-KLH'!$B$6:$T$823,8,0),"")</f>
        <v>Phòng GNVC</v>
      </c>
      <c r="J352" s="99">
        <f>IFERROR(VLOOKUP(B352,'02. MM-KLH'!$B$6:$T$823,9,0),"")</f>
        <v>44564</v>
      </c>
      <c r="K352" s="80" t="str">
        <f>IFERROR(VLOOKUP(B352,'02. MM-KLH'!$B$6:$T$823,10,0),"")</f>
        <v>Bình thường</v>
      </c>
      <c r="L352" s="102">
        <f>IFERROR(VLOOKUP(B352,'02. MM-KLH'!$B$6:$T$823,11,0),"")</f>
        <v>0.79</v>
      </c>
      <c r="M352" s="143" t="str">
        <f>IFERROR(VLOOKUP(B352,'02. MM-KLH'!$B$6:$T$823,12,0),"")</f>
        <v/>
      </c>
      <c r="N352" s="108" t="str">
        <f>IFERROR(VLOOKUP(B352,'02. MM-KLH'!$B$6:$T$823,13,0),"")</f>
        <v>THACO FORLAND</v>
      </c>
      <c r="O352" s="108" t="str">
        <f>IFERROR(VLOOKUP(B352,'02. MM-KLH'!$B$6:$T$823,14,0),"")</f>
        <v>VIỆT NAM</v>
      </c>
      <c r="P352" s="80">
        <f>IFERROR(VLOOKUP(B352,'02. MM-KLH'!$B$6:$T$823,15,0),"")</f>
        <v>2021</v>
      </c>
      <c r="Q352" s="80" t="str">
        <f>IFERROR(VLOOKUP(B352,'02. MM-KLH'!$B$6:$T$823,16,0),"")</f>
        <v>FD140</v>
      </c>
      <c r="R352" s="106" t="str">
        <f>IFERROR(VLOOKUP(B352,'02. MM-KLH'!$B$6:$T$823,17,0),"")</f>
        <v>140HP</v>
      </c>
      <c r="S352" s="108" t="str">
        <f>IFERROR(VLOOKUP(B352,'02. MM-KLH'!$B$6:$T$823,18,0),"")</f>
        <v>RNHF14FYAMT052029</v>
      </c>
      <c r="T352" s="110" t="str">
        <f>IFERROR(VLOOKUP(B352,'02. MM-KLH'!$B$6:$T$823,19,0),"")</f>
        <v>YC4D140-48D59M1M00563</v>
      </c>
      <c r="U352" s="130" t="s">
        <v>79</v>
      </c>
    </row>
    <row r="353" ht="13.5" customHeight="1">
      <c r="A353" s="80">
        <f t="shared" si="15"/>
        <v>11</v>
      </c>
      <c r="B353" s="113" t="s">
        <v>2378</v>
      </c>
      <c r="C353" s="86" t="str">
        <f>IFERROR(VLOOKUP(B353,'02. MM-KLH'!$B$6:$T$823,2,0),"")</f>
        <v>CVC-XTA-007</v>
      </c>
      <c r="D353" s="95" t="str">
        <f>IFERROR(VLOOKUP(B353,'02. MM-KLH'!$B$6:$T$823,3,0),"")</f>
        <v>ATT-A22-0261</v>
      </c>
      <c r="E353" s="86" t="str">
        <f>IFERROR(VLOOKUP(B353,'02. MM-KLH'!$B$6:$T$823,4,0),"")</f>
        <v/>
      </c>
      <c r="F353" s="115" t="s">
        <v>5754</v>
      </c>
      <c r="G353" s="86" t="str">
        <f>IFERROR(VLOOKUP(B353,'02. MM-KLH'!$B$6:$T$823,6,0),"")</f>
        <v>Xe tải thùng FD140</v>
      </c>
      <c r="H353" s="80" t="s">
        <v>4609</v>
      </c>
      <c r="I353" s="80" t="str">
        <f>IFERROR(VLOOKUP(B353,'02. MM-KLH'!$B$6:$T$823,8,0),"")</f>
        <v>Phòng GNVC</v>
      </c>
      <c r="J353" s="99">
        <f>IFERROR(VLOOKUP(B353,'02. MM-KLH'!$B$6:$T$823,9,0),"")</f>
        <v>44564</v>
      </c>
      <c r="K353" s="80" t="str">
        <f>IFERROR(VLOOKUP(B353,'02. MM-KLH'!$B$6:$T$823,10,0),"")</f>
        <v>Bình thường</v>
      </c>
      <c r="L353" s="102">
        <f>IFERROR(VLOOKUP(B353,'02. MM-KLH'!$B$6:$T$823,11,0),"")</f>
        <v>0.79</v>
      </c>
      <c r="M353" s="143" t="str">
        <f>IFERROR(VLOOKUP(B353,'02. MM-KLH'!$B$6:$T$823,12,0),"")</f>
        <v/>
      </c>
      <c r="N353" s="108" t="str">
        <f>IFERROR(VLOOKUP(B353,'02. MM-KLH'!$B$6:$T$823,13,0),"")</f>
        <v>THACO FORLAND</v>
      </c>
      <c r="O353" s="108" t="str">
        <f>IFERROR(VLOOKUP(B353,'02. MM-KLH'!$B$6:$T$823,14,0),"")</f>
        <v>VIỆT NAM</v>
      </c>
      <c r="P353" s="80">
        <f>IFERROR(VLOOKUP(B353,'02. MM-KLH'!$B$6:$T$823,15,0),"")</f>
        <v>2021</v>
      </c>
      <c r="Q353" s="80" t="str">
        <f>IFERROR(VLOOKUP(B353,'02. MM-KLH'!$B$6:$T$823,16,0),"")</f>
        <v>FD140</v>
      </c>
      <c r="R353" s="106" t="str">
        <f>IFERROR(VLOOKUP(B353,'02. MM-KLH'!$B$6:$T$823,17,0),"")</f>
        <v>140HP</v>
      </c>
      <c r="S353" s="108" t="str">
        <f>IFERROR(VLOOKUP(B353,'02. MM-KLH'!$B$6:$T$823,18,0),"")</f>
        <v>RNHF14FYAMT052030</v>
      </c>
      <c r="T353" s="110" t="str">
        <f>IFERROR(VLOOKUP(B353,'02. MM-KLH'!$B$6:$T$823,19,0),"")</f>
        <v>YC4D140-48D59M1M00527</v>
      </c>
      <c r="U353" s="130" t="s">
        <v>79</v>
      </c>
    </row>
    <row r="354" ht="13.5" customHeight="1">
      <c r="A354" s="80">
        <f t="shared" si="15"/>
        <v>12</v>
      </c>
      <c r="B354" s="113" t="s">
        <v>2381</v>
      </c>
      <c r="C354" s="86" t="str">
        <f>IFERROR(VLOOKUP(B354,'02. MM-KLH'!$B$6:$T$823,2,0),"")</f>
        <v>CVC-XTA-009</v>
      </c>
      <c r="D354" s="95" t="str">
        <f>IFERROR(VLOOKUP(B354,'02. MM-KLH'!$B$6:$T$823,3,0),"")</f>
        <v>ATT-A23-0045</v>
      </c>
      <c r="E354" s="86" t="str">
        <f>IFERROR(VLOOKUP(B354,'02. MM-KLH'!$B$6:$T$823,4,0),"")</f>
        <v/>
      </c>
      <c r="F354" s="115" t="s">
        <v>5755</v>
      </c>
      <c r="G354" s="86" t="str">
        <f>IFERROR(VLOOKUP(B354,'02. MM-KLH'!$B$6:$T$823,6,0),"")</f>
        <v>Xe tải thùng FD140</v>
      </c>
      <c r="H354" s="80" t="s">
        <v>4609</v>
      </c>
      <c r="I354" s="80" t="str">
        <f>IFERROR(VLOOKUP(B354,'02. MM-KLH'!$B$6:$T$823,8,0),"")</f>
        <v>Phòng GNVC</v>
      </c>
      <c r="J354" s="99">
        <f>IFERROR(VLOOKUP(B354,'02. MM-KLH'!$B$6:$T$823,9,0),"")</f>
        <v>44570</v>
      </c>
      <c r="K354" s="80" t="str">
        <f>IFERROR(VLOOKUP(B354,'02. MM-KLH'!$B$6:$T$823,10,0),"")</f>
        <v>Bình thường</v>
      </c>
      <c r="L354" s="102">
        <f>IFERROR(VLOOKUP(B354,'02. MM-KLH'!$B$6:$T$823,11,0),"")</f>
        <v>0.86</v>
      </c>
      <c r="M354" s="143" t="str">
        <f>IFERROR(VLOOKUP(B354,'02. MM-KLH'!$B$6:$T$823,12,0),"")</f>
        <v/>
      </c>
      <c r="N354" s="108" t="str">
        <f>IFERROR(VLOOKUP(B354,'02. MM-KLH'!$B$6:$T$823,13,0),"")</f>
        <v>THACO FORLAND</v>
      </c>
      <c r="O354" s="108" t="str">
        <f>IFERROR(VLOOKUP(B354,'02. MM-KLH'!$B$6:$T$823,14,0),"")</f>
        <v>VIỆT NAM</v>
      </c>
      <c r="P354" s="80">
        <f>IFERROR(VLOOKUP(B354,'02. MM-KLH'!$B$6:$T$823,15,0),"")</f>
        <v>2021</v>
      </c>
      <c r="Q354" s="80" t="str">
        <f>IFERROR(VLOOKUP(B354,'02. MM-KLH'!$B$6:$T$823,16,0),"")</f>
        <v>FD140</v>
      </c>
      <c r="R354" s="106" t="str">
        <f>IFERROR(VLOOKUP(B354,'02. MM-KLH'!$B$6:$T$823,17,0),"")</f>
        <v>140HP</v>
      </c>
      <c r="S354" s="108">
        <f>IFERROR(VLOOKUP(B354,'02. MM-KLH'!$B$6:$T$823,18,0),"")</f>
        <v>49595</v>
      </c>
      <c r="T354" s="110" t="str">
        <f>IFERROR(VLOOKUP(B354,'02. MM-KLH'!$B$6:$T$823,19,0),"")</f>
        <v>CCN</v>
      </c>
      <c r="U354" s="130" t="s">
        <v>79</v>
      </c>
    </row>
    <row r="355" ht="13.5" customHeight="1">
      <c r="A355" s="80">
        <f>A333+1</f>
        <v>57</v>
      </c>
      <c r="B355" s="115" t="s">
        <v>2792</v>
      </c>
      <c r="C355" s="86" t="str">
        <f>IFERROR(VLOOKUP(B355,'02. MM-KLH'!$B$6:$T$823,2,0),"")</f>
        <v>XT09 HT KLH</v>
      </c>
      <c r="D355" s="95" t="str">
        <f>IFERROR(VLOOKUP(B355,'02. MM-KLH'!$B$6:$T$823,3,0),"")</f>
        <v>-</v>
      </c>
      <c r="E355" s="86" t="str">
        <f>IFERROR(VLOOKUP(B355,'02. MM-KLH'!$B$6:$T$823,4,0),"")</f>
        <v/>
      </c>
      <c r="F355" s="115"/>
      <c r="G355" s="86" t="str">
        <f>IFERROR(VLOOKUP(B355,'02. MM-KLH'!$B$6:$T$823,6,0),"")</f>
        <v>Xe tải Forland FD140</v>
      </c>
      <c r="H355" s="80" t="s">
        <v>4609</v>
      </c>
      <c r="I355" s="80" t="str">
        <f>IFERROR(VLOOKUP(B355,'02. MM-KLH'!$B$6:$T$823,8,0),"")</f>
        <v>Thadicons A&amp;I</v>
      </c>
      <c r="J355" s="99" t="str">
        <f>IFERROR(VLOOKUP(B355,'02. MM-KLH'!$B$6:$T$823,9,0),"")</f>
        <v>Đã qua sử dụng</v>
      </c>
      <c r="K355" s="80" t="str">
        <f>IFERROR(VLOOKUP(B355,'02. MM-KLH'!$B$6:$T$823,10,0),"")</f>
        <v>Bình thường</v>
      </c>
      <c r="L355" s="102" t="str">
        <f>IFERROR(VLOOKUP(B355,'02. MM-KLH'!$B$6:$T$823,11,0),"")</f>
        <v/>
      </c>
      <c r="M355" s="143" t="str">
        <f>IFERROR(VLOOKUP(B355,'02. MM-KLH'!$B$6:$T$823,12,0),"")</f>
        <v/>
      </c>
      <c r="N355" s="108" t="str">
        <f>IFERROR(VLOOKUP(B355,'02. MM-KLH'!$B$6:$T$823,13,0),"")</f>
        <v>THACO</v>
      </c>
      <c r="O355" s="108" t="str">
        <f>IFERROR(VLOOKUP(B355,'02. MM-KLH'!$B$6:$T$823,14,0),"")</f>
        <v>VIỆT NAM</v>
      </c>
      <c r="P355" s="80" t="str">
        <f>IFERROR(VLOOKUP(B355,'02. MM-KLH'!$B$6:$T$823,15,0),"")</f>
        <v/>
      </c>
      <c r="Q355" s="80" t="str">
        <f>IFERROR(VLOOKUP(B355,'02. MM-KLH'!$B$6:$T$823,16,0),"")</f>
        <v>FD140</v>
      </c>
      <c r="R355" s="106" t="str">
        <f>IFERROR(VLOOKUP(B355,'02. MM-KLH'!$B$6:$T$823,17,0),"")</f>
        <v>140HP</v>
      </c>
      <c r="S355" s="108" t="str">
        <f>IFERROR(VLOOKUP(B355,'02. MM-KLH'!$B$6:$T$823,18,0),"")</f>
        <v>RNHF14YALT022435</v>
      </c>
      <c r="T355" s="110" t="str">
        <f>IFERROR(VLOOKUP(B355,'02. MM-KLH'!$B$6:$T$823,19,0),"")</f>
        <v>CCN</v>
      </c>
      <c r="U355" s="130" t="s">
        <v>79</v>
      </c>
    </row>
    <row r="356" ht="13.5" customHeight="1">
      <c r="A356" s="80">
        <f t="shared" ref="A356:A357" si="16">A355+1</f>
        <v>58</v>
      </c>
      <c r="B356" s="115" t="s">
        <v>2797</v>
      </c>
      <c r="C356" s="86" t="str">
        <f>IFERROR(VLOOKUP(B356,'02. MM-KLH'!$B$6:$T$823,2,0),"")</f>
        <v/>
      </c>
      <c r="D356" s="95" t="str">
        <f>IFERROR(VLOOKUP(B356,'02. MM-KLH'!$B$6:$T$823,3,0),"")</f>
        <v>-</v>
      </c>
      <c r="E356" s="86" t="str">
        <f>IFERROR(VLOOKUP(B356,'02. MM-KLH'!$B$6:$T$823,4,0),"")</f>
        <v/>
      </c>
      <c r="F356" s="187"/>
      <c r="G356" s="86" t="str">
        <f>IFERROR(VLOOKUP(B356,'02. MM-KLH'!$B$6:$T$823,6,0),"")</f>
        <v>Xe tải Frontier TF2800</v>
      </c>
      <c r="H356" s="80" t="s">
        <v>5490</v>
      </c>
      <c r="I356" s="80" t="str">
        <f>IFERROR(VLOOKUP(B356,'02. MM-KLH'!$B$6:$T$823,8,0),"")</f>
        <v>Thadicons A&amp;I</v>
      </c>
      <c r="J356" s="99" t="str">
        <f>IFERROR(VLOOKUP(B356,'02. MM-KLH'!$B$6:$T$823,9,0),"")</f>
        <v>Mới </v>
      </c>
      <c r="K356" s="80" t="str">
        <f>IFERROR(VLOOKUP(B356,'02. MM-KLH'!$B$6:$T$823,10,0),"")</f>
        <v>Bình thường</v>
      </c>
      <c r="L356" s="102" t="str">
        <f>IFERROR(VLOOKUP(B356,'02. MM-KLH'!$B$6:$T$823,11,0),"")</f>
        <v/>
      </c>
      <c r="M356" s="143" t="str">
        <f>IFERROR(VLOOKUP(B356,'02. MM-KLH'!$B$6:$T$823,12,0),"")</f>
        <v/>
      </c>
      <c r="N356" s="108" t="str">
        <f>IFERROR(VLOOKUP(B356,'02. MM-KLH'!$B$6:$T$823,13,0),"")</f>
        <v>THACO</v>
      </c>
      <c r="O356" s="108" t="str">
        <f>IFERROR(VLOOKUP(B356,'02. MM-KLH'!$B$6:$T$823,14,0),"")</f>
        <v>VIỆT NAM</v>
      </c>
      <c r="P356" s="80" t="str">
        <f>IFERROR(VLOOKUP(B356,'02. MM-KLH'!$B$6:$T$823,15,0),"")</f>
        <v/>
      </c>
      <c r="Q356" s="80" t="str">
        <f>IFERROR(VLOOKUP(B356,'02. MM-KLH'!$B$6:$T$823,16,0),"")</f>
        <v>TF2800</v>
      </c>
      <c r="R356" s="106" t="str">
        <f>IFERROR(VLOOKUP(B356,'02. MM-KLH'!$B$6:$T$823,17,0),"")</f>
        <v>100HP</v>
      </c>
      <c r="S356" s="108" t="str">
        <f>IFERROR(VLOOKUP(B356,'02. MM-KLH'!$B$6:$T$823,18,0),"")</f>
        <v/>
      </c>
      <c r="T356" s="110" t="str">
        <f>IFERROR(VLOOKUP(B356,'02. MM-KLH'!$B$6:$T$823,19,0),"")</f>
        <v/>
      </c>
      <c r="U356" s="130" t="s">
        <v>79</v>
      </c>
    </row>
    <row r="357" ht="13.5" customHeight="1">
      <c r="A357" s="80">
        <f t="shared" si="16"/>
        <v>59</v>
      </c>
      <c r="B357" s="115" t="s">
        <v>2800</v>
      </c>
      <c r="C357" s="86" t="str">
        <f>IFERROR(VLOOKUP(B357,'02. MM-KLH'!$B$6:$T$823,2,0),"")</f>
        <v/>
      </c>
      <c r="D357" s="95" t="str">
        <f>IFERROR(VLOOKUP(B357,'02. MM-KLH'!$B$6:$T$823,3,0),"")</f>
        <v>-</v>
      </c>
      <c r="E357" s="86" t="str">
        <f>IFERROR(VLOOKUP(B357,'02. MM-KLH'!$B$6:$T$823,4,0),"")</f>
        <v/>
      </c>
      <c r="F357" s="187"/>
      <c r="G357" s="86" t="str">
        <f>IFERROR(VLOOKUP(B357,'02. MM-KLH'!$B$6:$T$823,6,0),"")</f>
        <v>Xe tải Van THACO FRONTIER TF420-5S</v>
      </c>
      <c r="H357" s="80" t="s">
        <v>5756</v>
      </c>
      <c r="I357" s="80" t="str">
        <f>IFERROR(VLOOKUP(B357,'02. MM-KLH'!$B$6:$T$823,8,0),"")</f>
        <v>Thadicons A&amp;I</v>
      </c>
      <c r="J357" s="99" t="str">
        <f>IFERROR(VLOOKUP(B357,'02. MM-KLH'!$B$6:$T$823,9,0),"")</f>
        <v>Đã qua sử dụng</v>
      </c>
      <c r="K357" s="80" t="str">
        <f>IFERROR(VLOOKUP(B357,'02. MM-KLH'!$B$6:$T$823,10,0),"")</f>
        <v>Bình thường</v>
      </c>
      <c r="L357" s="102" t="str">
        <f>IFERROR(VLOOKUP(B357,'02. MM-KLH'!$B$6:$T$823,11,0),"")</f>
        <v/>
      </c>
      <c r="M357" s="143" t="str">
        <f>IFERROR(VLOOKUP(B357,'02. MM-KLH'!$B$6:$T$823,12,0),"")</f>
        <v/>
      </c>
      <c r="N357" s="108" t="str">
        <f>IFERROR(VLOOKUP(B357,'02. MM-KLH'!$B$6:$T$823,13,0),"")</f>
        <v>THACO</v>
      </c>
      <c r="O357" s="108" t="str">
        <f>IFERROR(VLOOKUP(B357,'02. MM-KLH'!$B$6:$T$823,14,0),"")</f>
        <v>VIỆT NAM</v>
      </c>
      <c r="P357" s="80" t="str">
        <f>IFERROR(VLOOKUP(B357,'02. MM-KLH'!$B$6:$T$823,15,0),"")</f>
        <v/>
      </c>
      <c r="Q357" s="80" t="str">
        <f>IFERROR(VLOOKUP(B357,'02. MM-KLH'!$B$6:$T$823,16,0),"")</f>
        <v>TF420</v>
      </c>
      <c r="R357" s="106" t="str">
        <f>IFERROR(VLOOKUP(B357,'02. MM-KLH'!$B$6:$T$823,17,0),"")</f>
        <v>100HP</v>
      </c>
      <c r="S357" s="108" t="str">
        <f>IFERROR(VLOOKUP(B357,'02. MM-KLH'!$B$6:$T$823,18,0),"")</f>
        <v/>
      </c>
      <c r="T357" s="110" t="str">
        <f>IFERROR(VLOOKUP(B357,'02. MM-KLH'!$B$6:$T$823,19,0),"")</f>
        <v/>
      </c>
      <c r="U357" s="130" t="s">
        <v>79</v>
      </c>
    </row>
    <row r="358" ht="13.5" customHeight="1">
      <c r="A358" s="80"/>
      <c r="B358" s="115"/>
      <c r="C358" s="86"/>
      <c r="D358" s="95"/>
      <c r="E358" s="86" t="str">
        <f>IFERROR(VLOOKUP(B358,'02. MM-KLH'!$B$6:$T$823,4,0),"")</f>
        <v/>
      </c>
      <c r="F358" s="187"/>
      <c r="G358" s="86"/>
      <c r="H358" s="80"/>
      <c r="I358" s="80"/>
      <c r="J358" s="99"/>
      <c r="K358" s="80"/>
      <c r="L358" s="102"/>
      <c r="M358" s="143"/>
      <c r="N358" s="108"/>
      <c r="O358" s="108"/>
      <c r="P358" s="80"/>
      <c r="Q358" s="80"/>
      <c r="R358" s="106"/>
      <c r="S358" s="108"/>
      <c r="T358" s="110"/>
      <c r="U358" s="130"/>
    </row>
    <row r="359" ht="13.5" customHeight="1">
      <c r="A359" s="80"/>
      <c r="B359" s="115"/>
      <c r="C359" s="86"/>
      <c r="D359" s="95"/>
      <c r="E359" s="86" t="str">
        <f>IFERROR(VLOOKUP(B359,'02. MM-KLH'!$B$6:$T$823,4,0),"")</f>
        <v/>
      </c>
      <c r="F359" s="187"/>
      <c r="G359" s="86"/>
      <c r="H359" s="80"/>
      <c r="I359" s="80"/>
      <c r="J359" s="99"/>
      <c r="K359" s="80"/>
      <c r="L359" s="102"/>
      <c r="M359" s="143"/>
      <c r="N359" s="108"/>
      <c r="O359" s="108"/>
      <c r="P359" s="80"/>
      <c r="Q359" s="80"/>
      <c r="R359" s="106"/>
      <c r="S359" s="108"/>
      <c r="T359" s="110"/>
      <c r="U359" s="130"/>
    </row>
    <row r="360" ht="13.5" customHeight="1">
      <c r="A360" s="82" t="s">
        <v>76</v>
      </c>
      <c r="B360" s="83" t="s">
        <v>5757</v>
      </c>
      <c r="C360" s="85">
        <f>COUNTA(B361:B376)</f>
        <v>13</v>
      </c>
      <c r="D360" s="85" t="str">
        <f>IFERROR(VLOOKUP(B360,'02. MM-KLH'!$B$6:$T$823,3,0),"")</f>
        <v/>
      </c>
      <c r="E360" s="85" t="str">
        <f>IFERROR(VLOOKUP(B360,'02. MM-KLH'!$B$6:$T$823,4,0),"")</f>
        <v/>
      </c>
      <c r="F360" s="85"/>
      <c r="G360" s="85" t="str">
        <f>IFERROR(VLOOKUP(B360,'02. MM-KLH'!$B$6:$T$823,6,0),"")</f>
        <v/>
      </c>
      <c r="H360" s="85"/>
      <c r="I360" s="85" t="str">
        <f>IFERROR(VLOOKUP(B360,'02. MM-KLH'!$B$6:$T$823,8,0),"")</f>
        <v/>
      </c>
      <c r="J360" s="85" t="str">
        <f>IFERROR(VLOOKUP(B360,'02. MM-KLH'!$B$6:$T$823,9,0),"")</f>
        <v/>
      </c>
      <c r="K360" s="85" t="str">
        <f>IFERROR(VLOOKUP(B360,'02. MM-KLH'!$B$6:$T$823,10,0),"")</f>
        <v/>
      </c>
      <c r="L360" s="85" t="str">
        <f>IFERROR(VLOOKUP(B360,'02. MM-KLH'!$B$6:$T$823,11,0),"")</f>
        <v/>
      </c>
      <c r="M360" s="85" t="str">
        <f>IFERROR(VLOOKUP(B360,'02. MM-KLH'!$B$6:$T$823,12,0),"")</f>
        <v/>
      </c>
      <c r="N360" s="85" t="str">
        <f>IFERROR(VLOOKUP(B360,'02. MM-KLH'!$B$6:$T$823,13,0),"")</f>
        <v/>
      </c>
      <c r="O360" s="85" t="str">
        <f>IFERROR(VLOOKUP(B360,'02. MM-KLH'!$B$6:$T$823,14,0),"")</f>
        <v/>
      </c>
      <c r="P360" s="85" t="str">
        <f>IFERROR(VLOOKUP(B360,'02. MM-KLH'!$B$6:$T$823,15,0),"")</f>
        <v/>
      </c>
      <c r="Q360" s="85" t="str">
        <f>IFERROR(VLOOKUP(B360,'02. MM-KLH'!$B$6:$T$823,16,0),"")</f>
        <v/>
      </c>
      <c r="R360" s="85" t="str">
        <f>IFERROR(VLOOKUP(B360,'02. MM-KLH'!$B$6:$T$823,17,0),"")</f>
        <v/>
      </c>
      <c r="S360" s="85" t="str">
        <f>IFERROR(VLOOKUP(B360,'02. MM-KLH'!$B$6:$T$823,18,0),"")</f>
        <v/>
      </c>
      <c r="T360" s="85" t="str">
        <f>IFERROR(VLOOKUP(B360,'02. MM-KLH'!$B$6:$T$823,19,0),"")</f>
        <v/>
      </c>
      <c r="U360" s="85" t="str">
        <f>IFERROR(VLOOKUP(C360,'02. MM-KLH'!$B$6:$T$823,19,0),"")</f>
        <v/>
      </c>
    </row>
    <row r="361" ht="13.5" customHeight="1">
      <c r="A361" s="80">
        <v>1.0</v>
      </c>
      <c r="B361" s="115" t="s">
        <v>2181</v>
      </c>
      <c r="C361" s="86" t="str">
        <f>IFERROR(VLOOKUP(B361,'02. MM-KLH'!$B$6:$T$823,2,0),"")</f>
        <v/>
      </c>
      <c r="D361" s="95" t="str">
        <f>IFERROR(VLOOKUP(B361,'02. MM-KLH'!$B$6:$T$823,3,0),"")</f>
        <v>A22-XĐK-001</v>
      </c>
      <c r="E361" s="86" t="str">
        <f>IFERROR(VLOOKUP(B361,'02. MM-KLH'!$B$6:$T$823,4,0),"")</f>
        <v/>
      </c>
      <c r="F361" s="115"/>
      <c r="G361" s="86" t="str">
        <f>IFERROR(VLOOKUP(B361,'02. MM-KLH'!$B$6:$T$823,6,0),"")</f>
        <v>Xe đầu kéo FD1600B</v>
      </c>
      <c r="H361" s="80" t="s">
        <v>5759</v>
      </c>
      <c r="I361" s="80" t="str">
        <f>IFERROR(VLOOKUP(B361,'02. MM-KLH'!$B$6:$T$823,8,0),"")</f>
        <v>XN Bò AD</v>
      </c>
      <c r="J361" s="99" t="str">
        <f>IFERROR(VLOOKUP(B361,'02. MM-KLH'!$B$6:$T$823,9,0),"")</f>
        <v>29/10/2024</v>
      </c>
      <c r="K361" s="80" t="str">
        <f>IFERROR(VLOOKUP(B361,'02. MM-KLH'!$B$6:$T$823,10,0),"")</f>
        <v>Bình thường</v>
      </c>
      <c r="L361" s="102" t="str">
        <f>IFERROR(VLOOKUP(B361,'02. MM-KLH'!$B$6:$T$823,11,0),"")</f>
        <v/>
      </c>
      <c r="M361" s="143" t="str">
        <f>IFERROR(VLOOKUP(B361,'02. MM-KLH'!$B$6:$T$823,12,0),"")</f>
        <v>Đầu tư mới, đi kèm SMRM: XB1-SMR-001 (50m3)</v>
      </c>
      <c r="N361" s="108" t="str">
        <f>IFERROR(VLOOKUP(B361,'02. MM-KLH'!$B$6:$T$823,13,0),"")</f>
        <v>THACO FORLAND</v>
      </c>
      <c r="O361" s="108" t="str">
        <f>IFERROR(VLOOKUP(B361,'02. MM-KLH'!$B$6:$T$823,14,0),"")</f>
        <v>VIỆT NAM</v>
      </c>
      <c r="P361" s="80">
        <f>IFERROR(VLOOKUP(B361,'02. MM-KLH'!$B$6:$T$823,15,0),"")</f>
        <v>2022</v>
      </c>
      <c r="Q361" s="80" t="str">
        <f>IFERROR(VLOOKUP(B361,'02. MM-KLH'!$B$6:$T$823,16,0),"")</f>
        <v>FD1600B</v>
      </c>
      <c r="R361" s="106" t="str">
        <f>IFERROR(VLOOKUP(B361,'02. MM-KLH'!$B$6:$T$823,17,0),"")</f>
        <v>177HP</v>
      </c>
      <c r="S361" s="108" t="str">
        <f>IFERROR(VLOOKUP(B361,'02. MM-KLH'!$B$6:$T$823,18,0),"")</f>
        <v>RNHD1600DHC070065</v>
      </c>
      <c r="T361" s="110" t="str">
        <f>IFERROR(VLOOKUP(B361,'02. MM-KLH'!$B$6:$T$823,19,0),"")</f>
        <v>6P15D005384</v>
      </c>
      <c r="U361" s="130" t="s">
        <v>2301</v>
      </c>
    </row>
    <row r="362" ht="13.5" customHeight="1">
      <c r="A362" s="80">
        <f t="shared" ref="A362:A373" si="17">A361+1</f>
        <v>2</v>
      </c>
      <c r="B362" s="115" t="s">
        <v>2189</v>
      </c>
      <c r="C362" s="86" t="str">
        <f>IFERROR(VLOOKUP(B362,'02. MM-KLH'!$B$6:$T$823,2,0),"")</f>
        <v/>
      </c>
      <c r="D362" s="95" t="str">
        <f>IFERROR(VLOOKUP(B362,'02. MM-KLH'!$B$6:$T$823,3,0),"")</f>
        <v>A22-XĐK-002</v>
      </c>
      <c r="E362" s="86" t="str">
        <f>IFERROR(VLOOKUP(B362,'02. MM-KLH'!$B$6:$T$823,4,0),"")</f>
        <v>3A-6806</v>
      </c>
      <c r="F362" s="115"/>
      <c r="G362" s="86" t="str">
        <f>IFERROR(VLOOKUP(B362,'02. MM-KLH'!$B$6:$T$823,6,0),"")</f>
        <v>Xe đầu kéo TT261J-MT</v>
      </c>
      <c r="H362" s="80" t="s">
        <v>5759</v>
      </c>
      <c r="I362" s="80" t="str">
        <f>IFERROR(VLOOKUP(B362,'02. MM-KLH'!$B$6:$T$823,8,0),"")</f>
        <v>XN Bò AD</v>
      </c>
      <c r="J362" s="99">
        <f>IFERROR(VLOOKUP(B362,'02. MM-KLH'!$B$6:$T$823,9,0),"")</f>
        <v>45692</v>
      </c>
      <c r="K362" s="80" t="str">
        <f>IFERROR(VLOOKUP(B362,'02. MM-KLH'!$B$6:$T$823,10,0),"")</f>
        <v>Bình thường</v>
      </c>
      <c r="L362" s="102" t="str">
        <f>IFERROR(VLOOKUP(B362,'02. MM-KLH'!$B$6:$T$823,11,0),"")</f>
        <v/>
      </c>
      <c r="M362" s="143" t="str">
        <f>IFERROR(VLOOKUP(B362,'02. MM-KLH'!$B$6:$T$823,12,0),"")</f>
        <v>Đầu tư mới, đi kèm SMRM: XB1-MRT-002 (50m3)</v>
      </c>
      <c r="N362" s="108" t="str">
        <f>IFERROR(VLOOKUP(B362,'02. MM-KLH'!$B$6:$T$823,13,0),"")</f>
        <v>THACO</v>
      </c>
      <c r="O362" s="108" t="str">
        <f>IFERROR(VLOOKUP(B362,'02. MM-KLH'!$B$6:$T$823,14,0),"")</f>
        <v>VIỆT NAM</v>
      </c>
      <c r="P362" s="80">
        <f>IFERROR(VLOOKUP(B362,'02. MM-KLH'!$B$6:$T$823,15,0),"")</f>
        <v>2024</v>
      </c>
      <c r="Q362" s="80" t="str">
        <f>IFERROR(VLOOKUP(B362,'02. MM-KLH'!$B$6:$T$823,16,0),"")</f>
        <v>THACO TT261J-MT</v>
      </c>
      <c r="R362" s="106" t="str">
        <f>IFERROR(VLOOKUP(B362,'02. MM-KLH'!$B$6:$T$823,17,0),"")</f>
        <v>295HP</v>
      </c>
      <c r="S362" s="108" t="str">
        <f>IFERROR(VLOOKUP(B362,'02. MM-KLH'!$B$6:$T$823,18,0),"")</f>
        <v>RNHT16TWART098475</v>
      </c>
      <c r="T362" s="110" t="str">
        <f>IFERROR(VLOOKUP(B362,'02. MM-KLH'!$B$6:$T$823,19,0),"")</f>
        <v>1024A000597</v>
      </c>
      <c r="U362" s="130" t="s">
        <v>2301</v>
      </c>
    </row>
    <row r="363" ht="13.5" customHeight="1">
      <c r="A363" s="80">
        <f t="shared" si="17"/>
        <v>3</v>
      </c>
      <c r="B363" s="115" t="s">
        <v>2198</v>
      </c>
      <c r="C363" s="86" t="str">
        <f>IFERROR(VLOOKUP(B363,'02. MM-KLH'!$B$6:$T$823,2,0),"")</f>
        <v/>
      </c>
      <c r="D363" s="95" t="str">
        <f>IFERROR(VLOOKUP(B363,'02. MM-KLH'!$B$6:$T$823,3,0),"")</f>
        <v>A22-XĐK-003</v>
      </c>
      <c r="E363" s="86" t="str">
        <f>IFERROR(VLOOKUP(B363,'02. MM-KLH'!$B$6:$T$823,4,0),"")</f>
        <v>3A-6837</v>
      </c>
      <c r="F363" s="115"/>
      <c r="G363" s="86" t="str">
        <f>IFERROR(VLOOKUP(B363,'02. MM-KLH'!$B$6:$T$823,6,0),"")</f>
        <v>Xe đầu kéo HOWO</v>
      </c>
      <c r="H363" s="80" t="s">
        <v>5759</v>
      </c>
      <c r="I363" s="80" t="str">
        <f>IFERROR(VLOOKUP(B363,'02. MM-KLH'!$B$6:$T$823,8,0),"")</f>
        <v>XN Bò AD</v>
      </c>
      <c r="J363" s="99">
        <f>IFERROR(VLOOKUP(B363,'02. MM-KLH'!$B$6:$T$823,9,0),"")</f>
        <v>45909</v>
      </c>
      <c r="K363" s="80" t="str">
        <f>IFERROR(VLOOKUP(B363,'02. MM-KLH'!$B$6:$T$823,10,0),"")</f>
        <v>Bình thường</v>
      </c>
      <c r="L363" s="102" t="str">
        <f>IFERROR(VLOOKUP(B363,'02. MM-KLH'!$B$6:$T$823,11,0),"")</f>
        <v/>
      </c>
      <c r="M363" s="143" t="str">
        <f>IFERROR(VLOOKUP(B363,'02. MM-KLH'!$B$6:$T$823,12,0),"")</f>
        <v>Đầu tư mới, đi kèm SMRM: XB1-MRT-003 (50m3)</v>
      </c>
      <c r="N363" s="108" t="str">
        <f>IFERROR(VLOOKUP(B363,'02. MM-KLH'!$B$6:$T$823,13,0),"")</f>
        <v>CNHTC</v>
      </c>
      <c r="O363" s="108" t="str">
        <f>IFERROR(VLOOKUP(B363,'02. MM-KLH'!$B$6:$T$823,14,0),"")</f>
        <v>TRUNG QUỐC</v>
      </c>
      <c r="P363" s="80">
        <f>IFERROR(VLOOKUP(B363,'02. MM-KLH'!$B$6:$T$823,15,0),"")</f>
        <v>2025</v>
      </c>
      <c r="Q363" s="80" t="str">
        <f>IFERROR(VLOOKUP(B363,'02. MM-KLH'!$B$6:$T$823,16,0),"")</f>
        <v>ZZ4187N391JE1</v>
      </c>
      <c r="R363" s="106" t="str">
        <f>IFERROR(VLOOKUP(B363,'02. MM-KLH'!$B$6:$T$823,17,0),"")</f>
        <v>299HP</v>
      </c>
      <c r="S363" s="108" t="str">
        <f>IFERROR(VLOOKUP(B363,'02. MM-KLH'!$B$6:$T$823,18,0),"")</f>
        <v>LZZ1CCMD2SJ416137</v>
      </c>
      <c r="T363" s="110" t="str">
        <f>IFERROR(VLOOKUP(B363,'02. MM-KLH'!$B$6:$T$823,19,0),"")</f>
        <v>WP7.300E51*1025G007299*</v>
      </c>
      <c r="U363" s="130" t="s">
        <v>2301</v>
      </c>
    </row>
    <row r="364" ht="13.5" customHeight="1">
      <c r="A364" s="80">
        <f t="shared" si="17"/>
        <v>4</v>
      </c>
      <c r="B364" s="115" t="s">
        <v>2208</v>
      </c>
      <c r="C364" s="86" t="str">
        <f>IFERROR(VLOOKUP(B364,'02. MM-KLH'!$B$6:$T$823,2,0),"")</f>
        <v/>
      </c>
      <c r="D364" s="95" t="str">
        <f>IFERROR(VLOOKUP(B364,'02. MM-KLH'!$B$6:$T$823,3,0),"")</f>
        <v>A22-XĐK-004</v>
      </c>
      <c r="E364" s="86" t="str">
        <f>IFERROR(VLOOKUP(B364,'02. MM-KLH'!$B$6:$T$823,4,0),"")</f>
        <v>3A-6839</v>
      </c>
      <c r="F364" s="115"/>
      <c r="G364" s="86" t="str">
        <f>IFERROR(VLOOKUP(B364,'02. MM-KLH'!$B$6:$T$823,6,0),"")</f>
        <v>Xe đầu kéo HOWO</v>
      </c>
      <c r="H364" s="80" t="s">
        <v>5759</v>
      </c>
      <c r="I364" s="80" t="str">
        <f>IFERROR(VLOOKUP(B364,'02. MM-KLH'!$B$6:$T$823,8,0),"")</f>
        <v>XN Bò AD</v>
      </c>
      <c r="J364" s="99">
        <f>IFERROR(VLOOKUP(B364,'02. MM-KLH'!$B$6:$T$823,9,0),"")</f>
        <v>45879</v>
      </c>
      <c r="K364" s="80" t="str">
        <f>IFERROR(VLOOKUP(B364,'02. MM-KLH'!$B$6:$T$823,10,0),"")</f>
        <v>Bình thường</v>
      </c>
      <c r="L364" s="102" t="str">
        <f>IFERROR(VLOOKUP(B364,'02. MM-KLH'!$B$6:$T$823,11,0),"")</f>
        <v/>
      </c>
      <c r="M364" s="143" t="str">
        <f>IFERROR(VLOOKUP(B364,'02. MM-KLH'!$B$6:$T$823,12,0),"")</f>
        <v>Đầu tư mới, đi kèm SMRM: XB1-MRT-004 (50m3)</v>
      </c>
      <c r="N364" s="108" t="str">
        <f>IFERROR(VLOOKUP(B364,'02. MM-KLH'!$B$6:$T$823,13,0),"")</f>
        <v>CNHTC</v>
      </c>
      <c r="O364" s="108" t="str">
        <f>IFERROR(VLOOKUP(B364,'02. MM-KLH'!$B$6:$T$823,14,0),"")</f>
        <v>TRUNG QUỐC</v>
      </c>
      <c r="P364" s="80">
        <f>IFERROR(VLOOKUP(B364,'02. MM-KLH'!$B$6:$T$823,15,0),"")</f>
        <v>2025</v>
      </c>
      <c r="Q364" s="80" t="str">
        <f>IFERROR(VLOOKUP(B364,'02. MM-KLH'!$B$6:$T$823,16,0),"")</f>
        <v>ZZ4187N391JE1</v>
      </c>
      <c r="R364" s="106" t="str">
        <f>IFERROR(VLOOKUP(B364,'02. MM-KLH'!$B$6:$T$823,17,0),"")</f>
        <v>299HP</v>
      </c>
      <c r="S364" s="108" t="str">
        <f>IFERROR(VLOOKUP(B364,'02. MM-KLH'!$B$6:$T$823,18,0),"")</f>
        <v>LZZ1CCMD7SJ415209</v>
      </c>
      <c r="T364" s="110" t="str">
        <f>IFERROR(VLOOKUP(B364,'02. MM-KLH'!$B$6:$T$823,19,0),"")</f>
        <v>WP7.300E51*1025G006835*</v>
      </c>
      <c r="U364" s="130" t="s">
        <v>2301</v>
      </c>
    </row>
    <row r="365" ht="13.5" customHeight="1">
      <c r="A365" s="80">
        <f t="shared" si="17"/>
        <v>5</v>
      </c>
      <c r="B365" s="115" t="s">
        <v>2214</v>
      </c>
      <c r="C365" s="86" t="str">
        <f>IFERROR(VLOOKUP(B365,'02. MM-KLH'!$B$6:$T$823,2,0),"")</f>
        <v/>
      </c>
      <c r="D365" s="95" t="str">
        <f>IFERROR(VLOOKUP(B365,'02. MM-KLH'!$B$6:$T$823,3,0),"")</f>
        <v>A22-XĐK-005</v>
      </c>
      <c r="E365" s="86" t="str">
        <f>IFERROR(VLOOKUP(B365,'02. MM-KLH'!$B$6:$T$823,4,0),"")</f>
        <v>3A-6836</v>
      </c>
      <c r="F365" s="115"/>
      <c r="G365" s="86" t="str">
        <f>IFERROR(VLOOKUP(B365,'02. MM-KLH'!$B$6:$T$823,6,0),"")</f>
        <v>Xe đầu kéo HOWO</v>
      </c>
      <c r="H365" s="80" t="s">
        <v>5759</v>
      </c>
      <c r="I365" s="80" t="str">
        <f>IFERROR(VLOOKUP(B365,'02. MM-KLH'!$B$6:$T$823,8,0),"")</f>
        <v>XN Bò AD</v>
      </c>
      <c r="J365" s="99">
        <f>IFERROR(VLOOKUP(B365,'02. MM-KLH'!$B$6:$T$823,9,0),"")</f>
        <v>45879</v>
      </c>
      <c r="K365" s="80" t="str">
        <f>IFERROR(VLOOKUP(B365,'02. MM-KLH'!$B$6:$T$823,10,0),"")</f>
        <v>Bình thường</v>
      </c>
      <c r="L365" s="102" t="str">
        <f>IFERROR(VLOOKUP(B365,'02. MM-KLH'!$B$6:$T$823,11,0),"")</f>
        <v/>
      </c>
      <c r="M365" s="143" t="str">
        <f>IFERROR(VLOOKUP(B365,'02. MM-KLH'!$B$6:$T$823,12,0),"")</f>
        <v>Đầu tư mới, đi kèm SMRM: XB1-MRT-005 (50m3)</v>
      </c>
      <c r="N365" s="108" t="str">
        <f>IFERROR(VLOOKUP(B365,'02. MM-KLH'!$B$6:$T$823,13,0),"")</f>
        <v>CNHTC</v>
      </c>
      <c r="O365" s="108" t="str">
        <f>IFERROR(VLOOKUP(B365,'02. MM-KLH'!$B$6:$T$823,14,0),"")</f>
        <v>TRUNG QUỐC</v>
      </c>
      <c r="P365" s="80">
        <f>IFERROR(VLOOKUP(B365,'02. MM-KLH'!$B$6:$T$823,15,0),"")</f>
        <v>2025</v>
      </c>
      <c r="Q365" s="80" t="str">
        <f>IFERROR(VLOOKUP(B365,'02. MM-KLH'!$B$6:$T$823,16,0),"")</f>
        <v>ZZ4187N391JE1</v>
      </c>
      <c r="R365" s="106" t="str">
        <f>IFERROR(VLOOKUP(B365,'02. MM-KLH'!$B$6:$T$823,17,0),"")</f>
        <v>299HP</v>
      </c>
      <c r="S365" s="108" t="str">
        <f>IFERROR(VLOOKUP(B365,'02. MM-KLH'!$B$6:$T$823,18,0),"")</f>
        <v>LZZ1CCMD3SJ415210</v>
      </c>
      <c r="T365" s="110" t="str">
        <f>IFERROR(VLOOKUP(B365,'02. MM-KLH'!$B$6:$T$823,19,0),"")</f>
        <v>WP7.300E51*1025G006838*</v>
      </c>
      <c r="U365" s="130" t="s">
        <v>2301</v>
      </c>
    </row>
    <row r="366" ht="13.5" customHeight="1">
      <c r="A366" s="80">
        <f t="shared" si="17"/>
        <v>6</v>
      </c>
      <c r="B366" s="115" t="s">
        <v>2220</v>
      </c>
      <c r="C366" s="86" t="str">
        <f>IFERROR(VLOOKUP(B366,'02. MM-KLH'!$B$6:$T$823,2,0),"")</f>
        <v/>
      </c>
      <c r="D366" s="95" t="str">
        <f>IFERROR(VLOOKUP(B366,'02. MM-KLH'!$B$6:$T$823,3,0),"")</f>
        <v>A22-XĐK-006</v>
      </c>
      <c r="E366" s="86" t="str">
        <f>IFERROR(VLOOKUP(B366,'02. MM-KLH'!$B$6:$T$823,4,0),"")</f>
        <v>3A-6835</v>
      </c>
      <c r="F366" s="115"/>
      <c r="G366" s="86" t="str">
        <f>IFERROR(VLOOKUP(B366,'02. MM-KLH'!$B$6:$T$823,6,0),"")</f>
        <v>Xe đầu kéo HOWO</v>
      </c>
      <c r="H366" s="80" t="s">
        <v>5759</v>
      </c>
      <c r="I366" s="80" t="str">
        <f>IFERROR(VLOOKUP(B366,'02. MM-KLH'!$B$6:$T$823,8,0),"")</f>
        <v>XN Bò AD</v>
      </c>
      <c r="J366" s="99" t="str">
        <f>IFERROR(VLOOKUP(B366,'02. MM-KLH'!$B$6:$T$823,9,0),"")</f>
        <v>31/10/2025</v>
      </c>
      <c r="K366" s="80" t="str">
        <f>IFERROR(VLOOKUP(B366,'02. MM-KLH'!$B$6:$T$823,10,0),"")</f>
        <v>Bình thường</v>
      </c>
      <c r="L366" s="102" t="str">
        <f>IFERROR(VLOOKUP(B366,'02. MM-KLH'!$B$6:$T$823,11,0),"")</f>
        <v/>
      </c>
      <c r="M366" s="143" t="str">
        <f>IFERROR(VLOOKUP(B366,'02. MM-KLH'!$B$6:$T$823,12,0),"")</f>
        <v>Đầu tư mới, đi kèm SMRM: XB1-MRT-006 (50m3)</v>
      </c>
      <c r="N366" s="108" t="str">
        <f>IFERROR(VLOOKUP(B366,'02. MM-KLH'!$B$6:$T$823,13,0),"")</f>
        <v>CNHTC</v>
      </c>
      <c r="O366" s="108" t="str">
        <f>IFERROR(VLOOKUP(B366,'02. MM-KLH'!$B$6:$T$823,14,0),"")</f>
        <v>Trung Quốc</v>
      </c>
      <c r="P366" s="80">
        <f>IFERROR(VLOOKUP(B366,'02. MM-KLH'!$B$6:$T$823,15,0),"")</f>
        <v>2025</v>
      </c>
      <c r="Q366" s="80" t="str">
        <f>IFERROR(VLOOKUP(B366,'02. MM-KLH'!$B$6:$T$823,16,0),"")</f>
        <v>ZZ4187N391JE1</v>
      </c>
      <c r="R366" s="106" t="str">
        <f>IFERROR(VLOOKUP(B366,'02. MM-KLH'!$B$6:$T$823,17,0),"")</f>
        <v>299HP</v>
      </c>
      <c r="S366" s="108" t="str">
        <f>IFERROR(VLOOKUP(B366,'02. MM-KLH'!$B$6:$T$823,18,0),"")</f>
        <v>LZZ1CCMD3SJ415207</v>
      </c>
      <c r="T366" s="110" t="str">
        <f>IFERROR(VLOOKUP(B366,'02. MM-KLH'!$B$6:$T$823,19,0),"")</f>
        <v>WP7.300E51*1025G006833*</v>
      </c>
      <c r="U366" s="130" t="s">
        <v>2301</v>
      </c>
    </row>
    <row r="367" ht="13.5" customHeight="1">
      <c r="A367" s="80">
        <f t="shared" si="17"/>
        <v>7</v>
      </c>
      <c r="B367" s="115" t="s">
        <v>2227</v>
      </c>
      <c r="C367" s="86" t="str">
        <f>IFERROR(VLOOKUP(B367,'02. MM-KLH'!$B$6:$T$823,2,0),"")</f>
        <v/>
      </c>
      <c r="D367" s="95" t="str">
        <f>IFERROR(VLOOKUP(B367,'02. MM-KLH'!$B$6:$T$823,3,0),"")</f>
        <v>A22-XĐK-007</v>
      </c>
      <c r="E367" s="86" t="str">
        <f>IFERROR(VLOOKUP(B367,'02. MM-KLH'!$B$6:$T$823,4,0),"")</f>
        <v>3A-6840</v>
      </c>
      <c r="F367" s="115"/>
      <c r="G367" s="86" t="str">
        <f>IFERROR(VLOOKUP(B367,'02. MM-KLH'!$B$6:$T$823,6,0),"")</f>
        <v>Xe đầu kéo HOWO</v>
      </c>
      <c r="H367" s="80" t="s">
        <v>5759</v>
      </c>
      <c r="I367" s="80" t="str">
        <f>IFERROR(VLOOKUP(B367,'02. MM-KLH'!$B$6:$T$823,8,0),"")</f>
        <v>XN Bò AD</v>
      </c>
      <c r="J367" s="99" t="str">
        <f>IFERROR(VLOOKUP(B367,'02. MM-KLH'!$B$6:$T$823,9,0),"")</f>
        <v>24/10/2025</v>
      </c>
      <c r="K367" s="80" t="str">
        <f>IFERROR(VLOOKUP(B367,'02. MM-KLH'!$B$6:$T$823,10,0),"")</f>
        <v>Bình thường</v>
      </c>
      <c r="L367" s="102" t="str">
        <f>IFERROR(VLOOKUP(B367,'02. MM-KLH'!$B$6:$T$823,11,0),"")</f>
        <v/>
      </c>
      <c r="M367" s="143" t="str">
        <f>IFERROR(VLOOKUP(B367,'02. MM-KLH'!$B$6:$T$823,12,0),"")</f>
        <v>Đầu tư mới, đi kèm SMRM: XB1-MRT-007 (50m3)</v>
      </c>
      <c r="N367" s="108" t="str">
        <f>IFERROR(VLOOKUP(B367,'02. MM-KLH'!$B$6:$T$823,13,0),"")</f>
        <v>CNHTC</v>
      </c>
      <c r="O367" s="108" t="str">
        <f>IFERROR(VLOOKUP(B367,'02. MM-KLH'!$B$6:$T$823,14,0),"")</f>
        <v>Trung Quốc</v>
      </c>
      <c r="P367" s="80">
        <f>IFERROR(VLOOKUP(B367,'02. MM-KLH'!$B$6:$T$823,15,0),"")</f>
        <v>2025</v>
      </c>
      <c r="Q367" s="80" t="str">
        <f>IFERROR(VLOOKUP(B367,'02. MM-KLH'!$B$6:$T$823,16,0),"")</f>
        <v>ZZ4187N391JE1</v>
      </c>
      <c r="R367" s="106" t="str">
        <f>IFERROR(VLOOKUP(B367,'02. MM-KLH'!$B$6:$T$823,17,0),"")</f>
        <v>299HP</v>
      </c>
      <c r="S367" s="108" t="str">
        <f>IFERROR(VLOOKUP(B367,'02. MM-KLH'!$B$6:$T$823,18,0),"")</f>
        <v>LZZ1CCMD3SJ415208</v>
      </c>
      <c r="T367" s="110" t="str">
        <f>IFERROR(VLOOKUP(B367,'02. MM-KLH'!$B$6:$T$823,19,0),"")</f>
        <v>WP7.300E51*1025G006834*</v>
      </c>
      <c r="U367" s="130" t="s">
        <v>2301</v>
      </c>
    </row>
    <row r="368" ht="13.5" customHeight="1">
      <c r="A368" s="80">
        <f t="shared" si="17"/>
        <v>8</v>
      </c>
      <c r="B368" s="115" t="s">
        <v>2234</v>
      </c>
      <c r="C368" s="86" t="str">
        <f>IFERROR(VLOOKUP(B368,'02. MM-KLH'!$B$6:$T$823,2,0),"")</f>
        <v/>
      </c>
      <c r="D368" s="95" t="str">
        <f>IFERROR(VLOOKUP(B368,'02. MM-KLH'!$B$6:$T$823,3,0),"")</f>
        <v>A22-XĐK-008</v>
      </c>
      <c r="E368" s="86" t="str">
        <f>IFERROR(VLOOKUP(B368,'02. MM-KLH'!$B$6:$T$823,4,0),"")</f>
        <v>3A-6832</v>
      </c>
      <c r="F368" s="115"/>
      <c r="G368" s="86" t="str">
        <f>IFERROR(VLOOKUP(B368,'02. MM-KLH'!$B$6:$T$823,6,0),"")</f>
        <v>Xe đầu kéo HOWO</v>
      </c>
      <c r="H368" s="80" t="s">
        <v>5759</v>
      </c>
      <c r="I368" s="80" t="str">
        <f>IFERROR(VLOOKUP(B368,'02. MM-KLH'!$B$6:$T$823,8,0),"")</f>
        <v>XN Bò AD</v>
      </c>
      <c r="J368" s="99">
        <f>IFERROR(VLOOKUP(B368,'02. MM-KLH'!$B$6:$T$823,9,0),"")</f>
        <v>46082</v>
      </c>
      <c r="K368" s="80" t="str">
        <f>IFERROR(VLOOKUP(B368,'02. MM-KLH'!$B$6:$T$823,10,0),"")</f>
        <v>Bình thường</v>
      </c>
      <c r="L368" s="102" t="str">
        <f>IFERROR(VLOOKUP(B368,'02. MM-KLH'!$B$6:$T$823,11,0),"")</f>
        <v/>
      </c>
      <c r="M368" s="143" t="str">
        <f>IFERROR(VLOOKUP(B368,'02. MM-KLH'!$B$6:$T$823,12,0),"")</f>
        <v>Đầu tư mới</v>
      </c>
      <c r="N368" s="108" t="str">
        <f>IFERROR(VLOOKUP(B368,'02. MM-KLH'!$B$6:$T$823,13,0),"")</f>
        <v>CNHTC</v>
      </c>
      <c r="O368" s="108" t="str">
        <f>IFERROR(VLOOKUP(B368,'02. MM-KLH'!$B$6:$T$823,14,0),"")</f>
        <v>Trung Quốc</v>
      </c>
      <c r="P368" s="80">
        <f>IFERROR(VLOOKUP(B368,'02. MM-KLH'!$B$6:$T$823,15,0),"")</f>
        <v>2025</v>
      </c>
      <c r="Q368" s="80" t="str">
        <f>IFERROR(VLOOKUP(B368,'02. MM-KLH'!$B$6:$T$823,16,0),"")</f>
        <v>ZZ4187N391JE1</v>
      </c>
      <c r="R368" s="106" t="str">
        <f>IFERROR(VLOOKUP(B368,'02. MM-KLH'!$B$6:$T$823,17,0),"")</f>
        <v>299HP</v>
      </c>
      <c r="S368" s="108" t="str">
        <f>IFERROR(VLOOKUP(B368,'02. MM-KLH'!$B$6:$T$823,18,0),"")</f>
        <v>LZZ1CCMD4SJ416138</v>
      </c>
      <c r="T368" s="110" t="str">
        <f>IFERROR(VLOOKUP(B368,'02. MM-KLH'!$B$6:$T$823,19,0),"")</f>
        <v>WP7.300E51*1025G007295*</v>
      </c>
      <c r="U368" s="130" t="s">
        <v>2301</v>
      </c>
    </row>
    <row r="369" ht="13.5" customHeight="1">
      <c r="A369" s="80">
        <f t="shared" si="17"/>
        <v>9</v>
      </c>
      <c r="B369" s="115" t="s">
        <v>2240</v>
      </c>
      <c r="C369" s="86" t="str">
        <f>IFERROR(VLOOKUP(B369,'02. MM-KLH'!$B$6:$T$823,2,0),"")</f>
        <v/>
      </c>
      <c r="D369" s="95" t="str">
        <f>IFERROR(VLOOKUP(B369,'02. MM-KLH'!$B$6:$T$823,3,0),"")</f>
        <v>A22-XĐK-009</v>
      </c>
      <c r="E369" s="86" t="str">
        <f>IFERROR(VLOOKUP(B369,'02. MM-KLH'!$B$6:$T$823,4,0),"")</f>
        <v>3A-6831</v>
      </c>
      <c r="F369" s="115"/>
      <c r="G369" s="86" t="str">
        <f>IFERROR(VLOOKUP(B369,'02. MM-KLH'!$B$6:$T$823,6,0),"")</f>
        <v>Xe đầu kéo HOWO</v>
      </c>
      <c r="H369" s="80" t="s">
        <v>5759</v>
      </c>
      <c r="I369" s="80" t="str">
        <f>IFERROR(VLOOKUP(B369,'02. MM-KLH'!$B$6:$T$823,8,0),"")</f>
        <v>XN Bò AD</v>
      </c>
      <c r="J369" s="99" t="str">
        <f>IFERROR(VLOOKUP(B369,'02. MM-KLH'!$B$6:$T$823,9,0),"")</f>
        <v>23/12/2025</v>
      </c>
      <c r="K369" s="80" t="str">
        <f>IFERROR(VLOOKUP(B369,'02. MM-KLH'!$B$6:$T$823,10,0),"")</f>
        <v>Bình thường</v>
      </c>
      <c r="L369" s="102" t="str">
        <f>IFERROR(VLOOKUP(B369,'02. MM-KLH'!$B$6:$T$823,11,0),"")</f>
        <v/>
      </c>
      <c r="M369" s="143" t="str">
        <f>IFERROR(VLOOKUP(B369,'02. MM-KLH'!$B$6:$T$823,12,0),"")</f>
        <v>Đầu tư mới, đi kèm SMRM: XB1-TPC-002</v>
      </c>
      <c r="N369" s="108" t="str">
        <f>IFERROR(VLOOKUP(B369,'02. MM-KLH'!$B$6:$T$823,13,0),"")</f>
        <v>CNHTC</v>
      </c>
      <c r="O369" s="108" t="str">
        <f>IFERROR(VLOOKUP(B369,'02. MM-KLH'!$B$6:$T$823,14,0),"")</f>
        <v>Trung Quốc</v>
      </c>
      <c r="P369" s="80">
        <f>IFERROR(VLOOKUP(B369,'02. MM-KLH'!$B$6:$T$823,15,0),"")</f>
        <v>2025</v>
      </c>
      <c r="Q369" s="80" t="str">
        <f>IFERROR(VLOOKUP(B369,'02. MM-KLH'!$B$6:$T$823,16,0),"")</f>
        <v>ZZ4187N391JE1</v>
      </c>
      <c r="R369" s="106" t="str">
        <f>IFERROR(VLOOKUP(B369,'02. MM-KLH'!$B$6:$T$823,17,0),"")</f>
        <v>299HP</v>
      </c>
      <c r="S369" s="108" t="str">
        <f>IFERROR(VLOOKUP(B369,'02. MM-KLH'!$B$6:$T$823,18,0),"")</f>
        <v>LZZ1CCMD5SJ416133</v>
      </c>
      <c r="T369" s="110" t="str">
        <f>IFERROR(VLOOKUP(B369,'02. MM-KLH'!$B$6:$T$823,19,0),"")</f>
        <v>WP7.300E51*1025G007305*</v>
      </c>
      <c r="U369" s="130" t="s">
        <v>2301</v>
      </c>
    </row>
    <row r="370" ht="13.5" customHeight="1">
      <c r="A370" s="80">
        <f t="shared" si="17"/>
        <v>10</v>
      </c>
      <c r="B370" s="115" t="s">
        <v>2247</v>
      </c>
      <c r="C370" s="86" t="str">
        <f>IFERROR(VLOOKUP(B370,'02. MM-KLH'!$B$6:$T$823,2,0),"")</f>
        <v/>
      </c>
      <c r="D370" s="95" t="str">
        <f>IFERROR(VLOOKUP(B370,'02. MM-KLH'!$B$6:$T$823,3,0),"")</f>
        <v>A22-XĐK-010</v>
      </c>
      <c r="E370" s="86" t="str">
        <f>IFERROR(VLOOKUP(B370,'02. MM-KLH'!$B$6:$T$823,4,0),"")</f>
        <v>3A-6842</v>
      </c>
      <c r="F370" s="115"/>
      <c r="G370" s="86" t="str">
        <f>IFERROR(VLOOKUP(B370,'02. MM-KLH'!$B$6:$T$823,6,0),"")</f>
        <v>Xe đầu kéo HOWO</v>
      </c>
      <c r="H370" s="80" t="s">
        <v>5759</v>
      </c>
      <c r="I370" s="80" t="str">
        <f>IFERROR(VLOOKUP(B370,'02. MM-KLH'!$B$6:$T$823,8,0),"")</f>
        <v>XN Bò AD</v>
      </c>
      <c r="J370" s="99">
        <f>IFERROR(VLOOKUP(B370,'02. MM-KLH'!$B$6:$T$823,9,0),"")</f>
        <v>46176</v>
      </c>
      <c r="K370" s="80" t="str">
        <f>IFERROR(VLOOKUP(B370,'02. MM-KLH'!$B$6:$T$823,10,0),"")</f>
        <v>Bình thường</v>
      </c>
      <c r="L370" s="102" t="str">
        <f>IFERROR(VLOOKUP(B370,'02. MM-KLH'!$B$6:$T$823,11,0),"")</f>
        <v/>
      </c>
      <c r="M370" s="143" t="str">
        <f>IFERROR(VLOOKUP(B370,'02. MM-KLH'!$B$6:$T$823,12,0),"")</f>
        <v>Đi kèm XB1-TPC-003, 004 (45m3)</v>
      </c>
      <c r="N370" s="108" t="str">
        <f>IFERROR(VLOOKUP(B370,'02. MM-KLH'!$B$6:$T$823,13,0),"")</f>
        <v>CNHTC</v>
      </c>
      <c r="O370" s="108" t="str">
        <f>IFERROR(VLOOKUP(B370,'02. MM-KLH'!$B$6:$T$823,14,0),"")</f>
        <v>Trung Quốc</v>
      </c>
      <c r="P370" s="80">
        <f>IFERROR(VLOOKUP(B370,'02. MM-KLH'!$B$6:$T$823,15,0),"")</f>
        <v>2025</v>
      </c>
      <c r="Q370" s="80" t="str">
        <f>IFERROR(VLOOKUP(B370,'02. MM-KLH'!$B$6:$T$823,16,0),"")</f>
        <v>ZZ4187N391JE1</v>
      </c>
      <c r="R370" s="106" t="str">
        <f>IFERROR(VLOOKUP(B370,'02. MM-KLH'!$B$6:$T$823,17,0),"")</f>
        <v>299 HP</v>
      </c>
      <c r="S370" s="108" t="str">
        <f>IFERROR(VLOOKUP(B370,'02. MM-KLH'!$B$6:$T$823,18,0),"")</f>
        <v>LZZ1CCMD6SJ416125</v>
      </c>
      <c r="T370" s="110" t="str">
        <f>IFERROR(VLOOKUP(B370,'02. MM-KLH'!$B$6:$T$823,19,0),"")</f>
        <v>WP7.300E51*1025G007298*</v>
      </c>
      <c r="U370" s="130" t="s">
        <v>2301</v>
      </c>
    </row>
    <row r="371" ht="13.5" customHeight="1">
      <c r="A371" s="80">
        <f t="shared" si="17"/>
        <v>11</v>
      </c>
      <c r="B371" s="115" t="s">
        <v>2254</v>
      </c>
      <c r="C371" s="86" t="str">
        <f>IFERROR(VLOOKUP(B371,'02. MM-KLH'!$B$6:$T$823,2,0),"")</f>
        <v/>
      </c>
      <c r="D371" s="95" t="str">
        <f>IFERROR(VLOOKUP(B371,'02. MM-KLH'!$B$6:$T$823,3,0),"")</f>
        <v>A22-XĐK-011</v>
      </c>
      <c r="E371" s="86" t="str">
        <f>IFERROR(VLOOKUP(B371,'02. MM-KLH'!$B$6:$T$823,4,0),"")</f>
        <v>3A-6838</v>
      </c>
      <c r="F371" s="115"/>
      <c r="G371" s="86" t="str">
        <f>IFERROR(VLOOKUP(B371,'02. MM-KLH'!$B$6:$T$823,6,0),"")</f>
        <v>Xe đầu kéo HOWO</v>
      </c>
      <c r="H371" s="80" t="s">
        <v>5759</v>
      </c>
      <c r="I371" s="80" t="str">
        <f>IFERROR(VLOOKUP(B371,'02. MM-KLH'!$B$6:$T$823,8,0),"")</f>
        <v>XN Bò AD</v>
      </c>
      <c r="J371" s="99">
        <f>IFERROR(VLOOKUP(B371,'02. MM-KLH'!$B$6:$T$823,9,0),"")</f>
        <v>46176</v>
      </c>
      <c r="K371" s="80" t="str">
        <f>IFERROR(VLOOKUP(B371,'02. MM-KLH'!$B$6:$T$823,10,0),"")</f>
        <v>Bình thường</v>
      </c>
      <c r="L371" s="102" t="str">
        <f>IFERROR(VLOOKUP(B371,'02. MM-KLH'!$B$6:$T$823,11,0),"")</f>
        <v/>
      </c>
      <c r="M371" s="143" t="str">
        <f>IFERROR(VLOOKUP(B371,'02. MM-KLH'!$B$6:$T$823,12,0),"")</f>
        <v>Đi kèm XB1-TPC-006, 007 (45m3)</v>
      </c>
      <c r="N371" s="108" t="str">
        <f>IFERROR(VLOOKUP(B371,'02. MM-KLH'!$B$6:$T$823,13,0),"")</f>
        <v>CNHTC</v>
      </c>
      <c r="O371" s="108" t="str">
        <f>IFERROR(VLOOKUP(B371,'02. MM-KLH'!$B$6:$T$823,14,0),"")</f>
        <v>Trung Quốc</v>
      </c>
      <c r="P371" s="80">
        <f>IFERROR(VLOOKUP(B371,'02. MM-KLH'!$B$6:$T$823,15,0),"")</f>
        <v>2025</v>
      </c>
      <c r="Q371" s="80" t="str">
        <f>IFERROR(VLOOKUP(B371,'02. MM-KLH'!$B$6:$T$823,16,0),"")</f>
        <v>ZZ4187N391JE1</v>
      </c>
      <c r="R371" s="106" t="str">
        <f>IFERROR(VLOOKUP(B371,'02. MM-KLH'!$B$6:$T$823,17,0),"")</f>
        <v>299 HP</v>
      </c>
      <c r="S371" s="108" t="str">
        <f>IFERROR(VLOOKUP(B371,'02. MM-KLH'!$B$6:$T$823,18,0),"")</f>
        <v>LZZ1CCMD9SJ416135</v>
      </c>
      <c r="T371" s="110" t="str">
        <f>IFERROR(VLOOKUP(B371,'02. MM-KLH'!$B$6:$T$823,19,0),"")</f>
        <v>WP7.300E51*1025G007310*</v>
      </c>
      <c r="U371" s="130" t="s">
        <v>2301</v>
      </c>
    </row>
    <row r="372" ht="13.5" customHeight="1">
      <c r="A372" s="80">
        <f t="shared" si="17"/>
        <v>12</v>
      </c>
      <c r="B372" s="115" t="s">
        <v>2260</v>
      </c>
      <c r="C372" s="86" t="str">
        <f>IFERROR(VLOOKUP(B372,'02. MM-KLH'!$B$6:$T$823,2,0),"")</f>
        <v/>
      </c>
      <c r="D372" s="95" t="str">
        <f>IFERROR(VLOOKUP(B372,'02. MM-KLH'!$B$6:$T$823,3,0),"")</f>
        <v>A22-XĐK-012</v>
      </c>
      <c r="E372" s="86" t="str">
        <f>IFERROR(VLOOKUP(B372,'02. MM-KLH'!$B$6:$T$823,4,0),"")</f>
        <v>3A-6830</v>
      </c>
      <c r="F372" s="115"/>
      <c r="G372" s="86" t="str">
        <f>IFERROR(VLOOKUP(B372,'02. MM-KLH'!$B$6:$T$823,6,0),"")</f>
        <v>Xe đầu kéo HOWO</v>
      </c>
      <c r="H372" s="80" t="s">
        <v>5759</v>
      </c>
      <c r="I372" s="80" t="str">
        <f>IFERROR(VLOOKUP(B372,'02. MM-KLH'!$B$6:$T$823,8,0),"")</f>
        <v>XN Bò AD</v>
      </c>
      <c r="J372" s="99">
        <f>IFERROR(VLOOKUP(B372,'02. MM-KLH'!$B$6:$T$823,9,0),"")</f>
        <v>46176</v>
      </c>
      <c r="K372" s="80" t="str">
        <f>IFERROR(VLOOKUP(B372,'02. MM-KLH'!$B$6:$T$823,10,0),"")</f>
        <v>Bình thường</v>
      </c>
      <c r="L372" s="102" t="str">
        <f>IFERROR(VLOOKUP(B372,'02. MM-KLH'!$B$6:$T$823,11,0),"")</f>
        <v/>
      </c>
      <c r="M372" s="143" t="str">
        <f>IFERROR(VLOOKUP(B372,'02. MM-KLH'!$B$6:$T$823,12,0),"")</f>
        <v>Đi kèm XB1-TPC-008, 009 (45m3)</v>
      </c>
      <c r="N372" s="108" t="str">
        <f>IFERROR(VLOOKUP(B372,'02. MM-KLH'!$B$6:$T$823,13,0),"")</f>
        <v>CNHTC</v>
      </c>
      <c r="O372" s="108" t="str">
        <f>IFERROR(VLOOKUP(B372,'02. MM-KLH'!$B$6:$T$823,14,0),"")</f>
        <v>Trung Quốc</v>
      </c>
      <c r="P372" s="80">
        <f>IFERROR(VLOOKUP(B372,'02. MM-KLH'!$B$6:$T$823,15,0),"")</f>
        <v>2025</v>
      </c>
      <c r="Q372" s="80" t="str">
        <f>IFERROR(VLOOKUP(B372,'02. MM-KLH'!$B$6:$T$823,16,0),"")</f>
        <v>ZZ4187N391JE1</v>
      </c>
      <c r="R372" s="106" t="str">
        <f>IFERROR(VLOOKUP(B372,'02. MM-KLH'!$B$6:$T$823,17,0),"")</f>
        <v>299 HP</v>
      </c>
      <c r="S372" s="108" t="str">
        <f>IFERROR(VLOOKUP(B372,'02. MM-KLH'!$B$6:$T$823,18,0),"")</f>
        <v>LZZ1CCMD0SJ416136</v>
      </c>
      <c r="T372" s="110" t="str">
        <f>IFERROR(VLOOKUP(B372,'02. MM-KLH'!$B$6:$T$823,19,0),"")</f>
        <v>WP7.300E51*1025G007303*</v>
      </c>
      <c r="U372" s="130" t="s">
        <v>2301</v>
      </c>
    </row>
    <row r="373" ht="13.5" customHeight="1">
      <c r="A373" s="80">
        <f t="shared" si="17"/>
        <v>13</v>
      </c>
      <c r="B373" s="115" t="s">
        <v>2267</v>
      </c>
      <c r="C373" s="86" t="str">
        <f>IFERROR(VLOOKUP(B373,'02. MM-KLH'!$B$6:$T$823,2,0),"")</f>
        <v/>
      </c>
      <c r="D373" s="95" t="str">
        <f>IFERROR(VLOOKUP(B373,'02. MM-KLH'!$B$6:$T$823,3,0),"")</f>
        <v>A22-XĐK-013</v>
      </c>
      <c r="E373" s="86" t="str">
        <f>IFERROR(VLOOKUP(B373,'02. MM-KLH'!$B$6:$T$823,4,0),"")</f>
        <v>3A-6834</v>
      </c>
      <c r="F373" s="115"/>
      <c r="G373" s="86" t="str">
        <f>IFERROR(VLOOKUP(B373,'02. MM-KLH'!$B$6:$T$823,6,0),"")</f>
        <v>Xe đầu kéo HOWO</v>
      </c>
      <c r="H373" s="80" t="s">
        <v>5759</v>
      </c>
      <c r="I373" s="80" t="str">
        <f>IFERROR(VLOOKUP(B373,'02. MM-KLH'!$B$6:$T$823,8,0),"")</f>
        <v>XN Bò AD</v>
      </c>
      <c r="J373" s="99">
        <f>IFERROR(VLOOKUP(B373,'02. MM-KLH'!$B$6:$T$823,9,0),"")</f>
        <v>46176</v>
      </c>
      <c r="K373" s="80" t="str">
        <f>IFERROR(VLOOKUP(B373,'02. MM-KLH'!$B$6:$T$823,10,0),"")</f>
        <v>Bình thường</v>
      </c>
      <c r="L373" s="102" t="str">
        <f>IFERROR(VLOOKUP(B373,'02. MM-KLH'!$B$6:$T$823,11,0),"")</f>
        <v/>
      </c>
      <c r="M373" s="143" t="str">
        <f>IFERROR(VLOOKUP(B373,'02. MM-KLH'!$B$6:$T$823,12,0),"")</f>
        <v>Đi kèm XB1-TPC-010 (45m3)</v>
      </c>
      <c r="N373" s="108" t="str">
        <f>IFERROR(VLOOKUP(B373,'02. MM-KLH'!$B$6:$T$823,13,0),"")</f>
        <v>CNHTC</v>
      </c>
      <c r="O373" s="108" t="str">
        <f>IFERROR(VLOOKUP(B373,'02. MM-KLH'!$B$6:$T$823,14,0),"")</f>
        <v>Trung Quốc</v>
      </c>
      <c r="P373" s="80">
        <f>IFERROR(VLOOKUP(B373,'02. MM-KLH'!$B$6:$T$823,15,0),"")</f>
        <v>2025</v>
      </c>
      <c r="Q373" s="80" t="str">
        <f>IFERROR(VLOOKUP(B373,'02. MM-KLH'!$B$6:$T$823,16,0),"")</f>
        <v>ZZ4187N391JE1</v>
      </c>
      <c r="R373" s="106" t="str">
        <f>IFERROR(VLOOKUP(B373,'02. MM-KLH'!$B$6:$T$823,17,0),"")</f>
        <v>299 HP</v>
      </c>
      <c r="S373" s="108" t="str">
        <f>IFERROR(VLOOKUP(B373,'02. MM-KLH'!$B$6:$T$823,18,0),"")</f>
        <v>LZZ1CCMD6SJ416139</v>
      </c>
      <c r="T373" s="110" t="str">
        <f>IFERROR(VLOOKUP(B373,'02. MM-KLH'!$B$6:$T$823,19,0),"")</f>
        <v>WP7.300E51*1025G007301*</v>
      </c>
      <c r="U373" s="130" t="s">
        <v>2301</v>
      </c>
    </row>
    <row r="374" ht="13.5" customHeight="1">
      <c r="A374" s="80"/>
      <c r="B374" s="115"/>
      <c r="C374" s="86" t="str">
        <f>IFERROR(VLOOKUP(B374,'02. MM-KLH'!$B$6:$T$823,2,0),"")</f>
        <v/>
      </c>
      <c r="D374" s="95" t="str">
        <f>IFERROR(VLOOKUP(B374,'02. MM-KLH'!$B$6:$T$823,3,0),"")</f>
        <v/>
      </c>
      <c r="E374" s="86" t="str">
        <f>IFERROR(VLOOKUP(B374,'02. MM-KLH'!$B$6:$T$823,4,0),"")</f>
        <v/>
      </c>
      <c r="F374" s="115"/>
      <c r="G374" s="86" t="str">
        <f>IFERROR(VLOOKUP(B374,'02. MM-KLH'!$B$6:$T$823,6,0),"")</f>
        <v/>
      </c>
      <c r="H374" s="80" t="s">
        <v>5759</v>
      </c>
      <c r="I374" s="80" t="str">
        <f>IFERROR(VLOOKUP(B374,'02. MM-KLH'!$B$6:$T$823,8,0),"")</f>
        <v/>
      </c>
      <c r="J374" s="99" t="str">
        <f>IFERROR(VLOOKUP(B374,'02. MM-KLH'!$B$6:$T$823,9,0),"")</f>
        <v/>
      </c>
      <c r="K374" s="80" t="str">
        <f>IFERROR(VLOOKUP(B374,'02. MM-KLH'!$B$6:$T$823,10,0),"")</f>
        <v/>
      </c>
      <c r="L374" s="102" t="str">
        <f>IFERROR(VLOOKUP(B374,'02. MM-KLH'!$B$6:$T$823,11,0),"")</f>
        <v/>
      </c>
      <c r="M374" s="143" t="str">
        <f>IFERROR(VLOOKUP(B374,'02. MM-KLH'!$B$6:$T$823,12,0),"")</f>
        <v/>
      </c>
      <c r="N374" s="108" t="str">
        <f>IFERROR(VLOOKUP(B374,'02. MM-KLH'!$B$6:$T$823,13,0),"")</f>
        <v/>
      </c>
      <c r="O374" s="108" t="str">
        <f>IFERROR(VLOOKUP(B374,'02. MM-KLH'!$B$6:$T$823,14,0),"")</f>
        <v/>
      </c>
      <c r="P374" s="80" t="str">
        <f>IFERROR(VLOOKUP(B374,'02. MM-KLH'!$B$6:$T$823,15,0),"")</f>
        <v/>
      </c>
      <c r="Q374" s="80" t="str">
        <f>IFERROR(VLOOKUP(B374,'02. MM-KLH'!$B$6:$T$823,16,0),"")</f>
        <v/>
      </c>
      <c r="R374" s="106" t="str">
        <f>IFERROR(VLOOKUP(B374,'02. MM-KLH'!$B$6:$T$823,17,0),"")</f>
        <v/>
      </c>
      <c r="S374" s="108" t="str">
        <f>IFERROR(VLOOKUP(B374,'02. MM-KLH'!$B$6:$T$823,18,0),"")</f>
        <v/>
      </c>
      <c r="T374" s="110" t="str">
        <f>IFERROR(VLOOKUP(B374,'02. MM-KLH'!$B$6:$T$823,19,0),"")</f>
        <v/>
      </c>
      <c r="U374" s="130" t="s">
        <v>2301</v>
      </c>
    </row>
    <row r="375" ht="13.5" customHeight="1">
      <c r="A375" s="80"/>
      <c r="B375" s="115"/>
      <c r="C375" s="86"/>
      <c r="D375" s="95"/>
      <c r="E375" s="86"/>
      <c r="F375" s="187"/>
      <c r="G375" s="86"/>
      <c r="H375" s="80"/>
      <c r="I375" s="80"/>
      <c r="J375" s="99"/>
      <c r="K375" s="80"/>
      <c r="L375" s="102"/>
      <c r="M375" s="143"/>
      <c r="N375" s="108"/>
      <c r="O375" s="108"/>
      <c r="P375" s="80"/>
      <c r="Q375" s="80"/>
      <c r="R375" s="106"/>
      <c r="S375" s="108"/>
      <c r="T375" s="110"/>
      <c r="U375" s="130"/>
    </row>
    <row r="376" ht="13.5" customHeight="1">
      <c r="A376" s="80"/>
      <c r="B376" s="115"/>
      <c r="C376" s="86" t="str">
        <f>IFERROR(VLOOKUP(B376,'02. MM-KLH'!$B$6:$T$823,2,0),"")</f>
        <v/>
      </c>
      <c r="D376" s="95" t="str">
        <f>IFERROR(VLOOKUP(B376,'02. MM-KLH'!$B$6:$T$823,3,0),"")</f>
        <v/>
      </c>
      <c r="E376" s="86" t="str">
        <f>IFERROR(VLOOKUP(B376,'02. MM-KLH'!$B$6:$T$823,4,0),"")</f>
        <v/>
      </c>
      <c r="F376" s="187"/>
      <c r="G376" s="86" t="str">
        <f>IFERROR(VLOOKUP(B376,'02. MM-KLH'!$B$6:$T$823,6,0),"")</f>
        <v/>
      </c>
      <c r="H376" s="80"/>
      <c r="I376" s="80" t="str">
        <f>IFERROR(VLOOKUP(B376,'02. MM-KLH'!$B$6:$T$823,8,0),"")</f>
        <v/>
      </c>
      <c r="J376" s="99" t="str">
        <f>IFERROR(VLOOKUP(B376,'02. MM-KLH'!$B$6:$T$823,9,0),"")</f>
        <v/>
      </c>
      <c r="K376" s="80" t="str">
        <f>IFERROR(VLOOKUP(B376,'02. MM-KLH'!$B$6:$T$823,10,0),"")</f>
        <v/>
      </c>
      <c r="L376" s="102" t="str">
        <f>IFERROR(VLOOKUP(B376,'02. MM-KLH'!$B$6:$T$823,11,0),"")</f>
        <v/>
      </c>
      <c r="M376" s="143" t="str">
        <f>IFERROR(VLOOKUP(B376,'02. MM-KLH'!$B$6:$T$823,12,0),"")</f>
        <v/>
      </c>
      <c r="N376" s="108" t="str">
        <f>IFERROR(VLOOKUP(B376,'02. MM-KLH'!$B$6:$T$823,13,0),"")</f>
        <v/>
      </c>
      <c r="O376" s="108" t="str">
        <f>IFERROR(VLOOKUP(B376,'02. MM-KLH'!$B$6:$T$823,14,0),"")</f>
        <v/>
      </c>
      <c r="P376" s="80" t="str">
        <f>IFERROR(VLOOKUP(B376,'02. MM-KLH'!$B$6:$T$823,15,0),"")</f>
        <v/>
      </c>
      <c r="Q376" s="80" t="str">
        <f>IFERROR(VLOOKUP(B376,'02. MM-KLH'!$B$6:$T$823,16,0),"")</f>
        <v/>
      </c>
      <c r="R376" s="106" t="str">
        <f>IFERROR(VLOOKUP(B376,'02. MM-KLH'!$B$6:$T$823,17,0),"")</f>
        <v/>
      </c>
      <c r="S376" s="108" t="str">
        <f>IFERROR(VLOOKUP(B376,'02. MM-KLH'!$B$6:$T$823,18,0),"")</f>
        <v/>
      </c>
      <c r="T376" s="110" t="str">
        <f>IFERROR(VLOOKUP(B376,'02. MM-KLH'!$B$6:$T$823,19,0),"")</f>
        <v/>
      </c>
      <c r="U376" s="130"/>
    </row>
    <row r="377" ht="13.5" customHeight="1">
      <c r="A377" s="82" t="s">
        <v>76</v>
      </c>
      <c r="B377" s="83" t="s">
        <v>5782</v>
      </c>
      <c r="C377" s="85">
        <f>COUNTA(B378:B400)</f>
        <v>22</v>
      </c>
      <c r="D377" s="85" t="str">
        <f>IFERROR(VLOOKUP(B377,'02. MM-KLH'!$B$6:$T$823,3,0),"")</f>
        <v/>
      </c>
      <c r="E377" s="85" t="str">
        <f>IFERROR(VLOOKUP(B377,'02. MM-KLH'!$B$6:$T$823,4,0),"")</f>
        <v/>
      </c>
      <c r="F377" s="85"/>
      <c r="G377" s="85" t="str">
        <f>IFERROR(VLOOKUP(B377,'02. MM-KLH'!$B$6:$T$823,6,0),"")</f>
        <v/>
      </c>
      <c r="H377" s="85"/>
      <c r="I377" s="85" t="str">
        <f>IFERROR(VLOOKUP(B377,'02. MM-KLH'!$B$6:$T$823,8,0),"")</f>
        <v/>
      </c>
      <c r="J377" s="85" t="str">
        <f>IFERROR(VLOOKUP(B377,'02. MM-KLH'!$B$6:$T$823,9,0),"")</f>
        <v/>
      </c>
      <c r="K377" s="85" t="str">
        <f>IFERROR(VLOOKUP(B377,'02. MM-KLH'!$B$6:$T$823,10,0),"")</f>
        <v/>
      </c>
      <c r="L377" s="85" t="str">
        <f>IFERROR(VLOOKUP(B377,'02. MM-KLH'!$B$6:$T$823,11,0),"")</f>
        <v/>
      </c>
      <c r="M377" s="85" t="str">
        <f>IFERROR(VLOOKUP(B377,'02. MM-KLH'!$B$6:$T$823,12,0),"")</f>
        <v/>
      </c>
      <c r="N377" s="85" t="str">
        <f>IFERROR(VLOOKUP(B377,'02. MM-KLH'!$B$6:$T$823,13,0),"")</f>
        <v/>
      </c>
      <c r="O377" s="85" t="str">
        <f>IFERROR(VLOOKUP(B377,'02. MM-KLH'!$B$6:$T$823,14,0),"")</f>
        <v/>
      </c>
      <c r="P377" s="85" t="str">
        <f>IFERROR(VLOOKUP(B377,'02. MM-KLH'!$B$6:$T$823,15,0),"")</f>
        <v/>
      </c>
      <c r="Q377" s="85" t="str">
        <f>IFERROR(VLOOKUP(B377,'02. MM-KLH'!$B$6:$T$823,16,0),"")</f>
        <v/>
      </c>
      <c r="R377" s="85" t="str">
        <f>IFERROR(VLOOKUP(B377,'02. MM-KLH'!$B$6:$T$823,17,0),"")</f>
        <v/>
      </c>
      <c r="S377" s="85" t="str">
        <f>IFERROR(VLOOKUP(B377,'02. MM-KLH'!$B$6:$T$823,18,0),"")</f>
        <v/>
      </c>
      <c r="T377" s="85" t="str">
        <f>IFERROR(VLOOKUP(B377,'02. MM-KLH'!$B$6:$T$823,19,0),"")</f>
        <v/>
      </c>
      <c r="U377" s="85" t="str">
        <f>IFERROR(VLOOKUP(C377,'02. MM-KLH'!$B$6:$T$823,19,0),"")</f>
        <v/>
      </c>
    </row>
    <row r="378" ht="13.5" customHeight="1">
      <c r="A378" s="95">
        <v>1.0</v>
      </c>
      <c r="B378" s="113" t="s">
        <v>2294</v>
      </c>
      <c r="C378" s="84" t="str">
        <f>IFERROR(VLOOKUP(B378,'02. MM-KLH'!$B$6:$T$823,2,0),"")</f>
        <v>MỚI</v>
      </c>
      <c r="D378" s="95" t="str">
        <f>IFERROR(VLOOKUP(B378,'02. MM-KLH'!$B$6:$T$823,3,0),"")</f>
        <v>ATT-A22-0313</v>
      </c>
      <c r="E378" s="86" t="str">
        <f>IFERROR(VLOOKUP(B378,'02. MM-KLH'!$B$6:$T$823,4,0),"")</f>
        <v/>
      </c>
      <c r="F378" s="115" t="s">
        <v>5784</v>
      </c>
      <c r="G378" s="86" t="str">
        <f>IFERROR(VLOOKUP(B378,'02. MM-KLH'!$B$6:$T$823,6,0),"")</f>
        <v>Xe lôi</v>
      </c>
      <c r="H378" s="80" t="s">
        <v>5785</v>
      </c>
      <c r="I378" s="80" t="str">
        <f>IFERROR(VLOOKUP(B378,'02. MM-KLH'!$B$6:$T$823,8,0),"")</f>
        <v>XN Bò AD</v>
      </c>
      <c r="J378" s="99">
        <f>IFERROR(VLOOKUP(B378,'02. MM-KLH'!$B$6:$T$823,9,0),"")</f>
        <v>44938</v>
      </c>
      <c r="K378" s="80" t="str">
        <f>IFERROR(VLOOKUP(B378,'02. MM-KLH'!$B$6:$T$823,10,0),"")</f>
        <v>Bình thường</v>
      </c>
      <c r="L378" s="102">
        <f>IFERROR(VLOOKUP(B378,'02. MM-KLH'!$B$6:$T$823,11,0),"")</f>
        <v>0.93</v>
      </c>
      <c r="M378" s="143" t="str">
        <f>IFERROR(VLOOKUP(B378,'02. MM-KLH'!$B$6:$T$823,12,0),"")</f>
        <v>Đầu tư mới</v>
      </c>
      <c r="N378" s="108" t="str">
        <f>IFERROR(VLOOKUP(B378,'02. MM-KLH'!$B$6:$T$823,13,0),"")</f>
        <v>THAICO</v>
      </c>
      <c r="O378" s="108" t="str">
        <f>IFERROR(VLOOKUP(B378,'02. MM-KLH'!$B$6:$T$823,14,0),"")</f>
        <v>VIỆT NAM</v>
      </c>
      <c r="P378" s="80">
        <f>IFERROR(VLOOKUP(B378,'02. MM-KLH'!$B$6:$T$823,15,0),"")</f>
        <v>2020</v>
      </c>
      <c r="Q378" s="80" t="str">
        <f>IFERROR(VLOOKUP(B378,'02. MM-KLH'!$B$6:$T$823,16,0),"")</f>
        <v>TH150ZH</v>
      </c>
      <c r="R378" s="106" t="str">
        <f>IFERROR(VLOOKUP(B378,'02. MM-KLH'!$B$6:$T$823,17,0),"")</f>
        <v>15HP</v>
      </c>
      <c r="S378" s="108" t="str">
        <f>IFERROR(VLOOKUP(B378,'02. MM-KLH'!$B$6:$T$823,18,0),"")</f>
        <v>TH162FMJ-C22060509</v>
      </c>
      <c r="T378" s="110" t="str">
        <f>IFERROR(VLOOKUP(B378,'02. MM-KLH'!$B$6:$T$823,19,0),"")</f>
        <v>CCN</v>
      </c>
      <c r="U378" s="130" t="s">
        <v>79</v>
      </c>
    </row>
    <row r="379" ht="13.5" customHeight="1">
      <c r="A379" s="95">
        <v>2.0</v>
      </c>
      <c r="B379" s="113" t="s">
        <v>2299</v>
      </c>
      <c r="C379" s="84" t="str">
        <f>IFERROR(VLOOKUP(B379,'02. MM-KLH'!$B$6:$T$823,2,0),"")</f>
        <v>MỚI</v>
      </c>
      <c r="D379" s="95" t="str">
        <f>IFERROR(VLOOKUP(B379,'02. MM-KLH'!$B$6:$T$823,3,0),"")</f>
        <v>ATT-A22-0327</v>
      </c>
      <c r="E379" s="86" t="str">
        <f>IFERROR(VLOOKUP(B379,'02. MM-KLH'!$B$6:$T$823,4,0),"")</f>
        <v/>
      </c>
      <c r="F379" s="115" t="s">
        <v>5787</v>
      </c>
      <c r="G379" s="86" t="str">
        <f>IFERROR(VLOOKUP(B379,'02. MM-KLH'!$B$6:$T$823,6,0),"")</f>
        <v>Xe lôi</v>
      </c>
      <c r="H379" s="80" t="s">
        <v>5785</v>
      </c>
      <c r="I379" s="80" t="str">
        <f>IFERROR(VLOOKUP(B379,'02. MM-KLH'!$B$6:$T$823,8,0),"")</f>
        <v>XN Bò AD</v>
      </c>
      <c r="J379" s="99" t="str">
        <f>IFERROR(VLOOKUP(B379,'02. MM-KLH'!$B$6:$T$823,9,0),"")</f>
        <v>26/12/2023</v>
      </c>
      <c r="K379" s="80" t="str">
        <f>IFERROR(VLOOKUP(B379,'02. MM-KLH'!$B$6:$T$823,10,0),"")</f>
        <v>Bình thường</v>
      </c>
      <c r="L379" s="102">
        <f>IFERROR(VLOOKUP(B379,'02. MM-KLH'!$B$6:$T$823,11,0),"")</f>
        <v>0.95</v>
      </c>
      <c r="M379" s="143" t="str">
        <f>IFERROR(VLOOKUP(B379,'02. MM-KLH'!$B$6:$T$823,12,0),"")</f>
        <v>Đầu tư mới</v>
      </c>
      <c r="N379" s="108" t="str">
        <f>IFERROR(VLOOKUP(B379,'02. MM-KLH'!$B$6:$T$823,13,0),"")</f>
        <v>THAICO</v>
      </c>
      <c r="O379" s="108" t="str">
        <f>IFERROR(VLOOKUP(B379,'02. MM-KLH'!$B$6:$T$823,14,0),"")</f>
        <v>VIỆT NAM</v>
      </c>
      <c r="P379" s="80">
        <f>IFERROR(VLOOKUP(B379,'02. MM-KLH'!$B$6:$T$823,15,0),"")</f>
        <v>2020</v>
      </c>
      <c r="Q379" s="80" t="str">
        <f>IFERROR(VLOOKUP(B379,'02. MM-KLH'!$B$6:$T$823,16,0),"")</f>
        <v>TH150ZH</v>
      </c>
      <c r="R379" s="106" t="str">
        <f>IFERROR(VLOOKUP(B379,'02. MM-KLH'!$B$6:$T$823,17,0),"")</f>
        <v>15HP</v>
      </c>
      <c r="S379" s="108" t="str">
        <f>IFERROR(VLOOKUP(B379,'02. MM-KLH'!$B$6:$T$823,18,0),"")</f>
        <v>TH162FMJ-C23004029</v>
      </c>
      <c r="T379" s="110" t="str">
        <f>IFERROR(VLOOKUP(B379,'02. MM-KLH'!$B$6:$T$823,19,0),"")</f>
        <v>CCN</v>
      </c>
      <c r="U379" s="130" t="s">
        <v>79</v>
      </c>
    </row>
    <row r="380" ht="13.5" customHeight="1">
      <c r="A380" s="95">
        <v>3.0</v>
      </c>
      <c r="B380" s="115" t="s">
        <v>2526</v>
      </c>
      <c r="C380" s="84" t="str">
        <f>IFERROR(VLOOKUP(B380,'02. MM-KLH'!$B$6:$T$823,2,0),"")</f>
        <v>CKB-XLO-002</v>
      </c>
      <c r="D380" s="95" t="str">
        <f>IFERROR(VLOOKUP(B380,'02. MM-KLH'!$B$6:$T$823,3,0),"")</f>
        <v>A22-XLO-001</v>
      </c>
      <c r="E380" s="86" t="str">
        <f>IFERROR(VLOOKUP(B380,'02. MM-KLH'!$B$6:$T$823,4,0),"")</f>
        <v/>
      </c>
      <c r="F380" s="115"/>
      <c r="G380" s="86" t="str">
        <f>IFERROR(VLOOKUP(B380,'02. MM-KLH'!$B$6:$T$823,6,0),"")</f>
        <v>Xe lôi</v>
      </c>
      <c r="H380" s="80" t="s">
        <v>5785</v>
      </c>
      <c r="I380" s="80" t="str">
        <f>IFERROR(VLOOKUP(B380,'02. MM-KLH'!$B$6:$T$823,8,0),"")</f>
        <v>Xưởng Cơ khí ADM&amp;LP</v>
      </c>
      <c r="J380" s="99" t="str">
        <f>IFERROR(VLOOKUP(B380,'02. MM-KLH'!$B$6:$T$823,9,0),"")</f>
        <v/>
      </c>
      <c r="K380" s="80" t="str">
        <f>IFERROR(VLOOKUP(B380,'02. MM-KLH'!$B$6:$T$823,10,0),"")</f>
        <v>Bình thường</v>
      </c>
      <c r="L380" s="102" t="str">
        <f>IFERROR(VLOOKUP(B380,'02. MM-KLH'!$B$6:$T$823,11,0),"")</f>
        <v/>
      </c>
      <c r="M380" s="143" t="str">
        <f>IFERROR(VLOOKUP(B380,'02. MM-KLH'!$B$6:$T$823,12,0),"")</f>
        <v/>
      </c>
      <c r="N380" s="108" t="str">
        <f>IFERROR(VLOOKUP(B380,'02. MM-KLH'!$B$6:$T$823,13,0),"")</f>
        <v/>
      </c>
      <c r="O380" s="108" t="str">
        <f>IFERROR(VLOOKUP(B380,'02. MM-KLH'!$B$6:$T$823,14,0),"")</f>
        <v/>
      </c>
      <c r="P380" s="80" t="str">
        <f>IFERROR(VLOOKUP(B380,'02. MM-KLH'!$B$6:$T$823,15,0),"")</f>
        <v/>
      </c>
      <c r="Q380" s="80" t="str">
        <f>IFERROR(VLOOKUP(B380,'02. MM-KLH'!$B$6:$T$823,16,0),"")</f>
        <v/>
      </c>
      <c r="R380" s="106" t="str">
        <f>IFERROR(VLOOKUP(B380,'02. MM-KLH'!$B$6:$T$823,17,0),"")</f>
        <v>150CC</v>
      </c>
      <c r="S380" s="108" t="str">
        <f>IFERROR(VLOOKUP(B380,'02. MM-KLH'!$B$6:$T$823,18,0),"")</f>
        <v>1L000058</v>
      </c>
      <c r="T380" s="110" t="str">
        <f>IFERROR(VLOOKUP(B380,'02. MM-KLH'!$B$6:$T$823,19,0),"")</f>
        <v>CCN</v>
      </c>
      <c r="U380" s="130" t="s">
        <v>79</v>
      </c>
    </row>
    <row r="381" ht="13.5" customHeight="1">
      <c r="A381" s="95">
        <v>4.0</v>
      </c>
      <c r="B381" s="115" t="s">
        <v>2527</v>
      </c>
      <c r="C381" s="84" t="str">
        <f>IFERROR(VLOOKUP(B381,'02. MM-KLH'!$B$6:$T$823,2,0),"")</f>
        <v>CKB-XLO-003</v>
      </c>
      <c r="D381" s="95" t="str">
        <f>IFERROR(VLOOKUP(B381,'02. MM-KLH'!$B$6:$T$823,3,0),"")</f>
        <v>A22-XLO-002</v>
      </c>
      <c r="E381" s="86" t="str">
        <f>IFERROR(VLOOKUP(B381,'02. MM-KLH'!$B$6:$T$823,4,0),"")</f>
        <v/>
      </c>
      <c r="F381" s="115"/>
      <c r="G381" s="86" t="str">
        <f>IFERROR(VLOOKUP(B381,'02. MM-KLH'!$B$6:$T$823,6,0),"")</f>
        <v>Xe lôi</v>
      </c>
      <c r="H381" s="80" t="s">
        <v>5785</v>
      </c>
      <c r="I381" s="80" t="str">
        <f>IFERROR(VLOOKUP(B381,'02. MM-KLH'!$B$6:$T$823,8,0),"")</f>
        <v>Xưởng Cơ khí ADM&amp;LP</v>
      </c>
      <c r="J381" s="99" t="str">
        <f>IFERROR(VLOOKUP(B381,'02. MM-KLH'!$B$6:$T$823,9,0),"")</f>
        <v/>
      </c>
      <c r="K381" s="80" t="str">
        <f>IFERROR(VLOOKUP(B381,'02. MM-KLH'!$B$6:$T$823,10,0),"")</f>
        <v>Bình thường</v>
      </c>
      <c r="L381" s="102" t="str">
        <f>IFERROR(VLOOKUP(B381,'02. MM-KLH'!$B$6:$T$823,11,0),"")</f>
        <v/>
      </c>
      <c r="M381" s="143" t="str">
        <f>IFERROR(VLOOKUP(B381,'02. MM-KLH'!$B$6:$T$823,12,0),"")</f>
        <v/>
      </c>
      <c r="N381" s="108" t="str">
        <f>IFERROR(VLOOKUP(B381,'02. MM-KLH'!$B$6:$T$823,13,0),"")</f>
        <v/>
      </c>
      <c r="O381" s="108" t="str">
        <f>IFERROR(VLOOKUP(B381,'02. MM-KLH'!$B$6:$T$823,14,0),"")</f>
        <v/>
      </c>
      <c r="P381" s="80" t="str">
        <f>IFERROR(VLOOKUP(B381,'02. MM-KLH'!$B$6:$T$823,15,0),"")</f>
        <v/>
      </c>
      <c r="Q381" s="80" t="str">
        <f>IFERROR(VLOOKUP(B381,'02. MM-KLH'!$B$6:$T$823,16,0),"")</f>
        <v/>
      </c>
      <c r="R381" s="106" t="str">
        <f>IFERROR(VLOOKUP(B381,'02. MM-KLH'!$B$6:$T$823,17,0),"")</f>
        <v>150CC</v>
      </c>
      <c r="S381" s="108" t="str">
        <f>IFERROR(VLOOKUP(B381,'02. MM-KLH'!$B$6:$T$823,18,0),"")</f>
        <v>21L001162</v>
      </c>
      <c r="T381" s="110" t="str">
        <f>IFERROR(VLOOKUP(B381,'02. MM-KLH'!$B$6:$T$823,19,0),"")</f>
        <v>CCN</v>
      </c>
      <c r="U381" s="130" t="s">
        <v>79</v>
      </c>
    </row>
    <row r="382" ht="13.5" customHeight="1">
      <c r="A382" s="95">
        <v>5.0</v>
      </c>
      <c r="B382" s="115" t="s">
        <v>2530</v>
      </c>
      <c r="C382" s="84" t="str">
        <f>IFERROR(VLOOKUP(B382,'02. MM-KLH'!$B$6:$T$823,2,0),"")</f>
        <v>CKB-XLO-004</v>
      </c>
      <c r="D382" s="95" t="str">
        <f>IFERROR(VLOOKUP(B382,'02. MM-KLH'!$B$6:$T$823,3,0),"")</f>
        <v>A22-XLO-003</v>
      </c>
      <c r="E382" s="86" t="str">
        <f>IFERROR(VLOOKUP(B382,'02. MM-KLH'!$B$6:$T$823,4,0),"")</f>
        <v/>
      </c>
      <c r="F382" s="115"/>
      <c r="G382" s="86" t="str">
        <f>IFERROR(VLOOKUP(B382,'02. MM-KLH'!$B$6:$T$823,6,0),"")</f>
        <v>Xe lôi</v>
      </c>
      <c r="H382" s="80" t="s">
        <v>5785</v>
      </c>
      <c r="I382" s="80" t="str">
        <f>IFERROR(VLOOKUP(B382,'02. MM-KLH'!$B$6:$T$823,8,0),"")</f>
        <v>Xưởng Cơ khí ADM&amp;LP</v>
      </c>
      <c r="J382" s="99" t="str">
        <f>IFERROR(VLOOKUP(B382,'02. MM-KLH'!$B$6:$T$823,9,0),"")</f>
        <v/>
      </c>
      <c r="K382" s="80" t="str">
        <f>IFERROR(VLOOKUP(B382,'02. MM-KLH'!$B$6:$T$823,10,0),"")</f>
        <v>Bình thường</v>
      </c>
      <c r="L382" s="102" t="str">
        <f>IFERROR(VLOOKUP(B382,'02. MM-KLH'!$B$6:$T$823,11,0),"")</f>
        <v/>
      </c>
      <c r="M382" s="143" t="str">
        <f>IFERROR(VLOOKUP(B382,'02. MM-KLH'!$B$6:$T$823,12,0),"")</f>
        <v/>
      </c>
      <c r="N382" s="108" t="str">
        <f>IFERROR(VLOOKUP(B382,'02. MM-KLH'!$B$6:$T$823,13,0),"")</f>
        <v/>
      </c>
      <c r="O382" s="108" t="str">
        <f>IFERROR(VLOOKUP(B382,'02. MM-KLH'!$B$6:$T$823,14,0),"")</f>
        <v/>
      </c>
      <c r="P382" s="80" t="str">
        <f>IFERROR(VLOOKUP(B382,'02. MM-KLH'!$B$6:$T$823,15,0),"")</f>
        <v/>
      </c>
      <c r="Q382" s="80" t="str">
        <f>IFERROR(VLOOKUP(B382,'02. MM-KLH'!$B$6:$T$823,16,0),"")</f>
        <v/>
      </c>
      <c r="R382" s="106" t="str">
        <f>IFERROR(VLOOKUP(B382,'02. MM-KLH'!$B$6:$T$823,17,0),"")</f>
        <v>150CC</v>
      </c>
      <c r="S382" s="108" t="str">
        <f>IFERROR(VLOOKUP(B382,'02. MM-KLH'!$B$6:$T$823,18,0),"")</f>
        <v>21L000299</v>
      </c>
      <c r="T382" s="110" t="str">
        <f>IFERROR(VLOOKUP(B382,'02. MM-KLH'!$B$6:$T$823,19,0),"")</f>
        <v>CCN</v>
      </c>
      <c r="U382" s="130" t="s">
        <v>79</v>
      </c>
    </row>
    <row r="383" ht="13.5" customHeight="1">
      <c r="A383" s="95">
        <v>6.0</v>
      </c>
      <c r="B383" s="113" t="s">
        <v>2619</v>
      </c>
      <c r="C383" s="84" t="str">
        <f>IFERROR(VLOOKUP(B383,'02. MM-KLH'!$B$6:$T$823,2,0),"")</f>
        <v>CKC-XLO-005</v>
      </c>
      <c r="D383" s="95" t="str">
        <f>IFERROR(VLOOKUP(B383,'02. MM-KLH'!$B$6:$T$823,3,0),"")</f>
        <v>ATT-A22-0275</v>
      </c>
      <c r="E383" s="86" t="str">
        <f>IFERROR(VLOOKUP(B383,'02. MM-KLH'!$B$6:$T$823,4,0),"")</f>
        <v/>
      </c>
      <c r="F383" s="86" t="s">
        <v>5791</v>
      </c>
      <c r="G383" s="86" t="str">
        <f>IFERROR(VLOOKUP(B383,'02. MM-KLH'!$B$6:$T$823,6,0),"")</f>
        <v>Xe lôi</v>
      </c>
      <c r="H383" s="80" t="s">
        <v>5785</v>
      </c>
      <c r="I383" s="80" t="str">
        <f>IFERROR(VLOOKUP(B383,'02. MM-KLH'!$B$6:$T$823,8,0),"")</f>
        <v>Thagricons</v>
      </c>
      <c r="J383" s="99">
        <f>IFERROR(VLOOKUP(B383,'02. MM-KLH'!$B$6:$T$823,9,0),"")</f>
        <v>44936</v>
      </c>
      <c r="K383" s="80" t="str">
        <f>IFERROR(VLOOKUP(B383,'02. MM-KLH'!$B$6:$T$823,10,0),"")</f>
        <v>Bình thường</v>
      </c>
      <c r="L383" s="102">
        <f>IFERROR(VLOOKUP(B383,'02. MM-KLH'!$B$6:$T$823,11,0),"")</f>
        <v>0.95</v>
      </c>
      <c r="M383" s="143" t="str">
        <f>IFERROR(VLOOKUP(B383,'02. MM-KLH'!$B$6:$T$823,12,0),"")</f>
        <v/>
      </c>
      <c r="N383" s="108" t="str">
        <f>IFERROR(VLOOKUP(B383,'02. MM-KLH'!$B$6:$T$823,13,0),"")</f>
        <v>THAICO</v>
      </c>
      <c r="O383" s="108" t="str">
        <f>IFERROR(VLOOKUP(B383,'02. MM-KLH'!$B$6:$T$823,14,0),"")</f>
        <v>VIỆT NAM</v>
      </c>
      <c r="P383" s="80" t="str">
        <f>IFERROR(VLOOKUP(B383,'02. MM-KLH'!$B$6:$T$823,15,0),"")</f>
        <v/>
      </c>
      <c r="Q383" s="80" t="str">
        <f>IFERROR(VLOOKUP(B383,'02. MM-KLH'!$B$6:$T$823,16,0),"")</f>
        <v>150ZH</v>
      </c>
      <c r="R383" s="106" t="str">
        <f>IFERROR(VLOOKUP(B383,'02. MM-KLH'!$B$6:$T$823,17,0),"")</f>
        <v>150HP</v>
      </c>
      <c r="S383" s="108" t="str">
        <f>IFERROR(VLOOKUP(B383,'02. MM-KLH'!$B$6:$T$823,18,0),"")</f>
        <v>TH162FMJ-C22060455</v>
      </c>
      <c r="T383" s="110" t="str">
        <f>IFERROR(VLOOKUP(B383,'02. MM-KLH'!$B$6:$T$823,19,0),"")</f>
        <v>CCN</v>
      </c>
      <c r="U383" s="130" t="s">
        <v>79</v>
      </c>
    </row>
    <row r="384" ht="13.5" customHeight="1">
      <c r="A384" s="95">
        <v>7.0</v>
      </c>
      <c r="B384" s="113" t="s">
        <v>2625</v>
      </c>
      <c r="C384" s="84" t="str">
        <f>IFERROR(VLOOKUP(B384,'02. MM-KLH'!$B$6:$T$823,2,0),"")</f>
        <v/>
      </c>
      <c r="D384" s="95" t="str">
        <f>IFERROR(VLOOKUP(B384,'02. MM-KLH'!$B$6:$T$823,3,0),"")</f>
        <v>ATT-A22-0281</v>
      </c>
      <c r="E384" s="86" t="str">
        <f>IFERROR(VLOOKUP(B384,'02. MM-KLH'!$B$6:$T$823,4,0),"")</f>
        <v/>
      </c>
      <c r="F384" s="86" t="s">
        <v>5792</v>
      </c>
      <c r="G384" s="86" t="str">
        <f>IFERROR(VLOOKUP(B384,'02. MM-KLH'!$B$6:$T$823,6,0),"")</f>
        <v>Xe lôi</v>
      </c>
      <c r="H384" s="80" t="s">
        <v>5785</v>
      </c>
      <c r="I384" s="80" t="str">
        <f>IFERROR(VLOOKUP(B384,'02. MM-KLH'!$B$6:$T$823,8,0),"")</f>
        <v>Thagricons</v>
      </c>
      <c r="J384" s="99" t="str">
        <f>IFERROR(VLOOKUP(B384,'02. MM-KLH'!$B$6:$T$823,9,0),"")</f>
        <v>14/11/2023</v>
      </c>
      <c r="K384" s="80" t="str">
        <f>IFERROR(VLOOKUP(B384,'02. MM-KLH'!$B$6:$T$823,10,0),"")</f>
        <v>Bình thường</v>
      </c>
      <c r="L384" s="102">
        <f>IFERROR(VLOOKUP(B384,'02. MM-KLH'!$B$6:$T$823,11,0),"")</f>
        <v>0.94</v>
      </c>
      <c r="M384" s="143" t="str">
        <f>IFERROR(VLOOKUP(B384,'02. MM-KLH'!$B$6:$T$823,12,0),"")</f>
        <v/>
      </c>
      <c r="N384" s="108" t="str">
        <f>IFERROR(VLOOKUP(B384,'02. MM-KLH'!$B$6:$T$823,13,0),"")</f>
        <v>THAICO</v>
      </c>
      <c r="O384" s="108" t="str">
        <f>IFERROR(VLOOKUP(B384,'02. MM-KLH'!$B$6:$T$823,14,0),"")</f>
        <v>VIỆT NAM</v>
      </c>
      <c r="P384" s="80" t="str">
        <f>IFERROR(VLOOKUP(B384,'02. MM-KLH'!$B$6:$T$823,15,0),"")</f>
        <v/>
      </c>
      <c r="Q384" s="80" t="str">
        <f>IFERROR(VLOOKUP(B384,'02. MM-KLH'!$B$6:$T$823,16,0),"")</f>
        <v>150ZH</v>
      </c>
      <c r="R384" s="106" t="str">
        <f>IFERROR(VLOOKUP(B384,'02. MM-KLH'!$B$6:$T$823,17,0),"")</f>
        <v>150HP</v>
      </c>
      <c r="S384" s="108" t="str">
        <f>IFERROR(VLOOKUP(B384,'02. MM-KLH'!$B$6:$T$823,18,0),"")</f>
        <v>TH162FMJ-C23004009</v>
      </c>
      <c r="T384" s="110" t="str">
        <f>IFERROR(VLOOKUP(B384,'02. MM-KLH'!$B$6:$T$823,19,0),"")</f>
        <v>CCN</v>
      </c>
      <c r="U384" s="130" t="s">
        <v>79</v>
      </c>
    </row>
    <row r="385" ht="13.5" customHeight="1">
      <c r="A385" s="95">
        <v>8.0</v>
      </c>
      <c r="B385" s="113" t="s">
        <v>2628</v>
      </c>
      <c r="C385" s="84" t="str">
        <f>IFERROR(VLOOKUP(B385,'02. MM-KLH'!$B$6:$T$823,2,0),"")</f>
        <v/>
      </c>
      <c r="D385" s="95" t="str">
        <f>IFERROR(VLOOKUP(B385,'02. MM-KLH'!$B$6:$T$823,3,0),"")</f>
        <v>ATT-A22-0282</v>
      </c>
      <c r="E385" s="86" t="str">
        <f>IFERROR(VLOOKUP(B385,'02. MM-KLH'!$B$6:$T$823,4,0),"")</f>
        <v/>
      </c>
      <c r="F385" s="86" t="s">
        <v>5793</v>
      </c>
      <c r="G385" s="86" t="str">
        <f>IFERROR(VLOOKUP(B385,'02. MM-KLH'!$B$6:$T$823,6,0),"")</f>
        <v>Xe lôi</v>
      </c>
      <c r="H385" s="80" t="s">
        <v>5785</v>
      </c>
      <c r="I385" s="80" t="str">
        <f>IFERROR(VLOOKUP(B385,'02. MM-KLH'!$B$6:$T$823,8,0),"")</f>
        <v>Thagricons</v>
      </c>
      <c r="J385" s="99" t="str">
        <f>IFERROR(VLOOKUP(B385,'02. MM-KLH'!$B$6:$T$823,9,0),"")</f>
        <v>14/11/2023</v>
      </c>
      <c r="K385" s="80" t="str">
        <f>IFERROR(VLOOKUP(B385,'02. MM-KLH'!$B$6:$T$823,10,0),"")</f>
        <v>Bình thường</v>
      </c>
      <c r="L385" s="102">
        <f>IFERROR(VLOOKUP(B385,'02. MM-KLH'!$B$6:$T$823,11,0),"")</f>
        <v>0.94</v>
      </c>
      <c r="M385" s="143" t="str">
        <f>IFERROR(VLOOKUP(B385,'02. MM-KLH'!$B$6:$T$823,12,0),"")</f>
        <v/>
      </c>
      <c r="N385" s="108" t="str">
        <f>IFERROR(VLOOKUP(B385,'02. MM-KLH'!$B$6:$T$823,13,0),"")</f>
        <v>THAICO</v>
      </c>
      <c r="O385" s="108" t="str">
        <f>IFERROR(VLOOKUP(B385,'02. MM-KLH'!$B$6:$T$823,14,0),"")</f>
        <v>VIỆT NAM</v>
      </c>
      <c r="P385" s="80" t="str">
        <f>IFERROR(VLOOKUP(B385,'02. MM-KLH'!$B$6:$T$823,15,0),"")</f>
        <v/>
      </c>
      <c r="Q385" s="80" t="str">
        <f>IFERROR(VLOOKUP(B385,'02. MM-KLH'!$B$6:$T$823,16,0),"")</f>
        <v>150ZH</v>
      </c>
      <c r="R385" s="106" t="str">
        <f>IFERROR(VLOOKUP(B385,'02. MM-KLH'!$B$6:$T$823,17,0),"")</f>
        <v>150HP</v>
      </c>
      <c r="S385" s="108" t="str">
        <f>IFERROR(VLOOKUP(B385,'02. MM-KLH'!$B$6:$T$823,18,0),"")</f>
        <v>TH162FMJ-C23004035</v>
      </c>
      <c r="T385" s="110" t="str">
        <f>IFERROR(VLOOKUP(B385,'02. MM-KLH'!$B$6:$T$823,19,0),"")</f>
        <v>CCN</v>
      </c>
      <c r="U385" s="130" t="s">
        <v>79</v>
      </c>
    </row>
    <row r="386" ht="13.5" customHeight="1">
      <c r="A386" s="95">
        <v>9.0</v>
      </c>
      <c r="B386" s="113" t="s">
        <v>2630</v>
      </c>
      <c r="C386" s="84" t="str">
        <f>IFERROR(VLOOKUP(B386,'02. MM-KLH'!$B$6:$T$823,2,0),"")</f>
        <v/>
      </c>
      <c r="D386" s="95" t="str">
        <f>IFERROR(VLOOKUP(B386,'02. MM-KLH'!$B$6:$T$823,3,0),"")</f>
        <v>ATT-A22-0325</v>
      </c>
      <c r="E386" s="86" t="str">
        <f>IFERROR(VLOOKUP(B386,'02. MM-KLH'!$B$6:$T$823,4,0),"")</f>
        <v/>
      </c>
      <c r="F386" s="115" t="s">
        <v>5794</v>
      </c>
      <c r="G386" s="86" t="str">
        <f>IFERROR(VLOOKUP(B386,'02. MM-KLH'!$B$6:$T$823,6,0),"")</f>
        <v>Xe lôi</v>
      </c>
      <c r="H386" s="80" t="s">
        <v>5785</v>
      </c>
      <c r="I386" s="80" t="str">
        <f>IFERROR(VLOOKUP(B386,'02. MM-KLH'!$B$6:$T$823,8,0),"")</f>
        <v>Thagricons</v>
      </c>
      <c r="J386" s="99">
        <f>IFERROR(VLOOKUP(B386,'02. MM-KLH'!$B$6:$T$823,9,0),"")</f>
        <v>45474</v>
      </c>
      <c r="K386" s="80" t="str">
        <f>IFERROR(VLOOKUP(B386,'02. MM-KLH'!$B$6:$T$823,10,0),"")</f>
        <v>Bình thường</v>
      </c>
      <c r="L386" s="102">
        <f>IFERROR(VLOOKUP(B386,'02. MM-KLH'!$B$6:$T$823,11,0),"")</f>
        <v>0.98</v>
      </c>
      <c r="M386" s="143" t="str">
        <f>IFERROR(VLOOKUP(B386,'02. MM-KLH'!$B$6:$T$823,12,0),"")</f>
        <v/>
      </c>
      <c r="N386" s="108" t="str">
        <f>IFERROR(VLOOKUP(B386,'02. MM-KLH'!$B$6:$T$823,13,0),"")</f>
        <v>THAICO</v>
      </c>
      <c r="O386" s="108" t="str">
        <f>IFERROR(VLOOKUP(B386,'02. MM-KLH'!$B$6:$T$823,14,0),"")</f>
        <v>VIỆT NAM</v>
      </c>
      <c r="P386" s="80" t="str">
        <f>IFERROR(VLOOKUP(B386,'02. MM-KLH'!$B$6:$T$823,15,0),"")</f>
        <v/>
      </c>
      <c r="Q386" s="80" t="str">
        <f>IFERROR(VLOOKUP(B386,'02. MM-KLH'!$B$6:$T$823,16,0),"")</f>
        <v>150ZH</v>
      </c>
      <c r="R386" s="106" t="str">
        <f>IFERROR(VLOOKUP(B386,'02. MM-KLH'!$B$6:$T$823,17,0),"")</f>
        <v>150HP</v>
      </c>
      <c r="S386" s="108" t="str">
        <f>IFERROR(VLOOKUP(B386,'02. MM-KLH'!$B$6:$T$823,18,0),"")</f>
        <v>TH162FMJ-C23004033</v>
      </c>
      <c r="T386" s="110" t="str">
        <f>IFERROR(VLOOKUP(B386,'02. MM-KLH'!$B$6:$T$823,19,0),"")</f>
        <v>CCN</v>
      </c>
      <c r="U386" s="130" t="s">
        <v>79</v>
      </c>
    </row>
    <row r="387" ht="13.5" customHeight="1">
      <c r="A387" s="95">
        <v>10.0</v>
      </c>
      <c r="B387" s="113" t="s">
        <v>2620</v>
      </c>
      <c r="C387" s="84" t="str">
        <f>IFERROR(VLOOKUP(B387,'02. MM-KLH'!$B$6:$T$823,2,0),"")</f>
        <v/>
      </c>
      <c r="D387" s="95" t="str">
        <f>IFERROR(VLOOKUP(B387,'02. MM-KLH'!$B$6:$T$823,3,0),"")</f>
        <v>ATT-A22-0326</v>
      </c>
      <c r="E387" s="86" t="str">
        <f>IFERROR(VLOOKUP(B387,'02. MM-KLH'!$B$6:$T$823,4,0),"")</f>
        <v/>
      </c>
      <c r="F387" s="115" t="s">
        <v>5795</v>
      </c>
      <c r="G387" s="86" t="str">
        <f>IFERROR(VLOOKUP(B387,'02. MM-KLH'!$B$6:$T$823,6,0),"")</f>
        <v>Xe lôi</v>
      </c>
      <c r="H387" s="80" t="s">
        <v>5785</v>
      </c>
      <c r="I387" s="80" t="str">
        <f>IFERROR(VLOOKUP(B387,'02. MM-KLH'!$B$6:$T$823,8,0),"")</f>
        <v>Thagricons</v>
      </c>
      <c r="J387" s="99">
        <f>IFERROR(VLOOKUP(B387,'02. MM-KLH'!$B$6:$T$823,9,0),"")</f>
        <v>45352</v>
      </c>
      <c r="K387" s="80" t="str">
        <f>IFERROR(VLOOKUP(B387,'02. MM-KLH'!$B$6:$T$823,10,0),"")</f>
        <v>Bình thường</v>
      </c>
      <c r="L387" s="102">
        <f>IFERROR(VLOOKUP(B387,'02. MM-KLH'!$B$6:$T$823,11,0),"")</f>
        <v>0.95</v>
      </c>
      <c r="M387" s="143" t="str">
        <f>IFERROR(VLOOKUP(B387,'02. MM-KLH'!$B$6:$T$823,12,0),"")</f>
        <v/>
      </c>
      <c r="N387" s="108" t="str">
        <f>IFERROR(VLOOKUP(B387,'02. MM-KLH'!$B$6:$T$823,13,0),"")</f>
        <v>THAICO</v>
      </c>
      <c r="O387" s="108" t="str">
        <f>IFERROR(VLOOKUP(B387,'02. MM-KLH'!$B$6:$T$823,14,0),"")</f>
        <v>VIỆT NAM</v>
      </c>
      <c r="P387" s="80" t="str">
        <f>IFERROR(VLOOKUP(B387,'02. MM-KLH'!$B$6:$T$823,15,0),"")</f>
        <v/>
      </c>
      <c r="Q387" s="80" t="str">
        <f>IFERROR(VLOOKUP(B387,'02. MM-KLH'!$B$6:$T$823,16,0),"")</f>
        <v>150ZH</v>
      </c>
      <c r="R387" s="106" t="str">
        <f>IFERROR(VLOOKUP(B387,'02. MM-KLH'!$B$6:$T$823,17,0),"")</f>
        <v>150HP</v>
      </c>
      <c r="S387" s="108" t="str">
        <f>IFERROR(VLOOKUP(B387,'02. MM-KLH'!$B$6:$T$823,18,0),"")</f>
        <v>TH162FMJ-C23004039</v>
      </c>
      <c r="T387" s="110" t="str">
        <f>IFERROR(VLOOKUP(B387,'02. MM-KLH'!$B$6:$T$823,19,0),"")</f>
        <v>CCN</v>
      </c>
      <c r="U387" s="130" t="s">
        <v>79</v>
      </c>
    </row>
    <row r="388" ht="13.5" customHeight="1">
      <c r="A388" s="95">
        <v>11.0</v>
      </c>
      <c r="B388" s="113" t="s">
        <v>2633</v>
      </c>
      <c r="C388" s="84" t="str">
        <f>IFERROR(VLOOKUP(B388,'02. MM-KLH'!$B$6:$T$823,2,0),"")</f>
        <v>CKC-XLO-006</v>
      </c>
      <c r="D388" s="95" t="str">
        <f>IFERROR(VLOOKUP(B388,'02. MM-KLH'!$B$6:$T$823,3,0),"")</f>
        <v>ATT-A22-0276</v>
      </c>
      <c r="E388" s="86" t="str">
        <f>IFERROR(VLOOKUP(B388,'02. MM-KLH'!$B$6:$T$823,4,0),"")</f>
        <v/>
      </c>
      <c r="F388" s="115" t="s">
        <v>5796</v>
      </c>
      <c r="G388" s="86" t="str">
        <f>IFERROR(VLOOKUP(B388,'02. MM-KLH'!$B$6:$T$823,6,0),"")</f>
        <v>Xe lôi</v>
      </c>
      <c r="H388" s="80" t="s">
        <v>5785</v>
      </c>
      <c r="I388" s="80" t="str">
        <f>IFERROR(VLOOKUP(B388,'02. MM-KLH'!$B$6:$T$823,8,0),"")</f>
        <v>Thagricons</v>
      </c>
      <c r="J388" s="99">
        <f>IFERROR(VLOOKUP(B388,'02. MM-KLH'!$B$6:$T$823,9,0),"")</f>
        <v>44936</v>
      </c>
      <c r="K388" s="80" t="str">
        <f>IFERROR(VLOOKUP(B388,'02. MM-KLH'!$B$6:$T$823,10,0),"")</f>
        <v>Bình thường</v>
      </c>
      <c r="L388" s="102">
        <f>IFERROR(VLOOKUP(B388,'02. MM-KLH'!$B$6:$T$823,11,0),"")</f>
        <v>0.95</v>
      </c>
      <c r="M388" s="143" t="str">
        <f>IFERROR(VLOOKUP(B388,'02. MM-KLH'!$B$6:$T$823,12,0),"")</f>
        <v/>
      </c>
      <c r="N388" s="108" t="str">
        <f>IFERROR(VLOOKUP(B388,'02. MM-KLH'!$B$6:$T$823,13,0),"")</f>
        <v>THAICO</v>
      </c>
      <c r="O388" s="108" t="str">
        <f>IFERROR(VLOOKUP(B388,'02. MM-KLH'!$B$6:$T$823,14,0),"")</f>
        <v>VIỆT NAM</v>
      </c>
      <c r="P388" s="80" t="str">
        <f>IFERROR(VLOOKUP(B388,'02. MM-KLH'!$B$6:$T$823,15,0),"")</f>
        <v/>
      </c>
      <c r="Q388" s="80" t="str">
        <f>IFERROR(VLOOKUP(B388,'02. MM-KLH'!$B$6:$T$823,16,0),"")</f>
        <v>150ZH</v>
      </c>
      <c r="R388" s="106" t="str">
        <f>IFERROR(VLOOKUP(B388,'02. MM-KLH'!$B$6:$T$823,17,0),"")</f>
        <v>150HP</v>
      </c>
      <c r="S388" s="108" t="str">
        <f>IFERROR(VLOOKUP(B388,'02. MM-KLH'!$B$6:$T$823,18,0),"")</f>
        <v>TH162FMJ-C22060453</v>
      </c>
      <c r="T388" s="110" t="str">
        <f>IFERROR(VLOOKUP(B388,'02. MM-KLH'!$B$6:$T$823,19,0),"")</f>
        <v>CCN</v>
      </c>
      <c r="U388" s="130" t="s">
        <v>79</v>
      </c>
    </row>
    <row r="389" ht="13.5" customHeight="1">
      <c r="A389" s="95">
        <v>12.0</v>
      </c>
      <c r="B389" s="113" t="s">
        <v>2635</v>
      </c>
      <c r="C389" s="84" t="str">
        <f>IFERROR(VLOOKUP(B389,'02. MM-KLH'!$B$6:$T$823,2,0),"")</f>
        <v>CKC-XLO-002</v>
      </c>
      <c r="D389" s="95" t="str">
        <f>IFERROR(VLOOKUP(B389,'02. MM-KLH'!$B$6:$T$823,3,0),"")</f>
        <v>A22-XLO-007</v>
      </c>
      <c r="E389" s="86" t="str">
        <f>IFERROR(VLOOKUP(B389,'02. MM-KLH'!$B$6:$T$823,4,0),"")</f>
        <v/>
      </c>
      <c r="F389" s="115"/>
      <c r="G389" s="86" t="str">
        <f>IFERROR(VLOOKUP(B389,'02. MM-KLH'!$B$6:$T$823,6,0),"")</f>
        <v>Xe lôi</v>
      </c>
      <c r="H389" s="80" t="s">
        <v>5785</v>
      </c>
      <c r="I389" s="80" t="str">
        <f>IFERROR(VLOOKUP(B389,'02. MM-KLH'!$B$6:$T$823,8,0),"")</f>
        <v>Thagricons</v>
      </c>
      <c r="J389" s="99" t="str">
        <f>IFERROR(VLOOKUP(B389,'02. MM-KLH'!$B$6:$T$823,9,0),"")</f>
        <v/>
      </c>
      <c r="K389" s="80" t="str">
        <f>IFERROR(VLOOKUP(B389,'02. MM-KLH'!$B$6:$T$823,10,0),"")</f>
        <v>Bình thường</v>
      </c>
      <c r="L389" s="102" t="str">
        <f>IFERROR(VLOOKUP(B389,'02. MM-KLH'!$B$6:$T$823,11,0),"")</f>
        <v/>
      </c>
      <c r="M389" s="143" t="str">
        <f>IFERROR(VLOOKUP(B389,'02. MM-KLH'!$B$6:$T$823,12,0),"")</f>
        <v/>
      </c>
      <c r="N389" s="108" t="str">
        <f>IFERROR(VLOOKUP(B389,'02. MM-KLH'!$B$6:$T$823,13,0),"")</f>
        <v>LONCIN</v>
      </c>
      <c r="O389" s="108" t="str">
        <f>IFERROR(VLOOKUP(B389,'02. MM-KLH'!$B$6:$T$823,14,0),"")</f>
        <v>VIỆT NAM</v>
      </c>
      <c r="P389" s="80" t="str">
        <f>IFERROR(VLOOKUP(B389,'02. MM-KLH'!$B$6:$T$823,15,0),"")</f>
        <v/>
      </c>
      <c r="Q389" s="80" t="str">
        <f>IFERROR(VLOOKUP(B389,'02. MM-KLH'!$B$6:$T$823,16,0),"")</f>
        <v>150ZH</v>
      </c>
      <c r="R389" s="106" t="str">
        <f>IFERROR(VLOOKUP(B389,'02. MM-KLH'!$B$6:$T$823,17,0),"")</f>
        <v>150HP</v>
      </c>
      <c r="S389" s="108" t="str">
        <f>IFERROR(VLOOKUP(B389,'02. MM-KLH'!$B$6:$T$823,18,0),"")</f>
        <v>LC162FMJ-TM014863</v>
      </c>
      <c r="T389" s="110" t="str">
        <f>IFERROR(VLOOKUP(B389,'02. MM-KLH'!$B$6:$T$823,19,0),"")</f>
        <v>CCN</v>
      </c>
      <c r="U389" s="130" t="s">
        <v>79</v>
      </c>
    </row>
    <row r="390" ht="13.5" customHeight="1">
      <c r="A390" s="95">
        <v>13.0</v>
      </c>
      <c r="B390" s="113" t="s">
        <v>2638</v>
      </c>
      <c r="C390" s="84" t="str">
        <f>IFERROR(VLOOKUP(B390,'02. MM-KLH'!$B$6:$T$823,2,0),"")</f>
        <v/>
      </c>
      <c r="D390" s="95" t="str">
        <f>IFERROR(VLOOKUP(B390,'02. MM-KLH'!$B$6:$T$823,3,0),"")</f>
        <v>A22-XLO-008</v>
      </c>
      <c r="E390" s="86" t="str">
        <f>IFERROR(VLOOKUP(B390,'02. MM-KLH'!$B$6:$T$823,4,0),"")</f>
        <v/>
      </c>
      <c r="F390" s="115"/>
      <c r="G390" s="86" t="str">
        <f>IFERROR(VLOOKUP(B390,'02. MM-KLH'!$B$6:$T$823,6,0),"")</f>
        <v>Xe lôi</v>
      </c>
      <c r="H390" s="80" t="s">
        <v>5785</v>
      </c>
      <c r="I390" s="80" t="str">
        <f>IFERROR(VLOOKUP(B390,'02. MM-KLH'!$B$6:$T$823,8,0),"")</f>
        <v>Thagricons</v>
      </c>
      <c r="J390" s="99" t="str">
        <f>IFERROR(VLOOKUP(B390,'02. MM-KLH'!$B$6:$T$823,9,0),"")</f>
        <v/>
      </c>
      <c r="K390" s="80" t="str">
        <f>IFERROR(VLOOKUP(B390,'02. MM-KLH'!$B$6:$T$823,10,0),"")</f>
        <v>Bình thường</v>
      </c>
      <c r="L390" s="102" t="str">
        <f>IFERROR(VLOOKUP(B390,'02. MM-KLH'!$B$6:$T$823,11,0),"")</f>
        <v/>
      </c>
      <c r="M390" s="143" t="str">
        <f>IFERROR(VLOOKUP(B390,'02. MM-KLH'!$B$6:$T$823,12,0),"")</f>
        <v/>
      </c>
      <c r="N390" s="108" t="str">
        <f>IFERROR(VLOOKUP(B390,'02. MM-KLH'!$B$6:$T$823,13,0),"")</f>
        <v>ZONGSHEN</v>
      </c>
      <c r="O390" s="108" t="str">
        <f>IFERROR(VLOOKUP(B390,'02. MM-KLH'!$B$6:$T$823,14,0),"")</f>
        <v/>
      </c>
      <c r="P390" s="80" t="str">
        <f>IFERROR(VLOOKUP(B390,'02. MM-KLH'!$B$6:$T$823,15,0),"")</f>
        <v/>
      </c>
      <c r="Q390" s="80" t="str">
        <f>IFERROR(VLOOKUP(B390,'02. MM-KLH'!$B$6:$T$823,16,0),"")</f>
        <v>150ZH</v>
      </c>
      <c r="R390" s="106" t="str">
        <f>IFERROR(VLOOKUP(B390,'02. MM-KLH'!$B$6:$T$823,17,0),"")</f>
        <v>150HP</v>
      </c>
      <c r="S390" s="108" t="str">
        <f>IFERROR(VLOOKUP(B390,'02. MM-KLH'!$B$6:$T$823,18,0),"")</f>
        <v>ZS162MJ-L8L300020</v>
      </c>
      <c r="T390" s="110" t="str">
        <f>IFERROR(VLOOKUP(B390,'02. MM-KLH'!$B$6:$T$823,19,0),"")</f>
        <v>CCN</v>
      </c>
      <c r="U390" s="130" t="s">
        <v>79</v>
      </c>
    </row>
    <row r="391" ht="13.5" customHeight="1">
      <c r="A391" s="95">
        <v>14.0</v>
      </c>
      <c r="B391" s="113" t="s">
        <v>2641</v>
      </c>
      <c r="C391" s="84" t="str">
        <f>IFERROR(VLOOKUP(B391,'02. MM-KLH'!$B$6:$T$823,2,0),"")</f>
        <v>CKC-XLO-003</v>
      </c>
      <c r="D391" s="95" t="str">
        <f>IFERROR(VLOOKUP(B391,'02. MM-KLH'!$B$6:$T$823,3,0),"")</f>
        <v>A22-XLO-009</v>
      </c>
      <c r="E391" s="86" t="str">
        <f>IFERROR(VLOOKUP(B391,'02. MM-KLH'!$B$6:$T$823,4,0),"")</f>
        <v/>
      </c>
      <c r="F391" s="115"/>
      <c r="G391" s="86" t="str">
        <f>IFERROR(VLOOKUP(B391,'02. MM-KLH'!$B$6:$T$823,6,0),"")</f>
        <v>Xe lôi</v>
      </c>
      <c r="H391" s="80" t="s">
        <v>5785</v>
      </c>
      <c r="I391" s="80" t="str">
        <f>IFERROR(VLOOKUP(B391,'02. MM-KLH'!$B$6:$T$823,8,0),"")</f>
        <v>Thagricons</v>
      </c>
      <c r="J391" s="99" t="str">
        <f>IFERROR(VLOOKUP(B391,'02. MM-KLH'!$B$6:$T$823,9,0),"")</f>
        <v/>
      </c>
      <c r="K391" s="80" t="str">
        <f>IFERROR(VLOOKUP(B391,'02. MM-KLH'!$B$6:$T$823,10,0),"")</f>
        <v>Bình thường</v>
      </c>
      <c r="L391" s="102" t="str">
        <f>IFERROR(VLOOKUP(B391,'02. MM-KLH'!$B$6:$T$823,11,0),"")</f>
        <v/>
      </c>
      <c r="M391" s="143" t="str">
        <f>IFERROR(VLOOKUP(B391,'02. MM-KLH'!$B$6:$T$823,12,0),"")</f>
        <v/>
      </c>
      <c r="N391" s="108" t="str">
        <f>IFERROR(VLOOKUP(B391,'02. MM-KLH'!$B$6:$T$823,13,0),"")</f>
        <v>ZONGSHEN</v>
      </c>
      <c r="O391" s="108" t="str">
        <f>IFERROR(VLOOKUP(B391,'02. MM-KLH'!$B$6:$T$823,14,0),"")</f>
        <v/>
      </c>
      <c r="P391" s="80" t="str">
        <f>IFERROR(VLOOKUP(B391,'02. MM-KLH'!$B$6:$T$823,15,0),"")</f>
        <v/>
      </c>
      <c r="Q391" s="80" t="str">
        <f>IFERROR(VLOOKUP(B391,'02. MM-KLH'!$B$6:$T$823,16,0),"")</f>
        <v>150ZH</v>
      </c>
      <c r="R391" s="106" t="str">
        <f>IFERROR(VLOOKUP(B391,'02. MM-KLH'!$B$6:$T$823,17,0),"")</f>
        <v>150HP</v>
      </c>
      <c r="S391" s="108" t="str">
        <f>IFERROR(VLOOKUP(B391,'02. MM-KLH'!$B$6:$T$823,18,0),"")</f>
        <v>ZS162MJ-LL012627</v>
      </c>
      <c r="T391" s="110" t="str">
        <f>IFERROR(VLOOKUP(B391,'02. MM-KLH'!$B$6:$T$823,19,0),"")</f>
        <v>CCN</v>
      </c>
      <c r="U391" s="130" t="s">
        <v>79</v>
      </c>
    </row>
    <row r="392" ht="13.5" customHeight="1">
      <c r="A392" s="95">
        <v>15.0</v>
      </c>
      <c r="B392" s="115" t="s">
        <v>2809</v>
      </c>
      <c r="C392" s="84" t="str">
        <f>IFERROR(VLOOKUP(B392,'02. MM-KLH'!$B$6:$T$823,2,0),"")</f>
        <v/>
      </c>
      <c r="D392" s="95" t="str">
        <f>IFERROR(VLOOKUP(B392,'02. MM-KLH'!$B$6:$T$823,3,0),"")</f>
        <v>ATT-A22-0284</v>
      </c>
      <c r="E392" s="86" t="str">
        <f>IFERROR(VLOOKUP(B392,'02. MM-KLH'!$B$6:$T$823,4,0),"")</f>
        <v/>
      </c>
      <c r="F392" s="704" t="s">
        <v>5798</v>
      </c>
      <c r="G392" s="86" t="str">
        <f>IFERROR(VLOOKUP(B392,'02. MM-KLH'!$B$6:$T$823,6,0),"")</f>
        <v>Xe lôi</v>
      </c>
      <c r="H392" s="80" t="s">
        <v>5785</v>
      </c>
      <c r="I392" s="80" t="str">
        <f>IFERROR(VLOOKUP(B392,'02. MM-KLH'!$B$6:$T$823,8,0),"")</f>
        <v>Thadicons A&amp;I</v>
      </c>
      <c r="J392" s="99" t="str">
        <f>IFERROR(VLOOKUP(B392,'02. MM-KLH'!$B$6:$T$823,9,0),"")</f>
        <v>14/11/2023</v>
      </c>
      <c r="K392" s="80" t="str">
        <f>IFERROR(VLOOKUP(B392,'02. MM-KLH'!$B$6:$T$823,10,0),"")</f>
        <v>Bình thường</v>
      </c>
      <c r="L392" s="102">
        <f>IFERROR(VLOOKUP(B392,'02. MM-KLH'!$B$6:$T$823,11,0),"")</f>
        <v>0.94</v>
      </c>
      <c r="M392" s="143" t="str">
        <f>IFERROR(VLOOKUP(B392,'02. MM-KLH'!$B$6:$T$823,12,0),"")</f>
        <v/>
      </c>
      <c r="N392" s="108" t="str">
        <f>IFERROR(VLOOKUP(B392,'02. MM-KLH'!$B$6:$T$823,13,0),"")</f>
        <v/>
      </c>
      <c r="O392" s="108" t="str">
        <f>IFERROR(VLOOKUP(B392,'02. MM-KLH'!$B$6:$T$823,14,0),"")</f>
        <v>TRUNG QUỐC</v>
      </c>
      <c r="P392" s="80">
        <f>IFERROR(VLOOKUP(B392,'02. MM-KLH'!$B$6:$T$823,15,0),"")</f>
        <v>2021</v>
      </c>
      <c r="Q392" s="80" t="str">
        <f>IFERROR(VLOOKUP(B392,'02. MM-KLH'!$B$6:$T$823,16,0),"")</f>
        <v>150ZH</v>
      </c>
      <c r="R392" s="106" t="str">
        <f>IFERROR(VLOOKUP(B392,'02. MM-KLH'!$B$6:$T$823,17,0),"")</f>
        <v>150HP</v>
      </c>
      <c r="S392" s="108" t="str">
        <f>IFERROR(VLOOKUP(B392,'02. MM-KLH'!$B$6:$T$823,18,0),"")</f>
        <v>TH162FMJ-C23004045</v>
      </c>
      <c r="T392" s="110" t="str">
        <f>IFERROR(VLOOKUP(B392,'02. MM-KLH'!$B$6:$T$823,19,0),"")</f>
        <v>LP7HCKZ91P0004045</v>
      </c>
      <c r="U392" s="130" t="s">
        <v>79</v>
      </c>
    </row>
    <row r="393" ht="13.5" customHeight="1">
      <c r="A393" s="95">
        <v>16.0</v>
      </c>
      <c r="B393" s="115" t="s">
        <v>2812</v>
      </c>
      <c r="C393" s="84" t="str">
        <f>IFERROR(VLOOKUP(B393,'02. MM-KLH'!$B$6:$T$823,2,0),"")</f>
        <v/>
      </c>
      <c r="D393" s="95" t="str">
        <f>IFERROR(VLOOKUP(B393,'02. MM-KLH'!$B$6:$T$823,3,0),"")</f>
        <v>ATT-A22-0283</v>
      </c>
      <c r="E393" s="86" t="str">
        <f>IFERROR(VLOOKUP(B393,'02. MM-KLH'!$B$6:$T$823,4,0),"")</f>
        <v/>
      </c>
      <c r="F393" s="705" t="s">
        <v>5800</v>
      </c>
      <c r="G393" s="86" t="str">
        <f>IFERROR(VLOOKUP(B393,'02. MM-KLH'!$B$6:$T$823,6,0),"")</f>
        <v>Xe lôi</v>
      </c>
      <c r="H393" s="80" t="s">
        <v>5785</v>
      </c>
      <c r="I393" s="80" t="str">
        <f>IFERROR(VLOOKUP(B393,'02. MM-KLH'!$B$6:$T$823,8,0),"")</f>
        <v>Thadicons A&amp;I</v>
      </c>
      <c r="J393" s="99" t="str">
        <f>IFERROR(VLOOKUP(B393,'02. MM-KLH'!$B$6:$T$823,9,0),"")</f>
        <v>14/11/2023</v>
      </c>
      <c r="K393" s="80" t="str">
        <f>IFERROR(VLOOKUP(B393,'02. MM-KLH'!$B$6:$T$823,10,0),"")</f>
        <v>Bình thường</v>
      </c>
      <c r="L393" s="102">
        <f>IFERROR(VLOOKUP(B393,'02. MM-KLH'!$B$6:$T$823,11,0),"")</f>
        <v>0.94</v>
      </c>
      <c r="M393" s="143" t="str">
        <f>IFERROR(VLOOKUP(B393,'02. MM-KLH'!$B$6:$T$823,12,0),"")</f>
        <v/>
      </c>
      <c r="N393" s="108" t="str">
        <f>IFERROR(VLOOKUP(B393,'02. MM-KLH'!$B$6:$T$823,13,0),"")</f>
        <v/>
      </c>
      <c r="O393" s="108" t="str">
        <f>IFERROR(VLOOKUP(B393,'02. MM-KLH'!$B$6:$T$823,14,0),"")</f>
        <v>TRUNG QUỐC</v>
      </c>
      <c r="P393" s="80">
        <f>IFERROR(VLOOKUP(B393,'02. MM-KLH'!$B$6:$T$823,15,0),"")</f>
        <v>2021</v>
      </c>
      <c r="Q393" s="80" t="str">
        <f>IFERROR(VLOOKUP(B393,'02. MM-KLH'!$B$6:$T$823,16,0),"")</f>
        <v>150ZH</v>
      </c>
      <c r="R393" s="106" t="str">
        <f>IFERROR(VLOOKUP(B393,'02. MM-KLH'!$B$6:$T$823,17,0),"")</f>
        <v>150HP</v>
      </c>
      <c r="S393" s="108" t="str">
        <f>IFERROR(VLOOKUP(B393,'02. MM-KLH'!$B$6:$T$823,18,0),"")</f>
        <v>TH162FMJ-C23004013</v>
      </c>
      <c r="T393" s="110" t="str">
        <f>IFERROR(VLOOKUP(B393,'02. MM-KLH'!$B$6:$T$823,19,0),"")</f>
        <v>LP7HCKZ9XP0004013</v>
      </c>
      <c r="U393" s="130" t="s">
        <v>79</v>
      </c>
    </row>
    <row r="394" ht="13.5" customHeight="1">
      <c r="A394" s="95">
        <v>17.0</v>
      </c>
      <c r="B394" s="115" t="s">
        <v>2815</v>
      </c>
      <c r="C394" s="84" t="str">
        <f>IFERROR(VLOOKUP(B394,'02. MM-KLH'!$B$6:$T$823,2,0),"")</f>
        <v/>
      </c>
      <c r="D394" s="95" t="str">
        <f>IFERROR(VLOOKUP(B394,'02. MM-KLH'!$B$6:$T$823,3,0),"")</f>
        <v>ATT-A22-0277</v>
      </c>
      <c r="E394" s="86" t="str">
        <f>IFERROR(VLOOKUP(B394,'02. MM-KLH'!$B$6:$T$823,4,0),"")</f>
        <v/>
      </c>
      <c r="F394" s="706" t="s">
        <v>5801</v>
      </c>
      <c r="G394" s="86" t="str">
        <f>IFERROR(VLOOKUP(B394,'02. MM-KLH'!$B$6:$T$823,6,0),"")</f>
        <v>Xe lôi</v>
      </c>
      <c r="H394" s="80" t="s">
        <v>5785</v>
      </c>
      <c r="I394" s="80" t="str">
        <f>IFERROR(VLOOKUP(B394,'02. MM-KLH'!$B$6:$T$823,8,0),"")</f>
        <v>Thadicons A&amp;I</v>
      </c>
      <c r="J394" s="99" t="str">
        <f>IFERROR(VLOOKUP(B394,'02. MM-KLH'!$B$6:$T$823,9,0),"")</f>
        <v>14/11/2023</v>
      </c>
      <c r="K394" s="80" t="str">
        <f>IFERROR(VLOOKUP(B394,'02. MM-KLH'!$B$6:$T$823,10,0),"")</f>
        <v>Bình thường</v>
      </c>
      <c r="L394" s="102">
        <f>IFERROR(VLOOKUP(B394,'02. MM-KLH'!$B$6:$T$823,11,0),"")</f>
        <v>0.94</v>
      </c>
      <c r="M394" s="143" t="str">
        <f>IFERROR(VLOOKUP(B394,'02. MM-KLH'!$B$6:$T$823,12,0),"")</f>
        <v/>
      </c>
      <c r="N394" s="108" t="str">
        <f>IFERROR(VLOOKUP(B394,'02. MM-KLH'!$B$6:$T$823,13,0),"")</f>
        <v/>
      </c>
      <c r="O394" s="108" t="str">
        <f>IFERROR(VLOOKUP(B394,'02. MM-KLH'!$B$6:$T$823,14,0),"")</f>
        <v>TRUNG QUỐC</v>
      </c>
      <c r="P394" s="80">
        <f>IFERROR(VLOOKUP(B394,'02. MM-KLH'!$B$6:$T$823,15,0),"")</f>
        <v>2021</v>
      </c>
      <c r="Q394" s="80" t="str">
        <f>IFERROR(VLOOKUP(B394,'02. MM-KLH'!$B$6:$T$823,16,0),"")</f>
        <v>150ZH</v>
      </c>
      <c r="R394" s="106" t="str">
        <f>IFERROR(VLOOKUP(B394,'02. MM-KLH'!$B$6:$T$823,17,0),"")</f>
        <v>150HP</v>
      </c>
      <c r="S394" s="108">
        <f>IFERROR(VLOOKUP(B394,'02. MM-KLH'!$B$6:$T$823,18,0),"")</f>
        <v>22060447</v>
      </c>
      <c r="T394" s="110" t="str">
        <f>IFERROR(VLOOKUP(B394,'02. MM-KLH'!$B$6:$T$823,19,0),"")</f>
        <v>LP7HCKZ95N0000447</v>
      </c>
      <c r="U394" s="130" t="s">
        <v>79</v>
      </c>
    </row>
    <row r="395" ht="13.5" customHeight="1">
      <c r="A395" s="95">
        <v>18.0</v>
      </c>
      <c r="B395" s="115" t="s">
        <v>2817</v>
      </c>
      <c r="C395" s="84" t="str">
        <f>IFERROR(VLOOKUP(B395,'02. MM-KLH'!$B$6:$T$823,2,0),"")</f>
        <v/>
      </c>
      <c r="D395" s="95" t="str">
        <f>IFERROR(VLOOKUP(B395,'02. MM-KLH'!$B$6:$T$823,3,0),"")</f>
        <v>A22-XLO-004</v>
      </c>
      <c r="E395" s="86" t="str">
        <f>IFERROR(VLOOKUP(B395,'02. MM-KLH'!$B$6:$T$823,4,0),"")</f>
        <v/>
      </c>
      <c r="F395" s="706" t="s">
        <v>5802</v>
      </c>
      <c r="G395" s="86" t="str">
        <f>IFERROR(VLOOKUP(B395,'02. MM-KLH'!$B$6:$T$823,6,0),"")</f>
        <v>Xe lôi</v>
      </c>
      <c r="H395" s="80" t="s">
        <v>5785</v>
      </c>
      <c r="I395" s="80" t="str">
        <f>IFERROR(VLOOKUP(B395,'02. MM-KLH'!$B$6:$T$823,8,0),"")</f>
        <v>Thadicons A&amp;I</v>
      </c>
      <c r="J395" s="99" t="str">
        <f>IFERROR(VLOOKUP(B395,'02. MM-KLH'!$B$6:$T$823,9,0),"")</f>
        <v>14/11/2023</v>
      </c>
      <c r="K395" s="80" t="str">
        <f>IFERROR(VLOOKUP(B395,'02. MM-KLH'!$B$6:$T$823,10,0),"")</f>
        <v>Bình thường</v>
      </c>
      <c r="L395" s="102">
        <f>IFERROR(VLOOKUP(B395,'02. MM-KLH'!$B$6:$T$823,11,0),"")</f>
        <v>0.94</v>
      </c>
      <c r="M395" s="143" t="str">
        <f>IFERROR(VLOOKUP(B395,'02. MM-KLH'!$B$6:$T$823,12,0),"")</f>
        <v/>
      </c>
      <c r="N395" s="108" t="str">
        <f>IFERROR(VLOOKUP(B395,'02. MM-KLH'!$B$6:$T$823,13,0),"")</f>
        <v/>
      </c>
      <c r="O395" s="108" t="str">
        <f>IFERROR(VLOOKUP(B395,'02. MM-KLH'!$B$6:$T$823,14,0),"")</f>
        <v>TRUNG QUỐC</v>
      </c>
      <c r="P395" s="80">
        <f>IFERROR(VLOOKUP(B395,'02. MM-KLH'!$B$6:$T$823,15,0),"")</f>
        <v>2021</v>
      </c>
      <c r="Q395" s="80" t="str">
        <f>IFERROR(VLOOKUP(B395,'02. MM-KLH'!$B$6:$T$823,16,0),"")</f>
        <v>150ZH</v>
      </c>
      <c r="R395" s="106" t="str">
        <f>IFERROR(VLOOKUP(B395,'02. MM-KLH'!$B$6:$T$823,17,0),"")</f>
        <v>150HP</v>
      </c>
      <c r="S395" s="108">
        <f>IFERROR(VLOOKUP(B395,'02. MM-KLH'!$B$6:$T$823,18,0),"")</f>
        <v>22060460</v>
      </c>
      <c r="T395" s="110" t="str">
        <f>IFERROR(VLOOKUP(B395,'02. MM-KLH'!$B$6:$T$823,19,0),"")</f>
        <v>LP7HCKZ98N0000460</v>
      </c>
      <c r="U395" s="130" t="s">
        <v>79</v>
      </c>
    </row>
    <row r="396" ht="13.5" customHeight="1">
      <c r="A396" s="95">
        <v>19.0</v>
      </c>
      <c r="B396" s="115" t="s">
        <v>2819</v>
      </c>
      <c r="C396" s="84" t="str">
        <f>IFERROR(VLOOKUP(B396,'02. MM-KLH'!$B$6:$T$823,2,0),"")</f>
        <v/>
      </c>
      <c r="D396" s="95" t="str">
        <f>IFERROR(VLOOKUP(B396,'02. MM-KLH'!$B$6:$T$823,3,0),"")</f>
        <v>A22-XLO-005</v>
      </c>
      <c r="E396" s="86" t="str">
        <f>IFERROR(VLOOKUP(B396,'02. MM-KLH'!$B$6:$T$823,4,0),"")</f>
        <v/>
      </c>
      <c r="F396" s="187"/>
      <c r="G396" s="86" t="str">
        <f>IFERROR(VLOOKUP(B396,'02. MM-KLH'!$B$6:$T$823,6,0),"")</f>
        <v>Xe lôi</v>
      </c>
      <c r="H396" s="80" t="s">
        <v>5785</v>
      </c>
      <c r="I396" s="80" t="str">
        <f>IFERROR(VLOOKUP(B396,'02. MM-KLH'!$B$6:$T$823,8,0),"")</f>
        <v>Thadicons A&amp;I</v>
      </c>
      <c r="J396" s="99" t="str">
        <f>IFERROR(VLOOKUP(B396,'02. MM-KLH'!$B$6:$T$823,9,0),"")</f>
        <v>Mới </v>
      </c>
      <c r="K396" s="80" t="str">
        <f>IFERROR(VLOOKUP(B396,'02. MM-KLH'!$B$6:$T$823,10,0),"")</f>
        <v>Bình thường</v>
      </c>
      <c r="L396" s="102" t="str">
        <f>IFERROR(VLOOKUP(B396,'02. MM-KLH'!$B$6:$T$823,11,0),"")</f>
        <v/>
      </c>
      <c r="M396" s="143" t="str">
        <f>IFERROR(VLOOKUP(B396,'02. MM-KLH'!$B$6:$T$823,12,0),"")</f>
        <v/>
      </c>
      <c r="N396" s="108" t="str">
        <f>IFERROR(VLOOKUP(B396,'02. MM-KLH'!$B$6:$T$823,13,0),"")</f>
        <v/>
      </c>
      <c r="O396" s="108" t="str">
        <f>IFERROR(VLOOKUP(B396,'02. MM-KLH'!$B$6:$T$823,14,0),"")</f>
        <v>TRUNG QUỐC</v>
      </c>
      <c r="P396" s="80">
        <f>IFERROR(VLOOKUP(B396,'02. MM-KLH'!$B$6:$T$823,15,0),"")</f>
        <v>2021</v>
      </c>
      <c r="Q396" s="80" t="str">
        <f>IFERROR(VLOOKUP(B396,'02. MM-KLH'!$B$6:$T$823,16,0),"")</f>
        <v>150ZH</v>
      </c>
      <c r="R396" s="106" t="str">
        <f>IFERROR(VLOOKUP(B396,'02. MM-KLH'!$B$6:$T$823,17,0),"")</f>
        <v>150HP</v>
      </c>
      <c r="S396" s="108" t="str">
        <f>IFERROR(VLOOKUP(B396,'02. MM-KLH'!$B$6:$T$823,18,0),"")</f>
        <v>K002901900089</v>
      </c>
      <c r="T396" s="110" t="str">
        <f>IFERROR(VLOOKUP(B396,'02. MM-KLH'!$B$6:$T$823,19,0),"")</f>
        <v>L0011901053343</v>
      </c>
      <c r="U396" s="130" t="s">
        <v>79</v>
      </c>
    </row>
    <row r="397" ht="13.5" customHeight="1">
      <c r="A397" s="95">
        <v>20.0</v>
      </c>
      <c r="B397" s="115" t="s">
        <v>2514</v>
      </c>
      <c r="C397" s="84" t="str">
        <f>IFERROR(VLOOKUP(B397,'02. MM-KLH'!$B$6:$T$823,2,0),"")</f>
        <v/>
      </c>
      <c r="D397" s="95" t="str">
        <f>IFERROR(VLOOKUP(B397,'02. MM-KLH'!$B$6:$T$823,3,0),"")</f>
        <v/>
      </c>
      <c r="E397" s="86" t="str">
        <f>IFERROR(VLOOKUP(B397,'02. MM-KLH'!$B$6:$T$823,4,0),"")</f>
        <v/>
      </c>
      <c r="F397" s="189"/>
      <c r="G397" s="86" t="str">
        <f>IFERROR(VLOOKUP(B397,'02. MM-KLH'!$B$6:$T$823,6,0),"")</f>
        <v>Xe lôi</v>
      </c>
      <c r="H397" s="80" t="s">
        <v>5785</v>
      </c>
      <c r="I397" s="80" t="str">
        <f>IFERROR(VLOOKUP(B397,'02. MM-KLH'!$B$6:$T$823,8,0),"")</f>
        <v>Ban điện nước</v>
      </c>
      <c r="J397" s="99">
        <f>IFERROR(VLOOKUP(B397,'02. MM-KLH'!$B$6:$T$823,9,0),"")</f>
        <v>45963</v>
      </c>
      <c r="K397" s="80" t="str">
        <f>IFERROR(VLOOKUP(B397,'02. MM-KLH'!$B$6:$T$823,10,0),"")</f>
        <v>Bình thường</v>
      </c>
      <c r="L397" s="102" t="str">
        <f>IFERROR(VLOOKUP(B397,'02. MM-KLH'!$B$6:$T$823,11,0),"")</f>
        <v/>
      </c>
      <c r="M397" s="143" t="str">
        <f>IFERROR(VLOOKUP(B397,'02. MM-KLH'!$B$6:$T$823,12,0),"")</f>
        <v>Đầu tư mới</v>
      </c>
      <c r="N397" s="108" t="str">
        <f>IFERROR(VLOOKUP(B397,'02. MM-KLH'!$B$6:$T$823,13,0),"")</f>
        <v/>
      </c>
      <c r="O397" s="108" t="str">
        <f>IFERROR(VLOOKUP(B397,'02. MM-KLH'!$B$6:$T$823,14,0),"")</f>
        <v>TRUNG QUỐC</v>
      </c>
      <c r="P397" s="80" t="str">
        <f>IFERROR(VLOOKUP(B397,'02. MM-KLH'!$B$6:$T$823,15,0),"")</f>
        <v/>
      </c>
      <c r="Q397" s="80" t="str">
        <f>IFERROR(VLOOKUP(B397,'02. MM-KLH'!$B$6:$T$823,16,0),"")</f>
        <v>150ZH-2DR</v>
      </c>
      <c r="R397" s="106" t="str">
        <f>IFERROR(VLOOKUP(B397,'02. MM-KLH'!$B$6:$T$823,17,0),"")</f>
        <v>11HP</v>
      </c>
      <c r="S397" s="108" t="str">
        <f>IFERROR(VLOOKUP(B397,'02. MM-KLH'!$B$6:$T$823,18,0),"")</f>
        <v>L6XHBN1B8R0000061</v>
      </c>
      <c r="T397" s="110" t="str">
        <f>IFERROR(VLOOKUP(B397,'02. MM-KLH'!$B$6:$T$823,19,0),"")</f>
        <v>170MM-B8R100075</v>
      </c>
      <c r="U397" s="130" t="s">
        <v>79</v>
      </c>
    </row>
    <row r="398" ht="13.5" customHeight="1">
      <c r="A398" s="95">
        <v>21.0</v>
      </c>
      <c r="B398" s="115" t="s">
        <v>2519</v>
      </c>
      <c r="C398" s="84" t="str">
        <f>IFERROR(VLOOKUP(B398,'02. MM-KLH'!$B$6:$T$823,2,0),"")</f>
        <v/>
      </c>
      <c r="D398" s="95" t="str">
        <f>IFERROR(VLOOKUP(B398,'02. MM-KLH'!$B$6:$T$823,3,0),"")</f>
        <v/>
      </c>
      <c r="E398" s="86" t="str">
        <f>IFERROR(VLOOKUP(B398,'02. MM-KLH'!$B$6:$T$823,4,0),"")</f>
        <v/>
      </c>
      <c r="F398" s="189"/>
      <c r="G398" s="86" t="str">
        <f>IFERROR(VLOOKUP(B398,'02. MM-KLH'!$B$6:$T$823,6,0),"")</f>
        <v>Xe lôi</v>
      </c>
      <c r="H398" s="80" t="s">
        <v>5785</v>
      </c>
      <c r="I398" s="80" t="str">
        <f>IFERROR(VLOOKUP(B398,'02. MM-KLH'!$B$6:$T$823,8,0),"")</f>
        <v>Ban điện nước</v>
      </c>
      <c r="J398" s="99">
        <f>IFERROR(VLOOKUP(B398,'02. MM-KLH'!$B$6:$T$823,9,0),"")</f>
        <v>45963</v>
      </c>
      <c r="K398" s="80" t="str">
        <f>IFERROR(VLOOKUP(B398,'02. MM-KLH'!$B$6:$T$823,10,0),"")</f>
        <v>Bình thường</v>
      </c>
      <c r="L398" s="102" t="str">
        <f>IFERROR(VLOOKUP(B398,'02. MM-KLH'!$B$6:$T$823,11,0),"")</f>
        <v/>
      </c>
      <c r="M398" s="143" t="str">
        <f>IFERROR(VLOOKUP(B398,'02. MM-KLH'!$B$6:$T$823,12,0),"")</f>
        <v>Đầu tư mới</v>
      </c>
      <c r="N398" s="108" t="str">
        <f>IFERROR(VLOOKUP(B398,'02. MM-KLH'!$B$6:$T$823,13,0),"")</f>
        <v/>
      </c>
      <c r="O398" s="108" t="str">
        <f>IFERROR(VLOOKUP(B398,'02. MM-KLH'!$B$6:$T$823,14,0),"")</f>
        <v>TRUNG QUỐC</v>
      </c>
      <c r="P398" s="80" t="str">
        <f>IFERROR(VLOOKUP(B398,'02. MM-KLH'!$B$6:$T$823,15,0),"")</f>
        <v/>
      </c>
      <c r="Q398" s="80" t="str">
        <f>IFERROR(VLOOKUP(B398,'02. MM-KLH'!$B$6:$T$823,16,0),"")</f>
        <v>150ZH-2DR</v>
      </c>
      <c r="R398" s="106" t="str">
        <f>IFERROR(VLOOKUP(B398,'02. MM-KLH'!$B$6:$T$823,17,0),"")</f>
        <v>11HP</v>
      </c>
      <c r="S398" s="108" t="str">
        <f>IFERROR(VLOOKUP(B398,'02. MM-KLH'!$B$6:$T$823,18,0),"")</f>
        <v>L6XHBN1B8R0000058</v>
      </c>
      <c r="T398" s="110" t="str">
        <f>IFERROR(VLOOKUP(B398,'02. MM-KLH'!$B$6:$T$823,19,0),"")</f>
        <v>170MM-B8R100072</v>
      </c>
      <c r="U398" s="130" t="s">
        <v>79</v>
      </c>
    </row>
    <row r="399" ht="13.5" customHeight="1">
      <c r="A399" s="95">
        <v>22.0</v>
      </c>
      <c r="B399" s="115" t="s">
        <v>2522</v>
      </c>
      <c r="C399" s="84" t="str">
        <f>IFERROR(VLOOKUP(B399,'02. MM-KLH'!$B$6:$T$823,2,0),"")</f>
        <v/>
      </c>
      <c r="D399" s="95" t="str">
        <f>IFERROR(VLOOKUP(B399,'02. MM-KLH'!$B$6:$T$823,3,0),"")</f>
        <v/>
      </c>
      <c r="E399" s="86" t="str">
        <f>IFERROR(VLOOKUP(B399,'02. MM-KLH'!$B$6:$T$823,4,0),"")</f>
        <v/>
      </c>
      <c r="F399" s="189"/>
      <c r="G399" s="86" t="str">
        <f>IFERROR(VLOOKUP(B399,'02. MM-KLH'!$B$6:$T$823,6,0),"")</f>
        <v>Xe lôi</v>
      </c>
      <c r="H399" s="80" t="s">
        <v>5785</v>
      </c>
      <c r="I399" s="80" t="str">
        <f>IFERROR(VLOOKUP(B399,'02. MM-KLH'!$B$6:$T$823,8,0),"")</f>
        <v>Ban điện nước</v>
      </c>
      <c r="J399" s="99">
        <f>IFERROR(VLOOKUP(B399,'02. MM-KLH'!$B$6:$T$823,9,0),"")</f>
        <v>45963</v>
      </c>
      <c r="K399" s="80" t="str">
        <f>IFERROR(VLOOKUP(B399,'02. MM-KLH'!$B$6:$T$823,10,0),"")</f>
        <v>Bình thường</v>
      </c>
      <c r="L399" s="102" t="str">
        <f>IFERROR(VLOOKUP(B399,'02. MM-KLH'!$B$6:$T$823,11,0),"")</f>
        <v/>
      </c>
      <c r="M399" s="143" t="str">
        <f>IFERROR(VLOOKUP(B399,'02. MM-KLH'!$B$6:$T$823,12,0),"")</f>
        <v>Đầu tư mới</v>
      </c>
      <c r="N399" s="108" t="str">
        <f>IFERROR(VLOOKUP(B399,'02. MM-KLH'!$B$6:$T$823,13,0),"")</f>
        <v/>
      </c>
      <c r="O399" s="108" t="str">
        <f>IFERROR(VLOOKUP(B399,'02. MM-KLH'!$B$6:$T$823,14,0),"")</f>
        <v>TRUNG QUỐC</v>
      </c>
      <c r="P399" s="80" t="str">
        <f>IFERROR(VLOOKUP(B399,'02. MM-KLH'!$B$6:$T$823,15,0),"")</f>
        <v/>
      </c>
      <c r="Q399" s="80" t="str">
        <f>IFERROR(VLOOKUP(B399,'02. MM-KLH'!$B$6:$T$823,16,0),"")</f>
        <v>150ZH-2DR</v>
      </c>
      <c r="R399" s="106" t="str">
        <f>IFERROR(VLOOKUP(B399,'02. MM-KLH'!$B$6:$T$823,17,0),"")</f>
        <v>11HP</v>
      </c>
      <c r="S399" s="108" t="str">
        <f>IFERROR(VLOOKUP(B399,'02. MM-KLH'!$B$6:$T$823,18,0),"")</f>
        <v>L6XHBN1B8R0000059</v>
      </c>
      <c r="T399" s="110" t="str">
        <f>IFERROR(VLOOKUP(B399,'02. MM-KLH'!$B$6:$T$823,19,0),"")</f>
        <v>170MM-B8R100073</v>
      </c>
      <c r="U399" s="130" t="s">
        <v>79</v>
      </c>
    </row>
    <row r="400" ht="13.5" customHeight="1">
      <c r="A400" s="80"/>
      <c r="B400" s="115"/>
      <c r="C400" s="84" t="str">
        <f>IFERROR(VLOOKUP(B400,'02. MM-KLH'!$B$6:$T$823,2,0),"")</f>
        <v/>
      </c>
      <c r="D400" s="95" t="str">
        <f>IFERROR(VLOOKUP(B400,'02. MM-KLH'!$B$6:$T$823,3,0),"")</f>
        <v/>
      </c>
      <c r="E400" s="86" t="str">
        <f>IFERROR(VLOOKUP(B400,'02. MM-KLH'!$B$6:$T$823,4,0),"")</f>
        <v/>
      </c>
      <c r="F400" s="187"/>
      <c r="G400" s="86" t="str">
        <f>IFERROR(VLOOKUP(B400,'02. MM-KLH'!$B$6:$T$823,6,0),"")</f>
        <v/>
      </c>
      <c r="H400" s="80"/>
      <c r="I400" s="80" t="str">
        <f>IFERROR(VLOOKUP(B400,'02. MM-KLH'!$B$6:$T$823,8,0),"")</f>
        <v/>
      </c>
      <c r="J400" s="99" t="str">
        <f>IFERROR(VLOOKUP(B400,'02. MM-KLH'!$B$6:$T$823,9,0),"")</f>
        <v/>
      </c>
      <c r="K400" s="80" t="str">
        <f>IFERROR(VLOOKUP(B400,'02. MM-KLH'!$B$6:$T$823,10,0),"")</f>
        <v/>
      </c>
      <c r="L400" s="102" t="str">
        <f>IFERROR(VLOOKUP(B400,'02. MM-KLH'!$B$6:$T$823,11,0),"")</f>
        <v/>
      </c>
      <c r="M400" s="143" t="str">
        <f>IFERROR(VLOOKUP(B400,'02. MM-KLH'!$B$6:$T$823,12,0),"")</f>
        <v/>
      </c>
      <c r="N400" s="108" t="str">
        <f>IFERROR(VLOOKUP(B400,'02. MM-KLH'!$B$6:$T$823,13,0),"")</f>
        <v/>
      </c>
      <c r="O400" s="108" t="str">
        <f>IFERROR(VLOOKUP(B400,'02. MM-KLH'!$B$6:$T$823,14,0),"")</f>
        <v/>
      </c>
      <c r="P400" s="80" t="str">
        <f>IFERROR(VLOOKUP(B400,'02. MM-KLH'!$B$6:$T$823,15,0),"")</f>
        <v/>
      </c>
      <c r="Q400" s="80" t="str">
        <f>IFERROR(VLOOKUP(B400,'02. MM-KLH'!$B$6:$T$823,16,0),"")</f>
        <v/>
      </c>
      <c r="R400" s="106" t="str">
        <f>IFERROR(VLOOKUP(B400,'02. MM-KLH'!$B$6:$T$823,17,0),"")</f>
        <v/>
      </c>
      <c r="S400" s="108" t="str">
        <f>IFERROR(VLOOKUP(B400,'02. MM-KLH'!$B$6:$T$823,18,0),"")</f>
        <v/>
      </c>
      <c r="T400" s="110" t="str">
        <f>IFERROR(VLOOKUP(B400,'02. MM-KLH'!$B$6:$T$823,19,0),"")</f>
        <v/>
      </c>
      <c r="U400" s="130"/>
    </row>
    <row r="401" ht="13.5" customHeight="1">
      <c r="A401" s="82" t="s">
        <v>76</v>
      </c>
      <c r="B401" s="83" t="s">
        <v>5804</v>
      </c>
      <c r="C401" s="85">
        <f>COUNTA(B402:B408)</f>
        <v>6</v>
      </c>
      <c r="D401" s="85" t="str">
        <f>IFERROR(VLOOKUP(B401,'02. MM-KLH'!$B$6:$T$823,3,0),"")</f>
        <v/>
      </c>
      <c r="E401" s="85" t="str">
        <f>IFERROR(VLOOKUP(B401,'02. MM-KLH'!$B$6:$T$823,4,0),"")</f>
        <v/>
      </c>
      <c r="F401" s="85"/>
      <c r="G401" s="85" t="str">
        <f>IFERROR(VLOOKUP(B401,'02. MM-KLH'!$B$6:$T$823,6,0),"")</f>
        <v/>
      </c>
      <c r="H401" s="85"/>
      <c r="I401" s="85" t="str">
        <f>IFERROR(VLOOKUP(B401,'02. MM-KLH'!$B$6:$T$823,8,0),"")</f>
        <v/>
      </c>
      <c r="J401" s="85" t="str">
        <f>IFERROR(VLOOKUP(B401,'02. MM-KLH'!$B$6:$T$823,9,0),"")</f>
        <v/>
      </c>
      <c r="K401" s="85" t="str">
        <f>IFERROR(VLOOKUP(B401,'02. MM-KLH'!$B$6:$T$823,10,0),"")</f>
        <v/>
      </c>
      <c r="L401" s="85" t="str">
        <f>IFERROR(VLOOKUP(B401,'02. MM-KLH'!$B$6:$T$823,11,0),"")</f>
        <v/>
      </c>
      <c r="M401" s="85" t="str">
        <f>IFERROR(VLOOKUP(B401,'02. MM-KLH'!$B$6:$T$823,12,0),"")</f>
        <v/>
      </c>
      <c r="N401" s="85" t="str">
        <f>IFERROR(VLOOKUP(B401,'02. MM-KLH'!$B$6:$T$823,13,0),"")</f>
        <v/>
      </c>
      <c r="O401" s="85" t="str">
        <f>IFERROR(VLOOKUP(B401,'02. MM-KLH'!$B$6:$T$823,14,0),"")</f>
        <v/>
      </c>
      <c r="P401" s="85" t="str">
        <f>IFERROR(VLOOKUP(B401,'02. MM-KLH'!$B$6:$T$823,15,0),"")</f>
        <v/>
      </c>
      <c r="Q401" s="85" t="str">
        <f>IFERROR(VLOOKUP(B401,'02. MM-KLH'!$B$6:$T$823,16,0),"")</f>
        <v/>
      </c>
      <c r="R401" s="85" t="str">
        <f>IFERROR(VLOOKUP(B401,'02. MM-KLH'!$B$6:$T$823,17,0),"")</f>
        <v/>
      </c>
      <c r="S401" s="85" t="str">
        <f>IFERROR(VLOOKUP(B401,'02. MM-KLH'!$B$6:$T$823,18,0),"")</f>
        <v/>
      </c>
      <c r="T401" s="85" t="str">
        <f>IFERROR(VLOOKUP(B401,'02. MM-KLH'!$B$6:$T$823,19,0),"")</f>
        <v/>
      </c>
      <c r="U401" s="85" t="str">
        <f>IFERROR(VLOOKUP(C401,'02. MM-KLH'!$B$6:$T$823,19,0),"")</f>
        <v/>
      </c>
    </row>
    <row r="402" ht="13.5" customHeight="1">
      <c r="A402" s="80">
        <v>1.0</v>
      </c>
      <c r="B402" s="268" t="s">
        <v>2412</v>
      </c>
      <c r="C402" s="261" t="str">
        <f>IFERROR(VLOOKUP(B402,'02. MM-KLH'!$B$6:$T$823,2,0),"")</f>
        <v>92C-14772</v>
      </c>
      <c r="D402" s="95" t="str">
        <f>IFERROR(VLOOKUP(B402,'02. MM-KLH'!$B$6:$T$823,3,0),"")</f>
        <v>A23-COT-001</v>
      </c>
      <c r="E402" s="86" t="str">
        <f>IFERROR(VLOOKUP(B402,'02. MM-KLH'!$B$6:$T$823,4,0),"")</f>
        <v/>
      </c>
      <c r="F402" s="268"/>
      <c r="G402" s="86" t="str">
        <f>IFERROR(VLOOKUP(B402,'02. MM-KLH'!$B$6:$T$823,6,0),"")</f>
        <v>Xe container FUSO FZ49</v>
      </c>
      <c r="H402" s="80" t="s">
        <v>5807</v>
      </c>
      <c r="I402" s="80" t="str">
        <f>IFERROR(VLOOKUP(B402,'02. MM-KLH'!$B$6:$T$823,8,0),"")</f>
        <v>Phòng GNVC</v>
      </c>
      <c r="J402" s="99" t="str">
        <f>IFERROR(VLOOKUP(B402,'02. MM-KLH'!$B$6:$T$823,9,0),"")</f>
        <v/>
      </c>
      <c r="K402" s="80" t="str">
        <f>IFERROR(VLOOKUP(B402,'02. MM-KLH'!$B$6:$T$823,10,0),"")</f>
        <v/>
      </c>
      <c r="L402" s="102" t="str">
        <f>IFERROR(VLOOKUP(B402,'02. MM-KLH'!$B$6:$T$823,11,0),"")</f>
        <v/>
      </c>
      <c r="M402" s="143" t="str">
        <f>IFERROR(VLOOKUP(B402,'02. MM-KLH'!$B$6:$T$823,12,0),"")</f>
        <v/>
      </c>
      <c r="N402" s="108" t="str">
        <f>IFERROR(VLOOKUP(B402,'02. MM-KLH'!$B$6:$T$823,13,0),"")</f>
        <v>FUSO</v>
      </c>
      <c r="O402" s="108" t="str">
        <f>IFERROR(VLOOKUP(B402,'02. MM-KLH'!$B$6:$T$823,14,0),"")</f>
        <v/>
      </c>
      <c r="P402" s="80" t="str">
        <f>IFERROR(VLOOKUP(B402,'02. MM-KLH'!$B$6:$T$823,15,0),"")</f>
        <v/>
      </c>
      <c r="Q402" s="80" t="str">
        <f>IFERROR(VLOOKUP(B402,'02. MM-KLH'!$B$6:$T$823,16,0),"")</f>
        <v>FZ49</v>
      </c>
      <c r="R402" s="106" t="str">
        <f>IFERROR(VLOOKUP(B402,'02. MM-KLH'!$B$6:$T$823,17,0),"")</f>
        <v>280HP</v>
      </c>
      <c r="S402" s="108" t="str">
        <f>IFERROR(VLOOKUP(B402,'02. MM-KLH'!$B$6:$T$823,18,0),"")</f>
        <v>MEC2812SCGP028677</v>
      </c>
      <c r="T402" s="110" t="str">
        <f>IFERROR(VLOOKUP(B402,'02. MM-KLH'!$B$6:$T$823,19,0),"")</f>
        <v/>
      </c>
      <c r="U402" s="130" t="s">
        <v>79</v>
      </c>
    </row>
    <row r="403" ht="13.5" customHeight="1">
      <c r="A403" s="80">
        <f t="shared" ref="A403:A407" si="18">A402+1</f>
        <v>2</v>
      </c>
      <c r="B403" s="268" t="s">
        <v>2420</v>
      </c>
      <c r="C403" s="261" t="str">
        <f>IFERROR(VLOOKUP(B403,'02. MM-KLH'!$B$6:$T$823,2,0),"")</f>
        <v>92C-14728</v>
      </c>
      <c r="D403" s="95" t="str">
        <f>IFERROR(VLOOKUP(B403,'02. MM-KLH'!$B$6:$T$823,3,0),"")</f>
        <v>A23-COT-002</v>
      </c>
      <c r="E403" s="86" t="str">
        <f>IFERROR(VLOOKUP(B403,'02. MM-KLH'!$B$6:$T$823,4,0),"")</f>
        <v/>
      </c>
      <c r="F403" s="268"/>
      <c r="G403" s="86" t="str">
        <f>IFERROR(VLOOKUP(B403,'02. MM-KLH'!$B$6:$T$823,6,0),"")</f>
        <v>Xe container FUSO FZ49</v>
      </c>
      <c r="H403" s="80" t="s">
        <v>5807</v>
      </c>
      <c r="I403" s="80" t="str">
        <f>IFERROR(VLOOKUP(B403,'02. MM-KLH'!$B$6:$T$823,8,0),"")</f>
        <v>Phòng GNVC</v>
      </c>
      <c r="J403" s="99" t="str">
        <f>IFERROR(VLOOKUP(B403,'02. MM-KLH'!$B$6:$T$823,9,0),"")</f>
        <v/>
      </c>
      <c r="K403" s="80" t="str">
        <f>IFERROR(VLOOKUP(B403,'02. MM-KLH'!$B$6:$T$823,10,0),"")</f>
        <v/>
      </c>
      <c r="L403" s="102" t="str">
        <f>IFERROR(VLOOKUP(B403,'02. MM-KLH'!$B$6:$T$823,11,0),"")</f>
        <v/>
      </c>
      <c r="M403" s="143" t="str">
        <f>IFERROR(VLOOKUP(B403,'02. MM-KLH'!$B$6:$T$823,12,0),"")</f>
        <v/>
      </c>
      <c r="N403" s="108" t="str">
        <f>IFERROR(VLOOKUP(B403,'02. MM-KLH'!$B$6:$T$823,13,0),"")</f>
        <v>FUSO</v>
      </c>
      <c r="O403" s="108" t="str">
        <f>IFERROR(VLOOKUP(B403,'02. MM-KLH'!$B$6:$T$823,14,0),"")</f>
        <v/>
      </c>
      <c r="P403" s="80" t="str">
        <f>IFERROR(VLOOKUP(B403,'02. MM-KLH'!$B$6:$T$823,15,0),"")</f>
        <v/>
      </c>
      <c r="Q403" s="80" t="str">
        <f>IFERROR(VLOOKUP(B403,'02. MM-KLH'!$B$6:$T$823,16,0),"")</f>
        <v>FZ49</v>
      </c>
      <c r="R403" s="106" t="str">
        <f>IFERROR(VLOOKUP(B403,'02. MM-KLH'!$B$6:$T$823,17,0),"")</f>
        <v>280HP</v>
      </c>
      <c r="S403" s="108" t="str">
        <f>IFERROR(VLOOKUP(B403,'02. MM-KLH'!$B$6:$T$823,18,0),"")</f>
        <v>MEC2812SCGP028311</v>
      </c>
      <c r="T403" s="110" t="str">
        <f>IFERROR(VLOOKUP(B403,'02. MM-KLH'!$B$6:$T$823,19,0),"")</f>
        <v/>
      </c>
      <c r="U403" s="130" t="s">
        <v>79</v>
      </c>
    </row>
    <row r="404" ht="13.5" customHeight="1">
      <c r="A404" s="80">
        <f t="shared" si="18"/>
        <v>3</v>
      </c>
      <c r="B404" s="268" t="s">
        <v>2423</v>
      </c>
      <c r="C404" s="261" t="str">
        <f>IFERROR(VLOOKUP(B404,'02. MM-KLH'!$B$6:$T$823,2,0),"")</f>
        <v>92C-14749</v>
      </c>
      <c r="D404" s="95" t="str">
        <f>IFERROR(VLOOKUP(B404,'02. MM-KLH'!$B$6:$T$823,3,0),"")</f>
        <v>A23-COT-003</v>
      </c>
      <c r="E404" s="86" t="str">
        <f>IFERROR(VLOOKUP(B404,'02. MM-KLH'!$B$6:$T$823,4,0),"")</f>
        <v/>
      </c>
      <c r="F404" s="268"/>
      <c r="G404" s="86" t="str">
        <f>IFERROR(VLOOKUP(B404,'02. MM-KLH'!$B$6:$T$823,6,0),"")</f>
        <v>Xe container FUSO FZ49</v>
      </c>
      <c r="H404" s="80" t="s">
        <v>5807</v>
      </c>
      <c r="I404" s="80" t="str">
        <f>IFERROR(VLOOKUP(B404,'02. MM-KLH'!$B$6:$T$823,8,0),"")</f>
        <v>Phòng GNVC</v>
      </c>
      <c r="J404" s="99" t="str">
        <f>IFERROR(VLOOKUP(B404,'02. MM-KLH'!$B$6:$T$823,9,0),"")</f>
        <v/>
      </c>
      <c r="K404" s="80" t="str">
        <f>IFERROR(VLOOKUP(B404,'02. MM-KLH'!$B$6:$T$823,10,0),"")</f>
        <v/>
      </c>
      <c r="L404" s="102" t="str">
        <f>IFERROR(VLOOKUP(B404,'02. MM-KLH'!$B$6:$T$823,11,0),"")</f>
        <v/>
      </c>
      <c r="M404" s="143" t="str">
        <f>IFERROR(VLOOKUP(B404,'02. MM-KLH'!$B$6:$T$823,12,0),"")</f>
        <v/>
      </c>
      <c r="N404" s="108" t="str">
        <f>IFERROR(VLOOKUP(B404,'02. MM-KLH'!$B$6:$T$823,13,0),"")</f>
        <v>FUSO</v>
      </c>
      <c r="O404" s="108" t="str">
        <f>IFERROR(VLOOKUP(B404,'02. MM-KLH'!$B$6:$T$823,14,0),"")</f>
        <v/>
      </c>
      <c r="P404" s="80" t="str">
        <f>IFERROR(VLOOKUP(B404,'02. MM-KLH'!$B$6:$T$823,15,0),"")</f>
        <v/>
      </c>
      <c r="Q404" s="80" t="str">
        <f>IFERROR(VLOOKUP(B404,'02. MM-KLH'!$B$6:$T$823,16,0),"")</f>
        <v>FZ49</v>
      </c>
      <c r="R404" s="106" t="str">
        <f>IFERROR(VLOOKUP(B404,'02. MM-KLH'!$B$6:$T$823,17,0),"")</f>
        <v>280HP</v>
      </c>
      <c r="S404" s="108" t="str">
        <f>IFERROR(VLOOKUP(B404,'02. MM-KLH'!$B$6:$T$823,18,0),"")</f>
        <v>MEC2812SCGP029295</v>
      </c>
      <c r="T404" s="110" t="str">
        <f>IFERROR(VLOOKUP(B404,'02. MM-KLH'!$B$6:$T$823,19,0),"")</f>
        <v/>
      </c>
      <c r="U404" s="130" t="s">
        <v>79</v>
      </c>
    </row>
    <row r="405" ht="13.5" customHeight="1">
      <c r="A405" s="80">
        <f t="shared" si="18"/>
        <v>4</v>
      </c>
      <c r="B405" s="268" t="s">
        <v>2426</v>
      </c>
      <c r="C405" s="261" t="str">
        <f>IFERROR(VLOOKUP(B405,'02. MM-KLH'!$B$6:$T$823,2,0),"")</f>
        <v>92C-14715</v>
      </c>
      <c r="D405" s="95" t="str">
        <f>IFERROR(VLOOKUP(B405,'02. MM-KLH'!$B$6:$T$823,3,0),"")</f>
        <v>A23-COT-004</v>
      </c>
      <c r="E405" s="86" t="str">
        <f>IFERROR(VLOOKUP(B405,'02. MM-KLH'!$B$6:$T$823,4,0),"")</f>
        <v/>
      </c>
      <c r="F405" s="268"/>
      <c r="G405" s="86" t="str">
        <f>IFERROR(VLOOKUP(B405,'02. MM-KLH'!$B$6:$T$823,6,0),"")</f>
        <v>Xe container FUSO FZ49</v>
      </c>
      <c r="H405" s="80" t="s">
        <v>5807</v>
      </c>
      <c r="I405" s="80" t="str">
        <f>IFERROR(VLOOKUP(B405,'02. MM-KLH'!$B$6:$T$823,8,0),"")</f>
        <v>Phòng GNVC</v>
      </c>
      <c r="J405" s="99" t="str">
        <f>IFERROR(VLOOKUP(B405,'02. MM-KLH'!$B$6:$T$823,9,0),"")</f>
        <v/>
      </c>
      <c r="K405" s="80" t="str">
        <f>IFERROR(VLOOKUP(B405,'02. MM-KLH'!$B$6:$T$823,10,0),"")</f>
        <v/>
      </c>
      <c r="L405" s="102" t="str">
        <f>IFERROR(VLOOKUP(B405,'02. MM-KLH'!$B$6:$T$823,11,0),"")</f>
        <v/>
      </c>
      <c r="M405" s="143" t="str">
        <f>IFERROR(VLOOKUP(B405,'02. MM-KLH'!$B$6:$T$823,12,0),"")</f>
        <v/>
      </c>
      <c r="N405" s="108" t="str">
        <f>IFERROR(VLOOKUP(B405,'02. MM-KLH'!$B$6:$T$823,13,0),"")</f>
        <v>FUSO</v>
      </c>
      <c r="O405" s="108" t="str">
        <f>IFERROR(VLOOKUP(B405,'02. MM-KLH'!$B$6:$T$823,14,0),"")</f>
        <v/>
      </c>
      <c r="P405" s="80" t="str">
        <f>IFERROR(VLOOKUP(B405,'02. MM-KLH'!$B$6:$T$823,15,0),"")</f>
        <v/>
      </c>
      <c r="Q405" s="80" t="str">
        <f>IFERROR(VLOOKUP(B405,'02. MM-KLH'!$B$6:$T$823,16,0),"")</f>
        <v>FZ49</v>
      </c>
      <c r="R405" s="106" t="str">
        <f>IFERROR(VLOOKUP(B405,'02. MM-KLH'!$B$6:$T$823,17,0),"")</f>
        <v>280HP</v>
      </c>
      <c r="S405" s="108" t="str">
        <f>IFERROR(VLOOKUP(B405,'02. MM-KLH'!$B$6:$T$823,18,0),"")</f>
        <v>MEC2812SCGP028625</v>
      </c>
      <c r="T405" s="110" t="str">
        <f>IFERROR(VLOOKUP(B405,'02. MM-KLH'!$B$6:$T$823,19,0),"")</f>
        <v/>
      </c>
      <c r="U405" s="130" t="s">
        <v>79</v>
      </c>
    </row>
    <row r="406" ht="13.5" customHeight="1">
      <c r="A406" s="80">
        <f t="shared" si="18"/>
        <v>5</v>
      </c>
      <c r="B406" s="268" t="s">
        <v>2429</v>
      </c>
      <c r="C406" s="261" t="str">
        <f>IFERROR(VLOOKUP(B406,'02. MM-KLH'!$B$6:$T$823,2,0),"")</f>
        <v>92C-14689</v>
      </c>
      <c r="D406" s="95" t="str">
        <f>IFERROR(VLOOKUP(B406,'02. MM-KLH'!$B$6:$T$823,3,0),"")</f>
        <v>A23-COT-005</v>
      </c>
      <c r="E406" s="86" t="str">
        <f>IFERROR(VLOOKUP(B406,'02. MM-KLH'!$B$6:$T$823,4,0),"")</f>
        <v/>
      </c>
      <c r="F406" s="268"/>
      <c r="G406" s="86" t="str">
        <f>IFERROR(VLOOKUP(B406,'02. MM-KLH'!$B$6:$T$823,6,0),"")</f>
        <v>Xe container FUSO FZ49</v>
      </c>
      <c r="H406" s="80" t="s">
        <v>5807</v>
      </c>
      <c r="I406" s="80" t="str">
        <f>IFERROR(VLOOKUP(B406,'02. MM-KLH'!$B$6:$T$823,8,0),"")</f>
        <v>Phòng GNVC</v>
      </c>
      <c r="J406" s="99" t="str">
        <f>IFERROR(VLOOKUP(B406,'02. MM-KLH'!$B$6:$T$823,9,0),"")</f>
        <v/>
      </c>
      <c r="K406" s="80" t="str">
        <f>IFERROR(VLOOKUP(B406,'02. MM-KLH'!$B$6:$T$823,10,0),"")</f>
        <v/>
      </c>
      <c r="L406" s="102" t="str">
        <f>IFERROR(VLOOKUP(B406,'02. MM-KLH'!$B$6:$T$823,11,0),"")</f>
        <v/>
      </c>
      <c r="M406" s="143" t="str">
        <f>IFERROR(VLOOKUP(B406,'02. MM-KLH'!$B$6:$T$823,12,0),"")</f>
        <v/>
      </c>
      <c r="N406" s="108" t="str">
        <f>IFERROR(VLOOKUP(B406,'02. MM-KLH'!$B$6:$T$823,13,0),"")</f>
        <v>FUSO</v>
      </c>
      <c r="O406" s="108" t="str">
        <f>IFERROR(VLOOKUP(B406,'02. MM-KLH'!$B$6:$T$823,14,0),"")</f>
        <v/>
      </c>
      <c r="P406" s="80" t="str">
        <f>IFERROR(VLOOKUP(B406,'02. MM-KLH'!$B$6:$T$823,15,0),"")</f>
        <v/>
      </c>
      <c r="Q406" s="80" t="str">
        <f>IFERROR(VLOOKUP(B406,'02. MM-KLH'!$B$6:$T$823,16,0),"")</f>
        <v>FZ49</v>
      </c>
      <c r="R406" s="106" t="str">
        <f>IFERROR(VLOOKUP(B406,'02. MM-KLH'!$B$6:$T$823,17,0),"")</f>
        <v>280HP</v>
      </c>
      <c r="S406" s="108" t="str">
        <f>IFERROR(VLOOKUP(B406,'02. MM-KLH'!$B$6:$T$823,18,0),"")</f>
        <v>MEC2812SCGP028373</v>
      </c>
      <c r="T406" s="110" t="str">
        <f>IFERROR(VLOOKUP(B406,'02. MM-KLH'!$B$6:$T$823,19,0),"")</f>
        <v/>
      </c>
      <c r="U406" s="130" t="s">
        <v>79</v>
      </c>
    </row>
    <row r="407" ht="13.5" customHeight="1">
      <c r="A407" s="80">
        <f t="shared" si="18"/>
        <v>6</v>
      </c>
      <c r="B407" s="268" t="s">
        <v>2432</v>
      </c>
      <c r="C407" s="261" t="str">
        <f>IFERROR(VLOOKUP(B407,'02. MM-KLH'!$B$6:$T$823,2,0),"")</f>
        <v>92C-14630</v>
      </c>
      <c r="D407" s="95" t="str">
        <f>IFERROR(VLOOKUP(B407,'02. MM-KLH'!$B$6:$T$823,3,0),"")</f>
        <v>A23-COT-006</v>
      </c>
      <c r="E407" s="86" t="str">
        <f>IFERROR(VLOOKUP(B407,'02. MM-KLH'!$B$6:$T$823,4,0),"")</f>
        <v/>
      </c>
      <c r="F407" s="268"/>
      <c r="G407" s="86" t="str">
        <f>IFERROR(VLOOKUP(B407,'02. MM-KLH'!$B$6:$T$823,6,0),"")</f>
        <v>Xe container FUSO FZ49</v>
      </c>
      <c r="H407" s="80" t="s">
        <v>5807</v>
      </c>
      <c r="I407" s="80" t="str">
        <f>IFERROR(VLOOKUP(B407,'02. MM-KLH'!$B$6:$T$823,8,0),"")</f>
        <v>Phòng GNVC</v>
      </c>
      <c r="J407" s="99" t="str">
        <f>IFERROR(VLOOKUP(B407,'02. MM-KLH'!$B$6:$T$823,9,0),"")</f>
        <v/>
      </c>
      <c r="K407" s="80" t="str">
        <f>IFERROR(VLOOKUP(B407,'02. MM-KLH'!$B$6:$T$823,10,0),"")</f>
        <v/>
      </c>
      <c r="L407" s="102" t="str">
        <f>IFERROR(VLOOKUP(B407,'02. MM-KLH'!$B$6:$T$823,11,0),"")</f>
        <v/>
      </c>
      <c r="M407" s="143" t="str">
        <f>IFERROR(VLOOKUP(B407,'02. MM-KLH'!$B$6:$T$823,12,0),"")</f>
        <v/>
      </c>
      <c r="N407" s="108" t="str">
        <f>IFERROR(VLOOKUP(B407,'02. MM-KLH'!$B$6:$T$823,13,0),"")</f>
        <v>FUSO</v>
      </c>
      <c r="O407" s="108" t="str">
        <f>IFERROR(VLOOKUP(B407,'02. MM-KLH'!$B$6:$T$823,14,0),"")</f>
        <v/>
      </c>
      <c r="P407" s="80" t="str">
        <f>IFERROR(VLOOKUP(B407,'02. MM-KLH'!$B$6:$T$823,15,0),"")</f>
        <v/>
      </c>
      <c r="Q407" s="80" t="str">
        <f>IFERROR(VLOOKUP(B407,'02. MM-KLH'!$B$6:$T$823,16,0),"")</f>
        <v>FZ49</v>
      </c>
      <c r="R407" s="106" t="str">
        <f>IFERROR(VLOOKUP(B407,'02. MM-KLH'!$B$6:$T$823,17,0),"")</f>
        <v>280HP</v>
      </c>
      <c r="S407" s="108" t="str">
        <f>IFERROR(VLOOKUP(B407,'02. MM-KLH'!$B$6:$T$823,18,0),"")</f>
        <v>MEC2812SCGP028586</v>
      </c>
      <c r="T407" s="110" t="str">
        <f>IFERROR(VLOOKUP(B407,'02. MM-KLH'!$B$6:$T$823,19,0),"")</f>
        <v>Thay cho TND-COT-006</v>
      </c>
      <c r="U407" s="130" t="s">
        <v>79</v>
      </c>
    </row>
    <row r="408" ht="13.5" customHeight="1">
      <c r="A408" s="80"/>
      <c r="B408" s="115"/>
      <c r="C408" s="190"/>
      <c r="D408" s="95" t="str">
        <f>IFERROR(VLOOKUP(B408,'02. MM-KLH'!$B$6:$T$823,3,0),"")</f>
        <v/>
      </c>
      <c r="E408" s="86" t="str">
        <f>IFERROR(VLOOKUP(B408,'02. MM-KLH'!$B$6:$T$823,4,0),"")</f>
        <v/>
      </c>
      <c r="F408" s="187"/>
      <c r="G408" s="86" t="str">
        <f>IFERROR(VLOOKUP(B408,'02. MM-KLH'!$B$6:$T$823,6,0),"")</f>
        <v/>
      </c>
      <c r="H408" s="80"/>
      <c r="I408" s="80" t="str">
        <f>IFERROR(VLOOKUP(B408,'02. MM-KLH'!$B$6:$T$823,8,0),"")</f>
        <v/>
      </c>
      <c r="J408" s="99" t="str">
        <f>IFERROR(VLOOKUP(B408,'02. MM-KLH'!$B$6:$T$823,9,0),"")</f>
        <v/>
      </c>
      <c r="K408" s="80" t="str">
        <f>IFERROR(VLOOKUP(B408,'02. MM-KLH'!$B$6:$T$823,10,0),"")</f>
        <v/>
      </c>
      <c r="L408" s="102" t="str">
        <f>IFERROR(VLOOKUP(B408,'02. MM-KLH'!$B$6:$T$823,11,0),"")</f>
        <v/>
      </c>
      <c r="M408" s="143" t="str">
        <f>IFERROR(VLOOKUP(B408,'02. MM-KLH'!$B$6:$T$823,12,0),"")</f>
        <v/>
      </c>
      <c r="N408" s="108" t="str">
        <f>IFERROR(VLOOKUP(B408,'02. MM-KLH'!$B$6:$T$823,13,0),"")</f>
        <v/>
      </c>
      <c r="O408" s="108" t="str">
        <f>IFERROR(VLOOKUP(B408,'02. MM-KLH'!$B$6:$T$823,14,0),"")</f>
        <v/>
      </c>
      <c r="P408" s="80" t="str">
        <f>IFERROR(VLOOKUP(B408,'02. MM-KLH'!$B$6:$T$823,15,0),"")</f>
        <v/>
      </c>
      <c r="Q408" s="80" t="str">
        <f>IFERROR(VLOOKUP(B408,'02. MM-KLH'!$B$6:$T$823,16,0),"")</f>
        <v/>
      </c>
      <c r="R408" s="106" t="str">
        <f>IFERROR(VLOOKUP(B408,'02. MM-KLH'!$B$6:$T$823,17,0),"")</f>
        <v/>
      </c>
      <c r="S408" s="108" t="str">
        <f>IFERROR(VLOOKUP(B408,'02. MM-KLH'!$B$6:$T$823,18,0),"")</f>
        <v/>
      </c>
      <c r="T408" s="110" t="str">
        <f>IFERROR(VLOOKUP(B408,'02. MM-KLH'!$B$6:$T$823,19,0),"")</f>
        <v/>
      </c>
      <c r="U408" s="130"/>
    </row>
    <row r="409" ht="13.5" customHeight="1">
      <c r="A409" s="82" t="s">
        <v>76</v>
      </c>
      <c r="B409" s="83" t="s">
        <v>5811</v>
      </c>
      <c r="C409" s="85"/>
      <c r="D409" s="85" t="str">
        <f>IFERROR(VLOOKUP(B409,'02. MM-KLH'!$B$6:$T$823,3,0),"")</f>
        <v/>
      </c>
      <c r="E409" s="85" t="str">
        <f>IFERROR(VLOOKUP(B409,'02. MM-KLH'!$B$6:$T$823,4,0),"")</f>
        <v/>
      </c>
      <c r="F409" s="85"/>
      <c r="G409" s="85" t="str">
        <f>IFERROR(VLOOKUP(B409,'02. MM-KLH'!$B$6:$T$823,6,0),"")</f>
        <v/>
      </c>
      <c r="H409" s="85"/>
      <c r="I409" s="85" t="str">
        <f>IFERROR(VLOOKUP(B409,'02. MM-KLH'!$B$6:$T$823,8,0),"")</f>
        <v/>
      </c>
      <c r="J409" s="85" t="str">
        <f>IFERROR(VLOOKUP(B409,'02. MM-KLH'!$B$6:$T$823,9,0),"")</f>
        <v/>
      </c>
      <c r="K409" s="85" t="str">
        <f>IFERROR(VLOOKUP(B409,'02. MM-KLH'!$B$6:$T$823,10,0),"")</f>
        <v/>
      </c>
      <c r="L409" s="85" t="str">
        <f>IFERROR(VLOOKUP(B409,'02. MM-KLH'!$B$6:$T$823,11,0),"")</f>
        <v/>
      </c>
      <c r="M409" s="85" t="str">
        <f>IFERROR(VLOOKUP(B409,'02. MM-KLH'!$B$6:$T$823,12,0),"")</f>
        <v/>
      </c>
      <c r="N409" s="85" t="str">
        <f>IFERROR(VLOOKUP(B409,'02. MM-KLH'!$B$6:$T$823,13,0),"")</f>
        <v/>
      </c>
      <c r="O409" s="85" t="str">
        <f>IFERROR(VLOOKUP(B409,'02. MM-KLH'!$B$6:$T$823,14,0),"")</f>
        <v/>
      </c>
      <c r="P409" s="85" t="str">
        <f>IFERROR(VLOOKUP(B409,'02. MM-KLH'!$B$6:$T$823,15,0),"")</f>
        <v/>
      </c>
      <c r="Q409" s="85" t="str">
        <f>IFERROR(VLOOKUP(B409,'02. MM-KLH'!$B$6:$T$823,16,0),"")</f>
        <v/>
      </c>
      <c r="R409" s="85" t="str">
        <f>IFERROR(VLOOKUP(B409,'02. MM-KLH'!$B$6:$T$823,17,0),"")</f>
        <v/>
      </c>
      <c r="S409" s="85" t="str">
        <f>IFERROR(VLOOKUP(B409,'02. MM-KLH'!$B$6:$T$823,18,0),"")</f>
        <v/>
      </c>
      <c r="T409" s="85" t="str">
        <f>IFERROR(VLOOKUP(B409,'02. MM-KLH'!$B$6:$T$823,19,0),"")</f>
        <v/>
      </c>
      <c r="U409" s="85" t="str">
        <f>IFERROR(VLOOKUP(C409,'02. MM-KLH'!$B$6:$T$823,19,0),"")</f>
        <v/>
      </c>
    </row>
    <row r="410" ht="13.5" hidden="1" customHeight="1">
      <c r="A410" s="80"/>
      <c r="B410" s="115"/>
      <c r="C410" s="84" t="str">
        <f>IFERROR(VLOOKUP(B410,'02. MM-KLH'!$B$6:$T$823,2,0),"")</f>
        <v/>
      </c>
      <c r="D410" s="95" t="str">
        <f>IFERROR(VLOOKUP(B410,'02. MM-KLH'!$B$6:$T$823,3,0),"")</f>
        <v/>
      </c>
      <c r="E410" s="86" t="str">
        <f>IFERROR(VLOOKUP(B410,'02. MM-KLH'!$B$6:$T$823,4,0),"")</f>
        <v/>
      </c>
      <c r="F410" s="115"/>
      <c r="G410" s="86" t="str">
        <f>IFERROR(VLOOKUP(B410,'02. MM-KLH'!$B$6:$T$823,6,0),"")</f>
        <v/>
      </c>
      <c r="H410" s="80" t="s">
        <v>5813</v>
      </c>
      <c r="I410" s="80" t="str">
        <f>IFERROR(VLOOKUP(B410,'02. MM-KLH'!$B$6:$T$823,8,0),"")</f>
        <v/>
      </c>
      <c r="J410" s="99" t="str">
        <f>IFERROR(VLOOKUP(B410,'02. MM-KLH'!$B$6:$T$823,9,0),"")</f>
        <v/>
      </c>
      <c r="K410" s="80" t="str">
        <f>IFERROR(VLOOKUP(B410,'02. MM-KLH'!$B$6:$T$823,10,0),"")</f>
        <v/>
      </c>
      <c r="L410" s="102" t="str">
        <f>IFERROR(VLOOKUP(B410,'02. MM-KLH'!$B$6:$T$823,11,0),"")</f>
        <v/>
      </c>
      <c r="M410" s="143" t="str">
        <f>IFERROR(VLOOKUP(B410,'02. MM-KLH'!$B$6:$T$823,12,0),"")</f>
        <v/>
      </c>
      <c r="N410" s="108" t="str">
        <f>IFERROR(VLOOKUP(B410,'02. MM-KLH'!$B$6:$T$823,13,0),"")</f>
        <v/>
      </c>
      <c r="O410" s="108" t="str">
        <f>IFERROR(VLOOKUP(B410,'02. MM-KLH'!$B$6:$T$823,14,0),"")</f>
        <v/>
      </c>
      <c r="P410" s="80" t="str">
        <f>IFERROR(VLOOKUP(B410,'02. MM-KLH'!$B$6:$T$823,15,0),"")</f>
        <v/>
      </c>
      <c r="Q410" s="80" t="str">
        <f>IFERROR(VLOOKUP(B410,'02. MM-KLH'!$B$6:$T$823,16,0),"")</f>
        <v/>
      </c>
      <c r="R410" s="106" t="str">
        <f>IFERROR(VLOOKUP(B410,'02. MM-KLH'!$B$6:$T$823,17,0),"")</f>
        <v/>
      </c>
      <c r="S410" s="108" t="str">
        <f>IFERROR(VLOOKUP(B410,'02. MM-KLH'!$B$6:$T$823,18,0),"")</f>
        <v/>
      </c>
      <c r="T410" s="110" t="str">
        <f>IFERROR(VLOOKUP(B410,'02. MM-KLH'!$B$6:$T$823,19,0),"")</f>
        <v/>
      </c>
      <c r="U410" s="130" t="s">
        <v>79</v>
      </c>
    </row>
    <row r="411" ht="13.5" hidden="1" customHeight="1">
      <c r="A411" s="80"/>
      <c r="B411" s="115"/>
      <c r="C411" s="84" t="str">
        <f>IFERROR(VLOOKUP(B411,'02. MM-KLH'!$B$6:$T$823,2,0),"")</f>
        <v/>
      </c>
      <c r="D411" s="95" t="str">
        <f>IFERROR(VLOOKUP(B411,'02. MM-KLH'!$B$6:$T$823,3,0),"")</f>
        <v/>
      </c>
      <c r="E411" s="86" t="str">
        <f>IFERROR(VLOOKUP(B411,'02. MM-KLH'!$B$6:$T$823,4,0),"")</f>
        <v/>
      </c>
      <c r="F411" s="115"/>
      <c r="G411" s="86" t="str">
        <f>IFERROR(VLOOKUP(B411,'02. MM-KLH'!$B$6:$T$823,6,0),"")</f>
        <v/>
      </c>
      <c r="H411" s="80" t="s">
        <v>5813</v>
      </c>
      <c r="I411" s="80" t="str">
        <f>IFERROR(VLOOKUP(B411,'02. MM-KLH'!$B$6:$T$823,8,0),"")</f>
        <v/>
      </c>
      <c r="J411" s="99" t="str">
        <f>IFERROR(VLOOKUP(B411,'02. MM-KLH'!$B$6:$T$823,9,0),"")</f>
        <v/>
      </c>
      <c r="K411" s="80" t="str">
        <f>IFERROR(VLOOKUP(B411,'02. MM-KLH'!$B$6:$T$823,10,0),"")</f>
        <v/>
      </c>
      <c r="L411" s="102" t="str">
        <f>IFERROR(VLOOKUP(B411,'02. MM-KLH'!$B$6:$T$823,11,0),"")</f>
        <v/>
      </c>
      <c r="M411" s="143" t="str">
        <f>IFERROR(VLOOKUP(B411,'02. MM-KLH'!$B$6:$T$823,12,0),"")</f>
        <v/>
      </c>
      <c r="N411" s="108" t="str">
        <f>IFERROR(VLOOKUP(B411,'02. MM-KLH'!$B$6:$T$823,13,0),"")</f>
        <v/>
      </c>
      <c r="O411" s="108" t="str">
        <f>IFERROR(VLOOKUP(B411,'02. MM-KLH'!$B$6:$T$823,14,0),"")</f>
        <v/>
      </c>
      <c r="P411" s="80" t="str">
        <f>IFERROR(VLOOKUP(B411,'02. MM-KLH'!$B$6:$T$823,15,0),"")</f>
        <v/>
      </c>
      <c r="Q411" s="80" t="str">
        <f>IFERROR(VLOOKUP(B411,'02. MM-KLH'!$B$6:$T$823,16,0),"")</f>
        <v/>
      </c>
      <c r="R411" s="106" t="str">
        <f>IFERROR(VLOOKUP(B411,'02. MM-KLH'!$B$6:$T$823,17,0),"")</f>
        <v/>
      </c>
      <c r="S411" s="108" t="str">
        <f>IFERROR(VLOOKUP(B411,'02. MM-KLH'!$B$6:$T$823,18,0),"")</f>
        <v/>
      </c>
      <c r="T411" s="110" t="str">
        <f>IFERROR(VLOOKUP(B411,'02. MM-KLH'!$B$6:$T$823,19,0),"")</f>
        <v/>
      </c>
      <c r="U411" s="130" t="s">
        <v>79</v>
      </c>
    </row>
    <row r="412" ht="13.5" hidden="1" customHeight="1">
      <c r="A412" s="95"/>
      <c r="B412" s="113"/>
      <c r="C412" s="84"/>
      <c r="D412" s="95" t="str">
        <f>IFERROR(VLOOKUP(B412,'02. MM-KLH'!$B$6:$T$823,3,0),"")</f>
        <v/>
      </c>
      <c r="E412" s="86" t="str">
        <f>IFERROR(VLOOKUP(B412,'02. MM-KLH'!$B$6:$T$823,4,0),"")</f>
        <v/>
      </c>
      <c r="F412" s="115"/>
      <c r="G412" s="86" t="str">
        <f>IFERROR(VLOOKUP(B412,'02. MM-KLH'!$B$6:$T$823,6,0),"")</f>
        <v/>
      </c>
      <c r="H412" s="80"/>
      <c r="I412" s="80" t="str">
        <f>IFERROR(VLOOKUP(B412,'02. MM-KLH'!$B$6:$T$823,8,0),"")</f>
        <v/>
      </c>
      <c r="J412" s="99" t="str">
        <f>IFERROR(VLOOKUP(B412,'02. MM-KLH'!$B$6:$T$823,9,0),"")</f>
        <v/>
      </c>
      <c r="K412" s="80" t="str">
        <f>IFERROR(VLOOKUP(B412,'02. MM-KLH'!$B$6:$T$823,10,0),"")</f>
        <v/>
      </c>
      <c r="L412" s="102" t="str">
        <f>IFERROR(VLOOKUP(B412,'02. MM-KLH'!$B$6:$T$823,11,0),"")</f>
        <v/>
      </c>
      <c r="M412" s="143" t="str">
        <f>IFERROR(VLOOKUP(B412,'02. MM-KLH'!$B$6:$T$823,12,0),"")</f>
        <v/>
      </c>
      <c r="N412" s="108" t="str">
        <f>IFERROR(VLOOKUP(B412,'02. MM-KLH'!$B$6:$T$823,13,0),"")</f>
        <v/>
      </c>
      <c r="O412" s="108" t="str">
        <f>IFERROR(VLOOKUP(B412,'02. MM-KLH'!$B$6:$T$823,14,0),"")</f>
        <v/>
      </c>
      <c r="P412" s="80" t="str">
        <f>IFERROR(VLOOKUP(B412,'02. MM-KLH'!$B$6:$T$823,15,0),"")</f>
        <v/>
      </c>
      <c r="Q412" s="80" t="str">
        <f>IFERROR(VLOOKUP(B412,'02. MM-KLH'!$B$6:$T$823,16,0),"")</f>
        <v/>
      </c>
      <c r="R412" s="106" t="str">
        <f>IFERROR(VLOOKUP(B412,'02. MM-KLH'!$B$6:$T$823,17,0),"")</f>
        <v/>
      </c>
      <c r="S412" s="108" t="str">
        <f>IFERROR(VLOOKUP(B412,'02. MM-KLH'!$B$6:$T$823,18,0),"")</f>
        <v/>
      </c>
      <c r="T412" s="110" t="str">
        <f>IFERROR(VLOOKUP(B412,'02. MM-KLH'!$B$6:$T$823,19,0),"")</f>
        <v/>
      </c>
      <c r="U412" s="130"/>
    </row>
    <row r="413" ht="13.5" customHeight="1">
      <c r="A413" s="243" t="s">
        <v>5816</v>
      </c>
      <c r="B413" s="244" t="s">
        <v>5817</v>
      </c>
      <c r="C413" s="59">
        <f>SUM(C414,C455,C478,C488,C504,C535,C556,C569,C584,C590,C593,C606,C630,C470)</f>
        <v>236</v>
      </c>
      <c r="D413" s="710" t="str">
        <f>IFERROR(VLOOKUP(B413,'02. MM-KLH'!$B$6:$T$823,3,0),"")</f>
        <v/>
      </c>
      <c r="E413" s="710" t="str">
        <f>IFERROR(VLOOKUP(B413,'02. MM-KLH'!$B$6:$T$823,4,0),"")</f>
        <v/>
      </c>
      <c r="F413" s="55"/>
      <c r="G413" s="711" t="str">
        <f>IFERROR(VLOOKUP(B413,'02. MM-KLH'!$B$6:$T$823,6,0),"")</f>
        <v/>
      </c>
      <c r="H413" s="55"/>
      <c r="I413" s="712" t="str">
        <f>IFERROR(VLOOKUP(B413,'02. MM-KLH'!$B$6:$T$823,8,0),"")</f>
        <v/>
      </c>
      <c r="J413" s="713" t="str">
        <f>IFERROR(VLOOKUP(B413,'02. MM-KLH'!$B$6:$T$823,9,0),"")</f>
        <v/>
      </c>
      <c r="K413" s="712" t="str">
        <f>IFERROR(VLOOKUP(B413,'02. MM-KLH'!$B$6:$T$823,10,0),"")</f>
        <v/>
      </c>
      <c r="L413" s="714" t="str">
        <f>IFERROR(VLOOKUP(B413,'02. MM-KLH'!$B$6:$T$823,11,0),"")</f>
        <v/>
      </c>
      <c r="M413" s="715" t="str">
        <f>IFERROR(VLOOKUP(B413,'02. MM-KLH'!$B$6:$T$823,12,0),"")</f>
        <v/>
      </c>
      <c r="N413" s="716" t="str">
        <f>IFERROR(VLOOKUP(B413,'02. MM-KLH'!$B$6:$T$823,13,0),"")</f>
        <v/>
      </c>
      <c r="O413" s="716" t="str">
        <f>IFERROR(VLOOKUP(B413,'02. MM-KLH'!$B$6:$T$823,14,0),"")</f>
        <v/>
      </c>
      <c r="P413" s="712" t="str">
        <f>IFERROR(VLOOKUP(B413,'02. MM-KLH'!$B$6:$T$823,15,0),"")</f>
        <v/>
      </c>
      <c r="Q413" s="712" t="str">
        <f>IFERROR(VLOOKUP(B413,'02. MM-KLH'!$B$6:$T$823,16,0),"")</f>
        <v/>
      </c>
      <c r="R413" s="717" t="str">
        <f>IFERROR(VLOOKUP(B413,'02. MM-KLH'!$B$6:$T$823,17,0),"")</f>
        <v/>
      </c>
      <c r="S413" s="716" t="str">
        <f>IFERROR(VLOOKUP(B413,'02. MM-KLH'!$B$6:$T$823,18,0),"")</f>
        <v/>
      </c>
      <c r="T413" s="718" t="str">
        <f>IFERROR(VLOOKUP(B413,'02. MM-KLH'!$B$6:$T$823,19,0),"")</f>
        <v/>
      </c>
      <c r="U413" s="718" t="str">
        <f>IFERROR(VLOOKUP(C413,'02. MM-KLH'!$B$6:$T$823,19,0),"")</f>
        <v/>
      </c>
    </row>
    <row r="414" ht="13.5" customHeight="1">
      <c r="A414" s="82" t="s">
        <v>76</v>
      </c>
      <c r="B414" s="83" t="s">
        <v>5818</v>
      </c>
      <c r="C414" s="85">
        <f>COUNTA(B415:B454)</f>
        <v>39</v>
      </c>
      <c r="D414" s="85" t="str">
        <f>IFERROR(VLOOKUP(B414,'02. MM-KLH'!$B$6:$T$823,3,0),"")</f>
        <v/>
      </c>
      <c r="E414" s="85" t="str">
        <f>IFERROR(VLOOKUP(B414,'02. MM-KLH'!$B$6:$T$823,4,0),"")</f>
        <v/>
      </c>
      <c r="F414" s="85"/>
      <c r="G414" s="85" t="str">
        <f>IFERROR(VLOOKUP(B414,'02. MM-KLH'!$B$6:$T$823,6,0),"")</f>
        <v/>
      </c>
      <c r="H414" s="85"/>
      <c r="I414" s="85" t="str">
        <f>IFERROR(VLOOKUP(B414,'02. MM-KLH'!$B$6:$T$823,8,0),"")</f>
        <v/>
      </c>
      <c r="J414" s="85" t="str">
        <f>IFERROR(VLOOKUP(B414,'02. MM-KLH'!$B$6:$T$823,9,0),"")</f>
        <v/>
      </c>
      <c r="K414" s="85" t="str">
        <f>IFERROR(VLOOKUP(B414,'02. MM-KLH'!$B$6:$T$823,10,0),"")</f>
        <v/>
      </c>
      <c r="L414" s="85" t="str">
        <f>IFERROR(VLOOKUP(B414,'02. MM-KLH'!$B$6:$T$823,11,0),"")</f>
        <v/>
      </c>
      <c r="M414" s="85" t="str">
        <f>IFERROR(VLOOKUP(B414,'02. MM-KLH'!$B$6:$T$823,12,0),"")</f>
        <v/>
      </c>
      <c r="N414" s="85" t="str">
        <f>IFERROR(VLOOKUP(B414,'02. MM-KLH'!$B$6:$T$823,13,0),"")</f>
        <v/>
      </c>
      <c r="O414" s="85" t="str">
        <f>IFERROR(VLOOKUP(B414,'02. MM-KLH'!$B$6:$T$823,14,0),"")</f>
        <v/>
      </c>
      <c r="P414" s="85" t="str">
        <f>IFERROR(VLOOKUP(B414,'02. MM-KLH'!$B$6:$T$823,15,0),"")</f>
        <v/>
      </c>
      <c r="Q414" s="85" t="str">
        <f>IFERROR(VLOOKUP(B414,'02. MM-KLH'!$B$6:$T$823,16,0),"")</f>
        <v/>
      </c>
      <c r="R414" s="85" t="str">
        <f>IFERROR(VLOOKUP(B414,'02. MM-KLH'!$B$6:$T$823,17,0),"")</f>
        <v/>
      </c>
      <c r="S414" s="85" t="str">
        <f>IFERROR(VLOOKUP(B414,'02. MM-KLH'!$B$6:$T$823,18,0),"")</f>
        <v/>
      </c>
      <c r="T414" s="85" t="str">
        <f>IFERROR(VLOOKUP(B414,'02. MM-KLH'!$B$6:$T$823,19,0),"")</f>
        <v/>
      </c>
      <c r="U414" s="85" t="str">
        <f>IFERROR(VLOOKUP(C414,'02. MM-KLH'!$B$6:$T$823,19,0),"")</f>
        <v/>
      </c>
    </row>
    <row r="415" ht="13.5" customHeight="1">
      <c r="A415" s="80">
        <v>1.0</v>
      </c>
      <c r="B415" s="113" t="s">
        <v>879</v>
      </c>
      <c r="C415" s="84" t="str">
        <f>IFERROR(VLOOKUP(B415,'02. MM-KLH'!$B$6:$T$823,2,0),"")</f>
        <v/>
      </c>
      <c r="D415" s="95" t="str">
        <f>IFERROR(VLOOKUP(B415,'02. MM-KLH'!$B$6:$T$823,3,0),"")</f>
        <v>ATT-A23-0044</v>
      </c>
      <c r="E415" s="86" t="str">
        <f>IFERROR(VLOOKUP(B415,'02. MM-KLH'!$B$6:$T$823,4,0),"")</f>
        <v/>
      </c>
      <c r="F415" s="115" t="s">
        <v>5819</v>
      </c>
      <c r="G415" s="86" t="str">
        <f>IFERROR(VLOOKUP(B415,'02. MM-KLH'!$B$6:$T$823,6,0),"")</f>
        <v>Xe nâng điện 1.5 tấn</v>
      </c>
      <c r="H415" s="80" t="s">
        <v>5820</v>
      </c>
      <c r="I415" s="80" t="str">
        <f>IFERROR(VLOOKUP(B415,'02. MM-KLH'!$B$6:$T$823,8,0),"")</f>
        <v>XN Chuối DP1</v>
      </c>
      <c r="J415" s="99" t="str">
        <f>IFERROR(VLOOKUP(B415,'02. MM-KLH'!$B$6:$T$823,9,0),"")</f>
        <v/>
      </c>
      <c r="K415" s="80" t="str">
        <f>IFERROR(VLOOKUP(B415,'02. MM-KLH'!$B$6:$T$823,10,0),"")</f>
        <v>Bình thường</v>
      </c>
      <c r="L415" s="102" t="str">
        <f>IFERROR(VLOOKUP(B415,'02. MM-KLH'!$B$6:$T$823,11,0),"")</f>
        <v/>
      </c>
      <c r="M415" s="143" t="str">
        <f>IFERROR(VLOOKUP(B415,'02. MM-KLH'!$B$6:$T$823,12,0),"")</f>
        <v/>
      </c>
      <c r="N415" s="108" t="str">
        <f>IFERROR(VLOOKUP(B415,'02. MM-KLH'!$B$6:$T$823,13,0),"")</f>
        <v>BYD</v>
      </c>
      <c r="O415" s="108" t="str">
        <f>IFERROR(VLOOKUP(B415,'02. MM-KLH'!$B$6:$T$823,14,0),"")</f>
        <v>TRUNG QUỐC</v>
      </c>
      <c r="P415" s="80">
        <f>IFERROR(VLOOKUP(B415,'02. MM-KLH'!$B$6:$T$823,15,0),"")</f>
        <v>2019</v>
      </c>
      <c r="Q415" s="80" t="str">
        <f>IFERROR(VLOOKUP(B415,'02. MM-KLH'!$B$6:$T$823,16,0),"")</f>
        <v>ECB16S-B</v>
      </c>
      <c r="R415" s="106" t="str">
        <f>IFERROR(VLOOKUP(B415,'02. MM-KLH'!$B$6:$T$823,17,0),"")</f>
        <v>29HP</v>
      </c>
      <c r="S415" s="108">
        <f>IFERROR(VLOOKUP(B415,'02. MM-KLH'!$B$6:$T$823,18,0),"")</f>
        <v>1501190100</v>
      </c>
      <c r="T415" s="110" t="str">
        <f>IFERROR(VLOOKUP(B415,'02. MM-KLH'!$B$6:$T$823,19,0),"")</f>
        <v>TS0510598-2021</v>
      </c>
      <c r="U415" s="130" t="s">
        <v>79</v>
      </c>
    </row>
    <row r="416" ht="13.5" customHeight="1">
      <c r="A416" s="80">
        <f t="shared" ref="A416:A453" si="19">A415+1</f>
        <v>2</v>
      </c>
      <c r="B416" s="113" t="s">
        <v>887</v>
      </c>
      <c r="C416" s="84" t="str">
        <f>IFERROR(VLOOKUP(B416,'02. MM-KLH'!$B$6:$T$823,2,0),"")</f>
        <v/>
      </c>
      <c r="D416" s="95" t="str">
        <f>IFERROR(VLOOKUP(B416,'02. MM-KLH'!$B$6:$T$823,3,0),"")</f>
        <v>A23-XNA-007</v>
      </c>
      <c r="E416" s="86" t="str">
        <f>IFERROR(VLOOKUP(B416,'02. MM-KLH'!$B$6:$T$823,4,0),"")</f>
        <v/>
      </c>
      <c r="F416" s="115" t="s">
        <v>5755</v>
      </c>
      <c r="G416" s="86" t="str">
        <f>IFERROR(VLOOKUP(B416,'02. MM-KLH'!$B$6:$T$823,6,0),"")</f>
        <v>Xe nâng điện 2.5 tấn</v>
      </c>
      <c r="H416" s="80" t="s">
        <v>5820</v>
      </c>
      <c r="I416" s="80" t="str">
        <f>IFERROR(VLOOKUP(B416,'02. MM-KLH'!$B$6:$T$823,8,0),"")</f>
        <v>XN Chuối DP1</v>
      </c>
      <c r="J416" s="99">
        <f>IFERROR(VLOOKUP(B416,'02. MM-KLH'!$B$6:$T$823,9,0),"")</f>
        <v>46361</v>
      </c>
      <c r="K416" s="80" t="str">
        <f>IFERROR(VLOOKUP(B416,'02. MM-KLH'!$B$6:$T$823,10,0),"")</f>
        <v>Bình thường</v>
      </c>
      <c r="L416" s="102" t="str">
        <f>IFERROR(VLOOKUP(B416,'02. MM-KLH'!$B$6:$T$823,11,0),"")</f>
        <v/>
      </c>
      <c r="M416" s="143" t="str">
        <f>IFERROR(VLOOKUP(B416,'02. MM-KLH'!$B$6:$T$823,12,0),"")</f>
        <v>Đầu tư mới</v>
      </c>
      <c r="N416" s="108" t="str">
        <f>IFERROR(VLOOKUP(B416,'02. MM-KLH'!$B$6:$T$823,13,0),"")</f>
        <v>LOVOL</v>
      </c>
      <c r="O416" s="108" t="str">
        <f>IFERROR(VLOOKUP(B416,'02. MM-KLH'!$B$6:$T$823,14,0),"")</f>
        <v>TRUNG QUỐC</v>
      </c>
      <c r="P416" s="80">
        <f>IFERROR(VLOOKUP(B416,'02. MM-KLH'!$B$6:$T$823,15,0),"")</f>
        <v>2026</v>
      </c>
      <c r="Q416" s="80" t="str">
        <f>IFERROR(VLOOKUP(B416,'02. MM-KLH'!$B$6:$T$823,16,0),"")</f>
        <v>FF25E</v>
      </c>
      <c r="R416" s="106" t="str">
        <f>IFERROR(VLOOKUP(B416,'02. MM-KLH'!$B$6:$T$823,17,0),"")</f>
        <v>13,68 HP</v>
      </c>
      <c r="S416" s="108" t="str">
        <f>IFERROR(VLOOKUP(B416,'02. MM-KLH'!$B$6:$T$823,18,0),"")</f>
        <v>C31293R50031</v>
      </c>
      <c r="T416" s="110" t="str">
        <f>IFERROR(VLOOKUP(B416,'02. MM-KLH'!$B$6:$T$823,19,0),"")</f>
        <v/>
      </c>
      <c r="U416" s="130" t="s">
        <v>2301</v>
      </c>
    </row>
    <row r="417" ht="13.5" customHeight="1">
      <c r="A417" s="80">
        <f t="shared" si="19"/>
        <v>3</v>
      </c>
      <c r="B417" s="115" t="s">
        <v>1153</v>
      </c>
      <c r="C417" s="84" t="str">
        <f>IFERROR(VLOOKUP(B417,'02. MM-KLH'!$B$6:$T$823,2,0),"")</f>
        <v/>
      </c>
      <c r="D417" s="95" t="str">
        <f>IFERROR(VLOOKUP(B417,'02. MM-KLH'!$B$6:$T$823,3,0),"")</f>
        <v>ATT-A23-0044</v>
      </c>
      <c r="E417" s="86" t="str">
        <f>IFERROR(VLOOKUP(B417,'02. MM-KLH'!$B$6:$T$823,4,0),"")</f>
        <v/>
      </c>
      <c r="F417" s="115" t="s">
        <v>5819</v>
      </c>
      <c r="G417" s="86" t="str">
        <f>IFERROR(VLOOKUP(B417,'02. MM-KLH'!$B$6:$T$823,6,0),"")</f>
        <v>Xe nâng tay điện 1.5 tấn</v>
      </c>
      <c r="H417" s="80" t="s">
        <v>5830</v>
      </c>
      <c r="I417" s="80" t="str">
        <f>IFERROR(VLOOKUP(B417,'02. MM-KLH'!$B$6:$T$823,8,0),"")</f>
        <v>XN Chuối DP3</v>
      </c>
      <c r="J417" s="99" t="str">
        <f>IFERROR(VLOOKUP(B417,'02. MM-KLH'!$B$6:$T$823,9,0),"")</f>
        <v/>
      </c>
      <c r="K417" s="80" t="str">
        <f>IFERROR(VLOOKUP(B417,'02. MM-KLH'!$B$6:$T$823,10,0),"")</f>
        <v>Bình thường</v>
      </c>
      <c r="L417" s="102" t="str">
        <f>IFERROR(VLOOKUP(B417,'02. MM-KLH'!$B$6:$T$823,11,0),"")</f>
        <v/>
      </c>
      <c r="M417" s="143" t="str">
        <f>IFERROR(VLOOKUP(B417,'02. MM-KLH'!$B$6:$T$823,12,0),"")</f>
        <v>XĐG DP4A</v>
      </c>
      <c r="N417" s="108" t="str">
        <f>IFERROR(VLOOKUP(B417,'02. MM-KLH'!$B$6:$T$823,13,0),"")</f>
        <v>HELI</v>
      </c>
      <c r="O417" s="108" t="str">
        <f>IFERROR(VLOOKUP(B417,'02. MM-KLH'!$B$6:$T$823,14,0),"")</f>
        <v>TRUNG QUỐC</v>
      </c>
      <c r="P417" s="80">
        <f>IFERROR(VLOOKUP(B417,'02. MM-KLH'!$B$6:$T$823,15,0),"")</f>
        <v>2022</v>
      </c>
      <c r="Q417" s="80" t="str">
        <f>IFERROR(VLOOKUP(B417,'02. MM-KLH'!$B$6:$T$823,16,0),"")</f>
        <v>CDD15J</v>
      </c>
      <c r="R417" s="106" t="str">
        <f>IFERROR(VLOOKUP(B417,'02. MM-KLH'!$B$6:$T$823,17,0),"")</f>
        <v>24V-1.5T</v>
      </c>
      <c r="S417" s="108" t="str">
        <f>IFERROR(VLOOKUP(B417,'02. MM-KLH'!$B$6:$T$823,18,0),"")</f>
        <v>08015JM7921</v>
      </c>
      <c r="T417" s="110" t="str">
        <f>IFERROR(VLOOKUP(B417,'02. MM-KLH'!$B$6:$T$823,19,0),"")</f>
        <v>NIL</v>
      </c>
      <c r="U417" s="130" t="s">
        <v>79</v>
      </c>
    </row>
    <row r="418" ht="13.5" customHeight="1">
      <c r="A418" s="80">
        <f t="shared" si="19"/>
        <v>4</v>
      </c>
      <c r="B418" s="115" t="s">
        <v>1162</v>
      </c>
      <c r="C418" s="84" t="str">
        <f>IFERROR(VLOOKUP(B418,'02. MM-KLH'!$B$6:$T$823,2,0),"")</f>
        <v/>
      </c>
      <c r="D418" s="95" t="str">
        <f>IFERROR(VLOOKUP(B418,'02. MM-KLH'!$B$6:$T$823,3,0),"")</f>
        <v>ATT-A23-0044</v>
      </c>
      <c r="E418" s="86" t="str">
        <f>IFERROR(VLOOKUP(B418,'02. MM-KLH'!$B$6:$T$823,4,0),"")</f>
        <v/>
      </c>
      <c r="F418" s="115" t="s">
        <v>5819</v>
      </c>
      <c r="G418" s="86" t="str">
        <f>IFERROR(VLOOKUP(B418,'02. MM-KLH'!$B$6:$T$823,6,0),"")</f>
        <v>Xe nâng điện 1.5 tấn</v>
      </c>
      <c r="H418" s="80" t="s">
        <v>5820</v>
      </c>
      <c r="I418" s="80" t="str">
        <f>IFERROR(VLOOKUP(B418,'02. MM-KLH'!$B$6:$T$823,8,0),"")</f>
        <v>XN Chuối DP3</v>
      </c>
      <c r="J418" s="99" t="str">
        <f>IFERROR(VLOOKUP(B418,'02. MM-KLH'!$B$6:$T$823,9,0),"")</f>
        <v/>
      </c>
      <c r="K418" s="80" t="str">
        <f>IFERROR(VLOOKUP(B418,'02. MM-KLH'!$B$6:$T$823,10,0),"")</f>
        <v>Bình thường</v>
      </c>
      <c r="L418" s="102" t="str">
        <f>IFERROR(VLOOKUP(B418,'02. MM-KLH'!$B$6:$T$823,11,0),"")</f>
        <v/>
      </c>
      <c r="M418" s="143" t="str">
        <f>IFERROR(VLOOKUP(B418,'02. MM-KLH'!$B$6:$T$823,12,0),"")</f>
        <v/>
      </c>
      <c r="N418" s="108" t="str">
        <f>IFERROR(VLOOKUP(B418,'02. MM-KLH'!$B$6:$T$823,13,0),"")</f>
        <v>KOMATSU</v>
      </c>
      <c r="O418" s="108" t="str">
        <f>IFERROR(VLOOKUP(B418,'02. MM-KLH'!$B$6:$T$823,14,0),"")</f>
        <v>NHẬT BẢN</v>
      </c>
      <c r="P418" s="80">
        <f>IFERROR(VLOOKUP(B418,'02. MM-KLH'!$B$6:$T$823,15,0),"")</f>
        <v>2008</v>
      </c>
      <c r="Q418" s="80" t="str">
        <f>IFERROR(VLOOKUP(B418,'02. MM-KLH'!$B$6:$T$823,16,0),"")</f>
        <v>FB15EX-11</v>
      </c>
      <c r="R418" s="106" t="str">
        <f>IFERROR(VLOOKUP(B418,'02. MM-KLH'!$B$6:$T$823,17,0),"")</f>
        <v/>
      </c>
      <c r="S418" s="108">
        <f>IFERROR(VLOOKUP(B418,'02. MM-KLH'!$B$6:$T$823,18,0),"")</f>
        <v>809168</v>
      </c>
      <c r="T418" s="110">
        <f>IFERROR(VLOOKUP(B418,'02. MM-KLH'!$B$6:$T$823,19,0),"")</f>
        <v>39630</v>
      </c>
      <c r="U418" s="130" t="s">
        <v>79</v>
      </c>
    </row>
    <row r="419" ht="13.5" customHeight="1">
      <c r="A419" s="80">
        <f t="shared" si="19"/>
        <v>5</v>
      </c>
      <c r="B419" s="115" t="s">
        <v>1164</v>
      </c>
      <c r="C419" s="84" t="str">
        <f>IFERROR(VLOOKUP(B419,'02. MM-KLH'!$B$6:$T$823,2,0),"")</f>
        <v/>
      </c>
      <c r="D419" s="95" t="str">
        <f>IFERROR(VLOOKUP(B419,'02. MM-KLH'!$B$6:$T$823,3,0),"")</f>
        <v>A23-XNA-003</v>
      </c>
      <c r="E419" s="86" t="str">
        <f>IFERROR(VLOOKUP(B419,'02. MM-KLH'!$B$6:$T$823,4,0),"")</f>
        <v/>
      </c>
      <c r="F419" s="115" t="s">
        <v>5755</v>
      </c>
      <c r="G419" s="86" t="str">
        <f>IFERROR(VLOOKUP(B419,'02. MM-KLH'!$B$6:$T$823,6,0),"")</f>
        <v>Xe nâng điện 1.5 tấn</v>
      </c>
      <c r="H419" s="80" t="s">
        <v>5820</v>
      </c>
      <c r="I419" s="80" t="str">
        <f>IFERROR(VLOOKUP(B419,'02. MM-KLH'!$B$6:$T$823,8,0),"")</f>
        <v>XN Chuối DP3</v>
      </c>
      <c r="J419" s="99">
        <f>IFERROR(VLOOKUP(B419,'02. MM-KLH'!$B$6:$T$823,9,0),"")</f>
        <v>45669</v>
      </c>
      <c r="K419" s="80" t="str">
        <f>IFERROR(VLOOKUP(B419,'02. MM-KLH'!$B$6:$T$823,10,0),"")</f>
        <v>Bình thường</v>
      </c>
      <c r="L419" s="102" t="str">
        <f>IFERROR(VLOOKUP(B419,'02. MM-KLH'!$B$6:$T$823,11,0),"")</f>
        <v/>
      </c>
      <c r="M419" s="143" t="str">
        <f>IFERROR(VLOOKUP(B419,'02. MM-KLH'!$B$6:$T$823,12,0),"")</f>
        <v>Đầu tư mới</v>
      </c>
      <c r="N419" s="108" t="str">
        <f>IFERROR(VLOOKUP(B419,'02. MM-KLH'!$B$6:$T$823,13,0),"")</f>
        <v>LOVOL</v>
      </c>
      <c r="O419" s="108" t="str">
        <f>IFERROR(VLOOKUP(B419,'02. MM-KLH'!$B$6:$T$823,14,0),"")</f>
        <v>TRUNG QUỐC</v>
      </c>
      <c r="P419" s="80">
        <f>IFERROR(VLOOKUP(B419,'02. MM-KLH'!$B$6:$T$823,15,0),"")</f>
        <v>2025</v>
      </c>
      <c r="Q419" s="80" t="str">
        <f>IFERROR(VLOOKUP(B419,'02. MM-KLH'!$B$6:$T$823,16,0),"")</f>
        <v>FF15E</v>
      </c>
      <c r="R419" s="106" t="str">
        <f>IFERROR(VLOOKUP(B419,'02. MM-KLH'!$B$6:$T$823,17,0),"")</f>
        <v>12HP</v>
      </c>
      <c r="S419" s="108" t="str">
        <f>IFERROR(VLOOKUP(B419,'02. MM-KLH'!$B$6:$T$823,18,0),"")</f>
        <v>C11292P50328</v>
      </c>
      <c r="T419" s="110" t="str">
        <f>IFERROR(VLOOKUP(B419,'02. MM-KLH'!$B$6:$T$823,19,0),"")</f>
        <v>JB253801347</v>
      </c>
      <c r="U419" s="130" t="s">
        <v>2301</v>
      </c>
    </row>
    <row r="420" ht="13.5" customHeight="1">
      <c r="A420" s="80">
        <f t="shared" si="19"/>
        <v>6</v>
      </c>
      <c r="B420" s="115" t="s">
        <v>1169</v>
      </c>
      <c r="C420" s="84" t="str">
        <f>IFERROR(VLOOKUP(B420,'02. MM-KLH'!$B$6:$T$823,2,0),"")</f>
        <v/>
      </c>
      <c r="D420" s="95" t="str">
        <f>IFERROR(VLOOKUP(B420,'02. MM-KLH'!$B$6:$T$823,3,0),"")</f>
        <v>A23-XNA-006</v>
      </c>
      <c r="E420" s="86" t="str">
        <f>IFERROR(VLOOKUP(B420,'02. MM-KLH'!$B$6:$T$823,4,0),"")</f>
        <v/>
      </c>
      <c r="F420" s="115" t="s">
        <v>5834</v>
      </c>
      <c r="G420" s="86" t="str">
        <f>IFERROR(VLOOKUP(B420,'02. MM-KLH'!$B$6:$T$823,6,0),"")</f>
        <v>Xe nâng điện 2.5 tấn</v>
      </c>
      <c r="H420" s="80" t="s">
        <v>5820</v>
      </c>
      <c r="I420" s="80" t="str">
        <f>IFERROR(VLOOKUP(B420,'02. MM-KLH'!$B$6:$T$823,8,0),"")</f>
        <v>XN Chuối DP3</v>
      </c>
      <c r="J420" s="99">
        <f>IFERROR(VLOOKUP(B420,'02. MM-KLH'!$B$6:$T$823,9,0),"")</f>
        <v>46361</v>
      </c>
      <c r="K420" s="80" t="str">
        <f>IFERROR(VLOOKUP(B420,'02. MM-KLH'!$B$6:$T$823,10,0),"")</f>
        <v>Bình thường</v>
      </c>
      <c r="L420" s="102" t="str">
        <f>IFERROR(VLOOKUP(B420,'02. MM-KLH'!$B$6:$T$823,11,0),"")</f>
        <v/>
      </c>
      <c r="M420" s="143" t="str">
        <f>IFERROR(VLOOKUP(B420,'02. MM-KLH'!$B$6:$T$823,12,0),"")</f>
        <v>Đầu tư mới</v>
      </c>
      <c r="N420" s="108" t="str">
        <f>IFERROR(VLOOKUP(B420,'02. MM-KLH'!$B$6:$T$823,13,0),"")</f>
        <v>LOVOL</v>
      </c>
      <c r="O420" s="108" t="str">
        <f>IFERROR(VLOOKUP(B420,'02. MM-KLH'!$B$6:$T$823,14,0),"")</f>
        <v>TRUNG QUỐC</v>
      </c>
      <c r="P420" s="80">
        <f>IFERROR(VLOOKUP(B420,'02. MM-KLH'!$B$6:$T$823,15,0),"")</f>
        <v>2026</v>
      </c>
      <c r="Q420" s="80" t="str">
        <f>IFERROR(VLOOKUP(B420,'02. MM-KLH'!$B$6:$T$823,16,0),"")</f>
        <v>FF25E</v>
      </c>
      <c r="R420" s="106" t="str">
        <f>IFERROR(VLOOKUP(B420,'02. MM-KLH'!$B$6:$T$823,17,0),"")</f>
        <v>13,68 HP</v>
      </c>
      <c r="S420" s="108" t="str">
        <f>IFERROR(VLOOKUP(B420,'02. MM-KLH'!$B$6:$T$823,18,0),"")</f>
        <v>C31293R50033</v>
      </c>
      <c r="T420" s="110" t="str">
        <f>IFERROR(VLOOKUP(B420,'02. MM-KLH'!$B$6:$T$823,19,0),"")</f>
        <v/>
      </c>
      <c r="U420" s="130" t="s">
        <v>2301</v>
      </c>
    </row>
    <row r="421" ht="13.5" customHeight="1">
      <c r="A421" s="80">
        <f t="shared" si="19"/>
        <v>7</v>
      </c>
      <c r="B421" s="115" t="s">
        <v>1063</v>
      </c>
      <c r="C421" s="84" t="str">
        <f>IFERROR(VLOOKUP(B421,'02. MM-KLH'!$B$6:$T$823,2,0),"")</f>
        <v/>
      </c>
      <c r="D421" s="95" t="str">
        <f>IFERROR(VLOOKUP(B421,'02. MM-KLH'!$B$6:$T$823,3,0),"")</f>
        <v>A23-XNA-004</v>
      </c>
      <c r="E421" s="86" t="str">
        <f>IFERROR(VLOOKUP(B421,'02. MM-KLH'!$B$6:$T$823,4,0),"")</f>
        <v/>
      </c>
      <c r="F421" s="115" t="s">
        <v>5834</v>
      </c>
      <c r="G421" s="86" t="str">
        <f>IFERROR(VLOOKUP(B421,'02. MM-KLH'!$B$6:$T$823,6,0),"")</f>
        <v>Xe nâng điện 2.5 tấn</v>
      </c>
      <c r="H421" s="80" t="s">
        <v>5820</v>
      </c>
      <c r="I421" s="80" t="str">
        <f>IFERROR(VLOOKUP(B421,'02. MM-KLH'!$B$6:$T$823,8,0),"")</f>
        <v>XN Chuối DP2</v>
      </c>
      <c r="J421" s="99">
        <f>IFERROR(VLOOKUP(B421,'02. MM-KLH'!$B$6:$T$823,9,0),"")</f>
        <v>45789</v>
      </c>
      <c r="K421" s="80" t="str">
        <f>IFERROR(VLOOKUP(B421,'02. MM-KLH'!$B$6:$T$823,10,0),"")</f>
        <v>Bình thường</v>
      </c>
      <c r="L421" s="102" t="str">
        <f>IFERROR(VLOOKUP(B421,'02. MM-KLH'!$B$6:$T$823,11,0),"")</f>
        <v/>
      </c>
      <c r="M421" s="143" t="str">
        <f>IFERROR(VLOOKUP(B421,'02. MM-KLH'!$B$6:$T$823,12,0),"")</f>
        <v>Đầu tư mới</v>
      </c>
      <c r="N421" s="108" t="str">
        <f>IFERROR(VLOOKUP(B421,'02. MM-KLH'!$B$6:$T$823,13,0),"")</f>
        <v>LOVOL</v>
      </c>
      <c r="O421" s="108" t="str">
        <f>IFERROR(VLOOKUP(B421,'02. MM-KLH'!$B$6:$T$823,14,0),"")</f>
        <v>TRUNG QUỐC</v>
      </c>
      <c r="P421" s="80">
        <f>IFERROR(VLOOKUP(B421,'02. MM-KLH'!$B$6:$T$823,15,0),"")</f>
        <v>2025</v>
      </c>
      <c r="Q421" s="80" t="str">
        <f>IFERROR(VLOOKUP(B421,'02. MM-KLH'!$B$6:$T$823,16,0),"")</f>
        <v>FF25E</v>
      </c>
      <c r="R421" s="106" t="str">
        <f>IFERROR(VLOOKUP(B421,'02. MM-KLH'!$B$6:$T$823,17,0),"")</f>
        <v>14HP</v>
      </c>
      <c r="S421" s="108" t="str">
        <f>IFERROR(VLOOKUP(B421,'02. MM-KLH'!$B$6:$T$823,18,0),"")</f>
        <v>C31293P50544</v>
      </c>
      <c r="T421" s="110" t="str">
        <f>IFERROR(VLOOKUP(B421,'02. MM-KLH'!$B$6:$T$823,19,0),"")</f>
        <v>JB253701317</v>
      </c>
      <c r="U421" s="130" t="s">
        <v>2301</v>
      </c>
    </row>
    <row r="422" ht="13.5" customHeight="1">
      <c r="A422" s="80">
        <f t="shared" si="19"/>
        <v>8</v>
      </c>
      <c r="B422" s="115" t="s">
        <v>1069</v>
      </c>
      <c r="C422" s="84" t="str">
        <f>IFERROR(VLOOKUP(B422,'02. MM-KLH'!$B$6:$T$823,2,0),"")</f>
        <v/>
      </c>
      <c r="D422" s="95" t="str">
        <f>IFERROR(VLOOKUP(B422,'02. MM-KLH'!$B$6:$T$823,3,0),"")</f>
        <v>A23-XNA-005</v>
      </c>
      <c r="E422" s="86" t="str">
        <f>IFERROR(VLOOKUP(B422,'02. MM-KLH'!$B$6:$T$823,4,0),"")</f>
        <v/>
      </c>
      <c r="F422" s="115" t="s">
        <v>5835</v>
      </c>
      <c r="G422" s="86" t="str">
        <f>IFERROR(VLOOKUP(B422,'02. MM-KLH'!$B$6:$T$823,6,0),"")</f>
        <v>Xe nâng điện 1.5 tấn</v>
      </c>
      <c r="H422" s="80" t="s">
        <v>5820</v>
      </c>
      <c r="I422" s="80" t="str">
        <f>IFERROR(VLOOKUP(B422,'02. MM-KLH'!$B$6:$T$823,8,0),"")</f>
        <v>XN Chuối DP2</v>
      </c>
      <c r="J422" s="99">
        <f>IFERROR(VLOOKUP(B422,'02. MM-KLH'!$B$6:$T$823,9,0),"")</f>
        <v>46361</v>
      </c>
      <c r="K422" s="80" t="str">
        <f>IFERROR(VLOOKUP(B422,'02. MM-KLH'!$B$6:$T$823,10,0),"")</f>
        <v>Bình thường</v>
      </c>
      <c r="L422" s="102" t="str">
        <f>IFERROR(VLOOKUP(B422,'02. MM-KLH'!$B$6:$T$823,11,0),"")</f>
        <v/>
      </c>
      <c r="M422" s="143" t="str">
        <f>IFERROR(VLOOKUP(B422,'02. MM-KLH'!$B$6:$T$823,12,0),"")</f>
        <v>Đầu tư mới</v>
      </c>
      <c r="N422" s="108" t="str">
        <f>IFERROR(VLOOKUP(B422,'02. MM-KLH'!$B$6:$T$823,13,0),"")</f>
        <v>LOVOL</v>
      </c>
      <c r="O422" s="108" t="str">
        <f>IFERROR(VLOOKUP(B422,'02. MM-KLH'!$B$6:$T$823,14,0),"")</f>
        <v>TRUNG QUỐC</v>
      </c>
      <c r="P422" s="80">
        <f>IFERROR(VLOOKUP(B422,'02. MM-KLH'!$B$6:$T$823,15,0),"")</f>
        <v>2026</v>
      </c>
      <c r="Q422" s="80" t="str">
        <f>IFERROR(VLOOKUP(B422,'02. MM-KLH'!$B$6:$T$823,16,0),"")</f>
        <v>FF15E</v>
      </c>
      <c r="R422" s="106" t="str">
        <f>IFERROR(VLOOKUP(B422,'02. MM-KLH'!$B$6:$T$823,17,0),"")</f>
        <v>11,8 HP</v>
      </c>
      <c r="S422" s="108" t="str">
        <f>IFERROR(VLOOKUP(B422,'02. MM-KLH'!$B$6:$T$823,18,0),"")</f>
        <v>C31293R50030</v>
      </c>
      <c r="T422" s="110" t="str">
        <f>IFERROR(VLOOKUP(B422,'02. MM-KLH'!$B$6:$T$823,19,0),"")</f>
        <v/>
      </c>
      <c r="U422" s="130" t="s">
        <v>2301</v>
      </c>
    </row>
    <row r="423" ht="13.5" customHeight="1">
      <c r="A423" s="80">
        <f t="shared" si="19"/>
        <v>9</v>
      </c>
      <c r="B423" s="115" t="s">
        <v>1344</v>
      </c>
      <c r="C423" s="84" t="str">
        <f>IFERROR(VLOOKUP(B423,'02. MM-KLH'!$B$6:$T$823,2,0),"")</f>
        <v>XL4-XNA-001</v>
      </c>
      <c r="D423" s="95" t="str">
        <f>IFERROR(VLOOKUP(B423,'02. MM-KLH'!$B$6:$T$823,3,0),"")</f>
        <v/>
      </c>
      <c r="E423" s="86" t="str">
        <f>IFERROR(VLOOKUP(B423,'02. MM-KLH'!$B$6:$T$823,4,0),"")</f>
        <v/>
      </c>
      <c r="F423" s="115"/>
      <c r="G423" s="86" t="str">
        <f>IFERROR(VLOOKUP(B423,'02. MM-KLH'!$B$6:$T$823,6,0),"")</f>
        <v>Xe nâng điện 1.5 tấn</v>
      </c>
      <c r="H423" s="80" t="s">
        <v>5820</v>
      </c>
      <c r="I423" s="80" t="str">
        <f>IFERROR(VLOOKUP(B423,'02. MM-KLH'!$B$6:$T$823,8,0),"")</f>
        <v>XN Chuối LP1</v>
      </c>
      <c r="J423" s="99" t="str">
        <f>IFERROR(VLOOKUP(B423,'02. MM-KLH'!$B$6:$T$823,9,0),"")</f>
        <v/>
      </c>
      <c r="K423" s="80" t="str">
        <f>IFERROR(VLOOKUP(B423,'02. MM-KLH'!$B$6:$T$823,10,0),"")</f>
        <v>Bình thường</v>
      </c>
      <c r="L423" s="102" t="str">
        <f>IFERROR(VLOOKUP(B423,'02. MM-KLH'!$B$6:$T$823,11,0),"")</f>
        <v/>
      </c>
      <c r="M423" s="143" t="str">
        <f>IFERROR(VLOOKUP(B423,'02. MM-KLH'!$B$6:$T$823,12,0),"")</f>
        <v>-Đ.chuyển từ LP4 sang LP1 ngày 22.11.2024</v>
      </c>
      <c r="N423" s="108" t="str">
        <f>IFERROR(VLOOKUP(B423,'02. MM-KLH'!$B$6:$T$823,13,0),"")</f>
        <v>BYD</v>
      </c>
      <c r="O423" s="108" t="str">
        <f>IFERROR(VLOOKUP(B423,'02. MM-KLH'!$B$6:$T$823,14,0),"")</f>
        <v>TRUNG QUỐC</v>
      </c>
      <c r="P423" s="80">
        <f>IFERROR(VLOOKUP(B423,'02. MM-KLH'!$B$6:$T$823,15,0),"")</f>
        <v>2019</v>
      </c>
      <c r="Q423" s="80" t="str">
        <f>IFERROR(VLOOKUP(B423,'02. MM-KLH'!$B$6:$T$823,16,0),"")</f>
        <v>ECB16S-B</v>
      </c>
      <c r="R423" s="106" t="str">
        <f>IFERROR(VLOOKUP(B423,'02. MM-KLH'!$B$6:$T$823,17,0),"")</f>
        <v>1.5TẤN</v>
      </c>
      <c r="S423" s="108">
        <f>IFERROR(VLOOKUP(B423,'02. MM-KLH'!$B$6:$T$823,18,0),"")</f>
        <v>1501190010</v>
      </c>
      <c r="T423" s="110" t="str">
        <f>IFERROR(VLOOKUP(B423,'02. MM-KLH'!$B$6:$T$823,19,0),"")</f>
        <v>CCN</v>
      </c>
      <c r="U423" s="130" t="s">
        <v>79</v>
      </c>
    </row>
    <row r="424" ht="13.5" customHeight="1">
      <c r="A424" s="80">
        <f t="shared" si="19"/>
        <v>10</v>
      </c>
      <c r="B424" s="115" t="s">
        <v>1348</v>
      </c>
      <c r="C424" s="84" t="str">
        <f>IFERROR(VLOOKUP(B424,'02. MM-KLH'!$B$6:$T$823,2,0),"")</f>
        <v/>
      </c>
      <c r="D424" s="95" t="str">
        <f>IFERROR(VLOOKUP(B424,'02. MM-KLH'!$B$6:$T$823,3,0),"")</f>
        <v>A24-XNA-002</v>
      </c>
      <c r="E424" s="86" t="str">
        <f>IFERROR(VLOOKUP(B424,'02. MM-KLH'!$B$6:$T$823,4,0),"")</f>
        <v/>
      </c>
      <c r="F424" s="115"/>
      <c r="G424" s="86" t="str">
        <f>IFERROR(VLOOKUP(B424,'02. MM-KLH'!$B$6:$T$823,6,0),"")</f>
        <v>Xe nâng điện 2.5 tấn</v>
      </c>
      <c r="H424" s="80" t="s">
        <v>5820</v>
      </c>
      <c r="I424" s="80" t="str">
        <f>IFERROR(VLOOKUP(B424,'02. MM-KLH'!$B$6:$T$823,8,0),"")</f>
        <v>XN Chuối LP1</v>
      </c>
      <c r="J424" s="99">
        <f>IFERROR(VLOOKUP(B424,'02. MM-KLH'!$B$6:$T$823,9,0),"")</f>
        <v>46361</v>
      </c>
      <c r="K424" s="80" t="str">
        <f>IFERROR(VLOOKUP(B424,'02. MM-KLH'!$B$6:$T$823,10,0),"")</f>
        <v>Bình thường</v>
      </c>
      <c r="L424" s="102" t="str">
        <f>IFERROR(VLOOKUP(B424,'02. MM-KLH'!$B$6:$T$823,11,0),"")</f>
        <v/>
      </c>
      <c r="M424" s="143" t="str">
        <f>IFERROR(VLOOKUP(B424,'02. MM-KLH'!$B$6:$T$823,12,0),"")</f>
        <v>Đầu tư mới</v>
      </c>
      <c r="N424" s="108" t="str">
        <f>IFERROR(VLOOKUP(B424,'02. MM-KLH'!$B$6:$T$823,13,0),"")</f>
        <v>LOVOL</v>
      </c>
      <c r="O424" s="108" t="str">
        <f>IFERROR(VLOOKUP(B424,'02. MM-KLH'!$B$6:$T$823,14,0),"")</f>
        <v>TRUNG QUỐC</v>
      </c>
      <c r="P424" s="80">
        <f>IFERROR(VLOOKUP(B424,'02. MM-KLH'!$B$6:$T$823,15,0),"")</f>
        <v>2026</v>
      </c>
      <c r="Q424" s="80" t="str">
        <f>IFERROR(VLOOKUP(B424,'02. MM-KLH'!$B$6:$T$823,16,0),"")</f>
        <v>FF25E</v>
      </c>
      <c r="R424" s="106" t="str">
        <f>IFERROR(VLOOKUP(B424,'02. MM-KLH'!$B$6:$T$823,17,0),"")</f>
        <v>13,68 HP</v>
      </c>
      <c r="S424" s="108" t="str">
        <f>IFERROR(VLOOKUP(B424,'02. MM-KLH'!$B$6:$T$823,18,0),"")</f>
        <v>C31293R50032</v>
      </c>
      <c r="T424" s="110" t="str">
        <f>IFERROR(VLOOKUP(B424,'02. MM-KLH'!$B$6:$T$823,19,0),"")</f>
        <v/>
      </c>
      <c r="U424" s="130" t="s">
        <v>2301</v>
      </c>
    </row>
    <row r="425" ht="13.5" customHeight="1">
      <c r="A425" s="80">
        <f t="shared" si="19"/>
        <v>11</v>
      </c>
      <c r="B425" s="113" t="s">
        <v>1998</v>
      </c>
      <c r="C425" s="84" t="str">
        <f>IFERROR(VLOOKUP(B425,'02. MM-KLH'!$B$6:$T$823,2,0),"")</f>
        <v/>
      </c>
      <c r="D425" s="95" t="str">
        <f>IFERROR(VLOOKUP(B425,'02. MM-KLH'!$B$6:$T$823,3,0),"")</f>
        <v>ATT-A22-0055</v>
      </c>
      <c r="E425" s="86" t="str">
        <f>IFERROR(VLOOKUP(B425,'02. MM-KLH'!$B$6:$T$823,4,0),"")</f>
        <v/>
      </c>
      <c r="F425" s="115" t="s">
        <v>5838</v>
      </c>
      <c r="G425" s="86" t="str">
        <f>IFERROR(VLOOKUP(B425,'02. MM-KLH'!$B$6:$T$823,6,0),"")</f>
        <v>Xe nâng điện 1.5 tấn</v>
      </c>
      <c r="H425" s="80" t="s">
        <v>5820</v>
      </c>
      <c r="I425" s="80" t="str">
        <f>IFERROR(VLOOKUP(B425,'02. MM-KLH'!$B$6:$T$823,8,0),"")</f>
        <v>XN Bò AD</v>
      </c>
      <c r="J425" s="99" t="str">
        <f>IFERROR(VLOOKUP(B425,'02. MM-KLH'!$B$6:$T$823,9,0),"")</f>
        <v/>
      </c>
      <c r="K425" s="80" t="str">
        <f>IFERROR(VLOOKUP(B425,'02. MM-KLH'!$B$6:$T$823,10,0),"")</f>
        <v>Bình thường</v>
      </c>
      <c r="L425" s="102" t="str">
        <f>IFERROR(VLOOKUP(B425,'02. MM-KLH'!$B$6:$T$823,11,0),"")</f>
        <v/>
      </c>
      <c r="M425" s="143" t="str">
        <f>IFERROR(VLOOKUP(B425,'02. MM-KLH'!$B$6:$T$823,12,0),"")</f>
        <v/>
      </c>
      <c r="N425" s="108" t="str">
        <f>IFERROR(VLOOKUP(B425,'02. MM-KLH'!$B$6:$T$823,13,0),"")</f>
        <v>KOMATSU</v>
      </c>
      <c r="O425" s="108" t="str">
        <f>IFERROR(VLOOKUP(B425,'02. MM-KLH'!$B$6:$T$823,14,0),"")</f>
        <v>NHẬT BẢN</v>
      </c>
      <c r="P425" s="80">
        <f>IFERROR(VLOOKUP(B425,'02. MM-KLH'!$B$6:$T$823,15,0),"")</f>
        <v>2015</v>
      </c>
      <c r="Q425" s="80" t="str">
        <f>IFERROR(VLOOKUP(B425,'02. MM-KLH'!$B$6:$T$823,16,0),"")</f>
        <v>FB15HB-12</v>
      </c>
      <c r="R425" s="106" t="str">
        <f>IFERROR(VLOOKUP(B425,'02. MM-KLH'!$B$6:$T$823,17,0),"")</f>
        <v>48V/280AH</v>
      </c>
      <c r="S425" s="108">
        <f>IFERROR(VLOOKUP(B425,'02. MM-KLH'!$B$6:$T$823,18,0),"")</f>
        <v>838092</v>
      </c>
      <c r="T425" s="110" t="str">
        <f>IFERROR(VLOOKUP(B425,'02. MM-KLH'!$B$6:$T$823,19,0),"")</f>
        <v>2C09/11</v>
      </c>
      <c r="U425" s="130" t="s">
        <v>79</v>
      </c>
    </row>
    <row r="426" ht="13.5" customHeight="1">
      <c r="A426" s="80">
        <f t="shared" si="19"/>
        <v>12</v>
      </c>
      <c r="B426" s="113" t="s">
        <v>2007</v>
      </c>
      <c r="C426" s="84" t="str">
        <f>IFERROR(VLOOKUP(B426,'02. MM-KLH'!$B$6:$T$823,2,0),"")</f>
        <v/>
      </c>
      <c r="D426" s="95" t="str">
        <f>IFERROR(VLOOKUP(B426,'02. MM-KLH'!$B$6:$T$823,3,0),"")</f>
        <v>ATT-A22-0055</v>
      </c>
      <c r="E426" s="86" t="str">
        <f>IFERROR(VLOOKUP(B426,'02. MM-KLH'!$B$6:$T$823,4,0),"")</f>
        <v/>
      </c>
      <c r="F426" s="115" t="s">
        <v>5838</v>
      </c>
      <c r="G426" s="86" t="str">
        <f>IFERROR(VLOOKUP(B426,'02. MM-KLH'!$B$6:$T$823,6,0),"")</f>
        <v>Xe nâng điện 2.5 tấn</v>
      </c>
      <c r="H426" s="80" t="s">
        <v>5820</v>
      </c>
      <c r="I426" s="80" t="str">
        <f>IFERROR(VLOOKUP(B426,'02. MM-KLH'!$B$6:$T$823,8,0),"")</f>
        <v>XN Bò AD</v>
      </c>
      <c r="J426" s="99" t="str">
        <f>IFERROR(VLOOKUP(B426,'02. MM-KLH'!$B$6:$T$823,9,0),"")</f>
        <v/>
      </c>
      <c r="K426" s="80" t="str">
        <f>IFERROR(VLOOKUP(B426,'02. MM-KLH'!$B$6:$T$823,10,0),"")</f>
        <v>Bình thường</v>
      </c>
      <c r="L426" s="102" t="str">
        <f>IFERROR(VLOOKUP(B426,'02. MM-KLH'!$B$6:$T$823,11,0),"")</f>
        <v/>
      </c>
      <c r="M426" s="143" t="str">
        <f>IFERROR(VLOOKUP(B426,'02. MM-KLH'!$B$6:$T$823,12,0),"")</f>
        <v>Xe đã qua sử dụng</v>
      </c>
      <c r="N426" s="108" t="str">
        <f>IFERROR(VLOOKUP(B426,'02. MM-KLH'!$B$6:$T$823,13,0),"")</f>
        <v>KOMATSU</v>
      </c>
      <c r="O426" s="108" t="str">
        <f>IFERROR(VLOOKUP(B426,'02. MM-KLH'!$B$6:$T$823,14,0),"")</f>
        <v>NHẬT BẢN</v>
      </c>
      <c r="P426" s="80" t="str">
        <f>IFERROR(VLOOKUP(B426,'02. MM-KLH'!$B$6:$T$823,15,0),"")</f>
        <v/>
      </c>
      <c r="Q426" s="80" t="str">
        <f>IFERROR(VLOOKUP(B426,'02. MM-KLH'!$B$6:$T$823,16,0),"")</f>
        <v>CP-CY25DC1B</v>
      </c>
      <c r="R426" s="106" t="str">
        <f>IFERROR(VLOOKUP(B426,'02. MM-KLH'!$B$6:$T$823,17,0),"")</f>
        <v>-</v>
      </c>
      <c r="S426" s="108">
        <f>IFERROR(VLOOKUP(B426,'02. MM-KLH'!$B$6:$T$823,18,0),"")</f>
        <v>806003</v>
      </c>
      <c r="T426" s="110" t="str">
        <f>IFERROR(VLOOKUP(B426,'02. MM-KLH'!$B$6:$T$823,19,0),"")</f>
        <v>CCN</v>
      </c>
      <c r="U426" s="130" t="s">
        <v>79</v>
      </c>
    </row>
    <row r="427" ht="13.5" customHeight="1">
      <c r="A427" s="80">
        <f t="shared" si="19"/>
        <v>13</v>
      </c>
      <c r="B427" s="115" t="s">
        <v>2009</v>
      </c>
      <c r="C427" s="84" t="str">
        <f>IFERROR(VLOOKUP(B427,'02. MM-KLH'!$B$6:$T$823,2,0),"")</f>
        <v/>
      </c>
      <c r="D427" s="95" t="str">
        <f>IFERROR(VLOOKUP(B427,'02. MM-KLH'!$B$6:$T$823,3,0),"")</f>
        <v>A22-XNA-004</v>
      </c>
      <c r="E427" s="86" t="str">
        <f>IFERROR(VLOOKUP(B427,'02. MM-KLH'!$B$6:$T$823,4,0),"")</f>
        <v/>
      </c>
      <c r="F427" s="115"/>
      <c r="G427" s="86" t="str">
        <f>IFERROR(VLOOKUP(B427,'02. MM-KLH'!$B$6:$T$823,6,0),"")</f>
        <v>Xe nâng dầu KOMATSU 3.5 tấn</v>
      </c>
      <c r="H427" s="80" t="s">
        <v>5841</v>
      </c>
      <c r="I427" s="80" t="str">
        <f>IFERROR(VLOOKUP(B427,'02. MM-KLH'!$B$6:$T$823,8,0),"")</f>
        <v>XN Bò AD</v>
      </c>
      <c r="J427" s="99" t="str">
        <f>IFERROR(VLOOKUP(B427,'02. MM-KLH'!$B$6:$T$823,9,0),"")</f>
        <v>17/01/2025</v>
      </c>
      <c r="K427" s="80" t="str">
        <f>IFERROR(VLOOKUP(B427,'02. MM-KLH'!$B$6:$T$823,10,0),"")</f>
        <v>Bình thường</v>
      </c>
      <c r="L427" s="102" t="str">
        <f>IFERROR(VLOOKUP(B427,'02. MM-KLH'!$B$6:$T$823,11,0),"")</f>
        <v/>
      </c>
      <c r="M427" s="143" t="str">
        <f>IFERROR(VLOOKUP(B427,'02. MM-KLH'!$B$6:$T$823,12,0),"")</f>
        <v>Đầu tư mới</v>
      </c>
      <c r="N427" s="108" t="str">
        <f>IFERROR(VLOOKUP(B427,'02. MM-KLH'!$B$6:$T$823,13,0),"")</f>
        <v>KOMATSU</v>
      </c>
      <c r="O427" s="108" t="str">
        <f>IFERROR(VLOOKUP(B427,'02. MM-KLH'!$B$6:$T$823,14,0),"")</f>
        <v>NHẬT BẢN</v>
      </c>
      <c r="P427" s="80">
        <f>IFERROR(VLOOKUP(B427,'02. MM-KLH'!$B$6:$T$823,15,0),"")</f>
        <v>2013</v>
      </c>
      <c r="Q427" s="80" t="str">
        <f>IFERROR(VLOOKUP(B427,'02. MM-KLH'!$B$6:$T$823,16,0),"")</f>
        <v>FH35-1</v>
      </c>
      <c r="R427" s="106" t="str">
        <f>IFERROR(VLOOKUP(B427,'02. MM-KLH'!$B$6:$T$823,17,0),"")</f>
        <v>70 HP</v>
      </c>
      <c r="S427" s="108">
        <f>IFERROR(VLOOKUP(B427,'02. MM-KLH'!$B$6:$T$823,18,0),"")</f>
        <v>38377</v>
      </c>
      <c r="T427" s="110" t="str">
        <f>IFERROR(VLOOKUP(B427,'02. MM-KLH'!$B$6:$T$823,19,0),"")</f>
        <v>CCN</v>
      </c>
      <c r="U427" s="130" t="s">
        <v>2301</v>
      </c>
    </row>
    <row r="428" ht="13.5" customHeight="1">
      <c r="A428" s="80">
        <f t="shared" si="19"/>
        <v>14</v>
      </c>
      <c r="B428" s="115" t="s">
        <v>2015</v>
      </c>
      <c r="C428" s="84" t="str">
        <f>IFERROR(VLOOKUP(B428,'02. MM-KLH'!$B$6:$T$823,2,0),"")</f>
        <v/>
      </c>
      <c r="D428" s="95" t="str">
        <f>IFERROR(VLOOKUP(B428,'02. MM-KLH'!$B$6:$T$823,3,0),"")</f>
        <v>A22-XNA-005</v>
      </c>
      <c r="E428" s="86" t="str">
        <f>IFERROR(VLOOKUP(B428,'02. MM-KLH'!$B$6:$T$823,4,0),"")</f>
        <v/>
      </c>
      <c r="F428" s="115"/>
      <c r="G428" s="86" t="str">
        <f>IFERROR(VLOOKUP(B428,'02. MM-KLH'!$B$6:$T$823,6,0),"")</f>
        <v>Xe nâng dầu HELI 3.5 tấn</v>
      </c>
      <c r="H428" s="80"/>
      <c r="I428" s="80" t="str">
        <f>IFERROR(VLOOKUP(B428,'02. MM-KLH'!$B$6:$T$823,8,0),"")</f>
        <v>XN Bò AD</v>
      </c>
      <c r="J428" s="99">
        <f>IFERROR(VLOOKUP(B428,'02. MM-KLH'!$B$6:$T$823,9,0),"")</f>
        <v>45813</v>
      </c>
      <c r="K428" s="80" t="str">
        <f>IFERROR(VLOOKUP(B428,'02. MM-KLH'!$B$6:$T$823,10,0),"")</f>
        <v>Bình thường</v>
      </c>
      <c r="L428" s="102" t="str">
        <f>IFERROR(VLOOKUP(B428,'02. MM-KLH'!$B$6:$T$823,11,0),"")</f>
        <v/>
      </c>
      <c r="M428" s="143" t="str">
        <f>IFERROR(VLOOKUP(B428,'02. MM-KLH'!$B$6:$T$823,12,0),"")</f>
        <v>Đầu tư mới (kèm TB: XB1-GNK-001)</v>
      </c>
      <c r="N428" s="108" t="str">
        <f>IFERROR(VLOOKUP(B428,'02. MM-KLH'!$B$6:$T$823,13,0),"")</f>
        <v>HELI</v>
      </c>
      <c r="O428" s="108" t="str">
        <f>IFERROR(VLOOKUP(B428,'02. MM-KLH'!$B$6:$T$823,14,0),"")</f>
        <v>NHẬT BẢN</v>
      </c>
      <c r="P428" s="80">
        <f>IFERROR(VLOOKUP(B428,'02. MM-KLH'!$B$6:$T$823,15,0),"")</f>
        <v>2024</v>
      </c>
      <c r="Q428" s="80" t="str">
        <f>IFERROR(VLOOKUP(B428,'02. MM-KLH'!$B$6:$T$823,16,0),"")</f>
        <v>CPCD35</v>
      </c>
      <c r="R428" s="106" t="str">
        <f>IFERROR(VLOOKUP(B428,'02. MM-KLH'!$B$6:$T$823,17,0),"")</f>
        <v>60HP</v>
      </c>
      <c r="S428" s="108" t="str">
        <f>IFERROR(VLOOKUP(B428,'02. MM-KLH'!$B$6:$T$823,18,0),"")</f>
        <v>010353K5641</v>
      </c>
      <c r="T428" s="110" t="str">
        <f>IFERROR(VLOOKUP(B428,'02. MM-KLH'!$B$6:$T$823,19,0),"")</f>
        <v>4JG2-650393</v>
      </c>
      <c r="U428" s="130" t="s">
        <v>2301</v>
      </c>
    </row>
    <row r="429" ht="13.5" customHeight="1">
      <c r="A429" s="80">
        <f t="shared" si="19"/>
        <v>15</v>
      </c>
      <c r="B429" s="115" t="s">
        <v>2022</v>
      </c>
      <c r="C429" s="84" t="str">
        <f>IFERROR(VLOOKUP(B429,'02. MM-KLH'!$B$6:$T$823,2,0),"")</f>
        <v/>
      </c>
      <c r="D429" s="95" t="str">
        <f>IFERROR(VLOOKUP(B429,'02. MM-KLH'!$B$6:$T$823,3,0),"")</f>
        <v>A22-XNA-006</v>
      </c>
      <c r="E429" s="86" t="str">
        <f>IFERROR(VLOOKUP(B429,'02. MM-KLH'!$B$6:$T$823,4,0),"")</f>
        <v/>
      </c>
      <c r="F429" s="115"/>
      <c r="G429" s="86" t="str">
        <f>IFERROR(VLOOKUP(B429,'02. MM-KLH'!$B$6:$T$823,6,0),"")</f>
        <v>Xe nâng dầu HELI 3.5 tấn</v>
      </c>
      <c r="H429" s="80"/>
      <c r="I429" s="80" t="str">
        <f>IFERROR(VLOOKUP(B429,'02. MM-KLH'!$B$6:$T$823,8,0),"")</f>
        <v>XN Bò AD</v>
      </c>
      <c r="J429" s="99">
        <f>IFERROR(VLOOKUP(B429,'02. MM-KLH'!$B$6:$T$823,9,0),"")</f>
        <v>45813</v>
      </c>
      <c r="K429" s="80" t="str">
        <f>IFERROR(VLOOKUP(B429,'02. MM-KLH'!$B$6:$T$823,10,0),"")</f>
        <v>Bình thường</v>
      </c>
      <c r="L429" s="102" t="str">
        <f>IFERROR(VLOOKUP(B429,'02. MM-KLH'!$B$6:$T$823,11,0),"")</f>
        <v/>
      </c>
      <c r="M429" s="143" t="str">
        <f>IFERROR(VLOOKUP(B429,'02. MM-KLH'!$B$6:$T$823,12,0),"")</f>
        <v>Đầu tư mới (kèm TB: XB1-GNK-002)</v>
      </c>
      <c r="N429" s="108" t="str">
        <f>IFERROR(VLOOKUP(B429,'02. MM-KLH'!$B$6:$T$823,13,0),"")</f>
        <v>HELI</v>
      </c>
      <c r="O429" s="108" t="str">
        <f>IFERROR(VLOOKUP(B429,'02. MM-KLH'!$B$6:$T$823,14,0),"")</f>
        <v>NHẬT BẢN</v>
      </c>
      <c r="P429" s="80">
        <f>IFERROR(VLOOKUP(B429,'02. MM-KLH'!$B$6:$T$823,15,0),"")</f>
        <v>2024</v>
      </c>
      <c r="Q429" s="80" t="str">
        <f>IFERROR(VLOOKUP(B429,'02. MM-KLH'!$B$6:$T$823,16,0),"")</f>
        <v>CPCD35</v>
      </c>
      <c r="R429" s="106" t="str">
        <f>IFERROR(VLOOKUP(B429,'02. MM-KLH'!$B$6:$T$823,17,0),"")</f>
        <v>60HP</v>
      </c>
      <c r="S429" s="108" t="str">
        <f>IFERROR(VLOOKUP(B429,'02. MM-KLH'!$B$6:$T$823,18,0),"")</f>
        <v>010353H8176</v>
      </c>
      <c r="T429" s="110" t="str">
        <f>IFERROR(VLOOKUP(B429,'02. MM-KLH'!$B$6:$T$823,19,0),"")</f>
        <v>4JG2-649490</v>
      </c>
      <c r="U429" s="130" t="s">
        <v>2301</v>
      </c>
    </row>
    <row r="430" ht="13.5" customHeight="1">
      <c r="A430" s="80">
        <f t="shared" si="19"/>
        <v>16</v>
      </c>
      <c r="B430" s="113" t="s">
        <v>2599</v>
      </c>
      <c r="C430" s="84" t="str">
        <f>IFERROR(VLOOKUP(B430,'02. MM-KLH'!$B$6:$T$823,2,0),"")</f>
        <v>CKC-XNĐ-001</v>
      </c>
      <c r="D430" s="95" t="str">
        <f>IFERROR(VLOOKUP(B430,'02. MM-KLH'!$B$6:$T$823,3,0),"")</f>
        <v>A22-XNA-002</v>
      </c>
      <c r="E430" s="86" t="str">
        <f>IFERROR(VLOOKUP(B430,'02. MM-KLH'!$B$6:$T$823,4,0),"")</f>
        <v/>
      </c>
      <c r="F430" s="115"/>
      <c r="G430" s="86" t="str">
        <f>IFERROR(VLOOKUP(B430,'02. MM-KLH'!$B$6:$T$823,6,0),"")</f>
        <v>Xe nâng 2.5 tấn</v>
      </c>
      <c r="H430" s="80" t="s">
        <v>5841</v>
      </c>
      <c r="I430" s="80" t="str">
        <f>IFERROR(VLOOKUP(B430,'02. MM-KLH'!$B$6:$T$823,8,0),"")</f>
        <v>Thagricons</v>
      </c>
      <c r="J430" s="99" t="str">
        <f>IFERROR(VLOOKUP(B430,'02. MM-KLH'!$B$6:$T$823,9,0),"")</f>
        <v/>
      </c>
      <c r="K430" s="80" t="str">
        <f>IFERROR(VLOOKUP(B430,'02. MM-KLH'!$B$6:$T$823,10,0),"")</f>
        <v>Bình thường</v>
      </c>
      <c r="L430" s="102" t="str">
        <f>IFERROR(VLOOKUP(B430,'02. MM-KLH'!$B$6:$T$823,11,0),"")</f>
        <v/>
      </c>
      <c r="M430" s="143" t="str">
        <f>IFERROR(VLOOKUP(B430,'02. MM-KLH'!$B$6:$T$823,12,0),"")</f>
        <v/>
      </c>
      <c r="N430" s="108" t="str">
        <f>IFERROR(VLOOKUP(B430,'02. MM-KLH'!$B$6:$T$823,13,0),"")</f>
        <v>HELI</v>
      </c>
      <c r="O430" s="108" t="str">
        <f>IFERROR(VLOOKUP(B430,'02. MM-KLH'!$B$6:$T$823,14,0),"")</f>
        <v/>
      </c>
      <c r="P430" s="80" t="str">
        <f>IFERROR(VLOOKUP(B430,'02. MM-KLH'!$B$6:$T$823,15,0),"")</f>
        <v/>
      </c>
      <c r="Q430" s="80" t="str">
        <f>IFERROR(VLOOKUP(B430,'02. MM-KLH'!$B$6:$T$823,16,0),"")</f>
        <v/>
      </c>
      <c r="R430" s="106" t="str">
        <f>IFERROR(VLOOKUP(B430,'02. MM-KLH'!$B$6:$T$823,17,0),"")</f>
        <v/>
      </c>
      <c r="S430" s="108" t="str">
        <f>IFERROR(VLOOKUP(B430,'02. MM-KLH'!$B$6:$T$823,18,0),"")</f>
        <v>4TNE98</v>
      </c>
      <c r="T430" s="110" t="str">
        <f>IFERROR(VLOOKUP(B430,'02. MM-KLH'!$B$6:$T$823,19,0),"")</f>
        <v>CCN</v>
      </c>
      <c r="U430" s="130" t="s">
        <v>79</v>
      </c>
    </row>
    <row r="431" ht="13.5" customHeight="1">
      <c r="A431" s="80">
        <f t="shared" si="19"/>
        <v>17</v>
      </c>
      <c r="B431" s="134" t="s">
        <v>1488</v>
      </c>
      <c r="C431" s="84" t="str">
        <f>IFERROR(VLOOKUP(B431,'02. MM-KLH'!$B$6:$T$823,2,0),"")</f>
        <v/>
      </c>
      <c r="D431" s="95" t="str">
        <f>IFERROR(VLOOKUP(B431,'02. MM-KLH'!$B$6:$T$823,3,0),"")</f>
        <v>A24-XNA-001</v>
      </c>
      <c r="E431" s="86" t="str">
        <f>IFERROR(VLOOKUP(B431,'02. MM-KLH'!$B$6:$T$823,4,0),"")</f>
        <v/>
      </c>
      <c r="F431" s="134"/>
      <c r="G431" s="86" t="str">
        <f>IFERROR(VLOOKUP(B431,'02. MM-KLH'!$B$6:$T$823,6,0),"")</f>
        <v>Xe nâng điện 1.5 tấn</v>
      </c>
      <c r="H431" s="80" t="s">
        <v>5820</v>
      </c>
      <c r="I431" s="80" t="str">
        <f>IFERROR(VLOOKUP(B431,'02. MM-KLH'!$B$6:$T$823,8,0),"")</f>
        <v>XN Chuối LP3</v>
      </c>
      <c r="J431" s="99" t="str">
        <f>IFERROR(VLOOKUP(B431,'02. MM-KLH'!$B$6:$T$823,9,0),"")</f>
        <v/>
      </c>
      <c r="K431" s="80" t="str">
        <f>IFERROR(VLOOKUP(B431,'02. MM-KLH'!$B$6:$T$823,10,0),"")</f>
        <v>Bình thường</v>
      </c>
      <c r="L431" s="102" t="str">
        <f>IFERROR(VLOOKUP(B431,'02. MM-KLH'!$B$6:$T$823,11,0),"")</f>
        <v/>
      </c>
      <c r="M431" s="143" t="str">
        <f>IFERROR(VLOOKUP(B431,'02. MM-KLH'!$B$6:$T$823,12,0),"")</f>
        <v>XĐG LP3</v>
      </c>
      <c r="N431" s="108" t="str">
        <f>IFERROR(VLOOKUP(B431,'02. MM-KLH'!$B$6:$T$823,13,0),"")</f>
        <v>KOMATSU</v>
      </c>
      <c r="O431" s="108" t="str">
        <f>IFERROR(VLOOKUP(B431,'02. MM-KLH'!$B$6:$T$823,14,0),"")</f>
        <v>NHẬT BẢN</v>
      </c>
      <c r="P431" s="80">
        <f>IFERROR(VLOOKUP(B431,'02. MM-KLH'!$B$6:$T$823,15,0),"")</f>
        <v>2007</v>
      </c>
      <c r="Q431" s="80" t="str">
        <f>IFERROR(VLOOKUP(B431,'02. MM-KLH'!$B$6:$T$823,16,0),"")</f>
        <v>FB15-12</v>
      </c>
      <c r="R431" s="106" t="str">
        <f>IFERROR(VLOOKUP(B431,'02. MM-KLH'!$B$6:$T$823,17,0),"")</f>
        <v/>
      </c>
      <c r="S431" s="108">
        <f>IFERROR(VLOOKUP(B431,'02. MM-KLH'!$B$6:$T$823,18,0),"")</f>
        <v>830261</v>
      </c>
      <c r="T431" s="110">
        <f>IFERROR(VLOOKUP(B431,'02. MM-KLH'!$B$6:$T$823,19,0),"")</f>
        <v>39114</v>
      </c>
      <c r="U431" s="130" t="s">
        <v>79</v>
      </c>
    </row>
    <row r="432" ht="13.5" customHeight="1">
      <c r="A432" s="80">
        <f t="shared" si="19"/>
        <v>18</v>
      </c>
      <c r="B432" s="134" t="s">
        <v>1492</v>
      </c>
      <c r="C432" s="84" t="str">
        <f>IFERROR(VLOOKUP(B432,'02. MM-KLH'!$B$6:$T$823,2,0),"")</f>
        <v/>
      </c>
      <c r="D432" s="95" t="str">
        <f>IFERROR(VLOOKUP(B432,'02. MM-KLH'!$B$6:$T$823,3,0),"")</f>
        <v/>
      </c>
      <c r="E432" s="86" t="str">
        <f>IFERROR(VLOOKUP(B432,'02. MM-KLH'!$B$6:$T$823,4,0),"")</f>
        <v/>
      </c>
      <c r="F432" s="134"/>
      <c r="G432" s="86" t="str">
        <f>IFERROR(VLOOKUP(B432,'02. MM-KLH'!$B$6:$T$823,6,0),"")</f>
        <v>Xe nâng điện 1.5 tấn</v>
      </c>
      <c r="H432" s="80" t="s">
        <v>5820</v>
      </c>
      <c r="I432" s="80" t="str">
        <f>IFERROR(VLOOKUP(B432,'02. MM-KLH'!$B$6:$T$823,8,0),"")</f>
        <v>XN Chuối LP3</v>
      </c>
      <c r="J432" s="99" t="str">
        <f>IFERROR(VLOOKUP(B432,'02. MM-KLH'!$B$6:$T$823,9,0),"")</f>
        <v/>
      </c>
      <c r="K432" s="80" t="str">
        <f>IFERROR(VLOOKUP(B432,'02. MM-KLH'!$B$6:$T$823,10,0),"")</f>
        <v>Bình thường</v>
      </c>
      <c r="L432" s="102" t="str">
        <f>IFERROR(VLOOKUP(B432,'02. MM-KLH'!$B$6:$T$823,11,0),"")</f>
        <v/>
      </c>
      <c r="M432" s="143" t="str">
        <f>IFERROR(VLOOKUP(B432,'02. MM-KLH'!$B$6:$T$823,12,0),"")</f>
        <v>XĐG LP3</v>
      </c>
      <c r="N432" s="108" t="str">
        <f>IFERROR(VLOOKUP(B432,'02. MM-KLH'!$B$6:$T$823,13,0),"")</f>
        <v>BYD</v>
      </c>
      <c r="O432" s="108" t="str">
        <f>IFERROR(VLOOKUP(B432,'02. MM-KLH'!$B$6:$T$823,14,0),"")</f>
        <v>TRUNG QUỐC</v>
      </c>
      <c r="P432" s="80">
        <f>IFERROR(VLOOKUP(B432,'02. MM-KLH'!$B$6:$T$823,15,0),"")</f>
        <v>2019</v>
      </c>
      <c r="Q432" s="80" t="str">
        <f>IFERROR(VLOOKUP(B432,'02. MM-KLH'!$B$6:$T$823,16,0),"")</f>
        <v>ECB16S-B</v>
      </c>
      <c r="R432" s="106" t="str">
        <f>IFERROR(VLOOKUP(B432,'02. MM-KLH'!$B$6:$T$823,17,0),"")</f>
        <v/>
      </c>
      <c r="S432" s="108">
        <f>IFERROR(VLOOKUP(B432,'02. MM-KLH'!$B$6:$T$823,18,0),"")</f>
        <v>1501190005</v>
      </c>
      <c r="T432" s="110" t="str">
        <f>IFERROR(VLOOKUP(B432,'02. MM-KLH'!$B$6:$T$823,19,0),"")</f>
        <v>TS2510598-2021</v>
      </c>
      <c r="U432" s="130" t="s">
        <v>79</v>
      </c>
    </row>
    <row r="433" ht="13.5" customHeight="1">
      <c r="A433" s="80">
        <f t="shared" si="19"/>
        <v>19</v>
      </c>
      <c r="B433" s="134" t="s">
        <v>1494</v>
      </c>
      <c r="C433" s="84" t="str">
        <f>IFERROR(VLOOKUP(B433,'02. MM-KLH'!$B$6:$T$823,2,0),"")</f>
        <v/>
      </c>
      <c r="D433" s="95" t="str">
        <f>IFERROR(VLOOKUP(B433,'02. MM-KLH'!$B$6:$T$823,3,0),"")</f>
        <v>A24-XNA-003</v>
      </c>
      <c r="E433" s="86" t="str">
        <f>IFERROR(VLOOKUP(B433,'02. MM-KLH'!$B$6:$T$823,4,0),"")</f>
        <v/>
      </c>
      <c r="F433" s="134"/>
      <c r="G433" s="86" t="str">
        <f>IFERROR(VLOOKUP(B433,'02. MM-KLH'!$B$6:$T$823,6,0),"")</f>
        <v>Xe nâng điện 2.5 tấn</v>
      </c>
      <c r="H433" s="80" t="s">
        <v>5820</v>
      </c>
      <c r="I433" s="80" t="str">
        <f>IFERROR(VLOOKUP(B433,'02. MM-KLH'!$B$6:$T$823,8,0),"")</f>
        <v>XN Chuối LP3</v>
      </c>
      <c r="J433" s="99">
        <f>IFERROR(VLOOKUP(B433,'02. MM-KLH'!$B$6:$T$823,9,0),"")</f>
        <v>46361</v>
      </c>
      <c r="K433" s="80" t="str">
        <f>IFERROR(VLOOKUP(B433,'02. MM-KLH'!$B$6:$T$823,10,0),"")</f>
        <v>Bình thường</v>
      </c>
      <c r="L433" s="102" t="str">
        <f>IFERROR(VLOOKUP(B433,'02. MM-KLH'!$B$6:$T$823,11,0),"")</f>
        <v/>
      </c>
      <c r="M433" s="143" t="str">
        <f>IFERROR(VLOOKUP(B433,'02. MM-KLH'!$B$6:$T$823,12,0),"")</f>
        <v>Đầu tư mới</v>
      </c>
      <c r="N433" s="108" t="str">
        <f>IFERROR(VLOOKUP(B433,'02. MM-KLH'!$B$6:$T$823,13,0),"")</f>
        <v>LOVOL</v>
      </c>
      <c r="O433" s="108" t="str">
        <f>IFERROR(VLOOKUP(B433,'02. MM-KLH'!$B$6:$T$823,14,0),"")</f>
        <v>TRUNG QUỐC</v>
      </c>
      <c r="P433" s="80">
        <f>IFERROR(VLOOKUP(B433,'02. MM-KLH'!$B$6:$T$823,15,0),"")</f>
        <v>2026</v>
      </c>
      <c r="Q433" s="80" t="str">
        <f>IFERROR(VLOOKUP(B433,'02. MM-KLH'!$B$6:$T$823,16,0),"")</f>
        <v>FF25E</v>
      </c>
      <c r="R433" s="106" t="str">
        <f>IFERROR(VLOOKUP(B433,'02. MM-KLH'!$B$6:$T$823,17,0),"")</f>
        <v>13,68 HP</v>
      </c>
      <c r="S433" s="108" t="str">
        <f>IFERROR(VLOOKUP(B433,'02. MM-KLH'!$B$6:$T$823,18,0),"")</f>
        <v>C31293R50030</v>
      </c>
      <c r="T433" s="110" t="str">
        <f>IFERROR(VLOOKUP(B433,'02. MM-KLH'!$B$6:$T$823,19,0),"")</f>
        <v/>
      </c>
      <c r="U433" s="130" t="s">
        <v>2301</v>
      </c>
    </row>
    <row r="434" ht="13.5" customHeight="1">
      <c r="A434" s="80">
        <f t="shared" si="19"/>
        <v>20</v>
      </c>
      <c r="B434" s="113" t="s">
        <v>2002</v>
      </c>
      <c r="C434" s="84" t="str">
        <f>IFERROR(VLOOKUP(B434,'02. MM-KLH'!$B$6:$T$823,2,0),"")</f>
        <v>MỚI</v>
      </c>
      <c r="D434" s="95" t="str">
        <f>IFERROR(VLOOKUP(B434,'02. MM-KLH'!$B$6:$T$823,3,0),"")</f>
        <v>ATT-A22-0305</v>
      </c>
      <c r="E434" s="86" t="str">
        <f>IFERROR(VLOOKUP(B434,'02. MM-KLH'!$B$6:$T$823,4,0),"")</f>
        <v/>
      </c>
      <c r="F434" s="115" t="s">
        <v>5843</v>
      </c>
      <c r="G434" s="86" t="str">
        <f>IFERROR(VLOOKUP(B434,'02. MM-KLH'!$B$6:$T$823,6,0),"")</f>
        <v>Xe nâng 3 tấn</v>
      </c>
      <c r="H434" s="80" t="s">
        <v>5841</v>
      </c>
      <c r="I434" s="80" t="str">
        <f>IFERROR(VLOOKUP(B434,'02. MM-KLH'!$B$6:$T$823,8,0),"")</f>
        <v>XN Bò AD</v>
      </c>
      <c r="J434" s="99" t="str">
        <f>IFERROR(VLOOKUP(B434,'02. MM-KLH'!$B$6:$T$823,9,0),"")</f>
        <v>15/12/2023</v>
      </c>
      <c r="K434" s="80" t="str">
        <f>IFERROR(VLOOKUP(B434,'02. MM-KLH'!$B$6:$T$823,10,0),"")</f>
        <v>Bình thường</v>
      </c>
      <c r="L434" s="102">
        <f>IFERROR(VLOOKUP(B434,'02. MM-KLH'!$B$6:$T$823,11,0),"")</f>
        <v>0.97</v>
      </c>
      <c r="M434" s="143" t="str">
        <f>IFERROR(VLOOKUP(B434,'02. MM-KLH'!$B$6:$T$823,12,0),"")</f>
        <v>Xe đã qua sử dụng</v>
      </c>
      <c r="N434" s="108" t="str">
        <f>IFERROR(VLOOKUP(B434,'02. MM-KLH'!$B$6:$T$823,13,0),"")</f>
        <v>KOMATSU</v>
      </c>
      <c r="O434" s="108" t="str">
        <f>IFERROR(VLOOKUP(B434,'02. MM-KLH'!$B$6:$T$823,14,0),"")</f>
        <v>NHẬT BẢN</v>
      </c>
      <c r="P434" s="80">
        <f>IFERROR(VLOOKUP(B434,'02. MM-KLH'!$B$6:$T$823,15,0),"")</f>
        <v>2018</v>
      </c>
      <c r="Q434" s="80" t="str">
        <f>IFERROR(VLOOKUP(B434,'02. MM-KLH'!$B$6:$T$823,16,0),"")</f>
        <v>FD30T-17</v>
      </c>
      <c r="R434" s="106" t="str">
        <f>IFERROR(VLOOKUP(B434,'02. MM-KLH'!$B$6:$T$823,17,0),"")</f>
        <v>30HP</v>
      </c>
      <c r="S434" s="108">
        <f>IFERROR(VLOOKUP(B434,'02. MM-KLH'!$B$6:$T$823,18,0),"")</f>
        <v>308754</v>
      </c>
      <c r="T434" s="110" t="str">
        <f>IFERROR(VLOOKUP(B434,'02. MM-KLH'!$B$6:$T$823,19,0),"")</f>
        <v>CCN</v>
      </c>
      <c r="U434" s="130" t="s">
        <v>79</v>
      </c>
    </row>
    <row r="435" ht="13.5" customHeight="1">
      <c r="A435" s="80">
        <f t="shared" si="19"/>
        <v>21</v>
      </c>
      <c r="B435" s="113" t="s">
        <v>2614</v>
      </c>
      <c r="C435" s="84" t="str">
        <f>IFERROR(VLOOKUP(B435,'02. MM-KLH'!$B$6:$T$823,2,0),"")</f>
        <v>NTA-XNA-002</v>
      </c>
      <c r="D435" s="95" t="str">
        <f>IFERROR(VLOOKUP(B435,'02. MM-KLH'!$B$6:$T$823,3,0),"")</f>
        <v>A22-XNA-001</v>
      </c>
      <c r="E435" s="86" t="str">
        <f>IFERROR(VLOOKUP(B435,'02. MM-KLH'!$B$6:$T$823,4,0),"")</f>
        <v/>
      </c>
      <c r="F435" s="115"/>
      <c r="G435" s="86" t="str">
        <f>IFERROR(VLOOKUP(B435,'02. MM-KLH'!$B$6:$T$823,6,0),"")</f>
        <v>Xe nâng dầu YALE 3.5 tấn</v>
      </c>
      <c r="H435" s="80" t="s">
        <v>5841</v>
      </c>
      <c r="I435" s="80" t="str">
        <f>IFERROR(VLOOKUP(B435,'02. MM-KLH'!$B$6:$T$823,8,0),"")</f>
        <v>Thagricons</v>
      </c>
      <c r="J435" s="99" t="str">
        <f>IFERROR(VLOOKUP(B435,'02. MM-KLH'!$B$6:$T$823,9,0),"")</f>
        <v/>
      </c>
      <c r="K435" s="80" t="str">
        <f>IFERROR(VLOOKUP(B435,'02. MM-KLH'!$B$6:$T$823,10,0),"")</f>
        <v>Bình thường</v>
      </c>
      <c r="L435" s="102" t="str">
        <f>IFERROR(VLOOKUP(B435,'02. MM-KLH'!$B$6:$T$823,11,0),"")</f>
        <v/>
      </c>
      <c r="M435" s="143" t="str">
        <f>IFERROR(VLOOKUP(B435,'02. MM-KLH'!$B$6:$T$823,12,0),"")</f>
        <v/>
      </c>
      <c r="N435" s="108" t="str">
        <f>IFERROR(VLOOKUP(B435,'02. MM-KLH'!$B$6:$T$823,13,0),"")</f>
        <v>YALE</v>
      </c>
      <c r="O435" s="108" t="str">
        <f>IFERROR(VLOOKUP(B435,'02. MM-KLH'!$B$6:$T$823,14,0),"")</f>
        <v>NHẬT BẢN</v>
      </c>
      <c r="P435" s="80" t="str">
        <f>IFERROR(VLOOKUP(B435,'02. MM-KLH'!$B$6:$T$823,15,0),"")</f>
        <v/>
      </c>
      <c r="Q435" s="80" t="str">
        <f>IFERROR(VLOOKUP(B435,'02. MM-KLH'!$B$6:$T$823,16,0),"")</f>
        <v/>
      </c>
      <c r="R435" s="106" t="str">
        <f>IFERROR(VLOOKUP(B435,'02. MM-KLH'!$B$6:$T$823,17,0),"")</f>
        <v/>
      </c>
      <c r="S435" s="108">
        <f>IFERROR(VLOOKUP(B435,'02. MM-KLH'!$B$6:$T$823,18,0),"")</f>
        <v>31059</v>
      </c>
      <c r="T435" s="110" t="str">
        <f>IFERROR(VLOOKUP(B435,'02. MM-KLH'!$B$6:$T$823,19,0),"")</f>
        <v>4TNE98-805NNF</v>
      </c>
      <c r="U435" s="130" t="s">
        <v>79</v>
      </c>
    </row>
    <row r="436" ht="13.5" customHeight="1">
      <c r="A436" s="80">
        <f t="shared" si="19"/>
        <v>22</v>
      </c>
      <c r="B436" s="115" t="s">
        <v>2802</v>
      </c>
      <c r="C436" s="84" t="str">
        <f>IFERROR(VLOOKUP(B436,'02. MM-KLH'!$B$6:$T$823,2,0),"")</f>
        <v/>
      </c>
      <c r="D436" s="95" t="str">
        <f>IFERROR(VLOOKUP(B436,'02. MM-KLH'!$B$6:$T$823,3,0),"")</f>
        <v>-</v>
      </c>
      <c r="E436" s="86" t="str">
        <f>IFERROR(VLOOKUP(B436,'02. MM-KLH'!$B$6:$T$823,4,0),"")</f>
        <v/>
      </c>
      <c r="F436" s="187"/>
      <c r="G436" s="86" t="str">
        <f>IFERROR(VLOOKUP(B436,'02. MM-KLH'!$B$6:$T$823,6,0),"")</f>
        <v>Xe nâng 3.5T-CĐ18</v>
      </c>
      <c r="H436" s="80" t="s">
        <v>5841</v>
      </c>
      <c r="I436" s="80" t="str">
        <f>IFERROR(VLOOKUP(B436,'02. MM-KLH'!$B$6:$T$823,8,0),"")</f>
        <v>Thadicons A&amp;I</v>
      </c>
      <c r="J436" s="99" t="str">
        <f>IFERROR(VLOOKUP(B436,'02. MM-KLH'!$B$6:$T$823,9,0),"")</f>
        <v>Đã qua sử dụng</v>
      </c>
      <c r="K436" s="80" t="str">
        <f>IFERROR(VLOOKUP(B436,'02. MM-KLH'!$B$6:$T$823,10,0),"")</f>
        <v>Bình thường</v>
      </c>
      <c r="L436" s="102" t="str">
        <f>IFERROR(VLOOKUP(B436,'02. MM-KLH'!$B$6:$T$823,11,0),"")</f>
        <v/>
      </c>
      <c r="M436" s="143" t="str">
        <f>IFERROR(VLOOKUP(B436,'02. MM-KLH'!$B$6:$T$823,12,0),"")</f>
        <v/>
      </c>
      <c r="N436" s="108" t="str">
        <f>IFERROR(VLOOKUP(B436,'02. MM-KLH'!$B$6:$T$823,13,0),"")</f>
        <v>YALE</v>
      </c>
      <c r="O436" s="108" t="str">
        <f>IFERROR(VLOOKUP(B436,'02. MM-KLH'!$B$6:$T$823,14,0),"")</f>
        <v/>
      </c>
      <c r="P436" s="80" t="str">
        <f>IFERROR(VLOOKUP(B436,'02. MM-KLH'!$B$6:$T$823,15,0),"")</f>
        <v/>
      </c>
      <c r="Q436" s="80" t="str">
        <f>IFERROR(VLOOKUP(B436,'02. MM-KLH'!$B$6:$T$823,16,0),"")</f>
        <v/>
      </c>
      <c r="R436" s="106" t="str">
        <f>IFERROR(VLOOKUP(B436,'02. MM-KLH'!$B$6:$T$823,17,0),"")</f>
        <v/>
      </c>
      <c r="S436" s="108" t="str">
        <f>IFERROR(VLOOKUP(B436,'02. MM-KLH'!$B$6:$T$823,18,0),"")</f>
        <v/>
      </c>
      <c r="T436" s="110" t="str">
        <f>IFERROR(VLOOKUP(B436,'02. MM-KLH'!$B$6:$T$823,19,0),"")</f>
        <v/>
      </c>
      <c r="U436" s="130" t="s">
        <v>79</v>
      </c>
    </row>
    <row r="437" ht="13.5" customHeight="1">
      <c r="A437" s="80">
        <f t="shared" si="19"/>
        <v>23</v>
      </c>
      <c r="B437" s="115" t="s">
        <v>2534</v>
      </c>
      <c r="C437" s="84" t="str">
        <f>IFERROR(VLOOKUP(B437,'02. MM-KLH'!$B$6:$T$823,2,0),"")</f>
        <v/>
      </c>
      <c r="D437" s="95" t="str">
        <f>IFERROR(VLOOKUP(B437,'02. MM-KLH'!$B$6:$T$823,3,0),"")</f>
        <v>A23-XNA-001</v>
      </c>
      <c r="E437" s="86" t="str">
        <f>IFERROR(VLOOKUP(B437,'02. MM-KLH'!$B$6:$T$823,4,0),"")</f>
        <v/>
      </c>
      <c r="F437" s="115"/>
      <c r="G437" s="86" t="str">
        <f>IFERROR(VLOOKUP(B437,'02. MM-KLH'!$B$6:$T$823,6,0),"")</f>
        <v>Xe nâng dầu HELI 3.5 tấn</v>
      </c>
      <c r="H437" s="80" t="s">
        <v>5841</v>
      </c>
      <c r="I437" s="80" t="str">
        <f>IFERROR(VLOOKUP(B437,'02. MM-KLH'!$B$6:$T$823,8,0),"")</f>
        <v>Xưởng Cơ khí ADM&amp;LP</v>
      </c>
      <c r="J437" s="99" t="str">
        <f>IFERROR(VLOOKUP(B437,'02. MM-KLH'!$B$6:$T$823,9,0),"")</f>
        <v>18/03/2025</v>
      </c>
      <c r="K437" s="80" t="str">
        <f>IFERROR(VLOOKUP(B437,'02. MM-KLH'!$B$6:$T$823,10,0),"")</f>
        <v>Bình thường</v>
      </c>
      <c r="L437" s="102" t="str">
        <f>IFERROR(VLOOKUP(B437,'02. MM-KLH'!$B$6:$T$823,11,0),"")</f>
        <v/>
      </c>
      <c r="M437" s="143" t="str">
        <f>IFERROR(VLOOKUP(B437,'02. MM-KLH'!$B$6:$T$823,12,0),"")</f>
        <v/>
      </c>
      <c r="N437" s="108" t="str">
        <f>IFERROR(VLOOKUP(B437,'02. MM-KLH'!$B$6:$T$823,13,0),"")</f>
        <v>HELI</v>
      </c>
      <c r="O437" s="108" t="str">
        <f>IFERROR(VLOOKUP(B437,'02. MM-KLH'!$B$6:$T$823,14,0),"")</f>
        <v>TRUNG QUỐC</v>
      </c>
      <c r="P437" s="80">
        <f>IFERROR(VLOOKUP(B437,'02. MM-KLH'!$B$6:$T$823,15,0),"")</f>
        <v>2024</v>
      </c>
      <c r="Q437" s="80" t="str">
        <f>IFERROR(VLOOKUP(B437,'02. MM-KLH'!$B$6:$T$823,16,0),"")</f>
        <v>CPCD35</v>
      </c>
      <c r="R437" s="106" t="str">
        <f>IFERROR(VLOOKUP(B437,'02. MM-KLH'!$B$6:$T$823,17,0),"")</f>
        <v>60HP</v>
      </c>
      <c r="S437" s="108" t="str">
        <f>IFERROR(VLOOKUP(B437,'02. MM-KLH'!$B$6:$T$823,18,0),"")</f>
        <v>010353K6773</v>
      </c>
      <c r="T437" s="110" t="str">
        <f>IFERROR(VLOOKUP(B437,'02. MM-KLH'!$B$6:$T$823,19,0),"")</f>
        <v>CCN</v>
      </c>
      <c r="U437" s="130" t="s">
        <v>79</v>
      </c>
    </row>
    <row r="438" ht="13.5" customHeight="1">
      <c r="A438" s="80">
        <f t="shared" si="19"/>
        <v>24</v>
      </c>
      <c r="B438" s="115" t="s">
        <v>2538</v>
      </c>
      <c r="C438" s="84" t="str">
        <f>IFERROR(VLOOKUP(B438,'02. MM-KLH'!$B$6:$T$823,2,0),"")</f>
        <v/>
      </c>
      <c r="D438" s="95" t="str">
        <f>IFERROR(VLOOKUP(B438,'02. MM-KLH'!$B$6:$T$823,3,0),"")</f>
        <v/>
      </c>
      <c r="E438" s="86" t="str">
        <f>IFERROR(VLOOKUP(B438,'02. MM-KLH'!$B$6:$T$823,4,0),"")</f>
        <v/>
      </c>
      <c r="F438" s="115"/>
      <c r="G438" s="86" t="str">
        <f>IFERROR(VLOOKUP(B438,'02. MM-KLH'!$B$6:$T$823,6,0),"")</f>
        <v>Xe nâng dầu HELI 5 tấn</v>
      </c>
      <c r="H438" s="80" t="s">
        <v>5841</v>
      </c>
      <c r="I438" s="80" t="str">
        <f>IFERROR(VLOOKUP(B438,'02. MM-KLH'!$B$6:$T$823,8,0),"")</f>
        <v>Xưởng Cơ khí ADM&amp;LP</v>
      </c>
      <c r="J438" s="99" t="str">
        <f>IFERROR(VLOOKUP(B438,'02. MM-KLH'!$B$6:$T$823,9,0),"")</f>
        <v>28/04/2026</v>
      </c>
      <c r="K438" s="80" t="str">
        <f>IFERROR(VLOOKUP(B438,'02. MM-KLH'!$B$6:$T$823,10,0),"")</f>
        <v>Bình thường</v>
      </c>
      <c r="L438" s="102" t="str">
        <f>IFERROR(VLOOKUP(B438,'02. MM-KLH'!$B$6:$T$823,11,0),"")</f>
        <v/>
      </c>
      <c r="M438" s="143" t="str">
        <f>IFERROR(VLOOKUP(B438,'02. MM-KLH'!$B$6:$T$823,12,0),"")</f>
        <v/>
      </c>
      <c r="N438" s="108" t="str">
        <f>IFERROR(VLOOKUP(B438,'02. MM-KLH'!$B$6:$T$823,13,0),"")</f>
        <v>HELI</v>
      </c>
      <c r="O438" s="108" t="str">
        <f>IFERROR(VLOOKUP(B438,'02. MM-KLH'!$B$6:$T$823,14,0),"")</f>
        <v>TRUNG QUỐC</v>
      </c>
      <c r="P438" s="80">
        <f>IFERROR(VLOOKUP(B438,'02. MM-KLH'!$B$6:$T$823,15,0),"")</f>
        <v>2026</v>
      </c>
      <c r="Q438" s="80" t="str">
        <f>IFERROR(VLOOKUP(B438,'02. MM-KLH'!$B$6:$T$823,16,0),"")</f>
        <v>CPCD50</v>
      </c>
      <c r="R438" s="106" t="str">
        <f>IFERROR(VLOOKUP(B438,'02. MM-KLH'!$B$6:$T$823,17,0),"")</f>
        <v>69HP</v>
      </c>
      <c r="S438" s="108" t="str">
        <f>IFERROR(VLOOKUP(B438,'02. MM-KLH'!$B$6:$T$823,18,0),"")</f>
        <v>010503S3572</v>
      </c>
      <c r="T438" s="110" t="str">
        <f>IFERROR(VLOOKUP(B438,'02. MM-KLH'!$B$6:$T$823,19,0),"")</f>
        <v>CCN</v>
      </c>
      <c r="U438" s="130" t="s">
        <v>2301</v>
      </c>
    </row>
    <row r="439" ht="13.5" customHeight="1">
      <c r="A439" s="80">
        <f t="shared" si="19"/>
        <v>25</v>
      </c>
      <c r="B439" s="115" t="s">
        <v>2896</v>
      </c>
      <c r="C439" s="84" t="str">
        <f>IFERROR(VLOOKUP(B439,'02. MM-KLH'!$B$6:$T$823,2,0),"")</f>
        <v/>
      </c>
      <c r="D439" s="95" t="str">
        <f>IFERROR(VLOOKUP(B439,'02. MM-KLH'!$B$6:$T$823,3,0),"")</f>
        <v/>
      </c>
      <c r="E439" s="86" t="str">
        <f>IFERROR(VLOOKUP(B439,'02. MM-KLH'!$B$6:$T$823,4,0),"")</f>
        <v/>
      </c>
      <c r="F439" s="137"/>
      <c r="G439" s="86" t="str">
        <f>IFERROR(VLOOKUP(B439,'02. MM-KLH'!$B$6:$T$823,6,0),"")</f>
        <v>Xe nâng dầu YALE 3.5 tấn</v>
      </c>
      <c r="H439" s="80" t="s">
        <v>5841</v>
      </c>
      <c r="I439" s="80" t="str">
        <f>IFERROR(VLOOKUP(B439,'02. MM-KLH'!$B$6:$T$823,8,0),"")</f>
        <v>NM NHỰA -XỐP DP</v>
      </c>
      <c r="J439" s="99">
        <f>IFERROR(VLOOKUP(B439,'02. MM-KLH'!$B$6:$T$823,9,0),"")</f>
        <v>45931</v>
      </c>
      <c r="K439" s="80" t="str">
        <f>IFERROR(VLOOKUP(B439,'02. MM-KLH'!$B$6:$T$823,10,0),"")</f>
        <v>Bình thường</v>
      </c>
      <c r="L439" s="102" t="str">
        <f>IFERROR(VLOOKUP(B439,'02. MM-KLH'!$B$6:$T$823,11,0),"")</f>
        <v/>
      </c>
      <c r="M439" s="143" t="str">
        <f>IFERROR(VLOOKUP(B439,'02. MM-KLH'!$B$6:$T$823,12,0),"")</f>
        <v>Đầu tư mới</v>
      </c>
      <c r="N439" s="108" t="str">
        <f>IFERROR(VLOOKUP(B439,'02. MM-KLH'!$B$6:$T$823,13,0),"")</f>
        <v>YALE</v>
      </c>
      <c r="O439" s="108" t="str">
        <f>IFERROR(VLOOKUP(B439,'02. MM-KLH'!$B$6:$T$823,14,0),"")</f>
        <v>NHẬT BẢN</v>
      </c>
      <c r="P439" s="80">
        <f>IFERROR(VLOOKUP(B439,'02. MM-KLH'!$B$6:$T$823,15,0),"")</f>
        <v>2022</v>
      </c>
      <c r="Q439" s="80" t="str">
        <f>IFERROR(VLOOKUP(B439,'02. MM-KLH'!$B$6:$T$823,16,0),"")</f>
        <v>GDP35MX</v>
      </c>
      <c r="R439" s="106" t="str">
        <f>IFERROR(VLOOKUP(B439,'02. MM-KLH'!$B$6:$T$823,17,0),"")</f>
        <v>58HP</v>
      </c>
      <c r="S439" s="108" t="str">
        <f>IFERROR(VLOOKUP(B439,'02. MM-KLH'!$B$6:$T$823,18,0),"")</f>
        <v>D871R15794W</v>
      </c>
      <c r="T439" s="110" t="str">
        <f>IFERROR(VLOOKUP(B439,'02. MM-KLH'!$B$6:$T$823,19,0),"")</f>
        <v>CCN</v>
      </c>
      <c r="U439" s="130" t="s">
        <v>2301</v>
      </c>
    </row>
    <row r="440" ht="13.5" customHeight="1">
      <c r="A440" s="80">
        <f t="shared" si="19"/>
        <v>26</v>
      </c>
      <c r="B440" s="115" t="s">
        <v>2900</v>
      </c>
      <c r="C440" s="84" t="str">
        <f>IFERROR(VLOOKUP(B440,'02. MM-KLH'!$B$6:$T$823,2,0),"")</f>
        <v/>
      </c>
      <c r="D440" s="95" t="str">
        <f>IFERROR(VLOOKUP(B440,'02. MM-KLH'!$B$6:$T$823,3,0),"")</f>
        <v/>
      </c>
      <c r="E440" s="86" t="str">
        <f>IFERROR(VLOOKUP(B440,'02. MM-KLH'!$B$6:$T$823,4,0),"")</f>
        <v/>
      </c>
      <c r="F440" s="137"/>
      <c r="G440" s="86" t="str">
        <f>IFERROR(VLOOKUP(B440,'02. MM-KLH'!$B$6:$T$823,6,0),"")</f>
        <v>Xe nâng điện 2.5 tấn</v>
      </c>
      <c r="H440" s="80" t="s">
        <v>5841</v>
      </c>
      <c r="I440" s="80" t="str">
        <f>IFERROR(VLOOKUP(B440,'02. MM-KLH'!$B$6:$T$823,8,0),"")</f>
        <v>NM NHỰA -XỐP DP</v>
      </c>
      <c r="J440" s="99" t="str">
        <f>IFERROR(VLOOKUP(B440,'02. MM-KLH'!$B$6:$T$823,9,0),"")</f>
        <v/>
      </c>
      <c r="K440" s="80" t="str">
        <f>IFERROR(VLOOKUP(B440,'02. MM-KLH'!$B$6:$T$823,10,0),"")</f>
        <v>Bình thường</v>
      </c>
      <c r="L440" s="102" t="str">
        <f>IFERROR(VLOOKUP(B440,'02. MM-KLH'!$B$6:$T$823,11,0),"")</f>
        <v/>
      </c>
      <c r="M440" s="143" t="str">
        <f>IFERROR(VLOOKUP(B440,'02. MM-KLH'!$B$6:$T$823,12,0),"")</f>
        <v/>
      </c>
      <c r="N440" s="108" t="str">
        <f>IFERROR(VLOOKUP(B440,'02. MM-KLH'!$B$6:$T$823,13,0),"")</f>
        <v>HELI</v>
      </c>
      <c r="O440" s="108" t="str">
        <f>IFERROR(VLOOKUP(B440,'02. MM-KLH'!$B$6:$T$823,14,0),"")</f>
        <v>TRUNG QUỐC</v>
      </c>
      <c r="P440" s="80">
        <f>IFERROR(VLOOKUP(B440,'02. MM-KLH'!$B$6:$T$823,15,0),"")</f>
        <v>2021</v>
      </c>
      <c r="Q440" s="80" t="str">
        <f>IFERROR(VLOOKUP(B440,'02. MM-KLH'!$B$6:$T$823,16,0),"")</f>
        <v>CPD25-GB2LI-H</v>
      </c>
      <c r="R440" s="106" t="str">
        <f>IFERROR(VLOOKUP(B440,'02. MM-KLH'!$B$6:$T$823,17,0),"")</f>
        <v/>
      </c>
      <c r="S440" s="108" t="str">
        <f>IFERROR(VLOOKUP(B440,'02. MM-KLH'!$B$6:$T$823,18,0),"")</f>
        <v>05025DF7308</v>
      </c>
      <c r="T440" s="110" t="str">
        <f>IFERROR(VLOOKUP(B440,'02. MM-KLH'!$B$6:$T$823,19,0),"")</f>
        <v/>
      </c>
      <c r="U440" s="130" t="s">
        <v>79</v>
      </c>
    </row>
    <row r="441" ht="13.5" customHeight="1">
      <c r="A441" s="80">
        <f t="shared" si="19"/>
        <v>27</v>
      </c>
      <c r="B441" s="115" t="s">
        <v>2903</v>
      </c>
      <c r="C441" s="84" t="str">
        <f>IFERROR(VLOOKUP(B441,'02. MM-KLH'!$B$6:$T$823,2,0),"")</f>
        <v/>
      </c>
      <c r="D441" s="95" t="str">
        <f>IFERROR(VLOOKUP(B441,'02. MM-KLH'!$B$6:$T$823,3,0),"")</f>
        <v/>
      </c>
      <c r="E441" s="86" t="str">
        <f>IFERROR(VLOOKUP(B441,'02. MM-KLH'!$B$6:$T$823,4,0),"")</f>
        <v/>
      </c>
      <c r="F441" s="137"/>
      <c r="G441" s="86" t="str">
        <f>IFERROR(VLOOKUP(B441,'02. MM-KLH'!$B$6:$T$823,6,0),"")</f>
        <v>Xe nâng điện 2.5 tấn</v>
      </c>
      <c r="H441" s="80" t="s">
        <v>5841</v>
      </c>
      <c r="I441" s="80" t="str">
        <f>IFERROR(VLOOKUP(B441,'02. MM-KLH'!$B$6:$T$823,8,0),"")</f>
        <v>NM NHỰA -XỐP DP</v>
      </c>
      <c r="J441" s="99" t="str">
        <f>IFERROR(VLOOKUP(B441,'02. MM-KLH'!$B$6:$T$823,9,0),"")</f>
        <v/>
      </c>
      <c r="K441" s="80" t="str">
        <f>IFERROR(VLOOKUP(B441,'02. MM-KLH'!$B$6:$T$823,10,0),"")</f>
        <v>Bình thường</v>
      </c>
      <c r="L441" s="102" t="str">
        <f>IFERROR(VLOOKUP(B441,'02. MM-KLH'!$B$6:$T$823,11,0),"")</f>
        <v/>
      </c>
      <c r="M441" s="143" t="str">
        <f>IFERROR(VLOOKUP(B441,'02. MM-KLH'!$B$6:$T$823,12,0),"")</f>
        <v/>
      </c>
      <c r="N441" s="108" t="str">
        <f>IFERROR(VLOOKUP(B441,'02. MM-KLH'!$B$6:$T$823,13,0),"")</f>
        <v>HELI</v>
      </c>
      <c r="O441" s="108" t="str">
        <f>IFERROR(VLOOKUP(B441,'02. MM-KLH'!$B$6:$T$823,14,0),"")</f>
        <v>TRUNG QUỐC</v>
      </c>
      <c r="P441" s="80">
        <f>IFERROR(VLOOKUP(B441,'02. MM-KLH'!$B$6:$T$823,15,0),"")</f>
        <v>2021</v>
      </c>
      <c r="Q441" s="80" t="str">
        <f>IFERROR(VLOOKUP(B441,'02. MM-KLH'!$B$6:$T$823,16,0),"")</f>
        <v>CPD25-GB2LI-H</v>
      </c>
      <c r="R441" s="106" t="str">
        <f>IFERROR(VLOOKUP(B441,'02. MM-KLH'!$B$6:$T$823,17,0),"")</f>
        <v/>
      </c>
      <c r="S441" s="108" t="str">
        <f>IFERROR(VLOOKUP(B441,'02. MM-KLH'!$B$6:$T$823,18,0),"")</f>
        <v>05025DF945</v>
      </c>
      <c r="T441" s="110" t="str">
        <f>IFERROR(VLOOKUP(B441,'02. MM-KLH'!$B$6:$T$823,19,0),"")</f>
        <v/>
      </c>
      <c r="U441" s="130" t="s">
        <v>79</v>
      </c>
    </row>
    <row r="442" ht="13.5" customHeight="1">
      <c r="A442" s="80">
        <f t="shared" si="19"/>
        <v>28</v>
      </c>
      <c r="B442" s="115" t="s">
        <v>2905</v>
      </c>
      <c r="C442" s="84" t="str">
        <f>IFERROR(VLOOKUP(B442,'02. MM-KLH'!$B$6:$T$823,2,0),"")</f>
        <v/>
      </c>
      <c r="D442" s="95" t="str">
        <f>IFERROR(VLOOKUP(B442,'02. MM-KLH'!$B$6:$T$823,3,0),"")</f>
        <v/>
      </c>
      <c r="E442" s="86" t="str">
        <f>IFERROR(VLOOKUP(B442,'02. MM-KLH'!$B$6:$T$823,4,0),"")</f>
        <v/>
      </c>
      <c r="F442" s="137"/>
      <c r="G442" s="86" t="str">
        <f>IFERROR(VLOOKUP(B442,'02. MM-KLH'!$B$6:$T$823,6,0),"")</f>
        <v>Xe nâng điện 2.5 tấn</v>
      </c>
      <c r="H442" s="80" t="s">
        <v>5841</v>
      </c>
      <c r="I442" s="80" t="str">
        <f>IFERROR(VLOOKUP(B442,'02. MM-KLH'!$B$6:$T$823,8,0),"")</f>
        <v>NM NHỰA -XỐP DP</v>
      </c>
      <c r="J442" s="99" t="str">
        <f>IFERROR(VLOOKUP(B442,'02. MM-KLH'!$B$6:$T$823,9,0),"")</f>
        <v/>
      </c>
      <c r="K442" s="80" t="str">
        <f>IFERROR(VLOOKUP(B442,'02. MM-KLH'!$B$6:$T$823,10,0),"")</f>
        <v>Bình thường</v>
      </c>
      <c r="L442" s="102" t="str">
        <f>IFERROR(VLOOKUP(B442,'02. MM-KLH'!$B$6:$T$823,11,0),"")</f>
        <v/>
      </c>
      <c r="M442" s="143" t="str">
        <f>IFERROR(VLOOKUP(B442,'02. MM-KLH'!$B$6:$T$823,12,0),"")</f>
        <v/>
      </c>
      <c r="N442" s="108" t="str">
        <f>IFERROR(VLOOKUP(B442,'02. MM-KLH'!$B$6:$T$823,13,0),"")</f>
        <v>HELI</v>
      </c>
      <c r="O442" s="108" t="str">
        <f>IFERROR(VLOOKUP(B442,'02. MM-KLH'!$B$6:$T$823,14,0),"")</f>
        <v>TRUNG QUỐC</v>
      </c>
      <c r="P442" s="80">
        <f>IFERROR(VLOOKUP(B442,'02. MM-KLH'!$B$6:$T$823,15,0),"")</f>
        <v>2021</v>
      </c>
      <c r="Q442" s="80" t="str">
        <f>IFERROR(VLOOKUP(B442,'02. MM-KLH'!$B$6:$T$823,16,0),"")</f>
        <v>CPD25-GB2LI-H</v>
      </c>
      <c r="R442" s="106" t="str">
        <f>IFERROR(VLOOKUP(B442,'02. MM-KLH'!$B$6:$T$823,17,0),"")</f>
        <v/>
      </c>
      <c r="S442" s="108" t="str">
        <f>IFERROR(VLOOKUP(B442,'02. MM-KLH'!$B$6:$T$823,18,0),"")</f>
        <v>05025DF7946</v>
      </c>
      <c r="T442" s="110" t="str">
        <f>IFERROR(VLOOKUP(B442,'02. MM-KLH'!$B$6:$T$823,19,0),"")</f>
        <v/>
      </c>
      <c r="U442" s="130" t="s">
        <v>79</v>
      </c>
    </row>
    <row r="443" ht="13.5" customHeight="1">
      <c r="A443" s="80">
        <f t="shared" si="19"/>
        <v>29</v>
      </c>
      <c r="B443" s="115" t="s">
        <v>2907</v>
      </c>
      <c r="C443" s="84" t="str">
        <f>IFERROR(VLOOKUP(B443,'02. MM-KLH'!$B$6:$T$823,2,0),"")</f>
        <v/>
      </c>
      <c r="D443" s="95" t="str">
        <f>IFERROR(VLOOKUP(B443,'02. MM-KLH'!$B$6:$T$823,3,0),"")</f>
        <v/>
      </c>
      <c r="E443" s="86" t="str">
        <f>IFERROR(VLOOKUP(B443,'02. MM-KLH'!$B$6:$T$823,4,0),"")</f>
        <v/>
      </c>
      <c r="F443" s="137"/>
      <c r="G443" s="86" t="str">
        <f>IFERROR(VLOOKUP(B443,'02. MM-KLH'!$B$6:$T$823,6,0),"")</f>
        <v>Xe nâng điện 3.5 tấn</v>
      </c>
      <c r="H443" s="80" t="s">
        <v>5841</v>
      </c>
      <c r="I443" s="80" t="str">
        <f>IFERROR(VLOOKUP(B443,'02. MM-KLH'!$B$6:$T$823,8,0),"")</f>
        <v>NM NHỰA -XỐP DP</v>
      </c>
      <c r="J443" s="99" t="str">
        <f>IFERROR(VLOOKUP(B443,'02. MM-KLH'!$B$6:$T$823,9,0),"")</f>
        <v/>
      </c>
      <c r="K443" s="80" t="str">
        <f>IFERROR(VLOOKUP(B443,'02. MM-KLH'!$B$6:$T$823,10,0),"")</f>
        <v>Bình thường</v>
      </c>
      <c r="L443" s="102" t="str">
        <f>IFERROR(VLOOKUP(B443,'02. MM-KLH'!$B$6:$T$823,11,0),"")</f>
        <v/>
      </c>
      <c r="M443" s="143" t="str">
        <f>IFERROR(VLOOKUP(B443,'02. MM-KLH'!$B$6:$T$823,12,0),"")</f>
        <v/>
      </c>
      <c r="N443" s="108" t="str">
        <f>IFERROR(VLOOKUP(B443,'02. MM-KLH'!$B$6:$T$823,13,0),"")</f>
        <v>HELI</v>
      </c>
      <c r="O443" s="108" t="str">
        <f>IFERROR(VLOOKUP(B443,'02. MM-KLH'!$B$6:$T$823,14,0),"")</f>
        <v>TRUNG QUỐC</v>
      </c>
      <c r="P443" s="80">
        <f>IFERROR(VLOOKUP(B443,'02. MM-KLH'!$B$6:$T$823,15,0),"")</f>
        <v>2021</v>
      </c>
      <c r="Q443" s="80" t="str">
        <f>IFERROR(VLOOKUP(B443,'02. MM-KLH'!$B$6:$T$823,16,0),"")</f>
        <v>CPD35-GB2LI-H</v>
      </c>
      <c r="R443" s="106" t="str">
        <f>IFERROR(VLOOKUP(B443,'02. MM-KLH'!$B$6:$T$823,17,0),"")</f>
        <v/>
      </c>
      <c r="S443" s="108" t="str">
        <f>IFERROR(VLOOKUP(B443,'02. MM-KLH'!$B$6:$T$823,18,0),"")</f>
        <v>05035DF8691</v>
      </c>
      <c r="T443" s="110" t="str">
        <f>IFERROR(VLOOKUP(B443,'02. MM-KLH'!$B$6:$T$823,19,0),"")</f>
        <v/>
      </c>
      <c r="U443" s="130" t="s">
        <v>79</v>
      </c>
    </row>
    <row r="444" ht="13.5" customHeight="1">
      <c r="A444" s="80">
        <f t="shared" si="19"/>
        <v>30</v>
      </c>
      <c r="B444" s="115" t="s">
        <v>2911</v>
      </c>
      <c r="C444" s="84" t="str">
        <f>IFERROR(VLOOKUP(B444,'02. MM-KLH'!$B$6:$T$823,2,0),"")</f>
        <v/>
      </c>
      <c r="D444" s="95" t="str">
        <f>IFERROR(VLOOKUP(B444,'02. MM-KLH'!$B$6:$T$823,3,0),"")</f>
        <v/>
      </c>
      <c r="E444" s="86" t="str">
        <f>IFERROR(VLOOKUP(B444,'02. MM-KLH'!$B$6:$T$823,4,0),"")</f>
        <v/>
      </c>
      <c r="F444" s="137"/>
      <c r="G444" s="86" t="str">
        <f>IFERROR(VLOOKUP(B444,'02. MM-KLH'!$B$6:$T$823,6,0),"")</f>
        <v>Xe nâng điện 5 tấn</v>
      </c>
      <c r="H444" s="80" t="s">
        <v>5841</v>
      </c>
      <c r="I444" s="80" t="str">
        <f>IFERROR(VLOOKUP(B444,'02. MM-KLH'!$B$6:$T$823,8,0),"")</f>
        <v>NM NHỰA -XỐP DP</v>
      </c>
      <c r="J444" s="99" t="str">
        <f>IFERROR(VLOOKUP(B444,'02. MM-KLH'!$B$6:$T$823,9,0),"")</f>
        <v/>
      </c>
      <c r="K444" s="80" t="str">
        <f>IFERROR(VLOOKUP(B444,'02. MM-KLH'!$B$6:$T$823,10,0),"")</f>
        <v>Bình thường</v>
      </c>
      <c r="L444" s="102" t="str">
        <f>IFERROR(VLOOKUP(B444,'02. MM-KLH'!$B$6:$T$823,11,0),"")</f>
        <v/>
      </c>
      <c r="M444" s="143" t="str">
        <f>IFERROR(VLOOKUP(B444,'02. MM-KLH'!$B$6:$T$823,12,0),"")</f>
        <v/>
      </c>
      <c r="N444" s="108" t="str">
        <f>IFERROR(VLOOKUP(B444,'02. MM-KLH'!$B$6:$T$823,13,0),"")</f>
        <v>HELI</v>
      </c>
      <c r="O444" s="108" t="str">
        <f>IFERROR(VLOOKUP(B444,'02. MM-KLH'!$B$6:$T$823,14,0),"")</f>
        <v>TRUNG QUỐC</v>
      </c>
      <c r="P444" s="80">
        <f>IFERROR(VLOOKUP(B444,'02. MM-KLH'!$B$6:$T$823,15,0),"")</f>
        <v>2021</v>
      </c>
      <c r="Q444" s="80" t="str">
        <f>IFERROR(VLOOKUP(B444,'02. MM-KLH'!$B$6:$T$823,16,0),"")</f>
        <v>CPD50-GB2LI</v>
      </c>
      <c r="R444" s="106" t="str">
        <f>IFERROR(VLOOKUP(B444,'02. MM-KLH'!$B$6:$T$823,17,0),"")</f>
        <v/>
      </c>
      <c r="S444" s="108" t="str">
        <f>IFERROR(VLOOKUP(B444,'02. MM-KLH'!$B$6:$T$823,18,0),"")</f>
        <v>05050DF9070</v>
      </c>
      <c r="T444" s="110" t="str">
        <f>IFERROR(VLOOKUP(B444,'02. MM-KLH'!$B$6:$T$823,19,0),"")</f>
        <v/>
      </c>
      <c r="U444" s="130" t="s">
        <v>79</v>
      </c>
    </row>
    <row r="445" ht="13.5" customHeight="1">
      <c r="A445" s="80">
        <f t="shared" si="19"/>
        <v>31</v>
      </c>
      <c r="B445" s="115" t="s">
        <v>2915</v>
      </c>
      <c r="C445" s="84" t="str">
        <f>IFERROR(VLOOKUP(B445,'02. MM-KLH'!$B$6:$T$823,2,0),"")</f>
        <v/>
      </c>
      <c r="D445" s="95" t="str">
        <f>IFERROR(VLOOKUP(B445,'02. MM-KLH'!$B$6:$T$823,3,0),"")</f>
        <v/>
      </c>
      <c r="E445" s="86" t="str">
        <f>IFERROR(VLOOKUP(B445,'02. MM-KLH'!$B$6:$T$823,4,0),"")</f>
        <v/>
      </c>
      <c r="F445" s="137"/>
      <c r="G445" s="86" t="str">
        <f>IFERROR(VLOOKUP(B445,'02. MM-KLH'!$B$6:$T$823,6,0),"")</f>
        <v>Xe nâng điện 5 tấn</v>
      </c>
      <c r="H445" s="80" t="s">
        <v>5841</v>
      </c>
      <c r="I445" s="80" t="str">
        <f>IFERROR(VLOOKUP(B445,'02. MM-KLH'!$B$6:$T$823,8,0),"")</f>
        <v>NM NHỰA -XỐP DP</v>
      </c>
      <c r="J445" s="99" t="str">
        <f>IFERROR(VLOOKUP(B445,'02. MM-KLH'!$B$6:$T$823,9,0),"")</f>
        <v/>
      </c>
      <c r="K445" s="80" t="str">
        <f>IFERROR(VLOOKUP(B445,'02. MM-KLH'!$B$6:$T$823,10,0),"")</f>
        <v>Bình thường</v>
      </c>
      <c r="L445" s="102" t="str">
        <f>IFERROR(VLOOKUP(B445,'02. MM-KLH'!$B$6:$T$823,11,0),"")</f>
        <v/>
      </c>
      <c r="M445" s="143" t="str">
        <f>IFERROR(VLOOKUP(B445,'02. MM-KLH'!$B$6:$T$823,12,0),"")</f>
        <v/>
      </c>
      <c r="N445" s="108" t="str">
        <f>IFERROR(VLOOKUP(B445,'02. MM-KLH'!$B$6:$T$823,13,0),"")</f>
        <v>HELI</v>
      </c>
      <c r="O445" s="108" t="str">
        <f>IFERROR(VLOOKUP(B445,'02. MM-KLH'!$B$6:$T$823,14,0),"")</f>
        <v>TRUNG QUỐC</v>
      </c>
      <c r="P445" s="80">
        <f>IFERROR(VLOOKUP(B445,'02. MM-KLH'!$B$6:$T$823,15,0),"")</f>
        <v>2021</v>
      </c>
      <c r="Q445" s="80" t="str">
        <f>IFERROR(VLOOKUP(B445,'02. MM-KLH'!$B$6:$T$823,16,0),"")</f>
        <v>CPD50-GB2LI</v>
      </c>
      <c r="R445" s="106" t="str">
        <f>IFERROR(VLOOKUP(B445,'02. MM-KLH'!$B$6:$T$823,17,0),"")</f>
        <v/>
      </c>
      <c r="S445" s="108" t="str">
        <f>IFERROR(VLOOKUP(B445,'02. MM-KLH'!$B$6:$T$823,18,0),"")</f>
        <v>05050DF9069</v>
      </c>
      <c r="T445" s="110" t="str">
        <f>IFERROR(VLOOKUP(B445,'02. MM-KLH'!$B$6:$T$823,19,0),"")</f>
        <v/>
      </c>
      <c r="U445" s="130" t="s">
        <v>79</v>
      </c>
    </row>
    <row r="446" ht="13.5" customHeight="1">
      <c r="A446" s="80">
        <f t="shared" si="19"/>
        <v>32</v>
      </c>
      <c r="B446" s="115" t="s">
        <v>2918</v>
      </c>
      <c r="C446" s="84" t="str">
        <f>IFERROR(VLOOKUP(B446,'02. MM-KLH'!$B$6:$T$823,2,0),"")</f>
        <v/>
      </c>
      <c r="D446" s="95" t="str">
        <f>IFERROR(VLOOKUP(B446,'02. MM-KLH'!$B$6:$T$823,3,0),"")</f>
        <v/>
      </c>
      <c r="E446" s="86" t="str">
        <f>IFERROR(VLOOKUP(B446,'02. MM-KLH'!$B$6:$T$823,4,0),"")</f>
        <v/>
      </c>
      <c r="F446" s="137"/>
      <c r="G446" s="86" t="str">
        <f>IFERROR(VLOOKUP(B446,'02. MM-KLH'!$B$6:$T$823,6,0),"")</f>
        <v>Xe nâng điện 1.5 tấn</v>
      </c>
      <c r="H446" s="80" t="s">
        <v>5841</v>
      </c>
      <c r="I446" s="80" t="str">
        <f>IFERROR(VLOOKUP(B446,'02. MM-KLH'!$B$6:$T$823,8,0),"")</f>
        <v>Tổng kho</v>
      </c>
      <c r="J446" s="99" t="str">
        <f>IFERROR(VLOOKUP(B446,'02. MM-KLH'!$B$6:$T$823,9,0),"")</f>
        <v/>
      </c>
      <c r="K446" s="80" t="str">
        <f>IFERROR(VLOOKUP(B446,'02. MM-KLH'!$B$6:$T$823,10,0),"")</f>
        <v>Hư hỏng</v>
      </c>
      <c r="L446" s="102" t="str">
        <f>IFERROR(VLOOKUP(B446,'02. MM-KLH'!$B$6:$T$823,11,0),"")</f>
        <v/>
      </c>
      <c r="M446" s="143" t="str">
        <f>IFERROR(VLOOKUP(B446,'02. MM-KLH'!$B$6:$T$823,12,0),"")</f>
        <v>Xe lỗi hệ thống điện cảm biến không hoạt động được.</v>
      </c>
      <c r="N446" s="108" t="str">
        <f>IFERROR(VLOOKUP(B446,'02. MM-KLH'!$B$6:$T$823,13,0),"")</f>
        <v>HELI</v>
      </c>
      <c r="O446" s="108" t="str">
        <f>IFERROR(VLOOKUP(B446,'02. MM-KLH'!$B$6:$T$823,14,0),"")</f>
        <v/>
      </c>
      <c r="P446" s="80">
        <f>IFERROR(VLOOKUP(B446,'02. MM-KLH'!$B$6:$T$823,15,0),"")</f>
        <v>2023</v>
      </c>
      <c r="Q446" s="80" t="str">
        <f>IFERROR(VLOOKUP(B446,'02. MM-KLH'!$B$6:$T$823,16,0),"")</f>
        <v>CPD15</v>
      </c>
      <c r="R446" s="106" t="str">
        <f>IFERROR(VLOOKUP(B446,'02. MM-KLH'!$B$6:$T$823,17,0),"")</f>
        <v/>
      </c>
      <c r="S446" s="108">
        <f>IFERROR(VLOOKUP(B446,'02. MM-KLH'!$B$6:$T$823,18,0),"")</f>
        <v>1501190032</v>
      </c>
      <c r="T446" s="110" t="str">
        <f>IFERROR(VLOOKUP(B446,'02. MM-KLH'!$B$6:$T$823,19,0),"")</f>
        <v/>
      </c>
      <c r="U446" s="130" t="s">
        <v>79</v>
      </c>
    </row>
    <row r="447" ht="13.5" customHeight="1">
      <c r="A447" s="80">
        <f t="shared" si="19"/>
        <v>33</v>
      </c>
      <c r="B447" s="115" t="s">
        <v>2921</v>
      </c>
      <c r="C447" s="84" t="str">
        <f>IFERROR(VLOOKUP(B447,'02. MM-KLH'!$B$6:$T$823,2,0),"")</f>
        <v/>
      </c>
      <c r="D447" s="95" t="str">
        <f>IFERROR(VLOOKUP(B447,'02. MM-KLH'!$B$6:$T$823,3,0),"")</f>
        <v/>
      </c>
      <c r="E447" s="86" t="str">
        <f>IFERROR(VLOOKUP(B447,'02. MM-KLH'!$B$6:$T$823,4,0),"")</f>
        <v/>
      </c>
      <c r="F447" s="137"/>
      <c r="G447" s="86" t="str">
        <f>IFERROR(VLOOKUP(B447,'02. MM-KLH'!$B$6:$T$823,6,0),"")</f>
        <v>Xe nâng điện 2.5 tấn</v>
      </c>
      <c r="H447" s="80" t="s">
        <v>5841</v>
      </c>
      <c r="I447" s="80" t="str">
        <f>IFERROR(VLOOKUP(B447,'02. MM-KLH'!$B$6:$T$823,8,0),"")</f>
        <v>Tổng kho</v>
      </c>
      <c r="J447" s="99" t="str">
        <f>IFERROR(VLOOKUP(B447,'02. MM-KLH'!$B$6:$T$823,9,0),"")</f>
        <v/>
      </c>
      <c r="K447" s="80" t="str">
        <f>IFERROR(VLOOKUP(B447,'02. MM-KLH'!$B$6:$T$823,10,0),"")</f>
        <v>Bình thường</v>
      </c>
      <c r="L447" s="102" t="str">
        <f>IFERROR(VLOOKUP(B447,'02. MM-KLH'!$B$6:$T$823,11,0),"")</f>
        <v/>
      </c>
      <c r="M447" s="143" t="str">
        <f>IFERROR(VLOOKUP(B447,'02. MM-KLH'!$B$6:$T$823,12,0),"")</f>
        <v>Xe lỗi hệ thống thủy lực (chỉ nâng được dưới 1 tấn).</v>
      </c>
      <c r="N447" s="108" t="str">
        <f>IFERROR(VLOOKUP(B447,'02. MM-KLH'!$B$6:$T$823,13,0),"")</f>
        <v>HELI</v>
      </c>
      <c r="O447" s="108" t="str">
        <f>IFERROR(VLOOKUP(B447,'02. MM-KLH'!$B$6:$T$823,14,0),"")</f>
        <v/>
      </c>
      <c r="P447" s="80">
        <f>IFERROR(VLOOKUP(B447,'02. MM-KLH'!$B$6:$T$823,15,0),"")</f>
        <v>2023</v>
      </c>
      <c r="Q447" s="80" t="str">
        <f>IFERROR(VLOOKUP(B447,'02. MM-KLH'!$B$6:$T$823,16,0),"")</f>
        <v>CPD25</v>
      </c>
      <c r="R447" s="106" t="str">
        <f>IFERROR(VLOOKUP(B447,'02. MM-KLH'!$B$6:$T$823,17,0),"")</f>
        <v/>
      </c>
      <c r="S447" s="108" t="str">
        <f>IFERROR(VLOOKUP(B447,'02. MM-KLH'!$B$6:$T$823,18,0),"")</f>
        <v>05025DH3158</v>
      </c>
      <c r="T447" s="110" t="str">
        <f>IFERROR(VLOOKUP(B447,'02. MM-KLH'!$B$6:$T$823,19,0),"")</f>
        <v/>
      </c>
      <c r="U447" s="130" t="s">
        <v>79</v>
      </c>
    </row>
    <row r="448" ht="13.5" customHeight="1">
      <c r="A448" s="80">
        <f t="shared" si="19"/>
        <v>34</v>
      </c>
      <c r="B448" s="115" t="s">
        <v>2925</v>
      </c>
      <c r="C448" s="84" t="str">
        <f>IFERROR(VLOOKUP(B448,'02. MM-KLH'!$B$6:$T$823,2,0),"")</f>
        <v/>
      </c>
      <c r="D448" s="95" t="str">
        <f>IFERROR(VLOOKUP(B448,'02. MM-KLH'!$B$6:$T$823,3,0),"")</f>
        <v/>
      </c>
      <c r="E448" s="86" t="str">
        <f>IFERROR(VLOOKUP(B448,'02. MM-KLH'!$B$6:$T$823,4,0),"")</f>
        <v/>
      </c>
      <c r="F448" s="137"/>
      <c r="G448" s="86" t="str">
        <f>IFERROR(VLOOKUP(B448,'02. MM-KLH'!$B$6:$T$823,6,0),"")</f>
        <v>Xe nâng điện 1.5 tấn</v>
      </c>
      <c r="H448" s="80" t="s">
        <v>5841</v>
      </c>
      <c r="I448" s="80" t="str">
        <f>IFERROR(VLOOKUP(B448,'02. MM-KLH'!$B$6:$T$823,8,0),"")</f>
        <v>Tổng kho</v>
      </c>
      <c r="J448" s="99" t="str">
        <f>IFERROR(VLOOKUP(B448,'02. MM-KLH'!$B$6:$T$823,9,0),"")</f>
        <v/>
      </c>
      <c r="K448" s="80" t="str">
        <f>IFERROR(VLOOKUP(B448,'02. MM-KLH'!$B$6:$T$823,10,0),"")</f>
        <v>Bình thường</v>
      </c>
      <c r="L448" s="102" t="str">
        <f>IFERROR(VLOOKUP(B448,'02. MM-KLH'!$B$6:$T$823,11,0),"")</f>
        <v/>
      </c>
      <c r="M448" s="143" t="str">
        <f>IFERROR(VLOOKUP(B448,'02. MM-KLH'!$B$6:$T$823,12,0),"")</f>
        <v>Xe đang hoạt động</v>
      </c>
      <c r="N448" s="108" t="str">
        <f>IFERROR(VLOOKUP(B448,'02. MM-KLH'!$B$6:$T$823,13,0),"")</f>
        <v>BYD</v>
      </c>
      <c r="O448" s="108" t="str">
        <f>IFERROR(VLOOKUP(B448,'02. MM-KLH'!$B$6:$T$823,14,0),"")</f>
        <v/>
      </c>
      <c r="P448" s="80">
        <f>IFERROR(VLOOKUP(B448,'02. MM-KLH'!$B$6:$T$823,15,0),"")</f>
        <v>2021</v>
      </c>
      <c r="Q448" s="80" t="str">
        <f>IFERROR(VLOOKUP(B448,'02. MM-KLH'!$B$6:$T$823,16,0),"")</f>
        <v>ECP16S</v>
      </c>
      <c r="R448" s="106" t="str">
        <f>IFERROR(VLOOKUP(B448,'02. MM-KLH'!$B$6:$T$823,17,0),"")</f>
        <v/>
      </c>
      <c r="S448" s="108">
        <f>IFERROR(VLOOKUP(B448,'02. MM-KLH'!$B$6:$T$823,18,0),"")</f>
        <v>1501190033</v>
      </c>
      <c r="T448" s="110" t="str">
        <f>IFERROR(VLOOKUP(B448,'02. MM-KLH'!$B$6:$T$823,19,0),"")</f>
        <v/>
      </c>
      <c r="U448" s="130" t="s">
        <v>79</v>
      </c>
    </row>
    <row r="449" ht="13.5" customHeight="1">
      <c r="A449" s="80">
        <f t="shared" si="19"/>
        <v>35</v>
      </c>
      <c r="B449" s="115" t="s">
        <v>2928</v>
      </c>
      <c r="C449" s="84" t="str">
        <f>IFERROR(VLOOKUP(B449,'02. MM-KLH'!$B$6:$T$823,2,0),"")</f>
        <v/>
      </c>
      <c r="D449" s="95" t="str">
        <f>IFERROR(VLOOKUP(B449,'02. MM-KLH'!$B$6:$T$823,3,0),"")</f>
        <v/>
      </c>
      <c r="E449" s="86" t="str">
        <f>IFERROR(VLOOKUP(B449,'02. MM-KLH'!$B$6:$T$823,4,0),"")</f>
        <v/>
      </c>
      <c r="F449" s="137"/>
      <c r="G449" s="86" t="str">
        <f>IFERROR(VLOOKUP(B449,'02. MM-KLH'!$B$6:$T$823,6,0),"")</f>
        <v>Xe nâng điện 1.5 tấn</v>
      </c>
      <c r="H449" s="80" t="s">
        <v>5841</v>
      </c>
      <c r="I449" s="80" t="str">
        <f>IFERROR(VLOOKUP(B449,'02. MM-KLH'!$B$6:$T$823,8,0),"")</f>
        <v>Tổng kho</v>
      </c>
      <c r="J449" s="99" t="str">
        <f>IFERROR(VLOOKUP(B449,'02. MM-KLH'!$B$6:$T$823,9,0),"")</f>
        <v/>
      </c>
      <c r="K449" s="80" t="str">
        <f>IFERROR(VLOOKUP(B449,'02. MM-KLH'!$B$6:$T$823,10,0),"")</f>
        <v>Bình thường</v>
      </c>
      <c r="L449" s="102" t="str">
        <f>IFERROR(VLOOKUP(B449,'02. MM-KLH'!$B$6:$T$823,11,0),"")</f>
        <v/>
      </c>
      <c r="M449" s="143" t="str">
        <f>IFERROR(VLOOKUP(B449,'02. MM-KLH'!$B$6:$T$823,12,0),"")</f>
        <v>Xe đang hoạt động</v>
      </c>
      <c r="N449" s="108" t="str">
        <f>IFERROR(VLOOKUP(B449,'02. MM-KLH'!$B$6:$T$823,13,0),"")</f>
        <v>BYD</v>
      </c>
      <c r="O449" s="108" t="str">
        <f>IFERROR(VLOOKUP(B449,'02. MM-KLH'!$B$6:$T$823,14,0),"")</f>
        <v/>
      </c>
      <c r="P449" s="80">
        <f>IFERROR(VLOOKUP(B449,'02. MM-KLH'!$B$6:$T$823,15,0),"")</f>
        <v>2021</v>
      </c>
      <c r="Q449" s="80" t="str">
        <f>IFERROR(VLOOKUP(B449,'02. MM-KLH'!$B$6:$T$823,16,0),"")</f>
        <v>ECP16S</v>
      </c>
      <c r="R449" s="106" t="str">
        <f>IFERROR(VLOOKUP(B449,'02. MM-KLH'!$B$6:$T$823,17,0),"")</f>
        <v/>
      </c>
      <c r="S449" s="108">
        <f>IFERROR(VLOOKUP(B449,'02. MM-KLH'!$B$6:$T$823,18,0),"")</f>
        <v>1501190062</v>
      </c>
      <c r="T449" s="110" t="str">
        <f>IFERROR(VLOOKUP(B449,'02. MM-KLH'!$B$6:$T$823,19,0),"")</f>
        <v/>
      </c>
      <c r="U449" s="130" t="s">
        <v>79</v>
      </c>
    </row>
    <row r="450" ht="13.5" customHeight="1">
      <c r="A450" s="80">
        <f t="shared" si="19"/>
        <v>36</v>
      </c>
      <c r="B450" s="115" t="s">
        <v>2929</v>
      </c>
      <c r="C450" s="84" t="str">
        <f>IFERROR(VLOOKUP(B450,'02. MM-KLH'!$B$6:$T$823,2,0),"")</f>
        <v/>
      </c>
      <c r="D450" s="95" t="str">
        <f>IFERROR(VLOOKUP(B450,'02. MM-KLH'!$B$6:$T$823,3,0),"")</f>
        <v/>
      </c>
      <c r="E450" s="86" t="str">
        <f>IFERROR(VLOOKUP(B450,'02. MM-KLH'!$B$6:$T$823,4,0),"")</f>
        <v/>
      </c>
      <c r="F450" s="137"/>
      <c r="G450" s="86" t="str">
        <f>IFERROR(VLOOKUP(B450,'02. MM-KLH'!$B$6:$T$823,6,0),"")</f>
        <v>Xe nâng điện 1.5 tấn</v>
      </c>
      <c r="H450" s="80" t="s">
        <v>5841</v>
      </c>
      <c r="I450" s="80" t="str">
        <f>IFERROR(VLOOKUP(B450,'02. MM-KLH'!$B$6:$T$823,8,0),"")</f>
        <v>Tổng kho</v>
      </c>
      <c r="J450" s="99" t="str">
        <f>IFERROR(VLOOKUP(B450,'02. MM-KLH'!$B$6:$T$823,9,0),"")</f>
        <v/>
      </c>
      <c r="K450" s="80" t="str">
        <f>IFERROR(VLOOKUP(B450,'02. MM-KLH'!$B$6:$T$823,10,0),"")</f>
        <v>Bình thường</v>
      </c>
      <c r="L450" s="102" t="str">
        <f>IFERROR(VLOOKUP(B450,'02. MM-KLH'!$B$6:$T$823,11,0),"")</f>
        <v/>
      </c>
      <c r="M450" s="143" t="str">
        <f>IFERROR(VLOOKUP(B450,'02. MM-KLH'!$B$6:$T$823,12,0),"")</f>
        <v>Xe đang hoạt động</v>
      </c>
      <c r="N450" s="108" t="str">
        <f>IFERROR(VLOOKUP(B450,'02. MM-KLH'!$B$6:$T$823,13,0),"")</f>
        <v>BYD</v>
      </c>
      <c r="O450" s="108" t="str">
        <f>IFERROR(VLOOKUP(B450,'02. MM-KLH'!$B$6:$T$823,14,0),"")</f>
        <v/>
      </c>
      <c r="P450" s="80">
        <f>IFERROR(VLOOKUP(B450,'02. MM-KLH'!$B$6:$T$823,15,0),"")</f>
        <v>2021</v>
      </c>
      <c r="Q450" s="80" t="str">
        <f>IFERROR(VLOOKUP(B450,'02. MM-KLH'!$B$6:$T$823,16,0),"")</f>
        <v>ECP16S</v>
      </c>
      <c r="R450" s="106" t="str">
        <f>IFERROR(VLOOKUP(B450,'02. MM-KLH'!$B$6:$T$823,17,0),"")</f>
        <v/>
      </c>
      <c r="S450" s="108">
        <f>IFERROR(VLOOKUP(B450,'02. MM-KLH'!$B$6:$T$823,18,0),"")</f>
        <v>1501190058</v>
      </c>
      <c r="T450" s="110" t="str">
        <f>IFERROR(VLOOKUP(B450,'02. MM-KLH'!$B$6:$T$823,19,0),"")</f>
        <v/>
      </c>
      <c r="U450" s="130" t="s">
        <v>79</v>
      </c>
    </row>
    <row r="451" ht="13.5" customHeight="1">
      <c r="A451" s="80">
        <f t="shared" si="19"/>
        <v>37</v>
      </c>
      <c r="B451" s="115" t="s">
        <v>2930</v>
      </c>
      <c r="C451" s="84" t="str">
        <f>IFERROR(VLOOKUP(B451,'02. MM-KLH'!$B$6:$T$823,2,0),"")</f>
        <v/>
      </c>
      <c r="D451" s="95" t="str">
        <f>IFERROR(VLOOKUP(B451,'02. MM-KLH'!$B$6:$T$823,3,0),"")</f>
        <v/>
      </c>
      <c r="E451" s="86" t="str">
        <f>IFERROR(VLOOKUP(B451,'02. MM-KLH'!$B$6:$T$823,4,0),"")</f>
        <v/>
      </c>
      <c r="F451" s="137"/>
      <c r="G451" s="86" t="str">
        <f>IFERROR(VLOOKUP(B451,'02. MM-KLH'!$B$6:$T$823,6,0),"")</f>
        <v>Xe nâng điện 1.5 tấn</v>
      </c>
      <c r="H451" s="80" t="s">
        <v>5841</v>
      </c>
      <c r="I451" s="80" t="str">
        <f>IFERROR(VLOOKUP(B451,'02. MM-KLH'!$B$6:$T$823,8,0),"")</f>
        <v>Tổng kho</v>
      </c>
      <c r="J451" s="99" t="str">
        <f>IFERROR(VLOOKUP(B451,'02. MM-KLH'!$B$6:$T$823,9,0),"")</f>
        <v/>
      </c>
      <c r="K451" s="80" t="str">
        <f>IFERROR(VLOOKUP(B451,'02. MM-KLH'!$B$6:$T$823,10,0),"")</f>
        <v>Hư hỏng</v>
      </c>
      <c r="L451" s="102" t="str">
        <f>IFERROR(VLOOKUP(B451,'02. MM-KLH'!$B$6:$T$823,11,0),"")</f>
        <v/>
      </c>
      <c r="M451" s="143" t="str">
        <f>IFERROR(VLOOKUP(B451,'02. MM-KLH'!$B$6:$T$823,12,0),"")</f>
        <v>Xe hỏng không hoạt động được.</v>
      </c>
      <c r="N451" s="108" t="str">
        <f>IFERROR(VLOOKUP(B451,'02. MM-KLH'!$B$6:$T$823,13,0),"")</f>
        <v>BYD</v>
      </c>
      <c r="O451" s="108" t="str">
        <f>IFERROR(VLOOKUP(B451,'02. MM-KLH'!$B$6:$T$823,14,0),"")</f>
        <v/>
      </c>
      <c r="P451" s="80">
        <f>IFERROR(VLOOKUP(B451,'02. MM-KLH'!$B$6:$T$823,15,0),"")</f>
        <v>2021</v>
      </c>
      <c r="Q451" s="80" t="str">
        <f>IFERROR(VLOOKUP(B451,'02. MM-KLH'!$B$6:$T$823,16,0),"")</f>
        <v>ECP16S</v>
      </c>
      <c r="R451" s="106" t="str">
        <f>IFERROR(VLOOKUP(B451,'02. MM-KLH'!$B$6:$T$823,17,0),"")</f>
        <v/>
      </c>
      <c r="S451" s="108">
        <f>IFERROR(VLOOKUP(B451,'02. MM-KLH'!$B$6:$T$823,18,0),"")</f>
        <v>1501190065</v>
      </c>
      <c r="T451" s="110" t="str">
        <f>IFERROR(VLOOKUP(B451,'02. MM-KLH'!$B$6:$T$823,19,0),"")</f>
        <v/>
      </c>
      <c r="U451" s="130" t="s">
        <v>79</v>
      </c>
    </row>
    <row r="452" ht="13.5" customHeight="1">
      <c r="A452" s="80">
        <f t="shared" si="19"/>
        <v>38</v>
      </c>
      <c r="B452" s="115" t="s">
        <v>2932</v>
      </c>
      <c r="C452" s="84" t="str">
        <f>IFERROR(VLOOKUP(B452,'02. MM-KLH'!$B$6:$T$823,2,0),"")</f>
        <v/>
      </c>
      <c r="D452" s="95" t="str">
        <f>IFERROR(VLOOKUP(B452,'02. MM-KLH'!$B$6:$T$823,3,0),"")</f>
        <v/>
      </c>
      <c r="E452" s="86" t="str">
        <f>IFERROR(VLOOKUP(B452,'02. MM-KLH'!$B$6:$T$823,4,0),"")</f>
        <v/>
      </c>
      <c r="F452" s="137"/>
      <c r="G452" s="86" t="str">
        <f>IFERROR(VLOOKUP(B452,'02. MM-KLH'!$B$6:$T$823,6,0),"")</f>
        <v>Xe nâng điện 1.5 tấn</v>
      </c>
      <c r="H452" s="80" t="s">
        <v>5841</v>
      </c>
      <c r="I452" s="80" t="str">
        <f>IFERROR(VLOOKUP(B452,'02. MM-KLH'!$B$6:$T$823,8,0),"")</f>
        <v>Tổng kho</v>
      </c>
      <c r="J452" s="99" t="str">
        <f>IFERROR(VLOOKUP(B452,'02. MM-KLH'!$B$6:$T$823,9,0),"")</f>
        <v/>
      </c>
      <c r="K452" s="80" t="str">
        <f>IFERROR(VLOOKUP(B452,'02. MM-KLH'!$B$6:$T$823,10,0),"")</f>
        <v>Hư hỏng</v>
      </c>
      <c r="L452" s="102" t="str">
        <f>IFERROR(VLOOKUP(B452,'02. MM-KLH'!$B$6:$T$823,11,0),"")</f>
        <v/>
      </c>
      <c r="M452" s="143" t="str">
        <f>IFERROR(VLOOKUP(B452,'02. MM-KLH'!$B$6:$T$823,12,0),"")</f>
        <v>Xe hỏng không hoạt động được.</v>
      </c>
      <c r="N452" s="108" t="str">
        <f>IFERROR(VLOOKUP(B452,'02. MM-KLH'!$B$6:$T$823,13,0),"")</f>
        <v>KOMATSU</v>
      </c>
      <c r="O452" s="108" t="str">
        <f>IFERROR(VLOOKUP(B452,'02. MM-KLH'!$B$6:$T$823,14,0),"")</f>
        <v/>
      </c>
      <c r="P452" s="80">
        <f>IFERROR(VLOOKUP(B452,'02. MM-KLH'!$B$6:$T$823,15,0),"")</f>
        <v>2007</v>
      </c>
      <c r="Q452" s="80" t="str">
        <f>IFERROR(VLOOKUP(B452,'02. MM-KLH'!$B$6:$T$823,16,0),"")</f>
        <v>FB15EX-11</v>
      </c>
      <c r="R452" s="106" t="str">
        <f>IFERROR(VLOOKUP(B452,'02. MM-KLH'!$B$6:$T$823,17,0),"")</f>
        <v/>
      </c>
      <c r="S452" s="108">
        <f>IFERROR(VLOOKUP(B452,'02. MM-KLH'!$B$6:$T$823,18,0),"")</f>
        <v>809168</v>
      </c>
      <c r="T452" s="110" t="str">
        <f>IFERROR(VLOOKUP(B452,'02. MM-KLH'!$B$6:$T$823,19,0),"")</f>
        <v/>
      </c>
      <c r="U452" s="130" t="s">
        <v>79</v>
      </c>
    </row>
    <row r="453" ht="13.5" customHeight="1">
      <c r="A453" s="80">
        <f t="shared" si="19"/>
        <v>39</v>
      </c>
      <c r="B453" s="115" t="s">
        <v>2933</v>
      </c>
      <c r="C453" s="84" t="str">
        <f>IFERROR(VLOOKUP(B453,'02. MM-KLH'!$B$6:$T$823,2,0),"")</f>
        <v/>
      </c>
      <c r="D453" s="95" t="str">
        <f>IFERROR(VLOOKUP(B453,'02. MM-KLH'!$B$6:$T$823,3,0),"")</f>
        <v/>
      </c>
      <c r="E453" s="86" t="str">
        <f>IFERROR(VLOOKUP(B453,'02. MM-KLH'!$B$6:$T$823,4,0),"")</f>
        <v/>
      </c>
      <c r="F453" s="137"/>
      <c r="G453" s="86" t="str">
        <f>IFERROR(VLOOKUP(B453,'02. MM-KLH'!$B$6:$T$823,6,0),"")</f>
        <v>Xe nâng điện 1.5 tấn</v>
      </c>
      <c r="H453" s="80" t="s">
        <v>5841</v>
      </c>
      <c r="I453" s="80" t="str">
        <f>IFERROR(VLOOKUP(B453,'02. MM-KLH'!$B$6:$T$823,8,0),"")</f>
        <v>Tổng kho</v>
      </c>
      <c r="J453" s="99" t="str">
        <f>IFERROR(VLOOKUP(B453,'02. MM-KLH'!$B$6:$T$823,9,0),"")</f>
        <v/>
      </c>
      <c r="K453" s="80" t="str">
        <f>IFERROR(VLOOKUP(B453,'02. MM-KLH'!$B$6:$T$823,10,0),"")</f>
        <v>Bình thường</v>
      </c>
      <c r="L453" s="102" t="str">
        <f>IFERROR(VLOOKUP(B453,'02. MM-KLH'!$B$6:$T$823,11,0),"")</f>
        <v/>
      </c>
      <c r="M453" s="143" t="str">
        <f>IFERROR(VLOOKUP(B453,'02. MM-KLH'!$B$6:$T$823,12,0),"")</f>
        <v>Xe đang hoạt động (thường xuyên lỗi).</v>
      </c>
      <c r="N453" s="108" t="str">
        <f>IFERROR(VLOOKUP(B453,'02. MM-KLH'!$B$6:$T$823,13,0),"")</f>
        <v>KOMATSU</v>
      </c>
      <c r="O453" s="108" t="str">
        <f>IFERROR(VLOOKUP(B453,'02. MM-KLH'!$B$6:$T$823,14,0),"")</f>
        <v/>
      </c>
      <c r="P453" s="80">
        <f>IFERROR(VLOOKUP(B453,'02. MM-KLH'!$B$6:$T$823,15,0),"")</f>
        <v>2017</v>
      </c>
      <c r="Q453" s="80" t="str">
        <f>IFERROR(VLOOKUP(B453,'02. MM-KLH'!$B$6:$T$823,16,0),"")</f>
        <v>FB15HB-12</v>
      </c>
      <c r="R453" s="106" t="str">
        <f>IFERROR(VLOOKUP(B453,'02. MM-KLH'!$B$6:$T$823,17,0),"")</f>
        <v/>
      </c>
      <c r="S453" s="108">
        <f>IFERROR(VLOOKUP(B453,'02. MM-KLH'!$B$6:$T$823,18,0),"")</f>
        <v>841392</v>
      </c>
      <c r="T453" s="110" t="str">
        <f>IFERROR(VLOOKUP(B453,'02. MM-KLH'!$B$6:$T$823,19,0),"")</f>
        <v/>
      </c>
      <c r="U453" s="130" t="s">
        <v>79</v>
      </c>
    </row>
    <row r="454" ht="13.5" customHeight="1">
      <c r="A454" s="80"/>
      <c r="B454" s="115"/>
      <c r="C454" s="84"/>
      <c r="D454" s="95"/>
      <c r="E454" s="86"/>
      <c r="F454" s="137"/>
      <c r="G454" s="86"/>
      <c r="H454" s="80"/>
      <c r="I454" s="80"/>
      <c r="J454" s="99"/>
      <c r="K454" s="80"/>
      <c r="L454" s="102"/>
      <c r="M454" s="143"/>
      <c r="N454" s="108"/>
      <c r="O454" s="108"/>
      <c r="P454" s="80"/>
      <c r="Q454" s="80"/>
      <c r="R454" s="106"/>
      <c r="S454" s="108"/>
      <c r="T454" s="110"/>
      <c r="U454" s="130"/>
    </row>
    <row r="455" ht="13.5" customHeight="1">
      <c r="A455" s="82" t="s">
        <v>76</v>
      </c>
      <c r="B455" s="83" t="s">
        <v>5855</v>
      </c>
      <c r="C455" s="85">
        <f>COUNTA(B456:B468)</f>
        <v>12</v>
      </c>
      <c r="D455" s="85" t="str">
        <f>IFERROR(VLOOKUP(B455,'02. MM-KLH'!$B$6:$T$823,3,0),"")</f>
        <v/>
      </c>
      <c r="E455" s="85" t="str">
        <f>IFERROR(VLOOKUP(B455,'02. MM-KLH'!$B$6:$T$823,4,0),"")</f>
        <v/>
      </c>
      <c r="F455" s="85"/>
      <c r="G455" s="85" t="str">
        <f>IFERROR(VLOOKUP(B455,'02. MM-KLH'!$B$6:$T$823,6,0),"")</f>
        <v/>
      </c>
      <c r="H455" s="85"/>
      <c r="I455" s="85" t="str">
        <f>IFERROR(VLOOKUP(B455,'02. MM-KLH'!$B$6:$T$823,8,0),"")</f>
        <v/>
      </c>
      <c r="J455" s="85" t="str">
        <f>IFERROR(VLOOKUP(B455,'02. MM-KLH'!$B$6:$T$823,9,0),"")</f>
        <v/>
      </c>
      <c r="K455" s="85" t="str">
        <f>IFERROR(VLOOKUP(B455,'02. MM-KLH'!$B$6:$T$823,10,0),"")</f>
        <v/>
      </c>
      <c r="L455" s="85" t="str">
        <f>IFERROR(VLOOKUP(B455,'02. MM-KLH'!$B$6:$T$823,11,0),"")</f>
        <v/>
      </c>
      <c r="M455" s="85" t="str">
        <f>IFERROR(VLOOKUP(B455,'02. MM-KLH'!$B$6:$T$823,12,0),"")</f>
        <v/>
      </c>
      <c r="N455" s="85" t="str">
        <f>IFERROR(VLOOKUP(B455,'02. MM-KLH'!$B$6:$T$823,13,0),"")</f>
        <v/>
      </c>
      <c r="O455" s="85" t="str">
        <f>IFERROR(VLOOKUP(B455,'02. MM-KLH'!$B$6:$T$823,14,0),"")</f>
        <v/>
      </c>
      <c r="P455" s="85" t="str">
        <f>IFERROR(VLOOKUP(B455,'02. MM-KLH'!$B$6:$T$823,15,0),"")</f>
        <v/>
      </c>
      <c r="Q455" s="85" t="str">
        <f>IFERROR(VLOOKUP(B455,'02. MM-KLH'!$B$6:$T$823,16,0),"")</f>
        <v/>
      </c>
      <c r="R455" s="85" t="str">
        <f>IFERROR(VLOOKUP(B455,'02. MM-KLH'!$B$6:$T$823,17,0),"")</f>
        <v/>
      </c>
      <c r="S455" s="85" t="str">
        <f>IFERROR(VLOOKUP(B455,'02. MM-KLH'!$B$6:$T$823,18,0),"")</f>
        <v/>
      </c>
      <c r="T455" s="85" t="str">
        <f>IFERROR(VLOOKUP(B455,'02. MM-KLH'!$B$6:$T$823,19,0),"")</f>
        <v/>
      </c>
      <c r="U455" s="85" t="str">
        <f>IFERROR(VLOOKUP(C455,'02. MM-KLH'!$B$6:$T$823,19,0),"")</f>
        <v/>
      </c>
    </row>
    <row r="456" ht="13.5" customHeight="1">
      <c r="A456" s="95">
        <v>1.0</v>
      </c>
      <c r="B456" s="113" t="s">
        <v>199</v>
      </c>
      <c r="C456" s="84" t="str">
        <f>IFERROR(VLOOKUP(B456,'02. MM-KLH'!$B$6:$T$823,2,0),"")</f>
        <v/>
      </c>
      <c r="D456" s="95" t="str">
        <f>IFERROR(VLOOKUP(B456,'02. MM-KLH'!$B$6:$T$823,3,0),"")</f>
        <v>ATT-A22-0295</v>
      </c>
      <c r="E456" s="86" t="str">
        <f>IFERROR(VLOOKUP(B456,'02. MM-KLH'!$B$6:$T$823,4,0),"")</f>
        <v/>
      </c>
      <c r="F456" s="115" t="s">
        <v>5858</v>
      </c>
      <c r="G456" s="86" t="str">
        <f>IFERROR(VLOOKUP(B456,'02. MM-KLH'!$B$6:$T$823,6,0),"")</f>
        <v>Xe bồn AUMAN ETX D300 (tưới đường)</v>
      </c>
      <c r="H456" s="80" t="s">
        <v>5859</v>
      </c>
      <c r="I456" s="80" t="str">
        <f>IFERROR(VLOOKUP(B456,'02. MM-KLH'!$B$6:$T$823,8,0),"")</f>
        <v>CGTC DP</v>
      </c>
      <c r="J456" s="99" t="str">
        <f>IFERROR(VLOOKUP(B456,'02. MM-KLH'!$B$6:$T$823,9,0),"")</f>
        <v> </v>
      </c>
      <c r="K456" s="80" t="str">
        <f>IFERROR(VLOOKUP(B456,'02. MM-KLH'!$B$6:$T$823,10,0),"")</f>
        <v>Bình thường</v>
      </c>
      <c r="L456" s="102">
        <f>IFERROR(VLOOKUP(B456,'02. MM-KLH'!$B$6:$T$823,11,0),"")</f>
        <v>0.97</v>
      </c>
      <c r="M456" s="143" t="str">
        <f>IFERROR(VLOOKUP(B456,'02. MM-KLH'!$B$6:$T$823,12,0),"")</f>
        <v/>
      </c>
      <c r="N456" s="108" t="str">
        <f>IFERROR(VLOOKUP(B456,'02. MM-KLH'!$B$6:$T$823,13,0),"")</f>
        <v>AUMAN</v>
      </c>
      <c r="O456" s="108" t="str">
        <f>IFERROR(VLOOKUP(B456,'02. MM-KLH'!$B$6:$T$823,14,0),"")</f>
        <v>VIỆT NAM</v>
      </c>
      <c r="P456" s="80">
        <f>IFERROR(VLOOKUP(B456,'02. MM-KLH'!$B$6:$T$823,15,0),"")</f>
        <v>2022</v>
      </c>
      <c r="Q456" s="80" t="str">
        <f>IFERROR(VLOOKUP(B456,'02. MM-KLH'!$B$6:$T$823,16,0),"")</f>
        <v> ETX D300</v>
      </c>
      <c r="R456" s="106" t="str">
        <f>IFERROR(VLOOKUP(B456,'02. MM-KLH'!$B$6:$T$823,17,0),"")</f>
        <v>330HP</v>
      </c>
      <c r="S456" s="108" t="str">
        <f>IFERROR(VLOOKUP(B456,'02. MM-KLH'!$B$6:$T$823,18,0),"")</f>
        <v>RNHD30FWANT067862</v>
      </c>
      <c r="T456" s="110" t="str">
        <f>IFERROR(VLOOKUP(B456,'02. MM-KLH'!$B$6:$T$823,19,0),"")</f>
        <v>WP10336E431622D017084</v>
      </c>
      <c r="U456" s="130" t="s">
        <v>79</v>
      </c>
    </row>
    <row r="457" ht="13.5" customHeight="1">
      <c r="A457" s="95">
        <f t="shared" ref="A457:A467" si="20">A456+1</f>
        <v>2</v>
      </c>
      <c r="B457" s="113" t="s">
        <v>567</v>
      </c>
      <c r="C457" s="84" t="str">
        <f>IFERROR(VLOOKUP(B457,'02. MM-KLH'!$B$6:$T$823,2,0),"")</f>
        <v>CHT-XBO-003</v>
      </c>
      <c r="D457" s="95" t="str">
        <f>IFERROR(VLOOKUP(B457,'02. MM-KLH'!$B$6:$T$823,3,0),"")</f>
        <v>ATT-A22-0230</v>
      </c>
      <c r="E457" s="86" t="str">
        <f>IFERROR(VLOOKUP(B457,'02. MM-KLH'!$B$6:$T$823,4,0),"")</f>
        <v/>
      </c>
      <c r="F457" s="115" t="s">
        <v>5864</v>
      </c>
      <c r="G457" s="86" t="str">
        <f>IFERROR(VLOOKUP(B457,'02. MM-KLH'!$B$6:$T$823,6,0),"")</f>
        <v>Xe bồn AUMAN ETX D300 (Bồn tưới 18m3)</v>
      </c>
      <c r="H457" s="80" t="s">
        <v>5859</v>
      </c>
      <c r="I457" s="80" t="str">
        <f>IFERROR(VLOOKUP(B457,'02. MM-KLH'!$B$6:$T$823,8,0),"")</f>
        <v>CGTC AD</v>
      </c>
      <c r="J457" s="99">
        <f>IFERROR(VLOOKUP(B457,'02. MM-KLH'!$B$6:$T$823,9,0),"")</f>
        <v>44198</v>
      </c>
      <c r="K457" s="80" t="str">
        <f>IFERROR(VLOOKUP(B457,'02. MM-KLH'!$B$6:$T$823,10,0),"")</f>
        <v>Bình thường</v>
      </c>
      <c r="L457" s="102">
        <f>IFERROR(VLOOKUP(B457,'02. MM-KLH'!$B$6:$T$823,11,0),"")</f>
        <v>0.69</v>
      </c>
      <c r="M457" s="143" t="str">
        <f>IFERROR(VLOOKUP(B457,'02. MM-KLH'!$B$6:$T$823,12,0),"")</f>
        <v/>
      </c>
      <c r="N457" s="108" t="str">
        <f>IFERROR(VLOOKUP(B457,'02. MM-KLH'!$B$6:$T$823,13,0),"")</f>
        <v>THACO AUMAN</v>
      </c>
      <c r="O457" s="108" t="str">
        <f>IFERROR(VLOOKUP(B457,'02. MM-KLH'!$B$6:$T$823,14,0),"")</f>
        <v>VIỆT NAM</v>
      </c>
      <c r="P457" s="80">
        <f>IFERROR(VLOOKUP(B457,'02. MM-KLH'!$B$6:$T$823,15,0),"")</f>
        <v>2019</v>
      </c>
      <c r="Q457" s="80" t="str">
        <f>IFERROR(VLOOKUP(B457,'02. MM-KLH'!$B$6:$T$823,16,0),"")</f>
        <v>ETX D300E4</v>
      </c>
      <c r="R457" s="106" t="str">
        <f>IFERROR(VLOOKUP(B457,'02. MM-KLH'!$B$6:$T$823,17,0),"")</f>
        <v>336HP</v>
      </c>
      <c r="S457" s="108" t="str">
        <f>IFERROR(VLOOKUP(B457,'02. MM-KLH'!$B$6:$T$823,18,0),"")</f>
        <v>RNHD30FWBKC005994</v>
      </c>
      <c r="T457" s="110" t="str">
        <f>IFERROR(VLOOKUP(B457,'02. MM-KLH'!$B$6:$T$823,19,0),"")</f>
        <v>WP10336E431618C035173</v>
      </c>
      <c r="U457" s="130" t="s">
        <v>79</v>
      </c>
    </row>
    <row r="458" ht="13.5" customHeight="1">
      <c r="A458" s="95">
        <f t="shared" si="20"/>
        <v>3</v>
      </c>
      <c r="B458" s="113" t="s">
        <v>2438</v>
      </c>
      <c r="C458" s="84" t="str">
        <f>IFERROR(VLOOKUP(B458,'02. MM-KLH'!$B$6:$T$823,2,0),"")</f>
        <v>TBT-XTB-001</v>
      </c>
      <c r="D458" s="95" t="str">
        <f>IFERROR(VLOOKUP(B458,'02. MM-KLH'!$B$6:$T$823,3,0),"")</f>
        <v>ATT-A22-0159</v>
      </c>
      <c r="E458" s="86" t="str">
        <f>IFERROR(VLOOKUP(B458,'02. MM-KLH'!$B$6:$T$823,4,0),"")</f>
        <v/>
      </c>
      <c r="F458" s="115" t="s">
        <v>5866</v>
      </c>
      <c r="G458" s="86" t="str">
        <f>IFERROR(VLOOKUP(B458,'02. MM-KLH'!$B$6:$T$823,6,0),"")</f>
        <v>Xe tải bồn HYUNDAI HD 270</v>
      </c>
      <c r="H458" s="80" t="s">
        <v>5867</v>
      </c>
      <c r="I458" s="80" t="str">
        <f>IFERROR(VLOOKUP(B458,'02. MM-KLH'!$B$6:$T$823,8,0),"")</f>
        <v>Trạm trộn bê tông</v>
      </c>
      <c r="J458" s="99">
        <f>IFERROR(VLOOKUP(B458,'02. MM-KLH'!$B$6:$T$823,9,0),"")</f>
        <v>44197</v>
      </c>
      <c r="K458" s="80" t="str">
        <f>IFERROR(VLOOKUP(B458,'02. MM-KLH'!$B$6:$T$823,10,0),"")</f>
        <v>Bình thường</v>
      </c>
      <c r="L458" s="102">
        <f>IFERROR(VLOOKUP(B458,'02. MM-KLH'!$B$6:$T$823,11,0),"")</f>
        <v>0.67</v>
      </c>
      <c r="M458" s="143" t="str">
        <f>IFERROR(VLOOKUP(B458,'02. MM-KLH'!$B$6:$T$823,12,0),"")</f>
        <v/>
      </c>
      <c r="N458" s="108" t="str">
        <f>IFERROR(VLOOKUP(B458,'02. MM-KLH'!$B$6:$T$823,13,0),"")</f>
        <v>HYUNDAI</v>
      </c>
      <c r="O458" s="108" t="str">
        <f>IFERROR(VLOOKUP(B458,'02. MM-KLH'!$B$6:$T$823,14,0),"")</f>
        <v>HÀN QUỐC</v>
      </c>
      <c r="P458" s="80">
        <f>IFERROR(VLOOKUP(B458,'02. MM-KLH'!$B$6:$T$823,15,0),"")</f>
        <v>2017</v>
      </c>
      <c r="Q458" s="80" t="str">
        <f>IFERROR(VLOOKUP(B458,'02. MM-KLH'!$B$6:$T$823,16,0),"")</f>
        <v>HD270</v>
      </c>
      <c r="R458" s="106" t="str">
        <f>IFERROR(VLOOKUP(B458,'02. MM-KLH'!$B$6:$T$823,17,0),"")</f>
        <v>280HP</v>
      </c>
      <c r="S458" s="108" t="str">
        <f>IFERROR(VLOOKUP(B458,'02. MM-KLH'!$B$6:$T$823,18,0),"")</f>
        <v>KMCDH18SPHC094971</v>
      </c>
      <c r="T458" s="110" t="str">
        <f>IFERROR(VLOOKUP(B458,'02. MM-KLH'!$B$6:$T$823,19,0),"")</f>
        <v>D6CAGJ310250</v>
      </c>
      <c r="U458" s="130" t="s">
        <v>79</v>
      </c>
    </row>
    <row r="459" ht="13.5" customHeight="1">
      <c r="A459" s="95">
        <f t="shared" si="20"/>
        <v>4</v>
      </c>
      <c r="B459" s="113" t="s">
        <v>2443</v>
      </c>
      <c r="C459" s="84" t="str">
        <f>IFERROR(VLOOKUP(B459,'02. MM-KLH'!$B$6:$T$823,2,0),"")</f>
        <v>TBT-XTB-002</v>
      </c>
      <c r="D459" s="95" t="str">
        <f>IFERROR(VLOOKUP(B459,'02. MM-KLH'!$B$6:$T$823,3,0),"")</f>
        <v>ATT-A22-0160</v>
      </c>
      <c r="E459" s="86" t="str">
        <f>IFERROR(VLOOKUP(B459,'02. MM-KLH'!$B$6:$T$823,4,0),"")</f>
        <v/>
      </c>
      <c r="F459" s="115" t="s">
        <v>5868</v>
      </c>
      <c r="G459" s="86" t="str">
        <f>IFERROR(VLOOKUP(B459,'02. MM-KLH'!$B$6:$T$823,6,0),"")</f>
        <v>Xe tải bồn HYUNDAI HD 270</v>
      </c>
      <c r="H459" s="80" t="s">
        <v>5867</v>
      </c>
      <c r="I459" s="80" t="str">
        <f>IFERROR(VLOOKUP(B459,'02. MM-KLH'!$B$6:$T$823,8,0),"")</f>
        <v>Trạm trộn bê tông</v>
      </c>
      <c r="J459" s="99">
        <f>IFERROR(VLOOKUP(B459,'02. MM-KLH'!$B$6:$T$823,9,0),"")</f>
        <v>44197</v>
      </c>
      <c r="K459" s="80" t="str">
        <f>IFERROR(VLOOKUP(B459,'02. MM-KLH'!$B$6:$T$823,10,0),"")</f>
        <v>Bình thường</v>
      </c>
      <c r="L459" s="102">
        <f>IFERROR(VLOOKUP(B459,'02. MM-KLH'!$B$6:$T$823,11,0),"")</f>
        <v>0.67</v>
      </c>
      <c r="M459" s="143" t="str">
        <f>IFERROR(VLOOKUP(B459,'02. MM-KLH'!$B$6:$T$823,12,0),"")</f>
        <v/>
      </c>
      <c r="N459" s="108" t="str">
        <f>IFERROR(VLOOKUP(B459,'02. MM-KLH'!$B$6:$T$823,13,0),"")</f>
        <v>HYUNDAI</v>
      </c>
      <c r="O459" s="108" t="str">
        <f>IFERROR(VLOOKUP(B459,'02. MM-KLH'!$B$6:$T$823,14,0),"")</f>
        <v>HÀN QUỐC</v>
      </c>
      <c r="P459" s="80">
        <f>IFERROR(VLOOKUP(B459,'02. MM-KLH'!$B$6:$T$823,15,0),"")</f>
        <v>2017</v>
      </c>
      <c r="Q459" s="80" t="str">
        <f>IFERROR(VLOOKUP(B459,'02. MM-KLH'!$B$6:$T$823,16,0),"")</f>
        <v>HD270</v>
      </c>
      <c r="R459" s="106" t="str">
        <f>IFERROR(VLOOKUP(B459,'02. MM-KLH'!$B$6:$T$823,17,0),"")</f>
        <v>280HP</v>
      </c>
      <c r="S459" s="108" t="str">
        <f>IFERROR(VLOOKUP(B459,'02. MM-KLH'!$B$6:$T$823,18,0),"")</f>
        <v>KMCDH15SPHC094979</v>
      </c>
      <c r="T459" s="110" t="str">
        <f>IFERROR(VLOOKUP(B459,'02. MM-KLH'!$B$6:$T$823,19,0),"")</f>
        <v>D6CAGJ309410</v>
      </c>
      <c r="U459" s="130" t="s">
        <v>79</v>
      </c>
    </row>
    <row r="460" ht="13.5" customHeight="1">
      <c r="A460" s="95">
        <f t="shared" si="20"/>
        <v>5</v>
      </c>
      <c r="B460" s="113" t="s">
        <v>2446</v>
      </c>
      <c r="C460" s="84" t="str">
        <f>IFERROR(VLOOKUP(B460,'02. MM-KLH'!$B$6:$T$823,2,0),"")</f>
        <v>TBT-XTB-003</v>
      </c>
      <c r="D460" s="95" t="str">
        <f>IFERROR(VLOOKUP(B460,'02. MM-KLH'!$B$6:$T$823,3,0),"")</f>
        <v>ATT-A22-0161</v>
      </c>
      <c r="E460" s="86" t="str">
        <f>IFERROR(VLOOKUP(B460,'02. MM-KLH'!$B$6:$T$823,4,0),"")</f>
        <v/>
      </c>
      <c r="F460" s="115" t="s">
        <v>5869</v>
      </c>
      <c r="G460" s="86" t="str">
        <f>IFERROR(VLOOKUP(B460,'02. MM-KLH'!$B$6:$T$823,6,0),"")</f>
        <v>Xe tải bồn HYUNDAI HD 270</v>
      </c>
      <c r="H460" s="80" t="s">
        <v>5867</v>
      </c>
      <c r="I460" s="80" t="str">
        <f>IFERROR(VLOOKUP(B460,'02. MM-KLH'!$B$6:$T$823,8,0),"")</f>
        <v>Trạm trộn bê tông</v>
      </c>
      <c r="J460" s="99">
        <f>IFERROR(VLOOKUP(B460,'02. MM-KLH'!$B$6:$T$823,9,0),"")</f>
        <v>44197</v>
      </c>
      <c r="K460" s="80" t="str">
        <f>IFERROR(VLOOKUP(B460,'02. MM-KLH'!$B$6:$T$823,10,0),"")</f>
        <v>Bình thường</v>
      </c>
      <c r="L460" s="102">
        <f>IFERROR(VLOOKUP(B460,'02. MM-KLH'!$B$6:$T$823,11,0),"")</f>
        <v>0.67</v>
      </c>
      <c r="M460" s="143" t="str">
        <f>IFERROR(VLOOKUP(B460,'02. MM-KLH'!$B$6:$T$823,12,0),"")</f>
        <v/>
      </c>
      <c r="N460" s="108" t="str">
        <f>IFERROR(VLOOKUP(B460,'02. MM-KLH'!$B$6:$T$823,13,0),"")</f>
        <v>HYUNDAI</v>
      </c>
      <c r="O460" s="108" t="str">
        <f>IFERROR(VLOOKUP(B460,'02. MM-KLH'!$B$6:$T$823,14,0),"")</f>
        <v>HÀN QUỐC</v>
      </c>
      <c r="P460" s="80">
        <f>IFERROR(VLOOKUP(B460,'02. MM-KLH'!$B$6:$T$823,15,0),"")</f>
        <v>2017</v>
      </c>
      <c r="Q460" s="80" t="str">
        <f>IFERROR(VLOOKUP(B460,'02. MM-KLH'!$B$6:$T$823,16,0),"")</f>
        <v>HD270</v>
      </c>
      <c r="R460" s="106" t="str">
        <f>IFERROR(VLOOKUP(B460,'02. MM-KLH'!$B$6:$T$823,17,0),"")</f>
        <v>280HP</v>
      </c>
      <c r="S460" s="108" t="str">
        <f>IFERROR(VLOOKUP(B460,'02. MM-KLH'!$B$6:$T$823,18,0),"")</f>
        <v>KMCDH18SPHC094980</v>
      </c>
      <c r="T460" s="110" t="str">
        <f>IFERROR(VLOOKUP(B460,'02. MM-KLH'!$B$6:$T$823,19,0),"")</f>
        <v>D6CAGJ309414</v>
      </c>
      <c r="U460" s="130" t="s">
        <v>79</v>
      </c>
    </row>
    <row r="461" ht="13.5" customHeight="1">
      <c r="A461" s="95">
        <f t="shared" si="20"/>
        <v>6</v>
      </c>
      <c r="B461" s="113" t="s">
        <v>2449</v>
      </c>
      <c r="C461" s="84" t="str">
        <f>IFERROR(VLOOKUP(B461,'02. MM-KLH'!$B$6:$T$823,2,0),"")</f>
        <v>TBT-XTB-004</v>
      </c>
      <c r="D461" s="95" t="str">
        <f>IFERROR(VLOOKUP(B461,'02. MM-KLH'!$B$6:$T$823,3,0),"")</f>
        <v>ATT-A22-0162</v>
      </c>
      <c r="E461" s="86" t="str">
        <f>IFERROR(VLOOKUP(B461,'02. MM-KLH'!$B$6:$T$823,4,0),"")</f>
        <v/>
      </c>
      <c r="F461" s="115" t="s">
        <v>5870</v>
      </c>
      <c r="G461" s="86" t="str">
        <f>IFERROR(VLOOKUP(B461,'02. MM-KLH'!$B$6:$T$823,6,0),"")</f>
        <v>Xe tải bồn FORTON</v>
      </c>
      <c r="H461" s="80" t="s">
        <v>5867</v>
      </c>
      <c r="I461" s="80" t="str">
        <f>IFERROR(VLOOKUP(B461,'02. MM-KLH'!$B$6:$T$823,8,0),"")</f>
        <v>Trạm trộn bê tông</v>
      </c>
      <c r="J461" s="99">
        <f>IFERROR(VLOOKUP(B461,'02. MM-KLH'!$B$6:$T$823,9,0),"")</f>
        <v>44197</v>
      </c>
      <c r="K461" s="80" t="str">
        <f>IFERROR(VLOOKUP(B461,'02. MM-KLH'!$B$6:$T$823,10,0),"")</f>
        <v>Bình thường</v>
      </c>
      <c r="L461" s="102">
        <f>IFERROR(VLOOKUP(B461,'02. MM-KLH'!$B$6:$T$823,11,0),"")</f>
        <v>0.68</v>
      </c>
      <c r="M461" s="143" t="str">
        <f>IFERROR(VLOOKUP(B461,'02. MM-KLH'!$B$6:$T$823,12,0),"")</f>
        <v/>
      </c>
      <c r="N461" s="108" t="str">
        <f>IFERROR(VLOOKUP(B461,'02. MM-KLH'!$B$6:$T$823,13,0),"")</f>
        <v>FORTON</v>
      </c>
      <c r="O461" s="108" t="str">
        <f>IFERROR(VLOOKUP(B461,'02. MM-KLH'!$B$6:$T$823,14,0),"")</f>
        <v>TRUNG QUỐC</v>
      </c>
      <c r="P461" s="80">
        <f>IFERROR(VLOOKUP(B461,'02. MM-KLH'!$B$6:$T$823,15,0),"")</f>
        <v>2018</v>
      </c>
      <c r="Q461" s="80" t="str">
        <f>IFERROR(VLOOKUP(B461,'02. MM-KLH'!$B$6:$T$823,16,0),"")</f>
        <v>BJ5253GJB-AB</v>
      </c>
      <c r="R461" s="106" t="str">
        <f>IFERROR(VLOOKUP(B461,'02. MM-KLH'!$B$6:$T$823,17,0),"")</f>
        <v>335HP</v>
      </c>
      <c r="S461" s="108" t="str">
        <f>IFERROR(VLOOKUP(B461,'02. MM-KLH'!$B$6:$T$823,18,0),"")</f>
        <v>LRDV6PEC7JH613967</v>
      </c>
      <c r="T461" s="110" t="str">
        <f>IFERROR(VLOOKUP(B461,'02. MM-KLH'!$B$6:$T$823,19,0),"")</f>
        <v>ISGe534076226632</v>
      </c>
      <c r="U461" s="130" t="s">
        <v>79</v>
      </c>
    </row>
    <row r="462" ht="13.5" customHeight="1">
      <c r="A462" s="95">
        <f t="shared" si="20"/>
        <v>7</v>
      </c>
      <c r="B462" s="113" t="s">
        <v>2456</v>
      </c>
      <c r="C462" s="84" t="str">
        <f>IFERROR(VLOOKUP(B462,'02. MM-KLH'!$B$6:$T$823,2,0),"")</f>
        <v/>
      </c>
      <c r="D462" s="95" t="str">
        <f>IFERROR(VLOOKUP(B462,'02. MM-KLH'!$B$6:$T$823,3,0),"")</f>
        <v>ATT-A22-0311</v>
      </c>
      <c r="E462" s="86" t="str">
        <f>IFERROR(VLOOKUP(B462,'02. MM-KLH'!$B$6:$T$823,4,0),"")</f>
        <v>5A-0004</v>
      </c>
      <c r="F462" s="115" t="s">
        <v>5872</v>
      </c>
      <c r="G462" s="86" t="str">
        <f>IFERROR(VLOOKUP(B462,'02. MM-KLH'!$B$6:$T$823,6,0),"")</f>
        <v>Xe tải bồn CNHTC Sinotruk</v>
      </c>
      <c r="H462" s="80" t="s">
        <v>5867</v>
      </c>
      <c r="I462" s="80" t="str">
        <f>IFERROR(VLOOKUP(B462,'02. MM-KLH'!$B$6:$T$823,8,0),"")</f>
        <v>Trạm trộn bê tông</v>
      </c>
      <c r="J462" s="99" t="str">
        <f>IFERROR(VLOOKUP(B462,'02. MM-KLH'!$B$6:$T$823,9,0),"")</f>
        <v>17/12/2023</v>
      </c>
      <c r="K462" s="80" t="str">
        <f>IFERROR(VLOOKUP(B462,'02. MM-KLH'!$B$6:$T$823,10,0),"")</f>
        <v>Bình thường</v>
      </c>
      <c r="L462" s="102">
        <f>IFERROR(VLOOKUP(B462,'02. MM-KLH'!$B$6:$T$823,11,0),"")</f>
        <v>0.98</v>
      </c>
      <c r="M462" s="143" t="str">
        <f>IFERROR(VLOOKUP(B462,'02. MM-KLH'!$B$6:$T$823,12,0),"")</f>
        <v/>
      </c>
      <c r="N462" s="108" t="str">
        <f>IFERROR(VLOOKUP(B462,'02. MM-KLH'!$B$6:$T$823,13,0),"")</f>
        <v>CNHTC Sinotruk</v>
      </c>
      <c r="O462" s="108" t="str">
        <f>IFERROR(VLOOKUP(B462,'02. MM-KLH'!$B$6:$T$823,14,0),"")</f>
        <v>TRUNG QUỐC</v>
      </c>
      <c r="P462" s="80">
        <f>IFERROR(VLOOKUP(B462,'02. MM-KLH'!$B$6:$T$823,15,0),"")</f>
        <v>2023</v>
      </c>
      <c r="Q462" s="80" t="str">
        <f>IFERROR(VLOOKUP(B462,'02. MM-KLH'!$B$6:$T$823,16,0),"")</f>
        <v>ZZ5257GJBN3847E1</v>
      </c>
      <c r="R462" s="106" t="str">
        <f>IFERROR(VLOOKUP(B462,'02. MM-KLH'!$B$6:$T$823,17,0),"")</f>
        <v>338.5HP</v>
      </c>
      <c r="S462" s="108" t="str">
        <f>IFERROR(VLOOKUP(B462,'02. MM-KLH'!$B$6:$T$823,18,0),"")</f>
        <v>LZZ1BLND6PA126475</v>
      </c>
      <c r="T462" s="110" t="str">
        <f>IFERROR(VLOOKUP(B462,'02. MM-KLH'!$B$6:$T$823,19,0),"")</f>
        <v>D103450230507007387</v>
      </c>
      <c r="U462" s="130" t="s">
        <v>2301</v>
      </c>
    </row>
    <row r="463" ht="13.5" customHeight="1">
      <c r="A463" s="95">
        <f t="shared" si="20"/>
        <v>8</v>
      </c>
      <c r="B463" s="113" t="s">
        <v>2465</v>
      </c>
      <c r="C463" s="84" t="str">
        <f>IFERROR(VLOOKUP(B463,'02. MM-KLH'!$B$6:$T$823,2,0),"")</f>
        <v/>
      </c>
      <c r="D463" s="95" t="str">
        <f>IFERROR(VLOOKUP(B463,'02. MM-KLH'!$B$6:$T$823,3,0),"")</f>
        <v>ATT-A22-0306</v>
      </c>
      <c r="E463" s="86" t="str">
        <f>IFERROR(VLOOKUP(B463,'02. MM-KLH'!$B$6:$T$823,4,0),"")</f>
        <v>5A-0006</v>
      </c>
      <c r="F463" s="115" t="s">
        <v>5873</v>
      </c>
      <c r="G463" s="86" t="str">
        <f>IFERROR(VLOOKUP(B463,'02. MM-KLH'!$B$6:$T$823,6,0),"")</f>
        <v>Xe tải bồn CNHTC Sinotruk</v>
      </c>
      <c r="H463" s="80" t="s">
        <v>5867</v>
      </c>
      <c r="I463" s="80" t="str">
        <f>IFERROR(VLOOKUP(B463,'02. MM-KLH'!$B$6:$T$823,8,0),"")</f>
        <v>Trạm trộn bê tông</v>
      </c>
      <c r="J463" s="99">
        <f>IFERROR(VLOOKUP(B463,'02. MM-KLH'!$B$6:$T$823,9,0),"")</f>
        <v>45150</v>
      </c>
      <c r="K463" s="80" t="str">
        <f>IFERROR(VLOOKUP(B463,'02. MM-KLH'!$B$6:$T$823,10,0),"")</f>
        <v>Bình thường</v>
      </c>
      <c r="L463" s="102">
        <f>IFERROR(VLOOKUP(B463,'02. MM-KLH'!$B$6:$T$823,11,0),"")</f>
        <v>0.98</v>
      </c>
      <c r="M463" s="143" t="str">
        <f>IFERROR(VLOOKUP(B463,'02. MM-KLH'!$B$6:$T$823,12,0),"")</f>
        <v/>
      </c>
      <c r="N463" s="108" t="str">
        <f>IFERROR(VLOOKUP(B463,'02. MM-KLH'!$B$6:$T$823,13,0),"")</f>
        <v>CNHTC Sinotruk</v>
      </c>
      <c r="O463" s="108" t="str">
        <f>IFERROR(VLOOKUP(B463,'02. MM-KLH'!$B$6:$T$823,14,0),"")</f>
        <v>TRUNG QUỐC</v>
      </c>
      <c r="P463" s="80">
        <f>IFERROR(VLOOKUP(B463,'02. MM-KLH'!$B$6:$T$823,15,0),"")</f>
        <v>2023</v>
      </c>
      <c r="Q463" s="80" t="str">
        <f>IFERROR(VLOOKUP(B463,'02. MM-KLH'!$B$6:$T$823,16,0),"")</f>
        <v>ZZ5257GJBN3847E1</v>
      </c>
      <c r="R463" s="106" t="str">
        <f>IFERROR(VLOOKUP(B463,'02. MM-KLH'!$B$6:$T$823,17,0),"")</f>
        <v>338.5HP</v>
      </c>
      <c r="S463" s="108" t="str">
        <f>IFERROR(VLOOKUP(B463,'02. MM-KLH'!$B$6:$T$823,18,0),"")</f>
        <v>LZZ1BLND8PA126476</v>
      </c>
      <c r="T463" s="110" t="str">
        <f>IFERROR(VLOOKUP(B463,'02. MM-KLH'!$B$6:$T$823,19,0),"")</f>
        <v>D103450230507007397</v>
      </c>
      <c r="U463" s="130" t="s">
        <v>2301</v>
      </c>
    </row>
    <row r="464" ht="13.5" customHeight="1">
      <c r="A464" s="95">
        <f t="shared" si="20"/>
        <v>9</v>
      </c>
      <c r="B464" s="113" t="s">
        <v>2469</v>
      </c>
      <c r="C464" s="84" t="str">
        <f>IFERROR(VLOOKUP(B464,'02. MM-KLH'!$B$6:$T$823,2,0),"")</f>
        <v/>
      </c>
      <c r="D464" s="95" t="str">
        <f>IFERROR(VLOOKUP(B464,'02. MM-KLH'!$B$6:$T$823,3,0),"")</f>
        <v>ATT-A22-0307</v>
      </c>
      <c r="E464" s="86" t="str">
        <f>IFERROR(VLOOKUP(B464,'02. MM-KLH'!$B$6:$T$823,4,0),"")</f>
        <v>5A-0002</v>
      </c>
      <c r="F464" s="115" t="s">
        <v>5874</v>
      </c>
      <c r="G464" s="86" t="str">
        <f>IFERROR(VLOOKUP(B464,'02. MM-KLH'!$B$6:$T$823,6,0),"")</f>
        <v>Xe tải bồn CNHTC Sinotruk</v>
      </c>
      <c r="H464" s="80" t="s">
        <v>5867</v>
      </c>
      <c r="I464" s="80" t="str">
        <f>IFERROR(VLOOKUP(B464,'02. MM-KLH'!$B$6:$T$823,8,0),"")</f>
        <v>Trạm trộn bê tông</v>
      </c>
      <c r="J464" s="99">
        <f>IFERROR(VLOOKUP(B464,'02. MM-KLH'!$B$6:$T$823,9,0),"")</f>
        <v>45150</v>
      </c>
      <c r="K464" s="80" t="str">
        <f>IFERROR(VLOOKUP(B464,'02. MM-KLH'!$B$6:$T$823,10,0),"")</f>
        <v>Bình thường</v>
      </c>
      <c r="L464" s="102">
        <f>IFERROR(VLOOKUP(B464,'02. MM-KLH'!$B$6:$T$823,11,0),"")</f>
        <v>0.98</v>
      </c>
      <c r="M464" s="143" t="str">
        <f>IFERROR(VLOOKUP(B464,'02. MM-KLH'!$B$6:$T$823,12,0),"")</f>
        <v/>
      </c>
      <c r="N464" s="108" t="str">
        <f>IFERROR(VLOOKUP(B464,'02. MM-KLH'!$B$6:$T$823,13,0),"")</f>
        <v>CNHTC Sinotruk</v>
      </c>
      <c r="O464" s="108" t="str">
        <f>IFERROR(VLOOKUP(B464,'02. MM-KLH'!$B$6:$T$823,14,0),"")</f>
        <v>TRUNG QUỐC</v>
      </c>
      <c r="P464" s="80">
        <f>IFERROR(VLOOKUP(B464,'02. MM-KLH'!$B$6:$T$823,15,0),"")</f>
        <v>2023</v>
      </c>
      <c r="Q464" s="80" t="str">
        <f>IFERROR(VLOOKUP(B464,'02. MM-KLH'!$B$6:$T$823,16,0),"")</f>
        <v>ZZ5257GJBN3847E1</v>
      </c>
      <c r="R464" s="106" t="str">
        <f>IFERROR(VLOOKUP(B464,'02. MM-KLH'!$B$6:$T$823,17,0),"")</f>
        <v>338.5HP</v>
      </c>
      <c r="S464" s="108" t="str">
        <f>IFERROR(VLOOKUP(B464,'02. MM-KLH'!$B$6:$T$823,18,0),"")</f>
        <v>LZZ1BLNDXPA126477</v>
      </c>
      <c r="T464" s="110" t="str">
        <f>IFERROR(VLOOKUP(B464,'02. MM-KLH'!$B$6:$T$823,19,0),"")</f>
        <v>D103450230507007367</v>
      </c>
      <c r="U464" s="130" t="s">
        <v>2301</v>
      </c>
    </row>
    <row r="465" ht="13.5" customHeight="1">
      <c r="A465" s="95">
        <f t="shared" si="20"/>
        <v>10</v>
      </c>
      <c r="B465" s="113" t="s">
        <v>2473</v>
      </c>
      <c r="C465" s="84" t="str">
        <f>IFERROR(VLOOKUP(B465,'02. MM-KLH'!$B$6:$T$823,2,0),"")</f>
        <v/>
      </c>
      <c r="D465" s="95" t="str">
        <f>IFERROR(VLOOKUP(B465,'02. MM-KLH'!$B$6:$T$823,3,0),"")</f>
        <v>ATT-A22-0308</v>
      </c>
      <c r="E465" s="86" t="str">
        <f>IFERROR(VLOOKUP(B465,'02. MM-KLH'!$B$6:$T$823,4,0),"")</f>
        <v>5A-0005</v>
      </c>
      <c r="F465" s="115" t="s">
        <v>5876</v>
      </c>
      <c r="G465" s="86" t="str">
        <f>IFERROR(VLOOKUP(B465,'02. MM-KLH'!$B$6:$T$823,6,0),"")</f>
        <v>Xe tải bồn CNHTC Sinotruk</v>
      </c>
      <c r="H465" s="80" t="s">
        <v>5867</v>
      </c>
      <c r="I465" s="80" t="str">
        <f>IFERROR(VLOOKUP(B465,'02. MM-KLH'!$B$6:$T$823,8,0),"")</f>
        <v>Trạm trộn bê tông</v>
      </c>
      <c r="J465" s="99">
        <f>IFERROR(VLOOKUP(B465,'02. MM-KLH'!$B$6:$T$823,9,0),"")</f>
        <v>45150</v>
      </c>
      <c r="K465" s="80" t="str">
        <f>IFERROR(VLOOKUP(B465,'02. MM-KLH'!$B$6:$T$823,10,0),"")</f>
        <v>Bình thường</v>
      </c>
      <c r="L465" s="102">
        <f>IFERROR(VLOOKUP(B465,'02. MM-KLH'!$B$6:$T$823,11,0),"")</f>
        <v>0.98</v>
      </c>
      <c r="M465" s="143" t="str">
        <f>IFERROR(VLOOKUP(B465,'02. MM-KLH'!$B$6:$T$823,12,0),"")</f>
        <v/>
      </c>
      <c r="N465" s="108" t="str">
        <f>IFERROR(VLOOKUP(B465,'02. MM-KLH'!$B$6:$T$823,13,0),"")</f>
        <v>CNHTC Sinotruk</v>
      </c>
      <c r="O465" s="108" t="str">
        <f>IFERROR(VLOOKUP(B465,'02. MM-KLH'!$B$6:$T$823,14,0),"")</f>
        <v>TRUNG QUỐC</v>
      </c>
      <c r="P465" s="80">
        <f>IFERROR(VLOOKUP(B465,'02. MM-KLH'!$B$6:$T$823,15,0),"")</f>
        <v>2023</v>
      </c>
      <c r="Q465" s="80" t="str">
        <f>IFERROR(VLOOKUP(B465,'02. MM-KLH'!$B$6:$T$823,16,0),"")</f>
        <v>ZZ5257GJBN3847E1</v>
      </c>
      <c r="R465" s="106" t="str">
        <f>IFERROR(VLOOKUP(B465,'02. MM-KLH'!$B$6:$T$823,17,0),"")</f>
        <v>338.5HP</v>
      </c>
      <c r="S465" s="108" t="str">
        <f>IFERROR(VLOOKUP(B465,'02. MM-KLH'!$B$6:$T$823,18,0),"")</f>
        <v>LZZ1BLND1PA126478</v>
      </c>
      <c r="T465" s="110" t="str">
        <f>IFERROR(VLOOKUP(B465,'02. MM-KLH'!$B$6:$T$823,19,0),"")</f>
        <v>D103450230507007327</v>
      </c>
      <c r="U465" s="130" t="s">
        <v>2301</v>
      </c>
    </row>
    <row r="466" ht="13.5" customHeight="1">
      <c r="A466" s="95">
        <f t="shared" si="20"/>
        <v>11</v>
      </c>
      <c r="B466" s="113" t="s">
        <v>2477</v>
      </c>
      <c r="C466" s="84" t="str">
        <f>IFERROR(VLOOKUP(B466,'02. MM-KLH'!$B$6:$T$823,2,0),"")</f>
        <v/>
      </c>
      <c r="D466" s="95" t="str">
        <f>IFERROR(VLOOKUP(B466,'02. MM-KLH'!$B$6:$T$823,3,0),"")</f>
        <v>ATT-A22-0309</v>
      </c>
      <c r="E466" s="86" t="str">
        <f>IFERROR(VLOOKUP(B466,'02. MM-KLH'!$B$6:$T$823,4,0),"")</f>
        <v>5A-0003</v>
      </c>
      <c r="F466" s="115" t="s">
        <v>5878</v>
      </c>
      <c r="G466" s="86" t="str">
        <f>IFERROR(VLOOKUP(B466,'02. MM-KLH'!$B$6:$T$823,6,0),"")</f>
        <v>Xe tải bồn CNHTC Sinotruk</v>
      </c>
      <c r="H466" s="80" t="s">
        <v>5867</v>
      </c>
      <c r="I466" s="80" t="str">
        <f>IFERROR(VLOOKUP(B466,'02. MM-KLH'!$B$6:$T$823,8,0),"")</f>
        <v>Trạm trộn bê tông</v>
      </c>
      <c r="J466" s="99">
        <f>IFERROR(VLOOKUP(B466,'02. MM-KLH'!$B$6:$T$823,9,0),"")</f>
        <v>45150</v>
      </c>
      <c r="K466" s="80" t="str">
        <f>IFERROR(VLOOKUP(B466,'02. MM-KLH'!$B$6:$T$823,10,0),"")</f>
        <v>Bình thường</v>
      </c>
      <c r="L466" s="102">
        <f>IFERROR(VLOOKUP(B466,'02. MM-KLH'!$B$6:$T$823,11,0),"")</f>
        <v>0.98</v>
      </c>
      <c r="M466" s="143" t="str">
        <f>IFERROR(VLOOKUP(B466,'02. MM-KLH'!$B$6:$T$823,12,0),"")</f>
        <v/>
      </c>
      <c r="N466" s="108" t="str">
        <f>IFERROR(VLOOKUP(B466,'02. MM-KLH'!$B$6:$T$823,13,0),"")</f>
        <v>CNHTC Sinotruk</v>
      </c>
      <c r="O466" s="108" t="str">
        <f>IFERROR(VLOOKUP(B466,'02. MM-KLH'!$B$6:$T$823,14,0),"")</f>
        <v>TRUNG QUỐC</v>
      </c>
      <c r="P466" s="80">
        <f>IFERROR(VLOOKUP(B466,'02. MM-KLH'!$B$6:$T$823,15,0),"")</f>
        <v>2023</v>
      </c>
      <c r="Q466" s="80" t="str">
        <f>IFERROR(VLOOKUP(B466,'02. MM-KLH'!$B$6:$T$823,16,0),"")</f>
        <v>ZZ5257GJBN3847E1</v>
      </c>
      <c r="R466" s="106" t="str">
        <f>IFERROR(VLOOKUP(B466,'02. MM-KLH'!$B$6:$T$823,17,0),"")</f>
        <v>338.5HP</v>
      </c>
      <c r="S466" s="108" t="str">
        <f>IFERROR(VLOOKUP(B466,'02. MM-KLH'!$B$6:$T$823,18,0),"")</f>
        <v>LZZ1BLND3PA126479</v>
      </c>
      <c r="T466" s="110" t="str">
        <f>IFERROR(VLOOKUP(B466,'02. MM-KLH'!$B$6:$T$823,19,0),"")</f>
        <v>D103450230507007377</v>
      </c>
      <c r="U466" s="130" t="s">
        <v>2301</v>
      </c>
    </row>
    <row r="467" ht="13.5" customHeight="1">
      <c r="A467" s="95">
        <f t="shared" si="20"/>
        <v>12</v>
      </c>
      <c r="B467" s="113" t="s">
        <v>2482</v>
      </c>
      <c r="C467" s="84" t="str">
        <f>IFERROR(VLOOKUP(B467,'02. MM-KLH'!$B$6:$T$823,2,0),"")</f>
        <v/>
      </c>
      <c r="D467" s="95" t="str">
        <f>IFERROR(VLOOKUP(B467,'02. MM-KLH'!$B$6:$T$823,3,0),"")</f>
        <v>ATT-A22-0310</v>
      </c>
      <c r="E467" s="86" t="str">
        <f>IFERROR(VLOOKUP(B467,'02. MM-KLH'!$B$6:$T$823,4,0),"")</f>
        <v>5A-0001</v>
      </c>
      <c r="F467" s="115" t="s">
        <v>5882</v>
      </c>
      <c r="G467" s="86" t="str">
        <f>IFERROR(VLOOKUP(B467,'02. MM-KLH'!$B$6:$T$823,6,0),"")</f>
        <v>Xe tải bồn CNHTC Sinotruk</v>
      </c>
      <c r="H467" s="80" t="s">
        <v>5867</v>
      </c>
      <c r="I467" s="80" t="str">
        <f>IFERROR(VLOOKUP(B467,'02. MM-KLH'!$B$6:$T$823,8,0),"")</f>
        <v>Trạm trộn bê tông</v>
      </c>
      <c r="J467" s="99">
        <f>IFERROR(VLOOKUP(B467,'02. MM-KLH'!$B$6:$T$823,9,0),"")</f>
        <v>45150</v>
      </c>
      <c r="K467" s="80" t="str">
        <f>IFERROR(VLOOKUP(B467,'02. MM-KLH'!$B$6:$T$823,10,0),"")</f>
        <v>Bình thường</v>
      </c>
      <c r="L467" s="102">
        <f>IFERROR(VLOOKUP(B467,'02. MM-KLH'!$B$6:$T$823,11,0),"")</f>
        <v>0.98</v>
      </c>
      <c r="M467" s="143" t="str">
        <f>IFERROR(VLOOKUP(B467,'02. MM-KLH'!$B$6:$T$823,12,0),"")</f>
        <v/>
      </c>
      <c r="N467" s="108" t="str">
        <f>IFERROR(VLOOKUP(B467,'02. MM-KLH'!$B$6:$T$823,13,0),"")</f>
        <v>CNHTC Sinotruk</v>
      </c>
      <c r="O467" s="108" t="str">
        <f>IFERROR(VLOOKUP(B467,'02. MM-KLH'!$B$6:$T$823,14,0),"")</f>
        <v>TRUNG QUỐC</v>
      </c>
      <c r="P467" s="80">
        <f>IFERROR(VLOOKUP(B467,'02. MM-KLH'!$B$6:$T$823,15,0),"")</f>
        <v>2023</v>
      </c>
      <c r="Q467" s="80" t="str">
        <f>IFERROR(VLOOKUP(B467,'02. MM-KLH'!$B$6:$T$823,16,0),"")</f>
        <v>ZZ5257GJBN3847E1</v>
      </c>
      <c r="R467" s="106" t="str">
        <f>IFERROR(VLOOKUP(B467,'02. MM-KLH'!$B$6:$T$823,17,0),"")</f>
        <v>338.5HP</v>
      </c>
      <c r="S467" s="108" t="str">
        <f>IFERROR(VLOOKUP(B467,'02. MM-KLH'!$B$6:$T$823,18,0),"")</f>
        <v>LZZ1BLND3PA126482</v>
      </c>
      <c r="T467" s="110" t="str">
        <f>IFERROR(VLOOKUP(B467,'02. MM-KLH'!$B$6:$T$823,19,0),"")</f>
        <v>D103450230507007347</v>
      </c>
      <c r="U467" s="130" t="s">
        <v>2301</v>
      </c>
    </row>
    <row r="468" ht="13.5" customHeight="1">
      <c r="A468" s="95"/>
      <c r="B468" s="113"/>
      <c r="C468" s="84" t="str">
        <f>IFERROR(VLOOKUP(B468,'02. MM-KLH'!$B$6:$T$823,2,0),"")</f>
        <v/>
      </c>
      <c r="D468" s="95" t="str">
        <f>IFERROR(VLOOKUP(B468,'02. MM-KLH'!$B$6:$T$823,3,0),"")</f>
        <v/>
      </c>
      <c r="E468" s="86" t="str">
        <f>IFERROR(VLOOKUP(B468,'02. MM-KLH'!$B$6:$T$823,4,0),"")</f>
        <v/>
      </c>
      <c r="F468" s="115"/>
      <c r="G468" s="86" t="str">
        <f>IFERROR(VLOOKUP(B468,'02. MM-KLH'!$B$6:$T$823,6,0),"")</f>
        <v/>
      </c>
      <c r="H468" s="80"/>
      <c r="I468" s="80" t="str">
        <f>IFERROR(VLOOKUP(B468,'02. MM-KLH'!$B$6:$T$823,8,0),"")</f>
        <v/>
      </c>
      <c r="J468" s="99" t="str">
        <f>IFERROR(VLOOKUP(B468,'02. MM-KLH'!$B$6:$T$823,9,0),"")</f>
        <v/>
      </c>
      <c r="K468" s="80" t="str">
        <f>IFERROR(VLOOKUP(B468,'02. MM-KLH'!$B$6:$T$823,10,0),"")</f>
        <v/>
      </c>
      <c r="L468" s="102" t="str">
        <f>IFERROR(VLOOKUP(B468,'02. MM-KLH'!$B$6:$T$823,11,0),"")</f>
        <v/>
      </c>
      <c r="M468" s="143" t="str">
        <f>IFERROR(VLOOKUP(B468,'02. MM-KLH'!$B$6:$T$823,12,0),"")</f>
        <v/>
      </c>
      <c r="N468" s="108" t="str">
        <f>IFERROR(VLOOKUP(B468,'02. MM-KLH'!$B$6:$T$823,13,0),"")</f>
        <v/>
      </c>
      <c r="O468" s="108" t="str">
        <f>IFERROR(VLOOKUP(B468,'02. MM-KLH'!$B$6:$T$823,14,0),"")</f>
        <v/>
      </c>
      <c r="P468" s="80" t="str">
        <f>IFERROR(VLOOKUP(B468,'02. MM-KLH'!$B$6:$T$823,15,0),"")</f>
        <v/>
      </c>
      <c r="Q468" s="80" t="str">
        <f>IFERROR(VLOOKUP(B468,'02. MM-KLH'!$B$6:$T$823,16,0),"")</f>
        <v/>
      </c>
      <c r="R468" s="106" t="str">
        <f>IFERROR(VLOOKUP(B468,'02. MM-KLH'!$B$6:$T$823,17,0),"")</f>
        <v/>
      </c>
      <c r="S468" s="108" t="str">
        <f>IFERROR(VLOOKUP(B468,'02. MM-KLH'!$B$6:$T$823,18,0),"")</f>
        <v/>
      </c>
      <c r="T468" s="110" t="str">
        <f>IFERROR(VLOOKUP(B468,'02. MM-KLH'!$B$6:$T$823,19,0),"")</f>
        <v/>
      </c>
      <c r="U468" s="130"/>
    </row>
    <row r="469" ht="13.5" customHeight="1">
      <c r="A469" s="95"/>
      <c r="B469" s="113"/>
      <c r="C469" s="84"/>
      <c r="D469" s="95"/>
      <c r="E469" s="86"/>
      <c r="F469" s="115"/>
      <c r="G469" s="86"/>
      <c r="H469" s="80"/>
      <c r="I469" s="80"/>
      <c r="J469" s="99"/>
      <c r="K469" s="80"/>
      <c r="L469" s="102"/>
      <c r="M469" s="143"/>
      <c r="N469" s="108"/>
      <c r="O469" s="108"/>
      <c r="P469" s="80"/>
      <c r="Q469" s="80"/>
      <c r="R469" s="106"/>
      <c r="S469" s="108"/>
      <c r="T469" s="110"/>
      <c r="U469" s="130"/>
    </row>
    <row r="470" ht="13.5" customHeight="1">
      <c r="A470" s="82" t="s">
        <v>76</v>
      </c>
      <c r="B470" s="83" t="s">
        <v>5884</v>
      </c>
      <c r="C470" s="85">
        <f>COUNTA(B471:B477)</f>
        <v>5</v>
      </c>
      <c r="D470" s="85" t="str">
        <f>IFERROR(VLOOKUP(B470,'02. MM-KLH'!$B$6:$T$823,3,0),"")</f>
        <v/>
      </c>
      <c r="E470" s="85" t="str">
        <f>IFERROR(VLOOKUP(B470,'02. MM-KLH'!$B$6:$T$823,4,0),"")</f>
        <v/>
      </c>
      <c r="F470" s="85"/>
      <c r="G470" s="85" t="str">
        <f>IFERROR(VLOOKUP(B470,'02. MM-KLH'!$B$6:$T$823,6,0),"")</f>
        <v/>
      </c>
      <c r="H470" s="85"/>
      <c r="I470" s="85" t="str">
        <f>IFERROR(VLOOKUP(B470,'02. MM-KLH'!$B$6:$T$823,8,0),"")</f>
        <v/>
      </c>
      <c r="J470" s="85" t="str">
        <f>IFERROR(VLOOKUP(B470,'02. MM-KLH'!$B$6:$T$823,9,0),"")</f>
        <v/>
      </c>
      <c r="K470" s="85" t="str">
        <f>IFERROR(VLOOKUP(B470,'02. MM-KLH'!$B$6:$T$823,10,0),"")</f>
        <v/>
      </c>
      <c r="L470" s="85" t="str">
        <f>IFERROR(VLOOKUP(B470,'02. MM-KLH'!$B$6:$T$823,11,0),"")</f>
        <v/>
      </c>
      <c r="M470" s="85" t="str">
        <f>IFERROR(VLOOKUP(B470,'02. MM-KLH'!$B$6:$T$823,12,0),"")</f>
        <v/>
      </c>
      <c r="N470" s="85" t="str">
        <f>IFERROR(VLOOKUP(B470,'02. MM-KLH'!$B$6:$T$823,13,0),"")</f>
        <v/>
      </c>
      <c r="O470" s="85" t="str">
        <f>IFERROR(VLOOKUP(B470,'02. MM-KLH'!$B$6:$T$823,14,0),"")</f>
        <v/>
      </c>
      <c r="P470" s="85" t="str">
        <f>IFERROR(VLOOKUP(B470,'02. MM-KLH'!$B$6:$T$823,15,0),"")</f>
        <v/>
      </c>
      <c r="Q470" s="85" t="str">
        <f>IFERROR(VLOOKUP(B470,'02. MM-KLH'!$B$6:$T$823,16,0),"")</f>
        <v/>
      </c>
      <c r="R470" s="85" t="str">
        <f>IFERROR(VLOOKUP(B470,'02. MM-KLH'!$B$6:$T$823,17,0),"")</f>
        <v/>
      </c>
      <c r="S470" s="85" t="str">
        <f>IFERROR(VLOOKUP(B470,'02. MM-KLH'!$B$6:$T$823,18,0),"")</f>
        <v/>
      </c>
      <c r="T470" s="85" t="str">
        <f>IFERROR(VLOOKUP(B470,'02. MM-KLH'!$B$6:$T$823,19,0),"")</f>
        <v/>
      </c>
      <c r="U470" s="85" t="str">
        <f>IFERROR(VLOOKUP(C470,'02. MM-KLH'!$B$6:$T$823,19,0),"")</f>
        <v/>
      </c>
    </row>
    <row r="471" ht="13.5" customHeight="1">
      <c r="A471" s="80">
        <v>1.0</v>
      </c>
      <c r="B471" s="113" t="s">
        <v>2390</v>
      </c>
      <c r="C471" s="84" t="str">
        <f>IFERROR(VLOOKUP(B471,'02. MM-KLH'!$B$6:$T$823,2,0),"")</f>
        <v>CVC-XTA-014</v>
      </c>
      <c r="D471" s="95" t="str">
        <f>IFERROR(VLOOKUP(B471,'02. MM-KLH'!$B$6:$T$823,3,0),"")</f>
        <v>ATT-A22-0176</v>
      </c>
      <c r="E471" s="86" t="str">
        <f>IFERROR(VLOOKUP(B471,'02. MM-KLH'!$B$6:$T$823,4,0),"")</f>
        <v/>
      </c>
      <c r="F471" s="115" t="s">
        <v>5885</v>
      </c>
      <c r="G471" s="86" t="str">
        <f>IFERROR(VLOOKUP(B471,'02. MM-KLH'!$B$6:$T$823,6,0),"")</f>
        <v>Xe tải AUMAN GTL D300 E4 (Cấp dầu)</v>
      </c>
      <c r="H471" s="80" t="s">
        <v>4525</v>
      </c>
      <c r="I471" s="80" t="str">
        <f>IFERROR(VLOOKUP(B471,'02. MM-KLH'!$B$6:$T$823,8,0),"")</f>
        <v>Phòng GNVC</v>
      </c>
      <c r="J471" s="99" t="str">
        <f>IFERROR(VLOOKUP(B471,'02. MM-KLH'!$B$6:$T$823,9,0),"")</f>
        <v/>
      </c>
      <c r="K471" s="80" t="str">
        <f>IFERROR(VLOOKUP(B471,'02. MM-KLH'!$B$6:$T$823,10,0),"")</f>
        <v>Bình thường</v>
      </c>
      <c r="L471" s="102" t="str">
        <f>IFERROR(VLOOKUP(B471,'02. MM-KLH'!$B$6:$T$823,11,0),"")</f>
        <v/>
      </c>
      <c r="M471" s="143" t="str">
        <f>IFERROR(VLOOKUP(B471,'02. MM-KLH'!$B$6:$T$823,12,0),"")</f>
        <v/>
      </c>
      <c r="N471" s="108" t="str">
        <f>IFERROR(VLOOKUP(B471,'02. MM-KLH'!$B$6:$T$823,13,0),"")</f>
        <v>THACO AUMAN</v>
      </c>
      <c r="O471" s="108" t="str">
        <f>IFERROR(VLOOKUP(B471,'02. MM-KLH'!$B$6:$T$823,14,0),"")</f>
        <v>VIỆT NAM</v>
      </c>
      <c r="P471" s="80">
        <f>IFERROR(VLOOKUP(B471,'02. MM-KLH'!$B$6:$T$823,15,0),"")</f>
        <v>2018</v>
      </c>
      <c r="Q471" s="80" t="str">
        <f>IFERROR(VLOOKUP(B471,'02. MM-KLH'!$B$6:$T$823,16,0),"")</f>
        <v>GTL D300E4</v>
      </c>
      <c r="R471" s="106" t="str">
        <f>IFERROR(VLOOKUP(B471,'02. MM-KLH'!$B$6:$T$823,17,0),"")</f>
        <v/>
      </c>
      <c r="S471" s="108" t="str">
        <f>IFERROR(VLOOKUP(B471,'02. MM-KLH'!$B$6:$T$823,18,0),"")</f>
        <v>RNHD30FWAJC07892</v>
      </c>
      <c r="T471" s="110" t="str">
        <f>IFERROR(VLOOKUP(B471,'02. MM-KLH'!$B$6:$T$823,19,0),"")</f>
        <v>CCN</v>
      </c>
      <c r="U471" s="130" t="s">
        <v>79</v>
      </c>
    </row>
    <row r="472" ht="13.5" customHeight="1">
      <c r="A472" s="80">
        <f t="shared" ref="A472:A475" si="21">A471+1</f>
        <v>2</v>
      </c>
      <c r="B472" s="113" t="s">
        <v>2393</v>
      </c>
      <c r="C472" s="84" t="str">
        <f>IFERROR(VLOOKUP(B472,'02. MM-KLH'!$B$6:$T$823,2,0),"")</f>
        <v>CVC-XTA-015</v>
      </c>
      <c r="D472" s="95" t="str">
        <f>IFERROR(VLOOKUP(B472,'02. MM-KLH'!$B$6:$T$823,3,0),"")</f>
        <v>ATT-A22-0176</v>
      </c>
      <c r="E472" s="86" t="str">
        <f>IFERROR(VLOOKUP(B472,'02. MM-KLH'!$B$6:$T$823,4,0),"")</f>
        <v/>
      </c>
      <c r="F472" s="115" t="s">
        <v>5885</v>
      </c>
      <c r="G472" s="86" t="str">
        <f>IFERROR(VLOOKUP(B472,'02. MM-KLH'!$B$6:$T$823,6,0),"")</f>
        <v>Xe tải AUMAN GTL D300 E4 (Cấp dầu)</v>
      </c>
      <c r="H472" s="80" t="s">
        <v>5886</v>
      </c>
      <c r="I472" s="80" t="str">
        <f>IFERROR(VLOOKUP(B472,'02. MM-KLH'!$B$6:$T$823,8,0),"")</f>
        <v>Phòng GNVC</v>
      </c>
      <c r="J472" s="99">
        <f>IFERROR(VLOOKUP(B472,'02. MM-KLH'!$B$6:$T$823,9,0),"")</f>
        <v>44198</v>
      </c>
      <c r="K472" s="80" t="str">
        <f>IFERROR(VLOOKUP(B472,'02. MM-KLH'!$B$6:$T$823,10,0),"")</f>
        <v>Bình thường</v>
      </c>
      <c r="L472" s="102">
        <f>IFERROR(VLOOKUP(B472,'02. MM-KLH'!$B$6:$T$823,11,0),"")</f>
        <v>0.68</v>
      </c>
      <c r="M472" s="143" t="str">
        <f>IFERROR(VLOOKUP(B472,'02. MM-KLH'!$B$6:$T$823,12,0),"")</f>
        <v/>
      </c>
      <c r="N472" s="108" t="str">
        <f>IFERROR(VLOOKUP(B472,'02. MM-KLH'!$B$6:$T$823,13,0),"")</f>
        <v>THACO AUMAN</v>
      </c>
      <c r="O472" s="108" t="str">
        <f>IFERROR(VLOOKUP(B472,'02. MM-KLH'!$B$6:$T$823,14,0),"")</f>
        <v>VIỆT NAM</v>
      </c>
      <c r="P472" s="80">
        <f>IFERROR(VLOOKUP(B472,'02. MM-KLH'!$B$6:$T$823,15,0),"")</f>
        <v>2018</v>
      </c>
      <c r="Q472" s="80" t="str">
        <f>IFERROR(VLOOKUP(B472,'02. MM-KLH'!$B$6:$T$823,16,0),"")</f>
        <v>GTL D300E4</v>
      </c>
      <c r="R472" s="106" t="str">
        <f>IFERROR(VLOOKUP(B472,'02. MM-KLH'!$B$6:$T$823,17,0),"")</f>
        <v>375HP</v>
      </c>
      <c r="S472" s="108" t="str">
        <f>IFERROR(VLOOKUP(B472,'02. MM-KLH'!$B$6:$T$823,18,0),"")</f>
        <v>RNHD30FWAJC078093</v>
      </c>
      <c r="T472" s="110" t="str">
        <f>IFERROR(VLOOKUP(B472,'02. MM-KLH'!$B$6:$T$823,19,0),"")</f>
        <v>WP10375E431618A009911</v>
      </c>
      <c r="U472" s="130" t="s">
        <v>79</v>
      </c>
    </row>
    <row r="473" ht="13.5" customHeight="1">
      <c r="A473" s="80">
        <f t="shared" si="21"/>
        <v>3</v>
      </c>
      <c r="B473" s="115" t="s">
        <v>2396</v>
      </c>
      <c r="C473" s="84" t="str">
        <f>IFERROR(VLOOKUP(B473,'02. MM-KLH'!$B$6:$T$823,2,0),"")</f>
        <v>CHT-XTA-006 (92C-17302)</v>
      </c>
      <c r="D473" s="95" t="str">
        <f>IFERROR(VLOOKUP(B473,'02. MM-KLH'!$B$6:$T$823,3,0),"")</f>
        <v>ATT-A23-0024</v>
      </c>
      <c r="E473" s="86" t="str">
        <f>IFERROR(VLOOKUP(B473,'02. MM-KLH'!$B$6:$T$823,4,0),"")</f>
        <v>92C-17302</v>
      </c>
      <c r="F473" s="115" t="s">
        <v>5888</v>
      </c>
      <c r="G473" s="86" t="str">
        <f>IFERROR(VLOOKUP(B473,'02. MM-KLH'!$B$6:$T$823,6,0),"")</f>
        <v>Xe tải FD850 (Cấp dầu)</v>
      </c>
      <c r="H473" s="80" t="s">
        <v>5886</v>
      </c>
      <c r="I473" s="80" t="str">
        <f>IFERROR(VLOOKUP(B473,'02. MM-KLH'!$B$6:$T$823,8,0),"")</f>
        <v>Phòng GNVC</v>
      </c>
      <c r="J473" s="99" t="str">
        <f>IFERROR(VLOOKUP(B473,'02. MM-KLH'!$B$6:$T$823,9,0),"")</f>
        <v/>
      </c>
      <c r="K473" s="80" t="str">
        <f>IFERROR(VLOOKUP(B473,'02. MM-KLH'!$B$6:$T$823,10,0),"")</f>
        <v>Bình thường</v>
      </c>
      <c r="L473" s="102" t="str">
        <f>IFERROR(VLOOKUP(B473,'02. MM-KLH'!$B$6:$T$823,11,0),"")</f>
        <v/>
      </c>
      <c r="M473" s="143" t="str">
        <f>IFERROR(VLOOKUP(B473,'02. MM-KLH'!$B$6:$T$823,12,0),"")</f>
        <v/>
      </c>
      <c r="N473" s="108" t="str">
        <f>IFERROR(VLOOKUP(B473,'02. MM-KLH'!$B$6:$T$823,13,0),"")</f>
        <v>THACO FORLAND</v>
      </c>
      <c r="O473" s="108" t="str">
        <f>IFERROR(VLOOKUP(B473,'02. MM-KLH'!$B$6:$T$823,14,0),"")</f>
        <v>VIỆT NAM</v>
      </c>
      <c r="P473" s="80">
        <f>IFERROR(VLOOKUP(B473,'02. MM-KLH'!$B$6:$T$823,15,0),"")</f>
        <v>2020</v>
      </c>
      <c r="Q473" s="80" t="str">
        <f>IFERROR(VLOOKUP(B473,'02. MM-KLH'!$B$6:$T$823,16,0),"")</f>
        <v>FD850</v>
      </c>
      <c r="R473" s="106" t="str">
        <f>IFERROR(VLOOKUP(B473,'02. MM-KLH'!$B$6:$T$823,17,0),"")</f>
        <v>140HP</v>
      </c>
      <c r="S473" s="108" t="str">
        <f>IFERROR(VLOOKUP(B473,'02. MM-KLH'!$B$6:$T$823,18,0),"")</f>
        <v>RNHF14FYALC012920</v>
      </c>
      <c r="T473" s="110" t="str">
        <f>IFERROR(VLOOKUP(B473,'02. MM-KLH'!$B$6:$T$823,19,0),"")</f>
        <v>CCN</v>
      </c>
      <c r="U473" s="130" t="s">
        <v>79</v>
      </c>
    </row>
    <row r="474" ht="51.75" customHeight="1">
      <c r="A474" s="80">
        <f t="shared" si="21"/>
        <v>4</v>
      </c>
      <c r="B474" s="115" t="s">
        <v>2402</v>
      </c>
      <c r="C474" s="84" t="str">
        <f>IFERROR(VLOOKUP(B474,'02. MM-KLH'!$B$6:$T$823,2,0),"")</f>
        <v>CHT-XTA-013</v>
      </c>
      <c r="D474" s="95" t="str">
        <f>IFERROR(VLOOKUP(B474,'02. MM-KLH'!$B$6:$T$823,3,0),"")</f>
        <v>A23-XTA-001</v>
      </c>
      <c r="E474" s="86" t="str">
        <f>IFERROR(VLOOKUP(B474,'02. MM-KLH'!$B$6:$T$823,4,0),"")</f>
        <v/>
      </c>
      <c r="F474" s="115" t="s">
        <v>91</v>
      </c>
      <c r="G474" s="86" t="str">
        <f>IFERROR(VLOOKUP(B474,'02. MM-KLH'!$B$6:$T$823,6,0),"")</f>
        <v>Xe tải AUMAN GTL D300 E4 (Cấp dầu)</v>
      </c>
      <c r="H474" s="80" t="s">
        <v>5886</v>
      </c>
      <c r="I474" s="80" t="str">
        <f>IFERROR(VLOOKUP(B474,'02. MM-KLH'!$B$6:$T$823,8,0),"")</f>
        <v>Phòng GNVC</v>
      </c>
      <c r="J474" s="99">
        <f>IFERROR(VLOOKUP(B474,'02. MM-KLH'!$B$6:$T$823,9,0),"")</f>
        <v>44198</v>
      </c>
      <c r="K474" s="80" t="str">
        <f>IFERROR(VLOOKUP(B474,'02. MM-KLH'!$B$6:$T$823,10,0),"")</f>
        <v>Bình thường</v>
      </c>
      <c r="L474" s="102" t="str">
        <f>IFERROR(VLOOKUP(B474,'02. MM-KLH'!$B$6:$T$823,11,0),"")</f>
        <v/>
      </c>
      <c r="M474" s="143" t="str">
        <f>IFERROR(VLOOKUP(B474,'02. MM-KLH'!$B$6:$T$823,12,0),"")</f>
        <v>CGTC DP điều chuyển qua  ngày 06.12.2025
Cải tạo thành xe cấp dầu
Bồn nhiên liệu 16.000L: A23-BNL-001
Máy phát điện 3kw: CVC-MFĐ-001</v>
      </c>
      <c r="N474" s="108" t="str">
        <f>IFERROR(VLOOKUP(B474,'02. MM-KLH'!$B$6:$T$823,13,0),"")</f>
        <v>THACO AUMAN</v>
      </c>
      <c r="O474" s="108" t="str">
        <f>IFERROR(VLOOKUP(B474,'02. MM-KLH'!$B$6:$T$823,14,0),"")</f>
        <v>VIỆT NAM</v>
      </c>
      <c r="P474" s="80">
        <f>IFERROR(VLOOKUP(B474,'02. MM-KLH'!$B$6:$T$823,15,0),"")</f>
        <v>2018</v>
      </c>
      <c r="Q474" s="80" t="str">
        <f>IFERROR(VLOOKUP(B474,'02. MM-KLH'!$B$6:$T$823,16,0),"")</f>
        <v>GTL D300E4</v>
      </c>
      <c r="R474" s="106" t="str">
        <f>IFERROR(VLOOKUP(B474,'02. MM-KLH'!$B$6:$T$823,17,0),"")</f>
        <v>375HP</v>
      </c>
      <c r="S474" s="108" t="str">
        <f>IFERROR(VLOOKUP(B474,'02. MM-KLH'!$B$6:$T$823,18,0),"")</f>
        <v>RNHD30FWAJC078086</v>
      </c>
      <c r="T474" s="110" t="str">
        <f>IFERROR(VLOOKUP(B474,'02. MM-KLH'!$B$6:$T$823,19,0),"")</f>
        <v>CCN</v>
      </c>
      <c r="U474" s="130" t="s">
        <v>79</v>
      </c>
    </row>
    <row r="475" ht="59.25" customHeight="1">
      <c r="A475" s="80">
        <f t="shared" si="21"/>
        <v>5</v>
      </c>
      <c r="B475" s="115" t="s">
        <v>2406</v>
      </c>
      <c r="C475" s="113" t="str">
        <f>IFERROR(VLOOKUP(B475,'02. MM-KLH'!$B$6:$T$823,2,0),"")</f>
        <v>CHT-XTA-016</v>
      </c>
      <c r="D475" s="95" t="str">
        <f>IFERROR(VLOOKUP(B475,'02. MM-KLH'!$B$6:$T$823,3,0),"")</f>
        <v>ATT-A24-0079</v>
      </c>
      <c r="E475" s="86" t="str">
        <f>IFERROR(VLOOKUP(B475,'02. MM-KLH'!$B$6:$T$823,4,0),"")</f>
        <v/>
      </c>
      <c r="F475" s="115" t="s">
        <v>2408</v>
      </c>
      <c r="G475" s="86" t="str">
        <f>IFERROR(VLOOKUP(B475,'02. MM-KLH'!$B$6:$T$823,6,0),"")</f>
        <v>Xe tải AUMAN GTL D300 E4 (Cấp dầu)</v>
      </c>
      <c r="H475" s="80" t="s">
        <v>4525</v>
      </c>
      <c r="I475" s="80" t="str">
        <f>IFERROR(VLOOKUP(B475,'02. MM-KLH'!$B$6:$T$823,8,0),"")</f>
        <v>Phòng GNVC</v>
      </c>
      <c r="J475" s="99">
        <f>IFERROR(VLOOKUP(B475,'02. MM-KLH'!$B$6:$T$823,9,0),"")</f>
        <v>44205</v>
      </c>
      <c r="K475" s="80" t="str">
        <f>IFERROR(VLOOKUP(B475,'02. MM-KLH'!$B$6:$T$823,10,0),"")</f>
        <v>Bình thường</v>
      </c>
      <c r="L475" s="102">
        <f>IFERROR(VLOOKUP(B475,'02. MM-KLH'!$B$6:$T$823,11,0),"")</f>
        <v>0.7</v>
      </c>
      <c r="M475" s="143" t="str">
        <f>IFERROR(VLOOKUP(B475,'02. MM-KLH'!$B$6:$T$823,12,0),"")</f>
        <v>CGTC  LP điều chuyển qua ngày 25/12/2025
Cải tạo thành xe cấp dầu
Máy phát điện 3Kw: CVC-MFĐ-002 (cũ)
máy phát điện 6.5Kw: CVC-MFĐ-003 (08/04/2026 - mới)</v>
      </c>
      <c r="N475" s="108" t="str">
        <f>IFERROR(VLOOKUP(B475,'02. MM-KLH'!$B$6:$T$823,13,0),"")</f>
        <v>THACO AUMAN</v>
      </c>
      <c r="O475" s="108" t="str">
        <f>IFERROR(VLOOKUP(B475,'02. MM-KLH'!$B$6:$T$823,14,0),"")</f>
        <v>VIỆT NAM</v>
      </c>
      <c r="P475" s="80">
        <f>IFERROR(VLOOKUP(B475,'02. MM-KLH'!$B$6:$T$823,15,0),"")</f>
        <v>2018</v>
      </c>
      <c r="Q475" s="80" t="str">
        <f>IFERROR(VLOOKUP(B475,'02. MM-KLH'!$B$6:$T$823,16,0),"")</f>
        <v>GTL D300E4</v>
      </c>
      <c r="R475" s="106" t="str">
        <f>IFERROR(VLOOKUP(B475,'02. MM-KLH'!$B$6:$T$823,17,0),"")</f>
        <v>375HP</v>
      </c>
      <c r="S475" s="108" t="str">
        <f>IFERROR(VLOOKUP(B475,'02. MM-KLH'!$B$6:$T$823,18,0),"")</f>
        <v>RNHD30FWAJCO078101</v>
      </c>
      <c r="T475" s="110" t="str">
        <f>IFERROR(VLOOKUP(B475,'02. MM-KLH'!$B$6:$T$823,19,0),"")</f>
        <v>WP10375E431618A008105</v>
      </c>
      <c r="U475" s="130" t="s">
        <v>79</v>
      </c>
    </row>
    <row r="476" ht="13.5" customHeight="1">
      <c r="A476" s="95"/>
      <c r="B476" s="113"/>
      <c r="C476" s="84"/>
      <c r="D476" s="95"/>
      <c r="E476" s="86"/>
      <c r="F476" s="115"/>
      <c r="G476" s="86"/>
      <c r="H476" s="80"/>
      <c r="I476" s="80"/>
      <c r="J476" s="99"/>
      <c r="K476" s="80"/>
      <c r="L476" s="102"/>
      <c r="M476" s="143"/>
      <c r="N476" s="108"/>
      <c r="O476" s="108"/>
      <c r="P476" s="80"/>
      <c r="Q476" s="80"/>
      <c r="R476" s="106"/>
      <c r="S476" s="108"/>
      <c r="T476" s="110"/>
      <c r="U476" s="130"/>
    </row>
    <row r="477" ht="13.5" customHeight="1">
      <c r="A477" s="95"/>
      <c r="B477" s="113"/>
      <c r="C477" s="84"/>
      <c r="D477" s="95"/>
      <c r="E477" s="86"/>
      <c r="F477" s="115"/>
      <c r="G477" s="86"/>
      <c r="H477" s="80"/>
      <c r="I477" s="80"/>
      <c r="J477" s="99"/>
      <c r="K477" s="80"/>
      <c r="L477" s="102"/>
      <c r="M477" s="143"/>
      <c r="N477" s="108"/>
      <c r="O477" s="108"/>
      <c r="P477" s="80"/>
      <c r="Q477" s="80"/>
      <c r="R477" s="106"/>
      <c r="S477" s="108"/>
      <c r="T477" s="110"/>
      <c r="U477" s="130"/>
    </row>
    <row r="478" ht="13.5" customHeight="1">
      <c r="A478" s="82" t="s">
        <v>76</v>
      </c>
      <c r="B478" s="83" t="s">
        <v>5891</v>
      </c>
      <c r="C478" s="85">
        <f>COUNTA(B479:B487)</f>
        <v>8</v>
      </c>
      <c r="D478" s="85" t="str">
        <f>IFERROR(VLOOKUP(B478,'02. MM-KLH'!$B$6:$T$823,3,0),"")</f>
        <v/>
      </c>
      <c r="E478" s="85" t="str">
        <f>IFERROR(VLOOKUP(B478,'02. MM-KLH'!$B$6:$T$823,4,0),"")</f>
        <v/>
      </c>
      <c r="F478" s="85"/>
      <c r="G478" s="85" t="str">
        <f>IFERROR(VLOOKUP(B478,'02. MM-KLH'!$B$6:$T$823,6,0),"")</f>
        <v/>
      </c>
      <c r="H478" s="85"/>
      <c r="I478" s="85" t="str">
        <f>IFERROR(VLOOKUP(B478,'02. MM-KLH'!$B$6:$T$823,8,0),"")</f>
        <v/>
      </c>
      <c r="J478" s="85" t="str">
        <f>IFERROR(VLOOKUP(B478,'02. MM-KLH'!$B$6:$T$823,9,0),"")</f>
        <v/>
      </c>
      <c r="K478" s="85" t="str">
        <f>IFERROR(VLOOKUP(B478,'02. MM-KLH'!$B$6:$T$823,10,0),"")</f>
        <v/>
      </c>
      <c r="L478" s="85" t="str">
        <f>IFERROR(VLOOKUP(B478,'02. MM-KLH'!$B$6:$T$823,11,0),"")</f>
        <v/>
      </c>
      <c r="M478" s="85" t="str">
        <f>IFERROR(VLOOKUP(B478,'02. MM-KLH'!$B$6:$T$823,12,0),"")</f>
        <v/>
      </c>
      <c r="N478" s="85" t="str">
        <f>IFERROR(VLOOKUP(B478,'02. MM-KLH'!$B$6:$T$823,13,0),"")</f>
        <v/>
      </c>
      <c r="O478" s="85" t="str">
        <f>IFERROR(VLOOKUP(B478,'02. MM-KLH'!$B$6:$T$823,14,0),"")</f>
        <v/>
      </c>
      <c r="P478" s="85" t="str">
        <f>IFERROR(VLOOKUP(B478,'02. MM-KLH'!$B$6:$T$823,15,0),"")</f>
        <v/>
      </c>
      <c r="Q478" s="85" t="str">
        <f>IFERROR(VLOOKUP(B478,'02. MM-KLH'!$B$6:$T$823,16,0),"")</f>
        <v/>
      </c>
      <c r="R478" s="85" t="str">
        <f>IFERROR(VLOOKUP(B478,'02. MM-KLH'!$B$6:$T$823,17,0),"")</f>
        <v/>
      </c>
      <c r="S478" s="85" t="str">
        <f>IFERROR(VLOOKUP(B478,'02. MM-KLH'!$B$6:$T$823,18,0),"")</f>
        <v/>
      </c>
      <c r="T478" s="85" t="str">
        <f>IFERROR(VLOOKUP(B478,'02. MM-KLH'!$B$6:$T$823,19,0),"")</f>
        <v/>
      </c>
      <c r="U478" s="85" t="str">
        <f>IFERROR(VLOOKUP(C478,'02. MM-KLH'!$B$6:$T$823,19,0),"")</f>
        <v/>
      </c>
    </row>
    <row r="479" ht="13.5" customHeight="1">
      <c r="A479" s="80">
        <v>1.0</v>
      </c>
      <c r="B479" s="115" t="s">
        <v>901</v>
      </c>
      <c r="C479" s="86" t="str">
        <f>IFERROR(VLOOKUP(B479,'02. MM-KLH'!$B$6:$T$823,2,0),"")</f>
        <v>XPT003(XD3-XPT-001)</v>
      </c>
      <c r="D479" s="95" t="str">
        <f>IFERROR(VLOOKUP(B479,'02. MM-KLH'!$B$6:$T$823,3,0),"")</f>
        <v>A23-XPT-001</v>
      </c>
      <c r="E479" s="86" t="str">
        <f>IFERROR(VLOOKUP(B479,'02. MM-KLH'!$B$6:$T$823,4,0),"")</f>
        <v/>
      </c>
      <c r="F479" s="115"/>
      <c r="G479" s="86" t="str">
        <f>IFERROR(VLOOKUP(B479,'02. MM-KLH'!$B$6:$T$823,6,0),"")</f>
        <v>Xe phun thuốc Faw 15T</v>
      </c>
      <c r="H479" s="80" t="s">
        <v>5892</v>
      </c>
      <c r="I479" s="80" t="str">
        <f>IFERROR(VLOOKUP(B479,'02. MM-KLH'!$B$6:$T$823,8,0),"")</f>
        <v>XN Chuối DP1</v>
      </c>
      <c r="J479" s="99">
        <f>IFERROR(VLOOKUP(B479,'02. MM-KLH'!$B$6:$T$823,9,0),"")</f>
        <v>45446</v>
      </c>
      <c r="K479" s="80" t="str">
        <f>IFERROR(VLOOKUP(B479,'02. MM-KLH'!$B$6:$T$823,10,0),"")</f>
        <v>Bình thường</v>
      </c>
      <c r="L479" s="102" t="str">
        <f>IFERROR(VLOOKUP(B479,'02. MM-KLH'!$B$6:$T$823,11,0),"")</f>
        <v/>
      </c>
      <c r="M479" s="143" t="str">
        <f>IFERROR(VLOOKUP(B479,'02. MM-KLH'!$B$6:$T$823,12,0),"")</f>
        <v>DP3 bàn giao qua</v>
      </c>
      <c r="N479" s="108" t="str">
        <f>IFERROR(VLOOKUP(B479,'02. MM-KLH'!$B$6:$T$823,13,0),"")</f>
        <v>FAW</v>
      </c>
      <c r="O479" s="108" t="str">
        <f>IFERROR(VLOOKUP(B479,'02. MM-KLH'!$B$6:$T$823,14,0),"")</f>
        <v>TRUNG QUỐC</v>
      </c>
      <c r="P479" s="80">
        <f>IFERROR(VLOOKUP(B479,'02. MM-KLH'!$B$6:$T$823,15,0),"")</f>
        <v>2010</v>
      </c>
      <c r="Q479" s="80" t="str">
        <f>IFERROR(VLOOKUP(B479,'02. MM-KLH'!$B$6:$T$823,16,0),"")</f>
        <v/>
      </c>
      <c r="R479" s="106" t="str">
        <f>IFERROR(VLOOKUP(B479,'02. MM-KLH'!$B$6:$T$823,17,0),"")</f>
        <v/>
      </c>
      <c r="S479" s="108" t="str">
        <f>IFERROR(VLOOKUP(B479,'02. MM-KLH'!$B$6:$T$823,18,0),"")</f>
        <v>9AD16885</v>
      </c>
      <c r="T479" s="110" t="str">
        <f>IFERROR(VLOOKUP(B479,'02. MM-KLH'!$B$6:$T$823,19,0),"")</f>
        <v>CCN</v>
      </c>
      <c r="U479" s="130" t="s">
        <v>79</v>
      </c>
    </row>
    <row r="480" ht="13.5" customHeight="1">
      <c r="A480" s="80">
        <f t="shared" ref="A480:A486" si="22">A479+1</f>
        <v>2</v>
      </c>
      <c r="B480" s="115" t="s">
        <v>1029</v>
      </c>
      <c r="C480" s="86" t="str">
        <f>IFERROR(VLOOKUP(B480,'02. MM-KLH'!$B$6:$T$823,2,0),"")</f>
        <v>XPT09NNKLH</v>
      </c>
      <c r="D480" s="95" t="str">
        <f>IFERROR(VLOOKUP(B480,'02. MM-KLH'!$B$6:$T$823,3,0),"")</f>
        <v>A23-XPT-002</v>
      </c>
      <c r="E480" s="86" t="str">
        <f>IFERROR(VLOOKUP(B480,'02. MM-KLH'!$B$6:$T$823,4,0),"")</f>
        <v/>
      </c>
      <c r="F480" s="115"/>
      <c r="G480" s="86" t="str">
        <f>IFERROR(VLOOKUP(B480,'02. MM-KLH'!$B$6:$T$823,6,0),"")</f>
        <v>Xe phun thuốc HYUNDAI 15T</v>
      </c>
      <c r="H480" s="80" t="s">
        <v>5892</v>
      </c>
      <c r="I480" s="80" t="str">
        <f>IFERROR(VLOOKUP(B480,'02. MM-KLH'!$B$6:$T$823,8,0),"")</f>
        <v>XN Chuối DP2</v>
      </c>
      <c r="J480" s="99" t="str">
        <f>IFERROR(VLOOKUP(B480,'02. MM-KLH'!$B$6:$T$823,9,0),"")</f>
        <v/>
      </c>
      <c r="K480" s="80" t="str">
        <f>IFERROR(VLOOKUP(B480,'02. MM-KLH'!$B$6:$T$823,10,0),"")</f>
        <v>Bình thường</v>
      </c>
      <c r="L480" s="102" t="str">
        <f>IFERROR(VLOOKUP(B480,'02. MM-KLH'!$B$6:$T$823,11,0),"")</f>
        <v/>
      </c>
      <c r="M480" s="143" t="str">
        <f>IFERROR(VLOOKUP(B480,'02. MM-KLH'!$B$6:$T$823,12,0),"")</f>
        <v/>
      </c>
      <c r="N480" s="108" t="str">
        <f>IFERROR(VLOOKUP(B480,'02. MM-KLH'!$B$6:$T$823,13,0),"")</f>
        <v>HYUNDAI</v>
      </c>
      <c r="O480" s="108" t="str">
        <f>IFERROR(VLOOKUP(B480,'02. MM-KLH'!$B$6:$T$823,14,0),"")</f>
        <v>HÀN QUỐC</v>
      </c>
      <c r="P480" s="80">
        <f>IFERROR(VLOOKUP(B480,'02. MM-KLH'!$B$6:$T$823,15,0),"")</f>
        <v>1992</v>
      </c>
      <c r="Q480" s="80" t="str">
        <f>IFERROR(VLOOKUP(B480,'02. MM-KLH'!$B$6:$T$823,16,0),"")</f>
        <v>15T</v>
      </c>
      <c r="R480" s="106" t="str">
        <f>IFERROR(VLOOKUP(B480,'02. MM-KLH'!$B$6:$T$823,17,0),"")</f>
        <v/>
      </c>
      <c r="S480" s="108" t="str">
        <f>IFERROR(VLOOKUP(B480,'02. MM-KLH'!$B$6:$T$823,18,0),"")</f>
        <v>KMCDB19IPNU003775</v>
      </c>
      <c r="T480" s="110" t="str">
        <f>IFERROR(VLOOKUP(B480,'02. MM-KLH'!$B$6:$T$823,19,0),"")</f>
        <v>D8AVP095627</v>
      </c>
      <c r="U480" s="130" t="s">
        <v>79</v>
      </c>
    </row>
    <row r="481" ht="13.5" customHeight="1">
      <c r="A481" s="80">
        <f t="shared" si="22"/>
        <v>3</v>
      </c>
      <c r="B481" s="134" t="s">
        <v>1480</v>
      </c>
      <c r="C481" s="86" t="str">
        <f>IFERROR(VLOOKUP(B481,'02. MM-KLH'!$B$6:$T$823,2,0),"")</f>
        <v>XL1-XTA-002(XPT05NNKLH)</v>
      </c>
      <c r="D481" s="95" t="str">
        <f>IFERROR(VLOOKUP(B481,'02. MM-KLH'!$B$6:$T$823,3,0),"")</f>
        <v>A24-XPT-001</v>
      </c>
      <c r="E481" s="86" t="str">
        <f>IFERROR(VLOOKUP(B481,'02. MM-KLH'!$B$6:$T$823,4,0),"")</f>
        <v/>
      </c>
      <c r="F481" s="134"/>
      <c r="G481" s="86" t="str">
        <f>IFERROR(VLOOKUP(B481,'02. MM-KLH'!$B$6:$T$823,6,0),"")</f>
        <v>Xe phun thuốc Faw 15T</v>
      </c>
      <c r="H481" s="80" t="s">
        <v>5892</v>
      </c>
      <c r="I481" s="80" t="str">
        <f>IFERROR(VLOOKUP(B481,'02. MM-KLH'!$B$6:$T$823,8,0),"")</f>
        <v>XN Chuối LP3</v>
      </c>
      <c r="J481" s="99" t="str">
        <f>IFERROR(VLOOKUP(B481,'02. MM-KLH'!$B$6:$T$823,9,0),"")</f>
        <v>21/02/2024</v>
      </c>
      <c r="K481" s="80" t="str">
        <f>IFERROR(VLOOKUP(B481,'02. MM-KLH'!$B$6:$T$823,10,0),"")</f>
        <v>Bình thường</v>
      </c>
      <c r="L481" s="102" t="str">
        <f>IFERROR(VLOOKUP(B481,'02. MM-KLH'!$B$6:$T$823,11,0),"")</f>
        <v/>
      </c>
      <c r="M481" s="143" t="str">
        <f>IFERROR(VLOOKUP(B481,'02. MM-KLH'!$B$6:$T$823,12,0),"")</f>
        <v>LP1 Đ.chuyen qua LP3</v>
      </c>
      <c r="N481" s="108" t="str">
        <f>IFERROR(VLOOKUP(B481,'02. MM-KLH'!$B$6:$T$823,13,0),"")</f>
        <v>FAW</v>
      </c>
      <c r="O481" s="108" t="str">
        <f>IFERROR(VLOOKUP(B481,'02. MM-KLH'!$B$6:$T$823,14,0),"")</f>
        <v/>
      </c>
      <c r="P481" s="80">
        <f>IFERROR(VLOOKUP(B481,'02. MM-KLH'!$B$6:$T$823,15,0),"")</f>
        <v>2010</v>
      </c>
      <c r="Q481" s="80" t="str">
        <f>IFERROR(VLOOKUP(B481,'02. MM-KLH'!$B$6:$T$823,16,0),"")</f>
        <v/>
      </c>
      <c r="R481" s="106" t="str">
        <f>IFERROR(VLOOKUP(B481,'02. MM-KLH'!$B$6:$T$823,17,0),"")</f>
        <v>15 TẤN</v>
      </c>
      <c r="S481" s="108" t="str">
        <f>IFERROR(VLOOKUP(B481,'02. MM-KLH'!$B$6:$T$823,18,0),"")</f>
        <v>9AD16880</v>
      </c>
      <c r="T481" s="110" t="str">
        <f>IFERROR(VLOOKUP(B481,'02. MM-KLH'!$B$6:$T$823,19,0),"")</f>
        <v>CCN</v>
      </c>
      <c r="U481" s="130" t="s">
        <v>79</v>
      </c>
    </row>
    <row r="482" ht="13.5" customHeight="1">
      <c r="A482" s="80">
        <f t="shared" si="22"/>
        <v>4</v>
      </c>
      <c r="B482" s="134" t="s">
        <v>1484</v>
      </c>
      <c r="C482" s="86" t="str">
        <f>IFERROR(VLOOKUP(B482,'02. MM-KLH'!$B$6:$T$823,2,0),"")</f>
        <v>XPT10 - NN KLH(XA2-XPT-002)</v>
      </c>
      <c r="D482" s="95" t="str">
        <f>IFERROR(VLOOKUP(B482,'02. MM-KLH'!$B$6:$T$823,3,0),"")</f>
        <v/>
      </c>
      <c r="E482" s="86" t="str">
        <f>IFERROR(VLOOKUP(B482,'02. MM-KLH'!$B$6:$T$823,4,0),"")</f>
        <v/>
      </c>
      <c r="F482" s="115"/>
      <c r="G482" s="86" t="str">
        <f>IFERROR(VLOOKUP(B482,'02. MM-KLH'!$B$6:$T$823,6,0),"")</f>
        <v>Xe phun thuốc HYUNDAI 15T</v>
      </c>
      <c r="H482" s="80" t="s">
        <v>5892</v>
      </c>
      <c r="I482" s="80" t="str">
        <f>IFERROR(VLOOKUP(B482,'02. MM-KLH'!$B$6:$T$823,8,0),"")</f>
        <v>XN Chuối LP3</v>
      </c>
      <c r="J482" s="99" t="str">
        <f>IFERROR(VLOOKUP(B482,'02. MM-KLH'!$B$6:$T$823,9,0),"")</f>
        <v/>
      </c>
      <c r="K482" s="80" t="str">
        <f>IFERROR(VLOOKUP(B482,'02. MM-KLH'!$B$6:$T$823,10,0),"")</f>
        <v>Bình thường</v>
      </c>
      <c r="L482" s="102" t="str">
        <f>IFERROR(VLOOKUP(B482,'02. MM-KLH'!$B$6:$T$823,11,0),"")</f>
        <v/>
      </c>
      <c r="M482" s="143" t="str">
        <f>IFERROR(VLOOKUP(B482,'02. MM-KLH'!$B$6:$T$823,12,0),"")</f>
        <v>Đ.chuyển từ AD2 ngày 20/11/2024</v>
      </c>
      <c r="N482" s="108" t="str">
        <f>IFERROR(VLOOKUP(B482,'02. MM-KLH'!$B$6:$T$823,13,0),"")</f>
        <v>HYUNDAI</v>
      </c>
      <c r="O482" s="108" t="str">
        <f>IFERROR(VLOOKUP(B482,'02. MM-KLH'!$B$6:$T$823,14,0),"")</f>
        <v>HÀN QUỐC</v>
      </c>
      <c r="P482" s="80" t="str">
        <f>IFERROR(VLOOKUP(B482,'02. MM-KLH'!$B$6:$T$823,15,0),"")</f>
        <v/>
      </c>
      <c r="Q482" s="80" t="str">
        <f>IFERROR(VLOOKUP(B482,'02. MM-KLH'!$B$6:$T$823,16,0),"")</f>
        <v/>
      </c>
      <c r="R482" s="106" t="str">
        <f>IFERROR(VLOOKUP(B482,'02. MM-KLH'!$B$6:$T$823,17,0),"")</f>
        <v/>
      </c>
      <c r="S482" s="108">
        <f>IFERROR(VLOOKUP(B482,'02. MM-KLH'!$B$6:$T$823,18,0),"")</f>
        <v>18446</v>
      </c>
      <c r="T482" s="110" t="str">
        <f>IFERROR(VLOOKUP(B482,'02. MM-KLH'!$B$6:$T$823,19,0),"")</f>
        <v>CCN</v>
      </c>
      <c r="U482" s="130" t="s">
        <v>79</v>
      </c>
    </row>
    <row r="483" ht="13.5" customHeight="1">
      <c r="A483" s="80">
        <f t="shared" si="22"/>
        <v>5</v>
      </c>
      <c r="B483" s="115" t="s">
        <v>1339</v>
      </c>
      <c r="C483" s="86" t="str">
        <f>IFERROR(VLOOKUP(B483,'02. MM-KLH'!$B$6:$T$823,2,0),"")</f>
        <v>XL4-XPT-001(XPT04-NNKLH)</v>
      </c>
      <c r="D483" s="95" t="str">
        <f>IFERROR(VLOOKUP(B483,'02. MM-KLH'!$B$6:$T$823,3,0),"")</f>
        <v/>
      </c>
      <c r="E483" s="86" t="str">
        <f>IFERROR(VLOOKUP(B483,'02. MM-KLH'!$B$6:$T$823,4,0),"")</f>
        <v/>
      </c>
      <c r="F483" s="115"/>
      <c r="G483" s="86" t="str">
        <f>IFERROR(VLOOKUP(B483,'02. MM-KLH'!$B$6:$T$823,6,0),"")</f>
        <v>Xe phun thuốc HYUNDAI 15T</v>
      </c>
      <c r="H483" s="80" t="s">
        <v>5892</v>
      </c>
      <c r="I483" s="80" t="str">
        <f>IFERROR(VLOOKUP(B483,'02. MM-KLH'!$B$6:$T$823,8,0),"")</f>
        <v>XN Chuối LP1</v>
      </c>
      <c r="J483" s="99" t="str">
        <f>IFERROR(VLOOKUP(B483,'02. MM-KLH'!$B$6:$T$823,9,0),"")</f>
        <v/>
      </c>
      <c r="K483" s="80" t="str">
        <f>IFERROR(VLOOKUP(B483,'02. MM-KLH'!$B$6:$T$823,10,0),"")</f>
        <v>Bình thường</v>
      </c>
      <c r="L483" s="102" t="str">
        <f>IFERROR(VLOOKUP(B483,'02. MM-KLH'!$B$6:$T$823,11,0),"")</f>
        <v/>
      </c>
      <c r="M483" s="143" t="str">
        <f>IFERROR(VLOOKUP(B483,'02. MM-KLH'!$B$6:$T$823,12,0),"")</f>
        <v>-Đ.chuyển từ LP4 sang LP1 ngày 22.11.2024</v>
      </c>
      <c r="N483" s="108" t="str">
        <f>IFERROR(VLOOKUP(B483,'02. MM-KLH'!$B$6:$T$823,13,0),"")</f>
        <v>HYUNDAI</v>
      </c>
      <c r="O483" s="108" t="str">
        <f>IFERROR(VLOOKUP(B483,'02. MM-KLH'!$B$6:$T$823,14,0),"")</f>
        <v>HÀN QUỐC</v>
      </c>
      <c r="P483" s="80" t="str">
        <f>IFERROR(VLOOKUP(B483,'02. MM-KLH'!$B$6:$T$823,15,0),"")</f>
        <v/>
      </c>
      <c r="Q483" s="80" t="str">
        <f>IFERROR(VLOOKUP(B483,'02. MM-KLH'!$B$6:$T$823,16,0),"")</f>
        <v/>
      </c>
      <c r="R483" s="106" t="str">
        <f>IFERROR(VLOOKUP(B483,'02. MM-KLH'!$B$6:$T$823,17,0),"")</f>
        <v>15TẤN</v>
      </c>
      <c r="S483" s="108">
        <f>IFERROR(VLOOKUP(B483,'02. MM-KLH'!$B$6:$T$823,18,0),"")</f>
        <v>6958</v>
      </c>
      <c r="T483" s="110" t="str">
        <f>IFERROR(VLOOKUP(B483,'02. MM-KLH'!$B$6:$T$823,19,0),"")</f>
        <v>CCN</v>
      </c>
      <c r="U483" s="130" t="s">
        <v>79</v>
      </c>
    </row>
    <row r="484" ht="13.5" customHeight="1">
      <c r="A484" s="80">
        <f t="shared" si="22"/>
        <v>6</v>
      </c>
      <c r="B484" s="113" t="s">
        <v>1141</v>
      </c>
      <c r="C484" s="86" t="str">
        <f>IFERROR(VLOOKUP(B484,'02. MM-KLH'!$B$6:$T$823,2,0),"")</f>
        <v>XPT002</v>
      </c>
      <c r="D484" s="95" t="str">
        <f>IFERROR(VLOOKUP(B484,'02. MM-KLH'!$B$6:$T$823,3,0),"")</f>
        <v>A23-XPT-003</v>
      </c>
      <c r="E484" s="86" t="str">
        <f>IFERROR(VLOOKUP(B484,'02. MM-KLH'!$B$6:$T$823,4,0),"")</f>
        <v/>
      </c>
      <c r="F484" s="115"/>
      <c r="G484" s="86" t="str">
        <f>IFERROR(VLOOKUP(B484,'02. MM-KLH'!$B$6:$T$823,6,0),"")</f>
        <v>Xe phun thuốc FC950</v>
      </c>
      <c r="H484" s="80" t="s">
        <v>5892</v>
      </c>
      <c r="I484" s="80" t="str">
        <f>IFERROR(VLOOKUP(B484,'02. MM-KLH'!$B$6:$T$823,8,0),"")</f>
        <v>XN Chuối DP3</v>
      </c>
      <c r="J484" s="99" t="str">
        <f>IFERROR(VLOOKUP(B484,'02. MM-KLH'!$B$6:$T$823,9,0),"")</f>
        <v/>
      </c>
      <c r="K484" s="80" t="str">
        <f>IFERROR(VLOOKUP(B484,'02. MM-KLH'!$B$6:$T$823,10,0),"")</f>
        <v>Bình thường</v>
      </c>
      <c r="L484" s="102" t="str">
        <f>IFERROR(VLOOKUP(B484,'02. MM-KLH'!$B$6:$T$823,11,0),"")</f>
        <v/>
      </c>
      <c r="M484" s="143" t="str">
        <f>IFERROR(VLOOKUP(B484,'02. MM-KLH'!$B$6:$T$823,12,0),"")</f>
        <v/>
      </c>
      <c r="N484" s="108" t="str">
        <f>IFERROR(VLOOKUP(B484,'02. MM-KLH'!$B$6:$T$823,13,0),"")</f>
        <v>THACO FORLAND</v>
      </c>
      <c r="O484" s="108" t="str">
        <f>IFERROR(VLOOKUP(B484,'02. MM-KLH'!$B$6:$T$823,14,0),"")</f>
        <v>VIỆT NAM</v>
      </c>
      <c r="P484" s="80">
        <f>IFERROR(VLOOKUP(B484,'02. MM-KLH'!$B$6:$T$823,15,0),"")</f>
        <v>2018</v>
      </c>
      <c r="Q484" s="80" t="str">
        <f>IFERROR(VLOOKUP(B484,'02. MM-KLH'!$B$6:$T$823,16,0),"")</f>
        <v>FC950</v>
      </c>
      <c r="R484" s="106" t="str">
        <f>IFERROR(VLOOKUP(B484,'02. MM-KLH'!$B$6:$T$823,17,0),"")</f>
        <v>160HP</v>
      </c>
      <c r="S484" s="108" t="str">
        <f>IFERROR(VLOOKUP(B484,'02. MM-KLH'!$B$6:$T$823,18,0),"")</f>
        <v>RNHA16FYAJC093491</v>
      </c>
      <c r="T484" s="110" t="str">
        <f>IFERROR(VLOOKUP(B484,'02. MM-KLH'!$B$6:$T$823,19,0),"")</f>
        <v>J00043</v>
      </c>
      <c r="U484" s="130" t="s">
        <v>79</v>
      </c>
    </row>
    <row r="485" ht="13.5" customHeight="1">
      <c r="A485" s="80">
        <f t="shared" si="22"/>
        <v>7</v>
      </c>
      <c r="B485" s="115" t="s">
        <v>1379</v>
      </c>
      <c r="C485" s="86" t="str">
        <f>IFERROR(VLOOKUP(B485,'02. MM-KLH'!$B$6:$T$823,2,0),"")</f>
        <v>XA2-XPT-003</v>
      </c>
      <c r="D485" s="95" t="str">
        <f>IFERROR(VLOOKUP(B485,'02. MM-KLH'!$B$6:$T$823,3,0),"")</f>
        <v/>
      </c>
      <c r="E485" s="86" t="str">
        <f>IFERROR(VLOOKUP(B485,'02. MM-KLH'!$B$6:$T$823,4,0),"")</f>
        <v/>
      </c>
      <c r="F485" s="115"/>
      <c r="G485" s="86" t="str">
        <f>IFERROR(VLOOKUP(B485,'02. MM-KLH'!$B$6:$T$823,6,0),"")</f>
        <v>Xe phun thuốc FD 3.5T</v>
      </c>
      <c r="H485" s="80" t="s">
        <v>5892</v>
      </c>
      <c r="I485" s="80" t="str">
        <f>IFERROR(VLOOKUP(B485,'02. MM-KLH'!$B$6:$T$823,8,0),"")</f>
        <v>XN Chuối LP1</v>
      </c>
      <c r="J485" s="99" t="str">
        <f>IFERROR(VLOOKUP(B485,'02. MM-KLH'!$B$6:$T$823,9,0),"")</f>
        <v/>
      </c>
      <c r="K485" s="80" t="str">
        <f>IFERROR(VLOOKUP(B485,'02. MM-KLH'!$B$6:$T$823,10,0),"")</f>
        <v>Bình thường</v>
      </c>
      <c r="L485" s="102" t="str">
        <f>IFERROR(VLOOKUP(B485,'02. MM-KLH'!$B$6:$T$823,11,0),"")</f>
        <v/>
      </c>
      <c r="M485" s="143" t="str">
        <f>IFERROR(VLOOKUP(B485,'02. MM-KLH'!$B$6:$T$823,12,0),"")</f>
        <v>Điều chuyển từ AD2 ngày 31/7/2025</v>
      </c>
      <c r="N485" s="108" t="str">
        <f>IFERROR(VLOOKUP(B485,'02. MM-KLH'!$B$6:$T$823,13,0),"")</f>
        <v>THACO FORLAND</v>
      </c>
      <c r="O485" s="108" t="str">
        <f>IFERROR(VLOOKUP(B485,'02. MM-KLH'!$B$6:$T$823,14,0),"")</f>
        <v>VIỆT NAM</v>
      </c>
      <c r="P485" s="80">
        <f>IFERROR(VLOOKUP(B485,'02. MM-KLH'!$B$6:$T$823,15,0),"")</f>
        <v>2018</v>
      </c>
      <c r="Q485" s="80" t="str">
        <f>IFERROR(VLOOKUP(B485,'02. MM-KLH'!$B$6:$T$823,16,0),"")</f>
        <v>FD350</v>
      </c>
      <c r="R485" s="106" t="str">
        <f>IFERROR(VLOOKUP(B485,'02. MM-KLH'!$B$6:$T$823,17,0),"")</f>
        <v>78HP</v>
      </c>
      <c r="S485" s="108">
        <f>IFERROR(VLOOKUP(B485,'02. MM-KLH'!$B$6:$T$823,18,0),"")</f>
        <v>380096</v>
      </c>
      <c r="T485" s="110" t="str">
        <f>IFERROR(VLOOKUP(B485,'02. MM-KLH'!$B$6:$T$823,19,0),"")</f>
        <v>CCN</v>
      </c>
      <c r="U485" s="130" t="s">
        <v>79</v>
      </c>
    </row>
    <row r="486" ht="13.5" customHeight="1">
      <c r="A486" s="80">
        <f t="shared" si="22"/>
        <v>8</v>
      </c>
      <c r="B486" s="115" t="s">
        <v>2303</v>
      </c>
      <c r="C486" s="86" t="str">
        <f>IFERROR(VLOOKUP(B486,'02. MM-KLH'!$B$6:$T$823,2,0),"")</f>
        <v/>
      </c>
      <c r="D486" s="95" t="str">
        <f>IFERROR(VLOOKUP(B486,'02. MM-KLH'!$B$6:$T$823,3,0),"")</f>
        <v>A22-XPT-004</v>
      </c>
      <c r="E486" s="86" t="str">
        <f>IFERROR(VLOOKUP(B486,'02. MM-KLH'!$B$6:$T$823,4,0),"")</f>
        <v/>
      </c>
      <c r="F486" s="115"/>
      <c r="G486" s="86" t="str">
        <f>IFERROR(VLOOKUP(B486,'02. MM-KLH'!$B$6:$T$823,6,0),"")</f>
        <v>Xe phun thuốc chuyên dụng</v>
      </c>
      <c r="H486" s="80" t="s">
        <v>5892</v>
      </c>
      <c r="I486" s="80" t="str">
        <f>IFERROR(VLOOKUP(B486,'02. MM-KLH'!$B$6:$T$823,8,0),"")</f>
        <v>XN Bò AD</v>
      </c>
      <c r="J486" s="99" t="str">
        <f>IFERROR(VLOOKUP(B486,'02. MM-KLH'!$B$6:$T$823,9,0),"")</f>
        <v/>
      </c>
      <c r="K486" s="80" t="str">
        <f>IFERROR(VLOOKUP(B486,'02. MM-KLH'!$B$6:$T$823,10,0),"")</f>
        <v>Bình thường</v>
      </c>
      <c r="L486" s="102" t="str">
        <f>IFERROR(VLOOKUP(B486,'02. MM-KLH'!$B$6:$T$823,11,0),"")</f>
        <v/>
      </c>
      <c r="M486" s="143" t="str">
        <f>IFERROR(VLOOKUP(B486,'02. MM-KLH'!$B$6:$T$823,12,0),"")</f>
        <v>Đã qua sử dụng</v>
      </c>
      <c r="N486" s="108" t="str">
        <f>IFERROR(VLOOKUP(B486,'02. MM-KLH'!$B$6:$T$823,13,0),"")</f>
        <v>YANMAR</v>
      </c>
      <c r="O486" s="108" t="str">
        <f>IFERROR(VLOOKUP(B486,'02. MM-KLH'!$B$6:$T$823,14,0),"")</f>
        <v>NHẬT BẢN</v>
      </c>
      <c r="P486" s="80" t="str">
        <f>IFERROR(VLOOKUP(B486,'02. MM-KLH'!$B$6:$T$823,15,0),"")</f>
        <v/>
      </c>
      <c r="Q486" s="80" t="str">
        <f>IFERROR(VLOOKUP(B486,'02. MM-KLH'!$B$6:$T$823,16,0),"")</f>
        <v>3TNV88-DSA</v>
      </c>
      <c r="R486" s="106" t="str">
        <f>IFERROR(VLOOKUP(B486,'02. MM-KLH'!$B$6:$T$823,17,0),"")</f>
        <v>36HP</v>
      </c>
      <c r="S486" s="108" t="str">
        <f>IFERROR(VLOOKUP(B486,'02. MM-KLH'!$B$6:$T$823,18,0),"")</f>
        <v>CCN</v>
      </c>
      <c r="T486" s="110" t="str">
        <f>IFERROR(VLOOKUP(B486,'02. MM-KLH'!$B$6:$T$823,19,0),"")</f>
        <v>J8134</v>
      </c>
      <c r="U486" s="130" t="s">
        <v>79</v>
      </c>
    </row>
    <row r="487" ht="13.5" customHeight="1">
      <c r="A487" s="95"/>
      <c r="B487" s="115"/>
      <c r="C487" s="86" t="str">
        <f>IFERROR(VLOOKUP(B487,'02. MM-KLH'!$B$6:$T$823,2,0),"")</f>
        <v/>
      </c>
      <c r="D487" s="95" t="str">
        <f>IFERROR(VLOOKUP(B487,'02. MM-KLH'!$B$6:$T$823,3,0),"")</f>
        <v/>
      </c>
      <c r="E487" s="86" t="str">
        <f>IFERROR(VLOOKUP(B487,'02. MM-KLH'!$B$6:$T$823,4,0),"")</f>
        <v/>
      </c>
      <c r="F487" s="115"/>
      <c r="G487" s="86" t="str">
        <f>IFERROR(VLOOKUP(B487,'02. MM-KLH'!$B$6:$T$823,6,0),"")</f>
        <v/>
      </c>
      <c r="H487" s="80"/>
      <c r="I487" s="80" t="str">
        <f>IFERROR(VLOOKUP(B487,'02. MM-KLH'!$B$6:$T$823,8,0),"")</f>
        <v/>
      </c>
      <c r="J487" s="99" t="str">
        <f>IFERROR(VLOOKUP(B487,'02. MM-KLH'!$B$6:$T$823,9,0),"")</f>
        <v/>
      </c>
      <c r="K487" s="80" t="str">
        <f>IFERROR(VLOOKUP(B487,'02. MM-KLH'!$B$6:$T$823,10,0),"")</f>
        <v/>
      </c>
      <c r="L487" s="102" t="str">
        <f>IFERROR(VLOOKUP(B487,'02. MM-KLH'!$B$6:$T$823,11,0),"")</f>
        <v/>
      </c>
      <c r="M487" s="143" t="str">
        <f>IFERROR(VLOOKUP(B487,'02. MM-KLH'!$B$6:$T$823,12,0),"")</f>
        <v/>
      </c>
      <c r="N487" s="108" t="str">
        <f>IFERROR(VLOOKUP(B487,'02. MM-KLH'!$B$6:$T$823,13,0),"")</f>
        <v/>
      </c>
      <c r="O487" s="108" t="str">
        <f>IFERROR(VLOOKUP(B487,'02. MM-KLH'!$B$6:$T$823,14,0),"")</f>
        <v/>
      </c>
      <c r="P487" s="80" t="str">
        <f>IFERROR(VLOOKUP(B487,'02. MM-KLH'!$B$6:$T$823,15,0),"")</f>
        <v/>
      </c>
      <c r="Q487" s="80" t="str">
        <f>IFERROR(VLOOKUP(B487,'02. MM-KLH'!$B$6:$T$823,16,0),"")</f>
        <v/>
      </c>
      <c r="R487" s="106" t="str">
        <f>IFERROR(VLOOKUP(B487,'02. MM-KLH'!$B$6:$T$823,17,0),"")</f>
        <v/>
      </c>
      <c r="S487" s="108" t="str">
        <f>IFERROR(VLOOKUP(B487,'02. MM-KLH'!$B$6:$T$823,18,0),"")</f>
        <v/>
      </c>
      <c r="T487" s="110" t="str">
        <f>IFERROR(VLOOKUP(B487,'02. MM-KLH'!$B$6:$T$823,19,0),"")</f>
        <v/>
      </c>
      <c r="U487" s="130"/>
    </row>
    <row r="488" ht="13.5" customHeight="1">
      <c r="A488" s="82" t="s">
        <v>76</v>
      </c>
      <c r="B488" s="83" t="s">
        <v>5898</v>
      </c>
      <c r="C488" s="85">
        <f>COUNTA(B489:B503)</f>
        <v>14</v>
      </c>
      <c r="D488" s="85" t="str">
        <f>IFERROR(VLOOKUP(B488,'02. MM-KLH'!$B$6:$T$823,3,0),"")</f>
        <v/>
      </c>
      <c r="E488" s="85" t="str">
        <f>IFERROR(VLOOKUP(B488,'02. MM-KLH'!$B$6:$T$823,4,0),"")</f>
        <v/>
      </c>
      <c r="F488" s="85"/>
      <c r="G488" s="85" t="str">
        <f>IFERROR(VLOOKUP(B488,'02. MM-KLH'!$B$6:$T$823,6,0),"")</f>
        <v/>
      </c>
      <c r="H488" s="85"/>
      <c r="I488" s="85" t="str">
        <f>IFERROR(VLOOKUP(B488,'02. MM-KLH'!$B$6:$T$823,8,0),"")</f>
        <v/>
      </c>
      <c r="J488" s="85" t="str">
        <f>IFERROR(VLOOKUP(B488,'02. MM-KLH'!$B$6:$T$823,9,0),"")</f>
        <v/>
      </c>
      <c r="K488" s="85" t="str">
        <f>IFERROR(VLOOKUP(B488,'02. MM-KLH'!$B$6:$T$823,10,0),"")</f>
        <v/>
      </c>
      <c r="L488" s="85" t="str">
        <f>IFERROR(VLOOKUP(B488,'02. MM-KLH'!$B$6:$T$823,11,0),"")</f>
        <v/>
      </c>
      <c r="M488" s="85" t="str">
        <f>IFERROR(VLOOKUP(B488,'02. MM-KLH'!$B$6:$T$823,12,0),"")</f>
        <v/>
      </c>
      <c r="N488" s="85" t="str">
        <f>IFERROR(VLOOKUP(B488,'02. MM-KLH'!$B$6:$T$823,13,0),"")</f>
        <v/>
      </c>
      <c r="O488" s="85" t="str">
        <f>IFERROR(VLOOKUP(B488,'02. MM-KLH'!$B$6:$T$823,14,0),"")</f>
        <v/>
      </c>
      <c r="P488" s="85" t="str">
        <f>IFERROR(VLOOKUP(B488,'02. MM-KLH'!$B$6:$T$823,15,0),"")</f>
        <v/>
      </c>
      <c r="Q488" s="85" t="str">
        <f>IFERROR(VLOOKUP(B488,'02. MM-KLH'!$B$6:$T$823,16,0),"")</f>
        <v/>
      </c>
      <c r="R488" s="85" t="str">
        <f>IFERROR(VLOOKUP(B488,'02. MM-KLH'!$B$6:$T$823,17,0),"")</f>
        <v/>
      </c>
      <c r="S488" s="85" t="str">
        <f>IFERROR(VLOOKUP(B488,'02. MM-KLH'!$B$6:$T$823,18,0),"")</f>
        <v/>
      </c>
      <c r="T488" s="85" t="str">
        <f>IFERROR(VLOOKUP(B488,'02. MM-KLH'!$B$6:$T$823,19,0),"")</f>
        <v/>
      </c>
      <c r="U488" s="85" t="str">
        <f>IFERROR(VLOOKUP(C488,'02. MM-KLH'!$B$6:$T$823,19,0),"")</f>
        <v/>
      </c>
    </row>
    <row r="489" ht="13.5" customHeight="1">
      <c r="A489" s="80">
        <v>1.0</v>
      </c>
      <c r="B489" s="113" t="s">
        <v>894</v>
      </c>
      <c r="C489" s="86" t="str">
        <f>IFERROR(VLOOKUP(B489,'02. MM-KLH'!$B$6:$T$823,2,0),"")</f>
        <v/>
      </c>
      <c r="D489" s="95" t="str">
        <f>IFERROR(VLOOKUP(B489,'02. MM-KLH'!$B$6:$T$823,3,0),"")</f>
        <v>ATT-A22-0314</v>
      </c>
      <c r="E489" s="86" t="str">
        <f>IFERROR(VLOOKUP(B489,'02. MM-KLH'!$B$6:$T$823,4,0),"")</f>
        <v>2A-0490</v>
      </c>
      <c r="F489" s="115" t="s">
        <v>5899</v>
      </c>
      <c r="G489" s="86" t="str">
        <f>IFERROR(VLOOKUP(B489,'02. MM-KLH'!$B$6:$T$823,6,0),"")</f>
        <v>Xe tải chuyên dụng (cabin đôi)</v>
      </c>
      <c r="H489" s="80" t="s">
        <v>5900</v>
      </c>
      <c r="I489" s="80" t="str">
        <f>IFERROR(VLOOKUP(B489,'02. MM-KLH'!$B$6:$T$823,8,0),"")</f>
        <v>XN Chuối DP1</v>
      </c>
      <c r="J489" s="99">
        <f>IFERROR(VLOOKUP(B489,'02. MM-KLH'!$B$6:$T$823,9,0),"")</f>
        <v>45566</v>
      </c>
      <c r="K489" s="80" t="str">
        <f>IFERROR(VLOOKUP(B489,'02. MM-KLH'!$B$6:$T$823,10,0),"")</f>
        <v>Bình thường</v>
      </c>
      <c r="L489" s="102">
        <f>IFERROR(VLOOKUP(B489,'02. MM-KLH'!$B$6:$T$823,11,0),"")</f>
        <v>0.98</v>
      </c>
      <c r="M489" s="143" t="str">
        <f>IFERROR(VLOOKUP(B489,'02. MM-KLH'!$B$6:$T$823,12,0),"")</f>
        <v/>
      </c>
      <c r="N489" s="108" t="str">
        <f>IFERROR(VLOOKUP(B489,'02. MM-KLH'!$B$6:$T$823,13,0),"")</f>
        <v>THACO KIA</v>
      </c>
      <c r="O489" s="108" t="str">
        <f>IFERROR(VLOOKUP(B489,'02. MM-KLH'!$B$6:$T$823,14,0),"")</f>
        <v>VIỆT NAM</v>
      </c>
      <c r="P489" s="80">
        <f>IFERROR(VLOOKUP(B489,'02. MM-KLH'!$B$6:$T$823,15,0),"")</f>
        <v>2021</v>
      </c>
      <c r="Q489" s="80" t="str">
        <f>IFERROR(VLOOKUP(B489,'02. MM-KLH'!$B$6:$T$823,16,0),"")</f>
        <v>FRONTIER K200SD</v>
      </c>
      <c r="R489" s="106" t="str">
        <f>IFERROR(VLOOKUP(B489,'02. MM-KLH'!$B$6:$T$823,17,0),"")</f>
        <v>130HP</v>
      </c>
      <c r="S489" s="108" t="str">
        <f>IFERROR(VLOOKUP(B489,'02. MM-KLH'!$B$6:$T$823,18,0),"")</f>
        <v>RNHF39KHBMT045336</v>
      </c>
      <c r="T489" s="110" t="str">
        <f>IFERROR(VLOOKUP(B489,'02. MM-KLH'!$B$6:$T$823,19,0),"")</f>
        <v>MD534241D4CB</v>
      </c>
      <c r="U489" s="130" t="s">
        <v>2301</v>
      </c>
    </row>
    <row r="490" ht="13.5" customHeight="1">
      <c r="A490" s="80">
        <f t="shared" ref="A490:A502" si="23">A489+1</f>
        <v>2</v>
      </c>
      <c r="B490" s="113" t="s">
        <v>1037</v>
      </c>
      <c r="C490" s="86" t="str">
        <f>IFERROR(VLOOKUP(B490,'02. MM-KLH'!$B$6:$T$823,2,0),"")</f>
        <v/>
      </c>
      <c r="D490" s="95" t="str">
        <f>IFERROR(VLOOKUP(B490,'02. MM-KLH'!$B$6:$T$823,3,0),"")</f>
        <v>ATT-A22-0315</v>
      </c>
      <c r="E490" s="86" t="str">
        <f>IFERROR(VLOOKUP(B490,'02. MM-KLH'!$B$6:$T$823,4,0),"")</f>
        <v>2A-0494</v>
      </c>
      <c r="F490" s="115" t="s">
        <v>5901</v>
      </c>
      <c r="G490" s="86" t="str">
        <f>IFERROR(VLOOKUP(B490,'02. MM-KLH'!$B$6:$T$823,6,0),"")</f>
        <v>Xe tải chuyên dụng (cabin đôi)</v>
      </c>
      <c r="H490" s="80" t="s">
        <v>5900</v>
      </c>
      <c r="I490" s="80" t="str">
        <f>IFERROR(VLOOKUP(B490,'02. MM-KLH'!$B$6:$T$823,8,0),"")</f>
        <v>XN Chuối DP2</v>
      </c>
      <c r="J490" s="99">
        <f>IFERROR(VLOOKUP(B490,'02. MM-KLH'!$B$6:$T$823,9,0),"")</f>
        <v>45566</v>
      </c>
      <c r="K490" s="80" t="str">
        <f>IFERROR(VLOOKUP(B490,'02. MM-KLH'!$B$6:$T$823,10,0),"")</f>
        <v>Bình thường</v>
      </c>
      <c r="L490" s="102">
        <f>IFERROR(VLOOKUP(B490,'02. MM-KLH'!$B$6:$T$823,11,0),"")</f>
        <v>0.98</v>
      </c>
      <c r="M490" s="143" t="str">
        <f>IFERROR(VLOOKUP(B490,'02. MM-KLH'!$B$6:$T$823,12,0),"")</f>
        <v/>
      </c>
      <c r="N490" s="108" t="str">
        <f>IFERROR(VLOOKUP(B490,'02. MM-KLH'!$B$6:$T$823,13,0),"")</f>
        <v>THACO KIA</v>
      </c>
      <c r="O490" s="108" t="str">
        <f>IFERROR(VLOOKUP(B490,'02. MM-KLH'!$B$6:$T$823,14,0),"")</f>
        <v>VIỆT NAM</v>
      </c>
      <c r="P490" s="80">
        <f>IFERROR(VLOOKUP(B490,'02. MM-KLH'!$B$6:$T$823,15,0),"")</f>
        <v>2021</v>
      </c>
      <c r="Q490" s="80" t="str">
        <f>IFERROR(VLOOKUP(B490,'02. MM-KLH'!$B$6:$T$823,16,0),"")</f>
        <v>FRONTIER K200SD</v>
      </c>
      <c r="R490" s="106" t="str">
        <f>IFERROR(VLOOKUP(B490,'02. MM-KLH'!$B$6:$T$823,17,0),"")</f>
        <v>130HP</v>
      </c>
      <c r="S490" s="108" t="str">
        <f>IFERROR(VLOOKUP(B490,'02. MM-KLH'!$B$6:$T$823,18,0),"")</f>
        <v>RNHF39KHBMT045667</v>
      </c>
      <c r="T490" s="110" t="str">
        <f>IFERROR(VLOOKUP(B490,'02. MM-KLH'!$B$6:$T$823,19,0),"")</f>
        <v>MD540079D4CB</v>
      </c>
      <c r="U490" s="130" t="s">
        <v>2301</v>
      </c>
    </row>
    <row r="491" ht="13.5" customHeight="1">
      <c r="A491" s="80">
        <f t="shared" si="23"/>
        <v>3</v>
      </c>
      <c r="B491" s="113" t="s">
        <v>1148</v>
      </c>
      <c r="C491" s="86" t="str">
        <f>IFERROR(VLOOKUP(B491,'02. MM-KLH'!$B$6:$T$823,2,0),"")</f>
        <v/>
      </c>
      <c r="D491" s="95" t="str">
        <f>IFERROR(VLOOKUP(B491,'02. MM-KLH'!$B$6:$T$823,3,0),"")</f>
        <v>ATT-A22-0316</v>
      </c>
      <c r="E491" s="86" t="str">
        <f>IFERROR(VLOOKUP(B491,'02. MM-KLH'!$B$6:$T$823,4,0),"")</f>
        <v>2A-0493</v>
      </c>
      <c r="F491" s="115" t="s">
        <v>5902</v>
      </c>
      <c r="G491" s="86" t="str">
        <f>IFERROR(VLOOKUP(B491,'02. MM-KLH'!$B$6:$T$823,6,0),"")</f>
        <v>Xe tải chuyên dụng (cabin đôi)</v>
      </c>
      <c r="H491" s="80" t="s">
        <v>5900</v>
      </c>
      <c r="I491" s="80" t="str">
        <f>IFERROR(VLOOKUP(B491,'02. MM-KLH'!$B$6:$T$823,8,0),"")</f>
        <v>XN Chuối DP3</v>
      </c>
      <c r="J491" s="99">
        <f>IFERROR(VLOOKUP(B491,'02. MM-KLH'!$B$6:$T$823,9,0),"")</f>
        <v>45566</v>
      </c>
      <c r="K491" s="80" t="str">
        <f>IFERROR(VLOOKUP(B491,'02. MM-KLH'!$B$6:$T$823,10,0),"")</f>
        <v>Bình thường</v>
      </c>
      <c r="L491" s="102">
        <f>IFERROR(VLOOKUP(B491,'02. MM-KLH'!$B$6:$T$823,11,0),"")</f>
        <v>0.98</v>
      </c>
      <c r="M491" s="143" t="str">
        <f>IFERROR(VLOOKUP(B491,'02. MM-KLH'!$B$6:$T$823,12,0),"")</f>
        <v/>
      </c>
      <c r="N491" s="108" t="str">
        <f>IFERROR(VLOOKUP(B491,'02. MM-KLH'!$B$6:$T$823,13,0),"")</f>
        <v>THACO KIA</v>
      </c>
      <c r="O491" s="108" t="str">
        <f>IFERROR(VLOOKUP(B491,'02. MM-KLH'!$B$6:$T$823,14,0),"")</f>
        <v>VIỆT NAM</v>
      </c>
      <c r="P491" s="80">
        <f>IFERROR(VLOOKUP(B491,'02. MM-KLH'!$B$6:$T$823,15,0),"")</f>
        <v>2021</v>
      </c>
      <c r="Q491" s="80" t="str">
        <f>IFERROR(VLOOKUP(B491,'02. MM-KLH'!$B$6:$T$823,16,0),"")</f>
        <v>FRONTIER K200SD</v>
      </c>
      <c r="R491" s="106" t="str">
        <f>IFERROR(VLOOKUP(B491,'02. MM-KLH'!$B$6:$T$823,17,0),"")</f>
        <v>130HP</v>
      </c>
      <c r="S491" s="108" t="str">
        <f>IFERROR(VLOOKUP(B491,'02. MM-KLH'!$B$6:$T$823,18,0),"")</f>
        <v>RNHF39KHBMT045629</v>
      </c>
      <c r="T491" s="110" t="str">
        <f>IFERROR(VLOOKUP(B491,'02. MM-KLH'!$B$6:$T$823,19,0),"")</f>
        <v>MD540070D4CB</v>
      </c>
      <c r="U491" s="130" t="s">
        <v>2301</v>
      </c>
    </row>
    <row r="492" ht="13.5" customHeight="1">
      <c r="A492" s="80">
        <f t="shared" si="23"/>
        <v>4</v>
      </c>
      <c r="B492" s="747" t="s">
        <v>1249</v>
      </c>
      <c r="C492" s="86" t="str">
        <f>IFERROR(VLOOKUP(B492,'02. MM-KLH'!$B$6:$T$823,2,0),"")</f>
        <v/>
      </c>
      <c r="D492" s="95" t="str">
        <f>IFERROR(VLOOKUP(B492,'02. MM-KLH'!$B$6:$T$823,3,0),"")</f>
        <v>A24-TCD-001</v>
      </c>
      <c r="E492" s="86" t="str">
        <f>IFERROR(VLOOKUP(B492,'02. MM-KLH'!$B$6:$T$823,4,0),"")</f>
        <v>2A-6088</v>
      </c>
      <c r="F492" s="270"/>
      <c r="G492" s="86" t="str">
        <f>IFERROR(VLOOKUP(B492,'02. MM-KLH'!$B$6:$T$823,6,0),"")</f>
        <v>Xe tải chuyên dụng (thùng lửng)</v>
      </c>
      <c r="H492" s="80" t="s">
        <v>5900</v>
      </c>
      <c r="I492" s="80" t="str">
        <f>IFERROR(VLOOKUP(B492,'02. MM-KLH'!$B$6:$T$823,8,0),"")</f>
        <v>XN Chuối LP1</v>
      </c>
      <c r="J492" s="99">
        <f>IFERROR(VLOOKUP(B492,'02. MM-KLH'!$B$6:$T$823,9,0),"")</f>
        <v>45575</v>
      </c>
      <c r="K492" s="80" t="str">
        <f>IFERROR(VLOOKUP(B492,'02. MM-KLH'!$B$6:$T$823,10,0),"")</f>
        <v>Bình thường</v>
      </c>
      <c r="L492" s="102">
        <f>IFERROR(VLOOKUP(B492,'02. MM-KLH'!$B$6:$T$823,11,0),"")</f>
        <v>0.99</v>
      </c>
      <c r="M492" s="143" t="str">
        <f>IFERROR(VLOOKUP(B492,'02. MM-KLH'!$B$6:$T$823,12,0),"")</f>
        <v>Đầu tư mới ngày bàn giao 10/10/2024</v>
      </c>
      <c r="N492" s="108" t="str">
        <f>IFERROR(VLOOKUP(B492,'02. MM-KLH'!$B$6:$T$823,13,0),"")</f>
        <v>KIA</v>
      </c>
      <c r="O492" s="108" t="str">
        <f>IFERROR(VLOOKUP(B492,'02. MM-KLH'!$B$6:$T$823,14,0),"")</f>
        <v>VIỆT NAM</v>
      </c>
      <c r="P492" s="80">
        <f>IFERROR(VLOOKUP(B492,'02. MM-KLH'!$B$6:$T$823,15,0),"")</f>
        <v>2021</v>
      </c>
      <c r="Q492" s="80" t="str">
        <f>IFERROR(VLOOKUP(B492,'02. MM-KLH'!$B$6:$T$823,16,0),"")</f>
        <v>FRONTIER K200SD-4WD</v>
      </c>
      <c r="R492" s="106" t="str">
        <f>IFERROR(VLOOKUP(B492,'02. MM-KLH'!$B$6:$T$823,17,0),"")</f>
        <v>130HP</v>
      </c>
      <c r="S492" s="108" t="str">
        <f>IFERROR(VLOOKUP(B492,'02. MM-KLH'!$B$6:$T$823,18,0),"")</f>
        <v>RNHF39KHBMT045642</v>
      </c>
      <c r="T492" s="110" t="str">
        <f>IFERROR(VLOOKUP(B492,'02. MM-KLH'!$B$6:$T$823,19,0),"")</f>
        <v>MD540096D4CB</v>
      </c>
      <c r="U492" s="130" t="s">
        <v>2301</v>
      </c>
    </row>
    <row r="493" ht="13.5" customHeight="1">
      <c r="A493" s="80">
        <f t="shared" si="23"/>
        <v>5</v>
      </c>
      <c r="B493" s="113" t="s">
        <v>1442</v>
      </c>
      <c r="C493" s="86" t="str">
        <f>IFERROR(VLOOKUP(B493,'02. MM-KLH'!$B$6:$T$823,2,0),"")</f>
        <v/>
      </c>
      <c r="D493" s="95" t="str">
        <f>IFERROR(VLOOKUP(B493,'02. MM-KLH'!$B$6:$T$823,3,0),"")</f>
        <v>ATT-A22-0320</v>
      </c>
      <c r="E493" s="86" t="str">
        <f>IFERROR(VLOOKUP(B493,'02. MM-KLH'!$B$6:$T$823,4,0),"")</f>
        <v>2A-0492</v>
      </c>
      <c r="F493" s="115" t="s">
        <v>5904</v>
      </c>
      <c r="G493" s="86" t="str">
        <f>IFERROR(VLOOKUP(B493,'02. MM-KLH'!$B$6:$T$823,6,0),"")</f>
        <v>Xe tải chuyên dụng (cabin đôi)</v>
      </c>
      <c r="H493" s="80" t="s">
        <v>5900</v>
      </c>
      <c r="I493" s="80" t="str">
        <f>IFERROR(VLOOKUP(B493,'02. MM-KLH'!$B$6:$T$823,8,0),"")</f>
        <v>XN Chuối LP3</v>
      </c>
      <c r="J493" s="99">
        <f>IFERROR(VLOOKUP(B493,'02. MM-KLH'!$B$6:$T$823,9,0),"")</f>
        <v>45566</v>
      </c>
      <c r="K493" s="80" t="str">
        <f>IFERROR(VLOOKUP(B493,'02. MM-KLH'!$B$6:$T$823,10,0),"")</f>
        <v>Bình thường</v>
      </c>
      <c r="L493" s="102">
        <f>IFERROR(VLOOKUP(B493,'02. MM-KLH'!$B$6:$T$823,11,0),"")</f>
        <v>0.98</v>
      </c>
      <c r="M493" s="143" t="str">
        <f>IFERROR(VLOOKUP(B493,'02. MM-KLH'!$B$6:$T$823,12,0),"")</f>
        <v>Xe tai nạn đang SC</v>
      </c>
      <c r="N493" s="108" t="str">
        <f>IFERROR(VLOOKUP(B493,'02. MM-KLH'!$B$6:$T$823,13,0),"")</f>
        <v>THACO KIA</v>
      </c>
      <c r="O493" s="108" t="str">
        <f>IFERROR(VLOOKUP(B493,'02. MM-KLH'!$B$6:$T$823,14,0),"")</f>
        <v>VIỆT NAM</v>
      </c>
      <c r="P493" s="80">
        <f>IFERROR(VLOOKUP(B493,'02. MM-KLH'!$B$6:$T$823,15,0),"")</f>
        <v>2021</v>
      </c>
      <c r="Q493" s="80" t="str">
        <f>IFERROR(VLOOKUP(B493,'02. MM-KLH'!$B$6:$T$823,16,0),"")</f>
        <v>FRONTIER K200SD</v>
      </c>
      <c r="R493" s="106" t="str">
        <f>IFERROR(VLOOKUP(B493,'02. MM-KLH'!$B$6:$T$823,17,0),"")</f>
        <v>130HP</v>
      </c>
      <c r="S493" s="108" t="str">
        <f>IFERROR(VLOOKUP(B493,'02. MM-KLH'!$B$6:$T$823,18,0),"")</f>
        <v>RNHF39KHBMT045643</v>
      </c>
      <c r="T493" s="110" t="str">
        <f>IFERROR(VLOOKUP(B493,'02. MM-KLH'!$B$6:$T$823,19,0),"")</f>
        <v>MD540095D4CB</v>
      </c>
      <c r="U493" s="130" t="s">
        <v>2301</v>
      </c>
    </row>
    <row r="494" ht="13.5" customHeight="1">
      <c r="A494" s="80">
        <f t="shared" si="23"/>
        <v>6</v>
      </c>
      <c r="B494" s="115" t="s">
        <v>1447</v>
      </c>
      <c r="C494" s="86" t="str">
        <f>IFERROR(VLOOKUP(B494,'02. MM-KLH'!$B$6:$T$823,2,0),"")</f>
        <v/>
      </c>
      <c r="D494" s="95" t="str">
        <f>IFERROR(VLOOKUP(B494,'02. MM-KLH'!$B$6:$T$823,3,0),"")</f>
        <v>A24-TCD-002</v>
      </c>
      <c r="E494" s="86" t="str">
        <f>IFERROR(VLOOKUP(B494,'02. MM-KLH'!$B$6:$T$823,4,0),"")</f>
        <v>2A-6090</v>
      </c>
      <c r="F494" s="115"/>
      <c r="G494" s="86" t="str">
        <f>IFERROR(VLOOKUP(B494,'02. MM-KLH'!$B$6:$T$823,6,0),"")</f>
        <v>Xe tải chuyên dụng (thùng lửng)</v>
      </c>
      <c r="H494" s="80" t="s">
        <v>5900</v>
      </c>
      <c r="I494" s="80" t="str">
        <f>IFERROR(VLOOKUP(B494,'02. MM-KLH'!$B$6:$T$823,8,0),"")</f>
        <v>XN Chuối LP3</v>
      </c>
      <c r="J494" s="99" t="str">
        <f>IFERROR(VLOOKUP(B494,'02. MM-KLH'!$B$6:$T$823,9,0),"")</f>
        <v>13/10/2024</v>
      </c>
      <c r="K494" s="80" t="str">
        <f>IFERROR(VLOOKUP(B494,'02. MM-KLH'!$B$6:$T$823,10,0),"")</f>
        <v>Bình thường</v>
      </c>
      <c r="L494" s="102" t="str">
        <f>IFERROR(VLOOKUP(B494,'02. MM-KLH'!$B$6:$T$823,11,0),"")</f>
        <v/>
      </c>
      <c r="M494" s="143" t="str">
        <f>IFERROR(VLOOKUP(B494,'02. MM-KLH'!$B$6:$T$823,12,0),"")</f>
        <v/>
      </c>
      <c r="N494" s="108" t="str">
        <f>IFERROR(VLOOKUP(B494,'02. MM-KLH'!$B$6:$T$823,13,0),"")</f>
        <v>THACO KIA</v>
      </c>
      <c r="O494" s="108" t="str">
        <f>IFERROR(VLOOKUP(B494,'02. MM-KLH'!$B$6:$T$823,14,0),"")</f>
        <v>VIỆT NAM</v>
      </c>
      <c r="P494" s="80">
        <f>IFERROR(VLOOKUP(B494,'02. MM-KLH'!$B$6:$T$823,15,0),"")</f>
        <v>2021</v>
      </c>
      <c r="Q494" s="80" t="str">
        <f>IFERROR(VLOOKUP(B494,'02. MM-KLH'!$B$6:$T$823,16,0),"")</f>
        <v>FRONTIER K200SD-4WD</v>
      </c>
      <c r="R494" s="106" t="str">
        <f>IFERROR(VLOOKUP(B494,'02. MM-KLH'!$B$6:$T$823,17,0),"")</f>
        <v>129HP</v>
      </c>
      <c r="S494" s="108" t="str">
        <f>IFERROR(VLOOKUP(B494,'02. MM-KLH'!$B$6:$T$823,18,0),"")</f>
        <v>RNHF39KHBMT045662</v>
      </c>
      <c r="T494" s="110" t="str">
        <f>IFERROR(VLOOKUP(B494,'02. MM-KLH'!$B$6:$T$823,19,0),"")</f>
        <v>MD540097D4CB</v>
      </c>
      <c r="U494" s="130" t="s">
        <v>2301</v>
      </c>
    </row>
    <row r="495" ht="13.5" customHeight="1">
      <c r="A495" s="80">
        <f t="shared" si="23"/>
        <v>7</v>
      </c>
      <c r="B495" s="115" t="s">
        <v>2650</v>
      </c>
      <c r="C495" s="86" t="str">
        <f>IFERROR(VLOOKUP(B495,'02. MM-KLH'!$B$6:$T$823,2,0),"")</f>
        <v>2A-0489(XA2-TCD-001)</v>
      </c>
      <c r="D495" s="95" t="str">
        <f>IFERROR(VLOOKUP(B495,'02. MM-KLH'!$B$6:$T$823,3,0),"")</f>
        <v>ATT-A22-0318</v>
      </c>
      <c r="E495" s="86" t="str">
        <f>IFERROR(VLOOKUP(B495,'02. MM-KLH'!$B$6:$T$823,4,0),"")</f>
        <v>2A-0489</v>
      </c>
      <c r="F495" s="115" t="s">
        <v>2652</v>
      </c>
      <c r="G495" s="86" t="str">
        <f>IFERROR(VLOOKUP(B495,'02. MM-KLH'!$B$6:$T$823,6,0),"")</f>
        <v>Xe tải chuyên dụng (cabin đôi)</v>
      </c>
      <c r="H495" s="80" t="s">
        <v>5900</v>
      </c>
      <c r="I495" s="80" t="str">
        <f>IFERROR(VLOOKUP(B495,'02. MM-KLH'!$B$6:$T$823,8,0),"")</f>
        <v>HÀNH CHÍNH KLH</v>
      </c>
      <c r="J495" s="99">
        <f>IFERROR(VLOOKUP(B495,'02. MM-KLH'!$B$6:$T$823,9,0),"")</f>
        <v>45566</v>
      </c>
      <c r="K495" s="80" t="str">
        <f>IFERROR(VLOOKUP(B495,'02. MM-KLH'!$B$6:$T$823,10,0),"")</f>
        <v>Bình thường</v>
      </c>
      <c r="L495" s="102">
        <f>IFERROR(VLOOKUP(B495,'02. MM-KLH'!$B$6:$T$823,11,0),"")</f>
        <v>0.98</v>
      </c>
      <c r="M495" s="143" t="str">
        <f>IFERROR(VLOOKUP(B495,'02. MM-KLH'!$B$6:$T$823,12,0),"")</f>
        <v>Đ.chuyển từ XN AD2 ngày 13/02/2025</v>
      </c>
      <c r="N495" s="108" t="str">
        <f>IFERROR(VLOOKUP(B495,'02. MM-KLH'!$B$6:$T$823,13,0),"")</f>
        <v>THACO KIA</v>
      </c>
      <c r="O495" s="108" t="str">
        <f>IFERROR(VLOOKUP(B495,'02. MM-KLH'!$B$6:$T$823,14,0),"")</f>
        <v>VIỆT NAM</v>
      </c>
      <c r="P495" s="80">
        <f>IFERROR(VLOOKUP(B495,'02. MM-KLH'!$B$6:$T$823,15,0),"")</f>
        <v>2021</v>
      </c>
      <c r="Q495" s="80" t="str">
        <f>IFERROR(VLOOKUP(B495,'02. MM-KLH'!$B$6:$T$823,16,0),"")</f>
        <v>FRONTIER K200SD</v>
      </c>
      <c r="R495" s="106" t="str">
        <f>IFERROR(VLOOKUP(B495,'02. MM-KLH'!$B$6:$T$823,17,0),"")</f>
        <v>130HP</v>
      </c>
      <c r="S495" s="108" t="str">
        <f>IFERROR(VLOOKUP(B495,'02. MM-KLH'!$B$6:$T$823,18,0),"")</f>
        <v>RNHF39KHBMT045661</v>
      </c>
      <c r="T495" s="110" t="str">
        <f>IFERROR(VLOOKUP(B495,'02. MM-KLH'!$B$6:$T$823,19,0),"")</f>
        <v>MD540089D4CB</v>
      </c>
      <c r="U495" s="130" t="s">
        <v>2301</v>
      </c>
    </row>
    <row r="496" ht="13.5" customHeight="1">
      <c r="A496" s="80">
        <f t="shared" si="23"/>
        <v>8</v>
      </c>
      <c r="B496" s="113" t="s">
        <v>2290</v>
      </c>
      <c r="C496" s="86" t="str">
        <f>IFERROR(VLOOKUP(B496,'02. MM-KLH'!$B$6:$T$823,2,0),"")</f>
        <v/>
      </c>
      <c r="D496" s="95" t="str">
        <f>IFERROR(VLOOKUP(B496,'02. MM-KLH'!$B$6:$T$823,3,0),"")</f>
        <v>ATT-A22-0317</v>
      </c>
      <c r="E496" s="86" t="str">
        <f>IFERROR(VLOOKUP(B496,'02. MM-KLH'!$B$6:$T$823,4,0),"")</f>
        <v>2A-0491</v>
      </c>
      <c r="F496" s="115" t="s">
        <v>5906</v>
      </c>
      <c r="G496" s="86" t="str">
        <f>IFERROR(VLOOKUP(B496,'02. MM-KLH'!$B$6:$T$823,6,0),"")</f>
        <v>Xe tải chuyên dụng (cabin đôi)</v>
      </c>
      <c r="H496" s="80" t="s">
        <v>5900</v>
      </c>
      <c r="I496" s="80" t="str">
        <f>IFERROR(VLOOKUP(B496,'02. MM-KLH'!$B$6:$T$823,8,0),"")</f>
        <v>XN Bò AD</v>
      </c>
      <c r="J496" s="99">
        <f>IFERROR(VLOOKUP(B496,'02. MM-KLH'!$B$6:$T$823,9,0),"")</f>
        <v>45566</v>
      </c>
      <c r="K496" s="80" t="str">
        <f>IFERROR(VLOOKUP(B496,'02. MM-KLH'!$B$6:$T$823,10,0),"")</f>
        <v>Bình thường</v>
      </c>
      <c r="L496" s="102">
        <f>IFERROR(VLOOKUP(B496,'02. MM-KLH'!$B$6:$T$823,11,0),"")</f>
        <v>0.98</v>
      </c>
      <c r="M496" s="143" t="str">
        <f>IFERROR(VLOOKUP(B496,'02. MM-KLH'!$B$6:$T$823,12,0),"")</f>
        <v/>
      </c>
      <c r="N496" s="108" t="str">
        <f>IFERROR(VLOOKUP(B496,'02. MM-KLH'!$B$6:$T$823,13,0),"")</f>
        <v>THACO KIA</v>
      </c>
      <c r="O496" s="108" t="str">
        <f>IFERROR(VLOOKUP(B496,'02. MM-KLH'!$B$6:$T$823,14,0),"")</f>
        <v>VIỆT NAM</v>
      </c>
      <c r="P496" s="80">
        <f>IFERROR(VLOOKUP(B496,'02. MM-KLH'!$B$6:$T$823,15,0),"")</f>
        <v>2021</v>
      </c>
      <c r="Q496" s="80" t="str">
        <f>IFERROR(VLOOKUP(B496,'02. MM-KLH'!$B$6:$T$823,16,0),"")</f>
        <v>FRONTIER K200SD</v>
      </c>
      <c r="R496" s="106" t="str">
        <f>IFERROR(VLOOKUP(B496,'02. MM-KLH'!$B$6:$T$823,17,0),"")</f>
        <v>130HP</v>
      </c>
      <c r="S496" s="108" t="str">
        <f>IFERROR(VLOOKUP(B496,'02. MM-KLH'!$B$6:$T$823,18,0),"")</f>
        <v>RNHF39KHBMT045635</v>
      </c>
      <c r="T496" s="110" t="str">
        <f>IFERROR(VLOOKUP(B496,'02. MM-KLH'!$B$6:$T$823,19,0),"")</f>
        <v>MD540092D4CB</v>
      </c>
      <c r="U496" s="130" t="s">
        <v>2301</v>
      </c>
    </row>
    <row r="497" ht="13.5" customHeight="1">
      <c r="A497" s="80">
        <f t="shared" si="23"/>
        <v>9</v>
      </c>
      <c r="B497" s="115" t="s">
        <v>2875</v>
      </c>
      <c r="C497" s="86" t="str">
        <f>IFERROR(VLOOKUP(B497,'02. MM-KLH'!$B$6:$T$823,2,0),"")</f>
        <v>2A-0488 (BCG-TCD-001)</v>
      </c>
      <c r="D497" s="95" t="str">
        <f>IFERROR(VLOOKUP(B497,'02. MM-KLH'!$B$6:$T$823,3,0),"")</f>
        <v>ATT-A22-0319</v>
      </c>
      <c r="E497" s="86" t="str">
        <f>IFERROR(VLOOKUP(B497,'02. MM-KLH'!$B$6:$T$823,4,0),"")</f>
        <v>2A-0488</v>
      </c>
      <c r="F497" s="137" t="s">
        <v>2877</v>
      </c>
      <c r="G497" s="86" t="str">
        <f>IFERROR(VLOOKUP(B497,'02. MM-KLH'!$B$6:$T$823,6,0),"")</f>
        <v>Xe tải chuyên dụng (cabin đôi)</v>
      </c>
      <c r="H497" s="80" t="s">
        <v>5900</v>
      </c>
      <c r="I497" s="80" t="str">
        <f>IFERROR(VLOOKUP(B497,'02. MM-KLH'!$B$6:$T$823,8,0),"")</f>
        <v>BAN KT CHUỐI</v>
      </c>
      <c r="J497" s="99" t="str">
        <f>IFERROR(VLOOKUP(B497,'02. MM-KLH'!$B$6:$T$823,9,0),"")</f>
        <v>15/10/2024</v>
      </c>
      <c r="K497" s="80" t="str">
        <f>IFERROR(VLOOKUP(B497,'02. MM-KLH'!$B$6:$T$823,10,0),"")</f>
        <v>Bình thường</v>
      </c>
      <c r="L497" s="102">
        <f>IFERROR(VLOOKUP(B497,'02. MM-KLH'!$B$6:$T$823,11,0),"")</f>
        <v>0.98</v>
      </c>
      <c r="M497" s="143" t="str">
        <f>IFERROR(VLOOKUP(B497,'02. MM-KLH'!$B$6:$T$823,12,0),"")</f>
        <v>Ban CG điều chuyển ngày 15/10/2024</v>
      </c>
      <c r="N497" s="108" t="str">
        <f>IFERROR(VLOOKUP(B497,'02. MM-KLH'!$B$6:$T$823,13,0),"")</f>
        <v>THACO KIA</v>
      </c>
      <c r="O497" s="108" t="str">
        <f>IFERROR(VLOOKUP(B497,'02. MM-KLH'!$B$6:$T$823,14,0),"")</f>
        <v>VIỆT NAM</v>
      </c>
      <c r="P497" s="80">
        <f>IFERROR(VLOOKUP(B497,'02. MM-KLH'!$B$6:$T$823,15,0),"")</f>
        <v>2021</v>
      </c>
      <c r="Q497" s="80" t="str">
        <f>IFERROR(VLOOKUP(B497,'02. MM-KLH'!$B$6:$T$823,16,0),"")</f>
        <v>FRONTIER K200SD</v>
      </c>
      <c r="R497" s="106" t="str">
        <f>IFERROR(VLOOKUP(B497,'02. MM-KLH'!$B$6:$T$823,17,0),"")</f>
        <v>130HP</v>
      </c>
      <c r="S497" s="108" t="str">
        <f>IFERROR(VLOOKUP(B497,'02. MM-KLH'!$B$6:$T$823,18,0),"")</f>
        <v>RNHF39KHBMT045640</v>
      </c>
      <c r="T497" s="110" t="str">
        <f>IFERROR(VLOOKUP(B497,'02. MM-KLH'!$B$6:$T$823,19,0),"")</f>
        <v>MD540107D4CB</v>
      </c>
      <c r="U497" s="130" t="s">
        <v>2301</v>
      </c>
    </row>
    <row r="498" ht="29.25" customHeight="1">
      <c r="A498" s="80">
        <f t="shared" si="23"/>
        <v>10</v>
      </c>
      <c r="B498" s="115" t="s">
        <v>2883</v>
      </c>
      <c r="C498" s="86" t="str">
        <f>IFERROR(VLOOKUP(B498,'02. MM-KLH'!$B$6:$T$823,2,0),"")</f>
        <v>2A-6092</v>
      </c>
      <c r="D498" s="95" t="str">
        <f>IFERROR(VLOOKUP(B498,'02. MM-KLH'!$B$6:$T$823,3,0),"")</f>
        <v>A23-TCD-001</v>
      </c>
      <c r="E498" s="86" t="str">
        <f>IFERROR(VLOOKUP(B498,'02. MM-KLH'!$B$6:$T$823,4,0),"")</f>
        <v>2A-6092</v>
      </c>
      <c r="F498" s="137"/>
      <c r="G498" s="86" t="str">
        <f>IFERROR(VLOOKUP(B498,'02. MM-KLH'!$B$6:$T$823,6,0),"")</f>
        <v>Xe tải chuyên dụng (thùng lửng)</v>
      </c>
      <c r="H498" s="80" t="s">
        <v>5900</v>
      </c>
      <c r="I498" s="80" t="str">
        <f>IFERROR(VLOOKUP(B498,'02. MM-KLH'!$B$6:$T$823,8,0),"")</f>
        <v>BAN KT CHUỐI</v>
      </c>
      <c r="J498" s="99" t="str">
        <f>IFERROR(VLOOKUP(B498,'02. MM-KLH'!$B$6:$T$823,9,0),"")</f>
        <v>15/10/2024</v>
      </c>
      <c r="K498" s="80" t="str">
        <f>IFERROR(VLOOKUP(B498,'02. MM-KLH'!$B$6:$T$823,10,0),"")</f>
        <v>Bình thường</v>
      </c>
      <c r="L498" s="102" t="str">
        <f>IFERROR(VLOOKUP(B498,'02. MM-KLH'!$B$6:$T$823,11,0),"")</f>
        <v/>
      </c>
      <c r="M498" s="143" t="str">
        <f>IFERROR(VLOOKUP(B498,'02. MM-KLH'!$B$6:$T$823,12,0),"")</f>
        <v>- Đầu tư mới
- Xe giao về HC KLH 02/05/2025</v>
      </c>
      <c r="N498" s="108" t="str">
        <f>IFERROR(VLOOKUP(B498,'02. MM-KLH'!$B$6:$T$823,13,0),"")</f>
        <v>KIA</v>
      </c>
      <c r="O498" s="108" t="str">
        <f>IFERROR(VLOOKUP(B498,'02. MM-KLH'!$B$6:$T$823,14,0),"")</f>
        <v>Việt Nam</v>
      </c>
      <c r="P498" s="80">
        <f>IFERROR(VLOOKUP(B498,'02. MM-KLH'!$B$6:$T$823,15,0),"")</f>
        <v>2021</v>
      </c>
      <c r="Q498" s="80" t="str">
        <f>IFERROR(VLOOKUP(B498,'02. MM-KLH'!$B$6:$T$823,16,0),"")</f>
        <v>FRONTIER K200SD-4WD</v>
      </c>
      <c r="R498" s="106" t="str">
        <f>IFERROR(VLOOKUP(B498,'02. MM-KLH'!$B$6:$T$823,17,0),"")</f>
        <v>130HP</v>
      </c>
      <c r="S498" s="108" t="str">
        <f>IFERROR(VLOOKUP(B498,'02. MM-KLH'!$B$6:$T$823,18,0),"")</f>
        <v>RNHF39KHBMT045631</v>
      </c>
      <c r="T498" s="110" t="str">
        <f>IFERROR(VLOOKUP(B498,'02. MM-KLH'!$B$6:$T$823,19,0),"")</f>
        <v>MD540071D4CB</v>
      </c>
      <c r="U498" s="130" t="s">
        <v>2301</v>
      </c>
    </row>
    <row r="499" ht="23.25" customHeight="1">
      <c r="A499" s="80">
        <f t="shared" si="23"/>
        <v>11</v>
      </c>
      <c r="B499" s="115" t="s">
        <v>2889</v>
      </c>
      <c r="C499" s="86" t="str">
        <f>IFERROR(VLOOKUP(B499,'02. MM-KLH'!$B$6:$T$823,2,0),"")</f>
        <v>2A-6093</v>
      </c>
      <c r="D499" s="95" t="str">
        <f>IFERROR(VLOOKUP(B499,'02. MM-KLH'!$B$6:$T$823,3,0),"")</f>
        <v>A24-TCD-003</v>
      </c>
      <c r="E499" s="86" t="str">
        <f>IFERROR(VLOOKUP(B499,'02. MM-KLH'!$B$6:$T$823,4,0),"")</f>
        <v>2A-6093</v>
      </c>
      <c r="F499" s="137"/>
      <c r="G499" s="86" t="str">
        <f>IFERROR(VLOOKUP(B499,'02. MM-KLH'!$B$6:$T$823,6,0),"")</f>
        <v>Xe tải chuyên dụng (thùng lửng)</v>
      </c>
      <c r="H499" s="80" t="s">
        <v>5900</v>
      </c>
      <c r="I499" s="80" t="str">
        <f>IFERROR(VLOOKUP(B499,'02. MM-KLH'!$B$6:$T$823,8,0),"")</f>
        <v>BAN KT CHUỐI</v>
      </c>
      <c r="J499" s="99" t="str">
        <f>IFERROR(VLOOKUP(B499,'02. MM-KLH'!$B$6:$T$823,9,0),"")</f>
        <v>13/10/2024</v>
      </c>
      <c r="K499" s="80" t="str">
        <f>IFERROR(VLOOKUP(B499,'02. MM-KLH'!$B$6:$T$823,10,0),"")</f>
        <v>Bình thường</v>
      </c>
      <c r="L499" s="102" t="str">
        <f>IFERROR(VLOOKUP(B499,'02. MM-KLH'!$B$6:$T$823,11,0),"")</f>
        <v/>
      </c>
      <c r="M499" s="143" t="str">
        <f>IFERROR(VLOOKUP(B499,'02. MM-KLH'!$B$6:$T$823,12,0),"")</f>
        <v>Đầu tư mới
- Xe tai nạn</v>
      </c>
      <c r="N499" s="108" t="str">
        <f>IFERROR(VLOOKUP(B499,'02. MM-KLH'!$B$6:$T$823,13,0),"")</f>
        <v>KIA</v>
      </c>
      <c r="O499" s="108" t="str">
        <f>IFERROR(VLOOKUP(B499,'02. MM-KLH'!$B$6:$T$823,14,0),"")</f>
        <v>Việt Nam</v>
      </c>
      <c r="P499" s="80">
        <f>IFERROR(VLOOKUP(B499,'02. MM-KLH'!$B$6:$T$823,15,0),"")</f>
        <v>2021</v>
      </c>
      <c r="Q499" s="80" t="str">
        <f>IFERROR(VLOOKUP(B499,'02. MM-KLH'!$B$6:$T$823,16,0),"")</f>
        <v>FRONTIER K200SD-4WD</v>
      </c>
      <c r="R499" s="106" t="str">
        <f>IFERROR(VLOOKUP(B499,'02. MM-KLH'!$B$6:$T$823,17,0),"")</f>
        <v>130HP</v>
      </c>
      <c r="S499" s="108" t="str">
        <f>IFERROR(VLOOKUP(B499,'02. MM-KLH'!$B$6:$T$823,18,0),"")</f>
        <v>RNHF39KHBMT045342</v>
      </c>
      <c r="T499" s="110" t="str">
        <f>IFERROR(VLOOKUP(B499,'02. MM-KLH'!$B$6:$T$823,19,0),"")</f>
        <v>MD534256D4CB</v>
      </c>
      <c r="U499" s="130" t="s">
        <v>2301</v>
      </c>
    </row>
    <row r="500" ht="13.5" customHeight="1">
      <c r="A500" s="80">
        <f t="shared" si="23"/>
        <v>12</v>
      </c>
      <c r="B500" s="115" t="s">
        <v>2823</v>
      </c>
      <c r="C500" s="86" t="str">
        <f>IFERROR(VLOOKUP(B500,'02. MM-KLH'!$B$6:$T$823,2,0),"")</f>
        <v>2A-6091</v>
      </c>
      <c r="D500" s="95" t="str">
        <f>IFERROR(VLOOKUP(B500,'02. MM-KLH'!$B$6:$T$823,3,0),"")</f>
        <v>A22-TCD-002</v>
      </c>
      <c r="E500" s="86" t="str">
        <f>IFERROR(VLOOKUP(B500,'02. MM-KLH'!$B$6:$T$823,4,0),"")</f>
        <v/>
      </c>
      <c r="F500" s="137"/>
      <c r="G500" s="86" t="str">
        <f>IFERROR(VLOOKUP(B500,'02. MM-KLH'!$B$6:$T$823,6,0),"")</f>
        <v>Xe tải chuyên dụng (thùng lửng)</v>
      </c>
      <c r="H500" s="80" t="s">
        <v>5900</v>
      </c>
      <c r="I500" s="80" t="str">
        <f>IFERROR(VLOOKUP(B500,'02. MM-KLH'!$B$6:$T$823,8,0),"")</f>
        <v>BAN CG-CK &amp; SXCN</v>
      </c>
      <c r="J500" s="99">
        <f>IFERROR(VLOOKUP(B500,'02. MM-KLH'!$B$6:$T$823,9,0),"")</f>
        <v>45606</v>
      </c>
      <c r="K500" s="80" t="str">
        <f>IFERROR(VLOOKUP(B500,'02. MM-KLH'!$B$6:$T$823,10,0),"")</f>
        <v>Bình thường</v>
      </c>
      <c r="L500" s="102">
        <f>IFERROR(VLOOKUP(B500,'02. MM-KLH'!$B$6:$T$823,11,0),"")</f>
        <v>0.99</v>
      </c>
      <c r="M500" s="143" t="str">
        <f>IFERROR(VLOOKUP(B500,'02. MM-KLH'!$B$6:$T$823,12,0),"")</f>
        <v/>
      </c>
      <c r="N500" s="108" t="str">
        <f>IFERROR(VLOOKUP(B500,'02. MM-KLH'!$B$6:$T$823,13,0),"")</f>
        <v>THACO KIA</v>
      </c>
      <c r="O500" s="108" t="str">
        <f>IFERROR(VLOOKUP(B500,'02. MM-KLH'!$B$6:$T$823,14,0),"")</f>
        <v>Việt Nam</v>
      </c>
      <c r="P500" s="80">
        <f>IFERROR(VLOOKUP(B500,'02. MM-KLH'!$B$6:$T$823,15,0),"")</f>
        <v>2021</v>
      </c>
      <c r="Q500" s="80" t="str">
        <f>IFERROR(VLOOKUP(B500,'02. MM-KLH'!$B$6:$T$823,16,0),"")</f>
        <v>FRONTIER K200SD-4WD</v>
      </c>
      <c r="R500" s="106" t="str">
        <f>IFERROR(VLOOKUP(B500,'02. MM-KLH'!$B$6:$T$823,17,0),"")</f>
        <v>130HP</v>
      </c>
      <c r="S500" s="108" t="str">
        <f>IFERROR(VLOOKUP(B500,'02. MM-KLH'!$B$6:$T$823,18,0),"")</f>
        <v>RNHF39KHBMT045656</v>
      </c>
      <c r="T500" s="110" t="str">
        <f>IFERROR(VLOOKUP(B500,'02. MM-KLH'!$B$6:$T$823,19,0),"")</f>
        <v>MD540068D4CB</v>
      </c>
      <c r="U500" s="130" t="s">
        <v>2301</v>
      </c>
    </row>
    <row r="501" ht="13.5" customHeight="1">
      <c r="A501" s="80">
        <f t="shared" si="23"/>
        <v>13</v>
      </c>
      <c r="B501" s="115" t="s">
        <v>2829</v>
      </c>
      <c r="C501" s="86" t="str">
        <f>IFERROR(VLOOKUP(B501,'02. MM-KLH'!$B$6:$T$823,2,0),"")</f>
        <v>2A-6089</v>
      </c>
      <c r="D501" s="95" t="str">
        <f>IFERROR(VLOOKUP(B501,'02. MM-KLH'!$B$6:$T$823,3,0),"")</f>
        <v>A22-TCD-003</v>
      </c>
      <c r="E501" s="86" t="str">
        <f>IFERROR(VLOOKUP(B501,'02. MM-KLH'!$B$6:$T$823,4,0),"")</f>
        <v/>
      </c>
      <c r="F501" s="137"/>
      <c r="G501" s="86" t="str">
        <f>IFERROR(VLOOKUP(B501,'02. MM-KLH'!$B$6:$T$823,6,0),"")</f>
        <v>Xe tải chuyên dụng (thùng lửng)</v>
      </c>
      <c r="H501" s="80" t="s">
        <v>5900</v>
      </c>
      <c r="I501" s="80" t="str">
        <f>IFERROR(VLOOKUP(B501,'02. MM-KLH'!$B$6:$T$823,8,0),"")</f>
        <v>BAN CG-CK &amp; SXCN</v>
      </c>
      <c r="J501" s="99">
        <f>IFERROR(VLOOKUP(B501,'02. MM-KLH'!$B$6:$T$823,9,0),"")</f>
        <v>45575</v>
      </c>
      <c r="K501" s="80" t="str">
        <f>IFERROR(VLOOKUP(B501,'02. MM-KLH'!$B$6:$T$823,10,0),"")</f>
        <v>Bình thường</v>
      </c>
      <c r="L501" s="102">
        <f>IFERROR(VLOOKUP(B501,'02. MM-KLH'!$B$6:$T$823,11,0),"")</f>
        <v>0.99</v>
      </c>
      <c r="M501" s="143" t="str">
        <f>IFERROR(VLOOKUP(B501,'02. MM-KLH'!$B$6:$T$823,12,0),"")</f>
        <v/>
      </c>
      <c r="N501" s="108" t="str">
        <f>IFERROR(VLOOKUP(B501,'02. MM-KLH'!$B$6:$T$823,13,0),"")</f>
        <v>THACO KIA</v>
      </c>
      <c r="O501" s="108" t="str">
        <f>IFERROR(VLOOKUP(B501,'02. MM-KLH'!$B$6:$T$823,14,0),"")</f>
        <v>Việt Nam</v>
      </c>
      <c r="P501" s="80">
        <f>IFERROR(VLOOKUP(B501,'02. MM-KLH'!$B$6:$T$823,15,0),"")</f>
        <v>2021</v>
      </c>
      <c r="Q501" s="80" t="str">
        <f>IFERROR(VLOOKUP(B501,'02. MM-KLH'!$B$6:$T$823,16,0),"")</f>
        <v>FRONTIER K200SD-4WD</v>
      </c>
      <c r="R501" s="106" t="str">
        <f>IFERROR(VLOOKUP(B501,'02. MM-KLH'!$B$6:$T$823,17,0),"")</f>
        <v>130HP</v>
      </c>
      <c r="S501" s="108" t="str">
        <f>IFERROR(VLOOKUP(B501,'02. MM-KLH'!$B$6:$T$823,18,0),"")</f>
        <v>RNHF39KHBMT045639</v>
      </c>
      <c r="T501" s="110" t="str">
        <f>IFERROR(VLOOKUP(B501,'02. MM-KLH'!$B$6:$T$823,19,0),"")</f>
        <v>MD540108D4CB</v>
      </c>
      <c r="U501" s="130" t="s">
        <v>2301</v>
      </c>
    </row>
    <row r="502" ht="13.5" customHeight="1">
      <c r="A502" s="80">
        <f t="shared" si="23"/>
        <v>14</v>
      </c>
      <c r="B502" s="115" t="s">
        <v>2835</v>
      </c>
      <c r="C502" s="86" t="str">
        <f>IFERROR(VLOOKUP(B502,'02. MM-KLH'!$B$6:$T$823,2,0),"")</f>
        <v/>
      </c>
      <c r="D502" s="95" t="str">
        <f>IFERROR(VLOOKUP(B502,'02. MM-KLH'!$B$6:$T$823,3,0),"")</f>
        <v>A22-TCD-004</v>
      </c>
      <c r="E502" s="86" t="str">
        <f>IFERROR(VLOOKUP(B502,'02. MM-KLH'!$B$6:$T$823,4,0),"")</f>
        <v>2A-0518</v>
      </c>
      <c r="F502" s="137"/>
      <c r="G502" s="86" t="str">
        <f>IFERROR(VLOOKUP(B502,'02. MM-KLH'!$B$6:$T$823,6,0),"")</f>
        <v>Xe tải chuyên dụng (thùng SCLĐ)</v>
      </c>
      <c r="H502" s="80" t="s">
        <v>5900</v>
      </c>
      <c r="I502" s="80" t="str">
        <f>IFERROR(VLOOKUP(B502,'02. MM-KLH'!$B$6:$T$823,8,0),"")</f>
        <v>BAN CG-CK &amp; SXCN</v>
      </c>
      <c r="J502" s="99" t="str">
        <f>IFERROR(VLOOKUP(B502,'02. MM-KLH'!$B$6:$T$823,9,0),"")</f>
        <v>27/01/2026</v>
      </c>
      <c r="K502" s="80" t="str">
        <f>IFERROR(VLOOKUP(B502,'02. MM-KLH'!$B$6:$T$823,10,0),"")</f>
        <v>Bình thường</v>
      </c>
      <c r="L502" s="102" t="str">
        <f>IFERROR(VLOOKUP(B502,'02. MM-KLH'!$B$6:$T$823,11,0),"")</f>
        <v/>
      </c>
      <c r="M502" s="143" t="str">
        <f>IFERROR(VLOOKUP(B502,'02. MM-KLH'!$B$6:$T$823,12,0),"")</f>
        <v/>
      </c>
      <c r="N502" s="108" t="str">
        <f>IFERROR(VLOOKUP(B502,'02. MM-KLH'!$B$6:$T$823,13,0),"")</f>
        <v>THACO KIA</v>
      </c>
      <c r="O502" s="108" t="str">
        <f>IFERROR(VLOOKUP(B502,'02. MM-KLH'!$B$6:$T$823,14,0),"")</f>
        <v>VIỆT NAM</v>
      </c>
      <c r="P502" s="80">
        <f>IFERROR(VLOOKUP(B502,'02. MM-KLH'!$B$6:$T$823,15,0),"")</f>
        <v>2024</v>
      </c>
      <c r="Q502" s="80" t="str">
        <f>IFERROR(VLOOKUP(B502,'02. MM-KLH'!$B$6:$T$823,16,0),"")</f>
        <v>KIA K200SD</v>
      </c>
      <c r="R502" s="106" t="str">
        <f>IFERROR(VLOOKUP(B502,'02. MM-KLH'!$B$6:$T$823,17,0),"")</f>
        <v>130HP</v>
      </c>
      <c r="S502" s="108" t="str">
        <f>IFERROR(VLOOKUP(B502,'02. MM-KLH'!$B$6:$T$823,18,0),"")</f>
        <v>RNHF39KHBMT045676</v>
      </c>
      <c r="T502" s="110" t="str">
        <f>IFERROR(VLOOKUP(B502,'02. MM-KLH'!$B$6:$T$823,19,0),"")</f>
        <v>MD540074D4CB</v>
      </c>
      <c r="U502" s="130" t="s">
        <v>2301</v>
      </c>
    </row>
    <row r="503" ht="13.5" customHeight="1">
      <c r="A503" s="80"/>
      <c r="B503" s="113"/>
      <c r="C503" s="86" t="str">
        <f>IFERROR(VLOOKUP(B503,'02. MM-KLH'!$B$6:$T$823,2,0),"")</f>
        <v/>
      </c>
      <c r="D503" s="95" t="str">
        <f>IFERROR(VLOOKUP(B503,'02. MM-KLH'!$B$6:$T$823,3,0),"")</f>
        <v/>
      </c>
      <c r="E503" s="86" t="str">
        <f>IFERROR(VLOOKUP(B503,'02. MM-KLH'!$B$6:$T$823,4,0),"")</f>
        <v/>
      </c>
      <c r="F503" s="115"/>
      <c r="G503" s="86" t="str">
        <f>IFERROR(VLOOKUP(B503,'02. MM-KLH'!$B$6:$T$823,6,0),"")</f>
        <v/>
      </c>
      <c r="H503" s="80"/>
      <c r="I503" s="80" t="str">
        <f>IFERROR(VLOOKUP(B503,'02. MM-KLH'!$B$6:$T$823,8,0),"")</f>
        <v/>
      </c>
      <c r="J503" s="99" t="str">
        <f>IFERROR(VLOOKUP(B503,'02. MM-KLH'!$B$6:$T$823,9,0),"")</f>
        <v/>
      </c>
      <c r="K503" s="80" t="str">
        <f>IFERROR(VLOOKUP(B503,'02. MM-KLH'!$B$6:$T$823,10,0),"")</f>
        <v/>
      </c>
      <c r="L503" s="102" t="str">
        <f>IFERROR(VLOOKUP(B503,'02. MM-KLH'!$B$6:$T$823,11,0),"")</f>
        <v/>
      </c>
      <c r="M503" s="143" t="str">
        <f>IFERROR(VLOOKUP(B503,'02. MM-KLH'!$B$6:$T$823,12,0),"")</f>
        <v/>
      </c>
      <c r="N503" s="108" t="str">
        <f>IFERROR(VLOOKUP(B503,'02. MM-KLH'!$B$6:$T$823,13,0),"")</f>
        <v/>
      </c>
      <c r="O503" s="108" t="str">
        <f>IFERROR(VLOOKUP(B503,'02. MM-KLH'!$B$6:$T$823,14,0),"")</f>
        <v/>
      </c>
      <c r="P503" s="80" t="str">
        <f>IFERROR(VLOOKUP(B503,'02. MM-KLH'!$B$6:$T$823,15,0),"")</f>
        <v/>
      </c>
      <c r="Q503" s="80" t="str">
        <f>IFERROR(VLOOKUP(B503,'02. MM-KLH'!$B$6:$T$823,16,0),"")</f>
        <v/>
      </c>
      <c r="R503" s="106" t="str">
        <f>IFERROR(VLOOKUP(B503,'02. MM-KLH'!$B$6:$T$823,17,0),"")</f>
        <v/>
      </c>
      <c r="S503" s="108" t="str">
        <f>IFERROR(VLOOKUP(B503,'02. MM-KLH'!$B$6:$T$823,18,0),"")</f>
        <v/>
      </c>
      <c r="T503" s="110" t="str">
        <f>IFERROR(VLOOKUP(B503,'02. MM-KLH'!$B$6:$T$823,19,0),"")</f>
        <v/>
      </c>
      <c r="U503" s="130"/>
    </row>
    <row r="504" ht="13.5" customHeight="1">
      <c r="A504" s="82" t="s">
        <v>76</v>
      </c>
      <c r="B504" s="83" t="s">
        <v>1561</v>
      </c>
      <c r="C504" s="85">
        <f>COUNTA(B505:B534)</f>
        <v>29</v>
      </c>
      <c r="D504" s="85" t="str">
        <f>IFERROR(VLOOKUP(B504,'02. MM-KLH'!$B$6:$T$823,3,0),"")</f>
        <v/>
      </c>
      <c r="E504" s="85" t="str">
        <f>IFERROR(VLOOKUP(B504,'02. MM-KLH'!$B$6:$T$823,4,0),"")</f>
        <v/>
      </c>
      <c r="F504" s="85"/>
      <c r="G504" s="85" t="str">
        <f>IFERROR(VLOOKUP(B504,'02. MM-KLH'!$B$6:$T$823,6,0),"")</f>
        <v/>
      </c>
      <c r="H504" s="85"/>
      <c r="I504" s="85" t="str">
        <f>IFERROR(VLOOKUP(B504,'02. MM-KLH'!$B$6:$T$823,8,0),"")</f>
        <v/>
      </c>
      <c r="J504" s="85" t="str">
        <f>IFERROR(VLOOKUP(B504,'02. MM-KLH'!$B$6:$T$823,9,0),"")</f>
        <v/>
      </c>
      <c r="K504" s="85" t="str">
        <f>IFERROR(VLOOKUP(B504,'02. MM-KLH'!$B$6:$T$823,10,0),"")</f>
        <v/>
      </c>
      <c r="L504" s="85" t="str">
        <f>IFERROR(VLOOKUP(B504,'02. MM-KLH'!$B$6:$T$823,11,0),"")</f>
        <v/>
      </c>
      <c r="M504" s="85" t="str">
        <f>IFERROR(VLOOKUP(B504,'02. MM-KLH'!$B$6:$T$823,12,0),"")</f>
        <v/>
      </c>
      <c r="N504" s="85" t="str">
        <f>IFERROR(VLOOKUP(B504,'02. MM-KLH'!$B$6:$T$823,13,0),"")</f>
        <v/>
      </c>
      <c r="O504" s="85" t="str">
        <f>IFERROR(VLOOKUP(B504,'02. MM-KLH'!$B$6:$T$823,14,0),"")</f>
        <v/>
      </c>
      <c r="P504" s="85" t="str">
        <f>IFERROR(VLOOKUP(B504,'02. MM-KLH'!$B$6:$T$823,15,0),"")</f>
        <v/>
      </c>
      <c r="Q504" s="85" t="str">
        <f>IFERROR(VLOOKUP(B504,'02. MM-KLH'!$B$6:$T$823,16,0),"")</f>
        <v/>
      </c>
      <c r="R504" s="85" t="str">
        <f>IFERROR(VLOOKUP(B504,'02. MM-KLH'!$B$6:$T$823,17,0),"")</f>
        <v/>
      </c>
      <c r="S504" s="85" t="str">
        <f>IFERROR(VLOOKUP(B504,'02. MM-KLH'!$B$6:$T$823,18,0),"")</f>
        <v/>
      </c>
      <c r="T504" s="85" t="str">
        <f>IFERROR(VLOOKUP(B504,'02. MM-KLH'!$B$6:$T$823,19,0),"")</f>
        <v/>
      </c>
      <c r="U504" s="85" t="str">
        <f>IFERROR(VLOOKUP(C504,'02. MM-KLH'!$B$6:$T$823,19,0),"")</f>
        <v/>
      </c>
    </row>
    <row r="505" ht="30.75" customHeight="1">
      <c r="A505" s="80">
        <v>1.0</v>
      </c>
      <c r="B505" s="115" t="s">
        <v>1301</v>
      </c>
      <c r="C505" s="84" t="str">
        <f>IFERROR(VLOOKUP(B505,'02. MM-KLH'!$B$6:$T$823,2,0),"")</f>
        <v>XD3-CLT-005</v>
      </c>
      <c r="D505" s="95" t="str">
        <f>IFERROR(VLOOKUP(B505,'02. MM-KLH'!$B$6:$T$823,3,0),"")</f>
        <v>A23-CLT-015</v>
      </c>
      <c r="E505" s="86" t="str">
        <f>IFERROR(VLOOKUP(B505,'02. MM-KLH'!$B$6:$T$823,4,0),"")</f>
        <v/>
      </c>
      <c r="F505" s="115" t="s">
        <v>5912</v>
      </c>
      <c r="G505" s="86" t="str">
        <f>IFERROR(VLOOKUP(B505,'02. MM-KLH'!$B$6:$T$823,6,0),"")</f>
        <v>Xe clethon</v>
      </c>
      <c r="H505" s="80" t="s">
        <v>5913</v>
      </c>
      <c r="I505" s="80" t="str">
        <f>IFERROR(VLOOKUP(B505,'02. MM-KLH'!$B$6:$T$823,8,0),"")</f>
        <v>XN Chuối LP1</v>
      </c>
      <c r="J505" s="99" t="str">
        <f>IFERROR(VLOOKUP(B505,'02. MM-KLH'!$B$6:$T$823,9,0),"")</f>
        <v>29/07/2025</v>
      </c>
      <c r="K505" s="80" t="str">
        <f>IFERROR(VLOOKUP(B505,'02. MM-KLH'!$B$6:$T$823,10,0),"")</f>
        <v>Bình thường</v>
      </c>
      <c r="L505" s="102" t="str">
        <f>IFERROR(VLOOKUP(B505,'02. MM-KLH'!$B$6:$T$823,11,0),"")</f>
        <v/>
      </c>
      <c r="M505" s="143" t="str">
        <f>IFERROR(VLOOKUP(B505,'02. MM-KLH'!$B$6:$T$823,12,0),"")</f>
        <v>Đầu tư mới (24/07/2025)
- DP3 Đ.chuyển LP1 ngày 29/07/2025</v>
      </c>
      <c r="N505" s="108" t="str">
        <f>IFERROR(VLOOKUP(B505,'02. MM-KLH'!$B$6:$T$823,13,0),"")</f>
        <v>YANMAR</v>
      </c>
      <c r="O505" s="108" t="str">
        <f>IFERROR(VLOOKUP(B505,'02. MM-KLH'!$B$6:$T$823,14,0),"")</f>
        <v>INDONESIA</v>
      </c>
      <c r="P505" s="80">
        <f>IFERROR(VLOOKUP(B505,'02. MM-KLH'!$B$6:$T$823,15,0),"")</f>
        <v>2022</v>
      </c>
      <c r="Q505" s="80" t="str">
        <f>IFERROR(VLOOKUP(B505,'02. MM-KLH'!$B$6:$T$823,16,0),"")</f>
        <v>TF150NL-PR2</v>
      </c>
      <c r="R505" s="106" t="str">
        <f>IFERROR(VLOOKUP(B505,'02. MM-KLH'!$B$6:$T$823,17,0),"")</f>
        <v>15HP</v>
      </c>
      <c r="S505" s="108">
        <f>IFERROR(VLOOKUP(B505,'02. MM-KLH'!$B$6:$T$823,18,0),"")</f>
        <v>203084</v>
      </c>
      <c r="T505" s="110" t="str">
        <f>IFERROR(VLOOKUP(B505,'02. MM-KLH'!$B$6:$T$823,19,0),"")</f>
        <v>B2212L</v>
      </c>
      <c r="U505" s="130" t="s">
        <v>2301</v>
      </c>
    </row>
    <row r="506" ht="13.5" customHeight="1">
      <c r="A506" s="80">
        <f t="shared" ref="A506:A533" si="24">A505+1</f>
        <v>2</v>
      </c>
      <c r="B506" s="115" t="s">
        <v>944</v>
      </c>
      <c r="C506" s="84" t="str">
        <f>IFERROR(VLOOKUP(B506,'02. MM-KLH'!$B$6:$T$823,2,0),"")</f>
        <v/>
      </c>
      <c r="D506" s="95" t="str">
        <f>IFERROR(VLOOKUP(B506,'02. MM-KLH'!$B$6:$T$823,3,0),"")</f>
        <v>A23-CLT-001</v>
      </c>
      <c r="E506" s="86" t="str">
        <f>IFERROR(VLOOKUP(B506,'02. MM-KLH'!$B$6:$T$823,4,0),"")</f>
        <v/>
      </c>
      <c r="F506" s="115" t="s">
        <v>5915</v>
      </c>
      <c r="G506" s="86" t="str">
        <f>IFERROR(VLOOKUP(B506,'02. MM-KLH'!$B$6:$T$823,6,0),"")</f>
        <v>Xe clethon</v>
      </c>
      <c r="H506" s="80" t="s">
        <v>5913</v>
      </c>
      <c r="I506" s="80" t="str">
        <f>IFERROR(VLOOKUP(B506,'02. MM-KLH'!$B$6:$T$823,8,0),"")</f>
        <v>XN Chuối DP1</v>
      </c>
      <c r="J506" s="99" t="str">
        <f>IFERROR(VLOOKUP(B506,'02. MM-KLH'!$B$6:$T$823,9,0),"")</f>
        <v>24/07/2025</v>
      </c>
      <c r="K506" s="80" t="str">
        <f>IFERROR(VLOOKUP(B506,'02. MM-KLH'!$B$6:$T$823,10,0),"")</f>
        <v>Bình thường</v>
      </c>
      <c r="L506" s="102" t="str">
        <f>IFERROR(VLOOKUP(B506,'02. MM-KLH'!$B$6:$T$823,11,0),"")</f>
        <v/>
      </c>
      <c r="M506" s="143" t="str">
        <f>IFERROR(VLOOKUP(B506,'02. MM-KLH'!$B$6:$T$823,12,0),"")</f>
        <v>Đầu tư mới</v>
      </c>
      <c r="N506" s="108" t="str">
        <f>IFERROR(VLOOKUP(B506,'02. MM-KLH'!$B$6:$T$823,13,0),"")</f>
        <v>YANMAR</v>
      </c>
      <c r="O506" s="108" t="str">
        <f>IFERROR(VLOOKUP(B506,'02. MM-KLH'!$B$6:$T$823,14,0),"")</f>
        <v>INDONESIA</v>
      </c>
      <c r="P506" s="80">
        <f>IFERROR(VLOOKUP(B506,'02. MM-KLH'!$B$6:$T$823,15,0),"")</f>
        <v>2022</v>
      </c>
      <c r="Q506" s="80" t="str">
        <f>IFERROR(VLOOKUP(B506,'02. MM-KLH'!$B$6:$T$823,16,0),"")</f>
        <v>TF150NL-PR2</v>
      </c>
      <c r="R506" s="106" t="str">
        <f>IFERROR(VLOOKUP(B506,'02. MM-KLH'!$B$6:$T$823,17,0),"")</f>
        <v>15HP</v>
      </c>
      <c r="S506" s="108">
        <f>IFERROR(VLOOKUP(B506,'02. MM-KLH'!$B$6:$T$823,18,0),"")</f>
        <v>203065</v>
      </c>
      <c r="T506" s="110" t="str">
        <f>IFERROR(VLOOKUP(B506,'02. MM-KLH'!$B$6:$T$823,19,0),"")</f>
        <v>B1320M</v>
      </c>
      <c r="U506" s="130" t="s">
        <v>2301</v>
      </c>
    </row>
    <row r="507" ht="13.5" customHeight="1">
      <c r="A507" s="80">
        <f t="shared" si="24"/>
        <v>3</v>
      </c>
      <c r="B507" s="115" t="s">
        <v>952</v>
      </c>
      <c r="C507" s="84" t="str">
        <f>IFERROR(VLOOKUP(B507,'02. MM-KLH'!$B$6:$T$823,2,0),"")</f>
        <v/>
      </c>
      <c r="D507" s="95" t="str">
        <f>IFERROR(VLOOKUP(B507,'02. MM-KLH'!$B$6:$T$823,3,0),"")</f>
        <v>A23-CLT-002</v>
      </c>
      <c r="E507" s="86" t="str">
        <f>IFERROR(VLOOKUP(B507,'02. MM-KLH'!$B$6:$T$823,4,0),"")</f>
        <v/>
      </c>
      <c r="F507" s="115" t="s">
        <v>5916</v>
      </c>
      <c r="G507" s="86" t="str">
        <f>IFERROR(VLOOKUP(B507,'02. MM-KLH'!$B$6:$T$823,6,0),"")</f>
        <v>Xe clethon</v>
      </c>
      <c r="H507" s="80" t="s">
        <v>5913</v>
      </c>
      <c r="I507" s="80" t="str">
        <f>IFERROR(VLOOKUP(B507,'02. MM-KLH'!$B$6:$T$823,8,0),"")</f>
        <v>XN Chuối DP1</v>
      </c>
      <c r="J507" s="99" t="str">
        <f>IFERROR(VLOOKUP(B507,'02. MM-KLH'!$B$6:$T$823,9,0),"")</f>
        <v>24/07/2025</v>
      </c>
      <c r="K507" s="80" t="str">
        <f>IFERROR(VLOOKUP(B507,'02. MM-KLH'!$B$6:$T$823,10,0),"")</f>
        <v>Bình thường</v>
      </c>
      <c r="L507" s="102" t="str">
        <f>IFERROR(VLOOKUP(B507,'02. MM-KLH'!$B$6:$T$823,11,0),"")</f>
        <v/>
      </c>
      <c r="M507" s="143" t="str">
        <f>IFERROR(VLOOKUP(B507,'02. MM-KLH'!$B$6:$T$823,12,0),"")</f>
        <v>Đầu tư mới</v>
      </c>
      <c r="N507" s="108" t="str">
        <f>IFERROR(VLOOKUP(B507,'02. MM-KLH'!$B$6:$T$823,13,0),"")</f>
        <v>YANMAR</v>
      </c>
      <c r="O507" s="108" t="str">
        <f>IFERROR(VLOOKUP(B507,'02. MM-KLH'!$B$6:$T$823,14,0),"")</f>
        <v>INDONESIA</v>
      </c>
      <c r="P507" s="80">
        <f>IFERROR(VLOOKUP(B507,'02. MM-KLH'!$B$6:$T$823,15,0),"")</f>
        <v>2022</v>
      </c>
      <c r="Q507" s="80" t="str">
        <f>IFERROR(VLOOKUP(B507,'02. MM-KLH'!$B$6:$T$823,16,0),"")</f>
        <v>TF150NL-PR2</v>
      </c>
      <c r="R507" s="106" t="str">
        <f>IFERROR(VLOOKUP(B507,'02. MM-KLH'!$B$6:$T$823,17,0),"")</f>
        <v>15HP</v>
      </c>
      <c r="S507" s="108">
        <f>IFERROR(VLOOKUP(B507,'02. MM-KLH'!$B$6:$T$823,18,0),"")</f>
        <v>203175</v>
      </c>
      <c r="T507" s="110" t="str">
        <f>IFERROR(VLOOKUP(B507,'02. MM-KLH'!$B$6:$T$823,19,0),"")</f>
        <v>C0869C</v>
      </c>
      <c r="U507" s="130" t="s">
        <v>2301</v>
      </c>
    </row>
    <row r="508" ht="13.5" customHeight="1">
      <c r="A508" s="80">
        <f t="shared" si="24"/>
        <v>4</v>
      </c>
      <c r="B508" s="115" t="s">
        <v>955</v>
      </c>
      <c r="C508" s="84" t="str">
        <f>IFERROR(VLOOKUP(B508,'02. MM-KLH'!$B$6:$T$823,2,0),"")</f>
        <v/>
      </c>
      <c r="D508" s="95" t="str">
        <f>IFERROR(VLOOKUP(B508,'02. MM-KLH'!$B$6:$T$823,3,0),"")</f>
        <v>A23-CLT-003</v>
      </c>
      <c r="E508" s="86" t="str">
        <f>IFERROR(VLOOKUP(B508,'02. MM-KLH'!$B$6:$T$823,4,0),"")</f>
        <v/>
      </c>
      <c r="F508" s="115" t="s">
        <v>5917</v>
      </c>
      <c r="G508" s="86" t="str">
        <f>IFERROR(VLOOKUP(B508,'02. MM-KLH'!$B$6:$T$823,6,0),"")</f>
        <v>Xe clethon</v>
      </c>
      <c r="H508" s="80" t="s">
        <v>5913</v>
      </c>
      <c r="I508" s="80" t="str">
        <f>IFERROR(VLOOKUP(B508,'02. MM-KLH'!$B$6:$T$823,8,0),"")</f>
        <v>XN Chuối DP1</v>
      </c>
      <c r="J508" s="99" t="str">
        <f>IFERROR(VLOOKUP(B508,'02. MM-KLH'!$B$6:$T$823,9,0),"")</f>
        <v>24/07/2025</v>
      </c>
      <c r="K508" s="80" t="str">
        <f>IFERROR(VLOOKUP(B508,'02. MM-KLH'!$B$6:$T$823,10,0),"")</f>
        <v>Bình thường</v>
      </c>
      <c r="L508" s="102" t="str">
        <f>IFERROR(VLOOKUP(B508,'02. MM-KLH'!$B$6:$T$823,11,0),"")</f>
        <v/>
      </c>
      <c r="M508" s="143" t="str">
        <f>IFERROR(VLOOKUP(B508,'02. MM-KLH'!$B$6:$T$823,12,0),"")</f>
        <v>Đầu tư mới</v>
      </c>
      <c r="N508" s="108" t="str">
        <f>IFERROR(VLOOKUP(B508,'02. MM-KLH'!$B$6:$T$823,13,0),"")</f>
        <v>YANMAR</v>
      </c>
      <c r="O508" s="108" t="str">
        <f>IFERROR(VLOOKUP(B508,'02. MM-KLH'!$B$6:$T$823,14,0),"")</f>
        <v>INDONESIA</v>
      </c>
      <c r="P508" s="80">
        <f>IFERROR(VLOOKUP(B508,'02. MM-KLH'!$B$6:$T$823,15,0),"")</f>
        <v>2022</v>
      </c>
      <c r="Q508" s="80" t="str">
        <f>IFERROR(VLOOKUP(B508,'02. MM-KLH'!$B$6:$T$823,16,0),"")</f>
        <v>TF150NL-PR2</v>
      </c>
      <c r="R508" s="106" t="str">
        <f>IFERROR(VLOOKUP(B508,'02. MM-KLH'!$B$6:$T$823,17,0),"")</f>
        <v>15HP</v>
      </c>
      <c r="S508" s="108">
        <f>IFERROR(VLOOKUP(B508,'02. MM-KLH'!$B$6:$T$823,18,0),"")</f>
        <v>203079</v>
      </c>
      <c r="T508" s="110" t="str">
        <f>IFERROR(VLOOKUP(B508,'02. MM-KLH'!$B$6:$T$823,19,0),"")</f>
        <v>B2167L</v>
      </c>
      <c r="U508" s="130" t="s">
        <v>2301</v>
      </c>
    </row>
    <row r="509" ht="13.5" customHeight="1">
      <c r="A509" s="80">
        <f t="shared" si="24"/>
        <v>5</v>
      </c>
      <c r="B509" s="115" t="s">
        <v>958</v>
      </c>
      <c r="C509" s="84" t="str">
        <f>IFERROR(VLOOKUP(B509,'02. MM-KLH'!$B$6:$T$823,2,0),"")</f>
        <v/>
      </c>
      <c r="D509" s="95" t="str">
        <f>IFERROR(VLOOKUP(B509,'02. MM-KLH'!$B$6:$T$823,3,0),"")</f>
        <v>A23-CLT-004</v>
      </c>
      <c r="E509" s="86" t="str">
        <f>IFERROR(VLOOKUP(B509,'02. MM-KLH'!$B$6:$T$823,4,0),"")</f>
        <v/>
      </c>
      <c r="F509" s="115" t="s">
        <v>5918</v>
      </c>
      <c r="G509" s="86" t="str">
        <f>IFERROR(VLOOKUP(B509,'02. MM-KLH'!$B$6:$T$823,6,0),"")</f>
        <v>Xe clethon</v>
      </c>
      <c r="H509" s="80" t="s">
        <v>5913</v>
      </c>
      <c r="I509" s="80" t="str">
        <f>IFERROR(VLOOKUP(B509,'02. MM-KLH'!$B$6:$T$823,8,0),"")</f>
        <v>XN Chuối DP1</v>
      </c>
      <c r="J509" s="99" t="str">
        <f>IFERROR(VLOOKUP(B509,'02. MM-KLH'!$B$6:$T$823,9,0),"")</f>
        <v>24/07/2025</v>
      </c>
      <c r="K509" s="80" t="str">
        <f>IFERROR(VLOOKUP(B509,'02. MM-KLH'!$B$6:$T$823,10,0),"")</f>
        <v>Bình thường</v>
      </c>
      <c r="L509" s="102" t="str">
        <f>IFERROR(VLOOKUP(B509,'02. MM-KLH'!$B$6:$T$823,11,0),"")</f>
        <v/>
      </c>
      <c r="M509" s="143" t="str">
        <f>IFERROR(VLOOKUP(B509,'02. MM-KLH'!$B$6:$T$823,12,0),"")</f>
        <v>Đầu tư mới</v>
      </c>
      <c r="N509" s="108" t="str">
        <f>IFERROR(VLOOKUP(B509,'02. MM-KLH'!$B$6:$T$823,13,0),"")</f>
        <v>YANMAR</v>
      </c>
      <c r="O509" s="108" t="str">
        <f>IFERROR(VLOOKUP(B509,'02. MM-KLH'!$B$6:$T$823,14,0),"")</f>
        <v>INDONESIA</v>
      </c>
      <c r="P509" s="80">
        <f>IFERROR(VLOOKUP(B509,'02. MM-KLH'!$B$6:$T$823,15,0),"")</f>
        <v>2022</v>
      </c>
      <c r="Q509" s="80" t="str">
        <f>IFERROR(VLOOKUP(B509,'02. MM-KLH'!$B$6:$T$823,16,0),"")</f>
        <v>TF150NL-PR2</v>
      </c>
      <c r="R509" s="106" t="str">
        <f>IFERROR(VLOOKUP(B509,'02. MM-KLH'!$B$6:$T$823,17,0),"")</f>
        <v>15HP</v>
      </c>
      <c r="S509" s="108">
        <f>IFERROR(VLOOKUP(B509,'02. MM-KLH'!$B$6:$T$823,18,0),"")</f>
        <v>203080</v>
      </c>
      <c r="T509" s="110" t="str">
        <f>IFERROR(VLOOKUP(B509,'02. MM-KLH'!$B$6:$T$823,19,0),"")</f>
        <v>C0845C</v>
      </c>
      <c r="U509" s="130" t="s">
        <v>2301</v>
      </c>
    </row>
    <row r="510" ht="13.5" customHeight="1">
      <c r="A510" s="80">
        <f t="shared" si="24"/>
        <v>6</v>
      </c>
      <c r="B510" s="115" t="s">
        <v>961</v>
      </c>
      <c r="C510" s="84" t="str">
        <f>IFERROR(VLOOKUP(B510,'02. MM-KLH'!$B$6:$T$823,2,0),"")</f>
        <v/>
      </c>
      <c r="D510" s="95" t="str">
        <f>IFERROR(VLOOKUP(B510,'02. MM-KLH'!$B$6:$T$823,3,0),"")</f>
        <v>A23-CLT-005</v>
      </c>
      <c r="E510" s="86" t="str">
        <f>IFERROR(VLOOKUP(B510,'02. MM-KLH'!$B$6:$T$823,4,0),"")</f>
        <v/>
      </c>
      <c r="F510" s="115" t="s">
        <v>5921</v>
      </c>
      <c r="G510" s="86" t="str">
        <f>IFERROR(VLOOKUP(B510,'02. MM-KLH'!$B$6:$T$823,6,0),"")</f>
        <v>Xe clethon</v>
      </c>
      <c r="H510" s="80" t="s">
        <v>5913</v>
      </c>
      <c r="I510" s="80" t="str">
        <f>IFERROR(VLOOKUP(B510,'02. MM-KLH'!$B$6:$T$823,8,0),"")</f>
        <v>XN Chuối DP1</v>
      </c>
      <c r="J510" s="99" t="str">
        <f>IFERROR(VLOOKUP(B510,'02. MM-KLH'!$B$6:$T$823,9,0),"")</f>
        <v>24/07/2025</v>
      </c>
      <c r="K510" s="80" t="str">
        <f>IFERROR(VLOOKUP(B510,'02. MM-KLH'!$B$6:$T$823,10,0),"")</f>
        <v>Bình thường</v>
      </c>
      <c r="L510" s="102" t="str">
        <f>IFERROR(VLOOKUP(B510,'02. MM-KLH'!$B$6:$T$823,11,0),"")</f>
        <v/>
      </c>
      <c r="M510" s="143" t="str">
        <f>IFERROR(VLOOKUP(B510,'02. MM-KLH'!$B$6:$T$823,12,0),"")</f>
        <v>Đầu tư mới</v>
      </c>
      <c r="N510" s="108" t="str">
        <f>IFERROR(VLOOKUP(B510,'02. MM-KLH'!$B$6:$T$823,13,0),"")</f>
        <v>YANMAR</v>
      </c>
      <c r="O510" s="108" t="str">
        <f>IFERROR(VLOOKUP(B510,'02. MM-KLH'!$B$6:$T$823,14,0),"")</f>
        <v>INDONESIA</v>
      </c>
      <c r="P510" s="80">
        <f>IFERROR(VLOOKUP(B510,'02. MM-KLH'!$B$6:$T$823,15,0),"")</f>
        <v>2022</v>
      </c>
      <c r="Q510" s="80" t="str">
        <f>IFERROR(VLOOKUP(B510,'02. MM-KLH'!$B$6:$T$823,16,0),"")</f>
        <v>TF150NL-PR2</v>
      </c>
      <c r="R510" s="106" t="str">
        <f>IFERROR(VLOOKUP(B510,'02. MM-KLH'!$B$6:$T$823,17,0),"")</f>
        <v>15HP</v>
      </c>
      <c r="S510" s="108">
        <f>IFERROR(VLOOKUP(B510,'02. MM-KLH'!$B$6:$T$823,18,0),"")</f>
        <v>203082</v>
      </c>
      <c r="T510" s="110" t="str">
        <f>IFERROR(VLOOKUP(B510,'02. MM-KLH'!$B$6:$T$823,19,0),"")</f>
        <v>B0518M</v>
      </c>
      <c r="U510" s="130" t="s">
        <v>2301</v>
      </c>
    </row>
    <row r="511" ht="13.5" customHeight="1">
      <c r="A511" s="80">
        <f t="shared" si="24"/>
        <v>7</v>
      </c>
      <c r="B511" s="115" t="s">
        <v>1074</v>
      </c>
      <c r="C511" s="84" t="str">
        <f>IFERROR(VLOOKUP(B511,'02. MM-KLH'!$B$6:$T$823,2,0),"")</f>
        <v/>
      </c>
      <c r="D511" s="95" t="str">
        <f>IFERROR(VLOOKUP(B511,'02. MM-KLH'!$B$6:$T$823,3,0),"")</f>
        <v>A23-CLT-006</v>
      </c>
      <c r="E511" s="86" t="str">
        <f>IFERROR(VLOOKUP(B511,'02. MM-KLH'!$B$6:$T$823,4,0),"")</f>
        <v/>
      </c>
      <c r="F511" s="115" t="s">
        <v>5922</v>
      </c>
      <c r="G511" s="86" t="str">
        <f>IFERROR(VLOOKUP(B511,'02. MM-KLH'!$B$6:$T$823,6,0),"")</f>
        <v>Xe clethon</v>
      </c>
      <c r="H511" s="80" t="s">
        <v>5913</v>
      </c>
      <c r="I511" s="80" t="str">
        <f>IFERROR(VLOOKUP(B511,'02. MM-KLH'!$B$6:$T$823,8,0),"")</f>
        <v>XN Chuối DP2</v>
      </c>
      <c r="J511" s="99" t="str">
        <f>IFERROR(VLOOKUP(B511,'02. MM-KLH'!$B$6:$T$823,9,0),"")</f>
        <v>24/07/2025</v>
      </c>
      <c r="K511" s="80" t="str">
        <f>IFERROR(VLOOKUP(B511,'02. MM-KLH'!$B$6:$T$823,10,0),"")</f>
        <v>Bình thường</v>
      </c>
      <c r="L511" s="102" t="str">
        <f>IFERROR(VLOOKUP(B511,'02. MM-KLH'!$B$6:$T$823,11,0),"")</f>
        <v/>
      </c>
      <c r="M511" s="143" t="str">
        <f>IFERROR(VLOOKUP(B511,'02. MM-KLH'!$B$6:$T$823,12,0),"")</f>
        <v>Đầu tư mới</v>
      </c>
      <c r="N511" s="108" t="str">
        <f>IFERROR(VLOOKUP(B511,'02. MM-KLH'!$B$6:$T$823,13,0),"")</f>
        <v>YANMAR</v>
      </c>
      <c r="O511" s="108" t="str">
        <f>IFERROR(VLOOKUP(B511,'02. MM-KLH'!$B$6:$T$823,14,0),"")</f>
        <v>INDONESIA</v>
      </c>
      <c r="P511" s="80">
        <f>IFERROR(VLOOKUP(B511,'02. MM-KLH'!$B$6:$T$823,15,0),"")</f>
        <v>2022</v>
      </c>
      <c r="Q511" s="80" t="str">
        <f>IFERROR(VLOOKUP(B511,'02. MM-KLH'!$B$6:$T$823,16,0),"")</f>
        <v>TF150NL-PR2</v>
      </c>
      <c r="R511" s="106" t="str">
        <f>IFERROR(VLOOKUP(B511,'02. MM-KLH'!$B$6:$T$823,17,0),"")</f>
        <v>15HP</v>
      </c>
      <c r="S511" s="108">
        <f>IFERROR(VLOOKUP(B511,'02. MM-KLH'!$B$6:$T$823,18,0),"")</f>
        <v>203050</v>
      </c>
      <c r="T511" s="110" t="str">
        <f>IFERROR(VLOOKUP(B511,'02. MM-KLH'!$B$6:$T$823,19,0),"")</f>
        <v>B2229L</v>
      </c>
      <c r="U511" s="130" t="s">
        <v>2301</v>
      </c>
    </row>
    <row r="512" ht="13.5" customHeight="1">
      <c r="A512" s="80">
        <f t="shared" si="24"/>
        <v>8</v>
      </c>
      <c r="B512" s="115" t="s">
        <v>1078</v>
      </c>
      <c r="C512" s="84" t="str">
        <f>IFERROR(VLOOKUP(B512,'02. MM-KLH'!$B$6:$T$823,2,0),"")</f>
        <v/>
      </c>
      <c r="D512" s="95" t="str">
        <f>IFERROR(VLOOKUP(B512,'02. MM-KLH'!$B$6:$T$823,3,0),"")</f>
        <v>A23-CLT-007</v>
      </c>
      <c r="E512" s="86" t="str">
        <f>IFERROR(VLOOKUP(B512,'02. MM-KLH'!$B$6:$T$823,4,0),"")</f>
        <v/>
      </c>
      <c r="F512" s="115" t="s">
        <v>5928</v>
      </c>
      <c r="G512" s="86" t="str">
        <f>IFERROR(VLOOKUP(B512,'02. MM-KLH'!$B$6:$T$823,6,0),"")</f>
        <v>Xe clethon</v>
      </c>
      <c r="H512" s="80" t="s">
        <v>5913</v>
      </c>
      <c r="I512" s="80" t="str">
        <f>IFERROR(VLOOKUP(B512,'02. MM-KLH'!$B$6:$T$823,8,0),"")</f>
        <v>XN Chuối DP2</v>
      </c>
      <c r="J512" s="99" t="str">
        <f>IFERROR(VLOOKUP(B512,'02. MM-KLH'!$B$6:$T$823,9,0),"")</f>
        <v>24/07/2025</v>
      </c>
      <c r="K512" s="80" t="str">
        <f>IFERROR(VLOOKUP(B512,'02. MM-KLH'!$B$6:$T$823,10,0),"")</f>
        <v>Bình thường</v>
      </c>
      <c r="L512" s="102" t="str">
        <f>IFERROR(VLOOKUP(B512,'02. MM-KLH'!$B$6:$T$823,11,0),"")</f>
        <v/>
      </c>
      <c r="M512" s="143" t="str">
        <f>IFERROR(VLOOKUP(B512,'02. MM-KLH'!$B$6:$T$823,12,0),"")</f>
        <v>Đầu tư mới</v>
      </c>
      <c r="N512" s="108" t="str">
        <f>IFERROR(VLOOKUP(B512,'02. MM-KLH'!$B$6:$T$823,13,0),"")</f>
        <v>YANMAR</v>
      </c>
      <c r="O512" s="108" t="str">
        <f>IFERROR(VLOOKUP(B512,'02. MM-KLH'!$B$6:$T$823,14,0),"")</f>
        <v>INDONESIA</v>
      </c>
      <c r="P512" s="80">
        <f>IFERROR(VLOOKUP(B512,'02. MM-KLH'!$B$6:$T$823,15,0),"")</f>
        <v>2022</v>
      </c>
      <c r="Q512" s="80" t="str">
        <f>IFERROR(VLOOKUP(B512,'02. MM-KLH'!$B$6:$T$823,16,0),"")</f>
        <v>TF150NL-PR2</v>
      </c>
      <c r="R512" s="106" t="str">
        <f>IFERROR(VLOOKUP(B512,'02. MM-KLH'!$B$6:$T$823,17,0),"")</f>
        <v>15HP</v>
      </c>
      <c r="S512" s="108">
        <f>IFERROR(VLOOKUP(B512,'02. MM-KLH'!$B$6:$T$823,18,0),"")</f>
        <v>203054</v>
      </c>
      <c r="T512" s="110" t="str">
        <f>IFERROR(VLOOKUP(B512,'02. MM-KLH'!$B$6:$T$823,19,0),"")</f>
        <v>B1314M</v>
      </c>
      <c r="U512" s="130" t="s">
        <v>2301</v>
      </c>
    </row>
    <row r="513" ht="13.5" customHeight="1">
      <c r="A513" s="80">
        <f t="shared" si="24"/>
        <v>9</v>
      </c>
      <c r="B513" s="115" t="s">
        <v>1081</v>
      </c>
      <c r="C513" s="84" t="str">
        <f>IFERROR(VLOOKUP(B513,'02. MM-KLH'!$B$6:$T$823,2,0),"")</f>
        <v/>
      </c>
      <c r="D513" s="95" t="str">
        <f>IFERROR(VLOOKUP(B513,'02. MM-KLH'!$B$6:$T$823,3,0),"")</f>
        <v>A23-CLT-008</v>
      </c>
      <c r="E513" s="86" t="str">
        <f>IFERROR(VLOOKUP(B513,'02. MM-KLH'!$B$6:$T$823,4,0),"")</f>
        <v/>
      </c>
      <c r="F513" s="115" t="s">
        <v>5932</v>
      </c>
      <c r="G513" s="86" t="str">
        <f>IFERROR(VLOOKUP(B513,'02. MM-KLH'!$B$6:$T$823,6,0),"")</f>
        <v>Xe clethon</v>
      </c>
      <c r="H513" s="80" t="s">
        <v>5913</v>
      </c>
      <c r="I513" s="80" t="str">
        <f>IFERROR(VLOOKUP(B513,'02. MM-KLH'!$B$6:$T$823,8,0),"")</f>
        <v>XN Chuối DP2</v>
      </c>
      <c r="J513" s="99" t="str">
        <f>IFERROR(VLOOKUP(B513,'02. MM-KLH'!$B$6:$T$823,9,0),"")</f>
        <v>24/07/2025</v>
      </c>
      <c r="K513" s="80" t="str">
        <f>IFERROR(VLOOKUP(B513,'02. MM-KLH'!$B$6:$T$823,10,0),"")</f>
        <v>Bình thường</v>
      </c>
      <c r="L513" s="102" t="str">
        <f>IFERROR(VLOOKUP(B513,'02. MM-KLH'!$B$6:$T$823,11,0),"")</f>
        <v/>
      </c>
      <c r="M513" s="143" t="str">
        <f>IFERROR(VLOOKUP(B513,'02. MM-KLH'!$B$6:$T$823,12,0),"")</f>
        <v>Đầu tư mới</v>
      </c>
      <c r="N513" s="108" t="str">
        <f>IFERROR(VLOOKUP(B513,'02. MM-KLH'!$B$6:$T$823,13,0),"")</f>
        <v>YANMAR</v>
      </c>
      <c r="O513" s="108" t="str">
        <f>IFERROR(VLOOKUP(B513,'02. MM-KLH'!$B$6:$T$823,14,0),"")</f>
        <v>INDONESIA</v>
      </c>
      <c r="P513" s="80">
        <f>IFERROR(VLOOKUP(B513,'02. MM-KLH'!$B$6:$T$823,15,0),"")</f>
        <v>2022</v>
      </c>
      <c r="Q513" s="80" t="str">
        <f>IFERROR(VLOOKUP(B513,'02. MM-KLH'!$B$6:$T$823,16,0),"")</f>
        <v>TF150NL-PR2</v>
      </c>
      <c r="R513" s="106" t="str">
        <f>IFERROR(VLOOKUP(B513,'02. MM-KLH'!$B$6:$T$823,17,0),"")</f>
        <v>15HP</v>
      </c>
      <c r="S513" s="108">
        <f>IFERROR(VLOOKUP(B513,'02. MM-KLH'!$B$6:$T$823,18,0),"")</f>
        <v>203068</v>
      </c>
      <c r="T513" s="110" t="str">
        <f>IFERROR(VLOOKUP(B513,'02. MM-KLH'!$B$6:$T$823,19,0),"")</f>
        <v>B2099L</v>
      </c>
      <c r="U513" s="130" t="s">
        <v>2301</v>
      </c>
    </row>
    <row r="514" ht="13.5" customHeight="1">
      <c r="A514" s="80">
        <f t="shared" si="24"/>
        <v>10</v>
      </c>
      <c r="B514" s="115" t="s">
        <v>1085</v>
      </c>
      <c r="C514" s="84" t="str">
        <f>IFERROR(VLOOKUP(B514,'02. MM-KLH'!$B$6:$T$823,2,0),"")</f>
        <v/>
      </c>
      <c r="D514" s="95" t="str">
        <f>IFERROR(VLOOKUP(B514,'02. MM-KLH'!$B$6:$T$823,3,0),"")</f>
        <v>A23-CLT-009</v>
      </c>
      <c r="E514" s="86" t="str">
        <f>IFERROR(VLOOKUP(B514,'02. MM-KLH'!$B$6:$T$823,4,0),"")</f>
        <v/>
      </c>
      <c r="F514" s="115" t="s">
        <v>5933</v>
      </c>
      <c r="G514" s="86" t="str">
        <f>IFERROR(VLOOKUP(B514,'02. MM-KLH'!$B$6:$T$823,6,0),"")</f>
        <v>Xe clethon</v>
      </c>
      <c r="H514" s="80" t="s">
        <v>5913</v>
      </c>
      <c r="I514" s="80" t="str">
        <f>IFERROR(VLOOKUP(B514,'02. MM-KLH'!$B$6:$T$823,8,0),"")</f>
        <v>XN Chuối DP2</v>
      </c>
      <c r="J514" s="99" t="str">
        <f>IFERROR(VLOOKUP(B514,'02. MM-KLH'!$B$6:$T$823,9,0),"")</f>
        <v>24/07/2025</v>
      </c>
      <c r="K514" s="80" t="str">
        <f>IFERROR(VLOOKUP(B514,'02. MM-KLH'!$B$6:$T$823,10,0),"")</f>
        <v>Bình thường</v>
      </c>
      <c r="L514" s="102" t="str">
        <f>IFERROR(VLOOKUP(B514,'02. MM-KLH'!$B$6:$T$823,11,0),"")</f>
        <v/>
      </c>
      <c r="M514" s="143" t="str">
        <f>IFERROR(VLOOKUP(B514,'02. MM-KLH'!$B$6:$T$823,12,0),"")</f>
        <v>Đầu tư mới</v>
      </c>
      <c r="N514" s="108" t="str">
        <f>IFERROR(VLOOKUP(B514,'02. MM-KLH'!$B$6:$T$823,13,0),"")</f>
        <v>YANMAR</v>
      </c>
      <c r="O514" s="108" t="str">
        <f>IFERROR(VLOOKUP(B514,'02. MM-KLH'!$B$6:$T$823,14,0),"")</f>
        <v>INDONESIA</v>
      </c>
      <c r="P514" s="80">
        <f>IFERROR(VLOOKUP(B514,'02. MM-KLH'!$B$6:$T$823,15,0),"")</f>
        <v>2022</v>
      </c>
      <c r="Q514" s="80" t="str">
        <f>IFERROR(VLOOKUP(B514,'02. MM-KLH'!$B$6:$T$823,16,0),"")</f>
        <v>TF150NL-PR2</v>
      </c>
      <c r="R514" s="106" t="str">
        <f>IFERROR(VLOOKUP(B514,'02. MM-KLH'!$B$6:$T$823,17,0),"")</f>
        <v>15HP</v>
      </c>
      <c r="S514" s="108">
        <f>IFERROR(VLOOKUP(B514,'02. MM-KLH'!$B$6:$T$823,18,0),"")</f>
        <v>203075</v>
      </c>
      <c r="T514" s="110" t="str">
        <f>IFERROR(VLOOKUP(B514,'02. MM-KLH'!$B$6:$T$823,19,0),"")</f>
        <v>B2151L</v>
      </c>
      <c r="U514" s="130" t="s">
        <v>2301</v>
      </c>
    </row>
    <row r="515" ht="13.5" customHeight="1">
      <c r="A515" s="80">
        <f t="shared" si="24"/>
        <v>11</v>
      </c>
      <c r="B515" s="115" t="s">
        <v>1088</v>
      </c>
      <c r="C515" s="84" t="str">
        <f>IFERROR(VLOOKUP(B515,'02. MM-KLH'!$B$6:$T$823,2,0),"")</f>
        <v/>
      </c>
      <c r="D515" s="95" t="str">
        <f>IFERROR(VLOOKUP(B515,'02. MM-KLH'!$B$6:$T$823,3,0),"")</f>
        <v>A23-CLT-010</v>
      </c>
      <c r="E515" s="86" t="str">
        <f>IFERROR(VLOOKUP(B515,'02. MM-KLH'!$B$6:$T$823,4,0),"")</f>
        <v/>
      </c>
      <c r="F515" s="115" t="s">
        <v>5935</v>
      </c>
      <c r="G515" s="86" t="str">
        <f>IFERROR(VLOOKUP(B515,'02. MM-KLH'!$B$6:$T$823,6,0),"")</f>
        <v>Xe clethon</v>
      </c>
      <c r="H515" s="80" t="s">
        <v>5913</v>
      </c>
      <c r="I515" s="80" t="str">
        <f>IFERROR(VLOOKUP(B515,'02. MM-KLH'!$B$6:$T$823,8,0),"")</f>
        <v>XN Chuối DP2</v>
      </c>
      <c r="J515" s="99" t="str">
        <f>IFERROR(VLOOKUP(B515,'02. MM-KLH'!$B$6:$T$823,9,0),"")</f>
        <v>24/07/2025</v>
      </c>
      <c r="K515" s="80" t="str">
        <f>IFERROR(VLOOKUP(B515,'02. MM-KLH'!$B$6:$T$823,10,0),"")</f>
        <v>Bình thường</v>
      </c>
      <c r="L515" s="102" t="str">
        <f>IFERROR(VLOOKUP(B515,'02. MM-KLH'!$B$6:$T$823,11,0),"")</f>
        <v/>
      </c>
      <c r="M515" s="143" t="str">
        <f>IFERROR(VLOOKUP(B515,'02. MM-KLH'!$B$6:$T$823,12,0),"")</f>
        <v>Đầu tư mới</v>
      </c>
      <c r="N515" s="108" t="str">
        <f>IFERROR(VLOOKUP(B515,'02. MM-KLH'!$B$6:$T$823,13,0),"")</f>
        <v>YANMAR</v>
      </c>
      <c r="O515" s="108" t="str">
        <f>IFERROR(VLOOKUP(B515,'02. MM-KLH'!$B$6:$T$823,14,0),"")</f>
        <v>INDONESIA</v>
      </c>
      <c r="P515" s="80">
        <f>IFERROR(VLOOKUP(B515,'02. MM-KLH'!$B$6:$T$823,15,0),"")</f>
        <v>2022</v>
      </c>
      <c r="Q515" s="80" t="str">
        <f>IFERROR(VLOOKUP(B515,'02. MM-KLH'!$B$6:$T$823,16,0),"")</f>
        <v>TF150NL-PR2</v>
      </c>
      <c r="R515" s="106" t="str">
        <f>IFERROR(VLOOKUP(B515,'02. MM-KLH'!$B$6:$T$823,17,0),"")</f>
        <v>15HP</v>
      </c>
      <c r="S515" s="108">
        <f>IFERROR(VLOOKUP(B515,'02. MM-KLH'!$B$6:$T$823,18,0),"")</f>
        <v>203086</v>
      </c>
      <c r="T515" s="110" t="str">
        <f>IFERROR(VLOOKUP(B515,'02. MM-KLH'!$B$6:$T$823,19,0),"")</f>
        <v>C0853C</v>
      </c>
      <c r="U515" s="130" t="s">
        <v>2301</v>
      </c>
    </row>
    <row r="516" ht="13.5" customHeight="1">
      <c r="A516" s="80">
        <f t="shared" si="24"/>
        <v>12</v>
      </c>
      <c r="B516" s="115" t="s">
        <v>1197</v>
      </c>
      <c r="C516" s="84" t="str">
        <f>IFERROR(VLOOKUP(B516,'02. MM-KLH'!$B$6:$T$823,2,0),"")</f>
        <v/>
      </c>
      <c r="D516" s="95" t="str">
        <f>IFERROR(VLOOKUP(B516,'02. MM-KLH'!$B$6:$T$823,3,0),"")</f>
        <v>A23-CLT-011</v>
      </c>
      <c r="E516" s="86" t="str">
        <f>IFERROR(VLOOKUP(B516,'02. MM-KLH'!$B$6:$T$823,4,0),"")</f>
        <v/>
      </c>
      <c r="F516" s="115" t="s">
        <v>5936</v>
      </c>
      <c r="G516" s="86" t="str">
        <f>IFERROR(VLOOKUP(B516,'02. MM-KLH'!$B$6:$T$823,6,0),"")</f>
        <v>Xe clethon</v>
      </c>
      <c r="H516" s="80" t="s">
        <v>5913</v>
      </c>
      <c r="I516" s="80" t="str">
        <f>IFERROR(VLOOKUP(B516,'02. MM-KLH'!$B$6:$T$823,8,0),"")</f>
        <v>XN Chuối DP3</v>
      </c>
      <c r="J516" s="99" t="str">
        <f>IFERROR(VLOOKUP(B516,'02. MM-KLH'!$B$6:$T$823,9,0),"")</f>
        <v>24/07/2025</v>
      </c>
      <c r="K516" s="80" t="str">
        <f>IFERROR(VLOOKUP(B516,'02. MM-KLH'!$B$6:$T$823,10,0),"")</f>
        <v>Bình thường</v>
      </c>
      <c r="L516" s="102" t="str">
        <f>IFERROR(VLOOKUP(B516,'02. MM-KLH'!$B$6:$T$823,11,0),"")</f>
        <v/>
      </c>
      <c r="M516" s="143" t="str">
        <f>IFERROR(VLOOKUP(B516,'02. MM-KLH'!$B$6:$T$823,12,0),"")</f>
        <v>Đầu tư mới</v>
      </c>
      <c r="N516" s="108" t="str">
        <f>IFERROR(VLOOKUP(B516,'02. MM-KLH'!$B$6:$T$823,13,0),"")</f>
        <v>YANMAR</v>
      </c>
      <c r="O516" s="108" t="str">
        <f>IFERROR(VLOOKUP(B516,'02. MM-KLH'!$B$6:$T$823,14,0),"")</f>
        <v>INDONESIA</v>
      </c>
      <c r="P516" s="80">
        <f>IFERROR(VLOOKUP(B516,'02. MM-KLH'!$B$6:$T$823,15,0),"")</f>
        <v>2022</v>
      </c>
      <c r="Q516" s="80" t="str">
        <f>IFERROR(VLOOKUP(B516,'02. MM-KLH'!$B$6:$T$823,16,0),"")</f>
        <v>TF150NL-PR2</v>
      </c>
      <c r="R516" s="106" t="str">
        <f>IFERROR(VLOOKUP(B516,'02. MM-KLH'!$B$6:$T$823,17,0),"")</f>
        <v>15HP</v>
      </c>
      <c r="S516" s="108">
        <f>IFERROR(VLOOKUP(B516,'02. MM-KLH'!$B$6:$T$823,18,0),"")</f>
        <v>203055</v>
      </c>
      <c r="T516" s="110" t="str">
        <f>IFERROR(VLOOKUP(B516,'02. MM-KLH'!$B$6:$T$823,19,0),"")</f>
        <v>B1541L</v>
      </c>
      <c r="U516" s="130" t="s">
        <v>2301</v>
      </c>
    </row>
    <row r="517" ht="13.5" customHeight="1">
      <c r="A517" s="80">
        <f t="shared" si="24"/>
        <v>13</v>
      </c>
      <c r="B517" s="115" t="s">
        <v>1200</v>
      </c>
      <c r="C517" s="84" t="str">
        <f>IFERROR(VLOOKUP(B517,'02. MM-KLH'!$B$6:$T$823,2,0),"")</f>
        <v/>
      </c>
      <c r="D517" s="95" t="str">
        <f>IFERROR(VLOOKUP(B517,'02. MM-KLH'!$B$6:$T$823,3,0),"")</f>
        <v>A23-CLT-012</v>
      </c>
      <c r="E517" s="86" t="str">
        <f>IFERROR(VLOOKUP(B517,'02. MM-KLH'!$B$6:$T$823,4,0),"")</f>
        <v/>
      </c>
      <c r="F517" s="115" t="s">
        <v>5936</v>
      </c>
      <c r="G517" s="86" t="str">
        <f>IFERROR(VLOOKUP(B517,'02. MM-KLH'!$B$6:$T$823,6,0),"")</f>
        <v>Xe clethon</v>
      </c>
      <c r="H517" s="80" t="s">
        <v>5913</v>
      </c>
      <c r="I517" s="80" t="str">
        <f>IFERROR(VLOOKUP(B517,'02. MM-KLH'!$B$6:$T$823,8,0),"")</f>
        <v>XN Chuối DP3</v>
      </c>
      <c r="J517" s="99" t="str">
        <f>IFERROR(VLOOKUP(B517,'02. MM-KLH'!$B$6:$T$823,9,0),"")</f>
        <v>24/07/2025</v>
      </c>
      <c r="K517" s="80" t="str">
        <f>IFERROR(VLOOKUP(B517,'02. MM-KLH'!$B$6:$T$823,10,0),"")</f>
        <v>Bình thường</v>
      </c>
      <c r="L517" s="102" t="str">
        <f>IFERROR(VLOOKUP(B517,'02. MM-KLH'!$B$6:$T$823,11,0),"")</f>
        <v/>
      </c>
      <c r="M517" s="143" t="str">
        <f>IFERROR(VLOOKUP(B517,'02. MM-KLH'!$B$6:$T$823,12,0),"")</f>
        <v>Đầu tư mới</v>
      </c>
      <c r="N517" s="108" t="str">
        <f>IFERROR(VLOOKUP(B517,'02. MM-KLH'!$B$6:$T$823,13,0),"")</f>
        <v>YANMAR</v>
      </c>
      <c r="O517" s="108" t="str">
        <f>IFERROR(VLOOKUP(B517,'02. MM-KLH'!$B$6:$T$823,14,0),"")</f>
        <v>INDONESIA</v>
      </c>
      <c r="P517" s="80">
        <f>IFERROR(VLOOKUP(B517,'02. MM-KLH'!$B$6:$T$823,15,0),"")</f>
        <v>2022</v>
      </c>
      <c r="Q517" s="80" t="str">
        <f>IFERROR(VLOOKUP(B517,'02. MM-KLH'!$B$6:$T$823,16,0),"")</f>
        <v>TF150NL-PR2</v>
      </c>
      <c r="R517" s="106" t="str">
        <f>IFERROR(VLOOKUP(B517,'02. MM-KLH'!$B$6:$T$823,17,0),"")</f>
        <v>15HP</v>
      </c>
      <c r="S517" s="108">
        <f>IFERROR(VLOOKUP(B517,'02. MM-KLH'!$B$6:$T$823,18,0),"")</f>
        <v>203059</v>
      </c>
      <c r="T517" s="110" t="str">
        <f>IFERROR(VLOOKUP(B517,'02. MM-KLH'!$B$6:$T$823,19,0),"")</f>
        <v>B2128L</v>
      </c>
      <c r="U517" s="130" t="s">
        <v>2301</v>
      </c>
    </row>
    <row r="518" ht="13.5" customHeight="1">
      <c r="A518" s="80">
        <f t="shared" si="24"/>
        <v>14</v>
      </c>
      <c r="B518" s="115" t="s">
        <v>1203</v>
      </c>
      <c r="C518" s="84" t="str">
        <f>IFERROR(VLOOKUP(B518,'02. MM-KLH'!$B$6:$T$823,2,0),"")</f>
        <v/>
      </c>
      <c r="D518" s="95" t="str">
        <f>IFERROR(VLOOKUP(B518,'02. MM-KLH'!$B$6:$T$823,3,0),"")</f>
        <v>A23-CLT-013</v>
      </c>
      <c r="E518" s="86" t="str">
        <f>IFERROR(VLOOKUP(B518,'02. MM-KLH'!$B$6:$T$823,4,0),"")</f>
        <v/>
      </c>
      <c r="F518" s="115" t="s">
        <v>5938</v>
      </c>
      <c r="G518" s="86" t="str">
        <f>IFERROR(VLOOKUP(B518,'02. MM-KLH'!$B$6:$T$823,6,0),"")</f>
        <v>Xe clethon</v>
      </c>
      <c r="H518" s="80" t="s">
        <v>5913</v>
      </c>
      <c r="I518" s="80" t="str">
        <f>IFERROR(VLOOKUP(B518,'02. MM-KLH'!$B$6:$T$823,8,0),"")</f>
        <v>XN Chuối DP3</v>
      </c>
      <c r="J518" s="99" t="str">
        <f>IFERROR(VLOOKUP(B518,'02. MM-KLH'!$B$6:$T$823,9,0),"")</f>
        <v>24/07/2025</v>
      </c>
      <c r="K518" s="80" t="str">
        <f>IFERROR(VLOOKUP(B518,'02. MM-KLH'!$B$6:$T$823,10,0),"")</f>
        <v>Bình thường</v>
      </c>
      <c r="L518" s="102" t="str">
        <f>IFERROR(VLOOKUP(B518,'02. MM-KLH'!$B$6:$T$823,11,0),"")</f>
        <v/>
      </c>
      <c r="M518" s="143" t="str">
        <f>IFERROR(VLOOKUP(B518,'02. MM-KLH'!$B$6:$T$823,12,0),"")</f>
        <v>Đầu tư mới</v>
      </c>
      <c r="N518" s="108" t="str">
        <f>IFERROR(VLOOKUP(B518,'02. MM-KLH'!$B$6:$T$823,13,0),"")</f>
        <v>YANMAR</v>
      </c>
      <c r="O518" s="108" t="str">
        <f>IFERROR(VLOOKUP(B518,'02. MM-KLH'!$B$6:$T$823,14,0),"")</f>
        <v>INDONESIA</v>
      </c>
      <c r="P518" s="80">
        <f>IFERROR(VLOOKUP(B518,'02. MM-KLH'!$B$6:$T$823,15,0),"")</f>
        <v>2022</v>
      </c>
      <c r="Q518" s="80" t="str">
        <f>IFERROR(VLOOKUP(B518,'02. MM-KLH'!$B$6:$T$823,16,0),"")</f>
        <v>TF150NL-PR2</v>
      </c>
      <c r="R518" s="106" t="str">
        <f>IFERROR(VLOOKUP(B518,'02. MM-KLH'!$B$6:$T$823,17,0),"")</f>
        <v>15HP</v>
      </c>
      <c r="S518" s="108">
        <f>IFERROR(VLOOKUP(B518,'02. MM-KLH'!$B$6:$T$823,18,0),"")</f>
        <v>203061</v>
      </c>
      <c r="T518" s="110" t="str">
        <f>IFERROR(VLOOKUP(B518,'02. MM-KLH'!$B$6:$T$823,19,0),"")</f>
        <v>B1316M</v>
      </c>
      <c r="U518" s="130" t="s">
        <v>2301</v>
      </c>
    </row>
    <row r="519" ht="13.5" customHeight="1">
      <c r="A519" s="80">
        <f t="shared" si="24"/>
        <v>15</v>
      </c>
      <c r="B519" s="115" t="s">
        <v>1206</v>
      </c>
      <c r="C519" s="84" t="str">
        <f>IFERROR(VLOOKUP(B519,'02. MM-KLH'!$B$6:$T$823,2,0),"")</f>
        <v/>
      </c>
      <c r="D519" s="95" t="str">
        <f>IFERROR(VLOOKUP(B519,'02. MM-KLH'!$B$6:$T$823,3,0),"")</f>
        <v>A23-CLT-014</v>
      </c>
      <c r="E519" s="86" t="str">
        <f>IFERROR(VLOOKUP(B519,'02. MM-KLH'!$B$6:$T$823,4,0),"")</f>
        <v/>
      </c>
      <c r="F519" s="115" t="s">
        <v>5939</v>
      </c>
      <c r="G519" s="86" t="str">
        <f>IFERROR(VLOOKUP(B519,'02. MM-KLH'!$B$6:$T$823,6,0),"")</f>
        <v>Xe clethon</v>
      </c>
      <c r="H519" s="80" t="s">
        <v>5913</v>
      </c>
      <c r="I519" s="80" t="str">
        <f>IFERROR(VLOOKUP(B519,'02. MM-KLH'!$B$6:$T$823,8,0),"")</f>
        <v>XN Chuối DP3</v>
      </c>
      <c r="J519" s="99" t="str">
        <f>IFERROR(VLOOKUP(B519,'02. MM-KLH'!$B$6:$T$823,9,0),"")</f>
        <v>24/07/2025</v>
      </c>
      <c r="K519" s="80" t="str">
        <f>IFERROR(VLOOKUP(B519,'02. MM-KLH'!$B$6:$T$823,10,0),"")</f>
        <v>Bình thường</v>
      </c>
      <c r="L519" s="102" t="str">
        <f>IFERROR(VLOOKUP(B519,'02. MM-KLH'!$B$6:$T$823,11,0),"")</f>
        <v/>
      </c>
      <c r="M519" s="143" t="str">
        <f>IFERROR(VLOOKUP(B519,'02. MM-KLH'!$B$6:$T$823,12,0),"")</f>
        <v>Đầu tư mới</v>
      </c>
      <c r="N519" s="108" t="str">
        <f>IFERROR(VLOOKUP(B519,'02. MM-KLH'!$B$6:$T$823,13,0),"")</f>
        <v>YANMAR</v>
      </c>
      <c r="O519" s="108" t="str">
        <f>IFERROR(VLOOKUP(B519,'02. MM-KLH'!$B$6:$T$823,14,0),"")</f>
        <v>INDONESIA</v>
      </c>
      <c r="P519" s="80">
        <f>IFERROR(VLOOKUP(B519,'02. MM-KLH'!$B$6:$T$823,15,0),"")</f>
        <v>2022</v>
      </c>
      <c r="Q519" s="80" t="str">
        <f>IFERROR(VLOOKUP(B519,'02. MM-KLH'!$B$6:$T$823,16,0),"")</f>
        <v>TF150NL-PR2</v>
      </c>
      <c r="R519" s="106" t="str">
        <f>IFERROR(VLOOKUP(B519,'02. MM-KLH'!$B$6:$T$823,17,0),"")</f>
        <v>15HP</v>
      </c>
      <c r="S519" s="108">
        <f>IFERROR(VLOOKUP(B519,'02. MM-KLH'!$B$6:$T$823,18,0),"")</f>
        <v>203176</v>
      </c>
      <c r="T519" s="110" t="str">
        <f>IFERROR(VLOOKUP(B519,'02. MM-KLH'!$B$6:$T$823,19,0),"")</f>
        <v>C0870C</v>
      </c>
      <c r="U519" s="130" t="s">
        <v>2301</v>
      </c>
    </row>
    <row r="520" ht="13.5" customHeight="1">
      <c r="A520" s="80">
        <f t="shared" si="24"/>
        <v>16</v>
      </c>
      <c r="B520" s="115" t="s">
        <v>1496</v>
      </c>
      <c r="C520" s="84" t="str">
        <f>IFERROR(VLOOKUP(B520,'02. MM-KLH'!$B$6:$T$823,2,0),"")</f>
        <v/>
      </c>
      <c r="D520" s="95" t="str">
        <f>IFERROR(VLOOKUP(B520,'02. MM-KLH'!$B$6:$T$823,3,0),"")</f>
        <v>A24-CLT-001</v>
      </c>
      <c r="E520" s="86" t="str">
        <f>IFERROR(VLOOKUP(B520,'02. MM-KLH'!$B$6:$T$823,4,0),"")</f>
        <v/>
      </c>
      <c r="F520" s="115" t="s">
        <v>5942</v>
      </c>
      <c r="G520" s="86" t="str">
        <f>IFERROR(VLOOKUP(B520,'02. MM-KLH'!$B$6:$T$823,6,0),"")</f>
        <v>Xe clethon</v>
      </c>
      <c r="H520" s="80" t="s">
        <v>5913</v>
      </c>
      <c r="I520" s="80" t="str">
        <f>IFERROR(VLOOKUP(B520,'02. MM-KLH'!$B$6:$T$823,8,0),"")</f>
        <v>XN Chuối LP3</v>
      </c>
      <c r="J520" s="99" t="str">
        <f>IFERROR(VLOOKUP(B520,'02. MM-KLH'!$B$6:$T$823,9,0),"")</f>
        <v>24/07/2025</v>
      </c>
      <c r="K520" s="80" t="str">
        <f>IFERROR(VLOOKUP(B520,'02. MM-KLH'!$B$6:$T$823,10,0),"")</f>
        <v>Bình thường</v>
      </c>
      <c r="L520" s="102" t="str">
        <f>IFERROR(VLOOKUP(B520,'02. MM-KLH'!$B$6:$T$823,11,0),"")</f>
        <v/>
      </c>
      <c r="M520" s="143" t="str">
        <f>IFERROR(VLOOKUP(B520,'02. MM-KLH'!$B$6:$T$823,12,0),"")</f>
        <v>Đầu tư mới</v>
      </c>
      <c r="N520" s="108" t="str">
        <f>IFERROR(VLOOKUP(B520,'02. MM-KLH'!$B$6:$T$823,13,0),"")</f>
        <v>YANMAR</v>
      </c>
      <c r="O520" s="108" t="str">
        <f>IFERROR(VLOOKUP(B520,'02. MM-KLH'!$B$6:$T$823,14,0),"")</f>
        <v>INDONESIA</v>
      </c>
      <c r="P520" s="80">
        <f>IFERROR(VLOOKUP(B520,'02. MM-KLH'!$B$6:$T$823,15,0),"")</f>
        <v>2022</v>
      </c>
      <c r="Q520" s="80" t="str">
        <f>IFERROR(VLOOKUP(B520,'02. MM-KLH'!$B$6:$T$823,16,0),"")</f>
        <v>TF150NL-PR2</v>
      </c>
      <c r="R520" s="106" t="str">
        <f>IFERROR(VLOOKUP(B520,'02. MM-KLH'!$B$6:$T$823,17,0),"")</f>
        <v>15HP</v>
      </c>
      <c r="S520" s="108">
        <f>IFERROR(VLOOKUP(B520,'02. MM-KLH'!$B$6:$T$823,18,0),"")</f>
        <v>203063</v>
      </c>
      <c r="T520" s="110" t="str">
        <f>IFERROR(VLOOKUP(B520,'02. MM-KLH'!$B$6:$T$823,19,0),"")</f>
        <v>B2165L</v>
      </c>
      <c r="U520" s="130" t="s">
        <v>2301</v>
      </c>
    </row>
    <row r="521" ht="13.5" customHeight="1">
      <c r="A521" s="80">
        <f t="shared" si="24"/>
        <v>17</v>
      </c>
      <c r="B521" s="115" t="s">
        <v>1499</v>
      </c>
      <c r="C521" s="84" t="str">
        <f>IFERROR(VLOOKUP(B521,'02. MM-KLH'!$B$6:$T$823,2,0),"")</f>
        <v/>
      </c>
      <c r="D521" s="95" t="str">
        <f>IFERROR(VLOOKUP(B521,'02. MM-KLH'!$B$6:$T$823,3,0),"")</f>
        <v>A24-CLT-002</v>
      </c>
      <c r="E521" s="86" t="str">
        <f>IFERROR(VLOOKUP(B521,'02. MM-KLH'!$B$6:$T$823,4,0),"")</f>
        <v/>
      </c>
      <c r="F521" s="115" t="s">
        <v>5944</v>
      </c>
      <c r="G521" s="86" t="str">
        <f>IFERROR(VLOOKUP(B521,'02. MM-KLH'!$B$6:$T$823,6,0),"")</f>
        <v>Xe clethon</v>
      </c>
      <c r="H521" s="80" t="s">
        <v>5913</v>
      </c>
      <c r="I521" s="80" t="str">
        <f>IFERROR(VLOOKUP(B521,'02. MM-KLH'!$B$6:$T$823,8,0),"")</f>
        <v>XN Chuối LP3</v>
      </c>
      <c r="J521" s="99" t="str">
        <f>IFERROR(VLOOKUP(B521,'02. MM-KLH'!$B$6:$T$823,9,0),"")</f>
        <v>24/07/2025</v>
      </c>
      <c r="K521" s="80" t="str">
        <f>IFERROR(VLOOKUP(B521,'02. MM-KLH'!$B$6:$T$823,10,0),"")</f>
        <v>Bình thường</v>
      </c>
      <c r="L521" s="102" t="str">
        <f>IFERROR(VLOOKUP(B521,'02. MM-KLH'!$B$6:$T$823,11,0),"")</f>
        <v/>
      </c>
      <c r="M521" s="143" t="str">
        <f>IFERROR(VLOOKUP(B521,'02. MM-KLH'!$B$6:$T$823,12,0),"")</f>
        <v>Đầu tư mới</v>
      </c>
      <c r="N521" s="108" t="str">
        <f>IFERROR(VLOOKUP(B521,'02. MM-KLH'!$B$6:$T$823,13,0),"")</f>
        <v>YANMAR</v>
      </c>
      <c r="O521" s="108" t="str">
        <f>IFERROR(VLOOKUP(B521,'02. MM-KLH'!$B$6:$T$823,14,0),"")</f>
        <v>INDONESIA</v>
      </c>
      <c r="P521" s="80">
        <f>IFERROR(VLOOKUP(B521,'02. MM-KLH'!$B$6:$T$823,15,0),"")</f>
        <v>2022</v>
      </c>
      <c r="Q521" s="80" t="str">
        <f>IFERROR(VLOOKUP(B521,'02. MM-KLH'!$B$6:$T$823,16,0),"")</f>
        <v>TF150NL-PR2</v>
      </c>
      <c r="R521" s="106" t="str">
        <f>IFERROR(VLOOKUP(B521,'02. MM-KLH'!$B$6:$T$823,17,0),"")</f>
        <v>15HP</v>
      </c>
      <c r="S521" s="108">
        <f>IFERROR(VLOOKUP(B521,'02. MM-KLH'!$B$6:$T$823,18,0),"")</f>
        <v>203064</v>
      </c>
      <c r="T521" s="110" t="str">
        <f>IFERROR(VLOOKUP(B521,'02. MM-KLH'!$B$6:$T$823,19,0),"")</f>
        <v>B0516M</v>
      </c>
      <c r="U521" s="130" t="s">
        <v>2301</v>
      </c>
    </row>
    <row r="522" ht="13.5" customHeight="1">
      <c r="A522" s="80">
        <f t="shared" si="24"/>
        <v>18</v>
      </c>
      <c r="B522" s="115" t="s">
        <v>1504</v>
      </c>
      <c r="C522" s="84" t="str">
        <f>IFERROR(VLOOKUP(B522,'02. MM-KLH'!$B$6:$T$823,2,0),"")</f>
        <v/>
      </c>
      <c r="D522" s="95" t="str">
        <f>IFERROR(VLOOKUP(B522,'02. MM-KLH'!$B$6:$T$823,3,0),"")</f>
        <v>A24-CLT-003</v>
      </c>
      <c r="E522" s="86" t="str">
        <f>IFERROR(VLOOKUP(B522,'02. MM-KLH'!$B$6:$T$823,4,0),"")</f>
        <v/>
      </c>
      <c r="F522" s="115" t="s">
        <v>5946</v>
      </c>
      <c r="G522" s="86" t="str">
        <f>IFERROR(VLOOKUP(B522,'02. MM-KLH'!$B$6:$T$823,6,0),"")</f>
        <v>Xe clethon</v>
      </c>
      <c r="H522" s="80" t="s">
        <v>5913</v>
      </c>
      <c r="I522" s="80" t="str">
        <f>IFERROR(VLOOKUP(B522,'02. MM-KLH'!$B$6:$T$823,8,0),"")</f>
        <v>XN Chuối LP3</v>
      </c>
      <c r="J522" s="99" t="str">
        <f>IFERROR(VLOOKUP(B522,'02. MM-KLH'!$B$6:$T$823,9,0),"")</f>
        <v>24/07/2025</v>
      </c>
      <c r="K522" s="80" t="str">
        <f>IFERROR(VLOOKUP(B522,'02. MM-KLH'!$B$6:$T$823,10,0),"")</f>
        <v>Bình thường</v>
      </c>
      <c r="L522" s="102" t="str">
        <f>IFERROR(VLOOKUP(B522,'02. MM-KLH'!$B$6:$T$823,11,0),"")</f>
        <v/>
      </c>
      <c r="M522" s="143" t="str">
        <f>IFERROR(VLOOKUP(B522,'02. MM-KLH'!$B$6:$T$823,12,0),"")</f>
        <v>Đầu tư mới</v>
      </c>
      <c r="N522" s="108" t="str">
        <f>IFERROR(VLOOKUP(B522,'02. MM-KLH'!$B$6:$T$823,13,0),"")</f>
        <v>YANMAR</v>
      </c>
      <c r="O522" s="108" t="str">
        <f>IFERROR(VLOOKUP(B522,'02. MM-KLH'!$B$6:$T$823,14,0),"")</f>
        <v>INDONESIA</v>
      </c>
      <c r="P522" s="80">
        <f>IFERROR(VLOOKUP(B522,'02. MM-KLH'!$B$6:$T$823,15,0),"")</f>
        <v>2022</v>
      </c>
      <c r="Q522" s="80" t="str">
        <f>IFERROR(VLOOKUP(B522,'02. MM-KLH'!$B$6:$T$823,16,0),"")</f>
        <v>TF150NL-PR2</v>
      </c>
      <c r="R522" s="106" t="str">
        <f>IFERROR(VLOOKUP(B522,'02. MM-KLH'!$B$6:$T$823,17,0),"")</f>
        <v>15HP</v>
      </c>
      <c r="S522" s="108">
        <f>IFERROR(VLOOKUP(B522,'02. MM-KLH'!$B$6:$T$823,18,0),"")</f>
        <v>203067</v>
      </c>
      <c r="T522" s="110" t="str">
        <f>IFERROR(VLOOKUP(B522,'02. MM-KLH'!$B$6:$T$823,19,0),"")</f>
        <v>B0502M</v>
      </c>
      <c r="U522" s="130" t="s">
        <v>2301</v>
      </c>
    </row>
    <row r="523" ht="13.5" customHeight="1">
      <c r="A523" s="80">
        <f t="shared" si="24"/>
        <v>19</v>
      </c>
      <c r="B523" s="115" t="s">
        <v>1508</v>
      </c>
      <c r="C523" s="84" t="str">
        <f>IFERROR(VLOOKUP(B523,'02. MM-KLH'!$B$6:$T$823,2,0),"")</f>
        <v/>
      </c>
      <c r="D523" s="95" t="str">
        <f>IFERROR(VLOOKUP(B523,'02. MM-KLH'!$B$6:$T$823,3,0),"")</f>
        <v>A24-CLT-004</v>
      </c>
      <c r="E523" s="86" t="str">
        <f>IFERROR(VLOOKUP(B523,'02. MM-KLH'!$B$6:$T$823,4,0),"")</f>
        <v/>
      </c>
      <c r="F523" s="115" t="s">
        <v>5947</v>
      </c>
      <c r="G523" s="86" t="str">
        <f>IFERROR(VLOOKUP(B523,'02. MM-KLH'!$B$6:$T$823,6,0),"")</f>
        <v>Xe clethon</v>
      </c>
      <c r="H523" s="80" t="s">
        <v>5913</v>
      </c>
      <c r="I523" s="80" t="str">
        <f>IFERROR(VLOOKUP(B523,'02. MM-KLH'!$B$6:$T$823,8,0),"")</f>
        <v>XN Chuối LP3</v>
      </c>
      <c r="J523" s="99" t="str">
        <f>IFERROR(VLOOKUP(B523,'02. MM-KLH'!$B$6:$T$823,9,0),"")</f>
        <v>24/07/2025</v>
      </c>
      <c r="K523" s="80" t="str">
        <f>IFERROR(VLOOKUP(B523,'02. MM-KLH'!$B$6:$T$823,10,0),"")</f>
        <v>Bình thường</v>
      </c>
      <c r="L523" s="102" t="str">
        <f>IFERROR(VLOOKUP(B523,'02. MM-KLH'!$B$6:$T$823,11,0),"")</f>
        <v/>
      </c>
      <c r="M523" s="143" t="str">
        <f>IFERROR(VLOOKUP(B523,'02. MM-KLH'!$B$6:$T$823,12,0),"")</f>
        <v>Đầu tư mới</v>
      </c>
      <c r="N523" s="108" t="str">
        <f>IFERROR(VLOOKUP(B523,'02. MM-KLH'!$B$6:$T$823,13,0),"")</f>
        <v>YANMAR</v>
      </c>
      <c r="O523" s="108" t="str">
        <f>IFERROR(VLOOKUP(B523,'02. MM-KLH'!$B$6:$T$823,14,0),"")</f>
        <v>INDONESIA</v>
      </c>
      <c r="P523" s="80">
        <f>IFERROR(VLOOKUP(B523,'02. MM-KLH'!$B$6:$T$823,15,0),"")</f>
        <v>2022</v>
      </c>
      <c r="Q523" s="80" t="str">
        <f>IFERROR(VLOOKUP(B523,'02. MM-KLH'!$B$6:$T$823,16,0),"")</f>
        <v>TF150NL-PR2</v>
      </c>
      <c r="R523" s="106" t="str">
        <f>IFERROR(VLOOKUP(B523,'02. MM-KLH'!$B$6:$T$823,17,0),"")</f>
        <v>15HP</v>
      </c>
      <c r="S523" s="108">
        <f>IFERROR(VLOOKUP(B523,'02. MM-KLH'!$B$6:$T$823,18,0),"")</f>
        <v>203073</v>
      </c>
      <c r="T523" s="110" t="str">
        <f>IFERROR(VLOOKUP(B523,'02. MM-KLH'!$B$6:$T$823,19,0),"")</f>
        <v>B2165L</v>
      </c>
      <c r="U523" s="130" t="s">
        <v>2301</v>
      </c>
    </row>
    <row r="524" ht="13.5" customHeight="1">
      <c r="A524" s="80">
        <f t="shared" si="24"/>
        <v>20</v>
      </c>
      <c r="B524" s="115" t="s">
        <v>1510</v>
      </c>
      <c r="C524" s="84" t="str">
        <f>IFERROR(VLOOKUP(B524,'02. MM-KLH'!$B$6:$T$823,2,0),"")</f>
        <v/>
      </c>
      <c r="D524" s="95" t="str">
        <f>IFERROR(VLOOKUP(B524,'02. MM-KLH'!$B$6:$T$823,3,0),"")</f>
        <v>A24-CLT-005</v>
      </c>
      <c r="E524" s="86" t="str">
        <f>IFERROR(VLOOKUP(B524,'02. MM-KLH'!$B$6:$T$823,4,0),"")</f>
        <v/>
      </c>
      <c r="F524" s="115" t="s">
        <v>5949</v>
      </c>
      <c r="G524" s="86" t="str">
        <f>IFERROR(VLOOKUP(B524,'02. MM-KLH'!$B$6:$T$823,6,0),"")</f>
        <v>Xe clethon</v>
      </c>
      <c r="H524" s="80" t="s">
        <v>5913</v>
      </c>
      <c r="I524" s="80" t="str">
        <f>IFERROR(VLOOKUP(B524,'02. MM-KLH'!$B$6:$T$823,8,0),"")</f>
        <v>XN Chuối LP3</v>
      </c>
      <c r="J524" s="99" t="str">
        <f>IFERROR(VLOOKUP(B524,'02. MM-KLH'!$B$6:$T$823,9,0),"")</f>
        <v>24/07/2025</v>
      </c>
      <c r="K524" s="80" t="str">
        <f>IFERROR(VLOOKUP(B524,'02. MM-KLH'!$B$6:$T$823,10,0),"")</f>
        <v>Bình thường</v>
      </c>
      <c r="L524" s="102" t="str">
        <f>IFERROR(VLOOKUP(B524,'02. MM-KLH'!$B$6:$T$823,11,0),"")</f>
        <v/>
      </c>
      <c r="M524" s="143" t="str">
        <f>IFERROR(VLOOKUP(B524,'02. MM-KLH'!$B$6:$T$823,12,0),"")</f>
        <v>Đầu tư mới</v>
      </c>
      <c r="N524" s="108" t="str">
        <f>IFERROR(VLOOKUP(B524,'02. MM-KLH'!$B$6:$T$823,13,0),"")</f>
        <v>YANMAR</v>
      </c>
      <c r="O524" s="108" t="str">
        <f>IFERROR(VLOOKUP(B524,'02. MM-KLH'!$B$6:$T$823,14,0),"")</f>
        <v>INDONESIA</v>
      </c>
      <c r="P524" s="80">
        <f>IFERROR(VLOOKUP(B524,'02. MM-KLH'!$B$6:$T$823,15,0),"")</f>
        <v>2022</v>
      </c>
      <c r="Q524" s="80" t="str">
        <f>IFERROR(VLOOKUP(B524,'02. MM-KLH'!$B$6:$T$823,16,0),"")</f>
        <v>TF150NL-PR2</v>
      </c>
      <c r="R524" s="106" t="str">
        <f>IFERROR(VLOOKUP(B524,'02. MM-KLH'!$B$6:$T$823,17,0),"")</f>
        <v>15HP</v>
      </c>
      <c r="S524" s="108">
        <f>IFERROR(VLOOKUP(B524,'02. MM-KLH'!$B$6:$T$823,18,0),"")</f>
        <v>203077</v>
      </c>
      <c r="T524" s="110" t="str">
        <f>IFERROR(VLOOKUP(B524,'02. MM-KLH'!$B$6:$T$823,19,0),"")</f>
        <v>B2103L</v>
      </c>
      <c r="U524" s="130" t="s">
        <v>2301</v>
      </c>
    </row>
    <row r="525" ht="13.5" customHeight="1">
      <c r="A525" s="80">
        <f t="shared" si="24"/>
        <v>21</v>
      </c>
      <c r="B525" s="115" t="s">
        <v>1557</v>
      </c>
      <c r="C525" s="84" t="str">
        <f>IFERROR(VLOOKUP(B525,'02. MM-KLH'!$B$6:$T$823,2,0),"")</f>
        <v>CAT-CLT-001</v>
      </c>
      <c r="D525" s="95" t="str">
        <f>IFERROR(VLOOKUP(B525,'02. MM-KLH'!$B$6:$T$823,3,0),"")</f>
        <v/>
      </c>
      <c r="E525" s="86" t="str">
        <f>IFERROR(VLOOKUP(B525,'02. MM-KLH'!$B$6:$T$823,4,0),"")</f>
        <v/>
      </c>
      <c r="F525" s="115"/>
      <c r="G525" s="86" t="str">
        <f>IFERROR(VLOOKUP(B525,'02. MM-KLH'!$B$6:$T$823,6,0),"")</f>
        <v>Xe clethon</v>
      </c>
      <c r="H525" s="80" t="s">
        <v>5913</v>
      </c>
      <c r="I525" s="80" t="str">
        <f>IFERROR(VLOOKUP(B525,'02. MM-KLH'!$B$6:$T$823,8,0),"")</f>
        <v>Xoài DP</v>
      </c>
      <c r="J525" s="99" t="str">
        <f>IFERROR(VLOOKUP(B525,'02. MM-KLH'!$B$6:$T$823,9,0),"")</f>
        <v/>
      </c>
      <c r="K525" s="80" t="str">
        <f>IFERROR(VLOOKUP(B525,'02. MM-KLH'!$B$6:$T$823,10,0),"")</f>
        <v>Bình thường</v>
      </c>
      <c r="L525" s="102" t="str">
        <f>IFERROR(VLOOKUP(B525,'02. MM-KLH'!$B$6:$T$823,11,0),"")</f>
        <v/>
      </c>
      <c r="M525" s="143" t="str">
        <f>IFERROR(VLOOKUP(B525,'02. MM-KLH'!$B$6:$T$823,12,0),"")</f>
        <v>Từ Nhãn DP Đ.chuyển sang Xoài DP ngày 06.08.2024</v>
      </c>
      <c r="N525" s="108" t="str">
        <f>IFERROR(VLOOKUP(B525,'02. MM-KLH'!$B$6:$T$823,13,0),"")</f>
        <v>CLETHON</v>
      </c>
      <c r="O525" s="108" t="str">
        <f>IFERROR(VLOOKUP(B525,'02. MM-KLH'!$B$6:$T$823,14,0),"")</f>
        <v>CAMPUCHIA</v>
      </c>
      <c r="P525" s="80" t="str">
        <f>IFERROR(VLOOKUP(B525,'02. MM-KLH'!$B$6:$T$823,15,0),"")</f>
        <v/>
      </c>
      <c r="Q525" s="80" t="str">
        <f>IFERROR(VLOOKUP(B525,'02. MM-KLH'!$B$6:$T$823,16,0),"")</f>
        <v/>
      </c>
      <c r="R525" s="106" t="str">
        <f>IFERROR(VLOOKUP(B525,'02. MM-KLH'!$B$6:$T$823,17,0),"")</f>
        <v>15HP</v>
      </c>
      <c r="S525" s="108" t="str">
        <f>IFERROR(VLOOKUP(B525,'02. MM-KLH'!$B$6:$T$823,18,0),"")</f>
        <v>RT140DI-19080197</v>
      </c>
      <c r="T525" s="110" t="str">
        <f>IFERROR(VLOOKUP(B525,'02. MM-KLH'!$B$6:$T$823,19,0),"")</f>
        <v>CCN</v>
      </c>
      <c r="U525" s="130" t="s">
        <v>79</v>
      </c>
    </row>
    <row r="526" ht="13.5" customHeight="1">
      <c r="A526" s="80">
        <f t="shared" si="24"/>
        <v>22</v>
      </c>
      <c r="B526" s="115" t="s">
        <v>1563</v>
      </c>
      <c r="C526" s="84" t="str">
        <f>IFERROR(VLOOKUP(B526,'02. MM-KLH'!$B$6:$T$823,2,0),"")</f>
        <v>AD2-CLT-004</v>
      </c>
      <c r="D526" s="95" t="str">
        <f>IFERROR(VLOOKUP(B526,'02. MM-KLH'!$B$6:$T$823,3,0),"")</f>
        <v/>
      </c>
      <c r="E526" s="86" t="str">
        <f>IFERROR(VLOOKUP(B526,'02. MM-KLH'!$B$6:$T$823,4,0),"")</f>
        <v/>
      </c>
      <c r="F526" s="115"/>
      <c r="G526" s="86" t="str">
        <f>IFERROR(VLOOKUP(B526,'02. MM-KLH'!$B$6:$T$823,6,0),"")</f>
        <v>Xe clethon</v>
      </c>
      <c r="H526" s="80" t="s">
        <v>5913</v>
      </c>
      <c r="I526" s="80" t="str">
        <f>IFERROR(VLOOKUP(B526,'02. MM-KLH'!$B$6:$T$823,8,0),"")</f>
        <v>Xoài DP</v>
      </c>
      <c r="J526" s="99" t="str">
        <f>IFERROR(VLOOKUP(B526,'02. MM-KLH'!$B$6:$T$823,9,0),"")</f>
        <v/>
      </c>
      <c r="K526" s="80" t="str">
        <f>IFERROR(VLOOKUP(B526,'02. MM-KLH'!$B$6:$T$823,10,0),"")</f>
        <v>Hư hỏng</v>
      </c>
      <c r="L526" s="102" t="str">
        <f>IFERROR(VLOOKUP(B526,'02. MM-KLH'!$B$6:$T$823,11,0),"")</f>
        <v/>
      </c>
      <c r="M526" s="143" t="str">
        <f>IFERROR(VLOOKUP(B526,'02. MM-KLH'!$B$6:$T$823,12,0),"")</f>
        <v>DX LOẠI BIÊN</v>
      </c>
      <c r="N526" s="108" t="str">
        <f>IFERROR(VLOOKUP(B526,'02. MM-KLH'!$B$6:$T$823,13,0),"")</f>
        <v>CLETHON</v>
      </c>
      <c r="O526" s="108" t="str">
        <f>IFERROR(VLOOKUP(B526,'02. MM-KLH'!$B$6:$T$823,14,0),"")</f>
        <v>CAMPUCHIA</v>
      </c>
      <c r="P526" s="80" t="str">
        <f>IFERROR(VLOOKUP(B526,'02. MM-KLH'!$B$6:$T$823,15,0),"")</f>
        <v/>
      </c>
      <c r="Q526" s="80" t="str">
        <f>IFERROR(VLOOKUP(B526,'02. MM-KLH'!$B$6:$T$823,16,0),"")</f>
        <v/>
      </c>
      <c r="R526" s="106" t="str">
        <f>IFERROR(VLOOKUP(B526,'02. MM-KLH'!$B$6:$T$823,17,0),"")</f>
        <v>15HP</v>
      </c>
      <c r="S526" s="108" t="str">
        <f>IFERROR(VLOOKUP(B526,'02. MM-KLH'!$B$6:$T$823,18,0),"")</f>
        <v>RT140DI-19011.978</v>
      </c>
      <c r="T526" s="110" t="str">
        <f>IFERROR(VLOOKUP(B526,'02. MM-KLH'!$B$6:$T$823,19,0),"")</f>
        <v>CCN</v>
      </c>
      <c r="U526" s="130" t="s">
        <v>79</v>
      </c>
    </row>
    <row r="527" ht="13.5" customHeight="1">
      <c r="A527" s="80">
        <f t="shared" si="24"/>
        <v>23</v>
      </c>
      <c r="B527" s="113" t="s">
        <v>1580</v>
      </c>
      <c r="C527" s="84" t="str">
        <f>IFERROR(VLOOKUP(B527,'02. MM-KLH'!$B$6:$T$823,2,0),"")</f>
        <v>RT140-KH/1710053</v>
      </c>
      <c r="D527" s="95" t="str">
        <f>IFERROR(VLOOKUP(B527,'02. MM-KLH'!$B$6:$T$823,3,0),"")</f>
        <v>ATT-A22-0242</v>
      </c>
      <c r="E527" s="86" t="str">
        <f>IFERROR(VLOOKUP(B527,'02. MM-KLH'!$B$6:$T$823,4,0),"")</f>
        <v/>
      </c>
      <c r="F527" s="115"/>
      <c r="G527" s="86" t="str">
        <f>IFERROR(VLOOKUP(B527,'02. MM-KLH'!$B$6:$T$823,6,0),"")</f>
        <v>Xe clethon</v>
      </c>
      <c r="H527" s="80" t="s">
        <v>5913</v>
      </c>
      <c r="I527" s="80" t="str">
        <f>IFERROR(VLOOKUP(B527,'02. MM-KLH'!$B$6:$T$823,8,0),"")</f>
        <v>BƯỞI AD</v>
      </c>
      <c r="J527" s="99" t="str">
        <f>IFERROR(VLOOKUP(B527,'02. MM-KLH'!$B$6:$T$823,9,0),"")</f>
        <v/>
      </c>
      <c r="K527" s="80" t="str">
        <f>IFERROR(VLOOKUP(B527,'02. MM-KLH'!$B$6:$T$823,10,0),"")</f>
        <v>Bình thường</v>
      </c>
      <c r="L527" s="102" t="str">
        <f>IFERROR(VLOOKUP(B527,'02. MM-KLH'!$B$6:$T$823,11,0),"")</f>
        <v/>
      </c>
      <c r="M527" s="143" t="str">
        <f>IFERROR(VLOOKUP(B527,'02. MM-KLH'!$B$6:$T$823,12,0),"")</f>
        <v/>
      </c>
      <c r="N527" s="108" t="str">
        <f>IFERROR(VLOOKUP(B527,'02. MM-KLH'!$B$6:$T$823,13,0),"")</f>
        <v>CLETHON</v>
      </c>
      <c r="O527" s="108" t="str">
        <f>IFERROR(VLOOKUP(B527,'02. MM-KLH'!$B$6:$T$823,14,0),"")</f>
        <v>CAMPUCHIA</v>
      </c>
      <c r="P527" s="80" t="str">
        <f>IFERROR(VLOOKUP(B527,'02. MM-KLH'!$B$6:$T$823,15,0),"")</f>
        <v/>
      </c>
      <c r="Q527" s="80" t="str">
        <f>IFERROR(VLOOKUP(B527,'02. MM-KLH'!$B$6:$T$823,16,0),"")</f>
        <v/>
      </c>
      <c r="R527" s="106" t="str">
        <f>IFERROR(VLOOKUP(B527,'02. MM-KLH'!$B$6:$T$823,17,0),"")</f>
        <v>15HP</v>
      </c>
      <c r="S527" s="108" t="str">
        <f>IFERROR(VLOOKUP(B527,'02. MM-KLH'!$B$6:$T$823,18,0),"")</f>
        <v/>
      </c>
      <c r="T527" s="110" t="str">
        <f>IFERROR(VLOOKUP(B527,'02. MM-KLH'!$B$6:$T$823,19,0),"")</f>
        <v>CCN</v>
      </c>
      <c r="U527" s="130" t="s">
        <v>79</v>
      </c>
    </row>
    <row r="528" ht="13.5" customHeight="1">
      <c r="A528" s="80">
        <f t="shared" si="24"/>
        <v>24</v>
      </c>
      <c r="B528" s="113" t="s">
        <v>1627</v>
      </c>
      <c r="C528" s="84" t="str">
        <f>IFERROR(VLOOKUP(B528,'02. MM-KLH'!$B$6:$T$823,2,0),"")</f>
        <v>CAT-CLT-003</v>
      </c>
      <c r="D528" s="95" t="str">
        <f>IFERROR(VLOOKUP(B528,'02. MM-KLH'!$B$6:$T$823,3,0),"")</f>
        <v>ATT-A22-0242</v>
      </c>
      <c r="E528" s="86" t="str">
        <f>IFERROR(VLOOKUP(B528,'02. MM-KLH'!$B$6:$T$823,4,0),"")</f>
        <v/>
      </c>
      <c r="F528" s="115" t="s">
        <v>5953</v>
      </c>
      <c r="G528" s="86" t="str">
        <f>IFERROR(VLOOKUP(B528,'02. MM-KLH'!$B$6:$T$823,6,0),"")</f>
        <v>Xe clethon</v>
      </c>
      <c r="H528" s="80" t="s">
        <v>5913</v>
      </c>
      <c r="I528" s="80" t="str">
        <f>IFERROR(VLOOKUP(B528,'02. MM-KLH'!$B$6:$T$823,8,0),"")</f>
        <v>XOÀI AD</v>
      </c>
      <c r="J528" s="99" t="str">
        <f>IFERROR(VLOOKUP(B528,'02. MM-KLH'!$B$6:$T$823,9,0),"")</f>
        <v/>
      </c>
      <c r="K528" s="80" t="str">
        <f>IFERROR(VLOOKUP(B528,'02. MM-KLH'!$B$6:$T$823,10,0),"")</f>
        <v>Bình thường</v>
      </c>
      <c r="L528" s="102" t="str">
        <f>IFERROR(VLOOKUP(B528,'02. MM-KLH'!$B$6:$T$823,11,0),"")</f>
        <v/>
      </c>
      <c r="M528" s="143" t="str">
        <f>IFERROR(VLOOKUP(B528,'02. MM-KLH'!$B$6:$T$823,12,0),"")</f>
        <v/>
      </c>
      <c r="N528" s="108" t="str">
        <f>IFERROR(VLOOKUP(B528,'02. MM-KLH'!$B$6:$T$823,13,0),"")</f>
        <v>CLETHON</v>
      </c>
      <c r="O528" s="108" t="str">
        <f>IFERROR(VLOOKUP(B528,'02. MM-KLH'!$B$6:$T$823,14,0),"")</f>
        <v>CAMPUCHIA</v>
      </c>
      <c r="P528" s="80" t="str">
        <f>IFERROR(VLOOKUP(B528,'02. MM-KLH'!$B$6:$T$823,15,0),"")</f>
        <v/>
      </c>
      <c r="Q528" s="80" t="str">
        <f>IFERROR(VLOOKUP(B528,'02. MM-KLH'!$B$6:$T$823,16,0),"")</f>
        <v/>
      </c>
      <c r="R528" s="106" t="str">
        <f>IFERROR(VLOOKUP(B528,'02. MM-KLH'!$B$6:$T$823,17,0),"")</f>
        <v/>
      </c>
      <c r="S528" s="108" t="str">
        <f>IFERROR(VLOOKUP(B528,'02. MM-KLH'!$B$6:$T$823,18,0),"")</f>
        <v>RT140DI-19011.483</v>
      </c>
      <c r="T528" s="110" t="str">
        <f>IFERROR(VLOOKUP(B528,'02. MM-KLH'!$B$6:$T$823,19,0),"")</f>
        <v>CCN</v>
      </c>
      <c r="U528" s="130" t="s">
        <v>79</v>
      </c>
    </row>
    <row r="529">
      <c r="A529" s="80">
        <f t="shared" si="24"/>
        <v>25</v>
      </c>
      <c r="B529" s="115" t="s">
        <v>2273</v>
      </c>
      <c r="C529" s="84" t="str">
        <f>IFERROR(VLOOKUP(B529,'02. MM-KLH'!$B$6:$T$823,2,0),"")</f>
        <v/>
      </c>
      <c r="D529" s="95" t="str">
        <f>IFERROR(VLOOKUP(B529,'02. MM-KLH'!$B$6:$T$823,3,0),"")</f>
        <v>A22-CLT-001</v>
      </c>
      <c r="E529" s="86" t="str">
        <f>IFERROR(VLOOKUP(B529,'02. MM-KLH'!$B$6:$T$823,4,0),"")</f>
        <v/>
      </c>
      <c r="F529" s="115"/>
      <c r="G529" s="86" t="str">
        <f>IFERROR(VLOOKUP(B529,'02. MM-KLH'!$B$6:$T$823,6,0),"")</f>
        <v>Xe clethon</v>
      </c>
      <c r="H529" s="80" t="s">
        <v>5913</v>
      </c>
      <c r="I529" s="80" t="str">
        <f>IFERROR(VLOOKUP(B529,'02. MM-KLH'!$B$6:$T$823,8,0),"")</f>
        <v>XN Bò AD</v>
      </c>
      <c r="J529" s="99">
        <f>IFERROR(VLOOKUP(B529,'02. MM-KLH'!$B$6:$T$823,9,0),"")</f>
        <v>45606</v>
      </c>
      <c r="K529" s="80" t="str">
        <f>IFERROR(VLOOKUP(B529,'02. MM-KLH'!$B$6:$T$823,10,0),"")</f>
        <v>Bình thường</v>
      </c>
      <c r="L529" s="102" t="str">
        <f>IFERROR(VLOOKUP(B529,'02. MM-KLH'!$B$6:$T$823,11,0),"")</f>
        <v/>
      </c>
      <c r="M529" s="143" t="str">
        <f>IFERROR(VLOOKUP(B529,'02. MM-KLH'!$B$6:$T$823,12,0),"")</f>
        <v>Đầu tư mới</v>
      </c>
      <c r="N529" s="108" t="str">
        <f>IFERROR(VLOOKUP(B529,'02. MM-KLH'!$B$6:$T$823,13,0),"")</f>
        <v>YANMAR</v>
      </c>
      <c r="O529" s="108" t="str">
        <f>IFERROR(VLOOKUP(B529,'02. MM-KLH'!$B$6:$T$823,14,0),"")</f>
        <v>INDONESIA</v>
      </c>
      <c r="P529" s="80">
        <f>IFERROR(VLOOKUP(B529,'02. MM-KLH'!$B$6:$T$823,15,0),"")</f>
        <v>2022</v>
      </c>
      <c r="Q529" s="80" t="str">
        <f>IFERROR(VLOOKUP(B529,'02. MM-KLH'!$B$6:$T$823,16,0),"")</f>
        <v>TF150N</v>
      </c>
      <c r="R529" s="106" t="str">
        <f>IFERROR(VLOOKUP(B529,'02. MM-KLH'!$B$6:$T$823,17,0),"")</f>
        <v>15HP</v>
      </c>
      <c r="S529" s="108">
        <f>IFERROR(VLOOKUP(B529,'02. MM-KLH'!$B$6:$T$823,18,0),"")</f>
        <v>203373</v>
      </c>
      <c r="T529" s="110" t="str">
        <f>IFERROR(VLOOKUP(B529,'02. MM-KLH'!$B$6:$T$823,19,0),"")</f>
        <v>B2116J</v>
      </c>
      <c r="U529" s="130" t="s">
        <v>2301</v>
      </c>
    </row>
    <row r="530">
      <c r="A530" s="80">
        <f t="shared" si="24"/>
        <v>26</v>
      </c>
      <c r="B530" s="115" t="s">
        <v>2277</v>
      </c>
      <c r="C530" s="84" t="str">
        <f>IFERROR(VLOOKUP(B530,'02. MM-KLH'!$B$6:$T$823,2,0),"")</f>
        <v/>
      </c>
      <c r="D530" s="95" t="str">
        <f>IFERROR(VLOOKUP(B530,'02. MM-KLH'!$B$6:$T$823,3,0),"")</f>
        <v>A22-CLT-002</v>
      </c>
      <c r="E530" s="86" t="str">
        <f>IFERROR(VLOOKUP(B530,'02. MM-KLH'!$B$6:$T$823,4,0),"")</f>
        <v/>
      </c>
      <c r="F530" s="115"/>
      <c r="G530" s="86" t="str">
        <f>IFERROR(VLOOKUP(B530,'02. MM-KLH'!$B$6:$T$823,6,0),"")</f>
        <v>Xe clethon</v>
      </c>
      <c r="H530" s="80" t="s">
        <v>5913</v>
      </c>
      <c r="I530" s="80" t="str">
        <f>IFERROR(VLOOKUP(B530,'02. MM-KLH'!$B$6:$T$823,8,0),"")</f>
        <v>XN Bò AD</v>
      </c>
      <c r="J530" s="99">
        <f>IFERROR(VLOOKUP(B530,'02. MM-KLH'!$B$6:$T$823,9,0),"")</f>
        <v>45606</v>
      </c>
      <c r="K530" s="80" t="str">
        <f>IFERROR(VLOOKUP(B530,'02. MM-KLH'!$B$6:$T$823,10,0),"")</f>
        <v>Bình thường</v>
      </c>
      <c r="L530" s="102" t="str">
        <f>IFERROR(VLOOKUP(B530,'02. MM-KLH'!$B$6:$T$823,11,0),"")</f>
        <v/>
      </c>
      <c r="M530" s="143" t="str">
        <f>IFERROR(VLOOKUP(B530,'02. MM-KLH'!$B$6:$T$823,12,0),"")</f>
        <v>Đầu tư mới</v>
      </c>
      <c r="N530" s="108" t="str">
        <f>IFERROR(VLOOKUP(B530,'02. MM-KLH'!$B$6:$T$823,13,0),"")</f>
        <v>YANMAR</v>
      </c>
      <c r="O530" s="108" t="str">
        <f>IFERROR(VLOOKUP(B530,'02. MM-KLH'!$B$6:$T$823,14,0),"")</f>
        <v>INDONESIA</v>
      </c>
      <c r="P530" s="80">
        <f>IFERROR(VLOOKUP(B530,'02. MM-KLH'!$B$6:$T$823,15,0),"")</f>
        <v>2022</v>
      </c>
      <c r="Q530" s="80" t="str">
        <f>IFERROR(VLOOKUP(B530,'02. MM-KLH'!$B$6:$T$823,16,0),"")</f>
        <v>TF150N</v>
      </c>
      <c r="R530" s="106" t="str">
        <f>IFERROR(VLOOKUP(B530,'02. MM-KLH'!$B$6:$T$823,17,0),"")</f>
        <v>15HP</v>
      </c>
      <c r="S530" s="108">
        <f>IFERROR(VLOOKUP(B530,'02. MM-KLH'!$B$6:$T$823,18,0),"")</f>
        <v>203356</v>
      </c>
      <c r="T530" s="110" t="str">
        <f>IFERROR(VLOOKUP(B530,'02. MM-KLH'!$B$6:$T$823,19,0),"")</f>
        <v>B1779J</v>
      </c>
      <c r="U530" s="130" t="s">
        <v>2301</v>
      </c>
    </row>
    <row r="531">
      <c r="A531" s="80">
        <f t="shared" si="24"/>
        <v>27</v>
      </c>
      <c r="B531" s="115" t="s">
        <v>2280</v>
      </c>
      <c r="C531" s="84" t="str">
        <f>IFERROR(VLOOKUP(B531,'02. MM-KLH'!$B$6:$T$823,2,0),"")</f>
        <v/>
      </c>
      <c r="D531" s="95" t="str">
        <f>IFERROR(VLOOKUP(B531,'02. MM-KLH'!$B$6:$T$823,3,0),"")</f>
        <v>A22-CLT-003</v>
      </c>
      <c r="E531" s="86" t="str">
        <f>IFERROR(VLOOKUP(B531,'02. MM-KLH'!$B$6:$T$823,4,0),"")</f>
        <v/>
      </c>
      <c r="F531" s="115"/>
      <c r="G531" s="86" t="str">
        <f>IFERROR(VLOOKUP(B531,'02. MM-KLH'!$B$6:$T$823,6,0),"")</f>
        <v>Xe clethon</v>
      </c>
      <c r="H531" s="80" t="s">
        <v>5913</v>
      </c>
      <c r="I531" s="80" t="str">
        <f>IFERROR(VLOOKUP(B531,'02. MM-KLH'!$B$6:$T$823,8,0),"")</f>
        <v>XN Bò AD</v>
      </c>
      <c r="J531" s="99">
        <f>IFERROR(VLOOKUP(B531,'02. MM-KLH'!$B$6:$T$823,9,0),"")</f>
        <v>45393</v>
      </c>
      <c r="K531" s="80" t="str">
        <f>IFERROR(VLOOKUP(B531,'02. MM-KLH'!$B$6:$T$823,10,0),"")</f>
        <v>Bình thường</v>
      </c>
      <c r="L531" s="102" t="str">
        <f>IFERROR(VLOOKUP(B531,'02. MM-KLH'!$B$6:$T$823,11,0),"")</f>
        <v/>
      </c>
      <c r="M531" s="143" t="str">
        <f>IFERROR(VLOOKUP(B531,'02. MM-KLH'!$B$6:$T$823,12,0),"")</f>
        <v>Đầu tư mới</v>
      </c>
      <c r="N531" s="108" t="str">
        <f>IFERROR(VLOOKUP(B531,'02. MM-KLH'!$B$6:$T$823,13,0),"")</f>
        <v>YANMAR</v>
      </c>
      <c r="O531" s="108" t="str">
        <f>IFERROR(VLOOKUP(B531,'02. MM-KLH'!$B$6:$T$823,14,0),"")</f>
        <v>INDONESIA</v>
      </c>
      <c r="P531" s="80">
        <f>IFERROR(VLOOKUP(B531,'02. MM-KLH'!$B$6:$T$823,15,0),"")</f>
        <v>2022</v>
      </c>
      <c r="Q531" s="80" t="str">
        <f>IFERROR(VLOOKUP(B531,'02. MM-KLH'!$B$6:$T$823,16,0),"")</f>
        <v>TF150N</v>
      </c>
      <c r="R531" s="106" t="str">
        <f>IFERROR(VLOOKUP(B531,'02. MM-KLH'!$B$6:$T$823,17,0),"")</f>
        <v>15HP</v>
      </c>
      <c r="S531" s="108">
        <f>IFERROR(VLOOKUP(B531,'02. MM-KLH'!$B$6:$T$823,18,0),"")</f>
        <v>202927</v>
      </c>
      <c r="T531" s="110" t="str">
        <f>IFERROR(VLOOKUP(B531,'02. MM-KLH'!$B$6:$T$823,19,0),"")</f>
        <v>C1205A</v>
      </c>
      <c r="U531" s="130" t="s">
        <v>2301</v>
      </c>
    </row>
    <row r="532">
      <c r="A532" s="80">
        <f t="shared" si="24"/>
        <v>28</v>
      </c>
      <c r="B532" s="115" t="s">
        <v>2283</v>
      </c>
      <c r="C532" s="84" t="str">
        <f>IFERROR(VLOOKUP(B532,'02. MM-KLH'!$B$6:$T$823,2,0),"")</f>
        <v/>
      </c>
      <c r="D532" s="95" t="str">
        <f>IFERROR(VLOOKUP(B532,'02. MM-KLH'!$B$6:$T$823,3,0),"")</f>
        <v>A22-CLT-004</v>
      </c>
      <c r="E532" s="86" t="str">
        <f>IFERROR(VLOOKUP(B532,'02. MM-KLH'!$B$6:$T$823,4,0),"")</f>
        <v/>
      </c>
      <c r="F532" s="115"/>
      <c r="G532" s="86" t="str">
        <f>IFERROR(VLOOKUP(B532,'02. MM-KLH'!$B$6:$T$823,6,0),"")</f>
        <v>Xe clethon</v>
      </c>
      <c r="H532" s="80" t="s">
        <v>5913</v>
      </c>
      <c r="I532" s="80" t="str">
        <f>IFERROR(VLOOKUP(B532,'02. MM-KLH'!$B$6:$T$823,8,0),"")</f>
        <v>XN Bò AD</v>
      </c>
      <c r="J532" s="99">
        <f>IFERROR(VLOOKUP(B532,'02. MM-KLH'!$B$6:$T$823,9,0),"")</f>
        <v>45393</v>
      </c>
      <c r="K532" s="80" t="str">
        <f>IFERROR(VLOOKUP(B532,'02. MM-KLH'!$B$6:$T$823,10,0),"")</f>
        <v>Bình thường</v>
      </c>
      <c r="L532" s="102" t="str">
        <f>IFERROR(VLOOKUP(B532,'02. MM-KLH'!$B$6:$T$823,11,0),"")</f>
        <v/>
      </c>
      <c r="M532" s="143" t="str">
        <f>IFERROR(VLOOKUP(B532,'02. MM-KLH'!$B$6:$T$823,12,0),"")</f>
        <v>Đầu tư mới</v>
      </c>
      <c r="N532" s="108" t="str">
        <f>IFERROR(VLOOKUP(B532,'02. MM-KLH'!$B$6:$T$823,13,0),"")</f>
        <v>YANMAR</v>
      </c>
      <c r="O532" s="108" t="str">
        <f>IFERROR(VLOOKUP(B532,'02. MM-KLH'!$B$6:$T$823,14,0),"")</f>
        <v>INDONESIA</v>
      </c>
      <c r="P532" s="80">
        <f>IFERROR(VLOOKUP(B532,'02. MM-KLH'!$B$6:$T$823,15,0),"")</f>
        <v>2022</v>
      </c>
      <c r="Q532" s="80" t="str">
        <f>IFERROR(VLOOKUP(B532,'02. MM-KLH'!$B$6:$T$823,16,0),"")</f>
        <v>TF150N</v>
      </c>
      <c r="R532" s="106" t="str">
        <f>IFERROR(VLOOKUP(B532,'02. MM-KLH'!$B$6:$T$823,17,0),"")</f>
        <v>15HP</v>
      </c>
      <c r="S532" s="108">
        <f>IFERROR(VLOOKUP(B532,'02. MM-KLH'!$B$6:$T$823,18,0),"")</f>
        <v>202929</v>
      </c>
      <c r="T532" s="110" t="str">
        <f>IFERROR(VLOOKUP(B532,'02. MM-KLH'!$B$6:$T$823,19,0),"")</f>
        <v>C1498A</v>
      </c>
      <c r="U532" s="130" t="s">
        <v>2301</v>
      </c>
    </row>
    <row r="533">
      <c r="A533" s="80">
        <f t="shared" si="24"/>
        <v>29</v>
      </c>
      <c r="B533" s="115" t="s">
        <v>2286</v>
      </c>
      <c r="C533" s="84" t="str">
        <f>IFERROR(VLOOKUP(B533,'02. MM-KLH'!$B$6:$T$823,2,0),"")</f>
        <v/>
      </c>
      <c r="D533" s="95" t="str">
        <f>IFERROR(VLOOKUP(B533,'02. MM-KLH'!$B$6:$T$823,3,0),"")</f>
        <v>A22-CLT-005</v>
      </c>
      <c r="E533" s="86" t="str">
        <f>IFERROR(VLOOKUP(B533,'02. MM-KLH'!$B$6:$T$823,4,0),"")</f>
        <v/>
      </c>
      <c r="F533" s="115"/>
      <c r="G533" s="86" t="str">
        <f>IFERROR(VLOOKUP(B533,'02. MM-KLH'!$B$6:$T$823,6,0),"")</f>
        <v>Xe clethon</v>
      </c>
      <c r="H533" s="80" t="s">
        <v>5913</v>
      </c>
      <c r="I533" s="80" t="str">
        <f>IFERROR(VLOOKUP(B533,'02. MM-KLH'!$B$6:$T$823,8,0),"")</f>
        <v>XN Bò AD</v>
      </c>
      <c r="J533" s="99">
        <f>IFERROR(VLOOKUP(B533,'02. MM-KLH'!$B$6:$T$823,9,0),"")</f>
        <v>45393</v>
      </c>
      <c r="K533" s="80" t="str">
        <f>IFERROR(VLOOKUP(B533,'02. MM-KLH'!$B$6:$T$823,10,0),"")</f>
        <v>Bình thường</v>
      </c>
      <c r="L533" s="102" t="str">
        <f>IFERROR(VLOOKUP(B533,'02. MM-KLH'!$B$6:$T$823,11,0),"")</f>
        <v/>
      </c>
      <c r="M533" s="143" t="str">
        <f>IFERROR(VLOOKUP(B533,'02. MM-KLH'!$B$6:$T$823,12,0),"")</f>
        <v>Đầu tư mới</v>
      </c>
      <c r="N533" s="108" t="str">
        <f>IFERROR(VLOOKUP(B533,'02. MM-KLH'!$B$6:$T$823,13,0),"")</f>
        <v>YANMAR</v>
      </c>
      <c r="O533" s="108" t="str">
        <f>IFERROR(VLOOKUP(B533,'02. MM-KLH'!$B$6:$T$823,14,0),"")</f>
        <v>INDONESIA</v>
      </c>
      <c r="P533" s="80">
        <f>IFERROR(VLOOKUP(B533,'02. MM-KLH'!$B$6:$T$823,15,0),"")</f>
        <v>2022</v>
      </c>
      <c r="Q533" s="80" t="str">
        <f>IFERROR(VLOOKUP(B533,'02. MM-KLH'!$B$6:$T$823,16,0),"")</f>
        <v>TF150N</v>
      </c>
      <c r="R533" s="106" t="str">
        <f>IFERROR(VLOOKUP(B533,'02. MM-KLH'!$B$6:$T$823,17,0),"")</f>
        <v>15HP</v>
      </c>
      <c r="S533" s="108">
        <f>IFERROR(VLOOKUP(B533,'02. MM-KLH'!$B$6:$T$823,18,0),"")</f>
        <v>203359</v>
      </c>
      <c r="T533" s="110" t="str">
        <f>IFERROR(VLOOKUP(B533,'02. MM-KLH'!$B$6:$T$823,19,0),"")</f>
        <v>C1503A</v>
      </c>
      <c r="U533" s="130" t="s">
        <v>2301</v>
      </c>
    </row>
    <row r="534" ht="13.5" customHeight="1">
      <c r="A534" s="80"/>
      <c r="B534" s="113"/>
      <c r="C534" s="84" t="str">
        <f>IFERROR(VLOOKUP(B534,'02. MM-KLH'!$B$6:$T$823,2,0),"")</f>
        <v/>
      </c>
      <c r="D534" s="95" t="str">
        <f>IFERROR(VLOOKUP(B534,'02. MM-KLH'!$B$6:$T$823,3,0),"")</f>
        <v/>
      </c>
      <c r="E534" s="86" t="str">
        <f>IFERROR(VLOOKUP(B534,'02. MM-KLH'!$B$6:$T$823,4,0),"")</f>
        <v/>
      </c>
      <c r="F534" s="115"/>
      <c r="G534" s="86" t="str">
        <f>IFERROR(VLOOKUP(B534,'02. MM-KLH'!$B$6:$T$823,6,0),"")</f>
        <v/>
      </c>
      <c r="H534" s="80"/>
      <c r="I534" s="80" t="str">
        <f>IFERROR(VLOOKUP(B534,'02. MM-KLH'!$B$6:$T$823,8,0),"")</f>
        <v/>
      </c>
      <c r="J534" s="99" t="str">
        <f>IFERROR(VLOOKUP(B534,'02. MM-KLH'!$B$6:$T$823,9,0),"")</f>
        <v/>
      </c>
      <c r="K534" s="80" t="str">
        <f>IFERROR(VLOOKUP(B534,'02. MM-KLH'!$B$6:$T$823,10,0),"")</f>
        <v/>
      </c>
      <c r="L534" s="102" t="str">
        <f>IFERROR(VLOOKUP(B534,'02. MM-KLH'!$B$6:$T$823,11,0),"")</f>
        <v/>
      </c>
      <c r="M534" s="143" t="str">
        <f>IFERROR(VLOOKUP(B534,'02. MM-KLH'!$B$6:$T$823,12,0),"")</f>
        <v/>
      </c>
      <c r="N534" s="108" t="str">
        <f>IFERROR(VLOOKUP(B534,'02. MM-KLH'!$B$6:$T$823,13,0),"")</f>
        <v/>
      </c>
      <c r="O534" s="108" t="str">
        <f>IFERROR(VLOOKUP(B534,'02. MM-KLH'!$B$6:$T$823,14,0),"")</f>
        <v/>
      </c>
      <c r="P534" s="80" t="str">
        <f>IFERROR(VLOOKUP(B534,'02. MM-KLH'!$B$6:$T$823,15,0),"")</f>
        <v/>
      </c>
      <c r="Q534" s="80" t="str">
        <f>IFERROR(VLOOKUP(B534,'02. MM-KLH'!$B$6:$T$823,16,0),"")</f>
        <v/>
      </c>
      <c r="R534" s="106" t="str">
        <f>IFERROR(VLOOKUP(B534,'02. MM-KLH'!$B$6:$T$823,17,0),"")</f>
        <v/>
      </c>
      <c r="S534" s="108" t="str">
        <f>IFERROR(VLOOKUP(B534,'02. MM-KLH'!$B$6:$T$823,18,0),"")</f>
        <v/>
      </c>
      <c r="T534" s="110" t="str">
        <f>IFERROR(VLOOKUP(B534,'02. MM-KLH'!$B$6:$T$823,19,0),"")</f>
        <v/>
      </c>
      <c r="U534" s="130"/>
    </row>
    <row r="535" ht="13.5" customHeight="1">
      <c r="A535" s="82" t="s">
        <v>76</v>
      </c>
      <c r="B535" s="83" t="s">
        <v>5749</v>
      </c>
      <c r="C535" s="85">
        <f>COUNTA(B536:B555)</f>
        <v>18</v>
      </c>
      <c r="D535" s="85" t="str">
        <f>IFERROR(VLOOKUP(B535,'02. MM-KLH'!$B$6:$T$823,3,0),"")</f>
        <v/>
      </c>
      <c r="E535" s="85" t="str">
        <f>IFERROR(VLOOKUP(B535,'02. MM-KLH'!$B$6:$T$823,4,0),"")</f>
        <v/>
      </c>
      <c r="F535" s="85"/>
      <c r="G535" s="85" t="str">
        <f>IFERROR(VLOOKUP(B535,'02. MM-KLH'!$B$6:$T$823,6,0),"")</f>
        <v/>
      </c>
      <c r="H535" s="85"/>
      <c r="I535" s="85" t="str">
        <f>IFERROR(VLOOKUP(B535,'02. MM-KLH'!$B$6:$T$823,8,0),"")</f>
        <v/>
      </c>
      <c r="J535" s="85" t="str">
        <f>IFERROR(VLOOKUP(B535,'02. MM-KLH'!$B$6:$T$823,9,0),"")</f>
        <v/>
      </c>
      <c r="K535" s="85" t="str">
        <f>IFERROR(VLOOKUP(B535,'02. MM-KLH'!$B$6:$T$823,10,0),"")</f>
        <v/>
      </c>
      <c r="L535" s="85" t="str">
        <f>IFERROR(VLOOKUP(B535,'02. MM-KLH'!$B$6:$T$823,11,0),"")</f>
        <v/>
      </c>
      <c r="M535" s="87" t="s">
        <v>172</v>
      </c>
      <c r="N535" s="85" t="str">
        <f>IFERROR(VLOOKUP(B535,'02. MM-KLH'!$B$6:$T$823,13,0),"")</f>
        <v/>
      </c>
      <c r="O535" s="85" t="str">
        <f>IFERROR(VLOOKUP(B535,'02. MM-KLH'!$B$6:$T$823,14,0),"")</f>
        <v/>
      </c>
      <c r="P535" s="85" t="str">
        <f>IFERROR(VLOOKUP(B535,'02. MM-KLH'!$B$6:$T$823,15,0),"")</f>
        <v/>
      </c>
      <c r="Q535" s="85" t="str">
        <f>IFERROR(VLOOKUP(B535,'02. MM-KLH'!$B$6:$T$823,16,0),"")</f>
        <v/>
      </c>
      <c r="R535" s="85" t="str">
        <f>IFERROR(VLOOKUP(B535,'02. MM-KLH'!$B$6:$T$823,17,0),"")</f>
        <v/>
      </c>
      <c r="S535" s="85" t="str">
        <f>IFERROR(VLOOKUP(B535,'02. MM-KLH'!$B$6:$T$823,18,0),"")</f>
        <v/>
      </c>
      <c r="T535" s="85" t="str">
        <f>IFERROR(VLOOKUP(B535,'02. MM-KLH'!$B$6:$T$823,19,0),"")</f>
        <v/>
      </c>
      <c r="U535" s="85" t="str">
        <f>IFERROR(VLOOKUP(C535,'02. MM-KLH'!$B$6:$T$823,19,0),"")</f>
        <v/>
      </c>
    </row>
    <row r="536" ht="13.5" customHeight="1">
      <c r="A536" s="95">
        <v>1.0</v>
      </c>
      <c r="B536" s="113" t="s">
        <v>1912</v>
      </c>
      <c r="C536" s="113" t="str">
        <f>IFERROR(VLOOKUP(B536,'02. MM-KLH'!$B$6:$T$823,2,0),"")</f>
        <v>XXL02-KLH</v>
      </c>
      <c r="D536" s="95" t="str">
        <f>IFERROR(VLOOKUP(B536,'02. MM-KLH'!$B$6:$T$823,3,0),"")</f>
        <v>ATT-A22-0194</v>
      </c>
      <c r="E536" s="86" t="str">
        <f>IFERROR(VLOOKUP(B536,'02. MM-KLH'!$B$6:$T$823,4,0),"")</f>
        <v/>
      </c>
      <c r="F536" s="115" t="s">
        <v>5960</v>
      </c>
      <c r="G536" s="86" t="str">
        <f>IFERROR(VLOOKUP(B536,'02. MM-KLH'!$B$6:$T$823,6,0),"")</f>
        <v>Xe xúc lật WSM953</v>
      </c>
      <c r="H536" s="80" t="s">
        <v>5961</v>
      </c>
      <c r="I536" s="80" t="str">
        <f>IFERROR(VLOOKUP(B536,'02. MM-KLH'!$B$6:$T$823,8,0),"")</f>
        <v>XN Bò AD</v>
      </c>
      <c r="J536" s="99" t="str">
        <f>IFERROR(VLOOKUP(B536,'02. MM-KLH'!$B$6:$T$823,9,0),"")</f>
        <v/>
      </c>
      <c r="K536" s="80" t="str">
        <f>IFERROR(VLOOKUP(B536,'02. MM-KLH'!$B$6:$T$823,10,0),"")</f>
        <v>Bình thường</v>
      </c>
      <c r="L536" s="102" t="str">
        <f>IFERROR(VLOOKUP(B536,'02. MM-KLH'!$B$6:$T$823,11,0),"")</f>
        <v/>
      </c>
      <c r="M536" s="143" t="str">
        <f>IFERROR(VLOOKUP(B536,'02. MM-KLH'!$B$6:$T$823,12,0),"")</f>
        <v/>
      </c>
      <c r="N536" s="108" t="str">
        <f>IFERROR(VLOOKUP(B536,'02. MM-KLH'!$B$6:$T$823,13,0),"")</f>
        <v>FUJIAN WEISHENG</v>
      </c>
      <c r="O536" s="108" t="str">
        <f>IFERROR(VLOOKUP(B536,'02. MM-KLH'!$B$6:$T$823,14,0),"")</f>
        <v>TRUNG QUỐC</v>
      </c>
      <c r="P536" s="80" t="str">
        <f>IFERROR(VLOOKUP(B536,'02. MM-KLH'!$B$6:$T$823,15,0),"")</f>
        <v/>
      </c>
      <c r="Q536" s="80" t="str">
        <f>IFERROR(VLOOKUP(B536,'02. MM-KLH'!$B$6:$T$823,16,0),"")</f>
        <v>WSM953 2m3</v>
      </c>
      <c r="R536" s="106" t="str">
        <f>IFERROR(VLOOKUP(B536,'02. MM-KLH'!$B$6:$T$823,17,0),"")</f>
        <v>123HP</v>
      </c>
      <c r="S536" s="108">
        <f>IFERROR(VLOOKUP(B536,'02. MM-KLH'!$B$6:$T$823,18,0),"")</f>
        <v>90516</v>
      </c>
      <c r="T536" s="110" t="str">
        <f>IFERROR(VLOOKUP(B536,'02. MM-KLH'!$B$6:$T$823,19,0),"")</f>
        <v>CCN</v>
      </c>
      <c r="U536" s="130" t="s">
        <v>79</v>
      </c>
    </row>
    <row r="537" ht="13.5" customHeight="1">
      <c r="A537" s="95">
        <f t="shared" ref="A537:A553" si="25">1+A536</f>
        <v>2</v>
      </c>
      <c r="B537" s="113" t="s">
        <v>1918</v>
      </c>
      <c r="C537" s="113" t="str">
        <f>IFERROR(VLOOKUP(B537,'02. MM-KLH'!$B$6:$T$823,2,0),"")</f>
        <v>XXL005-KLH</v>
      </c>
      <c r="D537" s="95" t="str">
        <f>IFERROR(VLOOKUP(B537,'02. MM-KLH'!$B$6:$T$823,3,0),"")</f>
        <v>A22-XXL-002</v>
      </c>
      <c r="E537" s="86" t="str">
        <f>IFERROR(VLOOKUP(B537,'02. MM-KLH'!$B$6:$T$823,4,0),"")</f>
        <v/>
      </c>
      <c r="F537" s="115"/>
      <c r="G537" s="86" t="str">
        <f>IFERROR(VLOOKUP(B537,'02. MM-KLH'!$B$6:$T$823,6,0),"")</f>
        <v>Xe xúc lật WA400</v>
      </c>
      <c r="H537" s="80" t="s">
        <v>5961</v>
      </c>
      <c r="I537" s="80" t="str">
        <f>IFERROR(VLOOKUP(B537,'02. MM-KLH'!$B$6:$T$823,8,0),"")</f>
        <v>XN Bò AD</v>
      </c>
      <c r="J537" s="99" t="str">
        <f>IFERROR(VLOOKUP(B537,'02. MM-KLH'!$B$6:$T$823,9,0),"")</f>
        <v/>
      </c>
      <c r="K537" s="80" t="str">
        <f>IFERROR(VLOOKUP(B537,'02. MM-KLH'!$B$6:$T$823,10,0),"")</f>
        <v>Bình thường</v>
      </c>
      <c r="L537" s="102" t="str">
        <f>IFERROR(VLOOKUP(B537,'02. MM-KLH'!$B$6:$T$823,11,0),"")</f>
        <v/>
      </c>
      <c r="M537" s="143" t="str">
        <f>IFERROR(VLOOKUP(B537,'02. MM-KLH'!$B$6:$T$823,12,0),"")</f>
        <v/>
      </c>
      <c r="N537" s="108" t="str">
        <f>IFERROR(VLOOKUP(B537,'02. MM-KLH'!$B$6:$T$823,13,0),"")</f>
        <v>KOMATSU</v>
      </c>
      <c r="O537" s="108" t="str">
        <f>IFERROR(VLOOKUP(B537,'02. MM-KLH'!$B$6:$T$823,14,0),"")</f>
        <v>NHẬT BẢN</v>
      </c>
      <c r="P537" s="80">
        <f>IFERROR(VLOOKUP(B537,'02. MM-KLH'!$B$6:$T$823,15,0),"")</f>
        <v>2020</v>
      </c>
      <c r="Q537" s="80" t="str">
        <f>IFERROR(VLOOKUP(B537,'02. MM-KLH'!$B$6:$T$823,16,0),"")</f>
        <v>WA400-3E</v>
      </c>
      <c r="R537" s="106" t="str">
        <f>IFERROR(VLOOKUP(B537,'02. MM-KLH'!$B$6:$T$823,17,0),"")</f>
        <v>208HP</v>
      </c>
      <c r="S537" s="108">
        <f>IFERROR(VLOOKUP(B537,'02. MM-KLH'!$B$6:$T$823,18,0),"")</f>
        <v>50183</v>
      </c>
      <c r="T537" s="110" t="str">
        <f>IFERROR(VLOOKUP(B537,'02. MM-KLH'!$B$6:$T$823,19,0),"")</f>
        <v>CCN</v>
      </c>
      <c r="U537" s="130" t="s">
        <v>79</v>
      </c>
    </row>
    <row r="538" ht="13.5" customHeight="1">
      <c r="A538" s="95">
        <f t="shared" si="25"/>
        <v>3</v>
      </c>
      <c r="B538" s="113" t="s">
        <v>1921</v>
      </c>
      <c r="C538" s="113" t="str">
        <f>IFERROR(VLOOKUP(B538,'02. MM-KLH'!$B$6:$T$823,2,0),"")</f>
        <v>XXL04HT-KLH</v>
      </c>
      <c r="D538" s="95" t="str">
        <f>IFERROR(VLOOKUP(B538,'02. MM-KLH'!$B$6:$T$823,3,0),"")</f>
        <v>A22-XXL-004</v>
      </c>
      <c r="E538" s="86" t="str">
        <f>IFERROR(VLOOKUP(B538,'02. MM-KLH'!$B$6:$T$823,4,0),"")</f>
        <v/>
      </c>
      <c r="F538" s="115"/>
      <c r="G538" s="86" t="str">
        <f>IFERROR(VLOOKUP(B538,'02. MM-KLH'!$B$6:$T$823,6,0),"")</f>
        <v>Xe xúc lật WA350</v>
      </c>
      <c r="H538" s="80" t="s">
        <v>5961</v>
      </c>
      <c r="I538" s="80" t="str">
        <f>IFERROR(VLOOKUP(B538,'02. MM-KLH'!$B$6:$T$823,8,0),"")</f>
        <v>XN Bò AD</v>
      </c>
      <c r="J538" s="99">
        <f>IFERROR(VLOOKUP(B538,'02. MM-KLH'!$B$6:$T$823,9,0),"")</f>
        <v>44208</v>
      </c>
      <c r="K538" s="80" t="str">
        <f>IFERROR(VLOOKUP(B538,'02. MM-KLH'!$B$6:$T$823,10,0),"")</f>
        <v>Bình thường</v>
      </c>
      <c r="L538" s="102" t="str">
        <f>IFERROR(VLOOKUP(B538,'02. MM-KLH'!$B$6:$T$823,11,0),"")</f>
        <v/>
      </c>
      <c r="M538" s="143" t="str">
        <f>IFERROR(VLOOKUP(B538,'02. MM-KLH'!$B$6:$T$823,12,0),"")</f>
        <v/>
      </c>
      <c r="N538" s="108" t="str">
        <f>IFERROR(VLOOKUP(B538,'02. MM-KLH'!$B$6:$T$823,13,0),"")</f>
        <v>KOMATSU</v>
      </c>
      <c r="O538" s="108" t="str">
        <f>IFERROR(VLOOKUP(B538,'02. MM-KLH'!$B$6:$T$823,14,0),"")</f>
        <v>NHẬT BẢN</v>
      </c>
      <c r="P538" s="80">
        <f>IFERROR(VLOOKUP(B538,'02. MM-KLH'!$B$6:$T$823,15,0),"")</f>
        <v>2020</v>
      </c>
      <c r="Q538" s="80" t="str">
        <f>IFERROR(VLOOKUP(B538,'02. MM-KLH'!$B$6:$T$823,16,0),"")</f>
        <v>WA350-3</v>
      </c>
      <c r="R538" s="106" t="str">
        <f>IFERROR(VLOOKUP(B538,'02. MM-KLH'!$B$6:$T$823,17,0),"")</f>
        <v>162HP</v>
      </c>
      <c r="S538" s="108">
        <f>IFERROR(VLOOKUP(B538,'02. MM-KLH'!$B$6:$T$823,18,0),"")</f>
        <v>50100</v>
      </c>
      <c r="T538" s="110">
        <f>IFERROR(VLOOKUP(B538,'02. MM-KLH'!$B$6:$T$823,19,0),"")</f>
        <v>18033</v>
      </c>
      <c r="U538" s="130" t="s">
        <v>79</v>
      </c>
    </row>
    <row r="539" ht="13.5" customHeight="1">
      <c r="A539" s="95">
        <f t="shared" si="25"/>
        <v>4</v>
      </c>
      <c r="B539" s="113" t="s">
        <v>1925</v>
      </c>
      <c r="C539" s="113" t="str">
        <f>IFERROR(VLOOKUP(B539,'02. MM-KLH'!$B$6:$T$823,2,0),"")</f>
        <v>Mới</v>
      </c>
      <c r="D539" s="95" t="str">
        <f>IFERROR(VLOOKUP(B539,'02. MM-KLH'!$B$6:$T$823,3,0),"")</f>
        <v>ATM-A22-0127</v>
      </c>
      <c r="E539" s="86" t="str">
        <f>IFERROR(VLOOKUP(B539,'02. MM-KLH'!$B$6:$T$823,4,0),"")</f>
        <v/>
      </c>
      <c r="F539" s="115" t="s">
        <v>5965</v>
      </c>
      <c r="G539" s="86" t="str">
        <f>IFERROR(VLOOKUP(B539,'02. MM-KLH'!$B$6:$T$823,6,0),"")</f>
        <v>Xe xúc lật MT625H</v>
      </c>
      <c r="H539" s="80" t="s">
        <v>5961</v>
      </c>
      <c r="I539" s="80" t="str">
        <f>IFERROR(VLOOKUP(B539,'02. MM-KLH'!$B$6:$T$823,8,0),"")</f>
        <v>XN Bò AD</v>
      </c>
      <c r="J539" s="99">
        <f>IFERROR(VLOOKUP(B539,'02. MM-KLH'!$B$6:$T$823,9,0),"")</f>
        <v>45292</v>
      </c>
      <c r="K539" s="80" t="str">
        <f>IFERROR(VLOOKUP(B539,'02. MM-KLH'!$B$6:$T$823,10,0),"")</f>
        <v>Bình thường</v>
      </c>
      <c r="L539" s="102">
        <f>IFERROR(VLOOKUP(B539,'02. MM-KLH'!$B$6:$T$823,11,0),"")</f>
        <v>0.98</v>
      </c>
      <c r="M539" s="143" t="str">
        <f>IFERROR(VLOOKUP(B539,'02. MM-KLH'!$B$6:$T$823,12,0),"")</f>
        <v/>
      </c>
      <c r="N539" s="108" t="str">
        <f>IFERROR(VLOOKUP(B539,'02. MM-KLH'!$B$6:$T$823,13,0),"")</f>
        <v>MANITOU</v>
      </c>
      <c r="O539" s="108" t="str">
        <f>IFERROR(VLOOKUP(B539,'02. MM-KLH'!$B$6:$T$823,14,0),"")</f>
        <v>PHÁP</v>
      </c>
      <c r="P539" s="80">
        <f>IFERROR(VLOOKUP(B539,'02. MM-KLH'!$B$6:$T$823,15,0),"")</f>
        <v>2018</v>
      </c>
      <c r="Q539" s="80" t="str">
        <f>IFERROR(VLOOKUP(B539,'02. MM-KLH'!$B$6:$T$823,16,0),"")</f>
        <v>MT625H</v>
      </c>
      <c r="R539" s="106" t="str">
        <f>IFERROR(VLOOKUP(B539,'02. MM-KLH'!$B$6:$T$823,17,0),"")</f>
        <v>75HP</v>
      </c>
      <c r="S539" s="108" t="str">
        <f>IFERROR(VLOOKUP(B539,'02. MM-KLH'!$B$6:$T$823,18,0),"")</f>
        <v>MAN00000T01005580</v>
      </c>
      <c r="T539" s="110" t="str">
        <f>IFERROR(VLOOKUP(B539,'02. MM-KLH'!$B$6:$T$823,19,0),"")</f>
        <v> V3307T8JL1568</v>
      </c>
      <c r="U539" s="130" t="s">
        <v>79</v>
      </c>
    </row>
    <row r="540" ht="13.5" customHeight="1">
      <c r="A540" s="95">
        <f t="shared" si="25"/>
        <v>5</v>
      </c>
      <c r="B540" s="113" t="s">
        <v>1931</v>
      </c>
      <c r="C540" s="113" t="str">
        <f>IFERROR(VLOOKUP(B540,'02. MM-KLH'!$B$6:$T$823,2,0),"")</f>
        <v>Mới</v>
      </c>
      <c r="D540" s="95" t="str">
        <f>IFERROR(VLOOKUP(B540,'02. MM-KLH'!$B$6:$T$823,3,0),"")</f>
        <v>ATM-A22-0120</v>
      </c>
      <c r="E540" s="86" t="str">
        <f>IFERROR(VLOOKUP(B540,'02. MM-KLH'!$B$6:$T$823,4,0),"")</f>
        <v/>
      </c>
      <c r="F540" s="115" t="s">
        <v>5967</v>
      </c>
      <c r="G540" s="86" t="str">
        <f>IFERROR(VLOOKUP(B540,'02. MM-KLH'!$B$6:$T$823,6,0),"")</f>
        <v>Xe xúc lật LEHMAN ZL940G</v>
      </c>
      <c r="H540" s="80" t="s">
        <v>5961</v>
      </c>
      <c r="I540" s="80" t="str">
        <f>IFERROR(VLOOKUP(B540,'02. MM-KLH'!$B$6:$T$823,8,0),"")</f>
        <v>XN Bò AD</v>
      </c>
      <c r="J540" s="99" t="str">
        <f>IFERROR(VLOOKUP(B540,'02. MM-KLH'!$B$6:$T$823,9,0),"")</f>
        <v>15/12/2023</v>
      </c>
      <c r="K540" s="80" t="str">
        <f>IFERROR(VLOOKUP(B540,'02. MM-KLH'!$B$6:$T$823,10,0),"")</f>
        <v>Bình thường</v>
      </c>
      <c r="L540" s="102">
        <f>IFERROR(VLOOKUP(B540,'02. MM-KLH'!$B$6:$T$823,11,0),"")</f>
        <v>0.97</v>
      </c>
      <c r="M540" s="143" t="str">
        <f>IFERROR(VLOOKUP(B540,'02. MM-KLH'!$B$6:$T$823,12,0),"")</f>
        <v>Đầu tư mới</v>
      </c>
      <c r="N540" s="108" t="str">
        <f>IFERROR(VLOOKUP(B540,'02. MM-KLH'!$B$6:$T$823,13,0),"")</f>
        <v>LEHMAN</v>
      </c>
      <c r="O540" s="108" t="str">
        <f>IFERROR(VLOOKUP(B540,'02. MM-KLH'!$B$6:$T$823,14,0),"")</f>
        <v>TRUNG QUỐC</v>
      </c>
      <c r="P540" s="80">
        <f>IFERROR(VLOOKUP(B540,'02. MM-KLH'!$B$6:$T$823,15,0),"")</f>
        <v>2023</v>
      </c>
      <c r="Q540" s="80" t="str">
        <f>IFERROR(VLOOKUP(B540,'02. MM-KLH'!$B$6:$T$823,16,0),"")</f>
        <v>ZL940G</v>
      </c>
      <c r="R540" s="106" t="str">
        <f>IFERROR(VLOOKUP(B540,'02. MM-KLH'!$B$6:$T$823,17,0),"")</f>
        <v>115HP</v>
      </c>
      <c r="S540" s="108" t="str">
        <f>IFERROR(VLOOKUP(B540,'02. MM-KLH'!$B$6:$T$823,18,0),"")</f>
        <v>SY23090078</v>
      </c>
      <c r="T540" s="110" t="str">
        <f>IFERROR(VLOOKUP(B540,'02. MM-KLH'!$B$6:$T$823,19,0),"")</f>
        <v>YCD4J22T-1151JG410P03213</v>
      </c>
      <c r="U540" s="130" t="s">
        <v>79</v>
      </c>
    </row>
    <row r="541" ht="13.5" customHeight="1">
      <c r="A541" s="95">
        <f t="shared" si="25"/>
        <v>6</v>
      </c>
      <c r="B541" s="115" t="s">
        <v>1937</v>
      </c>
      <c r="C541" s="113" t="str">
        <f>IFERROR(VLOOKUP(B541,'02. MM-KLH'!$B$6:$T$823,2,0),"")</f>
        <v>Mới</v>
      </c>
      <c r="D541" s="95" t="str">
        <f>IFERROR(VLOOKUP(B541,'02. MM-KLH'!$B$6:$T$823,3,0),"")</f>
        <v>ATT-A22-0324</v>
      </c>
      <c r="E541" s="86" t="str">
        <f>IFERROR(VLOOKUP(B541,'02. MM-KLH'!$B$6:$T$823,4,0),"")</f>
        <v/>
      </c>
      <c r="F541" s="115" t="s">
        <v>5968</v>
      </c>
      <c r="G541" s="86" t="str">
        <f>IFERROR(VLOOKUP(B541,'02. MM-KLH'!$B$6:$T$823,6,0),"")</f>
        <v>Xe xúc lật L935H</v>
      </c>
      <c r="H541" s="80" t="s">
        <v>5961</v>
      </c>
      <c r="I541" s="80" t="str">
        <f>IFERROR(VLOOKUP(B541,'02. MM-KLH'!$B$6:$T$823,8,0),"")</f>
        <v>XN Bò AD</v>
      </c>
      <c r="J541" s="99" t="str">
        <f>IFERROR(VLOOKUP(B541,'02. MM-KLH'!$B$6:$T$823,9,0),"")</f>
        <v>30/01/2024</v>
      </c>
      <c r="K541" s="80" t="str">
        <f>IFERROR(VLOOKUP(B541,'02. MM-KLH'!$B$6:$T$823,10,0),"")</f>
        <v>Bình thường</v>
      </c>
      <c r="L541" s="102">
        <f>IFERROR(VLOOKUP(B541,'02. MM-KLH'!$B$6:$T$823,11,0),"")</f>
        <v>0.98</v>
      </c>
      <c r="M541" s="143" t="str">
        <f>IFERROR(VLOOKUP(B541,'02. MM-KLH'!$B$6:$T$823,12,0),"")</f>
        <v>Đầu tư mới</v>
      </c>
      <c r="N541" s="108" t="str">
        <f>IFERROR(VLOOKUP(B541,'02. MM-KLH'!$B$6:$T$823,13,0),"")</f>
        <v>SDLG</v>
      </c>
      <c r="O541" s="108" t="str">
        <f>IFERROR(VLOOKUP(B541,'02. MM-KLH'!$B$6:$T$823,14,0),"")</f>
        <v>TRUNG QUỐC</v>
      </c>
      <c r="P541" s="80">
        <f>IFERROR(VLOOKUP(B541,'02. MM-KLH'!$B$6:$T$823,15,0),"")</f>
        <v>2022</v>
      </c>
      <c r="Q541" s="80" t="str">
        <f>IFERROR(VLOOKUP(B541,'02. MM-KLH'!$B$6:$T$823,16,0),"")</f>
        <v>L935H</v>
      </c>
      <c r="R541" s="106" t="str">
        <f>IFERROR(VLOOKUP(B541,'02. MM-KLH'!$B$6:$T$823,17,0),"")</f>
        <v>140HP</v>
      </c>
      <c r="S541" s="108" t="str">
        <f>IFERROR(VLOOKUP(B541,'02. MM-KLH'!$B$6:$T$823,18,0),"")</f>
        <v>VLGL935HAN0620050</v>
      </c>
      <c r="T541" s="110" t="str">
        <f>IFERROR(VLOOKUP(B541,'02. MM-KLH'!$B$6:$T$823,19,0),"")</f>
        <v>WP6G140E226P22D023010</v>
      </c>
      <c r="U541" s="130" t="s">
        <v>2301</v>
      </c>
    </row>
    <row r="542" ht="13.5" customHeight="1">
      <c r="A542" s="95">
        <f t="shared" si="25"/>
        <v>7</v>
      </c>
      <c r="B542" s="115" t="s">
        <v>1944</v>
      </c>
      <c r="C542" s="113" t="str">
        <f>IFERROR(VLOOKUP(B542,'02. MM-KLH'!$B$6:$T$823,2,0),"")</f>
        <v>Mới</v>
      </c>
      <c r="D542" s="95" t="str">
        <f>IFERROR(VLOOKUP(B542,'02. MM-KLH'!$B$6:$T$823,3,0),"")</f>
        <v>A22-XXL-008</v>
      </c>
      <c r="E542" s="86" t="str">
        <f>IFERROR(VLOOKUP(B542,'02. MM-KLH'!$B$6:$T$823,4,0),"")</f>
        <v/>
      </c>
      <c r="F542" s="115"/>
      <c r="G542" s="86" t="str">
        <f>IFERROR(VLOOKUP(B542,'02. MM-KLH'!$B$6:$T$823,6,0),"")</f>
        <v>Xe xúc lật LEHMAN ZL946E</v>
      </c>
      <c r="H542" s="80" t="s">
        <v>5961</v>
      </c>
      <c r="I542" s="80" t="str">
        <f>IFERROR(VLOOKUP(B542,'02. MM-KLH'!$B$6:$T$823,8,0),"")</f>
        <v>XN Bò AD</v>
      </c>
      <c r="J542" s="99">
        <f>IFERROR(VLOOKUP(B542,'02. MM-KLH'!$B$6:$T$823,9,0),"")</f>
        <v>45633</v>
      </c>
      <c r="K542" s="80" t="str">
        <f>IFERROR(VLOOKUP(B542,'02. MM-KLH'!$B$6:$T$823,10,0),"")</f>
        <v>Bình thường</v>
      </c>
      <c r="L542" s="102">
        <f>IFERROR(VLOOKUP(B542,'02. MM-KLH'!$B$6:$T$823,11,0),"")</f>
        <v>0.99</v>
      </c>
      <c r="M542" s="143" t="str">
        <f>IFERROR(VLOOKUP(B542,'02. MM-KLH'!$B$6:$T$823,12,0),"")</f>
        <v>Đầu tư mới</v>
      </c>
      <c r="N542" s="108" t="str">
        <f>IFERROR(VLOOKUP(B542,'02. MM-KLH'!$B$6:$T$823,13,0),"")</f>
        <v>LEHMAN</v>
      </c>
      <c r="O542" s="108" t="str">
        <f>IFERROR(VLOOKUP(B542,'02. MM-KLH'!$B$6:$T$823,14,0),"")</f>
        <v>TRUNG QUỐC</v>
      </c>
      <c r="P542" s="80">
        <f>IFERROR(VLOOKUP(B542,'02. MM-KLH'!$B$6:$T$823,15,0),"")</f>
        <v>2024</v>
      </c>
      <c r="Q542" s="80" t="str">
        <f>IFERROR(VLOOKUP(B542,'02. MM-KLH'!$B$6:$T$823,16,0),"")</f>
        <v>ZL946E</v>
      </c>
      <c r="R542" s="106" t="str">
        <f>IFERROR(VLOOKUP(B542,'02. MM-KLH'!$B$6:$T$823,17,0),"")</f>
        <v>114HP</v>
      </c>
      <c r="S542" s="108" t="str">
        <f>IFERROR(VLOOKUP(B542,'02. MM-KLH'!$B$6:$T$823,18,0),"")</f>
        <v>SY24020177</v>
      </c>
      <c r="T542" s="110" t="str">
        <f>IFERROR(VLOOKUP(B542,'02. MM-KLH'!$B$6:$T$823,19,0),"")</f>
        <v>1JG410P06207</v>
      </c>
      <c r="U542" s="130" t="s">
        <v>2301</v>
      </c>
    </row>
    <row r="543" ht="13.5" customHeight="1">
      <c r="A543" s="95">
        <f t="shared" si="25"/>
        <v>8</v>
      </c>
      <c r="B543" s="115" t="s">
        <v>1948</v>
      </c>
      <c r="C543" s="113" t="str">
        <f>IFERROR(VLOOKUP(B543,'02. MM-KLH'!$B$6:$T$823,2,0),"")</f>
        <v>Mới</v>
      </c>
      <c r="D543" s="95" t="str">
        <f>IFERROR(VLOOKUP(B543,'02. MM-KLH'!$B$6:$T$823,3,0),"")</f>
        <v>A22-XXL-009</v>
      </c>
      <c r="E543" s="86" t="str">
        <f>IFERROR(VLOOKUP(B543,'02. MM-KLH'!$B$6:$T$823,4,0),"")</f>
        <v/>
      </c>
      <c r="F543" s="115"/>
      <c r="G543" s="86" t="str">
        <f>IFERROR(VLOOKUP(B543,'02. MM-KLH'!$B$6:$T$823,6,0),"")</f>
        <v>Xe xúc lật LEHMAN ZL946PR</v>
      </c>
      <c r="H543" s="80" t="s">
        <v>5961</v>
      </c>
      <c r="I543" s="80" t="str">
        <f>IFERROR(VLOOKUP(B543,'02. MM-KLH'!$B$6:$T$823,8,0),"")</f>
        <v>XN Bò AD</v>
      </c>
      <c r="J543" s="99" t="str">
        <f>IFERROR(VLOOKUP(B543,'02. MM-KLH'!$B$6:$T$823,9,0),"")</f>
        <v>16/08/2024</v>
      </c>
      <c r="K543" s="80" t="str">
        <f>IFERROR(VLOOKUP(B543,'02. MM-KLH'!$B$6:$T$823,10,0),"")</f>
        <v>Bình thường</v>
      </c>
      <c r="L543" s="102" t="str">
        <f>IFERROR(VLOOKUP(B543,'02. MM-KLH'!$B$6:$T$823,11,0),"")</f>
        <v/>
      </c>
      <c r="M543" s="143" t="str">
        <f>IFERROR(VLOOKUP(B543,'02. MM-KLH'!$B$6:$T$823,12,0),"")</f>
        <v>Đầu tư mới</v>
      </c>
      <c r="N543" s="108" t="str">
        <f>IFERROR(VLOOKUP(B543,'02. MM-KLH'!$B$6:$T$823,13,0),"")</f>
        <v>LEHMAN</v>
      </c>
      <c r="O543" s="108" t="str">
        <f>IFERROR(VLOOKUP(B543,'02. MM-KLH'!$B$6:$T$823,14,0),"")</f>
        <v>TRUNG QUỐC</v>
      </c>
      <c r="P543" s="80">
        <f>IFERROR(VLOOKUP(B543,'02. MM-KLH'!$B$6:$T$823,15,0),"")</f>
        <v>2024</v>
      </c>
      <c r="Q543" s="80" t="str">
        <f>IFERROR(VLOOKUP(B543,'02. MM-KLH'!$B$6:$T$823,16,0),"")</f>
        <v>ZL946PR</v>
      </c>
      <c r="R543" s="106" t="str">
        <f>IFERROR(VLOOKUP(B543,'02. MM-KLH'!$B$6:$T$823,17,0),"")</f>
        <v>114HP</v>
      </c>
      <c r="S543" s="108" t="str">
        <f>IFERROR(VLOOKUP(B543,'02. MM-KLH'!$B$6:$T$823,18,0),"")</f>
        <v>SY24050287</v>
      </c>
      <c r="T543" s="110" t="str">
        <f>IFERROR(VLOOKUP(B543,'02. MM-KLH'!$B$6:$T$823,19,0),"")</f>
        <v>1JG410R01725</v>
      </c>
      <c r="U543" s="130" t="s">
        <v>2301</v>
      </c>
    </row>
    <row r="544" ht="13.5" customHeight="1">
      <c r="A544" s="95">
        <f t="shared" si="25"/>
        <v>9</v>
      </c>
      <c r="B544" s="115" t="s">
        <v>1954</v>
      </c>
      <c r="C544" s="113" t="str">
        <f>IFERROR(VLOOKUP(B544,'02. MM-KLH'!$B$6:$T$823,2,0),"")</f>
        <v/>
      </c>
      <c r="D544" s="95" t="str">
        <f>IFERROR(VLOOKUP(B544,'02. MM-KLH'!$B$6:$T$823,3,0),"")</f>
        <v>A22-XXL-010</v>
      </c>
      <c r="E544" s="86" t="str">
        <f>IFERROR(VLOOKUP(B544,'02. MM-KLH'!$B$6:$T$823,4,0),"")</f>
        <v/>
      </c>
      <c r="F544" s="115"/>
      <c r="G544" s="86" t="str">
        <f>IFERROR(VLOOKUP(B544,'02. MM-KLH'!$B$6:$T$823,6,0),"")</f>
        <v>Xe xúc lật LEHMAN ZL946GP</v>
      </c>
      <c r="H544" s="80" t="s">
        <v>5961</v>
      </c>
      <c r="I544" s="80" t="str">
        <f>IFERROR(VLOOKUP(B544,'02. MM-KLH'!$B$6:$T$823,8,0),"")</f>
        <v>XN Bò AD</v>
      </c>
      <c r="J544" s="99">
        <f>IFERROR(VLOOKUP(B544,'02. MM-KLH'!$B$6:$T$823,9,0),"")</f>
        <v>45717</v>
      </c>
      <c r="K544" s="80" t="str">
        <f>IFERROR(VLOOKUP(B544,'02. MM-KLH'!$B$6:$T$823,10,0),"")</f>
        <v>Bình thường</v>
      </c>
      <c r="L544" s="102" t="str">
        <f>IFERROR(VLOOKUP(B544,'02. MM-KLH'!$B$6:$T$823,11,0),"")</f>
        <v/>
      </c>
      <c r="M544" s="143" t="str">
        <f>IFERROR(VLOOKUP(B544,'02. MM-KLH'!$B$6:$T$823,12,0),"")</f>
        <v>Đầu tư mới</v>
      </c>
      <c r="N544" s="108" t="str">
        <f>IFERROR(VLOOKUP(B544,'02. MM-KLH'!$B$6:$T$823,13,0),"")</f>
        <v>LEHMAN</v>
      </c>
      <c r="O544" s="108" t="str">
        <f>IFERROR(VLOOKUP(B544,'02. MM-KLH'!$B$6:$T$823,14,0),"")</f>
        <v>TRUNG QUỐC</v>
      </c>
      <c r="P544" s="80">
        <f>IFERROR(VLOOKUP(B544,'02. MM-KLH'!$B$6:$T$823,15,0),"")</f>
        <v>2024</v>
      </c>
      <c r="Q544" s="80" t="str">
        <f>IFERROR(VLOOKUP(B544,'02. MM-KLH'!$B$6:$T$823,16,0),"")</f>
        <v>ZL946GP</v>
      </c>
      <c r="R544" s="106" t="str">
        <f>IFERROR(VLOOKUP(B544,'02. MM-KLH'!$B$6:$T$823,17,0),"")</f>
        <v>114HP</v>
      </c>
      <c r="S544" s="108" t="str">
        <f>IFERROR(VLOOKUP(B544,'02. MM-KLH'!$B$6:$T$823,18,0),"")</f>
        <v>SY24070162</v>
      </c>
      <c r="T544" s="110" t="str">
        <f>IFERROR(VLOOKUP(B544,'02. MM-KLH'!$B$6:$T$823,19,0),"")</f>
        <v>1JG410R02694</v>
      </c>
      <c r="U544" s="130" t="s">
        <v>2301</v>
      </c>
    </row>
    <row r="545" ht="13.5" customHeight="1">
      <c r="A545" s="95">
        <f t="shared" si="25"/>
        <v>10</v>
      </c>
      <c r="B545" s="115" t="s">
        <v>1959</v>
      </c>
      <c r="C545" s="113" t="str">
        <f>IFERROR(VLOOKUP(B545,'02. MM-KLH'!$B$6:$T$823,2,0),"")</f>
        <v/>
      </c>
      <c r="D545" s="95" t="str">
        <f>IFERROR(VLOOKUP(B545,'02. MM-KLH'!$B$6:$T$823,3,0),"")</f>
        <v>A22-XXL-011</v>
      </c>
      <c r="E545" s="86" t="str">
        <f>IFERROR(VLOOKUP(B545,'02. MM-KLH'!$B$6:$T$823,4,0),"")</f>
        <v/>
      </c>
      <c r="F545" s="115"/>
      <c r="G545" s="86" t="str">
        <f>IFERROR(VLOOKUP(B545,'02. MM-KLH'!$B$6:$T$823,6,0),"")</f>
        <v>Xe xúc lật LEHMAN ZL946GP</v>
      </c>
      <c r="H545" s="80" t="s">
        <v>5961</v>
      </c>
      <c r="I545" s="80" t="str">
        <f>IFERROR(VLOOKUP(B545,'02. MM-KLH'!$B$6:$T$823,8,0),"")</f>
        <v>XN Bò AD</v>
      </c>
      <c r="J545" s="99">
        <f>IFERROR(VLOOKUP(B545,'02. MM-KLH'!$B$6:$T$823,9,0),"")</f>
        <v>45717</v>
      </c>
      <c r="K545" s="80" t="str">
        <f>IFERROR(VLOOKUP(B545,'02. MM-KLH'!$B$6:$T$823,10,0),"")</f>
        <v>Bình thường</v>
      </c>
      <c r="L545" s="102" t="str">
        <f>IFERROR(VLOOKUP(B545,'02. MM-KLH'!$B$6:$T$823,11,0),"")</f>
        <v/>
      </c>
      <c r="M545" s="143" t="str">
        <f>IFERROR(VLOOKUP(B545,'02. MM-KLH'!$B$6:$T$823,12,0),"")</f>
        <v>Đầu tư mới</v>
      </c>
      <c r="N545" s="108" t="str">
        <f>IFERROR(VLOOKUP(B545,'02. MM-KLH'!$B$6:$T$823,13,0),"")</f>
        <v>LEHMAN</v>
      </c>
      <c r="O545" s="108" t="str">
        <f>IFERROR(VLOOKUP(B545,'02. MM-KLH'!$B$6:$T$823,14,0),"")</f>
        <v>TRUNG QUỐC</v>
      </c>
      <c r="P545" s="80">
        <f>IFERROR(VLOOKUP(B545,'02. MM-KLH'!$B$6:$T$823,15,0),"")</f>
        <v>2024</v>
      </c>
      <c r="Q545" s="80" t="str">
        <f>IFERROR(VLOOKUP(B545,'02. MM-KLH'!$B$6:$T$823,16,0),"")</f>
        <v>ZL946GP</v>
      </c>
      <c r="R545" s="106" t="str">
        <f>IFERROR(VLOOKUP(B545,'02. MM-KLH'!$B$6:$T$823,17,0),"")</f>
        <v>114HP</v>
      </c>
      <c r="S545" s="108" t="str">
        <f>IFERROR(VLOOKUP(B545,'02. MM-KLH'!$B$6:$T$823,18,0),"")</f>
        <v>SY35080163</v>
      </c>
      <c r="T545" s="110" t="str">
        <f>IFERROR(VLOOKUP(B545,'02. MM-KLH'!$B$6:$T$823,19,0),"")</f>
        <v>1JG410R02705</v>
      </c>
      <c r="U545" s="130" t="s">
        <v>2301</v>
      </c>
    </row>
    <row r="546" ht="13.5" customHeight="1">
      <c r="A546" s="95">
        <f t="shared" si="25"/>
        <v>11</v>
      </c>
      <c r="B546" s="115" t="s">
        <v>1963</v>
      </c>
      <c r="C546" s="113" t="str">
        <f>IFERROR(VLOOKUP(B546,'02. MM-KLH'!$B$6:$T$823,2,0),"")</f>
        <v/>
      </c>
      <c r="D546" s="95" t="str">
        <f>IFERROR(VLOOKUP(B546,'02. MM-KLH'!$B$6:$T$823,3,0),"")</f>
        <v>A22-XXL-012</v>
      </c>
      <c r="E546" s="86" t="str">
        <f>IFERROR(VLOOKUP(B546,'02. MM-KLH'!$B$6:$T$823,4,0),"")</f>
        <v/>
      </c>
      <c r="F546" s="115"/>
      <c r="G546" s="86" t="str">
        <f>IFERROR(VLOOKUP(B546,'02. MM-KLH'!$B$6:$T$823,6,0),"")</f>
        <v>Xe xúc lật SDLG L936H</v>
      </c>
      <c r="H546" s="80" t="s">
        <v>5961</v>
      </c>
      <c r="I546" s="80" t="str">
        <f>IFERROR(VLOOKUP(B546,'02. MM-KLH'!$B$6:$T$823,8,0),"")</f>
        <v>XN Bò AD</v>
      </c>
      <c r="J546" s="99">
        <f>IFERROR(VLOOKUP(B546,'02. MM-KLH'!$B$6:$T$823,9,0),"")</f>
        <v>45939</v>
      </c>
      <c r="K546" s="80" t="str">
        <f>IFERROR(VLOOKUP(B546,'02. MM-KLH'!$B$6:$T$823,10,0),"")</f>
        <v>Bình thường</v>
      </c>
      <c r="L546" s="102" t="str">
        <f>IFERROR(VLOOKUP(B546,'02. MM-KLH'!$B$6:$T$823,11,0),"")</f>
        <v/>
      </c>
      <c r="M546" s="143" t="str">
        <f>IFERROR(VLOOKUP(B546,'02. MM-KLH'!$B$6:$T$823,12,0),"")</f>
        <v>Đầu tư mới</v>
      </c>
      <c r="N546" s="108" t="str">
        <f>IFERROR(VLOOKUP(B546,'02. MM-KLH'!$B$6:$T$823,13,0),"")</f>
        <v>SDLG</v>
      </c>
      <c r="O546" s="108" t="str">
        <f>IFERROR(VLOOKUP(B546,'02. MM-KLH'!$B$6:$T$823,14,0),"")</f>
        <v>TRUNG QUỐC</v>
      </c>
      <c r="P546" s="80">
        <f>IFERROR(VLOOKUP(B546,'02. MM-KLH'!$B$6:$T$823,15,0),"")</f>
        <v>2025</v>
      </c>
      <c r="Q546" s="80" t="str">
        <f>IFERROR(VLOOKUP(B546,'02. MM-KLH'!$B$6:$T$823,16,0),"")</f>
        <v>L936H</v>
      </c>
      <c r="R546" s="106" t="str">
        <f>IFERROR(VLOOKUP(B546,'02. MM-KLH'!$B$6:$T$823,17,0),"")</f>
        <v>143HP</v>
      </c>
      <c r="S546" s="108" t="str">
        <f>IFERROR(VLOOKUP(B546,'02. MM-KLH'!$B$6:$T$823,18,0),"")</f>
        <v>VLGL936HLR0620877</v>
      </c>
      <c r="T546" s="110" t="str">
        <f>IFERROR(VLOOKUP(B546,'02. MM-KLH'!$B$6:$T$823,19,0),"")</f>
        <v>WP6G140E226P24S022431</v>
      </c>
      <c r="U546" s="130" t="s">
        <v>2301</v>
      </c>
    </row>
    <row r="547" ht="13.5" customHeight="1">
      <c r="A547" s="95">
        <f t="shared" si="25"/>
        <v>12</v>
      </c>
      <c r="B547" s="115" t="s">
        <v>1968</v>
      </c>
      <c r="C547" s="113" t="str">
        <f>IFERROR(VLOOKUP(B547,'02. MM-KLH'!$B$6:$T$823,2,0),"")</f>
        <v/>
      </c>
      <c r="D547" s="95" t="str">
        <f>IFERROR(VLOOKUP(B547,'02. MM-KLH'!$B$6:$T$823,3,0),"")</f>
        <v>A22-XXL-013</v>
      </c>
      <c r="E547" s="86" t="str">
        <f>IFERROR(VLOOKUP(B547,'02. MM-KLH'!$B$6:$T$823,4,0),"")</f>
        <v/>
      </c>
      <c r="F547" s="115"/>
      <c r="G547" s="86" t="str">
        <f>IFERROR(VLOOKUP(B547,'02. MM-KLH'!$B$6:$T$823,6,0),"")</f>
        <v>Xe xúc lật SDLG L936H</v>
      </c>
      <c r="H547" s="80" t="s">
        <v>5961</v>
      </c>
      <c r="I547" s="80" t="str">
        <f>IFERROR(VLOOKUP(B547,'02. MM-KLH'!$B$6:$T$823,8,0),"")</f>
        <v>XN Bò AD</v>
      </c>
      <c r="J547" s="99">
        <f>IFERROR(VLOOKUP(B547,'02. MM-KLH'!$B$6:$T$823,9,0),"")</f>
        <v>45939</v>
      </c>
      <c r="K547" s="80" t="str">
        <f>IFERROR(VLOOKUP(B547,'02. MM-KLH'!$B$6:$T$823,10,0),"")</f>
        <v>Bình thường</v>
      </c>
      <c r="L547" s="102" t="str">
        <f>IFERROR(VLOOKUP(B547,'02. MM-KLH'!$B$6:$T$823,11,0),"")</f>
        <v/>
      </c>
      <c r="M547" s="143" t="str">
        <f>IFERROR(VLOOKUP(B547,'02. MM-KLH'!$B$6:$T$823,12,0),"")</f>
        <v>Đầu tư mới</v>
      </c>
      <c r="N547" s="108" t="str">
        <f>IFERROR(VLOOKUP(B547,'02. MM-KLH'!$B$6:$T$823,13,0),"")</f>
        <v>SDLG</v>
      </c>
      <c r="O547" s="108" t="str">
        <f>IFERROR(VLOOKUP(B547,'02. MM-KLH'!$B$6:$T$823,14,0),"")</f>
        <v>TRUNG QUỐC</v>
      </c>
      <c r="P547" s="80">
        <f>IFERROR(VLOOKUP(B547,'02. MM-KLH'!$B$6:$T$823,15,0),"")</f>
        <v>2025</v>
      </c>
      <c r="Q547" s="80" t="str">
        <f>IFERROR(VLOOKUP(B547,'02. MM-KLH'!$B$6:$T$823,16,0),"")</f>
        <v>L936H</v>
      </c>
      <c r="R547" s="106" t="str">
        <f>IFERROR(VLOOKUP(B547,'02. MM-KLH'!$B$6:$T$823,17,0),"")</f>
        <v>143HP</v>
      </c>
      <c r="S547" s="108" t="str">
        <f>IFERROR(VLOOKUP(B547,'02. MM-KLH'!$B$6:$T$823,18,0),"")</f>
        <v>VLGL936HVS0620901</v>
      </c>
      <c r="T547" s="110" t="str">
        <f>IFERROR(VLOOKUP(B547,'02. MM-KLH'!$B$6:$T$823,19,0),"")</f>
        <v>WP6G140E226P24K026707</v>
      </c>
      <c r="U547" s="130" t="s">
        <v>2301</v>
      </c>
    </row>
    <row r="548" ht="13.5" customHeight="1">
      <c r="A548" s="95">
        <f t="shared" si="25"/>
        <v>13</v>
      </c>
      <c r="B548" s="115" t="s">
        <v>1972</v>
      </c>
      <c r="C548" s="113" t="str">
        <f>IFERROR(VLOOKUP(B548,'02. MM-KLH'!$B$6:$T$823,2,0),"")</f>
        <v/>
      </c>
      <c r="D548" s="95" t="str">
        <f>IFERROR(VLOOKUP(B548,'02. MM-KLH'!$B$6:$T$823,3,0),"")</f>
        <v>A22-XXL-014</v>
      </c>
      <c r="E548" s="86" t="str">
        <f>IFERROR(VLOOKUP(B548,'02. MM-KLH'!$B$6:$T$823,4,0),"")</f>
        <v/>
      </c>
      <c r="F548" s="115"/>
      <c r="G548" s="86" t="str">
        <f>IFERROR(VLOOKUP(B548,'02. MM-KLH'!$B$6:$T$823,6,0),"")</f>
        <v>Xe xúc lật TCM 709</v>
      </c>
      <c r="H548" s="80" t="s">
        <v>5961</v>
      </c>
      <c r="I548" s="80" t="str">
        <f>IFERROR(VLOOKUP(B548,'02. MM-KLH'!$B$6:$T$823,8,0),"")</f>
        <v>XN Bò AD</v>
      </c>
      <c r="J548" s="99" t="str">
        <f>IFERROR(VLOOKUP(B548,'02. MM-KLH'!$B$6:$T$823,9,0),"")</f>
        <v>24/09/2025</v>
      </c>
      <c r="K548" s="80" t="str">
        <f>IFERROR(VLOOKUP(B548,'02. MM-KLH'!$B$6:$T$823,10,0),"")</f>
        <v>Bình thường</v>
      </c>
      <c r="L548" s="102" t="str">
        <f>IFERROR(VLOOKUP(B548,'02. MM-KLH'!$B$6:$T$823,11,0),"")</f>
        <v/>
      </c>
      <c r="M548" s="143" t="str">
        <f>IFERROR(VLOOKUP(B548,'02. MM-KLH'!$B$6:$T$823,12,0),"")</f>
        <v>XNB IAPUCH điều chuyển cho KM mượn dài hạn</v>
      </c>
      <c r="N548" s="108" t="str">
        <f>IFERROR(VLOOKUP(B548,'02. MM-KLH'!$B$6:$T$823,13,0),"")</f>
        <v>TCM</v>
      </c>
      <c r="O548" s="108" t="str">
        <f>IFERROR(VLOOKUP(B548,'02. MM-KLH'!$B$6:$T$823,14,0),"")</f>
        <v>VIỆT NAM</v>
      </c>
      <c r="P548" s="80">
        <f>IFERROR(VLOOKUP(B548,'02. MM-KLH'!$B$6:$T$823,15,0),"")</f>
        <v>2007</v>
      </c>
      <c r="Q548" s="80" t="str">
        <f>IFERROR(VLOOKUP(B548,'02. MM-KLH'!$B$6:$T$823,16,0),"")</f>
        <v>V2403-M</v>
      </c>
      <c r="R548" s="106" t="str">
        <f>IFERROR(VLOOKUP(B548,'02. MM-KLH'!$B$6:$T$823,17,0),"")</f>
        <v>45HP</v>
      </c>
      <c r="S548" s="108" t="str">
        <f>IFERROR(VLOOKUP(B548,'02. MM-KLH'!$B$6:$T$823,18,0),"")</f>
        <v>56T01045</v>
      </c>
      <c r="T548" s="110" t="str">
        <f>IFERROR(VLOOKUP(B548,'02. MM-KLH'!$B$6:$T$823,19,0),"")</f>
        <v>V2403-08-3116</v>
      </c>
      <c r="U548" s="130" t="s">
        <v>235</v>
      </c>
    </row>
    <row r="549" ht="13.5" customHeight="1">
      <c r="A549" s="95">
        <f t="shared" si="25"/>
        <v>14</v>
      </c>
      <c r="B549" s="115" t="s">
        <v>1982</v>
      </c>
      <c r="C549" s="113" t="str">
        <f>IFERROR(VLOOKUP(B549,'02. MM-KLH'!$B$6:$T$823,2,0),"")</f>
        <v/>
      </c>
      <c r="D549" s="95" t="str">
        <f>IFERROR(VLOOKUP(B549,'02. MM-KLH'!$B$6:$T$823,3,0),"")</f>
        <v>A22-XXL-015</v>
      </c>
      <c r="E549" s="86" t="str">
        <f>IFERROR(VLOOKUP(B549,'02. MM-KLH'!$B$6:$T$823,4,0),"")</f>
        <v/>
      </c>
      <c r="F549" s="115"/>
      <c r="G549" s="86" t="str">
        <f>IFERROR(VLOOKUP(B549,'02. MM-KLH'!$B$6:$T$823,6,0),"")</f>
        <v>Xe xúc lật SDLG L936H</v>
      </c>
      <c r="H549" s="80" t="s">
        <v>5961</v>
      </c>
      <c r="I549" s="80" t="str">
        <f>IFERROR(VLOOKUP(B549,'02. MM-KLH'!$B$6:$T$823,8,0),"")</f>
        <v>XN Bò AD</v>
      </c>
      <c r="J549" s="99">
        <f>IFERROR(VLOOKUP(B549,'02. MM-KLH'!$B$6:$T$823,9,0),"")</f>
        <v>46002</v>
      </c>
      <c r="K549" s="80" t="str">
        <f>IFERROR(VLOOKUP(B549,'02. MM-KLH'!$B$6:$T$823,10,0),"")</f>
        <v>Bình thường</v>
      </c>
      <c r="L549" s="102" t="str">
        <f>IFERROR(VLOOKUP(B549,'02. MM-KLH'!$B$6:$T$823,11,0),"")</f>
        <v/>
      </c>
      <c r="M549" s="143" t="str">
        <f>IFERROR(VLOOKUP(B549,'02. MM-KLH'!$B$6:$T$823,12,0),"")</f>
        <v>Đầu tư mới</v>
      </c>
      <c r="N549" s="108" t="str">
        <f>IFERROR(VLOOKUP(B549,'02. MM-KLH'!$B$6:$T$823,13,0),"")</f>
        <v>SDLG</v>
      </c>
      <c r="O549" s="108" t="str">
        <f>IFERROR(VLOOKUP(B549,'02. MM-KLH'!$B$6:$T$823,14,0),"")</f>
        <v>TRUNG QUỐC</v>
      </c>
      <c r="P549" s="80">
        <f>IFERROR(VLOOKUP(B549,'02. MM-KLH'!$B$6:$T$823,15,0),"")</f>
        <v>2025</v>
      </c>
      <c r="Q549" s="80" t="str">
        <f>IFERROR(VLOOKUP(B549,'02. MM-KLH'!$B$6:$T$823,16,0),"")</f>
        <v>L936H</v>
      </c>
      <c r="R549" s="106" t="str">
        <f>IFERROR(VLOOKUP(B549,'02. MM-KLH'!$B$6:$T$823,17,0),"")</f>
        <v>142.7HP</v>
      </c>
      <c r="S549" s="108" t="str">
        <f>IFERROR(VLOOKUP(B549,'02. MM-KLH'!$B$6:$T$823,18,0),"")</f>
        <v>VLGL936HCS0621335</v>
      </c>
      <c r="T549" s="110" t="str">
        <f>IFERROR(VLOOKUP(B549,'02. MM-KLH'!$B$6:$T$823,19,0),"")</f>
        <v>WP6G140E226P25G016629</v>
      </c>
      <c r="U549" s="130" t="s">
        <v>2301</v>
      </c>
    </row>
    <row r="550" ht="13.5" customHeight="1">
      <c r="A550" s="95">
        <f t="shared" si="25"/>
        <v>15</v>
      </c>
      <c r="B550" s="115" t="s">
        <v>1988</v>
      </c>
      <c r="C550" s="113" t="str">
        <f>IFERROR(VLOOKUP(B550,'02. MM-KLH'!$B$6:$T$823,2,0),"")</f>
        <v/>
      </c>
      <c r="D550" s="95" t="str">
        <f>IFERROR(VLOOKUP(B550,'02. MM-KLH'!$B$6:$T$823,3,0),"")</f>
        <v>A22-XXL-016</v>
      </c>
      <c r="E550" s="86" t="str">
        <f>IFERROR(VLOOKUP(B550,'02. MM-KLH'!$B$6:$T$823,4,0),"")</f>
        <v/>
      </c>
      <c r="F550" s="115"/>
      <c r="G550" s="86" t="str">
        <f>IFERROR(VLOOKUP(B550,'02. MM-KLH'!$B$6:$T$823,6,0),"")</f>
        <v>Xe xúc lật BOBCAT 753</v>
      </c>
      <c r="H550" s="80" t="s">
        <v>5961</v>
      </c>
      <c r="I550" s="80" t="str">
        <f>IFERROR(VLOOKUP(B550,'02. MM-KLH'!$B$6:$T$823,8,0),"")</f>
        <v>XN Bò AD</v>
      </c>
      <c r="J550" s="99">
        <f>IFERROR(VLOOKUP(B550,'02. MM-KLH'!$B$6:$T$823,9,0),"")</f>
        <v>46082</v>
      </c>
      <c r="K550" s="80" t="str">
        <f>IFERROR(VLOOKUP(B550,'02. MM-KLH'!$B$6:$T$823,10,0),"")</f>
        <v>Bình thường</v>
      </c>
      <c r="L550" s="102" t="str">
        <f>IFERROR(VLOOKUP(B550,'02. MM-KLH'!$B$6:$T$823,11,0),"")</f>
        <v/>
      </c>
      <c r="M550" s="143" t="str">
        <f>IFERROR(VLOOKUP(B550,'02. MM-KLH'!$B$6:$T$823,12,0),"")</f>
        <v>Đầu tư mới</v>
      </c>
      <c r="N550" s="108" t="str">
        <f>IFERROR(VLOOKUP(B550,'02. MM-KLH'!$B$6:$T$823,13,0),"")</f>
        <v>BOBCAT</v>
      </c>
      <c r="O550" s="108" t="str">
        <f>IFERROR(VLOOKUP(B550,'02. MM-KLH'!$B$6:$T$823,14,0),"")</f>
        <v>Mỹ</v>
      </c>
      <c r="P550" s="80" t="str">
        <f>IFERROR(VLOOKUP(B550,'02. MM-KLH'!$B$6:$T$823,15,0),"")</f>
        <v/>
      </c>
      <c r="Q550" s="80">
        <f>IFERROR(VLOOKUP(B550,'02. MM-KLH'!$B$6:$T$823,16,0),"")</f>
        <v>753</v>
      </c>
      <c r="R550" s="106" t="str">
        <f>IFERROR(VLOOKUP(B550,'02. MM-KLH'!$B$6:$T$823,17,0),"")</f>
        <v>44Hp</v>
      </c>
      <c r="S550" s="108">
        <f>IFERROR(VLOOKUP(B550,'02. MM-KLH'!$B$6:$T$823,18,0),"")</f>
        <v>511350401</v>
      </c>
      <c r="T550" s="110" t="str">
        <f>IFERROR(VLOOKUP(B550,'02. MM-KLH'!$B$6:$T$823,19,0),"")</f>
        <v>V2203-389041</v>
      </c>
      <c r="U550" s="130" t="s">
        <v>2301</v>
      </c>
    </row>
    <row r="551" ht="13.5" customHeight="1">
      <c r="A551" s="95">
        <f t="shared" si="25"/>
        <v>16</v>
      </c>
      <c r="B551" s="115" t="s">
        <v>1994</v>
      </c>
      <c r="C551" s="113" t="str">
        <f>IFERROR(VLOOKUP(B551,'02. MM-KLH'!$B$6:$T$823,2,0),"")</f>
        <v/>
      </c>
      <c r="D551" s="95" t="str">
        <f>IFERROR(VLOOKUP(B551,'02. MM-KLH'!$B$6:$T$823,3,0),"")</f>
        <v>A22-XXL-017</v>
      </c>
      <c r="E551" s="86" t="str">
        <f>IFERROR(VLOOKUP(B551,'02. MM-KLH'!$B$6:$T$823,4,0),"")</f>
        <v/>
      </c>
      <c r="F551" s="115"/>
      <c r="G551" s="86" t="str">
        <f>IFERROR(VLOOKUP(B551,'02. MM-KLH'!$B$6:$T$823,6,0),"")</f>
        <v>Xe xúc lật BOBCAT 763</v>
      </c>
      <c r="H551" s="80" t="s">
        <v>5961</v>
      </c>
      <c r="I551" s="80" t="str">
        <f>IFERROR(VLOOKUP(B551,'02. MM-KLH'!$B$6:$T$823,8,0),"")</f>
        <v>XN Bò AD</v>
      </c>
      <c r="J551" s="99">
        <f>IFERROR(VLOOKUP(B551,'02. MM-KLH'!$B$6:$T$823,9,0),"")</f>
        <v>46082</v>
      </c>
      <c r="K551" s="80" t="str">
        <f>IFERROR(VLOOKUP(B551,'02. MM-KLH'!$B$6:$T$823,10,0),"")</f>
        <v>Bình thường</v>
      </c>
      <c r="L551" s="102" t="str">
        <f>IFERROR(VLOOKUP(B551,'02. MM-KLH'!$B$6:$T$823,11,0),"")</f>
        <v/>
      </c>
      <c r="M551" s="143" t="str">
        <f>IFERROR(VLOOKUP(B551,'02. MM-KLH'!$B$6:$T$823,12,0),"")</f>
        <v>Đầu tư mới</v>
      </c>
      <c r="N551" s="108" t="str">
        <f>IFERROR(VLOOKUP(B551,'02. MM-KLH'!$B$6:$T$823,13,0),"")</f>
        <v>BOBCAT</v>
      </c>
      <c r="O551" s="108" t="str">
        <f>IFERROR(VLOOKUP(B551,'02. MM-KLH'!$B$6:$T$823,14,0),"")</f>
        <v>Mỹ</v>
      </c>
      <c r="P551" s="80" t="str">
        <f>IFERROR(VLOOKUP(B551,'02. MM-KLH'!$B$6:$T$823,15,0),"")</f>
        <v/>
      </c>
      <c r="Q551" s="80">
        <f>IFERROR(VLOOKUP(B551,'02. MM-KLH'!$B$6:$T$823,16,0),"")</f>
        <v>763</v>
      </c>
      <c r="R551" s="106" t="str">
        <f>IFERROR(VLOOKUP(B551,'02. MM-KLH'!$B$6:$T$823,17,0),"")</f>
        <v>46Hp</v>
      </c>
      <c r="S551" s="108">
        <f>IFERROR(VLOOKUP(B551,'02. MM-KLH'!$B$6:$T$823,18,0),"")</f>
        <v>512215700</v>
      </c>
      <c r="T551" s="110" t="str">
        <f>IFERROR(VLOOKUP(B551,'02. MM-KLH'!$B$6:$T$823,19,0),"")</f>
        <v>V2203-111961</v>
      </c>
      <c r="U551" s="130" t="s">
        <v>2301</v>
      </c>
    </row>
    <row r="552" ht="13.5" customHeight="1">
      <c r="A552" s="95">
        <f t="shared" si="25"/>
        <v>17</v>
      </c>
      <c r="B552" s="113" t="s">
        <v>2486</v>
      </c>
      <c r="C552" s="113" t="str">
        <f>IFERROR(VLOOKUP(B552,'02. MM-KLH'!$B$6:$T$823,2,0),"")</f>
        <v>TBT-XXL-001</v>
      </c>
      <c r="D552" s="95" t="str">
        <f>IFERROR(VLOOKUP(B552,'02. MM-KLH'!$B$6:$T$823,3,0),"")</f>
        <v>ATT-A22-0158</v>
      </c>
      <c r="E552" s="86" t="str">
        <f>IFERROR(VLOOKUP(B552,'02. MM-KLH'!$B$6:$T$823,4,0),"")</f>
        <v/>
      </c>
      <c r="F552" s="115" t="s">
        <v>5970</v>
      </c>
      <c r="G552" s="86" t="str">
        <f>IFERROR(VLOOKUP(B552,'02. MM-KLH'!$B$6:$T$823,6,0),"")</f>
        <v>Xe xúc lật WA200-3</v>
      </c>
      <c r="H552" s="80" t="s">
        <v>5961</v>
      </c>
      <c r="I552" s="80" t="str">
        <f>IFERROR(VLOOKUP(B552,'02. MM-KLH'!$B$6:$T$823,8,0),"")</f>
        <v>Trạm trộn bê tông</v>
      </c>
      <c r="J552" s="99">
        <f>IFERROR(VLOOKUP(B552,'02. MM-KLH'!$B$6:$T$823,9,0),"")</f>
        <v>44197</v>
      </c>
      <c r="K552" s="80" t="str">
        <f>IFERROR(VLOOKUP(B552,'02. MM-KLH'!$B$6:$T$823,10,0),"")</f>
        <v>Bình thường</v>
      </c>
      <c r="L552" s="102">
        <f>IFERROR(VLOOKUP(B552,'02. MM-KLH'!$B$6:$T$823,11,0),"")</f>
        <v>0.68</v>
      </c>
      <c r="M552" s="143" t="str">
        <f>IFERROR(VLOOKUP(B552,'02. MM-KLH'!$B$6:$T$823,12,0),"")</f>
        <v/>
      </c>
      <c r="N552" s="108" t="str">
        <f>IFERROR(VLOOKUP(B552,'02. MM-KLH'!$B$6:$T$823,13,0),"")</f>
        <v>KOMATSU</v>
      </c>
      <c r="O552" s="108" t="str">
        <f>IFERROR(VLOOKUP(B552,'02. MM-KLH'!$B$6:$T$823,14,0),"")</f>
        <v>NHẬT BẢN</v>
      </c>
      <c r="P552" s="80">
        <f>IFERROR(VLOOKUP(B552,'02. MM-KLH'!$B$6:$T$823,15,0),"")</f>
        <v>1994</v>
      </c>
      <c r="Q552" s="80" t="str">
        <f>IFERROR(VLOOKUP(B552,'02. MM-KLH'!$B$6:$T$823,16,0),"")</f>
        <v>WA200-3</v>
      </c>
      <c r="R552" s="106" t="str">
        <f>IFERROR(VLOOKUP(B552,'02. MM-KLH'!$B$6:$T$823,17,0),"")</f>
        <v>123HP</v>
      </c>
      <c r="S552" s="108" t="str">
        <f>IFERROR(VLOOKUP(B552,'02. MM-KLH'!$B$6:$T$823,18,0),"")</f>
        <v>W038-60400</v>
      </c>
      <c r="T552" s="110" t="str">
        <f>IFERROR(VLOOKUP(B552,'02. MM-KLH'!$B$6:$T$823,19,0),"")</f>
        <v>6D95L-140544</v>
      </c>
      <c r="U552" s="130" t="s">
        <v>79</v>
      </c>
    </row>
    <row r="553" ht="13.5" customHeight="1">
      <c r="A553" s="95">
        <f t="shared" si="25"/>
        <v>18</v>
      </c>
      <c r="B553" s="115" t="s">
        <v>2490</v>
      </c>
      <c r="C553" s="113" t="str">
        <f>IFERROR(VLOOKUP(B553,'02. MM-KLH'!$B$6:$T$823,2,0),"")</f>
        <v/>
      </c>
      <c r="D553" s="95" t="str">
        <f>IFERROR(VLOOKUP(B553,'02. MM-KLH'!$B$6:$T$823,3,0),"")</f>
        <v>ATT-A22-0323</v>
      </c>
      <c r="E553" s="86" t="str">
        <f>IFERROR(VLOOKUP(B553,'02. MM-KLH'!$B$6:$T$823,4,0),"")</f>
        <v/>
      </c>
      <c r="F553" s="115" t="s">
        <v>5971</v>
      </c>
      <c r="G553" s="86" t="str">
        <f>IFERROR(VLOOKUP(B553,'02. MM-KLH'!$B$6:$T$823,6,0),"")</f>
        <v>Xe xúc lật WA200-3</v>
      </c>
      <c r="H553" s="80" t="s">
        <v>5961</v>
      </c>
      <c r="I553" s="80" t="str">
        <f>IFERROR(VLOOKUP(B553,'02. MM-KLH'!$B$6:$T$823,8,0),"")</f>
        <v>Trạm trộn bê tông</v>
      </c>
      <c r="J553" s="99" t="str">
        <f>IFERROR(VLOOKUP(B553,'02. MM-KLH'!$B$6:$T$823,9,0),"")</f>
        <v>24/01/2024</v>
      </c>
      <c r="K553" s="80" t="str">
        <f>IFERROR(VLOOKUP(B553,'02. MM-KLH'!$B$6:$T$823,10,0),"")</f>
        <v>Bình thường</v>
      </c>
      <c r="L553" s="102">
        <f>IFERROR(VLOOKUP(B553,'02. MM-KLH'!$B$6:$T$823,11,0),"")</f>
        <v>0.97</v>
      </c>
      <c r="M553" s="143" t="str">
        <f>IFERROR(VLOOKUP(B553,'02. MM-KLH'!$B$6:$T$823,12,0),"")</f>
        <v/>
      </c>
      <c r="N553" s="108" t="str">
        <f>IFERROR(VLOOKUP(B553,'02. MM-KLH'!$B$6:$T$823,13,0),"")</f>
        <v>KOMATSU</v>
      </c>
      <c r="O553" s="108" t="str">
        <f>IFERROR(VLOOKUP(B553,'02. MM-KLH'!$B$6:$T$823,14,0),"")</f>
        <v>NHẬT BẢN</v>
      </c>
      <c r="P553" s="80">
        <f>IFERROR(VLOOKUP(B553,'02. MM-KLH'!$B$6:$T$823,15,0),"")</f>
        <v>2021</v>
      </c>
      <c r="Q553" s="80" t="str">
        <f>IFERROR(VLOOKUP(B553,'02. MM-KLH'!$B$6:$T$823,16,0),"")</f>
        <v>WA200-3</v>
      </c>
      <c r="R553" s="106" t="str">
        <f>IFERROR(VLOOKUP(B553,'02. MM-KLH'!$B$6:$T$823,17,0),"")</f>
        <v>125HP</v>
      </c>
      <c r="S553" s="108" t="str">
        <f>IFERROR(VLOOKUP(B553,'02. MM-KLH'!$B$6:$T$823,18,0),"")</f>
        <v>W038-60624</v>
      </c>
      <c r="T553" s="110" t="str">
        <f>IFERROR(VLOOKUP(B553,'02. MM-KLH'!$B$6:$T$823,19,0),"")</f>
        <v>6D95L-153498</v>
      </c>
      <c r="U553" s="130" t="s">
        <v>79</v>
      </c>
    </row>
    <row r="554" ht="13.5" customHeight="1">
      <c r="A554" s="80"/>
      <c r="B554" s="113"/>
      <c r="C554" s="113"/>
      <c r="D554" s="95"/>
      <c r="E554" s="86"/>
      <c r="F554" s="115"/>
      <c r="G554" s="86"/>
      <c r="H554" s="80"/>
      <c r="I554" s="80"/>
      <c r="J554" s="99"/>
      <c r="K554" s="80"/>
      <c r="L554" s="102"/>
      <c r="M554" s="143"/>
      <c r="N554" s="108"/>
      <c r="O554" s="108"/>
      <c r="P554" s="80"/>
      <c r="Q554" s="80"/>
      <c r="R554" s="106"/>
      <c r="S554" s="108"/>
      <c r="T554" s="110"/>
      <c r="U554" s="130"/>
    </row>
    <row r="555" ht="13.5" customHeight="1">
      <c r="A555" s="80"/>
      <c r="B555" s="113"/>
      <c r="C555" s="113" t="str">
        <f>IFERROR(VLOOKUP(B555,'02. MM-KLH'!$B$6:$T$823,2,0),"")</f>
        <v/>
      </c>
      <c r="D555" s="95" t="str">
        <f>IFERROR(VLOOKUP(B555,'02. MM-KLH'!$B$6:$T$823,3,0),"")</f>
        <v/>
      </c>
      <c r="E555" s="86" t="str">
        <f>IFERROR(VLOOKUP(B555,'02. MM-KLH'!$B$6:$T$823,4,0),"")</f>
        <v/>
      </c>
      <c r="F555" s="115"/>
      <c r="G555" s="86" t="str">
        <f>IFERROR(VLOOKUP(B555,'02. MM-KLH'!$B$6:$T$823,6,0),"")</f>
        <v/>
      </c>
      <c r="H555" s="80"/>
      <c r="I555" s="80" t="str">
        <f>IFERROR(VLOOKUP(B555,'02. MM-KLH'!$B$6:$T$823,8,0),"")</f>
        <v/>
      </c>
      <c r="J555" s="99" t="str">
        <f>IFERROR(VLOOKUP(B555,'02. MM-KLH'!$B$6:$T$823,9,0),"")</f>
        <v/>
      </c>
      <c r="K555" s="80" t="str">
        <f>IFERROR(VLOOKUP(B555,'02. MM-KLH'!$B$6:$T$823,10,0),"")</f>
        <v/>
      </c>
      <c r="L555" s="102" t="str">
        <f>IFERROR(VLOOKUP(B555,'02. MM-KLH'!$B$6:$T$823,11,0),"")</f>
        <v/>
      </c>
      <c r="M555" s="143" t="str">
        <f>IFERROR(VLOOKUP(B555,'02. MM-KLH'!$B$6:$T$823,12,0),"")</f>
        <v/>
      </c>
      <c r="N555" s="108" t="str">
        <f>IFERROR(VLOOKUP(B555,'02. MM-KLH'!$B$6:$T$823,13,0),"")</f>
        <v/>
      </c>
      <c r="O555" s="108" t="str">
        <f>IFERROR(VLOOKUP(B555,'02. MM-KLH'!$B$6:$T$823,14,0),"")</f>
        <v/>
      </c>
      <c r="P555" s="80" t="str">
        <f>IFERROR(VLOOKUP(B555,'02. MM-KLH'!$B$6:$T$823,15,0),"")</f>
        <v/>
      </c>
      <c r="Q555" s="80" t="str">
        <f>IFERROR(VLOOKUP(B555,'02. MM-KLH'!$B$6:$T$823,16,0),"")</f>
        <v/>
      </c>
      <c r="R555" s="106" t="str">
        <f>IFERROR(VLOOKUP(B555,'02. MM-KLH'!$B$6:$T$823,17,0),"")</f>
        <v/>
      </c>
      <c r="S555" s="108" t="str">
        <f>IFERROR(VLOOKUP(B555,'02. MM-KLH'!$B$6:$T$823,18,0),"")</f>
        <v/>
      </c>
      <c r="T555" s="110" t="str">
        <f>IFERROR(VLOOKUP(B555,'02. MM-KLH'!$B$6:$T$823,19,0),"")</f>
        <v/>
      </c>
      <c r="U555" s="130"/>
    </row>
    <row r="556" ht="13.5" customHeight="1">
      <c r="A556" s="82" t="s">
        <v>76</v>
      </c>
      <c r="B556" s="83" t="s">
        <v>5972</v>
      </c>
      <c r="C556" s="85">
        <f>COUNTA(B557:B568)</f>
        <v>11</v>
      </c>
      <c r="D556" s="85" t="str">
        <f>IFERROR(VLOOKUP(B556,'02. MM-KLH'!$B$6:$T$823,3,0),"")</f>
        <v/>
      </c>
      <c r="E556" s="85" t="str">
        <f>IFERROR(VLOOKUP(B556,'02. MM-KLH'!$B$6:$T$823,4,0),"")</f>
        <v/>
      </c>
      <c r="F556" s="85"/>
      <c r="G556" s="85" t="str">
        <f>IFERROR(VLOOKUP(B556,'02. MM-KLH'!$B$6:$T$823,6,0),"")</f>
        <v/>
      </c>
      <c r="H556" s="85"/>
      <c r="I556" s="85" t="str">
        <f>IFERROR(VLOOKUP(B556,'02. MM-KLH'!$B$6:$T$823,8,0),"")</f>
        <v/>
      </c>
      <c r="J556" s="85" t="str">
        <f>IFERROR(VLOOKUP(B556,'02. MM-KLH'!$B$6:$T$823,9,0),"")</f>
        <v/>
      </c>
      <c r="K556" s="85" t="str">
        <f>IFERROR(VLOOKUP(B556,'02. MM-KLH'!$B$6:$T$823,10,0),"")</f>
        <v/>
      </c>
      <c r="L556" s="85" t="str">
        <f>IFERROR(VLOOKUP(B556,'02. MM-KLH'!$B$6:$T$823,11,0),"")</f>
        <v/>
      </c>
      <c r="M556" s="85" t="str">
        <f>IFERROR(VLOOKUP(B556,'02. MM-KLH'!$B$6:$T$823,12,0),"")</f>
        <v/>
      </c>
      <c r="N556" s="85" t="str">
        <f>IFERROR(VLOOKUP(B556,'02. MM-KLH'!$B$6:$T$823,13,0),"")</f>
        <v/>
      </c>
      <c r="O556" s="85" t="str">
        <f>IFERROR(VLOOKUP(B556,'02. MM-KLH'!$B$6:$T$823,14,0),"")</f>
        <v/>
      </c>
      <c r="P556" s="85" t="str">
        <f>IFERROR(VLOOKUP(B556,'02. MM-KLH'!$B$6:$T$823,15,0),"")</f>
        <v/>
      </c>
      <c r="Q556" s="85" t="str">
        <f>IFERROR(VLOOKUP(B556,'02. MM-KLH'!$B$6:$T$823,16,0),"")</f>
        <v/>
      </c>
      <c r="R556" s="85" t="str">
        <f>IFERROR(VLOOKUP(B556,'02. MM-KLH'!$B$6:$T$823,17,0),"")</f>
        <v/>
      </c>
      <c r="S556" s="85" t="str">
        <f>IFERROR(VLOOKUP(B556,'02. MM-KLH'!$B$6:$T$823,18,0),"")</f>
        <v/>
      </c>
      <c r="T556" s="85" t="str">
        <f>IFERROR(VLOOKUP(B556,'02. MM-KLH'!$B$6:$T$823,19,0),"")</f>
        <v/>
      </c>
      <c r="U556" s="85" t="str">
        <f>IFERROR(VLOOKUP(C556,'02. MM-KLH'!$B$6:$T$823,19,0),"")</f>
        <v/>
      </c>
    </row>
    <row r="557" ht="13.5" customHeight="1">
      <c r="A557" s="95">
        <v>1.0</v>
      </c>
      <c r="B557" s="113" t="s">
        <v>2068</v>
      </c>
      <c r="C557" s="84" t="str">
        <f>IFERROR(VLOOKUP(B557,'02. MM-KLH'!$B$6:$T$823,2,0),"")</f>
        <v>XB1-XCC-002</v>
      </c>
      <c r="D557" s="95" t="str">
        <f>IFERROR(VLOOKUP(B557,'02. MM-KLH'!$B$6:$T$823,3,0),"")</f>
        <v>ATT-A22-0285</v>
      </c>
      <c r="E557" s="86" t="str">
        <f>IFERROR(VLOOKUP(B557,'02. MM-KLH'!$B$6:$T$823,4,0),"")</f>
        <v/>
      </c>
      <c r="F557" s="115" t="s">
        <v>5973</v>
      </c>
      <c r="G557" s="86" t="str">
        <f>IFERROR(VLOOKUP(B557,'02. MM-KLH'!$B$6:$T$823,6,0),"")</f>
        <v>Xe hứng cỏ FC150 (30m3)</v>
      </c>
      <c r="H557" s="80" t="s">
        <v>5974</v>
      </c>
      <c r="I557" s="80" t="str">
        <f>IFERROR(VLOOKUP(B557,'02. MM-KLH'!$B$6:$T$823,8,0),"")</f>
        <v>XN Bò AD</v>
      </c>
      <c r="J557" s="99">
        <f>IFERROR(VLOOKUP(B557,'02. MM-KLH'!$B$6:$T$823,9,0),"")</f>
        <v>45261</v>
      </c>
      <c r="K557" s="80" t="str">
        <f>IFERROR(VLOOKUP(B557,'02. MM-KLH'!$B$6:$T$823,10,0),"")</f>
        <v>Bình thường</v>
      </c>
      <c r="L557" s="102">
        <f>IFERROR(VLOOKUP(B557,'02. MM-KLH'!$B$6:$T$823,11,0),"")</f>
        <v>0.97</v>
      </c>
      <c r="M557" s="143" t="str">
        <f>IFERROR(VLOOKUP(B557,'02. MM-KLH'!$B$6:$T$823,12,0),"")</f>
        <v/>
      </c>
      <c r="N557" s="108" t="str">
        <f>IFERROR(VLOOKUP(B557,'02. MM-KLH'!$B$6:$T$823,13,0),"")</f>
        <v>THACO FORLAND</v>
      </c>
      <c r="O557" s="108" t="str">
        <f>IFERROR(VLOOKUP(B557,'02. MM-KLH'!$B$6:$T$823,14,0),"")</f>
        <v>VIỆT NAM</v>
      </c>
      <c r="P557" s="80">
        <f>IFERROR(VLOOKUP(B557,'02. MM-KLH'!$B$6:$T$823,15,0),"")</f>
        <v>2022</v>
      </c>
      <c r="Q557" s="80" t="str">
        <f>IFERROR(VLOOKUP(B557,'02. MM-KLH'!$B$6:$T$823,16,0),"")</f>
        <v>FC150-4WD</v>
      </c>
      <c r="R557" s="106" t="str">
        <f>IFERROR(VLOOKUP(B557,'02. MM-KLH'!$B$6:$T$823,17,0),"")</f>
        <v>150HP</v>
      </c>
      <c r="S557" s="108" t="str">
        <f>IFERROR(VLOOKUP(B557,'02. MM-KLH'!$B$6:$T$823,18,0),"")</f>
        <v>RNHF16FYBNT070603</v>
      </c>
      <c r="T557" s="110" t="str">
        <f>IFERROR(VLOOKUP(B557,'02. MM-KLH'!$B$6:$T$823,19,0),"")</f>
        <v>YC4D150-48D59M1N00701</v>
      </c>
      <c r="U557" s="130" t="s">
        <v>2301</v>
      </c>
    </row>
    <row r="558" ht="13.5" customHeight="1">
      <c r="A558" s="95">
        <v>2.0</v>
      </c>
      <c r="B558" s="113" t="s">
        <v>2073</v>
      </c>
      <c r="C558" s="84" t="str">
        <f>IFERROR(VLOOKUP(B558,'02. MM-KLH'!$B$6:$T$823,2,0),"")</f>
        <v>Mới</v>
      </c>
      <c r="D558" s="95" t="str">
        <f>IFERROR(VLOOKUP(B558,'02. MM-KLH'!$B$6:$T$823,3,0),"")</f>
        <v>ATT-A22-0289</v>
      </c>
      <c r="E558" s="86" t="str">
        <f>IFERROR(VLOOKUP(B558,'02. MM-KLH'!$B$6:$T$823,4,0),"")</f>
        <v/>
      </c>
      <c r="F558" s="115" t="s">
        <v>5975</v>
      </c>
      <c r="G558" s="86" t="str">
        <f>IFERROR(VLOOKUP(B558,'02. MM-KLH'!$B$6:$T$823,6,0),"")</f>
        <v>Xe hứng cỏ FC150 (30m3)</v>
      </c>
      <c r="H558" s="80" t="s">
        <v>5974</v>
      </c>
      <c r="I558" s="80" t="str">
        <f>IFERROR(VLOOKUP(B558,'02. MM-KLH'!$B$6:$T$823,8,0),"")</f>
        <v>XN Bò AD</v>
      </c>
      <c r="J558" s="99">
        <f>IFERROR(VLOOKUP(B558,'02. MM-KLH'!$B$6:$T$823,9,0),"")</f>
        <v>45261</v>
      </c>
      <c r="K558" s="80" t="str">
        <f>IFERROR(VLOOKUP(B558,'02. MM-KLH'!$B$6:$T$823,10,0),"")</f>
        <v>Bình thường</v>
      </c>
      <c r="L558" s="102">
        <f>IFERROR(VLOOKUP(B558,'02. MM-KLH'!$B$6:$T$823,11,0),"")</f>
        <v>0.97</v>
      </c>
      <c r="M558" s="143" t="str">
        <f>IFERROR(VLOOKUP(B558,'02. MM-KLH'!$B$6:$T$823,12,0),"")</f>
        <v/>
      </c>
      <c r="N558" s="108" t="str">
        <f>IFERROR(VLOOKUP(B558,'02. MM-KLH'!$B$6:$T$823,13,0),"")</f>
        <v>THACO FORLAND</v>
      </c>
      <c r="O558" s="108" t="str">
        <f>IFERROR(VLOOKUP(B558,'02. MM-KLH'!$B$6:$T$823,14,0),"")</f>
        <v>VIỆT NAM</v>
      </c>
      <c r="P558" s="80">
        <f>IFERROR(VLOOKUP(B558,'02. MM-KLH'!$B$6:$T$823,15,0),"")</f>
        <v>2023</v>
      </c>
      <c r="Q558" s="80" t="str">
        <f>IFERROR(VLOOKUP(B558,'02. MM-KLH'!$B$6:$T$823,16,0),"")</f>
        <v>FC150-4WD</v>
      </c>
      <c r="R558" s="106" t="str">
        <f>IFERROR(VLOOKUP(B558,'02. MM-KLH'!$B$6:$T$823,17,0),"")</f>
        <v>150HP</v>
      </c>
      <c r="S558" s="108" t="str">
        <f>IFERROR(VLOOKUP(B558,'02. MM-KLH'!$B$6:$T$823,18,0),"")</f>
        <v>RNHF16FYANT077508</v>
      </c>
      <c r="T558" s="110" t="str">
        <f>IFERROR(VLOOKUP(B558,'02. MM-KLH'!$B$6:$T$823,19,0),"")</f>
        <v>YC4D150-48D59M1N00901</v>
      </c>
      <c r="U558" s="130" t="s">
        <v>2301</v>
      </c>
    </row>
    <row r="559" ht="13.5" customHeight="1">
      <c r="A559" s="95">
        <f t="shared" ref="A559:A567" si="26">1+A558</f>
        <v>3</v>
      </c>
      <c r="B559" s="113" t="s">
        <v>2076</v>
      </c>
      <c r="C559" s="84" t="str">
        <f>IFERROR(VLOOKUP(B559,'02. MM-KLH'!$B$6:$T$823,2,0),"")</f>
        <v>Mới</v>
      </c>
      <c r="D559" s="95" t="str">
        <f>IFERROR(VLOOKUP(B559,'02. MM-KLH'!$B$6:$T$823,3,0),"")</f>
        <v>ATT-A22-0293</v>
      </c>
      <c r="E559" s="86" t="str">
        <f>IFERROR(VLOOKUP(B559,'02. MM-KLH'!$B$6:$T$823,4,0),"")</f>
        <v/>
      </c>
      <c r="F559" s="115" t="s">
        <v>5976</v>
      </c>
      <c r="G559" s="86" t="str">
        <f>IFERROR(VLOOKUP(B559,'02. MM-KLH'!$B$6:$T$823,6,0),"")</f>
        <v>Xe hứng cỏ FC150 (30m3)</v>
      </c>
      <c r="H559" s="80" t="s">
        <v>5974</v>
      </c>
      <c r="I559" s="80" t="str">
        <f>IFERROR(VLOOKUP(B559,'02. MM-KLH'!$B$6:$T$823,8,0),"")</f>
        <v>XN Bò AD</v>
      </c>
      <c r="J559" s="99">
        <f>IFERROR(VLOOKUP(B559,'02. MM-KLH'!$B$6:$T$823,9,0),"")</f>
        <v>45261</v>
      </c>
      <c r="K559" s="80" t="str">
        <f>IFERROR(VLOOKUP(B559,'02. MM-KLH'!$B$6:$T$823,10,0),"")</f>
        <v>Bình thường</v>
      </c>
      <c r="L559" s="102">
        <f>IFERROR(VLOOKUP(B559,'02. MM-KLH'!$B$6:$T$823,11,0),"")</f>
        <v>0.97</v>
      </c>
      <c r="M559" s="143" t="str">
        <f>IFERROR(VLOOKUP(B559,'02. MM-KLH'!$B$6:$T$823,12,0),"")</f>
        <v>Xe bị tai nạn 21/05/2025 (bị c.an giữ)</v>
      </c>
      <c r="N559" s="108" t="str">
        <f>IFERROR(VLOOKUP(B559,'02. MM-KLH'!$B$6:$T$823,13,0),"")</f>
        <v>THACO FORLAND</v>
      </c>
      <c r="O559" s="108" t="str">
        <f>IFERROR(VLOOKUP(B559,'02. MM-KLH'!$B$6:$T$823,14,0),"")</f>
        <v>VIỆT NAM</v>
      </c>
      <c r="P559" s="80">
        <f>IFERROR(VLOOKUP(B559,'02. MM-KLH'!$B$6:$T$823,15,0),"")</f>
        <v>2023</v>
      </c>
      <c r="Q559" s="80" t="str">
        <f>IFERROR(VLOOKUP(B559,'02. MM-KLH'!$B$6:$T$823,16,0),"")</f>
        <v>FC150-4WD</v>
      </c>
      <c r="R559" s="106" t="str">
        <f>IFERROR(VLOOKUP(B559,'02. MM-KLH'!$B$6:$T$823,17,0),"")</f>
        <v>150HP</v>
      </c>
      <c r="S559" s="108" t="str">
        <f>IFERROR(VLOOKUP(B559,'02. MM-KLH'!$B$6:$T$823,18,0),"")</f>
        <v>RNHF16FYAPT077501</v>
      </c>
      <c r="T559" s="110" t="str">
        <f>IFERROR(VLOOKUP(B559,'02. MM-KLH'!$B$6:$T$823,19,0),"")</f>
        <v>YC4D150-48D59M1N00964</v>
      </c>
      <c r="U559" s="130" t="s">
        <v>2301</v>
      </c>
    </row>
    <row r="560" ht="13.5" customHeight="1">
      <c r="A560" s="95">
        <f t="shared" si="26"/>
        <v>4</v>
      </c>
      <c r="B560" s="113" t="s">
        <v>2080</v>
      </c>
      <c r="C560" s="84" t="str">
        <f>IFERROR(VLOOKUP(B560,'02. MM-KLH'!$B$6:$T$823,2,0),"")</f>
        <v>Mới</v>
      </c>
      <c r="D560" s="95" t="str">
        <f>IFERROR(VLOOKUP(B560,'02. MM-KLH'!$B$6:$T$823,3,0),"")</f>
        <v>ATT-A22-0294</v>
      </c>
      <c r="E560" s="86" t="str">
        <f>IFERROR(VLOOKUP(B560,'02. MM-KLH'!$B$6:$T$823,4,0),"")</f>
        <v/>
      </c>
      <c r="F560" s="115" t="s">
        <v>5977</v>
      </c>
      <c r="G560" s="86" t="str">
        <f>IFERROR(VLOOKUP(B560,'02. MM-KLH'!$B$6:$T$823,6,0),"")</f>
        <v>Xe hứng cỏ FC150 (30m3)</v>
      </c>
      <c r="H560" s="80" t="s">
        <v>5974</v>
      </c>
      <c r="I560" s="80" t="str">
        <f>IFERROR(VLOOKUP(B560,'02. MM-KLH'!$B$6:$T$823,8,0),"")</f>
        <v>XN Bò AD</v>
      </c>
      <c r="J560" s="99">
        <f>IFERROR(VLOOKUP(B560,'02. MM-KLH'!$B$6:$T$823,9,0),"")</f>
        <v>45261</v>
      </c>
      <c r="K560" s="80" t="str">
        <f>IFERROR(VLOOKUP(B560,'02. MM-KLH'!$B$6:$T$823,10,0),"")</f>
        <v>Bình thường</v>
      </c>
      <c r="L560" s="102">
        <f>IFERROR(VLOOKUP(B560,'02. MM-KLH'!$B$6:$T$823,11,0),"")</f>
        <v>0.97</v>
      </c>
      <c r="M560" s="143" t="str">
        <f>IFERROR(VLOOKUP(B560,'02. MM-KLH'!$B$6:$T$823,12,0),"")</f>
        <v/>
      </c>
      <c r="N560" s="108" t="str">
        <f>IFERROR(VLOOKUP(B560,'02. MM-KLH'!$B$6:$T$823,13,0),"")</f>
        <v>THACO FORLAND</v>
      </c>
      <c r="O560" s="108" t="str">
        <f>IFERROR(VLOOKUP(B560,'02. MM-KLH'!$B$6:$T$823,14,0),"")</f>
        <v>VIỆT NAM</v>
      </c>
      <c r="P560" s="80">
        <f>IFERROR(VLOOKUP(B560,'02. MM-KLH'!$B$6:$T$823,15,0),"")</f>
        <v>2023</v>
      </c>
      <c r="Q560" s="80" t="str">
        <f>IFERROR(VLOOKUP(B560,'02. MM-KLH'!$B$6:$T$823,16,0),"")</f>
        <v>FC150-4WD</v>
      </c>
      <c r="R560" s="106" t="str">
        <f>IFERROR(VLOOKUP(B560,'02. MM-KLH'!$B$6:$T$823,17,0),"")</f>
        <v>150HP</v>
      </c>
      <c r="S560" s="108" t="str">
        <f>IFERROR(VLOOKUP(B560,'02. MM-KLH'!$B$6:$T$823,18,0),"")</f>
        <v>RNHF16FYAPT077504</v>
      </c>
      <c r="T560" s="110" t="str">
        <f>IFERROR(VLOOKUP(B560,'02. MM-KLH'!$B$6:$T$823,19,0),"")</f>
        <v>YC4D150-48D59M1N00940</v>
      </c>
      <c r="U560" s="130" t="s">
        <v>2301</v>
      </c>
    </row>
    <row r="561" ht="13.5" customHeight="1">
      <c r="A561" s="95">
        <f t="shared" si="26"/>
        <v>5</v>
      </c>
      <c r="B561" s="113" t="s">
        <v>2084</v>
      </c>
      <c r="C561" s="84" t="str">
        <f>IFERROR(VLOOKUP(B561,'02. MM-KLH'!$B$6:$T$823,2,0),"")</f>
        <v>Mới</v>
      </c>
      <c r="D561" s="95" t="str">
        <f>IFERROR(VLOOKUP(B561,'02. MM-KLH'!$B$6:$T$823,3,0),"")</f>
        <v>ATT-A22-0296</v>
      </c>
      <c r="E561" s="86" t="str">
        <f>IFERROR(VLOOKUP(B561,'02. MM-KLH'!$B$6:$T$823,4,0),"")</f>
        <v/>
      </c>
      <c r="F561" s="115" t="s">
        <v>5978</v>
      </c>
      <c r="G561" s="86" t="str">
        <f>IFERROR(VLOOKUP(B561,'02. MM-KLH'!$B$6:$T$823,6,0),"")</f>
        <v>Xe hứng cỏ FC150 (30m3)</v>
      </c>
      <c r="H561" s="80" t="s">
        <v>5974</v>
      </c>
      <c r="I561" s="80" t="str">
        <f>IFERROR(VLOOKUP(B561,'02. MM-KLH'!$B$6:$T$823,8,0),"")</f>
        <v>XN Bò AD</v>
      </c>
      <c r="J561" s="99" t="str">
        <f>IFERROR(VLOOKUP(B561,'02. MM-KLH'!$B$6:$T$823,9,0),"")</f>
        <v>25/11/2023</v>
      </c>
      <c r="K561" s="80" t="str">
        <f>IFERROR(VLOOKUP(B561,'02. MM-KLH'!$B$6:$T$823,10,0),"")</f>
        <v>Bình thường</v>
      </c>
      <c r="L561" s="102">
        <f>IFERROR(VLOOKUP(B561,'02. MM-KLH'!$B$6:$T$823,11,0),"")</f>
        <v>0.97</v>
      </c>
      <c r="M561" s="143" t="str">
        <f>IFERROR(VLOOKUP(B561,'02. MM-KLH'!$B$6:$T$823,12,0),"")</f>
        <v>Đầu tư mới</v>
      </c>
      <c r="N561" s="108" t="str">
        <f>IFERROR(VLOOKUP(B561,'02. MM-KLH'!$B$6:$T$823,13,0),"")</f>
        <v>THACO FORLAND</v>
      </c>
      <c r="O561" s="108" t="str">
        <f>IFERROR(VLOOKUP(B561,'02. MM-KLH'!$B$6:$T$823,14,0),"")</f>
        <v>VIỆT NAM</v>
      </c>
      <c r="P561" s="80">
        <f>IFERROR(VLOOKUP(B561,'02. MM-KLH'!$B$6:$T$823,15,0),"")</f>
        <v>2023</v>
      </c>
      <c r="Q561" s="80" t="str">
        <f>IFERROR(VLOOKUP(B561,'02. MM-KLH'!$B$6:$T$823,16,0),"")</f>
        <v>FC150-4WD</v>
      </c>
      <c r="R561" s="106" t="str">
        <f>IFERROR(VLOOKUP(B561,'02. MM-KLH'!$B$6:$T$823,17,0),"")</f>
        <v>150HP</v>
      </c>
      <c r="S561" s="108" t="str">
        <f>IFERROR(VLOOKUP(B561,'02. MM-KLH'!$B$6:$T$823,18,0),"")</f>
        <v>RNHF16FYAPT077505</v>
      </c>
      <c r="T561" s="110" t="str">
        <f>IFERROR(VLOOKUP(B561,'02. MM-KLH'!$B$6:$T$823,19,0),"")</f>
        <v>YC4D150-48D59M1N00944</v>
      </c>
      <c r="U561" s="130" t="s">
        <v>2301</v>
      </c>
    </row>
    <row r="562" ht="13.5" customHeight="1">
      <c r="A562" s="95">
        <f t="shared" si="26"/>
        <v>6</v>
      </c>
      <c r="B562" s="113" t="s">
        <v>2088</v>
      </c>
      <c r="C562" s="84" t="str">
        <f>IFERROR(VLOOKUP(B562,'02. MM-KLH'!$B$6:$T$823,2,0),"")</f>
        <v>Mới</v>
      </c>
      <c r="D562" s="95" t="str">
        <f>IFERROR(VLOOKUP(B562,'02. MM-KLH'!$B$6:$T$823,3,0),"")</f>
        <v>ATT-A22-0297</v>
      </c>
      <c r="E562" s="86" t="str">
        <f>IFERROR(VLOOKUP(B562,'02. MM-KLH'!$B$6:$T$823,4,0),"")</f>
        <v/>
      </c>
      <c r="F562" s="115" t="s">
        <v>5979</v>
      </c>
      <c r="G562" s="86" t="str">
        <f>IFERROR(VLOOKUP(B562,'02. MM-KLH'!$B$6:$T$823,6,0),"")</f>
        <v>Xe hứng cỏ FC150 (30m3)</v>
      </c>
      <c r="H562" s="80" t="s">
        <v>5974</v>
      </c>
      <c r="I562" s="80" t="str">
        <f>IFERROR(VLOOKUP(B562,'02. MM-KLH'!$B$6:$T$823,8,0),"")</f>
        <v>XN Bò AD</v>
      </c>
      <c r="J562" s="99" t="str">
        <f>IFERROR(VLOOKUP(B562,'02. MM-KLH'!$B$6:$T$823,9,0),"")</f>
        <v>25/11/2023</v>
      </c>
      <c r="K562" s="80" t="str">
        <f>IFERROR(VLOOKUP(B562,'02. MM-KLH'!$B$6:$T$823,10,0),"")</f>
        <v>Bình thường</v>
      </c>
      <c r="L562" s="102">
        <f>IFERROR(VLOOKUP(B562,'02. MM-KLH'!$B$6:$T$823,11,0),"")</f>
        <v>0.97</v>
      </c>
      <c r="M562" s="143" t="str">
        <f>IFERROR(VLOOKUP(B562,'02. MM-KLH'!$B$6:$T$823,12,0),"")</f>
        <v>Đầu tư mới</v>
      </c>
      <c r="N562" s="108" t="str">
        <f>IFERROR(VLOOKUP(B562,'02. MM-KLH'!$B$6:$T$823,13,0),"")</f>
        <v>THACO FORLAND</v>
      </c>
      <c r="O562" s="108" t="str">
        <f>IFERROR(VLOOKUP(B562,'02. MM-KLH'!$B$6:$T$823,14,0),"")</f>
        <v>VIỆT NAM</v>
      </c>
      <c r="P562" s="80">
        <f>IFERROR(VLOOKUP(B562,'02. MM-KLH'!$B$6:$T$823,15,0),"")</f>
        <v>2023</v>
      </c>
      <c r="Q562" s="80" t="str">
        <f>IFERROR(VLOOKUP(B562,'02. MM-KLH'!$B$6:$T$823,16,0),"")</f>
        <v>FC150-4WD</v>
      </c>
      <c r="R562" s="106" t="str">
        <f>IFERROR(VLOOKUP(B562,'02. MM-KLH'!$B$6:$T$823,17,0),"")</f>
        <v>150HP</v>
      </c>
      <c r="S562" s="108" t="str">
        <f>IFERROR(VLOOKUP(B562,'02. MM-KLH'!$B$6:$T$823,18,0),"")</f>
        <v>RNHF16FYAPT077506</v>
      </c>
      <c r="T562" s="110" t="str">
        <f>IFERROR(VLOOKUP(B562,'02. MM-KLH'!$B$6:$T$823,19,0),"")</f>
        <v>YC4D150-48D59M1N00906</v>
      </c>
      <c r="U562" s="130" t="s">
        <v>2301</v>
      </c>
    </row>
    <row r="563" ht="13.5" customHeight="1">
      <c r="A563" s="95">
        <f t="shared" si="26"/>
        <v>7</v>
      </c>
      <c r="B563" s="115" t="s">
        <v>2091</v>
      </c>
      <c r="C563" s="84" t="str">
        <f>IFERROR(VLOOKUP(B563,'02. MM-KLH'!$B$6:$T$823,2,0),"")</f>
        <v>Mới</v>
      </c>
      <c r="D563" s="95" t="str">
        <f>IFERROR(VLOOKUP(B563,'02. MM-KLH'!$B$6:$T$823,3,0),"")</f>
        <v>A22-XHC-007</v>
      </c>
      <c r="E563" s="86" t="str">
        <f>IFERROR(VLOOKUP(B563,'02. MM-KLH'!$B$6:$T$823,4,0),"")</f>
        <v/>
      </c>
      <c r="F563" s="115"/>
      <c r="G563" s="86" t="str">
        <f>IFERROR(VLOOKUP(B563,'02. MM-KLH'!$B$6:$T$823,6,0),"")</f>
        <v>Xe hứng cỏ FC150 (30m3)</v>
      </c>
      <c r="H563" s="80" t="s">
        <v>5974</v>
      </c>
      <c r="I563" s="80" t="str">
        <f>IFERROR(VLOOKUP(B563,'02. MM-KLH'!$B$6:$T$823,8,0),"")</f>
        <v>XN Bò AD</v>
      </c>
      <c r="J563" s="99">
        <f>IFERROR(VLOOKUP(B563,'02. MM-KLH'!$B$6:$T$823,9,0),"")</f>
        <v>45751</v>
      </c>
      <c r="K563" s="80" t="str">
        <f>IFERROR(VLOOKUP(B563,'02. MM-KLH'!$B$6:$T$823,10,0),"")</f>
        <v>Bình thường</v>
      </c>
      <c r="L563" s="102" t="str">
        <f>IFERROR(VLOOKUP(B563,'02. MM-KLH'!$B$6:$T$823,11,0),"")</f>
        <v/>
      </c>
      <c r="M563" s="143" t="str">
        <f>IFERROR(VLOOKUP(B563,'02. MM-KLH'!$B$6:$T$823,12,0),"")</f>
        <v>Đầu tư mới</v>
      </c>
      <c r="N563" s="108" t="str">
        <f>IFERROR(VLOOKUP(B563,'02. MM-KLH'!$B$6:$T$823,13,0),"")</f>
        <v>THACO FORLAND</v>
      </c>
      <c r="O563" s="108" t="str">
        <f>IFERROR(VLOOKUP(B563,'02. MM-KLH'!$B$6:$T$823,14,0),"")</f>
        <v>VIỆT NAM</v>
      </c>
      <c r="P563" s="80">
        <f>IFERROR(VLOOKUP(B563,'02. MM-KLH'!$B$6:$T$823,15,0),"")</f>
        <v>2024</v>
      </c>
      <c r="Q563" s="80" t="str">
        <f>IFERROR(VLOOKUP(B563,'02. MM-KLH'!$B$6:$T$823,16,0),"")</f>
        <v>FC150-4WD</v>
      </c>
      <c r="R563" s="106" t="str">
        <f>IFERROR(VLOOKUP(B563,'02. MM-KLH'!$B$6:$T$823,17,0),"")</f>
        <v>150HP</v>
      </c>
      <c r="S563" s="108" t="str">
        <f>IFERROR(VLOOKUP(B563,'02. MM-KLH'!$B$6:$T$823,18,0),"")</f>
        <v>RNHF16FYBRT070602</v>
      </c>
      <c r="T563" s="110" t="str">
        <f>IFERROR(VLOOKUP(B563,'02. MM-KLH'!$B$6:$T$823,19,0),"")</f>
        <v>D59M1N00683</v>
      </c>
      <c r="U563" s="130" t="s">
        <v>2301</v>
      </c>
    </row>
    <row r="564" ht="13.5" customHeight="1">
      <c r="A564" s="95">
        <f t="shared" si="26"/>
        <v>8</v>
      </c>
      <c r="B564" s="115" t="s">
        <v>2095</v>
      </c>
      <c r="C564" s="84" t="str">
        <f>IFERROR(VLOOKUP(B564,'02. MM-KLH'!$B$6:$T$823,2,0),"")</f>
        <v>Mới</v>
      </c>
      <c r="D564" s="95" t="str">
        <f>IFERROR(VLOOKUP(B564,'02. MM-KLH'!$B$6:$T$823,3,0),"")</f>
        <v>A22-XHC-008</v>
      </c>
      <c r="E564" s="86" t="str">
        <f>IFERROR(VLOOKUP(B564,'02. MM-KLH'!$B$6:$T$823,4,0),"")</f>
        <v/>
      </c>
      <c r="F564" s="115"/>
      <c r="G564" s="86" t="str">
        <f>IFERROR(VLOOKUP(B564,'02. MM-KLH'!$B$6:$T$823,6,0),"")</f>
        <v>Xe hứng cỏ FC150 (30m3)</v>
      </c>
      <c r="H564" s="80" t="s">
        <v>5974</v>
      </c>
      <c r="I564" s="80" t="str">
        <f>IFERROR(VLOOKUP(B564,'02. MM-KLH'!$B$6:$T$823,8,0),"")</f>
        <v>XN Bò AD</v>
      </c>
      <c r="J564" s="99">
        <f>IFERROR(VLOOKUP(B564,'02. MM-KLH'!$B$6:$T$823,9,0),"")</f>
        <v>45751</v>
      </c>
      <c r="K564" s="80" t="str">
        <f>IFERROR(VLOOKUP(B564,'02. MM-KLH'!$B$6:$T$823,10,0),"")</f>
        <v>Bình thường</v>
      </c>
      <c r="L564" s="102" t="str">
        <f>IFERROR(VLOOKUP(B564,'02. MM-KLH'!$B$6:$T$823,11,0),"")</f>
        <v/>
      </c>
      <c r="M564" s="143" t="str">
        <f>IFERROR(VLOOKUP(B564,'02. MM-KLH'!$B$6:$T$823,12,0),"")</f>
        <v>Đầu tư mới</v>
      </c>
      <c r="N564" s="108" t="str">
        <f>IFERROR(VLOOKUP(B564,'02. MM-KLH'!$B$6:$T$823,13,0),"")</f>
        <v>THACO FORLAND</v>
      </c>
      <c r="O564" s="108" t="str">
        <f>IFERROR(VLOOKUP(B564,'02. MM-KLH'!$B$6:$T$823,14,0),"")</f>
        <v>VIỆT NAM</v>
      </c>
      <c r="P564" s="80">
        <f>IFERROR(VLOOKUP(B564,'02. MM-KLH'!$B$6:$T$823,15,0),"")</f>
        <v>2024</v>
      </c>
      <c r="Q564" s="80" t="str">
        <f>IFERROR(VLOOKUP(B564,'02. MM-KLH'!$B$6:$T$823,16,0),"")</f>
        <v>FC150-4WD</v>
      </c>
      <c r="R564" s="106" t="str">
        <f>IFERROR(VLOOKUP(B564,'02. MM-KLH'!$B$6:$T$823,17,0),"")</f>
        <v>150HP</v>
      </c>
      <c r="S564" s="108" t="str">
        <f>IFERROR(VLOOKUP(B564,'02. MM-KLH'!$B$6:$T$823,18,0),"")</f>
        <v>RNHF16FYBRT077511</v>
      </c>
      <c r="T564" s="110" t="str">
        <f>IFERROR(VLOOKUP(B564,'02. MM-KLH'!$B$6:$T$823,19,0),"")</f>
        <v>D59M1N01090</v>
      </c>
      <c r="U564" s="130" t="s">
        <v>2301</v>
      </c>
    </row>
    <row r="565" ht="13.5" customHeight="1">
      <c r="A565" s="95">
        <f t="shared" si="26"/>
        <v>9</v>
      </c>
      <c r="B565" s="115" t="s">
        <v>2099</v>
      </c>
      <c r="C565" s="84" t="str">
        <f>IFERROR(VLOOKUP(B565,'02. MM-KLH'!$B$6:$T$823,2,0),"")</f>
        <v>Mới</v>
      </c>
      <c r="D565" s="95" t="str">
        <f>IFERROR(VLOOKUP(B565,'02. MM-KLH'!$B$6:$T$823,3,0),"")</f>
        <v>A22-XHC-009</v>
      </c>
      <c r="E565" s="86" t="str">
        <f>IFERROR(VLOOKUP(B565,'02. MM-KLH'!$B$6:$T$823,4,0),"")</f>
        <v/>
      </c>
      <c r="F565" s="115"/>
      <c r="G565" s="86" t="str">
        <f>IFERROR(VLOOKUP(B565,'02. MM-KLH'!$B$6:$T$823,6,0),"")</f>
        <v>Xe hứng cỏ FC150 (30m3)</v>
      </c>
      <c r="H565" s="80" t="s">
        <v>5974</v>
      </c>
      <c r="I565" s="80" t="str">
        <f>IFERROR(VLOOKUP(B565,'02. MM-KLH'!$B$6:$T$823,8,0),"")</f>
        <v>XN Bò AD</v>
      </c>
      <c r="J565" s="99">
        <f>IFERROR(VLOOKUP(B565,'02. MM-KLH'!$B$6:$T$823,9,0),"")</f>
        <v>45751</v>
      </c>
      <c r="K565" s="80" t="str">
        <f>IFERROR(VLOOKUP(B565,'02. MM-KLH'!$B$6:$T$823,10,0),"")</f>
        <v>Bình thường</v>
      </c>
      <c r="L565" s="102" t="str">
        <f>IFERROR(VLOOKUP(B565,'02. MM-KLH'!$B$6:$T$823,11,0),"")</f>
        <v/>
      </c>
      <c r="M565" s="143" t="str">
        <f>IFERROR(VLOOKUP(B565,'02. MM-KLH'!$B$6:$T$823,12,0),"")</f>
        <v>Đầu tư mới</v>
      </c>
      <c r="N565" s="108" t="str">
        <f>IFERROR(VLOOKUP(B565,'02. MM-KLH'!$B$6:$T$823,13,0),"")</f>
        <v>THACO FORLAND</v>
      </c>
      <c r="O565" s="108" t="str">
        <f>IFERROR(VLOOKUP(B565,'02. MM-KLH'!$B$6:$T$823,14,0),"")</f>
        <v>VIỆT NAM</v>
      </c>
      <c r="P565" s="80">
        <f>IFERROR(VLOOKUP(B565,'02. MM-KLH'!$B$6:$T$823,15,0),"")</f>
        <v>2024</v>
      </c>
      <c r="Q565" s="80" t="str">
        <f>IFERROR(VLOOKUP(B565,'02. MM-KLH'!$B$6:$T$823,16,0),"")</f>
        <v>FC150-4WD</v>
      </c>
      <c r="R565" s="106" t="str">
        <f>IFERROR(VLOOKUP(B565,'02. MM-KLH'!$B$6:$T$823,17,0),"")</f>
        <v>150HP</v>
      </c>
      <c r="S565" s="108" t="str">
        <f>IFERROR(VLOOKUP(B565,'02. MM-KLH'!$B$6:$T$823,18,0),"")</f>
        <v>RNHF16FYBRT077510</v>
      </c>
      <c r="T565" s="110" t="str">
        <f>IFERROR(VLOOKUP(B565,'02. MM-KLH'!$B$6:$T$823,19,0),"")</f>
        <v>D59M1N01093</v>
      </c>
      <c r="U565" s="130" t="s">
        <v>2301</v>
      </c>
    </row>
    <row r="566" ht="13.5" customHeight="1">
      <c r="A566" s="95">
        <f t="shared" si="26"/>
        <v>10</v>
      </c>
      <c r="B566" s="115" t="s">
        <v>2103</v>
      </c>
      <c r="C566" s="84" t="str">
        <f>IFERROR(VLOOKUP(B566,'02. MM-KLH'!$B$6:$T$823,2,0),"")</f>
        <v>Mới</v>
      </c>
      <c r="D566" s="95" t="str">
        <f>IFERROR(VLOOKUP(B566,'02. MM-KLH'!$B$6:$T$823,3,0),"")</f>
        <v>A22-XHC-010</v>
      </c>
      <c r="E566" s="86" t="str">
        <f>IFERROR(VLOOKUP(B566,'02. MM-KLH'!$B$6:$T$823,4,0),"")</f>
        <v/>
      </c>
      <c r="F566" s="115"/>
      <c r="G566" s="86" t="str">
        <f>IFERROR(VLOOKUP(B566,'02. MM-KLH'!$B$6:$T$823,6,0),"")</f>
        <v>Xe hứng cỏ FC150 (30m3)</v>
      </c>
      <c r="H566" s="80" t="s">
        <v>5974</v>
      </c>
      <c r="I566" s="80" t="str">
        <f>IFERROR(VLOOKUP(B566,'02. MM-KLH'!$B$6:$T$823,8,0),"")</f>
        <v>XN Bò AD</v>
      </c>
      <c r="J566" s="99">
        <f>IFERROR(VLOOKUP(B566,'02. MM-KLH'!$B$6:$T$823,9,0),"")</f>
        <v>45751</v>
      </c>
      <c r="K566" s="80" t="str">
        <f>IFERROR(VLOOKUP(B566,'02. MM-KLH'!$B$6:$T$823,10,0),"")</f>
        <v>Bình thường</v>
      </c>
      <c r="L566" s="102" t="str">
        <f>IFERROR(VLOOKUP(B566,'02. MM-KLH'!$B$6:$T$823,11,0),"")</f>
        <v/>
      </c>
      <c r="M566" s="143" t="str">
        <f>IFERROR(VLOOKUP(B566,'02. MM-KLH'!$B$6:$T$823,12,0),"")</f>
        <v>Đầu tư mới</v>
      </c>
      <c r="N566" s="108" t="str">
        <f>IFERROR(VLOOKUP(B566,'02. MM-KLH'!$B$6:$T$823,13,0),"")</f>
        <v>THACO FORLAND</v>
      </c>
      <c r="O566" s="108" t="str">
        <f>IFERROR(VLOOKUP(B566,'02. MM-KLH'!$B$6:$T$823,14,0),"")</f>
        <v>VIỆT NAM</v>
      </c>
      <c r="P566" s="80">
        <f>IFERROR(VLOOKUP(B566,'02. MM-KLH'!$B$6:$T$823,15,0),"")</f>
        <v>2024</v>
      </c>
      <c r="Q566" s="80" t="str">
        <f>IFERROR(VLOOKUP(B566,'02. MM-KLH'!$B$6:$T$823,16,0),"")</f>
        <v>FC150-4WD</v>
      </c>
      <c r="R566" s="106" t="str">
        <f>IFERROR(VLOOKUP(B566,'02. MM-KLH'!$B$6:$T$823,17,0),"")</f>
        <v>150HP</v>
      </c>
      <c r="S566" s="108" t="str">
        <f>IFERROR(VLOOKUP(B566,'02. MM-KLH'!$B$6:$T$823,18,0),"")</f>
        <v>RNHF16FYBRT077512</v>
      </c>
      <c r="T566" s="110" t="str">
        <f>IFERROR(VLOOKUP(B566,'02. MM-KLH'!$B$6:$T$823,19,0),"")</f>
        <v>D59M1N01099</v>
      </c>
      <c r="U566" s="130" t="s">
        <v>2301</v>
      </c>
    </row>
    <row r="567" ht="13.5" customHeight="1">
      <c r="A567" s="95">
        <f t="shared" si="26"/>
        <v>11</v>
      </c>
      <c r="B567" s="115" t="s">
        <v>2107</v>
      </c>
      <c r="C567" s="84" t="str">
        <f>IFERROR(VLOOKUP(B567,'02. MM-KLH'!$B$6:$T$823,2,0),"")</f>
        <v>Mới</v>
      </c>
      <c r="D567" s="95" t="str">
        <f>IFERROR(VLOOKUP(B567,'02. MM-KLH'!$B$6:$T$823,3,0),"")</f>
        <v>A22-XHC-011</v>
      </c>
      <c r="E567" s="86" t="str">
        <f>IFERROR(VLOOKUP(B567,'02. MM-KLH'!$B$6:$T$823,4,0),"")</f>
        <v/>
      </c>
      <c r="F567" s="115"/>
      <c r="G567" s="86" t="str">
        <f>IFERROR(VLOOKUP(B567,'02. MM-KLH'!$B$6:$T$823,6,0),"")</f>
        <v>Xe hứng cỏ FC150 (30m3)</v>
      </c>
      <c r="H567" s="80" t="s">
        <v>5974</v>
      </c>
      <c r="I567" s="80" t="str">
        <f>IFERROR(VLOOKUP(B567,'02. MM-KLH'!$B$6:$T$823,8,0),"")</f>
        <v>XN Bò AD</v>
      </c>
      <c r="J567" s="99">
        <f>IFERROR(VLOOKUP(B567,'02. MM-KLH'!$B$6:$T$823,9,0),"")</f>
        <v>45967</v>
      </c>
      <c r="K567" s="80" t="str">
        <f>IFERROR(VLOOKUP(B567,'02. MM-KLH'!$B$6:$T$823,10,0),"")</f>
        <v>Bình thường</v>
      </c>
      <c r="L567" s="102" t="str">
        <f>IFERROR(VLOOKUP(B567,'02. MM-KLH'!$B$6:$T$823,11,0),"")</f>
        <v/>
      </c>
      <c r="M567" s="143" t="str">
        <f>IFERROR(VLOOKUP(B567,'02. MM-KLH'!$B$6:$T$823,12,0),"")</f>
        <v>Đầu tư mới</v>
      </c>
      <c r="N567" s="108" t="str">
        <f>IFERROR(VLOOKUP(B567,'02. MM-KLH'!$B$6:$T$823,13,0),"")</f>
        <v>THACO FORLAND</v>
      </c>
      <c r="O567" s="108" t="str">
        <f>IFERROR(VLOOKUP(B567,'02. MM-KLH'!$B$6:$T$823,14,0),"")</f>
        <v>VIỆT NAM</v>
      </c>
      <c r="P567" s="80">
        <f>IFERROR(VLOOKUP(B567,'02. MM-KLH'!$B$6:$T$823,15,0),"")</f>
        <v>2024</v>
      </c>
      <c r="Q567" s="80" t="str">
        <f>IFERROR(VLOOKUP(B567,'02. MM-KLH'!$B$6:$T$823,16,0),"")</f>
        <v>FC150-4WD</v>
      </c>
      <c r="R567" s="106" t="str">
        <f>IFERROR(VLOOKUP(B567,'02. MM-KLH'!$B$6:$T$823,17,0),"")</f>
        <v>150HP</v>
      </c>
      <c r="S567" s="108" t="str">
        <f>IFERROR(VLOOKUP(B567,'02. MM-KLH'!$B$6:$T$823,18,0),"")</f>
        <v>RNHF16FYBRT000129</v>
      </c>
      <c r="T567" s="110" t="str">
        <f>IFERROR(VLOOKUP(B567,'02. MM-KLH'!$B$6:$T$823,19,0),"")</f>
        <v>YC4D150-48*D59M1N01035*</v>
      </c>
      <c r="U567" s="130" t="s">
        <v>2301</v>
      </c>
    </row>
    <row r="568" ht="13.5" customHeight="1">
      <c r="A568" s="80"/>
      <c r="B568" s="113"/>
      <c r="C568" s="84" t="str">
        <f>IFERROR(VLOOKUP(B568,'02. MM-KLH'!$B$6:$T$823,2,0),"")</f>
        <v/>
      </c>
      <c r="D568" s="95" t="str">
        <f>IFERROR(VLOOKUP(B568,'02. MM-KLH'!$B$6:$T$823,3,0),"")</f>
        <v/>
      </c>
      <c r="E568" s="86" t="str">
        <f>IFERROR(VLOOKUP(B568,'02. MM-KLH'!$B$6:$T$823,4,0),"")</f>
        <v/>
      </c>
      <c r="F568" s="115"/>
      <c r="G568" s="86" t="str">
        <f>IFERROR(VLOOKUP(B568,'02. MM-KLH'!$B$6:$T$823,6,0),"")</f>
        <v/>
      </c>
      <c r="H568" s="80"/>
      <c r="I568" s="80" t="str">
        <f>IFERROR(VLOOKUP(B568,'02. MM-KLH'!$B$6:$T$823,8,0),"")</f>
        <v/>
      </c>
      <c r="J568" s="99" t="str">
        <f>IFERROR(VLOOKUP(B568,'02. MM-KLH'!$B$6:$T$823,9,0),"")</f>
        <v/>
      </c>
      <c r="K568" s="80" t="str">
        <f>IFERROR(VLOOKUP(B568,'02. MM-KLH'!$B$6:$T$823,10,0),"")</f>
        <v/>
      </c>
      <c r="L568" s="102" t="str">
        <f>IFERROR(VLOOKUP(B568,'02. MM-KLH'!$B$6:$T$823,11,0),"")</f>
        <v/>
      </c>
      <c r="M568" s="143" t="str">
        <f>IFERROR(VLOOKUP(B568,'02. MM-KLH'!$B$6:$T$823,12,0),"")</f>
        <v/>
      </c>
      <c r="N568" s="108" t="str">
        <f>IFERROR(VLOOKUP(B568,'02. MM-KLH'!$B$6:$T$823,13,0),"")</f>
        <v/>
      </c>
      <c r="O568" s="108" t="str">
        <f>IFERROR(VLOOKUP(B568,'02. MM-KLH'!$B$6:$T$823,14,0),"")</f>
        <v/>
      </c>
      <c r="P568" s="80" t="str">
        <f>IFERROR(VLOOKUP(B568,'02. MM-KLH'!$B$6:$T$823,15,0),"")</f>
        <v/>
      </c>
      <c r="Q568" s="80" t="str">
        <f>IFERROR(VLOOKUP(B568,'02. MM-KLH'!$B$6:$T$823,16,0),"")</f>
        <v/>
      </c>
      <c r="R568" s="106" t="str">
        <f>IFERROR(VLOOKUP(B568,'02. MM-KLH'!$B$6:$T$823,17,0),"")</f>
        <v/>
      </c>
      <c r="S568" s="108" t="str">
        <f>IFERROR(VLOOKUP(B568,'02. MM-KLH'!$B$6:$T$823,18,0),"")</f>
        <v/>
      </c>
      <c r="T568" s="110" t="str">
        <f>IFERROR(VLOOKUP(B568,'02. MM-KLH'!$B$6:$T$823,19,0),"")</f>
        <v/>
      </c>
      <c r="U568" s="130"/>
    </row>
    <row r="569" ht="13.5" customHeight="1">
      <c r="A569" s="82" t="s">
        <v>76</v>
      </c>
      <c r="B569" s="83" t="s">
        <v>5980</v>
      </c>
      <c r="C569" s="85">
        <f>COUNTA(B570:B583)</f>
        <v>13</v>
      </c>
      <c r="D569" s="85" t="str">
        <f>IFERROR(VLOOKUP(B569,'02. MM-KLH'!$B$6:$T$823,3,0),"")</f>
        <v/>
      </c>
      <c r="E569" s="85" t="str">
        <f>IFERROR(VLOOKUP(B569,'02. MM-KLH'!$B$6:$T$823,4,0),"")</f>
        <v/>
      </c>
      <c r="F569" s="85"/>
      <c r="G569" s="85" t="str">
        <f>IFERROR(VLOOKUP(B569,'02. MM-KLH'!$B$6:$T$823,6,0),"")</f>
        <v/>
      </c>
      <c r="H569" s="85"/>
      <c r="I569" s="85" t="str">
        <f>IFERROR(VLOOKUP(B569,'02. MM-KLH'!$B$6:$T$823,8,0),"")</f>
        <v/>
      </c>
      <c r="J569" s="85" t="str">
        <f>IFERROR(VLOOKUP(B569,'02. MM-KLH'!$B$6:$T$823,9,0),"")</f>
        <v/>
      </c>
      <c r="K569" s="85" t="str">
        <f>IFERROR(VLOOKUP(B569,'02. MM-KLH'!$B$6:$T$823,10,0),"")</f>
        <v/>
      </c>
      <c r="L569" s="85" t="str">
        <f>IFERROR(VLOOKUP(B569,'02. MM-KLH'!$B$6:$T$823,11,0),"")</f>
        <v/>
      </c>
      <c r="M569" s="85" t="str">
        <f>IFERROR(VLOOKUP(B569,'02. MM-KLH'!$B$6:$T$823,12,0),"")</f>
        <v/>
      </c>
      <c r="N569" s="85" t="str">
        <f>IFERROR(VLOOKUP(B569,'02. MM-KLH'!$B$6:$T$823,13,0),"")</f>
        <v/>
      </c>
      <c r="O569" s="85" t="str">
        <f>IFERROR(VLOOKUP(B569,'02. MM-KLH'!$B$6:$T$823,14,0),"")</f>
        <v/>
      </c>
      <c r="P569" s="85" t="str">
        <f>IFERROR(VLOOKUP(B569,'02. MM-KLH'!$B$6:$T$823,15,0),"")</f>
        <v/>
      </c>
      <c r="Q569" s="85" t="str">
        <f>IFERROR(VLOOKUP(B569,'02. MM-KLH'!$B$6:$T$823,16,0),"")</f>
        <v/>
      </c>
      <c r="R569" s="85" t="str">
        <f>IFERROR(VLOOKUP(B569,'02. MM-KLH'!$B$6:$T$823,17,0),"")</f>
        <v/>
      </c>
      <c r="S569" s="85" t="str">
        <f>IFERROR(VLOOKUP(B569,'02. MM-KLH'!$B$6:$T$823,18,0),"")</f>
        <v/>
      </c>
      <c r="T569" s="85" t="str">
        <f>IFERROR(VLOOKUP(B569,'02. MM-KLH'!$B$6:$T$823,19,0),"")</f>
        <v/>
      </c>
      <c r="U569" s="85" t="str">
        <f>IFERROR(VLOOKUP(C569,'02. MM-KLH'!$B$6:$T$823,19,0),"")</f>
        <v/>
      </c>
    </row>
    <row r="570" ht="13.5" customHeight="1">
      <c r="A570" s="95">
        <v>1.0</v>
      </c>
      <c r="B570" s="113" t="s">
        <v>2111</v>
      </c>
      <c r="C570" s="113" t="str">
        <f>IFERROR(VLOOKUP(B570,'02. MM-KLH'!$B$6:$T$823,2,0),"")</f>
        <v>XB1-XCP-001</v>
      </c>
      <c r="D570" s="95" t="str">
        <f>IFERROR(VLOOKUP(B570,'02. MM-KLH'!$B$6:$T$823,3,0),"")</f>
        <v>ATT-A22-0286</v>
      </c>
      <c r="E570" s="86" t="str">
        <f>IFERROR(VLOOKUP(B570,'02. MM-KLH'!$B$6:$T$823,4,0),"")</f>
        <v/>
      </c>
      <c r="F570" s="115" t="s">
        <v>5981</v>
      </c>
      <c r="G570" s="86" t="str">
        <f>IFERROR(VLOOKUP(B570,'02. MM-KLH'!$B$6:$T$823,6,0),"")</f>
        <v>Xe chở phân FD150 (11.8m3)</v>
      </c>
      <c r="H570" s="80" t="s">
        <v>5739</v>
      </c>
      <c r="I570" s="80" t="str">
        <f>IFERROR(VLOOKUP(B570,'02. MM-KLH'!$B$6:$T$823,8,0),"")</f>
        <v>XN Bò AD</v>
      </c>
      <c r="J570" s="99">
        <f>IFERROR(VLOOKUP(B570,'02. MM-KLH'!$B$6:$T$823,9,0),"")</f>
        <v>45261</v>
      </c>
      <c r="K570" s="80" t="str">
        <f>IFERROR(VLOOKUP(B570,'02. MM-KLH'!$B$6:$T$823,10,0),"")</f>
        <v>Bình thường</v>
      </c>
      <c r="L570" s="102">
        <f>IFERROR(VLOOKUP(B570,'02. MM-KLH'!$B$6:$T$823,11,0),"")</f>
        <v>0.97</v>
      </c>
      <c r="M570" s="143" t="str">
        <f>IFERROR(VLOOKUP(B570,'02. MM-KLH'!$B$6:$T$823,12,0),"")</f>
        <v/>
      </c>
      <c r="N570" s="108" t="str">
        <f>IFERROR(VLOOKUP(B570,'02. MM-KLH'!$B$6:$T$823,13,0),"")</f>
        <v>THACO FORLAND</v>
      </c>
      <c r="O570" s="108" t="str">
        <f>IFERROR(VLOOKUP(B570,'02. MM-KLH'!$B$6:$T$823,14,0),"")</f>
        <v>VIỆT NAM</v>
      </c>
      <c r="P570" s="80">
        <f>IFERROR(VLOOKUP(B570,'02. MM-KLH'!$B$6:$T$823,15,0),"")</f>
        <v>2022</v>
      </c>
      <c r="Q570" s="80" t="str">
        <f>IFERROR(VLOOKUP(B570,'02. MM-KLH'!$B$6:$T$823,16,0),"")</f>
        <v>FD150-4WD</v>
      </c>
      <c r="R570" s="106" t="str">
        <f>IFERROR(VLOOKUP(B570,'02. MM-KLH'!$B$6:$T$823,17,0),"")</f>
        <v>150HP</v>
      </c>
      <c r="S570" s="108" t="str">
        <f>IFERROR(VLOOKUP(B570,'02. MM-KLH'!$B$6:$T$823,18,0),"")</f>
        <v>RNHF16FYANT066262</v>
      </c>
      <c r="T570" s="110" t="str">
        <f>IFERROR(VLOOKUP(B570,'02. MM-KLH'!$B$6:$T$823,19,0),"")</f>
        <v>YC4D150-48D59M1N00692</v>
      </c>
      <c r="U570" s="130" t="s">
        <v>2301</v>
      </c>
    </row>
    <row r="571" ht="13.5" customHeight="1">
      <c r="A571" s="95">
        <v>2.0</v>
      </c>
      <c r="B571" s="113" t="s">
        <v>2115</v>
      </c>
      <c r="C571" s="113" t="str">
        <f>IFERROR(VLOOKUP(B571,'02. MM-KLH'!$B$6:$T$823,2,0),"")</f>
        <v>Mới</v>
      </c>
      <c r="D571" s="95" t="str">
        <f>IFERROR(VLOOKUP(B571,'02. MM-KLH'!$B$6:$T$823,3,0),"")</f>
        <v>ATT-A22-0292</v>
      </c>
      <c r="E571" s="86" t="str">
        <f>IFERROR(VLOOKUP(B571,'02. MM-KLH'!$B$6:$T$823,4,0),"")</f>
        <v/>
      </c>
      <c r="F571" s="115" t="s">
        <v>5982</v>
      </c>
      <c r="G571" s="86" t="str">
        <f>IFERROR(VLOOKUP(B571,'02. MM-KLH'!$B$6:$T$823,6,0),"")</f>
        <v>Xe chở phân FD150 (11.8m3)</v>
      </c>
      <c r="H571" s="80" t="s">
        <v>5739</v>
      </c>
      <c r="I571" s="80" t="str">
        <f>IFERROR(VLOOKUP(B571,'02. MM-KLH'!$B$6:$T$823,8,0),"")</f>
        <v>XN Bò AD</v>
      </c>
      <c r="J571" s="99">
        <f>IFERROR(VLOOKUP(B571,'02. MM-KLH'!$B$6:$T$823,9,0),"")</f>
        <v>45261</v>
      </c>
      <c r="K571" s="80" t="str">
        <f>IFERROR(VLOOKUP(B571,'02. MM-KLH'!$B$6:$T$823,10,0),"")</f>
        <v>Bình thường</v>
      </c>
      <c r="L571" s="102">
        <f>IFERROR(VLOOKUP(B571,'02. MM-KLH'!$B$6:$T$823,11,0),"")</f>
        <v>0.97</v>
      </c>
      <c r="M571" s="143" t="str">
        <f>IFERROR(VLOOKUP(B571,'02. MM-KLH'!$B$6:$T$823,12,0),"")</f>
        <v/>
      </c>
      <c r="N571" s="108" t="str">
        <f>IFERROR(VLOOKUP(B571,'02. MM-KLH'!$B$6:$T$823,13,0),"")</f>
        <v>THACO FORLAND</v>
      </c>
      <c r="O571" s="108" t="str">
        <f>IFERROR(VLOOKUP(B571,'02. MM-KLH'!$B$6:$T$823,14,0),"")</f>
        <v>VIỆT NAM</v>
      </c>
      <c r="P571" s="80">
        <f>IFERROR(VLOOKUP(B571,'02. MM-KLH'!$B$6:$T$823,15,0),"")</f>
        <v>2022</v>
      </c>
      <c r="Q571" s="80" t="str">
        <f>IFERROR(VLOOKUP(B571,'02. MM-KLH'!$B$6:$T$823,16,0),"")</f>
        <v>FD150-4WD</v>
      </c>
      <c r="R571" s="106" t="str">
        <f>IFERROR(VLOOKUP(B571,'02. MM-KLH'!$B$6:$T$823,17,0),"")</f>
        <v>150HP</v>
      </c>
      <c r="S571" s="108" t="str">
        <f>IFERROR(VLOOKUP(B571,'02. MM-KLH'!$B$6:$T$823,18,0),"")</f>
        <v>RNHF16FYANT065187</v>
      </c>
      <c r="T571" s="110" t="str">
        <f>IFERROR(VLOOKUP(B571,'02. MM-KLH'!$B$6:$T$823,19,0),"")</f>
        <v>YC4D150-48D59M1N00561</v>
      </c>
      <c r="U571" s="130" t="s">
        <v>2301</v>
      </c>
    </row>
    <row r="572" ht="13.5" customHeight="1">
      <c r="A572" s="95">
        <f t="shared" ref="A572:A582" si="27">1+A571</f>
        <v>3</v>
      </c>
      <c r="B572" s="113" t="s">
        <v>2118</v>
      </c>
      <c r="C572" s="113" t="str">
        <f>IFERROR(VLOOKUP(B572,'02. MM-KLH'!$B$6:$T$823,2,0),"")</f>
        <v>Mới</v>
      </c>
      <c r="D572" s="95" t="str">
        <f>IFERROR(VLOOKUP(B572,'02. MM-KLH'!$B$6:$T$823,3,0),"")</f>
        <v>ATT-A22-0290</v>
      </c>
      <c r="E572" s="86" t="str">
        <f>IFERROR(VLOOKUP(B572,'02. MM-KLH'!$B$6:$T$823,4,0),"")</f>
        <v/>
      </c>
      <c r="F572" s="115" t="s">
        <v>5983</v>
      </c>
      <c r="G572" s="86" t="str">
        <f>IFERROR(VLOOKUP(B572,'02. MM-KLH'!$B$6:$T$823,6,0),"")</f>
        <v>Xe chở phân FD150 (11.8m3)</v>
      </c>
      <c r="H572" s="80" t="s">
        <v>5739</v>
      </c>
      <c r="I572" s="80" t="str">
        <f>IFERROR(VLOOKUP(B572,'02. MM-KLH'!$B$6:$T$823,8,0),"")</f>
        <v>XN Bò AD</v>
      </c>
      <c r="J572" s="99">
        <f>IFERROR(VLOOKUP(B572,'02. MM-KLH'!$B$6:$T$823,9,0),"")</f>
        <v>45261</v>
      </c>
      <c r="K572" s="80" t="str">
        <f>IFERROR(VLOOKUP(B572,'02. MM-KLH'!$B$6:$T$823,10,0),"")</f>
        <v>Bình thường</v>
      </c>
      <c r="L572" s="102">
        <f>IFERROR(VLOOKUP(B572,'02. MM-KLH'!$B$6:$T$823,11,0),"")</f>
        <v>0.97</v>
      </c>
      <c r="M572" s="143" t="str">
        <f>IFERROR(VLOOKUP(B572,'02. MM-KLH'!$B$6:$T$823,12,0),"")</f>
        <v/>
      </c>
      <c r="N572" s="108" t="str">
        <f>IFERROR(VLOOKUP(B572,'02. MM-KLH'!$B$6:$T$823,13,0),"")</f>
        <v>THACO FORLAND</v>
      </c>
      <c r="O572" s="108" t="str">
        <f>IFERROR(VLOOKUP(B572,'02. MM-KLH'!$B$6:$T$823,14,0),"")</f>
        <v>VIỆT NAM</v>
      </c>
      <c r="P572" s="80">
        <f>IFERROR(VLOOKUP(B572,'02. MM-KLH'!$B$6:$T$823,15,0),"")</f>
        <v>2022</v>
      </c>
      <c r="Q572" s="80" t="str">
        <f>IFERROR(VLOOKUP(B572,'02. MM-KLH'!$B$6:$T$823,16,0),"")</f>
        <v>FD150-4WD</v>
      </c>
      <c r="R572" s="106" t="str">
        <f>IFERROR(VLOOKUP(B572,'02. MM-KLH'!$B$6:$T$823,17,0),"")</f>
        <v>150HP</v>
      </c>
      <c r="S572" s="108" t="str">
        <f>IFERROR(VLOOKUP(B572,'02. MM-KLH'!$B$6:$T$823,18,0),"")</f>
        <v>RNHF16FYANT065161</v>
      </c>
      <c r="T572" s="110" t="str">
        <f>IFERROR(VLOOKUP(B572,'02. MM-KLH'!$B$6:$T$823,19,0),"")</f>
        <v>YC4D150-48D59M1N00654</v>
      </c>
      <c r="U572" s="130" t="s">
        <v>2301</v>
      </c>
    </row>
    <row r="573" ht="13.5" customHeight="1">
      <c r="A573" s="95">
        <f t="shared" si="27"/>
        <v>4</v>
      </c>
      <c r="B573" s="113" t="s">
        <v>2121</v>
      </c>
      <c r="C573" s="113" t="str">
        <f>IFERROR(VLOOKUP(B573,'02. MM-KLH'!$B$6:$T$823,2,0),"")</f>
        <v>Mới</v>
      </c>
      <c r="D573" s="95" t="str">
        <f>IFERROR(VLOOKUP(B573,'02. MM-KLH'!$B$6:$T$823,3,0),"")</f>
        <v>ATT-A22-0291</v>
      </c>
      <c r="E573" s="86" t="str">
        <f>IFERROR(VLOOKUP(B573,'02. MM-KLH'!$B$6:$T$823,4,0),"")</f>
        <v/>
      </c>
      <c r="F573" s="115" t="s">
        <v>5984</v>
      </c>
      <c r="G573" s="86" t="str">
        <f>IFERROR(VLOOKUP(B573,'02. MM-KLH'!$B$6:$T$823,6,0),"")</f>
        <v>Xe chở phân FD150 (11.8m3)</v>
      </c>
      <c r="H573" s="80" t="s">
        <v>5739</v>
      </c>
      <c r="I573" s="80" t="str">
        <f>IFERROR(VLOOKUP(B573,'02. MM-KLH'!$B$6:$T$823,8,0),"")</f>
        <v>XN Bò AD</v>
      </c>
      <c r="J573" s="99">
        <f>IFERROR(VLOOKUP(B573,'02. MM-KLH'!$B$6:$T$823,9,0),"")</f>
        <v>45261</v>
      </c>
      <c r="K573" s="80" t="str">
        <f>IFERROR(VLOOKUP(B573,'02. MM-KLH'!$B$6:$T$823,10,0),"")</f>
        <v>Bình thường</v>
      </c>
      <c r="L573" s="102">
        <f>IFERROR(VLOOKUP(B573,'02. MM-KLH'!$B$6:$T$823,11,0),"")</f>
        <v>0.97</v>
      </c>
      <c r="M573" s="143" t="str">
        <f>IFERROR(VLOOKUP(B573,'02. MM-KLH'!$B$6:$T$823,12,0),"")</f>
        <v/>
      </c>
      <c r="N573" s="108" t="str">
        <f>IFERROR(VLOOKUP(B573,'02. MM-KLH'!$B$6:$T$823,13,0),"")</f>
        <v>THACO FORLAND</v>
      </c>
      <c r="O573" s="108" t="str">
        <f>IFERROR(VLOOKUP(B573,'02. MM-KLH'!$B$6:$T$823,14,0),"")</f>
        <v>VIỆT NAM</v>
      </c>
      <c r="P573" s="80">
        <f>IFERROR(VLOOKUP(B573,'02. MM-KLH'!$B$6:$T$823,15,0),"")</f>
        <v>2022</v>
      </c>
      <c r="Q573" s="80" t="str">
        <f>IFERROR(VLOOKUP(B573,'02. MM-KLH'!$B$6:$T$823,16,0),"")</f>
        <v>FD150-4WD</v>
      </c>
      <c r="R573" s="106" t="str">
        <f>IFERROR(VLOOKUP(B573,'02. MM-KLH'!$B$6:$T$823,17,0),"")</f>
        <v>150HP</v>
      </c>
      <c r="S573" s="108" t="str">
        <f>IFERROR(VLOOKUP(B573,'02. MM-KLH'!$B$6:$T$823,18,0),"")</f>
        <v> RNHF16FYANT065198</v>
      </c>
      <c r="T573" s="110" t="str">
        <f>IFERROR(VLOOKUP(B573,'02. MM-KLH'!$B$6:$T$823,19,0),"")</f>
        <v>YC4D150-48D59M1N00572</v>
      </c>
      <c r="U573" s="130" t="s">
        <v>2301</v>
      </c>
    </row>
    <row r="574" ht="13.5" customHeight="1">
      <c r="A574" s="95">
        <f t="shared" si="27"/>
        <v>5</v>
      </c>
      <c r="B574" s="113" t="s">
        <v>2124</v>
      </c>
      <c r="C574" s="113" t="str">
        <f>IFERROR(VLOOKUP(B574,'02. MM-KLH'!$B$6:$T$823,2,0),"")</f>
        <v>Mới</v>
      </c>
      <c r="D574" s="95" t="str">
        <f>IFERROR(VLOOKUP(B574,'02. MM-KLH'!$B$6:$T$823,3,0),"")</f>
        <v>ATT-A22-0303</v>
      </c>
      <c r="E574" s="86" t="str">
        <f>IFERROR(VLOOKUP(B574,'02. MM-KLH'!$B$6:$T$823,4,0),"")</f>
        <v/>
      </c>
      <c r="F574" s="115" t="s">
        <v>5985</v>
      </c>
      <c r="G574" s="86" t="str">
        <f>IFERROR(VLOOKUP(B574,'02. MM-KLH'!$B$6:$T$823,6,0),"")</f>
        <v>Xe chở phân FD150 (8.7m3)</v>
      </c>
      <c r="H574" s="80" t="s">
        <v>5739</v>
      </c>
      <c r="I574" s="80" t="str">
        <f>IFERROR(VLOOKUP(B574,'02. MM-KLH'!$B$6:$T$823,8,0),"")</f>
        <v>XN Bò AD</v>
      </c>
      <c r="J574" s="99" t="str">
        <f>IFERROR(VLOOKUP(B574,'02. MM-KLH'!$B$6:$T$823,9,0),"")</f>
        <v>25/11/2023</v>
      </c>
      <c r="K574" s="80" t="str">
        <f>IFERROR(VLOOKUP(B574,'02. MM-KLH'!$B$6:$T$823,10,0),"")</f>
        <v>Bình thường</v>
      </c>
      <c r="L574" s="102">
        <f>IFERROR(VLOOKUP(B574,'02. MM-KLH'!$B$6:$T$823,11,0),"")</f>
        <v>0.97</v>
      </c>
      <c r="M574" s="143" t="str">
        <f>IFERROR(VLOOKUP(B574,'02. MM-KLH'!$B$6:$T$823,12,0),"")</f>
        <v/>
      </c>
      <c r="N574" s="108" t="str">
        <f>IFERROR(VLOOKUP(B574,'02. MM-KLH'!$B$6:$T$823,13,0),"")</f>
        <v>THACO FORLAND</v>
      </c>
      <c r="O574" s="108" t="str">
        <f>IFERROR(VLOOKUP(B574,'02. MM-KLH'!$B$6:$T$823,14,0),"")</f>
        <v>VIỆT NAM</v>
      </c>
      <c r="P574" s="80">
        <f>IFERROR(VLOOKUP(B574,'02. MM-KLH'!$B$6:$T$823,15,0),"")</f>
        <v>2023</v>
      </c>
      <c r="Q574" s="80" t="str">
        <f>IFERROR(VLOOKUP(B574,'02. MM-KLH'!$B$6:$T$823,16,0),"")</f>
        <v>FD150-4WD</v>
      </c>
      <c r="R574" s="106" t="str">
        <f>IFERROR(VLOOKUP(B574,'02. MM-KLH'!$B$6:$T$823,17,0),"")</f>
        <v>150HP</v>
      </c>
      <c r="S574" s="108" t="str">
        <f>IFERROR(VLOOKUP(B574,'02. MM-KLH'!$B$6:$T$823,18,0),"")</f>
        <v>RNHF16FYAPTO77540</v>
      </c>
      <c r="T574" s="110" t="str">
        <f>IFERROR(VLOOKUP(B574,'02. MM-KLH'!$B$6:$T$823,19,0),"")</f>
        <v>YC4D150-48D59M1N00920</v>
      </c>
      <c r="U574" s="130" t="s">
        <v>2301</v>
      </c>
    </row>
    <row r="575" ht="13.5" customHeight="1">
      <c r="A575" s="95">
        <f t="shared" si="27"/>
        <v>6</v>
      </c>
      <c r="B575" s="113" t="s">
        <v>2128</v>
      </c>
      <c r="C575" s="113" t="str">
        <f>IFERROR(VLOOKUP(B575,'02. MM-KLH'!$B$6:$T$823,2,0),"")</f>
        <v>Mới</v>
      </c>
      <c r="D575" s="95" t="str">
        <f>IFERROR(VLOOKUP(B575,'02. MM-KLH'!$B$6:$T$823,3,0),"")</f>
        <v>ATT-A22-0299</v>
      </c>
      <c r="E575" s="86" t="str">
        <f>IFERROR(VLOOKUP(B575,'02. MM-KLH'!$B$6:$T$823,4,0),"")</f>
        <v/>
      </c>
      <c r="F575" s="115" t="s">
        <v>5986</v>
      </c>
      <c r="G575" s="86" t="str">
        <f>IFERROR(VLOOKUP(B575,'02. MM-KLH'!$B$6:$T$823,6,0),"")</f>
        <v>Xe chở phân FD150 (8.7m3)</v>
      </c>
      <c r="H575" s="80" t="s">
        <v>5739</v>
      </c>
      <c r="I575" s="80" t="str">
        <f>IFERROR(VLOOKUP(B575,'02. MM-KLH'!$B$6:$T$823,8,0),"")</f>
        <v>XN Bò AD</v>
      </c>
      <c r="J575" s="99" t="str">
        <f>IFERROR(VLOOKUP(B575,'02. MM-KLH'!$B$6:$T$823,9,0),"")</f>
        <v>25/11/2023</v>
      </c>
      <c r="K575" s="80" t="str">
        <f>IFERROR(VLOOKUP(B575,'02. MM-KLH'!$B$6:$T$823,10,0),"")</f>
        <v>Bình thường</v>
      </c>
      <c r="L575" s="102">
        <f>IFERROR(VLOOKUP(B575,'02. MM-KLH'!$B$6:$T$823,11,0),"")</f>
        <v>0.97</v>
      </c>
      <c r="M575" s="143" t="str">
        <f>IFERROR(VLOOKUP(B575,'02. MM-KLH'!$B$6:$T$823,12,0),"")</f>
        <v>Đầu tư mới</v>
      </c>
      <c r="N575" s="108" t="str">
        <f>IFERROR(VLOOKUP(B575,'02. MM-KLH'!$B$6:$T$823,13,0),"")</f>
        <v>THACO FORLAND</v>
      </c>
      <c r="O575" s="108" t="str">
        <f>IFERROR(VLOOKUP(B575,'02. MM-KLH'!$B$6:$T$823,14,0),"")</f>
        <v>VIỆT NAM</v>
      </c>
      <c r="P575" s="80">
        <f>IFERROR(VLOOKUP(B575,'02. MM-KLH'!$B$6:$T$823,15,0),"")</f>
        <v>2023</v>
      </c>
      <c r="Q575" s="80" t="str">
        <f>IFERROR(VLOOKUP(B575,'02. MM-KLH'!$B$6:$T$823,16,0),"")</f>
        <v>FD150-4WD</v>
      </c>
      <c r="R575" s="106" t="str">
        <f>IFERROR(VLOOKUP(B575,'02. MM-KLH'!$B$6:$T$823,17,0),"")</f>
        <v>150HP</v>
      </c>
      <c r="S575" s="108" t="str">
        <f>IFERROR(VLOOKUP(B575,'02. MM-KLH'!$B$6:$T$823,18,0),"")</f>
        <v>RNHF16FYAPTO77538</v>
      </c>
      <c r="T575" s="110" t="str">
        <f>IFERROR(VLOOKUP(B575,'02. MM-KLH'!$B$6:$T$823,19,0),"")</f>
        <v>YC4D150-48D59M1N00903</v>
      </c>
      <c r="U575" s="130" t="s">
        <v>2301</v>
      </c>
    </row>
    <row r="576" ht="13.5" customHeight="1">
      <c r="A576" s="95">
        <f t="shared" si="27"/>
        <v>7</v>
      </c>
      <c r="B576" s="115" t="s">
        <v>2131</v>
      </c>
      <c r="C576" s="113" t="str">
        <f>IFERROR(VLOOKUP(B576,'02. MM-KLH'!$B$6:$T$823,2,0),"")</f>
        <v>Mới</v>
      </c>
      <c r="D576" s="95" t="str">
        <f>IFERROR(VLOOKUP(B576,'02. MM-KLH'!$B$6:$T$823,3,0),"")</f>
        <v>A22-XCP-008</v>
      </c>
      <c r="E576" s="86" t="str">
        <f>IFERROR(VLOOKUP(B576,'02. MM-KLH'!$B$6:$T$823,4,0),"")</f>
        <v>3A-6803</v>
      </c>
      <c r="F576" s="115"/>
      <c r="G576" s="86" t="str">
        <f>IFERROR(VLOOKUP(B576,'02. MM-KLH'!$B$6:$T$823,6,0),"")</f>
        <v>Xe chở phân FD150 (8.7m3)</v>
      </c>
      <c r="H576" s="80" t="s">
        <v>5739</v>
      </c>
      <c r="I576" s="80" t="str">
        <f>IFERROR(VLOOKUP(B576,'02. MM-KLH'!$B$6:$T$823,8,0),"")</f>
        <v>XN Bò AD</v>
      </c>
      <c r="J576" s="99">
        <f>IFERROR(VLOOKUP(B576,'02. MM-KLH'!$B$6:$T$823,9,0),"")</f>
        <v>45452</v>
      </c>
      <c r="K576" s="80" t="str">
        <f>IFERROR(VLOOKUP(B576,'02. MM-KLH'!$B$6:$T$823,10,0),"")</f>
        <v>Bình thường</v>
      </c>
      <c r="L576" s="102" t="str">
        <f>IFERROR(VLOOKUP(B576,'02. MM-KLH'!$B$6:$T$823,11,0),"")</f>
        <v/>
      </c>
      <c r="M576" s="143" t="str">
        <f>IFERROR(VLOOKUP(B576,'02. MM-KLH'!$B$6:$T$823,12,0),"")</f>
        <v>Đầu tư mới</v>
      </c>
      <c r="N576" s="108" t="str">
        <f>IFERROR(VLOOKUP(B576,'02. MM-KLH'!$B$6:$T$823,13,0),"")</f>
        <v>THACO FORLAND</v>
      </c>
      <c r="O576" s="108" t="str">
        <f>IFERROR(VLOOKUP(B576,'02. MM-KLH'!$B$6:$T$823,14,0),"")</f>
        <v>VIỆT NAM</v>
      </c>
      <c r="P576" s="80">
        <f>IFERROR(VLOOKUP(B576,'02. MM-KLH'!$B$6:$T$823,15,0),"")</f>
        <v>2024</v>
      </c>
      <c r="Q576" s="80" t="str">
        <f>IFERROR(VLOOKUP(B576,'02. MM-KLH'!$B$6:$T$823,16,0),"")</f>
        <v>FD150-4WD</v>
      </c>
      <c r="R576" s="106" t="str">
        <f>IFERROR(VLOOKUP(B576,'02. MM-KLH'!$B$6:$T$823,17,0),"")</f>
        <v>150HP</v>
      </c>
      <c r="S576" s="108" t="str">
        <f>IFERROR(VLOOKUP(B576,'02. MM-KLH'!$B$6:$T$823,18,0),"")</f>
        <v>RNHF16FYART095004</v>
      </c>
      <c r="T576" s="110" t="str">
        <f>IFERROR(VLOOKUP(B576,'02. MM-KLH'!$B$6:$T$823,19,0),"")</f>
        <v>D59M1N01406</v>
      </c>
      <c r="U576" s="130" t="s">
        <v>2301</v>
      </c>
    </row>
    <row r="577" ht="13.5" customHeight="1">
      <c r="A577" s="95">
        <f t="shared" si="27"/>
        <v>8</v>
      </c>
      <c r="B577" s="115" t="s">
        <v>2136</v>
      </c>
      <c r="C577" s="113" t="str">
        <f>IFERROR(VLOOKUP(B577,'02. MM-KLH'!$B$6:$T$823,2,0),"")</f>
        <v>Mới</v>
      </c>
      <c r="D577" s="95" t="str">
        <f>IFERROR(VLOOKUP(B577,'02. MM-KLH'!$B$6:$T$823,3,0),"")</f>
        <v>A22-XCP-009</v>
      </c>
      <c r="E577" s="86" t="str">
        <f>IFERROR(VLOOKUP(B577,'02. MM-KLH'!$B$6:$T$823,4,0),"")</f>
        <v>3A-6801</v>
      </c>
      <c r="F577" s="115"/>
      <c r="G577" s="86" t="str">
        <f>IFERROR(VLOOKUP(B577,'02. MM-KLH'!$B$6:$T$823,6,0),"")</f>
        <v>Xe chở phân FD150 (8.7m3)</v>
      </c>
      <c r="H577" s="80" t="s">
        <v>5739</v>
      </c>
      <c r="I577" s="80" t="str">
        <f>IFERROR(VLOOKUP(B577,'02. MM-KLH'!$B$6:$T$823,8,0),"")</f>
        <v>XN Bò AD</v>
      </c>
      <c r="J577" s="99">
        <f>IFERROR(VLOOKUP(B577,'02. MM-KLH'!$B$6:$T$823,9,0),"")</f>
        <v>45452</v>
      </c>
      <c r="K577" s="80" t="str">
        <f>IFERROR(VLOOKUP(B577,'02. MM-KLH'!$B$6:$T$823,10,0),"")</f>
        <v>Bình thường</v>
      </c>
      <c r="L577" s="102" t="str">
        <f>IFERROR(VLOOKUP(B577,'02. MM-KLH'!$B$6:$T$823,11,0),"")</f>
        <v/>
      </c>
      <c r="M577" s="143" t="str">
        <f>IFERROR(VLOOKUP(B577,'02. MM-KLH'!$B$6:$T$823,12,0),"")</f>
        <v>Đầu tư mới</v>
      </c>
      <c r="N577" s="108" t="str">
        <f>IFERROR(VLOOKUP(B577,'02. MM-KLH'!$B$6:$T$823,13,0),"")</f>
        <v>THACO FORLAND</v>
      </c>
      <c r="O577" s="108" t="str">
        <f>IFERROR(VLOOKUP(B577,'02. MM-KLH'!$B$6:$T$823,14,0),"")</f>
        <v>VIỆT NAM</v>
      </c>
      <c r="P577" s="80">
        <f>IFERROR(VLOOKUP(B577,'02. MM-KLH'!$B$6:$T$823,15,0),"")</f>
        <v>2024</v>
      </c>
      <c r="Q577" s="80" t="str">
        <f>IFERROR(VLOOKUP(B577,'02. MM-KLH'!$B$6:$T$823,16,0),"")</f>
        <v>FD150-4WD</v>
      </c>
      <c r="R577" s="106" t="str">
        <f>IFERROR(VLOOKUP(B577,'02. MM-KLH'!$B$6:$T$823,17,0),"")</f>
        <v>150HP</v>
      </c>
      <c r="S577" s="108" t="str">
        <f>IFERROR(VLOOKUP(B577,'02. MM-KLH'!$B$6:$T$823,18,0),"")</f>
        <v>RNHF16FYART095002</v>
      </c>
      <c r="T577" s="110" t="str">
        <f>IFERROR(VLOOKUP(B577,'02. MM-KLH'!$B$6:$T$823,19,0),"")</f>
        <v>D59M1N01437</v>
      </c>
      <c r="U577" s="130" t="s">
        <v>2301</v>
      </c>
    </row>
    <row r="578" ht="13.5" customHeight="1">
      <c r="A578" s="95">
        <f t="shared" si="27"/>
        <v>9</v>
      </c>
      <c r="B578" s="115" t="s">
        <v>2141</v>
      </c>
      <c r="C578" s="113" t="str">
        <f>IFERROR(VLOOKUP(B578,'02. MM-KLH'!$B$6:$T$823,2,0),"")</f>
        <v>Mới</v>
      </c>
      <c r="D578" s="95" t="str">
        <f>IFERROR(VLOOKUP(B578,'02. MM-KLH'!$B$6:$T$823,3,0),"")</f>
        <v>A22-XCP-010</v>
      </c>
      <c r="E578" s="86" t="str">
        <f>IFERROR(VLOOKUP(B578,'02. MM-KLH'!$B$6:$T$823,4,0),"")</f>
        <v>3A-6807</v>
      </c>
      <c r="F578" s="115"/>
      <c r="G578" s="86" t="str">
        <f>IFERROR(VLOOKUP(B578,'02. MM-KLH'!$B$6:$T$823,6,0),"")</f>
        <v>Xe chở phân FD150 (8.7m3)</v>
      </c>
      <c r="H578" s="80" t="s">
        <v>5739</v>
      </c>
      <c r="I578" s="80" t="str">
        <f>IFERROR(VLOOKUP(B578,'02. MM-KLH'!$B$6:$T$823,8,0),"")</f>
        <v>XN Bò AD</v>
      </c>
      <c r="J578" s="99">
        <f>IFERROR(VLOOKUP(B578,'02. MM-KLH'!$B$6:$T$823,9,0),"")</f>
        <v>45452</v>
      </c>
      <c r="K578" s="80" t="str">
        <f>IFERROR(VLOOKUP(B578,'02. MM-KLH'!$B$6:$T$823,10,0),"")</f>
        <v>Bình thường</v>
      </c>
      <c r="L578" s="102" t="str">
        <f>IFERROR(VLOOKUP(B578,'02. MM-KLH'!$B$6:$T$823,11,0),"")</f>
        <v/>
      </c>
      <c r="M578" s="143" t="str">
        <f>IFERROR(VLOOKUP(B578,'02. MM-KLH'!$B$6:$T$823,12,0),"")</f>
        <v>Đầu tư mới</v>
      </c>
      <c r="N578" s="108" t="str">
        <f>IFERROR(VLOOKUP(B578,'02. MM-KLH'!$B$6:$T$823,13,0),"")</f>
        <v>THACO FORLAND</v>
      </c>
      <c r="O578" s="108" t="str">
        <f>IFERROR(VLOOKUP(B578,'02. MM-KLH'!$B$6:$T$823,14,0),"")</f>
        <v>VIỆT NAM</v>
      </c>
      <c r="P578" s="80">
        <f>IFERROR(VLOOKUP(B578,'02. MM-KLH'!$B$6:$T$823,15,0),"")</f>
        <v>2024</v>
      </c>
      <c r="Q578" s="80" t="str">
        <f>IFERROR(VLOOKUP(B578,'02. MM-KLH'!$B$6:$T$823,16,0),"")</f>
        <v>FD150-4WD</v>
      </c>
      <c r="R578" s="106" t="str">
        <f>IFERROR(VLOOKUP(B578,'02. MM-KLH'!$B$6:$T$823,17,0),"")</f>
        <v>150HP</v>
      </c>
      <c r="S578" s="108" t="str">
        <f>IFERROR(VLOOKUP(B578,'02. MM-KLH'!$B$6:$T$823,18,0),"")</f>
        <v>RNHF16FYART095001</v>
      </c>
      <c r="T578" s="110" t="str">
        <f>IFERROR(VLOOKUP(B578,'02. MM-KLH'!$B$6:$T$823,19,0),"")</f>
        <v>D59M1N01416</v>
      </c>
      <c r="U578" s="130" t="s">
        <v>2301</v>
      </c>
    </row>
    <row r="579" ht="13.5" customHeight="1">
      <c r="A579" s="95">
        <f t="shared" si="27"/>
        <v>10</v>
      </c>
      <c r="B579" s="115" t="s">
        <v>2146</v>
      </c>
      <c r="C579" s="113" t="str">
        <f>IFERROR(VLOOKUP(B579,'02. MM-KLH'!$B$6:$T$823,2,0),"")</f>
        <v>Mới</v>
      </c>
      <c r="D579" s="95" t="str">
        <f>IFERROR(VLOOKUP(B579,'02. MM-KLH'!$B$6:$T$823,3,0),"")</f>
        <v>A22-XCP-011</v>
      </c>
      <c r="E579" s="86" t="str">
        <f>IFERROR(VLOOKUP(B579,'02. MM-KLH'!$B$6:$T$823,4,0),"")</f>
        <v>3A-6802</v>
      </c>
      <c r="F579" s="115"/>
      <c r="G579" s="86" t="str">
        <f>IFERROR(VLOOKUP(B579,'02. MM-KLH'!$B$6:$T$823,6,0),"")</f>
        <v>Xe chở phân FD150 (8.7m3)</v>
      </c>
      <c r="H579" s="80" t="s">
        <v>5739</v>
      </c>
      <c r="I579" s="80" t="str">
        <f>IFERROR(VLOOKUP(B579,'02. MM-KLH'!$B$6:$T$823,8,0),"")</f>
        <v>XN Bò AD</v>
      </c>
      <c r="J579" s="99">
        <f>IFERROR(VLOOKUP(B579,'02. MM-KLH'!$B$6:$T$823,9,0),"")</f>
        <v>45452</v>
      </c>
      <c r="K579" s="80" t="str">
        <f>IFERROR(VLOOKUP(B579,'02. MM-KLH'!$B$6:$T$823,10,0),"")</f>
        <v>Bình thường</v>
      </c>
      <c r="L579" s="102" t="str">
        <f>IFERROR(VLOOKUP(B579,'02. MM-KLH'!$B$6:$T$823,11,0),"")</f>
        <v/>
      </c>
      <c r="M579" s="143" t="str">
        <f>IFERROR(VLOOKUP(B579,'02. MM-KLH'!$B$6:$T$823,12,0),"")</f>
        <v>Đầu tư mới</v>
      </c>
      <c r="N579" s="108" t="str">
        <f>IFERROR(VLOOKUP(B579,'02. MM-KLH'!$B$6:$T$823,13,0),"")</f>
        <v>THACO FORLAND</v>
      </c>
      <c r="O579" s="108" t="str">
        <f>IFERROR(VLOOKUP(B579,'02. MM-KLH'!$B$6:$T$823,14,0),"")</f>
        <v>VIỆT NAM</v>
      </c>
      <c r="P579" s="80">
        <f>IFERROR(VLOOKUP(B579,'02. MM-KLH'!$B$6:$T$823,15,0),"")</f>
        <v>2024</v>
      </c>
      <c r="Q579" s="80" t="str">
        <f>IFERROR(VLOOKUP(B579,'02. MM-KLH'!$B$6:$T$823,16,0),"")</f>
        <v>FD150-4WD</v>
      </c>
      <c r="R579" s="106" t="str">
        <f>IFERROR(VLOOKUP(B579,'02. MM-KLH'!$B$6:$T$823,17,0),"")</f>
        <v>150HP</v>
      </c>
      <c r="S579" s="108" t="str">
        <f>IFERROR(VLOOKUP(B579,'02. MM-KLH'!$B$6:$T$823,18,0),"")</f>
        <v>RNHF16FYART094996</v>
      </c>
      <c r="T579" s="110" t="str">
        <f>IFERROR(VLOOKUP(B579,'02. MM-KLH'!$B$6:$T$823,19,0),"")</f>
        <v>D59M1N01392</v>
      </c>
      <c r="U579" s="130" t="s">
        <v>2301</v>
      </c>
    </row>
    <row r="580" ht="13.5" customHeight="1">
      <c r="A580" s="95">
        <f t="shared" si="27"/>
        <v>11</v>
      </c>
      <c r="B580" s="115" t="s">
        <v>2151</v>
      </c>
      <c r="C580" s="113" t="str">
        <f>IFERROR(VLOOKUP(B580,'02. MM-KLH'!$B$6:$T$823,2,0),"")</f>
        <v>Mới</v>
      </c>
      <c r="D580" s="95" t="str">
        <f>IFERROR(VLOOKUP(B580,'02. MM-KLH'!$B$6:$T$823,3,0),"")</f>
        <v>A22-XCP-012</v>
      </c>
      <c r="E580" s="86" t="str">
        <f>IFERROR(VLOOKUP(B580,'02. MM-KLH'!$B$6:$T$823,4,0),"")</f>
        <v>3A-6841</v>
      </c>
      <c r="F580" s="115"/>
      <c r="G580" s="86" t="str">
        <f>IFERROR(VLOOKUP(B580,'02. MM-KLH'!$B$6:$T$823,6,0),"")</f>
        <v>Xe chở phân FD120 (5.41m3)</v>
      </c>
      <c r="H580" s="80" t="s">
        <v>5739</v>
      </c>
      <c r="I580" s="80" t="str">
        <f>IFERROR(VLOOKUP(B580,'02. MM-KLH'!$B$6:$T$823,8,0),"")</f>
        <v>XN Bò AD</v>
      </c>
      <c r="J580" s="99" t="str">
        <f>IFERROR(VLOOKUP(B580,'02. MM-KLH'!$B$6:$T$823,9,0),"")</f>
        <v>13/09/2025</v>
      </c>
      <c r="K580" s="80" t="str">
        <f>IFERROR(VLOOKUP(B580,'02. MM-KLH'!$B$6:$T$823,10,0),"")</f>
        <v>Bình thường</v>
      </c>
      <c r="L580" s="102" t="str">
        <f>IFERROR(VLOOKUP(B580,'02. MM-KLH'!$B$6:$T$823,11,0),"")</f>
        <v/>
      </c>
      <c r="M580" s="143" t="str">
        <f>IFERROR(VLOOKUP(B580,'02. MM-KLH'!$B$6:$T$823,12,0),"")</f>
        <v>Đầu tư mới</v>
      </c>
      <c r="N580" s="108" t="str">
        <f>IFERROR(VLOOKUP(B580,'02. MM-KLH'!$B$6:$T$823,13,0),"")</f>
        <v>THACO FORLAND</v>
      </c>
      <c r="O580" s="108" t="str">
        <f>IFERROR(VLOOKUP(B580,'02. MM-KLH'!$B$6:$T$823,14,0),"")</f>
        <v>VIỆT NAM</v>
      </c>
      <c r="P580" s="80">
        <f>IFERROR(VLOOKUP(B580,'02. MM-KLH'!$B$6:$T$823,15,0),"")</f>
        <v>2024</v>
      </c>
      <c r="Q580" s="80" t="str">
        <f>IFERROR(VLOOKUP(B580,'02. MM-KLH'!$B$6:$T$823,16,0),"")</f>
        <v> FD120-4WD</v>
      </c>
      <c r="R580" s="106" t="str">
        <f>IFERROR(VLOOKUP(B580,'02. MM-KLH'!$B$6:$T$823,17,0),"")</f>
        <v>129HP</v>
      </c>
      <c r="S580" s="108" t="str">
        <f>IFERROR(VLOOKUP(B580,'02. MM-KLH'!$B$6:$T$823,18,0),"")</f>
        <v>RNHF12FNBRT002112</v>
      </c>
      <c r="T580" s="110" t="str">
        <f>IFERROR(VLOOKUP(B580,'02. MM-KLH'!$B$6:$T$823,19,0),"")</f>
        <v>YN38CRD1*AGN22000292*</v>
      </c>
      <c r="U580" s="130" t="s">
        <v>2301</v>
      </c>
    </row>
    <row r="581" ht="13.5" customHeight="1">
      <c r="A581" s="95">
        <f t="shared" si="27"/>
        <v>12</v>
      </c>
      <c r="B581" s="115" t="s">
        <v>2159</v>
      </c>
      <c r="C581" s="113" t="str">
        <f>IFERROR(VLOOKUP(B581,'02. MM-KLH'!$B$6:$T$823,2,0),"")</f>
        <v>Mới</v>
      </c>
      <c r="D581" s="95" t="str">
        <f>IFERROR(VLOOKUP(B581,'02. MM-KLH'!$B$6:$T$823,3,0),"")</f>
        <v>A22-XCP-013</v>
      </c>
      <c r="E581" s="86" t="str">
        <f>IFERROR(VLOOKUP(B581,'02. MM-KLH'!$B$6:$T$823,4,0),"")</f>
        <v/>
      </c>
      <c r="F581" s="115"/>
      <c r="G581" s="86" t="str">
        <f>IFERROR(VLOOKUP(B581,'02. MM-KLH'!$B$6:$T$823,6,0),"")</f>
        <v>Xe chở phân FD120 (5.41m3)</v>
      </c>
      <c r="H581" s="80" t="s">
        <v>5739</v>
      </c>
      <c r="I581" s="80" t="str">
        <f>IFERROR(VLOOKUP(B581,'02. MM-KLH'!$B$6:$T$823,8,0),"")</f>
        <v>XN Bò AD</v>
      </c>
      <c r="J581" s="99" t="str">
        <f>IFERROR(VLOOKUP(B581,'02. MM-KLH'!$B$6:$T$823,9,0),"")</f>
        <v>13/09/2025</v>
      </c>
      <c r="K581" s="80" t="str">
        <f>IFERROR(VLOOKUP(B581,'02. MM-KLH'!$B$6:$T$823,10,0),"")</f>
        <v>Bình thường</v>
      </c>
      <c r="L581" s="102" t="str">
        <f>IFERROR(VLOOKUP(B581,'02. MM-KLH'!$B$6:$T$823,11,0),"")</f>
        <v/>
      </c>
      <c r="M581" s="143" t="str">
        <f>IFERROR(VLOOKUP(B581,'02. MM-KLH'!$B$6:$T$823,12,0),"")</f>
        <v>Đầu tư mới</v>
      </c>
      <c r="N581" s="108" t="str">
        <f>IFERROR(VLOOKUP(B581,'02. MM-KLH'!$B$6:$T$823,13,0),"")</f>
        <v>THACO FORLAND</v>
      </c>
      <c r="O581" s="108" t="str">
        <f>IFERROR(VLOOKUP(B581,'02. MM-KLH'!$B$6:$T$823,14,0),"")</f>
        <v>VIỆT NAM</v>
      </c>
      <c r="P581" s="80">
        <f>IFERROR(VLOOKUP(B581,'02. MM-KLH'!$B$6:$T$823,15,0),"")</f>
        <v>2024</v>
      </c>
      <c r="Q581" s="80" t="str">
        <f>IFERROR(VLOOKUP(B581,'02. MM-KLH'!$B$6:$T$823,16,0),"")</f>
        <v> FD120-4WD</v>
      </c>
      <c r="R581" s="106" t="str">
        <f>IFERROR(VLOOKUP(B581,'02. MM-KLH'!$B$6:$T$823,17,0),"")</f>
        <v>129HP</v>
      </c>
      <c r="S581" s="108" t="str">
        <f>IFERROR(VLOOKUP(B581,'02. MM-KLH'!$B$6:$T$823,18,0),"")</f>
        <v>RNHF12FNBRT002113</v>
      </c>
      <c r="T581" s="110" t="str">
        <f>IFERROR(VLOOKUP(B581,'02. MM-KLH'!$B$6:$T$823,19,0),"")</f>
        <v>YN38CRD1*AGN22000293*</v>
      </c>
      <c r="U581" s="130" t="s">
        <v>2301</v>
      </c>
    </row>
    <row r="582" ht="13.5" customHeight="1">
      <c r="A582" s="95">
        <f t="shared" si="27"/>
        <v>13</v>
      </c>
      <c r="B582" s="115" t="s">
        <v>2163</v>
      </c>
      <c r="C582" s="113" t="str">
        <f>IFERROR(VLOOKUP(B582,'02. MM-KLH'!$B$6:$T$823,2,0),"")</f>
        <v>Mới</v>
      </c>
      <c r="D582" s="95" t="str">
        <f>IFERROR(VLOOKUP(B582,'02. MM-KLH'!$B$6:$T$823,3,0),"")</f>
        <v>A22-XCP-014</v>
      </c>
      <c r="E582" s="86" t="str">
        <f>IFERROR(VLOOKUP(B582,'02. MM-KLH'!$B$6:$T$823,4,0),"")</f>
        <v>3A-6833</v>
      </c>
      <c r="F582" s="115"/>
      <c r="G582" s="86" t="str">
        <f>IFERROR(VLOOKUP(B582,'02. MM-KLH'!$B$6:$T$823,6,0),"")</f>
        <v>Xe chở phân FD120 (5.41m3)</v>
      </c>
      <c r="H582" s="80" t="s">
        <v>5739</v>
      </c>
      <c r="I582" s="80" t="str">
        <f>IFERROR(VLOOKUP(B582,'02. MM-KLH'!$B$6:$T$823,8,0),"")</f>
        <v>XN Bò AD</v>
      </c>
      <c r="J582" s="99" t="str">
        <f>IFERROR(VLOOKUP(B582,'02. MM-KLH'!$B$6:$T$823,9,0),"")</f>
        <v>13/09/2025</v>
      </c>
      <c r="K582" s="80" t="str">
        <f>IFERROR(VLOOKUP(B582,'02. MM-KLH'!$B$6:$T$823,10,0),"")</f>
        <v>Bình thường</v>
      </c>
      <c r="L582" s="102" t="str">
        <f>IFERROR(VLOOKUP(B582,'02. MM-KLH'!$B$6:$T$823,11,0),"")</f>
        <v/>
      </c>
      <c r="M582" s="143" t="str">
        <f>IFERROR(VLOOKUP(B582,'02. MM-KLH'!$B$6:$T$823,12,0),"")</f>
        <v>Đầu tư mới</v>
      </c>
      <c r="N582" s="108" t="str">
        <f>IFERROR(VLOOKUP(B582,'02. MM-KLH'!$B$6:$T$823,13,0),"")</f>
        <v>THACO FORLAND</v>
      </c>
      <c r="O582" s="108" t="str">
        <f>IFERROR(VLOOKUP(B582,'02. MM-KLH'!$B$6:$T$823,14,0),"")</f>
        <v>VIỆT NAM</v>
      </c>
      <c r="P582" s="80">
        <f>IFERROR(VLOOKUP(B582,'02. MM-KLH'!$B$6:$T$823,15,0),"")</f>
        <v>2024</v>
      </c>
      <c r="Q582" s="80" t="str">
        <f>IFERROR(VLOOKUP(B582,'02. MM-KLH'!$B$6:$T$823,16,0),"")</f>
        <v> FD120-4WD</v>
      </c>
      <c r="R582" s="106" t="str">
        <f>IFERROR(VLOOKUP(B582,'02. MM-KLH'!$B$6:$T$823,17,0),"")</f>
        <v>129HP</v>
      </c>
      <c r="S582" s="108" t="str">
        <f>IFERROR(VLOOKUP(B582,'02. MM-KLH'!$B$6:$T$823,18,0),"")</f>
        <v>RNHF12FNBRT002117</v>
      </c>
      <c r="T582" s="110" t="str">
        <f>IFERROR(VLOOKUP(B582,'02. MM-KLH'!$B$6:$T$823,19,0),"")</f>
        <v>YN38CRD1*AGN22000297*</v>
      </c>
      <c r="U582" s="130" t="s">
        <v>2301</v>
      </c>
    </row>
    <row r="583" ht="13.5" customHeight="1">
      <c r="A583" s="95"/>
      <c r="B583" s="115"/>
      <c r="C583" s="113" t="str">
        <f>IFERROR(VLOOKUP(B583,'02. MM-KLH'!$B$6:$T$823,2,0),"")</f>
        <v/>
      </c>
      <c r="D583" s="95" t="str">
        <f>IFERROR(VLOOKUP(B583,'02. MM-KLH'!$B$6:$T$823,3,0),"")</f>
        <v/>
      </c>
      <c r="E583" s="86" t="str">
        <f>IFERROR(VLOOKUP(B583,'02. MM-KLH'!$B$6:$T$823,4,0),"")</f>
        <v/>
      </c>
      <c r="F583" s="115"/>
      <c r="G583" s="86" t="str">
        <f>IFERROR(VLOOKUP(B583,'02. MM-KLH'!$B$6:$T$823,6,0),"")</f>
        <v/>
      </c>
      <c r="H583" s="80"/>
      <c r="I583" s="80" t="str">
        <f>IFERROR(VLOOKUP(B583,'02. MM-KLH'!$B$6:$T$823,8,0),"")</f>
        <v/>
      </c>
      <c r="J583" s="99" t="str">
        <f>IFERROR(VLOOKUP(B583,'02. MM-KLH'!$B$6:$T$823,9,0),"")</f>
        <v/>
      </c>
      <c r="K583" s="80" t="str">
        <f>IFERROR(VLOOKUP(B583,'02. MM-KLH'!$B$6:$T$823,10,0),"")</f>
        <v/>
      </c>
      <c r="L583" s="102" t="str">
        <f>IFERROR(VLOOKUP(B583,'02. MM-KLH'!$B$6:$T$823,11,0),"")</f>
        <v/>
      </c>
      <c r="M583" s="143" t="str">
        <f>IFERROR(VLOOKUP(B583,'02. MM-KLH'!$B$6:$T$823,12,0),"")</f>
        <v/>
      </c>
      <c r="N583" s="108" t="str">
        <f>IFERROR(VLOOKUP(B583,'02. MM-KLH'!$B$6:$T$823,13,0),"")</f>
        <v/>
      </c>
      <c r="O583" s="108" t="str">
        <f>IFERROR(VLOOKUP(B583,'02. MM-KLH'!$B$6:$T$823,14,0),"")</f>
        <v/>
      </c>
      <c r="P583" s="80" t="str">
        <f>IFERROR(VLOOKUP(B583,'02. MM-KLH'!$B$6:$T$823,15,0),"")</f>
        <v/>
      </c>
      <c r="Q583" s="80" t="str">
        <f>IFERROR(VLOOKUP(B583,'02. MM-KLH'!$B$6:$T$823,16,0),"")</f>
        <v/>
      </c>
      <c r="R583" s="106" t="str">
        <f>IFERROR(VLOOKUP(B583,'02. MM-KLH'!$B$6:$T$823,17,0),"")</f>
        <v/>
      </c>
      <c r="S583" s="108" t="str">
        <f>IFERROR(VLOOKUP(B583,'02. MM-KLH'!$B$6:$T$823,18,0),"")</f>
        <v/>
      </c>
      <c r="T583" s="110" t="str">
        <f>IFERROR(VLOOKUP(B583,'02. MM-KLH'!$B$6:$T$823,19,0),"")</f>
        <v/>
      </c>
      <c r="U583" s="130"/>
    </row>
    <row r="584" ht="13.5" customHeight="1">
      <c r="A584" s="82" t="s">
        <v>76</v>
      </c>
      <c r="B584" s="83" t="s">
        <v>5987</v>
      </c>
      <c r="C584" s="85">
        <f>COUNTA(B585:B589)</f>
        <v>4</v>
      </c>
      <c r="D584" s="85" t="str">
        <f>IFERROR(VLOOKUP(B584,'02. MM-KLH'!$B$6:$T$823,3,0),"")</f>
        <v/>
      </c>
      <c r="E584" s="85" t="str">
        <f>IFERROR(VLOOKUP(B584,'02. MM-KLH'!$B$6:$T$823,4,0),"")</f>
        <v/>
      </c>
      <c r="F584" s="85"/>
      <c r="G584" s="85" t="str">
        <f>IFERROR(VLOOKUP(B584,'02. MM-KLH'!$B$6:$T$823,6,0),"")</f>
        <v/>
      </c>
      <c r="H584" s="85"/>
      <c r="I584" s="85" t="str">
        <f>IFERROR(VLOOKUP(B584,'02. MM-KLH'!$B$6:$T$823,8,0),"")</f>
        <v/>
      </c>
      <c r="J584" s="85" t="str">
        <f>IFERROR(VLOOKUP(B584,'02. MM-KLH'!$B$6:$T$823,9,0),"")</f>
        <v/>
      </c>
      <c r="K584" s="85" t="str">
        <f>IFERROR(VLOOKUP(B584,'02. MM-KLH'!$B$6:$T$823,10,0),"")</f>
        <v/>
      </c>
      <c r="L584" s="85" t="str">
        <f>IFERROR(VLOOKUP(B584,'02. MM-KLH'!$B$6:$T$823,11,0),"")</f>
        <v/>
      </c>
      <c r="M584" s="85" t="str">
        <f>IFERROR(VLOOKUP(B584,'02. MM-KLH'!$B$6:$T$823,12,0),"")</f>
        <v/>
      </c>
      <c r="N584" s="85" t="str">
        <f>IFERROR(VLOOKUP(B584,'02. MM-KLH'!$B$6:$T$823,13,0),"")</f>
        <v/>
      </c>
      <c r="O584" s="85" t="str">
        <f>IFERROR(VLOOKUP(B584,'02. MM-KLH'!$B$6:$T$823,14,0),"")</f>
        <v/>
      </c>
      <c r="P584" s="85" t="str">
        <f>IFERROR(VLOOKUP(B584,'02. MM-KLH'!$B$6:$T$823,15,0),"")</f>
        <v/>
      </c>
      <c r="Q584" s="85" t="str">
        <f>IFERROR(VLOOKUP(B584,'02. MM-KLH'!$B$6:$T$823,16,0),"")</f>
        <v/>
      </c>
      <c r="R584" s="85" t="str">
        <f>IFERROR(VLOOKUP(B584,'02. MM-KLH'!$B$6:$T$823,17,0),"")</f>
        <v/>
      </c>
      <c r="S584" s="85" t="str">
        <f>IFERROR(VLOOKUP(B584,'02. MM-KLH'!$B$6:$T$823,18,0),"")</f>
        <v/>
      </c>
      <c r="T584" s="85" t="str">
        <f>IFERROR(VLOOKUP(B584,'02. MM-KLH'!$B$6:$T$823,19,0),"")</f>
        <v/>
      </c>
      <c r="U584" s="85" t="str">
        <f>IFERROR(VLOOKUP(C584,'02. MM-KLH'!$B$6:$T$823,19,0),"")</f>
        <v/>
      </c>
    </row>
    <row r="585" ht="13.5" customHeight="1">
      <c r="A585" s="95">
        <v>1.0</v>
      </c>
      <c r="B585" s="115" t="s">
        <v>2051</v>
      </c>
      <c r="C585" s="84" t="str">
        <f>IFERROR(VLOOKUP(B585,'02. MM-KLH'!$B$6:$T$823,2,0),"")</f>
        <v>Mới</v>
      </c>
      <c r="D585" s="95" t="str">
        <f>IFERROR(VLOOKUP(B585,'02. MM-KLH'!$B$6:$T$823,3,0),"")</f>
        <v>ATT-A22-0270</v>
      </c>
      <c r="E585" s="86" t="str">
        <f>IFERROR(VLOOKUP(B585,'02. MM-KLH'!$B$6:$T$823,4,0),"")</f>
        <v/>
      </c>
      <c r="F585" s="115" t="s">
        <v>5988</v>
      </c>
      <c r="G585" s="86" t="str">
        <f>IFERROR(VLOOKUP(B585,'02. MM-KLH'!$B$6:$T$823,6,0),"")</f>
        <v>Xe rải thức ăn FD1600B (23m3)</v>
      </c>
      <c r="H585" s="80" t="s">
        <v>5989</v>
      </c>
      <c r="I585" s="80" t="str">
        <f>IFERROR(VLOOKUP(B585,'02. MM-KLH'!$B$6:$T$823,8,0),"")</f>
        <v>XN Bò AD</v>
      </c>
      <c r="J585" s="99">
        <f>IFERROR(VLOOKUP(B585,'02. MM-KLH'!$B$6:$T$823,9,0),"")</f>
        <v>44927</v>
      </c>
      <c r="K585" s="80" t="str">
        <f>IFERROR(VLOOKUP(B585,'02. MM-KLH'!$B$6:$T$823,10,0),"")</f>
        <v>Bình thường</v>
      </c>
      <c r="L585" s="102">
        <f>IFERROR(VLOOKUP(B585,'02. MM-KLH'!$B$6:$T$823,11,0),"")</f>
        <v>0.97</v>
      </c>
      <c r="M585" s="143" t="str">
        <f>IFERROR(VLOOKUP(B585,'02. MM-KLH'!$B$6:$T$823,12,0),"")</f>
        <v>Đầu tư mới</v>
      </c>
      <c r="N585" s="108" t="str">
        <f>IFERROR(VLOOKUP(B585,'02. MM-KLH'!$B$6:$T$823,13,0),"")</f>
        <v>THACO FORLAND</v>
      </c>
      <c r="O585" s="108" t="str">
        <f>IFERROR(VLOOKUP(B585,'02. MM-KLH'!$B$6:$T$823,14,0),"")</f>
        <v>VIỆT NAM</v>
      </c>
      <c r="P585" s="80">
        <f>IFERROR(VLOOKUP(B585,'02. MM-KLH'!$B$6:$T$823,15,0),"")</f>
        <v>2017</v>
      </c>
      <c r="Q585" s="80" t="str">
        <f>IFERROR(VLOOKUP(B585,'02. MM-KLH'!$B$6:$T$823,16,0),"")</f>
        <v>FD1600B</v>
      </c>
      <c r="R585" s="106" t="str">
        <f>IFERROR(VLOOKUP(B585,'02. MM-KLH'!$B$6:$T$823,17,0),"")</f>
        <v>180HP</v>
      </c>
      <c r="S585" s="108" t="str">
        <f>IFERROR(VLOOKUP(B585,'02. MM-KLH'!$B$6:$T$823,18,0),"")</f>
        <v>RNHD1600DHC070080</v>
      </c>
      <c r="T585" s="110" t="str">
        <f>IFERROR(VLOOKUP(B585,'02. MM-KLH'!$B$6:$T$823,19,0),"")</f>
        <v>WP6180E326P15D005529</v>
      </c>
      <c r="U585" s="130" t="s">
        <v>2301</v>
      </c>
    </row>
    <row r="586" ht="13.5" customHeight="1">
      <c r="A586" s="95">
        <v>2.0</v>
      </c>
      <c r="B586" s="113" t="s">
        <v>2059</v>
      </c>
      <c r="C586" s="84" t="str">
        <f>IFERROR(VLOOKUP(B586,'02. MM-KLH'!$B$6:$T$823,2,0),"")</f>
        <v>Mới</v>
      </c>
      <c r="D586" s="95" t="str">
        <f>IFERROR(VLOOKUP(B586,'02. MM-KLH'!$B$6:$T$823,3,0),"")</f>
        <v>ATT-A22-0287</v>
      </c>
      <c r="E586" s="86" t="str">
        <f>IFERROR(VLOOKUP(B586,'02. MM-KLH'!$B$6:$T$823,4,0),"")</f>
        <v/>
      </c>
      <c r="F586" s="115" t="s">
        <v>5991</v>
      </c>
      <c r="G586" s="86" t="str">
        <f>IFERROR(VLOOKUP(B586,'02. MM-KLH'!$B$6:$T$823,6,0),"")</f>
        <v>Xe rải thức ăn FD1600B (23m3)</v>
      </c>
      <c r="H586" s="80" t="s">
        <v>5989</v>
      </c>
      <c r="I586" s="80" t="str">
        <f>IFERROR(VLOOKUP(B586,'02. MM-KLH'!$B$6:$T$823,8,0),"")</f>
        <v>XN Bò AD</v>
      </c>
      <c r="J586" s="99">
        <f>IFERROR(VLOOKUP(B586,'02. MM-KLH'!$B$6:$T$823,9,0),"")</f>
        <v>45261</v>
      </c>
      <c r="K586" s="80" t="str">
        <f>IFERROR(VLOOKUP(B586,'02. MM-KLH'!$B$6:$T$823,10,0),"")</f>
        <v>Bình thường</v>
      </c>
      <c r="L586" s="102">
        <f>IFERROR(VLOOKUP(B586,'02. MM-KLH'!$B$6:$T$823,11,0),"")</f>
        <v>0.97</v>
      </c>
      <c r="M586" s="143" t="str">
        <f>IFERROR(VLOOKUP(B586,'02. MM-KLH'!$B$6:$T$823,12,0),"")</f>
        <v>Đầu tư mới</v>
      </c>
      <c r="N586" s="108" t="str">
        <f>IFERROR(VLOOKUP(B586,'02. MM-KLH'!$B$6:$T$823,13,0),"")</f>
        <v>THACO FORLAND</v>
      </c>
      <c r="O586" s="108" t="str">
        <f>IFERROR(VLOOKUP(B586,'02. MM-KLH'!$B$6:$T$823,14,0),"")</f>
        <v>VIỆT NAM</v>
      </c>
      <c r="P586" s="80">
        <f>IFERROR(VLOOKUP(B586,'02. MM-KLH'!$B$6:$T$823,15,0),"")</f>
        <v>2017</v>
      </c>
      <c r="Q586" s="80" t="str">
        <f>IFERROR(VLOOKUP(B586,'02. MM-KLH'!$B$6:$T$823,16,0),"")</f>
        <v>FD1600B</v>
      </c>
      <c r="R586" s="106" t="str">
        <f>IFERROR(VLOOKUP(B586,'02. MM-KLH'!$B$6:$T$823,17,0),"")</f>
        <v>180HP</v>
      </c>
      <c r="S586" s="108" t="str">
        <f>IFERROR(VLOOKUP(B586,'02. MM-KLH'!$B$6:$T$823,18,0),"")</f>
        <v>RNHD1600DHC055025</v>
      </c>
      <c r="T586" s="110" t="str">
        <f>IFERROR(VLOOKUP(B586,'02. MM-KLH'!$B$6:$T$823,19,0),"")</f>
        <v>WP6180E326P15D005502</v>
      </c>
      <c r="U586" s="130" t="s">
        <v>2301</v>
      </c>
    </row>
    <row r="587" ht="13.5" customHeight="1">
      <c r="A587" s="95">
        <f t="shared" ref="A587:A588" si="28">1+A586</f>
        <v>3</v>
      </c>
      <c r="B587" s="113" t="s">
        <v>2062</v>
      </c>
      <c r="C587" s="84" t="str">
        <f>IFERROR(VLOOKUP(B587,'02. MM-KLH'!$B$6:$T$823,2,0),"")</f>
        <v>Mới</v>
      </c>
      <c r="D587" s="95" t="str">
        <f>IFERROR(VLOOKUP(B587,'02. MM-KLH'!$B$6:$T$823,3,0),"")</f>
        <v>ATT-A22-0288</v>
      </c>
      <c r="E587" s="86" t="str">
        <f>IFERROR(VLOOKUP(B587,'02. MM-KLH'!$B$6:$T$823,4,0),"")</f>
        <v/>
      </c>
      <c r="F587" s="115" t="s">
        <v>5992</v>
      </c>
      <c r="G587" s="86" t="str">
        <f>IFERROR(VLOOKUP(B587,'02. MM-KLH'!$B$6:$T$823,6,0),"")</f>
        <v>Xe rải thức ăn FD1600B (23m3)</v>
      </c>
      <c r="H587" s="80" t="s">
        <v>5989</v>
      </c>
      <c r="I587" s="80" t="str">
        <f>IFERROR(VLOOKUP(B587,'02. MM-KLH'!$B$6:$T$823,8,0),"")</f>
        <v>XN Bò AD</v>
      </c>
      <c r="J587" s="99">
        <f>IFERROR(VLOOKUP(B587,'02. MM-KLH'!$B$6:$T$823,9,0),"")</f>
        <v>45261</v>
      </c>
      <c r="K587" s="80" t="str">
        <f>IFERROR(VLOOKUP(B587,'02. MM-KLH'!$B$6:$T$823,10,0),"")</f>
        <v>Bình thường</v>
      </c>
      <c r="L587" s="102">
        <f>IFERROR(VLOOKUP(B587,'02. MM-KLH'!$B$6:$T$823,11,0),"")</f>
        <v>0.97</v>
      </c>
      <c r="M587" s="143" t="str">
        <f>IFERROR(VLOOKUP(B587,'02. MM-KLH'!$B$6:$T$823,12,0),"")</f>
        <v>Đầu tư mới</v>
      </c>
      <c r="N587" s="108" t="str">
        <f>IFERROR(VLOOKUP(B587,'02. MM-KLH'!$B$6:$T$823,13,0),"")</f>
        <v>THACO FORLAND</v>
      </c>
      <c r="O587" s="108" t="str">
        <f>IFERROR(VLOOKUP(B587,'02. MM-KLH'!$B$6:$T$823,14,0),"")</f>
        <v>VIỆT NAM</v>
      </c>
      <c r="P587" s="80">
        <f>IFERROR(VLOOKUP(B587,'02. MM-KLH'!$B$6:$T$823,15,0),"")</f>
        <v>2017</v>
      </c>
      <c r="Q587" s="80" t="str">
        <f>IFERROR(VLOOKUP(B587,'02. MM-KLH'!$B$6:$T$823,16,0),"")</f>
        <v>FD1600B</v>
      </c>
      <c r="R587" s="106" t="str">
        <f>IFERROR(VLOOKUP(B587,'02. MM-KLH'!$B$6:$T$823,17,0),"")</f>
        <v>180HP</v>
      </c>
      <c r="S587" s="108" t="str">
        <f>IFERROR(VLOOKUP(B587,'02. MM-KLH'!$B$6:$T$823,18,0),"")</f>
        <v>RNHD1600DHC056126</v>
      </c>
      <c r="T587" s="110" t="str">
        <f>IFERROR(VLOOKUP(B587,'02. MM-KLH'!$B$6:$T$823,19,0),"")</f>
        <v>WP6.180E326P15D005524</v>
      </c>
      <c r="U587" s="130" t="s">
        <v>2301</v>
      </c>
    </row>
    <row r="588" ht="13.5" customHeight="1">
      <c r="A588" s="95">
        <f t="shared" si="28"/>
        <v>4</v>
      </c>
      <c r="B588" s="113" t="s">
        <v>2065</v>
      </c>
      <c r="C588" s="84" t="str">
        <f>IFERROR(VLOOKUP(B588,'02. MM-KLH'!$B$6:$T$823,2,0),"")</f>
        <v>Mới</v>
      </c>
      <c r="D588" s="95" t="str">
        <f>IFERROR(VLOOKUP(B588,'02. MM-KLH'!$B$6:$T$823,3,0),"")</f>
        <v>A22-XRA-005</v>
      </c>
      <c r="E588" s="86" t="str">
        <f>IFERROR(VLOOKUP(B588,'02. MM-KLH'!$B$6:$T$823,4,0),"")</f>
        <v/>
      </c>
      <c r="F588" s="115"/>
      <c r="G588" s="86" t="str">
        <f>IFERROR(VLOOKUP(B588,'02. MM-KLH'!$B$6:$T$823,6,0),"")</f>
        <v>Xe rải thức ăn FD1600B (23m3)</v>
      </c>
      <c r="H588" s="80" t="s">
        <v>5989</v>
      </c>
      <c r="I588" s="80" t="str">
        <f>IFERROR(VLOOKUP(B588,'02. MM-KLH'!$B$6:$T$823,8,0),"")</f>
        <v>XN Bò AD</v>
      </c>
      <c r="J588" s="99">
        <f>IFERROR(VLOOKUP(B588,'02. MM-KLH'!$B$6:$T$823,9,0),"")</f>
        <v>45569</v>
      </c>
      <c r="K588" s="80" t="str">
        <f>IFERROR(VLOOKUP(B588,'02. MM-KLH'!$B$6:$T$823,10,0),"")</f>
        <v>Bình thường</v>
      </c>
      <c r="L588" s="102" t="str">
        <f>IFERROR(VLOOKUP(B588,'02. MM-KLH'!$B$6:$T$823,11,0),"")</f>
        <v/>
      </c>
      <c r="M588" s="143" t="str">
        <f>IFERROR(VLOOKUP(B588,'02. MM-KLH'!$B$6:$T$823,12,0),"")</f>
        <v>Đầu tư mới</v>
      </c>
      <c r="N588" s="108" t="str">
        <f>IFERROR(VLOOKUP(B588,'02. MM-KLH'!$B$6:$T$823,13,0),"")</f>
        <v>THACO FORLAND</v>
      </c>
      <c r="O588" s="108" t="str">
        <f>IFERROR(VLOOKUP(B588,'02. MM-KLH'!$B$6:$T$823,14,0),"")</f>
        <v>VIỆT NAM</v>
      </c>
      <c r="P588" s="80">
        <f>IFERROR(VLOOKUP(B588,'02. MM-KLH'!$B$6:$T$823,15,0),"")</f>
        <v>2017</v>
      </c>
      <c r="Q588" s="80" t="str">
        <f>IFERROR(VLOOKUP(B588,'02. MM-KLH'!$B$6:$T$823,16,0),"")</f>
        <v>FD1600B</v>
      </c>
      <c r="R588" s="106" t="str">
        <f>IFERROR(VLOOKUP(B588,'02. MM-KLH'!$B$6:$T$823,17,0),"")</f>
        <v>180HP</v>
      </c>
      <c r="S588" s="108" t="str">
        <f>IFERROR(VLOOKUP(B588,'02. MM-KLH'!$B$6:$T$823,18,0),"")</f>
        <v>RNHD1600DHC056121</v>
      </c>
      <c r="T588" s="110" t="str">
        <f>IFERROR(VLOOKUP(B588,'02. MM-KLH'!$B$6:$T$823,19,0),"")</f>
        <v>WP6.180E32*6P15D005392</v>
      </c>
      <c r="U588" s="130" t="s">
        <v>2301</v>
      </c>
    </row>
    <row r="589" ht="13.5" customHeight="1">
      <c r="A589" s="95"/>
      <c r="B589" s="113"/>
      <c r="C589" s="84" t="str">
        <f>IFERROR(VLOOKUP(B589,'02. MM-KLH'!$B$6:$T$823,2,0),"")</f>
        <v/>
      </c>
      <c r="D589" s="95" t="str">
        <f>IFERROR(VLOOKUP(B589,'02. MM-KLH'!$B$6:$T$823,3,0),"")</f>
        <v/>
      </c>
      <c r="E589" s="86" t="str">
        <f>IFERROR(VLOOKUP(B589,'02. MM-KLH'!$B$6:$T$823,4,0),"")</f>
        <v/>
      </c>
      <c r="F589" s="115"/>
      <c r="G589" s="86" t="str">
        <f>IFERROR(VLOOKUP(B589,'02. MM-KLH'!$B$6:$T$823,6,0),"")</f>
        <v/>
      </c>
      <c r="H589" s="80"/>
      <c r="I589" s="80" t="str">
        <f>IFERROR(VLOOKUP(B589,'02. MM-KLH'!$B$6:$T$823,8,0),"")</f>
        <v/>
      </c>
      <c r="J589" s="99" t="str">
        <f>IFERROR(VLOOKUP(B589,'02. MM-KLH'!$B$6:$T$823,9,0),"")</f>
        <v/>
      </c>
      <c r="K589" s="80" t="str">
        <f>IFERROR(VLOOKUP(B589,'02. MM-KLH'!$B$6:$T$823,10,0),"")</f>
        <v/>
      </c>
      <c r="L589" s="102" t="str">
        <f>IFERROR(VLOOKUP(B589,'02. MM-KLH'!$B$6:$T$823,11,0),"")</f>
        <v/>
      </c>
      <c r="M589" s="143" t="str">
        <f>IFERROR(VLOOKUP(B589,'02. MM-KLH'!$B$6:$T$823,12,0),"")</f>
        <v/>
      </c>
      <c r="N589" s="108" t="str">
        <f>IFERROR(VLOOKUP(B589,'02. MM-KLH'!$B$6:$T$823,13,0),"")</f>
        <v/>
      </c>
      <c r="O589" s="108" t="str">
        <f>IFERROR(VLOOKUP(B589,'02. MM-KLH'!$B$6:$T$823,14,0),"")</f>
        <v/>
      </c>
      <c r="P589" s="80" t="str">
        <f>IFERROR(VLOOKUP(B589,'02. MM-KLH'!$B$6:$T$823,15,0),"")</f>
        <v/>
      </c>
      <c r="Q589" s="80" t="str">
        <f>IFERROR(VLOOKUP(B589,'02. MM-KLH'!$B$6:$T$823,16,0),"")</f>
        <v/>
      </c>
      <c r="R589" s="106" t="str">
        <f>IFERROR(VLOOKUP(B589,'02. MM-KLH'!$B$6:$T$823,17,0),"")</f>
        <v/>
      </c>
      <c r="S589" s="108" t="str">
        <f>IFERROR(VLOOKUP(B589,'02. MM-KLH'!$B$6:$T$823,18,0),"")</f>
        <v/>
      </c>
      <c r="T589" s="110" t="str">
        <f>IFERROR(VLOOKUP(B589,'02. MM-KLH'!$B$6:$T$823,19,0),"")</f>
        <v/>
      </c>
      <c r="U589" s="130"/>
    </row>
    <row r="590" ht="13.5" customHeight="1">
      <c r="A590" s="82" t="s">
        <v>76</v>
      </c>
      <c r="B590" s="83" t="s">
        <v>5993</v>
      </c>
      <c r="C590" s="85">
        <f>COUNTA(B591:B592)</f>
        <v>1</v>
      </c>
      <c r="D590" s="85" t="str">
        <f>IFERROR(VLOOKUP(B590,'02. MM-KLH'!$B$6:$T$823,3,0),"")</f>
        <v/>
      </c>
      <c r="E590" s="85" t="str">
        <f>IFERROR(VLOOKUP(B590,'02. MM-KLH'!$B$6:$T$823,4,0),"")</f>
        <v/>
      </c>
      <c r="F590" s="85"/>
      <c r="G590" s="85" t="str">
        <f>IFERROR(VLOOKUP(B590,'02. MM-KLH'!$B$6:$T$823,6,0),"")</f>
        <v/>
      </c>
      <c r="H590" s="85"/>
      <c r="I590" s="85" t="str">
        <f>IFERROR(VLOOKUP(B590,'02. MM-KLH'!$B$6:$T$823,8,0),"")</f>
        <v/>
      </c>
      <c r="J590" s="85" t="str">
        <f>IFERROR(VLOOKUP(B590,'02. MM-KLH'!$B$6:$T$823,9,0),"")</f>
        <v/>
      </c>
      <c r="K590" s="85" t="str">
        <f>IFERROR(VLOOKUP(B590,'02. MM-KLH'!$B$6:$T$823,10,0),"")</f>
        <v/>
      </c>
      <c r="L590" s="85" t="str">
        <f>IFERROR(VLOOKUP(B590,'02. MM-KLH'!$B$6:$T$823,11,0),"")</f>
        <v/>
      </c>
      <c r="M590" s="85" t="str">
        <f>IFERROR(VLOOKUP(B590,'02. MM-KLH'!$B$6:$T$823,12,0),"")</f>
        <v/>
      </c>
      <c r="N590" s="85" t="str">
        <f>IFERROR(VLOOKUP(B590,'02. MM-KLH'!$B$6:$T$823,13,0),"")</f>
        <v/>
      </c>
      <c r="O590" s="85" t="str">
        <f>IFERROR(VLOOKUP(B590,'02. MM-KLH'!$B$6:$T$823,14,0),"")</f>
        <v/>
      </c>
      <c r="P590" s="85" t="str">
        <f>IFERROR(VLOOKUP(B590,'02. MM-KLH'!$B$6:$T$823,15,0),"")</f>
        <v/>
      </c>
      <c r="Q590" s="85" t="str">
        <f>IFERROR(VLOOKUP(B590,'02. MM-KLH'!$B$6:$T$823,16,0),"")</f>
        <v/>
      </c>
      <c r="R590" s="85" t="str">
        <f>IFERROR(VLOOKUP(B590,'02. MM-KLH'!$B$6:$T$823,17,0),"")</f>
        <v/>
      </c>
      <c r="S590" s="85" t="str">
        <f>IFERROR(VLOOKUP(B590,'02. MM-KLH'!$B$6:$T$823,18,0),"")</f>
        <v/>
      </c>
      <c r="T590" s="85" t="str">
        <f>IFERROR(VLOOKUP(B590,'02. MM-KLH'!$B$6:$T$823,19,0),"")</f>
        <v/>
      </c>
      <c r="U590" s="85" t="str">
        <f>IFERROR(VLOOKUP(C590,'02. MM-KLH'!$B$6:$T$823,19,0),"")</f>
        <v/>
      </c>
    </row>
    <row r="591" ht="13.5" customHeight="1">
      <c r="A591" s="95">
        <v>1.0</v>
      </c>
      <c r="B591" s="113" t="s">
        <v>2046</v>
      </c>
      <c r="C591" s="84" t="str">
        <f>IFERROR(VLOOKUP(B591,'02. MM-KLH'!$B$6:$T$823,2,0),"")</f>
        <v>XBT06NN-KLH</v>
      </c>
      <c r="D591" s="95" t="str">
        <f>IFERROR(VLOOKUP(B591,'02. MM-KLH'!$B$6:$T$823,3,0),"")</f>
        <v>A22-XCC-001</v>
      </c>
      <c r="E591" s="86" t="str">
        <f>IFERROR(VLOOKUP(B591,'02. MM-KLH'!$B$6:$T$823,4,0),"")</f>
        <v/>
      </c>
      <c r="F591" s="115"/>
      <c r="G591" s="86" t="str">
        <f>IFERROR(VLOOKUP(B591,'02. MM-KLH'!$B$6:$T$823,6,0),"")</f>
        <v>Xe chở cám FC950</v>
      </c>
      <c r="H591" s="80" t="s">
        <v>5994</v>
      </c>
      <c r="I591" s="80" t="str">
        <f>IFERROR(VLOOKUP(B591,'02. MM-KLH'!$B$6:$T$823,8,0),"")</f>
        <v>XN Bò AD</v>
      </c>
      <c r="J591" s="99" t="str">
        <f>IFERROR(VLOOKUP(B591,'02. MM-KLH'!$B$6:$T$823,9,0),"")</f>
        <v/>
      </c>
      <c r="K591" s="80" t="str">
        <f>IFERROR(VLOOKUP(B591,'02. MM-KLH'!$B$6:$T$823,10,0),"")</f>
        <v>Bình thường</v>
      </c>
      <c r="L591" s="102" t="str">
        <f>IFERROR(VLOOKUP(B591,'02. MM-KLH'!$B$6:$T$823,11,0),"")</f>
        <v/>
      </c>
      <c r="M591" s="143" t="str">
        <f>IFERROR(VLOOKUP(B591,'02. MM-KLH'!$B$6:$T$823,12,0),"")</f>
        <v/>
      </c>
      <c r="N591" s="108" t="str">
        <f>IFERROR(VLOOKUP(B591,'02. MM-KLH'!$B$6:$T$823,13,0),"")</f>
        <v>THACO FORLAND</v>
      </c>
      <c r="O591" s="108" t="str">
        <f>IFERROR(VLOOKUP(B591,'02. MM-KLH'!$B$6:$T$823,14,0),"")</f>
        <v>VIỆT NAM</v>
      </c>
      <c r="P591" s="80">
        <f>IFERROR(VLOOKUP(B591,'02. MM-KLH'!$B$6:$T$823,15,0),"")</f>
        <v>2018</v>
      </c>
      <c r="Q591" s="80" t="str">
        <f>IFERROR(VLOOKUP(B591,'02. MM-KLH'!$B$6:$T$823,16,0),"")</f>
        <v>FC950</v>
      </c>
      <c r="R591" s="106" t="str">
        <f>IFERROR(VLOOKUP(B591,'02. MM-KLH'!$B$6:$T$823,17,0),"")</f>
        <v>160HP</v>
      </c>
      <c r="S591" s="108" t="str">
        <f>IFERROR(VLOOKUP(B591,'02. MM-KLH'!$B$6:$T$823,18,0),"")</f>
        <v>RNHA16FYAJC084020</v>
      </c>
      <c r="T591" s="110" t="str">
        <f>IFERROR(VLOOKUP(B591,'02. MM-KLH'!$B$6:$T$823,19,0),"")</f>
        <v>J00052</v>
      </c>
      <c r="U591" s="130" t="s">
        <v>79</v>
      </c>
    </row>
    <row r="592" ht="13.5" customHeight="1">
      <c r="A592" s="80"/>
      <c r="B592" s="113"/>
      <c r="C592" s="84" t="str">
        <f>IFERROR(VLOOKUP(B592,'02. MM-KLH'!$B$6:$T$823,2,0),"")</f>
        <v/>
      </c>
      <c r="D592" s="95" t="str">
        <f>IFERROR(VLOOKUP(B592,'02. MM-KLH'!$B$6:$T$823,3,0),"")</f>
        <v/>
      </c>
      <c r="E592" s="86" t="str">
        <f>IFERROR(VLOOKUP(B592,'02. MM-KLH'!$B$6:$T$823,4,0),"")</f>
        <v/>
      </c>
      <c r="F592" s="115"/>
      <c r="G592" s="86" t="str">
        <f>IFERROR(VLOOKUP(B592,'02. MM-KLH'!$B$6:$T$823,6,0),"")</f>
        <v/>
      </c>
      <c r="H592" s="80"/>
      <c r="I592" s="80" t="str">
        <f>IFERROR(VLOOKUP(B592,'02. MM-KLH'!$B$6:$T$823,8,0),"")</f>
        <v/>
      </c>
      <c r="J592" s="99" t="str">
        <f>IFERROR(VLOOKUP(B592,'02. MM-KLH'!$B$6:$T$823,9,0),"")</f>
        <v/>
      </c>
      <c r="K592" s="80" t="str">
        <f>IFERROR(VLOOKUP(B592,'02. MM-KLH'!$B$6:$T$823,10,0),"")</f>
        <v/>
      </c>
      <c r="L592" s="102" t="str">
        <f>IFERROR(VLOOKUP(B592,'02. MM-KLH'!$B$6:$T$823,11,0),"")</f>
        <v/>
      </c>
      <c r="M592" s="143" t="str">
        <f>IFERROR(VLOOKUP(B592,'02. MM-KLH'!$B$6:$T$823,12,0),"")</f>
        <v/>
      </c>
      <c r="N592" s="108" t="str">
        <f>IFERROR(VLOOKUP(B592,'02. MM-KLH'!$B$6:$T$823,13,0),"")</f>
        <v/>
      </c>
      <c r="O592" s="108" t="str">
        <f>IFERROR(VLOOKUP(B592,'02. MM-KLH'!$B$6:$T$823,14,0),"")</f>
        <v/>
      </c>
      <c r="P592" s="80" t="str">
        <f>IFERROR(VLOOKUP(B592,'02. MM-KLH'!$B$6:$T$823,15,0),"")</f>
        <v/>
      </c>
      <c r="Q592" s="80" t="str">
        <f>IFERROR(VLOOKUP(B592,'02. MM-KLH'!$B$6:$T$823,16,0),"")</f>
        <v/>
      </c>
      <c r="R592" s="106" t="str">
        <f>IFERROR(VLOOKUP(B592,'02. MM-KLH'!$B$6:$T$823,17,0),"")</f>
        <v/>
      </c>
      <c r="S592" s="108" t="str">
        <f>IFERROR(VLOOKUP(B592,'02. MM-KLH'!$B$6:$T$823,18,0),"")</f>
        <v/>
      </c>
      <c r="T592" s="110" t="str">
        <f>IFERROR(VLOOKUP(B592,'02. MM-KLH'!$B$6:$T$823,19,0),"")</f>
        <v/>
      </c>
      <c r="U592" s="130"/>
    </row>
    <row r="593" ht="13.5" customHeight="1">
      <c r="A593" s="82" t="s">
        <v>76</v>
      </c>
      <c r="B593" s="83" t="s">
        <v>5995</v>
      </c>
      <c r="C593" s="85">
        <f>COUNTA(B594:B605)</f>
        <v>11</v>
      </c>
      <c r="D593" s="85" t="str">
        <f>IFERROR(VLOOKUP(B593,'02. MM-KLH'!$B$6:$T$823,3,0),"")</f>
        <v/>
      </c>
      <c r="E593" s="85" t="str">
        <f>IFERROR(VLOOKUP(B593,'02. MM-KLH'!$B$6:$T$823,4,0),"")</f>
        <v/>
      </c>
      <c r="F593" s="85"/>
      <c r="G593" s="85" t="str">
        <f>IFERROR(VLOOKUP(B593,'02. MM-KLH'!$B$6:$T$823,6,0),"")</f>
        <v/>
      </c>
      <c r="H593" s="85"/>
      <c r="I593" s="85" t="str">
        <f>IFERROR(VLOOKUP(B593,'02. MM-KLH'!$B$6:$T$823,8,0),"")</f>
        <v/>
      </c>
      <c r="J593" s="85" t="str">
        <f>IFERROR(VLOOKUP(B593,'02. MM-KLH'!$B$6:$T$823,9,0),"")</f>
        <v/>
      </c>
      <c r="K593" s="85" t="str">
        <f>IFERROR(VLOOKUP(B593,'02. MM-KLH'!$B$6:$T$823,10,0),"")</f>
        <v/>
      </c>
      <c r="L593" s="85" t="str">
        <f>IFERROR(VLOOKUP(B593,'02. MM-KLH'!$B$6:$T$823,11,0),"")</f>
        <v/>
      </c>
      <c r="M593" s="85" t="str">
        <f>IFERROR(VLOOKUP(B593,'02. MM-KLH'!$B$6:$T$823,12,0),"")</f>
        <v/>
      </c>
      <c r="N593" s="85" t="str">
        <f>IFERROR(VLOOKUP(B593,'02. MM-KLH'!$B$6:$T$823,13,0),"")</f>
        <v/>
      </c>
      <c r="O593" s="85" t="str">
        <f>IFERROR(VLOOKUP(B593,'02. MM-KLH'!$B$6:$T$823,14,0),"")</f>
        <v/>
      </c>
      <c r="P593" s="85" t="str">
        <f>IFERROR(VLOOKUP(B593,'02. MM-KLH'!$B$6:$T$823,15,0),"")</f>
        <v/>
      </c>
      <c r="Q593" s="85" t="str">
        <f>IFERROR(VLOOKUP(B593,'02. MM-KLH'!$B$6:$T$823,16,0),"")</f>
        <v/>
      </c>
      <c r="R593" s="85" t="str">
        <f>IFERROR(VLOOKUP(B593,'02. MM-KLH'!$B$6:$T$823,17,0),"")</f>
        <v/>
      </c>
      <c r="S593" s="85" t="str">
        <f>IFERROR(VLOOKUP(B593,'02. MM-KLH'!$B$6:$T$823,18,0),"")</f>
        <v/>
      </c>
      <c r="T593" s="85" t="str">
        <f>IFERROR(VLOOKUP(B593,'02. MM-KLH'!$B$6:$T$823,19,0),"")</f>
        <v/>
      </c>
      <c r="U593" s="130"/>
    </row>
    <row r="594" ht="13.5" customHeight="1">
      <c r="A594" s="95">
        <v>1.0</v>
      </c>
      <c r="B594" s="113" t="s">
        <v>582</v>
      </c>
      <c r="C594" s="113" t="str">
        <f>IFERROR(VLOOKUP(B594,'02. MM-KLH'!$B$6:$T$823,2,0),"")</f>
        <v>CHT-XTA-001</v>
      </c>
      <c r="D594" s="95" t="str">
        <f>IFERROR(VLOOKUP(B594,'02. MM-KLH'!$B$6:$T$823,3,0),"")</f>
        <v>ATT-A22-0240</v>
      </c>
      <c r="E594" s="86" t="str">
        <f>IFERROR(VLOOKUP(B594,'02. MM-KLH'!$B$6:$T$823,4,0),"")</f>
        <v/>
      </c>
      <c r="F594" s="115" t="s">
        <v>5996</v>
      </c>
      <c r="G594" s="86" t="str">
        <f>IFERROR(VLOOKUP(B594,'02. MM-KLH'!$B$6:$T$823,6,0),"")</f>
        <v>Xe cẩu bàn 5 tấn</v>
      </c>
      <c r="H594" s="80" t="s">
        <v>5997</v>
      </c>
      <c r="I594" s="80" t="str">
        <f>IFERROR(VLOOKUP(B594,'02. MM-KLH'!$B$6:$T$823,8,0),"")</f>
        <v>CGTC AD</v>
      </c>
      <c r="J594" s="99">
        <f>IFERROR(VLOOKUP(B594,'02. MM-KLH'!$B$6:$T$823,9,0),"")</f>
        <v>44317</v>
      </c>
      <c r="K594" s="80" t="str">
        <f>IFERROR(VLOOKUP(B594,'02. MM-KLH'!$B$6:$T$823,10,0),"")</f>
        <v>Bình thường</v>
      </c>
      <c r="L594" s="102">
        <f>IFERROR(VLOOKUP(B594,'02. MM-KLH'!$B$6:$T$823,11,0),"")</f>
        <v>0.74</v>
      </c>
      <c r="M594" s="143" t="str">
        <f>IFERROR(VLOOKUP(B594,'02. MM-KLH'!$B$6:$T$823,12,0),"")</f>
        <v/>
      </c>
      <c r="N594" s="108" t="str">
        <f>IFERROR(VLOOKUP(B594,'02. MM-KLH'!$B$6:$T$823,13,0),"")</f>
        <v>THACO AUMAN</v>
      </c>
      <c r="O594" s="108" t="str">
        <f>IFERROR(VLOOKUP(B594,'02. MM-KLH'!$B$6:$T$823,14,0),"")</f>
        <v>VIETNAM</v>
      </c>
      <c r="P594" s="80" t="str">
        <f>IFERROR(VLOOKUP(B594,'02. MM-KLH'!$B$6:$T$823,15,0),"")</f>
        <v>2019</v>
      </c>
      <c r="Q594" s="80" t="str">
        <f>IFERROR(VLOOKUP(B594,'02. MM-KLH'!$B$6:$T$823,16,0),"")</f>
        <v>ETX C240 ND2</v>
      </c>
      <c r="R594" s="106" t="str">
        <f>IFERROR(VLOOKUP(B594,'02. MM-KLH'!$B$6:$T$823,17,0),"")</f>
        <v>336HP</v>
      </c>
      <c r="S594" s="108" t="str">
        <f>IFERROR(VLOOKUP(B594,'02. MM-KLH'!$B$6:$T$823,18,0),"")</f>
        <v>RNHA24FWAKC099303</v>
      </c>
      <c r="T594" s="110" t="str">
        <f>IFERROR(VLOOKUP(B594,'02. MM-KLH'!$B$6:$T$823,19,0),"")</f>
        <v>WP10.336E431619A000091</v>
      </c>
      <c r="U594" s="130" t="s">
        <v>79</v>
      </c>
    </row>
    <row r="595" ht="21.0" customHeight="1">
      <c r="A595" s="95">
        <f t="shared" ref="A595:A604" si="29">A594+1</f>
        <v>2</v>
      </c>
      <c r="B595" s="115" t="s">
        <v>368</v>
      </c>
      <c r="C595" s="113" t="str">
        <f>IFERROR(VLOOKUP(B595,'02. MM-KLH'!$B$6:$T$823,2,0),"")</f>
        <v>MỚI</v>
      </c>
      <c r="D595" s="95" t="str">
        <f>IFERROR(VLOOKUP(B595,'02. MM-KLH'!$B$6:$T$823,3,0),"")</f>
        <v>A23-XCA-004</v>
      </c>
      <c r="E595" s="86" t="str">
        <f>IFERROR(VLOOKUP(B595,'02. MM-KLH'!$B$6:$T$823,4,0),"")</f>
        <v/>
      </c>
      <c r="F595" s="115" t="s">
        <v>5998</v>
      </c>
      <c r="G595" s="86" t="str">
        <f>IFERROR(VLOOKUP(B595,'02. MM-KLH'!$B$6:$T$823,6,0),"")</f>
        <v>Xe cẩu bàn 5 tấn</v>
      </c>
      <c r="H595" s="80" t="s">
        <v>5997</v>
      </c>
      <c r="I595" s="80" t="str">
        <f>IFERROR(VLOOKUP(B595,'02. MM-KLH'!$B$6:$T$823,8,0),"")</f>
        <v>CGTC DP</v>
      </c>
      <c r="J595" s="99">
        <f>IFERROR(VLOOKUP(B595,'02. MM-KLH'!$B$6:$T$823,9,0),"")</f>
        <v>46056</v>
      </c>
      <c r="K595" s="80" t="str">
        <f>IFERROR(VLOOKUP(B595,'02. MM-KLH'!$B$6:$T$823,10,0),"")</f>
        <v>Bình thường</v>
      </c>
      <c r="L595" s="102" t="str">
        <f>IFERROR(VLOOKUP(B595,'02. MM-KLH'!$B$6:$T$823,11,0),"")</f>
        <v/>
      </c>
      <c r="M595" s="143" t="str">
        <f>IFERROR(VLOOKUP(B595,'02. MM-KLH'!$B$6:$T$823,12,0),"")</f>
        <v>Đầu tư mới</v>
      </c>
      <c r="N595" s="108" t="str">
        <f>IFERROR(VLOOKUP(B595,'02. MM-KLH'!$B$6:$T$823,13,0),"")</f>
        <v>HOWO</v>
      </c>
      <c r="O595" s="108" t="str">
        <f>IFERROR(VLOOKUP(B595,'02. MM-KLH'!$B$6:$T$823,14,0),"")</f>
        <v>TRUNG QUỐC</v>
      </c>
      <c r="P595" s="80">
        <f>IFERROR(VLOOKUP(B595,'02. MM-KLH'!$B$6:$T$823,15,0),"")</f>
        <v>2022</v>
      </c>
      <c r="Q595" s="80" t="str">
        <f>IFERROR(VLOOKUP(B595,'02. MM-KLH'!$B$6:$T$823,16,0),"")</f>
        <v>TXD800-ND2</v>
      </c>
      <c r="R595" s="106" t="str">
        <f>IFERROR(VLOOKUP(B595,'02. MM-KLH'!$B$6:$T$823,17,0),"")</f>
        <v>380HP</v>
      </c>
      <c r="S595" s="108" t="str">
        <f>IFERROR(VLOOKUP(B595,'02. MM-KLH'!$B$6:$T$823,18,0),"")</f>
        <v>RNHD30CWANT058649</v>
      </c>
      <c r="T595" s="110" t="str">
        <f>IFERROR(VLOOKUP(B595,'02. MM-KLH'!$B$6:$T$823,19,0),"")</f>
        <v>WP10380E53*1622B008536*</v>
      </c>
      <c r="U595" s="130" t="s">
        <v>2301</v>
      </c>
    </row>
    <row r="596" ht="21.0" customHeight="1">
      <c r="A596" s="95">
        <f t="shared" si="29"/>
        <v>3</v>
      </c>
      <c r="B596" s="115" t="s">
        <v>2586</v>
      </c>
      <c r="C596" s="113" t="str">
        <f>IFERROR(VLOOKUP(B596,'02. MM-KLH'!$B$6:$T$823,2,0),"")</f>
        <v>MỚI</v>
      </c>
      <c r="D596" s="95" t="str">
        <f>IFERROR(VLOOKUP(B596,'02. MM-KLH'!$B$6:$T$823,3,0),"")</f>
        <v>A23-XCA-003</v>
      </c>
      <c r="E596" s="86" t="str">
        <f>IFERROR(VLOOKUP(B596,'02. MM-KLH'!$B$6:$T$823,4,0),"")</f>
        <v/>
      </c>
      <c r="F596" s="115" t="s">
        <v>5998</v>
      </c>
      <c r="G596" s="86" t="str">
        <f>IFERROR(VLOOKUP(B596,'02. MM-KLH'!$B$6:$T$823,6,0),"")</f>
        <v>Xe cẩu thùng FOTON AUMAN 8 tấn</v>
      </c>
      <c r="H596" s="80" t="s">
        <v>5997</v>
      </c>
      <c r="I596" s="80" t="str">
        <f>IFERROR(VLOOKUP(B596,'02. MM-KLH'!$B$6:$T$823,8,0),"")</f>
        <v>Thagricons</v>
      </c>
      <c r="J596" s="99">
        <f>IFERROR(VLOOKUP(B596,'02. MM-KLH'!$B$6:$T$823,9,0),"")</f>
        <v>45757</v>
      </c>
      <c r="K596" s="80" t="str">
        <f>IFERROR(VLOOKUP(B596,'02. MM-KLH'!$B$6:$T$823,10,0),"")</f>
        <v>Bình thường</v>
      </c>
      <c r="L596" s="102" t="str">
        <f>IFERROR(VLOOKUP(B596,'02. MM-KLH'!$B$6:$T$823,11,0),"")</f>
        <v/>
      </c>
      <c r="M596" s="143" t="str">
        <f>IFERROR(VLOOKUP(B596,'02. MM-KLH'!$B$6:$T$823,12,0),"")</f>
        <v>CGTC DP điều chuyển sang ngày 09/10/2025</v>
      </c>
      <c r="N596" s="108" t="str">
        <f>IFERROR(VLOOKUP(B596,'02. MM-KLH'!$B$6:$T$823,13,0),"")</f>
        <v>FOTON AUMAN</v>
      </c>
      <c r="O596" s="108" t="str">
        <f>IFERROR(VLOOKUP(B596,'02. MM-KLH'!$B$6:$T$823,14,0),"")</f>
        <v>VIỆT NAM</v>
      </c>
      <c r="P596" s="80">
        <f>IFERROR(VLOOKUP(B596,'02. MM-KLH'!$B$6:$T$823,15,0),"")</f>
        <v>2023</v>
      </c>
      <c r="Q596" s="80" t="str">
        <f>IFERROR(VLOOKUP(B596,'02. MM-KLH'!$B$6:$T$823,16,0),"")</f>
        <v>C240</v>
      </c>
      <c r="R596" s="106" t="str">
        <f>IFERROR(VLOOKUP(B596,'02. MM-KLH'!$B$6:$T$823,17,0),"")</f>
        <v>270HP</v>
      </c>
      <c r="S596" s="108" t="str">
        <f>IFERROR(VLOOKUP(B596,'02. MM-KLH'!$B$6:$T$823,18,0),"")</f>
        <v>RNHA24FCAPT080028</v>
      </c>
      <c r="T596" s="110" t="str">
        <f>IFERROR(VLOOKUP(B596,'02. MM-KLH'!$B$6:$T$823,19,0),"")</f>
        <v>ISDE2704082442137</v>
      </c>
      <c r="U596" s="130" t="s">
        <v>2301</v>
      </c>
    </row>
    <row r="597" ht="21.0" customHeight="1">
      <c r="A597" s="95">
        <f t="shared" si="29"/>
        <v>4</v>
      </c>
      <c r="B597" s="115" t="s">
        <v>2502</v>
      </c>
      <c r="C597" s="113" t="str">
        <f>IFERROR(VLOOKUP(B597,'02. MM-KLH'!$B$6:$T$823,2,0),"")</f>
        <v>CKC-XCA-007(3F-5716)</v>
      </c>
      <c r="D597" s="95" t="str">
        <f>IFERROR(VLOOKUP(B597,'02. MM-KLH'!$B$6:$T$823,3,0),"")</f>
        <v/>
      </c>
      <c r="E597" s="86" t="str">
        <f>IFERROR(VLOOKUP(B597,'02. MM-KLH'!$B$6:$T$823,4,0),"")</f>
        <v/>
      </c>
      <c r="F597" s="115" t="s">
        <v>5999</v>
      </c>
      <c r="G597" s="86" t="str">
        <f>IFERROR(VLOOKUP(B597,'02. MM-KLH'!$B$6:$T$823,6,0),"")</f>
        <v>Xe cẩu 5 tấn</v>
      </c>
      <c r="H597" s="80" t="s">
        <v>6000</v>
      </c>
      <c r="I597" s="80" t="str">
        <f>IFERROR(VLOOKUP(B597,'02. MM-KLH'!$B$6:$T$823,8,0),"")</f>
        <v>Ban điện nước</v>
      </c>
      <c r="J597" s="99">
        <f>IFERROR(VLOOKUP(B597,'02. MM-KLH'!$B$6:$T$823,9,0),"")</f>
        <v>43862</v>
      </c>
      <c r="K597" s="80" t="str">
        <f>IFERROR(VLOOKUP(B597,'02. MM-KLH'!$B$6:$T$823,10,0),"")</f>
        <v>Bình thường</v>
      </c>
      <c r="L597" s="102">
        <f>IFERROR(VLOOKUP(B597,'02. MM-KLH'!$B$6:$T$823,11,0),"")</f>
        <v>0.61</v>
      </c>
      <c r="M597" s="143" t="str">
        <f>IFERROR(VLOOKUP(B597,'02. MM-KLH'!$B$6:$T$823,12,0),"")</f>
        <v>-Đ.chuyên từ Đien nước KLH 08/08/2024
- Đ,chuyen từ ME qua DNuoc ngày 14/10/2024</v>
      </c>
      <c r="N597" s="108" t="str">
        <f>IFERROR(VLOOKUP(B597,'02. MM-KLH'!$B$6:$T$823,13,0),"")</f>
        <v>HYUNDAI</v>
      </c>
      <c r="O597" s="108" t="str">
        <f>IFERROR(VLOOKUP(B597,'02. MM-KLH'!$B$6:$T$823,14,0),"")</f>
        <v/>
      </c>
      <c r="P597" s="80">
        <f>IFERROR(VLOOKUP(B597,'02. MM-KLH'!$B$6:$T$823,15,0),"")</f>
        <v>2000</v>
      </c>
      <c r="Q597" s="80" t="str">
        <f>IFERROR(VLOOKUP(B597,'02. MM-KLH'!$B$6:$T$823,16,0),"")</f>
        <v/>
      </c>
      <c r="R597" s="106" t="str">
        <f>IFERROR(VLOOKUP(B597,'02. MM-KLH'!$B$6:$T$823,17,0),"")</f>
        <v/>
      </c>
      <c r="S597" s="108" t="str">
        <f>IFERROR(VLOOKUP(B597,'02. MM-KLH'!$B$6:$T$823,18,0),"")</f>
        <v>19APC027557</v>
      </c>
      <c r="T597" s="110" t="str">
        <f>IFERROR(VLOOKUP(B597,'02. MM-KLH'!$B$6:$T$823,19,0),"")</f>
        <v>00227</v>
      </c>
      <c r="U597" s="130" t="s">
        <v>79</v>
      </c>
    </row>
    <row r="598" ht="13.5" customHeight="1">
      <c r="A598" s="95">
        <f t="shared" si="29"/>
        <v>5</v>
      </c>
      <c r="B598" s="115" t="s">
        <v>2508</v>
      </c>
      <c r="C598" s="113" t="str">
        <f>IFERROR(VLOOKUP(B598,'02. MM-KLH'!$B$6:$T$823,2,0),"")</f>
        <v>3F-2372</v>
      </c>
      <c r="D598" s="95" t="str">
        <f>IFERROR(VLOOKUP(B598,'02. MM-KLH'!$B$6:$T$823,3,0),"")</f>
        <v/>
      </c>
      <c r="E598" s="86" t="str">
        <f>IFERROR(VLOOKUP(B598,'02. MM-KLH'!$B$6:$T$823,4,0),"")</f>
        <v/>
      </c>
      <c r="F598" s="115" t="s">
        <v>6001</v>
      </c>
      <c r="G598" s="86" t="str">
        <f>IFERROR(VLOOKUP(B598,'02. MM-KLH'!$B$6:$T$823,6,0),"")</f>
        <v>Xe cẩu 3.5 tấn</v>
      </c>
      <c r="H598" s="80" t="s">
        <v>6000</v>
      </c>
      <c r="I598" s="80" t="str">
        <f>IFERROR(VLOOKUP(B598,'02. MM-KLH'!$B$6:$T$823,8,0),"")</f>
        <v>Ban điện nước</v>
      </c>
      <c r="J598" s="99" t="str">
        <f>IFERROR(VLOOKUP(B598,'02. MM-KLH'!$B$6:$T$823,9,0),"")</f>
        <v/>
      </c>
      <c r="K598" s="80" t="str">
        <f>IFERROR(VLOOKUP(B598,'02. MM-KLH'!$B$6:$T$823,10,0),"")</f>
        <v>Bình thường</v>
      </c>
      <c r="L598" s="102" t="str">
        <f>IFERROR(VLOOKUP(B598,'02. MM-KLH'!$B$6:$T$823,11,0),"")</f>
        <v/>
      </c>
      <c r="M598" s="143" t="str">
        <f>IFERROR(VLOOKUP(B598,'02. MM-KLH'!$B$6:$T$823,12,0),"")</f>
        <v/>
      </c>
      <c r="N598" s="108" t="str">
        <f>IFERROR(VLOOKUP(B598,'02. MM-KLH'!$B$6:$T$823,13,0),"")</f>
        <v>THACO</v>
      </c>
      <c r="O598" s="108" t="str">
        <f>IFERROR(VLOOKUP(B598,'02. MM-KLH'!$B$6:$T$823,14,0),"")</f>
        <v>VIỆT NAM</v>
      </c>
      <c r="P598" s="80">
        <f>IFERROR(VLOOKUP(B598,'02. MM-KLH'!$B$6:$T$823,15,0),"")</f>
        <v>2017</v>
      </c>
      <c r="Q598" s="80" t="str">
        <f>IFERROR(VLOOKUP(B598,'02. MM-KLH'!$B$6:$T$823,16,0),"")</f>
        <v>Ollin 900B</v>
      </c>
      <c r="R598" s="106" t="str">
        <f>IFERROR(VLOOKUP(B598,'02. MM-KLH'!$B$6:$T$823,17,0),"")</f>
        <v>160HP</v>
      </c>
      <c r="S598" s="108" t="str">
        <f>IFERROR(VLOOKUP(B598,'02. MM-KLH'!$B$6:$T$823,18,0),"")</f>
        <v>RNHA1550BHC072222</v>
      </c>
      <c r="T598" s="110" t="str">
        <f>IFERROR(VLOOKUP(B598,'02. MM-KLH'!$B$6:$T$823,19,0),"")</f>
        <v>CCN</v>
      </c>
      <c r="U598" s="130" t="s">
        <v>79</v>
      </c>
    </row>
    <row r="599" ht="13.5" customHeight="1">
      <c r="A599" s="95">
        <f t="shared" si="29"/>
        <v>6</v>
      </c>
      <c r="B599" s="113" t="s">
        <v>2561</v>
      </c>
      <c r="C599" s="113" t="str">
        <f>IFERROR(VLOOKUP(B599,'02. MM-KLH'!$B$6:$T$823,2,0),"")</f>
        <v>CHT-XCA-001</v>
      </c>
      <c r="D599" s="95" t="str">
        <f>IFERROR(VLOOKUP(B599,'02. MM-KLH'!$B$6:$T$823,3,0),"")</f>
        <v>A22-XCA-004</v>
      </c>
      <c r="E599" s="86" t="str">
        <f>IFERROR(VLOOKUP(B599,'02. MM-KLH'!$B$6:$T$823,4,0),"")</f>
        <v/>
      </c>
      <c r="F599" s="115"/>
      <c r="G599" s="86" t="str">
        <f>IFERROR(VLOOKUP(B599,'02. MM-KLH'!$B$6:$T$823,6,0),"")</f>
        <v>Xe cẩu Hyundai 5 tấn</v>
      </c>
      <c r="H599" s="80" t="s">
        <v>6000</v>
      </c>
      <c r="I599" s="80" t="str">
        <f>IFERROR(VLOOKUP(B599,'02. MM-KLH'!$B$6:$T$823,8,0),"")</f>
        <v>Thagricons</v>
      </c>
      <c r="J599" s="99" t="str">
        <f>IFERROR(VLOOKUP(B599,'02. MM-KLH'!$B$6:$T$823,9,0),"")</f>
        <v/>
      </c>
      <c r="K599" s="80" t="str">
        <f>IFERROR(VLOOKUP(B599,'02. MM-KLH'!$B$6:$T$823,10,0),"")</f>
        <v>Bình thường</v>
      </c>
      <c r="L599" s="102" t="str">
        <f>IFERROR(VLOOKUP(B599,'02. MM-KLH'!$B$6:$T$823,11,0),"")</f>
        <v/>
      </c>
      <c r="M599" s="143" t="str">
        <f>IFERROR(VLOOKUP(B599,'02. MM-KLH'!$B$6:$T$823,12,0),"")</f>
        <v/>
      </c>
      <c r="N599" s="108" t="str">
        <f>IFERROR(VLOOKUP(B599,'02. MM-KLH'!$B$6:$T$823,13,0),"")</f>
        <v>HYUNDAI</v>
      </c>
      <c r="O599" s="108" t="str">
        <f>IFERROR(VLOOKUP(B599,'02. MM-KLH'!$B$6:$T$823,14,0),"")</f>
        <v>HÀN QUỐC</v>
      </c>
      <c r="P599" s="80" t="str">
        <f>IFERROR(VLOOKUP(B599,'02. MM-KLH'!$B$6:$T$823,15,0),"")</f>
        <v/>
      </c>
      <c r="Q599" s="80" t="str">
        <f>IFERROR(VLOOKUP(B599,'02. MM-KLH'!$B$6:$T$823,16,0),"")</f>
        <v/>
      </c>
      <c r="R599" s="106" t="str">
        <f>IFERROR(VLOOKUP(B599,'02. MM-KLH'!$B$6:$T$823,17,0),"")</f>
        <v/>
      </c>
      <c r="S599" s="108" t="str">
        <f>IFERROR(VLOOKUP(B599,'02. MM-KLH'!$B$6:$T$823,18,0),"")</f>
        <v>CCN</v>
      </c>
      <c r="T599" s="110">
        <f>IFERROR(VLOOKUP(B599,'02. MM-KLH'!$B$6:$T$823,19,0),"")</f>
        <v>107291</v>
      </c>
      <c r="U599" s="130" t="s">
        <v>79</v>
      </c>
    </row>
    <row r="600" ht="13.5" customHeight="1">
      <c r="A600" s="95">
        <f t="shared" si="29"/>
        <v>7</v>
      </c>
      <c r="B600" s="115" t="s">
        <v>2564</v>
      </c>
      <c r="C600" s="113" t="str">
        <f>IFERROR(VLOOKUP(B600,'02. MM-KLH'!$B$6:$T$823,2,0),"")</f>
        <v>CHT-XCA-002</v>
      </c>
      <c r="D600" s="95" t="str">
        <f>IFERROR(VLOOKUP(B600,'02. MM-KLH'!$B$6:$T$823,3,0),"")</f>
        <v>A22-XCA-002</v>
      </c>
      <c r="E600" s="86" t="str">
        <f>IFERROR(VLOOKUP(B600,'02. MM-KLH'!$B$6:$T$823,4,0),"")</f>
        <v/>
      </c>
      <c r="F600" s="115"/>
      <c r="G600" s="86" t="str">
        <f>IFERROR(VLOOKUP(B600,'02. MM-KLH'!$B$6:$T$823,6,0),"")</f>
        <v>Xe cẩu ZOOMLION 55 tấn</v>
      </c>
      <c r="H600" s="80" t="s">
        <v>6002</v>
      </c>
      <c r="I600" s="80" t="str">
        <f>IFERROR(VLOOKUP(B600,'02. MM-KLH'!$B$6:$T$823,8,0),"")</f>
        <v>Thagricons</v>
      </c>
      <c r="J600" s="99">
        <f>IFERROR(VLOOKUP(B600,'02. MM-KLH'!$B$6:$T$823,9,0),"")</f>
        <v>45478</v>
      </c>
      <c r="K600" s="80" t="str">
        <f>IFERROR(VLOOKUP(B600,'02. MM-KLH'!$B$6:$T$823,10,0),"")</f>
        <v>Bình thường</v>
      </c>
      <c r="L600" s="102">
        <f>IFERROR(VLOOKUP(B600,'02. MM-KLH'!$B$6:$T$823,11,0),"")</f>
        <v>1</v>
      </c>
      <c r="M600" s="143" t="str">
        <f>IFERROR(VLOOKUP(B600,'02. MM-KLH'!$B$6:$T$823,12,0),"")</f>
        <v>-Đ.chuyển từ CGTC AD -29/07/2024 </v>
      </c>
      <c r="N600" s="108" t="str">
        <f>IFERROR(VLOOKUP(B600,'02. MM-KLH'!$B$6:$T$823,13,0),"")</f>
        <v>ZOOMLION</v>
      </c>
      <c r="O600" s="108" t="str">
        <f>IFERROR(VLOOKUP(B600,'02. MM-KLH'!$B$6:$T$823,14,0),"")</f>
        <v>TRUNG QUỐC</v>
      </c>
      <c r="P600" s="80">
        <f>IFERROR(VLOOKUP(B600,'02. MM-KLH'!$B$6:$T$823,15,0),"")</f>
        <v>2023</v>
      </c>
      <c r="Q600" s="80" t="str">
        <f>IFERROR(VLOOKUP(B600,'02. MM-KLH'!$B$6:$T$823,16,0),"")</f>
        <v>ZTC550V532-1</v>
      </c>
      <c r="R600" s="106" t="str">
        <f>IFERROR(VLOOKUP(B600,'02. MM-KLH'!$B$6:$T$823,17,0),"")</f>
        <v>336HP</v>
      </c>
      <c r="S600" s="108" t="str">
        <f>IFERROR(VLOOKUP(B600,'02. MM-KLH'!$B$6:$T$823,18,0),"")</f>
        <v>L5E6H4D33PA014676</v>
      </c>
      <c r="T600" s="110" t="str">
        <f>IFERROR(VLOOKUP(B600,'02. MM-KLH'!$B$6:$T$823,19,0),"")</f>
        <v>WP103361623G017019</v>
      </c>
      <c r="U600" s="130" t="s">
        <v>2301</v>
      </c>
    </row>
    <row r="601" ht="36.0" customHeight="1">
      <c r="A601" s="95">
        <f t="shared" si="29"/>
        <v>8</v>
      </c>
      <c r="B601" s="115" t="s">
        <v>2554</v>
      </c>
      <c r="C601" s="113" t="str">
        <f>IFERROR(VLOOKUP(B601,'02. MM-KLH'!$B$6:$T$823,2,0),"")</f>
        <v>ĐNA-XCA-003(CKC-XCA-005)
3A-6002</v>
      </c>
      <c r="D601" s="95" t="str">
        <f>IFERROR(VLOOKUP(B601,'02. MM-KLH'!$B$6:$T$823,3,0),"")</f>
        <v/>
      </c>
      <c r="E601" s="86" t="str">
        <f>IFERROR(VLOOKUP(B601,'02. MM-KLH'!$B$6:$T$823,4,0),"")</f>
        <v/>
      </c>
      <c r="F601" s="115" t="s">
        <v>6003</v>
      </c>
      <c r="G601" s="86" t="str">
        <f>IFERROR(VLOOKUP(B601,'02. MM-KLH'!$B$6:$T$823,6,0),"")</f>
        <v>Xe cẩu 3.5 tấn</v>
      </c>
      <c r="H601" s="80" t="s">
        <v>6000</v>
      </c>
      <c r="I601" s="80" t="str">
        <f>IFERROR(VLOOKUP(B601,'02. MM-KLH'!$B$6:$T$823,8,0),"")</f>
        <v>Xưởng Cơ khí DP</v>
      </c>
      <c r="J601" s="99" t="str">
        <f>IFERROR(VLOOKUP(B601,'02. MM-KLH'!$B$6:$T$823,9,0),"")</f>
        <v>30/12/2024</v>
      </c>
      <c r="K601" s="80" t="str">
        <f>IFERROR(VLOOKUP(B601,'02. MM-KLH'!$B$6:$T$823,10,0),"")</f>
        <v>Bình thường</v>
      </c>
      <c r="L601" s="102">
        <f>IFERROR(VLOOKUP(B601,'02. MM-KLH'!$B$6:$T$823,11,0),"")</f>
        <v>0.65</v>
      </c>
      <c r="M601" s="143" t="str">
        <f>IFERROR(VLOOKUP(B601,'02. MM-KLH'!$B$6:$T$823,12,0),"")</f>
        <v>-Điều chuyển từ Điện nước KLH-09/05/2024
-Đ.chuyển từ Cơ khí TCRR (Mr.Khải)-29/07/2024
- Đ.chuyển từ ME qua cơ khí DP - 30/12/2024</v>
      </c>
      <c r="N601" s="108" t="str">
        <f>IFERROR(VLOOKUP(B601,'02. MM-KLH'!$B$6:$T$823,13,0),"")</f>
        <v>THACO </v>
      </c>
      <c r="O601" s="108" t="str">
        <f>IFERROR(VLOOKUP(B601,'02. MM-KLH'!$B$6:$T$823,14,0),"")</f>
        <v>VIỆT NAM</v>
      </c>
      <c r="P601" s="80">
        <f>IFERROR(VLOOKUP(B601,'02. MM-KLH'!$B$6:$T$823,15,0),"")</f>
        <v>2018</v>
      </c>
      <c r="Q601" s="80" t="str">
        <f>IFERROR(VLOOKUP(B601,'02. MM-KLH'!$B$6:$T$823,16,0),"")</f>
        <v>Ollin 900B</v>
      </c>
      <c r="R601" s="106" t="str">
        <f>IFERROR(VLOOKUP(B601,'02. MM-KLH'!$B$6:$T$823,17,0),"")</f>
        <v>160HP</v>
      </c>
      <c r="S601" s="108" t="str">
        <f>IFERROR(VLOOKUP(B601,'02. MM-KLH'!$B$6:$T$823,18,0),"")</f>
        <v>RNHA1550BHC063037</v>
      </c>
      <c r="T601" s="110" t="str">
        <f>IFERROR(VLOOKUP(B601,'02. MM-KLH'!$B$6:$T$823,19,0),"")</f>
        <v>YC4E160-33E37F2H00227</v>
      </c>
      <c r="U601" s="130" t="s">
        <v>79</v>
      </c>
    </row>
    <row r="602" ht="26.25" customHeight="1">
      <c r="A602" s="95">
        <f t="shared" si="29"/>
        <v>9</v>
      </c>
      <c r="B602" s="115" t="s">
        <v>2572</v>
      </c>
      <c r="C602" s="113" t="str">
        <f>IFERROR(VLOOKUP(B602,'02. MM-KLH'!$B$6:$T$823,2,0),"")</f>
        <v>CKB-XCA-001</v>
      </c>
      <c r="D602" s="95" t="str">
        <f>IFERROR(VLOOKUP(B602,'02. MM-KLH'!$B$6:$T$823,3,0),"")</f>
        <v>A22-XCA-006</v>
      </c>
      <c r="E602" s="86" t="str">
        <f>IFERROR(VLOOKUP(B602,'02. MM-KLH'!$B$6:$T$823,4,0),"")</f>
        <v/>
      </c>
      <c r="F602" s="137" t="s">
        <v>6004</v>
      </c>
      <c r="G602" s="86" t="str">
        <f>IFERROR(VLOOKUP(B602,'02. MM-KLH'!$B$6:$T$823,6,0),"")</f>
        <v>Xe cẩu 3.5 tấn</v>
      </c>
      <c r="H602" s="80" t="s">
        <v>6000</v>
      </c>
      <c r="I602" s="80" t="str">
        <f>IFERROR(VLOOKUP(B602,'02. MM-KLH'!$B$6:$T$823,8,0),"")</f>
        <v>Thagricons</v>
      </c>
      <c r="J602" s="99">
        <f>IFERROR(VLOOKUP(B602,'02. MM-KLH'!$B$6:$T$823,9,0),"")</f>
        <v>45329</v>
      </c>
      <c r="K602" s="80" t="str">
        <f>IFERROR(VLOOKUP(B602,'02. MM-KLH'!$B$6:$T$823,10,0),"")</f>
        <v>Bình thường</v>
      </c>
      <c r="L602" s="102" t="str">
        <f>IFERROR(VLOOKUP(B602,'02. MM-KLH'!$B$6:$T$823,11,0),"")</f>
        <v/>
      </c>
      <c r="M602" s="143" t="str">
        <f>IFERROR(VLOOKUP(B602,'02. MM-KLH'!$B$6:$T$823,12,0),"")</f>
        <v>Điều chuyển từ Ban CK KLH (Mr.Phương)</v>
      </c>
      <c r="N602" s="108" t="str">
        <f>IFERROR(VLOOKUP(B602,'02. MM-KLH'!$B$6:$T$823,13,0),"")</f>
        <v>THACO</v>
      </c>
      <c r="O602" s="108" t="str">
        <f>IFERROR(VLOOKUP(B602,'02. MM-KLH'!$B$6:$T$823,14,0),"")</f>
        <v>VIỆT NAM</v>
      </c>
      <c r="P602" s="80">
        <f>IFERROR(VLOOKUP(B602,'02. MM-KLH'!$B$6:$T$823,15,0),"")</f>
        <v>2018</v>
      </c>
      <c r="Q602" s="80" t="str">
        <f>IFERROR(VLOOKUP(B602,'02. MM-KLH'!$B$6:$T$823,16,0),"")</f>
        <v>Ollin 900B</v>
      </c>
      <c r="R602" s="106" t="str">
        <f>IFERROR(VLOOKUP(B602,'02. MM-KLH'!$B$6:$T$823,17,0),"")</f>
        <v>160HP</v>
      </c>
      <c r="S602" s="108" t="str">
        <f>IFERROR(VLOOKUP(B602,'02. MM-KLH'!$B$6:$T$823,18,0),"")</f>
        <v>RNHA1550BHC063042</v>
      </c>
      <c r="T602" s="110" t="str">
        <f>IFERROR(VLOOKUP(B602,'02. MM-KLH'!$B$6:$T$823,19,0),"")</f>
        <v>YC4E160-33E37F2H00201</v>
      </c>
      <c r="U602" s="130" t="s">
        <v>79</v>
      </c>
    </row>
    <row r="603" ht="13.5" customHeight="1">
      <c r="A603" s="95">
        <f t="shared" si="29"/>
        <v>10</v>
      </c>
      <c r="B603" s="115" t="s">
        <v>2578</v>
      </c>
      <c r="C603" s="113" t="str">
        <f>IFERROR(VLOOKUP(B603,'02. MM-KLH'!$B$6:$T$823,2,0),"")</f>
        <v/>
      </c>
      <c r="D603" s="95" t="str">
        <f>IFERROR(VLOOKUP(B603,'02. MM-KLH'!$B$6:$T$823,3,0),"")</f>
        <v>A22-XCA-009</v>
      </c>
      <c r="E603" s="86" t="str">
        <f>IFERROR(VLOOKUP(B603,'02. MM-KLH'!$B$6:$T$823,4,0),"")</f>
        <v/>
      </c>
      <c r="F603" s="137"/>
      <c r="G603" s="86" t="str">
        <f>IFERROR(VLOOKUP(B603,'02. MM-KLH'!$B$6:$T$823,6,0),"")</f>
        <v>Xe cẩu thùng FOTON AUMAN 8 tấn</v>
      </c>
      <c r="H603" s="80" t="s">
        <v>6005</v>
      </c>
      <c r="I603" s="80" t="str">
        <f>IFERROR(VLOOKUP(B603,'02. MM-KLH'!$B$6:$T$823,8,0),"")</f>
        <v>Thagricons</v>
      </c>
      <c r="J603" s="99" t="str">
        <f>IFERROR(VLOOKUP(B603,'02. MM-KLH'!$B$6:$T$823,9,0),"")</f>
        <v>21/10/2024</v>
      </c>
      <c r="K603" s="80" t="str">
        <f>IFERROR(VLOOKUP(B603,'02. MM-KLH'!$B$6:$T$823,10,0),"")</f>
        <v>Bình thường</v>
      </c>
      <c r="L603" s="102" t="str">
        <f>IFERROR(VLOOKUP(B603,'02. MM-KLH'!$B$6:$T$823,11,0),"")</f>
        <v/>
      </c>
      <c r="M603" s="143" t="str">
        <f>IFERROR(VLOOKUP(B603,'02. MM-KLH'!$B$6:$T$823,12,0),"")</f>
        <v>Đầu tư mới</v>
      </c>
      <c r="N603" s="108" t="str">
        <f>IFERROR(VLOOKUP(B603,'02. MM-KLH'!$B$6:$T$823,13,0),"")</f>
        <v>FOTON AUMAN</v>
      </c>
      <c r="O603" s="108" t="str">
        <f>IFERROR(VLOOKUP(B603,'02. MM-KLH'!$B$6:$T$823,14,0),"")</f>
        <v>Việt Nam</v>
      </c>
      <c r="P603" s="80">
        <f>IFERROR(VLOOKUP(B603,'02. MM-KLH'!$B$6:$T$823,15,0),"")</f>
        <v>2022</v>
      </c>
      <c r="Q603" s="80" t="str">
        <f>IFERROR(VLOOKUP(B603,'02. MM-KLH'!$B$6:$T$823,16,0),"")</f>
        <v> C240</v>
      </c>
      <c r="R603" s="106" t="str">
        <f>IFERROR(VLOOKUP(B603,'02. MM-KLH'!$B$6:$T$823,17,0),"")</f>
        <v>266HP</v>
      </c>
      <c r="S603" s="108" t="str">
        <f>IFERROR(VLOOKUP(B603,'02. MM-KLH'!$B$6:$T$823,18,0),"")</f>
        <v>RNHA24FCANT056597</v>
      </c>
      <c r="T603" s="110">
        <f>IFERROR(VLOOKUP(B603,'02. MM-KLH'!$B$6:$T$823,19,0),"")</f>
        <v>82162916</v>
      </c>
      <c r="U603" s="130" t="s">
        <v>2301</v>
      </c>
    </row>
    <row r="604" ht="13.5" customHeight="1">
      <c r="A604" s="95">
        <f t="shared" si="29"/>
        <v>11</v>
      </c>
      <c r="B604" s="775" t="s">
        <v>2593</v>
      </c>
      <c r="C604" s="113" t="str">
        <f>IFERROR(VLOOKUP(B604,'02. MM-KLH'!$B$6:$T$823,2,0),"")</f>
        <v>NTD-XCA-001</v>
      </c>
      <c r="D604" s="95" t="str">
        <f>IFERROR(VLOOKUP(B604,'02. MM-KLH'!$B$6:$T$823,3,0),"")</f>
        <v/>
      </c>
      <c r="E604" s="86" t="str">
        <f>IFERROR(VLOOKUP(B604,'02. MM-KLH'!$B$6:$T$823,4,0),"")</f>
        <v/>
      </c>
      <c r="F604" s="776"/>
      <c r="G604" s="86" t="str">
        <f>IFERROR(VLOOKUP(B604,'02. MM-KLH'!$B$6:$T$823,6,0),"")</f>
        <v>Xe cẩu AUMAN 15 tấn</v>
      </c>
      <c r="H604" s="287" t="s">
        <v>6005</v>
      </c>
      <c r="I604" s="80" t="str">
        <f>IFERROR(VLOOKUP(B604,'02. MM-KLH'!$B$6:$T$823,8,0),"")</f>
        <v>Thagricons</v>
      </c>
      <c r="J604" s="99" t="str">
        <f>IFERROR(VLOOKUP(B604,'02. MM-KLH'!$B$6:$T$823,9,0),"")</f>
        <v/>
      </c>
      <c r="K604" s="80" t="str">
        <f>IFERROR(VLOOKUP(B604,'02. MM-KLH'!$B$6:$T$823,10,0),"")</f>
        <v>Bình thường</v>
      </c>
      <c r="L604" s="102" t="str">
        <f>IFERROR(VLOOKUP(B604,'02. MM-KLH'!$B$6:$T$823,11,0),"")</f>
        <v/>
      </c>
      <c r="M604" s="143" t="str">
        <f>IFERROR(VLOOKUP(B604,'02. MM-KLH'!$B$6:$T$823,12,0),"")</f>
        <v/>
      </c>
      <c r="N604" s="108" t="str">
        <f>IFERROR(VLOOKUP(B604,'02. MM-KLH'!$B$6:$T$823,13,0),"")</f>
        <v>AUMAN</v>
      </c>
      <c r="O604" s="108" t="str">
        <f>IFERROR(VLOOKUP(B604,'02. MM-KLH'!$B$6:$T$823,14,0),"")</f>
        <v>VIỆT NAM</v>
      </c>
      <c r="P604" s="80" t="str">
        <f>IFERROR(VLOOKUP(B604,'02. MM-KLH'!$B$6:$T$823,15,0),"")</f>
        <v/>
      </c>
      <c r="Q604" s="80" t="str">
        <f>IFERROR(VLOOKUP(B604,'02. MM-KLH'!$B$6:$T$823,16,0),"")</f>
        <v>C34</v>
      </c>
      <c r="R604" s="106" t="str">
        <f>IFERROR(VLOOKUP(B604,'02. MM-KLH'!$B$6:$T$823,17,0),"")</f>
        <v>335HP</v>
      </c>
      <c r="S604" s="108" t="str">
        <f>IFERROR(VLOOKUP(B604,'02. MM-KLH'!$B$6:$T$823,18,0),"")</f>
        <v>21615E037691 </v>
      </c>
      <c r="T604" s="110" t="str">
        <f>IFERROR(VLOOKUP(B604,'02. MM-KLH'!$B$6:$T$823,19,0),"")</f>
        <v>000AFC072313</v>
      </c>
      <c r="U604" s="130" t="s">
        <v>79</v>
      </c>
    </row>
    <row r="605" ht="13.5" customHeight="1">
      <c r="A605" s="80"/>
      <c r="B605" s="115"/>
      <c r="C605" s="113" t="str">
        <f>IFERROR(VLOOKUP(B605,'02. MM-KLH'!$B$6:$T$823,2,0),"")</f>
        <v/>
      </c>
      <c r="D605" s="95" t="str">
        <f>IFERROR(VLOOKUP(B605,'02. MM-KLH'!$B$6:$T$823,3,0),"")</f>
        <v/>
      </c>
      <c r="E605" s="86" t="str">
        <f>IFERROR(VLOOKUP(B605,'02. MM-KLH'!$B$6:$T$823,4,0),"")</f>
        <v/>
      </c>
      <c r="F605" s="137"/>
      <c r="G605" s="86" t="str">
        <f>IFERROR(VLOOKUP(B605,'02. MM-KLH'!$B$6:$T$823,6,0),"")</f>
        <v/>
      </c>
      <c r="H605" s="80"/>
      <c r="I605" s="80" t="str">
        <f>IFERROR(VLOOKUP(B605,'02. MM-KLH'!$B$6:$T$823,8,0),"")</f>
        <v/>
      </c>
      <c r="J605" s="99" t="str">
        <f>IFERROR(VLOOKUP(B605,'02. MM-KLH'!$B$6:$T$823,9,0),"")</f>
        <v/>
      </c>
      <c r="K605" s="80" t="str">
        <f>IFERROR(VLOOKUP(B605,'02. MM-KLH'!$B$6:$T$823,10,0),"")</f>
        <v/>
      </c>
      <c r="L605" s="102" t="str">
        <f>IFERROR(VLOOKUP(B605,'02. MM-KLH'!$B$6:$T$823,11,0),"")</f>
        <v/>
      </c>
      <c r="M605" s="143" t="str">
        <f>IFERROR(VLOOKUP(B605,'02. MM-KLH'!$B$6:$T$823,12,0),"")</f>
        <v/>
      </c>
      <c r="N605" s="108" t="str">
        <f>IFERROR(VLOOKUP(B605,'02. MM-KLH'!$B$6:$T$823,13,0),"")</f>
        <v/>
      </c>
      <c r="O605" s="108" t="str">
        <f>IFERROR(VLOOKUP(B605,'02. MM-KLH'!$B$6:$T$823,14,0),"")</f>
        <v/>
      </c>
      <c r="P605" s="80" t="str">
        <f>IFERROR(VLOOKUP(B605,'02. MM-KLH'!$B$6:$T$823,15,0),"")</f>
        <v/>
      </c>
      <c r="Q605" s="80" t="str">
        <f>IFERROR(VLOOKUP(B605,'02. MM-KLH'!$B$6:$T$823,16,0),"")</f>
        <v/>
      </c>
      <c r="R605" s="106" t="str">
        <f>IFERROR(VLOOKUP(B605,'02. MM-KLH'!$B$6:$T$823,17,0),"")</f>
        <v/>
      </c>
      <c r="S605" s="108" t="str">
        <f>IFERROR(VLOOKUP(B605,'02. MM-KLH'!$B$6:$T$823,18,0),"")</f>
        <v/>
      </c>
      <c r="T605" s="110" t="str">
        <f>IFERROR(VLOOKUP(B605,'02. MM-KLH'!$B$6:$T$823,19,0),"")</f>
        <v/>
      </c>
      <c r="U605" s="130"/>
    </row>
    <row r="606" ht="13.5" customHeight="1">
      <c r="A606" s="82" t="s">
        <v>76</v>
      </c>
      <c r="B606" s="83" t="s">
        <v>6029</v>
      </c>
      <c r="C606" s="85">
        <f>COUNTA(B607:B629)</f>
        <v>22</v>
      </c>
      <c r="D606" s="85" t="str">
        <f>IFERROR(VLOOKUP(B606,'02. MM-KLH'!$B$6:$T$823,3,0),"")</f>
        <v/>
      </c>
      <c r="E606" s="85" t="str">
        <f>IFERROR(VLOOKUP(B606,'02. MM-KLH'!$B$6:$T$823,4,0),"")</f>
        <v/>
      </c>
      <c r="F606" s="85"/>
      <c r="G606" s="85" t="str">
        <f>IFERROR(VLOOKUP(B606,'02. MM-KLH'!$B$6:$T$823,6,0),"")</f>
        <v/>
      </c>
      <c r="H606" s="85"/>
      <c r="I606" s="85" t="str">
        <f>IFERROR(VLOOKUP(B606,'02. MM-KLH'!$B$6:$T$823,8,0),"")</f>
        <v/>
      </c>
      <c r="J606" s="85" t="str">
        <f>IFERROR(VLOOKUP(B606,'02. MM-KLH'!$B$6:$T$823,9,0),"")</f>
        <v/>
      </c>
      <c r="K606" s="85" t="str">
        <f>IFERROR(VLOOKUP(B606,'02. MM-KLH'!$B$6:$T$823,10,0),"")</f>
        <v/>
      </c>
      <c r="L606" s="85" t="str">
        <f>IFERROR(VLOOKUP(B606,'02. MM-KLH'!$B$6:$T$823,11,0),"")</f>
        <v/>
      </c>
      <c r="M606" s="85" t="str">
        <f>IFERROR(VLOOKUP(B606,'02. MM-KLH'!$B$6:$T$823,12,0),"")</f>
        <v/>
      </c>
      <c r="N606" s="85" t="str">
        <f>IFERROR(VLOOKUP(B606,'02. MM-KLH'!$B$6:$T$823,13,0),"")</f>
        <v/>
      </c>
      <c r="O606" s="85" t="str">
        <f>IFERROR(VLOOKUP(B606,'02. MM-KLH'!$B$6:$T$823,14,0),"")</f>
        <v/>
      </c>
      <c r="P606" s="85" t="str">
        <f>IFERROR(VLOOKUP(B606,'02. MM-KLH'!$B$6:$T$823,15,0),"")</f>
        <v/>
      </c>
      <c r="Q606" s="85" t="str">
        <f>IFERROR(VLOOKUP(B606,'02. MM-KLH'!$B$6:$T$823,16,0),"")</f>
        <v/>
      </c>
      <c r="R606" s="85" t="str">
        <f>IFERROR(VLOOKUP(B606,'02. MM-KLH'!$B$6:$T$823,17,0),"")</f>
        <v/>
      </c>
      <c r="S606" s="85" t="str">
        <f>IFERROR(VLOOKUP(B606,'02. MM-KLH'!$B$6:$T$823,18,0),"")</f>
        <v/>
      </c>
      <c r="T606" s="85" t="str">
        <f>IFERROR(VLOOKUP(B606,'02. MM-KLH'!$B$6:$T$823,19,0),"")</f>
        <v/>
      </c>
      <c r="U606" s="85" t="str">
        <f>IFERROR(VLOOKUP(C606,'02. MM-KLH'!$B$6:$T$823,19,0),"")</f>
        <v/>
      </c>
    </row>
    <row r="607" ht="13.5" customHeight="1">
      <c r="A607" s="80">
        <v>1.0</v>
      </c>
      <c r="B607" s="115" t="s">
        <v>2661</v>
      </c>
      <c r="C607" s="84" t="str">
        <f>IFERROR(VLOOKUP(B607,'02. MM-KLH'!$B$6:$T$823,2,0),"")</f>
        <v/>
      </c>
      <c r="D607" s="95" t="str">
        <f>IFERROR(VLOOKUP(B607,'02. MM-KLH'!$B$6:$T$823,3,0),"")</f>
        <v/>
      </c>
      <c r="E607" s="86" t="str">
        <f>IFERROR(VLOOKUP(B607,'02. MM-KLH'!$B$6:$T$823,4,0),"")</f>
        <v>51D-480.22</v>
      </c>
      <c r="F607" s="115"/>
      <c r="G607" s="86" t="str">
        <f>IFERROR(VLOOKUP(B607,'02. MM-KLH'!$B$6:$T$823,6,0),"")</f>
        <v>Xe công vụ Mazda BT50</v>
      </c>
      <c r="H607" s="80" t="s">
        <v>6075</v>
      </c>
      <c r="I607" s="80" t="str">
        <f>IFERROR(VLOOKUP(B607,'02. MM-KLH'!$B$6:$T$823,8,0),"")</f>
        <v>HÀNH CHÍNH KLH</v>
      </c>
      <c r="J607" s="99" t="str">
        <f>IFERROR(VLOOKUP(B607,'02. MM-KLH'!$B$6:$T$823,9,0),"")</f>
        <v/>
      </c>
      <c r="K607" s="80" t="str">
        <f>IFERROR(VLOOKUP(B607,'02. MM-KLH'!$B$6:$T$823,10,0),"")</f>
        <v>Bình thường</v>
      </c>
      <c r="L607" s="102" t="str">
        <f>IFERROR(VLOOKUP(B607,'02. MM-KLH'!$B$6:$T$823,11,0),"")</f>
        <v/>
      </c>
      <c r="M607" s="143" t="str">
        <f>IFERROR(VLOOKUP(B607,'02. MM-KLH'!$B$6:$T$823,12,0),"")</f>
        <v>Cty ADM-P.TGĐ TT KLH</v>
      </c>
      <c r="N607" s="108" t="str">
        <f>IFERROR(VLOOKUP(B607,'02. MM-KLH'!$B$6:$T$823,13,0),"")</f>
        <v>MAZDA</v>
      </c>
      <c r="O607" s="108" t="str">
        <f>IFERROR(VLOOKUP(B607,'02. MM-KLH'!$B$6:$T$823,14,0),"")</f>
        <v>HÀN QUỐC</v>
      </c>
      <c r="P607" s="80">
        <f>IFERROR(VLOOKUP(B607,'02. MM-KLH'!$B$6:$T$823,15,0),"")</f>
        <v>2018</v>
      </c>
      <c r="Q607" s="80" t="str">
        <f>IFERROR(VLOOKUP(B607,'02. MM-KLH'!$B$6:$T$823,16,0),"")</f>
        <v>BT50</v>
      </c>
      <c r="R607" s="106" t="str">
        <f>IFERROR(VLOOKUP(B607,'02. MM-KLH'!$B$6:$T$823,17,0),"")</f>
        <v>148HP</v>
      </c>
      <c r="S607" s="108" t="str">
        <f>IFERROR(VLOOKUP(B607,'02. MM-KLH'!$B$6:$T$823,18,0),"")</f>
        <v>MM7UR4DF4KW852868</v>
      </c>
      <c r="T607" s="110" t="str">
        <f>IFERROR(VLOOKUP(B607,'02. MM-KLH'!$B$6:$T$823,19,0),"")</f>
        <v>P5AT2644238</v>
      </c>
      <c r="U607" s="130" t="s">
        <v>79</v>
      </c>
    </row>
    <row r="608" ht="13.5" customHeight="1">
      <c r="A608" s="95">
        <f t="shared" ref="A608:A628" si="30">A607+1</f>
        <v>2</v>
      </c>
      <c r="B608" s="115" t="s">
        <v>2672</v>
      </c>
      <c r="C608" s="84" t="str">
        <f>IFERROR(VLOOKUP(B608,'02. MM-KLH'!$B$6:$T$823,2,0),"")</f>
        <v/>
      </c>
      <c r="D608" s="95" t="str">
        <f>IFERROR(VLOOKUP(B608,'02. MM-KLH'!$B$6:$T$823,3,0),"")</f>
        <v/>
      </c>
      <c r="E608" s="86" t="str">
        <f>IFERROR(VLOOKUP(B608,'02. MM-KLH'!$B$6:$T$823,4,0),"")</f>
        <v>51D-482.19</v>
      </c>
      <c r="F608" s="115"/>
      <c r="G608" s="86" t="str">
        <f>IFERROR(VLOOKUP(B608,'02. MM-KLH'!$B$6:$T$823,6,0),"")</f>
        <v>Xe công vụ Mazda BT50</v>
      </c>
      <c r="H608" s="80" t="s">
        <v>6075</v>
      </c>
      <c r="I608" s="80" t="str">
        <f>IFERROR(VLOOKUP(B608,'02. MM-KLH'!$B$6:$T$823,8,0),"")</f>
        <v>HÀNH CHÍNH KLH</v>
      </c>
      <c r="J608" s="99" t="str">
        <f>IFERROR(VLOOKUP(B608,'02. MM-KLH'!$B$6:$T$823,9,0),"")</f>
        <v/>
      </c>
      <c r="K608" s="80" t="str">
        <f>IFERROR(VLOOKUP(B608,'02. MM-KLH'!$B$6:$T$823,10,0),"")</f>
        <v>Bình thường</v>
      </c>
      <c r="L608" s="102" t="str">
        <f>IFERROR(VLOOKUP(B608,'02. MM-KLH'!$B$6:$T$823,11,0),"")</f>
        <v/>
      </c>
      <c r="M608" s="143" t="str">
        <f>IFERROR(VLOOKUP(B608,'02. MM-KLH'!$B$6:$T$823,12,0),"")</f>
        <v>Cty ADM-P.TGĐ CÔNG NGHIỆP</v>
      </c>
      <c r="N608" s="108" t="str">
        <f>IFERROR(VLOOKUP(B608,'02. MM-KLH'!$B$6:$T$823,13,0),"")</f>
        <v>MAZDA</v>
      </c>
      <c r="O608" s="108" t="str">
        <f>IFERROR(VLOOKUP(B608,'02. MM-KLH'!$B$6:$T$823,14,0),"")</f>
        <v>HÀN QUỐC</v>
      </c>
      <c r="P608" s="80">
        <f>IFERROR(VLOOKUP(B608,'02. MM-KLH'!$B$6:$T$823,15,0),"")</f>
        <v>2018</v>
      </c>
      <c r="Q608" s="80" t="str">
        <f>IFERROR(VLOOKUP(B608,'02. MM-KLH'!$B$6:$T$823,16,0),"")</f>
        <v>BT50</v>
      </c>
      <c r="R608" s="106" t="str">
        <f>IFERROR(VLOOKUP(B608,'02. MM-KLH'!$B$6:$T$823,17,0),"")</f>
        <v>148HP</v>
      </c>
      <c r="S608" s="108" t="str">
        <f>IFERROR(VLOOKUP(B608,'02. MM-KLH'!$B$6:$T$823,18,0),"")</f>
        <v>MM7UR4DFXKW861641</v>
      </c>
      <c r="T608" s="110" t="str">
        <f>IFERROR(VLOOKUP(B608,'02. MM-KLH'!$B$6:$T$823,19,0),"")</f>
        <v>P5AT2656720</v>
      </c>
      <c r="U608" s="130" t="s">
        <v>79</v>
      </c>
    </row>
    <row r="609" ht="13.5" customHeight="1">
      <c r="A609" s="95">
        <f t="shared" si="30"/>
        <v>3</v>
      </c>
      <c r="B609" s="115" t="s">
        <v>2677</v>
      </c>
      <c r="C609" s="84" t="str">
        <f>IFERROR(VLOOKUP(B609,'02. MM-KLH'!$B$6:$T$823,2,0),"")</f>
        <v/>
      </c>
      <c r="D609" s="95" t="str">
        <f>IFERROR(VLOOKUP(B609,'02. MM-KLH'!$B$6:$T$823,3,0),"")</f>
        <v/>
      </c>
      <c r="E609" s="86" t="str">
        <f>IFERROR(VLOOKUP(B609,'02. MM-KLH'!$B$6:$T$823,4,0),"")</f>
        <v>51D-617.64</v>
      </c>
      <c r="F609" s="115"/>
      <c r="G609" s="86" t="str">
        <f>IFERROR(VLOOKUP(B609,'02. MM-KLH'!$B$6:$T$823,6,0),"")</f>
        <v>Xe công vụ Mazda BT50</v>
      </c>
      <c r="H609" s="80" t="s">
        <v>6075</v>
      </c>
      <c r="I609" s="80" t="str">
        <f>IFERROR(VLOOKUP(B609,'02. MM-KLH'!$B$6:$T$823,8,0),"")</f>
        <v>HÀNH CHÍNH KLH</v>
      </c>
      <c r="J609" s="99" t="str">
        <f>IFERROR(VLOOKUP(B609,'02. MM-KLH'!$B$6:$T$823,9,0),"")</f>
        <v/>
      </c>
      <c r="K609" s="80" t="str">
        <f>IFERROR(VLOOKUP(B609,'02. MM-KLH'!$B$6:$T$823,10,0),"")</f>
        <v>Bình thường</v>
      </c>
      <c r="L609" s="102" t="str">
        <f>IFERROR(VLOOKUP(B609,'02. MM-KLH'!$B$6:$T$823,11,0),"")</f>
        <v/>
      </c>
      <c r="M609" s="143" t="str">
        <f>IFERROR(VLOOKUP(B609,'02. MM-KLH'!$B$6:$T$823,12,0),"")</f>
        <v>Cty ADM-GĐ SXCN</v>
      </c>
      <c r="N609" s="108" t="str">
        <f>IFERROR(VLOOKUP(B609,'02. MM-KLH'!$B$6:$T$823,13,0),"")</f>
        <v>MAZDA</v>
      </c>
      <c r="O609" s="108" t="str">
        <f>IFERROR(VLOOKUP(B609,'02. MM-KLH'!$B$6:$T$823,14,0),"")</f>
        <v>HÀN QUỐC</v>
      </c>
      <c r="P609" s="80">
        <f>IFERROR(VLOOKUP(B609,'02. MM-KLH'!$B$6:$T$823,15,0),"")</f>
        <v>2018</v>
      </c>
      <c r="Q609" s="80" t="str">
        <f>IFERROR(VLOOKUP(B609,'02. MM-KLH'!$B$6:$T$823,16,0),"")</f>
        <v>BT50</v>
      </c>
      <c r="R609" s="106" t="str">
        <f>IFERROR(VLOOKUP(B609,'02. MM-KLH'!$B$6:$T$823,17,0),"")</f>
        <v>148HP</v>
      </c>
      <c r="S609" s="108" t="str">
        <f>IFERROR(VLOOKUP(B609,'02. MM-KLH'!$B$6:$T$823,18,0),"")</f>
        <v/>
      </c>
      <c r="T609" s="110" t="str">
        <f>IFERROR(VLOOKUP(B609,'02. MM-KLH'!$B$6:$T$823,19,0),"")</f>
        <v/>
      </c>
      <c r="U609" s="130" t="s">
        <v>79</v>
      </c>
    </row>
    <row r="610" ht="13.5" customHeight="1">
      <c r="A610" s="95">
        <f t="shared" si="30"/>
        <v>4</v>
      </c>
      <c r="B610" s="115" t="s">
        <v>2681</v>
      </c>
      <c r="C610" s="84" t="str">
        <f>IFERROR(VLOOKUP(B610,'02. MM-KLH'!$B$6:$T$823,2,0),"")</f>
        <v/>
      </c>
      <c r="D610" s="95" t="str">
        <f>IFERROR(VLOOKUP(B610,'02. MM-KLH'!$B$6:$T$823,3,0),"")</f>
        <v/>
      </c>
      <c r="E610" s="86" t="str">
        <f>IFERROR(VLOOKUP(B610,'02. MM-KLH'!$B$6:$T$823,4,0),"")</f>
        <v>51D-607.44</v>
      </c>
      <c r="F610" s="115"/>
      <c r="G610" s="86" t="str">
        <f>IFERROR(VLOOKUP(B610,'02. MM-KLH'!$B$6:$T$823,6,0),"")</f>
        <v>Xe công vụ Mazda BT50</v>
      </c>
      <c r="H610" s="80" t="s">
        <v>6075</v>
      </c>
      <c r="I610" s="80" t="str">
        <f>IFERROR(VLOOKUP(B610,'02. MM-KLH'!$B$6:$T$823,8,0),"")</f>
        <v>HÀNH CHÍNH KLH</v>
      </c>
      <c r="J610" s="99" t="str">
        <f>IFERROR(VLOOKUP(B610,'02. MM-KLH'!$B$6:$T$823,9,0),"")</f>
        <v/>
      </c>
      <c r="K610" s="80" t="str">
        <f>IFERROR(VLOOKUP(B610,'02. MM-KLH'!$B$6:$T$823,10,0),"")</f>
        <v>Bình thường</v>
      </c>
      <c r="L610" s="102" t="str">
        <f>IFERROR(VLOOKUP(B610,'02. MM-KLH'!$B$6:$T$823,11,0),"")</f>
        <v/>
      </c>
      <c r="M610" s="143" t="str">
        <f>IFERROR(VLOOKUP(B610,'02. MM-KLH'!$B$6:$T$823,12,0),"")</f>
        <v>Cty LP-GĐ SX CHUỐI</v>
      </c>
      <c r="N610" s="108" t="str">
        <f>IFERROR(VLOOKUP(B610,'02. MM-KLH'!$B$6:$T$823,13,0),"")</f>
        <v>MAZDA</v>
      </c>
      <c r="O610" s="108" t="str">
        <f>IFERROR(VLOOKUP(B610,'02. MM-KLH'!$B$6:$T$823,14,0),"")</f>
        <v>HÀN QUỐC</v>
      </c>
      <c r="P610" s="80">
        <f>IFERROR(VLOOKUP(B610,'02. MM-KLH'!$B$6:$T$823,15,0),"")</f>
        <v>2018</v>
      </c>
      <c r="Q610" s="80" t="str">
        <f>IFERROR(VLOOKUP(B610,'02. MM-KLH'!$B$6:$T$823,16,0),"")</f>
        <v>BT50</v>
      </c>
      <c r="R610" s="106" t="str">
        <f>IFERROR(VLOOKUP(B610,'02. MM-KLH'!$B$6:$T$823,17,0),"")</f>
        <v>148HP</v>
      </c>
      <c r="S610" s="108" t="str">
        <f>IFERROR(VLOOKUP(B610,'02. MM-KLH'!$B$6:$T$823,18,0),"")</f>
        <v>MM7UR4DF1KW855663</v>
      </c>
      <c r="T610" s="110" t="str">
        <f>IFERROR(VLOOKUP(B610,'02. MM-KLH'!$B$6:$T$823,19,0),"")</f>
        <v>P5AT2648320</v>
      </c>
      <c r="U610" s="130" t="s">
        <v>79</v>
      </c>
    </row>
    <row r="611" ht="13.5" customHeight="1">
      <c r="A611" s="95">
        <f t="shared" si="30"/>
        <v>5</v>
      </c>
      <c r="B611" s="115" t="s">
        <v>2686</v>
      </c>
      <c r="C611" s="84" t="str">
        <f>IFERROR(VLOOKUP(B611,'02. MM-KLH'!$B$6:$T$823,2,0),"")</f>
        <v/>
      </c>
      <c r="D611" s="95" t="str">
        <f>IFERROR(VLOOKUP(B611,'02. MM-KLH'!$B$6:$T$823,3,0),"")</f>
        <v/>
      </c>
      <c r="E611" s="86" t="str">
        <f>IFERROR(VLOOKUP(B611,'02. MM-KLH'!$B$6:$T$823,4,0),"")</f>
        <v>51D-609.04</v>
      </c>
      <c r="F611" s="115"/>
      <c r="G611" s="86" t="str">
        <f>IFERROR(VLOOKUP(B611,'02. MM-KLH'!$B$6:$T$823,6,0),"")</f>
        <v>Xe công vụ Mazda BT50</v>
      </c>
      <c r="H611" s="80" t="s">
        <v>6075</v>
      </c>
      <c r="I611" s="80" t="str">
        <f>IFERROR(VLOOKUP(B611,'02. MM-KLH'!$B$6:$T$823,8,0),"")</f>
        <v>HÀNH CHÍNH KLH</v>
      </c>
      <c r="J611" s="99" t="str">
        <f>IFERROR(VLOOKUP(B611,'02. MM-KLH'!$B$6:$T$823,9,0),"")</f>
        <v/>
      </c>
      <c r="K611" s="80" t="str">
        <f>IFERROR(VLOOKUP(B611,'02. MM-KLH'!$B$6:$T$823,10,0),"")</f>
        <v>Bình thường</v>
      </c>
      <c r="L611" s="102" t="str">
        <f>IFERROR(VLOOKUP(B611,'02. MM-KLH'!$B$6:$T$823,11,0),"")</f>
        <v/>
      </c>
      <c r="M611" s="143" t="str">
        <f>IFERROR(VLOOKUP(B611,'02. MM-KLH'!$B$6:$T$823,12,0),"")</f>
        <v>Cty LP-GĐ.HC NS</v>
      </c>
      <c r="N611" s="108" t="str">
        <f>IFERROR(VLOOKUP(B611,'02. MM-KLH'!$B$6:$T$823,13,0),"")</f>
        <v>MAZDA</v>
      </c>
      <c r="O611" s="108" t="str">
        <f>IFERROR(VLOOKUP(B611,'02. MM-KLH'!$B$6:$T$823,14,0),"")</f>
        <v>HÀN QUỐC</v>
      </c>
      <c r="P611" s="80">
        <f>IFERROR(VLOOKUP(B611,'02. MM-KLH'!$B$6:$T$823,15,0),"")</f>
        <v>2017</v>
      </c>
      <c r="Q611" s="80" t="str">
        <f>IFERROR(VLOOKUP(B611,'02. MM-KLH'!$B$6:$T$823,16,0),"")</f>
        <v>BT50</v>
      </c>
      <c r="R611" s="106" t="str">
        <f>IFERROR(VLOOKUP(B611,'02. MM-KLH'!$B$6:$T$823,17,0),"")</f>
        <v>148HP</v>
      </c>
      <c r="S611" s="108" t="str">
        <f>IFERROR(VLOOKUP(B611,'02. MM-KLH'!$B$6:$T$823,18,0),"")</f>
        <v>MM7UR4DF5JW777547</v>
      </c>
      <c r="T611" s="110" t="str">
        <f>IFERROR(VLOOKUP(B611,'02. MM-KLH'!$B$6:$T$823,19,0),"")</f>
        <v>P5AT2523639</v>
      </c>
      <c r="U611" s="130" t="s">
        <v>79</v>
      </c>
    </row>
    <row r="612" ht="13.5" customHeight="1">
      <c r="A612" s="95">
        <f t="shared" si="30"/>
        <v>6</v>
      </c>
      <c r="B612" s="115" t="s">
        <v>2692</v>
      </c>
      <c r="C612" s="84" t="str">
        <f>IFERROR(VLOOKUP(B612,'02. MM-KLH'!$B$6:$T$823,2,0),"")</f>
        <v/>
      </c>
      <c r="D612" s="95" t="str">
        <f>IFERROR(VLOOKUP(B612,'02. MM-KLH'!$B$6:$T$823,3,0),"")</f>
        <v/>
      </c>
      <c r="E612" s="86" t="str">
        <f>IFERROR(VLOOKUP(B612,'02. MM-KLH'!$B$6:$T$823,4,0),"")</f>
        <v>51A-812.37</v>
      </c>
      <c r="F612" s="115"/>
      <c r="G612" s="86" t="str">
        <f>IFERROR(VLOOKUP(B612,'02. MM-KLH'!$B$6:$T$823,6,0),"")</f>
        <v>Xe công vụ Ford Everest</v>
      </c>
      <c r="H612" s="80" t="s">
        <v>6075</v>
      </c>
      <c r="I612" s="80" t="str">
        <f>IFERROR(VLOOKUP(B612,'02. MM-KLH'!$B$6:$T$823,8,0),"")</f>
        <v>HÀNH CHÍNH KLH</v>
      </c>
      <c r="J612" s="99" t="str">
        <f>IFERROR(VLOOKUP(B612,'02. MM-KLH'!$B$6:$T$823,9,0),"")</f>
        <v/>
      </c>
      <c r="K612" s="80" t="str">
        <f>IFERROR(VLOOKUP(B612,'02. MM-KLH'!$B$6:$T$823,10,0),"")</f>
        <v>Bình thường</v>
      </c>
      <c r="L612" s="102" t="str">
        <f>IFERROR(VLOOKUP(B612,'02. MM-KLH'!$B$6:$T$823,11,0),"")</f>
        <v/>
      </c>
      <c r="M612" s="143" t="str">
        <f>IFERROR(VLOOKUP(B612,'02. MM-KLH'!$B$6:$T$823,12,0),"")</f>
        <v>Cty ADM- Ban điện nước</v>
      </c>
      <c r="N612" s="108" t="str">
        <f>IFERROR(VLOOKUP(B612,'02. MM-KLH'!$B$6:$T$823,13,0),"")</f>
        <v>FORD</v>
      </c>
      <c r="O612" s="108" t="str">
        <f>IFERROR(VLOOKUP(B612,'02. MM-KLH'!$B$6:$T$823,14,0),"")</f>
        <v>MỸ</v>
      </c>
      <c r="P612" s="80">
        <f>IFERROR(VLOOKUP(B612,'02. MM-KLH'!$B$6:$T$823,15,0),"")</f>
        <v>2014</v>
      </c>
      <c r="Q612" s="80" t="str">
        <f>IFERROR(VLOOKUP(B612,'02. MM-KLH'!$B$6:$T$823,16,0),"")</f>
        <v>EVEREST</v>
      </c>
      <c r="R612" s="106" t="str">
        <f>IFERROR(VLOOKUP(B612,'02. MM-KLH'!$B$6:$T$823,17,0),"")</f>
        <v>141HP</v>
      </c>
      <c r="S612" s="108" t="str">
        <f>IFERROR(VLOOKUP(B612,'02. MM-KLH'!$B$6:$T$823,18,0),"")</f>
        <v/>
      </c>
      <c r="T612" s="110" t="str">
        <f>IFERROR(VLOOKUP(B612,'02. MM-KLH'!$B$6:$T$823,19,0),"")</f>
        <v/>
      </c>
      <c r="U612" s="130" t="s">
        <v>79</v>
      </c>
    </row>
    <row r="613" ht="13.5" customHeight="1">
      <c r="A613" s="95">
        <f t="shared" si="30"/>
        <v>7</v>
      </c>
      <c r="B613" s="115" t="s">
        <v>2700</v>
      </c>
      <c r="C613" s="84" t="str">
        <f>IFERROR(VLOOKUP(B613,'02. MM-KLH'!$B$6:$T$823,2,0),"")</f>
        <v/>
      </c>
      <c r="D613" s="95" t="str">
        <f>IFERROR(VLOOKUP(B613,'02. MM-KLH'!$B$6:$T$823,3,0),"")</f>
        <v/>
      </c>
      <c r="E613" s="86" t="str">
        <f>IFERROR(VLOOKUP(B613,'02. MM-KLH'!$B$6:$T$823,4,0),"")</f>
        <v>51D-634.18</v>
      </c>
      <c r="F613" s="115"/>
      <c r="G613" s="86" t="str">
        <f>IFERROR(VLOOKUP(B613,'02. MM-KLH'!$B$6:$T$823,6,0),"")</f>
        <v>Xe công vụ Mazda BT50</v>
      </c>
      <c r="H613" s="80" t="s">
        <v>6075</v>
      </c>
      <c r="I613" s="80" t="str">
        <f>IFERROR(VLOOKUP(B613,'02. MM-KLH'!$B$6:$T$823,8,0),"")</f>
        <v>HÀNH CHÍNH KLH</v>
      </c>
      <c r="J613" s="99" t="str">
        <f>IFERROR(VLOOKUP(B613,'02. MM-KLH'!$B$6:$T$823,9,0),"")</f>
        <v/>
      </c>
      <c r="K613" s="80" t="str">
        <f>IFERROR(VLOOKUP(B613,'02. MM-KLH'!$B$6:$T$823,10,0),"")</f>
        <v>Bình thường</v>
      </c>
      <c r="L613" s="102" t="str">
        <f>IFERROR(VLOOKUP(B613,'02. MM-KLH'!$B$6:$T$823,11,0),"")</f>
        <v/>
      </c>
      <c r="M613" s="143" t="str">
        <f>IFERROR(VLOOKUP(B613,'02. MM-KLH'!$B$6:$T$823,12,0),"")</f>
        <v>Cty DP-Xe công vụ</v>
      </c>
      <c r="N613" s="108" t="str">
        <f>IFERROR(VLOOKUP(B613,'02. MM-KLH'!$B$6:$T$823,13,0),"")</f>
        <v>MAZDA</v>
      </c>
      <c r="O613" s="108" t="str">
        <f>IFERROR(VLOOKUP(B613,'02. MM-KLH'!$B$6:$T$823,14,0),"")</f>
        <v>HÀN QUỐC</v>
      </c>
      <c r="P613" s="80">
        <f>IFERROR(VLOOKUP(B613,'02. MM-KLH'!$B$6:$T$823,15,0),"")</f>
        <v>2018</v>
      </c>
      <c r="Q613" s="80" t="str">
        <f>IFERROR(VLOOKUP(B613,'02. MM-KLH'!$B$6:$T$823,16,0),"")</f>
        <v>BT50</v>
      </c>
      <c r="R613" s="106" t="str">
        <f>IFERROR(VLOOKUP(B613,'02. MM-KLH'!$B$6:$T$823,17,0),"")</f>
        <v>148HP</v>
      </c>
      <c r="S613" s="108" t="str">
        <f>IFERROR(VLOOKUP(B613,'02. MM-KLH'!$B$6:$T$823,18,0),"")</f>
        <v>MM7UR4DD2K936329</v>
      </c>
      <c r="T613" s="110" t="str">
        <f>IFERROR(VLOOKUP(B613,'02. MM-KLH'!$B$6:$T$823,19,0),"")</f>
        <v>P4AT2742432</v>
      </c>
      <c r="U613" s="130" t="s">
        <v>79</v>
      </c>
    </row>
    <row r="614" ht="13.5" customHeight="1">
      <c r="A614" s="95">
        <f t="shared" si="30"/>
        <v>8</v>
      </c>
      <c r="B614" s="115" t="s">
        <v>2705</v>
      </c>
      <c r="C614" s="84" t="str">
        <f>IFERROR(VLOOKUP(B614,'02. MM-KLH'!$B$6:$T$823,2,0),"")</f>
        <v/>
      </c>
      <c r="D614" s="95" t="str">
        <f>IFERROR(VLOOKUP(B614,'02. MM-KLH'!$B$6:$T$823,3,0),"")</f>
        <v/>
      </c>
      <c r="E614" s="86" t="str">
        <f>IFERROR(VLOOKUP(B614,'02. MM-KLH'!$B$6:$T$823,4,0),"")</f>
        <v>51H-257.33</v>
      </c>
      <c r="F614" s="115"/>
      <c r="G614" s="86" t="str">
        <f>IFERROR(VLOOKUP(B614,'02. MM-KLH'!$B$6:$T$823,6,0),"")</f>
        <v>Xe công vụ Kia Sedona</v>
      </c>
      <c r="H614" s="80" t="s">
        <v>6075</v>
      </c>
      <c r="I614" s="80" t="str">
        <f>IFERROR(VLOOKUP(B614,'02. MM-KLH'!$B$6:$T$823,8,0),"")</f>
        <v>HÀNH CHÍNH KLH</v>
      </c>
      <c r="J614" s="99" t="str">
        <f>IFERROR(VLOOKUP(B614,'02. MM-KLH'!$B$6:$T$823,9,0),"")</f>
        <v/>
      </c>
      <c r="K614" s="80" t="str">
        <f>IFERROR(VLOOKUP(B614,'02. MM-KLH'!$B$6:$T$823,10,0),"")</f>
        <v>Bình thường</v>
      </c>
      <c r="L614" s="102" t="str">
        <f>IFERROR(VLOOKUP(B614,'02. MM-KLH'!$B$6:$T$823,11,0),"")</f>
        <v/>
      </c>
      <c r="M614" s="143" t="str">
        <f>IFERROR(VLOOKUP(B614,'02. MM-KLH'!$B$6:$T$823,12,0),"")</f>
        <v>Cty DP-Xe công vụ</v>
      </c>
      <c r="N614" s="108" t="str">
        <f>IFERROR(VLOOKUP(B614,'02. MM-KLH'!$B$6:$T$823,13,0),"")</f>
        <v>KIA</v>
      </c>
      <c r="O614" s="108" t="str">
        <f>IFERROR(VLOOKUP(B614,'02. MM-KLH'!$B$6:$T$823,14,0),"")</f>
        <v>HÀN QUỐC</v>
      </c>
      <c r="P614" s="80">
        <f>IFERROR(VLOOKUP(B614,'02. MM-KLH'!$B$6:$T$823,15,0),"")</f>
        <v>2019</v>
      </c>
      <c r="Q614" s="80" t="str">
        <f>IFERROR(VLOOKUP(B614,'02. MM-KLH'!$B$6:$T$823,16,0),"")</f>
        <v>SEDONA</v>
      </c>
      <c r="R614" s="106" t="str">
        <f>IFERROR(VLOOKUP(B614,'02. MM-KLH'!$B$6:$T$823,17,0),"")</f>
        <v>266HP</v>
      </c>
      <c r="S614" s="108" t="str">
        <f>IFERROR(VLOOKUP(B614,'02. MM-KLH'!$B$6:$T$823,18,0),"")</f>
        <v>RNYYK51A6JC142077</v>
      </c>
      <c r="T614" s="110" t="str">
        <f>IFERROR(VLOOKUP(B614,'02. MM-KLH'!$B$6:$T$823,19,0),"")</f>
        <v>G6DFJS807887</v>
      </c>
      <c r="U614" s="130" t="s">
        <v>79</v>
      </c>
    </row>
    <row r="615" ht="13.5" customHeight="1">
      <c r="A615" s="95">
        <f t="shared" si="30"/>
        <v>9</v>
      </c>
      <c r="B615" s="115" t="s">
        <v>2712</v>
      </c>
      <c r="C615" s="84" t="str">
        <f>IFERROR(VLOOKUP(B615,'02. MM-KLH'!$B$6:$T$823,2,0),"")</f>
        <v/>
      </c>
      <c r="D615" s="95" t="str">
        <f>IFERROR(VLOOKUP(B615,'02. MM-KLH'!$B$6:$T$823,3,0),"")</f>
        <v/>
      </c>
      <c r="E615" s="86" t="str">
        <f>IFERROR(VLOOKUP(B615,'02. MM-KLH'!$B$6:$T$823,4,0),"")</f>
        <v>2B-3789</v>
      </c>
      <c r="F615" s="115"/>
      <c r="G615" s="86" t="str">
        <f>IFERROR(VLOOKUP(B615,'02. MM-KLH'!$B$6:$T$823,6,0),"")</f>
        <v>Xe công vụ Toyota Land Cruiser</v>
      </c>
      <c r="H615" s="80" t="s">
        <v>6075</v>
      </c>
      <c r="I615" s="80" t="str">
        <f>IFERROR(VLOOKUP(B615,'02. MM-KLH'!$B$6:$T$823,8,0),"")</f>
        <v>HÀNH CHÍNH KLH</v>
      </c>
      <c r="J615" s="99" t="str">
        <f>IFERROR(VLOOKUP(B615,'02. MM-KLH'!$B$6:$T$823,9,0),"")</f>
        <v/>
      </c>
      <c r="K615" s="80" t="str">
        <f>IFERROR(VLOOKUP(B615,'02. MM-KLH'!$B$6:$T$823,10,0),"")</f>
        <v>Bình thường</v>
      </c>
      <c r="L615" s="102" t="str">
        <f>IFERROR(VLOOKUP(B615,'02. MM-KLH'!$B$6:$T$823,11,0),"")</f>
        <v/>
      </c>
      <c r="M615" s="143" t="str">
        <f>IFERROR(VLOOKUP(B615,'02. MM-KLH'!$B$6:$T$823,12,0),"")</f>
        <v>Cty ADM- Xe công vụ</v>
      </c>
      <c r="N615" s="108" t="str">
        <f>IFERROR(VLOOKUP(B615,'02. MM-KLH'!$B$6:$T$823,13,0),"")</f>
        <v>TOYOTA</v>
      </c>
      <c r="O615" s="108" t="str">
        <f>IFERROR(VLOOKUP(B615,'02. MM-KLH'!$B$6:$T$823,14,0),"")</f>
        <v>NHẬT BẢN</v>
      </c>
      <c r="P615" s="80">
        <f>IFERROR(VLOOKUP(B615,'02. MM-KLH'!$B$6:$T$823,15,0),"")</f>
        <v>2009</v>
      </c>
      <c r="Q615" s="80" t="str">
        <f>IFERROR(VLOOKUP(B615,'02. MM-KLH'!$B$6:$T$823,16,0),"")</f>
        <v>CRUISER</v>
      </c>
      <c r="R615" s="106" t="str">
        <f>IFERROR(VLOOKUP(B615,'02. MM-KLH'!$B$6:$T$823,17,0),"")</f>
        <v>161HP</v>
      </c>
      <c r="S615" s="108" t="str">
        <f>IFERROR(VLOOKUP(B615,'02. MM-KLH'!$B$6:$T$823,18,0),"")</f>
        <v>JTMHU09JX95018220</v>
      </c>
      <c r="T615" s="110" t="str">
        <f>IFERROR(VLOOKUP(B615,'02. MM-KLH'!$B$6:$T$823,19,0),"")</f>
        <v>1GR8968561</v>
      </c>
      <c r="U615" s="130" t="s">
        <v>79</v>
      </c>
    </row>
    <row r="616" ht="13.5" customHeight="1">
      <c r="A616" s="95">
        <f t="shared" si="30"/>
        <v>10</v>
      </c>
      <c r="B616" s="115" t="s">
        <v>2722</v>
      </c>
      <c r="C616" s="84" t="str">
        <f>IFERROR(VLOOKUP(B616,'02. MM-KLH'!$B$6:$T$823,2,0),"")</f>
        <v/>
      </c>
      <c r="D616" s="95" t="str">
        <f>IFERROR(VLOOKUP(B616,'02. MM-KLH'!$B$6:$T$823,3,0),"")</f>
        <v/>
      </c>
      <c r="E616" s="86" t="str">
        <f>IFERROR(VLOOKUP(B616,'02. MM-KLH'!$B$6:$T$823,4,0),"")</f>
        <v>81C-04260</v>
      </c>
      <c r="F616" s="115"/>
      <c r="G616" s="86" t="str">
        <f>IFERROR(VLOOKUP(B616,'02. MM-KLH'!$B$6:$T$823,6,0),"")</f>
        <v>Xe công vụ Toyota Hilux</v>
      </c>
      <c r="H616" s="80" t="s">
        <v>6075</v>
      </c>
      <c r="I616" s="80" t="str">
        <f>IFERROR(VLOOKUP(B616,'02. MM-KLH'!$B$6:$T$823,8,0),"")</f>
        <v>HÀNH CHÍNH KLH</v>
      </c>
      <c r="J616" s="99" t="str">
        <f>IFERROR(VLOOKUP(B616,'02. MM-KLH'!$B$6:$T$823,9,0),"")</f>
        <v/>
      </c>
      <c r="K616" s="80" t="str">
        <f>IFERROR(VLOOKUP(B616,'02. MM-KLH'!$B$6:$T$823,10,0),"")</f>
        <v>Bình thường</v>
      </c>
      <c r="L616" s="102" t="str">
        <f>IFERROR(VLOOKUP(B616,'02. MM-KLH'!$B$6:$T$823,11,0),"")</f>
        <v/>
      </c>
      <c r="M616" s="143" t="str">
        <f>IFERROR(VLOOKUP(B616,'02. MM-KLH'!$B$6:$T$823,12,0),"")</f>
        <v>Cty LP- Xe công vụ</v>
      </c>
      <c r="N616" s="108" t="str">
        <f>IFERROR(VLOOKUP(B616,'02. MM-KLH'!$B$6:$T$823,13,0),"")</f>
        <v>TOYOTA</v>
      </c>
      <c r="O616" s="108" t="str">
        <f>IFERROR(VLOOKUP(B616,'02. MM-KLH'!$B$6:$T$823,14,0),"")</f>
        <v>NHẬT BẢN</v>
      </c>
      <c r="P616" s="80">
        <f>IFERROR(VLOOKUP(B616,'02. MM-KLH'!$B$6:$T$823,15,0),"")</f>
        <v>2013</v>
      </c>
      <c r="Q616" s="80" t="str">
        <f>IFERROR(VLOOKUP(B616,'02. MM-KLH'!$B$6:$T$823,16,0),"")</f>
        <v>HILLUX</v>
      </c>
      <c r="R616" s="106" t="str">
        <f>IFERROR(VLOOKUP(B616,'02. MM-KLH'!$B$6:$T$823,17,0),"")</f>
        <v>148HP</v>
      </c>
      <c r="S616" s="108" t="str">
        <f>IFERROR(VLOOKUP(B616,'02. MM-KLH'!$B$6:$T$823,18,0),"")</f>
        <v>MROFZ29G101692700</v>
      </c>
      <c r="T616" s="110" t="str">
        <f>IFERROR(VLOOKUP(B616,'02. MM-KLH'!$B$6:$T$823,19,0),"")</f>
        <v>1KDU299927</v>
      </c>
      <c r="U616" s="130" t="s">
        <v>79</v>
      </c>
    </row>
    <row r="617" ht="13.5" customHeight="1">
      <c r="A617" s="95">
        <f t="shared" si="30"/>
        <v>11</v>
      </c>
      <c r="B617" s="115" t="s">
        <v>2730</v>
      </c>
      <c r="C617" s="84" t="str">
        <f>IFERROR(VLOOKUP(B617,'02. MM-KLH'!$B$6:$T$823,2,0),"")</f>
        <v/>
      </c>
      <c r="D617" s="95" t="str">
        <f>IFERROR(VLOOKUP(B617,'02. MM-KLH'!$B$6:$T$823,3,0),"")</f>
        <v/>
      </c>
      <c r="E617" s="86" t="str">
        <f>IFERROR(VLOOKUP(B617,'02. MM-KLH'!$B$6:$T$823,4,0),"")</f>
        <v>92A -338.08</v>
      </c>
      <c r="F617" s="115"/>
      <c r="G617" s="86" t="str">
        <f>IFERROR(VLOOKUP(B617,'02. MM-KLH'!$B$6:$T$823,6,0),"")</f>
        <v>Xe công vụ Mazda CX8</v>
      </c>
      <c r="H617" s="80" t="s">
        <v>6075</v>
      </c>
      <c r="I617" s="80" t="str">
        <f>IFERROR(VLOOKUP(B617,'02. MM-KLH'!$B$6:$T$823,8,0),"")</f>
        <v>HÀNH CHÍNH KLH</v>
      </c>
      <c r="J617" s="99" t="str">
        <f>IFERROR(VLOOKUP(B617,'02. MM-KLH'!$B$6:$T$823,9,0),"")</f>
        <v/>
      </c>
      <c r="K617" s="80" t="str">
        <f>IFERROR(VLOOKUP(B617,'02. MM-KLH'!$B$6:$T$823,10,0),"")</f>
        <v>Bình thường</v>
      </c>
      <c r="L617" s="102" t="str">
        <f>IFERROR(VLOOKUP(B617,'02. MM-KLH'!$B$6:$T$823,11,0),"")</f>
        <v/>
      </c>
      <c r="M617" s="143" t="str">
        <f>IFERROR(VLOOKUP(B617,'02. MM-KLH'!$B$6:$T$823,12,0),"")</f>
        <v>Cty ADM- Xe công vụ</v>
      </c>
      <c r="N617" s="108" t="str">
        <f>IFERROR(VLOOKUP(B617,'02. MM-KLH'!$B$6:$T$823,13,0),"")</f>
        <v>MAZDA</v>
      </c>
      <c r="O617" s="108" t="str">
        <f>IFERROR(VLOOKUP(B617,'02. MM-KLH'!$B$6:$T$823,14,0),"")</f>
        <v>HÀN QUỐC</v>
      </c>
      <c r="P617" s="80">
        <f>IFERROR(VLOOKUP(B617,'02. MM-KLH'!$B$6:$T$823,15,0),"")</f>
        <v>2019</v>
      </c>
      <c r="Q617" s="80" t="str">
        <f>IFERROR(VLOOKUP(B617,'02. MM-KLH'!$B$6:$T$823,16,0),"")</f>
        <v>CX8</v>
      </c>
      <c r="R617" s="106" t="str">
        <f>IFERROR(VLOOKUP(B617,'02. MM-KLH'!$B$6:$T$823,17,0),"")</f>
        <v>188HP</v>
      </c>
      <c r="S617" s="108" t="str">
        <f>IFERROR(VLOOKUP(B617,'02. MM-KLH'!$B$6:$T$823,18,0),"")</f>
        <v>RN2K35346KM018796</v>
      </c>
      <c r="T617" s="110" t="str">
        <f>IFERROR(VLOOKUP(B617,'02. MM-KLH'!$B$6:$T$823,19,0),"")</f>
        <v>PY31030035</v>
      </c>
      <c r="U617" s="130" t="s">
        <v>79</v>
      </c>
    </row>
    <row r="618" ht="13.5" customHeight="1">
      <c r="A618" s="95">
        <f t="shared" si="30"/>
        <v>12</v>
      </c>
      <c r="B618" s="115" t="s">
        <v>2738</v>
      </c>
      <c r="C618" s="84" t="str">
        <f>IFERROR(VLOOKUP(B618,'02. MM-KLH'!$B$6:$T$823,2,0),"")</f>
        <v/>
      </c>
      <c r="D618" s="95" t="str">
        <f>IFERROR(VLOOKUP(B618,'02. MM-KLH'!$B$6:$T$823,3,0),"")</f>
        <v/>
      </c>
      <c r="E618" s="86" t="str">
        <f>IFERROR(VLOOKUP(B618,'02. MM-KLH'!$B$6:$T$823,4,0),"")</f>
        <v>2A-0522</v>
      </c>
      <c r="F618" s="115"/>
      <c r="G618" s="86" t="str">
        <f>IFERROR(VLOOKUP(B618,'02. MM-KLH'!$B$6:$T$823,6,0),"")</f>
        <v>Xe cấp cứu Hyundai Starex</v>
      </c>
      <c r="H618" s="80" t="s">
        <v>6075</v>
      </c>
      <c r="I618" s="80" t="str">
        <f>IFERROR(VLOOKUP(B618,'02. MM-KLH'!$B$6:$T$823,8,0),"")</f>
        <v>HÀNH CHÍNH KLH</v>
      </c>
      <c r="J618" s="99" t="str">
        <f>IFERROR(VLOOKUP(B618,'02. MM-KLH'!$B$6:$T$823,9,0),"")</f>
        <v/>
      </c>
      <c r="K618" s="80" t="str">
        <f>IFERROR(VLOOKUP(B618,'02. MM-KLH'!$B$6:$T$823,10,0),"")</f>
        <v>Bình thường</v>
      </c>
      <c r="L618" s="102" t="str">
        <f>IFERROR(VLOOKUP(B618,'02. MM-KLH'!$B$6:$T$823,11,0),"")</f>
        <v/>
      </c>
      <c r="M618" s="143" t="str">
        <f>IFERROR(VLOOKUP(B618,'02. MM-KLH'!$B$6:$T$823,12,0),"")</f>
        <v>Cty ADM-Xe cấp cứu</v>
      </c>
      <c r="N618" s="108" t="str">
        <f>IFERROR(VLOOKUP(B618,'02. MM-KLH'!$B$6:$T$823,13,0),"")</f>
        <v>HYUNDAI</v>
      </c>
      <c r="O618" s="108" t="str">
        <f>IFERROR(VLOOKUP(B618,'02. MM-KLH'!$B$6:$T$823,14,0),"")</f>
        <v>HÀN QUỐC</v>
      </c>
      <c r="P618" s="80">
        <f>IFERROR(VLOOKUP(B618,'02. MM-KLH'!$B$6:$T$823,15,0),"")</f>
        <v>2016</v>
      </c>
      <c r="Q618" s="80" t="str">
        <f>IFERROR(VLOOKUP(B618,'02. MM-KLH'!$B$6:$T$823,16,0),"")</f>
        <v>STAREX</v>
      </c>
      <c r="R618" s="106" t="str">
        <f>IFERROR(VLOOKUP(B618,'02. MM-KLH'!$B$6:$T$823,17,0),"")</f>
        <v>100HP</v>
      </c>
      <c r="S618" s="108" t="str">
        <f>IFERROR(VLOOKUP(B618,'02. MM-KLH'!$B$6:$T$823,18,0),"")</f>
        <v/>
      </c>
      <c r="T618" s="110" t="str">
        <f>IFERROR(VLOOKUP(B618,'02. MM-KLH'!$B$6:$T$823,19,0),"")</f>
        <v/>
      </c>
      <c r="U618" s="130" t="s">
        <v>79</v>
      </c>
    </row>
    <row r="619" ht="13.5" customHeight="1">
      <c r="A619" s="95">
        <f t="shared" si="30"/>
        <v>13</v>
      </c>
      <c r="B619" s="115" t="s">
        <v>2743</v>
      </c>
      <c r="C619" s="84" t="str">
        <f>IFERROR(VLOOKUP(B619,'02. MM-KLH'!$B$6:$T$823,2,0),"")</f>
        <v/>
      </c>
      <c r="D619" s="95" t="str">
        <f>IFERROR(VLOOKUP(B619,'02. MM-KLH'!$B$6:$T$823,3,0),"")</f>
        <v/>
      </c>
      <c r="E619" s="86" t="str">
        <f>IFERROR(VLOOKUP(B619,'02. MM-KLH'!$B$6:$T$823,4,0),"")</f>
        <v>2B-6868</v>
      </c>
      <c r="F619" s="115"/>
      <c r="G619" s="86" t="str">
        <f>IFERROR(VLOOKUP(B619,'02. MM-KLH'!$B$6:$T$823,6,0),"")</f>
        <v>Xe công vụ Ford Everest</v>
      </c>
      <c r="H619" s="80" t="s">
        <v>6075</v>
      </c>
      <c r="I619" s="80" t="str">
        <f>IFERROR(VLOOKUP(B619,'02. MM-KLH'!$B$6:$T$823,8,0),"")</f>
        <v>HÀNH CHÍNH KLH</v>
      </c>
      <c r="J619" s="99" t="str">
        <f>IFERROR(VLOOKUP(B619,'02. MM-KLH'!$B$6:$T$823,9,0),"")</f>
        <v/>
      </c>
      <c r="K619" s="80" t="str">
        <f>IFERROR(VLOOKUP(B619,'02. MM-KLH'!$B$6:$T$823,10,0),"")</f>
        <v>Bình thường</v>
      </c>
      <c r="L619" s="102" t="str">
        <f>IFERROR(VLOOKUP(B619,'02. MM-KLH'!$B$6:$T$823,11,0),"")</f>
        <v/>
      </c>
      <c r="M619" s="143" t="str">
        <f>IFERROR(VLOOKUP(B619,'02. MM-KLH'!$B$6:$T$823,12,0),"")</f>
        <v>Cty DP - P.TGĐ TT KLH</v>
      </c>
      <c r="N619" s="108" t="str">
        <f>IFERROR(VLOOKUP(B619,'02. MM-KLH'!$B$6:$T$823,13,0),"")</f>
        <v>FORD</v>
      </c>
      <c r="O619" s="108" t="str">
        <f>IFERROR(VLOOKUP(B619,'02. MM-KLH'!$B$6:$T$823,14,0),"")</f>
        <v>MỸ</v>
      </c>
      <c r="P619" s="80">
        <f>IFERROR(VLOOKUP(B619,'02. MM-KLH'!$B$6:$T$823,15,0),"")</f>
        <v>2024</v>
      </c>
      <c r="Q619" s="80" t="str">
        <f>IFERROR(VLOOKUP(B619,'02. MM-KLH'!$B$6:$T$823,16,0),"")</f>
        <v>EVEREST</v>
      </c>
      <c r="R619" s="106" t="str">
        <f>IFERROR(VLOOKUP(B619,'02. MM-KLH'!$B$6:$T$823,17,0),"")</f>
        <v>141HP</v>
      </c>
      <c r="S619" s="108" t="str">
        <f>IFERROR(VLOOKUP(B619,'02. MM-KLH'!$B$6:$T$823,18,0),"")</f>
        <v>PV5XWER8RLY00766</v>
      </c>
      <c r="T619" s="110" t="str">
        <f>IFERROR(VLOOKUP(B619,'02. MM-KLH'!$B$6:$T$823,19,0),"")</f>
        <v>YNWQRLY00046</v>
      </c>
      <c r="U619" s="130" t="s">
        <v>79</v>
      </c>
    </row>
    <row r="620" ht="13.5" customHeight="1">
      <c r="A620" s="95">
        <f t="shared" si="30"/>
        <v>14</v>
      </c>
      <c r="B620" s="115" t="s">
        <v>2749</v>
      </c>
      <c r="C620" s="84" t="str">
        <f>IFERROR(VLOOKUP(B620,'02. MM-KLH'!$B$6:$T$823,2,0),"")</f>
        <v/>
      </c>
      <c r="D620" s="95" t="str">
        <f>IFERROR(VLOOKUP(B620,'02. MM-KLH'!$B$6:$T$823,3,0),"")</f>
        <v/>
      </c>
      <c r="E620" s="86" t="str">
        <f>IFERROR(VLOOKUP(B620,'02. MM-KLH'!$B$6:$T$823,4,0),"")</f>
        <v>51D-62994</v>
      </c>
      <c r="F620" s="115"/>
      <c r="G620" s="86" t="str">
        <f>IFERROR(VLOOKUP(B620,'02. MM-KLH'!$B$6:$T$823,6,0),"")</f>
        <v>Xe công vụ Mazda BT50</v>
      </c>
      <c r="H620" s="80" t="s">
        <v>6075</v>
      </c>
      <c r="I620" s="80" t="str">
        <f>IFERROR(VLOOKUP(B620,'02. MM-KLH'!$B$6:$T$823,8,0),"")</f>
        <v>HÀNH CHÍNH KLH</v>
      </c>
      <c r="J620" s="99" t="str">
        <f>IFERROR(VLOOKUP(B620,'02. MM-KLH'!$B$6:$T$823,9,0),"")</f>
        <v/>
      </c>
      <c r="K620" s="80" t="str">
        <f>IFERROR(VLOOKUP(B620,'02. MM-KLH'!$B$6:$T$823,10,0),"")</f>
        <v>Bình thường</v>
      </c>
      <c r="L620" s="102" t="str">
        <f>IFERROR(VLOOKUP(B620,'02. MM-KLH'!$B$6:$T$823,11,0),"")</f>
        <v/>
      </c>
      <c r="M620" s="143" t="str">
        <f>IFERROR(VLOOKUP(B620,'02. MM-KLH'!$B$6:$T$823,12,0),"")</f>
        <v>Cty AD - GĐ BAN XDCB</v>
      </c>
      <c r="N620" s="108" t="str">
        <f>IFERROR(VLOOKUP(B620,'02. MM-KLH'!$B$6:$T$823,13,0),"")</f>
        <v>MAZDA</v>
      </c>
      <c r="O620" s="108" t="str">
        <f>IFERROR(VLOOKUP(B620,'02. MM-KLH'!$B$6:$T$823,14,0),"")</f>
        <v>HÀN QUỐC</v>
      </c>
      <c r="P620" s="80">
        <f>IFERROR(VLOOKUP(B620,'02. MM-KLH'!$B$6:$T$823,15,0),"")</f>
        <v>2018</v>
      </c>
      <c r="Q620" s="80" t="str">
        <f>IFERROR(VLOOKUP(B620,'02. MM-KLH'!$B$6:$T$823,16,0),"")</f>
        <v>BT50</v>
      </c>
      <c r="R620" s="106" t="str">
        <f>IFERROR(VLOOKUP(B620,'02. MM-KLH'!$B$6:$T$823,17,0),"")</f>
        <v>148HP</v>
      </c>
      <c r="S620" s="108" t="str">
        <f>IFERROR(VLOOKUP(B620,'02. MM-KLH'!$B$6:$T$823,18,0),"")</f>
        <v>MM7UR4DF9KW903331</v>
      </c>
      <c r="T620" s="110" t="str">
        <f>IFERROR(VLOOKUP(B620,'02. MM-KLH'!$B$6:$T$823,19,0),"")</f>
        <v>P5AT2707088</v>
      </c>
      <c r="U620" s="130" t="s">
        <v>79</v>
      </c>
    </row>
    <row r="621" ht="13.5" customHeight="1">
      <c r="A621" s="95">
        <f t="shared" si="30"/>
        <v>15</v>
      </c>
      <c r="B621" s="115" t="s">
        <v>2754</v>
      </c>
      <c r="C621" s="84" t="str">
        <f>IFERROR(VLOOKUP(B621,'02. MM-KLH'!$B$6:$T$823,2,0),"")</f>
        <v/>
      </c>
      <c r="D621" s="95" t="str">
        <f>IFERROR(VLOOKUP(B621,'02. MM-KLH'!$B$6:$T$823,3,0),"")</f>
        <v/>
      </c>
      <c r="E621" s="86" t="str">
        <f>IFERROR(VLOOKUP(B621,'02. MM-KLH'!$B$6:$T$823,4,0),"")</f>
        <v>92B-00858</v>
      </c>
      <c r="F621" s="115"/>
      <c r="G621" s="86" t="str">
        <f>IFERROR(VLOOKUP(B621,'02. MM-KLH'!$B$6:$T$823,6,0),"")</f>
        <v>Xe bus</v>
      </c>
      <c r="H621" s="80" t="s">
        <v>6075</v>
      </c>
      <c r="I621" s="80" t="str">
        <f>IFERROR(VLOOKUP(B621,'02. MM-KLH'!$B$6:$T$823,8,0),"")</f>
        <v>HÀNH CHÍNH KLH</v>
      </c>
      <c r="J621" s="99" t="str">
        <f>IFERROR(VLOOKUP(B621,'02. MM-KLH'!$B$6:$T$823,9,0),"")</f>
        <v/>
      </c>
      <c r="K621" s="80" t="str">
        <f>IFERROR(VLOOKUP(B621,'02. MM-KLH'!$B$6:$T$823,10,0),"")</f>
        <v>Bình thường</v>
      </c>
      <c r="L621" s="102" t="str">
        <f>IFERROR(VLOOKUP(B621,'02. MM-KLH'!$B$6:$T$823,11,0),"")</f>
        <v/>
      </c>
      <c r="M621" s="143" t="str">
        <f>IFERROR(VLOOKUP(B621,'02. MM-KLH'!$B$6:$T$823,12,0),"")</f>
        <v/>
      </c>
      <c r="N621" s="108" t="str">
        <f>IFERROR(VLOOKUP(B621,'02. MM-KLH'!$B$6:$T$823,13,0),"")</f>
        <v>BUS</v>
      </c>
      <c r="O621" s="108" t="str">
        <f>IFERROR(VLOOKUP(B621,'02. MM-KLH'!$B$6:$T$823,14,0),"")</f>
        <v/>
      </c>
      <c r="P621" s="80" t="str">
        <f>IFERROR(VLOOKUP(B621,'02. MM-KLH'!$B$6:$T$823,15,0),"")</f>
        <v/>
      </c>
      <c r="Q621" s="80" t="str">
        <f>IFERROR(VLOOKUP(B621,'02. MM-KLH'!$B$6:$T$823,16,0),"")</f>
        <v/>
      </c>
      <c r="R621" s="106" t="str">
        <f>IFERROR(VLOOKUP(B621,'02. MM-KLH'!$B$6:$T$823,17,0),"")</f>
        <v/>
      </c>
      <c r="S621" s="108" t="str">
        <f>IFERROR(VLOOKUP(B621,'02. MM-KLH'!$B$6:$T$823,18,0),"")</f>
        <v/>
      </c>
      <c r="T621" s="110" t="str">
        <f>IFERROR(VLOOKUP(B621,'02. MM-KLH'!$B$6:$T$823,19,0),"")</f>
        <v/>
      </c>
      <c r="U621" s="130" t="s">
        <v>79</v>
      </c>
    </row>
    <row r="622" ht="13.5" customHeight="1">
      <c r="A622" s="95">
        <f t="shared" si="30"/>
        <v>16</v>
      </c>
      <c r="B622" s="115" t="s">
        <v>2758</v>
      </c>
      <c r="C622" s="84" t="str">
        <f>IFERROR(VLOOKUP(B622,'02. MM-KLH'!$B$6:$T$823,2,0),"")</f>
        <v/>
      </c>
      <c r="D622" s="95" t="str">
        <f>IFERROR(VLOOKUP(B622,'02. MM-KLH'!$B$6:$T$823,3,0),"")</f>
        <v>A23-TĐL-001</v>
      </c>
      <c r="E622" s="86" t="str">
        <f>IFERROR(VLOOKUP(B622,'02. MM-KLH'!$B$6:$T$823,4,0),"")</f>
        <v>2A-0091</v>
      </c>
      <c r="F622" s="115"/>
      <c r="G622" s="86" t="str">
        <f>IFERROR(VLOOKUP(B622,'02. MM-KLH'!$B$6:$T$823,6,0),"")</f>
        <v>Xe tải đông lạnh K200</v>
      </c>
      <c r="H622" s="80" t="s">
        <v>6076</v>
      </c>
      <c r="I622" s="80" t="str">
        <f>IFERROR(VLOOKUP(B622,'02. MM-KLH'!$B$6:$T$823,8,0),"")</f>
        <v>HÀNH CHÍNH KLH</v>
      </c>
      <c r="J622" s="99">
        <f>IFERROR(VLOOKUP(B622,'02. MM-KLH'!$B$6:$T$823,9,0),"")</f>
        <v>45452</v>
      </c>
      <c r="K622" s="80" t="str">
        <f>IFERROR(VLOOKUP(B622,'02. MM-KLH'!$B$6:$T$823,10,0),"")</f>
        <v>Bình thường</v>
      </c>
      <c r="L622" s="102" t="str">
        <f>IFERROR(VLOOKUP(B622,'02. MM-KLH'!$B$6:$T$823,11,0),"")</f>
        <v/>
      </c>
      <c r="M622" s="143" t="str">
        <f>IFERROR(VLOOKUP(B622,'02. MM-KLH'!$B$6:$T$823,12,0),"")</f>
        <v>Đầu tư mới</v>
      </c>
      <c r="N622" s="108" t="str">
        <f>IFERROR(VLOOKUP(B622,'02. MM-KLH'!$B$6:$T$823,13,0),"")</f>
        <v>THACO KIA</v>
      </c>
      <c r="O622" s="108" t="str">
        <f>IFERROR(VLOOKUP(B622,'02. MM-KLH'!$B$6:$T$823,14,0),"")</f>
        <v>VIỆT NAM</v>
      </c>
      <c r="P622" s="80">
        <f>IFERROR(VLOOKUP(B622,'02. MM-KLH'!$B$6:$T$823,15,0),"")</f>
        <v>2024</v>
      </c>
      <c r="Q622" s="80" t="str">
        <f>IFERROR(VLOOKUP(B622,'02. MM-KLH'!$B$6:$T$823,16,0),"")</f>
        <v>K200</v>
      </c>
      <c r="R622" s="106" t="str">
        <f>IFERROR(VLOOKUP(B622,'02. MM-KLH'!$B$6:$T$823,17,0),"")</f>
        <v>130HP</v>
      </c>
      <c r="S622" s="108" t="str">
        <f>IFERROR(VLOOKUP(B622,'02. MM-KLH'!$B$6:$T$823,18,0),"")</f>
        <v>RNHA39KHERT094672</v>
      </c>
      <c r="T622" s="110" t="str">
        <f>IFERROR(VLOOKUP(B622,'02. MM-KLH'!$B$6:$T$823,19,0),"")</f>
        <v>RD577729D4CB</v>
      </c>
      <c r="U622" s="130" t="s">
        <v>2301</v>
      </c>
    </row>
    <row r="623" ht="13.5" customHeight="1">
      <c r="A623" s="95">
        <f t="shared" si="30"/>
        <v>17</v>
      </c>
      <c r="B623" s="115" t="s">
        <v>2765</v>
      </c>
      <c r="C623" s="84" t="str">
        <f>IFERROR(VLOOKUP(B623,'02. MM-KLH'!$B$6:$T$823,2,0),"")</f>
        <v/>
      </c>
      <c r="D623" s="95" t="str">
        <f>IFERROR(VLOOKUP(B623,'02. MM-KLH'!$B$6:$T$823,3,0),"")</f>
        <v>A23-TĐL-002</v>
      </c>
      <c r="E623" s="86" t="str">
        <f>IFERROR(VLOOKUP(B623,'02. MM-KLH'!$B$6:$T$823,4,0),"")</f>
        <v>2A-0046</v>
      </c>
      <c r="F623" s="115"/>
      <c r="G623" s="86" t="str">
        <f>IFERROR(VLOOKUP(B623,'02. MM-KLH'!$B$6:$T$823,6,0),"")</f>
        <v>Xe tải đông lạnh K200</v>
      </c>
      <c r="H623" s="80" t="s">
        <v>6076</v>
      </c>
      <c r="I623" s="80" t="str">
        <f>IFERROR(VLOOKUP(B623,'02. MM-KLH'!$B$6:$T$823,8,0),"")</f>
        <v>HÀNH CHÍNH KLH</v>
      </c>
      <c r="J623" s="99">
        <f>IFERROR(VLOOKUP(B623,'02. MM-KLH'!$B$6:$T$823,9,0),"")</f>
        <v>45452</v>
      </c>
      <c r="K623" s="80" t="str">
        <f>IFERROR(VLOOKUP(B623,'02. MM-KLH'!$B$6:$T$823,10,0),"")</f>
        <v>Bình thường</v>
      </c>
      <c r="L623" s="102" t="str">
        <f>IFERROR(VLOOKUP(B623,'02. MM-KLH'!$B$6:$T$823,11,0),"")</f>
        <v/>
      </c>
      <c r="M623" s="143" t="str">
        <f>IFERROR(VLOOKUP(B623,'02. MM-KLH'!$B$6:$T$823,12,0),"")</f>
        <v>Đầu tư mới</v>
      </c>
      <c r="N623" s="108" t="str">
        <f>IFERROR(VLOOKUP(B623,'02. MM-KLH'!$B$6:$T$823,13,0),"")</f>
        <v>THACO KIA</v>
      </c>
      <c r="O623" s="108" t="str">
        <f>IFERROR(VLOOKUP(B623,'02. MM-KLH'!$B$6:$T$823,14,0),"")</f>
        <v>VIỆT NAM</v>
      </c>
      <c r="P623" s="80">
        <f>IFERROR(VLOOKUP(B623,'02. MM-KLH'!$B$6:$T$823,15,0),"")</f>
        <v>2024</v>
      </c>
      <c r="Q623" s="80" t="str">
        <f>IFERROR(VLOOKUP(B623,'02. MM-KLH'!$B$6:$T$823,16,0),"")</f>
        <v>K200</v>
      </c>
      <c r="R623" s="106" t="str">
        <f>IFERROR(VLOOKUP(B623,'02. MM-KLH'!$B$6:$T$823,17,0),"")</f>
        <v>130HP</v>
      </c>
      <c r="S623" s="108" t="str">
        <f>IFERROR(VLOOKUP(B623,'02. MM-KLH'!$B$6:$T$823,18,0),"")</f>
        <v>RNHA39KHERT094673</v>
      </c>
      <c r="T623" s="110" t="str">
        <f>IFERROR(VLOOKUP(B623,'02. MM-KLH'!$B$6:$T$823,19,0),"")</f>
        <v>RD577733D4CB</v>
      </c>
      <c r="U623" s="130" t="s">
        <v>2301</v>
      </c>
    </row>
    <row r="624" ht="13.5" customHeight="1">
      <c r="A624" s="95">
        <f t="shared" si="30"/>
        <v>18</v>
      </c>
      <c r="B624" s="115" t="s">
        <v>2770</v>
      </c>
      <c r="C624" s="84" t="str">
        <f>IFERROR(VLOOKUP(B624,'02. MM-KLH'!$B$6:$T$823,2,0),"")</f>
        <v/>
      </c>
      <c r="D624" s="95" t="str">
        <f>IFERROR(VLOOKUP(B624,'02. MM-KLH'!$B$6:$T$823,3,0),"")</f>
        <v>A23-TĐL-003</v>
      </c>
      <c r="E624" s="86" t="str">
        <f>IFERROR(VLOOKUP(B624,'02. MM-KLH'!$B$6:$T$823,4,0),"")</f>
        <v>2A-0109</v>
      </c>
      <c r="F624" s="115"/>
      <c r="G624" s="86" t="str">
        <f>IFERROR(VLOOKUP(B624,'02. MM-KLH'!$B$6:$T$823,6,0),"")</f>
        <v>Xe tải đông lạnh K200</v>
      </c>
      <c r="H624" s="80" t="s">
        <v>6076</v>
      </c>
      <c r="I624" s="80" t="str">
        <f>IFERROR(VLOOKUP(B624,'02. MM-KLH'!$B$6:$T$823,8,0),"")</f>
        <v>HÀNH CHÍNH KLH</v>
      </c>
      <c r="J624" s="99">
        <f>IFERROR(VLOOKUP(B624,'02. MM-KLH'!$B$6:$T$823,9,0),"")</f>
        <v>45452</v>
      </c>
      <c r="K624" s="80" t="str">
        <f>IFERROR(VLOOKUP(B624,'02. MM-KLH'!$B$6:$T$823,10,0),"")</f>
        <v>Bình thường</v>
      </c>
      <c r="L624" s="102" t="str">
        <f>IFERROR(VLOOKUP(B624,'02. MM-KLH'!$B$6:$T$823,11,0),"")</f>
        <v/>
      </c>
      <c r="M624" s="143" t="str">
        <f>IFERROR(VLOOKUP(B624,'02. MM-KLH'!$B$6:$T$823,12,0),"")</f>
        <v>Đầu tư mới</v>
      </c>
      <c r="N624" s="108" t="str">
        <f>IFERROR(VLOOKUP(B624,'02. MM-KLH'!$B$6:$T$823,13,0),"")</f>
        <v>THACO KIA</v>
      </c>
      <c r="O624" s="108" t="str">
        <f>IFERROR(VLOOKUP(B624,'02. MM-KLH'!$B$6:$T$823,14,0),"")</f>
        <v>VIỆT NAM</v>
      </c>
      <c r="P624" s="80">
        <f>IFERROR(VLOOKUP(B624,'02. MM-KLH'!$B$6:$T$823,15,0),"")</f>
        <v>2024</v>
      </c>
      <c r="Q624" s="80" t="str">
        <f>IFERROR(VLOOKUP(B624,'02. MM-KLH'!$B$6:$T$823,16,0),"")</f>
        <v>K200</v>
      </c>
      <c r="R624" s="106" t="str">
        <f>IFERROR(VLOOKUP(B624,'02. MM-KLH'!$B$6:$T$823,17,0),"")</f>
        <v>130HP</v>
      </c>
      <c r="S624" s="108" t="str">
        <f>IFERROR(VLOOKUP(B624,'02. MM-KLH'!$B$6:$T$823,18,0),"")</f>
        <v>RNHA39KHERT094674</v>
      </c>
      <c r="T624" s="110" t="str">
        <f>IFERROR(VLOOKUP(B624,'02. MM-KLH'!$B$6:$T$823,19,0),"")</f>
        <v>RD577734D4CB</v>
      </c>
      <c r="U624" s="130" t="s">
        <v>2301</v>
      </c>
    </row>
    <row r="625" ht="13.5" customHeight="1">
      <c r="A625" s="95">
        <f t="shared" si="30"/>
        <v>19</v>
      </c>
      <c r="B625" s="115" t="s">
        <v>2775</v>
      </c>
      <c r="C625" s="84" t="str">
        <f>IFERROR(VLOOKUP(B625,'02. MM-KLH'!$B$6:$T$823,2,0),"")</f>
        <v/>
      </c>
      <c r="D625" s="95" t="str">
        <f>IFERROR(VLOOKUP(B625,'02. MM-KLH'!$B$6:$T$823,3,0),"")</f>
        <v>A23-XCR-001</v>
      </c>
      <c r="E625" s="86" t="str">
        <f>IFERROR(VLOOKUP(B625,'02. MM-KLH'!$B$6:$T$823,4,0),"")</f>
        <v/>
      </c>
      <c r="F625" s="115"/>
      <c r="G625" s="86" t="str">
        <f>IFERROR(VLOOKUP(B625,'02. MM-KLH'!$B$6:$T$823,6,0),"")</f>
        <v>Xe chở rác K250B</v>
      </c>
      <c r="H625" s="80" t="s">
        <v>6077</v>
      </c>
      <c r="I625" s="80" t="str">
        <f>IFERROR(VLOOKUP(B625,'02. MM-KLH'!$B$6:$T$823,8,0),"")</f>
        <v>HÀNH CHÍNH KLH</v>
      </c>
      <c r="J625" s="99">
        <f>IFERROR(VLOOKUP(B625,'02. MM-KLH'!$B$6:$T$823,9,0),"")</f>
        <v>45452</v>
      </c>
      <c r="K625" s="80" t="str">
        <f>IFERROR(VLOOKUP(B625,'02. MM-KLH'!$B$6:$T$823,10,0),"")</f>
        <v>Bình thường</v>
      </c>
      <c r="L625" s="102" t="str">
        <f>IFERROR(VLOOKUP(B625,'02. MM-KLH'!$B$6:$T$823,11,0),"")</f>
        <v/>
      </c>
      <c r="M625" s="143" t="str">
        <f>IFERROR(VLOOKUP(B625,'02. MM-KLH'!$B$6:$T$823,12,0),"")</f>
        <v>Đầu tư mới</v>
      </c>
      <c r="N625" s="108" t="str">
        <f>IFERROR(VLOOKUP(B625,'02. MM-KLH'!$B$6:$T$823,13,0),"")</f>
        <v>THACO KIA</v>
      </c>
      <c r="O625" s="108" t="str">
        <f>IFERROR(VLOOKUP(B625,'02. MM-KLH'!$B$6:$T$823,14,0),"")</f>
        <v>VIỆT NAM</v>
      </c>
      <c r="P625" s="80">
        <f>IFERROR(VLOOKUP(B625,'02. MM-KLH'!$B$6:$T$823,15,0),"")</f>
        <v>2023</v>
      </c>
      <c r="Q625" s="80" t="str">
        <f>IFERROR(VLOOKUP(B625,'02. MM-KLH'!$B$6:$T$823,16,0),"")</f>
        <v>K250B</v>
      </c>
      <c r="R625" s="106" t="str">
        <f>IFERROR(VLOOKUP(B625,'02. MM-KLH'!$B$6:$T$823,17,0),"")</f>
        <v>130HP</v>
      </c>
      <c r="S625" s="108" t="str">
        <f>IFERROR(VLOOKUP(B625,'02. MM-KLH'!$B$6:$T$823,18,0),"")</f>
        <v>RNHA49KHEPT069328</v>
      </c>
      <c r="T625" s="110" t="str">
        <f>IFERROR(VLOOKUP(B625,'02. MM-KLH'!$B$6:$T$823,19,0),"")</f>
        <v>LD527221D4CB</v>
      </c>
      <c r="U625" s="130" t="s">
        <v>2301</v>
      </c>
    </row>
    <row r="626" ht="27.0" customHeight="1">
      <c r="A626" s="95">
        <f t="shared" si="30"/>
        <v>20</v>
      </c>
      <c r="B626" s="115" t="s">
        <v>2781</v>
      </c>
      <c r="C626" s="86" t="str">
        <f>IFERROR(VLOOKUP(B626,'02. MM-KLH'!$B$6:$T$823,2,0),"")</f>
        <v>XD3-XTA-007</v>
      </c>
      <c r="D626" s="95" t="str">
        <f>IFERROR(VLOOKUP(B626,'02. MM-KLH'!$B$6:$T$823,3,0),"")</f>
        <v>A23-XTA-047</v>
      </c>
      <c r="E626" s="86" t="str">
        <f>IFERROR(VLOOKUP(B626,'02. MM-KLH'!$B$6:$T$823,4,0),"")</f>
        <v/>
      </c>
      <c r="F626" s="115" t="s">
        <v>2789</v>
      </c>
      <c r="G626" s="86" t="str">
        <f>IFERROR(VLOOKUP(B626,'02. MM-KLH'!$B$6:$T$823,6,0),"")</f>
        <v>Xe tải THACO FRONTIER TF490</v>
      </c>
      <c r="H626" s="80" t="s">
        <v>4609</v>
      </c>
      <c r="I626" s="80" t="str">
        <f>IFERROR(VLOOKUP(B626,'02. MM-KLH'!$B$6:$T$823,8,0),"")</f>
        <v>HÀNH CHÍNH KLH</v>
      </c>
      <c r="J626" s="99">
        <f>IFERROR(VLOOKUP(B626,'02. MM-KLH'!$B$6:$T$823,9,0),"")</f>
        <v>46114</v>
      </c>
      <c r="K626" s="80" t="str">
        <f>IFERROR(VLOOKUP(B626,'02. MM-KLH'!$B$6:$T$823,10,0),"")</f>
        <v>Bình thường</v>
      </c>
      <c r="L626" s="102" t="str">
        <f>IFERROR(VLOOKUP(B626,'02. MM-KLH'!$B$6:$T$823,11,0),"")</f>
        <v/>
      </c>
      <c r="M626" s="143" t="str">
        <f>IFERROR(VLOOKUP(B626,'02. MM-KLH'!$B$6:$T$823,12,0),"")</f>
        <v>DP3 Đchuyen qua ASĐS ngày 20.07.2026
Đầu tư mới</v>
      </c>
      <c r="N626" s="108" t="str">
        <f>IFERROR(VLOOKUP(B626,'02. MM-KLH'!$B$6:$T$823,13,0),"")</f>
        <v>THACO FRONTIER</v>
      </c>
      <c r="O626" s="108" t="str">
        <f>IFERROR(VLOOKUP(B626,'02. MM-KLH'!$B$6:$T$823,14,0),"")</f>
        <v>VIỆT NAM</v>
      </c>
      <c r="P626" s="80">
        <f>IFERROR(VLOOKUP(B626,'02. MM-KLH'!$B$6:$T$823,15,0),"")</f>
        <v>2024</v>
      </c>
      <c r="Q626" s="80" t="str">
        <f>IFERROR(VLOOKUP(B626,'02. MM-KLH'!$B$6:$T$823,16,0),"")</f>
        <v>TF490</v>
      </c>
      <c r="R626" s="106" t="str">
        <f>IFERROR(VLOOKUP(B626,'02. MM-KLH'!$B$6:$T$823,17,0),"")</f>
        <v>107HP</v>
      </c>
      <c r="S626" s="108" t="str">
        <f>IFERROR(VLOOKUP(B626,'02. MM-KLH'!$B$6:$T$823,18,0),"")</f>
        <v>RNHA49TZART051060</v>
      </c>
      <c r="T626" s="110" t="str">
        <f>IFERROR(VLOOKUP(B626,'02. MM-KLH'!$B$6:$T$823,19,0),"")</f>
        <v>JE493ZLQ4*33102790*</v>
      </c>
      <c r="U626" s="130" t="s">
        <v>79</v>
      </c>
    </row>
    <row r="627" ht="13.5" customHeight="1">
      <c r="A627" s="95">
        <f t="shared" si="30"/>
        <v>21</v>
      </c>
      <c r="B627" s="115" t="s">
        <v>2787</v>
      </c>
      <c r="C627" s="86" t="str">
        <f>IFERROR(VLOOKUP(B627,'02. MM-KLH'!$B$6:$T$823,2,0),"")</f>
        <v>CVC-XTA-008</v>
      </c>
      <c r="D627" s="95" t="str">
        <f>IFERROR(VLOOKUP(B627,'02. MM-KLH'!$B$6:$T$823,3,0),"")</f>
        <v>ATM-A23-0053</v>
      </c>
      <c r="E627" s="86" t="str">
        <f>IFERROR(VLOOKUP(B627,'02. MM-KLH'!$B$6:$T$823,4,0),"")</f>
        <v/>
      </c>
      <c r="F627" s="115" t="s">
        <v>2789</v>
      </c>
      <c r="G627" s="86" t="str">
        <f>IFERROR(VLOOKUP(B627,'02. MM-KLH'!$B$6:$T$823,6,0),"")</f>
        <v>Xe tải thùng FD140</v>
      </c>
      <c r="H627" s="80" t="s">
        <v>4609</v>
      </c>
      <c r="I627" s="80" t="str">
        <f>IFERROR(VLOOKUP(B627,'02. MM-KLH'!$B$6:$T$823,8,0),"")</f>
        <v>HÀNH CHÍNH KLH</v>
      </c>
      <c r="J627" s="99">
        <f>IFERROR(VLOOKUP(B627,'02. MM-KLH'!$B$6:$T$823,9,0),"")</f>
        <v>44570</v>
      </c>
      <c r="K627" s="80" t="str">
        <f>IFERROR(VLOOKUP(B627,'02. MM-KLH'!$B$6:$T$823,10,0),"")</f>
        <v>Bình thường</v>
      </c>
      <c r="L627" s="102">
        <f>IFERROR(VLOOKUP(B627,'02. MM-KLH'!$B$6:$T$823,11,0),"")</f>
        <v>0.76</v>
      </c>
      <c r="M627" s="143" t="str">
        <f>IFERROR(VLOOKUP(B627,'02. MM-KLH'!$B$6:$T$823,12,0),"")</f>
        <v>GNVC bàn giao qua ngày 03.08.2026</v>
      </c>
      <c r="N627" s="108" t="str">
        <f>IFERROR(VLOOKUP(B627,'02. MM-KLH'!$B$6:$T$823,13,0),"")</f>
        <v>THACO FORLAND</v>
      </c>
      <c r="O627" s="108" t="str">
        <f>IFERROR(VLOOKUP(B627,'02. MM-KLH'!$B$6:$T$823,14,0),"")</f>
        <v>VIỆT NAM</v>
      </c>
      <c r="P627" s="80">
        <f>IFERROR(VLOOKUP(B627,'02. MM-KLH'!$B$6:$T$823,15,0),"")</f>
        <v>2021</v>
      </c>
      <c r="Q627" s="80" t="str">
        <f>IFERROR(VLOOKUP(B627,'02. MM-KLH'!$B$6:$T$823,16,0),"")</f>
        <v>FD140</v>
      </c>
      <c r="R627" s="106" t="str">
        <f>IFERROR(VLOOKUP(B627,'02. MM-KLH'!$B$6:$T$823,17,0),"")</f>
        <v>140HP</v>
      </c>
      <c r="S627" s="108">
        <f>IFERROR(VLOOKUP(B627,'02. MM-KLH'!$B$6:$T$823,18,0),"")</f>
        <v>49596</v>
      </c>
      <c r="T627" s="110" t="str">
        <f>IFERROR(VLOOKUP(B627,'02. MM-KLH'!$B$6:$T$823,19,0),"")</f>
        <v>CCN</v>
      </c>
      <c r="U627" s="130" t="s">
        <v>79</v>
      </c>
    </row>
    <row r="628" ht="13.5" customHeight="1">
      <c r="A628" s="95">
        <f t="shared" si="30"/>
        <v>22</v>
      </c>
      <c r="B628" s="115" t="s">
        <v>2804</v>
      </c>
      <c r="C628" s="86" t="str">
        <f>IFERROR(VLOOKUP(B628,'02. MM-KLH'!$B$6:$T$823,2,0),"")</f>
        <v/>
      </c>
      <c r="D628" s="95" t="str">
        <f>IFERROR(VLOOKUP(B628,'02. MM-KLH'!$B$6:$T$823,3,0),"")</f>
        <v>-</v>
      </c>
      <c r="E628" s="86" t="str">
        <f>IFERROR(VLOOKUP(B628,'02. MM-KLH'!$B$6:$T$823,4,0),"")</f>
        <v>81C-04285</v>
      </c>
      <c r="F628" s="187"/>
      <c r="G628" s="86" t="str">
        <f>IFERROR(VLOOKUP(B628,'02. MM-KLH'!$B$6:$T$823,6,0),"")</f>
        <v>Xe công vụ 81C-04285</v>
      </c>
      <c r="H628" s="80" t="s">
        <v>6075</v>
      </c>
      <c r="I628" s="80" t="str">
        <f>IFERROR(VLOOKUP(B628,'02. MM-KLH'!$B$6:$T$823,8,0),"")</f>
        <v>Thadicons A&amp;I</v>
      </c>
      <c r="J628" s="99" t="str">
        <f>IFERROR(VLOOKUP(B628,'02. MM-KLH'!$B$6:$T$823,9,0),"")</f>
        <v>Đã qua sử dụng</v>
      </c>
      <c r="K628" s="80" t="str">
        <f>IFERROR(VLOOKUP(B628,'02. MM-KLH'!$B$6:$T$823,10,0),"")</f>
        <v>Bình thường</v>
      </c>
      <c r="L628" s="102" t="str">
        <f>IFERROR(VLOOKUP(B628,'02. MM-KLH'!$B$6:$T$823,11,0),"")</f>
        <v/>
      </c>
      <c r="M628" s="143" t="str">
        <f>IFERROR(VLOOKUP(B628,'02. MM-KLH'!$B$6:$T$823,12,0),"")</f>
        <v/>
      </c>
      <c r="N628" s="108" t="str">
        <f>IFERROR(VLOOKUP(B628,'02. MM-KLH'!$B$6:$T$823,13,0),"")</f>
        <v>ISUZU</v>
      </c>
      <c r="O628" s="108" t="str">
        <f>IFERROR(VLOOKUP(B628,'02. MM-KLH'!$B$6:$T$823,14,0),"")</f>
        <v>NHẬT BẢN </v>
      </c>
      <c r="P628" s="80" t="str">
        <f>IFERROR(VLOOKUP(B628,'02. MM-KLH'!$B$6:$T$823,15,0),"")</f>
        <v/>
      </c>
      <c r="Q628" s="80" t="str">
        <f>IFERROR(VLOOKUP(B628,'02. MM-KLH'!$B$6:$T$823,16,0),"")</f>
        <v/>
      </c>
      <c r="R628" s="106" t="str">
        <f>IFERROR(VLOOKUP(B628,'02. MM-KLH'!$B$6:$T$823,17,0),"")</f>
        <v/>
      </c>
      <c r="S628" s="108" t="str">
        <f>IFERROR(VLOOKUP(B628,'02. MM-KLH'!$B$6:$T$823,18,0),"")</f>
        <v/>
      </c>
      <c r="T628" s="110" t="str">
        <f>IFERROR(VLOOKUP(B628,'02. MM-KLH'!$B$6:$T$823,19,0),"")</f>
        <v/>
      </c>
      <c r="U628" s="130" t="s">
        <v>79</v>
      </c>
    </row>
    <row r="629" ht="13.5" customHeight="1">
      <c r="A629" s="80"/>
      <c r="B629" s="115"/>
      <c r="C629" s="84" t="str">
        <f>IFERROR(VLOOKUP(B629,'02. MM-KLH'!$B$6:$T$823,2,0),"")</f>
        <v/>
      </c>
      <c r="D629" s="95" t="str">
        <f>IFERROR(VLOOKUP(B629,'02. MM-KLH'!$B$6:$T$823,3,0),"")</f>
        <v/>
      </c>
      <c r="E629" s="86" t="str">
        <f>IFERROR(VLOOKUP(B629,'02. MM-KLH'!$B$6:$T$823,4,0),"")</f>
        <v/>
      </c>
      <c r="F629" s="115"/>
      <c r="G629" s="86" t="str">
        <f>IFERROR(VLOOKUP(B629,'02. MM-KLH'!$B$6:$T$823,6,0),"")</f>
        <v/>
      </c>
      <c r="H629" s="80"/>
      <c r="I629" s="80" t="str">
        <f>IFERROR(VLOOKUP(B629,'02. MM-KLH'!$B$6:$T$823,8,0),"")</f>
        <v/>
      </c>
      <c r="J629" s="99" t="str">
        <f>IFERROR(VLOOKUP(B629,'02. MM-KLH'!$B$6:$T$823,9,0),"")</f>
        <v/>
      </c>
      <c r="K629" s="80" t="str">
        <f>IFERROR(VLOOKUP(B629,'02. MM-KLH'!$B$6:$T$823,10,0),"")</f>
        <v/>
      </c>
      <c r="L629" s="102" t="str">
        <f>IFERROR(VLOOKUP(B629,'02. MM-KLH'!$B$6:$T$823,11,0),"")</f>
        <v/>
      </c>
      <c r="M629" s="143" t="str">
        <f>IFERROR(VLOOKUP(B629,'02. MM-KLH'!$B$6:$T$823,12,0),"")</f>
        <v/>
      </c>
      <c r="N629" s="108" t="str">
        <f>IFERROR(VLOOKUP(B629,'02. MM-KLH'!$B$6:$T$823,13,0),"")</f>
        <v/>
      </c>
      <c r="O629" s="108" t="str">
        <f>IFERROR(VLOOKUP(B629,'02. MM-KLH'!$B$6:$T$823,14,0),"")</f>
        <v/>
      </c>
      <c r="P629" s="80" t="str">
        <f>IFERROR(VLOOKUP(B629,'02. MM-KLH'!$B$6:$T$823,15,0),"")</f>
        <v/>
      </c>
      <c r="Q629" s="80" t="str">
        <f>IFERROR(VLOOKUP(B629,'02. MM-KLH'!$B$6:$T$823,16,0),"")</f>
        <v/>
      </c>
      <c r="R629" s="106" t="str">
        <f>IFERROR(VLOOKUP(B629,'02. MM-KLH'!$B$6:$T$823,17,0),"")</f>
        <v/>
      </c>
      <c r="S629" s="108" t="str">
        <f>IFERROR(VLOOKUP(B629,'02. MM-KLH'!$B$6:$T$823,18,0),"")</f>
        <v/>
      </c>
      <c r="T629" s="110" t="str">
        <f>IFERROR(VLOOKUP(B629,'02. MM-KLH'!$B$6:$T$823,19,0),"")</f>
        <v/>
      </c>
      <c r="U629" s="130"/>
    </row>
    <row r="630" ht="13.5" customHeight="1">
      <c r="A630" s="82" t="s">
        <v>76</v>
      </c>
      <c r="B630" s="83" t="s">
        <v>6079</v>
      </c>
      <c r="C630" s="85">
        <f>COUNTA(B631:B679)</f>
        <v>49</v>
      </c>
      <c r="D630" s="85" t="str">
        <f>IFERROR(VLOOKUP(B630,'02. MM-KLH'!$B$6:$T$823,3,0),"")</f>
        <v/>
      </c>
      <c r="E630" s="85" t="str">
        <f>IFERROR(VLOOKUP(B630,'02. MM-KLH'!$B$6:$T$823,4,0),"")</f>
        <v/>
      </c>
      <c r="F630" s="85"/>
      <c r="G630" s="85" t="str">
        <f>IFERROR(VLOOKUP(B630,'02. MM-KLH'!$B$6:$T$823,6,0),"")</f>
        <v/>
      </c>
      <c r="H630" s="85"/>
      <c r="I630" s="85" t="str">
        <f>IFERROR(VLOOKUP(B630,'02. MM-KLH'!$B$6:$T$823,8,0),"")</f>
        <v/>
      </c>
      <c r="J630" s="85" t="str">
        <f>IFERROR(VLOOKUP(B630,'02. MM-KLH'!$B$6:$T$823,9,0),"")</f>
        <v/>
      </c>
      <c r="K630" s="85" t="str">
        <f>IFERROR(VLOOKUP(B630,'02. MM-KLH'!$B$6:$T$823,10,0),"")</f>
        <v/>
      </c>
      <c r="L630" s="85" t="str">
        <f>IFERROR(VLOOKUP(B630,'02. MM-KLH'!$B$6:$T$823,11,0),"")</f>
        <v/>
      </c>
      <c r="M630" s="85" t="str">
        <f>IFERROR(VLOOKUP(B630,'02. MM-KLH'!$B$6:$T$823,12,0),"")</f>
        <v/>
      </c>
      <c r="N630" s="85" t="str">
        <f>IFERROR(VLOOKUP(B630,'02. MM-KLH'!$B$6:$T$823,13,0),"")</f>
        <v/>
      </c>
      <c r="O630" s="85" t="str">
        <f>IFERROR(VLOOKUP(B630,'02. MM-KLH'!$B$6:$T$823,14,0),"")</f>
        <v/>
      </c>
      <c r="P630" s="85" t="str">
        <f>IFERROR(VLOOKUP(B630,'02. MM-KLH'!$B$6:$T$823,15,0),"")</f>
        <v/>
      </c>
      <c r="Q630" s="85" t="str">
        <f>IFERROR(VLOOKUP(B630,'02. MM-KLH'!$B$6:$T$823,16,0),"")</f>
        <v/>
      </c>
      <c r="R630" s="85" t="str">
        <f>IFERROR(VLOOKUP(B630,'02. MM-KLH'!$B$6:$T$823,17,0),"")</f>
        <v/>
      </c>
      <c r="S630" s="85" t="str">
        <f>IFERROR(VLOOKUP(B630,'02. MM-KLH'!$B$6:$T$823,18,0),"")</f>
        <v/>
      </c>
      <c r="T630" s="85" t="str">
        <f>IFERROR(VLOOKUP(B630,'02. MM-KLH'!$B$6:$T$823,19,0),"")</f>
        <v/>
      </c>
      <c r="U630" s="85" t="str">
        <f>IFERROR(VLOOKUP(C630,'02. MM-KLH'!$B$6:$T$823,19,0),"")</f>
        <v/>
      </c>
    </row>
    <row r="631" ht="13.5" customHeight="1">
      <c r="A631" s="95">
        <v>1.0</v>
      </c>
      <c r="B631" s="115" t="s">
        <v>2310</v>
      </c>
      <c r="C631" s="86" t="str">
        <f>IFERROR(VLOOKUP(B631,'02. MM-KLH'!$B$6:$T$823,2,0),"")</f>
        <v>XD1-RBX-001</v>
      </c>
      <c r="D631" s="95" t="str">
        <f>IFERROR(VLOOKUP(B631,'02. MM-KLH'!$B$6:$T$823,3,0),"")</f>
        <v>A24-CT-0171</v>
      </c>
      <c r="E631" s="86" t="str">
        <f>IFERROR(VLOOKUP(B631,'02. MM-KLH'!$B$6:$T$823,4,0),"")</f>
        <v/>
      </c>
      <c r="F631" s="115"/>
      <c r="G631" s="86" t="str">
        <f>IFERROR(VLOOKUP(B631,'02. MM-KLH'!$B$6:$T$823,6,0),"")</f>
        <v>Xe rùa bánh xích HỒNG HÀ</v>
      </c>
      <c r="H631" s="80" t="s">
        <v>6080</v>
      </c>
      <c r="I631" s="80" t="str">
        <f>IFERROR(VLOOKUP(B631,'02. MM-KLH'!$B$6:$T$823,8,0),"")</f>
        <v>XN Bò AD</v>
      </c>
      <c r="J631" s="99">
        <f>IFERROR(VLOOKUP(B631,'02. MM-KLH'!$B$6:$T$823,9,0),"")</f>
        <v>45454</v>
      </c>
      <c r="K631" s="80" t="str">
        <f>IFERROR(VLOOKUP(B631,'02. MM-KLH'!$B$6:$T$823,10,0),"")</f>
        <v>Bình thường</v>
      </c>
      <c r="L631" s="102" t="str">
        <f>IFERROR(VLOOKUP(B631,'02. MM-KLH'!$B$6:$T$823,11,0),"")</f>
        <v/>
      </c>
      <c r="M631" s="143" t="str">
        <f>IFERROR(VLOOKUP(B631,'02. MM-KLH'!$B$6:$T$823,12,0),"")</f>
        <v>Đang hư hỏng nằm ở TTBTSC (CHƯA NHẬN)</v>
      </c>
      <c r="N631" s="108" t="str">
        <f>IFERROR(VLOOKUP(B631,'02. MM-KLH'!$B$6:$T$823,13,0),"")</f>
        <v>HỒNG HÀ</v>
      </c>
      <c r="O631" s="108" t="str">
        <f>IFERROR(VLOOKUP(B631,'02. MM-KLH'!$B$6:$T$823,14,0),"")</f>
        <v>VIỆT NAM</v>
      </c>
      <c r="P631" s="80">
        <f>IFERROR(VLOOKUP(B631,'02. MM-KLH'!$B$6:$T$823,15,0),"")</f>
        <v>2024</v>
      </c>
      <c r="Q631" s="80" t="str">
        <f>IFERROR(VLOOKUP(B631,'02. MM-KLH'!$B$6:$T$823,16,0),"")</f>
        <v>4L6819010</v>
      </c>
      <c r="R631" s="106" t="str">
        <f>IFERROR(VLOOKUP(B631,'02. MM-KLH'!$B$6:$T$823,17,0),"")</f>
        <v>87HP</v>
      </c>
      <c r="S631" s="108" t="str">
        <f>IFERROR(VLOOKUP(B631,'02. MM-KLH'!$B$6:$T$823,18,0),"")</f>
        <v>RYTJU32C2NA178540</v>
      </c>
      <c r="T631" s="110">
        <f>IFERROR(VLOOKUP(B631,'02. MM-KLH'!$B$6:$T$823,19,0),"")</f>
        <v>410203</v>
      </c>
      <c r="U631" s="130" t="s">
        <v>235</v>
      </c>
    </row>
    <row r="632" ht="13.5" customHeight="1">
      <c r="A632" s="95">
        <f t="shared" ref="A632:A679" si="31">1+A631</f>
        <v>2</v>
      </c>
      <c r="B632" s="115" t="s">
        <v>1518</v>
      </c>
      <c r="C632" s="86" t="str">
        <f>IFERROR(VLOOKUP(B632,'02. MM-KLH'!$B$6:$T$823,2,0),"")</f>
        <v/>
      </c>
      <c r="D632" s="95" t="str">
        <f>IFERROR(VLOOKUP(B632,'02. MM-KLH'!$B$6:$T$823,3,0),"")</f>
        <v>ATM-A23-0128</v>
      </c>
      <c r="E632" s="86" t="str">
        <f>IFERROR(VLOOKUP(B632,'02. MM-KLH'!$B$6:$T$823,4,0),"")</f>
        <v/>
      </c>
      <c r="F632" s="784"/>
      <c r="G632" s="86" t="str">
        <f>IFERROR(VLOOKUP(B632,'02. MM-KLH'!$B$6:$T$823,6,0),"")</f>
        <v>Xe rùa bánh xích HỒNG HÀ</v>
      </c>
      <c r="H632" s="80" t="s">
        <v>6080</v>
      </c>
      <c r="I632" s="80" t="str">
        <f>IFERROR(VLOOKUP(B632,'02. MM-KLH'!$B$6:$T$823,8,0),"")</f>
        <v>XN Chuối LP3</v>
      </c>
      <c r="J632" s="99">
        <f>IFERROR(VLOOKUP(B632,'02. MM-KLH'!$B$6:$T$823,9,0),"")</f>
        <v>45577</v>
      </c>
      <c r="K632" s="80" t="str">
        <f>IFERROR(VLOOKUP(B632,'02. MM-KLH'!$B$6:$T$823,10,0),"")</f>
        <v>Bình thường</v>
      </c>
      <c r="L632" s="102" t="str">
        <f>IFERROR(VLOOKUP(B632,'02. MM-KLH'!$B$6:$T$823,11,0),"")</f>
        <v/>
      </c>
      <c r="M632" s="143" t="str">
        <f>IFERROR(VLOOKUP(B632,'02. MM-KLH'!$B$6:$T$823,12,0),"")</f>
        <v>Đầu tư mới</v>
      </c>
      <c r="N632" s="108" t="str">
        <f>IFERROR(VLOOKUP(B632,'02. MM-KLH'!$B$6:$T$823,13,0),"")</f>
        <v>HỒNG HÀ</v>
      </c>
      <c r="O632" s="108" t="str">
        <f>IFERROR(VLOOKUP(B632,'02. MM-KLH'!$B$6:$T$823,14,0),"")</f>
        <v>VIỆT NAM</v>
      </c>
      <c r="P632" s="80">
        <f>IFERROR(VLOOKUP(B632,'02. MM-KLH'!$B$6:$T$823,15,0),"")</f>
        <v>2024</v>
      </c>
      <c r="Q632" s="80" t="str">
        <f>IFERROR(VLOOKUP(B632,'02. MM-KLH'!$B$6:$T$823,16,0),"")</f>
        <v>4L6819010 (động cơ diesel)</v>
      </c>
      <c r="R632" s="106" t="str">
        <f>IFERROR(VLOOKUP(B632,'02. MM-KLH'!$B$6:$T$823,17,0),"")</f>
        <v>67HP</v>
      </c>
      <c r="S632" s="108" t="str">
        <f>IFERROR(VLOOKUP(B632,'02. MM-KLH'!$B$6:$T$823,18,0),"")</f>
        <v>TCYUN54A1JR278360</v>
      </c>
      <c r="T632" s="110" t="str">
        <f>IFERROR(VLOOKUP(B632,'02. MM-KLH'!$B$6:$T$823,19,0),"")</f>
        <v>C43101509A</v>
      </c>
      <c r="U632" s="130" t="s">
        <v>235</v>
      </c>
    </row>
    <row r="633" ht="13.5" customHeight="1">
      <c r="A633" s="95">
        <f t="shared" si="31"/>
        <v>3</v>
      </c>
      <c r="B633" s="115" t="s">
        <v>2317</v>
      </c>
      <c r="C633" s="86" t="str">
        <f>IFERROR(VLOOKUP(B633,'02. MM-KLH'!$B$6:$T$823,2,0),"")</f>
        <v/>
      </c>
      <c r="D633" s="95" t="str">
        <f>IFERROR(VLOOKUP(B633,'02. MM-KLH'!$B$6:$T$823,3,0),"")</f>
        <v/>
      </c>
      <c r="E633" s="86" t="str">
        <f>IFERROR(VLOOKUP(B633,'02. MM-KLH'!$B$6:$T$823,4,0),"")</f>
        <v/>
      </c>
      <c r="F633" s="115"/>
      <c r="G633" s="86" t="str">
        <f>IFERROR(VLOOKUP(B633,'02. MM-KLH'!$B$6:$T$823,6,0),"")</f>
        <v>Xe rùa bánh xích HỒNG HÀ</v>
      </c>
      <c r="H633" s="80" t="s">
        <v>6080</v>
      </c>
      <c r="I633" s="80" t="str">
        <f>IFERROR(VLOOKUP(B633,'02. MM-KLH'!$B$6:$T$823,8,0),"")</f>
        <v>XN Bò AD</v>
      </c>
      <c r="J633" s="99" t="str">
        <f>IFERROR(VLOOKUP(B633,'02. MM-KLH'!$B$6:$T$823,9,0),"")</f>
        <v/>
      </c>
      <c r="K633" s="80" t="str">
        <f>IFERROR(VLOOKUP(B633,'02. MM-KLH'!$B$6:$T$823,10,0),"")</f>
        <v>Bình thường</v>
      </c>
      <c r="L633" s="102" t="str">
        <f>IFERROR(VLOOKUP(B633,'02. MM-KLH'!$B$6:$T$823,11,0),"")</f>
        <v/>
      </c>
      <c r="M633" s="143" t="str">
        <f>IFERROR(VLOOKUP(B633,'02. MM-KLH'!$B$6:$T$823,12,0),"")</f>
        <v>Đang hư hỏng nằm ở TTBTSC (CHƯA NHẬN)</v>
      </c>
      <c r="N633" s="108" t="str">
        <f>IFERROR(VLOOKUP(B633,'02. MM-KLH'!$B$6:$T$823,13,0),"")</f>
        <v>HỒNG HÀ</v>
      </c>
      <c r="O633" s="108" t="str">
        <f>IFERROR(VLOOKUP(B633,'02. MM-KLH'!$B$6:$T$823,14,0),"")</f>
        <v>VIỆT NAM</v>
      </c>
      <c r="P633" s="80">
        <f>IFERROR(VLOOKUP(B633,'02. MM-KLH'!$B$6:$T$823,15,0),"")</f>
        <v>2024</v>
      </c>
      <c r="Q633" s="80" t="str">
        <f>IFERROR(VLOOKUP(B633,'02. MM-KLH'!$B$6:$T$823,16,0),"")</f>
        <v>4L6819010 (động cơ diesel)</v>
      </c>
      <c r="R633" s="106" t="str">
        <f>IFERROR(VLOOKUP(B633,'02. MM-KLH'!$B$6:$T$823,17,0),"")</f>
        <v>67HP</v>
      </c>
      <c r="S633" s="108" t="str">
        <f>IFERROR(VLOOKUP(B633,'02. MM-KLH'!$B$6:$T$823,18,0),"")</f>
        <v>Không có</v>
      </c>
      <c r="T633" s="110" t="str">
        <f>IFERROR(VLOOKUP(B633,'02. MM-KLH'!$B$6:$T$823,19,0),"")</f>
        <v>C43101511A</v>
      </c>
      <c r="U633" s="130" t="s">
        <v>235</v>
      </c>
    </row>
    <row r="634" ht="13.5" customHeight="1">
      <c r="A634" s="95">
        <f t="shared" si="31"/>
        <v>4</v>
      </c>
      <c r="B634" s="115" t="s">
        <v>2324</v>
      </c>
      <c r="C634" s="86" t="str">
        <f>IFERROR(VLOOKUP(B634,'02. MM-KLH'!$B$6:$T$823,2,0),"")</f>
        <v/>
      </c>
      <c r="D634" s="95" t="str">
        <f>IFERROR(VLOOKUP(B634,'02. MM-KLH'!$B$6:$T$823,3,0),"")</f>
        <v>A22-RBX-004</v>
      </c>
      <c r="E634" s="86" t="str">
        <f>IFERROR(VLOOKUP(B634,'02. MM-KLH'!$B$6:$T$823,4,0),"")</f>
        <v/>
      </c>
      <c r="F634" s="115"/>
      <c r="G634" s="86" t="str">
        <f>IFERROR(VLOOKUP(B634,'02. MM-KLH'!$B$6:$T$823,6,0),"")</f>
        <v>Xe rùa bánh xích MST2000</v>
      </c>
      <c r="H634" s="80" t="s">
        <v>6080</v>
      </c>
      <c r="I634" s="80" t="str">
        <f>IFERROR(VLOOKUP(B634,'02. MM-KLH'!$B$6:$T$823,8,0),"")</f>
        <v>XN Bò AD</v>
      </c>
      <c r="J634" s="99">
        <f>IFERROR(VLOOKUP(B634,'02. MM-KLH'!$B$6:$T$823,9,0),"")</f>
        <v>45785</v>
      </c>
      <c r="K634" s="80" t="str">
        <f>IFERROR(VLOOKUP(B634,'02. MM-KLH'!$B$6:$T$823,10,0),"")</f>
        <v>Bình thường</v>
      </c>
      <c r="L634" s="102" t="str">
        <f>IFERROR(VLOOKUP(B634,'02. MM-KLH'!$B$6:$T$823,11,0),"")</f>
        <v/>
      </c>
      <c r="M634" s="143" t="str">
        <f>IFERROR(VLOOKUP(B634,'02. MM-KLH'!$B$6:$T$823,12,0),"")</f>
        <v>-</v>
      </c>
      <c r="N634" s="108" t="str">
        <f>IFERROR(VLOOKUP(B634,'02. MM-KLH'!$B$6:$T$823,13,0),"")</f>
        <v>MOROOKA</v>
      </c>
      <c r="O634" s="108" t="str">
        <f>IFERROR(VLOOKUP(B634,'02. MM-KLH'!$B$6:$T$823,14,0),"")</f>
        <v/>
      </c>
      <c r="P634" s="80" t="str">
        <f>IFERROR(VLOOKUP(B634,'02. MM-KLH'!$B$6:$T$823,15,0),"")</f>
        <v/>
      </c>
      <c r="Q634" s="80" t="str">
        <f>IFERROR(VLOOKUP(B634,'02. MM-KLH'!$B$6:$T$823,16,0),"")</f>
        <v>MST2000</v>
      </c>
      <c r="R634" s="106" t="str">
        <f>IFERROR(VLOOKUP(B634,'02. MM-KLH'!$B$6:$T$823,17,0),"")</f>
        <v>236HP</v>
      </c>
      <c r="S634" s="108">
        <f>IFERROR(VLOOKUP(B634,'02. MM-KLH'!$B$6:$T$823,18,0),"")</f>
        <v>20265</v>
      </c>
      <c r="T634" s="110" t="str">
        <f>IFERROR(VLOOKUP(B634,'02. MM-KLH'!$B$6:$T$823,19,0),"")</f>
        <v>6D110160178</v>
      </c>
      <c r="U634" s="130" t="s">
        <v>235</v>
      </c>
    </row>
    <row r="635" ht="13.5" customHeight="1">
      <c r="A635" s="95">
        <f t="shared" si="31"/>
        <v>5</v>
      </c>
      <c r="B635" s="115" t="s">
        <v>2330</v>
      </c>
      <c r="C635" s="86" t="str">
        <f>IFERROR(VLOOKUP(B635,'02. MM-KLH'!$B$6:$T$823,2,0),"")</f>
        <v/>
      </c>
      <c r="D635" s="95" t="str">
        <f>IFERROR(VLOOKUP(B635,'02. MM-KLH'!$B$6:$T$823,3,0),"")</f>
        <v>A22-RBX-005</v>
      </c>
      <c r="E635" s="86" t="str">
        <f>IFERROR(VLOOKUP(B635,'02. MM-KLH'!$B$6:$T$823,4,0),"")</f>
        <v/>
      </c>
      <c r="F635" s="115"/>
      <c r="G635" s="86" t="str">
        <f>IFERROR(VLOOKUP(B635,'02. MM-KLH'!$B$6:$T$823,6,0),"")</f>
        <v>Xe rùa bánh xích MST700E</v>
      </c>
      <c r="H635" s="80" t="s">
        <v>6080</v>
      </c>
      <c r="I635" s="80" t="str">
        <f>IFERROR(VLOOKUP(B635,'02. MM-KLH'!$B$6:$T$823,8,0),"")</f>
        <v>XN Bò AD</v>
      </c>
      <c r="J635" s="99">
        <f>IFERROR(VLOOKUP(B635,'02. MM-KLH'!$B$6:$T$823,9,0),"")</f>
        <v>45785</v>
      </c>
      <c r="K635" s="80" t="str">
        <f>IFERROR(VLOOKUP(B635,'02. MM-KLH'!$B$6:$T$823,10,0),"")</f>
        <v>Bình thường</v>
      </c>
      <c r="L635" s="102" t="str">
        <f>IFERROR(VLOOKUP(B635,'02. MM-KLH'!$B$6:$T$823,11,0),"")</f>
        <v/>
      </c>
      <c r="M635" s="143" t="str">
        <f>IFERROR(VLOOKUP(B635,'02. MM-KLH'!$B$6:$T$823,12,0),"")</f>
        <v>-</v>
      </c>
      <c r="N635" s="108" t="str">
        <f>IFERROR(VLOOKUP(B635,'02. MM-KLH'!$B$6:$T$823,13,0),"")</f>
        <v>MOROOKA</v>
      </c>
      <c r="O635" s="108" t="str">
        <f>IFERROR(VLOOKUP(B635,'02. MM-KLH'!$B$6:$T$823,14,0),"")</f>
        <v/>
      </c>
      <c r="P635" s="80">
        <f>IFERROR(VLOOKUP(B635,'02. MM-KLH'!$B$6:$T$823,15,0),"")</f>
        <v>1988</v>
      </c>
      <c r="Q635" s="80" t="str">
        <f>IFERROR(VLOOKUP(B635,'02. MM-KLH'!$B$6:$T$823,16,0),"")</f>
        <v>MST700E</v>
      </c>
      <c r="R635" s="106" t="str">
        <f>IFERROR(VLOOKUP(B635,'02. MM-KLH'!$B$6:$T$823,17,0),"")</f>
        <v>90HP</v>
      </c>
      <c r="S635" s="108">
        <f>IFERROR(VLOOKUP(B635,'02. MM-KLH'!$B$6:$T$823,18,0),"")</f>
        <v>701114</v>
      </c>
      <c r="T635" s="110" t="str">
        <f>IFERROR(VLOOKUP(B635,'02. MM-KLH'!$B$6:$T$823,19,0),"")</f>
        <v>4D95L177865</v>
      </c>
      <c r="U635" s="130" t="s">
        <v>235</v>
      </c>
    </row>
    <row r="636" ht="13.5" customHeight="1">
      <c r="A636" s="95">
        <f t="shared" si="31"/>
        <v>6</v>
      </c>
      <c r="B636" s="115" t="s">
        <v>2336</v>
      </c>
      <c r="C636" s="86" t="str">
        <f>IFERROR(VLOOKUP(B636,'02. MM-KLH'!$B$6:$T$823,2,0),"")</f>
        <v/>
      </c>
      <c r="D636" s="95" t="str">
        <f>IFERROR(VLOOKUP(B636,'02. MM-KLH'!$B$6:$T$823,3,0),"")</f>
        <v>A22-CRZ-001</v>
      </c>
      <c r="E636" s="86" t="str">
        <f>IFERROR(VLOOKUP(B636,'02. MM-KLH'!$B$6:$T$823,4,0),"")</f>
        <v/>
      </c>
      <c r="F636" s="115"/>
      <c r="G636" s="86" t="str">
        <f>IFERROR(VLOOKUP(B636,'02. MM-KLH'!$B$6:$T$823,6,0),"")</f>
        <v>Máy thu hoạch cỏ Ruzi</v>
      </c>
      <c r="H636" s="80" t="s">
        <v>6080</v>
      </c>
      <c r="I636" s="80" t="str">
        <f>IFERROR(VLOOKUP(B636,'02. MM-KLH'!$B$6:$T$823,8,0),"")</f>
        <v>XN Bò AD</v>
      </c>
      <c r="J636" s="99">
        <f>IFERROR(VLOOKUP(B636,'02. MM-KLH'!$B$6:$T$823,9,0),"")</f>
        <v>45669</v>
      </c>
      <c r="K636" s="80" t="str">
        <f>IFERROR(VLOOKUP(B636,'02. MM-KLH'!$B$6:$T$823,10,0),"")</f>
        <v>Bình thường</v>
      </c>
      <c r="L636" s="102" t="str">
        <f>IFERROR(VLOOKUP(B636,'02. MM-KLH'!$B$6:$T$823,11,0),"")</f>
        <v/>
      </c>
      <c r="M636" s="143" t="str">
        <f>IFERROR(VLOOKUP(B636,'02. MM-KLH'!$B$6:$T$823,12,0),"")</f>
        <v>Đầu tư mới</v>
      </c>
      <c r="N636" s="108" t="str">
        <f>IFERROR(VLOOKUP(B636,'02. MM-KLH'!$B$6:$T$823,13,0),"")</f>
        <v>HONDA</v>
      </c>
      <c r="O636" s="108" t="str">
        <f>IFERROR(VLOOKUP(B636,'02. MM-KLH'!$B$6:$T$823,14,0),"")</f>
        <v>THÁI LAN</v>
      </c>
      <c r="P636" s="80">
        <f>IFERROR(VLOOKUP(B636,'02. MM-KLH'!$B$6:$T$823,15,0),"")</f>
        <v>2025</v>
      </c>
      <c r="Q636" s="80" t="str">
        <f>IFERROR(VLOOKUP(B636,'02. MM-KLH'!$B$6:$T$823,16,0),"")</f>
        <v>GX35T</v>
      </c>
      <c r="R636" s="106" t="str">
        <f>IFERROR(VLOOKUP(B636,'02. MM-KLH'!$B$6:$T$823,17,0),"")</f>
        <v>1.34HP</v>
      </c>
      <c r="S636" s="108" t="str">
        <f>IFERROR(VLOOKUP(B636,'02. MM-KLH'!$B$6:$T$823,18,0),"")</f>
        <v>CCN</v>
      </c>
      <c r="T636" s="110" t="str">
        <f>IFERROR(VLOOKUP(B636,'02. MM-KLH'!$B$6:$T$823,19,0),"")</f>
        <v>CCN</v>
      </c>
      <c r="U636" s="130" t="s">
        <v>2301</v>
      </c>
    </row>
    <row r="637" ht="13.5" customHeight="1">
      <c r="A637" s="95">
        <f t="shared" si="31"/>
        <v>7</v>
      </c>
      <c r="B637" s="115" t="s">
        <v>2342</v>
      </c>
      <c r="C637" s="86" t="str">
        <f>IFERROR(VLOOKUP(B637,'02. MM-KLH'!$B$6:$T$823,2,0),"")</f>
        <v/>
      </c>
      <c r="D637" s="95" t="str">
        <f>IFERROR(VLOOKUP(B637,'02. MM-KLH'!$B$6:$T$823,3,0),"")</f>
        <v>A22-CRZ-001</v>
      </c>
      <c r="E637" s="86" t="str">
        <f>IFERROR(VLOOKUP(B637,'02. MM-KLH'!$B$6:$T$823,4,0),"")</f>
        <v/>
      </c>
      <c r="F637" s="115"/>
      <c r="G637" s="86" t="str">
        <f>IFERROR(VLOOKUP(B637,'02. MM-KLH'!$B$6:$T$823,6,0),"")</f>
        <v>Máy thu hoạch cỏ Ruzi</v>
      </c>
      <c r="H637" s="80" t="s">
        <v>6080</v>
      </c>
      <c r="I637" s="80" t="str">
        <f>IFERROR(VLOOKUP(B637,'02. MM-KLH'!$B$6:$T$823,8,0),"")</f>
        <v>XN Bò AD</v>
      </c>
      <c r="J637" s="99">
        <f>IFERROR(VLOOKUP(B637,'02. MM-KLH'!$B$6:$T$823,9,0),"")</f>
        <v>45669</v>
      </c>
      <c r="K637" s="80" t="str">
        <f>IFERROR(VLOOKUP(B637,'02. MM-KLH'!$B$6:$T$823,10,0),"")</f>
        <v>Bình thường</v>
      </c>
      <c r="L637" s="102" t="str">
        <f>IFERROR(VLOOKUP(B637,'02. MM-KLH'!$B$6:$T$823,11,0),"")</f>
        <v/>
      </c>
      <c r="M637" s="143" t="str">
        <f>IFERROR(VLOOKUP(B637,'02. MM-KLH'!$B$6:$T$823,12,0),"")</f>
        <v>Đầu tư mới</v>
      </c>
      <c r="N637" s="108" t="str">
        <f>IFERROR(VLOOKUP(B637,'02. MM-KLH'!$B$6:$T$823,13,0),"")</f>
        <v>HONDA</v>
      </c>
      <c r="O637" s="108" t="str">
        <f>IFERROR(VLOOKUP(B637,'02. MM-KLH'!$B$6:$T$823,14,0),"")</f>
        <v>THÁI LAN</v>
      </c>
      <c r="P637" s="80">
        <f>IFERROR(VLOOKUP(B637,'02. MM-KLH'!$B$6:$T$823,15,0),"")</f>
        <v>2025</v>
      </c>
      <c r="Q637" s="80" t="str">
        <f>IFERROR(VLOOKUP(B637,'02. MM-KLH'!$B$6:$T$823,16,0),"")</f>
        <v>GX35T</v>
      </c>
      <c r="R637" s="106" t="str">
        <f>IFERROR(VLOOKUP(B637,'02. MM-KLH'!$B$6:$T$823,17,0),"")</f>
        <v>1.34HP</v>
      </c>
      <c r="S637" s="108" t="str">
        <f>IFERROR(VLOOKUP(B637,'02. MM-KLH'!$B$6:$T$823,18,0),"")</f>
        <v>CCN</v>
      </c>
      <c r="T637" s="110" t="str">
        <f>IFERROR(VLOOKUP(B637,'02. MM-KLH'!$B$6:$T$823,19,0),"")</f>
        <v>CCN</v>
      </c>
      <c r="U637" s="130" t="s">
        <v>2301</v>
      </c>
    </row>
    <row r="638" ht="13.5" customHeight="1">
      <c r="A638" s="95">
        <f t="shared" si="31"/>
        <v>8</v>
      </c>
      <c r="B638" s="115" t="s">
        <v>2343</v>
      </c>
      <c r="C638" s="86" t="str">
        <f>IFERROR(VLOOKUP(B638,'02. MM-KLH'!$B$6:$T$823,2,0),"")</f>
        <v/>
      </c>
      <c r="D638" s="95" t="str">
        <f>IFERROR(VLOOKUP(B638,'02. MM-KLH'!$B$6:$T$823,3,0),"")</f>
        <v>A22-CRZ-001</v>
      </c>
      <c r="E638" s="86" t="str">
        <f>IFERROR(VLOOKUP(B638,'02. MM-KLH'!$B$6:$T$823,4,0),"")</f>
        <v/>
      </c>
      <c r="F638" s="115"/>
      <c r="G638" s="86" t="str">
        <f>IFERROR(VLOOKUP(B638,'02. MM-KLH'!$B$6:$T$823,6,0),"")</f>
        <v>Máy thu hoạch cỏ Ruzi</v>
      </c>
      <c r="H638" s="80" t="s">
        <v>6080</v>
      </c>
      <c r="I638" s="80" t="str">
        <f>IFERROR(VLOOKUP(B638,'02. MM-KLH'!$B$6:$T$823,8,0),"")</f>
        <v>XN Bò AD</v>
      </c>
      <c r="J638" s="99">
        <f>IFERROR(VLOOKUP(B638,'02. MM-KLH'!$B$6:$T$823,9,0),"")</f>
        <v>45669</v>
      </c>
      <c r="K638" s="80" t="str">
        <f>IFERROR(VLOOKUP(B638,'02. MM-KLH'!$B$6:$T$823,10,0),"")</f>
        <v>Bình thường</v>
      </c>
      <c r="L638" s="102" t="str">
        <f>IFERROR(VLOOKUP(B638,'02. MM-KLH'!$B$6:$T$823,11,0),"")</f>
        <v/>
      </c>
      <c r="M638" s="143" t="str">
        <f>IFERROR(VLOOKUP(B638,'02. MM-KLH'!$B$6:$T$823,12,0),"")</f>
        <v>Đầu tư mới</v>
      </c>
      <c r="N638" s="108" t="str">
        <f>IFERROR(VLOOKUP(B638,'02. MM-KLH'!$B$6:$T$823,13,0),"")</f>
        <v>HONDA</v>
      </c>
      <c r="O638" s="108" t="str">
        <f>IFERROR(VLOOKUP(B638,'02. MM-KLH'!$B$6:$T$823,14,0),"")</f>
        <v>THÁI LAN</v>
      </c>
      <c r="P638" s="80">
        <f>IFERROR(VLOOKUP(B638,'02. MM-KLH'!$B$6:$T$823,15,0),"")</f>
        <v>2025</v>
      </c>
      <c r="Q638" s="80" t="str">
        <f>IFERROR(VLOOKUP(B638,'02. MM-KLH'!$B$6:$T$823,16,0),"")</f>
        <v>GX35T</v>
      </c>
      <c r="R638" s="106" t="str">
        <f>IFERROR(VLOOKUP(B638,'02. MM-KLH'!$B$6:$T$823,17,0),"")</f>
        <v>1.34HP</v>
      </c>
      <c r="S638" s="108" t="str">
        <f>IFERROR(VLOOKUP(B638,'02. MM-KLH'!$B$6:$T$823,18,0),"")</f>
        <v>CCN</v>
      </c>
      <c r="T638" s="110" t="str">
        <f>IFERROR(VLOOKUP(B638,'02. MM-KLH'!$B$6:$T$823,19,0),"")</f>
        <v>CCN</v>
      </c>
      <c r="U638" s="130" t="s">
        <v>2301</v>
      </c>
    </row>
    <row r="639" ht="13.5" customHeight="1">
      <c r="A639" s="95">
        <f t="shared" si="31"/>
        <v>9</v>
      </c>
      <c r="B639" s="115" t="s">
        <v>2344</v>
      </c>
      <c r="C639" s="86" t="str">
        <f>IFERROR(VLOOKUP(B639,'02. MM-KLH'!$B$6:$T$823,2,0),"")</f>
        <v/>
      </c>
      <c r="D639" s="95" t="str">
        <f>IFERROR(VLOOKUP(B639,'02. MM-KLH'!$B$6:$T$823,3,0),"")</f>
        <v>A22-CRZ-001</v>
      </c>
      <c r="E639" s="86" t="str">
        <f>IFERROR(VLOOKUP(B639,'02. MM-KLH'!$B$6:$T$823,4,0),"")</f>
        <v/>
      </c>
      <c r="F639" s="115"/>
      <c r="G639" s="86" t="str">
        <f>IFERROR(VLOOKUP(B639,'02. MM-KLH'!$B$6:$T$823,6,0),"")</f>
        <v>Máy thu hoạch cỏ Ruzi</v>
      </c>
      <c r="H639" s="80" t="s">
        <v>6080</v>
      </c>
      <c r="I639" s="80" t="str">
        <f>IFERROR(VLOOKUP(B639,'02. MM-KLH'!$B$6:$T$823,8,0),"")</f>
        <v>XN Bò AD</v>
      </c>
      <c r="J639" s="99">
        <f>IFERROR(VLOOKUP(B639,'02. MM-KLH'!$B$6:$T$823,9,0),"")</f>
        <v>45669</v>
      </c>
      <c r="K639" s="80" t="str">
        <f>IFERROR(VLOOKUP(B639,'02. MM-KLH'!$B$6:$T$823,10,0),"")</f>
        <v>Bình thường</v>
      </c>
      <c r="L639" s="102" t="str">
        <f>IFERROR(VLOOKUP(B639,'02. MM-KLH'!$B$6:$T$823,11,0),"")</f>
        <v/>
      </c>
      <c r="M639" s="143" t="str">
        <f>IFERROR(VLOOKUP(B639,'02. MM-KLH'!$B$6:$T$823,12,0),"")</f>
        <v>Đầu tư mới</v>
      </c>
      <c r="N639" s="108" t="str">
        <f>IFERROR(VLOOKUP(B639,'02. MM-KLH'!$B$6:$T$823,13,0),"")</f>
        <v>HONDA</v>
      </c>
      <c r="O639" s="108" t="str">
        <f>IFERROR(VLOOKUP(B639,'02. MM-KLH'!$B$6:$T$823,14,0),"")</f>
        <v>THÁI LAN</v>
      </c>
      <c r="P639" s="80">
        <f>IFERROR(VLOOKUP(B639,'02. MM-KLH'!$B$6:$T$823,15,0),"")</f>
        <v>2025</v>
      </c>
      <c r="Q639" s="80" t="str">
        <f>IFERROR(VLOOKUP(B639,'02. MM-KLH'!$B$6:$T$823,16,0),"")</f>
        <v>GX35T</v>
      </c>
      <c r="R639" s="106" t="str">
        <f>IFERROR(VLOOKUP(B639,'02. MM-KLH'!$B$6:$T$823,17,0),"")</f>
        <v>1.34HP</v>
      </c>
      <c r="S639" s="108" t="str">
        <f>IFERROR(VLOOKUP(B639,'02. MM-KLH'!$B$6:$T$823,18,0),"")</f>
        <v>CCN</v>
      </c>
      <c r="T639" s="110" t="str">
        <f>IFERROR(VLOOKUP(B639,'02. MM-KLH'!$B$6:$T$823,19,0),"")</f>
        <v>CCN</v>
      </c>
      <c r="U639" s="130" t="s">
        <v>2301</v>
      </c>
    </row>
    <row r="640" ht="13.5" customHeight="1">
      <c r="A640" s="95">
        <f t="shared" si="31"/>
        <v>10</v>
      </c>
      <c r="B640" s="115" t="s">
        <v>2345</v>
      </c>
      <c r="C640" s="86" t="str">
        <f>IFERROR(VLOOKUP(B640,'02. MM-KLH'!$B$6:$T$823,2,0),"")</f>
        <v/>
      </c>
      <c r="D640" s="95" t="str">
        <f>IFERROR(VLOOKUP(B640,'02. MM-KLH'!$B$6:$T$823,3,0),"")</f>
        <v>A22-CRZ-001</v>
      </c>
      <c r="E640" s="86" t="str">
        <f>IFERROR(VLOOKUP(B640,'02. MM-KLH'!$B$6:$T$823,4,0),"")</f>
        <v/>
      </c>
      <c r="F640" s="115"/>
      <c r="G640" s="86" t="str">
        <f>IFERROR(VLOOKUP(B640,'02. MM-KLH'!$B$6:$T$823,6,0),"")</f>
        <v>Máy thu hoạch cỏ Ruzi</v>
      </c>
      <c r="H640" s="80" t="s">
        <v>6080</v>
      </c>
      <c r="I640" s="80" t="str">
        <f>IFERROR(VLOOKUP(B640,'02. MM-KLH'!$B$6:$T$823,8,0),"")</f>
        <v>XN Bò AD</v>
      </c>
      <c r="J640" s="99">
        <f>IFERROR(VLOOKUP(B640,'02. MM-KLH'!$B$6:$T$823,9,0),"")</f>
        <v>45669</v>
      </c>
      <c r="K640" s="80" t="str">
        <f>IFERROR(VLOOKUP(B640,'02. MM-KLH'!$B$6:$T$823,10,0),"")</f>
        <v>Bình thường</v>
      </c>
      <c r="L640" s="102" t="str">
        <f>IFERROR(VLOOKUP(B640,'02. MM-KLH'!$B$6:$T$823,11,0),"")</f>
        <v/>
      </c>
      <c r="M640" s="143" t="str">
        <f>IFERROR(VLOOKUP(B640,'02. MM-KLH'!$B$6:$T$823,12,0),"")</f>
        <v>Đầu tư mới</v>
      </c>
      <c r="N640" s="108" t="str">
        <f>IFERROR(VLOOKUP(B640,'02. MM-KLH'!$B$6:$T$823,13,0),"")</f>
        <v>HONDA</v>
      </c>
      <c r="O640" s="108" t="str">
        <f>IFERROR(VLOOKUP(B640,'02. MM-KLH'!$B$6:$T$823,14,0),"")</f>
        <v>THÁI LAN</v>
      </c>
      <c r="P640" s="80">
        <f>IFERROR(VLOOKUP(B640,'02. MM-KLH'!$B$6:$T$823,15,0),"")</f>
        <v>2025</v>
      </c>
      <c r="Q640" s="80" t="str">
        <f>IFERROR(VLOOKUP(B640,'02. MM-KLH'!$B$6:$T$823,16,0),"")</f>
        <v>GX35T</v>
      </c>
      <c r="R640" s="106" t="str">
        <f>IFERROR(VLOOKUP(B640,'02. MM-KLH'!$B$6:$T$823,17,0),"")</f>
        <v>1.34HP</v>
      </c>
      <c r="S640" s="108" t="str">
        <f>IFERROR(VLOOKUP(B640,'02. MM-KLH'!$B$6:$T$823,18,0),"")</f>
        <v>CCN</v>
      </c>
      <c r="T640" s="110" t="str">
        <f>IFERROR(VLOOKUP(B640,'02. MM-KLH'!$B$6:$T$823,19,0),"")</f>
        <v>CCN</v>
      </c>
      <c r="U640" s="130" t="s">
        <v>2301</v>
      </c>
    </row>
    <row r="641" ht="13.5" customHeight="1">
      <c r="A641" s="95">
        <f t="shared" si="31"/>
        <v>11</v>
      </c>
      <c r="B641" s="113" t="s">
        <v>964</v>
      </c>
      <c r="C641" s="86" t="str">
        <f>IFERROR(VLOOKUP(B641,'02. MM-KLH'!$B$6:$T$823,2,0),"")</f>
        <v/>
      </c>
      <c r="D641" s="95" t="str">
        <f>IFERROR(VLOOKUP(B641,'02. MM-KLH'!$B$6:$T$823,3,0),"")</f>
        <v>A23-CCM-001</v>
      </c>
      <c r="E641" s="86" t="str">
        <f>IFERROR(VLOOKUP(B641,'02. MM-KLH'!$B$6:$T$823,4,0),"")</f>
        <v/>
      </c>
      <c r="F641" s="115"/>
      <c r="G641" s="86" t="str">
        <f>IFERROR(VLOOKUP(B641,'02. MM-KLH'!$B$6:$T$823,6,0),"")</f>
        <v>Máy cắt cỏ mini Yanmar</v>
      </c>
      <c r="H641" s="80" t="s">
        <v>6187</v>
      </c>
      <c r="I641" s="80" t="str">
        <f>IFERROR(VLOOKUP(B641,'02. MM-KLH'!$B$6:$T$823,8,0),"")</f>
        <v>XN Chuối DP1</v>
      </c>
      <c r="J641" s="99" t="str">
        <f>IFERROR(VLOOKUP(B641,'02. MM-KLH'!$B$6:$T$823,9,0),"")</f>
        <v>30/07/2024</v>
      </c>
      <c r="K641" s="80" t="str">
        <f>IFERROR(VLOOKUP(B641,'02. MM-KLH'!$B$6:$T$823,10,0),"")</f>
        <v>Bình thường</v>
      </c>
      <c r="L641" s="102">
        <f>IFERROR(VLOOKUP(B641,'02. MM-KLH'!$B$6:$T$823,11,0),"")</f>
        <v>0.7</v>
      </c>
      <c r="M641" s="143" t="str">
        <f>IFERROR(VLOOKUP(B641,'02. MM-KLH'!$B$6:$T$823,12,0),"")</f>
        <v>Bàn giao về XN DP1 ngày 30/07/2024 </v>
      </c>
      <c r="N641" s="108" t="str">
        <f>IFERROR(VLOOKUP(B641,'02. MM-KLH'!$B$6:$T$823,13,0),"")</f>
        <v>YANMAR</v>
      </c>
      <c r="O641" s="108" t="str">
        <f>IFERROR(VLOOKUP(B641,'02. MM-KLH'!$B$6:$T$823,14,0),"")</f>
        <v>ITALY</v>
      </c>
      <c r="P641" s="80" t="str">
        <f>IFERROR(VLOOKUP(B641,'02. MM-KLH'!$B$6:$T$823,15,0),"")</f>
        <v/>
      </c>
      <c r="Q641" s="80" t="str">
        <f>IFERROR(VLOOKUP(B641,'02. MM-KLH'!$B$6:$T$823,16,0),"")</f>
        <v>L100N6FJ1P1AAFT</v>
      </c>
      <c r="R641" s="106" t="str">
        <f>IFERROR(VLOOKUP(B641,'02. MM-KLH'!$B$6:$T$823,17,0),"")</f>
        <v>10HP</v>
      </c>
      <c r="S641" s="108" t="str">
        <f>IFERROR(VLOOKUP(B641,'02. MM-KLH'!$B$6:$T$823,18,0),"")</f>
        <v>A001010284</v>
      </c>
      <c r="T641" s="110" t="str">
        <f>IFERROR(VLOOKUP(B641,'02. MM-KLH'!$B$6:$T$823,19,0),"")</f>
        <v>SF6637</v>
      </c>
      <c r="U641" s="130" t="s">
        <v>235</v>
      </c>
    </row>
    <row r="642" ht="13.5" customHeight="1">
      <c r="A642" s="95">
        <f t="shared" si="31"/>
        <v>12</v>
      </c>
      <c r="B642" s="134" t="s">
        <v>1513</v>
      </c>
      <c r="C642" s="86" t="str">
        <f>IFERROR(VLOOKUP(B642,'02. MM-KLH'!$B$6:$T$823,2,0),"")</f>
        <v/>
      </c>
      <c r="D642" s="95" t="str">
        <f>IFERROR(VLOOKUP(B642,'02. MM-KLH'!$B$6:$T$823,3,0),"")</f>
        <v>A24-MĐQ-001</v>
      </c>
      <c r="E642" s="86" t="str">
        <f>IFERROR(VLOOKUP(B642,'02. MM-KLH'!$B$6:$T$823,4,0),"")</f>
        <v/>
      </c>
      <c r="F642" s="134"/>
      <c r="G642" s="86" t="str">
        <f>IFERROR(VLOOKUP(B642,'02. MM-KLH'!$B$6:$T$823,6,0),"")</f>
        <v>Máy cắt cỏ đĩa quay 7.5HP</v>
      </c>
      <c r="H642" s="80" t="s">
        <v>6187</v>
      </c>
      <c r="I642" s="80" t="str">
        <f>IFERROR(VLOOKUP(B642,'02. MM-KLH'!$B$6:$T$823,8,0),"")</f>
        <v>XN Chuối LP3</v>
      </c>
      <c r="J642" s="99" t="str">
        <f>IFERROR(VLOOKUP(B642,'02. MM-KLH'!$B$6:$T$823,9,0),"")</f>
        <v>15/11/2024</v>
      </c>
      <c r="K642" s="80" t="str">
        <f>IFERROR(VLOOKUP(B642,'02. MM-KLH'!$B$6:$T$823,10,0),"")</f>
        <v>Bình thường</v>
      </c>
      <c r="L642" s="102" t="str">
        <f>IFERROR(VLOOKUP(B642,'02. MM-KLH'!$B$6:$T$823,11,0),"")</f>
        <v/>
      </c>
      <c r="M642" s="143" t="str">
        <f>IFERROR(VLOOKUP(B642,'02. MM-KLH'!$B$6:$T$823,12,0),"")</f>
        <v>Đầu tư mới</v>
      </c>
      <c r="N642" s="108" t="str">
        <f>IFERROR(VLOOKUP(B642,'02. MM-KLH'!$B$6:$T$823,13,0),"")</f>
        <v>YANMAR</v>
      </c>
      <c r="O642" s="108" t="str">
        <f>IFERROR(VLOOKUP(B642,'02. MM-KLH'!$B$6:$T$823,14,0),"")</f>
        <v>Nhật Bản</v>
      </c>
      <c r="P642" s="80" t="str">
        <f>IFERROR(VLOOKUP(B642,'02. MM-KLH'!$B$6:$T$823,15,0),"")</f>
        <v/>
      </c>
      <c r="Q642" s="80" t="str">
        <f>IFERROR(VLOOKUP(B642,'02. MM-KLH'!$B$6:$T$823,16,0),"")</f>
        <v>YANMAR YC750</v>
      </c>
      <c r="R642" s="106" t="str">
        <f>IFERROR(VLOOKUP(B642,'02. MM-KLH'!$B$6:$T$823,17,0),"")</f>
        <v>7.5HP</v>
      </c>
      <c r="S642" s="108">
        <f>IFERROR(VLOOKUP(B642,'02. MM-KLH'!$B$6:$T$823,18,0),"")</f>
        <v>31252</v>
      </c>
      <c r="T642" s="110">
        <f>IFERROR(VLOOKUP(B642,'02. MM-KLH'!$B$6:$T$823,19,0),"")</f>
        <v>13422</v>
      </c>
      <c r="U642" s="130" t="s">
        <v>235</v>
      </c>
    </row>
    <row r="643" ht="13.5" customHeight="1">
      <c r="A643" s="95">
        <f t="shared" si="31"/>
        <v>13</v>
      </c>
      <c r="B643" s="134" t="s">
        <v>1631</v>
      </c>
      <c r="C643" s="86" t="str">
        <f>IFERROR(VLOOKUP(B643,'02. MM-KLH'!$B$6:$T$823,2,0),"")</f>
        <v>XL3-CCM-001</v>
      </c>
      <c r="D643" s="95" t="str">
        <f>IFERROR(VLOOKUP(B643,'02. MM-KLH'!$B$6:$T$823,3,0),"")</f>
        <v/>
      </c>
      <c r="E643" s="86" t="str">
        <f>IFERROR(VLOOKUP(B643,'02. MM-KLH'!$B$6:$T$823,4,0),"")</f>
        <v/>
      </c>
      <c r="F643" s="134"/>
      <c r="G643" s="86" t="str">
        <f>IFERROR(VLOOKUP(B643,'02. MM-KLH'!$B$6:$T$823,6,0),"")</f>
        <v>Máy cắt cỏ mini Yanmar</v>
      </c>
      <c r="H643" s="80" t="s">
        <v>6187</v>
      </c>
      <c r="I643" s="80" t="str">
        <f>IFERROR(VLOOKUP(B643,'02. MM-KLH'!$B$6:$T$823,8,0),"")</f>
        <v>XOÀI AD</v>
      </c>
      <c r="J643" s="99" t="str">
        <f>IFERROR(VLOOKUP(B643,'02. MM-KLH'!$B$6:$T$823,9,0),"")</f>
        <v>30/07/2024</v>
      </c>
      <c r="K643" s="80" t="str">
        <f>IFERROR(VLOOKUP(B643,'02. MM-KLH'!$B$6:$T$823,10,0),"")</f>
        <v>Bình thường</v>
      </c>
      <c r="L643" s="102">
        <f>IFERROR(VLOOKUP(B643,'02. MM-KLH'!$B$6:$T$823,11,0),"")</f>
        <v>0.7</v>
      </c>
      <c r="M643" s="143" t="str">
        <f>IFERROR(VLOOKUP(B643,'02. MM-KLH'!$B$6:$T$823,12,0),"")</f>
        <v>Điều chuyển LP3 qua ngày 26/11/2024</v>
      </c>
      <c r="N643" s="108" t="str">
        <f>IFERROR(VLOOKUP(B643,'02. MM-KLH'!$B$6:$T$823,13,0),"")</f>
        <v>YANMAR</v>
      </c>
      <c r="O643" s="108" t="str">
        <f>IFERROR(VLOOKUP(B643,'02. MM-KLH'!$B$6:$T$823,14,0),"")</f>
        <v>ITALY</v>
      </c>
      <c r="P643" s="80" t="str">
        <f>IFERROR(VLOOKUP(B643,'02. MM-KLH'!$B$6:$T$823,15,0),"")</f>
        <v/>
      </c>
      <c r="Q643" s="80" t="str">
        <f>IFERROR(VLOOKUP(B643,'02. MM-KLH'!$B$6:$T$823,16,0),"")</f>
        <v>L100N6FJ1P1AAFT</v>
      </c>
      <c r="R643" s="106" t="str">
        <f>IFERROR(VLOOKUP(B643,'02. MM-KLH'!$B$6:$T$823,17,0),"")</f>
        <v>10HP</v>
      </c>
      <c r="S643" s="108" t="str">
        <f>IFERROR(VLOOKUP(B643,'02. MM-KLH'!$B$6:$T$823,18,0),"")</f>
        <v>A001010279</v>
      </c>
      <c r="T643" s="110" t="str">
        <f>IFERROR(VLOOKUP(B643,'02. MM-KLH'!$B$6:$T$823,19,0),"")</f>
        <v>SF6665</v>
      </c>
      <c r="U643" s="130" t="s">
        <v>235</v>
      </c>
    </row>
    <row r="644" ht="12.75" customHeight="1">
      <c r="A644" s="95">
        <f t="shared" si="31"/>
        <v>14</v>
      </c>
      <c r="B644" s="830" t="s">
        <v>1091</v>
      </c>
      <c r="C644" s="86" t="str">
        <f>IFERROR(VLOOKUP(B644,'02. MM-KLH'!$B$6:$T$823,2,0),"")</f>
        <v/>
      </c>
      <c r="D644" s="95" t="str">
        <f>IFERROR(VLOOKUP(B644,'02. MM-KLH'!$B$6:$T$823,3,0),"")</f>
        <v>A23-MĐQ-003</v>
      </c>
      <c r="E644" s="86" t="str">
        <f>IFERROR(VLOOKUP(B644,'02. MM-KLH'!$B$6:$T$823,4,0),"")</f>
        <v/>
      </c>
      <c r="F644" s="784"/>
      <c r="G644" s="86" t="str">
        <f>IFERROR(VLOOKUP(B644,'02. MM-KLH'!$B$6:$T$823,6,0),"")</f>
        <v>Máy cắt cỏ đĩa quay 8HP</v>
      </c>
      <c r="H644" s="80" t="s">
        <v>6187</v>
      </c>
      <c r="I644" s="80" t="str">
        <f>IFERROR(VLOOKUP(B644,'02. MM-KLH'!$B$6:$T$823,8,0),"")</f>
        <v>XN Chuối DP2</v>
      </c>
      <c r="J644" s="99" t="str">
        <f>IFERROR(VLOOKUP(B644,'02. MM-KLH'!$B$6:$T$823,9,0),"")</f>
        <v>23/01/2025</v>
      </c>
      <c r="K644" s="80" t="str">
        <f>IFERROR(VLOOKUP(B644,'02. MM-KLH'!$B$6:$T$823,10,0),"")</f>
        <v>Bình thường</v>
      </c>
      <c r="L644" s="102" t="str">
        <f>IFERROR(VLOOKUP(B644,'02. MM-KLH'!$B$6:$T$823,11,0),"")</f>
        <v/>
      </c>
      <c r="M644" s="143" t="str">
        <f>IFERROR(VLOOKUP(B644,'02. MM-KLH'!$B$6:$T$823,12,0),"")</f>
        <v>Đầu tư mới</v>
      </c>
      <c r="N644" s="108" t="str">
        <f>IFERROR(VLOOKUP(B644,'02. MM-KLH'!$B$6:$T$823,13,0),"")</f>
        <v>HONDA</v>
      </c>
      <c r="O644" s="108" t="str">
        <f>IFERROR(VLOOKUP(B644,'02. MM-KLH'!$B$6:$T$823,14,0),"")</f>
        <v>JANPAN</v>
      </c>
      <c r="P644" s="80" t="str">
        <f>IFERROR(VLOOKUP(B644,'02. MM-KLH'!$B$6:$T$823,15,0),"")</f>
        <v/>
      </c>
      <c r="Q644" s="80" t="str">
        <f>IFERROR(VLOOKUP(B644,'02. MM-KLH'!$B$6:$T$823,16,0),"")</f>
        <v>GX240</v>
      </c>
      <c r="R644" s="106" t="str">
        <f>IFERROR(VLOOKUP(B644,'02. MM-KLH'!$B$6:$T$823,17,0),"")</f>
        <v>8HP</v>
      </c>
      <c r="S644" s="108" t="str">
        <f>IFERROR(VLOOKUP(B644,'02. MM-KLH'!$B$6:$T$823,18,0),"")</f>
        <v>CCN</v>
      </c>
      <c r="T644" s="110">
        <f>IFERROR(VLOOKUP(B644,'02. MM-KLH'!$B$6:$T$823,19,0),"")</f>
        <v>4418343</v>
      </c>
      <c r="U644" s="130" t="s">
        <v>235</v>
      </c>
    </row>
    <row r="645" ht="12.75" customHeight="1">
      <c r="A645" s="95">
        <f t="shared" si="31"/>
        <v>15</v>
      </c>
      <c r="B645" s="830" t="s">
        <v>1095</v>
      </c>
      <c r="C645" s="86" t="str">
        <f>IFERROR(VLOOKUP(B645,'02. MM-KLH'!$B$6:$T$823,2,0),"")</f>
        <v/>
      </c>
      <c r="D645" s="95" t="str">
        <f>IFERROR(VLOOKUP(B645,'02. MM-KLH'!$B$6:$T$823,3,0),"")</f>
        <v>A23-MĐQ-004</v>
      </c>
      <c r="E645" s="86" t="str">
        <f>IFERROR(VLOOKUP(B645,'02. MM-KLH'!$B$6:$T$823,4,0),"")</f>
        <v/>
      </c>
      <c r="F645" s="784"/>
      <c r="G645" s="86" t="str">
        <f>IFERROR(VLOOKUP(B645,'02. MM-KLH'!$B$6:$T$823,6,0),"")</f>
        <v>Máy cắt cỏ đĩa quay 8HP</v>
      </c>
      <c r="H645" s="80" t="s">
        <v>6187</v>
      </c>
      <c r="I645" s="80" t="str">
        <f>IFERROR(VLOOKUP(B645,'02. MM-KLH'!$B$6:$T$823,8,0),"")</f>
        <v>XN Chuối DP2</v>
      </c>
      <c r="J645" s="99" t="str">
        <f>IFERROR(VLOOKUP(B645,'02. MM-KLH'!$B$6:$T$823,9,0),"")</f>
        <v>23/01/2025</v>
      </c>
      <c r="K645" s="80" t="str">
        <f>IFERROR(VLOOKUP(B645,'02. MM-KLH'!$B$6:$T$823,10,0),"")</f>
        <v>Bình thường</v>
      </c>
      <c r="L645" s="102" t="str">
        <f>IFERROR(VLOOKUP(B645,'02. MM-KLH'!$B$6:$T$823,11,0),"")</f>
        <v/>
      </c>
      <c r="M645" s="143" t="str">
        <f>IFERROR(VLOOKUP(B645,'02. MM-KLH'!$B$6:$T$823,12,0),"")</f>
        <v>Đầu tư mới</v>
      </c>
      <c r="N645" s="108" t="str">
        <f>IFERROR(VLOOKUP(B645,'02. MM-KLH'!$B$6:$T$823,13,0),"")</f>
        <v>YANMAR</v>
      </c>
      <c r="O645" s="108" t="str">
        <f>IFERROR(VLOOKUP(B645,'02. MM-KLH'!$B$6:$T$823,14,0),"")</f>
        <v>JANPAN</v>
      </c>
      <c r="P645" s="80" t="str">
        <f>IFERROR(VLOOKUP(B645,'02. MM-KLH'!$B$6:$T$823,15,0),"")</f>
        <v/>
      </c>
      <c r="Q645" s="80" t="str">
        <f>IFERROR(VLOOKUP(B645,'02. MM-KLH'!$B$6:$T$823,16,0),"")</f>
        <v>YG8</v>
      </c>
      <c r="R645" s="106" t="str">
        <f>IFERROR(VLOOKUP(B645,'02. MM-KLH'!$B$6:$T$823,17,0),"")</f>
        <v>8HP</v>
      </c>
      <c r="S645" s="108">
        <f>IFERROR(VLOOKUP(B645,'02. MM-KLH'!$B$6:$T$823,18,0),"")</f>
        <v>871668</v>
      </c>
      <c r="T645" s="110">
        <f>IFERROR(VLOOKUP(B645,'02. MM-KLH'!$B$6:$T$823,19,0),"")</f>
        <v>20189</v>
      </c>
      <c r="U645" s="130" t="s">
        <v>235</v>
      </c>
    </row>
    <row r="646" ht="13.5" customHeight="1">
      <c r="A646" s="95">
        <f t="shared" si="31"/>
        <v>16</v>
      </c>
      <c r="B646" s="747" t="s">
        <v>1209</v>
      </c>
      <c r="C646" s="86" t="str">
        <f>IFERROR(VLOOKUP(B646,'02. MM-KLH'!$B$6:$T$823,2,0),"")</f>
        <v/>
      </c>
      <c r="D646" s="95" t="str">
        <f>IFERROR(VLOOKUP(B646,'02. MM-KLH'!$B$6:$T$823,3,0),"")</f>
        <v>A23-MĐQ-002</v>
      </c>
      <c r="E646" s="86" t="str">
        <f>IFERROR(VLOOKUP(B646,'02. MM-KLH'!$B$6:$T$823,4,0),"")</f>
        <v/>
      </c>
      <c r="F646" s="270"/>
      <c r="G646" s="86" t="str">
        <f>IFERROR(VLOOKUP(B646,'02. MM-KLH'!$B$6:$T$823,6,0),"")</f>
        <v>Máy cắt cỏ đĩa quay 8HP</v>
      </c>
      <c r="H646" s="80" t="s">
        <v>6187</v>
      </c>
      <c r="I646" s="80" t="str">
        <f>IFERROR(VLOOKUP(B646,'02. MM-KLH'!$B$6:$T$823,8,0),"")</f>
        <v>XN Chuối DP3</v>
      </c>
      <c r="J646" s="99" t="str">
        <f>IFERROR(VLOOKUP(B646,'02. MM-KLH'!$B$6:$T$823,9,0),"")</f>
        <v>23/01/2025</v>
      </c>
      <c r="K646" s="80" t="str">
        <f>IFERROR(VLOOKUP(B646,'02. MM-KLH'!$B$6:$T$823,10,0),"")</f>
        <v>Bình thường</v>
      </c>
      <c r="L646" s="102" t="str">
        <f>IFERROR(VLOOKUP(B646,'02. MM-KLH'!$B$6:$T$823,11,0),"")</f>
        <v/>
      </c>
      <c r="M646" s="143" t="str">
        <f>IFERROR(VLOOKUP(B646,'02. MM-KLH'!$B$6:$T$823,12,0),"")</f>
        <v>Đầu tư mới</v>
      </c>
      <c r="N646" s="108" t="str">
        <f>IFERROR(VLOOKUP(B646,'02. MM-KLH'!$B$6:$T$823,13,0),"")</f>
        <v>MISUBISHI</v>
      </c>
      <c r="O646" s="108" t="str">
        <f>IFERROR(VLOOKUP(B646,'02. MM-KLH'!$B$6:$T$823,14,0),"")</f>
        <v>JANPAN</v>
      </c>
      <c r="P646" s="80" t="str">
        <f>IFERROR(VLOOKUP(B646,'02. MM-KLH'!$B$6:$T$823,15,0),"")</f>
        <v/>
      </c>
      <c r="Q646" s="80" t="str">
        <f>IFERROR(VLOOKUP(B646,'02. MM-KLH'!$B$6:$T$823,16,0),"")</f>
        <v>MR910</v>
      </c>
      <c r="R646" s="106" t="str">
        <f>IFERROR(VLOOKUP(B646,'02. MM-KLH'!$B$6:$T$823,17,0),"")</f>
        <v>8HP</v>
      </c>
      <c r="S646" s="108" t="str">
        <f>IFERROR(VLOOKUP(B646,'02. MM-KLH'!$B$6:$T$823,18,0),"")</f>
        <v>G910217678</v>
      </c>
      <c r="T646" s="110">
        <f>IFERROR(VLOOKUP(B646,'02. MM-KLH'!$B$6:$T$823,19,0),"")</f>
        <v>12168</v>
      </c>
      <c r="U646" s="130" t="s">
        <v>235</v>
      </c>
    </row>
    <row r="647" ht="13.5" customHeight="1">
      <c r="A647" s="95">
        <f t="shared" si="31"/>
        <v>17</v>
      </c>
      <c r="B647" s="140" t="s">
        <v>973</v>
      </c>
      <c r="C647" s="86" t="str">
        <f>IFERROR(VLOOKUP(B647,'02. MM-KLH'!$B$6:$T$823,2,0),"")</f>
        <v/>
      </c>
      <c r="D647" s="95" t="str">
        <f>IFERROR(VLOOKUP(B647,'02. MM-KLH'!$B$6:$T$823,3,0),"")</f>
        <v>A23-MĐQ-001</v>
      </c>
      <c r="E647" s="86" t="str">
        <f>IFERROR(VLOOKUP(B647,'02. MM-KLH'!$B$6:$T$823,4,0),"")</f>
        <v/>
      </c>
      <c r="F647" s="190"/>
      <c r="G647" s="86" t="str">
        <f>IFERROR(VLOOKUP(B647,'02. MM-KLH'!$B$6:$T$823,6,0),"")</f>
        <v>Máy cắt cỏ đĩa quay 8HP</v>
      </c>
      <c r="H647" s="80" t="s">
        <v>6187</v>
      </c>
      <c r="I647" s="80" t="str">
        <f>IFERROR(VLOOKUP(B647,'02. MM-KLH'!$B$6:$T$823,8,0),"")</f>
        <v>XN Chuối DP1</v>
      </c>
      <c r="J647" s="99" t="str">
        <f>IFERROR(VLOOKUP(B647,'02. MM-KLH'!$B$6:$T$823,9,0),"")</f>
        <v>23/01/2025</v>
      </c>
      <c r="K647" s="80" t="str">
        <f>IFERROR(VLOOKUP(B647,'02. MM-KLH'!$B$6:$T$823,10,0),"")</f>
        <v>Bình thường</v>
      </c>
      <c r="L647" s="102" t="str">
        <f>IFERROR(VLOOKUP(B647,'02. MM-KLH'!$B$6:$T$823,11,0),"")</f>
        <v/>
      </c>
      <c r="M647" s="143" t="str">
        <f>IFERROR(VLOOKUP(B647,'02. MM-KLH'!$B$6:$T$823,12,0),"")</f>
        <v>Đầu tư mới</v>
      </c>
      <c r="N647" s="108" t="str">
        <f>IFERROR(VLOOKUP(B647,'02. MM-KLH'!$B$6:$T$823,13,0),"")</f>
        <v>ISEKI</v>
      </c>
      <c r="O647" s="108" t="str">
        <f>IFERROR(VLOOKUP(B647,'02. MM-KLH'!$B$6:$T$823,14,0),"")</f>
        <v>JANPAN</v>
      </c>
      <c r="P647" s="80" t="str">
        <f>IFERROR(VLOOKUP(B647,'02. MM-KLH'!$B$6:$T$823,15,0),"")</f>
        <v/>
      </c>
      <c r="Q647" s="80" t="str">
        <f>IFERROR(VLOOKUP(B647,'02. MM-KLH'!$B$6:$T$823,16,0),"")</f>
        <v>KC80F</v>
      </c>
      <c r="R647" s="106" t="str">
        <f>IFERROR(VLOOKUP(B647,'02. MM-KLH'!$B$6:$T$823,17,0),"")</f>
        <v>8HP</v>
      </c>
      <c r="S647" s="108">
        <f>IFERROR(VLOOKUP(B647,'02. MM-KLH'!$B$6:$T$823,18,0),"")</f>
        <v>341</v>
      </c>
      <c r="T647" s="110" t="str">
        <f>IFERROR(VLOOKUP(B647,'02. MM-KLH'!$B$6:$T$823,19,0),"")</f>
        <v>FE250G003323</v>
      </c>
      <c r="U647" s="130" t="s">
        <v>235</v>
      </c>
    </row>
    <row r="648" ht="13.5" customHeight="1">
      <c r="A648" s="95">
        <f t="shared" si="31"/>
        <v>18</v>
      </c>
      <c r="B648" s="115" t="s">
        <v>1363</v>
      </c>
      <c r="C648" s="86" t="str">
        <f>IFERROR(VLOOKUP(B648,'02. MM-KLH'!$B$6:$T$823,2,0),"")</f>
        <v/>
      </c>
      <c r="D648" s="95" t="str">
        <f>IFERROR(VLOOKUP(B648,'02. MM-KLH'!$B$6:$T$823,3,0),"")</f>
        <v>A24-CCD-001</v>
      </c>
      <c r="E648" s="86" t="str">
        <f>IFERROR(VLOOKUP(B648,'02. MM-KLH'!$B$6:$T$823,4,0),"")</f>
        <v/>
      </c>
      <c r="F648" s="190"/>
      <c r="G648" s="86" t="str">
        <f>IFERROR(VLOOKUP(B648,'02. MM-KLH'!$B$6:$T$823,6,0),"")</f>
        <v>Máy cắt cỏ trục băm đa năng</v>
      </c>
      <c r="H648" s="80" t="s">
        <v>6187</v>
      </c>
      <c r="I648" s="80" t="str">
        <f>IFERROR(VLOOKUP(B648,'02. MM-KLH'!$B$6:$T$823,8,0),"")</f>
        <v>XN Chuối LP1</v>
      </c>
      <c r="J648" s="99" t="str">
        <f>IFERROR(VLOOKUP(B648,'02. MM-KLH'!$B$6:$T$823,9,0),"")</f>
        <v>25/06/2025</v>
      </c>
      <c r="K648" s="80" t="str">
        <f>IFERROR(VLOOKUP(B648,'02. MM-KLH'!$B$6:$T$823,10,0),"")</f>
        <v>Bình thường</v>
      </c>
      <c r="L648" s="102" t="str">
        <f>IFERROR(VLOOKUP(B648,'02. MM-KLH'!$B$6:$T$823,11,0),"")</f>
        <v/>
      </c>
      <c r="M648" s="143" t="str">
        <f>IFERROR(VLOOKUP(B648,'02. MM-KLH'!$B$6:$T$823,12,0),"")</f>
        <v>Đầu tư mới</v>
      </c>
      <c r="N648" s="108" t="str">
        <f>IFERROR(VLOOKUP(B648,'02. MM-KLH'!$B$6:$T$823,13,0),"")</f>
        <v>ISHIKAWA</v>
      </c>
      <c r="O648" s="108" t="str">
        <f>IFERROR(VLOOKUP(B648,'02. MM-KLH'!$B$6:$T$823,14,0),"")</f>
        <v>VIỆT NAM</v>
      </c>
      <c r="P648" s="80">
        <f>IFERROR(VLOOKUP(B648,'02. MM-KLH'!$B$6:$T$823,15,0),"")</f>
        <v>2025</v>
      </c>
      <c r="Q648" s="80" t="str">
        <f>IFERROR(VLOOKUP(B648,'02. MM-KLH'!$B$6:$T$823,16,0),"")</f>
        <v>TL662</v>
      </c>
      <c r="R648" s="106" t="str">
        <f>IFERROR(VLOOKUP(B648,'02. MM-KLH'!$B$6:$T$823,17,0),"")</f>
        <v>10HP</v>
      </c>
      <c r="S648" s="108" t="str">
        <f>IFERROR(VLOOKUP(B648,'02. MM-KLH'!$B$6:$T$823,18,0),"")</f>
        <v>TL20250601409</v>
      </c>
      <c r="T648" s="110" t="str">
        <f>IFERROR(VLOOKUP(B648,'02. MM-KLH'!$B$6:$T$823,19,0),"")</f>
        <v>GT1000B0042104CD</v>
      </c>
      <c r="U648" s="130" t="s">
        <v>2301</v>
      </c>
    </row>
    <row r="649" ht="13.5" customHeight="1">
      <c r="A649" s="95">
        <f t="shared" si="31"/>
        <v>19</v>
      </c>
      <c r="B649" s="115" t="s">
        <v>1367</v>
      </c>
      <c r="C649" s="86" t="str">
        <f>IFERROR(VLOOKUP(B649,'02. MM-KLH'!$B$6:$T$823,2,0),"")</f>
        <v/>
      </c>
      <c r="D649" s="95" t="str">
        <f>IFERROR(VLOOKUP(B649,'02. MM-KLH'!$B$6:$T$823,3,0),"")</f>
        <v>A24-CCD-002</v>
      </c>
      <c r="E649" s="86" t="str">
        <f>IFERROR(VLOOKUP(B649,'02. MM-KLH'!$B$6:$T$823,4,0),"")</f>
        <v/>
      </c>
      <c r="F649" s="190"/>
      <c r="G649" s="86" t="str">
        <f>IFERROR(VLOOKUP(B649,'02. MM-KLH'!$B$6:$T$823,6,0),"")</f>
        <v>Máy cắt cỏ trục băm đa năng</v>
      </c>
      <c r="H649" s="80" t="s">
        <v>6187</v>
      </c>
      <c r="I649" s="80" t="str">
        <f>IFERROR(VLOOKUP(B649,'02. MM-KLH'!$B$6:$T$823,8,0),"")</f>
        <v>XN Chuối LP1</v>
      </c>
      <c r="J649" s="99" t="str">
        <f>IFERROR(VLOOKUP(B649,'02. MM-KLH'!$B$6:$T$823,9,0),"")</f>
        <v>25/06/2025</v>
      </c>
      <c r="K649" s="80" t="str">
        <f>IFERROR(VLOOKUP(B649,'02. MM-KLH'!$B$6:$T$823,10,0),"")</f>
        <v>Bình thường</v>
      </c>
      <c r="L649" s="102" t="str">
        <f>IFERROR(VLOOKUP(B649,'02. MM-KLH'!$B$6:$T$823,11,0),"")</f>
        <v/>
      </c>
      <c r="M649" s="143" t="str">
        <f>IFERROR(VLOOKUP(B649,'02. MM-KLH'!$B$6:$T$823,12,0),"")</f>
        <v>Đầu tư mới</v>
      </c>
      <c r="N649" s="108" t="str">
        <f>IFERROR(VLOOKUP(B649,'02. MM-KLH'!$B$6:$T$823,13,0),"")</f>
        <v>ISHIKAWA</v>
      </c>
      <c r="O649" s="108" t="str">
        <f>IFERROR(VLOOKUP(B649,'02. MM-KLH'!$B$6:$T$823,14,0),"")</f>
        <v>VIỆT NAM</v>
      </c>
      <c r="P649" s="80">
        <f>IFERROR(VLOOKUP(B649,'02. MM-KLH'!$B$6:$T$823,15,0),"")</f>
        <v>2025</v>
      </c>
      <c r="Q649" s="80" t="str">
        <f>IFERROR(VLOOKUP(B649,'02. MM-KLH'!$B$6:$T$823,16,0),"")</f>
        <v>TL662</v>
      </c>
      <c r="R649" s="106" t="str">
        <f>IFERROR(VLOOKUP(B649,'02. MM-KLH'!$B$6:$T$823,17,0),"")</f>
        <v>10HP</v>
      </c>
      <c r="S649" s="108" t="str">
        <f>IFERROR(VLOOKUP(B649,'02. MM-KLH'!$B$6:$T$823,18,0),"")</f>
        <v>TL202506014011</v>
      </c>
      <c r="T649" s="110" t="str">
        <f>IFERROR(VLOOKUP(B649,'02. MM-KLH'!$B$6:$T$823,19,0),"")</f>
        <v>GT1000B0042103CD</v>
      </c>
      <c r="U649" s="130" t="s">
        <v>2301</v>
      </c>
    </row>
    <row r="650" ht="13.5" customHeight="1">
      <c r="A650" s="95">
        <f t="shared" si="31"/>
        <v>20</v>
      </c>
      <c r="B650" s="115" t="s">
        <v>1371</v>
      </c>
      <c r="C650" s="86" t="str">
        <f>IFERROR(VLOOKUP(B650,'02. MM-KLH'!$B$6:$T$823,2,0),"")</f>
        <v/>
      </c>
      <c r="D650" s="95" t="str">
        <f>IFERROR(VLOOKUP(B650,'02. MM-KLH'!$B$6:$T$823,3,0),"")</f>
        <v>A24-CCD-003</v>
      </c>
      <c r="E650" s="86" t="str">
        <f>IFERROR(VLOOKUP(B650,'02. MM-KLH'!$B$6:$T$823,4,0),"")</f>
        <v/>
      </c>
      <c r="F650" s="190"/>
      <c r="G650" s="86" t="str">
        <f>IFERROR(VLOOKUP(B650,'02. MM-KLH'!$B$6:$T$823,6,0),"")</f>
        <v>Máy cắt cỏ trục băm đa năng</v>
      </c>
      <c r="H650" s="80" t="s">
        <v>6187</v>
      </c>
      <c r="I650" s="80" t="str">
        <f>IFERROR(VLOOKUP(B650,'02. MM-KLH'!$B$6:$T$823,8,0),"")</f>
        <v>XN Chuối LP1</v>
      </c>
      <c r="J650" s="99" t="str">
        <f>IFERROR(VLOOKUP(B650,'02. MM-KLH'!$B$6:$T$823,9,0),"")</f>
        <v>25/06/2025</v>
      </c>
      <c r="K650" s="80" t="str">
        <f>IFERROR(VLOOKUP(B650,'02. MM-KLH'!$B$6:$T$823,10,0),"")</f>
        <v>Bình thường</v>
      </c>
      <c r="L650" s="102" t="str">
        <f>IFERROR(VLOOKUP(B650,'02. MM-KLH'!$B$6:$T$823,11,0),"")</f>
        <v/>
      </c>
      <c r="M650" s="143" t="str">
        <f>IFERROR(VLOOKUP(B650,'02. MM-KLH'!$B$6:$T$823,12,0),"")</f>
        <v>Đầu tư mới</v>
      </c>
      <c r="N650" s="108" t="str">
        <f>IFERROR(VLOOKUP(B650,'02. MM-KLH'!$B$6:$T$823,13,0),"")</f>
        <v>ISHIKAWA</v>
      </c>
      <c r="O650" s="108" t="str">
        <f>IFERROR(VLOOKUP(B650,'02. MM-KLH'!$B$6:$T$823,14,0),"")</f>
        <v>VIỆT NAM</v>
      </c>
      <c r="P650" s="80">
        <f>IFERROR(VLOOKUP(B650,'02. MM-KLH'!$B$6:$T$823,15,0),"")</f>
        <v>2025</v>
      </c>
      <c r="Q650" s="80" t="str">
        <f>IFERROR(VLOOKUP(B650,'02. MM-KLH'!$B$6:$T$823,16,0),"")</f>
        <v>TL662</v>
      </c>
      <c r="R650" s="106" t="str">
        <f>IFERROR(VLOOKUP(B650,'02. MM-KLH'!$B$6:$T$823,17,0),"")</f>
        <v>10HP</v>
      </c>
      <c r="S650" s="108" t="str">
        <f>IFERROR(VLOOKUP(B650,'02. MM-KLH'!$B$6:$T$823,18,0),"")</f>
        <v>TL202506014013</v>
      </c>
      <c r="T650" s="110" t="str">
        <f>IFERROR(VLOOKUP(B650,'02. MM-KLH'!$B$6:$T$823,19,0),"")</f>
        <v>GT1000B0042104CD</v>
      </c>
      <c r="U650" s="130" t="s">
        <v>2301</v>
      </c>
    </row>
    <row r="651" ht="13.5" customHeight="1">
      <c r="A651" s="95">
        <f t="shared" si="31"/>
        <v>21</v>
      </c>
      <c r="B651" s="115" t="s">
        <v>1375</v>
      </c>
      <c r="C651" s="86" t="str">
        <f>IFERROR(VLOOKUP(B651,'02. MM-KLH'!$B$6:$T$823,2,0),"")</f>
        <v/>
      </c>
      <c r="D651" s="95" t="str">
        <f>IFERROR(VLOOKUP(B651,'02. MM-KLH'!$B$6:$T$823,3,0),"")</f>
        <v>A24-CCD-004</v>
      </c>
      <c r="E651" s="86" t="str">
        <f>IFERROR(VLOOKUP(B651,'02. MM-KLH'!$B$6:$T$823,4,0),"")</f>
        <v/>
      </c>
      <c r="F651" s="190"/>
      <c r="G651" s="86" t="str">
        <f>IFERROR(VLOOKUP(B651,'02. MM-KLH'!$B$6:$T$823,6,0),"")</f>
        <v>Máy cắt cỏ trục băm đa năng</v>
      </c>
      <c r="H651" s="80" t="s">
        <v>6187</v>
      </c>
      <c r="I651" s="80" t="str">
        <f>IFERROR(VLOOKUP(B651,'02. MM-KLH'!$B$6:$T$823,8,0),"")</f>
        <v>XN Chuối LP1</v>
      </c>
      <c r="J651" s="99" t="str">
        <f>IFERROR(VLOOKUP(B651,'02. MM-KLH'!$B$6:$T$823,9,0),"")</f>
        <v>25/06/2025</v>
      </c>
      <c r="K651" s="80" t="str">
        <f>IFERROR(VLOOKUP(B651,'02. MM-KLH'!$B$6:$T$823,10,0),"")</f>
        <v>Bình thường</v>
      </c>
      <c r="L651" s="102" t="str">
        <f>IFERROR(VLOOKUP(B651,'02. MM-KLH'!$B$6:$T$823,11,0),"")</f>
        <v/>
      </c>
      <c r="M651" s="143" t="str">
        <f>IFERROR(VLOOKUP(B651,'02. MM-KLH'!$B$6:$T$823,12,0),"")</f>
        <v>Đầu tư mới</v>
      </c>
      <c r="N651" s="108" t="str">
        <f>IFERROR(VLOOKUP(B651,'02. MM-KLH'!$B$6:$T$823,13,0),"")</f>
        <v>ISHIKAWA</v>
      </c>
      <c r="O651" s="108" t="str">
        <f>IFERROR(VLOOKUP(B651,'02. MM-KLH'!$B$6:$T$823,14,0),"")</f>
        <v>VIỆT NAM</v>
      </c>
      <c r="P651" s="80">
        <f>IFERROR(VLOOKUP(B651,'02. MM-KLH'!$B$6:$T$823,15,0),"")</f>
        <v>2025</v>
      </c>
      <c r="Q651" s="80" t="str">
        <f>IFERROR(VLOOKUP(B651,'02. MM-KLH'!$B$6:$T$823,16,0),"")</f>
        <v>TL662</v>
      </c>
      <c r="R651" s="106" t="str">
        <f>IFERROR(VLOOKUP(B651,'02. MM-KLH'!$B$6:$T$823,17,0),"")</f>
        <v>10HP</v>
      </c>
      <c r="S651" s="108" t="str">
        <f>IFERROR(VLOOKUP(B651,'02. MM-KLH'!$B$6:$T$823,18,0),"")</f>
        <v>TL202506014014</v>
      </c>
      <c r="T651" s="110" t="str">
        <f>IFERROR(VLOOKUP(B651,'02. MM-KLH'!$B$6:$T$823,19,0),"")</f>
        <v>GT1000B0042096CD</v>
      </c>
      <c r="U651" s="130" t="s">
        <v>2301</v>
      </c>
    </row>
    <row r="652" ht="13.5" customHeight="1">
      <c r="A652" s="95">
        <f t="shared" si="31"/>
        <v>22</v>
      </c>
      <c r="B652" s="115" t="s">
        <v>1526</v>
      </c>
      <c r="C652" s="86" t="str">
        <f>IFERROR(VLOOKUP(B652,'02. MM-KLH'!$B$6:$T$823,2,0),"")</f>
        <v/>
      </c>
      <c r="D652" s="95" t="str">
        <f>IFERROR(VLOOKUP(B652,'02. MM-KLH'!$B$6:$T$823,3,0),"")</f>
        <v>A24-CCD-005</v>
      </c>
      <c r="E652" s="86" t="str">
        <f>IFERROR(VLOOKUP(B652,'02. MM-KLH'!$B$6:$T$823,4,0),"")</f>
        <v/>
      </c>
      <c r="F652" s="190"/>
      <c r="G652" s="86" t="str">
        <f>IFERROR(VLOOKUP(B652,'02. MM-KLH'!$B$6:$T$823,6,0),"")</f>
        <v>Máy cắt cỏ trục băm đa năng</v>
      </c>
      <c r="H652" s="80" t="s">
        <v>6187</v>
      </c>
      <c r="I652" s="80" t="str">
        <f>IFERROR(VLOOKUP(B652,'02. MM-KLH'!$B$6:$T$823,8,0),"")</f>
        <v>XN Chuối LP3</v>
      </c>
      <c r="J652" s="99" t="str">
        <f>IFERROR(VLOOKUP(B652,'02. MM-KLH'!$B$6:$T$823,9,0),"")</f>
        <v>25/06/2025</v>
      </c>
      <c r="K652" s="80" t="str">
        <f>IFERROR(VLOOKUP(B652,'02. MM-KLH'!$B$6:$T$823,10,0),"")</f>
        <v>Bình thường</v>
      </c>
      <c r="L652" s="102" t="str">
        <f>IFERROR(VLOOKUP(B652,'02. MM-KLH'!$B$6:$T$823,11,0),"")</f>
        <v/>
      </c>
      <c r="M652" s="143" t="str">
        <f>IFERROR(VLOOKUP(B652,'02. MM-KLH'!$B$6:$T$823,12,0),"")</f>
        <v>Đầu tư mới</v>
      </c>
      <c r="N652" s="108" t="str">
        <f>IFERROR(VLOOKUP(B652,'02. MM-KLH'!$B$6:$T$823,13,0),"")</f>
        <v>ISHIKAWA</v>
      </c>
      <c r="O652" s="108" t="str">
        <f>IFERROR(VLOOKUP(B652,'02. MM-KLH'!$B$6:$T$823,14,0),"")</f>
        <v>VIỆT NAM</v>
      </c>
      <c r="P652" s="80">
        <f>IFERROR(VLOOKUP(B652,'02. MM-KLH'!$B$6:$T$823,15,0),"")</f>
        <v>2025</v>
      </c>
      <c r="Q652" s="80" t="str">
        <f>IFERROR(VLOOKUP(B652,'02. MM-KLH'!$B$6:$T$823,16,0),"")</f>
        <v>TL662</v>
      </c>
      <c r="R652" s="106" t="str">
        <f>IFERROR(VLOOKUP(B652,'02. MM-KLH'!$B$6:$T$823,17,0),"")</f>
        <v>10HP</v>
      </c>
      <c r="S652" s="108" t="str">
        <f>IFERROR(VLOOKUP(B652,'02. MM-KLH'!$B$6:$T$823,18,0),"")</f>
        <v>TL20250601406</v>
      </c>
      <c r="T652" s="110" t="str">
        <f>IFERROR(VLOOKUP(B652,'02. MM-KLH'!$B$6:$T$823,19,0),"")</f>
        <v>GT1000B0042100CD</v>
      </c>
      <c r="U652" s="130" t="s">
        <v>2301</v>
      </c>
    </row>
    <row r="653" ht="13.5" customHeight="1">
      <c r="A653" s="95">
        <f t="shared" si="31"/>
        <v>23</v>
      </c>
      <c r="B653" s="115" t="s">
        <v>1530</v>
      </c>
      <c r="C653" s="86" t="str">
        <f>IFERROR(VLOOKUP(B653,'02. MM-KLH'!$B$6:$T$823,2,0),"")</f>
        <v/>
      </c>
      <c r="D653" s="95" t="str">
        <f>IFERROR(VLOOKUP(B653,'02. MM-KLH'!$B$6:$T$823,3,0),"")</f>
        <v>A24-CCD-006</v>
      </c>
      <c r="E653" s="86" t="str">
        <f>IFERROR(VLOOKUP(B653,'02. MM-KLH'!$B$6:$T$823,4,0),"")</f>
        <v/>
      </c>
      <c r="F653" s="190"/>
      <c r="G653" s="86" t="str">
        <f>IFERROR(VLOOKUP(B653,'02. MM-KLH'!$B$6:$T$823,6,0),"")</f>
        <v>Máy cắt cỏ trục băm đa năng</v>
      </c>
      <c r="H653" s="80" t="s">
        <v>6187</v>
      </c>
      <c r="I653" s="80" t="str">
        <f>IFERROR(VLOOKUP(B653,'02. MM-KLH'!$B$6:$T$823,8,0),"")</f>
        <v>XN Chuối LP3</v>
      </c>
      <c r="J653" s="99" t="str">
        <f>IFERROR(VLOOKUP(B653,'02. MM-KLH'!$B$6:$T$823,9,0),"")</f>
        <v>25/06/2025</v>
      </c>
      <c r="K653" s="80" t="str">
        <f>IFERROR(VLOOKUP(B653,'02. MM-KLH'!$B$6:$T$823,10,0),"")</f>
        <v>Bình thường</v>
      </c>
      <c r="L653" s="102" t="str">
        <f>IFERROR(VLOOKUP(B653,'02. MM-KLH'!$B$6:$T$823,11,0),"")</f>
        <v/>
      </c>
      <c r="M653" s="143" t="str">
        <f>IFERROR(VLOOKUP(B653,'02. MM-KLH'!$B$6:$T$823,12,0),"")</f>
        <v>Đầu tư mới</v>
      </c>
      <c r="N653" s="108" t="str">
        <f>IFERROR(VLOOKUP(B653,'02. MM-KLH'!$B$6:$T$823,13,0),"")</f>
        <v>ISHIKAWA</v>
      </c>
      <c r="O653" s="108" t="str">
        <f>IFERROR(VLOOKUP(B653,'02. MM-KLH'!$B$6:$T$823,14,0),"")</f>
        <v>VIỆT NAM</v>
      </c>
      <c r="P653" s="80">
        <f>IFERROR(VLOOKUP(B653,'02. MM-KLH'!$B$6:$T$823,15,0),"")</f>
        <v>2025</v>
      </c>
      <c r="Q653" s="80" t="str">
        <f>IFERROR(VLOOKUP(B653,'02. MM-KLH'!$B$6:$T$823,16,0),"")</f>
        <v>TL662</v>
      </c>
      <c r="R653" s="106" t="str">
        <f>IFERROR(VLOOKUP(B653,'02. MM-KLH'!$B$6:$T$823,17,0),"")</f>
        <v>10HP</v>
      </c>
      <c r="S653" s="108" t="str">
        <f>IFERROR(VLOOKUP(B653,'02. MM-KLH'!$B$6:$T$823,18,0),"")</f>
        <v>TL202506014010</v>
      </c>
      <c r="T653" s="110" t="str">
        <f>IFERROR(VLOOKUP(B653,'02. MM-KLH'!$B$6:$T$823,19,0),"")</f>
        <v>GT1000B0037706CC</v>
      </c>
      <c r="U653" s="130" t="s">
        <v>2301</v>
      </c>
    </row>
    <row r="654" ht="13.5" customHeight="1">
      <c r="A654" s="95">
        <f t="shared" si="31"/>
        <v>24</v>
      </c>
      <c r="B654" s="115" t="s">
        <v>1534</v>
      </c>
      <c r="C654" s="86" t="str">
        <f>IFERROR(VLOOKUP(B654,'02. MM-KLH'!$B$6:$T$823,2,0),"")</f>
        <v/>
      </c>
      <c r="D654" s="95" t="str">
        <f>IFERROR(VLOOKUP(B654,'02. MM-KLH'!$B$6:$T$823,3,0),"")</f>
        <v>A24-CCD-007</v>
      </c>
      <c r="E654" s="86" t="str">
        <f>IFERROR(VLOOKUP(B654,'02. MM-KLH'!$B$6:$T$823,4,0),"")</f>
        <v/>
      </c>
      <c r="F654" s="190"/>
      <c r="G654" s="86" t="str">
        <f>IFERROR(VLOOKUP(B654,'02. MM-KLH'!$B$6:$T$823,6,0),"")</f>
        <v>Máy cắt cỏ trục băm đa năng</v>
      </c>
      <c r="H654" s="80" t="s">
        <v>6187</v>
      </c>
      <c r="I654" s="80" t="str">
        <f>IFERROR(VLOOKUP(B654,'02. MM-KLH'!$B$6:$T$823,8,0),"")</f>
        <v>XN Chuối LP3</v>
      </c>
      <c r="J654" s="99" t="str">
        <f>IFERROR(VLOOKUP(B654,'02. MM-KLH'!$B$6:$T$823,9,0),"")</f>
        <v>25/06/2025</v>
      </c>
      <c r="K654" s="80" t="str">
        <f>IFERROR(VLOOKUP(B654,'02. MM-KLH'!$B$6:$T$823,10,0),"")</f>
        <v>Bình thường</v>
      </c>
      <c r="L654" s="102" t="str">
        <f>IFERROR(VLOOKUP(B654,'02. MM-KLH'!$B$6:$T$823,11,0),"")</f>
        <v/>
      </c>
      <c r="M654" s="143" t="str">
        <f>IFERROR(VLOOKUP(B654,'02. MM-KLH'!$B$6:$T$823,12,0),"")</f>
        <v>Đầu tư mới</v>
      </c>
      <c r="N654" s="108" t="str">
        <f>IFERROR(VLOOKUP(B654,'02. MM-KLH'!$B$6:$T$823,13,0),"")</f>
        <v>ISHIKAWA</v>
      </c>
      <c r="O654" s="108" t="str">
        <f>IFERROR(VLOOKUP(B654,'02. MM-KLH'!$B$6:$T$823,14,0),"")</f>
        <v>VIỆT NAM</v>
      </c>
      <c r="P654" s="80">
        <f>IFERROR(VLOOKUP(B654,'02. MM-KLH'!$B$6:$T$823,15,0),"")</f>
        <v>2025</v>
      </c>
      <c r="Q654" s="80" t="str">
        <f>IFERROR(VLOOKUP(B654,'02. MM-KLH'!$B$6:$T$823,16,0),"")</f>
        <v>TL662</v>
      </c>
      <c r="R654" s="106" t="str">
        <f>IFERROR(VLOOKUP(B654,'02. MM-KLH'!$B$6:$T$823,17,0),"")</f>
        <v>10HP</v>
      </c>
      <c r="S654" s="108" t="str">
        <f>IFERROR(VLOOKUP(B654,'02. MM-KLH'!$B$6:$T$823,18,0),"")</f>
        <v>TL202506014012</v>
      </c>
      <c r="T654" s="110" t="str">
        <f>IFERROR(VLOOKUP(B654,'02. MM-KLH'!$B$6:$T$823,19,0),"")</f>
        <v>GT1000B0042101CD</v>
      </c>
      <c r="U654" s="130" t="s">
        <v>2301</v>
      </c>
    </row>
    <row r="655" ht="13.5" customHeight="1">
      <c r="A655" s="95">
        <f t="shared" si="31"/>
        <v>25</v>
      </c>
      <c r="B655" s="115" t="s">
        <v>1538</v>
      </c>
      <c r="C655" s="86" t="str">
        <f>IFERROR(VLOOKUP(B655,'02. MM-KLH'!$B$6:$T$823,2,0),"")</f>
        <v/>
      </c>
      <c r="D655" s="95" t="str">
        <f>IFERROR(VLOOKUP(B655,'02. MM-KLH'!$B$6:$T$823,3,0),"")</f>
        <v>A24-CCD-008</v>
      </c>
      <c r="E655" s="86" t="str">
        <f>IFERROR(VLOOKUP(B655,'02. MM-KLH'!$B$6:$T$823,4,0),"")</f>
        <v/>
      </c>
      <c r="F655" s="190"/>
      <c r="G655" s="86" t="str">
        <f>IFERROR(VLOOKUP(B655,'02. MM-KLH'!$B$6:$T$823,6,0),"")</f>
        <v>Máy cắt cỏ trục băm đa năng</v>
      </c>
      <c r="H655" s="80" t="s">
        <v>6187</v>
      </c>
      <c r="I655" s="80" t="str">
        <f>IFERROR(VLOOKUP(B655,'02. MM-KLH'!$B$6:$T$823,8,0),"")</f>
        <v>XN Chuối LP3</v>
      </c>
      <c r="J655" s="99" t="str">
        <f>IFERROR(VLOOKUP(B655,'02. MM-KLH'!$B$6:$T$823,9,0),"")</f>
        <v>25/06/2025</v>
      </c>
      <c r="K655" s="80" t="str">
        <f>IFERROR(VLOOKUP(B655,'02. MM-KLH'!$B$6:$T$823,10,0),"")</f>
        <v>Bình thường</v>
      </c>
      <c r="L655" s="102" t="str">
        <f>IFERROR(VLOOKUP(B655,'02. MM-KLH'!$B$6:$T$823,11,0),"")</f>
        <v/>
      </c>
      <c r="M655" s="143" t="str">
        <f>IFERROR(VLOOKUP(B655,'02. MM-KLH'!$B$6:$T$823,12,0),"")</f>
        <v>Đầu tư mới</v>
      </c>
      <c r="N655" s="108" t="str">
        <f>IFERROR(VLOOKUP(B655,'02. MM-KLH'!$B$6:$T$823,13,0),"")</f>
        <v>ISHIKAWA</v>
      </c>
      <c r="O655" s="108" t="str">
        <f>IFERROR(VLOOKUP(B655,'02. MM-KLH'!$B$6:$T$823,14,0),"")</f>
        <v>VIỆT NAM</v>
      </c>
      <c r="P655" s="80">
        <f>IFERROR(VLOOKUP(B655,'02. MM-KLH'!$B$6:$T$823,15,0),"")</f>
        <v>2025</v>
      </c>
      <c r="Q655" s="80" t="str">
        <f>IFERROR(VLOOKUP(B655,'02. MM-KLH'!$B$6:$T$823,16,0),"")</f>
        <v>TL662</v>
      </c>
      <c r="R655" s="106" t="str">
        <f>IFERROR(VLOOKUP(B655,'02. MM-KLH'!$B$6:$T$823,17,0),"")</f>
        <v>10HP</v>
      </c>
      <c r="S655" s="108" t="str">
        <f>IFERROR(VLOOKUP(B655,'02. MM-KLH'!$B$6:$T$823,18,0),"")</f>
        <v>TL202506014016</v>
      </c>
      <c r="T655" s="110" t="str">
        <f>IFERROR(VLOOKUP(B655,'02. MM-KLH'!$B$6:$T$823,19,0),"")</f>
        <v>GT1000B0042102CD</v>
      </c>
      <c r="U655" s="130" t="s">
        <v>2301</v>
      </c>
    </row>
    <row r="656" ht="13.5" customHeight="1">
      <c r="A656" s="95">
        <f t="shared" si="31"/>
        <v>26</v>
      </c>
      <c r="B656" s="115" t="s">
        <v>983</v>
      </c>
      <c r="C656" s="86" t="str">
        <f>IFERROR(VLOOKUP(B656,'02. MM-KLH'!$B$6:$T$823,2,0),"")</f>
        <v/>
      </c>
      <c r="D656" s="95" t="str">
        <f>IFERROR(VLOOKUP(B656,'02. MM-KLH'!$B$6:$T$823,3,0),"")</f>
        <v>A23-CCD-001</v>
      </c>
      <c r="E656" s="86" t="str">
        <f>IFERROR(VLOOKUP(B656,'02. MM-KLH'!$B$6:$T$823,4,0),"")</f>
        <v/>
      </c>
      <c r="F656" s="190"/>
      <c r="G656" s="86" t="str">
        <f>IFERROR(VLOOKUP(B656,'02. MM-KLH'!$B$6:$T$823,6,0),"")</f>
        <v>Máy cắt cỏ trục băm đa năng</v>
      </c>
      <c r="H656" s="80" t="s">
        <v>6187</v>
      </c>
      <c r="I656" s="80" t="str">
        <f>IFERROR(VLOOKUP(B656,'02. MM-KLH'!$B$6:$T$823,8,0),"")</f>
        <v>XN Chuối DP1</v>
      </c>
      <c r="J656" s="99" t="str">
        <f>IFERROR(VLOOKUP(B656,'02. MM-KLH'!$B$6:$T$823,9,0),"")</f>
        <v>25/06/2025</v>
      </c>
      <c r="K656" s="80" t="str">
        <f>IFERROR(VLOOKUP(B656,'02. MM-KLH'!$B$6:$T$823,10,0),"")</f>
        <v>Bình thường</v>
      </c>
      <c r="L656" s="102" t="str">
        <f>IFERROR(VLOOKUP(B656,'02. MM-KLH'!$B$6:$T$823,11,0),"")</f>
        <v/>
      </c>
      <c r="M656" s="143" t="str">
        <f>IFERROR(VLOOKUP(B656,'02. MM-KLH'!$B$6:$T$823,12,0),"")</f>
        <v>Đầu tư mới</v>
      </c>
      <c r="N656" s="108" t="str">
        <f>IFERROR(VLOOKUP(B656,'02. MM-KLH'!$B$6:$T$823,13,0),"")</f>
        <v>ISHIKAWA</v>
      </c>
      <c r="O656" s="108" t="str">
        <f>IFERROR(VLOOKUP(B656,'02. MM-KLH'!$B$6:$T$823,14,0),"")</f>
        <v>VIỆT NAM</v>
      </c>
      <c r="P656" s="80">
        <f>IFERROR(VLOOKUP(B656,'02. MM-KLH'!$B$6:$T$823,15,0),"")</f>
        <v>2025</v>
      </c>
      <c r="Q656" s="80" t="str">
        <f>IFERROR(VLOOKUP(B656,'02. MM-KLH'!$B$6:$T$823,16,0),"")</f>
        <v>TL662</v>
      </c>
      <c r="R656" s="106" t="str">
        <f>IFERROR(VLOOKUP(B656,'02. MM-KLH'!$B$6:$T$823,17,0),"")</f>
        <v>10HP</v>
      </c>
      <c r="S656" s="108" t="str">
        <f>IFERROR(VLOOKUP(B656,'02. MM-KLH'!$B$6:$T$823,18,0),"")</f>
        <v>TL20250601401</v>
      </c>
      <c r="T656" s="110" t="str">
        <f>IFERROR(VLOOKUP(B656,'02. MM-KLH'!$B$6:$T$823,19,0),"")</f>
        <v>GT1000B0042098CD</v>
      </c>
      <c r="U656" s="130" t="s">
        <v>2301</v>
      </c>
    </row>
    <row r="657" ht="13.5" customHeight="1">
      <c r="A657" s="95">
        <f t="shared" si="31"/>
        <v>27</v>
      </c>
      <c r="B657" s="115" t="s">
        <v>991</v>
      </c>
      <c r="C657" s="86" t="str">
        <f>IFERROR(VLOOKUP(B657,'02. MM-KLH'!$B$6:$T$823,2,0),"")</f>
        <v/>
      </c>
      <c r="D657" s="95" t="str">
        <f>IFERROR(VLOOKUP(B657,'02. MM-KLH'!$B$6:$T$823,3,0),"")</f>
        <v>A23-CCD-002</v>
      </c>
      <c r="E657" s="86" t="str">
        <f>IFERROR(VLOOKUP(B657,'02. MM-KLH'!$B$6:$T$823,4,0),"")</f>
        <v/>
      </c>
      <c r="F657" s="190"/>
      <c r="G657" s="86" t="str">
        <f>IFERROR(VLOOKUP(B657,'02. MM-KLH'!$B$6:$T$823,6,0),"")</f>
        <v>Máy cắt cỏ trục băm đa năng</v>
      </c>
      <c r="H657" s="80" t="s">
        <v>6187</v>
      </c>
      <c r="I657" s="80" t="str">
        <f>IFERROR(VLOOKUP(B657,'02. MM-KLH'!$B$6:$T$823,8,0),"")</f>
        <v>XN Chuối DP1</v>
      </c>
      <c r="J657" s="99" t="str">
        <f>IFERROR(VLOOKUP(B657,'02. MM-KLH'!$B$6:$T$823,9,0),"")</f>
        <v>25/06/2025</v>
      </c>
      <c r="K657" s="80" t="str">
        <f>IFERROR(VLOOKUP(B657,'02. MM-KLH'!$B$6:$T$823,10,0),"")</f>
        <v>Bình thường</v>
      </c>
      <c r="L657" s="102" t="str">
        <f>IFERROR(VLOOKUP(B657,'02. MM-KLH'!$B$6:$T$823,11,0),"")</f>
        <v/>
      </c>
      <c r="M657" s="143" t="str">
        <f>IFERROR(VLOOKUP(B657,'02. MM-KLH'!$B$6:$T$823,12,0),"")</f>
        <v>Đầu tư mới</v>
      </c>
      <c r="N657" s="108" t="str">
        <f>IFERROR(VLOOKUP(B657,'02. MM-KLH'!$B$6:$T$823,13,0),"")</f>
        <v>ISHIKAWA</v>
      </c>
      <c r="O657" s="108" t="str">
        <f>IFERROR(VLOOKUP(B657,'02. MM-KLH'!$B$6:$T$823,14,0),"")</f>
        <v>VIỆT NAM</v>
      </c>
      <c r="P657" s="80">
        <f>IFERROR(VLOOKUP(B657,'02. MM-KLH'!$B$6:$T$823,15,0),"")</f>
        <v>2025</v>
      </c>
      <c r="Q657" s="80" t="str">
        <f>IFERROR(VLOOKUP(B657,'02. MM-KLH'!$B$6:$T$823,16,0),"")</f>
        <v>TL662</v>
      </c>
      <c r="R657" s="106" t="str">
        <f>IFERROR(VLOOKUP(B657,'02. MM-KLH'!$B$6:$T$823,17,0),"")</f>
        <v>10HP</v>
      </c>
      <c r="S657" s="108" t="str">
        <f>IFERROR(VLOOKUP(B657,'02. MM-KLH'!$B$6:$T$823,18,0),"")</f>
        <v>TL20250601402</v>
      </c>
      <c r="T657" s="110" t="str">
        <f>IFERROR(VLOOKUP(B657,'02. MM-KLH'!$B$6:$T$823,19,0),"")</f>
        <v>GT1000B0042097CD</v>
      </c>
      <c r="U657" s="130" t="s">
        <v>2301</v>
      </c>
    </row>
    <row r="658" ht="13.5" customHeight="1">
      <c r="A658" s="95">
        <f t="shared" si="31"/>
        <v>28</v>
      </c>
      <c r="B658" s="115" t="s">
        <v>995</v>
      </c>
      <c r="C658" s="86" t="str">
        <f>IFERROR(VLOOKUP(B658,'02. MM-KLH'!$B$6:$T$823,2,0),"")</f>
        <v/>
      </c>
      <c r="D658" s="95" t="str">
        <f>IFERROR(VLOOKUP(B658,'02. MM-KLH'!$B$6:$T$823,3,0),"")</f>
        <v>A23-CCD-003</v>
      </c>
      <c r="E658" s="86" t="str">
        <f>IFERROR(VLOOKUP(B658,'02. MM-KLH'!$B$6:$T$823,4,0),"")</f>
        <v/>
      </c>
      <c r="F658" s="190"/>
      <c r="G658" s="86" t="str">
        <f>IFERROR(VLOOKUP(B658,'02. MM-KLH'!$B$6:$T$823,6,0),"")</f>
        <v>Máy cắt cỏ trục băm đa năng</v>
      </c>
      <c r="H658" s="80" t="s">
        <v>6187</v>
      </c>
      <c r="I658" s="80" t="str">
        <f>IFERROR(VLOOKUP(B658,'02. MM-KLH'!$B$6:$T$823,8,0),"")</f>
        <v>XN Chuối DP1</v>
      </c>
      <c r="J658" s="99" t="str">
        <f>IFERROR(VLOOKUP(B658,'02. MM-KLH'!$B$6:$T$823,9,0),"")</f>
        <v>25/06/2025</v>
      </c>
      <c r="K658" s="80" t="str">
        <f>IFERROR(VLOOKUP(B658,'02. MM-KLH'!$B$6:$T$823,10,0),"")</f>
        <v>Bình thường</v>
      </c>
      <c r="L658" s="102" t="str">
        <f>IFERROR(VLOOKUP(B658,'02. MM-KLH'!$B$6:$T$823,11,0),"")</f>
        <v/>
      </c>
      <c r="M658" s="143" t="str">
        <f>IFERROR(VLOOKUP(B658,'02. MM-KLH'!$B$6:$T$823,12,0),"")</f>
        <v>Đầu tư mới</v>
      </c>
      <c r="N658" s="108" t="str">
        <f>IFERROR(VLOOKUP(B658,'02. MM-KLH'!$B$6:$T$823,13,0),"")</f>
        <v>ISHIKAWA</v>
      </c>
      <c r="O658" s="108" t="str">
        <f>IFERROR(VLOOKUP(B658,'02. MM-KLH'!$B$6:$T$823,14,0),"")</f>
        <v>VIỆT NAM</v>
      </c>
      <c r="P658" s="80">
        <f>IFERROR(VLOOKUP(B658,'02. MM-KLH'!$B$6:$T$823,15,0),"")</f>
        <v>2025</v>
      </c>
      <c r="Q658" s="80" t="str">
        <f>IFERROR(VLOOKUP(B658,'02. MM-KLH'!$B$6:$T$823,16,0),"")</f>
        <v>TL662</v>
      </c>
      <c r="R658" s="106" t="str">
        <f>IFERROR(VLOOKUP(B658,'02. MM-KLH'!$B$6:$T$823,17,0),"")</f>
        <v>10HP</v>
      </c>
      <c r="S658" s="108" t="str">
        <f>IFERROR(VLOOKUP(B658,'02. MM-KLH'!$B$6:$T$823,18,0),"")</f>
        <v>TL20250601407</v>
      </c>
      <c r="T658" s="110" t="str">
        <f>IFERROR(VLOOKUP(B658,'02. MM-KLH'!$B$6:$T$823,19,0),"")</f>
        <v>GT1000B0042095CD</v>
      </c>
      <c r="U658" s="130" t="s">
        <v>2301</v>
      </c>
    </row>
    <row r="659" ht="13.5" customHeight="1">
      <c r="A659" s="95">
        <f t="shared" si="31"/>
        <v>29</v>
      </c>
      <c r="B659" s="115" t="s">
        <v>999</v>
      </c>
      <c r="C659" s="86" t="str">
        <f>IFERROR(VLOOKUP(B659,'02. MM-KLH'!$B$6:$T$823,2,0),"")</f>
        <v/>
      </c>
      <c r="D659" s="95" t="str">
        <f>IFERROR(VLOOKUP(B659,'02. MM-KLH'!$B$6:$T$823,3,0),"")</f>
        <v>A23-CCD-004</v>
      </c>
      <c r="E659" s="86" t="str">
        <f>IFERROR(VLOOKUP(B659,'02. MM-KLH'!$B$6:$T$823,4,0),"")</f>
        <v/>
      </c>
      <c r="F659" s="190"/>
      <c r="G659" s="86" t="str">
        <f>IFERROR(VLOOKUP(B659,'02. MM-KLH'!$B$6:$T$823,6,0),"")</f>
        <v>Máy cắt cỏ trục băm đa năng</v>
      </c>
      <c r="H659" s="80" t="s">
        <v>6187</v>
      </c>
      <c r="I659" s="80" t="str">
        <f>IFERROR(VLOOKUP(B659,'02. MM-KLH'!$B$6:$T$823,8,0),"")</f>
        <v>XN Chuối DP1</v>
      </c>
      <c r="J659" s="99" t="str">
        <f>IFERROR(VLOOKUP(B659,'02. MM-KLH'!$B$6:$T$823,9,0),"")</f>
        <v>25/06/2025</v>
      </c>
      <c r="K659" s="80" t="str">
        <f>IFERROR(VLOOKUP(B659,'02. MM-KLH'!$B$6:$T$823,10,0),"")</f>
        <v>Bình thường</v>
      </c>
      <c r="L659" s="102" t="str">
        <f>IFERROR(VLOOKUP(B659,'02. MM-KLH'!$B$6:$T$823,11,0),"")</f>
        <v/>
      </c>
      <c r="M659" s="143" t="str">
        <f>IFERROR(VLOOKUP(B659,'02. MM-KLH'!$B$6:$T$823,12,0),"")</f>
        <v>Đầu tư mới</v>
      </c>
      <c r="N659" s="108" t="str">
        <f>IFERROR(VLOOKUP(B659,'02. MM-KLH'!$B$6:$T$823,13,0),"")</f>
        <v>ISHIKAWA</v>
      </c>
      <c r="O659" s="108" t="str">
        <f>IFERROR(VLOOKUP(B659,'02. MM-KLH'!$B$6:$T$823,14,0),"")</f>
        <v>VIỆT NAM</v>
      </c>
      <c r="P659" s="80">
        <f>IFERROR(VLOOKUP(B659,'02. MM-KLH'!$B$6:$T$823,15,0),"")</f>
        <v>2025</v>
      </c>
      <c r="Q659" s="80" t="str">
        <f>IFERROR(VLOOKUP(B659,'02. MM-KLH'!$B$6:$T$823,16,0),"")</f>
        <v>TL662</v>
      </c>
      <c r="R659" s="106" t="str">
        <f>IFERROR(VLOOKUP(B659,'02. MM-KLH'!$B$6:$T$823,17,0),"")</f>
        <v>10HP</v>
      </c>
      <c r="S659" s="108" t="str">
        <f>IFERROR(VLOOKUP(B659,'02. MM-KLH'!$B$6:$T$823,18,0),"")</f>
        <v>TL20250601408</v>
      </c>
      <c r="T659" s="110" t="str">
        <f>IFERROR(VLOOKUP(B659,'02. MM-KLH'!$B$6:$T$823,19,0),"")</f>
        <v>GT1000B0042141CD</v>
      </c>
      <c r="U659" s="130" t="s">
        <v>2301</v>
      </c>
    </row>
    <row r="660" ht="13.5" customHeight="1">
      <c r="A660" s="95">
        <f t="shared" si="31"/>
        <v>30</v>
      </c>
      <c r="B660" s="115" t="s">
        <v>1098</v>
      </c>
      <c r="C660" s="86" t="str">
        <f>IFERROR(VLOOKUP(B660,'02. MM-KLH'!$B$6:$T$823,2,0),"")</f>
        <v/>
      </c>
      <c r="D660" s="95" t="str">
        <f>IFERROR(VLOOKUP(B660,'02. MM-KLH'!$B$6:$T$823,3,0),"")</f>
        <v>A23-CCD-005</v>
      </c>
      <c r="E660" s="86" t="str">
        <f>IFERROR(VLOOKUP(B660,'02. MM-KLH'!$B$6:$T$823,4,0),"")</f>
        <v/>
      </c>
      <c r="F660" s="190"/>
      <c r="G660" s="86" t="str">
        <f>IFERROR(VLOOKUP(B660,'02. MM-KLH'!$B$6:$T$823,6,0),"")</f>
        <v>Máy cắt cỏ trục băm đa năng</v>
      </c>
      <c r="H660" s="80" t="s">
        <v>6187</v>
      </c>
      <c r="I660" s="80" t="str">
        <f>IFERROR(VLOOKUP(B660,'02. MM-KLH'!$B$6:$T$823,8,0),"")</f>
        <v>XN Chuối DP2</v>
      </c>
      <c r="J660" s="99" t="str">
        <f>IFERROR(VLOOKUP(B660,'02. MM-KLH'!$B$6:$T$823,9,0),"")</f>
        <v>25/06/2025</v>
      </c>
      <c r="K660" s="80" t="str">
        <f>IFERROR(VLOOKUP(B660,'02. MM-KLH'!$B$6:$T$823,10,0),"")</f>
        <v>Bình thường</v>
      </c>
      <c r="L660" s="102" t="str">
        <f>IFERROR(VLOOKUP(B660,'02. MM-KLH'!$B$6:$T$823,11,0),"")</f>
        <v/>
      </c>
      <c r="M660" s="143" t="str">
        <f>IFERROR(VLOOKUP(B660,'02. MM-KLH'!$B$6:$T$823,12,0),"")</f>
        <v>Đầu tư mới</v>
      </c>
      <c r="N660" s="108" t="str">
        <f>IFERROR(VLOOKUP(B660,'02. MM-KLH'!$B$6:$T$823,13,0),"")</f>
        <v>ISHIKAWA</v>
      </c>
      <c r="O660" s="108" t="str">
        <f>IFERROR(VLOOKUP(B660,'02. MM-KLH'!$B$6:$T$823,14,0),"")</f>
        <v>VIỆT NAM</v>
      </c>
      <c r="P660" s="80">
        <f>IFERROR(VLOOKUP(B660,'02. MM-KLH'!$B$6:$T$823,15,0),"")</f>
        <v>2025</v>
      </c>
      <c r="Q660" s="80" t="str">
        <f>IFERROR(VLOOKUP(B660,'02. MM-KLH'!$B$6:$T$823,16,0),"")</f>
        <v>TL662</v>
      </c>
      <c r="R660" s="106" t="str">
        <f>IFERROR(VLOOKUP(B660,'02. MM-KLH'!$B$6:$T$823,17,0),"")</f>
        <v>10HP</v>
      </c>
      <c r="S660" s="108" t="str">
        <f>IFERROR(VLOOKUP(B660,'02. MM-KLH'!$B$6:$T$823,18,0),"")</f>
        <v>TL20250601404</v>
      </c>
      <c r="T660" s="110" t="str">
        <f>IFERROR(VLOOKUP(B660,'02. MM-KLH'!$B$6:$T$823,19,0),"")</f>
        <v>GT1000B0042094CD</v>
      </c>
      <c r="U660" s="130" t="s">
        <v>2301</v>
      </c>
    </row>
    <row r="661" ht="13.5" customHeight="1">
      <c r="A661" s="95">
        <f t="shared" si="31"/>
        <v>31</v>
      </c>
      <c r="B661" s="115" t="s">
        <v>1103</v>
      </c>
      <c r="C661" s="86" t="str">
        <f>IFERROR(VLOOKUP(B661,'02. MM-KLH'!$B$6:$T$823,2,0),"")</f>
        <v/>
      </c>
      <c r="D661" s="95" t="str">
        <f>IFERROR(VLOOKUP(B661,'02. MM-KLH'!$B$6:$T$823,3,0),"")</f>
        <v>A23-CCD-006</v>
      </c>
      <c r="E661" s="86" t="str">
        <f>IFERROR(VLOOKUP(B661,'02. MM-KLH'!$B$6:$T$823,4,0),"")</f>
        <v/>
      </c>
      <c r="F661" s="190"/>
      <c r="G661" s="86" t="str">
        <f>IFERROR(VLOOKUP(B661,'02. MM-KLH'!$B$6:$T$823,6,0),"")</f>
        <v>Máy cắt cỏ trục băm đa năng</v>
      </c>
      <c r="H661" s="80" t="s">
        <v>6187</v>
      </c>
      <c r="I661" s="80" t="str">
        <f>IFERROR(VLOOKUP(B661,'02. MM-KLH'!$B$6:$T$823,8,0),"")</f>
        <v>XN Chuối DP2</v>
      </c>
      <c r="J661" s="99" t="str">
        <f>IFERROR(VLOOKUP(B661,'02. MM-KLH'!$B$6:$T$823,9,0),"")</f>
        <v>25/06/2025</v>
      </c>
      <c r="K661" s="80" t="str">
        <f>IFERROR(VLOOKUP(B661,'02. MM-KLH'!$B$6:$T$823,10,0),"")</f>
        <v>Bình thường</v>
      </c>
      <c r="L661" s="102" t="str">
        <f>IFERROR(VLOOKUP(B661,'02. MM-KLH'!$B$6:$T$823,11,0),"")</f>
        <v/>
      </c>
      <c r="M661" s="143" t="str">
        <f>IFERROR(VLOOKUP(B661,'02. MM-KLH'!$B$6:$T$823,12,0),"")</f>
        <v>Đầu tư mới</v>
      </c>
      <c r="N661" s="108" t="str">
        <f>IFERROR(VLOOKUP(B661,'02. MM-KLH'!$B$6:$T$823,13,0),"")</f>
        <v>ISHIKAWA</v>
      </c>
      <c r="O661" s="108" t="str">
        <f>IFERROR(VLOOKUP(B661,'02. MM-KLH'!$B$6:$T$823,14,0),"")</f>
        <v>VIỆT NAM</v>
      </c>
      <c r="P661" s="80">
        <f>IFERROR(VLOOKUP(B661,'02. MM-KLH'!$B$6:$T$823,15,0),"")</f>
        <v>2025</v>
      </c>
      <c r="Q661" s="80" t="str">
        <f>IFERROR(VLOOKUP(B661,'02. MM-KLH'!$B$6:$T$823,16,0),"")</f>
        <v>TL662</v>
      </c>
      <c r="R661" s="106" t="str">
        <f>IFERROR(VLOOKUP(B661,'02. MM-KLH'!$B$6:$T$823,17,0),"")</f>
        <v>10HP</v>
      </c>
      <c r="S661" s="108" t="str">
        <f>IFERROR(VLOOKUP(B661,'02. MM-KLH'!$B$6:$T$823,18,0),"")</f>
        <v>TL202506014015</v>
      </c>
      <c r="T661" s="110" t="str">
        <f>IFERROR(VLOOKUP(B661,'02. MM-KLH'!$B$6:$T$823,19,0),"")</f>
        <v>GT1000B0042109CD</v>
      </c>
      <c r="U661" s="130" t="s">
        <v>2301</v>
      </c>
    </row>
    <row r="662" ht="13.5" customHeight="1">
      <c r="A662" s="95">
        <f t="shared" si="31"/>
        <v>32</v>
      </c>
      <c r="B662" s="115" t="s">
        <v>1107</v>
      </c>
      <c r="C662" s="86" t="str">
        <f>IFERROR(VLOOKUP(B662,'02. MM-KLH'!$B$6:$T$823,2,0),"")</f>
        <v/>
      </c>
      <c r="D662" s="95" t="str">
        <f>IFERROR(VLOOKUP(B662,'02. MM-KLH'!$B$6:$T$823,3,0),"")</f>
        <v>A23-CCD-007</v>
      </c>
      <c r="E662" s="86" t="str">
        <f>IFERROR(VLOOKUP(B662,'02. MM-KLH'!$B$6:$T$823,4,0),"")</f>
        <v/>
      </c>
      <c r="F662" s="190"/>
      <c r="G662" s="86" t="str">
        <f>IFERROR(VLOOKUP(B662,'02. MM-KLH'!$B$6:$T$823,6,0),"")</f>
        <v>Máy cắt cỏ trục băm đa năng</v>
      </c>
      <c r="H662" s="80" t="s">
        <v>6187</v>
      </c>
      <c r="I662" s="80" t="str">
        <f>IFERROR(VLOOKUP(B662,'02. MM-KLH'!$B$6:$T$823,8,0),"")</f>
        <v>XN Chuối DP2</v>
      </c>
      <c r="J662" s="99" t="str">
        <f>IFERROR(VLOOKUP(B662,'02. MM-KLH'!$B$6:$T$823,9,0),"")</f>
        <v>25/06/2025</v>
      </c>
      <c r="K662" s="80" t="str">
        <f>IFERROR(VLOOKUP(B662,'02. MM-KLH'!$B$6:$T$823,10,0),"")</f>
        <v>Bình thường</v>
      </c>
      <c r="L662" s="102" t="str">
        <f>IFERROR(VLOOKUP(B662,'02. MM-KLH'!$B$6:$T$823,11,0),"")</f>
        <v/>
      </c>
      <c r="M662" s="143" t="str">
        <f>IFERROR(VLOOKUP(B662,'02. MM-KLH'!$B$6:$T$823,12,0),"")</f>
        <v>Đầu tư mới</v>
      </c>
      <c r="N662" s="108" t="str">
        <f>IFERROR(VLOOKUP(B662,'02. MM-KLH'!$B$6:$T$823,13,0),"")</f>
        <v>ISHIKAWA</v>
      </c>
      <c r="O662" s="108" t="str">
        <f>IFERROR(VLOOKUP(B662,'02. MM-KLH'!$B$6:$T$823,14,0),"")</f>
        <v>VIỆT NAM</v>
      </c>
      <c r="P662" s="80">
        <f>IFERROR(VLOOKUP(B662,'02. MM-KLH'!$B$6:$T$823,15,0),"")</f>
        <v>2025</v>
      </c>
      <c r="Q662" s="80" t="str">
        <f>IFERROR(VLOOKUP(B662,'02. MM-KLH'!$B$6:$T$823,16,0),"")</f>
        <v>TL662</v>
      </c>
      <c r="R662" s="106" t="str">
        <f>IFERROR(VLOOKUP(B662,'02. MM-KLH'!$B$6:$T$823,17,0),"")</f>
        <v>10HP</v>
      </c>
      <c r="S662" s="108" t="str">
        <f>IFERROR(VLOOKUP(B662,'02. MM-KLH'!$B$6:$T$823,18,0),"")</f>
        <v>TL202506014017</v>
      </c>
      <c r="T662" s="110" t="str">
        <f>IFERROR(VLOOKUP(B662,'02. MM-KLH'!$B$6:$T$823,19,0),"")</f>
        <v>GT1000B0042099CD</v>
      </c>
      <c r="U662" s="130" t="s">
        <v>2301</v>
      </c>
    </row>
    <row r="663" ht="13.5" customHeight="1">
      <c r="A663" s="95">
        <f t="shared" si="31"/>
        <v>33</v>
      </c>
      <c r="B663" s="115" t="s">
        <v>1111</v>
      </c>
      <c r="C663" s="86" t="str">
        <f>IFERROR(VLOOKUP(B663,'02. MM-KLH'!$B$6:$T$823,2,0),"")</f>
        <v/>
      </c>
      <c r="D663" s="95" t="str">
        <f>IFERROR(VLOOKUP(B663,'02. MM-KLH'!$B$6:$T$823,3,0),"")</f>
        <v>A23-CCD-008</v>
      </c>
      <c r="E663" s="86" t="str">
        <f>IFERROR(VLOOKUP(B663,'02. MM-KLH'!$B$6:$T$823,4,0),"")</f>
        <v/>
      </c>
      <c r="F663" s="190"/>
      <c r="G663" s="86" t="str">
        <f>IFERROR(VLOOKUP(B663,'02. MM-KLH'!$B$6:$T$823,6,0),"")</f>
        <v>Máy cắt cỏ trục băm đa năng</v>
      </c>
      <c r="H663" s="80" t="s">
        <v>6187</v>
      </c>
      <c r="I663" s="80" t="str">
        <f>IFERROR(VLOOKUP(B663,'02. MM-KLH'!$B$6:$T$823,8,0),"")</f>
        <v>XN Chuối DP2</v>
      </c>
      <c r="J663" s="99" t="str">
        <f>IFERROR(VLOOKUP(B663,'02. MM-KLH'!$B$6:$T$823,9,0),"")</f>
        <v>25/06/2025</v>
      </c>
      <c r="K663" s="80" t="str">
        <f>IFERROR(VLOOKUP(B663,'02. MM-KLH'!$B$6:$T$823,10,0),"")</f>
        <v>Bình thường</v>
      </c>
      <c r="L663" s="102" t="str">
        <f>IFERROR(VLOOKUP(B663,'02. MM-KLH'!$B$6:$T$823,11,0),"")</f>
        <v/>
      </c>
      <c r="M663" s="143" t="str">
        <f>IFERROR(VLOOKUP(B663,'02. MM-KLH'!$B$6:$T$823,12,0),"")</f>
        <v>Đầu tư mới</v>
      </c>
      <c r="N663" s="108" t="str">
        <f>IFERROR(VLOOKUP(B663,'02. MM-KLH'!$B$6:$T$823,13,0),"")</f>
        <v>ISHIKAWA</v>
      </c>
      <c r="O663" s="108" t="str">
        <f>IFERROR(VLOOKUP(B663,'02. MM-KLH'!$B$6:$T$823,14,0),"")</f>
        <v>VIỆT NAM</v>
      </c>
      <c r="P663" s="80">
        <f>IFERROR(VLOOKUP(B663,'02. MM-KLH'!$B$6:$T$823,15,0),"")</f>
        <v>2025</v>
      </c>
      <c r="Q663" s="80" t="str">
        <f>IFERROR(VLOOKUP(B663,'02. MM-KLH'!$B$6:$T$823,16,0),"")</f>
        <v>TL662</v>
      </c>
      <c r="R663" s="106" t="str">
        <f>IFERROR(VLOOKUP(B663,'02. MM-KLH'!$B$6:$T$823,17,0),"")</f>
        <v>10HP</v>
      </c>
      <c r="S663" s="108" t="str">
        <f>IFERROR(VLOOKUP(B663,'02. MM-KLH'!$B$6:$T$823,18,0),"")</f>
        <v>TL202506014020</v>
      </c>
      <c r="T663" s="110" t="str">
        <f>IFERROR(VLOOKUP(B663,'02. MM-KLH'!$B$6:$T$823,19,0),"")</f>
        <v>GT1000B0042092CD</v>
      </c>
      <c r="U663" s="130" t="s">
        <v>2301</v>
      </c>
    </row>
    <row r="664" ht="13.5" customHeight="1">
      <c r="A664" s="95">
        <f t="shared" si="31"/>
        <v>34</v>
      </c>
      <c r="B664" s="115" t="s">
        <v>1215</v>
      </c>
      <c r="C664" s="86" t="str">
        <f>IFERROR(VLOOKUP(B664,'02. MM-KLH'!$B$6:$T$823,2,0),"")</f>
        <v/>
      </c>
      <c r="D664" s="95" t="str">
        <f>IFERROR(VLOOKUP(B664,'02. MM-KLH'!$B$6:$T$823,3,0),"")</f>
        <v>A23-CCD-009</v>
      </c>
      <c r="E664" s="86" t="str">
        <f>IFERROR(VLOOKUP(B664,'02. MM-KLH'!$B$6:$T$823,4,0),"")</f>
        <v/>
      </c>
      <c r="F664" s="190"/>
      <c r="G664" s="86" t="str">
        <f>IFERROR(VLOOKUP(B664,'02. MM-KLH'!$B$6:$T$823,6,0),"")</f>
        <v>Máy cắt cỏ trục băm đa năng</v>
      </c>
      <c r="H664" s="80" t="s">
        <v>6187</v>
      </c>
      <c r="I664" s="80" t="str">
        <f>IFERROR(VLOOKUP(B664,'02. MM-KLH'!$B$6:$T$823,8,0),"")</f>
        <v>XN Chuối DP3</v>
      </c>
      <c r="J664" s="99" t="str">
        <f>IFERROR(VLOOKUP(B664,'02. MM-KLH'!$B$6:$T$823,9,0),"")</f>
        <v>25/06/2025</v>
      </c>
      <c r="K664" s="80" t="str">
        <f>IFERROR(VLOOKUP(B664,'02. MM-KLH'!$B$6:$T$823,10,0),"")</f>
        <v>Bình thường</v>
      </c>
      <c r="L664" s="102" t="str">
        <f>IFERROR(VLOOKUP(B664,'02. MM-KLH'!$B$6:$T$823,11,0),"")</f>
        <v/>
      </c>
      <c r="M664" s="143" t="str">
        <f>IFERROR(VLOOKUP(B664,'02. MM-KLH'!$B$6:$T$823,12,0),"")</f>
        <v>Đầu tư mới</v>
      </c>
      <c r="N664" s="108" t="str">
        <f>IFERROR(VLOOKUP(B664,'02. MM-KLH'!$B$6:$T$823,13,0),"")</f>
        <v>ISHIKAWA</v>
      </c>
      <c r="O664" s="108" t="str">
        <f>IFERROR(VLOOKUP(B664,'02. MM-KLH'!$B$6:$T$823,14,0),"")</f>
        <v>VIỆT NAM</v>
      </c>
      <c r="P664" s="80">
        <f>IFERROR(VLOOKUP(B664,'02. MM-KLH'!$B$6:$T$823,15,0),"")</f>
        <v>2025</v>
      </c>
      <c r="Q664" s="80" t="str">
        <f>IFERROR(VLOOKUP(B664,'02. MM-KLH'!$B$6:$T$823,16,0),"")</f>
        <v>TL662</v>
      </c>
      <c r="R664" s="106" t="str">
        <f>IFERROR(VLOOKUP(B664,'02. MM-KLH'!$B$6:$T$823,17,0),"")</f>
        <v>10HP</v>
      </c>
      <c r="S664" s="108" t="str">
        <f>IFERROR(VLOOKUP(B664,'02. MM-KLH'!$B$6:$T$823,18,0),"")</f>
        <v>TL20250601403</v>
      </c>
      <c r="T664" s="110" t="str">
        <f>IFERROR(VLOOKUP(B664,'02. MM-KLH'!$B$6:$T$823,19,0),"")</f>
        <v>GT1000B0037703CC</v>
      </c>
      <c r="U664" s="130" t="s">
        <v>2301</v>
      </c>
    </row>
    <row r="665" ht="13.5" customHeight="1">
      <c r="A665" s="95">
        <f t="shared" si="31"/>
        <v>35</v>
      </c>
      <c r="B665" s="115" t="s">
        <v>1219</v>
      </c>
      <c r="C665" s="86" t="str">
        <f>IFERROR(VLOOKUP(B665,'02. MM-KLH'!$B$6:$T$823,2,0),"")</f>
        <v/>
      </c>
      <c r="D665" s="95" t="str">
        <f>IFERROR(VLOOKUP(B665,'02. MM-KLH'!$B$6:$T$823,3,0),"")</f>
        <v>A23-CCD-010</v>
      </c>
      <c r="E665" s="86" t="str">
        <f>IFERROR(VLOOKUP(B665,'02. MM-KLH'!$B$6:$T$823,4,0),"")</f>
        <v/>
      </c>
      <c r="F665" s="190"/>
      <c r="G665" s="86" t="str">
        <f>IFERROR(VLOOKUP(B665,'02. MM-KLH'!$B$6:$T$823,6,0),"")</f>
        <v>Máy cắt cỏ trục băm đa năng</v>
      </c>
      <c r="H665" s="80" t="s">
        <v>6187</v>
      </c>
      <c r="I665" s="80" t="str">
        <f>IFERROR(VLOOKUP(B665,'02. MM-KLH'!$B$6:$T$823,8,0),"")</f>
        <v>XN Chuối DP3</v>
      </c>
      <c r="J665" s="99" t="str">
        <f>IFERROR(VLOOKUP(B665,'02. MM-KLH'!$B$6:$T$823,9,0),"")</f>
        <v>25/06/2025</v>
      </c>
      <c r="K665" s="80" t="str">
        <f>IFERROR(VLOOKUP(B665,'02. MM-KLH'!$B$6:$T$823,10,0),"")</f>
        <v>Bình thường</v>
      </c>
      <c r="L665" s="102" t="str">
        <f>IFERROR(VLOOKUP(B665,'02. MM-KLH'!$B$6:$T$823,11,0),"")</f>
        <v/>
      </c>
      <c r="M665" s="143" t="str">
        <f>IFERROR(VLOOKUP(B665,'02. MM-KLH'!$B$6:$T$823,12,0),"")</f>
        <v>Đầu tư mới</v>
      </c>
      <c r="N665" s="108" t="str">
        <f>IFERROR(VLOOKUP(B665,'02. MM-KLH'!$B$6:$T$823,13,0),"")</f>
        <v>ISHIKAWA</v>
      </c>
      <c r="O665" s="108" t="str">
        <f>IFERROR(VLOOKUP(B665,'02. MM-KLH'!$B$6:$T$823,14,0),"")</f>
        <v>VIỆT NAM</v>
      </c>
      <c r="P665" s="80">
        <f>IFERROR(VLOOKUP(B665,'02. MM-KLH'!$B$6:$T$823,15,0),"")</f>
        <v>2025</v>
      </c>
      <c r="Q665" s="80" t="str">
        <f>IFERROR(VLOOKUP(B665,'02. MM-KLH'!$B$6:$T$823,16,0),"")</f>
        <v>TL662</v>
      </c>
      <c r="R665" s="106" t="str">
        <f>IFERROR(VLOOKUP(B665,'02. MM-KLH'!$B$6:$T$823,17,0),"")</f>
        <v>10HP</v>
      </c>
      <c r="S665" s="108" t="str">
        <f>IFERROR(VLOOKUP(B665,'02. MM-KLH'!$B$6:$T$823,18,0),"")</f>
        <v>TL20250601405</v>
      </c>
      <c r="T665" s="110" t="str">
        <f>IFERROR(VLOOKUP(B665,'02. MM-KLH'!$B$6:$T$823,19,0),"")</f>
        <v>GT1000B0042145CD</v>
      </c>
      <c r="U665" s="130" t="s">
        <v>2301</v>
      </c>
    </row>
    <row r="666" ht="13.5" customHeight="1">
      <c r="A666" s="95">
        <f t="shared" si="31"/>
        <v>36</v>
      </c>
      <c r="B666" s="115" t="s">
        <v>1223</v>
      </c>
      <c r="C666" s="86" t="str">
        <f>IFERROR(VLOOKUP(B666,'02. MM-KLH'!$B$6:$T$823,2,0),"")</f>
        <v/>
      </c>
      <c r="D666" s="95" t="str">
        <f>IFERROR(VLOOKUP(B666,'02. MM-KLH'!$B$6:$T$823,3,0),"")</f>
        <v>A23-CCD-011</v>
      </c>
      <c r="E666" s="86" t="str">
        <f>IFERROR(VLOOKUP(B666,'02. MM-KLH'!$B$6:$T$823,4,0),"")</f>
        <v/>
      </c>
      <c r="F666" s="190"/>
      <c r="G666" s="86" t="str">
        <f>IFERROR(VLOOKUP(B666,'02. MM-KLH'!$B$6:$T$823,6,0),"")</f>
        <v>Máy cắt cỏ trục băm đa năng</v>
      </c>
      <c r="H666" s="80" t="s">
        <v>6187</v>
      </c>
      <c r="I666" s="80" t="str">
        <f>IFERROR(VLOOKUP(B666,'02. MM-KLH'!$B$6:$T$823,8,0),"")</f>
        <v>XN Chuối DP3</v>
      </c>
      <c r="J666" s="99" t="str">
        <f>IFERROR(VLOOKUP(B666,'02. MM-KLH'!$B$6:$T$823,9,0),"")</f>
        <v>25/06/2025</v>
      </c>
      <c r="K666" s="80" t="str">
        <f>IFERROR(VLOOKUP(B666,'02. MM-KLH'!$B$6:$T$823,10,0),"")</f>
        <v>Bình thường</v>
      </c>
      <c r="L666" s="102" t="str">
        <f>IFERROR(VLOOKUP(B666,'02. MM-KLH'!$B$6:$T$823,11,0),"")</f>
        <v/>
      </c>
      <c r="M666" s="143" t="str">
        <f>IFERROR(VLOOKUP(B666,'02. MM-KLH'!$B$6:$T$823,12,0),"")</f>
        <v>Đầu tư mới</v>
      </c>
      <c r="N666" s="108" t="str">
        <f>IFERROR(VLOOKUP(B666,'02. MM-KLH'!$B$6:$T$823,13,0),"")</f>
        <v>ISHIKAWA</v>
      </c>
      <c r="O666" s="108" t="str">
        <f>IFERROR(VLOOKUP(B666,'02. MM-KLH'!$B$6:$T$823,14,0),"")</f>
        <v>VIỆT NAM</v>
      </c>
      <c r="P666" s="80">
        <f>IFERROR(VLOOKUP(B666,'02. MM-KLH'!$B$6:$T$823,15,0),"")</f>
        <v>2025</v>
      </c>
      <c r="Q666" s="80" t="str">
        <f>IFERROR(VLOOKUP(B666,'02. MM-KLH'!$B$6:$T$823,16,0),"")</f>
        <v>TL662</v>
      </c>
      <c r="R666" s="106" t="str">
        <f>IFERROR(VLOOKUP(B666,'02. MM-KLH'!$B$6:$T$823,17,0),"")</f>
        <v>10HP</v>
      </c>
      <c r="S666" s="108" t="str">
        <f>IFERROR(VLOOKUP(B666,'02. MM-KLH'!$B$6:$T$823,18,0),"")</f>
        <v>TL202506014018</v>
      </c>
      <c r="T666" s="110" t="str">
        <f>IFERROR(VLOOKUP(B666,'02. MM-KLH'!$B$6:$T$823,19,0),"")</f>
        <v>GT1000B0012093CD</v>
      </c>
      <c r="U666" s="130" t="s">
        <v>2301</v>
      </c>
    </row>
    <row r="667" ht="13.5" customHeight="1">
      <c r="A667" s="95">
        <f t="shared" si="31"/>
        <v>37</v>
      </c>
      <c r="B667" s="115" t="s">
        <v>1227</v>
      </c>
      <c r="C667" s="86" t="str">
        <f>IFERROR(VLOOKUP(B667,'02. MM-KLH'!$B$6:$T$823,2,0),"")</f>
        <v/>
      </c>
      <c r="D667" s="95" t="str">
        <f>IFERROR(VLOOKUP(B667,'02. MM-KLH'!$B$6:$T$823,3,0),"")</f>
        <v>A23-CCD-012</v>
      </c>
      <c r="E667" s="86" t="str">
        <f>IFERROR(VLOOKUP(B667,'02. MM-KLH'!$B$6:$T$823,4,0),"")</f>
        <v/>
      </c>
      <c r="F667" s="190"/>
      <c r="G667" s="86" t="str">
        <f>IFERROR(VLOOKUP(B667,'02. MM-KLH'!$B$6:$T$823,6,0),"")</f>
        <v>Máy cắt cỏ trục băm đa năng</v>
      </c>
      <c r="H667" s="80" t="s">
        <v>6187</v>
      </c>
      <c r="I667" s="80" t="str">
        <f>IFERROR(VLOOKUP(B667,'02. MM-KLH'!$B$6:$T$823,8,0),"")</f>
        <v>XN Chuối DP3</v>
      </c>
      <c r="J667" s="99" t="str">
        <f>IFERROR(VLOOKUP(B667,'02. MM-KLH'!$B$6:$T$823,9,0),"")</f>
        <v>25/06/2025</v>
      </c>
      <c r="K667" s="80" t="str">
        <f>IFERROR(VLOOKUP(B667,'02. MM-KLH'!$B$6:$T$823,10,0),"")</f>
        <v>Bình thường</v>
      </c>
      <c r="L667" s="102" t="str">
        <f>IFERROR(VLOOKUP(B667,'02. MM-KLH'!$B$6:$T$823,11,0),"")</f>
        <v/>
      </c>
      <c r="M667" s="143" t="str">
        <f>IFERROR(VLOOKUP(B667,'02. MM-KLH'!$B$6:$T$823,12,0),"")</f>
        <v>Đầu tư mới</v>
      </c>
      <c r="N667" s="108" t="str">
        <f>IFERROR(VLOOKUP(B667,'02. MM-KLH'!$B$6:$T$823,13,0),"")</f>
        <v>ISHIKAWA</v>
      </c>
      <c r="O667" s="108" t="str">
        <f>IFERROR(VLOOKUP(B667,'02. MM-KLH'!$B$6:$T$823,14,0),"")</f>
        <v>VIỆT NAM</v>
      </c>
      <c r="P667" s="80">
        <f>IFERROR(VLOOKUP(B667,'02. MM-KLH'!$B$6:$T$823,15,0),"")</f>
        <v>2025</v>
      </c>
      <c r="Q667" s="80" t="str">
        <f>IFERROR(VLOOKUP(B667,'02. MM-KLH'!$B$6:$T$823,16,0),"")</f>
        <v>TL662</v>
      </c>
      <c r="R667" s="106" t="str">
        <f>IFERROR(VLOOKUP(B667,'02. MM-KLH'!$B$6:$T$823,17,0),"")</f>
        <v>10HP</v>
      </c>
      <c r="S667" s="108" t="str">
        <f>IFERROR(VLOOKUP(B667,'02. MM-KLH'!$B$6:$T$823,18,0),"")</f>
        <v>TL202506014019</v>
      </c>
      <c r="T667" s="110" t="str">
        <f>IFERROR(VLOOKUP(B667,'02. MM-KLH'!$B$6:$T$823,19,0),"")</f>
        <v>GT1000B0042106CD</v>
      </c>
      <c r="U667" s="130" t="s">
        <v>2301</v>
      </c>
    </row>
    <row r="668" ht="13.5" customHeight="1">
      <c r="A668" s="95">
        <f t="shared" si="31"/>
        <v>38</v>
      </c>
      <c r="B668" s="115" t="s">
        <v>1231</v>
      </c>
      <c r="C668" s="86" t="str">
        <f>IFERROR(VLOOKUP(B668,'02. MM-KLH'!$B$6:$T$823,2,0),"")</f>
        <v/>
      </c>
      <c r="D668" s="95" t="str">
        <f>IFERROR(VLOOKUP(B668,'02. MM-KLH'!$B$6:$T$823,3,0),"")</f>
        <v/>
      </c>
      <c r="E668" s="86" t="str">
        <f>IFERROR(VLOOKUP(B668,'02. MM-KLH'!$B$6:$T$823,4,0),"")</f>
        <v/>
      </c>
      <c r="F668" s="190"/>
      <c r="G668" s="86" t="str">
        <f>IFERROR(VLOOKUP(B668,'02. MM-KLH'!$B$6:$T$823,6,0),"")</f>
        <v>Máy cắt cỏ trục băm đa năng</v>
      </c>
      <c r="H668" s="80" t="s">
        <v>6187</v>
      </c>
      <c r="I668" s="80" t="str">
        <f>IFERROR(VLOOKUP(B668,'02. MM-KLH'!$B$6:$T$823,8,0),"")</f>
        <v>XN Chuối DP3</v>
      </c>
      <c r="J668" s="99" t="str">
        <f>IFERROR(VLOOKUP(B668,'02. MM-KLH'!$B$6:$T$823,9,0),"")</f>
        <v>13/03/2026</v>
      </c>
      <c r="K668" s="80" t="str">
        <f>IFERROR(VLOOKUP(B668,'02. MM-KLH'!$B$6:$T$823,10,0),"")</f>
        <v>Bình thường</v>
      </c>
      <c r="L668" s="102" t="str">
        <f>IFERROR(VLOOKUP(B668,'02. MM-KLH'!$B$6:$T$823,11,0),"")</f>
        <v/>
      </c>
      <c r="M668" s="143" t="str">
        <f>IFERROR(VLOOKUP(B668,'02. MM-KLH'!$B$6:$T$823,12,0),"")</f>
        <v>Đầu tư mới (XN nhận qua thu mua)</v>
      </c>
      <c r="N668" s="108" t="str">
        <f>IFERROR(VLOOKUP(B668,'02. MM-KLH'!$B$6:$T$823,13,0),"")</f>
        <v>ISHIKAWA</v>
      </c>
      <c r="O668" s="108" t="str">
        <f>IFERROR(VLOOKUP(B668,'02. MM-KLH'!$B$6:$T$823,14,0),"")</f>
        <v>VIỆT NAM</v>
      </c>
      <c r="P668" s="80">
        <f>IFERROR(VLOOKUP(B668,'02. MM-KLH'!$B$6:$T$823,15,0),"")</f>
        <v>2025</v>
      </c>
      <c r="Q668" s="80" t="str">
        <f>IFERROR(VLOOKUP(B668,'02. MM-KLH'!$B$6:$T$823,16,0),"")</f>
        <v>TL663</v>
      </c>
      <c r="R668" s="106" t="str">
        <f>IFERROR(VLOOKUP(B668,'02. MM-KLH'!$B$6:$T$823,17,0),"")</f>
        <v>10HP</v>
      </c>
      <c r="S668" s="108" t="str">
        <f>IFERROR(VLOOKUP(B668,'02. MM-KLH'!$B$6:$T$823,18,0),"")</f>
        <v>TL20250901606
</v>
      </c>
      <c r="T668" s="110" t="str">
        <f>IFERROR(VLOOKUP(B668,'02. MM-KLH'!$B$6:$T$823,19,0),"")</f>
        <v/>
      </c>
      <c r="U668" s="130" t="s">
        <v>2301</v>
      </c>
    </row>
    <row r="669" ht="13.5" customHeight="1">
      <c r="A669" s="95">
        <f t="shared" si="31"/>
        <v>39</v>
      </c>
      <c r="B669" s="115" t="s">
        <v>1237</v>
      </c>
      <c r="C669" s="86" t="str">
        <f>IFERROR(VLOOKUP(B669,'02. MM-KLH'!$B$6:$T$823,2,0),"")</f>
        <v/>
      </c>
      <c r="D669" s="95" t="str">
        <f>IFERROR(VLOOKUP(B669,'02. MM-KLH'!$B$6:$T$823,3,0),"")</f>
        <v/>
      </c>
      <c r="E669" s="86" t="str">
        <f>IFERROR(VLOOKUP(B669,'02. MM-KLH'!$B$6:$T$823,4,0),"")</f>
        <v/>
      </c>
      <c r="F669" s="190"/>
      <c r="G669" s="86" t="str">
        <f>IFERROR(VLOOKUP(B669,'02. MM-KLH'!$B$6:$T$823,6,0),"")</f>
        <v>Máy cắt cỏ trục băm đa năng</v>
      </c>
      <c r="H669" s="80" t="s">
        <v>6187</v>
      </c>
      <c r="I669" s="80" t="str">
        <f>IFERROR(VLOOKUP(B669,'02. MM-KLH'!$B$6:$T$823,8,0),"")</f>
        <v>XN Chuối DP3</v>
      </c>
      <c r="J669" s="99" t="str">
        <f>IFERROR(VLOOKUP(B669,'02. MM-KLH'!$B$6:$T$823,9,0),"")</f>
        <v>13/03/2026</v>
      </c>
      <c r="K669" s="80" t="str">
        <f>IFERROR(VLOOKUP(B669,'02. MM-KLH'!$B$6:$T$823,10,0),"")</f>
        <v>Bình thường</v>
      </c>
      <c r="L669" s="102" t="str">
        <f>IFERROR(VLOOKUP(B669,'02. MM-KLH'!$B$6:$T$823,11,0),"")</f>
        <v/>
      </c>
      <c r="M669" s="143" t="str">
        <f>IFERROR(VLOOKUP(B669,'02. MM-KLH'!$B$6:$T$823,12,0),"")</f>
        <v>Đầu tư mới (XN nhận qua thu mua)</v>
      </c>
      <c r="N669" s="108" t="str">
        <f>IFERROR(VLOOKUP(B669,'02. MM-KLH'!$B$6:$T$823,13,0),"")</f>
        <v>ISHIKAWA</v>
      </c>
      <c r="O669" s="108" t="str">
        <f>IFERROR(VLOOKUP(B669,'02. MM-KLH'!$B$6:$T$823,14,0),"")</f>
        <v>VIỆT NAM</v>
      </c>
      <c r="P669" s="80">
        <f>IFERROR(VLOOKUP(B669,'02. MM-KLH'!$B$6:$T$823,15,0),"")</f>
        <v>2025</v>
      </c>
      <c r="Q669" s="80" t="str">
        <f>IFERROR(VLOOKUP(B669,'02. MM-KLH'!$B$6:$T$823,16,0),"")</f>
        <v>TL663</v>
      </c>
      <c r="R669" s="106" t="str">
        <f>IFERROR(VLOOKUP(B669,'02. MM-KLH'!$B$6:$T$823,17,0),"")</f>
        <v>10HP</v>
      </c>
      <c r="S669" s="108" t="str">
        <f>IFERROR(VLOOKUP(B669,'02. MM-KLH'!$B$6:$T$823,18,0),"")</f>
        <v>TL202501201501</v>
      </c>
      <c r="T669" s="110" t="str">
        <f>IFERROR(VLOOKUP(B669,'02. MM-KLH'!$B$6:$T$823,19,0),"")</f>
        <v/>
      </c>
      <c r="U669" s="130" t="s">
        <v>2301</v>
      </c>
    </row>
    <row r="670" ht="13.5" customHeight="1">
      <c r="A670" s="95">
        <f t="shared" si="31"/>
        <v>40</v>
      </c>
      <c r="B670" s="115" t="s">
        <v>1239</v>
      </c>
      <c r="C670" s="86" t="str">
        <f>IFERROR(VLOOKUP(B670,'02. MM-KLH'!$B$6:$T$823,2,0),"")</f>
        <v/>
      </c>
      <c r="D670" s="95" t="str">
        <f>IFERROR(VLOOKUP(B670,'02. MM-KLH'!$B$6:$T$823,3,0),"")</f>
        <v/>
      </c>
      <c r="E670" s="86" t="str">
        <f>IFERROR(VLOOKUP(B670,'02. MM-KLH'!$B$6:$T$823,4,0),"")</f>
        <v/>
      </c>
      <c r="F670" s="190"/>
      <c r="G670" s="86" t="str">
        <f>IFERROR(VLOOKUP(B670,'02. MM-KLH'!$B$6:$T$823,6,0),"")</f>
        <v>Máy xới đất 7.5HP</v>
      </c>
      <c r="H670" s="80" t="s">
        <v>6187</v>
      </c>
      <c r="I670" s="80" t="str">
        <f>IFERROR(VLOOKUP(B670,'02. MM-KLH'!$B$6:$T$823,8,0),"")</f>
        <v>XN Chuối DP3</v>
      </c>
      <c r="J670" s="99" t="str">
        <f>IFERROR(VLOOKUP(B670,'02. MM-KLH'!$B$6:$T$823,9,0),"")</f>
        <v>13/03/2026</v>
      </c>
      <c r="K670" s="80" t="str">
        <f>IFERROR(VLOOKUP(B670,'02. MM-KLH'!$B$6:$T$823,10,0),"")</f>
        <v>Bình thường</v>
      </c>
      <c r="L670" s="102" t="str">
        <f>IFERROR(VLOOKUP(B670,'02. MM-KLH'!$B$6:$T$823,11,0),"")</f>
        <v/>
      </c>
      <c r="M670" s="143" t="str">
        <f>IFERROR(VLOOKUP(B670,'02. MM-KLH'!$B$6:$T$823,12,0),"")</f>
        <v>Đầu tư mới (XN nhận qua thu mua)</v>
      </c>
      <c r="N670" s="108" t="str">
        <f>IFERROR(VLOOKUP(B670,'02. MM-KLH'!$B$6:$T$823,13,0),"")</f>
        <v>Shineray</v>
      </c>
      <c r="O670" s="108" t="str">
        <f>IFERROR(VLOOKUP(B670,'02. MM-KLH'!$B$6:$T$823,14,0),"")</f>
        <v>VIỆT NAM</v>
      </c>
      <c r="P670" s="80">
        <f>IFERROR(VLOOKUP(B670,'02. MM-KLH'!$B$6:$T$823,15,0),"")</f>
        <v>2025</v>
      </c>
      <c r="Q670" s="80" t="str">
        <f>IFERROR(VLOOKUP(B670,'02. MM-KLH'!$B$6:$T$823,16,0),"")</f>
        <v>SR1Z-75</v>
      </c>
      <c r="R670" s="106" t="str">
        <f>IFERROR(VLOOKUP(B670,'02. MM-KLH'!$B$6:$T$823,17,0),"")</f>
        <v>7.5HP</v>
      </c>
      <c r="S670" s="108">
        <f>IFERROR(VLOOKUP(B670,'02. MM-KLH'!$B$6:$T$823,18,0),"")</f>
        <v>2505401193</v>
      </c>
      <c r="T670" s="110" t="str">
        <f>IFERROR(VLOOKUP(B670,'02. MM-KLH'!$B$6:$T$823,19,0),"")</f>
        <v>00E534AT0852</v>
      </c>
      <c r="U670" s="130" t="s">
        <v>2301</v>
      </c>
    </row>
    <row r="671" ht="13.5" customHeight="1">
      <c r="A671" s="95">
        <f t="shared" si="31"/>
        <v>41</v>
      </c>
      <c r="B671" s="115" t="s">
        <v>1245</v>
      </c>
      <c r="C671" s="86" t="str">
        <f>IFERROR(VLOOKUP(B671,'02. MM-KLH'!$B$6:$T$823,2,0),"")</f>
        <v/>
      </c>
      <c r="D671" s="95" t="str">
        <f>IFERROR(VLOOKUP(B671,'02. MM-KLH'!$B$6:$T$823,3,0),"")</f>
        <v/>
      </c>
      <c r="E671" s="86" t="str">
        <f>IFERROR(VLOOKUP(B671,'02. MM-KLH'!$B$6:$T$823,4,0),"")</f>
        <v/>
      </c>
      <c r="F671" s="190"/>
      <c r="G671" s="86" t="str">
        <f>IFERROR(VLOOKUP(B671,'02. MM-KLH'!$B$6:$T$823,6,0),"")</f>
        <v>Máy xới đất 7.5HP</v>
      </c>
      <c r="H671" s="80" t="s">
        <v>6187</v>
      </c>
      <c r="I671" s="80" t="str">
        <f>IFERROR(VLOOKUP(B671,'02. MM-KLH'!$B$6:$T$823,8,0),"")</f>
        <v>XN Chuối DP3</v>
      </c>
      <c r="J671" s="99" t="str">
        <f>IFERROR(VLOOKUP(B671,'02. MM-KLH'!$B$6:$T$823,9,0),"")</f>
        <v>13/03/2026</v>
      </c>
      <c r="K671" s="80" t="str">
        <f>IFERROR(VLOOKUP(B671,'02. MM-KLH'!$B$6:$T$823,10,0),"")</f>
        <v>Bình thường</v>
      </c>
      <c r="L671" s="102" t="str">
        <f>IFERROR(VLOOKUP(B671,'02. MM-KLH'!$B$6:$T$823,11,0),"")</f>
        <v/>
      </c>
      <c r="M671" s="143" t="str">
        <f>IFERROR(VLOOKUP(B671,'02. MM-KLH'!$B$6:$T$823,12,0),"")</f>
        <v>Đầu tư mới (XN nhận qua thu mua)</v>
      </c>
      <c r="N671" s="108" t="str">
        <f>IFERROR(VLOOKUP(B671,'02. MM-KLH'!$B$6:$T$823,13,0),"")</f>
        <v>Shineray</v>
      </c>
      <c r="O671" s="108" t="str">
        <f>IFERROR(VLOOKUP(B671,'02. MM-KLH'!$B$6:$T$823,14,0),"")</f>
        <v>VIỆT NAM</v>
      </c>
      <c r="P671" s="80">
        <f>IFERROR(VLOOKUP(B671,'02. MM-KLH'!$B$6:$T$823,15,0),"")</f>
        <v>2025</v>
      </c>
      <c r="Q671" s="80" t="str">
        <f>IFERROR(VLOOKUP(B671,'02. MM-KLH'!$B$6:$T$823,16,0),"")</f>
        <v>SR1Z-75</v>
      </c>
      <c r="R671" s="106" t="str">
        <f>IFERROR(VLOOKUP(B671,'02. MM-KLH'!$B$6:$T$823,17,0),"")</f>
        <v>7.5HP</v>
      </c>
      <c r="S671" s="108">
        <f>IFERROR(VLOOKUP(B671,'02. MM-KLH'!$B$6:$T$823,18,0),"")</f>
        <v>2505401175</v>
      </c>
      <c r="T671" s="110" t="str">
        <f>IFERROR(VLOOKUP(B671,'02. MM-KLH'!$B$6:$T$823,19,0),"")</f>
        <v>00E534AT0827</v>
      </c>
      <c r="U671" s="130" t="s">
        <v>2301</v>
      </c>
    </row>
    <row r="672" ht="13.5" customHeight="1">
      <c r="A672" s="95">
        <f t="shared" si="31"/>
        <v>42</v>
      </c>
      <c r="B672" s="115" t="s">
        <v>2843</v>
      </c>
      <c r="C672" s="86" t="str">
        <f>IFERROR(VLOOKUP(B672,'02. MM-KLH'!$B$6:$T$823,2,0),"")</f>
        <v/>
      </c>
      <c r="D672" s="95" t="str">
        <f>IFERROR(VLOOKUP(B672,'02. MM-KLH'!$B$6:$T$823,3,0),"")</f>
        <v>A22-XMA-001</v>
      </c>
      <c r="E672" s="86" t="str">
        <f>IFERROR(VLOOKUP(B672,'02. MM-KLH'!$B$6:$T$823,4,0),"")</f>
        <v/>
      </c>
      <c r="F672" s="137"/>
      <c r="G672" s="86" t="str">
        <f>IFERROR(VLOOKUP(B672,'02. MM-KLH'!$B$6:$T$823,6,0),"")</f>
        <v>Xe máy</v>
      </c>
      <c r="H672" s="80" t="s">
        <v>6425</v>
      </c>
      <c r="I672" s="80" t="str">
        <f>IFERROR(VLOOKUP(B672,'02. MM-KLH'!$B$6:$T$823,8,0),"")</f>
        <v>BAN CG-CK &amp; SXCN</v>
      </c>
      <c r="J672" s="99">
        <f>IFERROR(VLOOKUP(B672,'02. MM-KLH'!$B$6:$T$823,9,0),"")</f>
        <v>45058</v>
      </c>
      <c r="K672" s="80" t="str">
        <f>IFERROR(VLOOKUP(B672,'02. MM-KLH'!$B$6:$T$823,10,0),"")</f>
        <v>Bình thường</v>
      </c>
      <c r="L672" s="102" t="str">
        <f>IFERROR(VLOOKUP(B672,'02. MM-KLH'!$B$6:$T$823,11,0),"")</f>
        <v/>
      </c>
      <c r="M672" s="143" t="str">
        <f>IFERROR(VLOOKUP(B672,'02. MM-KLH'!$B$6:$T$823,12,0),"")</f>
        <v>Mr. Trận</v>
      </c>
      <c r="N672" s="108" t="str">
        <f>IFERROR(VLOOKUP(B672,'02. MM-KLH'!$B$6:$T$823,13,0),"")</f>
        <v>HONDA</v>
      </c>
      <c r="O672" s="108" t="str">
        <f>IFERROR(VLOOKUP(B672,'02. MM-KLH'!$B$6:$T$823,14,0),"")</f>
        <v>VIỆT NAM</v>
      </c>
      <c r="P672" s="80" t="str">
        <f>IFERROR(VLOOKUP(B672,'02. MM-KLH'!$B$6:$T$823,15,0),"")</f>
        <v/>
      </c>
      <c r="Q672" s="80" t="str">
        <f>IFERROR(VLOOKUP(B672,'02. MM-KLH'!$B$6:$T$823,16,0),"")</f>
        <v>WAVE A</v>
      </c>
      <c r="R672" s="106" t="str">
        <f>IFERROR(VLOOKUP(B672,'02. MM-KLH'!$B$6:$T$823,17,0),"")</f>
        <v>110CC</v>
      </c>
      <c r="S672" s="108" t="str">
        <f>IFERROR(VLOOKUP(B672,'02. MM-KLH'!$B$6:$T$823,18,0),"")</f>
        <v>RLHJA3912KY147682</v>
      </c>
      <c r="T672" s="110" t="str">
        <f>IFERROR(VLOOKUP(B672,'02. MM-KLH'!$B$6:$T$823,19,0),"")</f>
        <v>JA39E-1004932</v>
      </c>
      <c r="U672" s="130" t="s">
        <v>79</v>
      </c>
    </row>
    <row r="673" ht="13.5" customHeight="1">
      <c r="A673" s="95">
        <f t="shared" si="31"/>
        <v>43</v>
      </c>
      <c r="B673" s="115" t="s">
        <v>2851</v>
      </c>
      <c r="C673" s="86" t="str">
        <f>IFERROR(VLOOKUP(B673,'02. MM-KLH'!$B$6:$T$823,2,0),"")</f>
        <v/>
      </c>
      <c r="D673" s="95" t="str">
        <f>IFERROR(VLOOKUP(B673,'02. MM-KLH'!$B$6:$T$823,3,0),"")</f>
        <v>A22-XMA-002</v>
      </c>
      <c r="E673" s="86" t="str">
        <f>IFERROR(VLOOKUP(B673,'02. MM-KLH'!$B$6:$T$823,4,0),"")</f>
        <v/>
      </c>
      <c r="F673" s="137"/>
      <c r="G673" s="86" t="str">
        <f>IFERROR(VLOOKUP(B673,'02. MM-KLH'!$B$6:$T$823,6,0),"")</f>
        <v>Xe máy</v>
      </c>
      <c r="H673" s="80" t="s">
        <v>6425</v>
      </c>
      <c r="I673" s="80" t="str">
        <f>IFERROR(VLOOKUP(B673,'02. MM-KLH'!$B$6:$T$823,8,0),"")</f>
        <v>BAN CG-CK &amp; SXCN</v>
      </c>
      <c r="J673" s="99" t="str">
        <f>IFERROR(VLOOKUP(B673,'02. MM-KLH'!$B$6:$T$823,9,0),"")</f>
        <v/>
      </c>
      <c r="K673" s="80" t="str">
        <f>IFERROR(VLOOKUP(B673,'02. MM-KLH'!$B$6:$T$823,10,0),"")</f>
        <v>Bình thường</v>
      </c>
      <c r="L673" s="102" t="str">
        <f>IFERROR(VLOOKUP(B673,'02. MM-KLH'!$B$6:$T$823,11,0),"")</f>
        <v/>
      </c>
      <c r="M673" s="143" t="str">
        <f>IFERROR(VLOOKUP(B673,'02. MM-KLH'!$B$6:$T$823,12,0),"")</f>
        <v>Mr. Vũ</v>
      </c>
      <c r="N673" s="108" t="str">
        <f>IFERROR(VLOOKUP(B673,'02. MM-KLH'!$B$6:$T$823,13,0),"")</f>
        <v>HONDA</v>
      </c>
      <c r="O673" s="108" t="str">
        <f>IFERROR(VLOOKUP(B673,'02. MM-KLH'!$B$6:$T$823,14,0),"")</f>
        <v>VIỆT NAM</v>
      </c>
      <c r="P673" s="80" t="str">
        <f>IFERROR(VLOOKUP(B673,'02. MM-KLH'!$B$6:$T$823,15,0),"")</f>
        <v/>
      </c>
      <c r="Q673" s="80" t="str">
        <f>IFERROR(VLOOKUP(B673,'02. MM-KLH'!$B$6:$T$823,16,0),"")</f>
        <v>WAVE A</v>
      </c>
      <c r="R673" s="106" t="str">
        <f>IFERROR(VLOOKUP(B673,'02. MM-KLH'!$B$6:$T$823,17,0),"")</f>
        <v>110CC</v>
      </c>
      <c r="S673" s="108" t="str">
        <f>IFERROR(VLOOKUP(B673,'02. MM-KLH'!$B$6:$T$823,18,0),"")</f>
        <v>RLHJAG912KY180667</v>
      </c>
      <c r="T673" s="110" t="str">
        <f>IFERROR(VLOOKUP(B673,'02. MM-KLH'!$B$6:$T$823,19,0),"")</f>
        <v>JA39E-1038313</v>
      </c>
      <c r="U673" s="130" t="s">
        <v>79</v>
      </c>
    </row>
    <row r="674" ht="13.5" customHeight="1">
      <c r="A674" s="95">
        <f t="shared" si="31"/>
        <v>44</v>
      </c>
      <c r="B674" s="115" t="s">
        <v>2855</v>
      </c>
      <c r="C674" s="86" t="str">
        <f>IFERROR(VLOOKUP(B674,'02. MM-KLH'!$B$6:$T$823,2,0),"")</f>
        <v/>
      </c>
      <c r="D674" s="95" t="str">
        <f>IFERROR(VLOOKUP(B674,'02. MM-KLH'!$B$6:$T$823,3,0),"")</f>
        <v>A22-XMA-003</v>
      </c>
      <c r="E674" s="86" t="str">
        <f>IFERROR(VLOOKUP(B674,'02. MM-KLH'!$B$6:$T$823,4,0),"")</f>
        <v/>
      </c>
      <c r="F674" s="137"/>
      <c r="G674" s="86" t="str">
        <f>IFERROR(VLOOKUP(B674,'02. MM-KLH'!$B$6:$T$823,6,0),"")</f>
        <v>Xe máy</v>
      </c>
      <c r="H674" s="80" t="s">
        <v>6425</v>
      </c>
      <c r="I674" s="80" t="str">
        <f>IFERROR(VLOOKUP(B674,'02. MM-KLH'!$B$6:$T$823,8,0),"")</f>
        <v>BAN CG-CK &amp; SXCN</v>
      </c>
      <c r="J674" s="99" t="str">
        <f>IFERROR(VLOOKUP(B674,'02. MM-KLH'!$B$6:$T$823,9,0),"")</f>
        <v/>
      </c>
      <c r="K674" s="80" t="str">
        <f>IFERROR(VLOOKUP(B674,'02. MM-KLH'!$B$6:$T$823,10,0),"")</f>
        <v>Bình thường</v>
      </c>
      <c r="L674" s="102" t="str">
        <f>IFERROR(VLOOKUP(B674,'02. MM-KLH'!$B$6:$T$823,11,0),"")</f>
        <v/>
      </c>
      <c r="M674" s="143" t="str">
        <f>IFERROR(VLOOKUP(B674,'02. MM-KLH'!$B$6:$T$823,12,0),"")</f>
        <v>Mr. Khánh</v>
      </c>
      <c r="N674" s="108" t="str">
        <f>IFERROR(VLOOKUP(B674,'02. MM-KLH'!$B$6:$T$823,13,0),"")</f>
        <v>HONDA</v>
      </c>
      <c r="O674" s="108" t="str">
        <f>IFERROR(VLOOKUP(B674,'02. MM-KLH'!$B$6:$T$823,14,0),"")</f>
        <v>VIỆT NAM</v>
      </c>
      <c r="P674" s="80" t="str">
        <f>IFERROR(VLOOKUP(B674,'02. MM-KLH'!$B$6:$T$823,15,0),"")</f>
        <v/>
      </c>
      <c r="Q674" s="80" t="str">
        <f>IFERROR(VLOOKUP(B674,'02. MM-KLH'!$B$6:$T$823,16,0),"")</f>
        <v>WAVE A</v>
      </c>
      <c r="R674" s="106" t="str">
        <f>IFERROR(VLOOKUP(B674,'02. MM-KLH'!$B$6:$T$823,17,0),"")</f>
        <v>110CC</v>
      </c>
      <c r="S674" s="108" t="str">
        <f>IFERROR(VLOOKUP(B674,'02. MM-KLH'!$B$6:$T$823,18,0),"")</f>
        <v>CCN</v>
      </c>
      <c r="T674" s="110" t="str">
        <f>IFERROR(VLOOKUP(B674,'02. MM-KLH'!$B$6:$T$823,19,0),"")</f>
        <v>JA39E-0414593</v>
      </c>
      <c r="U674" s="130" t="s">
        <v>79</v>
      </c>
    </row>
    <row r="675" ht="13.5" customHeight="1">
      <c r="A675" s="95">
        <f t="shared" si="31"/>
        <v>45</v>
      </c>
      <c r="B675" s="115" t="s">
        <v>2859</v>
      </c>
      <c r="C675" s="86" t="str">
        <f>IFERROR(VLOOKUP(B675,'02. MM-KLH'!$B$6:$T$823,2,0),"")</f>
        <v>XA2-XMA-017</v>
      </c>
      <c r="D675" s="95" t="str">
        <f>IFERROR(VLOOKUP(B675,'02. MM-KLH'!$B$6:$T$823,3,0),"")</f>
        <v>TOL-A22-0795</v>
      </c>
      <c r="E675" s="86" t="str">
        <f>IFERROR(VLOOKUP(B675,'02. MM-KLH'!$B$6:$T$823,4,0),"")</f>
        <v/>
      </c>
      <c r="F675" s="137" t="s">
        <v>6295</v>
      </c>
      <c r="G675" s="86" t="str">
        <f>IFERROR(VLOOKUP(B675,'02. MM-KLH'!$B$6:$T$823,6,0),"")</f>
        <v>Xe máy</v>
      </c>
      <c r="H675" s="80" t="s">
        <v>6425</v>
      </c>
      <c r="I675" s="80" t="str">
        <f>IFERROR(VLOOKUP(B675,'02. MM-KLH'!$B$6:$T$823,8,0),"")</f>
        <v>BAN CG-CK &amp; SXCN</v>
      </c>
      <c r="J675" s="99">
        <f>IFERROR(VLOOKUP(B675,'02. MM-KLH'!$B$6:$T$823,9,0),"")</f>
        <v>45841</v>
      </c>
      <c r="K675" s="80" t="str">
        <f>IFERROR(VLOOKUP(B675,'02. MM-KLH'!$B$6:$T$823,10,0),"")</f>
        <v>Bình thường</v>
      </c>
      <c r="L675" s="102" t="str">
        <f>IFERROR(VLOOKUP(B675,'02. MM-KLH'!$B$6:$T$823,11,0),"")</f>
        <v/>
      </c>
      <c r="M675" s="143" t="str">
        <f>IFERROR(VLOOKUP(B675,'02. MM-KLH'!$B$6:$T$823,12,0),"")</f>
        <v>Mr. Bình</v>
      </c>
      <c r="N675" s="108" t="str">
        <f>IFERROR(VLOOKUP(B675,'02. MM-KLH'!$B$6:$T$823,13,0),"")</f>
        <v>HONDA</v>
      </c>
      <c r="O675" s="108" t="str">
        <f>IFERROR(VLOOKUP(B675,'02. MM-KLH'!$B$6:$T$823,14,0),"")</f>
        <v>VIỆT NAM</v>
      </c>
      <c r="P675" s="80" t="str">
        <f>IFERROR(VLOOKUP(B675,'02. MM-KLH'!$B$6:$T$823,15,0),"")</f>
        <v/>
      </c>
      <c r="Q675" s="80" t="str">
        <f>IFERROR(VLOOKUP(B675,'02. MM-KLH'!$B$6:$T$823,16,0),"")</f>
        <v>WAVE A</v>
      </c>
      <c r="R675" s="106" t="str">
        <f>IFERROR(VLOOKUP(B675,'02. MM-KLH'!$B$6:$T$823,17,0),"")</f>
        <v>110CC</v>
      </c>
      <c r="S675" s="108" t="str">
        <f>IFERROR(VLOOKUP(B675,'02. MM-KLH'!$B$6:$T$823,18,0),"")</f>
        <v>RLHJA3914KY-216158</v>
      </c>
      <c r="T675" s="110" t="str">
        <f>IFERROR(VLOOKUP(B675,'02. MM-KLH'!$B$6:$T$823,19,0),"")</f>
        <v>JA39E-1190180</v>
      </c>
      <c r="U675" s="130" t="s">
        <v>79</v>
      </c>
    </row>
    <row r="676" ht="13.5" customHeight="1">
      <c r="A676" s="95">
        <f t="shared" si="31"/>
        <v>46</v>
      </c>
      <c r="B676" s="115" t="s">
        <v>2865</v>
      </c>
      <c r="C676" s="86" t="str">
        <f>IFERROR(VLOOKUP(B676,'02. MM-KLH'!$B$6:$T$823,2,0),"")</f>
        <v/>
      </c>
      <c r="D676" s="95" t="str">
        <f>IFERROR(VLOOKUP(B676,'02. MM-KLH'!$B$6:$T$823,3,0),"")</f>
        <v>A22-LBR-001</v>
      </c>
      <c r="E676" s="86" t="str">
        <f>IFERROR(VLOOKUP(B676,'02. MM-KLH'!$B$6:$T$823,4,0),"")</f>
        <v>2A-4453</v>
      </c>
      <c r="F676" s="137"/>
      <c r="G676" s="86" t="str">
        <f>IFERROR(VLOOKUP(B676,'02. MM-KLH'!$B$6:$T$823,6,0),"")</f>
        <v>Xe tải Libero</v>
      </c>
      <c r="H676" s="80" t="s">
        <v>6427</v>
      </c>
      <c r="I676" s="80" t="str">
        <f>IFERROR(VLOOKUP(B676,'02. MM-KLH'!$B$6:$T$823,8,0),"")</f>
        <v>BAN CG-CK &amp; SXCN</v>
      </c>
      <c r="J676" s="99" t="str">
        <f>IFERROR(VLOOKUP(B676,'02. MM-KLH'!$B$6:$T$823,9,0),"")</f>
        <v/>
      </c>
      <c r="K676" s="80" t="str">
        <f>IFERROR(VLOOKUP(B676,'02. MM-KLH'!$B$6:$T$823,10,0),"")</f>
        <v>Bình thường</v>
      </c>
      <c r="L676" s="102" t="str">
        <f>IFERROR(VLOOKUP(B676,'02. MM-KLH'!$B$6:$T$823,11,0),"")</f>
        <v/>
      </c>
      <c r="M676" s="143" t="str">
        <f>IFERROR(VLOOKUP(B676,'02. MM-KLH'!$B$6:$T$823,12,0),"")</f>
        <v>BP.QLVH GIAO Mr.Thi NCMK 13/11/2025</v>
      </c>
      <c r="N676" s="108" t="str">
        <f>IFERROR(VLOOKUP(B676,'02. MM-KLH'!$B$6:$T$823,13,0),"")</f>
        <v>LIBERO</v>
      </c>
      <c r="O676" s="108" t="str">
        <f>IFERROR(VLOOKUP(B676,'02. MM-KLH'!$B$6:$T$823,14,0),"")</f>
        <v/>
      </c>
      <c r="P676" s="80" t="str">
        <f>IFERROR(VLOOKUP(B676,'02. MM-KLH'!$B$6:$T$823,15,0),"")</f>
        <v/>
      </c>
      <c r="Q676" s="80" t="str">
        <f>IFERROR(VLOOKUP(B676,'02. MM-KLH'!$B$6:$T$823,16,0),"")</f>
        <v/>
      </c>
      <c r="R676" s="106" t="str">
        <f>IFERROR(VLOOKUP(B676,'02. MM-KLH'!$B$6:$T$823,17,0),"")</f>
        <v/>
      </c>
      <c r="S676" s="108" t="str">
        <f>IFERROR(VLOOKUP(B676,'02. MM-KLH'!$B$6:$T$823,18,0),"")</f>
        <v>KMFYKS7HP3U039257</v>
      </c>
      <c r="T676" s="110" t="str">
        <f>IFERROR(VLOOKUP(B676,'02. MM-KLH'!$B$6:$T$823,19,0),"")</f>
        <v>CCN</v>
      </c>
      <c r="U676" s="130" t="s">
        <v>79</v>
      </c>
    </row>
    <row r="677" ht="13.5" customHeight="1">
      <c r="A677" s="95">
        <f t="shared" si="31"/>
        <v>47</v>
      </c>
      <c r="B677" s="115" t="s">
        <v>2870</v>
      </c>
      <c r="C677" s="86" t="str">
        <f>IFERROR(VLOOKUP(B677,'02. MM-KLH'!$B$6:$T$823,2,0),"")</f>
        <v/>
      </c>
      <c r="D677" s="95" t="str">
        <f>IFERROR(VLOOKUP(B677,'02. MM-KLH'!$B$6:$T$823,3,0),"")</f>
        <v>A22-LBR-002</v>
      </c>
      <c r="E677" s="86" t="str">
        <f>IFERROR(VLOOKUP(B677,'02. MM-KLH'!$B$6:$T$823,4,0),"")</f>
        <v>2A-0834</v>
      </c>
      <c r="F677" s="137"/>
      <c r="G677" s="86" t="str">
        <f>IFERROR(VLOOKUP(B677,'02. MM-KLH'!$B$6:$T$823,6,0),"")</f>
        <v>Xe tải Libero</v>
      </c>
      <c r="H677" s="80" t="s">
        <v>6427</v>
      </c>
      <c r="I677" s="80" t="str">
        <f>IFERROR(VLOOKUP(B677,'02. MM-KLH'!$B$6:$T$823,8,0),"")</f>
        <v>BAN CG-CK &amp; SXCN</v>
      </c>
      <c r="J677" s="99">
        <f>IFERROR(VLOOKUP(B677,'02. MM-KLH'!$B$6:$T$823,9,0),"")</f>
        <v>45636</v>
      </c>
      <c r="K677" s="80" t="str">
        <f>IFERROR(VLOOKUP(B677,'02. MM-KLH'!$B$6:$T$823,10,0),"")</f>
        <v>Bình thường</v>
      </c>
      <c r="L677" s="102" t="str">
        <f>IFERROR(VLOOKUP(B677,'02. MM-KLH'!$B$6:$T$823,11,0),"")</f>
        <v/>
      </c>
      <c r="M677" s="143" t="str">
        <f>IFERROR(VLOOKUP(B677,'02. MM-KLH'!$B$6:$T$823,12,0),"")</f>
        <v>- Mr Sơn bàn giao xe về xưởng CGH 12/10/2024</v>
      </c>
      <c r="N677" s="108" t="str">
        <f>IFERROR(VLOOKUP(B677,'02. MM-KLH'!$B$6:$T$823,13,0),"")</f>
        <v>LIBERO</v>
      </c>
      <c r="O677" s="108" t="str">
        <f>IFERROR(VLOOKUP(B677,'02. MM-KLH'!$B$6:$T$823,14,0),"")</f>
        <v/>
      </c>
      <c r="P677" s="80" t="str">
        <f>IFERROR(VLOOKUP(B677,'02. MM-KLH'!$B$6:$T$823,15,0),"")</f>
        <v/>
      </c>
      <c r="Q677" s="80" t="str">
        <f>IFERROR(VLOOKUP(B677,'02. MM-KLH'!$B$6:$T$823,16,0),"")</f>
        <v/>
      </c>
      <c r="R677" s="106" t="str">
        <f>IFERROR(VLOOKUP(B677,'02. MM-KLH'!$B$6:$T$823,17,0),"")</f>
        <v/>
      </c>
      <c r="S677" s="108" t="str">
        <f>IFERROR(VLOOKUP(B677,'02. MM-KLH'!$B$6:$T$823,18,0),"")</f>
        <v/>
      </c>
      <c r="T677" s="110" t="str">
        <f>IFERROR(VLOOKUP(B677,'02. MM-KLH'!$B$6:$T$823,19,0),"")</f>
        <v/>
      </c>
      <c r="U677" s="130" t="s">
        <v>79</v>
      </c>
    </row>
    <row r="678" ht="13.5" customHeight="1">
      <c r="A678" s="95">
        <f t="shared" si="31"/>
        <v>48</v>
      </c>
      <c r="B678" s="115" t="s">
        <v>751</v>
      </c>
      <c r="C678" s="86" t="str">
        <f>IFERROR(VLOOKUP(B678,'02. MM-KLH'!$B$6:$T$823,2,0),"")</f>
        <v/>
      </c>
      <c r="D678" s="95" t="str">
        <f>IFERROR(VLOOKUP(B678,'02. MM-KLH'!$B$6:$T$823,3,0),"")</f>
        <v>ATT-A23-0020</v>
      </c>
      <c r="E678" s="86" t="str">
        <f>IFERROR(VLOOKUP(B678,'02. MM-KLH'!$B$6:$T$823,4,0),"")</f>
        <v>2A-0239</v>
      </c>
      <c r="F678" s="137" t="s">
        <v>752</v>
      </c>
      <c r="G678" s="86" t="str">
        <f>IFERROR(VLOOKUP(B678,'02. MM-KLH'!$B$6:$T$823,6,0),"")</f>
        <v>Xe tải Libero</v>
      </c>
      <c r="H678" s="80" t="s">
        <v>6427</v>
      </c>
      <c r="I678" s="80" t="str">
        <f>IFERROR(VLOOKUP(B678,'02. MM-KLH'!$B$6:$T$823,8,0),"")</f>
        <v>CGLĐ DP</v>
      </c>
      <c r="J678" s="99" t="str">
        <f>IFERROR(VLOOKUP(B678,'02. MM-KLH'!$B$6:$T$823,9,0),"")</f>
        <v/>
      </c>
      <c r="K678" s="80" t="str">
        <f>IFERROR(VLOOKUP(B678,'02. MM-KLH'!$B$6:$T$823,10,0),"")</f>
        <v>Bình thường</v>
      </c>
      <c r="L678" s="102" t="str">
        <f>IFERROR(VLOOKUP(B678,'02. MM-KLH'!$B$6:$T$823,11,0),"")</f>
        <v/>
      </c>
      <c r="M678" s="143" t="str">
        <f>IFERROR(VLOOKUP(B678,'02. MM-KLH'!$B$6:$T$823,12,0),"")</f>
        <v>Mr.Sỹ nhận ngày 07/03/2025</v>
      </c>
      <c r="N678" s="108" t="str">
        <f>IFERROR(VLOOKUP(B678,'02. MM-KLH'!$B$6:$T$823,13,0),"")</f>
        <v>LIBERO</v>
      </c>
      <c r="O678" s="108" t="str">
        <f>IFERROR(VLOOKUP(B678,'02. MM-KLH'!$B$6:$T$823,14,0),"")</f>
        <v/>
      </c>
      <c r="P678" s="80" t="str">
        <f>IFERROR(VLOOKUP(B678,'02. MM-KLH'!$B$6:$T$823,15,0),"")</f>
        <v/>
      </c>
      <c r="Q678" s="80" t="str">
        <f>IFERROR(VLOOKUP(B678,'02. MM-KLH'!$B$6:$T$823,16,0),"")</f>
        <v/>
      </c>
      <c r="R678" s="106" t="str">
        <f>IFERROR(VLOOKUP(B678,'02. MM-KLH'!$B$6:$T$823,17,0),"")</f>
        <v/>
      </c>
      <c r="S678" s="108" t="str">
        <f>IFERROR(VLOOKUP(B678,'02. MM-KLH'!$B$6:$T$823,18,0),"")</f>
        <v>KMFYKS7HPYU0116</v>
      </c>
      <c r="T678" s="110" t="str">
        <f>IFERROR(VLOOKUP(B678,'02. MM-KLH'!$B$6:$T$823,19,0),"")</f>
        <v>D4BHY032368</v>
      </c>
      <c r="U678" s="130" t="s">
        <v>79</v>
      </c>
    </row>
    <row r="679" ht="13.5" customHeight="1">
      <c r="A679" s="95">
        <f t="shared" si="31"/>
        <v>49</v>
      </c>
      <c r="B679" s="115" t="s">
        <v>1355</v>
      </c>
      <c r="C679" s="84" t="str">
        <f>IFERROR(VLOOKUP(B679,'02. MM-KLH'!$B$6:$T$823,2,0),"")</f>
        <v>PHC-MXĐ-001</v>
      </c>
      <c r="D679" s="95" t="str">
        <f>IFERROR(VLOOKUP(B679,'02. MM-KLH'!$B$6:$T$823,3,0),"")</f>
        <v/>
      </c>
      <c r="E679" s="86" t="str">
        <f>IFERROR(VLOOKUP(B679,'02. MM-KLH'!$B$6:$T$823,4,0),"")</f>
        <v/>
      </c>
      <c r="F679" s="115" t="s">
        <v>6428</v>
      </c>
      <c r="G679" s="86" t="str">
        <f>IFERROR(VLOOKUP(B679,'02. MM-KLH'!$B$6:$T$823,6,0),"")</f>
        <v>Máy xới đất</v>
      </c>
      <c r="H679" s="80" t="s">
        <v>6429</v>
      </c>
      <c r="I679" s="80" t="str">
        <f>IFERROR(VLOOKUP(B679,'02. MM-KLH'!$B$6:$T$823,8,0),"")</f>
        <v>XN Chuối LP1</v>
      </c>
      <c r="J679" s="99">
        <f>IFERROR(VLOOKUP(B679,'02. MM-KLH'!$B$6:$T$823,9,0),"")</f>
        <v>45181</v>
      </c>
      <c r="K679" s="80" t="str">
        <f>IFERROR(VLOOKUP(B679,'02. MM-KLH'!$B$6:$T$823,10,0),"")</f>
        <v>Bình thường</v>
      </c>
      <c r="L679" s="102" t="str">
        <f>IFERROR(VLOOKUP(B679,'02. MM-KLH'!$B$6:$T$823,11,0),"")</f>
        <v/>
      </c>
      <c r="M679" s="143" t="str">
        <f>IFERROR(VLOOKUP(B679,'02. MM-KLH'!$B$6:$T$823,12,0),"")</f>
        <v>-Đ.chuyển từ HC ADM ngày 05/05/2025</v>
      </c>
      <c r="N679" s="108" t="str">
        <f>IFERROR(VLOOKUP(B679,'02. MM-KLH'!$B$6:$T$823,13,0),"")</f>
        <v>BOER</v>
      </c>
      <c r="O679" s="108" t="str">
        <f>IFERROR(VLOOKUP(B679,'02. MM-KLH'!$B$6:$T$823,14,0),"")</f>
        <v>TRUNG QUỐC</v>
      </c>
      <c r="P679" s="80">
        <f>IFERROR(VLOOKUP(B679,'02. MM-KLH'!$B$6:$T$823,15,0),"")</f>
        <v>2022</v>
      </c>
      <c r="Q679" s="80" t="str">
        <f>IFERROR(VLOOKUP(B679,'02. MM-KLH'!$B$6:$T$823,16,0),"")</f>
        <v>RT165S</v>
      </c>
      <c r="R679" s="106" t="str">
        <f>IFERROR(VLOOKUP(B679,'02. MM-KLH'!$B$6:$T$823,17,0),"")</f>
        <v>16.5HP</v>
      </c>
      <c r="S679" s="108" t="str">
        <f>IFERROR(VLOOKUP(B679,'02. MM-KLH'!$B$6:$T$823,18,0),"")</f>
        <v>CCN</v>
      </c>
      <c r="T679" s="110" t="str">
        <f>IFERROR(VLOOKUP(B679,'02. MM-KLH'!$B$6:$T$823,19,0),"")</f>
        <v>RT165-23C01014</v>
      </c>
      <c r="U679" s="130" t="s">
        <v>79</v>
      </c>
    </row>
    <row r="680" ht="13.5" customHeight="1">
      <c r="A680" s="189"/>
      <c r="B680" s="871"/>
      <c r="C680" s="161"/>
      <c r="D680" s="95" t="str">
        <f>IFERROR(VLOOKUP(B680,'02. MM-KLH'!$B$6:$T$823,3,0),"")</f>
        <v/>
      </c>
      <c r="E680" s="86" t="str">
        <f>IFERROR(VLOOKUP(B680,'02. MM-KLH'!$B$6:$T$823,4,0),"")</f>
        <v/>
      </c>
      <c r="F680" s="190"/>
      <c r="G680" s="86" t="str">
        <f>IFERROR(VLOOKUP(B680,'02. MM-KLH'!$B$6:$T$823,6,0),"")</f>
        <v/>
      </c>
      <c r="H680" s="190"/>
      <c r="I680" s="80" t="str">
        <f>IFERROR(VLOOKUP(B680,'02. MM-KLH'!$B$6:$T$823,8,0),"")</f>
        <v/>
      </c>
      <c r="J680" s="99" t="str">
        <f>IFERROR(VLOOKUP(B680,'02. MM-KLH'!$B$6:$T$823,9,0),"")</f>
        <v/>
      </c>
      <c r="K680" s="80" t="str">
        <f>IFERROR(VLOOKUP(B680,'02. MM-KLH'!$B$6:$T$823,10,0),"")</f>
        <v/>
      </c>
      <c r="L680" s="102" t="str">
        <f>IFERROR(VLOOKUP(B680,'02. MM-KLH'!$B$6:$T$823,11,0),"")</f>
        <v/>
      </c>
      <c r="M680" s="143" t="str">
        <f>IFERROR(VLOOKUP(B680,'02. MM-KLH'!$B$6:$T$823,12,0),"")</f>
        <v/>
      </c>
      <c r="N680" s="108" t="str">
        <f>IFERROR(VLOOKUP(B680,'02. MM-KLH'!$B$6:$T$823,13,0),"")</f>
        <v/>
      </c>
      <c r="O680" s="108" t="str">
        <f>IFERROR(VLOOKUP(B680,'02. MM-KLH'!$B$6:$T$823,14,0),"")</f>
        <v/>
      </c>
      <c r="P680" s="80" t="str">
        <f>IFERROR(VLOOKUP(B680,'02. MM-KLH'!$B$6:$T$823,15,0),"")</f>
        <v/>
      </c>
      <c r="Q680" s="80" t="str">
        <f>IFERROR(VLOOKUP(B680,'02. MM-KLH'!$B$6:$T$823,16,0),"")</f>
        <v/>
      </c>
      <c r="R680" s="106" t="str">
        <f>IFERROR(VLOOKUP(B680,'02. MM-KLH'!$B$6:$T$823,17,0),"")</f>
        <v/>
      </c>
      <c r="S680" s="108" t="str">
        <f>IFERROR(VLOOKUP(B680,'02. MM-KLH'!$B$6:$T$823,18,0),"")</f>
        <v/>
      </c>
      <c r="T680" s="110" t="str">
        <f>IFERROR(VLOOKUP(B680,'02. MM-KLH'!$B$6:$T$823,19,0),"")</f>
        <v/>
      </c>
      <c r="U680" s="130"/>
    </row>
    <row r="681" ht="13.5" customHeight="1">
      <c r="A681" s="80"/>
      <c r="B681" s="115"/>
      <c r="C681" s="186" t="s">
        <v>759</v>
      </c>
      <c r="D681" s="95" t="str">
        <f>IFERROR(VLOOKUP(B681,'02. MM-KLH'!$B$6:$T$823,3,0),"")</f>
        <v/>
      </c>
      <c r="E681" s="86" t="str">
        <f>IFERROR(VLOOKUP(B681,'02. MM-KLH'!$B$6:$T$823,4,0),"")</f>
        <v/>
      </c>
      <c r="F681" s="137"/>
      <c r="G681" s="86" t="str">
        <f>IFERROR(VLOOKUP(B681,'02. MM-KLH'!$B$6:$T$823,6,0),"")</f>
        <v/>
      </c>
      <c r="H681" s="872"/>
      <c r="I681" s="80" t="str">
        <f>IFERROR(VLOOKUP(B681,'02. MM-KLH'!$B$6:$T$823,8,0),"")</f>
        <v/>
      </c>
      <c r="J681" s="99" t="str">
        <f>IFERROR(VLOOKUP(B681,'02. MM-KLH'!$B$6:$T$823,9,0),"")</f>
        <v/>
      </c>
      <c r="K681" s="80" t="str">
        <f>IFERROR(VLOOKUP(B681,'02. MM-KLH'!$B$6:$T$823,10,0),"")</f>
        <v/>
      </c>
      <c r="L681" s="102" t="str">
        <f>IFERROR(VLOOKUP(B681,'02. MM-KLH'!$B$6:$T$823,11,0),"")</f>
        <v/>
      </c>
      <c r="M681" s="143" t="str">
        <f>IFERROR(VLOOKUP(B681,'02. MM-KLH'!$B$6:$T$823,12,0),"")</f>
        <v/>
      </c>
      <c r="N681" s="108" t="str">
        <f>IFERROR(VLOOKUP(B681,'02. MM-KLH'!$B$6:$T$823,13,0),"")</f>
        <v/>
      </c>
      <c r="O681" s="108" t="str">
        <f>IFERROR(VLOOKUP(B681,'02. MM-KLH'!$B$6:$T$823,14,0),"")</f>
        <v/>
      </c>
      <c r="P681" s="80" t="str">
        <f>IFERROR(VLOOKUP(B681,'02. MM-KLH'!$B$6:$T$823,15,0),"")</f>
        <v/>
      </c>
      <c r="Q681" s="80" t="str">
        <f>IFERROR(VLOOKUP(B681,'02. MM-KLH'!$B$6:$T$823,16,0),"")</f>
        <v/>
      </c>
      <c r="R681" s="106" t="str">
        <f>IFERROR(VLOOKUP(B681,'02. MM-KLH'!$B$6:$T$823,17,0),"")</f>
        <v/>
      </c>
      <c r="S681" s="108" t="str">
        <f>IFERROR(VLOOKUP(B681,'02. MM-KLH'!$B$6:$T$823,18,0),"")</f>
        <v/>
      </c>
      <c r="T681" s="110" t="str">
        <f>IFERROR(VLOOKUP(B681,'02. MM-KLH'!$B$6:$T$823,19,0),"")</f>
        <v/>
      </c>
      <c r="U681" s="130"/>
    </row>
    <row r="682" ht="13.5" customHeight="1">
      <c r="A682" s="873" t="s">
        <v>2944</v>
      </c>
      <c r="B682" s="245" t="s">
        <v>2945</v>
      </c>
      <c r="C682" s="245"/>
      <c r="D682" s="245" t="str">
        <f>IFERROR(VLOOKUP(B682,'02. MM-KLH'!$B$6:$T$823,3,0),"")</f>
        <v/>
      </c>
      <c r="E682" s="245" t="str">
        <f>IFERROR(VLOOKUP(B682,'02. MM-KLH'!$B$6:$T$823,4,0),"")</f>
        <v/>
      </c>
      <c r="F682" s="245"/>
      <c r="G682" s="245" t="str">
        <f>IFERROR(VLOOKUP(B682,'02. MM-KLH'!$B$6:$T$823,6,0),"")</f>
        <v>(Chờ phân bổ chữ xanh dương)</v>
      </c>
      <c r="H682" s="245"/>
      <c r="I682" s="245" t="str">
        <f>IFERROR(VLOOKUP(B682,'02. MM-KLH'!$B$6:$T$823,8,0),"")</f>
        <v/>
      </c>
      <c r="J682" s="245" t="str">
        <f>IFERROR(VLOOKUP(B682,'02. MM-KLH'!$B$6:$T$823,9,0),"")</f>
        <v/>
      </c>
      <c r="K682" s="245" t="str">
        <f>IFERROR(VLOOKUP(B682,'02. MM-KLH'!$B$6:$T$823,10,0),"")</f>
        <v/>
      </c>
      <c r="L682" s="245" t="str">
        <f>IFERROR(VLOOKUP(B682,'02. MM-KLH'!$B$6:$T$823,11,0),"")</f>
        <v/>
      </c>
      <c r="M682" s="245" t="str">
        <f>IFERROR(VLOOKUP(B682,'02. MM-KLH'!$B$6:$T$823,12,0),"")</f>
        <v/>
      </c>
      <c r="N682" s="245" t="str">
        <f>IFERROR(VLOOKUP(B682,'02. MM-KLH'!$B$6:$T$823,13,0),"")</f>
        <v/>
      </c>
      <c r="O682" s="245" t="str">
        <f>IFERROR(VLOOKUP(B682,'02. MM-KLH'!$B$6:$T$823,14,0),"")</f>
        <v/>
      </c>
      <c r="P682" s="245" t="str">
        <f>IFERROR(VLOOKUP(B682,'02. MM-KLH'!$B$6:$T$823,15,0),"")</f>
        <v/>
      </c>
      <c r="Q682" s="245" t="str">
        <f>IFERROR(VLOOKUP(B682,'02. MM-KLH'!$B$6:$T$823,16,0),"")</f>
        <v/>
      </c>
      <c r="R682" s="245" t="str">
        <f>IFERROR(VLOOKUP(B682,'02. MM-KLH'!$B$6:$T$823,17,0),"")</f>
        <v/>
      </c>
      <c r="S682" s="245" t="str">
        <f>IFERROR(VLOOKUP(B682,'02. MM-KLH'!$B$6:$T$823,18,0),"")</f>
        <v/>
      </c>
      <c r="T682" s="245" t="str">
        <f>IFERROR(VLOOKUP(B682,'02. MM-KLH'!$B$6:$T$823,19,0),"")</f>
        <v/>
      </c>
      <c r="U682" s="245" t="str">
        <f>IFERROR(VLOOKUP(C682,'02. MM-KLH'!$B$6:$T$823,19,0),"")</f>
        <v/>
      </c>
    </row>
    <row r="683" ht="13.5" customHeight="1">
      <c r="A683" s="874" t="s">
        <v>2947</v>
      </c>
      <c r="B683" s="875" t="s">
        <v>2948</v>
      </c>
      <c r="C683" s="874">
        <f>COUNTA($B$684:$B$689)</f>
        <v>2</v>
      </c>
      <c r="D683" s="874" t="str">
        <f>IFERROR(VLOOKUP(B683,'02. MM-KLH'!$B$6:$T$823,3,0),"")</f>
        <v/>
      </c>
      <c r="E683" s="874" t="str">
        <f>IFERROR(VLOOKUP(B683,'02. MM-KLH'!$B$6:$T$823,4,0),"")</f>
        <v/>
      </c>
      <c r="F683" s="874"/>
      <c r="G683" s="874" t="str">
        <f>IFERROR(VLOOKUP(B683,'02. MM-KLH'!$B$6:$T$823,6,0),"")</f>
        <v/>
      </c>
      <c r="H683" s="874"/>
      <c r="I683" s="874" t="str">
        <f>IFERROR(VLOOKUP(B683,'02. MM-KLH'!$B$6:$T$823,8,0),"")</f>
        <v/>
      </c>
      <c r="J683" s="874" t="str">
        <f>IFERROR(VLOOKUP(B683,'02. MM-KLH'!$B$6:$T$823,9,0),"")</f>
        <v/>
      </c>
      <c r="K683" s="874" t="str">
        <f>IFERROR(VLOOKUP(B683,'02. MM-KLH'!$B$6:$T$823,10,0),"")</f>
        <v/>
      </c>
      <c r="L683" s="874" t="str">
        <f>IFERROR(VLOOKUP(B683,'02. MM-KLH'!$B$6:$T$823,11,0),"")</f>
        <v/>
      </c>
      <c r="M683" s="874" t="str">
        <f>IFERROR(VLOOKUP(B683,'02. MM-KLH'!$B$6:$T$823,12,0),"")</f>
        <v/>
      </c>
      <c r="N683" s="874" t="str">
        <f>IFERROR(VLOOKUP(B683,'02. MM-KLH'!$B$6:$T$823,13,0),"")</f>
        <v/>
      </c>
      <c r="O683" s="874" t="str">
        <f>IFERROR(VLOOKUP(B683,'02. MM-KLH'!$B$6:$T$823,14,0),"")</f>
        <v/>
      </c>
      <c r="P683" s="874" t="str">
        <f>IFERROR(VLOOKUP(B683,'02. MM-KLH'!$B$6:$T$823,15,0),"")</f>
        <v/>
      </c>
      <c r="Q683" s="874" t="str">
        <f>IFERROR(VLOOKUP(B683,'02. MM-KLH'!$B$6:$T$823,16,0),"")</f>
        <v/>
      </c>
      <c r="R683" s="874" t="str">
        <f>IFERROR(VLOOKUP(B683,'02. MM-KLH'!$B$6:$T$823,17,0),"")</f>
        <v/>
      </c>
      <c r="S683" s="874" t="str">
        <f>IFERROR(VLOOKUP(B683,'02. MM-KLH'!$B$6:$T$823,18,0),"")</f>
        <v/>
      </c>
      <c r="T683" s="874" t="str">
        <f>IFERROR(VLOOKUP(B683,'02. MM-KLH'!$B$6:$T$823,19,0),"")</f>
        <v/>
      </c>
      <c r="U683" s="874" t="str">
        <f>IFERROR(VLOOKUP(C683,'02. MM-KLH'!$B$6:$T$823,19,0),"")</f>
        <v/>
      </c>
    </row>
    <row r="684" ht="13.5" customHeight="1">
      <c r="A684" s="80">
        <v>1.0</v>
      </c>
      <c r="B684" s="115" t="s">
        <v>2949</v>
      </c>
      <c r="C684" s="84" t="str">
        <f>IFERROR(VLOOKUP(B684,'02. MM-KLH'!$B$6:$T$823,2,0),"")</f>
        <v>XPT01NNKLH</v>
      </c>
      <c r="D684" s="95" t="str">
        <f>IFERROR(VLOOKUP(B684,'02. MM-KLH'!$B$6:$T$823,3,0),"")</f>
        <v/>
      </c>
      <c r="E684" s="86" t="str">
        <f>IFERROR(VLOOKUP(B684,'02. MM-KLH'!$B$6:$T$823,4,0),"")</f>
        <v/>
      </c>
      <c r="F684" s="115"/>
      <c r="G684" s="86" t="str">
        <f>IFERROR(VLOOKUP(B684,'02. MM-KLH'!$B$6:$T$823,6,0),"")</f>
        <v>Xe phun thuốc FC950</v>
      </c>
      <c r="H684" s="80" t="s">
        <v>5892</v>
      </c>
      <c r="I684" s="80" t="str">
        <f>IFERROR(VLOOKUP(B684,'02. MM-KLH'!$B$6:$T$823,8,0),"")</f>
        <v>CHƯA PHÂN BỔ</v>
      </c>
      <c r="J684" s="99" t="str">
        <f>IFERROR(VLOOKUP(B684,'02. MM-KLH'!$B$6:$T$823,9,0),"")</f>
        <v>Chưa phân bổ</v>
      </c>
      <c r="K684" s="80" t="str">
        <f>IFERROR(VLOOKUP(B684,'02. MM-KLH'!$B$6:$T$823,10,0),"")</f>
        <v>Hư hỏng</v>
      </c>
      <c r="L684" s="102" t="str">
        <f>IFERROR(VLOOKUP(B684,'02. MM-KLH'!$B$6:$T$823,11,0),"")</f>
        <v/>
      </c>
      <c r="M684" s="143" t="str">
        <f>IFERROR(VLOOKUP(B684,'02. MM-KLH'!$B$6:$T$823,12,0),"")</f>
        <v/>
      </c>
      <c r="N684" s="108" t="str">
        <f>IFERROR(VLOOKUP(B684,'02. MM-KLH'!$B$6:$T$823,13,0),"")</f>
        <v>THACO FORLAND</v>
      </c>
      <c r="O684" s="108" t="str">
        <f>IFERROR(VLOOKUP(B684,'02. MM-KLH'!$B$6:$T$823,14,0),"")</f>
        <v>VIỆT NAM</v>
      </c>
      <c r="P684" s="80">
        <f>IFERROR(VLOOKUP(B684,'02. MM-KLH'!$B$6:$T$823,15,0),"")</f>
        <v>2018</v>
      </c>
      <c r="Q684" s="80" t="str">
        <f>IFERROR(VLOOKUP(B684,'02. MM-KLH'!$B$6:$T$823,16,0),"")</f>
        <v>FC950</v>
      </c>
      <c r="R684" s="106" t="str">
        <f>IFERROR(VLOOKUP(B684,'02. MM-KLH'!$B$6:$T$823,17,0),"")</f>
        <v>160HP</v>
      </c>
      <c r="S684" s="108" t="str">
        <f>IFERROR(VLOOKUP(B684,'02. MM-KLH'!$B$6:$T$823,18,0),"")</f>
        <v>C084025</v>
      </c>
      <c r="T684" s="110" t="str">
        <f>IFERROR(VLOOKUP(B684,'02. MM-KLH'!$B$6:$T$823,19,0),"")</f>
        <v>J00061</v>
      </c>
      <c r="U684" s="130"/>
    </row>
    <row r="685" ht="13.5" customHeight="1">
      <c r="A685" s="80">
        <v>3.0</v>
      </c>
      <c r="B685" s="115" t="s">
        <v>2955</v>
      </c>
      <c r="C685" s="84" t="str">
        <f>IFERROR(VLOOKUP(B685,'02. MM-KLH'!$B$6:$T$823,2,0),"")</f>
        <v>XPT08 - NN KLH</v>
      </c>
      <c r="D685" s="95" t="str">
        <f>IFERROR(VLOOKUP(B685,'02. MM-KLH'!$B$6:$T$823,3,0),"")</f>
        <v>A22-XPT-001</v>
      </c>
      <c r="E685" s="86" t="str">
        <f>IFERROR(VLOOKUP(B685,'02. MM-KLH'!$B$6:$T$823,4,0),"")</f>
        <v/>
      </c>
      <c r="F685" s="115"/>
      <c r="G685" s="86" t="str">
        <f>IFERROR(VLOOKUP(B685,'02. MM-KLH'!$B$6:$T$823,6,0),"")</f>
        <v>Xe phun thuốc Faw 15T</v>
      </c>
      <c r="H685" s="80"/>
      <c r="I685" s="80" t="str">
        <f>IFERROR(VLOOKUP(B685,'02. MM-KLH'!$B$6:$T$823,8,0),"")</f>
        <v>CHƯA PHÂN BỔ</v>
      </c>
      <c r="J685" s="99" t="str">
        <f>IFERROR(VLOOKUP(B685,'02. MM-KLH'!$B$6:$T$823,9,0),"")</f>
        <v/>
      </c>
      <c r="K685" s="80" t="str">
        <f>IFERROR(VLOOKUP(B685,'02. MM-KLH'!$B$6:$T$823,10,0),"")</f>
        <v>Hư hỏng</v>
      </c>
      <c r="L685" s="102" t="str">
        <f>IFERROR(VLOOKUP(B685,'02. MM-KLH'!$B$6:$T$823,11,0),"")</f>
        <v/>
      </c>
      <c r="M685" s="893" t="str">
        <f>IFERROR(VLOOKUP(B685,'02. MM-KLH'!$B$6:$T$823,12,0),"")</f>
        <v/>
      </c>
      <c r="N685" s="108" t="str">
        <f>IFERROR(VLOOKUP(B685,'02. MM-KLH'!$B$6:$T$823,13,0),"")</f>
        <v>FAW</v>
      </c>
      <c r="O685" s="108" t="str">
        <f>IFERROR(VLOOKUP(B685,'02. MM-KLH'!$B$6:$T$823,14,0),"")</f>
        <v>TRUNG QUỐC</v>
      </c>
      <c r="P685" s="80">
        <f>IFERROR(VLOOKUP(B685,'02. MM-KLH'!$B$6:$T$823,15,0),"")</f>
        <v>2009</v>
      </c>
      <c r="Q685" s="80" t="str">
        <f>IFERROR(VLOOKUP(B685,'02. MM-KLH'!$B$6:$T$823,16,0),"")</f>
        <v/>
      </c>
      <c r="R685" s="106" t="str">
        <f>IFERROR(VLOOKUP(B685,'02. MM-KLH'!$B$6:$T$823,17,0),"")</f>
        <v>140HP</v>
      </c>
      <c r="S685" s="108" t="str">
        <f>IFERROR(VLOOKUP(B685,'02. MM-KLH'!$B$6:$T$823,18,0),"")</f>
        <v>9AD33858</v>
      </c>
      <c r="T685" s="110" t="str">
        <f>IFERROR(VLOOKUP(B685,'02. MM-KLH'!$B$6:$T$823,19,0),"")</f>
        <v>1509K055936</v>
      </c>
      <c r="U685" s="130"/>
    </row>
    <row r="686">
      <c r="B686" s="169"/>
    </row>
    <row r="687">
      <c r="B687" s="169"/>
    </row>
    <row r="688">
      <c r="B688" s="169"/>
    </row>
    <row r="689" ht="13.5" customHeight="1">
      <c r="B689" s="169"/>
      <c r="C689" s="84" t="str">
        <f>IFERROR(VLOOKUP(B689,'02. MM-KLH'!$B$6:$T$823,2,0),"")</f>
        <v/>
      </c>
      <c r="D689" s="95" t="str">
        <f>IFERROR(VLOOKUP(B689,'02. MM-KLH'!$B$6:$T$823,3,0),"")</f>
        <v/>
      </c>
      <c r="E689" s="86" t="str">
        <f>IFERROR(VLOOKUP(B689,'02. MM-KLH'!$B$6:$T$823,4,0),"")</f>
        <v/>
      </c>
      <c r="G689" s="86" t="str">
        <f>IFERROR(VLOOKUP(B689,'02. MM-KLH'!$B$6:$T$823,6,0),"")</f>
        <v/>
      </c>
      <c r="I689" s="80" t="str">
        <f>IFERROR(VLOOKUP(B689,'02. MM-KLH'!$B$6:$T$823,8,0),"")</f>
        <v/>
      </c>
      <c r="J689" s="99" t="str">
        <f>IFERROR(VLOOKUP(B689,'02. MM-KLH'!$B$6:$T$823,9,0),"")</f>
        <v/>
      </c>
      <c r="K689" s="80" t="str">
        <f>IFERROR(VLOOKUP(B689,'02. MM-KLH'!$B$6:$T$823,10,0),"")</f>
        <v/>
      </c>
      <c r="L689" s="102" t="str">
        <f>IFERROR(VLOOKUP(B689,'02. MM-KLH'!$B$6:$T$823,11,0),"")</f>
        <v/>
      </c>
      <c r="M689" s="143" t="str">
        <f>IFERROR(VLOOKUP(B689,'02. MM-KLH'!$B$6:$T$823,12,0),"")</f>
        <v/>
      </c>
      <c r="N689" s="108" t="str">
        <f>IFERROR(VLOOKUP(B689,'02. MM-KLH'!$B$6:$T$823,13,0),"")</f>
        <v/>
      </c>
      <c r="O689" s="108" t="str">
        <f>IFERROR(VLOOKUP(B689,'02. MM-KLH'!$B$6:$T$823,14,0),"")</f>
        <v/>
      </c>
      <c r="P689" s="80" t="str">
        <f>IFERROR(VLOOKUP(B689,'02. MM-KLH'!$B$6:$T$823,15,0),"")</f>
        <v/>
      </c>
      <c r="Q689" s="80" t="str">
        <f>IFERROR(VLOOKUP(B689,'02. MM-KLH'!$B$6:$T$823,16,0),"")</f>
        <v/>
      </c>
      <c r="R689" s="106" t="str">
        <f>IFERROR(VLOOKUP(B689,'02. MM-KLH'!$B$6:$T$823,17,0),"")</f>
        <v/>
      </c>
      <c r="S689" s="108" t="str">
        <f>IFERROR(VLOOKUP(B689,'02. MM-KLH'!$B$6:$T$823,18,0),"")</f>
        <v/>
      </c>
      <c r="T689" s="110" t="str">
        <f>IFERROR(VLOOKUP(B689,'02. MM-KLH'!$B$6:$T$823,19,0),"")</f>
        <v/>
      </c>
      <c r="U689" s="130"/>
    </row>
    <row r="690" ht="13.5" customHeight="1">
      <c r="A690" s="649" t="s">
        <v>2642</v>
      </c>
      <c r="B690" s="875" t="s">
        <v>2959</v>
      </c>
      <c r="C690" s="649">
        <f>COUNTA(G691:G761)</f>
        <v>59</v>
      </c>
      <c r="D690" s="649" t="str">
        <f>IFERROR(VLOOKUP(B690,'02. MM-KLH'!$B$6:$T$823,3,0),"")</f>
        <v/>
      </c>
      <c r="E690" s="649" t="str">
        <f>IFERROR(VLOOKUP(B690,'02. MM-KLH'!$B$6:$T$823,4,0),"")</f>
        <v/>
      </c>
      <c r="F690" s="649"/>
      <c r="G690" s="649" t="str">
        <f>IFERROR(VLOOKUP(B690,'02. MM-KLH'!$B$6:$T$823,6,0),"")</f>
        <v>(Loại biên chữ đỏ)</v>
      </c>
      <c r="H690" s="649"/>
      <c r="I690" s="649" t="str">
        <f>IFERROR(VLOOKUP(B690,'02. MM-KLH'!$B$6:$T$823,8,0),"")</f>
        <v/>
      </c>
      <c r="J690" s="649" t="str">
        <f>IFERROR(VLOOKUP(B690,'02. MM-KLH'!$B$6:$T$823,9,0),"")</f>
        <v/>
      </c>
      <c r="K690" s="649" t="str">
        <f>IFERROR(VLOOKUP(B690,'02. MM-KLH'!$B$6:$T$823,10,0),"")</f>
        <v/>
      </c>
      <c r="L690" s="649" t="str">
        <f>IFERROR(VLOOKUP(B690,'02. MM-KLH'!$B$6:$T$823,11,0),"")</f>
        <v/>
      </c>
      <c r="M690" s="649" t="str">
        <f>IFERROR(VLOOKUP(B690,'02. MM-KLH'!$B$6:$T$823,12,0),"")</f>
        <v/>
      </c>
      <c r="N690" s="649" t="str">
        <f>IFERROR(VLOOKUP(B690,'02. MM-KLH'!$B$6:$T$823,13,0),"")</f>
        <v/>
      </c>
      <c r="O690" s="649" t="str">
        <f>IFERROR(VLOOKUP(B690,'02. MM-KLH'!$B$6:$T$823,14,0),"")</f>
        <v/>
      </c>
      <c r="P690" s="649" t="str">
        <f>IFERROR(VLOOKUP(B690,'02. MM-KLH'!$B$6:$T$823,15,0),"")</f>
        <v/>
      </c>
      <c r="Q690" s="649" t="str">
        <f>IFERROR(VLOOKUP(B690,'02. MM-KLH'!$B$6:$T$823,16,0),"")</f>
        <v/>
      </c>
      <c r="R690" s="649" t="str">
        <f>IFERROR(VLOOKUP(B690,'02. MM-KLH'!$B$6:$T$823,17,0),"")</f>
        <v/>
      </c>
      <c r="S690" s="649" t="str">
        <f>IFERROR(VLOOKUP(B690,'02. MM-KLH'!$B$6:$T$823,18,0),"")</f>
        <v/>
      </c>
      <c r="T690" s="649" t="str">
        <f>IFERROR(VLOOKUP(B690,'02. MM-KLH'!$B$6:$T$823,19,0),"")</f>
        <v/>
      </c>
      <c r="U690" s="649" t="str">
        <f>IFERROR(VLOOKUP(C690,'02. MM-KLH'!$B$6:$T$823,19,0),"")</f>
        <v/>
      </c>
    </row>
    <row r="691" ht="13.5" customHeight="1">
      <c r="A691" s="289">
        <v>1.0</v>
      </c>
      <c r="B691" s="910"/>
      <c r="C691" s="911" t="s">
        <v>2961</v>
      </c>
      <c r="D691" s="912"/>
      <c r="E691" s="913"/>
      <c r="F691" s="914"/>
      <c r="G691" s="86" t="s">
        <v>6446</v>
      </c>
      <c r="H691" s="80" t="s">
        <v>2033</v>
      </c>
      <c r="I691" s="106" t="s">
        <v>2964</v>
      </c>
      <c r="J691" s="915"/>
      <c r="K691" s="80"/>
      <c r="L691" s="106"/>
      <c r="M691" s="916" t="s">
        <v>6447</v>
      </c>
      <c r="N691" s="108" t="s">
        <v>743</v>
      </c>
      <c r="O691" s="108" t="s">
        <v>148</v>
      </c>
      <c r="P691" s="80">
        <v>2018.0</v>
      </c>
      <c r="Q691" s="80" t="s">
        <v>860</v>
      </c>
      <c r="R691" s="80" t="s">
        <v>861</v>
      </c>
      <c r="S691" s="108" t="s">
        <v>2966</v>
      </c>
      <c r="T691" s="110" t="s">
        <v>96</v>
      </c>
      <c r="U691" s="130">
        <v>2.5</v>
      </c>
    </row>
    <row r="692" ht="13.5" customHeight="1">
      <c r="A692" s="289">
        <v>2.0</v>
      </c>
      <c r="B692" s="910"/>
      <c r="C692" s="911" t="s">
        <v>2967</v>
      </c>
      <c r="D692" s="912"/>
      <c r="E692" s="913"/>
      <c r="F692" s="914"/>
      <c r="G692" s="86" t="s">
        <v>6450</v>
      </c>
      <c r="H692" s="80" t="s">
        <v>2033</v>
      </c>
      <c r="I692" s="106" t="s">
        <v>2964</v>
      </c>
      <c r="J692" s="915"/>
      <c r="K692" s="80"/>
      <c r="L692" s="106"/>
      <c r="M692" s="916" t="s">
        <v>6447</v>
      </c>
      <c r="N692" s="108" t="s">
        <v>2609</v>
      </c>
      <c r="O692" s="108" t="s">
        <v>148</v>
      </c>
      <c r="P692" s="80"/>
      <c r="Q692" s="80"/>
      <c r="R692" s="80" t="s">
        <v>1277</v>
      </c>
      <c r="S692" s="108" t="s">
        <v>2968</v>
      </c>
      <c r="T692" s="110" t="s">
        <v>96</v>
      </c>
      <c r="U692" s="130"/>
    </row>
    <row r="693" ht="13.5" customHeight="1">
      <c r="A693" s="289">
        <v>3.0</v>
      </c>
      <c r="B693" s="918" t="s">
        <v>2969</v>
      </c>
      <c r="C693" s="914" t="s">
        <v>2970</v>
      </c>
      <c r="D693" s="119"/>
      <c r="E693" s="84"/>
      <c r="F693" s="914"/>
      <c r="G693" s="86" t="s">
        <v>6452</v>
      </c>
      <c r="H693" s="80" t="s">
        <v>702</v>
      </c>
      <c r="I693" s="106" t="s">
        <v>836</v>
      </c>
      <c r="J693" s="915"/>
      <c r="K693" s="80"/>
      <c r="L693" s="106"/>
      <c r="M693" s="916" t="s">
        <v>6447</v>
      </c>
      <c r="N693" s="108" t="s">
        <v>1441</v>
      </c>
      <c r="O693" s="108" t="s">
        <v>84</v>
      </c>
      <c r="P693" s="106"/>
      <c r="Q693" s="80">
        <v>303.0</v>
      </c>
      <c r="R693" s="106"/>
      <c r="S693" s="108">
        <v>857.0</v>
      </c>
      <c r="T693" s="110">
        <v>4262.0</v>
      </c>
      <c r="U693" s="130">
        <v>4.0</v>
      </c>
    </row>
    <row r="694" ht="13.5" customHeight="1">
      <c r="A694" s="289">
        <v>4.0</v>
      </c>
      <c r="B694" s="113" t="s">
        <v>2972</v>
      </c>
      <c r="C694" s="914" t="s">
        <v>2973</v>
      </c>
      <c r="D694" s="95" t="s">
        <v>6455</v>
      </c>
      <c r="E694" s="86"/>
      <c r="F694" s="115"/>
      <c r="G694" s="86" t="s">
        <v>6446</v>
      </c>
      <c r="H694" s="80" t="s">
        <v>2033</v>
      </c>
      <c r="I694" s="80" t="s">
        <v>836</v>
      </c>
      <c r="J694" s="99"/>
      <c r="K694" s="80"/>
      <c r="L694" s="106"/>
      <c r="M694" s="916" t="s">
        <v>6447</v>
      </c>
      <c r="N694" s="428" t="s">
        <v>743</v>
      </c>
      <c r="O694" s="108" t="s">
        <v>148</v>
      </c>
      <c r="P694" s="80">
        <v>2018.0</v>
      </c>
      <c r="Q694" s="80" t="s">
        <v>860</v>
      </c>
      <c r="R694" s="106" t="s">
        <v>861</v>
      </c>
      <c r="S694" s="108" t="s">
        <v>2974</v>
      </c>
      <c r="T694" s="110" t="s">
        <v>96</v>
      </c>
      <c r="U694" s="130">
        <v>2.5</v>
      </c>
    </row>
    <row r="695" ht="13.5" customHeight="1">
      <c r="A695" s="920">
        <v>5.0</v>
      </c>
      <c r="B695" s="918" t="s">
        <v>2975</v>
      </c>
      <c r="C695" s="914" t="s">
        <v>2976</v>
      </c>
      <c r="D695" s="95"/>
      <c r="E695" s="86"/>
      <c r="F695" s="910" t="s">
        <v>2977</v>
      </c>
      <c r="G695" s="86" t="s">
        <v>6458</v>
      </c>
      <c r="H695" s="80" t="s">
        <v>5490</v>
      </c>
      <c r="I695" s="80" t="s">
        <v>836</v>
      </c>
      <c r="J695" s="99"/>
      <c r="K695" s="80"/>
      <c r="L695" s="106"/>
      <c r="M695" s="916" t="s">
        <v>6447</v>
      </c>
      <c r="N695" s="428" t="s">
        <v>743</v>
      </c>
      <c r="O695" s="108" t="s">
        <v>148</v>
      </c>
      <c r="P695" s="80">
        <v>2018.0</v>
      </c>
      <c r="Q695" s="80" t="s">
        <v>1383</v>
      </c>
      <c r="R695" s="106" t="s">
        <v>2979</v>
      </c>
      <c r="S695" s="108">
        <v>880102.0</v>
      </c>
      <c r="T695" s="110" t="s">
        <v>96</v>
      </c>
      <c r="U695" s="130"/>
    </row>
    <row r="696" ht="13.5" customHeight="1">
      <c r="A696" s="920">
        <v>6.0</v>
      </c>
      <c r="B696" s="918" t="s">
        <v>2980</v>
      </c>
      <c r="C696" s="914" t="s">
        <v>2981</v>
      </c>
      <c r="D696" s="95"/>
      <c r="E696" s="86"/>
      <c r="F696" s="910" t="s">
        <v>2982</v>
      </c>
      <c r="G696" s="86" t="s">
        <v>6460</v>
      </c>
      <c r="H696" s="80" t="s">
        <v>5961</v>
      </c>
      <c r="I696" s="80" t="s">
        <v>836</v>
      </c>
      <c r="J696" s="99">
        <v>44197.0</v>
      </c>
      <c r="K696" s="80"/>
      <c r="L696" s="102">
        <v>0.0</v>
      </c>
      <c r="M696" s="916" t="s">
        <v>6447</v>
      </c>
      <c r="N696" s="428" t="s">
        <v>2984</v>
      </c>
      <c r="O696" s="108" t="s">
        <v>883</v>
      </c>
      <c r="P696" s="80">
        <v>2014.0</v>
      </c>
      <c r="Q696" s="80" t="s">
        <v>2985</v>
      </c>
      <c r="R696" s="106" t="s">
        <v>2986</v>
      </c>
      <c r="S696" s="108">
        <v>6042.0</v>
      </c>
      <c r="T696" s="110" t="s">
        <v>96</v>
      </c>
      <c r="U696" s="130"/>
    </row>
    <row r="697" ht="13.5" customHeight="1">
      <c r="A697" s="289">
        <v>7.0</v>
      </c>
      <c r="B697" s="918" t="s">
        <v>2987</v>
      </c>
      <c r="C697" s="914" t="s">
        <v>2988</v>
      </c>
      <c r="D697" s="95"/>
      <c r="E697" s="86"/>
      <c r="F697" s="910"/>
      <c r="G697" s="86" t="s">
        <v>6461</v>
      </c>
      <c r="H697" s="80" t="s">
        <v>4525</v>
      </c>
      <c r="I697" s="80" t="s">
        <v>55</v>
      </c>
      <c r="J697" s="99"/>
      <c r="K697" s="80"/>
      <c r="L697" s="106"/>
      <c r="M697" s="916" t="s">
        <v>6447</v>
      </c>
      <c r="N697" s="428" t="s">
        <v>905</v>
      </c>
      <c r="O697" s="108"/>
      <c r="P697" s="80"/>
      <c r="Q697" s="80"/>
      <c r="R697" s="106"/>
      <c r="S697" s="235" t="s">
        <v>2990</v>
      </c>
      <c r="T697" s="110" t="s">
        <v>96</v>
      </c>
      <c r="U697" s="130"/>
    </row>
    <row r="698" ht="13.5" customHeight="1">
      <c r="A698" s="289">
        <v>8.0</v>
      </c>
      <c r="B698" s="918" t="s">
        <v>2991</v>
      </c>
      <c r="C698" s="914" t="s">
        <v>2991</v>
      </c>
      <c r="D698" s="95"/>
      <c r="E698" s="86"/>
      <c r="F698" s="910"/>
      <c r="G698" s="86" t="s">
        <v>6463</v>
      </c>
      <c r="H698" s="80" t="s">
        <v>5490</v>
      </c>
      <c r="I698" s="80" t="s">
        <v>64</v>
      </c>
      <c r="J698" s="99"/>
      <c r="K698" s="80"/>
      <c r="L698" s="106"/>
      <c r="M698" s="916" t="s">
        <v>6447</v>
      </c>
      <c r="N698" s="428" t="s">
        <v>300</v>
      </c>
      <c r="O698" s="108" t="s">
        <v>148</v>
      </c>
      <c r="P698" s="80">
        <v>2012.0</v>
      </c>
      <c r="Q698" s="80"/>
      <c r="R698" s="106"/>
      <c r="S698" s="108">
        <v>32169.0</v>
      </c>
      <c r="T698" s="110" t="s">
        <v>96</v>
      </c>
      <c r="U698" s="130"/>
    </row>
    <row r="699" ht="13.5" customHeight="1">
      <c r="A699" s="289">
        <v>9.0</v>
      </c>
      <c r="B699" s="918" t="s">
        <v>2993</v>
      </c>
      <c r="C699" s="914" t="s">
        <v>2993</v>
      </c>
      <c r="D699" s="95"/>
      <c r="E699" s="86"/>
      <c r="F699" s="910" t="s">
        <v>2994</v>
      </c>
      <c r="G699" s="86" t="s">
        <v>6465</v>
      </c>
      <c r="H699" s="80" t="s">
        <v>5490</v>
      </c>
      <c r="I699" s="80" t="s">
        <v>64</v>
      </c>
      <c r="J699" s="99">
        <v>40910.0</v>
      </c>
      <c r="K699" s="80"/>
      <c r="L699" s="102">
        <v>0.0</v>
      </c>
      <c r="M699" s="916" t="s">
        <v>6447</v>
      </c>
      <c r="N699" s="428" t="s">
        <v>1032</v>
      </c>
      <c r="O699" s="108" t="s">
        <v>103</v>
      </c>
      <c r="P699" s="80"/>
      <c r="Q699" s="80"/>
      <c r="R699" s="106"/>
      <c r="S699" s="108">
        <v>55454.0</v>
      </c>
      <c r="T699" s="110" t="s">
        <v>96</v>
      </c>
      <c r="U699" s="130"/>
    </row>
    <row r="700" ht="13.5" customHeight="1">
      <c r="A700" s="289">
        <v>10.0</v>
      </c>
      <c r="B700" s="918" t="s">
        <v>2996</v>
      </c>
      <c r="C700" s="914" t="s">
        <v>2997</v>
      </c>
      <c r="D700" s="95" t="s">
        <v>1422</v>
      </c>
      <c r="E700" s="86"/>
      <c r="F700" s="910"/>
      <c r="G700" s="86" t="s">
        <v>6466</v>
      </c>
      <c r="H700" s="80" t="s">
        <v>2033</v>
      </c>
      <c r="I700" s="80" t="s">
        <v>836</v>
      </c>
      <c r="J700" s="99"/>
      <c r="K700" s="80"/>
      <c r="L700" s="106"/>
      <c r="M700" s="916" t="s">
        <v>6447</v>
      </c>
      <c r="N700" s="428" t="s">
        <v>454</v>
      </c>
      <c r="O700" s="108" t="s">
        <v>84</v>
      </c>
      <c r="P700" s="80">
        <v>2013.0</v>
      </c>
      <c r="Q700" s="80" t="s">
        <v>791</v>
      </c>
      <c r="R700" s="106" t="s">
        <v>792</v>
      </c>
      <c r="S700" s="108">
        <v>56762.0</v>
      </c>
      <c r="T700" s="110">
        <v>65.0</v>
      </c>
      <c r="U700" s="130">
        <v>3.5</v>
      </c>
    </row>
    <row r="701" ht="13.5" customHeight="1">
      <c r="A701" s="289">
        <v>11.0</v>
      </c>
      <c r="B701" s="918" t="s">
        <v>2999</v>
      </c>
      <c r="C701" s="914" t="s">
        <v>3000</v>
      </c>
      <c r="D701" s="95" t="s">
        <v>6468</v>
      </c>
      <c r="E701" s="86"/>
      <c r="F701" s="910"/>
      <c r="G701" s="86" t="s">
        <v>6446</v>
      </c>
      <c r="H701" s="80" t="s">
        <v>2033</v>
      </c>
      <c r="I701" s="80" t="s">
        <v>836</v>
      </c>
      <c r="J701" s="99"/>
      <c r="K701" s="80"/>
      <c r="L701" s="106"/>
      <c r="M701" s="916" t="s">
        <v>6447</v>
      </c>
      <c r="N701" s="428" t="s">
        <v>743</v>
      </c>
      <c r="O701" s="108" t="s">
        <v>148</v>
      </c>
      <c r="P701" s="80">
        <v>2018.0</v>
      </c>
      <c r="Q701" s="80" t="s">
        <v>860</v>
      </c>
      <c r="R701" s="106" t="s">
        <v>861</v>
      </c>
      <c r="S701" s="235" t="s">
        <v>3001</v>
      </c>
      <c r="T701" s="176" t="s">
        <v>3002</v>
      </c>
      <c r="U701" s="130">
        <v>2.5</v>
      </c>
    </row>
    <row r="702" ht="13.5" customHeight="1">
      <c r="A702" s="289">
        <v>12.0</v>
      </c>
      <c r="B702" s="918" t="s">
        <v>3003</v>
      </c>
      <c r="C702" s="914" t="s">
        <v>3004</v>
      </c>
      <c r="D702" s="95" t="s">
        <v>6469</v>
      </c>
      <c r="E702" s="86"/>
      <c r="F702" s="910"/>
      <c r="G702" s="86" t="s">
        <v>6446</v>
      </c>
      <c r="H702" s="80" t="s">
        <v>2033</v>
      </c>
      <c r="I702" s="80" t="s">
        <v>836</v>
      </c>
      <c r="J702" s="99"/>
      <c r="K702" s="80"/>
      <c r="L702" s="106"/>
      <c r="M702" s="916" t="s">
        <v>6447</v>
      </c>
      <c r="N702" s="428" t="s">
        <v>743</v>
      </c>
      <c r="O702" s="108" t="s">
        <v>148</v>
      </c>
      <c r="P702" s="80">
        <v>2018.0</v>
      </c>
      <c r="Q702" s="80" t="s">
        <v>860</v>
      </c>
      <c r="R702" s="106" t="s">
        <v>861</v>
      </c>
      <c r="S702" s="235" t="s">
        <v>3005</v>
      </c>
      <c r="T702" s="110">
        <v>80076.0</v>
      </c>
      <c r="U702" s="130">
        <v>2.5</v>
      </c>
    </row>
    <row r="703" ht="13.5" customHeight="1">
      <c r="A703" s="289">
        <v>13.0</v>
      </c>
      <c r="B703" s="918" t="s">
        <v>3006</v>
      </c>
      <c r="C703" s="914" t="s">
        <v>3007</v>
      </c>
      <c r="D703" s="95" t="s">
        <v>6471</v>
      </c>
      <c r="E703" s="86"/>
      <c r="F703" s="910"/>
      <c r="G703" s="86" t="s">
        <v>6446</v>
      </c>
      <c r="H703" s="80" t="s">
        <v>2033</v>
      </c>
      <c r="I703" s="80" t="s">
        <v>836</v>
      </c>
      <c r="J703" s="99"/>
      <c r="K703" s="80"/>
      <c r="L703" s="106"/>
      <c r="M703" s="916" t="s">
        <v>6447</v>
      </c>
      <c r="N703" s="428" t="s">
        <v>743</v>
      </c>
      <c r="O703" s="108" t="s">
        <v>148</v>
      </c>
      <c r="P703" s="80">
        <v>2018.0</v>
      </c>
      <c r="Q703" s="80" t="s">
        <v>860</v>
      </c>
      <c r="R703" s="106" t="s">
        <v>861</v>
      </c>
      <c r="S703" s="108" t="s">
        <v>3008</v>
      </c>
      <c r="T703" s="110">
        <v>180053.0</v>
      </c>
      <c r="U703" s="130">
        <v>2.5</v>
      </c>
    </row>
    <row r="704" ht="13.5" customHeight="1">
      <c r="A704" s="289">
        <v>14.0</v>
      </c>
      <c r="B704" s="918" t="s">
        <v>3009</v>
      </c>
      <c r="C704" s="914" t="s">
        <v>3010</v>
      </c>
      <c r="D704" s="95" t="s">
        <v>2053</v>
      </c>
      <c r="E704" s="86"/>
      <c r="F704" s="910" t="s">
        <v>3011</v>
      </c>
      <c r="G704" s="86" t="s">
        <v>6473</v>
      </c>
      <c r="H704" s="80" t="s">
        <v>2054</v>
      </c>
      <c r="I704" s="80" t="s">
        <v>836</v>
      </c>
      <c r="J704" s="99"/>
      <c r="K704" s="80"/>
      <c r="L704" s="106"/>
      <c r="M704" s="916" t="s">
        <v>6447</v>
      </c>
      <c r="N704" s="428" t="s">
        <v>454</v>
      </c>
      <c r="O704" s="108" t="s">
        <v>84</v>
      </c>
      <c r="P704" s="80">
        <v>2011.0</v>
      </c>
      <c r="Q704" s="80">
        <v>9540.0</v>
      </c>
      <c r="R704" s="106" t="s">
        <v>845</v>
      </c>
      <c r="S704" s="108">
        <v>2482.0</v>
      </c>
      <c r="T704" s="110" t="s">
        <v>96</v>
      </c>
      <c r="U704" s="130">
        <v>3.8</v>
      </c>
    </row>
    <row r="705" ht="13.5" customHeight="1">
      <c r="A705" s="289">
        <v>15.0</v>
      </c>
      <c r="B705" s="918" t="s">
        <v>3012</v>
      </c>
      <c r="C705" s="911" t="s">
        <v>3013</v>
      </c>
      <c r="D705" s="95" t="s">
        <v>6474</v>
      </c>
      <c r="E705" s="86"/>
      <c r="F705" s="910"/>
      <c r="G705" s="86" t="s">
        <v>6446</v>
      </c>
      <c r="H705" s="80" t="s">
        <v>2033</v>
      </c>
      <c r="I705" s="80" t="s">
        <v>836</v>
      </c>
      <c r="J705" s="80" t="s">
        <v>3014</v>
      </c>
      <c r="K705" s="80"/>
      <c r="L705" s="106"/>
      <c r="M705" s="916" t="s">
        <v>6447</v>
      </c>
      <c r="N705" s="428" t="s">
        <v>743</v>
      </c>
      <c r="O705" s="108" t="s">
        <v>148</v>
      </c>
      <c r="P705" s="80">
        <v>2018.0</v>
      </c>
      <c r="Q705" s="80" t="s">
        <v>860</v>
      </c>
      <c r="R705" s="106" t="s">
        <v>861</v>
      </c>
      <c r="S705" s="108" t="s">
        <v>3015</v>
      </c>
      <c r="T705" s="110" t="s">
        <v>96</v>
      </c>
      <c r="U705" s="130">
        <v>2.5</v>
      </c>
    </row>
    <row r="706" ht="13.5" customHeight="1">
      <c r="A706" s="289">
        <v>16.0</v>
      </c>
      <c r="B706" s="918" t="s">
        <v>3016</v>
      </c>
      <c r="C706" s="914" t="s">
        <v>3017</v>
      </c>
      <c r="D706" s="95" t="s">
        <v>2053</v>
      </c>
      <c r="E706" s="86"/>
      <c r="F706" s="910" t="s">
        <v>3018</v>
      </c>
      <c r="G706" s="86" t="s">
        <v>6473</v>
      </c>
      <c r="H706" s="80" t="s">
        <v>2054</v>
      </c>
      <c r="I706" s="80" t="s">
        <v>836</v>
      </c>
      <c r="J706" s="80" t="s">
        <v>1680</v>
      </c>
      <c r="K706" s="80"/>
      <c r="L706" s="106"/>
      <c r="M706" s="916" t="s">
        <v>6447</v>
      </c>
      <c r="N706" s="428" t="s">
        <v>454</v>
      </c>
      <c r="O706" s="108" t="s">
        <v>84</v>
      </c>
      <c r="P706" s="80">
        <v>2011.0</v>
      </c>
      <c r="Q706" s="80">
        <v>9540.0</v>
      </c>
      <c r="R706" s="106" t="s">
        <v>845</v>
      </c>
      <c r="S706" s="108">
        <v>3106.0</v>
      </c>
      <c r="T706" s="110" t="s">
        <v>96</v>
      </c>
      <c r="U706" s="130">
        <v>3.8</v>
      </c>
    </row>
    <row r="707" ht="13.5" customHeight="1">
      <c r="A707" s="289">
        <v>17.0</v>
      </c>
      <c r="B707" s="910" t="s">
        <v>3019</v>
      </c>
      <c r="C707" s="921" t="s">
        <v>2498</v>
      </c>
      <c r="D707" s="95" t="s">
        <v>1422</v>
      </c>
      <c r="E707" s="86"/>
      <c r="F707" s="910" t="s">
        <v>1422</v>
      </c>
      <c r="G707" s="86" t="s">
        <v>6476</v>
      </c>
      <c r="H707" s="80" t="s">
        <v>2033</v>
      </c>
      <c r="I707" s="80" t="s">
        <v>836</v>
      </c>
      <c r="J707" s="80" t="s">
        <v>3020</v>
      </c>
      <c r="K707" s="80"/>
      <c r="L707" s="102">
        <v>0.55</v>
      </c>
      <c r="M707" s="916" t="s">
        <v>6447</v>
      </c>
      <c r="N707" s="108" t="s">
        <v>454</v>
      </c>
      <c r="O707" s="108" t="s">
        <v>222</v>
      </c>
      <c r="P707" s="80">
        <v>2019.0</v>
      </c>
      <c r="Q707" s="80">
        <v>4508.0</v>
      </c>
      <c r="R707" s="80" t="s">
        <v>101</v>
      </c>
      <c r="S707" s="235" t="s">
        <v>3021</v>
      </c>
      <c r="T707" s="110" t="s">
        <v>3022</v>
      </c>
      <c r="U707" s="130">
        <v>2.5</v>
      </c>
    </row>
    <row r="708" ht="13.5" customHeight="1">
      <c r="A708" s="289">
        <v>18.0</v>
      </c>
      <c r="B708" s="918" t="s">
        <v>3023</v>
      </c>
      <c r="C708" s="914" t="s">
        <v>3024</v>
      </c>
      <c r="D708" s="95" t="s">
        <v>3025</v>
      </c>
      <c r="E708" s="86"/>
      <c r="F708" s="910" t="s">
        <v>3025</v>
      </c>
      <c r="G708" s="86" t="s">
        <v>6478</v>
      </c>
      <c r="H708" s="80" t="s">
        <v>5490</v>
      </c>
      <c r="I708" s="80" t="s">
        <v>836</v>
      </c>
      <c r="J708" s="99"/>
      <c r="K708" s="80"/>
      <c r="L708" s="106"/>
      <c r="M708" s="916" t="s">
        <v>6447</v>
      </c>
      <c r="N708" s="428" t="s">
        <v>911</v>
      </c>
      <c r="O708" s="108" t="s">
        <v>912</v>
      </c>
      <c r="P708" s="80"/>
      <c r="Q708" s="80"/>
      <c r="R708" s="106" t="s">
        <v>792</v>
      </c>
      <c r="S708" s="108">
        <v>78509.0</v>
      </c>
      <c r="T708" s="110" t="s">
        <v>96</v>
      </c>
      <c r="U708" s="130">
        <v>2.0</v>
      </c>
    </row>
    <row r="709" ht="13.5" customHeight="1">
      <c r="A709" s="289">
        <v>19.0</v>
      </c>
      <c r="B709" s="918" t="s">
        <v>3026</v>
      </c>
      <c r="C709" s="914" t="s">
        <v>3027</v>
      </c>
      <c r="D709" s="95" t="s">
        <v>3025</v>
      </c>
      <c r="E709" s="86"/>
      <c r="F709" s="910" t="s">
        <v>3025</v>
      </c>
      <c r="G709" s="86" t="s">
        <v>6478</v>
      </c>
      <c r="H709" s="80" t="s">
        <v>5490</v>
      </c>
      <c r="I709" s="80" t="s">
        <v>836</v>
      </c>
      <c r="J709" s="99"/>
      <c r="K709" s="80"/>
      <c r="L709" s="106"/>
      <c r="M709" s="916" t="s">
        <v>6447</v>
      </c>
      <c r="N709" s="428" t="s">
        <v>911</v>
      </c>
      <c r="O709" s="108" t="s">
        <v>912</v>
      </c>
      <c r="P709" s="80"/>
      <c r="Q709" s="80"/>
      <c r="R709" s="106" t="s">
        <v>792</v>
      </c>
      <c r="S709" s="108">
        <v>58759.0</v>
      </c>
      <c r="T709" s="110" t="s">
        <v>96</v>
      </c>
      <c r="U709" s="130">
        <v>2.0</v>
      </c>
    </row>
    <row r="710" ht="13.5" customHeight="1">
      <c r="A710" s="289">
        <v>20.0</v>
      </c>
      <c r="B710" s="910" t="s">
        <v>3028</v>
      </c>
      <c r="C710" s="911" t="s">
        <v>3029</v>
      </c>
      <c r="D710" s="95" t="s">
        <v>6479</v>
      </c>
      <c r="E710" s="86"/>
      <c r="F710" s="910" t="s">
        <v>2029</v>
      </c>
      <c r="G710" s="86" t="s">
        <v>6466</v>
      </c>
      <c r="H710" s="80" t="s">
        <v>2033</v>
      </c>
      <c r="I710" s="80" t="s">
        <v>45</v>
      </c>
      <c r="J710" s="99">
        <v>45352.0</v>
      </c>
      <c r="K710" s="80"/>
      <c r="L710" s="106"/>
      <c r="M710" s="916" t="s">
        <v>6447</v>
      </c>
      <c r="N710" s="428" t="s">
        <v>454</v>
      </c>
      <c r="O710" s="108" t="s">
        <v>84</v>
      </c>
      <c r="P710" s="80">
        <v>2013.0</v>
      </c>
      <c r="Q710" s="80" t="s">
        <v>791</v>
      </c>
      <c r="R710" s="106" t="s">
        <v>792</v>
      </c>
      <c r="S710" s="108">
        <v>57271.0</v>
      </c>
      <c r="T710" s="110" t="s">
        <v>96</v>
      </c>
      <c r="U710" s="130">
        <v>3.5</v>
      </c>
    </row>
    <row r="711" ht="13.5" customHeight="1">
      <c r="A711" s="289">
        <v>21.0</v>
      </c>
      <c r="B711" s="918" t="s">
        <v>3030</v>
      </c>
      <c r="C711" s="911" t="s">
        <v>3031</v>
      </c>
      <c r="D711" s="95" t="s">
        <v>6480</v>
      </c>
      <c r="E711" s="86"/>
      <c r="F711" s="910" t="s">
        <v>3032</v>
      </c>
      <c r="G711" s="86" t="s">
        <v>6481</v>
      </c>
      <c r="H711" s="80" t="s">
        <v>2054</v>
      </c>
      <c r="I711" s="80" t="s">
        <v>45</v>
      </c>
      <c r="J711" s="99">
        <v>43862.0</v>
      </c>
      <c r="K711" s="80"/>
      <c r="L711" s="102">
        <v>0.46</v>
      </c>
      <c r="M711" s="916" t="s">
        <v>6447</v>
      </c>
      <c r="N711" s="428" t="s">
        <v>837</v>
      </c>
      <c r="O711" s="108" t="s">
        <v>3034</v>
      </c>
      <c r="P711" s="80">
        <v>2018.0</v>
      </c>
      <c r="Q711" s="80" t="s">
        <v>3035</v>
      </c>
      <c r="R711" s="106" t="s">
        <v>824</v>
      </c>
      <c r="S711" s="108">
        <v>162744.0</v>
      </c>
      <c r="T711" s="110" t="s">
        <v>96</v>
      </c>
      <c r="U711" s="130">
        <v>8.5</v>
      </c>
    </row>
    <row r="712" ht="13.5" customHeight="1">
      <c r="A712" s="289">
        <v>22.0</v>
      </c>
      <c r="B712" s="918" t="s">
        <v>3036</v>
      </c>
      <c r="C712" s="911" t="s">
        <v>3037</v>
      </c>
      <c r="D712" s="95" t="s">
        <v>6482</v>
      </c>
      <c r="E712" s="86"/>
      <c r="F712" s="910" t="s">
        <v>3032</v>
      </c>
      <c r="G712" s="86" t="s">
        <v>6481</v>
      </c>
      <c r="H712" s="80" t="s">
        <v>2054</v>
      </c>
      <c r="I712" s="80" t="s">
        <v>45</v>
      </c>
      <c r="J712" s="99">
        <v>43862.0</v>
      </c>
      <c r="K712" s="80"/>
      <c r="L712" s="102">
        <v>0.46</v>
      </c>
      <c r="M712" s="916" t="s">
        <v>6447</v>
      </c>
      <c r="N712" s="428" t="s">
        <v>837</v>
      </c>
      <c r="O712" s="108" t="s">
        <v>3034</v>
      </c>
      <c r="P712" s="80">
        <v>2018.0</v>
      </c>
      <c r="Q712" s="80" t="s">
        <v>3035</v>
      </c>
      <c r="R712" s="106" t="s">
        <v>824</v>
      </c>
      <c r="S712" s="108">
        <v>171754.0</v>
      </c>
      <c r="T712" s="110" t="s">
        <v>96</v>
      </c>
      <c r="U712" s="130">
        <v>8.5</v>
      </c>
    </row>
    <row r="713" ht="13.5" customHeight="1">
      <c r="A713" s="289">
        <v>23.0</v>
      </c>
      <c r="B713" s="910" t="s">
        <v>3038</v>
      </c>
      <c r="C713" s="911" t="s">
        <v>3039</v>
      </c>
      <c r="D713" s="95" t="s">
        <v>3032</v>
      </c>
      <c r="E713" s="86"/>
      <c r="F713" s="910" t="s">
        <v>3032</v>
      </c>
      <c r="G713" s="86" t="s">
        <v>6481</v>
      </c>
      <c r="H713" s="80" t="s">
        <v>2054</v>
      </c>
      <c r="I713" s="80" t="s">
        <v>56</v>
      </c>
      <c r="J713" s="99">
        <v>43862.0</v>
      </c>
      <c r="K713" s="80"/>
      <c r="L713" s="102">
        <v>0.46</v>
      </c>
      <c r="M713" s="916" t="s">
        <v>6447</v>
      </c>
      <c r="N713" s="428" t="s">
        <v>837</v>
      </c>
      <c r="O713" s="108" t="s">
        <v>838</v>
      </c>
      <c r="P713" s="80">
        <v>2018.0</v>
      </c>
      <c r="Q713" s="80" t="s">
        <v>3035</v>
      </c>
      <c r="R713" s="106" t="s">
        <v>824</v>
      </c>
      <c r="S713" s="108">
        <v>394479.0</v>
      </c>
      <c r="T713" s="110" t="s">
        <v>96</v>
      </c>
      <c r="U713" s="130">
        <v>8.5</v>
      </c>
    </row>
    <row r="714" ht="13.5" customHeight="1">
      <c r="A714" s="289">
        <v>24.0</v>
      </c>
      <c r="B714" s="918" t="s">
        <v>3040</v>
      </c>
      <c r="C714" s="914" t="s">
        <v>3041</v>
      </c>
      <c r="D714" s="95" t="s">
        <v>5953</v>
      </c>
      <c r="E714" s="86"/>
      <c r="F714" s="910"/>
      <c r="G714" s="86" t="s">
        <v>6483</v>
      </c>
      <c r="H714" s="80" t="s">
        <v>5913</v>
      </c>
      <c r="I714" s="80" t="s">
        <v>1582</v>
      </c>
      <c r="J714" s="99"/>
      <c r="K714" s="80"/>
      <c r="L714" s="106"/>
      <c r="M714" s="916" t="s">
        <v>6447</v>
      </c>
      <c r="N714" s="428" t="s">
        <v>1561</v>
      </c>
      <c r="O714" s="108" t="s">
        <v>912</v>
      </c>
      <c r="P714" s="80"/>
      <c r="Q714" s="80"/>
      <c r="R714" s="80" t="s">
        <v>950</v>
      </c>
      <c r="S714" s="108"/>
      <c r="T714" s="110" t="s">
        <v>96</v>
      </c>
      <c r="U714" s="130">
        <v>0.5</v>
      </c>
    </row>
    <row r="715" ht="13.5" customHeight="1">
      <c r="A715" s="289">
        <v>25.0</v>
      </c>
      <c r="B715" s="918" t="s">
        <v>3042</v>
      </c>
      <c r="C715" s="914" t="s">
        <v>3043</v>
      </c>
      <c r="D715" s="95" t="s">
        <v>6484</v>
      </c>
      <c r="E715" s="86"/>
      <c r="F715" s="910"/>
      <c r="G715" s="86" t="s">
        <v>6485</v>
      </c>
      <c r="H715" s="80" t="s">
        <v>2033</v>
      </c>
      <c r="I715" s="80" t="s">
        <v>1590</v>
      </c>
      <c r="J715" s="99"/>
      <c r="K715" s="80"/>
      <c r="L715" s="106"/>
      <c r="M715" s="916" t="s">
        <v>6447</v>
      </c>
      <c r="N715" s="428" t="s">
        <v>2609</v>
      </c>
      <c r="O715" s="108" t="s">
        <v>84</v>
      </c>
      <c r="P715" s="80"/>
      <c r="Q715" s="80" t="s">
        <v>2609</v>
      </c>
      <c r="R715" s="80" t="s">
        <v>1277</v>
      </c>
      <c r="S715" s="108" t="s">
        <v>96</v>
      </c>
      <c r="T715" s="110">
        <v>20054.0</v>
      </c>
      <c r="U715" s="130"/>
    </row>
    <row r="716" ht="13.5" customHeight="1">
      <c r="A716" s="289">
        <v>26.0</v>
      </c>
      <c r="B716" s="910" t="s">
        <v>3045</v>
      </c>
      <c r="C716" s="911" t="s">
        <v>3046</v>
      </c>
      <c r="D716" s="95" t="s">
        <v>3047</v>
      </c>
      <c r="E716" s="86"/>
      <c r="F716" s="910" t="s">
        <v>3047</v>
      </c>
      <c r="G716" s="86" t="s">
        <v>6478</v>
      </c>
      <c r="H716" s="80" t="s">
        <v>5490</v>
      </c>
      <c r="I716" s="80" t="s">
        <v>1389</v>
      </c>
      <c r="J716" s="80" t="s">
        <v>1402</v>
      </c>
      <c r="K716" s="80"/>
      <c r="L716" s="106"/>
      <c r="M716" s="916" t="s">
        <v>6447</v>
      </c>
      <c r="N716" s="428" t="s">
        <v>911</v>
      </c>
      <c r="O716" s="108" t="s">
        <v>912</v>
      </c>
      <c r="P716" s="80"/>
      <c r="Q716" s="80"/>
      <c r="R716" s="106" t="s">
        <v>792</v>
      </c>
      <c r="S716" s="108" t="s">
        <v>1456</v>
      </c>
      <c r="T716" s="110">
        <v>77109.0</v>
      </c>
      <c r="U716" s="130">
        <v>2.0</v>
      </c>
    </row>
    <row r="717" ht="13.5" customHeight="1">
      <c r="A717" s="289">
        <v>27.0</v>
      </c>
      <c r="B717" s="918" t="s">
        <v>3048</v>
      </c>
      <c r="C717" s="911" t="s">
        <v>3049</v>
      </c>
      <c r="D717" s="95" t="s">
        <v>3047</v>
      </c>
      <c r="E717" s="86"/>
      <c r="F717" s="910" t="s">
        <v>3047</v>
      </c>
      <c r="G717" s="86" t="s">
        <v>6478</v>
      </c>
      <c r="H717" s="80" t="s">
        <v>5490</v>
      </c>
      <c r="I717" s="80" t="s">
        <v>1389</v>
      </c>
      <c r="J717" s="99"/>
      <c r="K717" s="80"/>
      <c r="L717" s="106"/>
      <c r="M717" s="916" t="s">
        <v>6447</v>
      </c>
      <c r="N717" s="428" t="s">
        <v>911</v>
      </c>
      <c r="O717" s="108" t="s">
        <v>912</v>
      </c>
      <c r="P717" s="80"/>
      <c r="Q717" s="80"/>
      <c r="R717" s="106" t="s">
        <v>792</v>
      </c>
      <c r="S717" s="108" t="s">
        <v>1456</v>
      </c>
      <c r="T717" s="110">
        <v>77052.0</v>
      </c>
      <c r="U717" s="130">
        <v>2.0</v>
      </c>
    </row>
    <row r="718" ht="13.5" customHeight="1">
      <c r="A718" s="289">
        <v>28.0</v>
      </c>
      <c r="B718" s="918" t="s">
        <v>3050</v>
      </c>
      <c r="C718" s="911" t="s">
        <v>3051</v>
      </c>
      <c r="D718" s="95" t="s">
        <v>1083</v>
      </c>
      <c r="E718" s="86"/>
      <c r="F718" s="910" t="s">
        <v>1083</v>
      </c>
      <c r="G718" s="86" t="s">
        <v>6486</v>
      </c>
      <c r="H718" s="80" t="s">
        <v>702</v>
      </c>
      <c r="I718" s="80" t="s">
        <v>1389</v>
      </c>
      <c r="J718" s="99"/>
      <c r="K718" s="80"/>
      <c r="L718" s="106"/>
      <c r="M718" s="916" t="s">
        <v>6447</v>
      </c>
      <c r="N718" s="428" t="s">
        <v>454</v>
      </c>
      <c r="O718" s="108" t="s">
        <v>84</v>
      </c>
      <c r="P718" s="80">
        <v>2015.0</v>
      </c>
      <c r="Q718" s="80" t="s">
        <v>455</v>
      </c>
      <c r="R718" s="106" t="s">
        <v>456</v>
      </c>
      <c r="S718" s="108">
        <v>60284.0</v>
      </c>
      <c r="T718" s="110" t="s">
        <v>96</v>
      </c>
      <c r="U718" s="130">
        <v>4.0</v>
      </c>
    </row>
    <row r="719" ht="13.5" customHeight="1">
      <c r="A719" s="289">
        <v>29.0</v>
      </c>
      <c r="B719" s="918" t="s">
        <v>3052</v>
      </c>
      <c r="C719" s="914" t="s">
        <v>3053</v>
      </c>
      <c r="D719" s="95" t="s">
        <v>1083</v>
      </c>
      <c r="E719" s="86"/>
      <c r="F719" s="910" t="s">
        <v>1083</v>
      </c>
      <c r="G719" s="86" t="s">
        <v>6486</v>
      </c>
      <c r="H719" s="80" t="s">
        <v>702</v>
      </c>
      <c r="I719" s="80" t="s">
        <v>1389</v>
      </c>
      <c r="J719" s="99">
        <v>43617.0</v>
      </c>
      <c r="K719" s="80"/>
      <c r="L719" s="102">
        <v>0.4</v>
      </c>
      <c r="M719" s="916" t="s">
        <v>6447</v>
      </c>
      <c r="N719" s="428" t="s">
        <v>454</v>
      </c>
      <c r="O719" s="108" t="s">
        <v>84</v>
      </c>
      <c r="P719" s="80">
        <v>2015.0</v>
      </c>
      <c r="Q719" s="80" t="s">
        <v>455</v>
      </c>
      <c r="R719" s="106" t="s">
        <v>456</v>
      </c>
      <c r="S719" s="108">
        <v>60273.0</v>
      </c>
      <c r="T719" s="110" t="s">
        <v>96</v>
      </c>
      <c r="U719" s="130">
        <v>4.0</v>
      </c>
    </row>
    <row r="720" ht="13.5" customHeight="1">
      <c r="A720" s="289">
        <v>30.0</v>
      </c>
      <c r="B720" s="910" t="s">
        <v>3054</v>
      </c>
      <c r="C720" s="911" t="s">
        <v>3055</v>
      </c>
      <c r="D720" s="95"/>
      <c r="E720" s="86"/>
      <c r="F720" s="910"/>
      <c r="G720" s="86" t="s">
        <v>6446</v>
      </c>
      <c r="H720" s="80" t="s">
        <v>2033</v>
      </c>
      <c r="I720" s="80" t="s">
        <v>1389</v>
      </c>
      <c r="J720" s="99"/>
      <c r="K720" s="80"/>
      <c r="L720" s="106"/>
      <c r="M720" s="916" t="s">
        <v>6447</v>
      </c>
      <c r="N720" s="428" t="s">
        <v>743</v>
      </c>
      <c r="O720" s="108" t="s">
        <v>148</v>
      </c>
      <c r="P720" s="80">
        <v>2018.0</v>
      </c>
      <c r="Q720" s="80" t="s">
        <v>860</v>
      </c>
      <c r="R720" s="106" t="s">
        <v>861</v>
      </c>
      <c r="S720" s="108" t="s">
        <v>3056</v>
      </c>
      <c r="T720" s="110" t="s">
        <v>96</v>
      </c>
      <c r="U720" s="130">
        <v>2.5</v>
      </c>
    </row>
    <row r="721" ht="13.5" customHeight="1">
      <c r="A721" s="289">
        <v>9.0</v>
      </c>
      <c r="B721" s="918" t="s">
        <v>3057</v>
      </c>
      <c r="C721" s="914" t="s">
        <v>3058</v>
      </c>
      <c r="D721" s="95" t="s">
        <v>3059</v>
      </c>
      <c r="E721" s="86"/>
      <c r="F721" s="910" t="s">
        <v>3059</v>
      </c>
      <c r="G721" s="86" t="s">
        <v>6483</v>
      </c>
      <c r="H721" s="80" t="s">
        <v>5913</v>
      </c>
      <c r="I721" s="80" t="s">
        <v>1253</v>
      </c>
      <c r="J721" s="99"/>
      <c r="K721" s="80"/>
      <c r="L721" s="106"/>
      <c r="M721" s="916" t="s">
        <v>6447</v>
      </c>
      <c r="N721" s="428" t="s">
        <v>1561</v>
      </c>
      <c r="O721" s="108" t="s">
        <v>912</v>
      </c>
      <c r="P721" s="80"/>
      <c r="Q721" s="80"/>
      <c r="R721" s="106" t="s">
        <v>950</v>
      </c>
      <c r="S721" s="108" t="s">
        <v>3060</v>
      </c>
      <c r="T721" s="110" t="s">
        <v>96</v>
      </c>
      <c r="U721" s="130">
        <v>0.5</v>
      </c>
    </row>
    <row r="722" ht="13.5" customHeight="1">
      <c r="A722" s="289">
        <v>10.0</v>
      </c>
      <c r="B722" s="918" t="s">
        <v>3061</v>
      </c>
      <c r="C722" s="921" t="s">
        <v>3062</v>
      </c>
      <c r="D722" s="912" t="s">
        <v>3059</v>
      </c>
      <c r="E722" s="913"/>
      <c r="F722" s="922" t="s">
        <v>3059</v>
      </c>
      <c r="G722" s="86" t="s">
        <v>6483</v>
      </c>
      <c r="H722" s="80" t="s">
        <v>5913</v>
      </c>
      <c r="I722" s="80" t="s">
        <v>1253</v>
      </c>
      <c r="J722" s="923"/>
      <c r="K722" s="924"/>
      <c r="L722" s="924"/>
      <c r="M722" s="916" t="s">
        <v>6447</v>
      </c>
      <c r="N722" s="925" t="s">
        <v>1561</v>
      </c>
      <c r="O722" s="925" t="s">
        <v>912</v>
      </c>
      <c r="P722" s="924"/>
      <c r="Q722" s="924"/>
      <c r="R722" s="924" t="s">
        <v>950</v>
      </c>
      <c r="S722" s="925" t="s">
        <v>3063</v>
      </c>
      <c r="T722" s="926" t="s">
        <v>96</v>
      </c>
      <c r="U722" s="130">
        <v>0.5</v>
      </c>
    </row>
    <row r="723" ht="13.5" customHeight="1">
      <c r="A723" s="289">
        <v>11.0</v>
      </c>
      <c r="B723" s="918" t="s">
        <v>3064</v>
      </c>
      <c r="C723" s="914" t="s">
        <v>3065</v>
      </c>
      <c r="D723" s="95" t="s">
        <v>3059</v>
      </c>
      <c r="E723" s="86"/>
      <c r="F723" s="910" t="s">
        <v>3059</v>
      </c>
      <c r="G723" s="86" t="s">
        <v>6483</v>
      </c>
      <c r="H723" s="80" t="s">
        <v>5913</v>
      </c>
      <c r="I723" s="80" t="s">
        <v>1253</v>
      </c>
      <c r="J723" s="99"/>
      <c r="K723" s="80"/>
      <c r="L723" s="106"/>
      <c r="M723" s="916" t="s">
        <v>6447</v>
      </c>
      <c r="N723" s="428" t="s">
        <v>1561</v>
      </c>
      <c r="O723" s="108" t="s">
        <v>912</v>
      </c>
      <c r="P723" s="80"/>
      <c r="Q723" s="80"/>
      <c r="R723" s="106" t="s">
        <v>950</v>
      </c>
      <c r="S723" s="108" t="s">
        <v>3066</v>
      </c>
      <c r="T723" s="110" t="s">
        <v>96</v>
      </c>
      <c r="U723" s="130">
        <v>0.5</v>
      </c>
    </row>
    <row r="724" ht="13.5" customHeight="1">
      <c r="A724" s="289">
        <v>12.0</v>
      </c>
      <c r="B724" s="910" t="s">
        <v>3067</v>
      </c>
      <c r="C724" s="914" t="s">
        <v>3068</v>
      </c>
      <c r="D724" s="95" t="s">
        <v>3059</v>
      </c>
      <c r="E724" s="86"/>
      <c r="F724" s="910" t="s">
        <v>3059</v>
      </c>
      <c r="G724" s="86" t="s">
        <v>6483</v>
      </c>
      <c r="H724" s="80" t="s">
        <v>5913</v>
      </c>
      <c r="I724" s="80" t="s">
        <v>1253</v>
      </c>
      <c r="J724" s="80" t="s">
        <v>1261</v>
      </c>
      <c r="K724" s="80"/>
      <c r="L724" s="106"/>
      <c r="M724" s="916" t="s">
        <v>6447</v>
      </c>
      <c r="N724" s="428" t="s">
        <v>1561</v>
      </c>
      <c r="O724" s="108" t="s">
        <v>912</v>
      </c>
      <c r="P724" s="80"/>
      <c r="Q724" s="80"/>
      <c r="R724" s="106" t="s">
        <v>950</v>
      </c>
      <c r="S724" s="108" t="s">
        <v>3069</v>
      </c>
      <c r="T724" s="110" t="s">
        <v>96</v>
      </c>
      <c r="U724" s="130">
        <v>0.5</v>
      </c>
    </row>
    <row r="725" ht="13.5" customHeight="1">
      <c r="A725" s="289">
        <v>13.0</v>
      </c>
      <c r="B725" s="910" t="s">
        <v>3070</v>
      </c>
      <c r="C725" s="914" t="s">
        <v>3071</v>
      </c>
      <c r="D725" s="95" t="s">
        <v>3059</v>
      </c>
      <c r="E725" s="86"/>
      <c r="F725" s="910" t="s">
        <v>3059</v>
      </c>
      <c r="G725" s="86" t="s">
        <v>6483</v>
      </c>
      <c r="H725" s="80" t="s">
        <v>5913</v>
      </c>
      <c r="I725" s="80" t="s">
        <v>1253</v>
      </c>
      <c r="J725" s="80" t="s">
        <v>1261</v>
      </c>
      <c r="K725" s="80"/>
      <c r="L725" s="106"/>
      <c r="M725" s="916" t="s">
        <v>6447</v>
      </c>
      <c r="N725" s="428" t="s">
        <v>1561</v>
      </c>
      <c r="O725" s="108" t="s">
        <v>912</v>
      </c>
      <c r="P725" s="80"/>
      <c r="Q725" s="80"/>
      <c r="R725" s="106" t="s">
        <v>950</v>
      </c>
      <c r="S725" s="108" t="s">
        <v>3072</v>
      </c>
      <c r="T725" s="110" t="s">
        <v>96</v>
      </c>
      <c r="U725" s="130">
        <v>0.68</v>
      </c>
    </row>
    <row r="726" ht="13.5" customHeight="1">
      <c r="A726" s="289">
        <v>14.0</v>
      </c>
      <c r="B726" s="910" t="s">
        <v>3073</v>
      </c>
      <c r="C726" s="911" t="s">
        <v>3074</v>
      </c>
      <c r="D726" s="95" t="s">
        <v>5953</v>
      </c>
      <c r="E726" s="86"/>
      <c r="F726" s="910" t="s">
        <v>3075</v>
      </c>
      <c r="G726" s="86" t="s">
        <v>6483</v>
      </c>
      <c r="H726" s="80" t="s">
        <v>5913</v>
      </c>
      <c r="I726" s="80" t="s">
        <v>1253</v>
      </c>
      <c r="J726" s="99">
        <v>43112.0</v>
      </c>
      <c r="K726" s="80"/>
      <c r="L726" s="102"/>
      <c r="M726" s="916" t="s">
        <v>6447</v>
      </c>
      <c r="N726" s="108" t="s">
        <v>1561</v>
      </c>
      <c r="O726" s="108" t="s">
        <v>912</v>
      </c>
      <c r="P726" s="80"/>
      <c r="Q726" s="80"/>
      <c r="R726" s="80" t="s">
        <v>950</v>
      </c>
      <c r="S726" s="108" t="s">
        <v>3022</v>
      </c>
      <c r="T726" s="110" t="s">
        <v>3076</v>
      </c>
      <c r="U726" s="130">
        <v>0.5</v>
      </c>
    </row>
    <row r="727" ht="13.5" customHeight="1">
      <c r="A727" s="289">
        <v>14.0</v>
      </c>
      <c r="B727" s="910" t="s">
        <v>3077</v>
      </c>
      <c r="C727" s="914" t="s">
        <v>3078</v>
      </c>
      <c r="D727" s="95"/>
      <c r="E727" s="86"/>
      <c r="F727" s="910" t="s">
        <v>3047</v>
      </c>
      <c r="G727" s="86" t="s">
        <v>6478</v>
      </c>
      <c r="H727" s="80" t="s">
        <v>5490</v>
      </c>
      <c r="I727" s="80" t="s">
        <v>1253</v>
      </c>
      <c r="J727" s="99"/>
      <c r="K727" s="80"/>
      <c r="L727" s="106"/>
      <c r="M727" s="916" t="s">
        <v>6447</v>
      </c>
      <c r="N727" s="428" t="s">
        <v>911</v>
      </c>
      <c r="O727" s="108" t="s">
        <v>912</v>
      </c>
      <c r="P727" s="80"/>
      <c r="Q727" s="80"/>
      <c r="R727" s="106" t="s">
        <v>792</v>
      </c>
      <c r="S727" s="108" t="s">
        <v>3079</v>
      </c>
      <c r="T727" s="110" t="s">
        <v>96</v>
      </c>
      <c r="U727" s="130">
        <v>2.0</v>
      </c>
    </row>
    <row r="728" ht="13.5" customHeight="1">
      <c r="A728" s="289">
        <v>13.0</v>
      </c>
      <c r="B728" s="910" t="s">
        <v>3080</v>
      </c>
      <c r="C728" s="914"/>
      <c r="D728" s="95" t="s">
        <v>3081</v>
      </c>
      <c r="E728" s="86"/>
      <c r="F728" s="910"/>
      <c r="G728" s="86" t="s">
        <v>6488</v>
      </c>
      <c r="H728" s="80" t="s">
        <v>6187</v>
      </c>
      <c r="I728" s="80" t="s">
        <v>1253</v>
      </c>
      <c r="J728" s="99">
        <v>45300.0</v>
      </c>
      <c r="K728" s="80"/>
      <c r="L728" s="106"/>
      <c r="M728" s="916" t="s">
        <v>6447</v>
      </c>
      <c r="N728" s="108" t="s">
        <v>3083</v>
      </c>
      <c r="O728" s="108" t="s">
        <v>3084</v>
      </c>
      <c r="P728" s="80">
        <v>2024.0</v>
      </c>
      <c r="Q728" s="80" t="s">
        <v>3085</v>
      </c>
      <c r="R728" s="80" t="s">
        <v>6489</v>
      </c>
      <c r="S728" s="108"/>
      <c r="T728" s="110" t="s">
        <v>3087</v>
      </c>
      <c r="U728" s="130">
        <v>0.6</v>
      </c>
    </row>
    <row r="729" ht="13.5" customHeight="1">
      <c r="A729" s="289">
        <v>14.0</v>
      </c>
      <c r="B729" s="910" t="s">
        <v>3088</v>
      </c>
      <c r="C729" s="914"/>
      <c r="D729" s="95" t="s">
        <v>3089</v>
      </c>
      <c r="E729" s="86"/>
      <c r="F729" s="910"/>
      <c r="G729" s="86" t="s">
        <v>6488</v>
      </c>
      <c r="H729" s="80" t="s">
        <v>6187</v>
      </c>
      <c r="I729" s="80" t="s">
        <v>1253</v>
      </c>
      <c r="J729" s="80" t="s">
        <v>3090</v>
      </c>
      <c r="K729" s="80"/>
      <c r="L729" s="106"/>
      <c r="M729" s="916" t="s">
        <v>6447</v>
      </c>
      <c r="N729" s="108" t="s">
        <v>3083</v>
      </c>
      <c r="O729" s="108" t="s">
        <v>3084</v>
      </c>
      <c r="P729" s="80">
        <v>2024.0</v>
      </c>
      <c r="Q729" s="80" t="s">
        <v>3091</v>
      </c>
      <c r="R729" s="80" t="s">
        <v>3086</v>
      </c>
      <c r="S729" s="108" t="s">
        <v>96</v>
      </c>
      <c r="T729" s="110" t="s">
        <v>96</v>
      </c>
      <c r="U729" s="130">
        <v>0.6</v>
      </c>
    </row>
    <row r="730" ht="13.5" customHeight="1">
      <c r="A730" s="289">
        <v>15.0</v>
      </c>
      <c r="B730" s="918" t="s">
        <v>3092</v>
      </c>
      <c r="C730" s="914" t="s">
        <v>3093</v>
      </c>
      <c r="D730" s="95" t="s">
        <v>6490</v>
      </c>
      <c r="E730" s="86"/>
      <c r="F730" s="910" t="s">
        <v>2029</v>
      </c>
      <c r="G730" s="86" t="s">
        <v>6466</v>
      </c>
      <c r="H730" s="80" t="s">
        <v>2033</v>
      </c>
      <c r="I730" s="80" t="s">
        <v>1120</v>
      </c>
      <c r="J730" s="99"/>
      <c r="K730" s="80"/>
      <c r="L730" s="106"/>
      <c r="M730" s="916" t="s">
        <v>6447</v>
      </c>
      <c r="N730" s="428" t="s">
        <v>454</v>
      </c>
      <c r="O730" s="108" t="s">
        <v>84</v>
      </c>
      <c r="P730" s="80">
        <v>2013.0</v>
      </c>
      <c r="Q730" s="80" t="s">
        <v>791</v>
      </c>
      <c r="R730" s="106" t="s">
        <v>792</v>
      </c>
      <c r="S730" s="108">
        <v>57125.0</v>
      </c>
      <c r="T730" s="110" t="s">
        <v>96</v>
      </c>
      <c r="U730" s="130">
        <v>3.5</v>
      </c>
    </row>
    <row r="731" ht="13.5" customHeight="1">
      <c r="A731" s="289">
        <v>16.0</v>
      </c>
      <c r="B731" s="918" t="s">
        <v>3094</v>
      </c>
      <c r="C731" s="914" t="s">
        <v>3095</v>
      </c>
      <c r="D731" s="95" t="s">
        <v>3096</v>
      </c>
      <c r="E731" s="86"/>
      <c r="F731" s="910" t="s">
        <v>3096</v>
      </c>
      <c r="G731" s="86" t="s">
        <v>6491</v>
      </c>
      <c r="H731" s="80" t="s">
        <v>702</v>
      </c>
      <c r="I731" s="80" t="s">
        <v>1120</v>
      </c>
      <c r="J731" s="99"/>
      <c r="K731" s="80"/>
      <c r="L731" s="106"/>
      <c r="M731" s="916" t="s">
        <v>6447</v>
      </c>
      <c r="N731" s="428" t="s">
        <v>123</v>
      </c>
      <c r="O731" s="108" t="s">
        <v>84</v>
      </c>
      <c r="P731" s="80">
        <v>2006.0</v>
      </c>
      <c r="Q731" s="80" t="s">
        <v>1428</v>
      </c>
      <c r="R731" s="106" t="s">
        <v>462</v>
      </c>
      <c r="S731" s="108">
        <v>9873.0</v>
      </c>
      <c r="T731" s="110" t="s">
        <v>96</v>
      </c>
      <c r="U731" s="130">
        <v>4.0</v>
      </c>
    </row>
    <row r="732" ht="13.5" customHeight="1">
      <c r="A732" s="289">
        <v>17.0</v>
      </c>
      <c r="B732" s="918" t="s">
        <v>3097</v>
      </c>
      <c r="C732" s="914" t="s">
        <v>3098</v>
      </c>
      <c r="D732" s="184" t="s">
        <v>6492</v>
      </c>
      <c r="E732" s="256"/>
      <c r="F732" s="927"/>
      <c r="G732" s="256" t="s">
        <v>6478</v>
      </c>
      <c r="H732" s="258" t="s">
        <v>5490</v>
      </c>
      <c r="I732" s="258" t="s">
        <v>1120</v>
      </c>
      <c r="J732" s="923"/>
      <c r="K732" s="258"/>
      <c r="L732" s="259"/>
      <c r="M732" s="916" t="s">
        <v>6447</v>
      </c>
      <c r="N732" s="428" t="s">
        <v>911</v>
      </c>
      <c r="O732" s="928" t="s">
        <v>912</v>
      </c>
      <c r="P732" s="258"/>
      <c r="Q732" s="258"/>
      <c r="R732" s="106" t="s">
        <v>792</v>
      </c>
      <c r="S732" s="928" t="s">
        <v>96</v>
      </c>
      <c r="T732" s="185">
        <v>55581.0</v>
      </c>
      <c r="U732" s="929">
        <v>2.0</v>
      </c>
    </row>
    <row r="733" ht="13.5" customHeight="1">
      <c r="A733" s="289">
        <v>18.0</v>
      </c>
      <c r="B733" s="918" t="s">
        <v>3099</v>
      </c>
      <c r="C733" s="914" t="s">
        <v>3100</v>
      </c>
      <c r="D733" s="184" t="s">
        <v>6493</v>
      </c>
      <c r="E733" s="256"/>
      <c r="F733" s="927"/>
      <c r="G733" s="256" t="s">
        <v>6478</v>
      </c>
      <c r="H733" s="258" t="s">
        <v>5490</v>
      </c>
      <c r="I733" s="258" t="s">
        <v>1120</v>
      </c>
      <c r="J733" s="923"/>
      <c r="K733" s="258"/>
      <c r="L733" s="259"/>
      <c r="M733" s="916" t="s">
        <v>6447</v>
      </c>
      <c r="N733" s="428" t="s">
        <v>911</v>
      </c>
      <c r="O733" s="928" t="s">
        <v>912</v>
      </c>
      <c r="P733" s="258"/>
      <c r="Q733" s="258"/>
      <c r="R733" s="106" t="s">
        <v>792</v>
      </c>
      <c r="S733" s="928"/>
      <c r="T733" s="185" t="s">
        <v>96</v>
      </c>
      <c r="U733" s="929">
        <v>2.0</v>
      </c>
    </row>
    <row r="734" ht="13.5" customHeight="1">
      <c r="A734" s="289">
        <v>19.0</v>
      </c>
      <c r="B734" s="910" t="s">
        <v>3101</v>
      </c>
      <c r="C734" s="914" t="s">
        <v>3102</v>
      </c>
      <c r="D734" s="95" t="s">
        <v>6494</v>
      </c>
      <c r="E734" s="86"/>
      <c r="F734" s="910"/>
      <c r="G734" s="86" t="s">
        <v>6478</v>
      </c>
      <c r="H734" s="80" t="s">
        <v>5490</v>
      </c>
      <c r="I734" s="80" t="s">
        <v>1010</v>
      </c>
      <c r="J734" s="99"/>
      <c r="K734" s="80"/>
      <c r="L734" s="106"/>
      <c r="M734" s="916" t="s">
        <v>6447</v>
      </c>
      <c r="N734" s="428" t="s">
        <v>911</v>
      </c>
      <c r="O734" s="108" t="s">
        <v>912</v>
      </c>
      <c r="P734" s="80"/>
      <c r="Q734" s="80"/>
      <c r="R734" s="106" t="s">
        <v>792</v>
      </c>
      <c r="S734" s="108"/>
      <c r="T734" s="110" t="s">
        <v>96</v>
      </c>
      <c r="U734" s="130">
        <v>2.0</v>
      </c>
    </row>
    <row r="735" ht="13.5" customHeight="1">
      <c r="A735" s="289">
        <v>20.0</v>
      </c>
      <c r="B735" s="918" t="s">
        <v>3103</v>
      </c>
      <c r="C735" s="914" t="s">
        <v>3104</v>
      </c>
      <c r="D735" s="95" t="s">
        <v>3105</v>
      </c>
      <c r="E735" s="86"/>
      <c r="F735" s="910" t="s">
        <v>3105</v>
      </c>
      <c r="G735" s="86" t="s">
        <v>6491</v>
      </c>
      <c r="H735" s="80" t="s">
        <v>702</v>
      </c>
      <c r="I735" s="80" t="s">
        <v>2964</v>
      </c>
      <c r="J735" s="99">
        <v>44105.0</v>
      </c>
      <c r="K735" s="80"/>
      <c r="L735" s="102">
        <v>0.65</v>
      </c>
      <c r="M735" s="916" t="s">
        <v>6447</v>
      </c>
      <c r="N735" s="428" t="s">
        <v>123</v>
      </c>
      <c r="O735" s="108" t="s">
        <v>84</v>
      </c>
      <c r="P735" s="80">
        <v>2006.0</v>
      </c>
      <c r="Q735" s="80" t="s">
        <v>3107</v>
      </c>
      <c r="R735" s="106"/>
      <c r="S735" s="108" t="s">
        <v>3108</v>
      </c>
      <c r="T735" s="110">
        <v>10189.0</v>
      </c>
      <c r="U735" s="130">
        <v>4.0</v>
      </c>
    </row>
    <row r="736" ht="13.5" customHeight="1">
      <c r="A736" s="289">
        <v>21.0</v>
      </c>
      <c r="B736" s="910" t="s">
        <v>3109</v>
      </c>
      <c r="C736" s="914" t="s">
        <v>3110</v>
      </c>
      <c r="D736" s="95" t="s">
        <v>3025</v>
      </c>
      <c r="E736" s="86"/>
      <c r="F736" s="910" t="s">
        <v>3025</v>
      </c>
      <c r="G736" s="86" t="s">
        <v>6478</v>
      </c>
      <c r="H736" s="80" t="s">
        <v>5490</v>
      </c>
      <c r="I736" s="80" t="s">
        <v>2964</v>
      </c>
      <c r="J736" s="99">
        <v>41651.0</v>
      </c>
      <c r="K736" s="80"/>
      <c r="L736" s="106"/>
      <c r="M736" s="916" t="s">
        <v>6447</v>
      </c>
      <c r="N736" s="428" t="s">
        <v>911</v>
      </c>
      <c r="O736" s="108" t="s">
        <v>912</v>
      </c>
      <c r="P736" s="80"/>
      <c r="Q736" s="80"/>
      <c r="R736" s="106" t="s">
        <v>792</v>
      </c>
      <c r="S736" s="108">
        <v>55065.0</v>
      </c>
      <c r="T736" s="110" t="s">
        <v>96</v>
      </c>
      <c r="U736" s="130">
        <v>2.0</v>
      </c>
    </row>
    <row r="737" ht="13.5" customHeight="1">
      <c r="A737" s="289">
        <v>22.0</v>
      </c>
      <c r="B737" s="910" t="s">
        <v>3111</v>
      </c>
      <c r="C737" s="911" t="s">
        <v>3112</v>
      </c>
      <c r="D737" s="95" t="s">
        <v>5953</v>
      </c>
      <c r="E737" s="86"/>
      <c r="F737" s="910" t="s">
        <v>3075</v>
      </c>
      <c r="G737" s="86" t="s">
        <v>6483</v>
      </c>
      <c r="H737" s="80" t="s">
        <v>5913</v>
      </c>
      <c r="I737" s="80" t="s">
        <v>2964</v>
      </c>
      <c r="J737" s="99">
        <v>43112.0</v>
      </c>
      <c r="K737" s="80"/>
      <c r="L737" s="102"/>
      <c r="M737" s="916" t="s">
        <v>6447</v>
      </c>
      <c r="N737" s="108" t="s">
        <v>1561</v>
      </c>
      <c r="O737" s="108" t="s">
        <v>912</v>
      </c>
      <c r="P737" s="80"/>
      <c r="Q737" s="80"/>
      <c r="R737" s="80" t="s">
        <v>950</v>
      </c>
      <c r="S737" s="108" t="s">
        <v>3022</v>
      </c>
      <c r="T737" s="110" t="s">
        <v>3113</v>
      </c>
      <c r="U737" s="130">
        <v>0.5</v>
      </c>
    </row>
    <row r="738" ht="13.5" customHeight="1">
      <c r="A738" s="95">
        <f>A457+1</f>
        <v>3</v>
      </c>
      <c r="B738" s="113" t="s">
        <v>3114</v>
      </c>
      <c r="C738" s="84" t="str">
        <f>IFERROR(VLOOKUP(B738,'02. MM-KLH'!$B$6:$T$823,2,0),"")</f>
        <v/>
      </c>
      <c r="D738" s="95" t="str">
        <f>IFERROR(VLOOKUP(B738,'02. MM-KLH'!$B$6:$T$823,3,0),"")</f>
        <v>A24-XB0-001</v>
      </c>
      <c r="E738" s="86" t="str">
        <f>IFERROR(VLOOKUP(B738,'02. MM-KLH'!$B$6:$T$823,4,0),"")</f>
        <v/>
      </c>
      <c r="F738" s="115"/>
      <c r="G738" s="86" t="str">
        <f>IFERROR(VLOOKUP(B738,'02. MM-KLH'!$B$6:$T$823,6,0),"")</f>
        <v>Xe bồn HYUNDAI</v>
      </c>
      <c r="H738" s="80" t="s">
        <v>5859</v>
      </c>
      <c r="I738" s="80" t="str">
        <f>IFERROR(VLOOKUP(B738,'02. MM-KLH'!$B$6:$T$823,8,0),"")</f>
        <v>Loại biên</v>
      </c>
      <c r="J738" s="99" t="str">
        <f>IFERROR(VLOOKUP(B738,'02. MM-KLH'!$B$6:$T$823,9,0),"")</f>
        <v/>
      </c>
      <c r="K738" s="80" t="str">
        <f>IFERROR(VLOOKUP(B738,'02. MM-KLH'!$B$6:$T$823,10,0),"")</f>
        <v>CGTC LP</v>
      </c>
      <c r="L738" s="102">
        <f>IFERROR(VLOOKUP(B738,'02. MM-KLH'!$B$6:$T$823,11,0),"")</f>
        <v>0.05</v>
      </c>
      <c r="M738" s="143" t="str">
        <f>IFERROR(VLOOKUP(B738,'02. MM-KLH'!$B$6:$T$823,12,0),"")</f>
        <v>Đã loại biên</v>
      </c>
      <c r="N738" s="108" t="str">
        <f>IFERROR(VLOOKUP(B738,'02. MM-KLH'!$B$6:$T$823,13,0),"")</f>
        <v>HYUNDAI</v>
      </c>
      <c r="O738" s="108" t="str">
        <f>IFERROR(VLOOKUP(B738,'02. MM-KLH'!$B$6:$T$823,14,0),"")</f>
        <v>HÀN QUỐC</v>
      </c>
      <c r="P738" s="80">
        <f>IFERROR(VLOOKUP(B738,'02. MM-KLH'!$B$6:$T$823,15,0),"")</f>
        <v>2005</v>
      </c>
      <c r="Q738" s="80" t="str">
        <f>IFERROR(VLOOKUP(B738,'02. MM-KLH'!$B$6:$T$823,16,0),"")</f>
        <v>HYUNDAI (Bồn tưới 18m3)</v>
      </c>
      <c r="R738" s="106" t="str">
        <f>IFERROR(VLOOKUP(B738,'02. MM-KLH'!$B$6:$T$823,17,0),"")</f>
        <v>336HP</v>
      </c>
      <c r="S738" s="108" t="str">
        <f>IFERROR(VLOOKUP(B738,'02. MM-KLH'!$B$6:$T$823,18,0),"")</f>
        <v>EF750032850</v>
      </c>
      <c r="T738" s="110" t="str">
        <f>IFERROR(VLOOKUP(B738,'02. MM-KLH'!$B$6:$T$823,19,0),"")</f>
        <v>CCN</v>
      </c>
      <c r="U738" s="130" t="s">
        <v>79</v>
      </c>
    </row>
    <row r="739" ht="13.5" customHeight="1">
      <c r="A739" s="80">
        <v>6.0</v>
      </c>
      <c r="B739" s="115" t="s">
        <v>3126</v>
      </c>
      <c r="C739" s="84" t="str">
        <f>IFERROR(VLOOKUP(B739,'02. MM-KLH'!$B$6:$T$823,2,0),"")</f>
        <v>MK15 VCKLH</v>
      </c>
      <c r="D739" s="95" t="str">
        <f>IFERROR(VLOOKUP(B739,'02. MM-KLH'!$B$6:$T$823,3,0),"")</f>
        <v>A22-MKE-023</v>
      </c>
      <c r="E739" s="86" t="str">
        <f>IFERROR(VLOOKUP(B739,'02. MM-KLH'!$B$6:$T$823,4,0),"")</f>
        <v/>
      </c>
      <c r="F739" s="115"/>
      <c r="G739" s="86" t="str">
        <f>IFERROR(VLOOKUP(B739,'02. MM-KLH'!$B$6:$T$823,6,0),"")</f>
        <v>Máy cày KAM50</v>
      </c>
      <c r="H739" s="80"/>
      <c r="I739" s="80" t="str">
        <f>IFERROR(VLOOKUP(B739,'02. MM-KLH'!$B$6:$T$823,8,0),"")</f>
        <v>Loại biên</v>
      </c>
      <c r="J739" s="99" t="str">
        <f>IFERROR(VLOOKUP(B739,'02. MM-KLH'!$B$6:$T$823,9,0),"")</f>
        <v/>
      </c>
      <c r="K739" s="80" t="str">
        <f>IFERROR(VLOOKUP(B739,'02. MM-KLH'!$B$6:$T$823,10,0),"")</f>
        <v>Hư hỏng</v>
      </c>
      <c r="L739" s="102" t="str">
        <f>IFERROR(VLOOKUP(B739,'02. MM-KLH'!$B$6:$T$823,11,0),"")</f>
        <v/>
      </c>
      <c r="M739" s="893" t="str">
        <f>IFERROR(VLOOKUP(B739,'02. MM-KLH'!$B$6:$T$823,12,0),"")</f>
        <v/>
      </c>
      <c r="N739" s="108" t="str">
        <f>IFERROR(VLOOKUP(B739,'02. MM-KLH'!$B$6:$T$823,13,0),"")</f>
        <v>THACO</v>
      </c>
      <c r="O739" s="108" t="str">
        <f>IFERROR(VLOOKUP(B739,'02. MM-KLH'!$B$6:$T$823,14,0),"")</f>
        <v>VIỆT NAM</v>
      </c>
      <c r="P739" s="80">
        <f>IFERROR(VLOOKUP(B739,'02. MM-KLH'!$B$6:$T$823,15,0),"")</f>
        <v>2018</v>
      </c>
      <c r="Q739" s="80" t="str">
        <f>IFERROR(VLOOKUP(B739,'02. MM-KLH'!$B$6:$T$823,16,0),"")</f>
        <v>KAM50</v>
      </c>
      <c r="R739" s="106" t="str">
        <f>IFERROR(VLOOKUP(B739,'02. MM-KLH'!$B$6:$T$823,17,0),"")</f>
        <v>50HP</v>
      </c>
      <c r="S739" s="108" t="str">
        <f>IFERROR(VLOOKUP(B739,'02. MM-KLH'!$B$6:$T$823,18,0),"")</f>
        <v>C000061</v>
      </c>
      <c r="T739" s="110" t="str">
        <f>IFERROR(VLOOKUP(B739,'02. MM-KLH'!$B$6:$T$823,19,0),"")</f>
        <v>CCN</v>
      </c>
      <c r="U739" s="130"/>
    </row>
    <row r="740" ht="13.5" customHeight="1">
      <c r="A740" s="80">
        <v>4.0</v>
      </c>
      <c r="B740" s="115" t="s">
        <v>3119</v>
      </c>
      <c r="C740" s="84" t="str">
        <f>IFERROR(VLOOKUP(B740,'02. MM-KLH'!$B$6:$T$823,2,0),"")</f>
        <v>MK44 VCKLH(XAD-MKE-018)</v>
      </c>
      <c r="D740" s="95" t="str">
        <f>IFERROR(VLOOKUP(B740,'02. MM-KLH'!$B$6:$T$823,3,0),"")</f>
        <v>A22-MKE-027</v>
      </c>
      <c r="E740" s="86" t="str">
        <f>IFERROR(VLOOKUP(B740,'02. MM-KLH'!$B$6:$T$823,4,0),"")</f>
        <v/>
      </c>
      <c r="F740" s="115"/>
      <c r="G740" s="86" t="str">
        <f>IFERROR(VLOOKUP(B740,'02. MM-KLH'!$B$6:$T$823,6,0),"")</f>
        <v>Máy cày M6040</v>
      </c>
      <c r="H740" s="80"/>
      <c r="I740" s="80" t="str">
        <f>IFERROR(VLOOKUP(B740,'02. MM-KLH'!$B$6:$T$823,8,0),"")</f>
        <v>Loại biên</v>
      </c>
      <c r="J740" s="99" t="str">
        <f>IFERROR(VLOOKUP(B740,'02. MM-KLH'!$B$6:$T$823,9,0),"")</f>
        <v/>
      </c>
      <c r="K740" s="80" t="str">
        <f>IFERROR(VLOOKUP(B740,'02. MM-KLH'!$B$6:$T$823,10,0),"")</f>
        <v>Hư hỏng</v>
      </c>
      <c r="L740" s="102" t="str">
        <f>IFERROR(VLOOKUP(B740,'02. MM-KLH'!$B$6:$T$823,11,0),"")</f>
        <v/>
      </c>
      <c r="M740" s="893" t="str">
        <f>IFERROR(VLOOKUP(B740,'02. MM-KLH'!$B$6:$T$823,12,0),"")</f>
        <v/>
      </c>
      <c r="N740" s="108" t="str">
        <f>IFERROR(VLOOKUP(B740,'02. MM-KLH'!$B$6:$T$823,13,0),"")</f>
        <v>KUBOTA</v>
      </c>
      <c r="O740" s="108" t="str">
        <f>IFERROR(VLOOKUP(B740,'02. MM-KLH'!$B$6:$T$823,14,0),"")</f>
        <v>NHẬT BẢN</v>
      </c>
      <c r="P740" s="80">
        <f>IFERROR(VLOOKUP(B740,'02. MM-KLH'!$B$6:$T$823,15,0),"")</f>
        <v>2013</v>
      </c>
      <c r="Q740" s="80" t="str">
        <f>IFERROR(VLOOKUP(B740,'02. MM-KLH'!$B$6:$T$823,16,0),"")</f>
        <v>M6040</v>
      </c>
      <c r="R740" s="106" t="str">
        <f>IFERROR(VLOOKUP(B740,'02. MM-KLH'!$B$6:$T$823,17,0),"")</f>
        <v>62HP</v>
      </c>
      <c r="S740" s="108" t="str">
        <f>IFERROR(VLOOKUP(B740,'02. MM-KLH'!$B$6:$T$823,18,0),"")</f>
        <v>M6040SUD57648</v>
      </c>
      <c r="T740" s="110" t="str">
        <f>IFERROR(VLOOKUP(B740,'02. MM-KLH'!$B$6:$T$823,19,0),"")</f>
        <v>CCN</v>
      </c>
      <c r="U740" s="130"/>
    </row>
    <row r="741" ht="13.5" customHeight="1">
      <c r="A741" s="80">
        <v>5.0</v>
      </c>
      <c r="B741" s="115" t="s">
        <v>3123</v>
      </c>
      <c r="C741" s="84" t="str">
        <f>IFERROR(VLOOKUP(B741,'02. MM-KLH'!$B$6:$T$823,2,0),"")</f>
        <v>MK29 VCKLH</v>
      </c>
      <c r="D741" s="95" t="str">
        <f>IFERROR(VLOOKUP(B741,'02. MM-KLH'!$B$6:$T$823,3,0),"")</f>
        <v>A22-MKE-025</v>
      </c>
      <c r="E741" s="86" t="str">
        <f>IFERROR(VLOOKUP(B741,'02. MM-KLH'!$B$6:$T$823,4,0),"")</f>
        <v/>
      </c>
      <c r="F741" s="115"/>
      <c r="G741" s="86" t="str">
        <f>IFERROR(VLOOKUP(B741,'02. MM-KLH'!$B$6:$T$823,6,0),"")</f>
        <v>Máy cày KAM50</v>
      </c>
      <c r="H741" s="80"/>
      <c r="I741" s="80" t="str">
        <f>IFERROR(VLOOKUP(B741,'02. MM-KLH'!$B$6:$T$823,8,0),"")</f>
        <v>Loại biên</v>
      </c>
      <c r="J741" s="99" t="str">
        <f>IFERROR(VLOOKUP(B741,'02. MM-KLH'!$B$6:$T$823,9,0),"")</f>
        <v/>
      </c>
      <c r="K741" s="80" t="str">
        <f>IFERROR(VLOOKUP(B741,'02. MM-KLH'!$B$6:$T$823,10,0),"")</f>
        <v>Hư hỏng</v>
      </c>
      <c r="L741" s="102" t="str">
        <f>IFERROR(VLOOKUP(B741,'02. MM-KLH'!$B$6:$T$823,11,0),"")</f>
        <v/>
      </c>
      <c r="M741" s="893" t="str">
        <f>IFERROR(VLOOKUP(B741,'02. MM-KLH'!$B$6:$T$823,12,0),"")</f>
        <v/>
      </c>
      <c r="N741" s="108" t="str">
        <f>IFERROR(VLOOKUP(B741,'02. MM-KLH'!$B$6:$T$823,13,0),"")</f>
        <v>THACO</v>
      </c>
      <c r="O741" s="108" t="str">
        <f>IFERROR(VLOOKUP(B741,'02. MM-KLH'!$B$6:$T$823,14,0),"")</f>
        <v>VIỆT NAM</v>
      </c>
      <c r="P741" s="80">
        <f>IFERROR(VLOOKUP(B741,'02. MM-KLH'!$B$6:$T$823,15,0),"")</f>
        <v>2018</v>
      </c>
      <c r="Q741" s="80" t="str">
        <f>IFERROR(VLOOKUP(B741,'02. MM-KLH'!$B$6:$T$823,16,0),"")</f>
        <v>KAM50</v>
      </c>
      <c r="R741" s="106" t="str">
        <f>IFERROR(VLOOKUP(B741,'02. MM-KLH'!$B$6:$T$823,17,0),"")</f>
        <v>50HP</v>
      </c>
      <c r="S741" s="108" t="str">
        <f>IFERROR(VLOOKUP(B741,'02. MM-KLH'!$B$6:$T$823,18,0),"")</f>
        <v>C000009</v>
      </c>
      <c r="T741" s="110" t="str">
        <f>IFERROR(VLOOKUP(B741,'02. MM-KLH'!$B$6:$T$823,19,0),"")</f>
        <v>CCN</v>
      </c>
      <c r="U741" s="130"/>
    </row>
    <row r="742" ht="13.5" customHeight="1">
      <c r="A742" s="95">
        <f>1+A640</f>
        <v>11</v>
      </c>
      <c r="B742" s="115" t="s">
        <v>3141</v>
      </c>
      <c r="C742" s="86" t="str">
        <f>IFERROR(VLOOKUP(B742,'02. MM-KLH'!$B$6:$T$823,2,0),"")</f>
        <v/>
      </c>
      <c r="D742" s="95" t="str">
        <f>IFERROR(VLOOKUP(B742,'02. MM-KLH'!$B$6:$T$823,3,0),"")</f>
        <v>A24-CĐN-003</v>
      </c>
      <c r="E742" s="86" t="str">
        <f>IFERROR(VLOOKUP(B742,'02. MM-KLH'!$B$6:$T$823,4,0),"")</f>
        <v/>
      </c>
      <c r="F742" s="115"/>
      <c r="G742" s="86" t="str">
        <f>IFERROR(VLOOKUP(B742,'02. MM-KLH'!$B$6:$T$823,6,0),"")</f>
        <v>Máy cắt cỏ đẩy tay đa năng</v>
      </c>
      <c r="H742" s="80" t="s">
        <v>6187</v>
      </c>
      <c r="I742" s="80" t="str">
        <f>IFERROR(VLOOKUP(B742,'02. MM-KLH'!$B$6:$T$823,8,0),"")</f>
        <v>XN Chuối LP3</v>
      </c>
      <c r="J742" s="99" t="str">
        <f>IFERROR(VLOOKUP(B742,'02. MM-KLH'!$B$6:$T$823,9,0),"")</f>
        <v>21/12/2024</v>
      </c>
      <c r="K742" s="80" t="str">
        <f>IFERROR(VLOOKUP(B742,'02. MM-KLH'!$B$6:$T$823,10,0),"")</f>
        <v>Bình thường</v>
      </c>
      <c r="L742" s="102" t="str">
        <f>IFERROR(VLOOKUP(B742,'02. MM-KLH'!$B$6:$T$823,11,0),"")</f>
        <v/>
      </c>
      <c r="M742" s="143" t="str">
        <f>IFERROR(VLOOKUP(B742,'02. MM-KLH'!$B$6:$T$823,12,0),"")</f>
        <v>Đầu tư mới</v>
      </c>
      <c r="N742" s="108" t="str">
        <f>IFERROR(VLOOKUP(B742,'02. MM-KLH'!$B$6:$T$823,13,0),"")</f>
        <v>YAMASUKI</v>
      </c>
      <c r="O742" s="108" t="str">
        <f>IFERROR(VLOOKUP(B742,'02. MM-KLH'!$B$6:$T$823,14,0),"")</f>
        <v>CAMBODIA</v>
      </c>
      <c r="P742" s="80">
        <f>IFERROR(VLOOKUP(B742,'02. MM-KLH'!$B$6:$T$823,15,0),"")</f>
        <v>2024</v>
      </c>
      <c r="Q742" s="80" t="str">
        <f>IFERROR(VLOOKUP(B742,'02. MM-KLH'!$B$6:$T$823,16,0),"")</f>
        <v>GX-35</v>
      </c>
      <c r="R742" s="106" t="str">
        <f>IFERROR(VLOOKUP(B742,'02. MM-KLH'!$B$6:$T$823,17,0),"")</f>
        <v>1.3HP</v>
      </c>
      <c r="S742" s="108" t="str">
        <f>IFERROR(VLOOKUP(B742,'02. MM-KLH'!$B$6:$T$823,18,0),"")</f>
        <v>CCN</v>
      </c>
      <c r="T742" s="110" t="str">
        <f>IFERROR(VLOOKUP(B742,'02. MM-KLH'!$B$6:$T$823,19,0),"")</f>
        <v>CCN</v>
      </c>
      <c r="U742" s="130" t="s">
        <v>235</v>
      </c>
    </row>
    <row r="743" ht="13.5" customHeight="1">
      <c r="A743" s="95">
        <f t="shared" ref="A743:A749" si="32">1+A742</f>
        <v>12</v>
      </c>
      <c r="B743" s="115" t="s">
        <v>3144</v>
      </c>
      <c r="C743" s="86" t="str">
        <f>IFERROR(VLOOKUP(B743,'02. MM-KLH'!$B$6:$T$823,2,0),"")</f>
        <v/>
      </c>
      <c r="D743" s="95" t="str">
        <f>IFERROR(VLOOKUP(B743,'02. MM-KLH'!$B$6:$T$823,3,0),"")</f>
        <v>A24-CĐN-004</v>
      </c>
      <c r="E743" s="86" t="str">
        <f>IFERROR(VLOOKUP(B743,'02. MM-KLH'!$B$6:$T$823,4,0),"")</f>
        <v/>
      </c>
      <c r="F743" s="115"/>
      <c r="G743" s="86" t="str">
        <f>IFERROR(VLOOKUP(B743,'02. MM-KLH'!$B$6:$T$823,6,0),"")</f>
        <v>Máy cắt cỏ đẩy tay đa năng</v>
      </c>
      <c r="H743" s="80" t="s">
        <v>6187</v>
      </c>
      <c r="I743" s="80" t="str">
        <f>IFERROR(VLOOKUP(B743,'02. MM-KLH'!$B$6:$T$823,8,0),"")</f>
        <v>XN Chuối LP3</v>
      </c>
      <c r="J743" s="99" t="str">
        <f>IFERROR(VLOOKUP(B743,'02. MM-KLH'!$B$6:$T$823,9,0),"")</f>
        <v>21/12/2024</v>
      </c>
      <c r="K743" s="80" t="str">
        <f>IFERROR(VLOOKUP(B743,'02. MM-KLH'!$B$6:$T$823,10,0),"")</f>
        <v>Bình thường</v>
      </c>
      <c r="L743" s="102" t="str">
        <f>IFERROR(VLOOKUP(B743,'02. MM-KLH'!$B$6:$T$823,11,0),"")</f>
        <v/>
      </c>
      <c r="M743" s="143" t="str">
        <f>IFERROR(VLOOKUP(B743,'02. MM-KLH'!$B$6:$T$823,12,0),"")</f>
        <v>Đầu tư mới</v>
      </c>
      <c r="N743" s="108" t="str">
        <f>IFERROR(VLOOKUP(B743,'02. MM-KLH'!$B$6:$T$823,13,0),"")</f>
        <v>YAMASUKI</v>
      </c>
      <c r="O743" s="108" t="str">
        <f>IFERROR(VLOOKUP(B743,'02. MM-KLH'!$B$6:$T$823,14,0),"")</f>
        <v>CAMBODIA</v>
      </c>
      <c r="P743" s="80">
        <f>IFERROR(VLOOKUP(B743,'02. MM-KLH'!$B$6:$T$823,15,0),"")</f>
        <v>2024</v>
      </c>
      <c r="Q743" s="80" t="str">
        <f>IFERROR(VLOOKUP(B743,'02. MM-KLH'!$B$6:$T$823,16,0),"")</f>
        <v>GX-35</v>
      </c>
      <c r="R743" s="106" t="str">
        <f>IFERROR(VLOOKUP(B743,'02. MM-KLH'!$B$6:$T$823,17,0),"")</f>
        <v>1.3HP</v>
      </c>
      <c r="S743" s="108" t="str">
        <f>IFERROR(VLOOKUP(B743,'02. MM-KLH'!$B$6:$T$823,18,0),"")</f>
        <v>CCN</v>
      </c>
      <c r="T743" s="110" t="str">
        <f>IFERROR(VLOOKUP(B743,'02. MM-KLH'!$B$6:$T$823,19,0),"")</f>
        <v>CCN</v>
      </c>
      <c r="U743" s="130" t="s">
        <v>235</v>
      </c>
    </row>
    <row r="744" ht="13.5" customHeight="1">
      <c r="A744" s="95">
        <f t="shared" si="32"/>
        <v>13</v>
      </c>
      <c r="B744" s="115" t="s">
        <v>3129</v>
      </c>
      <c r="C744" s="86" t="str">
        <f>IFERROR(VLOOKUP(B744,'02. MM-KLH'!$B$6:$T$823,2,0),"")</f>
        <v/>
      </c>
      <c r="D744" s="95" t="str">
        <f>IFERROR(VLOOKUP(B744,'02. MM-KLH'!$B$6:$T$823,3,0),"")</f>
        <v>A23-CĐN-001</v>
      </c>
      <c r="E744" s="86" t="str">
        <f>IFERROR(VLOOKUP(B744,'02. MM-KLH'!$B$6:$T$823,4,0),"")</f>
        <v/>
      </c>
      <c r="F744" s="115"/>
      <c r="G744" s="86" t="str">
        <f>IFERROR(VLOOKUP(B744,'02. MM-KLH'!$B$6:$T$823,6,0),"")</f>
        <v>Máy cắt cỏ đẩy tay đa năng</v>
      </c>
      <c r="H744" s="80" t="s">
        <v>6187</v>
      </c>
      <c r="I744" s="80" t="str">
        <f>IFERROR(VLOOKUP(B744,'02. MM-KLH'!$B$6:$T$823,8,0),"")</f>
        <v>XN Chuối DP1</v>
      </c>
      <c r="J744" s="99" t="str">
        <f>IFERROR(VLOOKUP(B744,'02. MM-KLH'!$B$6:$T$823,9,0),"")</f>
        <v>21/12/2024</v>
      </c>
      <c r="K744" s="80" t="str">
        <f>IFERROR(VLOOKUP(B744,'02. MM-KLH'!$B$6:$T$823,10,0),"")</f>
        <v>Bình thường</v>
      </c>
      <c r="L744" s="102" t="str">
        <f>IFERROR(VLOOKUP(B744,'02. MM-KLH'!$B$6:$T$823,11,0),"")</f>
        <v/>
      </c>
      <c r="M744" s="143" t="str">
        <f>IFERROR(VLOOKUP(B744,'02. MM-KLH'!$B$6:$T$823,12,0),"")</f>
        <v>Đầu tư mới</v>
      </c>
      <c r="N744" s="108" t="str">
        <f>IFERROR(VLOOKUP(B744,'02. MM-KLH'!$B$6:$T$823,13,0),"")</f>
        <v>YAMASUKI</v>
      </c>
      <c r="O744" s="108" t="str">
        <f>IFERROR(VLOOKUP(B744,'02. MM-KLH'!$B$6:$T$823,14,0),"")</f>
        <v>CAMBODIA</v>
      </c>
      <c r="P744" s="80">
        <f>IFERROR(VLOOKUP(B744,'02. MM-KLH'!$B$6:$T$823,15,0),"")</f>
        <v>2024</v>
      </c>
      <c r="Q744" s="80" t="str">
        <f>IFERROR(VLOOKUP(B744,'02. MM-KLH'!$B$6:$T$823,16,0),"")</f>
        <v>GX-35</v>
      </c>
      <c r="R744" s="106" t="str">
        <f>IFERROR(VLOOKUP(B744,'02. MM-KLH'!$B$6:$T$823,17,0),"")</f>
        <v>1.3HP</v>
      </c>
      <c r="S744" s="108" t="str">
        <f>IFERROR(VLOOKUP(B744,'02. MM-KLH'!$B$6:$T$823,18,0),"")</f>
        <v>CCN</v>
      </c>
      <c r="T744" s="110" t="str">
        <f>IFERROR(VLOOKUP(B744,'02. MM-KLH'!$B$6:$T$823,19,0),"")</f>
        <v>CCN</v>
      </c>
      <c r="U744" s="130" t="s">
        <v>235</v>
      </c>
    </row>
    <row r="745" ht="13.5" customHeight="1">
      <c r="A745" s="95">
        <f t="shared" si="32"/>
        <v>14</v>
      </c>
      <c r="B745" s="115" t="s">
        <v>3131</v>
      </c>
      <c r="C745" s="86" t="str">
        <f>IFERROR(VLOOKUP(B745,'02. MM-KLH'!$B$6:$T$823,2,0),"")</f>
        <v/>
      </c>
      <c r="D745" s="95" t="str">
        <f>IFERROR(VLOOKUP(B745,'02. MM-KLH'!$B$6:$T$823,3,0),"")</f>
        <v>A23-CĐN-002</v>
      </c>
      <c r="E745" s="86" t="str">
        <f>IFERROR(VLOOKUP(B745,'02. MM-KLH'!$B$6:$T$823,4,0),"")</f>
        <v/>
      </c>
      <c r="F745" s="115"/>
      <c r="G745" s="86" t="str">
        <f>IFERROR(VLOOKUP(B745,'02. MM-KLH'!$B$6:$T$823,6,0),"")</f>
        <v>Máy cắt cỏ đẩy tay đa năng</v>
      </c>
      <c r="H745" s="80" t="s">
        <v>6187</v>
      </c>
      <c r="I745" s="80" t="str">
        <f>IFERROR(VLOOKUP(B745,'02. MM-KLH'!$B$6:$T$823,8,0),"")</f>
        <v>XN Chuối DP1</v>
      </c>
      <c r="J745" s="99" t="str">
        <f>IFERROR(VLOOKUP(B745,'02. MM-KLH'!$B$6:$T$823,9,0),"")</f>
        <v>21/12/2024</v>
      </c>
      <c r="K745" s="80" t="str">
        <f>IFERROR(VLOOKUP(B745,'02. MM-KLH'!$B$6:$T$823,10,0),"")</f>
        <v>Bình thường</v>
      </c>
      <c r="L745" s="102" t="str">
        <f>IFERROR(VLOOKUP(B745,'02. MM-KLH'!$B$6:$T$823,11,0),"")</f>
        <v/>
      </c>
      <c r="M745" s="143" t="str">
        <f>IFERROR(VLOOKUP(B745,'02. MM-KLH'!$B$6:$T$823,12,0),"")</f>
        <v>Đầu tư mới</v>
      </c>
      <c r="N745" s="108" t="str">
        <f>IFERROR(VLOOKUP(B745,'02. MM-KLH'!$B$6:$T$823,13,0),"")</f>
        <v>YAMASUKI</v>
      </c>
      <c r="O745" s="108" t="str">
        <f>IFERROR(VLOOKUP(B745,'02. MM-KLH'!$B$6:$T$823,14,0),"")</f>
        <v>CAMBODIA</v>
      </c>
      <c r="P745" s="80">
        <f>IFERROR(VLOOKUP(B745,'02. MM-KLH'!$B$6:$T$823,15,0),"")</f>
        <v>2024</v>
      </c>
      <c r="Q745" s="80" t="str">
        <f>IFERROR(VLOOKUP(B745,'02. MM-KLH'!$B$6:$T$823,16,0),"")</f>
        <v>GX-35</v>
      </c>
      <c r="R745" s="106" t="str">
        <f>IFERROR(VLOOKUP(B745,'02. MM-KLH'!$B$6:$T$823,17,0),"")</f>
        <v>1.3HP</v>
      </c>
      <c r="S745" s="108" t="str">
        <f>IFERROR(VLOOKUP(B745,'02. MM-KLH'!$B$6:$T$823,18,0),"")</f>
        <v>CCN</v>
      </c>
      <c r="T745" s="110" t="str">
        <f>IFERROR(VLOOKUP(B745,'02. MM-KLH'!$B$6:$T$823,19,0),"")</f>
        <v>CCN</v>
      </c>
      <c r="U745" s="130" t="s">
        <v>235</v>
      </c>
    </row>
    <row r="746" ht="13.5" customHeight="1">
      <c r="A746" s="95">
        <f t="shared" si="32"/>
        <v>15</v>
      </c>
      <c r="B746" s="115" t="s">
        <v>3133</v>
      </c>
      <c r="C746" s="86" t="str">
        <f>IFERROR(VLOOKUP(B746,'02. MM-KLH'!$B$6:$T$823,2,0),"")</f>
        <v/>
      </c>
      <c r="D746" s="95" t="str">
        <f>IFERROR(VLOOKUP(B746,'02. MM-KLH'!$B$6:$T$823,3,0),"")</f>
        <v>A23-CĐN-003</v>
      </c>
      <c r="E746" s="86" t="str">
        <f>IFERROR(VLOOKUP(B746,'02. MM-KLH'!$B$6:$T$823,4,0),"")</f>
        <v/>
      </c>
      <c r="F746" s="115"/>
      <c r="G746" s="86" t="str">
        <f>IFERROR(VLOOKUP(B746,'02. MM-KLH'!$B$6:$T$823,6,0),"")</f>
        <v>Máy cắt cỏ đẩy tay đa năng</v>
      </c>
      <c r="H746" s="80" t="s">
        <v>6187</v>
      </c>
      <c r="I746" s="80" t="str">
        <f>IFERROR(VLOOKUP(B746,'02. MM-KLH'!$B$6:$T$823,8,0),"")</f>
        <v>XN Chuối DP2</v>
      </c>
      <c r="J746" s="99" t="str">
        <f>IFERROR(VLOOKUP(B746,'02. MM-KLH'!$B$6:$T$823,9,0),"")</f>
        <v>21/12/2024</v>
      </c>
      <c r="K746" s="80" t="str">
        <f>IFERROR(VLOOKUP(B746,'02. MM-KLH'!$B$6:$T$823,10,0),"")</f>
        <v>Bình thường</v>
      </c>
      <c r="L746" s="102" t="str">
        <f>IFERROR(VLOOKUP(B746,'02. MM-KLH'!$B$6:$T$823,11,0),"")</f>
        <v/>
      </c>
      <c r="M746" s="143" t="str">
        <f>IFERROR(VLOOKUP(B746,'02. MM-KLH'!$B$6:$T$823,12,0),"")</f>
        <v>Đầu tư mới</v>
      </c>
      <c r="N746" s="108" t="str">
        <f>IFERROR(VLOOKUP(B746,'02. MM-KLH'!$B$6:$T$823,13,0),"")</f>
        <v>YAMASUKI</v>
      </c>
      <c r="O746" s="108" t="str">
        <f>IFERROR(VLOOKUP(B746,'02. MM-KLH'!$B$6:$T$823,14,0),"")</f>
        <v>CAMBODIA</v>
      </c>
      <c r="P746" s="80">
        <f>IFERROR(VLOOKUP(B746,'02. MM-KLH'!$B$6:$T$823,15,0),"")</f>
        <v>2024</v>
      </c>
      <c r="Q746" s="80" t="str">
        <f>IFERROR(VLOOKUP(B746,'02. MM-KLH'!$B$6:$T$823,16,0),"")</f>
        <v>GX-35</v>
      </c>
      <c r="R746" s="106" t="str">
        <f>IFERROR(VLOOKUP(B746,'02. MM-KLH'!$B$6:$T$823,17,0),"")</f>
        <v>1.3HP</v>
      </c>
      <c r="S746" s="108" t="str">
        <f>IFERROR(VLOOKUP(B746,'02. MM-KLH'!$B$6:$T$823,18,0),"")</f>
        <v>CCN</v>
      </c>
      <c r="T746" s="110" t="str">
        <f>IFERROR(VLOOKUP(B746,'02. MM-KLH'!$B$6:$T$823,19,0),"")</f>
        <v>CCN</v>
      </c>
      <c r="U746" s="130" t="s">
        <v>235</v>
      </c>
    </row>
    <row r="747" ht="13.5" customHeight="1">
      <c r="A747" s="95">
        <f t="shared" si="32"/>
        <v>16</v>
      </c>
      <c r="B747" s="115" t="s">
        <v>3135</v>
      </c>
      <c r="C747" s="86" t="str">
        <f>IFERROR(VLOOKUP(B747,'02. MM-KLH'!$B$6:$T$823,2,0),"")</f>
        <v/>
      </c>
      <c r="D747" s="95" t="str">
        <f>IFERROR(VLOOKUP(B747,'02. MM-KLH'!$B$6:$T$823,3,0),"")</f>
        <v>A23-CĐN-004</v>
      </c>
      <c r="E747" s="86" t="str">
        <f>IFERROR(VLOOKUP(B747,'02. MM-KLH'!$B$6:$T$823,4,0),"")</f>
        <v/>
      </c>
      <c r="F747" s="115"/>
      <c r="G747" s="86" t="str">
        <f>IFERROR(VLOOKUP(B747,'02. MM-KLH'!$B$6:$T$823,6,0),"")</f>
        <v>Máy cắt cỏ đẩy tay đa năng</v>
      </c>
      <c r="H747" s="80" t="s">
        <v>6187</v>
      </c>
      <c r="I747" s="80" t="str">
        <f>IFERROR(VLOOKUP(B747,'02. MM-KLH'!$B$6:$T$823,8,0),"")</f>
        <v>XN Chuối DP2</v>
      </c>
      <c r="J747" s="99" t="str">
        <f>IFERROR(VLOOKUP(B747,'02. MM-KLH'!$B$6:$T$823,9,0),"")</f>
        <v>21/12/2024</v>
      </c>
      <c r="K747" s="80" t="str">
        <f>IFERROR(VLOOKUP(B747,'02. MM-KLH'!$B$6:$T$823,10,0),"")</f>
        <v>Bình thường</v>
      </c>
      <c r="L747" s="102" t="str">
        <f>IFERROR(VLOOKUP(B747,'02. MM-KLH'!$B$6:$T$823,11,0),"")</f>
        <v/>
      </c>
      <c r="M747" s="143" t="str">
        <f>IFERROR(VLOOKUP(B747,'02. MM-KLH'!$B$6:$T$823,12,0),"")</f>
        <v>Đầu tư mới</v>
      </c>
      <c r="N747" s="108" t="str">
        <f>IFERROR(VLOOKUP(B747,'02. MM-KLH'!$B$6:$T$823,13,0),"")</f>
        <v>YAMASUKI</v>
      </c>
      <c r="O747" s="108" t="str">
        <f>IFERROR(VLOOKUP(B747,'02. MM-KLH'!$B$6:$T$823,14,0),"")</f>
        <v>CAMBODIA</v>
      </c>
      <c r="P747" s="80">
        <f>IFERROR(VLOOKUP(B747,'02. MM-KLH'!$B$6:$T$823,15,0),"")</f>
        <v>2024</v>
      </c>
      <c r="Q747" s="80" t="str">
        <f>IFERROR(VLOOKUP(B747,'02. MM-KLH'!$B$6:$T$823,16,0),"")</f>
        <v>GX-35</v>
      </c>
      <c r="R747" s="106" t="str">
        <f>IFERROR(VLOOKUP(B747,'02. MM-KLH'!$B$6:$T$823,17,0),"")</f>
        <v>1.3HP</v>
      </c>
      <c r="S747" s="108" t="str">
        <f>IFERROR(VLOOKUP(B747,'02. MM-KLH'!$B$6:$T$823,18,0),"")</f>
        <v>CCN</v>
      </c>
      <c r="T747" s="110" t="str">
        <f>IFERROR(VLOOKUP(B747,'02. MM-KLH'!$B$6:$T$823,19,0),"")</f>
        <v>CCN</v>
      </c>
      <c r="U747" s="130" t="s">
        <v>235</v>
      </c>
    </row>
    <row r="748" ht="13.5" customHeight="1">
      <c r="A748" s="95">
        <f t="shared" si="32"/>
        <v>17</v>
      </c>
      <c r="B748" s="115" t="s">
        <v>3137</v>
      </c>
      <c r="C748" s="86" t="str">
        <f>IFERROR(VLOOKUP(B748,'02. MM-KLH'!$B$6:$T$823,2,0),"")</f>
        <v/>
      </c>
      <c r="D748" s="95" t="str">
        <f>IFERROR(VLOOKUP(B748,'02. MM-KLH'!$B$6:$T$823,3,0),"")</f>
        <v>A23-CĐN-005</v>
      </c>
      <c r="E748" s="86" t="str">
        <f>IFERROR(VLOOKUP(B748,'02. MM-KLH'!$B$6:$T$823,4,0),"")</f>
        <v/>
      </c>
      <c r="F748" s="115"/>
      <c r="G748" s="86" t="str">
        <f>IFERROR(VLOOKUP(B748,'02. MM-KLH'!$B$6:$T$823,6,0),"")</f>
        <v>Máy cắt cỏ đẩy tay đa năng</v>
      </c>
      <c r="H748" s="80" t="s">
        <v>6187</v>
      </c>
      <c r="I748" s="80" t="str">
        <f>IFERROR(VLOOKUP(B748,'02. MM-KLH'!$B$6:$T$823,8,0),"")</f>
        <v>XN Chuối DP3</v>
      </c>
      <c r="J748" s="99" t="str">
        <f>IFERROR(VLOOKUP(B748,'02. MM-KLH'!$B$6:$T$823,9,0),"")</f>
        <v>21/12/2024</v>
      </c>
      <c r="K748" s="80" t="str">
        <f>IFERROR(VLOOKUP(B748,'02. MM-KLH'!$B$6:$T$823,10,0),"")</f>
        <v>Bình thường</v>
      </c>
      <c r="L748" s="102" t="str">
        <f>IFERROR(VLOOKUP(B748,'02. MM-KLH'!$B$6:$T$823,11,0),"")</f>
        <v/>
      </c>
      <c r="M748" s="143" t="str">
        <f>IFERROR(VLOOKUP(B748,'02. MM-KLH'!$B$6:$T$823,12,0),"")</f>
        <v>Đầu tư mới</v>
      </c>
      <c r="N748" s="108" t="str">
        <f>IFERROR(VLOOKUP(B748,'02. MM-KLH'!$B$6:$T$823,13,0),"")</f>
        <v>YAMASUKI</v>
      </c>
      <c r="O748" s="108" t="str">
        <f>IFERROR(VLOOKUP(B748,'02. MM-KLH'!$B$6:$T$823,14,0),"")</f>
        <v>CAMBODIA</v>
      </c>
      <c r="P748" s="80">
        <f>IFERROR(VLOOKUP(B748,'02. MM-KLH'!$B$6:$T$823,15,0),"")</f>
        <v>2024</v>
      </c>
      <c r="Q748" s="80" t="str">
        <f>IFERROR(VLOOKUP(B748,'02. MM-KLH'!$B$6:$T$823,16,0),"")</f>
        <v>GX-35</v>
      </c>
      <c r="R748" s="106" t="str">
        <f>IFERROR(VLOOKUP(B748,'02. MM-KLH'!$B$6:$T$823,17,0),"")</f>
        <v>1.3HP</v>
      </c>
      <c r="S748" s="108" t="str">
        <f>IFERROR(VLOOKUP(B748,'02. MM-KLH'!$B$6:$T$823,18,0),"")</f>
        <v>CCN</v>
      </c>
      <c r="T748" s="110" t="str">
        <f>IFERROR(VLOOKUP(B748,'02. MM-KLH'!$B$6:$T$823,19,0),"")</f>
        <v>CCN</v>
      </c>
      <c r="U748" s="130" t="s">
        <v>235</v>
      </c>
    </row>
    <row r="749" ht="13.5" customHeight="1">
      <c r="A749" s="95">
        <f t="shared" si="32"/>
        <v>18</v>
      </c>
      <c r="B749" s="115" t="s">
        <v>3139</v>
      </c>
      <c r="C749" s="86" t="str">
        <f>IFERROR(VLOOKUP(B749,'02. MM-KLH'!$B$6:$T$823,2,0),"")</f>
        <v/>
      </c>
      <c r="D749" s="95" t="str">
        <f>IFERROR(VLOOKUP(B749,'02. MM-KLH'!$B$6:$T$823,3,0),"")</f>
        <v>A23-CĐN-006</v>
      </c>
      <c r="E749" s="86" t="str">
        <f>IFERROR(VLOOKUP(B749,'02. MM-KLH'!$B$6:$T$823,4,0),"")</f>
        <v/>
      </c>
      <c r="F749" s="115"/>
      <c r="G749" s="86" t="str">
        <f>IFERROR(VLOOKUP(B749,'02. MM-KLH'!$B$6:$T$823,6,0),"")</f>
        <v>Máy cắt cỏ đẩy tay đa năng</v>
      </c>
      <c r="H749" s="80" t="s">
        <v>6187</v>
      </c>
      <c r="I749" s="80" t="str">
        <f>IFERROR(VLOOKUP(B749,'02. MM-KLH'!$B$6:$T$823,8,0),"")</f>
        <v>XN Chuối DP3</v>
      </c>
      <c r="J749" s="99" t="str">
        <f>IFERROR(VLOOKUP(B749,'02. MM-KLH'!$B$6:$T$823,9,0),"")</f>
        <v>21/12/2024</v>
      </c>
      <c r="K749" s="80" t="str">
        <f>IFERROR(VLOOKUP(B749,'02. MM-KLH'!$B$6:$T$823,10,0),"")</f>
        <v>Bình thường</v>
      </c>
      <c r="L749" s="102" t="str">
        <f>IFERROR(VLOOKUP(B749,'02. MM-KLH'!$B$6:$T$823,11,0),"")</f>
        <v/>
      </c>
      <c r="M749" s="143" t="str">
        <f>IFERROR(VLOOKUP(B749,'02. MM-KLH'!$B$6:$T$823,12,0),"")</f>
        <v>Đầu tư mới</v>
      </c>
      <c r="N749" s="108" t="str">
        <f>IFERROR(VLOOKUP(B749,'02. MM-KLH'!$B$6:$T$823,13,0),"")</f>
        <v>YAMASUKI</v>
      </c>
      <c r="O749" s="108" t="str">
        <f>IFERROR(VLOOKUP(B749,'02. MM-KLH'!$B$6:$T$823,14,0),"")</f>
        <v>CAMBODIA</v>
      </c>
      <c r="P749" s="80">
        <f>IFERROR(VLOOKUP(B749,'02. MM-KLH'!$B$6:$T$823,15,0),"")</f>
        <v>2024</v>
      </c>
      <c r="Q749" s="80" t="str">
        <f>IFERROR(VLOOKUP(B749,'02. MM-KLH'!$B$6:$T$823,16,0),"")</f>
        <v>GX-35</v>
      </c>
      <c r="R749" s="106" t="str">
        <f>IFERROR(VLOOKUP(B749,'02. MM-KLH'!$B$6:$T$823,17,0),"")</f>
        <v>1.3HP</v>
      </c>
      <c r="S749" s="108" t="str">
        <f>IFERROR(VLOOKUP(B749,'02. MM-KLH'!$B$6:$T$823,18,0),"")</f>
        <v>CCN</v>
      </c>
      <c r="T749" s="110" t="str">
        <f>IFERROR(VLOOKUP(B749,'02. MM-KLH'!$B$6:$T$823,19,0),"")</f>
        <v>CCN</v>
      </c>
      <c r="U749" s="130" t="s">
        <v>235</v>
      </c>
    </row>
    <row r="750" ht="13.5" customHeight="1">
      <c r="A750" s="289"/>
      <c r="B750" s="918"/>
      <c r="C750" s="914"/>
      <c r="D750" s="95"/>
      <c r="E750" s="86"/>
      <c r="F750" s="910"/>
      <c r="G750" s="86"/>
      <c r="H750" s="80"/>
      <c r="I750" s="80"/>
      <c r="J750" s="99"/>
      <c r="K750" s="80"/>
      <c r="L750" s="102"/>
      <c r="M750" s="143"/>
      <c r="N750" s="108"/>
      <c r="O750" s="108"/>
      <c r="P750" s="80"/>
      <c r="Q750" s="80"/>
      <c r="R750" s="106"/>
      <c r="S750" s="108"/>
      <c r="T750" s="110"/>
      <c r="U750" s="130"/>
    </row>
    <row r="751" ht="13.5" customHeight="1">
      <c r="A751" s="289"/>
      <c r="B751" s="918"/>
      <c r="C751" s="914"/>
      <c r="D751" s="95"/>
      <c r="E751" s="86"/>
      <c r="F751" s="910"/>
      <c r="G751" s="86"/>
      <c r="H751" s="80"/>
      <c r="I751" s="80"/>
      <c r="J751" s="99"/>
      <c r="K751" s="80"/>
      <c r="L751" s="102"/>
      <c r="M751" s="143"/>
      <c r="N751" s="108"/>
      <c r="O751" s="108"/>
      <c r="P751" s="80"/>
      <c r="Q751" s="80"/>
      <c r="R751" s="106"/>
      <c r="S751" s="108"/>
      <c r="T751" s="110"/>
      <c r="U751" s="130"/>
    </row>
    <row r="752" ht="13.5" customHeight="1">
      <c r="A752" s="289"/>
      <c r="B752" s="918"/>
      <c r="C752" s="914"/>
      <c r="D752" s="95"/>
      <c r="E752" s="86"/>
      <c r="F752" s="910"/>
      <c r="G752" s="86"/>
      <c r="H752" s="80"/>
      <c r="I752" s="80"/>
      <c r="J752" s="99"/>
      <c r="K752" s="80"/>
      <c r="L752" s="102"/>
      <c r="M752" s="143"/>
      <c r="N752" s="108"/>
      <c r="O752" s="108"/>
      <c r="P752" s="80"/>
      <c r="Q752" s="80"/>
      <c r="R752" s="106"/>
      <c r="S752" s="108"/>
      <c r="T752" s="110"/>
      <c r="U752" s="130"/>
    </row>
    <row r="753" ht="13.5" customHeight="1">
      <c r="A753" s="289"/>
      <c r="B753" s="918"/>
      <c r="C753" s="914"/>
      <c r="D753" s="95"/>
      <c r="E753" s="86"/>
      <c r="F753" s="910"/>
      <c r="G753" s="86"/>
      <c r="H753" s="80"/>
      <c r="I753" s="80"/>
      <c r="J753" s="99"/>
      <c r="K753" s="80"/>
      <c r="L753" s="102"/>
      <c r="M753" s="143"/>
      <c r="N753" s="108"/>
      <c r="O753" s="108"/>
      <c r="P753" s="80"/>
      <c r="Q753" s="80"/>
      <c r="R753" s="106"/>
      <c r="S753" s="108"/>
      <c r="T753" s="110"/>
      <c r="U753" s="130"/>
    </row>
    <row r="754" ht="13.5" customHeight="1">
      <c r="A754" s="289"/>
      <c r="B754" s="918"/>
      <c r="C754" s="914"/>
      <c r="D754" s="95"/>
      <c r="E754" s="86"/>
      <c r="F754" s="910"/>
      <c r="G754" s="86"/>
      <c r="H754" s="80"/>
      <c r="I754" s="80"/>
      <c r="J754" s="99"/>
      <c r="K754" s="80"/>
      <c r="L754" s="102"/>
      <c r="M754" s="143"/>
      <c r="N754" s="108"/>
      <c r="O754" s="108"/>
      <c r="P754" s="80"/>
      <c r="Q754" s="80"/>
      <c r="R754" s="106"/>
      <c r="S754" s="108"/>
      <c r="T754" s="110"/>
      <c r="U754" s="130"/>
    </row>
    <row r="755" ht="13.5" customHeight="1">
      <c r="A755" s="289"/>
      <c r="B755" s="918"/>
      <c r="C755" s="914"/>
      <c r="D755" s="95"/>
      <c r="E755" s="86"/>
      <c r="F755" s="910"/>
      <c r="G755" s="86"/>
      <c r="H755" s="80"/>
      <c r="I755" s="80"/>
      <c r="J755" s="99"/>
      <c r="K755" s="80"/>
      <c r="L755" s="102"/>
      <c r="M755" s="143"/>
      <c r="N755" s="108"/>
      <c r="O755" s="108"/>
      <c r="P755" s="80"/>
      <c r="Q755" s="80"/>
      <c r="R755" s="106"/>
      <c r="S755" s="108"/>
      <c r="T755" s="110"/>
      <c r="U755" s="130"/>
    </row>
    <row r="756" ht="13.5" customHeight="1">
      <c r="A756" s="289"/>
      <c r="B756" s="918"/>
      <c r="C756" s="914"/>
      <c r="D756" s="95"/>
      <c r="E756" s="86"/>
      <c r="F756" s="910"/>
      <c r="G756" s="86"/>
      <c r="H756" s="80"/>
      <c r="I756" s="80"/>
      <c r="J756" s="99"/>
      <c r="K756" s="80"/>
      <c r="L756" s="102"/>
      <c r="M756" s="143"/>
      <c r="N756" s="108"/>
      <c r="O756" s="108"/>
      <c r="P756" s="80"/>
      <c r="Q756" s="80"/>
      <c r="R756" s="106"/>
      <c r="S756" s="108"/>
      <c r="T756" s="110"/>
      <c r="U756" s="130"/>
    </row>
    <row r="757" ht="13.5" customHeight="1">
      <c r="A757" s="289"/>
      <c r="B757" s="918"/>
      <c r="C757" s="914"/>
      <c r="D757" s="95"/>
      <c r="E757" s="86"/>
      <c r="F757" s="910"/>
      <c r="G757" s="86"/>
      <c r="H757" s="80"/>
      <c r="I757" s="80"/>
      <c r="J757" s="99"/>
      <c r="K757" s="80"/>
      <c r="L757" s="102"/>
      <c r="M757" s="143"/>
      <c r="N757" s="108"/>
      <c r="O757" s="108"/>
      <c r="P757" s="80"/>
      <c r="Q757" s="80"/>
      <c r="R757" s="106"/>
      <c r="S757" s="108"/>
      <c r="T757" s="110"/>
      <c r="U757" s="130"/>
    </row>
    <row r="758" ht="13.5" customHeight="1">
      <c r="A758" s="289"/>
      <c r="B758" s="918"/>
      <c r="C758" s="914"/>
      <c r="D758" s="95"/>
      <c r="E758" s="86"/>
      <c r="F758" s="910"/>
      <c r="G758" s="86"/>
      <c r="H758" s="80"/>
      <c r="I758" s="80"/>
      <c r="J758" s="99"/>
      <c r="K758" s="80"/>
      <c r="L758" s="102"/>
      <c r="M758" s="143"/>
      <c r="N758" s="108"/>
      <c r="O758" s="108"/>
      <c r="P758" s="80"/>
      <c r="Q758" s="80"/>
      <c r="R758" s="106"/>
      <c r="S758" s="108"/>
      <c r="T758" s="110"/>
      <c r="U758" s="130"/>
    </row>
    <row r="759" ht="13.5" customHeight="1">
      <c r="A759" s="289"/>
      <c r="B759" s="918"/>
      <c r="C759" s="914"/>
      <c r="D759" s="95"/>
      <c r="E759" s="86"/>
      <c r="F759" s="910"/>
      <c r="G759" s="86"/>
      <c r="H759" s="80"/>
      <c r="I759" s="80"/>
      <c r="J759" s="99"/>
      <c r="K759" s="80"/>
      <c r="L759" s="102"/>
      <c r="M759" s="143"/>
      <c r="N759" s="108"/>
      <c r="O759" s="108"/>
      <c r="P759" s="80"/>
      <c r="Q759" s="80"/>
      <c r="R759" s="106"/>
      <c r="S759" s="108"/>
      <c r="T759" s="110"/>
      <c r="U759" s="130"/>
    </row>
    <row r="760" ht="13.5" customHeight="1">
      <c r="A760" s="289"/>
      <c r="B760" s="918"/>
      <c r="C760" s="914"/>
      <c r="D760" s="95"/>
      <c r="E760" s="86"/>
      <c r="F760" s="910"/>
      <c r="G760" s="86"/>
      <c r="H760" s="80"/>
      <c r="I760" s="80"/>
      <c r="J760" s="99"/>
      <c r="K760" s="80"/>
      <c r="L760" s="102"/>
      <c r="M760" s="143"/>
      <c r="N760" s="108"/>
      <c r="O760" s="108"/>
      <c r="P760" s="80"/>
      <c r="Q760" s="80"/>
      <c r="R760" s="106"/>
      <c r="S760" s="108"/>
      <c r="T760" s="110"/>
      <c r="U760" s="130"/>
    </row>
    <row r="761" ht="13.5" customHeight="1">
      <c r="A761" s="289"/>
      <c r="B761" s="918"/>
      <c r="C761" s="914"/>
      <c r="D761" s="95"/>
      <c r="E761" s="86"/>
      <c r="F761" s="910"/>
      <c r="G761" s="86"/>
      <c r="H761" s="80"/>
      <c r="I761" s="80"/>
      <c r="J761" s="99"/>
      <c r="K761" s="80"/>
      <c r="L761" s="102"/>
      <c r="M761" s="143"/>
      <c r="N761" s="108"/>
      <c r="O761" s="108"/>
      <c r="P761" s="80"/>
      <c r="Q761" s="80"/>
      <c r="R761" s="106"/>
      <c r="S761" s="108"/>
      <c r="T761" s="110"/>
      <c r="U761" s="130"/>
    </row>
    <row r="762" ht="13.5" customHeight="1">
      <c r="A762" s="649" t="s">
        <v>76</v>
      </c>
      <c r="B762" s="875" t="s">
        <v>3147</v>
      </c>
      <c r="C762" s="649">
        <f>COUNTA(B763:B768)</f>
        <v>6</v>
      </c>
      <c r="D762" s="649" t="str">
        <f>IFERROR(VLOOKUP(B762,'02. MM-KLH'!$B$6:$T$823,3,0),"")</f>
        <v/>
      </c>
      <c r="E762" s="649" t="str">
        <f>IFERROR(VLOOKUP(B762,'02. MM-KLH'!$B$6:$T$823,4,0),"")</f>
        <v/>
      </c>
      <c r="F762" s="649"/>
      <c r="G762" s="649" t="str">
        <f>IFERROR(VLOOKUP(B762,'02. MM-KLH'!$B$6:$T$823,6,0),"")</f>
        <v>(Điều chuyển chữ xanh dương)</v>
      </c>
      <c r="H762" s="649"/>
      <c r="I762" s="649" t="str">
        <f>IFERROR(VLOOKUP(B762,'02. MM-KLH'!$B$6:$T$823,8,0),"")</f>
        <v/>
      </c>
      <c r="J762" s="649" t="str">
        <f>IFERROR(VLOOKUP(B762,'02. MM-KLH'!$B$6:$T$823,9,0),"")</f>
        <v/>
      </c>
      <c r="K762" s="649" t="str">
        <f>IFERROR(VLOOKUP(B762,'02. MM-KLH'!$B$6:$T$823,10,0),"")</f>
        <v/>
      </c>
      <c r="L762" s="649" t="str">
        <f>IFERROR(VLOOKUP(B762,'02. MM-KLH'!$B$6:$T$823,11,0),"")</f>
        <v/>
      </c>
      <c r="M762" s="649" t="str">
        <f>IFERROR(VLOOKUP(B762,'02. MM-KLH'!$B$6:$T$823,12,0),"")</f>
        <v/>
      </c>
      <c r="N762" s="649" t="str">
        <f>IFERROR(VLOOKUP(B762,'02. MM-KLH'!$B$6:$T$823,13,0),"")</f>
        <v/>
      </c>
      <c r="O762" s="649" t="str">
        <f>IFERROR(VLOOKUP(B762,'02. MM-KLH'!$B$6:$T$823,14,0),"")</f>
        <v/>
      </c>
      <c r="P762" s="649" t="str">
        <f>IFERROR(VLOOKUP(B762,'02. MM-KLH'!$B$6:$T$823,15,0),"")</f>
        <v/>
      </c>
      <c r="Q762" s="649" t="str">
        <f>IFERROR(VLOOKUP(B762,'02. MM-KLH'!$B$6:$T$823,16,0),"")</f>
        <v/>
      </c>
      <c r="R762" s="649" t="str">
        <f>IFERROR(VLOOKUP(B762,'02. MM-KLH'!$B$6:$T$823,17,0),"")</f>
        <v/>
      </c>
      <c r="S762" s="649" t="str">
        <f>IFERROR(VLOOKUP(B762,'02. MM-KLH'!$B$6:$T$823,18,0),"")</f>
        <v/>
      </c>
      <c r="T762" s="649" t="str">
        <f>IFERROR(VLOOKUP(B762,'02. MM-KLH'!$B$6:$T$823,19,0),"")</f>
        <v/>
      </c>
      <c r="U762" s="649" t="str">
        <f>IFERROR(VLOOKUP(C762,'02. MM-KLH'!$B$6:$T$823,19,0),"")</f>
        <v/>
      </c>
    </row>
    <row r="763" ht="35.25" customHeight="1">
      <c r="A763" s="95">
        <v>1.0</v>
      </c>
      <c r="B763" s="134" t="s">
        <v>3149</v>
      </c>
      <c r="C763" s="84" t="str">
        <f>IFERROR(VLOOKUP(B763,'02. MM-KLH'!$B$6:$T$823,2,0),"")</f>
        <v>MỚI</v>
      </c>
      <c r="D763" s="95" t="str">
        <f>IFERROR(VLOOKUP(B763,'02. MM-KLH'!$B$6:$T$823,3,0),"")</f>
        <v>A23-MĐA-068</v>
      </c>
      <c r="E763" s="86" t="str">
        <f>IFERROR(VLOOKUP(B763,'02. MM-KLH'!$B$6:$T$823,4,0),"")</f>
        <v/>
      </c>
      <c r="F763" s="134"/>
      <c r="G763" s="86" t="str">
        <f>IFERROR(VLOOKUP(B763,'02. MM-KLH'!$B$6:$T$823,6,0),"")</f>
        <v>Máy đào KOMATSU bánh xích gàu 0.8m3</v>
      </c>
      <c r="H763" s="80" t="s">
        <v>97</v>
      </c>
      <c r="I763" s="80" t="str">
        <f>IFERROR(VLOOKUP(B763,'02. MM-KLH'!$B$6:$T$823,8,0),"")</f>
        <v>RAT OYD</v>
      </c>
      <c r="J763" s="99">
        <f>IFERROR(VLOOKUP(B763,'02. MM-KLH'!$B$6:$T$823,9,0),"")</f>
        <v>45963</v>
      </c>
      <c r="K763" s="80" t="str">
        <f>IFERROR(VLOOKUP(B763,'02. MM-KLH'!$B$6:$T$823,10,0),"")</f>
        <v/>
      </c>
      <c r="L763" s="102" t="str">
        <f>IFERROR(VLOOKUP(B763,'02. MM-KLH'!$B$6:$T$823,11,0),"")</f>
        <v/>
      </c>
      <c r="M763" s="127" t="str">
        <f>IFERROR(VLOOKUP(B763,'02. MM-KLH'!$B$6:$T$823,12,0),"")</f>
        <v>Bàn giao về XDCB ngày 11/02/2025 
-Đ.chuyển đi RAT OYD ngày 13/05/2025</v>
      </c>
      <c r="N763" s="108" t="str">
        <f>IFERROR(VLOOKUP(B763,'02. MM-KLH'!$B$6:$T$823,13,0),"")</f>
        <v>KOMATSU</v>
      </c>
      <c r="O763" s="108" t="str">
        <f>IFERROR(VLOOKUP(B763,'02. MM-KLH'!$B$6:$T$823,14,0),"")</f>
        <v>NHẬT BẢN</v>
      </c>
      <c r="P763" s="80">
        <f>IFERROR(VLOOKUP(B763,'02. MM-KLH'!$B$6:$T$823,15,0),"")</f>
        <v>2004</v>
      </c>
      <c r="Q763" s="80" t="str">
        <f>IFERROR(VLOOKUP(B763,'02. MM-KLH'!$B$6:$T$823,16,0),"")</f>
        <v>PC200-7</v>
      </c>
      <c r="R763" s="106" t="str">
        <f>IFERROR(VLOOKUP(B763,'02. MM-KLH'!$B$6:$T$823,17,0),"")</f>
        <v>145HP</v>
      </c>
      <c r="S763" s="108" t="str">
        <f>IFERROR(VLOOKUP(B763,'02. MM-KLH'!$B$6:$T$823,18,0),"")</f>
        <v>KMTPC049P02251262</v>
      </c>
      <c r="T763" s="110" t="str">
        <f>IFERROR(VLOOKUP(B763,'02. MM-KLH'!$B$6:$T$823,19,0),"")</f>
        <v>6D10226342017</v>
      </c>
      <c r="U763" s="130"/>
    </row>
    <row r="764" ht="13.5" customHeight="1">
      <c r="A764" s="80">
        <v>2.0</v>
      </c>
      <c r="B764" s="113" t="s">
        <v>3156</v>
      </c>
      <c r="C764" s="86" t="str">
        <f>IFERROR(VLOOKUP(B764,'02. MM-KLH'!$B$6:$T$823,2,0),"")</f>
        <v>XDP-MKE-004(MK18NNKLH)</v>
      </c>
      <c r="D764" s="95" t="str">
        <f>IFERROR(VLOOKUP(B764,'02. MM-KLH'!$B$6:$T$823,3,0),"")</f>
        <v>A23-MKE-004</v>
      </c>
      <c r="E764" s="86" t="str">
        <f>IFERROR(VLOOKUP(B764,'02. MM-KLH'!$B$6:$T$823,4,0),"")</f>
        <v/>
      </c>
      <c r="F764" s="115" t="s">
        <v>2029</v>
      </c>
      <c r="G764" s="86" t="str">
        <f>IFERROR(VLOOKUP(B764,'02. MM-KLH'!$B$6:$T$823,6,0),"")</f>
        <v>Máy cày M9540</v>
      </c>
      <c r="H764" s="80" t="s">
        <v>2054</v>
      </c>
      <c r="I764" s="80" t="str">
        <f>IFERROR(VLOOKUP(B764,'02. MM-KLH'!$B$6:$T$823,8,0),"")</f>
        <v>RAT OYD</v>
      </c>
      <c r="J764" s="99" t="str">
        <f>IFERROR(VLOOKUP(B764,'02. MM-KLH'!$B$6:$T$823,9,0),"")</f>
        <v/>
      </c>
      <c r="K764" s="80" t="str">
        <f>IFERROR(VLOOKUP(B764,'02. MM-KLH'!$B$6:$T$823,10,0),"")</f>
        <v/>
      </c>
      <c r="L764" s="102" t="str">
        <f>IFERROR(VLOOKUP(B764,'02. MM-KLH'!$B$6:$T$823,11,0),"")</f>
        <v/>
      </c>
      <c r="M764" s="143" t="str">
        <f>IFERROR(VLOOKUP(B764,'02. MM-KLH'!$B$6:$T$823,12,0),"")</f>
        <v>Thu hồi bàn giao về RAT OYD 05/12/2024</v>
      </c>
      <c r="N764" s="108" t="str">
        <f>IFERROR(VLOOKUP(B764,'02. MM-KLH'!$B$6:$T$823,13,0),"")</f>
        <v>KUBOTA</v>
      </c>
      <c r="O764" s="108" t="str">
        <f>IFERROR(VLOOKUP(B764,'02. MM-KLH'!$B$6:$T$823,14,0),"")</f>
        <v>NHẬT BẢN</v>
      </c>
      <c r="P764" s="80">
        <f>IFERROR(VLOOKUP(B764,'02. MM-KLH'!$B$6:$T$823,15,0),"")</f>
        <v>2011</v>
      </c>
      <c r="Q764" s="80">
        <f>IFERROR(VLOOKUP(B764,'02. MM-KLH'!$B$6:$T$823,16,0),"")</f>
        <v>9540</v>
      </c>
      <c r="R764" s="106" t="str">
        <f>IFERROR(VLOOKUP(B764,'02. MM-KLH'!$B$6:$T$823,17,0),"")</f>
        <v>95HP</v>
      </c>
      <c r="S764" s="108">
        <f>IFERROR(VLOOKUP(B764,'02. MM-KLH'!$B$6:$T$823,18,0),"")</f>
        <v>77433</v>
      </c>
      <c r="T764" s="110" t="str">
        <f>IFERROR(VLOOKUP(B764,'02. MM-KLH'!$B$6:$T$823,19,0),"")</f>
        <v>CCN</v>
      </c>
      <c r="U764" s="130"/>
    </row>
    <row r="765" ht="13.5" customHeight="1">
      <c r="A765" s="80">
        <v>3.0</v>
      </c>
      <c r="B765" s="113" t="s">
        <v>3159</v>
      </c>
      <c r="C765" s="86" t="str">
        <f>IFERROR(VLOOKUP(B765,'02. MM-KLH'!$B$6:$T$823,2,0),"")</f>
        <v>MK 88-VC KLH</v>
      </c>
      <c r="D765" s="95" t="str">
        <f>IFERROR(VLOOKUP(B765,'02. MM-KLH'!$B$6:$T$823,3,0),"")</f>
        <v>A23-MKE-015</v>
      </c>
      <c r="E765" s="86" t="str">
        <f>IFERROR(VLOOKUP(B765,'02. MM-KLH'!$B$6:$T$823,4,0),"")</f>
        <v/>
      </c>
      <c r="F765" s="115" t="s">
        <v>2029</v>
      </c>
      <c r="G765" s="86" t="str">
        <f>IFERROR(VLOOKUP(B765,'02. MM-KLH'!$B$6:$T$823,6,0),"")</f>
        <v>Máy cày M9540</v>
      </c>
      <c r="H765" s="80" t="s">
        <v>2054</v>
      </c>
      <c r="I765" s="80" t="str">
        <f>IFERROR(VLOOKUP(B765,'02. MM-KLH'!$B$6:$T$823,8,0),"")</f>
        <v>RAT OYD</v>
      </c>
      <c r="J765" s="99" t="str">
        <f>IFERROR(VLOOKUP(B765,'02. MM-KLH'!$B$6:$T$823,9,0),"")</f>
        <v/>
      </c>
      <c r="K765" s="80" t="str">
        <f>IFERROR(VLOOKUP(B765,'02. MM-KLH'!$B$6:$T$823,10,0),"")</f>
        <v/>
      </c>
      <c r="L765" s="102" t="str">
        <f>IFERROR(VLOOKUP(B765,'02. MM-KLH'!$B$6:$T$823,11,0),"")</f>
        <v/>
      </c>
      <c r="M765" s="143" t="str">
        <f>IFERROR(VLOOKUP(B765,'02. MM-KLH'!$B$6:$T$823,12,0),"")</f>
        <v>Thu hồi bàn giao về RAT OYD 05/12/2024</v>
      </c>
      <c r="N765" s="108" t="str">
        <f>IFERROR(VLOOKUP(B765,'02. MM-KLH'!$B$6:$T$823,13,0),"")</f>
        <v>KUBOTA</v>
      </c>
      <c r="O765" s="108" t="str">
        <f>IFERROR(VLOOKUP(B765,'02. MM-KLH'!$B$6:$T$823,14,0),"")</f>
        <v>NHẬT BẢN</v>
      </c>
      <c r="P765" s="80">
        <f>IFERROR(VLOOKUP(B765,'02. MM-KLH'!$B$6:$T$823,15,0),"")</f>
        <v>2013</v>
      </c>
      <c r="Q765" s="80">
        <f>IFERROR(VLOOKUP(B765,'02. MM-KLH'!$B$6:$T$823,16,0),"")</f>
        <v>9540</v>
      </c>
      <c r="R765" s="106" t="str">
        <f>IFERROR(VLOOKUP(B765,'02. MM-KLH'!$B$6:$T$823,17,0),"")</f>
        <v>95HP</v>
      </c>
      <c r="S765" s="108">
        <f>IFERROR(VLOOKUP(B765,'02. MM-KLH'!$B$6:$T$823,18,0),"")</f>
        <v>173035</v>
      </c>
      <c r="T765" s="110" t="str">
        <f>IFERROR(VLOOKUP(B765,'02. MM-KLH'!$B$6:$T$823,19,0),"")</f>
        <v>CCN</v>
      </c>
      <c r="U765" s="130"/>
    </row>
    <row r="766" ht="13.5" customHeight="1">
      <c r="A766" s="137">
        <v>4.0</v>
      </c>
      <c r="B766" s="183" t="s">
        <v>3161</v>
      </c>
      <c r="C766" s="86" t="str">
        <f>IFERROR(VLOOKUP(B766,'02. MM-KLH'!$B$6:$T$823,2,0),"")</f>
        <v>Mới</v>
      </c>
      <c r="D766" s="95" t="str">
        <f>IFERROR(VLOOKUP(B766,'02. MM-KLH'!$B$6:$T$823,3,0),"")</f>
        <v>ATT-A22-0271</v>
      </c>
      <c r="E766" s="86" t="str">
        <f>IFERROR(VLOOKUP(B766,'02. MM-KLH'!$B$6:$T$823,4,0),"")</f>
        <v/>
      </c>
      <c r="F766" s="134" t="s">
        <v>3162</v>
      </c>
      <c r="G766" s="86" t="str">
        <f>IFERROR(VLOOKUP(B766,'02. MM-KLH'!$B$6:$T$823,6,0),"")</f>
        <v>Xe rải thức ăn FD1600B</v>
      </c>
      <c r="H766" s="137" t="s">
        <v>5989</v>
      </c>
      <c r="I766" s="80" t="str">
        <f>IFERROR(VLOOKUP(B766,'02. MM-KLH'!$B$6:$T$823,8,0),"")</f>
        <v>KLH SNOUL</v>
      </c>
      <c r="J766" s="99">
        <f>IFERROR(VLOOKUP(B766,'02. MM-KLH'!$B$6:$T$823,9,0),"")</f>
        <v>44927</v>
      </c>
      <c r="K766" s="80" t="str">
        <f>IFERROR(VLOOKUP(B766,'02. MM-KLH'!$B$6:$T$823,10,0),"")</f>
        <v/>
      </c>
      <c r="L766" s="102">
        <f>IFERROR(VLOOKUP(B766,'02. MM-KLH'!$B$6:$T$823,11,0),"")</f>
        <v>0.97</v>
      </c>
      <c r="M766" s="143" t="str">
        <f>IFERROR(VLOOKUP(B766,'02. MM-KLH'!$B$6:$T$823,12,0),"")</f>
        <v>Điều chuyển về SNOUL ngày 02/05/2025</v>
      </c>
      <c r="N766" s="108" t="str">
        <f>IFERROR(VLOOKUP(B766,'02. MM-KLH'!$B$6:$T$823,13,0),"")</f>
        <v>THACO FORLAND</v>
      </c>
      <c r="O766" s="108" t="str">
        <f>IFERROR(VLOOKUP(B766,'02. MM-KLH'!$B$6:$T$823,14,0),"")</f>
        <v>VIỆT NAM</v>
      </c>
      <c r="P766" s="80">
        <f>IFERROR(VLOOKUP(B766,'02. MM-KLH'!$B$6:$T$823,15,0),"")</f>
        <v>2017</v>
      </c>
      <c r="Q766" s="80" t="str">
        <f>IFERROR(VLOOKUP(B766,'02. MM-KLH'!$B$6:$T$823,16,0),"")</f>
        <v>FD1600B</v>
      </c>
      <c r="R766" s="106" t="str">
        <f>IFERROR(VLOOKUP(B766,'02. MM-KLH'!$B$6:$T$823,17,0),"")</f>
        <v>180HP</v>
      </c>
      <c r="S766" s="108" t="str">
        <f>IFERROR(VLOOKUP(B766,'02. MM-KLH'!$B$6:$T$823,18,0),"")</f>
        <v>RNHD1600DHC070081</v>
      </c>
      <c r="T766" s="110" t="str">
        <f>IFERROR(VLOOKUP(B766,'02. MM-KLH'!$B$6:$T$823,19,0),"")</f>
        <v>WP6180E326P15D005530</v>
      </c>
      <c r="U766" s="130"/>
    </row>
    <row r="767" ht="30.75" customHeight="1">
      <c r="A767" s="137">
        <v>5.0</v>
      </c>
      <c r="B767" s="183" t="s">
        <v>3168</v>
      </c>
      <c r="C767" s="86" t="str">
        <f>IFERROR(VLOOKUP(B767,'02. MM-KLH'!$B$6:$T$823,2,0),"")</f>
        <v>CHT-XCA-032</v>
      </c>
      <c r="D767" s="95" t="str">
        <f>IFERROR(VLOOKUP(B767,'02. MM-KLH'!$B$6:$T$823,3,0),"")</f>
        <v/>
      </c>
      <c r="E767" s="86" t="str">
        <f>IFERROR(VLOOKUP(B767,'02. MM-KLH'!$B$6:$T$823,4,0),"")</f>
        <v/>
      </c>
      <c r="F767" s="134" t="s">
        <v>3170</v>
      </c>
      <c r="G767" s="86" t="str">
        <f>IFERROR(VLOOKUP(B767,'02. MM-KLH'!$B$6:$T$823,6,0),"")</f>
        <v>Xe cẩu Zoomliom 25 tấn</v>
      </c>
      <c r="H767" s="137" t="s">
        <v>6002</v>
      </c>
      <c r="I767" s="80" t="str">
        <f>IFERROR(VLOOKUP(B767,'02. MM-KLH'!$B$6:$T$823,8,0),"")</f>
        <v>KLH SNOUL</v>
      </c>
      <c r="J767" s="99">
        <f>IFERROR(VLOOKUP(B767,'02. MM-KLH'!$B$6:$T$823,9,0),"")</f>
        <v>41644</v>
      </c>
      <c r="K767" s="80" t="str">
        <f>IFERROR(VLOOKUP(B767,'02. MM-KLH'!$B$6:$T$823,10,0),"")</f>
        <v/>
      </c>
      <c r="L767" s="102">
        <f>IFERROR(VLOOKUP(B767,'02. MM-KLH'!$B$6:$T$823,11,0),"")</f>
        <v>0.4</v>
      </c>
      <c r="M767" s="143" t="str">
        <f>IFERROR(VLOOKUP(B767,'02. MM-KLH'!$B$6:$T$823,12,0),"")</f>
        <v>- Điều chuyển về KLH SNOUL ngày 18/07/2024 (Đã ký)</v>
      </c>
      <c r="N767" s="108" t="str">
        <f>IFERROR(VLOOKUP(B767,'02. MM-KLH'!$B$6:$T$823,13,0),"")</f>
        <v>ZOOMLION </v>
      </c>
      <c r="O767" s="108" t="str">
        <f>IFERROR(VLOOKUP(B767,'02. MM-KLH'!$B$6:$T$823,14,0),"")</f>
        <v>CHINA</v>
      </c>
      <c r="P767" s="80">
        <f>IFERROR(VLOOKUP(B767,'02. MM-KLH'!$B$6:$T$823,15,0),"")</f>
        <v>2004</v>
      </c>
      <c r="Q767" s="80" t="str">
        <f>IFERROR(VLOOKUP(B767,'02. MM-KLH'!$B$6:$T$823,16,0),"")</f>
        <v>CRANE TRUCK QY30V</v>
      </c>
      <c r="R767" s="106" t="str">
        <f>IFERROR(VLOOKUP(B767,'02. MM-KLH'!$B$6:$T$823,17,0),"")</f>
        <v>30T</v>
      </c>
      <c r="S767" s="108" t="str">
        <f>IFERROR(VLOOKUP(B767,'02. MM-KLH'!$B$6:$T$823,18,0),"")</f>
        <v>L5E5H3D22EA020978</v>
      </c>
      <c r="T767" s="110" t="str">
        <f>IFERROR(VLOOKUP(B767,'02. MM-KLH'!$B$6:$T$823,19,0),"")</f>
        <v>CCN</v>
      </c>
      <c r="U767" s="130"/>
    </row>
    <row r="768" ht="13.5" customHeight="1">
      <c r="A768" s="137">
        <v>5.0</v>
      </c>
      <c r="B768" s="134" t="s">
        <v>76</v>
      </c>
      <c r="C768" s="86" t="str">
        <f>IFERROR(VLOOKUP(B768,'02. MM-KLH'!$B$6:$T$823,2,0),"")</f>
        <v/>
      </c>
      <c r="D768" s="95" t="str">
        <f>IFERROR(VLOOKUP(B768,'02. MM-KLH'!$B$6:$T$823,3,0),"")</f>
        <v/>
      </c>
      <c r="E768" s="86" t="str">
        <f>IFERROR(VLOOKUP(B768,'02. MM-KLH'!$B$6:$T$823,4,0),"")</f>
        <v/>
      </c>
      <c r="F768" s="134" t="s">
        <v>6552</v>
      </c>
      <c r="G768" s="86" t="str">
        <f>IFERROR(VLOOKUP(B768,'02. MM-KLH'!$B$6:$T$823,6,0),"")</f>
        <v>Máy kéo JD 7810</v>
      </c>
      <c r="H768" s="137" t="s">
        <v>6002</v>
      </c>
      <c r="I768" s="80" t="str">
        <f>IFERROR(VLOOKUP(B768,'02. MM-KLH'!$B$6:$T$823,8,0),"")</f>
        <v>KLH SNOUL</v>
      </c>
      <c r="J768" s="99" t="str">
        <f>IFERROR(VLOOKUP(B768,'02. MM-KLH'!$B$6:$T$823,9,0),"")</f>
        <v>13/06/2025</v>
      </c>
      <c r="K768" s="80" t="str">
        <f>IFERROR(VLOOKUP(B768,'02. MM-KLH'!$B$6:$T$823,10,0),"")</f>
        <v/>
      </c>
      <c r="L768" s="102" t="str">
        <f>IFERROR(VLOOKUP(B768,'02. MM-KLH'!$B$6:$T$823,11,0),"")</f>
        <v/>
      </c>
      <c r="M768" s="143" t="str">
        <f>IFERROR(VLOOKUP(B768,'02. MM-KLH'!$B$6:$T$823,12,0),"")</f>
        <v>Cho mượn 2 năm hoàn trả</v>
      </c>
      <c r="N768" s="108" t="str">
        <f>IFERROR(VLOOKUP(B768,'02. MM-KLH'!$B$6:$T$823,13,0),"")</f>
        <v>JOHN DEERE</v>
      </c>
      <c r="O768" s="108" t="str">
        <f>IFERROR(VLOOKUP(B768,'02. MM-KLH'!$B$6:$T$823,14,0),"")</f>
        <v>Mỹ</v>
      </c>
      <c r="P768" s="80">
        <f>IFERROR(VLOOKUP(B768,'02. MM-KLH'!$B$6:$T$823,15,0),"")</f>
        <v>1997</v>
      </c>
      <c r="Q768" s="80">
        <f>IFERROR(VLOOKUP(B768,'02. MM-KLH'!$B$6:$T$823,16,0),"")</f>
        <v>7810</v>
      </c>
      <c r="R768" s="106" t="str">
        <f>IFERROR(VLOOKUP(B768,'02. MM-KLH'!$B$6:$T$823,17,0),"")</f>
        <v>155Hp</v>
      </c>
      <c r="S768" s="108" t="str">
        <f>IFERROR(VLOOKUP(B768,'02. MM-KLH'!$B$6:$T$823,18,0),"")</f>
        <v>RW7810P001704</v>
      </c>
      <c r="T768" s="110" t="str">
        <f>IFERROR(VLOOKUP(B768,'02. MM-KLH'!$B$6:$T$823,19,0),"")</f>
        <v>RG6081T011143</v>
      </c>
      <c r="U768" s="130"/>
    </row>
    <row r="769" ht="13.5" customHeight="1">
      <c r="A769" s="80">
        <f>A407+1</f>
        <v>7</v>
      </c>
      <c r="B769" s="268" t="s">
        <v>3185</v>
      </c>
      <c r="C769" s="261" t="str">
        <f>IFERROR(VLOOKUP(B769,'02. MM-KLH'!$B$6:$T$823,2,0),"")</f>
        <v>92C-14638</v>
      </c>
      <c r="D769" s="95" t="str">
        <f>IFERROR(VLOOKUP(B769,'02. MM-KLH'!$B$6:$T$823,3,0),"")</f>
        <v/>
      </c>
      <c r="E769" s="86" t="str">
        <f>IFERROR(VLOOKUP(B769,'02. MM-KLH'!$B$6:$T$823,4,0),"")</f>
        <v/>
      </c>
      <c r="F769" s="268"/>
      <c r="G769" s="86" t="str">
        <f>IFERROR(VLOOKUP(B769,'02. MM-KLH'!$B$6:$T$823,6,0),"")</f>
        <v>Xe container FUSO FZ49</v>
      </c>
      <c r="H769" s="80" t="s">
        <v>5807</v>
      </c>
      <c r="I769" s="80" t="str">
        <f>IFERROR(VLOOKUP(B769,'02. MM-KLH'!$B$6:$T$823,8,0),"")</f>
        <v/>
      </c>
      <c r="J769" s="99">
        <f>IFERROR(VLOOKUP(B769,'02. MM-KLH'!$B$6:$T$823,9,0),"")</f>
        <v>45940</v>
      </c>
      <c r="K769" s="80" t="str">
        <f>IFERROR(VLOOKUP(B769,'02. MM-KLH'!$B$6:$T$823,10,0),"")</f>
        <v/>
      </c>
      <c r="L769" s="102" t="str">
        <f>IFERROR(VLOOKUP(B769,'02. MM-KLH'!$B$6:$T$823,11,0),"")</f>
        <v/>
      </c>
      <c r="M769" s="143" t="str">
        <f>IFERROR(VLOOKUP(B769,'02. MM-KLH'!$B$6:$T$823,12,0),"")</f>
        <v>ĐÃ TRẢ LẠI THILOGI</v>
      </c>
      <c r="N769" s="108" t="str">
        <f>IFERROR(VLOOKUP(B769,'02. MM-KLH'!$B$6:$T$823,13,0),"")</f>
        <v>FUSO</v>
      </c>
      <c r="O769" s="108" t="str">
        <f>IFERROR(VLOOKUP(B769,'02. MM-KLH'!$B$6:$T$823,14,0),"")</f>
        <v/>
      </c>
      <c r="P769" s="80" t="str">
        <f>IFERROR(VLOOKUP(B769,'02. MM-KLH'!$B$6:$T$823,15,0),"")</f>
        <v/>
      </c>
      <c r="Q769" s="80" t="str">
        <f>IFERROR(VLOOKUP(B769,'02. MM-KLH'!$B$6:$T$823,16,0),"")</f>
        <v>FZ49</v>
      </c>
      <c r="R769" s="106" t="str">
        <f>IFERROR(VLOOKUP(B769,'02. MM-KLH'!$B$6:$T$823,17,0),"")</f>
        <v>280HP</v>
      </c>
      <c r="S769" s="108" t="str">
        <f>IFERROR(VLOOKUP(B769,'02. MM-KLH'!$B$6:$T$823,18,0),"")</f>
        <v>MEC2812SCGP028592</v>
      </c>
      <c r="T769" s="110" t="str">
        <f>IFERROR(VLOOKUP(B769,'02. MM-KLH'!$B$6:$T$823,19,0),"")</f>
        <v>400951D0028557</v>
      </c>
      <c r="U769" s="130" t="s">
        <v>79</v>
      </c>
    </row>
    <row r="770" ht="13.5" customHeight="1">
      <c r="A770" s="80">
        <f>A769+1</f>
        <v>8</v>
      </c>
      <c r="B770" s="268" t="s">
        <v>3190</v>
      </c>
      <c r="C770" s="261" t="str">
        <f>IFERROR(VLOOKUP(B770,'02. MM-KLH'!$B$6:$T$823,2,0),"")</f>
        <v>92C-14670</v>
      </c>
      <c r="D770" s="95" t="str">
        <f>IFERROR(VLOOKUP(B770,'02. MM-KLH'!$B$6:$T$823,3,0),"")</f>
        <v/>
      </c>
      <c r="E770" s="86" t="str">
        <f>IFERROR(VLOOKUP(B770,'02. MM-KLH'!$B$6:$T$823,4,0),"")</f>
        <v/>
      </c>
      <c r="F770" s="268"/>
      <c r="G770" s="86" t="str">
        <f>IFERROR(VLOOKUP(B770,'02. MM-KLH'!$B$6:$T$823,6,0),"")</f>
        <v>Xe container FUSO FZ49</v>
      </c>
      <c r="H770" s="80" t="s">
        <v>5807</v>
      </c>
      <c r="I770" s="80" t="str">
        <f>IFERROR(VLOOKUP(B770,'02. MM-KLH'!$B$6:$T$823,8,0),"")</f>
        <v/>
      </c>
      <c r="J770" s="99">
        <f>IFERROR(VLOOKUP(B770,'02. MM-KLH'!$B$6:$T$823,9,0),"")</f>
        <v>45940</v>
      </c>
      <c r="K770" s="80" t="str">
        <f>IFERROR(VLOOKUP(B770,'02. MM-KLH'!$B$6:$T$823,10,0),"")</f>
        <v/>
      </c>
      <c r="L770" s="102" t="str">
        <f>IFERROR(VLOOKUP(B770,'02. MM-KLH'!$B$6:$T$823,11,0),"")</f>
        <v/>
      </c>
      <c r="M770" s="143" t="str">
        <f>IFERROR(VLOOKUP(B770,'02. MM-KLH'!$B$6:$T$823,12,0),"")</f>
        <v>ĐÃ TRẢ LẠI THILOGI</v>
      </c>
      <c r="N770" s="108" t="str">
        <f>IFERROR(VLOOKUP(B770,'02. MM-KLH'!$B$6:$T$823,13,0),"")</f>
        <v>FUSO</v>
      </c>
      <c r="O770" s="108" t="str">
        <f>IFERROR(VLOOKUP(B770,'02. MM-KLH'!$B$6:$T$823,14,0),"")</f>
        <v/>
      </c>
      <c r="P770" s="80" t="str">
        <f>IFERROR(VLOOKUP(B770,'02. MM-KLH'!$B$6:$T$823,15,0),"")</f>
        <v/>
      </c>
      <c r="Q770" s="80" t="str">
        <f>IFERROR(VLOOKUP(B770,'02. MM-KLH'!$B$6:$T$823,16,0),"")</f>
        <v>FZ49</v>
      </c>
      <c r="R770" s="106" t="str">
        <f>IFERROR(VLOOKUP(B770,'02. MM-KLH'!$B$6:$T$823,17,0),"")</f>
        <v>280HP</v>
      </c>
      <c r="S770" s="108" t="str">
        <f>IFERROR(VLOOKUP(B770,'02. MM-KLH'!$B$6:$T$823,18,0),"")</f>
        <v>MEC2812SDGP029269</v>
      </c>
      <c r="T770" s="110" t="str">
        <f>IFERROR(VLOOKUP(B770,'02. MM-KLH'!$B$6:$T$823,19,0),"")</f>
        <v>400951D0029283</v>
      </c>
      <c r="U770" s="130" t="s">
        <v>79</v>
      </c>
    </row>
    <row r="771" ht="13.5" customHeight="1">
      <c r="A771" s="84"/>
      <c r="B771" s="113"/>
      <c r="C771" s="84"/>
      <c r="D771" s="95" t="str">
        <f>IFERROR(VLOOKUP(B771,'02. MM-KLH'!$B$6:$T$823,3,0),"")</f>
        <v/>
      </c>
      <c r="E771" s="86" t="str">
        <f>IFERROR(VLOOKUP(B771,'02. MM-KLH'!$B$6:$T$823,4,0),"")</f>
        <v/>
      </c>
      <c r="F771" s="931"/>
      <c r="G771" s="86" t="str">
        <f>IFERROR(VLOOKUP(B771,'02. MM-KLH'!$B$6:$T$823,6,0),"")</f>
        <v/>
      </c>
      <c r="H771" s="932"/>
      <c r="I771" s="80" t="str">
        <f>IFERROR(VLOOKUP(B771,'02. MM-KLH'!$B$6:$T$823,8,0),"")</f>
        <v/>
      </c>
      <c r="J771" s="99" t="str">
        <f>IFERROR(VLOOKUP(B771,'02. MM-KLH'!$B$6:$T$823,9,0),"")</f>
        <v/>
      </c>
      <c r="K771" s="80" t="str">
        <f>IFERROR(VLOOKUP(B771,'02. MM-KLH'!$B$6:$T$823,10,0),"")</f>
        <v/>
      </c>
      <c r="L771" s="102" t="str">
        <f>IFERROR(VLOOKUP(B771,'02. MM-KLH'!$B$6:$T$823,11,0),"")</f>
        <v/>
      </c>
      <c r="M771" s="143" t="str">
        <f>IFERROR(VLOOKUP(B771,'02. MM-KLH'!$B$6:$T$823,12,0),"")</f>
        <v/>
      </c>
      <c r="N771" s="108" t="str">
        <f>IFERROR(VLOOKUP(B771,'02. MM-KLH'!$B$6:$T$823,13,0),"")</f>
        <v/>
      </c>
      <c r="O771" s="108" t="str">
        <f>IFERROR(VLOOKUP(B771,'02. MM-KLH'!$B$6:$T$823,14,0),"")</f>
        <v/>
      </c>
      <c r="P771" s="80" t="str">
        <f>IFERROR(VLOOKUP(B771,'02. MM-KLH'!$B$6:$T$823,15,0),"")</f>
        <v/>
      </c>
      <c r="Q771" s="80" t="str">
        <f>IFERROR(VLOOKUP(B771,'02. MM-KLH'!$B$6:$T$823,16,0),"")</f>
        <v/>
      </c>
      <c r="R771" s="106" t="str">
        <f>IFERROR(VLOOKUP(B771,'02. MM-KLH'!$B$6:$T$823,17,0),"")</f>
        <v/>
      </c>
      <c r="S771" s="108" t="str">
        <f>IFERROR(VLOOKUP(B771,'02. MM-KLH'!$B$6:$T$823,18,0),"")</f>
        <v/>
      </c>
      <c r="T771" s="110" t="str">
        <f>IFERROR(VLOOKUP(B771,'02. MM-KLH'!$B$6:$T$823,19,0),"")</f>
        <v/>
      </c>
      <c r="U771" s="130"/>
    </row>
    <row r="772" ht="13.5" customHeight="1">
      <c r="A772" s="84"/>
      <c r="B772" s="113"/>
      <c r="C772" s="84"/>
      <c r="D772" s="95" t="str">
        <f>IFERROR(VLOOKUP(B772,'02. MM-KLH'!$B$6:$T$823,3,0),"")</f>
        <v/>
      </c>
      <c r="E772" s="86" t="str">
        <f>IFERROR(VLOOKUP(B772,'02. MM-KLH'!$B$6:$T$823,4,0),"")</f>
        <v/>
      </c>
      <c r="F772" s="931"/>
      <c r="G772" s="86" t="str">
        <f>IFERROR(VLOOKUP(B772,'02. MM-KLH'!$B$6:$T$823,6,0),"")</f>
        <v/>
      </c>
      <c r="H772" s="932"/>
      <c r="I772" s="80" t="str">
        <f>IFERROR(VLOOKUP(B772,'02. MM-KLH'!$B$6:$T$823,8,0),"")</f>
        <v/>
      </c>
      <c r="J772" s="99" t="str">
        <f>IFERROR(VLOOKUP(B772,'02. MM-KLH'!$B$6:$T$823,9,0),"")</f>
        <v/>
      </c>
      <c r="K772" s="80" t="str">
        <f>IFERROR(VLOOKUP(B772,'02. MM-KLH'!$B$6:$T$823,10,0),"")</f>
        <v/>
      </c>
      <c r="L772" s="102" t="str">
        <f>IFERROR(VLOOKUP(B772,'02. MM-KLH'!$B$6:$T$823,11,0),"")</f>
        <v/>
      </c>
      <c r="M772" s="143" t="str">
        <f>IFERROR(VLOOKUP(B772,'02. MM-KLH'!$B$6:$T$823,12,0),"")</f>
        <v/>
      </c>
      <c r="N772" s="108" t="str">
        <f>IFERROR(VLOOKUP(B772,'02. MM-KLH'!$B$6:$T$823,13,0),"")</f>
        <v/>
      </c>
      <c r="O772" s="108" t="str">
        <f>IFERROR(VLOOKUP(B772,'02. MM-KLH'!$B$6:$T$823,14,0),"")</f>
        <v/>
      </c>
      <c r="P772" s="80" t="str">
        <f>IFERROR(VLOOKUP(B772,'02. MM-KLH'!$B$6:$T$823,15,0),"")</f>
        <v/>
      </c>
      <c r="Q772" s="80" t="str">
        <f>IFERROR(VLOOKUP(B772,'02. MM-KLH'!$B$6:$T$823,16,0),"")</f>
        <v/>
      </c>
      <c r="R772" s="106" t="str">
        <f>IFERROR(VLOOKUP(B772,'02. MM-KLH'!$B$6:$T$823,17,0),"")</f>
        <v/>
      </c>
      <c r="S772" s="108" t="str">
        <f>IFERROR(VLOOKUP(B772,'02. MM-KLH'!$B$6:$T$823,18,0),"")</f>
        <v/>
      </c>
      <c r="T772" s="110" t="str">
        <f>IFERROR(VLOOKUP(B772,'02. MM-KLH'!$B$6:$T$823,19,0),"")</f>
        <v/>
      </c>
      <c r="U772" s="130"/>
    </row>
    <row r="773" ht="13.5" customHeight="1">
      <c r="A773" s="84"/>
      <c r="B773" s="113"/>
      <c r="C773" s="84"/>
      <c r="D773" s="95" t="str">
        <f>IFERROR(VLOOKUP(B773,'02. MM-KLH'!$B$6:$T$823,3,0),"")</f>
        <v/>
      </c>
      <c r="E773" s="86" t="str">
        <f>IFERROR(VLOOKUP(B773,'02. MM-KLH'!$B$6:$T$823,4,0),"")</f>
        <v/>
      </c>
      <c r="F773" s="931"/>
      <c r="G773" s="86" t="str">
        <f>IFERROR(VLOOKUP(B773,'02. MM-KLH'!$B$6:$T$823,6,0),"")</f>
        <v/>
      </c>
      <c r="H773" s="932"/>
      <c r="I773" s="80" t="str">
        <f>IFERROR(VLOOKUP(B773,'02. MM-KLH'!$B$6:$T$823,8,0),"")</f>
        <v/>
      </c>
      <c r="J773" s="99" t="str">
        <f>IFERROR(VLOOKUP(B773,'02. MM-KLH'!$B$6:$T$823,9,0),"")</f>
        <v/>
      </c>
      <c r="K773" s="80" t="str">
        <f>IFERROR(VLOOKUP(B773,'02. MM-KLH'!$B$6:$T$823,10,0),"")</f>
        <v/>
      </c>
      <c r="L773" s="102" t="str">
        <f>IFERROR(VLOOKUP(B773,'02. MM-KLH'!$B$6:$T$823,11,0),"")</f>
        <v/>
      </c>
      <c r="M773" s="143" t="str">
        <f>IFERROR(VLOOKUP(B773,'02. MM-KLH'!$B$6:$T$823,12,0),"")</f>
        <v/>
      </c>
      <c r="N773" s="108" t="str">
        <f>IFERROR(VLOOKUP(B773,'02. MM-KLH'!$B$6:$T$823,13,0),"")</f>
        <v/>
      </c>
      <c r="O773" s="108" t="str">
        <f>IFERROR(VLOOKUP(B773,'02. MM-KLH'!$B$6:$T$823,14,0),"")</f>
        <v/>
      </c>
      <c r="P773" s="80" t="str">
        <f>IFERROR(VLOOKUP(B773,'02. MM-KLH'!$B$6:$T$823,15,0),"")</f>
        <v/>
      </c>
      <c r="Q773" s="80" t="str">
        <f>IFERROR(VLOOKUP(B773,'02. MM-KLH'!$B$6:$T$823,16,0),"")</f>
        <v/>
      </c>
      <c r="R773" s="106" t="str">
        <f>IFERROR(VLOOKUP(B773,'02. MM-KLH'!$B$6:$T$823,17,0),"")</f>
        <v/>
      </c>
      <c r="S773" s="108" t="str">
        <f>IFERROR(VLOOKUP(B773,'02. MM-KLH'!$B$6:$T$823,18,0),"")</f>
        <v/>
      </c>
      <c r="T773" s="110" t="str">
        <f>IFERROR(VLOOKUP(B773,'02. MM-KLH'!$B$6:$T$823,19,0),"")</f>
        <v/>
      </c>
      <c r="U773" s="130"/>
    </row>
    <row r="774" ht="13.5" customHeight="1">
      <c r="A774" s="84"/>
      <c r="B774" s="113"/>
      <c r="C774" s="84"/>
      <c r="D774" s="95" t="str">
        <f>IFERROR(VLOOKUP(B774,'02. MM-KLH'!$B$6:$T$823,3,0),"")</f>
        <v/>
      </c>
      <c r="E774" s="86" t="str">
        <f>IFERROR(VLOOKUP(B774,'02. MM-KLH'!$B$6:$T$823,4,0),"")</f>
        <v/>
      </c>
      <c r="F774" s="931"/>
      <c r="G774" s="86" t="str">
        <f>IFERROR(VLOOKUP(B774,'02. MM-KLH'!$B$6:$T$823,6,0),"")</f>
        <v/>
      </c>
      <c r="H774" s="932"/>
      <c r="I774" s="80" t="str">
        <f>IFERROR(VLOOKUP(B774,'02. MM-KLH'!$B$6:$T$823,8,0),"")</f>
        <v/>
      </c>
      <c r="J774" s="99" t="str">
        <f>IFERROR(VLOOKUP(B774,'02. MM-KLH'!$B$6:$T$823,9,0),"")</f>
        <v/>
      </c>
      <c r="K774" s="80" t="str">
        <f>IFERROR(VLOOKUP(B774,'02. MM-KLH'!$B$6:$T$823,10,0),"")</f>
        <v/>
      </c>
      <c r="L774" s="102" t="str">
        <f>IFERROR(VLOOKUP(B774,'02. MM-KLH'!$B$6:$T$823,11,0),"")</f>
        <v/>
      </c>
      <c r="M774" s="143" t="str">
        <f>IFERROR(VLOOKUP(B774,'02. MM-KLH'!$B$6:$T$823,12,0),"")</f>
        <v/>
      </c>
      <c r="N774" s="108" t="str">
        <f>IFERROR(VLOOKUP(B774,'02. MM-KLH'!$B$6:$T$823,13,0),"")</f>
        <v/>
      </c>
      <c r="O774" s="108" t="str">
        <f>IFERROR(VLOOKUP(B774,'02. MM-KLH'!$B$6:$T$823,14,0),"")</f>
        <v/>
      </c>
      <c r="P774" s="80" t="str">
        <f>IFERROR(VLOOKUP(B774,'02. MM-KLH'!$B$6:$T$823,15,0),"")</f>
        <v/>
      </c>
      <c r="Q774" s="80" t="str">
        <f>IFERROR(VLOOKUP(B774,'02. MM-KLH'!$B$6:$T$823,16,0),"")</f>
        <v/>
      </c>
      <c r="R774" s="106" t="str">
        <f>IFERROR(VLOOKUP(B774,'02. MM-KLH'!$B$6:$T$823,17,0),"")</f>
        <v/>
      </c>
      <c r="S774" s="108" t="str">
        <f>IFERROR(VLOOKUP(B774,'02. MM-KLH'!$B$6:$T$823,18,0),"")</f>
        <v/>
      </c>
      <c r="T774" s="110" t="str">
        <f>IFERROR(VLOOKUP(B774,'02. MM-KLH'!$B$6:$T$823,19,0),"")</f>
        <v/>
      </c>
      <c r="U774" s="130"/>
    </row>
    <row r="775" ht="13.5" customHeight="1">
      <c r="A775" s="84"/>
      <c r="B775" s="113"/>
      <c r="C775" s="84"/>
      <c r="D775" s="95" t="str">
        <f>IFERROR(VLOOKUP(B775,'02. MM-KLH'!$B$6:$T$823,3,0),"")</f>
        <v/>
      </c>
      <c r="E775" s="86" t="str">
        <f>IFERROR(VLOOKUP(B775,'02. MM-KLH'!$B$6:$T$823,4,0),"")</f>
        <v/>
      </c>
      <c r="F775" s="931"/>
      <c r="G775" s="86" t="str">
        <f>IFERROR(VLOOKUP(B775,'02. MM-KLH'!$B$6:$T$823,6,0),"")</f>
        <v/>
      </c>
      <c r="H775" s="932"/>
      <c r="I775" s="80" t="str">
        <f>IFERROR(VLOOKUP(B775,'02. MM-KLH'!$B$6:$T$823,8,0),"")</f>
        <v/>
      </c>
      <c r="J775" s="99" t="str">
        <f>IFERROR(VLOOKUP(B775,'02. MM-KLH'!$B$6:$T$823,9,0),"")</f>
        <v/>
      </c>
      <c r="K775" s="80" t="str">
        <f>IFERROR(VLOOKUP(B775,'02. MM-KLH'!$B$6:$T$823,10,0),"")</f>
        <v/>
      </c>
      <c r="L775" s="102" t="str">
        <f>IFERROR(VLOOKUP(B775,'02. MM-KLH'!$B$6:$T$823,11,0),"")</f>
        <v/>
      </c>
      <c r="M775" s="143" t="str">
        <f>IFERROR(VLOOKUP(B775,'02. MM-KLH'!$B$6:$T$823,12,0),"")</f>
        <v/>
      </c>
      <c r="N775" s="108" t="str">
        <f>IFERROR(VLOOKUP(B775,'02. MM-KLH'!$B$6:$T$823,13,0),"")</f>
        <v/>
      </c>
      <c r="O775" s="108" t="str">
        <f>IFERROR(VLOOKUP(B775,'02. MM-KLH'!$B$6:$T$823,14,0),"")</f>
        <v/>
      </c>
      <c r="P775" s="80" t="str">
        <f>IFERROR(VLOOKUP(B775,'02. MM-KLH'!$B$6:$T$823,15,0),"")</f>
        <v/>
      </c>
      <c r="Q775" s="80" t="str">
        <f>IFERROR(VLOOKUP(B775,'02. MM-KLH'!$B$6:$T$823,16,0),"")</f>
        <v/>
      </c>
      <c r="R775" s="106" t="str">
        <f>IFERROR(VLOOKUP(B775,'02. MM-KLH'!$B$6:$T$823,17,0),"")</f>
        <v/>
      </c>
      <c r="S775" s="108" t="str">
        <f>IFERROR(VLOOKUP(B775,'02. MM-KLH'!$B$6:$T$823,18,0),"")</f>
        <v/>
      </c>
      <c r="T775" s="110" t="str">
        <f>IFERROR(VLOOKUP(B775,'02. MM-KLH'!$B$6:$T$823,19,0),"")</f>
        <v/>
      </c>
      <c r="U775" s="130"/>
    </row>
    <row r="776" ht="13.5" customHeight="1">
      <c r="A776" s="84"/>
      <c r="B776" s="113"/>
      <c r="C776" s="84"/>
      <c r="D776" s="95" t="str">
        <f>IFERROR(VLOOKUP(B776,'02. MM-KLH'!$B$6:$T$823,3,0),"")</f>
        <v/>
      </c>
      <c r="E776" s="86" t="str">
        <f>IFERROR(VLOOKUP(B776,'02. MM-KLH'!$B$6:$T$823,4,0),"")</f>
        <v/>
      </c>
      <c r="F776" s="931"/>
      <c r="G776" s="86" t="str">
        <f>IFERROR(VLOOKUP(B776,'02. MM-KLH'!$B$6:$T$823,6,0),"")</f>
        <v/>
      </c>
      <c r="H776" s="932"/>
      <c r="I776" s="80" t="str">
        <f>IFERROR(VLOOKUP(B776,'02. MM-KLH'!$B$6:$T$823,8,0),"")</f>
        <v/>
      </c>
      <c r="J776" s="99" t="str">
        <f>IFERROR(VLOOKUP(B776,'02. MM-KLH'!$B$6:$T$823,9,0),"")</f>
        <v/>
      </c>
      <c r="K776" s="80" t="str">
        <f>IFERROR(VLOOKUP(B776,'02. MM-KLH'!$B$6:$T$823,10,0),"")</f>
        <v/>
      </c>
      <c r="L776" s="102" t="str">
        <f>IFERROR(VLOOKUP(B776,'02. MM-KLH'!$B$6:$T$823,11,0),"")</f>
        <v/>
      </c>
      <c r="M776" s="143" t="str">
        <f>IFERROR(VLOOKUP(B776,'02. MM-KLH'!$B$6:$T$823,12,0),"")</f>
        <v/>
      </c>
      <c r="N776" s="108" t="str">
        <f>IFERROR(VLOOKUP(B776,'02. MM-KLH'!$B$6:$T$823,13,0),"")</f>
        <v/>
      </c>
      <c r="O776" s="108" t="str">
        <f>IFERROR(VLOOKUP(B776,'02. MM-KLH'!$B$6:$T$823,14,0),"")</f>
        <v/>
      </c>
      <c r="P776" s="80" t="str">
        <f>IFERROR(VLOOKUP(B776,'02. MM-KLH'!$B$6:$T$823,15,0),"")</f>
        <v/>
      </c>
      <c r="Q776" s="80" t="str">
        <f>IFERROR(VLOOKUP(B776,'02. MM-KLH'!$B$6:$T$823,16,0),"")</f>
        <v/>
      </c>
      <c r="R776" s="106" t="str">
        <f>IFERROR(VLOOKUP(B776,'02. MM-KLH'!$B$6:$T$823,17,0),"")</f>
        <v/>
      </c>
      <c r="S776" s="108" t="str">
        <f>IFERROR(VLOOKUP(B776,'02. MM-KLH'!$B$6:$T$823,18,0),"")</f>
        <v/>
      </c>
      <c r="T776" s="110" t="str">
        <f>IFERROR(VLOOKUP(B776,'02. MM-KLH'!$B$6:$T$823,19,0),"")</f>
        <v/>
      </c>
      <c r="U776" s="130"/>
    </row>
    <row r="777" ht="13.5" customHeight="1">
      <c r="A777" s="84"/>
      <c r="B777" s="113"/>
      <c r="C777" s="84"/>
      <c r="D777" s="95" t="str">
        <f>IFERROR(VLOOKUP(B777,'02. MM-KLH'!$B$6:$T$823,3,0),"")</f>
        <v/>
      </c>
      <c r="E777" s="86" t="str">
        <f>IFERROR(VLOOKUP(B777,'02. MM-KLH'!$B$6:$T$823,4,0),"")</f>
        <v/>
      </c>
      <c r="F777" s="931"/>
      <c r="G777" s="86" t="str">
        <f>IFERROR(VLOOKUP(B777,'02. MM-KLH'!$B$6:$T$823,6,0),"")</f>
        <v/>
      </c>
      <c r="H777" s="932"/>
      <c r="I777" s="80" t="str">
        <f>IFERROR(VLOOKUP(B777,'02. MM-KLH'!$B$6:$T$823,8,0),"")</f>
        <v/>
      </c>
      <c r="J777" s="99" t="str">
        <f>IFERROR(VLOOKUP(B777,'02. MM-KLH'!$B$6:$T$823,9,0),"")</f>
        <v/>
      </c>
      <c r="K777" s="80" t="str">
        <f>IFERROR(VLOOKUP(B777,'02. MM-KLH'!$B$6:$T$823,10,0),"")</f>
        <v/>
      </c>
      <c r="L777" s="102" t="str">
        <f>IFERROR(VLOOKUP(B777,'02. MM-KLH'!$B$6:$T$823,11,0),"")</f>
        <v/>
      </c>
      <c r="M777" s="143" t="str">
        <f>IFERROR(VLOOKUP(B777,'02. MM-KLH'!$B$6:$T$823,12,0),"")</f>
        <v/>
      </c>
      <c r="N777" s="108" t="str">
        <f>IFERROR(VLOOKUP(B777,'02. MM-KLH'!$B$6:$T$823,13,0),"")</f>
        <v/>
      </c>
      <c r="O777" s="108" t="str">
        <f>IFERROR(VLOOKUP(B777,'02. MM-KLH'!$B$6:$T$823,14,0),"")</f>
        <v/>
      </c>
      <c r="P777" s="80" t="str">
        <f>IFERROR(VLOOKUP(B777,'02. MM-KLH'!$B$6:$T$823,15,0),"")</f>
        <v/>
      </c>
      <c r="Q777" s="80" t="str">
        <f>IFERROR(VLOOKUP(B777,'02. MM-KLH'!$B$6:$T$823,16,0),"")</f>
        <v/>
      </c>
      <c r="R777" s="106" t="str">
        <f>IFERROR(VLOOKUP(B777,'02. MM-KLH'!$B$6:$T$823,17,0),"")</f>
        <v/>
      </c>
      <c r="S777" s="108" t="str">
        <f>IFERROR(VLOOKUP(B777,'02. MM-KLH'!$B$6:$T$823,18,0),"")</f>
        <v/>
      </c>
      <c r="T777" s="110" t="str">
        <f>IFERROR(VLOOKUP(B777,'02. MM-KLH'!$B$6:$T$823,19,0),"")</f>
        <v/>
      </c>
      <c r="U777" s="130"/>
    </row>
    <row r="778" ht="13.5" customHeight="1">
      <c r="A778" s="84"/>
      <c r="B778" s="113"/>
      <c r="C778" s="84"/>
      <c r="D778" s="95" t="str">
        <f>IFERROR(VLOOKUP(B778,'02. MM-KLH'!$B$6:$T$823,3,0),"")</f>
        <v/>
      </c>
      <c r="E778" s="86" t="str">
        <f>IFERROR(VLOOKUP(B778,'02. MM-KLH'!$B$6:$T$823,4,0),"")</f>
        <v/>
      </c>
      <c r="F778" s="931"/>
      <c r="G778" s="86" t="str">
        <f>IFERROR(VLOOKUP(B778,'02. MM-KLH'!$B$6:$T$823,6,0),"")</f>
        <v/>
      </c>
      <c r="H778" s="932"/>
      <c r="I778" s="80" t="str">
        <f>IFERROR(VLOOKUP(B778,'02. MM-KLH'!$B$6:$T$823,8,0),"")</f>
        <v/>
      </c>
      <c r="J778" s="99" t="str">
        <f>IFERROR(VLOOKUP(B778,'02. MM-KLH'!$B$6:$T$823,9,0),"")</f>
        <v/>
      </c>
      <c r="K778" s="80" t="str">
        <f>IFERROR(VLOOKUP(B778,'02. MM-KLH'!$B$6:$T$823,10,0),"")</f>
        <v/>
      </c>
      <c r="L778" s="102" t="str">
        <f>IFERROR(VLOOKUP(B778,'02. MM-KLH'!$B$6:$T$823,11,0),"")</f>
        <v/>
      </c>
      <c r="M778" s="143" t="str">
        <f>IFERROR(VLOOKUP(B778,'02. MM-KLH'!$B$6:$T$823,12,0),"")</f>
        <v/>
      </c>
      <c r="N778" s="108" t="str">
        <f>IFERROR(VLOOKUP(B778,'02. MM-KLH'!$B$6:$T$823,13,0),"")</f>
        <v/>
      </c>
      <c r="O778" s="108" t="str">
        <f>IFERROR(VLOOKUP(B778,'02. MM-KLH'!$B$6:$T$823,14,0),"")</f>
        <v/>
      </c>
      <c r="P778" s="80" t="str">
        <f>IFERROR(VLOOKUP(B778,'02. MM-KLH'!$B$6:$T$823,15,0),"")</f>
        <v/>
      </c>
      <c r="Q778" s="80" t="str">
        <f>IFERROR(VLOOKUP(B778,'02. MM-KLH'!$B$6:$T$823,16,0),"")</f>
        <v/>
      </c>
      <c r="R778" s="106" t="str">
        <f>IFERROR(VLOOKUP(B778,'02. MM-KLH'!$B$6:$T$823,17,0),"")</f>
        <v/>
      </c>
      <c r="S778" s="108" t="str">
        <f>IFERROR(VLOOKUP(B778,'02. MM-KLH'!$B$6:$T$823,18,0),"")</f>
        <v/>
      </c>
      <c r="T778" s="110" t="str">
        <f>IFERROR(VLOOKUP(B778,'02. MM-KLH'!$B$6:$T$823,19,0),"")</f>
        <v/>
      </c>
      <c r="U778" s="130"/>
    </row>
    <row r="779" ht="13.5" customHeight="1">
      <c r="A779" s="84"/>
      <c r="B779" s="113"/>
      <c r="C779" s="84"/>
      <c r="D779" s="95" t="str">
        <f>IFERROR(VLOOKUP(B779,'02. MM-KLH'!$B$6:$T$823,3,0),"")</f>
        <v/>
      </c>
      <c r="E779" s="86" t="str">
        <f>IFERROR(VLOOKUP(B779,'02. MM-KLH'!$B$6:$T$823,4,0),"")</f>
        <v/>
      </c>
      <c r="F779" s="931"/>
      <c r="G779" s="86" t="str">
        <f>IFERROR(VLOOKUP(B779,'02. MM-KLH'!$B$6:$T$823,6,0),"")</f>
        <v/>
      </c>
      <c r="H779" s="932"/>
      <c r="I779" s="80" t="str">
        <f>IFERROR(VLOOKUP(B779,'02. MM-KLH'!$B$6:$T$823,8,0),"")</f>
        <v/>
      </c>
      <c r="J779" s="99" t="str">
        <f>IFERROR(VLOOKUP(B779,'02. MM-KLH'!$B$6:$T$823,9,0),"")</f>
        <v/>
      </c>
      <c r="K779" s="80" t="str">
        <f>IFERROR(VLOOKUP(B779,'02. MM-KLH'!$B$6:$T$823,10,0),"")</f>
        <v/>
      </c>
      <c r="L779" s="102" t="str">
        <f>IFERROR(VLOOKUP(B779,'02. MM-KLH'!$B$6:$T$823,11,0),"")</f>
        <v/>
      </c>
      <c r="M779" s="143" t="str">
        <f>IFERROR(VLOOKUP(B779,'02. MM-KLH'!$B$6:$T$823,12,0),"")</f>
        <v/>
      </c>
      <c r="N779" s="108" t="str">
        <f>IFERROR(VLOOKUP(B779,'02. MM-KLH'!$B$6:$T$823,13,0),"")</f>
        <v/>
      </c>
      <c r="O779" s="108" t="str">
        <f>IFERROR(VLOOKUP(B779,'02. MM-KLH'!$B$6:$T$823,14,0),"")</f>
        <v/>
      </c>
      <c r="P779" s="80" t="str">
        <f>IFERROR(VLOOKUP(B779,'02. MM-KLH'!$B$6:$T$823,15,0),"")</f>
        <v/>
      </c>
      <c r="Q779" s="80" t="str">
        <f>IFERROR(VLOOKUP(B779,'02. MM-KLH'!$B$6:$T$823,16,0),"")</f>
        <v/>
      </c>
      <c r="R779" s="106" t="str">
        <f>IFERROR(VLOOKUP(B779,'02. MM-KLH'!$B$6:$T$823,17,0),"")</f>
        <v/>
      </c>
      <c r="S779" s="108" t="str">
        <f>IFERROR(VLOOKUP(B779,'02. MM-KLH'!$B$6:$T$823,18,0),"")</f>
        <v/>
      </c>
      <c r="T779" s="110" t="str">
        <f>IFERROR(VLOOKUP(B779,'02. MM-KLH'!$B$6:$T$823,19,0),"")</f>
        <v/>
      </c>
      <c r="U779" s="130"/>
    </row>
    <row r="780" ht="13.5" customHeight="1">
      <c r="A780" s="84"/>
      <c r="B780" s="113"/>
      <c r="C780" s="84"/>
      <c r="D780" s="95" t="str">
        <f>IFERROR(VLOOKUP(B780,'02. MM-KLH'!$B$6:$T$823,3,0),"")</f>
        <v/>
      </c>
      <c r="E780" s="86" t="str">
        <f>IFERROR(VLOOKUP(B780,'02. MM-KLH'!$B$6:$T$823,4,0),"")</f>
        <v/>
      </c>
      <c r="F780" s="931"/>
      <c r="G780" s="86" t="str">
        <f>IFERROR(VLOOKUP(B780,'02. MM-KLH'!$B$6:$T$823,6,0),"")</f>
        <v/>
      </c>
      <c r="H780" s="932"/>
      <c r="I780" s="80" t="str">
        <f>IFERROR(VLOOKUP(B780,'02. MM-KLH'!$B$6:$T$823,8,0),"")</f>
        <v/>
      </c>
      <c r="J780" s="99" t="str">
        <f>IFERROR(VLOOKUP(B780,'02. MM-KLH'!$B$6:$T$823,9,0),"")</f>
        <v/>
      </c>
      <c r="K780" s="80" t="str">
        <f>IFERROR(VLOOKUP(B780,'02. MM-KLH'!$B$6:$T$823,10,0),"")</f>
        <v/>
      </c>
      <c r="L780" s="102" t="str">
        <f>IFERROR(VLOOKUP(B780,'02. MM-KLH'!$B$6:$T$823,11,0),"")</f>
        <v/>
      </c>
      <c r="M780" s="143" t="str">
        <f>IFERROR(VLOOKUP(B780,'02. MM-KLH'!$B$6:$T$823,12,0),"")</f>
        <v/>
      </c>
      <c r="N780" s="108" t="str">
        <f>IFERROR(VLOOKUP(B780,'02. MM-KLH'!$B$6:$T$823,13,0),"")</f>
        <v/>
      </c>
      <c r="O780" s="108" t="str">
        <f>IFERROR(VLOOKUP(B780,'02. MM-KLH'!$B$6:$T$823,14,0),"")</f>
        <v/>
      </c>
      <c r="P780" s="80" t="str">
        <f>IFERROR(VLOOKUP(B780,'02. MM-KLH'!$B$6:$T$823,15,0),"")</f>
        <v/>
      </c>
      <c r="Q780" s="80" t="str">
        <f>IFERROR(VLOOKUP(B780,'02. MM-KLH'!$B$6:$T$823,16,0),"")</f>
        <v/>
      </c>
      <c r="R780" s="106" t="str">
        <f>IFERROR(VLOOKUP(B780,'02. MM-KLH'!$B$6:$T$823,17,0),"")</f>
        <v/>
      </c>
      <c r="S780" s="108" t="str">
        <f>IFERROR(VLOOKUP(B780,'02. MM-KLH'!$B$6:$T$823,18,0),"")</f>
        <v/>
      </c>
      <c r="T780" s="110" t="str">
        <f>IFERROR(VLOOKUP(B780,'02. MM-KLH'!$B$6:$T$823,19,0),"")</f>
        <v/>
      </c>
      <c r="U780" s="130"/>
    </row>
    <row r="781" ht="13.5" customHeight="1">
      <c r="A781" s="84"/>
      <c r="B781" s="113"/>
      <c r="C781" s="84"/>
      <c r="D781" s="95" t="str">
        <f>IFERROR(VLOOKUP(B781,'02. MM-KLH'!$B$6:$T$823,3,0),"")</f>
        <v/>
      </c>
      <c r="E781" s="86" t="str">
        <f>IFERROR(VLOOKUP(B781,'02. MM-KLH'!$B$6:$T$823,4,0),"")</f>
        <v/>
      </c>
      <c r="F781" s="931"/>
      <c r="G781" s="86" t="str">
        <f>IFERROR(VLOOKUP(B781,'02. MM-KLH'!$B$6:$T$823,6,0),"")</f>
        <v/>
      </c>
      <c r="H781" s="932"/>
      <c r="I781" s="80" t="str">
        <f>IFERROR(VLOOKUP(B781,'02. MM-KLH'!$B$6:$T$823,8,0),"")</f>
        <v/>
      </c>
      <c r="J781" s="99" t="str">
        <f>IFERROR(VLOOKUP(B781,'02. MM-KLH'!$B$6:$T$823,9,0),"")</f>
        <v/>
      </c>
      <c r="K781" s="80" t="str">
        <f>IFERROR(VLOOKUP(B781,'02. MM-KLH'!$B$6:$T$823,10,0),"")</f>
        <v/>
      </c>
      <c r="L781" s="102" t="str">
        <f>IFERROR(VLOOKUP(B781,'02. MM-KLH'!$B$6:$T$823,11,0),"")</f>
        <v/>
      </c>
      <c r="M781" s="143" t="str">
        <f>IFERROR(VLOOKUP(B781,'02. MM-KLH'!$B$6:$T$823,12,0),"")</f>
        <v/>
      </c>
      <c r="N781" s="108" t="str">
        <f>IFERROR(VLOOKUP(B781,'02. MM-KLH'!$B$6:$T$823,13,0),"")</f>
        <v/>
      </c>
      <c r="O781" s="108" t="str">
        <f>IFERROR(VLOOKUP(B781,'02. MM-KLH'!$B$6:$T$823,14,0),"")</f>
        <v/>
      </c>
      <c r="P781" s="80" t="str">
        <f>IFERROR(VLOOKUP(B781,'02. MM-KLH'!$B$6:$T$823,15,0),"")</f>
        <v/>
      </c>
      <c r="Q781" s="80" t="str">
        <f>IFERROR(VLOOKUP(B781,'02. MM-KLH'!$B$6:$T$823,16,0),"")</f>
        <v/>
      </c>
      <c r="R781" s="106" t="str">
        <f>IFERROR(VLOOKUP(B781,'02. MM-KLH'!$B$6:$T$823,17,0),"")</f>
        <v/>
      </c>
      <c r="S781" s="108" t="str">
        <f>IFERROR(VLOOKUP(B781,'02. MM-KLH'!$B$6:$T$823,18,0),"")</f>
        <v/>
      </c>
      <c r="T781" s="110" t="str">
        <f>IFERROR(VLOOKUP(B781,'02. MM-KLH'!$B$6:$T$823,19,0),"")</f>
        <v/>
      </c>
      <c r="U781" s="130"/>
    </row>
    <row r="782" ht="13.5" customHeight="1">
      <c r="A782" s="84"/>
      <c r="B782" s="113"/>
      <c r="C782" s="84"/>
      <c r="D782" s="95" t="str">
        <f>IFERROR(VLOOKUP(B782,'02. MM-KLH'!$B$6:$T$823,3,0),"")</f>
        <v/>
      </c>
      <c r="E782" s="86" t="str">
        <f>IFERROR(VLOOKUP(B782,'02. MM-KLH'!$B$6:$T$823,4,0),"")</f>
        <v/>
      </c>
      <c r="F782" s="931"/>
      <c r="G782" s="86" t="str">
        <f>IFERROR(VLOOKUP(B782,'02. MM-KLH'!$B$6:$T$823,6,0),"")</f>
        <v/>
      </c>
      <c r="H782" s="932"/>
      <c r="I782" s="80" t="str">
        <f>IFERROR(VLOOKUP(B782,'02. MM-KLH'!$B$6:$T$823,8,0),"")</f>
        <v/>
      </c>
      <c r="J782" s="99" t="str">
        <f>IFERROR(VLOOKUP(B782,'02. MM-KLH'!$B$6:$T$823,9,0),"")</f>
        <v/>
      </c>
      <c r="K782" s="80" t="str">
        <f>IFERROR(VLOOKUP(B782,'02. MM-KLH'!$B$6:$T$823,10,0),"")</f>
        <v/>
      </c>
      <c r="L782" s="102" t="str">
        <f>IFERROR(VLOOKUP(B782,'02. MM-KLH'!$B$6:$T$823,11,0),"")</f>
        <v/>
      </c>
      <c r="M782" s="143" t="str">
        <f>IFERROR(VLOOKUP(B782,'02. MM-KLH'!$B$6:$T$823,12,0),"")</f>
        <v/>
      </c>
      <c r="N782" s="108" t="str">
        <f>IFERROR(VLOOKUP(B782,'02. MM-KLH'!$B$6:$T$823,13,0),"")</f>
        <v/>
      </c>
      <c r="O782" s="108" t="str">
        <f>IFERROR(VLOOKUP(B782,'02. MM-KLH'!$B$6:$T$823,14,0),"")</f>
        <v/>
      </c>
      <c r="P782" s="80" t="str">
        <f>IFERROR(VLOOKUP(B782,'02. MM-KLH'!$B$6:$T$823,15,0),"")</f>
        <v/>
      </c>
      <c r="Q782" s="80" t="str">
        <f>IFERROR(VLOOKUP(B782,'02. MM-KLH'!$B$6:$T$823,16,0),"")</f>
        <v/>
      </c>
      <c r="R782" s="106" t="str">
        <f>IFERROR(VLOOKUP(B782,'02. MM-KLH'!$B$6:$T$823,17,0),"")</f>
        <v/>
      </c>
      <c r="S782" s="108" t="str">
        <f>IFERROR(VLOOKUP(B782,'02. MM-KLH'!$B$6:$T$823,18,0),"")</f>
        <v/>
      </c>
      <c r="T782" s="110" t="str">
        <f>IFERROR(VLOOKUP(B782,'02. MM-KLH'!$B$6:$T$823,19,0),"")</f>
        <v/>
      </c>
      <c r="U782" s="130"/>
    </row>
    <row r="783" ht="13.5" customHeight="1">
      <c r="A783" s="84"/>
      <c r="B783" s="113"/>
      <c r="C783" s="84"/>
      <c r="D783" s="95" t="str">
        <f>IFERROR(VLOOKUP(B783,'02. MM-KLH'!$B$6:$T$823,3,0),"")</f>
        <v/>
      </c>
      <c r="E783" s="86" t="str">
        <f>IFERROR(VLOOKUP(B783,'02. MM-KLH'!$B$6:$T$823,4,0),"")</f>
        <v/>
      </c>
      <c r="F783" s="931"/>
      <c r="G783" s="86" t="str">
        <f>IFERROR(VLOOKUP(B783,'02. MM-KLH'!$B$6:$T$823,6,0),"")</f>
        <v/>
      </c>
      <c r="H783" s="932"/>
      <c r="I783" s="80" t="str">
        <f>IFERROR(VLOOKUP(B783,'02. MM-KLH'!$B$6:$T$823,8,0),"")</f>
        <v/>
      </c>
      <c r="J783" s="99" t="str">
        <f>IFERROR(VLOOKUP(B783,'02. MM-KLH'!$B$6:$T$823,9,0),"")</f>
        <v/>
      </c>
      <c r="K783" s="80" t="str">
        <f>IFERROR(VLOOKUP(B783,'02. MM-KLH'!$B$6:$T$823,10,0),"")</f>
        <v/>
      </c>
      <c r="L783" s="102" t="str">
        <f>IFERROR(VLOOKUP(B783,'02. MM-KLH'!$B$6:$T$823,11,0),"")</f>
        <v/>
      </c>
      <c r="M783" s="143" t="str">
        <f>IFERROR(VLOOKUP(B783,'02. MM-KLH'!$B$6:$T$823,12,0),"")</f>
        <v/>
      </c>
      <c r="N783" s="108" t="str">
        <f>IFERROR(VLOOKUP(B783,'02. MM-KLH'!$B$6:$T$823,13,0),"")</f>
        <v/>
      </c>
      <c r="O783" s="108" t="str">
        <f>IFERROR(VLOOKUP(B783,'02. MM-KLH'!$B$6:$T$823,14,0),"")</f>
        <v/>
      </c>
      <c r="P783" s="80" t="str">
        <f>IFERROR(VLOOKUP(B783,'02. MM-KLH'!$B$6:$T$823,15,0),"")</f>
        <v/>
      </c>
      <c r="Q783" s="80" t="str">
        <f>IFERROR(VLOOKUP(B783,'02. MM-KLH'!$B$6:$T$823,16,0),"")</f>
        <v/>
      </c>
      <c r="R783" s="106" t="str">
        <f>IFERROR(VLOOKUP(B783,'02. MM-KLH'!$B$6:$T$823,17,0),"")</f>
        <v/>
      </c>
      <c r="S783" s="108" t="str">
        <f>IFERROR(VLOOKUP(B783,'02. MM-KLH'!$B$6:$T$823,18,0),"")</f>
        <v/>
      </c>
      <c r="T783" s="110" t="str">
        <f>IFERROR(VLOOKUP(B783,'02. MM-KLH'!$B$6:$T$823,19,0),"")</f>
        <v/>
      </c>
      <c r="U783" s="130"/>
    </row>
    <row r="784" ht="13.5" customHeight="1">
      <c r="A784" s="84"/>
      <c r="B784" s="113"/>
      <c r="C784" s="84"/>
      <c r="D784" s="95" t="str">
        <f>IFERROR(VLOOKUP(B784,'02. MM-KLH'!$B$6:$T$823,3,0),"")</f>
        <v/>
      </c>
      <c r="E784" s="86" t="str">
        <f>IFERROR(VLOOKUP(B784,'02. MM-KLH'!$B$6:$T$823,4,0),"")</f>
        <v/>
      </c>
      <c r="F784" s="931"/>
      <c r="G784" s="86" t="str">
        <f>IFERROR(VLOOKUP(B784,'02. MM-KLH'!$B$6:$T$823,6,0),"")</f>
        <v/>
      </c>
      <c r="H784" s="932"/>
      <c r="I784" s="80" t="str">
        <f>IFERROR(VLOOKUP(B784,'02. MM-KLH'!$B$6:$T$823,8,0),"")</f>
        <v/>
      </c>
      <c r="J784" s="99" t="str">
        <f>IFERROR(VLOOKUP(B784,'02. MM-KLH'!$B$6:$T$823,9,0),"")</f>
        <v/>
      </c>
      <c r="K784" s="80" t="str">
        <f>IFERROR(VLOOKUP(B784,'02. MM-KLH'!$B$6:$T$823,10,0),"")</f>
        <v/>
      </c>
      <c r="L784" s="102" t="str">
        <f>IFERROR(VLOOKUP(B784,'02. MM-KLH'!$B$6:$T$823,11,0),"")</f>
        <v/>
      </c>
      <c r="M784" s="143" t="str">
        <f>IFERROR(VLOOKUP(B784,'02. MM-KLH'!$B$6:$T$823,12,0),"")</f>
        <v/>
      </c>
      <c r="N784" s="108" t="str">
        <f>IFERROR(VLOOKUP(B784,'02. MM-KLH'!$B$6:$T$823,13,0),"")</f>
        <v/>
      </c>
      <c r="O784" s="108" t="str">
        <f>IFERROR(VLOOKUP(B784,'02. MM-KLH'!$B$6:$T$823,14,0),"")</f>
        <v/>
      </c>
      <c r="P784" s="80" t="str">
        <f>IFERROR(VLOOKUP(B784,'02. MM-KLH'!$B$6:$T$823,15,0),"")</f>
        <v/>
      </c>
      <c r="Q784" s="80" t="str">
        <f>IFERROR(VLOOKUP(B784,'02. MM-KLH'!$B$6:$T$823,16,0),"")</f>
        <v/>
      </c>
      <c r="R784" s="106" t="str">
        <f>IFERROR(VLOOKUP(B784,'02. MM-KLH'!$B$6:$T$823,17,0),"")</f>
        <v/>
      </c>
      <c r="S784" s="108" t="str">
        <f>IFERROR(VLOOKUP(B784,'02. MM-KLH'!$B$6:$T$823,18,0),"")</f>
        <v/>
      </c>
      <c r="T784" s="110" t="str">
        <f>IFERROR(VLOOKUP(B784,'02. MM-KLH'!$B$6:$T$823,19,0),"")</f>
        <v/>
      </c>
      <c r="U784" s="130"/>
    </row>
    <row r="785" ht="13.5" customHeight="1">
      <c r="A785" s="84"/>
      <c r="B785" s="113"/>
      <c r="C785" s="84"/>
      <c r="D785" s="95" t="str">
        <f>IFERROR(VLOOKUP(B785,'02. MM-KLH'!$B$6:$T$823,3,0),"")</f>
        <v/>
      </c>
      <c r="E785" s="86" t="str">
        <f>IFERROR(VLOOKUP(B785,'02. MM-KLH'!$B$6:$T$823,4,0),"")</f>
        <v/>
      </c>
      <c r="F785" s="931"/>
      <c r="G785" s="86" t="str">
        <f>IFERROR(VLOOKUP(B785,'02. MM-KLH'!$B$6:$T$823,6,0),"")</f>
        <v/>
      </c>
      <c r="H785" s="932"/>
      <c r="I785" s="80" t="str">
        <f>IFERROR(VLOOKUP(B785,'02. MM-KLH'!$B$6:$T$823,8,0),"")</f>
        <v/>
      </c>
      <c r="J785" s="99" t="str">
        <f>IFERROR(VLOOKUP(B785,'02. MM-KLH'!$B$6:$T$823,9,0),"")</f>
        <v/>
      </c>
      <c r="K785" s="80" t="str">
        <f>IFERROR(VLOOKUP(B785,'02. MM-KLH'!$B$6:$T$823,10,0),"")</f>
        <v/>
      </c>
      <c r="L785" s="102" t="str">
        <f>IFERROR(VLOOKUP(B785,'02. MM-KLH'!$B$6:$T$823,11,0),"")</f>
        <v/>
      </c>
      <c r="M785" s="143" t="str">
        <f>IFERROR(VLOOKUP(B785,'02. MM-KLH'!$B$6:$T$823,12,0),"")</f>
        <v/>
      </c>
      <c r="N785" s="108" t="str">
        <f>IFERROR(VLOOKUP(B785,'02. MM-KLH'!$B$6:$T$823,13,0),"")</f>
        <v/>
      </c>
      <c r="O785" s="108" t="str">
        <f>IFERROR(VLOOKUP(B785,'02. MM-KLH'!$B$6:$T$823,14,0),"")</f>
        <v/>
      </c>
      <c r="P785" s="80" t="str">
        <f>IFERROR(VLOOKUP(B785,'02. MM-KLH'!$B$6:$T$823,15,0),"")</f>
        <v/>
      </c>
      <c r="Q785" s="80" t="str">
        <f>IFERROR(VLOOKUP(B785,'02. MM-KLH'!$B$6:$T$823,16,0),"")</f>
        <v/>
      </c>
      <c r="R785" s="106" t="str">
        <f>IFERROR(VLOOKUP(B785,'02. MM-KLH'!$B$6:$T$823,17,0),"")</f>
        <v/>
      </c>
      <c r="S785" s="108" t="str">
        <f>IFERROR(VLOOKUP(B785,'02. MM-KLH'!$B$6:$T$823,18,0),"")</f>
        <v/>
      </c>
      <c r="T785" s="110" t="str">
        <f>IFERROR(VLOOKUP(B785,'02. MM-KLH'!$B$6:$T$823,19,0),"")</f>
        <v/>
      </c>
      <c r="U785" s="130"/>
    </row>
    <row r="786" ht="13.5" customHeight="1">
      <c r="A786" s="84"/>
      <c r="B786" s="113"/>
      <c r="C786" s="84"/>
      <c r="D786" s="95" t="str">
        <f>IFERROR(VLOOKUP(B786,'02. MM-KLH'!$B$6:$T$823,3,0),"")</f>
        <v/>
      </c>
      <c r="E786" s="86" t="str">
        <f>IFERROR(VLOOKUP(B786,'02. MM-KLH'!$B$6:$T$823,4,0),"")</f>
        <v/>
      </c>
      <c r="F786" s="931"/>
      <c r="G786" s="86" t="str">
        <f>IFERROR(VLOOKUP(B786,'02. MM-KLH'!$B$6:$T$823,6,0),"")</f>
        <v/>
      </c>
      <c r="H786" s="932"/>
      <c r="I786" s="80" t="str">
        <f>IFERROR(VLOOKUP(B786,'02. MM-KLH'!$B$6:$T$823,8,0),"")</f>
        <v/>
      </c>
      <c r="J786" s="99" t="str">
        <f>IFERROR(VLOOKUP(B786,'02. MM-KLH'!$B$6:$T$823,9,0),"")</f>
        <v/>
      </c>
      <c r="K786" s="80" t="str">
        <f>IFERROR(VLOOKUP(B786,'02. MM-KLH'!$B$6:$T$823,10,0),"")</f>
        <v/>
      </c>
      <c r="L786" s="102" t="str">
        <f>IFERROR(VLOOKUP(B786,'02. MM-KLH'!$B$6:$T$823,11,0),"")</f>
        <v/>
      </c>
      <c r="M786" s="143" t="str">
        <f>IFERROR(VLOOKUP(B786,'02. MM-KLH'!$B$6:$T$823,12,0),"")</f>
        <v/>
      </c>
      <c r="N786" s="108" t="str">
        <f>IFERROR(VLOOKUP(B786,'02. MM-KLH'!$B$6:$T$823,13,0),"")</f>
        <v/>
      </c>
      <c r="O786" s="108" t="str">
        <f>IFERROR(VLOOKUP(B786,'02. MM-KLH'!$B$6:$T$823,14,0),"")</f>
        <v/>
      </c>
      <c r="P786" s="80" t="str">
        <f>IFERROR(VLOOKUP(B786,'02. MM-KLH'!$B$6:$T$823,15,0),"")</f>
        <v/>
      </c>
      <c r="Q786" s="80" t="str">
        <f>IFERROR(VLOOKUP(B786,'02. MM-KLH'!$B$6:$T$823,16,0),"")</f>
        <v/>
      </c>
      <c r="R786" s="106" t="str">
        <f>IFERROR(VLOOKUP(B786,'02. MM-KLH'!$B$6:$T$823,17,0),"")</f>
        <v/>
      </c>
      <c r="S786" s="108" t="str">
        <f>IFERROR(VLOOKUP(B786,'02. MM-KLH'!$B$6:$T$823,18,0),"")</f>
        <v/>
      </c>
      <c r="T786" s="110" t="str">
        <f>IFERROR(VLOOKUP(B786,'02. MM-KLH'!$B$6:$T$823,19,0),"")</f>
        <v/>
      </c>
      <c r="U786" s="130"/>
    </row>
    <row r="787" ht="13.5" customHeight="1">
      <c r="A787" s="84"/>
      <c r="B787" s="113"/>
      <c r="C787" s="84"/>
      <c r="D787" s="95" t="str">
        <f>IFERROR(VLOOKUP(B787,'02. MM-KLH'!$B$6:$T$823,3,0),"")</f>
        <v/>
      </c>
      <c r="E787" s="86" t="str">
        <f>IFERROR(VLOOKUP(B787,'02. MM-KLH'!$B$6:$T$823,4,0),"")</f>
        <v/>
      </c>
      <c r="F787" s="931"/>
      <c r="G787" s="86" t="str">
        <f>IFERROR(VLOOKUP(B787,'02. MM-KLH'!$B$6:$T$823,6,0),"")</f>
        <v/>
      </c>
      <c r="H787" s="932"/>
      <c r="I787" s="80" t="str">
        <f>IFERROR(VLOOKUP(B787,'02. MM-KLH'!$B$6:$T$823,8,0),"")</f>
        <v/>
      </c>
      <c r="J787" s="99" t="str">
        <f>IFERROR(VLOOKUP(B787,'02. MM-KLH'!$B$6:$T$823,9,0),"")</f>
        <v/>
      </c>
      <c r="K787" s="80" t="str">
        <f>IFERROR(VLOOKUP(B787,'02. MM-KLH'!$B$6:$T$823,10,0),"")</f>
        <v/>
      </c>
      <c r="L787" s="102" t="str">
        <f>IFERROR(VLOOKUP(B787,'02. MM-KLH'!$B$6:$T$823,11,0),"")</f>
        <v/>
      </c>
      <c r="M787" s="143" t="str">
        <f>IFERROR(VLOOKUP(B787,'02. MM-KLH'!$B$6:$T$823,12,0),"")</f>
        <v/>
      </c>
      <c r="N787" s="108" t="str">
        <f>IFERROR(VLOOKUP(B787,'02. MM-KLH'!$B$6:$T$823,13,0),"")</f>
        <v/>
      </c>
      <c r="O787" s="108" t="str">
        <f>IFERROR(VLOOKUP(B787,'02. MM-KLH'!$B$6:$T$823,14,0),"")</f>
        <v/>
      </c>
      <c r="P787" s="80" t="str">
        <f>IFERROR(VLOOKUP(B787,'02. MM-KLH'!$B$6:$T$823,15,0),"")</f>
        <v/>
      </c>
      <c r="Q787" s="80" t="str">
        <f>IFERROR(VLOOKUP(B787,'02. MM-KLH'!$B$6:$T$823,16,0),"")</f>
        <v/>
      </c>
      <c r="R787" s="106" t="str">
        <f>IFERROR(VLOOKUP(B787,'02. MM-KLH'!$B$6:$T$823,17,0),"")</f>
        <v/>
      </c>
      <c r="S787" s="108" t="str">
        <f>IFERROR(VLOOKUP(B787,'02. MM-KLH'!$B$6:$T$823,18,0),"")</f>
        <v/>
      </c>
      <c r="T787" s="110" t="str">
        <f>IFERROR(VLOOKUP(B787,'02. MM-KLH'!$B$6:$T$823,19,0),"")</f>
        <v/>
      </c>
      <c r="U787" s="130"/>
    </row>
    <row r="788" ht="13.5" customHeight="1">
      <c r="A788" s="84"/>
      <c r="B788" s="113"/>
      <c r="C788" s="84"/>
      <c r="D788" s="95" t="str">
        <f>IFERROR(VLOOKUP(B788,'02. MM-KLH'!$B$6:$T$823,3,0),"")</f>
        <v/>
      </c>
      <c r="E788" s="86" t="str">
        <f>IFERROR(VLOOKUP(B788,'02. MM-KLH'!$B$6:$T$823,4,0),"")</f>
        <v/>
      </c>
      <c r="F788" s="931"/>
      <c r="G788" s="86" t="str">
        <f>IFERROR(VLOOKUP(B788,'02. MM-KLH'!$B$6:$T$823,6,0),"")</f>
        <v/>
      </c>
      <c r="H788" s="932"/>
      <c r="I788" s="80" t="str">
        <f>IFERROR(VLOOKUP(B788,'02. MM-KLH'!$B$6:$T$823,8,0),"")</f>
        <v/>
      </c>
      <c r="J788" s="99" t="str">
        <f>IFERROR(VLOOKUP(B788,'02. MM-KLH'!$B$6:$T$823,9,0),"")</f>
        <v/>
      </c>
      <c r="K788" s="80" t="str">
        <f>IFERROR(VLOOKUP(B788,'02. MM-KLH'!$B$6:$T$823,10,0),"")</f>
        <v/>
      </c>
      <c r="L788" s="102" t="str">
        <f>IFERROR(VLOOKUP(B788,'02. MM-KLH'!$B$6:$T$823,11,0),"")</f>
        <v/>
      </c>
      <c r="M788" s="143" t="str">
        <f>IFERROR(VLOOKUP(B788,'02. MM-KLH'!$B$6:$T$823,12,0),"")</f>
        <v/>
      </c>
      <c r="N788" s="108" t="str">
        <f>IFERROR(VLOOKUP(B788,'02. MM-KLH'!$B$6:$T$823,13,0),"")</f>
        <v/>
      </c>
      <c r="O788" s="108" t="str">
        <f>IFERROR(VLOOKUP(B788,'02. MM-KLH'!$B$6:$T$823,14,0),"")</f>
        <v/>
      </c>
      <c r="P788" s="80" t="str">
        <f>IFERROR(VLOOKUP(B788,'02. MM-KLH'!$B$6:$T$823,15,0),"")</f>
        <v/>
      </c>
      <c r="Q788" s="80" t="str">
        <f>IFERROR(VLOOKUP(B788,'02. MM-KLH'!$B$6:$T$823,16,0),"")</f>
        <v/>
      </c>
      <c r="R788" s="106" t="str">
        <f>IFERROR(VLOOKUP(B788,'02. MM-KLH'!$B$6:$T$823,17,0),"")</f>
        <v/>
      </c>
      <c r="S788" s="108" t="str">
        <f>IFERROR(VLOOKUP(B788,'02. MM-KLH'!$B$6:$T$823,18,0),"")</f>
        <v/>
      </c>
      <c r="T788" s="110" t="str">
        <f>IFERROR(VLOOKUP(B788,'02. MM-KLH'!$B$6:$T$823,19,0),"")</f>
        <v/>
      </c>
      <c r="U788" s="130"/>
    </row>
    <row r="789" ht="13.5" customHeight="1">
      <c r="A789" s="84"/>
      <c r="B789" s="113"/>
      <c r="C789" s="84"/>
      <c r="D789" s="95" t="str">
        <f>IFERROR(VLOOKUP(B789,'02. MM-KLH'!$B$6:$T$823,3,0),"")</f>
        <v/>
      </c>
      <c r="E789" s="86" t="str">
        <f>IFERROR(VLOOKUP(B789,'02. MM-KLH'!$B$6:$T$823,4,0),"")</f>
        <v/>
      </c>
      <c r="F789" s="931"/>
      <c r="G789" s="86" t="str">
        <f>IFERROR(VLOOKUP(B789,'02. MM-KLH'!$B$6:$T$823,6,0),"")</f>
        <v/>
      </c>
      <c r="H789" s="932"/>
      <c r="I789" s="80" t="str">
        <f>IFERROR(VLOOKUP(B789,'02. MM-KLH'!$B$6:$T$823,8,0),"")</f>
        <v/>
      </c>
      <c r="J789" s="99" t="str">
        <f>IFERROR(VLOOKUP(B789,'02. MM-KLH'!$B$6:$T$823,9,0),"")</f>
        <v/>
      </c>
      <c r="K789" s="80" t="str">
        <f>IFERROR(VLOOKUP(B789,'02. MM-KLH'!$B$6:$T$823,10,0),"")</f>
        <v/>
      </c>
      <c r="L789" s="102" t="str">
        <f>IFERROR(VLOOKUP(B789,'02. MM-KLH'!$B$6:$T$823,11,0),"")</f>
        <v/>
      </c>
      <c r="M789" s="143" t="str">
        <f>IFERROR(VLOOKUP(B789,'02. MM-KLH'!$B$6:$T$823,12,0),"")</f>
        <v/>
      </c>
      <c r="N789" s="108" t="str">
        <f>IFERROR(VLOOKUP(B789,'02. MM-KLH'!$B$6:$T$823,13,0),"")</f>
        <v/>
      </c>
      <c r="O789" s="108" t="str">
        <f>IFERROR(VLOOKUP(B789,'02. MM-KLH'!$B$6:$T$823,14,0),"")</f>
        <v/>
      </c>
      <c r="P789" s="80" t="str">
        <f>IFERROR(VLOOKUP(B789,'02. MM-KLH'!$B$6:$T$823,15,0),"")</f>
        <v/>
      </c>
      <c r="Q789" s="80" t="str">
        <f>IFERROR(VLOOKUP(B789,'02. MM-KLH'!$B$6:$T$823,16,0),"")</f>
        <v/>
      </c>
      <c r="R789" s="106" t="str">
        <f>IFERROR(VLOOKUP(B789,'02. MM-KLH'!$B$6:$T$823,17,0),"")</f>
        <v/>
      </c>
      <c r="S789" s="108" t="str">
        <f>IFERROR(VLOOKUP(B789,'02. MM-KLH'!$B$6:$T$823,18,0),"")</f>
        <v/>
      </c>
      <c r="T789" s="110" t="str">
        <f>IFERROR(VLOOKUP(B789,'02. MM-KLH'!$B$6:$T$823,19,0),"")</f>
        <v/>
      </c>
      <c r="U789" s="130"/>
    </row>
    <row r="790" ht="13.5" customHeight="1">
      <c r="A790" s="84"/>
      <c r="B790" s="113"/>
      <c r="C790" s="84"/>
      <c r="D790" s="95" t="str">
        <f>IFERROR(VLOOKUP(B790,'02. MM-KLH'!$B$6:$T$823,3,0),"")</f>
        <v/>
      </c>
      <c r="E790" s="86" t="str">
        <f>IFERROR(VLOOKUP(B790,'02. MM-KLH'!$B$6:$T$823,4,0),"")</f>
        <v/>
      </c>
      <c r="F790" s="931"/>
      <c r="G790" s="86" t="str">
        <f>IFERROR(VLOOKUP(B790,'02. MM-KLH'!$B$6:$T$823,6,0),"")</f>
        <v/>
      </c>
      <c r="H790" s="932"/>
      <c r="I790" s="80" t="str">
        <f>IFERROR(VLOOKUP(B790,'02. MM-KLH'!$B$6:$T$823,8,0),"")</f>
        <v/>
      </c>
      <c r="J790" s="99" t="str">
        <f>IFERROR(VLOOKUP(B790,'02. MM-KLH'!$B$6:$T$823,9,0),"")</f>
        <v/>
      </c>
      <c r="K790" s="80" t="str">
        <f>IFERROR(VLOOKUP(B790,'02. MM-KLH'!$B$6:$T$823,10,0),"")</f>
        <v/>
      </c>
      <c r="L790" s="102" t="str">
        <f>IFERROR(VLOOKUP(B790,'02. MM-KLH'!$B$6:$T$823,11,0),"")</f>
        <v/>
      </c>
      <c r="M790" s="143" t="str">
        <f>IFERROR(VLOOKUP(B790,'02. MM-KLH'!$B$6:$T$823,12,0),"")</f>
        <v/>
      </c>
      <c r="N790" s="108" t="str">
        <f>IFERROR(VLOOKUP(B790,'02. MM-KLH'!$B$6:$T$823,13,0),"")</f>
        <v/>
      </c>
      <c r="O790" s="108" t="str">
        <f>IFERROR(VLOOKUP(B790,'02. MM-KLH'!$B$6:$T$823,14,0),"")</f>
        <v/>
      </c>
      <c r="P790" s="80" t="str">
        <f>IFERROR(VLOOKUP(B790,'02. MM-KLH'!$B$6:$T$823,15,0),"")</f>
        <v/>
      </c>
      <c r="Q790" s="80" t="str">
        <f>IFERROR(VLOOKUP(B790,'02. MM-KLH'!$B$6:$T$823,16,0),"")</f>
        <v/>
      </c>
      <c r="R790" s="106" t="str">
        <f>IFERROR(VLOOKUP(B790,'02. MM-KLH'!$B$6:$T$823,17,0),"")</f>
        <v/>
      </c>
      <c r="S790" s="108" t="str">
        <f>IFERROR(VLOOKUP(B790,'02. MM-KLH'!$B$6:$T$823,18,0),"")</f>
        <v/>
      </c>
      <c r="T790" s="110" t="str">
        <f>IFERROR(VLOOKUP(B790,'02. MM-KLH'!$B$6:$T$823,19,0),"")</f>
        <v/>
      </c>
      <c r="U790" s="130"/>
    </row>
    <row r="791" ht="13.5" customHeight="1">
      <c r="A791" s="84"/>
      <c r="B791" s="113"/>
      <c r="C791" s="84"/>
      <c r="D791" s="95" t="str">
        <f>IFERROR(VLOOKUP(B791,'02. MM-KLH'!$B$6:$T$823,3,0),"")</f>
        <v/>
      </c>
      <c r="E791" s="86" t="str">
        <f>IFERROR(VLOOKUP(B791,'02. MM-KLH'!$B$6:$T$823,4,0),"")</f>
        <v/>
      </c>
      <c r="F791" s="931"/>
      <c r="G791" s="86" t="str">
        <f>IFERROR(VLOOKUP(B791,'02. MM-KLH'!$B$6:$T$823,6,0),"")</f>
        <v/>
      </c>
      <c r="H791" s="932"/>
      <c r="I791" s="80" t="str">
        <f>IFERROR(VLOOKUP(B791,'02. MM-KLH'!$B$6:$T$823,8,0),"")</f>
        <v/>
      </c>
      <c r="J791" s="99" t="str">
        <f>IFERROR(VLOOKUP(B791,'02. MM-KLH'!$B$6:$T$823,9,0),"")</f>
        <v/>
      </c>
      <c r="K791" s="80" t="str">
        <f>IFERROR(VLOOKUP(B791,'02. MM-KLH'!$B$6:$T$823,10,0),"")</f>
        <v/>
      </c>
      <c r="L791" s="102" t="str">
        <f>IFERROR(VLOOKUP(B791,'02. MM-KLH'!$B$6:$T$823,11,0),"")</f>
        <v/>
      </c>
      <c r="M791" s="143" t="str">
        <f>IFERROR(VLOOKUP(B791,'02. MM-KLH'!$B$6:$T$823,12,0),"")</f>
        <v/>
      </c>
      <c r="N791" s="108" t="str">
        <f>IFERROR(VLOOKUP(B791,'02. MM-KLH'!$B$6:$T$823,13,0),"")</f>
        <v/>
      </c>
      <c r="O791" s="108" t="str">
        <f>IFERROR(VLOOKUP(B791,'02. MM-KLH'!$B$6:$T$823,14,0),"")</f>
        <v/>
      </c>
      <c r="P791" s="80" t="str">
        <f>IFERROR(VLOOKUP(B791,'02. MM-KLH'!$B$6:$T$823,15,0),"")</f>
        <v/>
      </c>
      <c r="Q791" s="80" t="str">
        <f>IFERROR(VLOOKUP(B791,'02. MM-KLH'!$B$6:$T$823,16,0),"")</f>
        <v/>
      </c>
      <c r="R791" s="106" t="str">
        <f>IFERROR(VLOOKUP(B791,'02. MM-KLH'!$B$6:$T$823,17,0),"")</f>
        <v/>
      </c>
      <c r="S791" s="108" t="str">
        <f>IFERROR(VLOOKUP(B791,'02. MM-KLH'!$B$6:$T$823,18,0),"")</f>
        <v/>
      </c>
      <c r="T791" s="110" t="str">
        <f>IFERROR(VLOOKUP(B791,'02. MM-KLH'!$B$6:$T$823,19,0),"")</f>
        <v/>
      </c>
      <c r="U791" s="130"/>
    </row>
    <row r="792" ht="13.5" customHeight="1">
      <c r="A792" s="84"/>
      <c r="B792" s="113"/>
      <c r="C792" s="84"/>
      <c r="D792" s="95" t="str">
        <f>IFERROR(VLOOKUP(B792,'02. MM-KLH'!$B$6:$T$823,3,0),"")</f>
        <v/>
      </c>
      <c r="E792" s="86" t="str">
        <f>IFERROR(VLOOKUP(B792,'02. MM-KLH'!$B$6:$T$823,4,0),"")</f>
        <v/>
      </c>
      <c r="F792" s="931"/>
      <c r="G792" s="86" t="str">
        <f>IFERROR(VLOOKUP(B792,'02. MM-KLH'!$B$6:$T$823,6,0),"")</f>
        <v/>
      </c>
      <c r="H792" s="932"/>
      <c r="I792" s="80" t="str">
        <f>IFERROR(VLOOKUP(B792,'02. MM-KLH'!$B$6:$T$823,8,0),"")</f>
        <v/>
      </c>
      <c r="J792" s="99" t="str">
        <f>IFERROR(VLOOKUP(B792,'02. MM-KLH'!$B$6:$T$823,9,0),"")</f>
        <v/>
      </c>
      <c r="K792" s="80" t="str">
        <f>IFERROR(VLOOKUP(B792,'02. MM-KLH'!$B$6:$T$823,10,0),"")</f>
        <v/>
      </c>
      <c r="L792" s="102" t="str">
        <f>IFERROR(VLOOKUP(B792,'02. MM-KLH'!$B$6:$T$823,11,0),"")</f>
        <v/>
      </c>
      <c r="M792" s="143" t="str">
        <f>IFERROR(VLOOKUP(B792,'02. MM-KLH'!$B$6:$T$823,12,0),"")</f>
        <v/>
      </c>
      <c r="N792" s="108" t="str">
        <f>IFERROR(VLOOKUP(B792,'02. MM-KLH'!$B$6:$T$823,13,0),"")</f>
        <v/>
      </c>
      <c r="O792" s="108" t="str">
        <f>IFERROR(VLOOKUP(B792,'02. MM-KLH'!$B$6:$T$823,14,0),"")</f>
        <v/>
      </c>
      <c r="P792" s="80" t="str">
        <f>IFERROR(VLOOKUP(B792,'02. MM-KLH'!$B$6:$T$823,15,0),"")</f>
        <v/>
      </c>
      <c r="Q792" s="80" t="str">
        <f>IFERROR(VLOOKUP(B792,'02. MM-KLH'!$B$6:$T$823,16,0),"")</f>
        <v/>
      </c>
      <c r="R792" s="106" t="str">
        <f>IFERROR(VLOOKUP(B792,'02. MM-KLH'!$B$6:$T$823,17,0),"")</f>
        <v/>
      </c>
      <c r="S792" s="108" t="str">
        <f>IFERROR(VLOOKUP(B792,'02. MM-KLH'!$B$6:$T$823,18,0),"")</f>
        <v/>
      </c>
      <c r="T792" s="110" t="str">
        <f>IFERROR(VLOOKUP(B792,'02. MM-KLH'!$B$6:$T$823,19,0),"")</f>
        <v/>
      </c>
      <c r="U792" s="130"/>
    </row>
    <row r="793" ht="13.5" customHeight="1">
      <c r="A793" s="84"/>
      <c r="B793" s="113"/>
      <c r="C793" s="84"/>
      <c r="D793" s="95" t="str">
        <f>IFERROR(VLOOKUP(B793,'02. MM-KLH'!$B$6:$T$823,3,0),"")</f>
        <v/>
      </c>
      <c r="E793" s="86" t="str">
        <f>IFERROR(VLOOKUP(B793,'02. MM-KLH'!$B$6:$T$823,4,0),"")</f>
        <v/>
      </c>
      <c r="F793" s="931"/>
      <c r="G793" s="86" t="str">
        <f>IFERROR(VLOOKUP(B793,'02. MM-KLH'!$B$6:$T$823,6,0),"")</f>
        <v/>
      </c>
      <c r="H793" s="932"/>
      <c r="I793" s="80" t="str">
        <f>IFERROR(VLOOKUP(B793,'02. MM-KLH'!$B$6:$T$823,8,0),"")</f>
        <v/>
      </c>
      <c r="J793" s="99" t="str">
        <f>IFERROR(VLOOKUP(B793,'02. MM-KLH'!$B$6:$T$823,9,0),"")</f>
        <v/>
      </c>
      <c r="K793" s="80" t="str">
        <f>IFERROR(VLOOKUP(B793,'02. MM-KLH'!$B$6:$T$823,10,0),"")</f>
        <v/>
      </c>
      <c r="L793" s="102" t="str">
        <f>IFERROR(VLOOKUP(B793,'02. MM-KLH'!$B$6:$T$823,11,0),"")</f>
        <v/>
      </c>
      <c r="M793" s="143" t="str">
        <f>IFERROR(VLOOKUP(B793,'02. MM-KLH'!$B$6:$T$823,12,0),"")</f>
        <v/>
      </c>
      <c r="N793" s="108" t="str">
        <f>IFERROR(VLOOKUP(B793,'02. MM-KLH'!$B$6:$T$823,13,0),"")</f>
        <v/>
      </c>
      <c r="O793" s="108" t="str">
        <f>IFERROR(VLOOKUP(B793,'02. MM-KLH'!$B$6:$T$823,14,0),"")</f>
        <v/>
      </c>
      <c r="P793" s="80" t="str">
        <f>IFERROR(VLOOKUP(B793,'02. MM-KLH'!$B$6:$T$823,15,0),"")</f>
        <v/>
      </c>
      <c r="Q793" s="80" t="str">
        <f>IFERROR(VLOOKUP(B793,'02. MM-KLH'!$B$6:$T$823,16,0),"")</f>
        <v/>
      </c>
      <c r="R793" s="106" t="str">
        <f>IFERROR(VLOOKUP(B793,'02. MM-KLH'!$B$6:$T$823,17,0),"")</f>
        <v/>
      </c>
      <c r="S793" s="108" t="str">
        <f>IFERROR(VLOOKUP(B793,'02. MM-KLH'!$B$6:$T$823,18,0),"")</f>
        <v/>
      </c>
      <c r="T793" s="110" t="str">
        <f>IFERROR(VLOOKUP(B793,'02. MM-KLH'!$B$6:$T$823,19,0),"")</f>
        <v/>
      </c>
      <c r="U793" s="130"/>
    </row>
    <row r="794" ht="13.5" customHeight="1">
      <c r="A794" s="84"/>
      <c r="B794" s="113"/>
      <c r="C794" s="84"/>
      <c r="D794" s="95" t="str">
        <f>IFERROR(VLOOKUP(B794,'02. MM-KLH'!$B$6:$T$823,3,0),"")</f>
        <v/>
      </c>
      <c r="E794" s="86" t="str">
        <f>IFERROR(VLOOKUP(B794,'02. MM-KLH'!$B$6:$T$823,4,0),"")</f>
        <v/>
      </c>
      <c r="F794" s="931"/>
      <c r="G794" s="86" t="str">
        <f>IFERROR(VLOOKUP(B794,'02. MM-KLH'!$B$6:$T$823,6,0),"")</f>
        <v/>
      </c>
      <c r="H794" s="932"/>
      <c r="I794" s="80" t="str">
        <f>IFERROR(VLOOKUP(B794,'02. MM-KLH'!$B$6:$T$823,8,0),"")</f>
        <v/>
      </c>
      <c r="J794" s="99" t="str">
        <f>IFERROR(VLOOKUP(B794,'02. MM-KLH'!$B$6:$T$823,9,0),"")</f>
        <v/>
      </c>
      <c r="K794" s="80" t="str">
        <f>IFERROR(VLOOKUP(B794,'02. MM-KLH'!$B$6:$T$823,10,0),"")</f>
        <v/>
      </c>
      <c r="L794" s="102" t="str">
        <f>IFERROR(VLOOKUP(B794,'02. MM-KLH'!$B$6:$T$823,11,0),"")</f>
        <v/>
      </c>
      <c r="M794" s="143" t="str">
        <f>IFERROR(VLOOKUP(B794,'02. MM-KLH'!$B$6:$T$823,12,0),"")</f>
        <v/>
      </c>
      <c r="N794" s="108" t="str">
        <f>IFERROR(VLOOKUP(B794,'02. MM-KLH'!$B$6:$T$823,13,0),"")</f>
        <v/>
      </c>
      <c r="O794" s="108" t="str">
        <f>IFERROR(VLOOKUP(B794,'02. MM-KLH'!$B$6:$T$823,14,0),"")</f>
        <v/>
      </c>
      <c r="P794" s="80" t="str">
        <f>IFERROR(VLOOKUP(B794,'02. MM-KLH'!$B$6:$T$823,15,0),"")</f>
        <v/>
      </c>
      <c r="Q794" s="80" t="str">
        <f>IFERROR(VLOOKUP(B794,'02. MM-KLH'!$B$6:$T$823,16,0),"")</f>
        <v/>
      </c>
      <c r="R794" s="106" t="str">
        <f>IFERROR(VLOOKUP(B794,'02. MM-KLH'!$B$6:$T$823,17,0),"")</f>
        <v/>
      </c>
      <c r="S794" s="108" t="str">
        <f>IFERROR(VLOOKUP(B794,'02. MM-KLH'!$B$6:$T$823,18,0),"")</f>
        <v/>
      </c>
      <c r="T794" s="110" t="str">
        <f>IFERROR(VLOOKUP(B794,'02. MM-KLH'!$B$6:$T$823,19,0),"")</f>
        <v/>
      </c>
      <c r="U794" s="130"/>
    </row>
    <row r="795" ht="13.5" customHeight="1">
      <c r="A795" s="84"/>
      <c r="B795" s="113"/>
      <c r="C795" s="84"/>
      <c r="D795" s="95" t="str">
        <f>IFERROR(VLOOKUP(B795,'02. MM-KLH'!$B$6:$T$823,3,0),"")</f>
        <v/>
      </c>
      <c r="E795" s="86" t="str">
        <f>IFERROR(VLOOKUP(B795,'02. MM-KLH'!$B$6:$T$823,4,0),"")</f>
        <v/>
      </c>
      <c r="F795" s="931"/>
      <c r="G795" s="86" t="str">
        <f>IFERROR(VLOOKUP(B795,'02. MM-KLH'!$B$6:$T$823,6,0),"")</f>
        <v/>
      </c>
      <c r="H795" s="932"/>
      <c r="I795" s="80" t="str">
        <f>IFERROR(VLOOKUP(B795,'02. MM-KLH'!$B$6:$T$823,8,0),"")</f>
        <v/>
      </c>
      <c r="J795" s="99" t="str">
        <f>IFERROR(VLOOKUP(B795,'02. MM-KLH'!$B$6:$T$823,9,0),"")</f>
        <v/>
      </c>
      <c r="K795" s="80" t="str">
        <f>IFERROR(VLOOKUP(B795,'02. MM-KLH'!$B$6:$T$823,10,0),"")</f>
        <v/>
      </c>
      <c r="L795" s="102" t="str">
        <f>IFERROR(VLOOKUP(B795,'02. MM-KLH'!$B$6:$T$823,11,0),"")</f>
        <v/>
      </c>
      <c r="M795" s="143" t="str">
        <f>IFERROR(VLOOKUP(B795,'02. MM-KLH'!$B$6:$T$823,12,0),"")</f>
        <v/>
      </c>
      <c r="N795" s="108" t="str">
        <f>IFERROR(VLOOKUP(B795,'02. MM-KLH'!$B$6:$T$823,13,0),"")</f>
        <v/>
      </c>
      <c r="O795" s="108" t="str">
        <f>IFERROR(VLOOKUP(B795,'02. MM-KLH'!$B$6:$T$823,14,0),"")</f>
        <v/>
      </c>
      <c r="P795" s="80" t="str">
        <f>IFERROR(VLOOKUP(B795,'02. MM-KLH'!$B$6:$T$823,15,0),"")</f>
        <v/>
      </c>
      <c r="Q795" s="80" t="str">
        <f>IFERROR(VLOOKUP(B795,'02. MM-KLH'!$B$6:$T$823,16,0),"")</f>
        <v/>
      </c>
      <c r="R795" s="106" t="str">
        <f>IFERROR(VLOOKUP(B795,'02. MM-KLH'!$B$6:$T$823,17,0),"")</f>
        <v/>
      </c>
      <c r="S795" s="108" t="str">
        <f>IFERROR(VLOOKUP(B795,'02. MM-KLH'!$B$6:$T$823,18,0),"")</f>
        <v/>
      </c>
      <c r="T795" s="110" t="str">
        <f>IFERROR(VLOOKUP(B795,'02. MM-KLH'!$B$6:$T$823,19,0),"")</f>
        <v/>
      </c>
      <c r="U795" s="130"/>
    </row>
    <row r="796" ht="13.5" customHeight="1">
      <c r="A796" s="84"/>
      <c r="B796" s="113"/>
      <c r="C796" s="84"/>
      <c r="D796" s="95" t="str">
        <f>IFERROR(VLOOKUP(B796,'02. MM-KLH'!$B$6:$T$823,3,0),"")</f>
        <v/>
      </c>
      <c r="E796" s="86" t="str">
        <f>IFERROR(VLOOKUP(B796,'02. MM-KLH'!$B$6:$T$823,4,0),"")</f>
        <v/>
      </c>
      <c r="F796" s="931"/>
      <c r="G796" s="86" t="str">
        <f>IFERROR(VLOOKUP(B796,'02. MM-KLH'!$B$6:$T$823,6,0),"")</f>
        <v/>
      </c>
      <c r="H796" s="932"/>
      <c r="I796" s="80" t="str">
        <f>IFERROR(VLOOKUP(B796,'02. MM-KLH'!$B$6:$T$823,8,0),"")</f>
        <v/>
      </c>
      <c r="J796" s="99" t="str">
        <f>IFERROR(VLOOKUP(B796,'02. MM-KLH'!$B$6:$T$823,9,0),"")</f>
        <v/>
      </c>
      <c r="K796" s="80" t="str">
        <f>IFERROR(VLOOKUP(B796,'02. MM-KLH'!$B$6:$T$823,10,0),"")</f>
        <v/>
      </c>
      <c r="L796" s="102" t="str">
        <f>IFERROR(VLOOKUP(B796,'02. MM-KLH'!$B$6:$T$823,11,0),"")</f>
        <v/>
      </c>
      <c r="M796" s="143" t="str">
        <f>IFERROR(VLOOKUP(B796,'02. MM-KLH'!$B$6:$T$823,12,0),"")</f>
        <v/>
      </c>
      <c r="N796" s="108" t="str">
        <f>IFERROR(VLOOKUP(B796,'02. MM-KLH'!$B$6:$T$823,13,0),"")</f>
        <v/>
      </c>
      <c r="O796" s="108" t="str">
        <f>IFERROR(VLOOKUP(B796,'02. MM-KLH'!$B$6:$T$823,14,0),"")</f>
        <v/>
      </c>
      <c r="P796" s="80" t="str">
        <f>IFERROR(VLOOKUP(B796,'02. MM-KLH'!$B$6:$T$823,15,0),"")</f>
        <v/>
      </c>
      <c r="Q796" s="80" t="str">
        <f>IFERROR(VLOOKUP(B796,'02. MM-KLH'!$B$6:$T$823,16,0),"")</f>
        <v/>
      </c>
      <c r="R796" s="106" t="str">
        <f>IFERROR(VLOOKUP(B796,'02. MM-KLH'!$B$6:$T$823,17,0),"")</f>
        <v/>
      </c>
      <c r="S796" s="108" t="str">
        <f>IFERROR(VLOOKUP(B796,'02. MM-KLH'!$B$6:$T$823,18,0),"")</f>
        <v/>
      </c>
      <c r="T796" s="110" t="str">
        <f>IFERROR(VLOOKUP(B796,'02. MM-KLH'!$B$6:$T$823,19,0),"")</f>
        <v/>
      </c>
      <c r="U796" s="130"/>
    </row>
    <row r="797" ht="13.5" customHeight="1">
      <c r="A797" s="84"/>
      <c r="B797" s="113"/>
      <c r="C797" s="84"/>
      <c r="D797" s="95" t="str">
        <f>IFERROR(VLOOKUP(B797,'02. MM-KLH'!$B$6:$T$823,3,0),"")</f>
        <v/>
      </c>
      <c r="E797" s="86" t="str">
        <f>IFERROR(VLOOKUP(B797,'02. MM-KLH'!$B$6:$T$823,4,0),"")</f>
        <v/>
      </c>
      <c r="F797" s="931"/>
      <c r="G797" s="86" t="str">
        <f>IFERROR(VLOOKUP(B797,'02. MM-KLH'!$B$6:$T$823,6,0),"")</f>
        <v/>
      </c>
      <c r="H797" s="932"/>
      <c r="I797" s="80" t="str">
        <f>IFERROR(VLOOKUP(B797,'02. MM-KLH'!$B$6:$T$823,8,0),"")</f>
        <v/>
      </c>
      <c r="J797" s="99" t="str">
        <f>IFERROR(VLOOKUP(B797,'02. MM-KLH'!$B$6:$T$823,9,0),"")</f>
        <v/>
      </c>
      <c r="K797" s="80" t="str">
        <f>IFERROR(VLOOKUP(B797,'02. MM-KLH'!$B$6:$T$823,10,0),"")</f>
        <v/>
      </c>
      <c r="L797" s="102" t="str">
        <f>IFERROR(VLOOKUP(B797,'02. MM-KLH'!$B$6:$T$823,11,0),"")</f>
        <v/>
      </c>
      <c r="M797" s="143" t="str">
        <f>IFERROR(VLOOKUP(B797,'02. MM-KLH'!$B$6:$T$823,12,0),"")</f>
        <v/>
      </c>
      <c r="N797" s="108" t="str">
        <f>IFERROR(VLOOKUP(B797,'02. MM-KLH'!$B$6:$T$823,13,0),"")</f>
        <v/>
      </c>
      <c r="O797" s="108" t="str">
        <f>IFERROR(VLOOKUP(B797,'02. MM-KLH'!$B$6:$T$823,14,0),"")</f>
        <v/>
      </c>
      <c r="P797" s="80" t="str">
        <f>IFERROR(VLOOKUP(B797,'02. MM-KLH'!$B$6:$T$823,15,0),"")</f>
        <v/>
      </c>
      <c r="Q797" s="80" t="str">
        <f>IFERROR(VLOOKUP(B797,'02. MM-KLH'!$B$6:$T$823,16,0),"")</f>
        <v/>
      </c>
      <c r="R797" s="106" t="str">
        <f>IFERROR(VLOOKUP(B797,'02. MM-KLH'!$B$6:$T$823,17,0),"")</f>
        <v/>
      </c>
      <c r="S797" s="108" t="str">
        <f>IFERROR(VLOOKUP(B797,'02. MM-KLH'!$B$6:$T$823,18,0),"")</f>
        <v/>
      </c>
      <c r="T797" s="110" t="str">
        <f>IFERROR(VLOOKUP(B797,'02. MM-KLH'!$B$6:$T$823,19,0),"")</f>
        <v/>
      </c>
      <c r="U797" s="130"/>
    </row>
    <row r="798" ht="13.5" customHeight="1">
      <c r="A798" s="84"/>
      <c r="B798" s="113"/>
      <c r="C798" s="84"/>
      <c r="D798" s="95" t="str">
        <f>IFERROR(VLOOKUP(B798,'02. MM-KLH'!$B$6:$T$823,3,0),"")</f>
        <v/>
      </c>
      <c r="E798" s="86" t="str">
        <f>IFERROR(VLOOKUP(B798,'02. MM-KLH'!$B$6:$T$823,4,0),"")</f>
        <v/>
      </c>
      <c r="F798" s="931"/>
      <c r="G798" s="86" t="str">
        <f>IFERROR(VLOOKUP(B798,'02. MM-KLH'!$B$6:$T$823,6,0),"")</f>
        <v/>
      </c>
      <c r="H798" s="932"/>
      <c r="I798" s="80" t="str">
        <f>IFERROR(VLOOKUP(B798,'02. MM-KLH'!$B$6:$T$823,8,0),"")</f>
        <v/>
      </c>
      <c r="J798" s="99" t="str">
        <f>IFERROR(VLOOKUP(B798,'02. MM-KLH'!$B$6:$T$823,9,0),"")</f>
        <v/>
      </c>
      <c r="K798" s="80" t="str">
        <f>IFERROR(VLOOKUP(B798,'02. MM-KLH'!$B$6:$T$823,10,0),"")</f>
        <v/>
      </c>
      <c r="L798" s="102" t="str">
        <f>IFERROR(VLOOKUP(B798,'02. MM-KLH'!$B$6:$T$823,11,0),"")</f>
        <v/>
      </c>
      <c r="M798" s="143" t="str">
        <f>IFERROR(VLOOKUP(B798,'02. MM-KLH'!$B$6:$T$823,12,0),"")</f>
        <v/>
      </c>
      <c r="N798" s="108" t="str">
        <f>IFERROR(VLOOKUP(B798,'02. MM-KLH'!$B$6:$T$823,13,0),"")</f>
        <v/>
      </c>
      <c r="O798" s="108" t="str">
        <f>IFERROR(VLOOKUP(B798,'02. MM-KLH'!$B$6:$T$823,14,0),"")</f>
        <v/>
      </c>
      <c r="P798" s="80" t="str">
        <f>IFERROR(VLOOKUP(B798,'02. MM-KLH'!$B$6:$T$823,15,0),"")</f>
        <v/>
      </c>
      <c r="Q798" s="80" t="str">
        <f>IFERROR(VLOOKUP(B798,'02. MM-KLH'!$B$6:$T$823,16,0),"")</f>
        <v/>
      </c>
      <c r="R798" s="106" t="str">
        <f>IFERROR(VLOOKUP(B798,'02. MM-KLH'!$B$6:$T$823,17,0),"")</f>
        <v/>
      </c>
      <c r="S798" s="108" t="str">
        <f>IFERROR(VLOOKUP(B798,'02. MM-KLH'!$B$6:$T$823,18,0),"")</f>
        <v/>
      </c>
      <c r="T798" s="110" t="str">
        <f>IFERROR(VLOOKUP(B798,'02. MM-KLH'!$B$6:$T$823,19,0),"")</f>
        <v/>
      </c>
      <c r="U798" s="130"/>
    </row>
    <row r="799" ht="13.5" customHeight="1">
      <c r="A799" s="84"/>
      <c r="B799" s="113"/>
      <c r="C799" s="84"/>
      <c r="D799" s="95" t="str">
        <f>IFERROR(VLOOKUP(B799,'02. MM-KLH'!$B$6:$T$823,3,0),"")</f>
        <v/>
      </c>
      <c r="E799" s="86" t="str">
        <f>IFERROR(VLOOKUP(B799,'02. MM-KLH'!$B$6:$T$823,4,0),"")</f>
        <v/>
      </c>
      <c r="F799" s="931"/>
      <c r="G799" s="86" t="str">
        <f>IFERROR(VLOOKUP(B799,'02. MM-KLH'!$B$6:$T$823,6,0),"")</f>
        <v/>
      </c>
      <c r="H799" s="932"/>
      <c r="I799" s="80" t="str">
        <f>IFERROR(VLOOKUP(B799,'02. MM-KLH'!$B$6:$T$823,8,0),"")</f>
        <v/>
      </c>
      <c r="J799" s="99" t="str">
        <f>IFERROR(VLOOKUP(B799,'02. MM-KLH'!$B$6:$T$823,9,0),"")</f>
        <v/>
      </c>
      <c r="K799" s="80" t="str">
        <f>IFERROR(VLOOKUP(B799,'02. MM-KLH'!$B$6:$T$823,10,0),"")</f>
        <v/>
      </c>
      <c r="L799" s="102" t="str">
        <f>IFERROR(VLOOKUP(B799,'02. MM-KLH'!$B$6:$T$823,11,0),"")</f>
        <v/>
      </c>
      <c r="M799" s="143" t="str">
        <f>IFERROR(VLOOKUP(B799,'02. MM-KLH'!$B$6:$T$823,12,0),"")</f>
        <v/>
      </c>
      <c r="N799" s="108" t="str">
        <f>IFERROR(VLOOKUP(B799,'02. MM-KLH'!$B$6:$T$823,13,0),"")</f>
        <v/>
      </c>
      <c r="O799" s="108" t="str">
        <f>IFERROR(VLOOKUP(B799,'02. MM-KLH'!$B$6:$T$823,14,0),"")</f>
        <v/>
      </c>
      <c r="P799" s="80" t="str">
        <f>IFERROR(VLOOKUP(B799,'02. MM-KLH'!$B$6:$T$823,15,0),"")</f>
        <v/>
      </c>
      <c r="Q799" s="80" t="str">
        <f>IFERROR(VLOOKUP(B799,'02. MM-KLH'!$B$6:$T$823,16,0),"")</f>
        <v/>
      </c>
      <c r="R799" s="106" t="str">
        <f>IFERROR(VLOOKUP(B799,'02. MM-KLH'!$B$6:$T$823,17,0),"")</f>
        <v/>
      </c>
      <c r="S799" s="108" t="str">
        <f>IFERROR(VLOOKUP(B799,'02. MM-KLH'!$B$6:$T$823,18,0),"")</f>
        <v/>
      </c>
      <c r="T799" s="110" t="str">
        <f>IFERROR(VLOOKUP(B799,'02. MM-KLH'!$B$6:$T$823,19,0),"")</f>
        <v/>
      </c>
      <c r="U799" s="130"/>
    </row>
    <row r="800" ht="13.5" customHeight="1">
      <c r="A800" s="84"/>
      <c r="B800" s="113"/>
      <c r="C800" s="84"/>
      <c r="D800" s="95" t="str">
        <f>IFERROR(VLOOKUP(B800,'02. MM-KLH'!$B$6:$T$823,3,0),"")</f>
        <v/>
      </c>
      <c r="E800" s="86" t="str">
        <f>IFERROR(VLOOKUP(B800,'02. MM-KLH'!$B$6:$T$823,4,0),"")</f>
        <v/>
      </c>
      <c r="F800" s="931"/>
      <c r="G800" s="86" t="str">
        <f>IFERROR(VLOOKUP(B800,'02. MM-KLH'!$B$6:$T$823,6,0),"")</f>
        <v/>
      </c>
      <c r="H800" s="932"/>
      <c r="I800" s="80" t="str">
        <f>IFERROR(VLOOKUP(B800,'02. MM-KLH'!$B$6:$T$823,8,0),"")</f>
        <v/>
      </c>
      <c r="J800" s="99" t="str">
        <f>IFERROR(VLOOKUP(B800,'02. MM-KLH'!$B$6:$T$823,9,0),"")</f>
        <v/>
      </c>
      <c r="K800" s="80" t="str">
        <f>IFERROR(VLOOKUP(B800,'02. MM-KLH'!$B$6:$T$823,10,0),"")</f>
        <v/>
      </c>
      <c r="L800" s="102" t="str">
        <f>IFERROR(VLOOKUP(B800,'02. MM-KLH'!$B$6:$T$823,11,0),"")</f>
        <v/>
      </c>
      <c r="M800" s="143" t="str">
        <f>IFERROR(VLOOKUP(B800,'02. MM-KLH'!$B$6:$T$823,12,0),"")</f>
        <v/>
      </c>
      <c r="N800" s="108" t="str">
        <f>IFERROR(VLOOKUP(B800,'02. MM-KLH'!$B$6:$T$823,13,0),"")</f>
        <v/>
      </c>
      <c r="O800" s="108" t="str">
        <f>IFERROR(VLOOKUP(B800,'02. MM-KLH'!$B$6:$T$823,14,0),"")</f>
        <v/>
      </c>
      <c r="P800" s="80" t="str">
        <f>IFERROR(VLOOKUP(B800,'02. MM-KLH'!$B$6:$T$823,15,0),"")</f>
        <v/>
      </c>
      <c r="Q800" s="80" t="str">
        <f>IFERROR(VLOOKUP(B800,'02. MM-KLH'!$B$6:$T$823,16,0),"")</f>
        <v/>
      </c>
      <c r="R800" s="106" t="str">
        <f>IFERROR(VLOOKUP(B800,'02. MM-KLH'!$B$6:$T$823,17,0),"")</f>
        <v/>
      </c>
      <c r="S800" s="108" t="str">
        <f>IFERROR(VLOOKUP(B800,'02. MM-KLH'!$B$6:$T$823,18,0),"")</f>
        <v/>
      </c>
      <c r="T800" s="110" t="str">
        <f>IFERROR(VLOOKUP(B800,'02. MM-KLH'!$B$6:$T$823,19,0),"")</f>
        <v/>
      </c>
      <c r="U800" s="130"/>
    </row>
    <row r="801" ht="13.5" customHeight="1">
      <c r="A801" s="84"/>
      <c r="B801" s="113"/>
      <c r="C801" s="84"/>
      <c r="D801" s="95" t="str">
        <f>IFERROR(VLOOKUP(B801,'02. MM-KLH'!$B$6:$T$823,3,0),"")</f>
        <v/>
      </c>
      <c r="E801" s="86" t="str">
        <f>IFERROR(VLOOKUP(B801,'02. MM-KLH'!$B$6:$T$823,4,0),"")</f>
        <v/>
      </c>
      <c r="F801" s="931"/>
      <c r="G801" s="86" t="str">
        <f>IFERROR(VLOOKUP(B801,'02. MM-KLH'!$B$6:$T$823,6,0),"")</f>
        <v/>
      </c>
      <c r="H801" s="932"/>
      <c r="I801" s="80" t="str">
        <f>IFERROR(VLOOKUP(B801,'02. MM-KLH'!$B$6:$T$823,8,0),"")</f>
        <v/>
      </c>
      <c r="J801" s="99" t="str">
        <f>IFERROR(VLOOKUP(B801,'02. MM-KLH'!$B$6:$T$823,9,0),"")</f>
        <v/>
      </c>
      <c r="K801" s="80" t="str">
        <f>IFERROR(VLOOKUP(B801,'02. MM-KLH'!$B$6:$T$823,10,0),"")</f>
        <v/>
      </c>
      <c r="L801" s="102" t="str">
        <f>IFERROR(VLOOKUP(B801,'02. MM-KLH'!$B$6:$T$823,11,0),"")</f>
        <v/>
      </c>
      <c r="M801" s="143" t="str">
        <f>IFERROR(VLOOKUP(B801,'02. MM-KLH'!$B$6:$T$823,12,0),"")</f>
        <v/>
      </c>
      <c r="N801" s="108" t="str">
        <f>IFERROR(VLOOKUP(B801,'02. MM-KLH'!$B$6:$T$823,13,0),"")</f>
        <v/>
      </c>
      <c r="O801" s="108" t="str">
        <f>IFERROR(VLOOKUP(B801,'02. MM-KLH'!$B$6:$T$823,14,0),"")</f>
        <v/>
      </c>
      <c r="P801" s="80" t="str">
        <f>IFERROR(VLOOKUP(B801,'02. MM-KLH'!$B$6:$T$823,15,0),"")</f>
        <v/>
      </c>
      <c r="Q801" s="80" t="str">
        <f>IFERROR(VLOOKUP(B801,'02. MM-KLH'!$B$6:$T$823,16,0),"")</f>
        <v/>
      </c>
      <c r="R801" s="106" t="str">
        <f>IFERROR(VLOOKUP(B801,'02. MM-KLH'!$B$6:$T$823,17,0),"")</f>
        <v/>
      </c>
      <c r="S801" s="108" t="str">
        <f>IFERROR(VLOOKUP(B801,'02. MM-KLH'!$B$6:$T$823,18,0),"")</f>
        <v/>
      </c>
      <c r="T801" s="110" t="str">
        <f>IFERROR(VLOOKUP(B801,'02. MM-KLH'!$B$6:$T$823,19,0),"")</f>
        <v/>
      </c>
      <c r="U801" s="130"/>
    </row>
    <row r="802" ht="13.5" customHeight="1">
      <c r="A802" s="84"/>
      <c r="B802" s="113"/>
      <c r="C802" s="84"/>
      <c r="D802" s="95" t="str">
        <f>IFERROR(VLOOKUP(B802,'02. MM-KLH'!$B$6:$T$823,3,0),"")</f>
        <v/>
      </c>
      <c r="E802" s="86" t="str">
        <f>IFERROR(VLOOKUP(B802,'02. MM-KLH'!$B$6:$T$823,4,0),"")</f>
        <v/>
      </c>
      <c r="F802" s="931"/>
      <c r="G802" s="86" t="str">
        <f>IFERROR(VLOOKUP(B802,'02. MM-KLH'!$B$6:$T$823,6,0),"")</f>
        <v/>
      </c>
      <c r="H802" s="932"/>
      <c r="I802" s="80" t="str">
        <f>IFERROR(VLOOKUP(B802,'02. MM-KLH'!$B$6:$T$823,8,0),"")</f>
        <v/>
      </c>
      <c r="J802" s="99" t="str">
        <f>IFERROR(VLOOKUP(B802,'02. MM-KLH'!$B$6:$T$823,9,0),"")</f>
        <v/>
      </c>
      <c r="K802" s="80" t="str">
        <f>IFERROR(VLOOKUP(B802,'02. MM-KLH'!$B$6:$T$823,10,0),"")</f>
        <v/>
      </c>
      <c r="L802" s="102" t="str">
        <f>IFERROR(VLOOKUP(B802,'02. MM-KLH'!$B$6:$T$823,11,0),"")</f>
        <v/>
      </c>
      <c r="M802" s="143" t="str">
        <f>IFERROR(VLOOKUP(B802,'02. MM-KLH'!$B$6:$T$823,12,0),"")</f>
        <v/>
      </c>
      <c r="N802" s="108" t="str">
        <f>IFERROR(VLOOKUP(B802,'02. MM-KLH'!$B$6:$T$823,13,0),"")</f>
        <v/>
      </c>
      <c r="O802" s="108" t="str">
        <f>IFERROR(VLOOKUP(B802,'02. MM-KLH'!$B$6:$T$823,14,0),"")</f>
        <v/>
      </c>
      <c r="P802" s="80" t="str">
        <f>IFERROR(VLOOKUP(B802,'02. MM-KLH'!$B$6:$T$823,15,0),"")</f>
        <v/>
      </c>
      <c r="Q802" s="80" t="str">
        <f>IFERROR(VLOOKUP(B802,'02. MM-KLH'!$B$6:$T$823,16,0),"")</f>
        <v/>
      </c>
      <c r="R802" s="106" t="str">
        <f>IFERROR(VLOOKUP(B802,'02. MM-KLH'!$B$6:$T$823,17,0),"")</f>
        <v/>
      </c>
      <c r="S802" s="108" t="str">
        <f>IFERROR(VLOOKUP(B802,'02. MM-KLH'!$B$6:$T$823,18,0),"")</f>
        <v/>
      </c>
      <c r="T802" s="110" t="str">
        <f>IFERROR(VLOOKUP(B802,'02. MM-KLH'!$B$6:$T$823,19,0),"")</f>
        <v/>
      </c>
      <c r="U802" s="130"/>
    </row>
    <row r="803" ht="13.5" customHeight="1">
      <c r="A803" s="84"/>
      <c r="B803" s="113"/>
      <c r="C803" s="84"/>
      <c r="D803" s="95" t="str">
        <f>IFERROR(VLOOKUP(B803,'02. MM-KLH'!$B$6:$T$823,3,0),"")</f>
        <v/>
      </c>
      <c r="E803" s="86" t="str">
        <f>IFERROR(VLOOKUP(B803,'02. MM-KLH'!$B$6:$T$823,4,0),"")</f>
        <v/>
      </c>
      <c r="F803" s="931"/>
      <c r="G803" s="86" t="str">
        <f>IFERROR(VLOOKUP(B803,'02. MM-KLH'!$B$6:$T$823,6,0),"")</f>
        <v/>
      </c>
      <c r="H803" s="932"/>
      <c r="I803" s="80" t="str">
        <f>IFERROR(VLOOKUP(B803,'02. MM-KLH'!$B$6:$T$823,8,0),"")</f>
        <v/>
      </c>
      <c r="J803" s="99" t="str">
        <f>IFERROR(VLOOKUP(B803,'02. MM-KLH'!$B$6:$T$823,9,0),"")</f>
        <v/>
      </c>
      <c r="K803" s="80" t="str">
        <f>IFERROR(VLOOKUP(B803,'02. MM-KLH'!$B$6:$T$823,10,0),"")</f>
        <v/>
      </c>
      <c r="L803" s="102" t="str">
        <f>IFERROR(VLOOKUP(B803,'02. MM-KLH'!$B$6:$T$823,11,0),"")</f>
        <v/>
      </c>
      <c r="M803" s="143" t="str">
        <f>IFERROR(VLOOKUP(B803,'02. MM-KLH'!$B$6:$T$823,12,0),"")</f>
        <v/>
      </c>
      <c r="N803" s="108" t="str">
        <f>IFERROR(VLOOKUP(B803,'02. MM-KLH'!$B$6:$T$823,13,0),"")</f>
        <v/>
      </c>
      <c r="O803" s="108" t="str">
        <f>IFERROR(VLOOKUP(B803,'02. MM-KLH'!$B$6:$T$823,14,0),"")</f>
        <v/>
      </c>
      <c r="P803" s="80" t="str">
        <f>IFERROR(VLOOKUP(B803,'02. MM-KLH'!$B$6:$T$823,15,0),"")</f>
        <v/>
      </c>
      <c r="Q803" s="80" t="str">
        <f>IFERROR(VLOOKUP(B803,'02. MM-KLH'!$B$6:$T$823,16,0),"")</f>
        <v/>
      </c>
      <c r="R803" s="106" t="str">
        <f>IFERROR(VLOOKUP(B803,'02. MM-KLH'!$B$6:$T$823,17,0),"")</f>
        <v/>
      </c>
      <c r="S803" s="108" t="str">
        <f>IFERROR(VLOOKUP(B803,'02. MM-KLH'!$B$6:$T$823,18,0),"")</f>
        <v/>
      </c>
      <c r="T803" s="110" t="str">
        <f>IFERROR(VLOOKUP(B803,'02. MM-KLH'!$B$6:$T$823,19,0),"")</f>
        <v/>
      </c>
      <c r="U803" s="130"/>
    </row>
    <row r="804" ht="13.5" customHeight="1">
      <c r="A804" s="84"/>
      <c r="B804" s="113"/>
      <c r="C804" s="84"/>
      <c r="D804" s="95" t="str">
        <f>IFERROR(VLOOKUP(B804,'02. MM-KLH'!$B$6:$T$823,3,0),"")</f>
        <v/>
      </c>
      <c r="E804" s="86" t="str">
        <f>IFERROR(VLOOKUP(B804,'02. MM-KLH'!$B$6:$T$823,4,0),"")</f>
        <v/>
      </c>
      <c r="F804" s="931"/>
      <c r="G804" s="86" t="str">
        <f>IFERROR(VLOOKUP(B804,'02. MM-KLH'!$B$6:$T$823,6,0),"")</f>
        <v/>
      </c>
      <c r="H804" s="932"/>
      <c r="I804" s="80" t="str">
        <f>IFERROR(VLOOKUP(B804,'02. MM-KLH'!$B$6:$T$823,8,0),"")</f>
        <v/>
      </c>
      <c r="J804" s="99" t="str">
        <f>IFERROR(VLOOKUP(B804,'02. MM-KLH'!$B$6:$T$823,9,0),"")</f>
        <v/>
      </c>
      <c r="K804" s="80" t="str">
        <f>IFERROR(VLOOKUP(B804,'02. MM-KLH'!$B$6:$T$823,10,0),"")</f>
        <v/>
      </c>
      <c r="L804" s="102" t="str">
        <f>IFERROR(VLOOKUP(B804,'02. MM-KLH'!$B$6:$T$823,11,0),"")</f>
        <v/>
      </c>
      <c r="M804" s="143" t="str">
        <f>IFERROR(VLOOKUP(B804,'02. MM-KLH'!$B$6:$T$823,12,0),"")</f>
        <v/>
      </c>
      <c r="N804" s="108" t="str">
        <f>IFERROR(VLOOKUP(B804,'02. MM-KLH'!$B$6:$T$823,13,0),"")</f>
        <v/>
      </c>
      <c r="O804" s="108" t="str">
        <f>IFERROR(VLOOKUP(B804,'02. MM-KLH'!$B$6:$T$823,14,0),"")</f>
        <v/>
      </c>
      <c r="P804" s="80" t="str">
        <f>IFERROR(VLOOKUP(B804,'02. MM-KLH'!$B$6:$T$823,15,0),"")</f>
        <v/>
      </c>
      <c r="Q804" s="80" t="str">
        <f>IFERROR(VLOOKUP(B804,'02. MM-KLH'!$B$6:$T$823,16,0),"")</f>
        <v/>
      </c>
      <c r="R804" s="106" t="str">
        <f>IFERROR(VLOOKUP(B804,'02. MM-KLH'!$B$6:$T$823,17,0),"")</f>
        <v/>
      </c>
      <c r="S804" s="108" t="str">
        <f>IFERROR(VLOOKUP(B804,'02. MM-KLH'!$B$6:$T$823,18,0),"")</f>
        <v/>
      </c>
      <c r="T804" s="110" t="str">
        <f>IFERROR(VLOOKUP(B804,'02. MM-KLH'!$B$6:$T$823,19,0),"")</f>
        <v/>
      </c>
      <c r="U804" s="130"/>
    </row>
    <row r="805" ht="13.5" customHeight="1">
      <c r="A805" s="84"/>
      <c r="B805" s="113"/>
      <c r="C805" s="84"/>
      <c r="D805" s="95" t="str">
        <f>IFERROR(VLOOKUP(B805,'02. MM-KLH'!$B$6:$T$823,3,0),"")</f>
        <v/>
      </c>
      <c r="E805" s="86" t="str">
        <f>IFERROR(VLOOKUP(B805,'02. MM-KLH'!$B$6:$T$823,4,0),"")</f>
        <v/>
      </c>
      <c r="F805" s="931"/>
      <c r="G805" s="86" t="str">
        <f>IFERROR(VLOOKUP(B805,'02. MM-KLH'!$B$6:$T$823,6,0),"")</f>
        <v/>
      </c>
      <c r="H805" s="932"/>
      <c r="I805" s="80" t="str">
        <f>IFERROR(VLOOKUP(B805,'02. MM-KLH'!$B$6:$T$823,8,0),"")</f>
        <v/>
      </c>
      <c r="J805" s="99" t="str">
        <f>IFERROR(VLOOKUP(B805,'02. MM-KLH'!$B$6:$T$823,9,0),"")</f>
        <v/>
      </c>
      <c r="K805" s="80" t="str">
        <f>IFERROR(VLOOKUP(B805,'02. MM-KLH'!$B$6:$T$823,10,0),"")</f>
        <v/>
      </c>
      <c r="L805" s="102" t="str">
        <f>IFERROR(VLOOKUP(B805,'02. MM-KLH'!$B$6:$T$823,11,0),"")</f>
        <v/>
      </c>
      <c r="M805" s="143" t="str">
        <f>IFERROR(VLOOKUP(B805,'02. MM-KLH'!$B$6:$T$823,12,0),"")</f>
        <v/>
      </c>
      <c r="N805" s="108" t="str">
        <f>IFERROR(VLOOKUP(B805,'02. MM-KLH'!$B$6:$T$823,13,0),"")</f>
        <v/>
      </c>
      <c r="O805" s="108" t="str">
        <f>IFERROR(VLOOKUP(B805,'02. MM-KLH'!$B$6:$T$823,14,0),"")</f>
        <v/>
      </c>
      <c r="P805" s="80" t="str">
        <f>IFERROR(VLOOKUP(B805,'02. MM-KLH'!$B$6:$T$823,15,0),"")</f>
        <v/>
      </c>
      <c r="Q805" s="80" t="str">
        <f>IFERROR(VLOOKUP(B805,'02. MM-KLH'!$B$6:$T$823,16,0),"")</f>
        <v/>
      </c>
      <c r="R805" s="106" t="str">
        <f>IFERROR(VLOOKUP(B805,'02. MM-KLH'!$B$6:$T$823,17,0),"")</f>
        <v/>
      </c>
      <c r="S805" s="108" t="str">
        <f>IFERROR(VLOOKUP(B805,'02. MM-KLH'!$B$6:$T$823,18,0),"")</f>
        <v/>
      </c>
      <c r="T805" s="110" t="str">
        <f>IFERROR(VLOOKUP(B805,'02. MM-KLH'!$B$6:$T$823,19,0),"")</f>
        <v/>
      </c>
      <c r="U805" s="130"/>
    </row>
    <row r="806" ht="13.5" customHeight="1">
      <c r="A806" s="84"/>
      <c r="B806" s="113"/>
      <c r="C806" s="84"/>
      <c r="D806" s="95" t="str">
        <f>IFERROR(VLOOKUP(B806,'02. MM-KLH'!$B$6:$T$823,3,0),"")</f>
        <v/>
      </c>
      <c r="E806" s="86" t="str">
        <f>IFERROR(VLOOKUP(B806,'02. MM-KLH'!$B$6:$T$823,4,0),"")</f>
        <v/>
      </c>
      <c r="F806" s="931"/>
      <c r="G806" s="86" t="str">
        <f>IFERROR(VLOOKUP(B806,'02. MM-KLH'!$B$6:$T$823,6,0),"")</f>
        <v/>
      </c>
      <c r="H806" s="932"/>
      <c r="I806" s="80" t="str">
        <f>IFERROR(VLOOKUP(B806,'02. MM-KLH'!$B$6:$T$823,8,0),"")</f>
        <v/>
      </c>
      <c r="J806" s="99" t="str">
        <f>IFERROR(VLOOKUP(B806,'02. MM-KLH'!$B$6:$T$823,9,0),"")</f>
        <v/>
      </c>
      <c r="K806" s="80" t="str">
        <f>IFERROR(VLOOKUP(B806,'02. MM-KLH'!$B$6:$T$823,10,0),"")</f>
        <v/>
      </c>
      <c r="L806" s="102" t="str">
        <f>IFERROR(VLOOKUP(B806,'02. MM-KLH'!$B$6:$T$823,11,0),"")</f>
        <v/>
      </c>
      <c r="M806" s="143" t="str">
        <f>IFERROR(VLOOKUP(B806,'02. MM-KLH'!$B$6:$T$823,12,0),"")</f>
        <v/>
      </c>
      <c r="N806" s="108" t="str">
        <f>IFERROR(VLOOKUP(B806,'02. MM-KLH'!$B$6:$T$823,13,0),"")</f>
        <v/>
      </c>
      <c r="O806" s="108" t="str">
        <f>IFERROR(VLOOKUP(B806,'02. MM-KLH'!$B$6:$T$823,14,0),"")</f>
        <v/>
      </c>
      <c r="P806" s="80" t="str">
        <f>IFERROR(VLOOKUP(B806,'02. MM-KLH'!$B$6:$T$823,15,0),"")</f>
        <v/>
      </c>
      <c r="Q806" s="80" t="str">
        <f>IFERROR(VLOOKUP(B806,'02. MM-KLH'!$B$6:$T$823,16,0),"")</f>
        <v/>
      </c>
      <c r="R806" s="106" t="str">
        <f>IFERROR(VLOOKUP(B806,'02. MM-KLH'!$B$6:$T$823,17,0),"")</f>
        <v/>
      </c>
      <c r="S806" s="108" t="str">
        <f>IFERROR(VLOOKUP(B806,'02. MM-KLH'!$B$6:$T$823,18,0),"")</f>
        <v/>
      </c>
      <c r="T806" s="110" t="str">
        <f>IFERROR(VLOOKUP(B806,'02. MM-KLH'!$B$6:$T$823,19,0),"")</f>
        <v/>
      </c>
      <c r="U806" s="130"/>
    </row>
    <row r="807" ht="13.5" customHeight="1">
      <c r="A807" s="84"/>
      <c r="B807" s="113"/>
      <c r="C807" s="84"/>
      <c r="D807" s="95" t="str">
        <f>IFERROR(VLOOKUP(B807,'02. MM-KLH'!$B$6:$T$823,3,0),"")</f>
        <v/>
      </c>
      <c r="E807" s="86" t="str">
        <f>IFERROR(VLOOKUP(B807,'02. MM-KLH'!$B$6:$T$823,4,0),"")</f>
        <v/>
      </c>
      <c r="F807" s="931"/>
      <c r="G807" s="86" t="str">
        <f>IFERROR(VLOOKUP(B807,'02. MM-KLH'!$B$6:$T$823,6,0),"")</f>
        <v/>
      </c>
      <c r="H807" s="932"/>
      <c r="I807" s="80" t="str">
        <f>IFERROR(VLOOKUP(B807,'02. MM-KLH'!$B$6:$T$823,8,0),"")</f>
        <v/>
      </c>
      <c r="J807" s="99" t="str">
        <f>IFERROR(VLOOKUP(B807,'02. MM-KLH'!$B$6:$T$823,9,0),"")</f>
        <v/>
      </c>
      <c r="K807" s="80" t="str">
        <f>IFERROR(VLOOKUP(B807,'02. MM-KLH'!$B$6:$T$823,10,0),"")</f>
        <v/>
      </c>
      <c r="L807" s="102" t="str">
        <f>IFERROR(VLOOKUP(B807,'02. MM-KLH'!$B$6:$T$823,11,0),"")</f>
        <v/>
      </c>
      <c r="M807" s="143" t="str">
        <f>IFERROR(VLOOKUP(B807,'02. MM-KLH'!$B$6:$T$823,12,0),"")</f>
        <v/>
      </c>
      <c r="N807" s="108" t="str">
        <f>IFERROR(VLOOKUP(B807,'02. MM-KLH'!$B$6:$T$823,13,0),"")</f>
        <v/>
      </c>
      <c r="O807" s="108" t="str">
        <f>IFERROR(VLOOKUP(B807,'02. MM-KLH'!$B$6:$T$823,14,0),"")</f>
        <v/>
      </c>
      <c r="P807" s="80" t="str">
        <f>IFERROR(VLOOKUP(B807,'02. MM-KLH'!$B$6:$T$823,15,0),"")</f>
        <v/>
      </c>
      <c r="Q807" s="80" t="str">
        <f>IFERROR(VLOOKUP(B807,'02. MM-KLH'!$B$6:$T$823,16,0),"")</f>
        <v/>
      </c>
      <c r="R807" s="106" t="str">
        <f>IFERROR(VLOOKUP(B807,'02. MM-KLH'!$B$6:$T$823,17,0),"")</f>
        <v/>
      </c>
      <c r="S807" s="108" t="str">
        <f>IFERROR(VLOOKUP(B807,'02. MM-KLH'!$B$6:$T$823,18,0),"")</f>
        <v/>
      </c>
      <c r="T807" s="110" t="str">
        <f>IFERROR(VLOOKUP(B807,'02. MM-KLH'!$B$6:$T$823,19,0),"")</f>
        <v/>
      </c>
      <c r="U807" s="130"/>
    </row>
    <row r="808" ht="13.5" customHeight="1">
      <c r="A808" s="84"/>
      <c r="B808" s="113"/>
      <c r="C808" s="84"/>
      <c r="D808" s="95" t="str">
        <f>IFERROR(VLOOKUP(B808,'02. MM-KLH'!$B$6:$T$823,3,0),"")</f>
        <v/>
      </c>
      <c r="E808" s="86" t="str">
        <f>IFERROR(VLOOKUP(B808,'02. MM-KLH'!$B$6:$T$823,4,0),"")</f>
        <v/>
      </c>
      <c r="F808" s="931"/>
      <c r="G808" s="86" t="str">
        <f>IFERROR(VLOOKUP(B808,'02. MM-KLH'!$B$6:$T$823,6,0),"")</f>
        <v/>
      </c>
      <c r="H808" s="932"/>
      <c r="I808" s="80" t="str">
        <f>IFERROR(VLOOKUP(B808,'02. MM-KLH'!$B$6:$T$823,8,0),"")</f>
        <v/>
      </c>
      <c r="J808" s="99" t="str">
        <f>IFERROR(VLOOKUP(B808,'02. MM-KLH'!$B$6:$T$823,9,0),"")</f>
        <v/>
      </c>
      <c r="K808" s="80" t="str">
        <f>IFERROR(VLOOKUP(B808,'02. MM-KLH'!$B$6:$T$823,10,0),"")</f>
        <v/>
      </c>
      <c r="L808" s="102" t="str">
        <f>IFERROR(VLOOKUP(B808,'02. MM-KLH'!$B$6:$T$823,11,0),"")</f>
        <v/>
      </c>
      <c r="M808" s="143" t="str">
        <f>IFERROR(VLOOKUP(B808,'02. MM-KLH'!$B$6:$T$823,12,0),"")</f>
        <v/>
      </c>
      <c r="N808" s="108" t="str">
        <f>IFERROR(VLOOKUP(B808,'02. MM-KLH'!$B$6:$T$823,13,0),"")</f>
        <v/>
      </c>
      <c r="O808" s="108" t="str">
        <f>IFERROR(VLOOKUP(B808,'02. MM-KLH'!$B$6:$T$823,14,0),"")</f>
        <v/>
      </c>
      <c r="P808" s="80" t="str">
        <f>IFERROR(VLOOKUP(B808,'02. MM-KLH'!$B$6:$T$823,15,0),"")</f>
        <v/>
      </c>
      <c r="Q808" s="80" t="str">
        <f>IFERROR(VLOOKUP(B808,'02. MM-KLH'!$B$6:$T$823,16,0),"")</f>
        <v/>
      </c>
      <c r="R808" s="106" t="str">
        <f>IFERROR(VLOOKUP(B808,'02. MM-KLH'!$B$6:$T$823,17,0),"")</f>
        <v/>
      </c>
      <c r="S808" s="108" t="str">
        <f>IFERROR(VLOOKUP(B808,'02. MM-KLH'!$B$6:$T$823,18,0),"")</f>
        <v/>
      </c>
      <c r="T808" s="110" t="str">
        <f>IFERROR(VLOOKUP(B808,'02. MM-KLH'!$B$6:$T$823,19,0),"")</f>
        <v/>
      </c>
      <c r="U808" s="130"/>
    </row>
    <row r="809" ht="13.5" customHeight="1">
      <c r="A809" s="84"/>
      <c r="B809" s="113"/>
      <c r="C809" s="84"/>
      <c r="D809" s="95" t="str">
        <f>IFERROR(VLOOKUP(B809,'02. MM-KLH'!$B$6:$T$823,3,0),"")</f>
        <v/>
      </c>
      <c r="E809" s="86" t="str">
        <f>IFERROR(VLOOKUP(B809,'02. MM-KLH'!$B$6:$T$823,4,0),"")</f>
        <v/>
      </c>
      <c r="F809" s="931"/>
      <c r="G809" s="86" t="str">
        <f>IFERROR(VLOOKUP(B809,'02. MM-KLH'!$B$6:$T$823,6,0),"")</f>
        <v/>
      </c>
      <c r="H809" s="932"/>
      <c r="I809" s="80" t="str">
        <f>IFERROR(VLOOKUP(B809,'02. MM-KLH'!$B$6:$T$823,8,0),"")</f>
        <v/>
      </c>
      <c r="J809" s="99" t="str">
        <f>IFERROR(VLOOKUP(B809,'02. MM-KLH'!$B$6:$T$823,9,0),"")</f>
        <v/>
      </c>
      <c r="K809" s="80" t="str">
        <f>IFERROR(VLOOKUP(B809,'02. MM-KLH'!$B$6:$T$823,10,0),"")</f>
        <v/>
      </c>
      <c r="L809" s="102" t="str">
        <f>IFERROR(VLOOKUP(B809,'02. MM-KLH'!$B$6:$T$823,11,0),"")</f>
        <v/>
      </c>
      <c r="M809" s="143" t="str">
        <f>IFERROR(VLOOKUP(B809,'02. MM-KLH'!$B$6:$T$823,12,0),"")</f>
        <v/>
      </c>
      <c r="N809" s="108" t="str">
        <f>IFERROR(VLOOKUP(B809,'02. MM-KLH'!$B$6:$T$823,13,0),"")</f>
        <v/>
      </c>
      <c r="O809" s="108" t="str">
        <f>IFERROR(VLOOKUP(B809,'02. MM-KLH'!$B$6:$T$823,14,0),"")</f>
        <v/>
      </c>
      <c r="P809" s="80" t="str">
        <f>IFERROR(VLOOKUP(B809,'02. MM-KLH'!$B$6:$T$823,15,0),"")</f>
        <v/>
      </c>
      <c r="Q809" s="80" t="str">
        <f>IFERROR(VLOOKUP(B809,'02. MM-KLH'!$B$6:$T$823,16,0),"")</f>
        <v/>
      </c>
      <c r="R809" s="106" t="str">
        <f>IFERROR(VLOOKUP(B809,'02. MM-KLH'!$B$6:$T$823,17,0),"")</f>
        <v/>
      </c>
      <c r="S809" s="108" t="str">
        <f>IFERROR(VLOOKUP(B809,'02. MM-KLH'!$B$6:$T$823,18,0),"")</f>
        <v/>
      </c>
      <c r="T809" s="110" t="str">
        <f>IFERROR(VLOOKUP(B809,'02. MM-KLH'!$B$6:$T$823,19,0),"")</f>
        <v/>
      </c>
      <c r="U809" s="130"/>
    </row>
    <row r="810" ht="13.5" customHeight="1">
      <c r="A810" s="84"/>
      <c r="B810" s="113"/>
      <c r="C810" s="84"/>
      <c r="D810" s="95" t="str">
        <f>IFERROR(VLOOKUP(B810,'02. MM-KLH'!$B$6:$T$823,3,0),"")</f>
        <v/>
      </c>
      <c r="E810" s="86" t="str">
        <f>IFERROR(VLOOKUP(B810,'02. MM-KLH'!$B$6:$T$823,4,0),"")</f>
        <v/>
      </c>
      <c r="F810" s="931"/>
      <c r="G810" s="86" t="str">
        <f>IFERROR(VLOOKUP(B810,'02. MM-KLH'!$B$6:$T$823,6,0),"")</f>
        <v/>
      </c>
      <c r="H810" s="932"/>
      <c r="I810" s="80" t="str">
        <f>IFERROR(VLOOKUP(B810,'02. MM-KLH'!$B$6:$T$823,8,0),"")</f>
        <v/>
      </c>
      <c r="J810" s="99" t="str">
        <f>IFERROR(VLOOKUP(B810,'02. MM-KLH'!$B$6:$T$823,9,0),"")</f>
        <v/>
      </c>
      <c r="K810" s="80" t="str">
        <f>IFERROR(VLOOKUP(B810,'02. MM-KLH'!$B$6:$T$823,10,0),"")</f>
        <v/>
      </c>
      <c r="L810" s="102" t="str">
        <f>IFERROR(VLOOKUP(B810,'02. MM-KLH'!$B$6:$T$823,11,0),"")</f>
        <v/>
      </c>
      <c r="M810" s="143" t="str">
        <f>IFERROR(VLOOKUP(B810,'02. MM-KLH'!$B$6:$T$823,12,0),"")</f>
        <v/>
      </c>
      <c r="N810" s="108" t="str">
        <f>IFERROR(VLOOKUP(B810,'02. MM-KLH'!$B$6:$T$823,13,0),"")</f>
        <v/>
      </c>
      <c r="O810" s="108" t="str">
        <f>IFERROR(VLOOKUP(B810,'02. MM-KLH'!$B$6:$T$823,14,0),"")</f>
        <v/>
      </c>
      <c r="P810" s="80" t="str">
        <f>IFERROR(VLOOKUP(B810,'02. MM-KLH'!$B$6:$T$823,15,0),"")</f>
        <v/>
      </c>
      <c r="Q810" s="80" t="str">
        <f>IFERROR(VLOOKUP(B810,'02. MM-KLH'!$B$6:$T$823,16,0),"")</f>
        <v/>
      </c>
      <c r="R810" s="106" t="str">
        <f>IFERROR(VLOOKUP(B810,'02. MM-KLH'!$B$6:$T$823,17,0),"")</f>
        <v/>
      </c>
      <c r="S810" s="108" t="str">
        <f>IFERROR(VLOOKUP(B810,'02. MM-KLH'!$B$6:$T$823,18,0),"")</f>
        <v/>
      </c>
      <c r="T810" s="110" t="str">
        <f>IFERROR(VLOOKUP(B810,'02. MM-KLH'!$B$6:$T$823,19,0),"")</f>
        <v/>
      </c>
      <c r="U810" s="130"/>
    </row>
    <row r="811" ht="13.5" customHeight="1">
      <c r="A811" s="84"/>
      <c r="B811" s="113"/>
      <c r="C811" s="84"/>
      <c r="D811" s="95" t="str">
        <f>IFERROR(VLOOKUP(B811,'02. MM-KLH'!$B$6:$T$823,3,0),"")</f>
        <v/>
      </c>
      <c r="E811" s="86" t="str">
        <f>IFERROR(VLOOKUP(B811,'02. MM-KLH'!$B$6:$T$823,4,0),"")</f>
        <v/>
      </c>
      <c r="F811" s="931"/>
      <c r="G811" s="86" t="str">
        <f>IFERROR(VLOOKUP(B811,'02. MM-KLH'!$B$6:$T$823,6,0),"")</f>
        <v/>
      </c>
      <c r="H811" s="932"/>
      <c r="I811" s="80" t="str">
        <f>IFERROR(VLOOKUP(B811,'02. MM-KLH'!$B$6:$T$823,8,0),"")</f>
        <v/>
      </c>
      <c r="J811" s="99" t="str">
        <f>IFERROR(VLOOKUP(B811,'02. MM-KLH'!$B$6:$T$823,9,0),"")</f>
        <v/>
      </c>
      <c r="K811" s="80" t="str">
        <f>IFERROR(VLOOKUP(B811,'02. MM-KLH'!$B$6:$T$823,10,0),"")</f>
        <v/>
      </c>
      <c r="L811" s="102" t="str">
        <f>IFERROR(VLOOKUP(B811,'02. MM-KLH'!$B$6:$T$823,11,0),"")</f>
        <v/>
      </c>
      <c r="M811" s="143" t="str">
        <f>IFERROR(VLOOKUP(B811,'02. MM-KLH'!$B$6:$T$823,12,0),"")</f>
        <v/>
      </c>
      <c r="N811" s="108" t="str">
        <f>IFERROR(VLOOKUP(B811,'02. MM-KLH'!$B$6:$T$823,13,0),"")</f>
        <v/>
      </c>
      <c r="O811" s="108" t="str">
        <f>IFERROR(VLOOKUP(B811,'02. MM-KLH'!$B$6:$T$823,14,0),"")</f>
        <v/>
      </c>
      <c r="P811" s="80" t="str">
        <f>IFERROR(VLOOKUP(B811,'02. MM-KLH'!$B$6:$T$823,15,0),"")</f>
        <v/>
      </c>
      <c r="Q811" s="80" t="str">
        <f>IFERROR(VLOOKUP(B811,'02. MM-KLH'!$B$6:$T$823,16,0),"")</f>
        <v/>
      </c>
      <c r="R811" s="106" t="str">
        <f>IFERROR(VLOOKUP(B811,'02. MM-KLH'!$B$6:$T$823,17,0),"")</f>
        <v/>
      </c>
      <c r="S811" s="108" t="str">
        <f>IFERROR(VLOOKUP(B811,'02. MM-KLH'!$B$6:$T$823,18,0),"")</f>
        <v/>
      </c>
      <c r="T811" s="110" t="str">
        <f>IFERROR(VLOOKUP(B811,'02. MM-KLH'!$B$6:$T$823,19,0),"")</f>
        <v/>
      </c>
      <c r="U811" s="130"/>
    </row>
    <row r="812" ht="13.5" customHeight="1">
      <c r="A812" s="84"/>
      <c r="B812" s="113"/>
      <c r="C812" s="84"/>
      <c r="D812" s="95" t="str">
        <f>IFERROR(VLOOKUP(B812,'02. MM-KLH'!$B$6:$T$823,3,0),"")</f>
        <v/>
      </c>
      <c r="E812" s="86" t="str">
        <f>IFERROR(VLOOKUP(B812,'02. MM-KLH'!$B$6:$T$823,4,0),"")</f>
        <v/>
      </c>
      <c r="F812" s="931"/>
      <c r="G812" s="86" t="str">
        <f>IFERROR(VLOOKUP(B812,'02. MM-KLH'!$B$6:$T$823,6,0),"")</f>
        <v/>
      </c>
      <c r="H812" s="932"/>
      <c r="I812" s="80" t="str">
        <f>IFERROR(VLOOKUP(B812,'02. MM-KLH'!$B$6:$T$823,8,0),"")</f>
        <v/>
      </c>
      <c r="J812" s="99" t="str">
        <f>IFERROR(VLOOKUP(B812,'02. MM-KLH'!$B$6:$T$823,9,0),"")</f>
        <v/>
      </c>
      <c r="K812" s="80" t="str">
        <f>IFERROR(VLOOKUP(B812,'02. MM-KLH'!$B$6:$T$823,10,0),"")</f>
        <v/>
      </c>
      <c r="L812" s="102" t="str">
        <f>IFERROR(VLOOKUP(B812,'02. MM-KLH'!$B$6:$T$823,11,0),"")</f>
        <v/>
      </c>
      <c r="M812" s="143" t="str">
        <f>IFERROR(VLOOKUP(B812,'02. MM-KLH'!$B$6:$T$823,12,0),"")</f>
        <v/>
      </c>
      <c r="N812" s="108" t="str">
        <f>IFERROR(VLOOKUP(B812,'02. MM-KLH'!$B$6:$T$823,13,0),"")</f>
        <v/>
      </c>
      <c r="O812" s="108" t="str">
        <f>IFERROR(VLOOKUP(B812,'02. MM-KLH'!$B$6:$T$823,14,0),"")</f>
        <v/>
      </c>
      <c r="P812" s="80" t="str">
        <f>IFERROR(VLOOKUP(B812,'02. MM-KLH'!$B$6:$T$823,15,0),"")</f>
        <v/>
      </c>
      <c r="Q812" s="80" t="str">
        <f>IFERROR(VLOOKUP(B812,'02. MM-KLH'!$B$6:$T$823,16,0),"")</f>
        <v/>
      </c>
      <c r="R812" s="106" t="str">
        <f>IFERROR(VLOOKUP(B812,'02. MM-KLH'!$B$6:$T$823,17,0),"")</f>
        <v/>
      </c>
      <c r="S812" s="108" t="str">
        <f>IFERROR(VLOOKUP(B812,'02. MM-KLH'!$B$6:$T$823,18,0),"")</f>
        <v/>
      </c>
      <c r="T812" s="110" t="str">
        <f>IFERROR(VLOOKUP(B812,'02. MM-KLH'!$B$6:$T$823,19,0),"")</f>
        <v/>
      </c>
      <c r="U812" s="130"/>
    </row>
    <row r="813" ht="13.5" customHeight="1">
      <c r="A813" s="84"/>
      <c r="B813" s="113"/>
      <c r="C813" s="84"/>
      <c r="D813" s="95" t="str">
        <f>IFERROR(VLOOKUP(B813,'02. MM-KLH'!$B$6:$T$823,3,0),"")</f>
        <v/>
      </c>
      <c r="E813" s="86" t="str">
        <f>IFERROR(VLOOKUP(B813,'02. MM-KLH'!$B$6:$T$823,4,0),"")</f>
        <v/>
      </c>
      <c r="F813" s="931"/>
      <c r="G813" s="86" t="str">
        <f>IFERROR(VLOOKUP(B813,'02. MM-KLH'!$B$6:$T$823,6,0),"")</f>
        <v/>
      </c>
      <c r="H813" s="932"/>
      <c r="I813" s="80" t="str">
        <f>IFERROR(VLOOKUP(B813,'02. MM-KLH'!$B$6:$T$823,8,0),"")</f>
        <v/>
      </c>
      <c r="J813" s="99" t="str">
        <f>IFERROR(VLOOKUP(B813,'02. MM-KLH'!$B$6:$T$823,9,0),"")</f>
        <v/>
      </c>
      <c r="K813" s="80" t="str">
        <f>IFERROR(VLOOKUP(B813,'02. MM-KLH'!$B$6:$T$823,10,0),"")</f>
        <v/>
      </c>
      <c r="L813" s="102" t="str">
        <f>IFERROR(VLOOKUP(B813,'02. MM-KLH'!$B$6:$T$823,11,0),"")</f>
        <v/>
      </c>
      <c r="M813" s="143" t="str">
        <f>IFERROR(VLOOKUP(B813,'02. MM-KLH'!$B$6:$T$823,12,0),"")</f>
        <v/>
      </c>
      <c r="N813" s="108" t="str">
        <f>IFERROR(VLOOKUP(B813,'02. MM-KLH'!$B$6:$T$823,13,0),"")</f>
        <v/>
      </c>
      <c r="O813" s="108" t="str">
        <f>IFERROR(VLOOKUP(B813,'02. MM-KLH'!$B$6:$T$823,14,0),"")</f>
        <v/>
      </c>
      <c r="P813" s="80" t="str">
        <f>IFERROR(VLOOKUP(B813,'02. MM-KLH'!$B$6:$T$823,15,0),"")</f>
        <v/>
      </c>
      <c r="Q813" s="80" t="str">
        <f>IFERROR(VLOOKUP(B813,'02. MM-KLH'!$B$6:$T$823,16,0),"")</f>
        <v/>
      </c>
      <c r="R813" s="106" t="str">
        <f>IFERROR(VLOOKUP(B813,'02. MM-KLH'!$B$6:$T$823,17,0),"")</f>
        <v/>
      </c>
      <c r="S813" s="108" t="str">
        <f>IFERROR(VLOOKUP(B813,'02. MM-KLH'!$B$6:$T$823,18,0),"")</f>
        <v/>
      </c>
      <c r="T813" s="110" t="str">
        <f>IFERROR(VLOOKUP(B813,'02. MM-KLH'!$B$6:$T$823,19,0),"")</f>
        <v/>
      </c>
      <c r="U813" s="130"/>
    </row>
    <row r="814" ht="13.5" customHeight="1">
      <c r="A814" s="84"/>
      <c r="B814" s="113"/>
      <c r="C814" s="84"/>
      <c r="D814" s="95" t="str">
        <f>IFERROR(VLOOKUP(B814,'02. MM-KLH'!$B$6:$T$823,3,0),"")</f>
        <v/>
      </c>
      <c r="E814" s="86" t="str">
        <f>IFERROR(VLOOKUP(B814,'02. MM-KLH'!$B$6:$T$823,4,0),"")</f>
        <v/>
      </c>
      <c r="F814" s="931"/>
      <c r="G814" s="86" t="str">
        <f>IFERROR(VLOOKUP(B814,'02. MM-KLH'!$B$6:$T$823,6,0),"")</f>
        <v/>
      </c>
      <c r="H814" s="932"/>
      <c r="I814" s="80" t="str">
        <f>IFERROR(VLOOKUP(B814,'02. MM-KLH'!$B$6:$T$823,8,0),"")</f>
        <v/>
      </c>
      <c r="J814" s="99" t="str">
        <f>IFERROR(VLOOKUP(B814,'02. MM-KLH'!$B$6:$T$823,9,0),"")</f>
        <v/>
      </c>
      <c r="K814" s="80" t="str">
        <f>IFERROR(VLOOKUP(B814,'02. MM-KLH'!$B$6:$T$823,10,0),"")</f>
        <v/>
      </c>
      <c r="L814" s="102" t="str">
        <f>IFERROR(VLOOKUP(B814,'02. MM-KLH'!$B$6:$T$823,11,0),"")</f>
        <v/>
      </c>
      <c r="M814" s="143" t="str">
        <f>IFERROR(VLOOKUP(B814,'02. MM-KLH'!$B$6:$T$823,12,0),"")</f>
        <v/>
      </c>
      <c r="N814" s="108" t="str">
        <f>IFERROR(VLOOKUP(B814,'02. MM-KLH'!$B$6:$T$823,13,0),"")</f>
        <v/>
      </c>
      <c r="O814" s="108" t="str">
        <f>IFERROR(VLOOKUP(B814,'02. MM-KLH'!$B$6:$T$823,14,0),"")</f>
        <v/>
      </c>
      <c r="P814" s="80" t="str">
        <f>IFERROR(VLOOKUP(B814,'02. MM-KLH'!$B$6:$T$823,15,0),"")</f>
        <v/>
      </c>
      <c r="Q814" s="80" t="str">
        <f>IFERROR(VLOOKUP(B814,'02. MM-KLH'!$B$6:$T$823,16,0),"")</f>
        <v/>
      </c>
      <c r="R814" s="106" t="str">
        <f>IFERROR(VLOOKUP(B814,'02. MM-KLH'!$B$6:$T$823,17,0),"")</f>
        <v/>
      </c>
      <c r="S814" s="108" t="str">
        <f>IFERROR(VLOOKUP(B814,'02. MM-KLH'!$B$6:$T$823,18,0),"")</f>
        <v/>
      </c>
      <c r="T814" s="110" t="str">
        <f>IFERROR(VLOOKUP(B814,'02. MM-KLH'!$B$6:$T$823,19,0),"")</f>
        <v/>
      </c>
      <c r="U814" s="130"/>
    </row>
    <row r="815" ht="13.5" customHeight="1">
      <c r="A815" s="84"/>
      <c r="B815" s="113"/>
      <c r="C815" s="84"/>
      <c r="D815" s="95" t="str">
        <f>IFERROR(VLOOKUP(B815,'02. MM-KLH'!$B$6:$T$823,3,0),"")</f>
        <v/>
      </c>
      <c r="E815" s="86" t="str">
        <f>IFERROR(VLOOKUP(B815,'02. MM-KLH'!$B$6:$T$823,4,0),"")</f>
        <v/>
      </c>
      <c r="F815" s="931"/>
      <c r="G815" s="86" t="str">
        <f>IFERROR(VLOOKUP(B815,'02. MM-KLH'!$B$6:$T$823,6,0),"")</f>
        <v/>
      </c>
      <c r="H815" s="932"/>
      <c r="I815" s="80" t="str">
        <f>IFERROR(VLOOKUP(B815,'02. MM-KLH'!$B$6:$T$823,8,0),"")</f>
        <v/>
      </c>
      <c r="J815" s="99" t="str">
        <f>IFERROR(VLOOKUP(B815,'02. MM-KLH'!$B$6:$T$823,9,0),"")</f>
        <v/>
      </c>
      <c r="K815" s="80" t="str">
        <f>IFERROR(VLOOKUP(B815,'02. MM-KLH'!$B$6:$T$823,10,0),"")</f>
        <v/>
      </c>
      <c r="L815" s="102" t="str">
        <f>IFERROR(VLOOKUP(B815,'02. MM-KLH'!$B$6:$T$823,11,0),"")</f>
        <v/>
      </c>
      <c r="M815" s="143" t="str">
        <f>IFERROR(VLOOKUP(B815,'02. MM-KLH'!$B$6:$T$823,12,0),"")</f>
        <v/>
      </c>
      <c r="N815" s="108" t="str">
        <f>IFERROR(VLOOKUP(B815,'02. MM-KLH'!$B$6:$T$823,13,0),"")</f>
        <v/>
      </c>
      <c r="O815" s="108" t="str">
        <f>IFERROR(VLOOKUP(B815,'02. MM-KLH'!$B$6:$T$823,14,0),"")</f>
        <v/>
      </c>
      <c r="P815" s="80" t="str">
        <f>IFERROR(VLOOKUP(B815,'02. MM-KLH'!$B$6:$T$823,15,0),"")</f>
        <v/>
      </c>
      <c r="Q815" s="80" t="str">
        <f>IFERROR(VLOOKUP(B815,'02. MM-KLH'!$B$6:$T$823,16,0),"")</f>
        <v/>
      </c>
      <c r="R815" s="106" t="str">
        <f>IFERROR(VLOOKUP(B815,'02. MM-KLH'!$B$6:$T$823,17,0),"")</f>
        <v/>
      </c>
      <c r="S815" s="108" t="str">
        <f>IFERROR(VLOOKUP(B815,'02. MM-KLH'!$B$6:$T$823,18,0),"")</f>
        <v/>
      </c>
      <c r="T815" s="110" t="str">
        <f>IFERROR(VLOOKUP(B815,'02. MM-KLH'!$B$6:$T$823,19,0),"")</f>
        <v/>
      </c>
      <c r="U815" s="130"/>
    </row>
    <row r="816" ht="13.5" customHeight="1">
      <c r="A816" s="84"/>
      <c r="B816" s="113"/>
      <c r="C816" s="84"/>
      <c r="D816" s="95" t="str">
        <f>IFERROR(VLOOKUP(B816,'02. MM-KLH'!$B$6:$T$823,3,0),"")</f>
        <v/>
      </c>
      <c r="E816" s="86" t="str">
        <f>IFERROR(VLOOKUP(B816,'02. MM-KLH'!$B$6:$T$823,4,0),"")</f>
        <v/>
      </c>
      <c r="F816" s="931"/>
      <c r="G816" s="86" t="str">
        <f>IFERROR(VLOOKUP(B816,'02. MM-KLH'!$B$6:$T$823,6,0),"")</f>
        <v/>
      </c>
      <c r="H816" s="932"/>
      <c r="I816" s="80" t="str">
        <f>IFERROR(VLOOKUP(B816,'02. MM-KLH'!$B$6:$T$823,8,0),"")</f>
        <v/>
      </c>
      <c r="J816" s="99" t="str">
        <f>IFERROR(VLOOKUP(B816,'02. MM-KLH'!$B$6:$T$823,9,0),"")</f>
        <v/>
      </c>
      <c r="K816" s="80" t="str">
        <f>IFERROR(VLOOKUP(B816,'02. MM-KLH'!$B$6:$T$823,10,0),"")</f>
        <v/>
      </c>
      <c r="L816" s="102" t="str">
        <f>IFERROR(VLOOKUP(B816,'02. MM-KLH'!$B$6:$T$823,11,0),"")</f>
        <v/>
      </c>
      <c r="M816" s="143" t="str">
        <f>IFERROR(VLOOKUP(B816,'02. MM-KLH'!$B$6:$T$823,12,0),"")</f>
        <v/>
      </c>
      <c r="N816" s="108" t="str">
        <f>IFERROR(VLOOKUP(B816,'02. MM-KLH'!$B$6:$T$823,13,0),"")</f>
        <v/>
      </c>
      <c r="O816" s="108" t="str">
        <f>IFERROR(VLOOKUP(B816,'02. MM-KLH'!$B$6:$T$823,14,0),"")</f>
        <v/>
      </c>
      <c r="P816" s="80" t="str">
        <f>IFERROR(VLOOKUP(B816,'02. MM-KLH'!$B$6:$T$823,15,0),"")</f>
        <v/>
      </c>
      <c r="Q816" s="80" t="str">
        <f>IFERROR(VLOOKUP(B816,'02. MM-KLH'!$B$6:$T$823,16,0),"")</f>
        <v/>
      </c>
      <c r="R816" s="106" t="str">
        <f>IFERROR(VLOOKUP(B816,'02. MM-KLH'!$B$6:$T$823,17,0),"")</f>
        <v/>
      </c>
      <c r="S816" s="108" t="str">
        <f>IFERROR(VLOOKUP(B816,'02. MM-KLH'!$B$6:$T$823,18,0),"")</f>
        <v/>
      </c>
      <c r="T816" s="110" t="str">
        <f>IFERROR(VLOOKUP(B816,'02. MM-KLH'!$B$6:$T$823,19,0),"")</f>
        <v/>
      </c>
      <c r="U816" s="130"/>
    </row>
    <row r="817" ht="13.5" customHeight="1">
      <c r="A817" s="84"/>
      <c r="B817" s="113"/>
      <c r="C817" s="84"/>
      <c r="D817" s="95" t="str">
        <f>IFERROR(VLOOKUP(B817,'02. MM-KLH'!$B$6:$T$823,3,0),"")</f>
        <v/>
      </c>
      <c r="E817" s="86" t="str">
        <f>IFERROR(VLOOKUP(B817,'02. MM-KLH'!$B$6:$T$823,4,0),"")</f>
        <v/>
      </c>
      <c r="F817" s="931"/>
      <c r="G817" s="86" t="str">
        <f>IFERROR(VLOOKUP(B817,'02. MM-KLH'!$B$6:$T$823,6,0),"")</f>
        <v/>
      </c>
      <c r="H817" s="932"/>
      <c r="I817" s="80" t="str">
        <f>IFERROR(VLOOKUP(B817,'02. MM-KLH'!$B$6:$T$823,8,0),"")</f>
        <v/>
      </c>
      <c r="J817" s="99" t="str">
        <f>IFERROR(VLOOKUP(B817,'02. MM-KLH'!$B$6:$T$823,9,0),"")</f>
        <v/>
      </c>
      <c r="K817" s="80" t="str">
        <f>IFERROR(VLOOKUP(B817,'02. MM-KLH'!$B$6:$T$823,10,0),"")</f>
        <v/>
      </c>
      <c r="L817" s="102" t="str">
        <f>IFERROR(VLOOKUP(B817,'02. MM-KLH'!$B$6:$T$823,11,0),"")</f>
        <v/>
      </c>
      <c r="M817" s="143" t="str">
        <f>IFERROR(VLOOKUP(B817,'02. MM-KLH'!$B$6:$T$823,12,0),"")</f>
        <v/>
      </c>
      <c r="N817" s="108" t="str">
        <f>IFERROR(VLOOKUP(B817,'02. MM-KLH'!$B$6:$T$823,13,0),"")</f>
        <v/>
      </c>
      <c r="O817" s="108" t="str">
        <f>IFERROR(VLOOKUP(B817,'02. MM-KLH'!$B$6:$T$823,14,0),"")</f>
        <v/>
      </c>
      <c r="P817" s="80" t="str">
        <f>IFERROR(VLOOKUP(B817,'02. MM-KLH'!$B$6:$T$823,15,0),"")</f>
        <v/>
      </c>
      <c r="Q817" s="80" t="str">
        <f>IFERROR(VLOOKUP(B817,'02. MM-KLH'!$B$6:$T$823,16,0),"")</f>
        <v/>
      </c>
      <c r="R817" s="106" t="str">
        <f>IFERROR(VLOOKUP(B817,'02. MM-KLH'!$B$6:$T$823,17,0),"")</f>
        <v/>
      </c>
      <c r="S817" s="108" t="str">
        <f>IFERROR(VLOOKUP(B817,'02. MM-KLH'!$B$6:$T$823,18,0),"")</f>
        <v/>
      </c>
      <c r="T817" s="110" t="str">
        <f>IFERROR(VLOOKUP(B817,'02. MM-KLH'!$B$6:$T$823,19,0),"")</f>
        <v/>
      </c>
      <c r="U817" s="130"/>
    </row>
    <row r="818" ht="13.5" customHeight="1">
      <c r="A818" s="84"/>
      <c r="B818" s="113"/>
      <c r="C818" s="84"/>
      <c r="D818" s="95" t="str">
        <f>IFERROR(VLOOKUP(B818,'02. MM-KLH'!$B$6:$T$823,3,0),"")</f>
        <v/>
      </c>
      <c r="E818" s="86" t="str">
        <f>IFERROR(VLOOKUP(B818,'02. MM-KLH'!$B$6:$T$823,4,0),"")</f>
        <v/>
      </c>
      <c r="F818" s="931"/>
      <c r="G818" s="86" t="str">
        <f>IFERROR(VLOOKUP(B818,'02. MM-KLH'!$B$6:$T$823,6,0),"")</f>
        <v/>
      </c>
      <c r="H818" s="932"/>
      <c r="I818" s="80" t="str">
        <f>IFERROR(VLOOKUP(B818,'02. MM-KLH'!$B$6:$T$823,8,0),"")</f>
        <v/>
      </c>
      <c r="J818" s="99" t="str">
        <f>IFERROR(VLOOKUP(B818,'02. MM-KLH'!$B$6:$T$823,9,0),"")</f>
        <v/>
      </c>
      <c r="K818" s="80" t="str">
        <f>IFERROR(VLOOKUP(B818,'02. MM-KLH'!$B$6:$T$823,10,0),"")</f>
        <v/>
      </c>
      <c r="L818" s="102" t="str">
        <f>IFERROR(VLOOKUP(B818,'02. MM-KLH'!$B$6:$T$823,11,0),"")</f>
        <v/>
      </c>
      <c r="M818" s="143" t="str">
        <f>IFERROR(VLOOKUP(B818,'02. MM-KLH'!$B$6:$T$823,12,0),"")</f>
        <v/>
      </c>
      <c r="N818" s="108" t="str">
        <f>IFERROR(VLOOKUP(B818,'02. MM-KLH'!$B$6:$T$823,13,0),"")</f>
        <v/>
      </c>
      <c r="O818" s="108" t="str">
        <f>IFERROR(VLOOKUP(B818,'02. MM-KLH'!$B$6:$T$823,14,0),"")</f>
        <v/>
      </c>
      <c r="P818" s="80" t="str">
        <f>IFERROR(VLOOKUP(B818,'02. MM-KLH'!$B$6:$T$823,15,0),"")</f>
        <v/>
      </c>
      <c r="Q818" s="80" t="str">
        <f>IFERROR(VLOOKUP(B818,'02. MM-KLH'!$B$6:$T$823,16,0),"")</f>
        <v/>
      </c>
      <c r="R818" s="106" t="str">
        <f>IFERROR(VLOOKUP(B818,'02. MM-KLH'!$B$6:$T$823,17,0),"")</f>
        <v/>
      </c>
      <c r="S818" s="108" t="str">
        <f>IFERROR(VLOOKUP(B818,'02. MM-KLH'!$B$6:$T$823,18,0),"")</f>
        <v/>
      </c>
      <c r="T818" s="110" t="str">
        <f>IFERROR(VLOOKUP(B818,'02. MM-KLH'!$B$6:$T$823,19,0),"")</f>
        <v/>
      </c>
      <c r="U818" s="130"/>
    </row>
    <row r="819" ht="13.5" customHeight="1">
      <c r="A819" s="84"/>
      <c r="B819" s="113"/>
      <c r="C819" s="84"/>
      <c r="D819" s="95" t="str">
        <f>IFERROR(VLOOKUP(B819,'02. MM-KLH'!$B$6:$T$823,3,0),"")</f>
        <v/>
      </c>
      <c r="E819" s="86" t="str">
        <f>IFERROR(VLOOKUP(B819,'02. MM-KLH'!$B$6:$T$823,4,0),"")</f>
        <v/>
      </c>
      <c r="F819" s="931"/>
      <c r="G819" s="86" t="str">
        <f>IFERROR(VLOOKUP(B819,'02. MM-KLH'!$B$6:$T$823,6,0),"")</f>
        <v/>
      </c>
      <c r="H819" s="932"/>
      <c r="I819" s="80" t="str">
        <f>IFERROR(VLOOKUP(B819,'02. MM-KLH'!$B$6:$T$823,8,0),"")</f>
        <v/>
      </c>
      <c r="J819" s="99" t="str">
        <f>IFERROR(VLOOKUP(B819,'02. MM-KLH'!$B$6:$T$823,9,0),"")</f>
        <v/>
      </c>
      <c r="K819" s="80" t="str">
        <f>IFERROR(VLOOKUP(B819,'02. MM-KLH'!$B$6:$T$823,10,0),"")</f>
        <v/>
      </c>
      <c r="L819" s="102" t="str">
        <f>IFERROR(VLOOKUP(B819,'02. MM-KLH'!$B$6:$T$823,11,0),"")</f>
        <v/>
      </c>
      <c r="M819" s="143" t="str">
        <f>IFERROR(VLOOKUP(B819,'02. MM-KLH'!$B$6:$T$823,12,0),"")</f>
        <v/>
      </c>
      <c r="N819" s="108" t="str">
        <f>IFERROR(VLOOKUP(B819,'02. MM-KLH'!$B$6:$T$823,13,0),"")</f>
        <v/>
      </c>
      <c r="O819" s="108" t="str">
        <f>IFERROR(VLOOKUP(B819,'02. MM-KLH'!$B$6:$T$823,14,0),"")</f>
        <v/>
      </c>
      <c r="P819" s="80" t="str">
        <f>IFERROR(VLOOKUP(B819,'02. MM-KLH'!$B$6:$T$823,15,0),"")</f>
        <v/>
      </c>
      <c r="Q819" s="80" t="str">
        <f>IFERROR(VLOOKUP(B819,'02. MM-KLH'!$B$6:$T$823,16,0),"")</f>
        <v/>
      </c>
      <c r="R819" s="106" t="str">
        <f>IFERROR(VLOOKUP(B819,'02. MM-KLH'!$B$6:$T$823,17,0),"")</f>
        <v/>
      </c>
      <c r="S819" s="108" t="str">
        <f>IFERROR(VLOOKUP(B819,'02. MM-KLH'!$B$6:$T$823,18,0),"")</f>
        <v/>
      </c>
      <c r="T819" s="110" t="str">
        <f>IFERROR(VLOOKUP(B819,'02. MM-KLH'!$B$6:$T$823,19,0),"")</f>
        <v/>
      </c>
      <c r="U819" s="130"/>
    </row>
    <row r="820" ht="13.5" customHeight="1">
      <c r="A820" s="84"/>
      <c r="B820" s="113"/>
      <c r="C820" s="84"/>
      <c r="D820" s="95" t="str">
        <f>IFERROR(VLOOKUP(B820,'02. MM-KLH'!$B$6:$T$823,3,0),"")</f>
        <v/>
      </c>
      <c r="E820" s="86" t="str">
        <f>IFERROR(VLOOKUP(B820,'02. MM-KLH'!$B$6:$T$823,4,0),"")</f>
        <v/>
      </c>
      <c r="F820" s="931"/>
      <c r="G820" s="86" t="str">
        <f>IFERROR(VLOOKUP(B820,'02. MM-KLH'!$B$6:$T$823,6,0),"")</f>
        <v/>
      </c>
      <c r="H820" s="932"/>
      <c r="I820" s="80" t="str">
        <f>IFERROR(VLOOKUP(B820,'02. MM-KLH'!$B$6:$T$823,8,0),"")</f>
        <v/>
      </c>
      <c r="J820" s="99" t="str">
        <f>IFERROR(VLOOKUP(B820,'02. MM-KLH'!$B$6:$T$823,9,0),"")</f>
        <v/>
      </c>
      <c r="K820" s="80" t="str">
        <f>IFERROR(VLOOKUP(B820,'02. MM-KLH'!$B$6:$T$823,10,0),"")</f>
        <v/>
      </c>
      <c r="L820" s="102" t="str">
        <f>IFERROR(VLOOKUP(B820,'02. MM-KLH'!$B$6:$T$823,11,0),"")</f>
        <v/>
      </c>
      <c r="M820" s="143" t="str">
        <f>IFERROR(VLOOKUP(B820,'02. MM-KLH'!$B$6:$T$823,12,0),"")</f>
        <v/>
      </c>
      <c r="N820" s="108" t="str">
        <f>IFERROR(VLOOKUP(B820,'02. MM-KLH'!$B$6:$T$823,13,0),"")</f>
        <v/>
      </c>
      <c r="O820" s="108" t="str">
        <f>IFERROR(VLOOKUP(B820,'02. MM-KLH'!$B$6:$T$823,14,0),"")</f>
        <v/>
      </c>
      <c r="P820" s="80" t="str">
        <f>IFERROR(VLOOKUP(B820,'02. MM-KLH'!$B$6:$T$823,15,0),"")</f>
        <v/>
      </c>
      <c r="Q820" s="80" t="str">
        <f>IFERROR(VLOOKUP(B820,'02. MM-KLH'!$B$6:$T$823,16,0),"")</f>
        <v/>
      </c>
      <c r="R820" s="106" t="str">
        <f>IFERROR(VLOOKUP(B820,'02. MM-KLH'!$B$6:$T$823,17,0),"")</f>
        <v/>
      </c>
      <c r="S820" s="108" t="str">
        <f>IFERROR(VLOOKUP(B820,'02. MM-KLH'!$B$6:$T$823,18,0),"")</f>
        <v/>
      </c>
      <c r="T820" s="110" t="str">
        <f>IFERROR(VLOOKUP(B820,'02. MM-KLH'!$B$6:$T$823,19,0),"")</f>
        <v/>
      </c>
      <c r="U820" s="130"/>
    </row>
    <row r="821" ht="13.5" customHeight="1">
      <c r="A821" s="84"/>
      <c r="B821" s="113"/>
      <c r="C821" s="84"/>
      <c r="D821" s="95" t="str">
        <f>IFERROR(VLOOKUP(B821,'02. MM-KLH'!$B$6:$T$823,3,0),"")</f>
        <v/>
      </c>
      <c r="E821" s="86" t="str">
        <f>IFERROR(VLOOKUP(B821,'02. MM-KLH'!$B$6:$T$823,4,0),"")</f>
        <v/>
      </c>
      <c r="F821" s="931"/>
      <c r="G821" s="86" t="str">
        <f>IFERROR(VLOOKUP(B821,'02. MM-KLH'!$B$6:$T$823,6,0),"")</f>
        <v/>
      </c>
      <c r="H821" s="932"/>
      <c r="I821" s="80" t="str">
        <f>IFERROR(VLOOKUP(B821,'02. MM-KLH'!$B$6:$T$823,8,0),"")</f>
        <v/>
      </c>
      <c r="J821" s="99" t="str">
        <f>IFERROR(VLOOKUP(B821,'02. MM-KLH'!$B$6:$T$823,9,0),"")</f>
        <v/>
      </c>
      <c r="K821" s="80" t="str">
        <f>IFERROR(VLOOKUP(B821,'02. MM-KLH'!$B$6:$T$823,10,0),"")</f>
        <v/>
      </c>
      <c r="L821" s="102" t="str">
        <f>IFERROR(VLOOKUP(B821,'02. MM-KLH'!$B$6:$T$823,11,0),"")</f>
        <v/>
      </c>
      <c r="M821" s="143" t="str">
        <f>IFERROR(VLOOKUP(B821,'02. MM-KLH'!$B$6:$T$823,12,0),"")</f>
        <v/>
      </c>
      <c r="N821" s="108" t="str">
        <f>IFERROR(VLOOKUP(B821,'02. MM-KLH'!$B$6:$T$823,13,0),"")</f>
        <v/>
      </c>
      <c r="O821" s="108" t="str">
        <f>IFERROR(VLOOKUP(B821,'02. MM-KLH'!$B$6:$T$823,14,0),"")</f>
        <v/>
      </c>
      <c r="P821" s="80" t="str">
        <f>IFERROR(VLOOKUP(B821,'02. MM-KLH'!$B$6:$T$823,15,0),"")</f>
        <v/>
      </c>
      <c r="Q821" s="80" t="str">
        <f>IFERROR(VLOOKUP(B821,'02. MM-KLH'!$B$6:$T$823,16,0),"")</f>
        <v/>
      </c>
      <c r="R821" s="106" t="str">
        <f>IFERROR(VLOOKUP(B821,'02. MM-KLH'!$B$6:$T$823,17,0),"")</f>
        <v/>
      </c>
      <c r="S821" s="108" t="str">
        <f>IFERROR(VLOOKUP(B821,'02. MM-KLH'!$B$6:$T$823,18,0),"")</f>
        <v/>
      </c>
      <c r="T821" s="110" t="str">
        <f>IFERROR(VLOOKUP(B821,'02. MM-KLH'!$B$6:$T$823,19,0),"")</f>
        <v/>
      </c>
      <c r="U821" s="130"/>
    </row>
    <row r="822" ht="13.5" customHeight="1">
      <c r="A822" s="84"/>
      <c r="B822" s="113"/>
      <c r="C822" s="84"/>
      <c r="D822" s="95" t="str">
        <f>IFERROR(VLOOKUP(B822,'02. MM-KLH'!$B$6:$T$823,3,0),"")</f>
        <v/>
      </c>
      <c r="E822" s="86" t="str">
        <f>IFERROR(VLOOKUP(B822,'02. MM-KLH'!$B$6:$T$823,4,0),"")</f>
        <v/>
      </c>
      <c r="F822" s="931"/>
      <c r="G822" s="86" t="str">
        <f>IFERROR(VLOOKUP(B822,'02. MM-KLH'!$B$6:$T$823,6,0),"")</f>
        <v/>
      </c>
      <c r="H822" s="932"/>
      <c r="I822" s="80" t="str">
        <f>IFERROR(VLOOKUP(B822,'02. MM-KLH'!$B$6:$T$823,8,0),"")</f>
        <v/>
      </c>
      <c r="J822" s="99" t="str">
        <f>IFERROR(VLOOKUP(B822,'02. MM-KLH'!$B$6:$T$823,9,0),"")</f>
        <v/>
      </c>
      <c r="K822" s="80" t="str">
        <f>IFERROR(VLOOKUP(B822,'02. MM-KLH'!$B$6:$T$823,10,0),"")</f>
        <v/>
      </c>
      <c r="L822" s="102" t="str">
        <f>IFERROR(VLOOKUP(B822,'02. MM-KLH'!$B$6:$T$823,11,0),"")</f>
        <v/>
      </c>
      <c r="M822" s="143" t="str">
        <f>IFERROR(VLOOKUP(B822,'02. MM-KLH'!$B$6:$T$823,12,0),"")</f>
        <v/>
      </c>
      <c r="N822" s="108" t="str">
        <f>IFERROR(VLOOKUP(B822,'02. MM-KLH'!$B$6:$T$823,13,0),"")</f>
        <v/>
      </c>
      <c r="O822" s="108" t="str">
        <f>IFERROR(VLOOKUP(B822,'02. MM-KLH'!$B$6:$T$823,14,0),"")</f>
        <v/>
      </c>
      <c r="P822" s="80" t="str">
        <f>IFERROR(VLOOKUP(B822,'02. MM-KLH'!$B$6:$T$823,15,0),"")</f>
        <v/>
      </c>
      <c r="Q822" s="80" t="str">
        <f>IFERROR(VLOOKUP(B822,'02. MM-KLH'!$B$6:$T$823,16,0),"")</f>
        <v/>
      </c>
      <c r="R822" s="106" t="str">
        <f>IFERROR(VLOOKUP(B822,'02. MM-KLH'!$B$6:$T$823,17,0),"")</f>
        <v/>
      </c>
      <c r="S822" s="108" t="str">
        <f>IFERROR(VLOOKUP(B822,'02. MM-KLH'!$B$6:$T$823,18,0),"")</f>
        <v/>
      </c>
      <c r="T822" s="110" t="str">
        <f>IFERROR(VLOOKUP(B822,'02. MM-KLH'!$B$6:$T$823,19,0),"")</f>
        <v/>
      </c>
      <c r="U822" s="130"/>
    </row>
    <row r="823" ht="13.5" customHeight="1">
      <c r="A823" s="84"/>
      <c r="B823" s="113"/>
      <c r="C823" s="84"/>
      <c r="D823" s="95" t="str">
        <f>IFERROR(VLOOKUP(B823,'02. MM-KLH'!$B$6:$T$823,3,0),"")</f>
        <v/>
      </c>
      <c r="E823" s="86" t="str">
        <f>IFERROR(VLOOKUP(B823,'02. MM-KLH'!$B$6:$T$823,4,0),"")</f>
        <v/>
      </c>
      <c r="F823" s="931"/>
      <c r="G823" s="86" t="str">
        <f>IFERROR(VLOOKUP(B823,'02. MM-KLH'!$B$6:$T$823,6,0),"")</f>
        <v/>
      </c>
      <c r="H823" s="932"/>
      <c r="I823" s="80" t="str">
        <f>IFERROR(VLOOKUP(B823,'02. MM-KLH'!$B$6:$T$823,8,0),"")</f>
        <v/>
      </c>
      <c r="J823" s="99" t="str">
        <f>IFERROR(VLOOKUP(B823,'02. MM-KLH'!$B$6:$T$823,9,0),"")</f>
        <v/>
      </c>
      <c r="K823" s="80" t="str">
        <f>IFERROR(VLOOKUP(B823,'02. MM-KLH'!$B$6:$T$823,10,0),"")</f>
        <v/>
      </c>
      <c r="L823" s="102" t="str">
        <f>IFERROR(VLOOKUP(B823,'02. MM-KLH'!$B$6:$T$823,11,0),"")</f>
        <v/>
      </c>
      <c r="M823" s="143" t="str">
        <f>IFERROR(VLOOKUP(B823,'02. MM-KLH'!$B$6:$T$823,12,0),"")</f>
        <v/>
      </c>
      <c r="N823" s="108" t="str">
        <f>IFERROR(VLOOKUP(B823,'02. MM-KLH'!$B$6:$T$823,13,0),"")</f>
        <v/>
      </c>
      <c r="O823" s="108" t="str">
        <f>IFERROR(VLOOKUP(B823,'02. MM-KLH'!$B$6:$T$823,14,0),"")</f>
        <v/>
      </c>
      <c r="P823" s="80" t="str">
        <f>IFERROR(VLOOKUP(B823,'02. MM-KLH'!$B$6:$T$823,15,0),"")</f>
        <v/>
      </c>
      <c r="Q823" s="80" t="str">
        <f>IFERROR(VLOOKUP(B823,'02. MM-KLH'!$B$6:$T$823,16,0),"")</f>
        <v/>
      </c>
      <c r="R823" s="106" t="str">
        <f>IFERROR(VLOOKUP(B823,'02. MM-KLH'!$B$6:$T$823,17,0),"")</f>
        <v/>
      </c>
      <c r="S823" s="108" t="str">
        <f>IFERROR(VLOOKUP(B823,'02. MM-KLH'!$B$6:$T$823,18,0),"")</f>
        <v/>
      </c>
      <c r="T823" s="110" t="str">
        <f>IFERROR(VLOOKUP(B823,'02. MM-KLH'!$B$6:$T$823,19,0),"")</f>
        <v/>
      </c>
      <c r="U823" s="130"/>
    </row>
    <row r="824" ht="13.5" customHeight="1">
      <c r="A824" s="84"/>
      <c r="B824" s="113"/>
      <c r="C824" s="84"/>
      <c r="D824" s="95" t="str">
        <f>IFERROR(VLOOKUP(B824,'02. MM-KLH'!$B$6:$T$823,3,0),"")</f>
        <v/>
      </c>
      <c r="E824" s="86" t="str">
        <f>IFERROR(VLOOKUP(B824,'02. MM-KLH'!$B$6:$T$823,4,0),"")</f>
        <v/>
      </c>
      <c r="F824" s="931"/>
      <c r="G824" s="86" t="str">
        <f>IFERROR(VLOOKUP(B824,'02. MM-KLH'!$B$6:$T$823,6,0),"")</f>
        <v/>
      </c>
      <c r="H824" s="932"/>
      <c r="I824" s="80" t="str">
        <f>IFERROR(VLOOKUP(B824,'02. MM-KLH'!$B$6:$T$823,8,0),"")</f>
        <v/>
      </c>
      <c r="J824" s="99" t="str">
        <f>IFERROR(VLOOKUP(B824,'02. MM-KLH'!$B$6:$T$823,9,0),"")</f>
        <v/>
      </c>
      <c r="K824" s="80" t="str">
        <f>IFERROR(VLOOKUP(B824,'02. MM-KLH'!$B$6:$T$823,10,0),"")</f>
        <v/>
      </c>
      <c r="L824" s="102" t="str">
        <f>IFERROR(VLOOKUP(B824,'02. MM-KLH'!$B$6:$T$823,11,0),"")</f>
        <v/>
      </c>
      <c r="M824" s="143" t="str">
        <f>IFERROR(VLOOKUP(B824,'02. MM-KLH'!$B$6:$T$823,12,0),"")</f>
        <v/>
      </c>
      <c r="N824" s="108" t="str">
        <f>IFERROR(VLOOKUP(B824,'02. MM-KLH'!$B$6:$T$823,13,0),"")</f>
        <v/>
      </c>
      <c r="O824" s="108" t="str">
        <f>IFERROR(VLOOKUP(B824,'02. MM-KLH'!$B$6:$T$823,14,0),"")</f>
        <v/>
      </c>
      <c r="P824" s="80" t="str">
        <f>IFERROR(VLOOKUP(B824,'02. MM-KLH'!$B$6:$T$823,15,0),"")</f>
        <v/>
      </c>
      <c r="Q824" s="80" t="str">
        <f>IFERROR(VLOOKUP(B824,'02. MM-KLH'!$B$6:$T$823,16,0),"")</f>
        <v/>
      </c>
      <c r="R824" s="106" t="str">
        <f>IFERROR(VLOOKUP(B824,'02. MM-KLH'!$B$6:$T$823,17,0),"")</f>
        <v/>
      </c>
      <c r="S824" s="108" t="str">
        <f>IFERROR(VLOOKUP(B824,'02. MM-KLH'!$B$6:$T$823,18,0),"")</f>
        <v/>
      </c>
      <c r="T824" s="110" t="str">
        <f>IFERROR(VLOOKUP(B824,'02. MM-KLH'!$B$6:$T$823,19,0),"")</f>
        <v/>
      </c>
      <c r="U824" s="130"/>
    </row>
    <row r="825" ht="13.5" customHeight="1">
      <c r="A825" s="84"/>
      <c r="B825" s="113"/>
      <c r="C825" s="84"/>
      <c r="D825" s="95" t="str">
        <f>IFERROR(VLOOKUP(B825,'02. MM-KLH'!$B$6:$T$823,3,0),"")</f>
        <v/>
      </c>
      <c r="E825" s="86" t="str">
        <f>IFERROR(VLOOKUP(B825,'02. MM-KLH'!$B$6:$T$823,4,0),"")</f>
        <v/>
      </c>
      <c r="F825" s="931"/>
      <c r="G825" s="86" t="str">
        <f>IFERROR(VLOOKUP(B825,'02. MM-KLH'!$B$6:$T$823,6,0),"")</f>
        <v/>
      </c>
      <c r="H825" s="932"/>
      <c r="I825" s="80" t="str">
        <f>IFERROR(VLOOKUP(B825,'02. MM-KLH'!$B$6:$T$823,8,0),"")</f>
        <v/>
      </c>
      <c r="J825" s="99" t="str">
        <f>IFERROR(VLOOKUP(B825,'02. MM-KLH'!$B$6:$T$823,9,0),"")</f>
        <v/>
      </c>
      <c r="K825" s="80" t="str">
        <f>IFERROR(VLOOKUP(B825,'02. MM-KLH'!$B$6:$T$823,10,0),"")</f>
        <v/>
      </c>
      <c r="L825" s="102" t="str">
        <f>IFERROR(VLOOKUP(B825,'02. MM-KLH'!$B$6:$T$823,11,0),"")</f>
        <v/>
      </c>
      <c r="M825" s="143" t="str">
        <f>IFERROR(VLOOKUP(B825,'02. MM-KLH'!$B$6:$T$823,12,0),"")</f>
        <v/>
      </c>
      <c r="N825" s="108" t="str">
        <f>IFERROR(VLOOKUP(B825,'02. MM-KLH'!$B$6:$T$823,13,0),"")</f>
        <v/>
      </c>
      <c r="O825" s="108" t="str">
        <f>IFERROR(VLOOKUP(B825,'02. MM-KLH'!$B$6:$T$823,14,0),"")</f>
        <v/>
      </c>
      <c r="P825" s="80" t="str">
        <f>IFERROR(VLOOKUP(B825,'02. MM-KLH'!$B$6:$T$823,15,0),"")</f>
        <v/>
      </c>
      <c r="Q825" s="80" t="str">
        <f>IFERROR(VLOOKUP(B825,'02. MM-KLH'!$B$6:$T$823,16,0),"")</f>
        <v/>
      </c>
      <c r="R825" s="106" t="str">
        <f>IFERROR(VLOOKUP(B825,'02. MM-KLH'!$B$6:$T$823,17,0),"")</f>
        <v/>
      </c>
      <c r="S825" s="108" t="str">
        <f>IFERROR(VLOOKUP(B825,'02. MM-KLH'!$B$6:$T$823,18,0),"")</f>
        <v/>
      </c>
      <c r="T825" s="110" t="str">
        <f>IFERROR(VLOOKUP(B825,'02. MM-KLH'!$B$6:$T$823,19,0),"")</f>
        <v/>
      </c>
      <c r="U825" s="130"/>
    </row>
    <row r="826" ht="13.5" customHeight="1">
      <c r="A826" s="84"/>
      <c r="B826" s="113"/>
      <c r="C826" s="84"/>
      <c r="D826" s="95" t="str">
        <f>IFERROR(VLOOKUP(B826,'02. MM-KLH'!$B$6:$T$823,3,0),"")</f>
        <v/>
      </c>
      <c r="E826" s="86" t="str">
        <f>IFERROR(VLOOKUP(B826,'02. MM-KLH'!$B$6:$T$823,4,0),"")</f>
        <v/>
      </c>
      <c r="F826" s="931"/>
      <c r="G826" s="86" t="str">
        <f>IFERROR(VLOOKUP(B826,'02. MM-KLH'!$B$6:$T$823,6,0),"")</f>
        <v/>
      </c>
      <c r="H826" s="932"/>
      <c r="I826" s="80" t="str">
        <f>IFERROR(VLOOKUP(B826,'02. MM-KLH'!$B$6:$T$823,8,0),"")</f>
        <v/>
      </c>
      <c r="J826" s="99" t="str">
        <f>IFERROR(VLOOKUP(B826,'02. MM-KLH'!$B$6:$T$823,9,0),"")</f>
        <v/>
      </c>
      <c r="K826" s="80" t="str">
        <f>IFERROR(VLOOKUP(B826,'02. MM-KLH'!$B$6:$T$823,10,0),"")</f>
        <v/>
      </c>
      <c r="L826" s="102" t="str">
        <f>IFERROR(VLOOKUP(B826,'02. MM-KLH'!$B$6:$T$823,11,0),"")</f>
        <v/>
      </c>
      <c r="M826" s="143" t="str">
        <f>IFERROR(VLOOKUP(B826,'02. MM-KLH'!$B$6:$T$823,12,0),"")</f>
        <v/>
      </c>
      <c r="N826" s="957"/>
      <c r="O826" s="957"/>
      <c r="P826" s="932"/>
      <c r="Q826" s="931"/>
      <c r="R826" s="931"/>
      <c r="S826" s="957"/>
      <c r="T826" s="957"/>
      <c r="U826" s="130"/>
    </row>
    <row r="827" ht="13.5" customHeight="1">
      <c r="A827" s="84"/>
      <c r="B827" s="113"/>
      <c r="C827" s="84"/>
      <c r="D827" s="95" t="str">
        <f>IFERROR(VLOOKUP(B827,'02. MM-KLH'!$B$6:$T$823,3,0),"")</f>
        <v/>
      </c>
      <c r="E827" s="86" t="str">
        <f>IFERROR(VLOOKUP(B827,'02. MM-KLH'!$B$6:$T$823,4,0),"")</f>
        <v/>
      </c>
      <c r="F827" s="931"/>
      <c r="G827" s="86" t="str">
        <f>IFERROR(VLOOKUP(B827,'02. MM-KLH'!$B$6:$T$823,6,0),"")</f>
        <v/>
      </c>
      <c r="H827" s="932"/>
      <c r="I827" s="80" t="str">
        <f>IFERROR(VLOOKUP(B827,'02. MM-KLH'!$B$6:$T$823,8,0),"")</f>
        <v/>
      </c>
      <c r="J827" s="99" t="str">
        <f>IFERROR(VLOOKUP(B827,'02. MM-KLH'!$B$6:$T$823,9,0),"")</f>
        <v/>
      </c>
      <c r="K827" s="80" t="str">
        <f>IFERROR(VLOOKUP(B827,'02. MM-KLH'!$B$6:$T$823,10,0),"")</f>
        <v/>
      </c>
      <c r="L827" s="102" t="str">
        <f>IFERROR(VLOOKUP(B827,'02. MM-KLH'!$B$6:$T$823,11,0),"")</f>
        <v/>
      </c>
      <c r="M827" s="143" t="str">
        <f>IFERROR(VLOOKUP(B827,'02. MM-KLH'!$B$6:$T$823,12,0),"")</f>
        <v/>
      </c>
      <c r="N827" s="957"/>
      <c r="O827" s="957"/>
      <c r="P827" s="932"/>
      <c r="Q827" s="931"/>
      <c r="R827" s="931"/>
      <c r="S827" s="957"/>
      <c r="T827" s="957"/>
      <c r="U827" s="130"/>
    </row>
    <row r="828" ht="13.5" customHeight="1">
      <c r="A828" s="84"/>
      <c r="B828" s="113"/>
      <c r="C828" s="84"/>
      <c r="D828" s="95" t="str">
        <f>IFERROR(VLOOKUP(B828,'02. MM-KLH'!$B$6:$T$823,3,0),"")</f>
        <v/>
      </c>
      <c r="E828" s="86" t="str">
        <f>IFERROR(VLOOKUP(B828,'02. MM-KLH'!$B$6:$T$823,4,0),"")</f>
        <v/>
      </c>
      <c r="F828" s="931"/>
      <c r="G828" s="86" t="str">
        <f>IFERROR(VLOOKUP(B828,'02. MM-KLH'!$B$6:$T$823,6,0),"")</f>
        <v/>
      </c>
      <c r="H828" s="932"/>
      <c r="I828" s="80" t="str">
        <f>IFERROR(VLOOKUP(B828,'02. MM-KLH'!$B$6:$T$823,8,0),"")</f>
        <v/>
      </c>
      <c r="J828" s="99" t="str">
        <f>IFERROR(VLOOKUP(B828,'02. MM-KLH'!$B$6:$T$823,9,0),"")</f>
        <v/>
      </c>
      <c r="K828" s="80" t="str">
        <f>IFERROR(VLOOKUP(B828,'02. MM-KLH'!$B$6:$T$823,10,0),"")</f>
        <v/>
      </c>
      <c r="L828" s="102" t="str">
        <f>IFERROR(VLOOKUP(B828,'02. MM-KLH'!$B$6:$T$823,11,0),"")</f>
        <v/>
      </c>
      <c r="M828" s="143" t="str">
        <f>IFERROR(VLOOKUP(B828,'02. MM-KLH'!$B$6:$T$823,12,0),"")</f>
        <v/>
      </c>
      <c r="N828" s="957"/>
      <c r="O828" s="957"/>
      <c r="P828" s="932"/>
      <c r="Q828" s="931"/>
      <c r="R828" s="931"/>
      <c r="S828" s="957"/>
      <c r="T828" s="957"/>
      <c r="U828" s="130"/>
    </row>
    <row r="829" ht="13.5" customHeight="1">
      <c r="A829" s="84"/>
      <c r="B829" s="113"/>
      <c r="C829" s="84"/>
      <c r="D829" s="95" t="str">
        <f>IFERROR(VLOOKUP(B829,'02. MM-KLH'!$B$6:$T$823,3,0),"")</f>
        <v/>
      </c>
      <c r="E829" s="86" t="str">
        <f>IFERROR(VLOOKUP(B829,'02. MM-KLH'!$B$6:$T$823,4,0),"")</f>
        <v/>
      </c>
      <c r="F829" s="931"/>
      <c r="G829" s="86" t="str">
        <f>IFERROR(VLOOKUP(B829,'02. MM-KLH'!$B$6:$T$823,6,0),"")</f>
        <v/>
      </c>
      <c r="H829" s="932"/>
      <c r="I829" s="80" t="str">
        <f>IFERROR(VLOOKUP(B829,'02. MM-KLH'!$B$6:$T$823,8,0),"")</f>
        <v/>
      </c>
      <c r="J829" s="99" t="str">
        <f>IFERROR(VLOOKUP(B829,'02. MM-KLH'!$B$6:$T$823,9,0),"")</f>
        <v/>
      </c>
      <c r="K829" s="80" t="str">
        <f>IFERROR(VLOOKUP(B829,'02. MM-KLH'!$B$6:$T$823,10,0),"")</f>
        <v/>
      </c>
      <c r="L829" s="102" t="str">
        <f>IFERROR(VLOOKUP(B829,'02. MM-KLH'!$B$6:$T$823,11,0),"")</f>
        <v/>
      </c>
      <c r="M829" s="143" t="str">
        <f>IFERROR(VLOOKUP(B829,'02. MM-KLH'!$B$6:$T$823,12,0),"")</f>
        <v/>
      </c>
      <c r="N829" s="957"/>
      <c r="O829" s="957"/>
      <c r="P829" s="932"/>
      <c r="Q829" s="931"/>
      <c r="R829" s="931"/>
      <c r="S829" s="957"/>
      <c r="T829" s="957"/>
      <c r="U829" s="130"/>
    </row>
    <row r="830" ht="13.5" customHeight="1">
      <c r="A830" s="84"/>
      <c r="B830" s="113"/>
      <c r="C830" s="84"/>
      <c r="D830" s="95" t="str">
        <f>IFERROR(VLOOKUP(B830,'02. MM-KLH'!$B$6:$T$823,3,0),"")</f>
        <v/>
      </c>
      <c r="E830" s="86" t="str">
        <f>IFERROR(VLOOKUP(B830,'02. MM-KLH'!$B$6:$T$823,4,0),"")</f>
        <v/>
      </c>
      <c r="F830" s="931"/>
      <c r="G830" s="86" t="str">
        <f>IFERROR(VLOOKUP(B830,'02. MM-KLH'!$B$6:$T$823,6,0),"")</f>
        <v/>
      </c>
      <c r="H830" s="932"/>
      <c r="I830" s="80" t="str">
        <f>IFERROR(VLOOKUP(B830,'02. MM-KLH'!$B$6:$T$823,8,0),"")</f>
        <v/>
      </c>
      <c r="J830" s="99" t="str">
        <f>IFERROR(VLOOKUP(B830,'02. MM-KLH'!$B$6:$T$823,9,0),"")</f>
        <v/>
      </c>
      <c r="K830" s="80" t="str">
        <f>IFERROR(VLOOKUP(B830,'02. MM-KLH'!$B$6:$T$823,10,0),"")</f>
        <v/>
      </c>
      <c r="L830" s="102" t="str">
        <f>IFERROR(VLOOKUP(B830,'02. MM-KLH'!$B$6:$T$823,11,0),"")</f>
        <v/>
      </c>
      <c r="M830" s="143" t="str">
        <f>IFERROR(VLOOKUP(B830,'02. MM-KLH'!$B$6:$T$823,12,0),"")</f>
        <v/>
      </c>
      <c r="N830" s="957"/>
      <c r="O830" s="957"/>
      <c r="P830" s="932"/>
      <c r="Q830" s="931"/>
      <c r="R830" s="931"/>
      <c r="S830" s="957"/>
      <c r="T830" s="957"/>
      <c r="U830" s="130"/>
    </row>
    <row r="831" ht="13.5" customHeight="1">
      <c r="A831" s="84"/>
      <c r="B831" s="113"/>
      <c r="C831" s="84"/>
      <c r="D831" s="95" t="str">
        <f>IFERROR(VLOOKUP(B831,'02. MM-KLH'!$B$6:$T$823,3,0),"")</f>
        <v/>
      </c>
      <c r="E831" s="86" t="str">
        <f>IFERROR(VLOOKUP(B831,'02. MM-KLH'!$B$6:$T$823,4,0),"")</f>
        <v/>
      </c>
      <c r="F831" s="931"/>
      <c r="G831" s="86" t="str">
        <f>IFERROR(VLOOKUP(B831,'02. MM-KLH'!$B$6:$T$823,6,0),"")</f>
        <v/>
      </c>
      <c r="H831" s="932"/>
      <c r="I831" s="80" t="str">
        <f>IFERROR(VLOOKUP(B831,'02. MM-KLH'!$B$6:$T$823,8,0),"")</f>
        <v/>
      </c>
      <c r="J831" s="99" t="str">
        <f>IFERROR(VLOOKUP(B831,'02. MM-KLH'!$B$6:$T$823,9,0),"")</f>
        <v/>
      </c>
      <c r="K831" s="80" t="str">
        <f>IFERROR(VLOOKUP(B831,'02. MM-KLH'!$B$6:$T$823,10,0),"")</f>
        <v/>
      </c>
      <c r="L831" s="102" t="str">
        <f>IFERROR(VLOOKUP(B831,'02. MM-KLH'!$B$6:$T$823,11,0),"")</f>
        <v/>
      </c>
      <c r="M831" s="143" t="str">
        <f>IFERROR(VLOOKUP(B831,'02. MM-KLH'!$B$6:$T$823,12,0),"")</f>
        <v/>
      </c>
      <c r="N831" s="957"/>
      <c r="O831" s="957"/>
      <c r="P831" s="932"/>
      <c r="Q831" s="931"/>
      <c r="R831" s="931"/>
      <c r="S831" s="957"/>
      <c r="T831" s="957"/>
      <c r="U831" s="130"/>
    </row>
    <row r="832" ht="13.5" customHeight="1">
      <c r="A832" s="84"/>
      <c r="B832" s="113"/>
      <c r="C832" s="84"/>
      <c r="D832" s="95" t="str">
        <f>IFERROR(VLOOKUP(B832,'02. MM-KLH'!$B$6:$T$823,3,0),"")</f>
        <v/>
      </c>
      <c r="E832" s="86" t="str">
        <f>IFERROR(VLOOKUP(B832,'02. MM-KLH'!$B$6:$T$823,4,0),"")</f>
        <v/>
      </c>
      <c r="F832" s="931"/>
      <c r="G832" s="86" t="str">
        <f>IFERROR(VLOOKUP(B832,'02. MM-KLH'!$B$6:$T$823,6,0),"")</f>
        <v/>
      </c>
      <c r="H832" s="932"/>
      <c r="I832" s="80" t="str">
        <f>IFERROR(VLOOKUP(B832,'02. MM-KLH'!$B$6:$T$823,8,0),"")</f>
        <v/>
      </c>
      <c r="J832" s="99" t="str">
        <f>IFERROR(VLOOKUP(B832,'02. MM-KLH'!$B$6:$T$823,9,0),"")</f>
        <v/>
      </c>
      <c r="K832" s="80" t="str">
        <f>IFERROR(VLOOKUP(B832,'02. MM-KLH'!$B$6:$T$823,10,0),"")</f>
        <v/>
      </c>
      <c r="L832" s="102" t="str">
        <f>IFERROR(VLOOKUP(B832,'02. MM-KLH'!$B$6:$T$823,11,0),"")</f>
        <v/>
      </c>
      <c r="M832" s="143" t="str">
        <f>IFERROR(VLOOKUP(B832,'02. MM-KLH'!$B$6:$T$823,12,0),"")</f>
        <v/>
      </c>
      <c r="N832" s="957"/>
      <c r="O832" s="957"/>
      <c r="P832" s="932"/>
      <c r="Q832" s="931"/>
      <c r="R832" s="931"/>
      <c r="S832" s="957"/>
      <c r="T832" s="957"/>
      <c r="U832" s="130"/>
    </row>
    <row r="833" ht="13.5" customHeight="1">
      <c r="A833" s="84"/>
      <c r="B833" s="113"/>
      <c r="C833" s="84"/>
      <c r="D833" s="95" t="str">
        <f>IFERROR(VLOOKUP(B833,'02. MM-KLH'!$B$6:$T$823,3,0),"")</f>
        <v/>
      </c>
      <c r="E833" s="86" t="str">
        <f>IFERROR(VLOOKUP(B833,'02. MM-KLH'!$B$6:$T$823,4,0),"")</f>
        <v/>
      </c>
      <c r="F833" s="931"/>
      <c r="G833" s="86" t="str">
        <f>IFERROR(VLOOKUP(B833,'02. MM-KLH'!$B$6:$T$823,6,0),"")</f>
        <v/>
      </c>
      <c r="H833" s="932"/>
      <c r="I833" s="80" t="str">
        <f>IFERROR(VLOOKUP(B833,'02. MM-KLH'!$B$6:$T$823,8,0),"")</f>
        <v/>
      </c>
      <c r="J833" s="99" t="str">
        <f>IFERROR(VLOOKUP(B833,'02. MM-KLH'!$B$6:$T$823,9,0),"")</f>
        <v/>
      </c>
      <c r="K833" s="80" t="str">
        <f>IFERROR(VLOOKUP(B833,'02. MM-KLH'!$B$6:$T$823,10,0),"")</f>
        <v/>
      </c>
      <c r="L833" s="102" t="str">
        <f>IFERROR(VLOOKUP(B833,'02. MM-KLH'!$B$6:$T$823,11,0),"")</f>
        <v/>
      </c>
      <c r="M833" s="143" t="str">
        <f>IFERROR(VLOOKUP(B833,'02. MM-KLH'!$B$6:$T$823,12,0),"")</f>
        <v/>
      </c>
      <c r="N833" s="957"/>
      <c r="O833" s="957"/>
      <c r="P833" s="932"/>
      <c r="Q833" s="931"/>
      <c r="R833" s="931"/>
      <c r="S833" s="957"/>
      <c r="T833" s="957"/>
      <c r="U833" s="130"/>
    </row>
    <row r="834" ht="13.5" customHeight="1">
      <c r="A834" s="84"/>
      <c r="B834" s="113"/>
      <c r="C834" s="84"/>
      <c r="D834" s="95" t="str">
        <f>IFERROR(VLOOKUP(B834,'02. MM-KLH'!$B$6:$T$823,3,0),"")</f>
        <v/>
      </c>
      <c r="E834" s="86" t="str">
        <f>IFERROR(VLOOKUP(B834,'02. MM-KLH'!$B$6:$T$823,4,0),"")</f>
        <v/>
      </c>
      <c r="F834" s="931"/>
      <c r="G834" s="86" t="str">
        <f>IFERROR(VLOOKUP(B834,'02. MM-KLH'!$B$6:$T$823,6,0),"")</f>
        <v/>
      </c>
      <c r="H834" s="932"/>
      <c r="I834" s="80" t="str">
        <f>IFERROR(VLOOKUP(B834,'02. MM-KLH'!$B$6:$T$823,8,0),"")</f>
        <v/>
      </c>
      <c r="J834" s="99" t="str">
        <f>IFERROR(VLOOKUP(B834,'02. MM-KLH'!$B$6:$T$823,9,0),"")</f>
        <v/>
      </c>
      <c r="K834" s="80" t="str">
        <f>IFERROR(VLOOKUP(B834,'02. MM-KLH'!$B$6:$T$823,10,0),"")</f>
        <v/>
      </c>
      <c r="L834" s="102" t="str">
        <f>IFERROR(VLOOKUP(B834,'02. MM-KLH'!$B$6:$T$823,11,0),"")</f>
        <v/>
      </c>
      <c r="M834" s="143" t="str">
        <f>IFERROR(VLOOKUP(B834,'02. MM-KLH'!$B$6:$T$823,12,0),"")</f>
        <v/>
      </c>
      <c r="N834" s="957"/>
      <c r="O834" s="957"/>
      <c r="P834" s="932"/>
      <c r="Q834" s="931"/>
      <c r="R834" s="931"/>
      <c r="S834" s="957"/>
      <c r="T834" s="957"/>
      <c r="U834" s="130"/>
    </row>
    <row r="835" ht="13.5" customHeight="1">
      <c r="A835" s="84"/>
      <c r="B835" s="113"/>
      <c r="C835" s="84"/>
      <c r="D835" s="95" t="str">
        <f>IFERROR(VLOOKUP(B835,'02. MM-KLH'!$B$6:$T$823,3,0),"")</f>
        <v/>
      </c>
      <c r="E835" s="86" t="str">
        <f>IFERROR(VLOOKUP(B835,'02. MM-KLH'!$B$6:$T$823,4,0),"")</f>
        <v/>
      </c>
      <c r="F835" s="931"/>
      <c r="G835" s="86" t="str">
        <f>IFERROR(VLOOKUP(B835,'02. MM-KLH'!$B$6:$T$823,6,0),"")</f>
        <v/>
      </c>
      <c r="H835" s="932"/>
      <c r="I835" s="80" t="str">
        <f>IFERROR(VLOOKUP(B835,'02. MM-KLH'!$B$6:$T$823,8,0),"")</f>
        <v/>
      </c>
      <c r="J835" s="99" t="str">
        <f>IFERROR(VLOOKUP(B835,'02. MM-KLH'!$B$6:$T$823,9,0),"")</f>
        <v/>
      </c>
      <c r="K835" s="80" t="str">
        <f>IFERROR(VLOOKUP(B835,'02. MM-KLH'!$B$6:$T$823,10,0),"")</f>
        <v/>
      </c>
      <c r="L835" s="102" t="str">
        <f>IFERROR(VLOOKUP(B835,'02. MM-KLH'!$B$6:$T$823,11,0),"")</f>
        <v/>
      </c>
      <c r="M835" s="143" t="str">
        <f>IFERROR(VLOOKUP(B835,'02. MM-KLH'!$B$6:$T$823,12,0),"")</f>
        <v/>
      </c>
      <c r="N835" s="957"/>
      <c r="O835" s="957"/>
      <c r="P835" s="932"/>
      <c r="Q835" s="931"/>
      <c r="R835" s="931"/>
      <c r="S835" s="957"/>
      <c r="T835" s="957"/>
      <c r="U835" s="130"/>
    </row>
    <row r="836" ht="13.5" customHeight="1">
      <c r="A836" s="84"/>
      <c r="B836" s="113"/>
      <c r="C836" s="84"/>
      <c r="D836" s="95" t="str">
        <f>IFERROR(VLOOKUP(B836,'02. MM-KLH'!$B$6:$T$823,3,0),"")</f>
        <v/>
      </c>
      <c r="E836" s="86" t="str">
        <f>IFERROR(VLOOKUP(B836,'02. MM-KLH'!$B$6:$T$823,4,0),"")</f>
        <v/>
      </c>
      <c r="F836" s="931"/>
      <c r="G836" s="86" t="str">
        <f>IFERROR(VLOOKUP(B836,'02. MM-KLH'!$B$6:$T$823,6,0),"")</f>
        <v/>
      </c>
      <c r="H836" s="932"/>
      <c r="I836" s="80" t="str">
        <f>IFERROR(VLOOKUP(B836,'02. MM-KLH'!$B$6:$T$823,8,0),"")</f>
        <v/>
      </c>
      <c r="J836" s="99" t="str">
        <f>IFERROR(VLOOKUP(B836,'02. MM-KLH'!$B$6:$T$823,9,0),"")</f>
        <v/>
      </c>
      <c r="K836" s="80" t="str">
        <f>IFERROR(VLOOKUP(B836,'02. MM-KLH'!$B$6:$T$823,10,0),"")</f>
        <v/>
      </c>
      <c r="L836" s="102" t="str">
        <f>IFERROR(VLOOKUP(B836,'02. MM-KLH'!$B$6:$T$823,11,0),"")</f>
        <v/>
      </c>
      <c r="M836" s="143" t="str">
        <f>IFERROR(VLOOKUP(B836,'02. MM-KLH'!$B$6:$T$823,12,0),"")</f>
        <v/>
      </c>
      <c r="N836" s="957"/>
      <c r="O836" s="957"/>
      <c r="P836" s="932"/>
      <c r="Q836" s="931"/>
      <c r="R836" s="931"/>
      <c r="S836" s="957"/>
      <c r="T836" s="957"/>
      <c r="U836" s="130"/>
    </row>
    <row r="837" ht="13.5" customHeight="1">
      <c r="A837" s="84"/>
      <c r="B837" s="113"/>
      <c r="C837" s="84"/>
      <c r="D837" s="95" t="str">
        <f>IFERROR(VLOOKUP(B837,'02. MM-KLH'!$B$6:$T$823,3,0),"")</f>
        <v/>
      </c>
      <c r="E837" s="86" t="str">
        <f>IFERROR(VLOOKUP(B837,'02. MM-KLH'!$B$6:$T$823,4,0),"")</f>
        <v/>
      </c>
      <c r="F837" s="931"/>
      <c r="G837" s="931"/>
      <c r="H837" s="932"/>
      <c r="I837" s="80" t="str">
        <f>IFERROR(VLOOKUP(B837,'02. MM-KLH'!$B$6:$T$823,8,0),"")</f>
        <v/>
      </c>
      <c r="J837" s="99" t="str">
        <f>IFERROR(VLOOKUP(B837,'02. MM-KLH'!$B$6:$T$823,9,0),"")</f>
        <v/>
      </c>
      <c r="K837" s="80" t="str">
        <f>IFERROR(VLOOKUP(B837,'02. MM-KLH'!$B$6:$T$823,10,0),"")</f>
        <v/>
      </c>
      <c r="L837" s="102" t="str">
        <f>IFERROR(VLOOKUP(B837,'02. MM-KLH'!$B$6:$T$823,11,0),"")</f>
        <v/>
      </c>
      <c r="M837" s="143" t="str">
        <f>IFERROR(VLOOKUP(B837,'02. MM-KLH'!$B$6:$T$823,12,0),"")</f>
        <v/>
      </c>
      <c r="N837" s="957"/>
      <c r="O837" s="957"/>
      <c r="P837" s="932"/>
      <c r="Q837" s="931"/>
      <c r="R837" s="931"/>
      <c r="S837" s="957"/>
      <c r="T837" s="957"/>
      <c r="U837" s="957"/>
    </row>
    <row r="838" ht="13.5" customHeight="1">
      <c r="A838" s="84"/>
      <c r="B838" s="113"/>
      <c r="C838" s="84"/>
      <c r="D838" s="95" t="str">
        <f>IFERROR(VLOOKUP(B838,'02. MM-KLH'!$B$6:$T$823,3,0),"")</f>
        <v/>
      </c>
      <c r="E838" s="86" t="str">
        <f>IFERROR(VLOOKUP(B838,'02. MM-KLH'!$B$6:$T$823,4,0),"")</f>
        <v/>
      </c>
      <c r="F838" s="931"/>
      <c r="G838" s="931"/>
      <c r="H838" s="932"/>
      <c r="I838" s="80" t="str">
        <f>IFERROR(VLOOKUP(B838,'02. MM-KLH'!$B$6:$T$823,8,0),"")</f>
        <v/>
      </c>
      <c r="J838" s="99" t="str">
        <f>IFERROR(VLOOKUP(B838,'02. MM-KLH'!$B$6:$T$823,9,0),"")</f>
        <v/>
      </c>
      <c r="K838" s="80" t="str">
        <f>IFERROR(VLOOKUP(B838,'02. MM-KLH'!$B$6:$T$823,10,0),"")</f>
        <v/>
      </c>
      <c r="L838" s="102" t="str">
        <f>IFERROR(VLOOKUP(B838,'02. MM-KLH'!$B$6:$T$823,11,0),"")</f>
        <v/>
      </c>
      <c r="M838" s="143" t="str">
        <f>IFERROR(VLOOKUP(B838,'02. MM-KLH'!$B$6:$T$823,12,0),"")</f>
        <v/>
      </c>
      <c r="N838" s="957"/>
      <c r="O838" s="957"/>
      <c r="P838" s="932"/>
      <c r="Q838" s="931"/>
      <c r="R838" s="931"/>
      <c r="S838" s="957"/>
      <c r="T838" s="957"/>
      <c r="U838" s="957"/>
    </row>
    <row r="839" ht="13.5" customHeight="1">
      <c r="A839" s="84"/>
      <c r="B839" s="113"/>
      <c r="C839" s="84"/>
      <c r="D839" s="95" t="str">
        <f>IFERROR(VLOOKUP(B839,'02. MM-KLH'!$B$6:$T$823,3,0),"")</f>
        <v/>
      </c>
      <c r="E839" s="86" t="str">
        <f>IFERROR(VLOOKUP(B839,'02. MM-KLH'!$B$6:$T$823,4,0),"")</f>
        <v/>
      </c>
      <c r="F839" s="931"/>
      <c r="G839" s="931"/>
      <c r="H839" s="932"/>
      <c r="I839" s="80" t="str">
        <f>IFERROR(VLOOKUP(B839,'02. MM-KLH'!$B$6:$T$823,8,0),"")</f>
        <v/>
      </c>
      <c r="J839" s="99" t="str">
        <f>IFERROR(VLOOKUP(B839,'02. MM-KLH'!$B$6:$T$823,9,0),"")</f>
        <v/>
      </c>
      <c r="K839" s="80" t="str">
        <f>IFERROR(VLOOKUP(B839,'02. MM-KLH'!$B$6:$T$823,10,0),"")</f>
        <v/>
      </c>
      <c r="L839" s="102" t="str">
        <f>IFERROR(VLOOKUP(B839,'02. MM-KLH'!$B$6:$T$823,11,0),"")</f>
        <v/>
      </c>
      <c r="M839" s="143" t="str">
        <f>IFERROR(VLOOKUP(B839,'02. MM-KLH'!$B$6:$T$823,12,0),"")</f>
        <v/>
      </c>
      <c r="N839" s="957"/>
      <c r="O839" s="957"/>
      <c r="P839" s="932"/>
      <c r="Q839" s="931"/>
      <c r="R839" s="931"/>
      <c r="S839" s="957"/>
      <c r="T839" s="957"/>
      <c r="U839" s="957"/>
    </row>
    <row r="840" ht="13.5" customHeight="1">
      <c r="A840" s="84"/>
      <c r="B840" s="113"/>
      <c r="C840" s="84"/>
      <c r="D840" s="95" t="str">
        <f>IFERROR(VLOOKUP(B840,'02. MM-KLH'!$B$6:$T$823,3,0),"")</f>
        <v/>
      </c>
      <c r="E840" s="86" t="str">
        <f>IFERROR(VLOOKUP(B840,'02. MM-KLH'!$B$6:$T$823,4,0),"")</f>
        <v/>
      </c>
      <c r="F840" s="931"/>
      <c r="G840" s="931"/>
      <c r="H840" s="932"/>
      <c r="I840" s="80" t="str">
        <f>IFERROR(VLOOKUP(B840,'02. MM-KLH'!$B$6:$T$823,8,0),"")</f>
        <v/>
      </c>
      <c r="J840" s="99" t="str">
        <f>IFERROR(VLOOKUP(B840,'02. MM-KLH'!$B$6:$T$823,9,0),"")</f>
        <v/>
      </c>
      <c r="K840" s="80" t="str">
        <f>IFERROR(VLOOKUP(B840,'02. MM-KLH'!$B$6:$T$823,10,0),"")</f>
        <v/>
      </c>
      <c r="L840" s="102" t="str">
        <f>IFERROR(VLOOKUP(B840,'02. MM-KLH'!$B$6:$T$823,11,0),"")</f>
        <v/>
      </c>
      <c r="M840" s="143" t="str">
        <f>IFERROR(VLOOKUP(B840,'02. MM-KLH'!$B$6:$T$823,12,0),"")</f>
        <v/>
      </c>
      <c r="N840" s="957"/>
      <c r="O840" s="957"/>
      <c r="P840" s="932"/>
      <c r="Q840" s="931"/>
      <c r="R840" s="931"/>
      <c r="S840" s="957"/>
      <c r="T840" s="957"/>
      <c r="U840" s="957"/>
    </row>
    <row r="841" ht="13.5" customHeight="1">
      <c r="A841" s="931"/>
      <c r="B841" s="291"/>
      <c r="C841" s="931"/>
      <c r="D841" s="95" t="str">
        <f>IFERROR(VLOOKUP(B841,'02. MM-KLH'!$B$6:$T$823,3,0),"")</f>
        <v/>
      </c>
      <c r="E841" s="86" t="str">
        <f>IFERROR(VLOOKUP(B841,'02. MM-KLH'!$B$6:$T$823,4,0),"")</f>
        <v/>
      </c>
      <c r="F841" s="931"/>
      <c r="G841" s="931"/>
      <c r="H841" s="932"/>
      <c r="I841" s="80" t="str">
        <f>IFERROR(VLOOKUP(B841,'02. MM-KLH'!$B$6:$T$823,8,0),"")</f>
        <v/>
      </c>
      <c r="J841" s="99" t="str">
        <f>IFERROR(VLOOKUP(B841,'02. MM-KLH'!$B$6:$T$823,9,0),"")</f>
        <v/>
      </c>
      <c r="K841" s="80" t="str">
        <f>IFERROR(VLOOKUP(B841,'02. MM-KLH'!$B$6:$T$823,10,0),"")</f>
        <v/>
      </c>
      <c r="L841" s="932"/>
      <c r="M841" s="143" t="str">
        <f>IFERROR(VLOOKUP(B841,'02. MM-KLH'!$B$6:$T$823,12,0),"")</f>
        <v/>
      </c>
      <c r="N841" s="957"/>
      <c r="O841" s="957"/>
      <c r="P841" s="932"/>
      <c r="Q841" s="931"/>
      <c r="R841" s="931"/>
      <c r="S841" s="957"/>
      <c r="T841" s="957"/>
      <c r="U841" s="957"/>
    </row>
    <row r="842" ht="13.5" customHeight="1">
      <c r="A842" s="931"/>
      <c r="B842" s="291"/>
      <c r="C842" s="931"/>
      <c r="D842" s="932"/>
      <c r="E842" s="932"/>
      <c r="F842" s="931"/>
      <c r="G842" s="931"/>
      <c r="H842" s="932"/>
      <c r="I842" s="80" t="str">
        <f>IFERROR(VLOOKUP(B842,'02. MM-KLH'!$B$6:$T$823,8,0),"")</f>
        <v/>
      </c>
      <c r="J842" s="99" t="str">
        <f>IFERROR(VLOOKUP(B842,'02. MM-KLH'!$B$6:$T$823,9,0),"")</f>
        <v/>
      </c>
      <c r="K842" s="80" t="str">
        <f>IFERROR(VLOOKUP(B842,'02. MM-KLH'!$B$6:$T$823,10,0),"")</f>
        <v/>
      </c>
      <c r="L842" s="932"/>
      <c r="M842" s="143" t="str">
        <f>IFERROR(VLOOKUP(B842,'02. MM-KLH'!$B$6:$T$823,12,0),"")</f>
        <v/>
      </c>
      <c r="N842" s="957"/>
      <c r="O842" s="957"/>
      <c r="P842" s="932"/>
      <c r="Q842" s="931"/>
      <c r="R842" s="931"/>
      <c r="S842" s="957"/>
      <c r="T842" s="957"/>
      <c r="U842" s="957"/>
    </row>
    <row r="843" ht="13.5" customHeight="1">
      <c r="A843" s="931"/>
      <c r="B843" s="291"/>
      <c r="C843" s="931"/>
      <c r="D843" s="932"/>
      <c r="E843" s="932"/>
      <c r="F843" s="931"/>
      <c r="G843" s="931"/>
      <c r="H843" s="932"/>
      <c r="I843" s="80" t="str">
        <f>IFERROR(VLOOKUP(B843,'02. MM-KLH'!$B$6:$T$823,8,0),"")</f>
        <v/>
      </c>
      <c r="J843" s="99" t="str">
        <f>IFERROR(VLOOKUP(B843,'02. MM-KLH'!$B$6:$T$823,9,0),"")</f>
        <v/>
      </c>
      <c r="K843" s="80" t="str">
        <f>IFERROR(VLOOKUP(B843,'02. MM-KLH'!$B$6:$T$823,10,0),"")</f>
        <v/>
      </c>
      <c r="L843" s="932"/>
      <c r="M843" s="143" t="str">
        <f>IFERROR(VLOOKUP(B843,'02. MM-KLH'!$B$6:$T$823,12,0),"")</f>
        <v/>
      </c>
      <c r="N843" s="957"/>
      <c r="O843" s="957"/>
      <c r="P843" s="932"/>
      <c r="Q843" s="931"/>
      <c r="R843" s="931"/>
      <c r="S843" s="957"/>
      <c r="T843" s="957"/>
      <c r="U843" s="957"/>
    </row>
    <row r="844" ht="13.5" customHeight="1">
      <c r="A844" s="931"/>
      <c r="B844" s="291"/>
      <c r="C844" s="931"/>
      <c r="D844" s="932"/>
      <c r="E844" s="932"/>
      <c r="F844" s="931"/>
      <c r="G844" s="931"/>
      <c r="H844" s="932"/>
      <c r="I844" s="80" t="str">
        <f>IFERROR(VLOOKUP(B844,'02. MM-KLH'!$B$6:$T$823,8,0),"")</f>
        <v/>
      </c>
      <c r="J844" s="99" t="str">
        <f>IFERROR(VLOOKUP(B844,'02. MM-KLH'!$B$6:$T$823,9,0),"")</f>
        <v/>
      </c>
      <c r="K844" s="932"/>
      <c r="L844" s="932"/>
      <c r="M844" s="143" t="str">
        <f>IFERROR(VLOOKUP(B844,'02. MM-KLH'!$B$6:$T$823,12,0),"")</f>
        <v/>
      </c>
      <c r="N844" s="957"/>
      <c r="O844" s="957"/>
      <c r="P844" s="932"/>
      <c r="Q844" s="931"/>
      <c r="R844" s="931"/>
      <c r="S844" s="957"/>
      <c r="T844" s="957"/>
      <c r="U844" s="957"/>
    </row>
    <row r="845" ht="13.5" customHeight="1">
      <c r="A845" s="931"/>
      <c r="B845" s="291"/>
      <c r="C845" s="931"/>
      <c r="D845" s="932"/>
      <c r="E845" s="932"/>
      <c r="F845" s="931"/>
      <c r="G845" s="931"/>
      <c r="H845" s="932"/>
      <c r="I845" s="932"/>
      <c r="J845" s="99" t="str">
        <f>IFERROR(VLOOKUP(B845,'02. MM-KLH'!$B$6:$T$823,9,0),"")</f>
        <v/>
      </c>
      <c r="K845" s="932"/>
      <c r="L845" s="932"/>
      <c r="M845" s="143" t="str">
        <f>IFERROR(VLOOKUP(B845,'02. MM-KLH'!$B$6:$T$823,12,0),"")</f>
        <v/>
      </c>
      <c r="N845" s="957"/>
      <c r="O845" s="957"/>
      <c r="P845" s="932"/>
      <c r="Q845" s="931"/>
      <c r="R845" s="931"/>
      <c r="S845" s="957"/>
      <c r="T845" s="957"/>
      <c r="U845" s="957"/>
    </row>
    <row r="846" ht="13.5" customHeight="1">
      <c r="A846" s="931"/>
      <c r="B846" s="291"/>
      <c r="C846" s="931"/>
      <c r="D846" s="932"/>
      <c r="E846" s="932"/>
      <c r="F846" s="931"/>
      <c r="G846" s="931"/>
      <c r="H846" s="932"/>
      <c r="I846" s="932"/>
      <c r="J846" s="99" t="str">
        <f>IFERROR(VLOOKUP(B846,'02. MM-KLH'!$B$6:$T$823,9,0),"")</f>
        <v/>
      </c>
      <c r="K846" s="932"/>
      <c r="L846" s="932"/>
      <c r="M846" s="143" t="str">
        <f>IFERROR(VLOOKUP(B846,'02. MM-KLH'!$B$6:$T$823,12,0),"")</f>
        <v/>
      </c>
      <c r="N846" s="957"/>
      <c r="O846" s="957"/>
      <c r="P846" s="932"/>
      <c r="Q846" s="931"/>
      <c r="R846" s="931"/>
      <c r="S846" s="957"/>
      <c r="T846" s="957"/>
      <c r="U846" s="957"/>
    </row>
    <row r="847" ht="13.5" customHeight="1">
      <c r="A847" s="931"/>
      <c r="B847" s="291"/>
      <c r="C847" s="931"/>
      <c r="D847" s="932"/>
      <c r="E847" s="932"/>
      <c r="F847" s="931"/>
      <c r="G847" s="931"/>
      <c r="H847" s="932"/>
      <c r="I847" s="932"/>
      <c r="J847" s="99" t="str">
        <f>IFERROR(VLOOKUP(B847,'02. MM-KLH'!$B$6:$T$823,9,0),"")</f>
        <v/>
      </c>
      <c r="K847" s="932"/>
      <c r="L847" s="932"/>
      <c r="M847" s="143" t="str">
        <f>IFERROR(VLOOKUP(B847,'02. MM-KLH'!$B$6:$T$823,12,0),"")</f>
        <v/>
      </c>
      <c r="N847" s="957"/>
      <c r="O847" s="957"/>
      <c r="P847" s="932"/>
      <c r="Q847" s="931"/>
      <c r="R847" s="931"/>
      <c r="S847" s="957"/>
      <c r="T847" s="957"/>
      <c r="U847" s="957"/>
    </row>
    <row r="848" ht="13.5" customHeight="1">
      <c r="A848" s="931"/>
      <c r="B848" s="291"/>
      <c r="C848" s="931"/>
      <c r="D848" s="932"/>
      <c r="E848" s="932"/>
      <c r="F848" s="931"/>
      <c r="G848" s="931"/>
      <c r="H848" s="932"/>
      <c r="I848" s="932"/>
      <c r="J848" s="99" t="str">
        <f>IFERROR(VLOOKUP(B848,'02. MM-KLH'!$B$6:$T$823,9,0),"")</f>
        <v/>
      </c>
      <c r="K848" s="932"/>
      <c r="L848" s="932"/>
      <c r="M848" s="143" t="str">
        <f>IFERROR(VLOOKUP(B848,'02. MM-KLH'!$B$6:$T$823,12,0),"")</f>
        <v/>
      </c>
      <c r="N848" s="957"/>
      <c r="O848" s="957"/>
      <c r="P848" s="932"/>
      <c r="Q848" s="931"/>
      <c r="R848" s="931"/>
      <c r="S848" s="957"/>
      <c r="T848" s="957"/>
      <c r="U848" s="957"/>
    </row>
    <row r="849" ht="13.5" customHeight="1">
      <c r="A849" s="931"/>
      <c r="B849" s="291"/>
      <c r="C849" s="931"/>
      <c r="D849" s="932"/>
      <c r="E849" s="932"/>
      <c r="F849" s="931"/>
      <c r="G849" s="931"/>
      <c r="H849" s="932"/>
      <c r="I849" s="932"/>
      <c r="J849" s="99" t="str">
        <f>IFERROR(VLOOKUP(B849,'02. MM-KLH'!$B$6:$T$823,9,0),"")</f>
        <v/>
      </c>
      <c r="K849" s="932"/>
      <c r="L849" s="932"/>
      <c r="M849" s="966"/>
      <c r="N849" s="957"/>
      <c r="O849" s="957"/>
      <c r="P849" s="932"/>
      <c r="Q849" s="931"/>
      <c r="R849" s="931"/>
      <c r="S849" s="957"/>
      <c r="T849" s="957"/>
      <c r="U849" s="957"/>
    </row>
    <row r="850" ht="13.5" customHeight="1">
      <c r="A850" s="931"/>
      <c r="B850" s="291"/>
      <c r="C850" s="931"/>
      <c r="D850" s="932"/>
      <c r="E850" s="932"/>
      <c r="F850" s="931"/>
      <c r="G850" s="931"/>
      <c r="H850" s="932"/>
      <c r="I850" s="932"/>
      <c r="J850" s="99" t="str">
        <f>IFERROR(VLOOKUP(B850,'02. MM-KLH'!$B$6:$T$823,9,0),"")</f>
        <v/>
      </c>
      <c r="K850" s="932"/>
      <c r="L850" s="932"/>
      <c r="M850" s="966"/>
      <c r="N850" s="957"/>
      <c r="O850" s="957"/>
      <c r="P850" s="932"/>
      <c r="Q850" s="931"/>
      <c r="R850" s="931"/>
      <c r="S850" s="957"/>
      <c r="T850" s="957"/>
      <c r="U850" s="957"/>
    </row>
    <row r="851" ht="13.5" customHeight="1">
      <c r="A851" s="931"/>
      <c r="B851" s="291"/>
      <c r="C851" s="931"/>
      <c r="D851" s="932"/>
      <c r="E851" s="932"/>
      <c r="F851" s="931"/>
      <c r="G851" s="931"/>
      <c r="H851" s="932"/>
      <c r="I851" s="932"/>
      <c r="J851" s="99" t="str">
        <f>IFERROR(VLOOKUP(B851,'02. MM-KLH'!$B$6:$T$823,9,0),"")</f>
        <v/>
      </c>
      <c r="K851" s="932"/>
      <c r="L851" s="932"/>
      <c r="M851" s="966"/>
      <c r="N851" s="957"/>
      <c r="O851" s="957"/>
      <c r="P851" s="932"/>
      <c r="Q851" s="931"/>
      <c r="R851" s="931"/>
      <c r="S851" s="957"/>
      <c r="T851" s="957"/>
      <c r="U851" s="957"/>
    </row>
    <row r="852" ht="13.5" customHeight="1">
      <c r="A852" s="931"/>
      <c r="B852" s="291"/>
      <c r="C852" s="931"/>
      <c r="D852" s="932"/>
      <c r="E852" s="932"/>
      <c r="F852" s="931"/>
      <c r="G852" s="931"/>
      <c r="H852" s="932"/>
      <c r="I852" s="932"/>
      <c r="J852" s="99" t="str">
        <f>IFERROR(VLOOKUP(B852,'02. MM-KLH'!$B$6:$T$823,9,0),"")</f>
        <v/>
      </c>
      <c r="K852" s="932"/>
      <c r="L852" s="932"/>
      <c r="M852" s="966"/>
      <c r="N852" s="957"/>
      <c r="O852" s="957"/>
      <c r="P852" s="932"/>
      <c r="Q852" s="931"/>
      <c r="R852" s="931"/>
      <c r="S852" s="957"/>
      <c r="T852" s="957"/>
      <c r="U852" s="957"/>
    </row>
    <row r="853" ht="13.5" customHeight="1">
      <c r="A853" s="931"/>
      <c r="B853" s="291"/>
      <c r="C853" s="931"/>
      <c r="D853" s="932"/>
      <c r="E853" s="932"/>
      <c r="F853" s="931"/>
      <c r="G853" s="931"/>
      <c r="H853" s="932"/>
      <c r="I853" s="932"/>
      <c r="J853" s="99" t="str">
        <f>IFERROR(VLOOKUP(B853,'02. MM-KLH'!$B$6:$T$823,9,0),"")</f>
        <v/>
      </c>
      <c r="K853" s="932"/>
      <c r="L853" s="932"/>
      <c r="M853" s="966"/>
      <c r="N853" s="957"/>
      <c r="O853" s="957"/>
      <c r="P853" s="932"/>
      <c r="Q853" s="931"/>
      <c r="R853" s="931"/>
      <c r="S853" s="957"/>
      <c r="T853" s="957"/>
      <c r="U853" s="957"/>
    </row>
    <row r="854" ht="13.5" customHeight="1">
      <c r="A854" s="931"/>
      <c r="B854" s="291"/>
      <c r="C854" s="931"/>
      <c r="D854" s="932"/>
      <c r="E854" s="932"/>
      <c r="F854" s="931"/>
      <c r="G854" s="931"/>
      <c r="H854" s="932"/>
      <c r="I854" s="932"/>
      <c r="J854" s="99" t="str">
        <f>IFERROR(VLOOKUP(B854,'02. MM-KLH'!$B$6:$T$823,9,0),"")</f>
        <v/>
      </c>
      <c r="K854" s="932"/>
      <c r="L854" s="932"/>
      <c r="M854" s="966"/>
      <c r="N854" s="957"/>
      <c r="O854" s="957"/>
      <c r="P854" s="932"/>
      <c r="Q854" s="931"/>
      <c r="R854" s="931"/>
      <c r="S854" s="957"/>
      <c r="T854" s="957"/>
      <c r="U854" s="957"/>
    </row>
    <row r="855" ht="13.5" customHeight="1">
      <c r="A855" s="931"/>
      <c r="B855" s="291"/>
      <c r="C855" s="931"/>
      <c r="D855" s="932"/>
      <c r="E855" s="932"/>
      <c r="F855" s="931"/>
      <c r="G855" s="931"/>
      <c r="H855" s="932"/>
      <c r="I855" s="932"/>
      <c r="J855" s="99" t="str">
        <f>IFERROR(VLOOKUP(B855,'02. MM-KLH'!$B$6:$T$823,9,0),"")</f>
        <v/>
      </c>
      <c r="K855" s="932"/>
      <c r="L855" s="932"/>
      <c r="M855" s="966"/>
      <c r="N855" s="957"/>
      <c r="O855" s="957"/>
      <c r="P855" s="932"/>
      <c r="Q855" s="931"/>
      <c r="R855" s="931"/>
      <c r="S855" s="957"/>
      <c r="T855" s="957"/>
      <c r="U855" s="957"/>
    </row>
    <row r="856" ht="13.5" customHeight="1">
      <c r="A856" s="931"/>
      <c r="B856" s="291"/>
      <c r="C856" s="931"/>
      <c r="D856" s="932"/>
      <c r="E856" s="932"/>
      <c r="F856" s="931"/>
      <c r="G856" s="931"/>
      <c r="H856" s="932"/>
      <c r="I856" s="932"/>
      <c r="J856" s="99" t="str">
        <f>IFERROR(VLOOKUP(B856,'02. MM-KLH'!$B$6:$T$823,9,0),"")</f>
        <v/>
      </c>
      <c r="K856" s="932"/>
      <c r="L856" s="932"/>
      <c r="M856" s="966"/>
      <c r="N856" s="957"/>
      <c r="O856" s="957"/>
      <c r="P856" s="932"/>
      <c r="Q856" s="931"/>
      <c r="R856" s="931"/>
      <c r="S856" s="957"/>
      <c r="T856" s="957"/>
      <c r="U856" s="957"/>
    </row>
    <row r="857" ht="13.5" customHeight="1">
      <c r="A857" s="931"/>
      <c r="B857" s="291"/>
      <c r="C857" s="931"/>
      <c r="D857" s="932"/>
      <c r="E857" s="932"/>
      <c r="F857" s="931"/>
      <c r="G857" s="931"/>
      <c r="H857" s="932"/>
      <c r="I857" s="932"/>
      <c r="J857" s="99" t="str">
        <f>IFERROR(VLOOKUP(B857,'02. MM-KLH'!$B$6:$T$823,9,0),"")</f>
        <v/>
      </c>
      <c r="K857" s="932"/>
      <c r="L857" s="932"/>
      <c r="M857" s="966"/>
      <c r="N857" s="957"/>
      <c r="O857" s="957"/>
      <c r="P857" s="932"/>
      <c r="Q857" s="931"/>
      <c r="R857" s="931"/>
      <c r="S857" s="957"/>
      <c r="T857" s="957"/>
      <c r="U857" s="957"/>
    </row>
    <row r="858" ht="13.5" customHeight="1">
      <c r="A858" s="931"/>
      <c r="B858" s="291"/>
      <c r="C858" s="931"/>
      <c r="D858" s="932"/>
      <c r="E858" s="932"/>
      <c r="F858" s="931"/>
      <c r="G858" s="931"/>
      <c r="H858" s="932"/>
      <c r="I858" s="932"/>
      <c r="J858" s="99" t="str">
        <f>IFERROR(VLOOKUP(B858,'02. MM-KLH'!$B$6:$T$823,9,0),"")</f>
        <v/>
      </c>
      <c r="K858" s="932"/>
      <c r="L858" s="932"/>
      <c r="M858" s="966"/>
      <c r="N858" s="957"/>
      <c r="O858" s="957"/>
      <c r="P858" s="932"/>
      <c r="Q858" s="931"/>
      <c r="R858" s="931"/>
      <c r="S858" s="957"/>
      <c r="T858" s="957"/>
      <c r="U858" s="957"/>
    </row>
    <row r="859" ht="13.5" customHeight="1">
      <c r="A859" s="931"/>
      <c r="B859" s="291"/>
      <c r="C859" s="931"/>
      <c r="D859" s="932"/>
      <c r="E859" s="932"/>
      <c r="F859" s="931"/>
      <c r="G859" s="931"/>
      <c r="H859" s="932"/>
      <c r="I859" s="932"/>
      <c r="J859" s="99" t="str">
        <f>IFERROR(VLOOKUP(B859,'02. MM-KLH'!$B$6:$T$823,9,0),"")</f>
        <v/>
      </c>
      <c r="K859" s="932"/>
      <c r="L859" s="932"/>
      <c r="M859" s="966"/>
      <c r="N859" s="957"/>
      <c r="O859" s="957"/>
      <c r="P859" s="932"/>
      <c r="Q859" s="931"/>
      <c r="R859" s="931"/>
      <c r="S859" s="957"/>
      <c r="T859" s="957"/>
      <c r="U859" s="957"/>
    </row>
    <row r="860" ht="13.5" customHeight="1">
      <c r="A860" s="931"/>
      <c r="B860" s="291"/>
      <c r="C860" s="931"/>
      <c r="D860" s="932"/>
      <c r="E860" s="932"/>
      <c r="F860" s="931"/>
      <c r="G860" s="931"/>
      <c r="H860" s="932"/>
      <c r="I860" s="932"/>
      <c r="J860" s="99" t="str">
        <f>IFERROR(VLOOKUP(B860,'02. MM-KLH'!$B$6:$T$823,9,0),"")</f>
        <v/>
      </c>
      <c r="K860" s="932"/>
      <c r="L860" s="932"/>
      <c r="M860" s="966"/>
      <c r="N860" s="957"/>
      <c r="O860" s="957"/>
      <c r="P860" s="932"/>
      <c r="Q860" s="931"/>
      <c r="R860" s="931"/>
      <c r="S860" s="957"/>
      <c r="T860" s="957"/>
      <c r="U860" s="957"/>
    </row>
    <row r="861" ht="13.5" customHeight="1">
      <c r="A861" s="931"/>
      <c r="B861" s="291"/>
      <c r="C861" s="931"/>
      <c r="D861" s="932"/>
      <c r="E861" s="932"/>
      <c r="F861" s="931"/>
      <c r="G861" s="931"/>
      <c r="H861" s="932"/>
      <c r="I861" s="932"/>
      <c r="J861" s="99" t="str">
        <f>IFERROR(VLOOKUP(B861,'02. MM-KLH'!$B$6:$T$823,9,0),"")</f>
        <v/>
      </c>
      <c r="K861" s="932"/>
      <c r="L861" s="932"/>
      <c r="M861" s="966"/>
      <c r="N861" s="957"/>
      <c r="O861" s="957"/>
      <c r="P861" s="932"/>
      <c r="Q861" s="931"/>
      <c r="R861" s="931"/>
      <c r="S861" s="957"/>
      <c r="T861" s="957"/>
      <c r="U861" s="957"/>
    </row>
    <row r="862" ht="13.5" customHeight="1">
      <c r="A862" s="931"/>
      <c r="B862" s="291"/>
      <c r="C862" s="931"/>
      <c r="D862" s="932"/>
      <c r="E862" s="932"/>
      <c r="F862" s="931"/>
      <c r="G862" s="931"/>
      <c r="H862" s="932"/>
      <c r="I862" s="932"/>
      <c r="J862" s="99" t="str">
        <f>IFERROR(VLOOKUP(B862,'02. MM-KLH'!$B$6:$T$823,9,0),"")</f>
        <v/>
      </c>
      <c r="K862" s="932"/>
      <c r="L862" s="932"/>
      <c r="M862" s="966"/>
      <c r="N862" s="957"/>
      <c r="O862" s="957"/>
      <c r="P862" s="932"/>
      <c r="Q862" s="931"/>
      <c r="R862" s="931"/>
      <c r="S862" s="957"/>
      <c r="T862" s="957"/>
      <c r="U862" s="957"/>
    </row>
    <row r="863" ht="13.5" customHeight="1">
      <c r="A863" s="931"/>
      <c r="B863" s="291"/>
      <c r="C863" s="931"/>
      <c r="D863" s="932"/>
      <c r="E863" s="932"/>
      <c r="F863" s="931"/>
      <c r="G863" s="931"/>
      <c r="H863" s="932"/>
      <c r="I863" s="932"/>
      <c r="J863" s="99" t="str">
        <f>IFERROR(VLOOKUP(B863,'02. MM-KLH'!$B$6:$T$823,9,0),"")</f>
        <v/>
      </c>
      <c r="K863" s="932"/>
      <c r="L863" s="932"/>
      <c r="M863" s="966"/>
      <c r="N863" s="957"/>
      <c r="O863" s="957"/>
      <c r="P863" s="932"/>
      <c r="Q863" s="931"/>
      <c r="R863" s="931"/>
      <c r="S863" s="957"/>
      <c r="T863" s="957"/>
      <c r="U863" s="957"/>
    </row>
    <row r="864" ht="13.5" customHeight="1">
      <c r="A864" s="931"/>
      <c r="B864" s="291"/>
      <c r="C864" s="931"/>
      <c r="D864" s="932"/>
      <c r="E864" s="932"/>
      <c r="F864" s="931"/>
      <c r="G864" s="931"/>
      <c r="H864" s="932"/>
      <c r="I864" s="932"/>
      <c r="J864" s="99" t="str">
        <f>IFERROR(VLOOKUP(B864,'02. MM-KLH'!$B$6:$T$823,9,0),"")</f>
        <v/>
      </c>
      <c r="K864" s="932"/>
      <c r="L864" s="932"/>
      <c r="M864" s="966"/>
      <c r="N864" s="957"/>
      <c r="O864" s="957"/>
      <c r="P864" s="932"/>
      <c r="Q864" s="931"/>
      <c r="R864" s="931"/>
      <c r="S864" s="957"/>
      <c r="T864" s="957"/>
      <c r="U864" s="957"/>
    </row>
    <row r="865" ht="13.5" customHeight="1">
      <c r="A865" s="931"/>
      <c r="B865" s="291"/>
      <c r="C865" s="931"/>
      <c r="D865" s="932"/>
      <c r="E865" s="932"/>
      <c r="F865" s="931"/>
      <c r="G865" s="931"/>
      <c r="H865" s="932"/>
      <c r="I865" s="932"/>
      <c r="J865" s="99" t="str">
        <f>IFERROR(VLOOKUP(B865,'02. MM-KLH'!$B$6:$T$823,9,0),"")</f>
        <v/>
      </c>
      <c r="K865" s="932"/>
      <c r="L865" s="932"/>
      <c r="M865" s="966"/>
      <c r="N865" s="957"/>
      <c r="O865" s="957"/>
      <c r="P865" s="932"/>
      <c r="Q865" s="931"/>
      <c r="R865" s="931"/>
      <c r="S865" s="957"/>
      <c r="T865" s="957"/>
      <c r="U865" s="957"/>
    </row>
    <row r="866" ht="13.5" customHeight="1">
      <c r="A866" s="931"/>
      <c r="B866" s="291"/>
      <c r="C866" s="931"/>
      <c r="D866" s="932"/>
      <c r="E866" s="932"/>
      <c r="F866" s="931"/>
      <c r="G866" s="931"/>
      <c r="H866" s="932"/>
      <c r="I866" s="932"/>
      <c r="J866" s="99" t="str">
        <f>IFERROR(VLOOKUP(B866,'02. MM-KLH'!$B$6:$T$823,9,0),"")</f>
        <v/>
      </c>
      <c r="K866" s="932"/>
      <c r="L866" s="932"/>
      <c r="M866" s="966"/>
      <c r="N866" s="957"/>
      <c r="O866" s="957"/>
      <c r="P866" s="932"/>
      <c r="Q866" s="931"/>
      <c r="R866" s="931"/>
      <c r="S866" s="957"/>
      <c r="T866" s="957"/>
      <c r="U866" s="957"/>
    </row>
    <row r="867" ht="13.5" customHeight="1">
      <c r="A867" s="931"/>
      <c r="B867" s="291"/>
      <c r="C867" s="931"/>
      <c r="D867" s="932"/>
      <c r="E867" s="932"/>
      <c r="F867" s="931"/>
      <c r="G867" s="931"/>
      <c r="H867" s="932"/>
      <c r="I867" s="932"/>
      <c r="J867" s="99" t="str">
        <f>IFERROR(VLOOKUP(B867,'02. MM-KLH'!$B$6:$T$823,9,0),"")</f>
        <v/>
      </c>
      <c r="K867" s="932"/>
      <c r="L867" s="932"/>
      <c r="M867" s="966"/>
      <c r="N867" s="957"/>
      <c r="O867" s="957"/>
      <c r="P867" s="932"/>
      <c r="Q867" s="931"/>
      <c r="R867" s="931"/>
      <c r="S867" s="957"/>
      <c r="T867" s="957"/>
      <c r="U867" s="957"/>
    </row>
    <row r="868" ht="13.5" customHeight="1">
      <c r="A868" s="931"/>
      <c r="B868" s="291"/>
      <c r="C868" s="931"/>
      <c r="D868" s="932"/>
      <c r="E868" s="932"/>
      <c r="F868" s="931"/>
      <c r="G868" s="931"/>
      <c r="H868" s="932"/>
      <c r="I868" s="932"/>
      <c r="J868" s="99" t="str">
        <f>IFERROR(VLOOKUP(B868,'02. MM-KLH'!$B$6:$T$823,9,0),"")</f>
        <v/>
      </c>
      <c r="K868" s="932"/>
      <c r="L868" s="932"/>
      <c r="M868" s="966"/>
      <c r="N868" s="957"/>
      <c r="O868" s="957"/>
      <c r="P868" s="932"/>
      <c r="Q868" s="931"/>
      <c r="R868" s="931"/>
      <c r="S868" s="957"/>
      <c r="T868" s="957"/>
      <c r="U868" s="957"/>
    </row>
    <row r="869" ht="13.5" customHeight="1">
      <c r="A869" s="931"/>
      <c r="B869" s="291"/>
      <c r="C869" s="931"/>
      <c r="D869" s="932"/>
      <c r="E869" s="932"/>
      <c r="F869" s="931"/>
      <c r="G869" s="931"/>
      <c r="H869" s="932"/>
      <c r="I869" s="932"/>
      <c r="J869" s="99" t="str">
        <f>IFERROR(VLOOKUP(B869,'02. MM-KLH'!$B$6:$T$823,9,0),"")</f>
        <v/>
      </c>
      <c r="K869" s="932"/>
      <c r="L869" s="932"/>
      <c r="M869" s="966"/>
      <c r="N869" s="957"/>
      <c r="O869" s="957"/>
      <c r="P869" s="932"/>
      <c r="Q869" s="931"/>
      <c r="R869" s="931"/>
      <c r="S869" s="957"/>
      <c r="T869" s="957"/>
      <c r="U869" s="957"/>
    </row>
    <row r="870" ht="13.5" customHeight="1">
      <c r="A870" s="931"/>
      <c r="B870" s="291"/>
      <c r="C870" s="931"/>
      <c r="D870" s="932"/>
      <c r="E870" s="932"/>
      <c r="F870" s="931"/>
      <c r="G870" s="931"/>
      <c r="H870" s="932"/>
      <c r="I870" s="932"/>
      <c r="J870" s="99" t="str">
        <f>IFERROR(VLOOKUP(B870,'02. MM-KLH'!$B$6:$T$823,9,0),"")</f>
        <v/>
      </c>
      <c r="K870" s="932"/>
      <c r="L870" s="932"/>
      <c r="M870" s="966"/>
      <c r="N870" s="957"/>
      <c r="O870" s="957"/>
      <c r="P870" s="932"/>
      <c r="Q870" s="931"/>
      <c r="R870" s="931"/>
      <c r="S870" s="957"/>
      <c r="T870" s="957"/>
      <c r="U870" s="957"/>
    </row>
    <row r="871" ht="13.5" customHeight="1">
      <c r="A871" s="931"/>
      <c r="B871" s="291"/>
      <c r="C871" s="931"/>
      <c r="D871" s="932"/>
      <c r="E871" s="932"/>
      <c r="F871" s="931"/>
      <c r="G871" s="931"/>
      <c r="H871" s="932"/>
      <c r="I871" s="932"/>
      <c r="J871" s="99" t="str">
        <f>IFERROR(VLOOKUP(B871,'02. MM-KLH'!$B$6:$T$823,9,0),"")</f>
        <v/>
      </c>
      <c r="K871" s="932"/>
      <c r="L871" s="932"/>
      <c r="M871" s="966"/>
      <c r="N871" s="957"/>
      <c r="O871" s="957"/>
      <c r="P871" s="932"/>
      <c r="Q871" s="931"/>
      <c r="R871" s="931"/>
      <c r="S871" s="957"/>
      <c r="T871" s="957"/>
      <c r="U871" s="957"/>
    </row>
    <row r="872" ht="13.5" customHeight="1">
      <c r="A872" s="931"/>
      <c r="B872" s="291"/>
      <c r="C872" s="931"/>
      <c r="D872" s="932"/>
      <c r="E872" s="932"/>
      <c r="F872" s="931"/>
      <c r="G872" s="931"/>
      <c r="H872" s="932"/>
      <c r="I872" s="932"/>
      <c r="J872" s="99" t="str">
        <f>IFERROR(VLOOKUP(B872,'02. MM-KLH'!$B$6:$T$823,9,0),"")</f>
        <v/>
      </c>
      <c r="K872" s="932"/>
      <c r="L872" s="932"/>
      <c r="M872" s="966"/>
      <c r="N872" s="957"/>
      <c r="O872" s="957"/>
      <c r="P872" s="932"/>
      <c r="Q872" s="931"/>
      <c r="R872" s="931"/>
      <c r="S872" s="957"/>
      <c r="T872" s="957"/>
      <c r="U872" s="957"/>
    </row>
    <row r="873" ht="13.5" customHeight="1">
      <c r="A873" s="931"/>
      <c r="B873" s="291"/>
      <c r="C873" s="931"/>
      <c r="D873" s="932"/>
      <c r="E873" s="932"/>
      <c r="F873" s="931"/>
      <c r="G873" s="931"/>
      <c r="H873" s="932"/>
      <c r="I873" s="932"/>
      <c r="J873" s="99" t="str">
        <f>IFERROR(VLOOKUP(B873,'02. MM-KLH'!$B$6:$T$823,9,0),"")</f>
        <v/>
      </c>
      <c r="K873" s="932"/>
      <c r="L873" s="932"/>
      <c r="M873" s="966"/>
      <c r="N873" s="957"/>
      <c r="O873" s="957"/>
      <c r="P873" s="932"/>
      <c r="Q873" s="931"/>
      <c r="R873" s="931"/>
      <c r="S873" s="957"/>
      <c r="T873" s="957"/>
      <c r="U873" s="957"/>
    </row>
    <row r="874" ht="13.5" customHeight="1">
      <c r="A874" s="931"/>
      <c r="B874" s="291"/>
      <c r="C874" s="931"/>
      <c r="D874" s="932"/>
      <c r="E874" s="932"/>
      <c r="F874" s="931"/>
      <c r="G874" s="931"/>
      <c r="H874" s="932"/>
      <c r="I874" s="932"/>
      <c r="J874" s="99" t="str">
        <f>IFERROR(VLOOKUP(B874,'02. MM-KLH'!$B$6:$T$823,9,0),"")</f>
        <v/>
      </c>
      <c r="K874" s="932"/>
      <c r="L874" s="932"/>
      <c r="M874" s="966"/>
      <c r="N874" s="957"/>
      <c r="O874" s="957"/>
      <c r="P874" s="932"/>
      <c r="Q874" s="931"/>
      <c r="R874" s="931"/>
      <c r="S874" s="957"/>
      <c r="T874" s="957"/>
      <c r="U874" s="957"/>
    </row>
    <row r="875" ht="13.5" customHeight="1">
      <c r="A875" s="931"/>
      <c r="B875" s="291"/>
      <c r="C875" s="931"/>
      <c r="D875" s="932"/>
      <c r="E875" s="932"/>
      <c r="F875" s="931"/>
      <c r="G875" s="931"/>
      <c r="H875" s="932"/>
      <c r="I875" s="932"/>
      <c r="J875" s="99" t="str">
        <f>IFERROR(VLOOKUP(B875,'02. MM-KLH'!$B$6:$T$823,9,0),"")</f>
        <v/>
      </c>
      <c r="K875" s="932"/>
      <c r="L875" s="932"/>
      <c r="M875" s="966"/>
      <c r="N875" s="957"/>
      <c r="O875" s="957"/>
      <c r="P875" s="932"/>
      <c r="Q875" s="931"/>
      <c r="R875" s="931"/>
      <c r="S875" s="957"/>
      <c r="T875" s="957"/>
      <c r="U875" s="957"/>
    </row>
    <row r="876" ht="13.5" customHeight="1">
      <c r="A876" s="931"/>
      <c r="B876" s="291"/>
      <c r="C876" s="931"/>
      <c r="D876" s="932"/>
      <c r="E876" s="932"/>
      <c r="F876" s="931"/>
      <c r="G876" s="931"/>
      <c r="H876" s="932"/>
      <c r="I876" s="932"/>
      <c r="J876" s="99" t="str">
        <f>IFERROR(VLOOKUP(B876,'02. MM-KLH'!$B$6:$T$823,9,0),"")</f>
        <v/>
      </c>
      <c r="K876" s="932"/>
      <c r="L876" s="932"/>
      <c r="M876" s="966"/>
      <c r="N876" s="957"/>
      <c r="O876" s="957"/>
      <c r="P876" s="932"/>
      <c r="Q876" s="931"/>
      <c r="R876" s="931"/>
      <c r="S876" s="957"/>
      <c r="T876" s="957"/>
      <c r="U876" s="957"/>
    </row>
    <row r="877" ht="13.5" customHeight="1">
      <c r="A877" s="931"/>
      <c r="B877" s="291"/>
      <c r="C877" s="931"/>
      <c r="D877" s="932"/>
      <c r="E877" s="932"/>
      <c r="F877" s="931"/>
      <c r="G877" s="931"/>
      <c r="H877" s="932"/>
      <c r="I877" s="932"/>
      <c r="J877" s="99" t="str">
        <f>IFERROR(VLOOKUP(B877,'02. MM-KLH'!$B$6:$T$823,9,0),"")</f>
        <v/>
      </c>
      <c r="K877" s="932"/>
      <c r="L877" s="932"/>
      <c r="M877" s="966"/>
      <c r="N877" s="957"/>
      <c r="O877" s="957"/>
      <c r="P877" s="932"/>
      <c r="Q877" s="931"/>
      <c r="R877" s="931"/>
      <c r="S877" s="957"/>
      <c r="T877" s="957"/>
      <c r="U877" s="957"/>
    </row>
    <row r="878" ht="13.5" customHeight="1">
      <c r="A878" s="931"/>
      <c r="B878" s="291"/>
      <c r="C878" s="931"/>
      <c r="D878" s="932"/>
      <c r="E878" s="932"/>
      <c r="F878" s="931"/>
      <c r="G878" s="931"/>
      <c r="H878" s="932"/>
      <c r="I878" s="932"/>
      <c r="J878" s="99" t="str">
        <f>IFERROR(VLOOKUP(B878,'02. MM-KLH'!$B$6:$T$823,9,0),"")</f>
        <v/>
      </c>
      <c r="K878" s="932"/>
      <c r="L878" s="932"/>
      <c r="M878" s="966"/>
      <c r="N878" s="957"/>
      <c r="O878" s="957"/>
      <c r="P878" s="932"/>
      <c r="Q878" s="931"/>
      <c r="R878" s="931"/>
      <c r="S878" s="957"/>
      <c r="T878" s="957"/>
      <c r="U878" s="957"/>
    </row>
    <row r="879" ht="13.5" customHeight="1">
      <c r="A879" s="931"/>
      <c r="B879" s="291"/>
      <c r="C879" s="931"/>
      <c r="D879" s="932"/>
      <c r="E879" s="932"/>
      <c r="F879" s="931"/>
      <c r="G879" s="931"/>
      <c r="H879" s="932"/>
      <c r="I879" s="932"/>
      <c r="J879" s="99" t="str">
        <f>IFERROR(VLOOKUP(B879,'02. MM-KLH'!$B$6:$T$823,9,0),"")</f>
        <v/>
      </c>
      <c r="K879" s="932"/>
      <c r="L879" s="932"/>
      <c r="M879" s="966"/>
      <c r="N879" s="957"/>
      <c r="O879" s="957"/>
      <c r="P879" s="932"/>
      <c r="Q879" s="931"/>
      <c r="R879" s="931"/>
      <c r="S879" s="957"/>
      <c r="T879" s="957"/>
      <c r="U879" s="957"/>
    </row>
    <row r="880" ht="13.5" customHeight="1">
      <c r="A880" s="931"/>
      <c r="B880" s="291"/>
      <c r="C880" s="931"/>
      <c r="D880" s="932"/>
      <c r="E880" s="932"/>
      <c r="F880" s="931"/>
      <c r="G880" s="931"/>
      <c r="H880" s="932"/>
      <c r="I880" s="932"/>
      <c r="J880" s="99" t="str">
        <f>IFERROR(VLOOKUP(B880,'02. MM-KLH'!$B$6:$T$823,9,0),"")</f>
        <v/>
      </c>
      <c r="K880" s="932"/>
      <c r="L880" s="932"/>
      <c r="M880" s="966"/>
      <c r="N880" s="957"/>
      <c r="O880" s="957"/>
      <c r="P880" s="932"/>
      <c r="Q880" s="931"/>
      <c r="R880" s="931"/>
      <c r="S880" s="957"/>
      <c r="T880" s="957"/>
      <c r="U880" s="957"/>
    </row>
    <row r="881" ht="13.5" customHeight="1">
      <c r="A881" s="931"/>
      <c r="B881" s="291"/>
      <c r="C881" s="931"/>
      <c r="D881" s="932"/>
      <c r="E881" s="932"/>
      <c r="F881" s="931"/>
      <c r="G881" s="931"/>
      <c r="H881" s="932"/>
      <c r="I881" s="932"/>
      <c r="J881" s="99" t="str">
        <f>IFERROR(VLOOKUP(B881,'02. MM-KLH'!$B$6:$T$823,9,0),"")</f>
        <v/>
      </c>
      <c r="K881" s="932"/>
      <c r="L881" s="932"/>
      <c r="M881" s="966"/>
      <c r="N881" s="957"/>
      <c r="O881" s="957"/>
      <c r="P881" s="932"/>
      <c r="Q881" s="931"/>
      <c r="R881" s="931"/>
      <c r="S881" s="957"/>
      <c r="T881" s="957"/>
      <c r="U881" s="957"/>
    </row>
    <row r="882" ht="13.5" customHeight="1">
      <c r="A882" s="931"/>
      <c r="B882" s="291"/>
      <c r="C882" s="931"/>
      <c r="D882" s="932"/>
      <c r="E882" s="932"/>
      <c r="F882" s="931"/>
      <c r="G882" s="931"/>
      <c r="H882" s="932"/>
      <c r="I882" s="932"/>
      <c r="J882" s="932"/>
      <c r="K882" s="932"/>
      <c r="L882" s="932"/>
      <c r="M882" s="966"/>
      <c r="N882" s="957"/>
      <c r="O882" s="957"/>
      <c r="P882" s="932"/>
      <c r="Q882" s="931"/>
      <c r="R882" s="931"/>
      <c r="S882" s="957"/>
      <c r="T882" s="957"/>
      <c r="U882" s="957"/>
    </row>
    <row r="883" ht="13.5" customHeight="1">
      <c r="A883" s="931"/>
      <c r="B883" s="291"/>
      <c r="C883" s="931"/>
      <c r="D883" s="932"/>
      <c r="E883" s="932"/>
      <c r="F883" s="931"/>
      <c r="G883" s="931"/>
      <c r="H883" s="932"/>
      <c r="I883" s="932"/>
      <c r="J883" s="932"/>
      <c r="K883" s="932"/>
      <c r="L883" s="932"/>
      <c r="M883" s="966"/>
      <c r="N883" s="957"/>
      <c r="O883" s="957"/>
      <c r="P883" s="932"/>
      <c r="Q883" s="931"/>
      <c r="R883" s="931"/>
      <c r="S883" s="957"/>
      <c r="T883" s="957"/>
      <c r="U883" s="957"/>
    </row>
    <row r="884" ht="13.5" customHeight="1">
      <c r="A884" s="931"/>
      <c r="B884" s="291"/>
      <c r="C884" s="931"/>
      <c r="D884" s="932"/>
      <c r="E884" s="932"/>
      <c r="F884" s="931"/>
      <c r="G884" s="931"/>
      <c r="H884" s="932"/>
      <c r="I884" s="932"/>
      <c r="J884" s="932"/>
      <c r="K884" s="932"/>
      <c r="L884" s="932"/>
      <c r="M884" s="966"/>
      <c r="N884" s="957"/>
      <c r="O884" s="957"/>
      <c r="P884" s="932"/>
      <c r="Q884" s="931"/>
      <c r="R884" s="931"/>
      <c r="S884" s="957"/>
      <c r="T884" s="957"/>
      <c r="U884" s="957"/>
    </row>
    <row r="885" ht="13.5" customHeight="1">
      <c r="A885" s="931"/>
      <c r="B885" s="291"/>
      <c r="C885" s="931"/>
      <c r="D885" s="932"/>
      <c r="E885" s="932"/>
      <c r="F885" s="931"/>
      <c r="G885" s="931"/>
      <c r="H885" s="932"/>
      <c r="I885" s="932"/>
      <c r="J885" s="932"/>
      <c r="K885" s="932"/>
      <c r="L885" s="932"/>
      <c r="M885" s="966"/>
      <c r="N885" s="957"/>
      <c r="O885" s="957"/>
      <c r="P885" s="932"/>
      <c r="Q885" s="931"/>
      <c r="R885" s="931"/>
      <c r="S885" s="957"/>
      <c r="T885" s="957"/>
      <c r="U885" s="957"/>
    </row>
    <row r="886" ht="13.5" customHeight="1">
      <c r="A886" s="931"/>
      <c r="B886" s="291"/>
      <c r="C886" s="931"/>
      <c r="D886" s="932"/>
      <c r="E886" s="932"/>
      <c r="F886" s="931"/>
      <c r="G886" s="931"/>
      <c r="H886" s="932"/>
      <c r="I886" s="932"/>
      <c r="J886" s="932"/>
      <c r="K886" s="932"/>
      <c r="L886" s="932"/>
      <c r="M886" s="966"/>
      <c r="N886" s="957"/>
      <c r="O886" s="957"/>
      <c r="P886" s="932"/>
      <c r="Q886" s="931"/>
      <c r="R886" s="931"/>
      <c r="S886" s="957"/>
      <c r="T886" s="957"/>
      <c r="U886" s="957"/>
    </row>
    <row r="887" ht="13.5" customHeight="1">
      <c r="A887" s="931"/>
      <c r="B887" s="291"/>
      <c r="C887" s="931"/>
      <c r="D887" s="932"/>
      <c r="E887" s="932"/>
      <c r="F887" s="931"/>
      <c r="G887" s="931"/>
      <c r="H887" s="932"/>
      <c r="I887" s="932"/>
      <c r="J887" s="932"/>
      <c r="K887" s="932"/>
      <c r="L887" s="932"/>
      <c r="M887" s="966"/>
      <c r="N887" s="957"/>
      <c r="O887" s="957"/>
      <c r="P887" s="932"/>
      <c r="Q887" s="931"/>
      <c r="R887" s="931"/>
      <c r="S887" s="957"/>
      <c r="T887" s="957"/>
      <c r="U887" s="957"/>
    </row>
    <row r="888" ht="13.5" customHeight="1">
      <c r="A888" s="931"/>
      <c r="B888" s="291"/>
      <c r="C888" s="931"/>
      <c r="D888" s="932"/>
      <c r="E888" s="932"/>
      <c r="F888" s="931"/>
      <c r="G888" s="931"/>
      <c r="H888" s="932"/>
      <c r="I888" s="932"/>
      <c r="J888" s="932"/>
      <c r="K888" s="932"/>
      <c r="L888" s="932"/>
      <c r="M888" s="966"/>
      <c r="N888" s="957"/>
      <c r="O888" s="957"/>
      <c r="P888" s="932"/>
      <c r="Q888" s="931"/>
      <c r="R888" s="931"/>
      <c r="S888" s="957"/>
      <c r="T888" s="957"/>
      <c r="U888" s="957"/>
    </row>
    <row r="889" ht="13.5" customHeight="1">
      <c r="A889" s="931"/>
      <c r="B889" s="291"/>
      <c r="C889" s="931"/>
      <c r="D889" s="932"/>
      <c r="E889" s="932"/>
      <c r="F889" s="931"/>
      <c r="G889" s="931"/>
      <c r="H889" s="932"/>
      <c r="I889" s="932"/>
      <c r="J889" s="932"/>
      <c r="K889" s="932"/>
      <c r="L889" s="932"/>
      <c r="M889" s="966"/>
      <c r="N889" s="957"/>
      <c r="O889" s="957"/>
      <c r="P889" s="932"/>
      <c r="Q889" s="931"/>
      <c r="R889" s="931"/>
      <c r="S889" s="957"/>
      <c r="T889" s="957"/>
      <c r="U889" s="957"/>
    </row>
    <row r="890" ht="13.5" customHeight="1">
      <c r="A890" s="931"/>
      <c r="B890" s="291"/>
      <c r="C890" s="931"/>
      <c r="D890" s="932"/>
      <c r="E890" s="932"/>
      <c r="F890" s="931"/>
      <c r="G890" s="931"/>
      <c r="H890" s="932"/>
      <c r="I890" s="932"/>
      <c r="J890" s="932"/>
      <c r="K890" s="932"/>
      <c r="L890" s="932"/>
      <c r="M890" s="966"/>
      <c r="N890" s="957"/>
      <c r="O890" s="957"/>
      <c r="P890" s="932"/>
      <c r="Q890" s="931"/>
      <c r="R890" s="931"/>
      <c r="S890" s="957"/>
      <c r="T890" s="957"/>
      <c r="U890" s="957"/>
    </row>
    <row r="891" ht="13.5" customHeight="1">
      <c r="A891" s="931"/>
      <c r="B891" s="291"/>
      <c r="C891" s="931"/>
      <c r="D891" s="932"/>
      <c r="E891" s="932"/>
      <c r="F891" s="931"/>
      <c r="G891" s="931"/>
      <c r="H891" s="932"/>
      <c r="I891" s="932"/>
      <c r="J891" s="932"/>
      <c r="K891" s="932"/>
      <c r="L891" s="932"/>
      <c r="M891" s="966"/>
      <c r="N891" s="957"/>
      <c r="O891" s="957"/>
      <c r="P891" s="932"/>
      <c r="Q891" s="931"/>
      <c r="R891" s="931"/>
      <c r="S891" s="957"/>
      <c r="T891" s="957"/>
      <c r="U891" s="957"/>
    </row>
    <row r="892" ht="13.5" customHeight="1">
      <c r="A892" s="931"/>
      <c r="B892" s="291"/>
      <c r="C892" s="931"/>
      <c r="D892" s="932"/>
      <c r="E892" s="932"/>
      <c r="F892" s="931"/>
      <c r="G892" s="931"/>
      <c r="H892" s="932"/>
      <c r="I892" s="932"/>
      <c r="J892" s="932"/>
      <c r="K892" s="932"/>
      <c r="L892" s="932"/>
      <c r="M892" s="966"/>
      <c r="N892" s="957"/>
      <c r="O892" s="957"/>
      <c r="P892" s="932"/>
      <c r="Q892" s="931"/>
      <c r="R892" s="931"/>
      <c r="S892" s="957"/>
      <c r="T892" s="957"/>
      <c r="U892" s="957"/>
    </row>
    <row r="893" ht="13.5" customHeight="1">
      <c r="A893" s="931"/>
      <c r="B893" s="291"/>
      <c r="C893" s="931"/>
      <c r="D893" s="932"/>
      <c r="E893" s="932"/>
      <c r="F893" s="931"/>
      <c r="G893" s="931"/>
      <c r="H893" s="932"/>
      <c r="I893" s="932"/>
      <c r="J893" s="932"/>
      <c r="K893" s="932"/>
      <c r="L893" s="932"/>
      <c r="M893" s="966"/>
      <c r="N893" s="957"/>
      <c r="O893" s="957"/>
      <c r="P893" s="932"/>
      <c r="Q893" s="931"/>
      <c r="R893" s="931"/>
      <c r="S893" s="957"/>
      <c r="T893" s="957"/>
      <c r="U893" s="957"/>
    </row>
    <row r="894" ht="13.5" customHeight="1">
      <c r="A894" s="931"/>
      <c r="B894" s="291"/>
      <c r="C894" s="931"/>
      <c r="D894" s="932"/>
      <c r="E894" s="932"/>
      <c r="F894" s="931"/>
      <c r="G894" s="931"/>
      <c r="H894" s="932"/>
      <c r="I894" s="932"/>
      <c r="J894" s="932"/>
      <c r="K894" s="932"/>
      <c r="L894" s="932"/>
      <c r="M894" s="966"/>
      <c r="N894" s="957"/>
      <c r="O894" s="957"/>
      <c r="P894" s="932"/>
      <c r="Q894" s="931"/>
      <c r="R894" s="931"/>
      <c r="S894" s="957"/>
      <c r="T894" s="957"/>
      <c r="U894" s="957"/>
    </row>
    <row r="895" ht="13.5" customHeight="1">
      <c r="A895" s="931"/>
      <c r="B895" s="291"/>
      <c r="C895" s="931"/>
      <c r="D895" s="932"/>
      <c r="E895" s="932"/>
      <c r="F895" s="931"/>
      <c r="G895" s="931"/>
      <c r="H895" s="932"/>
      <c r="I895" s="932"/>
      <c r="J895" s="932"/>
      <c r="K895" s="932"/>
      <c r="L895" s="932"/>
      <c r="M895" s="966"/>
      <c r="N895" s="957"/>
      <c r="O895" s="957"/>
      <c r="P895" s="932"/>
      <c r="Q895" s="931"/>
      <c r="R895" s="931"/>
      <c r="S895" s="957"/>
      <c r="T895" s="957"/>
      <c r="U895" s="957"/>
    </row>
    <row r="896" ht="13.5" customHeight="1">
      <c r="A896" s="931"/>
      <c r="B896" s="291"/>
      <c r="C896" s="931"/>
      <c r="D896" s="932"/>
      <c r="E896" s="932"/>
      <c r="F896" s="931"/>
      <c r="G896" s="931"/>
      <c r="H896" s="932"/>
      <c r="I896" s="932"/>
      <c r="J896" s="932"/>
      <c r="K896" s="932"/>
      <c r="L896" s="932"/>
      <c r="M896" s="966"/>
      <c r="N896" s="957"/>
      <c r="O896" s="957"/>
      <c r="P896" s="932"/>
      <c r="Q896" s="931"/>
      <c r="R896" s="931"/>
      <c r="S896" s="957"/>
      <c r="T896" s="957"/>
      <c r="U896" s="957"/>
    </row>
    <row r="897" ht="13.5" customHeight="1">
      <c r="A897" s="931"/>
      <c r="B897" s="291"/>
      <c r="C897" s="931"/>
      <c r="D897" s="932"/>
      <c r="E897" s="932"/>
      <c r="F897" s="931"/>
      <c r="G897" s="931"/>
      <c r="H897" s="932"/>
      <c r="I897" s="932"/>
      <c r="J897" s="932"/>
      <c r="K897" s="932"/>
      <c r="L897" s="932"/>
      <c r="M897" s="966"/>
      <c r="N897" s="957"/>
      <c r="O897" s="957"/>
      <c r="P897" s="932"/>
      <c r="Q897" s="931"/>
      <c r="R897" s="931"/>
      <c r="S897" s="957"/>
      <c r="T897" s="957"/>
      <c r="U897" s="957"/>
    </row>
    <row r="898" ht="13.5" customHeight="1">
      <c r="A898" s="931"/>
      <c r="B898" s="291"/>
      <c r="C898" s="931"/>
      <c r="D898" s="932"/>
      <c r="E898" s="932"/>
      <c r="F898" s="931"/>
      <c r="G898" s="931"/>
      <c r="H898" s="932"/>
      <c r="I898" s="932"/>
      <c r="J898" s="932"/>
      <c r="K898" s="932"/>
      <c r="L898" s="932"/>
      <c r="M898" s="966"/>
      <c r="N898" s="957"/>
      <c r="O898" s="957"/>
      <c r="P898" s="932"/>
      <c r="Q898" s="931"/>
      <c r="R898" s="931"/>
      <c r="S898" s="957"/>
      <c r="T898" s="957"/>
      <c r="U898" s="957"/>
    </row>
    <row r="899" ht="13.5" customHeight="1">
      <c r="A899" s="931"/>
      <c r="B899" s="291"/>
      <c r="C899" s="931"/>
      <c r="D899" s="932"/>
      <c r="E899" s="932"/>
      <c r="F899" s="931"/>
      <c r="G899" s="931"/>
      <c r="H899" s="932"/>
      <c r="I899" s="932"/>
      <c r="J899" s="932"/>
      <c r="K899" s="932"/>
      <c r="L899" s="932"/>
      <c r="M899" s="966"/>
      <c r="N899" s="957"/>
      <c r="O899" s="957"/>
      <c r="P899" s="932"/>
      <c r="Q899" s="931"/>
      <c r="R899" s="931"/>
      <c r="S899" s="957"/>
      <c r="T899" s="957"/>
      <c r="U899" s="957"/>
    </row>
    <row r="900" ht="13.5" customHeight="1">
      <c r="A900" s="931"/>
      <c r="B900" s="291"/>
      <c r="C900" s="931"/>
      <c r="D900" s="932"/>
      <c r="E900" s="932"/>
      <c r="F900" s="931"/>
      <c r="G900" s="931"/>
      <c r="H900" s="932"/>
      <c r="I900" s="932"/>
      <c r="J900" s="932"/>
      <c r="K900" s="932"/>
      <c r="L900" s="932"/>
      <c r="M900" s="966"/>
      <c r="N900" s="957"/>
      <c r="O900" s="957"/>
      <c r="P900" s="932"/>
      <c r="Q900" s="931"/>
      <c r="R900" s="931"/>
      <c r="S900" s="957"/>
      <c r="T900" s="957"/>
      <c r="U900" s="957"/>
    </row>
    <row r="901" ht="13.5" customHeight="1">
      <c r="A901" s="931"/>
      <c r="B901" s="291"/>
      <c r="C901" s="931"/>
      <c r="D901" s="932"/>
      <c r="E901" s="932"/>
      <c r="F901" s="931"/>
      <c r="G901" s="931"/>
      <c r="H901" s="932"/>
      <c r="I901" s="932"/>
      <c r="J901" s="932"/>
      <c r="K901" s="932"/>
      <c r="L901" s="932"/>
      <c r="M901" s="966"/>
      <c r="N901" s="957"/>
      <c r="O901" s="957"/>
      <c r="P901" s="932"/>
      <c r="Q901" s="931"/>
      <c r="R901" s="931"/>
      <c r="S901" s="957"/>
      <c r="T901" s="957"/>
      <c r="U901" s="957"/>
    </row>
    <row r="902" ht="13.5" customHeight="1">
      <c r="A902" s="931"/>
      <c r="B902" s="291"/>
      <c r="C902" s="931"/>
      <c r="D902" s="932"/>
      <c r="E902" s="932"/>
      <c r="F902" s="931"/>
      <c r="G902" s="931"/>
      <c r="H902" s="932"/>
      <c r="I902" s="932"/>
      <c r="J902" s="932"/>
      <c r="K902" s="932"/>
      <c r="L902" s="932"/>
      <c r="M902" s="966"/>
      <c r="N902" s="957"/>
      <c r="O902" s="957"/>
      <c r="P902" s="932"/>
      <c r="Q902" s="931"/>
      <c r="R902" s="931"/>
      <c r="S902" s="957"/>
      <c r="T902" s="957"/>
      <c r="U902" s="957"/>
    </row>
    <row r="903" ht="13.5" customHeight="1">
      <c r="A903" s="931"/>
      <c r="B903" s="291"/>
      <c r="C903" s="931"/>
      <c r="D903" s="932"/>
      <c r="E903" s="932"/>
      <c r="F903" s="931"/>
      <c r="G903" s="931"/>
      <c r="H903" s="932"/>
      <c r="I903" s="932"/>
      <c r="J903" s="932"/>
      <c r="K903" s="932"/>
      <c r="L903" s="932"/>
      <c r="M903" s="966"/>
      <c r="N903" s="957"/>
      <c r="O903" s="957"/>
      <c r="P903" s="932"/>
      <c r="Q903" s="931"/>
      <c r="R903" s="931"/>
      <c r="S903" s="957"/>
      <c r="T903" s="957"/>
      <c r="U903" s="957"/>
    </row>
    <row r="904" ht="13.5" customHeight="1">
      <c r="A904" s="931"/>
      <c r="B904" s="291"/>
      <c r="C904" s="931"/>
      <c r="D904" s="932"/>
      <c r="E904" s="932"/>
      <c r="F904" s="931"/>
      <c r="G904" s="931"/>
      <c r="H904" s="932"/>
      <c r="I904" s="932"/>
      <c r="J904" s="932"/>
      <c r="K904" s="932"/>
      <c r="L904" s="932"/>
      <c r="M904" s="966"/>
      <c r="N904" s="957"/>
      <c r="O904" s="957"/>
      <c r="P904" s="932"/>
      <c r="Q904" s="931"/>
      <c r="R904" s="931"/>
      <c r="S904" s="957"/>
      <c r="T904" s="957"/>
      <c r="U904" s="957"/>
    </row>
    <row r="905" ht="13.5" customHeight="1">
      <c r="A905" s="931"/>
      <c r="B905" s="291"/>
      <c r="C905" s="931"/>
      <c r="D905" s="932"/>
      <c r="E905" s="932"/>
      <c r="F905" s="931"/>
      <c r="G905" s="931"/>
      <c r="H905" s="932"/>
      <c r="I905" s="932"/>
      <c r="J905" s="932"/>
      <c r="K905" s="932"/>
      <c r="L905" s="932"/>
      <c r="M905" s="966"/>
      <c r="N905" s="957"/>
      <c r="O905" s="957"/>
      <c r="P905" s="932"/>
      <c r="Q905" s="931"/>
      <c r="R905" s="931"/>
      <c r="S905" s="957"/>
      <c r="T905" s="957"/>
      <c r="U905" s="957"/>
    </row>
    <row r="906" ht="13.5" customHeight="1">
      <c r="A906" s="931"/>
      <c r="B906" s="291"/>
      <c r="C906" s="931"/>
      <c r="D906" s="932"/>
      <c r="E906" s="932"/>
      <c r="F906" s="931"/>
      <c r="G906" s="931"/>
      <c r="H906" s="932"/>
      <c r="I906" s="932"/>
      <c r="J906" s="932"/>
      <c r="K906" s="932"/>
      <c r="L906" s="932"/>
      <c r="M906" s="966"/>
      <c r="N906" s="957"/>
      <c r="O906" s="957"/>
      <c r="P906" s="932"/>
      <c r="Q906" s="931"/>
      <c r="R906" s="931"/>
      <c r="S906" s="957"/>
      <c r="T906" s="957"/>
      <c r="U906" s="957"/>
    </row>
    <row r="907" ht="13.5" customHeight="1">
      <c r="A907" s="931"/>
      <c r="B907" s="291"/>
      <c r="C907" s="931"/>
      <c r="D907" s="932"/>
      <c r="E907" s="932"/>
      <c r="F907" s="931"/>
      <c r="G907" s="931"/>
      <c r="H907" s="932"/>
      <c r="I907" s="932"/>
      <c r="J907" s="932"/>
      <c r="K907" s="932"/>
      <c r="L907" s="932"/>
      <c r="M907" s="966"/>
      <c r="N907" s="957"/>
      <c r="O907" s="957"/>
      <c r="P907" s="932"/>
      <c r="Q907" s="931"/>
      <c r="R907" s="931"/>
      <c r="S907" s="957"/>
      <c r="T907" s="957"/>
      <c r="U907" s="957"/>
    </row>
    <row r="908" ht="13.5" customHeight="1">
      <c r="A908" s="931"/>
      <c r="B908" s="291"/>
      <c r="C908" s="931"/>
      <c r="D908" s="932"/>
      <c r="E908" s="932"/>
      <c r="F908" s="931"/>
      <c r="G908" s="931"/>
      <c r="H908" s="932"/>
      <c r="I908" s="932"/>
      <c r="J908" s="932"/>
      <c r="K908" s="932"/>
      <c r="L908" s="932"/>
      <c r="M908" s="966"/>
      <c r="N908" s="957"/>
      <c r="O908" s="957"/>
      <c r="P908" s="932"/>
      <c r="Q908" s="931"/>
      <c r="R908" s="931"/>
      <c r="S908" s="957"/>
      <c r="T908" s="957"/>
      <c r="U908" s="957"/>
    </row>
    <row r="909" ht="13.5" customHeight="1">
      <c r="A909" s="931"/>
      <c r="B909" s="291"/>
      <c r="C909" s="931"/>
      <c r="D909" s="932"/>
      <c r="E909" s="932"/>
      <c r="F909" s="931"/>
      <c r="G909" s="931"/>
      <c r="H909" s="932"/>
      <c r="I909" s="932"/>
      <c r="J909" s="932"/>
      <c r="K909" s="932"/>
      <c r="L909" s="932"/>
      <c r="M909" s="966"/>
      <c r="N909" s="957"/>
      <c r="O909" s="957"/>
      <c r="P909" s="932"/>
      <c r="Q909" s="931"/>
      <c r="R909" s="931"/>
      <c r="S909" s="957"/>
      <c r="T909" s="957"/>
      <c r="U909" s="957"/>
    </row>
    <row r="910" ht="13.5" customHeight="1">
      <c r="A910" s="931"/>
      <c r="B910" s="291"/>
      <c r="C910" s="931"/>
      <c r="D910" s="932"/>
      <c r="E910" s="932"/>
      <c r="F910" s="931"/>
      <c r="G910" s="931"/>
      <c r="H910" s="932"/>
      <c r="I910" s="932"/>
      <c r="J910" s="932"/>
      <c r="K910" s="932"/>
      <c r="L910" s="932"/>
      <c r="M910" s="966"/>
      <c r="N910" s="957"/>
      <c r="O910" s="957"/>
      <c r="P910" s="932"/>
      <c r="Q910" s="931"/>
      <c r="R910" s="931"/>
      <c r="S910" s="957"/>
      <c r="T910" s="957"/>
      <c r="U910" s="957"/>
    </row>
    <row r="911" ht="13.5" customHeight="1">
      <c r="A911" s="931"/>
      <c r="B911" s="291"/>
      <c r="C911" s="931"/>
      <c r="D911" s="932"/>
      <c r="E911" s="932"/>
      <c r="F911" s="931"/>
      <c r="G911" s="931"/>
      <c r="H911" s="932"/>
      <c r="I911" s="932"/>
      <c r="J911" s="932"/>
      <c r="K911" s="932"/>
      <c r="L911" s="932"/>
      <c r="M911" s="966"/>
      <c r="N911" s="957"/>
      <c r="O911" s="957"/>
      <c r="P911" s="932"/>
      <c r="Q911" s="931"/>
      <c r="R911" s="931"/>
      <c r="S911" s="957"/>
      <c r="T911" s="957"/>
      <c r="U911" s="957"/>
    </row>
    <row r="912" ht="13.5" customHeight="1">
      <c r="A912" s="931"/>
      <c r="B912" s="291"/>
      <c r="C912" s="931"/>
      <c r="D912" s="932"/>
      <c r="E912" s="932"/>
      <c r="F912" s="931"/>
      <c r="G912" s="931"/>
      <c r="H912" s="932"/>
      <c r="I912" s="932"/>
      <c r="J912" s="932"/>
      <c r="K912" s="932"/>
      <c r="L912" s="932"/>
      <c r="M912" s="966"/>
      <c r="N912" s="957"/>
      <c r="O912" s="957"/>
      <c r="P912" s="932"/>
      <c r="Q912" s="931"/>
      <c r="R912" s="931"/>
      <c r="S912" s="957"/>
      <c r="T912" s="957"/>
      <c r="U912" s="957"/>
    </row>
    <row r="913" ht="13.5" customHeight="1">
      <c r="A913" s="931"/>
      <c r="B913" s="291"/>
      <c r="C913" s="931"/>
      <c r="D913" s="932"/>
      <c r="E913" s="932"/>
      <c r="F913" s="931"/>
      <c r="G913" s="931"/>
      <c r="H913" s="932"/>
      <c r="I913" s="932"/>
      <c r="J913" s="932"/>
      <c r="K913" s="932"/>
      <c r="L913" s="932"/>
      <c r="M913" s="966"/>
      <c r="N913" s="957"/>
      <c r="O913" s="957"/>
      <c r="P913" s="932"/>
      <c r="Q913" s="931"/>
      <c r="R913" s="931"/>
      <c r="S913" s="957"/>
      <c r="T913" s="957"/>
      <c r="U913" s="957"/>
    </row>
    <row r="914" ht="13.5" customHeight="1">
      <c r="A914" s="931"/>
      <c r="B914" s="291"/>
      <c r="C914" s="931"/>
      <c r="D914" s="932"/>
      <c r="E914" s="932"/>
      <c r="F914" s="931"/>
      <c r="G914" s="931"/>
      <c r="H914" s="932"/>
      <c r="I914" s="932"/>
      <c r="J914" s="932"/>
      <c r="K914" s="932"/>
      <c r="L914" s="932"/>
      <c r="M914" s="966"/>
      <c r="N914" s="957"/>
      <c r="O914" s="957"/>
      <c r="P914" s="932"/>
      <c r="Q914" s="931"/>
      <c r="R914" s="931"/>
      <c r="S914" s="957"/>
      <c r="T914" s="957"/>
      <c r="U914" s="957"/>
    </row>
    <row r="915" ht="13.5" customHeight="1">
      <c r="A915" s="931"/>
      <c r="B915" s="291"/>
      <c r="C915" s="931"/>
      <c r="D915" s="932"/>
      <c r="E915" s="932"/>
      <c r="F915" s="931"/>
      <c r="G915" s="931"/>
      <c r="H915" s="932"/>
      <c r="I915" s="932"/>
      <c r="J915" s="932"/>
      <c r="K915" s="932"/>
      <c r="L915" s="932"/>
      <c r="M915" s="966"/>
      <c r="N915" s="957"/>
      <c r="O915" s="957"/>
      <c r="P915" s="932"/>
      <c r="Q915" s="931"/>
      <c r="R915" s="931"/>
      <c r="S915" s="957"/>
      <c r="T915" s="957"/>
      <c r="U915" s="957"/>
    </row>
    <row r="916" ht="13.5" customHeight="1">
      <c r="A916" s="931"/>
      <c r="B916" s="291"/>
      <c r="C916" s="931"/>
      <c r="D916" s="932"/>
      <c r="E916" s="932"/>
      <c r="F916" s="931"/>
      <c r="G916" s="931"/>
      <c r="H916" s="932"/>
      <c r="I916" s="932"/>
      <c r="J916" s="932"/>
      <c r="K916" s="932"/>
      <c r="L916" s="932"/>
      <c r="M916" s="966"/>
      <c r="N916" s="957"/>
      <c r="O916" s="957"/>
      <c r="P916" s="932"/>
      <c r="Q916" s="931"/>
      <c r="R916" s="931"/>
      <c r="S916" s="957"/>
      <c r="T916" s="957"/>
      <c r="U916" s="957"/>
    </row>
    <row r="917" ht="13.5" customHeight="1">
      <c r="A917" s="931"/>
      <c r="B917" s="291"/>
      <c r="C917" s="931"/>
      <c r="D917" s="932"/>
      <c r="E917" s="932"/>
      <c r="F917" s="931"/>
      <c r="G917" s="931"/>
      <c r="H917" s="932"/>
      <c r="I917" s="932"/>
      <c r="J917" s="932"/>
      <c r="K917" s="932"/>
      <c r="L917" s="932"/>
      <c r="M917" s="966"/>
      <c r="N917" s="957"/>
      <c r="O917" s="957"/>
      <c r="P917" s="932"/>
      <c r="Q917" s="931"/>
      <c r="R917" s="931"/>
      <c r="S917" s="957"/>
      <c r="T917" s="957"/>
      <c r="U917" s="957"/>
    </row>
    <row r="918" ht="13.5" customHeight="1">
      <c r="A918" s="931"/>
      <c r="B918" s="291"/>
      <c r="C918" s="931"/>
      <c r="D918" s="932"/>
      <c r="E918" s="932"/>
      <c r="F918" s="931"/>
      <c r="G918" s="931"/>
      <c r="H918" s="932"/>
      <c r="I918" s="932"/>
      <c r="J918" s="932"/>
      <c r="K918" s="932"/>
      <c r="L918" s="932"/>
      <c r="M918" s="966"/>
      <c r="N918" s="957"/>
      <c r="O918" s="957"/>
      <c r="P918" s="932"/>
      <c r="Q918" s="931"/>
      <c r="R918" s="931"/>
      <c r="S918" s="957"/>
      <c r="T918" s="957"/>
      <c r="U918" s="957"/>
    </row>
    <row r="919" ht="13.5" customHeight="1">
      <c r="A919" s="931"/>
      <c r="B919" s="291"/>
      <c r="C919" s="931"/>
      <c r="D919" s="932"/>
      <c r="E919" s="932"/>
      <c r="F919" s="931"/>
      <c r="G919" s="931"/>
      <c r="H919" s="932"/>
      <c r="I919" s="932"/>
      <c r="J919" s="932"/>
      <c r="K919" s="932"/>
      <c r="L919" s="932"/>
      <c r="M919" s="966"/>
      <c r="N919" s="957"/>
      <c r="O919" s="957"/>
      <c r="P919" s="932"/>
      <c r="Q919" s="931"/>
      <c r="R919" s="931"/>
      <c r="S919" s="957"/>
      <c r="T919" s="957"/>
      <c r="U919" s="957"/>
    </row>
    <row r="920" ht="13.5" customHeight="1">
      <c r="A920" s="931"/>
      <c r="B920" s="291"/>
      <c r="C920" s="931"/>
      <c r="D920" s="932"/>
      <c r="E920" s="932"/>
      <c r="F920" s="931"/>
      <c r="G920" s="931"/>
      <c r="H920" s="932"/>
      <c r="I920" s="932"/>
      <c r="J920" s="932"/>
      <c r="K920" s="932"/>
      <c r="L920" s="932"/>
      <c r="M920" s="966"/>
      <c r="N920" s="957"/>
      <c r="O920" s="957"/>
      <c r="P920" s="932"/>
      <c r="Q920" s="931"/>
      <c r="R920" s="931"/>
      <c r="S920" s="957"/>
      <c r="T920" s="957"/>
      <c r="U920" s="957"/>
    </row>
    <row r="921" ht="13.5" customHeight="1">
      <c r="A921" s="931"/>
      <c r="B921" s="291"/>
      <c r="C921" s="931"/>
      <c r="D921" s="932"/>
      <c r="E921" s="932"/>
      <c r="F921" s="931"/>
      <c r="G921" s="931"/>
      <c r="H921" s="932"/>
      <c r="I921" s="932"/>
      <c r="J921" s="932"/>
      <c r="K921" s="932"/>
      <c r="L921" s="932"/>
      <c r="M921" s="966"/>
      <c r="N921" s="957"/>
      <c r="O921" s="957"/>
      <c r="P921" s="932"/>
      <c r="Q921" s="931"/>
      <c r="R921" s="931"/>
      <c r="S921" s="957"/>
      <c r="T921" s="957"/>
      <c r="U921" s="957"/>
    </row>
    <row r="922" ht="13.5" customHeight="1">
      <c r="A922" s="931"/>
      <c r="B922" s="291"/>
      <c r="C922" s="931"/>
      <c r="D922" s="932"/>
      <c r="E922" s="932"/>
      <c r="F922" s="931"/>
      <c r="G922" s="931"/>
      <c r="H922" s="932"/>
      <c r="I922" s="932"/>
      <c r="J922" s="932"/>
      <c r="K922" s="932"/>
      <c r="L922" s="932"/>
      <c r="M922" s="966"/>
      <c r="N922" s="957"/>
      <c r="O922" s="957"/>
      <c r="P922" s="932"/>
      <c r="Q922" s="931"/>
      <c r="R922" s="931"/>
      <c r="S922" s="957"/>
      <c r="T922" s="957"/>
      <c r="U922" s="957"/>
    </row>
    <row r="923" ht="13.5" customHeight="1">
      <c r="A923" s="931"/>
      <c r="B923" s="291"/>
      <c r="C923" s="931"/>
      <c r="D923" s="932"/>
      <c r="E923" s="932"/>
      <c r="F923" s="931"/>
      <c r="G923" s="931"/>
      <c r="H923" s="932"/>
      <c r="I923" s="932"/>
      <c r="J923" s="932"/>
      <c r="K923" s="932"/>
      <c r="L923" s="932"/>
      <c r="M923" s="966"/>
      <c r="N923" s="957"/>
      <c r="O923" s="957"/>
      <c r="P923" s="932"/>
      <c r="Q923" s="931"/>
      <c r="R923" s="931"/>
      <c r="S923" s="957"/>
      <c r="T923" s="957"/>
      <c r="U923" s="957"/>
    </row>
    <row r="924" ht="13.5" customHeight="1">
      <c r="A924" s="931"/>
      <c r="B924" s="291"/>
      <c r="C924" s="931"/>
      <c r="D924" s="932"/>
      <c r="E924" s="932"/>
      <c r="F924" s="931"/>
      <c r="G924" s="931"/>
      <c r="H924" s="932"/>
      <c r="I924" s="932"/>
      <c r="J924" s="932"/>
      <c r="K924" s="932"/>
      <c r="L924" s="932"/>
      <c r="M924" s="966"/>
      <c r="N924" s="957"/>
      <c r="O924" s="957"/>
      <c r="P924" s="932"/>
      <c r="Q924" s="931"/>
      <c r="R924" s="931"/>
      <c r="S924" s="957"/>
      <c r="T924" s="957"/>
      <c r="U924" s="957"/>
    </row>
    <row r="925" ht="13.5" customHeight="1">
      <c r="A925" s="931"/>
      <c r="B925" s="291"/>
      <c r="C925" s="931"/>
      <c r="D925" s="932"/>
      <c r="E925" s="932"/>
      <c r="F925" s="931"/>
      <c r="G925" s="931"/>
      <c r="H925" s="932"/>
      <c r="I925" s="932"/>
      <c r="J925" s="932"/>
      <c r="K925" s="932"/>
      <c r="L925" s="932"/>
      <c r="M925" s="966"/>
      <c r="N925" s="957"/>
      <c r="O925" s="957"/>
      <c r="P925" s="932"/>
      <c r="Q925" s="931"/>
      <c r="R925" s="931"/>
      <c r="S925" s="957"/>
      <c r="T925" s="957"/>
      <c r="U925" s="957"/>
    </row>
    <row r="926" ht="13.5" customHeight="1">
      <c r="A926" s="931"/>
      <c r="B926" s="291"/>
      <c r="C926" s="931"/>
      <c r="D926" s="932"/>
      <c r="E926" s="932"/>
      <c r="F926" s="931"/>
      <c r="G926" s="931"/>
      <c r="H926" s="932"/>
      <c r="I926" s="932"/>
      <c r="J926" s="932"/>
      <c r="K926" s="932"/>
      <c r="L926" s="932"/>
      <c r="M926" s="966"/>
      <c r="N926" s="957"/>
      <c r="O926" s="957"/>
      <c r="P926" s="932"/>
      <c r="Q926" s="931"/>
      <c r="R926" s="931"/>
      <c r="S926" s="957"/>
      <c r="T926" s="957"/>
      <c r="U926" s="957"/>
    </row>
    <row r="927" ht="13.5" customHeight="1">
      <c r="A927" s="931"/>
      <c r="B927" s="291"/>
      <c r="C927" s="931"/>
      <c r="D927" s="932"/>
      <c r="E927" s="932"/>
      <c r="F927" s="931"/>
      <c r="G927" s="931"/>
      <c r="H927" s="932"/>
      <c r="I927" s="932"/>
      <c r="J927" s="932"/>
      <c r="K927" s="932"/>
      <c r="L927" s="932"/>
      <c r="M927" s="966"/>
      <c r="N927" s="957"/>
      <c r="O927" s="957"/>
      <c r="P927" s="932"/>
      <c r="Q927" s="931"/>
      <c r="R927" s="931"/>
      <c r="S927" s="957"/>
      <c r="T927" s="957"/>
      <c r="U927" s="957"/>
    </row>
    <row r="928" ht="13.5" customHeight="1">
      <c r="A928" s="931"/>
      <c r="B928" s="291"/>
      <c r="C928" s="931"/>
      <c r="D928" s="932"/>
      <c r="E928" s="932"/>
      <c r="F928" s="931"/>
      <c r="G928" s="931"/>
      <c r="H928" s="932"/>
      <c r="I928" s="932"/>
      <c r="J928" s="932"/>
      <c r="K928" s="932"/>
      <c r="L928" s="932"/>
      <c r="M928" s="966"/>
      <c r="N928" s="957"/>
      <c r="O928" s="957"/>
      <c r="P928" s="932"/>
      <c r="Q928" s="931"/>
      <c r="R928" s="931"/>
      <c r="S928" s="957"/>
      <c r="T928" s="957"/>
      <c r="U928" s="957"/>
    </row>
    <row r="929" ht="13.5" customHeight="1">
      <c r="A929" s="931"/>
      <c r="B929" s="291"/>
      <c r="C929" s="931"/>
      <c r="D929" s="932"/>
      <c r="E929" s="932"/>
      <c r="F929" s="931"/>
      <c r="G929" s="931"/>
      <c r="H929" s="932"/>
      <c r="I929" s="932"/>
      <c r="J929" s="932"/>
      <c r="K929" s="932"/>
      <c r="L929" s="932"/>
      <c r="M929" s="966"/>
      <c r="N929" s="957"/>
      <c r="O929" s="957"/>
      <c r="P929" s="932"/>
      <c r="Q929" s="931"/>
      <c r="R929" s="931"/>
      <c r="S929" s="957"/>
      <c r="T929" s="957"/>
      <c r="U929" s="957"/>
    </row>
    <row r="930" ht="13.5" customHeight="1">
      <c r="A930" s="931"/>
      <c r="B930" s="291"/>
      <c r="C930" s="931"/>
      <c r="D930" s="932"/>
      <c r="E930" s="932"/>
      <c r="F930" s="931"/>
      <c r="G930" s="931"/>
      <c r="H930" s="932"/>
      <c r="I930" s="932"/>
      <c r="J930" s="932"/>
      <c r="K930" s="932"/>
      <c r="L930" s="932"/>
      <c r="M930" s="966"/>
      <c r="N930" s="957"/>
      <c r="O930" s="957"/>
      <c r="P930" s="932"/>
      <c r="Q930" s="931"/>
      <c r="R930" s="931"/>
      <c r="S930" s="957"/>
      <c r="T930" s="957"/>
      <c r="U930" s="957"/>
    </row>
    <row r="931" ht="13.5" customHeight="1">
      <c r="A931" s="931"/>
      <c r="B931" s="291"/>
      <c r="C931" s="931"/>
      <c r="D931" s="932"/>
      <c r="E931" s="932"/>
      <c r="F931" s="931"/>
      <c r="G931" s="931"/>
      <c r="H931" s="932"/>
      <c r="I931" s="932"/>
      <c r="J931" s="932"/>
      <c r="K931" s="932"/>
      <c r="L931" s="932"/>
      <c r="M931" s="966"/>
      <c r="N931" s="957"/>
      <c r="O931" s="957"/>
      <c r="P931" s="932"/>
      <c r="Q931" s="931"/>
      <c r="R931" s="931"/>
      <c r="S931" s="957"/>
      <c r="T931" s="957"/>
      <c r="U931" s="957"/>
    </row>
    <row r="932" ht="13.5" customHeight="1">
      <c r="A932" s="931"/>
      <c r="B932" s="291"/>
      <c r="C932" s="931"/>
      <c r="D932" s="932"/>
      <c r="E932" s="932"/>
      <c r="F932" s="931"/>
      <c r="G932" s="931"/>
      <c r="H932" s="932"/>
      <c r="I932" s="932"/>
      <c r="J932" s="932"/>
      <c r="K932" s="932"/>
      <c r="L932" s="932"/>
      <c r="M932" s="966"/>
      <c r="N932" s="957"/>
      <c r="O932" s="957"/>
      <c r="P932" s="932"/>
      <c r="Q932" s="931"/>
      <c r="R932" s="931"/>
      <c r="S932" s="957"/>
      <c r="T932" s="957"/>
      <c r="U932" s="957"/>
    </row>
    <row r="933" ht="13.5" customHeight="1">
      <c r="A933" s="931"/>
      <c r="B933" s="291"/>
      <c r="C933" s="931"/>
      <c r="D933" s="932"/>
      <c r="E933" s="932"/>
      <c r="F933" s="931"/>
      <c r="G933" s="931"/>
      <c r="H933" s="932"/>
      <c r="I933" s="932"/>
      <c r="J933" s="932"/>
      <c r="K933" s="932"/>
      <c r="L933" s="932"/>
      <c r="M933" s="966"/>
      <c r="N933" s="957"/>
      <c r="O933" s="957"/>
      <c r="P933" s="932"/>
      <c r="Q933" s="931"/>
      <c r="R933" s="931"/>
      <c r="S933" s="957"/>
      <c r="T933" s="957"/>
      <c r="U933" s="957"/>
    </row>
    <row r="934" ht="13.5" customHeight="1">
      <c r="A934" s="931"/>
      <c r="B934" s="291"/>
      <c r="C934" s="931"/>
      <c r="D934" s="932"/>
      <c r="E934" s="932"/>
      <c r="F934" s="931"/>
      <c r="G934" s="931"/>
      <c r="H934" s="932"/>
      <c r="I934" s="932"/>
      <c r="J934" s="932"/>
      <c r="K934" s="932"/>
      <c r="L934" s="932"/>
      <c r="M934" s="966"/>
      <c r="N934" s="957"/>
      <c r="O934" s="957"/>
      <c r="P934" s="932"/>
      <c r="Q934" s="931"/>
      <c r="R934" s="931"/>
      <c r="S934" s="957"/>
      <c r="T934" s="957"/>
      <c r="U934" s="957"/>
    </row>
    <row r="935" ht="13.5" customHeight="1">
      <c r="A935" s="931"/>
      <c r="B935" s="291"/>
      <c r="C935" s="931"/>
      <c r="D935" s="932"/>
      <c r="E935" s="932"/>
      <c r="F935" s="931"/>
      <c r="G935" s="931"/>
      <c r="H935" s="932"/>
      <c r="I935" s="932"/>
      <c r="J935" s="932"/>
      <c r="K935" s="932"/>
      <c r="L935" s="932"/>
      <c r="M935" s="966"/>
      <c r="N935" s="957"/>
      <c r="O935" s="957"/>
      <c r="P935" s="932"/>
      <c r="Q935" s="931"/>
      <c r="R935" s="931"/>
      <c r="S935" s="957"/>
      <c r="T935" s="957"/>
      <c r="U935" s="957"/>
    </row>
    <row r="936" ht="13.5" customHeight="1">
      <c r="A936" s="931"/>
      <c r="B936" s="291"/>
      <c r="C936" s="931"/>
      <c r="D936" s="932"/>
      <c r="E936" s="932"/>
      <c r="F936" s="931"/>
      <c r="G936" s="931"/>
      <c r="H936" s="932"/>
      <c r="I936" s="932"/>
      <c r="J936" s="932"/>
      <c r="K936" s="932"/>
      <c r="L936" s="932"/>
      <c r="M936" s="966"/>
      <c r="N936" s="957"/>
      <c r="O936" s="957"/>
      <c r="P936" s="932"/>
      <c r="Q936" s="931"/>
      <c r="R936" s="931"/>
      <c r="S936" s="957"/>
      <c r="T936" s="957"/>
      <c r="U936" s="957"/>
    </row>
    <row r="937" ht="13.5" customHeight="1">
      <c r="A937" s="931"/>
      <c r="B937" s="291"/>
      <c r="C937" s="931"/>
      <c r="D937" s="932"/>
      <c r="E937" s="932"/>
      <c r="F937" s="931"/>
      <c r="G937" s="931"/>
      <c r="H937" s="932"/>
      <c r="I937" s="932"/>
      <c r="J937" s="932"/>
      <c r="K937" s="932"/>
      <c r="L937" s="932"/>
      <c r="M937" s="966"/>
      <c r="N937" s="957"/>
      <c r="O937" s="957"/>
      <c r="P937" s="932"/>
      <c r="Q937" s="931"/>
      <c r="R937" s="931"/>
      <c r="S937" s="957"/>
      <c r="T937" s="957"/>
      <c r="U937" s="957"/>
    </row>
    <row r="938" ht="13.5" customHeight="1">
      <c r="A938" s="931"/>
      <c r="B938" s="291"/>
      <c r="C938" s="931"/>
      <c r="D938" s="932"/>
      <c r="E938" s="932"/>
      <c r="F938" s="931"/>
      <c r="G938" s="931"/>
      <c r="H938" s="932"/>
      <c r="I938" s="932"/>
      <c r="J938" s="932"/>
      <c r="K938" s="932"/>
      <c r="L938" s="932"/>
      <c r="M938" s="966"/>
      <c r="N938" s="957"/>
      <c r="O938" s="957"/>
      <c r="P938" s="932"/>
      <c r="Q938" s="931"/>
      <c r="R938" s="931"/>
      <c r="S938" s="957"/>
      <c r="T938" s="957"/>
      <c r="U938" s="957"/>
    </row>
    <row r="939" ht="13.5" customHeight="1">
      <c r="A939" s="931"/>
      <c r="B939" s="291"/>
      <c r="C939" s="931"/>
      <c r="D939" s="932"/>
      <c r="E939" s="932"/>
      <c r="F939" s="931"/>
      <c r="G939" s="931"/>
      <c r="H939" s="932"/>
      <c r="I939" s="932"/>
      <c r="J939" s="932"/>
      <c r="K939" s="932"/>
      <c r="L939" s="932"/>
      <c r="M939" s="966"/>
      <c r="N939" s="957"/>
      <c r="O939" s="957"/>
      <c r="P939" s="932"/>
      <c r="Q939" s="931"/>
      <c r="R939" s="931"/>
      <c r="S939" s="957"/>
      <c r="T939" s="957"/>
      <c r="U939" s="957"/>
    </row>
    <row r="940" ht="13.5" customHeight="1">
      <c r="A940" s="931"/>
      <c r="B940" s="291"/>
      <c r="C940" s="931"/>
      <c r="D940" s="932"/>
      <c r="E940" s="932"/>
      <c r="F940" s="931"/>
      <c r="G940" s="931"/>
      <c r="H940" s="932"/>
      <c r="I940" s="932"/>
      <c r="J940" s="932"/>
      <c r="K940" s="932"/>
      <c r="L940" s="932"/>
      <c r="M940" s="966"/>
      <c r="N940" s="957"/>
      <c r="O940" s="957"/>
      <c r="P940" s="932"/>
      <c r="Q940" s="931"/>
      <c r="R940" s="931"/>
      <c r="S940" s="957"/>
      <c r="T940" s="957"/>
      <c r="U940" s="957"/>
    </row>
    <row r="941" ht="13.5" customHeight="1">
      <c r="A941" s="931"/>
      <c r="B941" s="291"/>
      <c r="C941" s="931"/>
      <c r="D941" s="932"/>
      <c r="E941" s="932"/>
      <c r="F941" s="931"/>
      <c r="G941" s="931"/>
      <c r="H941" s="932"/>
      <c r="I941" s="932"/>
      <c r="J941" s="932"/>
      <c r="K941" s="932"/>
      <c r="L941" s="932"/>
      <c r="M941" s="966"/>
      <c r="N941" s="957"/>
      <c r="O941" s="957"/>
      <c r="P941" s="932"/>
      <c r="Q941" s="931"/>
      <c r="R941" s="931"/>
      <c r="S941" s="957"/>
      <c r="T941" s="957"/>
      <c r="U941" s="957"/>
    </row>
    <row r="942" ht="13.5" customHeight="1">
      <c r="A942" s="931"/>
      <c r="B942" s="291"/>
      <c r="C942" s="931"/>
      <c r="D942" s="932"/>
      <c r="E942" s="932"/>
      <c r="F942" s="931"/>
      <c r="G942" s="931"/>
      <c r="H942" s="932"/>
      <c r="I942" s="932"/>
      <c r="J942" s="932"/>
      <c r="K942" s="932"/>
      <c r="L942" s="932"/>
      <c r="M942" s="966"/>
      <c r="N942" s="957"/>
      <c r="O942" s="957"/>
      <c r="P942" s="932"/>
      <c r="Q942" s="931"/>
      <c r="R942" s="931"/>
      <c r="S942" s="957"/>
      <c r="T942" s="957"/>
      <c r="U942" s="957"/>
    </row>
    <row r="943" ht="13.5" customHeight="1">
      <c r="A943" s="931"/>
      <c r="B943" s="291"/>
      <c r="C943" s="931"/>
      <c r="D943" s="932"/>
      <c r="E943" s="932"/>
      <c r="F943" s="931"/>
      <c r="G943" s="931"/>
      <c r="H943" s="932"/>
      <c r="I943" s="932"/>
      <c r="J943" s="932"/>
      <c r="K943" s="932"/>
      <c r="L943" s="932"/>
      <c r="M943" s="966"/>
      <c r="N943" s="957"/>
      <c r="O943" s="957"/>
      <c r="P943" s="932"/>
      <c r="Q943" s="931"/>
      <c r="R943" s="931"/>
      <c r="S943" s="957"/>
      <c r="T943" s="957"/>
      <c r="U943" s="957"/>
    </row>
    <row r="944" ht="13.5" customHeight="1">
      <c r="A944" s="931"/>
      <c r="B944" s="291"/>
      <c r="C944" s="931"/>
      <c r="D944" s="932"/>
      <c r="E944" s="932"/>
      <c r="F944" s="931"/>
      <c r="G944" s="931"/>
      <c r="H944" s="932"/>
      <c r="I944" s="932"/>
      <c r="J944" s="932"/>
      <c r="K944" s="932"/>
      <c r="L944" s="932"/>
      <c r="M944" s="966"/>
      <c r="N944" s="957"/>
      <c r="O944" s="957"/>
      <c r="P944" s="932"/>
      <c r="Q944" s="931"/>
      <c r="R944" s="931"/>
      <c r="S944" s="957"/>
      <c r="T944" s="957"/>
      <c r="U944" s="957"/>
    </row>
    <row r="945" ht="13.5" customHeight="1">
      <c r="A945" s="931"/>
      <c r="B945" s="291"/>
      <c r="C945" s="931"/>
      <c r="D945" s="932"/>
      <c r="E945" s="932"/>
      <c r="F945" s="931"/>
      <c r="G945" s="931"/>
      <c r="H945" s="932"/>
      <c r="I945" s="932"/>
      <c r="J945" s="932"/>
      <c r="K945" s="932"/>
      <c r="L945" s="932"/>
      <c r="M945" s="966"/>
      <c r="N945" s="957"/>
      <c r="O945" s="957"/>
      <c r="P945" s="932"/>
      <c r="Q945" s="931"/>
      <c r="R945" s="931"/>
      <c r="S945" s="957"/>
      <c r="T945" s="957"/>
      <c r="U945" s="957"/>
    </row>
    <row r="946" ht="13.5" customHeight="1">
      <c r="A946" s="931"/>
      <c r="B946" s="291"/>
      <c r="C946" s="931"/>
      <c r="D946" s="932"/>
      <c r="E946" s="932"/>
      <c r="F946" s="931"/>
      <c r="G946" s="931"/>
      <c r="H946" s="932"/>
      <c r="I946" s="932"/>
      <c r="J946" s="932"/>
      <c r="K946" s="932"/>
      <c r="L946" s="932"/>
      <c r="M946" s="966"/>
      <c r="N946" s="957"/>
      <c r="O946" s="957"/>
      <c r="P946" s="932"/>
      <c r="Q946" s="931"/>
      <c r="R946" s="931"/>
      <c r="S946" s="957"/>
      <c r="T946" s="957"/>
      <c r="U946" s="957"/>
    </row>
    <row r="947" ht="13.5" customHeight="1">
      <c r="A947" s="931"/>
      <c r="B947" s="291"/>
      <c r="C947" s="931"/>
      <c r="D947" s="932"/>
      <c r="E947" s="932"/>
      <c r="F947" s="931"/>
      <c r="G947" s="931"/>
      <c r="H947" s="932"/>
      <c r="I947" s="932"/>
      <c r="J947" s="932"/>
      <c r="K947" s="932"/>
      <c r="L947" s="932"/>
      <c r="M947" s="966"/>
      <c r="N947" s="957"/>
      <c r="O947" s="957"/>
      <c r="P947" s="932"/>
      <c r="Q947" s="931"/>
      <c r="R947" s="931"/>
      <c r="S947" s="957"/>
      <c r="T947" s="957"/>
      <c r="U947" s="957"/>
    </row>
    <row r="948" ht="13.5" customHeight="1">
      <c r="A948" s="931"/>
      <c r="B948" s="291"/>
      <c r="C948" s="931"/>
      <c r="D948" s="932"/>
      <c r="E948" s="932"/>
      <c r="F948" s="931"/>
      <c r="G948" s="931"/>
      <c r="H948" s="932"/>
      <c r="I948" s="932"/>
      <c r="J948" s="932"/>
      <c r="K948" s="932"/>
      <c r="L948" s="932"/>
      <c r="M948" s="966"/>
      <c r="N948" s="957"/>
      <c r="O948" s="957"/>
      <c r="P948" s="932"/>
      <c r="Q948" s="931"/>
      <c r="R948" s="931"/>
      <c r="S948" s="957"/>
      <c r="T948" s="957"/>
      <c r="U948" s="957"/>
    </row>
    <row r="949" ht="13.5" customHeight="1">
      <c r="A949" s="931"/>
      <c r="B949" s="291"/>
      <c r="C949" s="931"/>
      <c r="D949" s="932"/>
      <c r="E949" s="932"/>
      <c r="F949" s="931"/>
      <c r="G949" s="931"/>
      <c r="H949" s="932"/>
      <c r="I949" s="932"/>
      <c r="J949" s="932"/>
      <c r="K949" s="932"/>
      <c r="L949" s="932"/>
      <c r="M949" s="966"/>
      <c r="N949" s="957"/>
      <c r="O949" s="957"/>
      <c r="P949" s="932"/>
      <c r="Q949" s="931"/>
      <c r="R949" s="931"/>
      <c r="S949" s="957"/>
      <c r="T949" s="957"/>
      <c r="U949" s="957"/>
    </row>
    <row r="950" ht="13.5" customHeight="1">
      <c r="A950" s="931"/>
      <c r="B950" s="291"/>
      <c r="C950" s="931"/>
      <c r="D950" s="932"/>
      <c r="E950" s="932"/>
      <c r="F950" s="931"/>
      <c r="G950" s="931"/>
      <c r="H950" s="932"/>
      <c r="I950" s="932"/>
      <c r="J950" s="932"/>
      <c r="K950" s="932"/>
      <c r="L950" s="932"/>
      <c r="M950" s="966"/>
      <c r="N950" s="957"/>
      <c r="O950" s="957"/>
      <c r="P950" s="932"/>
      <c r="Q950" s="931"/>
      <c r="R950" s="931"/>
      <c r="S950" s="957"/>
      <c r="T950" s="957"/>
      <c r="U950" s="957"/>
    </row>
    <row r="951" ht="13.5" customHeight="1">
      <c r="A951" s="931"/>
      <c r="B951" s="291"/>
      <c r="C951" s="931"/>
      <c r="D951" s="932"/>
      <c r="E951" s="932"/>
      <c r="F951" s="931"/>
      <c r="G951" s="931"/>
      <c r="H951" s="932"/>
      <c r="I951" s="932"/>
      <c r="J951" s="932"/>
      <c r="K951" s="932"/>
      <c r="L951" s="932"/>
      <c r="M951" s="966"/>
      <c r="N951" s="957"/>
      <c r="O951" s="957"/>
      <c r="P951" s="932"/>
      <c r="Q951" s="931"/>
      <c r="R951" s="931"/>
      <c r="S951" s="957"/>
      <c r="T951" s="957"/>
      <c r="U951" s="957"/>
    </row>
    <row r="952" ht="13.5" customHeight="1">
      <c r="A952" s="931"/>
      <c r="B952" s="291"/>
      <c r="C952" s="931"/>
      <c r="D952" s="932"/>
      <c r="E952" s="932"/>
      <c r="F952" s="931"/>
      <c r="G952" s="931"/>
      <c r="H952" s="932"/>
      <c r="I952" s="932"/>
      <c r="J952" s="932"/>
      <c r="K952" s="932"/>
      <c r="L952" s="932"/>
      <c r="M952" s="966"/>
      <c r="N952" s="957"/>
      <c r="O952" s="957"/>
      <c r="P952" s="932"/>
      <c r="Q952" s="931"/>
      <c r="R952" s="931"/>
      <c r="S952" s="957"/>
      <c r="T952" s="957"/>
      <c r="U952" s="957"/>
    </row>
    <row r="953" ht="13.5" customHeight="1">
      <c r="A953" s="931"/>
      <c r="B953" s="291"/>
      <c r="C953" s="931"/>
      <c r="D953" s="932"/>
      <c r="E953" s="932"/>
      <c r="F953" s="931"/>
      <c r="G953" s="931"/>
      <c r="H953" s="932"/>
      <c r="I953" s="932"/>
      <c r="J953" s="932"/>
      <c r="K953" s="932"/>
      <c r="L953" s="932"/>
      <c r="M953" s="966"/>
      <c r="N953" s="957"/>
      <c r="O953" s="957"/>
      <c r="P953" s="932"/>
      <c r="Q953" s="931"/>
      <c r="R953" s="931"/>
      <c r="S953" s="957"/>
      <c r="T953" s="957"/>
      <c r="U953" s="957"/>
    </row>
    <row r="954" ht="13.5" customHeight="1">
      <c r="A954" s="931"/>
      <c r="B954" s="291"/>
      <c r="C954" s="931"/>
      <c r="D954" s="932"/>
      <c r="E954" s="932"/>
      <c r="F954" s="931"/>
      <c r="G954" s="931"/>
      <c r="H954" s="932"/>
      <c r="I954" s="932"/>
      <c r="J954" s="932"/>
      <c r="K954" s="932"/>
      <c r="L954" s="932"/>
      <c r="M954" s="966"/>
      <c r="N954" s="957"/>
      <c r="O954" s="957"/>
      <c r="P954" s="932"/>
      <c r="Q954" s="931"/>
      <c r="R954" s="931"/>
      <c r="S954" s="957"/>
      <c r="T954" s="957"/>
      <c r="U954" s="957"/>
    </row>
    <row r="955" ht="13.5" customHeight="1">
      <c r="A955" s="931"/>
      <c r="B955" s="291"/>
      <c r="C955" s="931"/>
      <c r="D955" s="932"/>
      <c r="E955" s="932"/>
      <c r="F955" s="931"/>
      <c r="G955" s="931"/>
      <c r="H955" s="932"/>
      <c r="I955" s="932"/>
      <c r="J955" s="932"/>
      <c r="K955" s="932"/>
      <c r="L955" s="932"/>
      <c r="M955" s="966"/>
      <c r="N955" s="957"/>
      <c r="O955" s="957"/>
      <c r="P955" s="932"/>
      <c r="Q955" s="931"/>
      <c r="R955" s="931"/>
      <c r="S955" s="957"/>
      <c r="T955" s="957"/>
      <c r="U955" s="957"/>
    </row>
    <row r="956" ht="13.5" customHeight="1">
      <c r="A956" s="931"/>
      <c r="B956" s="291"/>
      <c r="C956" s="931"/>
      <c r="D956" s="932"/>
      <c r="E956" s="932"/>
      <c r="F956" s="931"/>
      <c r="G956" s="931"/>
      <c r="H956" s="932"/>
      <c r="I956" s="932"/>
      <c r="J956" s="932"/>
      <c r="K956" s="932"/>
      <c r="L956" s="932"/>
      <c r="M956" s="966"/>
      <c r="N956" s="957"/>
      <c r="O956" s="957"/>
      <c r="P956" s="932"/>
      <c r="Q956" s="931"/>
      <c r="R956" s="931"/>
      <c r="S956" s="957"/>
      <c r="T956" s="957"/>
      <c r="U956" s="957"/>
    </row>
    <row r="957" ht="13.5" customHeight="1">
      <c r="A957" s="931"/>
      <c r="B957" s="291"/>
      <c r="C957" s="931"/>
      <c r="D957" s="932"/>
      <c r="E957" s="932"/>
      <c r="F957" s="931"/>
      <c r="G957" s="931"/>
      <c r="H957" s="932"/>
      <c r="I957" s="932"/>
      <c r="J957" s="932"/>
      <c r="K957" s="932"/>
      <c r="L957" s="932"/>
      <c r="M957" s="966"/>
      <c r="N957" s="957"/>
      <c r="O957" s="957"/>
      <c r="P957" s="932"/>
      <c r="Q957" s="931"/>
      <c r="R957" s="931"/>
      <c r="S957" s="957"/>
      <c r="T957" s="957"/>
      <c r="U957" s="957"/>
    </row>
    <row r="958" ht="13.5" customHeight="1">
      <c r="A958" s="931"/>
      <c r="B958" s="291"/>
      <c r="C958" s="931"/>
      <c r="D958" s="932"/>
      <c r="E958" s="932"/>
      <c r="F958" s="931"/>
      <c r="G958" s="931"/>
      <c r="H958" s="932"/>
      <c r="I958" s="932"/>
      <c r="J958" s="932"/>
      <c r="K958" s="932"/>
      <c r="L958" s="932"/>
      <c r="M958" s="966"/>
      <c r="N958" s="957"/>
      <c r="O958" s="957"/>
      <c r="P958" s="932"/>
      <c r="Q958" s="931"/>
      <c r="R958" s="931"/>
      <c r="S958" s="957"/>
      <c r="T958" s="957"/>
      <c r="U958" s="957"/>
    </row>
    <row r="959" ht="13.5" customHeight="1">
      <c r="A959" s="931"/>
      <c r="B959" s="291"/>
      <c r="C959" s="931"/>
      <c r="D959" s="932"/>
      <c r="E959" s="932"/>
      <c r="F959" s="931"/>
      <c r="G959" s="931"/>
      <c r="H959" s="932"/>
      <c r="I959" s="932"/>
      <c r="J959" s="932"/>
      <c r="K959" s="932"/>
      <c r="L959" s="932"/>
      <c r="M959" s="966"/>
      <c r="N959" s="957"/>
      <c r="O959" s="957"/>
      <c r="P959" s="932"/>
      <c r="Q959" s="931"/>
      <c r="R959" s="931"/>
      <c r="S959" s="957"/>
      <c r="T959" s="957"/>
      <c r="U959" s="957"/>
    </row>
    <row r="960" ht="13.5" customHeight="1">
      <c r="A960" s="931"/>
      <c r="B960" s="291"/>
      <c r="C960" s="931"/>
      <c r="D960" s="932"/>
      <c r="E960" s="932"/>
      <c r="F960" s="931"/>
      <c r="G960" s="931"/>
      <c r="H960" s="932"/>
      <c r="I960" s="932"/>
      <c r="J960" s="932"/>
      <c r="K960" s="932"/>
      <c r="L960" s="932"/>
      <c r="M960" s="966"/>
      <c r="N960" s="957"/>
      <c r="O960" s="957"/>
      <c r="P960" s="932"/>
      <c r="Q960" s="931"/>
      <c r="R960" s="931"/>
      <c r="S960" s="957"/>
      <c r="T960" s="957"/>
      <c r="U960" s="957"/>
    </row>
    <row r="961" ht="13.5" customHeight="1">
      <c r="A961" s="931"/>
      <c r="B961" s="291"/>
      <c r="C961" s="931"/>
      <c r="D961" s="932"/>
      <c r="E961" s="932"/>
      <c r="F961" s="931"/>
      <c r="G961" s="931"/>
      <c r="H961" s="932"/>
      <c r="I961" s="932"/>
      <c r="J961" s="932"/>
      <c r="K961" s="932"/>
      <c r="L961" s="932"/>
      <c r="M961" s="966"/>
      <c r="N961" s="957"/>
      <c r="O961" s="957"/>
      <c r="P961" s="932"/>
      <c r="Q961" s="931"/>
      <c r="R961" s="931"/>
      <c r="S961" s="957"/>
      <c r="T961" s="957"/>
      <c r="U961" s="957"/>
    </row>
    <row r="962" ht="13.5" customHeight="1">
      <c r="A962" s="931"/>
      <c r="B962" s="291"/>
      <c r="C962" s="931"/>
      <c r="D962" s="932"/>
      <c r="E962" s="932"/>
      <c r="F962" s="931"/>
      <c r="G962" s="931"/>
      <c r="H962" s="932"/>
      <c r="I962" s="932"/>
      <c r="J962" s="932"/>
      <c r="K962" s="932"/>
      <c r="L962" s="932"/>
      <c r="M962" s="966"/>
      <c r="N962" s="957"/>
      <c r="O962" s="957"/>
      <c r="P962" s="932"/>
      <c r="Q962" s="931"/>
      <c r="R962" s="931"/>
      <c r="S962" s="957"/>
      <c r="T962" s="957"/>
      <c r="U962" s="957"/>
    </row>
    <row r="963" ht="13.5" customHeight="1">
      <c r="A963" s="931"/>
      <c r="B963" s="291"/>
      <c r="C963" s="931"/>
      <c r="D963" s="932"/>
      <c r="E963" s="932"/>
      <c r="F963" s="931"/>
      <c r="G963" s="931"/>
      <c r="H963" s="932"/>
      <c r="I963" s="932"/>
      <c r="J963" s="932"/>
      <c r="K963" s="932"/>
      <c r="L963" s="932"/>
      <c r="M963" s="966"/>
      <c r="N963" s="957"/>
      <c r="O963" s="957"/>
      <c r="P963" s="932"/>
      <c r="Q963" s="931"/>
      <c r="R963" s="931"/>
      <c r="S963" s="957"/>
      <c r="T963" s="957"/>
      <c r="U963" s="957"/>
    </row>
    <row r="964" ht="13.5" customHeight="1">
      <c r="A964" s="931"/>
      <c r="B964" s="291"/>
      <c r="C964" s="931"/>
      <c r="D964" s="932"/>
      <c r="E964" s="932"/>
      <c r="F964" s="931"/>
      <c r="G964" s="931"/>
      <c r="H964" s="932"/>
      <c r="I964" s="932"/>
      <c r="J964" s="932"/>
      <c r="K964" s="932"/>
      <c r="L964" s="932"/>
      <c r="M964" s="966"/>
      <c r="N964" s="957"/>
      <c r="O964" s="957"/>
      <c r="P964" s="932"/>
      <c r="Q964" s="931"/>
      <c r="R964" s="931"/>
      <c r="S964" s="957"/>
      <c r="T964" s="957"/>
      <c r="U964" s="957"/>
    </row>
    <row r="965" ht="13.5" customHeight="1">
      <c r="A965" s="931"/>
      <c r="B965" s="291"/>
      <c r="C965" s="931"/>
      <c r="D965" s="932"/>
      <c r="E965" s="932"/>
      <c r="F965" s="931"/>
      <c r="G965" s="931"/>
      <c r="H965" s="932"/>
      <c r="I965" s="932"/>
      <c r="J965" s="932"/>
      <c r="K965" s="932"/>
      <c r="L965" s="932"/>
      <c r="M965" s="966"/>
      <c r="N965" s="957"/>
      <c r="O965" s="957"/>
      <c r="P965" s="932"/>
      <c r="Q965" s="931"/>
      <c r="R965" s="931"/>
      <c r="S965" s="957"/>
      <c r="T965" s="957"/>
      <c r="U965" s="957"/>
    </row>
    <row r="966" ht="13.5" customHeight="1">
      <c r="A966" s="931"/>
      <c r="B966" s="291"/>
      <c r="C966" s="931"/>
      <c r="D966" s="932"/>
      <c r="E966" s="932"/>
      <c r="F966" s="931"/>
      <c r="G966" s="931"/>
      <c r="H966" s="932"/>
      <c r="I966" s="932"/>
      <c r="J966" s="932"/>
      <c r="K966" s="932"/>
      <c r="L966" s="932"/>
      <c r="M966" s="966"/>
      <c r="N966" s="957"/>
      <c r="O966" s="957"/>
      <c r="P966" s="932"/>
      <c r="Q966" s="931"/>
      <c r="R966" s="931"/>
      <c r="S966" s="957"/>
      <c r="T966" s="957"/>
      <c r="U966" s="957"/>
    </row>
    <row r="967" ht="13.5" customHeight="1">
      <c r="A967" s="931"/>
      <c r="B967" s="291"/>
      <c r="C967" s="931"/>
      <c r="D967" s="932"/>
      <c r="E967" s="932"/>
      <c r="F967" s="931"/>
      <c r="G967" s="931"/>
      <c r="H967" s="932"/>
      <c r="I967" s="932"/>
      <c r="J967" s="932"/>
      <c r="K967" s="932"/>
      <c r="L967" s="932"/>
      <c r="M967" s="966"/>
      <c r="N967" s="957"/>
      <c r="O967" s="957"/>
      <c r="P967" s="932"/>
      <c r="Q967" s="931"/>
      <c r="R967" s="931"/>
      <c r="S967" s="957"/>
      <c r="T967" s="957"/>
      <c r="U967" s="957"/>
    </row>
    <row r="968" ht="13.5" customHeight="1">
      <c r="A968" s="931"/>
      <c r="B968" s="291"/>
      <c r="C968" s="931"/>
      <c r="D968" s="932"/>
      <c r="E968" s="932"/>
      <c r="F968" s="931"/>
      <c r="G968" s="931"/>
      <c r="H968" s="932"/>
      <c r="I968" s="932"/>
      <c r="J968" s="932"/>
      <c r="K968" s="932"/>
      <c r="L968" s="932"/>
      <c r="M968" s="966"/>
      <c r="N968" s="957"/>
      <c r="O968" s="957"/>
      <c r="P968" s="932"/>
      <c r="Q968" s="931"/>
      <c r="R968" s="931"/>
      <c r="S968" s="957"/>
      <c r="T968" s="957"/>
      <c r="U968" s="957"/>
    </row>
    <row r="969" ht="13.5" customHeight="1">
      <c r="A969" s="931"/>
      <c r="B969" s="291"/>
      <c r="C969" s="931"/>
      <c r="D969" s="932"/>
      <c r="E969" s="932"/>
      <c r="F969" s="931"/>
      <c r="G969" s="931"/>
      <c r="H969" s="932"/>
      <c r="I969" s="932"/>
      <c r="J969" s="932"/>
      <c r="K969" s="932"/>
      <c r="L969" s="932"/>
      <c r="M969" s="966"/>
      <c r="N969" s="957"/>
      <c r="O969" s="957"/>
      <c r="P969" s="932"/>
      <c r="Q969" s="931"/>
      <c r="R969" s="931"/>
      <c r="S969" s="957"/>
      <c r="T969" s="957"/>
      <c r="U969" s="957"/>
    </row>
    <row r="970" ht="13.5" customHeight="1">
      <c r="A970" s="931"/>
      <c r="B970" s="291"/>
      <c r="C970" s="931"/>
      <c r="D970" s="932"/>
      <c r="E970" s="932"/>
      <c r="F970" s="931"/>
      <c r="G970" s="931"/>
      <c r="H970" s="932"/>
      <c r="I970" s="932"/>
      <c r="J970" s="932"/>
      <c r="K970" s="932"/>
      <c r="L970" s="932"/>
      <c r="M970" s="966"/>
      <c r="N970" s="957"/>
      <c r="O970" s="957"/>
      <c r="P970" s="932"/>
      <c r="Q970" s="931"/>
      <c r="R970" s="931"/>
      <c r="S970" s="957"/>
      <c r="T970" s="957"/>
      <c r="U970" s="957"/>
    </row>
    <row r="971" ht="13.5" customHeight="1">
      <c r="A971" s="931"/>
      <c r="B971" s="291"/>
      <c r="C971" s="931"/>
      <c r="D971" s="932"/>
      <c r="E971" s="932"/>
      <c r="F971" s="931"/>
      <c r="G971" s="931"/>
      <c r="H971" s="932"/>
      <c r="I971" s="932"/>
      <c r="J971" s="932"/>
      <c r="K971" s="932"/>
      <c r="L971" s="932"/>
      <c r="M971" s="966"/>
      <c r="N971" s="957"/>
      <c r="O971" s="957"/>
      <c r="P971" s="932"/>
      <c r="Q971" s="931"/>
      <c r="R971" s="931"/>
      <c r="S971" s="957"/>
      <c r="T971" s="957"/>
      <c r="U971" s="957"/>
    </row>
    <row r="972" ht="13.5" customHeight="1">
      <c r="A972" s="931"/>
      <c r="B972" s="291"/>
      <c r="C972" s="931"/>
      <c r="D972" s="932"/>
      <c r="E972" s="932"/>
      <c r="F972" s="931"/>
      <c r="G972" s="931"/>
      <c r="H972" s="932"/>
      <c r="I972" s="932"/>
      <c r="J972" s="932"/>
      <c r="K972" s="932"/>
      <c r="L972" s="932"/>
      <c r="M972" s="966"/>
      <c r="N972" s="957"/>
      <c r="O972" s="957"/>
      <c r="P972" s="932"/>
      <c r="Q972" s="931"/>
      <c r="R972" s="931"/>
      <c r="S972" s="957"/>
      <c r="T972" s="957"/>
      <c r="U972" s="957"/>
    </row>
    <row r="973" ht="13.5" customHeight="1">
      <c r="A973" s="931"/>
      <c r="B973" s="291"/>
      <c r="C973" s="931"/>
      <c r="D973" s="932"/>
      <c r="E973" s="932"/>
      <c r="F973" s="931"/>
      <c r="G973" s="931"/>
      <c r="H973" s="932"/>
      <c r="I973" s="932"/>
      <c r="J973" s="932"/>
      <c r="K973" s="932"/>
      <c r="L973" s="932"/>
      <c r="M973" s="966"/>
      <c r="N973" s="957"/>
      <c r="O973" s="957"/>
      <c r="P973" s="932"/>
      <c r="Q973" s="931"/>
      <c r="R973" s="931"/>
      <c r="S973" s="957"/>
      <c r="T973" s="957"/>
      <c r="U973" s="957"/>
    </row>
    <row r="974" ht="13.5" customHeight="1">
      <c r="A974" s="931"/>
      <c r="B974" s="291"/>
      <c r="C974" s="931"/>
      <c r="D974" s="932"/>
      <c r="E974" s="932"/>
      <c r="F974" s="931"/>
      <c r="G974" s="931"/>
      <c r="H974" s="932"/>
      <c r="I974" s="932"/>
      <c r="J974" s="932"/>
      <c r="K974" s="932"/>
      <c r="L974" s="932"/>
      <c r="M974" s="966"/>
      <c r="N974" s="957"/>
      <c r="O974" s="957"/>
      <c r="P974" s="932"/>
      <c r="Q974" s="931"/>
      <c r="R974" s="931"/>
      <c r="S974" s="957"/>
      <c r="T974" s="957"/>
      <c r="U974" s="957"/>
    </row>
    <row r="975" ht="13.5" customHeight="1">
      <c r="A975" s="931"/>
      <c r="B975" s="291"/>
      <c r="C975" s="931"/>
      <c r="D975" s="932"/>
      <c r="E975" s="932"/>
      <c r="F975" s="931"/>
      <c r="G975" s="931"/>
      <c r="H975" s="932"/>
      <c r="I975" s="932"/>
      <c r="J975" s="932"/>
      <c r="K975" s="932"/>
      <c r="L975" s="932"/>
      <c r="M975" s="966"/>
      <c r="N975" s="957"/>
      <c r="O975" s="957"/>
      <c r="P975" s="932"/>
      <c r="Q975" s="931"/>
      <c r="R975" s="931"/>
      <c r="S975" s="957"/>
      <c r="T975" s="957"/>
      <c r="U975" s="957"/>
    </row>
    <row r="976" ht="13.5" customHeight="1">
      <c r="A976" s="931"/>
      <c r="B976" s="291"/>
      <c r="C976" s="931"/>
      <c r="D976" s="932"/>
      <c r="E976" s="932"/>
      <c r="F976" s="931"/>
      <c r="G976" s="931"/>
      <c r="H976" s="932"/>
      <c r="I976" s="932"/>
      <c r="J976" s="932"/>
      <c r="K976" s="932"/>
      <c r="L976" s="932"/>
      <c r="M976" s="966"/>
      <c r="N976" s="957"/>
      <c r="O976" s="957"/>
      <c r="P976" s="932"/>
      <c r="Q976" s="931"/>
      <c r="R976" s="931"/>
      <c r="S976" s="957"/>
      <c r="T976" s="957"/>
      <c r="U976" s="957"/>
    </row>
    <row r="977" ht="13.5" customHeight="1">
      <c r="A977" s="931"/>
      <c r="B977" s="291"/>
      <c r="C977" s="931"/>
      <c r="D977" s="932"/>
      <c r="E977" s="932"/>
      <c r="F977" s="931"/>
      <c r="G977" s="931"/>
      <c r="H977" s="932"/>
      <c r="I977" s="932"/>
      <c r="J977" s="932"/>
      <c r="K977" s="932"/>
      <c r="L977" s="932"/>
      <c r="M977" s="966"/>
      <c r="N977" s="957"/>
      <c r="O977" s="957"/>
      <c r="P977" s="932"/>
      <c r="Q977" s="931"/>
      <c r="R977" s="931"/>
      <c r="S977" s="957"/>
      <c r="T977" s="957"/>
      <c r="U977" s="957"/>
    </row>
    <row r="978" ht="13.5" customHeight="1">
      <c r="A978" s="931"/>
      <c r="B978" s="291"/>
      <c r="C978" s="931"/>
      <c r="D978" s="932"/>
      <c r="E978" s="932"/>
      <c r="F978" s="931"/>
      <c r="G978" s="931"/>
      <c r="H978" s="932"/>
      <c r="I978" s="932"/>
      <c r="J978" s="932"/>
      <c r="K978" s="932"/>
      <c r="L978" s="932"/>
      <c r="M978" s="966"/>
      <c r="N978" s="957"/>
      <c r="O978" s="957"/>
      <c r="P978" s="932"/>
      <c r="Q978" s="931"/>
      <c r="R978" s="931"/>
      <c r="S978" s="957"/>
      <c r="T978" s="957"/>
      <c r="U978" s="957"/>
    </row>
    <row r="979" ht="13.5" customHeight="1">
      <c r="A979" s="931"/>
      <c r="B979" s="291"/>
      <c r="C979" s="931"/>
      <c r="D979" s="932"/>
      <c r="E979" s="932"/>
      <c r="F979" s="931"/>
      <c r="G979" s="931"/>
      <c r="H979" s="932"/>
      <c r="I979" s="932"/>
      <c r="J979" s="932"/>
      <c r="K979" s="932"/>
      <c r="L979" s="932"/>
      <c r="M979" s="966"/>
      <c r="N979" s="957"/>
      <c r="O979" s="957"/>
      <c r="P979" s="932"/>
      <c r="Q979" s="931"/>
      <c r="R979" s="931"/>
      <c r="S979" s="957"/>
      <c r="T979" s="957"/>
      <c r="U979" s="957"/>
    </row>
    <row r="980" ht="13.5" customHeight="1">
      <c r="A980" s="931"/>
      <c r="B980" s="291"/>
      <c r="C980" s="931"/>
      <c r="D980" s="932"/>
      <c r="E980" s="932"/>
      <c r="F980" s="931"/>
      <c r="G980" s="931"/>
      <c r="H980" s="932"/>
      <c r="I980" s="932"/>
      <c r="J980" s="932"/>
      <c r="K980" s="932"/>
      <c r="L980" s="932"/>
      <c r="M980" s="966"/>
      <c r="N980" s="957"/>
      <c r="O980" s="957"/>
      <c r="P980" s="932"/>
      <c r="Q980" s="931"/>
      <c r="R980" s="931"/>
      <c r="S980" s="957"/>
      <c r="T980" s="957"/>
      <c r="U980" s="957"/>
    </row>
    <row r="981" ht="13.5" customHeight="1">
      <c r="A981" s="931"/>
      <c r="B981" s="291"/>
      <c r="C981" s="931"/>
      <c r="D981" s="932"/>
      <c r="E981" s="932"/>
      <c r="F981" s="931"/>
      <c r="G981" s="931"/>
      <c r="H981" s="932"/>
      <c r="I981" s="932"/>
      <c r="J981" s="932"/>
      <c r="K981" s="932"/>
      <c r="L981" s="932"/>
      <c r="M981" s="966"/>
      <c r="N981" s="957"/>
      <c r="O981" s="957"/>
      <c r="P981" s="932"/>
      <c r="Q981" s="931"/>
      <c r="R981" s="931"/>
      <c r="S981" s="957"/>
      <c r="T981" s="957"/>
      <c r="U981" s="957"/>
    </row>
    <row r="982" ht="13.5" customHeight="1">
      <c r="A982" s="931"/>
      <c r="B982" s="291"/>
      <c r="C982" s="931"/>
      <c r="D982" s="932"/>
      <c r="E982" s="932"/>
      <c r="F982" s="931"/>
      <c r="G982" s="931"/>
      <c r="H982" s="932"/>
      <c r="I982" s="932"/>
      <c r="J982" s="932"/>
      <c r="K982" s="932"/>
      <c r="L982" s="932"/>
      <c r="M982" s="966"/>
      <c r="N982" s="957"/>
      <c r="O982" s="957"/>
      <c r="P982" s="932"/>
      <c r="Q982" s="931"/>
      <c r="R982" s="931"/>
      <c r="S982" s="957"/>
      <c r="T982" s="957"/>
      <c r="U982" s="957"/>
    </row>
    <row r="983" ht="13.5" customHeight="1">
      <c r="A983" s="931"/>
      <c r="B983" s="291"/>
      <c r="C983" s="931"/>
      <c r="D983" s="932"/>
      <c r="E983" s="932"/>
      <c r="F983" s="931"/>
      <c r="G983" s="931"/>
      <c r="H983" s="932"/>
      <c r="I983" s="932"/>
      <c r="J983" s="932"/>
      <c r="K983" s="932"/>
      <c r="L983" s="932"/>
      <c r="M983" s="966"/>
      <c r="N983" s="957"/>
      <c r="O983" s="957"/>
      <c r="P983" s="932"/>
      <c r="Q983" s="931"/>
      <c r="R983" s="931"/>
      <c r="S983" s="957"/>
      <c r="T983" s="957"/>
      <c r="U983" s="957"/>
    </row>
    <row r="984" ht="13.5" customHeight="1">
      <c r="A984" s="931"/>
      <c r="B984" s="291"/>
      <c r="C984" s="931"/>
      <c r="D984" s="932"/>
      <c r="E984" s="932"/>
      <c r="F984" s="931"/>
      <c r="G984" s="931"/>
      <c r="H984" s="932"/>
      <c r="I984" s="932"/>
      <c r="J984" s="932"/>
      <c r="K984" s="932"/>
      <c r="L984" s="932"/>
      <c r="M984" s="966"/>
      <c r="N984" s="957"/>
      <c r="O984" s="957"/>
      <c r="P984" s="932"/>
      <c r="Q984" s="931"/>
      <c r="R984" s="931"/>
      <c r="S984" s="957"/>
      <c r="T984" s="957"/>
      <c r="U984" s="957"/>
    </row>
    <row r="985" ht="13.5" customHeight="1">
      <c r="A985" s="931"/>
      <c r="B985" s="291"/>
      <c r="C985" s="931"/>
      <c r="D985" s="932"/>
      <c r="E985" s="932"/>
      <c r="F985" s="931"/>
      <c r="G985" s="931"/>
      <c r="H985" s="932"/>
      <c r="I985" s="932"/>
      <c r="J985" s="932"/>
      <c r="K985" s="932"/>
      <c r="L985" s="932"/>
      <c r="M985" s="966"/>
      <c r="N985" s="957"/>
      <c r="O985" s="957"/>
      <c r="P985" s="932"/>
      <c r="Q985" s="931"/>
      <c r="R985" s="931"/>
      <c r="S985" s="957"/>
      <c r="T985" s="957"/>
      <c r="U985" s="957"/>
    </row>
    <row r="986" ht="13.5" customHeight="1">
      <c r="A986" s="931"/>
      <c r="B986" s="291"/>
      <c r="C986" s="931"/>
      <c r="D986" s="932"/>
      <c r="E986" s="932"/>
      <c r="F986" s="931"/>
      <c r="G986" s="931"/>
      <c r="H986" s="932"/>
      <c r="I986" s="932"/>
      <c r="J986" s="932"/>
      <c r="K986" s="932"/>
      <c r="L986" s="932"/>
      <c r="M986" s="966"/>
      <c r="N986" s="957"/>
      <c r="O986" s="957"/>
      <c r="P986" s="932"/>
      <c r="Q986" s="931"/>
      <c r="R986" s="931"/>
      <c r="S986" s="957"/>
      <c r="T986" s="957"/>
      <c r="U986" s="957"/>
    </row>
    <row r="987" ht="13.5" customHeight="1">
      <c r="A987" s="931"/>
      <c r="B987" s="291"/>
      <c r="C987" s="931"/>
      <c r="D987" s="932"/>
      <c r="E987" s="932"/>
      <c r="F987" s="931"/>
      <c r="G987" s="931"/>
      <c r="H987" s="932"/>
      <c r="I987" s="932"/>
      <c r="J987" s="932"/>
      <c r="K987" s="932"/>
      <c r="L987" s="932"/>
      <c r="M987" s="966"/>
      <c r="N987" s="957"/>
      <c r="O987" s="957"/>
      <c r="P987" s="932"/>
      <c r="Q987" s="931"/>
      <c r="R987" s="931"/>
      <c r="S987" s="957"/>
      <c r="T987" s="957"/>
      <c r="U987" s="957"/>
    </row>
    <row r="988" ht="13.5" customHeight="1">
      <c r="A988" s="931"/>
      <c r="B988" s="291"/>
      <c r="C988" s="931"/>
      <c r="D988" s="932"/>
      <c r="E988" s="932"/>
      <c r="F988" s="931"/>
      <c r="G988" s="931"/>
      <c r="H988" s="932"/>
      <c r="I988" s="932"/>
      <c r="J988" s="932"/>
      <c r="K988" s="932"/>
      <c r="L988" s="932"/>
      <c r="M988" s="966"/>
      <c r="N988" s="957"/>
      <c r="O988" s="957"/>
      <c r="P988" s="932"/>
      <c r="Q988" s="931"/>
      <c r="R988" s="931"/>
      <c r="S988" s="957"/>
      <c r="T988" s="957"/>
      <c r="U988" s="957"/>
    </row>
    <row r="989" ht="13.5" customHeight="1">
      <c r="A989" s="931"/>
      <c r="B989" s="291"/>
      <c r="C989" s="931"/>
      <c r="D989" s="932"/>
      <c r="E989" s="932"/>
      <c r="F989" s="931"/>
      <c r="G989" s="931"/>
      <c r="H989" s="932"/>
      <c r="I989" s="932"/>
      <c r="J989" s="932"/>
      <c r="K989" s="932"/>
      <c r="L989" s="932"/>
      <c r="M989" s="966"/>
      <c r="N989" s="957"/>
      <c r="O989" s="957"/>
      <c r="P989" s="932"/>
      <c r="Q989" s="931"/>
      <c r="R989" s="931"/>
      <c r="S989" s="957"/>
      <c r="T989" s="957"/>
      <c r="U989" s="957"/>
    </row>
    <row r="990" ht="13.5" customHeight="1">
      <c r="A990" s="931"/>
      <c r="B990" s="291"/>
      <c r="C990" s="931"/>
      <c r="D990" s="932"/>
      <c r="E990" s="932"/>
      <c r="F990" s="931"/>
      <c r="G990" s="931"/>
      <c r="H990" s="932"/>
      <c r="I990" s="932"/>
      <c r="J990" s="932"/>
      <c r="K990" s="932"/>
      <c r="L990" s="932"/>
      <c r="M990" s="966"/>
      <c r="N990" s="957"/>
      <c r="O990" s="957"/>
      <c r="P990" s="932"/>
      <c r="Q990" s="931"/>
      <c r="R990" s="931"/>
      <c r="S990" s="957"/>
      <c r="T990" s="957"/>
      <c r="U990" s="957"/>
    </row>
    <row r="991" ht="13.5" customHeight="1">
      <c r="A991" s="931"/>
      <c r="B991" s="291"/>
      <c r="C991" s="931"/>
      <c r="D991" s="932"/>
      <c r="E991" s="932"/>
      <c r="F991" s="931"/>
      <c r="G991" s="931"/>
      <c r="H991" s="932"/>
      <c r="I991" s="932"/>
      <c r="J991" s="932"/>
      <c r="K991" s="932"/>
      <c r="L991" s="932"/>
      <c r="M991" s="966"/>
      <c r="N991" s="957"/>
      <c r="O991" s="957"/>
      <c r="P991" s="932"/>
      <c r="Q991" s="931"/>
      <c r="R991" s="931"/>
      <c r="S991" s="957"/>
      <c r="T991" s="957"/>
      <c r="U991" s="957"/>
    </row>
    <row r="992" ht="13.5" customHeight="1">
      <c r="A992" s="931"/>
      <c r="B992" s="291"/>
      <c r="C992" s="931"/>
      <c r="D992" s="932"/>
      <c r="E992" s="932"/>
      <c r="F992" s="931"/>
      <c r="G992" s="931"/>
      <c r="H992" s="932"/>
      <c r="I992" s="932"/>
      <c r="J992" s="932"/>
      <c r="K992" s="932"/>
      <c r="L992" s="932"/>
      <c r="M992" s="966"/>
      <c r="N992" s="957"/>
      <c r="O992" s="957"/>
      <c r="P992" s="932"/>
      <c r="Q992" s="931"/>
      <c r="R992" s="931"/>
      <c r="S992" s="957"/>
      <c r="T992" s="957"/>
      <c r="U992" s="957"/>
    </row>
    <row r="993" ht="13.5" customHeight="1">
      <c r="A993" s="931"/>
      <c r="B993" s="291"/>
      <c r="C993" s="931"/>
      <c r="D993" s="932"/>
      <c r="E993" s="932"/>
      <c r="F993" s="931"/>
      <c r="G993" s="931"/>
      <c r="H993" s="932"/>
      <c r="I993" s="932"/>
      <c r="J993" s="932"/>
      <c r="K993" s="932"/>
      <c r="L993" s="932"/>
      <c r="M993" s="966"/>
      <c r="N993" s="957"/>
      <c r="O993" s="957"/>
      <c r="P993" s="932"/>
      <c r="Q993" s="931"/>
      <c r="R993" s="931"/>
      <c r="S993" s="957"/>
      <c r="T993" s="957"/>
      <c r="U993" s="957"/>
    </row>
    <row r="994" ht="13.5" customHeight="1">
      <c r="A994" s="931"/>
      <c r="B994" s="291"/>
      <c r="C994" s="931"/>
      <c r="D994" s="932"/>
      <c r="E994" s="932"/>
      <c r="F994" s="931"/>
      <c r="G994" s="931"/>
      <c r="H994" s="932"/>
      <c r="I994" s="932"/>
      <c r="J994" s="932"/>
      <c r="K994" s="932"/>
      <c r="L994" s="932"/>
      <c r="M994" s="966"/>
      <c r="N994" s="957"/>
      <c r="O994" s="957"/>
      <c r="P994" s="932"/>
      <c r="Q994" s="931"/>
      <c r="R994" s="931"/>
      <c r="S994" s="957"/>
      <c r="T994" s="957"/>
      <c r="U994" s="957"/>
    </row>
    <row r="995" ht="13.5" customHeight="1">
      <c r="A995" s="931"/>
      <c r="B995" s="291"/>
      <c r="C995" s="931"/>
      <c r="D995" s="932"/>
      <c r="E995" s="932"/>
      <c r="F995" s="931"/>
      <c r="G995" s="931"/>
      <c r="H995" s="932"/>
      <c r="I995" s="932"/>
      <c r="J995" s="932"/>
      <c r="K995" s="932"/>
      <c r="L995" s="932"/>
      <c r="M995" s="966"/>
      <c r="N995" s="957"/>
      <c r="O995" s="957"/>
      <c r="P995" s="932"/>
      <c r="Q995" s="931"/>
      <c r="R995" s="931"/>
      <c r="S995" s="957"/>
      <c r="T995" s="957"/>
      <c r="U995" s="957"/>
    </row>
    <row r="996" ht="13.5" customHeight="1">
      <c r="A996" s="931"/>
      <c r="B996" s="291"/>
      <c r="C996" s="931"/>
      <c r="D996" s="932"/>
      <c r="E996" s="932"/>
      <c r="F996" s="931"/>
      <c r="G996" s="931"/>
      <c r="H996" s="932"/>
      <c r="I996" s="932"/>
      <c r="J996" s="932"/>
      <c r="K996" s="932"/>
      <c r="L996" s="932"/>
      <c r="M996" s="966"/>
      <c r="N996" s="957"/>
      <c r="O996" s="957"/>
      <c r="P996" s="932"/>
      <c r="Q996" s="931"/>
      <c r="R996" s="931"/>
      <c r="S996" s="957"/>
      <c r="T996" s="957"/>
      <c r="U996" s="957"/>
    </row>
    <row r="997" ht="13.5" customHeight="1">
      <c r="A997" s="931"/>
      <c r="B997" s="291"/>
      <c r="C997" s="931"/>
      <c r="D997" s="932"/>
      <c r="E997" s="932"/>
      <c r="F997" s="931"/>
      <c r="G997" s="931"/>
      <c r="H997" s="932"/>
      <c r="I997" s="932"/>
      <c r="J997" s="932"/>
      <c r="K997" s="932"/>
      <c r="L997" s="932"/>
      <c r="M997" s="966"/>
      <c r="N997" s="957"/>
      <c r="O997" s="957"/>
      <c r="P997" s="932"/>
      <c r="Q997" s="931"/>
      <c r="R997" s="931"/>
      <c r="S997" s="957"/>
      <c r="T997" s="957"/>
      <c r="U997" s="957"/>
    </row>
    <row r="998" ht="13.5" customHeight="1">
      <c r="A998" s="931"/>
      <c r="B998" s="291"/>
      <c r="C998" s="931"/>
      <c r="D998" s="932"/>
      <c r="E998" s="932"/>
      <c r="F998" s="931"/>
      <c r="G998" s="931"/>
      <c r="H998" s="932"/>
      <c r="I998" s="932"/>
      <c r="J998" s="932"/>
      <c r="K998" s="932"/>
      <c r="L998" s="932"/>
      <c r="M998" s="966"/>
      <c r="N998" s="957"/>
      <c r="O998" s="957"/>
      <c r="P998" s="932"/>
      <c r="Q998" s="931"/>
      <c r="R998" s="931"/>
      <c r="S998" s="957"/>
      <c r="T998" s="957"/>
      <c r="U998" s="957"/>
    </row>
    <row r="999" ht="13.5" customHeight="1">
      <c r="A999" s="931"/>
      <c r="B999" s="291"/>
      <c r="C999" s="931"/>
      <c r="D999" s="932"/>
      <c r="E999" s="932"/>
      <c r="F999" s="931"/>
      <c r="G999" s="931"/>
      <c r="H999" s="932"/>
      <c r="I999" s="932"/>
      <c r="J999" s="932"/>
      <c r="K999" s="932"/>
      <c r="L999" s="932"/>
      <c r="M999" s="966"/>
      <c r="N999" s="957"/>
      <c r="O999" s="957"/>
      <c r="P999" s="932"/>
      <c r="Q999" s="931"/>
      <c r="R999" s="931"/>
      <c r="S999" s="957"/>
      <c r="T999" s="957"/>
      <c r="U999" s="957"/>
    </row>
    <row r="1000" ht="13.5" customHeight="1">
      <c r="A1000" s="931"/>
      <c r="B1000" s="291"/>
      <c r="C1000" s="931"/>
      <c r="D1000" s="932"/>
      <c r="E1000" s="932"/>
      <c r="F1000" s="931"/>
      <c r="G1000" s="931"/>
      <c r="H1000" s="932"/>
      <c r="I1000" s="932"/>
      <c r="J1000" s="932"/>
      <c r="K1000" s="932"/>
      <c r="L1000" s="932"/>
      <c r="M1000" s="966"/>
      <c r="N1000" s="957"/>
      <c r="O1000" s="957"/>
      <c r="P1000" s="932"/>
      <c r="Q1000" s="931"/>
      <c r="R1000" s="931"/>
      <c r="S1000" s="957"/>
      <c r="T1000" s="957"/>
      <c r="U1000" s="957"/>
    </row>
    <row r="1001" ht="13.5" customHeight="1">
      <c r="A1001" s="931"/>
      <c r="B1001" s="291"/>
      <c r="C1001" s="931"/>
      <c r="D1001" s="932"/>
      <c r="E1001" s="932"/>
      <c r="F1001" s="931"/>
      <c r="G1001" s="931"/>
      <c r="H1001" s="932"/>
      <c r="I1001" s="932"/>
      <c r="J1001" s="932"/>
      <c r="K1001" s="932"/>
      <c r="L1001" s="932"/>
      <c r="M1001" s="966"/>
      <c r="N1001" s="957"/>
      <c r="O1001" s="957"/>
      <c r="P1001" s="932"/>
      <c r="Q1001" s="931"/>
      <c r="R1001" s="931"/>
      <c r="S1001" s="957"/>
      <c r="T1001" s="957"/>
      <c r="U1001" s="957"/>
    </row>
    <row r="1002" ht="13.5" customHeight="1">
      <c r="A1002" s="931"/>
      <c r="B1002" s="291"/>
      <c r="C1002" s="931"/>
      <c r="D1002" s="932"/>
      <c r="E1002" s="932"/>
      <c r="F1002" s="931"/>
      <c r="G1002" s="931"/>
      <c r="H1002" s="932"/>
      <c r="I1002" s="932"/>
      <c r="J1002" s="932"/>
      <c r="K1002" s="932"/>
      <c r="L1002" s="932"/>
      <c r="M1002" s="966"/>
      <c r="N1002" s="957"/>
      <c r="O1002" s="957"/>
      <c r="P1002" s="932"/>
      <c r="Q1002" s="931"/>
      <c r="R1002" s="931"/>
      <c r="S1002" s="957"/>
      <c r="T1002" s="957"/>
      <c r="U1002" s="957"/>
    </row>
    <row r="1003" ht="13.5" customHeight="1">
      <c r="A1003" s="931"/>
      <c r="B1003" s="291"/>
      <c r="C1003" s="931"/>
      <c r="D1003" s="932"/>
      <c r="E1003" s="932"/>
      <c r="F1003" s="931"/>
      <c r="G1003" s="931"/>
      <c r="H1003" s="932"/>
      <c r="I1003" s="932"/>
      <c r="J1003" s="932"/>
      <c r="K1003" s="932"/>
      <c r="L1003" s="932"/>
      <c r="M1003" s="966"/>
      <c r="N1003" s="957"/>
      <c r="O1003" s="957"/>
      <c r="P1003" s="932"/>
      <c r="Q1003" s="931"/>
      <c r="R1003" s="931"/>
      <c r="S1003" s="957"/>
      <c r="T1003" s="957"/>
      <c r="U1003" s="957"/>
    </row>
    <row r="1004" ht="13.5" customHeight="1">
      <c r="A1004" s="931"/>
      <c r="B1004" s="291"/>
      <c r="C1004" s="931"/>
      <c r="D1004" s="932"/>
      <c r="E1004" s="932"/>
      <c r="F1004" s="931"/>
      <c r="G1004" s="931"/>
      <c r="H1004" s="932"/>
      <c r="I1004" s="932"/>
      <c r="J1004" s="932"/>
      <c r="K1004" s="932"/>
      <c r="L1004" s="932"/>
      <c r="M1004" s="966"/>
      <c r="N1004" s="957"/>
      <c r="O1004" s="957"/>
      <c r="P1004" s="932"/>
      <c r="Q1004" s="931"/>
      <c r="R1004" s="931"/>
      <c r="S1004" s="957"/>
      <c r="T1004" s="957"/>
      <c r="U1004" s="957"/>
    </row>
    <row r="1005" ht="13.5" customHeight="1">
      <c r="A1005" s="931"/>
      <c r="B1005" s="291"/>
      <c r="C1005" s="931"/>
      <c r="D1005" s="932"/>
      <c r="E1005" s="932"/>
      <c r="F1005" s="931"/>
      <c r="G1005" s="931"/>
      <c r="H1005" s="932"/>
      <c r="I1005" s="932"/>
      <c r="J1005" s="932"/>
      <c r="K1005" s="932"/>
      <c r="L1005" s="932"/>
      <c r="M1005" s="966"/>
      <c r="N1005" s="957"/>
      <c r="O1005" s="957"/>
      <c r="P1005" s="932"/>
      <c r="Q1005" s="931"/>
      <c r="R1005" s="931"/>
      <c r="S1005" s="957"/>
      <c r="T1005" s="957"/>
      <c r="U1005" s="957"/>
    </row>
    <row r="1006" ht="13.5" customHeight="1">
      <c r="A1006" s="931"/>
      <c r="B1006" s="291"/>
      <c r="C1006" s="931"/>
      <c r="D1006" s="932"/>
      <c r="E1006" s="932"/>
      <c r="F1006" s="931"/>
      <c r="G1006" s="931"/>
      <c r="H1006" s="932"/>
      <c r="I1006" s="932"/>
      <c r="J1006" s="932"/>
      <c r="K1006" s="932"/>
      <c r="L1006" s="932"/>
      <c r="M1006" s="966"/>
      <c r="N1006" s="957"/>
      <c r="O1006" s="957"/>
      <c r="P1006" s="932"/>
      <c r="Q1006" s="931"/>
      <c r="R1006" s="931"/>
      <c r="S1006" s="957"/>
      <c r="T1006" s="957"/>
      <c r="U1006" s="957"/>
    </row>
    <row r="1007" ht="13.5" customHeight="1">
      <c r="A1007" s="931"/>
      <c r="B1007" s="291"/>
      <c r="C1007" s="931"/>
      <c r="D1007" s="932"/>
      <c r="E1007" s="932"/>
      <c r="F1007" s="931"/>
      <c r="G1007" s="931"/>
      <c r="H1007" s="932"/>
      <c r="I1007" s="932"/>
      <c r="J1007" s="932"/>
      <c r="K1007" s="932"/>
      <c r="L1007" s="932"/>
      <c r="M1007" s="966"/>
      <c r="N1007" s="957"/>
      <c r="O1007" s="957"/>
      <c r="P1007" s="932"/>
      <c r="Q1007" s="931"/>
      <c r="R1007" s="931"/>
      <c r="S1007" s="957"/>
      <c r="T1007" s="957"/>
      <c r="U1007" s="957"/>
    </row>
    <row r="1008" ht="13.5" customHeight="1">
      <c r="A1008" s="931"/>
      <c r="B1008" s="291"/>
      <c r="C1008" s="931"/>
      <c r="D1008" s="932"/>
      <c r="E1008" s="932"/>
      <c r="F1008" s="931"/>
      <c r="G1008" s="931"/>
      <c r="H1008" s="932"/>
      <c r="I1008" s="932"/>
      <c r="J1008" s="932"/>
      <c r="K1008" s="932"/>
      <c r="L1008" s="932"/>
      <c r="M1008" s="966"/>
      <c r="N1008" s="957"/>
      <c r="O1008" s="957"/>
      <c r="P1008" s="932"/>
      <c r="Q1008" s="931"/>
      <c r="R1008" s="931"/>
      <c r="S1008" s="957"/>
      <c r="T1008" s="957"/>
      <c r="U1008" s="957"/>
    </row>
    <row r="1009" ht="13.5" customHeight="1">
      <c r="A1009" s="931"/>
      <c r="B1009" s="291"/>
      <c r="C1009" s="931"/>
      <c r="D1009" s="932"/>
      <c r="E1009" s="932"/>
      <c r="F1009" s="931"/>
      <c r="G1009" s="931"/>
      <c r="H1009" s="932"/>
      <c r="I1009" s="932"/>
      <c r="J1009" s="932"/>
      <c r="K1009" s="932"/>
      <c r="L1009" s="932"/>
      <c r="M1009" s="966"/>
      <c r="N1009" s="957"/>
      <c r="O1009" s="957"/>
      <c r="P1009" s="932"/>
      <c r="Q1009" s="931"/>
      <c r="R1009" s="931"/>
      <c r="S1009" s="957"/>
      <c r="T1009" s="957"/>
      <c r="U1009" s="957"/>
    </row>
    <row r="1010" ht="13.5" customHeight="1">
      <c r="A1010" s="931"/>
      <c r="B1010" s="291"/>
      <c r="C1010" s="931"/>
      <c r="D1010" s="932"/>
      <c r="E1010" s="932"/>
      <c r="F1010" s="931"/>
      <c r="G1010" s="931"/>
      <c r="H1010" s="932"/>
      <c r="I1010" s="932"/>
      <c r="J1010" s="932"/>
      <c r="K1010" s="932"/>
      <c r="L1010" s="932"/>
      <c r="M1010" s="966"/>
      <c r="N1010" s="957"/>
      <c r="O1010" s="957"/>
      <c r="P1010" s="932"/>
      <c r="Q1010" s="931"/>
      <c r="R1010" s="931"/>
      <c r="S1010" s="957"/>
      <c r="T1010" s="957"/>
      <c r="U1010" s="957"/>
    </row>
    <row r="1011" ht="13.5" customHeight="1">
      <c r="A1011" s="931"/>
      <c r="B1011" s="291"/>
      <c r="C1011" s="931"/>
      <c r="D1011" s="932"/>
      <c r="E1011" s="932"/>
      <c r="F1011" s="931"/>
      <c r="G1011" s="931"/>
      <c r="H1011" s="932"/>
      <c r="I1011" s="932"/>
      <c r="J1011" s="932"/>
      <c r="K1011" s="932"/>
      <c r="L1011" s="932"/>
      <c r="M1011" s="966"/>
      <c r="N1011" s="957"/>
      <c r="O1011" s="957"/>
      <c r="P1011" s="932"/>
      <c r="Q1011" s="931"/>
      <c r="R1011" s="931"/>
      <c r="S1011" s="957"/>
      <c r="T1011" s="957"/>
      <c r="U1011" s="957"/>
    </row>
    <row r="1012" ht="13.5" customHeight="1">
      <c r="A1012" s="931"/>
      <c r="B1012" s="291"/>
      <c r="C1012" s="931"/>
      <c r="D1012" s="932"/>
      <c r="E1012" s="932"/>
      <c r="F1012" s="931"/>
      <c r="G1012" s="931"/>
      <c r="H1012" s="932"/>
      <c r="I1012" s="932"/>
      <c r="J1012" s="932"/>
      <c r="K1012" s="932"/>
      <c r="L1012" s="932"/>
      <c r="M1012" s="966"/>
      <c r="N1012" s="957"/>
      <c r="O1012" s="957"/>
      <c r="P1012" s="932"/>
      <c r="Q1012" s="931"/>
      <c r="R1012" s="931"/>
      <c r="S1012" s="957"/>
      <c r="T1012" s="957"/>
      <c r="U1012" s="957"/>
    </row>
    <row r="1013" ht="13.5" customHeight="1">
      <c r="A1013" s="931"/>
      <c r="B1013" s="291"/>
      <c r="C1013" s="931"/>
      <c r="D1013" s="932"/>
      <c r="E1013" s="932"/>
      <c r="F1013" s="931"/>
      <c r="G1013" s="931"/>
      <c r="H1013" s="932"/>
      <c r="I1013" s="932"/>
      <c r="J1013" s="932"/>
      <c r="K1013" s="932"/>
      <c r="L1013" s="932"/>
      <c r="M1013" s="966"/>
      <c r="N1013" s="957"/>
      <c r="O1013" s="957"/>
      <c r="P1013" s="932"/>
      <c r="Q1013" s="931"/>
      <c r="R1013" s="931"/>
      <c r="S1013" s="957"/>
      <c r="T1013" s="957"/>
      <c r="U1013" s="957"/>
    </row>
    <row r="1014" ht="13.5" customHeight="1">
      <c r="A1014" s="931"/>
      <c r="B1014" s="291"/>
      <c r="C1014" s="931"/>
      <c r="D1014" s="932"/>
      <c r="E1014" s="932"/>
      <c r="F1014" s="931"/>
      <c r="G1014" s="931"/>
      <c r="H1014" s="932"/>
      <c r="I1014" s="932"/>
      <c r="J1014" s="932"/>
      <c r="K1014" s="932"/>
      <c r="L1014" s="932"/>
      <c r="M1014" s="966"/>
      <c r="N1014" s="957"/>
      <c r="O1014" s="957"/>
      <c r="P1014" s="932"/>
      <c r="Q1014" s="931"/>
      <c r="R1014" s="931"/>
      <c r="S1014" s="957"/>
      <c r="T1014" s="957"/>
      <c r="U1014" s="957"/>
    </row>
    <row r="1015" ht="13.5" customHeight="1">
      <c r="A1015" s="931"/>
      <c r="B1015" s="291"/>
      <c r="C1015" s="931"/>
      <c r="D1015" s="932"/>
      <c r="E1015" s="932"/>
      <c r="F1015" s="931"/>
      <c r="G1015" s="931"/>
      <c r="H1015" s="932"/>
      <c r="I1015" s="932"/>
      <c r="J1015" s="932"/>
      <c r="K1015" s="932"/>
      <c r="L1015" s="932"/>
      <c r="M1015" s="966"/>
      <c r="N1015" s="957"/>
      <c r="O1015" s="957"/>
      <c r="P1015" s="932"/>
      <c r="Q1015" s="931"/>
      <c r="R1015" s="931"/>
      <c r="S1015" s="957"/>
      <c r="T1015" s="957"/>
      <c r="U1015" s="957"/>
    </row>
    <row r="1016" ht="13.5" customHeight="1">
      <c r="A1016" s="931"/>
      <c r="B1016" s="291"/>
      <c r="C1016" s="931"/>
      <c r="D1016" s="932"/>
      <c r="E1016" s="932"/>
      <c r="F1016" s="931"/>
      <c r="G1016" s="931"/>
      <c r="H1016" s="932"/>
      <c r="I1016" s="932"/>
      <c r="J1016" s="932"/>
      <c r="K1016" s="932"/>
      <c r="L1016" s="932"/>
      <c r="M1016" s="966"/>
      <c r="N1016" s="957"/>
      <c r="O1016" s="957"/>
      <c r="P1016" s="932"/>
      <c r="Q1016" s="931"/>
      <c r="R1016" s="931"/>
      <c r="S1016" s="957"/>
      <c r="T1016" s="957"/>
      <c r="U1016" s="957"/>
    </row>
    <row r="1017" ht="13.5" customHeight="1">
      <c r="A1017" s="931"/>
      <c r="B1017" s="291"/>
      <c r="C1017" s="931"/>
      <c r="D1017" s="932"/>
      <c r="E1017" s="932"/>
      <c r="F1017" s="931"/>
      <c r="G1017" s="931"/>
      <c r="H1017" s="932"/>
      <c r="I1017" s="932"/>
      <c r="J1017" s="932"/>
      <c r="K1017" s="932"/>
      <c r="L1017" s="932"/>
      <c r="M1017" s="966"/>
      <c r="N1017" s="957"/>
      <c r="O1017" s="957"/>
      <c r="P1017" s="932"/>
      <c r="Q1017" s="931"/>
      <c r="R1017" s="931"/>
      <c r="S1017" s="957"/>
      <c r="T1017" s="957"/>
      <c r="U1017" s="957"/>
    </row>
    <row r="1018" ht="13.5" customHeight="1">
      <c r="A1018" s="931"/>
      <c r="B1018" s="291"/>
      <c r="C1018" s="931"/>
      <c r="D1018" s="932"/>
      <c r="E1018" s="932"/>
      <c r="F1018" s="931"/>
      <c r="G1018" s="931"/>
      <c r="H1018" s="932"/>
      <c r="I1018" s="932"/>
      <c r="J1018" s="932"/>
      <c r="K1018" s="932"/>
      <c r="L1018" s="932"/>
      <c r="M1018" s="966"/>
      <c r="N1018" s="957"/>
      <c r="O1018" s="957"/>
      <c r="P1018" s="932"/>
      <c r="Q1018" s="931"/>
      <c r="R1018" s="931"/>
      <c r="S1018" s="957"/>
      <c r="T1018" s="957"/>
      <c r="U1018" s="957"/>
    </row>
    <row r="1019" ht="13.5" customHeight="1">
      <c r="A1019" s="931"/>
      <c r="B1019" s="291"/>
      <c r="C1019" s="931"/>
      <c r="D1019" s="932"/>
      <c r="E1019" s="932"/>
      <c r="F1019" s="931"/>
      <c r="G1019" s="931"/>
      <c r="H1019" s="932"/>
      <c r="I1019" s="932"/>
      <c r="J1019" s="932"/>
      <c r="K1019" s="932"/>
      <c r="L1019" s="932"/>
      <c r="M1019" s="966"/>
      <c r="N1019" s="957"/>
      <c r="O1019" s="957"/>
      <c r="P1019" s="932"/>
      <c r="Q1019" s="931"/>
      <c r="R1019" s="931"/>
      <c r="S1019" s="957"/>
      <c r="T1019" s="957"/>
      <c r="U1019" s="957"/>
    </row>
    <row r="1020" ht="13.5" customHeight="1">
      <c r="A1020" s="931"/>
      <c r="B1020" s="291"/>
      <c r="C1020" s="931"/>
      <c r="D1020" s="932"/>
      <c r="E1020" s="932"/>
      <c r="F1020" s="931"/>
      <c r="G1020" s="931"/>
      <c r="H1020" s="932"/>
      <c r="I1020" s="932"/>
      <c r="J1020" s="932"/>
      <c r="K1020" s="932"/>
      <c r="L1020" s="932"/>
      <c r="M1020" s="966"/>
      <c r="N1020" s="957"/>
      <c r="O1020" s="957"/>
      <c r="P1020" s="932"/>
      <c r="Q1020" s="931"/>
      <c r="R1020" s="931"/>
      <c r="S1020" s="957"/>
      <c r="T1020" s="957"/>
      <c r="U1020" s="957"/>
    </row>
    <row r="1021" ht="13.5" customHeight="1">
      <c r="A1021" s="931"/>
      <c r="B1021" s="291"/>
      <c r="C1021" s="931"/>
      <c r="D1021" s="932"/>
      <c r="E1021" s="932"/>
      <c r="F1021" s="931"/>
      <c r="G1021" s="931"/>
      <c r="H1021" s="932"/>
      <c r="I1021" s="932"/>
      <c r="J1021" s="932"/>
      <c r="K1021" s="932"/>
      <c r="L1021" s="932"/>
      <c r="M1021" s="966"/>
      <c r="N1021" s="957"/>
      <c r="O1021" s="957"/>
      <c r="P1021" s="932"/>
      <c r="Q1021" s="931"/>
      <c r="R1021" s="931"/>
      <c r="S1021" s="957"/>
      <c r="T1021" s="957"/>
      <c r="U1021" s="957"/>
    </row>
    <row r="1022" ht="13.5" customHeight="1">
      <c r="A1022" s="931"/>
      <c r="B1022" s="291"/>
      <c r="C1022" s="931"/>
      <c r="D1022" s="932"/>
      <c r="E1022" s="932"/>
      <c r="F1022" s="931"/>
      <c r="G1022" s="931"/>
      <c r="H1022" s="932"/>
      <c r="I1022" s="932"/>
      <c r="J1022" s="932"/>
      <c r="K1022" s="932"/>
      <c r="L1022" s="932"/>
      <c r="M1022" s="966"/>
      <c r="N1022" s="957"/>
      <c r="O1022" s="957"/>
      <c r="P1022" s="932"/>
      <c r="Q1022" s="931"/>
      <c r="R1022" s="931"/>
      <c r="S1022" s="957"/>
      <c r="T1022" s="957"/>
      <c r="U1022" s="957"/>
    </row>
    <row r="1023" ht="13.5" customHeight="1">
      <c r="A1023" s="931"/>
      <c r="B1023" s="291"/>
      <c r="C1023" s="931"/>
      <c r="D1023" s="932"/>
      <c r="E1023" s="932"/>
      <c r="F1023" s="931"/>
      <c r="G1023" s="931"/>
      <c r="H1023" s="932"/>
      <c r="I1023" s="932"/>
      <c r="J1023" s="932"/>
      <c r="K1023" s="932"/>
      <c r="L1023" s="932"/>
      <c r="M1023" s="966"/>
      <c r="N1023" s="957"/>
      <c r="O1023" s="957"/>
      <c r="P1023" s="932"/>
      <c r="Q1023" s="931"/>
      <c r="R1023" s="931"/>
      <c r="S1023" s="957"/>
      <c r="T1023" s="957"/>
      <c r="U1023" s="957"/>
    </row>
    <row r="1024" ht="13.5" customHeight="1">
      <c r="A1024" s="931"/>
      <c r="B1024" s="291"/>
      <c r="C1024" s="931"/>
      <c r="D1024" s="932"/>
      <c r="E1024" s="932"/>
      <c r="F1024" s="931"/>
      <c r="G1024" s="931"/>
      <c r="H1024" s="932"/>
      <c r="I1024" s="932"/>
      <c r="J1024" s="932"/>
      <c r="K1024" s="932"/>
      <c r="L1024" s="932"/>
      <c r="M1024" s="966"/>
      <c r="N1024" s="957"/>
      <c r="O1024" s="957"/>
      <c r="P1024" s="932"/>
      <c r="Q1024" s="931"/>
      <c r="R1024" s="931"/>
      <c r="S1024" s="957"/>
      <c r="T1024" s="957"/>
      <c r="U1024" s="957"/>
    </row>
    <row r="1025" ht="13.5" customHeight="1">
      <c r="A1025" s="931"/>
      <c r="B1025" s="291"/>
      <c r="C1025" s="931"/>
      <c r="D1025" s="932"/>
      <c r="E1025" s="932"/>
      <c r="F1025" s="931"/>
      <c r="G1025" s="931"/>
      <c r="H1025" s="932"/>
      <c r="I1025" s="932"/>
      <c r="J1025" s="932"/>
      <c r="K1025" s="932"/>
      <c r="L1025" s="932"/>
      <c r="M1025" s="966"/>
      <c r="N1025" s="957"/>
      <c r="O1025" s="957"/>
      <c r="P1025" s="932"/>
      <c r="Q1025" s="931"/>
      <c r="R1025" s="931"/>
      <c r="S1025" s="957"/>
      <c r="T1025" s="957"/>
      <c r="U1025" s="957"/>
    </row>
    <row r="1026" ht="13.5" customHeight="1">
      <c r="A1026" s="931"/>
      <c r="B1026" s="291"/>
      <c r="C1026" s="931"/>
      <c r="D1026" s="932"/>
      <c r="E1026" s="932"/>
      <c r="F1026" s="931"/>
      <c r="G1026" s="931"/>
      <c r="H1026" s="932"/>
      <c r="I1026" s="932"/>
      <c r="J1026" s="932"/>
      <c r="K1026" s="932"/>
      <c r="L1026" s="932"/>
      <c r="M1026" s="966"/>
      <c r="N1026" s="957"/>
      <c r="O1026" s="957"/>
      <c r="P1026" s="932"/>
      <c r="Q1026" s="931"/>
      <c r="R1026" s="931"/>
      <c r="S1026" s="957"/>
      <c r="T1026" s="957"/>
      <c r="U1026" s="957"/>
    </row>
    <row r="1027" ht="13.5" customHeight="1">
      <c r="A1027" s="931"/>
      <c r="B1027" s="291"/>
      <c r="C1027" s="931"/>
      <c r="D1027" s="932"/>
      <c r="E1027" s="932"/>
      <c r="F1027" s="931"/>
      <c r="G1027" s="931"/>
      <c r="H1027" s="932"/>
      <c r="I1027" s="932"/>
      <c r="J1027" s="932"/>
      <c r="K1027" s="932"/>
      <c r="L1027" s="932"/>
      <c r="M1027" s="966"/>
      <c r="N1027" s="957"/>
      <c r="O1027" s="957"/>
      <c r="P1027" s="932"/>
      <c r="Q1027" s="931"/>
      <c r="R1027" s="931"/>
      <c r="S1027" s="957"/>
      <c r="T1027" s="957"/>
      <c r="U1027" s="957"/>
    </row>
    <row r="1028" ht="13.5" customHeight="1">
      <c r="A1028" s="931"/>
      <c r="B1028" s="291"/>
      <c r="C1028" s="931"/>
      <c r="D1028" s="932"/>
      <c r="E1028" s="932"/>
      <c r="F1028" s="931"/>
      <c r="G1028" s="931"/>
      <c r="H1028" s="932"/>
      <c r="I1028" s="932"/>
      <c r="J1028" s="932"/>
      <c r="K1028" s="932"/>
      <c r="L1028" s="932"/>
      <c r="M1028" s="966"/>
      <c r="N1028" s="957"/>
      <c r="O1028" s="957"/>
      <c r="P1028" s="932"/>
      <c r="Q1028" s="931"/>
      <c r="R1028" s="931"/>
      <c r="S1028" s="957"/>
      <c r="T1028" s="957"/>
      <c r="U1028" s="957"/>
    </row>
    <row r="1029" ht="13.5" customHeight="1">
      <c r="A1029" s="931"/>
      <c r="B1029" s="291"/>
      <c r="C1029" s="931"/>
      <c r="D1029" s="932"/>
      <c r="E1029" s="932"/>
      <c r="F1029" s="931"/>
      <c r="G1029" s="931"/>
      <c r="H1029" s="932"/>
      <c r="I1029" s="932"/>
      <c r="J1029" s="932"/>
      <c r="K1029" s="932"/>
      <c r="L1029" s="932"/>
      <c r="M1029" s="966"/>
      <c r="N1029" s="957"/>
      <c r="O1029" s="957"/>
      <c r="P1029" s="932"/>
      <c r="Q1029" s="931"/>
      <c r="R1029" s="931"/>
      <c r="S1029" s="957"/>
      <c r="T1029" s="957"/>
      <c r="U1029" s="957"/>
    </row>
    <row r="1030" ht="13.5" customHeight="1">
      <c r="A1030" s="931"/>
      <c r="B1030" s="291"/>
      <c r="C1030" s="931"/>
      <c r="D1030" s="932"/>
      <c r="E1030" s="932"/>
      <c r="F1030" s="931"/>
      <c r="G1030" s="931"/>
      <c r="H1030" s="932"/>
      <c r="I1030" s="932"/>
      <c r="J1030" s="932"/>
      <c r="K1030" s="932"/>
      <c r="L1030" s="932"/>
      <c r="M1030" s="966"/>
      <c r="N1030" s="957"/>
      <c r="O1030" s="957"/>
      <c r="P1030" s="932"/>
      <c r="Q1030" s="931"/>
      <c r="R1030" s="931"/>
      <c r="S1030" s="957"/>
      <c r="T1030" s="957"/>
      <c r="U1030" s="957"/>
    </row>
    <row r="1031" ht="13.5" customHeight="1">
      <c r="A1031" s="931"/>
      <c r="B1031" s="291"/>
      <c r="C1031" s="931"/>
      <c r="D1031" s="932"/>
      <c r="E1031" s="932"/>
      <c r="F1031" s="931"/>
      <c r="G1031" s="931"/>
      <c r="H1031" s="932"/>
      <c r="I1031" s="932"/>
      <c r="J1031" s="932"/>
      <c r="K1031" s="932"/>
      <c r="L1031" s="932"/>
      <c r="M1031" s="966"/>
      <c r="N1031" s="957"/>
      <c r="O1031" s="957"/>
      <c r="P1031" s="932"/>
      <c r="Q1031" s="931"/>
      <c r="R1031" s="931"/>
      <c r="S1031" s="957"/>
      <c r="T1031" s="957"/>
      <c r="U1031" s="957"/>
    </row>
    <row r="1032" ht="13.5" customHeight="1">
      <c r="A1032" s="931"/>
      <c r="B1032" s="291"/>
      <c r="C1032" s="931"/>
      <c r="D1032" s="932"/>
      <c r="E1032" s="932"/>
      <c r="F1032" s="931"/>
      <c r="G1032" s="931"/>
      <c r="H1032" s="932"/>
      <c r="I1032" s="932"/>
      <c r="J1032" s="932"/>
      <c r="K1032" s="932"/>
      <c r="L1032" s="932"/>
      <c r="M1032" s="966"/>
      <c r="N1032" s="957"/>
      <c r="O1032" s="957"/>
      <c r="P1032" s="932"/>
      <c r="Q1032" s="931"/>
      <c r="R1032" s="931"/>
      <c r="S1032" s="957"/>
      <c r="T1032" s="957"/>
      <c r="U1032" s="957"/>
    </row>
    <row r="1033" ht="13.5" customHeight="1">
      <c r="A1033" s="931"/>
      <c r="B1033" s="291"/>
      <c r="C1033" s="931"/>
      <c r="D1033" s="932"/>
      <c r="E1033" s="932"/>
      <c r="F1033" s="931"/>
      <c r="G1033" s="931"/>
      <c r="H1033" s="932"/>
      <c r="I1033" s="932"/>
      <c r="J1033" s="932"/>
      <c r="K1033" s="932"/>
      <c r="L1033" s="932"/>
      <c r="M1033" s="966"/>
      <c r="N1033" s="957"/>
      <c r="O1033" s="957"/>
      <c r="P1033" s="932"/>
      <c r="Q1033" s="931"/>
      <c r="R1033" s="931"/>
      <c r="S1033" s="957"/>
      <c r="T1033" s="957"/>
      <c r="U1033" s="957"/>
    </row>
    <row r="1034" ht="13.5" customHeight="1">
      <c r="A1034" s="931"/>
      <c r="B1034" s="291"/>
      <c r="C1034" s="931"/>
      <c r="D1034" s="932"/>
      <c r="E1034" s="932"/>
      <c r="F1034" s="931"/>
      <c r="G1034" s="931"/>
      <c r="H1034" s="932"/>
      <c r="I1034" s="932"/>
      <c r="J1034" s="932"/>
      <c r="K1034" s="932"/>
      <c r="L1034" s="932"/>
      <c r="M1034" s="966"/>
      <c r="N1034" s="957"/>
      <c r="O1034" s="957"/>
      <c r="P1034" s="932"/>
      <c r="Q1034" s="931"/>
      <c r="R1034" s="931"/>
      <c r="S1034" s="957"/>
      <c r="T1034" s="957"/>
      <c r="U1034" s="957"/>
    </row>
    <row r="1035" ht="13.5" customHeight="1">
      <c r="A1035" s="931"/>
      <c r="B1035" s="291"/>
      <c r="C1035" s="931"/>
      <c r="D1035" s="932"/>
      <c r="E1035" s="932"/>
      <c r="F1035" s="931"/>
      <c r="G1035" s="931"/>
      <c r="H1035" s="932"/>
      <c r="I1035" s="932"/>
      <c r="J1035" s="932"/>
      <c r="K1035" s="932"/>
      <c r="L1035" s="932"/>
      <c r="M1035" s="966"/>
      <c r="N1035" s="957"/>
      <c r="O1035" s="957"/>
      <c r="P1035" s="932"/>
      <c r="Q1035" s="931"/>
      <c r="R1035" s="931"/>
      <c r="S1035" s="957"/>
      <c r="T1035" s="957"/>
      <c r="U1035" s="957"/>
    </row>
    <row r="1036" ht="13.5" customHeight="1">
      <c r="A1036" s="931"/>
      <c r="B1036" s="291"/>
      <c r="C1036" s="931"/>
      <c r="D1036" s="932"/>
      <c r="E1036" s="932"/>
      <c r="F1036" s="931"/>
      <c r="G1036" s="931"/>
      <c r="H1036" s="932"/>
      <c r="I1036" s="932"/>
      <c r="J1036" s="932"/>
      <c r="K1036" s="932"/>
      <c r="L1036" s="932"/>
      <c r="M1036" s="966"/>
      <c r="N1036" s="957"/>
      <c r="O1036" s="957"/>
      <c r="P1036" s="932"/>
      <c r="Q1036" s="931"/>
      <c r="R1036" s="931"/>
      <c r="S1036" s="957"/>
      <c r="T1036" s="957"/>
      <c r="U1036" s="957"/>
    </row>
    <row r="1037" ht="13.5" customHeight="1">
      <c r="A1037" s="931"/>
      <c r="B1037" s="291"/>
      <c r="C1037" s="931"/>
      <c r="D1037" s="932"/>
      <c r="E1037" s="932"/>
      <c r="F1037" s="931"/>
      <c r="G1037" s="931"/>
      <c r="H1037" s="932"/>
      <c r="I1037" s="932"/>
      <c r="J1037" s="932"/>
      <c r="K1037" s="932"/>
      <c r="L1037" s="932"/>
      <c r="M1037" s="966"/>
      <c r="N1037" s="957"/>
      <c r="O1037" s="957"/>
      <c r="P1037" s="932"/>
      <c r="Q1037" s="931"/>
      <c r="R1037" s="931"/>
      <c r="S1037" s="957"/>
      <c r="T1037" s="957"/>
      <c r="U1037" s="957"/>
    </row>
    <row r="1038" ht="13.5" customHeight="1">
      <c r="A1038" s="931"/>
      <c r="B1038" s="291"/>
      <c r="C1038" s="931"/>
      <c r="D1038" s="932"/>
      <c r="E1038" s="932"/>
      <c r="F1038" s="931"/>
      <c r="G1038" s="931"/>
      <c r="H1038" s="932"/>
      <c r="I1038" s="932"/>
      <c r="J1038" s="932"/>
      <c r="K1038" s="932"/>
      <c r="L1038" s="932"/>
      <c r="M1038" s="966"/>
      <c r="N1038" s="957"/>
      <c r="O1038" s="957"/>
      <c r="P1038" s="932"/>
      <c r="Q1038" s="931"/>
      <c r="R1038" s="931"/>
      <c r="S1038" s="957"/>
      <c r="T1038" s="957"/>
      <c r="U1038" s="957"/>
    </row>
    <row r="1039" ht="13.5" customHeight="1">
      <c r="A1039" s="931"/>
      <c r="B1039" s="291"/>
      <c r="C1039" s="931"/>
      <c r="D1039" s="932"/>
      <c r="E1039" s="932"/>
      <c r="F1039" s="931"/>
      <c r="G1039" s="931"/>
      <c r="H1039" s="932"/>
      <c r="I1039" s="932"/>
      <c r="J1039" s="932"/>
      <c r="K1039" s="932"/>
      <c r="L1039" s="932"/>
      <c r="M1039" s="966"/>
      <c r="N1039" s="957"/>
      <c r="O1039" s="957"/>
      <c r="P1039" s="932"/>
      <c r="Q1039" s="931"/>
      <c r="R1039" s="931"/>
      <c r="S1039" s="957"/>
      <c r="T1039" s="957"/>
      <c r="U1039" s="957"/>
    </row>
    <row r="1040" ht="13.5" customHeight="1">
      <c r="A1040" s="931"/>
      <c r="B1040" s="291"/>
      <c r="C1040" s="931"/>
      <c r="D1040" s="932"/>
      <c r="E1040" s="932"/>
      <c r="F1040" s="931"/>
      <c r="G1040" s="931"/>
      <c r="H1040" s="932"/>
      <c r="I1040" s="932"/>
      <c r="J1040" s="932"/>
      <c r="K1040" s="932"/>
      <c r="L1040" s="932"/>
      <c r="M1040" s="966"/>
      <c r="N1040" s="957"/>
      <c r="O1040" s="957"/>
      <c r="P1040" s="932"/>
      <c r="Q1040" s="931"/>
      <c r="R1040" s="931"/>
      <c r="S1040" s="957"/>
      <c r="T1040" s="957"/>
      <c r="U1040" s="957"/>
    </row>
    <row r="1041" ht="13.5" customHeight="1">
      <c r="A1041" s="931"/>
      <c r="B1041" s="291"/>
      <c r="C1041" s="931"/>
      <c r="D1041" s="932"/>
      <c r="E1041" s="932"/>
      <c r="F1041" s="931"/>
      <c r="G1041" s="931"/>
      <c r="H1041" s="932"/>
      <c r="I1041" s="932"/>
      <c r="J1041" s="932"/>
      <c r="K1041" s="932"/>
      <c r="L1041" s="932"/>
      <c r="M1041" s="966"/>
      <c r="N1041" s="957"/>
      <c r="O1041" s="957"/>
      <c r="P1041" s="932"/>
      <c r="Q1041" s="931"/>
      <c r="R1041" s="931"/>
      <c r="S1041" s="957"/>
      <c r="T1041" s="957"/>
      <c r="U1041" s="957"/>
    </row>
    <row r="1042" ht="13.5" customHeight="1">
      <c r="A1042" s="931"/>
      <c r="B1042" s="291"/>
      <c r="C1042" s="931"/>
      <c r="D1042" s="932"/>
      <c r="E1042" s="932"/>
      <c r="F1042" s="931"/>
      <c r="G1042" s="931"/>
      <c r="H1042" s="932"/>
      <c r="I1042" s="932"/>
      <c r="J1042" s="932"/>
      <c r="K1042" s="932"/>
      <c r="L1042" s="932"/>
      <c r="M1042" s="966"/>
      <c r="N1042" s="957"/>
      <c r="O1042" s="957"/>
      <c r="P1042" s="932"/>
      <c r="Q1042" s="931"/>
      <c r="R1042" s="931"/>
      <c r="S1042" s="957"/>
      <c r="T1042" s="957"/>
      <c r="U1042" s="957"/>
    </row>
    <row r="1043" ht="13.5" customHeight="1">
      <c r="A1043" s="931"/>
      <c r="B1043" s="291"/>
      <c r="C1043" s="931"/>
      <c r="D1043" s="932"/>
      <c r="E1043" s="932"/>
      <c r="F1043" s="931"/>
      <c r="G1043" s="931"/>
      <c r="H1043" s="932"/>
      <c r="I1043" s="932"/>
      <c r="J1043" s="932"/>
      <c r="K1043" s="932"/>
      <c r="L1043" s="932"/>
      <c r="M1043" s="966"/>
      <c r="N1043" s="957"/>
      <c r="O1043" s="957"/>
      <c r="P1043" s="932"/>
      <c r="Q1043" s="931"/>
      <c r="R1043" s="931"/>
      <c r="S1043" s="957"/>
      <c r="T1043" s="957"/>
      <c r="U1043" s="957"/>
    </row>
    <row r="1044" ht="13.5" customHeight="1">
      <c r="A1044" s="931"/>
      <c r="B1044" s="291"/>
      <c r="C1044" s="931"/>
      <c r="D1044" s="932"/>
      <c r="E1044" s="932"/>
      <c r="F1044" s="931"/>
      <c r="G1044" s="931"/>
      <c r="H1044" s="932"/>
      <c r="I1044" s="932"/>
      <c r="J1044" s="932"/>
      <c r="K1044" s="932"/>
      <c r="L1044" s="932"/>
      <c r="M1044" s="966"/>
      <c r="N1044" s="957"/>
      <c r="O1044" s="957"/>
      <c r="P1044" s="932"/>
      <c r="Q1044" s="931"/>
      <c r="R1044" s="931"/>
      <c r="S1044" s="957"/>
      <c r="T1044" s="957"/>
      <c r="U1044" s="957"/>
    </row>
    <row r="1045" ht="13.5" customHeight="1">
      <c r="A1045" s="931"/>
      <c r="B1045" s="291"/>
      <c r="C1045" s="931"/>
      <c r="D1045" s="932"/>
      <c r="E1045" s="932"/>
      <c r="F1045" s="931"/>
      <c r="G1045" s="931"/>
      <c r="H1045" s="932"/>
      <c r="I1045" s="932"/>
      <c r="J1045" s="932"/>
      <c r="K1045" s="932"/>
      <c r="L1045" s="932"/>
      <c r="M1045" s="966"/>
      <c r="N1045" s="957"/>
      <c r="O1045" s="957"/>
      <c r="P1045" s="932"/>
      <c r="Q1045" s="931"/>
      <c r="R1045" s="931"/>
      <c r="S1045" s="957"/>
      <c r="T1045" s="957"/>
      <c r="U1045" s="957"/>
    </row>
    <row r="1046" ht="13.5" customHeight="1">
      <c r="A1046" s="931"/>
      <c r="B1046" s="291"/>
      <c r="C1046" s="931"/>
      <c r="D1046" s="932"/>
      <c r="E1046" s="932"/>
      <c r="F1046" s="931"/>
      <c r="G1046" s="931"/>
      <c r="H1046" s="932"/>
      <c r="I1046" s="932"/>
      <c r="J1046" s="932"/>
      <c r="K1046" s="932"/>
      <c r="L1046" s="932"/>
      <c r="M1046" s="966"/>
      <c r="N1046" s="957"/>
      <c r="O1046" s="957"/>
      <c r="P1046" s="932"/>
      <c r="Q1046" s="931"/>
      <c r="R1046" s="931"/>
      <c r="S1046" s="957"/>
      <c r="T1046" s="957"/>
      <c r="U1046" s="957"/>
    </row>
    <row r="1047" ht="13.5" customHeight="1">
      <c r="A1047" s="931"/>
      <c r="B1047" s="291"/>
      <c r="C1047" s="931"/>
      <c r="D1047" s="932"/>
      <c r="E1047" s="932"/>
      <c r="F1047" s="931"/>
      <c r="G1047" s="931"/>
      <c r="H1047" s="932"/>
      <c r="I1047" s="932"/>
      <c r="J1047" s="932"/>
      <c r="K1047" s="932"/>
      <c r="L1047" s="932"/>
      <c r="M1047" s="966"/>
      <c r="N1047" s="957"/>
      <c r="O1047" s="957"/>
      <c r="P1047" s="932"/>
      <c r="Q1047" s="931"/>
      <c r="R1047" s="931"/>
      <c r="S1047" s="957"/>
      <c r="T1047" s="957"/>
      <c r="U1047" s="957"/>
    </row>
    <row r="1048" ht="13.5" customHeight="1">
      <c r="A1048" s="931"/>
      <c r="B1048" s="291"/>
      <c r="C1048" s="931"/>
      <c r="D1048" s="932"/>
      <c r="E1048" s="932"/>
      <c r="F1048" s="931"/>
      <c r="G1048" s="931"/>
      <c r="H1048" s="932"/>
      <c r="I1048" s="932"/>
      <c r="J1048" s="932"/>
      <c r="K1048" s="932"/>
      <c r="L1048" s="932"/>
      <c r="M1048" s="966"/>
      <c r="N1048" s="957"/>
      <c r="O1048" s="957"/>
      <c r="P1048" s="932"/>
      <c r="Q1048" s="931"/>
      <c r="R1048" s="931"/>
      <c r="S1048" s="957"/>
      <c r="T1048" s="957"/>
      <c r="U1048" s="957"/>
    </row>
    <row r="1049" ht="13.5" customHeight="1">
      <c r="A1049" s="931"/>
      <c r="B1049" s="291"/>
      <c r="C1049" s="931"/>
      <c r="D1049" s="932"/>
      <c r="E1049" s="932"/>
      <c r="F1049" s="931"/>
      <c r="G1049" s="931"/>
      <c r="H1049" s="932"/>
      <c r="I1049" s="932"/>
      <c r="J1049" s="932"/>
      <c r="K1049" s="932"/>
      <c r="L1049" s="932"/>
      <c r="M1049" s="966"/>
      <c r="N1049" s="957"/>
      <c r="O1049" s="957"/>
      <c r="P1049" s="932"/>
      <c r="Q1049" s="931"/>
      <c r="R1049" s="931"/>
      <c r="S1049" s="957"/>
      <c r="T1049" s="957"/>
      <c r="U1049" s="957"/>
    </row>
    <row r="1050" ht="13.5" customHeight="1">
      <c r="A1050" s="931"/>
      <c r="B1050" s="291"/>
      <c r="C1050" s="931"/>
      <c r="D1050" s="932"/>
      <c r="E1050" s="932"/>
      <c r="F1050" s="931"/>
      <c r="G1050" s="931"/>
      <c r="H1050" s="932"/>
      <c r="I1050" s="932"/>
      <c r="J1050" s="932"/>
      <c r="K1050" s="932"/>
      <c r="L1050" s="932"/>
      <c r="M1050" s="966"/>
      <c r="N1050" s="957"/>
      <c r="O1050" s="957"/>
      <c r="P1050" s="932"/>
      <c r="Q1050" s="931"/>
      <c r="R1050" s="931"/>
      <c r="S1050" s="957"/>
      <c r="T1050" s="957"/>
      <c r="U1050" s="957"/>
    </row>
    <row r="1051" ht="13.5" customHeight="1">
      <c r="A1051" s="931"/>
      <c r="B1051" s="291"/>
      <c r="C1051" s="931"/>
      <c r="D1051" s="932"/>
      <c r="E1051" s="932"/>
      <c r="F1051" s="931"/>
      <c r="G1051" s="931"/>
      <c r="H1051" s="932"/>
      <c r="I1051" s="932"/>
      <c r="J1051" s="932"/>
      <c r="K1051" s="932"/>
      <c r="L1051" s="932"/>
      <c r="M1051" s="966"/>
      <c r="N1051" s="957"/>
      <c r="O1051" s="957"/>
      <c r="P1051" s="932"/>
      <c r="Q1051" s="931"/>
      <c r="R1051" s="931"/>
      <c r="S1051" s="957"/>
      <c r="T1051" s="957"/>
      <c r="U1051" s="957"/>
    </row>
    <row r="1052" ht="13.5" customHeight="1">
      <c r="A1052" s="931"/>
      <c r="B1052" s="291"/>
      <c r="C1052" s="931"/>
      <c r="D1052" s="932"/>
      <c r="E1052" s="932"/>
      <c r="F1052" s="931"/>
      <c r="G1052" s="931"/>
      <c r="H1052" s="932"/>
      <c r="I1052" s="932"/>
      <c r="J1052" s="932"/>
      <c r="K1052" s="932"/>
      <c r="L1052" s="932"/>
      <c r="M1052" s="966"/>
      <c r="N1052" s="957"/>
      <c r="O1052" s="957"/>
      <c r="P1052" s="932"/>
      <c r="Q1052" s="931"/>
      <c r="R1052" s="931"/>
      <c r="S1052" s="957"/>
      <c r="T1052" s="957"/>
      <c r="U1052" s="957"/>
    </row>
    <row r="1053" ht="13.5" customHeight="1">
      <c r="A1053" s="931"/>
      <c r="B1053" s="291"/>
      <c r="C1053" s="931"/>
      <c r="D1053" s="932"/>
      <c r="E1053" s="932"/>
      <c r="F1053" s="931"/>
      <c r="G1053" s="931"/>
      <c r="H1053" s="932"/>
      <c r="I1053" s="932"/>
      <c r="J1053" s="932"/>
      <c r="K1053" s="932"/>
      <c r="L1053" s="932"/>
      <c r="M1053" s="966"/>
      <c r="N1053" s="957"/>
      <c r="O1053" s="957"/>
      <c r="P1053" s="932"/>
      <c r="Q1053" s="931"/>
      <c r="R1053" s="931"/>
      <c r="S1053" s="957"/>
      <c r="T1053" s="957"/>
      <c r="U1053" s="957"/>
    </row>
    <row r="1054" ht="13.5" customHeight="1">
      <c r="A1054" s="931"/>
      <c r="B1054" s="291"/>
      <c r="C1054" s="931"/>
      <c r="D1054" s="932"/>
      <c r="E1054" s="932"/>
      <c r="F1054" s="931"/>
      <c r="G1054" s="931"/>
      <c r="H1054" s="932"/>
      <c r="I1054" s="932"/>
      <c r="J1054" s="932"/>
      <c r="K1054" s="932"/>
      <c r="L1054" s="932"/>
      <c r="M1054" s="966"/>
      <c r="N1054" s="957"/>
      <c r="O1054" s="957"/>
      <c r="P1054" s="932"/>
      <c r="Q1054" s="931"/>
      <c r="R1054" s="931"/>
      <c r="S1054" s="957"/>
      <c r="T1054" s="957"/>
      <c r="U1054" s="957"/>
    </row>
    <row r="1055" ht="13.5" customHeight="1">
      <c r="A1055" s="931"/>
      <c r="B1055" s="291"/>
      <c r="C1055" s="931"/>
      <c r="D1055" s="932"/>
      <c r="E1055" s="932"/>
      <c r="F1055" s="931"/>
      <c r="G1055" s="931"/>
      <c r="H1055" s="932"/>
      <c r="I1055" s="932"/>
      <c r="J1055" s="932"/>
      <c r="K1055" s="932"/>
      <c r="L1055" s="932"/>
      <c r="M1055" s="966"/>
      <c r="N1055" s="957"/>
      <c r="O1055" s="957"/>
      <c r="P1055" s="932"/>
      <c r="Q1055" s="931"/>
      <c r="R1055" s="931"/>
      <c r="S1055" s="957"/>
      <c r="T1055" s="957"/>
      <c r="U1055" s="957"/>
    </row>
    <row r="1056" ht="13.5" customHeight="1">
      <c r="A1056" s="931"/>
      <c r="B1056" s="291"/>
      <c r="C1056" s="931"/>
      <c r="D1056" s="932"/>
      <c r="E1056" s="932"/>
      <c r="F1056" s="931"/>
      <c r="G1056" s="931"/>
      <c r="H1056" s="932"/>
      <c r="I1056" s="932"/>
      <c r="J1056" s="932"/>
      <c r="K1056" s="932"/>
      <c r="L1056" s="932"/>
      <c r="M1056" s="966"/>
      <c r="N1056" s="957"/>
      <c r="O1056" s="957"/>
      <c r="P1056" s="932"/>
      <c r="Q1056" s="931"/>
      <c r="R1056" s="931"/>
      <c r="S1056" s="957"/>
      <c r="T1056" s="957"/>
      <c r="U1056" s="957"/>
    </row>
    <row r="1057" ht="13.5" customHeight="1">
      <c r="A1057" s="931"/>
      <c r="B1057" s="291"/>
      <c r="C1057" s="931"/>
      <c r="D1057" s="932"/>
      <c r="E1057" s="932"/>
      <c r="F1057" s="931"/>
      <c r="G1057" s="931"/>
      <c r="H1057" s="932"/>
      <c r="I1057" s="932"/>
      <c r="J1057" s="932"/>
      <c r="K1057" s="932"/>
      <c r="L1057" s="932"/>
      <c r="M1057" s="966"/>
      <c r="N1057" s="957"/>
      <c r="O1057" s="957"/>
      <c r="P1057" s="932"/>
      <c r="Q1057" s="931"/>
      <c r="R1057" s="931"/>
      <c r="S1057" s="957"/>
      <c r="T1057" s="957"/>
      <c r="U1057" s="957"/>
    </row>
    <row r="1058" ht="13.5" customHeight="1">
      <c r="A1058" s="931"/>
      <c r="B1058" s="291"/>
      <c r="C1058" s="931"/>
      <c r="D1058" s="932"/>
      <c r="E1058" s="932"/>
      <c r="F1058" s="931"/>
      <c r="G1058" s="931"/>
      <c r="H1058" s="932"/>
      <c r="I1058" s="932"/>
      <c r="J1058" s="932"/>
      <c r="K1058" s="932"/>
      <c r="L1058" s="932"/>
      <c r="M1058" s="966"/>
      <c r="N1058" s="957"/>
      <c r="O1058" s="957"/>
      <c r="P1058" s="932"/>
      <c r="Q1058" s="931"/>
      <c r="R1058" s="931"/>
      <c r="S1058" s="957"/>
      <c r="T1058" s="957"/>
      <c r="U1058" s="957"/>
    </row>
    <row r="1059" ht="13.5" customHeight="1">
      <c r="A1059" s="931"/>
      <c r="B1059" s="291"/>
      <c r="C1059" s="931"/>
      <c r="D1059" s="932"/>
      <c r="E1059" s="932"/>
      <c r="F1059" s="931"/>
      <c r="G1059" s="931"/>
      <c r="H1059" s="932"/>
      <c r="I1059" s="932"/>
      <c r="J1059" s="932"/>
      <c r="K1059" s="932"/>
      <c r="L1059" s="932"/>
      <c r="M1059" s="966"/>
      <c r="N1059" s="957"/>
      <c r="O1059" s="957"/>
      <c r="P1059" s="932"/>
      <c r="Q1059" s="931"/>
      <c r="R1059" s="931"/>
      <c r="S1059" s="957"/>
      <c r="T1059" s="957"/>
      <c r="U1059" s="957"/>
    </row>
    <row r="1060" ht="13.5" customHeight="1">
      <c r="A1060" s="931"/>
      <c r="B1060" s="291"/>
      <c r="C1060" s="931"/>
      <c r="D1060" s="932"/>
      <c r="E1060" s="932"/>
      <c r="F1060" s="931"/>
      <c r="G1060" s="931"/>
      <c r="H1060" s="932"/>
      <c r="I1060" s="932"/>
      <c r="J1060" s="932"/>
      <c r="K1060" s="932"/>
      <c r="L1060" s="932"/>
      <c r="M1060" s="966"/>
      <c r="N1060" s="957"/>
      <c r="O1060" s="957"/>
      <c r="P1060" s="932"/>
      <c r="Q1060" s="931"/>
      <c r="R1060" s="931"/>
      <c r="S1060" s="957"/>
      <c r="T1060" s="957"/>
      <c r="U1060" s="957"/>
    </row>
    <row r="1061" ht="13.5" customHeight="1">
      <c r="A1061" s="931"/>
      <c r="B1061" s="291"/>
      <c r="C1061" s="931"/>
      <c r="D1061" s="932"/>
      <c r="E1061" s="932"/>
      <c r="F1061" s="931"/>
      <c r="G1061" s="931"/>
      <c r="H1061" s="932"/>
      <c r="I1061" s="932"/>
      <c r="J1061" s="932"/>
      <c r="K1061" s="932"/>
      <c r="L1061" s="932"/>
      <c r="M1061" s="966"/>
      <c r="N1061" s="957"/>
      <c r="O1061" s="957"/>
      <c r="P1061" s="932"/>
      <c r="Q1061" s="931"/>
      <c r="R1061" s="931"/>
      <c r="S1061" s="957"/>
      <c r="T1061" s="957"/>
      <c r="U1061" s="957"/>
    </row>
    <row r="1062" ht="13.5" customHeight="1">
      <c r="A1062" s="931"/>
      <c r="B1062" s="291"/>
      <c r="C1062" s="931"/>
      <c r="D1062" s="932"/>
      <c r="E1062" s="932"/>
      <c r="F1062" s="931"/>
      <c r="G1062" s="931"/>
      <c r="H1062" s="932"/>
      <c r="I1062" s="932"/>
      <c r="J1062" s="932"/>
      <c r="K1062" s="932"/>
      <c r="L1062" s="932"/>
      <c r="M1062" s="966"/>
      <c r="N1062" s="957"/>
      <c r="O1062" s="957"/>
      <c r="P1062" s="932"/>
      <c r="Q1062" s="931"/>
      <c r="R1062" s="931"/>
      <c r="S1062" s="957"/>
      <c r="T1062" s="957"/>
      <c r="U1062" s="957"/>
    </row>
    <row r="1063" ht="13.5" customHeight="1">
      <c r="A1063" s="931"/>
      <c r="B1063" s="291"/>
      <c r="C1063" s="931"/>
      <c r="D1063" s="932"/>
      <c r="E1063" s="932"/>
      <c r="F1063" s="931"/>
      <c r="G1063" s="931"/>
      <c r="H1063" s="932"/>
      <c r="I1063" s="932"/>
      <c r="J1063" s="932"/>
      <c r="K1063" s="932"/>
      <c r="L1063" s="932"/>
      <c r="M1063" s="966"/>
      <c r="N1063" s="957"/>
      <c r="O1063" s="957"/>
      <c r="P1063" s="932"/>
      <c r="Q1063" s="931"/>
      <c r="R1063" s="931"/>
      <c r="S1063" s="957"/>
      <c r="T1063" s="957"/>
      <c r="U1063" s="957"/>
    </row>
    <row r="1064" ht="13.5" customHeight="1">
      <c r="A1064" s="931"/>
      <c r="B1064" s="291"/>
      <c r="C1064" s="931"/>
      <c r="D1064" s="932"/>
      <c r="E1064" s="932"/>
      <c r="F1064" s="931"/>
      <c r="G1064" s="931"/>
      <c r="H1064" s="932"/>
      <c r="I1064" s="932"/>
      <c r="J1064" s="932"/>
      <c r="K1064" s="932"/>
      <c r="L1064" s="932"/>
      <c r="M1064" s="966"/>
      <c r="N1064" s="957"/>
      <c r="O1064" s="957"/>
      <c r="P1064" s="932"/>
      <c r="Q1064" s="931"/>
      <c r="R1064" s="931"/>
      <c r="S1064" s="957"/>
      <c r="T1064" s="957"/>
      <c r="U1064" s="957"/>
    </row>
    <row r="1065" ht="13.5" customHeight="1">
      <c r="A1065" s="931"/>
      <c r="B1065" s="291"/>
      <c r="C1065" s="931"/>
      <c r="D1065" s="932"/>
      <c r="E1065" s="932"/>
      <c r="F1065" s="931"/>
      <c r="G1065" s="931"/>
      <c r="H1065" s="932"/>
      <c r="I1065" s="932"/>
      <c r="J1065" s="932"/>
      <c r="K1065" s="932"/>
      <c r="L1065" s="932"/>
      <c r="M1065" s="966"/>
      <c r="N1065" s="957"/>
      <c r="O1065" s="957"/>
      <c r="P1065" s="932"/>
      <c r="Q1065" s="931"/>
      <c r="R1065" s="931"/>
      <c r="S1065" s="957"/>
      <c r="T1065" s="957"/>
      <c r="U1065" s="957"/>
    </row>
    <row r="1066" ht="13.5" customHeight="1">
      <c r="A1066" s="931"/>
      <c r="B1066" s="291"/>
      <c r="C1066" s="931"/>
      <c r="D1066" s="932"/>
      <c r="E1066" s="932"/>
      <c r="F1066" s="931"/>
      <c r="G1066" s="931"/>
      <c r="H1066" s="932"/>
      <c r="I1066" s="932"/>
      <c r="J1066" s="932"/>
      <c r="K1066" s="932"/>
      <c r="L1066" s="932"/>
      <c r="M1066" s="966"/>
      <c r="N1066" s="957"/>
      <c r="O1066" s="957"/>
      <c r="P1066" s="932"/>
      <c r="Q1066" s="931"/>
      <c r="R1066" s="931"/>
      <c r="S1066" s="957"/>
      <c r="T1066" s="957"/>
      <c r="U1066" s="957"/>
    </row>
    <row r="1067" ht="13.5" customHeight="1">
      <c r="A1067" s="931"/>
      <c r="B1067" s="291"/>
      <c r="C1067" s="931"/>
      <c r="D1067" s="932"/>
      <c r="E1067" s="932"/>
      <c r="F1067" s="931"/>
      <c r="G1067" s="931"/>
      <c r="H1067" s="932"/>
      <c r="I1067" s="932"/>
      <c r="J1067" s="932"/>
      <c r="K1067" s="932"/>
      <c r="L1067" s="932"/>
      <c r="M1067" s="966"/>
      <c r="N1067" s="957"/>
      <c r="O1067" s="957"/>
      <c r="P1067" s="932"/>
      <c r="Q1067" s="931"/>
      <c r="R1067" s="931"/>
      <c r="S1067" s="957"/>
      <c r="T1067" s="957"/>
      <c r="U1067" s="957"/>
    </row>
    <row r="1068" ht="13.5" customHeight="1">
      <c r="A1068" s="931"/>
      <c r="B1068" s="291"/>
      <c r="C1068" s="931"/>
      <c r="D1068" s="932"/>
      <c r="E1068" s="932"/>
      <c r="F1068" s="931"/>
      <c r="G1068" s="931"/>
      <c r="H1068" s="932"/>
      <c r="I1068" s="932"/>
      <c r="J1068" s="932"/>
      <c r="K1068" s="932"/>
      <c r="L1068" s="932"/>
      <c r="M1068" s="966"/>
      <c r="N1068" s="957"/>
      <c r="O1068" s="957"/>
      <c r="P1068" s="932"/>
      <c r="Q1068" s="931"/>
      <c r="R1068" s="931"/>
      <c r="S1068" s="957"/>
      <c r="T1068" s="957"/>
      <c r="U1068" s="957"/>
    </row>
    <row r="1069" ht="13.5" customHeight="1">
      <c r="A1069" s="931"/>
      <c r="B1069" s="291"/>
      <c r="C1069" s="931"/>
      <c r="D1069" s="932"/>
      <c r="E1069" s="932"/>
      <c r="F1069" s="931"/>
      <c r="G1069" s="931"/>
      <c r="H1069" s="932"/>
      <c r="I1069" s="932"/>
      <c r="J1069" s="932"/>
      <c r="K1069" s="932"/>
      <c r="L1069" s="932"/>
      <c r="M1069" s="966"/>
      <c r="N1069" s="957"/>
      <c r="O1069" s="957"/>
      <c r="P1069" s="932"/>
      <c r="Q1069" s="931"/>
      <c r="R1069" s="931"/>
      <c r="S1069" s="957"/>
      <c r="T1069" s="957"/>
      <c r="U1069" s="957"/>
    </row>
    <row r="1070" ht="13.5" customHeight="1">
      <c r="A1070" s="931"/>
      <c r="B1070" s="291"/>
      <c r="C1070" s="931"/>
      <c r="D1070" s="932"/>
      <c r="E1070" s="932"/>
      <c r="F1070" s="931"/>
      <c r="G1070" s="931"/>
      <c r="H1070" s="932"/>
      <c r="I1070" s="932"/>
      <c r="J1070" s="932"/>
      <c r="K1070" s="932"/>
      <c r="L1070" s="932"/>
      <c r="M1070" s="966"/>
      <c r="N1070" s="957"/>
      <c r="O1070" s="957"/>
      <c r="P1070" s="932"/>
      <c r="Q1070" s="931"/>
      <c r="R1070" s="931"/>
      <c r="S1070" s="957"/>
      <c r="T1070" s="957"/>
      <c r="U1070" s="957"/>
    </row>
    <row r="1071" ht="13.5" customHeight="1">
      <c r="A1071" s="931"/>
      <c r="B1071" s="291"/>
      <c r="C1071" s="931"/>
      <c r="D1071" s="932"/>
      <c r="E1071" s="932"/>
      <c r="F1071" s="931"/>
      <c r="G1071" s="931"/>
      <c r="H1071" s="932"/>
      <c r="I1071" s="932"/>
      <c r="J1071" s="932"/>
      <c r="K1071" s="932"/>
      <c r="L1071" s="932"/>
      <c r="M1071" s="966"/>
      <c r="N1071" s="957"/>
      <c r="O1071" s="957"/>
      <c r="P1071" s="932"/>
      <c r="Q1071" s="931"/>
      <c r="R1071" s="931"/>
      <c r="S1071" s="957"/>
      <c r="T1071" s="957"/>
      <c r="U1071" s="957"/>
    </row>
    <row r="1072" ht="13.5" customHeight="1">
      <c r="A1072" s="931"/>
      <c r="B1072" s="291"/>
      <c r="C1072" s="931"/>
      <c r="D1072" s="932"/>
      <c r="E1072" s="932"/>
      <c r="F1072" s="931"/>
      <c r="G1072" s="931"/>
      <c r="H1072" s="932"/>
      <c r="I1072" s="932"/>
      <c r="J1072" s="932"/>
      <c r="K1072" s="932"/>
      <c r="L1072" s="932"/>
      <c r="M1072" s="966"/>
      <c r="N1072" s="957"/>
      <c r="O1072" s="957"/>
      <c r="P1072" s="932"/>
      <c r="Q1072" s="931"/>
      <c r="R1072" s="931"/>
      <c r="S1072" s="957"/>
      <c r="T1072" s="957"/>
      <c r="U1072" s="957"/>
    </row>
    <row r="1073" ht="13.5" customHeight="1">
      <c r="A1073" s="931"/>
      <c r="B1073" s="291"/>
      <c r="C1073" s="931"/>
      <c r="D1073" s="932"/>
      <c r="E1073" s="932"/>
      <c r="F1073" s="931"/>
      <c r="G1073" s="931"/>
      <c r="H1073" s="932"/>
      <c r="I1073" s="932"/>
      <c r="J1073" s="932"/>
      <c r="K1073" s="932"/>
      <c r="L1073" s="932"/>
      <c r="M1073" s="966"/>
      <c r="N1073" s="957"/>
      <c r="O1073" s="957"/>
      <c r="P1073" s="932"/>
      <c r="Q1073" s="931"/>
      <c r="R1073" s="931"/>
      <c r="S1073" s="957"/>
      <c r="T1073" s="957"/>
      <c r="U1073" s="957"/>
    </row>
    <row r="1074" ht="13.5" customHeight="1">
      <c r="A1074" s="931"/>
      <c r="B1074" s="291"/>
      <c r="C1074" s="931"/>
      <c r="D1074" s="932"/>
      <c r="E1074" s="932"/>
      <c r="F1074" s="931"/>
      <c r="G1074" s="931"/>
      <c r="H1074" s="932"/>
      <c r="I1074" s="932"/>
      <c r="J1074" s="932"/>
      <c r="K1074" s="932"/>
      <c r="L1074" s="932"/>
      <c r="M1074" s="966"/>
      <c r="N1074" s="957"/>
      <c r="O1074" s="957"/>
      <c r="P1074" s="932"/>
      <c r="Q1074" s="931"/>
      <c r="R1074" s="931"/>
      <c r="S1074" s="957"/>
      <c r="T1074" s="957"/>
      <c r="U1074" s="957"/>
    </row>
    <row r="1075" ht="13.5" customHeight="1">
      <c r="A1075" s="931"/>
      <c r="B1075" s="291"/>
      <c r="C1075" s="931"/>
      <c r="D1075" s="932"/>
      <c r="E1075" s="932"/>
      <c r="F1075" s="931"/>
      <c r="G1075" s="931"/>
      <c r="H1075" s="932"/>
      <c r="I1075" s="932"/>
      <c r="J1075" s="932"/>
      <c r="K1075" s="932"/>
      <c r="L1075" s="932"/>
      <c r="M1075" s="966"/>
      <c r="N1075" s="957"/>
      <c r="O1075" s="957"/>
      <c r="P1075" s="932"/>
      <c r="Q1075" s="931"/>
      <c r="R1075" s="931"/>
      <c r="S1075" s="957"/>
      <c r="T1075" s="957"/>
      <c r="U1075" s="957"/>
    </row>
    <row r="1076" ht="13.5" customHeight="1">
      <c r="A1076" s="931"/>
      <c r="B1076" s="291"/>
      <c r="C1076" s="931"/>
      <c r="D1076" s="932"/>
      <c r="E1076" s="932"/>
      <c r="F1076" s="931"/>
      <c r="G1076" s="931"/>
      <c r="H1076" s="932"/>
      <c r="I1076" s="932"/>
      <c r="J1076" s="932"/>
      <c r="K1076" s="932"/>
      <c r="L1076" s="932"/>
      <c r="M1076" s="966"/>
      <c r="N1076" s="957"/>
      <c r="O1076" s="957"/>
      <c r="P1076" s="932"/>
      <c r="Q1076" s="931"/>
      <c r="R1076" s="931"/>
      <c r="S1076" s="957"/>
      <c r="T1076" s="957"/>
      <c r="U1076" s="957"/>
    </row>
    <row r="1077" ht="13.5" customHeight="1">
      <c r="A1077" s="931"/>
      <c r="B1077" s="291"/>
      <c r="C1077" s="931"/>
      <c r="D1077" s="932"/>
      <c r="E1077" s="932"/>
      <c r="F1077" s="931"/>
      <c r="G1077" s="931"/>
      <c r="H1077" s="932"/>
      <c r="I1077" s="932"/>
      <c r="J1077" s="932"/>
      <c r="K1077" s="932"/>
      <c r="L1077" s="932"/>
      <c r="M1077" s="966"/>
      <c r="N1077" s="957"/>
      <c r="O1077" s="957"/>
      <c r="P1077" s="932"/>
      <c r="Q1077" s="931"/>
      <c r="R1077" s="931"/>
      <c r="S1077" s="957"/>
      <c r="T1077" s="957"/>
      <c r="U1077" s="957"/>
    </row>
    <row r="1078" ht="13.5" customHeight="1">
      <c r="A1078" s="931"/>
      <c r="B1078" s="291"/>
      <c r="C1078" s="931"/>
      <c r="D1078" s="932"/>
      <c r="E1078" s="932"/>
      <c r="F1078" s="931"/>
      <c r="G1078" s="931"/>
      <c r="H1078" s="932"/>
      <c r="I1078" s="932"/>
      <c r="J1078" s="932"/>
      <c r="K1078" s="932"/>
      <c r="L1078" s="932"/>
      <c r="M1078" s="966"/>
      <c r="N1078" s="957"/>
      <c r="O1078" s="957"/>
      <c r="P1078" s="932"/>
      <c r="Q1078" s="931"/>
      <c r="R1078" s="931"/>
      <c r="S1078" s="957"/>
      <c r="T1078" s="957"/>
      <c r="U1078" s="957"/>
    </row>
    <row r="1079" ht="13.5" customHeight="1">
      <c r="A1079" s="931"/>
      <c r="B1079" s="291"/>
      <c r="C1079" s="931"/>
      <c r="D1079" s="932"/>
      <c r="E1079" s="932"/>
      <c r="F1079" s="931"/>
      <c r="G1079" s="931"/>
      <c r="H1079" s="932"/>
      <c r="I1079" s="932"/>
      <c r="J1079" s="932"/>
      <c r="K1079" s="932"/>
      <c r="L1079" s="932"/>
      <c r="M1079" s="966"/>
      <c r="N1079" s="957"/>
      <c r="O1079" s="957"/>
      <c r="P1079" s="932"/>
      <c r="Q1079" s="931"/>
      <c r="R1079" s="931"/>
      <c r="S1079" s="957"/>
      <c r="T1079" s="957"/>
      <c r="U1079" s="957"/>
    </row>
    <row r="1080" ht="13.5" customHeight="1">
      <c r="A1080" s="931"/>
      <c r="B1080" s="291"/>
      <c r="C1080" s="931"/>
      <c r="D1080" s="932"/>
      <c r="E1080" s="932"/>
      <c r="F1080" s="931"/>
      <c r="G1080" s="931"/>
      <c r="H1080" s="932"/>
      <c r="I1080" s="932"/>
      <c r="J1080" s="932"/>
      <c r="K1080" s="932"/>
      <c r="L1080" s="932"/>
      <c r="M1080" s="966"/>
      <c r="N1080" s="957"/>
      <c r="O1080" s="957"/>
      <c r="P1080" s="932"/>
      <c r="Q1080" s="931"/>
      <c r="R1080" s="931"/>
      <c r="S1080" s="957"/>
      <c r="T1080" s="957"/>
      <c r="U1080" s="957"/>
    </row>
    <row r="1081" ht="13.5" customHeight="1">
      <c r="A1081" s="931"/>
      <c r="B1081" s="291"/>
      <c r="C1081" s="931"/>
      <c r="D1081" s="932"/>
      <c r="E1081" s="932"/>
      <c r="F1081" s="931"/>
      <c r="G1081" s="931"/>
      <c r="H1081" s="932"/>
      <c r="I1081" s="932"/>
      <c r="J1081" s="932"/>
      <c r="K1081" s="932"/>
      <c r="L1081" s="932"/>
      <c r="M1081" s="966"/>
      <c r="N1081" s="957"/>
      <c r="O1081" s="957"/>
      <c r="P1081" s="932"/>
      <c r="Q1081" s="931"/>
      <c r="R1081" s="931"/>
      <c r="S1081" s="957"/>
      <c r="T1081" s="957"/>
      <c r="U1081" s="957"/>
    </row>
    <row r="1082" ht="13.5" customHeight="1">
      <c r="A1082" s="931"/>
      <c r="B1082" s="291"/>
      <c r="C1082" s="931"/>
      <c r="D1082" s="932"/>
      <c r="E1082" s="932"/>
      <c r="F1082" s="931"/>
      <c r="G1082" s="931"/>
      <c r="H1082" s="932"/>
      <c r="I1082" s="932"/>
      <c r="J1082" s="932"/>
      <c r="K1082" s="932"/>
      <c r="L1082" s="932"/>
      <c r="M1082" s="966"/>
      <c r="N1082" s="957"/>
      <c r="O1082" s="957"/>
      <c r="P1082" s="932"/>
      <c r="Q1082" s="931"/>
      <c r="R1082" s="931"/>
      <c r="S1082" s="957"/>
      <c r="T1082" s="957"/>
      <c r="U1082" s="957"/>
    </row>
    <row r="1083" ht="13.5" customHeight="1">
      <c r="A1083" s="931"/>
      <c r="B1083" s="291"/>
      <c r="C1083" s="931"/>
      <c r="D1083" s="932"/>
      <c r="E1083" s="932"/>
      <c r="F1083" s="931"/>
      <c r="G1083" s="931"/>
      <c r="H1083" s="932"/>
      <c r="I1083" s="932"/>
      <c r="J1083" s="932"/>
      <c r="K1083" s="932"/>
      <c r="L1083" s="932"/>
      <c r="M1083" s="966"/>
      <c r="N1083" s="957"/>
      <c r="O1083" s="957"/>
      <c r="P1083" s="932"/>
      <c r="Q1083" s="931"/>
      <c r="R1083" s="931"/>
      <c r="S1083" s="957"/>
      <c r="T1083" s="957"/>
      <c r="U1083" s="957"/>
    </row>
    <row r="1084" ht="13.5" customHeight="1">
      <c r="A1084" s="931"/>
      <c r="B1084" s="291"/>
      <c r="C1084" s="931"/>
      <c r="D1084" s="932"/>
      <c r="E1084" s="932"/>
      <c r="F1084" s="931"/>
      <c r="G1084" s="931"/>
      <c r="H1084" s="932"/>
      <c r="I1084" s="932"/>
      <c r="J1084" s="932"/>
      <c r="K1084" s="932"/>
      <c r="L1084" s="932"/>
      <c r="M1084" s="966"/>
      <c r="N1084" s="957"/>
      <c r="O1084" s="957"/>
      <c r="P1084" s="932"/>
      <c r="Q1084" s="931"/>
      <c r="R1084" s="931"/>
      <c r="S1084" s="957"/>
      <c r="T1084" s="957"/>
      <c r="U1084" s="957"/>
    </row>
    <row r="1085" ht="13.5" customHeight="1">
      <c r="A1085" s="931"/>
      <c r="B1085" s="291"/>
      <c r="C1085" s="931"/>
      <c r="D1085" s="932"/>
      <c r="E1085" s="932"/>
      <c r="F1085" s="931"/>
      <c r="G1085" s="931"/>
      <c r="H1085" s="932"/>
      <c r="I1085" s="932"/>
      <c r="J1085" s="932"/>
      <c r="K1085" s="932"/>
      <c r="L1085" s="932"/>
      <c r="M1085" s="966"/>
      <c r="N1085" s="957"/>
      <c r="O1085" s="957"/>
      <c r="P1085" s="932"/>
      <c r="Q1085" s="931"/>
      <c r="R1085" s="931"/>
      <c r="S1085" s="957"/>
      <c r="T1085" s="957"/>
      <c r="U1085" s="957"/>
    </row>
    <row r="1086" ht="13.5" customHeight="1">
      <c r="A1086" s="931"/>
      <c r="B1086" s="291"/>
      <c r="C1086" s="931"/>
      <c r="D1086" s="932"/>
      <c r="E1086" s="932"/>
      <c r="F1086" s="931"/>
      <c r="G1086" s="931"/>
      <c r="H1086" s="932"/>
      <c r="I1086" s="932"/>
      <c r="J1086" s="932"/>
      <c r="K1086" s="932"/>
      <c r="L1086" s="932"/>
      <c r="M1086" s="966"/>
      <c r="N1086" s="957"/>
      <c r="O1086" s="957"/>
      <c r="P1086" s="932"/>
      <c r="Q1086" s="931"/>
      <c r="R1086" s="931"/>
      <c r="S1086" s="957"/>
      <c r="T1086" s="957"/>
      <c r="U1086" s="957"/>
    </row>
    <row r="1087" ht="13.5" customHeight="1">
      <c r="A1087" s="931"/>
      <c r="B1087" s="291"/>
      <c r="C1087" s="931"/>
      <c r="D1087" s="932"/>
      <c r="E1087" s="932"/>
      <c r="F1087" s="931"/>
      <c r="G1087" s="931"/>
      <c r="H1087" s="932"/>
      <c r="I1087" s="932"/>
      <c r="J1087" s="932"/>
      <c r="K1087" s="932"/>
      <c r="L1087" s="932"/>
      <c r="M1087" s="966"/>
      <c r="N1087" s="957"/>
      <c r="O1087" s="957"/>
      <c r="P1087" s="932"/>
      <c r="Q1087" s="931"/>
      <c r="R1087" s="931"/>
      <c r="S1087" s="957"/>
      <c r="T1087" s="957"/>
      <c r="U1087" s="957"/>
    </row>
    <row r="1088" ht="13.5" customHeight="1">
      <c r="A1088" s="931"/>
      <c r="B1088" s="291"/>
      <c r="C1088" s="931"/>
      <c r="D1088" s="932"/>
      <c r="E1088" s="932"/>
      <c r="F1088" s="931"/>
      <c r="G1088" s="931"/>
      <c r="H1088" s="932"/>
      <c r="I1088" s="932"/>
      <c r="J1088" s="932"/>
      <c r="K1088" s="932"/>
      <c r="L1088" s="932"/>
      <c r="M1088" s="966"/>
      <c r="N1088" s="957"/>
      <c r="O1088" s="957"/>
      <c r="P1088" s="932"/>
      <c r="Q1088" s="931"/>
      <c r="R1088" s="931"/>
      <c r="S1088" s="957"/>
      <c r="T1088" s="957"/>
      <c r="U1088" s="957"/>
    </row>
    <row r="1089" ht="13.5" customHeight="1">
      <c r="A1089" s="931"/>
      <c r="B1089" s="291"/>
      <c r="C1089" s="931"/>
      <c r="D1089" s="932"/>
      <c r="E1089" s="932"/>
      <c r="F1089" s="931"/>
      <c r="G1089" s="931"/>
      <c r="H1089" s="932"/>
      <c r="I1089" s="932"/>
      <c r="J1089" s="932"/>
      <c r="K1089" s="932"/>
      <c r="L1089" s="932"/>
      <c r="M1089" s="966"/>
      <c r="N1089" s="957"/>
      <c r="O1089" s="957"/>
      <c r="P1089" s="932"/>
      <c r="Q1089" s="931"/>
      <c r="R1089" s="931"/>
      <c r="S1089" s="957"/>
      <c r="T1089" s="957"/>
      <c r="U1089" s="957"/>
    </row>
    <row r="1090" ht="13.5" customHeight="1">
      <c r="A1090" s="931"/>
      <c r="B1090" s="291"/>
      <c r="C1090" s="931"/>
      <c r="D1090" s="932"/>
      <c r="E1090" s="932"/>
      <c r="F1090" s="931"/>
      <c r="G1090" s="931"/>
      <c r="H1090" s="932"/>
      <c r="I1090" s="932"/>
      <c r="J1090" s="932"/>
      <c r="K1090" s="932"/>
      <c r="L1090" s="932"/>
      <c r="M1090" s="966"/>
      <c r="N1090" s="957"/>
      <c r="O1090" s="957"/>
      <c r="P1090" s="932"/>
      <c r="Q1090" s="931"/>
      <c r="R1090" s="931"/>
      <c r="S1090" s="957"/>
      <c r="T1090" s="957"/>
      <c r="U1090" s="957"/>
    </row>
    <row r="1091" ht="13.5" customHeight="1">
      <c r="A1091" s="931"/>
      <c r="B1091" s="291"/>
      <c r="C1091" s="931"/>
      <c r="D1091" s="932"/>
      <c r="E1091" s="932"/>
      <c r="F1091" s="931"/>
      <c r="G1091" s="931"/>
      <c r="H1091" s="932"/>
      <c r="I1091" s="932"/>
      <c r="J1091" s="932"/>
      <c r="K1091" s="932"/>
      <c r="L1091" s="932"/>
      <c r="M1091" s="966"/>
      <c r="N1091" s="957"/>
      <c r="O1091" s="957"/>
      <c r="P1091" s="932"/>
      <c r="Q1091" s="931"/>
      <c r="R1091" s="931"/>
      <c r="S1091" s="957"/>
      <c r="T1091" s="957"/>
      <c r="U1091" s="957"/>
    </row>
    <row r="1092" ht="13.5" customHeight="1">
      <c r="A1092" s="931"/>
      <c r="B1092" s="291"/>
      <c r="C1092" s="931"/>
      <c r="D1092" s="932"/>
      <c r="E1092" s="932"/>
      <c r="F1092" s="931"/>
      <c r="G1092" s="931"/>
      <c r="H1092" s="932"/>
      <c r="I1092" s="932"/>
      <c r="J1092" s="932"/>
      <c r="K1092" s="932"/>
      <c r="L1092" s="932"/>
      <c r="M1092" s="966"/>
      <c r="N1092" s="957"/>
      <c r="O1092" s="957"/>
      <c r="P1092" s="932"/>
      <c r="Q1092" s="931"/>
      <c r="R1092" s="931"/>
      <c r="S1092" s="957"/>
      <c r="T1092" s="957"/>
      <c r="U1092" s="957"/>
    </row>
    <row r="1093" ht="13.5" customHeight="1">
      <c r="A1093" s="931"/>
      <c r="B1093" s="291"/>
      <c r="C1093" s="931"/>
      <c r="D1093" s="932"/>
      <c r="E1093" s="932"/>
      <c r="F1093" s="931"/>
      <c r="G1093" s="931"/>
      <c r="H1093" s="932"/>
      <c r="I1093" s="932"/>
      <c r="J1093" s="932"/>
      <c r="K1093" s="932"/>
      <c r="L1093" s="932"/>
      <c r="M1093" s="966"/>
      <c r="N1093" s="957"/>
      <c r="O1093" s="957"/>
      <c r="P1093" s="932"/>
      <c r="Q1093" s="931"/>
      <c r="R1093" s="931"/>
      <c r="S1093" s="957"/>
      <c r="T1093" s="957"/>
      <c r="U1093" s="957"/>
    </row>
    <row r="1094" ht="13.5" customHeight="1">
      <c r="A1094" s="931"/>
      <c r="B1094" s="291"/>
      <c r="C1094" s="931"/>
      <c r="D1094" s="932"/>
      <c r="E1094" s="932"/>
      <c r="F1094" s="931"/>
      <c r="G1094" s="931"/>
      <c r="H1094" s="932"/>
      <c r="I1094" s="932"/>
      <c r="J1094" s="932"/>
      <c r="K1094" s="932"/>
      <c r="L1094" s="932"/>
      <c r="M1094" s="966"/>
      <c r="N1094" s="957"/>
      <c r="O1094" s="957"/>
      <c r="P1094" s="932"/>
      <c r="Q1094" s="931"/>
      <c r="R1094" s="931"/>
      <c r="S1094" s="957"/>
      <c r="T1094" s="957"/>
      <c r="U1094" s="957"/>
    </row>
    <row r="1095" ht="13.5" customHeight="1">
      <c r="A1095" s="931"/>
      <c r="B1095" s="291"/>
      <c r="C1095" s="931"/>
      <c r="D1095" s="932"/>
      <c r="E1095" s="932"/>
      <c r="F1095" s="931"/>
      <c r="G1095" s="931"/>
      <c r="H1095" s="932"/>
      <c r="I1095" s="932"/>
      <c r="J1095" s="932"/>
      <c r="K1095" s="932"/>
      <c r="L1095" s="932"/>
      <c r="M1095" s="966"/>
      <c r="N1095" s="957"/>
      <c r="O1095" s="957"/>
      <c r="P1095" s="932"/>
      <c r="Q1095" s="931"/>
      <c r="R1095" s="931"/>
      <c r="S1095" s="957"/>
      <c r="T1095" s="957"/>
      <c r="U1095" s="957"/>
    </row>
    <row r="1096" ht="13.5" customHeight="1">
      <c r="A1096" s="931"/>
      <c r="B1096" s="291"/>
      <c r="C1096" s="931"/>
      <c r="D1096" s="932"/>
      <c r="E1096" s="932"/>
      <c r="F1096" s="931"/>
      <c r="G1096" s="931"/>
      <c r="H1096" s="932"/>
      <c r="I1096" s="932"/>
      <c r="J1096" s="932"/>
      <c r="K1096" s="932"/>
      <c r="L1096" s="932"/>
      <c r="M1096" s="966"/>
      <c r="N1096" s="957"/>
      <c r="O1096" s="957"/>
      <c r="P1096" s="932"/>
      <c r="Q1096" s="931"/>
      <c r="R1096" s="931"/>
      <c r="S1096" s="957"/>
      <c r="T1096" s="957"/>
      <c r="U1096" s="957"/>
    </row>
    <row r="1097" ht="13.5" customHeight="1">
      <c r="A1097" s="931"/>
      <c r="B1097" s="291"/>
      <c r="C1097" s="931"/>
      <c r="D1097" s="932"/>
      <c r="E1097" s="932"/>
      <c r="F1097" s="931"/>
      <c r="G1097" s="931"/>
      <c r="H1097" s="932"/>
      <c r="I1097" s="932"/>
      <c r="J1097" s="932"/>
      <c r="K1097" s="932"/>
      <c r="L1097" s="932"/>
      <c r="M1097" s="966"/>
      <c r="N1097" s="957"/>
      <c r="O1097" s="957"/>
      <c r="P1097" s="932"/>
      <c r="Q1097" s="931"/>
      <c r="R1097" s="931"/>
      <c r="S1097" s="957"/>
      <c r="T1097" s="957"/>
      <c r="U1097" s="957"/>
    </row>
    <row r="1098" ht="13.5" customHeight="1">
      <c r="A1098" s="931"/>
      <c r="B1098" s="291"/>
      <c r="C1098" s="931"/>
      <c r="D1098" s="932"/>
      <c r="E1098" s="932"/>
      <c r="F1098" s="931"/>
      <c r="G1098" s="931"/>
      <c r="H1098" s="932"/>
      <c r="I1098" s="932"/>
      <c r="J1098" s="932"/>
      <c r="K1098" s="932"/>
      <c r="L1098" s="932"/>
      <c r="M1098" s="966"/>
      <c r="N1098" s="957"/>
      <c r="O1098" s="957"/>
      <c r="P1098" s="932"/>
      <c r="Q1098" s="931"/>
      <c r="R1098" s="931"/>
      <c r="S1098" s="957"/>
      <c r="T1098" s="957"/>
      <c r="U1098" s="957"/>
    </row>
    <row r="1099" ht="13.5" customHeight="1">
      <c r="A1099" s="931"/>
      <c r="B1099" s="291"/>
      <c r="C1099" s="931"/>
      <c r="D1099" s="932"/>
      <c r="E1099" s="932"/>
      <c r="F1099" s="931"/>
      <c r="G1099" s="931"/>
      <c r="H1099" s="932"/>
      <c r="I1099" s="932"/>
      <c r="J1099" s="932"/>
      <c r="K1099" s="932"/>
      <c r="L1099" s="932"/>
      <c r="M1099" s="966"/>
      <c r="N1099" s="957"/>
      <c r="O1099" s="957"/>
      <c r="P1099" s="932"/>
      <c r="Q1099" s="931"/>
      <c r="R1099" s="931"/>
      <c r="S1099" s="957"/>
      <c r="T1099" s="957"/>
      <c r="U1099" s="957"/>
    </row>
    <row r="1100" ht="13.5" customHeight="1">
      <c r="A1100" s="931"/>
      <c r="B1100" s="291"/>
      <c r="C1100" s="931"/>
      <c r="D1100" s="932"/>
      <c r="E1100" s="932"/>
      <c r="F1100" s="931"/>
      <c r="G1100" s="931"/>
      <c r="H1100" s="932"/>
      <c r="I1100" s="932"/>
      <c r="J1100" s="932"/>
      <c r="K1100" s="932"/>
      <c r="L1100" s="932"/>
      <c r="M1100" s="966"/>
      <c r="N1100" s="957"/>
      <c r="O1100" s="957"/>
      <c r="P1100" s="932"/>
      <c r="Q1100" s="931"/>
      <c r="R1100" s="931"/>
      <c r="S1100" s="957"/>
      <c r="T1100" s="957"/>
      <c r="U1100" s="957"/>
    </row>
    <row r="1101" ht="13.5" customHeight="1">
      <c r="A1101" s="931"/>
      <c r="B1101" s="291"/>
      <c r="C1101" s="931"/>
      <c r="D1101" s="932"/>
      <c r="E1101" s="932"/>
      <c r="F1101" s="931"/>
      <c r="G1101" s="931"/>
      <c r="H1101" s="932"/>
      <c r="I1101" s="932"/>
      <c r="J1101" s="932"/>
      <c r="K1101" s="932"/>
      <c r="L1101" s="932"/>
      <c r="M1101" s="966"/>
      <c r="N1101" s="957"/>
      <c r="O1101" s="957"/>
      <c r="P1101" s="932"/>
      <c r="Q1101" s="931"/>
      <c r="R1101" s="931"/>
      <c r="S1101" s="957"/>
      <c r="T1101" s="957"/>
      <c r="U1101" s="957"/>
    </row>
    <row r="1102" ht="13.5" customHeight="1">
      <c r="A1102" s="931"/>
      <c r="B1102" s="291"/>
      <c r="C1102" s="931"/>
      <c r="D1102" s="932"/>
      <c r="E1102" s="932"/>
      <c r="F1102" s="931"/>
      <c r="G1102" s="931"/>
      <c r="H1102" s="932"/>
      <c r="I1102" s="932"/>
      <c r="J1102" s="932"/>
      <c r="K1102" s="932"/>
      <c r="L1102" s="932"/>
      <c r="M1102" s="966"/>
      <c r="N1102" s="957"/>
      <c r="O1102" s="957"/>
      <c r="P1102" s="932"/>
      <c r="Q1102" s="931"/>
      <c r="R1102" s="931"/>
      <c r="S1102" s="957"/>
      <c r="T1102" s="957"/>
      <c r="U1102" s="957"/>
    </row>
    <row r="1103" ht="13.5" customHeight="1">
      <c r="A1103" s="931"/>
      <c r="B1103" s="291"/>
      <c r="C1103" s="931"/>
      <c r="D1103" s="932"/>
      <c r="E1103" s="932"/>
      <c r="F1103" s="931"/>
      <c r="G1103" s="931"/>
      <c r="H1103" s="932"/>
      <c r="I1103" s="932"/>
      <c r="J1103" s="932"/>
      <c r="K1103" s="932"/>
      <c r="L1103" s="932"/>
      <c r="M1103" s="966"/>
      <c r="N1103" s="957"/>
      <c r="O1103" s="957"/>
      <c r="P1103" s="932"/>
      <c r="Q1103" s="931"/>
      <c r="R1103" s="931"/>
      <c r="S1103" s="957"/>
      <c r="T1103" s="957"/>
      <c r="U1103" s="957"/>
    </row>
    <row r="1104" ht="13.5" customHeight="1">
      <c r="A1104" s="931"/>
      <c r="B1104" s="291"/>
      <c r="C1104" s="931"/>
      <c r="D1104" s="932"/>
      <c r="E1104" s="932"/>
      <c r="F1104" s="931"/>
      <c r="G1104" s="931"/>
      <c r="H1104" s="932"/>
      <c r="I1104" s="932"/>
      <c r="J1104" s="932"/>
      <c r="K1104" s="932"/>
      <c r="L1104" s="932"/>
      <c r="M1104" s="966"/>
      <c r="N1104" s="957"/>
      <c r="O1104" s="957"/>
      <c r="P1104" s="932"/>
      <c r="Q1104" s="931"/>
      <c r="R1104" s="931"/>
      <c r="S1104" s="957"/>
      <c r="T1104" s="957"/>
      <c r="U1104" s="957"/>
    </row>
    <row r="1105" ht="13.5" customHeight="1">
      <c r="A1105" s="931"/>
      <c r="B1105" s="291"/>
      <c r="C1105" s="931"/>
      <c r="D1105" s="932"/>
      <c r="E1105" s="932"/>
      <c r="F1105" s="931"/>
      <c r="G1105" s="931"/>
      <c r="H1105" s="932"/>
      <c r="I1105" s="932"/>
      <c r="J1105" s="932"/>
      <c r="K1105" s="932"/>
      <c r="L1105" s="932"/>
      <c r="M1105" s="966"/>
      <c r="N1105" s="957"/>
      <c r="O1105" s="957"/>
      <c r="P1105" s="932"/>
      <c r="Q1105" s="931"/>
      <c r="R1105" s="931"/>
      <c r="S1105" s="957"/>
      <c r="T1105" s="957"/>
      <c r="U1105" s="957"/>
    </row>
    <row r="1106" ht="13.5" customHeight="1">
      <c r="A1106" s="931"/>
      <c r="B1106" s="291"/>
      <c r="C1106" s="931"/>
      <c r="D1106" s="932"/>
      <c r="E1106" s="932"/>
      <c r="F1106" s="931"/>
      <c r="G1106" s="931"/>
      <c r="H1106" s="932"/>
      <c r="I1106" s="932"/>
      <c r="J1106" s="932"/>
      <c r="K1106" s="932"/>
      <c r="L1106" s="932"/>
      <c r="M1106" s="966"/>
      <c r="N1106" s="957"/>
      <c r="O1106" s="957"/>
      <c r="P1106" s="932"/>
      <c r="Q1106" s="931"/>
      <c r="R1106" s="931"/>
      <c r="S1106" s="957"/>
      <c r="T1106" s="957"/>
      <c r="U1106" s="957"/>
    </row>
    <row r="1107" ht="13.5" customHeight="1">
      <c r="A1107" s="931"/>
      <c r="B1107" s="291"/>
      <c r="C1107" s="931"/>
      <c r="D1107" s="932"/>
      <c r="E1107" s="932"/>
      <c r="F1107" s="931"/>
      <c r="G1107" s="931"/>
      <c r="H1107" s="932"/>
      <c r="I1107" s="932"/>
      <c r="J1107" s="932"/>
      <c r="K1107" s="932"/>
      <c r="L1107" s="932"/>
      <c r="M1107" s="966"/>
      <c r="N1107" s="957"/>
      <c r="O1107" s="957"/>
      <c r="P1107" s="932"/>
      <c r="Q1107" s="931"/>
      <c r="R1107" s="931"/>
      <c r="S1107" s="957"/>
      <c r="T1107" s="957"/>
      <c r="U1107" s="957"/>
    </row>
    <row r="1108" ht="13.5" customHeight="1">
      <c r="A1108" s="931"/>
      <c r="B1108" s="291"/>
      <c r="C1108" s="931"/>
      <c r="D1108" s="932"/>
      <c r="E1108" s="932"/>
      <c r="F1108" s="931"/>
      <c r="G1108" s="931"/>
      <c r="H1108" s="932"/>
      <c r="I1108" s="932"/>
      <c r="J1108" s="932"/>
      <c r="K1108" s="932"/>
      <c r="L1108" s="932"/>
      <c r="M1108" s="966"/>
      <c r="N1108" s="957"/>
      <c r="O1108" s="957"/>
      <c r="P1108" s="932"/>
      <c r="Q1108" s="931"/>
      <c r="R1108" s="931"/>
      <c r="S1108" s="957"/>
      <c r="T1108" s="957"/>
      <c r="U1108" s="957"/>
    </row>
    <row r="1109" ht="13.5" customHeight="1">
      <c r="A1109" s="931"/>
      <c r="B1109" s="291"/>
      <c r="C1109" s="931"/>
      <c r="D1109" s="932"/>
      <c r="E1109" s="932"/>
      <c r="F1109" s="931"/>
      <c r="G1109" s="931"/>
      <c r="H1109" s="932"/>
      <c r="I1109" s="932"/>
      <c r="J1109" s="932"/>
      <c r="K1109" s="932"/>
      <c r="L1109" s="932"/>
      <c r="M1109" s="966"/>
      <c r="N1109" s="957"/>
      <c r="O1109" s="957"/>
      <c r="P1109" s="932"/>
      <c r="Q1109" s="931"/>
      <c r="R1109" s="931"/>
      <c r="S1109" s="957"/>
      <c r="T1109" s="957"/>
      <c r="U1109" s="957"/>
    </row>
    <row r="1110" ht="13.5" customHeight="1">
      <c r="A1110" s="931"/>
      <c r="B1110" s="291"/>
      <c r="C1110" s="931"/>
      <c r="D1110" s="932"/>
      <c r="E1110" s="932"/>
      <c r="F1110" s="931"/>
      <c r="G1110" s="931"/>
      <c r="H1110" s="932"/>
      <c r="I1110" s="932"/>
      <c r="J1110" s="932"/>
      <c r="K1110" s="932"/>
      <c r="L1110" s="932"/>
      <c r="M1110" s="966"/>
      <c r="N1110" s="957"/>
      <c r="O1110" s="957"/>
      <c r="P1110" s="932"/>
      <c r="Q1110" s="931"/>
      <c r="R1110" s="931"/>
      <c r="S1110" s="957"/>
      <c r="T1110" s="957"/>
      <c r="U1110" s="957"/>
    </row>
    <row r="1111" ht="13.5" customHeight="1">
      <c r="A1111" s="931"/>
      <c r="B1111" s="291"/>
      <c r="C1111" s="931"/>
      <c r="D1111" s="932"/>
      <c r="E1111" s="932"/>
      <c r="F1111" s="931"/>
      <c r="G1111" s="931"/>
      <c r="H1111" s="932"/>
      <c r="I1111" s="932"/>
      <c r="J1111" s="932"/>
      <c r="K1111" s="932"/>
      <c r="L1111" s="932"/>
      <c r="M1111" s="966"/>
      <c r="N1111" s="957"/>
      <c r="O1111" s="957"/>
      <c r="P1111" s="932"/>
      <c r="Q1111" s="931"/>
      <c r="R1111" s="931"/>
      <c r="S1111" s="957"/>
      <c r="T1111" s="957"/>
      <c r="U1111" s="957"/>
    </row>
    <row r="1112" ht="13.5" customHeight="1">
      <c r="A1112" s="931"/>
      <c r="B1112" s="291"/>
      <c r="C1112" s="931"/>
      <c r="D1112" s="932"/>
      <c r="E1112" s="932"/>
      <c r="F1112" s="931"/>
      <c r="G1112" s="931"/>
      <c r="H1112" s="932"/>
      <c r="I1112" s="932"/>
      <c r="J1112" s="932"/>
      <c r="K1112" s="932"/>
      <c r="L1112" s="932"/>
      <c r="M1112" s="966"/>
      <c r="N1112" s="957"/>
      <c r="O1112" s="957"/>
      <c r="P1112" s="932"/>
      <c r="Q1112" s="931"/>
      <c r="R1112" s="931"/>
      <c r="S1112" s="957"/>
      <c r="T1112" s="957"/>
      <c r="U1112" s="957"/>
    </row>
    <row r="1113" ht="13.5" customHeight="1">
      <c r="A1113" s="931"/>
      <c r="B1113" s="291"/>
      <c r="C1113" s="931"/>
      <c r="D1113" s="932"/>
      <c r="E1113" s="932"/>
      <c r="F1113" s="931"/>
      <c r="G1113" s="931"/>
      <c r="H1113" s="932"/>
      <c r="I1113" s="932"/>
      <c r="J1113" s="932"/>
      <c r="K1113" s="932"/>
      <c r="L1113" s="932"/>
      <c r="M1113" s="966"/>
      <c r="N1113" s="957"/>
      <c r="O1113" s="957"/>
      <c r="P1113" s="932"/>
      <c r="Q1113" s="931"/>
      <c r="R1113" s="931"/>
      <c r="S1113" s="957"/>
      <c r="T1113" s="957"/>
      <c r="U1113" s="957"/>
    </row>
    <row r="1114" ht="13.5" customHeight="1">
      <c r="A1114" s="931"/>
      <c r="B1114" s="291"/>
      <c r="C1114" s="931"/>
      <c r="D1114" s="932"/>
      <c r="E1114" s="932"/>
      <c r="F1114" s="931"/>
      <c r="G1114" s="931"/>
      <c r="H1114" s="932"/>
      <c r="I1114" s="932"/>
      <c r="J1114" s="932"/>
      <c r="K1114" s="932"/>
      <c r="L1114" s="932"/>
      <c r="M1114" s="966"/>
      <c r="N1114" s="957"/>
      <c r="O1114" s="957"/>
      <c r="P1114" s="932"/>
      <c r="Q1114" s="931"/>
      <c r="R1114" s="931"/>
      <c r="S1114" s="957"/>
      <c r="T1114" s="957"/>
      <c r="U1114" s="957"/>
    </row>
    <row r="1115" ht="13.5" customHeight="1">
      <c r="A1115" s="931"/>
      <c r="B1115" s="291"/>
      <c r="C1115" s="931"/>
      <c r="D1115" s="932"/>
      <c r="E1115" s="932"/>
      <c r="F1115" s="931"/>
      <c r="G1115" s="931"/>
      <c r="H1115" s="932"/>
      <c r="I1115" s="932"/>
      <c r="J1115" s="932"/>
      <c r="K1115" s="932"/>
      <c r="L1115" s="932"/>
      <c r="M1115" s="966"/>
      <c r="N1115" s="957"/>
      <c r="O1115" s="957"/>
      <c r="P1115" s="932"/>
      <c r="Q1115" s="931"/>
      <c r="R1115" s="931"/>
      <c r="S1115" s="957"/>
      <c r="T1115" s="957"/>
      <c r="U1115" s="957"/>
    </row>
    <row r="1116" ht="13.5" customHeight="1">
      <c r="A1116" s="931"/>
      <c r="B1116" s="291"/>
      <c r="C1116" s="931"/>
      <c r="D1116" s="932"/>
      <c r="E1116" s="932"/>
      <c r="F1116" s="931"/>
      <c r="G1116" s="931"/>
      <c r="H1116" s="932"/>
      <c r="I1116" s="932"/>
      <c r="J1116" s="932"/>
      <c r="K1116" s="932"/>
      <c r="L1116" s="932"/>
      <c r="M1116" s="966"/>
      <c r="N1116" s="957"/>
      <c r="O1116" s="957"/>
      <c r="P1116" s="932"/>
      <c r="Q1116" s="931"/>
      <c r="R1116" s="931"/>
      <c r="S1116" s="957"/>
      <c r="T1116" s="957"/>
      <c r="U1116" s="957"/>
    </row>
    <row r="1117" ht="13.5" customHeight="1">
      <c r="A1117" s="931"/>
      <c r="B1117" s="291"/>
      <c r="C1117" s="931"/>
      <c r="D1117" s="932"/>
      <c r="E1117" s="932"/>
      <c r="F1117" s="931"/>
      <c r="G1117" s="931"/>
      <c r="H1117" s="932"/>
      <c r="I1117" s="932"/>
      <c r="J1117" s="932"/>
      <c r="K1117" s="932"/>
      <c r="L1117" s="932"/>
      <c r="M1117" s="966"/>
      <c r="N1117" s="957"/>
      <c r="O1117" s="957"/>
      <c r="P1117" s="932"/>
      <c r="Q1117" s="931"/>
      <c r="R1117" s="931"/>
      <c r="S1117" s="957"/>
      <c r="T1117" s="957"/>
      <c r="U1117" s="957"/>
    </row>
    <row r="1118" ht="13.5" customHeight="1">
      <c r="A1118" s="931"/>
      <c r="B1118" s="291"/>
      <c r="C1118" s="931"/>
      <c r="D1118" s="932"/>
      <c r="E1118" s="932"/>
      <c r="F1118" s="931"/>
      <c r="G1118" s="931"/>
      <c r="H1118" s="932"/>
      <c r="I1118" s="932"/>
      <c r="J1118" s="932"/>
      <c r="K1118" s="932"/>
      <c r="L1118" s="932"/>
      <c r="M1118" s="966"/>
      <c r="N1118" s="957"/>
      <c r="O1118" s="957"/>
      <c r="P1118" s="932"/>
      <c r="Q1118" s="931"/>
      <c r="R1118" s="931"/>
      <c r="S1118" s="957"/>
      <c r="T1118" s="957"/>
      <c r="U1118" s="957"/>
    </row>
    <row r="1119" ht="13.5" customHeight="1">
      <c r="A1119" s="931"/>
      <c r="B1119" s="291"/>
      <c r="C1119" s="931"/>
      <c r="D1119" s="932"/>
      <c r="E1119" s="932"/>
      <c r="F1119" s="931"/>
      <c r="G1119" s="931"/>
      <c r="H1119" s="932"/>
      <c r="I1119" s="932"/>
      <c r="J1119" s="932"/>
      <c r="K1119" s="932"/>
      <c r="L1119" s="932"/>
      <c r="M1119" s="966"/>
      <c r="N1119" s="957"/>
      <c r="O1119" s="957"/>
      <c r="P1119" s="932"/>
      <c r="Q1119" s="931"/>
      <c r="R1119" s="931"/>
      <c r="S1119" s="957"/>
      <c r="T1119" s="957"/>
      <c r="U1119" s="957"/>
    </row>
    <row r="1120" ht="13.5" customHeight="1">
      <c r="A1120" s="931"/>
      <c r="B1120" s="291"/>
      <c r="C1120" s="931"/>
      <c r="D1120" s="932"/>
      <c r="E1120" s="932"/>
      <c r="F1120" s="931"/>
      <c r="G1120" s="931"/>
      <c r="H1120" s="932"/>
      <c r="I1120" s="932"/>
      <c r="J1120" s="932"/>
      <c r="K1120" s="932"/>
      <c r="L1120" s="932"/>
      <c r="M1120" s="966"/>
      <c r="N1120" s="957"/>
      <c r="O1120" s="957"/>
      <c r="P1120" s="932"/>
      <c r="Q1120" s="931"/>
      <c r="R1120" s="931"/>
      <c r="S1120" s="957"/>
      <c r="T1120" s="957"/>
      <c r="U1120" s="957"/>
    </row>
    <row r="1121" ht="13.5" customHeight="1">
      <c r="A1121" s="931"/>
      <c r="B1121" s="291"/>
      <c r="C1121" s="931"/>
      <c r="D1121" s="932"/>
      <c r="E1121" s="932"/>
      <c r="F1121" s="931"/>
      <c r="G1121" s="931"/>
      <c r="H1121" s="932"/>
      <c r="I1121" s="932"/>
      <c r="J1121" s="932"/>
      <c r="K1121" s="932"/>
      <c r="L1121" s="932"/>
      <c r="M1121" s="966"/>
      <c r="N1121" s="957"/>
      <c r="O1121" s="957"/>
      <c r="P1121" s="932"/>
      <c r="Q1121" s="931"/>
      <c r="R1121" s="931"/>
      <c r="S1121" s="957"/>
      <c r="T1121" s="957"/>
      <c r="U1121" s="957"/>
    </row>
    <row r="1122" ht="13.5" customHeight="1">
      <c r="A1122" s="931"/>
      <c r="B1122" s="291"/>
      <c r="C1122" s="931"/>
      <c r="D1122" s="932"/>
      <c r="E1122" s="932"/>
      <c r="F1122" s="931"/>
      <c r="G1122" s="931"/>
      <c r="H1122" s="932"/>
      <c r="I1122" s="932"/>
      <c r="J1122" s="932"/>
      <c r="K1122" s="932"/>
      <c r="L1122" s="932"/>
      <c r="M1122" s="966"/>
      <c r="N1122" s="957"/>
      <c r="O1122" s="957"/>
      <c r="P1122" s="932"/>
      <c r="Q1122" s="931"/>
      <c r="R1122" s="931"/>
      <c r="S1122" s="957"/>
      <c r="T1122" s="957"/>
      <c r="U1122" s="957"/>
    </row>
    <row r="1123" ht="13.5" customHeight="1">
      <c r="A1123" s="931"/>
      <c r="B1123" s="291"/>
      <c r="C1123" s="931"/>
      <c r="D1123" s="932"/>
      <c r="E1123" s="932"/>
      <c r="F1123" s="931"/>
      <c r="G1123" s="931"/>
      <c r="H1123" s="932"/>
      <c r="I1123" s="932"/>
      <c r="J1123" s="932"/>
      <c r="K1123" s="932"/>
      <c r="L1123" s="932"/>
      <c r="M1123" s="966"/>
      <c r="N1123" s="957"/>
      <c r="O1123" s="957"/>
      <c r="P1123" s="932"/>
      <c r="Q1123" s="931"/>
      <c r="R1123" s="931"/>
      <c r="S1123" s="957"/>
      <c r="T1123" s="957"/>
      <c r="U1123" s="957"/>
    </row>
    <row r="1124" ht="13.5" customHeight="1">
      <c r="A1124" s="931"/>
      <c r="B1124" s="291"/>
      <c r="C1124" s="931"/>
      <c r="D1124" s="932"/>
      <c r="E1124" s="932"/>
      <c r="F1124" s="931"/>
      <c r="G1124" s="931"/>
      <c r="H1124" s="932"/>
      <c r="I1124" s="932"/>
      <c r="J1124" s="932"/>
      <c r="K1124" s="932"/>
      <c r="L1124" s="932"/>
      <c r="M1124" s="966"/>
      <c r="N1124" s="957"/>
      <c r="O1124" s="957"/>
      <c r="P1124" s="932"/>
      <c r="Q1124" s="931"/>
      <c r="R1124" s="931"/>
      <c r="S1124" s="957"/>
      <c r="T1124" s="957"/>
      <c r="U1124" s="957"/>
    </row>
    <row r="1125" ht="13.5" customHeight="1">
      <c r="A1125" s="931"/>
      <c r="B1125" s="291"/>
      <c r="C1125" s="931"/>
      <c r="D1125" s="932"/>
      <c r="E1125" s="932"/>
      <c r="F1125" s="931"/>
      <c r="G1125" s="931"/>
      <c r="H1125" s="932"/>
      <c r="I1125" s="932"/>
      <c r="J1125" s="932"/>
      <c r="K1125" s="932"/>
      <c r="L1125" s="932"/>
      <c r="M1125" s="966"/>
      <c r="N1125" s="957"/>
      <c r="O1125" s="957"/>
      <c r="P1125" s="932"/>
      <c r="Q1125" s="931"/>
      <c r="R1125" s="931"/>
      <c r="S1125" s="957"/>
      <c r="T1125" s="957"/>
      <c r="U1125" s="957"/>
    </row>
    <row r="1126" ht="13.5" customHeight="1">
      <c r="A1126" s="931"/>
      <c r="B1126" s="291"/>
      <c r="C1126" s="931"/>
      <c r="D1126" s="932"/>
      <c r="E1126" s="932"/>
      <c r="F1126" s="931"/>
      <c r="G1126" s="931"/>
      <c r="H1126" s="932"/>
      <c r="I1126" s="932"/>
      <c r="J1126" s="932"/>
      <c r="K1126" s="932"/>
      <c r="L1126" s="932"/>
      <c r="M1126" s="966"/>
      <c r="N1126" s="957"/>
      <c r="O1126" s="957"/>
      <c r="P1126" s="932"/>
      <c r="Q1126" s="931"/>
      <c r="R1126" s="931"/>
      <c r="S1126" s="957"/>
      <c r="T1126" s="957"/>
      <c r="U1126" s="957"/>
    </row>
    <row r="1127" ht="13.5" customHeight="1">
      <c r="A1127" s="931"/>
      <c r="B1127" s="291"/>
      <c r="C1127" s="931"/>
      <c r="D1127" s="932"/>
      <c r="E1127" s="932"/>
      <c r="F1127" s="931"/>
      <c r="G1127" s="931"/>
      <c r="H1127" s="932"/>
      <c r="I1127" s="932"/>
      <c r="J1127" s="932"/>
      <c r="K1127" s="932"/>
      <c r="L1127" s="932"/>
      <c r="M1127" s="966"/>
      <c r="N1127" s="957"/>
      <c r="O1127" s="957"/>
      <c r="P1127" s="932"/>
      <c r="Q1127" s="931"/>
      <c r="R1127" s="931"/>
      <c r="S1127" s="957"/>
      <c r="T1127" s="957"/>
      <c r="U1127" s="957"/>
    </row>
    <row r="1128" ht="13.5" customHeight="1">
      <c r="A1128" s="931"/>
      <c r="B1128" s="291"/>
      <c r="C1128" s="931"/>
      <c r="D1128" s="932"/>
      <c r="E1128" s="932"/>
      <c r="F1128" s="931"/>
      <c r="G1128" s="931"/>
      <c r="H1128" s="932"/>
      <c r="I1128" s="932"/>
      <c r="J1128" s="932"/>
      <c r="K1128" s="932"/>
      <c r="L1128" s="932"/>
      <c r="M1128" s="966"/>
      <c r="N1128" s="957"/>
      <c r="O1128" s="957"/>
      <c r="P1128" s="932"/>
      <c r="Q1128" s="931"/>
      <c r="R1128" s="931"/>
      <c r="S1128" s="957"/>
      <c r="T1128" s="957"/>
      <c r="U1128" s="957"/>
    </row>
    <row r="1129" ht="13.5" customHeight="1">
      <c r="A1129" s="931"/>
      <c r="B1129" s="291"/>
      <c r="C1129" s="931"/>
      <c r="D1129" s="932"/>
      <c r="E1129" s="932"/>
      <c r="F1129" s="931"/>
      <c r="G1129" s="931"/>
      <c r="H1129" s="932"/>
      <c r="I1129" s="932"/>
      <c r="J1129" s="932"/>
      <c r="K1129" s="932"/>
      <c r="L1129" s="932"/>
      <c r="M1129" s="966"/>
      <c r="N1129" s="957"/>
      <c r="O1129" s="957"/>
      <c r="P1129" s="932"/>
      <c r="Q1129" s="931"/>
      <c r="R1129" s="931"/>
      <c r="S1129" s="957"/>
      <c r="T1129" s="957"/>
      <c r="U1129" s="957"/>
    </row>
    <row r="1130" ht="13.5" customHeight="1">
      <c r="A1130" s="931"/>
      <c r="B1130" s="291"/>
      <c r="C1130" s="931"/>
      <c r="D1130" s="932"/>
      <c r="E1130" s="932"/>
      <c r="F1130" s="931"/>
      <c r="G1130" s="931"/>
      <c r="H1130" s="932"/>
      <c r="I1130" s="932"/>
      <c r="J1130" s="932"/>
      <c r="K1130" s="932"/>
      <c r="L1130" s="932"/>
      <c r="M1130" s="966"/>
      <c r="N1130" s="957"/>
      <c r="O1130" s="957"/>
      <c r="P1130" s="932"/>
      <c r="Q1130" s="931"/>
      <c r="R1130" s="931"/>
      <c r="S1130" s="957"/>
      <c r="T1130" s="957"/>
      <c r="U1130" s="957"/>
    </row>
    <row r="1131" ht="13.5" customHeight="1">
      <c r="A1131" s="931"/>
      <c r="B1131" s="291"/>
      <c r="C1131" s="931"/>
      <c r="D1131" s="932"/>
      <c r="E1131" s="932"/>
      <c r="F1131" s="931"/>
      <c r="G1131" s="931"/>
      <c r="H1131" s="932"/>
      <c r="I1131" s="932"/>
      <c r="J1131" s="932"/>
      <c r="K1131" s="932"/>
      <c r="L1131" s="932"/>
      <c r="M1131" s="966"/>
      <c r="N1131" s="957"/>
      <c r="O1131" s="957"/>
      <c r="P1131" s="932"/>
      <c r="Q1131" s="931"/>
      <c r="R1131" s="931"/>
      <c r="S1131" s="957"/>
      <c r="T1131" s="957"/>
      <c r="U1131" s="957"/>
    </row>
    <row r="1132" ht="13.5" customHeight="1">
      <c r="A1132" s="931"/>
      <c r="B1132" s="291"/>
      <c r="C1132" s="931"/>
      <c r="D1132" s="932"/>
      <c r="E1132" s="932"/>
      <c r="F1132" s="931"/>
      <c r="G1132" s="931"/>
      <c r="H1132" s="932"/>
      <c r="I1132" s="932"/>
      <c r="J1132" s="932"/>
      <c r="K1132" s="932"/>
      <c r="L1132" s="932"/>
      <c r="M1132" s="966"/>
      <c r="N1132" s="957"/>
      <c r="O1132" s="957"/>
      <c r="P1132" s="932"/>
      <c r="Q1132" s="931"/>
      <c r="R1132" s="931"/>
      <c r="S1132" s="957"/>
      <c r="T1132" s="957"/>
      <c r="U1132" s="957"/>
    </row>
    <row r="1133" ht="13.5" customHeight="1">
      <c r="A1133" s="931"/>
      <c r="B1133" s="291"/>
      <c r="C1133" s="931"/>
      <c r="D1133" s="932"/>
      <c r="E1133" s="932"/>
      <c r="F1133" s="931"/>
      <c r="G1133" s="931"/>
      <c r="H1133" s="932"/>
      <c r="I1133" s="932"/>
      <c r="J1133" s="932"/>
      <c r="K1133" s="932"/>
      <c r="L1133" s="932"/>
      <c r="M1133" s="966"/>
      <c r="N1133" s="957"/>
      <c r="O1133" s="957"/>
      <c r="P1133" s="932"/>
      <c r="Q1133" s="931"/>
      <c r="R1133" s="931"/>
      <c r="S1133" s="957"/>
      <c r="T1133" s="957"/>
      <c r="U1133" s="957"/>
    </row>
    <row r="1134" ht="13.5" customHeight="1">
      <c r="A1134" s="931"/>
      <c r="B1134" s="291"/>
      <c r="C1134" s="931"/>
      <c r="D1134" s="932"/>
      <c r="E1134" s="932"/>
      <c r="F1134" s="931"/>
      <c r="G1134" s="931"/>
      <c r="H1134" s="932"/>
      <c r="I1134" s="932"/>
      <c r="J1134" s="932"/>
      <c r="K1134" s="932"/>
      <c r="L1134" s="932"/>
      <c r="M1134" s="966"/>
      <c r="N1134" s="957"/>
      <c r="O1134" s="957"/>
      <c r="P1134" s="932"/>
      <c r="Q1134" s="931"/>
      <c r="R1134" s="931"/>
      <c r="S1134" s="957"/>
      <c r="T1134" s="957"/>
      <c r="U1134" s="957"/>
    </row>
    <row r="1135" ht="13.5" customHeight="1">
      <c r="A1135" s="931"/>
      <c r="B1135" s="291"/>
      <c r="C1135" s="931"/>
      <c r="D1135" s="932"/>
      <c r="E1135" s="932"/>
      <c r="F1135" s="931"/>
      <c r="G1135" s="931"/>
      <c r="H1135" s="932"/>
      <c r="I1135" s="932"/>
      <c r="J1135" s="932"/>
      <c r="K1135" s="932"/>
      <c r="L1135" s="932"/>
      <c r="M1135" s="966"/>
      <c r="N1135" s="957"/>
      <c r="O1135" s="957"/>
      <c r="P1135" s="932"/>
      <c r="Q1135" s="931"/>
      <c r="R1135" s="931"/>
      <c r="S1135" s="957"/>
      <c r="T1135" s="957"/>
      <c r="U1135" s="957"/>
    </row>
    <row r="1136" ht="13.5" customHeight="1">
      <c r="A1136" s="931"/>
      <c r="B1136" s="291"/>
      <c r="C1136" s="931"/>
      <c r="D1136" s="932"/>
      <c r="E1136" s="932"/>
      <c r="F1136" s="931"/>
      <c r="G1136" s="931"/>
      <c r="H1136" s="932"/>
      <c r="I1136" s="932"/>
      <c r="J1136" s="932"/>
      <c r="K1136" s="932"/>
      <c r="L1136" s="932"/>
      <c r="M1136" s="966"/>
      <c r="N1136" s="957"/>
      <c r="O1136" s="957"/>
      <c r="P1136" s="932"/>
      <c r="Q1136" s="931"/>
      <c r="R1136" s="931"/>
      <c r="S1136" s="957"/>
      <c r="T1136" s="957"/>
      <c r="U1136" s="957"/>
    </row>
    <row r="1137" ht="13.5" customHeight="1">
      <c r="A1137" s="931"/>
      <c r="B1137" s="291"/>
      <c r="C1137" s="931"/>
      <c r="D1137" s="932"/>
      <c r="E1137" s="932"/>
      <c r="F1137" s="931"/>
      <c r="G1137" s="931"/>
      <c r="H1137" s="932"/>
      <c r="I1137" s="932"/>
      <c r="J1137" s="932"/>
      <c r="K1137" s="932"/>
      <c r="L1137" s="932"/>
      <c r="M1137" s="966"/>
      <c r="N1137" s="957"/>
      <c r="O1137" s="957"/>
      <c r="P1137" s="932"/>
      <c r="Q1137" s="931"/>
      <c r="R1137" s="931"/>
      <c r="S1137" s="957"/>
      <c r="T1137" s="957"/>
      <c r="U1137" s="957"/>
    </row>
    <row r="1138" ht="13.5" customHeight="1">
      <c r="A1138" s="931"/>
      <c r="B1138" s="291"/>
      <c r="C1138" s="931"/>
      <c r="D1138" s="932"/>
      <c r="E1138" s="932"/>
      <c r="F1138" s="931"/>
      <c r="G1138" s="931"/>
      <c r="H1138" s="932"/>
      <c r="I1138" s="932"/>
      <c r="J1138" s="932"/>
      <c r="K1138" s="932"/>
      <c r="L1138" s="932"/>
      <c r="M1138" s="966"/>
      <c r="N1138" s="957"/>
      <c r="O1138" s="957"/>
      <c r="P1138" s="932"/>
      <c r="Q1138" s="931"/>
      <c r="R1138" s="931"/>
      <c r="S1138" s="957"/>
      <c r="T1138" s="957"/>
      <c r="U1138" s="957"/>
    </row>
    <row r="1139" ht="13.5" customHeight="1">
      <c r="A1139" s="931"/>
      <c r="B1139" s="291"/>
      <c r="C1139" s="931"/>
      <c r="D1139" s="932"/>
      <c r="E1139" s="932"/>
      <c r="F1139" s="931"/>
      <c r="G1139" s="931"/>
      <c r="H1139" s="932"/>
      <c r="I1139" s="932"/>
      <c r="J1139" s="932"/>
      <c r="K1139" s="932"/>
      <c r="L1139" s="932"/>
      <c r="M1139" s="966"/>
      <c r="N1139" s="957"/>
      <c r="O1139" s="957"/>
      <c r="P1139" s="932"/>
      <c r="Q1139" s="931"/>
      <c r="R1139" s="931"/>
      <c r="S1139" s="957"/>
      <c r="T1139" s="957"/>
      <c r="U1139" s="957"/>
    </row>
    <row r="1140" ht="13.5" customHeight="1">
      <c r="A1140" s="931"/>
      <c r="B1140" s="291"/>
      <c r="C1140" s="931"/>
      <c r="D1140" s="932"/>
      <c r="E1140" s="932"/>
      <c r="F1140" s="931"/>
      <c r="G1140" s="931"/>
      <c r="H1140" s="932"/>
      <c r="I1140" s="932"/>
      <c r="J1140" s="932"/>
      <c r="K1140" s="932"/>
      <c r="L1140" s="932"/>
      <c r="M1140" s="966"/>
      <c r="N1140" s="957"/>
      <c r="O1140" s="957"/>
      <c r="P1140" s="932"/>
      <c r="Q1140" s="931"/>
      <c r="R1140" s="931"/>
      <c r="S1140" s="957"/>
      <c r="T1140" s="957"/>
      <c r="U1140" s="957"/>
    </row>
    <row r="1141" ht="13.5" customHeight="1">
      <c r="A1141" s="931"/>
      <c r="B1141" s="291"/>
      <c r="C1141" s="931"/>
      <c r="D1141" s="932"/>
      <c r="E1141" s="932"/>
      <c r="F1141" s="931"/>
      <c r="G1141" s="931"/>
      <c r="H1141" s="932"/>
      <c r="I1141" s="932"/>
      <c r="J1141" s="932"/>
      <c r="K1141" s="932"/>
      <c r="L1141" s="932"/>
      <c r="M1141" s="966"/>
      <c r="N1141" s="957"/>
      <c r="O1141" s="957"/>
      <c r="P1141" s="932"/>
      <c r="Q1141" s="931"/>
      <c r="R1141" s="931"/>
      <c r="S1141" s="957"/>
      <c r="T1141" s="957"/>
      <c r="U1141" s="957"/>
    </row>
    <row r="1142" ht="13.5" customHeight="1">
      <c r="A1142" s="931"/>
      <c r="B1142" s="291"/>
      <c r="C1142" s="931"/>
      <c r="D1142" s="932"/>
      <c r="E1142" s="932"/>
      <c r="F1142" s="931"/>
      <c r="G1142" s="931"/>
      <c r="H1142" s="932"/>
      <c r="I1142" s="932"/>
      <c r="J1142" s="932"/>
      <c r="K1142" s="932"/>
      <c r="L1142" s="932"/>
      <c r="M1142" s="966"/>
      <c r="N1142" s="957"/>
      <c r="O1142" s="957"/>
      <c r="P1142" s="932"/>
      <c r="Q1142" s="931"/>
      <c r="R1142" s="931"/>
      <c r="S1142" s="957"/>
      <c r="T1142" s="957"/>
      <c r="U1142" s="957"/>
    </row>
    <row r="1143" ht="13.5" customHeight="1">
      <c r="A1143" s="931"/>
      <c r="B1143" s="291"/>
      <c r="C1143" s="931"/>
      <c r="D1143" s="932"/>
      <c r="E1143" s="932"/>
      <c r="F1143" s="931"/>
      <c r="G1143" s="931"/>
      <c r="H1143" s="932"/>
      <c r="I1143" s="932"/>
      <c r="J1143" s="932"/>
      <c r="K1143" s="932"/>
      <c r="L1143" s="932"/>
      <c r="M1143" s="966"/>
      <c r="N1143" s="957"/>
      <c r="O1143" s="957"/>
      <c r="P1143" s="932"/>
      <c r="Q1143" s="931"/>
      <c r="R1143" s="931"/>
      <c r="S1143" s="957"/>
      <c r="T1143" s="957"/>
      <c r="U1143" s="957"/>
    </row>
    <row r="1144" ht="13.5" customHeight="1">
      <c r="A1144" s="931"/>
      <c r="B1144" s="291"/>
      <c r="C1144" s="931"/>
      <c r="D1144" s="932"/>
      <c r="E1144" s="932"/>
      <c r="F1144" s="931"/>
      <c r="G1144" s="931"/>
      <c r="H1144" s="932"/>
      <c r="I1144" s="932"/>
      <c r="J1144" s="932"/>
      <c r="K1144" s="932"/>
      <c r="L1144" s="932"/>
      <c r="M1144" s="966"/>
      <c r="N1144" s="957"/>
      <c r="O1144" s="957"/>
      <c r="P1144" s="932"/>
      <c r="Q1144" s="931"/>
      <c r="R1144" s="931"/>
      <c r="S1144" s="957"/>
      <c r="T1144" s="957"/>
      <c r="U1144" s="957"/>
    </row>
    <row r="1145" ht="13.5" customHeight="1">
      <c r="A1145" s="931"/>
      <c r="B1145" s="291"/>
      <c r="C1145" s="931"/>
      <c r="D1145" s="932"/>
      <c r="E1145" s="932"/>
      <c r="F1145" s="931"/>
      <c r="G1145" s="931"/>
      <c r="H1145" s="932"/>
      <c r="I1145" s="932"/>
      <c r="J1145" s="932"/>
      <c r="K1145" s="932"/>
      <c r="L1145" s="932"/>
      <c r="M1145" s="966"/>
      <c r="N1145" s="957"/>
      <c r="O1145" s="957"/>
      <c r="P1145" s="932"/>
      <c r="Q1145" s="931"/>
      <c r="R1145" s="931"/>
      <c r="S1145" s="957"/>
      <c r="T1145" s="957"/>
      <c r="U1145" s="957"/>
    </row>
    <row r="1146" ht="13.5" customHeight="1">
      <c r="A1146" s="931"/>
      <c r="B1146" s="291"/>
      <c r="C1146" s="931"/>
      <c r="D1146" s="932"/>
      <c r="E1146" s="932"/>
      <c r="F1146" s="931"/>
      <c r="G1146" s="931"/>
      <c r="H1146" s="932"/>
      <c r="I1146" s="932"/>
      <c r="J1146" s="932"/>
      <c r="K1146" s="932"/>
      <c r="L1146" s="932"/>
      <c r="M1146" s="966"/>
      <c r="N1146" s="957"/>
      <c r="O1146" s="957"/>
      <c r="P1146" s="932"/>
      <c r="Q1146" s="931"/>
      <c r="R1146" s="931"/>
      <c r="S1146" s="957"/>
      <c r="T1146" s="957"/>
      <c r="U1146" s="957"/>
    </row>
    <row r="1147" ht="13.5" customHeight="1">
      <c r="A1147" s="931"/>
      <c r="B1147" s="291"/>
      <c r="C1147" s="931"/>
      <c r="D1147" s="932"/>
      <c r="E1147" s="932"/>
      <c r="F1147" s="931"/>
      <c r="G1147" s="931"/>
      <c r="H1147" s="932"/>
      <c r="I1147" s="932"/>
      <c r="J1147" s="932"/>
      <c r="K1147" s="932"/>
      <c r="L1147" s="932"/>
      <c r="M1147" s="966"/>
      <c r="N1147" s="957"/>
      <c r="O1147" s="957"/>
      <c r="P1147" s="932"/>
      <c r="Q1147" s="931"/>
      <c r="R1147" s="931"/>
      <c r="S1147" s="957"/>
      <c r="T1147" s="957"/>
      <c r="U1147" s="957"/>
    </row>
    <row r="1148" ht="13.5" customHeight="1">
      <c r="A1148" s="931"/>
      <c r="B1148" s="291"/>
      <c r="C1148" s="931"/>
      <c r="D1148" s="932"/>
      <c r="E1148" s="932"/>
      <c r="F1148" s="931"/>
      <c r="G1148" s="931"/>
      <c r="H1148" s="932"/>
      <c r="I1148" s="932"/>
      <c r="J1148" s="932"/>
      <c r="K1148" s="932"/>
      <c r="L1148" s="932"/>
      <c r="M1148" s="966"/>
      <c r="N1148" s="957"/>
      <c r="O1148" s="957"/>
      <c r="P1148" s="932"/>
      <c r="Q1148" s="931"/>
      <c r="R1148" s="931"/>
      <c r="S1148" s="957"/>
      <c r="T1148" s="957"/>
      <c r="U1148" s="957"/>
    </row>
    <row r="1149" ht="13.5" customHeight="1">
      <c r="A1149" s="931"/>
      <c r="B1149" s="291"/>
      <c r="C1149" s="931"/>
      <c r="D1149" s="932"/>
      <c r="E1149" s="932"/>
      <c r="F1149" s="931"/>
      <c r="G1149" s="931"/>
      <c r="H1149" s="932"/>
      <c r="I1149" s="932"/>
      <c r="J1149" s="932"/>
      <c r="K1149" s="932"/>
      <c r="L1149" s="932"/>
      <c r="M1149" s="966"/>
      <c r="N1149" s="957"/>
      <c r="O1149" s="957"/>
      <c r="P1149" s="932"/>
      <c r="Q1149" s="931"/>
      <c r="R1149" s="931"/>
      <c r="S1149" s="957"/>
      <c r="T1149" s="957"/>
      <c r="U1149" s="957"/>
    </row>
    <row r="1150" ht="13.5" customHeight="1">
      <c r="A1150" s="931"/>
      <c r="B1150" s="291"/>
      <c r="C1150" s="931"/>
      <c r="D1150" s="932"/>
      <c r="E1150" s="932"/>
      <c r="F1150" s="931"/>
      <c r="G1150" s="931"/>
      <c r="H1150" s="932"/>
      <c r="I1150" s="932"/>
      <c r="J1150" s="932"/>
      <c r="K1150" s="932"/>
      <c r="L1150" s="932"/>
      <c r="M1150" s="966"/>
      <c r="N1150" s="957"/>
      <c r="O1150" s="957"/>
      <c r="P1150" s="932"/>
      <c r="Q1150" s="931"/>
      <c r="R1150" s="931"/>
      <c r="S1150" s="957"/>
      <c r="T1150" s="957"/>
      <c r="U1150" s="957"/>
    </row>
    <row r="1151" ht="13.5" customHeight="1">
      <c r="A1151" s="931"/>
      <c r="B1151" s="291"/>
      <c r="C1151" s="931"/>
      <c r="D1151" s="932"/>
      <c r="E1151" s="932"/>
      <c r="F1151" s="931"/>
      <c r="G1151" s="931"/>
      <c r="H1151" s="932"/>
      <c r="I1151" s="932"/>
      <c r="J1151" s="932"/>
      <c r="K1151" s="932"/>
      <c r="L1151" s="932"/>
      <c r="M1151" s="966"/>
      <c r="N1151" s="957"/>
      <c r="O1151" s="957"/>
      <c r="P1151" s="932"/>
      <c r="Q1151" s="931"/>
      <c r="R1151" s="931"/>
      <c r="S1151" s="957"/>
      <c r="T1151" s="957"/>
      <c r="U1151" s="957"/>
    </row>
    <row r="1152" ht="13.5" customHeight="1">
      <c r="A1152" s="931"/>
      <c r="B1152" s="291"/>
      <c r="C1152" s="931"/>
      <c r="D1152" s="932"/>
      <c r="E1152" s="932"/>
      <c r="F1152" s="931"/>
      <c r="G1152" s="931"/>
      <c r="H1152" s="932"/>
      <c r="I1152" s="932"/>
      <c r="J1152" s="932"/>
      <c r="K1152" s="932"/>
      <c r="L1152" s="932"/>
      <c r="M1152" s="966"/>
      <c r="N1152" s="957"/>
      <c r="O1152" s="957"/>
      <c r="P1152" s="932"/>
      <c r="Q1152" s="931"/>
      <c r="R1152" s="931"/>
      <c r="S1152" s="957"/>
      <c r="T1152" s="957"/>
      <c r="U1152" s="957"/>
    </row>
    <row r="1153" ht="13.5" customHeight="1">
      <c r="A1153" s="931"/>
      <c r="B1153" s="291"/>
      <c r="C1153" s="931"/>
      <c r="D1153" s="932"/>
      <c r="E1153" s="932"/>
      <c r="F1153" s="931"/>
      <c r="G1153" s="931"/>
      <c r="H1153" s="932"/>
      <c r="I1153" s="932"/>
      <c r="J1153" s="932"/>
      <c r="K1153" s="932"/>
      <c r="L1153" s="932"/>
      <c r="M1153" s="966"/>
      <c r="N1153" s="957"/>
      <c r="O1153" s="957"/>
      <c r="P1153" s="932"/>
      <c r="Q1153" s="931"/>
      <c r="R1153" s="931"/>
      <c r="S1153" s="957"/>
      <c r="T1153" s="957"/>
      <c r="U1153" s="957"/>
    </row>
    <row r="1154" ht="13.5" customHeight="1">
      <c r="A1154" s="931"/>
      <c r="B1154" s="291"/>
      <c r="C1154" s="931"/>
      <c r="D1154" s="932"/>
      <c r="E1154" s="932"/>
      <c r="F1154" s="931"/>
      <c r="G1154" s="931"/>
      <c r="H1154" s="932"/>
      <c r="I1154" s="932"/>
      <c r="J1154" s="932"/>
      <c r="K1154" s="932"/>
      <c r="L1154" s="932"/>
      <c r="M1154" s="966"/>
      <c r="N1154" s="957"/>
      <c r="O1154" s="957"/>
      <c r="P1154" s="932"/>
      <c r="Q1154" s="931"/>
      <c r="R1154" s="931"/>
      <c r="S1154" s="957"/>
      <c r="T1154" s="957"/>
      <c r="U1154" s="957"/>
    </row>
    <row r="1155" ht="13.5" customHeight="1">
      <c r="A1155" s="931"/>
      <c r="B1155" s="291"/>
      <c r="C1155" s="931"/>
      <c r="D1155" s="932"/>
      <c r="E1155" s="932"/>
      <c r="F1155" s="931"/>
      <c r="G1155" s="931"/>
      <c r="H1155" s="932"/>
      <c r="I1155" s="932"/>
      <c r="J1155" s="932"/>
      <c r="K1155" s="932"/>
      <c r="L1155" s="932"/>
      <c r="M1155" s="966"/>
      <c r="N1155" s="957"/>
      <c r="O1155" s="957"/>
      <c r="P1155" s="932"/>
      <c r="Q1155" s="931"/>
      <c r="R1155" s="931"/>
      <c r="S1155" s="957"/>
      <c r="T1155" s="957"/>
      <c r="U1155" s="957"/>
    </row>
    <row r="1156" ht="13.5" customHeight="1">
      <c r="A1156" s="931"/>
      <c r="B1156" s="291"/>
      <c r="C1156" s="931"/>
      <c r="D1156" s="932"/>
      <c r="E1156" s="932"/>
      <c r="F1156" s="931"/>
      <c r="G1156" s="931"/>
      <c r="H1156" s="932"/>
      <c r="I1156" s="932"/>
      <c r="J1156" s="932"/>
      <c r="K1156" s="932"/>
      <c r="L1156" s="932"/>
      <c r="M1156" s="966"/>
      <c r="N1156" s="957"/>
      <c r="O1156" s="957"/>
      <c r="P1156" s="932"/>
      <c r="Q1156" s="931"/>
      <c r="R1156" s="931"/>
      <c r="S1156" s="957"/>
      <c r="T1156" s="957"/>
      <c r="U1156" s="957"/>
    </row>
    <row r="1157" ht="13.5" customHeight="1">
      <c r="A1157" s="931"/>
      <c r="B1157" s="291"/>
      <c r="C1157" s="931"/>
      <c r="D1157" s="932"/>
      <c r="E1157" s="932"/>
      <c r="F1157" s="931"/>
      <c r="G1157" s="931"/>
      <c r="H1157" s="932"/>
      <c r="I1157" s="932"/>
      <c r="J1157" s="932"/>
      <c r="K1157" s="932"/>
      <c r="L1157" s="932"/>
      <c r="M1157" s="966"/>
      <c r="N1157" s="957"/>
      <c r="O1157" s="957"/>
      <c r="P1157" s="932"/>
      <c r="Q1157" s="931"/>
      <c r="R1157" s="931"/>
      <c r="S1157" s="957"/>
      <c r="T1157" s="957"/>
      <c r="U1157" s="957"/>
    </row>
    <row r="1158" ht="13.5" customHeight="1">
      <c r="A1158" s="931"/>
      <c r="B1158" s="291"/>
      <c r="C1158" s="931"/>
      <c r="D1158" s="932"/>
      <c r="E1158" s="932"/>
      <c r="F1158" s="931"/>
      <c r="G1158" s="931"/>
      <c r="H1158" s="932"/>
      <c r="I1158" s="932"/>
      <c r="J1158" s="932"/>
      <c r="K1158" s="932"/>
      <c r="L1158" s="932"/>
      <c r="M1158" s="966"/>
      <c r="N1158" s="957"/>
      <c r="O1158" s="957"/>
      <c r="P1158" s="932"/>
      <c r="Q1158" s="931"/>
      <c r="R1158" s="931"/>
      <c r="S1158" s="957"/>
      <c r="T1158" s="957"/>
      <c r="U1158" s="957"/>
    </row>
    <row r="1159" ht="13.5" customHeight="1">
      <c r="A1159" s="931"/>
      <c r="B1159" s="291"/>
      <c r="C1159" s="931"/>
      <c r="D1159" s="932"/>
      <c r="E1159" s="932"/>
      <c r="F1159" s="931"/>
      <c r="G1159" s="931"/>
      <c r="H1159" s="932"/>
      <c r="I1159" s="932"/>
      <c r="J1159" s="932"/>
      <c r="K1159" s="932"/>
      <c r="L1159" s="932"/>
      <c r="M1159" s="966"/>
      <c r="N1159" s="957"/>
      <c r="O1159" s="957"/>
      <c r="P1159" s="932"/>
      <c r="Q1159" s="931"/>
      <c r="R1159" s="931"/>
      <c r="S1159" s="957"/>
      <c r="T1159" s="957"/>
      <c r="U1159" s="957"/>
    </row>
    <row r="1160" ht="13.5" customHeight="1">
      <c r="A1160" s="931"/>
      <c r="B1160" s="291"/>
      <c r="C1160" s="931"/>
      <c r="D1160" s="932"/>
      <c r="E1160" s="932"/>
      <c r="F1160" s="931"/>
      <c r="G1160" s="931"/>
      <c r="H1160" s="932"/>
      <c r="I1160" s="932"/>
      <c r="J1160" s="932"/>
      <c r="K1160" s="932"/>
      <c r="L1160" s="932"/>
      <c r="M1160" s="966"/>
      <c r="N1160" s="957"/>
      <c r="O1160" s="957"/>
      <c r="P1160" s="932"/>
      <c r="Q1160" s="931"/>
      <c r="R1160" s="931"/>
      <c r="S1160" s="957"/>
      <c r="T1160" s="957"/>
      <c r="U1160" s="957"/>
    </row>
    <row r="1161" ht="13.5" customHeight="1">
      <c r="A1161" s="931"/>
      <c r="B1161" s="291"/>
      <c r="C1161" s="931"/>
      <c r="D1161" s="932"/>
      <c r="E1161" s="932"/>
      <c r="F1161" s="931"/>
      <c r="G1161" s="931"/>
      <c r="H1161" s="932"/>
      <c r="I1161" s="932"/>
      <c r="J1161" s="932"/>
      <c r="K1161" s="932"/>
      <c r="L1161" s="932"/>
      <c r="M1161" s="966"/>
      <c r="N1161" s="957"/>
      <c r="O1161" s="957"/>
      <c r="P1161" s="932"/>
      <c r="Q1161" s="931"/>
      <c r="R1161" s="931"/>
      <c r="S1161" s="957"/>
      <c r="T1161" s="957"/>
      <c r="U1161" s="957"/>
    </row>
    <row r="1162" ht="13.5" customHeight="1">
      <c r="A1162" s="931"/>
      <c r="B1162" s="291"/>
      <c r="C1162" s="931"/>
      <c r="D1162" s="932"/>
      <c r="E1162" s="932"/>
      <c r="F1162" s="931"/>
      <c r="G1162" s="931"/>
      <c r="H1162" s="932"/>
      <c r="I1162" s="932"/>
      <c r="J1162" s="932"/>
      <c r="K1162" s="932"/>
      <c r="L1162" s="932"/>
      <c r="M1162" s="966"/>
      <c r="N1162" s="957"/>
      <c r="O1162" s="957"/>
      <c r="P1162" s="932"/>
      <c r="Q1162" s="931"/>
      <c r="R1162" s="931"/>
      <c r="S1162" s="957"/>
      <c r="T1162" s="957"/>
      <c r="U1162" s="957"/>
    </row>
    <row r="1163" ht="13.5" customHeight="1">
      <c r="A1163" s="931"/>
      <c r="B1163" s="291"/>
      <c r="C1163" s="931"/>
      <c r="D1163" s="932"/>
      <c r="E1163" s="932"/>
      <c r="F1163" s="931"/>
      <c r="G1163" s="931"/>
      <c r="H1163" s="932"/>
      <c r="I1163" s="932"/>
      <c r="J1163" s="932"/>
      <c r="K1163" s="932"/>
      <c r="L1163" s="932"/>
      <c r="M1163" s="966"/>
      <c r="N1163" s="957"/>
      <c r="O1163" s="957"/>
      <c r="P1163" s="932"/>
      <c r="Q1163" s="931"/>
      <c r="R1163" s="931"/>
      <c r="S1163" s="957"/>
      <c r="T1163" s="957"/>
      <c r="U1163" s="957"/>
    </row>
    <row r="1164" ht="13.5" customHeight="1">
      <c r="A1164" s="931"/>
      <c r="B1164" s="291"/>
      <c r="C1164" s="931"/>
      <c r="D1164" s="932"/>
      <c r="E1164" s="932"/>
      <c r="F1164" s="931"/>
      <c r="G1164" s="931"/>
      <c r="H1164" s="932"/>
      <c r="I1164" s="932"/>
      <c r="J1164" s="932"/>
      <c r="K1164" s="932"/>
      <c r="L1164" s="932"/>
      <c r="M1164" s="966"/>
      <c r="N1164" s="957"/>
      <c r="O1164" s="957"/>
      <c r="P1164" s="932"/>
      <c r="Q1164" s="931"/>
      <c r="R1164" s="931"/>
      <c r="S1164" s="957"/>
      <c r="T1164" s="957"/>
      <c r="U1164" s="957"/>
    </row>
    <row r="1165" ht="13.5" customHeight="1">
      <c r="A1165" s="931"/>
      <c r="B1165" s="291"/>
      <c r="C1165" s="931"/>
      <c r="D1165" s="932"/>
      <c r="E1165" s="932"/>
      <c r="F1165" s="931"/>
      <c r="G1165" s="931"/>
      <c r="H1165" s="932"/>
      <c r="I1165" s="932"/>
      <c r="J1165" s="932"/>
      <c r="K1165" s="932"/>
      <c r="L1165" s="932"/>
      <c r="M1165" s="966"/>
      <c r="N1165" s="957"/>
      <c r="O1165" s="957"/>
      <c r="P1165" s="932"/>
      <c r="Q1165" s="931"/>
      <c r="R1165" s="931"/>
      <c r="S1165" s="957"/>
      <c r="T1165" s="957"/>
      <c r="U1165" s="957"/>
    </row>
    <row r="1166" ht="13.5" customHeight="1">
      <c r="A1166" s="931"/>
      <c r="B1166" s="291"/>
      <c r="C1166" s="931"/>
      <c r="D1166" s="932"/>
      <c r="E1166" s="932"/>
      <c r="F1166" s="931"/>
      <c r="G1166" s="931"/>
      <c r="H1166" s="932"/>
      <c r="I1166" s="932"/>
      <c r="J1166" s="932"/>
      <c r="K1166" s="932"/>
      <c r="L1166" s="932"/>
      <c r="M1166" s="966"/>
      <c r="N1166" s="957"/>
      <c r="O1166" s="957"/>
      <c r="P1166" s="932"/>
      <c r="Q1166" s="931"/>
      <c r="R1166" s="931"/>
      <c r="S1166" s="957"/>
      <c r="T1166" s="957"/>
      <c r="U1166" s="957"/>
    </row>
    <row r="1167" ht="13.5" customHeight="1">
      <c r="A1167" s="931"/>
      <c r="B1167" s="291"/>
      <c r="C1167" s="931"/>
      <c r="D1167" s="932"/>
      <c r="E1167" s="932"/>
      <c r="F1167" s="931"/>
      <c r="G1167" s="931"/>
      <c r="H1167" s="932"/>
      <c r="I1167" s="932"/>
      <c r="J1167" s="932"/>
      <c r="K1167" s="932"/>
      <c r="L1167" s="932"/>
      <c r="M1167" s="966"/>
      <c r="N1167" s="957"/>
      <c r="O1167" s="957"/>
      <c r="P1167" s="932"/>
      <c r="Q1167" s="931"/>
      <c r="R1167" s="931"/>
      <c r="S1167" s="957"/>
      <c r="T1167" s="957"/>
      <c r="U1167" s="957"/>
    </row>
    <row r="1168" ht="13.5" customHeight="1">
      <c r="A1168" s="931"/>
      <c r="B1168" s="291"/>
      <c r="C1168" s="931"/>
      <c r="D1168" s="932"/>
      <c r="E1168" s="932"/>
      <c r="F1168" s="931"/>
      <c r="G1168" s="931"/>
      <c r="H1168" s="932"/>
      <c r="I1168" s="932"/>
      <c r="J1168" s="932"/>
      <c r="K1168" s="932"/>
      <c r="L1168" s="932"/>
      <c r="M1168" s="966"/>
      <c r="N1168" s="957"/>
      <c r="O1168" s="957"/>
      <c r="P1168" s="932"/>
      <c r="Q1168" s="931"/>
      <c r="R1168" s="931"/>
      <c r="S1168" s="957"/>
      <c r="T1168" s="957"/>
      <c r="U1168" s="957"/>
    </row>
    <row r="1169" ht="13.5" customHeight="1">
      <c r="A1169" s="931"/>
      <c r="B1169" s="291"/>
      <c r="C1169" s="931"/>
      <c r="D1169" s="932"/>
      <c r="E1169" s="932"/>
      <c r="F1169" s="931"/>
      <c r="G1169" s="931"/>
      <c r="H1169" s="932"/>
      <c r="I1169" s="932"/>
      <c r="J1169" s="932"/>
      <c r="K1169" s="932"/>
      <c r="L1169" s="932"/>
      <c r="M1169" s="966"/>
      <c r="N1169" s="957"/>
      <c r="O1169" s="957"/>
      <c r="P1169" s="932"/>
      <c r="Q1169" s="931"/>
      <c r="R1169" s="931"/>
      <c r="S1169" s="957"/>
      <c r="T1169" s="957"/>
      <c r="U1169" s="957"/>
    </row>
    <row r="1170" ht="13.5" customHeight="1">
      <c r="A1170" s="931"/>
      <c r="B1170" s="291"/>
      <c r="C1170" s="931"/>
      <c r="D1170" s="932"/>
      <c r="E1170" s="932"/>
      <c r="F1170" s="931"/>
      <c r="G1170" s="931"/>
      <c r="H1170" s="932"/>
      <c r="I1170" s="932"/>
      <c r="J1170" s="932"/>
      <c r="K1170" s="932"/>
      <c r="L1170" s="932"/>
      <c r="M1170" s="966"/>
      <c r="N1170" s="957"/>
      <c r="O1170" s="957"/>
      <c r="P1170" s="932"/>
      <c r="Q1170" s="931"/>
      <c r="R1170" s="931"/>
      <c r="S1170" s="957"/>
      <c r="T1170" s="957"/>
      <c r="U1170" s="957"/>
    </row>
    <row r="1171" ht="13.5" customHeight="1">
      <c r="A1171" s="931"/>
      <c r="B1171" s="291"/>
      <c r="C1171" s="931"/>
      <c r="D1171" s="932"/>
      <c r="E1171" s="932"/>
      <c r="F1171" s="931"/>
      <c r="G1171" s="931"/>
      <c r="H1171" s="932"/>
      <c r="I1171" s="932"/>
      <c r="J1171" s="932"/>
      <c r="K1171" s="932"/>
      <c r="L1171" s="932"/>
      <c r="M1171" s="966"/>
      <c r="N1171" s="957"/>
      <c r="O1171" s="957"/>
      <c r="P1171" s="932"/>
      <c r="Q1171" s="931"/>
      <c r="R1171" s="931"/>
      <c r="S1171" s="957"/>
      <c r="T1171" s="957"/>
      <c r="U1171" s="957"/>
    </row>
    <row r="1172" ht="13.5" customHeight="1">
      <c r="A1172" s="931"/>
      <c r="B1172" s="291"/>
      <c r="C1172" s="931"/>
      <c r="D1172" s="932"/>
      <c r="E1172" s="932"/>
      <c r="F1172" s="931"/>
      <c r="G1172" s="931"/>
      <c r="H1172" s="932"/>
      <c r="I1172" s="932"/>
      <c r="J1172" s="932"/>
      <c r="K1172" s="932"/>
      <c r="L1172" s="932"/>
      <c r="M1172" s="966"/>
      <c r="N1172" s="957"/>
      <c r="O1172" s="957"/>
      <c r="P1172" s="932"/>
      <c r="Q1172" s="931"/>
      <c r="R1172" s="931"/>
      <c r="S1172" s="957"/>
      <c r="T1172" s="957"/>
      <c r="U1172" s="957"/>
    </row>
    <row r="1173" ht="13.5" customHeight="1">
      <c r="A1173" s="931"/>
      <c r="B1173" s="291"/>
      <c r="C1173" s="931"/>
      <c r="D1173" s="932"/>
      <c r="E1173" s="932"/>
      <c r="F1173" s="931"/>
      <c r="G1173" s="931"/>
      <c r="H1173" s="932"/>
      <c r="I1173" s="932"/>
      <c r="J1173" s="932"/>
      <c r="K1173" s="932"/>
      <c r="L1173" s="932"/>
      <c r="M1173" s="966"/>
      <c r="N1173" s="957"/>
      <c r="O1173" s="957"/>
      <c r="P1173" s="932"/>
      <c r="Q1173" s="931"/>
      <c r="R1173" s="931"/>
      <c r="S1173" s="957"/>
      <c r="T1173" s="957"/>
      <c r="U1173" s="957"/>
    </row>
    <row r="1174" ht="13.5" customHeight="1">
      <c r="A1174" s="931"/>
      <c r="B1174" s="291"/>
      <c r="C1174" s="931"/>
      <c r="D1174" s="932"/>
      <c r="E1174" s="932"/>
      <c r="F1174" s="931"/>
      <c r="G1174" s="931"/>
      <c r="H1174" s="932"/>
      <c r="I1174" s="932"/>
      <c r="J1174" s="932"/>
      <c r="K1174" s="932"/>
      <c r="L1174" s="932"/>
      <c r="M1174" s="966"/>
      <c r="N1174" s="957"/>
      <c r="O1174" s="957"/>
      <c r="P1174" s="932"/>
      <c r="Q1174" s="931"/>
      <c r="R1174" s="931"/>
      <c r="S1174" s="957"/>
      <c r="T1174" s="957"/>
      <c r="U1174" s="957"/>
    </row>
    <row r="1175" ht="13.5" customHeight="1">
      <c r="A1175" s="931"/>
      <c r="B1175" s="291"/>
      <c r="C1175" s="931"/>
      <c r="D1175" s="932"/>
      <c r="E1175" s="932"/>
      <c r="F1175" s="931"/>
      <c r="G1175" s="931"/>
      <c r="H1175" s="932"/>
      <c r="I1175" s="932"/>
      <c r="J1175" s="932"/>
      <c r="K1175" s="932"/>
      <c r="L1175" s="932"/>
      <c r="M1175" s="966"/>
      <c r="N1175" s="957"/>
      <c r="O1175" s="957"/>
      <c r="P1175" s="932"/>
      <c r="Q1175" s="931"/>
      <c r="R1175" s="931"/>
      <c r="S1175" s="957"/>
      <c r="T1175" s="957"/>
      <c r="U1175" s="957"/>
    </row>
    <row r="1176" ht="13.5" customHeight="1">
      <c r="A1176" s="931"/>
      <c r="B1176" s="291"/>
      <c r="C1176" s="931"/>
      <c r="D1176" s="932"/>
      <c r="E1176" s="932"/>
      <c r="F1176" s="931"/>
      <c r="G1176" s="931"/>
      <c r="H1176" s="932"/>
      <c r="I1176" s="932"/>
      <c r="J1176" s="932"/>
      <c r="K1176" s="932"/>
      <c r="L1176" s="932"/>
      <c r="M1176" s="966"/>
      <c r="N1176" s="957"/>
      <c r="O1176" s="957"/>
      <c r="P1176" s="932"/>
      <c r="Q1176" s="931"/>
      <c r="R1176" s="931"/>
      <c r="S1176" s="957"/>
      <c r="T1176" s="957"/>
      <c r="U1176" s="957"/>
    </row>
    <row r="1177" ht="13.5" customHeight="1">
      <c r="A1177" s="931"/>
      <c r="B1177" s="291"/>
      <c r="C1177" s="931"/>
      <c r="D1177" s="932"/>
      <c r="E1177" s="932"/>
      <c r="F1177" s="931"/>
      <c r="G1177" s="931"/>
      <c r="H1177" s="932"/>
      <c r="I1177" s="932"/>
      <c r="J1177" s="932"/>
      <c r="K1177" s="932"/>
      <c r="L1177" s="932"/>
      <c r="M1177" s="966"/>
      <c r="N1177" s="957"/>
      <c r="O1177" s="957"/>
      <c r="P1177" s="932"/>
      <c r="Q1177" s="931"/>
      <c r="R1177" s="931"/>
      <c r="S1177" s="957"/>
      <c r="T1177" s="957"/>
      <c r="U1177" s="957"/>
    </row>
    <row r="1178" ht="13.5" customHeight="1">
      <c r="A1178" s="931"/>
      <c r="B1178" s="291"/>
      <c r="C1178" s="931"/>
      <c r="D1178" s="932"/>
      <c r="E1178" s="932"/>
      <c r="F1178" s="931"/>
      <c r="G1178" s="931"/>
      <c r="H1178" s="932"/>
      <c r="I1178" s="932"/>
      <c r="J1178" s="932"/>
      <c r="K1178" s="932"/>
      <c r="L1178" s="932"/>
      <c r="M1178" s="966"/>
      <c r="N1178" s="957"/>
      <c r="O1178" s="957"/>
      <c r="P1178" s="932"/>
      <c r="Q1178" s="931"/>
      <c r="R1178" s="931"/>
      <c r="S1178" s="957"/>
      <c r="T1178" s="957"/>
      <c r="U1178" s="957"/>
    </row>
    <row r="1179" ht="13.5" customHeight="1">
      <c r="A1179" s="931"/>
      <c r="B1179" s="291"/>
      <c r="C1179" s="931"/>
      <c r="D1179" s="932"/>
      <c r="E1179" s="932"/>
      <c r="F1179" s="931"/>
      <c r="G1179" s="931"/>
      <c r="H1179" s="932"/>
      <c r="I1179" s="932"/>
      <c r="J1179" s="932"/>
      <c r="K1179" s="932"/>
      <c r="L1179" s="932"/>
      <c r="M1179" s="966"/>
      <c r="N1179" s="957"/>
      <c r="O1179" s="957"/>
      <c r="P1179" s="932"/>
      <c r="Q1179" s="931"/>
      <c r="R1179" s="931"/>
      <c r="S1179" s="957"/>
      <c r="T1179" s="957"/>
      <c r="U1179" s="957"/>
    </row>
    <row r="1180" ht="13.5" customHeight="1">
      <c r="A1180" s="931"/>
      <c r="B1180" s="291"/>
      <c r="C1180" s="931"/>
      <c r="D1180" s="932"/>
      <c r="E1180" s="932"/>
      <c r="F1180" s="931"/>
      <c r="G1180" s="931"/>
      <c r="H1180" s="932"/>
      <c r="I1180" s="932"/>
      <c r="J1180" s="932"/>
      <c r="K1180" s="932"/>
      <c r="L1180" s="932"/>
      <c r="M1180" s="966"/>
      <c r="N1180" s="957"/>
      <c r="O1180" s="957"/>
      <c r="P1180" s="932"/>
      <c r="Q1180" s="931"/>
      <c r="R1180" s="931"/>
      <c r="S1180" s="957"/>
      <c r="T1180" s="957"/>
      <c r="U1180" s="957"/>
    </row>
    <row r="1181" ht="13.5" customHeight="1">
      <c r="A1181" s="931"/>
      <c r="B1181" s="291"/>
      <c r="C1181" s="931"/>
      <c r="D1181" s="932"/>
      <c r="E1181" s="932"/>
      <c r="F1181" s="931"/>
      <c r="G1181" s="931"/>
      <c r="H1181" s="932"/>
      <c r="I1181" s="932"/>
      <c r="J1181" s="932"/>
      <c r="K1181" s="932"/>
      <c r="L1181" s="932"/>
      <c r="M1181" s="966"/>
      <c r="N1181" s="957"/>
      <c r="O1181" s="957"/>
      <c r="P1181" s="932"/>
      <c r="Q1181" s="931"/>
      <c r="R1181" s="931"/>
      <c r="S1181" s="957"/>
      <c r="T1181" s="957"/>
      <c r="U1181" s="957"/>
    </row>
    <row r="1182" ht="13.5" customHeight="1">
      <c r="A1182" s="931"/>
      <c r="B1182" s="291"/>
      <c r="C1182" s="931"/>
      <c r="D1182" s="932"/>
      <c r="E1182" s="932"/>
      <c r="F1182" s="931"/>
      <c r="G1182" s="931"/>
      <c r="H1182" s="932"/>
      <c r="I1182" s="932"/>
      <c r="J1182" s="932"/>
      <c r="K1182" s="932"/>
      <c r="L1182" s="932"/>
      <c r="M1182" s="966"/>
      <c r="N1182" s="957"/>
      <c r="O1182" s="957"/>
      <c r="P1182" s="932"/>
      <c r="Q1182" s="931"/>
      <c r="R1182" s="931"/>
      <c r="S1182" s="957"/>
      <c r="T1182" s="957"/>
      <c r="U1182" s="957"/>
    </row>
    <row r="1183" ht="13.5" customHeight="1">
      <c r="A1183" s="931"/>
      <c r="B1183" s="291"/>
      <c r="C1183" s="931"/>
      <c r="D1183" s="932"/>
      <c r="E1183" s="932"/>
      <c r="F1183" s="931"/>
      <c r="G1183" s="931"/>
      <c r="H1183" s="932"/>
      <c r="I1183" s="932"/>
      <c r="J1183" s="932"/>
      <c r="K1183" s="932"/>
      <c r="L1183" s="932"/>
      <c r="M1183" s="966"/>
      <c r="N1183" s="957"/>
      <c r="O1183" s="957"/>
      <c r="P1183" s="932"/>
      <c r="Q1183" s="931"/>
      <c r="R1183" s="931"/>
      <c r="S1183" s="957"/>
      <c r="T1183" s="957"/>
      <c r="U1183" s="957"/>
    </row>
    <row r="1184" ht="13.5" customHeight="1">
      <c r="A1184" s="931"/>
      <c r="B1184" s="291"/>
      <c r="C1184" s="931"/>
      <c r="D1184" s="932"/>
      <c r="E1184" s="932"/>
      <c r="F1184" s="931"/>
      <c r="G1184" s="931"/>
      <c r="H1184" s="932"/>
      <c r="I1184" s="932"/>
      <c r="J1184" s="932"/>
      <c r="K1184" s="932"/>
      <c r="L1184" s="932"/>
      <c r="M1184" s="966"/>
      <c r="N1184" s="957"/>
      <c r="O1184" s="957"/>
      <c r="P1184" s="932"/>
      <c r="Q1184" s="931"/>
      <c r="R1184" s="931"/>
      <c r="S1184" s="957"/>
      <c r="T1184" s="957"/>
      <c r="U1184" s="957"/>
    </row>
    <row r="1185" ht="13.5" customHeight="1">
      <c r="A1185" s="931"/>
      <c r="B1185" s="291"/>
      <c r="C1185" s="931"/>
      <c r="D1185" s="932"/>
      <c r="E1185" s="932"/>
      <c r="F1185" s="931"/>
      <c r="G1185" s="931"/>
      <c r="H1185" s="932"/>
      <c r="I1185" s="932"/>
      <c r="J1185" s="932"/>
      <c r="K1185" s="932"/>
      <c r="L1185" s="932"/>
      <c r="M1185" s="966"/>
      <c r="N1185" s="957"/>
      <c r="O1185" s="957"/>
      <c r="P1185" s="932"/>
      <c r="Q1185" s="931"/>
      <c r="R1185" s="931"/>
      <c r="S1185" s="957"/>
      <c r="T1185" s="957"/>
      <c r="U1185" s="957"/>
    </row>
    <row r="1186" ht="13.5" customHeight="1">
      <c r="A1186" s="931"/>
      <c r="B1186" s="291"/>
      <c r="C1186" s="931"/>
      <c r="D1186" s="932"/>
      <c r="E1186" s="932"/>
      <c r="F1186" s="931"/>
      <c r="G1186" s="931"/>
      <c r="H1186" s="932"/>
      <c r="I1186" s="932"/>
      <c r="J1186" s="932"/>
      <c r="K1186" s="932"/>
      <c r="L1186" s="932"/>
      <c r="M1186" s="966"/>
      <c r="N1186" s="957"/>
      <c r="O1186" s="957"/>
      <c r="P1186" s="932"/>
      <c r="Q1186" s="931"/>
      <c r="R1186" s="931"/>
      <c r="S1186" s="957"/>
      <c r="T1186" s="957"/>
      <c r="U1186" s="957"/>
    </row>
    <row r="1187" ht="13.5" customHeight="1">
      <c r="A1187" s="931"/>
      <c r="B1187" s="291"/>
      <c r="C1187" s="931"/>
      <c r="D1187" s="932"/>
      <c r="E1187" s="932"/>
      <c r="F1187" s="931"/>
      <c r="G1187" s="931"/>
      <c r="H1187" s="932"/>
      <c r="I1187" s="932"/>
      <c r="J1187" s="932"/>
      <c r="K1187" s="932"/>
      <c r="L1187" s="932"/>
      <c r="M1187" s="966"/>
      <c r="N1187" s="957"/>
      <c r="O1187" s="957"/>
      <c r="P1187" s="932"/>
      <c r="Q1187" s="931"/>
      <c r="R1187" s="931"/>
      <c r="S1187" s="957"/>
      <c r="T1187" s="957"/>
      <c r="U1187" s="957"/>
    </row>
    <row r="1188" ht="13.5" customHeight="1">
      <c r="A1188" s="931"/>
      <c r="B1188" s="291"/>
      <c r="C1188" s="931"/>
      <c r="D1188" s="932"/>
      <c r="E1188" s="932"/>
      <c r="F1188" s="931"/>
      <c r="G1188" s="931"/>
      <c r="H1188" s="932"/>
      <c r="I1188" s="932"/>
      <c r="J1188" s="932"/>
      <c r="K1188" s="932"/>
      <c r="L1188" s="932"/>
      <c r="M1188" s="966"/>
      <c r="N1188" s="957"/>
      <c r="O1188" s="957"/>
      <c r="P1188" s="932"/>
      <c r="Q1188" s="931"/>
      <c r="R1188" s="931"/>
      <c r="S1188" s="957"/>
      <c r="T1188" s="957"/>
      <c r="U1188" s="957"/>
    </row>
    <row r="1189" ht="13.5" customHeight="1">
      <c r="A1189" s="931"/>
      <c r="B1189" s="291"/>
      <c r="C1189" s="931"/>
      <c r="D1189" s="932"/>
      <c r="E1189" s="932"/>
      <c r="F1189" s="931"/>
      <c r="G1189" s="931"/>
      <c r="H1189" s="932"/>
      <c r="I1189" s="932"/>
      <c r="J1189" s="932"/>
      <c r="K1189" s="932"/>
      <c r="L1189" s="932"/>
      <c r="M1189" s="966"/>
      <c r="N1189" s="957"/>
      <c r="O1189" s="957"/>
      <c r="P1189" s="932"/>
      <c r="Q1189" s="931"/>
      <c r="R1189" s="931"/>
      <c r="S1189" s="957"/>
      <c r="T1189" s="957"/>
      <c r="U1189" s="957"/>
    </row>
    <row r="1190" ht="13.5" customHeight="1">
      <c r="A1190" s="931"/>
      <c r="B1190" s="291"/>
      <c r="C1190" s="931"/>
      <c r="D1190" s="932"/>
      <c r="E1190" s="932"/>
      <c r="F1190" s="931"/>
      <c r="G1190" s="931"/>
      <c r="H1190" s="932"/>
      <c r="I1190" s="932"/>
      <c r="J1190" s="932"/>
      <c r="K1190" s="932"/>
      <c r="L1190" s="932"/>
      <c r="M1190" s="966"/>
      <c r="N1190" s="957"/>
      <c r="O1190" s="957"/>
      <c r="P1190" s="932"/>
      <c r="Q1190" s="931"/>
      <c r="R1190" s="931"/>
      <c r="S1190" s="957"/>
      <c r="T1190" s="957"/>
      <c r="U1190" s="957"/>
    </row>
    <row r="1191" ht="13.5" customHeight="1">
      <c r="A1191" s="931"/>
      <c r="B1191" s="291"/>
      <c r="C1191" s="931"/>
      <c r="D1191" s="932"/>
      <c r="E1191" s="932"/>
      <c r="F1191" s="931"/>
      <c r="G1191" s="931"/>
      <c r="H1191" s="932"/>
      <c r="I1191" s="932"/>
      <c r="J1191" s="932"/>
      <c r="K1191" s="932"/>
      <c r="L1191" s="932"/>
      <c r="M1191" s="966"/>
      <c r="N1191" s="957"/>
      <c r="O1191" s="957"/>
      <c r="P1191" s="932"/>
      <c r="Q1191" s="931"/>
      <c r="R1191" s="931"/>
      <c r="S1191" s="957"/>
      <c r="T1191" s="957"/>
      <c r="U1191" s="957"/>
    </row>
    <row r="1192" ht="13.5" customHeight="1">
      <c r="A1192" s="931"/>
      <c r="B1192" s="291"/>
      <c r="C1192" s="931"/>
      <c r="D1192" s="932"/>
      <c r="E1192" s="932"/>
      <c r="F1192" s="931"/>
      <c r="G1192" s="931"/>
      <c r="H1192" s="932"/>
      <c r="I1192" s="932"/>
      <c r="J1192" s="932"/>
      <c r="K1192" s="932"/>
      <c r="L1192" s="932"/>
      <c r="M1192" s="966"/>
      <c r="N1192" s="957"/>
      <c r="O1192" s="957"/>
      <c r="P1192" s="932"/>
      <c r="Q1192" s="931"/>
      <c r="R1192" s="931"/>
      <c r="S1192" s="957"/>
      <c r="T1192" s="957"/>
      <c r="U1192" s="957"/>
    </row>
    <row r="1193" ht="13.5" customHeight="1">
      <c r="A1193" s="931"/>
      <c r="B1193" s="291"/>
      <c r="C1193" s="931"/>
      <c r="D1193" s="932"/>
      <c r="E1193" s="932"/>
      <c r="F1193" s="931"/>
      <c r="G1193" s="931"/>
      <c r="H1193" s="932"/>
      <c r="I1193" s="932"/>
      <c r="J1193" s="932"/>
      <c r="K1193" s="932"/>
      <c r="L1193" s="932"/>
      <c r="M1193" s="966"/>
      <c r="N1193" s="957"/>
      <c r="O1193" s="957"/>
      <c r="P1193" s="932"/>
      <c r="Q1193" s="931"/>
      <c r="R1193" s="931"/>
      <c r="S1193" s="957"/>
      <c r="T1193" s="957"/>
      <c r="U1193" s="957"/>
    </row>
    <row r="1194" ht="13.5" customHeight="1">
      <c r="A1194" s="931"/>
      <c r="B1194" s="291"/>
      <c r="C1194" s="931"/>
      <c r="D1194" s="932"/>
      <c r="E1194" s="932"/>
      <c r="F1194" s="931"/>
      <c r="G1194" s="931"/>
      <c r="H1194" s="932"/>
      <c r="I1194" s="932"/>
      <c r="J1194" s="932"/>
      <c r="K1194" s="932"/>
      <c r="L1194" s="932"/>
      <c r="M1194" s="966"/>
      <c r="N1194" s="957"/>
      <c r="O1194" s="957"/>
      <c r="P1194" s="932"/>
      <c r="Q1194" s="931"/>
      <c r="R1194" s="931"/>
      <c r="S1194" s="957"/>
      <c r="T1194" s="957"/>
      <c r="U1194" s="957"/>
    </row>
    <row r="1195" ht="13.5" customHeight="1">
      <c r="A1195" s="931"/>
      <c r="B1195" s="291"/>
      <c r="C1195" s="931"/>
      <c r="D1195" s="932"/>
      <c r="E1195" s="932"/>
      <c r="F1195" s="931"/>
      <c r="G1195" s="931"/>
      <c r="H1195" s="932"/>
      <c r="I1195" s="932"/>
      <c r="J1195" s="932"/>
      <c r="K1195" s="932"/>
      <c r="L1195" s="932"/>
      <c r="M1195" s="966"/>
      <c r="N1195" s="957"/>
      <c r="O1195" s="957"/>
      <c r="P1195" s="932"/>
      <c r="Q1195" s="931"/>
      <c r="R1195" s="931"/>
      <c r="S1195" s="957"/>
      <c r="T1195" s="957"/>
      <c r="U1195" s="957"/>
    </row>
    <row r="1196" ht="13.5" customHeight="1">
      <c r="A1196" s="931"/>
      <c r="B1196" s="291"/>
      <c r="C1196" s="931"/>
      <c r="D1196" s="932"/>
      <c r="E1196" s="932"/>
      <c r="F1196" s="931"/>
      <c r="G1196" s="931"/>
      <c r="H1196" s="932"/>
      <c r="I1196" s="932"/>
      <c r="J1196" s="932"/>
      <c r="K1196" s="932"/>
      <c r="L1196" s="932"/>
      <c r="M1196" s="966"/>
      <c r="N1196" s="957"/>
      <c r="O1196" s="957"/>
      <c r="P1196" s="932"/>
      <c r="Q1196" s="931"/>
      <c r="R1196" s="931"/>
      <c r="S1196" s="957"/>
      <c r="T1196" s="957"/>
      <c r="U1196" s="957"/>
    </row>
    <row r="1197" ht="13.5" customHeight="1">
      <c r="A1197" s="931"/>
      <c r="B1197" s="291"/>
      <c r="C1197" s="931"/>
      <c r="D1197" s="932"/>
      <c r="E1197" s="932"/>
      <c r="F1197" s="931"/>
      <c r="G1197" s="931"/>
      <c r="H1197" s="932"/>
      <c r="I1197" s="932"/>
      <c r="J1197" s="932"/>
      <c r="K1197" s="932"/>
      <c r="L1197" s="932"/>
      <c r="M1197" s="966"/>
      <c r="N1197" s="957"/>
      <c r="O1197" s="957"/>
      <c r="P1197" s="932"/>
      <c r="Q1197" s="931"/>
      <c r="R1197" s="931"/>
      <c r="S1197" s="957"/>
      <c r="T1197" s="957"/>
      <c r="U1197" s="957"/>
    </row>
    <row r="1198" ht="13.5" customHeight="1">
      <c r="A1198" s="931"/>
      <c r="B1198" s="291"/>
      <c r="C1198" s="931"/>
      <c r="D1198" s="932"/>
      <c r="E1198" s="932"/>
      <c r="F1198" s="931"/>
      <c r="G1198" s="931"/>
      <c r="H1198" s="932"/>
      <c r="I1198" s="932"/>
      <c r="J1198" s="932"/>
      <c r="K1198" s="932"/>
      <c r="L1198" s="932"/>
      <c r="M1198" s="966"/>
      <c r="N1198" s="957"/>
      <c r="O1198" s="957"/>
      <c r="P1198" s="932"/>
      <c r="Q1198" s="931"/>
      <c r="R1198" s="931"/>
      <c r="S1198" s="957"/>
      <c r="T1198" s="957"/>
      <c r="U1198" s="957"/>
    </row>
    <row r="1199" ht="13.5" customHeight="1">
      <c r="A1199" s="931"/>
      <c r="B1199" s="291"/>
      <c r="C1199" s="931"/>
      <c r="D1199" s="932"/>
      <c r="E1199" s="932"/>
      <c r="F1199" s="931"/>
      <c r="G1199" s="931"/>
      <c r="H1199" s="932"/>
      <c r="I1199" s="932"/>
      <c r="J1199" s="932"/>
      <c r="K1199" s="932"/>
      <c r="L1199" s="932"/>
      <c r="M1199" s="966"/>
      <c r="N1199" s="957"/>
      <c r="O1199" s="957"/>
      <c r="P1199" s="932"/>
      <c r="Q1199" s="931"/>
      <c r="R1199" s="931"/>
      <c r="S1199" s="957"/>
      <c r="T1199" s="957"/>
      <c r="U1199" s="957"/>
    </row>
    <row r="1200" ht="13.5" customHeight="1">
      <c r="A1200" s="931"/>
      <c r="B1200" s="291"/>
      <c r="C1200" s="931"/>
      <c r="D1200" s="932"/>
      <c r="E1200" s="932"/>
      <c r="F1200" s="931"/>
      <c r="G1200" s="931"/>
      <c r="H1200" s="932"/>
      <c r="I1200" s="932"/>
      <c r="J1200" s="932"/>
      <c r="K1200" s="932"/>
      <c r="L1200" s="932"/>
      <c r="M1200" s="966"/>
      <c r="N1200" s="957"/>
      <c r="O1200" s="957"/>
      <c r="P1200" s="932"/>
      <c r="Q1200" s="931"/>
      <c r="R1200" s="931"/>
      <c r="S1200" s="957"/>
      <c r="T1200" s="957"/>
      <c r="U1200" s="957"/>
    </row>
    <row r="1201" ht="13.5" customHeight="1">
      <c r="A1201" s="931"/>
      <c r="B1201" s="291"/>
      <c r="C1201" s="931"/>
      <c r="D1201" s="932"/>
      <c r="E1201" s="932"/>
      <c r="F1201" s="931"/>
      <c r="G1201" s="931"/>
      <c r="H1201" s="932"/>
      <c r="I1201" s="932"/>
      <c r="J1201" s="932"/>
      <c r="K1201" s="932"/>
      <c r="L1201" s="932"/>
      <c r="M1201" s="966"/>
      <c r="N1201" s="957"/>
      <c r="O1201" s="957"/>
      <c r="P1201" s="932"/>
      <c r="Q1201" s="931"/>
      <c r="R1201" s="931"/>
      <c r="S1201" s="957"/>
      <c r="T1201" s="957"/>
      <c r="U1201" s="957"/>
    </row>
    <row r="1202" ht="13.5" customHeight="1">
      <c r="A1202" s="931"/>
      <c r="B1202" s="291"/>
      <c r="C1202" s="931"/>
      <c r="D1202" s="932"/>
      <c r="E1202" s="932"/>
      <c r="F1202" s="931"/>
      <c r="G1202" s="931"/>
      <c r="H1202" s="932"/>
      <c r="I1202" s="932"/>
      <c r="J1202" s="932"/>
      <c r="K1202" s="932"/>
      <c r="L1202" s="932"/>
      <c r="M1202" s="966"/>
      <c r="N1202" s="957"/>
      <c r="O1202" s="957"/>
      <c r="P1202" s="932"/>
      <c r="Q1202" s="931"/>
      <c r="R1202" s="931"/>
      <c r="S1202" s="957"/>
      <c r="T1202" s="957"/>
      <c r="U1202" s="957"/>
    </row>
    <row r="1203" ht="13.5" customHeight="1">
      <c r="A1203" s="931"/>
      <c r="B1203" s="291"/>
      <c r="C1203" s="931"/>
      <c r="D1203" s="932"/>
      <c r="E1203" s="932"/>
      <c r="F1203" s="931"/>
      <c r="G1203" s="931"/>
      <c r="H1203" s="932"/>
      <c r="I1203" s="932"/>
      <c r="J1203" s="932"/>
      <c r="K1203" s="932"/>
      <c r="L1203" s="932"/>
      <c r="M1203" s="966"/>
      <c r="N1203" s="957"/>
      <c r="O1203" s="957"/>
      <c r="P1203" s="932"/>
      <c r="Q1203" s="931"/>
      <c r="R1203" s="931"/>
      <c r="S1203" s="957"/>
      <c r="T1203" s="957"/>
      <c r="U1203" s="957"/>
    </row>
    <row r="1204" ht="13.5" customHeight="1">
      <c r="A1204" s="931"/>
      <c r="B1204" s="291"/>
      <c r="C1204" s="931"/>
      <c r="D1204" s="932"/>
      <c r="E1204" s="932"/>
      <c r="F1204" s="931"/>
      <c r="G1204" s="931"/>
      <c r="H1204" s="932"/>
      <c r="I1204" s="932"/>
      <c r="J1204" s="932"/>
      <c r="K1204" s="932"/>
      <c r="L1204" s="932"/>
      <c r="M1204" s="966"/>
      <c r="N1204" s="957"/>
      <c r="O1204" s="957"/>
      <c r="P1204" s="932"/>
      <c r="Q1204" s="931"/>
      <c r="R1204" s="931"/>
      <c r="S1204" s="957"/>
      <c r="T1204" s="957"/>
      <c r="U1204" s="957"/>
    </row>
    <row r="1205" ht="13.5" customHeight="1">
      <c r="A1205" s="931"/>
      <c r="B1205" s="291"/>
      <c r="C1205" s="931"/>
      <c r="D1205" s="932"/>
      <c r="E1205" s="932"/>
      <c r="F1205" s="931"/>
      <c r="G1205" s="931"/>
      <c r="H1205" s="932"/>
      <c r="I1205" s="932"/>
      <c r="J1205" s="932"/>
      <c r="K1205" s="932"/>
      <c r="L1205" s="932"/>
      <c r="M1205" s="966"/>
      <c r="N1205" s="957"/>
      <c r="O1205" s="957"/>
      <c r="P1205" s="932"/>
      <c r="Q1205" s="931"/>
      <c r="R1205" s="931"/>
      <c r="S1205" s="957"/>
      <c r="T1205" s="957"/>
      <c r="U1205" s="957"/>
    </row>
    <row r="1206" ht="13.5" customHeight="1">
      <c r="A1206" s="931"/>
      <c r="B1206" s="291"/>
      <c r="C1206" s="931"/>
      <c r="D1206" s="932"/>
      <c r="E1206" s="932"/>
      <c r="F1206" s="931"/>
      <c r="G1206" s="931"/>
      <c r="H1206" s="932"/>
      <c r="I1206" s="932"/>
      <c r="J1206" s="932"/>
      <c r="K1206" s="932"/>
      <c r="L1206" s="932"/>
      <c r="M1206" s="966"/>
      <c r="N1206" s="957"/>
      <c r="O1206" s="957"/>
      <c r="P1206" s="932"/>
      <c r="Q1206" s="931"/>
      <c r="R1206" s="931"/>
      <c r="S1206" s="957"/>
      <c r="T1206" s="957"/>
      <c r="U1206" s="957"/>
    </row>
    <row r="1207" ht="13.5" customHeight="1">
      <c r="A1207" s="931"/>
      <c r="B1207" s="291"/>
      <c r="C1207" s="931"/>
      <c r="D1207" s="932"/>
      <c r="E1207" s="932"/>
      <c r="F1207" s="931"/>
      <c r="G1207" s="931"/>
      <c r="H1207" s="932"/>
      <c r="I1207" s="932"/>
      <c r="J1207" s="932"/>
      <c r="K1207" s="932"/>
      <c r="L1207" s="932"/>
      <c r="M1207" s="966"/>
      <c r="N1207" s="957"/>
      <c r="O1207" s="957"/>
      <c r="P1207" s="932"/>
      <c r="Q1207" s="931"/>
      <c r="R1207" s="931"/>
      <c r="S1207" s="957"/>
      <c r="T1207" s="957"/>
      <c r="U1207" s="957"/>
    </row>
    <row r="1208" ht="13.5" customHeight="1">
      <c r="A1208" s="931"/>
      <c r="B1208" s="291"/>
      <c r="C1208" s="931"/>
      <c r="D1208" s="932"/>
      <c r="E1208" s="932"/>
      <c r="F1208" s="931"/>
      <c r="G1208" s="931"/>
      <c r="H1208" s="932"/>
      <c r="I1208" s="932"/>
      <c r="J1208" s="932"/>
      <c r="K1208" s="932"/>
      <c r="L1208" s="932"/>
      <c r="M1208" s="966"/>
      <c r="N1208" s="957"/>
      <c r="O1208" s="957"/>
      <c r="P1208" s="932"/>
      <c r="Q1208" s="931"/>
      <c r="R1208" s="931"/>
      <c r="S1208" s="957"/>
      <c r="T1208" s="957"/>
      <c r="U1208" s="957"/>
    </row>
    <row r="1209" ht="13.5" customHeight="1">
      <c r="A1209" s="931"/>
      <c r="B1209" s="291"/>
      <c r="C1209" s="931"/>
      <c r="D1209" s="932"/>
      <c r="E1209" s="932"/>
      <c r="F1209" s="931"/>
      <c r="G1209" s="931"/>
      <c r="H1209" s="932"/>
      <c r="I1209" s="932"/>
      <c r="J1209" s="932"/>
      <c r="K1209" s="932"/>
      <c r="L1209" s="932"/>
      <c r="M1209" s="966"/>
      <c r="N1209" s="957"/>
      <c r="O1209" s="957"/>
      <c r="P1209" s="932"/>
      <c r="Q1209" s="931"/>
      <c r="R1209" s="931"/>
      <c r="S1209" s="957"/>
      <c r="T1209" s="957"/>
      <c r="U1209" s="957"/>
    </row>
    <row r="1210" ht="13.5" customHeight="1">
      <c r="A1210" s="931"/>
      <c r="B1210" s="291"/>
      <c r="C1210" s="931"/>
      <c r="D1210" s="932"/>
      <c r="E1210" s="932"/>
      <c r="F1210" s="931"/>
      <c r="G1210" s="931"/>
      <c r="H1210" s="932"/>
      <c r="I1210" s="932"/>
      <c r="J1210" s="932"/>
      <c r="K1210" s="932"/>
      <c r="L1210" s="932"/>
      <c r="M1210" s="966"/>
      <c r="N1210" s="957"/>
      <c r="O1210" s="957"/>
      <c r="P1210" s="932"/>
      <c r="Q1210" s="931"/>
      <c r="R1210" s="931"/>
      <c r="S1210" s="957"/>
      <c r="T1210" s="957"/>
      <c r="U1210" s="957"/>
    </row>
    <row r="1211" ht="13.5" customHeight="1">
      <c r="A1211" s="931"/>
      <c r="B1211" s="291"/>
      <c r="C1211" s="931"/>
      <c r="D1211" s="932"/>
      <c r="E1211" s="932"/>
      <c r="F1211" s="931"/>
      <c r="G1211" s="931"/>
      <c r="H1211" s="932"/>
      <c r="I1211" s="932"/>
      <c r="J1211" s="932"/>
      <c r="K1211" s="932"/>
      <c r="L1211" s="932"/>
      <c r="M1211" s="966"/>
      <c r="N1211" s="957"/>
      <c r="O1211" s="957"/>
      <c r="P1211" s="932"/>
      <c r="Q1211" s="931"/>
      <c r="R1211" s="931"/>
      <c r="S1211" s="957"/>
      <c r="T1211" s="957"/>
      <c r="U1211" s="957"/>
    </row>
    <row r="1212" ht="13.5" customHeight="1">
      <c r="A1212" s="931"/>
      <c r="B1212" s="291"/>
      <c r="C1212" s="931"/>
      <c r="D1212" s="932"/>
      <c r="E1212" s="932"/>
      <c r="F1212" s="931"/>
      <c r="G1212" s="931"/>
      <c r="H1212" s="932"/>
      <c r="I1212" s="932"/>
      <c r="J1212" s="932"/>
      <c r="K1212" s="932"/>
      <c r="L1212" s="932"/>
      <c r="M1212" s="966"/>
      <c r="N1212" s="957"/>
      <c r="O1212" s="957"/>
      <c r="P1212" s="932"/>
      <c r="Q1212" s="931"/>
      <c r="R1212" s="931"/>
      <c r="S1212" s="957"/>
      <c r="T1212" s="957"/>
      <c r="U1212" s="957"/>
    </row>
    <row r="1213" ht="13.5" customHeight="1">
      <c r="A1213" s="931"/>
      <c r="B1213" s="291"/>
      <c r="C1213" s="931"/>
      <c r="D1213" s="932"/>
      <c r="E1213" s="932"/>
      <c r="F1213" s="931"/>
      <c r="G1213" s="931"/>
      <c r="H1213" s="932"/>
      <c r="I1213" s="932"/>
      <c r="J1213" s="932"/>
      <c r="K1213" s="932"/>
      <c r="L1213" s="932"/>
      <c r="M1213" s="966"/>
      <c r="N1213" s="957"/>
      <c r="O1213" s="957"/>
      <c r="P1213" s="932"/>
      <c r="Q1213" s="931"/>
      <c r="R1213" s="931"/>
      <c r="S1213" s="957"/>
      <c r="T1213" s="957"/>
      <c r="U1213" s="957"/>
    </row>
    <row r="1214" ht="13.5" customHeight="1">
      <c r="A1214" s="931"/>
      <c r="B1214" s="291"/>
      <c r="C1214" s="931"/>
      <c r="D1214" s="932"/>
      <c r="E1214" s="932"/>
      <c r="F1214" s="931"/>
      <c r="G1214" s="931"/>
      <c r="H1214" s="932"/>
      <c r="I1214" s="932"/>
      <c r="J1214" s="932"/>
      <c r="K1214" s="932"/>
      <c r="L1214" s="932"/>
      <c r="M1214" s="966"/>
      <c r="N1214" s="957"/>
      <c r="O1214" s="957"/>
      <c r="P1214" s="932"/>
      <c r="Q1214" s="931"/>
      <c r="R1214" s="931"/>
      <c r="S1214" s="957"/>
      <c r="T1214" s="957"/>
      <c r="U1214" s="957"/>
    </row>
    <row r="1215" ht="13.5" customHeight="1">
      <c r="A1215" s="931"/>
      <c r="B1215" s="291"/>
      <c r="C1215" s="931"/>
      <c r="D1215" s="932"/>
      <c r="E1215" s="932"/>
      <c r="F1215" s="931"/>
      <c r="G1215" s="931"/>
      <c r="H1215" s="932"/>
      <c r="I1215" s="932"/>
      <c r="J1215" s="932"/>
      <c r="K1215" s="932"/>
      <c r="L1215" s="932"/>
      <c r="M1215" s="966"/>
      <c r="N1215" s="957"/>
      <c r="O1215" s="957"/>
      <c r="P1215" s="932"/>
      <c r="Q1215" s="931"/>
      <c r="R1215" s="931"/>
      <c r="S1215" s="957"/>
      <c r="T1215" s="957"/>
      <c r="U1215" s="957"/>
    </row>
    <row r="1216" ht="13.5" customHeight="1">
      <c r="A1216" s="931"/>
      <c r="B1216" s="291"/>
      <c r="C1216" s="931"/>
      <c r="D1216" s="932"/>
      <c r="E1216" s="932"/>
      <c r="F1216" s="931"/>
      <c r="G1216" s="931"/>
      <c r="H1216" s="932"/>
      <c r="I1216" s="932"/>
      <c r="J1216" s="932"/>
      <c r="K1216" s="932"/>
      <c r="L1216" s="932"/>
      <c r="M1216" s="966"/>
      <c r="N1216" s="957"/>
      <c r="O1216" s="957"/>
      <c r="P1216" s="932"/>
      <c r="Q1216" s="931"/>
      <c r="R1216" s="931"/>
      <c r="S1216" s="957"/>
      <c r="T1216" s="957"/>
      <c r="U1216" s="957"/>
    </row>
    <row r="1217" ht="13.5" customHeight="1">
      <c r="A1217" s="931"/>
      <c r="B1217" s="291"/>
      <c r="C1217" s="931"/>
      <c r="D1217" s="932"/>
      <c r="E1217" s="932"/>
      <c r="F1217" s="931"/>
      <c r="G1217" s="931"/>
      <c r="H1217" s="932"/>
      <c r="I1217" s="932"/>
      <c r="J1217" s="932"/>
      <c r="K1217" s="932"/>
      <c r="L1217" s="932"/>
      <c r="M1217" s="966"/>
      <c r="N1217" s="957"/>
      <c r="O1217" s="957"/>
      <c r="P1217" s="932"/>
      <c r="Q1217" s="931"/>
      <c r="R1217" s="931"/>
      <c r="S1217" s="957"/>
      <c r="T1217" s="957"/>
      <c r="U1217" s="957"/>
    </row>
    <row r="1218" ht="13.5" customHeight="1">
      <c r="A1218" s="931"/>
      <c r="B1218" s="291"/>
      <c r="C1218" s="931"/>
      <c r="D1218" s="932"/>
      <c r="E1218" s="932"/>
      <c r="F1218" s="931"/>
      <c r="G1218" s="931"/>
      <c r="H1218" s="932"/>
      <c r="I1218" s="932"/>
      <c r="J1218" s="932"/>
      <c r="K1218" s="932"/>
      <c r="L1218" s="932"/>
      <c r="M1218" s="966"/>
      <c r="N1218" s="957"/>
      <c r="O1218" s="957"/>
      <c r="P1218" s="932"/>
      <c r="Q1218" s="931"/>
      <c r="R1218" s="931"/>
      <c r="S1218" s="957"/>
      <c r="T1218" s="957"/>
      <c r="U1218" s="957"/>
    </row>
    <row r="1219" ht="13.5" customHeight="1">
      <c r="A1219" s="931"/>
      <c r="B1219" s="291"/>
      <c r="C1219" s="931"/>
      <c r="D1219" s="932"/>
      <c r="E1219" s="932"/>
      <c r="F1219" s="931"/>
      <c r="G1219" s="931"/>
      <c r="H1219" s="932"/>
      <c r="I1219" s="932"/>
      <c r="J1219" s="932"/>
      <c r="K1219" s="932"/>
      <c r="L1219" s="932"/>
      <c r="M1219" s="966"/>
      <c r="N1219" s="957"/>
      <c r="O1219" s="957"/>
      <c r="P1219" s="932"/>
      <c r="Q1219" s="931"/>
      <c r="R1219" s="931"/>
      <c r="S1219" s="957"/>
      <c r="T1219" s="957"/>
      <c r="U1219" s="957"/>
    </row>
    <row r="1220" ht="13.5" customHeight="1">
      <c r="A1220" s="931"/>
      <c r="B1220" s="291"/>
      <c r="C1220" s="931"/>
      <c r="D1220" s="932"/>
      <c r="E1220" s="932"/>
      <c r="F1220" s="931"/>
      <c r="G1220" s="931"/>
      <c r="H1220" s="932"/>
      <c r="I1220" s="932"/>
      <c r="J1220" s="932"/>
      <c r="K1220" s="932"/>
      <c r="L1220" s="932"/>
      <c r="M1220" s="966"/>
      <c r="N1220" s="957"/>
      <c r="O1220" s="957"/>
      <c r="P1220" s="932"/>
      <c r="Q1220" s="931"/>
      <c r="R1220" s="931"/>
      <c r="S1220" s="957"/>
      <c r="T1220" s="957"/>
      <c r="U1220" s="957"/>
    </row>
    <row r="1221" ht="13.5" customHeight="1">
      <c r="A1221" s="931"/>
      <c r="B1221" s="291"/>
      <c r="C1221" s="931"/>
      <c r="D1221" s="932"/>
      <c r="E1221" s="932"/>
      <c r="F1221" s="931"/>
      <c r="G1221" s="931"/>
      <c r="H1221" s="932"/>
      <c r="I1221" s="932"/>
      <c r="J1221" s="932"/>
      <c r="K1221" s="932"/>
      <c r="L1221" s="932"/>
      <c r="M1221" s="966"/>
      <c r="N1221" s="957"/>
      <c r="O1221" s="957"/>
      <c r="P1221" s="932"/>
      <c r="Q1221" s="931"/>
      <c r="R1221" s="931"/>
      <c r="S1221" s="957"/>
      <c r="T1221" s="957"/>
      <c r="U1221" s="957"/>
    </row>
    <row r="1222" ht="13.5" customHeight="1">
      <c r="A1222" s="931"/>
      <c r="B1222" s="291"/>
      <c r="C1222" s="931"/>
      <c r="D1222" s="932"/>
      <c r="E1222" s="932"/>
      <c r="F1222" s="931"/>
      <c r="G1222" s="931"/>
      <c r="H1222" s="932"/>
      <c r="I1222" s="932"/>
      <c r="J1222" s="932"/>
      <c r="K1222" s="932"/>
      <c r="L1222" s="932"/>
      <c r="M1222" s="966"/>
      <c r="N1222" s="957"/>
      <c r="O1222" s="957"/>
      <c r="P1222" s="932"/>
      <c r="Q1222" s="931"/>
      <c r="R1222" s="931"/>
      <c r="S1222" s="957"/>
      <c r="T1222" s="957"/>
      <c r="U1222" s="957"/>
    </row>
    <row r="1223" ht="13.5" customHeight="1">
      <c r="A1223" s="931"/>
      <c r="B1223" s="291"/>
      <c r="C1223" s="931"/>
      <c r="D1223" s="932"/>
      <c r="E1223" s="932"/>
      <c r="F1223" s="931"/>
      <c r="G1223" s="931"/>
      <c r="H1223" s="932"/>
      <c r="I1223" s="932"/>
      <c r="J1223" s="932"/>
      <c r="K1223" s="932"/>
      <c r="L1223" s="932"/>
      <c r="M1223" s="966"/>
      <c r="N1223" s="957"/>
      <c r="O1223" s="957"/>
      <c r="P1223" s="932"/>
      <c r="Q1223" s="931"/>
      <c r="R1223" s="931"/>
      <c r="S1223" s="957"/>
      <c r="T1223" s="957"/>
      <c r="U1223" s="957"/>
    </row>
    <row r="1224" ht="13.5" customHeight="1">
      <c r="A1224" s="931"/>
      <c r="B1224" s="291"/>
      <c r="C1224" s="931"/>
      <c r="D1224" s="932"/>
      <c r="E1224" s="932"/>
      <c r="F1224" s="931"/>
      <c r="G1224" s="931"/>
      <c r="H1224" s="932"/>
      <c r="I1224" s="932"/>
      <c r="J1224" s="932"/>
      <c r="K1224" s="932"/>
      <c r="L1224" s="932"/>
      <c r="M1224" s="966"/>
      <c r="N1224" s="957"/>
      <c r="O1224" s="957"/>
      <c r="P1224" s="932"/>
      <c r="Q1224" s="931"/>
      <c r="R1224" s="931"/>
      <c r="S1224" s="957"/>
      <c r="T1224" s="957"/>
      <c r="U1224" s="957"/>
    </row>
    <row r="1225" ht="13.5" customHeight="1">
      <c r="A1225" s="931"/>
      <c r="B1225" s="291"/>
      <c r="C1225" s="931"/>
      <c r="D1225" s="932"/>
      <c r="E1225" s="932"/>
      <c r="F1225" s="931"/>
      <c r="G1225" s="931"/>
      <c r="H1225" s="932"/>
      <c r="I1225" s="932"/>
      <c r="J1225" s="932"/>
      <c r="K1225" s="932"/>
      <c r="L1225" s="932"/>
      <c r="M1225" s="966"/>
      <c r="N1225" s="957"/>
      <c r="O1225" s="957"/>
      <c r="P1225" s="932"/>
      <c r="Q1225" s="931"/>
      <c r="R1225" s="931"/>
      <c r="S1225" s="957"/>
      <c r="T1225" s="957"/>
      <c r="U1225" s="957"/>
    </row>
    <row r="1226" ht="13.5" customHeight="1">
      <c r="A1226" s="931"/>
      <c r="B1226" s="291"/>
      <c r="C1226" s="931"/>
      <c r="D1226" s="932"/>
      <c r="E1226" s="932"/>
      <c r="F1226" s="931"/>
      <c r="G1226" s="931"/>
      <c r="H1226" s="932"/>
      <c r="I1226" s="932"/>
      <c r="J1226" s="932"/>
      <c r="K1226" s="932"/>
      <c r="L1226" s="932"/>
      <c r="M1226" s="966"/>
      <c r="N1226" s="957"/>
      <c r="O1226" s="957"/>
      <c r="P1226" s="932"/>
      <c r="Q1226" s="931"/>
      <c r="R1226" s="931"/>
      <c r="S1226" s="957"/>
      <c r="T1226" s="957"/>
      <c r="U1226" s="957"/>
    </row>
    <row r="1227" ht="13.5" customHeight="1">
      <c r="A1227" s="931"/>
      <c r="B1227" s="291"/>
      <c r="C1227" s="931"/>
      <c r="D1227" s="932"/>
      <c r="E1227" s="932"/>
      <c r="F1227" s="931"/>
      <c r="G1227" s="931"/>
      <c r="H1227" s="932"/>
      <c r="I1227" s="932"/>
      <c r="J1227" s="932"/>
      <c r="K1227" s="932"/>
      <c r="L1227" s="932"/>
      <c r="M1227" s="966"/>
      <c r="N1227" s="957"/>
      <c r="O1227" s="957"/>
      <c r="P1227" s="932"/>
      <c r="Q1227" s="931"/>
      <c r="R1227" s="931"/>
      <c r="S1227" s="957"/>
      <c r="T1227" s="957"/>
      <c r="U1227" s="957"/>
    </row>
    <row r="1228" ht="13.5" customHeight="1">
      <c r="A1228" s="931"/>
      <c r="B1228" s="291"/>
      <c r="C1228" s="931"/>
      <c r="D1228" s="932"/>
      <c r="E1228" s="932"/>
      <c r="F1228" s="931"/>
      <c r="G1228" s="931"/>
      <c r="H1228" s="932"/>
      <c r="I1228" s="932"/>
      <c r="J1228" s="932"/>
      <c r="K1228" s="932"/>
      <c r="L1228" s="932"/>
      <c r="M1228" s="966"/>
      <c r="N1228" s="957"/>
      <c r="O1228" s="957"/>
      <c r="P1228" s="932"/>
      <c r="Q1228" s="931"/>
      <c r="R1228" s="931"/>
      <c r="S1228" s="957"/>
      <c r="T1228" s="957"/>
      <c r="U1228" s="957"/>
    </row>
    <row r="1229" ht="13.5" customHeight="1">
      <c r="A1229" s="931"/>
      <c r="B1229" s="291"/>
      <c r="C1229" s="931"/>
      <c r="D1229" s="932"/>
      <c r="E1229" s="932"/>
      <c r="F1229" s="931"/>
      <c r="G1229" s="931"/>
      <c r="H1229" s="932"/>
      <c r="I1229" s="932"/>
      <c r="J1229" s="932"/>
      <c r="K1229" s="932"/>
      <c r="L1229" s="932"/>
      <c r="M1229" s="966"/>
      <c r="N1229" s="957"/>
      <c r="O1229" s="957"/>
      <c r="P1229" s="932"/>
      <c r="Q1229" s="931"/>
      <c r="R1229" s="931"/>
      <c r="S1229" s="957"/>
      <c r="T1229" s="957"/>
      <c r="U1229" s="957"/>
    </row>
    <row r="1230" ht="13.5" customHeight="1">
      <c r="A1230" s="931"/>
      <c r="B1230" s="291"/>
      <c r="C1230" s="931"/>
      <c r="D1230" s="932"/>
      <c r="E1230" s="932"/>
      <c r="F1230" s="931"/>
      <c r="G1230" s="931"/>
      <c r="H1230" s="932"/>
      <c r="I1230" s="932"/>
      <c r="J1230" s="932"/>
      <c r="K1230" s="932"/>
      <c r="L1230" s="932"/>
      <c r="M1230" s="966"/>
      <c r="N1230" s="957"/>
      <c r="O1230" s="957"/>
      <c r="P1230" s="932"/>
      <c r="Q1230" s="931"/>
      <c r="R1230" s="931"/>
      <c r="S1230" s="957"/>
      <c r="T1230" s="957"/>
      <c r="U1230" s="957"/>
    </row>
    <row r="1231" ht="13.5" customHeight="1">
      <c r="A1231" s="931"/>
      <c r="B1231" s="291"/>
      <c r="C1231" s="931"/>
      <c r="D1231" s="932"/>
      <c r="E1231" s="932"/>
      <c r="F1231" s="931"/>
      <c r="G1231" s="931"/>
      <c r="H1231" s="932"/>
      <c r="I1231" s="932"/>
      <c r="J1231" s="932"/>
      <c r="K1231" s="932"/>
      <c r="L1231" s="932"/>
      <c r="M1231" s="966"/>
      <c r="N1231" s="957"/>
      <c r="O1231" s="957"/>
      <c r="P1231" s="932"/>
      <c r="Q1231" s="931"/>
      <c r="R1231" s="931"/>
      <c r="S1231" s="957"/>
      <c r="T1231" s="957"/>
      <c r="U1231" s="957"/>
    </row>
    <row r="1232" ht="13.5" customHeight="1">
      <c r="A1232" s="931"/>
      <c r="B1232" s="291"/>
      <c r="C1232" s="931"/>
      <c r="D1232" s="932"/>
      <c r="E1232" s="932"/>
      <c r="F1232" s="931"/>
      <c r="G1232" s="931"/>
      <c r="H1232" s="932"/>
      <c r="I1232" s="932"/>
      <c r="J1232" s="932"/>
      <c r="K1232" s="932"/>
      <c r="L1232" s="932"/>
      <c r="M1232" s="966"/>
      <c r="N1232" s="957"/>
      <c r="O1232" s="957"/>
      <c r="P1232" s="932"/>
      <c r="Q1232" s="931"/>
      <c r="R1232" s="931"/>
      <c r="S1232" s="957"/>
      <c r="T1232" s="957"/>
      <c r="U1232" s="957"/>
    </row>
    <row r="1233" ht="13.5" customHeight="1">
      <c r="A1233" s="931"/>
      <c r="B1233" s="291"/>
      <c r="C1233" s="931"/>
      <c r="D1233" s="932"/>
      <c r="E1233" s="932"/>
      <c r="F1233" s="931"/>
      <c r="G1233" s="931"/>
      <c r="H1233" s="932"/>
      <c r="I1233" s="932"/>
      <c r="J1233" s="932"/>
      <c r="K1233" s="932"/>
      <c r="L1233" s="932"/>
      <c r="M1233" s="966"/>
      <c r="N1233" s="957"/>
      <c r="O1233" s="957"/>
      <c r="P1233" s="932"/>
      <c r="Q1233" s="931"/>
      <c r="R1233" s="931"/>
      <c r="S1233" s="957"/>
      <c r="T1233" s="957"/>
      <c r="U1233" s="957"/>
    </row>
    <row r="1234" ht="13.5" customHeight="1">
      <c r="A1234" s="931"/>
      <c r="B1234" s="291"/>
      <c r="C1234" s="931"/>
      <c r="D1234" s="932"/>
      <c r="E1234" s="932"/>
      <c r="F1234" s="931"/>
      <c r="G1234" s="931"/>
      <c r="H1234" s="932"/>
      <c r="I1234" s="932"/>
      <c r="J1234" s="932"/>
      <c r="K1234" s="932"/>
      <c r="L1234" s="932"/>
      <c r="M1234" s="966"/>
      <c r="N1234" s="957"/>
      <c r="O1234" s="957"/>
      <c r="P1234" s="932"/>
      <c r="Q1234" s="931"/>
      <c r="R1234" s="931"/>
      <c r="S1234" s="957"/>
      <c r="T1234" s="957"/>
      <c r="U1234" s="957"/>
    </row>
    <row r="1235" ht="13.5" customHeight="1">
      <c r="A1235" s="931"/>
      <c r="B1235" s="291"/>
      <c r="C1235" s="931"/>
      <c r="D1235" s="932"/>
      <c r="E1235" s="932"/>
      <c r="F1235" s="931"/>
      <c r="G1235" s="931"/>
      <c r="H1235" s="932"/>
      <c r="I1235" s="932"/>
      <c r="J1235" s="932"/>
      <c r="K1235" s="932"/>
      <c r="L1235" s="932"/>
      <c r="M1235" s="966"/>
      <c r="N1235" s="957"/>
      <c r="O1235" s="957"/>
      <c r="P1235" s="932"/>
      <c r="Q1235" s="931"/>
      <c r="R1235" s="931"/>
      <c r="S1235" s="957"/>
      <c r="T1235" s="957"/>
      <c r="U1235" s="957"/>
    </row>
    <row r="1236" ht="13.5" customHeight="1">
      <c r="A1236" s="931"/>
      <c r="B1236" s="291"/>
      <c r="C1236" s="931"/>
      <c r="D1236" s="932"/>
      <c r="E1236" s="932"/>
      <c r="F1236" s="931"/>
      <c r="G1236" s="931"/>
      <c r="H1236" s="932"/>
      <c r="I1236" s="932"/>
      <c r="J1236" s="932"/>
      <c r="K1236" s="932"/>
      <c r="L1236" s="932"/>
      <c r="M1236" s="966"/>
      <c r="N1236" s="957"/>
      <c r="O1236" s="957"/>
      <c r="P1236" s="932"/>
      <c r="Q1236" s="931"/>
      <c r="R1236" s="931"/>
      <c r="S1236" s="957"/>
      <c r="T1236" s="957"/>
      <c r="U1236" s="957"/>
    </row>
    <row r="1237" ht="13.5" customHeight="1">
      <c r="A1237" s="931"/>
      <c r="B1237" s="291"/>
      <c r="C1237" s="931"/>
      <c r="D1237" s="932"/>
      <c r="E1237" s="932"/>
      <c r="F1237" s="931"/>
      <c r="G1237" s="931"/>
      <c r="H1237" s="932"/>
      <c r="I1237" s="932"/>
      <c r="J1237" s="932"/>
      <c r="K1237" s="932"/>
      <c r="L1237" s="932"/>
      <c r="M1237" s="966"/>
      <c r="N1237" s="957"/>
      <c r="O1237" s="957"/>
      <c r="P1237" s="932"/>
      <c r="Q1237" s="931"/>
      <c r="R1237" s="931"/>
      <c r="S1237" s="957"/>
      <c r="T1237" s="957"/>
      <c r="U1237" s="957"/>
    </row>
    <row r="1238" ht="13.5" customHeight="1">
      <c r="A1238" s="931"/>
      <c r="B1238" s="291"/>
      <c r="C1238" s="931"/>
      <c r="D1238" s="932"/>
      <c r="E1238" s="932"/>
      <c r="F1238" s="931"/>
      <c r="G1238" s="931"/>
      <c r="H1238" s="932"/>
      <c r="I1238" s="932"/>
      <c r="J1238" s="932"/>
      <c r="K1238" s="932"/>
      <c r="L1238" s="932"/>
      <c r="M1238" s="966"/>
      <c r="N1238" s="957"/>
      <c r="O1238" s="957"/>
      <c r="P1238" s="932"/>
      <c r="Q1238" s="931"/>
      <c r="R1238" s="931"/>
      <c r="S1238" s="957"/>
      <c r="T1238" s="957"/>
      <c r="U1238" s="957"/>
    </row>
    <row r="1239" ht="13.5" customHeight="1">
      <c r="A1239" s="931"/>
      <c r="B1239" s="291"/>
      <c r="C1239" s="931"/>
      <c r="D1239" s="932"/>
      <c r="E1239" s="932"/>
      <c r="F1239" s="931"/>
      <c r="G1239" s="931"/>
      <c r="H1239" s="932"/>
      <c r="I1239" s="932"/>
      <c r="J1239" s="932"/>
      <c r="K1239" s="932"/>
      <c r="L1239" s="932"/>
      <c r="M1239" s="966"/>
      <c r="N1239" s="957"/>
      <c r="O1239" s="957"/>
      <c r="P1239" s="932"/>
      <c r="Q1239" s="931"/>
      <c r="R1239" s="931"/>
      <c r="S1239" s="957"/>
      <c r="T1239" s="957"/>
      <c r="U1239" s="957"/>
    </row>
    <row r="1240" ht="13.5" customHeight="1">
      <c r="A1240" s="931"/>
      <c r="B1240" s="291"/>
      <c r="C1240" s="931"/>
      <c r="D1240" s="932"/>
      <c r="E1240" s="932"/>
      <c r="F1240" s="931"/>
      <c r="G1240" s="931"/>
      <c r="H1240" s="932"/>
      <c r="I1240" s="932"/>
      <c r="J1240" s="932"/>
      <c r="K1240" s="932"/>
      <c r="L1240" s="932"/>
      <c r="M1240" s="966"/>
      <c r="N1240" s="957"/>
      <c r="O1240" s="957"/>
      <c r="P1240" s="932"/>
      <c r="Q1240" s="931"/>
      <c r="R1240" s="931"/>
      <c r="S1240" s="957"/>
      <c r="T1240" s="957"/>
      <c r="U1240" s="957"/>
    </row>
    <row r="1241" ht="13.5" customHeight="1">
      <c r="A1241" s="931"/>
      <c r="B1241" s="291"/>
      <c r="C1241" s="931"/>
      <c r="D1241" s="932"/>
      <c r="E1241" s="932"/>
      <c r="F1241" s="931"/>
      <c r="G1241" s="931"/>
      <c r="H1241" s="932"/>
      <c r="I1241" s="932"/>
      <c r="J1241" s="932"/>
      <c r="K1241" s="932"/>
      <c r="L1241" s="932"/>
      <c r="M1241" s="966"/>
      <c r="N1241" s="957"/>
      <c r="O1241" s="957"/>
      <c r="P1241" s="932"/>
      <c r="Q1241" s="931"/>
      <c r="R1241" s="931"/>
      <c r="S1241" s="957"/>
      <c r="T1241" s="957"/>
      <c r="U1241" s="957"/>
    </row>
    <row r="1242" ht="13.5" customHeight="1">
      <c r="A1242" s="931"/>
      <c r="B1242" s="291"/>
      <c r="C1242" s="931"/>
      <c r="D1242" s="932"/>
      <c r="E1242" s="932"/>
      <c r="F1242" s="931"/>
      <c r="G1242" s="931"/>
      <c r="H1242" s="932"/>
      <c r="I1242" s="932"/>
      <c r="J1242" s="932"/>
      <c r="K1242" s="932"/>
      <c r="L1242" s="932"/>
      <c r="M1242" s="966"/>
      <c r="N1242" s="957"/>
      <c r="O1242" s="957"/>
      <c r="P1242" s="932"/>
      <c r="Q1242" s="931"/>
      <c r="R1242" s="931"/>
      <c r="S1242" s="957"/>
      <c r="T1242" s="957"/>
      <c r="U1242" s="957"/>
    </row>
    <row r="1243" ht="13.5" customHeight="1">
      <c r="A1243" s="931"/>
      <c r="B1243" s="291"/>
      <c r="C1243" s="931"/>
      <c r="D1243" s="932"/>
      <c r="E1243" s="932"/>
      <c r="F1243" s="931"/>
      <c r="G1243" s="931"/>
      <c r="H1243" s="932"/>
      <c r="I1243" s="932"/>
      <c r="J1243" s="932"/>
      <c r="K1243" s="932"/>
      <c r="L1243" s="932"/>
      <c r="M1243" s="966"/>
      <c r="N1243" s="957"/>
      <c r="O1243" s="957"/>
      <c r="P1243" s="932"/>
      <c r="Q1243" s="931"/>
      <c r="R1243" s="931"/>
      <c r="S1243" s="957"/>
      <c r="T1243" s="957"/>
      <c r="U1243" s="957"/>
    </row>
    <row r="1244" ht="13.5" customHeight="1">
      <c r="A1244" s="931"/>
      <c r="B1244" s="291"/>
      <c r="C1244" s="931"/>
      <c r="D1244" s="932"/>
      <c r="E1244" s="932"/>
      <c r="F1244" s="931"/>
      <c r="G1244" s="931"/>
      <c r="H1244" s="932"/>
      <c r="I1244" s="932"/>
      <c r="J1244" s="932"/>
      <c r="K1244" s="932"/>
      <c r="L1244" s="932"/>
      <c r="M1244" s="966"/>
      <c r="N1244" s="957"/>
      <c r="O1244" s="957"/>
      <c r="P1244" s="932"/>
      <c r="Q1244" s="931"/>
      <c r="R1244" s="931"/>
      <c r="S1244" s="957"/>
      <c r="T1244" s="957"/>
      <c r="U1244" s="957"/>
    </row>
    <row r="1245" ht="13.5" customHeight="1">
      <c r="A1245" s="931"/>
      <c r="B1245" s="291"/>
      <c r="C1245" s="931"/>
      <c r="D1245" s="932"/>
      <c r="E1245" s="932"/>
      <c r="F1245" s="931"/>
      <c r="G1245" s="931"/>
      <c r="H1245" s="932"/>
      <c r="I1245" s="932"/>
      <c r="J1245" s="932"/>
      <c r="K1245" s="932"/>
      <c r="L1245" s="932"/>
      <c r="M1245" s="966"/>
      <c r="N1245" s="957"/>
      <c r="O1245" s="957"/>
      <c r="P1245" s="932"/>
      <c r="Q1245" s="931"/>
      <c r="R1245" s="931"/>
      <c r="S1245" s="957"/>
      <c r="T1245" s="957"/>
      <c r="U1245" s="957"/>
    </row>
    <row r="1246" ht="13.5" customHeight="1">
      <c r="A1246" s="931"/>
      <c r="B1246" s="291"/>
      <c r="C1246" s="931"/>
      <c r="D1246" s="932"/>
      <c r="E1246" s="932"/>
      <c r="F1246" s="931"/>
      <c r="G1246" s="931"/>
      <c r="H1246" s="932"/>
      <c r="I1246" s="932"/>
      <c r="J1246" s="932"/>
      <c r="K1246" s="932"/>
      <c r="L1246" s="932"/>
      <c r="M1246" s="966"/>
      <c r="N1246" s="957"/>
      <c r="O1246" s="957"/>
      <c r="P1246" s="932"/>
      <c r="Q1246" s="931"/>
      <c r="R1246" s="931"/>
      <c r="S1246" s="957"/>
      <c r="T1246" s="957"/>
      <c r="U1246" s="957"/>
    </row>
    <row r="1247" ht="13.5" customHeight="1">
      <c r="A1247" s="931"/>
      <c r="B1247" s="291"/>
      <c r="C1247" s="931"/>
      <c r="D1247" s="932"/>
      <c r="E1247" s="932"/>
      <c r="F1247" s="931"/>
      <c r="G1247" s="931"/>
      <c r="H1247" s="932"/>
      <c r="I1247" s="932"/>
      <c r="J1247" s="932"/>
      <c r="K1247" s="932"/>
      <c r="L1247" s="932"/>
      <c r="M1247" s="966"/>
      <c r="N1247" s="957"/>
      <c r="O1247" s="957"/>
      <c r="P1247" s="932"/>
      <c r="Q1247" s="931"/>
      <c r="R1247" s="931"/>
      <c r="S1247" s="957"/>
      <c r="T1247" s="957"/>
      <c r="U1247" s="957"/>
    </row>
    <row r="1248" ht="13.5" customHeight="1">
      <c r="A1248" s="931"/>
      <c r="B1248" s="291"/>
      <c r="C1248" s="931"/>
      <c r="D1248" s="932"/>
      <c r="E1248" s="932"/>
      <c r="F1248" s="931"/>
      <c r="G1248" s="931"/>
      <c r="H1248" s="932"/>
      <c r="I1248" s="932"/>
      <c r="J1248" s="932"/>
      <c r="K1248" s="932"/>
      <c r="L1248" s="932"/>
      <c r="M1248" s="966"/>
      <c r="N1248" s="957"/>
      <c r="O1248" s="957"/>
      <c r="P1248" s="932"/>
      <c r="Q1248" s="931"/>
      <c r="R1248" s="931"/>
      <c r="S1248" s="957"/>
      <c r="T1248" s="957"/>
      <c r="U1248" s="957"/>
    </row>
    <row r="1249" ht="13.5" customHeight="1">
      <c r="A1249" s="931"/>
      <c r="B1249" s="291"/>
      <c r="C1249" s="931"/>
      <c r="D1249" s="932"/>
      <c r="E1249" s="932"/>
      <c r="F1249" s="931"/>
      <c r="G1249" s="931"/>
      <c r="H1249" s="932"/>
      <c r="I1249" s="932"/>
      <c r="J1249" s="932"/>
      <c r="K1249" s="932"/>
      <c r="L1249" s="932"/>
      <c r="M1249" s="966"/>
      <c r="N1249" s="957"/>
      <c r="O1249" s="957"/>
      <c r="P1249" s="932"/>
      <c r="Q1249" s="931"/>
      <c r="R1249" s="931"/>
      <c r="S1249" s="957"/>
      <c r="T1249" s="957"/>
      <c r="U1249" s="957"/>
    </row>
    <row r="1250" ht="13.5" customHeight="1">
      <c r="A1250" s="931"/>
      <c r="B1250" s="291"/>
      <c r="C1250" s="931"/>
      <c r="D1250" s="932"/>
      <c r="E1250" s="932"/>
      <c r="F1250" s="931"/>
      <c r="G1250" s="931"/>
      <c r="H1250" s="932"/>
      <c r="I1250" s="932"/>
      <c r="J1250" s="932"/>
      <c r="K1250" s="932"/>
      <c r="L1250" s="932"/>
      <c r="M1250" s="966"/>
      <c r="N1250" s="957"/>
      <c r="O1250" s="957"/>
      <c r="P1250" s="932"/>
      <c r="Q1250" s="931"/>
      <c r="R1250" s="931"/>
      <c r="S1250" s="957"/>
      <c r="T1250" s="957"/>
      <c r="U1250" s="957"/>
    </row>
    <row r="1251" ht="13.5" customHeight="1">
      <c r="A1251" s="931"/>
      <c r="B1251" s="291"/>
      <c r="C1251" s="931"/>
      <c r="D1251" s="932"/>
      <c r="E1251" s="932"/>
      <c r="F1251" s="931"/>
      <c r="G1251" s="931"/>
      <c r="H1251" s="932"/>
      <c r="I1251" s="932"/>
      <c r="J1251" s="932"/>
      <c r="K1251" s="932"/>
      <c r="L1251" s="932"/>
      <c r="M1251" s="966"/>
      <c r="N1251" s="957"/>
      <c r="O1251" s="957"/>
      <c r="P1251" s="932"/>
      <c r="Q1251" s="931"/>
      <c r="R1251" s="931"/>
      <c r="S1251" s="957"/>
      <c r="T1251" s="957"/>
      <c r="U1251" s="957"/>
    </row>
    <row r="1252" ht="13.5" customHeight="1">
      <c r="A1252" s="931"/>
      <c r="B1252" s="291"/>
      <c r="C1252" s="931"/>
      <c r="D1252" s="932"/>
      <c r="E1252" s="932"/>
      <c r="F1252" s="931"/>
      <c r="G1252" s="931"/>
      <c r="H1252" s="932"/>
      <c r="I1252" s="932"/>
      <c r="J1252" s="932"/>
      <c r="K1252" s="932"/>
      <c r="L1252" s="932"/>
      <c r="M1252" s="966"/>
      <c r="N1252" s="957"/>
      <c r="O1252" s="957"/>
      <c r="P1252" s="932"/>
      <c r="Q1252" s="931"/>
      <c r="R1252" s="931"/>
      <c r="S1252" s="957"/>
      <c r="T1252" s="957"/>
      <c r="U1252" s="957"/>
    </row>
    <row r="1253" ht="13.5" customHeight="1">
      <c r="A1253" s="931"/>
      <c r="B1253" s="291"/>
      <c r="C1253" s="931"/>
      <c r="D1253" s="932"/>
      <c r="E1253" s="932"/>
      <c r="F1253" s="931"/>
      <c r="G1253" s="931"/>
      <c r="H1253" s="932"/>
      <c r="I1253" s="932"/>
      <c r="J1253" s="932"/>
      <c r="K1253" s="932"/>
      <c r="L1253" s="932"/>
      <c r="M1253" s="966"/>
      <c r="N1253" s="957"/>
      <c r="O1253" s="957"/>
      <c r="P1253" s="932"/>
      <c r="Q1253" s="931"/>
      <c r="R1253" s="931"/>
      <c r="S1253" s="957"/>
      <c r="T1253" s="957"/>
      <c r="U1253" s="957"/>
    </row>
    <row r="1254" ht="13.5" customHeight="1">
      <c r="A1254" s="931"/>
      <c r="B1254" s="291"/>
      <c r="C1254" s="931"/>
      <c r="D1254" s="932"/>
      <c r="E1254" s="932"/>
      <c r="F1254" s="931"/>
      <c r="G1254" s="931"/>
      <c r="H1254" s="932"/>
      <c r="I1254" s="932"/>
      <c r="J1254" s="932"/>
      <c r="K1254" s="932"/>
      <c r="L1254" s="932"/>
      <c r="M1254" s="966"/>
      <c r="N1254" s="957"/>
      <c r="O1254" s="957"/>
      <c r="P1254" s="932"/>
      <c r="Q1254" s="931"/>
      <c r="R1254" s="931"/>
      <c r="S1254" s="957"/>
      <c r="T1254" s="957"/>
      <c r="U1254" s="957"/>
    </row>
    <row r="1255" ht="13.5" customHeight="1">
      <c r="A1255" s="931"/>
      <c r="B1255" s="291"/>
      <c r="C1255" s="931"/>
      <c r="D1255" s="932"/>
      <c r="E1255" s="932"/>
      <c r="F1255" s="931"/>
      <c r="G1255" s="931"/>
      <c r="H1255" s="932"/>
      <c r="I1255" s="932"/>
      <c r="J1255" s="932"/>
      <c r="K1255" s="932"/>
      <c r="L1255" s="932"/>
      <c r="M1255" s="966"/>
      <c r="N1255" s="957"/>
      <c r="O1255" s="957"/>
      <c r="P1255" s="932"/>
      <c r="Q1255" s="931"/>
      <c r="R1255" s="931"/>
      <c r="S1255" s="957"/>
      <c r="T1255" s="957"/>
      <c r="U1255" s="957"/>
    </row>
    <row r="1256" ht="13.5" customHeight="1">
      <c r="A1256" s="931"/>
      <c r="B1256" s="291"/>
      <c r="C1256" s="931"/>
      <c r="D1256" s="932"/>
      <c r="E1256" s="932"/>
      <c r="F1256" s="931"/>
      <c r="G1256" s="931"/>
      <c r="H1256" s="932"/>
      <c r="I1256" s="932"/>
      <c r="J1256" s="932"/>
      <c r="K1256" s="932"/>
      <c r="L1256" s="932"/>
      <c r="M1256" s="966"/>
      <c r="N1256" s="957"/>
      <c r="O1256" s="957"/>
      <c r="P1256" s="932"/>
      <c r="Q1256" s="931"/>
      <c r="R1256" s="931"/>
      <c r="S1256" s="957"/>
      <c r="T1256" s="957"/>
      <c r="U1256" s="957"/>
    </row>
    <row r="1257" ht="13.5" customHeight="1">
      <c r="A1257" s="931"/>
      <c r="B1257" s="291"/>
      <c r="C1257" s="931"/>
      <c r="D1257" s="932"/>
      <c r="E1257" s="932"/>
      <c r="F1257" s="931"/>
      <c r="G1257" s="931"/>
      <c r="H1257" s="932"/>
      <c r="I1257" s="932"/>
      <c r="J1257" s="932"/>
      <c r="K1257" s="932"/>
      <c r="L1257" s="932"/>
      <c r="M1257" s="966"/>
      <c r="N1257" s="957"/>
      <c r="O1257" s="957"/>
      <c r="P1257" s="932"/>
      <c r="Q1257" s="931"/>
      <c r="R1257" s="931"/>
      <c r="S1257" s="957"/>
      <c r="T1257" s="957"/>
      <c r="U1257" s="957"/>
    </row>
    <row r="1258" ht="13.5" customHeight="1">
      <c r="A1258" s="931"/>
      <c r="B1258" s="291"/>
      <c r="C1258" s="931"/>
      <c r="D1258" s="932"/>
      <c r="E1258" s="932"/>
      <c r="F1258" s="931"/>
      <c r="G1258" s="931"/>
      <c r="H1258" s="932"/>
      <c r="I1258" s="932"/>
      <c r="J1258" s="932"/>
      <c r="K1258" s="932"/>
      <c r="L1258" s="932"/>
      <c r="M1258" s="966"/>
      <c r="N1258" s="957"/>
      <c r="O1258" s="957"/>
      <c r="P1258" s="932"/>
      <c r="Q1258" s="931"/>
      <c r="R1258" s="931"/>
      <c r="S1258" s="957"/>
      <c r="T1258" s="957"/>
      <c r="U1258" s="957"/>
    </row>
    <row r="1259" ht="13.5" customHeight="1">
      <c r="A1259" s="931"/>
      <c r="B1259" s="291"/>
      <c r="C1259" s="931"/>
      <c r="D1259" s="932"/>
      <c r="E1259" s="932"/>
      <c r="F1259" s="931"/>
      <c r="G1259" s="931"/>
      <c r="H1259" s="932"/>
      <c r="I1259" s="932"/>
      <c r="J1259" s="932"/>
      <c r="K1259" s="932"/>
      <c r="L1259" s="932"/>
      <c r="M1259" s="966"/>
      <c r="N1259" s="957"/>
      <c r="O1259" s="957"/>
      <c r="P1259" s="932"/>
      <c r="Q1259" s="931"/>
      <c r="R1259" s="931"/>
      <c r="S1259" s="957"/>
      <c r="T1259" s="957"/>
      <c r="U1259" s="957"/>
    </row>
    <row r="1260" ht="13.5" customHeight="1">
      <c r="A1260" s="931"/>
      <c r="B1260" s="291"/>
      <c r="C1260" s="931"/>
      <c r="D1260" s="932"/>
      <c r="E1260" s="932"/>
      <c r="F1260" s="931"/>
      <c r="G1260" s="931"/>
      <c r="H1260" s="932"/>
      <c r="I1260" s="932"/>
      <c r="J1260" s="932"/>
      <c r="K1260" s="932"/>
      <c r="L1260" s="932"/>
      <c r="M1260" s="966"/>
      <c r="N1260" s="957"/>
      <c r="O1260" s="957"/>
      <c r="P1260" s="932"/>
      <c r="Q1260" s="931"/>
      <c r="R1260" s="931"/>
      <c r="S1260" s="957"/>
      <c r="T1260" s="957"/>
      <c r="U1260" s="957"/>
    </row>
    <row r="1261" ht="13.5" customHeight="1">
      <c r="A1261" s="931"/>
      <c r="B1261" s="291"/>
      <c r="C1261" s="931"/>
      <c r="D1261" s="932"/>
      <c r="E1261" s="932"/>
      <c r="F1261" s="931"/>
      <c r="G1261" s="931"/>
      <c r="H1261" s="932"/>
      <c r="I1261" s="932"/>
      <c r="J1261" s="932"/>
      <c r="K1261" s="932"/>
      <c r="L1261" s="932"/>
      <c r="M1261" s="966"/>
      <c r="N1261" s="957"/>
      <c r="O1261" s="957"/>
      <c r="P1261" s="932"/>
      <c r="Q1261" s="931"/>
      <c r="R1261" s="931"/>
      <c r="S1261" s="957"/>
      <c r="T1261" s="957"/>
      <c r="U1261" s="957"/>
    </row>
    <row r="1262" ht="13.5" customHeight="1">
      <c r="A1262" s="931"/>
      <c r="B1262" s="291"/>
      <c r="C1262" s="931"/>
      <c r="D1262" s="932"/>
      <c r="E1262" s="932"/>
      <c r="F1262" s="931"/>
      <c r="G1262" s="931"/>
      <c r="H1262" s="932"/>
      <c r="I1262" s="932"/>
      <c r="J1262" s="932"/>
      <c r="K1262" s="932"/>
      <c r="L1262" s="932"/>
      <c r="M1262" s="966"/>
      <c r="N1262" s="957"/>
      <c r="O1262" s="957"/>
      <c r="P1262" s="932"/>
      <c r="Q1262" s="931"/>
      <c r="R1262" s="931"/>
      <c r="S1262" s="957"/>
      <c r="T1262" s="957"/>
      <c r="U1262" s="957"/>
    </row>
    <row r="1263" ht="13.5" customHeight="1">
      <c r="A1263" s="931"/>
      <c r="B1263" s="291"/>
      <c r="C1263" s="931"/>
      <c r="D1263" s="932"/>
      <c r="E1263" s="932"/>
      <c r="F1263" s="931"/>
      <c r="G1263" s="931"/>
      <c r="H1263" s="932"/>
      <c r="I1263" s="932"/>
      <c r="J1263" s="932"/>
      <c r="K1263" s="932"/>
      <c r="L1263" s="932"/>
      <c r="M1263" s="966"/>
      <c r="N1263" s="957"/>
      <c r="O1263" s="957"/>
      <c r="P1263" s="932"/>
      <c r="Q1263" s="931"/>
      <c r="R1263" s="931"/>
      <c r="S1263" s="957"/>
      <c r="T1263" s="957"/>
      <c r="U1263" s="957"/>
    </row>
    <row r="1264" ht="13.5" customHeight="1">
      <c r="A1264" s="931"/>
      <c r="B1264" s="291"/>
      <c r="C1264" s="931"/>
      <c r="D1264" s="932"/>
      <c r="E1264" s="932"/>
      <c r="F1264" s="931"/>
      <c r="G1264" s="931"/>
      <c r="H1264" s="932"/>
      <c r="I1264" s="932"/>
      <c r="J1264" s="932"/>
      <c r="K1264" s="932"/>
      <c r="L1264" s="932"/>
      <c r="M1264" s="966"/>
      <c r="N1264" s="957"/>
      <c r="O1264" s="957"/>
      <c r="P1264" s="932"/>
      <c r="Q1264" s="931"/>
      <c r="R1264" s="931"/>
      <c r="S1264" s="957"/>
      <c r="T1264" s="957"/>
      <c r="U1264" s="957"/>
    </row>
    <row r="1265" ht="13.5" customHeight="1">
      <c r="A1265" s="931"/>
      <c r="B1265" s="291"/>
      <c r="C1265" s="931"/>
      <c r="D1265" s="932"/>
      <c r="E1265" s="932"/>
      <c r="F1265" s="931"/>
      <c r="G1265" s="931"/>
      <c r="H1265" s="932"/>
      <c r="I1265" s="932"/>
      <c r="J1265" s="932"/>
      <c r="K1265" s="932"/>
      <c r="L1265" s="932"/>
      <c r="M1265" s="966"/>
      <c r="N1265" s="957"/>
      <c r="O1265" s="957"/>
      <c r="P1265" s="932"/>
      <c r="Q1265" s="931"/>
      <c r="R1265" s="931"/>
      <c r="S1265" s="957"/>
      <c r="T1265" s="957"/>
      <c r="U1265" s="957"/>
    </row>
    <row r="1266" ht="13.5" customHeight="1">
      <c r="A1266" s="931"/>
      <c r="B1266" s="291"/>
      <c r="C1266" s="931"/>
      <c r="D1266" s="932"/>
      <c r="E1266" s="932"/>
      <c r="F1266" s="931"/>
      <c r="G1266" s="931"/>
      <c r="H1266" s="932"/>
      <c r="I1266" s="932"/>
      <c r="J1266" s="932"/>
      <c r="K1266" s="932"/>
      <c r="L1266" s="932"/>
      <c r="M1266" s="966"/>
      <c r="N1266" s="957"/>
      <c r="O1266" s="957"/>
      <c r="P1266" s="932"/>
      <c r="Q1266" s="931"/>
      <c r="R1266" s="931"/>
      <c r="S1266" s="957"/>
      <c r="T1266" s="957"/>
      <c r="U1266" s="957"/>
    </row>
    <row r="1267" ht="13.5" customHeight="1">
      <c r="A1267" s="931"/>
      <c r="B1267" s="291"/>
      <c r="C1267" s="931"/>
      <c r="D1267" s="932"/>
      <c r="E1267" s="932"/>
      <c r="F1267" s="931"/>
      <c r="G1267" s="931"/>
      <c r="H1267" s="932"/>
      <c r="I1267" s="932"/>
      <c r="J1267" s="932"/>
      <c r="K1267" s="932"/>
      <c r="L1267" s="932"/>
      <c r="M1267" s="966"/>
      <c r="N1267" s="957"/>
      <c r="O1267" s="957"/>
      <c r="P1267" s="932"/>
      <c r="Q1267" s="931"/>
      <c r="R1267" s="931"/>
      <c r="S1267" s="957"/>
      <c r="T1267" s="957"/>
      <c r="U1267" s="957"/>
    </row>
    <row r="1268" ht="13.5" customHeight="1">
      <c r="A1268" s="931"/>
      <c r="B1268" s="291"/>
      <c r="C1268" s="931"/>
      <c r="D1268" s="932"/>
      <c r="E1268" s="932"/>
      <c r="F1268" s="931"/>
      <c r="G1268" s="931"/>
      <c r="H1268" s="932"/>
      <c r="I1268" s="932"/>
      <c r="J1268" s="932"/>
      <c r="K1268" s="932"/>
      <c r="L1268" s="932"/>
      <c r="M1268" s="966"/>
      <c r="N1268" s="957"/>
      <c r="O1268" s="957"/>
      <c r="P1268" s="932"/>
      <c r="Q1268" s="931"/>
      <c r="R1268" s="931"/>
      <c r="S1268" s="957"/>
      <c r="T1268" s="957"/>
      <c r="U1268" s="957"/>
    </row>
    <row r="1269" ht="13.5" customHeight="1">
      <c r="A1269" s="931"/>
      <c r="B1269" s="291"/>
      <c r="C1269" s="931"/>
      <c r="D1269" s="932"/>
      <c r="E1269" s="932"/>
      <c r="F1269" s="931"/>
      <c r="G1269" s="931"/>
      <c r="H1269" s="932"/>
      <c r="I1269" s="932"/>
      <c r="J1269" s="932"/>
      <c r="K1269" s="932"/>
      <c r="L1269" s="932"/>
      <c r="M1269" s="966"/>
      <c r="N1269" s="957"/>
      <c r="O1269" s="957"/>
      <c r="P1269" s="932"/>
      <c r="Q1269" s="931"/>
      <c r="R1269" s="931"/>
      <c r="S1269" s="957"/>
      <c r="T1269" s="957"/>
      <c r="U1269" s="957"/>
    </row>
    <row r="1270" ht="13.5" customHeight="1">
      <c r="A1270" s="931"/>
      <c r="B1270" s="291"/>
      <c r="C1270" s="931"/>
      <c r="D1270" s="932"/>
      <c r="E1270" s="932"/>
      <c r="F1270" s="931"/>
      <c r="G1270" s="931"/>
      <c r="H1270" s="932"/>
      <c r="I1270" s="932"/>
      <c r="J1270" s="932"/>
      <c r="K1270" s="932"/>
      <c r="L1270" s="932"/>
      <c r="M1270" s="966"/>
      <c r="N1270" s="957"/>
      <c r="O1270" s="957"/>
      <c r="P1270" s="932"/>
      <c r="Q1270" s="931"/>
      <c r="R1270" s="931"/>
      <c r="S1270" s="957"/>
      <c r="T1270" s="957"/>
      <c r="U1270" s="957"/>
    </row>
    <row r="1271" ht="13.5" customHeight="1">
      <c r="A1271" s="931"/>
      <c r="B1271" s="291"/>
      <c r="C1271" s="931"/>
      <c r="D1271" s="932"/>
      <c r="E1271" s="932"/>
      <c r="F1271" s="931"/>
      <c r="G1271" s="931"/>
      <c r="H1271" s="932"/>
      <c r="I1271" s="932"/>
      <c r="J1271" s="932"/>
      <c r="K1271" s="932"/>
      <c r="L1271" s="932"/>
      <c r="M1271" s="966"/>
      <c r="N1271" s="957"/>
      <c r="O1271" s="957"/>
      <c r="P1271" s="932"/>
      <c r="Q1271" s="931"/>
      <c r="R1271" s="931"/>
      <c r="S1271" s="957"/>
      <c r="T1271" s="957"/>
      <c r="U1271" s="957"/>
    </row>
    <row r="1272" ht="13.5" customHeight="1">
      <c r="A1272" s="931"/>
      <c r="B1272" s="291"/>
      <c r="C1272" s="931"/>
      <c r="D1272" s="932"/>
      <c r="E1272" s="932"/>
      <c r="F1272" s="931"/>
      <c r="G1272" s="931"/>
      <c r="H1272" s="932"/>
      <c r="I1272" s="932"/>
      <c r="J1272" s="932"/>
      <c r="K1272" s="932"/>
      <c r="L1272" s="932"/>
      <c r="M1272" s="966"/>
      <c r="N1272" s="957"/>
      <c r="O1272" s="957"/>
      <c r="P1272" s="932"/>
      <c r="Q1272" s="931"/>
      <c r="R1272" s="931"/>
      <c r="S1272" s="957"/>
      <c r="T1272" s="957"/>
      <c r="U1272" s="957"/>
    </row>
    <row r="1273" ht="13.5" customHeight="1">
      <c r="A1273" s="931"/>
      <c r="B1273" s="291"/>
      <c r="C1273" s="931"/>
      <c r="D1273" s="932"/>
      <c r="E1273" s="932"/>
      <c r="F1273" s="931"/>
      <c r="G1273" s="931"/>
      <c r="H1273" s="932"/>
      <c r="I1273" s="932"/>
      <c r="J1273" s="932"/>
      <c r="K1273" s="932"/>
      <c r="L1273" s="932"/>
      <c r="M1273" s="966"/>
      <c r="N1273" s="957"/>
      <c r="O1273" s="957"/>
      <c r="P1273" s="932"/>
      <c r="Q1273" s="931"/>
      <c r="R1273" s="931"/>
      <c r="S1273" s="957"/>
      <c r="T1273" s="957"/>
      <c r="U1273" s="957"/>
    </row>
    <row r="1274" ht="13.5" customHeight="1">
      <c r="A1274" s="931"/>
      <c r="B1274" s="291"/>
      <c r="C1274" s="931"/>
      <c r="D1274" s="932"/>
      <c r="E1274" s="932"/>
      <c r="F1274" s="931"/>
      <c r="G1274" s="931"/>
      <c r="H1274" s="932"/>
      <c r="I1274" s="932"/>
      <c r="J1274" s="932"/>
      <c r="K1274" s="932"/>
      <c r="L1274" s="932"/>
      <c r="M1274" s="966"/>
      <c r="N1274" s="957"/>
      <c r="O1274" s="957"/>
      <c r="P1274" s="932"/>
      <c r="Q1274" s="931"/>
      <c r="R1274" s="931"/>
      <c r="S1274" s="957"/>
      <c r="T1274" s="957"/>
      <c r="U1274" s="957"/>
    </row>
    <row r="1275" ht="13.5" customHeight="1">
      <c r="A1275" s="931"/>
      <c r="B1275" s="291"/>
      <c r="C1275" s="931"/>
      <c r="D1275" s="932"/>
      <c r="E1275" s="932"/>
      <c r="F1275" s="931"/>
      <c r="G1275" s="931"/>
      <c r="H1275" s="932"/>
      <c r="I1275" s="932"/>
      <c r="J1275" s="932"/>
      <c r="K1275" s="932"/>
      <c r="L1275" s="932"/>
      <c r="M1275" s="966"/>
      <c r="N1275" s="957"/>
      <c r="O1275" s="957"/>
      <c r="P1275" s="932"/>
      <c r="Q1275" s="931"/>
      <c r="R1275" s="931"/>
      <c r="S1275" s="957"/>
      <c r="T1275" s="957"/>
      <c r="U1275" s="957"/>
    </row>
    <row r="1276" ht="13.5" customHeight="1">
      <c r="A1276" s="931"/>
      <c r="B1276" s="291"/>
      <c r="C1276" s="931"/>
      <c r="D1276" s="932"/>
      <c r="E1276" s="932"/>
      <c r="F1276" s="931"/>
      <c r="G1276" s="931"/>
      <c r="H1276" s="932"/>
      <c r="I1276" s="932"/>
      <c r="J1276" s="932"/>
      <c r="K1276" s="932"/>
      <c r="L1276" s="932"/>
      <c r="M1276" s="966"/>
      <c r="N1276" s="957"/>
      <c r="O1276" s="957"/>
      <c r="P1276" s="932"/>
      <c r="Q1276" s="931"/>
      <c r="R1276" s="931"/>
      <c r="S1276" s="957"/>
      <c r="T1276" s="957"/>
      <c r="U1276" s="957"/>
    </row>
    <row r="1277" ht="13.5" customHeight="1">
      <c r="A1277" s="931"/>
      <c r="B1277" s="291"/>
      <c r="C1277" s="931"/>
      <c r="D1277" s="932"/>
      <c r="E1277" s="932"/>
      <c r="F1277" s="931"/>
      <c r="G1277" s="931"/>
      <c r="H1277" s="932"/>
      <c r="I1277" s="932"/>
      <c r="J1277" s="932"/>
      <c r="K1277" s="932"/>
      <c r="L1277" s="932"/>
      <c r="M1277" s="966"/>
      <c r="N1277" s="957"/>
      <c r="O1277" s="957"/>
      <c r="P1277" s="932"/>
      <c r="Q1277" s="931"/>
      <c r="R1277" s="931"/>
      <c r="S1277" s="957"/>
      <c r="T1277" s="957"/>
      <c r="U1277" s="957"/>
    </row>
    <row r="1278" ht="13.5" customHeight="1">
      <c r="A1278" s="931"/>
      <c r="B1278" s="291"/>
      <c r="C1278" s="931"/>
      <c r="D1278" s="932"/>
      <c r="E1278" s="932"/>
      <c r="F1278" s="931"/>
      <c r="G1278" s="931"/>
      <c r="H1278" s="932"/>
      <c r="I1278" s="932"/>
      <c r="J1278" s="932"/>
      <c r="K1278" s="932"/>
      <c r="L1278" s="932"/>
      <c r="M1278" s="966"/>
      <c r="N1278" s="957"/>
      <c r="O1278" s="957"/>
      <c r="P1278" s="932"/>
      <c r="Q1278" s="931"/>
      <c r="R1278" s="931"/>
      <c r="S1278" s="957"/>
      <c r="T1278" s="957"/>
      <c r="U1278" s="957"/>
    </row>
    <row r="1279" ht="13.5" customHeight="1">
      <c r="A1279" s="931"/>
      <c r="B1279" s="291"/>
      <c r="C1279" s="931"/>
      <c r="D1279" s="932"/>
      <c r="E1279" s="932"/>
      <c r="F1279" s="931"/>
      <c r="G1279" s="931"/>
      <c r="H1279" s="932"/>
      <c r="I1279" s="932"/>
      <c r="J1279" s="932"/>
      <c r="K1279" s="932"/>
      <c r="L1279" s="932"/>
      <c r="M1279" s="966"/>
      <c r="N1279" s="957"/>
      <c r="O1279" s="957"/>
      <c r="P1279" s="932"/>
      <c r="Q1279" s="931"/>
      <c r="R1279" s="931"/>
      <c r="S1279" s="957"/>
      <c r="T1279" s="957"/>
      <c r="U1279" s="957"/>
    </row>
    <row r="1280" ht="13.5" customHeight="1">
      <c r="A1280" s="931"/>
      <c r="B1280" s="291"/>
      <c r="C1280" s="931"/>
      <c r="D1280" s="932"/>
      <c r="E1280" s="932"/>
      <c r="F1280" s="931"/>
      <c r="G1280" s="931"/>
      <c r="H1280" s="932"/>
      <c r="I1280" s="932"/>
      <c r="J1280" s="932"/>
      <c r="K1280" s="932"/>
      <c r="L1280" s="932"/>
      <c r="M1280" s="966"/>
      <c r="N1280" s="957"/>
      <c r="O1280" s="957"/>
      <c r="P1280" s="932"/>
      <c r="Q1280" s="931"/>
      <c r="R1280" s="931"/>
      <c r="S1280" s="957"/>
      <c r="T1280" s="957"/>
      <c r="U1280" s="957"/>
    </row>
    <row r="1281" ht="13.5" customHeight="1">
      <c r="A1281" s="931"/>
      <c r="B1281" s="291"/>
      <c r="C1281" s="931"/>
      <c r="D1281" s="932"/>
      <c r="E1281" s="932"/>
      <c r="F1281" s="931"/>
      <c r="G1281" s="931"/>
      <c r="H1281" s="932"/>
      <c r="I1281" s="932"/>
      <c r="J1281" s="932"/>
      <c r="K1281" s="932"/>
      <c r="L1281" s="932"/>
      <c r="M1281" s="966"/>
      <c r="N1281" s="957"/>
      <c r="O1281" s="957"/>
      <c r="P1281" s="932"/>
      <c r="Q1281" s="931"/>
      <c r="R1281" s="931"/>
      <c r="S1281" s="957"/>
      <c r="T1281" s="957"/>
      <c r="U1281" s="957"/>
    </row>
    <row r="1282" ht="13.5" customHeight="1">
      <c r="A1282" s="931"/>
      <c r="B1282" s="291"/>
      <c r="C1282" s="931"/>
      <c r="D1282" s="932"/>
      <c r="E1282" s="932"/>
      <c r="F1282" s="931"/>
      <c r="G1282" s="931"/>
      <c r="H1282" s="932"/>
      <c r="I1282" s="932"/>
      <c r="J1282" s="932"/>
      <c r="K1282" s="932"/>
      <c r="L1282" s="932"/>
      <c r="M1282" s="966"/>
      <c r="N1282" s="957"/>
      <c r="O1282" s="957"/>
      <c r="P1282" s="932"/>
      <c r="Q1282" s="931"/>
      <c r="R1282" s="931"/>
      <c r="S1282" s="957"/>
      <c r="T1282" s="957"/>
      <c r="U1282" s="957"/>
    </row>
    <row r="1283" ht="13.5" customHeight="1">
      <c r="A1283" s="931"/>
      <c r="B1283" s="291"/>
      <c r="C1283" s="931"/>
      <c r="D1283" s="932"/>
      <c r="E1283" s="932"/>
      <c r="F1283" s="931"/>
      <c r="G1283" s="931"/>
      <c r="H1283" s="932"/>
      <c r="I1283" s="932"/>
      <c r="J1283" s="932"/>
      <c r="K1283" s="932"/>
      <c r="L1283" s="932"/>
      <c r="M1283" s="966"/>
      <c r="N1283" s="957"/>
      <c r="O1283" s="957"/>
      <c r="P1283" s="932"/>
      <c r="Q1283" s="931"/>
      <c r="R1283" s="931"/>
      <c r="S1283" s="957"/>
      <c r="T1283" s="957"/>
      <c r="U1283" s="957"/>
    </row>
    <row r="1284" ht="13.5" customHeight="1">
      <c r="A1284" s="931"/>
      <c r="B1284" s="291"/>
      <c r="C1284" s="931"/>
      <c r="D1284" s="932"/>
      <c r="E1284" s="932"/>
      <c r="F1284" s="931"/>
      <c r="G1284" s="931"/>
      <c r="H1284" s="932"/>
      <c r="I1284" s="932"/>
      <c r="J1284" s="932"/>
      <c r="K1284" s="932"/>
      <c r="L1284" s="932"/>
      <c r="M1284" s="966"/>
      <c r="N1284" s="957"/>
      <c r="O1284" s="957"/>
      <c r="P1284" s="932"/>
      <c r="Q1284" s="931"/>
      <c r="R1284" s="931"/>
      <c r="S1284" s="957"/>
      <c r="T1284" s="957"/>
      <c r="U1284" s="957"/>
    </row>
    <row r="1285" ht="13.5" customHeight="1">
      <c r="A1285" s="931"/>
      <c r="B1285" s="291"/>
      <c r="C1285" s="931"/>
      <c r="D1285" s="932"/>
      <c r="E1285" s="932"/>
      <c r="F1285" s="931"/>
      <c r="G1285" s="931"/>
      <c r="H1285" s="932"/>
      <c r="I1285" s="932"/>
      <c r="J1285" s="932"/>
      <c r="K1285" s="932"/>
      <c r="L1285" s="932"/>
      <c r="M1285" s="966"/>
      <c r="N1285" s="957"/>
      <c r="O1285" s="957"/>
      <c r="P1285" s="932"/>
      <c r="Q1285" s="931"/>
      <c r="R1285" s="931"/>
      <c r="S1285" s="957"/>
      <c r="T1285" s="957"/>
      <c r="U1285" s="957"/>
    </row>
    <row r="1286" ht="13.5" customHeight="1">
      <c r="A1286" s="931"/>
      <c r="B1286" s="291"/>
      <c r="C1286" s="931"/>
      <c r="D1286" s="932"/>
      <c r="E1286" s="932"/>
      <c r="F1286" s="931"/>
      <c r="G1286" s="931"/>
      <c r="H1286" s="932"/>
      <c r="I1286" s="932"/>
      <c r="J1286" s="932"/>
      <c r="K1286" s="932"/>
      <c r="L1286" s="932"/>
      <c r="M1286" s="966"/>
      <c r="N1286" s="957"/>
      <c r="O1286" s="957"/>
      <c r="P1286" s="932"/>
      <c r="Q1286" s="931"/>
      <c r="R1286" s="931"/>
      <c r="S1286" s="957"/>
      <c r="T1286" s="957"/>
      <c r="U1286" s="957"/>
    </row>
    <row r="1287" ht="13.5" customHeight="1">
      <c r="A1287" s="931"/>
      <c r="B1287" s="291"/>
      <c r="C1287" s="931"/>
      <c r="D1287" s="932"/>
      <c r="E1287" s="932"/>
      <c r="F1287" s="931"/>
      <c r="G1287" s="931"/>
      <c r="H1287" s="932"/>
      <c r="I1287" s="932"/>
      <c r="J1287" s="932"/>
      <c r="K1287" s="932"/>
      <c r="L1287" s="932"/>
      <c r="M1287" s="966"/>
      <c r="N1287" s="957"/>
      <c r="O1287" s="957"/>
      <c r="P1287" s="932"/>
      <c r="Q1287" s="931"/>
      <c r="R1287" s="931"/>
      <c r="S1287" s="957"/>
      <c r="T1287" s="957"/>
      <c r="U1287" s="957"/>
    </row>
    <row r="1288" ht="13.5" customHeight="1">
      <c r="A1288" s="931"/>
      <c r="B1288" s="291"/>
      <c r="C1288" s="931"/>
      <c r="D1288" s="932"/>
      <c r="E1288" s="932"/>
      <c r="F1288" s="931"/>
      <c r="G1288" s="931"/>
      <c r="H1288" s="932"/>
      <c r="I1288" s="932"/>
      <c r="J1288" s="932"/>
      <c r="K1288" s="932"/>
      <c r="L1288" s="932"/>
      <c r="M1288" s="966"/>
      <c r="N1288" s="957"/>
      <c r="O1288" s="957"/>
      <c r="P1288" s="932"/>
      <c r="Q1288" s="931"/>
      <c r="R1288" s="931"/>
      <c r="S1288" s="957"/>
      <c r="T1288" s="957"/>
      <c r="U1288" s="957"/>
    </row>
    <row r="1289" ht="13.5" customHeight="1">
      <c r="A1289" s="931"/>
      <c r="B1289" s="291"/>
      <c r="C1289" s="931"/>
      <c r="D1289" s="932"/>
      <c r="E1289" s="932"/>
      <c r="F1289" s="931"/>
      <c r="G1289" s="931"/>
      <c r="H1289" s="932"/>
      <c r="I1289" s="932"/>
      <c r="J1289" s="932"/>
      <c r="K1289" s="932"/>
      <c r="L1289" s="932"/>
      <c r="M1289" s="966"/>
      <c r="N1289" s="957"/>
      <c r="O1289" s="957"/>
      <c r="P1289" s="932"/>
      <c r="Q1289" s="931"/>
      <c r="R1289" s="931"/>
      <c r="S1289" s="957"/>
      <c r="T1289" s="957"/>
      <c r="U1289" s="957"/>
    </row>
    <row r="1290" ht="13.5" customHeight="1">
      <c r="A1290" s="931"/>
      <c r="B1290" s="291"/>
      <c r="C1290" s="931"/>
      <c r="D1290" s="932"/>
      <c r="E1290" s="932"/>
      <c r="F1290" s="931"/>
      <c r="G1290" s="931"/>
      <c r="H1290" s="932"/>
      <c r="I1290" s="932"/>
      <c r="J1290" s="932"/>
      <c r="K1290" s="932"/>
      <c r="L1290" s="932"/>
      <c r="M1290" s="966"/>
      <c r="N1290" s="957"/>
      <c r="O1290" s="957"/>
      <c r="P1290" s="932"/>
      <c r="Q1290" s="931"/>
      <c r="R1290" s="931"/>
      <c r="S1290" s="957"/>
      <c r="T1290" s="957"/>
      <c r="U1290" s="957"/>
    </row>
    <row r="1291" ht="13.5" customHeight="1">
      <c r="A1291" s="931"/>
      <c r="B1291" s="291"/>
      <c r="C1291" s="931"/>
      <c r="D1291" s="932"/>
      <c r="E1291" s="932"/>
      <c r="F1291" s="931"/>
      <c r="G1291" s="931"/>
      <c r="H1291" s="932"/>
      <c r="I1291" s="932"/>
      <c r="J1291" s="932"/>
      <c r="K1291" s="932"/>
      <c r="L1291" s="932"/>
      <c r="M1291" s="966"/>
      <c r="N1291" s="957"/>
      <c r="O1291" s="957"/>
      <c r="P1291" s="932"/>
      <c r="Q1291" s="931"/>
      <c r="R1291" s="931"/>
      <c r="S1291" s="957"/>
      <c r="T1291" s="957"/>
      <c r="U1291" s="957"/>
    </row>
    <row r="1292" ht="13.5" customHeight="1">
      <c r="A1292" s="931"/>
      <c r="B1292" s="291"/>
      <c r="C1292" s="931"/>
      <c r="D1292" s="932"/>
      <c r="E1292" s="932"/>
      <c r="F1292" s="931"/>
      <c r="G1292" s="931"/>
      <c r="H1292" s="932"/>
      <c r="I1292" s="932"/>
      <c r="J1292" s="932"/>
      <c r="K1292" s="932"/>
      <c r="L1292" s="932"/>
      <c r="M1292" s="966"/>
      <c r="N1292" s="957"/>
      <c r="O1292" s="957"/>
      <c r="P1292" s="932"/>
      <c r="Q1292" s="931"/>
      <c r="R1292" s="931"/>
      <c r="S1292" s="957"/>
      <c r="T1292" s="957"/>
      <c r="U1292" s="957"/>
    </row>
    <row r="1293" ht="13.5" customHeight="1">
      <c r="A1293" s="931"/>
      <c r="B1293" s="291"/>
      <c r="C1293" s="931"/>
      <c r="D1293" s="932"/>
      <c r="E1293" s="932"/>
      <c r="F1293" s="931"/>
      <c r="G1293" s="931"/>
      <c r="H1293" s="932"/>
      <c r="I1293" s="932"/>
      <c r="J1293" s="932"/>
      <c r="K1293" s="932"/>
      <c r="L1293" s="932"/>
      <c r="M1293" s="966"/>
      <c r="N1293" s="957"/>
      <c r="O1293" s="957"/>
      <c r="P1293" s="932"/>
      <c r="Q1293" s="931"/>
      <c r="R1293" s="931"/>
      <c r="S1293" s="957"/>
      <c r="T1293" s="957"/>
      <c r="U1293" s="957"/>
    </row>
    <row r="1294" ht="13.5" customHeight="1">
      <c r="A1294" s="931"/>
      <c r="B1294" s="291"/>
      <c r="C1294" s="931"/>
      <c r="D1294" s="932"/>
      <c r="E1294" s="932"/>
      <c r="F1294" s="931"/>
      <c r="G1294" s="931"/>
      <c r="H1294" s="932"/>
      <c r="I1294" s="932"/>
      <c r="J1294" s="932"/>
      <c r="K1294" s="932"/>
      <c r="L1294" s="932"/>
      <c r="M1294" s="966"/>
      <c r="N1294" s="957"/>
      <c r="O1294" s="957"/>
      <c r="P1294" s="932"/>
      <c r="Q1294" s="931"/>
      <c r="R1294" s="931"/>
      <c r="S1294" s="957"/>
      <c r="T1294" s="957"/>
      <c r="U1294" s="957"/>
    </row>
    <row r="1295" ht="13.5" customHeight="1">
      <c r="A1295" s="931"/>
      <c r="B1295" s="291"/>
      <c r="C1295" s="931"/>
      <c r="D1295" s="932"/>
      <c r="E1295" s="932"/>
      <c r="F1295" s="931"/>
      <c r="G1295" s="931"/>
      <c r="H1295" s="932"/>
      <c r="I1295" s="932"/>
      <c r="J1295" s="932"/>
      <c r="K1295" s="932"/>
      <c r="L1295" s="932"/>
      <c r="M1295" s="966"/>
      <c r="N1295" s="957"/>
      <c r="O1295" s="957"/>
      <c r="P1295" s="932"/>
      <c r="Q1295" s="931"/>
      <c r="R1295" s="931"/>
      <c r="S1295" s="957"/>
      <c r="T1295" s="957"/>
      <c r="U1295" s="957"/>
    </row>
    <row r="1296" ht="13.5" customHeight="1">
      <c r="A1296" s="931"/>
      <c r="B1296" s="291"/>
      <c r="C1296" s="931"/>
      <c r="D1296" s="932"/>
      <c r="E1296" s="932"/>
      <c r="F1296" s="931"/>
      <c r="G1296" s="931"/>
      <c r="H1296" s="932"/>
      <c r="I1296" s="932"/>
      <c r="J1296" s="932"/>
      <c r="K1296" s="932"/>
      <c r="L1296" s="932"/>
      <c r="M1296" s="966"/>
      <c r="N1296" s="957"/>
      <c r="O1296" s="957"/>
      <c r="P1296" s="932"/>
      <c r="Q1296" s="931"/>
      <c r="R1296" s="931"/>
      <c r="S1296" s="957"/>
      <c r="T1296" s="957"/>
      <c r="U1296" s="957"/>
    </row>
    <row r="1297" ht="13.5" customHeight="1">
      <c r="A1297" s="931"/>
      <c r="B1297" s="291"/>
      <c r="C1297" s="931"/>
      <c r="D1297" s="932"/>
      <c r="E1297" s="932"/>
      <c r="F1297" s="931"/>
      <c r="G1297" s="931"/>
      <c r="H1297" s="932"/>
      <c r="I1297" s="932"/>
      <c r="J1297" s="932"/>
      <c r="K1297" s="932"/>
      <c r="L1297" s="932"/>
      <c r="M1297" s="966"/>
      <c r="N1297" s="957"/>
      <c r="O1297" s="957"/>
      <c r="P1297" s="932"/>
      <c r="Q1297" s="931"/>
      <c r="R1297" s="931"/>
      <c r="S1297" s="957"/>
      <c r="T1297" s="957"/>
      <c r="U1297" s="957"/>
    </row>
    <row r="1298" ht="13.5" customHeight="1">
      <c r="A1298" s="931"/>
      <c r="B1298" s="291"/>
      <c r="C1298" s="931"/>
      <c r="D1298" s="932"/>
      <c r="E1298" s="932"/>
      <c r="F1298" s="931"/>
      <c r="G1298" s="931"/>
      <c r="H1298" s="932"/>
      <c r="I1298" s="932"/>
      <c r="J1298" s="932"/>
      <c r="K1298" s="932"/>
      <c r="L1298" s="932"/>
      <c r="M1298" s="966"/>
      <c r="N1298" s="957"/>
      <c r="O1298" s="957"/>
      <c r="P1298" s="932"/>
      <c r="Q1298" s="931"/>
      <c r="R1298" s="931"/>
      <c r="S1298" s="957"/>
      <c r="T1298" s="957"/>
      <c r="U1298" s="957"/>
    </row>
    <row r="1299" ht="13.5" customHeight="1">
      <c r="A1299" s="931"/>
      <c r="B1299" s="291"/>
      <c r="C1299" s="931"/>
      <c r="D1299" s="932"/>
      <c r="E1299" s="932"/>
      <c r="F1299" s="931"/>
      <c r="G1299" s="931"/>
      <c r="H1299" s="932"/>
      <c r="I1299" s="932"/>
      <c r="J1299" s="932"/>
      <c r="K1299" s="932"/>
      <c r="L1299" s="932"/>
      <c r="M1299" s="966"/>
      <c r="N1299" s="957"/>
      <c r="O1299" s="957"/>
      <c r="P1299" s="932"/>
      <c r="Q1299" s="931"/>
      <c r="R1299" s="931"/>
      <c r="S1299" s="957"/>
      <c r="T1299" s="957"/>
      <c r="U1299" s="957"/>
    </row>
    <row r="1300" ht="13.5" customHeight="1">
      <c r="A1300" s="931"/>
      <c r="B1300" s="291"/>
      <c r="C1300" s="931"/>
      <c r="D1300" s="932"/>
      <c r="E1300" s="932"/>
      <c r="F1300" s="931"/>
      <c r="G1300" s="931"/>
      <c r="H1300" s="932"/>
      <c r="I1300" s="932"/>
      <c r="J1300" s="932"/>
      <c r="K1300" s="932"/>
      <c r="L1300" s="932"/>
      <c r="M1300" s="966"/>
      <c r="N1300" s="957"/>
      <c r="O1300" s="957"/>
      <c r="P1300" s="932"/>
      <c r="Q1300" s="931"/>
      <c r="R1300" s="931"/>
      <c r="S1300" s="957"/>
      <c r="T1300" s="957"/>
      <c r="U1300" s="957"/>
    </row>
    <row r="1301" ht="13.5" customHeight="1">
      <c r="A1301" s="931"/>
      <c r="B1301" s="291"/>
      <c r="C1301" s="931"/>
      <c r="D1301" s="932"/>
      <c r="E1301" s="932"/>
      <c r="F1301" s="931"/>
      <c r="G1301" s="931"/>
      <c r="H1301" s="932"/>
      <c r="I1301" s="932"/>
      <c r="J1301" s="932"/>
      <c r="K1301" s="932"/>
      <c r="L1301" s="932"/>
      <c r="M1301" s="966"/>
      <c r="N1301" s="957"/>
      <c r="O1301" s="957"/>
      <c r="P1301" s="932"/>
      <c r="Q1301" s="931"/>
      <c r="R1301" s="931"/>
      <c r="S1301" s="957"/>
      <c r="T1301" s="957"/>
      <c r="U1301" s="957"/>
    </row>
    <row r="1302" ht="13.5" customHeight="1">
      <c r="A1302" s="931"/>
      <c r="B1302" s="291"/>
      <c r="C1302" s="931"/>
      <c r="D1302" s="932"/>
      <c r="E1302" s="932"/>
      <c r="F1302" s="931"/>
      <c r="G1302" s="931"/>
      <c r="H1302" s="932"/>
      <c r="I1302" s="932"/>
      <c r="J1302" s="932"/>
      <c r="K1302" s="932"/>
      <c r="L1302" s="932"/>
      <c r="M1302" s="966"/>
      <c r="N1302" s="957"/>
      <c r="O1302" s="957"/>
      <c r="P1302" s="932"/>
      <c r="Q1302" s="931"/>
      <c r="R1302" s="931"/>
      <c r="S1302" s="957"/>
      <c r="T1302" s="957"/>
      <c r="U1302" s="957"/>
    </row>
    <row r="1303" ht="13.5" customHeight="1">
      <c r="A1303" s="931"/>
      <c r="B1303" s="291"/>
      <c r="C1303" s="931"/>
      <c r="D1303" s="932"/>
      <c r="E1303" s="932"/>
      <c r="F1303" s="931"/>
      <c r="G1303" s="931"/>
      <c r="H1303" s="932"/>
      <c r="I1303" s="932"/>
      <c r="J1303" s="932"/>
      <c r="K1303" s="932"/>
      <c r="L1303" s="932"/>
      <c r="M1303" s="966"/>
      <c r="N1303" s="957"/>
      <c r="O1303" s="957"/>
      <c r="P1303" s="932"/>
      <c r="Q1303" s="931"/>
      <c r="R1303" s="931"/>
      <c r="S1303" s="957"/>
      <c r="T1303" s="957"/>
      <c r="U1303" s="957"/>
    </row>
    <row r="1304" ht="13.5" customHeight="1">
      <c r="A1304" s="931"/>
      <c r="B1304" s="291"/>
      <c r="C1304" s="931"/>
      <c r="D1304" s="932"/>
      <c r="E1304" s="932"/>
      <c r="F1304" s="931"/>
      <c r="G1304" s="931"/>
      <c r="H1304" s="932"/>
      <c r="I1304" s="932"/>
      <c r="J1304" s="932"/>
      <c r="K1304" s="932"/>
      <c r="L1304" s="932"/>
      <c r="M1304" s="966"/>
      <c r="N1304" s="957"/>
      <c r="O1304" s="957"/>
      <c r="P1304" s="932"/>
      <c r="Q1304" s="931"/>
      <c r="R1304" s="931"/>
      <c r="S1304" s="957"/>
      <c r="T1304" s="957"/>
      <c r="U1304" s="957"/>
    </row>
    <row r="1305" ht="13.5" customHeight="1">
      <c r="A1305" s="931"/>
      <c r="B1305" s="291"/>
      <c r="C1305" s="931"/>
      <c r="D1305" s="932"/>
      <c r="E1305" s="932"/>
      <c r="F1305" s="931"/>
      <c r="G1305" s="931"/>
      <c r="H1305" s="932"/>
      <c r="I1305" s="932"/>
      <c r="J1305" s="932"/>
      <c r="K1305" s="932"/>
      <c r="L1305" s="932"/>
      <c r="M1305" s="966"/>
      <c r="N1305" s="957"/>
      <c r="O1305" s="957"/>
      <c r="P1305" s="932"/>
      <c r="Q1305" s="931"/>
      <c r="R1305" s="931"/>
      <c r="S1305" s="957"/>
      <c r="T1305" s="957"/>
      <c r="U1305" s="957"/>
    </row>
    <row r="1306" ht="13.5" customHeight="1">
      <c r="A1306" s="931"/>
      <c r="B1306" s="291"/>
      <c r="C1306" s="931"/>
      <c r="D1306" s="932"/>
      <c r="E1306" s="932"/>
      <c r="F1306" s="931"/>
      <c r="G1306" s="931"/>
      <c r="H1306" s="932"/>
      <c r="I1306" s="932"/>
      <c r="J1306" s="932"/>
      <c r="K1306" s="932"/>
      <c r="L1306" s="932"/>
      <c r="M1306" s="966"/>
      <c r="N1306" s="957"/>
      <c r="O1306" s="957"/>
      <c r="P1306" s="932"/>
      <c r="Q1306" s="931"/>
      <c r="R1306" s="931"/>
      <c r="S1306" s="957"/>
      <c r="T1306" s="957"/>
      <c r="U1306" s="957"/>
    </row>
    <row r="1307" ht="13.5" customHeight="1">
      <c r="A1307" s="931"/>
      <c r="B1307" s="291"/>
      <c r="C1307" s="931"/>
      <c r="D1307" s="932"/>
      <c r="E1307" s="932"/>
      <c r="F1307" s="931"/>
      <c r="G1307" s="931"/>
      <c r="H1307" s="932"/>
      <c r="I1307" s="932"/>
      <c r="J1307" s="932"/>
      <c r="K1307" s="932"/>
      <c r="L1307" s="932"/>
      <c r="M1307" s="966"/>
      <c r="N1307" s="957"/>
      <c r="O1307" s="957"/>
      <c r="P1307" s="932"/>
      <c r="Q1307" s="931"/>
      <c r="R1307" s="931"/>
      <c r="S1307" s="957"/>
      <c r="T1307" s="957"/>
      <c r="U1307" s="957"/>
    </row>
    <row r="1308" ht="13.5" customHeight="1">
      <c r="A1308" s="931"/>
      <c r="B1308" s="291"/>
      <c r="C1308" s="931"/>
      <c r="D1308" s="932"/>
      <c r="E1308" s="932"/>
      <c r="F1308" s="931"/>
      <c r="G1308" s="931"/>
      <c r="H1308" s="932"/>
      <c r="I1308" s="932"/>
      <c r="J1308" s="932"/>
      <c r="K1308" s="932"/>
      <c r="L1308" s="932"/>
      <c r="M1308" s="966"/>
      <c r="N1308" s="957"/>
      <c r="O1308" s="957"/>
      <c r="P1308" s="932"/>
      <c r="Q1308" s="931"/>
      <c r="R1308" s="931"/>
      <c r="S1308" s="957"/>
      <c r="T1308" s="957"/>
      <c r="U1308" s="957"/>
    </row>
    <row r="1309" ht="13.5" customHeight="1">
      <c r="A1309" s="931"/>
      <c r="B1309" s="291"/>
      <c r="C1309" s="931"/>
      <c r="D1309" s="932"/>
      <c r="E1309" s="932"/>
      <c r="F1309" s="931"/>
      <c r="G1309" s="931"/>
      <c r="H1309" s="932"/>
      <c r="I1309" s="932"/>
      <c r="J1309" s="932"/>
      <c r="K1309" s="932"/>
      <c r="L1309" s="932"/>
      <c r="M1309" s="966"/>
      <c r="N1309" s="957"/>
      <c r="O1309" s="957"/>
      <c r="P1309" s="932"/>
      <c r="Q1309" s="931"/>
      <c r="R1309" s="931"/>
      <c r="S1309" s="957"/>
      <c r="T1309" s="957"/>
      <c r="U1309" s="957"/>
    </row>
    <row r="1310" ht="13.5" customHeight="1">
      <c r="A1310" s="931"/>
      <c r="B1310" s="291"/>
      <c r="C1310" s="931"/>
      <c r="D1310" s="932"/>
      <c r="E1310" s="932"/>
      <c r="F1310" s="931"/>
      <c r="G1310" s="931"/>
      <c r="H1310" s="932"/>
      <c r="I1310" s="932"/>
      <c r="J1310" s="932"/>
      <c r="K1310" s="932"/>
      <c r="L1310" s="932"/>
      <c r="M1310" s="966"/>
      <c r="N1310" s="957"/>
      <c r="O1310" s="957"/>
      <c r="P1310" s="932"/>
      <c r="Q1310" s="931"/>
      <c r="R1310" s="931"/>
      <c r="S1310" s="957"/>
      <c r="T1310" s="957"/>
      <c r="U1310" s="957"/>
    </row>
    <row r="1311" ht="13.5" customHeight="1">
      <c r="A1311" s="931"/>
      <c r="B1311" s="291"/>
      <c r="C1311" s="931"/>
      <c r="D1311" s="932"/>
      <c r="E1311" s="932"/>
      <c r="F1311" s="931"/>
      <c r="G1311" s="931"/>
      <c r="H1311" s="932"/>
      <c r="I1311" s="932"/>
      <c r="J1311" s="932"/>
      <c r="K1311" s="932"/>
      <c r="L1311" s="932"/>
      <c r="M1311" s="966"/>
      <c r="N1311" s="957"/>
      <c r="O1311" s="957"/>
      <c r="P1311" s="932"/>
      <c r="Q1311" s="931"/>
      <c r="R1311" s="931"/>
      <c r="S1311" s="957"/>
      <c r="T1311" s="957"/>
      <c r="U1311" s="957"/>
    </row>
    <row r="1312" ht="13.5" customHeight="1">
      <c r="A1312" s="931"/>
      <c r="B1312" s="291"/>
      <c r="C1312" s="931"/>
      <c r="D1312" s="932"/>
      <c r="E1312" s="932"/>
      <c r="F1312" s="931"/>
      <c r="G1312" s="931"/>
      <c r="H1312" s="932"/>
      <c r="I1312" s="932"/>
      <c r="J1312" s="932"/>
      <c r="K1312" s="932"/>
      <c r="L1312" s="932"/>
      <c r="M1312" s="966"/>
      <c r="N1312" s="957"/>
      <c r="O1312" s="957"/>
      <c r="P1312" s="932"/>
      <c r="Q1312" s="931"/>
      <c r="R1312" s="931"/>
      <c r="S1312" s="957"/>
      <c r="T1312" s="957"/>
      <c r="U1312" s="957"/>
    </row>
    <row r="1313" ht="13.5" customHeight="1">
      <c r="A1313" s="931"/>
      <c r="B1313" s="291"/>
      <c r="C1313" s="931"/>
      <c r="D1313" s="932"/>
      <c r="E1313" s="932"/>
      <c r="F1313" s="931"/>
      <c r="G1313" s="931"/>
      <c r="H1313" s="932"/>
      <c r="I1313" s="932"/>
      <c r="J1313" s="932"/>
      <c r="K1313" s="932"/>
      <c r="L1313" s="932"/>
      <c r="M1313" s="966"/>
      <c r="N1313" s="957"/>
      <c r="O1313" s="957"/>
      <c r="P1313" s="932"/>
      <c r="Q1313" s="931"/>
      <c r="R1313" s="931"/>
      <c r="S1313" s="957"/>
      <c r="T1313" s="957"/>
      <c r="U1313" s="957"/>
    </row>
    <row r="1314" ht="13.5" customHeight="1">
      <c r="A1314" s="931"/>
      <c r="B1314" s="291"/>
      <c r="C1314" s="931"/>
      <c r="D1314" s="932"/>
      <c r="E1314" s="932"/>
      <c r="F1314" s="931"/>
      <c r="G1314" s="931"/>
      <c r="H1314" s="932"/>
      <c r="I1314" s="932"/>
      <c r="J1314" s="932"/>
      <c r="K1314" s="932"/>
      <c r="L1314" s="932"/>
      <c r="M1314" s="966"/>
      <c r="N1314" s="957"/>
      <c r="O1314" s="957"/>
      <c r="P1314" s="932"/>
      <c r="Q1314" s="931"/>
      <c r="R1314" s="931"/>
      <c r="S1314" s="957"/>
      <c r="T1314" s="957"/>
      <c r="U1314" s="957"/>
    </row>
    <row r="1315" ht="13.5" customHeight="1">
      <c r="A1315" s="931"/>
      <c r="B1315" s="291"/>
      <c r="C1315" s="931"/>
      <c r="D1315" s="932"/>
      <c r="E1315" s="932"/>
      <c r="F1315" s="931"/>
      <c r="G1315" s="931"/>
      <c r="H1315" s="932"/>
      <c r="I1315" s="932"/>
      <c r="J1315" s="932"/>
      <c r="K1315" s="932"/>
      <c r="L1315" s="932"/>
      <c r="M1315" s="966"/>
      <c r="N1315" s="957"/>
      <c r="O1315" s="957"/>
      <c r="P1315" s="932"/>
      <c r="Q1315" s="931"/>
      <c r="R1315" s="931"/>
      <c r="S1315" s="957"/>
      <c r="T1315" s="957"/>
      <c r="U1315" s="957"/>
    </row>
    <row r="1316" ht="13.5" customHeight="1">
      <c r="A1316" s="931"/>
      <c r="B1316" s="291"/>
      <c r="C1316" s="931"/>
      <c r="D1316" s="932"/>
      <c r="E1316" s="932"/>
      <c r="F1316" s="931"/>
      <c r="G1316" s="931"/>
      <c r="H1316" s="932"/>
      <c r="I1316" s="932"/>
      <c r="J1316" s="932"/>
      <c r="K1316" s="932"/>
      <c r="L1316" s="932"/>
      <c r="M1316" s="966"/>
      <c r="N1316" s="957"/>
      <c r="O1316" s="957"/>
      <c r="P1316" s="932"/>
      <c r="Q1316" s="931"/>
      <c r="R1316" s="931"/>
      <c r="S1316" s="957"/>
      <c r="T1316" s="957"/>
      <c r="U1316" s="957"/>
    </row>
    <row r="1317" ht="13.5" customHeight="1">
      <c r="A1317" s="931"/>
      <c r="B1317" s="291"/>
      <c r="C1317" s="931"/>
      <c r="D1317" s="932"/>
      <c r="E1317" s="932"/>
      <c r="F1317" s="931"/>
      <c r="G1317" s="931"/>
      <c r="H1317" s="932"/>
      <c r="I1317" s="932"/>
      <c r="J1317" s="932"/>
      <c r="K1317" s="932"/>
      <c r="L1317" s="932"/>
      <c r="M1317" s="966"/>
      <c r="N1317" s="957"/>
      <c r="O1317" s="957"/>
      <c r="P1317" s="932"/>
      <c r="Q1317" s="931"/>
      <c r="R1317" s="931"/>
      <c r="S1317" s="957"/>
      <c r="T1317" s="957"/>
      <c r="U1317" s="957"/>
    </row>
    <row r="1318" ht="13.5" customHeight="1">
      <c r="A1318" s="931"/>
      <c r="B1318" s="291"/>
      <c r="C1318" s="931"/>
      <c r="D1318" s="932"/>
      <c r="E1318" s="932"/>
      <c r="F1318" s="931"/>
      <c r="G1318" s="931"/>
      <c r="H1318" s="932"/>
      <c r="I1318" s="932"/>
      <c r="J1318" s="932"/>
      <c r="K1318" s="932"/>
      <c r="L1318" s="932"/>
      <c r="M1318" s="966"/>
      <c r="N1318" s="957"/>
      <c r="O1318" s="957"/>
      <c r="P1318" s="932"/>
      <c r="Q1318" s="931"/>
      <c r="R1318" s="931"/>
      <c r="S1318" s="957"/>
      <c r="T1318" s="957"/>
      <c r="U1318" s="957"/>
    </row>
    <row r="1319" ht="13.5" customHeight="1">
      <c r="A1319" s="931"/>
      <c r="B1319" s="291"/>
      <c r="C1319" s="931"/>
      <c r="D1319" s="932"/>
      <c r="E1319" s="932"/>
      <c r="F1319" s="931"/>
      <c r="G1319" s="931"/>
      <c r="H1319" s="932"/>
      <c r="I1319" s="932"/>
      <c r="J1319" s="932"/>
      <c r="K1319" s="932"/>
      <c r="L1319" s="932"/>
      <c r="M1319" s="966"/>
      <c r="N1319" s="957"/>
      <c r="O1319" s="957"/>
      <c r="P1319" s="932"/>
      <c r="Q1319" s="931"/>
      <c r="R1319" s="931"/>
      <c r="S1319" s="957"/>
      <c r="T1319" s="957"/>
      <c r="U1319" s="957"/>
    </row>
    <row r="1320" ht="13.5" customHeight="1">
      <c r="A1320" s="931"/>
      <c r="B1320" s="291"/>
      <c r="C1320" s="931"/>
      <c r="D1320" s="932"/>
      <c r="E1320" s="932"/>
      <c r="F1320" s="931"/>
      <c r="G1320" s="931"/>
      <c r="H1320" s="932"/>
      <c r="I1320" s="932"/>
      <c r="J1320" s="932"/>
      <c r="K1320" s="932"/>
      <c r="L1320" s="932"/>
      <c r="M1320" s="966"/>
      <c r="N1320" s="957"/>
      <c r="O1320" s="957"/>
      <c r="P1320" s="932"/>
      <c r="Q1320" s="931"/>
      <c r="R1320" s="931"/>
      <c r="S1320" s="957"/>
      <c r="T1320" s="957"/>
      <c r="U1320" s="957"/>
    </row>
    <row r="1321" ht="13.5" customHeight="1">
      <c r="A1321" s="931"/>
      <c r="B1321" s="291"/>
      <c r="C1321" s="931"/>
      <c r="D1321" s="932"/>
      <c r="E1321" s="932"/>
      <c r="F1321" s="931"/>
      <c r="G1321" s="931"/>
      <c r="H1321" s="932"/>
      <c r="I1321" s="932"/>
      <c r="J1321" s="932"/>
      <c r="K1321" s="932"/>
      <c r="L1321" s="932"/>
      <c r="M1321" s="966"/>
      <c r="N1321" s="957"/>
      <c r="O1321" s="957"/>
      <c r="P1321" s="932"/>
      <c r="Q1321" s="931"/>
      <c r="R1321" s="931"/>
      <c r="S1321" s="957"/>
      <c r="T1321" s="957"/>
      <c r="U1321" s="957"/>
    </row>
    <row r="1322" ht="13.5" customHeight="1">
      <c r="A1322" s="931"/>
      <c r="B1322" s="291"/>
      <c r="C1322" s="931"/>
      <c r="D1322" s="932"/>
      <c r="E1322" s="932"/>
      <c r="F1322" s="931"/>
      <c r="G1322" s="931"/>
      <c r="H1322" s="932"/>
      <c r="I1322" s="932"/>
      <c r="J1322" s="932"/>
      <c r="K1322" s="932"/>
      <c r="L1322" s="932"/>
      <c r="M1322" s="966"/>
      <c r="N1322" s="957"/>
      <c r="O1322" s="957"/>
      <c r="P1322" s="932"/>
      <c r="Q1322" s="931"/>
      <c r="R1322" s="931"/>
      <c r="S1322" s="957"/>
      <c r="T1322" s="957"/>
      <c r="U1322" s="957"/>
    </row>
    <row r="1323" ht="13.5" customHeight="1">
      <c r="A1323" s="931"/>
      <c r="B1323" s="291"/>
      <c r="C1323" s="931"/>
      <c r="D1323" s="932"/>
      <c r="E1323" s="932"/>
      <c r="F1323" s="931"/>
      <c r="G1323" s="931"/>
      <c r="H1323" s="932"/>
      <c r="I1323" s="932"/>
      <c r="J1323" s="932"/>
      <c r="K1323" s="932"/>
      <c r="L1323" s="932"/>
      <c r="M1323" s="966"/>
      <c r="N1323" s="957"/>
      <c r="O1323" s="957"/>
      <c r="P1323" s="932"/>
      <c r="Q1323" s="931"/>
      <c r="R1323" s="931"/>
      <c r="S1323" s="957"/>
      <c r="T1323" s="957"/>
      <c r="U1323" s="957"/>
    </row>
    <row r="1324" ht="13.5" customHeight="1">
      <c r="A1324" s="931"/>
      <c r="B1324" s="291"/>
      <c r="C1324" s="931"/>
      <c r="D1324" s="932"/>
      <c r="E1324" s="932"/>
      <c r="F1324" s="931"/>
      <c r="G1324" s="931"/>
      <c r="H1324" s="932"/>
      <c r="I1324" s="932"/>
      <c r="J1324" s="932"/>
      <c r="K1324" s="932"/>
      <c r="L1324" s="932"/>
      <c r="M1324" s="966"/>
      <c r="N1324" s="957"/>
      <c r="O1324" s="957"/>
      <c r="P1324" s="932"/>
      <c r="Q1324" s="931"/>
      <c r="R1324" s="931"/>
      <c r="S1324" s="957"/>
      <c r="T1324" s="957"/>
      <c r="U1324" s="957"/>
    </row>
    <row r="1325" ht="13.5" customHeight="1">
      <c r="A1325" s="931"/>
      <c r="B1325" s="291"/>
      <c r="C1325" s="931"/>
      <c r="D1325" s="932"/>
      <c r="E1325" s="932"/>
      <c r="F1325" s="931"/>
      <c r="G1325" s="931"/>
      <c r="H1325" s="932"/>
      <c r="I1325" s="932"/>
      <c r="J1325" s="932"/>
      <c r="K1325" s="932"/>
      <c r="L1325" s="932"/>
      <c r="M1325" s="966"/>
      <c r="N1325" s="957"/>
      <c r="O1325" s="957"/>
      <c r="P1325" s="932"/>
      <c r="Q1325" s="931"/>
      <c r="R1325" s="931"/>
      <c r="S1325" s="957"/>
      <c r="T1325" s="957"/>
      <c r="U1325" s="957"/>
    </row>
    <row r="1326" ht="13.5" customHeight="1">
      <c r="A1326" s="931"/>
      <c r="B1326" s="291"/>
      <c r="C1326" s="931"/>
      <c r="D1326" s="932"/>
      <c r="E1326" s="932"/>
      <c r="F1326" s="931"/>
      <c r="G1326" s="931"/>
      <c r="H1326" s="932"/>
      <c r="I1326" s="932"/>
      <c r="J1326" s="932"/>
      <c r="K1326" s="932"/>
      <c r="L1326" s="932"/>
      <c r="M1326" s="966"/>
      <c r="N1326" s="957"/>
      <c r="O1326" s="957"/>
      <c r="P1326" s="932"/>
      <c r="Q1326" s="931"/>
      <c r="R1326" s="931"/>
      <c r="S1326" s="957"/>
      <c r="T1326" s="957"/>
      <c r="U1326" s="957"/>
    </row>
    <row r="1327" ht="13.5" customHeight="1">
      <c r="A1327" s="931"/>
      <c r="B1327" s="291"/>
      <c r="C1327" s="931"/>
      <c r="D1327" s="932"/>
      <c r="E1327" s="932"/>
      <c r="F1327" s="931"/>
      <c r="G1327" s="931"/>
      <c r="H1327" s="932"/>
      <c r="I1327" s="932"/>
      <c r="J1327" s="932"/>
      <c r="K1327" s="932"/>
      <c r="L1327" s="932"/>
      <c r="M1327" s="966"/>
      <c r="N1327" s="957"/>
      <c r="O1327" s="957"/>
      <c r="P1327" s="932"/>
      <c r="Q1327" s="931"/>
      <c r="R1327" s="931"/>
      <c r="S1327" s="957"/>
      <c r="T1327" s="957"/>
      <c r="U1327" s="957"/>
    </row>
    <row r="1328" ht="13.5" customHeight="1">
      <c r="A1328" s="931"/>
      <c r="B1328" s="291"/>
      <c r="C1328" s="931"/>
      <c r="D1328" s="932"/>
      <c r="E1328" s="932"/>
      <c r="F1328" s="931"/>
      <c r="G1328" s="931"/>
      <c r="H1328" s="932"/>
      <c r="I1328" s="932"/>
      <c r="J1328" s="932"/>
      <c r="K1328" s="932"/>
      <c r="L1328" s="932"/>
      <c r="M1328" s="966"/>
      <c r="N1328" s="957"/>
      <c r="O1328" s="957"/>
      <c r="P1328" s="932"/>
      <c r="Q1328" s="931"/>
      <c r="R1328" s="931"/>
      <c r="S1328" s="957"/>
      <c r="T1328" s="957"/>
      <c r="U1328" s="957"/>
    </row>
    <row r="1329" ht="13.5" customHeight="1">
      <c r="A1329" s="931"/>
      <c r="B1329" s="291"/>
      <c r="C1329" s="931"/>
      <c r="D1329" s="932"/>
      <c r="E1329" s="932"/>
      <c r="F1329" s="931"/>
      <c r="G1329" s="931"/>
      <c r="H1329" s="932"/>
      <c r="I1329" s="932"/>
      <c r="J1329" s="932"/>
      <c r="K1329" s="932"/>
      <c r="L1329" s="932"/>
      <c r="M1329" s="966"/>
      <c r="N1329" s="957"/>
      <c r="O1329" s="957"/>
      <c r="P1329" s="932"/>
      <c r="Q1329" s="931"/>
      <c r="R1329" s="931"/>
      <c r="S1329" s="957"/>
      <c r="T1329" s="957"/>
      <c r="U1329" s="957"/>
    </row>
    <row r="1330" ht="13.5" customHeight="1">
      <c r="A1330" s="931"/>
      <c r="B1330" s="291"/>
      <c r="C1330" s="931"/>
      <c r="D1330" s="932"/>
      <c r="E1330" s="932"/>
      <c r="F1330" s="931"/>
      <c r="G1330" s="931"/>
      <c r="H1330" s="932"/>
      <c r="I1330" s="932"/>
      <c r="J1330" s="932"/>
      <c r="K1330" s="932"/>
      <c r="L1330" s="932"/>
      <c r="M1330" s="966"/>
      <c r="N1330" s="957"/>
      <c r="O1330" s="957"/>
      <c r="P1330" s="932"/>
      <c r="Q1330" s="931"/>
      <c r="R1330" s="931"/>
      <c r="S1330" s="957"/>
      <c r="T1330" s="957"/>
      <c r="U1330" s="957"/>
    </row>
    <row r="1331" ht="13.5" customHeight="1">
      <c r="A1331" s="931"/>
      <c r="B1331" s="291"/>
      <c r="C1331" s="931"/>
      <c r="D1331" s="932"/>
      <c r="E1331" s="932"/>
      <c r="F1331" s="931"/>
      <c r="G1331" s="931"/>
      <c r="H1331" s="932"/>
      <c r="I1331" s="932"/>
      <c r="J1331" s="932"/>
      <c r="K1331" s="932"/>
      <c r="L1331" s="932"/>
      <c r="M1331" s="966"/>
      <c r="N1331" s="957"/>
      <c r="O1331" s="957"/>
      <c r="P1331" s="932"/>
      <c r="Q1331" s="931"/>
      <c r="R1331" s="931"/>
      <c r="S1331" s="957"/>
      <c r="T1331" s="957"/>
      <c r="U1331" s="957"/>
    </row>
    <row r="1332" ht="13.5" customHeight="1">
      <c r="A1332" s="931"/>
      <c r="B1332" s="291"/>
      <c r="C1332" s="931"/>
      <c r="D1332" s="932"/>
      <c r="E1332" s="932"/>
      <c r="F1332" s="931"/>
      <c r="G1332" s="931"/>
      <c r="H1332" s="932"/>
      <c r="I1332" s="932"/>
      <c r="J1332" s="932"/>
      <c r="K1332" s="932"/>
      <c r="L1332" s="932"/>
      <c r="M1332" s="966"/>
      <c r="N1332" s="957"/>
      <c r="O1332" s="957"/>
      <c r="P1332" s="932"/>
      <c r="Q1332" s="931"/>
      <c r="R1332" s="931"/>
      <c r="S1332" s="957"/>
      <c r="T1332" s="957"/>
      <c r="U1332" s="957"/>
    </row>
    <row r="1333" ht="13.5" customHeight="1">
      <c r="A1333" s="931"/>
      <c r="B1333" s="291"/>
      <c r="C1333" s="931"/>
      <c r="D1333" s="932"/>
      <c r="E1333" s="932"/>
      <c r="F1333" s="931"/>
      <c r="G1333" s="931"/>
      <c r="H1333" s="932"/>
      <c r="I1333" s="932"/>
      <c r="J1333" s="932"/>
      <c r="K1333" s="932"/>
      <c r="L1333" s="932"/>
      <c r="M1333" s="966"/>
      <c r="N1333" s="957"/>
      <c r="O1333" s="957"/>
      <c r="P1333" s="932"/>
      <c r="Q1333" s="931"/>
      <c r="R1333" s="931"/>
      <c r="S1333" s="957"/>
      <c r="T1333" s="957"/>
      <c r="U1333" s="957"/>
    </row>
    <row r="1334" ht="13.5" customHeight="1">
      <c r="A1334" s="931"/>
      <c r="B1334" s="291"/>
      <c r="C1334" s="931"/>
      <c r="D1334" s="932"/>
      <c r="E1334" s="932"/>
      <c r="F1334" s="931"/>
      <c r="G1334" s="931"/>
      <c r="H1334" s="932"/>
      <c r="I1334" s="932"/>
      <c r="J1334" s="932"/>
      <c r="K1334" s="932"/>
      <c r="L1334" s="932"/>
      <c r="M1334" s="966"/>
      <c r="N1334" s="957"/>
      <c r="O1334" s="957"/>
      <c r="P1334" s="932"/>
      <c r="Q1334" s="931"/>
      <c r="R1334" s="931"/>
      <c r="S1334" s="957"/>
      <c r="T1334" s="957"/>
      <c r="U1334" s="957"/>
    </row>
    <row r="1335" ht="13.5" customHeight="1">
      <c r="A1335" s="931"/>
      <c r="B1335" s="291"/>
      <c r="C1335" s="931"/>
      <c r="D1335" s="932"/>
      <c r="E1335" s="932"/>
      <c r="F1335" s="931"/>
      <c r="G1335" s="931"/>
      <c r="H1335" s="932"/>
      <c r="I1335" s="932"/>
      <c r="J1335" s="932"/>
      <c r="K1335" s="932"/>
      <c r="L1335" s="932"/>
      <c r="M1335" s="966"/>
      <c r="N1335" s="957"/>
      <c r="O1335" s="957"/>
      <c r="P1335" s="932"/>
      <c r="Q1335" s="931"/>
      <c r="R1335" s="931"/>
      <c r="S1335" s="957"/>
      <c r="T1335" s="957"/>
      <c r="U1335" s="957"/>
    </row>
    <row r="1336" ht="13.5" customHeight="1">
      <c r="A1336" s="931"/>
      <c r="B1336" s="291"/>
      <c r="C1336" s="931"/>
      <c r="D1336" s="932"/>
      <c r="E1336" s="932"/>
      <c r="F1336" s="931"/>
      <c r="G1336" s="931"/>
      <c r="H1336" s="932"/>
      <c r="I1336" s="932"/>
      <c r="J1336" s="932"/>
      <c r="K1336" s="932"/>
      <c r="L1336" s="932"/>
      <c r="M1336" s="966"/>
      <c r="N1336" s="957"/>
      <c r="O1336" s="957"/>
      <c r="P1336" s="932"/>
      <c r="Q1336" s="931"/>
      <c r="R1336" s="931"/>
      <c r="S1336" s="957"/>
      <c r="T1336" s="957"/>
      <c r="U1336" s="957"/>
    </row>
    <row r="1337" ht="13.5" customHeight="1">
      <c r="A1337" s="931"/>
      <c r="B1337" s="291"/>
      <c r="C1337" s="931"/>
      <c r="D1337" s="932"/>
      <c r="E1337" s="932"/>
      <c r="F1337" s="931"/>
      <c r="G1337" s="931"/>
      <c r="H1337" s="932"/>
      <c r="I1337" s="932"/>
      <c r="J1337" s="932"/>
      <c r="K1337" s="932"/>
      <c r="L1337" s="932"/>
      <c r="M1337" s="966"/>
      <c r="N1337" s="957"/>
      <c r="O1337" s="957"/>
      <c r="P1337" s="932"/>
      <c r="Q1337" s="931"/>
      <c r="R1337" s="931"/>
      <c r="S1337" s="957"/>
      <c r="T1337" s="957"/>
      <c r="U1337" s="957"/>
    </row>
    <row r="1338" ht="13.5" customHeight="1">
      <c r="A1338" s="931"/>
      <c r="B1338" s="291"/>
      <c r="C1338" s="931"/>
      <c r="D1338" s="932"/>
      <c r="E1338" s="932"/>
      <c r="F1338" s="931"/>
      <c r="G1338" s="931"/>
      <c r="H1338" s="932"/>
      <c r="I1338" s="932"/>
      <c r="J1338" s="932"/>
      <c r="K1338" s="932"/>
      <c r="L1338" s="932"/>
      <c r="M1338" s="966"/>
      <c r="N1338" s="957"/>
      <c r="O1338" s="957"/>
      <c r="P1338" s="932"/>
      <c r="Q1338" s="931"/>
      <c r="R1338" s="931"/>
      <c r="S1338" s="957"/>
      <c r="T1338" s="957"/>
      <c r="U1338" s="957"/>
    </row>
    <row r="1339" ht="13.5" customHeight="1">
      <c r="A1339" s="931"/>
      <c r="B1339" s="291"/>
      <c r="C1339" s="931"/>
      <c r="D1339" s="932"/>
      <c r="E1339" s="932"/>
      <c r="F1339" s="931"/>
      <c r="G1339" s="931"/>
      <c r="H1339" s="932"/>
      <c r="I1339" s="932"/>
      <c r="J1339" s="932"/>
      <c r="K1339" s="932"/>
      <c r="L1339" s="932"/>
      <c r="M1339" s="966"/>
      <c r="N1339" s="957"/>
      <c r="O1339" s="957"/>
      <c r="P1339" s="932"/>
      <c r="Q1339" s="931"/>
      <c r="R1339" s="931"/>
      <c r="S1339" s="957"/>
      <c r="T1339" s="957"/>
      <c r="U1339" s="957"/>
    </row>
    <row r="1340" ht="13.5" customHeight="1">
      <c r="A1340" s="931"/>
      <c r="B1340" s="291"/>
      <c r="C1340" s="931"/>
      <c r="D1340" s="932"/>
      <c r="E1340" s="932"/>
      <c r="F1340" s="931"/>
      <c r="G1340" s="931"/>
      <c r="H1340" s="932"/>
      <c r="I1340" s="932"/>
      <c r="J1340" s="932"/>
      <c r="K1340" s="932"/>
      <c r="L1340" s="932"/>
      <c r="M1340" s="966"/>
      <c r="N1340" s="957"/>
      <c r="O1340" s="957"/>
      <c r="P1340" s="932"/>
      <c r="Q1340" s="931"/>
      <c r="R1340" s="931"/>
      <c r="S1340" s="957"/>
      <c r="T1340" s="957"/>
      <c r="U1340" s="957"/>
    </row>
    <row r="1341" ht="13.5" customHeight="1">
      <c r="A1341" s="931"/>
      <c r="B1341" s="291"/>
      <c r="C1341" s="931"/>
      <c r="D1341" s="932"/>
      <c r="E1341" s="932"/>
      <c r="F1341" s="931"/>
      <c r="G1341" s="931"/>
      <c r="H1341" s="932"/>
      <c r="I1341" s="932"/>
      <c r="J1341" s="932"/>
      <c r="K1341" s="932"/>
      <c r="L1341" s="932"/>
      <c r="M1341" s="966"/>
      <c r="N1341" s="957"/>
      <c r="O1341" s="957"/>
      <c r="P1341" s="932"/>
      <c r="Q1341" s="931"/>
      <c r="R1341" s="931"/>
      <c r="S1341" s="957"/>
      <c r="T1341" s="957"/>
      <c r="U1341" s="957"/>
    </row>
    <row r="1342" ht="13.5" customHeight="1">
      <c r="A1342" s="931"/>
      <c r="B1342" s="291"/>
      <c r="C1342" s="931"/>
      <c r="D1342" s="932"/>
      <c r="E1342" s="932"/>
      <c r="F1342" s="931"/>
      <c r="G1342" s="931"/>
      <c r="H1342" s="932"/>
      <c r="I1342" s="932"/>
      <c r="J1342" s="932"/>
      <c r="K1342" s="932"/>
      <c r="L1342" s="932"/>
      <c r="M1342" s="966"/>
      <c r="N1342" s="957"/>
      <c r="O1342" s="957"/>
      <c r="P1342" s="932"/>
      <c r="Q1342" s="931"/>
      <c r="R1342" s="931"/>
      <c r="S1342" s="957"/>
      <c r="T1342" s="957"/>
      <c r="U1342" s="957"/>
    </row>
    <row r="1343" ht="13.5" customHeight="1">
      <c r="A1343" s="931"/>
      <c r="B1343" s="291"/>
      <c r="C1343" s="931"/>
      <c r="D1343" s="932"/>
      <c r="E1343" s="932"/>
      <c r="F1343" s="931"/>
      <c r="G1343" s="931"/>
      <c r="H1343" s="932"/>
      <c r="I1343" s="932"/>
      <c r="J1343" s="932"/>
      <c r="K1343" s="932"/>
      <c r="L1343" s="932"/>
      <c r="M1343" s="966"/>
      <c r="N1343" s="957"/>
      <c r="O1343" s="957"/>
      <c r="P1343" s="932"/>
      <c r="Q1343" s="931"/>
      <c r="R1343" s="931"/>
      <c r="S1343" s="957"/>
      <c r="T1343" s="957"/>
      <c r="U1343" s="957"/>
    </row>
    <row r="1344" ht="13.5" customHeight="1">
      <c r="A1344" s="931"/>
      <c r="B1344" s="291"/>
      <c r="C1344" s="931"/>
      <c r="D1344" s="932"/>
      <c r="E1344" s="932"/>
      <c r="F1344" s="931"/>
      <c r="G1344" s="931"/>
      <c r="H1344" s="932"/>
      <c r="I1344" s="932"/>
      <c r="J1344" s="932"/>
      <c r="K1344" s="932"/>
      <c r="L1344" s="932"/>
      <c r="M1344" s="966"/>
      <c r="N1344" s="957"/>
      <c r="O1344" s="957"/>
      <c r="P1344" s="932"/>
      <c r="Q1344" s="931"/>
      <c r="R1344" s="931"/>
      <c r="S1344" s="957"/>
      <c r="T1344" s="957"/>
      <c r="U1344" s="957"/>
    </row>
    <row r="1345" ht="13.5" customHeight="1">
      <c r="A1345" s="931"/>
      <c r="B1345" s="291"/>
      <c r="C1345" s="931"/>
      <c r="D1345" s="932"/>
      <c r="E1345" s="932"/>
      <c r="F1345" s="931"/>
      <c r="G1345" s="931"/>
      <c r="H1345" s="932"/>
      <c r="I1345" s="932"/>
      <c r="J1345" s="932"/>
      <c r="K1345" s="932"/>
      <c r="L1345" s="932"/>
      <c r="M1345" s="966"/>
      <c r="N1345" s="957"/>
      <c r="O1345" s="957"/>
      <c r="P1345" s="932"/>
      <c r="Q1345" s="931"/>
      <c r="R1345" s="931"/>
      <c r="S1345" s="957"/>
      <c r="T1345" s="957"/>
      <c r="U1345" s="957"/>
    </row>
    <row r="1346" ht="13.5" customHeight="1">
      <c r="A1346" s="931"/>
      <c r="B1346" s="291"/>
      <c r="C1346" s="931"/>
      <c r="D1346" s="932"/>
      <c r="E1346" s="932"/>
      <c r="F1346" s="931"/>
      <c r="G1346" s="931"/>
      <c r="H1346" s="932"/>
      <c r="I1346" s="932"/>
      <c r="J1346" s="932"/>
      <c r="K1346" s="932"/>
      <c r="L1346" s="932"/>
      <c r="M1346" s="966"/>
      <c r="N1346" s="957"/>
      <c r="O1346" s="957"/>
      <c r="P1346" s="932"/>
      <c r="Q1346" s="931"/>
      <c r="R1346" s="931"/>
      <c r="S1346" s="957"/>
      <c r="T1346" s="957"/>
      <c r="U1346" s="957"/>
    </row>
    <row r="1347" ht="13.5" customHeight="1">
      <c r="A1347" s="931"/>
      <c r="B1347" s="291"/>
      <c r="C1347" s="931"/>
      <c r="D1347" s="932"/>
      <c r="E1347" s="932"/>
      <c r="F1347" s="931"/>
      <c r="G1347" s="931"/>
      <c r="H1347" s="932"/>
      <c r="I1347" s="932"/>
      <c r="J1347" s="932"/>
      <c r="K1347" s="932"/>
      <c r="L1347" s="932"/>
      <c r="M1347" s="966"/>
      <c r="N1347" s="957"/>
      <c r="O1347" s="957"/>
      <c r="P1347" s="932"/>
      <c r="Q1347" s="931"/>
      <c r="R1347" s="931"/>
      <c r="S1347" s="957"/>
      <c r="T1347" s="957"/>
      <c r="U1347" s="957"/>
    </row>
    <row r="1348" ht="13.5" customHeight="1">
      <c r="A1348" s="931"/>
      <c r="B1348" s="291"/>
      <c r="C1348" s="931"/>
      <c r="D1348" s="932"/>
      <c r="E1348" s="932"/>
      <c r="F1348" s="931"/>
      <c r="G1348" s="931"/>
      <c r="H1348" s="932"/>
      <c r="I1348" s="932"/>
      <c r="J1348" s="932"/>
      <c r="K1348" s="932"/>
      <c r="L1348" s="932"/>
      <c r="M1348" s="966"/>
      <c r="N1348" s="957"/>
      <c r="O1348" s="957"/>
      <c r="P1348" s="932"/>
      <c r="Q1348" s="931"/>
      <c r="R1348" s="931"/>
      <c r="S1348" s="957"/>
      <c r="T1348" s="957"/>
      <c r="U1348" s="957"/>
    </row>
    <row r="1349" ht="13.5" customHeight="1">
      <c r="A1349" s="931"/>
      <c r="B1349" s="291"/>
      <c r="C1349" s="931"/>
      <c r="D1349" s="932"/>
      <c r="E1349" s="932"/>
      <c r="F1349" s="931"/>
      <c r="G1349" s="931"/>
      <c r="H1349" s="932"/>
      <c r="I1349" s="932"/>
      <c r="J1349" s="932"/>
      <c r="K1349" s="932"/>
      <c r="L1349" s="932"/>
      <c r="M1349" s="966"/>
      <c r="N1349" s="957"/>
      <c r="O1349" s="957"/>
      <c r="P1349" s="932"/>
      <c r="Q1349" s="931"/>
      <c r="R1349" s="931"/>
      <c r="S1349" s="957"/>
      <c r="T1349" s="957"/>
      <c r="U1349" s="957"/>
    </row>
    <row r="1350" ht="13.5" customHeight="1">
      <c r="A1350" s="931"/>
      <c r="B1350" s="291"/>
      <c r="C1350" s="931"/>
      <c r="D1350" s="932"/>
      <c r="E1350" s="932"/>
      <c r="F1350" s="931"/>
      <c r="G1350" s="931"/>
      <c r="H1350" s="932"/>
      <c r="I1350" s="932"/>
      <c r="J1350" s="932"/>
      <c r="K1350" s="932"/>
      <c r="L1350" s="932"/>
      <c r="M1350" s="966"/>
      <c r="N1350" s="957"/>
      <c r="O1350" s="957"/>
      <c r="P1350" s="932"/>
      <c r="Q1350" s="931"/>
      <c r="R1350" s="931"/>
      <c r="S1350" s="957"/>
      <c r="T1350" s="957"/>
      <c r="U1350" s="957"/>
    </row>
    <row r="1351" ht="13.5" customHeight="1">
      <c r="A1351" s="931"/>
      <c r="B1351" s="291"/>
      <c r="C1351" s="931"/>
      <c r="D1351" s="932"/>
      <c r="E1351" s="932"/>
      <c r="F1351" s="931"/>
      <c r="G1351" s="931"/>
      <c r="H1351" s="932"/>
      <c r="I1351" s="932"/>
      <c r="J1351" s="932"/>
      <c r="K1351" s="932"/>
      <c r="L1351" s="932"/>
      <c r="M1351" s="966"/>
      <c r="N1351" s="957"/>
      <c r="O1351" s="957"/>
      <c r="P1351" s="932"/>
      <c r="Q1351" s="931"/>
      <c r="R1351" s="931"/>
      <c r="S1351" s="957"/>
      <c r="T1351" s="957"/>
      <c r="U1351" s="957"/>
    </row>
    <row r="1352" ht="13.5" customHeight="1">
      <c r="A1352" s="931"/>
      <c r="B1352" s="291"/>
      <c r="C1352" s="931"/>
      <c r="D1352" s="932"/>
      <c r="E1352" s="932"/>
      <c r="F1352" s="931"/>
      <c r="G1352" s="931"/>
      <c r="H1352" s="932"/>
      <c r="I1352" s="932"/>
      <c r="J1352" s="932"/>
      <c r="K1352" s="932"/>
      <c r="L1352" s="932"/>
      <c r="M1352" s="966"/>
      <c r="N1352" s="957"/>
      <c r="O1352" s="957"/>
      <c r="P1352" s="932"/>
      <c r="Q1352" s="931"/>
      <c r="R1352" s="931"/>
      <c r="S1352" s="957"/>
      <c r="T1352" s="957"/>
      <c r="U1352" s="957"/>
    </row>
    <row r="1353" ht="13.5" customHeight="1">
      <c r="A1353" s="931"/>
      <c r="B1353" s="291"/>
      <c r="C1353" s="931"/>
      <c r="D1353" s="932"/>
      <c r="E1353" s="932"/>
      <c r="F1353" s="931"/>
      <c r="G1353" s="931"/>
      <c r="H1353" s="932"/>
      <c r="I1353" s="932"/>
      <c r="J1353" s="932"/>
      <c r="K1353" s="932"/>
      <c r="L1353" s="932"/>
      <c r="M1353" s="966"/>
      <c r="N1353" s="957"/>
      <c r="O1353" s="957"/>
      <c r="P1353" s="932"/>
      <c r="Q1353" s="931"/>
      <c r="R1353" s="931"/>
      <c r="S1353" s="957"/>
      <c r="T1353" s="957"/>
      <c r="U1353" s="957"/>
    </row>
    <row r="1354" ht="13.5" customHeight="1">
      <c r="A1354" s="931"/>
      <c r="B1354" s="291"/>
      <c r="C1354" s="931"/>
      <c r="D1354" s="932"/>
      <c r="E1354" s="932"/>
      <c r="F1354" s="931"/>
      <c r="G1354" s="931"/>
      <c r="H1354" s="932"/>
      <c r="I1354" s="932"/>
      <c r="J1354" s="932"/>
      <c r="K1354" s="932"/>
      <c r="L1354" s="932"/>
      <c r="M1354" s="966"/>
      <c r="N1354" s="957"/>
      <c r="O1354" s="957"/>
      <c r="P1354" s="932"/>
      <c r="Q1354" s="931"/>
      <c r="R1354" s="931"/>
      <c r="S1354" s="957"/>
      <c r="T1354" s="957"/>
      <c r="U1354" s="957"/>
    </row>
    <row r="1355" ht="13.5" customHeight="1">
      <c r="A1355" s="931"/>
      <c r="B1355" s="291"/>
      <c r="C1355" s="931"/>
      <c r="D1355" s="932"/>
      <c r="E1355" s="932"/>
      <c r="F1355" s="931"/>
      <c r="G1355" s="931"/>
      <c r="H1355" s="932"/>
      <c r="I1355" s="932"/>
      <c r="J1355" s="932"/>
      <c r="K1355" s="932"/>
      <c r="L1355" s="932"/>
      <c r="M1355" s="966"/>
      <c r="N1355" s="957"/>
      <c r="O1355" s="957"/>
      <c r="P1355" s="932"/>
      <c r="Q1355" s="931"/>
      <c r="R1355" s="931"/>
      <c r="S1355" s="957"/>
      <c r="T1355" s="957"/>
      <c r="U1355" s="957"/>
    </row>
    <row r="1356" ht="13.5" customHeight="1">
      <c r="A1356" s="931"/>
      <c r="B1356" s="291"/>
      <c r="C1356" s="931"/>
      <c r="D1356" s="932"/>
      <c r="E1356" s="932"/>
      <c r="F1356" s="931"/>
      <c r="G1356" s="931"/>
      <c r="H1356" s="932"/>
      <c r="I1356" s="932"/>
      <c r="J1356" s="932"/>
      <c r="K1356" s="932"/>
      <c r="L1356" s="932"/>
      <c r="M1356" s="966"/>
      <c r="N1356" s="957"/>
      <c r="O1356" s="957"/>
      <c r="P1356" s="932"/>
      <c r="Q1356" s="931"/>
      <c r="R1356" s="931"/>
      <c r="S1356" s="957"/>
      <c r="T1356" s="957"/>
      <c r="U1356" s="957"/>
    </row>
    <row r="1357" ht="13.5" customHeight="1">
      <c r="A1357" s="931"/>
      <c r="B1357" s="291"/>
      <c r="C1357" s="931"/>
      <c r="D1357" s="932"/>
      <c r="E1357" s="932"/>
      <c r="F1357" s="931"/>
      <c r="G1357" s="931"/>
      <c r="H1357" s="932"/>
      <c r="I1357" s="932"/>
      <c r="J1357" s="932"/>
      <c r="K1357" s="932"/>
      <c r="L1357" s="932"/>
      <c r="M1357" s="966"/>
      <c r="N1357" s="957"/>
      <c r="O1357" s="957"/>
      <c r="P1357" s="932"/>
      <c r="Q1357" s="931"/>
      <c r="R1357" s="931"/>
      <c r="S1357" s="957"/>
      <c r="T1357" s="957"/>
      <c r="U1357" s="957"/>
    </row>
    <row r="1358" ht="13.5" customHeight="1">
      <c r="A1358" s="931"/>
      <c r="B1358" s="291"/>
      <c r="C1358" s="931"/>
      <c r="D1358" s="932"/>
      <c r="E1358" s="932"/>
      <c r="F1358" s="931"/>
      <c r="G1358" s="931"/>
      <c r="H1358" s="932"/>
      <c r="I1358" s="932"/>
      <c r="J1358" s="932"/>
      <c r="K1358" s="932"/>
      <c r="L1358" s="932"/>
      <c r="M1358" s="966"/>
      <c r="N1358" s="957"/>
      <c r="O1358" s="957"/>
      <c r="P1358" s="932"/>
      <c r="Q1358" s="931"/>
      <c r="R1358" s="931"/>
      <c r="S1358" s="957"/>
      <c r="T1358" s="957"/>
      <c r="U1358" s="957"/>
    </row>
    <row r="1359" ht="13.5" customHeight="1">
      <c r="A1359" s="931"/>
      <c r="B1359" s="291"/>
      <c r="C1359" s="931"/>
      <c r="D1359" s="932"/>
      <c r="E1359" s="932"/>
      <c r="F1359" s="931"/>
      <c r="G1359" s="931"/>
      <c r="H1359" s="932"/>
      <c r="I1359" s="932"/>
      <c r="J1359" s="932"/>
      <c r="K1359" s="932"/>
      <c r="L1359" s="932"/>
      <c r="M1359" s="966"/>
      <c r="N1359" s="957"/>
      <c r="O1359" s="957"/>
      <c r="P1359" s="932"/>
      <c r="Q1359" s="931"/>
      <c r="R1359" s="931"/>
      <c r="S1359" s="957"/>
      <c r="T1359" s="957"/>
      <c r="U1359" s="957"/>
    </row>
    <row r="1360" ht="13.5" customHeight="1">
      <c r="A1360" s="931"/>
      <c r="B1360" s="291"/>
      <c r="C1360" s="931"/>
      <c r="D1360" s="932"/>
      <c r="E1360" s="932"/>
      <c r="F1360" s="931"/>
      <c r="G1360" s="931"/>
      <c r="H1360" s="932"/>
      <c r="I1360" s="932"/>
      <c r="J1360" s="932"/>
      <c r="K1360" s="932"/>
      <c r="L1360" s="932"/>
      <c r="M1360" s="966"/>
      <c r="N1360" s="957"/>
      <c r="O1360" s="957"/>
      <c r="P1360" s="932"/>
      <c r="Q1360" s="931"/>
      <c r="R1360" s="931"/>
      <c r="S1360" s="957"/>
      <c r="T1360" s="957"/>
      <c r="U1360" s="957"/>
    </row>
    <row r="1361" ht="13.5" customHeight="1">
      <c r="A1361" s="931"/>
      <c r="B1361" s="291"/>
      <c r="C1361" s="931"/>
      <c r="D1361" s="932"/>
      <c r="E1361" s="932"/>
      <c r="F1361" s="931"/>
      <c r="G1361" s="931"/>
      <c r="H1361" s="932"/>
      <c r="I1361" s="932"/>
      <c r="J1361" s="932"/>
      <c r="K1361" s="932"/>
      <c r="L1361" s="932"/>
      <c r="M1361" s="966"/>
      <c r="N1361" s="957"/>
      <c r="O1361" s="957"/>
      <c r="P1361" s="932"/>
      <c r="Q1361" s="931"/>
      <c r="R1361" s="931"/>
      <c r="S1361" s="957"/>
      <c r="T1361" s="957"/>
      <c r="U1361" s="957"/>
    </row>
    <row r="1362" ht="13.5" customHeight="1">
      <c r="A1362" s="931"/>
      <c r="B1362" s="291"/>
      <c r="C1362" s="931"/>
      <c r="D1362" s="932"/>
      <c r="E1362" s="932"/>
      <c r="F1362" s="931"/>
      <c r="G1362" s="931"/>
      <c r="H1362" s="932"/>
      <c r="I1362" s="932"/>
      <c r="J1362" s="932"/>
      <c r="K1362" s="932"/>
      <c r="L1362" s="932"/>
      <c r="M1362" s="966"/>
      <c r="N1362" s="957"/>
      <c r="O1362" s="957"/>
      <c r="P1362" s="932"/>
      <c r="Q1362" s="931"/>
      <c r="R1362" s="931"/>
      <c r="S1362" s="957"/>
      <c r="T1362" s="957"/>
      <c r="U1362" s="957"/>
    </row>
    <row r="1363" ht="13.5" customHeight="1">
      <c r="A1363" s="931"/>
      <c r="B1363" s="291"/>
      <c r="C1363" s="931"/>
      <c r="D1363" s="932"/>
      <c r="E1363" s="932"/>
      <c r="F1363" s="931"/>
      <c r="G1363" s="931"/>
      <c r="H1363" s="932"/>
      <c r="I1363" s="932"/>
      <c r="J1363" s="932"/>
      <c r="K1363" s="932"/>
      <c r="L1363" s="932"/>
      <c r="M1363" s="966"/>
      <c r="N1363" s="957"/>
      <c r="O1363" s="957"/>
      <c r="P1363" s="932"/>
      <c r="Q1363" s="931"/>
      <c r="R1363" s="931"/>
      <c r="S1363" s="957"/>
      <c r="T1363" s="957"/>
      <c r="U1363" s="957"/>
    </row>
    <row r="1364" ht="13.5" customHeight="1">
      <c r="A1364" s="931"/>
      <c r="B1364" s="291"/>
      <c r="C1364" s="931"/>
      <c r="D1364" s="932"/>
      <c r="E1364" s="932"/>
      <c r="F1364" s="931"/>
      <c r="G1364" s="931"/>
      <c r="H1364" s="932"/>
      <c r="I1364" s="932"/>
      <c r="J1364" s="932"/>
      <c r="K1364" s="932"/>
      <c r="L1364" s="932"/>
      <c r="M1364" s="966"/>
      <c r="N1364" s="957"/>
      <c r="O1364" s="957"/>
      <c r="P1364" s="932"/>
      <c r="Q1364" s="931"/>
      <c r="R1364" s="931"/>
      <c r="S1364" s="957"/>
      <c r="T1364" s="957"/>
      <c r="U1364" s="957"/>
    </row>
    <row r="1365" ht="13.5" customHeight="1">
      <c r="A1365" s="931"/>
      <c r="B1365" s="291"/>
      <c r="C1365" s="931"/>
      <c r="D1365" s="932"/>
      <c r="E1365" s="932"/>
      <c r="F1365" s="931"/>
      <c r="G1365" s="931"/>
      <c r="H1365" s="932"/>
      <c r="I1365" s="932"/>
      <c r="J1365" s="932"/>
      <c r="K1365" s="932"/>
      <c r="L1365" s="932"/>
      <c r="M1365" s="966"/>
      <c r="N1365" s="957"/>
      <c r="O1365" s="957"/>
      <c r="P1365" s="932"/>
      <c r="Q1365" s="931"/>
      <c r="R1365" s="931"/>
      <c r="S1365" s="957"/>
      <c r="T1365" s="957"/>
      <c r="U1365" s="957"/>
    </row>
    <row r="1366" ht="13.5" customHeight="1">
      <c r="A1366" s="931"/>
      <c r="B1366" s="291"/>
      <c r="C1366" s="931"/>
      <c r="D1366" s="932"/>
      <c r="E1366" s="932"/>
      <c r="F1366" s="931"/>
      <c r="G1366" s="931"/>
      <c r="H1366" s="932"/>
      <c r="I1366" s="932"/>
      <c r="J1366" s="932"/>
      <c r="K1366" s="932"/>
      <c r="L1366" s="932"/>
      <c r="M1366" s="966"/>
      <c r="N1366" s="957"/>
      <c r="O1366" s="957"/>
      <c r="P1366" s="932"/>
      <c r="Q1366" s="931"/>
      <c r="R1366" s="931"/>
      <c r="S1366" s="957"/>
      <c r="T1366" s="957"/>
      <c r="U1366" s="957"/>
    </row>
    <row r="1367" ht="13.5" customHeight="1">
      <c r="A1367" s="931"/>
      <c r="B1367" s="291"/>
      <c r="C1367" s="931"/>
      <c r="D1367" s="932"/>
      <c r="E1367" s="932"/>
      <c r="F1367" s="931"/>
      <c r="G1367" s="931"/>
      <c r="H1367" s="932"/>
      <c r="I1367" s="932"/>
      <c r="J1367" s="932"/>
      <c r="K1367" s="932"/>
      <c r="L1367" s="932"/>
      <c r="M1367" s="966"/>
      <c r="N1367" s="957"/>
      <c r="O1367" s="957"/>
      <c r="P1367" s="932"/>
      <c r="Q1367" s="931"/>
      <c r="R1367" s="931"/>
      <c r="S1367" s="957"/>
      <c r="T1367" s="957"/>
      <c r="U1367" s="957"/>
    </row>
    <row r="1368" ht="13.5" customHeight="1">
      <c r="A1368" s="931"/>
      <c r="B1368" s="291"/>
      <c r="C1368" s="931"/>
      <c r="D1368" s="932"/>
      <c r="E1368" s="932"/>
      <c r="F1368" s="931"/>
      <c r="G1368" s="931"/>
      <c r="H1368" s="932"/>
      <c r="I1368" s="932"/>
      <c r="J1368" s="932"/>
      <c r="K1368" s="932"/>
      <c r="L1368" s="932"/>
      <c r="M1368" s="966"/>
      <c r="N1368" s="957"/>
      <c r="O1368" s="957"/>
      <c r="P1368" s="932"/>
      <c r="Q1368" s="931"/>
      <c r="R1368" s="931"/>
      <c r="S1368" s="957"/>
      <c r="T1368" s="957"/>
      <c r="U1368" s="957"/>
    </row>
    <row r="1369" ht="13.5" customHeight="1">
      <c r="A1369" s="931"/>
      <c r="B1369" s="291"/>
      <c r="C1369" s="931"/>
      <c r="D1369" s="932"/>
      <c r="E1369" s="932"/>
      <c r="F1369" s="931"/>
      <c r="G1369" s="931"/>
      <c r="H1369" s="932"/>
      <c r="I1369" s="932"/>
      <c r="J1369" s="932"/>
      <c r="K1369" s="932"/>
      <c r="L1369" s="932"/>
      <c r="M1369" s="966"/>
      <c r="N1369" s="957"/>
      <c r="O1369" s="957"/>
      <c r="P1369" s="932"/>
      <c r="Q1369" s="931"/>
      <c r="R1369" s="931"/>
      <c r="S1369" s="957"/>
      <c r="T1369" s="957"/>
      <c r="U1369" s="957"/>
    </row>
    <row r="1370" ht="13.5" customHeight="1">
      <c r="A1370" s="931"/>
      <c r="B1370" s="291"/>
      <c r="C1370" s="931"/>
      <c r="D1370" s="932"/>
      <c r="E1370" s="932"/>
      <c r="F1370" s="931"/>
      <c r="G1370" s="931"/>
      <c r="H1370" s="932"/>
      <c r="I1370" s="932"/>
      <c r="J1370" s="932"/>
      <c r="K1370" s="932"/>
      <c r="L1370" s="932"/>
      <c r="M1370" s="966"/>
      <c r="N1370" s="957"/>
      <c r="O1370" s="957"/>
      <c r="P1370" s="932"/>
      <c r="Q1370" s="931"/>
      <c r="R1370" s="931"/>
      <c r="S1370" s="957"/>
      <c r="T1370" s="957"/>
      <c r="U1370" s="957"/>
    </row>
    <row r="1371" ht="13.5" customHeight="1">
      <c r="A1371" s="931"/>
      <c r="B1371" s="291"/>
      <c r="C1371" s="931"/>
      <c r="D1371" s="932"/>
      <c r="E1371" s="932"/>
      <c r="F1371" s="931"/>
      <c r="G1371" s="931"/>
      <c r="H1371" s="932"/>
      <c r="I1371" s="932"/>
      <c r="J1371" s="932"/>
      <c r="K1371" s="932"/>
      <c r="L1371" s="932"/>
      <c r="M1371" s="966"/>
      <c r="N1371" s="957"/>
      <c r="O1371" s="957"/>
      <c r="P1371" s="932"/>
      <c r="Q1371" s="931"/>
      <c r="R1371" s="931"/>
      <c r="S1371" s="957"/>
      <c r="T1371" s="957"/>
      <c r="U1371" s="957"/>
    </row>
    <row r="1372" ht="13.5" customHeight="1">
      <c r="A1372" s="931"/>
      <c r="B1372" s="291"/>
      <c r="C1372" s="931"/>
      <c r="D1372" s="932"/>
      <c r="E1372" s="932"/>
      <c r="F1372" s="931"/>
      <c r="G1372" s="931"/>
      <c r="H1372" s="932"/>
      <c r="I1372" s="932"/>
      <c r="J1372" s="932"/>
      <c r="K1372" s="932"/>
      <c r="L1372" s="932"/>
      <c r="M1372" s="966"/>
      <c r="N1372" s="957"/>
      <c r="O1372" s="957"/>
      <c r="P1372" s="932"/>
      <c r="Q1372" s="931"/>
      <c r="R1372" s="931"/>
      <c r="S1372" s="957"/>
      <c r="T1372" s="957"/>
      <c r="U1372" s="957"/>
    </row>
    <row r="1373" ht="13.5" customHeight="1">
      <c r="A1373" s="931"/>
      <c r="B1373" s="291"/>
      <c r="C1373" s="931"/>
      <c r="D1373" s="932"/>
      <c r="E1373" s="932"/>
      <c r="F1373" s="931"/>
      <c r="G1373" s="931"/>
      <c r="H1373" s="932"/>
      <c r="I1373" s="932"/>
      <c r="J1373" s="932"/>
      <c r="K1373" s="932"/>
      <c r="L1373" s="932"/>
      <c r="M1373" s="966"/>
      <c r="N1373" s="957"/>
      <c r="O1373" s="957"/>
      <c r="P1373" s="932"/>
      <c r="Q1373" s="931"/>
      <c r="R1373" s="931"/>
      <c r="S1373" s="957"/>
      <c r="T1373" s="957"/>
      <c r="U1373" s="957"/>
    </row>
    <row r="1374" ht="13.5" customHeight="1">
      <c r="A1374" s="931"/>
      <c r="B1374" s="291"/>
      <c r="C1374" s="931"/>
      <c r="D1374" s="932"/>
      <c r="E1374" s="932"/>
      <c r="F1374" s="931"/>
      <c r="G1374" s="931"/>
      <c r="H1374" s="932"/>
      <c r="I1374" s="932"/>
      <c r="J1374" s="932"/>
      <c r="K1374" s="932"/>
      <c r="L1374" s="932"/>
      <c r="M1374" s="966"/>
      <c r="N1374" s="957"/>
      <c r="O1374" s="957"/>
      <c r="P1374" s="932"/>
      <c r="Q1374" s="931"/>
      <c r="R1374" s="931"/>
      <c r="S1374" s="957"/>
      <c r="T1374" s="957"/>
      <c r="U1374" s="957"/>
    </row>
    <row r="1375" ht="13.5" customHeight="1">
      <c r="A1375" s="931"/>
      <c r="B1375" s="291"/>
      <c r="C1375" s="931"/>
      <c r="D1375" s="932"/>
      <c r="E1375" s="932"/>
      <c r="F1375" s="931"/>
      <c r="G1375" s="931"/>
      <c r="H1375" s="932"/>
      <c r="I1375" s="932"/>
      <c r="J1375" s="932"/>
      <c r="K1375" s="932"/>
      <c r="L1375" s="932"/>
      <c r="M1375" s="966"/>
      <c r="N1375" s="957"/>
      <c r="O1375" s="957"/>
      <c r="P1375" s="932"/>
      <c r="Q1375" s="931"/>
      <c r="R1375" s="931"/>
      <c r="S1375" s="957"/>
      <c r="T1375" s="957"/>
      <c r="U1375" s="957"/>
    </row>
    <row r="1376" ht="13.5" customHeight="1">
      <c r="A1376" s="931"/>
      <c r="B1376" s="291"/>
      <c r="C1376" s="931"/>
      <c r="D1376" s="932"/>
      <c r="E1376" s="932"/>
      <c r="F1376" s="931"/>
      <c r="G1376" s="931"/>
      <c r="H1376" s="932"/>
      <c r="I1376" s="932"/>
      <c r="J1376" s="932"/>
      <c r="K1376" s="932"/>
      <c r="L1376" s="932"/>
      <c r="M1376" s="966"/>
      <c r="N1376" s="957"/>
      <c r="O1376" s="957"/>
      <c r="P1376" s="932"/>
      <c r="Q1376" s="931"/>
      <c r="R1376" s="931"/>
      <c r="S1376" s="957"/>
      <c r="T1376" s="957"/>
      <c r="U1376" s="957"/>
    </row>
    <row r="1377" ht="13.5" customHeight="1">
      <c r="A1377" s="931"/>
      <c r="B1377" s="291"/>
      <c r="C1377" s="931"/>
      <c r="D1377" s="932"/>
      <c r="E1377" s="932"/>
      <c r="F1377" s="931"/>
      <c r="G1377" s="931"/>
      <c r="H1377" s="932"/>
      <c r="I1377" s="932"/>
      <c r="J1377" s="932"/>
      <c r="K1377" s="932"/>
      <c r="L1377" s="932"/>
      <c r="M1377" s="966"/>
      <c r="N1377" s="957"/>
      <c r="O1377" s="957"/>
      <c r="P1377" s="932"/>
      <c r="Q1377" s="931"/>
      <c r="R1377" s="931"/>
      <c r="S1377" s="957"/>
      <c r="T1377" s="957"/>
      <c r="U1377" s="957"/>
    </row>
    <row r="1378" ht="13.5" customHeight="1">
      <c r="A1378" s="931"/>
      <c r="B1378" s="291"/>
      <c r="C1378" s="931"/>
      <c r="D1378" s="932"/>
      <c r="E1378" s="932"/>
      <c r="F1378" s="931"/>
      <c r="G1378" s="931"/>
      <c r="H1378" s="932"/>
      <c r="I1378" s="932"/>
      <c r="J1378" s="932"/>
      <c r="K1378" s="932"/>
      <c r="L1378" s="932"/>
      <c r="M1378" s="966"/>
      <c r="N1378" s="957"/>
      <c r="O1378" s="957"/>
      <c r="P1378" s="932"/>
      <c r="Q1378" s="931"/>
      <c r="R1378" s="931"/>
      <c r="S1378" s="957"/>
      <c r="T1378" s="957"/>
      <c r="U1378" s="957"/>
    </row>
    <row r="1379" ht="13.5" customHeight="1">
      <c r="A1379" s="931"/>
      <c r="B1379" s="291"/>
      <c r="C1379" s="931"/>
      <c r="D1379" s="932"/>
      <c r="E1379" s="932"/>
      <c r="F1379" s="931"/>
      <c r="G1379" s="931"/>
      <c r="H1379" s="932"/>
      <c r="I1379" s="932"/>
      <c r="J1379" s="932"/>
      <c r="K1379" s="932"/>
      <c r="L1379" s="932"/>
      <c r="M1379" s="966"/>
      <c r="N1379" s="957"/>
      <c r="O1379" s="957"/>
      <c r="P1379" s="932"/>
      <c r="Q1379" s="931"/>
      <c r="R1379" s="931"/>
      <c r="S1379" s="957"/>
      <c r="T1379" s="957"/>
      <c r="U1379" s="957"/>
    </row>
    <row r="1380" ht="13.5" customHeight="1">
      <c r="A1380" s="931"/>
      <c r="B1380" s="291"/>
      <c r="C1380" s="931"/>
      <c r="D1380" s="932"/>
      <c r="E1380" s="932"/>
      <c r="F1380" s="931"/>
      <c r="G1380" s="931"/>
      <c r="H1380" s="932"/>
      <c r="I1380" s="932"/>
      <c r="J1380" s="932"/>
      <c r="K1380" s="932"/>
      <c r="L1380" s="932"/>
      <c r="M1380" s="966"/>
      <c r="N1380" s="957"/>
      <c r="O1380" s="957"/>
      <c r="P1380" s="932"/>
      <c r="Q1380" s="931"/>
      <c r="R1380" s="931"/>
      <c r="S1380" s="957"/>
      <c r="T1380" s="957"/>
      <c r="U1380" s="957"/>
    </row>
    <row r="1381" ht="13.5" customHeight="1">
      <c r="A1381" s="931"/>
      <c r="B1381" s="291"/>
      <c r="C1381" s="931"/>
      <c r="D1381" s="932"/>
      <c r="E1381" s="932"/>
      <c r="F1381" s="931"/>
      <c r="G1381" s="931"/>
      <c r="H1381" s="932"/>
      <c r="I1381" s="932"/>
      <c r="J1381" s="932"/>
      <c r="K1381" s="932"/>
      <c r="L1381" s="932"/>
      <c r="M1381" s="966"/>
      <c r="N1381" s="957"/>
      <c r="O1381" s="957"/>
      <c r="P1381" s="932"/>
      <c r="Q1381" s="931"/>
      <c r="R1381" s="931"/>
      <c r="S1381" s="957"/>
      <c r="T1381" s="957"/>
      <c r="U1381" s="957"/>
    </row>
    <row r="1382" ht="13.5" customHeight="1">
      <c r="A1382" s="931"/>
      <c r="B1382" s="291"/>
      <c r="C1382" s="931"/>
      <c r="D1382" s="932"/>
      <c r="E1382" s="932"/>
      <c r="F1382" s="931"/>
      <c r="G1382" s="931"/>
      <c r="H1382" s="932"/>
      <c r="I1382" s="932"/>
      <c r="J1382" s="932"/>
      <c r="K1382" s="932"/>
      <c r="L1382" s="932"/>
      <c r="M1382" s="966"/>
      <c r="N1382" s="957"/>
      <c r="O1382" s="957"/>
      <c r="P1382" s="932"/>
      <c r="Q1382" s="931"/>
      <c r="R1382" s="931"/>
      <c r="S1382" s="957"/>
      <c r="T1382" s="957"/>
      <c r="U1382" s="957"/>
    </row>
    <row r="1383" ht="13.5" customHeight="1">
      <c r="A1383" s="931"/>
      <c r="B1383" s="291"/>
      <c r="C1383" s="931"/>
      <c r="D1383" s="932"/>
      <c r="E1383" s="932"/>
      <c r="F1383" s="931"/>
      <c r="G1383" s="931"/>
      <c r="H1383" s="932"/>
      <c r="I1383" s="932"/>
      <c r="J1383" s="932"/>
      <c r="K1383" s="932"/>
      <c r="L1383" s="932"/>
      <c r="M1383" s="966"/>
      <c r="N1383" s="957"/>
      <c r="O1383" s="957"/>
      <c r="P1383" s="932"/>
      <c r="Q1383" s="931"/>
      <c r="R1383" s="931"/>
      <c r="S1383" s="957"/>
      <c r="T1383" s="957"/>
      <c r="U1383" s="957"/>
    </row>
    <row r="1384" ht="13.5" customHeight="1">
      <c r="A1384" s="931"/>
      <c r="B1384" s="291"/>
      <c r="C1384" s="931"/>
      <c r="D1384" s="932"/>
      <c r="E1384" s="932"/>
      <c r="F1384" s="931"/>
      <c r="G1384" s="931"/>
      <c r="H1384" s="932"/>
      <c r="I1384" s="932"/>
      <c r="J1384" s="932"/>
      <c r="K1384" s="932"/>
      <c r="L1384" s="932"/>
      <c r="M1384" s="966"/>
      <c r="N1384" s="957"/>
      <c r="O1384" s="957"/>
      <c r="P1384" s="932"/>
      <c r="Q1384" s="931"/>
      <c r="R1384" s="931"/>
      <c r="S1384" s="957"/>
      <c r="T1384" s="957"/>
      <c r="U1384" s="957"/>
    </row>
    <row r="1385" ht="13.5" customHeight="1">
      <c r="A1385" s="931"/>
      <c r="B1385" s="291"/>
      <c r="C1385" s="931"/>
      <c r="D1385" s="932"/>
      <c r="E1385" s="932"/>
      <c r="F1385" s="931"/>
      <c r="G1385" s="931"/>
      <c r="H1385" s="932"/>
      <c r="I1385" s="932"/>
      <c r="J1385" s="932"/>
      <c r="K1385" s="932"/>
      <c r="L1385" s="932"/>
      <c r="M1385" s="966"/>
      <c r="N1385" s="957"/>
      <c r="O1385" s="957"/>
      <c r="P1385" s="932"/>
      <c r="Q1385" s="931"/>
      <c r="R1385" s="931"/>
      <c r="S1385" s="957"/>
      <c r="T1385" s="957"/>
      <c r="U1385" s="957"/>
    </row>
    <row r="1386" ht="13.5" customHeight="1">
      <c r="A1386" s="931"/>
      <c r="B1386" s="291"/>
      <c r="C1386" s="931"/>
      <c r="D1386" s="932"/>
      <c r="E1386" s="932"/>
      <c r="F1386" s="931"/>
      <c r="G1386" s="931"/>
      <c r="H1386" s="932"/>
      <c r="I1386" s="932"/>
      <c r="J1386" s="932"/>
      <c r="K1386" s="932"/>
      <c r="L1386" s="932"/>
      <c r="M1386" s="966"/>
      <c r="N1386" s="957"/>
      <c r="O1386" s="957"/>
      <c r="P1386" s="932"/>
      <c r="Q1386" s="931"/>
      <c r="R1386" s="931"/>
      <c r="S1386" s="957"/>
      <c r="T1386" s="957"/>
      <c r="U1386" s="957"/>
    </row>
  </sheetData>
  <mergeCells count="1">
    <mergeCell ref="A1:B1"/>
  </mergeCells>
  <conditionalFormatting sqref="B26 B91:B92 B176 B226 B230 B331 B445:B453">
    <cfRule type="expression" dxfId="0" priority="1">
      <formula>countif(B:B,B26)&gt;1</formula>
    </cfRule>
  </conditionalFormatting>
  <conditionalFormatting sqref="B643:C643">
    <cfRule type="expression" dxfId="0" priority="2">
      <formula>countif(A:A,B643)&gt;1</formula>
    </cfRule>
  </conditionalFormatting>
  <conditionalFormatting sqref="H675">
    <cfRule type="containsText" dxfId="3" priority="3" operator="containsText" text="bình thường">
      <formula>NOT(ISERROR(SEARCH(("bình thường"),(H675))))</formula>
    </cfRule>
  </conditionalFormatting>
  <conditionalFormatting sqref="H675">
    <cfRule type="containsText" dxfId="2" priority="4" operator="containsText" text="Thu hồi">
      <formula>NOT(ISERROR(SEARCH(("Thu hồi"),(H675))))</formula>
    </cfRule>
  </conditionalFormatting>
  <conditionalFormatting sqref="H675">
    <cfRule type="containsText" dxfId="1" priority="5" operator="containsText" text="Hư hỏng">
      <formula>NOT(ISERROR(SEARCH(("Hư hỏng"),(H675))))</formula>
    </cfRule>
  </conditionalFormatting>
  <conditionalFormatting sqref="D316">
    <cfRule type="expression" dxfId="4" priority="6">
      <formula>$I316="Hư hỏng"</formula>
    </cfRule>
  </conditionalFormatting>
  <conditionalFormatting sqref="B171:C171 B595:B597 C595:C598 B600:C601 B644:C671">
    <cfRule type="expression" dxfId="0" priority="7">
      <formula>countif(A:A,B171)&gt;1</formula>
    </cfRule>
  </conditionalFormatting>
  <conditionalFormatting sqref="A1:U1386">
    <cfRule type="expression" dxfId="4" priority="8">
      <formula>$K1="Hư hỏng"</formula>
    </cfRule>
  </conditionalFormatting>
  <dataValidations>
    <dataValidation type="list" allowBlank="1" showErrorMessage="1" sqref="U7:U28 U30:U32 U35:U63 U66:U81 U84:U94 U97:U103 U106:U107 U110:U135 U140 U144:U176 U179:U204 U208:U226 U230:U255 U260:U261 U263:U275 U278:U333 U337:U359 U361:U376 U378:U400 U402:U408 U410:U412 U415:U454 U456:U468 U471:U475 U479:U487 U489:U503 U505:U534 U536:U555 U557:U568 U570:U583 U585:U589 U591:U605 U607:U629 U631:U681 U684:U685 U689 U691:U699 U738:U749 U763:U836">
      <formula1>"ĐTM (ĐQSD),ĐTM (ALL NEW),ĐQSD"</formula1>
    </dataValidation>
    <dataValidation type="list" allowBlank="1" showErrorMessage="1" sqref="H6:H32 H34:H61 H66:H81 H84:H94 H97:H102 H106:H108 H110:H131 H140:H141 H143:H204 H207:H273 H277:H333 H336:H411 H414:H502 H504:H533 H535:H553 H556:H567 H569:H591 H593:H630 H641:H679 H684 H691:H699 H738 H742:H749 H763:H770">
      <formula1>'LOẠI MMTB'!$B$3:$B$167</formula1>
    </dataValidation>
    <dataValidation type="list" allowBlank="1" showErrorMessage="1" sqref="H631:H640">
      <formula1>"M.Băm cỏ cố định, di động,Rùa 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0" outlineLevelRow="1"/>
  <cols>
    <col customWidth="1" min="1" max="1" width="4.38"/>
    <col customWidth="1" min="2" max="2" width="26.75"/>
    <col customWidth="1" min="3" max="3" width="28.13"/>
    <col customWidth="1" min="4" max="4" width="16.63"/>
    <col customWidth="1" min="5" max="5" width="18.0"/>
    <col customWidth="1" min="6" max="6" width="40.63"/>
    <col customWidth="1" hidden="1" min="7" max="7" width="14.5"/>
    <col customWidth="1" min="8" max="8" width="14.5"/>
    <col customWidth="1" min="9" max="9" width="13.5"/>
    <col customWidth="1" hidden="1" min="10" max="10" width="12.75"/>
    <col customWidth="1" min="11" max="11" width="15.13"/>
    <col customWidth="1" min="12" max="12" width="42.25"/>
    <col customWidth="1" min="13" max="13" width="43.13"/>
    <col customWidth="1" min="14" max="14" width="18.0"/>
    <col customWidth="1" min="15" max="15" width="18.25"/>
    <col customWidth="1" min="16" max="16" width="11.5"/>
    <col customWidth="1" min="17" max="17" width="9.75"/>
    <col customWidth="1" min="18" max="18" width="28.75"/>
    <col customWidth="1" min="19" max="19" width="26.63"/>
    <col customWidth="1" min="20" max="20" width="11.75"/>
    <col customWidth="1" min="21" max="22" width="18.88"/>
  </cols>
  <sheetData>
    <row r="1" ht="39.0" customHeight="1">
      <c r="A1" s="429" t="s">
        <v>3215</v>
      </c>
      <c r="B1" s="430"/>
      <c r="C1" s="430"/>
      <c r="D1" s="430"/>
      <c r="E1" s="430"/>
      <c r="F1" s="430"/>
      <c r="G1" s="430"/>
      <c r="H1" s="430"/>
      <c r="I1" s="430"/>
      <c r="J1" s="430"/>
      <c r="K1" s="430"/>
      <c r="L1" s="430"/>
      <c r="M1" s="431"/>
      <c r="N1" s="432"/>
      <c r="O1" s="432" t="s">
        <v>3</v>
      </c>
      <c r="P1" s="432"/>
      <c r="Q1" s="433"/>
      <c r="R1" s="432"/>
      <c r="S1" s="432"/>
      <c r="T1" s="434"/>
      <c r="U1" s="432"/>
      <c r="V1" s="432"/>
    </row>
    <row r="2" ht="33.0" customHeight="1">
      <c r="A2" s="435" t="s">
        <v>5</v>
      </c>
      <c r="B2" s="435" t="s">
        <v>3216</v>
      </c>
      <c r="C2" s="436" t="s">
        <v>3217</v>
      </c>
      <c r="D2" s="435" t="s">
        <v>3218</v>
      </c>
      <c r="E2" s="435" t="s">
        <v>10</v>
      </c>
      <c r="F2" s="435" t="s">
        <v>11</v>
      </c>
      <c r="G2" s="435"/>
      <c r="H2" s="435" t="s">
        <v>13</v>
      </c>
      <c r="I2" s="437" t="s">
        <v>3219</v>
      </c>
      <c r="J2" s="435" t="s">
        <v>3220</v>
      </c>
      <c r="K2" s="435" t="s">
        <v>3221</v>
      </c>
      <c r="L2" s="435" t="s">
        <v>19</v>
      </c>
      <c r="M2" s="435" t="s">
        <v>33</v>
      </c>
      <c r="N2" s="435" t="s">
        <v>3222</v>
      </c>
      <c r="O2" s="435" t="s">
        <v>3223</v>
      </c>
      <c r="P2" s="438" t="s">
        <v>22</v>
      </c>
      <c r="Q2" s="438" t="s">
        <v>23</v>
      </c>
      <c r="R2" s="435" t="s">
        <v>3224</v>
      </c>
      <c r="S2" s="438" t="s">
        <v>3225</v>
      </c>
      <c r="T2" s="41" t="s">
        <v>3226</v>
      </c>
      <c r="U2" s="41" t="s">
        <v>3227</v>
      </c>
      <c r="V2" s="41" t="s">
        <v>34</v>
      </c>
    </row>
    <row r="3" ht="15.0" customHeight="1">
      <c r="A3" s="439"/>
      <c r="B3" s="440" t="s">
        <v>60</v>
      </c>
      <c r="C3" s="441">
        <f>SUM(C4,C123,C238,C540,C592,C762,C782,C786,C805)</f>
        <v>747</v>
      </c>
      <c r="D3" s="442"/>
      <c r="E3" s="442"/>
      <c r="F3" s="442"/>
      <c r="G3" s="443"/>
      <c r="H3" s="443"/>
      <c r="I3" s="439"/>
      <c r="J3" s="439"/>
      <c r="K3" s="439"/>
      <c r="L3" s="442"/>
      <c r="M3" s="444"/>
      <c r="N3" s="442"/>
      <c r="O3" s="444"/>
      <c r="P3" s="442"/>
      <c r="Q3" s="445"/>
      <c r="R3" s="444"/>
      <c r="S3" s="444"/>
      <c r="T3" s="446"/>
      <c r="U3" s="53"/>
      <c r="V3" s="53" t="s">
        <v>41</v>
      </c>
    </row>
    <row r="4" ht="15.0" customHeight="1">
      <c r="A4" s="447" t="s">
        <v>3228</v>
      </c>
      <c r="B4" s="448" t="s">
        <v>3229</v>
      </c>
      <c r="C4" s="449">
        <f>SUM(C5,C64,C108)</f>
        <v>94</v>
      </c>
      <c r="D4" s="450"/>
      <c r="E4" s="450"/>
      <c r="F4" s="450"/>
      <c r="G4" s="451"/>
      <c r="H4" s="451"/>
      <c r="I4" s="447"/>
      <c r="J4" s="447"/>
      <c r="K4" s="447"/>
      <c r="L4" s="450"/>
      <c r="M4" s="452"/>
      <c r="N4" s="450"/>
      <c r="O4" s="452"/>
      <c r="P4" s="450"/>
      <c r="Q4" s="453"/>
      <c r="R4" s="452"/>
      <c r="S4" s="452"/>
      <c r="T4" s="454"/>
      <c r="U4" s="64"/>
      <c r="V4" s="69" t="s">
        <v>54</v>
      </c>
    </row>
    <row r="5" ht="15.0" customHeight="1">
      <c r="A5" s="455" t="s">
        <v>72</v>
      </c>
      <c r="B5" s="456" t="s">
        <v>74</v>
      </c>
      <c r="C5" s="457">
        <f>COUNTA($B$6:$B$63)</f>
        <v>46</v>
      </c>
      <c r="D5" s="458"/>
      <c r="E5" s="458"/>
      <c r="F5" s="458"/>
      <c r="G5" s="459"/>
      <c r="H5" s="459"/>
      <c r="I5" s="457"/>
      <c r="J5" s="460"/>
      <c r="K5" s="457"/>
      <c r="L5" s="458"/>
      <c r="M5" s="461"/>
      <c r="N5" s="458"/>
      <c r="O5" s="461"/>
      <c r="P5" s="458"/>
      <c r="Q5" s="459"/>
      <c r="R5" s="461"/>
      <c r="S5" s="461"/>
      <c r="T5" s="462"/>
      <c r="U5" s="458"/>
      <c r="V5" s="458"/>
    </row>
    <row r="6" ht="15.0" customHeight="1">
      <c r="A6" s="463">
        <v>1.0</v>
      </c>
      <c r="B6" s="464" t="s">
        <v>3230</v>
      </c>
      <c r="C6" s="464"/>
      <c r="D6" s="465" t="s">
        <v>3231</v>
      </c>
      <c r="E6" s="464" t="s">
        <v>79</v>
      </c>
      <c r="F6" s="464" t="s">
        <v>3232</v>
      </c>
      <c r="G6" s="80" t="str">
        <f>VLOOKUP(F6,'01. TH'!$B:$E,3,0)</f>
        <v>#N/A</v>
      </c>
      <c r="H6" s="463" t="s">
        <v>44</v>
      </c>
      <c r="I6" s="466">
        <v>45658.0</v>
      </c>
      <c r="J6" s="467"/>
      <c r="K6" s="463" t="s">
        <v>1661</v>
      </c>
      <c r="L6" s="464"/>
      <c r="M6" s="465"/>
      <c r="N6" s="468" t="s">
        <v>260</v>
      </c>
      <c r="O6" s="465" t="s">
        <v>3233</v>
      </c>
      <c r="P6" s="468" t="s">
        <v>260</v>
      </c>
      <c r="Q6" s="463">
        <v>2022.0</v>
      </c>
      <c r="R6" s="465"/>
      <c r="S6" s="465"/>
      <c r="T6" s="469"/>
      <c r="U6" s="467"/>
      <c r="V6" s="467"/>
    </row>
    <row r="7" ht="15.0" customHeight="1">
      <c r="A7" s="48">
        <v>2.0</v>
      </c>
      <c r="B7" s="464" t="s">
        <v>3234</v>
      </c>
      <c r="C7" s="128"/>
      <c r="D7" s="470" t="s">
        <v>3235</v>
      </c>
      <c r="E7" s="464" t="s">
        <v>79</v>
      </c>
      <c r="F7" s="464" t="s">
        <v>3232</v>
      </c>
      <c r="G7" s="80" t="str">
        <f>VLOOKUP(F7,'01. TH'!$B:$E,3,0)</f>
        <v>#N/A</v>
      </c>
      <c r="H7" s="463" t="s">
        <v>44</v>
      </c>
      <c r="I7" s="88"/>
      <c r="J7" s="471"/>
      <c r="K7" s="463" t="s">
        <v>1661</v>
      </c>
      <c r="L7" s="471"/>
      <c r="M7" s="472"/>
      <c r="N7" s="468" t="s">
        <v>260</v>
      </c>
      <c r="O7" s="470" t="s">
        <v>3233</v>
      </c>
      <c r="P7" s="468" t="s">
        <v>260</v>
      </c>
      <c r="Q7" s="88"/>
      <c r="R7" s="472"/>
      <c r="S7" s="472"/>
      <c r="T7" s="473"/>
      <c r="U7" s="471"/>
      <c r="V7" s="471"/>
    </row>
    <row r="8" ht="15.0" customHeight="1">
      <c r="A8" s="463">
        <v>3.0</v>
      </c>
      <c r="B8" s="464" t="s">
        <v>3236</v>
      </c>
      <c r="C8" s="128"/>
      <c r="D8" s="470" t="s">
        <v>3237</v>
      </c>
      <c r="E8" s="468" t="s">
        <v>3238</v>
      </c>
      <c r="F8" s="464" t="s">
        <v>3239</v>
      </c>
      <c r="G8" s="80" t="str">
        <f>VLOOKUP(F8,'01. TH'!$B:$E,3,0)</f>
        <v/>
      </c>
      <c r="H8" s="463" t="s">
        <v>44</v>
      </c>
      <c r="I8" s="474">
        <v>45545.0</v>
      </c>
      <c r="J8" s="471"/>
      <c r="K8" s="463" t="s">
        <v>1661</v>
      </c>
      <c r="L8" s="468" t="s">
        <v>336</v>
      </c>
      <c r="M8" s="472"/>
      <c r="N8" s="468" t="s">
        <v>260</v>
      </c>
      <c r="O8" s="470" t="s">
        <v>3240</v>
      </c>
      <c r="P8" s="468" t="s">
        <v>260</v>
      </c>
      <c r="Q8" s="48">
        <v>2024.0</v>
      </c>
      <c r="R8" s="472"/>
      <c r="S8" s="470" t="s">
        <v>3241</v>
      </c>
      <c r="T8" s="473"/>
      <c r="U8" s="471"/>
      <c r="V8" s="471"/>
    </row>
    <row r="9" ht="15.0" customHeight="1">
      <c r="A9" s="48">
        <v>4.0</v>
      </c>
      <c r="B9" s="464" t="s">
        <v>3242</v>
      </c>
      <c r="C9" s="128"/>
      <c r="D9" s="470" t="s">
        <v>3243</v>
      </c>
      <c r="E9" s="464" t="s">
        <v>79</v>
      </c>
      <c r="F9" s="464" t="s">
        <v>3244</v>
      </c>
      <c r="G9" s="80" t="str">
        <f>VLOOKUP(F9,'01. TH'!$B:$E,3,0)</f>
        <v>#N/A</v>
      </c>
      <c r="H9" s="463" t="s">
        <v>44</v>
      </c>
      <c r="I9" s="88"/>
      <c r="J9" s="471"/>
      <c r="K9" s="463" t="s">
        <v>1661</v>
      </c>
      <c r="L9" s="471"/>
      <c r="M9" s="472"/>
      <c r="N9" s="468" t="s">
        <v>260</v>
      </c>
      <c r="O9" s="470" t="s">
        <v>3245</v>
      </c>
      <c r="P9" s="468" t="s">
        <v>260</v>
      </c>
      <c r="Q9" s="88"/>
      <c r="R9" s="472"/>
      <c r="S9" s="472"/>
      <c r="T9" s="473"/>
      <c r="U9" s="471"/>
      <c r="V9" s="471"/>
    </row>
    <row r="10" ht="15.0" customHeight="1">
      <c r="A10" s="463">
        <v>5.0</v>
      </c>
      <c r="B10" s="464" t="s">
        <v>3246</v>
      </c>
      <c r="C10" s="128"/>
      <c r="D10" s="465" t="s">
        <v>3247</v>
      </c>
      <c r="E10" s="464" t="s">
        <v>79</v>
      </c>
      <c r="F10" s="464" t="s">
        <v>3248</v>
      </c>
      <c r="G10" s="80" t="str">
        <f>VLOOKUP(F10,'01. TH'!$B:$E,3,0)</f>
        <v>#N/A</v>
      </c>
      <c r="H10" s="463" t="s">
        <v>44</v>
      </c>
      <c r="I10" s="475"/>
      <c r="J10" s="467"/>
      <c r="K10" s="463" t="s">
        <v>1661</v>
      </c>
      <c r="L10" s="467"/>
      <c r="M10" s="476"/>
      <c r="N10" s="468" t="s">
        <v>260</v>
      </c>
      <c r="O10" s="465" t="s">
        <v>3249</v>
      </c>
      <c r="P10" s="468" t="s">
        <v>260</v>
      </c>
      <c r="Q10" s="475"/>
      <c r="R10" s="476"/>
      <c r="S10" s="476"/>
      <c r="T10" s="469"/>
      <c r="U10" s="467"/>
      <c r="V10" s="467"/>
    </row>
    <row r="11" ht="15.0" customHeight="1">
      <c r="A11" s="48">
        <v>6.0</v>
      </c>
      <c r="B11" s="464" t="s">
        <v>3250</v>
      </c>
      <c r="C11" s="128"/>
      <c r="D11" s="470" t="s">
        <v>3251</v>
      </c>
      <c r="E11" s="464" t="s">
        <v>79</v>
      </c>
      <c r="F11" s="468" t="s">
        <v>3252</v>
      </c>
      <c r="G11" s="80" t="str">
        <f>VLOOKUP(F11,'01. TH'!$B:$E,3,0)</f>
        <v/>
      </c>
      <c r="H11" s="463" t="s">
        <v>44</v>
      </c>
      <c r="I11" s="88"/>
      <c r="J11" s="471"/>
      <c r="K11" s="463" t="s">
        <v>1661</v>
      </c>
      <c r="L11" s="471"/>
      <c r="M11" s="472"/>
      <c r="N11" s="468" t="s">
        <v>260</v>
      </c>
      <c r="O11" s="470" t="s">
        <v>3253</v>
      </c>
      <c r="P11" s="468" t="s">
        <v>260</v>
      </c>
      <c r="Q11" s="88"/>
      <c r="R11" s="472"/>
      <c r="S11" s="472"/>
      <c r="T11" s="473"/>
      <c r="U11" s="471"/>
      <c r="V11" s="471"/>
    </row>
    <row r="12" ht="15.0" customHeight="1">
      <c r="A12" s="463">
        <v>7.0</v>
      </c>
      <c r="B12" s="464" t="s">
        <v>3254</v>
      </c>
      <c r="C12" s="128"/>
      <c r="D12" s="470" t="s">
        <v>3255</v>
      </c>
      <c r="E12" s="464" t="s">
        <v>79</v>
      </c>
      <c r="F12" s="468" t="s">
        <v>3256</v>
      </c>
      <c r="G12" s="80" t="str">
        <f>VLOOKUP(F12,'01. TH'!$B:$E,3,0)</f>
        <v>#N/A</v>
      </c>
      <c r="H12" s="463" t="s">
        <v>44</v>
      </c>
      <c r="I12" s="48" t="s">
        <v>3257</v>
      </c>
      <c r="J12" s="471"/>
      <c r="K12" s="463" t="s">
        <v>1661</v>
      </c>
      <c r="L12" s="471"/>
      <c r="M12" s="465"/>
      <c r="N12" s="464" t="s">
        <v>3258</v>
      </c>
      <c r="O12" s="470" t="s">
        <v>3259</v>
      </c>
      <c r="P12" s="464" t="s">
        <v>3260</v>
      </c>
      <c r="Q12" s="48">
        <v>2024.0</v>
      </c>
      <c r="R12" s="470" t="s">
        <v>3261</v>
      </c>
      <c r="S12" s="472"/>
      <c r="T12" s="473"/>
      <c r="U12" s="471"/>
      <c r="V12" s="471"/>
    </row>
    <row r="13" ht="15.0" customHeight="1">
      <c r="A13" s="48">
        <v>8.0</v>
      </c>
      <c r="B13" s="464" t="s">
        <v>3262</v>
      </c>
      <c r="C13" s="128"/>
      <c r="D13" s="470" t="s">
        <v>3263</v>
      </c>
      <c r="E13" s="464" t="s">
        <v>79</v>
      </c>
      <c r="F13" s="468" t="s">
        <v>3264</v>
      </c>
      <c r="G13" s="80" t="str">
        <f>VLOOKUP(F13,'01. TH'!$B:$E,3,0)</f>
        <v>#N/A</v>
      </c>
      <c r="H13" s="463" t="s">
        <v>44</v>
      </c>
      <c r="I13" s="48" t="s">
        <v>3257</v>
      </c>
      <c r="J13" s="471"/>
      <c r="K13" s="463" t="s">
        <v>1661</v>
      </c>
      <c r="L13" s="471"/>
      <c r="M13" s="465"/>
      <c r="N13" s="464" t="s">
        <v>3258</v>
      </c>
      <c r="O13" s="470" t="s">
        <v>3265</v>
      </c>
      <c r="P13" s="464" t="s">
        <v>3260</v>
      </c>
      <c r="Q13" s="48">
        <v>2024.0</v>
      </c>
      <c r="R13" s="470" t="s">
        <v>3266</v>
      </c>
      <c r="S13" s="472"/>
      <c r="T13" s="473"/>
      <c r="U13" s="471"/>
      <c r="V13" s="471"/>
    </row>
    <row r="14" ht="15.0" customHeight="1">
      <c r="A14" s="463">
        <v>9.0</v>
      </c>
      <c r="B14" s="464" t="s">
        <v>3267</v>
      </c>
      <c r="C14" s="128"/>
      <c r="D14" s="470" t="s">
        <v>3268</v>
      </c>
      <c r="E14" s="464" t="s">
        <v>79</v>
      </c>
      <c r="F14" s="468" t="s">
        <v>3269</v>
      </c>
      <c r="G14" s="80" t="str">
        <f>VLOOKUP(F14,'01. TH'!$B:$E,3,0)</f>
        <v>#N/A</v>
      </c>
      <c r="H14" s="463" t="s">
        <v>44</v>
      </c>
      <c r="I14" s="474">
        <v>45634.0</v>
      </c>
      <c r="J14" s="471"/>
      <c r="K14" s="463" t="s">
        <v>1661</v>
      </c>
      <c r="L14" s="471"/>
      <c r="M14" s="465"/>
      <c r="N14" s="464" t="s">
        <v>3258</v>
      </c>
      <c r="O14" s="470" t="s">
        <v>3259</v>
      </c>
      <c r="P14" s="464" t="s">
        <v>3260</v>
      </c>
      <c r="Q14" s="48">
        <v>2024.0</v>
      </c>
      <c r="R14" s="470" t="s">
        <v>3270</v>
      </c>
      <c r="S14" s="472"/>
      <c r="T14" s="473"/>
      <c r="U14" s="471"/>
      <c r="V14" s="471"/>
    </row>
    <row r="15" ht="15.0" customHeight="1">
      <c r="A15" s="48">
        <v>10.0</v>
      </c>
      <c r="B15" s="464" t="s">
        <v>3271</v>
      </c>
      <c r="C15" s="128"/>
      <c r="D15" s="470" t="s">
        <v>3272</v>
      </c>
      <c r="E15" s="464" t="s">
        <v>79</v>
      </c>
      <c r="F15" s="468" t="s">
        <v>3269</v>
      </c>
      <c r="G15" s="80" t="str">
        <f>VLOOKUP(F15,'01. TH'!$B:$E,3,0)</f>
        <v>#N/A</v>
      </c>
      <c r="H15" s="463" t="s">
        <v>44</v>
      </c>
      <c r="I15" s="474">
        <v>45634.0</v>
      </c>
      <c r="J15" s="471"/>
      <c r="K15" s="463" t="s">
        <v>1661</v>
      </c>
      <c r="L15" s="471"/>
      <c r="M15" s="465"/>
      <c r="N15" s="464" t="s">
        <v>3258</v>
      </c>
      <c r="O15" s="470" t="s">
        <v>3259</v>
      </c>
      <c r="P15" s="464" t="s">
        <v>3260</v>
      </c>
      <c r="Q15" s="48">
        <v>2024.0</v>
      </c>
      <c r="R15" s="470" t="s">
        <v>3270</v>
      </c>
      <c r="S15" s="472"/>
      <c r="T15" s="473"/>
      <c r="U15" s="471"/>
      <c r="V15" s="471"/>
    </row>
    <row r="16" ht="15.0" customHeight="1">
      <c r="A16" s="463">
        <v>11.0</v>
      </c>
      <c r="B16" s="464" t="s">
        <v>3273</v>
      </c>
      <c r="C16" s="128"/>
      <c r="D16" s="470" t="s">
        <v>3274</v>
      </c>
      <c r="E16" s="464" t="s">
        <v>79</v>
      </c>
      <c r="F16" s="468" t="s">
        <v>3269</v>
      </c>
      <c r="G16" s="80" t="str">
        <f>VLOOKUP(F16,'01. TH'!$B:$E,3,0)</f>
        <v>#N/A</v>
      </c>
      <c r="H16" s="463" t="s">
        <v>44</v>
      </c>
      <c r="I16" s="474">
        <v>45634.0</v>
      </c>
      <c r="J16" s="471"/>
      <c r="K16" s="463" t="s">
        <v>1661</v>
      </c>
      <c r="L16" s="471"/>
      <c r="M16" s="465"/>
      <c r="N16" s="464" t="s">
        <v>3258</v>
      </c>
      <c r="O16" s="470" t="s">
        <v>3259</v>
      </c>
      <c r="P16" s="464" t="s">
        <v>3260</v>
      </c>
      <c r="Q16" s="48">
        <v>2024.0</v>
      </c>
      <c r="R16" s="470" t="s">
        <v>3270</v>
      </c>
      <c r="S16" s="472"/>
      <c r="T16" s="473"/>
      <c r="U16" s="471"/>
      <c r="V16" s="471"/>
    </row>
    <row r="17" ht="15.0" customHeight="1">
      <c r="A17" s="48">
        <v>12.0</v>
      </c>
      <c r="B17" s="464" t="s">
        <v>3275</v>
      </c>
      <c r="C17" s="128"/>
      <c r="D17" s="470" t="s">
        <v>3276</v>
      </c>
      <c r="E17" s="464" t="s">
        <v>79</v>
      </c>
      <c r="F17" s="468" t="s">
        <v>3269</v>
      </c>
      <c r="G17" s="80" t="str">
        <f>VLOOKUP(F17,'01. TH'!$B:$E,3,0)</f>
        <v>#N/A</v>
      </c>
      <c r="H17" s="463" t="s">
        <v>44</v>
      </c>
      <c r="I17" s="474">
        <v>45634.0</v>
      </c>
      <c r="J17" s="471"/>
      <c r="K17" s="463" t="s">
        <v>1661</v>
      </c>
      <c r="L17" s="471"/>
      <c r="M17" s="465"/>
      <c r="N17" s="464" t="s">
        <v>3258</v>
      </c>
      <c r="O17" s="470" t="s">
        <v>3259</v>
      </c>
      <c r="P17" s="464" t="s">
        <v>3260</v>
      </c>
      <c r="Q17" s="48">
        <v>2024.0</v>
      </c>
      <c r="R17" s="470" t="s">
        <v>3270</v>
      </c>
      <c r="S17" s="472"/>
      <c r="T17" s="473"/>
      <c r="U17" s="471"/>
      <c r="V17" s="471"/>
    </row>
    <row r="18" ht="15.0" customHeight="1">
      <c r="A18" s="463">
        <v>13.0</v>
      </c>
      <c r="B18" s="464" t="s">
        <v>3277</v>
      </c>
      <c r="C18" s="128"/>
      <c r="D18" s="470" t="s">
        <v>3278</v>
      </c>
      <c r="E18" s="464" t="s">
        <v>79</v>
      </c>
      <c r="F18" s="468" t="s">
        <v>3279</v>
      </c>
      <c r="G18" s="80" t="str">
        <f>VLOOKUP(F18,'01. TH'!$B:$E,3,0)</f>
        <v>#N/A</v>
      </c>
      <c r="H18" s="463" t="s">
        <v>44</v>
      </c>
      <c r="I18" s="48" t="s">
        <v>1950</v>
      </c>
      <c r="J18" s="471"/>
      <c r="K18" s="463" t="s">
        <v>1661</v>
      </c>
      <c r="L18" s="471"/>
      <c r="M18" s="465"/>
      <c r="N18" s="464" t="s">
        <v>3258</v>
      </c>
      <c r="O18" s="472"/>
      <c r="P18" s="464" t="s">
        <v>3260</v>
      </c>
      <c r="Q18" s="48">
        <v>2024.0</v>
      </c>
      <c r="R18" s="470" t="s">
        <v>3280</v>
      </c>
      <c r="S18" s="472"/>
      <c r="T18" s="473"/>
      <c r="U18" s="471"/>
      <c r="V18" s="471"/>
    </row>
    <row r="19" ht="15.0" customHeight="1">
      <c r="A19" s="48">
        <v>14.0</v>
      </c>
      <c r="B19" s="464" t="s">
        <v>3281</v>
      </c>
      <c r="C19" s="128"/>
      <c r="D19" s="470" t="s">
        <v>3282</v>
      </c>
      <c r="E19" s="464" t="s">
        <v>79</v>
      </c>
      <c r="F19" s="468" t="s">
        <v>3279</v>
      </c>
      <c r="G19" s="80" t="str">
        <f>VLOOKUP(F19,'01. TH'!$B:$E,3,0)</f>
        <v>#N/A</v>
      </c>
      <c r="H19" s="463" t="s">
        <v>44</v>
      </c>
      <c r="I19" s="48" t="s">
        <v>1950</v>
      </c>
      <c r="J19" s="471"/>
      <c r="K19" s="463" t="s">
        <v>1661</v>
      </c>
      <c r="L19" s="471"/>
      <c r="M19" s="465"/>
      <c r="N19" s="464" t="s">
        <v>3258</v>
      </c>
      <c r="O19" s="472"/>
      <c r="P19" s="464" t="s">
        <v>3260</v>
      </c>
      <c r="Q19" s="48">
        <v>2024.0</v>
      </c>
      <c r="R19" s="470" t="s">
        <v>3283</v>
      </c>
      <c r="S19" s="472"/>
      <c r="T19" s="473"/>
      <c r="U19" s="471"/>
      <c r="V19" s="471"/>
    </row>
    <row r="20" ht="15.0" customHeight="1">
      <c r="A20" s="463">
        <v>15.0</v>
      </c>
      <c r="B20" s="464" t="s">
        <v>3284</v>
      </c>
      <c r="C20" s="128"/>
      <c r="D20" s="470" t="s">
        <v>3285</v>
      </c>
      <c r="E20" s="464" t="s">
        <v>79</v>
      </c>
      <c r="F20" s="468" t="s">
        <v>3279</v>
      </c>
      <c r="G20" s="80" t="str">
        <f>VLOOKUP(F20,'01. TH'!$B:$E,3,0)</f>
        <v>#N/A</v>
      </c>
      <c r="H20" s="463" t="s">
        <v>44</v>
      </c>
      <c r="I20" s="48" t="s">
        <v>1950</v>
      </c>
      <c r="J20" s="471"/>
      <c r="K20" s="463" t="s">
        <v>1661</v>
      </c>
      <c r="L20" s="471"/>
      <c r="M20" s="465"/>
      <c r="N20" s="464" t="s">
        <v>3258</v>
      </c>
      <c r="O20" s="472"/>
      <c r="P20" s="464" t="s">
        <v>3260</v>
      </c>
      <c r="Q20" s="48">
        <v>2024.0</v>
      </c>
      <c r="R20" s="470" t="s">
        <v>3286</v>
      </c>
      <c r="S20" s="472"/>
      <c r="T20" s="473"/>
      <c r="U20" s="471"/>
      <c r="V20" s="471"/>
    </row>
    <row r="21" ht="15.0" customHeight="1">
      <c r="A21" s="48">
        <v>16.0</v>
      </c>
      <c r="B21" s="464" t="s">
        <v>3287</v>
      </c>
      <c r="C21" s="128"/>
      <c r="D21" s="470" t="s">
        <v>3288</v>
      </c>
      <c r="E21" s="464" t="s">
        <v>79</v>
      </c>
      <c r="F21" s="468" t="s">
        <v>3279</v>
      </c>
      <c r="G21" s="80" t="str">
        <f>VLOOKUP(F21,'01. TH'!$B:$E,3,0)</f>
        <v>#N/A</v>
      </c>
      <c r="H21" s="463" t="s">
        <v>44</v>
      </c>
      <c r="I21" s="48" t="s">
        <v>1950</v>
      </c>
      <c r="J21" s="471"/>
      <c r="K21" s="463" t="s">
        <v>1661</v>
      </c>
      <c r="L21" s="471"/>
      <c r="M21" s="465"/>
      <c r="N21" s="464" t="s">
        <v>3258</v>
      </c>
      <c r="O21" s="472"/>
      <c r="P21" s="464" t="s">
        <v>3260</v>
      </c>
      <c r="Q21" s="48">
        <v>2024.0</v>
      </c>
      <c r="R21" s="470" t="s">
        <v>3286</v>
      </c>
      <c r="S21" s="472"/>
      <c r="T21" s="473"/>
      <c r="U21" s="471"/>
      <c r="V21" s="471"/>
    </row>
    <row r="22" ht="15.0" customHeight="1">
      <c r="A22" s="463">
        <v>17.0</v>
      </c>
      <c r="B22" s="464" t="s">
        <v>3289</v>
      </c>
      <c r="C22" s="128"/>
      <c r="D22" s="470" t="s">
        <v>3290</v>
      </c>
      <c r="E22" s="464" t="s">
        <v>79</v>
      </c>
      <c r="F22" s="468" t="s">
        <v>3279</v>
      </c>
      <c r="G22" s="80" t="str">
        <f>VLOOKUP(F22,'01. TH'!$B:$E,3,0)</f>
        <v>#N/A</v>
      </c>
      <c r="H22" s="463" t="s">
        <v>44</v>
      </c>
      <c r="I22" s="48" t="s">
        <v>1950</v>
      </c>
      <c r="J22" s="471"/>
      <c r="K22" s="463" t="s">
        <v>1661</v>
      </c>
      <c r="L22" s="471"/>
      <c r="M22" s="465"/>
      <c r="N22" s="464" t="s">
        <v>3258</v>
      </c>
      <c r="O22" s="472"/>
      <c r="P22" s="464" t="s">
        <v>3260</v>
      </c>
      <c r="Q22" s="48">
        <v>2024.0</v>
      </c>
      <c r="R22" s="470" t="s">
        <v>3286</v>
      </c>
      <c r="S22" s="472"/>
      <c r="T22" s="473"/>
      <c r="U22" s="471"/>
      <c r="V22" s="471"/>
    </row>
    <row r="23" ht="15.0" customHeight="1">
      <c r="A23" s="48">
        <v>18.0</v>
      </c>
      <c r="B23" s="464" t="s">
        <v>3291</v>
      </c>
      <c r="C23" s="128"/>
      <c r="D23" s="470" t="s">
        <v>3292</v>
      </c>
      <c r="E23" s="464" t="s">
        <v>79</v>
      </c>
      <c r="F23" s="468" t="s">
        <v>3279</v>
      </c>
      <c r="G23" s="80" t="str">
        <f>VLOOKUP(F23,'01. TH'!$B:$E,3,0)</f>
        <v>#N/A</v>
      </c>
      <c r="H23" s="463" t="s">
        <v>44</v>
      </c>
      <c r="I23" s="48" t="s">
        <v>3293</v>
      </c>
      <c r="J23" s="471"/>
      <c r="K23" s="463" t="s">
        <v>1661</v>
      </c>
      <c r="L23" s="471"/>
      <c r="M23" s="465"/>
      <c r="N23" s="464" t="s">
        <v>3258</v>
      </c>
      <c r="O23" s="472"/>
      <c r="P23" s="464" t="s">
        <v>3260</v>
      </c>
      <c r="Q23" s="48">
        <v>2024.0</v>
      </c>
      <c r="R23" s="470" t="s">
        <v>3294</v>
      </c>
      <c r="S23" s="472"/>
      <c r="T23" s="473"/>
      <c r="U23" s="471"/>
      <c r="V23" s="471"/>
    </row>
    <row r="24" ht="15.0" customHeight="1">
      <c r="A24" s="463">
        <v>19.0</v>
      </c>
      <c r="B24" s="464" t="s">
        <v>3295</v>
      </c>
      <c r="C24" s="128"/>
      <c r="D24" s="470" t="s">
        <v>3296</v>
      </c>
      <c r="E24" s="464" t="s">
        <v>79</v>
      </c>
      <c r="F24" s="468" t="s">
        <v>3279</v>
      </c>
      <c r="G24" s="80" t="str">
        <f>VLOOKUP(F24,'01. TH'!$B:$E,3,0)</f>
        <v>#N/A</v>
      </c>
      <c r="H24" s="463" t="s">
        <v>44</v>
      </c>
      <c r="I24" s="474">
        <v>45360.0</v>
      </c>
      <c r="J24" s="471"/>
      <c r="K24" s="463" t="s">
        <v>1661</v>
      </c>
      <c r="L24" s="471"/>
      <c r="M24" s="465"/>
      <c r="N24" s="464" t="s">
        <v>3258</v>
      </c>
      <c r="O24" s="472"/>
      <c r="P24" s="464" t="s">
        <v>3260</v>
      </c>
      <c r="Q24" s="48">
        <v>2024.0</v>
      </c>
      <c r="R24" s="470" t="s">
        <v>3286</v>
      </c>
      <c r="S24" s="472"/>
      <c r="T24" s="473"/>
      <c r="U24" s="471"/>
      <c r="V24" s="471"/>
    </row>
    <row r="25" ht="15.0" customHeight="1">
      <c r="A25" s="48">
        <v>20.0</v>
      </c>
      <c r="B25" s="464" t="s">
        <v>3297</v>
      </c>
      <c r="C25" s="128"/>
      <c r="D25" s="470" t="s">
        <v>3298</v>
      </c>
      <c r="E25" s="464" t="s">
        <v>79</v>
      </c>
      <c r="F25" s="468" t="s">
        <v>3279</v>
      </c>
      <c r="G25" s="80" t="str">
        <f>VLOOKUP(F25,'01. TH'!$B:$E,3,0)</f>
        <v>#N/A</v>
      </c>
      <c r="H25" s="463" t="s">
        <v>44</v>
      </c>
      <c r="I25" s="474">
        <v>45360.0</v>
      </c>
      <c r="J25" s="471"/>
      <c r="K25" s="463" t="s">
        <v>1661</v>
      </c>
      <c r="L25" s="471"/>
      <c r="M25" s="465"/>
      <c r="N25" s="464" t="s">
        <v>3258</v>
      </c>
      <c r="O25" s="472"/>
      <c r="P25" s="464" t="s">
        <v>3260</v>
      </c>
      <c r="Q25" s="48">
        <v>2024.0</v>
      </c>
      <c r="R25" s="470" t="s">
        <v>3286</v>
      </c>
      <c r="S25" s="472"/>
      <c r="T25" s="473"/>
      <c r="U25" s="471"/>
      <c r="V25" s="471"/>
    </row>
    <row r="26" ht="15.0" customHeight="1">
      <c r="A26" s="463">
        <v>21.0</v>
      </c>
      <c r="B26" s="464" t="s">
        <v>3299</v>
      </c>
      <c r="C26" s="128"/>
      <c r="D26" s="470" t="s">
        <v>3300</v>
      </c>
      <c r="E26" s="464" t="s">
        <v>79</v>
      </c>
      <c r="F26" s="468" t="s">
        <v>3279</v>
      </c>
      <c r="G26" s="80" t="str">
        <f>VLOOKUP(F26,'01. TH'!$B:$E,3,0)</f>
        <v>#N/A</v>
      </c>
      <c r="H26" s="463" t="s">
        <v>44</v>
      </c>
      <c r="I26" s="474">
        <v>45360.0</v>
      </c>
      <c r="J26" s="471"/>
      <c r="K26" s="463" t="s">
        <v>1661</v>
      </c>
      <c r="L26" s="471"/>
      <c r="M26" s="465"/>
      <c r="N26" s="464" t="s">
        <v>3258</v>
      </c>
      <c r="O26" s="472"/>
      <c r="P26" s="464" t="s">
        <v>3260</v>
      </c>
      <c r="Q26" s="48">
        <v>2024.0</v>
      </c>
      <c r="R26" s="470" t="s">
        <v>3286</v>
      </c>
      <c r="S26" s="472"/>
      <c r="T26" s="473"/>
      <c r="U26" s="471"/>
      <c r="V26" s="471"/>
    </row>
    <row r="27" ht="15.0" customHeight="1">
      <c r="A27" s="48">
        <v>22.0</v>
      </c>
      <c r="B27" s="464" t="s">
        <v>3301</v>
      </c>
      <c r="C27" s="477"/>
      <c r="D27" s="470" t="s">
        <v>3302</v>
      </c>
      <c r="E27" s="464" t="s">
        <v>79</v>
      </c>
      <c r="F27" s="468" t="s">
        <v>3303</v>
      </c>
      <c r="G27" s="80" t="str">
        <f>VLOOKUP(F27,'01. TH'!$B:$E,3,0)</f>
        <v>#N/A</v>
      </c>
      <c r="H27" s="463" t="s">
        <v>44</v>
      </c>
      <c r="I27" s="48" t="s">
        <v>3304</v>
      </c>
      <c r="J27" s="471"/>
      <c r="K27" s="463" t="s">
        <v>1661</v>
      </c>
      <c r="L27" s="471"/>
      <c r="M27" s="465"/>
      <c r="N27" s="464" t="s">
        <v>3258</v>
      </c>
      <c r="O27" s="470" t="s">
        <v>3265</v>
      </c>
      <c r="P27" s="464" t="s">
        <v>3260</v>
      </c>
      <c r="Q27" s="48">
        <v>2024.0</v>
      </c>
      <c r="R27" s="470" t="s">
        <v>3305</v>
      </c>
      <c r="S27" s="472"/>
      <c r="T27" s="473"/>
      <c r="U27" s="471"/>
      <c r="V27" s="471"/>
    </row>
    <row r="28" ht="15.0" customHeight="1">
      <c r="A28" s="463">
        <v>23.0</v>
      </c>
      <c r="B28" s="464" t="s">
        <v>3306</v>
      </c>
      <c r="C28" s="477"/>
      <c r="D28" s="470" t="s">
        <v>3307</v>
      </c>
      <c r="E28" s="464" t="s">
        <v>79</v>
      </c>
      <c r="F28" s="468" t="s">
        <v>3303</v>
      </c>
      <c r="G28" s="80" t="str">
        <f>VLOOKUP(F28,'01. TH'!$B:$E,3,0)</f>
        <v>#N/A</v>
      </c>
      <c r="H28" s="463" t="s">
        <v>44</v>
      </c>
      <c r="I28" s="48" t="s">
        <v>3304</v>
      </c>
      <c r="J28" s="471"/>
      <c r="K28" s="463" t="s">
        <v>1661</v>
      </c>
      <c r="L28" s="471"/>
      <c r="M28" s="465"/>
      <c r="N28" s="464" t="s">
        <v>3258</v>
      </c>
      <c r="O28" s="470" t="s">
        <v>3265</v>
      </c>
      <c r="P28" s="464" t="s">
        <v>3260</v>
      </c>
      <c r="Q28" s="48">
        <v>2024.0</v>
      </c>
      <c r="R28" s="470" t="s">
        <v>3305</v>
      </c>
      <c r="S28" s="472"/>
      <c r="T28" s="473"/>
      <c r="U28" s="471"/>
      <c r="V28" s="471"/>
    </row>
    <row r="29" ht="15.0" customHeight="1">
      <c r="A29" s="48">
        <v>24.0</v>
      </c>
      <c r="B29" s="464" t="s">
        <v>3308</v>
      </c>
      <c r="C29" s="477"/>
      <c r="D29" s="470" t="s">
        <v>3309</v>
      </c>
      <c r="E29" s="464" t="s">
        <v>79</v>
      </c>
      <c r="F29" s="468" t="s">
        <v>3303</v>
      </c>
      <c r="G29" s="80" t="str">
        <f>VLOOKUP(F29,'01. TH'!$B:$E,3,0)</f>
        <v>#N/A</v>
      </c>
      <c r="H29" s="463" t="s">
        <v>44</v>
      </c>
      <c r="I29" s="48" t="s">
        <v>3304</v>
      </c>
      <c r="J29" s="471"/>
      <c r="K29" s="463" t="s">
        <v>1661</v>
      </c>
      <c r="L29" s="471"/>
      <c r="M29" s="465"/>
      <c r="N29" s="464" t="s">
        <v>3258</v>
      </c>
      <c r="O29" s="470" t="s">
        <v>3265</v>
      </c>
      <c r="P29" s="464" t="s">
        <v>3260</v>
      </c>
      <c r="Q29" s="48">
        <v>2024.0</v>
      </c>
      <c r="R29" s="470" t="s">
        <v>3305</v>
      </c>
      <c r="S29" s="472"/>
      <c r="T29" s="473"/>
      <c r="U29" s="471"/>
      <c r="V29" s="471"/>
    </row>
    <row r="30" ht="15.0" customHeight="1">
      <c r="A30" s="463">
        <v>25.0</v>
      </c>
      <c r="B30" s="464" t="s">
        <v>3310</v>
      </c>
      <c r="C30" s="477"/>
      <c r="D30" s="470" t="s">
        <v>3311</v>
      </c>
      <c r="E30" s="464" t="s">
        <v>79</v>
      </c>
      <c r="F30" s="468" t="s">
        <v>3303</v>
      </c>
      <c r="G30" s="80" t="str">
        <f>VLOOKUP(F30,'01. TH'!$B:$E,3,0)</f>
        <v>#N/A</v>
      </c>
      <c r="H30" s="463" t="s">
        <v>44</v>
      </c>
      <c r="I30" s="48" t="s">
        <v>3304</v>
      </c>
      <c r="J30" s="471"/>
      <c r="K30" s="463" t="s">
        <v>1661</v>
      </c>
      <c r="L30" s="471"/>
      <c r="M30" s="465"/>
      <c r="N30" s="464" t="s">
        <v>3258</v>
      </c>
      <c r="O30" s="470" t="s">
        <v>3265</v>
      </c>
      <c r="P30" s="464" t="s">
        <v>3260</v>
      </c>
      <c r="Q30" s="48">
        <v>2024.0</v>
      </c>
      <c r="R30" s="470" t="s">
        <v>3305</v>
      </c>
      <c r="S30" s="472"/>
      <c r="T30" s="473"/>
      <c r="U30" s="471"/>
      <c r="V30" s="471"/>
    </row>
    <row r="31" ht="15.0" customHeight="1">
      <c r="A31" s="48">
        <v>26.0</v>
      </c>
      <c r="B31" s="464" t="s">
        <v>3312</v>
      </c>
      <c r="C31" s="477"/>
      <c r="D31" s="470" t="s">
        <v>3313</v>
      </c>
      <c r="E31" s="464" t="s">
        <v>79</v>
      </c>
      <c r="F31" s="468" t="s">
        <v>3303</v>
      </c>
      <c r="G31" s="80" t="str">
        <f>VLOOKUP(F31,'01. TH'!$B:$E,3,0)</f>
        <v>#N/A</v>
      </c>
      <c r="H31" s="463" t="s">
        <v>44</v>
      </c>
      <c r="I31" s="48" t="s">
        <v>3304</v>
      </c>
      <c r="J31" s="471"/>
      <c r="K31" s="463" t="s">
        <v>1661</v>
      </c>
      <c r="L31" s="471"/>
      <c r="M31" s="465"/>
      <c r="N31" s="464" t="s">
        <v>3258</v>
      </c>
      <c r="O31" s="470" t="s">
        <v>3265</v>
      </c>
      <c r="P31" s="464" t="s">
        <v>3260</v>
      </c>
      <c r="Q31" s="48">
        <v>2024.0</v>
      </c>
      <c r="R31" s="470" t="s">
        <v>3305</v>
      </c>
      <c r="S31" s="472"/>
      <c r="T31" s="473"/>
      <c r="U31" s="471"/>
      <c r="V31" s="471"/>
    </row>
    <row r="32" ht="15.0" customHeight="1">
      <c r="A32" s="463">
        <v>27.0</v>
      </c>
      <c r="B32" s="464" t="s">
        <v>3314</v>
      </c>
      <c r="C32" s="477"/>
      <c r="D32" s="470" t="s">
        <v>3315</v>
      </c>
      <c r="E32" s="464" t="s">
        <v>79</v>
      </c>
      <c r="F32" s="468" t="s">
        <v>3316</v>
      </c>
      <c r="G32" s="80" t="str">
        <f>VLOOKUP(F32,'01. TH'!$B:$E,3,0)</f>
        <v>#N/A</v>
      </c>
      <c r="H32" s="463" t="s">
        <v>44</v>
      </c>
      <c r="I32" s="474">
        <v>45751.0</v>
      </c>
      <c r="J32" s="471"/>
      <c r="K32" s="463" t="s">
        <v>1661</v>
      </c>
      <c r="L32" s="471"/>
      <c r="M32" s="465"/>
      <c r="N32" s="464" t="s">
        <v>3258</v>
      </c>
      <c r="O32" s="470" t="s">
        <v>3265</v>
      </c>
      <c r="P32" s="464" t="s">
        <v>3260</v>
      </c>
      <c r="Q32" s="48">
        <v>2025.0</v>
      </c>
      <c r="R32" s="470" t="s">
        <v>3317</v>
      </c>
      <c r="S32" s="472"/>
      <c r="T32" s="473"/>
      <c r="U32" s="471"/>
      <c r="V32" s="471"/>
    </row>
    <row r="33" ht="15.0" customHeight="1">
      <c r="A33" s="48">
        <v>28.0</v>
      </c>
      <c r="B33" s="464" t="s">
        <v>3318</v>
      </c>
      <c r="C33" s="477"/>
      <c r="D33" s="470" t="s">
        <v>3319</v>
      </c>
      <c r="E33" s="464" t="s">
        <v>79</v>
      </c>
      <c r="F33" s="468" t="s">
        <v>3316</v>
      </c>
      <c r="G33" s="80" t="str">
        <f>VLOOKUP(F33,'01. TH'!$B:$E,3,0)</f>
        <v>#N/A</v>
      </c>
      <c r="H33" s="463" t="s">
        <v>44</v>
      </c>
      <c r="I33" s="474">
        <v>45751.0</v>
      </c>
      <c r="J33" s="471"/>
      <c r="K33" s="463" t="s">
        <v>1661</v>
      </c>
      <c r="L33" s="471"/>
      <c r="M33" s="465"/>
      <c r="N33" s="464" t="s">
        <v>3258</v>
      </c>
      <c r="O33" s="470" t="s">
        <v>3265</v>
      </c>
      <c r="P33" s="464" t="s">
        <v>3260</v>
      </c>
      <c r="Q33" s="48">
        <v>2025.0</v>
      </c>
      <c r="R33" s="470" t="s">
        <v>3317</v>
      </c>
      <c r="S33" s="472"/>
      <c r="T33" s="473"/>
      <c r="U33" s="471"/>
      <c r="V33" s="471"/>
    </row>
    <row r="34" ht="15.0" customHeight="1">
      <c r="A34" s="463">
        <v>29.0</v>
      </c>
      <c r="B34" s="464" t="s">
        <v>3320</v>
      </c>
      <c r="C34" s="477"/>
      <c r="D34" s="470" t="s">
        <v>3321</v>
      </c>
      <c r="E34" s="464" t="s">
        <v>79</v>
      </c>
      <c r="F34" s="468" t="s">
        <v>3316</v>
      </c>
      <c r="G34" s="80" t="str">
        <f>VLOOKUP(F34,'01. TH'!$B:$E,3,0)</f>
        <v>#N/A</v>
      </c>
      <c r="H34" s="463" t="s">
        <v>44</v>
      </c>
      <c r="I34" s="474">
        <v>45842.0</v>
      </c>
      <c r="J34" s="471"/>
      <c r="K34" s="463" t="s">
        <v>1661</v>
      </c>
      <c r="L34" s="471"/>
      <c r="M34" s="465"/>
      <c r="N34" s="464" t="s">
        <v>3258</v>
      </c>
      <c r="O34" s="470" t="s">
        <v>3265</v>
      </c>
      <c r="P34" s="464" t="s">
        <v>3260</v>
      </c>
      <c r="Q34" s="48">
        <v>2025.0</v>
      </c>
      <c r="R34" s="470" t="s">
        <v>3317</v>
      </c>
      <c r="S34" s="472"/>
      <c r="T34" s="473"/>
      <c r="U34" s="471"/>
      <c r="V34" s="471"/>
    </row>
    <row r="35" ht="15.0" customHeight="1">
      <c r="A35" s="48">
        <v>30.0</v>
      </c>
      <c r="B35" s="464" t="s">
        <v>3322</v>
      </c>
      <c r="C35" s="477"/>
      <c r="D35" s="470" t="s">
        <v>3323</v>
      </c>
      <c r="E35" s="464" t="s">
        <v>79</v>
      </c>
      <c r="F35" s="468" t="s">
        <v>3316</v>
      </c>
      <c r="G35" s="80" t="str">
        <f>VLOOKUP(F35,'01. TH'!$B:$E,3,0)</f>
        <v>#N/A</v>
      </c>
      <c r="H35" s="463" t="s">
        <v>44</v>
      </c>
      <c r="I35" s="474">
        <v>45842.0</v>
      </c>
      <c r="J35" s="471"/>
      <c r="K35" s="463" t="s">
        <v>1661</v>
      </c>
      <c r="L35" s="471"/>
      <c r="M35" s="465"/>
      <c r="N35" s="464" t="s">
        <v>3258</v>
      </c>
      <c r="O35" s="470" t="s">
        <v>3265</v>
      </c>
      <c r="P35" s="464" t="s">
        <v>3260</v>
      </c>
      <c r="Q35" s="48">
        <v>2025.0</v>
      </c>
      <c r="R35" s="470" t="s">
        <v>3317</v>
      </c>
      <c r="S35" s="472"/>
      <c r="T35" s="473"/>
      <c r="U35" s="471"/>
      <c r="V35" s="471"/>
    </row>
    <row r="36" ht="15.0" customHeight="1">
      <c r="A36" s="463">
        <v>31.0</v>
      </c>
      <c r="B36" s="464" t="s">
        <v>3324</v>
      </c>
      <c r="C36" s="477"/>
      <c r="D36" s="470" t="s">
        <v>3325</v>
      </c>
      <c r="E36" s="464" t="s">
        <v>79</v>
      </c>
      <c r="F36" s="468" t="s">
        <v>3316</v>
      </c>
      <c r="G36" s="80" t="str">
        <f>VLOOKUP(F36,'01. TH'!$B:$E,3,0)</f>
        <v>#N/A</v>
      </c>
      <c r="H36" s="463" t="s">
        <v>44</v>
      </c>
      <c r="I36" s="474">
        <v>45842.0</v>
      </c>
      <c r="J36" s="471"/>
      <c r="K36" s="463" t="s">
        <v>1661</v>
      </c>
      <c r="L36" s="471"/>
      <c r="M36" s="465"/>
      <c r="N36" s="464" t="s">
        <v>3258</v>
      </c>
      <c r="O36" s="470" t="s">
        <v>3265</v>
      </c>
      <c r="P36" s="464" t="s">
        <v>3260</v>
      </c>
      <c r="Q36" s="48">
        <v>2025.0</v>
      </c>
      <c r="R36" s="470" t="s">
        <v>3317</v>
      </c>
      <c r="S36" s="472"/>
      <c r="T36" s="473"/>
      <c r="U36" s="471"/>
      <c r="V36" s="471"/>
    </row>
    <row r="37" ht="15.0" customHeight="1">
      <c r="A37" s="48">
        <v>32.0</v>
      </c>
      <c r="B37" s="464" t="s">
        <v>3326</v>
      </c>
      <c r="C37" s="477"/>
      <c r="D37" s="470" t="s">
        <v>3327</v>
      </c>
      <c r="E37" s="464" t="s">
        <v>79</v>
      </c>
      <c r="F37" s="468" t="s">
        <v>3316</v>
      </c>
      <c r="G37" s="80" t="str">
        <f>VLOOKUP(F37,'01. TH'!$B:$E,3,0)</f>
        <v>#N/A</v>
      </c>
      <c r="H37" s="463" t="s">
        <v>44</v>
      </c>
      <c r="I37" s="474">
        <v>45842.0</v>
      </c>
      <c r="J37" s="471"/>
      <c r="K37" s="463" t="s">
        <v>1661</v>
      </c>
      <c r="L37" s="471"/>
      <c r="M37" s="465"/>
      <c r="N37" s="464" t="s">
        <v>3258</v>
      </c>
      <c r="O37" s="470" t="s">
        <v>3265</v>
      </c>
      <c r="P37" s="464" t="s">
        <v>3260</v>
      </c>
      <c r="Q37" s="48">
        <v>2025.0</v>
      </c>
      <c r="R37" s="470" t="s">
        <v>3317</v>
      </c>
      <c r="S37" s="472"/>
      <c r="T37" s="473"/>
      <c r="U37" s="471"/>
      <c r="V37" s="471"/>
    </row>
    <row r="38" ht="15.0" customHeight="1">
      <c r="A38" s="463">
        <v>33.0</v>
      </c>
      <c r="B38" s="464" t="s">
        <v>3328</v>
      </c>
      <c r="C38" s="477"/>
      <c r="D38" s="470" t="s">
        <v>3329</v>
      </c>
      <c r="E38" s="464" t="s">
        <v>79</v>
      </c>
      <c r="F38" s="468" t="s">
        <v>3316</v>
      </c>
      <c r="G38" s="80" t="str">
        <f>VLOOKUP(F38,'01. TH'!$B:$E,3,0)</f>
        <v>#N/A</v>
      </c>
      <c r="H38" s="463" t="s">
        <v>44</v>
      </c>
      <c r="I38" s="48" t="s">
        <v>3330</v>
      </c>
      <c r="J38" s="471"/>
      <c r="K38" s="463" t="s">
        <v>1661</v>
      </c>
      <c r="L38" s="471"/>
      <c r="M38" s="465"/>
      <c r="N38" s="464" t="s">
        <v>3258</v>
      </c>
      <c r="O38" s="470" t="s">
        <v>3265</v>
      </c>
      <c r="P38" s="464" t="s">
        <v>3260</v>
      </c>
      <c r="Q38" s="48">
        <v>2025.0</v>
      </c>
      <c r="R38" s="470" t="s">
        <v>3317</v>
      </c>
      <c r="S38" s="472"/>
      <c r="T38" s="473"/>
      <c r="U38" s="471"/>
      <c r="V38" s="471"/>
    </row>
    <row r="39" ht="15.0" customHeight="1">
      <c r="A39" s="48">
        <v>34.0</v>
      </c>
      <c r="B39" s="464" t="s">
        <v>3331</v>
      </c>
      <c r="C39" s="477"/>
      <c r="D39" s="470" t="s">
        <v>3332</v>
      </c>
      <c r="E39" s="464" t="s">
        <v>79</v>
      </c>
      <c r="F39" s="468" t="s">
        <v>3316</v>
      </c>
      <c r="G39" s="80" t="str">
        <f>VLOOKUP(F39,'01. TH'!$B:$E,3,0)</f>
        <v>#N/A</v>
      </c>
      <c r="H39" s="463" t="s">
        <v>44</v>
      </c>
      <c r="I39" s="48" t="s">
        <v>3330</v>
      </c>
      <c r="J39" s="471"/>
      <c r="K39" s="463" t="s">
        <v>1661</v>
      </c>
      <c r="L39" s="471"/>
      <c r="M39" s="465"/>
      <c r="N39" s="464" t="s">
        <v>3258</v>
      </c>
      <c r="O39" s="470" t="s">
        <v>3265</v>
      </c>
      <c r="P39" s="464" t="s">
        <v>3260</v>
      </c>
      <c r="Q39" s="48">
        <v>2025.0</v>
      </c>
      <c r="R39" s="470" t="s">
        <v>3317</v>
      </c>
      <c r="S39" s="472"/>
      <c r="T39" s="473"/>
      <c r="U39" s="471"/>
      <c r="V39" s="471"/>
    </row>
    <row r="40" ht="15.0" customHeight="1">
      <c r="A40" s="463">
        <v>35.0</v>
      </c>
      <c r="B40" s="464" t="s">
        <v>3333</v>
      </c>
      <c r="C40" s="477"/>
      <c r="D40" s="470" t="s">
        <v>3334</v>
      </c>
      <c r="E40" s="464" t="s">
        <v>79</v>
      </c>
      <c r="F40" s="468" t="s">
        <v>3316</v>
      </c>
      <c r="G40" s="80" t="str">
        <f>VLOOKUP(F40,'01. TH'!$B:$E,3,0)</f>
        <v>#N/A</v>
      </c>
      <c r="H40" s="463" t="s">
        <v>44</v>
      </c>
      <c r="I40" s="48" t="s">
        <v>3330</v>
      </c>
      <c r="J40" s="471"/>
      <c r="K40" s="463" t="s">
        <v>1661</v>
      </c>
      <c r="L40" s="471"/>
      <c r="M40" s="465"/>
      <c r="N40" s="464" t="s">
        <v>3258</v>
      </c>
      <c r="O40" s="470" t="s">
        <v>3265</v>
      </c>
      <c r="P40" s="464" t="s">
        <v>3260</v>
      </c>
      <c r="Q40" s="48">
        <v>2025.0</v>
      </c>
      <c r="R40" s="470" t="s">
        <v>3317</v>
      </c>
      <c r="S40" s="472"/>
      <c r="T40" s="473"/>
      <c r="U40" s="471"/>
      <c r="V40" s="471"/>
    </row>
    <row r="41" ht="15.0" customHeight="1">
      <c r="A41" s="48">
        <f t="shared" ref="A41:A61" si="1">A40+1</f>
        <v>36</v>
      </c>
      <c r="B41" s="464" t="s">
        <v>3335</v>
      </c>
      <c r="C41" s="477"/>
      <c r="D41" s="470" t="s">
        <v>3336</v>
      </c>
      <c r="E41" s="464" t="s">
        <v>79</v>
      </c>
      <c r="F41" s="468" t="s">
        <v>3316</v>
      </c>
      <c r="G41" s="80" t="str">
        <f>VLOOKUP(F41,'01. TH'!$B:$E,3,0)</f>
        <v>#N/A</v>
      </c>
      <c r="H41" s="463" t="s">
        <v>44</v>
      </c>
      <c r="I41" s="48" t="s">
        <v>3330</v>
      </c>
      <c r="J41" s="471"/>
      <c r="K41" s="463" t="s">
        <v>1661</v>
      </c>
      <c r="L41" s="471"/>
      <c r="M41" s="465"/>
      <c r="N41" s="464" t="s">
        <v>3258</v>
      </c>
      <c r="O41" s="470" t="s">
        <v>3265</v>
      </c>
      <c r="P41" s="464" t="s">
        <v>3260</v>
      </c>
      <c r="Q41" s="48">
        <v>2025.0</v>
      </c>
      <c r="R41" s="470" t="s">
        <v>3317</v>
      </c>
      <c r="S41" s="472"/>
      <c r="T41" s="473"/>
      <c r="U41" s="471"/>
      <c r="V41" s="471"/>
    </row>
    <row r="42" ht="15.0" customHeight="1">
      <c r="A42" s="48">
        <f t="shared" si="1"/>
        <v>37</v>
      </c>
      <c r="B42" s="464" t="s">
        <v>3337</v>
      </c>
      <c r="C42" s="477"/>
      <c r="D42" s="470" t="s">
        <v>3338</v>
      </c>
      <c r="E42" s="464" t="s">
        <v>79</v>
      </c>
      <c r="F42" s="470" t="s">
        <v>3339</v>
      </c>
      <c r="G42" s="80" t="str">
        <f>VLOOKUP(F42,'01. TH'!$B:$E,3,0)</f>
        <v>#N/A</v>
      </c>
      <c r="H42" s="463" t="s">
        <v>44</v>
      </c>
      <c r="I42" s="48" t="s">
        <v>3340</v>
      </c>
      <c r="J42" s="471"/>
      <c r="K42" s="463" t="s">
        <v>1661</v>
      </c>
      <c r="L42" s="471"/>
      <c r="M42" s="465"/>
      <c r="N42" s="464" t="s">
        <v>3258</v>
      </c>
      <c r="O42" s="470" t="s">
        <v>3341</v>
      </c>
      <c r="P42" s="464" t="s">
        <v>3260</v>
      </c>
      <c r="Q42" s="48">
        <v>2025.0</v>
      </c>
      <c r="R42" s="470" t="s">
        <v>3317</v>
      </c>
      <c r="S42" s="472"/>
      <c r="T42" s="473"/>
      <c r="U42" s="471"/>
      <c r="V42" s="471"/>
    </row>
    <row r="43" ht="15.0" customHeight="1">
      <c r="A43" s="48">
        <f t="shared" si="1"/>
        <v>38</v>
      </c>
      <c r="B43" s="464" t="s">
        <v>3342</v>
      </c>
      <c r="C43" s="477"/>
      <c r="D43" s="470" t="s">
        <v>3343</v>
      </c>
      <c r="E43" s="464" t="s">
        <v>79</v>
      </c>
      <c r="F43" s="470" t="s">
        <v>3339</v>
      </c>
      <c r="G43" s="80" t="str">
        <f>VLOOKUP(F43,'01. TH'!$B:$E,3,0)</f>
        <v>#N/A</v>
      </c>
      <c r="H43" s="463" t="s">
        <v>44</v>
      </c>
      <c r="I43" s="48" t="s">
        <v>3340</v>
      </c>
      <c r="J43" s="471"/>
      <c r="K43" s="463" t="s">
        <v>1661</v>
      </c>
      <c r="L43" s="471"/>
      <c r="M43" s="465"/>
      <c r="N43" s="464" t="s">
        <v>3258</v>
      </c>
      <c r="O43" s="470" t="s">
        <v>3341</v>
      </c>
      <c r="P43" s="464" t="s">
        <v>3260</v>
      </c>
      <c r="Q43" s="48">
        <v>2025.0</v>
      </c>
      <c r="R43" s="470" t="s">
        <v>3317</v>
      </c>
      <c r="S43" s="472"/>
      <c r="T43" s="473"/>
      <c r="U43" s="471"/>
      <c r="V43" s="471"/>
    </row>
    <row r="44" ht="15.0" customHeight="1">
      <c r="A44" s="48">
        <f t="shared" si="1"/>
        <v>39</v>
      </c>
      <c r="B44" s="464" t="s">
        <v>3344</v>
      </c>
      <c r="C44" s="477"/>
      <c r="D44" s="470" t="s">
        <v>3345</v>
      </c>
      <c r="E44" s="464" t="s">
        <v>79</v>
      </c>
      <c r="F44" s="468" t="s">
        <v>3346</v>
      </c>
      <c r="G44" s="80" t="str">
        <f>VLOOKUP(F44,'01. TH'!$B:$E,3,0)</f>
        <v>#N/A</v>
      </c>
      <c r="H44" s="463" t="s">
        <v>44</v>
      </c>
      <c r="I44" s="48" t="s">
        <v>3347</v>
      </c>
      <c r="J44" s="471"/>
      <c r="K44" s="463" t="s">
        <v>1661</v>
      </c>
      <c r="L44" s="471"/>
      <c r="M44" s="465"/>
      <c r="N44" s="464" t="s">
        <v>3258</v>
      </c>
      <c r="O44" s="470" t="s">
        <v>3341</v>
      </c>
      <c r="P44" s="464" t="s">
        <v>3260</v>
      </c>
      <c r="Q44" s="48">
        <v>2025.0</v>
      </c>
      <c r="R44" s="470" t="s">
        <v>3317</v>
      </c>
      <c r="S44" s="472"/>
      <c r="T44" s="473"/>
      <c r="U44" s="471"/>
      <c r="V44" s="471"/>
    </row>
    <row r="45" ht="15.0" customHeight="1">
      <c r="A45" s="48">
        <f t="shared" si="1"/>
        <v>40</v>
      </c>
      <c r="B45" s="464" t="s">
        <v>3348</v>
      </c>
      <c r="C45" s="477"/>
      <c r="D45" s="470" t="s">
        <v>3349</v>
      </c>
      <c r="E45" s="464" t="s">
        <v>79</v>
      </c>
      <c r="F45" s="468" t="s">
        <v>3346</v>
      </c>
      <c r="G45" s="80" t="str">
        <f>VLOOKUP(F45,'01. TH'!$B:$E,3,0)</f>
        <v>#N/A</v>
      </c>
      <c r="H45" s="463" t="s">
        <v>44</v>
      </c>
      <c r="I45" s="48" t="s">
        <v>3347</v>
      </c>
      <c r="J45" s="471"/>
      <c r="K45" s="463" t="s">
        <v>1661</v>
      </c>
      <c r="L45" s="471"/>
      <c r="M45" s="465"/>
      <c r="N45" s="464" t="s">
        <v>3258</v>
      </c>
      <c r="O45" s="470" t="s">
        <v>3341</v>
      </c>
      <c r="P45" s="464" t="s">
        <v>3260</v>
      </c>
      <c r="Q45" s="48">
        <v>2025.0</v>
      </c>
      <c r="R45" s="470" t="s">
        <v>3317</v>
      </c>
      <c r="S45" s="472"/>
      <c r="T45" s="473"/>
      <c r="U45" s="471"/>
      <c r="V45" s="471"/>
    </row>
    <row r="46" ht="15.0" customHeight="1">
      <c r="A46" s="48">
        <f t="shared" si="1"/>
        <v>41</v>
      </c>
      <c r="B46" s="464" t="s">
        <v>3350</v>
      </c>
      <c r="C46" s="477"/>
      <c r="D46" s="470" t="s">
        <v>3351</v>
      </c>
      <c r="E46" s="464" t="s">
        <v>79</v>
      </c>
      <c r="F46" s="468" t="s">
        <v>3346</v>
      </c>
      <c r="G46" s="80"/>
      <c r="H46" s="463" t="s">
        <v>44</v>
      </c>
      <c r="I46" s="474">
        <v>46056.0</v>
      </c>
      <c r="J46" s="471"/>
      <c r="K46" s="463" t="s">
        <v>1661</v>
      </c>
      <c r="L46" s="471"/>
      <c r="M46" s="465"/>
      <c r="N46" s="464" t="s">
        <v>3258</v>
      </c>
      <c r="O46" s="470" t="s">
        <v>3265</v>
      </c>
      <c r="P46" s="464" t="s">
        <v>3260</v>
      </c>
      <c r="Q46" s="48">
        <v>2026.0</v>
      </c>
      <c r="R46" s="470" t="s">
        <v>3352</v>
      </c>
      <c r="S46" s="470" t="s">
        <v>3353</v>
      </c>
      <c r="T46" s="473"/>
      <c r="U46" s="471"/>
      <c r="V46" s="471"/>
    </row>
    <row r="47" ht="15.0" customHeight="1">
      <c r="A47" s="48">
        <f t="shared" si="1"/>
        <v>42</v>
      </c>
      <c r="B47" s="464" t="s">
        <v>3354</v>
      </c>
      <c r="C47" s="477"/>
      <c r="D47" s="470" t="s">
        <v>3355</v>
      </c>
      <c r="E47" s="464" t="s">
        <v>79</v>
      </c>
      <c r="F47" s="468" t="s">
        <v>3346</v>
      </c>
      <c r="G47" s="80"/>
      <c r="H47" s="463" t="s">
        <v>44</v>
      </c>
      <c r="I47" s="474">
        <v>46056.0</v>
      </c>
      <c r="J47" s="471"/>
      <c r="K47" s="463" t="s">
        <v>1661</v>
      </c>
      <c r="L47" s="471"/>
      <c r="M47" s="465"/>
      <c r="N47" s="464" t="s">
        <v>3258</v>
      </c>
      <c r="O47" s="470" t="s">
        <v>3265</v>
      </c>
      <c r="P47" s="464" t="s">
        <v>3260</v>
      </c>
      <c r="Q47" s="48">
        <v>2026.0</v>
      </c>
      <c r="R47" s="470" t="s">
        <v>3352</v>
      </c>
      <c r="S47" s="470" t="s">
        <v>3353</v>
      </c>
      <c r="T47" s="473"/>
      <c r="U47" s="471"/>
      <c r="V47" s="471"/>
    </row>
    <row r="48" ht="15.0" customHeight="1">
      <c r="A48" s="48">
        <f t="shared" si="1"/>
        <v>43</v>
      </c>
      <c r="B48" s="464" t="s">
        <v>3356</v>
      </c>
      <c r="C48" s="477"/>
      <c r="D48" s="470" t="s">
        <v>3357</v>
      </c>
      <c r="E48" s="464" t="s">
        <v>79</v>
      </c>
      <c r="F48" s="468" t="s">
        <v>3346</v>
      </c>
      <c r="G48" s="80"/>
      <c r="H48" s="463" t="s">
        <v>44</v>
      </c>
      <c r="I48" s="474">
        <v>46056.0</v>
      </c>
      <c r="J48" s="471"/>
      <c r="K48" s="463" t="s">
        <v>1661</v>
      </c>
      <c r="L48" s="471"/>
      <c r="M48" s="465"/>
      <c r="N48" s="464" t="s">
        <v>3258</v>
      </c>
      <c r="O48" s="470" t="s">
        <v>3265</v>
      </c>
      <c r="P48" s="464" t="s">
        <v>3260</v>
      </c>
      <c r="Q48" s="48">
        <v>2026.0</v>
      </c>
      <c r="R48" s="470" t="s">
        <v>3352</v>
      </c>
      <c r="S48" s="470" t="s">
        <v>3353</v>
      </c>
      <c r="T48" s="473"/>
      <c r="U48" s="471"/>
      <c r="V48" s="471"/>
    </row>
    <row r="49" ht="15.0" customHeight="1">
      <c r="A49" s="48">
        <f t="shared" si="1"/>
        <v>44</v>
      </c>
      <c r="B49" s="464" t="s">
        <v>3358</v>
      </c>
      <c r="C49" s="477"/>
      <c r="D49" s="470" t="s">
        <v>3359</v>
      </c>
      <c r="E49" s="464" t="s">
        <v>79</v>
      </c>
      <c r="F49" s="468" t="s">
        <v>3346</v>
      </c>
      <c r="G49" s="80"/>
      <c r="H49" s="463" t="s">
        <v>44</v>
      </c>
      <c r="I49" s="474">
        <v>46056.0</v>
      </c>
      <c r="J49" s="471"/>
      <c r="K49" s="463" t="s">
        <v>1661</v>
      </c>
      <c r="L49" s="471"/>
      <c r="M49" s="465"/>
      <c r="N49" s="464" t="s">
        <v>3258</v>
      </c>
      <c r="O49" s="470" t="s">
        <v>3265</v>
      </c>
      <c r="P49" s="464" t="s">
        <v>3260</v>
      </c>
      <c r="Q49" s="48">
        <v>2026.0</v>
      </c>
      <c r="R49" s="470" t="s">
        <v>3352</v>
      </c>
      <c r="S49" s="470" t="s">
        <v>3360</v>
      </c>
      <c r="T49" s="473"/>
      <c r="U49" s="471"/>
      <c r="V49" s="471"/>
    </row>
    <row r="50" ht="15.0" customHeight="1">
      <c r="A50" s="48">
        <f t="shared" si="1"/>
        <v>45</v>
      </c>
      <c r="B50" s="464" t="s">
        <v>3361</v>
      </c>
      <c r="C50" s="477"/>
      <c r="D50" s="470" t="s">
        <v>3362</v>
      </c>
      <c r="E50" s="464" t="s">
        <v>79</v>
      </c>
      <c r="F50" s="468" t="s">
        <v>3363</v>
      </c>
      <c r="G50" s="80"/>
      <c r="H50" s="463" t="s">
        <v>44</v>
      </c>
      <c r="I50" s="474">
        <v>46056.0</v>
      </c>
      <c r="J50" s="471"/>
      <c r="K50" s="463" t="s">
        <v>1661</v>
      </c>
      <c r="L50" s="471"/>
      <c r="M50" s="465"/>
      <c r="N50" s="464" t="s">
        <v>3258</v>
      </c>
      <c r="O50" s="470" t="s">
        <v>3364</v>
      </c>
      <c r="P50" s="464" t="s">
        <v>3260</v>
      </c>
      <c r="Q50" s="48">
        <v>2026.0</v>
      </c>
      <c r="R50" s="470" t="s">
        <v>3365</v>
      </c>
      <c r="S50" s="470" t="s">
        <v>3366</v>
      </c>
      <c r="T50" s="473"/>
      <c r="U50" s="471"/>
      <c r="V50" s="471"/>
    </row>
    <row r="51" ht="15.0" customHeight="1">
      <c r="A51" s="48">
        <f t="shared" si="1"/>
        <v>46</v>
      </c>
      <c r="B51" s="464" t="s">
        <v>3367</v>
      </c>
      <c r="C51" s="477"/>
      <c r="D51" s="470" t="s">
        <v>3368</v>
      </c>
      <c r="E51" s="464" t="s">
        <v>79</v>
      </c>
      <c r="F51" s="468" t="s">
        <v>3363</v>
      </c>
      <c r="G51" s="80"/>
      <c r="H51" s="463" t="s">
        <v>44</v>
      </c>
      <c r="I51" s="474">
        <v>46056.0</v>
      </c>
      <c r="J51" s="471"/>
      <c r="K51" s="463" t="s">
        <v>1661</v>
      </c>
      <c r="L51" s="471"/>
      <c r="M51" s="465"/>
      <c r="N51" s="464" t="s">
        <v>3258</v>
      </c>
      <c r="O51" s="470" t="s">
        <v>3364</v>
      </c>
      <c r="P51" s="464" t="s">
        <v>3260</v>
      </c>
      <c r="Q51" s="48">
        <v>2026.0</v>
      </c>
      <c r="R51" s="470" t="s">
        <v>3365</v>
      </c>
      <c r="S51" s="470" t="s">
        <v>3366</v>
      </c>
      <c r="T51" s="473"/>
      <c r="U51" s="471"/>
      <c r="V51" s="471"/>
    </row>
    <row r="52" ht="15.0" customHeight="1">
      <c r="A52" s="48">
        <f t="shared" si="1"/>
        <v>47</v>
      </c>
      <c r="B52" s="464"/>
      <c r="C52" s="477"/>
      <c r="D52" s="470"/>
      <c r="E52" s="468"/>
      <c r="F52" s="468"/>
      <c r="G52" s="80"/>
      <c r="H52" s="463"/>
      <c r="I52" s="474"/>
      <c r="J52" s="471"/>
      <c r="K52" s="463"/>
      <c r="L52" s="471"/>
      <c r="M52" s="465"/>
      <c r="N52" s="464"/>
      <c r="O52" s="472"/>
      <c r="P52" s="471"/>
      <c r="Q52" s="48"/>
      <c r="R52" s="470"/>
      <c r="S52" s="472"/>
      <c r="T52" s="473"/>
      <c r="U52" s="471"/>
      <c r="V52" s="471"/>
    </row>
    <row r="53" ht="15.0" hidden="1" customHeight="1">
      <c r="A53" s="48">
        <f t="shared" si="1"/>
        <v>48</v>
      </c>
      <c r="B53" s="464"/>
      <c r="C53" s="477"/>
      <c r="D53" s="470"/>
      <c r="E53" s="468"/>
      <c r="F53" s="468"/>
      <c r="G53" s="80"/>
      <c r="H53" s="463"/>
      <c r="I53" s="474"/>
      <c r="J53" s="471"/>
      <c r="K53" s="463"/>
      <c r="L53" s="471"/>
      <c r="M53" s="465"/>
      <c r="N53" s="464"/>
      <c r="O53" s="472"/>
      <c r="P53" s="471"/>
      <c r="Q53" s="48"/>
      <c r="R53" s="470"/>
      <c r="S53" s="472"/>
      <c r="T53" s="473"/>
      <c r="U53" s="471"/>
      <c r="V53" s="471"/>
    </row>
    <row r="54" ht="15.0" hidden="1" customHeight="1">
      <c r="A54" s="48">
        <f t="shared" si="1"/>
        <v>49</v>
      </c>
      <c r="B54" s="464"/>
      <c r="C54" s="477"/>
      <c r="D54" s="470"/>
      <c r="E54" s="468"/>
      <c r="F54" s="468"/>
      <c r="G54" s="80"/>
      <c r="H54" s="463"/>
      <c r="I54" s="474"/>
      <c r="J54" s="471"/>
      <c r="K54" s="463"/>
      <c r="L54" s="471"/>
      <c r="M54" s="465"/>
      <c r="N54" s="464"/>
      <c r="O54" s="472"/>
      <c r="P54" s="471"/>
      <c r="Q54" s="48"/>
      <c r="R54" s="470"/>
      <c r="S54" s="472"/>
      <c r="T54" s="473"/>
      <c r="U54" s="471"/>
      <c r="V54" s="471"/>
    </row>
    <row r="55" ht="15.0" hidden="1" customHeight="1">
      <c r="A55" s="48">
        <f t="shared" si="1"/>
        <v>50</v>
      </c>
      <c r="B55" s="464"/>
      <c r="C55" s="477"/>
      <c r="D55" s="470"/>
      <c r="E55" s="468"/>
      <c r="F55" s="468"/>
      <c r="G55" s="80" t="str">
        <f>VLOOKUP(F55,'01. TH'!$B:$E,3,0)</f>
        <v>#N/A</v>
      </c>
      <c r="H55" s="463"/>
      <c r="I55" s="474"/>
      <c r="J55" s="471"/>
      <c r="K55" s="463"/>
      <c r="L55" s="471"/>
      <c r="M55" s="465"/>
      <c r="N55" s="464"/>
      <c r="O55" s="472"/>
      <c r="P55" s="471"/>
      <c r="Q55" s="48"/>
      <c r="R55" s="470"/>
      <c r="S55" s="472"/>
      <c r="T55" s="473"/>
      <c r="U55" s="471"/>
      <c r="V55" s="471"/>
    </row>
    <row r="56" ht="15.0" hidden="1" customHeight="1">
      <c r="A56" s="48">
        <f t="shared" si="1"/>
        <v>51</v>
      </c>
      <c r="B56" s="464"/>
      <c r="C56" s="477"/>
      <c r="D56" s="470"/>
      <c r="E56" s="468"/>
      <c r="F56" s="468"/>
      <c r="G56" s="80" t="str">
        <f>VLOOKUP(F56,'01. TH'!$B:$E,3,0)</f>
        <v>#N/A</v>
      </c>
      <c r="H56" s="463"/>
      <c r="I56" s="474"/>
      <c r="J56" s="471"/>
      <c r="K56" s="463"/>
      <c r="L56" s="471"/>
      <c r="M56" s="465"/>
      <c r="N56" s="464"/>
      <c r="O56" s="472"/>
      <c r="P56" s="471"/>
      <c r="Q56" s="48"/>
      <c r="R56" s="470"/>
      <c r="S56" s="472"/>
      <c r="T56" s="473"/>
      <c r="U56" s="471"/>
      <c r="V56" s="471"/>
    </row>
    <row r="57" ht="15.0" hidden="1" customHeight="1">
      <c r="A57" s="48">
        <f t="shared" si="1"/>
        <v>52</v>
      </c>
      <c r="B57" s="464"/>
      <c r="C57" s="477"/>
      <c r="D57" s="470"/>
      <c r="E57" s="468"/>
      <c r="F57" s="468"/>
      <c r="G57" s="80" t="str">
        <f>VLOOKUP(F57,'01. TH'!$B:$E,3,0)</f>
        <v>#N/A</v>
      </c>
      <c r="H57" s="463"/>
      <c r="I57" s="474"/>
      <c r="J57" s="471"/>
      <c r="K57" s="463"/>
      <c r="L57" s="471"/>
      <c r="M57" s="465"/>
      <c r="N57" s="464"/>
      <c r="O57" s="472"/>
      <c r="P57" s="471"/>
      <c r="Q57" s="48"/>
      <c r="R57" s="470"/>
      <c r="S57" s="472"/>
      <c r="T57" s="473"/>
      <c r="U57" s="471"/>
      <c r="V57" s="471"/>
    </row>
    <row r="58" ht="15.0" hidden="1" customHeight="1">
      <c r="A58" s="48">
        <f t="shared" si="1"/>
        <v>53</v>
      </c>
      <c r="B58" s="464"/>
      <c r="C58" s="477"/>
      <c r="D58" s="470"/>
      <c r="E58" s="468"/>
      <c r="F58" s="468"/>
      <c r="G58" s="80" t="str">
        <f>VLOOKUP(F58,'01. TH'!$B:$E,3,0)</f>
        <v>#N/A</v>
      </c>
      <c r="H58" s="463"/>
      <c r="I58" s="474"/>
      <c r="J58" s="471"/>
      <c r="K58" s="463"/>
      <c r="L58" s="471"/>
      <c r="M58" s="465"/>
      <c r="N58" s="464"/>
      <c r="O58" s="472"/>
      <c r="P58" s="471"/>
      <c r="Q58" s="48"/>
      <c r="R58" s="470"/>
      <c r="S58" s="472"/>
      <c r="T58" s="473"/>
      <c r="U58" s="471"/>
      <c r="V58" s="471"/>
    </row>
    <row r="59" ht="15.0" hidden="1" customHeight="1">
      <c r="A59" s="48">
        <f t="shared" si="1"/>
        <v>54</v>
      </c>
      <c r="B59" s="464"/>
      <c r="C59" s="477"/>
      <c r="D59" s="470"/>
      <c r="E59" s="468"/>
      <c r="F59" s="468"/>
      <c r="G59" s="80" t="str">
        <f>VLOOKUP(F59,'01. TH'!$B:$E,3,0)</f>
        <v>#N/A</v>
      </c>
      <c r="H59" s="463"/>
      <c r="I59" s="474"/>
      <c r="J59" s="471"/>
      <c r="K59" s="463"/>
      <c r="L59" s="471"/>
      <c r="M59" s="465"/>
      <c r="N59" s="464"/>
      <c r="O59" s="472"/>
      <c r="P59" s="471"/>
      <c r="Q59" s="48"/>
      <c r="R59" s="470"/>
      <c r="S59" s="472"/>
      <c r="T59" s="473"/>
      <c r="U59" s="471"/>
      <c r="V59" s="471"/>
    </row>
    <row r="60" ht="15.0" hidden="1" customHeight="1">
      <c r="A60" s="48">
        <f t="shared" si="1"/>
        <v>55</v>
      </c>
      <c r="B60" s="464"/>
      <c r="C60" s="477"/>
      <c r="D60" s="470"/>
      <c r="E60" s="468"/>
      <c r="F60" s="468"/>
      <c r="G60" s="80" t="str">
        <f>VLOOKUP(F60,'01. TH'!$B:$E,3,0)</f>
        <v>#N/A</v>
      </c>
      <c r="H60" s="463"/>
      <c r="I60" s="474"/>
      <c r="J60" s="471"/>
      <c r="K60" s="463"/>
      <c r="L60" s="471"/>
      <c r="M60" s="465"/>
      <c r="N60" s="464"/>
      <c r="O60" s="472"/>
      <c r="P60" s="471"/>
      <c r="Q60" s="48"/>
      <c r="R60" s="470"/>
      <c r="S60" s="472"/>
      <c r="T60" s="473"/>
      <c r="U60" s="471"/>
      <c r="V60" s="471"/>
    </row>
    <row r="61" ht="15.0" hidden="1" customHeight="1">
      <c r="A61" s="48">
        <f t="shared" si="1"/>
        <v>56</v>
      </c>
      <c r="B61" s="464"/>
      <c r="C61" s="477"/>
      <c r="D61" s="470"/>
      <c r="E61" s="468"/>
      <c r="F61" s="468"/>
      <c r="G61" s="80" t="str">
        <f>VLOOKUP(F61,'01. TH'!$B:$E,3,0)</f>
        <v>#N/A</v>
      </c>
      <c r="H61" s="463"/>
      <c r="I61" s="474"/>
      <c r="J61" s="471"/>
      <c r="K61" s="463"/>
      <c r="L61" s="471"/>
      <c r="M61" s="465"/>
      <c r="N61" s="464"/>
      <c r="O61" s="472"/>
      <c r="P61" s="471"/>
      <c r="Q61" s="48"/>
      <c r="R61" s="470"/>
      <c r="S61" s="472"/>
      <c r="T61" s="473"/>
      <c r="U61" s="471"/>
      <c r="V61" s="471"/>
    </row>
    <row r="62" ht="15.0" hidden="1" customHeight="1">
      <c r="A62" s="48"/>
      <c r="B62" s="464"/>
      <c r="C62" s="477"/>
      <c r="D62" s="470"/>
      <c r="E62" s="468"/>
      <c r="F62" s="468"/>
      <c r="G62" s="80" t="str">
        <f>VLOOKUP(F62,'01. TH'!$B:$E,3,0)</f>
        <v>#N/A</v>
      </c>
      <c r="H62" s="463"/>
      <c r="I62" s="474"/>
      <c r="J62" s="471"/>
      <c r="K62" s="463"/>
      <c r="L62" s="471"/>
      <c r="M62" s="465"/>
      <c r="N62" s="464"/>
      <c r="O62" s="472"/>
      <c r="P62" s="471"/>
      <c r="Q62" s="48"/>
      <c r="R62" s="470"/>
      <c r="S62" s="472"/>
      <c r="T62" s="473"/>
      <c r="U62" s="471"/>
      <c r="V62" s="471"/>
    </row>
    <row r="63" ht="15.0" hidden="1" customHeight="1">
      <c r="A63" s="48"/>
      <c r="B63" s="464"/>
      <c r="C63" s="477" t="s">
        <v>759</v>
      </c>
      <c r="D63" s="470"/>
      <c r="E63" s="468"/>
      <c r="F63" s="468"/>
      <c r="G63" s="80" t="str">
        <f>VLOOKUP(F63,'01. TH'!$B:$E,3,0)</f>
        <v>#N/A</v>
      </c>
      <c r="H63" s="463"/>
      <c r="I63" s="474"/>
      <c r="J63" s="471"/>
      <c r="K63" s="463"/>
      <c r="L63" s="471"/>
      <c r="M63" s="465"/>
      <c r="N63" s="464"/>
      <c r="O63" s="472"/>
      <c r="P63" s="471"/>
      <c r="Q63" s="48"/>
      <c r="R63" s="470"/>
      <c r="S63" s="472"/>
      <c r="T63" s="473"/>
      <c r="U63" s="471"/>
      <c r="V63" s="471"/>
    </row>
    <row r="64" ht="15.0" customHeight="1">
      <c r="A64" s="455" t="s">
        <v>375</v>
      </c>
      <c r="B64" s="456" t="s">
        <v>376</v>
      </c>
      <c r="C64" s="457">
        <f>COUNTA($B$65:$B$107)</f>
        <v>35</v>
      </c>
      <c r="D64" s="458"/>
      <c r="E64" s="458"/>
      <c r="F64" s="458"/>
      <c r="G64" s="459"/>
      <c r="H64" s="459"/>
      <c r="I64" s="457"/>
      <c r="J64" s="460"/>
      <c r="K64" s="457"/>
      <c r="L64" s="458"/>
      <c r="M64" s="461"/>
      <c r="N64" s="458"/>
      <c r="O64" s="461"/>
      <c r="P64" s="458"/>
      <c r="Q64" s="459"/>
      <c r="R64" s="461"/>
      <c r="S64" s="461"/>
      <c r="T64" s="462"/>
      <c r="U64" s="458"/>
      <c r="V64" s="458"/>
    </row>
    <row r="65" ht="15.0" customHeight="1">
      <c r="A65" s="48">
        <v>1.0</v>
      </c>
      <c r="B65" s="468" t="s">
        <v>3369</v>
      </c>
      <c r="C65" s="128"/>
      <c r="D65" s="470" t="s">
        <v>3370</v>
      </c>
      <c r="E65" s="464" t="s">
        <v>79</v>
      </c>
      <c r="F65" s="464" t="s">
        <v>3239</v>
      </c>
      <c r="G65" s="80" t="str">
        <f>VLOOKUP(F65,'01. TH'!$B:$E,3,0)</f>
        <v/>
      </c>
      <c r="H65" s="88" t="s">
        <v>55</v>
      </c>
      <c r="I65" s="88"/>
      <c r="J65" s="471"/>
      <c r="K65" s="463" t="s">
        <v>1661</v>
      </c>
      <c r="L65" s="471"/>
      <c r="M65" s="472" t="s">
        <v>3371</v>
      </c>
      <c r="N65" s="468" t="s">
        <v>260</v>
      </c>
      <c r="O65" s="472"/>
      <c r="P65" s="468" t="s">
        <v>260</v>
      </c>
      <c r="Q65" s="88"/>
      <c r="R65" s="472"/>
      <c r="S65" s="472"/>
      <c r="T65" s="473"/>
      <c r="U65" s="471"/>
      <c r="V65" s="471"/>
    </row>
    <row r="66" ht="15.0" customHeight="1">
      <c r="A66" s="463">
        <f t="shared" ref="A66:A99" si="2">A65+1</f>
        <v>2</v>
      </c>
      <c r="B66" s="464" t="s">
        <v>3372</v>
      </c>
      <c r="C66" s="128"/>
      <c r="D66" s="465" t="s">
        <v>3373</v>
      </c>
      <c r="E66" s="464" t="s">
        <v>3238</v>
      </c>
      <c r="F66" s="464" t="s">
        <v>3239</v>
      </c>
      <c r="G66" s="80" t="str">
        <f>VLOOKUP(F66,'01. TH'!$B:$E,3,0)</f>
        <v/>
      </c>
      <c r="H66" s="88" t="s">
        <v>55</v>
      </c>
      <c r="I66" s="463" t="s">
        <v>3374</v>
      </c>
      <c r="J66" s="467"/>
      <c r="K66" s="463" t="s">
        <v>1661</v>
      </c>
      <c r="L66" s="464" t="s">
        <v>336</v>
      </c>
      <c r="M66" s="476"/>
      <c r="N66" s="468" t="s">
        <v>260</v>
      </c>
      <c r="O66" s="465" t="s">
        <v>3375</v>
      </c>
      <c r="P66" s="468" t="s">
        <v>260</v>
      </c>
      <c r="Q66" s="463">
        <v>2024.0</v>
      </c>
      <c r="R66" s="476"/>
      <c r="S66" s="465" t="s">
        <v>3376</v>
      </c>
      <c r="T66" s="469"/>
      <c r="U66" s="467"/>
      <c r="V66" s="467"/>
    </row>
    <row r="67" ht="15.0" customHeight="1">
      <c r="A67" s="463">
        <f t="shared" si="2"/>
        <v>3</v>
      </c>
      <c r="B67" s="464" t="s">
        <v>3377</v>
      </c>
      <c r="C67" s="128"/>
      <c r="D67" s="465" t="s">
        <v>3378</v>
      </c>
      <c r="E67" s="464" t="s">
        <v>3238</v>
      </c>
      <c r="F67" s="468" t="s">
        <v>3239</v>
      </c>
      <c r="G67" s="80" t="str">
        <f>VLOOKUP(F67,'01. TH'!$B:$E,3,0)</f>
        <v/>
      </c>
      <c r="H67" s="88" t="s">
        <v>55</v>
      </c>
      <c r="I67" s="463" t="s">
        <v>3379</v>
      </c>
      <c r="J67" s="467"/>
      <c r="K67" s="463" t="s">
        <v>1661</v>
      </c>
      <c r="L67" s="464" t="s">
        <v>336</v>
      </c>
      <c r="M67" s="476"/>
      <c r="N67" s="464" t="s">
        <v>3380</v>
      </c>
      <c r="O67" s="465" t="s">
        <v>3381</v>
      </c>
      <c r="P67" s="464" t="s">
        <v>222</v>
      </c>
      <c r="Q67" s="463">
        <v>2016.0</v>
      </c>
      <c r="R67" s="476"/>
      <c r="S67" s="480">
        <v>1892.0</v>
      </c>
      <c r="T67" s="469"/>
      <c r="U67" s="467"/>
      <c r="V67" s="467"/>
    </row>
    <row r="68" ht="15.0" customHeight="1">
      <c r="A68" s="463">
        <f t="shared" si="2"/>
        <v>4</v>
      </c>
      <c r="B68" s="464" t="s">
        <v>3382</v>
      </c>
      <c r="C68" s="128"/>
      <c r="D68" s="465" t="s">
        <v>3383</v>
      </c>
      <c r="E68" s="464" t="s">
        <v>79</v>
      </c>
      <c r="F68" s="468" t="s">
        <v>3252</v>
      </c>
      <c r="G68" s="80" t="str">
        <f>VLOOKUP(F68,'01. TH'!$B:$E,3,0)</f>
        <v/>
      </c>
      <c r="H68" s="475" t="s">
        <v>55</v>
      </c>
      <c r="I68" s="475"/>
      <c r="J68" s="467"/>
      <c r="K68" s="463" t="s">
        <v>1661</v>
      </c>
      <c r="L68" s="467"/>
      <c r="M68" s="476" t="s">
        <v>3384</v>
      </c>
      <c r="N68" s="468" t="s">
        <v>260</v>
      </c>
      <c r="O68" s="465" t="s">
        <v>3253</v>
      </c>
      <c r="P68" s="468" t="s">
        <v>260</v>
      </c>
      <c r="Q68" s="475"/>
      <c r="R68" s="476"/>
      <c r="S68" s="476"/>
      <c r="T68" s="469"/>
      <c r="U68" s="467"/>
      <c r="V68" s="467"/>
    </row>
    <row r="69" ht="15.0" customHeight="1">
      <c r="A69" s="463">
        <f t="shared" si="2"/>
        <v>5</v>
      </c>
      <c r="B69" s="464" t="s">
        <v>3385</v>
      </c>
      <c r="C69" s="128"/>
      <c r="D69" s="465" t="s">
        <v>3386</v>
      </c>
      <c r="E69" s="464" t="s">
        <v>79</v>
      </c>
      <c r="F69" s="464" t="s">
        <v>3387</v>
      </c>
      <c r="G69" s="80" t="str">
        <f>VLOOKUP(F69,'01. TH'!$B:$E,3,0)</f>
        <v>#N/A</v>
      </c>
      <c r="H69" s="463" t="s">
        <v>55</v>
      </c>
      <c r="I69" s="463" t="s">
        <v>227</v>
      </c>
      <c r="J69" s="467"/>
      <c r="K69" s="463" t="s">
        <v>1661</v>
      </c>
      <c r="L69" s="464" t="s">
        <v>3388</v>
      </c>
      <c r="M69" s="465"/>
      <c r="N69" s="464" t="s">
        <v>3258</v>
      </c>
      <c r="O69" s="465" t="s">
        <v>3364</v>
      </c>
      <c r="P69" s="464" t="s">
        <v>3260</v>
      </c>
      <c r="Q69" s="463">
        <v>2024.0</v>
      </c>
      <c r="R69" s="465" t="s">
        <v>3364</v>
      </c>
      <c r="S69" s="476"/>
      <c r="T69" s="469"/>
      <c r="U69" s="467"/>
      <c r="V69" s="467"/>
    </row>
    <row r="70" ht="15.0" customHeight="1">
      <c r="A70" s="463">
        <f t="shared" si="2"/>
        <v>6</v>
      </c>
      <c r="B70" s="464" t="s">
        <v>3389</v>
      </c>
      <c r="C70" s="128"/>
      <c r="D70" s="465" t="s">
        <v>3390</v>
      </c>
      <c r="E70" s="464" t="s">
        <v>79</v>
      </c>
      <c r="F70" s="464" t="s">
        <v>3391</v>
      </c>
      <c r="G70" s="80" t="str">
        <f>VLOOKUP(F70,'01. TH'!$B:$E,3,0)</f>
        <v>#N/A</v>
      </c>
      <c r="H70" s="463" t="s">
        <v>55</v>
      </c>
      <c r="I70" s="463" t="s">
        <v>220</v>
      </c>
      <c r="J70" s="467"/>
      <c r="K70" s="463" t="s">
        <v>1661</v>
      </c>
      <c r="L70" s="464" t="s">
        <v>3388</v>
      </c>
      <c r="M70" s="465"/>
      <c r="N70" s="464" t="s">
        <v>3258</v>
      </c>
      <c r="O70" s="465" t="s">
        <v>3259</v>
      </c>
      <c r="P70" s="464" t="s">
        <v>3260</v>
      </c>
      <c r="Q70" s="463">
        <v>2024.0</v>
      </c>
      <c r="R70" s="465" t="s">
        <v>3261</v>
      </c>
      <c r="S70" s="476"/>
      <c r="T70" s="469"/>
      <c r="U70" s="467"/>
      <c r="V70" s="467"/>
    </row>
    <row r="71" ht="15.0" customHeight="1">
      <c r="A71" s="463">
        <f t="shared" si="2"/>
        <v>7</v>
      </c>
      <c r="B71" s="464" t="s">
        <v>3392</v>
      </c>
      <c r="C71" s="128"/>
      <c r="D71" s="465" t="s">
        <v>3393</v>
      </c>
      <c r="E71" s="464" t="s">
        <v>79</v>
      </c>
      <c r="F71" s="464" t="s">
        <v>3391</v>
      </c>
      <c r="G71" s="80" t="str">
        <f>VLOOKUP(F71,'01. TH'!$B:$E,3,0)</f>
        <v>#N/A</v>
      </c>
      <c r="H71" s="463" t="s">
        <v>55</v>
      </c>
      <c r="I71" s="463" t="s">
        <v>220</v>
      </c>
      <c r="J71" s="467"/>
      <c r="K71" s="463" t="s">
        <v>1661</v>
      </c>
      <c r="L71" s="464" t="s">
        <v>3388</v>
      </c>
      <c r="M71" s="465"/>
      <c r="N71" s="464" t="s">
        <v>3258</v>
      </c>
      <c r="O71" s="465" t="s">
        <v>3259</v>
      </c>
      <c r="P71" s="464" t="s">
        <v>3260</v>
      </c>
      <c r="Q71" s="463">
        <v>2024.0</v>
      </c>
      <c r="R71" s="465" t="s">
        <v>3261</v>
      </c>
      <c r="S71" s="476"/>
      <c r="T71" s="469"/>
      <c r="U71" s="467"/>
      <c r="V71" s="467"/>
    </row>
    <row r="72" ht="15.0" customHeight="1">
      <c r="A72" s="463">
        <f t="shared" si="2"/>
        <v>8</v>
      </c>
      <c r="B72" s="464" t="s">
        <v>3394</v>
      </c>
      <c r="C72" s="128"/>
      <c r="D72" s="465" t="s">
        <v>3395</v>
      </c>
      <c r="E72" s="464" t="s">
        <v>79</v>
      </c>
      <c r="F72" s="464" t="s">
        <v>3391</v>
      </c>
      <c r="G72" s="80" t="str">
        <f>VLOOKUP(F72,'01. TH'!$B:$E,3,0)</f>
        <v>#N/A</v>
      </c>
      <c r="H72" s="463" t="s">
        <v>55</v>
      </c>
      <c r="I72" s="463" t="s">
        <v>220</v>
      </c>
      <c r="J72" s="467"/>
      <c r="K72" s="463" t="s">
        <v>1661</v>
      </c>
      <c r="L72" s="464" t="s">
        <v>3388</v>
      </c>
      <c r="M72" s="465"/>
      <c r="N72" s="464" t="s">
        <v>3258</v>
      </c>
      <c r="O72" s="465" t="s">
        <v>3259</v>
      </c>
      <c r="P72" s="464" t="s">
        <v>3260</v>
      </c>
      <c r="Q72" s="463">
        <v>2024.0</v>
      </c>
      <c r="R72" s="465" t="s">
        <v>3261</v>
      </c>
      <c r="S72" s="476"/>
      <c r="T72" s="469"/>
      <c r="U72" s="467"/>
      <c r="V72" s="467"/>
    </row>
    <row r="73" ht="15.0" customHeight="1">
      <c r="A73" s="463">
        <f t="shared" si="2"/>
        <v>9</v>
      </c>
      <c r="B73" s="464" t="s">
        <v>3396</v>
      </c>
      <c r="C73" s="128"/>
      <c r="D73" s="465" t="s">
        <v>3397</v>
      </c>
      <c r="E73" s="464" t="s">
        <v>79</v>
      </c>
      <c r="F73" s="464" t="s">
        <v>3391</v>
      </c>
      <c r="G73" s="80" t="str">
        <f>VLOOKUP(F73,'01. TH'!$B:$E,3,0)</f>
        <v>#N/A</v>
      </c>
      <c r="H73" s="463" t="s">
        <v>55</v>
      </c>
      <c r="I73" s="463" t="s">
        <v>220</v>
      </c>
      <c r="J73" s="467"/>
      <c r="K73" s="463" t="s">
        <v>1661</v>
      </c>
      <c r="L73" s="464" t="s">
        <v>3388</v>
      </c>
      <c r="M73" s="465"/>
      <c r="N73" s="464" t="s">
        <v>3258</v>
      </c>
      <c r="O73" s="465" t="s">
        <v>3259</v>
      </c>
      <c r="P73" s="464" t="s">
        <v>3260</v>
      </c>
      <c r="Q73" s="463">
        <v>2024.0</v>
      </c>
      <c r="R73" s="465" t="s">
        <v>3261</v>
      </c>
      <c r="S73" s="476"/>
      <c r="T73" s="469"/>
      <c r="U73" s="467"/>
      <c r="V73" s="467"/>
    </row>
    <row r="74" ht="15.0" customHeight="1">
      <c r="A74" s="463">
        <f t="shared" si="2"/>
        <v>10</v>
      </c>
      <c r="B74" s="464" t="s">
        <v>3398</v>
      </c>
      <c r="C74" s="128"/>
      <c r="D74" s="465" t="s">
        <v>3399</v>
      </c>
      <c r="E74" s="464" t="s">
        <v>79</v>
      </c>
      <c r="F74" s="464" t="s">
        <v>3391</v>
      </c>
      <c r="G74" s="80" t="str">
        <f>VLOOKUP(F74,'01. TH'!$B:$E,3,0)</f>
        <v>#N/A</v>
      </c>
      <c r="H74" s="463" t="s">
        <v>55</v>
      </c>
      <c r="I74" s="463" t="s">
        <v>220</v>
      </c>
      <c r="J74" s="467"/>
      <c r="K74" s="463" t="s">
        <v>1661</v>
      </c>
      <c r="L74" s="464" t="s">
        <v>3388</v>
      </c>
      <c r="M74" s="465"/>
      <c r="N74" s="464" t="s">
        <v>3258</v>
      </c>
      <c r="O74" s="465" t="s">
        <v>3259</v>
      </c>
      <c r="P74" s="464" t="s">
        <v>3260</v>
      </c>
      <c r="Q74" s="463">
        <v>2024.0</v>
      </c>
      <c r="R74" s="465" t="s">
        <v>3261</v>
      </c>
      <c r="S74" s="476"/>
      <c r="T74" s="469"/>
      <c r="U74" s="467"/>
      <c r="V74" s="467"/>
    </row>
    <row r="75" ht="15.0" customHeight="1">
      <c r="A75" s="463">
        <f t="shared" si="2"/>
        <v>11</v>
      </c>
      <c r="B75" s="464" t="s">
        <v>3400</v>
      </c>
      <c r="C75" s="128"/>
      <c r="D75" s="465" t="s">
        <v>3401</v>
      </c>
      <c r="E75" s="464" t="s">
        <v>79</v>
      </c>
      <c r="F75" s="464" t="s">
        <v>3402</v>
      </c>
      <c r="G75" s="80" t="str">
        <f>VLOOKUP(F75,'01. TH'!$B:$E,3,0)</f>
        <v>#N/A</v>
      </c>
      <c r="H75" s="463" t="s">
        <v>55</v>
      </c>
      <c r="I75" s="463" t="s">
        <v>220</v>
      </c>
      <c r="J75" s="467"/>
      <c r="K75" s="463" t="s">
        <v>1661</v>
      </c>
      <c r="L75" s="464" t="s">
        <v>3388</v>
      </c>
      <c r="M75" s="465"/>
      <c r="N75" s="464" t="s">
        <v>3258</v>
      </c>
      <c r="O75" s="465" t="s">
        <v>3404</v>
      </c>
      <c r="P75" s="464" t="s">
        <v>3260</v>
      </c>
      <c r="Q75" s="463">
        <v>2024.0</v>
      </c>
      <c r="R75" s="465" t="s">
        <v>3405</v>
      </c>
      <c r="S75" s="476"/>
      <c r="T75" s="469"/>
      <c r="U75" s="467"/>
      <c r="V75" s="467"/>
    </row>
    <row r="76" ht="15.0" customHeight="1">
      <c r="A76" s="463">
        <f t="shared" si="2"/>
        <v>12</v>
      </c>
      <c r="B76" s="464" t="s">
        <v>3406</v>
      </c>
      <c r="C76" s="128"/>
      <c r="D76" s="465" t="s">
        <v>3407</v>
      </c>
      <c r="E76" s="464" t="s">
        <v>79</v>
      </c>
      <c r="F76" s="464" t="s">
        <v>3402</v>
      </c>
      <c r="G76" s="80" t="str">
        <f>VLOOKUP(F76,'01. TH'!$B:$E,3,0)</f>
        <v>#N/A</v>
      </c>
      <c r="H76" s="463" t="s">
        <v>55</v>
      </c>
      <c r="I76" s="463" t="s">
        <v>220</v>
      </c>
      <c r="J76" s="467"/>
      <c r="K76" s="463" t="s">
        <v>1661</v>
      </c>
      <c r="L76" s="464" t="s">
        <v>3388</v>
      </c>
      <c r="M76" s="465"/>
      <c r="N76" s="464" t="s">
        <v>3258</v>
      </c>
      <c r="O76" s="465" t="s">
        <v>3404</v>
      </c>
      <c r="P76" s="464" t="s">
        <v>3260</v>
      </c>
      <c r="Q76" s="463">
        <v>2024.0</v>
      </c>
      <c r="R76" s="465" t="s">
        <v>3405</v>
      </c>
      <c r="S76" s="476"/>
      <c r="T76" s="469"/>
      <c r="U76" s="467"/>
      <c r="V76" s="467"/>
    </row>
    <row r="77" ht="15.0" customHeight="1">
      <c r="A77" s="463">
        <f t="shared" si="2"/>
        <v>13</v>
      </c>
      <c r="B77" s="464" t="s">
        <v>3408</v>
      </c>
      <c r="C77" s="128"/>
      <c r="D77" s="465" t="s">
        <v>3409</v>
      </c>
      <c r="E77" s="464" t="s">
        <v>79</v>
      </c>
      <c r="F77" s="464" t="s">
        <v>3264</v>
      </c>
      <c r="G77" s="80" t="str">
        <f>VLOOKUP(F77,'01. TH'!$B:$E,3,0)</f>
        <v>#N/A</v>
      </c>
      <c r="H77" s="463" t="s">
        <v>55</v>
      </c>
      <c r="I77" s="463" t="s">
        <v>3410</v>
      </c>
      <c r="J77" s="467"/>
      <c r="K77" s="463" t="s">
        <v>1661</v>
      </c>
      <c r="L77" s="464" t="s">
        <v>3388</v>
      </c>
      <c r="M77" s="465"/>
      <c r="N77" s="464" t="s">
        <v>3258</v>
      </c>
      <c r="O77" s="465" t="s">
        <v>3265</v>
      </c>
      <c r="P77" s="464" t="s">
        <v>3260</v>
      </c>
      <c r="Q77" s="463">
        <v>2024.0</v>
      </c>
      <c r="R77" s="465" t="s">
        <v>3411</v>
      </c>
      <c r="S77" s="476"/>
      <c r="T77" s="469"/>
      <c r="U77" s="467"/>
      <c r="V77" s="467"/>
    </row>
    <row r="78" ht="15.0" customHeight="1">
      <c r="A78" s="463">
        <f t="shared" si="2"/>
        <v>14</v>
      </c>
      <c r="B78" s="464" t="s">
        <v>3412</v>
      </c>
      <c r="C78" s="128"/>
      <c r="D78" s="465" t="s">
        <v>3413</v>
      </c>
      <c r="E78" s="464" t="s">
        <v>79</v>
      </c>
      <c r="F78" s="464" t="s">
        <v>3264</v>
      </c>
      <c r="G78" s="80" t="str">
        <f>VLOOKUP(F78,'01. TH'!$B:$E,3,0)</f>
        <v>#N/A</v>
      </c>
      <c r="H78" s="463" t="s">
        <v>55</v>
      </c>
      <c r="I78" s="463" t="s">
        <v>3410</v>
      </c>
      <c r="J78" s="467"/>
      <c r="K78" s="463" t="s">
        <v>1661</v>
      </c>
      <c r="L78" s="464" t="s">
        <v>3388</v>
      </c>
      <c r="M78" s="465"/>
      <c r="N78" s="464" t="s">
        <v>3258</v>
      </c>
      <c r="O78" s="465" t="s">
        <v>3265</v>
      </c>
      <c r="P78" s="464" t="s">
        <v>3260</v>
      </c>
      <c r="Q78" s="463">
        <v>2024.0</v>
      </c>
      <c r="R78" s="465" t="s">
        <v>3411</v>
      </c>
      <c r="S78" s="476"/>
      <c r="T78" s="469"/>
      <c r="U78" s="467"/>
      <c r="V78" s="467"/>
    </row>
    <row r="79" ht="15.0" customHeight="1">
      <c r="A79" s="463">
        <f t="shared" si="2"/>
        <v>15</v>
      </c>
      <c r="B79" s="464" t="s">
        <v>3414</v>
      </c>
      <c r="C79" s="128"/>
      <c r="D79" s="465" t="s">
        <v>3415</v>
      </c>
      <c r="E79" s="464" t="s">
        <v>79</v>
      </c>
      <c r="F79" s="464" t="s">
        <v>3416</v>
      </c>
      <c r="G79" s="80" t="str">
        <f>VLOOKUP(F79,'01. TH'!$B:$E,3,0)</f>
        <v>#N/A</v>
      </c>
      <c r="H79" s="463" t="s">
        <v>55</v>
      </c>
      <c r="I79" s="466">
        <v>45542.0</v>
      </c>
      <c r="J79" s="467"/>
      <c r="K79" s="463" t="s">
        <v>1661</v>
      </c>
      <c r="L79" s="464" t="s">
        <v>3388</v>
      </c>
      <c r="M79" s="465"/>
      <c r="N79" s="464" t="s">
        <v>3258</v>
      </c>
      <c r="O79" s="465" t="s">
        <v>3417</v>
      </c>
      <c r="P79" s="464" t="s">
        <v>3260</v>
      </c>
      <c r="Q79" s="463">
        <v>2024.0</v>
      </c>
      <c r="R79" s="465" t="s">
        <v>3418</v>
      </c>
      <c r="S79" s="476"/>
      <c r="T79" s="469"/>
      <c r="U79" s="467"/>
      <c r="V79" s="467"/>
    </row>
    <row r="80" ht="15.0" customHeight="1">
      <c r="A80" s="463">
        <f t="shared" si="2"/>
        <v>16</v>
      </c>
      <c r="B80" s="464" t="s">
        <v>3419</v>
      </c>
      <c r="C80" s="128"/>
      <c r="D80" s="465" t="s">
        <v>3420</v>
      </c>
      <c r="E80" s="464" t="s">
        <v>79</v>
      </c>
      <c r="F80" s="464" t="s">
        <v>3421</v>
      </c>
      <c r="G80" s="80" t="str">
        <f>VLOOKUP(F80,'01. TH'!$B:$E,3,0)</f>
        <v>#N/A</v>
      </c>
      <c r="H80" s="463" t="s">
        <v>55</v>
      </c>
      <c r="I80" s="463" t="s">
        <v>3410</v>
      </c>
      <c r="J80" s="467"/>
      <c r="K80" s="463" t="s">
        <v>1661</v>
      </c>
      <c r="L80" s="464" t="s">
        <v>3388</v>
      </c>
      <c r="M80" s="465"/>
      <c r="N80" s="464" t="s">
        <v>3258</v>
      </c>
      <c r="O80" s="465" t="s">
        <v>3422</v>
      </c>
      <c r="P80" s="464" t="s">
        <v>3260</v>
      </c>
      <c r="Q80" s="463">
        <v>2024.0</v>
      </c>
      <c r="R80" s="465" t="s">
        <v>3423</v>
      </c>
      <c r="S80" s="476"/>
      <c r="T80" s="469"/>
      <c r="U80" s="467"/>
      <c r="V80" s="467"/>
    </row>
    <row r="81" ht="15.0" customHeight="1">
      <c r="A81" s="463">
        <f t="shared" si="2"/>
        <v>17</v>
      </c>
      <c r="B81" s="464" t="s">
        <v>3424</v>
      </c>
      <c r="C81" s="128"/>
      <c r="D81" s="465" t="s">
        <v>3425</v>
      </c>
      <c r="E81" s="464" t="s">
        <v>79</v>
      </c>
      <c r="F81" s="464" t="s">
        <v>3421</v>
      </c>
      <c r="G81" s="80" t="str">
        <f>VLOOKUP(F81,'01. TH'!$B:$E,3,0)</f>
        <v>#N/A</v>
      </c>
      <c r="H81" s="463" t="s">
        <v>55</v>
      </c>
      <c r="I81" s="463" t="s">
        <v>3410</v>
      </c>
      <c r="J81" s="467"/>
      <c r="K81" s="463" t="s">
        <v>1661</v>
      </c>
      <c r="L81" s="464" t="s">
        <v>3388</v>
      </c>
      <c r="M81" s="465"/>
      <c r="N81" s="464" t="s">
        <v>3258</v>
      </c>
      <c r="O81" s="465" t="s">
        <v>3422</v>
      </c>
      <c r="P81" s="464" t="s">
        <v>3260</v>
      </c>
      <c r="Q81" s="463">
        <v>2024.0</v>
      </c>
      <c r="R81" s="465" t="s">
        <v>3423</v>
      </c>
      <c r="S81" s="476"/>
      <c r="T81" s="469"/>
      <c r="U81" s="467"/>
      <c r="V81" s="467"/>
    </row>
    <row r="82" ht="15.0" customHeight="1">
      <c r="A82" s="463">
        <f t="shared" si="2"/>
        <v>18</v>
      </c>
      <c r="B82" s="464" t="s">
        <v>3426</v>
      </c>
      <c r="C82" s="477"/>
      <c r="D82" s="465" t="s">
        <v>3427</v>
      </c>
      <c r="E82" s="464" t="s">
        <v>79</v>
      </c>
      <c r="F82" s="464" t="s">
        <v>3428</v>
      </c>
      <c r="G82" s="80" t="str">
        <f>VLOOKUP(F82,'01. TH'!$B:$E,3,0)</f>
        <v>#N/A</v>
      </c>
      <c r="H82" s="463" t="s">
        <v>55</v>
      </c>
      <c r="I82" s="466">
        <v>45993.0</v>
      </c>
      <c r="J82" s="467"/>
      <c r="K82" s="463" t="s">
        <v>1661</v>
      </c>
      <c r="L82" s="464" t="s">
        <v>3388</v>
      </c>
      <c r="M82" s="465"/>
      <c r="N82" s="464" t="s">
        <v>3258</v>
      </c>
      <c r="O82" s="465"/>
      <c r="P82" s="464" t="s">
        <v>3260</v>
      </c>
      <c r="Q82" s="463">
        <v>2025.0</v>
      </c>
      <c r="R82" s="465" t="s">
        <v>3429</v>
      </c>
      <c r="S82" s="476"/>
      <c r="T82" s="469"/>
      <c r="U82" s="467"/>
      <c r="V82" s="467"/>
    </row>
    <row r="83" ht="15.0" customHeight="1">
      <c r="A83" s="463">
        <f t="shared" si="2"/>
        <v>19</v>
      </c>
      <c r="B83" s="464" t="s">
        <v>3430</v>
      </c>
      <c r="C83" s="477"/>
      <c r="D83" s="465" t="s">
        <v>3431</v>
      </c>
      <c r="E83" s="464" t="s">
        <v>79</v>
      </c>
      <c r="F83" s="464" t="s">
        <v>3428</v>
      </c>
      <c r="G83" s="80" t="str">
        <f>VLOOKUP(F83,'01. TH'!$B:$E,3,0)</f>
        <v>#N/A</v>
      </c>
      <c r="H83" s="463" t="s">
        <v>55</v>
      </c>
      <c r="I83" s="466">
        <v>45993.0</v>
      </c>
      <c r="J83" s="467"/>
      <c r="K83" s="463" t="s">
        <v>1661</v>
      </c>
      <c r="L83" s="464" t="s">
        <v>3388</v>
      </c>
      <c r="M83" s="465"/>
      <c r="N83" s="464" t="s">
        <v>3258</v>
      </c>
      <c r="O83" s="465"/>
      <c r="P83" s="464" t="s">
        <v>3260</v>
      </c>
      <c r="Q83" s="463">
        <v>2025.0</v>
      </c>
      <c r="R83" s="465" t="s">
        <v>3429</v>
      </c>
      <c r="S83" s="476"/>
      <c r="T83" s="469"/>
      <c r="U83" s="467"/>
      <c r="V83" s="467"/>
    </row>
    <row r="84" ht="15.0" customHeight="1">
      <c r="A84" s="463">
        <f t="shared" si="2"/>
        <v>20</v>
      </c>
      <c r="B84" s="464" t="s">
        <v>3432</v>
      </c>
      <c r="C84" s="477"/>
      <c r="D84" s="465" t="s">
        <v>3433</v>
      </c>
      <c r="E84" s="464" t="s">
        <v>79</v>
      </c>
      <c r="F84" s="464" t="s">
        <v>3428</v>
      </c>
      <c r="G84" s="80" t="str">
        <f>VLOOKUP(F84,'01. TH'!$B:$E,3,0)</f>
        <v>#N/A</v>
      </c>
      <c r="H84" s="463" t="s">
        <v>55</v>
      </c>
      <c r="I84" s="466">
        <v>45993.0</v>
      </c>
      <c r="J84" s="467"/>
      <c r="K84" s="463" t="s">
        <v>1661</v>
      </c>
      <c r="L84" s="464" t="s">
        <v>3388</v>
      </c>
      <c r="M84" s="465"/>
      <c r="N84" s="464" t="s">
        <v>3258</v>
      </c>
      <c r="O84" s="465"/>
      <c r="P84" s="464" t="s">
        <v>3260</v>
      </c>
      <c r="Q84" s="463">
        <v>2025.0</v>
      </c>
      <c r="R84" s="465" t="s">
        <v>3429</v>
      </c>
      <c r="S84" s="476"/>
      <c r="T84" s="469"/>
      <c r="U84" s="467"/>
      <c r="V84" s="467"/>
    </row>
    <row r="85" ht="15.0" customHeight="1">
      <c r="A85" s="463">
        <f t="shared" si="2"/>
        <v>21</v>
      </c>
      <c r="B85" s="464" t="s">
        <v>3434</v>
      </c>
      <c r="C85" s="477"/>
      <c r="D85" s="465" t="s">
        <v>3435</v>
      </c>
      <c r="E85" s="464" t="s">
        <v>79</v>
      </c>
      <c r="F85" s="464" t="s">
        <v>3428</v>
      </c>
      <c r="G85" s="80" t="str">
        <f>VLOOKUP(F85,'01. TH'!$B:$E,3,0)</f>
        <v>#N/A</v>
      </c>
      <c r="H85" s="463" t="s">
        <v>55</v>
      </c>
      <c r="I85" s="466">
        <v>45993.0</v>
      </c>
      <c r="J85" s="467"/>
      <c r="K85" s="463" t="s">
        <v>1661</v>
      </c>
      <c r="L85" s="464" t="s">
        <v>3388</v>
      </c>
      <c r="M85" s="465"/>
      <c r="N85" s="464" t="s">
        <v>3258</v>
      </c>
      <c r="O85" s="465"/>
      <c r="P85" s="464" t="s">
        <v>3260</v>
      </c>
      <c r="Q85" s="463">
        <v>2025.0</v>
      </c>
      <c r="R85" s="465" t="s">
        <v>3429</v>
      </c>
      <c r="S85" s="476"/>
      <c r="T85" s="469"/>
      <c r="U85" s="467"/>
      <c r="V85" s="467"/>
    </row>
    <row r="86" ht="15.0" customHeight="1">
      <c r="A86" s="463">
        <f t="shared" si="2"/>
        <v>22</v>
      </c>
      <c r="B86" s="464" t="s">
        <v>3436</v>
      </c>
      <c r="C86" s="477"/>
      <c r="D86" s="465" t="s">
        <v>3437</v>
      </c>
      <c r="E86" s="464" t="s">
        <v>79</v>
      </c>
      <c r="F86" s="464" t="s">
        <v>3428</v>
      </c>
      <c r="G86" s="80" t="str">
        <f>VLOOKUP(F86,'01. TH'!$B:$E,3,0)</f>
        <v>#N/A</v>
      </c>
      <c r="H86" s="463" t="s">
        <v>55</v>
      </c>
      <c r="I86" s="466">
        <v>45993.0</v>
      </c>
      <c r="J86" s="467"/>
      <c r="K86" s="463" t="s">
        <v>1661</v>
      </c>
      <c r="L86" s="464" t="s">
        <v>3388</v>
      </c>
      <c r="M86" s="465"/>
      <c r="N86" s="464" t="s">
        <v>3258</v>
      </c>
      <c r="O86" s="465"/>
      <c r="P86" s="464" t="s">
        <v>3260</v>
      </c>
      <c r="Q86" s="463">
        <v>2025.0</v>
      </c>
      <c r="R86" s="465" t="s">
        <v>3429</v>
      </c>
      <c r="S86" s="476"/>
      <c r="T86" s="469"/>
      <c r="U86" s="467"/>
      <c r="V86" s="467"/>
    </row>
    <row r="87" ht="15.0" customHeight="1">
      <c r="A87" s="463">
        <f t="shared" si="2"/>
        <v>23</v>
      </c>
      <c r="B87" s="464" t="s">
        <v>3438</v>
      </c>
      <c r="C87" s="477"/>
      <c r="D87" s="465" t="s">
        <v>3439</v>
      </c>
      <c r="E87" s="464" t="s">
        <v>79</v>
      </c>
      <c r="F87" s="464" t="s">
        <v>3440</v>
      </c>
      <c r="G87" s="80" t="str">
        <f>VLOOKUP(F87,'01. TH'!$B:$E,3,0)</f>
        <v>#N/A</v>
      </c>
      <c r="H87" s="463" t="s">
        <v>55</v>
      </c>
      <c r="I87" s="466">
        <v>45993.0</v>
      </c>
      <c r="J87" s="467"/>
      <c r="K87" s="463" t="s">
        <v>1661</v>
      </c>
      <c r="L87" s="464" t="s">
        <v>3388</v>
      </c>
      <c r="M87" s="465"/>
      <c r="N87" s="464" t="s">
        <v>3258</v>
      </c>
      <c r="O87" s="465"/>
      <c r="P87" s="464" t="s">
        <v>3260</v>
      </c>
      <c r="Q87" s="463">
        <v>2025.0</v>
      </c>
      <c r="R87" s="465" t="s">
        <v>3441</v>
      </c>
      <c r="S87" s="476"/>
      <c r="T87" s="469"/>
      <c r="U87" s="467"/>
      <c r="V87" s="467"/>
    </row>
    <row r="88" ht="15.0" customHeight="1">
      <c r="A88" s="463">
        <f t="shared" si="2"/>
        <v>24</v>
      </c>
      <c r="B88" s="464" t="s">
        <v>3442</v>
      </c>
      <c r="C88" s="477"/>
      <c r="D88" s="465" t="s">
        <v>3443</v>
      </c>
      <c r="E88" s="464" t="s">
        <v>79</v>
      </c>
      <c r="F88" s="470" t="s">
        <v>3339</v>
      </c>
      <c r="G88" s="80" t="str">
        <f>VLOOKUP(F88,'01. TH'!$B:$E,3,0)</f>
        <v>#N/A</v>
      </c>
      <c r="H88" s="463" t="s">
        <v>55</v>
      </c>
      <c r="I88" s="463" t="s">
        <v>3444</v>
      </c>
      <c r="J88" s="467"/>
      <c r="K88" s="463" t="s">
        <v>1661</v>
      </c>
      <c r="L88" s="464" t="s">
        <v>3388</v>
      </c>
      <c r="M88" s="465"/>
      <c r="N88" s="464" t="s">
        <v>3258</v>
      </c>
      <c r="O88" s="465" t="s">
        <v>3341</v>
      </c>
      <c r="P88" s="464" t="s">
        <v>3260</v>
      </c>
      <c r="Q88" s="463">
        <v>2025.0</v>
      </c>
      <c r="R88" s="465" t="s">
        <v>3317</v>
      </c>
      <c r="S88" s="476"/>
      <c r="T88" s="469"/>
      <c r="U88" s="467"/>
      <c r="V88" s="467"/>
    </row>
    <row r="89" ht="15.0" customHeight="1">
      <c r="A89" s="463">
        <f t="shared" si="2"/>
        <v>25</v>
      </c>
      <c r="B89" s="464" t="s">
        <v>3445</v>
      </c>
      <c r="C89" s="477"/>
      <c r="D89" s="465" t="s">
        <v>3446</v>
      </c>
      <c r="E89" s="464" t="s">
        <v>79</v>
      </c>
      <c r="F89" s="470" t="s">
        <v>3339</v>
      </c>
      <c r="G89" s="80" t="str">
        <f>VLOOKUP(F89,'01. TH'!$B:$E,3,0)</f>
        <v>#N/A</v>
      </c>
      <c r="H89" s="463" t="s">
        <v>55</v>
      </c>
      <c r="I89" s="463" t="s">
        <v>3340</v>
      </c>
      <c r="J89" s="467"/>
      <c r="K89" s="463" t="s">
        <v>1661</v>
      </c>
      <c r="L89" s="464" t="s">
        <v>3388</v>
      </c>
      <c r="M89" s="465"/>
      <c r="N89" s="464" t="s">
        <v>3258</v>
      </c>
      <c r="O89" s="465" t="s">
        <v>3341</v>
      </c>
      <c r="P89" s="464" t="s">
        <v>3260</v>
      </c>
      <c r="Q89" s="463">
        <v>2025.0</v>
      </c>
      <c r="R89" s="465" t="s">
        <v>3317</v>
      </c>
      <c r="S89" s="476"/>
      <c r="T89" s="469"/>
      <c r="U89" s="467"/>
      <c r="V89" s="467"/>
    </row>
    <row r="90" ht="15.0" customHeight="1">
      <c r="A90" s="463">
        <f t="shared" si="2"/>
        <v>26</v>
      </c>
      <c r="B90" s="464" t="s">
        <v>3447</v>
      </c>
      <c r="C90" s="477"/>
      <c r="D90" s="465" t="s">
        <v>3448</v>
      </c>
      <c r="E90" s="464" t="s">
        <v>79</v>
      </c>
      <c r="F90" s="470" t="s">
        <v>3339</v>
      </c>
      <c r="G90" s="80" t="str">
        <f>VLOOKUP(F90,'01. TH'!$B:$E,3,0)</f>
        <v>#N/A</v>
      </c>
      <c r="H90" s="463" t="s">
        <v>55</v>
      </c>
      <c r="I90" s="463" t="s">
        <v>3340</v>
      </c>
      <c r="J90" s="467"/>
      <c r="K90" s="463" t="s">
        <v>1661</v>
      </c>
      <c r="L90" s="464" t="s">
        <v>3388</v>
      </c>
      <c r="M90" s="465"/>
      <c r="N90" s="464" t="s">
        <v>3258</v>
      </c>
      <c r="O90" s="465" t="s">
        <v>3341</v>
      </c>
      <c r="P90" s="464" t="s">
        <v>3260</v>
      </c>
      <c r="Q90" s="463">
        <v>2025.0</v>
      </c>
      <c r="R90" s="465" t="s">
        <v>3317</v>
      </c>
      <c r="S90" s="476"/>
      <c r="T90" s="469"/>
      <c r="U90" s="467"/>
      <c r="V90" s="467"/>
    </row>
    <row r="91" ht="15.0" customHeight="1">
      <c r="A91" s="463">
        <f t="shared" si="2"/>
        <v>27</v>
      </c>
      <c r="B91" s="464" t="s">
        <v>3449</v>
      </c>
      <c r="C91" s="477"/>
      <c r="D91" s="465" t="s">
        <v>3450</v>
      </c>
      <c r="E91" s="464" t="s">
        <v>79</v>
      </c>
      <c r="F91" s="470" t="s">
        <v>3339</v>
      </c>
      <c r="G91" s="80" t="str">
        <f>VLOOKUP(F91,'01. TH'!$B:$E,3,0)</f>
        <v>#N/A</v>
      </c>
      <c r="H91" s="463" t="s">
        <v>55</v>
      </c>
      <c r="I91" s="463" t="s">
        <v>3340</v>
      </c>
      <c r="J91" s="467"/>
      <c r="K91" s="463" t="s">
        <v>1661</v>
      </c>
      <c r="L91" s="464" t="s">
        <v>3388</v>
      </c>
      <c r="M91" s="465"/>
      <c r="N91" s="464" t="s">
        <v>3258</v>
      </c>
      <c r="O91" s="465" t="s">
        <v>3341</v>
      </c>
      <c r="P91" s="464" t="s">
        <v>3260</v>
      </c>
      <c r="Q91" s="463">
        <v>2025.0</v>
      </c>
      <c r="R91" s="465" t="s">
        <v>3317</v>
      </c>
      <c r="S91" s="476"/>
      <c r="T91" s="469"/>
      <c r="U91" s="467"/>
      <c r="V91" s="467"/>
    </row>
    <row r="92" ht="15.0" customHeight="1">
      <c r="A92" s="463">
        <f t="shared" si="2"/>
        <v>28</v>
      </c>
      <c r="B92" s="464" t="s">
        <v>3451</v>
      </c>
      <c r="C92" s="477"/>
      <c r="D92" s="465" t="s">
        <v>3452</v>
      </c>
      <c r="E92" s="464" t="s">
        <v>79</v>
      </c>
      <c r="F92" s="470" t="s">
        <v>3339</v>
      </c>
      <c r="G92" s="80" t="str">
        <f>VLOOKUP(F92,'01. TH'!$B:$E,3,0)</f>
        <v>#N/A</v>
      </c>
      <c r="H92" s="463" t="s">
        <v>55</v>
      </c>
      <c r="I92" s="463" t="s">
        <v>3340</v>
      </c>
      <c r="J92" s="467"/>
      <c r="K92" s="463" t="s">
        <v>1661</v>
      </c>
      <c r="L92" s="464" t="s">
        <v>3388</v>
      </c>
      <c r="M92" s="465"/>
      <c r="N92" s="464" t="s">
        <v>3258</v>
      </c>
      <c r="O92" s="465" t="s">
        <v>3341</v>
      </c>
      <c r="P92" s="464" t="s">
        <v>3260</v>
      </c>
      <c r="Q92" s="463">
        <v>2025.0</v>
      </c>
      <c r="R92" s="465" t="s">
        <v>3317</v>
      </c>
      <c r="S92" s="476"/>
      <c r="T92" s="469"/>
      <c r="U92" s="467"/>
      <c r="V92" s="467"/>
    </row>
    <row r="93" ht="15.0" customHeight="1">
      <c r="A93" s="463">
        <f t="shared" si="2"/>
        <v>29</v>
      </c>
      <c r="B93" s="464" t="s">
        <v>3453</v>
      </c>
      <c r="C93" s="477"/>
      <c r="D93" s="465" t="s">
        <v>3454</v>
      </c>
      <c r="E93" s="464" t="s">
        <v>79</v>
      </c>
      <c r="F93" s="464" t="s">
        <v>3339</v>
      </c>
      <c r="G93" s="80"/>
      <c r="H93" s="463" t="s">
        <v>55</v>
      </c>
      <c r="I93" s="463" t="s">
        <v>1328</v>
      </c>
      <c r="J93" s="467"/>
      <c r="K93" s="463" t="s">
        <v>1661</v>
      </c>
      <c r="L93" s="464" t="s">
        <v>3388</v>
      </c>
      <c r="M93" s="465"/>
      <c r="N93" s="464"/>
      <c r="O93" s="465"/>
      <c r="P93" s="467"/>
      <c r="Q93" s="463"/>
      <c r="R93" s="465"/>
      <c r="S93" s="476"/>
      <c r="T93" s="469"/>
      <c r="U93" s="467"/>
      <c r="V93" s="467"/>
    </row>
    <row r="94" ht="15.0" customHeight="1">
      <c r="A94" s="463">
        <f t="shared" si="2"/>
        <v>30</v>
      </c>
      <c r="B94" s="464" t="s">
        <v>3455</v>
      </c>
      <c r="C94" s="477"/>
      <c r="D94" s="465" t="s">
        <v>3456</v>
      </c>
      <c r="E94" s="464" t="s">
        <v>79</v>
      </c>
      <c r="F94" s="464" t="s">
        <v>3339</v>
      </c>
      <c r="G94" s="80"/>
      <c r="H94" s="463" t="s">
        <v>55</v>
      </c>
      <c r="I94" s="463" t="s">
        <v>1328</v>
      </c>
      <c r="J94" s="467"/>
      <c r="K94" s="463" t="s">
        <v>1661</v>
      </c>
      <c r="L94" s="464" t="s">
        <v>3388</v>
      </c>
      <c r="M94" s="465"/>
      <c r="N94" s="464"/>
      <c r="O94" s="465"/>
      <c r="P94" s="467"/>
      <c r="Q94" s="463"/>
      <c r="R94" s="465"/>
      <c r="S94" s="476"/>
      <c r="T94" s="469"/>
      <c r="U94" s="467"/>
      <c r="V94" s="467"/>
    </row>
    <row r="95" ht="15.0" customHeight="1">
      <c r="A95" s="463">
        <f t="shared" si="2"/>
        <v>31</v>
      </c>
      <c r="B95" s="464" t="s">
        <v>3457</v>
      </c>
      <c r="C95" s="477"/>
      <c r="D95" s="465" t="s">
        <v>3458</v>
      </c>
      <c r="E95" s="464" t="s">
        <v>79</v>
      </c>
      <c r="F95" s="464" t="s">
        <v>3339</v>
      </c>
      <c r="G95" s="80"/>
      <c r="H95" s="463" t="s">
        <v>55</v>
      </c>
      <c r="I95" s="463" t="s">
        <v>1328</v>
      </c>
      <c r="J95" s="467"/>
      <c r="K95" s="463" t="s">
        <v>1661</v>
      </c>
      <c r="L95" s="464" t="s">
        <v>3388</v>
      </c>
      <c r="M95" s="465"/>
      <c r="N95" s="464"/>
      <c r="O95" s="465"/>
      <c r="P95" s="467"/>
      <c r="Q95" s="463"/>
      <c r="R95" s="465"/>
      <c r="S95" s="476"/>
      <c r="T95" s="469"/>
      <c r="U95" s="467"/>
      <c r="V95" s="467"/>
    </row>
    <row r="96" ht="15.0" customHeight="1">
      <c r="A96" s="463">
        <f t="shared" si="2"/>
        <v>32</v>
      </c>
      <c r="B96" s="464" t="s">
        <v>3459</v>
      </c>
      <c r="C96" s="477"/>
      <c r="D96" s="465" t="s">
        <v>3460</v>
      </c>
      <c r="E96" s="464" t="s">
        <v>79</v>
      </c>
      <c r="F96" s="464" t="s">
        <v>3339</v>
      </c>
      <c r="G96" s="80"/>
      <c r="H96" s="463" t="s">
        <v>55</v>
      </c>
      <c r="I96" s="463" t="s">
        <v>1328</v>
      </c>
      <c r="J96" s="467"/>
      <c r="K96" s="463" t="s">
        <v>1661</v>
      </c>
      <c r="L96" s="464" t="s">
        <v>3388</v>
      </c>
      <c r="M96" s="465"/>
      <c r="N96" s="464"/>
      <c r="O96" s="465"/>
      <c r="P96" s="467"/>
      <c r="Q96" s="463"/>
      <c r="R96" s="465"/>
      <c r="S96" s="476"/>
      <c r="T96" s="469"/>
      <c r="U96" s="467"/>
      <c r="V96" s="467"/>
    </row>
    <row r="97" ht="15.0" customHeight="1">
      <c r="A97" s="463">
        <f t="shared" si="2"/>
        <v>33</v>
      </c>
      <c r="B97" s="464" t="s">
        <v>3461</v>
      </c>
      <c r="C97" s="477"/>
      <c r="D97" s="465" t="s">
        <v>3462</v>
      </c>
      <c r="E97" s="464" t="s">
        <v>79</v>
      </c>
      <c r="F97" s="464" t="s">
        <v>3339</v>
      </c>
      <c r="G97" s="80"/>
      <c r="H97" s="463" t="s">
        <v>55</v>
      </c>
      <c r="I97" s="463" t="s">
        <v>1328</v>
      </c>
      <c r="J97" s="467"/>
      <c r="K97" s="463" t="s">
        <v>1661</v>
      </c>
      <c r="L97" s="464" t="s">
        <v>3388</v>
      </c>
      <c r="M97" s="465"/>
      <c r="N97" s="464"/>
      <c r="O97" s="465"/>
      <c r="P97" s="467"/>
      <c r="Q97" s="463"/>
      <c r="R97" s="465"/>
      <c r="S97" s="476"/>
      <c r="T97" s="469"/>
      <c r="U97" s="467"/>
      <c r="V97" s="467"/>
    </row>
    <row r="98" ht="15.0" customHeight="1">
      <c r="A98" s="463">
        <f t="shared" si="2"/>
        <v>34</v>
      </c>
      <c r="B98" s="464" t="s">
        <v>3463</v>
      </c>
      <c r="C98" s="477"/>
      <c r="D98" s="465" t="s">
        <v>3464</v>
      </c>
      <c r="E98" s="464" t="s">
        <v>79</v>
      </c>
      <c r="F98" s="464" t="s">
        <v>3339</v>
      </c>
      <c r="G98" s="80"/>
      <c r="H98" s="463" t="s">
        <v>55</v>
      </c>
      <c r="I98" s="463" t="s">
        <v>1328</v>
      </c>
      <c r="J98" s="467"/>
      <c r="K98" s="463" t="s">
        <v>1661</v>
      </c>
      <c r="L98" s="464" t="s">
        <v>3388</v>
      </c>
      <c r="M98" s="465"/>
      <c r="N98" s="464"/>
      <c r="O98" s="465"/>
      <c r="P98" s="467"/>
      <c r="Q98" s="463"/>
      <c r="R98" s="465"/>
      <c r="S98" s="476"/>
      <c r="T98" s="469"/>
      <c r="U98" s="467"/>
      <c r="V98" s="467"/>
    </row>
    <row r="99" ht="15.0" customHeight="1">
      <c r="A99" s="463">
        <f t="shared" si="2"/>
        <v>35</v>
      </c>
      <c r="B99" s="464" t="s">
        <v>3465</v>
      </c>
      <c r="C99" s="477"/>
      <c r="D99" s="465" t="s">
        <v>3466</v>
      </c>
      <c r="E99" s="464" t="s">
        <v>79</v>
      </c>
      <c r="F99" s="464" t="s">
        <v>3339</v>
      </c>
      <c r="G99" s="80"/>
      <c r="H99" s="463" t="s">
        <v>55</v>
      </c>
      <c r="I99" s="463" t="s">
        <v>1328</v>
      </c>
      <c r="J99" s="467"/>
      <c r="K99" s="463" t="s">
        <v>1661</v>
      </c>
      <c r="L99" s="464" t="s">
        <v>3388</v>
      </c>
      <c r="M99" s="465"/>
      <c r="N99" s="464"/>
      <c r="O99" s="465"/>
      <c r="P99" s="467"/>
      <c r="Q99" s="463"/>
      <c r="R99" s="465"/>
      <c r="S99" s="476"/>
      <c r="T99" s="469"/>
      <c r="U99" s="467"/>
      <c r="V99" s="467"/>
    </row>
    <row r="100" ht="15.0" customHeight="1">
      <c r="A100" s="463"/>
      <c r="B100" s="464"/>
      <c r="C100" s="477"/>
      <c r="D100" s="465"/>
      <c r="E100" s="464"/>
      <c r="F100" s="464"/>
      <c r="G100" s="80"/>
      <c r="H100" s="463"/>
      <c r="I100" s="463"/>
      <c r="J100" s="467"/>
      <c r="K100" s="463"/>
      <c r="L100" s="464"/>
      <c r="M100" s="465"/>
      <c r="N100" s="464"/>
      <c r="O100" s="465"/>
      <c r="P100" s="467"/>
      <c r="Q100" s="463"/>
      <c r="R100" s="465"/>
      <c r="S100" s="476"/>
      <c r="T100" s="469"/>
      <c r="U100" s="467"/>
      <c r="V100" s="467"/>
    </row>
    <row r="101" ht="15.0" customHeight="1">
      <c r="A101" s="463"/>
      <c r="B101" s="464"/>
      <c r="C101" s="477"/>
      <c r="D101" s="465"/>
      <c r="E101" s="464"/>
      <c r="F101" s="464"/>
      <c r="G101" s="80"/>
      <c r="H101" s="463"/>
      <c r="I101" s="463"/>
      <c r="J101" s="467"/>
      <c r="K101" s="463"/>
      <c r="L101" s="464"/>
      <c r="M101" s="465"/>
      <c r="N101" s="464"/>
      <c r="O101" s="465"/>
      <c r="P101" s="467"/>
      <c r="Q101" s="463"/>
      <c r="R101" s="465"/>
      <c r="S101" s="476"/>
      <c r="T101" s="469"/>
      <c r="U101" s="467"/>
      <c r="V101" s="467"/>
    </row>
    <row r="102" ht="15.0" customHeight="1">
      <c r="A102" s="463"/>
      <c r="B102" s="464"/>
      <c r="C102" s="477"/>
      <c r="D102" s="465"/>
      <c r="E102" s="464"/>
      <c r="F102" s="464"/>
      <c r="G102" s="80"/>
      <c r="H102" s="463"/>
      <c r="I102" s="463"/>
      <c r="J102" s="467"/>
      <c r="K102" s="463"/>
      <c r="L102" s="464"/>
      <c r="M102" s="465"/>
      <c r="N102" s="464"/>
      <c r="O102" s="465"/>
      <c r="P102" s="467"/>
      <c r="Q102" s="463"/>
      <c r="R102" s="465"/>
      <c r="S102" s="476"/>
      <c r="T102" s="469"/>
      <c r="U102" s="467"/>
      <c r="V102" s="467"/>
    </row>
    <row r="103" ht="15.0" customHeight="1">
      <c r="A103" s="463"/>
      <c r="B103" s="464"/>
      <c r="C103" s="477"/>
      <c r="D103" s="465"/>
      <c r="E103" s="464"/>
      <c r="F103" s="464"/>
      <c r="G103" s="80"/>
      <c r="H103" s="463"/>
      <c r="I103" s="463"/>
      <c r="J103" s="467"/>
      <c r="K103" s="463"/>
      <c r="L103" s="464"/>
      <c r="M103" s="465"/>
      <c r="N103" s="464"/>
      <c r="O103" s="465"/>
      <c r="P103" s="467"/>
      <c r="Q103" s="463"/>
      <c r="R103" s="465"/>
      <c r="S103" s="476"/>
      <c r="T103" s="469"/>
      <c r="U103" s="467"/>
      <c r="V103" s="467"/>
    </row>
    <row r="104" ht="15.0" customHeight="1">
      <c r="A104" s="463"/>
      <c r="B104" s="464"/>
      <c r="C104" s="477"/>
      <c r="D104" s="465"/>
      <c r="E104" s="464"/>
      <c r="F104" s="464"/>
      <c r="G104" s="80"/>
      <c r="H104" s="463"/>
      <c r="I104" s="463"/>
      <c r="J104" s="467"/>
      <c r="K104" s="463"/>
      <c r="L104" s="464"/>
      <c r="M104" s="465"/>
      <c r="N104" s="464"/>
      <c r="O104" s="465"/>
      <c r="P104" s="467"/>
      <c r="Q104" s="463"/>
      <c r="R104" s="465"/>
      <c r="S104" s="476"/>
      <c r="T104" s="469"/>
      <c r="U104" s="467"/>
      <c r="V104" s="467"/>
    </row>
    <row r="105" ht="15.0" customHeight="1">
      <c r="A105" s="463"/>
      <c r="B105" s="464"/>
      <c r="C105" s="477"/>
      <c r="D105" s="465"/>
      <c r="E105" s="464"/>
      <c r="F105" s="464"/>
      <c r="G105" s="80"/>
      <c r="H105" s="463"/>
      <c r="I105" s="463"/>
      <c r="J105" s="467"/>
      <c r="K105" s="463"/>
      <c r="L105" s="464"/>
      <c r="M105" s="465"/>
      <c r="N105" s="464"/>
      <c r="O105" s="465"/>
      <c r="P105" s="467"/>
      <c r="Q105" s="463"/>
      <c r="R105" s="465"/>
      <c r="S105" s="476"/>
      <c r="T105" s="469"/>
      <c r="U105" s="467"/>
      <c r="V105" s="467"/>
    </row>
    <row r="106" ht="15.0" customHeight="1">
      <c r="A106" s="463"/>
      <c r="B106" s="464"/>
      <c r="C106" s="477"/>
      <c r="D106" s="465"/>
      <c r="E106" s="464"/>
      <c r="F106" s="464"/>
      <c r="G106" s="80"/>
      <c r="H106" s="463"/>
      <c r="I106" s="463"/>
      <c r="J106" s="467"/>
      <c r="K106" s="463"/>
      <c r="L106" s="464"/>
      <c r="M106" s="465"/>
      <c r="N106" s="464"/>
      <c r="O106" s="465"/>
      <c r="P106" s="467"/>
      <c r="Q106" s="463"/>
      <c r="R106" s="465"/>
      <c r="S106" s="476"/>
      <c r="T106" s="469"/>
      <c r="U106" s="467"/>
      <c r="V106" s="467"/>
    </row>
    <row r="107" ht="15.0" customHeight="1">
      <c r="A107" s="463"/>
      <c r="B107" s="464"/>
      <c r="C107" s="477" t="s">
        <v>759</v>
      </c>
      <c r="D107" s="465"/>
      <c r="E107" s="464"/>
      <c r="F107" s="464"/>
      <c r="G107" s="80" t="str">
        <f>VLOOKUP(F107,'01. TH'!$B:$E,3,0)</f>
        <v>#N/A</v>
      </c>
      <c r="H107" s="463"/>
      <c r="I107" s="463"/>
      <c r="J107" s="467"/>
      <c r="K107" s="463"/>
      <c r="L107" s="464"/>
      <c r="M107" s="465"/>
      <c r="N107" s="464"/>
      <c r="O107" s="465"/>
      <c r="P107" s="467"/>
      <c r="Q107" s="463"/>
      <c r="R107" s="465"/>
      <c r="S107" s="476"/>
      <c r="T107" s="469"/>
      <c r="U107" s="467"/>
      <c r="V107" s="467"/>
    </row>
    <row r="108" ht="15.0" customHeight="1">
      <c r="A108" s="455" t="s">
        <v>515</v>
      </c>
      <c r="B108" s="456" t="s">
        <v>516</v>
      </c>
      <c r="C108" s="457">
        <f>COUNTA($B$109:$B$122)</f>
        <v>13</v>
      </c>
      <c r="D108" s="458"/>
      <c r="E108" s="458"/>
      <c r="F108" s="458"/>
      <c r="G108" s="459"/>
      <c r="H108" s="459"/>
      <c r="I108" s="457"/>
      <c r="J108" s="460"/>
      <c r="K108" s="457"/>
      <c r="L108" s="458"/>
      <c r="M108" s="461"/>
      <c r="N108" s="458"/>
      <c r="O108" s="461"/>
      <c r="P108" s="458"/>
      <c r="Q108" s="459"/>
      <c r="R108" s="461"/>
      <c r="S108" s="461"/>
      <c r="T108" s="462"/>
      <c r="U108" s="458"/>
      <c r="V108" s="458"/>
    </row>
    <row r="109" ht="15.0" customHeight="1">
      <c r="A109" s="48">
        <v>1.0</v>
      </c>
      <c r="B109" s="464" t="s">
        <v>3467</v>
      </c>
      <c r="C109" s="476" t="s">
        <v>3468</v>
      </c>
      <c r="D109" s="464" t="s">
        <v>3469</v>
      </c>
      <c r="E109" s="464" t="s">
        <v>79</v>
      </c>
      <c r="F109" s="464" t="s">
        <v>3470</v>
      </c>
      <c r="G109" s="80" t="str">
        <f>VLOOKUP(F109,'01. TH'!$B:$E,3,0)</f>
        <v>1830x1885x1590</v>
      </c>
      <c r="H109" s="475" t="s">
        <v>59</v>
      </c>
      <c r="I109" s="475"/>
      <c r="J109" s="467"/>
      <c r="K109" s="463" t="s">
        <v>1661</v>
      </c>
      <c r="L109" s="467"/>
      <c r="M109" s="476"/>
      <c r="N109" s="468" t="s">
        <v>260</v>
      </c>
      <c r="O109" s="465" t="s">
        <v>3233</v>
      </c>
      <c r="P109" s="468" t="s">
        <v>260</v>
      </c>
      <c r="Q109" s="475"/>
      <c r="R109" s="476"/>
      <c r="S109" s="476"/>
      <c r="T109" s="469"/>
      <c r="U109" s="467"/>
      <c r="V109" s="467"/>
    </row>
    <row r="110" ht="15.0" customHeight="1">
      <c r="A110" s="463">
        <v>2.0</v>
      </c>
      <c r="B110" s="464" t="s">
        <v>3471</v>
      </c>
      <c r="C110" s="476" t="s">
        <v>3471</v>
      </c>
      <c r="D110" s="464" t="s">
        <v>3472</v>
      </c>
      <c r="E110" s="464" t="s">
        <v>79</v>
      </c>
      <c r="F110" s="467" t="s">
        <v>3473</v>
      </c>
      <c r="G110" s="80" t="str">
        <f>VLOOKUP(F110,'01. TH'!$B:$E,3,0)</f>
        <v>#N/A</v>
      </c>
      <c r="H110" s="475" t="s">
        <v>59</v>
      </c>
      <c r="I110" s="475"/>
      <c r="J110" s="467"/>
      <c r="K110" s="463" t="s">
        <v>1661</v>
      </c>
      <c r="L110" s="467"/>
      <c r="M110" s="476"/>
      <c r="N110" s="468" t="s">
        <v>260</v>
      </c>
      <c r="O110" s="476"/>
      <c r="P110" s="468" t="s">
        <v>260</v>
      </c>
      <c r="Q110" s="475"/>
      <c r="R110" s="476"/>
      <c r="S110" s="476"/>
      <c r="T110" s="469"/>
      <c r="U110" s="467"/>
      <c r="V110" s="467"/>
    </row>
    <row r="111" ht="15.0" customHeight="1">
      <c r="A111" s="48">
        <v>3.0</v>
      </c>
      <c r="B111" s="464" t="s">
        <v>3474</v>
      </c>
      <c r="C111" s="476" t="s">
        <v>3246</v>
      </c>
      <c r="D111" s="464" t="s">
        <v>3475</v>
      </c>
      <c r="E111" s="464" t="s">
        <v>79</v>
      </c>
      <c r="F111" s="464" t="s">
        <v>3244</v>
      </c>
      <c r="G111" s="80" t="str">
        <f>VLOOKUP(F111,'01. TH'!$B:$E,3,0)</f>
        <v>#N/A</v>
      </c>
      <c r="H111" s="475" t="s">
        <v>59</v>
      </c>
      <c r="I111" s="475"/>
      <c r="J111" s="467"/>
      <c r="K111" s="463" t="s">
        <v>1661</v>
      </c>
      <c r="L111" s="467"/>
      <c r="M111" s="476"/>
      <c r="N111" s="468" t="s">
        <v>260</v>
      </c>
      <c r="O111" s="465" t="s">
        <v>3245</v>
      </c>
      <c r="P111" s="468" t="s">
        <v>260</v>
      </c>
      <c r="Q111" s="475"/>
      <c r="R111" s="476"/>
      <c r="S111" s="476"/>
      <c r="T111" s="469"/>
      <c r="U111" s="467"/>
      <c r="V111" s="467"/>
    </row>
    <row r="112" ht="15.0" customHeight="1">
      <c r="A112" s="463">
        <v>4.0</v>
      </c>
      <c r="B112" s="464" t="s">
        <v>3476</v>
      </c>
      <c r="C112" s="476"/>
      <c r="D112" s="464" t="s">
        <v>3477</v>
      </c>
      <c r="E112" s="464" t="s">
        <v>79</v>
      </c>
      <c r="F112" s="464" t="s">
        <v>3478</v>
      </c>
      <c r="G112" s="80" t="str">
        <f>VLOOKUP(F112,'01. TH'!$B:$E,3,0)</f>
        <v>#N/A</v>
      </c>
      <c r="H112" s="475" t="s">
        <v>59</v>
      </c>
      <c r="I112" s="475"/>
      <c r="J112" s="467"/>
      <c r="K112" s="463" t="s">
        <v>1565</v>
      </c>
      <c r="L112" s="464"/>
      <c r="M112" s="465" t="s">
        <v>3479</v>
      </c>
      <c r="N112" s="468" t="s">
        <v>260</v>
      </c>
      <c r="O112" s="465" t="s">
        <v>3480</v>
      </c>
      <c r="P112" s="468" t="s">
        <v>260</v>
      </c>
      <c r="Q112" s="475"/>
      <c r="R112" s="476"/>
      <c r="S112" s="476"/>
      <c r="T112" s="469"/>
      <c r="U112" s="467"/>
      <c r="V112" s="467"/>
    </row>
    <row r="113" ht="15.0" customHeight="1">
      <c r="A113" s="48">
        <v>5.0</v>
      </c>
      <c r="B113" s="468" t="s">
        <v>3481</v>
      </c>
      <c r="C113" s="476"/>
      <c r="D113" s="464" t="s">
        <v>3482</v>
      </c>
      <c r="E113" s="464" t="s">
        <v>79</v>
      </c>
      <c r="F113" s="464" t="s">
        <v>3239</v>
      </c>
      <c r="G113" s="80" t="str">
        <f>VLOOKUP(F113,'01. TH'!$B:$E,3,0)</f>
        <v/>
      </c>
      <c r="H113" s="475" t="s">
        <v>59</v>
      </c>
      <c r="I113" s="475"/>
      <c r="J113" s="467"/>
      <c r="K113" s="463" t="s">
        <v>1661</v>
      </c>
      <c r="L113" s="464"/>
      <c r="M113" s="465"/>
      <c r="N113" s="468" t="s">
        <v>260</v>
      </c>
      <c r="O113" s="476"/>
      <c r="P113" s="468" t="s">
        <v>260</v>
      </c>
      <c r="Q113" s="475"/>
      <c r="R113" s="476"/>
      <c r="S113" s="476"/>
      <c r="T113" s="469"/>
      <c r="U113" s="467"/>
      <c r="V113" s="467"/>
    </row>
    <row r="114" ht="15.0" customHeight="1">
      <c r="A114" s="463">
        <v>6.0</v>
      </c>
      <c r="B114" s="468" t="s">
        <v>3483</v>
      </c>
      <c r="C114" s="476"/>
      <c r="D114" s="464" t="s">
        <v>3484</v>
      </c>
      <c r="E114" s="464" t="s">
        <v>79</v>
      </c>
      <c r="F114" s="464" t="s">
        <v>3239</v>
      </c>
      <c r="G114" s="80" t="str">
        <f>VLOOKUP(F114,'01. TH'!$B:$E,3,0)</f>
        <v/>
      </c>
      <c r="H114" s="475" t="s">
        <v>59</v>
      </c>
      <c r="I114" s="463" t="s">
        <v>3485</v>
      </c>
      <c r="J114" s="467"/>
      <c r="K114" s="463" t="s">
        <v>1661</v>
      </c>
      <c r="L114" s="464"/>
      <c r="M114" s="465"/>
      <c r="N114" s="468" t="s">
        <v>260</v>
      </c>
      <c r="O114" s="465" t="s">
        <v>3486</v>
      </c>
      <c r="P114" s="468" t="s">
        <v>260</v>
      </c>
      <c r="Q114" s="463">
        <v>2024.0</v>
      </c>
      <c r="R114" s="465" t="s">
        <v>3487</v>
      </c>
      <c r="S114" s="465" t="s">
        <v>3488</v>
      </c>
      <c r="T114" s="482"/>
      <c r="U114" s="464"/>
      <c r="V114" s="464"/>
    </row>
    <row r="115" ht="15.0" customHeight="1">
      <c r="A115" s="48">
        <v>7.0</v>
      </c>
      <c r="B115" s="464" t="s">
        <v>3489</v>
      </c>
      <c r="C115" s="476"/>
      <c r="D115" s="464" t="s">
        <v>3490</v>
      </c>
      <c r="E115" s="464" t="s">
        <v>3238</v>
      </c>
      <c r="F115" s="464" t="s">
        <v>3239</v>
      </c>
      <c r="G115" s="80" t="str">
        <f>VLOOKUP(F115,'01. TH'!$B:$E,3,0)</f>
        <v/>
      </c>
      <c r="H115" s="475" t="s">
        <v>59</v>
      </c>
      <c r="I115" s="463" t="s">
        <v>141</v>
      </c>
      <c r="J115" s="467"/>
      <c r="K115" s="463" t="s">
        <v>1661</v>
      </c>
      <c r="L115" s="464" t="s">
        <v>490</v>
      </c>
      <c r="M115" s="465"/>
      <c r="N115" s="464" t="s">
        <v>3380</v>
      </c>
      <c r="O115" s="465" t="s">
        <v>3491</v>
      </c>
      <c r="P115" s="464" t="s">
        <v>222</v>
      </c>
      <c r="Q115" s="475"/>
      <c r="R115" s="476"/>
      <c r="S115" s="465" t="s">
        <v>3492</v>
      </c>
      <c r="T115" s="469"/>
      <c r="U115" s="467"/>
      <c r="V115" s="467"/>
    </row>
    <row r="116" ht="15.0" customHeight="1">
      <c r="A116" s="463">
        <v>8.0</v>
      </c>
      <c r="B116" s="464" t="s">
        <v>3493</v>
      </c>
      <c r="C116" s="476"/>
      <c r="D116" s="464" t="s">
        <v>3494</v>
      </c>
      <c r="E116" s="464" t="s">
        <v>3238</v>
      </c>
      <c r="F116" s="464" t="s">
        <v>3239</v>
      </c>
      <c r="G116" s="80" t="str">
        <f>VLOOKUP(F116,'01. TH'!$B:$E,3,0)</f>
        <v/>
      </c>
      <c r="H116" s="475" t="s">
        <v>59</v>
      </c>
      <c r="I116" s="463" t="s">
        <v>141</v>
      </c>
      <c r="J116" s="467"/>
      <c r="K116" s="463" t="s">
        <v>1661</v>
      </c>
      <c r="L116" s="464" t="s">
        <v>490</v>
      </c>
      <c r="M116" s="465"/>
      <c r="N116" s="464" t="s">
        <v>3380</v>
      </c>
      <c r="O116" s="465" t="s">
        <v>3491</v>
      </c>
      <c r="P116" s="464" t="s">
        <v>222</v>
      </c>
      <c r="Q116" s="475"/>
      <c r="R116" s="476"/>
      <c r="S116" s="465" t="s">
        <v>3495</v>
      </c>
      <c r="T116" s="469"/>
      <c r="U116" s="467"/>
      <c r="V116" s="467"/>
    </row>
    <row r="117" ht="15.0" customHeight="1">
      <c r="A117" s="48">
        <v>9.0</v>
      </c>
      <c r="B117" s="464" t="s">
        <v>3496</v>
      </c>
      <c r="C117" s="476"/>
      <c r="D117" s="464" t="s">
        <v>3497</v>
      </c>
      <c r="E117" s="464" t="s">
        <v>3238</v>
      </c>
      <c r="F117" s="464" t="s">
        <v>3239</v>
      </c>
      <c r="G117" s="80" t="str">
        <f>VLOOKUP(F117,'01. TH'!$B:$E,3,0)</f>
        <v/>
      </c>
      <c r="H117" s="475" t="s">
        <v>59</v>
      </c>
      <c r="I117" s="463" t="s">
        <v>3498</v>
      </c>
      <c r="J117" s="467"/>
      <c r="K117" s="463" t="s">
        <v>1661</v>
      </c>
      <c r="L117" s="464" t="s">
        <v>490</v>
      </c>
      <c r="M117" s="465"/>
      <c r="N117" s="464" t="s">
        <v>3380</v>
      </c>
      <c r="O117" s="465" t="s">
        <v>3491</v>
      </c>
      <c r="P117" s="464" t="s">
        <v>222</v>
      </c>
      <c r="Q117" s="475"/>
      <c r="R117" s="476"/>
      <c r="S117" s="465" t="s">
        <v>3499</v>
      </c>
      <c r="T117" s="469"/>
      <c r="U117" s="467"/>
      <c r="V117" s="467"/>
    </row>
    <row r="118" ht="15.0" customHeight="1">
      <c r="A118" s="463">
        <v>10.0</v>
      </c>
      <c r="B118" s="464" t="s">
        <v>3500</v>
      </c>
      <c r="C118" s="476"/>
      <c r="D118" s="464"/>
      <c r="E118" s="464" t="s">
        <v>3238</v>
      </c>
      <c r="F118" s="464" t="s">
        <v>3239</v>
      </c>
      <c r="G118" s="80" t="str">
        <f>VLOOKUP(F118,'01. TH'!$B:$E,3,0)</f>
        <v/>
      </c>
      <c r="H118" s="475" t="s">
        <v>59</v>
      </c>
      <c r="I118" s="475"/>
      <c r="J118" s="467"/>
      <c r="K118" s="463" t="s">
        <v>1661</v>
      </c>
      <c r="L118" s="464" t="s">
        <v>3501</v>
      </c>
      <c r="M118" s="465"/>
      <c r="N118" s="467"/>
      <c r="O118" s="465" t="s">
        <v>3502</v>
      </c>
      <c r="P118" s="464"/>
      <c r="Q118" s="475"/>
      <c r="R118" s="476"/>
      <c r="S118" s="476"/>
      <c r="T118" s="469"/>
      <c r="U118" s="467"/>
      <c r="V118" s="467"/>
    </row>
    <row r="119" ht="15.0" customHeight="1">
      <c r="A119" s="48">
        <v>11.0</v>
      </c>
      <c r="B119" s="464" t="s">
        <v>3503</v>
      </c>
      <c r="C119" s="476"/>
      <c r="D119" s="464" t="s">
        <v>3504</v>
      </c>
      <c r="E119" s="464" t="s">
        <v>79</v>
      </c>
      <c r="F119" s="468" t="s">
        <v>3252</v>
      </c>
      <c r="G119" s="80" t="str">
        <f>VLOOKUP(F119,'01. TH'!$B:$E,3,0)</f>
        <v/>
      </c>
      <c r="H119" s="475" t="s">
        <v>59</v>
      </c>
      <c r="I119" s="475"/>
      <c r="J119" s="467"/>
      <c r="K119" s="463" t="s">
        <v>1661</v>
      </c>
      <c r="L119" s="464"/>
      <c r="M119" s="465"/>
      <c r="N119" s="468" t="s">
        <v>260</v>
      </c>
      <c r="O119" s="465" t="s">
        <v>3253</v>
      </c>
      <c r="P119" s="468" t="s">
        <v>260</v>
      </c>
      <c r="Q119" s="475"/>
      <c r="R119" s="476"/>
      <c r="S119" s="476"/>
      <c r="T119" s="469"/>
      <c r="U119" s="467"/>
      <c r="V119" s="467"/>
    </row>
    <row r="120" ht="15.0" customHeight="1">
      <c r="A120" s="463">
        <v>12.0</v>
      </c>
      <c r="B120" s="464" t="s">
        <v>3505</v>
      </c>
      <c r="C120" s="477"/>
      <c r="D120" s="464" t="s">
        <v>3506</v>
      </c>
      <c r="E120" s="464" t="s">
        <v>3238</v>
      </c>
      <c r="F120" s="468" t="s">
        <v>3252</v>
      </c>
      <c r="G120" s="80" t="str">
        <f>VLOOKUP(F120,'01. TH'!$B:$E,3,0)</f>
        <v/>
      </c>
      <c r="H120" s="475" t="s">
        <v>59</v>
      </c>
      <c r="I120" s="466">
        <v>45452.0</v>
      </c>
      <c r="J120" s="467"/>
      <c r="K120" s="463" t="s">
        <v>1661</v>
      </c>
      <c r="L120" s="464" t="s">
        <v>336</v>
      </c>
      <c r="M120" s="476"/>
      <c r="N120" s="464" t="s">
        <v>3507</v>
      </c>
      <c r="O120" s="465" t="s">
        <v>3508</v>
      </c>
      <c r="P120" s="464" t="s">
        <v>103</v>
      </c>
      <c r="Q120" s="463">
        <v>2021.0</v>
      </c>
      <c r="R120" s="465" t="s">
        <v>3509</v>
      </c>
      <c r="S120" s="465" t="s">
        <v>3510</v>
      </c>
      <c r="T120" s="469"/>
      <c r="U120" s="467"/>
      <c r="V120" s="467"/>
    </row>
    <row r="121" ht="15.0" customHeight="1">
      <c r="A121" s="48">
        <v>13.0</v>
      </c>
      <c r="B121" s="464" t="s">
        <v>3511</v>
      </c>
      <c r="C121" s="477" t="s">
        <v>3512</v>
      </c>
      <c r="D121" s="464" t="s">
        <v>3513</v>
      </c>
      <c r="E121" s="464" t="s">
        <v>79</v>
      </c>
      <c r="F121" s="464" t="s">
        <v>3514</v>
      </c>
      <c r="G121" s="80" t="str">
        <f>VLOOKUP(F121,'01. TH'!$B:$E,3,0)</f>
        <v>6.1x2.4x0.9</v>
      </c>
      <c r="H121" s="475" t="s">
        <v>59</v>
      </c>
      <c r="I121" s="463" t="s">
        <v>1261</v>
      </c>
      <c r="J121" s="467"/>
      <c r="K121" s="463" t="s">
        <v>1661</v>
      </c>
      <c r="L121" s="464" t="s">
        <v>3515</v>
      </c>
      <c r="M121" s="476"/>
      <c r="N121" s="464" t="s">
        <v>3258</v>
      </c>
      <c r="O121" s="476"/>
      <c r="P121" s="464" t="s">
        <v>3260</v>
      </c>
      <c r="Q121" s="475"/>
      <c r="R121" s="476"/>
      <c r="S121" s="476"/>
      <c r="T121" s="469"/>
      <c r="U121" s="467"/>
      <c r="V121" s="467"/>
    </row>
    <row r="122" ht="15.0" hidden="1" customHeight="1">
      <c r="A122" s="48"/>
      <c r="B122" s="464"/>
      <c r="C122" s="477" t="s">
        <v>759</v>
      </c>
      <c r="D122" s="464"/>
      <c r="E122" s="467"/>
      <c r="F122" s="464"/>
      <c r="G122" s="80" t="str">
        <f>VLOOKUP(F122,'01. TH'!$B:$E,3,0)</f>
        <v>#N/A</v>
      </c>
      <c r="H122" s="475"/>
      <c r="I122" s="463"/>
      <c r="J122" s="467"/>
      <c r="K122" s="463"/>
      <c r="L122" s="483"/>
      <c r="M122" s="476"/>
      <c r="N122" s="467"/>
      <c r="O122" s="476"/>
      <c r="P122" s="467"/>
      <c r="Q122" s="475"/>
      <c r="R122" s="476"/>
      <c r="S122" s="476"/>
      <c r="T122" s="469"/>
      <c r="U122" s="467"/>
      <c r="V122" s="467"/>
    </row>
    <row r="123" ht="15.0" customHeight="1">
      <c r="A123" s="447" t="s">
        <v>3516</v>
      </c>
      <c r="B123" s="448" t="s">
        <v>3517</v>
      </c>
      <c r="C123" s="484">
        <f>SUM(C124,C185,C217)</f>
        <v>103</v>
      </c>
      <c r="D123" s="450"/>
      <c r="E123" s="450"/>
      <c r="F123" s="450"/>
      <c r="G123" s="451"/>
      <c r="H123" s="485"/>
      <c r="I123" s="453"/>
      <c r="J123" s="450"/>
      <c r="K123" s="453"/>
      <c r="L123" s="450"/>
      <c r="M123" s="452"/>
      <c r="N123" s="450"/>
      <c r="O123" s="452"/>
      <c r="P123" s="450"/>
      <c r="Q123" s="453"/>
      <c r="R123" s="452"/>
      <c r="S123" s="452"/>
      <c r="T123" s="454"/>
      <c r="U123" s="450"/>
      <c r="V123" s="450"/>
    </row>
    <row r="124" ht="15.0" customHeight="1">
      <c r="A124" s="455" t="s">
        <v>653</v>
      </c>
      <c r="B124" s="456" t="s">
        <v>654</v>
      </c>
      <c r="C124" s="457">
        <f>COUNTA($B$125:$B$184)</f>
        <v>54</v>
      </c>
      <c r="D124" s="458"/>
      <c r="E124" s="458"/>
      <c r="F124" s="458"/>
      <c r="G124" s="459"/>
      <c r="H124" s="459"/>
      <c r="I124" s="457"/>
      <c r="J124" s="460"/>
      <c r="K124" s="457"/>
      <c r="L124" s="458"/>
      <c r="M124" s="461"/>
      <c r="N124" s="458"/>
      <c r="O124" s="461"/>
      <c r="P124" s="458"/>
      <c r="Q124" s="459"/>
      <c r="R124" s="461"/>
      <c r="S124" s="461"/>
      <c r="T124" s="462"/>
      <c r="U124" s="458"/>
      <c r="V124" s="458"/>
    </row>
    <row r="125" ht="15.0" customHeight="1">
      <c r="A125" s="463">
        <v>1.0</v>
      </c>
      <c r="B125" s="467" t="s">
        <v>3518</v>
      </c>
      <c r="C125" s="465" t="s">
        <v>3519</v>
      </c>
      <c r="D125" s="464" t="s">
        <v>3520</v>
      </c>
      <c r="E125" s="464" t="s">
        <v>79</v>
      </c>
      <c r="F125" s="467" t="s">
        <v>3521</v>
      </c>
      <c r="G125" s="80" t="str">
        <f>VLOOKUP(F125,'01. TH'!$B:$E,3,0)</f>
        <v>1x1x1</v>
      </c>
      <c r="H125" s="475" t="s">
        <v>45</v>
      </c>
      <c r="I125" s="475"/>
      <c r="J125" s="467"/>
      <c r="K125" s="463" t="s">
        <v>1661</v>
      </c>
      <c r="L125" s="467"/>
      <c r="M125" s="476"/>
      <c r="N125" s="464" t="s">
        <v>3258</v>
      </c>
      <c r="O125" s="476"/>
      <c r="P125" s="464" t="s">
        <v>3260</v>
      </c>
      <c r="Q125" s="475"/>
      <c r="R125" s="476"/>
      <c r="S125" s="476" t="s">
        <v>3522</v>
      </c>
      <c r="T125" s="469"/>
      <c r="U125" s="467"/>
      <c r="V125" s="467"/>
    </row>
    <row r="126" ht="15.0" customHeight="1">
      <c r="A126" s="463">
        <f t="shared" ref="A126:A178" si="3">A125+1</f>
        <v>2</v>
      </c>
      <c r="B126" s="464" t="s">
        <v>3523</v>
      </c>
      <c r="C126" s="465" t="s">
        <v>3524</v>
      </c>
      <c r="D126" s="464" t="s">
        <v>3525</v>
      </c>
      <c r="E126" s="464" t="s">
        <v>79</v>
      </c>
      <c r="F126" s="467" t="s">
        <v>3526</v>
      </c>
      <c r="G126" s="80" t="str">
        <f>VLOOKUP(F126,'01. TH'!$B:$E,3,0)</f>
        <v>1070 x 2310 x 1300</v>
      </c>
      <c r="H126" s="475" t="s">
        <v>45</v>
      </c>
      <c r="I126" s="475"/>
      <c r="J126" s="467"/>
      <c r="K126" s="463" t="s">
        <v>1661</v>
      </c>
      <c r="L126" s="467"/>
      <c r="M126" s="476"/>
      <c r="N126" s="468" t="s">
        <v>260</v>
      </c>
      <c r="O126" s="465" t="s">
        <v>3527</v>
      </c>
      <c r="P126" s="468" t="s">
        <v>260</v>
      </c>
      <c r="Q126" s="475"/>
      <c r="R126" s="476"/>
      <c r="S126" s="476"/>
      <c r="T126" s="469"/>
      <c r="U126" s="467"/>
      <c r="V126" s="467"/>
    </row>
    <row r="127" ht="15.0" customHeight="1">
      <c r="A127" s="463">
        <f t="shared" si="3"/>
        <v>3</v>
      </c>
      <c r="B127" s="464" t="s">
        <v>3528</v>
      </c>
      <c r="C127" s="465" t="s">
        <v>3529</v>
      </c>
      <c r="D127" s="464" t="s">
        <v>3530</v>
      </c>
      <c r="E127" s="464" t="s">
        <v>79</v>
      </c>
      <c r="F127" s="467" t="s">
        <v>3526</v>
      </c>
      <c r="G127" s="80" t="str">
        <f>VLOOKUP(F127,'01. TH'!$B:$E,3,0)</f>
        <v>1070 x 2310 x 1300</v>
      </c>
      <c r="H127" s="475" t="s">
        <v>45</v>
      </c>
      <c r="I127" s="475"/>
      <c r="J127" s="467"/>
      <c r="K127" s="463" t="s">
        <v>1661</v>
      </c>
      <c r="L127" s="467"/>
      <c r="M127" s="476"/>
      <c r="N127" s="468" t="s">
        <v>260</v>
      </c>
      <c r="O127" s="465" t="s">
        <v>3527</v>
      </c>
      <c r="P127" s="468" t="s">
        <v>260</v>
      </c>
      <c r="Q127" s="475"/>
      <c r="R127" s="476"/>
      <c r="S127" s="476"/>
      <c r="T127" s="469"/>
      <c r="U127" s="467"/>
      <c r="V127" s="467"/>
    </row>
    <row r="128" ht="15.0" customHeight="1">
      <c r="A128" s="463">
        <f t="shared" si="3"/>
        <v>4</v>
      </c>
      <c r="B128" s="464" t="s">
        <v>3531</v>
      </c>
      <c r="C128" s="465" t="s">
        <v>3532</v>
      </c>
      <c r="D128" s="464" t="s">
        <v>3533</v>
      </c>
      <c r="E128" s="464" t="s">
        <v>79</v>
      </c>
      <c r="F128" s="467" t="s">
        <v>3526</v>
      </c>
      <c r="G128" s="80" t="str">
        <f>VLOOKUP(F128,'01. TH'!$B:$E,3,0)</f>
        <v>1070 x 2310 x 1300</v>
      </c>
      <c r="H128" s="475" t="s">
        <v>45</v>
      </c>
      <c r="I128" s="475"/>
      <c r="J128" s="467"/>
      <c r="K128" s="463" t="s">
        <v>1661</v>
      </c>
      <c r="L128" s="467"/>
      <c r="M128" s="476"/>
      <c r="N128" s="468" t="s">
        <v>260</v>
      </c>
      <c r="O128" s="465" t="s">
        <v>3527</v>
      </c>
      <c r="P128" s="468" t="s">
        <v>260</v>
      </c>
      <c r="Q128" s="475"/>
      <c r="R128" s="476"/>
      <c r="S128" s="476"/>
      <c r="T128" s="469"/>
      <c r="U128" s="467"/>
      <c r="V128" s="467"/>
    </row>
    <row r="129" ht="15.0" customHeight="1">
      <c r="A129" s="463">
        <f t="shared" si="3"/>
        <v>5</v>
      </c>
      <c r="B129" s="464" t="s">
        <v>3534</v>
      </c>
      <c r="C129" s="465" t="s">
        <v>3535</v>
      </c>
      <c r="D129" s="464" t="s">
        <v>3536</v>
      </c>
      <c r="E129" s="464" t="s">
        <v>79</v>
      </c>
      <c r="F129" s="467" t="s">
        <v>3537</v>
      </c>
      <c r="G129" s="80" t="str">
        <f>VLOOKUP(F129,'01. TH'!$B:$E,3,0)</f>
        <v>1230x1705x860</v>
      </c>
      <c r="H129" s="475" t="s">
        <v>45</v>
      </c>
      <c r="I129" s="475"/>
      <c r="J129" s="467"/>
      <c r="K129" s="463" t="s">
        <v>1661</v>
      </c>
      <c r="L129" s="467"/>
      <c r="M129" s="476"/>
      <c r="N129" s="468" t="s">
        <v>260</v>
      </c>
      <c r="O129" s="465" t="s">
        <v>3538</v>
      </c>
      <c r="P129" s="468" t="s">
        <v>260</v>
      </c>
      <c r="Q129" s="475"/>
      <c r="R129" s="476"/>
      <c r="S129" s="476"/>
      <c r="T129" s="482">
        <v>9.5</v>
      </c>
      <c r="U129" s="464" t="s">
        <v>3539</v>
      </c>
      <c r="V129" s="467"/>
    </row>
    <row r="130" ht="15.0" customHeight="1">
      <c r="A130" s="463">
        <f t="shared" si="3"/>
        <v>6</v>
      </c>
      <c r="B130" s="464" t="s">
        <v>3540</v>
      </c>
      <c r="C130" s="465" t="s">
        <v>3541</v>
      </c>
      <c r="D130" s="464" t="s">
        <v>3542</v>
      </c>
      <c r="E130" s="464" t="s">
        <v>79</v>
      </c>
      <c r="F130" s="467" t="s">
        <v>3537</v>
      </c>
      <c r="G130" s="80" t="str">
        <f>VLOOKUP(F130,'01. TH'!$B:$E,3,0)</f>
        <v>1230x1705x860</v>
      </c>
      <c r="H130" s="475" t="s">
        <v>45</v>
      </c>
      <c r="I130" s="475"/>
      <c r="J130" s="467"/>
      <c r="K130" s="463" t="s">
        <v>1661</v>
      </c>
      <c r="L130" s="467"/>
      <c r="M130" s="476"/>
      <c r="N130" s="468" t="s">
        <v>260</v>
      </c>
      <c r="O130" s="465" t="s">
        <v>3538</v>
      </c>
      <c r="P130" s="468" t="s">
        <v>260</v>
      </c>
      <c r="Q130" s="475"/>
      <c r="R130" s="476"/>
      <c r="S130" s="476"/>
      <c r="T130" s="482">
        <v>9.5</v>
      </c>
      <c r="U130" s="464" t="s">
        <v>3539</v>
      </c>
      <c r="V130" s="467"/>
    </row>
    <row r="131" ht="15.0" customHeight="1">
      <c r="A131" s="463">
        <f t="shared" si="3"/>
        <v>7</v>
      </c>
      <c r="B131" s="464" t="s">
        <v>3543</v>
      </c>
      <c r="C131" s="465"/>
      <c r="D131" s="464" t="s">
        <v>3544</v>
      </c>
      <c r="E131" s="464" t="s">
        <v>3238</v>
      </c>
      <c r="F131" s="467" t="s">
        <v>3537</v>
      </c>
      <c r="G131" s="80"/>
      <c r="H131" s="475" t="s">
        <v>45</v>
      </c>
      <c r="I131" s="463" t="s">
        <v>3545</v>
      </c>
      <c r="J131" s="467"/>
      <c r="K131" s="463" t="s">
        <v>1661</v>
      </c>
      <c r="L131" s="464" t="s">
        <v>160</v>
      </c>
      <c r="M131" s="476"/>
      <c r="N131" s="468" t="s">
        <v>3546</v>
      </c>
      <c r="O131" s="465" t="s">
        <v>3547</v>
      </c>
      <c r="P131" s="468" t="s">
        <v>2339</v>
      </c>
      <c r="Q131" s="463">
        <v>2025.0</v>
      </c>
      <c r="R131" s="465" t="s">
        <v>3548</v>
      </c>
      <c r="S131" s="465" t="s">
        <v>3549</v>
      </c>
      <c r="T131" s="482">
        <v>9.5</v>
      </c>
      <c r="U131" s="464" t="s">
        <v>3539</v>
      </c>
      <c r="V131" s="467"/>
    </row>
    <row r="132" ht="15.0" customHeight="1">
      <c r="A132" s="463">
        <f t="shared" si="3"/>
        <v>8</v>
      </c>
      <c r="B132" s="464" t="s">
        <v>3550</v>
      </c>
      <c r="C132" s="465" t="s">
        <v>3551</v>
      </c>
      <c r="D132" s="464" t="s">
        <v>3552</v>
      </c>
      <c r="E132" s="464" t="s">
        <v>79</v>
      </c>
      <c r="F132" s="467" t="s">
        <v>3553</v>
      </c>
      <c r="G132" s="80" t="str">
        <f>VLOOKUP(F132,'01. TH'!$B:$E,3,0)</f>
        <v>1970x1460x978</v>
      </c>
      <c r="H132" s="475" t="s">
        <v>45</v>
      </c>
      <c r="I132" s="475"/>
      <c r="J132" s="467"/>
      <c r="K132" s="463" t="s">
        <v>1661</v>
      </c>
      <c r="L132" s="467"/>
      <c r="M132" s="476"/>
      <c r="N132" s="468" t="s">
        <v>260</v>
      </c>
      <c r="O132" s="465" t="s">
        <v>3554</v>
      </c>
      <c r="P132" s="468" t="s">
        <v>260</v>
      </c>
      <c r="Q132" s="475"/>
      <c r="R132" s="476"/>
      <c r="S132" s="476"/>
      <c r="T132" s="469"/>
      <c r="U132" s="467"/>
      <c r="V132" s="467"/>
    </row>
    <row r="133" ht="15.0" customHeight="1">
      <c r="A133" s="463">
        <f t="shared" si="3"/>
        <v>9</v>
      </c>
      <c r="B133" s="464" t="s">
        <v>3555</v>
      </c>
      <c r="C133" s="465" t="s">
        <v>3556</v>
      </c>
      <c r="D133" s="464" t="s">
        <v>3557</v>
      </c>
      <c r="E133" s="464" t="s">
        <v>79</v>
      </c>
      <c r="F133" s="464" t="s">
        <v>3558</v>
      </c>
      <c r="G133" s="80" t="str">
        <f>VLOOKUP(F133,'01. TH'!$B:$E,3,0)</f>
        <v/>
      </c>
      <c r="H133" s="475" t="s">
        <v>45</v>
      </c>
      <c r="I133" s="475"/>
      <c r="J133" s="467"/>
      <c r="K133" s="463" t="s">
        <v>1661</v>
      </c>
      <c r="L133" s="467"/>
      <c r="M133" s="476"/>
      <c r="N133" s="468" t="s">
        <v>260</v>
      </c>
      <c r="O133" s="465" t="s">
        <v>3559</v>
      </c>
      <c r="P133" s="468" t="s">
        <v>260</v>
      </c>
      <c r="Q133" s="475"/>
      <c r="R133" s="476"/>
      <c r="S133" s="476"/>
      <c r="T133" s="482">
        <v>6.0</v>
      </c>
      <c r="U133" s="464" t="s">
        <v>3539</v>
      </c>
      <c r="V133" s="467"/>
    </row>
    <row r="134" ht="15.0" customHeight="1">
      <c r="A134" s="463">
        <f t="shared" si="3"/>
        <v>10</v>
      </c>
      <c r="B134" s="464" t="s">
        <v>3560</v>
      </c>
      <c r="C134" s="465" t="s">
        <v>3561</v>
      </c>
      <c r="D134" s="464" t="s">
        <v>3562</v>
      </c>
      <c r="E134" s="464" t="s">
        <v>79</v>
      </c>
      <c r="F134" s="464" t="s">
        <v>3558</v>
      </c>
      <c r="G134" s="80" t="str">
        <f>VLOOKUP(F134,'01. TH'!$B:$E,3,0)</f>
        <v/>
      </c>
      <c r="H134" s="475" t="s">
        <v>45</v>
      </c>
      <c r="I134" s="475"/>
      <c r="J134" s="467"/>
      <c r="K134" s="463" t="s">
        <v>865</v>
      </c>
      <c r="L134" s="467"/>
      <c r="M134" s="476"/>
      <c r="N134" s="468" t="s">
        <v>260</v>
      </c>
      <c r="O134" s="465" t="s">
        <v>3559</v>
      </c>
      <c r="P134" s="468" t="s">
        <v>260</v>
      </c>
      <c r="Q134" s="475"/>
      <c r="R134" s="476"/>
      <c r="S134" s="476"/>
      <c r="T134" s="482">
        <v>6.0</v>
      </c>
      <c r="U134" s="464" t="s">
        <v>3539</v>
      </c>
      <c r="V134" s="467"/>
    </row>
    <row r="135" ht="15.0" customHeight="1">
      <c r="A135" s="463">
        <f t="shared" si="3"/>
        <v>11</v>
      </c>
      <c r="B135" s="464" t="s">
        <v>3563</v>
      </c>
      <c r="C135" s="476" t="s">
        <v>3564</v>
      </c>
      <c r="D135" s="464" t="s">
        <v>3565</v>
      </c>
      <c r="E135" s="464" t="s">
        <v>79</v>
      </c>
      <c r="F135" s="467" t="s">
        <v>3566</v>
      </c>
      <c r="G135" s="80" t="str">
        <f>VLOOKUP(F135,'01. TH'!$B:$E,3,0)</f>
        <v/>
      </c>
      <c r="H135" s="475" t="s">
        <v>45</v>
      </c>
      <c r="I135" s="475"/>
      <c r="J135" s="467"/>
      <c r="K135" s="463" t="s">
        <v>1661</v>
      </c>
      <c r="L135" s="467"/>
      <c r="M135" s="476"/>
      <c r="N135" s="468" t="s">
        <v>260</v>
      </c>
      <c r="O135" s="465" t="s">
        <v>3567</v>
      </c>
      <c r="P135" s="468" t="s">
        <v>260</v>
      </c>
      <c r="Q135" s="475"/>
      <c r="R135" s="476"/>
      <c r="S135" s="476"/>
      <c r="T135" s="469"/>
      <c r="U135" s="467"/>
      <c r="V135" s="467"/>
    </row>
    <row r="136" ht="15.0" customHeight="1">
      <c r="A136" s="463">
        <f t="shared" si="3"/>
        <v>12</v>
      </c>
      <c r="B136" s="464" t="s">
        <v>3568</v>
      </c>
      <c r="C136" s="476"/>
      <c r="D136" s="464" t="s">
        <v>3569</v>
      </c>
      <c r="E136" s="464" t="s">
        <v>79</v>
      </c>
      <c r="F136" s="467" t="s">
        <v>3570</v>
      </c>
      <c r="G136" s="80" t="str">
        <f>VLOOKUP(F136,'01. TH'!$B:$E,3,0)</f>
        <v>#N/A</v>
      </c>
      <c r="H136" s="475" t="s">
        <v>45</v>
      </c>
      <c r="I136" s="475"/>
      <c r="J136" s="467"/>
      <c r="K136" s="463" t="s">
        <v>1661</v>
      </c>
      <c r="L136" s="467"/>
      <c r="M136" s="476"/>
      <c r="N136" s="468" t="s">
        <v>260</v>
      </c>
      <c r="O136" s="476"/>
      <c r="P136" s="468" t="s">
        <v>260</v>
      </c>
      <c r="Q136" s="475"/>
      <c r="R136" s="476"/>
      <c r="S136" s="476"/>
      <c r="T136" s="469"/>
      <c r="U136" s="467"/>
      <c r="V136" s="467"/>
    </row>
    <row r="137" ht="15.0" customHeight="1">
      <c r="A137" s="463">
        <f t="shared" si="3"/>
        <v>13</v>
      </c>
      <c r="B137" s="464" t="s">
        <v>3571</v>
      </c>
      <c r="C137" s="476" t="s">
        <v>3572</v>
      </c>
      <c r="D137" s="464" t="s">
        <v>3573</v>
      </c>
      <c r="E137" s="464" t="s">
        <v>79</v>
      </c>
      <c r="F137" s="464" t="s">
        <v>3574</v>
      </c>
      <c r="G137" s="80" t="str">
        <f>VLOOKUP(F137,'01. TH'!$B:$E,3,0)</f>
        <v>#N/A</v>
      </c>
      <c r="H137" s="475" t="s">
        <v>45</v>
      </c>
      <c r="I137" s="475"/>
      <c r="J137" s="467"/>
      <c r="K137" s="463" t="s">
        <v>1661</v>
      </c>
      <c r="L137" s="467"/>
      <c r="M137" s="476"/>
      <c r="N137" s="468" t="s">
        <v>260</v>
      </c>
      <c r="O137" s="465" t="s">
        <v>3575</v>
      </c>
      <c r="P137" s="468" t="s">
        <v>260</v>
      </c>
      <c r="Q137" s="475"/>
      <c r="R137" s="476"/>
      <c r="S137" s="476"/>
      <c r="T137" s="469"/>
      <c r="U137" s="467"/>
      <c r="V137" s="467"/>
    </row>
    <row r="138" ht="15.0" customHeight="1">
      <c r="A138" s="463">
        <f t="shared" si="3"/>
        <v>14</v>
      </c>
      <c r="B138" s="464" t="s">
        <v>3576</v>
      </c>
      <c r="C138" s="476" t="s">
        <v>3577</v>
      </c>
      <c r="D138" s="464" t="s">
        <v>3231</v>
      </c>
      <c r="E138" s="464" t="s">
        <v>79</v>
      </c>
      <c r="F138" s="467" t="s">
        <v>3470</v>
      </c>
      <c r="G138" s="80" t="str">
        <f>VLOOKUP(F138,'01. TH'!$B:$E,3,0)</f>
        <v>1830x1885x1590</v>
      </c>
      <c r="H138" s="475" t="s">
        <v>45</v>
      </c>
      <c r="I138" s="475"/>
      <c r="J138" s="467"/>
      <c r="K138" s="463" t="s">
        <v>1661</v>
      </c>
      <c r="L138" s="467"/>
      <c r="M138" s="476"/>
      <c r="N138" s="468" t="s">
        <v>260</v>
      </c>
      <c r="O138" s="465" t="s">
        <v>3233</v>
      </c>
      <c r="P138" s="468" t="s">
        <v>260</v>
      </c>
      <c r="Q138" s="475"/>
      <c r="R138" s="476"/>
      <c r="S138" s="476"/>
      <c r="T138" s="482">
        <v>13.0</v>
      </c>
      <c r="U138" s="464" t="s">
        <v>3578</v>
      </c>
      <c r="V138" s="467"/>
    </row>
    <row r="139" ht="15.0" customHeight="1">
      <c r="A139" s="463">
        <f t="shared" si="3"/>
        <v>15</v>
      </c>
      <c r="B139" s="486" t="s">
        <v>3579</v>
      </c>
      <c r="C139" s="487"/>
      <c r="D139" s="486" t="s">
        <v>3580</v>
      </c>
      <c r="E139" s="464" t="s">
        <v>79</v>
      </c>
      <c r="F139" s="467" t="s">
        <v>3470</v>
      </c>
      <c r="G139" s="80" t="str">
        <f>VLOOKUP(F139,'01. TH'!$B:$E,3,0)</f>
        <v>1830x1885x1590</v>
      </c>
      <c r="H139" s="475" t="s">
        <v>45</v>
      </c>
      <c r="I139" s="488" t="s">
        <v>1621</v>
      </c>
      <c r="J139" s="489"/>
      <c r="K139" s="463" t="s">
        <v>1661</v>
      </c>
      <c r="L139" s="486" t="s">
        <v>3581</v>
      </c>
      <c r="M139" s="487"/>
      <c r="N139" s="464" t="s">
        <v>3258</v>
      </c>
      <c r="O139" s="487"/>
      <c r="P139" s="468"/>
      <c r="Q139" s="490"/>
      <c r="R139" s="487"/>
      <c r="S139" s="487"/>
      <c r="T139" s="482">
        <v>13.0</v>
      </c>
      <c r="U139" s="464" t="s">
        <v>3578</v>
      </c>
      <c r="V139" s="489"/>
    </row>
    <row r="140" ht="15.0" customHeight="1">
      <c r="A140" s="463">
        <f t="shared" si="3"/>
        <v>16</v>
      </c>
      <c r="B140" s="486" t="s">
        <v>3582</v>
      </c>
      <c r="C140" s="487"/>
      <c r="D140" s="486"/>
      <c r="E140" s="464" t="s">
        <v>79</v>
      </c>
      <c r="F140" s="486" t="s">
        <v>3583</v>
      </c>
      <c r="G140" s="80" t="str">
        <f>VLOOKUP(F140,'01. TH'!$B:$E,3,0)</f>
        <v>#N/A</v>
      </c>
      <c r="H140" s="490" t="s">
        <v>45</v>
      </c>
      <c r="I140" s="490"/>
      <c r="J140" s="489"/>
      <c r="K140" s="488" t="s">
        <v>1661</v>
      </c>
      <c r="L140" s="489"/>
      <c r="M140" s="487"/>
      <c r="N140" s="464" t="s">
        <v>3258</v>
      </c>
      <c r="O140" s="487"/>
      <c r="P140" s="468"/>
      <c r="Q140" s="490"/>
      <c r="R140" s="487"/>
      <c r="S140" s="487"/>
      <c r="T140" s="491"/>
      <c r="U140" s="489"/>
      <c r="V140" s="489"/>
    </row>
    <row r="141" ht="15.0" customHeight="1">
      <c r="A141" s="463">
        <f t="shared" si="3"/>
        <v>17</v>
      </c>
      <c r="B141" s="464" t="s">
        <v>3584</v>
      </c>
      <c r="C141" s="476" t="s">
        <v>3585</v>
      </c>
      <c r="D141" s="464" t="s">
        <v>3586</v>
      </c>
      <c r="E141" s="464" t="s">
        <v>79</v>
      </c>
      <c r="F141" s="464" t="s">
        <v>3587</v>
      </c>
      <c r="G141" s="80" t="str">
        <f>VLOOKUP(F141,'01. TH'!$B:$E,3,0)</f>
        <v>#N/A</v>
      </c>
      <c r="H141" s="475" t="s">
        <v>45</v>
      </c>
      <c r="I141" s="475"/>
      <c r="J141" s="467"/>
      <c r="K141" s="463" t="s">
        <v>1661</v>
      </c>
      <c r="L141" s="467"/>
      <c r="M141" s="476"/>
      <c r="N141" s="464" t="s">
        <v>3258</v>
      </c>
      <c r="O141" s="465" t="s">
        <v>3588</v>
      </c>
      <c r="P141" s="468" t="s">
        <v>3260</v>
      </c>
      <c r="Q141" s="475"/>
      <c r="R141" s="476"/>
      <c r="S141" s="476"/>
      <c r="T141" s="469"/>
      <c r="U141" s="467"/>
      <c r="V141" s="467"/>
    </row>
    <row r="142" ht="15.0" customHeight="1">
      <c r="A142" s="463">
        <f t="shared" si="3"/>
        <v>18</v>
      </c>
      <c r="B142" s="464" t="s">
        <v>3589</v>
      </c>
      <c r="C142" s="476" t="s">
        <v>3590</v>
      </c>
      <c r="D142" s="464" t="s">
        <v>3591</v>
      </c>
      <c r="E142" s="464" t="s">
        <v>79</v>
      </c>
      <c r="F142" s="464" t="s">
        <v>3587</v>
      </c>
      <c r="G142" s="80" t="str">
        <f>VLOOKUP(F142,'01. TH'!$B:$E,3,0)</f>
        <v>#N/A</v>
      </c>
      <c r="H142" s="475" t="s">
        <v>45</v>
      </c>
      <c r="I142" s="475"/>
      <c r="J142" s="467"/>
      <c r="K142" s="463" t="s">
        <v>1661</v>
      </c>
      <c r="L142" s="467"/>
      <c r="M142" s="476"/>
      <c r="N142" s="464" t="s">
        <v>3258</v>
      </c>
      <c r="O142" s="465" t="s">
        <v>3588</v>
      </c>
      <c r="P142" s="468" t="s">
        <v>3260</v>
      </c>
      <c r="Q142" s="475"/>
      <c r="R142" s="476"/>
      <c r="S142" s="476"/>
      <c r="T142" s="469"/>
      <c r="U142" s="467"/>
      <c r="V142" s="467"/>
    </row>
    <row r="143" ht="15.0" customHeight="1">
      <c r="A143" s="463">
        <f t="shared" si="3"/>
        <v>19</v>
      </c>
      <c r="B143" s="464" t="s">
        <v>3592</v>
      </c>
      <c r="C143" s="476"/>
      <c r="D143" s="464" t="s">
        <v>3593</v>
      </c>
      <c r="E143" s="464" t="s">
        <v>79</v>
      </c>
      <c r="F143" s="464" t="s">
        <v>3587</v>
      </c>
      <c r="G143" s="80"/>
      <c r="H143" s="475" t="s">
        <v>45</v>
      </c>
      <c r="I143" s="466">
        <v>46176.0</v>
      </c>
      <c r="J143" s="467"/>
      <c r="K143" s="463" t="s">
        <v>1661</v>
      </c>
      <c r="L143" s="486" t="s">
        <v>3581</v>
      </c>
      <c r="M143" s="476"/>
      <c r="N143" s="464" t="s">
        <v>3258</v>
      </c>
      <c r="O143" s="465" t="s">
        <v>3588</v>
      </c>
      <c r="P143" s="468" t="s">
        <v>3260</v>
      </c>
      <c r="Q143" s="475"/>
      <c r="R143" s="476"/>
      <c r="S143" s="476"/>
      <c r="T143" s="469"/>
      <c r="U143" s="467"/>
      <c r="V143" s="467"/>
    </row>
    <row r="144" ht="15.0" customHeight="1">
      <c r="A144" s="463">
        <f t="shared" si="3"/>
        <v>20</v>
      </c>
      <c r="B144" s="464" t="s">
        <v>3594</v>
      </c>
      <c r="C144" s="476"/>
      <c r="D144" s="464" t="s">
        <v>3595</v>
      </c>
      <c r="E144" s="464" t="s">
        <v>79</v>
      </c>
      <c r="F144" s="464" t="s">
        <v>3587</v>
      </c>
      <c r="G144" s="80"/>
      <c r="H144" s="475" t="s">
        <v>45</v>
      </c>
      <c r="I144" s="466">
        <v>46176.0</v>
      </c>
      <c r="J144" s="467"/>
      <c r="K144" s="463" t="s">
        <v>1661</v>
      </c>
      <c r="L144" s="486" t="s">
        <v>3581</v>
      </c>
      <c r="M144" s="476"/>
      <c r="N144" s="464" t="s">
        <v>3258</v>
      </c>
      <c r="O144" s="465" t="s">
        <v>3588</v>
      </c>
      <c r="P144" s="468" t="s">
        <v>3260</v>
      </c>
      <c r="Q144" s="475"/>
      <c r="R144" s="476"/>
      <c r="S144" s="476"/>
      <c r="T144" s="469"/>
      <c r="U144" s="467"/>
      <c r="V144" s="467"/>
    </row>
    <row r="145" ht="15.0" customHeight="1">
      <c r="A145" s="463">
        <f t="shared" si="3"/>
        <v>21</v>
      </c>
      <c r="B145" s="464" t="s">
        <v>3596</v>
      </c>
      <c r="C145" s="476" t="s">
        <v>3597</v>
      </c>
      <c r="D145" s="464" t="s">
        <v>3598</v>
      </c>
      <c r="E145" s="464" t="s">
        <v>79</v>
      </c>
      <c r="F145" s="464" t="s">
        <v>3599</v>
      </c>
      <c r="G145" s="80" t="str">
        <f>VLOOKUP(F145,'01. TH'!$B:$E,3,0)</f>
        <v>1800x1180x1152</v>
      </c>
      <c r="H145" s="475" t="s">
        <v>45</v>
      </c>
      <c r="I145" s="475"/>
      <c r="J145" s="467"/>
      <c r="K145" s="463" t="s">
        <v>1661</v>
      </c>
      <c r="L145" s="467"/>
      <c r="M145" s="476"/>
      <c r="N145" s="468" t="s">
        <v>260</v>
      </c>
      <c r="O145" s="476"/>
      <c r="P145" s="468" t="s">
        <v>260</v>
      </c>
      <c r="Q145" s="475"/>
      <c r="R145" s="476"/>
      <c r="S145" s="476"/>
      <c r="T145" s="482">
        <v>3.8</v>
      </c>
      <c r="U145" s="464" t="s">
        <v>3600</v>
      </c>
      <c r="V145" s="467"/>
    </row>
    <row r="146" ht="15.0" customHeight="1">
      <c r="A146" s="463">
        <f t="shared" si="3"/>
        <v>22</v>
      </c>
      <c r="B146" s="464" t="s">
        <v>3601</v>
      </c>
      <c r="C146" s="476"/>
      <c r="D146" s="464" t="s">
        <v>3602</v>
      </c>
      <c r="E146" s="464" t="s">
        <v>3238</v>
      </c>
      <c r="F146" s="464" t="s">
        <v>3599</v>
      </c>
      <c r="G146" s="80" t="str">
        <f>VLOOKUP(F146,'01. TH'!$B:$E,3,0)</f>
        <v>1800x1180x1152</v>
      </c>
      <c r="H146" s="475" t="s">
        <v>45</v>
      </c>
      <c r="I146" s="466">
        <v>46054.0</v>
      </c>
      <c r="J146" s="467"/>
      <c r="K146" s="463" t="s">
        <v>1661</v>
      </c>
      <c r="L146" s="467"/>
      <c r="M146" s="476"/>
      <c r="N146" s="464" t="s">
        <v>3603</v>
      </c>
      <c r="O146" s="470" t="s">
        <v>3604</v>
      </c>
      <c r="P146" s="468" t="s">
        <v>3605</v>
      </c>
      <c r="Q146" s="463">
        <v>2024.0</v>
      </c>
      <c r="R146" s="476"/>
      <c r="S146" s="470" t="s">
        <v>3606</v>
      </c>
      <c r="T146" s="482">
        <v>3.8</v>
      </c>
      <c r="U146" s="464" t="s">
        <v>3600</v>
      </c>
      <c r="V146" s="467"/>
    </row>
    <row r="147" ht="15.0" customHeight="1">
      <c r="A147" s="463">
        <f t="shared" si="3"/>
        <v>23</v>
      </c>
      <c r="B147" s="464" t="s">
        <v>3607</v>
      </c>
      <c r="C147" s="476" t="s">
        <v>3608</v>
      </c>
      <c r="D147" s="464" t="s">
        <v>3609</v>
      </c>
      <c r="E147" s="464" t="s">
        <v>79</v>
      </c>
      <c r="F147" s="464" t="s">
        <v>3514</v>
      </c>
      <c r="G147" s="80" t="str">
        <f>VLOOKUP(F147,'01. TH'!$B:$E,3,0)</f>
        <v>6.1x2.4x0.9</v>
      </c>
      <c r="H147" s="475" t="s">
        <v>45</v>
      </c>
      <c r="I147" s="475"/>
      <c r="J147" s="464" t="s">
        <v>3260</v>
      </c>
      <c r="K147" s="463" t="s">
        <v>1661</v>
      </c>
      <c r="L147" s="467"/>
      <c r="M147" s="476"/>
      <c r="N147" s="464" t="s">
        <v>3258</v>
      </c>
      <c r="O147" s="476"/>
      <c r="P147" s="128"/>
      <c r="Q147" s="475"/>
      <c r="R147" s="476"/>
      <c r="S147" s="476"/>
      <c r="T147" s="469"/>
      <c r="U147" s="467"/>
      <c r="V147" s="467"/>
    </row>
    <row r="148" ht="15.0" customHeight="1">
      <c r="A148" s="463">
        <f t="shared" si="3"/>
        <v>24</v>
      </c>
      <c r="B148" s="464" t="s">
        <v>3610</v>
      </c>
      <c r="C148" s="476" t="s">
        <v>3611</v>
      </c>
      <c r="D148" s="464" t="s">
        <v>3612</v>
      </c>
      <c r="E148" s="464" t="s">
        <v>79</v>
      </c>
      <c r="F148" s="467" t="s">
        <v>3613</v>
      </c>
      <c r="G148" s="80" t="str">
        <f>VLOOKUP(F148,'01. TH'!$B:$E,3,0)</f>
        <v>#N/A</v>
      </c>
      <c r="H148" s="475" t="s">
        <v>45</v>
      </c>
      <c r="I148" s="475"/>
      <c r="J148" s="467"/>
      <c r="K148" s="463" t="s">
        <v>1661</v>
      </c>
      <c r="L148" s="467"/>
      <c r="M148" s="476"/>
      <c r="N148" s="464" t="s">
        <v>3258</v>
      </c>
      <c r="O148" s="476"/>
      <c r="P148" s="464" t="s">
        <v>3260</v>
      </c>
      <c r="Q148" s="475"/>
      <c r="R148" s="476"/>
      <c r="S148" s="476"/>
      <c r="T148" s="469"/>
      <c r="U148" s="467"/>
      <c r="V148" s="467"/>
    </row>
    <row r="149" ht="15.0" customHeight="1">
      <c r="A149" s="463">
        <f t="shared" si="3"/>
        <v>25</v>
      </c>
      <c r="B149" s="464" t="s">
        <v>3614</v>
      </c>
      <c r="C149" s="476"/>
      <c r="D149" s="464" t="s">
        <v>3615</v>
      </c>
      <c r="E149" s="464" t="s">
        <v>79</v>
      </c>
      <c r="F149" s="464" t="s">
        <v>3616</v>
      </c>
      <c r="G149" s="80" t="str">
        <f>VLOOKUP(F149,'01. TH'!$B:$E,3,0)</f>
        <v/>
      </c>
      <c r="H149" s="475" t="s">
        <v>45</v>
      </c>
      <c r="I149" s="463" t="s">
        <v>3617</v>
      </c>
      <c r="J149" s="467"/>
      <c r="K149" s="463" t="s">
        <v>1661</v>
      </c>
      <c r="L149" s="464" t="s">
        <v>3618</v>
      </c>
      <c r="M149" s="239"/>
      <c r="N149" s="464" t="s">
        <v>3258</v>
      </c>
      <c r="O149" s="239"/>
      <c r="P149" s="464" t="s">
        <v>3260</v>
      </c>
      <c r="Q149" s="475"/>
      <c r="R149" s="492" t="s">
        <v>3619</v>
      </c>
      <c r="S149" s="476"/>
      <c r="T149" s="469"/>
      <c r="U149" s="467"/>
      <c r="V149" s="467"/>
    </row>
    <row r="150" ht="15.0" customHeight="1">
      <c r="A150" s="463">
        <f t="shared" si="3"/>
        <v>26</v>
      </c>
      <c r="B150" s="464" t="s">
        <v>3620</v>
      </c>
      <c r="C150" s="465" t="s">
        <v>1675</v>
      </c>
      <c r="D150" s="464" t="s">
        <v>3621</v>
      </c>
      <c r="E150" s="464" t="s">
        <v>3238</v>
      </c>
      <c r="F150" s="464" t="s">
        <v>3622</v>
      </c>
      <c r="G150" s="80" t="str">
        <f>VLOOKUP(F150,'01. TH'!$B:$E,3,0)</f>
        <v>150x150x200</v>
      </c>
      <c r="H150" s="475" t="s">
        <v>45</v>
      </c>
      <c r="I150" s="463" t="s">
        <v>3623</v>
      </c>
      <c r="J150" s="467"/>
      <c r="K150" s="463" t="s">
        <v>1661</v>
      </c>
      <c r="L150" s="464"/>
      <c r="M150" s="465"/>
      <c r="N150" s="464" t="s">
        <v>3624</v>
      </c>
      <c r="O150" s="465" t="s">
        <v>3625</v>
      </c>
      <c r="P150" s="464" t="s">
        <v>3626</v>
      </c>
      <c r="Q150" s="463">
        <v>2024.0</v>
      </c>
      <c r="R150" s="476"/>
      <c r="S150" s="476"/>
      <c r="T150" s="469"/>
      <c r="U150" s="467"/>
      <c r="V150" s="467"/>
    </row>
    <row r="151" ht="15.0" customHeight="1">
      <c r="A151" s="463">
        <f t="shared" si="3"/>
        <v>27</v>
      </c>
      <c r="B151" s="464" t="s">
        <v>3627</v>
      </c>
      <c r="C151" s="465" t="s">
        <v>1938</v>
      </c>
      <c r="D151" s="464" t="s">
        <v>3628</v>
      </c>
      <c r="E151" s="464" t="s">
        <v>3238</v>
      </c>
      <c r="F151" s="464" t="s">
        <v>3622</v>
      </c>
      <c r="G151" s="80" t="str">
        <f>VLOOKUP(F151,'01. TH'!$B:$E,3,0)</f>
        <v>150x150x200</v>
      </c>
      <c r="H151" s="475" t="s">
        <v>45</v>
      </c>
      <c r="I151" s="463" t="s">
        <v>227</v>
      </c>
      <c r="J151" s="467"/>
      <c r="K151" s="463" t="s">
        <v>1661</v>
      </c>
      <c r="L151" s="464"/>
      <c r="M151" s="465"/>
      <c r="N151" s="464" t="s">
        <v>3624</v>
      </c>
      <c r="O151" s="465" t="s">
        <v>3625</v>
      </c>
      <c r="P151" s="464" t="s">
        <v>3626</v>
      </c>
      <c r="Q151" s="463">
        <v>2024.0</v>
      </c>
      <c r="R151" s="476"/>
      <c r="S151" s="465">
        <v>3453785.0</v>
      </c>
      <c r="T151" s="482"/>
      <c r="U151" s="464"/>
      <c r="V151" s="464"/>
    </row>
    <row r="152" ht="15.0" customHeight="1">
      <c r="A152" s="463">
        <f t="shared" si="3"/>
        <v>28</v>
      </c>
      <c r="B152" s="464" t="s">
        <v>3629</v>
      </c>
      <c r="C152" s="465" t="s">
        <v>1938</v>
      </c>
      <c r="D152" s="464" t="s">
        <v>3630</v>
      </c>
      <c r="E152" s="464" t="s">
        <v>3238</v>
      </c>
      <c r="F152" s="464" t="s">
        <v>3631</v>
      </c>
      <c r="G152" s="80" t="str">
        <f>VLOOKUP(F152,'01. TH'!$B:$E,3,0)</f>
        <v>150x150x200</v>
      </c>
      <c r="H152" s="463" t="s">
        <v>45</v>
      </c>
      <c r="I152" s="463" t="s">
        <v>227</v>
      </c>
      <c r="J152" s="467"/>
      <c r="K152" s="463" t="s">
        <v>1661</v>
      </c>
      <c r="L152" s="464"/>
      <c r="M152" s="465"/>
      <c r="N152" s="464" t="s">
        <v>3624</v>
      </c>
      <c r="O152" s="465" t="s">
        <v>3625</v>
      </c>
      <c r="P152" s="464" t="s">
        <v>3626</v>
      </c>
      <c r="Q152" s="463">
        <v>2024.0</v>
      </c>
      <c r="R152" s="476"/>
      <c r="S152" s="465">
        <v>3453784.0</v>
      </c>
      <c r="T152" s="482"/>
      <c r="U152" s="464"/>
      <c r="V152" s="464"/>
    </row>
    <row r="153" ht="15.0" customHeight="1">
      <c r="A153" s="463">
        <f t="shared" si="3"/>
        <v>29</v>
      </c>
      <c r="B153" s="464" t="s">
        <v>3632</v>
      </c>
      <c r="C153" s="465"/>
      <c r="D153" s="464" t="s">
        <v>3633</v>
      </c>
      <c r="E153" s="464" t="s">
        <v>79</v>
      </c>
      <c r="F153" s="464" t="s">
        <v>3634</v>
      </c>
      <c r="G153" s="80" t="str">
        <f>VLOOKUP(F153,'01. TH'!$B:$E,3,0)</f>
        <v>#N/A</v>
      </c>
      <c r="H153" s="463" t="s">
        <v>45</v>
      </c>
      <c r="I153" s="463" t="s">
        <v>3635</v>
      </c>
      <c r="J153" s="467"/>
      <c r="K153" s="463" t="s">
        <v>1661</v>
      </c>
      <c r="L153" s="464"/>
      <c r="M153" s="465"/>
      <c r="N153" s="464" t="s">
        <v>3258</v>
      </c>
      <c r="O153" s="239"/>
      <c r="P153" s="464" t="s">
        <v>3260</v>
      </c>
      <c r="Q153" s="475"/>
      <c r="R153" s="465" t="s">
        <v>3636</v>
      </c>
      <c r="S153" s="476"/>
      <c r="T153" s="469"/>
      <c r="U153" s="467"/>
      <c r="V153" s="467"/>
    </row>
    <row r="154" ht="15.0" customHeight="1">
      <c r="A154" s="463">
        <f t="shared" si="3"/>
        <v>30</v>
      </c>
      <c r="B154" s="464" t="s">
        <v>3637</v>
      </c>
      <c r="C154" s="476" t="s">
        <v>3638</v>
      </c>
      <c r="D154" s="464" t="s">
        <v>3639</v>
      </c>
      <c r="E154" s="464" t="s">
        <v>79</v>
      </c>
      <c r="F154" s="464" t="s">
        <v>3587</v>
      </c>
      <c r="G154" s="80" t="str">
        <f>VLOOKUP(F154,'01. TH'!$B:$E,3,0)</f>
        <v>#N/A</v>
      </c>
      <c r="H154" s="463" t="s">
        <v>45</v>
      </c>
      <c r="I154" s="463" t="s">
        <v>3640</v>
      </c>
      <c r="J154" s="467"/>
      <c r="K154" s="463" t="s">
        <v>1661</v>
      </c>
      <c r="L154" s="464" t="s">
        <v>3641</v>
      </c>
      <c r="M154" s="239"/>
      <c r="N154" s="464" t="s">
        <v>3258</v>
      </c>
      <c r="O154" s="476"/>
      <c r="P154" s="464" t="s">
        <v>3260</v>
      </c>
      <c r="Q154" s="475"/>
      <c r="R154" s="476"/>
      <c r="S154" s="476"/>
      <c r="T154" s="469"/>
      <c r="U154" s="467"/>
      <c r="V154" s="467"/>
    </row>
    <row r="155" ht="15.0" customHeight="1">
      <c r="A155" s="463">
        <f t="shared" si="3"/>
        <v>31</v>
      </c>
      <c r="B155" s="464" t="s">
        <v>3642</v>
      </c>
      <c r="C155" s="476"/>
      <c r="D155" s="464" t="s">
        <v>3643</v>
      </c>
      <c r="E155" s="464" t="s">
        <v>79</v>
      </c>
      <c r="F155" s="464" t="s">
        <v>3644</v>
      </c>
      <c r="G155" s="80" t="str">
        <f>VLOOKUP(F155,'01. TH'!$B:$E,3,0)</f>
        <v> 1590mm x 1300mm</v>
      </c>
      <c r="H155" s="463" t="s">
        <v>45</v>
      </c>
      <c r="I155" s="466">
        <v>45419.0</v>
      </c>
      <c r="J155" s="467"/>
      <c r="K155" s="463" t="s">
        <v>1661</v>
      </c>
      <c r="L155" s="464" t="s">
        <v>3645</v>
      </c>
      <c r="M155" s="465"/>
      <c r="N155" s="464" t="s">
        <v>3258</v>
      </c>
      <c r="O155" s="465" t="s">
        <v>3646</v>
      </c>
      <c r="P155" s="464" t="s">
        <v>3260</v>
      </c>
      <c r="Q155" s="463">
        <v>2024.0</v>
      </c>
      <c r="R155" s="465" t="s">
        <v>3647</v>
      </c>
      <c r="S155" s="476"/>
      <c r="T155" s="469"/>
      <c r="U155" s="467"/>
      <c r="V155" s="467"/>
    </row>
    <row r="156" ht="15.0" customHeight="1">
      <c r="A156" s="463">
        <f t="shared" si="3"/>
        <v>32</v>
      </c>
      <c r="B156" s="464" t="s">
        <v>3648</v>
      </c>
      <c r="C156" s="476"/>
      <c r="D156" s="464" t="s">
        <v>3649</v>
      </c>
      <c r="E156" s="464" t="s">
        <v>79</v>
      </c>
      <c r="F156" s="464" t="s">
        <v>3644</v>
      </c>
      <c r="G156" s="80" t="str">
        <f>VLOOKUP(F156,'01. TH'!$B:$E,3,0)</f>
        <v> 1590mm x 1300mm</v>
      </c>
      <c r="H156" s="463" t="s">
        <v>45</v>
      </c>
      <c r="I156" s="463" t="s">
        <v>3650</v>
      </c>
      <c r="J156" s="467"/>
      <c r="K156" s="463" t="s">
        <v>1661</v>
      </c>
      <c r="L156" s="464" t="s">
        <v>3645</v>
      </c>
      <c r="M156" s="465"/>
      <c r="N156" s="464" t="s">
        <v>3258</v>
      </c>
      <c r="O156" s="465" t="s">
        <v>3651</v>
      </c>
      <c r="P156" s="464" t="s">
        <v>3260</v>
      </c>
      <c r="Q156" s="463">
        <v>2024.0</v>
      </c>
      <c r="R156" s="465" t="s">
        <v>3652</v>
      </c>
      <c r="S156" s="476"/>
      <c r="T156" s="469"/>
      <c r="U156" s="467"/>
      <c r="V156" s="467"/>
    </row>
    <row r="157" ht="15.0" customHeight="1">
      <c r="A157" s="463">
        <f t="shared" si="3"/>
        <v>33</v>
      </c>
      <c r="B157" s="464" t="s">
        <v>3653</v>
      </c>
      <c r="C157" s="465" t="s">
        <v>3654</v>
      </c>
      <c r="D157" s="464" t="s">
        <v>3655</v>
      </c>
      <c r="E157" s="464" t="s">
        <v>79</v>
      </c>
      <c r="F157" s="464" t="s">
        <v>3558</v>
      </c>
      <c r="G157" s="80" t="str">
        <f>VLOOKUP(F157,'01. TH'!$B:$E,3,0)</f>
        <v/>
      </c>
      <c r="H157" s="463" t="s">
        <v>45</v>
      </c>
      <c r="I157" s="463" t="s">
        <v>3656</v>
      </c>
      <c r="J157" s="467"/>
      <c r="K157" s="463" t="s">
        <v>1661</v>
      </c>
      <c r="L157" s="464" t="s">
        <v>3657</v>
      </c>
      <c r="M157" s="476"/>
      <c r="N157" s="464" t="s">
        <v>260</v>
      </c>
      <c r="O157" s="465" t="s">
        <v>3559</v>
      </c>
      <c r="P157" s="468" t="s">
        <v>260</v>
      </c>
      <c r="Q157" s="475"/>
      <c r="R157" s="476"/>
      <c r="S157" s="476"/>
      <c r="T157" s="482">
        <v>6.0</v>
      </c>
      <c r="U157" s="464" t="s">
        <v>3539</v>
      </c>
      <c r="V157" s="467"/>
    </row>
    <row r="158" ht="15.0" customHeight="1">
      <c r="A158" s="463">
        <f t="shared" si="3"/>
        <v>34</v>
      </c>
      <c r="B158" s="464" t="s">
        <v>3658</v>
      </c>
      <c r="C158" s="128"/>
      <c r="D158" s="465" t="s">
        <v>3659</v>
      </c>
      <c r="E158" s="464" t="s">
        <v>3238</v>
      </c>
      <c r="F158" s="464" t="s">
        <v>3558</v>
      </c>
      <c r="G158" s="80" t="str">
        <f>VLOOKUP(F158,'01. TH'!$B:$E,3,0)</f>
        <v/>
      </c>
      <c r="H158" s="463" t="s">
        <v>45</v>
      </c>
      <c r="I158" s="466">
        <v>45424.0</v>
      </c>
      <c r="J158" s="467"/>
      <c r="K158" s="463" t="s">
        <v>1661</v>
      </c>
      <c r="L158" s="464" t="s">
        <v>336</v>
      </c>
      <c r="M158" s="476"/>
      <c r="N158" s="464" t="s">
        <v>260</v>
      </c>
      <c r="O158" s="465" t="s">
        <v>3559</v>
      </c>
      <c r="P158" s="468" t="s">
        <v>260</v>
      </c>
      <c r="Q158" s="475"/>
      <c r="R158" s="476"/>
      <c r="S158" s="476"/>
      <c r="T158" s="482">
        <v>6.0</v>
      </c>
      <c r="U158" s="464" t="s">
        <v>3539</v>
      </c>
      <c r="V158" s="467"/>
    </row>
    <row r="159" ht="15.0" customHeight="1">
      <c r="A159" s="463">
        <f t="shared" si="3"/>
        <v>35</v>
      </c>
      <c r="B159" s="464" t="s">
        <v>3660</v>
      </c>
      <c r="C159" s="476" t="s">
        <v>3661</v>
      </c>
      <c r="D159" s="464" t="s">
        <v>3662</v>
      </c>
      <c r="E159" s="464" t="s">
        <v>79</v>
      </c>
      <c r="F159" s="467" t="s">
        <v>3663</v>
      </c>
      <c r="G159" s="80" t="str">
        <f>VLOOKUP(F159,'01. TH'!$B:$E,3,0)</f>
        <v>2189x1335x1058</v>
      </c>
      <c r="H159" s="463" t="s">
        <v>45</v>
      </c>
      <c r="I159" s="463" t="s">
        <v>3656</v>
      </c>
      <c r="J159" s="467"/>
      <c r="K159" s="463" t="s">
        <v>1661</v>
      </c>
      <c r="L159" s="464" t="s">
        <v>3657</v>
      </c>
      <c r="M159" s="476"/>
      <c r="N159" s="467"/>
      <c r="O159" s="465" t="s">
        <v>3664</v>
      </c>
      <c r="P159" s="464" t="s">
        <v>76</v>
      </c>
      <c r="Q159" s="475"/>
      <c r="R159" s="476"/>
      <c r="S159" s="476"/>
      <c r="T159" s="469"/>
      <c r="U159" s="467"/>
      <c r="V159" s="467"/>
    </row>
    <row r="160" ht="15.0" customHeight="1">
      <c r="A160" s="463">
        <f t="shared" si="3"/>
        <v>36</v>
      </c>
      <c r="B160" s="464" t="s">
        <v>3665</v>
      </c>
      <c r="C160" s="465"/>
      <c r="D160" s="464" t="s">
        <v>3666</v>
      </c>
      <c r="E160" s="464" t="s">
        <v>79</v>
      </c>
      <c r="F160" s="464" t="s">
        <v>3667</v>
      </c>
      <c r="G160" s="80" t="str">
        <f>VLOOKUP(F160,'01. TH'!$B:$E,3,0)</f>
        <v>#N/A</v>
      </c>
      <c r="H160" s="463" t="s">
        <v>45</v>
      </c>
      <c r="I160" s="463" t="s">
        <v>3668</v>
      </c>
      <c r="J160" s="467"/>
      <c r="K160" s="463" t="s">
        <v>1661</v>
      </c>
      <c r="L160" s="464" t="s">
        <v>3581</v>
      </c>
      <c r="M160" s="476"/>
      <c r="N160" s="464" t="s">
        <v>3258</v>
      </c>
      <c r="O160" s="465" t="s">
        <v>3669</v>
      </c>
      <c r="P160" s="464" t="s">
        <v>3260</v>
      </c>
      <c r="Q160" s="475"/>
      <c r="R160" s="476"/>
      <c r="S160" s="476"/>
      <c r="T160" s="482">
        <v>14.0</v>
      </c>
      <c r="U160" s="464" t="s">
        <v>3670</v>
      </c>
      <c r="V160" s="467"/>
    </row>
    <row r="161" ht="15.0" customHeight="1">
      <c r="A161" s="463">
        <f t="shared" si="3"/>
        <v>37</v>
      </c>
      <c r="B161" s="464" t="s">
        <v>3671</v>
      </c>
      <c r="C161" s="465"/>
      <c r="D161" s="464" t="s">
        <v>3672</v>
      </c>
      <c r="E161" s="464" t="s">
        <v>79</v>
      </c>
      <c r="F161" s="464" t="s">
        <v>3667</v>
      </c>
      <c r="G161" s="80" t="str">
        <f>VLOOKUP(F161,'01. TH'!$B:$E,3,0)</f>
        <v>#N/A</v>
      </c>
      <c r="H161" s="463" t="s">
        <v>45</v>
      </c>
      <c r="I161" s="463" t="s">
        <v>3673</v>
      </c>
      <c r="J161" s="467"/>
      <c r="K161" s="463" t="s">
        <v>1661</v>
      </c>
      <c r="L161" s="464" t="s">
        <v>3581</v>
      </c>
      <c r="M161" s="476"/>
      <c r="N161" s="464" t="s">
        <v>3258</v>
      </c>
      <c r="O161" s="465" t="s">
        <v>3674</v>
      </c>
      <c r="P161" s="464" t="s">
        <v>3260</v>
      </c>
      <c r="Q161" s="475"/>
      <c r="R161" s="465" t="s">
        <v>3675</v>
      </c>
      <c r="S161" s="476"/>
      <c r="T161" s="482">
        <v>14.0</v>
      </c>
      <c r="U161" s="464" t="s">
        <v>3670</v>
      </c>
      <c r="V161" s="467"/>
    </row>
    <row r="162" ht="15.0" customHeight="1">
      <c r="A162" s="463">
        <f t="shared" si="3"/>
        <v>38</v>
      </c>
      <c r="B162" s="464" t="s">
        <v>3676</v>
      </c>
      <c r="C162" s="465"/>
      <c r="D162" s="464" t="s">
        <v>3677</v>
      </c>
      <c r="E162" s="464" t="s">
        <v>79</v>
      </c>
      <c r="F162" s="464" t="s">
        <v>3667</v>
      </c>
      <c r="G162" s="80" t="str">
        <f>VLOOKUP(F162,'01. TH'!$B:$E,3,0)</f>
        <v>#N/A</v>
      </c>
      <c r="H162" s="463" t="s">
        <v>45</v>
      </c>
      <c r="I162" s="463" t="s">
        <v>3678</v>
      </c>
      <c r="J162" s="467"/>
      <c r="K162" s="463" t="s">
        <v>1661</v>
      </c>
      <c r="L162" s="464" t="s">
        <v>3581</v>
      </c>
      <c r="M162" s="476"/>
      <c r="N162" s="464" t="s">
        <v>3258</v>
      </c>
      <c r="O162" s="465" t="s">
        <v>3679</v>
      </c>
      <c r="P162" s="464" t="s">
        <v>3260</v>
      </c>
      <c r="Q162" s="475"/>
      <c r="R162" s="465"/>
      <c r="S162" s="476"/>
      <c r="T162" s="482">
        <v>14.0</v>
      </c>
      <c r="U162" s="464" t="s">
        <v>3670</v>
      </c>
      <c r="V162" s="467"/>
    </row>
    <row r="163" ht="15.0" customHeight="1">
      <c r="A163" s="463">
        <f t="shared" si="3"/>
        <v>39</v>
      </c>
      <c r="B163" s="464" t="s">
        <v>3680</v>
      </c>
      <c r="C163" s="465"/>
      <c r="D163" s="464" t="s">
        <v>3681</v>
      </c>
      <c r="E163" s="464" t="s">
        <v>3238</v>
      </c>
      <c r="F163" s="464" t="s">
        <v>3682</v>
      </c>
      <c r="G163" s="80" t="str">
        <f>VLOOKUP(F163,'01. TH'!$B:$E,3,0)</f>
        <v>960 x 2260 x 950</v>
      </c>
      <c r="H163" s="463" t="s">
        <v>45</v>
      </c>
      <c r="I163" s="466">
        <v>45811.0</v>
      </c>
      <c r="J163" s="467"/>
      <c r="K163" s="463" t="s">
        <v>1661</v>
      </c>
      <c r="L163" s="464" t="s">
        <v>336</v>
      </c>
      <c r="M163" s="476"/>
      <c r="N163" s="464" t="s">
        <v>454</v>
      </c>
      <c r="O163" s="465" t="s">
        <v>3683</v>
      </c>
      <c r="P163" s="464" t="s">
        <v>3084</v>
      </c>
      <c r="Q163" s="475"/>
      <c r="R163" s="465"/>
      <c r="S163" s="476"/>
      <c r="T163" s="469"/>
      <c r="U163" s="467"/>
      <c r="V163" s="467"/>
    </row>
    <row r="164" ht="15.0" customHeight="1">
      <c r="A164" s="463">
        <f t="shared" si="3"/>
        <v>40</v>
      </c>
      <c r="B164" s="464" t="s">
        <v>3684</v>
      </c>
      <c r="C164" s="465"/>
      <c r="D164" s="464" t="s">
        <v>3685</v>
      </c>
      <c r="E164" s="464" t="s">
        <v>3238</v>
      </c>
      <c r="F164" s="464" t="s">
        <v>3682</v>
      </c>
      <c r="G164" s="80" t="str">
        <f>VLOOKUP(F164,'01. TH'!$B:$E,3,0)</f>
        <v>960 x 2260 x 950</v>
      </c>
      <c r="H164" s="463" t="s">
        <v>45</v>
      </c>
      <c r="I164" s="466">
        <v>45811.0</v>
      </c>
      <c r="J164" s="467"/>
      <c r="K164" s="463" t="s">
        <v>1661</v>
      </c>
      <c r="L164" s="464" t="s">
        <v>336</v>
      </c>
      <c r="M164" s="476"/>
      <c r="N164" s="464" t="s">
        <v>454</v>
      </c>
      <c r="O164" s="465" t="s">
        <v>3683</v>
      </c>
      <c r="P164" s="464" t="s">
        <v>3084</v>
      </c>
      <c r="Q164" s="475"/>
      <c r="R164" s="465"/>
      <c r="S164" s="476"/>
      <c r="T164" s="469"/>
      <c r="U164" s="467"/>
      <c r="V164" s="467"/>
    </row>
    <row r="165" ht="15.0" customHeight="1">
      <c r="A165" s="463">
        <f t="shared" si="3"/>
        <v>41</v>
      </c>
      <c r="B165" s="464" t="s">
        <v>3686</v>
      </c>
      <c r="C165" s="465"/>
      <c r="D165" s="464" t="s">
        <v>3687</v>
      </c>
      <c r="E165" s="464" t="s">
        <v>79</v>
      </c>
      <c r="F165" s="464" t="s">
        <v>3688</v>
      </c>
      <c r="G165" s="80" t="str">
        <f>VLOOKUP(F165,'01. TH'!$B:$E,3,0)</f>
        <v/>
      </c>
      <c r="H165" s="463" t="s">
        <v>45</v>
      </c>
      <c r="I165" s="463" t="s">
        <v>3330</v>
      </c>
      <c r="J165" s="467"/>
      <c r="K165" s="463" t="s">
        <v>1661</v>
      </c>
      <c r="L165" s="464" t="s">
        <v>3581</v>
      </c>
      <c r="M165" s="476"/>
      <c r="N165" s="464" t="s">
        <v>3258</v>
      </c>
      <c r="O165" s="465" t="s">
        <v>3689</v>
      </c>
      <c r="P165" s="464" t="s">
        <v>3084</v>
      </c>
      <c r="Q165" s="463">
        <v>2025.0</v>
      </c>
      <c r="R165" s="465"/>
      <c r="S165" s="476"/>
      <c r="T165" s="482">
        <v>6.5</v>
      </c>
      <c r="U165" s="464" t="s">
        <v>3690</v>
      </c>
      <c r="V165" s="467"/>
    </row>
    <row r="166" ht="15.0" customHeight="1">
      <c r="A166" s="463">
        <f t="shared" si="3"/>
        <v>42</v>
      </c>
      <c r="B166" s="464" t="s">
        <v>3691</v>
      </c>
      <c r="C166" s="465"/>
      <c r="D166" s="464" t="s">
        <v>3692</v>
      </c>
      <c r="E166" s="464" t="s">
        <v>79</v>
      </c>
      <c r="F166" s="464" t="s">
        <v>3688</v>
      </c>
      <c r="G166" s="80" t="str">
        <f>VLOOKUP(F166,'01. TH'!$B:$E,3,0)</f>
        <v/>
      </c>
      <c r="H166" s="463" t="s">
        <v>45</v>
      </c>
      <c r="I166" s="493">
        <v>46002.0</v>
      </c>
      <c r="J166" s="467"/>
      <c r="K166" s="463" t="s">
        <v>1661</v>
      </c>
      <c r="L166" s="464" t="s">
        <v>3581</v>
      </c>
      <c r="M166" s="476"/>
      <c r="N166" s="464" t="s">
        <v>3258</v>
      </c>
      <c r="O166" s="465" t="s">
        <v>3693</v>
      </c>
      <c r="P166" s="464" t="s">
        <v>3084</v>
      </c>
      <c r="Q166" s="463">
        <v>2025.0</v>
      </c>
      <c r="R166" s="465"/>
      <c r="S166" s="476"/>
      <c r="T166" s="482">
        <v>6.5</v>
      </c>
      <c r="U166" s="464" t="s">
        <v>3690</v>
      </c>
      <c r="V166" s="467"/>
    </row>
    <row r="167" ht="15.0" customHeight="1">
      <c r="A167" s="463">
        <f t="shared" si="3"/>
        <v>43</v>
      </c>
      <c r="B167" s="464" t="s">
        <v>3694</v>
      </c>
      <c r="C167" s="465"/>
      <c r="D167" s="464"/>
      <c r="E167" s="464" t="s">
        <v>79</v>
      </c>
      <c r="F167" s="464" t="s">
        <v>3688</v>
      </c>
      <c r="G167" s="80"/>
      <c r="H167" s="463" t="s">
        <v>45</v>
      </c>
      <c r="I167" s="463" t="s">
        <v>3695</v>
      </c>
      <c r="J167" s="467"/>
      <c r="K167" s="463" t="s">
        <v>1661</v>
      </c>
      <c r="L167" s="464" t="s">
        <v>3696</v>
      </c>
      <c r="M167" s="476"/>
      <c r="N167" s="464" t="s">
        <v>3258</v>
      </c>
      <c r="O167" s="465"/>
      <c r="P167" s="464" t="s">
        <v>3084</v>
      </c>
      <c r="Q167" s="463">
        <v>2026.0</v>
      </c>
      <c r="R167" s="465"/>
      <c r="S167" s="476"/>
      <c r="T167" s="482">
        <v>6.5</v>
      </c>
      <c r="U167" s="464" t="s">
        <v>3690</v>
      </c>
      <c r="V167" s="467"/>
    </row>
    <row r="168" ht="15.0" customHeight="1">
      <c r="A168" s="463">
        <f t="shared" si="3"/>
        <v>44</v>
      </c>
      <c r="B168" s="464" t="s">
        <v>3697</v>
      </c>
      <c r="C168" s="465"/>
      <c r="D168" s="464"/>
      <c r="E168" s="464" t="s">
        <v>79</v>
      </c>
      <c r="F168" s="464" t="s">
        <v>3688</v>
      </c>
      <c r="G168" s="80"/>
      <c r="H168" s="463" t="s">
        <v>45</v>
      </c>
      <c r="I168" s="463" t="s">
        <v>3695</v>
      </c>
      <c r="J168" s="467"/>
      <c r="K168" s="463" t="s">
        <v>1661</v>
      </c>
      <c r="L168" s="464" t="s">
        <v>3696</v>
      </c>
      <c r="M168" s="476"/>
      <c r="N168" s="464" t="s">
        <v>3258</v>
      </c>
      <c r="O168" s="465"/>
      <c r="P168" s="464" t="s">
        <v>3084</v>
      </c>
      <c r="Q168" s="463">
        <v>2026.0</v>
      </c>
      <c r="R168" s="465"/>
      <c r="S168" s="476"/>
      <c r="T168" s="482">
        <v>6.5</v>
      </c>
      <c r="U168" s="464" t="s">
        <v>3690</v>
      </c>
      <c r="V168" s="467"/>
    </row>
    <row r="169" ht="15.0" customHeight="1">
      <c r="A169" s="463">
        <f t="shared" si="3"/>
        <v>45</v>
      </c>
      <c r="B169" s="464" t="s">
        <v>3698</v>
      </c>
      <c r="C169" s="465"/>
      <c r="D169" s="464"/>
      <c r="E169" s="464" t="s">
        <v>79</v>
      </c>
      <c r="F169" s="464" t="s">
        <v>3688</v>
      </c>
      <c r="G169" s="80"/>
      <c r="H169" s="463" t="s">
        <v>45</v>
      </c>
      <c r="I169" s="463" t="s">
        <v>3695</v>
      </c>
      <c r="J169" s="467"/>
      <c r="K169" s="463" t="s">
        <v>1661</v>
      </c>
      <c r="L169" s="464" t="s">
        <v>3696</v>
      </c>
      <c r="M169" s="476"/>
      <c r="N169" s="464" t="s">
        <v>3258</v>
      </c>
      <c r="O169" s="465"/>
      <c r="P169" s="464" t="s">
        <v>3084</v>
      </c>
      <c r="Q169" s="463">
        <v>2026.0</v>
      </c>
      <c r="R169" s="465"/>
      <c r="S169" s="476"/>
      <c r="T169" s="482">
        <v>6.5</v>
      </c>
      <c r="U169" s="464" t="s">
        <v>3690</v>
      </c>
      <c r="V169" s="467"/>
    </row>
    <row r="170" ht="15.0" customHeight="1">
      <c r="A170" s="463">
        <f t="shared" si="3"/>
        <v>46</v>
      </c>
      <c r="B170" s="464" t="s">
        <v>3699</v>
      </c>
      <c r="C170" s="465"/>
      <c r="D170" s="464"/>
      <c r="E170" s="464" t="s">
        <v>79</v>
      </c>
      <c r="F170" s="464" t="s">
        <v>3688</v>
      </c>
      <c r="G170" s="80"/>
      <c r="H170" s="463" t="s">
        <v>45</v>
      </c>
      <c r="I170" s="463" t="s">
        <v>3695</v>
      </c>
      <c r="J170" s="467"/>
      <c r="K170" s="463" t="s">
        <v>1661</v>
      </c>
      <c r="L170" s="464" t="s">
        <v>3696</v>
      </c>
      <c r="M170" s="476"/>
      <c r="N170" s="464" t="s">
        <v>3258</v>
      </c>
      <c r="O170" s="465"/>
      <c r="P170" s="464" t="s">
        <v>3084</v>
      </c>
      <c r="Q170" s="463">
        <v>2026.0</v>
      </c>
      <c r="R170" s="465"/>
      <c r="S170" s="476"/>
      <c r="T170" s="482">
        <v>6.5</v>
      </c>
      <c r="U170" s="464" t="s">
        <v>3690</v>
      </c>
      <c r="V170" s="467"/>
    </row>
    <row r="171" ht="15.0" customHeight="1">
      <c r="A171" s="463">
        <f t="shared" si="3"/>
        <v>47</v>
      </c>
      <c r="B171" s="464" t="s">
        <v>3700</v>
      </c>
      <c r="C171" s="465"/>
      <c r="D171" s="464" t="s">
        <v>3701</v>
      </c>
      <c r="E171" s="464" t="s">
        <v>79</v>
      </c>
      <c r="F171" s="464" t="s">
        <v>3702</v>
      </c>
      <c r="G171" s="80" t="str">
        <f>VLOOKUP(F171,'01. TH'!$B:$E,3,0)</f>
        <v>#N/A</v>
      </c>
      <c r="H171" s="463" t="s">
        <v>45</v>
      </c>
      <c r="I171" s="463" t="s">
        <v>3703</v>
      </c>
      <c r="J171" s="467"/>
      <c r="K171" s="463" t="s">
        <v>1661</v>
      </c>
      <c r="L171" s="464" t="s">
        <v>3581</v>
      </c>
      <c r="M171" s="476"/>
      <c r="N171" s="464" t="s">
        <v>3258</v>
      </c>
      <c r="O171" s="465" t="s">
        <v>3704</v>
      </c>
      <c r="P171" s="464" t="s">
        <v>3084</v>
      </c>
      <c r="Q171" s="463">
        <v>2025.0</v>
      </c>
      <c r="R171" s="465" t="s">
        <v>3705</v>
      </c>
      <c r="S171" s="476"/>
      <c r="T171" s="469"/>
      <c r="U171" s="467"/>
      <c r="V171" s="467"/>
    </row>
    <row r="172" ht="15.0" customHeight="1">
      <c r="A172" s="463">
        <f t="shared" si="3"/>
        <v>48</v>
      </c>
      <c r="B172" s="464" t="s">
        <v>3706</v>
      </c>
      <c r="C172" s="465"/>
      <c r="D172" s="464" t="s">
        <v>3707</v>
      </c>
      <c r="E172" s="464" t="s">
        <v>3238</v>
      </c>
      <c r="F172" s="470" t="s">
        <v>3708</v>
      </c>
      <c r="G172" s="80" t="str">
        <f>VLOOKUP(F172,'01. TH'!$B:$E,3,0)</f>
        <v>6525x2385x2775</v>
      </c>
      <c r="H172" s="463" t="s">
        <v>45</v>
      </c>
      <c r="I172" s="466">
        <v>45964.0</v>
      </c>
      <c r="J172" s="467"/>
      <c r="K172" s="463" t="s">
        <v>1661</v>
      </c>
      <c r="L172" s="464" t="s">
        <v>336</v>
      </c>
      <c r="M172" s="476"/>
      <c r="N172" s="464" t="s">
        <v>3709</v>
      </c>
      <c r="O172" s="465" t="s">
        <v>3710</v>
      </c>
      <c r="P172" s="464" t="s">
        <v>3711</v>
      </c>
      <c r="Q172" s="463">
        <v>2025.0</v>
      </c>
      <c r="R172" s="465">
        <v>7.0</v>
      </c>
      <c r="S172" s="476"/>
      <c r="T172" s="482">
        <v>3.5</v>
      </c>
      <c r="U172" s="464" t="s">
        <v>3712</v>
      </c>
      <c r="V172" s="467"/>
    </row>
    <row r="173" ht="15.0" customHeight="1">
      <c r="A173" s="463">
        <f t="shared" si="3"/>
        <v>49</v>
      </c>
      <c r="B173" s="464" t="s">
        <v>3713</v>
      </c>
      <c r="C173" s="465"/>
      <c r="D173" s="464" t="s">
        <v>3714</v>
      </c>
      <c r="E173" s="464" t="s">
        <v>3238</v>
      </c>
      <c r="F173" s="470" t="s">
        <v>3708</v>
      </c>
      <c r="G173" s="80" t="str">
        <f>VLOOKUP(F173,'01. TH'!$B:$E,3,0)</f>
        <v>6525x2385x2775</v>
      </c>
      <c r="H173" s="463" t="s">
        <v>45</v>
      </c>
      <c r="I173" s="463" t="s">
        <v>3715</v>
      </c>
      <c r="J173" s="467"/>
      <c r="K173" s="463" t="s">
        <v>1661</v>
      </c>
      <c r="L173" s="464" t="s">
        <v>336</v>
      </c>
      <c r="M173" s="476"/>
      <c r="N173" s="464" t="s">
        <v>3709</v>
      </c>
      <c r="O173" s="465" t="s">
        <v>3710</v>
      </c>
      <c r="P173" s="464" t="s">
        <v>3711</v>
      </c>
      <c r="Q173" s="463">
        <v>2025.0</v>
      </c>
      <c r="R173" s="465" t="s">
        <v>3716</v>
      </c>
      <c r="S173" s="465">
        <v>16.0</v>
      </c>
      <c r="T173" s="482">
        <v>3.5</v>
      </c>
      <c r="U173" s="464" t="s">
        <v>3712</v>
      </c>
      <c r="V173" s="467"/>
    </row>
    <row r="174" ht="15.0" customHeight="1">
      <c r="A174" s="463">
        <f t="shared" si="3"/>
        <v>50</v>
      </c>
      <c r="B174" s="464" t="s">
        <v>3717</v>
      </c>
      <c r="C174" s="465"/>
      <c r="D174" s="464" t="s">
        <v>3718</v>
      </c>
      <c r="E174" s="464" t="s">
        <v>3238</v>
      </c>
      <c r="F174" s="470" t="s">
        <v>3708</v>
      </c>
      <c r="G174" s="80" t="str">
        <f>VLOOKUP(F174,'01. TH'!$B:$E,3,0)</f>
        <v>6525x2385x2775</v>
      </c>
      <c r="H174" s="463" t="s">
        <v>45</v>
      </c>
      <c r="I174" s="466">
        <v>45789.0</v>
      </c>
      <c r="J174" s="467"/>
      <c r="K174" s="463" t="s">
        <v>1661</v>
      </c>
      <c r="L174" s="464" t="s">
        <v>336</v>
      </c>
      <c r="M174" s="476"/>
      <c r="N174" s="464" t="s">
        <v>3709</v>
      </c>
      <c r="O174" s="465" t="s">
        <v>3710</v>
      </c>
      <c r="P174" s="464" t="s">
        <v>3711</v>
      </c>
      <c r="Q174" s="463">
        <v>2025.0</v>
      </c>
      <c r="R174" s="465" t="s">
        <v>3719</v>
      </c>
      <c r="S174" s="465">
        <v>18.0</v>
      </c>
      <c r="T174" s="482">
        <v>3.5</v>
      </c>
      <c r="U174" s="464" t="s">
        <v>3712</v>
      </c>
      <c r="V174" s="467"/>
    </row>
    <row r="175" ht="15.0" customHeight="1">
      <c r="A175" s="463">
        <f t="shared" si="3"/>
        <v>51</v>
      </c>
      <c r="B175" s="464" t="s">
        <v>3720</v>
      </c>
      <c r="C175" s="465"/>
      <c r="D175" s="464" t="s">
        <v>3721</v>
      </c>
      <c r="E175" s="464" t="s">
        <v>3238</v>
      </c>
      <c r="F175" s="470" t="s">
        <v>3708</v>
      </c>
      <c r="G175" s="80"/>
      <c r="H175" s="463" t="s">
        <v>45</v>
      </c>
      <c r="I175" s="463" t="s">
        <v>3722</v>
      </c>
      <c r="J175" s="467"/>
      <c r="K175" s="463" t="s">
        <v>1661</v>
      </c>
      <c r="L175" s="464" t="s">
        <v>336</v>
      </c>
      <c r="M175" s="476"/>
      <c r="N175" s="464" t="s">
        <v>3709</v>
      </c>
      <c r="O175" s="465" t="s">
        <v>3710</v>
      </c>
      <c r="P175" s="464" t="s">
        <v>3711</v>
      </c>
      <c r="Q175" s="463">
        <v>2025.0</v>
      </c>
      <c r="R175" s="465" t="s">
        <v>3723</v>
      </c>
      <c r="S175" s="465">
        <v>19.0</v>
      </c>
      <c r="T175" s="482">
        <v>3.5</v>
      </c>
      <c r="U175" s="464" t="s">
        <v>3712</v>
      </c>
      <c r="V175" s="467"/>
    </row>
    <row r="176" ht="15.0" customHeight="1">
      <c r="A176" s="463">
        <f t="shared" si="3"/>
        <v>52</v>
      </c>
      <c r="B176" s="464" t="s">
        <v>3724</v>
      </c>
      <c r="C176" s="465"/>
      <c r="D176" s="464" t="s">
        <v>3725</v>
      </c>
      <c r="E176" s="464" t="s">
        <v>3238</v>
      </c>
      <c r="F176" s="464" t="s">
        <v>3726</v>
      </c>
      <c r="G176" s="80" t="str">
        <f>VLOOKUP(F176,'01. TH'!$B:$E,3,0)</f>
        <v>1900x1900x1800</v>
      </c>
      <c r="H176" s="463" t="s">
        <v>45</v>
      </c>
      <c r="I176" s="463" t="s">
        <v>3727</v>
      </c>
      <c r="J176" s="467"/>
      <c r="K176" s="463" t="s">
        <v>1661</v>
      </c>
      <c r="L176" s="464" t="s">
        <v>336</v>
      </c>
      <c r="M176" s="476"/>
      <c r="N176" s="464" t="s">
        <v>3709</v>
      </c>
      <c r="O176" s="465" t="s">
        <v>3728</v>
      </c>
      <c r="P176" s="468" t="s">
        <v>260</v>
      </c>
      <c r="Q176" s="463">
        <v>2025.0</v>
      </c>
      <c r="R176" s="476"/>
      <c r="S176" s="465" t="s">
        <v>3729</v>
      </c>
      <c r="T176" s="469"/>
      <c r="U176" s="467"/>
      <c r="V176" s="467"/>
    </row>
    <row r="177" ht="15.0" customHeight="1">
      <c r="A177" s="463">
        <f t="shared" si="3"/>
        <v>53</v>
      </c>
      <c r="B177" s="464" t="s">
        <v>3730</v>
      </c>
      <c r="C177" s="465"/>
      <c r="D177" s="464" t="s">
        <v>3731</v>
      </c>
      <c r="E177" s="464" t="s">
        <v>3238</v>
      </c>
      <c r="F177" s="464" t="s">
        <v>3726</v>
      </c>
      <c r="G177" s="80" t="str">
        <f>VLOOKUP(F177,'01. TH'!$B:$E,3,0)</f>
        <v>1900x1900x1800</v>
      </c>
      <c r="H177" s="463" t="s">
        <v>45</v>
      </c>
      <c r="I177" s="463" t="s">
        <v>3727</v>
      </c>
      <c r="J177" s="467"/>
      <c r="K177" s="463" t="s">
        <v>1661</v>
      </c>
      <c r="L177" s="464" t="s">
        <v>336</v>
      </c>
      <c r="M177" s="476"/>
      <c r="N177" s="464" t="s">
        <v>3709</v>
      </c>
      <c r="O177" s="465" t="s">
        <v>3728</v>
      </c>
      <c r="P177" s="468" t="s">
        <v>260</v>
      </c>
      <c r="Q177" s="463">
        <v>2025.0</v>
      </c>
      <c r="R177" s="476"/>
      <c r="S177" s="465" t="s">
        <v>3732</v>
      </c>
      <c r="T177" s="469"/>
      <c r="U177" s="467"/>
      <c r="V177" s="467"/>
    </row>
    <row r="178" ht="15.0" customHeight="1">
      <c r="A178" s="463">
        <f t="shared" si="3"/>
        <v>54</v>
      </c>
      <c r="B178" s="464" t="s">
        <v>3733</v>
      </c>
      <c r="C178" s="465"/>
      <c r="D178" s="464" t="s">
        <v>3734</v>
      </c>
      <c r="E178" s="464" t="s">
        <v>3238</v>
      </c>
      <c r="F178" s="464" t="s">
        <v>3726</v>
      </c>
      <c r="G178" s="80" t="str">
        <f>VLOOKUP(F178,'01. TH'!$B:$E,3,0)</f>
        <v>1900x1900x1800</v>
      </c>
      <c r="H178" s="463" t="s">
        <v>45</v>
      </c>
      <c r="I178" s="463" t="s">
        <v>3727</v>
      </c>
      <c r="J178" s="467"/>
      <c r="K178" s="463" t="s">
        <v>1661</v>
      </c>
      <c r="L178" s="464" t="s">
        <v>336</v>
      </c>
      <c r="M178" s="476"/>
      <c r="N178" s="464" t="s">
        <v>3709</v>
      </c>
      <c r="O178" s="465" t="s">
        <v>3728</v>
      </c>
      <c r="P178" s="468" t="s">
        <v>260</v>
      </c>
      <c r="Q178" s="463">
        <v>2025.0</v>
      </c>
      <c r="R178" s="476"/>
      <c r="S178" s="465" t="s">
        <v>3735</v>
      </c>
      <c r="T178" s="469"/>
      <c r="U178" s="467"/>
      <c r="V178" s="467"/>
    </row>
    <row r="179" ht="15.0" customHeight="1">
      <c r="A179" s="463"/>
      <c r="B179" s="464"/>
      <c r="C179" s="465"/>
      <c r="D179" s="464"/>
      <c r="E179" s="467"/>
      <c r="F179" s="467"/>
      <c r="G179" s="80" t="str">
        <f>VLOOKUP(F179,'01. TH'!$B:$E,3,0)</f>
        <v>#N/A</v>
      </c>
      <c r="H179" s="463"/>
      <c r="I179" s="463"/>
      <c r="J179" s="467"/>
      <c r="K179" s="463"/>
      <c r="L179" s="464"/>
      <c r="M179" s="476"/>
      <c r="N179" s="467"/>
      <c r="O179" s="476"/>
      <c r="P179" s="467"/>
      <c r="Q179" s="475"/>
      <c r="R179" s="476"/>
      <c r="S179" s="476"/>
      <c r="T179" s="469"/>
      <c r="U179" s="467"/>
      <c r="V179" s="467"/>
    </row>
    <row r="180" ht="15.0" hidden="1" customHeight="1">
      <c r="A180" s="463"/>
      <c r="B180" s="464"/>
      <c r="C180" s="465"/>
      <c r="D180" s="464"/>
      <c r="E180" s="467"/>
      <c r="F180" s="467"/>
      <c r="G180" s="80" t="str">
        <f>VLOOKUP(F180,'01. TH'!$B:$E,3,0)</f>
        <v>#N/A</v>
      </c>
      <c r="H180" s="463"/>
      <c r="I180" s="463"/>
      <c r="J180" s="467"/>
      <c r="K180" s="463"/>
      <c r="L180" s="464"/>
      <c r="M180" s="476"/>
      <c r="N180" s="467"/>
      <c r="O180" s="476"/>
      <c r="P180" s="467"/>
      <c r="Q180" s="475"/>
      <c r="R180" s="476"/>
      <c r="S180" s="476"/>
      <c r="T180" s="469"/>
      <c r="U180" s="467"/>
      <c r="V180" s="467"/>
    </row>
    <row r="181" ht="15.0" hidden="1" customHeight="1">
      <c r="A181" s="463"/>
      <c r="B181" s="464"/>
      <c r="C181" s="465"/>
      <c r="D181" s="464"/>
      <c r="E181" s="467"/>
      <c r="F181" s="467"/>
      <c r="G181" s="80" t="str">
        <f>VLOOKUP(F181,'01. TH'!$B:$E,3,0)</f>
        <v>#N/A</v>
      </c>
      <c r="H181" s="463"/>
      <c r="I181" s="463"/>
      <c r="J181" s="467"/>
      <c r="K181" s="463"/>
      <c r="L181" s="464"/>
      <c r="M181" s="476"/>
      <c r="N181" s="467"/>
      <c r="O181" s="476"/>
      <c r="P181" s="467"/>
      <c r="Q181" s="475"/>
      <c r="R181" s="476"/>
      <c r="S181" s="476"/>
      <c r="T181" s="469"/>
      <c r="U181" s="467"/>
      <c r="V181" s="467"/>
    </row>
    <row r="182" ht="15.0" hidden="1" customHeight="1">
      <c r="A182" s="463"/>
      <c r="B182" s="464"/>
      <c r="C182" s="465"/>
      <c r="D182" s="464"/>
      <c r="E182" s="467"/>
      <c r="F182" s="467"/>
      <c r="G182" s="80" t="str">
        <f>VLOOKUP(F182,'01. TH'!$B:$E,3,0)</f>
        <v>#N/A</v>
      </c>
      <c r="H182" s="463"/>
      <c r="I182" s="463"/>
      <c r="J182" s="467"/>
      <c r="K182" s="463"/>
      <c r="L182" s="464"/>
      <c r="M182" s="476"/>
      <c r="N182" s="467"/>
      <c r="O182" s="476"/>
      <c r="P182" s="467"/>
      <c r="Q182" s="475"/>
      <c r="R182" s="476"/>
      <c r="S182" s="476"/>
      <c r="T182" s="469"/>
      <c r="U182" s="467"/>
      <c r="V182" s="467"/>
    </row>
    <row r="183" ht="15.0" hidden="1" customHeight="1">
      <c r="A183" s="463"/>
      <c r="B183" s="464"/>
      <c r="C183" s="465"/>
      <c r="D183" s="464"/>
      <c r="E183" s="467"/>
      <c r="F183" s="467"/>
      <c r="G183" s="80" t="str">
        <f>VLOOKUP(F183,'01. TH'!$B:$E,3,0)</f>
        <v>#N/A</v>
      </c>
      <c r="H183" s="463"/>
      <c r="I183" s="463"/>
      <c r="J183" s="467"/>
      <c r="K183" s="463"/>
      <c r="L183" s="464"/>
      <c r="M183" s="476"/>
      <c r="N183" s="467"/>
      <c r="O183" s="476"/>
      <c r="P183" s="467"/>
      <c r="Q183" s="475"/>
      <c r="R183" s="476"/>
      <c r="S183" s="476"/>
      <c r="T183" s="469"/>
      <c r="U183" s="467"/>
      <c r="V183" s="467"/>
    </row>
    <row r="184" ht="15.0" hidden="1" customHeight="1">
      <c r="A184" s="463"/>
      <c r="B184" s="464"/>
      <c r="C184" s="465" t="s">
        <v>651</v>
      </c>
      <c r="D184" s="464"/>
      <c r="E184" s="467"/>
      <c r="F184" s="467"/>
      <c r="G184" s="80" t="str">
        <f>VLOOKUP(F184,'01. TH'!$B:$E,3,0)</f>
        <v>#N/A</v>
      </c>
      <c r="H184" s="463"/>
      <c r="I184" s="463"/>
      <c r="J184" s="467"/>
      <c r="K184" s="463"/>
      <c r="L184" s="464"/>
      <c r="M184" s="476"/>
      <c r="N184" s="467"/>
      <c r="O184" s="476"/>
      <c r="P184" s="467"/>
      <c r="Q184" s="475"/>
      <c r="R184" s="476"/>
      <c r="S184" s="476"/>
      <c r="T184" s="469"/>
      <c r="U184" s="467"/>
      <c r="V184" s="467"/>
    </row>
    <row r="185" ht="15.0" customHeight="1">
      <c r="A185" s="455" t="s">
        <v>760</v>
      </c>
      <c r="B185" s="456" t="s">
        <v>761</v>
      </c>
      <c r="C185" s="457">
        <f>COUNTA($B$186:$B$216)</f>
        <v>30</v>
      </c>
      <c r="D185" s="458"/>
      <c r="E185" s="458"/>
      <c r="F185" s="458"/>
      <c r="G185" s="459"/>
      <c r="H185" s="459"/>
      <c r="I185" s="457"/>
      <c r="J185" s="460"/>
      <c r="K185" s="457"/>
      <c r="L185" s="458"/>
      <c r="M185" s="461"/>
      <c r="N185" s="458"/>
      <c r="O185" s="461"/>
      <c r="P185" s="458"/>
      <c r="Q185" s="459"/>
      <c r="R185" s="461"/>
      <c r="S185" s="461"/>
      <c r="T185" s="462"/>
      <c r="U185" s="458"/>
      <c r="V185" s="458"/>
    </row>
    <row r="186" ht="15.0" customHeight="1">
      <c r="A186" s="463">
        <v>1.0</v>
      </c>
      <c r="B186" s="464" t="s">
        <v>3736</v>
      </c>
      <c r="C186" s="476" t="s">
        <v>3737</v>
      </c>
      <c r="D186" s="464" t="s">
        <v>3738</v>
      </c>
      <c r="E186" s="464" t="s">
        <v>79</v>
      </c>
      <c r="F186" s="467" t="s">
        <v>3739</v>
      </c>
      <c r="G186" s="80" t="str">
        <f>VLOOKUP(F186,'01. TH'!$B:$E,3,0)</f>
        <v>1070 x 2310 x 1300</v>
      </c>
      <c r="H186" s="475" t="s">
        <v>56</v>
      </c>
      <c r="I186" s="475"/>
      <c r="J186" s="467"/>
      <c r="K186" s="463" t="s">
        <v>1661</v>
      </c>
      <c r="L186" s="467"/>
      <c r="M186" s="476"/>
      <c r="N186" s="464" t="s">
        <v>3084</v>
      </c>
      <c r="O186" s="465" t="s">
        <v>3527</v>
      </c>
      <c r="P186" s="464" t="s">
        <v>3084</v>
      </c>
      <c r="Q186" s="475"/>
      <c r="R186" s="476"/>
      <c r="S186" s="476"/>
      <c r="T186" s="469"/>
      <c r="U186" s="467"/>
      <c r="V186" s="467"/>
    </row>
    <row r="187" ht="15.0" customHeight="1">
      <c r="A187" s="463">
        <f t="shared" ref="A187:A215" si="4">A186+1</f>
        <v>2</v>
      </c>
      <c r="B187" s="464" t="s">
        <v>3740</v>
      </c>
      <c r="C187" s="476" t="s">
        <v>3741</v>
      </c>
      <c r="D187" s="464" t="s">
        <v>3742</v>
      </c>
      <c r="E187" s="464" t="s">
        <v>79</v>
      </c>
      <c r="F187" s="467" t="s">
        <v>3739</v>
      </c>
      <c r="G187" s="80" t="str">
        <f>VLOOKUP(F187,'01. TH'!$B:$E,3,0)</f>
        <v>1070 x 2310 x 1300</v>
      </c>
      <c r="H187" s="475" t="s">
        <v>56</v>
      </c>
      <c r="I187" s="475"/>
      <c r="J187" s="467"/>
      <c r="K187" s="463" t="s">
        <v>1661</v>
      </c>
      <c r="L187" s="467"/>
      <c r="M187" s="476"/>
      <c r="N187" s="464" t="s">
        <v>3084</v>
      </c>
      <c r="O187" s="465" t="s">
        <v>3527</v>
      </c>
      <c r="P187" s="464" t="s">
        <v>3084</v>
      </c>
      <c r="Q187" s="475"/>
      <c r="R187" s="476"/>
      <c r="S187" s="476"/>
      <c r="T187" s="469"/>
      <c r="U187" s="467"/>
      <c r="V187" s="467"/>
    </row>
    <row r="188" ht="15.0" customHeight="1">
      <c r="A188" s="463">
        <f t="shared" si="4"/>
        <v>3</v>
      </c>
      <c r="B188" s="464" t="s">
        <v>3743</v>
      </c>
      <c r="C188" s="476" t="s">
        <v>3744</v>
      </c>
      <c r="D188" s="464" t="s">
        <v>3745</v>
      </c>
      <c r="E188" s="464" t="s">
        <v>79</v>
      </c>
      <c r="F188" s="467" t="s">
        <v>3739</v>
      </c>
      <c r="G188" s="80" t="str">
        <f>VLOOKUP(F188,'01. TH'!$B:$E,3,0)</f>
        <v>1070 x 2310 x 1300</v>
      </c>
      <c r="H188" s="475" t="s">
        <v>56</v>
      </c>
      <c r="I188" s="475"/>
      <c r="J188" s="467"/>
      <c r="K188" s="463" t="s">
        <v>1661</v>
      </c>
      <c r="L188" s="467"/>
      <c r="M188" s="476"/>
      <c r="N188" s="464" t="s">
        <v>3084</v>
      </c>
      <c r="O188" s="465" t="s">
        <v>3527</v>
      </c>
      <c r="P188" s="464" t="s">
        <v>3084</v>
      </c>
      <c r="Q188" s="475"/>
      <c r="R188" s="476"/>
      <c r="S188" s="476"/>
      <c r="T188" s="469"/>
      <c r="U188" s="467"/>
      <c r="V188" s="467"/>
    </row>
    <row r="189" ht="15.0" customHeight="1">
      <c r="A189" s="463">
        <f t="shared" si="4"/>
        <v>4</v>
      </c>
      <c r="B189" s="464" t="s">
        <v>3746</v>
      </c>
      <c r="C189" s="476" t="s">
        <v>3747</v>
      </c>
      <c r="D189" s="464" t="s">
        <v>3748</v>
      </c>
      <c r="E189" s="464" t="s">
        <v>79</v>
      </c>
      <c r="F189" s="467" t="s">
        <v>3749</v>
      </c>
      <c r="G189" s="80" t="str">
        <f>VLOOKUP(F189,'01. TH'!$B:$E,3,0)</f>
        <v>1970x1460x978</v>
      </c>
      <c r="H189" s="475" t="s">
        <v>56</v>
      </c>
      <c r="I189" s="475"/>
      <c r="J189" s="467"/>
      <c r="K189" s="463" t="s">
        <v>1661</v>
      </c>
      <c r="L189" s="467"/>
      <c r="M189" s="476"/>
      <c r="N189" s="464" t="s">
        <v>3084</v>
      </c>
      <c r="O189" s="465" t="s">
        <v>3554</v>
      </c>
      <c r="P189" s="464" t="s">
        <v>3084</v>
      </c>
      <c r="Q189" s="475"/>
      <c r="R189" s="476"/>
      <c r="S189" s="476"/>
      <c r="T189" s="469"/>
      <c r="U189" s="467"/>
      <c r="V189" s="467"/>
    </row>
    <row r="190" ht="15.0" customHeight="1">
      <c r="A190" s="463">
        <f t="shared" si="4"/>
        <v>5</v>
      </c>
      <c r="B190" s="464" t="s">
        <v>3750</v>
      </c>
      <c r="C190" s="476" t="s">
        <v>3751</v>
      </c>
      <c r="D190" s="464" t="s">
        <v>3752</v>
      </c>
      <c r="E190" s="464" t="s">
        <v>3238</v>
      </c>
      <c r="F190" s="467" t="s">
        <v>3753</v>
      </c>
      <c r="G190" s="80" t="str">
        <f>VLOOKUP(F190,'01. TH'!$B:$E,3,0)</f>
        <v>150x150x200</v>
      </c>
      <c r="H190" s="475" t="s">
        <v>56</v>
      </c>
      <c r="I190" s="475"/>
      <c r="J190" s="467"/>
      <c r="K190" s="463" t="s">
        <v>1661</v>
      </c>
      <c r="L190" s="467"/>
      <c r="M190" s="476"/>
      <c r="N190" s="464" t="s">
        <v>3084</v>
      </c>
      <c r="O190" s="465" t="s">
        <v>3754</v>
      </c>
      <c r="P190" s="464" t="s">
        <v>3084</v>
      </c>
      <c r="Q190" s="475"/>
      <c r="R190" s="476"/>
      <c r="S190" s="476"/>
      <c r="T190" s="469"/>
      <c r="U190" s="467"/>
      <c r="V190" s="467"/>
    </row>
    <row r="191" ht="15.0" customHeight="1">
      <c r="A191" s="463">
        <f t="shared" si="4"/>
        <v>6</v>
      </c>
      <c r="B191" s="464" t="s">
        <v>3755</v>
      </c>
      <c r="C191" s="464" t="s">
        <v>3755</v>
      </c>
      <c r="D191" s="464" t="s">
        <v>3756</v>
      </c>
      <c r="E191" s="464" t="s">
        <v>3238</v>
      </c>
      <c r="F191" s="464" t="s">
        <v>3622</v>
      </c>
      <c r="G191" s="80" t="str">
        <f>VLOOKUP(F191,'01. TH'!$B:$E,3,0)</f>
        <v>150x150x200</v>
      </c>
      <c r="H191" s="475" t="s">
        <v>56</v>
      </c>
      <c r="I191" s="463" t="s">
        <v>3623</v>
      </c>
      <c r="J191" s="464"/>
      <c r="K191" s="463" t="s">
        <v>1661</v>
      </c>
      <c r="L191" s="464" t="s">
        <v>773</v>
      </c>
      <c r="M191" s="465"/>
      <c r="N191" s="464" t="s">
        <v>3084</v>
      </c>
      <c r="O191" s="465" t="s">
        <v>3757</v>
      </c>
      <c r="P191" s="464" t="s">
        <v>3084</v>
      </c>
      <c r="Q191" s="475"/>
      <c r="R191" s="476"/>
      <c r="S191" s="476"/>
      <c r="T191" s="469"/>
      <c r="U191" s="467"/>
      <c r="V191" s="467"/>
    </row>
    <row r="192" ht="15.0" customHeight="1">
      <c r="A192" s="463">
        <f t="shared" si="4"/>
        <v>7</v>
      </c>
      <c r="B192" s="464" t="s">
        <v>3758</v>
      </c>
      <c r="C192" s="476" t="s">
        <v>3759</v>
      </c>
      <c r="D192" s="464" t="s">
        <v>3760</v>
      </c>
      <c r="E192" s="464" t="s">
        <v>79</v>
      </c>
      <c r="F192" s="464" t="s">
        <v>3558</v>
      </c>
      <c r="G192" s="80" t="str">
        <f>VLOOKUP(F192,'01. TH'!$B:$E,3,0)</f>
        <v/>
      </c>
      <c r="H192" s="475" t="s">
        <v>56</v>
      </c>
      <c r="I192" s="475"/>
      <c r="J192" s="467"/>
      <c r="K192" s="463" t="s">
        <v>1661</v>
      </c>
      <c r="L192" s="467"/>
      <c r="M192" s="476"/>
      <c r="N192" s="464" t="s">
        <v>3084</v>
      </c>
      <c r="O192" s="465" t="s">
        <v>3559</v>
      </c>
      <c r="P192" s="464" t="s">
        <v>3084</v>
      </c>
      <c r="Q192" s="475"/>
      <c r="R192" s="476"/>
      <c r="S192" s="476"/>
      <c r="T192" s="482">
        <v>6.0</v>
      </c>
      <c r="U192" s="464" t="s">
        <v>3539</v>
      </c>
      <c r="V192" s="467"/>
    </row>
    <row r="193" ht="15.0" customHeight="1">
      <c r="A193" s="463">
        <f t="shared" si="4"/>
        <v>8</v>
      </c>
      <c r="B193" s="464" t="s">
        <v>3761</v>
      </c>
      <c r="C193" s="476" t="s">
        <v>3762</v>
      </c>
      <c r="D193" s="464" t="s">
        <v>3763</v>
      </c>
      <c r="E193" s="464" t="s">
        <v>79</v>
      </c>
      <c r="F193" s="464" t="s">
        <v>3574</v>
      </c>
      <c r="G193" s="80" t="str">
        <f>VLOOKUP(F193,'01. TH'!$B:$E,3,0)</f>
        <v>#N/A</v>
      </c>
      <c r="H193" s="475" t="s">
        <v>56</v>
      </c>
      <c r="I193" s="475"/>
      <c r="J193" s="494"/>
      <c r="K193" s="463" t="s">
        <v>1661</v>
      </c>
      <c r="M193" s="476"/>
      <c r="N193" s="464" t="s">
        <v>3084</v>
      </c>
      <c r="O193" s="465" t="s">
        <v>3764</v>
      </c>
      <c r="P193" s="464" t="s">
        <v>3084</v>
      </c>
      <c r="Q193" s="475"/>
      <c r="R193" s="476"/>
      <c r="S193" s="476"/>
      <c r="T193" s="469"/>
      <c r="U193" s="467"/>
      <c r="V193" s="467"/>
    </row>
    <row r="194" ht="15.0" customHeight="1">
      <c r="A194" s="463">
        <f t="shared" si="4"/>
        <v>9</v>
      </c>
      <c r="B194" s="464" t="s">
        <v>3765</v>
      </c>
      <c r="C194" s="476" t="s">
        <v>3766</v>
      </c>
      <c r="D194" s="464" t="s">
        <v>3767</v>
      </c>
      <c r="E194" s="464" t="s">
        <v>79</v>
      </c>
      <c r="F194" s="467" t="s">
        <v>3470</v>
      </c>
      <c r="G194" s="80" t="str">
        <f>VLOOKUP(F194,'01. TH'!$B:$E,3,0)</f>
        <v>1830x1885x1590</v>
      </c>
      <c r="H194" s="475" t="s">
        <v>56</v>
      </c>
      <c r="I194" s="475"/>
      <c r="J194" s="494"/>
      <c r="K194" s="463" t="s">
        <v>1661</v>
      </c>
      <c r="L194" s="467"/>
      <c r="M194" s="476"/>
      <c r="N194" s="464" t="s">
        <v>3084</v>
      </c>
      <c r="O194" s="465" t="s">
        <v>3233</v>
      </c>
      <c r="P194" s="464" t="s">
        <v>3084</v>
      </c>
      <c r="Q194" s="475"/>
      <c r="R194" s="476"/>
      <c r="S194" s="476"/>
      <c r="T194" s="482">
        <v>13.0</v>
      </c>
      <c r="U194" s="464" t="s">
        <v>3578</v>
      </c>
      <c r="V194" s="467"/>
    </row>
    <row r="195" ht="15.0" customHeight="1">
      <c r="A195" s="463">
        <f t="shared" si="4"/>
        <v>10</v>
      </c>
      <c r="B195" s="464" t="s">
        <v>3768</v>
      </c>
      <c r="C195" s="476" t="s">
        <v>3769</v>
      </c>
      <c r="D195" s="464" t="s">
        <v>3770</v>
      </c>
      <c r="E195" s="464" t="s">
        <v>79</v>
      </c>
      <c r="F195" s="464" t="s">
        <v>3587</v>
      </c>
      <c r="G195" s="80" t="str">
        <f>VLOOKUP(F195,'01. TH'!$B:$E,3,0)</f>
        <v>#N/A</v>
      </c>
      <c r="H195" s="475" t="s">
        <v>56</v>
      </c>
      <c r="I195" s="475"/>
      <c r="J195" s="495"/>
      <c r="K195" s="463" t="s">
        <v>1661</v>
      </c>
      <c r="L195" s="467"/>
      <c r="M195" s="476"/>
      <c r="N195" s="464" t="s">
        <v>3084</v>
      </c>
      <c r="O195" s="465"/>
      <c r="P195" s="464" t="s">
        <v>3084</v>
      </c>
      <c r="Q195" s="475"/>
      <c r="R195" s="476"/>
      <c r="S195" s="476"/>
      <c r="T195" s="469"/>
      <c r="U195" s="467"/>
      <c r="V195" s="467"/>
    </row>
    <row r="196" ht="15.0" customHeight="1">
      <c r="A196" s="463">
        <f t="shared" si="4"/>
        <v>11</v>
      </c>
      <c r="B196" s="464" t="s">
        <v>3771</v>
      </c>
      <c r="C196" s="476"/>
      <c r="D196" s="464" t="s">
        <v>3772</v>
      </c>
      <c r="E196" s="464" t="s">
        <v>79</v>
      </c>
      <c r="F196" s="464" t="s">
        <v>3616</v>
      </c>
      <c r="G196" s="80" t="str">
        <f>VLOOKUP(F196,'01. TH'!$B:$E,3,0)</f>
        <v/>
      </c>
      <c r="H196" s="475" t="s">
        <v>56</v>
      </c>
      <c r="I196" s="463" t="s">
        <v>3617</v>
      </c>
      <c r="J196" s="467"/>
      <c r="K196" s="463" t="s">
        <v>1661</v>
      </c>
      <c r="L196" s="464" t="s">
        <v>3618</v>
      </c>
      <c r="M196" s="239"/>
      <c r="N196" s="464" t="s">
        <v>3258</v>
      </c>
      <c r="O196" s="239"/>
      <c r="P196" s="464" t="s">
        <v>3260</v>
      </c>
      <c r="Q196" s="475"/>
      <c r="R196" s="465" t="s">
        <v>3619</v>
      </c>
      <c r="S196" s="476"/>
      <c r="T196" s="469"/>
      <c r="U196" s="467"/>
      <c r="V196" s="467"/>
    </row>
    <row r="197" ht="15.0" customHeight="1">
      <c r="A197" s="463">
        <f t="shared" si="4"/>
        <v>12</v>
      </c>
      <c r="B197" s="464" t="s">
        <v>3773</v>
      </c>
      <c r="C197" s="464"/>
      <c r="D197" s="464" t="s">
        <v>3774</v>
      </c>
      <c r="E197" s="464" t="s">
        <v>79</v>
      </c>
      <c r="F197" s="464" t="s">
        <v>3599</v>
      </c>
      <c r="G197" s="80" t="str">
        <f>VLOOKUP(F197,'01. TH'!$B:$E,3,0)</f>
        <v>1800x1180x1152</v>
      </c>
      <c r="H197" s="475" t="s">
        <v>56</v>
      </c>
      <c r="I197" s="466">
        <v>45446.0</v>
      </c>
      <c r="J197" s="464"/>
      <c r="K197" s="463" t="s">
        <v>1661</v>
      </c>
      <c r="L197" s="464" t="s">
        <v>3775</v>
      </c>
      <c r="M197" s="239"/>
      <c r="N197" s="464" t="s">
        <v>3084</v>
      </c>
      <c r="O197" s="465"/>
      <c r="P197" s="464" t="s">
        <v>3084</v>
      </c>
      <c r="Q197" s="475"/>
      <c r="R197" s="476"/>
      <c r="S197" s="476"/>
      <c r="T197" s="482">
        <v>3.8</v>
      </c>
      <c r="U197" s="464" t="s">
        <v>3600</v>
      </c>
      <c r="V197" s="467"/>
    </row>
    <row r="198" ht="15.0" customHeight="1">
      <c r="A198" s="463">
        <f t="shared" si="4"/>
        <v>13</v>
      </c>
      <c r="B198" s="486" t="s">
        <v>3776</v>
      </c>
      <c r="C198" s="477"/>
      <c r="D198" s="486" t="s">
        <v>3777</v>
      </c>
      <c r="E198" s="464" t="s">
        <v>3238</v>
      </c>
      <c r="F198" s="464" t="s">
        <v>3599</v>
      </c>
      <c r="G198" s="80" t="str">
        <f>VLOOKUP(F198,'01. TH'!$B:$E,3,0)</f>
        <v>1800x1180x1152</v>
      </c>
      <c r="H198" s="475" t="s">
        <v>56</v>
      </c>
      <c r="I198" s="496">
        <v>46054.0</v>
      </c>
      <c r="J198" s="489"/>
      <c r="K198" s="463" t="s">
        <v>1661</v>
      </c>
      <c r="L198" s="489"/>
      <c r="M198" s="477"/>
      <c r="N198" s="464" t="s">
        <v>3603</v>
      </c>
      <c r="O198" s="470" t="s">
        <v>3604</v>
      </c>
      <c r="P198" s="464" t="s">
        <v>3605</v>
      </c>
      <c r="Q198" s="488">
        <v>2024.0</v>
      </c>
      <c r="R198" s="487"/>
      <c r="S198" s="470" t="s">
        <v>3778</v>
      </c>
      <c r="T198" s="482">
        <v>3.8</v>
      </c>
      <c r="U198" s="464" t="s">
        <v>3600</v>
      </c>
      <c r="V198" s="489"/>
    </row>
    <row r="199" ht="15.0" customHeight="1">
      <c r="A199" s="463">
        <f t="shared" si="4"/>
        <v>14</v>
      </c>
      <c r="B199" s="486" t="s">
        <v>3779</v>
      </c>
      <c r="C199" s="477" t="s">
        <v>3780</v>
      </c>
      <c r="D199" s="486" t="s">
        <v>3781</v>
      </c>
      <c r="E199" s="464" t="s">
        <v>79</v>
      </c>
      <c r="F199" s="486" t="s">
        <v>3558</v>
      </c>
      <c r="G199" s="80" t="str">
        <f>VLOOKUP(F199,'01. TH'!$B:$E,3,0)</f>
        <v/>
      </c>
      <c r="H199" s="475" t="s">
        <v>56</v>
      </c>
      <c r="I199" s="490"/>
      <c r="J199" s="489"/>
      <c r="K199" s="463" t="s">
        <v>1661</v>
      </c>
      <c r="L199" s="489"/>
      <c r="M199" s="477"/>
      <c r="N199" s="464" t="s">
        <v>3084</v>
      </c>
      <c r="O199" s="477" t="s">
        <v>3559</v>
      </c>
      <c r="P199" s="464" t="s">
        <v>3084</v>
      </c>
      <c r="Q199" s="490"/>
      <c r="R199" s="487"/>
      <c r="S199" s="487"/>
      <c r="T199" s="482">
        <v>6.0</v>
      </c>
      <c r="U199" s="464" t="s">
        <v>3539</v>
      </c>
      <c r="V199" s="489"/>
    </row>
    <row r="200" ht="15.0" customHeight="1">
      <c r="A200" s="463">
        <f t="shared" si="4"/>
        <v>15</v>
      </c>
      <c r="B200" s="486" t="s">
        <v>3782</v>
      </c>
      <c r="C200" s="477"/>
      <c r="D200" s="486" t="s">
        <v>3783</v>
      </c>
      <c r="E200" s="486" t="s">
        <v>3238</v>
      </c>
      <c r="F200" s="486" t="s">
        <v>3558</v>
      </c>
      <c r="G200" s="80" t="str">
        <f>VLOOKUP(F200,'01. TH'!$B:$E,3,0)</f>
        <v/>
      </c>
      <c r="H200" s="475" t="s">
        <v>56</v>
      </c>
      <c r="I200" s="496">
        <v>45424.0</v>
      </c>
      <c r="J200" s="489"/>
      <c r="K200" s="463" t="s">
        <v>1661</v>
      </c>
      <c r="L200" s="486" t="s">
        <v>336</v>
      </c>
      <c r="M200" s="477"/>
      <c r="N200" s="464" t="s">
        <v>3084</v>
      </c>
      <c r="O200" s="477" t="s">
        <v>3559</v>
      </c>
      <c r="P200" s="464" t="s">
        <v>3084</v>
      </c>
      <c r="Q200" s="490"/>
      <c r="R200" s="487"/>
      <c r="S200" s="487"/>
      <c r="T200" s="482">
        <v>6.0</v>
      </c>
      <c r="U200" s="464" t="s">
        <v>3539</v>
      </c>
      <c r="V200" s="489"/>
    </row>
    <row r="201" ht="15.0" customHeight="1">
      <c r="A201" s="463">
        <f t="shared" si="4"/>
        <v>16</v>
      </c>
      <c r="B201" s="486" t="s">
        <v>3784</v>
      </c>
      <c r="C201" s="477" t="s">
        <v>3785</v>
      </c>
      <c r="D201" s="486" t="s">
        <v>3786</v>
      </c>
      <c r="E201" s="464" t="s">
        <v>79</v>
      </c>
      <c r="F201" s="467" t="s">
        <v>3470</v>
      </c>
      <c r="G201" s="80" t="str">
        <f>VLOOKUP(F201,'01. TH'!$B:$E,3,0)</f>
        <v>1830x1885x1590</v>
      </c>
      <c r="H201" s="475" t="s">
        <v>56</v>
      </c>
      <c r="I201" s="496">
        <v>45570.0</v>
      </c>
      <c r="J201" s="489"/>
      <c r="K201" s="463" t="s">
        <v>1661</v>
      </c>
      <c r="L201" s="486" t="s">
        <v>3581</v>
      </c>
      <c r="M201" s="477"/>
      <c r="N201" s="464" t="s">
        <v>3084</v>
      </c>
      <c r="O201" s="477" t="s">
        <v>3233</v>
      </c>
      <c r="P201" s="464" t="s">
        <v>3084</v>
      </c>
      <c r="Q201" s="490"/>
      <c r="R201" s="477" t="s">
        <v>3787</v>
      </c>
      <c r="S201" s="487"/>
      <c r="T201" s="482">
        <v>13.0</v>
      </c>
      <c r="U201" s="464" t="s">
        <v>3578</v>
      </c>
      <c r="V201" s="489"/>
    </row>
    <row r="202" ht="15.0" customHeight="1">
      <c r="A202" s="463">
        <f t="shared" si="4"/>
        <v>17</v>
      </c>
      <c r="B202" s="464" t="s">
        <v>3788</v>
      </c>
      <c r="C202" s="476"/>
      <c r="D202" s="464" t="s">
        <v>3789</v>
      </c>
      <c r="E202" s="464" t="s">
        <v>79</v>
      </c>
      <c r="F202" s="467" t="s">
        <v>3470</v>
      </c>
      <c r="G202" s="80" t="str">
        <f>VLOOKUP(F202,'01. TH'!$B:$E,3,0)</f>
        <v>1830x1885x1590</v>
      </c>
      <c r="H202" s="475" t="s">
        <v>56</v>
      </c>
      <c r="I202" s="463" t="s">
        <v>1621</v>
      </c>
      <c r="J202" s="467"/>
      <c r="K202" s="463" t="s">
        <v>1661</v>
      </c>
      <c r="L202" s="486" t="s">
        <v>3581</v>
      </c>
      <c r="M202" s="497"/>
      <c r="N202" s="464" t="s">
        <v>3258</v>
      </c>
      <c r="O202" s="465"/>
      <c r="P202" s="464"/>
      <c r="Q202" s="490"/>
      <c r="R202" s="465"/>
      <c r="S202" s="476"/>
      <c r="T202" s="482">
        <v>13.0</v>
      </c>
      <c r="U202" s="464" t="s">
        <v>3578</v>
      </c>
      <c r="V202" s="467"/>
    </row>
    <row r="203" ht="15.0" customHeight="1">
      <c r="A203" s="463">
        <f t="shared" si="4"/>
        <v>18</v>
      </c>
      <c r="B203" s="464" t="s">
        <v>3790</v>
      </c>
      <c r="C203" s="476"/>
      <c r="D203" s="464" t="s">
        <v>3791</v>
      </c>
      <c r="E203" s="464" t="s">
        <v>79</v>
      </c>
      <c r="F203" s="467" t="s">
        <v>3470</v>
      </c>
      <c r="G203" s="80"/>
      <c r="H203" s="475" t="s">
        <v>56</v>
      </c>
      <c r="I203" s="463" t="s">
        <v>3792</v>
      </c>
      <c r="J203" s="467"/>
      <c r="K203" s="463" t="s">
        <v>1661</v>
      </c>
      <c r="L203" s="486" t="s">
        <v>3581</v>
      </c>
      <c r="M203" s="497"/>
      <c r="N203" s="464"/>
      <c r="O203" s="465"/>
      <c r="P203" s="464"/>
      <c r="Q203" s="490"/>
      <c r="R203" s="465"/>
      <c r="S203" s="476"/>
      <c r="T203" s="482">
        <v>13.0</v>
      </c>
      <c r="U203" s="464" t="s">
        <v>3578</v>
      </c>
      <c r="V203" s="467"/>
    </row>
    <row r="204" ht="15.0" customHeight="1">
      <c r="A204" s="463">
        <f t="shared" si="4"/>
        <v>19</v>
      </c>
      <c r="B204" s="464" t="s">
        <v>3793</v>
      </c>
      <c r="C204" s="476"/>
      <c r="D204" s="464" t="s">
        <v>3794</v>
      </c>
      <c r="E204" s="464" t="s">
        <v>79</v>
      </c>
      <c r="F204" s="464" t="s">
        <v>3644</v>
      </c>
      <c r="G204" s="80" t="str">
        <f>VLOOKUP(F204,'01. TH'!$B:$E,3,0)</f>
        <v> 1590mm x 1300mm</v>
      </c>
      <c r="H204" s="463" t="s">
        <v>56</v>
      </c>
      <c r="I204" s="466">
        <v>45633.0</v>
      </c>
      <c r="J204" s="467"/>
      <c r="K204" s="463" t="s">
        <v>1661</v>
      </c>
      <c r="L204" s="464" t="s">
        <v>3645</v>
      </c>
      <c r="M204" s="497"/>
      <c r="N204" s="464" t="s">
        <v>3258</v>
      </c>
      <c r="O204" s="465" t="s">
        <v>3795</v>
      </c>
      <c r="P204" s="464" t="s">
        <v>3260</v>
      </c>
      <c r="Q204" s="490">
        <v>2024.0</v>
      </c>
      <c r="R204" s="465" t="s">
        <v>3796</v>
      </c>
      <c r="S204" s="476"/>
      <c r="T204" s="469"/>
      <c r="U204" s="467"/>
      <c r="V204" s="467"/>
    </row>
    <row r="205" ht="15.0" customHeight="1">
      <c r="A205" s="463">
        <f t="shared" si="4"/>
        <v>20</v>
      </c>
      <c r="B205" s="464" t="s">
        <v>3797</v>
      </c>
      <c r="C205" s="476"/>
      <c r="D205" s="464" t="s">
        <v>3798</v>
      </c>
      <c r="E205" s="464" t="s">
        <v>79</v>
      </c>
      <c r="F205" s="464" t="s">
        <v>3644</v>
      </c>
      <c r="G205" s="80" t="str">
        <f>VLOOKUP(F205,'01. TH'!$B:$E,3,0)</f>
        <v> 1590mm x 1300mm</v>
      </c>
      <c r="H205" s="463" t="s">
        <v>56</v>
      </c>
      <c r="I205" s="463" t="s">
        <v>3799</v>
      </c>
      <c r="J205" s="467"/>
      <c r="K205" s="463" t="s">
        <v>1661</v>
      </c>
      <c r="L205" s="464" t="s">
        <v>3645</v>
      </c>
      <c r="M205" s="497"/>
      <c r="N205" s="464" t="s">
        <v>3258</v>
      </c>
      <c r="O205" s="465" t="s">
        <v>3651</v>
      </c>
      <c r="P205" s="464" t="s">
        <v>3260</v>
      </c>
      <c r="Q205" s="490">
        <v>2024.0</v>
      </c>
      <c r="R205" s="465" t="s">
        <v>3800</v>
      </c>
      <c r="S205" s="476"/>
      <c r="T205" s="469"/>
      <c r="U205" s="467"/>
      <c r="V205" s="467"/>
    </row>
    <row r="206" ht="15.0" customHeight="1">
      <c r="A206" s="463">
        <f t="shared" si="4"/>
        <v>21</v>
      </c>
      <c r="B206" s="464" t="s">
        <v>3801</v>
      </c>
      <c r="C206" s="476"/>
      <c r="D206" s="464" t="s">
        <v>3802</v>
      </c>
      <c r="E206" s="464" t="s">
        <v>3238</v>
      </c>
      <c r="F206" s="464" t="s">
        <v>3803</v>
      </c>
      <c r="G206" s="80" t="str">
        <f>VLOOKUP(F206,'01. TH'!$B:$E,3,0)</f>
        <v>150x150x200</v>
      </c>
      <c r="H206" s="463" t="s">
        <v>56</v>
      </c>
      <c r="I206" s="463" t="s">
        <v>227</v>
      </c>
      <c r="J206" s="467"/>
      <c r="K206" s="463" t="s">
        <v>1661</v>
      </c>
      <c r="L206" s="486" t="s">
        <v>3581</v>
      </c>
      <c r="M206" s="497"/>
      <c r="N206" s="464" t="s">
        <v>3624</v>
      </c>
      <c r="O206" s="465" t="s">
        <v>3804</v>
      </c>
      <c r="P206" s="464" t="s">
        <v>3626</v>
      </c>
      <c r="Q206" s="490">
        <v>2024.0</v>
      </c>
      <c r="R206" s="465"/>
      <c r="S206" s="465">
        <v>3453783.0</v>
      </c>
      <c r="T206" s="482" t="s">
        <v>76</v>
      </c>
      <c r="U206" s="464"/>
      <c r="V206" s="464"/>
    </row>
    <row r="207" ht="15.0" customHeight="1">
      <c r="A207" s="463">
        <f t="shared" si="4"/>
        <v>22</v>
      </c>
      <c r="B207" s="464" t="s">
        <v>3805</v>
      </c>
      <c r="C207" s="465" t="s">
        <v>3806</v>
      </c>
      <c r="D207" s="464" t="s">
        <v>3807</v>
      </c>
      <c r="E207" s="464" t="s">
        <v>3238</v>
      </c>
      <c r="F207" s="464" t="s">
        <v>3808</v>
      </c>
      <c r="G207" s="80" t="str">
        <f>VLOOKUP(F207,'01. TH'!$B:$E,3,0)</f>
        <v>#N/A</v>
      </c>
      <c r="H207" s="463" t="s">
        <v>56</v>
      </c>
      <c r="I207" s="463" t="s">
        <v>3809</v>
      </c>
      <c r="J207" s="467"/>
      <c r="K207" s="463" t="s">
        <v>1661</v>
      </c>
      <c r="L207" s="486" t="s">
        <v>3581</v>
      </c>
      <c r="M207" s="497"/>
      <c r="N207" s="464" t="s">
        <v>3258</v>
      </c>
      <c r="O207" s="465" t="s">
        <v>3806</v>
      </c>
      <c r="P207" s="464" t="s">
        <v>3260</v>
      </c>
      <c r="Q207" s="490">
        <v>2024.0</v>
      </c>
      <c r="R207" s="465"/>
      <c r="S207" s="465"/>
      <c r="T207" s="482">
        <v>9.5</v>
      </c>
      <c r="U207" s="464" t="s">
        <v>3539</v>
      </c>
      <c r="V207" s="464"/>
    </row>
    <row r="208" ht="15.0" customHeight="1">
      <c r="A208" s="463">
        <f t="shared" si="4"/>
        <v>23</v>
      </c>
      <c r="B208" s="464" t="s">
        <v>3810</v>
      </c>
      <c r="C208" s="465"/>
      <c r="D208" s="464" t="s">
        <v>3811</v>
      </c>
      <c r="E208" s="464" t="s">
        <v>79</v>
      </c>
      <c r="F208" s="464" t="s">
        <v>3812</v>
      </c>
      <c r="G208" s="80" t="str">
        <f>VLOOKUP(F208,'01. TH'!$B:$E,3,0)</f>
        <v/>
      </c>
      <c r="H208" s="463" t="s">
        <v>56</v>
      </c>
      <c r="I208" s="463" t="s">
        <v>3813</v>
      </c>
      <c r="J208" s="467"/>
      <c r="K208" s="463" t="s">
        <v>1661</v>
      </c>
      <c r="L208" s="486" t="s">
        <v>336</v>
      </c>
      <c r="M208" s="497"/>
      <c r="N208" s="464" t="s">
        <v>3814</v>
      </c>
      <c r="O208" s="465" t="s">
        <v>3815</v>
      </c>
      <c r="P208" s="464" t="s">
        <v>3175</v>
      </c>
      <c r="Q208" s="490">
        <v>2024.0</v>
      </c>
      <c r="R208" s="476"/>
      <c r="S208" s="465">
        <v>2.02400390003E11</v>
      </c>
      <c r="T208" s="482"/>
      <c r="U208" s="464"/>
      <c r="V208" s="464"/>
    </row>
    <row r="209" ht="15.0" customHeight="1">
      <c r="A209" s="463">
        <f t="shared" si="4"/>
        <v>24</v>
      </c>
      <c r="B209" s="464" t="s">
        <v>3816</v>
      </c>
      <c r="C209" s="465"/>
      <c r="D209" s="464" t="s">
        <v>3817</v>
      </c>
      <c r="E209" s="464" t="s">
        <v>3238</v>
      </c>
      <c r="F209" s="464" t="s">
        <v>3682</v>
      </c>
      <c r="G209" s="80" t="str">
        <f>VLOOKUP(F209,'01. TH'!$B:$E,3,0)</f>
        <v>960 x 2260 x 950</v>
      </c>
      <c r="H209" s="463" t="s">
        <v>56</v>
      </c>
      <c r="I209" s="466">
        <v>45811.0</v>
      </c>
      <c r="J209" s="467"/>
      <c r="K209" s="463" t="s">
        <v>1661</v>
      </c>
      <c r="L209" s="486" t="s">
        <v>336</v>
      </c>
      <c r="M209" s="497"/>
      <c r="N209" s="464" t="s">
        <v>454</v>
      </c>
      <c r="O209" s="465" t="s">
        <v>3683</v>
      </c>
      <c r="P209" s="464" t="s">
        <v>3084</v>
      </c>
      <c r="Q209" s="490">
        <v>2025.0</v>
      </c>
      <c r="R209" s="465"/>
      <c r="S209" s="465"/>
      <c r="T209" s="482"/>
      <c r="U209" s="464"/>
      <c r="V209" s="464"/>
    </row>
    <row r="210" ht="15.0" customHeight="1">
      <c r="A210" s="463">
        <f t="shared" si="4"/>
        <v>25</v>
      </c>
      <c r="B210" s="464" t="s">
        <v>3818</v>
      </c>
      <c r="C210" s="465"/>
      <c r="D210" s="464" t="s">
        <v>3819</v>
      </c>
      <c r="E210" s="464" t="s">
        <v>79</v>
      </c>
      <c r="F210" s="464" t="s">
        <v>3667</v>
      </c>
      <c r="G210" s="80" t="str">
        <f>VLOOKUP(F210,'01. TH'!$B:$E,3,0)</f>
        <v>#N/A</v>
      </c>
      <c r="H210" s="463" t="s">
        <v>56</v>
      </c>
      <c r="I210" s="463" t="s">
        <v>3820</v>
      </c>
      <c r="J210" s="467"/>
      <c r="K210" s="463" t="s">
        <v>1661</v>
      </c>
      <c r="L210" s="486" t="s">
        <v>3581</v>
      </c>
      <c r="M210" s="497"/>
      <c r="N210" s="464" t="s">
        <v>3258</v>
      </c>
      <c r="O210" s="465" t="s">
        <v>3821</v>
      </c>
      <c r="P210" s="464" t="s">
        <v>3260</v>
      </c>
      <c r="Q210" s="490">
        <v>2025.0</v>
      </c>
      <c r="R210" s="465"/>
      <c r="S210" s="465"/>
      <c r="T210" s="482">
        <v>14.0</v>
      </c>
      <c r="U210" s="464" t="s">
        <v>3670</v>
      </c>
      <c r="V210" s="464"/>
    </row>
    <row r="211" ht="15.0" customHeight="1">
      <c r="A211" s="463">
        <f t="shared" si="4"/>
        <v>26</v>
      </c>
      <c r="B211" s="464" t="s">
        <v>3822</v>
      </c>
      <c r="C211" s="465"/>
      <c r="D211" s="464" t="s">
        <v>3823</v>
      </c>
      <c r="E211" s="464" t="s">
        <v>79</v>
      </c>
      <c r="F211" s="464" t="s">
        <v>3667</v>
      </c>
      <c r="G211" s="80" t="str">
        <f>VLOOKUP(F211,'01. TH'!$B:$E,3,0)</f>
        <v>#N/A</v>
      </c>
      <c r="H211" s="463" t="s">
        <v>56</v>
      </c>
      <c r="I211" s="463" t="s">
        <v>3820</v>
      </c>
      <c r="J211" s="467"/>
      <c r="K211" s="463" t="s">
        <v>1661</v>
      </c>
      <c r="L211" s="486" t="s">
        <v>3581</v>
      </c>
      <c r="M211" s="497"/>
      <c r="N211" s="464" t="s">
        <v>3258</v>
      </c>
      <c r="O211" s="465" t="s">
        <v>3824</v>
      </c>
      <c r="P211" s="464" t="s">
        <v>3260</v>
      </c>
      <c r="Q211" s="490">
        <v>2025.0</v>
      </c>
      <c r="R211" s="465"/>
      <c r="S211" s="465"/>
      <c r="T211" s="482">
        <v>14.0</v>
      </c>
      <c r="U211" s="464" t="s">
        <v>3670</v>
      </c>
      <c r="V211" s="464"/>
    </row>
    <row r="212" ht="15.0" customHeight="1">
      <c r="A212" s="463">
        <f t="shared" si="4"/>
        <v>27</v>
      </c>
      <c r="B212" s="464" t="s">
        <v>3825</v>
      </c>
      <c r="C212" s="465"/>
      <c r="D212" s="464" t="s">
        <v>3826</v>
      </c>
      <c r="E212" s="464" t="s">
        <v>79</v>
      </c>
      <c r="F212" s="464" t="s">
        <v>3726</v>
      </c>
      <c r="G212" s="80" t="str">
        <f>VLOOKUP(F212,'01. TH'!$B:$E,3,0)</f>
        <v>1900x1900x1800</v>
      </c>
      <c r="H212" s="463" t="s">
        <v>56</v>
      </c>
      <c r="I212" s="463" t="s">
        <v>3727</v>
      </c>
      <c r="J212" s="467"/>
      <c r="K212" s="463" t="s">
        <v>1661</v>
      </c>
      <c r="L212" s="486" t="s">
        <v>336</v>
      </c>
      <c r="M212" s="497"/>
      <c r="N212" s="464" t="s">
        <v>3709</v>
      </c>
      <c r="O212" s="465" t="s">
        <v>3728</v>
      </c>
      <c r="P212" s="468" t="s">
        <v>260</v>
      </c>
      <c r="Q212" s="490">
        <v>2025.0</v>
      </c>
      <c r="R212" s="476"/>
      <c r="S212" s="465" t="s">
        <v>3827</v>
      </c>
      <c r="T212" s="482"/>
      <c r="U212" s="464"/>
      <c r="V212" s="464"/>
    </row>
    <row r="213" ht="15.0" customHeight="1">
      <c r="A213" s="463">
        <f t="shared" si="4"/>
        <v>28</v>
      </c>
      <c r="B213" s="464" t="s">
        <v>3828</v>
      </c>
      <c r="C213" s="465"/>
      <c r="D213" s="464" t="s">
        <v>3829</v>
      </c>
      <c r="E213" s="464" t="s">
        <v>79</v>
      </c>
      <c r="F213" s="464" t="s">
        <v>3726</v>
      </c>
      <c r="G213" s="80" t="str">
        <f>VLOOKUP(F213,'01. TH'!$B:$E,3,0)</f>
        <v>1900x1900x1800</v>
      </c>
      <c r="H213" s="463" t="s">
        <v>56</v>
      </c>
      <c r="I213" s="463" t="s">
        <v>3727</v>
      </c>
      <c r="J213" s="467"/>
      <c r="K213" s="463" t="s">
        <v>1661</v>
      </c>
      <c r="L213" s="486" t="s">
        <v>336</v>
      </c>
      <c r="M213" s="497"/>
      <c r="N213" s="464" t="s">
        <v>3709</v>
      </c>
      <c r="O213" s="465" t="s">
        <v>3728</v>
      </c>
      <c r="P213" s="468" t="s">
        <v>260</v>
      </c>
      <c r="Q213" s="490">
        <v>2025.0</v>
      </c>
      <c r="R213" s="476"/>
      <c r="S213" s="465" t="s">
        <v>3830</v>
      </c>
      <c r="T213" s="482"/>
      <c r="U213" s="464"/>
      <c r="V213" s="464"/>
    </row>
    <row r="214" ht="15.0" customHeight="1">
      <c r="A214" s="463">
        <f t="shared" si="4"/>
        <v>29</v>
      </c>
      <c r="B214" s="464" t="s">
        <v>3831</v>
      </c>
      <c r="C214" s="465"/>
      <c r="D214" s="464" t="s">
        <v>3832</v>
      </c>
      <c r="E214" s="464" t="s">
        <v>79</v>
      </c>
      <c r="F214" s="464" t="s">
        <v>3688</v>
      </c>
      <c r="G214" s="80" t="str">
        <f>VLOOKUP(F214,'01. TH'!$B:$E,3,0)</f>
        <v/>
      </c>
      <c r="H214" s="463" t="s">
        <v>56</v>
      </c>
      <c r="I214" s="493">
        <v>46002.0</v>
      </c>
      <c r="J214" s="467"/>
      <c r="K214" s="463" t="s">
        <v>1661</v>
      </c>
      <c r="L214" s="486" t="s">
        <v>336</v>
      </c>
      <c r="M214" s="497"/>
      <c r="N214" s="464" t="s">
        <v>3258</v>
      </c>
      <c r="O214" s="465" t="s">
        <v>3833</v>
      </c>
      <c r="P214" s="464" t="s">
        <v>3084</v>
      </c>
      <c r="Q214" s="490">
        <v>2025.0</v>
      </c>
      <c r="R214" s="476"/>
      <c r="S214" s="465"/>
      <c r="T214" s="482">
        <v>6.5</v>
      </c>
      <c r="U214" s="464" t="s">
        <v>3690</v>
      </c>
      <c r="V214" s="464"/>
    </row>
    <row r="215" ht="15.0" customHeight="1">
      <c r="A215" s="463">
        <f t="shared" si="4"/>
        <v>30</v>
      </c>
      <c r="B215" s="464" t="s">
        <v>3834</v>
      </c>
      <c r="C215" s="465"/>
      <c r="D215" s="464" t="s">
        <v>3835</v>
      </c>
      <c r="E215" s="464" t="s">
        <v>79</v>
      </c>
      <c r="F215" s="464" t="s">
        <v>3708</v>
      </c>
      <c r="G215" s="80" t="str">
        <f>VLOOKUP(F215,'01. TH'!$B:$E,3,0)</f>
        <v>6525x2385x2775</v>
      </c>
      <c r="H215" s="463" t="s">
        <v>56</v>
      </c>
      <c r="I215" s="463" t="s">
        <v>3715</v>
      </c>
      <c r="J215" s="467"/>
      <c r="K215" s="463" t="s">
        <v>1661</v>
      </c>
      <c r="L215" s="464"/>
      <c r="M215" s="497"/>
      <c r="N215" s="464" t="s">
        <v>3836</v>
      </c>
      <c r="O215" s="465"/>
      <c r="P215" s="464" t="s">
        <v>3711</v>
      </c>
      <c r="Q215" s="490">
        <v>2025.0</v>
      </c>
      <c r="R215" s="465" t="s">
        <v>3837</v>
      </c>
      <c r="S215" s="465">
        <v>14.0</v>
      </c>
      <c r="T215" s="482">
        <v>3.5</v>
      </c>
      <c r="U215" s="464" t="s">
        <v>3712</v>
      </c>
      <c r="V215" s="464"/>
    </row>
    <row r="216" ht="15.0" customHeight="1">
      <c r="A216" s="463"/>
      <c r="B216" s="464"/>
      <c r="C216" s="465" t="s">
        <v>759</v>
      </c>
      <c r="D216" s="464"/>
      <c r="E216" s="467"/>
      <c r="F216" s="464"/>
      <c r="G216" s="80" t="str">
        <f>VLOOKUP(F216,'01. TH'!$B:$E,3,0)</f>
        <v>#N/A</v>
      </c>
      <c r="H216" s="463"/>
      <c r="I216" s="463"/>
      <c r="J216" s="467"/>
      <c r="K216" s="463"/>
      <c r="L216" s="464"/>
      <c r="M216" s="497"/>
      <c r="N216" s="464"/>
      <c r="O216" s="465"/>
      <c r="P216" s="464"/>
      <c r="Q216" s="498"/>
      <c r="R216" s="465"/>
      <c r="S216" s="465"/>
      <c r="T216" s="482"/>
      <c r="U216" s="464"/>
      <c r="V216" s="464"/>
    </row>
    <row r="217" ht="15.0" customHeight="1">
      <c r="A217" s="455" t="s">
        <v>831</v>
      </c>
      <c r="B217" s="456" t="s">
        <v>832</v>
      </c>
      <c r="C217" s="457">
        <f>COUNTA($B$218:$B$237)</f>
        <v>19</v>
      </c>
      <c r="D217" s="458"/>
      <c r="E217" s="458"/>
      <c r="F217" s="458"/>
      <c r="G217" s="459"/>
      <c r="H217" s="459"/>
      <c r="I217" s="457"/>
      <c r="J217" s="460"/>
      <c r="K217" s="457"/>
      <c r="L217" s="458"/>
      <c r="M217" s="461"/>
      <c r="N217" s="458"/>
      <c r="O217" s="461"/>
      <c r="P217" s="458"/>
      <c r="Q217" s="459"/>
      <c r="R217" s="461"/>
      <c r="S217" s="461"/>
      <c r="T217" s="462"/>
      <c r="U217" s="458"/>
      <c r="V217" s="458"/>
    </row>
    <row r="218" ht="15.0" customHeight="1">
      <c r="A218" s="463">
        <v>1.0</v>
      </c>
      <c r="B218" s="464" t="s">
        <v>3838</v>
      </c>
      <c r="C218" s="476" t="s">
        <v>3736</v>
      </c>
      <c r="D218" s="464" t="s">
        <v>3839</v>
      </c>
      <c r="E218" s="464" t="s">
        <v>79</v>
      </c>
      <c r="F218" s="467" t="s">
        <v>3739</v>
      </c>
      <c r="G218" s="80" t="str">
        <f>VLOOKUP(F218,'01. TH'!$B:$E,3,0)</f>
        <v>1070 x 2310 x 1300</v>
      </c>
      <c r="H218" s="475" t="s">
        <v>62</v>
      </c>
      <c r="I218" s="475"/>
      <c r="J218" s="467"/>
      <c r="K218" s="463" t="s">
        <v>1661</v>
      </c>
      <c r="L218" s="467"/>
      <c r="M218" s="476"/>
      <c r="N218" s="464" t="s">
        <v>3084</v>
      </c>
      <c r="O218" s="465" t="s">
        <v>3527</v>
      </c>
      <c r="P218" s="464" t="s">
        <v>3084</v>
      </c>
      <c r="Q218" s="475"/>
      <c r="R218" s="476"/>
      <c r="S218" s="476"/>
      <c r="T218" s="469"/>
      <c r="U218" s="467"/>
      <c r="V218" s="467"/>
    </row>
    <row r="219" ht="15.0" customHeight="1">
      <c r="A219" s="463">
        <v>2.0</v>
      </c>
      <c r="B219" s="464" t="s">
        <v>3840</v>
      </c>
      <c r="C219" s="476" t="s">
        <v>3740</v>
      </c>
      <c r="D219" s="464" t="s">
        <v>3841</v>
      </c>
      <c r="E219" s="464" t="s">
        <v>79</v>
      </c>
      <c r="F219" s="467" t="s">
        <v>3739</v>
      </c>
      <c r="G219" s="80" t="str">
        <f>VLOOKUP(F219,'01. TH'!$B:$E,3,0)</f>
        <v>1070 x 2310 x 1300</v>
      </c>
      <c r="H219" s="475" t="s">
        <v>62</v>
      </c>
      <c r="I219" s="475"/>
      <c r="J219" s="467"/>
      <c r="K219" s="463" t="s">
        <v>1661</v>
      </c>
      <c r="L219" s="467"/>
      <c r="M219" s="476"/>
      <c r="N219" s="464" t="s">
        <v>3084</v>
      </c>
      <c r="O219" s="465" t="s">
        <v>3527</v>
      </c>
      <c r="P219" s="464" t="s">
        <v>3084</v>
      </c>
      <c r="Q219" s="475"/>
      <c r="R219" s="476"/>
      <c r="S219" s="476"/>
      <c r="T219" s="469"/>
      <c r="U219" s="467"/>
      <c r="V219" s="467"/>
    </row>
    <row r="220" ht="15.0" customHeight="1">
      <c r="A220" s="463">
        <v>3.0</v>
      </c>
      <c r="B220" s="464" t="s">
        <v>3842</v>
      </c>
      <c r="C220" s="476" t="s">
        <v>3743</v>
      </c>
      <c r="D220" s="464" t="s">
        <v>3843</v>
      </c>
      <c r="E220" s="464" t="s">
        <v>79</v>
      </c>
      <c r="F220" s="467" t="s">
        <v>3739</v>
      </c>
      <c r="G220" s="80" t="str">
        <f>VLOOKUP(F220,'01. TH'!$B:$E,3,0)</f>
        <v>1070 x 2310 x 1300</v>
      </c>
      <c r="H220" s="475" t="s">
        <v>62</v>
      </c>
      <c r="I220" s="475"/>
      <c r="J220" s="467"/>
      <c r="K220" s="463" t="s">
        <v>1661</v>
      </c>
      <c r="L220" s="464" t="s">
        <v>3844</v>
      </c>
      <c r="M220" s="476"/>
      <c r="N220" s="464" t="s">
        <v>3084</v>
      </c>
      <c r="O220" s="465" t="s">
        <v>3527</v>
      </c>
      <c r="P220" s="464" t="s">
        <v>3084</v>
      </c>
      <c r="Q220" s="475"/>
      <c r="R220" s="476"/>
      <c r="S220" s="476"/>
      <c r="T220" s="469"/>
      <c r="U220" s="467"/>
      <c r="V220" s="467"/>
    </row>
    <row r="221" ht="15.0" customHeight="1">
      <c r="A221" s="463">
        <v>4.0</v>
      </c>
      <c r="B221" s="464" t="s">
        <v>3737</v>
      </c>
      <c r="C221" s="476" t="s">
        <v>3838</v>
      </c>
      <c r="D221" s="464" t="s">
        <v>3845</v>
      </c>
      <c r="E221" s="464" t="s">
        <v>79</v>
      </c>
      <c r="F221" s="467" t="s">
        <v>3739</v>
      </c>
      <c r="G221" s="80" t="str">
        <f>VLOOKUP(F221,'01. TH'!$B:$E,3,0)</f>
        <v>1070 x 2310 x 1300</v>
      </c>
      <c r="H221" s="475" t="s">
        <v>62</v>
      </c>
      <c r="I221" s="475"/>
      <c r="J221" s="467"/>
      <c r="K221" s="463" t="s">
        <v>1661</v>
      </c>
      <c r="L221" s="467"/>
      <c r="M221" s="476"/>
      <c r="N221" s="464" t="s">
        <v>3084</v>
      </c>
      <c r="O221" s="465" t="s">
        <v>3527</v>
      </c>
      <c r="P221" s="464" t="s">
        <v>3084</v>
      </c>
      <c r="Q221" s="475"/>
      <c r="R221" s="476"/>
      <c r="S221" s="476"/>
      <c r="T221" s="469"/>
      <c r="U221" s="467"/>
      <c r="V221" s="467"/>
    </row>
    <row r="222" ht="15.0" customHeight="1">
      <c r="A222" s="463">
        <v>5.0</v>
      </c>
      <c r="B222" s="464" t="s">
        <v>3741</v>
      </c>
      <c r="C222" s="476" t="s">
        <v>3840</v>
      </c>
      <c r="D222" s="464" t="s">
        <v>3846</v>
      </c>
      <c r="E222" s="464" t="s">
        <v>79</v>
      </c>
      <c r="F222" s="467" t="s">
        <v>3739</v>
      </c>
      <c r="G222" s="80" t="str">
        <f>VLOOKUP(F222,'01. TH'!$B:$E,3,0)</f>
        <v>1070 x 2310 x 1300</v>
      </c>
      <c r="H222" s="475" t="s">
        <v>62</v>
      </c>
      <c r="I222" s="475"/>
      <c r="J222" s="467"/>
      <c r="K222" s="463" t="s">
        <v>1661</v>
      </c>
      <c r="L222" s="467"/>
      <c r="M222" s="476"/>
      <c r="N222" s="464" t="s">
        <v>3084</v>
      </c>
      <c r="O222" s="465" t="s">
        <v>3527</v>
      </c>
      <c r="P222" s="464" t="s">
        <v>3084</v>
      </c>
      <c r="Q222" s="475"/>
      <c r="R222" s="476"/>
      <c r="S222" s="476"/>
      <c r="T222" s="469"/>
      <c r="U222" s="467"/>
      <c r="V222" s="467"/>
    </row>
    <row r="223" ht="15.0" customHeight="1">
      <c r="A223" s="463">
        <v>6.0</v>
      </c>
      <c r="B223" s="464" t="s">
        <v>3847</v>
      </c>
      <c r="C223" s="476" t="s">
        <v>3746</v>
      </c>
      <c r="D223" s="464" t="s">
        <v>3848</v>
      </c>
      <c r="E223" s="464" t="s">
        <v>79</v>
      </c>
      <c r="F223" s="467" t="s">
        <v>3553</v>
      </c>
      <c r="G223" s="80" t="str">
        <f>VLOOKUP(F223,'01. TH'!$B:$E,3,0)</f>
        <v>1970x1460x978</v>
      </c>
      <c r="H223" s="475" t="s">
        <v>62</v>
      </c>
      <c r="I223" s="475"/>
      <c r="J223" s="467"/>
      <c r="K223" s="463" t="s">
        <v>1661</v>
      </c>
      <c r="L223" s="467"/>
      <c r="M223" s="476"/>
      <c r="N223" s="464" t="s">
        <v>3084</v>
      </c>
      <c r="O223" s="465" t="s">
        <v>3554</v>
      </c>
      <c r="P223" s="464" t="s">
        <v>3084</v>
      </c>
      <c r="Q223" s="475"/>
      <c r="R223" s="476"/>
      <c r="S223" s="476"/>
      <c r="T223" s="469"/>
      <c r="U223" s="467"/>
      <c r="V223" s="467"/>
    </row>
    <row r="224" ht="15.0" customHeight="1">
      <c r="A224" s="463">
        <v>7.0</v>
      </c>
      <c r="B224" s="464" t="s">
        <v>3751</v>
      </c>
      <c r="C224" s="476" t="s">
        <v>3750</v>
      </c>
      <c r="D224" s="464" t="s">
        <v>3849</v>
      </c>
      <c r="E224" s="464" t="s">
        <v>79</v>
      </c>
      <c r="F224" s="467" t="s">
        <v>3553</v>
      </c>
      <c r="G224" s="80" t="str">
        <f>VLOOKUP(F224,'01. TH'!$B:$E,3,0)</f>
        <v>1970x1460x978</v>
      </c>
      <c r="H224" s="475" t="s">
        <v>62</v>
      </c>
      <c r="I224" s="475"/>
      <c r="J224" s="467"/>
      <c r="K224" s="463" t="s">
        <v>1661</v>
      </c>
      <c r="L224" s="467"/>
      <c r="M224" s="476"/>
      <c r="N224" s="464" t="s">
        <v>3084</v>
      </c>
      <c r="O224" s="465" t="s">
        <v>3554</v>
      </c>
      <c r="P224" s="464" t="s">
        <v>3084</v>
      </c>
      <c r="Q224" s="475"/>
      <c r="R224" s="476"/>
      <c r="S224" s="476"/>
      <c r="T224" s="469"/>
      <c r="U224" s="467"/>
      <c r="V224" s="467"/>
    </row>
    <row r="225" ht="15.0" customHeight="1">
      <c r="A225" s="463">
        <v>8.0</v>
      </c>
      <c r="B225" s="464" t="s">
        <v>3747</v>
      </c>
      <c r="C225" s="476" t="s">
        <v>3660</v>
      </c>
      <c r="D225" s="464" t="s">
        <v>3850</v>
      </c>
      <c r="E225" s="464" t="s">
        <v>79</v>
      </c>
      <c r="F225" s="467" t="s">
        <v>3537</v>
      </c>
      <c r="G225" s="80" t="str">
        <f>VLOOKUP(F225,'01. TH'!$B:$E,3,0)</f>
        <v>1230x1705x860</v>
      </c>
      <c r="H225" s="475" t="s">
        <v>62</v>
      </c>
      <c r="I225" s="475"/>
      <c r="J225" s="467"/>
      <c r="K225" s="463" t="s">
        <v>1661</v>
      </c>
      <c r="L225" s="467"/>
      <c r="M225" s="476"/>
      <c r="N225" s="464" t="s">
        <v>3084</v>
      </c>
      <c r="O225" s="465" t="s">
        <v>3538</v>
      </c>
      <c r="P225" s="464" t="s">
        <v>3084</v>
      </c>
      <c r="Q225" s="475"/>
      <c r="R225" s="476"/>
      <c r="S225" s="476"/>
      <c r="T225" s="469"/>
      <c r="U225" s="467"/>
      <c r="V225" s="467"/>
    </row>
    <row r="226" ht="15.0" customHeight="1">
      <c r="A226" s="463">
        <v>9.0</v>
      </c>
      <c r="B226" s="464" t="s">
        <v>3851</v>
      </c>
      <c r="C226" s="465" t="s">
        <v>3852</v>
      </c>
      <c r="D226" s="464" t="s">
        <v>3853</v>
      </c>
      <c r="E226" s="464" t="s">
        <v>79</v>
      </c>
      <c r="F226" s="464" t="s">
        <v>3854</v>
      </c>
      <c r="G226" s="80" t="str">
        <f>VLOOKUP(F226,'01. TH'!$B:$E,3,0)</f>
        <v>150x150x200</v>
      </c>
      <c r="H226" s="475" t="s">
        <v>62</v>
      </c>
      <c r="I226" s="475"/>
      <c r="J226" s="467"/>
      <c r="K226" s="463" t="s">
        <v>1661</v>
      </c>
      <c r="L226" s="467"/>
      <c r="M226" s="476"/>
      <c r="N226" s="464" t="s">
        <v>3084</v>
      </c>
      <c r="O226" s="465" t="s">
        <v>3855</v>
      </c>
      <c r="P226" s="464" t="s">
        <v>3084</v>
      </c>
      <c r="Q226" s="475"/>
      <c r="R226" s="476"/>
      <c r="S226" s="476"/>
      <c r="T226" s="469"/>
      <c r="U226" s="467"/>
      <c r="V226" s="467"/>
    </row>
    <row r="227" ht="15.0" customHeight="1">
      <c r="A227" s="463">
        <v>10.0</v>
      </c>
      <c r="B227" s="464" t="s">
        <v>3759</v>
      </c>
      <c r="C227" s="128"/>
      <c r="D227" s="464" t="s">
        <v>3856</v>
      </c>
      <c r="E227" s="464" t="s">
        <v>79</v>
      </c>
      <c r="F227" s="464" t="s">
        <v>3558</v>
      </c>
      <c r="G227" s="80" t="str">
        <f>VLOOKUP(F227,'01. TH'!$B:$E,3,0)</f>
        <v/>
      </c>
      <c r="H227" s="475" t="s">
        <v>62</v>
      </c>
      <c r="I227" s="466">
        <v>44927.0</v>
      </c>
      <c r="J227" s="499">
        <v>0.82</v>
      </c>
      <c r="K227" s="463" t="s">
        <v>1661</v>
      </c>
      <c r="L227" s="467"/>
      <c r="M227" s="476"/>
      <c r="N227" s="464" t="s">
        <v>3084</v>
      </c>
      <c r="O227" s="465" t="s">
        <v>3559</v>
      </c>
      <c r="P227" s="464" t="s">
        <v>3084</v>
      </c>
      <c r="Q227" s="475"/>
      <c r="R227" s="476"/>
      <c r="S227" s="476"/>
      <c r="T227" s="469"/>
      <c r="U227" s="467"/>
      <c r="V227" s="467"/>
    </row>
    <row r="228" ht="15.0" customHeight="1">
      <c r="A228" s="463">
        <v>11.0</v>
      </c>
      <c r="B228" s="464" t="s">
        <v>3857</v>
      </c>
      <c r="C228" s="465" t="s">
        <v>3858</v>
      </c>
      <c r="D228" s="464" t="s">
        <v>3859</v>
      </c>
      <c r="E228" s="464" t="s">
        <v>79</v>
      </c>
      <c r="F228" s="464" t="s">
        <v>3599</v>
      </c>
      <c r="G228" s="80" t="str">
        <f>VLOOKUP(F228,'01. TH'!$B:$E,3,0)</f>
        <v>1800x1180x1152</v>
      </c>
      <c r="H228" s="475" t="s">
        <v>62</v>
      </c>
      <c r="I228" s="475"/>
      <c r="J228" s="467"/>
      <c r="K228" s="463" t="s">
        <v>1661</v>
      </c>
      <c r="L228" s="467"/>
      <c r="M228" s="476"/>
      <c r="N228" s="464" t="s">
        <v>3084</v>
      </c>
      <c r="O228" s="476"/>
      <c r="P228" s="464" t="s">
        <v>3084</v>
      </c>
      <c r="Q228" s="475"/>
      <c r="R228" s="476"/>
      <c r="S228" s="476"/>
      <c r="T228" s="469"/>
      <c r="U228" s="467"/>
      <c r="V228" s="467"/>
    </row>
    <row r="229" ht="15.0" customHeight="1">
      <c r="A229" s="463">
        <v>12.0</v>
      </c>
      <c r="B229" s="464" t="s">
        <v>3860</v>
      </c>
      <c r="C229" s="476" t="s">
        <v>3571</v>
      </c>
      <c r="D229" s="464" t="s">
        <v>3861</v>
      </c>
      <c r="E229" s="464" t="s">
        <v>79</v>
      </c>
      <c r="F229" s="464" t="s">
        <v>3862</v>
      </c>
      <c r="G229" s="80" t="str">
        <f>VLOOKUP(F229,'01. TH'!$B:$E,3,0)</f>
        <v>#N/A</v>
      </c>
      <c r="H229" s="475" t="s">
        <v>62</v>
      </c>
      <c r="I229" s="475"/>
      <c r="J229" s="467"/>
      <c r="K229" s="463" t="s">
        <v>1661</v>
      </c>
      <c r="L229" s="467"/>
      <c r="M229" s="476"/>
      <c r="N229" s="464" t="s">
        <v>3084</v>
      </c>
      <c r="O229" s="465" t="s">
        <v>3863</v>
      </c>
      <c r="P229" s="464" t="s">
        <v>3084</v>
      </c>
      <c r="Q229" s="475"/>
      <c r="R229" s="476"/>
      <c r="S229" s="476"/>
      <c r="T229" s="469"/>
      <c r="U229" s="467"/>
      <c r="V229" s="467"/>
    </row>
    <row r="230" ht="15.0" customHeight="1">
      <c r="A230" s="463">
        <v>13.0</v>
      </c>
      <c r="B230" s="464" t="s">
        <v>3864</v>
      </c>
      <c r="C230" s="476" t="s">
        <v>3761</v>
      </c>
      <c r="D230" s="464" t="s">
        <v>3865</v>
      </c>
      <c r="E230" s="464" t="s">
        <v>79</v>
      </c>
      <c r="F230" s="464" t="s">
        <v>3862</v>
      </c>
      <c r="G230" s="80" t="str">
        <f>VLOOKUP(F230,'01. TH'!$B:$E,3,0)</f>
        <v>#N/A</v>
      </c>
      <c r="H230" s="475" t="s">
        <v>62</v>
      </c>
      <c r="I230" s="475"/>
      <c r="J230" s="467"/>
      <c r="K230" s="463" t="s">
        <v>1661</v>
      </c>
      <c r="L230" s="467"/>
      <c r="M230" s="476"/>
      <c r="N230" s="464" t="s">
        <v>3084</v>
      </c>
      <c r="O230" s="465" t="s">
        <v>3863</v>
      </c>
      <c r="P230" s="464" t="s">
        <v>3084</v>
      </c>
      <c r="Q230" s="475"/>
      <c r="R230" s="476"/>
      <c r="S230" s="476"/>
      <c r="T230" s="469"/>
      <c r="U230" s="467"/>
      <c r="V230" s="467"/>
    </row>
    <row r="231" ht="15.0" customHeight="1">
      <c r="A231" s="463">
        <v>14.0</v>
      </c>
      <c r="B231" s="464" t="s">
        <v>3866</v>
      </c>
      <c r="C231" s="476" t="s">
        <v>3576</v>
      </c>
      <c r="D231" s="464" t="s">
        <v>3469</v>
      </c>
      <c r="E231" s="464" t="s">
        <v>79</v>
      </c>
      <c r="F231" s="464" t="s">
        <v>3470</v>
      </c>
      <c r="G231" s="80" t="str">
        <f>VLOOKUP(F231,'01. TH'!$B:$E,3,0)</f>
        <v>1830x1885x1590</v>
      </c>
      <c r="H231" s="475" t="s">
        <v>62</v>
      </c>
      <c r="I231" s="475"/>
      <c r="J231" s="467"/>
      <c r="K231" s="463" t="s">
        <v>1661</v>
      </c>
      <c r="L231" s="467"/>
      <c r="M231" s="476"/>
      <c r="N231" s="464" t="s">
        <v>3084</v>
      </c>
      <c r="O231" s="465" t="s">
        <v>3233</v>
      </c>
      <c r="P231" s="464" t="s">
        <v>3084</v>
      </c>
      <c r="Q231" s="475"/>
      <c r="R231" s="476"/>
      <c r="S231" s="476"/>
      <c r="T231" s="469"/>
      <c r="U231" s="467"/>
      <c r="V231" s="467"/>
    </row>
    <row r="232" ht="15.0" customHeight="1">
      <c r="A232" s="463">
        <v>15.0</v>
      </c>
      <c r="B232" s="464" t="s">
        <v>3867</v>
      </c>
      <c r="C232" s="476" t="s">
        <v>3868</v>
      </c>
      <c r="D232" s="464" t="s">
        <v>3869</v>
      </c>
      <c r="E232" s="464" t="s">
        <v>79</v>
      </c>
      <c r="F232" s="464" t="s">
        <v>3587</v>
      </c>
      <c r="G232" s="80" t="str">
        <f>VLOOKUP(F232,'01. TH'!$B:$E,3,0)</f>
        <v>#N/A</v>
      </c>
      <c r="H232" s="475" t="s">
        <v>62</v>
      </c>
      <c r="I232" s="475"/>
      <c r="J232" s="467"/>
      <c r="K232" s="463" t="s">
        <v>1661</v>
      </c>
      <c r="L232" s="467"/>
      <c r="M232" s="476"/>
      <c r="N232" s="464" t="s">
        <v>3084</v>
      </c>
      <c r="O232" s="476"/>
      <c r="P232" s="464" t="s">
        <v>3084</v>
      </c>
      <c r="Q232" s="475"/>
      <c r="R232" s="476"/>
      <c r="S232" s="476"/>
      <c r="T232" s="469"/>
      <c r="U232" s="467"/>
      <c r="V232" s="467"/>
    </row>
    <row r="233" ht="15.0" customHeight="1">
      <c r="A233" s="463">
        <v>16.0</v>
      </c>
      <c r="B233" s="464" t="s">
        <v>3870</v>
      </c>
      <c r="C233" s="476" t="s">
        <v>3871</v>
      </c>
      <c r="D233" s="464" t="s">
        <v>3872</v>
      </c>
      <c r="E233" s="464" t="s">
        <v>79</v>
      </c>
      <c r="F233" s="467" t="s">
        <v>3566</v>
      </c>
      <c r="G233" s="80" t="str">
        <f>VLOOKUP(F233,'01. TH'!$B:$E,3,0)</f>
        <v/>
      </c>
      <c r="H233" s="475" t="s">
        <v>62</v>
      </c>
      <c r="I233" s="475"/>
      <c r="J233" s="467"/>
      <c r="K233" s="463" t="s">
        <v>1661</v>
      </c>
      <c r="L233" s="467"/>
      <c r="M233" s="476"/>
      <c r="N233" s="464" t="s">
        <v>3084</v>
      </c>
      <c r="O233" s="465" t="s">
        <v>3567</v>
      </c>
      <c r="P233" s="464" t="s">
        <v>3084</v>
      </c>
      <c r="Q233" s="475"/>
      <c r="R233" s="476"/>
      <c r="S233" s="476"/>
      <c r="T233" s="469"/>
      <c r="U233" s="467"/>
      <c r="V233" s="467"/>
    </row>
    <row r="234" ht="15.0" customHeight="1">
      <c r="A234" s="463">
        <v>17.0</v>
      </c>
      <c r="B234" s="464" t="s">
        <v>3873</v>
      </c>
      <c r="C234" s="476" t="s">
        <v>3874</v>
      </c>
      <c r="D234" s="464" t="s">
        <v>3875</v>
      </c>
      <c r="E234" s="464" t="s">
        <v>79</v>
      </c>
      <c r="F234" s="467" t="s">
        <v>3876</v>
      </c>
      <c r="G234" s="80" t="str">
        <f>VLOOKUP(F234,'01. TH'!$B:$E,3,0)</f>
        <v>#N/A</v>
      </c>
      <c r="H234" s="475" t="s">
        <v>62</v>
      </c>
      <c r="I234" s="475"/>
      <c r="J234" s="467"/>
      <c r="K234" s="463" t="s">
        <v>1661</v>
      </c>
      <c r="L234" s="467"/>
      <c r="M234" s="476"/>
      <c r="N234" s="464" t="s">
        <v>3084</v>
      </c>
      <c r="O234" s="476"/>
      <c r="P234" s="464" t="s">
        <v>3084</v>
      </c>
      <c r="Q234" s="475"/>
      <c r="R234" s="476"/>
      <c r="S234" s="476"/>
      <c r="T234" s="469"/>
      <c r="U234" s="467"/>
      <c r="V234" s="467"/>
    </row>
    <row r="235" ht="15.0" customHeight="1">
      <c r="A235" s="488">
        <v>18.0</v>
      </c>
      <c r="B235" s="489" t="s">
        <v>3877</v>
      </c>
      <c r="C235" s="487" t="s">
        <v>3878</v>
      </c>
      <c r="D235" s="486" t="s">
        <v>3879</v>
      </c>
      <c r="E235" s="464" t="s">
        <v>79</v>
      </c>
      <c r="F235" s="486" t="s">
        <v>3880</v>
      </c>
      <c r="G235" s="80" t="str">
        <f>VLOOKUP(F235,'01. TH'!$B:$E,3,0)</f>
        <v>#N/A</v>
      </c>
      <c r="H235" s="475" t="s">
        <v>62</v>
      </c>
      <c r="I235" s="490"/>
      <c r="J235" s="489"/>
      <c r="K235" s="488" t="s">
        <v>1661</v>
      </c>
      <c r="L235" s="489"/>
      <c r="M235" s="487"/>
      <c r="N235" s="486" t="s">
        <v>3084</v>
      </c>
      <c r="O235" s="487"/>
      <c r="P235" s="486" t="s">
        <v>3084</v>
      </c>
      <c r="Q235" s="490"/>
      <c r="R235" s="487"/>
      <c r="S235" s="487"/>
      <c r="T235" s="491"/>
      <c r="U235" s="489"/>
      <c r="V235" s="489"/>
    </row>
    <row r="236" ht="15.0" customHeight="1">
      <c r="A236" s="463">
        <v>19.0</v>
      </c>
      <c r="B236" s="464" t="s">
        <v>3881</v>
      </c>
      <c r="C236" s="465"/>
      <c r="D236" s="464" t="s">
        <v>3882</v>
      </c>
      <c r="E236" s="464" t="s">
        <v>3238</v>
      </c>
      <c r="F236" s="470" t="s">
        <v>3708</v>
      </c>
      <c r="G236" s="80" t="str">
        <f>VLOOKUP(F236,'01. TH'!$B:$E,3,0)</f>
        <v>6525x2385x2775</v>
      </c>
      <c r="H236" s="475" t="s">
        <v>62</v>
      </c>
      <c r="I236" s="466">
        <v>45968.0</v>
      </c>
      <c r="J236" s="467"/>
      <c r="K236" s="463" t="s">
        <v>1661</v>
      </c>
      <c r="L236" s="464" t="s">
        <v>3883</v>
      </c>
      <c r="M236" s="476"/>
      <c r="N236" s="464" t="s">
        <v>3836</v>
      </c>
      <c r="O236" s="465" t="s">
        <v>3710</v>
      </c>
      <c r="P236" s="464" t="s">
        <v>3711</v>
      </c>
      <c r="Q236" s="463">
        <v>2025.0</v>
      </c>
      <c r="R236" s="476"/>
      <c r="S236" s="500">
        <v>45701.0</v>
      </c>
      <c r="T236" s="469"/>
      <c r="U236" s="467"/>
      <c r="V236" s="467"/>
    </row>
    <row r="237" ht="15.0" customHeight="1">
      <c r="A237" s="463"/>
      <c r="B237" s="501"/>
      <c r="C237" s="502" t="s">
        <v>759</v>
      </c>
      <c r="D237" s="464"/>
      <c r="E237" s="501"/>
      <c r="F237" s="503"/>
      <c r="G237" s="80" t="str">
        <f>VLOOKUP(F237,'01. TH'!$B:$E,3,0)</f>
        <v>#N/A</v>
      </c>
      <c r="H237" s="504"/>
      <c r="I237" s="475"/>
      <c r="J237" s="467"/>
      <c r="K237" s="463"/>
      <c r="L237" s="467"/>
      <c r="M237" s="476"/>
      <c r="N237" s="467"/>
      <c r="O237" s="476"/>
      <c r="P237" s="467"/>
      <c r="Q237" s="475"/>
      <c r="R237" s="476"/>
      <c r="S237" s="476"/>
      <c r="T237" s="469"/>
      <c r="U237" s="467"/>
      <c r="V237" s="467"/>
    </row>
    <row r="238" ht="15.0" customHeight="1">
      <c r="A238" s="447" t="s">
        <v>3884</v>
      </c>
      <c r="B238" s="448" t="s">
        <v>3885</v>
      </c>
      <c r="C238" s="484">
        <f>SUM(C239,C298,C359,C424,C470,C531)</f>
        <v>287</v>
      </c>
      <c r="D238" s="505"/>
      <c r="E238" s="505"/>
      <c r="F238" s="505"/>
      <c r="G238" s="451"/>
      <c r="H238" s="506"/>
      <c r="I238" s="506"/>
      <c r="J238" s="505"/>
      <c r="K238" s="506"/>
      <c r="L238" s="505"/>
      <c r="M238" s="507"/>
      <c r="N238" s="505"/>
      <c r="O238" s="507"/>
      <c r="P238" s="505"/>
      <c r="Q238" s="506"/>
      <c r="R238" s="507"/>
      <c r="S238" s="507"/>
      <c r="T238" s="508"/>
      <c r="U238" s="505"/>
      <c r="V238" s="505"/>
    </row>
    <row r="239" ht="15.0" customHeight="1">
      <c r="A239" s="455" t="s">
        <v>853</v>
      </c>
      <c r="B239" s="456" t="s">
        <v>3886</v>
      </c>
      <c r="C239" s="457">
        <f>COUNTA($B$240:$B$297)</f>
        <v>57</v>
      </c>
      <c r="D239" s="458"/>
      <c r="E239" s="458"/>
      <c r="F239" s="458"/>
      <c r="G239" s="459"/>
      <c r="H239" s="459"/>
      <c r="I239" s="457"/>
      <c r="J239" s="460"/>
      <c r="K239" s="457"/>
      <c r="L239" s="458"/>
      <c r="M239" s="461"/>
      <c r="N239" s="458"/>
      <c r="O239" s="461"/>
      <c r="P239" s="458"/>
      <c r="Q239" s="459"/>
      <c r="R239" s="461"/>
      <c r="S239" s="461"/>
      <c r="T239" s="462"/>
      <c r="U239" s="458"/>
      <c r="V239" s="458"/>
    </row>
    <row r="240" ht="15.0" customHeight="1">
      <c r="A240" s="475">
        <v>1.0</v>
      </c>
      <c r="B240" s="464" t="s">
        <v>3887</v>
      </c>
      <c r="C240" s="476" t="s">
        <v>3888</v>
      </c>
      <c r="D240" s="464" t="s">
        <v>3520</v>
      </c>
      <c r="E240" s="464" t="s">
        <v>79</v>
      </c>
      <c r="F240" s="467" t="s">
        <v>3521</v>
      </c>
      <c r="G240" s="80" t="str">
        <f>VLOOKUP(F240,'01. TH'!$B:$E,3,0)</f>
        <v>1x1x1</v>
      </c>
      <c r="H240" s="475" t="s">
        <v>858</v>
      </c>
      <c r="I240" s="475"/>
      <c r="J240" s="467"/>
      <c r="K240" s="463" t="s">
        <v>1661</v>
      </c>
      <c r="L240" s="467"/>
      <c r="M240" s="476"/>
      <c r="N240" s="464" t="s">
        <v>3258</v>
      </c>
      <c r="O240" s="465"/>
      <c r="P240" s="464" t="s">
        <v>3260</v>
      </c>
      <c r="Q240" s="475"/>
      <c r="R240" s="476"/>
      <c r="S240" s="465">
        <v>44.0</v>
      </c>
      <c r="T240" s="482"/>
      <c r="U240" s="464"/>
      <c r="V240" s="464"/>
    </row>
    <row r="241" ht="15.0" customHeight="1">
      <c r="A241" s="475">
        <f>A240+1</f>
        <v>2</v>
      </c>
      <c r="B241" s="464" t="s">
        <v>3889</v>
      </c>
      <c r="C241" s="476" t="s">
        <v>3890</v>
      </c>
      <c r="D241" s="464" t="s">
        <v>3891</v>
      </c>
      <c r="E241" s="464" t="s">
        <v>79</v>
      </c>
      <c r="F241" s="467" t="s">
        <v>3521</v>
      </c>
      <c r="G241" s="80" t="str">
        <f>VLOOKUP(F241,'01. TH'!$B:$E,3,0)</f>
        <v>1x1x1</v>
      </c>
      <c r="H241" s="475" t="s">
        <v>858</v>
      </c>
      <c r="I241" s="475"/>
      <c r="J241" s="467"/>
      <c r="K241" s="463" t="s">
        <v>1661</v>
      </c>
      <c r="L241" s="467"/>
      <c r="M241" s="476"/>
      <c r="N241" s="464" t="s">
        <v>3258</v>
      </c>
      <c r="O241" s="465"/>
      <c r="P241" s="464" t="s">
        <v>3260</v>
      </c>
      <c r="Q241" s="475"/>
      <c r="R241" s="476"/>
      <c r="S241" s="465">
        <v>40.0</v>
      </c>
      <c r="T241" s="482"/>
      <c r="U241" s="464"/>
      <c r="V241" s="464"/>
    </row>
    <row r="242" ht="15.0" customHeight="1">
      <c r="A242" s="475">
        <f>A825+1</f>
        <v>5</v>
      </c>
      <c r="B242" s="464" t="s">
        <v>3892</v>
      </c>
      <c r="C242" s="464" t="s">
        <v>3893</v>
      </c>
      <c r="D242" s="464"/>
      <c r="E242" s="464" t="s">
        <v>79</v>
      </c>
      <c r="F242" s="467" t="s">
        <v>3521</v>
      </c>
      <c r="G242" s="80" t="str">
        <f>VLOOKUP(F242,'01. TH'!$B:$E,3,0)</f>
        <v>1x1x1</v>
      </c>
      <c r="H242" s="475" t="s">
        <v>858</v>
      </c>
      <c r="I242" s="463"/>
      <c r="J242" s="464"/>
      <c r="K242" s="463" t="s">
        <v>1661</v>
      </c>
      <c r="L242" s="464" t="s">
        <v>3894</v>
      </c>
      <c r="M242" s="465"/>
      <c r="N242" s="464" t="s">
        <v>3258</v>
      </c>
      <c r="O242" s="465"/>
      <c r="P242" s="464" t="s">
        <v>3260</v>
      </c>
      <c r="Q242" s="463"/>
      <c r="R242" s="465"/>
      <c r="S242" s="465"/>
      <c r="T242" s="482"/>
      <c r="U242" s="464"/>
      <c r="V242" s="464"/>
    </row>
    <row r="243" ht="15.0" customHeight="1">
      <c r="A243" s="475">
        <f t="shared" ref="A243:A296" si="5">A242+1</f>
        <v>6</v>
      </c>
      <c r="B243" s="464" t="s">
        <v>3895</v>
      </c>
      <c r="C243" s="464"/>
      <c r="D243" s="464"/>
      <c r="E243" s="464" t="s">
        <v>79</v>
      </c>
      <c r="F243" s="464" t="s">
        <v>3896</v>
      </c>
      <c r="G243" s="80" t="str">
        <f>VLOOKUP(F243,'01. TH'!$B:$E,3,0)</f>
        <v>#N/A</v>
      </c>
      <c r="H243" s="475" t="s">
        <v>858</v>
      </c>
      <c r="I243" s="463"/>
      <c r="J243" s="464"/>
      <c r="K243" s="463" t="s">
        <v>1661</v>
      </c>
      <c r="L243" s="464"/>
      <c r="M243" s="465"/>
      <c r="N243" s="464" t="s">
        <v>3258</v>
      </c>
      <c r="O243" s="465"/>
      <c r="P243" s="464" t="s">
        <v>3260</v>
      </c>
      <c r="Q243" s="463"/>
      <c r="R243" s="465"/>
      <c r="S243" s="465"/>
      <c r="T243" s="482"/>
      <c r="U243" s="464"/>
      <c r="V243" s="464"/>
    </row>
    <row r="244" ht="15.0" customHeight="1">
      <c r="A244" s="475">
        <f t="shared" si="5"/>
        <v>7</v>
      </c>
      <c r="B244" s="464" t="s">
        <v>3897</v>
      </c>
      <c r="C244" s="464"/>
      <c r="D244" s="464" t="s">
        <v>3898</v>
      </c>
      <c r="E244" s="464" t="s">
        <v>79</v>
      </c>
      <c r="F244" s="464" t="s">
        <v>3899</v>
      </c>
      <c r="G244" s="80" t="str">
        <f>VLOOKUP(F244,'01. TH'!$B:$E,3,0)</f>
        <v/>
      </c>
      <c r="H244" s="475" t="s">
        <v>858</v>
      </c>
      <c r="I244" s="463"/>
      <c r="J244" s="464"/>
      <c r="K244" s="463" t="s">
        <v>1661</v>
      </c>
      <c r="L244" s="464"/>
      <c r="M244" s="465"/>
      <c r="N244" s="464" t="s">
        <v>3084</v>
      </c>
      <c r="O244" s="465"/>
      <c r="P244" s="464" t="s">
        <v>3084</v>
      </c>
      <c r="Q244" s="463"/>
      <c r="R244" s="464"/>
      <c r="S244" s="465"/>
      <c r="T244" s="482"/>
      <c r="U244" s="464"/>
      <c r="V244" s="464"/>
    </row>
    <row r="245" ht="15.0" customHeight="1">
      <c r="A245" s="475">
        <f t="shared" si="5"/>
        <v>8</v>
      </c>
      <c r="B245" s="464" t="s">
        <v>3900</v>
      </c>
      <c r="C245" s="464"/>
      <c r="D245" s="464" t="s">
        <v>3901</v>
      </c>
      <c r="E245" s="464" t="s">
        <v>79</v>
      </c>
      <c r="F245" s="464" t="s">
        <v>3899</v>
      </c>
      <c r="G245" s="80" t="str">
        <f>VLOOKUP(F245,'01. TH'!$B:$E,3,0)</f>
        <v/>
      </c>
      <c r="H245" s="475" t="s">
        <v>858</v>
      </c>
      <c r="I245" s="463"/>
      <c r="J245" s="464"/>
      <c r="K245" s="463" t="s">
        <v>1661</v>
      </c>
      <c r="L245" s="464"/>
      <c r="M245" s="465"/>
      <c r="N245" s="464" t="s">
        <v>3084</v>
      </c>
      <c r="O245" s="465"/>
      <c r="P245" s="464" t="s">
        <v>3084</v>
      </c>
      <c r="Q245" s="463"/>
      <c r="R245" s="464"/>
      <c r="S245" s="465"/>
      <c r="T245" s="482"/>
      <c r="U245" s="464"/>
      <c r="V245" s="464"/>
    </row>
    <row r="246" ht="15.0" customHeight="1">
      <c r="A246" s="475">
        <f t="shared" si="5"/>
        <v>9</v>
      </c>
      <c r="B246" s="464" t="s">
        <v>3902</v>
      </c>
      <c r="C246" s="464"/>
      <c r="D246" s="464" t="s">
        <v>3903</v>
      </c>
      <c r="E246" s="464" t="s">
        <v>79</v>
      </c>
      <c r="F246" s="464" t="s">
        <v>3899</v>
      </c>
      <c r="G246" s="80" t="str">
        <f>VLOOKUP(F246,'01. TH'!$B:$E,3,0)</f>
        <v/>
      </c>
      <c r="H246" s="475" t="s">
        <v>858</v>
      </c>
      <c r="I246" s="463"/>
      <c r="J246" s="464"/>
      <c r="K246" s="463" t="s">
        <v>1661</v>
      </c>
      <c r="L246" s="464"/>
      <c r="M246" s="465"/>
      <c r="N246" s="464" t="s">
        <v>3084</v>
      </c>
      <c r="O246" s="465"/>
      <c r="P246" s="464" t="s">
        <v>3084</v>
      </c>
      <c r="Q246" s="463"/>
      <c r="R246" s="464"/>
      <c r="S246" s="465"/>
      <c r="T246" s="482"/>
      <c r="U246" s="464"/>
      <c r="V246" s="464"/>
    </row>
    <row r="247" ht="15.0" customHeight="1">
      <c r="A247" s="475">
        <f t="shared" si="5"/>
        <v>10</v>
      </c>
      <c r="B247" s="464" t="s">
        <v>3904</v>
      </c>
      <c r="C247" s="464"/>
      <c r="D247" s="464" t="s">
        <v>3905</v>
      </c>
      <c r="E247" s="464" t="s">
        <v>79</v>
      </c>
      <c r="F247" s="464" t="s">
        <v>3899</v>
      </c>
      <c r="G247" s="80" t="str">
        <f>VLOOKUP(F247,'01. TH'!$B:$E,3,0)</f>
        <v/>
      </c>
      <c r="H247" s="475" t="s">
        <v>858</v>
      </c>
      <c r="I247" s="463"/>
      <c r="J247" s="464"/>
      <c r="K247" s="463" t="s">
        <v>1661</v>
      </c>
      <c r="L247" s="464"/>
      <c r="M247" s="465"/>
      <c r="N247" s="464" t="s">
        <v>3084</v>
      </c>
      <c r="O247" s="465"/>
      <c r="P247" s="464" t="s">
        <v>3084</v>
      </c>
      <c r="Q247" s="463"/>
      <c r="R247" s="464"/>
      <c r="S247" s="465"/>
      <c r="T247" s="482"/>
      <c r="U247" s="464"/>
      <c r="V247" s="464"/>
    </row>
    <row r="248" ht="15.0" customHeight="1">
      <c r="A248" s="475">
        <f t="shared" si="5"/>
        <v>11</v>
      </c>
      <c r="B248" s="464" t="s">
        <v>3906</v>
      </c>
      <c r="C248" s="464"/>
      <c r="D248" s="464" t="s">
        <v>3907</v>
      </c>
      <c r="E248" s="464" t="s">
        <v>79</v>
      </c>
      <c r="F248" s="464" t="s">
        <v>3899</v>
      </c>
      <c r="G248" s="80" t="str">
        <f>VLOOKUP(F248,'01. TH'!$B:$E,3,0)</f>
        <v/>
      </c>
      <c r="H248" s="475" t="s">
        <v>858</v>
      </c>
      <c r="I248" s="463"/>
      <c r="J248" s="464"/>
      <c r="K248" s="463" t="s">
        <v>1661</v>
      </c>
      <c r="L248" s="464"/>
      <c r="M248" s="465"/>
      <c r="N248" s="464" t="s">
        <v>3084</v>
      </c>
      <c r="O248" s="465"/>
      <c r="P248" s="464" t="s">
        <v>3084</v>
      </c>
      <c r="Q248" s="463"/>
      <c r="R248" s="464"/>
      <c r="S248" s="465"/>
      <c r="T248" s="482"/>
      <c r="U248" s="464"/>
      <c r="V248" s="464"/>
    </row>
    <row r="249" ht="15.0" customHeight="1">
      <c r="A249" s="475">
        <f t="shared" si="5"/>
        <v>12</v>
      </c>
      <c r="B249" s="464" t="s">
        <v>3908</v>
      </c>
      <c r="C249" s="464"/>
      <c r="D249" s="464" t="s">
        <v>3909</v>
      </c>
      <c r="E249" s="464" t="s">
        <v>79</v>
      </c>
      <c r="F249" s="464" t="s">
        <v>3899</v>
      </c>
      <c r="G249" s="80" t="str">
        <f>VLOOKUP(F249,'01. TH'!$B:$E,3,0)</f>
        <v/>
      </c>
      <c r="H249" s="475" t="s">
        <v>858</v>
      </c>
      <c r="I249" s="463"/>
      <c r="J249" s="464"/>
      <c r="K249" s="463" t="s">
        <v>1661</v>
      </c>
      <c r="L249" s="464"/>
      <c r="M249" s="465"/>
      <c r="N249" s="464" t="s">
        <v>3084</v>
      </c>
      <c r="O249" s="465"/>
      <c r="P249" s="464" t="s">
        <v>3084</v>
      </c>
      <c r="Q249" s="463"/>
      <c r="R249" s="464"/>
      <c r="S249" s="465"/>
      <c r="T249" s="482"/>
      <c r="U249" s="464"/>
      <c r="V249" s="464"/>
    </row>
    <row r="250" ht="15.0" customHeight="1">
      <c r="A250" s="475">
        <f t="shared" si="5"/>
        <v>13</v>
      </c>
      <c r="B250" s="464" t="s">
        <v>3910</v>
      </c>
      <c r="C250" s="464"/>
      <c r="D250" s="464" t="s">
        <v>3911</v>
      </c>
      <c r="E250" s="464" t="s">
        <v>79</v>
      </c>
      <c r="F250" s="464" t="s">
        <v>3899</v>
      </c>
      <c r="G250" s="80" t="str">
        <f>VLOOKUP(F250,'01. TH'!$B:$E,3,0)</f>
        <v/>
      </c>
      <c r="H250" s="463" t="s">
        <v>858</v>
      </c>
      <c r="I250" s="463"/>
      <c r="J250" s="464"/>
      <c r="K250" s="463" t="s">
        <v>1661</v>
      </c>
      <c r="L250" s="464"/>
      <c r="M250" s="465"/>
      <c r="N250" s="464" t="s">
        <v>3084</v>
      </c>
      <c r="O250" s="465"/>
      <c r="P250" s="464" t="s">
        <v>3084</v>
      </c>
      <c r="Q250" s="463"/>
      <c r="R250" s="464"/>
      <c r="S250" s="465"/>
      <c r="T250" s="482"/>
      <c r="U250" s="464"/>
      <c r="V250" s="464"/>
    </row>
    <row r="251" ht="15.0" customHeight="1">
      <c r="A251" s="475">
        <f t="shared" si="5"/>
        <v>14</v>
      </c>
      <c r="B251" s="464" t="s">
        <v>3912</v>
      </c>
      <c r="C251" s="464"/>
      <c r="D251" s="464" t="s">
        <v>3913</v>
      </c>
      <c r="E251" s="464" t="s">
        <v>79</v>
      </c>
      <c r="F251" s="464" t="s">
        <v>3899</v>
      </c>
      <c r="G251" s="80" t="str">
        <f>VLOOKUP(F251,'01. TH'!$B:$E,3,0)</f>
        <v/>
      </c>
      <c r="H251" s="463" t="s">
        <v>858</v>
      </c>
      <c r="I251" s="463"/>
      <c r="J251" s="464"/>
      <c r="K251" s="463" t="s">
        <v>1661</v>
      </c>
      <c r="L251" s="464"/>
      <c r="M251" s="465"/>
      <c r="N251" s="464" t="s">
        <v>3084</v>
      </c>
      <c r="O251" s="465"/>
      <c r="P251" s="464" t="s">
        <v>3084</v>
      </c>
      <c r="Q251" s="463"/>
      <c r="R251" s="464"/>
      <c r="S251" s="465"/>
      <c r="T251" s="482"/>
      <c r="U251" s="464"/>
      <c r="V251" s="464"/>
    </row>
    <row r="252" ht="15.0" customHeight="1">
      <c r="A252" s="475">
        <f t="shared" si="5"/>
        <v>15</v>
      </c>
      <c r="B252" s="464" t="s">
        <v>3914</v>
      </c>
      <c r="C252" s="464"/>
      <c r="D252" s="464" t="s">
        <v>3915</v>
      </c>
      <c r="E252" s="464" t="s">
        <v>79</v>
      </c>
      <c r="F252" s="464" t="s">
        <v>3899</v>
      </c>
      <c r="G252" s="80" t="str">
        <f>VLOOKUP(F252,'01. TH'!$B:$E,3,0)</f>
        <v/>
      </c>
      <c r="H252" s="463" t="s">
        <v>858</v>
      </c>
      <c r="I252" s="463"/>
      <c r="J252" s="464"/>
      <c r="K252" s="463" t="s">
        <v>1661</v>
      </c>
      <c r="L252" s="464"/>
      <c r="M252" s="465"/>
      <c r="N252" s="464" t="s">
        <v>3084</v>
      </c>
      <c r="O252" s="465"/>
      <c r="P252" s="464" t="s">
        <v>3084</v>
      </c>
      <c r="Q252" s="463"/>
      <c r="R252" s="464"/>
      <c r="S252" s="465"/>
      <c r="T252" s="482"/>
      <c r="U252" s="464"/>
      <c r="V252" s="464"/>
    </row>
    <row r="253" ht="15.0" customHeight="1">
      <c r="A253" s="475">
        <f t="shared" si="5"/>
        <v>16</v>
      </c>
      <c r="B253" s="486" t="s">
        <v>3916</v>
      </c>
      <c r="C253" s="465" t="s">
        <v>3917</v>
      </c>
      <c r="D253" s="464" t="s">
        <v>3918</v>
      </c>
      <c r="E253" s="464" t="s">
        <v>79</v>
      </c>
      <c r="F253" s="467" t="s">
        <v>3919</v>
      </c>
      <c r="G253" s="80" t="str">
        <f>VLOOKUP(F253,'01. TH'!$B:$E,3,0)</f>
        <v/>
      </c>
      <c r="H253" s="488" t="s">
        <v>858</v>
      </c>
      <c r="I253" s="466">
        <v>45446.0</v>
      </c>
      <c r="J253" s="467"/>
      <c r="K253" s="463" t="s">
        <v>1661</v>
      </c>
      <c r="L253" s="467"/>
      <c r="M253" s="476"/>
      <c r="N253" s="464" t="s">
        <v>2666</v>
      </c>
      <c r="O253" s="465" t="s">
        <v>3920</v>
      </c>
      <c r="P253" s="464" t="s">
        <v>2666</v>
      </c>
      <c r="Q253" s="475"/>
      <c r="R253" s="476"/>
      <c r="S253" s="487" t="s">
        <v>3921</v>
      </c>
      <c r="T253" s="509">
        <v>8.47</v>
      </c>
      <c r="U253" s="486"/>
      <c r="V253" s="486"/>
    </row>
    <row r="254" ht="15.0" customHeight="1">
      <c r="A254" s="475">
        <f t="shared" si="5"/>
        <v>17</v>
      </c>
      <c r="B254" s="464" t="s">
        <v>3922</v>
      </c>
      <c r="C254" s="464" t="s">
        <v>3923</v>
      </c>
      <c r="D254" s="464" t="s">
        <v>3924</v>
      </c>
      <c r="E254" s="464" t="s">
        <v>79</v>
      </c>
      <c r="F254" s="464" t="s">
        <v>3925</v>
      </c>
      <c r="G254" s="80" t="str">
        <f>VLOOKUP(F254,'01. TH'!$B:$E,3,0)</f>
        <v>3000 x 1.600 x 1200</v>
      </c>
      <c r="H254" s="463" t="s">
        <v>858</v>
      </c>
      <c r="I254" s="463" t="s">
        <v>2492</v>
      </c>
      <c r="J254" s="464"/>
      <c r="K254" s="463" t="s">
        <v>1661</v>
      </c>
      <c r="L254" s="464"/>
      <c r="M254" s="465"/>
      <c r="N254" s="464" t="s">
        <v>3258</v>
      </c>
      <c r="O254" s="465"/>
      <c r="P254" s="464" t="s">
        <v>3260</v>
      </c>
      <c r="Q254" s="463"/>
      <c r="R254" s="465" t="s">
        <v>3926</v>
      </c>
      <c r="S254" s="465"/>
      <c r="T254" s="482"/>
      <c r="U254" s="464"/>
      <c r="V254" s="464"/>
    </row>
    <row r="255" ht="15.0" customHeight="1">
      <c r="A255" s="475">
        <f t="shared" si="5"/>
        <v>18</v>
      </c>
      <c r="B255" s="464" t="s">
        <v>3927</v>
      </c>
      <c r="C255" s="464" t="s">
        <v>3928</v>
      </c>
      <c r="D255" s="464" t="s">
        <v>3929</v>
      </c>
      <c r="E255" s="464" t="s">
        <v>79</v>
      </c>
      <c r="F255" s="464" t="s">
        <v>3925</v>
      </c>
      <c r="G255" s="80" t="str">
        <f>VLOOKUP(F255,'01. TH'!$B:$E,3,0)</f>
        <v>3000 x 1.600 x 1200</v>
      </c>
      <c r="H255" s="463" t="s">
        <v>858</v>
      </c>
      <c r="I255" s="463" t="s">
        <v>2492</v>
      </c>
      <c r="J255" s="464"/>
      <c r="K255" s="463" t="s">
        <v>1661</v>
      </c>
      <c r="L255" s="464"/>
      <c r="M255" s="465"/>
      <c r="N255" s="464" t="s">
        <v>3258</v>
      </c>
      <c r="O255" s="465"/>
      <c r="P255" s="464" t="s">
        <v>3260</v>
      </c>
      <c r="Q255" s="463"/>
      <c r="R255" s="465" t="s">
        <v>3926</v>
      </c>
      <c r="S255" s="465"/>
      <c r="T255" s="482"/>
      <c r="U255" s="464"/>
      <c r="V255" s="464"/>
    </row>
    <row r="256" ht="15.0" customHeight="1">
      <c r="A256" s="475">
        <f t="shared" si="5"/>
        <v>19</v>
      </c>
      <c r="B256" s="464" t="s">
        <v>3930</v>
      </c>
      <c r="C256" s="464" t="s">
        <v>3931</v>
      </c>
      <c r="D256" s="464" t="s">
        <v>3932</v>
      </c>
      <c r="E256" s="464" t="s">
        <v>79</v>
      </c>
      <c r="F256" s="464" t="s">
        <v>3925</v>
      </c>
      <c r="G256" s="80" t="str">
        <f>VLOOKUP(F256,'01. TH'!$B:$E,3,0)</f>
        <v>3000 x 1.600 x 1200</v>
      </c>
      <c r="H256" s="463" t="s">
        <v>858</v>
      </c>
      <c r="I256" s="463" t="s">
        <v>2492</v>
      </c>
      <c r="J256" s="464"/>
      <c r="K256" s="463" t="s">
        <v>1661</v>
      </c>
      <c r="L256" s="464"/>
      <c r="M256" s="465"/>
      <c r="N256" s="464" t="s">
        <v>3258</v>
      </c>
      <c r="O256" s="465"/>
      <c r="P256" s="464" t="s">
        <v>3260</v>
      </c>
      <c r="Q256" s="463"/>
      <c r="R256" s="465" t="s">
        <v>3926</v>
      </c>
      <c r="S256" s="465"/>
      <c r="T256" s="482"/>
      <c r="U256" s="464"/>
      <c r="V256" s="464"/>
    </row>
    <row r="257" ht="15.0" customHeight="1">
      <c r="A257" s="475">
        <f t="shared" si="5"/>
        <v>20</v>
      </c>
      <c r="B257" s="464" t="s">
        <v>3933</v>
      </c>
      <c r="C257" s="464" t="s">
        <v>3934</v>
      </c>
      <c r="D257" s="464" t="s">
        <v>3935</v>
      </c>
      <c r="E257" s="464" t="s">
        <v>79</v>
      </c>
      <c r="F257" s="464" t="s">
        <v>3925</v>
      </c>
      <c r="G257" s="80" t="str">
        <f>VLOOKUP(F257,'01. TH'!$B:$E,3,0)</f>
        <v>3000 x 1.600 x 1200</v>
      </c>
      <c r="H257" s="463" t="s">
        <v>858</v>
      </c>
      <c r="I257" s="463" t="s">
        <v>2492</v>
      </c>
      <c r="J257" s="464"/>
      <c r="K257" s="463" t="s">
        <v>1661</v>
      </c>
      <c r="L257" s="464"/>
      <c r="M257" s="465"/>
      <c r="N257" s="464" t="s">
        <v>3258</v>
      </c>
      <c r="O257" s="465"/>
      <c r="P257" s="464" t="s">
        <v>3260</v>
      </c>
      <c r="Q257" s="463"/>
      <c r="R257" s="465" t="s">
        <v>3926</v>
      </c>
      <c r="S257" s="465"/>
      <c r="T257" s="482"/>
      <c r="U257" s="464"/>
      <c r="V257" s="464"/>
    </row>
    <row r="258" ht="15.0" customHeight="1">
      <c r="A258" s="475">
        <f t="shared" si="5"/>
        <v>21</v>
      </c>
      <c r="B258" s="464" t="s">
        <v>3936</v>
      </c>
      <c r="C258" s="464" t="s">
        <v>3937</v>
      </c>
      <c r="D258" s="464" t="s">
        <v>3938</v>
      </c>
      <c r="E258" s="464" t="s">
        <v>79</v>
      </c>
      <c r="F258" s="464" t="s">
        <v>3925</v>
      </c>
      <c r="G258" s="80" t="str">
        <f>VLOOKUP(F258,'01. TH'!$B:$E,3,0)</f>
        <v>3000 x 1.600 x 1200</v>
      </c>
      <c r="H258" s="463" t="s">
        <v>858</v>
      </c>
      <c r="I258" s="463" t="s">
        <v>2492</v>
      </c>
      <c r="J258" s="464"/>
      <c r="K258" s="463" t="s">
        <v>1661</v>
      </c>
      <c r="L258" s="464"/>
      <c r="M258" s="465"/>
      <c r="N258" s="464" t="s">
        <v>3258</v>
      </c>
      <c r="O258" s="465"/>
      <c r="P258" s="464" t="s">
        <v>3260</v>
      </c>
      <c r="Q258" s="463"/>
      <c r="R258" s="465" t="s">
        <v>3926</v>
      </c>
      <c r="S258" s="465"/>
      <c r="T258" s="482"/>
      <c r="U258" s="464"/>
      <c r="V258" s="464"/>
    </row>
    <row r="259" ht="15.0" customHeight="1">
      <c r="A259" s="475">
        <f t="shared" si="5"/>
        <v>22</v>
      </c>
      <c r="B259" s="464" t="s">
        <v>3939</v>
      </c>
      <c r="C259" s="464" t="s">
        <v>3940</v>
      </c>
      <c r="D259" s="464" t="s">
        <v>3941</v>
      </c>
      <c r="E259" s="464" t="s">
        <v>79</v>
      </c>
      <c r="F259" s="464" t="s">
        <v>3925</v>
      </c>
      <c r="G259" s="80" t="str">
        <f>VLOOKUP(F259,'01. TH'!$B:$E,3,0)</f>
        <v>3000 x 1.600 x 1200</v>
      </c>
      <c r="H259" s="463" t="s">
        <v>858</v>
      </c>
      <c r="I259" s="463" t="s">
        <v>2492</v>
      </c>
      <c r="J259" s="464"/>
      <c r="K259" s="463" t="s">
        <v>1661</v>
      </c>
      <c r="L259" s="464"/>
      <c r="M259" s="465"/>
      <c r="N259" s="464" t="s">
        <v>3258</v>
      </c>
      <c r="O259" s="465"/>
      <c r="P259" s="464" t="s">
        <v>3260</v>
      </c>
      <c r="Q259" s="463"/>
      <c r="R259" s="465" t="s">
        <v>3926</v>
      </c>
      <c r="S259" s="465"/>
      <c r="T259" s="482"/>
      <c r="U259" s="464"/>
      <c r="V259" s="464"/>
    </row>
    <row r="260" ht="15.0" customHeight="1">
      <c r="A260" s="475">
        <f t="shared" si="5"/>
        <v>23</v>
      </c>
      <c r="B260" s="464" t="s">
        <v>3942</v>
      </c>
      <c r="C260" s="464" t="s">
        <v>3943</v>
      </c>
      <c r="D260" s="464" t="s">
        <v>3944</v>
      </c>
      <c r="E260" s="464" t="s">
        <v>79</v>
      </c>
      <c r="F260" s="464" t="s">
        <v>3925</v>
      </c>
      <c r="G260" s="80" t="str">
        <f>VLOOKUP(F260,'01. TH'!$B:$E,3,0)</f>
        <v>3000 x 1.600 x 1200</v>
      </c>
      <c r="H260" s="463" t="s">
        <v>858</v>
      </c>
      <c r="I260" s="463" t="s">
        <v>2492</v>
      </c>
      <c r="J260" s="464"/>
      <c r="K260" s="463" t="s">
        <v>1661</v>
      </c>
      <c r="L260" s="464"/>
      <c r="M260" s="465"/>
      <c r="N260" s="464" t="s">
        <v>3258</v>
      </c>
      <c r="O260" s="465"/>
      <c r="P260" s="464" t="s">
        <v>3260</v>
      </c>
      <c r="Q260" s="463"/>
      <c r="R260" s="465" t="s">
        <v>3926</v>
      </c>
      <c r="S260" s="465"/>
      <c r="T260" s="482"/>
      <c r="U260" s="464"/>
      <c r="V260" s="464"/>
    </row>
    <row r="261" ht="15.0" customHeight="1">
      <c r="A261" s="475">
        <f t="shared" si="5"/>
        <v>24</v>
      </c>
      <c r="B261" s="464" t="s">
        <v>3945</v>
      </c>
      <c r="C261" s="464"/>
      <c r="D261" s="464" t="s">
        <v>3946</v>
      </c>
      <c r="E261" s="464" t="s">
        <v>79</v>
      </c>
      <c r="F261" s="464" t="s">
        <v>3947</v>
      </c>
      <c r="G261" s="80" t="str">
        <f>VLOOKUP(F261,'01. TH'!$B:$E,3,0)</f>
        <v/>
      </c>
      <c r="H261" s="463" t="s">
        <v>858</v>
      </c>
      <c r="I261" s="475"/>
      <c r="J261" s="467"/>
      <c r="K261" s="463" t="s">
        <v>1661</v>
      </c>
      <c r="L261" s="464" t="s">
        <v>3948</v>
      </c>
      <c r="M261" s="476"/>
      <c r="N261" s="464" t="s">
        <v>3258</v>
      </c>
      <c r="O261" s="476"/>
      <c r="P261" s="464" t="s">
        <v>3260</v>
      </c>
      <c r="Q261" s="475"/>
      <c r="R261" s="476"/>
      <c r="S261" s="465"/>
      <c r="T261" s="482"/>
      <c r="U261" s="464"/>
      <c r="V261" s="464"/>
    </row>
    <row r="262" ht="15.0" customHeight="1">
      <c r="A262" s="475">
        <f t="shared" si="5"/>
        <v>25</v>
      </c>
      <c r="B262" s="464" t="s">
        <v>3949</v>
      </c>
      <c r="C262" s="128"/>
      <c r="D262" s="464" t="s">
        <v>3609</v>
      </c>
      <c r="E262" s="464" t="s">
        <v>79</v>
      </c>
      <c r="F262" s="464" t="s">
        <v>3514</v>
      </c>
      <c r="G262" s="80" t="str">
        <f>VLOOKUP(F262,'01. TH'!$B:$E,3,0)</f>
        <v>6.1x2.4x0.9</v>
      </c>
      <c r="H262" s="463" t="s">
        <v>858</v>
      </c>
      <c r="I262" s="463" t="s">
        <v>3950</v>
      </c>
      <c r="J262" s="464"/>
      <c r="K262" s="463" t="s">
        <v>1661</v>
      </c>
      <c r="L262" s="464"/>
      <c r="M262" s="465"/>
      <c r="N262" s="464" t="s">
        <v>3258</v>
      </c>
      <c r="O262" s="465"/>
      <c r="P262" s="464" t="s">
        <v>3260</v>
      </c>
      <c r="Q262" s="463"/>
      <c r="R262" s="465" t="s">
        <v>3951</v>
      </c>
      <c r="S262" s="465"/>
      <c r="T262" s="482"/>
      <c r="U262" s="464"/>
      <c r="V262" s="464"/>
    </row>
    <row r="263" ht="15.0" customHeight="1">
      <c r="A263" s="475">
        <f t="shared" si="5"/>
        <v>26</v>
      </c>
      <c r="B263" s="464" t="s">
        <v>3952</v>
      </c>
      <c r="C263" s="464"/>
      <c r="D263" s="464" t="s">
        <v>3953</v>
      </c>
      <c r="E263" s="464" t="s">
        <v>79</v>
      </c>
      <c r="F263" s="464" t="s">
        <v>3954</v>
      </c>
      <c r="G263" s="80" t="str">
        <f>VLOOKUP(F263,'01. TH'!$B:$E,3,0)</f>
        <v>#N/A</v>
      </c>
      <c r="H263" s="463" t="s">
        <v>858</v>
      </c>
      <c r="I263" s="463" t="s">
        <v>3955</v>
      </c>
      <c r="J263" s="464"/>
      <c r="K263" s="463" t="s">
        <v>1661</v>
      </c>
      <c r="L263" s="464"/>
      <c r="M263" s="465"/>
      <c r="N263" s="464" t="s">
        <v>3258</v>
      </c>
      <c r="O263" s="465"/>
      <c r="P263" s="464" t="s">
        <v>3260</v>
      </c>
      <c r="Q263" s="463"/>
      <c r="R263" s="239"/>
      <c r="S263" s="465"/>
      <c r="T263" s="482"/>
      <c r="U263" s="464"/>
      <c r="V263" s="464"/>
    </row>
    <row r="264" ht="15.0" customHeight="1">
      <c r="A264" s="475">
        <f t="shared" si="5"/>
        <v>27</v>
      </c>
      <c r="B264" s="464" t="s">
        <v>3956</v>
      </c>
      <c r="C264" s="464"/>
      <c r="D264" s="464" t="s">
        <v>3957</v>
      </c>
      <c r="E264" s="464" t="s">
        <v>79</v>
      </c>
      <c r="F264" s="464" t="s">
        <v>3958</v>
      </c>
      <c r="G264" s="80" t="str">
        <f>VLOOKUP(F264,'01. TH'!$B:$E,3,0)</f>
        <v>#N/A</v>
      </c>
      <c r="H264" s="463" t="s">
        <v>858</v>
      </c>
      <c r="I264" s="463" t="s">
        <v>3955</v>
      </c>
      <c r="J264" s="464"/>
      <c r="K264" s="463" t="s">
        <v>1661</v>
      </c>
      <c r="L264" s="464"/>
      <c r="M264" s="465"/>
      <c r="N264" s="464" t="s">
        <v>3258</v>
      </c>
      <c r="O264" s="465"/>
      <c r="P264" s="464" t="s">
        <v>3260</v>
      </c>
      <c r="Q264" s="463"/>
      <c r="R264" s="239"/>
      <c r="S264" s="465"/>
      <c r="T264" s="482"/>
      <c r="U264" s="464"/>
      <c r="V264" s="464"/>
    </row>
    <row r="265" ht="15.0" customHeight="1">
      <c r="A265" s="475">
        <f t="shared" si="5"/>
        <v>28</v>
      </c>
      <c r="B265" s="464" t="s">
        <v>3959</v>
      </c>
      <c r="C265" s="464"/>
      <c r="D265" s="464" t="s">
        <v>3960</v>
      </c>
      <c r="E265" s="464" t="s">
        <v>79</v>
      </c>
      <c r="F265" s="464" t="s">
        <v>3961</v>
      </c>
      <c r="G265" s="80" t="str">
        <f>VLOOKUP(F265,'01. TH'!$B:$E,3,0)</f>
        <v>#N/A</v>
      </c>
      <c r="H265" s="463" t="s">
        <v>858</v>
      </c>
      <c r="I265" s="463" t="s">
        <v>3955</v>
      </c>
      <c r="J265" s="464"/>
      <c r="K265" s="463" t="s">
        <v>1661</v>
      </c>
      <c r="L265" s="464"/>
      <c r="M265" s="465"/>
      <c r="N265" s="464" t="s">
        <v>3258</v>
      </c>
      <c r="O265" s="465"/>
      <c r="P265" s="464" t="s">
        <v>3260</v>
      </c>
      <c r="Q265" s="463"/>
      <c r="R265" s="239"/>
      <c r="S265" s="465"/>
      <c r="T265" s="482"/>
      <c r="U265" s="464"/>
      <c r="V265" s="464"/>
    </row>
    <row r="266" ht="15.0" customHeight="1">
      <c r="A266" s="475">
        <f t="shared" si="5"/>
        <v>29</v>
      </c>
      <c r="B266" s="464" t="s">
        <v>3962</v>
      </c>
      <c r="C266" s="464"/>
      <c r="D266" s="464" t="s">
        <v>3963</v>
      </c>
      <c r="E266" s="464" t="s">
        <v>79</v>
      </c>
      <c r="F266" s="470" t="s">
        <v>3279</v>
      </c>
      <c r="G266" s="80" t="str">
        <f>VLOOKUP(F266,'01. TH'!$B:$E,3,0)</f>
        <v>#N/A</v>
      </c>
      <c r="H266" s="463" t="s">
        <v>858</v>
      </c>
      <c r="I266" s="463" t="s">
        <v>3444</v>
      </c>
      <c r="J266" s="464"/>
      <c r="K266" s="463" t="s">
        <v>1661</v>
      </c>
      <c r="L266" s="464"/>
      <c r="M266" s="464" t="s">
        <v>3581</v>
      </c>
      <c r="N266" s="464" t="s">
        <v>3258</v>
      </c>
      <c r="O266" s="465"/>
      <c r="P266" s="464" t="s">
        <v>3260</v>
      </c>
      <c r="Q266" s="463">
        <v>2025.0</v>
      </c>
      <c r="R266" s="465" t="s">
        <v>3286</v>
      </c>
      <c r="S266" s="465"/>
      <c r="T266" s="482"/>
      <c r="U266" s="464"/>
      <c r="V266" s="464"/>
    </row>
    <row r="267" ht="15.0" customHeight="1">
      <c r="A267" s="475">
        <f t="shared" si="5"/>
        <v>30</v>
      </c>
      <c r="B267" s="464" t="s">
        <v>3964</v>
      </c>
      <c r="C267" s="464"/>
      <c r="D267" s="464" t="s">
        <v>3965</v>
      </c>
      <c r="E267" s="464" t="s">
        <v>79</v>
      </c>
      <c r="F267" s="470" t="s">
        <v>3279</v>
      </c>
      <c r="G267" s="80" t="str">
        <f>VLOOKUP(F267,'01. TH'!$B:$E,3,0)</f>
        <v>#N/A</v>
      </c>
      <c r="H267" s="463" t="s">
        <v>858</v>
      </c>
      <c r="I267" s="463" t="s">
        <v>3444</v>
      </c>
      <c r="J267" s="464"/>
      <c r="K267" s="463" t="s">
        <v>1661</v>
      </c>
      <c r="L267" s="464"/>
      <c r="M267" s="464" t="s">
        <v>3581</v>
      </c>
      <c r="N267" s="464" t="s">
        <v>3258</v>
      </c>
      <c r="O267" s="465"/>
      <c r="P267" s="464" t="s">
        <v>3260</v>
      </c>
      <c r="Q267" s="463">
        <v>2025.0</v>
      </c>
      <c r="R267" s="465" t="s">
        <v>3286</v>
      </c>
      <c r="S267" s="465"/>
      <c r="T267" s="482"/>
      <c r="U267" s="464"/>
      <c r="V267" s="464"/>
    </row>
    <row r="268" ht="15.0" customHeight="1">
      <c r="A268" s="475">
        <f t="shared" si="5"/>
        <v>31</v>
      </c>
      <c r="B268" s="464" t="s">
        <v>3966</v>
      </c>
      <c r="C268" s="464"/>
      <c r="D268" s="464" t="s">
        <v>3967</v>
      </c>
      <c r="E268" s="464" t="s">
        <v>79</v>
      </c>
      <c r="F268" s="470" t="s">
        <v>3279</v>
      </c>
      <c r="G268" s="80" t="str">
        <f>VLOOKUP(F268,'01. TH'!$B:$E,3,0)</f>
        <v>#N/A</v>
      </c>
      <c r="H268" s="463" t="s">
        <v>858</v>
      </c>
      <c r="I268" s="463" t="s">
        <v>3444</v>
      </c>
      <c r="J268" s="464"/>
      <c r="K268" s="463" t="s">
        <v>1661</v>
      </c>
      <c r="L268" s="464"/>
      <c r="M268" s="464" t="s">
        <v>3581</v>
      </c>
      <c r="N268" s="464" t="s">
        <v>3258</v>
      </c>
      <c r="O268" s="465"/>
      <c r="P268" s="464" t="s">
        <v>3260</v>
      </c>
      <c r="Q268" s="463">
        <v>2025.0</v>
      </c>
      <c r="R268" s="465" t="s">
        <v>3286</v>
      </c>
      <c r="S268" s="465"/>
      <c r="T268" s="482"/>
      <c r="U268" s="464"/>
      <c r="V268" s="464"/>
    </row>
    <row r="269" ht="15.0" customHeight="1">
      <c r="A269" s="475">
        <f t="shared" si="5"/>
        <v>32</v>
      </c>
      <c r="B269" s="464" t="s">
        <v>3968</v>
      </c>
      <c r="C269" s="464"/>
      <c r="D269" s="464" t="s">
        <v>3969</v>
      </c>
      <c r="E269" s="464" t="s">
        <v>79</v>
      </c>
      <c r="F269" s="470" t="s">
        <v>3279</v>
      </c>
      <c r="G269" s="80" t="str">
        <f>VLOOKUP(F269,'01. TH'!$B:$E,3,0)</f>
        <v>#N/A</v>
      </c>
      <c r="H269" s="463" t="s">
        <v>858</v>
      </c>
      <c r="I269" s="463" t="s">
        <v>3444</v>
      </c>
      <c r="J269" s="464"/>
      <c r="K269" s="463" t="s">
        <v>1661</v>
      </c>
      <c r="L269" s="464"/>
      <c r="M269" s="464" t="s">
        <v>3581</v>
      </c>
      <c r="N269" s="464" t="s">
        <v>3258</v>
      </c>
      <c r="O269" s="465"/>
      <c r="P269" s="464" t="s">
        <v>3260</v>
      </c>
      <c r="Q269" s="463">
        <v>2025.0</v>
      </c>
      <c r="R269" s="465" t="s">
        <v>3286</v>
      </c>
      <c r="S269" s="465"/>
      <c r="T269" s="482"/>
      <c r="U269" s="464"/>
      <c r="V269" s="464"/>
    </row>
    <row r="270" ht="15.0" customHeight="1">
      <c r="A270" s="475">
        <f t="shared" si="5"/>
        <v>33</v>
      </c>
      <c r="B270" s="464" t="s">
        <v>3970</v>
      </c>
      <c r="C270" s="464"/>
      <c r="D270" s="464" t="s">
        <v>3971</v>
      </c>
      <c r="E270" s="464" t="s">
        <v>79</v>
      </c>
      <c r="F270" s="470" t="s">
        <v>3279</v>
      </c>
      <c r="G270" s="80" t="str">
        <f>VLOOKUP(F270,'01. TH'!$B:$E,3,0)</f>
        <v>#N/A</v>
      </c>
      <c r="H270" s="463" t="s">
        <v>858</v>
      </c>
      <c r="I270" s="463" t="s">
        <v>3444</v>
      </c>
      <c r="J270" s="464"/>
      <c r="K270" s="463" t="s">
        <v>1661</v>
      </c>
      <c r="L270" s="464"/>
      <c r="M270" s="464" t="s">
        <v>3581</v>
      </c>
      <c r="N270" s="464" t="s">
        <v>3258</v>
      </c>
      <c r="O270" s="465"/>
      <c r="P270" s="464" t="s">
        <v>3260</v>
      </c>
      <c r="Q270" s="463">
        <v>2025.0</v>
      </c>
      <c r="R270" s="465" t="s">
        <v>3286</v>
      </c>
      <c r="S270" s="465"/>
      <c r="T270" s="482"/>
      <c r="U270" s="464"/>
      <c r="V270" s="464"/>
    </row>
    <row r="271" ht="15.0" customHeight="1">
      <c r="A271" s="475">
        <f t="shared" si="5"/>
        <v>34</v>
      </c>
      <c r="B271" s="464" t="s">
        <v>3972</v>
      </c>
      <c r="C271" s="464"/>
      <c r="D271" s="464" t="s">
        <v>3973</v>
      </c>
      <c r="E271" s="464" t="s">
        <v>79</v>
      </c>
      <c r="F271" s="470" t="s">
        <v>3279</v>
      </c>
      <c r="G271" s="80" t="str">
        <f>VLOOKUP(F271,'01. TH'!$B:$E,3,0)</f>
        <v>#N/A</v>
      </c>
      <c r="H271" s="463" t="s">
        <v>858</v>
      </c>
      <c r="I271" s="463" t="s">
        <v>3444</v>
      </c>
      <c r="J271" s="464"/>
      <c r="K271" s="463" t="s">
        <v>1661</v>
      </c>
      <c r="L271" s="464"/>
      <c r="M271" s="464" t="s">
        <v>3581</v>
      </c>
      <c r="N271" s="464" t="s">
        <v>3258</v>
      </c>
      <c r="O271" s="465"/>
      <c r="P271" s="464" t="s">
        <v>3260</v>
      </c>
      <c r="Q271" s="463">
        <v>2025.0</v>
      </c>
      <c r="R271" s="465" t="s">
        <v>3286</v>
      </c>
      <c r="S271" s="465"/>
      <c r="T271" s="482"/>
      <c r="U271" s="464"/>
      <c r="V271" s="464"/>
    </row>
    <row r="272" ht="15.0" customHeight="1">
      <c r="A272" s="475">
        <f t="shared" si="5"/>
        <v>35</v>
      </c>
      <c r="B272" s="464" t="s">
        <v>3974</v>
      </c>
      <c r="C272" s="464"/>
      <c r="D272" s="464" t="s">
        <v>3975</v>
      </c>
      <c r="E272" s="464" t="s">
        <v>79</v>
      </c>
      <c r="F272" s="464" t="s">
        <v>3976</v>
      </c>
      <c r="G272" s="80" t="str">
        <f>VLOOKUP(F272,'01. TH'!$B:$E,3,0)</f>
        <v>#N/A</v>
      </c>
      <c r="H272" s="463" t="s">
        <v>858</v>
      </c>
      <c r="I272" s="463" t="s">
        <v>1261</v>
      </c>
      <c r="J272" s="464"/>
      <c r="K272" s="463" t="s">
        <v>1661</v>
      </c>
      <c r="L272" s="464"/>
      <c r="M272" s="465"/>
      <c r="N272" s="464" t="s">
        <v>3084</v>
      </c>
      <c r="O272" s="465" t="s">
        <v>3977</v>
      </c>
      <c r="P272" s="464" t="s">
        <v>3084</v>
      </c>
      <c r="Q272" s="463"/>
      <c r="R272" s="476" t="s">
        <v>3978</v>
      </c>
      <c r="S272" s="465"/>
      <c r="T272" s="482"/>
      <c r="U272" s="464"/>
      <c r="V272" s="464"/>
    </row>
    <row r="273" ht="15.0" customHeight="1">
      <c r="A273" s="475">
        <f t="shared" si="5"/>
        <v>36</v>
      </c>
      <c r="B273" s="464" t="s">
        <v>3979</v>
      </c>
      <c r="C273" s="464"/>
      <c r="D273" s="464" t="s">
        <v>3980</v>
      </c>
      <c r="E273" s="464" t="s">
        <v>79</v>
      </c>
      <c r="F273" s="464" t="s">
        <v>3981</v>
      </c>
      <c r="G273" s="80" t="str">
        <f>VLOOKUP(F273,'01. TH'!$B:$E,3,0)</f>
        <v>#N/A</v>
      </c>
      <c r="H273" s="463" t="s">
        <v>858</v>
      </c>
      <c r="I273" s="466">
        <v>45419.0</v>
      </c>
      <c r="J273" s="464"/>
      <c r="K273" s="463" t="s">
        <v>1661</v>
      </c>
      <c r="L273" s="464"/>
      <c r="M273" s="465"/>
      <c r="N273" s="464" t="s">
        <v>3258</v>
      </c>
      <c r="O273" s="465" t="s">
        <v>3982</v>
      </c>
      <c r="P273" s="464" t="s">
        <v>3260</v>
      </c>
      <c r="Q273" s="463">
        <v>2024.0</v>
      </c>
      <c r="R273" s="476" t="s">
        <v>3983</v>
      </c>
      <c r="S273" s="465"/>
      <c r="T273" s="482"/>
      <c r="U273" s="464"/>
      <c r="V273" s="464"/>
    </row>
    <row r="274" ht="15.0" customHeight="1">
      <c r="A274" s="475">
        <f t="shared" si="5"/>
        <v>37</v>
      </c>
      <c r="B274" s="464" t="s">
        <v>3984</v>
      </c>
      <c r="C274" s="464"/>
      <c r="D274" s="464" t="s">
        <v>3615</v>
      </c>
      <c r="E274" s="464" t="s">
        <v>79</v>
      </c>
      <c r="F274" s="464" t="s">
        <v>3985</v>
      </c>
      <c r="G274" s="80" t="str">
        <f>VLOOKUP(F274,'01. TH'!$B:$E,3,0)</f>
        <v>115x130x120</v>
      </c>
      <c r="H274" s="463" t="s">
        <v>858</v>
      </c>
      <c r="I274" s="466">
        <v>45419.0</v>
      </c>
      <c r="J274" s="464"/>
      <c r="K274" s="463" t="s">
        <v>1661</v>
      </c>
      <c r="L274" s="464"/>
      <c r="M274" s="465"/>
      <c r="N274" s="464" t="s">
        <v>3258</v>
      </c>
      <c r="O274" s="465"/>
      <c r="P274" s="464" t="s">
        <v>3260</v>
      </c>
      <c r="Q274" s="463"/>
      <c r="R274" s="476" t="s">
        <v>3986</v>
      </c>
      <c r="S274" s="465"/>
      <c r="T274" s="482"/>
      <c r="U274" s="464"/>
      <c r="V274" s="464"/>
    </row>
    <row r="275" ht="15.0" customHeight="1">
      <c r="A275" s="475">
        <f t="shared" si="5"/>
        <v>38</v>
      </c>
      <c r="B275" s="464" t="s">
        <v>3987</v>
      </c>
      <c r="C275" s="464"/>
      <c r="D275" s="464" t="s">
        <v>3988</v>
      </c>
      <c r="E275" s="464" t="s">
        <v>79</v>
      </c>
      <c r="F275" s="464" t="s">
        <v>3989</v>
      </c>
      <c r="G275" s="80" t="str">
        <f>VLOOKUP(F275,'01. TH'!$B:$E,3,0)</f>
        <v>#N/A</v>
      </c>
      <c r="H275" s="463" t="s">
        <v>858</v>
      </c>
      <c r="I275" s="466">
        <v>45933.0</v>
      </c>
      <c r="J275" s="467"/>
      <c r="K275" s="463" t="s">
        <v>1661</v>
      </c>
      <c r="L275" s="510"/>
      <c r="M275" s="465"/>
      <c r="N275" s="464" t="s">
        <v>3990</v>
      </c>
      <c r="O275" s="465" t="s">
        <v>3991</v>
      </c>
      <c r="P275" s="464" t="s">
        <v>3260</v>
      </c>
      <c r="Q275" s="463">
        <v>2025.0</v>
      </c>
      <c r="R275" s="465"/>
      <c r="S275" s="465">
        <v>10.0</v>
      </c>
      <c r="T275" s="482">
        <v>0.56</v>
      </c>
      <c r="U275" s="464" t="s">
        <v>3992</v>
      </c>
      <c r="V275" s="464"/>
    </row>
    <row r="276" ht="15.0" customHeight="1">
      <c r="A276" s="475">
        <f t="shared" si="5"/>
        <v>39</v>
      </c>
      <c r="B276" s="464" t="s">
        <v>3993</v>
      </c>
      <c r="C276" s="464"/>
      <c r="D276" s="464" t="s">
        <v>3994</v>
      </c>
      <c r="E276" s="464" t="s">
        <v>79</v>
      </c>
      <c r="F276" s="464" t="s">
        <v>3989</v>
      </c>
      <c r="G276" s="80" t="str">
        <f>VLOOKUP(F276,'01. TH'!$B:$E,3,0)</f>
        <v>#N/A</v>
      </c>
      <c r="H276" s="463" t="s">
        <v>858</v>
      </c>
      <c r="I276" s="466">
        <v>45933.0</v>
      </c>
      <c r="J276" s="467"/>
      <c r="K276" s="463" t="s">
        <v>1661</v>
      </c>
      <c r="L276" s="467"/>
      <c r="M276" s="465"/>
      <c r="N276" s="464" t="s">
        <v>3990</v>
      </c>
      <c r="O276" s="465" t="s">
        <v>3991</v>
      </c>
      <c r="P276" s="464" t="s">
        <v>3260</v>
      </c>
      <c r="Q276" s="463">
        <v>2025.0</v>
      </c>
      <c r="R276" s="465"/>
      <c r="S276" s="465">
        <v>11.0</v>
      </c>
      <c r="T276" s="482">
        <v>0.56</v>
      </c>
      <c r="U276" s="464" t="s">
        <v>3992</v>
      </c>
      <c r="V276" s="464"/>
    </row>
    <row r="277" ht="15.0" customHeight="1">
      <c r="A277" s="475">
        <f t="shared" si="5"/>
        <v>40</v>
      </c>
      <c r="B277" s="464" t="s">
        <v>3995</v>
      </c>
      <c r="C277" s="464"/>
      <c r="D277" s="464" t="s">
        <v>3996</v>
      </c>
      <c r="E277" s="464" t="s">
        <v>79</v>
      </c>
      <c r="F277" s="464" t="s">
        <v>3989</v>
      </c>
      <c r="G277" s="80" t="str">
        <f>VLOOKUP(F277,'01. TH'!$B:$E,3,0)</f>
        <v>#N/A</v>
      </c>
      <c r="H277" s="463" t="s">
        <v>858</v>
      </c>
      <c r="I277" s="463" t="s">
        <v>3379</v>
      </c>
      <c r="J277" s="467"/>
      <c r="K277" s="463" t="s">
        <v>1661</v>
      </c>
      <c r="L277" s="465"/>
      <c r="M277" s="464" t="s">
        <v>3581</v>
      </c>
      <c r="N277" s="464" t="s">
        <v>3990</v>
      </c>
      <c r="O277" s="465" t="s">
        <v>3991</v>
      </c>
      <c r="P277" s="464" t="s">
        <v>3260</v>
      </c>
      <c r="Q277" s="463">
        <v>2024.0</v>
      </c>
      <c r="R277" s="465" t="s">
        <v>3997</v>
      </c>
      <c r="S277" s="465" t="s">
        <v>3998</v>
      </c>
      <c r="T277" s="482">
        <v>0.56</v>
      </c>
      <c r="U277" s="464" t="s">
        <v>3992</v>
      </c>
      <c r="V277" s="464"/>
    </row>
    <row r="278" ht="15.0" customHeight="1">
      <c r="A278" s="475">
        <f t="shared" si="5"/>
        <v>41</v>
      </c>
      <c r="B278" s="464" t="s">
        <v>3999</v>
      </c>
      <c r="C278" s="464"/>
      <c r="D278" s="464" t="s">
        <v>4000</v>
      </c>
      <c r="E278" s="464" t="s">
        <v>79</v>
      </c>
      <c r="F278" s="464" t="s">
        <v>3989</v>
      </c>
      <c r="G278" s="80" t="str">
        <f>VLOOKUP(F278,'01. TH'!$B:$E,3,0)</f>
        <v>#N/A</v>
      </c>
      <c r="H278" s="463" t="s">
        <v>858</v>
      </c>
      <c r="I278" s="466">
        <v>45995.0</v>
      </c>
      <c r="J278" s="467"/>
      <c r="K278" s="463" t="s">
        <v>1661</v>
      </c>
      <c r="L278" s="465"/>
      <c r="M278" s="464" t="s">
        <v>3581</v>
      </c>
      <c r="N278" s="464" t="s">
        <v>3990</v>
      </c>
      <c r="O278" s="465" t="s">
        <v>3991</v>
      </c>
      <c r="P278" s="464" t="s">
        <v>3260</v>
      </c>
      <c r="Q278" s="463">
        <v>2025.0</v>
      </c>
      <c r="R278" s="465" t="s">
        <v>3997</v>
      </c>
      <c r="S278" s="465" t="s">
        <v>4001</v>
      </c>
      <c r="T278" s="482">
        <v>0.56</v>
      </c>
      <c r="U278" s="464" t="s">
        <v>3992</v>
      </c>
      <c r="V278" s="464"/>
    </row>
    <row r="279" ht="15.0" customHeight="1">
      <c r="A279" s="475">
        <f t="shared" si="5"/>
        <v>42</v>
      </c>
      <c r="B279" s="464" t="s">
        <v>4002</v>
      </c>
      <c r="C279" s="464"/>
      <c r="D279" s="464" t="s">
        <v>4003</v>
      </c>
      <c r="E279" s="464" t="s">
        <v>79</v>
      </c>
      <c r="F279" s="464" t="s">
        <v>3989</v>
      </c>
      <c r="G279" s="80" t="str">
        <f>VLOOKUP(F279,'01. TH'!$B:$E,3,0)</f>
        <v>#N/A</v>
      </c>
      <c r="H279" s="463" t="s">
        <v>858</v>
      </c>
      <c r="I279" s="463" t="s">
        <v>4004</v>
      </c>
      <c r="J279" s="467"/>
      <c r="K279" s="463" t="s">
        <v>1661</v>
      </c>
      <c r="L279" s="465"/>
      <c r="M279" s="464" t="s">
        <v>3581</v>
      </c>
      <c r="N279" s="464" t="s">
        <v>3990</v>
      </c>
      <c r="O279" s="465" t="s">
        <v>3991</v>
      </c>
      <c r="P279" s="464" t="s">
        <v>3260</v>
      </c>
      <c r="Q279" s="463">
        <v>2025.0</v>
      </c>
      <c r="R279" s="465" t="s">
        <v>3997</v>
      </c>
      <c r="S279" s="465"/>
      <c r="T279" s="482">
        <v>0.56</v>
      </c>
      <c r="U279" s="464" t="s">
        <v>3992</v>
      </c>
      <c r="V279" s="464"/>
    </row>
    <row r="280" ht="15.0" customHeight="1">
      <c r="A280" s="475">
        <f t="shared" si="5"/>
        <v>43</v>
      </c>
      <c r="B280" s="464" t="s">
        <v>4005</v>
      </c>
      <c r="C280" s="464"/>
      <c r="D280" s="464" t="s">
        <v>4006</v>
      </c>
      <c r="E280" s="464" t="s">
        <v>79</v>
      </c>
      <c r="F280" s="464" t="s">
        <v>3989</v>
      </c>
      <c r="G280" s="80" t="str">
        <f>VLOOKUP(F280,'01. TH'!$B:$E,3,0)</f>
        <v>#N/A</v>
      </c>
      <c r="H280" s="463" t="s">
        <v>858</v>
      </c>
      <c r="I280" s="463" t="s">
        <v>1877</v>
      </c>
      <c r="J280" s="467"/>
      <c r="K280" s="463" t="s">
        <v>1661</v>
      </c>
      <c r="L280" s="465"/>
      <c r="M280" s="464" t="s">
        <v>3581</v>
      </c>
      <c r="N280" s="464" t="s">
        <v>3990</v>
      </c>
      <c r="O280" s="465" t="s">
        <v>4007</v>
      </c>
      <c r="P280" s="464" t="s">
        <v>3260</v>
      </c>
      <c r="Q280" s="463">
        <v>2025.0</v>
      </c>
      <c r="R280" s="465" t="s">
        <v>3997</v>
      </c>
      <c r="S280" s="465">
        <v>11.0</v>
      </c>
      <c r="T280" s="482">
        <v>0.56</v>
      </c>
      <c r="U280" s="464" t="s">
        <v>3992</v>
      </c>
      <c r="V280" s="464"/>
    </row>
    <row r="281" ht="15.0" customHeight="1">
      <c r="A281" s="475">
        <f t="shared" si="5"/>
        <v>44</v>
      </c>
      <c r="B281" s="464" t="s">
        <v>4008</v>
      </c>
      <c r="C281" s="464"/>
      <c r="D281" s="464" t="s">
        <v>4009</v>
      </c>
      <c r="E281" s="464" t="s">
        <v>79</v>
      </c>
      <c r="F281" s="464" t="s">
        <v>3989</v>
      </c>
      <c r="G281" s="80" t="str">
        <f>VLOOKUP(F281,'01. TH'!$B:$E,3,0)</f>
        <v>#N/A</v>
      </c>
      <c r="H281" s="463" t="s">
        <v>858</v>
      </c>
      <c r="I281" s="463" t="s">
        <v>1877</v>
      </c>
      <c r="J281" s="467"/>
      <c r="K281" s="463" t="s">
        <v>1661</v>
      </c>
      <c r="L281" s="465"/>
      <c r="M281" s="464" t="s">
        <v>3581</v>
      </c>
      <c r="N281" s="464" t="s">
        <v>3990</v>
      </c>
      <c r="O281" s="465" t="s">
        <v>4007</v>
      </c>
      <c r="P281" s="464" t="s">
        <v>3260</v>
      </c>
      <c r="Q281" s="463">
        <v>2025.0</v>
      </c>
      <c r="R281" s="465" t="s">
        <v>3997</v>
      </c>
      <c r="S281" s="465">
        <v>11.0</v>
      </c>
      <c r="T281" s="482">
        <v>0.56</v>
      </c>
      <c r="U281" s="464" t="s">
        <v>3992</v>
      </c>
      <c r="V281" s="464"/>
    </row>
    <row r="282" ht="15.0" customHeight="1">
      <c r="A282" s="475">
        <f t="shared" si="5"/>
        <v>45</v>
      </c>
      <c r="B282" s="464" t="s">
        <v>4010</v>
      </c>
      <c r="C282" s="464"/>
      <c r="D282" s="470" t="s">
        <v>4011</v>
      </c>
      <c r="E282" s="464" t="s">
        <v>79</v>
      </c>
      <c r="F282" s="464" t="s">
        <v>3989</v>
      </c>
      <c r="G282" s="80" t="str">
        <f>VLOOKUP(F282,'01. TH'!$B:$E,3,0)</f>
        <v>#N/A</v>
      </c>
      <c r="H282" s="463" t="s">
        <v>858</v>
      </c>
      <c r="I282" s="511">
        <v>45906.0</v>
      </c>
      <c r="J282" s="467"/>
      <c r="K282" s="463" t="s">
        <v>1661</v>
      </c>
      <c r="L282" s="465" t="s">
        <v>4012</v>
      </c>
      <c r="M282" s="464" t="s">
        <v>3581</v>
      </c>
      <c r="N282" s="464" t="s">
        <v>3990</v>
      </c>
      <c r="O282" s="480" t="s">
        <v>4013</v>
      </c>
      <c r="P282" s="464" t="s">
        <v>3260</v>
      </c>
      <c r="Q282" s="512">
        <v>2025.0</v>
      </c>
      <c r="R282" s="512" t="s">
        <v>4014</v>
      </c>
      <c r="S282" s="465">
        <v>18.0</v>
      </c>
      <c r="T282" s="482">
        <v>0.56</v>
      </c>
      <c r="U282" s="464" t="s">
        <v>3992</v>
      </c>
      <c r="V282" s="464"/>
    </row>
    <row r="283" ht="15.0" customHeight="1">
      <c r="A283" s="475">
        <f t="shared" si="5"/>
        <v>46</v>
      </c>
      <c r="B283" s="464" t="s">
        <v>4015</v>
      </c>
      <c r="C283" s="464"/>
      <c r="D283" s="470" t="s">
        <v>4016</v>
      </c>
      <c r="E283" s="464" t="s">
        <v>79</v>
      </c>
      <c r="F283" s="464" t="s">
        <v>3989</v>
      </c>
      <c r="G283" s="80" t="str">
        <f>VLOOKUP(F283,'01. TH'!$B:$E,3,0)</f>
        <v>#N/A</v>
      </c>
      <c r="H283" s="463" t="s">
        <v>858</v>
      </c>
      <c r="I283" s="511">
        <v>45919.0</v>
      </c>
      <c r="J283" s="467"/>
      <c r="K283" s="463" t="s">
        <v>1661</v>
      </c>
      <c r="L283" s="465" t="s">
        <v>4012</v>
      </c>
      <c r="M283" s="464" t="s">
        <v>3581</v>
      </c>
      <c r="N283" s="464" t="s">
        <v>3258</v>
      </c>
      <c r="O283" s="480" t="s">
        <v>4017</v>
      </c>
      <c r="P283" s="464" t="s">
        <v>3260</v>
      </c>
      <c r="Q283" s="512">
        <v>2025.0</v>
      </c>
      <c r="R283" s="512" t="s">
        <v>4014</v>
      </c>
      <c r="S283" s="465">
        <v>24.0</v>
      </c>
      <c r="T283" s="482">
        <v>0.56</v>
      </c>
      <c r="U283" s="464" t="s">
        <v>3992</v>
      </c>
      <c r="V283" s="464"/>
    </row>
    <row r="284" ht="15.0" customHeight="1">
      <c r="A284" s="475">
        <f t="shared" si="5"/>
        <v>47</v>
      </c>
      <c r="B284" s="464" t="s">
        <v>4018</v>
      </c>
      <c r="C284" s="464"/>
      <c r="D284" s="464" t="s">
        <v>4019</v>
      </c>
      <c r="E284" s="464" t="s">
        <v>79</v>
      </c>
      <c r="F284" s="464" t="s">
        <v>3989</v>
      </c>
      <c r="G284" s="80" t="str">
        <f>VLOOKUP(F284,'01. TH'!$B:$E,3,0)</f>
        <v>#N/A</v>
      </c>
      <c r="H284" s="463" t="s">
        <v>858</v>
      </c>
      <c r="I284" s="463" t="s">
        <v>4020</v>
      </c>
      <c r="J284" s="467"/>
      <c r="K284" s="463" t="s">
        <v>1661</v>
      </c>
      <c r="L284" s="465"/>
      <c r="M284" s="464" t="s">
        <v>3581</v>
      </c>
      <c r="N284" s="464" t="s">
        <v>3990</v>
      </c>
      <c r="O284" s="465" t="s">
        <v>4021</v>
      </c>
      <c r="P284" s="464" t="s">
        <v>3260</v>
      </c>
      <c r="Q284" s="512">
        <v>2025.0</v>
      </c>
      <c r="R284" s="465"/>
      <c r="S284" s="465"/>
      <c r="T284" s="482">
        <v>0.56</v>
      </c>
      <c r="U284" s="464" t="s">
        <v>3992</v>
      </c>
      <c r="V284" s="464"/>
    </row>
    <row r="285" ht="15.0" customHeight="1">
      <c r="A285" s="475">
        <f t="shared" si="5"/>
        <v>48</v>
      </c>
      <c r="B285" s="464" t="s">
        <v>4022</v>
      </c>
      <c r="C285" s="464"/>
      <c r="D285" s="464" t="s">
        <v>4023</v>
      </c>
      <c r="E285" s="464" t="s">
        <v>79</v>
      </c>
      <c r="F285" s="464" t="s">
        <v>3989</v>
      </c>
      <c r="G285" s="80" t="str">
        <f>VLOOKUP(F285,'01. TH'!$B:$E,3,0)</f>
        <v>#N/A</v>
      </c>
      <c r="H285" s="463" t="s">
        <v>858</v>
      </c>
      <c r="I285" s="463" t="s">
        <v>4024</v>
      </c>
      <c r="J285" s="467"/>
      <c r="K285" s="463" t="s">
        <v>1661</v>
      </c>
      <c r="L285" s="465"/>
      <c r="M285" s="464" t="s">
        <v>3581</v>
      </c>
      <c r="N285" s="464" t="s">
        <v>3990</v>
      </c>
      <c r="O285" s="465" t="s">
        <v>4025</v>
      </c>
      <c r="P285" s="464" t="s">
        <v>3260</v>
      </c>
      <c r="Q285" s="512">
        <v>2025.0</v>
      </c>
      <c r="R285" s="465"/>
      <c r="S285" s="465"/>
      <c r="T285" s="482">
        <v>0.56</v>
      </c>
      <c r="U285" s="464" t="s">
        <v>3992</v>
      </c>
      <c r="V285" s="464"/>
    </row>
    <row r="286" ht="15.0" customHeight="1">
      <c r="A286" s="475">
        <f t="shared" si="5"/>
        <v>49</v>
      </c>
      <c r="B286" s="464" t="s">
        <v>4026</v>
      </c>
      <c r="C286" s="464"/>
      <c r="D286" s="464" t="s">
        <v>4027</v>
      </c>
      <c r="E286" s="464" t="s">
        <v>79</v>
      </c>
      <c r="F286" s="464" t="s">
        <v>3989</v>
      </c>
      <c r="G286" s="80" t="str">
        <f>VLOOKUP(F286,'01. TH'!$B:$E,3,0)</f>
        <v>#N/A</v>
      </c>
      <c r="H286" s="463" t="s">
        <v>858</v>
      </c>
      <c r="I286" s="463" t="s">
        <v>4028</v>
      </c>
      <c r="J286" s="467"/>
      <c r="K286" s="463" t="s">
        <v>1661</v>
      </c>
      <c r="L286" s="465"/>
      <c r="M286" s="464" t="s">
        <v>3581</v>
      </c>
      <c r="N286" s="464" t="s">
        <v>3990</v>
      </c>
      <c r="O286" s="465" t="s">
        <v>4029</v>
      </c>
      <c r="P286" s="464" t="s">
        <v>3260</v>
      </c>
      <c r="Q286" s="512">
        <v>2025.0</v>
      </c>
      <c r="R286" s="465"/>
      <c r="S286" s="465"/>
      <c r="T286" s="482">
        <v>0.56</v>
      </c>
      <c r="U286" s="464" t="s">
        <v>3992</v>
      </c>
      <c r="V286" s="464"/>
    </row>
    <row r="287" ht="15.0" customHeight="1">
      <c r="A287" s="475">
        <f t="shared" si="5"/>
        <v>50</v>
      </c>
      <c r="B287" s="464" t="s">
        <v>4030</v>
      </c>
      <c r="C287" s="464"/>
      <c r="D287" s="464" t="s">
        <v>4031</v>
      </c>
      <c r="E287" s="464" t="s">
        <v>79</v>
      </c>
      <c r="F287" s="464" t="s">
        <v>3989</v>
      </c>
      <c r="G287" s="80" t="str">
        <f>VLOOKUP(F287,'01. TH'!$B:$E,3,0)</f>
        <v>#N/A</v>
      </c>
      <c r="H287" s="463" t="s">
        <v>858</v>
      </c>
      <c r="I287" s="466">
        <v>45758.0</v>
      </c>
      <c r="J287" s="467"/>
      <c r="K287" s="463" t="s">
        <v>1661</v>
      </c>
      <c r="L287" s="465"/>
      <c r="M287" s="464" t="s">
        <v>3581</v>
      </c>
      <c r="N287" s="464" t="s">
        <v>3990</v>
      </c>
      <c r="O287" s="465" t="s">
        <v>4032</v>
      </c>
      <c r="P287" s="464" t="s">
        <v>3260</v>
      </c>
      <c r="Q287" s="512">
        <v>2025.0</v>
      </c>
      <c r="R287" s="465"/>
      <c r="S287" s="465"/>
      <c r="T287" s="482">
        <v>0.56</v>
      </c>
      <c r="U287" s="464" t="s">
        <v>3992</v>
      </c>
      <c r="V287" s="464"/>
    </row>
    <row r="288" ht="15.0" customHeight="1">
      <c r="A288" s="475">
        <f t="shared" si="5"/>
        <v>51</v>
      </c>
      <c r="B288" s="464" t="s">
        <v>4033</v>
      </c>
      <c r="C288" s="464"/>
      <c r="D288" s="464" t="s">
        <v>4034</v>
      </c>
      <c r="E288" s="464" t="s">
        <v>79</v>
      </c>
      <c r="F288" s="464" t="s">
        <v>3989</v>
      </c>
      <c r="G288" s="80" t="str">
        <f>VLOOKUP(F288,'01. TH'!$B:$E,3,0)</f>
        <v>#N/A</v>
      </c>
      <c r="H288" s="463" t="s">
        <v>858</v>
      </c>
      <c r="I288" s="466">
        <v>45912.0</v>
      </c>
      <c r="J288" s="467"/>
      <c r="K288" s="463" t="s">
        <v>1661</v>
      </c>
      <c r="L288" s="465"/>
      <c r="M288" s="464" t="s">
        <v>3581</v>
      </c>
      <c r="N288" s="464" t="s">
        <v>3990</v>
      </c>
      <c r="O288" s="465" t="s">
        <v>4035</v>
      </c>
      <c r="P288" s="464" t="s">
        <v>3260</v>
      </c>
      <c r="Q288" s="512">
        <v>2025.0</v>
      </c>
      <c r="R288" s="465"/>
      <c r="S288" s="465"/>
      <c r="T288" s="482">
        <v>0.56</v>
      </c>
      <c r="U288" s="464" t="s">
        <v>3992</v>
      </c>
      <c r="V288" s="464"/>
    </row>
    <row r="289" ht="15.0" customHeight="1">
      <c r="A289" s="475">
        <f t="shared" si="5"/>
        <v>52</v>
      </c>
      <c r="B289" s="464" t="s">
        <v>4036</v>
      </c>
      <c r="C289" s="464"/>
      <c r="D289" s="464" t="s">
        <v>4037</v>
      </c>
      <c r="E289" s="464" t="s">
        <v>79</v>
      </c>
      <c r="F289" s="464" t="s">
        <v>3989</v>
      </c>
      <c r="G289" s="80"/>
      <c r="H289" s="463" t="s">
        <v>858</v>
      </c>
      <c r="I289" s="466">
        <v>45912.0</v>
      </c>
      <c r="J289" s="467"/>
      <c r="K289" s="463" t="s">
        <v>1661</v>
      </c>
      <c r="L289" s="465"/>
      <c r="M289" s="464" t="s">
        <v>3581</v>
      </c>
      <c r="N289" s="464" t="s">
        <v>3990</v>
      </c>
      <c r="O289" s="465" t="s">
        <v>4038</v>
      </c>
      <c r="P289" s="464" t="s">
        <v>3260</v>
      </c>
      <c r="Q289" s="512">
        <v>2025.0</v>
      </c>
      <c r="R289" s="465"/>
      <c r="S289" s="465"/>
      <c r="T289" s="482">
        <v>0.56</v>
      </c>
      <c r="U289" s="464" t="s">
        <v>3992</v>
      </c>
      <c r="V289" s="464"/>
    </row>
    <row r="290" ht="15.0" customHeight="1">
      <c r="A290" s="475">
        <f t="shared" si="5"/>
        <v>53</v>
      </c>
      <c r="B290" s="464" t="s">
        <v>4039</v>
      </c>
      <c r="C290" s="464"/>
      <c r="D290" s="464" t="s">
        <v>4040</v>
      </c>
      <c r="E290" s="464" t="s">
        <v>79</v>
      </c>
      <c r="F290" s="464" t="s">
        <v>3989</v>
      </c>
      <c r="G290" s="80"/>
      <c r="H290" s="463" t="s">
        <v>858</v>
      </c>
      <c r="I290" s="466">
        <v>45912.0</v>
      </c>
      <c r="J290" s="467"/>
      <c r="K290" s="463" t="s">
        <v>1661</v>
      </c>
      <c r="L290" s="465"/>
      <c r="M290" s="464" t="s">
        <v>3581</v>
      </c>
      <c r="N290" s="464" t="s">
        <v>3990</v>
      </c>
      <c r="O290" s="465" t="s">
        <v>4041</v>
      </c>
      <c r="P290" s="464" t="s">
        <v>3260</v>
      </c>
      <c r="Q290" s="512">
        <v>2025.0</v>
      </c>
      <c r="R290" s="465"/>
      <c r="S290" s="465"/>
      <c r="T290" s="482">
        <v>0.56</v>
      </c>
      <c r="U290" s="464" t="s">
        <v>3992</v>
      </c>
      <c r="V290" s="464"/>
    </row>
    <row r="291" ht="15.0" customHeight="1">
      <c r="A291" s="475">
        <f t="shared" si="5"/>
        <v>54</v>
      </c>
      <c r="B291" s="464" t="s">
        <v>4042</v>
      </c>
      <c r="C291" s="464" t="s">
        <v>4043</v>
      </c>
      <c r="D291" s="464"/>
      <c r="E291" s="464" t="s">
        <v>79</v>
      </c>
      <c r="F291" s="464" t="s">
        <v>4044</v>
      </c>
      <c r="G291" s="80" t="str">
        <f>VLOOKUP(F291,'01. TH'!$B:$E,3,0)</f>
        <v>#N/A</v>
      </c>
      <c r="H291" s="463" t="s">
        <v>858</v>
      </c>
      <c r="I291" s="463" t="s">
        <v>4045</v>
      </c>
      <c r="J291" s="467"/>
      <c r="K291" s="463" t="s">
        <v>1661</v>
      </c>
      <c r="L291" s="465" t="s">
        <v>4046</v>
      </c>
      <c r="M291" s="464" t="s">
        <v>3581</v>
      </c>
      <c r="N291" s="464" t="s">
        <v>3258</v>
      </c>
      <c r="O291" s="465" t="s">
        <v>4047</v>
      </c>
      <c r="P291" s="464" t="s">
        <v>3260</v>
      </c>
      <c r="Q291" s="463"/>
      <c r="R291" s="465"/>
      <c r="S291" s="465"/>
      <c r="T291" s="482"/>
      <c r="U291" s="464"/>
      <c r="V291" s="464"/>
    </row>
    <row r="292" ht="15.0" customHeight="1">
      <c r="A292" s="475">
        <f t="shared" si="5"/>
        <v>55</v>
      </c>
      <c r="B292" s="464" t="s">
        <v>4048</v>
      </c>
      <c r="C292" s="464" t="s">
        <v>4049</v>
      </c>
      <c r="D292" s="464" t="s">
        <v>4050</v>
      </c>
      <c r="E292" s="464" t="s">
        <v>79</v>
      </c>
      <c r="F292" s="464" t="s">
        <v>4051</v>
      </c>
      <c r="G292" s="80" t="str">
        <f>VLOOKUP(F292,'01. TH'!$B:$E,3,0)</f>
        <v>#N/A</v>
      </c>
      <c r="H292" s="463" t="s">
        <v>858</v>
      </c>
      <c r="I292" s="463" t="s">
        <v>3673</v>
      </c>
      <c r="J292" s="467"/>
      <c r="K292" s="463" t="s">
        <v>1661</v>
      </c>
      <c r="L292" s="465"/>
      <c r="M292" s="465"/>
      <c r="N292" s="464" t="s">
        <v>3258</v>
      </c>
      <c r="O292" s="465"/>
      <c r="P292" s="464" t="s">
        <v>3260</v>
      </c>
      <c r="Q292" s="463"/>
      <c r="R292" s="465"/>
      <c r="S292" s="239"/>
      <c r="T292" s="482"/>
      <c r="U292" s="464"/>
      <c r="V292" s="464"/>
    </row>
    <row r="293" ht="15.0" customHeight="1">
      <c r="A293" s="475">
        <f t="shared" si="5"/>
        <v>56</v>
      </c>
      <c r="B293" s="464" t="s">
        <v>4052</v>
      </c>
      <c r="C293" s="464"/>
      <c r="D293" s="464"/>
      <c r="E293" s="464" t="s">
        <v>3238</v>
      </c>
      <c r="F293" s="464" t="s">
        <v>4053</v>
      </c>
      <c r="G293" s="80" t="str">
        <f>VLOOKUP(F293,'01. TH'!$B:$E,3,0)</f>
        <v/>
      </c>
      <c r="H293" s="463" t="s">
        <v>858</v>
      </c>
      <c r="I293" s="514">
        <v>45884.0</v>
      </c>
      <c r="J293" s="467"/>
      <c r="K293" s="463" t="s">
        <v>1661</v>
      </c>
      <c r="L293" s="510"/>
      <c r="M293" s="465"/>
      <c r="N293" s="464" t="s">
        <v>4054</v>
      </c>
      <c r="O293" s="465">
        <v>7045.0</v>
      </c>
      <c r="P293" s="464" t="s">
        <v>585</v>
      </c>
      <c r="Q293" s="463">
        <v>2025.0</v>
      </c>
      <c r="R293" s="465" t="s">
        <v>4055</v>
      </c>
      <c r="S293" s="515" t="s">
        <v>4056</v>
      </c>
      <c r="T293" s="482">
        <v>1.2</v>
      </c>
      <c r="U293" s="464"/>
      <c r="V293" s="464"/>
    </row>
    <row r="294" ht="15.0" customHeight="1">
      <c r="A294" s="475">
        <f t="shared" si="5"/>
        <v>57</v>
      </c>
      <c r="B294" s="464" t="s">
        <v>4057</v>
      </c>
      <c r="C294" s="464"/>
      <c r="D294" s="464"/>
      <c r="E294" s="464" t="s">
        <v>3238</v>
      </c>
      <c r="F294" s="464" t="s">
        <v>4053</v>
      </c>
      <c r="G294" s="80" t="str">
        <f>VLOOKUP(F294,'01. TH'!$B:$E,3,0)</f>
        <v/>
      </c>
      <c r="H294" s="463" t="s">
        <v>858</v>
      </c>
      <c r="I294" s="514">
        <v>45884.0</v>
      </c>
      <c r="J294" s="467"/>
      <c r="K294" s="463" t="s">
        <v>1661</v>
      </c>
      <c r="L294" s="510"/>
      <c r="M294" s="465"/>
      <c r="N294" s="464" t="s">
        <v>4054</v>
      </c>
      <c r="O294" s="465">
        <v>7045.0</v>
      </c>
      <c r="P294" s="464" t="s">
        <v>585</v>
      </c>
      <c r="Q294" s="463">
        <v>2025.0</v>
      </c>
      <c r="R294" s="465" t="s">
        <v>4055</v>
      </c>
      <c r="S294" s="515" t="s">
        <v>4058</v>
      </c>
      <c r="T294" s="482">
        <v>1.2</v>
      </c>
      <c r="U294" s="464"/>
      <c r="V294" s="464"/>
    </row>
    <row r="295" ht="15.0" customHeight="1">
      <c r="A295" s="475">
        <f t="shared" si="5"/>
        <v>58</v>
      </c>
      <c r="B295" s="464" t="s">
        <v>4059</v>
      </c>
      <c r="C295" s="464"/>
      <c r="D295" s="464"/>
      <c r="E295" s="464" t="s">
        <v>3238</v>
      </c>
      <c r="F295" s="464" t="s">
        <v>4053</v>
      </c>
      <c r="G295" s="80" t="str">
        <f>VLOOKUP(F295,'01. TH'!$B:$E,3,0)</f>
        <v/>
      </c>
      <c r="H295" s="463" t="s">
        <v>858</v>
      </c>
      <c r="I295" s="514">
        <v>45884.0</v>
      </c>
      <c r="J295" s="467"/>
      <c r="K295" s="463" t="s">
        <v>1661</v>
      </c>
      <c r="L295" s="510"/>
      <c r="M295" s="465"/>
      <c r="N295" s="464" t="s">
        <v>4054</v>
      </c>
      <c r="O295" s="465">
        <v>7045.0</v>
      </c>
      <c r="P295" s="464" t="s">
        <v>585</v>
      </c>
      <c r="Q295" s="463">
        <v>2025.0</v>
      </c>
      <c r="R295" s="465" t="s">
        <v>4055</v>
      </c>
      <c r="S295" s="515" t="s">
        <v>4060</v>
      </c>
      <c r="T295" s="482">
        <v>1.2</v>
      </c>
      <c r="U295" s="464"/>
      <c r="V295" s="464"/>
    </row>
    <row r="296" ht="15.0" customHeight="1">
      <c r="A296" s="475">
        <f t="shared" si="5"/>
        <v>59</v>
      </c>
      <c r="B296" s="464" t="s">
        <v>4061</v>
      </c>
      <c r="C296" s="464"/>
      <c r="D296" s="464"/>
      <c r="E296" s="464" t="s">
        <v>3238</v>
      </c>
      <c r="F296" s="464" t="s">
        <v>4053</v>
      </c>
      <c r="G296" s="80" t="str">
        <f>VLOOKUP(F296,'01. TH'!$B:$E,3,0)</f>
        <v/>
      </c>
      <c r="H296" s="463" t="s">
        <v>858</v>
      </c>
      <c r="I296" s="514">
        <v>45884.0</v>
      </c>
      <c r="J296" s="467"/>
      <c r="K296" s="463" t="s">
        <v>1661</v>
      </c>
      <c r="L296" s="510"/>
      <c r="M296" s="465"/>
      <c r="N296" s="464" t="s">
        <v>4054</v>
      </c>
      <c r="O296" s="465">
        <v>7045.0</v>
      </c>
      <c r="P296" s="464" t="s">
        <v>585</v>
      </c>
      <c r="Q296" s="463">
        <v>2025.0</v>
      </c>
      <c r="R296" s="465" t="s">
        <v>4055</v>
      </c>
      <c r="S296" s="515" t="s">
        <v>4062</v>
      </c>
      <c r="T296" s="482">
        <v>1.2</v>
      </c>
      <c r="U296" s="464"/>
      <c r="V296" s="464"/>
    </row>
    <row r="297" ht="15.0" customHeight="1">
      <c r="A297" s="475"/>
      <c r="B297" s="464"/>
      <c r="C297" s="464"/>
      <c r="D297" s="464"/>
      <c r="E297" s="467"/>
      <c r="F297" s="464"/>
      <c r="G297" s="80" t="str">
        <f>VLOOKUP(F297,'01. TH'!$B:$E,3,0)</f>
        <v>#N/A</v>
      </c>
      <c r="H297" s="475"/>
      <c r="I297" s="463"/>
      <c r="J297" s="467"/>
      <c r="K297" s="463"/>
      <c r="L297" s="510"/>
      <c r="M297" s="465"/>
      <c r="N297" s="464"/>
      <c r="O297" s="465"/>
      <c r="P297" s="467"/>
      <c r="Q297" s="463"/>
      <c r="R297" s="465"/>
      <c r="S297" s="465"/>
      <c r="T297" s="482"/>
      <c r="U297" s="464"/>
      <c r="V297" s="464"/>
    </row>
    <row r="298" ht="15.0" customHeight="1">
      <c r="A298" s="455" t="s">
        <v>1005</v>
      </c>
      <c r="B298" s="456" t="s">
        <v>4063</v>
      </c>
      <c r="C298" s="457">
        <f>COUNTA($B$299:$B$358)</f>
        <v>58</v>
      </c>
      <c r="D298" s="458"/>
      <c r="E298" s="458"/>
      <c r="F298" s="458"/>
      <c r="G298" s="459"/>
      <c r="H298" s="459"/>
      <c r="I298" s="457"/>
      <c r="J298" s="460"/>
      <c r="K298" s="457"/>
      <c r="L298" s="458"/>
      <c r="M298" s="461"/>
      <c r="N298" s="458"/>
      <c r="O298" s="461"/>
      <c r="P298" s="458"/>
      <c r="Q298" s="459"/>
      <c r="R298" s="461"/>
      <c r="S298" s="461"/>
      <c r="T298" s="462"/>
      <c r="U298" s="458"/>
      <c r="V298" s="458"/>
    </row>
    <row r="299" ht="15.0" customHeight="1">
      <c r="A299" s="463">
        <v>1.0</v>
      </c>
      <c r="B299" s="464" t="s">
        <v>4066</v>
      </c>
      <c r="C299" s="476" t="s">
        <v>4067</v>
      </c>
      <c r="D299" s="464" t="s">
        <v>3891</v>
      </c>
      <c r="E299" s="464" t="s">
        <v>79</v>
      </c>
      <c r="F299" s="467" t="s">
        <v>3521</v>
      </c>
      <c r="G299" s="80" t="str">
        <f>VLOOKUP(F299,'01. TH'!$B:$E,3,0)</f>
        <v>1x1x1</v>
      </c>
      <c r="H299" s="475" t="s">
        <v>1010</v>
      </c>
      <c r="I299" s="475"/>
      <c r="J299" s="467"/>
      <c r="K299" s="463" t="s">
        <v>1661</v>
      </c>
      <c r="L299" s="467"/>
      <c r="M299" s="476"/>
      <c r="N299" s="464" t="s">
        <v>3258</v>
      </c>
      <c r="O299" s="476"/>
      <c r="P299" s="464" t="s">
        <v>3260</v>
      </c>
      <c r="Q299" s="475"/>
      <c r="R299" s="476"/>
      <c r="S299" s="476">
        <v>40.0</v>
      </c>
      <c r="T299" s="517"/>
      <c r="U299" s="476"/>
      <c r="V299" s="476"/>
    </row>
    <row r="300" ht="15.0" customHeight="1">
      <c r="A300" s="463">
        <f t="shared" ref="A300:A331" si="6">A299+1</f>
        <v>2</v>
      </c>
      <c r="B300" s="464" t="s">
        <v>4068</v>
      </c>
      <c r="C300" s="476" t="s">
        <v>4069</v>
      </c>
      <c r="D300" s="464" t="s">
        <v>4070</v>
      </c>
      <c r="E300" s="464" t="s">
        <v>79</v>
      </c>
      <c r="F300" s="467" t="s">
        <v>3521</v>
      </c>
      <c r="G300" s="80" t="str">
        <f>VLOOKUP(F300,'01. TH'!$B:$E,3,0)</f>
        <v>1x1x1</v>
      </c>
      <c r="H300" s="475" t="s">
        <v>1010</v>
      </c>
      <c r="I300" s="475"/>
      <c r="J300" s="467"/>
      <c r="K300" s="463" t="s">
        <v>1661</v>
      </c>
      <c r="L300" s="467"/>
      <c r="M300" s="476"/>
      <c r="N300" s="464" t="s">
        <v>3258</v>
      </c>
      <c r="O300" s="476"/>
      <c r="P300" s="464" t="s">
        <v>3260</v>
      </c>
      <c r="Q300" s="475"/>
      <c r="R300" s="476"/>
      <c r="S300" s="476">
        <v>40.0</v>
      </c>
      <c r="T300" s="517"/>
      <c r="U300" s="476"/>
      <c r="V300" s="476"/>
    </row>
    <row r="301" ht="15.0" customHeight="1">
      <c r="A301" s="463">
        <f t="shared" si="6"/>
        <v>3</v>
      </c>
      <c r="B301" s="464" t="s">
        <v>4071</v>
      </c>
      <c r="C301" s="476" t="s">
        <v>4072</v>
      </c>
      <c r="D301" s="464" t="s">
        <v>4073</v>
      </c>
      <c r="E301" s="464" t="s">
        <v>79</v>
      </c>
      <c r="F301" s="467" t="s">
        <v>3521</v>
      </c>
      <c r="G301" s="80" t="str">
        <f>VLOOKUP(F301,'01. TH'!$B:$E,3,0)</f>
        <v>1x1x1</v>
      </c>
      <c r="H301" s="475" t="s">
        <v>1010</v>
      </c>
      <c r="I301" s="475"/>
      <c r="J301" s="467"/>
      <c r="K301" s="463" t="s">
        <v>1661</v>
      </c>
      <c r="L301" s="467"/>
      <c r="M301" s="476"/>
      <c r="N301" s="464" t="s">
        <v>3258</v>
      </c>
      <c r="O301" s="476"/>
      <c r="P301" s="464" t="s">
        <v>3260</v>
      </c>
      <c r="Q301" s="475"/>
      <c r="R301" s="476"/>
      <c r="S301" s="476">
        <v>40.0</v>
      </c>
      <c r="T301" s="517"/>
      <c r="U301" s="476"/>
      <c r="V301" s="476"/>
    </row>
    <row r="302" ht="15.0" customHeight="1">
      <c r="A302" s="463">
        <f t="shared" si="6"/>
        <v>4</v>
      </c>
      <c r="B302" s="464" t="s">
        <v>4074</v>
      </c>
      <c r="C302" s="476" t="s">
        <v>4075</v>
      </c>
      <c r="D302" s="464" t="s">
        <v>4076</v>
      </c>
      <c r="E302" s="464" t="s">
        <v>79</v>
      </c>
      <c r="F302" s="467" t="s">
        <v>3521</v>
      </c>
      <c r="G302" s="80" t="str">
        <f>VLOOKUP(F302,'01. TH'!$B:$E,3,0)</f>
        <v>1x1x1</v>
      </c>
      <c r="H302" s="475" t="s">
        <v>1010</v>
      </c>
      <c r="I302" s="475"/>
      <c r="J302" s="467"/>
      <c r="K302" s="463" t="s">
        <v>1661</v>
      </c>
      <c r="L302" s="467"/>
      <c r="M302" s="476"/>
      <c r="N302" s="464" t="s">
        <v>3258</v>
      </c>
      <c r="O302" s="476"/>
      <c r="P302" s="464" t="s">
        <v>3260</v>
      </c>
      <c r="Q302" s="475"/>
      <c r="R302" s="476"/>
      <c r="S302" s="476">
        <v>44.0</v>
      </c>
      <c r="T302" s="517"/>
      <c r="U302" s="476"/>
      <c r="V302" s="476"/>
    </row>
    <row r="303" ht="15.0" customHeight="1">
      <c r="A303" s="463">
        <f t="shared" si="6"/>
        <v>5</v>
      </c>
      <c r="B303" s="464" t="s">
        <v>4077</v>
      </c>
      <c r="C303" s="476" t="s">
        <v>4078</v>
      </c>
      <c r="D303" s="464" t="s">
        <v>4079</v>
      </c>
      <c r="E303" s="464" t="s">
        <v>79</v>
      </c>
      <c r="F303" s="467" t="s">
        <v>4080</v>
      </c>
      <c r="G303" s="80" t="str">
        <f>VLOOKUP(F303,'01. TH'!$B:$E,3,0)</f>
        <v>1x1x1</v>
      </c>
      <c r="H303" s="475" t="s">
        <v>1010</v>
      </c>
      <c r="I303" s="475"/>
      <c r="J303" s="467"/>
      <c r="K303" s="463" t="s">
        <v>1661</v>
      </c>
      <c r="L303" s="467"/>
      <c r="M303" s="476"/>
      <c r="N303" s="464" t="s">
        <v>3258</v>
      </c>
      <c r="O303" s="476"/>
      <c r="P303" s="464" t="s">
        <v>3260</v>
      </c>
      <c r="Q303" s="475"/>
      <c r="R303" s="476"/>
      <c r="S303" s="476" t="s">
        <v>4081</v>
      </c>
      <c r="T303" s="517"/>
      <c r="U303" s="476"/>
      <c r="V303" s="476"/>
    </row>
    <row r="304" ht="15.0" customHeight="1">
      <c r="A304" s="463">
        <f t="shared" si="6"/>
        <v>6</v>
      </c>
      <c r="B304" s="464" t="s">
        <v>4082</v>
      </c>
      <c r="C304" s="476" t="s">
        <v>4083</v>
      </c>
      <c r="D304" s="464" t="s">
        <v>4084</v>
      </c>
      <c r="E304" s="464" t="s">
        <v>79</v>
      </c>
      <c r="F304" s="467" t="s">
        <v>4080</v>
      </c>
      <c r="G304" s="80" t="str">
        <f>VLOOKUP(F304,'01. TH'!$B:$E,3,0)</f>
        <v>1x1x1</v>
      </c>
      <c r="H304" s="475" t="s">
        <v>1010</v>
      </c>
      <c r="I304" s="475"/>
      <c r="J304" s="467"/>
      <c r="K304" s="463" t="s">
        <v>1661</v>
      </c>
      <c r="L304" s="467"/>
      <c r="M304" s="476"/>
      <c r="N304" s="464" t="s">
        <v>3258</v>
      </c>
      <c r="O304" s="476"/>
      <c r="P304" s="464" t="s">
        <v>3260</v>
      </c>
      <c r="Q304" s="475"/>
      <c r="R304" s="476"/>
      <c r="S304" s="476" t="s">
        <v>4081</v>
      </c>
      <c r="T304" s="517"/>
      <c r="U304" s="476"/>
      <c r="V304" s="476"/>
    </row>
    <row r="305" ht="15.0" customHeight="1">
      <c r="A305" s="463">
        <f t="shared" si="6"/>
        <v>7</v>
      </c>
      <c r="B305" s="464" t="s">
        <v>4087</v>
      </c>
      <c r="C305" s="476" t="s">
        <v>4088</v>
      </c>
      <c r="D305" s="464" t="s">
        <v>4089</v>
      </c>
      <c r="E305" s="464" t="s">
        <v>79</v>
      </c>
      <c r="F305" s="467" t="s">
        <v>3919</v>
      </c>
      <c r="G305" s="80" t="str">
        <f>VLOOKUP(F305,'01. TH'!$B:$E,3,0)</f>
        <v/>
      </c>
      <c r="H305" s="475" t="s">
        <v>1010</v>
      </c>
      <c r="I305" s="475"/>
      <c r="J305" s="467"/>
      <c r="K305" s="463" t="s">
        <v>1661</v>
      </c>
      <c r="L305" s="467"/>
      <c r="M305" s="476"/>
      <c r="N305" s="464" t="s">
        <v>3258</v>
      </c>
      <c r="O305" s="465" t="s">
        <v>3920</v>
      </c>
      <c r="P305" s="464" t="s">
        <v>3260</v>
      </c>
      <c r="Q305" s="475"/>
      <c r="R305" s="476"/>
      <c r="S305" s="465" t="s">
        <v>4093</v>
      </c>
      <c r="T305" s="509">
        <v>8.47</v>
      </c>
      <c r="U305" s="486"/>
      <c r="V305" s="486"/>
    </row>
    <row r="306" ht="15.0" customHeight="1">
      <c r="A306" s="463">
        <f t="shared" si="6"/>
        <v>8</v>
      </c>
      <c r="B306" s="464" t="s">
        <v>4095</v>
      </c>
      <c r="C306" s="476"/>
      <c r="D306" s="464" t="s">
        <v>4096</v>
      </c>
      <c r="E306" s="464" t="s">
        <v>79</v>
      </c>
      <c r="F306" s="464" t="s">
        <v>4097</v>
      </c>
      <c r="G306" s="80" t="str">
        <f>VLOOKUP(F306,'01. TH'!$B:$E,3,0)</f>
        <v>6.8x2x2.2</v>
      </c>
      <c r="H306" s="475" t="s">
        <v>1010</v>
      </c>
      <c r="I306" s="475"/>
      <c r="J306" s="467"/>
      <c r="K306" s="463" t="s">
        <v>1661</v>
      </c>
      <c r="L306" s="464" t="s">
        <v>4104</v>
      </c>
      <c r="M306" s="476"/>
      <c r="N306" s="464" t="s">
        <v>3258</v>
      </c>
      <c r="O306" s="476"/>
      <c r="P306" s="464" t="s">
        <v>3260</v>
      </c>
      <c r="Q306" s="475"/>
      <c r="R306" s="476"/>
      <c r="S306" s="477" t="s">
        <v>4105</v>
      </c>
      <c r="T306" s="509"/>
      <c r="U306" s="486"/>
      <c r="V306" s="486"/>
    </row>
    <row r="307" ht="15.0" customHeight="1">
      <c r="A307" s="463">
        <f t="shared" si="6"/>
        <v>9</v>
      </c>
      <c r="B307" s="464" t="s">
        <v>4107</v>
      </c>
      <c r="C307" s="465" t="s">
        <v>4108</v>
      </c>
      <c r="D307" s="464"/>
      <c r="E307" s="464" t="s">
        <v>79</v>
      </c>
      <c r="F307" s="464" t="s">
        <v>4097</v>
      </c>
      <c r="G307" s="80"/>
      <c r="H307" s="475" t="s">
        <v>1010</v>
      </c>
      <c r="I307" s="475"/>
      <c r="J307" s="467"/>
      <c r="K307" s="463" t="s">
        <v>1661</v>
      </c>
      <c r="L307" s="464" t="s">
        <v>4104</v>
      </c>
      <c r="M307" s="476"/>
      <c r="N307" s="464" t="s">
        <v>3258</v>
      </c>
      <c r="O307" s="476"/>
      <c r="P307" s="464" t="s">
        <v>3260</v>
      </c>
      <c r="Q307" s="475"/>
      <c r="R307" s="476"/>
      <c r="S307" s="477"/>
      <c r="T307" s="509"/>
      <c r="U307" s="486"/>
      <c r="V307" s="486"/>
    </row>
    <row r="308" ht="15.0" customHeight="1">
      <c r="A308" s="463">
        <f t="shared" si="6"/>
        <v>10</v>
      </c>
      <c r="B308" s="464" t="s">
        <v>4111</v>
      </c>
      <c r="C308" s="476"/>
      <c r="D308" s="464" t="s">
        <v>3609</v>
      </c>
      <c r="E308" s="464" t="s">
        <v>79</v>
      </c>
      <c r="F308" s="464" t="s">
        <v>3514</v>
      </c>
      <c r="G308" s="80" t="str">
        <f>VLOOKUP(F308,'01. TH'!$B:$E,3,0)</f>
        <v>6.1x2.4x0.9</v>
      </c>
      <c r="H308" s="475" t="s">
        <v>1010</v>
      </c>
      <c r="I308" s="475"/>
      <c r="J308" s="467"/>
      <c r="K308" s="463" t="s">
        <v>1661</v>
      </c>
      <c r="L308" s="467"/>
      <c r="M308" s="476"/>
      <c r="N308" s="464" t="s">
        <v>3258</v>
      </c>
      <c r="O308" s="476"/>
      <c r="P308" s="464" t="s">
        <v>3260</v>
      </c>
      <c r="Q308" s="475"/>
      <c r="R308" s="476"/>
      <c r="S308" s="477"/>
      <c r="T308" s="509"/>
      <c r="U308" s="486"/>
      <c r="V308" s="486"/>
    </row>
    <row r="309" ht="15.0" customHeight="1">
      <c r="A309" s="463">
        <f t="shared" si="6"/>
        <v>11</v>
      </c>
      <c r="B309" s="464" t="s">
        <v>4119</v>
      </c>
      <c r="C309" s="465" t="s">
        <v>4120</v>
      </c>
      <c r="D309" s="464" t="s">
        <v>4121</v>
      </c>
      <c r="E309" s="464" t="s">
        <v>79</v>
      </c>
      <c r="F309" s="464" t="s">
        <v>4123</v>
      </c>
      <c r="G309" s="80" t="str">
        <f>VLOOKUP(F309,'01. TH'!$B:$E,3,0)</f>
        <v>5500 x 2500 x 2400</v>
      </c>
      <c r="H309" s="475" t="s">
        <v>1010</v>
      </c>
      <c r="I309" s="466">
        <v>45297.0</v>
      </c>
      <c r="J309" s="467"/>
      <c r="K309" s="463" t="s">
        <v>1661</v>
      </c>
      <c r="L309" s="464"/>
      <c r="M309" s="465" t="s">
        <v>4130</v>
      </c>
      <c r="N309" s="464" t="s">
        <v>3258</v>
      </c>
      <c r="O309" s="476"/>
      <c r="P309" s="464" t="s">
        <v>3260</v>
      </c>
      <c r="Q309" s="475"/>
      <c r="R309" s="465" t="s">
        <v>4131</v>
      </c>
      <c r="S309" s="476"/>
      <c r="T309" s="469"/>
      <c r="U309" s="467"/>
      <c r="V309" s="467"/>
    </row>
    <row r="310" ht="15.0" customHeight="1">
      <c r="A310" s="463">
        <f t="shared" si="6"/>
        <v>12</v>
      </c>
      <c r="B310" s="464" t="s">
        <v>4132</v>
      </c>
      <c r="C310" s="465"/>
      <c r="D310" s="464" t="s">
        <v>4133</v>
      </c>
      <c r="E310" s="464" t="s">
        <v>79</v>
      </c>
      <c r="F310" s="464" t="s">
        <v>3279</v>
      </c>
      <c r="G310" s="80" t="str">
        <f>VLOOKUP(F310,'01. TH'!$B:$E,3,0)</f>
        <v>#N/A</v>
      </c>
      <c r="H310" s="475" t="s">
        <v>1010</v>
      </c>
      <c r="I310" s="463" t="s">
        <v>3444</v>
      </c>
      <c r="J310" s="467"/>
      <c r="K310" s="463" t="s">
        <v>1661</v>
      </c>
      <c r="L310" s="464"/>
      <c r="M310" s="464" t="s">
        <v>3581</v>
      </c>
      <c r="N310" s="464" t="s">
        <v>3258</v>
      </c>
      <c r="O310" s="465"/>
      <c r="P310" s="464" t="s">
        <v>3260</v>
      </c>
      <c r="Q310" s="463">
        <v>2025.0</v>
      </c>
      <c r="R310" s="465" t="s">
        <v>3286</v>
      </c>
      <c r="S310" s="476"/>
      <c r="T310" s="469"/>
      <c r="U310" s="467"/>
      <c r="V310" s="467"/>
    </row>
    <row r="311" ht="15.0" customHeight="1">
      <c r="A311" s="463">
        <f t="shared" si="6"/>
        <v>13</v>
      </c>
      <c r="B311" s="464" t="s">
        <v>4134</v>
      </c>
      <c r="C311" s="465"/>
      <c r="D311" s="464" t="s">
        <v>4135</v>
      </c>
      <c r="E311" s="464" t="s">
        <v>79</v>
      </c>
      <c r="F311" s="464" t="s">
        <v>3279</v>
      </c>
      <c r="G311" s="80" t="str">
        <f>VLOOKUP(F311,'01. TH'!$B:$E,3,0)</f>
        <v>#N/A</v>
      </c>
      <c r="H311" s="475" t="s">
        <v>1010</v>
      </c>
      <c r="I311" s="463" t="s">
        <v>3444</v>
      </c>
      <c r="J311" s="467"/>
      <c r="K311" s="463" t="s">
        <v>1661</v>
      </c>
      <c r="L311" s="464"/>
      <c r="M311" s="464" t="s">
        <v>3581</v>
      </c>
      <c r="N311" s="464" t="s">
        <v>3258</v>
      </c>
      <c r="O311" s="465"/>
      <c r="P311" s="464" t="s">
        <v>3260</v>
      </c>
      <c r="Q311" s="463">
        <v>2025.0</v>
      </c>
      <c r="R311" s="465" t="s">
        <v>3286</v>
      </c>
      <c r="S311" s="476"/>
      <c r="T311" s="469"/>
      <c r="U311" s="467"/>
      <c r="V311" s="467"/>
    </row>
    <row r="312" ht="15.0" customHeight="1">
      <c r="A312" s="463">
        <f t="shared" si="6"/>
        <v>14</v>
      </c>
      <c r="B312" s="464" t="s">
        <v>4136</v>
      </c>
      <c r="C312" s="465"/>
      <c r="D312" s="464"/>
      <c r="E312" s="464" t="s">
        <v>79</v>
      </c>
      <c r="F312" s="464" t="s">
        <v>3899</v>
      </c>
      <c r="G312" s="80" t="str">
        <f>VLOOKUP(F312,'01. TH'!$B:$E,3,0)</f>
        <v/>
      </c>
      <c r="H312" s="475" t="s">
        <v>1010</v>
      </c>
      <c r="I312" s="463"/>
      <c r="J312" s="467"/>
      <c r="K312" s="463" t="s">
        <v>1661</v>
      </c>
      <c r="L312" s="464"/>
      <c r="M312" s="465" t="s">
        <v>4138</v>
      </c>
      <c r="N312" s="464" t="s">
        <v>3084</v>
      </c>
      <c r="O312" s="465" t="s">
        <v>4139</v>
      </c>
      <c r="P312" s="464" t="s">
        <v>3084</v>
      </c>
      <c r="Q312" s="475"/>
      <c r="R312" s="464" t="s">
        <v>1243</v>
      </c>
      <c r="S312" s="476"/>
      <c r="T312" s="469"/>
      <c r="U312" s="467"/>
      <c r="V312" s="467"/>
    </row>
    <row r="313" ht="15.0" customHeight="1">
      <c r="A313" s="463">
        <f t="shared" si="6"/>
        <v>15</v>
      </c>
      <c r="B313" s="464" t="s">
        <v>4140</v>
      </c>
      <c r="C313" s="465"/>
      <c r="D313" s="464"/>
      <c r="E313" s="464" t="s">
        <v>79</v>
      </c>
      <c r="F313" s="464" t="s">
        <v>3899</v>
      </c>
      <c r="G313" s="80" t="str">
        <f>VLOOKUP(F313,'01. TH'!$B:$E,3,0)</f>
        <v/>
      </c>
      <c r="H313" s="475" t="s">
        <v>1010</v>
      </c>
      <c r="I313" s="463"/>
      <c r="J313" s="467"/>
      <c r="K313" s="463" t="s">
        <v>1661</v>
      </c>
      <c r="L313" s="464"/>
      <c r="M313" s="465" t="s">
        <v>4138</v>
      </c>
      <c r="N313" s="464" t="s">
        <v>3084</v>
      </c>
      <c r="O313" s="465" t="s">
        <v>4139</v>
      </c>
      <c r="P313" s="464" t="s">
        <v>3084</v>
      </c>
      <c r="Q313" s="475"/>
      <c r="R313" s="464" t="s">
        <v>1243</v>
      </c>
      <c r="S313" s="476"/>
      <c r="T313" s="469"/>
      <c r="U313" s="467"/>
      <c r="V313" s="467"/>
    </row>
    <row r="314" ht="15.0" customHeight="1">
      <c r="A314" s="463">
        <f t="shared" si="6"/>
        <v>16</v>
      </c>
      <c r="B314" s="464" t="s">
        <v>4141</v>
      </c>
      <c r="C314" s="465"/>
      <c r="D314" s="464"/>
      <c r="E314" s="464" t="s">
        <v>79</v>
      </c>
      <c r="F314" s="464" t="s">
        <v>3899</v>
      </c>
      <c r="G314" s="80" t="str">
        <f>VLOOKUP(F314,'01. TH'!$B:$E,3,0)</f>
        <v/>
      </c>
      <c r="H314" s="475" t="s">
        <v>1010</v>
      </c>
      <c r="I314" s="463"/>
      <c r="J314" s="467"/>
      <c r="K314" s="463" t="s">
        <v>1661</v>
      </c>
      <c r="L314" s="464"/>
      <c r="M314" s="465" t="s">
        <v>4142</v>
      </c>
      <c r="N314" s="464" t="s">
        <v>3084</v>
      </c>
      <c r="O314" s="465" t="s">
        <v>4143</v>
      </c>
      <c r="P314" s="464" t="s">
        <v>3084</v>
      </c>
      <c r="Q314" s="475"/>
      <c r="R314" s="464" t="s">
        <v>4144</v>
      </c>
      <c r="S314" s="476"/>
      <c r="T314" s="469"/>
      <c r="U314" s="467"/>
      <c r="V314" s="467"/>
    </row>
    <row r="315" ht="15.0" customHeight="1">
      <c r="A315" s="463">
        <f t="shared" si="6"/>
        <v>17</v>
      </c>
      <c r="B315" s="464" t="s">
        <v>4145</v>
      </c>
      <c r="C315" s="465"/>
      <c r="D315" s="464"/>
      <c r="E315" s="464" t="s">
        <v>79</v>
      </c>
      <c r="F315" s="464" t="s">
        <v>3899</v>
      </c>
      <c r="G315" s="80" t="str">
        <f>VLOOKUP(F315,'01. TH'!$B:$E,3,0)</f>
        <v/>
      </c>
      <c r="H315" s="475" t="s">
        <v>1010</v>
      </c>
      <c r="I315" s="463"/>
      <c r="J315" s="467"/>
      <c r="K315" s="463" t="s">
        <v>1661</v>
      </c>
      <c r="L315" s="464"/>
      <c r="M315" s="465" t="s">
        <v>4146</v>
      </c>
      <c r="N315" s="464" t="s">
        <v>3084</v>
      </c>
      <c r="O315" s="465" t="s">
        <v>4143</v>
      </c>
      <c r="P315" s="464" t="s">
        <v>3084</v>
      </c>
      <c r="Q315" s="475"/>
      <c r="R315" s="464" t="s">
        <v>4144</v>
      </c>
      <c r="S315" s="476"/>
      <c r="T315" s="469"/>
      <c r="U315" s="467"/>
      <c r="V315" s="467"/>
    </row>
    <row r="316" ht="15.0" customHeight="1">
      <c r="A316" s="463">
        <f t="shared" si="6"/>
        <v>18</v>
      </c>
      <c r="B316" s="464" t="s">
        <v>4147</v>
      </c>
      <c r="C316" s="465"/>
      <c r="D316" s="464"/>
      <c r="E316" s="464" t="s">
        <v>79</v>
      </c>
      <c r="F316" s="464" t="s">
        <v>3899</v>
      </c>
      <c r="G316" s="80" t="str">
        <f>VLOOKUP(F316,'01. TH'!$B:$E,3,0)</f>
        <v/>
      </c>
      <c r="H316" s="475" t="s">
        <v>1010</v>
      </c>
      <c r="I316" s="463"/>
      <c r="J316" s="467"/>
      <c r="K316" s="463" t="s">
        <v>1661</v>
      </c>
      <c r="L316" s="464"/>
      <c r="M316" s="465" t="s">
        <v>4146</v>
      </c>
      <c r="N316" s="464" t="s">
        <v>3084</v>
      </c>
      <c r="O316" s="465" t="s">
        <v>4143</v>
      </c>
      <c r="P316" s="464" t="s">
        <v>3084</v>
      </c>
      <c r="Q316" s="475"/>
      <c r="R316" s="464" t="s">
        <v>4144</v>
      </c>
      <c r="S316" s="476"/>
      <c r="T316" s="469"/>
      <c r="U316" s="467"/>
      <c r="V316" s="467"/>
    </row>
    <row r="317" ht="15.0" customHeight="1">
      <c r="A317" s="463">
        <f t="shared" si="6"/>
        <v>19</v>
      </c>
      <c r="B317" s="464" t="s">
        <v>4148</v>
      </c>
      <c r="C317" s="465"/>
      <c r="D317" s="464"/>
      <c r="E317" s="464" t="s">
        <v>79</v>
      </c>
      <c r="F317" s="464" t="s">
        <v>3899</v>
      </c>
      <c r="G317" s="80" t="str">
        <f>VLOOKUP(F317,'01. TH'!$B:$E,3,0)</f>
        <v/>
      </c>
      <c r="H317" s="475" t="s">
        <v>1010</v>
      </c>
      <c r="I317" s="463"/>
      <c r="J317" s="467"/>
      <c r="K317" s="463" t="s">
        <v>1661</v>
      </c>
      <c r="L317" s="464"/>
      <c r="M317" s="465" t="s">
        <v>4149</v>
      </c>
      <c r="N317" s="464" t="s">
        <v>3084</v>
      </c>
      <c r="O317" s="465" t="s">
        <v>4143</v>
      </c>
      <c r="P317" s="464" t="s">
        <v>3084</v>
      </c>
      <c r="Q317" s="475"/>
      <c r="R317" s="464" t="s">
        <v>4144</v>
      </c>
      <c r="S317" s="476"/>
      <c r="T317" s="469"/>
      <c r="U317" s="467"/>
      <c r="V317" s="467"/>
    </row>
    <row r="318" ht="15.0" customHeight="1">
      <c r="A318" s="463">
        <f t="shared" si="6"/>
        <v>20</v>
      </c>
      <c r="B318" s="464" t="s">
        <v>4150</v>
      </c>
      <c r="C318" s="465"/>
      <c r="D318" s="464"/>
      <c r="E318" s="464" t="s">
        <v>79</v>
      </c>
      <c r="F318" s="464" t="s">
        <v>3899</v>
      </c>
      <c r="G318" s="80" t="str">
        <f>VLOOKUP(F318,'01. TH'!$B:$E,3,0)</f>
        <v/>
      </c>
      <c r="H318" s="475" t="s">
        <v>1010</v>
      </c>
      <c r="I318" s="463"/>
      <c r="J318" s="467"/>
      <c r="K318" s="463" t="s">
        <v>1661</v>
      </c>
      <c r="L318" s="464"/>
      <c r="M318" s="465" t="s">
        <v>4149</v>
      </c>
      <c r="N318" s="464" t="s">
        <v>3084</v>
      </c>
      <c r="O318" s="465" t="s">
        <v>4151</v>
      </c>
      <c r="P318" s="464" t="s">
        <v>3084</v>
      </c>
      <c r="Q318" s="475"/>
      <c r="R318" s="464" t="s">
        <v>4152</v>
      </c>
      <c r="S318" s="476"/>
      <c r="T318" s="469"/>
      <c r="U318" s="467"/>
      <c r="V318" s="467"/>
    </row>
    <row r="319" ht="15.0" customHeight="1">
      <c r="A319" s="463">
        <f t="shared" si="6"/>
        <v>21</v>
      </c>
      <c r="B319" s="464" t="s">
        <v>4153</v>
      </c>
      <c r="C319" s="465"/>
      <c r="D319" s="464"/>
      <c r="E319" s="464" t="s">
        <v>79</v>
      </c>
      <c r="F319" s="464" t="s">
        <v>3899</v>
      </c>
      <c r="G319" s="80" t="str">
        <f>VLOOKUP(F319,'01. TH'!$B:$E,3,0)</f>
        <v/>
      </c>
      <c r="H319" s="475" t="s">
        <v>1010</v>
      </c>
      <c r="I319" s="463" t="s">
        <v>4154</v>
      </c>
      <c r="J319" s="467"/>
      <c r="K319" s="463" t="s">
        <v>1661</v>
      </c>
      <c r="L319" s="464"/>
      <c r="M319" s="465" t="s">
        <v>4155</v>
      </c>
      <c r="N319" s="464" t="s">
        <v>3084</v>
      </c>
      <c r="O319" s="465" t="s">
        <v>4156</v>
      </c>
      <c r="P319" s="464" t="s">
        <v>3084</v>
      </c>
      <c r="Q319" s="475"/>
      <c r="R319" s="464" t="s">
        <v>4157</v>
      </c>
      <c r="S319" s="476"/>
      <c r="T319" s="469"/>
      <c r="U319" s="467"/>
      <c r="V319" s="467"/>
    </row>
    <row r="320" ht="15.0" customHeight="1">
      <c r="A320" s="463">
        <f t="shared" si="6"/>
        <v>22</v>
      </c>
      <c r="B320" s="464" t="s">
        <v>4159</v>
      </c>
      <c r="C320" s="465"/>
      <c r="D320" s="464"/>
      <c r="E320" s="464" t="s">
        <v>79</v>
      </c>
      <c r="F320" s="464" t="s">
        <v>3899</v>
      </c>
      <c r="G320" s="80" t="str">
        <f>VLOOKUP(F320,'01. TH'!$B:$E,3,0)</f>
        <v/>
      </c>
      <c r="H320" s="475" t="s">
        <v>1010</v>
      </c>
      <c r="I320" s="463" t="s">
        <v>4154</v>
      </c>
      <c r="J320" s="467"/>
      <c r="K320" s="463" t="s">
        <v>1661</v>
      </c>
      <c r="L320" s="464"/>
      <c r="M320" s="465" t="s">
        <v>4155</v>
      </c>
      <c r="N320" s="464" t="s">
        <v>3084</v>
      </c>
      <c r="O320" s="465" t="s">
        <v>4156</v>
      </c>
      <c r="P320" s="464" t="s">
        <v>3084</v>
      </c>
      <c r="Q320" s="475"/>
      <c r="R320" s="464" t="s">
        <v>4157</v>
      </c>
      <c r="S320" s="476"/>
      <c r="T320" s="469"/>
      <c r="U320" s="467"/>
      <c r="V320" s="467"/>
    </row>
    <row r="321" ht="15.0" customHeight="1">
      <c r="A321" s="463">
        <f t="shared" si="6"/>
        <v>23</v>
      </c>
      <c r="B321" s="464" t="s">
        <v>4160</v>
      </c>
      <c r="C321" s="465"/>
      <c r="D321" s="464"/>
      <c r="E321" s="464" t="s">
        <v>79</v>
      </c>
      <c r="F321" s="464" t="s">
        <v>3899</v>
      </c>
      <c r="G321" s="80" t="str">
        <f>VLOOKUP(F321,'01. TH'!$B:$E,3,0)</f>
        <v/>
      </c>
      <c r="H321" s="475" t="s">
        <v>1010</v>
      </c>
      <c r="I321" s="463" t="s">
        <v>4154</v>
      </c>
      <c r="J321" s="467"/>
      <c r="K321" s="463" t="s">
        <v>1661</v>
      </c>
      <c r="L321" s="464"/>
      <c r="M321" s="465" t="s">
        <v>4155</v>
      </c>
      <c r="N321" s="464" t="s">
        <v>3084</v>
      </c>
      <c r="O321" s="465" t="s">
        <v>4156</v>
      </c>
      <c r="P321" s="464" t="s">
        <v>3084</v>
      </c>
      <c r="Q321" s="475"/>
      <c r="R321" s="464" t="s">
        <v>4157</v>
      </c>
      <c r="S321" s="476"/>
      <c r="T321" s="469"/>
      <c r="U321" s="467"/>
      <c r="V321" s="467"/>
    </row>
    <row r="322" ht="15.0" customHeight="1">
      <c r="A322" s="463">
        <f t="shared" si="6"/>
        <v>24</v>
      </c>
      <c r="B322" s="464" t="s">
        <v>4161</v>
      </c>
      <c r="C322" s="465"/>
      <c r="D322" s="464"/>
      <c r="E322" s="464" t="s">
        <v>79</v>
      </c>
      <c r="F322" s="464" t="s">
        <v>3899</v>
      </c>
      <c r="G322" s="80" t="str">
        <f>VLOOKUP(F322,'01. TH'!$B:$E,3,0)</f>
        <v/>
      </c>
      <c r="H322" s="475" t="s">
        <v>1010</v>
      </c>
      <c r="I322" s="463" t="s">
        <v>4154</v>
      </c>
      <c r="J322" s="467"/>
      <c r="K322" s="463" t="s">
        <v>1661</v>
      </c>
      <c r="L322" s="464"/>
      <c r="M322" s="465" t="s">
        <v>4155</v>
      </c>
      <c r="N322" s="464" t="s">
        <v>3084</v>
      </c>
      <c r="O322" s="465" t="s">
        <v>4156</v>
      </c>
      <c r="P322" s="464" t="s">
        <v>3084</v>
      </c>
      <c r="Q322" s="475"/>
      <c r="R322" s="464" t="s">
        <v>4157</v>
      </c>
      <c r="S322" s="476"/>
      <c r="T322" s="469"/>
      <c r="U322" s="467"/>
      <c r="V322" s="467"/>
    </row>
    <row r="323" ht="15.0" customHeight="1">
      <c r="A323" s="463">
        <f t="shared" si="6"/>
        <v>25</v>
      </c>
      <c r="B323" s="464" t="s">
        <v>4162</v>
      </c>
      <c r="C323" s="465"/>
      <c r="D323" s="464"/>
      <c r="E323" s="464" t="s">
        <v>79</v>
      </c>
      <c r="F323" s="464" t="s">
        <v>3899</v>
      </c>
      <c r="G323" s="80" t="str">
        <f>VLOOKUP(F323,'01. TH'!$B:$E,3,0)</f>
        <v/>
      </c>
      <c r="H323" s="475" t="s">
        <v>1010</v>
      </c>
      <c r="I323" s="463" t="s">
        <v>4154</v>
      </c>
      <c r="J323" s="467"/>
      <c r="K323" s="463" t="s">
        <v>1661</v>
      </c>
      <c r="L323" s="464"/>
      <c r="M323" s="465" t="s">
        <v>4164</v>
      </c>
      <c r="N323" s="464" t="s">
        <v>3084</v>
      </c>
      <c r="O323" s="465" t="s">
        <v>4165</v>
      </c>
      <c r="P323" s="464" t="s">
        <v>3084</v>
      </c>
      <c r="Q323" s="475"/>
      <c r="R323" s="464" t="s">
        <v>1243</v>
      </c>
      <c r="S323" s="476"/>
      <c r="T323" s="469"/>
      <c r="U323" s="467"/>
      <c r="V323" s="467"/>
    </row>
    <row r="324" ht="15.0" customHeight="1">
      <c r="A324" s="463">
        <f t="shared" si="6"/>
        <v>26</v>
      </c>
      <c r="B324" s="464" t="s">
        <v>4166</v>
      </c>
      <c r="C324" s="465"/>
      <c r="D324" s="464"/>
      <c r="E324" s="464" t="s">
        <v>79</v>
      </c>
      <c r="F324" s="464" t="s">
        <v>3899</v>
      </c>
      <c r="G324" s="80" t="str">
        <f>VLOOKUP(F324,'01. TH'!$B:$E,3,0)</f>
        <v/>
      </c>
      <c r="H324" s="475" t="s">
        <v>1010</v>
      </c>
      <c r="I324" s="463" t="s">
        <v>4154</v>
      </c>
      <c r="J324" s="467"/>
      <c r="K324" s="463" t="s">
        <v>1661</v>
      </c>
      <c r="L324" s="464"/>
      <c r="M324" s="465" t="s">
        <v>4164</v>
      </c>
      <c r="N324" s="464" t="s">
        <v>3084</v>
      </c>
      <c r="O324" s="465" t="s">
        <v>4165</v>
      </c>
      <c r="P324" s="464" t="s">
        <v>3084</v>
      </c>
      <c r="Q324" s="475"/>
      <c r="R324" s="464" t="s">
        <v>1243</v>
      </c>
      <c r="S324" s="476"/>
      <c r="T324" s="469"/>
      <c r="U324" s="467"/>
      <c r="V324" s="467"/>
    </row>
    <row r="325" ht="15.0" customHeight="1">
      <c r="A325" s="463">
        <f t="shared" si="6"/>
        <v>27</v>
      </c>
      <c r="B325" s="464" t="s">
        <v>4167</v>
      </c>
      <c r="C325" s="465"/>
      <c r="D325" s="464"/>
      <c r="E325" s="464" t="s">
        <v>79</v>
      </c>
      <c r="F325" s="464" t="s">
        <v>3899</v>
      </c>
      <c r="G325" s="80" t="str">
        <f>VLOOKUP(F325,'01. TH'!$B:$E,3,0)</f>
        <v/>
      </c>
      <c r="H325" s="475" t="s">
        <v>1010</v>
      </c>
      <c r="I325" s="463" t="s">
        <v>4154</v>
      </c>
      <c r="J325" s="467"/>
      <c r="K325" s="463" t="s">
        <v>1661</v>
      </c>
      <c r="L325" s="464"/>
      <c r="M325" s="465" t="s">
        <v>4164</v>
      </c>
      <c r="N325" s="464" t="s">
        <v>3084</v>
      </c>
      <c r="O325" s="465" t="s">
        <v>4165</v>
      </c>
      <c r="P325" s="464" t="s">
        <v>3084</v>
      </c>
      <c r="Q325" s="475"/>
      <c r="R325" s="464" t="s">
        <v>1243</v>
      </c>
      <c r="S325" s="476"/>
      <c r="T325" s="469"/>
      <c r="U325" s="467"/>
      <c r="V325" s="467"/>
    </row>
    <row r="326" ht="15.0" customHeight="1">
      <c r="A326" s="463">
        <f t="shared" si="6"/>
        <v>28</v>
      </c>
      <c r="B326" s="464" t="s">
        <v>4168</v>
      </c>
      <c r="C326" s="465"/>
      <c r="D326" s="464"/>
      <c r="E326" s="464" t="s">
        <v>79</v>
      </c>
      <c r="F326" s="464" t="s">
        <v>3899</v>
      </c>
      <c r="G326" s="80" t="str">
        <f>VLOOKUP(F326,'01. TH'!$B:$E,3,0)</f>
        <v/>
      </c>
      <c r="H326" s="475" t="s">
        <v>1010</v>
      </c>
      <c r="I326" s="463" t="s">
        <v>4154</v>
      </c>
      <c r="J326" s="467"/>
      <c r="K326" s="463" t="s">
        <v>1661</v>
      </c>
      <c r="L326" s="464"/>
      <c r="M326" s="465" t="s">
        <v>4164</v>
      </c>
      <c r="N326" s="464" t="s">
        <v>3084</v>
      </c>
      <c r="O326" s="465" t="s">
        <v>4165</v>
      </c>
      <c r="P326" s="464" t="s">
        <v>3084</v>
      </c>
      <c r="Q326" s="475"/>
      <c r="R326" s="464" t="s">
        <v>1243</v>
      </c>
      <c r="S326" s="476"/>
      <c r="T326" s="469"/>
      <c r="U326" s="467"/>
      <c r="V326" s="467"/>
    </row>
    <row r="327" ht="15.0" customHeight="1">
      <c r="A327" s="463">
        <f t="shared" si="6"/>
        <v>29</v>
      </c>
      <c r="B327" s="464" t="s">
        <v>4169</v>
      </c>
      <c r="C327" s="465"/>
      <c r="D327" s="464"/>
      <c r="E327" s="464" t="s">
        <v>79</v>
      </c>
      <c r="F327" s="464" t="s">
        <v>3899</v>
      </c>
      <c r="G327" s="80" t="str">
        <f>VLOOKUP(F327,'01. TH'!$B:$E,3,0)</f>
        <v/>
      </c>
      <c r="H327" s="475" t="s">
        <v>1010</v>
      </c>
      <c r="I327" s="466">
        <v>45809.0</v>
      </c>
      <c r="J327" s="467"/>
      <c r="K327" s="463" t="s">
        <v>1661</v>
      </c>
      <c r="L327" s="464"/>
      <c r="M327" s="465" t="s">
        <v>4149</v>
      </c>
      <c r="N327" s="464" t="s">
        <v>3084</v>
      </c>
      <c r="O327" s="465" t="s">
        <v>4152</v>
      </c>
      <c r="P327" s="464" t="s">
        <v>3084</v>
      </c>
      <c r="Q327" s="463"/>
      <c r="R327" s="464" t="s">
        <v>4152</v>
      </c>
      <c r="S327" s="476"/>
      <c r="T327" s="469"/>
      <c r="U327" s="467"/>
      <c r="V327" s="467"/>
    </row>
    <row r="328" ht="15.0" customHeight="1">
      <c r="A328" s="463">
        <f t="shared" si="6"/>
        <v>30</v>
      </c>
      <c r="B328" s="464" t="s">
        <v>4170</v>
      </c>
      <c r="C328" s="465"/>
      <c r="D328" s="464"/>
      <c r="E328" s="464" t="s">
        <v>79</v>
      </c>
      <c r="F328" s="464" t="s">
        <v>3899</v>
      </c>
      <c r="G328" s="80" t="str">
        <f>VLOOKUP(F328,'01. TH'!$B:$E,3,0)</f>
        <v/>
      </c>
      <c r="H328" s="475" t="s">
        <v>1010</v>
      </c>
      <c r="I328" s="466">
        <v>45809.0</v>
      </c>
      <c r="J328" s="467"/>
      <c r="K328" s="463" t="s">
        <v>1661</v>
      </c>
      <c r="L328" s="464"/>
      <c r="M328" s="465" t="s">
        <v>4149</v>
      </c>
      <c r="N328" s="464" t="s">
        <v>3084</v>
      </c>
      <c r="O328" s="465" t="s">
        <v>4152</v>
      </c>
      <c r="P328" s="464" t="s">
        <v>3084</v>
      </c>
      <c r="Q328" s="463"/>
      <c r="R328" s="464" t="s">
        <v>4152</v>
      </c>
      <c r="S328" s="476"/>
      <c r="T328" s="469"/>
      <c r="U328" s="467"/>
      <c r="V328" s="467"/>
    </row>
    <row r="329" ht="15.0" customHeight="1">
      <c r="A329" s="463">
        <f t="shared" si="6"/>
        <v>31</v>
      </c>
      <c r="B329" s="464" t="s">
        <v>4171</v>
      </c>
      <c r="C329" s="465"/>
      <c r="D329" s="464"/>
      <c r="E329" s="464" t="s">
        <v>79</v>
      </c>
      <c r="F329" s="464" t="s">
        <v>3899</v>
      </c>
      <c r="G329" s="80" t="str">
        <f>VLOOKUP(F329,'01. TH'!$B:$E,3,0)</f>
        <v/>
      </c>
      <c r="H329" s="475" t="s">
        <v>1010</v>
      </c>
      <c r="I329" s="466">
        <v>45809.0</v>
      </c>
      <c r="J329" s="467"/>
      <c r="K329" s="463" t="s">
        <v>1661</v>
      </c>
      <c r="L329" s="464"/>
      <c r="M329" s="465" t="s">
        <v>4149</v>
      </c>
      <c r="N329" s="464" t="s">
        <v>3084</v>
      </c>
      <c r="O329" s="465" t="s">
        <v>4152</v>
      </c>
      <c r="P329" s="464" t="s">
        <v>3084</v>
      </c>
      <c r="Q329" s="463"/>
      <c r="R329" s="464" t="s">
        <v>4152</v>
      </c>
      <c r="S329" s="476"/>
      <c r="T329" s="469"/>
      <c r="U329" s="467"/>
      <c r="V329" s="467"/>
    </row>
    <row r="330" ht="15.0" customHeight="1">
      <c r="A330" s="463">
        <f t="shared" si="6"/>
        <v>32</v>
      </c>
      <c r="B330" s="464" t="s">
        <v>4172</v>
      </c>
      <c r="C330" s="465"/>
      <c r="D330" s="464"/>
      <c r="E330" s="464" t="s">
        <v>79</v>
      </c>
      <c r="F330" s="464" t="s">
        <v>3899</v>
      </c>
      <c r="G330" s="80" t="str">
        <f>VLOOKUP(F330,'01. TH'!$B:$E,3,0)</f>
        <v/>
      </c>
      <c r="H330" s="475" t="s">
        <v>1010</v>
      </c>
      <c r="I330" s="466">
        <v>45809.0</v>
      </c>
      <c r="J330" s="467"/>
      <c r="K330" s="463" t="s">
        <v>1661</v>
      </c>
      <c r="L330" s="464"/>
      <c r="M330" s="465" t="s">
        <v>4149</v>
      </c>
      <c r="N330" s="464" t="s">
        <v>3084</v>
      </c>
      <c r="O330" s="465" t="s">
        <v>4152</v>
      </c>
      <c r="P330" s="464" t="s">
        <v>3084</v>
      </c>
      <c r="Q330" s="463"/>
      <c r="R330" s="464" t="s">
        <v>4152</v>
      </c>
      <c r="S330" s="476"/>
      <c r="T330" s="469"/>
      <c r="U330" s="467"/>
      <c r="V330" s="467"/>
    </row>
    <row r="331" ht="15.0" customHeight="1">
      <c r="A331" s="463">
        <f t="shared" si="6"/>
        <v>33</v>
      </c>
      <c r="B331" s="464" t="s">
        <v>4173</v>
      </c>
      <c r="C331" s="465" t="s">
        <v>4174</v>
      </c>
      <c r="D331" s="464" t="s">
        <v>4175</v>
      </c>
      <c r="E331" s="464" t="s">
        <v>79</v>
      </c>
      <c r="F331" s="464" t="s">
        <v>4051</v>
      </c>
      <c r="G331" s="80" t="str">
        <f>VLOOKUP(F331,'01. TH'!$B:$E,3,0)</f>
        <v>#N/A</v>
      </c>
      <c r="H331" s="475" t="s">
        <v>1010</v>
      </c>
      <c r="I331" s="466">
        <v>45547.0</v>
      </c>
      <c r="J331" s="467"/>
      <c r="K331" s="463" t="s">
        <v>1661</v>
      </c>
      <c r="L331" s="464"/>
      <c r="M331" s="465"/>
      <c r="N331" s="464" t="s">
        <v>3258</v>
      </c>
      <c r="O331" s="465" t="s">
        <v>4174</v>
      </c>
      <c r="P331" s="464" t="s">
        <v>3260</v>
      </c>
      <c r="Q331" s="463">
        <v>2024.0</v>
      </c>
      <c r="R331" s="465" t="s">
        <v>4176</v>
      </c>
      <c r="S331" s="476"/>
      <c r="T331" s="469"/>
      <c r="U331" s="467"/>
      <c r="V331" s="467"/>
    </row>
    <row r="332" ht="15.0" customHeight="1">
      <c r="A332" s="463">
        <f>A619+1</f>
        <v>35</v>
      </c>
      <c r="B332" s="464" t="s">
        <v>4177</v>
      </c>
      <c r="C332" s="465"/>
      <c r="D332" s="464" t="s">
        <v>4178</v>
      </c>
      <c r="E332" s="464" t="s">
        <v>79</v>
      </c>
      <c r="F332" s="464" t="s">
        <v>4051</v>
      </c>
      <c r="G332" s="80" t="str">
        <f>VLOOKUP(F332,'01. TH'!$B:$E,3,0)</f>
        <v>#N/A</v>
      </c>
      <c r="H332" s="475" t="s">
        <v>1010</v>
      </c>
      <c r="I332" s="463" t="s">
        <v>4024</v>
      </c>
      <c r="J332" s="467"/>
      <c r="K332" s="463" t="s">
        <v>1661</v>
      </c>
      <c r="L332" s="464"/>
      <c r="M332" s="465"/>
      <c r="N332" s="464" t="s">
        <v>3258</v>
      </c>
      <c r="O332" s="465" t="s">
        <v>4174</v>
      </c>
      <c r="P332" s="464" t="s">
        <v>3260</v>
      </c>
      <c r="Q332" s="463">
        <v>2025.0</v>
      </c>
      <c r="R332" s="465" t="s">
        <v>4179</v>
      </c>
      <c r="S332" s="476"/>
      <c r="T332" s="469"/>
      <c r="U332" s="467"/>
      <c r="V332" s="467"/>
    </row>
    <row r="333" ht="15.0" customHeight="1">
      <c r="A333" s="463">
        <f t="shared" ref="A333:A356" si="7">A332+1</f>
        <v>36</v>
      </c>
      <c r="B333" s="464" t="s">
        <v>4180</v>
      </c>
      <c r="C333" s="465"/>
      <c r="D333" s="464" t="s">
        <v>4181</v>
      </c>
      <c r="E333" s="464" t="s">
        <v>79</v>
      </c>
      <c r="F333" s="464" t="s">
        <v>4051</v>
      </c>
      <c r="G333" s="80" t="str">
        <f>VLOOKUP(F333,'01. TH'!$B:$E,3,0)</f>
        <v>#N/A</v>
      </c>
      <c r="H333" s="475" t="s">
        <v>1010</v>
      </c>
      <c r="I333" s="465" t="s">
        <v>4182</v>
      </c>
      <c r="J333" s="467"/>
      <c r="K333" s="463" t="s">
        <v>1661</v>
      </c>
      <c r="L333" s="464"/>
      <c r="M333" s="465"/>
      <c r="N333" s="464" t="s">
        <v>3258</v>
      </c>
      <c r="O333" s="476"/>
      <c r="P333" s="464"/>
      <c r="Q333" s="475"/>
      <c r="R333" s="128"/>
      <c r="S333" s="476"/>
      <c r="T333" s="469"/>
      <c r="U333" s="467"/>
      <c r="V333" s="467"/>
    </row>
    <row r="334" ht="15.0" customHeight="1">
      <c r="A334" s="463">
        <f t="shared" si="7"/>
        <v>37</v>
      </c>
      <c r="B334" s="464" t="s">
        <v>4183</v>
      </c>
      <c r="C334" s="465"/>
      <c r="D334" s="464" t="s">
        <v>4184</v>
      </c>
      <c r="E334" s="464" t="s">
        <v>79</v>
      </c>
      <c r="F334" s="464" t="s">
        <v>3925</v>
      </c>
      <c r="G334" s="80" t="str">
        <f>VLOOKUP(F334,'01. TH'!$B:$E,3,0)</f>
        <v>3000 x 1.600 x 1200</v>
      </c>
      <c r="H334" s="475" t="s">
        <v>1010</v>
      </c>
      <c r="I334" s="463"/>
      <c r="J334" s="467"/>
      <c r="K334" s="463" t="s">
        <v>1661</v>
      </c>
      <c r="L334" s="464"/>
      <c r="M334" s="465"/>
      <c r="N334" s="464" t="s">
        <v>3258</v>
      </c>
      <c r="O334" s="476"/>
      <c r="P334" s="464" t="s">
        <v>3260</v>
      </c>
      <c r="Q334" s="475"/>
      <c r="R334" s="465"/>
      <c r="S334" s="476"/>
      <c r="T334" s="469"/>
      <c r="U334" s="467"/>
      <c r="V334" s="467"/>
    </row>
    <row r="335" ht="15.0" customHeight="1">
      <c r="A335" s="463">
        <f t="shared" si="7"/>
        <v>38</v>
      </c>
      <c r="B335" s="464" t="s">
        <v>4186</v>
      </c>
      <c r="C335" s="465"/>
      <c r="D335" s="464" t="s">
        <v>4187</v>
      </c>
      <c r="E335" s="464" t="s">
        <v>79</v>
      </c>
      <c r="F335" s="464" t="s">
        <v>3925</v>
      </c>
      <c r="G335" s="80" t="str">
        <f>VLOOKUP(F335,'01. TH'!$B:$E,3,0)</f>
        <v>3000 x 1.600 x 1200</v>
      </c>
      <c r="H335" s="475" t="s">
        <v>1010</v>
      </c>
      <c r="I335" s="463"/>
      <c r="J335" s="467"/>
      <c r="K335" s="463" t="s">
        <v>1661</v>
      </c>
      <c r="L335" s="464"/>
      <c r="M335" s="465"/>
      <c r="N335" s="464" t="s">
        <v>3258</v>
      </c>
      <c r="O335" s="476"/>
      <c r="P335" s="464" t="s">
        <v>3260</v>
      </c>
      <c r="Q335" s="475"/>
      <c r="R335" s="465"/>
      <c r="S335" s="476"/>
      <c r="T335" s="469"/>
      <c r="U335" s="467"/>
      <c r="V335" s="467"/>
    </row>
    <row r="336" ht="15.0" customHeight="1">
      <c r="A336" s="463">
        <f t="shared" si="7"/>
        <v>39</v>
      </c>
      <c r="B336" s="464" t="s">
        <v>4188</v>
      </c>
      <c r="C336" s="465"/>
      <c r="D336" s="464" t="s">
        <v>4189</v>
      </c>
      <c r="E336" s="464" t="s">
        <v>79</v>
      </c>
      <c r="F336" s="464" t="s">
        <v>3925</v>
      </c>
      <c r="G336" s="80" t="str">
        <f>VLOOKUP(F336,'01. TH'!$B:$E,3,0)</f>
        <v>3000 x 1.600 x 1200</v>
      </c>
      <c r="H336" s="475" t="s">
        <v>1010</v>
      </c>
      <c r="I336" s="463"/>
      <c r="J336" s="467"/>
      <c r="K336" s="463" t="s">
        <v>1661</v>
      </c>
      <c r="L336" s="464"/>
      <c r="M336" s="465"/>
      <c r="N336" s="464" t="s">
        <v>3258</v>
      </c>
      <c r="O336" s="476"/>
      <c r="P336" s="464" t="s">
        <v>3260</v>
      </c>
      <c r="Q336" s="475"/>
      <c r="R336" s="465"/>
      <c r="S336" s="476"/>
      <c r="T336" s="469"/>
      <c r="U336" s="467"/>
      <c r="V336" s="467"/>
    </row>
    <row r="337" ht="15.0" customHeight="1">
      <c r="A337" s="463">
        <f t="shared" si="7"/>
        <v>40</v>
      </c>
      <c r="B337" s="464" t="s">
        <v>4190</v>
      </c>
      <c r="C337" s="465"/>
      <c r="D337" s="464" t="s">
        <v>4191</v>
      </c>
      <c r="E337" s="464" t="s">
        <v>79</v>
      </c>
      <c r="F337" s="464" t="s">
        <v>3925</v>
      </c>
      <c r="G337" s="80" t="str">
        <f>VLOOKUP(F337,'01. TH'!$B:$E,3,0)</f>
        <v>3000 x 1.600 x 1200</v>
      </c>
      <c r="H337" s="475" t="s">
        <v>1010</v>
      </c>
      <c r="I337" s="463"/>
      <c r="J337" s="467"/>
      <c r="K337" s="463" t="s">
        <v>1661</v>
      </c>
      <c r="L337" s="464"/>
      <c r="M337" s="465"/>
      <c r="N337" s="464" t="s">
        <v>3258</v>
      </c>
      <c r="O337" s="476"/>
      <c r="P337" s="464" t="s">
        <v>3260</v>
      </c>
      <c r="Q337" s="475"/>
      <c r="R337" s="465"/>
      <c r="S337" s="476"/>
      <c r="T337" s="469"/>
      <c r="U337" s="467"/>
      <c r="V337" s="467"/>
    </row>
    <row r="338" ht="15.0" customHeight="1">
      <c r="A338" s="463">
        <f t="shared" si="7"/>
        <v>41</v>
      </c>
      <c r="B338" s="464" t="s">
        <v>4192</v>
      </c>
      <c r="C338" s="465"/>
      <c r="D338" s="464" t="s">
        <v>4193</v>
      </c>
      <c r="E338" s="464" t="s">
        <v>79</v>
      </c>
      <c r="F338" s="464" t="s">
        <v>3925</v>
      </c>
      <c r="G338" s="80" t="str">
        <f>VLOOKUP(F338,'01. TH'!$B:$E,3,0)</f>
        <v>3000 x 1.600 x 1200</v>
      </c>
      <c r="H338" s="475" t="s">
        <v>1010</v>
      </c>
      <c r="I338" s="463"/>
      <c r="J338" s="467"/>
      <c r="K338" s="463" t="s">
        <v>1661</v>
      </c>
      <c r="L338" s="464"/>
      <c r="M338" s="465"/>
      <c r="N338" s="464" t="s">
        <v>3258</v>
      </c>
      <c r="O338" s="476"/>
      <c r="P338" s="464" t="s">
        <v>3260</v>
      </c>
      <c r="Q338" s="475"/>
      <c r="R338" s="465"/>
      <c r="S338" s="476"/>
      <c r="T338" s="469"/>
      <c r="U338" s="467"/>
      <c r="V338" s="467"/>
    </row>
    <row r="339" ht="15.0" customHeight="1">
      <c r="A339" s="463">
        <f t="shared" si="7"/>
        <v>42</v>
      </c>
      <c r="B339" s="464" t="s">
        <v>4194</v>
      </c>
      <c r="C339" s="465"/>
      <c r="D339" s="464" t="s">
        <v>4195</v>
      </c>
      <c r="E339" s="464" t="s">
        <v>79</v>
      </c>
      <c r="F339" s="464" t="s">
        <v>3925</v>
      </c>
      <c r="G339" s="80" t="str">
        <f>VLOOKUP(F339,'01. TH'!$B:$E,3,0)</f>
        <v>3000 x 1.600 x 1200</v>
      </c>
      <c r="H339" s="475" t="s">
        <v>1010</v>
      </c>
      <c r="I339" s="463"/>
      <c r="J339" s="467"/>
      <c r="K339" s="463" t="s">
        <v>1661</v>
      </c>
      <c r="L339" s="464"/>
      <c r="M339" s="465"/>
      <c r="N339" s="464" t="s">
        <v>3258</v>
      </c>
      <c r="O339" s="476"/>
      <c r="P339" s="464" t="s">
        <v>3260</v>
      </c>
      <c r="Q339" s="475"/>
      <c r="R339" s="465"/>
      <c r="S339" s="476"/>
      <c r="T339" s="469"/>
      <c r="U339" s="467"/>
      <c r="V339" s="467"/>
    </row>
    <row r="340" ht="15.0" customHeight="1">
      <c r="A340" s="463">
        <f t="shared" si="7"/>
        <v>43</v>
      </c>
      <c r="B340" s="464" t="s">
        <v>4196</v>
      </c>
      <c r="C340" s="465"/>
      <c r="D340" s="464" t="s">
        <v>4197</v>
      </c>
      <c r="E340" s="464" t="s">
        <v>79</v>
      </c>
      <c r="F340" s="464" t="s">
        <v>3925</v>
      </c>
      <c r="G340" s="80" t="str">
        <f>VLOOKUP(F340,'01. TH'!$B:$E,3,0)</f>
        <v>3000 x 1.600 x 1200</v>
      </c>
      <c r="H340" s="475" t="s">
        <v>1010</v>
      </c>
      <c r="I340" s="463"/>
      <c r="J340" s="467"/>
      <c r="K340" s="463" t="s">
        <v>1661</v>
      </c>
      <c r="L340" s="464"/>
      <c r="M340" s="465"/>
      <c r="N340" s="464" t="s">
        <v>3258</v>
      </c>
      <c r="O340" s="476"/>
      <c r="P340" s="464" t="s">
        <v>3260</v>
      </c>
      <c r="Q340" s="475"/>
      <c r="R340" s="465"/>
      <c r="S340" s="476"/>
      <c r="T340" s="469"/>
      <c r="U340" s="467"/>
      <c r="V340" s="467"/>
    </row>
    <row r="341" ht="15.0" customHeight="1">
      <c r="A341" s="463">
        <f t="shared" si="7"/>
        <v>44</v>
      </c>
      <c r="B341" s="464" t="s">
        <v>4198</v>
      </c>
      <c r="C341" s="465"/>
      <c r="D341" s="464" t="s">
        <v>4199</v>
      </c>
      <c r="E341" s="464" t="s">
        <v>79</v>
      </c>
      <c r="F341" s="464" t="s">
        <v>3925</v>
      </c>
      <c r="G341" s="80" t="str">
        <f>VLOOKUP(F341,'01. TH'!$B:$E,3,0)</f>
        <v>3000 x 1.600 x 1200</v>
      </c>
      <c r="H341" s="475" t="s">
        <v>1010</v>
      </c>
      <c r="I341" s="463"/>
      <c r="J341" s="467"/>
      <c r="K341" s="463" t="s">
        <v>1661</v>
      </c>
      <c r="L341" s="464"/>
      <c r="M341" s="465"/>
      <c r="N341" s="464" t="s">
        <v>3258</v>
      </c>
      <c r="O341" s="476"/>
      <c r="P341" s="464" t="s">
        <v>3260</v>
      </c>
      <c r="Q341" s="475"/>
      <c r="R341" s="465"/>
      <c r="S341" s="476"/>
      <c r="T341" s="469"/>
      <c r="U341" s="467"/>
      <c r="V341" s="467"/>
    </row>
    <row r="342" ht="15.0" customHeight="1">
      <c r="A342" s="463">
        <f t="shared" si="7"/>
        <v>45</v>
      </c>
      <c r="B342" s="464" t="s">
        <v>4200</v>
      </c>
      <c r="C342" s="465"/>
      <c r="D342" s="464" t="s">
        <v>4201</v>
      </c>
      <c r="E342" s="464" t="s">
        <v>79</v>
      </c>
      <c r="F342" s="464" t="s">
        <v>4202</v>
      </c>
      <c r="G342" s="80" t="str">
        <f>VLOOKUP(F342,'01. TH'!$B:$E,3,0)</f>
        <v>4500 x 2500 x 1400</v>
      </c>
      <c r="H342" s="475" t="s">
        <v>1010</v>
      </c>
      <c r="I342" s="466"/>
      <c r="J342" s="467"/>
      <c r="K342" s="463" t="s">
        <v>1661</v>
      </c>
      <c r="L342" s="464"/>
      <c r="M342" s="465"/>
      <c r="N342" s="464" t="s">
        <v>3258</v>
      </c>
      <c r="O342" s="476"/>
      <c r="P342" s="464" t="s">
        <v>3260</v>
      </c>
      <c r="Q342" s="463"/>
      <c r="R342" s="465" t="s">
        <v>4203</v>
      </c>
      <c r="S342" s="465"/>
      <c r="T342" s="482"/>
      <c r="U342" s="464"/>
      <c r="V342" s="464"/>
    </row>
    <row r="343" ht="15.0" customHeight="1">
      <c r="A343" s="463">
        <f t="shared" si="7"/>
        <v>46</v>
      </c>
      <c r="B343" s="464" t="s">
        <v>4204</v>
      </c>
      <c r="C343" s="465"/>
      <c r="D343" s="464" t="s">
        <v>4205</v>
      </c>
      <c r="E343" s="464" t="s">
        <v>79</v>
      </c>
      <c r="F343" s="464" t="s">
        <v>4202</v>
      </c>
      <c r="G343" s="80" t="str">
        <f>VLOOKUP(F343,'01. TH'!$B:$E,3,0)</f>
        <v>4500 x 2500 x 1400</v>
      </c>
      <c r="H343" s="475" t="s">
        <v>1010</v>
      </c>
      <c r="I343" s="466"/>
      <c r="J343" s="467"/>
      <c r="K343" s="463" t="s">
        <v>1661</v>
      </c>
      <c r="L343" s="464"/>
      <c r="M343" s="465"/>
      <c r="N343" s="464" t="s">
        <v>3258</v>
      </c>
      <c r="O343" s="476"/>
      <c r="P343" s="464" t="s">
        <v>3260</v>
      </c>
      <c r="Q343" s="463"/>
      <c r="R343" s="465" t="s">
        <v>4203</v>
      </c>
      <c r="S343" s="465"/>
      <c r="T343" s="482"/>
      <c r="U343" s="464"/>
      <c r="V343" s="464"/>
    </row>
    <row r="344" ht="15.0" customHeight="1">
      <c r="A344" s="463">
        <f t="shared" si="7"/>
        <v>47</v>
      </c>
      <c r="B344" s="464" t="s">
        <v>4207</v>
      </c>
      <c r="C344" s="465" t="s">
        <v>4208</v>
      </c>
      <c r="D344" s="464" t="s">
        <v>4209</v>
      </c>
      <c r="E344" s="464" t="s">
        <v>79</v>
      </c>
      <c r="F344" s="464" t="s">
        <v>3989</v>
      </c>
      <c r="G344" s="80" t="str">
        <f>VLOOKUP(F344,'01. TH'!$B:$E,3,0)</f>
        <v>#N/A</v>
      </c>
      <c r="H344" s="475" t="s">
        <v>1010</v>
      </c>
      <c r="I344" s="466">
        <v>45574.0</v>
      </c>
      <c r="J344" s="467"/>
      <c r="K344" s="463" t="s">
        <v>1661</v>
      </c>
      <c r="L344" s="464"/>
      <c r="M344" s="465"/>
      <c r="N344" s="464" t="s">
        <v>3990</v>
      </c>
      <c r="O344" s="465" t="s">
        <v>3991</v>
      </c>
      <c r="P344" s="464" t="s">
        <v>3260</v>
      </c>
      <c r="Q344" s="463">
        <v>2024.0</v>
      </c>
      <c r="R344" s="465" t="s">
        <v>3997</v>
      </c>
      <c r="S344" s="465" t="s">
        <v>4210</v>
      </c>
      <c r="T344" s="482">
        <v>0.56</v>
      </c>
      <c r="U344" s="464" t="s">
        <v>3992</v>
      </c>
      <c r="V344" s="464"/>
    </row>
    <row r="345" ht="15.0" customHeight="1">
      <c r="A345" s="463">
        <f t="shared" si="7"/>
        <v>48</v>
      </c>
      <c r="B345" s="464" t="s">
        <v>4211</v>
      </c>
      <c r="C345" s="470" t="s">
        <v>4212</v>
      </c>
      <c r="D345" s="470" t="s">
        <v>4213</v>
      </c>
      <c r="E345" s="464" t="s">
        <v>79</v>
      </c>
      <c r="F345" s="464" t="s">
        <v>3989</v>
      </c>
      <c r="G345" s="80" t="str">
        <f>VLOOKUP(F345,'01. TH'!$B:$E,3,0)</f>
        <v>#N/A</v>
      </c>
      <c r="H345" s="475" t="s">
        <v>1010</v>
      </c>
      <c r="I345" s="463" t="s">
        <v>4214</v>
      </c>
      <c r="J345" s="467"/>
      <c r="K345" s="463" t="s">
        <v>1661</v>
      </c>
      <c r="L345" s="464"/>
      <c r="M345" s="465"/>
      <c r="N345" s="464" t="s">
        <v>3990</v>
      </c>
      <c r="O345" s="465" t="s">
        <v>3991</v>
      </c>
      <c r="P345" s="464" t="s">
        <v>3260</v>
      </c>
      <c r="Q345" s="463">
        <v>2024.0</v>
      </c>
      <c r="R345" s="465" t="s">
        <v>3997</v>
      </c>
      <c r="S345" s="465" t="s">
        <v>4215</v>
      </c>
      <c r="T345" s="482">
        <v>0.56</v>
      </c>
      <c r="U345" s="464" t="s">
        <v>3992</v>
      </c>
      <c r="V345" s="464"/>
    </row>
    <row r="346" ht="15.0" customHeight="1">
      <c r="A346" s="463">
        <f t="shared" si="7"/>
        <v>49</v>
      </c>
      <c r="B346" s="464" t="s">
        <v>4216</v>
      </c>
      <c r="C346" s="465" t="s">
        <v>4217</v>
      </c>
      <c r="D346" s="464" t="s">
        <v>4218</v>
      </c>
      <c r="E346" s="464" t="s">
        <v>79</v>
      </c>
      <c r="F346" s="464" t="s">
        <v>3989</v>
      </c>
      <c r="G346" s="80" t="str">
        <f>VLOOKUP(F346,'01. TH'!$B:$E,3,0)</f>
        <v>#N/A</v>
      </c>
      <c r="H346" s="475" t="s">
        <v>1010</v>
      </c>
      <c r="I346" s="466">
        <v>45995.0</v>
      </c>
      <c r="J346" s="467"/>
      <c r="K346" s="463" t="s">
        <v>1661</v>
      </c>
      <c r="L346" s="464"/>
      <c r="M346" s="465"/>
      <c r="N346" s="464" t="s">
        <v>3990</v>
      </c>
      <c r="O346" s="465" t="s">
        <v>3991</v>
      </c>
      <c r="P346" s="464" t="s">
        <v>3260</v>
      </c>
      <c r="Q346" s="463">
        <v>2025.0</v>
      </c>
      <c r="R346" s="465" t="s">
        <v>3997</v>
      </c>
      <c r="S346" s="465" t="s">
        <v>4219</v>
      </c>
      <c r="T346" s="482">
        <v>0.56</v>
      </c>
      <c r="U346" s="464" t="s">
        <v>3992</v>
      </c>
      <c r="V346" s="464"/>
    </row>
    <row r="347" ht="15.0" customHeight="1">
      <c r="A347" s="463">
        <f t="shared" si="7"/>
        <v>50</v>
      </c>
      <c r="B347" s="464" t="s">
        <v>4220</v>
      </c>
      <c r="C347" s="465" t="s">
        <v>4221</v>
      </c>
      <c r="D347" s="464" t="s">
        <v>4222</v>
      </c>
      <c r="E347" s="464" t="s">
        <v>79</v>
      </c>
      <c r="F347" s="464" t="s">
        <v>3989</v>
      </c>
      <c r="G347" s="80" t="str">
        <f>VLOOKUP(F347,'01. TH'!$B:$E,3,0)</f>
        <v>#N/A</v>
      </c>
      <c r="H347" s="475" t="s">
        <v>1010</v>
      </c>
      <c r="I347" s="466">
        <v>45995.0</v>
      </c>
      <c r="J347" s="467"/>
      <c r="K347" s="463" t="s">
        <v>1661</v>
      </c>
      <c r="L347" s="464"/>
      <c r="M347" s="465"/>
      <c r="N347" s="464" t="s">
        <v>3990</v>
      </c>
      <c r="O347" s="465" t="s">
        <v>3991</v>
      </c>
      <c r="P347" s="464" t="s">
        <v>3260</v>
      </c>
      <c r="Q347" s="463">
        <v>2025.0</v>
      </c>
      <c r="R347" s="465" t="s">
        <v>3997</v>
      </c>
      <c r="S347" s="465" t="s">
        <v>4223</v>
      </c>
      <c r="T347" s="482">
        <v>0.56</v>
      </c>
      <c r="U347" s="464" t="s">
        <v>3992</v>
      </c>
      <c r="V347" s="464"/>
    </row>
    <row r="348" ht="15.0" customHeight="1">
      <c r="A348" s="463">
        <f t="shared" si="7"/>
        <v>51</v>
      </c>
      <c r="B348" s="464" t="s">
        <v>4224</v>
      </c>
      <c r="C348" s="465"/>
      <c r="D348" s="464" t="s">
        <v>4225</v>
      </c>
      <c r="E348" s="464" t="s">
        <v>79</v>
      </c>
      <c r="F348" s="464" t="s">
        <v>3989</v>
      </c>
      <c r="G348" s="80" t="str">
        <f>VLOOKUP(F348,'01. TH'!$B:$E,3,0)</f>
        <v>#N/A</v>
      </c>
      <c r="H348" s="475" t="s">
        <v>1010</v>
      </c>
      <c r="I348" s="463" t="s">
        <v>4226</v>
      </c>
      <c r="J348" s="467"/>
      <c r="K348" s="463" t="s">
        <v>1661</v>
      </c>
      <c r="L348" s="464"/>
      <c r="M348" s="465" t="s">
        <v>3581</v>
      </c>
      <c r="N348" s="464" t="s">
        <v>3990</v>
      </c>
      <c r="O348" s="465" t="s">
        <v>4227</v>
      </c>
      <c r="P348" s="464" t="s">
        <v>3260</v>
      </c>
      <c r="Q348" s="463">
        <v>2025.0</v>
      </c>
      <c r="R348" s="465" t="s">
        <v>3997</v>
      </c>
      <c r="S348" s="465">
        <v>25.0</v>
      </c>
      <c r="T348" s="482">
        <v>0.56</v>
      </c>
      <c r="U348" s="464" t="s">
        <v>3992</v>
      </c>
      <c r="V348" s="467"/>
    </row>
    <row r="349" ht="15.0" customHeight="1">
      <c r="A349" s="463">
        <f t="shared" si="7"/>
        <v>52</v>
      </c>
      <c r="B349" s="464" t="s">
        <v>4228</v>
      </c>
      <c r="C349" s="465"/>
      <c r="D349" s="464" t="s">
        <v>4229</v>
      </c>
      <c r="E349" s="464" t="s">
        <v>79</v>
      </c>
      <c r="F349" s="464" t="s">
        <v>3989</v>
      </c>
      <c r="G349" s="80" t="str">
        <f>VLOOKUP(F349,'01. TH'!$B:$E,3,0)</f>
        <v>#N/A</v>
      </c>
      <c r="H349" s="475" t="s">
        <v>1010</v>
      </c>
      <c r="I349" s="463" t="s">
        <v>4226</v>
      </c>
      <c r="J349" s="467"/>
      <c r="K349" s="463" t="s">
        <v>1661</v>
      </c>
      <c r="L349" s="464"/>
      <c r="M349" s="465" t="s">
        <v>3581</v>
      </c>
      <c r="N349" s="464" t="s">
        <v>3990</v>
      </c>
      <c r="O349" s="465" t="s">
        <v>4230</v>
      </c>
      <c r="P349" s="464" t="s">
        <v>3260</v>
      </c>
      <c r="Q349" s="463">
        <v>2025.0</v>
      </c>
      <c r="R349" s="465" t="s">
        <v>3997</v>
      </c>
      <c r="S349" s="465">
        <v>27.0</v>
      </c>
      <c r="T349" s="482">
        <v>0.56</v>
      </c>
      <c r="U349" s="464" t="s">
        <v>3992</v>
      </c>
      <c r="V349" s="467"/>
    </row>
    <row r="350" ht="15.0" customHeight="1">
      <c r="A350" s="463">
        <f t="shared" si="7"/>
        <v>53</v>
      </c>
      <c r="B350" s="464" t="s">
        <v>4231</v>
      </c>
      <c r="C350" s="465"/>
      <c r="D350" s="464" t="s">
        <v>4232</v>
      </c>
      <c r="E350" s="464" t="s">
        <v>79</v>
      </c>
      <c r="F350" s="464" t="s">
        <v>3989</v>
      </c>
      <c r="G350" s="80" t="str">
        <f>VLOOKUP(F350,'01. TH'!$B:$E,3,0)</f>
        <v>#N/A</v>
      </c>
      <c r="H350" s="475" t="s">
        <v>1010</v>
      </c>
      <c r="I350" s="463" t="s">
        <v>4233</v>
      </c>
      <c r="J350" s="467"/>
      <c r="K350" s="463" t="s">
        <v>1661</v>
      </c>
      <c r="L350" s="464"/>
      <c r="M350" s="465" t="s">
        <v>3581</v>
      </c>
      <c r="N350" s="464" t="s">
        <v>3990</v>
      </c>
      <c r="O350" s="465" t="s">
        <v>4234</v>
      </c>
      <c r="P350" s="464" t="s">
        <v>3260</v>
      </c>
      <c r="Q350" s="463">
        <v>2025.0</v>
      </c>
      <c r="R350" s="465" t="s">
        <v>3997</v>
      </c>
      <c r="S350" s="465"/>
      <c r="T350" s="482">
        <v>0.56</v>
      </c>
      <c r="U350" s="464" t="s">
        <v>3992</v>
      </c>
      <c r="V350" s="467"/>
    </row>
    <row r="351" ht="15.0" customHeight="1">
      <c r="A351" s="463">
        <f t="shared" si="7"/>
        <v>54</v>
      </c>
      <c r="B351" s="464" t="s">
        <v>4235</v>
      </c>
      <c r="C351" s="465"/>
      <c r="D351" s="464" t="s">
        <v>4236</v>
      </c>
      <c r="E351" s="464" t="s">
        <v>79</v>
      </c>
      <c r="F351" s="464" t="s">
        <v>3989</v>
      </c>
      <c r="G351" s="80" t="str">
        <f>VLOOKUP(F351,'01. TH'!$B:$E,3,0)</f>
        <v>#N/A</v>
      </c>
      <c r="H351" s="475" t="s">
        <v>1010</v>
      </c>
      <c r="I351" s="466">
        <v>45880.0</v>
      </c>
      <c r="J351" s="467"/>
      <c r="K351" s="463" t="s">
        <v>1661</v>
      </c>
      <c r="L351" s="464"/>
      <c r="M351" s="465" t="s">
        <v>3581</v>
      </c>
      <c r="N351" s="464" t="s">
        <v>3990</v>
      </c>
      <c r="O351" s="465" t="s">
        <v>4237</v>
      </c>
      <c r="P351" s="464" t="s">
        <v>3260</v>
      </c>
      <c r="Q351" s="463">
        <v>2025.0</v>
      </c>
      <c r="R351" s="465" t="s">
        <v>3997</v>
      </c>
      <c r="S351" s="465"/>
      <c r="T351" s="482">
        <v>0.56</v>
      </c>
      <c r="U351" s="464" t="s">
        <v>3992</v>
      </c>
      <c r="V351" s="467"/>
    </row>
    <row r="352" ht="15.0" customHeight="1">
      <c r="A352" s="463">
        <f t="shared" si="7"/>
        <v>55</v>
      </c>
      <c r="B352" s="464" t="s">
        <v>4238</v>
      </c>
      <c r="C352" s="465"/>
      <c r="D352" s="464" t="s">
        <v>4239</v>
      </c>
      <c r="E352" s="464" t="s">
        <v>79</v>
      </c>
      <c r="F352" s="464" t="s">
        <v>3989</v>
      </c>
      <c r="G352" s="80" t="str">
        <f>VLOOKUP(F352,'01. TH'!$B:$E,3,0)</f>
        <v>#N/A</v>
      </c>
      <c r="H352" s="475" t="s">
        <v>1010</v>
      </c>
      <c r="I352" s="463" t="s">
        <v>4241</v>
      </c>
      <c r="J352" s="467"/>
      <c r="K352" s="463" t="s">
        <v>1661</v>
      </c>
      <c r="L352" s="464"/>
      <c r="M352" s="465" t="s">
        <v>3581</v>
      </c>
      <c r="N352" s="464" t="s">
        <v>3990</v>
      </c>
      <c r="O352" s="465" t="s">
        <v>4242</v>
      </c>
      <c r="P352" s="464" t="s">
        <v>3260</v>
      </c>
      <c r="Q352" s="463">
        <v>2025.0</v>
      </c>
      <c r="R352" s="465" t="s">
        <v>3997</v>
      </c>
      <c r="S352" s="465"/>
      <c r="T352" s="482">
        <v>0.56</v>
      </c>
      <c r="U352" s="464" t="s">
        <v>3992</v>
      </c>
      <c r="V352" s="467"/>
    </row>
    <row r="353" ht="15.0" customHeight="1">
      <c r="A353" s="463">
        <f t="shared" si="7"/>
        <v>56</v>
      </c>
      <c r="B353" s="464" t="s">
        <v>4243</v>
      </c>
      <c r="C353" s="465"/>
      <c r="D353" s="464" t="s">
        <v>4244</v>
      </c>
      <c r="E353" s="464" t="s">
        <v>79</v>
      </c>
      <c r="F353" s="464" t="s">
        <v>3989</v>
      </c>
      <c r="G353" s="80" t="str">
        <f>VLOOKUP(F353,'01. TH'!$B:$E,3,0)</f>
        <v>#N/A</v>
      </c>
      <c r="H353" s="475" t="s">
        <v>1010</v>
      </c>
      <c r="I353" s="466">
        <v>45759.0</v>
      </c>
      <c r="J353" s="467"/>
      <c r="K353" s="463" t="s">
        <v>1661</v>
      </c>
      <c r="L353" s="464"/>
      <c r="M353" s="465" t="s">
        <v>3581</v>
      </c>
      <c r="N353" s="464" t="s">
        <v>3990</v>
      </c>
      <c r="O353" s="465" t="s">
        <v>4245</v>
      </c>
      <c r="P353" s="464" t="s">
        <v>3260</v>
      </c>
      <c r="Q353" s="463">
        <v>2025.0</v>
      </c>
      <c r="R353" s="465" t="s">
        <v>3997</v>
      </c>
      <c r="S353" s="465"/>
      <c r="T353" s="482">
        <v>0.56</v>
      </c>
      <c r="U353" s="464" t="s">
        <v>3992</v>
      </c>
      <c r="V353" s="467"/>
    </row>
    <row r="354" ht="15.0" customHeight="1">
      <c r="A354" s="463">
        <f t="shared" si="7"/>
        <v>57</v>
      </c>
      <c r="B354" s="464" t="s">
        <v>4246</v>
      </c>
      <c r="C354" s="465"/>
      <c r="D354" s="464" t="s">
        <v>4247</v>
      </c>
      <c r="E354" s="464" t="s">
        <v>79</v>
      </c>
      <c r="F354" s="464" t="s">
        <v>3989</v>
      </c>
      <c r="G354" s="80" t="str">
        <f>VLOOKUP(F354,'01. TH'!$B:$E,3,0)</f>
        <v>#N/A</v>
      </c>
      <c r="H354" s="475" t="s">
        <v>1010</v>
      </c>
      <c r="I354" s="466">
        <v>45759.0</v>
      </c>
      <c r="J354" s="467"/>
      <c r="K354" s="463" t="s">
        <v>1661</v>
      </c>
      <c r="L354" s="464"/>
      <c r="M354" s="465" t="s">
        <v>3581</v>
      </c>
      <c r="N354" s="464" t="s">
        <v>3990</v>
      </c>
      <c r="O354" s="465" t="s">
        <v>4248</v>
      </c>
      <c r="P354" s="464" t="s">
        <v>3260</v>
      </c>
      <c r="Q354" s="463">
        <v>2025.0</v>
      </c>
      <c r="R354" s="465" t="s">
        <v>3997</v>
      </c>
      <c r="S354" s="465"/>
      <c r="T354" s="482">
        <v>0.56</v>
      </c>
      <c r="U354" s="464" t="s">
        <v>3992</v>
      </c>
      <c r="V354" s="467"/>
    </row>
    <row r="355" ht="15.0" customHeight="1">
      <c r="A355" s="463">
        <f t="shared" si="7"/>
        <v>58</v>
      </c>
      <c r="B355" s="464" t="s">
        <v>4249</v>
      </c>
      <c r="C355" s="465"/>
      <c r="D355" s="464" t="s">
        <v>4040</v>
      </c>
      <c r="E355" s="464" t="s">
        <v>79</v>
      </c>
      <c r="F355" s="464" t="s">
        <v>3989</v>
      </c>
      <c r="G355" s="80"/>
      <c r="H355" s="475" t="s">
        <v>1010</v>
      </c>
      <c r="I355" s="463" t="s">
        <v>4250</v>
      </c>
      <c r="J355" s="467"/>
      <c r="K355" s="463" t="s">
        <v>1661</v>
      </c>
      <c r="L355" s="464"/>
      <c r="M355" s="465" t="s">
        <v>3581</v>
      </c>
      <c r="N355" s="464"/>
      <c r="O355" s="465"/>
      <c r="P355" s="467"/>
      <c r="Q355" s="463"/>
      <c r="R355" s="465"/>
      <c r="S355" s="465"/>
      <c r="T355" s="482">
        <v>0.56</v>
      </c>
      <c r="U355" s="464" t="s">
        <v>3992</v>
      </c>
      <c r="V355" s="467"/>
    </row>
    <row r="356" ht="15.0" customHeight="1">
      <c r="A356" s="463">
        <f t="shared" si="7"/>
        <v>59</v>
      </c>
      <c r="B356" s="464" t="s">
        <v>4251</v>
      </c>
      <c r="C356" s="465"/>
      <c r="D356" s="464" t="s">
        <v>4252</v>
      </c>
      <c r="E356" s="464" t="s">
        <v>79</v>
      </c>
      <c r="F356" s="464" t="s">
        <v>3989</v>
      </c>
      <c r="G356" s="80" t="str">
        <f>VLOOKUP(F356,'01. TH'!$B:$E,3,0)</f>
        <v>#N/A</v>
      </c>
      <c r="H356" s="475" t="s">
        <v>1010</v>
      </c>
      <c r="I356" s="466">
        <v>46056.0</v>
      </c>
      <c r="J356" s="467"/>
      <c r="K356" s="463" t="s">
        <v>1661</v>
      </c>
      <c r="L356" s="464"/>
      <c r="M356" s="465" t="s">
        <v>3581</v>
      </c>
      <c r="N356" s="464"/>
      <c r="O356" s="465"/>
      <c r="P356" s="467"/>
      <c r="Q356" s="463"/>
      <c r="R356" s="465"/>
      <c r="S356" s="465"/>
      <c r="T356" s="482">
        <v>0.56</v>
      </c>
      <c r="U356" s="464" t="s">
        <v>3992</v>
      </c>
      <c r="V356" s="467"/>
    </row>
    <row r="357" ht="15.0" customHeight="1">
      <c r="A357" s="463"/>
      <c r="B357" s="464"/>
      <c r="C357" s="465"/>
      <c r="D357" s="464"/>
      <c r="E357" s="467"/>
      <c r="F357" s="464"/>
      <c r="G357" s="80"/>
      <c r="H357" s="475"/>
      <c r="I357" s="463"/>
      <c r="J357" s="467"/>
      <c r="K357" s="463"/>
      <c r="L357" s="464"/>
      <c r="M357" s="465"/>
      <c r="N357" s="464"/>
      <c r="O357" s="465"/>
      <c r="P357" s="467"/>
      <c r="Q357" s="463"/>
      <c r="R357" s="465"/>
      <c r="S357" s="465"/>
      <c r="T357" s="469"/>
      <c r="U357" s="467"/>
      <c r="V357" s="467"/>
    </row>
    <row r="358" ht="15.0" customHeight="1">
      <c r="A358" s="463"/>
      <c r="B358" s="464"/>
      <c r="C358" s="465" t="s">
        <v>4253</v>
      </c>
      <c r="D358" s="464"/>
      <c r="E358" s="467"/>
      <c r="F358" s="464"/>
      <c r="G358" s="80" t="str">
        <f>VLOOKUP(F358,'01. TH'!$B:$E,3,0)</f>
        <v>#N/A</v>
      </c>
      <c r="H358" s="475"/>
      <c r="I358" s="463"/>
      <c r="J358" s="467"/>
      <c r="K358" s="463"/>
      <c r="L358" s="464"/>
      <c r="M358" s="465"/>
      <c r="N358" s="464"/>
      <c r="O358" s="465"/>
      <c r="P358" s="467"/>
      <c r="Q358" s="463"/>
      <c r="R358" s="465"/>
      <c r="S358" s="465"/>
      <c r="T358" s="469"/>
      <c r="U358" s="467"/>
      <c r="V358" s="467"/>
    </row>
    <row r="359" ht="15.0" customHeight="1">
      <c r="A359" s="455" t="s">
        <v>1116</v>
      </c>
      <c r="B359" s="456" t="s">
        <v>4254</v>
      </c>
      <c r="C359" s="457">
        <f>COUNTA($B$360:$B$423)</f>
        <v>63</v>
      </c>
      <c r="D359" s="458"/>
      <c r="E359" s="458"/>
      <c r="F359" s="458">
        <f>counta(F382:F397)</f>
        <v>16</v>
      </c>
      <c r="G359" s="459"/>
      <c r="H359" s="459"/>
      <c r="I359" s="457"/>
      <c r="J359" s="460"/>
      <c r="K359" s="457"/>
      <c r="L359" s="458"/>
      <c r="M359" s="461"/>
      <c r="N359" s="458"/>
      <c r="O359" s="461"/>
      <c r="P359" s="458"/>
      <c r="Q359" s="459"/>
      <c r="R359" s="461"/>
      <c r="S359" s="461"/>
      <c r="T359" s="462"/>
      <c r="U359" s="458"/>
      <c r="V359" s="458"/>
    </row>
    <row r="360" ht="15.0" customHeight="1">
      <c r="A360" s="463">
        <v>1.0</v>
      </c>
      <c r="B360" s="486" t="s">
        <v>4255</v>
      </c>
      <c r="C360" s="476"/>
      <c r="D360" s="464"/>
      <c r="E360" s="464" t="s">
        <v>79</v>
      </c>
      <c r="F360" s="464" t="s">
        <v>3899</v>
      </c>
      <c r="G360" s="80" t="str">
        <f>VLOOKUP(F360,'01. TH'!$B:$E,3,0)</f>
        <v/>
      </c>
      <c r="H360" s="490" t="s">
        <v>1120</v>
      </c>
      <c r="I360" s="475"/>
      <c r="J360" s="467"/>
      <c r="K360" s="463" t="s">
        <v>1661</v>
      </c>
      <c r="L360" s="467"/>
      <c r="M360" s="465" t="s">
        <v>4155</v>
      </c>
      <c r="N360" s="464" t="s">
        <v>3084</v>
      </c>
      <c r="O360" s="465" t="s">
        <v>4144</v>
      </c>
      <c r="P360" s="464" t="s">
        <v>3084</v>
      </c>
      <c r="Q360" s="475"/>
      <c r="R360" s="464" t="s">
        <v>4144</v>
      </c>
      <c r="S360" s="477"/>
      <c r="T360" s="509"/>
      <c r="U360" s="486"/>
      <c r="V360" s="486"/>
    </row>
    <row r="361" ht="15.0" customHeight="1">
      <c r="A361" s="463">
        <f t="shared" ref="A361:A422" si="8">A360+1</f>
        <v>2</v>
      </c>
      <c r="B361" s="486" t="s">
        <v>4257</v>
      </c>
      <c r="C361" s="476"/>
      <c r="D361" s="464"/>
      <c r="E361" s="464" t="s">
        <v>79</v>
      </c>
      <c r="F361" s="464" t="s">
        <v>3899</v>
      </c>
      <c r="G361" s="80" t="str">
        <f>VLOOKUP(F361,'01. TH'!$B:$E,3,0)</f>
        <v/>
      </c>
      <c r="H361" s="490" t="s">
        <v>1120</v>
      </c>
      <c r="I361" s="475"/>
      <c r="J361" s="467"/>
      <c r="K361" s="463" t="s">
        <v>1661</v>
      </c>
      <c r="L361" s="467"/>
      <c r="M361" s="465" t="s">
        <v>4155</v>
      </c>
      <c r="N361" s="464" t="s">
        <v>3084</v>
      </c>
      <c r="O361" s="465" t="s">
        <v>4144</v>
      </c>
      <c r="P361" s="464" t="s">
        <v>3084</v>
      </c>
      <c r="Q361" s="475"/>
      <c r="R361" s="464" t="s">
        <v>4144</v>
      </c>
      <c r="S361" s="477"/>
      <c r="T361" s="509"/>
      <c r="U361" s="486"/>
      <c r="V361" s="486"/>
    </row>
    <row r="362" ht="15.0" customHeight="1">
      <c r="A362" s="463">
        <f t="shared" si="8"/>
        <v>3</v>
      </c>
      <c r="B362" s="486" t="s">
        <v>4258</v>
      </c>
      <c r="C362" s="476"/>
      <c r="D362" s="464"/>
      <c r="E362" s="464" t="s">
        <v>79</v>
      </c>
      <c r="F362" s="464" t="s">
        <v>3899</v>
      </c>
      <c r="G362" s="80" t="str">
        <f>VLOOKUP(F362,'01. TH'!$B:$E,3,0)</f>
        <v/>
      </c>
      <c r="H362" s="490" t="s">
        <v>1120</v>
      </c>
      <c r="I362" s="475"/>
      <c r="J362" s="467"/>
      <c r="K362" s="463" t="s">
        <v>1661</v>
      </c>
      <c r="L362" s="467"/>
      <c r="M362" s="465" t="s">
        <v>4155</v>
      </c>
      <c r="N362" s="464" t="s">
        <v>3084</v>
      </c>
      <c r="O362" s="465" t="s">
        <v>4144</v>
      </c>
      <c r="P362" s="464" t="s">
        <v>3084</v>
      </c>
      <c r="Q362" s="475"/>
      <c r="R362" s="464" t="s">
        <v>4144</v>
      </c>
      <c r="S362" s="477"/>
      <c r="T362" s="509"/>
      <c r="U362" s="486"/>
      <c r="V362" s="486"/>
    </row>
    <row r="363" ht="15.0" customHeight="1">
      <c r="A363" s="463">
        <f t="shared" si="8"/>
        <v>4</v>
      </c>
      <c r="B363" s="486" t="s">
        <v>4259</v>
      </c>
      <c r="C363" s="476"/>
      <c r="D363" s="464"/>
      <c r="E363" s="464" t="s">
        <v>79</v>
      </c>
      <c r="F363" s="464" t="s">
        <v>3899</v>
      </c>
      <c r="G363" s="80" t="str">
        <f>VLOOKUP(F363,'01. TH'!$B:$E,3,0)</f>
        <v/>
      </c>
      <c r="H363" s="490" t="s">
        <v>1120</v>
      </c>
      <c r="I363" s="475"/>
      <c r="J363" s="467"/>
      <c r="K363" s="463" t="s">
        <v>1661</v>
      </c>
      <c r="L363" s="467"/>
      <c r="M363" s="465" t="s">
        <v>4155</v>
      </c>
      <c r="N363" s="464" t="s">
        <v>3084</v>
      </c>
      <c r="O363" s="465" t="s">
        <v>4144</v>
      </c>
      <c r="P363" s="464" t="s">
        <v>3084</v>
      </c>
      <c r="Q363" s="475"/>
      <c r="R363" s="464" t="s">
        <v>4144</v>
      </c>
      <c r="S363" s="477"/>
      <c r="T363" s="509"/>
      <c r="U363" s="486"/>
      <c r="V363" s="486"/>
    </row>
    <row r="364" ht="15.0" customHeight="1">
      <c r="A364" s="463">
        <f t="shared" si="8"/>
        <v>5</v>
      </c>
      <c r="B364" s="486" t="s">
        <v>4260</v>
      </c>
      <c r="C364" s="476"/>
      <c r="D364" s="464"/>
      <c r="E364" s="464" t="s">
        <v>79</v>
      </c>
      <c r="F364" s="464" t="s">
        <v>3899</v>
      </c>
      <c r="G364" s="80" t="str">
        <f>VLOOKUP(F364,'01. TH'!$B:$E,3,0)</f>
        <v/>
      </c>
      <c r="H364" s="490" t="s">
        <v>1120</v>
      </c>
      <c r="I364" s="475"/>
      <c r="J364" s="467"/>
      <c r="K364" s="463" t="s">
        <v>1661</v>
      </c>
      <c r="L364" s="467"/>
      <c r="M364" s="465" t="s">
        <v>4261</v>
      </c>
      <c r="N364" s="464" t="s">
        <v>3084</v>
      </c>
      <c r="O364" s="465" t="s">
        <v>4144</v>
      </c>
      <c r="P364" s="464" t="s">
        <v>3084</v>
      </c>
      <c r="Q364" s="475"/>
      <c r="R364" s="464" t="s">
        <v>4144</v>
      </c>
      <c r="S364" s="477"/>
      <c r="T364" s="509"/>
      <c r="U364" s="486"/>
      <c r="V364" s="486"/>
    </row>
    <row r="365" ht="15.0" customHeight="1">
      <c r="A365" s="463">
        <f t="shared" si="8"/>
        <v>6</v>
      </c>
      <c r="B365" s="486" t="s">
        <v>4262</v>
      </c>
      <c r="C365" s="476"/>
      <c r="D365" s="464"/>
      <c r="E365" s="464" t="s">
        <v>79</v>
      </c>
      <c r="F365" s="464" t="s">
        <v>3899</v>
      </c>
      <c r="G365" s="80" t="str">
        <f>VLOOKUP(F365,'01. TH'!$B:$E,3,0)</f>
        <v/>
      </c>
      <c r="H365" s="490" t="s">
        <v>1120</v>
      </c>
      <c r="I365" s="475"/>
      <c r="J365" s="467"/>
      <c r="K365" s="463" t="s">
        <v>1661</v>
      </c>
      <c r="L365" s="467"/>
      <c r="M365" s="465" t="s">
        <v>4261</v>
      </c>
      <c r="N365" s="464" t="s">
        <v>3084</v>
      </c>
      <c r="O365" s="465" t="s">
        <v>4144</v>
      </c>
      <c r="P365" s="464" t="s">
        <v>3084</v>
      </c>
      <c r="Q365" s="475"/>
      <c r="R365" s="464" t="s">
        <v>4144</v>
      </c>
      <c r="S365" s="477"/>
      <c r="T365" s="509"/>
      <c r="U365" s="486"/>
      <c r="V365" s="486"/>
    </row>
    <row r="366" ht="15.0" customHeight="1">
      <c r="A366" s="463">
        <f t="shared" si="8"/>
        <v>7</v>
      </c>
      <c r="B366" s="486" t="s">
        <v>4263</v>
      </c>
      <c r="C366" s="476"/>
      <c r="D366" s="464"/>
      <c r="E366" s="464" t="s">
        <v>79</v>
      </c>
      <c r="F366" s="464" t="s">
        <v>3899</v>
      </c>
      <c r="G366" s="80" t="str">
        <f>VLOOKUP(F366,'01. TH'!$B:$E,3,0)</f>
        <v/>
      </c>
      <c r="H366" s="490" t="s">
        <v>1120</v>
      </c>
      <c r="I366" s="475"/>
      <c r="J366" s="467"/>
      <c r="K366" s="463" t="s">
        <v>1661</v>
      </c>
      <c r="L366" s="467"/>
      <c r="M366" s="465" t="s">
        <v>4261</v>
      </c>
      <c r="N366" s="464" t="s">
        <v>3084</v>
      </c>
      <c r="O366" s="465" t="s">
        <v>4144</v>
      </c>
      <c r="P366" s="464" t="s">
        <v>3084</v>
      </c>
      <c r="Q366" s="475"/>
      <c r="R366" s="464" t="s">
        <v>4144</v>
      </c>
      <c r="S366" s="477"/>
      <c r="T366" s="509"/>
      <c r="U366" s="486"/>
      <c r="V366" s="486"/>
    </row>
    <row r="367" ht="15.0" customHeight="1">
      <c r="A367" s="463">
        <f t="shared" si="8"/>
        <v>8</v>
      </c>
      <c r="B367" s="486" t="s">
        <v>4264</v>
      </c>
      <c r="C367" s="476"/>
      <c r="D367" s="464"/>
      <c r="E367" s="464" t="s">
        <v>79</v>
      </c>
      <c r="F367" s="464" t="s">
        <v>3899</v>
      </c>
      <c r="G367" s="80" t="str">
        <f>VLOOKUP(F367,'01. TH'!$B:$E,3,0)</f>
        <v/>
      </c>
      <c r="H367" s="490" t="s">
        <v>1120</v>
      </c>
      <c r="I367" s="475"/>
      <c r="J367" s="467"/>
      <c r="K367" s="463" t="s">
        <v>1661</v>
      </c>
      <c r="L367" s="467"/>
      <c r="M367" s="465" t="s">
        <v>4261</v>
      </c>
      <c r="N367" s="464" t="s">
        <v>3084</v>
      </c>
      <c r="O367" s="465" t="s">
        <v>4144</v>
      </c>
      <c r="P367" s="464" t="s">
        <v>3084</v>
      </c>
      <c r="Q367" s="475"/>
      <c r="R367" s="464" t="s">
        <v>4144</v>
      </c>
      <c r="S367" s="477"/>
      <c r="T367" s="509"/>
      <c r="U367" s="486"/>
      <c r="V367" s="486"/>
    </row>
    <row r="368" ht="15.0" customHeight="1">
      <c r="A368" s="463">
        <f t="shared" si="8"/>
        <v>9</v>
      </c>
      <c r="B368" s="486" t="s">
        <v>4265</v>
      </c>
      <c r="C368" s="476"/>
      <c r="D368" s="464"/>
      <c r="E368" s="464" t="s">
        <v>79</v>
      </c>
      <c r="F368" s="464" t="s">
        <v>3899</v>
      </c>
      <c r="G368" s="80" t="str">
        <f>VLOOKUP(F368,'01. TH'!$B:$E,3,0)</f>
        <v/>
      </c>
      <c r="H368" s="490" t="s">
        <v>1120</v>
      </c>
      <c r="I368" s="475"/>
      <c r="J368" s="467"/>
      <c r="K368" s="463" t="s">
        <v>1661</v>
      </c>
      <c r="L368" s="467"/>
      <c r="M368" s="465" t="s">
        <v>4261</v>
      </c>
      <c r="N368" s="464" t="s">
        <v>3084</v>
      </c>
      <c r="O368" s="465" t="s">
        <v>4144</v>
      </c>
      <c r="P368" s="464" t="s">
        <v>3084</v>
      </c>
      <c r="Q368" s="475"/>
      <c r="R368" s="464" t="s">
        <v>4144</v>
      </c>
      <c r="S368" s="477"/>
      <c r="T368" s="509"/>
      <c r="U368" s="486"/>
      <c r="V368" s="486"/>
    </row>
    <row r="369" ht="15.0" customHeight="1">
      <c r="A369" s="463">
        <f t="shared" si="8"/>
        <v>10</v>
      </c>
      <c r="B369" s="486" t="s">
        <v>4266</v>
      </c>
      <c r="C369" s="476"/>
      <c r="D369" s="464"/>
      <c r="E369" s="464" t="s">
        <v>79</v>
      </c>
      <c r="F369" s="464" t="s">
        <v>3899</v>
      </c>
      <c r="G369" s="80" t="str">
        <f>VLOOKUP(F369,'01. TH'!$B:$E,3,0)</f>
        <v/>
      </c>
      <c r="H369" s="490" t="s">
        <v>1120</v>
      </c>
      <c r="I369" s="475"/>
      <c r="J369" s="467"/>
      <c r="K369" s="463" t="s">
        <v>1661</v>
      </c>
      <c r="L369" s="467"/>
      <c r="M369" s="465" t="s">
        <v>4261</v>
      </c>
      <c r="N369" s="464" t="s">
        <v>3084</v>
      </c>
      <c r="O369" s="465" t="s">
        <v>4144</v>
      </c>
      <c r="P369" s="464" t="s">
        <v>3084</v>
      </c>
      <c r="Q369" s="475"/>
      <c r="R369" s="464" t="s">
        <v>4144</v>
      </c>
      <c r="S369" s="477"/>
      <c r="T369" s="509"/>
      <c r="U369" s="486"/>
      <c r="V369" s="486"/>
    </row>
    <row r="370" ht="15.0" customHeight="1">
      <c r="A370" s="463">
        <f t="shared" si="8"/>
        <v>11</v>
      </c>
      <c r="B370" s="486" t="s">
        <v>4268</v>
      </c>
      <c r="C370" s="476"/>
      <c r="D370" s="464"/>
      <c r="E370" s="464" t="s">
        <v>79</v>
      </c>
      <c r="F370" s="464" t="s">
        <v>3899</v>
      </c>
      <c r="G370" s="80" t="str">
        <f>VLOOKUP(F370,'01. TH'!$B:$E,3,0)</f>
        <v/>
      </c>
      <c r="H370" s="490" t="s">
        <v>1120</v>
      </c>
      <c r="I370" s="475"/>
      <c r="J370" s="467"/>
      <c r="K370" s="463" t="s">
        <v>1661</v>
      </c>
      <c r="L370" s="467"/>
      <c r="M370" s="476"/>
      <c r="N370" s="464" t="s">
        <v>3084</v>
      </c>
      <c r="O370" s="465" t="s">
        <v>4152</v>
      </c>
      <c r="P370" s="464" t="s">
        <v>3084</v>
      </c>
      <c r="Q370" s="475"/>
      <c r="R370" s="464" t="s">
        <v>4152</v>
      </c>
      <c r="S370" s="477"/>
      <c r="T370" s="509"/>
      <c r="U370" s="486"/>
      <c r="V370" s="486"/>
    </row>
    <row r="371" ht="15.0" customHeight="1">
      <c r="A371" s="463">
        <f t="shared" si="8"/>
        <v>12</v>
      </c>
      <c r="B371" s="486" t="s">
        <v>4269</v>
      </c>
      <c r="C371" s="476"/>
      <c r="D371" s="464"/>
      <c r="E371" s="464" t="s">
        <v>79</v>
      </c>
      <c r="F371" s="464" t="s">
        <v>3899</v>
      </c>
      <c r="G371" s="80" t="str">
        <f>VLOOKUP(F371,'01. TH'!$B:$E,3,0)</f>
        <v/>
      </c>
      <c r="H371" s="490" t="s">
        <v>1120</v>
      </c>
      <c r="I371" s="475"/>
      <c r="J371" s="467"/>
      <c r="K371" s="463" t="s">
        <v>1661</v>
      </c>
      <c r="L371" s="467"/>
      <c r="M371" s="476"/>
      <c r="N371" s="464" t="s">
        <v>3084</v>
      </c>
      <c r="O371" s="465" t="s">
        <v>4152</v>
      </c>
      <c r="P371" s="464" t="s">
        <v>3084</v>
      </c>
      <c r="Q371" s="475"/>
      <c r="R371" s="464" t="s">
        <v>4152</v>
      </c>
      <c r="S371" s="477"/>
      <c r="T371" s="509"/>
      <c r="U371" s="486"/>
      <c r="V371" s="486"/>
    </row>
    <row r="372" ht="15.0" customHeight="1">
      <c r="A372" s="463">
        <f t="shared" si="8"/>
        <v>13</v>
      </c>
      <c r="B372" s="486" t="s">
        <v>4270</v>
      </c>
      <c r="C372" s="476"/>
      <c r="D372" s="464"/>
      <c r="E372" s="464" t="s">
        <v>79</v>
      </c>
      <c r="F372" s="464" t="s">
        <v>3899</v>
      </c>
      <c r="G372" s="80" t="str">
        <f>VLOOKUP(F372,'01. TH'!$B:$E,3,0)</f>
        <v/>
      </c>
      <c r="H372" s="490" t="s">
        <v>1120</v>
      </c>
      <c r="I372" s="475"/>
      <c r="J372" s="467"/>
      <c r="K372" s="463" t="s">
        <v>1661</v>
      </c>
      <c r="L372" s="467"/>
      <c r="M372" s="476"/>
      <c r="N372" s="464" t="s">
        <v>3084</v>
      </c>
      <c r="O372" s="465" t="s">
        <v>4152</v>
      </c>
      <c r="P372" s="464" t="s">
        <v>3084</v>
      </c>
      <c r="Q372" s="475"/>
      <c r="R372" s="464" t="s">
        <v>4152</v>
      </c>
      <c r="S372" s="477"/>
      <c r="T372" s="509"/>
      <c r="U372" s="486"/>
      <c r="V372" s="486"/>
    </row>
    <row r="373" ht="15.0" customHeight="1">
      <c r="A373" s="463">
        <f t="shared" si="8"/>
        <v>14</v>
      </c>
      <c r="B373" s="486" t="s">
        <v>4271</v>
      </c>
      <c r="C373" s="476"/>
      <c r="D373" s="464"/>
      <c r="E373" s="464" t="s">
        <v>79</v>
      </c>
      <c r="F373" s="464" t="s">
        <v>3899</v>
      </c>
      <c r="G373" s="80" t="str">
        <f>VLOOKUP(F373,'01. TH'!$B:$E,3,0)</f>
        <v/>
      </c>
      <c r="H373" s="490" t="s">
        <v>1120</v>
      </c>
      <c r="I373" s="475"/>
      <c r="J373" s="467"/>
      <c r="K373" s="463" t="s">
        <v>1661</v>
      </c>
      <c r="L373" s="467"/>
      <c r="M373" s="476"/>
      <c r="N373" s="464" t="s">
        <v>3084</v>
      </c>
      <c r="O373" s="465" t="s">
        <v>4152</v>
      </c>
      <c r="P373" s="464" t="s">
        <v>3084</v>
      </c>
      <c r="Q373" s="475"/>
      <c r="R373" s="464" t="s">
        <v>4152</v>
      </c>
      <c r="S373" s="477"/>
      <c r="T373" s="509"/>
      <c r="U373" s="486"/>
      <c r="V373" s="486"/>
    </row>
    <row r="374" ht="15.0" customHeight="1">
      <c r="A374" s="463">
        <f t="shared" si="8"/>
        <v>15</v>
      </c>
      <c r="B374" s="486" t="s">
        <v>4272</v>
      </c>
      <c r="C374" s="476"/>
      <c r="D374" s="464"/>
      <c r="E374" s="464" t="s">
        <v>79</v>
      </c>
      <c r="F374" s="464" t="s">
        <v>3899</v>
      </c>
      <c r="G374" s="80" t="str">
        <f>VLOOKUP(F374,'01. TH'!$B:$E,3,0)</f>
        <v/>
      </c>
      <c r="H374" s="490" t="s">
        <v>1120</v>
      </c>
      <c r="I374" s="475"/>
      <c r="J374" s="467"/>
      <c r="K374" s="463" t="s">
        <v>1661</v>
      </c>
      <c r="L374" s="467"/>
      <c r="M374" s="476"/>
      <c r="N374" s="464" t="s">
        <v>3084</v>
      </c>
      <c r="O374" s="465" t="s">
        <v>4152</v>
      </c>
      <c r="P374" s="464" t="s">
        <v>3084</v>
      </c>
      <c r="Q374" s="475"/>
      <c r="R374" s="464" t="s">
        <v>4152</v>
      </c>
      <c r="S374" s="477"/>
      <c r="T374" s="509"/>
      <c r="U374" s="486"/>
      <c r="V374" s="486"/>
    </row>
    <row r="375" ht="15.0" customHeight="1">
      <c r="A375" s="463">
        <f t="shared" si="8"/>
        <v>16</v>
      </c>
      <c r="B375" s="486" t="s">
        <v>4273</v>
      </c>
      <c r="C375" s="476"/>
      <c r="D375" s="464"/>
      <c r="E375" s="464" t="s">
        <v>79</v>
      </c>
      <c r="F375" s="464" t="s">
        <v>3899</v>
      </c>
      <c r="G375" s="80" t="str">
        <f>VLOOKUP(F375,'01. TH'!$B:$E,3,0)</f>
        <v/>
      </c>
      <c r="H375" s="490" t="s">
        <v>1120</v>
      </c>
      <c r="I375" s="475"/>
      <c r="J375" s="467"/>
      <c r="K375" s="463" t="s">
        <v>1661</v>
      </c>
      <c r="L375" s="467"/>
      <c r="M375" s="476"/>
      <c r="N375" s="464" t="s">
        <v>3084</v>
      </c>
      <c r="O375" s="465" t="s">
        <v>4152</v>
      </c>
      <c r="P375" s="464" t="s">
        <v>3084</v>
      </c>
      <c r="Q375" s="475"/>
      <c r="R375" s="464" t="s">
        <v>4152</v>
      </c>
      <c r="S375" s="477"/>
      <c r="T375" s="509"/>
      <c r="U375" s="486"/>
      <c r="V375" s="486"/>
    </row>
    <row r="376" ht="15.0" customHeight="1">
      <c r="A376" s="463">
        <f t="shared" si="8"/>
        <v>17</v>
      </c>
      <c r="B376" s="486" t="s">
        <v>4274</v>
      </c>
      <c r="C376" s="476"/>
      <c r="D376" s="464"/>
      <c r="E376" s="464" t="s">
        <v>79</v>
      </c>
      <c r="F376" s="464" t="s">
        <v>3899</v>
      </c>
      <c r="G376" s="80" t="str">
        <f>VLOOKUP(F376,'01. TH'!$B:$E,3,0)</f>
        <v/>
      </c>
      <c r="H376" s="490" t="s">
        <v>1120</v>
      </c>
      <c r="I376" s="475"/>
      <c r="J376" s="467"/>
      <c r="K376" s="463" t="s">
        <v>1661</v>
      </c>
      <c r="L376" s="467"/>
      <c r="M376" s="476"/>
      <c r="N376" s="464" t="s">
        <v>3084</v>
      </c>
      <c r="O376" s="465" t="s">
        <v>4275</v>
      </c>
      <c r="P376" s="464" t="s">
        <v>3084</v>
      </c>
      <c r="Q376" s="475"/>
      <c r="R376" s="464"/>
      <c r="S376" s="477"/>
      <c r="T376" s="509"/>
      <c r="U376" s="486"/>
      <c r="V376" s="486"/>
    </row>
    <row r="377" ht="15.0" customHeight="1">
      <c r="A377" s="463">
        <f t="shared" si="8"/>
        <v>18</v>
      </c>
      <c r="B377" s="486" t="s">
        <v>4276</v>
      </c>
      <c r="C377" s="476"/>
      <c r="D377" s="464"/>
      <c r="E377" s="464" t="s">
        <v>3238</v>
      </c>
      <c r="F377" s="464" t="s">
        <v>4053</v>
      </c>
      <c r="G377" s="80" t="str">
        <f>VLOOKUP(F377,'01. TH'!$B:$E,3,0)</f>
        <v/>
      </c>
      <c r="H377" s="490" t="s">
        <v>1120</v>
      </c>
      <c r="I377" s="475"/>
      <c r="J377" s="467"/>
      <c r="K377" s="463" t="s">
        <v>1661</v>
      </c>
      <c r="L377" s="467"/>
      <c r="M377" s="476"/>
      <c r="N377" s="464" t="s">
        <v>4054</v>
      </c>
      <c r="O377" s="465">
        <v>7045.0</v>
      </c>
      <c r="P377" s="464" t="s">
        <v>585</v>
      </c>
      <c r="Q377" s="463">
        <v>2025.0</v>
      </c>
      <c r="R377" s="465" t="s">
        <v>4055</v>
      </c>
      <c r="S377" s="477" t="s">
        <v>4277</v>
      </c>
      <c r="T377" s="482">
        <v>1.2</v>
      </c>
      <c r="U377" s="464"/>
      <c r="V377" s="464"/>
    </row>
    <row r="378" ht="15.0" customHeight="1">
      <c r="A378" s="463">
        <f t="shared" si="8"/>
        <v>19</v>
      </c>
      <c r="B378" s="486" t="s">
        <v>4278</v>
      </c>
      <c r="C378" s="476"/>
      <c r="D378" s="464"/>
      <c r="E378" s="464" t="s">
        <v>3238</v>
      </c>
      <c r="F378" s="464" t="s">
        <v>4053</v>
      </c>
      <c r="G378" s="80" t="str">
        <f>VLOOKUP(F378,'01. TH'!$B:$E,3,0)</f>
        <v/>
      </c>
      <c r="H378" s="490" t="s">
        <v>1120</v>
      </c>
      <c r="I378" s="475"/>
      <c r="J378" s="467"/>
      <c r="K378" s="463" t="s">
        <v>1661</v>
      </c>
      <c r="L378" s="467"/>
      <c r="M378" s="476"/>
      <c r="N378" s="464" t="s">
        <v>4054</v>
      </c>
      <c r="O378" s="465">
        <v>7045.0</v>
      </c>
      <c r="P378" s="464" t="s">
        <v>585</v>
      </c>
      <c r="Q378" s="463">
        <v>2025.0</v>
      </c>
      <c r="R378" s="465" t="s">
        <v>4055</v>
      </c>
      <c r="S378" s="477" t="s">
        <v>4280</v>
      </c>
      <c r="T378" s="482">
        <v>1.2</v>
      </c>
      <c r="U378" s="464"/>
      <c r="V378" s="464"/>
    </row>
    <row r="379" ht="15.0" customHeight="1">
      <c r="A379" s="463">
        <f t="shared" si="8"/>
        <v>20</v>
      </c>
      <c r="B379" s="486" t="s">
        <v>4281</v>
      </c>
      <c r="C379" s="476"/>
      <c r="D379" s="464"/>
      <c r="E379" s="464" t="s">
        <v>3238</v>
      </c>
      <c r="F379" s="464" t="s">
        <v>4053</v>
      </c>
      <c r="G379" s="80" t="str">
        <f>VLOOKUP(F379,'01. TH'!$B:$E,3,0)</f>
        <v/>
      </c>
      <c r="H379" s="490" t="s">
        <v>1120</v>
      </c>
      <c r="I379" s="475"/>
      <c r="J379" s="467"/>
      <c r="K379" s="463" t="s">
        <v>1661</v>
      </c>
      <c r="L379" s="467"/>
      <c r="M379" s="476"/>
      <c r="N379" s="464" t="s">
        <v>4054</v>
      </c>
      <c r="O379" s="465">
        <v>7045.0</v>
      </c>
      <c r="P379" s="464" t="s">
        <v>585</v>
      </c>
      <c r="Q379" s="463">
        <v>2025.0</v>
      </c>
      <c r="R379" s="465" t="s">
        <v>4055</v>
      </c>
      <c r="S379" s="477" t="s">
        <v>4282</v>
      </c>
      <c r="T379" s="482">
        <v>1.2</v>
      </c>
      <c r="U379" s="464"/>
      <c r="V379" s="464"/>
    </row>
    <row r="380" ht="15.0" customHeight="1">
      <c r="A380" s="463">
        <f t="shared" si="8"/>
        <v>21</v>
      </c>
      <c r="B380" s="486" t="s">
        <v>4283</v>
      </c>
      <c r="C380" s="476"/>
      <c r="D380" s="464"/>
      <c r="E380" s="464" t="s">
        <v>3238</v>
      </c>
      <c r="F380" s="464" t="s">
        <v>4053</v>
      </c>
      <c r="G380" s="80" t="str">
        <f>VLOOKUP(F380,'01. TH'!$B:$E,3,0)</f>
        <v/>
      </c>
      <c r="H380" s="490" t="s">
        <v>1120</v>
      </c>
      <c r="I380" s="475"/>
      <c r="J380" s="467"/>
      <c r="K380" s="463" t="s">
        <v>1661</v>
      </c>
      <c r="L380" s="467"/>
      <c r="M380" s="476"/>
      <c r="N380" s="464" t="s">
        <v>4054</v>
      </c>
      <c r="O380" s="465">
        <v>7045.0</v>
      </c>
      <c r="P380" s="464" t="s">
        <v>585</v>
      </c>
      <c r="Q380" s="463">
        <v>2025.0</v>
      </c>
      <c r="R380" s="465" t="s">
        <v>4055</v>
      </c>
      <c r="S380" s="477" t="s">
        <v>4284</v>
      </c>
      <c r="T380" s="482">
        <v>1.2</v>
      </c>
      <c r="U380" s="464"/>
      <c r="V380" s="464"/>
    </row>
    <row r="381" ht="15.0" customHeight="1">
      <c r="A381" s="463">
        <f t="shared" si="8"/>
        <v>22</v>
      </c>
      <c r="B381" s="486" t="s">
        <v>4285</v>
      </c>
      <c r="C381" s="476"/>
      <c r="D381" s="464"/>
      <c r="E381" s="464" t="s">
        <v>3238</v>
      </c>
      <c r="F381" s="464" t="s">
        <v>4053</v>
      </c>
      <c r="G381" s="80" t="str">
        <f>VLOOKUP(F381,'01. TH'!$B:$E,3,0)</f>
        <v/>
      </c>
      <c r="H381" s="490" t="s">
        <v>1120</v>
      </c>
      <c r="I381" s="475"/>
      <c r="J381" s="467"/>
      <c r="K381" s="463" t="s">
        <v>1661</v>
      </c>
      <c r="L381" s="467"/>
      <c r="M381" s="476"/>
      <c r="N381" s="464" t="s">
        <v>4054</v>
      </c>
      <c r="O381" s="465">
        <v>7045.0</v>
      </c>
      <c r="P381" s="464" t="s">
        <v>585</v>
      </c>
      <c r="Q381" s="463">
        <v>2025.0</v>
      </c>
      <c r="R381" s="465" t="s">
        <v>4055</v>
      </c>
      <c r="S381" s="477" t="s">
        <v>4288</v>
      </c>
      <c r="T381" s="482">
        <v>1.2</v>
      </c>
      <c r="U381" s="464"/>
      <c r="V381" s="464"/>
    </row>
    <row r="382" ht="15.0" customHeight="1">
      <c r="A382" s="463">
        <f t="shared" si="8"/>
        <v>23</v>
      </c>
      <c r="B382" s="486" t="s">
        <v>4289</v>
      </c>
      <c r="C382" s="476" t="s">
        <v>4290</v>
      </c>
      <c r="D382" s="464" t="s">
        <v>3918</v>
      </c>
      <c r="E382" s="464" t="s">
        <v>79</v>
      </c>
      <c r="F382" s="467" t="s">
        <v>3919</v>
      </c>
      <c r="G382" s="80" t="str">
        <f>VLOOKUP(F382,'01. TH'!$B:$E,3,0)</f>
        <v/>
      </c>
      <c r="H382" s="490" t="s">
        <v>1120</v>
      </c>
      <c r="I382" s="475"/>
      <c r="J382" s="467"/>
      <c r="K382" s="463" t="s">
        <v>1661</v>
      </c>
      <c r="L382" s="467"/>
      <c r="M382" s="476"/>
      <c r="N382" s="464" t="s">
        <v>3920</v>
      </c>
      <c r="O382" s="476" t="s">
        <v>743</v>
      </c>
      <c r="P382" s="464" t="s">
        <v>2666</v>
      </c>
      <c r="Q382" s="475"/>
      <c r="R382" s="476"/>
      <c r="S382" s="477" t="s">
        <v>4291</v>
      </c>
      <c r="T382" s="509">
        <v>8.47</v>
      </c>
      <c r="U382" s="486"/>
      <c r="V382" s="486"/>
    </row>
    <row r="383" ht="15.0" customHeight="1">
      <c r="A383" s="463">
        <f t="shared" si="8"/>
        <v>24</v>
      </c>
      <c r="B383" s="464" t="s">
        <v>4292</v>
      </c>
      <c r="C383" s="476" t="s">
        <v>4293</v>
      </c>
      <c r="D383" s="464" t="s">
        <v>4294</v>
      </c>
      <c r="E383" s="464" t="s">
        <v>79</v>
      </c>
      <c r="F383" s="467" t="s">
        <v>3521</v>
      </c>
      <c r="G383" s="80" t="str">
        <f>VLOOKUP(F383,'01. TH'!$B:$E,3,0)</f>
        <v>1x1x1</v>
      </c>
      <c r="H383" s="490" t="s">
        <v>1120</v>
      </c>
      <c r="I383" s="475"/>
      <c r="J383" s="467"/>
      <c r="K383" s="463" t="s">
        <v>1661</v>
      </c>
      <c r="L383" s="467"/>
      <c r="M383" s="476"/>
      <c r="N383" s="464" t="s">
        <v>3258</v>
      </c>
      <c r="O383" s="476"/>
      <c r="P383" s="464" t="s">
        <v>3260</v>
      </c>
      <c r="Q383" s="475"/>
      <c r="R383" s="476"/>
      <c r="S383" s="476">
        <v>44.0</v>
      </c>
      <c r="T383" s="517"/>
      <c r="U383" s="476"/>
      <c r="V383" s="476"/>
    </row>
    <row r="384" ht="15.0" customHeight="1">
      <c r="A384" s="463">
        <f t="shared" si="8"/>
        <v>25</v>
      </c>
      <c r="B384" s="464" t="s">
        <v>4295</v>
      </c>
      <c r="C384" s="476" t="s">
        <v>4296</v>
      </c>
      <c r="D384" s="464" t="s">
        <v>4297</v>
      </c>
      <c r="E384" s="464" t="s">
        <v>79</v>
      </c>
      <c r="F384" s="467" t="s">
        <v>3521</v>
      </c>
      <c r="G384" s="80" t="str">
        <f>VLOOKUP(F384,'01. TH'!$B:$E,3,0)</f>
        <v>1x1x1</v>
      </c>
      <c r="H384" s="490" t="s">
        <v>1120</v>
      </c>
      <c r="I384" s="475"/>
      <c r="J384" s="467"/>
      <c r="K384" s="463" t="s">
        <v>1661</v>
      </c>
      <c r="L384" s="467"/>
      <c r="M384" s="476"/>
      <c r="N384" s="464" t="s">
        <v>3258</v>
      </c>
      <c r="O384" s="476"/>
      <c r="P384" s="464" t="s">
        <v>3260</v>
      </c>
      <c r="Q384" s="475"/>
      <c r="R384" s="476"/>
      <c r="S384" s="476">
        <v>44.0</v>
      </c>
      <c r="T384" s="517"/>
      <c r="U384" s="476"/>
      <c r="V384" s="476"/>
    </row>
    <row r="385" ht="15.0" customHeight="1">
      <c r="A385" s="463">
        <f t="shared" si="8"/>
        <v>26</v>
      </c>
      <c r="B385" s="464" t="s">
        <v>4298</v>
      </c>
      <c r="C385" s="476" t="s">
        <v>4083</v>
      </c>
      <c r="D385" s="464" t="s">
        <v>4299</v>
      </c>
      <c r="E385" s="464" t="s">
        <v>79</v>
      </c>
      <c r="F385" s="467" t="s">
        <v>3521</v>
      </c>
      <c r="G385" s="80" t="str">
        <f>VLOOKUP(F385,'01. TH'!$B:$E,3,0)</f>
        <v>1x1x1</v>
      </c>
      <c r="H385" s="490" t="s">
        <v>1120</v>
      </c>
      <c r="I385" s="475"/>
      <c r="J385" s="467"/>
      <c r="K385" s="463" t="s">
        <v>1661</v>
      </c>
      <c r="L385" s="467"/>
      <c r="M385" s="476"/>
      <c r="N385" s="464" t="s">
        <v>3258</v>
      </c>
      <c r="O385" s="476"/>
      <c r="P385" s="464" t="s">
        <v>3260</v>
      </c>
      <c r="Q385" s="475"/>
      <c r="R385" s="476"/>
      <c r="S385" s="476">
        <v>50.0</v>
      </c>
      <c r="T385" s="517"/>
      <c r="U385" s="476"/>
      <c r="V385" s="476"/>
    </row>
    <row r="386" ht="15.0" customHeight="1">
      <c r="A386" s="463">
        <f t="shared" si="8"/>
        <v>27</v>
      </c>
      <c r="B386" s="464" t="s">
        <v>4300</v>
      </c>
      <c r="C386" s="476" t="s">
        <v>4301</v>
      </c>
      <c r="D386" s="464" t="s">
        <v>4302</v>
      </c>
      <c r="E386" s="464" t="s">
        <v>79</v>
      </c>
      <c r="F386" s="467" t="s">
        <v>3521</v>
      </c>
      <c r="G386" s="80" t="str">
        <f>VLOOKUP(F386,'01. TH'!$B:$E,3,0)</f>
        <v>1x1x1</v>
      </c>
      <c r="H386" s="490" t="s">
        <v>1120</v>
      </c>
      <c r="I386" s="475"/>
      <c r="J386" s="467"/>
      <c r="K386" s="463" t="s">
        <v>1661</v>
      </c>
      <c r="L386" s="467"/>
      <c r="M386" s="476"/>
      <c r="N386" s="464" t="s">
        <v>3258</v>
      </c>
      <c r="O386" s="476"/>
      <c r="P386" s="464" t="s">
        <v>3260</v>
      </c>
      <c r="Q386" s="475"/>
      <c r="R386" s="476"/>
      <c r="S386" s="476">
        <v>44.0</v>
      </c>
      <c r="T386" s="517"/>
      <c r="U386" s="476"/>
      <c r="V386" s="476"/>
    </row>
    <row r="387" ht="15.0" customHeight="1">
      <c r="A387" s="463">
        <f t="shared" si="8"/>
        <v>28</v>
      </c>
      <c r="B387" s="464" t="s">
        <v>4304</v>
      </c>
      <c r="C387" s="476" t="s">
        <v>4305</v>
      </c>
      <c r="D387" s="464" t="s">
        <v>4079</v>
      </c>
      <c r="E387" s="464" t="s">
        <v>79</v>
      </c>
      <c r="F387" s="467" t="s">
        <v>4080</v>
      </c>
      <c r="G387" s="80" t="str">
        <f>VLOOKUP(F387,'01. TH'!$B:$E,3,0)</f>
        <v>1x1x1</v>
      </c>
      <c r="H387" s="490" t="s">
        <v>1120</v>
      </c>
      <c r="I387" s="475"/>
      <c r="J387" s="467"/>
      <c r="K387" s="463" t="s">
        <v>1661</v>
      </c>
      <c r="L387" s="467"/>
      <c r="M387" s="476"/>
      <c r="N387" s="464" t="s">
        <v>3258</v>
      </c>
      <c r="O387" s="476"/>
      <c r="P387" s="464" t="s">
        <v>3260</v>
      </c>
      <c r="Q387" s="475"/>
      <c r="R387" s="476"/>
      <c r="S387" s="476" t="s">
        <v>4081</v>
      </c>
      <c r="T387" s="517"/>
      <c r="U387" s="476"/>
      <c r="V387" s="476"/>
    </row>
    <row r="388" ht="15.0" customHeight="1">
      <c r="A388" s="463">
        <f t="shared" si="8"/>
        <v>29</v>
      </c>
      <c r="B388" s="464" t="s">
        <v>4306</v>
      </c>
      <c r="C388" s="476" t="s">
        <v>4307</v>
      </c>
      <c r="D388" s="464" t="s">
        <v>4308</v>
      </c>
      <c r="E388" s="464" t="s">
        <v>79</v>
      </c>
      <c r="F388" s="467" t="s">
        <v>4080</v>
      </c>
      <c r="G388" s="80" t="str">
        <f>VLOOKUP(F388,'01. TH'!$B:$E,3,0)</f>
        <v>1x1x1</v>
      </c>
      <c r="H388" s="490" t="s">
        <v>1120</v>
      </c>
      <c r="I388" s="475"/>
      <c r="J388" s="467"/>
      <c r="K388" s="463" t="s">
        <v>1661</v>
      </c>
      <c r="L388" s="467"/>
      <c r="M388" s="476"/>
      <c r="N388" s="464" t="s">
        <v>3258</v>
      </c>
      <c r="O388" s="476"/>
      <c r="P388" s="464" t="s">
        <v>3260</v>
      </c>
      <c r="Q388" s="475"/>
      <c r="R388" s="476"/>
      <c r="S388" s="476" t="s">
        <v>4081</v>
      </c>
      <c r="T388" s="517"/>
      <c r="U388" s="476"/>
      <c r="V388" s="476"/>
    </row>
    <row r="389" ht="15.0" customHeight="1">
      <c r="A389" s="463">
        <f t="shared" si="8"/>
        <v>30</v>
      </c>
      <c r="B389" s="464" t="s">
        <v>4309</v>
      </c>
      <c r="C389" s="476" t="s">
        <v>4310</v>
      </c>
      <c r="D389" s="464" t="s">
        <v>4311</v>
      </c>
      <c r="E389" s="464" t="s">
        <v>79</v>
      </c>
      <c r="F389" s="467" t="s">
        <v>4080</v>
      </c>
      <c r="G389" s="80" t="str">
        <f>VLOOKUP(F389,'01. TH'!$B:$E,3,0)</f>
        <v>1x1x1</v>
      </c>
      <c r="H389" s="490" t="s">
        <v>1120</v>
      </c>
      <c r="I389" s="475"/>
      <c r="J389" s="467"/>
      <c r="K389" s="463" t="s">
        <v>1661</v>
      </c>
      <c r="L389" s="467"/>
      <c r="M389" s="476"/>
      <c r="N389" s="464" t="s">
        <v>3258</v>
      </c>
      <c r="O389" s="476"/>
      <c r="P389" s="464" t="s">
        <v>3260</v>
      </c>
      <c r="Q389" s="475"/>
      <c r="R389" s="476"/>
      <c r="S389" s="476" t="s">
        <v>4313</v>
      </c>
      <c r="T389" s="517"/>
      <c r="U389" s="476"/>
      <c r="V389" s="476"/>
    </row>
    <row r="390" ht="15.0" customHeight="1">
      <c r="A390" s="463">
        <f t="shared" si="8"/>
        <v>31</v>
      </c>
      <c r="B390" s="464" t="s">
        <v>4314</v>
      </c>
      <c r="C390" s="476" t="s">
        <v>4315</v>
      </c>
      <c r="D390" s="464" t="s">
        <v>4316</v>
      </c>
      <c r="E390" s="464" t="s">
        <v>79</v>
      </c>
      <c r="F390" s="467" t="s">
        <v>4080</v>
      </c>
      <c r="G390" s="80" t="str">
        <f>VLOOKUP(F390,'01. TH'!$B:$E,3,0)</f>
        <v>1x1x1</v>
      </c>
      <c r="H390" s="490" t="s">
        <v>1120</v>
      </c>
      <c r="I390" s="475"/>
      <c r="J390" s="467"/>
      <c r="K390" s="463" t="s">
        <v>1661</v>
      </c>
      <c r="L390" s="467"/>
      <c r="M390" s="476"/>
      <c r="N390" s="464" t="s">
        <v>3258</v>
      </c>
      <c r="O390" s="476"/>
      <c r="P390" s="464" t="s">
        <v>3260</v>
      </c>
      <c r="Q390" s="475"/>
      <c r="R390" s="476"/>
      <c r="S390" s="476" t="s">
        <v>4313</v>
      </c>
      <c r="T390" s="517"/>
      <c r="U390" s="476"/>
      <c r="V390" s="476"/>
    </row>
    <row r="391" ht="15.0" customHeight="1">
      <c r="A391" s="463">
        <f t="shared" si="8"/>
        <v>32</v>
      </c>
      <c r="B391" s="464" t="s">
        <v>4317</v>
      </c>
      <c r="C391" s="465"/>
      <c r="D391" s="464" t="s">
        <v>4318</v>
      </c>
      <c r="E391" s="464" t="s">
        <v>79</v>
      </c>
      <c r="F391" s="464" t="s">
        <v>3925</v>
      </c>
      <c r="G391" s="80" t="str">
        <f>VLOOKUP(F391,'01. TH'!$B:$E,3,0)</f>
        <v>3000 x 1.600 x 1200</v>
      </c>
      <c r="H391" s="490" t="s">
        <v>1120</v>
      </c>
      <c r="I391" s="475"/>
      <c r="J391" s="467"/>
      <c r="K391" s="463" t="s">
        <v>1661</v>
      </c>
      <c r="L391" s="467"/>
      <c r="M391" s="476"/>
      <c r="N391" s="464" t="s">
        <v>3258</v>
      </c>
      <c r="O391" s="476"/>
      <c r="P391" s="464" t="s">
        <v>3260</v>
      </c>
      <c r="Q391" s="475"/>
      <c r="R391" s="465"/>
      <c r="S391" s="476"/>
      <c r="T391" s="517"/>
      <c r="U391" s="476"/>
      <c r="V391" s="476"/>
    </row>
    <row r="392" ht="15.0" customHeight="1">
      <c r="A392" s="463">
        <f t="shared" si="8"/>
        <v>33</v>
      </c>
      <c r="B392" s="464" t="s">
        <v>4319</v>
      </c>
      <c r="C392" s="465"/>
      <c r="D392" s="464" t="s">
        <v>4320</v>
      </c>
      <c r="E392" s="464" t="s">
        <v>79</v>
      </c>
      <c r="F392" s="464" t="s">
        <v>3925</v>
      </c>
      <c r="G392" s="80" t="str">
        <f>VLOOKUP(F392,'01. TH'!$B:$E,3,0)</f>
        <v>3000 x 1.600 x 1200</v>
      </c>
      <c r="H392" s="490" t="s">
        <v>1120</v>
      </c>
      <c r="I392" s="475"/>
      <c r="J392" s="467"/>
      <c r="K392" s="463" t="s">
        <v>1661</v>
      </c>
      <c r="L392" s="467"/>
      <c r="M392" s="476"/>
      <c r="N392" s="464" t="s">
        <v>3258</v>
      </c>
      <c r="O392" s="476"/>
      <c r="P392" s="464" t="s">
        <v>3260</v>
      </c>
      <c r="Q392" s="475"/>
      <c r="R392" s="465"/>
      <c r="S392" s="476"/>
      <c r="T392" s="517"/>
      <c r="U392" s="476"/>
      <c r="V392" s="476"/>
    </row>
    <row r="393" ht="15.0" customHeight="1">
      <c r="A393" s="463">
        <f t="shared" si="8"/>
        <v>34</v>
      </c>
      <c r="B393" s="464" t="s">
        <v>4321</v>
      </c>
      <c r="C393" s="465"/>
      <c r="D393" s="464" t="s">
        <v>4322</v>
      </c>
      <c r="E393" s="464" t="s">
        <v>79</v>
      </c>
      <c r="F393" s="464" t="s">
        <v>3925</v>
      </c>
      <c r="G393" s="80" t="str">
        <f>VLOOKUP(F393,'01. TH'!$B:$E,3,0)</f>
        <v>3000 x 1.600 x 1200</v>
      </c>
      <c r="H393" s="490" t="s">
        <v>1120</v>
      </c>
      <c r="I393" s="475"/>
      <c r="J393" s="467"/>
      <c r="K393" s="463" t="s">
        <v>1661</v>
      </c>
      <c r="L393" s="467"/>
      <c r="M393" s="476"/>
      <c r="N393" s="464" t="s">
        <v>3258</v>
      </c>
      <c r="O393" s="476"/>
      <c r="P393" s="464" t="s">
        <v>3260</v>
      </c>
      <c r="Q393" s="475"/>
      <c r="R393" s="465"/>
      <c r="S393" s="476"/>
      <c r="T393" s="517"/>
      <c r="U393" s="476"/>
      <c r="V393" s="476"/>
    </row>
    <row r="394" ht="15.0" customHeight="1">
      <c r="A394" s="463">
        <f t="shared" si="8"/>
        <v>35</v>
      </c>
      <c r="B394" s="464" t="s">
        <v>4323</v>
      </c>
      <c r="C394" s="465"/>
      <c r="D394" s="464" t="s">
        <v>4324</v>
      </c>
      <c r="E394" s="464" t="s">
        <v>79</v>
      </c>
      <c r="F394" s="464" t="s">
        <v>3925</v>
      </c>
      <c r="G394" s="80" t="str">
        <f>VLOOKUP(F394,'01. TH'!$B:$E,3,0)</f>
        <v>3000 x 1.600 x 1200</v>
      </c>
      <c r="H394" s="490" t="s">
        <v>1120</v>
      </c>
      <c r="I394" s="475"/>
      <c r="J394" s="467"/>
      <c r="K394" s="463" t="s">
        <v>1661</v>
      </c>
      <c r="L394" s="467"/>
      <c r="M394" s="476"/>
      <c r="N394" s="464" t="s">
        <v>3258</v>
      </c>
      <c r="O394" s="476"/>
      <c r="P394" s="464" t="s">
        <v>3260</v>
      </c>
      <c r="Q394" s="475"/>
      <c r="R394" s="465"/>
      <c r="S394" s="476"/>
      <c r="T394" s="517"/>
      <c r="U394" s="476"/>
      <c r="V394" s="476"/>
    </row>
    <row r="395" ht="15.0" customHeight="1">
      <c r="A395" s="463">
        <f t="shared" si="8"/>
        <v>36</v>
      </c>
      <c r="B395" s="464" t="s">
        <v>4325</v>
      </c>
      <c r="C395" s="465"/>
      <c r="D395" s="464" t="s">
        <v>4326</v>
      </c>
      <c r="E395" s="464" t="s">
        <v>79</v>
      </c>
      <c r="F395" s="464" t="s">
        <v>3925</v>
      </c>
      <c r="G395" s="80" t="str">
        <f>VLOOKUP(F395,'01. TH'!$B:$E,3,0)</f>
        <v>3000 x 1.600 x 1200</v>
      </c>
      <c r="H395" s="490" t="s">
        <v>1120</v>
      </c>
      <c r="I395" s="475"/>
      <c r="J395" s="467"/>
      <c r="K395" s="463" t="s">
        <v>1661</v>
      </c>
      <c r="L395" s="467"/>
      <c r="M395" s="476"/>
      <c r="N395" s="464" t="s">
        <v>3258</v>
      </c>
      <c r="O395" s="476"/>
      <c r="P395" s="464" t="s">
        <v>3260</v>
      </c>
      <c r="Q395" s="475"/>
      <c r="R395" s="465"/>
      <c r="S395" s="476"/>
      <c r="T395" s="517"/>
      <c r="U395" s="476"/>
      <c r="V395" s="476"/>
    </row>
    <row r="396" ht="15.0" customHeight="1">
      <c r="A396" s="463">
        <f t="shared" si="8"/>
        <v>37</v>
      </c>
      <c r="B396" s="464" t="s">
        <v>4327</v>
      </c>
      <c r="C396" s="465"/>
      <c r="D396" s="464" t="s">
        <v>4328</v>
      </c>
      <c r="E396" s="464" t="s">
        <v>79</v>
      </c>
      <c r="F396" s="464" t="s">
        <v>3925</v>
      </c>
      <c r="G396" s="80" t="str">
        <f>VLOOKUP(F396,'01. TH'!$B:$E,3,0)</f>
        <v>3000 x 1.600 x 1200</v>
      </c>
      <c r="H396" s="490" t="s">
        <v>1120</v>
      </c>
      <c r="I396" s="475"/>
      <c r="J396" s="467"/>
      <c r="K396" s="463" t="s">
        <v>1661</v>
      </c>
      <c r="L396" s="467"/>
      <c r="M396" s="476"/>
      <c r="N396" s="464" t="s">
        <v>3258</v>
      </c>
      <c r="O396" s="476"/>
      <c r="P396" s="464" t="s">
        <v>3260</v>
      </c>
      <c r="Q396" s="475"/>
      <c r="R396" s="465"/>
      <c r="S396" s="476"/>
      <c r="T396" s="517"/>
      <c r="U396" s="476"/>
      <c r="V396" s="476"/>
    </row>
    <row r="397" ht="15.0" customHeight="1">
      <c r="A397" s="463">
        <f t="shared" si="8"/>
        <v>38</v>
      </c>
      <c r="B397" s="464" t="s">
        <v>4329</v>
      </c>
      <c r="C397" s="465" t="s">
        <v>3607</v>
      </c>
      <c r="D397" s="464" t="s">
        <v>3609</v>
      </c>
      <c r="E397" s="464" t="s">
        <v>79</v>
      </c>
      <c r="F397" s="464" t="s">
        <v>3514</v>
      </c>
      <c r="G397" s="80" t="str">
        <f>VLOOKUP(F397,'01. TH'!$B:$E,3,0)</f>
        <v>6.1x2.4x0.9</v>
      </c>
      <c r="H397" s="490" t="s">
        <v>1120</v>
      </c>
      <c r="I397" s="475"/>
      <c r="J397" s="467"/>
      <c r="K397" s="463" t="s">
        <v>1661</v>
      </c>
      <c r="L397" s="467"/>
      <c r="M397" s="476"/>
      <c r="N397" s="464" t="s">
        <v>3258</v>
      </c>
      <c r="O397" s="476"/>
      <c r="P397" s="464" t="s">
        <v>3260</v>
      </c>
      <c r="Q397" s="475"/>
      <c r="R397" s="465" t="s">
        <v>3951</v>
      </c>
      <c r="S397" s="476"/>
      <c r="T397" s="517"/>
      <c r="U397" s="476"/>
      <c r="V397" s="476"/>
    </row>
    <row r="398" ht="15.0" customHeight="1">
      <c r="A398" s="463">
        <f t="shared" si="8"/>
        <v>39</v>
      </c>
      <c r="B398" s="464" t="s">
        <v>4330</v>
      </c>
      <c r="C398" s="465" t="s">
        <v>4331</v>
      </c>
      <c r="D398" s="464"/>
      <c r="E398" s="464" t="s">
        <v>79</v>
      </c>
      <c r="F398" s="464" t="s">
        <v>4332</v>
      </c>
      <c r="G398" s="80" t="str">
        <f>VLOOKUP(F398,'01. TH'!$B:$E,3,0)</f>
        <v>5500 x 2500 x 2400</v>
      </c>
      <c r="H398" s="490" t="s">
        <v>1120</v>
      </c>
      <c r="I398" s="463" t="s">
        <v>4333</v>
      </c>
      <c r="J398" s="467"/>
      <c r="K398" s="463" t="s">
        <v>1661</v>
      </c>
      <c r="L398" s="464" t="s">
        <v>4334</v>
      </c>
      <c r="M398" s="476"/>
      <c r="N398" s="464" t="s">
        <v>3258</v>
      </c>
      <c r="O398" s="476" t="s">
        <v>4335</v>
      </c>
      <c r="P398" s="464" t="s">
        <v>3260</v>
      </c>
      <c r="Q398" s="475"/>
      <c r="R398" s="465"/>
      <c r="S398" s="476"/>
      <c r="T398" s="517"/>
      <c r="U398" s="476"/>
      <c r="V398" s="476"/>
    </row>
    <row r="399" ht="15.0" customHeight="1">
      <c r="A399" s="463">
        <f t="shared" si="8"/>
        <v>40</v>
      </c>
      <c r="B399" s="464" t="s">
        <v>4336</v>
      </c>
      <c r="C399" s="465" t="s">
        <v>4337</v>
      </c>
      <c r="D399" s="464" t="s">
        <v>4338</v>
      </c>
      <c r="E399" s="464" t="s">
        <v>79</v>
      </c>
      <c r="F399" s="464" t="s">
        <v>4339</v>
      </c>
      <c r="G399" s="80" t="str">
        <f>VLOOKUP(F399,'01. TH'!$B:$E,3,0)</f>
        <v>4500 x 2000 x 1500</v>
      </c>
      <c r="H399" s="490" t="s">
        <v>1120</v>
      </c>
      <c r="I399" s="463" t="s">
        <v>4340</v>
      </c>
      <c r="J399" s="467"/>
      <c r="K399" s="463" t="s">
        <v>1661</v>
      </c>
      <c r="L399" s="464" t="s">
        <v>4341</v>
      </c>
      <c r="M399" s="239"/>
      <c r="N399" s="464" t="s">
        <v>3258</v>
      </c>
      <c r="O399" s="239"/>
      <c r="P399" s="464" t="s">
        <v>3260</v>
      </c>
      <c r="Q399" s="475"/>
      <c r="R399" s="465" t="s">
        <v>4342</v>
      </c>
      <c r="S399" s="465" t="s">
        <v>4343</v>
      </c>
      <c r="T399" s="469"/>
      <c r="U399" s="467"/>
      <c r="V399" s="467"/>
    </row>
    <row r="400" ht="15.0" customHeight="1">
      <c r="A400" s="463">
        <f t="shared" si="8"/>
        <v>41</v>
      </c>
      <c r="B400" s="464" t="s">
        <v>4344</v>
      </c>
      <c r="C400" s="465" t="s">
        <v>4345</v>
      </c>
      <c r="D400" s="464" t="s">
        <v>4346</v>
      </c>
      <c r="E400" s="464" t="s">
        <v>79</v>
      </c>
      <c r="F400" s="464" t="s">
        <v>4051</v>
      </c>
      <c r="G400" s="80" t="str">
        <f>VLOOKUP(F400,'01. TH'!$B:$E,3,0)</f>
        <v>#N/A</v>
      </c>
      <c r="H400" s="490" t="s">
        <v>1120</v>
      </c>
      <c r="I400" s="493">
        <v>45638.0</v>
      </c>
      <c r="J400" s="467"/>
      <c r="K400" s="463" t="s">
        <v>1661</v>
      </c>
      <c r="L400" s="467"/>
      <c r="M400" s="476"/>
      <c r="N400" s="464" t="s">
        <v>3258</v>
      </c>
      <c r="O400" s="465" t="s">
        <v>4345</v>
      </c>
      <c r="P400" s="464" t="s">
        <v>3260</v>
      </c>
      <c r="Q400" s="463">
        <v>2024.0</v>
      </c>
      <c r="R400" s="465" t="s">
        <v>4347</v>
      </c>
      <c r="S400" s="476"/>
      <c r="T400" s="517"/>
      <c r="U400" s="476"/>
      <c r="V400" s="476"/>
    </row>
    <row r="401" ht="15.0" customHeight="1">
      <c r="A401" s="463">
        <f t="shared" si="8"/>
        <v>42</v>
      </c>
      <c r="B401" s="464" t="s">
        <v>4348</v>
      </c>
      <c r="C401" s="465" t="s">
        <v>4349</v>
      </c>
      <c r="D401" s="464" t="s">
        <v>4350</v>
      </c>
      <c r="E401" s="464" t="s">
        <v>79</v>
      </c>
      <c r="F401" s="464" t="s">
        <v>4051</v>
      </c>
      <c r="G401" s="80" t="str">
        <f>VLOOKUP(F401,'01. TH'!$B:$E,3,0)</f>
        <v>#N/A</v>
      </c>
      <c r="H401" s="490" t="s">
        <v>1120</v>
      </c>
      <c r="I401" s="463" t="s">
        <v>4351</v>
      </c>
      <c r="J401" s="467"/>
      <c r="K401" s="463" t="s">
        <v>1661</v>
      </c>
      <c r="L401" s="464"/>
      <c r="M401" s="464" t="s">
        <v>4352</v>
      </c>
      <c r="N401" s="464" t="s">
        <v>3258</v>
      </c>
      <c r="O401" s="463" t="s">
        <v>4353</v>
      </c>
      <c r="P401" s="464" t="s">
        <v>3260</v>
      </c>
      <c r="Q401" s="463">
        <v>2025.0</v>
      </c>
      <c r="R401" s="465"/>
      <c r="S401" s="465"/>
      <c r="T401" s="482"/>
      <c r="U401" s="464"/>
      <c r="V401" s="464"/>
    </row>
    <row r="402" ht="15.0" customHeight="1">
      <c r="A402" s="463">
        <f t="shared" si="8"/>
        <v>43</v>
      </c>
      <c r="B402" s="464" t="s">
        <v>4354</v>
      </c>
      <c r="C402" s="465"/>
      <c r="D402" s="464" t="s">
        <v>4355</v>
      </c>
      <c r="E402" s="464" t="s">
        <v>79</v>
      </c>
      <c r="F402" s="464" t="s">
        <v>3989</v>
      </c>
      <c r="G402" s="80" t="str">
        <f>VLOOKUP(F402,'01. TH'!$B:$E,3,0)</f>
        <v>#N/A</v>
      </c>
      <c r="H402" s="490" t="s">
        <v>1120</v>
      </c>
      <c r="I402" s="463" t="s">
        <v>3379</v>
      </c>
      <c r="J402" s="467"/>
      <c r="K402" s="463" t="s">
        <v>1661</v>
      </c>
      <c r="L402" s="467"/>
      <c r="M402" s="476"/>
      <c r="N402" s="464" t="s">
        <v>3258</v>
      </c>
      <c r="O402" s="465" t="s">
        <v>3991</v>
      </c>
      <c r="P402" s="464" t="s">
        <v>3260</v>
      </c>
      <c r="Q402" s="463">
        <v>2025.0</v>
      </c>
      <c r="R402" s="465" t="s">
        <v>3997</v>
      </c>
      <c r="S402" s="465" t="s">
        <v>4356</v>
      </c>
      <c r="T402" s="482">
        <v>0.56</v>
      </c>
      <c r="U402" s="464" t="s">
        <v>3992</v>
      </c>
      <c r="V402" s="464"/>
    </row>
    <row r="403" ht="15.0" customHeight="1">
      <c r="A403" s="463">
        <f t="shared" si="8"/>
        <v>44</v>
      </c>
      <c r="B403" s="464" t="s">
        <v>4357</v>
      </c>
      <c r="C403" s="465"/>
      <c r="D403" s="464" t="s">
        <v>4358</v>
      </c>
      <c r="E403" s="464" t="s">
        <v>79</v>
      </c>
      <c r="F403" s="464" t="s">
        <v>3989</v>
      </c>
      <c r="G403" s="80" t="str">
        <f>VLOOKUP(F403,'01. TH'!$B:$E,3,0)</f>
        <v>#N/A</v>
      </c>
      <c r="H403" s="490" t="s">
        <v>1120</v>
      </c>
      <c r="I403" s="463" t="s">
        <v>3180</v>
      </c>
      <c r="J403" s="467"/>
      <c r="K403" s="463" t="s">
        <v>1661</v>
      </c>
      <c r="L403" s="467"/>
      <c r="M403" s="476"/>
      <c r="N403" s="464" t="s">
        <v>3258</v>
      </c>
      <c r="O403" s="465" t="s">
        <v>3991</v>
      </c>
      <c r="P403" s="464" t="s">
        <v>3260</v>
      </c>
      <c r="Q403" s="463">
        <v>2025.0</v>
      </c>
      <c r="R403" s="465" t="s">
        <v>3997</v>
      </c>
      <c r="S403" s="476"/>
      <c r="T403" s="482">
        <v>0.56</v>
      </c>
      <c r="U403" s="464" t="s">
        <v>3992</v>
      </c>
      <c r="V403" s="464"/>
    </row>
    <row r="404" ht="15.0" customHeight="1">
      <c r="A404" s="463">
        <f t="shared" si="8"/>
        <v>45</v>
      </c>
      <c r="B404" s="464" t="s">
        <v>4359</v>
      </c>
      <c r="C404" s="465"/>
      <c r="D404" s="464" t="s">
        <v>4360</v>
      </c>
      <c r="E404" s="464" t="s">
        <v>79</v>
      </c>
      <c r="F404" s="464" t="s">
        <v>3989</v>
      </c>
      <c r="G404" s="80" t="str">
        <f>VLOOKUP(F404,'01. TH'!$B:$E,3,0)</f>
        <v>#N/A</v>
      </c>
      <c r="H404" s="490" t="s">
        <v>1120</v>
      </c>
      <c r="I404" s="463" t="s">
        <v>3180</v>
      </c>
      <c r="J404" s="467"/>
      <c r="K404" s="463" t="s">
        <v>1661</v>
      </c>
      <c r="L404" s="467"/>
      <c r="M404" s="476"/>
      <c r="N404" s="464" t="s">
        <v>3258</v>
      </c>
      <c r="O404" s="465" t="s">
        <v>3991</v>
      </c>
      <c r="P404" s="464" t="s">
        <v>3260</v>
      </c>
      <c r="Q404" s="463">
        <v>2025.0</v>
      </c>
      <c r="R404" s="465" t="s">
        <v>3997</v>
      </c>
      <c r="S404" s="476"/>
      <c r="T404" s="482">
        <v>0.56</v>
      </c>
      <c r="U404" s="464" t="s">
        <v>3992</v>
      </c>
      <c r="V404" s="464"/>
    </row>
    <row r="405" ht="15.0" customHeight="1">
      <c r="A405" s="463">
        <f t="shared" si="8"/>
        <v>46</v>
      </c>
      <c r="B405" s="464" t="s">
        <v>4361</v>
      </c>
      <c r="C405" s="465"/>
      <c r="D405" s="464" t="s">
        <v>4362</v>
      </c>
      <c r="E405" s="464" t="s">
        <v>79</v>
      </c>
      <c r="F405" s="464" t="s">
        <v>3989</v>
      </c>
      <c r="G405" s="80" t="str">
        <f>VLOOKUP(F405,'01. TH'!$B:$E,3,0)</f>
        <v>#N/A</v>
      </c>
      <c r="H405" s="490" t="s">
        <v>1120</v>
      </c>
      <c r="I405" s="463" t="s">
        <v>1877</v>
      </c>
      <c r="J405" s="467"/>
      <c r="K405" s="463" t="s">
        <v>1661</v>
      </c>
      <c r="L405" s="467"/>
      <c r="M405" s="476"/>
      <c r="N405" s="464" t="s">
        <v>3258</v>
      </c>
      <c r="O405" s="465" t="s">
        <v>4363</v>
      </c>
      <c r="P405" s="464" t="s">
        <v>3260</v>
      </c>
      <c r="Q405" s="463">
        <v>2025.0</v>
      </c>
      <c r="R405" s="465" t="s">
        <v>3997</v>
      </c>
      <c r="S405" s="465">
        <v>12.0</v>
      </c>
      <c r="T405" s="482">
        <v>0.56</v>
      </c>
      <c r="U405" s="464" t="s">
        <v>3992</v>
      </c>
      <c r="V405" s="476"/>
    </row>
    <row r="406" ht="15.0" customHeight="1">
      <c r="A406" s="463">
        <f t="shared" si="8"/>
        <v>47</v>
      </c>
      <c r="B406" s="464" t="s">
        <v>4364</v>
      </c>
      <c r="C406" s="465"/>
      <c r="D406" s="464" t="s">
        <v>4365</v>
      </c>
      <c r="E406" s="464" t="s">
        <v>79</v>
      </c>
      <c r="F406" s="464" t="s">
        <v>3989</v>
      </c>
      <c r="G406" s="80" t="str">
        <f>VLOOKUP(F406,'01. TH'!$B:$E,3,0)</f>
        <v>#N/A</v>
      </c>
      <c r="H406" s="490" t="s">
        <v>1120</v>
      </c>
      <c r="I406" s="463" t="s">
        <v>1877</v>
      </c>
      <c r="J406" s="467"/>
      <c r="K406" s="463" t="s">
        <v>1661</v>
      </c>
      <c r="L406" s="467"/>
      <c r="M406" s="476"/>
      <c r="N406" s="464" t="s">
        <v>3258</v>
      </c>
      <c r="O406" s="465" t="s">
        <v>4366</v>
      </c>
      <c r="P406" s="464" t="s">
        <v>3260</v>
      </c>
      <c r="Q406" s="463">
        <v>2025.0</v>
      </c>
      <c r="R406" s="465" t="s">
        <v>3997</v>
      </c>
      <c r="S406" s="465">
        <v>13.0</v>
      </c>
      <c r="T406" s="482">
        <v>0.56</v>
      </c>
      <c r="U406" s="464" t="s">
        <v>3992</v>
      </c>
      <c r="V406" s="476"/>
    </row>
    <row r="407" ht="15.0" customHeight="1">
      <c r="A407" s="463">
        <f t="shared" si="8"/>
        <v>48</v>
      </c>
      <c r="B407" s="464" t="s">
        <v>4367</v>
      </c>
      <c r="C407" s="465"/>
      <c r="D407" s="515" t="s">
        <v>4368</v>
      </c>
      <c r="E407" s="464" t="s">
        <v>79</v>
      </c>
      <c r="F407" s="464" t="s">
        <v>3989</v>
      </c>
      <c r="G407" s="80" t="str">
        <f>VLOOKUP(F407,'01. TH'!$B:$E,3,0)</f>
        <v>#N/A</v>
      </c>
      <c r="H407" s="490" t="s">
        <v>1120</v>
      </c>
      <c r="I407" s="466">
        <v>45909.0</v>
      </c>
      <c r="J407" s="467"/>
      <c r="K407" s="463" t="s">
        <v>1661</v>
      </c>
      <c r="L407" s="467"/>
      <c r="M407" s="476"/>
      <c r="N407" s="464" t="s">
        <v>3258</v>
      </c>
      <c r="O407" s="515" t="s">
        <v>4366</v>
      </c>
      <c r="P407" s="464" t="s">
        <v>3260</v>
      </c>
      <c r="Q407" s="463">
        <v>2025.0</v>
      </c>
      <c r="R407" s="131" t="s">
        <v>4014</v>
      </c>
      <c r="S407" s="465"/>
      <c r="T407" s="482">
        <v>0.56</v>
      </c>
      <c r="U407" s="464" t="s">
        <v>3992</v>
      </c>
      <c r="V407" s="476"/>
    </row>
    <row r="408" ht="15.0" customHeight="1">
      <c r="A408" s="463">
        <f t="shared" si="8"/>
        <v>49</v>
      </c>
      <c r="B408" s="464" t="s">
        <v>4369</v>
      </c>
      <c r="C408" s="465"/>
      <c r="D408" s="515" t="s">
        <v>4370</v>
      </c>
      <c r="E408" s="464" t="s">
        <v>79</v>
      </c>
      <c r="F408" s="464" t="s">
        <v>3989</v>
      </c>
      <c r="G408" s="80" t="str">
        <f>VLOOKUP(F408,'01. TH'!$B:$E,3,0)</f>
        <v>#N/A</v>
      </c>
      <c r="H408" s="490" t="s">
        <v>1120</v>
      </c>
      <c r="I408" s="463" t="s">
        <v>4371</v>
      </c>
      <c r="J408" s="467"/>
      <c r="K408" s="463" t="s">
        <v>1661</v>
      </c>
      <c r="L408" s="467"/>
      <c r="M408" s="476"/>
      <c r="N408" s="464" t="s">
        <v>3258</v>
      </c>
      <c r="O408" s="515" t="s">
        <v>4372</v>
      </c>
      <c r="P408" s="464" t="s">
        <v>3260</v>
      </c>
      <c r="Q408" s="463">
        <v>2025.0</v>
      </c>
      <c r="R408" s="131" t="s">
        <v>4014</v>
      </c>
      <c r="S408" s="465"/>
      <c r="T408" s="482">
        <v>0.56</v>
      </c>
      <c r="U408" s="464" t="s">
        <v>3992</v>
      </c>
      <c r="V408" s="476"/>
    </row>
    <row r="409" ht="15.0" customHeight="1">
      <c r="A409" s="463">
        <f t="shared" si="8"/>
        <v>50</v>
      </c>
      <c r="B409" s="464" t="s">
        <v>4373</v>
      </c>
      <c r="C409" s="465"/>
      <c r="D409" s="567" t="s">
        <v>4374</v>
      </c>
      <c r="E409" s="464" t="s">
        <v>3238</v>
      </c>
      <c r="F409" s="464" t="s">
        <v>4375</v>
      </c>
      <c r="G409" s="80" t="str">
        <f>VLOOKUP(F409,'01. TH'!$B:$E,3,0)</f>
        <v>#N/A</v>
      </c>
      <c r="H409" s="490" t="s">
        <v>1120</v>
      </c>
      <c r="I409" s="466">
        <v>45818.0</v>
      </c>
      <c r="J409" s="467"/>
      <c r="K409" s="463" t="s">
        <v>1661</v>
      </c>
      <c r="L409" s="467"/>
      <c r="M409" s="476"/>
      <c r="N409" s="464" t="s">
        <v>3258</v>
      </c>
      <c r="O409" s="515"/>
      <c r="P409" s="464" t="s">
        <v>3260</v>
      </c>
      <c r="Q409" s="463">
        <v>2025.0</v>
      </c>
      <c r="R409" s="568" t="s">
        <v>4376</v>
      </c>
      <c r="S409" s="465" t="s">
        <v>4377</v>
      </c>
      <c r="T409" s="482"/>
      <c r="U409" s="464" t="s">
        <v>3992</v>
      </c>
      <c r="V409" s="476"/>
    </row>
    <row r="410" ht="15.0" customHeight="1">
      <c r="A410" s="463">
        <f t="shared" si="8"/>
        <v>51</v>
      </c>
      <c r="B410" s="464" t="s">
        <v>4378</v>
      </c>
      <c r="C410" s="465"/>
      <c r="D410" s="567" t="s">
        <v>4379</v>
      </c>
      <c r="E410" s="464" t="s">
        <v>79</v>
      </c>
      <c r="F410" s="464" t="s">
        <v>3989</v>
      </c>
      <c r="G410" s="80" t="str">
        <f>VLOOKUP(F410,'01. TH'!$B:$E,3,0)</f>
        <v>#N/A</v>
      </c>
      <c r="H410" s="490" t="s">
        <v>1120</v>
      </c>
      <c r="I410" s="466">
        <v>45818.0</v>
      </c>
      <c r="J410" s="467"/>
      <c r="K410" s="463" t="s">
        <v>1661</v>
      </c>
      <c r="L410" s="467"/>
      <c r="M410" s="476"/>
      <c r="N410" s="464" t="s">
        <v>3258</v>
      </c>
      <c r="O410" s="567" t="s">
        <v>4380</v>
      </c>
      <c r="P410" s="464" t="s">
        <v>3260</v>
      </c>
      <c r="Q410" s="463">
        <v>2025.0</v>
      </c>
      <c r="R410" s="131"/>
      <c r="S410" s="465"/>
      <c r="T410" s="482">
        <v>0.56</v>
      </c>
      <c r="U410" s="464" t="s">
        <v>3992</v>
      </c>
      <c r="V410" s="476"/>
    </row>
    <row r="411" ht="15.0" customHeight="1">
      <c r="A411" s="463">
        <f t="shared" si="8"/>
        <v>52</v>
      </c>
      <c r="B411" s="464" t="s">
        <v>4381</v>
      </c>
      <c r="C411" s="465"/>
      <c r="D411" s="464" t="s">
        <v>4382</v>
      </c>
      <c r="E411" s="464" t="s">
        <v>79</v>
      </c>
      <c r="F411" s="464" t="s">
        <v>3989</v>
      </c>
      <c r="G411" s="80" t="str">
        <f>VLOOKUP(F411,'01. TH'!$B:$E,3,0)</f>
        <v>#N/A</v>
      </c>
      <c r="H411" s="490" t="s">
        <v>1120</v>
      </c>
      <c r="I411" s="463" t="s">
        <v>4020</v>
      </c>
      <c r="J411" s="467"/>
      <c r="K411" s="463" t="s">
        <v>1661</v>
      </c>
      <c r="L411" s="467"/>
      <c r="M411" s="476"/>
      <c r="N411" s="464" t="s">
        <v>3258</v>
      </c>
      <c r="O411" s="465" t="s">
        <v>4383</v>
      </c>
      <c r="P411" s="464" t="s">
        <v>3260</v>
      </c>
      <c r="Q411" s="463">
        <v>2025.0</v>
      </c>
      <c r="R411" s="465"/>
      <c r="S411" s="476"/>
      <c r="T411" s="482">
        <v>0.56</v>
      </c>
      <c r="U411" s="464" t="s">
        <v>3992</v>
      </c>
      <c r="V411" s="476"/>
    </row>
    <row r="412" ht="15.0" customHeight="1">
      <c r="A412" s="463">
        <f t="shared" si="8"/>
        <v>53</v>
      </c>
      <c r="B412" s="464" t="s">
        <v>4385</v>
      </c>
      <c r="C412" s="465"/>
      <c r="D412" s="464" t="s">
        <v>4386</v>
      </c>
      <c r="E412" s="464" t="s">
        <v>79</v>
      </c>
      <c r="F412" s="464" t="s">
        <v>3989</v>
      </c>
      <c r="G412" s="80" t="str">
        <f>VLOOKUP(F412,'01. TH'!$B:$E,3,0)</f>
        <v>#N/A</v>
      </c>
      <c r="H412" s="490" t="s">
        <v>1120</v>
      </c>
      <c r="I412" s="463" t="s">
        <v>4028</v>
      </c>
      <c r="J412" s="467"/>
      <c r="K412" s="463" t="s">
        <v>1661</v>
      </c>
      <c r="L412" s="467"/>
      <c r="M412" s="476"/>
      <c r="N412" s="464" t="s">
        <v>3258</v>
      </c>
      <c r="O412" s="465" t="s">
        <v>4387</v>
      </c>
      <c r="P412" s="464" t="s">
        <v>3260</v>
      </c>
      <c r="Q412" s="463">
        <v>2025.0</v>
      </c>
      <c r="R412" s="465"/>
      <c r="S412" s="476"/>
      <c r="T412" s="482">
        <v>0.56</v>
      </c>
      <c r="U412" s="464" t="s">
        <v>3992</v>
      </c>
      <c r="V412" s="476"/>
    </row>
    <row r="413" ht="15.0" customHeight="1">
      <c r="A413" s="463">
        <f t="shared" si="8"/>
        <v>54</v>
      </c>
      <c r="B413" s="464" t="s">
        <v>4388</v>
      </c>
      <c r="C413" s="465"/>
      <c r="D413" s="464" t="s">
        <v>4389</v>
      </c>
      <c r="E413" s="464" t="s">
        <v>79</v>
      </c>
      <c r="F413" s="464" t="s">
        <v>3989</v>
      </c>
      <c r="G413" s="80" t="str">
        <f>VLOOKUP(F413,'01. TH'!$B:$E,3,0)</f>
        <v>#N/A</v>
      </c>
      <c r="H413" s="490" t="s">
        <v>1120</v>
      </c>
      <c r="I413" s="463" t="s">
        <v>2223</v>
      </c>
      <c r="J413" s="467"/>
      <c r="K413" s="463" t="s">
        <v>1661</v>
      </c>
      <c r="L413" s="467"/>
      <c r="M413" s="476"/>
      <c r="N413" s="464" t="s">
        <v>3258</v>
      </c>
      <c r="O413" s="465" t="s">
        <v>4390</v>
      </c>
      <c r="P413" s="464" t="s">
        <v>3260</v>
      </c>
      <c r="Q413" s="463">
        <v>2025.0</v>
      </c>
      <c r="R413" s="465"/>
      <c r="S413" s="476"/>
      <c r="T413" s="482">
        <v>0.56</v>
      </c>
      <c r="U413" s="464" t="s">
        <v>3992</v>
      </c>
      <c r="V413" s="476"/>
    </row>
    <row r="414" ht="15.0" customHeight="1">
      <c r="A414" s="463">
        <f t="shared" si="8"/>
        <v>55</v>
      </c>
      <c r="B414" s="464" t="s">
        <v>4391</v>
      </c>
      <c r="C414" s="465"/>
      <c r="D414" s="464" t="s">
        <v>4392</v>
      </c>
      <c r="E414" s="464" t="s">
        <v>79</v>
      </c>
      <c r="F414" s="464" t="s">
        <v>3989</v>
      </c>
      <c r="G414" s="80" t="str">
        <f>VLOOKUP(F414,'01. TH'!$B:$E,3,0)</f>
        <v>#N/A</v>
      </c>
      <c r="H414" s="490" t="s">
        <v>1120</v>
      </c>
      <c r="I414" s="466">
        <v>45819.0</v>
      </c>
      <c r="J414" s="467"/>
      <c r="K414" s="463" t="s">
        <v>1661</v>
      </c>
      <c r="L414" s="467"/>
      <c r="M414" s="476"/>
      <c r="N414" s="464" t="s">
        <v>3258</v>
      </c>
      <c r="O414" s="465" t="s">
        <v>4393</v>
      </c>
      <c r="P414" s="464" t="s">
        <v>3260</v>
      </c>
      <c r="Q414" s="463">
        <v>2025.0</v>
      </c>
      <c r="R414" s="465"/>
      <c r="S414" s="476"/>
      <c r="T414" s="482">
        <v>0.56</v>
      </c>
      <c r="U414" s="464" t="s">
        <v>3992</v>
      </c>
      <c r="V414" s="476"/>
    </row>
    <row r="415" ht="15.0" customHeight="1">
      <c r="A415" s="463">
        <f t="shared" si="8"/>
        <v>56</v>
      </c>
      <c r="B415" s="464" t="s">
        <v>4394</v>
      </c>
      <c r="C415" s="465"/>
      <c r="D415" s="515" t="s">
        <v>4395</v>
      </c>
      <c r="E415" s="464" t="s">
        <v>79</v>
      </c>
      <c r="F415" s="464" t="s">
        <v>3989</v>
      </c>
      <c r="G415" s="80" t="str">
        <f>VLOOKUP(F415,'01. TH'!$B:$E,3,0)</f>
        <v>#N/A</v>
      </c>
      <c r="H415" s="490" t="s">
        <v>1120</v>
      </c>
      <c r="I415" s="569">
        <v>46004.0</v>
      </c>
      <c r="J415" s="467"/>
      <c r="K415" s="463" t="s">
        <v>1661</v>
      </c>
      <c r="L415" s="467"/>
      <c r="M415" s="476"/>
      <c r="N415" s="464" t="s">
        <v>3258</v>
      </c>
      <c r="O415" s="470" t="s">
        <v>4396</v>
      </c>
      <c r="P415" s="464" t="s">
        <v>3260</v>
      </c>
      <c r="Q415" s="463">
        <v>2025.0</v>
      </c>
      <c r="R415" s="465" t="s">
        <v>4397</v>
      </c>
      <c r="S415" s="465">
        <v>47.0</v>
      </c>
      <c r="T415" s="482">
        <v>0.56</v>
      </c>
      <c r="U415" s="464" t="s">
        <v>3992</v>
      </c>
      <c r="V415" s="476"/>
    </row>
    <row r="416" ht="15.0" customHeight="1">
      <c r="A416" s="463">
        <f t="shared" si="8"/>
        <v>57</v>
      </c>
      <c r="B416" s="464" t="s">
        <v>4398</v>
      </c>
      <c r="C416" s="465"/>
      <c r="D416" s="464" t="s">
        <v>4399</v>
      </c>
      <c r="E416" s="464" t="s">
        <v>79</v>
      </c>
      <c r="F416" s="464" t="s">
        <v>3989</v>
      </c>
      <c r="G416" s="80"/>
      <c r="H416" s="490" t="s">
        <v>1120</v>
      </c>
      <c r="I416" s="463" t="s">
        <v>4250</v>
      </c>
      <c r="J416" s="467"/>
      <c r="K416" s="463" t="s">
        <v>1661</v>
      </c>
      <c r="L416" s="467"/>
      <c r="M416" s="476"/>
      <c r="N416" s="464"/>
      <c r="O416" s="465"/>
      <c r="P416" s="464"/>
      <c r="Q416" s="463"/>
      <c r="R416" s="465"/>
      <c r="S416" s="476"/>
      <c r="T416" s="482">
        <v>0.56</v>
      </c>
      <c r="U416" s="464" t="s">
        <v>3992</v>
      </c>
      <c r="V416" s="476"/>
    </row>
    <row r="417" ht="15.0" customHeight="1">
      <c r="A417" s="463">
        <f t="shared" si="8"/>
        <v>58</v>
      </c>
      <c r="B417" s="464" t="s">
        <v>4400</v>
      </c>
      <c r="C417" s="465"/>
      <c r="D417" s="464" t="s">
        <v>4401</v>
      </c>
      <c r="E417" s="464" t="s">
        <v>79</v>
      </c>
      <c r="F417" s="464" t="s">
        <v>3989</v>
      </c>
      <c r="G417" s="80"/>
      <c r="H417" s="490" t="s">
        <v>1120</v>
      </c>
      <c r="I417" s="463" t="s">
        <v>4250</v>
      </c>
      <c r="J417" s="467"/>
      <c r="K417" s="463" t="s">
        <v>1661</v>
      </c>
      <c r="L417" s="467"/>
      <c r="M417" s="476"/>
      <c r="N417" s="464"/>
      <c r="O417" s="465"/>
      <c r="P417" s="464"/>
      <c r="Q417" s="463"/>
      <c r="R417" s="465"/>
      <c r="S417" s="476"/>
      <c r="T417" s="482">
        <v>0.56</v>
      </c>
      <c r="U417" s="464" t="s">
        <v>3992</v>
      </c>
      <c r="V417" s="476"/>
    </row>
    <row r="418" ht="15.0" customHeight="1">
      <c r="A418" s="463">
        <f t="shared" si="8"/>
        <v>59</v>
      </c>
      <c r="B418" s="464" t="s">
        <v>4402</v>
      </c>
      <c r="C418" s="465"/>
      <c r="D418" s="464" t="s">
        <v>4403</v>
      </c>
      <c r="E418" s="464" t="s">
        <v>79</v>
      </c>
      <c r="F418" s="464" t="s">
        <v>4404</v>
      </c>
      <c r="G418" s="80" t="str">
        <f>VLOOKUP(F418,'01. TH'!$B:$E,3,0)</f>
        <v>#N/A</v>
      </c>
      <c r="H418" s="490" t="s">
        <v>1120</v>
      </c>
      <c r="I418" s="463" t="s">
        <v>4405</v>
      </c>
      <c r="J418" s="467"/>
      <c r="K418" s="463" t="s">
        <v>1661</v>
      </c>
      <c r="L418" s="467"/>
      <c r="M418" s="476"/>
      <c r="N418" s="464" t="s">
        <v>3258</v>
      </c>
      <c r="O418" s="465"/>
      <c r="P418" s="464" t="s">
        <v>3260</v>
      </c>
      <c r="Q418" s="463">
        <v>2025.0</v>
      </c>
      <c r="R418" s="465" t="s">
        <v>3286</v>
      </c>
      <c r="S418" s="476"/>
      <c r="T418" s="517"/>
      <c r="U418" s="476"/>
      <c r="V418" s="476"/>
    </row>
    <row r="419" ht="15.0" customHeight="1">
      <c r="A419" s="463">
        <f t="shared" si="8"/>
        <v>60</v>
      </c>
      <c r="B419" s="464" t="s">
        <v>4406</v>
      </c>
      <c r="C419" s="465"/>
      <c r="D419" s="464" t="s">
        <v>4407</v>
      </c>
      <c r="E419" s="464" t="s">
        <v>79</v>
      </c>
      <c r="F419" s="464" t="s">
        <v>4404</v>
      </c>
      <c r="G419" s="80" t="str">
        <f>VLOOKUP(F419,'01. TH'!$B:$E,3,0)</f>
        <v>#N/A</v>
      </c>
      <c r="H419" s="490" t="s">
        <v>1120</v>
      </c>
      <c r="I419" s="463" t="s">
        <v>4405</v>
      </c>
      <c r="J419" s="467"/>
      <c r="K419" s="463" t="s">
        <v>1661</v>
      </c>
      <c r="L419" s="467"/>
      <c r="M419" s="476"/>
      <c r="N419" s="464" t="s">
        <v>3258</v>
      </c>
      <c r="O419" s="465"/>
      <c r="P419" s="464" t="s">
        <v>3260</v>
      </c>
      <c r="Q419" s="463">
        <v>2025.0</v>
      </c>
      <c r="R419" s="465" t="s">
        <v>3286</v>
      </c>
      <c r="S419" s="476"/>
      <c r="T419" s="517"/>
      <c r="U419" s="476"/>
      <c r="V419" s="476"/>
    </row>
    <row r="420" ht="15.0" customHeight="1">
      <c r="A420" s="463">
        <f t="shared" si="8"/>
        <v>61</v>
      </c>
      <c r="B420" s="464" t="s">
        <v>4408</v>
      </c>
      <c r="C420" s="465"/>
      <c r="D420" s="464" t="s">
        <v>4409</v>
      </c>
      <c r="E420" s="464" t="s">
        <v>79</v>
      </c>
      <c r="F420" s="464" t="s">
        <v>4404</v>
      </c>
      <c r="G420" s="80" t="str">
        <f>VLOOKUP(F420,'01. TH'!$B:$E,3,0)</f>
        <v>#N/A</v>
      </c>
      <c r="H420" s="490" t="s">
        <v>1120</v>
      </c>
      <c r="I420" s="463" t="s">
        <v>4405</v>
      </c>
      <c r="J420" s="467"/>
      <c r="K420" s="463" t="s">
        <v>1661</v>
      </c>
      <c r="L420" s="467"/>
      <c r="M420" s="476"/>
      <c r="N420" s="464" t="s">
        <v>3258</v>
      </c>
      <c r="O420" s="465"/>
      <c r="P420" s="464" t="s">
        <v>3260</v>
      </c>
      <c r="Q420" s="463">
        <v>2025.0</v>
      </c>
      <c r="R420" s="465" t="s">
        <v>3286</v>
      </c>
      <c r="S420" s="476"/>
      <c r="T420" s="517"/>
      <c r="U420" s="476"/>
      <c r="V420" s="476"/>
    </row>
    <row r="421" ht="15.0" customHeight="1">
      <c r="A421" s="463">
        <f t="shared" si="8"/>
        <v>62</v>
      </c>
      <c r="B421" s="464" t="s">
        <v>4410</v>
      </c>
      <c r="C421" s="465"/>
      <c r="D421" s="464" t="s">
        <v>4411</v>
      </c>
      <c r="E421" s="464" t="s">
        <v>79</v>
      </c>
      <c r="F421" s="464" t="s">
        <v>4404</v>
      </c>
      <c r="G421" s="80" t="str">
        <f>VLOOKUP(F421,'01. TH'!$B:$E,3,0)</f>
        <v>#N/A</v>
      </c>
      <c r="H421" s="490" t="s">
        <v>1120</v>
      </c>
      <c r="I421" s="463" t="s">
        <v>4405</v>
      </c>
      <c r="J421" s="467"/>
      <c r="K421" s="463" t="s">
        <v>1661</v>
      </c>
      <c r="L421" s="467"/>
      <c r="M421" s="476"/>
      <c r="N421" s="464" t="s">
        <v>3258</v>
      </c>
      <c r="O421" s="465"/>
      <c r="P421" s="464" t="s">
        <v>3260</v>
      </c>
      <c r="Q421" s="463">
        <v>2025.0</v>
      </c>
      <c r="R421" s="465" t="s">
        <v>3286</v>
      </c>
      <c r="S421" s="476"/>
      <c r="T421" s="517"/>
      <c r="U421" s="476"/>
      <c r="V421" s="476"/>
    </row>
    <row r="422" ht="15.0" customHeight="1">
      <c r="A422" s="463">
        <f t="shared" si="8"/>
        <v>63</v>
      </c>
      <c r="B422" s="464" t="s">
        <v>4412</v>
      </c>
      <c r="C422" s="465" t="s">
        <v>4413</v>
      </c>
      <c r="D422" s="464" t="s">
        <v>4414</v>
      </c>
      <c r="E422" s="464" t="s">
        <v>79</v>
      </c>
      <c r="F422" s="467" t="s">
        <v>4415</v>
      </c>
      <c r="G422" s="80" t="str">
        <f>VLOOKUP(F422,'01. TH'!$B:$E,3,0)</f>
        <v>#N/A</v>
      </c>
      <c r="H422" s="490" t="s">
        <v>1120</v>
      </c>
      <c r="I422" s="463" t="s">
        <v>4416</v>
      </c>
      <c r="J422" s="467"/>
      <c r="K422" s="463" t="s">
        <v>1661</v>
      </c>
      <c r="L422" s="464" t="s">
        <v>4417</v>
      </c>
      <c r="M422" s="476"/>
      <c r="N422" s="464" t="s">
        <v>4418</v>
      </c>
      <c r="O422" s="465" t="s">
        <v>4419</v>
      </c>
      <c r="P422" s="464" t="s">
        <v>3084</v>
      </c>
      <c r="Q422" s="475"/>
      <c r="R422" s="476"/>
      <c r="S422" s="476" t="s">
        <v>4419</v>
      </c>
      <c r="T422" s="469"/>
      <c r="U422" s="467"/>
      <c r="V422" s="467"/>
    </row>
    <row r="423" ht="15.0" customHeight="1">
      <c r="A423" s="463"/>
      <c r="B423" s="464"/>
      <c r="C423" s="465" t="s">
        <v>4420</v>
      </c>
      <c r="D423" s="464"/>
      <c r="E423" s="467"/>
      <c r="F423" s="464"/>
      <c r="G423" s="80" t="str">
        <f>VLOOKUP(F423,'01. TH'!$B:$E,3,0)</f>
        <v>#N/A</v>
      </c>
      <c r="H423" s="490"/>
      <c r="I423" s="463"/>
      <c r="J423" s="467"/>
      <c r="K423" s="463"/>
      <c r="L423" s="467"/>
      <c r="M423" s="465"/>
      <c r="N423" s="467"/>
      <c r="O423" s="465"/>
      <c r="P423" s="464"/>
      <c r="Q423" s="463"/>
      <c r="R423" s="465"/>
      <c r="S423" s="465"/>
      <c r="T423" s="517"/>
      <c r="U423" s="476"/>
      <c r="V423" s="476"/>
    </row>
    <row r="424" ht="15.0" customHeight="1">
      <c r="A424" s="455" t="s">
        <v>1247</v>
      </c>
      <c r="B424" s="456" t="s">
        <v>4421</v>
      </c>
      <c r="C424" s="457">
        <f>COUNTA($B$425:$B$469)</f>
        <v>44</v>
      </c>
      <c r="D424" s="458"/>
      <c r="E424" s="458"/>
      <c r="F424" s="458"/>
      <c r="G424" s="459"/>
      <c r="H424" s="459"/>
      <c r="I424" s="457"/>
      <c r="J424" s="460"/>
      <c r="K424" s="457"/>
      <c r="L424" s="458"/>
      <c r="M424" s="461"/>
      <c r="N424" s="458"/>
      <c r="O424" s="461"/>
      <c r="P424" s="458"/>
      <c r="Q424" s="459"/>
      <c r="R424" s="461"/>
      <c r="S424" s="461"/>
      <c r="T424" s="462"/>
      <c r="U424" s="458"/>
      <c r="V424" s="458"/>
    </row>
    <row r="425" ht="15.0" customHeight="1">
      <c r="A425" s="463">
        <v>1.0</v>
      </c>
      <c r="B425" s="464" t="s">
        <v>4422</v>
      </c>
      <c r="C425" s="465"/>
      <c r="D425" s="464" t="s">
        <v>4423</v>
      </c>
      <c r="E425" s="464" t="s">
        <v>79</v>
      </c>
      <c r="F425" s="464" t="s">
        <v>4424</v>
      </c>
      <c r="G425" s="80" t="str">
        <f>VLOOKUP(F425,'01. TH'!$B:$E,3,0)</f>
        <v>#N/A</v>
      </c>
      <c r="H425" s="463" t="s">
        <v>57</v>
      </c>
      <c r="I425" s="493">
        <v>45419.0</v>
      </c>
      <c r="J425" s="467"/>
      <c r="K425" s="463" t="s">
        <v>1661</v>
      </c>
      <c r="L425" s="464" t="s">
        <v>4425</v>
      </c>
      <c r="M425" s="465"/>
      <c r="N425" s="468" t="s">
        <v>260</v>
      </c>
      <c r="O425" s="465" t="s">
        <v>4426</v>
      </c>
      <c r="P425" s="468" t="s">
        <v>260</v>
      </c>
      <c r="Q425" s="463">
        <v>2014.0</v>
      </c>
      <c r="R425" s="465" t="s">
        <v>4427</v>
      </c>
      <c r="S425" s="465">
        <v>1.4163379E7</v>
      </c>
      <c r="T425" s="482"/>
      <c r="U425" s="464"/>
      <c r="V425" s="464"/>
    </row>
    <row r="426" ht="15.0" customHeight="1">
      <c r="A426" s="463">
        <f t="shared" ref="A426:A468" si="9">A425+1</f>
        <v>2</v>
      </c>
      <c r="B426" s="464" t="s">
        <v>4428</v>
      </c>
      <c r="C426" s="477"/>
      <c r="D426" s="464" t="s">
        <v>4429</v>
      </c>
      <c r="E426" s="464" t="s">
        <v>79</v>
      </c>
      <c r="F426" s="464" t="s">
        <v>4430</v>
      </c>
      <c r="G426" s="80" t="str">
        <f>VLOOKUP(F426,'01. TH'!$B:$E,3,0)</f>
        <v>#N/A</v>
      </c>
      <c r="H426" s="463" t="s">
        <v>57</v>
      </c>
      <c r="I426" s="466">
        <v>45332.0</v>
      </c>
      <c r="J426" s="467"/>
      <c r="K426" s="463" t="s">
        <v>1661</v>
      </c>
      <c r="L426" s="464" t="s">
        <v>4431</v>
      </c>
      <c r="M426" s="476"/>
      <c r="N426" s="464" t="s">
        <v>3258</v>
      </c>
      <c r="O426" s="465" t="s">
        <v>4432</v>
      </c>
      <c r="P426" s="464" t="s">
        <v>3260</v>
      </c>
      <c r="Q426" s="463">
        <v>2024.0</v>
      </c>
      <c r="R426" s="465" t="s">
        <v>4433</v>
      </c>
      <c r="S426" s="476"/>
      <c r="T426" s="469"/>
      <c r="U426" s="467"/>
      <c r="V426" s="467"/>
    </row>
    <row r="427" ht="15.0" customHeight="1">
      <c r="A427" s="463">
        <f t="shared" si="9"/>
        <v>3</v>
      </c>
      <c r="B427" s="464" t="s">
        <v>4434</v>
      </c>
      <c r="C427" s="477"/>
      <c r="D427" s="464" t="s">
        <v>4435</v>
      </c>
      <c r="E427" s="464" t="s">
        <v>79</v>
      </c>
      <c r="F427" s="464" t="s">
        <v>4436</v>
      </c>
      <c r="G427" s="80" t="str">
        <f>VLOOKUP(F427,'01. TH'!$B:$E,3,0)</f>
        <v>#N/A</v>
      </c>
      <c r="H427" s="463" t="s">
        <v>57</v>
      </c>
      <c r="I427" s="466">
        <v>45363.0</v>
      </c>
      <c r="J427" s="467"/>
      <c r="K427" s="463" t="s">
        <v>1661</v>
      </c>
      <c r="L427" s="464"/>
      <c r="M427" s="476"/>
      <c r="N427" s="464" t="s">
        <v>4437</v>
      </c>
      <c r="O427" s="465" t="s">
        <v>4438</v>
      </c>
      <c r="P427" s="468" t="s">
        <v>260</v>
      </c>
      <c r="Q427" s="463">
        <v>2023.0</v>
      </c>
      <c r="R427" s="465"/>
      <c r="S427" s="476"/>
      <c r="T427" s="482">
        <v>0.3</v>
      </c>
      <c r="U427" s="464" t="s">
        <v>4439</v>
      </c>
      <c r="V427" s="467"/>
    </row>
    <row r="428" ht="15.0" customHeight="1">
      <c r="A428" s="463">
        <f t="shared" si="9"/>
        <v>4</v>
      </c>
      <c r="B428" s="464" t="s">
        <v>4440</v>
      </c>
      <c r="C428" s="476" t="s">
        <v>4441</v>
      </c>
      <c r="D428" s="464" t="s">
        <v>4442</v>
      </c>
      <c r="E428" s="464" t="s">
        <v>79</v>
      </c>
      <c r="F428" s="467" t="s">
        <v>3521</v>
      </c>
      <c r="G428" s="80" t="str">
        <f>VLOOKUP(F428,'01. TH'!$B:$E,3,0)</f>
        <v>1x1x1</v>
      </c>
      <c r="H428" s="463" t="s">
        <v>57</v>
      </c>
      <c r="I428" s="463" t="s">
        <v>459</v>
      </c>
      <c r="J428" s="467"/>
      <c r="K428" s="463" t="s">
        <v>1661</v>
      </c>
      <c r="L428" s="464" t="s">
        <v>4443</v>
      </c>
      <c r="M428" s="476"/>
      <c r="N428" s="464" t="s">
        <v>3258</v>
      </c>
      <c r="O428" s="476"/>
      <c r="P428" s="464" t="s">
        <v>3260</v>
      </c>
      <c r="Q428" s="475"/>
      <c r="R428" s="476"/>
      <c r="S428" s="476"/>
      <c r="T428" s="469"/>
      <c r="U428" s="467"/>
      <c r="V428" s="467"/>
    </row>
    <row r="429" ht="15.0" customHeight="1">
      <c r="A429" s="463">
        <f t="shared" si="9"/>
        <v>5</v>
      </c>
      <c r="B429" s="464" t="s">
        <v>4444</v>
      </c>
      <c r="C429" s="476" t="s">
        <v>4445</v>
      </c>
      <c r="D429" s="464" t="s">
        <v>4446</v>
      </c>
      <c r="E429" s="464" t="s">
        <v>79</v>
      </c>
      <c r="F429" s="467" t="s">
        <v>3521</v>
      </c>
      <c r="G429" s="80" t="str">
        <f>VLOOKUP(F429,'01. TH'!$B:$E,3,0)</f>
        <v>1x1x1</v>
      </c>
      <c r="H429" s="463" t="s">
        <v>57</v>
      </c>
      <c r="I429" s="463" t="s">
        <v>4447</v>
      </c>
      <c r="J429" s="467"/>
      <c r="K429" s="463" t="s">
        <v>1661</v>
      </c>
      <c r="L429" s="464" t="s">
        <v>4448</v>
      </c>
      <c r="M429" s="476"/>
      <c r="N429" s="464" t="s">
        <v>3258</v>
      </c>
      <c r="O429" s="476"/>
      <c r="P429" s="464" t="s">
        <v>3260</v>
      </c>
      <c r="Q429" s="475"/>
      <c r="R429" s="476"/>
      <c r="S429" s="476"/>
      <c r="T429" s="469"/>
      <c r="U429" s="467"/>
      <c r="V429" s="467"/>
    </row>
    <row r="430" ht="15.0" customHeight="1">
      <c r="A430" s="463">
        <f t="shared" si="9"/>
        <v>6</v>
      </c>
      <c r="B430" s="464" t="s">
        <v>4449</v>
      </c>
      <c r="C430" s="477" t="s">
        <v>4450</v>
      </c>
      <c r="D430" s="464" t="s">
        <v>4451</v>
      </c>
      <c r="E430" s="464" t="s">
        <v>79</v>
      </c>
      <c r="F430" s="464" t="s">
        <v>3521</v>
      </c>
      <c r="G430" s="80" t="str">
        <f>VLOOKUP(F430,'01. TH'!$B:$E,3,0)</f>
        <v>1x1x1</v>
      </c>
      <c r="H430" s="463" t="s">
        <v>57</v>
      </c>
      <c r="I430" s="463" t="s">
        <v>4452</v>
      </c>
      <c r="J430" s="467"/>
      <c r="K430" s="463" t="s">
        <v>1661</v>
      </c>
      <c r="L430" s="464" t="s">
        <v>4453</v>
      </c>
      <c r="M430" s="476"/>
      <c r="N430" s="464" t="s">
        <v>3258</v>
      </c>
      <c r="O430" s="476"/>
      <c r="P430" s="464" t="s">
        <v>3260</v>
      </c>
      <c r="Q430" s="475"/>
      <c r="R430" s="476"/>
      <c r="S430" s="476" t="s">
        <v>4454</v>
      </c>
      <c r="T430" s="469"/>
      <c r="U430" s="467"/>
      <c r="V430" s="467"/>
    </row>
    <row r="431" ht="15.0" customHeight="1">
      <c r="A431" s="463">
        <f t="shared" si="9"/>
        <v>7</v>
      </c>
      <c r="B431" s="464" t="s">
        <v>4455</v>
      </c>
      <c r="C431" s="477"/>
      <c r="D431" s="464" t="s">
        <v>4456</v>
      </c>
      <c r="E431" s="464" t="s">
        <v>79</v>
      </c>
      <c r="F431" s="464" t="s">
        <v>4457</v>
      </c>
      <c r="G431" s="80" t="str">
        <f>VLOOKUP(F431,'01. TH'!$B:$E,3,0)</f>
        <v>4000 x 2400 x 1500</v>
      </c>
      <c r="H431" s="463" t="s">
        <v>57</v>
      </c>
      <c r="I431" s="466">
        <v>45359.0</v>
      </c>
      <c r="J431" s="467"/>
      <c r="K431" s="463" t="s">
        <v>1661</v>
      </c>
      <c r="L431" s="464" t="s">
        <v>4458</v>
      </c>
      <c r="M431" s="476"/>
      <c r="N431" s="464" t="s">
        <v>3258</v>
      </c>
      <c r="O431" s="476"/>
      <c r="P431" s="464" t="s">
        <v>3260</v>
      </c>
      <c r="Q431" s="475"/>
      <c r="R431" s="465" t="s">
        <v>4459</v>
      </c>
      <c r="S431" s="476"/>
      <c r="T431" s="469"/>
      <c r="U431" s="467"/>
      <c r="V431" s="467"/>
    </row>
    <row r="432" ht="15.0" customHeight="1">
      <c r="A432" s="463">
        <f t="shared" si="9"/>
        <v>8</v>
      </c>
      <c r="B432" s="464" t="s">
        <v>4460</v>
      </c>
      <c r="C432" s="465" t="s">
        <v>4461</v>
      </c>
      <c r="D432" s="464"/>
      <c r="E432" s="464" t="s">
        <v>79</v>
      </c>
      <c r="F432" s="464" t="s">
        <v>4332</v>
      </c>
      <c r="G432" s="80" t="str">
        <f>VLOOKUP(F432,'01. TH'!$B:$E,3,0)</f>
        <v>5500 x 2500 x 2400</v>
      </c>
      <c r="H432" s="463" t="s">
        <v>57</v>
      </c>
      <c r="I432" s="463" t="s">
        <v>4452</v>
      </c>
      <c r="J432" s="467"/>
      <c r="K432" s="463" t="s">
        <v>1661</v>
      </c>
      <c r="L432" s="464" t="s">
        <v>4453</v>
      </c>
      <c r="M432" s="465" t="s">
        <v>4463</v>
      </c>
      <c r="N432" s="464" t="s">
        <v>3258</v>
      </c>
      <c r="O432" s="128"/>
      <c r="P432" s="464" t="s">
        <v>3260</v>
      </c>
      <c r="Q432" s="475"/>
      <c r="R432" s="465" t="s">
        <v>4464</v>
      </c>
      <c r="S432" s="465"/>
      <c r="T432" s="482"/>
      <c r="U432" s="464"/>
      <c r="V432" s="464"/>
    </row>
    <row r="433" ht="15.0" customHeight="1">
      <c r="A433" s="463">
        <f t="shared" si="9"/>
        <v>9</v>
      </c>
      <c r="B433" s="464" t="s">
        <v>4465</v>
      </c>
      <c r="C433" s="464" t="s">
        <v>4466</v>
      </c>
      <c r="D433" s="464" t="s">
        <v>4467</v>
      </c>
      <c r="E433" s="464" t="s">
        <v>79</v>
      </c>
      <c r="F433" s="467" t="s">
        <v>4468</v>
      </c>
      <c r="G433" s="80" t="str">
        <f>VLOOKUP(F433,'01. TH'!$B:$E,3,0)</f>
        <v/>
      </c>
      <c r="H433" s="463" t="s">
        <v>57</v>
      </c>
      <c r="I433" s="463" t="s">
        <v>4469</v>
      </c>
      <c r="J433" s="467"/>
      <c r="K433" s="463" t="s">
        <v>1661</v>
      </c>
      <c r="L433" s="464" t="s">
        <v>4470</v>
      </c>
      <c r="M433" s="465"/>
      <c r="N433" s="464" t="s">
        <v>3258</v>
      </c>
      <c r="O433" s="476"/>
      <c r="P433" s="464" t="s">
        <v>3260</v>
      </c>
      <c r="Q433" s="475"/>
      <c r="R433" s="476"/>
      <c r="S433" s="476"/>
      <c r="T433" s="469"/>
      <c r="U433" s="467"/>
      <c r="V433" s="467"/>
    </row>
    <row r="434" ht="15.0" customHeight="1">
      <c r="A434" s="463">
        <f t="shared" si="9"/>
        <v>10</v>
      </c>
      <c r="B434" s="464" t="s">
        <v>4471</v>
      </c>
      <c r="C434" s="476" t="s">
        <v>4472</v>
      </c>
      <c r="D434" s="464" t="s">
        <v>4473</v>
      </c>
      <c r="E434" s="464" t="s">
        <v>79</v>
      </c>
      <c r="F434" s="464" t="s">
        <v>3514</v>
      </c>
      <c r="G434" s="80" t="str">
        <f>VLOOKUP(F434,'01. TH'!$B:$E,3,0)</f>
        <v>6.1x2.4x0.9</v>
      </c>
      <c r="H434" s="463" t="s">
        <v>1253</v>
      </c>
      <c r="I434" s="463" t="s">
        <v>4474</v>
      </c>
      <c r="J434" s="467"/>
      <c r="K434" s="463" t="s">
        <v>1661</v>
      </c>
      <c r="L434" s="464" t="s">
        <v>4475</v>
      </c>
      <c r="M434" s="476"/>
      <c r="N434" s="464" t="s">
        <v>3258</v>
      </c>
      <c r="O434" s="476"/>
      <c r="P434" s="464" t="s">
        <v>3260</v>
      </c>
      <c r="Q434" s="475"/>
      <c r="R434" s="476"/>
      <c r="S434" s="476"/>
      <c r="T434" s="469"/>
      <c r="U434" s="467"/>
      <c r="V434" s="467"/>
    </row>
    <row r="435" ht="15.0" customHeight="1">
      <c r="A435" s="463">
        <f t="shared" si="9"/>
        <v>11</v>
      </c>
      <c r="B435" s="464" t="s">
        <v>4478</v>
      </c>
      <c r="C435" s="477"/>
      <c r="D435" s="464" t="s">
        <v>4479</v>
      </c>
      <c r="E435" s="464" t="s">
        <v>79</v>
      </c>
      <c r="F435" s="464" t="s">
        <v>3644</v>
      </c>
      <c r="G435" s="80" t="str">
        <f>VLOOKUP(F435,'01. TH'!$B:$E,3,0)</f>
        <v> 1590mm x 1300mm</v>
      </c>
      <c r="H435" s="463" t="s">
        <v>57</v>
      </c>
      <c r="I435" s="463" t="s">
        <v>4480</v>
      </c>
      <c r="J435" s="467"/>
      <c r="K435" s="463" t="s">
        <v>1661</v>
      </c>
      <c r="L435" s="464" t="s">
        <v>4458</v>
      </c>
      <c r="M435" s="476"/>
      <c r="N435" s="464" t="s">
        <v>3258</v>
      </c>
      <c r="O435" s="465" t="s">
        <v>4481</v>
      </c>
      <c r="P435" s="464" t="s">
        <v>3260</v>
      </c>
      <c r="Q435" s="463">
        <v>2024.0</v>
      </c>
      <c r="R435" s="465" t="s">
        <v>4482</v>
      </c>
      <c r="S435" s="476"/>
      <c r="T435" s="469"/>
      <c r="U435" s="467"/>
      <c r="V435" s="467"/>
    </row>
    <row r="436" ht="15.0" customHeight="1">
      <c r="A436" s="463">
        <f t="shared" si="9"/>
        <v>12</v>
      </c>
      <c r="B436" s="464" t="s">
        <v>4483</v>
      </c>
      <c r="C436" s="476"/>
      <c r="D436" s="464" t="s">
        <v>4484</v>
      </c>
      <c r="E436" s="464" t="s">
        <v>79</v>
      </c>
      <c r="F436" s="464" t="s">
        <v>3947</v>
      </c>
      <c r="G436" s="80" t="str">
        <f>VLOOKUP(F436,'01. TH'!$B:$E,3,0)</f>
        <v/>
      </c>
      <c r="H436" s="463" t="s">
        <v>57</v>
      </c>
      <c r="I436" s="463" t="s">
        <v>459</v>
      </c>
      <c r="J436" s="464"/>
      <c r="K436" s="463" t="s">
        <v>1661</v>
      </c>
      <c r="L436" s="464" t="s">
        <v>4443</v>
      </c>
      <c r="M436" s="476"/>
      <c r="N436" s="464" t="s">
        <v>3258</v>
      </c>
      <c r="O436" s="476"/>
      <c r="P436" s="464" t="s">
        <v>3260</v>
      </c>
      <c r="Q436" s="463"/>
      <c r="R436" s="465"/>
      <c r="S436" s="465"/>
      <c r="T436" s="482"/>
      <c r="U436" s="464"/>
      <c r="V436" s="464"/>
    </row>
    <row r="437" ht="15.0" customHeight="1">
      <c r="A437" s="463">
        <f t="shared" si="9"/>
        <v>13</v>
      </c>
      <c r="B437" s="464" t="s">
        <v>4485</v>
      </c>
      <c r="C437" s="464" t="s">
        <v>4486</v>
      </c>
      <c r="D437" s="464" t="s">
        <v>4487</v>
      </c>
      <c r="E437" s="464" t="s">
        <v>79</v>
      </c>
      <c r="F437" s="464" t="s">
        <v>3947</v>
      </c>
      <c r="G437" s="80" t="str">
        <f>VLOOKUP(F437,'01. TH'!$B:$E,3,0)</f>
        <v/>
      </c>
      <c r="H437" s="463" t="s">
        <v>57</v>
      </c>
      <c r="I437" s="463" t="s">
        <v>4488</v>
      </c>
      <c r="J437" s="467"/>
      <c r="K437" s="463" t="s">
        <v>1661</v>
      </c>
      <c r="L437" s="464" t="s">
        <v>4489</v>
      </c>
      <c r="M437" s="476"/>
      <c r="N437" s="464" t="s">
        <v>3258</v>
      </c>
      <c r="O437" s="476"/>
      <c r="P437" s="464" t="s">
        <v>3260</v>
      </c>
      <c r="Q437" s="475"/>
      <c r="R437" s="476"/>
      <c r="S437" s="465"/>
      <c r="T437" s="482"/>
      <c r="U437" s="464"/>
      <c r="V437" s="464"/>
    </row>
    <row r="438" ht="15.0" customHeight="1">
      <c r="A438" s="463">
        <f t="shared" si="9"/>
        <v>14</v>
      </c>
      <c r="B438" s="464" t="s">
        <v>4490</v>
      </c>
      <c r="C438" s="464" t="s">
        <v>4491</v>
      </c>
      <c r="D438" s="464" t="s">
        <v>4492</v>
      </c>
      <c r="E438" s="464" t="s">
        <v>79</v>
      </c>
      <c r="F438" s="464" t="s">
        <v>3947</v>
      </c>
      <c r="G438" s="80" t="str">
        <f>VLOOKUP(F438,'01. TH'!$B:$E,3,0)</f>
        <v/>
      </c>
      <c r="H438" s="463" t="s">
        <v>57</v>
      </c>
      <c r="I438" s="463" t="s">
        <v>4488</v>
      </c>
      <c r="J438" s="467"/>
      <c r="K438" s="463" t="s">
        <v>1661</v>
      </c>
      <c r="L438" s="464" t="s">
        <v>4489</v>
      </c>
      <c r="M438" s="476"/>
      <c r="N438" s="464" t="s">
        <v>3258</v>
      </c>
      <c r="O438" s="476"/>
      <c r="P438" s="464" t="s">
        <v>3260</v>
      </c>
      <c r="Q438" s="475"/>
      <c r="R438" s="476"/>
      <c r="S438" s="465"/>
      <c r="T438" s="482"/>
      <c r="U438" s="464"/>
      <c r="V438" s="464"/>
    </row>
    <row r="439" ht="15.0" customHeight="1">
      <c r="A439" s="463">
        <f t="shared" si="9"/>
        <v>15</v>
      </c>
      <c r="B439" s="464" t="s">
        <v>4493</v>
      </c>
      <c r="C439" s="464" t="s">
        <v>4494</v>
      </c>
      <c r="D439" s="464" t="s">
        <v>4495</v>
      </c>
      <c r="E439" s="464" t="s">
        <v>79</v>
      </c>
      <c r="F439" s="464" t="s">
        <v>3947</v>
      </c>
      <c r="G439" s="80" t="str">
        <f>VLOOKUP(F439,'01. TH'!$B:$E,3,0)</f>
        <v/>
      </c>
      <c r="H439" s="463" t="s">
        <v>57</v>
      </c>
      <c r="I439" s="463" t="s">
        <v>4488</v>
      </c>
      <c r="J439" s="467"/>
      <c r="K439" s="463" t="s">
        <v>1661</v>
      </c>
      <c r="L439" s="464" t="s">
        <v>4489</v>
      </c>
      <c r="M439" s="476"/>
      <c r="N439" s="464" t="s">
        <v>3258</v>
      </c>
      <c r="O439" s="476"/>
      <c r="P439" s="464" t="s">
        <v>3260</v>
      </c>
      <c r="Q439" s="475"/>
      <c r="R439" s="476"/>
      <c r="S439" s="465"/>
      <c r="T439" s="482"/>
      <c r="U439" s="464"/>
      <c r="V439" s="464"/>
    </row>
    <row r="440" ht="15.0" customHeight="1">
      <c r="A440" s="463">
        <f t="shared" si="9"/>
        <v>16</v>
      </c>
      <c r="B440" s="464" t="s">
        <v>4496</v>
      </c>
      <c r="C440" s="476"/>
      <c r="D440" s="464"/>
      <c r="E440" s="464" t="s">
        <v>79</v>
      </c>
      <c r="F440" s="464" t="s">
        <v>4497</v>
      </c>
      <c r="G440" s="80" t="str">
        <f>VLOOKUP(F440,'01. TH'!$B:$E,3,0)</f>
        <v/>
      </c>
      <c r="H440" s="463" t="s">
        <v>57</v>
      </c>
      <c r="I440" s="466">
        <v>45332.0</v>
      </c>
      <c r="J440" s="464"/>
      <c r="K440" s="463" t="s">
        <v>1661</v>
      </c>
      <c r="L440" s="464" t="s">
        <v>4431</v>
      </c>
      <c r="M440" s="476"/>
      <c r="N440" s="464" t="s">
        <v>3258</v>
      </c>
      <c r="O440" s="465" t="s">
        <v>4432</v>
      </c>
      <c r="P440" s="464" t="s">
        <v>3260</v>
      </c>
      <c r="Q440" s="463">
        <v>2024.0</v>
      </c>
      <c r="R440" s="465" t="s">
        <v>4498</v>
      </c>
      <c r="S440" s="465"/>
      <c r="T440" s="482">
        <v>6.14</v>
      </c>
      <c r="U440" s="464" t="s">
        <v>4499</v>
      </c>
      <c r="V440" s="464"/>
    </row>
    <row r="441" ht="15.0" customHeight="1">
      <c r="A441" s="463">
        <f t="shared" si="9"/>
        <v>17</v>
      </c>
      <c r="B441" s="464" t="s">
        <v>4500</v>
      </c>
      <c r="C441" s="465"/>
      <c r="D441" s="464" t="s">
        <v>4501</v>
      </c>
      <c r="E441" s="464" t="s">
        <v>79</v>
      </c>
      <c r="F441" s="464" t="s">
        <v>3989</v>
      </c>
      <c r="G441" s="80" t="str">
        <f>VLOOKUP(F441,'01. TH'!$B:$E,3,0)</f>
        <v>#N/A</v>
      </c>
      <c r="H441" s="463" t="s">
        <v>57</v>
      </c>
      <c r="I441" s="463" t="s">
        <v>4503</v>
      </c>
      <c r="J441" s="464"/>
      <c r="K441" s="463" t="s">
        <v>1661</v>
      </c>
      <c r="L441" s="464" t="s">
        <v>4431</v>
      </c>
      <c r="M441" s="476"/>
      <c r="N441" s="464" t="s">
        <v>3258</v>
      </c>
      <c r="O441" s="465" t="s">
        <v>3991</v>
      </c>
      <c r="P441" s="464" t="s">
        <v>3260</v>
      </c>
      <c r="Q441" s="463">
        <v>2025.0</v>
      </c>
      <c r="R441" s="465" t="s">
        <v>3997</v>
      </c>
      <c r="S441" s="465" t="s">
        <v>4504</v>
      </c>
      <c r="T441" s="482">
        <v>0.56</v>
      </c>
      <c r="U441" s="464" t="s">
        <v>3992</v>
      </c>
      <c r="V441" s="464"/>
    </row>
    <row r="442" ht="15.0" customHeight="1">
      <c r="A442" s="463">
        <f t="shared" si="9"/>
        <v>18</v>
      </c>
      <c r="B442" s="464" t="s">
        <v>4505</v>
      </c>
      <c r="C442" s="465"/>
      <c r="D442" s="464" t="s">
        <v>4506</v>
      </c>
      <c r="E442" s="464" t="s">
        <v>79</v>
      </c>
      <c r="F442" s="464" t="s">
        <v>3989</v>
      </c>
      <c r="G442" s="80" t="str">
        <f>VLOOKUP(F442,'01. TH'!$B:$E,3,0)</f>
        <v>#N/A</v>
      </c>
      <c r="H442" s="463" t="s">
        <v>57</v>
      </c>
      <c r="I442" s="463" t="s">
        <v>3379</v>
      </c>
      <c r="J442" s="464"/>
      <c r="K442" s="463" t="s">
        <v>1027</v>
      </c>
      <c r="L442" s="464" t="s">
        <v>4431</v>
      </c>
      <c r="M442" s="476"/>
      <c r="N442" s="464" t="s">
        <v>3258</v>
      </c>
      <c r="O442" s="465" t="s">
        <v>3991</v>
      </c>
      <c r="P442" s="464" t="s">
        <v>3260</v>
      </c>
      <c r="Q442" s="463">
        <v>2025.0</v>
      </c>
      <c r="R442" s="465" t="s">
        <v>3997</v>
      </c>
      <c r="S442" s="465" t="s">
        <v>4507</v>
      </c>
      <c r="T442" s="482">
        <v>0.56</v>
      </c>
      <c r="U442" s="464" t="s">
        <v>3992</v>
      </c>
      <c r="V442" s="464"/>
    </row>
    <row r="443" ht="15.0" customHeight="1">
      <c r="A443" s="463">
        <f t="shared" si="9"/>
        <v>19</v>
      </c>
      <c r="B443" s="464" t="s">
        <v>4508</v>
      </c>
      <c r="C443" s="476"/>
      <c r="D443" s="464" t="s">
        <v>4509</v>
      </c>
      <c r="E443" s="464" t="s">
        <v>79</v>
      </c>
      <c r="F443" s="464" t="s">
        <v>3989</v>
      </c>
      <c r="G443" s="80" t="str">
        <f>VLOOKUP(F443,'01. TH'!$B:$E,3,0)</f>
        <v>#N/A</v>
      </c>
      <c r="H443" s="463" t="s">
        <v>57</v>
      </c>
      <c r="I443" s="463" t="s">
        <v>4004</v>
      </c>
      <c r="J443" s="464"/>
      <c r="K443" s="463" t="s">
        <v>1027</v>
      </c>
      <c r="L443" s="464" t="s">
        <v>4431</v>
      </c>
      <c r="M443" s="476"/>
      <c r="N443" s="464" t="s">
        <v>3258</v>
      </c>
      <c r="O443" s="476"/>
      <c r="P443" s="464" t="s">
        <v>3260</v>
      </c>
      <c r="Q443" s="463">
        <v>2025.0</v>
      </c>
      <c r="R443" s="465"/>
      <c r="S443" s="465"/>
      <c r="T443" s="482">
        <v>0.56</v>
      </c>
      <c r="U443" s="464" t="s">
        <v>3992</v>
      </c>
      <c r="V443" s="464"/>
    </row>
    <row r="444" ht="15.0" customHeight="1">
      <c r="A444" s="463">
        <f t="shared" si="9"/>
        <v>20</v>
      </c>
      <c r="B444" s="464" t="s">
        <v>4510</v>
      </c>
      <c r="C444" s="476"/>
      <c r="D444" s="464" t="s">
        <v>4511</v>
      </c>
      <c r="E444" s="464" t="s">
        <v>79</v>
      </c>
      <c r="F444" s="464" t="s">
        <v>3989</v>
      </c>
      <c r="G444" s="80" t="str">
        <f>VLOOKUP(F444,'01. TH'!$B:$E,3,0)</f>
        <v>#N/A</v>
      </c>
      <c r="H444" s="463" t="s">
        <v>57</v>
      </c>
      <c r="I444" s="466">
        <v>45725.0</v>
      </c>
      <c r="J444" s="464"/>
      <c r="K444" s="463" t="s">
        <v>1027</v>
      </c>
      <c r="L444" s="464" t="s">
        <v>4431</v>
      </c>
      <c r="M444" s="476"/>
      <c r="N444" s="464" t="s">
        <v>3258</v>
      </c>
      <c r="O444" s="465" t="s">
        <v>4512</v>
      </c>
      <c r="P444" s="464" t="s">
        <v>3260</v>
      </c>
      <c r="Q444" s="463">
        <v>2025.0</v>
      </c>
      <c r="R444" s="465"/>
      <c r="S444" s="465">
        <v>16.0</v>
      </c>
      <c r="T444" s="482">
        <v>0.56</v>
      </c>
      <c r="U444" s="464" t="s">
        <v>3992</v>
      </c>
      <c r="V444" s="486"/>
    </row>
    <row r="445" ht="15.0" customHeight="1">
      <c r="A445" s="463">
        <f t="shared" si="9"/>
        <v>21</v>
      </c>
      <c r="B445" s="464" t="s">
        <v>4513</v>
      </c>
      <c r="C445" s="476"/>
      <c r="D445" s="464" t="s">
        <v>4514</v>
      </c>
      <c r="E445" s="464" t="s">
        <v>79</v>
      </c>
      <c r="F445" s="464" t="s">
        <v>3989</v>
      </c>
      <c r="G445" s="80" t="str">
        <f>VLOOKUP(F445,'01. TH'!$B:$E,3,0)</f>
        <v>#N/A</v>
      </c>
      <c r="H445" s="463" t="s">
        <v>57</v>
      </c>
      <c r="I445" s="466">
        <v>45725.0</v>
      </c>
      <c r="J445" s="464"/>
      <c r="K445" s="463" t="s">
        <v>1027</v>
      </c>
      <c r="L445" s="464" t="s">
        <v>4431</v>
      </c>
      <c r="M445" s="476"/>
      <c r="N445" s="464" t="s">
        <v>3258</v>
      </c>
      <c r="O445" s="465" t="s">
        <v>4512</v>
      </c>
      <c r="P445" s="464" t="s">
        <v>3260</v>
      </c>
      <c r="Q445" s="463">
        <v>2025.0</v>
      </c>
      <c r="R445" s="465"/>
      <c r="S445" s="465">
        <v>17.0</v>
      </c>
      <c r="T445" s="482">
        <v>0.56</v>
      </c>
      <c r="U445" s="464" t="s">
        <v>3992</v>
      </c>
      <c r="V445" s="486"/>
    </row>
    <row r="446" ht="15.0" customHeight="1">
      <c r="A446" s="463">
        <f t="shared" si="9"/>
        <v>22</v>
      </c>
      <c r="B446" s="464" t="s">
        <v>4515</v>
      </c>
      <c r="C446" s="476"/>
      <c r="D446" s="464" t="s">
        <v>4516</v>
      </c>
      <c r="E446" s="464" t="s">
        <v>79</v>
      </c>
      <c r="F446" s="464" t="s">
        <v>3989</v>
      </c>
      <c r="G446" s="80" t="str">
        <f>VLOOKUP(F446,'01. TH'!$B:$E,3,0)</f>
        <v>#N/A</v>
      </c>
      <c r="H446" s="463" t="s">
        <v>57</v>
      </c>
      <c r="I446" s="466">
        <v>45878.0</v>
      </c>
      <c r="J446" s="464"/>
      <c r="K446" s="463" t="s">
        <v>1027</v>
      </c>
      <c r="L446" s="464" t="s">
        <v>4431</v>
      </c>
      <c r="M446" s="476"/>
      <c r="N446" s="464" t="s">
        <v>3258</v>
      </c>
      <c r="O446" s="465" t="s">
        <v>4517</v>
      </c>
      <c r="P446" s="464" t="s">
        <v>3260</v>
      </c>
      <c r="Q446" s="463">
        <v>2025.0</v>
      </c>
      <c r="R446" s="465"/>
      <c r="S446" s="465"/>
      <c r="T446" s="482">
        <v>0.56</v>
      </c>
      <c r="U446" s="464" t="s">
        <v>3992</v>
      </c>
      <c r="V446" s="486"/>
    </row>
    <row r="447" ht="15.0" customHeight="1">
      <c r="A447" s="463">
        <f t="shared" si="9"/>
        <v>23</v>
      </c>
      <c r="B447" s="464" t="s">
        <v>4518</v>
      </c>
      <c r="C447" s="476"/>
      <c r="D447" s="464" t="s">
        <v>4519</v>
      </c>
      <c r="E447" s="464" t="s">
        <v>79</v>
      </c>
      <c r="F447" s="464" t="s">
        <v>3989</v>
      </c>
      <c r="G447" s="80" t="str">
        <f>VLOOKUP(F447,'01. TH'!$B:$E,3,0)</f>
        <v>#N/A</v>
      </c>
      <c r="H447" s="463" t="s">
        <v>57</v>
      </c>
      <c r="I447" s="463" t="s">
        <v>4371</v>
      </c>
      <c r="J447" s="464"/>
      <c r="K447" s="463" t="s">
        <v>1027</v>
      </c>
      <c r="L447" s="464" t="s">
        <v>4431</v>
      </c>
      <c r="M447" s="476"/>
      <c r="N447" s="464" t="s">
        <v>3258</v>
      </c>
      <c r="O447" s="465" t="s">
        <v>4520</v>
      </c>
      <c r="P447" s="464" t="s">
        <v>3260</v>
      </c>
      <c r="Q447" s="463">
        <v>2025.0</v>
      </c>
      <c r="R447" s="465"/>
      <c r="S447" s="465"/>
      <c r="T447" s="482">
        <v>0.56</v>
      </c>
      <c r="U447" s="464" t="s">
        <v>3992</v>
      </c>
      <c r="V447" s="486"/>
    </row>
    <row r="448" ht="15.0" customHeight="1">
      <c r="A448" s="463">
        <f t="shared" si="9"/>
        <v>24</v>
      </c>
      <c r="B448" s="464" t="s">
        <v>4521</v>
      </c>
      <c r="C448" s="465" t="s">
        <v>4015</v>
      </c>
      <c r="D448" s="464" t="s">
        <v>4016</v>
      </c>
      <c r="E448" s="464" t="s">
        <v>79</v>
      </c>
      <c r="F448" s="464" t="s">
        <v>3989</v>
      </c>
      <c r="G448" s="80" t="str">
        <f>VLOOKUP(F448,'01. TH'!$B:$E,3,0)</f>
        <v>#N/A</v>
      </c>
      <c r="H448" s="463" t="s">
        <v>57</v>
      </c>
      <c r="I448" s="466">
        <v>45726.0</v>
      </c>
      <c r="J448" s="464"/>
      <c r="K448" s="463" t="s">
        <v>1027</v>
      </c>
      <c r="L448" s="464" t="s">
        <v>4522</v>
      </c>
      <c r="M448" s="476"/>
      <c r="N448" s="464" t="s">
        <v>3990</v>
      </c>
      <c r="O448" s="465" t="s">
        <v>4017</v>
      </c>
      <c r="P448" s="464" t="s">
        <v>3260</v>
      </c>
      <c r="Q448" s="463">
        <v>2025.0</v>
      </c>
      <c r="R448" s="465"/>
      <c r="S448" s="465"/>
      <c r="T448" s="482">
        <v>0.56</v>
      </c>
      <c r="U448" s="464" t="s">
        <v>3992</v>
      </c>
      <c r="V448" s="486"/>
    </row>
    <row r="449" ht="15.0" customHeight="1">
      <c r="A449" s="463">
        <f t="shared" si="9"/>
        <v>25</v>
      </c>
      <c r="B449" s="464" t="s">
        <v>4523</v>
      </c>
      <c r="C449" s="476"/>
      <c r="D449" s="464" t="s">
        <v>4524</v>
      </c>
      <c r="E449" s="464" t="s">
        <v>79</v>
      </c>
      <c r="F449" s="464" t="s">
        <v>3989</v>
      </c>
      <c r="G449" s="80" t="str">
        <f>VLOOKUP(F449,'01. TH'!$B:$E,3,0)</f>
        <v>#N/A</v>
      </c>
      <c r="H449" s="463" t="s">
        <v>57</v>
      </c>
      <c r="I449" s="463" t="s">
        <v>4526</v>
      </c>
      <c r="J449" s="464"/>
      <c r="K449" s="463" t="s">
        <v>1027</v>
      </c>
      <c r="L449" s="464" t="s">
        <v>4431</v>
      </c>
      <c r="M449" s="476"/>
      <c r="N449" s="464" t="s">
        <v>3990</v>
      </c>
      <c r="O449" s="465" t="s">
        <v>4527</v>
      </c>
      <c r="P449" s="464" t="s">
        <v>3260</v>
      </c>
      <c r="Q449" s="463">
        <v>2025.0</v>
      </c>
      <c r="R449" s="465"/>
      <c r="S449" s="465"/>
      <c r="T449" s="482">
        <v>0.56</v>
      </c>
      <c r="U449" s="464" t="s">
        <v>3992</v>
      </c>
      <c r="V449" s="486"/>
    </row>
    <row r="450" ht="15.0" customHeight="1">
      <c r="A450" s="463">
        <f t="shared" si="9"/>
        <v>26</v>
      </c>
      <c r="B450" s="464" t="s">
        <v>4528</v>
      </c>
      <c r="C450" s="476"/>
      <c r="D450" s="464" t="s">
        <v>4529</v>
      </c>
      <c r="E450" s="464" t="s">
        <v>79</v>
      </c>
      <c r="F450" s="464" t="s">
        <v>3989</v>
      </c>
      <c r="G450" s="80" t="str">
        <f>VLOOKUP(F450,'01. TH'!$B:$E,3,0)</f>
        <v>#N/A</v>
      </c>
      <c r="H450" s="463" t="s">
        <v>57</v>
      </c>
      <c r="I450" s="463" t="s">
        <v>4530</v>
      </c>
      <c r="J450" s="464"/>
      <c r="K450" s="463" t="s">
        <v>1027</v>
      </c>
      <c r="L450" s="464" t="s">
        <v>4431</v>
      </c>
      <c r="M450" s="476"/>
      <c r="N450" s="464" t="s">
        <v>3990</v>
      </c>
      <c r="O450" s="465" t="s">
        <v>4531</v>
      </c>
      <c r="P450" s="464" t="s">
        <v>3260</v>
      </c>
      <c r="Q450" s="463">
        <v>2025.0</v>
      </c>
      <c r="R450" s="465"/>
      <c r="S450" s="465"/>
      <c r="T450" s="482">
        <v>0.56</v>
      </c>
      <c r="U450" s="464" t="s">
        <v>3992</v>
      </c>
      <c r="V450" s="486"/>
    </row>
    <row r="451" ht="15.0" customHeight="1">
      <c r="A451" s="463">
        <f t="shared" si="9"/>
        <v>27</v>
      </c>
      <c r="B451" s="464" t="s">
        <v>4532</v>
      </c>
      <c r="C451" s="476"/>
      <c r="D451" s="464" t="s">
        <v>4533</v>
      </c>
      <c r="E451" s="464" t="s">
        <v>79</v>
      </c>
      <c r="F451" s="464" t="s">
        <v>3989</v>
      </c>
      <c r="G451" s="80" t="str">
        <f>VLOOKUP(F451,'01. TH'!$B:$E,3,0)</f>
        <v>#N/A</v>
      </c>
      <c r="H451" s="463" t="s">
        <v>57</v>
      </c>
      <c r="I451" s="463" t="s">
        <v>4530</v>
      </c>
      <c r="J451" s="464"/>
      <c r="K451" s="463" t="s">
        <v>1027</v>
      </c>
      <c r="L451" s="464" t="s">
        <v>4431</v>
      </c>
      <c r="M451" s="476"/>
      <c r="N451" s="464" t="s">
        <v>3990</v>
      </c>
      <c r="O451" s="465" t="s">
        <v>4534</v>
      </c>
      <c r="P451" s="464" t="s">
        <v>3260</v>
      </c>
      <c r="Q451" s="463">
        <v>2025.0</v>
      </c>
      <c r="R451" s="465"/>
      <c r="S451" s="465"/>
      <c r="T451" s="482">
        <v>0.56</v>
      </c>
      <c r="U451" s="464" t="s">
        <v>3992</v>
      </c>
      <c r="V451" s="486"/>
    </row>
    <row r="452" ht="15.0" customHeight="1">
      <c r="A452" s="463">
        <f t="shared" si="9"/>
        <v>28</v>
      </c>
      <c r="B452" s="464" t="s">
        <v>4535</v>
      </c>
      <c r="C452" s="476"/>
      <c r="D452" s="464" t="s">
        <v>4536</v>
      </c>
      <c r="E452" s="464" t="s">
        <v>79</v>
      </c>
      <c r="F452" s="464" t="s">
        <v>3989</v>
      </c>
      <c r="G452" s="80"/>
      <c r="H452" s="463" t="s">
        <v>57</v>
      </c>
      <c r="I452" s="466">
        <v>46329.0</v>
      </c>
      <c r="J452" s="464"/>
      <c r="K452" s="463" t="s">
        <v>1027</v>
      </c>
      <c r="L452" s="464" t="s">
        <v>4431</v>
      </c>
      <c r="M452" s="476"/>
      <c r="N452" s="464" t="s">
        <v>3990</v>
      </c>
      <c r="O452" s="465" t="s">
        <v>4537</v>
      </c>
      <c r="P452" s="464" t="s">
        <v>3260</v>
      </c>
      <c r="Q452" s="463">
        <v>2025.0</v>
      </c>
      <c r="R452" s="465"/>
      <c r="S452" s="465"/>
      <c r="T452" s="482">
        <v>0.56</v>
      </c>
      <c r="U452" s="464" t="s">
        <v>3992</v>
      </c>
      <c r="V452" s="486"/>
    </row>
    <row r="453" ht="15.0" customHeight="1">
      <c r="A453" s="463">
        <f t="shared" si="9"/>
        <v>29</v>
      </c>
      <c r="B453" s="464" t="s">
        <v>4538</v>
      </c>
      <c r="C453" s="476"/>
      <c r="D453" s="464" t="s">
        <v>4539</v>
      </c>
      <c r="E453" s="464" t="s">
        <v>79</v>
      </c>
      <c r="F453" s="464" t="s">
        <v>3989</v>
      </c>
      <c r="G453" s="80"/>
      <c r="H453" s="463" t="s">
        <v>57</v>
      </c>
      <c r="I453" s="466">
        <v>46329.0</v>
      </c>
      <c r="J453" s="464"/>
      <c r="K453" s="463" t="s">
        <v>1027</v>
      </c>
      <c r="L453" s="464" t="s">
        <v>4431</v>
      </c>
      <c r="M453" s="476"/>
      <c r="N453" s="464" t="s">
        <v>3990</v>
      </c>
      <c r="O453" s="465" t="s">
        <v>4540</v>
      </c>
      <c r="P453" s="464" t="s">
        <v>3260</v>
      </c>
      <c r="Q453" s="463">
        <v>2025.0</v>
      </c>
      <c r="R453" s="465"/>
      <c r="S453" s="465"/>
      <c r="T453" s="482">
        <v>0.56</v>
      </c>
      <c r="U453" s="464" t="s">
        <v>3992</v>
      </c>
      <c r="V453" s="486"/>
    </row>
    <row r="454" ht="15.0" customHeight="1">
      <c r="A454" s="463">
        <f t="shared" si="9"/>
        <v>30</v>
      </c>
      <c r="B454" s="464" t="s">
        <v>4541</v>
      </c>
      <c r="C454" s="476" t="s">
        <v>4542</v>
      </c>
      <c r="D454" s="464" t="s">
        <v>4543</v>
      </c>
      <c r="E454" s="464" t="s">
        <v>79</v>
      </c>
      <c r="F454" s="464" t="s">
        <v>3919</v>
      </c>
      <c r="G454" s="80" t="str">
        <f>VLOOKUP(F454,'01. TH'!$B:$E,3,0)</f>
        <v/>
      </c>
      <c r="H454" s="463" t="s">
        <v>57</v>
      </c>
      <c r="I454" s="463" t="s">
        <v>4545</v>
      </c>
      <c r="J454" s="464"/>
      <c r="K454" s="463" t="s">
        <v>1027</v>
      </c>
      <c r="L454" s="464" t="s">
        <v>4546</v>
      </c>
      <c r="M454" s="476"/>
      <c r="N454" s="464" t="s">
        <v>2666</v>
      </c>
      <c r="O454" s="465" t="s">
        <v>3920</v>
      </c>
      <c r="P454" s="464" t="s">
        <v>2666</v>
      </c>
      <c r="Q454" s="463"/>
      <c r="R454" s="465"/>
      <c r="S454" s="465"/>
      <c r="T454" s="509">
        <v>8.47</v>
      </c>
      <c r="U454" s="486"/>
      <c r="V454" s="486"/>
    </row>
    <row r="455" ht="15.0" customHeight="1">
      <c r="A455" s="463">
        <f t="shared" si="9"/>
        <v>31</v>
      </c>
      <c r="B455" s="464" t="s">
        <v>4547</v>
      </c>
      <c r="C455" s="465"/>
      <c r="D455" s="464" t="s">
        <v>4548</v>
      </c>
      <c r="E455" s="464" t="s">
        <v>79</v>
      </c>
      <c r="F455" s="464" t="s">
        <v>4404</v>
      </c>
      <c r="G455" s="80" t="str">
        <f>VLOOKUP(F455,'01. TH'!$B:$E,3,0)</f>
        <v>#N/A</v>
      </c>
      <c r="H455" s="463" t="s">
        <v>57</v>
      </c>
      <c r="I455" s="463" t="s">
        <v>4405</v>
      </c>
      <c r="J455" s="464"/>
      <c r="K455" s="463" t="s">
        <v>1027</v>
      </c>
      <c r="L455" s="464" t="s">
        <v>4431</v>
      </c>
      <c r="M455" s="476"/>
      <c r="N455" s="464" t="s">
        <v>3258</v>
      </c>
      <c r="O455" s="465"/>
      <c r="P455" s="464" t="s">
        <v>3260</v>
      </c>
      <c r="Q455" s="463"/>
      <c r="R455" s="465" t="s">
        <v>3286</v>
      </c>
      <c r="S455" s="465"/>
      <c r="T455" s="482"/>
      <c r="U455" s="464"/>
      <c r="V455" s="464"/>
    </row>
    <row r="456" ht="15.0" customHeight="1">
      <c r="A456" s="463">
        <f t="shared" si="9"/>
        <v>32</v>
      </c>
      <c r="B456" s="464" t="s">
        <v>4549</v>
      </c>
      <c r="C456" s="465"/>
      <c r="D456" s="464" t="s">
        <v>4550</v>
      </c>
      <c r="E456" s="464" t="s">
        <v>79</v>
      </c>
      <c r="F456" s="464" t="s">
        <v>4404</v>
      </c>
      <c r="G456" s="80" t="str">
        <f>VLOOKUP(F456,'01. TH'!$B:$E,3,0)</f>
        <v>#N/A</v>
      </c>
      <c r="H456" s="463" t="s">
        <v>57</v>
      </c>
      <c r="I456" s="463" t="s">
        <v>4405</v>
      </c>
      <c r="J456" s="464"/>
      <c r="K456" s="463" t="s">
        <v>1027</v>
      </c>
      <c r="L456" s="464" t="s">
        <v>4431</v>
      </c>
      <c r="M456" s="476"/>
      <c r="N456" s="464" t="s">
        <v>3258</v>
      </c>
      <c r="O456" s="465"/>
      <c r="P456" s="464" t="s">
        <v>3260</v>
      </c>
      <c r="Q456" s="463"/>
      <c r="R456" s="465" t="s">
        <v>3286</v>
      </c>
      <c r="S456" s="465"/>
      <c r="T456" s="482"/>
      <c r="U456" s="464"/>
      <c r="V456" s="464"/>
    </row>
    <row r="457" ht="15.0" customHeight="1">
      <c r="A457" s="463">
        <f t="shared" si="9"/>
        <v>33</v>
      </c>
      <c r="B457" s="464" t="s">
        <v>4552</v>
      </c>
      <c r="C457" s="465"/>
      <c r="D457" s="464" t="s">
        <v>4553</v>
      </c>
      <c r="E457" s="464" t="s">
        <v>79</v>
      </c>
      <c r="F457" s="464" t="s">
        <v>4404</v>
      </c>
      <c r="G457" s="80" t="str">
        <f>VLOOKUP(F457,'01. TH'!$B:$E,3,0)</f>
        <v>#N/A</v>
      </c>
      <c r="H457" s="463" t="s">
        <v>57</v>
      </c>
      <c r="I457" s="466">
        <v>45694.0</v>
      </c>
      <c r="J457" s="464"/>
      <c r="K457" s="463" t="s">
        <v>1027</v>
      </c>
      <c r="L457" s="464" t="s">
        <v>4431</v>
      </c>
      <c r="M457" s="476"/>
      <c r="N457" s="464" t="s">
        <v>3258</v>
      </c>
      <c r="O457" s="465"/>
      <c r="P457" s="464" t="s">
        <v>3260</v>
      </c>
      <c r="Q457" s="463"/>
      <c r="R457" s="465" t="s">
        <v>3286</v>
      </c>
      <c r="S457" s="465"/>
      <c r="T457" s="482"/>
      <c r="U457" s="464"/>
      <c r="V457" s="464"/>
    </row>
    <row r="458" ht="15.0" customHeight="1">
      <c r="A458" s="463">
        <f t="shared" si="9"/>
        <v>34</v>
      </c>
      <c r="B458" s="464" t="s">
        <v>4554</v>
      </c>
      <c r="C458" s="465"/>
      <c r="D458" s="464" t="s">
        <v>4555</v>
      </c>
      <c r="E458" s="464" t="s">
        <v>79</v>
      </c>
      <c r="F458" s="464" t="s">
        <v>4404</v>
      </c>
      <c r="G458" s="80" t="str">
        <f>VLOOKUP(F458,'01. TH'!$B:$E,3,0)</f>
        <v>#N/A</v>
      </c>
      <c r="H458" s="463" t="s">
        <v>57</v>
      </c>
      <c r="I458" s="466">
        <v>45694.0</v>
      </c>
      <c r="J458" s="464"/>
      <c r="K458" s="463" t="s">
        <v>1027</v>
      </c>
      <c r="L458" s="464" t="s">
        <v>4431</v>
      </c>
      <c r="M458" s="476"/>
      <c r="N458" s="464" t="s">
        <v>3258</v>
      </c>
      <c r="O458" s="465"/>
      <c r="P458" s="464" t="s">
        <v>3260</v>
      </c>
      <c r="Q458" s="463"/>
      <c r="R458" s="465" t="s">
        <v>3286</v>
      </c>
      <c r="S458" s="465"/>
      <c r="T458" s="482"/>
      <c r="U458" s="464"/>
      <c r="V458" s="464"/>
    </row>
    <row r="459" ht="15.0" customHeight="1">
      <c r="A459" s="463">
        <f t="shared" si="9"/>
        <v>35</v>
      </c>
      <c r="B459" s="464" t="s">
        <v>4556</v>
      </c>
      <c r="C459" s="465"/>
      <c r="D459" s="464" t="s">
        <v>4557</v>
      </c>
      <c r="E459" s="464" t="s">
        <v>79</v>
      </c>
      <c r="F459" s="480" t="s">
        <v>3279</v>
      </c>
      <c r="G459" s="80" t="str">
        <f>VLOOKUP(F459,'01. TH'!$B:$E,3,0)</f>
        <v>#N/A</v>
      </c>
      <c r="H459" s="463" t="s">
        <v>57</v>
      </c>
      <c r="I459" s="466">
        <v>45694.0</v>
      </c>
      <c r="J459" s="464"/>
      <c r="K459" s="463" t="s">
        <v>1027</v>
      </c>
      <c r="L459" s="464" t="s">
        <v>4431</v>
      </c>
      <c r="M459" s="476"/>
      <c r="N459" s="464" t="s">
        <v>3258</v>
      </c>
      <c r="O459" s="465"/>
      <c r="P459" s="464" t="s">
        <v>3260</v>
      </c>
      <c r="Q459" s="463"/>
      <c r="R459" s="465" t="s">
        <v>3286</v>
      </c>
      <c r="S459" s="465"/>
      <c r="T459" s="482"/>
      <c r="U459" s="464"/>
      <c r="V459" s="464"/>
    </row>
    <row r="460" ht="15.0" customHeight="1">
      <c r="A460" s="463">
        <f t="shared" si="9"/>
        <v>36</v>
      </c>
      <c r="B460" s="464" t="s">
        <v>4558</v>
      </c>
      <c r="C460" s="465"/>
      <c r="D460" s="464" t="s">
        <v>4559</v>
      </c>
      <c r="E460" s="464" t="s">
        <v>79</v>
      </c>
      <c r="F460" s="480" t="s">
        <v>3279</v>
      </c>
      <c r="G460" s="80" t="str">
        <f>VLOOKUP(F460,'01. TH'!$B:$E,3,0)</f>
        <v>#N/A</v>
      </c>
      <c r="H460" s="463" t="s">
        <v>57</v>
      </c>
      <c r="I460" s="466">
        <v>45694.0</v>
      </c>
      <c r="J460" s="464"/>
      <c r="K460" s="463" t="s">
        <v>1027</v>
      </c>
      <c r="L460" s="464" t="s">
        <v>4431</v>
      </c>
      <c r="M460" s="476"/>
      <c r="N460" s="464" t="s">
        <v>3258</v>
      </c>
      <c r="O460" s="465"/>
      <c r="P460" s="464" t="s">
        <v>3260</v>
      </c>
      <c r="Q460" s="463"/>
      <c r="R460" s="465" t="s">
        <v>3286</v>
      </c>
      <c r="S460" s="465"/>
      <c r="T460" s="482"/>
      <c r="U460" s="464"/>
      <c r="V460" s="464"/>
    </row>
    <row r="461" ht="15.0" customHeight="1">
      <c r="A461" s="463">
        <f t="shared" si="9"/>
        <v>37</v>
      </c>
      <c r="B461" s="464" t="s">
        <v>4560</v>
      </c>
      <c r="C461" s="465"/>
      <c r="D461" s="464" t="s">
        <v>4561</v>
      </c>
      <c r="E461" s="464" t="s">
        <v>79</v>
      </c>
      <c r="F461" s="480" t="s">
        <v>3279</v>
      </c>
      <c r="G461" s="80" t="str">
        <f>VLOOKUP(F461,'01. TH'!$B:$E,3,0)</f>
        <v>#N/A</v>
      </c>
      <c r="H461" s="463" t="s">
        <v>57</v>
      </c>
      <c r="I461" s="466">
        <v>45694.0</v>
      </c>
      <c r="J461" s="464"/>
      <c r="K461" s="463" t="s">
        <v>1027</v>
      </c>
      <c r="L461" s="464" t="s">
        <v>4431</v>
      </c>
      <c r="M461" s="476"/>
      <c r="N461" s="464" t="s">
        <v>3258</v>
      </c>
      <c r="O461" s="465"/>
      <c r="P461" s="464" t="s">
        <v>3260</v>
      </c>
      <c r="Q461" s="463"/>
      <c r="R461" s="465" t="s">
        <v>3286</v>
      </c>
      <c r="S461" s="465"/>
      <c r="T461" s="482"/>
      <c r="U461" s="464"/>
      <c r="V461" s="464"/>
    </row>
    <row r="462" ht="15.0" customHeight="1">
      <c r="A462" s="463">
        <f t="shared" si="9"/>
        <v>38</v>
      </c>
      <c r="B462" s="464" t="s">
        <v>4562</v>
      </c>
      <c r="C462" s="465"/>
      <c r="D462" s="464" t="s">
        <v>4563</v>
      </c>
      <c r="E462" s="464" t="s">
        <v>79</v>
      </c>
      <c r="F462" s="480" t="s">
        <v>3279</v>
      </c>
      <c r="G462" s="80" t="str">
        <f>VLOOKUP(F462,'01. TH'!$B:$E,3,0)</f>
        <v>#N/A</v>
      </c>
      <c r="H462" s="463" t="s">
        <v>57</v>
      </c>
      <c r="I462" s="466">
        <v>45694.0</v>
      </c>
      <c r="J462" s="464"/>
      <c r="K462" s="463" t="s">
        <v>1027</v>
      </c>
      <c r="L462" s="464" t="s">
        <v>4431</v>
      </c>
      <c r="M462" s="476"/>
      <c r="N462" s="464" t="s">
        <v>3258</v>
      </c>
      <c r="O462" s="465"/>
      <c r="P462" s="464" t="s">
        <v>3260</v>
      </c>
      <c r="Q462" s="463"/>
      <c r="R462" s="465" t="s">
        <v>3286</v>
      </c>
      <c r="S462" s="465"/>
      <c r="T462" s="482"/>
      <c r="U462" s="464"/>
      <c r="V462" s="464"/>
    </row>
    <row r="463" ht="15.0" customHeight="1">
      <c r="A463" s="463">
        <f t="shared" si="9"/>
        <v>39</v>
      </c>
      <c r="B463" s="464" t="s">
        <v>4564</v>
      </c>
      <c r="C463" s="465"/>
      <c r="D463" s="464"/>
      <c r="E463" s="464" t="s">
        <v>3238</v>
      </c>
      <c r="F463" s="464" t="s">
        <v>4053</v>
      </c>
      <c r="G463" s="80" t="str">
        <f>VLOOKUP(F463,'01. TH'!$B:$E,3,0)</f>
        <v/>
      </c>
      <c r="H463" s="463" t="s">
        <v>57</v>
      </c>
      <c r="I463" s="466">
        <v>45723.0</v>
      </c>
      <c r="J463" s="464"/>
      <c r="K463" s="463" t="s">
        <v>1027</v>
      </c>
      <c r="L463" s="464"/>
      <c r="M463" s="476"/>
      <c r="N463" s="464" t="s">
        <v>4054</v>
      </c>
      <c r="O463" s="465">
        <v>7045.0</v>
      </c>
      <c r="P463" s="464" t="s">
        <v>585</v>
      </c>
      <c r="Q463" s="463">
        <v>2025.0</v>
      </c>
      <c r="R463" s="465" t="s">
        <v>4055</v>
      </c>
      <c r="S463" s="465" t="s">
        <v>4565</v>
      </c>
      <c r="T463" s="482">
        <v>1.2</v>
      </c>
      <c r="U463" s="464"/>
      <c r="V463" s="464"/>
    </row>
    <row r="464" ht="15.0" customHeight="1">
      <c r="A464" s="463">
        <f t="shared" si="9"/>
        <v>40</v>
      </c>
      <c r="B464" s="464" t="s">
        <v>4566</v>
      </c>
      <c r="C464" s="465"/>
      <c r="D464" s="464"/>
      <c r="E464" s="464" t="s">
        <v>3238</v>
      </c>
      <c r="F464" s="464" t="s">
        <v>4053</v>
      </c>
      <c r="G464" s="80" t="str">
        <f>VLOOKUP(F464,'01. TH'!$B:$E,3,0)</f>
        <v/>
      </c>
      <c r="H464" s="463" t="s">
        <v>57</v>
      </c>
      <c r="I464" s="466">
        <v>45723.0</v>
      </c>
      <c r="J464" s="464"/>
      <c r="K464" s="463" t="s">
        <v>1027</v>
      </c>
      <c r="L464" s="464"/>
      <c r="M464" s="476"/>
      <c r="N464" s="464" t="s">
        <v>4054</v>
      </c>
      <c r="O464" s="465">
        <v>7045.0</v>
      </c>
      <c r="P464" s="464" t="s">
        <v>585</v>
      </c>
      <c r="Q464" s="463">
        <v>2025.0</v>
      </c>
      <c r="R464" s="465" t="s">
        <v>4055</v>
      </c>
      <c r="S464" s="465" t="s">
        <v>4568</v>
      </c>
      <c r="T464" s="482">
        <v>1.2</v>
      </c>
      <c r="U464" s="464"/>
      <c r="V464" s="464"/>
    </row>
    <row r="465" ht="15.0" customHeight="1">
      <c r="A465" s="463">
        <f t="shared" si="9"/>
        <v>41</v>
      </c>
      <c r="B465" s="464" t="s">
        <v>4569</v>
      </c>
      <c r="C465" s="465"/>
      <c r="D465" s="464"/>
      <c r="E465" s="464" t="s">
        <v>3238</v>
      </c>
      <c r="F465" s="464" t="s">
        <v>4053</v>
      </c>
      <c r="G465" s="80" t="str">
        <f>VLOOKUP(F465,'01. TH'!$B:$E,3,0)</f>
        <v/>
      </c>
      <c r="H465" s="463" t="s">
        <v>57</v>
      </c>
      <c r="I465" s="466">
        <v>45723.0</v>
      </c>
      <c r="J465" s="464"/>
      <c r="K465" s="463" t="s">
        <v>1027</v>
      </c>
      <c r="L465" s="464"/>
      <c r="M465" s="476"/>
      <c r="N465" s="464" t="s">
        <v>4054</v>
      </c>
      <c r="O465" s="465">
        <v>7045.0</v>
      </c>
      <c r="P465" s="464" t="s">
        <v>585</v>
      </c>
      <c r="Q465" s="463">
        <v>2025.0</v>
      </c>
      <c r="R465" s="465" t="s">
        <v>4055</v>
      </c>
      <c r="S465" s="465" t="s">
        <v>4570</v>
      </c>
      <c r="T465" s="482">
        <v>1.2</v>
      </c>
      <c r="U465" s="464"/>
      <c r="V465" s="464"/>
    </row>
    <row r="466" ht="15.0" customHeight="1">
      <c r="A466" s="463">
        <f t="shared" si="9"/>
        <v>42</v>
      </c>
      <c r="B466" s="464" t="s">
        <v>4571</v>
      </c>
      <c r="C466" s="465"/>
      <c r="D466" s="464"/>
      <c r="E466" s="464" t="s">
        <v>3238</v>
      </c>
      <c r="F466" s="464" t="s">
        <v>4053</v>
      </c>
      <c r="G466" s="80" t="str">
        <f>VLOOKUP(F466,'01. TH'!$B:$E,3,0)</f>
        <v/>
      </c>
      <c r="H466" s="463" t="s">
        <v>57</v>
      </c>
      <c r="I466" s="466">
        <v>45723.0</v>
      </c>
      <c r="J466" s="464"/>
      <c r="K466" s="463" t="s">
        <v>1027</v>
      </c>
      <c r="L466" s="464"/>
      <c r="M466" s="476"/>
      <c r="N466" s="464" t="s">
        <v>4054</v>
      </c>
      <c r="O466" s="465">
        <v>7045.0</v>
      </c>
      <c r="P466" s="464" t="s">
        <v>585</v>
      </c>
      <c r="Q466" s="463">
        <v>2025.0</v>
      </c>
      <c r="R466" s="465" t="s">
        <v>4055</v>
      </c>
      <c r="S466" s="465" t="s">
        <v>4572</v>
      </c>
      <c r="T466" s="482">
        <v>1.2</v>
      </c>
      <c r="U466" s="464"/>
      <c r="V466" s="464"/>
    </row>
    <row r="467" ht="15.0" customHeight="1">
      <c r="A467" s="463">
        <f t="shared" si="9"/>
        <v>43</v>
      </c>
      <c r="B467" s="464" t="s">
        <v>4573</v>
      </c>
      <c r="C467" s="465"/>
      <c r="D467" s="470" t="s">
        <v>4574</v>
      </c>
      <c r="E467" s="464" t="s">
        <v>79</v>
      </c>
      <c r="F467" s="464" t="s">
        <v>4051</v>
      </c>
      <c r="G467" s="80" t="str">
        <f>VLOOKUP(F467,'01. TH'!$B:$E,3,0)</f>
        <v>#N/A</v>
      </c>
      <c r="H467" s="463" t="s">
        <v>57</v>
      </c>
      <c r="I467" s="511">
        <v>45905.0</v>
      </c>
      <c r="J467" s="464"/>
      <c r="K467" s="463" t="s">
        <v>1027</v>
      </c>
      <c r="L467" s="464" t="s">
        <v>4431</v>
      </c>
      <c r="M467" s="476"/>
      <c r="N467" s="512" t="s">
        <v>3258</v>
      </c>
      <c r="O467" s="470" t="s">
        <v>4353</v>
      </c>
      <c r="P467" s="464" t="s">
        <v>585</v>
      </c>
      <c r="Q467" s="463">
        <v>2025.0</v>
      </c>
      <c r="R467" s="465"/>
      <c r="S467" s="465"/>
      <c r="T467" s="482"/>
      <c r="U467" s="464"/>
      <c r="V467" s="464"/>
    </row>
    <row r="468" ht="15.0" customHeight="1">
      <c r="A468" s="463">
        <f t="shared" si="9"/>
        <v>44</v>
      </c>
      <c r="B468" s="464" t="s">
        <v>4575</v>
      </c>
      <c r="C468" s="465"/>
      <c r="D468" s="470" t="s">
        <v>4576</v>
      </c>
      <c r="E468" s="464" t="s">
        <v>79</v>
      </c>
      <c r="F468" s="464" t="s">
        <v>4577</v>
      </c>
      <c r="G468" s="80"/>
      <c r="H468" s="463" t="s">
        <v>1253</v>
      </c>
      <c r="I468" s="511"/>
      <c r="J468" s="464"/>
      <c r="K468" s="463" t="str">
        <f>IF(COUNTIF('TT BTSC'!$D:$D,B468)&gt;0,"Hư hỏng","Bình thường")</f>
        <v>Bình thường</v>
      </c>
      <c r="L468" s="464"/>
      <c r="M468" s="476" t="s">
        <v>890</v>
      </c>
      <c r="N468" s="512" t="s">
        <v>4578</v>
      </c>
      <c r="O468" s="470" t="s">
        <v>148</v>
      </c>
      <c r="P468" s="464">
        <v>2024.0</v>
      </c>
      <c r="Q468" s="463" t="s">
        <v>4579</v>
      </c>
      <c r="R468" s="465" t="s">
        <v>1166</v>
      </c>
      <c r="S468" s="465">
        <v>2.10311293E8</v>
      </c>
      <c r="T468" s="482"/>
      <c r="U468" s="464"/>
      <c r="V468" s="464">
        <v>0.0</v>
      </c>
    </row>
    <row r="469" ht="15.0" customHeight="1">
      <c r="A469" s="463"/>
      <c r="B469" s="464"/>
      <c r="C469" s="465" t="s">
        <v>4580</v>
      </c>
      <c r="D469" s="464"/>
      <c r="E469" s="464"/>
      <c r="F469" s="464"/>
      <c r="G469" s="80" t="str">
        <f>VLOOKUP(F469,'01. TH'!$B:$E,3,0)</f>
        <v>#N/A</v>
      </c>
      <c r="H469" s="463"/>
      <c r="I469" s="466"/>
      <c r="J469" s="464"/>
      <c r="K469" s="463"/>
      <c r="L469" s="464"/>
      <c r="M469" s="476"/>
      <c r="N469" s="467"/>
      <c r="O469" s="465"/>
      <c r="P469" s="464"/>
      <c r="Q469" s="463"/>
      <c r="R469" s="465"/>
      <c r="S469" s="465"/>
      <c r="T469" s="482"/>
      <c r="U469" s="464"/>
      <c r="V469" s="464"/>
    </row>
    <row r="470" ht="15.0" customHeight="1">
      <c r="A470" s="455" t="s">
        <v>1385</v>
      </c>
      <c r="B470" s="456" t="s">
        <v>4582</v>
      </c>
      <c r="C470" s="457">
        <f>COUNTA($B$471:$B$530)</f>
        <v>59</v>
      </c>
      <c r="D470" s="458"/>
      <c r="E470" s="458"/>
      <c r="F470" s="458"/>
      <c r="G470" s="459"/>
      <c r="H470" s="459"/>
      <c r="I470" s="457"/>
      <c r="J470" s="460"/>
      <c r="K470" s="457"/>
      <c r="L470" s="458"/>
      <c r="M470" s="461"/>
      <c r="N470" s="458"/>
      <c r="O470" s="461"/>
      <c r="P470" s="458"/>
      <c r="Q470" s="459"/>
      <c r="R470" s="461"/>
      <c r="S470" s="461"/>
      <c r="T470" s="462"/>
      <c r="U470" s="458"/>
      <c r="V470" s="458"/>
    </row>
    <row r="471" ht="15.0" customHeight="1">
      <c r="A471" s="463">
        <v>1.0</v>
      </c>
      <c r="B471" s="464" t="s">
        <v>4583</v>
      </c>
      <c r="C471" s="465" t="s">
        <v>4584</v>
      </c>
      <c r="D471" s="464" t="s">
        <v>4585</v>
      </c>
      <c r="E471" s="464" t="s">
        <v>79</v>
      </c>
      <c r="F471" s="464" t="s">
        <v>4497</v>
      </c>
      <c r="G471" s="80" t="str">
        <f>VLOOKUP(F471,'01. TH'!$B:$E,3,0)</f>
        <v/>
      </c>
      <c r="H471" s="475" t="s">
        <v>1389</v>
      </c>
      <c r="I471" s="493">
        <v>45057.0</v>
      </c>
      <c r="J471" s="467"/>
      <c r="K471" s="463" t="s">
        <v>1661</v>
      </c>
      <c r="L471" s="464"/>
      <c r="M471" s="465" t="s">
        <v>4586</v>
      </c>
      <c r="N471" s="464" t="s">
        <v>3258</v>
      </c>
      <c r="O471" s="476"/>
      <c r="P471" s="464" t="s">
        <v>3260</v>
      </c>
      <c r="Q471" s="475"/>
      <c r="R471" s="465" t="s">
        <v>4587</v>
      </c>
      <c r="S471" s="476"/>
      <c r="T471" s="482">
        <v>6.14</v>
      </c>
      <c r="U471" s="464" t="s">
        <v>4499</v>
      </c>
      <c r="V471" s="467"/>
    </row>
    <row r="472" ht="15.0" customHeight="1">
      <c r="A472" s="463">
        <f t="shared" ref="A472:A529" si="10">A471+1</f>
        <v>2</v>
      </c>
      <c r="B472" s="464" t="s">
        <v>4588</v>
      </c>
      <c r="C472" s="476"/>
      <c r="D472" s="464" t="s">
        <v>3386</v>
      </c>
      <c r="E472" s="464" t="s">
        <v>79</v>
      </c>
      <c r="F472" s="464" t="s">
        <v>4589</v>
      </c>
      <c r="G472" s="80" t="str">
        <f>VLOOKUP(F472,'01. TH'!$B:$E,3,0)</f>
        <v>#N/A</v>
      </c>
      <c r="H472" s="475" t="s">
        <v>1389</v>
      </c>
      <c r="I472" s="463" t="s">
        <v>4590</v>
      </c>
      <c r="J472" s="467"/>
      <c r="K472" s="463" t="s">
        <v>1661</v>
      </c>
      <c r="L472" s="467"/>
      <c r="M472" s="476"/>
      <c r="N472" s="464" t="s">
        <v>3258</v>
      </c>
      <c r="O472" s="476"/>
      <c r="P472" s="464" t="s">
        <v>3260</v>
      </c>
      <c r="Q472" s="463">
        <v>2024.0</v>
      </c>
      <c r="R472" s="465" t="s">
        <v>3286</v>
      </c>
      <c r="S472" s="476"/>
      <c r="T472" s="469"/>
      <c r="U472" s="467"/>
      <c r="V472" s="467"/>
    </row>
    <row r="473" ht="15.0" customHeight="1">
      <c r="A473" s="463">
        <f t="shared" si="10"/>
        <v>3</v>
      </c>
      <c r="B473" s="464" t="s">
        <v>4591</v>
      </c>
      <c r="C473" s="476"/>
      <c r="D473" s="464" t="s">
        <v>3390</v>
      </c>
      <c r="E473" s="464" t="s">
        <v>79</v>
      </c>
      <c r="F473" s="464" t="s">
        <v>4589</v>
      </c>
      <c r="G473" s="80" t="str">
        <f>VLOOKUP(F473,'01. TH'!$B:$E,3,0)</f>
        <v>#N/A</v>
      </c>
      <c r="H473" s="475" t="s">
        <v>1389</v>
      </c>
      <c r="I473" s="463" t="s">
        <v>4590</v>
      </c>
      <c r="J473" s="467"/>
      <c r="K473" s="463" t="s">
        <v>1661</v>
      </c>
      <c r="L473" s="467"/>
      <c r="M473" s="476"/>
      <c r="N473" s="464" t="s">
        <v>3258</v>
      </c>
      <c r="O473" s="476"/>
      <c r="P473" s="464" t="s">
        <v>3260</v>
      </c>
      <c r="Q473" s="463">
        <v>2024.0</v>
      </c>
      <c r="R473" s="465" t="s">
        <v>4592</v>
      </c>
      <c r="S473" s="476"/>
      <c r="T473" s="469"/>
      <c r="U473" s="467"/>
      <c r="V473" s="467"/>
    </row>
    <row r="474" ht="15.0" customHeight="1">
      <c r="A474" s="463">
        <f t="shared" si="10"/>
        <v>4</v>
      </c>
      <c r="B474" s="464" t="s">
        <v>4593</v>
      </c>
      <c r="C474" s="476"/>
      <c r="D474" s="464" t="s">
        <v>3393</v>
      </c>
      <c r="E474" s="464" t="s">
        <v>79</v>
      </c>
      <c r="F474" s="464" t="s">
        <v>4589</v>
      </c>
      <c r="G474" s="80" t="str">
        <f>VLOOKUP(F474,'01. TH'!$B:$E,3,0)</f>
        <v>#N/A</v>
      </c>
      <c r="H474" s="475" t="s">
        <v>1389</v>
      </c>
      <c r="I474" s="463" t="s">
        <v>4590</v>
      </c>
      <c r="J474" s="467"/>
      <c r="K474" s="463" t="s">
        <v>1661</v>
      </c>
      <c r="L474" s="467"/>
      <c r="M474" s="476"/>
      <c r="N474" s="464" t="s">
        <v>3258</v>
      </c>
      <c r="O474" s="476"/>
      <c r="P474" s="464" t="s">
        <v>3260</v>
      </c>
      <c r="Q474" s="463">
        <v>2024.0</v>
      </c>
      <c r="R474" s="465" t="s">
        <v>4592</v>
      </c>
      <c r="S474" s="476"/>
      <c r="T474" s="469"/>
      <c r="U474" s="467"/>
      <c r="V474" s="467"/>
    </row>
    <row r="475" ht="15.0" customHeight="1">
      <c r="A475" s="463">
        <f t="shared" si="10"/>
        <v>5</v>
      </c>
      <c r="B475" s="464" t="s">
        <v>4594</v>
      </c>
      <c r="C475" s="476"/>
      <c r="D475" s="464" t="s">
        <v>4595</v>
      </c>
      <c r="E475" s="464" t="s">
        <v>79</v>
      </c>
      <c r="F475" s="464" t="s">
        <v>3279</v>
      </c>
      <c r="G475" s="80" t="str">
        <f>VLOOKUP(F475,'01. TH'!$B:$E,3,0)</f>
        <v>#N/A</v>
      </c>
      <c r="H475" s="475" t="s">
        <v>1389</v>
      </c>
      <c r="I475" s="463" t="s">
        <v>141</v>
      </c>
      <c r="J475" s="467"/>
      <c r="K475" s="463" t="s">
        <v>1661</v>
      </c>
      <c r="L475" s="467"/>
      <c r="M475" s="476"/>
      <c r="N475" s="464" t="s">
        <v>3258</v>
      </c>
      <c r="O475" s="476"/>
      <c r="P475" s="464" t="s">
        <v>3260</v>
      </c>
      <c r="Q475" s="463">
        <v>2025.0</v>
      </c>
      <c r="R475" s="465" t="s">
        <v>4596</v>
      </c>
      <c r="S475" s="476"/>
      <c r="T475" s="469"/>
      <c r="U475" s="467"/>
      <c r="V475" s="467"/>
    </row>
    <row r="476" ht="15.0" customHeight="1">
      <c r="A476" s="463">
        <f t="shared" si="10"/>
        <v>6</v>
      </c>
      <c r="B476" s="464" t="s">
        <v>4597</v>
      </c>
      <c r="C476" s="476"/>
      <c r="D476" s="464" t="s">
        <v>4598</v>
      </c>
      <c r="E476" s="464" t="s">
        <v>79</v>
      </c>
      <c r="F476" s="464" t="s">
        <v>3279</v>
      </c>
      <c r="G476" s="80" t="str">
        <f>VLOOKUP(F476,'01. TH'!$B:$E,3,0)</f>
        <v>#N/A</v>
      </c>
      <c r="H476" s="475" t="s">
        <v>1389</v>
      </c>
      <c r="I476" s="463" t="s">
        <v>141</v>
      </c>
      <c r="J476" s="467"/>
      <c r="K476" s="463" t="s">
        <v>1661</v>
      </c>
      <c r="L476" s="467"/>
      <c r="M476" s="476"/>
      <c r="N476" s="464" t="s">
        <v>3258</v>
      </c>
      <c r="O476" s="476"/>
      <c r="P476" s="464" t="s">
        <v>3260</v>
      </c>
      <c r="Q476" s="463">
        <v>2025.0</v>
      </c>
      <c r="R476" s="465" t="s">
        <v>4596</v>
      </c>
      <c r="S476" s="476"/>
      <c r="T476" s="469"/>
      <c r="U476" s="467"/>
      <c r="V476" s="467"/>
    </row>
    <row r="477" ht="15.0" customHeight="1">
      <c r="A477" s="463">
        <f t="shared" si="10"/>
        <v>7</v>
      </c>
      <c r="B477" s="464" t="s">
        <v>4599</v>
      </c>
      <c r="C477" s="476"/>
      <c r="D477" s="464" t="s">
        <v>4600</v>
      </c>
      <c r="E477" s="464" t="s">
        <v>79</v>
      </c>
      <c r="F477" s="464" t="s">
        <v>3279</v>
      </c>
      <c r="G477" s="80" t="str">
        <f>VLOOKUP(F477,'01. TH'!$B:$E,3,0)</f>
        <v>#N/A</v>
      </c>
      <c r="H477" s="475" t="s">
        <v>1389</v>
      </c>
      <c r="I477" s="463" t="s">
        <v>141</v>
      </c>
      <c r="J477" s="467"/>
      <c r="K477" s="463" t="s">
        <v>1661</v>
      </c>
      <c r="L477" s="467"/>
      <c r="M477" s="476"/>
      <c r="N477" s="464" t="s">
        <v>3258</v>
      </c>
      <c r="O477" s="476"/>
      <c r="P477" s="464" t="s">
        <v>3260</v>
      </c>
      <c r="Q477" s="463">
        <v>2025.0</v>
      </c>
      <c r="R477" s="465" t="s">
        <v>4596</v>
      </c>
      <c r="S477" s="476"/>
      <c r="T477" s="469"/>
      <c r="U477" s="467"/>
      <c r="V477" s="467"/>
    </row>
    <row r="478" ht="15.0" customHeight="1">
      <c r="A478" s="463">
        <f t="shared" si="10"/>
        <v>8</v>
      </c>
      <c r="B478" s="464" t="s">
        <v>4601</v>
      </c>
      <c r="C478" s="476" t="s">
        <v>4602</v>
      </c>
      <c r="D478" s="464" t="s">
        <v>4446</v>
      </c>
      <c r="E478" s="464" t="s">
        <v>79</v>
      </c>
      <c r="F478" s="467" t="s">
        <v>3521</v>
      </c>
      <c r="G478" s="80" t="str">
        <f>VLOOKUP(F478,'01. TH'!$B:$E,3,0)</f>
        <v>1x1x1</v>
      </c>
      <c r="H478" s="475" t="s">
        <v>1389</v>
      </c>
      <c r="I478" s="475"/>
      <c r="J478" s="467"/>
      <c r="K478" s="463" t="s">
        <v>1661</v>
      </c>
      <c r="L478" s="467"/>
      <c r="M478" s="476"/>
      <c r="N478" s="464" t="s">
        <v>3258</v>
      </c>
      <c r="O478" s="476"/>
      <c r="P478" s="464" t="s">
        <v>3260</v>
      </c>
      <c r="Q478" s="475"/>
      <c r="R478" s="476"/>
      <c r="S478" s="476"/>
      <c r="T478" s="469"/>
      <c r="U478" s="467"/>
      <c r="V478" s="467"/>
    </row>
    <row r="479" ht="15.0" customHeight="1">
      <c r="A479" s="463">
        <f t="shared" si="10"/>
        <v>9</v>
      </c>
      <c r="B479" s="464" t="s">
        <v>4603</v>
      </c>
      <c r="C479" s="476" t="s">
        <v>4604</v>
      </c>
      <c r="D479" s="464" t="s">
        <v>4605</v>
      </c>
      <c r="E479" s="464" t="s">
        <v>79</v>
      </c>
      <c r="F479" s="467" t="s">
        <v>3521</v>
      </c>
      <c r="G479" s="80" t="str">
        <f>VLOOKUP(F479,'01. TH'!$B:$E,3,0)</f>
        <v>1x1x1</v>
      </c>
      <c r="H479" s="475" t="s">
        <v>1389</v>
      </c>
      <c r="I479" s="475"/>
      <c r="J479" s="467"/>
      <c r="K479" s="463" t="s">
        <v>1661</v>
      </c>
      <c r="L479" s="467"/>
      <c r="M479" s="476"/>
      <c r="N479" s="464" t="s">
        <v>3258</v>
      </c>
      <c r="O479" s="476"/>
      <c r="P479" s="464" t="s">
        <v>3260</v>
      </c>
      <c r="Q479" s="475"/>
      <c r="R479" s="476"/>
      <c r="S479" s="476"/>
      <c r="T479" s="469"/>
      <c r="U479" s="467"/>
      <c r="V479" s="467"/>
    </row>
    <row r="480" ht="15.0" customHeight="1">
      <c r="A480" s="463">
        <f t="shared" si="10"/>
        <v>10</v>
      </c>
      <c r="B480" s="464" t="s">
        <v>4607</v>
      </c>
      <c r="C480" s="476" t="s">
        <v>4608</v>
      </c>
      <c r="D480" s="464" t="s">
        <v>4442</v>
      </c>
      <c r="E480" s="464" t="s">
        <v>79</v>
      </c>
      <c r="F480" s="467" t="s">
        <v>3521</v>
      </c>
      <c r="G480" s="80" t="str">
        <f>VLOOKUP(F480,'01. TH'!$B:$E,3,0)</f>
        <v>1x1x1</v>
      </c>
      <c r="H480" s="475" t="s">
        <v>1389</v>
      </c>
      <c r="I480" s="475"/>
      <c r="J480" s="467"/>
      <c r="K480" s="463" t="s">
        <v>1661</v>
      </c>
      <c r="L480" s="467"/>
      <c r="M480" s="476"/>
      <c r="N480" s="464" t="s">
        <v>3258</v>
      </c>
      <c r="O480" s="476"/>
      <c r="P480" s="464" t="s">
        <v>3260</v>
      </c>
      <c r="Q480" s="475"/>
      <c r="R480" s="476"/>
      <c r="S480" s="476"/>
      <c r="T480" s="469"/>
      <c r="U480" s="467"/>
      <c r="V480" s="467"/>
    </row>
    <row r="481" ht="15.0" customHeight="1">
      <c r="A481" s="463">
        <f t="shared" si="10"/>
        <v>11</v>
      </c>
      <c r="B481" s="464" t="s">
        <v>4610</v>
      </c>
      <c r="C481" s="476" t="s">
        <v>4611</v>
      </c>
      <c r="D481" s="464" t="s">
        <v>4612</v>
      </c>
      <c r="E481" s="464" t="s">
        <v>79</v>
      </c>
      <c r="F481" s="467" t="s">
        <v>3521</v>
      </c>
      <c r="G481" s="80" t="str">
        <f>VLOOKUP(F481,'01. TH'!$B:$E,3,0)</f>
        <v>1x1x1</v>
      </c>
      <c r="H481" s="475" t="s">
        <v>1389</v>
      </c>
      <c r="I481" s="475"/>
      <c r="J481" s="467"/>
      <c r="K481" s="463" t="s">
        <v>1661</v>
      </c>
      <c r="L481" s="467"/>
      <c r="M481" s="476"/>
      <c r="N481" s="464" t="s">
        <v>3258</v>
      </c>
      <c r="O481" s="476"/>
      <c r="P481" s="464" t="s">
        <v>3260</v>
      </c>
      <c r="Q481" s="475"/>
      <c r="R481" s="476"/>
      <c r="S481" s="476"/>
      <c r="T481" s="469"/>
      <c r="U481" s="467"/>
      <c r="V481" s="467"/>
    </row>
    <row r="482" ht="15.0" customHeight="1">
      <c r="A482" s="463">
        <f t="shared" si="10"/>
        <v>12</v>
      </c>
      <c r="B482" s="464" t="s">
        <v>4613</v>
      </c>
      <c r="C482" s="476" t="s">
        <v>4614</v>
      </c>
      <c r="D482" s="464" t="s">
        <v>4615</v>
      </c>
      <c r="E482" s="464" t="s">
        <v>79</v>
      </c>
      <c r="F482" s="467" t="s">
        <v>3521</v>
      </c>
      <c r="G482" s="80" t="str">
        <f>VLOOKUP(F482,'01. TH'!$B:$E,3,0)</f>
        <v>1x1x1</v>
      </c>
      <c r="H482" s="475" t="s">
        <v>1389</v>
      </c>
      <c r="I482" s="475"/>
      <c r="J482" s="467"/>
      <c r="K482" s="463" t="s">
        <v>1661</v>
      </c>
      <c r="L482" s="467"/>
      <c r="M482" s="476"/>
      <c r="N482" s="464" t="s">
        <v>3258</v>
      </c>
      <c r="O482" s="476"/>
      <c r="P482" s="464" t="s">
        <v>3260</v>
      </c>
      <c r="Q482" s="475"/>
      <c r="R482" s="476"/>
      <c r="S482" s="476" t="s">
        <v>4105</v>
      </c>
      <c r="T482" s="469"/>
      <c r="U482" s="467"/>
      <c r="V482" s="467"/>
    </row>
    <row r="483" ht="15.0" customHeight="1">
      <c r="A483" s="463">
        <f t="shared" si="10"/>
        <v>13</v>
      </c>
      <c r="B483" s="464" t="s">
        <v>4616</v>
      </c>
      <c r="C483" s="465" t="s">
        <v>4617</v>
      </c>
      <c r="D483" s="464" t="s">
        <v>4618</v>
      </c>
      <c r="E483" s="464" t="s">
        <v>79</v>
      </c>
      <c r="F483" s="464" t="s">
        <v>4619</v>
      </c>
      <c r="G483" s="80" t="str">
        <f>VLOOKUP(F483,'01. TH'!$B:$E,3,0)</f>
        <v>1x1x1</v>
      </c>
      <c r="H483" s="475" t="s">
        <v>1389</v>
      </c>
      <c r="I483" s="475"/>
      <c r="J483" s="467"/>
      <c r="K483" s="463" t="s">
        <v>1661</v>
      </c>
      <c r="L483" s="467"/>
      <c r="M483" s="476"/>
      <c r="N483" s="464" t="s">
        <v>3258</v>
      </c>
      <c r="O483" s="476"/>
      <c r="P483" s="464" t="s">
        <v>3260</v>
      </c>
      <c r="Q483" s="475"/>
      <c r="R483" s="476"/>
      <c r="S483" s="465" t="s">
        <v>4620</v>
      </c>
      <c r="T483" s="573"/>
      <c r="U483" s="465"/>
      <c r="V483" s="465"/>
    </row>
    <row r="484" ht="15.0" customHeight="1">
      <c r="A484" s="463">
        <f t="shared" si="10"/>
        <v>14</v>
      </c>
      <c r="B484" s="464" t="s">
        <v>4621</v>
      </c>
      <c r="C484" s="476" t="s">
        <v>4622</v>
      </c>
      <c r="D484" s="464" t="s">
        <v>4473</v>
      </c>
      <c r="E484" s="464" t="s">
        <v>79</v>
      </c>
      <c r="F484" s="464" t="s">
        <v>4623</v>
      </c>
      <c r="G484" s="80" t="str">
        <f>VLOOKUP(F484,'01. TH'!$B:$E,3,0)</f>
        <v>6.1x2.4x0.9</v>
      </c>
      <c r="H484" s="475" t="s">
        <v>1389</v>
      </c>
      <c r="I484" s="475"/>
      <c r="J484" s="467"/>
      <c r="K484" s="463" t="s">
        <v>1661</v>
      </c>
      <c r="L484" s="467"/>
      <c r="M484" s="476"/>
      <c r="N484" s="464" t="s">
        <v>3258</v>
      </c>
      <c r="O484" s="476"/>
      <c r="P484" s="464" t="s">
        <v>3260</v>
      </c>
      <c r="Q484" s="475"/>
      <c r="R484" s="476"/>
      <c r="S484" s="476"/>
      <c r="T484" s="469"/>
      <c r="U484" s="467"/>
      <c r="V484" s="467"/>
    </row>
    <row r="485" ht="15.0" customHeight="1">
      <c r="A485" s="463">
        <f t="shared" si="10"/>
        <v>15</v>
      </c>
      <c r="B485" s="464" t="s">
        <v>4624</v>
      </c>
      <c r="C485" s="465"/>
      <c r="D485" s="464" t="s">
        <v>4625</v>
      </c>
      <c r="E485" s="464" t="s">
        <v>79</v>
      </c>
      <c r="F485" s="464" t="s">
        <v>4202</v>
      </c>
      <c r="G485" s="80" t="str">
        <f>VLOOKUP(F485,'01. TH'!$B:$E,3,0)</f>
        <v>4500 x 2500 x 1400</v>
      </c>
      <c r="H485" s="475" t="s">
        <v>1389</v>
      </c>
      <c r="I485" s="463" t="s">
        <v>4024</v>
      </c>
      <c r="J485" s="464"/>
      <c r="K485" s="463" t="s">
        <v>1661</v>
      </c>
      <c r="L485" s="483"/>
      <c r="M485" s="465" t="s">
        <v>3581</v>
      </c>
      <c r="N485" s="464" t="s">
        <v>3258</v>
      </c>
      <c r="O485" s="465" t="s">
        <v>4626</v>
      </c>
      <c r="P485" s="464" t="s">
        <v>3260</v>
      </c>
      <c r="Q485" s="475"/>
      <c r="R485" s="476"/>
      <c r="S485" s="465" t="s">
        <v>4627</v>
      </c>
      <c r="T485" s="509"/>
      <c r="U485" s="486"/>
      <c r="V485" s="486"/>
    </row>
    <row r="486" ht="15.0" customHeight="1">
      <c r="A486" s="463">
        <f t="shared" si="10"/>
        <v>16</v>
      </c>
      <c r="B486" s="464" t="s">
        <v>4628</v>
      </c>
      <c r="C486" s="465"/>
      <c r="D486" s="464" t="s">
        <v>4629</v>
      </c>
      <c r="E486" s="464" t="s">
        <v>79</v>
      </c>
      <c r="F486" s="464" t="s">
        <v>4202</v>
      </c>
      <c r="G486" s="80" t="str">
        <f>VLOOKUP(F486,'01. TH'!$B:$E,3,0)</f>
        <v>4500 x 2500 x 1400</v>
      </c>
      <c r="H486" s="475" t="s">
        <v>1389</v>
      </c>
      <c r="I486" s="463" t="s">
        <v>4182</v>
      </c>
      <c r="J486" s="464"/>
      <c r="K486" s="463" t="s">
        <v>1661</v>
      </c>
      <c r="L486" s="483"/>
      <c r="M486" s="465" t="s">
        <v>3581</v>
      </c>
      <c r="N486" s="464" t="s">
        <v>3258</v>
      </c>
      <c r="O486" s="465" t="s">
        <v>4626</v>
      </c>
      <c r="P486" s="464" t="s">
        <v>3260</v>
      </c>
      <c r="Q486" s="475"/>
      <c r="R486" s="476"/>
      <c r="S486" s="476"/>
      <c r="T486" s="509"/>
      <c r="U486" s="486"/>
      <c r="V486" s="486"/>
    </row>
    <row r="487" ht="15.0" customHeight="1">
      <c r="A487" s="463">
        <f t="shared" si="10"/>
        <v>17</v>
      </c>
      <c r="B487" s="464" t="s">
        <v>4630</v>
      </c>
      <c r="C487" s="465"/>
      <c r="D487" s="464" t="s">
        <v>4631</v>
      </c>
      <c r="E487" s="464" t="s">
        <v>79</v>
      </c>
      <c r="F487" s="464" t="s">
        <v>4202</v>
      </c>
      <c r="G487" s="80" t="str">
        <f>VLOOKUP(F487,'01. TH'!$B:$E,3,0)</f>
        <v>4500 x 2500 x 1400</v>
      </c>
      <c r="H487" s="475" t="s">
        <v>1389</v>
      </c>
      <c r="I487" s="463" t="s">
        <v>4182</v>
      </c>
      <c r="J487" s="464"/>
      <c r="K487" s="463" t="s">
        <v>1661</v>
      </c>
      <c r="L487" s="483"/>
      <c r="M487" s="465" t="s">
        <v>3581</v>
      </c>
      <c r="N487" s="464" t="s">
        <v>3258</v>
      </c>
      <c r="O487" s="465" t="s">
        <v>4626</v>
      </c>
      <c r="P487" s="464" t="s">
        <v>3260</v>
      </c>
      <c r="Q487" s="475"/>
      <c r="R487" s="476"/>
      <c r="S487" s="476"/>
      <c r="T487" s="509"/>
      <c r="U487" s="486"/>
      <c r="V487" s="486"/>
    </row>
    <row r="488" ht="15.0" customHeight="1">
      <c r="A488" s="463">
        <f t="shared" si="10"/>
        <v>18</v>
      </c>
      <c r="B488" s="464" t="s">
        <v>4633</v>
      </c>
      <c r="C488" s="465"/>
      <c r="D488" s="464" t="s">
        <v>4634</v>
      </c>
      <c r="E488" s="464" t="s">
        <v>79</v>
      </c>
      <c r="F488" s="464" t="s">
        <v>4202</v>
      </c>
      <c r="G488" s="80"/>
      <c r="H488" s="475" t="s">
        <v>1389</v>
      </c>
      <c r="I488" s="466">
        <v>46296.0</v>
      </c>
      <c r="J488" s="464"/>
      <c r="K488" s="463" t="s">
        <v>1661</v>
      </c>
      <c r="L488" s="483"/>
      <c r="M488" s="465" t="s">
        <v>3581</v>
      </c>
      <c r="N488" s="464" t="s">
        <v>3258</v>
      </c>
      <c r="O488" s="465" t="s">
        <v>4626</v>
      </c>
      <c r="P488" s="464" t="s">
        <v>3260</v>
      </c>
      <c r="Q488" s="475"/>
      <c r="R488" s="476"/>
      <c r="S488" s="476"/>
      <c r="T488" s="509"/>
      <c r="U488" s="486"/>
      <c r="V488" s="486"/>
    </row>
    <row r="489" ht="15.0" customHeight="1">
      <c r="A489" s="463">
        <f t="shared" si="10"/>
        <v>19</v>
      </c>
      <c r="B489" s="464" t="s">
        <v>4635</v>
      </c>
      <c r="C489" s="465" t="s">
        <v>4636</v>
      </c>
      <c r="D489" s="464" t="s">
        <v>4543</v>
      </c>
      <c r="E489" s="464" t="s">
        <v>79</v>
      </c>
      <c r="F489" s="467" t="s">
        <v>3919</v>
      </c>
      <c r="G489" s="80" t="str">
        <f>VLOOKUP(F489,'01. TH'!$B:$E,3,0)</f>
        <v/>
      </c>
      <c r="H489" s="475" t="s">
        <v>1389</v>
      </c>
      <c r="I489" s="475"/>
      <c r="J489" s="464"/>
      <c r="K489" s="463" t="s">
        <v>1661</v>
      </c>
      <c r="L489" s="483"/>
      <c r="M489" s="497"/>
      <c r="N489" s="464" t="s">
        <v>2666</v>
      </c>
      <c r="O489" s="465" t="s">
        <v>3920</v>
      </c>
      <c r="P489" s="464" t="s">
        <v>2666</v>
      </c>
      <c r="Q489" s="475"/>
      <c r="R489" s="476"/>
      <c r="S489" s="476" t="s">
        <v>4637</v>
      </c>
      <c r="T489" s="509">
        <v>8.47</v>
      </c>
      <c r="U489" s="486"/>
      <c r="V489" s="486"/>
    </row>
    <row r="490" ht="15.0" customHeight="1">
      <c r="A490" s="463">
        <f t="shared" si="10"/>
        <v>20</v>
      </c>
      <c r="B490" s="464" t="s">
        <v>4638</v>
      </c>
      <c r="C490" s="465" t="s">
        <v>4639</v>
      </c>
      <c r="D490" s="464" t="s">
        <v>4640</v>
      </c>
      <c r="E490" s="464" t="s">
        <v>79</v>
      </c>
      <c r="F490" s="467" t="s">
        <v>3919</v>
      </c>
      <c r="G490" s="80" t="str">
        <f>VLOOKUP(F490,'01. TH'!$B:$E,3,0)</f>
        <v/>
      </c>
      <c r="H490" s="475" t="s">
        <v>1389</v>
      </c>
      <c r="I490" s="475"/>
      <c r="J490" s="467"/>
      <c r="K490" s="463" t="s">
        <v>1661</v>
      </c>
      <c r="L490" s="464" t="s">
        <v>4641</v>
      </c>
      <c r="M490" s="476"/>
      <c r="N490" s="464" t="s">
        <v>2666</v>
      </c>
      <c r="O490" s="465" t="s">
        <v>3920</v>
      </c>
      <c r="P490" s="464" t="s">
        <v>2666</v>
      </c>
      <c r="Q490" s="475"/>
      <c r="R490" s="476"/>
      <c r="S490" s="465" t="s">
        <v>4642</v>
      </c>
      <c r="T490" s="509">
        <v>8.47</v>
      </c>
      <c r="U490" s="486"/>
      <c r="V490" s="486"/>
    </row>
    <row r="491" ht="15.0" customHeight="1">
      <c r="A491" s="463">
        <f t="shared" si="10"/>
        <v>21</v>
      </c>
      <c r="B491" s="464" t="s">
        <v>4643</v>
      </c>
      <c r="C491" s="476"/>
      <c r="D491" s="464" t="s">
        <v>4644</v>
      </c>
      <c r="E491" s="464" t="s">
        <v>79</v>
      </c>
      <c r="F491" s="464" t="s">
        <v>4097</v>
      </c>
      <c r="G491" s="80" t="str">
        <f>VLOOKUP(F491,'01. TH'!$B:$E,3,0)</f>
        <v>6.8x2x2.2</v>
      </c>
      <c r="H491" s="475" t="s">
        <v>1389</v>
      </c>
      <c r="I491" s="475"/>
      <c r="J491" s="467"/>
      <c r="K491" s="463" t="s">
        <v>1661</v>
      </c>
      <c r="L491" s="464"/>
      <c r="M491" s="465" t="s">
        <v>4645</v>
      </c>
      <c r="N491" s="464" t="s">
        <v>3258</v>
      </c>
      <c r="O491" s="476"/>
      <c r="P491" s="464" t="s">
        <v>3260</v>
      </c>
      <c r="Q491" s="475"/>
      <c r="R491" s="465" t="s">
        <v>4646</v>
      </c>
      <c r="S491" s="465" t="s">
        <v>4645</v>
      </c>
      <c r="T491" s="482"/>
      <c r="U491" s="464"/>
      <c r="V491" s="464"/>
    </row>
    <row r="492" ht="15.0" customHeight="1">
      <c r="A492" s="463">
        <f t="shared" si="10"/>
        <v>22</v>
      </c>
      <c r="B492" s="486" t="s">
        <v>4647</v>
      </c>
      <c r="C492" s="477" t="s">
        <v>4648</v>
      </c>
      <c r="D492" s="464" t="s">
        <v>4649</v>
      </c>
      <c r="E492" s="464" t="s">
        <v>79</v>
      </c>
      <c r="F492" s="489" t="s">
        <v>4080</v>
      </c>
      <c r="G492" s="80" t="str">
        <f>VLOOKUP(F492,'01. TH'!$B:$E,3,0)</f>
        <v>1x1x1</v>
      </c>
      <c r="H492" s="475" t="s">
        <v>1389</v>
      </c>
      <c r="I492" s="496">
        <v>45750.0</v>
      </c>
      <c r="J492" s="489"/>
      <c r="K492" s="463" t="s">
        <v>1661</v>
      </c>
      <c r="L492" s="486" t="s">
        <v>4650</v>
      </c>
      <c r="M492" s="477"/>
      <c r="N492" s="464" t="s">
        <v>3258</v>
      </c>
      <c r="O492" s="487"/>
      <c r="P492" s="464" t="s">
        <v>3260</v>
      </c>
      <c r="Q492" s="490"/>
      <c r="R492" s="487"/>
      <c r="S492" s="487" t="s">
        <v>4313</v>
      </c>
      <c r="T492" s="574"/>
      <c r="U492" s="487"/>
      <c r="V492" s="487"/>
    </row>
    <row r="493" ht="15.0" customHeight="1">
      <c r="A493" s="463">
        <f t="shared" si="10"/>
        <v>23</v>
      </c>
      <c r="B493" s="464" t="s">
        <v>4651</v>
      </c>
      <c r="C493" s="465" t="s">
        <v>4652</v>
      </c>
      <c r="D493" s="464" t="s">
        <v>4456</v>
      </c>
      <c r="E493" s="464" t="s">
        <v>79</v>
      </c>
      <c r="F493" s="464" t="s">
        <v>4339</v>
      </c>
      <c r="G493" s="80" t="str">
        <f>VLOOKUP(F493,'01. TH'!$B:$E,3,0)</f>
        <v>4500 x 2000 x 1500</v>
      </c>
      <c r="H493" s="475" t="s">
        <v>1389</v>
      </c>
      <c r="I493" s="475"/>
      <c r="J493" s="467"/>
      <c r="K493" s="463" t="s">
        <v>1661</v>
      </c>
      <c r="L493" s="464"/>
      <c r="M493" s="465" t="s">
        <v>4653</v>
      </c>
      <c r="N493" s="464" t="s">
        <v>3258</v>
      </c>
      <c r="O493" s="476"/>
      <c r="P493" s="464" t="s">
        <v>3260</v>
      </c>
      <c r="Q493" s="475"/>
      <c r="R493" s="465" t="s">
        <v>4654</v>
      </c>
      <c r="S493" s="465" t="s">
        <v>4653</v>
      </c>
      <c r="T493" s="482"/>
      <c r="U493" s="464"/>
      <c r="V493" s="464"/>
    </row>
    <row r="494" ht="15.0" customHeight="1">
      <c r="A494" s="463">
        <f t="shared" si="10"/>
        <v>24</v>
      </c>
      <c r="B494" s="464" t="s">
        <v>4655</v>
      </c>
      <c r="C494" s="465" t="s">
        <v>4656</v>
      </c>
      <c r="D494" s="464" t="s">
        <v>4657</v>
      </c>
      <c r="E494" s="464" t="s">
        <v>79</v>
      </c>
      <c r="F494" s="464" t="s">
        <v>3947</v>
      </c>
      <c r="G494" s="80" t="str">
        <f>VLOOKUP(F494,'01. TH'!$B:$E,3,0)</f>
        <v/>
      </c>
      <c r="H494" s="475" t="s">
        <v>1389</v>
      </c>
      <c r="I494" s="463" t="s">
        <v>4658</v>
      </c>
      <c r="J494" s="467"/>
      <c r="K494" s="463" t="s">
        <v>1661</v>
      </c>
      <c r="L494" s="464"/>
      <c r="M494" s="465" t="s">
        <v>3581</v>
      </c>
      <c r="N494" s="464" t="s">
        <v>3258</v>
      </c>
      <c r="O494" s="476"/>
      <c r="P494" s="464" t="s">
        <v>3260</v>
      </c>
      <c r="Q494" s="475"/>
      <c r="R494" s="465" t="s">
        <v>4659</v>
      </c>
      <c r="S494" s="465"/>
      <c r="T494" s="482"/>
      <c r="U494" s="464"/>
      <c r="V494" s="464"/>
    </row>
    <row r="495" ht="15.0" customHeight="1">
      <c r="A495" s="463">
        <f t="shared" si="10"/>
        <v>25</v>
      </c>
      <c r="B495" s="464" t="s">
        <v>4660</v>
      </c>
      <c r="C495" s="465" t="s">
        <v>4661</v>
      </c>
      <c r="D495" s="464" t="s">
        <v>4662</v>
      </c>
      <c r="E495" s="464" t="s">
        <v>79</v>
      </c>
      <c r="F495" s="464" t="s">
        <v>3947</v>
      </c>
      <c r="G495" s="80" t="str">
        <f>VLOOKUP(F495,'01. TH'!$B:$E,3,0)</f>
        <v/>
      </c>
      <c r="H495" s="475" t="s">
        <v>1389</v>
      </c>
      <c r="I495" s="463" t="s">
        <v>4658</v>
      </c>
      <c r="J495" s="467"/>
      <c r="K495" s="463" t="s">
        <v>1661</v>
      </c>
      <c r="L495" s="464"/>
      <c r="M495" s="465" t="s">
        <v>3581</v>
      </c>
      <c r="N495" s="464" t="s">
        <v>3258</v>
      </c>
      <c r="O495" s="476"/>
      <c r="P495" s="464" t="s">
        <v>3260</v>
      </c>
      <c r="Q495" s="475"/>
      <c r="R495" s="465" t="s">
        <v>4659</v>
      </c>
      <c r="S495" s="465"/>
      <c r="T495" s="482"/>
      <c r="U495" s="464"/>
      <c r="V495" s="464"/>
    </row>
    <row r="496" ht="15.0" customHeight="1">
      <c r="A496" s="463">
        <f t="shared" si="10"/>
        <v>26</v>
      </c>
      <c r="B496" s="464" t="s">
        <v>4663</v>
      </c>
      <c r="C496" s="465" t="s">
        <v>4664</v>
      </c>
      <c r="D496" s="464" t="s">
        <v>4665</v>
      </c>
      <c r="E496" s="464" t="s">
        <v>79</v>
      </c>
      <c r="F496" s="464" t="s">
        <v>3947</v>
      </c>
      <c r="G496" s="80" t="str">
        <f>VLOOKUP(F496,'01. TH'!$B:$E,3,0)</f>
        <v/>
      </c>
      <c r="H496" s="475" t="s">
        <v>1389</v>
      </c>
      <c r="I496" s="463" t="s">
        <v>4658</v>
      </c>
      <c r="J496" s="467"/>
      <c r="K496" s="463" t="s">
        <v>1661</v>
      </c>
      <c r="L496" s="464"/>
      <c r="M496" s="465" t="s">
        <v>3581</v>
      </c>
      <c r="N496" s="464" t="s">
        <v>3258</v>
      </c>
      <c r="O496" s="476"/>
      <c r="P496" s="464" t="s">
        <v>3260</v>
      </c>
      <c r="Q496" s="475"/>
      <c r="R496" s="465" t="s">
        <v>4659</v>
      </c>
      <c r="S496" s="465"/>
      <c r="T496" s="482"/>
      <c r="U496" s="464"/>
      <c r="V496" s="464"/>
    </row>
    <row r="497" ht="15.0" customHeight="1">
      <c r="A497" s="463">
        <f t="shared" si="10"/>
        <v>27</v>
      </c>
      <c r="B497" s="464" t="s">
        <v>4666</v>
      </c>
      <c r="C497" s="465" t="s">
        <v>4667</v>
      </c>
      <c r="D497" s="464" t="s">
        <v>4668</v>
      </c>
      <c r="E497" s="464" t="s">
        <v>79</v>
      </c>
      <c r="F497" s="464" t="s">
        <v>3947</v>
      </c>
      <c r="G497" s="80" t="str">
        <f>VLOOKUP(F497,'01. TH'!$B:$E,3,0)</f>
        <v/>
      </c>
      <c r="H497" s="475" t="s">
        <v>1389</v>
      </c>
      <c r="I497" s="463" t="s">
        <v>4658</v>
      </c>
      <c r="J497" s="467"/>
      <c r="K497" s="463" t="s">
        <v>1661</v>
      </c>
      <c r="L497" s="464"/>
      <c r="M497" s="465" t="s">
        <v>3581</v>
      </c>
      <c r="N497" s="464" t="s">
        <v>3258</v>
      </c>
      <c r="O497" s="476"/>
      <c r="P497" s="464" t="s">
        <v>3260</v>
      </c>
      <c r="Q497" s="475"/>
      <c r="R497" s="465" t="s">
        <v>4659</v>
      </c>
      <c r="S497" s="465"/>
      <c r="T497" s="482"/>
      <c r="U497" s="464"/>
      <c r="V497" s="464"/>
    </row>
    <row r="498" ht="15.0" customHeight="1">
      <c r="A498" s="463">
        <f t="shared" si="10"/>
        <v>28</v>
      </c>
      <c r="B498" s="464" t="s">
        <v>4669</v>
      </c>
      <c r="C498" s="465" t="s">
        <v>4670</v>
      </c>
      <c r="D498" s="464" t="s">
        <v>4671</v>
      </c>
      <c r="E498" s="464" t="s">
        <v>79</v>
      </c>
      <c r="F498" s="464" t="s">
        <v>3947</v>
      </c>
      <c r="G498" s="80" t="str">
        <f>VLOOKUP(F498,'01. TH'!$B:$E,3,0)</f>
        <v/>
      </c>
      <c r="H498" s="475" t="s">
        <v>1389</v>
      </c>
      <c r="I498" s="463" t="s">
        <v>4658</v>
      </c>
      <c r="J498" s="467"/>
      <c r="K498" s="463" t="s">
        <v>1661</v>
      </c>
      <c r="L498" s="464"/>
      <c r="M498" s="465" t="s">
        <v>3581</v>
      </c>
      <c r="N498" s="464" t="s">
        <v>3258</v>
      </c>
      <c r="O498" s="476"/>
      <c r="P498" s="464" t="s">
        <v>3260</v>
      </c>
      <c r="Q498" s="475"/>
      <c r="R498" s="465" t="s">
        <v>4659</v>
      </c>
      <c r="S498" s="465"/>
      <c r="T498" s="482"/>
      <c r="U498" s="464"/>
      <c r="V498" s="464"/>
    </row>
    <row r="499" ht="15.0" customHeight="1">
      <c r="A499" s="463">
        <f t="shared" si="10"/>
        <v>29</v>
      </c>
      <c r="B499" s="464" t="s">
        <v>4672</v>
      </c>
      <c r="C499" s="465" t="s">
        <v>4673</v>
      </c>
      <c r="D499" s="464" t="s">
        <v>4674</v>
      </c>
      <c r="E499" s="464" t="s">
        <v>79</v>
      </c>
      <c r="F499" s="464" t="s">
        <v>3947</v>
      </c>
      <c r="G499" s="80" t="str">
        <f>VLOOKUP(F499,'01. TH'!$B:$E,3,0)</f>
        <v/>
      </c>
      <c r="H499" s="475" t="s">
        <v>1389</v>
      </c>
      <c r="I499" s="463" t="s">
        <v>4658</v>
      </c>
      <c r="J499" s="467"/>
      <c r="K499" s="463" t="s">
        <v>1661</v>
      </c>
      <c r="L499" s="464"/>
      <c r="M499" s="465" t="s">
        <v>3581</v>
      </c>
      <c r="N499" s="464" t="s">
        <v>3258</v>
      </c>
      <c r="O499" s="476"/>
      <c r="P499" s="464" t="s">
        <v>3260</v>
      </c>
      <c r="Q499" s="475"/>
      <c r="R499" s="465" t="s">
        <v>4659</v>
      </c>
      <c r="S499" s="465"/>
      <c r="T499" s="482"/>
      <c r="U499" s="464"/>
      <c r="V499" s="464"/>
    </row>
    <row r="500" ht="15.0" customHeight="1">
      <c r="A500" s="463">
        <f t="shared" si="10"/>
        <v>30</v>
      </c>
      <c r="B500" s="464" t="s">
        <v>4675</v>
      </c>
      <c r="C500" s="465" t="s">
        <v>4676</v>
      </c>
      <c r="D500" s="464" t="s">
        <v>4677</v>
      </c>
      <c r="E500" s="464" t="s">
        <v>79</v>
      </c>
      <c r="F500" s="464" t="s">
        <v>3947</v>
      </c>
      <c r="G500" s="80" t="str">
        <f>VLOOKUP(F500,'01. TH'!$B:$E,3,0)</f>
        <v/>
      </c>
      <c r="H500" s="475" t="s">
        <v>1389</v>
      </c>
      <c r="I500" s="463" t="s">
        <v>4658</v>
      </c>
      <c r="J500" s="467"/>
      <c r="K500" s="463" t="s">
        <v>1661</v>
      </c>
      <c r="L500" s="464"/>
      <c r="M500" s="465" t="s">
        <v>3581</v>
      </c>
      <c r="N500" s="464" t="s">
        <v>3258</v>
      </c>
      <c r="O500" s="476"/>
      <c r="P500" s="464" t="s">
        <v>3260</v>
      </c>
      <c r="Q500" s="475"/>
      <c r="R500" s="465" t="s">
        <v>4659</v>
      </c>
      <c r="S500" s="465"/>
      <c r="T500" s="482"/>
      <c r="U500" s="464"/>
      <c r="V500" s="464"/>
    </row>
    <row r="501" ht="15.0" customHeight="1">
      <c r="A501" s="463">
        <f t="shared" si="10"/>
        <v>31</v>
      </c>
      <c r="B501" s="464" t="s">
        <v>4678</v>
      </c>
      <c r="C501" s="465" t="s">
        <v>4679</v>
      </c>
      <c r="D501" s="464" t="s">
        <v>4680</v>
      </c>
      <c r="E501" s="464" t="s">
        <v>79</v>
      </c>
      <c r="F501" s="464" t="s">
        <v>3947</v>
      </c>
      <c r="G501" s="80" t="str">
        <f>VLOOKUP(F501,'01. TH'!$B:$E,3,0)</f>
        <v/>
      </c>
      <c r="H501" s="475" t="s">
        <v>1389</v>
      </c>
      <c r="I501" s="463" t="s">
        <v>4658</v>
      </c>
      <c r="J501" s="467"/>
      <c r="K501" s="463" t="s">
        <v>1661</v>
      </c>
      <c r="L501" s="464"/>
      <c r="M501" s="465" t="s">
        <v>3581</v>
      </c>
      <c r="N501" s="464" t="s">
        <v>3258</v>
      </c>
      <c r="O501" s="476"/>
      <c r="P501" s="464" t="s">
        <v>3260</v>
      </c>
      <c r="Q501" s="475"/>
      <c r="R501" s="465" t="s">
        <v>4659</v>
      </c>
      <c r="S501" s="465"/>
      <c r="T501" s="482"/>
      <c r="U501" s="464"/>
      <c r="V501" s="464"/>
    </row>
    <row r="502" ht="15.0" customHeight="1">
      <c r="A502" s="463">
        <f t="shared" si="10"/>
        <v>32</v>
      </c>
      <c r="B502" s="464" t="s">
        <v>4681</v>
      </c>
      <c r="C502" s="465"/>
      <c r="D502" s="464" t="s">
        <v>4682</v>
      </c>
      <c r="E502" s="464" t="s">
        <v>79</v>
      </c>
      <c r="F502" s="464" t="s">
        <v>4683</v>
      </c>
      <c r="G502" s="80" t="str">
        <f>VLOOKUP(F502,'01. TH'!$B:$E,3,0)</f>
        <v>#N/A</v>
      </c>
      <c r="H502" s="475" t="s">
        <v>1389</v>
      </c>
      <c r="I502" s="463" t="s">
        <v>3955</v>
      </c>
      <c r="J502" s="467"/>
      <c r="K502" s="463" t="s">
        <v>1661</v>
      </c>
      <c r="L502" s="464"/>
      <c r="M502" s="465" t="s">
        <v>3581</v>
      </c>
      <c r="N502" s="464" t="s">
        <v>3258</v>
      </c>
      <c r="O502" s="476"/>
      <c r="P502" s="464" t="s">
        <v>3260</v>
      </c>
      <c r="Q502" s="475"/>
      <c r="R502" s="465" t="s">
        <v>4684</v>
      </c>
      <c r="S502" s="465"/>
      <c r="T502" s="482"/>
      <c r="U502" s="464"/>
      <c r="V502" s="464"/>
    </row>
    <row r="503" ht="15.0" customHeight="1">
      <c r="A503" s="463">
        <f t="shared" si="10"/>
        <v>33</v>
      </c>
      <c r="B503" s="464" t="s">
        <v>4685</v>
      </c>
      <c r="C503" s="465" t="s">
        <v>4686</v>
      </c>
      <c r="D503" s="464" t="s">
        <v>4687</v>
      </c>
      <c r="E503" s="464" t="s">
        <v>79</v>
      </c>
      <c r="F503" s="464" t="s">
        <v>3989</v>
      </c>
      <c r="G503" s="80" t="str">
        <f>VLOOKUP(F503,'01. TH'!$B:$E,3,0)</f>
        <v>#N/A</v>
      </c>
      <c r="H503" s="475" t="s">
        <v>1389</v>
      </c>
      <c r="I503" s="466">
        <v>45359.0</v>
      </c>
      <c r="J503" s="467"/>
      <c r="K503" s="463" t="s">
        <v>1661</v>
      </c>
      <c r="L503" s="464"/>
      <c r="M503" s="465" t="s">
        <v>3581</v>
      </c>
      <c r="N503" s="464" t="s">
        <v>3990</v>
      </c>
      <c r="O503" s="465" t="s">
        <v>3991</v>
      </c>
      <c r="P503" s="464" t="s">
        <v>3260</v>
      </c>
      <c r="Q503" s="463">
        <v>2024.0</v>
      </c>
      <c r="R503" s="465" t="s">
        <v>4688</v>
      </c>
      <c r="S503" s="465"/>
      <c r="T503" s="482">
        <v>0.56</v>
      </c>
      <c r="U503" s="464" t="s">
        <v>3992</v>
      </c>
      <c r="V503" s="464"/>
    </row>
    <row r="504" ht="15.0" customHeight="1">
      <c r="A504" s="463">
        <f t="shared" si="10"/>
        <v>34</v>
      </c>
      <c r="B504" s="464" t="s">
        <v>4689</v>
      </c>
      <c r="C504" s="465" t="s">
        <v>4690</v>
      </c>
      <c r="D504" s="464" t="s">
        <v>4691</v>
      </c>
      <c r="E504" s="464" t="s">
        <v>79</v>
      </c>
      <c r="F504" s="464" t="s">
        <v>3989</v>
      </c>
      <c r="G504" s="80" t="str">
        <f>VLOOKUP(F504,'01. TH'!$B:$E,3,0)</f>
        <v>#N/A</v>
      </c>
      <c r="H504" s="475" t="s">
        <v>1389</v>
      </c>
      <c r="I504" s="463" t="s">
        <v>4692</v>
      </c>
      <c r="J504" s="467"/>
      <c r="K504" s="463" t="s">
        <v>1661</v>
      </c>
      <c r="L504" s="464"/>
      <c r="M504" s="465" t="s">
        <v>3581</v>
      </c>
      <c r="N504" s="464" t="s">
        <v>3990</v>
      </c>
      <c r="O504" s="465" t="s">
        <v>3991</v>
      </c>
      <c r="P504" s="464" t="s">
        <v>3260</v>
      </c>
      <c r="Q504" s="463">
        <v>2024.0</v>
      </c>
      <c r="R504" s="465" t="s">
        <v>4688</v>
      </c>
      <c r="S504" s="465" t="s">
        <v>4693</v>
      </c>
      <c r="T504" s="482">
        <v>0.56</v>
      </c>
      <c r="U504" s="464" t="s">
        <v>3992</v>
      </c>
      <c r="V504" s="464"/>
    </row>
    <row r="505" ht="15.0" customHeight="1">
      <c r="A505" s="463">
        <f t="shared" si="10"/>
        <v>35</v>
      </c>
      <c r="B505" s="464" t="s">
        <v>4694</v>
      </c>
      <c r="C505" s="465"/>
      <c r="D505" s="464" t="s">
        <v>4695</v>
      </c>
      <c r="E505" s="464" t="s">
        <v>79</v>
      </c>
      <c r="F505" s="464" t="s">
        <v>3989</v>
      </c>
      <c r="G505" s="80" t="str">
        <f>VLOOKUP(F505,'01. TH'!$B:$E,3,0)</f>
        <v>#N/A</v>
      </c>
      <c r="H505" s="475" t="s">
        <v>1389</v>
      </c>
      <c r="I505" s="463" t="s">
        <v>3304</v>
      </c>
      <c r="J505" s="467"/>
      <c r="K505" s="463" t="s">
        <v>1661</v>
      </c>
      <c r="L505" s="464"/>
      <c r="M505" s="465" t="s">
        <v>3581</v>
      </c>
      <c r="N505" s="464" t="s">
        <v>3990</v>
      </c>
      <c r="O505" s="465" t="s">
        <v>3991</v>
      </c>
      <c r="P505" s="464" t="s">
        <v>3260</v>
      </c>
      <c r="Q505" s="463">
        <v>2024.0</v>
      </c>
      <c r="R505" s="465" t="s">
        <v>4688</v>
      </c>
      <c r="S505" s="465" t="s">
        <v>4696</v>
      </c>
      <c r="T505" s="482">
        <v>0.56</v>
      </c>
      <c r="U505" s="464" t="s">
        <v>3992</v>
      </c>
      <c r="V505" s="464"/>
    </row>
    <row r="506" ht="15.0" customHeight="1">
      <c r="A506" s="463">
        <f t="shared" si="10"/>
        <v>36</v>
      </c>
      <c r="B506" s="464" t="s">
        <v>4697</v>
      </c>
      <c r="C506" s="465" t="s">
        <v>4698</v>
      </c>
      <c r="D506" s="470" t="s">
        <v>4501</v>
      </c>
      <c r="E506" s="464" t="s">
        <v>79</v>
      </c>
      <c r="F506" s="464" t="s">
        <v>3989</v>
      </c>
      <c r="G506" s="80" t="str">
        <f>VLOOKUP(F506,'01. TH'!$B:$E,3,0)</f>
        <v>#N/A</v>
      </c>
      <c r="H506" s="475" t="s">
        <v>1389</v>
      </c>
      <c r="I506" s="463" t="s">
        <v>4699</v>
      </c>
      <c r="J506" s="467"/>
      <c r="K506" s="463" t="s">
        <v>1661</v>
      </c>
      <c r="L506" s="464"/>
      <c r="M506" s="465" t="s">
        <v>3581</v>
      </c>
      <c r="N506" s="464" t="s">
        <v>3990</v>
      </c>
      <c r="O506" s="465" t="s">
        <v>3991</v>
      </c>
      <c r="P506" s="464" t="s">
        <v>3260</v>
      </c>
      <c r="Q506" s="463">
        <v>2024.0</v>
      </c>
      <c r="R506" s="465" t="s">
        <v>4688</v>
      </c>
      <c r="S506" s="465" t="s">
        <v>4700</v>
      </c>
      <c r="T506" s="482">
        <v>0.56</v>
      </c>
      <c r="U506" s="464" t="s">
        <v>3992</v>
      </c>
      <c r="V506" s="464"/>
    </row>
    <row r="507" ht="15.0" customHeight="1">
      <c r="A507" s="463">
        <f t="shared" si="10"/>
        <v>37</v>
      </c>
      <c r="B507" s="464" t="s">
        <v>4701</v>
      </c>
      <c r="C507" s="465" t="s">
        <v>4702</v>
      </c>
      <c r="D507" s="470" t="s">
        <v>4703</v>
      </c>
      <c r="E507" s="464" t="s">
        <v>79</v>
      </c>
      <c r="F507" s="464" t="s">
        <v>3989</v>
      </c>
      <c r="G507" s="80" t="str">
        <f>VLOOKUP(F507,'01. TH'!$B:$E,3,0)</f>
        <v>#N/A</v>
      </c>
      <c r="H507" s="475" t="s">
        <v>1389</v>
      </c>
      <c r="I507" s="463" t="s">
        <v>4692</v>
      </c>
      <c r="J507" s="467"/>
      <c r="K507" s="463" t="s">
        <v>1661</v>
      </c>
      <c r="L507" s="463" t="s">
        <v>4704</v>
      </c>
      <c r="M507" s="465" t="s">
        <v>4705</v>
      </c>
      <c r="N507" s="464" t="s">
        <v>3990</v>
      </c>
      <c r="O507" s="465" t="s">
        <v>3991</v>
      </c>
      <c r="P507" s="464" t="s">
        <v>3260</v>
      </c>
      <c r="Q507" s="463">
        <v>2024.0</v>
      </c>
      <c r="R507" s="465" t="s">
        <v>4706</v>
      </c>
      <c r="S507" s="465" t="s">
        <v>4707</v>
      </c>
      <c r="T507" s="482">
        <v>0.56</v>
      </c>
      <c r="U507" s="464" t="s">
        <v>3992</v>
      </c>
      <c r="V507" s="464"/>
    </row>
    <row r="508" ht="15.0" customHeight="1">
      <c r="A508" s="463">
        <f t="shared" si="10"/>
        <v>38</v>
      </c>
      <c r="B508" s="464" t="s">
        <v>4708</v>
      </c>
      <c r="C508" s="465"/>
      <c r="D508" s="464" t="s">
        <v>4709</v>
      </c>
      <c r="E508" s="464" t="s">
        <v>79</v>
      </c>
      <c r="F508" s="464" t="s">
        <v>3989</v>
      </c>
      <c r="G508" s="80" t="str">
        <f>VLOOKUP(F508,'01. TH'!$B:$E,3,0)</f>
        <v>#N/A</v>
      </c>
      <c r="H508" s="475" t="s">
        <v>1389</v>
      </c>
      <c r="I508" s="466">
        <v>45933.0</v>
      </c>
      <c r="J508" s="467"/>
      <c r="K508" s="463" t="s">
        <v>1661</v>
      </c>
      <c r="L508" s="463"/>
      <c r="M508" s="465" t="s">
        <v>4705</v>
      </c>
      <c r="N508" s="464" t="s">
        <v>3990</v>
      </c>
      <c r="O508" s="465" t="s">
        <v>3991</v>
      </c>
      <c r="P508" s="464" t="s">
        <v>3260</v>
      </c>
      <c r="Q508" s="463">
        <v>2025.0</v>
      </c>
      <c r="R508" s="465" t="s">
        <v>4706</v>
      </c>
      <c r="S508" s="465" t="s">
        <v>4710</v>
      </c>
      <c r="T508" s="482">
        <v>0.56</v>
      </c>
      <c r="U508" s="464" t="s">
        <v>3992</v>
      </c>
      <c r="V508" s="464"/>
    </row>
    <row r="509" ht="15.0" customHeight="1">
      <c r="A509" s="463">
        <f t="shared" si="10"/>
        <v>39</v>
      </c>
      <c r="B509" s="464" t="s">
        <v>4711</v>
      </c>
      <c r="C509" s="465"/>
      <c r="D509" s="464" t="s">
        <v>4712</v>
      </c>
      <c r="E509" s="464" t="s">
        <v>79</v>
      </c>
      <c r="F509" s="464" t="s">
        <v>3989</v>
      </c>
      <c r="G509" s="80" t="str">
        <f>VLOOKUP(F509,'01. TH'!$B:$E,3,0)</f>
        <v>#N/A</v>
      </c>
      <c r="H509" s="475" t="s">
        <v>1389</v>
      </c>
      <c r="I509" s="463" t="s">
        <v>4713</v>
      </c>
      <c r="J509" s="467"/>
      <c r="K509" s="463" t="s">
        <v>1661</v>
      </c>
      <c r="L509" s="463"/>
      <c r="M509" s="465" t="s">
        <v>4705</v>
      </c>
      <c r="N509" s="464" t="s">
        <v>3990</v>
      </c>
      <c r="O509" s="465" t="s">
        <v>3991</v>
      </c>
      <c r="P509" s="464" t="s">
        <v>3260</v>
      </c>
      <c r="Q509" s="463">
        <v>2025.0</v>
      </c>
      <c r="R509" s="465" t="s">
        <v>4706</v>
      </c>
      <c r="S509" s="465"/>
      <c r="T509" s="482">
        <v>0.56</v>
      </c>
      <c r="U509" s="464" t="s">
        <v>3992</v>
      </c>
      <c r="V509" s="464"/>
    </row>
    <row r="510" ht="15.0" customHeight="1">
      <c r="A510" s="463">
        <f t="shared" si="10"/>
        <v>40</v>
      </c>
      <c r="B510" s="464" t="s">
        <v>4714</v>
      </c>
      <c r="C510" s="465"/>
      <c r="D510" s="464" t="s">
        <v>4715</v>
      </c>
      <c r="E510" s="464" t="s">
        <v>79</v>
      </c>
      <c r="F510" s="464" t="s">
        <v>3989</v>
      </c>
      <c r="G510" s="80" t="str">
        <f>VLOOKUP(F510,'01. TH'!$B:$E,3,0)</f>
        <v>#N/A</v>
      </c>
      <c r="H510" s="475" t="s">
        <v>1389</v>
      </c>
      <c r="I510" s="463" t="s">
        <v>4713</v>
      </c>
      <c r="J510" s="467"/>
      <c r="K510" s="463" t="s">
        <v>1661</v>
      </c>
      <c r="L510" s="463"/>
      <c r="M510" s="465" t="s">
        <v>4705</v>
      </c>
      <c r="N510" s="464" t="s">
        <v>3990</v>
      </c>
      <c r="O510" s="465" t="s">
        <v>3991</v>
      </c>
      <c r="P510" s="464" t="s">
        <v>3260</v>
      </c>
      <c r="Q510" s="463">
        <v>2025.0</v>
      </c>
      <c r="R510" s="465" t="s">
        <v>4706</v>
      </c>
      <c r="S510" s="465"/>
      <c r="T510" s="482">
        <v>0.56</v>
      </c>
      <c r="U510" s="464" t="s">
        <v>3992</v>
      </c>
      <c r="V510" s="464"/>
    </row>
    <row r="511" ht="15.0" customHeight="1">
      <c r="A511" s="463">
        <f t="shared" si="10"/>
        <v>41</v>
      </c>
      <c r="B511" s="464" t="s">
        <v>4716</v>
      </c>
      <c r="C511" s="465"/>
      <c r="D511" s="464" t="s">
        <v>4717</v>
      </c>
      <c r="E511" s="464" t="s">
        <v>79</v>
      </c>
      <c r="F511" s="464" t="s">
        <v>3989</v>
      </c>
      <c r="G511" s="80" t="str">
        <f>VLOOKUP(F511,'01. TH'!$B:$E,3,0)</f>
        <v>#N/A</v>
      </c>
      <c r="H511" s="475" t="s">
        <v>1389</v>
      </c>
      <c r="I511" s="463" t="s">
        <v>1877</v>
      </c>
      <c r="J511" s="467"/>
      <c r="K511" s="463" t="s">
        <v>1661</v>
      </c>
      <c r="L511" s="463"/>
      <c r="M511" s="465" t="s">
        <v>4705</v>
      </c>
      <c r="N511" s="464" t="s">
        <v>3990</v>
      </c>
      <c r="O511" s="465" t="s">
        <v>4718</v>
      </c>
      <c r="P511" s="464" t="s">
        <v>3260</v>
      </c>
      <c r="Q511" s="463">
        <v>2025.0</v>
      </c>
      <c r="R511" s="465" t="s">
        <v>4706</v>
      </c>
      <c r="S511" s="465">
        <v>14.0</v>
      </c>
      <c r="T511" s="482">
        <v>0.56</v>
      </c>
      <c r="U511" s="464" t="s">
        <v>3992</v>
      </c>
      <c r="V511" s="464"/>
    </row>
    <row r="512" ht="15.0" customHeight="1">
      <c r="A512" s="463">
        <f t="shared" si="10"/>
        <v>42</v>
      </c>
      <c r="B512" s="464" t="s">
        <v>4719</v>
      </c>
      <c r="C512" s="465"/>
      <c r="D512" s="464" t="s">
        <v>4720</v>
      </c>
      <c r="E512" s="464" t="s">
        <v>79</v>
      </c>
      <c r="F512" s="464" t="s">
        <v>3989</v>
      </c>
      <c r="G512" s="80" t="str">
        <f>VLOOKUP(F512,'01. TH'!$B:$E,3,0)</f>
        <v>#N/A</v>
      </c>
      <c r="H512" s="475" t="s">
        <v>1389</v>
      </c>
      <c r="I512" s="463" t="s">
        <v>4721</v>
      </c>
      <c r="J512" s="467"/>
      <c r="K512" s="463" t="s">
        <v>1661</v>
      </c>
      <c r="L512" s="463"/>
      <c r="M512" s="465" t="s">
        <v>4705</v>
      </c>
      <c r="N512" s="464" t="s">
        <v>3990</v>
      </c>
      <c r="O512" s="465" t="s">
        <v>4722</v>
      </c>
      <c r="P512" s="464" t="s">
        <v>3260</v>
      </c>
      <c r="Q512" s="463">
        <v>2025.0</v>
      </c>
      <c r="R512" s="465" t="s">
        <v>4706</v>
      </c>
      <c r="S512" s="465"/>
      <c r="T512" s="482">
        <v>0.56</v>
      </c>
      <c r="U512" s="464" t="s">
        <v>3992</v>
      </c>
      <c r="V512" s="464"/>
    </row>
    <row r="513" ht="15.0" customHeight="1">
      <c r="A513" s="463">
        <f t="shared" si="10"/>
        <v>43</v>
      </c>
      <c r="B513" s="464" t="s">
        <v>4723</v>
      </c>
      <c r="C513" s="465"/>
      <c r="D513" s="464" t="s">
        <v>4724</v>
      </c>
      <c r="E513" s="464" t="s">
        <v>79</v>
      </c>
      <c r="F513" s="464" t="s">
        <v>3989</v>
      </c>
      <c r="G513" s="80" t="str">
        <f>VLOOKUP(F513,'01. TH'!$B:$E,3,0)</f>
        <v>#N/A</v>
      </c>
      <c r="H513" s="475" t="s">
        <v>1389</v>
      </c>
      <c r="I513" s="466">
        <v>45848.0</v>
      </c>
      <c r="J513" s="467"/>
      <c r="K513" s="463" t="s">
        <v>1661</v>
      </c>
      <c r="L513" s="463"/>
      <c r="M513" s="465" t="s">
        <v>4705</v>
      </c>
      <c r="N513" s="464" t="s">
        <v>3990</v>
      </c>
      <c r="O513" s="465" t="s">
        <v>4725</v>
      </c>
      <c r="P513" s="464" t="s">
        <v>3260</v>
      </c>
      <c r="Q513" s="463">
        <v>2025.0</v>
      </c>
      <c r="R513" s="465" t="s">
        <v>4706</v>
      </c>
      <c r="S513" s="465"/>
      <c r="T513" s="482">
        <v>0.56</v>
      </c>
      <c r="U513" s="464" t="s">
        <v>3992</v>
      </c>
      <c r="V513" s="464"/>
    </row>
    <row r="514" ht="15.0" customHeight="1">
      <c r="A514" s="463">
        <f t="shared" si="10"/>
        <v>44</v>
      </c>
      <c r="B514" s="464" t="s">
        <v>4726</v>
      </c>
      <c r="C514" s="465"/>
      <c r="D514" s="464" t="s">
        <v>4727</v>
      </c>
      <c r="E514" s="464" t="s">
        <v>79</v>
      </c>
      <c r="F514" s="464" t="s">
        <v>4375</v>
      </c>
      <c r="G514" s="80" t="str">
        <f>VLOOKUP(F514,'01. TH'!$B:$E,3,0)</f>
        <v>#N/A</v>
      </c>
      <c r="H514" s="475" t="s">
        <v>1389</v>
      </c>
      <c r="I514" s="463" t="s">
        <v>4728</v>
      </c>
      <c r="J514" s="467"/>
      <c r="K514" s="463" t="s">
        <v>1661</v>
      </c>
      <c r="L514" s="463"/>
      <c r="M514" s="465" t="s">
        <v>4705</v>
      </c>
      <c r="N514" s="464" t="s">
        <v>4729</v>
      </c>
      <c r="O514" s="465"/>
      <c r="P514" s="464"/>
      <c r="Q514" s="463">
        <v>2025.0</v>
      </c>
      <c r="R514" s="465" t="s">
        <v>4376</v>
      </c>
      <c r="S514" s="465" t="s">
        <v>4377</v>
      </c>
      <c r="T514" s="482"/>
      <c r="U514" s="464" t="s">
        <v>3992</v>
      </c>
      <c r="V514" s="464"/>
    </row>
    <row r="515" ht="15.0" customHeight="1">
      <c r="A515" s="463">
        <f t="shared" si="10"/>
        <v>45</v>
      </c>
      <c r="B515" s="464" t="s">
        <v>4730</v>
      </c>
      <c r="C515" s="465"/>
      <c r="D515" s="464" t="s">
        <v>4731</v>
      </c>
      <c r="E515" s="464" t="s">
        <v>79</v>
      </c>
      <c r="F515" s="464" t="s">
        <v>3989</v>
      </c>
      <c r="G515" s="80" t="str">
        <f>VLOOKUP(F515,'01. TH'!$B:$E,3,0)</f>
        <v>#N/A</v>
      </c>
      <c r="H515" s="475" t="s">
        <v>1389</v>
      </c>
      <c r="I515" s="466">
        <v>45880.0</v>
      </c>
      <c r="J515" s="467"/>
      <c r="K515" s="463" t="s">
        <v>1661</v>
      </c>
      <c r="L515" s="463"/>
      <c r="M515" s="465" t="s">
        <v>4705</v>
      </c>
      <c r="N515" s="464" t="s">
        <v>3990</v>
      </c>
      <c r="O515" s="465" t="s">
        <v>4732</v>
      </c>
      <c r="P515" s="464" t="s">
        <v>3260</v>
      </c>
      <c r="Q515" s="463">
        <v>2025.0</v>
      </c>
      <c r="R515" s="465" t="s">
        <v>4706</v>
      </c>
      <c r="S515" s="465"/>
      <c r="T515" s="482">
        <v>0.56</v>
      </c>
      <c r="U515" s="464" t="s">
        <v>3992</v>
      </c>
      <c r="V515" s="464"/>
    </row>
    <row r="516" ht="15.0" customHeight="1">
      <c r="A516" s="463">
        <f t="shared" si="10"/>
        <v>46</v>
      </c>
      <c r="B516" s="464" t="s">
        <v>4733</v>
      </c>
      <c r="C516" s="465"/>
      <c r="D516" s="464" t="s">
        <v>4734</v>
      </c>
      <c r="E516" s="464" t="s">
        <v>79</v>
      </c>
      <c r="F516" s="464" t="s">
        <v>3989</v>
      </c>
      <c r="G516" s="80"/>
      <c r="H516" s="475" t="s">
        <v>1389</v>
      </c>
      <c r="I516" s="466">
        <v>46235.0</v>
      </c>
      <c r="J516" s="467"/>
      <c r="K516" s="463" t="s">
        <v>1661</v>
      </c>
      <c r="L516" s="463"/>
      <c r="M516" s="465" t="s">
        <v>4705</v>
      </c>
      <c r="N516" s="464"/>
      <c r="O516" s="465" t="s">
        <v>4735</v>
      </c>
      <c r="P516" s="464" t="s">
        <v>3260</v>
      </c>
      <c r="Q516" s="463">
        <v>2025.0</v>
      </c>
      <c r="R516" s="465" t="s">
        <v>4706</v>
      </c>
      <c r="S516" s="465"/>
      <c r="T516" s="482">
        <v>0.56</v>
      </c>
      <c r="U516" s="464" t="s">
        <v>3992</v>
      </c>
      <c r="V516" s="464"/>
    </row>
    <row r="517" ht="15.0" customHeight="1">
      <c r="A517" s="463">
        <f t="shared" si="10"/>
        <v>47</v>
      </c>
      <c r="B517" s="464" t="s">
        <v>4736</v>
      </c>
      <c r="C517" s="465"/>
      <c r="D517" s="464" t="s">
        <v>4737</v>
      </c>
      <c r="E517" s="464" t="s">
        <v>79</v>
      </c>
      <c r="F517" s="464" t="s">
        <v>3989</v>
      </c>
      <c r="G517" s="80"/>
      <c r="H517" s="475" t="s">
        <v>1389</v>
      </c>
      <c r="I517" s="463" t="s">
        <v>4738</v>
      </c>
      <c r="J517" s="467"/>
      <c r="K517" s="463" t="s">
        <v>1661</v>
      </c>
      <c r="L517" s="463"/>
      <c r="M517" s="465" t="s">
        <v>4705</v>
      </c>
      <c r="N517" s="464"/>
      <c r="O517" s="465" t="s">
        <v>4739</v>
      </c>
      <c r="P517" s="464" t="s">
        <v>3260</v>
      </c>
      <c r="Q517" s="463">
        <v>2025.0</v>
      </c>
      <c r="R517" s="465" t="s">
        <v>4706</v>
      </c>
      <c r="S517" s="465"/>
      <c r="T517" s="482">
        <v>0.56</v>
      </c>
      <c r="U517" s="464" t="s">
        <v>3992</v>
      </c>
      <c r="V517" s="464"/>
    </row>
    <row r="518" ht="15.0" customHeight="1">
      <c r="A518" s="463">
        <f t="shared" si="10"/>
        <v>48</v>
      </c>
      <c r="B518" s="464" t="s">
        <v>4740</v>
      </c>
      <c r="C518" s="465"/>
      <c r="D518" s="464" t="s">
        <v>4741</v>
      </c>
      <c r="E518" s="464" t="s">
        <v>79</v>
      </c>
      <c r="F518" s="464" t="s">
        <v>3989</v>
      </c>
      <c r="G518" s="80"/>
      <c r="H518" s="475" t="s">
        <v>1389</v>
      </c>
      <c r="I518" s="463" t="s">
        <v>4742</v>
      </c>
      <c r="J518" s="467"/>
      <c r="K518" s="463" t="s">
        <v>1661</v>
      </c>
      <c r="L518" s="463"/>
      <c r="M518" s="465" t="s">
        <v>4705</v>
      </c>
      <c r="N518" s="464"/>
      <c r="O518" s="465"/>
      <c r="P518" s="464"/>
      <c r="Q518" s="463"/>
      <c r="R518" s="465"/>
      <c r="S518" s="465"/>
      <c r="T518" s="482">
        <v>0.56</v>
      </c>
      <c r="U518" s="464" t="s">
        <v>3992</v>
      </c>
      <c r="V518" s="464"/>
    </row>
    <row r="519" ht="15.0" customHeight="1">
      <c r="A519" s="463">
        <f t="shared" si="10"/>
        <v>49</v>
      </c>
      <c r="B519" s="464" t="s">
        <v>4743</v>
      </c>
      <c r="C519" s="465"/>
      <c r="D519" s="464"/>
      <c r="E519" s="464" t="s">
        <v>79</v>
      </c>
      <c r="F519" s="464" t="s">
        <v>4744</v>
      </c>
      <c r="G519" s="80"/>
      <c r="H519" s="475" t="s">
        <v>1389</v>
      </c>
      <c r="I519" s="463" t="s">
        <v>4745</v>
      </c>
      <c r="J519" s="467"/>
      <c r="K519" s="463" t="s">
        <v>1661</v>
      </c>
      <c r="L519" s="463"/>
      <c r="M519" s="465"/>
      <c r="N519" s="464" t="s">
        <v>4729</v>
      </c>
      <c r="O519" s="465"/>
      <c r="P519" s="464"/>
      <c r="Q519" s="463">
        <v>2026.0</v>
      </c>
      <c r="R519" s="465" t="s">
        <v>4376</v>
      </c>
      <c r="S519" s="465" t="s">
        <v>4377</v>
      </c>
      <c r="T519" s="482"/>
      <c r="U519" s="464"/>
      <c r="V519" s="464"/>
    </row>
    <row r="520" ht="15.0" customHeight="1">
      <c r="A520" s="463">
        <f t="shared" si="10"/>
        <v>50</v>
      </c>
      <c r="B520" s="464" t="s">
        <v>4746</v>
      </c>
      <c r="C520" s="465" t="s">
        <v>4747</v>
      </c>
      <c r="D520" s="464"/>
      <c r="E520" s="464" t="s">
        <v>79</v>
      </c>
      <c r="F520" s="464" t="s">
        <v>4748</v>
      </c>
      <c r="G520" s="80" t="str">
        <f>VLOOKUP(F520,'01. TH'!$B:$E,3,0)</f>
        <v>#N/A</v>
      </c>
      <c r="H520" s="475" t="s">
        <v>1389</v>
      </c>
      <c r="I520" s="463" t="s">
        <v>4045</v>
      </c>
      <c r="J520" s="467"/>
      <c r="K520" s="463" t="s">
        <v>1661</v>
      </c>
      <c r="L520" s="463" t="s">
        <v>4749</v>
      </c>
      <c r="M520" s="465" t="s">
        <v>4750</v>
      </c>
      <c r="N520" s="464" t="s">
        <v>3258</v>
      </c>
      <c r="O520" s="465" t="s">
        <v>4751</v>
      </c>
      <c r="P520" s="464" t="s">
        <v>3260</v>
      </c>
      <c r="Q520" s="463"/>
      <c r="R520" s="465" t="s">
        <v>4752</v>
      </c>
      <c r="S520" s="465"/>
      <c r="T520" s="482"/>
      <c r="U520" s="464"/>
      <c r="V520" s="464"/>
    </row>
    <row r="521" ht="15.0" customHeight="1">
      <c r="A521" s="463">
        <f t="shared" si="10"/>
        <v>51</v>
      </c>
      <c r="B521" s="464" t="s">
        <v>4753</v>
      </c>
      <c r="C521" s="465" t="s">
        <v>4754</v>
      </c>
      <c r="D521" s="464"/>
      <c r="E521" s="464" t="s">
        <v>79</v>
      </c>
      <c r="F521" s="464" t="s">
        <v>4748</v>
      </c>
      <c r="G521" s="80" t="str">
        <f>VLOOKUP(F521,'01. TH'!$B:$E,3,0)</f>
        <v>#N/A</v>
      </c>
      <c r="H521" s="475" t="s">
        <v>1389</v>
      </c>
      <c r="I521" s="463" t="s">
        <v>4045</v>
      </c>
      <c r="J521" s="467"/>
      <c r="K521" s="463" t="s">
        <v>1661</v>
      </c>
      <c r="L521" s="463"/>
      <c r="M521" s="465" t="s">
        <v>4750</v>
      </c>
      <c r="N521" s="464" t="s">
        <v>3258</v>
      </c>
      <c r="O521" s="465" t="s">
        <v>4751</v>
      </c>
      <c r="P521" s="464" t="s">
        <v>3260</v>
      </c>
      <c r="Q521" s="463"/>
      <c r="R521" s="465" t="s">
        <v>4752</v>
      </c>
      <c r="S521" s="465"/>
      <c r="T521" s="482"/>
      <c r="U521" s="464"/>
      <c r="V521" s="464"/>
    </row>
    <row r="522" ht="15.0" customHeight="1">
      <c r="A522" s="463">
        <f t="shared" si="10"/>
        <v>52</v>
      </c>
      <c r="B522" s="464" t="s">
        <v>4755</v>
      </c>
      <c r="C522" s="465" t="s">
        <v>4756</v>
      </c>
      <c r="D522" s="464"/>
      <c r="E522" s="464" t="s">
        <v>79</v>
      </c>
      <c r="F522" s="464" t="s">
        <v>4044</v>
      </c>
      <c r="G522" s="80" t="str">
        <f>VLOOKUP(F522,'01. TH'!$B:$E,3,0)</f>
        <v>#N/A</v>
      </c>
      <c r="H522" s="475" t="s">
        <v>1389</v>
      </c>
      <c r="I522" s="463" t="s">
        <v>4045</v>
      </c>
      <c r="J522" s="467"/>
      <c r="K522" s="463" t="s">
        <v>1661</v>
      </c>
      <c r="L522" s="463"/>
      <c r="M522" s="465" t="s">
        <v>4750</v>
      </c>
      <c r="N522" s="464" t="s">
        <v>3258</v>
      </c>
      <c r="O522" s="465" t="s">
        <v>4757</v>
      </c>
      <c r="P522" s="464" t="s">
        <v>3260</v>
      </c>
      <c r="Q522" s="463">
        <v>2023.0</v>
      </c>
      <c r="R522" s="465" t="s">
        <v>4758</v>
      </c>
      <c r="S522" s="465"/>
      <c r="T522" s="482"/>
      <c r="U522" s="464"/>
      <c r="V522" s="464"/>
    </row>
    <row r="523" ht="15.0" customHeight="1">
      <c r="A523" s="463">
        <f t="shared" si="10"/>
        <v>53</v>
      </c>
      <c r="B523" s="464" t="s">
        <v>4759</v>
      </c>
      <c r="C523" s="465" t="s">
        <v>4760</v>
      </c>
      <c r="D523" s="464" t="s">
        <v>4761</v>
      </c>
      <c r="E523" s="464" t="s">
        <v>79</v>
      </c>
      <c r="F523" s="464" t="s">
        <v>4051</v>
      </c>
      <c r="G523" s="80" t="str">
        <f>VLOOKUP(F523,'01. TH'!$B:$E,3,0)</f>
        <v>#N/A</v>
      </c>
      <c r="H523" s="475" t="s">
        <v>1389</v>
      </c>
      <c r="I523" s="463" t="s">
        <v>4762</v>
      </c>
      <c r="J523" s="467"/>
      <c r="K523" s="463" t="s">
        <v>1661</v>
      </c>
      <c r="L523" s="463" t="s">
        <v>4763</v>
      </c>
      <c r="M523" s="465" t="s">
        <v>4352</v>
      </c>
      <c r="N523" s="464" t="s">
        <v>3258</v>
      </c>
      <c r="O523" s="465" t="s">
        <v>4764</v>
      </c>
      <c r="P523" s="464" t="s">
        <v>3260</v>
      </c>
      <c r="Q523" s="463">
        <v>2025.0</v>
      </c>
      <c r="R523" s="465"/>
      <c r="S523" s="465"/>
      <c r="T523" s="482"/>
      <c r="U523" s="464"/>
      <c r="V523" s="464"/>
    </row>
    <row r="524" ht="15.0" customHeight="1">
      <c r="A524" s="463">
        <f t="shared" si="10"/>
        <v>54</v>
      </c>
      <c r="B524" s="464" t="s">
        <v>4765</v>
      </c>
      <c r="C524" s="465"/>
      <c r="D524" s="464" t="s">
        <v>4766</v>
      </c>
      <c r="E524" s="464" t="s">
        <v>79</v>
      </c>
      <c r="F524" s="464" t="s">
        <v>4051</v>
      </c>
      <c r="G524" s="80" t="str">
        <f>VLOOKUP(F524,'01. TH'!$B:$E,3,0)</f>
        <v>#N/A</v>
      </c>
      <c r="H524" s="475" t="s">
        <v>1389</v>
      </c>
      <c r="I524" s="463" t="s">
        <v>4767</v>
      </c>
      <c r="J524" s="467"/>
      <c r="K524" s="463" t="s">
        <v>1661</v>
      </c>
      <c r="L524" s="463"/>
      <c r="M524" s="465" t="s">
        <v>3581</v>
      </c>
      <c r="N524" s="464"/>
      <c r="O524" s="465"/>
      <c r="P524" s="464"/>
      <c r="Q524" s="463"/>
      <c r="R524" s="465"/>
      <c r="S524" s="465"/>
      <c r="T524" s="482"/>
      <c r="U524" s="464"/>
      <c r="V524" s="464"/>
    </row>
    <row r="525" ht="15.0" customHeight="1">
      <c r="A525" s="463">
        <f t="shared" si="10"/>
        <v>55</v>
      </c>
      <c r="B525" s="464" t="s">
        <v>4768</v>
      </c>
      <c r="C525" s="465" t="s">
        <v>4769</v>
      </c>
      <c r="D525" s="464"/>
      <c r="E525" s="464" t="s">
        <v>79</v>
      </c>
      <c r="F525" s="464" t="s">
        <v>4770</v>
      </c>
      <c r="G525" s="80" t="str">
        <f>VLOOKUP(F525,'01. TH'!$B:$E,3,0)</f>
        <v>#N/A</v>
      </c>
      <c r="H525" s="475" t="s">
        <v>1389</v>
      </c>
      <c r="I525" s="463" t="s">
        <v>4771</v>
      </c>
      <c r="J525" s="467"/>
      <c r="K525" s="463" t="s">
        <v>1661</v>
      </c>
      <c r="L525" s="463"/>
      <c r="M525" s="465" t="s">
        <v>3581</v>
      </c>
      <c r="N525" s="464" t="s">
        <v>3258</v>
      </c>
      <c r="O525" s="465"/>
      <c r="P525" s="464" t="s">
        <v>3260</v>
      </c>
      <c r="Q525" s="463">
        <v>2024.0</v>
      </c>
      <c r="R525" s="465" t="s">
        <v>4772</v>
      </c>
      <c r="S525" s="465"/>
      <c r="T525" s="482"/>
      <c r="U525" s="464"/>
      <c r="V525" s="464"/>
    </row>
    <row r="526" ht="15.0" customHeight="1">
      <c r="A526" s="463">
        <f t="shared" si="10"/>
        <v>56</v>
      </c>
      <c r="B526" s="464" t="s">
        <v>4773</v>
      </c>
      <c r="C526" s="465"/>
      <c r="D526" s="464" t="s">
        <v>4774</v>
      </c>
      <c r="E526" s="464" t="s">
        <v>79</v>
      </c>
      <c r="F526" s="464" t="s">
        <v>4775</v>
      </c>
      <c r="G526" s="80" t="str">
        <f>VLOOKUP(F526,'01. TH'!$B:$E,3,0)</f>
        <v>#N/A</v>
      </c>
      <c r="H526" s="475" t="s">
        <v>1389</v>
      </c>
      <c r="I526" s="466">
        <v>45871.0</v>
      </c>
      <c r="J526" s="467"/>
      <c r="K526" s="463" t="s">
        <v>1661</v>
      </c>
      <c r="L526" s="463"/>
      <c r="M526" s="465" t="s">
        <v>3581</v>
      </c>
      <c r="N526" s="464" t="s">
        <v>3258</v>
      </c>
      <c r="O526" s="465"/>
      <c r="P526" s="464" t="s">
        <v>3260</v>
      </c>
      <c r="Q526" s="463">
        <v>2025.0</v>
      </c>
      <c r="R526" s="465"/>
      <c r="S526" s="465"/>
      <c r="T526" s="482"/>
      <c r="U526" s="464"/>
      <c r="V526" s="464"/>
    </row>
    <row r="527" ht="15.0" customHeight="1">
      <c r="A527" s="463">
        <f t="shared" si="10"/>
        <v>57</v>
      </c>
      <c r="B527" s="464" t="s">
        <v>4776</v>
      </c>
      <c r="C527" s="465"/>
      <c r="D527" s="464"/>
      <c r="E527" s="464" t="s">
        <v>3238</v>
      </c>
      <c r="F527" s="464" t="s">
        <v>4053</v>
      </c>
      <c r="G527" s="80" t="str">
        <f>VLOOKUP(F527,'01. TH'!$B:$E,3,0)</f>
        <v/>
      </c>
      <c r="H527" s="475" t="s">
        <v>1389</v>
      </c>
      <c r="I527" s="466">
        <v>46357.0</v>
      </c>
      <c r="J527" s="467"/>
      <c r="K527" s="463" t="s">
        <v>1661</v>
      </c>
      <c r="L527" s="463"/>
      <c r="M527" s="465"/>
      <c r="N527" s="464" t="s">
        <v>4054</v>
      </c>
      <c r="O527" s="465">
        <v>7045.0</v>
      </c>
      <c r="P527" s="464" t="s">
        <v>585</v>
      </c>
      <c r="Q527" s="463">
        <v>2025.0</v>
      </c>
      <c r="R527" s="465" t="s">
        <v>4055</v>
      </c>
      <c r="S527" s="465" t="s">
        <v>4777</v>
      </c>
      <c r="T527" s="482"/>
      <c r="U527" s="464"/>
      <c r="V527" s="464"/>
    </row>
    <row r="528" ht="15.0" customHeight="1">
      <c r="A528" s="463">
        <f t="shared" si="10"/>
        <v>58</v>
      </c>
      <c r="B528" s="464" t="s">
        <v>4778</v>
      </c>
      <c r="C528" s="465"/>
      <c r="D528" s="464"/>
      <c r="E528" s="464" t="s">
        <v>3238</v>
      </c>
      <c r="F528" s="464" t="s">
        <v>4053</v>
      </c>
      <c r="G528" s="80" t="str">
        <f>VLOOKUP(F528,'01. TH'!$B:$E,3,0)</f>
        <v/>
      </c>
      <c r="H528" s="475" t="s">
        <v>1389</v>
      </c>
      <c r="I528" s="466">
        <v>46357.0</v>
      </c>
      <c r="J528" s="467"/>
      <c r="K528" s="463" t="s">
        <v>1661</v>
      </c>
      <c r="L528" s="463"/>
      <c r="M528" s="465"/>
      <c r="N528" s="464" t="s">
        <v>4054</v>
      </c>
      <c r="O528" s="465">
        <v>7045.0</v>
      </c>
      <c r="P528" s="464" t="s">
        <v>585</v>
      </c>
      <c r="Q528" s="463">
        <v>2025.0</v>
      </c>
      <c r="R528" s="465" t="s">
        <v>4055</v>
      </c>
      <c r="S528" s="465" t="s">
        <v>4779</v>
      </c>
      <c r="T528" s="482"/>
      <c r="U528" s="464"/>
      <c r="V528" s="464"/>
    </row>
    <row r="529" ht="15.0" customHeight="1">
      <c r="A529" s="463">
        <f t="shared" si="10"/>
        <v>59</v>
      </c>
      <c r="B529" s="464" t="s">
        <v>4780</v>
      </c>
      <c r="C529" s="465" t="s">
        <v>4781</v>
      </c>
      <c r="D529" s="464" t="str">
        <f>IFERROR(VLOOKUP(B529,' 02.1 KLH-CN MÃ BRAVO MM'!$B:$C,2,0),"")</f>
        <v>A24-XLT-001</v>
      </c>
      <c r="E529" s="464" t="s">
        <v>79</v>
      </c>
      <c r="F529" s="464" t="s">
        <v>4782</v>
      </c>
      <c r="G529" s="80" t="str">
        <f>VLOOKUP(#REF!,'01. TH'!$B:$E,3,0)</f>
        <v>#REF!</v>
      </c>
      <c r="H529" s="475" t="s">
        <v>1389</v>
      </c>
      <c r="I529" s="466"/>
      <c r="J529" s="467"/>
      <c r="K529" s="463" t="str">
        <f>IF(COUNTIF('TT BTSC'!$D:$D,B529)&gt;0,"Hư hỏng","Bình thường")</f>
        <v>Bình thường</v>
      </c>
      <c r="L529" s="463"/>
      <c r="M529" s="465"/>
      <c r="N529" s="464" t="s">
        <v>187</v>
      </c>
      <c r="O529" s="465" t="s">
        <v>84</v>
      </c>
      <c r="P529" s="464"/>
      <c r="Q529" s="463" t="s">
        <v>4783</v>
      </c>
      <c r="R529" s="465" t="s">
        <v>4784</v>
      </c>
      <c r="S529" s="465" t="s">
        <v>4785</v>
      </c>
      <c r="T529" s="482"/>
      <c r="U529" s="464"/>
      <c r="V529" s="464"/>
    </row>
    <row r="530" ht="15.0" customHeight="1">
      <c r="A530" s="463"/>
      <c r="B530" s="464"/>
      <c r="C530" s="465" t="s">
        <v>4580</v>
      </c>
      <c r="D530" s="464"/>
      <c r="E530" s="467"/>
      <c r="F530" s="464"/>
      <c r="G530" s="80" t="str">
        <f>VLOOKUP(F530,'01. TH'!$B:$E,3,0)</f>
        <v>#N/A</v>
      </c>
      <c r="H530" s="475"/>
      <c r="I530" s="463"/>
      <c r="J530" s="467"/>
      <c r="K530" s="463"/>
      <c r="L530" s="463"/>
      <c r="M530" s="465"/>
      <c r="N530" s="464"/>
      <c r="O530" s="465"/>
      <c r="P530" s="467"/>
      <c r="Q530" s="463"/>
      <c r="R530" s="465"/>
      <c r="S530" s="465"/>
      <c r="T530" s="482"/>
      <c r="U530" s="464"/>
      <c r="V530" s="464"/>
    </row>
    <row r="531" ht="15.0" hidden="1" customHeight="1">
      <c r="A531" s="455" t="s">
        <v>1550</v>
      </c>
      <c r="B531" s="456" t="s">
        <v>4786</v>
      </c>
      <c r="C531" s="457">
        <f>COUNTA(B532:B538)</f>
        <v>6</v>
      </c>
      <c r="D531" s="458"/>
      <c r="E531" s="458"/>
      <c r="F531" s="458"/>
      <c r="G531" s="459"/>
      <c r="H531" s="459"/>
      <c r="I531" s="457"/>
      <c r="J531" s="460"/>
      <c r="K531" s="457"/>
      <c r="L531" s="458"/>
      <c r="M531" s="461"/>
      <c r="N531" s="458"/>
      <c r="O531" s="461"/>
      <c r="P531" s="458"/>
      <c r="Q531" s="459"/>
      <c r="R531" s="461"/>
      <c r="S531" s="461"/>
      <c r="T531" s="462"/>
      <c r="U531" s="458"/>
      <c r="V531" s="458"/>
    </row>
    <row r="532" ht="15.0" hidden="1" customHeight="1">
      <c r="A532" s="463">
        <v>1.0</v>
      </c>
      <c r="B532" s="464" t="s">
        <v>4787</v>
      </c>
      <c r="C532" s="476" t="s">
        <v>4788</v>
      </c>
      <c r="D532" s="464" t="s">
        <v>4605</v>
      </c>
      <c r="E532" s="467"/>
      <c r="F532" s="467" t="s">
        <v>3521</v>
      </c>
      <c r="G532" s="80" t="str">
        <f>VLOOKUP(F532,'01. TH'!$B:$E,3,0)</f>
        <v>1x1x1</v>
      </c>
      <c r="H532" s="475" t="s">
        <v>4789</v>
      </c>
      <c r="I532" s="475"/>
      <c r="J532" s="467"/>
      <c r="K532" s="463" t="s">
        <v>1661</v>
      </c>
      <c r="L532" s="467"/>
      <c r="M532" s="476"/>
      <c r="N532" s="464" t="s">
        <v>3258</v>
      </c>
      <c r="O532" s="476"/>
      <c r="P532" s="464" t="s">
        <v>3260</v>
      </c>
      <c r="Q532" s="475"/>
      <c r="R532" s="476"/>
      <c r="S532" s="476"/>
      <c r="T532" s="469"/>
      <c r="U532" s="467"/>
      <c r="V532" s="467"/>
    </row>
    <row r="533" ht="15.0" hidden="1" customHeight="1">
      <c r="A533" s="463">
        <f t="shared" ref="A533:A537" si="11">A532+1</f>
        <v>2</v>
      </c>
      <c r="B533" s="464" t="s">
        <v>4790</v>
      </c>
      <c r="C533" s="476" t="s">
        <v>4791</v>
      </c>
      <c r="D533" s="464" t="s">
        <v>4792</v>
      </c>
      <c r="E533" s="467"/>
      <c r="F533" s="464" t="s">
        <v>4793</v>
      </c>
      <c r="G533" s="80" t="str">
        <f>VLOOKUP(F533,'01. TH'!$B:$E,3,0)</f>
        <v>1x1x1</v>
      </c>
      <c r="H533" s="475" t="s">
        <v>4789</v>
      </c>
      <c r="I533" s="475"/>
      <c r="J533" s="467"/>
      <c r="K533" s="463" t="s">
        <v>1661</v>
      </c>
      <c r="L533" s="467"/>
      <c r="M533" s="476"/>
      <c r="N533" s="464" t="s">
        <v>3258</v>
      </c>
      <c r="O533" s="476"/>
      <c r="P533" s="464" t="s">
        <v>3260</v>
      </c>
      <c r="Q533" s="475"/>
      <c r="R533" s="476"/>
      <c r="S533" s="476"/>
      <c r="T533" s="469"/>
      <c r="U533" s="467"/>
      <c r="V533" s="467"/>
    </row>
    <row r="534" ht="15.0" hidden="1" customHeight="1">
      <c r="A534" s="463">
        <f t="shared" si="11"/>
        <v>3</v>
      </c>
      <c r="B534" s="464" t="s">
        <v>4794</v>
      </c>
      <c r="C534" s="476"/>
      <c r="D534" s="464" t="s">
        <v>4795</v>
      </c>
      <c r="E534" s="467"/>
      <c r="F534" s="464" t="s">
        <v>4080</v>
      </c>
      <c r="G534" s="80" t="str">
        <f>VLOOKUP(F534,'01. TH'!$B:$E,3,0)</f>
        <v>1x1x1</v>
      </c>
      <c r="H534" s="475" t="s">
        <v>4789</v>
      </c>
      <c r="I534" s="475"/>
      <c r="J534" s="467"/>
      <c r="K534" s="463" t="s">
        <v>1661</v>
      </c>
      <c r="L534" s="467"/>
      <c r="M534" s="476"/>
      <c r="N534" s="464" t="s">
        <v>3258</v>
      </c>
      <c r="O534" s="476"/>
      <c r="P534" s="464" t="s">
        <v>3260</v>
      </c>
      <c r="Q534" s="475"/>
      <c r="R534" s="476"/>
      <c r="S534" s="476"/>
      <c r="T534" s="469"/>
      <c r="U534" s="467"/>
      <c r="V534" s="467"/>
    </row>
    <row r="535" ht="15.0" hidden="1" customHeight="1">
      <c r="A535" s="463">
        <f t="shared" si="11"/>
        <v>4</v>
      </c>
      <c r="B535" s="464" t="s">
        <v>4796</v>
      </c>
      <c r="C535" s="476"/>
      <c r="D535" s="464" t="s">
        <v>4797</v>
      </c>
      <c r="E535" s="464"/>
      <c r="F535" s="464" t="s">
        <v>3947</v>
      </c>
      <c r="G535" s="80" t="str">
        <f>VLOOKUP(F535,'01. TH'!$B:$E,3,0)</f>
        <v/>
      </c>
      <c r="H535" s="475" t="s">
        <v>4789</v>
      </c>
      <c r="I535" s="466"/>
      <c r="J535" s="464"/>
      <c r="K535" s="463" t="s">
        <v>1661</v>
      </c>
      <c r="L535" s="467"/>
      <c r="M535" s="476"/>
      <c r="N535" s="464" t="s">
        <v>3258</v>
      </c>
      <c r="O535" s="476"/>
      <c r="P535" s="464" t="s">
        <v>3260</v>
      </c>
      <c r="Q535" s="463"/>
      <c r="R535" s="465"/>
      <c r="S535" s="465"/>
      <c r="T535" s="482"/>
      <c r="U535" s="464"/>
      <c r="V535" s="464"/>
    </row>
    <row r="536" ht="15.0" hidden="1" customHeight="1">
      <c r="A536" s="463">
        <f t="shared" si="11"/>
        <v>5</v>
      </c>
      <c r="B536" s="464" t="s">
        <v>4798</v>
      </c>
      <c r="C536" s="476"/>
      <c r="D536" s="464" t="s">
        <v>4799</v>
      </c>
      <c r="E536" s="464"/>
      <c r="F536" s="464" t="s">
        <v>3947</v>
      </c>
      <c r="G536" s="80" t="str">
        <f>VLOOKUP(F536,'01. TH'!$B:$E,3,0)</f>
        <v/>
      </c>
      <c r="H536" s="475" t="s">
        <v>4789</v>
      </c>
      <c r="I536" s="466"/>
      <c r="J536" s="464"/>
      <c r="K536" s="463" t="s">
        <v>1661</v>
      </c>
      <c r="L536" s="467"/>
      <c r="M536" s="476"/>
      <c r="N536" s="464" t="s">
        <v>3258</v>
      </c>
      <c r="O536" s="476"/>
      <c r="P536" s="464" t="s">
        <v>3260</v>
      </c>
      <c r="Q536" s="463"/>
      <c r="R536" s="465"/>
      <c r="S536" s="465"/>
      <c r="T536" s="482"/>
      <c r="U536" s="464"/>
      <c r="V536" s="464"/>
    </row>
    <row r="537" ht="15.0" hidden="1" customHeight="1">
      <c r="A537" s="463">
        <f t="shared" si="11"/>
        <v>6</v>
      </c>
      <c r="B537" s="464" t="s">
        <v>4800</v>
      </c>
      <c r="C537" s="476"/>
      <c r="D537" s="464" t="s">
        <v>4801</v>
      </c>
      <c r="E537" s="464"/>
      <c r="F537" s="464" t="s">
        <v>3947</v>
      </c>
      <c r="G537" s="80" t="str">
        <f>VLOOKUP(F537,'01. TH'!$B:$E,3,0)</f>
        <v/>
      </c>
      <c r="H537" s="475" t="s">
        <v>4789</v>
      </c>
      <c r="I537" s="466"/>
      <c r="J537" s="464"/>
      <c r="K537" s="463" t="s">
        <v>1661</v>
      </c>
      <c r="L537" s="467"/>
      <c r="M537" s="476"/>
      <c r="N537" s="464" t="s">
        <v>3258</v>
      </c>
      <c r="O537" s="476"/>
      <c r="P537" s="464" t="s">
        <v>3260</v>
      </c>
      <c r="Q537" s="463"/>
      <c r="R537" s="465"/>
      <c r="S537" s="465"/>
      <c r="T537" s="482"/>
      <c r="U537" s="464"/>
      <c r="V537" s="464"/>
    </row>
    <row r="538" ht="15.0" customHeight="1">
      <c r="A538" s="128"/>
      <c r="B538" s="128"/>
      <c r="C538" s="128"/>
      <c r="D538" s="128"/>
      <c r="E538" s="128"/>
      <c r="F538" s="128"/>
      <c r="G538" s="80" t="str">
        <f>VLOOKUP(F538,'01. TH'!$B:$E,3,0)</f>
        <v>#N/A</v>
      </c>
      <c r="H538" s="128"/>
      <c r="I538" s="128"/>
      <c r="J538" s="128"/>
      <c r="K538" s="128"/>
      <c r="L538" s="128"/>
      <c r="M538" s="239"/>
      <c r="N538" s="128"/>
      <c r="O538" s="239"/>
      <c r="P538" s="128"/>
      <c r="Q538" s="269"/>
      <c r="R538" s="239"/>
      <c r="S538" s="239"/>
      <c r="T538" s="575"/>
      <c r="U538" s="128"/>
      <c r="V538" s="128"/>
    </row>
    <row r="539" ht="15.0" customHeight="1">
      <c r="A539" s="463"/>
      <c r="B539" s="464"/>
      <c r="C539" s="465" t="s">
        <v>4580</v>
      </c>
      <c r="D539" s="464"/>
      <c r="E539" s="467"/>
      <c r="F539" s="464"/>
      <c r="G539" s="80" t="str">
        <f>VLOOKUP(F539,'01. TH'!$B:$E,3,0)</f>
        <v>#N/A</v>
      </c>
      <c r="H539" s="475"/>
      <c r="I539" s="475"/>
      <c r="J539" s="467"/>
      <c r="K539" s="463"/>
      <c r="L539" s="467"/>
      <c r="M539" s="476"/>
      <c r="N539" s="467"/>
      <c r="O539" s="476"/>
      <c r="P539" s="467"/>
      <c r="Q539" s="475"/>
      <c r="R539" s="476"/>
      <c r="S539" s="465"/>
      <c r="T539" s="482"/>
      <c r="U539" s="464"/>
      <c r="V539" s="464"/>
    </row>
    <row r="540" ht="15.0" customHeight="1">
      <c r="A540" s="455" t="s">
        <v>1555</v>
      </c>
      <c r="B540" s="456" t="s">
        <v>4802</v>
      </c>
      <c r="C540" s="457">
        <f>SUM(C541,C584)</f>
        <v>46</v>
      </c>
      <c r="D540" s="458"/>
      <c r="E540" s="458"/>
      <c r="F540" s="458"/>
      <c r="G540" s="459"/>
      <c r="H540" s="459"/>
      <c r="I540" s="457"/>
      <c r="J540" s="460"/>
      <c r="K540" s="457"/>
      <c r="L540" s="458"/>
      <c r="M540" s="461"/>
      <c r="N540" s="458"/>
      <c r="O540" s="461"/>
      <c r="P540" s="458"/>
      <c r="Q540" s="459"/>
      <c r="R540" s="461"/>
      <c r="S540" s="461"/>
      <c r="T540" s="462"/>
      <c r="U540" s="458"/>
      <c r="V540" s="458"/>
    </row>
    <row r="541">
      <c r="A541" s="576" t="s">
        <v>4803</v>
      </c>
      <c r="B541" s="577" t="s">
        <v>4804</v>
      </c>
      <c r="C541" s="578">
        <f>COUNTA($B$542:$B$583)</f>
        <v>40</v>
      </c>
      <c r="D541" s="579"/>
      <c r="E541" s="579"/>
      <c r="F541" s="579"/>
      <c r="G541" s="580"/>
      <c r="H541" s="580"/>
      <c r="I541" s="580"/>
      <c r="J541" s="579"/>
      <c r="K541" s="580"/>
      <c r="L541" s="579"/>
      <c r="M541" s="581"/>
      <c r="N541" s="579"/>
      <c r="O541" s="581"/>
      <c r="P541" s="579"/>
      <c r="Q541" s="580"/>
      <c r="R541" s="581"/>
      <c r="S541" s="581"/>
      <c r="T541" s="582"/>
      <c r="U541" s="579"/>
      <c r="V541" s="579"/>
    </row>
    <row r="542" ht="15.0" customHeight="1">
      <c r="A542" s="463">
        <v>1.0</v>
      </c>
      <c r="B542" s="464" t="s">
        <v>4805</v>
      </c>
      <c r="C542" s="465" t="s">
        <v>4806</v>
      </c>
      <c r="D542" s="464" t="s">
        <v>4807</v>
      </c>
      <c r="E542" s="464" t="s">
        <v>79</v>
      </c>
      <c r="F542" s="464" t="s">
        <v>4808</v>
      </c>
      <c r="G542" s="80" t="str">
        <f>VLOOKUP(F542,'01. TH'!$B:$E,3,0)</f>
        <v>#N/A</v>
      </c>
      <c r="H542" s="463" t="s">
        <v>4809</v>
      </c>
      <c r="I542" s="475"/>
      <c r="J542" s="467"/>
      <c r="K542" s="463" t="s">
        <v>1661</v>
      </c>
      <c r="L542" s="467"/>
      <c r="M542" s="476"/>
      <c r="N542" s="464" t="s">
        <v>3084</v>
      </c>
      <c r="O542" s="465">
        <v>140.0</v>
      </c>
      <c r="P542" s="464" t="s">
        <v>3084</v>
      </c>
      <c r="Q542" s="475"/>
      <c r="R542" s="476"/>
      <c r="S542" s="476"/>
      <c r="T542" s="573">
        <v>2.0</v>
      </c>
      <c r="U542" s="465"/>
      <c r="V542" s="465"/>
    </row>
    <row r="543" ht="15.0" customHeight="1">
      <c r="A543" s="463">
        <f t="shared" ref="A543:A581" si="12">A542+1</f>
        <v>2</v>
      </c>
      <c r="B543" s="464" t="s">
        <v>4810</v>
      </c>
      <c r="C543" s="465" t="s">
        <v>4811</v>
      </c>
      <c r="D543" s="464" t="s">
        <v>4812</v>
      </c>
      <c r="E543" s="464" t="s">
        <v>79</v>
      </c>
      <c r="F543" s="464" t="s">
        <v>4808</v>
      </c>
      <c r="G543" s="80" t="str">
        <f>VLOOKUP(F543,'01. TH'!$B:$E,3,0)</f>
        <v>#N/A</v>
      </c>
      <c r="H543" s="463" t="s">
        <v>4809</v>
      </c>
      <c r="I543" s="475"/>
      <c r="J543" s="467"/>
      <c r="K543" s="463" t="s">
        <v>1661</v>
      </c>
      <c r="L543" s="467"/>
      <c r="M543" s="476"/>
      <c r="N543" s="464" t="s">
        <v>3084</v>
      </c>
      <c r="O543" s="465">
        <v>140.0</v>
      </c>
      <c r="P543" s="464" t="s">
        <v>3084</v>
      </c>
      <c r="Q543" s="475"/>
      <c r="R543" s="476"/>
      <c r="S543" s="476"/>
      <c r="T543" s="573">
        <v>2.0</v>
      </c>
      <c r="U543" s="465"/>
      <c r="V543" s="465"/>
    </row>
    <row r="544" ht="15.0" customHeight="1">
      <c r="A544" s="463">
        <f t="shared" si="12"/>
        <v>3</v>
      </c>
      <c r="B544" s="464" t="s">
        <v>4813</v>
      </c>
      <c r="C544" s="465">
        <v>2.82102260096E11</v>
      </c>
      <c r="D544" s="464" t="s">
        <v>4814</v>
      </c>
      <c r="E544" s="464" t="s">
        <v>79</v>
      </c>
      <c r="F544" s="464" t="s">
        <v>4815</v>
      </c>
      <c r="G544" s="80" t="str">
        <f>VLOOKUP(F544,'01. TH'!$B:$E,3,0)</f>
        <v>#N/A</v>
      </c>
      <c r="H544" s="463" t="s">
        <v>4809</v>
      </c>
      <c r="I544" s="475"/>
      <c r="J544" s="467"/>
      <c r="K544" s="463" t="s">
        <v>1661</v>
      </c>
      <c r="L544" s="467"/>
      <c r="M544" s="476"/>
      <c r="N544" s="464" t="s">
        <v>3084</v>
      </c>
      <c r="O544" s="465" t="s">
        <v>4816</v>
      </c>
      <c r="P544" s="464" t="s">
        <v>3084</v>
      </c>
      <c r="Q544" s="475"/>
      <c r="R544" s="476"/>
      <c r="S544" s="476"/>
      <c r="T544" s="573">
        <v>3.0</v>
      </c>
      <c r="U544" s="465"/>
      <c r="V544" s="465"/>
    </row>
    <row r="545" ht="15.0" customHeight="1">
      <c r="A545" s="463">
        <f t="shared" si="12"/>
        <v>4</v>
      </c>
      <c r="B545" s="464" t="s">
        <v>4817</v>
      </c>
      <c r="C545" s="465">
        <v>2.81903220106E11</v>
      </c>
      <c r="D545" s="464" t="s">
        <v>4818</v>
      </c>
      <c r="E545" s="464" t="s">
        <v>79</v>
      </c>
      <c r="F545" s="464" t="s">
        <v>4815</v>
      </c>
      <c r="G545" s="80" t="str">
        <f>VLOOKUP(F545,'01. TH'!$B:$E,3,0)</f>
        <v>#N/A</v>
      </c>
      <c r="H545" s="463" t="s">
        <v>4809</v>
      </c>
      <c r="I545" s="475"/>
      <c r="J545" s="467"/>
      <c r="K545" s="463" t="s">
        <v>1661</v>
      </c>
      <c r="L545" s="467"/>
      <c r="M545" s="476"/>
      <c r="N545" s="464" t="s">
        <v>3084</v>
      </c>
      <c r="O545" s="465" t="s">
        <v>4816</v>
      </c>
      <c r="P545" s="464" t="s">
        <v>3084</v>
      </c>
      <c r="Q545" s="475"/>
      <c r="R545" s="476"/>
      <c r="S545" s="476"/>
      <c r="T545" s="573">
        <v>3.0</v>
      </c>
      <c r="U545" s="465"/>
      <c r="V545" s="465"/>
    </row>
    <row r="546" ht="15.0" customHeight="1">
      <c r="A546" s="463">
        <f t="shared" si="12"/>
        <v>5</v>
      </c>
      <c r="B546" s="464" t="s">
        <v>4819</v>
      </c>
      <c r="C546" s="476"/>
      <c r="D546" s="464" t="s">
        <v>4820</v>
      </c>
      <c r="E546" s="464" t="s">
        <v>79</v>
      </c>
      <c r="F546" s="464" t="s">
        <v>4815</v>
      </c>
      <c r="G546" s="80" t="str">
        <f>VLOOKUP(F546,'01. TH'!$B:$E,3,0)</f>
        <v>#N/A</v>
      </c>
      <c r="H546" s="463" t="s">
        <v>4809</v>
      </c>
      <c r="I546" s="475"/>
      <c r="J546" s="467"/>
      <c r="K546" s="463" t="s">
        <v>1661</v>
      </c>
      <c r="L546" s="467"/>
      <c r="M546" s="476"/>
      <c r="N546" s="464" t="s">
        <v>3084</v>
      </c>
      <c r="O546" s="465" t="s">
        <v>4816</v>
      </c>
      <c r="P546" s="464" t="s">
        <v>3084</v>
      </c>
      <c r="Q546" s="475"/>
      <c r="R546" s="476"/>
      <c r="S546" s="476"/>
      <c r="T546" s="573">
        <v>3.0</v>
      </c>
      <c r="U546" s="465"/>
      <c r="V546" s="465"/>
    </row>
    <row r="547" ht="15.0" customHeight="1">
      <c r="A547" s="463">
        <f t="shared" si="12"/>
        <v>6</v>
      </c>
      <c r="B547" s="464" t="s">
        <v>4821</v>
      </c>
      <c r="C547" s="476"/>
      <c r="D547" s="464" t="s">
        <v>4822</v>
      </c>
      <c r="E547" s="464" t="s">
        <v>79</v>
      </c>
      <c r="F547" s="464" t="s">
        <v>4815</v>
      </c>
      <c r="G547" s="80" t="str">
        <f>VLOOKUP(F547,'01. TH'!$B:$E,3,0)</f>
        <v>#N/A</v>
      </c>
      <c r="H547" s="463" t="s">
        <v>4809</v>
      </c>
      <c r="I547" s="475"/>
      <c r="J547" s="467"/>
      <c r="K547" s="463" t="s">
        <v>1661</v>
      </c>
      <c r="L547" s="467"/>
      <c r="M547" s="476"/>
      <c r="N547" s="464" t="s">
        <v>3084</v>
      </c>
      <c r="O547" s="465" t="s">
        <v>4816</v>
      </c>
      <c r="P547" s="464" t="s">
        <v>3084</v>
      </c>
      <c r="Q547" s="475"/>
      <c r="R547" s="476"/>
      <c r="S547" s="476"/>
      <c r="T547" s="573">
        <v>3.0</v>
      </c>
      <c r="U547" s="465"/>
      <c r="V547" s="465"/>
    </row>
    <row r="548" ht="15.0" customHeight="1">
      <c r="A548" s="463">
        <f t="shared" si="12"/>
        <v>7</v>
      </c>
      <c r="B548" s="464" t="s">
        <v>4823</v>
      </c>
      <c r="C548" s="465" t="s">
        <v>4824</v>
      </c>
      <c r="D548" s="464" t="s">
        <v>4825</v>
      </c>
      <c r="E548" s="464" t="s">
        <v>79</v>
      </c>
      <c r="F548" s="464" t="s">
        <v>4815</v>
      </c>
      <c r="G548" s="80" t="str">
        <f>VLOOKUP(F548,'01. TH'!$B:$E,3,0)</f>
        <v>#N/A</v>
      </c>
      <c r="H548" s="463" t="s">
        <v>4809</v>
      </c>
      <c r="I548" s="475"/>
      <c r="J548" s="467"/>
      <c r="K548" s="463" t="s">
        <v>1661</v>
      </c>
      <c r="L548" s="467"/>
      <c r="M548" s="476"/>
      <c r="N548" s="464" t="s">
        <v>3084</v>
      </c>
      <c r="O548" s="465" t="s">
        <v>4816</v>
      </c>
      <c r="P548" s="464" t="s">
        <v>3084</v>
      </c>
      <c r="Q548" s="475"/>
      <c r="R548" s="476"/>
      <c r="S548" s="476"/>
      <c r="T548" s="573">
        <v>3.0</v>
      </c>
      <c r="U548" s="465"/>
      <c r="V548" s="465"/>
    </row>
    <row r="549" ht="15.0" customHeight="1">
      <c r="A549" s="463">
        <f t="shared" si="12"/>
        <v>8</v>
      </c>
      <c r="B549" s="464" t="s">
        <v>4826</v>
      </c>
      <c r="C549" s="465" t="s">
        <v>4827</v>
      </c>
      <c r="D549" s="464" t="s">
        <v>4828</v>
      </c>
      <c r="E549" s="464" t="s">
        <v>79</v>
      </c>
      <c r="F549" s="464" t="s">
        <v>4815</v>
      </c>
      <c r="G549" s="80" t="str">
        <f>VLOOKUP(F549,'01. TH'!$B:$E,3,0)</f>
        <v>#N/A</v>
      </c>
      <c r="H549" s="463" t="s">
        <v>4809</v>
      </c>
      <c r="I549" s="475"/>
      <c r="J549" s="467"/>
      <c r="K549" s="463" t="s">
        <v>1661</v>
      </c>
      <c r="L549" s="467"/>
      <c r="M549" s="476"/>
      <c r="N549" s="464" t="s">
        <v>3084</v>
      </c>
      <c r="O549" s="465" t="s">
        <v>4816</v>
      </c>
      <c r="P549" s="464" t="s">
        <v>3084</v>
      </c>
      <c r="Q549" s="475"/>
      <c r="R549" s="476"/>
      <c r="S549" s="476"/>
      <c r="T549" s="573">
        <v>3.0</v>
      </c>
      <c r="U549" s="465"/>
      <c r="V549" s="465"/>
    </row>
    <row r="550" ht="15.0" customHeight="1">
      <c r="A550" s="463">
        <f t="shared" si="12"/>
        <v>9</v>
      </c>
      <c r="B550" s="464" t="s">
        <v>4829</v>
      </c>
      <c r="C550" s="470" t="s">
        <v>4830</v>
      </c>
      <c r="D550" s="464" t="s">
        <v>4831</v>
      </c>
      <c r="E550" s="464" t="s">
        <v>79</v>
      </c>
      <c r="F550" s="464" t="s">
        <v>4815</v>
      </c>
      <c r="G550" s="80" t="str">
        <f>VLOOKUP(F550,'01. TH'!$B:$E,3,0)</f>
        <v>#N/A</v>
      </c>
      <c r="H550" s="463" t="s">
        <v>4809</v>
      </c>
      <c r="I550" s="475"/>
      <c r="J550" s="467"/>
      <c r="K550" s="463" t="s">
        <v>1661</v>
      </c>
      <c r="L550" s="467"/>
      <c r="M550" s="476"/>
      <c r="N550" s="464" t="s">
        <v>3084</v>
      </c>
      <c r="O550" s="465" t="s">
        <v>4816</v>
      </c>
      <c r="P550" s="464" t="s">
        <v>3084</v>
      </c>
      <c r="Q550" s="475"/>
      <c r="R550" s="476"/>
      <c r="S550" s="465">
        <v>2.81906170429E11</v>
      </c>
      <c r="T550" s="573">
        <v>3.0</v>
      </c>
      <c r="U550" s="465"/>
      <c r="V550" s="465"/>
    </row>
    <row r="551" ht="15.0" customHeight="1">
      <c r="A551" s="463">
        <f t="shared" si="12"/>
        <v>10</v>
      </c>
      <c r="B551" s="464" t="s">
        <v>4832</v>
      </c>
      <c r="C551" s="476"/>
      <c r="D551" s="464" t="s">
        <v>4833</v>
      </c>
      <c r="E551" s="464" t="s">
        <v>79</v>
      </c>
      <c r="F551" s="464" t="s">
        <v>4815</v>
      </c>
      <c r="G551" s="80" t="str">
        <f>VLOOKUP(F551,'01. TH'!$B:$E,3,0)</f>
        <v>#N/A</v>
      </c>
      <c r="H551" s="463" t="s">
        <v>4809</v>
      </c>
      <c r="I551" s="475"/>
      <c r="J551" s="467"/>
      <c r="K551" s="463" t="s">
        <v>1661</v>
      </c>
      <c r="L551" s="467"/>
      <c r="M551" s="476"/>
      <c r="N551" s="464" t="s">
        <v>3084</v>
      </c>
      <c r="O551" s="465" t="s">
        <v>4816</v>
      </c>
      <c r="P551" s="464" t="s">
        <v>3084</v>
      </c>
      <c r="Q551" s="475"/>
      <c r="R551" s="476"/>
      <c r="S551" s="476"/>
      <c r="T551" s="573">
        <v>3.0</v>
      </c>
      <c r="U551" s="465"/>
      <c r="V551" s="465"/>
    </row>
    <row r="552" ht="15.0" customHeight="1">
      <c r="A552" s="463">
        <f t="shared" si="12"/>
        <v>11</v>
      </c>
      <c r="B552" s="464" t="s">
        <v>4834</v>
      </c>
      <c r="C552" s="465" t="s">
        <v>4835</v>
      </c>
      <c r="D552" s="464" t="s">
        <v>4837</v>
      </c>
      <c r="E552" s="464" t="s">
        <v>79</v>
      </c>
      <c r="F552" s="467" t="s">
        <v>4838</v>
      </c>
      <c r="G552" s="80" t="str">
        <f>VLOOKUP(F552,'01. TH'!$B:$E,3,0)</f>
        <v>#N/A</v>
      </c>
      <c r="H552" s="463" t="s">
        <v>4809</v>
      </c>
      <c r="I552" s="475"/>
      <c r="J552" s="467"/>
      <c r="K552" s="463" t="s">
        <v>1661</v>
      </c>
      <c r="L552" s="467"/>
      <c r="M552" s="476"/>
      <c r="N552" s="464" t="s">
        <v>3084</v>
      </c>
      <c r="O552" s="465" t="s">
        <v>4839</v>
      </c>
      <c r="P552" s="464" t="s">
        <v>3084</v>
      </c>
      <c r="Q552" s="475"/>
      <c r="R552" s="476"/>
      <c r="S552" s="476" t="s">
        <v>4839</v>
      </c>
      <c r="T552" s="517"/>
      <c r="U552" s="476"/>
      <c r="V552" s="476"/>
    </row>
    <row r="553" ht="15.0" customHeight="1">
      <c r="A553" s="463">
        <f t="shared" si="12"/>
        <v>12</v>
      </c>
      <c r="B553" s="464" t="s">
        <v>4840</v>
      </c>
      <c r="C553" s="465" t="s">
        <v>4841</v>
      </c>
      <c r="D553" s="464" t="s">
        <v>4842</v>
      </c>
      <c r="E553" s="464" t="s">
        <v>79</v>
      </c>
      <c r="F553" s="467" t="s">
        <v>4838</v>
      </c>
      <c r="G553" s="80" t="str">
        <f>VLOOKUP(F553,'01. TH'!$B:$E,3,0)</f>
        <v>#N/A</v>
      </c>
      <c r="H553" s="463" t="s">
        <v>4809</v>
      </c>
      <c r="I553" s="475"/>
      <c r="J553" s="467"/>
      <c r="K553" s="463" t="s">
        <v>1661</v>
      </c>
      <c r="L553" s="467"/>
      <c r="M553" s="476"/>
      <c r="N553" s="464" t="s">
        <v>3084</v>
      </c>
      <c r="O553" s="465" t="s">
        <v>4839</v>
      </c>
      <c r="P553" s="464" t="s">
        <v>3084</v>
      </c>
      <c r="Q553" s="475"/>
      <c r="R553" s="476"/>
      <c r="S553" s="476" t="s">
        <v>4839</v>
      </c>
      <c r="T553" s="517"/>
      <c r="U553" s="476"/>
      <c r="V553" s="476"/>
    </row>
    <row r="554" ht="15.0" customHeight="1">
      <c r="A554" s="463">
        <f t="shared" si="12"/>
        <v>13</v>
      </c>
      <c r="B554" s="464" t="s">
        <v>4843</v>
      </c>
      <c r="C554" s="465" t="s">
        <v>4844</v>
      </c>
      <c r="D554" s="464" t="s">
        <v>4845</v>
      </c>
      <c r="E554" s="464" t="s">
        <v>79</v>
      </c>
      <c r="F554" s="464" t="s">
        <v>4332</v>
      </c>
      <c r="G554" s="80" t="str">
        <f>VLOOKUP(F554,'01. TH'!$B:$E,3,0)</f>
        <v>5500 x 2500 x 2400</v>
      </c>
      <c r="H554" s="463" t="s">
        <v>4809</v>
      </c>
      <c r="I554" s="475"/>
      <c r="J554" s="467"/>
      <c r="K554" s="463" t="s">
        <v>1661</v>
      </c>
      <c r="L554" s="467"/>
      <c r="M554" s="476"/>
      <c r="N554" s="464" t="s">
        <v>3258</v>
      </c>
      <c r="O554" s="476"/>
      <c r="P554" s="464" t="s">
        <v>3260</v>
      </c>
      <c r="Q554" s="475"/>
      <c r="R554" s="476"/>
      <c r="S554" s="476"/>
      <c r="T554" s="517"/>
      <c r="U554" s="476"/>
      <c r="V554" s="476"/>
    </row>
    <row r="555" ht="15.0" customHeight="1">
      <c r="A555" s="463">
        <f t="shared" si="12"/>
        <v>14</v>
      </c>
      <c r="B555" s="464" t="s">
        <v>4846</v>
      </c>
      <c r="C555" s="465" t="s">
        <v>4847</v>
      </c>
      <c r="D555" s="464" t="s">
        <v>4848</v>
      </c>
      <c r="E555" s="464" t="s">
        <v>79</v>
      </c>
      <c r="F555" s="464" t="s">
        <v>4332</v>
      </c>
      <c r="G555" s="80" t="str">
        <f>VLOOKUP(F555,'01. TH'!$B:$E,3,0)</f>
        <v>5500 x 2500 x 2400</v>
      </c>
      <c r="H555" s="463" t="s">
        <v>4809</v>
      </c>
      <c r="I555" s="475"/>
      <c r="J555" s="467"/>
      <c r="K555" s="463" t="s">
        <v>1661</v>
      </c>
      <c r="L555" s="467"/>
      <c r="M555" s="476"/>
      <c r="N555" s="464" t="s">
        <v>3258</v>
      </c>
      <c r="O555" s="476"/>
      <c r="P555" s="464" t="s">
        <v>3260</v>
      </c>
      <c r="Q555" s="475"/>
      <c r="R555" s="476"/>
      <c r="S555" s="476"/>
      <c r="T555" s="517"/>
      <c r="U555" s="476"/>
      <c r="V555" s="476"/>
    </row>
    <row r="556" ht="15.0" customHeight="1">
      <c r="A556" s="463">
        <f t="shared" si="12"/>
        <v>15</v>
      </c>
      <c r="B556" s="464" t="s">
        <v>4849</v>
      </c>
      <c r="C556" s="465" t="s">
        <v>4850</v>
      </c>
      <c r="D556" s="464" t="s">
        <v>4851</v>
      </c>
      <c r="E556" s="464" t="s">
        <v>79</v>
      </c>
      <c r="F556" s="464" t="s">
        <v>4332</v>
      </c>
      <c r="G556" s="80" t="str">
        <f>VLOOKUP(F556,'01. TH'!$B:$E,3,0)</f>
        <v>5500 x 2500 x 2400</v>
      </c>
      <c r="H556" s="463" t="s">
        <v>4809</v>
      </c>
      <c r="I556" s="463" t="s">
        <v>4852</v>
      </c>
      <c r="J556" s="467"/>
      <c r="K556" s="463" t="s">
        <v>1661</v>
      </c>
      <c r="L556" s="128"/>
      <c r="M556" s="464" t="s">
        <v>3581</v>
      </c>
      <c r="N556" s="464" t="s">
        <v>3258</v>
      </c>
      <c r="O556" s="476"/>
      <c r="P556" s="464" t="s">
        <v>3260</v>
      </c>
      <c r="Q556" s="475"/>
      <c r="R556" s="465" t="s">
        <v>4853</v>
      </c>
      <c r="S556" s="476"/>
      <c r="T556" s="517"/>
      <c r="U556" s="476"/>
      <c r="V556" s="476"/>
    </row>
    <row r="557" ht="15.0" customHeight="1">
      <c r="A557" s="463">
        <f t="shared" si="12"/>
        <v>16</v>
      </c>
      <c r="B557" s="464" t="s">
        <v>4854</v>
      </c>
      <c r="C557" s="465" t="s">
        <v>4855</v>
      </c>
      <c r="D557" s="464" t="s">
        <v>4856</v>
      </c>
      <c r="E557" s="464" t="s">
        <v>79</v>
      </c>
      <c r="F557" s="464" t="s">
        <v>4332</v>
      </c>
      <c r="G557" s="80" t="str">
        <f>VLOOKUP(F557,'01. TH'!$B:$E,3,0)</f>
        <v>5500 x 2500 x 2400</v>
      </c>
      <c r="H557" s="463" t="s">
        <v>4809</v>
      </c>
      <c r="I557" s="463" t="s">
        <v>4852</v>
      </c>
      <c r="J557" s="467"/>
      <c r="K557" s="463" t="s">
        <v>1661</v>
      </c>
      <c r="L557" s="467"/>
      <c r="M557" s="464" t="s">
        <v>3581</v>
      </c>
      <c r="N557" s="464" t="s">
        <v>3258</v>
      </c>
      <c r="O557" s="476"/>
      <c r="P557" s="464" t="s">
        <v>3260</v>
      </c>
      <c r="Q557" s="475"/>
      <c r="R557" s="465" t="s">
        <v>4853</v>
      </c>
      <c r="S557" s="476"/>
      <c r="T557" s="517"/>
      <c r="U557" s="476"/>
      <c r="V557" s="476"/>
    </row>
    <row r="558" ht="15.0" customHeight="1">
      <c r="A558" s="463">
        <f t="shared" si="12"/>
        <v>17</v>
      </c>
      <c r="B558" s="464" t="s">
        <v>4857</v>
      </c>
      <c r="C558" s="465"/>
      <c r="D558" s="515" t="s">
        <v>4858</v>
      </c>
      <c r="E558" s="464" t="s">
        <v>79</v>
      </c>
      <c r="F558" s="464" t="s">
        <v>4332</v>
      </c>
      <c r="G558" s="80"/>
      <c r="H558" s="463"/>
      <c r="I558" s="475"/>
      <c r="J558" s="467"/>
      <c r="K558" s="463"/>
      <c r="L558" s="467"/>
      <c r="M558" s="464" t="s">
        <v>3581</v>
      </c>
      <c r="N558" s="464" t="s">
        <v>3258</v>
      </c>
      <c r="O558" s="476"/>
      <c r="P558" s="464" t="s">
        <v>3260</v>
      </c>
      <c r="Q558" s="475"/>
      <c r="R558" s="465" t="s">
        <v>4853</v>
      </c>
      <c r="S558" s="476"/>
      <c r="T558" s="517"/>
      <c r="U558" s="476"/>
      <c r="V558" s="476"/>
    </row>
    <row r="559" ht="15.0" customHeight="1">
      <c r="A559" s="463">
        <f t="shared" si="12"/>
        <v>18</v>
      </c>
      <c r="B559" s="464" t="s">
        <v>4859</v>
      </c>
      <c r="C559" s="465"/>
      <c r="D559" s="515" t="s">
        <v>4860</v>
      </c>
      <c r="E559" s="464" t="s">
        <v>79</v>
      </c>
      <c r="F559" s="464" t="s">
        <v>4332</v>
      </c>
      <c r="G559" s="80"/>
      <c r="H559" s="463"/>
      <c r="I559" s="475"/>
      <c r="J559" s="467"/>
      <c r="K559" s="463"/>
      <c r="L559" s="467"/>
      <c r="M559" s="464" t="s">
        <v>3581</v>
      </c>
      <c r="N559" s="464" t="s">
        <v>3258</v>
      </c>
      <c r="O559" s="476"/>
      <c r="P559" s="464" t="s">
        <v>3260</v>
      </c>
      <c r="Q559" s="475"/>
      <c r="R559" s="465" t="s">
        <v>4853</v>
      </c>
      <c r="S559" s="476"/>
      <c r="T559" s="517"/>
      <c r="U559" s="476"/>
      <c r="V559" s="476"/>
    </row>
    <row r="560" ht="15.0" customHeight="1">
      <c r="A560" s="463">
        <f t="shared" si="12"/>
        <v>19</v>
      </c>
      <c r="B560" s="464" t="s">
        <v>4861</v>
      </c>
      <c r="C560" s="465"/>
      <c r="D560" s="515" t="s">
        <v>4862</v>
      </c>
      <c r="E560" s="464" t="s">
        <v>79</v>
      </c>
      <c r="F560" s="464" t="s">
        <v>4332</v>
      </c>
      <c r="G560" s="80"/>
      <c r="H560" s="463"/>
      <c r="I560" s="475"/>
      <c r="J560" s="467"/>
      <c r="K560" s="463"/>
      <c r="L560" s="467"/>
      <c r="M560" s="464" t="s">
        <v>3581</v>
      </c>
      <c r="N560" s="464" t="s">
        <v>3258</v>
      </c>
      <c r="O560" s="476"/>
      <c r="P560" s="464" t="s">
        <v>3260</v>
      </c>
      <c r="Q560" s="475"/>
      <c r="R560" s="465" t="s">
        <v>4853</v>
      </c>
      <c r="S560" s="476"/>
      <c r="T560" s="517"/>
      <c r="U560" s="476"/>
      <c r="V560" s="476"/>
    </row>
    <row r="561" ht="15.0" customHeight="1">
      <c r="A561" s="463">
        <f t="shared" si="12"/>
        <v>20</v>
      </c>
      <c r="B561" s="464" t="s">
        <v>4863</v>
      </c>
      <c r="C561" s="465"/>
      <c r="D561" s="515" t="s">
        <v>4864</v>
      </c>
      <c r="E561" s="464" t="s">
        <v>79</v>
      </c>
      <c r="F561" s="464" t="s">
        <v>4332</v>
      </c>
      <c r="G561" s="80"/>
      <c r="H561" s="463"/>
      <c r="I561" s="475"/>
      <c r="J561" s="467"/>
      <c r="K561" s="463"/>
      <c r="L561" s="467"/>
      <c r="M561" s="464" t="s">
        <v>3581</v>
      </c>
      <c r="N561" s="464" t="s">
        <v>3258</v>
      </c>
      <c r="O561" s="476"/>
      <c r="P561" s="464" t="s">
        <v>3260</v>
      </c>
      <c r="Q561" s="475"/>
      <c r="R561" s="465" t="s">
        <v>4853</v>
      </c>
      <c r="S561" s="476"/>
      <c r="T561" s="517"/>
      <c r="U561" s="476"/>
      <c r="V561" s="476"/>
    </row>
    <row r="562" ht="15.0" customHeight="1">
      <c r="A562" s="463">
        <f t="shared" si="12"/>
        <v>21</v>
      </c>
      <c r="B562" s="464" t="s">
        <v>4865</v>
      </c>
      <c r="C562" s="465" t="s">
        <v>4866</v>
      </c>
      <c r="D562" s="464" t="s">
        <v>4867</v>
      </c>
      <c r="E562" s="464" t="s">
        <v>79</v>
      </c>
      <c r="F562" s="464" t="s">
        <v>4868</v>
      </c>
      <c r="G562" s="80" t="str">
        <f>VLOOKUP(F562,'01. TH'!$B:$E,3,0)</f>
        <v>1x1x1</v>
      </c>
      <c r="H562" s="463" t="s">
        <v>4809</v>
      </c>
      <c r="I562" s="475"/>
      <c r="J562" s="467"/>
      <c r="K562" s="463" t="s">
        <v>1661</v>
      </c>
      <c r="L562" s="467"/>
      <c r="M562" s="476"/>
      <c r="N562" s="464" t="s">
        <v>3258</v>
      </c>
      <c r="O562" s="476"/>
      <c r="P562" s="464" t="s">
        <v>3260</v>
      </c>
      <c r="Q562" s="475"/>
      <c r="R562" s="476"/>
      <c r="S562" s="476"/>
      <c r="T562" s="517"/>
      <c r="U562" s="476"/>
      <c r="V562" s="476"/>
    </row>
    <row r="563" ht="15.0" customHeight="1">
      <c r="A563" s="463">
        <f t="shared" si="12"/>
        <v>22</v>
      </c>
      <c r="B563" s="464" t="s">
        <v>4869</v>
      </c>
      <c r="C563" s="465" t="s">
        <v>4870</v>
      </c>
      <c r="D563" s="464" t="s">
        <v>4871</v>
      </c>
      <c r="E563" s="464" t="s">
        <v>79</v>
      </c>
      <c r="F563" s="464" t="s">
        <v>4872</v>
      </c>
      <c r="G563" s="80" t="str">
        <f>VLOOKUP(F563,'01. TH'!$B:$E,3,0)</f>
        <v>3x2.1x2.1</v>
      </c>
      <c r="H563" s="463" t="s">
        <v>4809</v>
      </c>
      <c r="I563" s="475"/>
      <c r="J563" s="467"/>
      <c r="K563" s="463" t="s">
        <v>1661</v>
      </c>
      <c r="L563" s="467"/>
      <c r="M563" s="476"/>
      <c r="N563" s="464" t="s">
        <v>3258</v>
      </c>
      <c r="O563" s="476"/>
      <c r="P563" s="464" t="s">
        <v>3260</v>
      </c>
      <c r="Q563" s="475"/>
      <c r="R563" s="476"/>
      <c r="S563" s="476"/>
      <c r="T563" s="517"/>
      <c r="U563" s="476"/>
      <c r="V563" s="476"/>
    </row>
    <row r="564" ht="15.0" customHeight="1">
      <c r="A564" s="463">
        <f t="shared" si="12"/>
        <v>23</v>
      </c>
      <c r="B564" s="464" t="s">
        <v>4873</v>
      </c>
      <c r="C564" s="465" t="s">
        <v>4874</v>
      </c>
      <c r="D564" s="464" t="s">
        <v>4875</v>
      </c>
      <c r="E564" s="464" t="s">
        <v>79</v>
      </c>
      <c r="F564" s="464" t="s">
        <v>4872</v>
      </c>
      <c r="G564" s="80" t="str">
        <f>VLOOKUP(F564,'01. TH'!$B:$E,3,0)</f>
        <v>3x2.1x2.1</v>
      </c>
      <c r="H564" s="463" t="s">
        <v>4809</v>
      </c>
      <c r="I564" s="475"/>
      <c r="J564" s="467"/>
      <c r="K564" s="463" t="s">
        <v>1661</v>
      </c>
      <c r="L564" s="467"/>
      <c r="M564" s="476"/>
      <c r="N564" s="464" t="s">
        <v>3258</v>
      </c>
      <c r="O564" s="476"/>
      <c r="P564" s="464" t="s">
        <v>3260</v>
      </c>
      <c r="Q564" s="475"/>
      <c r="R564" s="476"/>
      <c r="S564" s="476"/>
      <c r="T564" s="517"/>
      <c r="U564" s="476"/>
      <c r="V564" s="476"/>
    </row>
    <row r="565" ht="15.0" customHeight="1">
      <c r="A565" s="463">
        <f t="shared" si="12"/>
        <v>24</v>
      </c>
      <c r="B565" s="464" t="s">
        <v>4876</v>
      </c>
      <c r="C565" s="467"/>
      <c r="D565" s="464" t="s">
        <v>4877</v>
      </c>
      <c r="E565" s="464" t="s">
        <v>79</v>
      </c>
      <c r="F565" s="464" t="s">
        <v>4872</v>
      </c>
      <c r="G565" s="80" t="str">
        <f>VLOOKUP(F565,'01. TH'!$B:$E,3,0)</f>
        <v>3x2.1x2.1</v>
      </c>
      <c r="H565" s="463" t="s">
        <v>4809</v>
      </c>
      <c r="I565" s="493">
        <v>45636.0</v>
      </c>
      <c r="J565" s="467"/>
      <c r="K565" s="463" t="s">
        <v>1661</v>
      </c>
      <c r="L565" s="467"/>
      <c r="M565" s="128"/>
      <c r="N565" s="464" t="s">
        <v>3258</v>
      </c>
      <c r="O565" s="476"/>
      <c r="P565" s="464" t="s">
        <v>3260</v>
      </c>
      <c r="Q565" s="463">
        <v>2024.0</v>
      </c>
      <c r="R565" s="465" t="s">
        <v>4878</v>
      </c>
      <c r="S565" s="465" t="s">
        <v>4879</v>
      </c>
      <c r="T565" s="517"/>
      <c r="U565" s="476"/>
      <c r="V565" s="476"/>
    </row>
    <row r="566" ht="15.0" customHeight="1">
      <c r="A566" s="463">
        <f t="shared" si="12"/>
        <v>25</v>
      </c>
      <c r="B566" s="584" t="s">
        <v>4880</v>
      </c>
      <c r="C566" s="467"/>
      <c r="D566" s="464" t="s">
        <v>4881</v>
      </c>
      <c r="E566" s="464" t="s">
        <v>79</v>
      </c>
      <c r="F566" s="464" t="s">
        <v>4872</v>
      </c>
      <c r="G566" s="80" t="str">
        <f>VLOOKUP(F566,'01. TH'!$B:$E,3,0)</f>
        <v>3x2.1x2.1</v>
      </c>
      <c r="H566" s="463" t="s">
        <v>4809</v>
      </c>
      <c r="I566" s="463" t="s">
        <v>3673</v>
      </c>
      <c r="J566" s="467"/>
      <c r="K566" s="463" t="s">
        <v>1661</v>
      </c>
      <c r="L566" s="467"/>
      <c r="M566" s="476"/>
      <c r="N566" s="464" t="s">
        <v>3258</v>
      </c>
      <c r="O566" s="476"/>
      <c r="P566" s="464" t="s">
        <v>3260</v>
      </c>
      <c r="Q566" s="463">
        <v>2024.0</v>
      </c>
      <c r="R566" s="465" t="s">
        <v>4882</v>
      </c>
      <c r="S566" s="476"/>
      <c r="T566" s="517"/>
      <c r="U566" s="476"/>
      <c r="V566" s="476"/>
    </row>
    <row r="567" ht="15.0" customHeight="1">
      <c r="A567" s="463">
        <f t="shared" si="12"/>
        <v>26</v>
      </c>
      <c r="B567" s="584" t="s">
        <v>4883</v>
      </c>
      <c r="C567" s="467" t="s">
        <v>4884</v>
      </c>
      <c r="D567" s="464" t="s">
        <v>4885</v>
      </c>
      <c r="E567" s="464" t="s">
        <v>79</v>
      </c>
      <c r="F567" s="464" t="s">
        <v>3899</v>
      </c>
      <c r="G567" s="80" t="str">
        <f>VLOOKUP(F567,'01. TH'!$B:$E,3,0)</f>
        <v/>
      </c>
      <c r="H567" s="463" t="s">
        <v>4809</v>
      </c>
      <c r="I567" s="475"/>
      <c r="J567" s="467"/>
      <c r="K567" s="463" t="s">
        <v>1661</v>
      </c>
      <c r="L567" s="467"/>
      <c r="M567" s="476"/>
      <c r="N567" s="464" t="s">
        <v>3084</v>
      </c>
      <c r="O567" s="465" t="s">
        <v>4886</v>
      </c>
      <c r="P567" s="464" t="s">
        <v>3084</v>
      </c>
      <c r="Q567" s="475"/>
      <c r="R567" s="464"/>
      <c r="S567" s="476"/>
      <c r="T567" s="517"/>
      <c r="U567" s="476"/>
      <c r="V567" s="476"/>
    </row>
    <row r="568" ht="15.0" customHeight="1">
      <c r="A568" s="463">
        <f t="shared" si="12"/>
        <v>27</v>
      </c>
      <c r="B568" s="584" t="s">
        <v>4887</v>
      </c>
      <c r="C568" s="467"/>
      <c r="D568" s="464" t="s">
        <v>4888</v>
      </c>
      <c r="E568" s="464" t="s">
        <v>79</v>
      </c>
      <c r="F568" s="464" t="s">
        <v>3899</v>
      </c>
      <c r="G568" s="80" t="str">
        <f>VLOOKUP(F568,'01. TH'!$B:$E,3,0)</f>
        <v/>
      </c>
      <c r="H568" s="463" t="s">
        <v>4809</v>
      </c>
      <c r="I568" s="475"/>
      <c r="J568" s="467"/>
      <c r="K568" s="463" t="s">
        <v>1661</v>
      </c>
      <c r="L568" s="467"/>
      <c r="M568" s="476"/>
      <c r="N568" s="464" t="s">
        <v>3084</v>
      </c>
      <c r="O568" s="465" t="s">
        <v>4275</v>
      </c>
      <c r="P568" s="464" t="s">
        <v>3084</v>
      </c>
      <c r="Q568" s="475"/>
      <c r="R568" s="464"/>
      <c r="S568" s="476"/>
      <c r="T568" s="517"/>
      <c r="U568" s="476"/>
      <c r="V568" s="476"/>
    </row>
    <row r="569" ht="15.0" customHeight="1">
      <c r="A569" s="463">
        <f t="shared" si="12"/>
        <v>28</v>
      </c>
      <c r="B569" s="584" t="s">
        <v>4889</v>
      </c>
      <c r="C569" s="467" t="s">
        <v>4890</v>
      </c>
      <c r="D569" s="464" t="s">
        <v>4891</v>
      </c>
      <c r="E569" s="464" t="s">
        <v>79</v>
      </c>
      <c r="F569" s="464" t="s">
        <v>3899</v>
      </c>
      <c r="G569" s="80" t="str">
        <f>VLOOKUP(F569,'01. TH'!$B:$E,3,0)</f>
        <v/>
      </c>
      <c r="H569" s="463" t="s">
        <v>4809</v>
      </c>
      <c r="I569" s="475"/>
      <c r="J569" s="467"/>
      <c r="K569" s="463" t="s">
        <v>1661</v>
      </c>
      <c r="L569" s="475"/>
      <c r="M569" s="476" t="s">
        <v>4892</v>
      </c>
      <c r="N569" s="464" t="s">
        <v>3084</v>
      </c>
      <c r="O569" s="465" t="s">
        <v>4886</v>
      </c>
      <c r="P569" s="464" t="s">
        <v>3084</v>
      </c>
      <c r="Q569" s="475"/>
      <c r="R569" s="464"/>
      <c r="S569" s="476"/>
      <c r="T569" s="517"/>
      <c r="U569" s="476"/>
      <c r="V569" s="476"/>
    </row>
    <row r="570" ht="15.0" customHeight="1">
      <c r="A570" s="463">
        <f t="shared" si="12"/>
        <v>29</v>
      </c>
      <c r="B570" s="584" t="s">
        <v>4893</v>
      </c>
      <c r="C570" s="467" t="s">
        <v>4894</v>
      </c>
      <c r="D570" s="464" t="s">
        <v>4895</v>
      </c>
      <c r="E570" s="464" t="s">
        <v>79</v>
      </c>
      <c r="F570" s="464" t="s">
        <v>3899</v>
      </c>
      <c r="G570" s="80" t="str">
        <f>VLOOKUP(F570,'01. TH'!$B:$E,3,0)</f>
        <v/>
      </c>
      <c r="H570" s="463" t="s">
        <v>4809</v>
      </c>
      <c r="I570" s="475"/>
      <c r="J570" s="467"/>
      <c r="K570" s="463" t="s">
        <v>1661</v>
      </c>
      <c r="L570" s="475"/>
      <c r="M570" s="476"/>
      <c r="N570" s="464" t="s">
        <v>3084</v>
      </c>
      <c r="O570" s="465" t="s">
        <v>4886</v>
      </c>
      <c r="P570" s="464" t="s">
        <v>3084</v>
      </c>
      <c r="Q570" s="475"/>
      <c r="R570" s="464"/>
      <c r="S570" s="476"/>
      <c r="T570" s="517"/>
      <c r="U570" s="476"/>
      <c r="V570" s="476"/>
    </row>
    <row r="571" ht="15.0" customHeight="1">
      <c r="A571" s="463">
        <f t="shared" si="12"/>
        <v>30</v>
      </c>
      <c r="B571" s="584" t="s">
        <v>4896</v>
      </c>
      <c r="C571" s="467" t="s">
        <v>4897</v>
      </c>
      <c r="D571" s="464" t="s">
        <v>4898</v>
      </c>
      <c r="E571" s="464" t="s">
        <v>79</v>
      </c>
      <c r="F571" s="464" t="s">
        <v>3899</v>
      </c>
      <c r="G571" s="80" t="str">
        <f>VLOOKUP(F571,'01. TH'!$B:$E,3,0)</f>
        <v/>
      </c>
      <c r="H571" s="463" t="s">
        <v>4809</v>
      </c>
      <c r="I571" s="475"/>
      <c r="J571" s="467"/>
      <c r="K571" s="463" t="s">
        <v>1661</v>
      </c>
      <c r="L571" s="475"/>
      <c r="M571" s="476"/>
      <c r="N571" s="464" t="s">
        <v>3084</v>
      </c>
      <c r="O571" s="465" t="s">
        <v>4886</v>
      </c>
      <c r="P571" s="464" t="s">
        <v>3084</v>
      </c>
      <c r="Q571" s="475"/>
      <c r="R571" s="464"/>
      <c r="S571" s="476"/>
      <c r="T571" s="517"/>
      <c r="U571" s="476"/>
      <c r="V571" s="476"/>
    </row>
    <row r="572" ht="15.0" customHeight="1">
      <c r="A572" s="463">
        <f t="shared" si="12"/>
        <v>31</v>
      </c>
      <c r="B572" s="584" t="s">
        <v>4899</v>
      </c>
      <c r="C572" s="467"/>
      <c r="D572" s="467" t="s">
        <v>4900</v>
      </c>
      <c r="E572" s="464" t="s">
        <v>79</v>
      </c>
      <c r="F572" s="464" t="s">
        <v>4436</v>
      </c>
      <c r="G572" s="80" t="str">
        <f>VLOOKUP(F572,'01. TH'!$B:$E,3,0)</f>
        <v>#N/A</v>
      </c>
      <c r="H572" s="463" t="s">
        <v>4809</v>
      </c>
      <c r="I572" s="475" t="s">
        <v>3623</v>
      </c>
      <c r="J572" s="467"/>
      <c r="K572" s="463" t="s">
        <v>1661</v>
      </c>
      <c r="L572" s="475"/>
      <c r="M572" s="476"/>
      <c r="N572" s="464" t="s">
        <v>4437</v>
      </c>
      <c r="O572" s="476" t="s">
        <v>4438</v>
      </c>
      <c r="P572" s="467" t="s">
        <v>148</v>
      </c>
      <c r="Q572" s="475">
        <v>2024.0</v>
      </c>
      <c r="R572" s="476" t="s">
        <v>4901</v>
      </c>
      <c r="S572" s="465">
        <v>14290.0</v>
      </c>
      <c r="T572" s="482">
        <v>0.3</v>
      </c>
      <c r="U572" s="464" t="s">
        <v>4439</v>
      </c>
      <c r="V572" s="465"/>
    </row>
    <row r="573" ht="15.0" customHeight="1">
      <c r="A573" s="463">
        <f t="shared" si="12"/>
        <v>32</v>
      </c>
      <c r="B573" s="584" t="s">
        <v>4902</v>
      </c>
      <c r="C573" s="467"/>
      <c r="D573" s="467" t="s">
        <v>4900</v>
      </c>
      <c r="E573" s="464" t="s">
        <v>79</v>
      </c>
      <c r="F573" s="464" t="s">
        <v>4436</v>
      </c>
      <c r="G573" s="80" t="str">
        <f>VLOOKUP(F573,'01. TH'!$B:$E,3,0)</f>
        <v>#N/A</v>
      </c>
      <c r="H573" s="463" t="s">
        <v>4809</v>
      </c>
      <c r="I573" s="466">
        <v>45572.0</v>
      </c>
      <c r="J573" s="467"/>
      <c r="K573" s="463" t="s">
        <v>1661</v>
      </c>
      <c r="L573" s="475"/>
      <c r="M573" s="476"/>
      <c r="N573" s="464" t="s">
        <v>4437</v>
      </c>
      <c r="O573" s="476" t="s">
        <v>4438</v>
      </c>
      <c r="P573" s="467" t="s">
        <v>148</v>
      </c>
      <c r="Q573" s="475">
        <v>2024.0</v>
      </c>
      <c r="R573" s="476" t="s">
        <v>4901</v>
      </c>
      <c r="S573" s="465">
        <v>630745.0</v>
      </c>
      <c r="T573" s="482">
        <v>0.3</v>
      </c>
      <c r="U573" s="464" t="s">
        <v>4439</v>
      </c>
      <c r="V573" s="465"/>
    </row>
    <row r="574" ht="15.0" customHeight="1">
      <c r="A574" s="463">
        <f t="shared" si="12"/>
        <v>33</v>
      </c>
      <c r="B574" s="464" t="s">
        <v>4903</v>
      </c>
      <c r="C574" s="464" t="s">
        <v>4904</v>
      </c>
      <c r="D574" s="464" t="s">
        <v>4905</v>
      </c>
      <c r="E574" s="464" t="s">
        <v>79</v>
      </c>
      <c r="F574" s="464" t="s">
        <v>3558</v>
      </c>
      <c r="G574" s="80" t="str">
        <f>VLOOKUP(F574,'01. TH'!$B:$E,3,0)</f>
        <v/>
      </c>
      <c r="H574" s="463" t="s">
        <v>4809</v>
      </c>
      <c r="I574" s="463" t="s">
        <v>4906</v>
      </c>
      <c r="J574" s="464"/>
      <c r="K574" s="463" t="s">
        <v>1661</v>
      </c>
      <c r="L574" s="463" t="s">
        <v>4907</v>
      </c>
      <c r="M574" s="465"/>
      <c r="N574" s="464" t="s">
        <v>3084</v>
      </c>
      <c r="O574" s="465" t="s">
        <v>3559</v>
      </c>
      <c r="P574" s="464" t="s">
        <v>3260</v>
      </c>
      <c r="Q574" s="475"/>
      <c r="R574" s="476"/>
      <c r="S574" s="476"/>
      <c r="T574" s="517"/>
      <c r="U574" s="476"/>
      <c r="V574" s="476"/>
    </row>
    <row r="575" ht="15.0" customHeight="1">
      <c r="A575" s="463">
        <f t="shared" si="12"/>
        <v>34</v>
      </c>
      <c r="B575" s="464" t="s">
        <v>4908</v>
      </c>
      <c r="C575" s="464"/>
      <c r="D575" s="464" t="s">
        <v>4909</v>
      </c>
      <c r="E575" s="464" t="s">
        <v>79</v>
      </c>
      <c r="F575" s="464" t="s">
        <v>4910</v>
      </c>
      <c r="G575" s="80" t="str">
        <f>VLOOKUP(F575,'01. TH'!$B:$E,3,0)</f>
        <v>#N/A</v>
      </c>
      <c r="H575" s="463" t="s">
        <v>4809</v>
      </c>
      <c r="I575" s="463" t="s">
        <v>4911</v>
      </c>
      <c r="J575" s="464"/>
      <c r="K575" s="463" t="s">
        <v>1661</v>
      </c>
      <c r="L575" s="463"/>
      <c r="M575" s="465" t="s">
        <v>4705</v>
      </c>
      <c r="N575" s="464" t="s">
        <v>3258</v>
      </c>
      <c r="O575" s="465" t="s">
        <v>4912</v>
      </c>
      <c r="P575" s="464" t="s">
        <v>4913</v>
      </c>
      <c r="Q575" s="463">
        <v>2024.0</v>
      </c>
      <c r="R575" s="465" t="s">
        <v>4914</v>
      </c>
      <c r="S575" s="476"/>
      <c r="T575" s="517"/>
      <c r="U575" s="476"/>
      <c r="V575" s="476"/>
    </row>
    <row r="576" ht="15.0" customHeight="1">
      <c r="A576" s="463">
        <f t="shared" si="12"/>
        <v>35</v>
      </c>
      <c r="B576" s="464" t="s">
        <v>4915</v>
      </c>
      <c r="C576" s="464"/>
      <c r="D576" s="464" t="s">
        <v>4916</v>
      </c>
      <c r="E576" s="464" t="s">
        <v>79</v>
      </c>
      <c r="F576" s="464" t="s">
        <v>4917</v>
      </c>
      <c r="G576" s="80" t="str">
        <f>VLOOKUP(F576,'01. TH'!$B:$E,3,0)</f>
        <v>#N/A</v>
      </c>
      <c r="H576" s="463" t="s">
        <v>4809</v>
      </c>
      <c r="I576" s="463" t="s">
        <v>4911</v>
      </c>
      <c r="J576" s="464"/>
      <c r="K576" s="463" t="s">
        <v>1661</v>
      </c>
      <c r="L576" s="463"/>
      <c r="M576" s="465" t="s">
        <v>4705</v>
      </c>
      <c r="N576" s="464" t="s">
        <v>3258</v>
      </c>
      <c r="O576" s="465" t="s">
        <v>4918</v>
      </c>
      <c r="P576" s="464" t="s">
        <v>4913</v>
      </c>
      <c r="Q576" s="463">
        <v>2024.0</v>
      </c>
      <c r="R576" s="465" t="s">
        <v>4919</v>
      </c>
      <c r="S576" s="476"/>
      <c r="T576" s="517"/>
      <c r="U576" s="476"/>
      <c r="V576" s="476"/>
    </row>
    <row r="577" ht="15.0" customHeight="1">
      <c r="A577" s="463">
        <f t="shared" si="12"/>
        <v>36</v>
      </c>
      <c r="B577" s="464" t="s">
        <v>4920</v>
      </c>
      <c r="C577" s="464"/>
      <c r="D577" s="464" t="s">
        <v>4921</v>
      </c>
      <c r="E577" s="464" t="s">
        <v>79</v>
      </c>
      <c r="F577" s="464" t="s">
        <v>4922</v>
      </c>
      <c r="G577" s="80" t="str">
        <f>VLOOKUP(F577,'01. TH'!$B:$E,3,0)</f>
        <v>5400 x 2000 x 2500</v>
      </c>
      <c r="H577" s="463" t="s">
        <v>4809</v>
      </c>
      <c r="I577" s="463" t="s">
        <v>4911</v>
      </c>
      <c r="J577" s="464"/>
      <c r="K577" s="463" t="s">
        <v>1661</v>
      </c>
      <c r="L577" s="463"/>
      <c r="M577" s="465" t="s">
        <v>4705</v>
      </c>
      <c r="N577" s="464" t="s">
        <v>3258</v>
      </c>
      <c r="O577" s="465" t="s">
        <v>4912</v>
      </c>
      <c r="P577" s="464" t="s">
        <v>4913</v>
      </c>
      <c r="Q577" s="463">
        <v>2024.0</v>
      </c>
      <c r="R577" s="465" t="s">
        <v>4923</v>
      </c>
      <c r="S577" s="476"/>
      <c r="T577" s="517"/>
      <c r="U577" s="476"/>
      <c r="V577" s="476"/>
    </row>
    <row r="578" ht="15.0" customHeight="1">
      <c r="A578" s="463">
        <f t="shared" si="12"/>
        <v>37</v>
      </c>
      <c r="B578" s="464" t="s">
        <v>4924</v>
      </c>
      <c r="C578" s="464"/>
      <c r="D578" s="464" t="s">
        <v>4925</v>
      </c>
      <c r="E578" s="464" t="s">
        <v>79</v>
      </c>
      <c r="F578" s="464" t="s">
        <v>4926</v>
      </c>
      <c r="G578" s="80" t="str">
        <f>VLOOKUP(F578,'01. TH'!$B:$E,3,0)</f>
        <v>2300 x 650 x 1050 </v>
      </c>
      <c r="H578" s="463" t="s">
        <v>4809</v>
      </c>
      <c r="I578" s="463" t="s">
        <v>4590</v>
      </c>
      <c r="J578" s="464"/>
      <c r="K578" s="463" t="s">
        <v>1661</v>
      </c>
      <c r="L578" s="463"/>
      <c r="M578" s="465" t="s">
        <v>4705</v>
      </c>
      <c r="N578" s="464" t="s">
        <v>3258</v>
      </c>
      <c r="O578" s="465" t="s">
        <v>4927</v>
      </c>
      <c r="P578" s="464" t="s">
        <v>3260</v>
      </c>
      <c r="Q578" s="463">
        <v>2024.0</v>
      </c>
      <c r="R578" s="465" t="s">
        <v>4928</v>
      </c>
      <c r="S578" s="476"/>
      <c r="T578" s="517"/>
      <c r="U578" s="476"/>
      <c r="V578" s="476"/>
    </row>
    <row r="579" ht="15.0" customHeight="1">
      <c r="A579" s="463">
        <f t="shared" si="12"/>
        <v>38</v>
      </c>
      <c r="B579" s="464" t="s">
        <v>4929</v>
      </c>
      <c r="C579" s="464" t="s">
        <v>4930</v>
      </c>
      <c r="D579" s="464" t="s">
        <v>4931</v>
      </c>
      <c r="E579" s="464" t="s">
        <v>79</v>
      </c>
      <c r="F579" s="464" t="s">
        <v>3812</v>
      </c>
      <c r="G579" s="80" t="str">
        <f>VLOOKUP(F579,'01. TH'!$B:$E,3,0)</f>
        <v/>
      </c>
      <c r="H579" s="463" t="s">
        <v>4809</v>
      </c>
      <c r="I579" s="463" t="s">
        <v>3813</v>
      </c>
      <c r="J579" s="467"/>
      <c r="K579" s="463" t="s">
        <v>1661</v>
      </c>
      <c r="L579" s="483" t="s">
        <v>4932</v>
      </c>
      <c r="M579" s="465" t="s">
        <v>336</v>
      </c>
      <c r="N579" s="464" t="s">
        <v>3814</v>
      </c>
      <c r="O579" s="465" t="s">
        <v>4933</v>
      </c>
      <c r="P579" s="464" t="s">
        <v>3175</v>
      </c>
      <c r="Q579" s="48">
        <v>2024.0</v>
      </c>
      <c r="R579" s="476"/>
      <c r="S579" s="465">
        <v>2.02400390001E11</v>
      </c>
      <c r="T579" s="469"/>
      <c r="U579" s="467"/>
      <c r="V579" s="467"/>
    </row>
    <row r="580" ht="15.0" customHeight="1">
      <c r="A580" s="463">
        <f t="shared" si="12"/>
        <v>39</v>
      </c>
      <c r="B580" s="464" t="s">
        <v>4934</v>
      </c>
      <c r="C580" s="464" t="s">
        <v>3741</v>
      </c>
      <c r="D580" s="464" t="s">
        <v>3846</v>
      </c>
      <c r="E580" s="464" t="s">
        <v>79</v>
      </c>
      <c r="F580" s="467" t="s">
        <v>3739</v>
      </c>
      <c r="G580" s="80" t="str">
        <f>VLOOKUP(F580,'01. TH'!$B:$E,3,0)</f>
        <v>1070 x 2310 x 1300</v>
      </c>
      <c r="H580" s="463" t="s">
        <v>4809</v>
      </c>
      <c r="I580" s="463" t="s">
        <v>4935</v>
      </c>
      <c r="J580" s="467"/>
      <c r="K580" s="463" t="s">
        <v>1661</v>
      </c>
      <c r="L580" s="463" t="s">
        <v>4936</v>
      </c>
      <c r="M580" s="476"/>
      <c r="N580" s="464" t="s">
        <v>3084</v>
      </c>
      <c r="O580" s="465" t="s">
        <v>3527</v>
      </c>
      <c r="P580" s="464" t="s">
        <v>3084</v>
      </c>
      <c r="Q580" s="475"/>
      <c r="R580" s="476"/>
      <c r="S580" s="476"/>
      <c r="T580" s="517"/>
      <c r="U580" s="476"/>
      <c r="V580" s="476"/>
    </row>
    <row r="581" ht="15.0" customHeight="1">
      <c r="A581" s="463">
        <f t="shared" si="12"/>
        <v>40</v>
      </c>
      <c r="B581" s="464" t="s">
        <v>4937</v>
      </c>
      <c r="C581" s="464"/>
      <c r="D581" s="464" t="s">
        <v>4938</v>
      </c>
      <c r="E581" s="464" t="s">
        <v>79</v>
      </c>
      <c r="F581" s="464" t="s">
        <v>4939</v>
      </c>
      <c r="G581" s="80"/>
      <c r="H581" s="463" t="s">
        <v>4809</v>
      </c>
      <c r="I581" s="463" t="s">
        <v>4940</v>
      </c>
      <c r="J581" s="467"/>
      <c r="K581" s="463" t="s">
        <v>1661</v>
      </c>
      <c r="L581" s="463"/>
      <c r="M581" s="465" t="s">
        <v>4705</v>
      </c>
      <c r="N581" s="585" t="s">
        <v>3258</v>
      </c>
      <c r="O581" s="131" t="s">
        <v>4941</v>
      </c>
      <c r="P581" s="131">
        <v>2026.0</v>
      </c>
      <c r="Q581" s="586" t="s">
        <v>4942</v>
      </c>
      <c r="R581" s="587" t="s">
        <v>4943</v>
      </c>
      <c r="S581" s="476"/>
      <c r="T581" s="517"/>
      <c r="U581" s="476"/>
      <c r="V581" s="476"/>
    </row>
    <row r="582" ht="15.0" customHeight="1">
      <c r="A582" s="463"/>
      <c r="B582" s="464"/>
      <c r="C582" s="464"/>
      <c r="D582" s="464"/>
      <c r="E582" s="467"/>
      <c r="F582" s="464"/>
      <c r="G582" s="80"/>
      <c r="H582" s="463"/>
      <c r="I582" s="463"/>
      <c r="J582" s="467"/>
      <c r="K582" s="463"/>
      <c r="L582" s="463"/>
      <c r="M582" s="465"/>
      <c r="N582" s="585"/>
      <c r="O582" s="131"/>
      <c r="P582" s="131"/>
      <c r="Q582" s="586"/>
      <c r="R582" s="587"/>
      <c r="S582" s="476"/>
      <c r="T582" s="517"/>
      <c r="U582" s="476"/>
      <c r="V582" s="476"/>
    </row>
    <row r="583" ht="15.0" hidden="1" customHeight="1">
      <c r="A583" s="463"/>
      <c r="B583" s="464"/>
      <c r="C583" s="464" t="s">
        <v>4944</v>
      </c>
      <c r="D583" s="464"/>
      <c r="E583" s="467"/>
      <c r="F583" s="464"/>
      <c r="G583" s="80" t="str">
        <f>VLOOKUP(F583,'01. TH'!$B:$E,3,0)</f>
        <v>#N/A</v>
      </c>
      <c r="H583" s="463"/>
      <c r="I583" s="463"/>
      <c r="J583" s="464"/>
      <c r="K583" s="463"/>
      <c r="L583" s="463"/>
      <c r="M583" s="465"/>
      <c r="N583" s="467"/>
      <c r="O583" s="465"/>
      <c r="P583" s="464"/>
      <c r="Q583" s="463"/>
      <c r="R583" s="465"/>
      <c r="S583" s="476"/>
      <c r="T583" s="517"/>
      <c r="U583" s="476"/>
      <c r="V583" s="476"/>
    </row>
    <row r="584">
      <c r="A584" s="576" t="s">
        <v>4803</v>
      </c>
      <c r="B584" s="577" t="s">
        <v>4945</v>
      </c>
      <c r="C584" s="578">
        <f>COUNTA($B$585:$B$591)</f>
        <v>6</v>
      </c>
      <c r="D584" s="579"/>
      <c r="E584" s="579"/>
      <c r="F584" s="579"/>
      <c r="G584" s="580"/>
      <c r="H584" s="580"/>
      <c r="I584" s="580"/>
      <c r="J584" s="579"/>
      <c r="K584" s="580"/>
      <c r="L584" s="579"/>
      <c r="M584" s="581"/>
      <c r="N584" s="579"/>
      <c r="O584" s="581"/>
      <c r="P584" s="579"/>
      <c r="Q584" s="580"/>
      <c r="R584" s="581"/>
      <c r="S584" s="581"/>
      <c r="T584" s="582"/>
      <c r="U584" s="579"/>
      <c r="V584" s="579"/>
    </row>
    <row r="585" ht="15.0" customHeight="1">
      <c r="A585" s="463">
        <v>1.0</v>
      </c>
      <c r="B585" s="464" t="s">
        <v>4946</v>
      </c>
      <c r="C585" s="464" t="s">
        <v>4947</v>
      </c>
      <c r="D585" s="464" t="s">
        <v>4121</v>
      </c>
      <c r="E585" s="464" t="s">
        <v>79</v>
      </c>
      <c r="F585" s="464" t="s">
        <v>4332</v>
      </c>
      <c r="G585" s="80" t="str">
        <f>VLOOKUP(F585,'01. TH'!$B:$E,3,0)</f>
        <v>5500 x 2500 x 2400</v>
      </c>
      <c r="H585" s="463" t="s">
        <v>4948</v>
      </c>
      <c r="I585" s="466">
        <v>45383.0</v>
      </c>
      <c r="J585" s="464"/>
      <c r="K585" s="463" t="s">
        <v>1661</v>
      </c>
      <c r="L585" s="463"/>
      <c r="M585" s="465"/>
      <c r="N585" s="464" t="s">
        <v>3258</v>
      </c>
      <c r="O585" s="476"/>
      <c r="P585" s="464" t="s">
        <v>3260</v>
      </c>
      <c r="Q585" s="475"/>
      <c r="R585" s="465" t="s">
        <v>4949</v>
      </c>
      <c r="S585" s="476"/>
      <c r="T585" s="517"/>
      <c r="U585" s="476"/>
      <c r="V585" s="476"/>
    </row>
    <row r="586" ht="15.0" customHeight="1">
      <c r="A586" s="463">
        <v>2.0</v>
      </c>
      <c r="B586" s="464" t="s">
        <v>4950</v>
      </c>
      <c r="C586" s="464" t="s">
        <v>4951</v>
      </c>
      <c r="D586" s="464" t="s">
        <v>4952</v>
      </c>
      <c r="E586" s="464" t="s">
        <v>79</v>
      </c>
      <c r="F586" s="464" t="s">
        <v>4332</v>
      </c>
      <c r="G586" s="80" t="str">
        <f>VLOOKUP(F586,'01. TH'!$B:$E,3,0)</f>
        <v>5500 x 2500 x 2400</v>
      </c>
      <c r="H586" s="463" t="s">
        <v>4948</v>
      </c>
      <c r="I586" s="466">
        <v>45383.0</v>
      </c>
      <c r="J586" s="464"/>
      <c r="K586" s="463" t="s">
        <v>1661</v>
      </c>
      <c r="L586" s="463"/>
      <c r="M586" s="465"/>
      <c r="N586" s="464" t="s">
        <v>3258</v>
      </c>
      <c r="O586" s="476"/>
      <c r="P586" s="464" t="s">
        <v>3260</v>
      </c>
      <c r="Q586" s="475"/>
      <c r="R586" s="465" t="s">
        <v>4949</v>
      </c>
      <c r="S586" s="476"/>
      <c r="T586" s="517"/>
      <c r="U586" s="476"/>
      <c r="V586" s="476"/>
    </row>
    <row r="587" ht="15.0" customHeight="1">
      <c r="A587" s="463">
        <v>3.0</v>
      </c>
      <c r="B587" s="464" t="s">
        <v>4953</v>
      </c>
      <c r="C587" s="464"/>
      <c r="D587" s="464" t="s">
        <v>3898</v>
      </c>
      <c r="E587" s="464" t="s">
        <v>79</v>
      </c>
      <c r="F587" s="464" t="s">
        <v>3899</v>
      </c>
      <c r="G587" s="80" t="str">
        <f>VLOOKUP(F587,'01. TH'!$B:$E,3,0)</f>
        <v/>
      </c>
      <c r="H587" s="463" t="s">
        <v>4948</v>
      </c>
      <c r="I587" s="466"/>
      <c r="J587" s="464"/>
      <c r="K587" s="463" t="s">
        <v>1661</v>
      </c>
      <c r="L587" s="463"/>
      <c r="M587" s="465"/>
      <c r="N587" s="464" t="s">
        <v>3084</v>
      </c>
      <c r="O587" s="465" t="s">
        <v>4144</v>
      </c>
      <c r="P587" s="464" t="s">
        <v>3084</v>
      </c>
      <c r="Q587" s="475"/>
      <c r="R587" s="464" t="s">
        <v>4144</v>
      </c>
      <c r="S587" s="476"/>
      <c r="T587" s="517"/>
      <c r="U587" s="476"/>
      <c r="V587" s="476"/>
    </row>
    <row r="588" ht="15.0" customHeight="1">
      <c r="A588" s="463">
        <v>4.0</v>
      </c>
      <c r="B588" s="464" t="s">
        <v>4954</v>
      </c>
      <c r="C588" s="464"/>
      <c r="D588" s="464" t="s">
        <v>3901</v>
      </c>
      <c r="E588" s="464" t="s">
        <v>79</v>
      </c>
      <c r="F588" s="464" t="s">
        <v>3899</v>
      </c>
      <c r="G588" s="80" t="str">
        <f>VLOOKUP(F588,'01. TH'!$B:$E,3,0)</f>
        <v/>
      </c>
      <c r="H588" s="463" t="s">
        <v>4948</v>
      </c>
      <c r="I588" s="466"/>
      <c r="J588" s="464"/>
      <c r="K588" s="463" t="s">
        <v>1661</v>
      </c>
      <c r="L588" s="463"/>
      <c r="M588" s="465"/>
      <c r="N588" s="464" t="s">
        <v>3084</v>
      </c>
      <c r="O588" s="465" t="s">
        <v>4144</v>
      </c>
      <c r="P588" s="464" t="s">
        <v>3084</v>
      </c>
      <c r="Q588" s="475"/>
      <c r="R588" s="464" t="s">
        <v>4144</v>
      </c>
      <c r="S588" s="476"/>
      <c r="T588" s="517"/>
      <c r="U588" s="476"/>
      <c r="V588" s="476"/>
    </row>
    <row r="589" ht="15.0" customHeight="1">
      <c r="A589" s="463">
        <v>5.0</v>
      </c>
      <c r="B589" s="464" t="s">
        <v>4955</v>
      </c>
      <c r="C589" s="464"/>
      <c r="D589" s="464" t="s">
        <v>3898</v>
      </c>
      <c r="E589" s="464" t="s">
        <v>79</v>
      </c>
      <c r="F589" s="464" t="s">
        <v>3899</v>
      </c>
      <c r="G589" s="80" t="str">
        <f>VLOOKUP(F589,'01. TH'!$B:$E,3,0)</f>
        <v/>
      </c>
      <c r="H589" s="463" t="s">
        <v>4948</v>
      </c>
      <c r="I589" s="463"/>
      <c r="J589" s="464"/>
      <c r="K589" s="463" t="s">
        <v>1661</v>
      </c>
      <c r="L589" s="510" t="s">
        <v>4956</v>
      </c>
      <c r="M589" s="465"/>
      <c r="N589" s="464" t="s">
        <v>3084</v>
      </c>
      <c r="O589" s="465" t="s">
        <v>4144</v>
      </c>
      <c r="P589" s="464" t="s">
        <v>3084</v>
      </c>
      <c r="Q589" s="475"/>
      <c r="R589" s="464" t="s">
        <v>4144</v>
      </c>
      <c r="S589" s="476"/>
      <c r="T589" s="517"/>
      <c r="U589" s="476"/>
      <c r="V589" s="476"/>
    </row>
    <row r="590" ht="15.0" customHeight="1">
      <c r="A590" s="463">
        <v>6.0</v>
      </c>
      <c r="B590" s="464" t="s">
        <v>4957</v>
      </c>
      <c r="C590" s="464"/>
      <c r="D590" s="464" t="s">
        <v>3901</v>
      </c>
      <c r="E590" s="464" t="s">
        <v>79</v>
      </c>
      <c r="F590" s="464" t="s">
        <v>3899</v>
      </c>
      <c r="G590" s="80" t="str">
        <f>VLOOKUP(F590,'01. TH'!$B:$E,3,0)</f>
        <v/>
      </c>
      <c r="H590" s="463" t="s">
        <v>4948</v>
      </c>
      <c r="I590" s="463"/>
      <c r="J590" s="464"/>
      <c r="K590" s="463" t="s">
        <v>1661</v>
      </c>
      <c r="L590" s="510" t="s">
        <v>4956</v>
      </c>
      <c r="M590" s="465"/>
      <c r="N590" s="464" t="s">
        <v>3084</v>
      </c>
      <c r="O590" s="465" t="s">
        <v>4144</v>
      </c>
      <c r="P590" s="464" t="s">
        <v>3084</v>
      </c>
      <c r="Q590" s="475"/>
      <c r="R590" s="464" t="s">
        <v>4144</v>
      </c>
      <c r="S590" s="476"/>
      <c r="T590" s="517"/>
      <c r="U590" s="476"/>
      <c r="V590" s="476"/>
    </row>
    <row r="591" ht="15.0" hidden="1" customHeight="1">
      <c r="A591" s="463"/>
      <c r="B591" s="464"/>
      <c r="C591" s="464" t="s">
        <v>4944</v>
      </c>
      <c r="D591" s="464"/>
      <c r="E591" s="467"/>
      <c r="F591" s="464"/>
      <c r="G591" s="80" t="str">
        <f>VLOOKUP(F591,'01. TH'!$B:$E,3,0)</f>
        <v>#N/A</v>
      </c>
      <c r="H591" s="463"/>
      <c r="I591" s="463"/>
      <c r="J591" s="464"/>
      <c r="K591" s="463"/>
      <c r="L591" s="510"/>
      <c r="M591" s="465"/>
      <c r="N591" s="467"/>
      <c r="O591" s="476"/>
      <c r="P591" s="467"/>
      <c r="Q591" s="475"/>
      <c r="R591" s="476"/>
      <c r="S591" s="476"/>
      <c r="T591" s="517"/>
      <c r="U591" s="476"/>
      <c r="V591" s="476"/>
    </row>
    <row r="592">
      <c r="A592" s="447" t="s">
        <v>4958</v>
      </c>
      <c r="B592" s="448" t="s">
        <v>4959</v>
      </c>
      <c r="C592" s="447">
        <f>COUNTA($B$593:$B$761)</f>
        <v>168</v>
      </c>
      <c r="D592" s="589"/>
      <c r="E592" s="589"/>
      <c r="F592" s="589"/>
      <c r="G592" s="451"/>
      <c r="H592" s="589"/>
      <c r="I592" s="590"/>
      <c r="J592" s="589"/>
      <c r="K592" s="590"/>
      <c r="L592" s="589"/>
      <c r="M592" s="591"/>
      <c r="N592" s="589"/>
      <c r="O592" s="591"/>
      <c r="P592" s="589"/>
      <c r="Q592" s="590"/>
      <c r="R592" s="591"/>
      <c r="S592" s="591"/>
      <c r="T592" s="592"/>
      <c r="U592" s="589"/>
      <c r="V592" s="589"/>
    </row>
    <row r="593" ht="15.0" customHeight="1">
      <c r="A593" s="463">
        <v>1.0</v>
      </c>
      <c r="B593" s="468" t="s">
        <v>4960</v>
      </c>
      <c r="C593" s="476"/>
      <c r="D593" s="464" t="s">
        <v>4961</v>
      </c>
      <c r="E593" s="464" t="s">
        <v>3238</v>
      </c>
      <c r="F593" s="467" t="s">
        <v>4962</v>
      </c>
      <c r="G593" s="80" t="str">
        <f>VLOOKUP(F593,'01. TH'!$B:$E,3,0)</f>
        <v>2750x4130 x 4190</v>
      </c>
      <c r="H593" s="475" t="s">
        <v>836</v>
      </c>
      <c r="I593" s="466">
        <v>45292.0</v>
      </c>
      <c r="J593" s="499">
        <v>0.96</v>
      </c>
      <c r="K593" s="510" t="s">
        <v>865</v>
      </c>
      <c r="L593" s="467"/>
      <c r="M593" s="476"/>
      <c r="N593" s="464" t="s">
        <v>4963</v>
      </c>
      <c r="O593" s="465" t="s">
        <v>4964</v>
      </c>
      <c r="P593" s="464" t="s">
        <v>4965</v>
      </c>
      <c r="Q593" s="463">
        <v>2019.0</v>
      </c>
      <c r="R593" s="476"/>
      <c r="S593" s="476"/>
      <c r="T593" s="482">
        <v>10.0</v>
      </c>
      <c r="U593" s="464" t="s">
        <v>4966</v>
      </c>
      <c r="V593" s="467"/>
    </row>
    <row r="594" ht="15.0" customHeight="1">
      <c r="A594" s="463">
        <f t="shared" ref="A594:A602" si="13">A593+1</f>
        <v>2</v>
      </c>
      <c r="B594" s="468" t="s">
        <v>4967</v>
      </c>
      <c r="C594" s="476"/>
      <c r="D594" s="464" t="s">
        <v>4968</v>
      </c>
      <c r="E594" s="464" t="s">
        <v>3238</v>
      </c>
      <c r="F594" s="467" t="s">
        <v>4962</v>
      </c>
      <c r="G594" s="80" t="str">
        <f>VLOOKUP(F594,'01. TH'!$B:$E,3,0)</f>
        <v>2750x4130 x 4190</v>
      </c>
      <c r="H594" s="475" t="s">
        <v>836</v>
      </c>
      <c r="I594" s="466">
        <v>45292.0</v>
      </c>
      <c r="J594" s="499">
        <v>0.96</v>
      </c>
      <c r="K594" s="463" t="s">
        <v>1661</v>
      </c>
      <c r="L594" s="467"/>
      <c r="M594" s="476"/>
      <c r="N594" s="464" t="s">
        <v>4963</v>
      </c>
      <c r="O594" s="465" t="s">
        <v>4964</v>
      </c>
      <c r="P594" s="464" t="s">
        <v>4965</v>
      </c>
      <c r="Q594" s="463">
        <v>2022.0</v>
      </c>
      <c r="R594" s="476"/>
      <c r="S594" s="465" t="s">
        <v>4969</v>
      </c>
      <c r="T594" s="482">
        <v>10.0</v>
      </c>
      <c r="U594" s="464" t="s">
        <v>4966</v>
      </c>
      <c r="V594" s="467"/>
    </row>
    <row r="595" ht="15.0" customHeight="1">
      <c r="A595" s="463">
        <f t="shared" si="13"/>
        <v>3</v>
      </c>
      <c r="B595" s="468" t="s">
        <v>4970</v>
      </c>
      <c r="C595" s="476"/>
      <c r="D595" s="464" t="s">
        <v>4971</v>
      </c>
      <c r="E595" s="464" t="s">
        <v>3238</v>
      </c>
      <c r="F595" s="464" t="s">
        <v>4972</v>
      </c>
      <c r="G595" s="80" t="str">
        <f>VLOOKUP(F595,'01. TH'!$B:$E,3,0)</f>
        <v>2750x4130 x 4190</v>
      </c>
      <c r="H595" s="475" t="s">
        <v>836</v>
      </c>
      <c r="I595" s="463" t="s">
        <v>1950</v>
      </c>
      <c r="J595" s="499"/>
      <c r="K595" s="463" t="s">
        <v>1661</v>
      </c>
      <c r="L595" s="467"/>
      <c r="M595" s="476"/>
      <c r="N595" s="464" t="s">
        <v>4963</v>
      </c>
      <c r="O595" s="465" t="s">
        <v>4973</v>
      </c>
      <c r="P595" s="464" t="s">
        <v>4965</v>
      </c>
      <c r="Q595" s="463">
        <v>2022.0</v>
      </c>
      <c r="R595" s="465" t="s">
        <v>4974</v>
      </c>
      <c r="S595" s="465" t="s">
        <v>4975</v>
      </c>
      <c r="T595" s="482">
        <v>10.0</v>
      </c>
      <c r="U595" s="464" t="s">
        <v>4966</v>
      </c>
      <c r="V595" s="467"/>
    </row>
    <row r="596" ht="15.0" customHeight="1">
      <c r="A596" s="463">
        <f t="shared" si="13"/>
        <v>4</v>
      </c>
      <c r="B596" s="468" t="s">
        <v>4976</v>
      </c>
      <c r="C596" s="476"/>
      <c r="D596" s="464" t="s">
        <v>4977</v>
      </c>
      <c r="E596" s="464" t="s">
        <v>3238</v>
      </c>
      <c r="F596" s="464" t="s">
        <v>4972</v>
      </c>
      <c r="G596" s="80" t="str">
        <f>VLOOKUP(F596,'01. TH'!$B:$E,3,0)</f>
        <v>2750x4130 x 4190</v>
      </c>
      <c r="H596" s="475" t="s">
        <v>836</v>
      </c>
      <c r="I596" s="463" t="s">
        <v>1950</v>
      </c>
      <c r="J596" s="499">
        <v>1.0</v>
      </c>
      <c r="K596" s="463" t="s">
        <v>1661</v>
      </c>
      <c r="L596" s="467"/>
      <c r="M596" s="476"/>
      <c r="N596" s="464" t="s">
        <v>4963</v>
      </c>
      <c r="O596" s="465" t="s">
        <v>4973</v>
      </c>
      <c r="P596" s="464" t="s">
        <v>4965</v>
      </c>
      <c r="Q596" s="463">
        <v>2022.0</v>
      </c>
      <c r="R596" s="465" t="s">
        <v>4974</v>
      </c>
      <c r="S596" s="465" t="s">
        <v>4978</v>
      </c>
      <c r="T596" s="482">
        <v>10.0</v>
      </c>
      <c r="U596" s="464" t="s">
        <v>4966</v>
      </c>
      <c r="V596" s="467"/>
    </row>
    <row r="597" ht="15.0" customHeight="1">
      <c r="A597" s="463">
        <f t="shared" si="13"/>
        <v>5</v>
      </c>
      <c r="B597" s="468" t="s">
        <v>4979</v>
      </c>
      <c r="C597" s="476"/>
      <c r="D597" s="464" t="s">
        <v>4980</v>
      </c>
      <c r="E597" s="464" t="s">
        <v>3238</v>
      </c>
      <c r="F597" s="464" t="s">
        <v>4981</v>
      </c>
      <c r="G597" s="80" t="str">
        <f>VLOOKUP(F597,'01. TH'!$B:$E,3,0)</f>
        <v>2400x2840x3700</v>
      </c>
      <c r="H597" s="475" t="s">
        <v>836</v>
      </c>
      <c r="I597" s="463" t="s">
        <v>4982</v>
      </c>
      <c r="J597" s="499"/>
      <c r="K597" s="463" t="s">
        <v>1661</v>
      </c>
      <c r="L597" s="467"/>
      <c r="M597" s="476"/>
      <c r="N597" s="464" t="s">
        <v>4963</v>
      </c>
      <c r="O597" s="465" t="s">
        <v>4983</v>
      </c>
      <c r="P597" s="464" t="s">
        <v>4965</v>
      </c>
      <c r="Q597" s="463">
        <v>2024.0</v>
      </c>
      <c r="R597" s="465" t="s">
        <v>4974</v>
      </c>
      <c r="S597" s="465" t="s">
        <v>4984</v>
      </c>
      <c r="T597" s="482">
        <v>10.0</v>
      </c>
      <c r="U597" s="464" t="s">
        <v>4966</v>
      </c>
      <c r="V597" s="467"/>
    </row>
    <row r="598" ht="15.0" customHeight="1">
      <c r="A598" s="463">
        <f t="shared" si="13"/>
        <v>6</v>
      </c>
      <c r="B598" s="468" t="s">
        <v>4985</v>
      </c>
      <c r="C598" s="476"/>
      <c r="D598" s="464" t="s">
        <v>4986</v>
      </c>
      <c r="E598" s="464" t="s">
        <v>3238</v>
      </c>
      <c r="F598" s="464" t="s">
        <v>4987</v>
      </c>
      <c r="G598" s="80" t="str">
        <f>VLOOKUP(F598,'01. TH'!$B:$E,3,0)</f>
        <v>2600x4165x4115</v>
      </c>
      <c r="H598" s="475" t="s">
        <v>836</v>
      </c>
      <c r="I598" s="463" t="s">
        <v>4988</v>
      </c>
      <c r="J598" s="499"/>
      <c r="K598" s="463" t="s">
        <v>1661</v>
      </c>
      <c r="L598" s="467"/>
      <c r="M598" s="476"/>
      <c r="N598" s="464" t="s">
        <v>4963</v>
      </c>
      <c r="O598" s="465" t="s">
        <v>4989</v>
      </c>
      <c r="P598" s="464" t="s">
        <v>4965</v>
      </c>
      <c r="Q598" s="463">
        <v>2024.0</v>
      </c>
      <c r="R598" s="465" t="s">
        <v>4974</v>
      </c>
      <c r="S598" s="465" t="s">
        <v>4990</v>
      </c>
      <c r="T598" s="482">
        <v>10.0</v>
      </c>
      <c r="U598" s="464" t="s">
        <v>4966</v>
      </c>
      <c r="V598" s="467"/>
    </row>
    <row r="599" ht="15.0" customHeight="1">
      <c r="A599" s="463">
        <f t="shared" si="13"/>
        <v>7</v>
      </c>
      <c r="B599" s="468" t="s">
        <v>4991</v>
      </c>
      <c r="C599" s="476"/>
      <c r="D599" s="464" t="s">
        <v>4992</v>
      </c>
      <c r="E599" s="464" t="s">
        <v>3238</v>
      </c>
      <c r="F599" s="464" t="s">
        <v>4987</v>
      </c>
      <c r="G599" s="80" t="str">
        <f>VLOOKUP(F599,'01. TH'!$B:$E,3,0)</f>
        <v>2600x4165x4115</v>
      </c>
      <c r="H599" s="475" t="s">
        <v>836</v>
      </c>
      <c r="I599" s="463" t="s">
        <v>4993</v>
      </c>
      <c r="J599" s="499"/>
      <c r="K599" s="463" t="s">
        <v>1661</v>
      </c>
      <c r="L599" s="467"/>
      <c r="M599" s="476"/>
      <c r="N599" s="464" t="s">
        <v>4963</v>
      </c>
      <c r="O599" s="465" t="s">
        <v>4989</v>
      </c>
      <c r="P599" s="464" t="s">
        <v>4965</v>
      </c>
      <c r="Q599" s="463">
        <v>2024.0</v>
      </c>
      <c r="R599" s="465" t="s">
        <v>4974</v>
      </c>
      <c r="S599" s="465" t="s">
        <v>4994</v>
      </c>
      <c r="T599" s="482">
        <v>10.0</v>
      </c>
      <c r="U599" s="464" t="s">
        <v>4966</v>
      </c>
      <c r="V599" s="467"/>
    </row>
    <row r="600" ht="15.0" customHeight="1">
      <c r="A600" s="463">
        <f t="shared" si="13"/>
        <v>8</v>
      </c>
      <c r="B600" s="468" t="s">
        <v>4995</v>
      </c>
      <c r="C600" s="476"/>
      <c r="D600" s="464" t="s">
        <v>4996</v>
      </c>
      <c r="E600" s="464" t="s">
        <v>3238</v>
      </c>
      <c r="F600" s="464" t="s">
        <v>4981</v>
      </c>
      <c r="G600" s="80" t="str">
        <f>VLOOKUP(F600,'01. TH'!$B:$E,3,0)</f>
        <v>2400x2840x3700</v>
      </c>
      <c r="H600" s="475" t="s">
        <v>836</v>
      </c>
      <c r="I600" s="463" t="s">
        <v>2536</v>
      </c>
      <c r="J600" s="499"/>
      <c r="K600" s="463" t="s">
        <v>1661</v>
      </c>
      <c r="L600" s="467"/>
      <c r="M600" s="476"/>
      <c r="N600" s="464" t="s">
        <v>4963</v>
      </c>
      <c r="O600" s="465" t="s">
        <v>4983</v>
      </c>
      <c r="P600" s="464" t="s">
        <v>4965</v>
      </c>
      <c r="Q600" s="463">
        <v>2025.0</v>
      </c>
      <c r="R600" s="465" t="s">
        <v>4974</v>
      </c>
      <c r="S600" s="465" t="s">
        <v>4997</v>
      </c>
      <c r="T600" s="482">
        <v>10.0</v>
      </c>
      <c r="U600" s="464" t="s">
        <v>4966</v>
      </c>
      <c r="V600" s="467"/>
    </row>
    <row r="601" ht="15.0" customHeight="1">
      <c r="A601" s="463">
        <f t="shared" si="13"/>
        <v>9</v>
      </c>
      <c r="B601" s="468" t="s">
        <v>4998</v>
      </c>
      <c r="C601" s="476"/>
      <c r="D601" s="464" t="s">
        <v>4999</v>
      </c>
      <c r="E601" s="464" t="s">
        <v>3238</v>
      </c>
      <c r="F601" s="464" t="s">
        <v>4981</v>
      </c>
      <c r="G601" s="80" t="str">
        <f>VLOOKUP(F601,'01. TH'!$B:$E,3,0)</f>
        <v>2400x2840x3700</v>
      </c>
      <c r="H601" s="475" t="s">
        <v>836</v>
      </c>
      <c r="I601" s="463" t="s">
        <v>2536</v>
      </c>
      <c r="J601" s="499"/>
      <c r="K601" s="463" t="s">
        <v>1661</v>
      </c>
      <c r="L601" s="467"/>
      <c r="M601" s="476"/>
      <c r="N601" s="464" t="s">
        <v>4963</v>
      </c>
      <c r="O601" s="465" t="s">
        <v>4983</v>
      </c>
      <c r="P601" s="464" t="s">
        <v>4965</v>
      </c>
      <c r="Q601" s="463">
        <v>2025.0</v>
      </c>
      <c r="R601" s="465" t="s">
        <v>4974</v>
      </c>
      <c r="S601" s="465" t="s">
        <v>5000</v>
      </c>
      <c r="T601" s="482">
        <v>10.0</v>
      </c>
      <c r="U601" s="464" t="s">
        <v>4966</v>
      </c>
      <c r="V601" s="467"/>
    </row>
    <row r="602" ht="15.0" customHeight="1">
      <c r="A602" s="463">
        <f t="shared" si="13"/>
        <v>10</v>
      </c>
      <c r="B602" s="468" t="s">
        <v>5001</v>
      </c>
      <c r="C602" s="476"/>
      <c r="D602" s="464" t="s">
        <v>5002</v>
      </c>
      <c r="E602" s="464" t="s">
        <v>3238</v>
      </c>
      <c r="F602" s="464" t="s">
        <v>4987</v>
      </c>
      <c r="G602" s="80"/>
      <c r="H602" s="475" t="s">
        <v>836</v>
      </c>
      <c r="I602" s="463" t="s">
        <v>671</v>
      </c>
      <c r="J602" s="499"/>
      <c r="K602" s="463" t="s">
        <v>1661</v>
      </c>
      <c r="L602" s="467"/>
      <c r="M602" s="476"/>
      <c r="N602" s="464" t="s">
        <v>4963</v>
      </c>
      <c r="O602" s="465" t="s">
        <v>4989</v>
      </c>
      <c r="P602" s="464" t="s">
        <v>4965</v>
      </c>
      <c r="Q602" s="463">
        <v>2025.0</v>
      </c>
      <c r="R602" s="465" t="s">
        <v>4974</v>
      </c>
      <c r="S602" s="465" t="s">
        <v>5003</v>
      </c>
      <c r="T602" s="482">
        <v>10.0</v>
      </c>
      <c r="U602" s="464" t="s">
        <v>4966</v>
      </c>
      <c r="V602" s="467"/>
    </row>
    <row r="603" ht="15.0" customHeight="1">
      <c r="A603" s="463"/>
      <c r="B603" s="468" t="s">
        <v>5004</v>
      </c>
      <c r="C603" s="476"/>
      <c r="D603" s="464" t="s">
        <v>5005</v>
      </c>
      <c r="E603" s="464" t="s">
        <v>79</v>
      </c>
      <c r="F603" s="464" t="s">
        <v>5006</v>
      </c>
      <c r="G603" s="80"/>
      <c r="H603" s="475" t="s">
        <v>836</v>
      </c>
      <c r="I603" s="511">
        <v>46219.0</v>
      </c>
      <c r="J603" s="499"/>
      <c r="K603" s="463" t="s">
        <v>1661</v>
      </c>
      <c r="L603" s="467"/>
      <c r="M603" s="476"/>
      <c r="N603" s="464"/>
      <c r="O603" s="465"/>
      <c r="P603" s="464"/>
      <c r="Q603" s="463"/>
      <c r="R603" s="465"/>
      <c r="S603" s="465"/>
      <c r="T603" s="482">
        <v>10.0</v>
      </c>
      <c r="U603" s="464" t="s">
        <v>4966</v>
      </c>
      <c r="V603" s="467"/>
    </row>
    <row r="604" ht="15.0" customHeight="1">
      <c r="A604" s="463">
        <f>A602+1</f>
        <v>11</v>
      </c>
      <c r="B604" s="468" t="s">
        <v>5007</v>
      </c>
      <c r="C604" s="476"/>
      <c r="D604" s="464" t="s">
        <v>5008</v>
      </c>
      <c r="E604" s="464" t="s">
        <v>3238</v>
      </c>
      <c r="F604" s="464" t="s">
        <v>4981</v>
      </c>
      <c r="G604" s="80"/>
      <c r="H604" s="475" t="s">
        <v>836</v>
      </c>
      <c r="I604" s="463" t="s">
        <v>5009</v>
      </c>
      <c r="J604" s="499"/>
      <c r="K604" s="463" t="s">
        <v>1661</v>
      </c>
      <c r="L604" s="467"/>
      <c r="M604" s="476" t="s">
        <v>336</v>
      </c>
      <c r="N604" s="464" t="s">
        <v>4963</v>
      </c>
      <c r="O604" s="465" t="s">
        <v>4965</v>
      </c>
      <c r="P604" s="464">
        <v>2026.0</v>
      </c>
      <c r="Q604" s="463" t="s">
        <v>4983</v>
      </c>
      <c r="R604" s="465" t="s">
        <v>5010</v>
      </c>
      <c r="S604" s="465" t="s">
        <v>5011</v>
      </c>
      <c r="T604" s="482">
        <v>10.0</v>
      </c>
      <c r="U604" s="464" t="s">
        <v>4966</v>
      </c>
      <c r="V604" s="467"/>
    </row>
    <row r="605" ht="15.0" customHeight="1">
      <c r="A605" s="463">
        <f t="shared" ref="A605:A618" si="14">A604+1</f>
        <v>12</v>
      </c>
      <c r="B605" s="468" t="s">
        <v>5012</v>
      </c>
      <c r="C605" s="476"/>
      <c r="D605" s="464" t="s">
        <v>5013</v>
      </c>
      <c r="E605" s="464" t="s">
        <v>3238</v>
      </c>
      <c r="F605" s="464" t="s">
        <v>5014</v>
      </c>
      <c r="G605" s="80"/>
      <c r="H605" s="475" t="s">
        <v>836</v>
      </c>
      <c r="I605" s="463" t="s">
        <v>5009</v>
      </c>
      <c r="J605" s="499"/>
      <c r="K605" s="463" t="s">
        <v>1661</v>
      </c>
      <c r="L605" s="467"/>
      <c r="M605" s="476" t="s">
        <v>336</v>
      </c>
      <c r="N605" s="464" t="s">
        <v>4963</v>
      </c>
      <c r="O605" s="465" t="s">
        <v>4965</v>
      </c>
      <c r="P605" s="464">
        <v>2026.0</v>
      </c>
      <c r="Q605" s="463" t="s">
        <v>5015</v>
      </c>
      <c r="R605" s="465" t="s">
        <v>5016</v>
      </c>
      <c r="S605" s="465" t="s">
        <v>5011</v>
      </c>
      <c r="T605" s="482">
        <v>10.0</v>
      </c>
      <c r="U605" s="464" t="s">
        <v>4966</v>
      </c>
      <c r="V605" s="467"/>
    </row>
    <row r="606" ht="15.0" customHeight="1">
      <c r="A606" s="463">
        <f t="shared" si="14"/>
        <v>13</v>
      </c>
      <c r="B606" s="468" t="s">
        <v>5017</v>
      </c>
      <c r="C606" s="476"/>
      <c r="D606" s="464" t="s">
        <v>5018</v>
      </c>
      <c r="E606" s="464" t="s">
        <v>3238</v>
      </c>
      <c r="F606" s="464" t="s">
        <v>5019</v>
      </c>
      <c r="G606" s="80" t="str">
        <f>VLOOKUP(F606,'01. TH'!$B:$E,3,0)</f>
        <v>700x800x1000</v>
      </c>
      <c r="H606" s="475" t="s">
        <v>836</v>
      </c>
      <c r="I606" s="466">
        <v>45303.0</v>
      </c>
      <c r="J606" s="499"/>
      <c r="K606" s="463" t="s">
        <v>1661</v>
      </c>
      <c r="L606" s="467"/>
      <c r="M606" s="476"/>
      <c r="N606" s="464" t="s">
        <v>4963</v>
      </c>
      <c r="O606" s="465" t="s">
        <v>5020</v>
      </c>
      <c r="P606" s="464" t="s">
        <v>4965</v>
      </c>
      <c r="Q606" s="463">
        <v>2024.0</v>
      </c>
      <c r="R606" s="465" t="s">
        <v>5021</v>
      </c>
      <c r="S606" s="465" t="s">
        <v>5022</v>
      </c>
      <c r="T606" s="469"/>
      <c r="U606" s="467"/>
      <c r="V606" s="467"/>
    </row>
    <row r="607" ht="15.0" customHeight="1">
      <c r="A607" s="463">
        <f t="shared" si="14"/>
        <v>14</v>
      </c>
      <c r="B607" s="471" t="s">
        <v>5023</v>
      </c>
      <c r="C607" s="476"/>
      <c r="D607" s="464" t="s">
        <v>5024</v>
      </c>
      <c r="E607" s="464" t="s">
        <v>3238</v>
      </c>
      <c r="F607" s="467" t="s">
        <v>5025</v>
      </c>
      <c r="G607" s="80" t="str">
        <f>VLOOKUP(F607,'01. TH'!$B:$E,3,0)</f>
        <v>#N/A</v>
      </c>
      <c r="H607" s="475" t="s">
        <v>836</v>
      </c>
      <c r="I607" s="466">
        <v>45292.0</v>
      </c>
      <c r="J607" s="499">
        <v>0.97</v>
      </c>
      <c r="K607" s="463" t="s">
        <v>1661</v>
      </c>
      <c r="L607" s="467"/>
      <c r="M607" s="476"/>
      <c r="N607" s="464" t="s">
        <v>3084</v>
      </c>
      <c r="O607" s="476"/>
      <c r="P607" s="464" t="s">
        <v>3084</v>
      </c>
      <c r="Q607" s="475"/>
      <c r="R607" s="476"/>
      <c r="S607" s="476"/>
      <c r="T607" s="469"/>
      <c r="U607" s="467"/>
      <c r="V607" s="467"/>
    </row>
    <row r="608" ht="30.0" customHeight="1">
      <c r="A608" s="463">
        <f t="shared" si="14"/>
        <v>15</v>
      </c>
      <c r="B608" s="468" t="s">
        <v>5026</v>
      </c>
      <c r="C608" s="476"/>
      <c r="D608" s="464" t="s">
        <v>5027</v>
      </c>
      <c r="E608" s="464" t="s">
        <v>79</v>
      </c>
      <c r="F608" s="470" t="s">
        <v>5028</v>
      </c>
      <c r="G608" s="80" t="str">
        <f>VLOOKUP(F608,'01. TH'!$B:$E,3,0)</f>
        <v>#N/A</v>
      </c>
      <c r="H608" s="475" t="s">
        <v>836</v>
      </c>
      <c r="I608" s="466">
        <v>45391.0</v>
      </c>
      <c r="J608" s="467"/>
      <c r="K608" s="463" t="s">
        <v>1661</v>
      </c>
      <c r="L608" s="467"/>
      <c r="M608" s="465" t="s">
        <v>4705</v>
      </c>
      <c r="N608" s="464" t="s">
        <v>3258</v>
      </c>
      <c r="O608" s="465" t="s">
        <v>5029</v>
      </c>
      <c r="P608" s="464" t="s">
        <v>3260</v>
      </c>
      <c r="Q608" s="463">
        <v>2024.0</v>
      </c>
      <c r="R608" s="573" t="s">
        <v>5030</v>
      </c>
      <c r="S608" s="476"/>
      <c r="T608" s="469"/>
      <c r="U608" s="467"/>
      <c r="V608" s="467"/>
    </row>
    <row r="609" ht="15.0" customHeight="1">
      <c r="A609" s="463">
        <f t="shared" si="14"/>
        <v>16</v>
      </c>
      <c r="B609" s="468" t="s">
        <v>5031</v>
      </c>
      <c r="C609" s="476"/>
      <c r="D609" s="464" t="s">
        <v>5032</v>
      </c>
      <c r="E609" s="464" t="s">
        <v>79</v>
      </c>
      <c r="F609" s="464" t="s">
        <v>5033</v>
      </c>
      <c r="G609" s="80" t="str">
        <f>VLOOKUP(F609,'01. TH'!$B:$E,3,0)</f>
        <v>#N/A</v>
      </c>
      <c r="H609" s="475" t="s">
        <v>836</v>
      </c>
      <c r="I609" s="463" t="s">
        <v>5034</v>
      </c>
      <c r="J609" s="467"/>
      <c r="K609" s="463" t="s">
        <v>1661</v>
      </c>
      <c r="L609" s="467"/>
      <c r="M609" s="465" t="s">
        <v>1938</v>
      </c>
      <c r="N609" s="464" t="s">
        <v>5035</v>
      </c>
      <c r="O609" s="465" t="s">
        <v>5036</v>
      </c>
      <c r="P609" s="468" t="s">
        <v>260</v>
      </c>
      <c r="Q609" s="463">
        <v>2024.0</v>
      </c>
      <c r="R609" s="476"/>
      <c r="S609" s="465" t="s">
        <v>5037</v>
      </c>
      <c r="T609" s="469"/>
      <c r="U609" s="467"/>
      <c r="V609" s="467"/>
    </row>
    <row r="610" ht="15.0" customHeight="1">
      <c r="A610" s="463">
        <f t="shared" si="14"/>
        <v>17</v>
      </c>
      <c r="B610" s="468" t="s">
        <v>5038</v>
      </c>
      <c r="C610" s="476" t="s">
        <v>4915</v>
      </c>
      <c r="D610" s="464" t="s">
        <v>4916</v>
      </c>
      <c r="E610" s="464" t="s">
        <v>79</v>
      </c>
      <c r="F610" s="464" t="s">
        <v>4917</v>
      </c>
      <c r="G610" s="80"/>
      <c r="H610" s="475" t="s">
        <v>836</v>
      </c>
      <c r="I610" s="463">
        <v>46028.0</v>
      </c>
      <c r="J610" s="467"/>
      <c r="K610" s="463" t="s">
        <v>1661</v>
      </c>
      <c r="L610" s="467"/>
      <c r="M610" s="465" t="s">
        <v>4750</v>
      </c>
      <c r="N610" s="464" t="s">
        <v>3258</v>
      </c>
      <c r="O610" s="465" t="s">
        <v>4918</v>
      </c>
      <c r="P610" s="468" t="s">
        <v>4913</v>
      </c>
      <c r="Q610" s="463">
        <v>2024.0</v>
      </c>
      <c r="R610" s="476" t="s">
        <v>4919</v>
      </c>
      <c r="S610" s="465"/>
      <c r="T610" s="469"/>
      <c r="U610" s="467"/>
      <c r="V610" s="467"/>
    </row>
    <row r="611" ht="15.0" customHeight="1">
      <c r="A611" s="463">
        <f t="shared" si="14"/>
        <v>18</v>
      </c>
      <c r="B611" s="468" t="s">
        <v>5039</v>
      </c>
      <c r="C611" s="476"/>
      <c r="D611" s="464" t="s">
        <v>5040</v>
      </c>
      <c r="E611" s="464" t="s">
        <v>79</v>
      </c>
      <c r="F611" s="467" t="s">
        <v>5041</v>
      </c>
      <c r="G611" s="80" t="str">
        <f>VLOOKUP(F611,'01. TH'!$B:$E,3,0)</f>
        <v>#N/A</v>
      </c>
      <c r="H611" s="475" t="s">
        <v>836</v>
      </c>
      <c r="I611" s="475"/>
      <c r="J611" s="467"/>
      <c r="K611" s="463" t="s">
        <v>1661</v>
      </c>
      <c r="L611" s="467"/>
      <c r="M611" s="465" t="s">
        <v>5042</v>
      </c>
      <c r="N611" s="464" t="s">
        <v>3084</v>
      </c>
      <c r="O611" s="465" t="s">
        <v>5043</v>
      </c>
      <c r="P611" s="464" t="s">
        <v>3084</v>
      </c>
      <c r="Q611" s="475"/>
      <c r="R611" s="476"/>
      <c r="S611" s="476"/>
      <c r="T611" s="469"/>
      <c r="U611" s="467"/>
      <c r="V611" s="467"/>
    </row>
    <row r="612" ht="15.0" customHeight="1">
      <c r="A612" s="463">
        <f t="shared" si="14"/>
        <v>19</v>
      </c>
      <c r="B612" s="468" t="s">
        <v>5044</v>
      </c>
      <c r="C612" s="476"/>
      <c r="D612" s="464" t="s">
        <v>5045</v>
      </c>
      <c r="E612" s="464" t="s">
        <v>79</v>
      </c>
      <c r="F612" s="467" t="s">
        <v>5041</v>
      </c>
      <c r="G612" s="80" t="str">
        <f>VLOOKUP(F612,'01. TH'!$B:$E,3,0)</f>
        <v>#N/A</v>
      </c>
      <c r="H612" s="475" t="s">
        <v>836</v>
      </c>
      <c r="I612" s="475"/>
      <c r="J612" s="467"/>
      <c r="K612" s="463" t="s">
        <v>1661</v>
      </c>
      <c r="L612" s="467"/>
      <c r="M612" s="465" t="s">
        <v>5042</v>
      </c>
      <c r="N612" s="464" t="s">
        <v>3084</v>
      </c>
      <c r="O612" s="465" t="s">
        <v>5043</v>
      </c>
      <c r="P612" s="464" t="s">
        <v>3084</v>
      </c>
      <c r="Q612" s="475"/>
      <c r="R612" s="476"/>
      <c r="S612" s="476"/>
      <c r="T612" s="469"/>
      <c r="U612" s="467"/>
      <c r="V612" s="467"/>
    </row>
    <row r="613" ht="15.0" customHeight="1">
      <c r="A613" s="463">
        <f t="shared" si="14"/>
        <v>20</v>
      </c>
      <c r="B613" s="468" t="s">
        <v>5047</v>
      </c>
      <c r="C613" s="476"/>
      <c r="D613" s="464" t="s">
        <v>5048</v>
      </c>
      <c r="E613" s="464" t="s">
        <v>79</v>
      </c>
      <c r="F613" s="467" t="s">
        <v>5041</v>
      </c>
      <c r="G613" s="80" t="str">
        <f>VLOOKUP(F613,'01. TH'!$B:$E,3,0)</f>
        <v>#N/A</v>
      </c>
      <c r="H613" s="475" t="s">
        <v>836</v>
      </c>
      <c r="I613" s="475"/>
      <c r="J613" s="467"/>
      <c r="K613" s="463" t="s">
        <v>1661</v>
      </c>
      <c r="L613" s="467"/>
      <c r="M613" s="465" t="s">
        <v>5042</v>
      </c>
      <c r="N613" s="464" t="s">
        <v>3084</v>
      </c>
      <c r="O613" s="465" t="s">
        <v>5043</v>
      </c>
      <c r="P613" s="464" t="s">
        <v>3084</v>
      </c>
      <c r="Q613" s="475"/>
      <c r="R613" s="476"/>
      <c r="S613" s="476"/>
      <c r="T613" s="469"/>
      <c r="U613" s="467"/>
      <c r="V613" s="467"/>
    </row>
    <row r="614" ht="15.0" customHeight="1">
      <c r="A614" s="463">
        <f t="shared" si="14"/>
        <v>21</v>
      </c>
      <c r="B614" s="468" t="s">
        <v>5049</v>
      </c>
      <c r="C614" s="476"/>
      <c r="D614" s="464" t="s">
        <v>5050</v>
      </c>
      <c r="E614" s="464" t="s">
        <v>79</v>
      </c>
      <c r="F614" s="464" t="s">
        <v>5051</v>
      </c>
      <c r="G614" s="80" t="str">
        <f>VLOOKUP(F614,'01. TH'!$B:$E,3,0)</f>
        <v>#N/A</v>
      </c>
      <c r="H614" s="475" t="s">
        <v>836</v>
      </c>
      <c r="I614" s="475"/>
      <c r="J614" s="467"/>
      <c r="K614" s="463" t="s">
        <v>1661</v>
      </c>
      <c r="L614" s="467"/>
      <c r="M614" s="476"/>
      <c r="N614" s="464" t="s">
        <v>3258</v>
      </c>
      <c r="O614" s="465" t="s">
        <v>5052</v>
      </c>
      <c r="P614" s="464" t="s">
        <v>3260</v>
      </c>
      <c r="Q614" s="475"/>
      <c r="R614" s="476"/>
      <c r="S614" s="476"/>
      <c r="T614" s="469"/>
      <c r="U614" s="467"/>
      <c r="V614" s="467"/>
    </row>
    <row r="615" ht="15.0" customHeight="1">
      <c r="A615" s="463">
        <f t="shared" si="14"/>
        <v>22</v>
      </c>
      <c r="B615" s="468" t="s">
        <v>5053</v>
      </c>
      <c r="C615" s="476"/>
      <c r="D615" s="464" t="s">
        <v>5054</v>
      </c>
      <c r="E615" s="464" t="s">
        <v>79</v>
      </c>
      <c r="F615" s="464" t="s">
        <v>5051</v>
      </c>
      <c r="G615" s="80" t="str">
        <f>VLOOKUP(F615,'01. TH'!$B:$E,3,0)</f>
        <v>#N/A</v>
      </c>
      <c r="H615" s="475" t="s">
        <v>836</v>
      </c>
      <c r="I615" s="475"/>
      <c r="J615" s="467"/>
      <c r="K615" s="463" t="s">
        <v>1661</v>
      </c>
      <c r="L615" s="467"/>
      <c r="M615" s="476"/>
      <c r="N615" s="464" t="s">
        <v>3258</v>
      </c>
      <c r="O615" s="465" t="s">
        <v>5052</v>
      </c>
      <c r="P615" s="464" t="s">
        <v>3260</v>
      </c>
      <c r="Q615" s="475"/>
      <c r="R615" s="476"/>
      <c r="S615" s="476"/>
      <c r="T615" s="469"/>
      <c r="U615" s="467"/>
      <c r="V615" s="467"/>
    </row>
    <row r="616" ht="15.0" customHeight="1">
      <c r="A616" s="463">
        <f t="shared" si="14"/>
        <v>23</v>
      </c>
      <c r="B616" s="468" t="s">
        <v>5055</v>
      </c>
      <c r="C616" s="476"/>
      <c r="D616" s="464" t="s">
        <v>5056</v>
      </c>
      <c r="E616" s="464" t="s">
        <v>79</v>
      </c>
      <c r="F616" s="464" t="s">
        <v>5051</v>
      </c>
      <c r="G616" s="80" t="str">
        <f>VLOOKUP(F616,'01. TH'!$B:$E,3,0)</f>
        <v>#N/A</v>
      </c>
      <c r="H616" s="475" t="s">
        <v>836</v>
      </c>
      <c r="I616" s="475"/>
      <c r="J616" s="467"/>
      <c r="K616" s="463" t="s">
        <v>1661</v>
      </c>
      <c r="L616" s="467"/>
      <c r="M616" s="476"/>
      <c r="N616" s="464" t="s">
        <v>3258</v>
      </c>
      <c r="O616" s="465" t="s">
        <v>5052</v>
      </c>
      <c r="P616" s="464" t="s">
        <v>3260</v>
      </c>
      <c r="Q616" s="475"/>
      <c r="R616" s="476"/>
      <c r="S616" s="476"/>
      <c r="T616" s="469"/>
      <c r="U616" s="467"/>
      <c r="V616" s="467"/>
    </row>
    <row r="617" ht="15.0" customHeight="1">
      <c r="A617" s="463">
        <f t="shared" si="14"/>
        <v>24</v>
      </c>
      <c r="B617" s="468" t="s">
        <v>5057</v>
      </c>
      <c r="C617" s="476"/>
      <c r="D617" s="464" t="s">
        <v>5058</v>
      </c>
      <c r="E617" s="464" t="s">
        <v>79</v>
      </c>
      <c r="F617" s="464" t="s">
        <v>5051</v>
      </c>
      <c r="G617" s="80" t="str">
        <f>VLOOKUP(F617,'01. TH'!$B:$E,3,0)</f>
        <v>#N/A</v>
      </c>
      <c r="H617" s="475" t="s">
        <v>836</v>
      </c>
      <c r="I617" s="475"/>
      <c r="J617" s="467"/>
      <c r="K617" s="463" t="s">
        <v>1661</v>
      </c>
      <c r="L617" s="467"/>
      <c r="M617" s="476"/>
      <c r="N617" s="464" t="s">
        <v>3258</v>
      </c>
      <c r="O617" s="465" t="s">
        <v>5052</v>
      </c>
      <c r="P617" s="464" t="s">
        <v>3260</v>
      </c>
      <c r="Q617" s="475"/>
      <c r="R617" s="476"/>
      <c r="S617" s="476"/>
      <c r="T617" s="469"/>
      <c r="U617" s="467"/>
      <c r="V617" s="467"/>
    </row>
    <row r="618" ht="15.0" customHeight="1">
      <c r="A618" s="463">
        <f t="shared" si="14"/>
        <v>25</v>
      </c>
      <c r="B618" s="468" t="s">
        <v>5059</v>
      </c>
      <c r="C618" s="476"/>
      <c r="D618" s="464" t="s">
        <v>5060</v>
      </c>
      <c r="E618" s="464" t="s">
        <v>79</v>
      </c>
      <c r="F618" s="464" t="s">
        <v>5051</v>
      </c>
      <c r="G618" s="80" t="str">
        <f>VLOOKUP(F618,'01. TH'!$B:$E,3,0)</f>
        <v>#N/A</v>
      </c>
      <c r="H618" s="475" t="s">
        <v>836</v>
      </c>
      <c r="I618" s="475"/>
      <c r="J618" s="467"/>
      <c r="K618" s="463" t="s">
        <v>1661</v>
      </c>
      <c r="L618" s="467"/>
      <c r="M618" s="476"/>
      <c r="N618" s="464" t="s">
        <v>3258</v>
      </c>
      <c r="O618" s="465" t="s">
        <v>5052</v>
      </c>
      <c r="P618" s="464" t="s">
        <v>3260</v>
      </c>
      <c r="Q618" s="475"/>
      <c r="R618" s="476"/>
      <c r="S618" s="476"/>
      <c r="T618" s="469"/>
      <c r="U618" s="467"/>
      <c r="V618" s="467"/>
    </row>
    <row r="619" ht="15.0" customHeight="1">
      <c r="A619" s="463">
        <f>A331+1</f>
        <v>34</v>
      </c>
      <c r="B619" s="468" t="s">
        <v>4760</v>
      </c>
      <c r="C619" s="464" t="s">
        <v>5061</v>
      </c>
      <c r="D619" s="464" t="s">
        <v>5062</v>
      </c>
      <c r="E619" s="464" t="s">
        <v>79</v>
      </c>
      <c r="F619" s="464" t="s">
        <v>4051</v>
      </c>
      <c r="G619" s="80" t="str">
        <f>VLOOKUP(F619,'01. TH'!$B:$E,3,0)</f>
        <v>#N/A</v>
      </c>
      <c r="H619" s="475" t="s">
        <v>1010</v>
      </c>
      <c r="I619" s="466">
        <v>45666.0</v>
      </c>
      <c r="J619" s="467"/>
      <c r="K619" s="463" t="s">
        <v>1661</v>
      </c>
      <c r="L619" s="464"/>
      <c r="M619" s="465"/>
      <c r="N619" s="464" t="s">
        <v>3258</v>
      </c>
      <c r="O619" s="465" t="s">
        <v>4174</v>
      </c>
      <c r="P619" s="464" t="s">
        <v>3260</v>
      </c>
      <c r="Q619" s="463">
        <v>2024.0</v>
      </c>
      <c r="R619" s="465" t="s">
        <v>4179</v>
      </c>
      <c r="S619" s="476"/>
      <c r="T619" s="469"/>
      <c r="U619" s="467"/>
      <c r="V619" s="467"/>
    </row>
    <row r="620" ht="15.0" customHeight="1">
      <c r="A620" s="463">
        <v>22.0</v>
      </c>
      <c r="B620" s="468" t="s">
        <v>5063</v>
      </c>
      <c r="C620" s="476"/>
      <c r="D620" s="464" t="s">
        <v>5064</v>
      </c>
      <c r="E620" s="464" t="s">
        <v>79</v>
      </c>
      <c r="F620" s="464" t="s">
        <v>5065</v>
      </c>
      <c r="G620" s="80" t="str">
        <f>VLOOKUP(F620,'01. TH'!$B:$E,3,0)</f>
        <v>#N/A</v>
      </c>
      <c r="H620" s="475" t="s">
        <v>836</v>
      </c>
      <c r="I620" s="475"/>
      <c r="J620" s="467"/>
      <c r="K620" s="463" t="s">
        <v>1661</v>
      </c>
      <c r="L620" s="467"/>
      <c r="M620" s="476"/>
      <c r="N620" s="464" t="s">
        <v>3258</v>
      </c>
      <c r="O620" s="465" t="s">
        <v>5066</v>
      </c>
      <c r="P620" s="464" t="s">
        <v>3260</v>
      </c>
      <c r="Q620" s="475"/>
      <c r="R620" s="476"/>
      <c r="S620" s="476"/>
      <c r="T620" s="469"/>
      <c r="U620" s="467"/>
      <c r="V620" s="467"/>
    </row>
    <row r="621" ht="15.0" customHeight="1">
      <c r="A621" s="463">
        <f t="shared" ref="A621:A689" si="15">A620+1</f>
        <v>23</v>
      </c>
      <c r="B621" s="468" t="s">
        <v>5067</v>
      </c>
      <c r="C621" s="476"/>
      <c r="D621" s="464" t="s">
        <v>5068</v>
      </c>
      <c r="E621" s="464" t="s">
        <v>79</v>
      </c>
      <c r="F621" s="464" t="s">
        <v>5065</v>
      </c>
      <c r="G621" s="80" t="str">
        <f>VLOOKUP(F621,'01. TH'!$B:$E,3,0)</f>
        <v>#N/A</v>
      </c>
      <c r="H621" s="475" t="s">
        <v>836</v>
      </c>
      <c r="I621" s="475"/>
      <c r="J621" s="467"/>
      <c r="K621" s="463" t="s">
        <v>1661</v>
      </c>
      <c r="L621" s="467"/>
      <c r="M621" s="476"/>
      <c r="N621" s="464" t="s">
        <v>3258</v>
      </c>
      <c r="O621" s="465" t="s">
        <v>5066</v>
      </c>
      <c r="P621" s="464" t="s">
        <v>3260</v>
      </c>
      <c r="Q621" s="475"/>
      <c r="R621" s="476"/>
      <c r="S621" s="476"/>
      <c r="T621" s="469"/>
      <c r="U621" s="467"/>
      <c r="V621" s="467"/>
    </row>
    <row r="622" ht="15.0" customHeight="1">
      <c r="A622" s="463">
        <f t="shared" si="15"/>
        <v>24</v>
      </c>
      <c r="B622" s="471" t="s">
        <v>5069</v>
      </c>
      <c r="C622" s="476"/>
      <c r="D622" s="464" t="s">
        <v>5070</v>
      </c>
      <c r="E622" s="464" t="s">
        <v>79</v>
      </c>
      <c r="F622" s="467" t="s">
        <v>5071</v>
      </c>
      <c r="G622" s="80" t="str">
        <f>VLOOKUP(F622,'01. TH'!$B:$E,3,0)</f>
        <v>#N/A</v>
      </c>
      <c r="H622" s="475" t="s">
        <v>836</v>
      </c>
      <c r="I622" s="475"/>
      <c r="J622" s="467"/>
      <c r="K622" s="463" t="s">
        <v>1661</v>
      </c>
      <c r="L622" s="467"/>
      <c r="M622" s="476"/>
      <c r="N622" s="464" t="s">
        <v>3084</v>
      </c>
      <c r="O622" s="476"/>
      <c r="P622" s="464" t="s">
        <v>3084</v>
      </c>
      <c r="Q622" s="475"/>
      <c r="R622" s="476"/>
      <c r="S622" s="476"/>
      <c r="T622" s="469"/>
      <c r="U622" s="467"/>
      <c r="V622" s="467"/>
    </row>
    <row r="623" ht="15.0" customHeight="1">
      <c r="A623" s="463">
        <f t="shared" si="15"/>
        <v>25</v>
      </c>
      <c r="B623" s="471" t="s">
        <v>5072</v>
      </c>
      <c r="C623" s="476"/>
      <c r="D623" s="464" t="s">
        <v>5073</v>
      </c>
      <c r="E623" s="464" t="s">
        <v>79</v>
      </c>
      <c r="F623" s="467" t="s">
        <v>5071</v>
      </c>
      <c r="G623" s="80" t="str">
        <f>VLOOKUP(F623,'01. TH'!$B:$E,3,0)</f>
        <v>#N/A</v>
      </c>
      <c r="H623" s="475" t="s">
        <v>836</v>
      </c>
      <c r="I623" s="475"/>
      <c r="J623" s="467"/>
      <c r="K623" s="463" t="s">
        <v>1661</v>
      </c>
      <c r="L623" s="467"/>
      <c r="M623" s="476"/>
      <c r="N623" s="464" t="s">
        <v>3084</v>
      </c>
      <c r="O623" s="476"/>
      <c r="P623" s="464" t="s">
        <v>3084</v>
      </c>
      <c r="Q623" s="475"/>
      <c r="R623" s="476"/>
      <c r="S623" s="476"/>
      <c r="T623" s="469"/>
      <c r="U623" s="467"/>
      <c r="V623" s="467"/>
    </row>
    <row r="624" ht="15.0" customHeight="1">
      <c r="A624" s="463">
        <f t="shared" si="15"/>
        <v>26</v>
      </c>
      <c r="B624" s="464" t="s">
        <v>5074</v>
      </c>
      <c r="C624" s="476"/>
      <c r="D624" s="464"/>
      <c r="E624" s="464" t="s">
        <v>79</v>
      </c>
      <c r="F624" s="464" t="s">
        <v>5075</v>
      </c>
      <c r="G624" s="80" t="str">
        <f>VLOOKUP(F624,'01. TH'!$B:$E,3,0)</f>
        <v>1x1x1</v>
      </c>
      <c r="H624" s="475" t="s">
        <v>836</v>
      </c>
      <c r="I624" s="475"/>
      <c r="J624" s="467"/>
      <c r="K624" s="463" t="s">
        <v>1661</v>
      </c>
      <c r="L624" s="467"/>
      <c r="M624" s="476"/>
      <c r="N624" s="464" t="s">
        <v>3258</v>
      </c>
      <c r="O624" s="465" t="s">
        <v>5076</v>
      </c>
      <c r="P624" s="464" t="s">
        <v>3260</v>
      </c>
      <c r="Q624" s="475"/>
      <c r="R624" s="476"/>
      <c r="S624" s="476"/>
      <c r="T624" s="469"/>
      <c r="U624" s="467"/>
      <c r="V624" s="467"/>
    </row>
    <row r="625" ht="15.0" customHeight="1">
      <c r="A625" s="463">
        <f t="shared" si="15"/>
        <v>27</v>
      </c>
      <c r="B625" s="464" t="s">
        <v>5078</v>
      </c>
      <c r="C625" s="476"/>
      <c r="D625" s="464"/>
      <c r="E625" s="464" t="s">
        <v>79</v>
      </c>
      <c r="F625" s="464" t="s">
        <v>5075</v>
      </c>
      <c r="G625" s="80" t="str">
        <f>VLOOKUP(F625,'01. TH'!$B:$E,3,0)</f>
        <v>1x1x1</v>
      </c>
      <c r="H625" s="475" t="s">
        <v>836</v>
      </c>
      <c r="I625" s="475"/>
      <c r="J625" s="467"/>
      <c r="K625" s="463" t="s">
        <v>1661</v>
      </c>
      <c r="L625" s="467"/>
      <c r="M625" s="476"/>
      <c r="N625" s="464" t="s">
        <v>3258</v>
      </c>
      <c r="O625" s="465" t="s">
        <v>5076</v>
      </c>
      <c r="P625" s="464" t="s">
        <v>3260</v>
      </c>
      <c r="Q625" s="475"/>
      <c r="R625" s="476"/>
      <c r="S625" s="476"/>
      <c r="T625" s="469"/>
      <c r="U625" s="467"/>
      <c r="V625" s="467"/>
    </row>
    <row r="626" ht="15.0" customHeight="1">
      <c r="A626" s="463">
        <f t="shared" si="15"/>
        <v>28</v>
      </c>
      <c r="B626" s="464" t="s">
        <v>5079</v>
      </c>
      <c r="C626" s="476"/>
      <c r="D626" s="464"/>
      <c r="E626" s="464" t="s">
        <v>79</v>
      </c>
      <c r="F626" s="464" t="s">
        <v>5075</v>
      </c>
      <c r="G626" s="80" t="str">
        <f>VLOOKUP(F626,'01. TH'!$B:$E,3,0)</f>
        <v>1x1x1</v>
      </c>
      <c r="H626" s="475" t="s">
        <v>836</v>
      </c>
      <c r="I626" s="475"/>
      <c r="J626" s="467"/>
      <c r="K626" s="463" t="s">
        <v>1661</v>
      </c>
      <c r="L626" s="467"/>
      <c r="M626" s="476"/>
      <c r="N626" s="464" t="s">
        <v>3258</v>
      </c>
      <c r="O626" s="465" t="s">
        <v>5076</v>
      </c>
      <c r="P626" s="464" t="s">
        <v>3260</v>
      </c>
      <c r="Q626" s="475"/>
      <c r="R626" s="476"/>
      <c r="S626" s="476"/>
      <c r="T626" s="469"/>
      <c r="U626" s="467"/>
      <c r="V626" s="467"/>
    </row>
    <row r="627" ht="15.0" customHeight="1">
      <c r="A627" s="463">
        <f t="shared" si="15"/>
        <v>29</v>
      </c>
      <c r="B627" s="464" t="s">
        <v>5080</v>
      </c>
      <c r="C627" s="476"/>
      <c r="D627" s="464"/>
      <c r="E627" s="464" t="s">
        <v>79</v>
      </c>
      <c r="F627" s="464" t="s">
        <v>5075</v>
      </c>
      <c r="G627" s="80" t="str">
        <f>VLOOKUP(F627,'01. TH'!$B:$E,3,0)</f>
        <v>1x1x1</v>
      </c>
      <c r="H627" s="475" t="s">
        <v>836</v>
      </c>
      <c r="I627" s="475"/>
      <c r="J627" s="467"/>
      <c r="K627" s="463" t="s">
        <v>1661</v>
      </c>
      <c r="L627" s="467"/>
      <c r="M627" s="476"/>
      <c r="N627" s="464" t="s">
        <v>3258</v>
      </c>
      <c r="O627" s="465" t="s">
        <v>5076</v>
      </c>
      <c r="P627" s="464" t="s">
        <v>3260</v>
      </c>
      <c r="Q627" s="475"/>
      <c r="R627" s="476"/>
      <c r="S627" s="476"/>
      <c r="T627" s="469"/>
      <c r="U627" s="467"/>
      <c r="V627" s="467"/>
    </row>
    <row r="628" ht="15.0" customHeight="1">
      <c r="A628" s="463">
        <f t="shared" si="15"/>
        <v>30</v>
      </c>
      <c r="B628" s="464" t="s">
        <v>5081</v>
      </c>
      <c r="C628" s="465"/>
      <c r="D628" s="464"/>
      <c r="E628" s="464" t="s">
        <v>79</v>
      </c>
      <c r="F628" s="467" t="s">
        <v>5082</v>
      </c>
      <c r="G628" s="80" t="str">
        <f>VLOOKUP(F628,'01. TH'!$B:$E,3,0)</f>
        <v>#N/A</v>
      </c>
      <c r="H628" s="475" t="s">
        <v>836</v>
      </c>
      <c r="I628" s="466"/>
      <c r="J628" s="467"/>
      <c r="K628" s="463" t="s">
        <v>1661</v>
      </c>
      <c r="L628" s="464"/>
      <c r="M628" s="476"/>
      <c r="N628" s="464" t="s">
        <v>3258</v>
      </c>
      <c r="O628" s="476"/>
      <c r="P628" s="464" t="s">
        <v>3260</v>
      </c>
      <c r="Q628" s="475"/>
      <c r="R628" s="476"/>
      <c r="S628" s="476"/>
      <c r="T628" s="469"/>
      <c r="U628" s="467"/>
      <c r="V628" s="467"/>
    </row>
    <row r="629" ht="15.0" customHeight="1">
      <c r="A629" s="463">
        <f t="shared" si="15"/>
        <v>31</v>
      </c>
      <c r="B629" s="464" t="s">
        <v>5083</v>
      </c>
      <c r="C629" s="465" t="s">
        <v>5084</v>
      </c>
      <c r="D629" s="464"/>
      <c r="E629" s="464" t="s">
        <v>79</v>
      </c>
      <c r="F629" s="464" t="s">
        <v>3521</v>
      </c>
      <c r="G629" s="80" t="str">
        <f>VLOOKUP(F629,'01. TH'!$B:$E,3,0)</f>
        <v>1x1x1</v>
      </c>
      <c r="H629" s="475" t="s">
        <v>836</v>
      </c>
      <c r="I629" s="466">
        <v>45545.0</v>
      </c>
      <c r="J629" s="467"/>
      <c r="K629" s="510" t="s">
        <v>865</v>
      </c>
      <c r="L629" s="595" t="s">
        <v>5085</v>
      </c>
      <c r="M629" s="476"/>
      <c r="N629" s="464" t="s">
        <v>3258</v>
      </c>
      <c r="O629" s="465" t="s">
        <v>5086</v>
      </c>
      <c r="P629" s="464" t="s">
        <v>3260</v>
      </c>
      <c r="Q629" s="475"/>
      <c r="R629" s="476"/>
      <c r="S629" s="476"/>
      <c r="T629" s="469"/>
      <c r="U629" s="467"/>
      <c r="V629" s="467"/>
    </row>
    <row r="630" ht="15.0" customHeight="1">
      <c r="A630" s="463">
        <f t="shared" si="15"/>
        <v>32</v>
      </c>
      <c r="B630" s="464" t="s">
        <v>5087</v>
      </c>
      <c r="C630" s="465" t="s">
        <v>5088</v>
      </c>
      <c r="D630" s="464"/>
      <c r="E630" s="464" t="s">
        <v>79</v>
      </c>
      <c r="F630" s="464" t="s">
        <v>3521</v>
      </c>
      <c r="G630" s="80" t="str">
        <f>VLOOKUP(F630,'01. TH'!$B:$E,3,0)</f>
        <v>1x1x1</v>
      </c>
      <c r="H630" s="475" t="s">
        <v>836</v>
      </c>
      <c r="I630" s="466">
        <v>45545.0</v>
      </c>
      <c r="J630" s="467"/>
      <c r="K630" s="510" t="s">
        <v>865</v>
      </c>
      <c r="L630" s="595" t="s">
        <v>5085</v>
      </c>
      <c r="M630" s="476"/>
      <c r="N630" s="464" t="s">
        <v>3258</v>
      </c>
      <c r="O630" s="465" t="s">
        <v>5086</v>
      </c>
      <c r="P630" s="464" t="s">
        <v>3260</v>
      </c>
      <c r="Q630" s="475"/>
      <c r="R630" s="476"/>
      <c r="S630" s="476"/>
      <c r="T630" s="469"/>
      <c r="U630" s="467"/>
      <c r="V630" s="467"/>
    </row>
    <row r="631" ht="15.0" customHeight="1">
      <c r="A631" s="463">
        <f t="shared" si="15"/>
        <v>33</v>
      </c>
      <c r="B631" s="464" t="s">
        <v>5089</v>
      </c>
      <c r="C631" s="465" t="s">
        <v>5090</v>
      </c>
      <c r="D631" s="464"/>
      <c r="E631" s="464" t="s">
        <v>79</v>
      </c>
      <c r="F631" s="464" t="s">
        <v>3521</v>
      </c>
      <c r="G631" s="80" t="str">
        <f>VLOOKUP(F631,'01. TH'!$B:$E,3,0)</f>
        <v>1x1x1</v>
      </c>
      <c r="H631" s="475" t="s">
        <v>836</v>
      </c>
      <c r="I631" s="466">
        <v>45545.0</v>
      </c>
      <c r="J631" s="467"/>
      <c r="K631" s="510" t="s">
        <v>865</v>
      </c>
      <c r="L631" s="595" t="s">
        <v>5091</v>
      </c>
      <c r="M631" s="476"/>
      <c r="N631" s="464" t="s">
        <v>3258</v>
      </c>
      <c r="O631" s="465" t="s">
        <v>5086</v>
      </c>
      <c r="P631" s="464" t="s">
        <v>3260</v>
      </c>
      <c r="Q631" s="475"/>
      <c r="R631" s="476"/>
      <c r="S631" s="476"/>
      <c r="T631" s="469"/>
      <c r="U631" s="467"/>
      <c r="V631" s="467"/>
    </row>
    <row r="632" ht="15.0" customHeight="1">
      <c r="A632" s="463">
        <f t="shared" si="15"/>
        <v>34</v>
      </c>
      <c r="B632" s="464" t="s">
        <v>5092</v>
      </c>
      <c r="C632" s="476"/>
      <c r="D632" s="464" t="s">
        <v>5093</v>
      </c>
      <c r="E632" s="464" t="s">
        <v>79</v>
      </c>
      <c r="F632" s="464" t="s">
        <v>4080</v>
      </c>
      <c r="G632" s="80" t="str">
        <f>VLOOKUP(F632,'01. TH'!$B:$E,3,0)</f>
        <v>1x1x1</v>
      </c>
      <c r="H632" s="475" t="s">
        <v>836</v>
      </c>
      <c r="I632" s="475"/>
      <c r="J632" s="467"/>
      <c r="K632" s="463" t="s">
        <v>1661</v>
      </c>
      <c r="L632" s="467"/>
      <c r="M632" s="476"/>
      <c r="N632" s="464" t="s">
        <v>3258</v>
      </c>
      <c r="O632" s="465" t="s">
        <v>5094</v>
      </c>
      <c r="P632" s="464" t="s">
        <v>3260</v>
      </c>
      <c r="Q632" s="475"/>
      <c r="R632" s="476"/>
      <c r="S632" s="476"/>
      <c r="T632" s="469"/>
      <c r="U632" s="467"/>
      <c r="V632" s="467"/>
    </row>
    <row r="633" ht="15.0" customHeight="1">
      <c r="A633" s="463">
        <f t="shared" si="15"/>
        <v>35</v>
      </c>
      <c r="B633" s="464" t="s">
        <v>5095</v>
      </c>
      <c r="C633" s="476"/>
      <c r="D633" s="464" t="s">
        <v>5096</v>
      </c>
      <c r="E633" s="464" t="s">
        <v>79</v>
      </c>
      <c r="F633" s="464" t="s">
        <v>4080</v>
      </c>
      <c r="G633" s="80" t="str">
        <f>VLOOKUP(F633,'01. TH'!$B:$E,3,0)</f>
        <v>1x1x1</v>
      </c>
      <c r="H633" s="475" t="s">
        <v>836</v>
      </c>
      <c r="I633" s="475"/>
      <c r="J633" s="467"/>
      <c r="K633" s="463" t="s">
        <v>1661</v>
      </c>
      <c r="L633" s="467"/>
      <c r="M633" s="476"/>
      <c r="N633" s="464" t="s">
        <v>3258</v>
      </c>
      <c r="O633" s="465" t="s">
        <v>5094</v>
      </c>
      <c r="P633" s="464" t="s">
        <v>3260</v>
      </c>
      <c r="Q633" s="475"/>
      <c r="R633" s="476"/>
      <c r="S633" s="476"/>
      <c r="T633" s="469"/>
      <c r="U633" s="467"/>
      <c r="V633" s="467"/>
    </row>
    <row r="634" ht="15.0" customHeight="1">
      <c r="A634" s="463">
        <f t="shared" si="15"/>
        <v>36</v>
      </c>
      <c r="B634" s="464" t="s">
        <v>5097</v>
      </c>
      <c r="C634" s="476"/>
      <c r="D634" s="464"/>
      <c r="E634" s="464" t="s">
        <v>79</v>
      </c>
      <c r="F634" s="464" t="s">
        <v>4332</v>
      </c>
      <c r="G634" s="80" t="str">
        <f>VLOOKUP(F634,'01. TH'!$B:$E,3,0)</f>
        <v>5500 x 2500 x 2400</v>
      </c>
      <c r="H634" s="475" t="s">
        <v>836</v>
      </c>
      <c r="I634" s="475"/>
      <c r="J634" s="467"/>
      <c r="K634" s="463" t="s">
        <v>1661</v>
      </c>
      <c r="L634" s="467"/>
      <c r="M634" s="476"/>
      <c r="N634" s="464" t="s">
        <v>3258</v>
      </c>
      <c r="O634" s="465" t="s">
        <v>4335</v>
      </c>
      <c r="P634" s="464" t="s">
        <v>3260</v>
      </c>
      <c r="Q634" s="475"/>
      <c r="R634" s="476"/>
      <c r="S634" s="476"/>
      <c r="T634" s="469"/>
      <c r="U634" s="467"/>
      <c r="V634" s="467"/>
    </row>
    <row r="635" ht="15.0" customHeight="1">
      <c r="A635" s="463">
        <f t="shared" si="15"/>
        <v>37</v>
      </c>
      <c r="B635" s="464" t="s">
        <v>5098</v>
      </c>
      <c r="C635" s="476"/>
      <c r="D635" s="464"/>
      <c r="E635" s="464" t="s">
        <v>79</v>
      </c>
      <c r="F635" s="464" t="s">
        <v>4332</v>
      </c>
      <c r="G635" s="80" t="str">
        <f>VLOOKUP(F635,'01. TH'!$B:$E,3,0)</f>
        <v>5500 x 2500 x 2400</v>
      </c>
      <c r="H635" s="475" t="s">
        <v>836</v>
      </c>
      <c r="I635" s="475"/>
      <c r="J635" s="467"/>
      <c r="K635" s="463" t="s">
        <v>1661</v>
      </c>
      <c r="L635" s="467"/>
      <c r="M635" s="476"/>
      <c r="N635" s="464" t="s">
        <v>3258</v>
      </c>
      <c r="O635" s="465" t="s">
        <v>4335</v>
      </c>
      <c r="P635" s="464" t="s">
        <v>3260</v>
      </c>
      <c r="Q635" s="475"/>
      <c r="R635" s="476"/>
      <c r="S635" s="476"/>
      <c r="T635" s="469"/>
      <c r="U635" s="467"/>
      <c r="V635" s="467"/>
    </row>
    <row r="636" ht="15.0" customHeight="1">
      <c r="A636" s="463">
        <f t="shared" si="15"/>
        <v>38</v>
      </c>
      <c r="B636" s="464" t="s">
        <v>5099</v>
      </c>
      <c r="C636" s="476"/>
      <c r="D636" s="464"/>
      <c r="E636" s="464" t="s">
        <v>79</v>
      </c>
      <c r="F636" s="464" t="s">
        <v>4332</v>
      </c>
      <c r="G636" s="80" t="str">
        <f>VLOOKUP(F636,'01. TH'!$B:$E,3,0)</f>
        <v>5500 x 2500 x 2400</v>
      </c>
      <c r="H636" s="475" t="s">
        <v>836</v>
      </c>
      <c r="I636" s="475"/>
      <c r="J636" s="467"/>
      <c r="K636" s="463" t="s">
        <v>1661</v>
      </c>
      <c r="L636" s="467"/>
      <c r="M636" s="476"/>
      <c r="N636" s="464" t="s">
        <v>3258</v>
      </c>
      <c r="O636" s="465" t="s">
        <v>4335</v>
      </c>
      <c r="P636" s="464" t="s">
        <v>3260</v>
      </c>
      <c r="Q636" s="475"/>
      <c r="R636" s="476"/>
      <c r="S636" s="476"/>
      <c r="T636" s="469"/>
      <c r="U636" s="467"/>
      <c r="V636" s="467"/>
    </row>
    <row r="637" ht="15.0" customHeight="1">
      <c r="A637" s="463">
        <f t="shared" si="15"/>
        <v>39</v>
      </c>
      <c r="B637" s="464" t="s">
        <v>5100</v>
      </c>
      <c r="C637" s="476"/>
      <c r="D637" s="464"/>
      <c r="E637" s="464" t="s">
        <v>79</v>
      </c>
      <c r="F637" s="464" t="s">
        <v>4332</v>
      </c>
      <c r="G637" s="80" t="str">
        <f>VLOOKUP(F637,'01. TH'!$B:$E,3,0)</f>
        <v>5500 x 2500 x 2400</v>
      </c>
      <c r="H637" s="475" t="s">
        <v>836</v>
      </c>
      <c r="I637" s="475"/>
      <c r="J637" s="467"/>
      <c r="K637" s="463" t="s">
        <v>1661</v>
      </c>
      <c r="L637" s="467"/>
      <c r="M637" s="476"/>
      <c r="N637" s="464" t="s">
        <v>3258</v>
      </c>
      <c r="O637" s="465" t="s">
        <v>4335</v>
      </c>
      <c r="P637" s="464" t="s">
        <v>3260</v>
      </c>
      <c r="Q637" s="475"/>
      <c r="R637" s="476"/>
      <c r="S637" s="476"/>
      <c r="T637" s="469"/>
      <c r="U637" s="467"/>
      <c r="V637" s="467"/>
    </row>
    <row r="638" ht="15.0" customHeight="1">
      <c r="A638" s="463">
        <f t="shared" si="15"/>
        <v>40</v>
      </c>
      <c r="B638" s="464" t="s">
        <v>5101</v>
      </c>
      <c r="C638" s="476"/>
      <c r="D638" s="464"/>
      <c r="E638" s="464" t="s">
        <v>79</v>
      </c>
      <c r="F638" s="464" t="s">
        <v>4332</v>
      </c>
      <c r="G638" s="80" t="str">
        <f>VLOOKUP(F638,'01. TH'!$B:$E,3,0)</f>
        <v>5500 x 2500 x 2400</v>
      </c>
      <c r="H638" s="475" t="s">
        <v>836</v>
      </c>
      <c r="I638" s="475"/>
      <c r="J638" s="467"/>
      <c r="K638" s="463" t="s">
        <v>1661</v>
      </c>
      <c r="L638" s="467"/>
      <c r="M638" s="476"/>
      <c r="N638" s="464" t="s">
        <v>3258</v>
      </c>
      <c r="O638" s="465" t="s">
        <v>4335</v>
      </c>
      <c r="P638" s="464" t="s">
        <v>3260</v>
      </c>
      <c r="Q638" s="475"/>
      <c r="R638" s="476"/>
      <c r="S638" s="476"/>
      <c r="T638" s="469"/>
      <c r="U638" s="467"/>
      <c r="V638" s="467"/>
    </row>
    <row r="639" ht="15.0" customHeight="1">
      <c r="A639" s="463">
        <f t="shared" si="15"/>
        <v>41</v>
      </c>
      <c r="B639" s="464" t="s">
        <v>5102</v>
      </c>
      <c r="C639" s="476"/>
      <c r="D639" s="464" t="s">
        <v>4864</v>
      </c>
      <c r="E639" s="464" t="s">
        <v>79</v>
      </c>
      <c r="F639" s="464" t="s">
        <v>4332</v>
      </c>
      <c r="G639" s="80" t="str">
        <f>VLOOKUP(F639,'01. TH'!$B:$E,3,0)</f>
        <v>5500 x 2500 x 2400</v>
      </c>
      <c r="H639" s="475" t="s">
        <v>836</v>
      </c>
      <c r="I639" s="463" t="s">
        <v>5103</v>
      </c>
      <c r="J639" s="467"/>
      <c r="K639" s="463" t="s">
        <v>1661</v>
      </c>
      <c r="L639" s="467"/>
      <c r="M639" s="476"/>
      <c r="N639" s="464" t="s">
        <v>3258</v>
      </c>
      <c r="O639" s="465" t="s">
        <v>4335</v>
      </c>
      <c r="P639" s="464" t="s">
        <v>3260</v>
      </c>
      <c r="Q639" s="463"/>
      <c r="R639" s="465" t="s">
        <v>5104</v>
      </c>
      <c r="S639" s="465" t="s">
        <v>5105</v>
      </c>
      <c r="T639" s="469"/>
      <c r="U639" s="467"/>
      <c r="V639" s="467"/>
    </row>
    <row r="640" ht="15.0" customHeight="1">
      <c r="A640" s="463">
        <f t="shared" si="15"/>
        <v>42</v>
      </c>
      <c r="B640" s="464" t="s">
        <v>5106</v>
      </c>
      <c r="C640" s="476"/>
      <c r="D640" s="464" t="s">
        <v>5107</v>
      </c>
      <c r="E640" s="464" t="s">
        <v>79</v>
      </c>
      <c r="F640" s="464" t="s">
        <v>4922</v>
      </c>
      <c r="G640" s="80" t="str">
        <f>VLOOKUP(F640,'01. TH'!$B:$E,3,0)</f>
        <v>5400 x 2000 x 2500</v>
      </c>
      <c r="H640" s="475" t="s">
        <v>836</v>
      </c>
      <c r="I640" s="466">
        <v>45392.0</v>
      </c>
      <c r="J640" s="467"/>
      <c r="K640" s="463" t="s">
        <v>1661</v>
      </c>
      <c r="L640" s="467"/>
      <c r="M640" s="476"/>
      <c r="N640" s="464" t="s">
        <v>3258</v>
      </c>
      <c r="O640" s="465" t="s">
        <v>4335</v>
      </c>
      <c r="P640" s="464" t="s">
        <v>3260</v>
      </c>
      <c r="Q640" s="463">
        <v>2024.0</v>
      </c>
      <c r="R640" s="465" t="s">
        <v>5109</v>
      </c>
      <c r="S640" s="476"/>
      <c r="T640" s="469"/>
      <c r="U640" s="467"/>
      <c r="V640" s="467"/>
    </row>
    <row r="641" ht="15.0" customHeight="1">
      <c r="A641" s="463">
        <f t="shared" si="15"/>
        <v>43</v>
      </c>
      <c r="B641" s="464" t="s">
        <v>5110</v>
      </c>
      <c r="C641" s="476"/>
      <c r="D641" s="464" t="s">
        <v>5111</v>
      </c>
      <c r="E641" s="464" t="s">
        <v>79</v>
      </c>
      <c r="F641" s="464" t="s">
        <v>3514</v>
      </c>
      <c r="G641" s="80" t="str">
        <f>VLOOKUP(F641,'01. TH'!$B:$E,3,0)</f>
        <v>6.1x2.4x0.9</v>
      </c>
      <c r="H641" s="475" t="s">
        <v>836</v>
      </c>
      <c r="I641" s="475"/>
      <c r="J641" s="467"/>
      <c r="K641" s="463" t="s">
        <v>1661</v>
      </c>
      <c r="L641" s="467"/>
      <c r="M641" s="476"/>
      <c r="N641" s="464" t="s">
        <v>3258</v>
      </c>
      <c r="O641" s="465" t="s">
        <v>5112</v>
      </c>
      <c r="P641" s="464" t="s">
        <v>3260</v>
      </c>
      <c r="Q641" s="475"/>
      <c r="R641" s="476"/>
      <c r="S641" s="476"/>
      <c r="T641" s="469"/>
      <c r="U641" s="467"/>
      <c r="V641" s="467"/>
    </row>
    <row r="642" ht="15.0" customHeight="1">
      <c r="A642" s="463">
        <f t="shared" si="15"/>
        <v>44</v>
      </c>
      <c r="B642" s="464" t="s">
        <v>5113</v>
      </c>
      <c r="C642" s="476"/>
      <c r="D642" s="464" t="s">
        <v>5114</v>
      </c>
      <c r="E642" s="464" t="s">
        <v>79</v>
      </c>
      <c r="F642" s="464" t="s">
        <v>5115</v>
      </c>
      <c r="G642" s="80"/>
      <c r="H642" s="475" t="s">
        <v>836</v>
      </c>
      <c r="I642" s="466">
        <v>46231.0</v>
      </c>
      <c r="J642" s="467"/>
      <c r="K642" s="463" t="s">
        <v>1661</v>
      </c>
      <c r="L642" s="467"/>
      <c r="M642" s="476"/>
      <c r="N642" s="464" t="s">
        <v>3258</v>
      </c>
      <c r="O642" s="465" t="s">
        <v>4941</v>
      </c>
      <c r="P642" s="464">
        <v>2026.0</v>
      </c>
      <c r="Q642" s="463" t="s">
        <v>5116</v>
      </c>
      <c r="R642" s="465"/>
      <c r="S642" s="476"/>
      <c r="T642" s="469"/>
      <c r="U642" s="467"/>
      <c r="V642" s="467"/>
    </row>
    <row r="643" ht="15.0" customHeight="1">
      <c r="A643" s="463">
        <f t="shared" si="15"/>
        <v>45</v>
      </c>
      <c r="B643" s="464" t="s">
        <v>5117</v>
      </c>
      <c r="C643" s="476"/>
      <c r="D643" s="464" t="s">
        <v>5118</v>
      </c>
      <c r="E643" s="464" t="s">
        <v>3238</v>
      </c>
      <c r="F643" s="464" t="s">
        <v>5119</v>
      </c>
      <c r="G643" s="80" t="str">
        <f>VLOOKUP(F643,'01. TH'!$B:$E,3,0)</f>
        <v/>
      </c>
      <c r="H643" s="475" t="s">
        <v>836</v>
      </c>
      <c r="I643" s="463" t="s">
        <v>2184</v>
      </c>
      <c r="J643" s="467"/>
      <c r="K643" s="463" t="s">
        <v>1661</v>
      </c>
      <c r="L643" s="467"/>
      <c r="M643" s="476"/>
      <c r="N643" s="464" t="s">
        <v>5120</v>
      </c>
      <c r="O643" s="465" t="s">
        <v>5121</v>
      </c>
      <c r="P643" s="464" t="s">
        <v>5122</v>
      </c>
      <c r="Q643" s="463">
        <v>2017.0</v>
      </c>
      <c r="R643" s="465" t="s">
        <v>5123</v>
      </c>
      <c r="S643" s="465" t="s">
        <v>5124</v>
      </c>
      <c r="T643" s="469"/>
      <c r="U643" s="467"/>
      <c r="V643" s="467"/>
    </row>
    <row r="644" ht="15.0" customHeight="1">
      <c r="A644" s="463">
        <f t="shared" si="15"/>
        <v>46</v>
      </c>
      <c r="B644" s="464" t="s">
        <v>5125</v>
      </c>
      <c r="C644" s="476"/>
      <c r="D644" s="464" t="s">
        <v>5126</v>
      </c>
      <c r="E644" s="464" t="s">
        <v>3238</v>
      </c>
      <c r="F644" s="464" t="s">
        <v>5127</v>
      </c>
      <c r="G644" s="80" t="str">
        <f>VLOOKUP(F644,'01. TH'!$B:$E,3,0)</f>
        <v/>
      </c>
      <c r="H644" s="475" t="s">
        <v>836</v>
      </c>
      <c r="I644" s="466">
        <v>45692.0</v>
      </c>
      <c r="J644" s="467"/>
      <c r="K644" s="463" t="s">
        <v>1661</v>
      </c>
      <c r="L644" s="467"/>
      <c r="M644" s="476"/>
      <c r="N644" s="464" t="s">
        <v>5120</v>
      </c>
      <c r="O644" s="465" t="s">
        <v>5121</v>
      </c>
      <c r="P644" s="464" t="s">
        <v>5122</v>
      </c>
      <c r="Q644" s="463">
        <v>2025.0</v>
      </c>
      <c r="R644" s="465" t="s">
        <v>5123</v>
      </c>
      <c r="S644" s="465" t="s">
        <v>5128</v>
      </c>
      <c r="T644" s="482">
        <v>5.25</v>
      </c>
      <c r="U644" s="464" t="s">
        <v>5129</v>
      </c>
      <c r="V644" s="467"/>
    </row>
    <row r="645" ht="15.0" customHeight="1">
      <c r="A645" s="463">
        <f t="shared" si="15"/>
        <v>47</v>
      </c>
      <c r="B645" s="464" t="s">
        <v>5130</v>
      </c>
      <c r="C645" s="476"/>
      <c r="D645" s="464" t="s">
        <v>5131</v>
      </c>
      <c r="E645" s="464" t="s">
        <v>3238</v>
      </c>
      <c r="F645" s="464" t="s">
        <v>5127</v>
      </c>
      <c r="G645" s="80" t="str">
        <f>VLOOKUP(F645,'01. TH'!$B:$E,3,0)</f>
        <v/>
      </c>
      <c r="H645" s="475" t="s">
        <v>836</v>
      </c>
      <c r="I645" s="466">
        <v>45697.0</v>
      </c>
      <c r="J645" s="467"/>
      <c r="K645" s="463" t="s">
        <v>1661</v>
      </c>
      <c r="L645" s="467"/>
      <c r="M645" s="476"/>
      <c r="N645" s="464" t="s">
        <v>5120</v>
      </c>
      <c r="O645" s="465" t="s">
        <v>5121</v>
      </c>
      <c r="P645" s="464" t="s">
        <v>5122</v>
      </c>
      <c r="Q645" s="463">
        <v>2025.0</v>
      </c>
      <c r="R645" s="465" t="s">
        <v>5123</v>
      </c>
      <c r="S645" s="465" t="s">
        <v>5132</v>
      </c>
      <c r="T645" s="482">
        <v>5.25</v>
      </c>
      <c r="U645" s="464" t="s">
        <v>5129</v>
      </c>
      <c r="V645" s="467"/>
    </row>
    <row r="646" ht="15.0" customHeight="1">
      <c r="A646" s="463">
        <f t="shared" si="15"/>
        <v>48</v>
      </c>
      <c r="B646" s="464" t="s">
        <v>5133</v>
      </c>
      <c r="C646" s="476"/>
      <c r="D646" s="464" t="s">
        <v>5134</v>
      </c>
      <c r="E646" s="464" t="s">
        <v>3238</v>
      </c>
      <c r="F646" s="464" t="s">
        <v>5127</v>
      </c>
      <c r="G646" s="80" t="str">
        <f>VLOOKUP(F646,'01. TH'!$B:$E,3,0)</f>
        <v/>
      </c>
      <c r="H646" s="475" t="s">
        <v>836</v>
      </c>
      <c r="I646" s="466">
        <v>45879.0</v>
      </c>
      <c r="J646" s="467"/>
      <c r="K646" s="463" t="s">
        <v>1661</v>
      </c>
      <c r="L646" s="467"/>
      <c r="M646" s="476"/>
      <c r="N646" s="464" t="s">
        <v>5120</v>
      </c>
      <c r="O646" s="465" t="s">
        <v>5121</v>
      </c>
      <c r="P646" s="464" t="s">
        <v>5122</v>
      </c>
      <c r="Q646" s="463">
        <v>2025.0</v>
      </c>
      <c r="R646" s="465" t="s">
        <v>5123</v>
      </c>
      <c r="S646" s="465" t="s">
        <v>5135</v>
      </c>
      <c r="T646" s="482">
        <v>5.25</v>
      </c>
      <c r="U646" s="464" t="s">
        <v>5129</v>
      </c>
      <c r="V646" s="467"/>
    </row>
    <row r="647" ht="15.0" customHeight="1">
      <c r="A647" s="463">
        <f t="shared" si="15"/>
        <v>49</v>
      </c>
      <c r="B647" s="464" t="s">
        <v>5136</v>
      </c>
      <c r="C647" s="476"/>
      <c r="D647" s="464" t="s">
        <v>5137</v>
      </c>
      <c r="E647" s="464" t="s">
        <v>3238</v>
      </c>
      <c r="F647" s="464" t="s">
        <v>5127</v>
      </c>
      <c r="G647" s="80" t="str">
        <f>VLOOKUP(F647,'01. TH'!$B:$E,3,0)</f>
        <v/>
      </c>
      <c r="H647" s="475" t="s">
        <v>836</v>
      </c>
      <c r="I647" s="466">
        <v>45879.0</v>
      </c>
      <c r="J647" s="467"/>
      <c r="K647" s="463" t="s">
        <v>1661</v>
      </c>
      <c r="L647" s="467"/>
      <c r="M647" s="476"/>
      <c r="N647" s="464" t="s">
        <v>5120</v>
      </c>
      <c r="O647" s="465" t="s">
        <v>5121</v>
      </c>
      <c r="P647" s="464" t="s">
        <v>5122</v>
      </c>
      <c r="Q647" s="463">
        <v>2025.0</v>
      </c>
      <c r="R647" s="465" t="s">
        <v>5123</v>
      </c>
      <c r="S647" s="465" t="s">
        <v>5138</v>
      </c>
      <c r="T647" s="482">
        <v>5.25</v>
      </c>
      <c r="U647" s="464" t="s">
        <v>5129</v>
      </c>
      <c r="V647" s="467"/>
    </row>
    <row r="648" ht="15.0" customHeight="1">
      <c r="A648" s="463">
        <f t="shared" si="15"/>
        <v>50</v>
      </c>
      <c r="B648" s="464" t="s">
        <v>5139</v>
      </c>
      <c r="C648" s="476"/>
      <c r="D648" s="464" t="s">
        <v>5140</v>
      </c>
      <c r="E648" s="464" t="s">
        <v>3238</v>
      </c>
      <c r="F648" s="464" t="s">
        <v>5127</v>
      </c>
      <c r="G648" s="80" t="str">
        <f>VLOOKUP(F648,'01. TH'!$B:$E,3,0)</f>
        <v/>
      </c>
      <c r="H648" s="475" t="s">
        <v>836</v>
      </c>
      <c r="I648" s="463" t="s">
        <v>2223</v>
      </c>
      <c r="J648" s="467"/>
      <c r="K648" s="463" t="s">
        <v>1661</v>
      </c>
      <c r="L648" s="467"/>
      <c r="M648" s="476"/>
      <c r="N648" s="464" t="s">
        <v>5120</v>
      </c>
      <c r="O648" s="465" t="s">
        <v>5121</v>
      </c>
      <c r="P648" s="464" t="s">
        <v>5122</v>
      </c>
      <c r="Q648" s="463">
        <v>2025.0</v>
      </c>
      <c r="R648" s="465" t="s">
        <v>5123</v>
      </c>
      <c r="S648" s="465" t="s">
        <v>5141</v>
      </c>
      <c r="T648" s="482">
        <v>5.25</v>
      </c>
      <c r="U648" s="464" t="s">
        <v>5129</v>
      </c>
      <c r="V648" s="467"/>
    </row>
    <row r="649" ht="15.0" customHeight="1">
      <c r="A649" s="463">
        <f t="shared" si="15"/>
        <v>51</v>
      </c>
      <c r="B649" s="464" t="s">
        <v>5142</v>
      </c>
      <c r="C649" s="476"/>
      <c r="D649" s="464" t="s">
        <v>5143</v>
      </c>
      <c r="E649" s="464" t="s">
        <v>3238</v>
      </c>
      <c r="F649" s="464" t="s">
        <v>5127</v>
      </c>
      <c r="G649" s="80" t="str">
        <f>VLOOKUP(F649,'01. TH'!$B:$E,3,0)</f>
        <v/>
      </c>
      <c r="H649" s="475" t="s">
        <v>836</v>
      </c>
      <c r="I649" s="463" t="s">
        <v>2223</v>
      </c>
      <c r="J649" s="467"/>
      <c r="K649" s="463" t="s">
        <v>1661</v>
      </c>
      <c r="L649" s="467"/>
      <c r="M649" s="476"/>
      <c r="N649" s="464" t="s">
        <v>5120</v>
      </c>
      <c r="O649" s="465" t="s">
        <v>5121</v>
      </c>
      <c r="P649" s="464" t="s">
        <v>5122</v>
      </c>
      <c r="Q649" s="463">
        <v>2025.0</v>
      </c>
      <c r="R649" s="465" t="s">
        <v>5123</v>
      </c>
      <c r="S649" s="465" t="s">
        <v>5144</v>
      </c>
      <c r="T649" s="482">
        <v>5.25</v>
      </c>
      <c r="U649" s="464" t="s">
        <v>5129</v>
      </c>
      <c r="V649" s="467"/>
    </row>
    <row r="650" ht="15.0" customHeight="1">
      <c r="A650" s="463">
        <f t="shared" si="15"/>
        <v>52</v>
      </c>
      <c r="B650" s="464" t="s">
        <v>5145</v>
      </c>
      <c r="C650" s="476"/>
      <c r="D650" s="464" t="s">
        <v>5146</v>
      </c>
      <c r="E650" s="464" t="s">
        <v>3238</v>
      </c>
      <c r="F650" s="464" t="s">
        <v>5127</v>
      </c>
      <c r="G650" s="80"/>
      <c r="H650" s="475" t="s">
        <v>836</v>
      </c>
      <c r="I650" s="466">
        <v>46114.0</v>
      </c>
      <c r="J650" s="467"/>
      <c r="K650" s="463" t="s">
        <v>1661</v>
      </c>
      <c r="L650" s="467"/>
      <c r="M650" s="476"/>
      <c r="N650" s="464" t="s">
        <v>5120</v>
      </c>
      <c r="O650" s="465" t="s">
        <v>5121</v>
      </c>
      <c r="P650" s="464" t="s">
        <v>5122</v>
      </c>
      <c r="Q650" s="463">
        <v>2025.0</v>
      </c>
      <c r="R650" s="465" t="s">
        <v>5123</v>
      </c>
      <c r="S650" s="465" t="s">
        <v>5147</v>
      </c>
      <c r="T650" s="482">
        <v>5.25</v>
      </c>
      <c r="U650" s="464" t="s">
        <v>5129</v>
      </c>
      <c r="V650" s="467"/>
    </row>
    <row r="651" ht="15.0" customHeight="1">
      <c r="A651" s="463">
        <f t="shared" si="15"/>
        <v>53</v>
      </c>
      <c r="B651" s="464" t="s">
        <v>5148</v>
      </c>
      <c r="C651" s="476"/>
      <c r="D651" s="464" t="s">
        <v>5149</v>
      </c>
      <c r="E651" s="464" t="s">
        <v>3238</v>
      </c>
      <c r="F651" s="464" t="s">
        <v>5127</v>
      </c>
      <c r="G651" s="80"/>
      <c r="H651" s="475" t="s">
        <v>836</v>
      </c>
      <c r="I651" s="466">
        <v>46114.0</v>
      </c>
      <c r="J651" s="467"/>
      <c r="K651" s="463" t="s">
        <v>1661</v>
      </c>
      <c r="L651" s="467"/>
      <c r="M651" s="476"/>
      <c r="N651" s="464" t="s">
        <v>5120</v>
      </c>
      <c r="O651" s="465" t="s">
        <v>5121</v>
      </c>
      <c r="P651" s="464" t="s">
        <v>5122</v>
      </c>
      <c r="Q651" s="463">
        <v>2025.0</v>
      </c>
      <c r="R651" s="465" t="s">
        <v>5123</v>
      </c>
      <c r="S651" s="465" t="s">
        <v>5150</v>
      </c>
      <c r="T651" s="482">
        <v>5.25</v>
      </c>
      <c r="U651" s="464" t="s">
        <v>5129</v>
      </c>
      <c r="V651" s="467"/>
    </row>
    <row r="652" ht="15.0" customHeight="1">
      <c r="A652" s="463">
        <f t="shared" si="15"/>
        <v>54</v>
      </c>
      <c r="B652" s="464" t="s">
        <v>5151</v>
      </c>
      <c r="C652" s="476"/>
      <c r="D652" s="464" t="s">
        <v>5152</v>
      </c>
      <c r="E652" s="464" t="s">
        <v>3238</v>
      </c>
      <c r="F652" s="464" t="s">
        <v>5153</v>
      </c>
      <c r="G652" s="80" t="str">
        <f>VLOOKUP(F652,'01. TH'!$B:$E,3,0)</f>
        <v/>
      </c>
      <c r="H652" s="475" t="s">
        <v>836</v>
      </c>
      <c r="I652" s="466">
        <v>45727.0</v>
      </c>
      <c r="J652" s="467"/>
      <c r="K652" s="463" t="s">
        <v>1661</v>
      </c>
      <c r="L652" s="467"/>
      <c r="M652" s="476"/>
      <c r="N652" s="464" t="s">
        <v>5120</v>
      </c>
      <c r="O652" s="465" t="s">
        <v>5154</v>
      </c>
      <c r="P652" s="464" t="s">
        <v>5122</v>
      </c>
      <c r="Q652" s="463">
        <v>2025.0</v>
      </c>
      <c r="R652" s="465" t="s">
        <v>5154</v>
      </c>
      <c r="S652" s="465">
        <v>2.02410001E8</v>
      </c>
      <c r="T652" s="469"/>
      <c r="U652" s="467"/>
      <c r="V652" s="467"/>
    </row>
    <row r="653" ht="15.0" customHeight="1">
      <c r="A653" s="463">
        <f t="shared" si="15"/>
        <v>55</v>
      </c>
      <c r="B653" s="464" t="s">
        <v>5155</v>
      </c>
      <c r="C653" s="476"/>
      <c r="D653" s="464" t="s">
        <v>5156</v>
      </c>
      <c r="E653" s="464" t="s">
        <v>3238</v>
      </c>
      <c r="F653" s="464" t="s">
        <v>5157</v>
      </c>
      <c r="G653" s="80" t="str">
        <f>VLOOKUP(F653,'01. TH'!$B:$E,3,0)</f>
        <v/>
      </c>
      <c r="H653" s="475" t="s">
        <v>836</v>
      </c>
      <c r="I653" s="463" t="s">
        <v>2243</v>
      </c>
      <c r="J653" s="467"/>
      <c r="K653" s="463" t="s">
        <v>1661</v>
      </c>
      <c r="L653" s="467"/>
      <c r="M653" s="476"/>
      <c r="N653" s="464" t="s">
        <v>5120</v>
      </c>
      <c r="O653" s="465" t="s">
        <v>5158</v>
      </c>
      <c r="P653" s="464" t="s">
        <v>5122</v>
      </c>
      <c r="Q653" s="463">
        <v>2025.0</v>
      </c>
      <c r="R653" s="465" t="s">
        <v>5158</v>
      </c>
      <c r="S653" s="465" t="s">
        <v>5159</v>
      </c>
      <c r="T653" s="469"/>
      <c r="U653" s="467"/>
      <c r="V653" s="467"/>
    </row>
    <row r="654" ht="15.0" customHeight="1">
      <c r="A654" s="463">
        <f t="shared" si="15"/>
        <v>56</v>
      </c>
      <c r="B654" s="464" t="s">
        <v>5160</v>
      </c>
      <c r="C654" s="476"/>
      <c r="D654" s="464" t="s">
        <v>5161</v>
      </c>
      <c r="E654" s="464" t="s">
        <v>3238</v>
      </c>
      <c r="F654" s="464" t="s">
        <v>5157</v>
      </c>
      <c r="G654" s="80"/>
      <c r="H654" s="475" t="s">
        <v>836</v>
      </c>
      <c r="I654" s="466">
        <v>46176.0</v>
      </c>
      <c r="J654" s="467"/>
      <c r="K654" s="463" t="s">
        <v>1661</v>
      </c>
      <c r="L654" s="467"/>
      <c r="M654" s="476"/>
      <c r="N654" s="464" t="s">
        <v>5120</v>
      </c>
      <c r="O654" s="465" t="s">
        <v>5158</v>
      </c>
      <c r="P654" s="464" t="s">
        <v>5122</v>
      </c>
      <c r="Q654" s="463">
        <v>2025.0</v>
      </c>
      <c r="R654" s="465" t="s">
        <v>5158</v>
      </c>
      <c r="S654" s="465" t="s">
        <v>5162</v>
      </c>
      <c r="T654" s="469"/>
      <c r="U654" s="467"/>
      <c r="V654" s="467"/>
    </row>
    <row r="655" ht="15.0" customHeight="1">
      <c r="A655" s="463">
        <f t="shared" si="15"/>
        <v>57</v>
      </c>
      <c r="B655" s="464" t="s">
        <v>5163</v>
      </c>
      <c r="C655" s="476"/>
      <c r="D655" s="464" t="s">
        <v>5164</v>
      </c>
      <c r="E655" s="464" t="s">
        <v>3238</v>
      </c>
      <c r="F655" s="464" t="s">
        <v>5157</v>
      </c>
      <c r="G655" s="80"/>
      <c r="H655" s="475" t="s">
        <v>836</v>
      </c>
      <c r="I655" s="466">
        <v>46176.0</v>
      </c>
      <c r="J655" s="467"/>
      <c r="K655" s="463" t="s">
        <v>1661</v>
      </c>
      <c r="L655" s="467"/>
      <c r="M655" s="476"/>
      <c r="N655" s="464" t="s">
        <v>5120</v>
      </c>
      <c r="O655" s="465" t="s">
        <v>5158</v>
      </c>
      <c r="P655" s="464" t="s">
        <v>5122</v>
      </c>
      <c r="Q655" s="463">
        <v>2025.0</v>
      </c>
      <c r="R655" s="465" t="s">
        <v>5158</v>
      </c>
      <c r="S655" s="465" t="s">
        <v>5165</v>
      </c>
      <c r="T655" s="469"/>
      <c r="U655" s="467"/>
      <c r="V655" s="467"/>
    </row>
    <row r="656" ht="15.0" customHeight="1">
      <c r="A656" s="463">
        <f t="shared" si="15"/>
        <v>58</v>
      </c>
      <c r="B656" s="464" t="s">
        <v>5166</v>
      </c>
      <c r="C656" s="476"/>
      <c r="D656" s="464" t="s">
        <v>5167</v>
      </c>
      <c r="E656" s="464" t="s">
        <v>3238</v>
      </c>
      <c r="F656" s="464" t="s">
        <v>5157</v>
      </c>
      <c r="G656" s="80"/>
      <c r="H656" s="475" t="s">
        <v>836</v>
      </c>
      <c r="I656" s="466">
        <v>46267.0</v>
      </c>
      <c r="J656" s="467"/>
      <c r="K656" s="463" t="s">
        <v>1661</v>
      </c>
      <c r="L656" s="467"/>
      <c r="M656" s="476"/>
      <c r="N656" s="464" t="s">
        <v>5120</v>
      </c>
      <c r="O656" s="465" t="s">
        <v>5158</v>
      </c>
      <c r="P656" s="464" t="s">
        <v>5122</v>
      </c>
      <c r="Q656" s="463">
        <v>2025.0</v>
      </c>
      <c r="R656" s="465" t="s">
        <v>5158</v>
      </c>
      <c r="S656" s="465" t="s">
        <v>5168</v>
      </c>
      <c r="T656" s="469"/>
      <c r="U656" s="467"/>
      <c r="V656" s="467"/>
    </row>
    <row r="657" ht="15.0" customHeight="1">
      <c r="A657" s="463">
        <f t="shared" si="15"/>
        <v>59</v>
      </c>
      <c r="B657" s="464" t="s">
        <v>5169</v>
      </c>
      <c r="C657" s="476"/>
      <c r="D657" s="464" t="s">
        <v>5170</v>
      </c>
      <c r="E657" s="464" t="s">
        <v>3238</v>
      </c>
      <c r="F657" s="464" t="s">
        <v>5157</v>
      </c>
      <c r="G657" s="80"/>
      <c r="H657" s="475" t="s">
        <v>836</v>
      </c>
      <c r="I657" s="466">
        <v>46176.0</v>
      </c>
      <c r="J657" s="467"/>
      <c r="K657" s="463" t="s">
        <v>1661</v>
      </c>
      <c r="L657" s="467"/>
      <c r="M657" s="476"/>
      <c r="N657" s="464" t="s">
        <v>5120</v>
      </c>
      <c r="O657" s="465" t="s">
        <v>5158</v>
      </c>
      <c r="P657" s="464" t="s">
        <v>5122</v>
      </c>
      <c r="Q657" s="463">
        <v>2025.0</v>
      </c>
      <c r="R657" s="465" t="s">
        <v>5158</v>
      </c>
      <c r="S657" s="465" t="s">
        <v>5171</v>
      </c>
      <c r="T657" s="469"/>
      <c r="U657" s="467"/>
      <c r="V657" s="467"/>
    </row>
    <row r="658" ht="15.0" customHeight="1">
      <c r="A658" s="463">
        <f t="shared" si="15"/>
        <v>60</v>
      </c>
      <c r="B658" s="464" t="s">
        <v>5172</v>
      </c>
      <c r="C658" s="476"/>
      <c r="D658" s="464" t="s">
        <v>5173</v>
      </c>
      <c r="E658" s="464" t="s">
        <v>3238</v>
      </c>
      <c r="F658" s="464" t="s">
        <v>5157</v>
      </c>
      <c r="G658" s="80"/>
      <c r="H658" s="475" t="s">
        <v>836</v>
      </c>
      <c r="I658" s="466">
        <v>46176.0</v>
      </c>
      <c r="J658" s="467"/>
      <c r="K658" s="463" t="s">
        <v>1661</v>
      </c>
      <c r="L658" s="467"/>
      <c r="M658" s="476"/>
      <c r="N658" s="464" t="s">
        <v>5120</v>
      </c>
      <c r="O658" s="465" t="s">
        <v>5158</v>
      </c>
      <c r="P658" s="464" t="s">
        <v>5122</v>
      </c>
      <c r="Q658" s="463">
        <v>2025.0</v>
      </c>
      <c r="R658" s="465" t="s">
        <v>5158</v>
      </c>
      <c r="S658" s="465" t="s">
        <v>5174</v>
      </c>
      <c r="T658" s="469"/>
      <c r="U658" s="467"/>
      <c r="V658" s="467"/>
    </row>
    <row r="659" ht="15.0" customHeight="1">
      <c r="A659" s="463">
        <f t="shared" si="15"/>
        <v>61</v>
      </c>
      <c r="B659" s="464" t="s">
        <v>5175</v>
      </c>
      <c r="C659" s="476"/>
      <c r="D659" s="464" t="s">
        <v>5176</v>
      </c>
      <c r="E659" s="464" t="s">
        <v>3238</v>
      </c>
      <c r="F659" s="464" t="s">
        <v>5157</v>
      </c>
      <c r="G659" s="80"/>
      <c r="H659" s="475" t="s">
        <v>836</v>
      </c>
      <c r="I659" s="466">
        <v>46176.0</v>
      </c>
      <c r="J659" s="467"/>
      <c r="K659" s="463" t="s">
        <v>1661</v>
      </c>
      <c r="L659" s="467"/>
      <c r="M659" s="476"/>
      <c r="N659" s="464" t="s">
        <v>5120</v>
      </c>
      <c r="O659" s="465" t="s">
        <v>5158</v>
      </c>
      <c r="P659" s="464" t="s">
        <v>5122</v>
      </c>
      <c r="Q659" s="463">
        <v>2025.0</v>
      </c>
      <c r="R659" s="465" t="s">
        <v>5158</v>
      </c>
      <c r="S659" s="465" t="s">
        <v>5177</v>
      </c>
      <c r="T659" s="469"/>
      <c r="U659" s="467"/>
      <c r="V659" s="467"/>
    </row>
    <row r="660" ht="15.0" customHeight="1">
      <c r="A660" s="463">
        <f t="shared" si="15"/>
        <v>62</v>
      </c>
      <c r="B660" s="464" t="s">
        <v>5178</v>
      </c>
      <c r="C660" s="476"/>
      <c r="D660" s="464" t="s">
        <v>5179</v>
      </c>
      <c r="E660" s="464" t="s">
        <v>3238</v>
      </c>
      <c r="F660" s="464" t="s">
        <v>5157</v>
      </c>
      <c r="G660" s="80"/>
      <c r="H660" s="475" t="s">
        <v>836</v>
      </c>
      <c r="I660" s="466">
        <v>46176.0</v>
      </c>
      <c r="J660" s="467"/>
      <c r="K660" s="463" t="s">
        <v>1661</v>
      </c>
      <c r="L660" s="467"/>
      <c r="M660" s="476"/>
      <c r="N660" s="464" t="s">
        <v>5120</v>
      </c>
      <c r="O660" s="465" t="s">
        <v>5158</v>
      </c>
      <c r="P660" s="464" t="s">
        <v>5122</v>
      </c>
      <c r="Q660" s="463">
        <v>2025.0</v>
      </c>
      <c r="R660" s="465" t="s">
        <v>5158</v>
      </c>
      <c r="S660" s="465" t="s">
        <v>5180</v>
      </c>
      <c r="T660" s="469"/>
      <c r="U660" s="467"/>
      <c r="V660" s="467"/>
    </row>
    <row r="661" ht="15.0" customHeight="1">
      <c r="A661" s="463">
        <f t="shared" si="15"/>
        <v>63</v>
      </c>
      <c r="B661" s="464" t="s">
        <v>5181</v>
      </c>
      <c r="C661" s="476"/>
      <c r="D661" s="464" t="s">
        <v>5182</v>
      </c>
      <c r="E661" s="464" t="s">
        <v>3238</v>
      </c>
      <c r="F661" s="464" t="s">
        <v>5157</v>
      </c>
      <c r="G661" s="80"/>
      <c r="H661" s="475" t="s">
        <v>836</v>
      </c>
      <c r="I661" s="466">
        <v>46176.0</v>
      </c>
      <c r="J661" s="467"/>
      <c r="K661" s="463" t="s">
        <v>1661</v>
      </c>
      <c r="L661" s="467"/>
      <c r="M661" s="476"/>
      <c r="N661" s="464" t="s">
        <v>5120</v>
      </c>
      <c r="O661" s="465" t="s">
        <v>5158</v>
      </c>
      <c r="P661" s="464" t="s">
        <v>5122</v>
      </c>
      <c r="Q661" s="463">
        <v>2025.0</v>
      </c>
      <c r="R661" s="465" t="s">
        <v>5158</v>
      </c>
      <c r="S661" s="465" t="s">
        <v>5183</v>
      </c>
      <c r="T661" s="469"/>
      <c r="U661" s="467"/>
      <c r="V661" s="467"/>
    </row>
    <row r="662" ht="15.0" customHeight="1">
      <c r="A662" s="463">
        <f t="shared" si="15"/>
        <v>64</v>
      </c>
      <c r="B662" s="467" t="s">
        <v>5184</v>
      </c>
      <c r="C662" s="476"/>
      <c r="D662" s="464" t="s">
        <v>5185</v>
      </c>
      <c r="E662" s="464" t="s">
        <v>79</v>
      </c>
      <c r="F662" s="464" t="s">
        <v>5186</v>
      </c>
      <c r="G662" s="80" t="str">
        <f>VLOOKUP(F662,'01. TH'!$B:$E,3,0)</f>
        <v>#N/A</v>
      </c>
      <c r="H662" s="475" t="s">
        <v>836</v>
      </c>
      <c r="I662" s="475"/>
      <c r="J662" s="467"/>
      <c r="K662" s="463" t="s">
        <v>1661</v>
      </c>
      <c r="L662" s="467"/>
      <c r="M662" s="476"/>
      <c r="N662" s="464" t="s">
        <v>3258</v>
      </c>
      <c r="O662" s="476"/>
      <c r="P662" s="464" t="s">
        <v>3260</v>
      </c>
      <c r="Q662" s="475"/>
      <c r="R662" s="476"/>
      <c r="S662" s="476"/>
      <c r="T662" s="469"/>
      <c r="U662" s="467"/>
      <c r="V662" s="467"/>
    </row>
    <row r="663" ht="15.0" customHeight="1">
      <c r="A663" s="463">
        <f t="shared" si="15"/>
        <v>65</v>
      </c>
      <c r="B663" s="464" t="s">
        <v>5187</v>
      </c>
      <c r="C663" s="476"/>
      <c r="D663" s="464" t="s">
        <v>5188</v>
      </c>
      <c r="E663" s="464" t="s">
        <v>79</v>
      </c>
      <c r="F663" s="464" t="s">
        <v>3599</v>
      </c>
      <c r="G663" s="80" t="str">
        <f>VLOOKUP(F663,'01. TH'!$B:$E,3,0)</f>
        <v>1800x1180x1152</v>
      </c>
      <c r="H663" s="475" t="s">
        <v>836</v>
      </c>
      <c r="I663" s="475"/>
      <c r="J663" s="467"/>
      <c r="K663" s="463" t="s">
        <v>1661</v>
      </c>
      <c r="L663" s="467"/>
      <c r="M663" s="476"/>
      <c r="N663" s="464" t="s">
        <v>3258</v>
      </c>
      <c r="O663" s="476"/>
      <c r="P663" s="464" t="s">
        <v>3260</v>
      </c>
      <c r="Q663" s="475"/>
      <c r="R663" s="476"/>
      <c r="S663" s="476"/>
      <c r="T663" s="469"/>
      <c r="U663" s="467"/>
      <c r="V663" s="467"/>
    </row>
    <row r="664" ht="15.0" customHeight="1">
      <c r="A664" s="463">
        <f t="shared" si="15"/>
        <v>66</v>
      </c>
      <c r="B664" s="464" t="s">
        <v>5189</v>
      </c>
      <c r="C664" s="476"/>
      <c r="D664" s="464" t="s">
        <v>5190</v>
      </c>
      <c r="E664" s="464" t="s">
        <v>3238</v>
      </c>
      <c r="F664" s="464" t="s">
        <v>3599</v>
      </c>
      <c r="G664" s="80" t="str">
        <f>VLOOKUP(F664,'01. TH'!$B:$E,3,0)</f>
        <v>1800x1180x1152</v>
      </c>
      <c r="H664" s="475" t="s">
        <v>836</v>
      </c>
      <c r="I664" s="475"/>
      <c r="J664" s="467"/>
      <c r="K664" s="463" t="s">
        <v>1661</v>
      </c>
      <c r="L664" s="467"/>
      <c r="M664" s="476"/>
      <c r="N664" s="464" t="s">
        <v>3258</v>
      </c>
      <c r="O664" s="476"/>
      <c r="P664" s="464" t="s">
        <v>3260</v>
      </c>
      <c r="Q664" s="475"/>
      <c r="R664" s="476"/>
      <c r="S664" s="476"/>
      <c r="T664" s="469"/>
      <c r="U664" s="467"/>
      <c r="V664" s="467"/>
    </row>
    <row r="665" ht="15.0" customHeight="1">
      <c r="A665" s="463">
        <f t="shared" si="15"/>
        <v>67</v>
      </c>
      <c r="B665" s="464" t="s">
        <v>5191</v>
      </c>
      <c r="C665" s="476"/>
      <c r="D665" s="464" t="s">
        <v>5192</v>
      </c>
      <c r="E665" s="464" t="s">
        <v>3238</v>
      </c>
      <c r="F665" s="464" t="s">
        <v>3599</v>
      </c>
      <c r="G665" s="80" t="str">
        <f>VLOOKUP(F665,'01. TH'!$B:$E,3,0)</f>
        <v>1800x1180x1152</v>
      </c>
      <c r="H665" s="475" t="s">
        <v>836</v>
      </c>
      <c r="I665" s="466">
        <v>45785.0</v>
      </c>
      <c r="J665" s="499"/>
      <c r="K665" s="463" t="s">
        <v>1661</v>
      </c>
      <c r="L665" s="467"/>
      <c r="M665" s="476"/>
      <c r="N665" s="464" t="s">
        <v>3836</v>
      </c>
      <c r="O665" s="465" t="s">
        <v>5193</v>
      </c>
      <c r="P665" s="464" t="s">
        <v>3711</v>
      </c>
      <c r="Q665" s="463">
        <v>2025.0</v>
      </c>
      <c r="R665" s="476"/>
      <c r="S665" s="476"/>
      <c r="T665" s="469"/>
      <c r="U665" s="467"/>
      <c r="V665" s="467"/>
    </row>
    <row r="666" ht="15.0" customHeight="1">
      <c r="A666" s="463">
        <f t="shared" si="15"/>
        <v>68</v>
      </c>
      <c r="B666" s="467" t="s">
        <v>5194</v>
      </c>
      <c r="C666" s="476"/>
      <c r="D666" s="464" t="s">
        <v>5195</v>
      </c>
      <c r="E666" s="464" t="s">
        <v>5196</v>
      </c>
      <c r="F666" s="464" t="s">
        <v>5197</v>
      </c>
      <c r="G666" s="80" t="str">
        <f>VLOOKUP(F666,'01. TH'!$B:$E,3,0)</f>
        <v>#N/A</v>
      </c>
      <c r="H666" s="475" t="s">
        <v>836</v>
      </c>
      <c r="I666" s="466">
        <v>45292.0</v>
      </c>
      <c r="J666" s="499">
        <v>0.96</v>
      </c>
      <c r="K666" s="463" t="s">
        <v>1661</v>
      </c>
      <c r="L666" s="467"/>
      <c r="M666" s="476"/>
      <c r="N666" s="464" t="s">
        <v>3258</v>
      </c>
      <c r="O666" s="465" t="s">
        <v>5198</v>
      </c>
      <c r="P666" s="464" t="s">
        <v>3260</v>
      </c>
      <c r="Q666" s="475"/>
      <c r="R666" s="476"/>
      <c r="S666" s="476"/>
      <c r="T666" s="469"/>
      <c r="U666" s="467"/>
      <c r="V666" s="467"/>
    </row>
    <row r="667" ht="15.0" customHeight="1">
      <c r="A667" s="463">
        <f t="shared" si="15"/>
        <v>69</v>
      </c>
      <c r="B667" s="467" t="s">
        <v>5199</v>
      </c>
      <c r="C667" s="476"/>
      <c r="D667" s="464" t="s">
        <v>5200</v>
      </c>
      <c r="E667" s="464" t="s">
        <v>79</v>
      </c>
      <c r="F667" s="467" t="s">
        <v>5201</v>
      </c>
      <c r="G667" s="80" t="str">
        <f>VLOOKUP(F667,'01. TH'!$B:$E,3,0)</f>
        <v>#N/A</v>
      </c>
      <c r="H667" s="475" t="s">
        <v>836</v>
      </c>
      <c r="I667" s="475"/>
      <c r="J667" s="467"/>
      <c r="K667" s="463" t="s">
        <v>1661</v>
      </c>
      <c r="L667" s="467"/>
      <c r="M667" s="476"/>
      <c r="N667" s="464" t="s">
        <v>3258</v>
      </c>
      <c r="O667" s="476"/>
      <c r="P667" s="464" t="s">
        <v>3260</v>
      </c>
      <c r="Q667" s="475"/>
      <c r="R667" s="476"/>
      <c r="S667" s="476"/>
      <c r="T667" s="469"/>
      <c r="U667" s="467"/>
      <c r="V667" s="467"/>
    </row>
    <row r="668" ht="15.0" customHeight="1">
      <c r="A668" s="463">
        <f t="shared" si="15"/>
        <v>70</v>
      </c>
      <c r="B668" s="467" t="s">
        <v>5202</v>
      </c>
      <c r="C668" s="476"/>
      <c r="D668" s="464" t="s">
        <v>5203</v>
      </c>
      <c r="E668" s="464" t="s">
        <v>79</v>
      </c>
      <c r="F668" s="464" t="s">
        <v>5204</v>
      </c>
      <c r="G668" s="80" t="str">
        <f>VLOOKUP(F668,'01. TH'!$B:$E,3,0)</f>
        <v>#N/A</v>
      </c>
      <c r="H668" s="475" t="s">
        <v>836</v>
      </c>
      <c r="I668" s="475"/>
      <c r="J668" s="467"/>
      <c r="K668" s="463" t="s">
        <v>1661</v>
      </c>
      <c r="L668" s="467"/>
      <c r="M668" s="476"/>
      <c r="N668" s="464" t="s">
        <v>3258</v>
      </c>
      <c r="O668" s="476"/>
      <c r="P668" s="464" t="s">
        <v>3260</v>
      </c>
      <c r="Q668" s="475"/>
      <c r="R668" s="476"/>
      <c r="S668" s="476"/>
      <c r="T668" s="469"/>
      <c r="U668" s="467"/>
      <c r="V668" s="467"/>
    </row>
    <row r="669" ht="15.0" customHeight="1">
      <c r="A669" s="463">
        <f t="shared" si="15"/>
        <v>71</v>
      </c>
      <c r="B669" s="467" t="s">
        <v>5205</v>
      </c>
      <c r="C669" s="476"/>
      <c r="D669" s="464" t="s">
        <v>5206</v>
      </c>
      <c r="E669" s="464" t="s">
        <v>79</v>
      </c>
      <c r="F669" s="464" t="s">
        <v>5207</v>
      </c>
      <c r="G669" s="80" t="str">
        <f>VLOOKUP(F669,'01. TH'!$B:$E,3,0)</f>
        <v>#N/A</v>
      </c>
      <c r="H669" s="475" t="s">
        <v>836</v>
      </c>
      <c r="I669" s="475"/>
      <c r="J669" s="467"/>
      <c r="K669" s="463" t="s">
        <v>1661</v>
      </c>
      <c r="L669" s="467"/>
      <c r="M669" s="476"/>
      <c r="N669" s="464" t="s">
        <v>3258</v>
      </c>
      <c r="O669" s="465" t="s">
        <v>5208</v>
      </c>
      <c r="P669" s="464" t="s">
        <v>3260</v>
      </c>
      <c r="Q669" s="475"/>
      <c r="R669" s="476"/>
      <c r="S669" s="476"/>
      <c r="T669" s="469"/>
      <c r="U669" s="467"/>
      <c r="V669" s="467"/>
    </row>
    <row r="670" ht="15.0" customHeight="1">
      <c r="A670" s="463">
        <f t="shared" si="15"/>
        <v>72</v>
      </c>
      <c r="B670" s="467" t="s">
        <v>5209</v>
      </c>
      <c r="C670" s="128"/>
      <c r="D670" s="464" t="s">
        <v>5210</v>
      </c>
      <c r="E670" s="464" t="s">
        <v>79</v>
      </c>
      <c r="F670" s="464" t="s">
        <v>5211</v>
      </c>
      <c r="G670" s="80" t="str">
        <f>VLOOKUP(F670,'01. TH'!$B:$E,3,0)</f>
        <v>#N/A</v>
      </c>
      <c r="H670" s="475" t="s">
        <v>836</v>
      </c>
      <c r="I670" s="475"/>
      <c r="J670" s="467"/>
      <c r="K670" s="463" t="s">
        <v>1661</v>
      </c>
      <c r="L670" s="467"/>
      <c r="M670" s="476"/>
      <c r="N670" s="464" t="s">
        <v>3258</v>
      </c>
      <c r="O670" s="465" t="s">
        <v>5212</v>
      </c>
      <c r="P670" s="464" t="s">
        <v>3260</v>
      </c>
      <c r="Q670" s="475"/>
      <c r="R670" s="476"/>
      <c r="S670" s="476"/>
      <c r="T670" s="469"/>
      <c r="U670" s="467"/>
      <c r="V670" s="467"/>
    </row>
    <row r="671" ht="15.0" customHeight="1">
      <c r="A671" s="463">
        <f t="shared" si="15"/>
        <v>73</v>
      </c>
      <c r="B671" s="464" t="s">
        <v>5213</v>
      </c>
      <c r="C671" s="476"/>
      <c r="D671" s="464" t="s">
        <v>5214</v>
      </c>
      <c r="E671" s="464" t="s">
        <v>79</v>
      </c>
      <c r="F671" s="464" t="s">
        <v>5215</v>
      </c>
      <c r="G671" s="80" t="str">
        <f>VLOOKUP(F671,'01. TH'!$B:$E,3,0)</f>
        <v>#N/A</v>
      </c>
      <c r="H671" s="475" t="s">
        <v>836</v>
      </c>
      <c r="I671" s="475"/>
      <c r="J671" s="467"/>
      <c r="K671" s="463" t="s">
        <v>1661</v>
      </c>
      <c r="L671" s="467"/>
      <c r="M671" s="476"/>
      <c r="N671" s="464" t="s">
        <v>3258</v>
      </c>
      <c r="O671" s="476"/>
      <c r="P671" s="464" t="s">
        <v>3260</v>
      </c>
      <c r="Q671" s="475"/>
      <c r="R671" s="476"/>
      <c r="S671" s="476"/>
      <c r="T671" s="469"/>
      <c r="U671" s="467"/>
      <c r="V671" s="467"/>
    </row>
    <row r="672" ht="15.0" customHeight="1">
      <c r="A672" s="463">
        <f t="shared" si="15"/>
        <v>74</v>
      </c>
      <c r="B672" s="464" t="s">
        <v>5216</v>
      </c>
      <c r="C672" s="476"/>
      <c r="D672" s="464" t="s">
        <v>5217</v>
      </c>
      <c r="E672" s="464" t="s">
        <v>79</v>
      </c>
      <c r="F672" s="464" t="s">
        <v>5215</v>
      </c>
      <c r="G672" s="80" t="str">
        <f>VLOOKUP(F672,'01. TH'!$B:$E,3,0)</f>
        <v>#N/A</v>
      </c>
      <c r="H672" s="475" t="s">
        <v>836</v>
      </c>
      <c r="I672" s="475"/>
      <c r="J672" s="467"/>
      <c r="K672" s="463" t="s">
        <v>865</v>
      </c>
      <c r="L672" s="467"/>
      <c r="M672" s="476"/>
      <c r="N672" s="464" t="s">
        <v>3258</v>
      </c>
      <c r="O672" s="476"/>
      <c r="P672" s="464" t="s">
        <v>3260</v>
      </c>
      <c r="Q672" s="475"/>
      <c r="R672" s="476"/>
      <c r="S672" s="476"/>
      <c r="T672" s="469"/>
      <c r="U672" s="467"/>
      <c r="V672" s="467"/>
    </row>
    <row r="673" ht="15.0" customHeight="1">
      <c r="A673" s="463">
        <f t="shared" si="15"/>
        <v>75</v>
      </c>
      <c r="B673" s="464" t="s">
        <v>5218</v>
      </c>
      <c r="C673" s="476"/>
      <c r="D673" s="464" t="s">
        <v>5219</v>
      </c>
      <c r="E673" s="464" t="s">
        <v>79</v>
      </c>
      <c r="F673" s="467" t="s">
        <v>5220</v>
      </c>
      <c r="G673" s="80" t="str">
        <f>VLOOKUP(F673,'01. TH'!$B:$E,3,0)</f>
        <v>#N/A</v>
      </c>
      <c r="H673" s="475" t="s">
        <v>836</v>
      </c>
      <c r="I673" s="475"/>
      <c r="J673" s="467"/>
      <c r="K673" s="463" t="s">
        <v>1661</v>
      </c>
      <c r="L673" s="467"/>
      <c r="M673" s="476"/>
      <c r="N673" s="464" t="s">
        <v>3258</v>
      </c>
      <c r="O673" s="476"/>
      <c r="P673" s="464" t="s">
        <v>3260</v>
      </c>
      <c r="Q673" s="475"/>
      <c r="R673" s="476"/>
      <c r="S673" s="476"/>
      <c r="T673" s="469"/>
      <c r="U673" s="467"/>
      <c r="V673" s="467"/>
    </row>
    <row r="674" ht="15.0" customHeight="1">
      <c r="A674" s="463">
        <f t="shared" si="15"/>
        <v>76</v>
      </c>
      <c r="B674" s="467" t="s">
        <v>5221</v>
      </c>
      <c r="C674" s="476"/>
      <c r="D674" s="464" t="s">
        <v>5222</v>
      </c>
      <c r="E674" s="464" t="s">
        <v>79</v>
      </c>
      <c r="F674" s="464" t="s">
        <v>5223</v>
      </c>
      <c r="G674" s="80" t="str">
        <f>VLOOKUP(F674,'01. TH'!$B:$E,3,0)</f>
        <v>#N/A</v>
      </c>
      <c r="H674" s="475" t="s">
        <v>836</v>
      </c>
      <c r="I674" s="475"/>
      <c r="J674" s="467"/>
      <c r="K674" s="463" t="s">
        <v>1661</v>
      </c>
      <c r="L674" s="467"/>
      <c r="M674" s="476"/>
      <c r="N674" s="464" t="s">
        <v>3258</v>
      </c>
      <c r="O674" s="476"/>
      <c r="P674" s="464" t="s">
        <v>3260</v>
      </c>
      <c r="Q674" s="475"/>
      <c r="R674" s="476"/>
      <c r="S674" s="476"/>
      <c r="T674" s="469"/>
      <c r="U674" s="467"/>
      <c r="V674" s="467"/>
    </row>
    <row r="675" ht="15.0" customHeight="1">
      <c r="A675" s="463">
        <f t="shared" si="15"/>
        <v>77</v>
      </c>
      <c r="B675" s="467" t="s">
        <v>5224</v>
      </c>
      <c r="C675" s="476"/>
      <c r="D675" s="464" t="s">
        <v>5225</v>
      </c>
      <c r="E675" s="464" t="s">
        <v>79</v>
      </c>
      <c r="F675" s="464" t="s">
        <v>5223</v>
      </c>
      <c r="G675" s="80" t="str">
        <f>VLOOKUP(F675,'01. TH'!$B:$E,3,0)</f>
        <v>#N/A</v>
      </c>
      <c r="H675" s="475" t="s">
        <v>836</v>
      </c>
      <c r="I675" s="475"/>
      <c r="J675" s="467"/>
      <c r="K675" s="463" t="s">
        <v>1661</v>
      </c>
      <c r="L675" s="467"/>
      <c r="M675" s="476"/>
      <c r="N675" s="464" t="s">
        <v>3258</v>
      </c>
      <c r="O675" s="476"/>
      <c r="P675" s="464" t="s">
        <v>3260</v>
      </c>
      <c r="Q675" s="475"/>
      <c r="R675" s="476"/>
      <c r="S675" s="476"/>
      <c r="T675" s="469"/>
      <c r="U675" s="467"/>
      <c r="V675" s="467"/>
    </row>
    <row r="676" ht="15.0" customHeight="1">
      <c r="A676" s="463">
        <f t="shared" si="15"/>
        <v>78</v>
      </c>
      <c r="B676" s="464" t="s">
        <v>5226</v>
      </c>
      <c r="C676" s="476"/>
      <c r="D676" s="464" t="s">
        <v>5227</v>
      </c>
      <c r="E676" s="464" t="s">
        <v>79</v>
      </c>
      <c r="F676" s="467" t="s">
        <v>5228</v>
      </c>
      <c r="G676" s="80" t="str">
        <f>VLOOKUP(F676,'01. TH'!$B:$E,3,0)</f>
        <v>#N/A</v>
      </c>
      <c r="H676" s="475" t="s">
        <v>836</v>
      </c>
      <c r="I676" s="475"/>
      <c r="J676" s="467"/>
      <c r="K676" s="463" t="s">
        <v>1661</v>
      </c>
      <c r="L676" s="467"/>
      <c r="M676" s="465" t="s">
        <v>5042</v>
      </c>
      <c r="N676" s="464" t="s">
        <v>3258</v>
      </c>
      <c r="O676" s="465" t="s">
        <v>5229</v>
      </c>
      <c r="P676" s="464" t="s">
        <v>3260</v>
      </c>
      <c r="Q676" s="475"/>
      <c r="R676" s="476"/>
      <c r="S676" s="476"/>
      <c r="T676" s="469"/>
      <c r="U676" s="467"/>
      <c r="V676" s="467"/>
    </row>
    <row r="677" ht="15.0" customHeight="1">
      <c r="A677" s="463">
        <f t="shared" si="15"/>
        <v>79</v>
      </c>
      <c r="B677" s="464" t="s">
        <v>5230</v>
      </c>
      <c r="C677" s="476"/>
      <c r="D677" s="464" t="s">
        <v>5231</v>
      </c>
      <c r="E677" s="464" t="s">
        <v>79</v>
      </c>
      <c r="F677" s="467" t="s">
        <v>5228</v>
      </c>
      <c r="G677" s="80" t="str">
        <f>VLOOKUP(F677,'01. TH'!$B:$E,3,0)</f>
        <v>#N/A</v>
      </c>
      <c r="H677" s="475" t="s">
        <v>836</v>
      </c>
      <c r="I677" s="475"/>
      <c r="J677" s="467"/>
      <c r="K677" s="463" t="s">
        <v>1661</v>
      </c>
      <c r="L677" s="467"/>
      <c r="M677" s="465" t="s">
        <v>5042</v>
      </c>
      <c r="N677" s="464" t="s">
        <v>3258</v>
      </c>
      <c r="O677" s="465" t="s">
        <v>5229</v>
      </c>
      <c r="P677" s="464" t="s">
        <v>3260</v>
      </c>
      <c r="Q677" s="475"/>
      <c r="R677" s="476"/>
      <c r="S677" s="476"/>
      <c r="T677" s="469"/>
      <c r="U677" s="467"/>
      <c r="V677" s="467"/>
    </row>
    <row r="678" ht="15.0" customHeight="1">
      <c r="A678" s="463">
        <f t="shared" si="15"/>
        <v>80</v>
      </c>
      <c r="B678" s="464" t="s">
        <v>5232</v>
      </c>
      <c r="C678" s="476"/>
      <c r="D678" s="464" t="s">
        <v>5233</v>
      </c>
      <c r="E678" s="464" t="s">
        <v>79</v>
      </c>
      <c r="F678" s="467" t="s">
        <v>5234</v>
      </c>
      <c r="G678" s="80" t="str">
        <f>VLOOKUP(F678,'01. TH'!$B:$E,3,0)</f>
        <v>#N/A</v>
      </c>
      <c r="H678" s="475" t="s">
        <v>836</v>
      </c>
      <c r="I678" s="475"/>
      <c r="J678" s="467"/>
      <c r="K678" s="463" t="s">
        <v>1661</v>
      </c>
      <c r="L678" s="467"/>
      <c r="M678" s="465" t="s">
        <v>5042</v>
      </c>
      <c r="N678" s="464" t="s">
        <v>3258</v>
      </c>
      <c r="O678" s="476"/>
      <c r="P678" s="464" t="s">
        <v>3260</v>
      </c>
      <c r="Q678" s="475"/>
      <c r="R678" s="476"/>
      <c r="S678" s="476"/>
      <c r="T678" s="469"/>
      <c r="U678" s="467"/>
      <c r="V678" s="467"/>
    </row>
    <row r="679" ht="15.0" customHeight="1">
      <c r="A679" s="463">
        <f t="shared" si="15"/>
        <v>81</v>
      </c>
      <c r="B679" s="464" t="s">
        <v>5235</v>
      </c>
      <c r="C679" s="476"/>
      <c r="D679" s="464" t="s">
        <v>5236</v>
      </c>
      <c r="E679" s="464" t="s">
        <v>79</v>
      </c>
      <c r="F679" s="467" t="s">
        <v>5237</v>
      </c>
      <c r="G679" s="80" t="str">
        <f>VLOOKUP(F679,'01. TH'!$B:$E,3,0)</f>
        <v>#N/A</v>
      </c>
      <c r="H679" s="475" t="s">
        <v>836</v>
      </c>
      <c r="I679" s="475"/>
      <c r="J679" s="467"/>
      <c r="K679" s="463" t="s">
        <v>1661</v>
      </c>
      <c r="L679" s="467"/>
      <c r="M679" s="465" t="s">
        <v>5042</v>
      </c>
      <c r="N679" s="464" t="s">
        <v>3258</v>
      </c>
      <c r="O679" s="476"/>
      <c r="P679" s="464" t="s">
        <v>3260</v>
      </c>
      <c r="Q679" s="475"/>
      <c r="R679" s="476"/>
      <c r="S679" s="476"/>
      <c r="T679" s="469"/>
      <c r="U679" s="467"/>
      <c r="V679" s="467"/>
    </row>
    <row r="680" ht="15.0" customHeight="1">
      <c r="A680" s="463">
        <f t="shared" si="15"/>
        <v>82</v>
      </c>
      <c r="B680" s="464" t="s">
        <v>5238</v>
      </c>
      <c r="C680" s="476"/>
      <c r="D680" s="464" t="s">
        <v>5239</v>
      </c>
      <c r="E680" s="464" t="s">
        <v>79</v>
      </c>
      <c r="F680" s="467" t="s">
        <v>5240</v>
      </c>
      <c r="G680" s="80" t="str">
        <f>VLOOKUP(F680,'01. TH'!$B:$E,3,0)</f>
        <v>#N/A</v>
      </c>
      <c r="H680" s="475" t="s">
        <v>836</v>
      </c>
      <c r="I680" s="475"/>
      <c r="J680" s="467"/>
      <c r="K680" s="463" t="s">
        <v>1661</v>
      </c>
      <c r="L680" s="467"/>
      <c r="M680" s="465" t="s">
        <v>5042</v>
      </c>
      <c r="N680" s="464" t="s">
        <v>3258</v>
      </c>
      <c r="O680" s="476"/>
      <c r="P680" s="464" t="s">
        <v>3260</v>
      </c>
      <c r="Q680" s="475"/>
      <c r="R680" s="476"/>
      <c r="S680" s="476"/>
      <c r="T680" s="469"/>
      <c r="U680" s="467"/>
      <c r="V680" s="467"/>
    </row>
    <row r="681" ht="15.0" customHeight="1">
      <c r="A681" s="463">
        <f t="shared" si="15"/>
        <v>83</v>
      </c>
      <c r="B681" s="467" t="s">
        <v>5241</v>
      </c>
      <c r="C681" s="476"/>
      <c r="D681" s="464" t="s">
        <v>5242</v>
      </c>
      <c r="E681" s="464" t="s">
        <v>79</v>
      </c>
      <c r="F681" s="464" t="s">
        <v>5243</v>
      </c>
      <c r="G681" s="80" t="str">
        <f>VLOOKUP(F681,'01. TH'!$B:$E,3,0)</f>
        <v>#N/A</v>
      </c>
      <c r="H681" s="475" t="s">
        <v>836</v>
      </c>
      <c r="I681" s="475"/>
      <c r="J681" s="467"/>
      <c r="K681" s="463" t="s">
        <v>1661</v>
      </c>
      <c r="L681" s="467"/>
      <c r="M681" s="465" t="s">
        <v>3581</v>
      </c>
      <c r="N681" s="464" t="s">
        <v>3258</v>
      </c>
      <c r="O681" s="476"/>
      <c r="P681" s="464" t="s">
        <v>3260</v>
      </c>
      <c r="Q681" s="475"/>
      <c r="R681" s="476"/>
      <c r="S681" s="476"/>
      <c r="T681" s="469"/>
      <c r="U681" s="467"/>
      <c r="V681" s="467"/>
    </row>
    <row r="682" ht="33.75" customHeight="1">
      <c r="A682" s="463">
        <f t="shared" si="15"/>
        <v>84</v>
      </c>
      <c r="B682" s="464" t="s">
        <v>5244</v>
      </c>
      <c r="C682" s="465" t="s">
        <v>5245</v>
      </c>
      <c r="D682" s="464" t="s">
        <v>5246</v>
      </c>
      <c r="E682" s="464" t="s">
        <v>79</v>
      </c>
      <c r="F682" s="464" t="s">
        <v>5247</v>
      </c>
      <c r="G682" s="80" t="str">
        <f>VLOOKUP(F682,'01. TH'!$B:$E,3,0)</f>
        <v>2500x800x2500</v>
      </c>
      <c r="H682" s="463" t="s">
        <v>836</v>
      </c>
      <c r="I682" s="463" t="s">
        <v>5248</v>
      </c>
      <c r="J682" s="464"/>
      <c r="K682" s="463" t="s">
        <v>865</v>
      </c>
      <c r="L682" s="464"/>
      <c r="M682" s="573" t="s">
        <v>3581</v>
      </c>
      <c r="N682" s="464" t="s">
        <v>3258</v>
      </c>
      <c r="O682" s="465"/>
      <c r="P682" s="464" t="s">
        <v>3260</v>
      </c>
      <c r="Q682" s="463"/>
      <c r="R682" s="465" t="s">
        <v>5249</v>
      </c>
      <c r="S682" s="465"/>
      <c r="T682" s="482"/>
      <c r="U682" s="464"/>
      <c r="V682" s="464"/>
    </row>
    <row r="683" ht="15.0" customHeight="1">
      <c r="A683" s="463">
        <f t="shared" si="15"/>
        <v>85</v>
      </c>
      <c r="B683" s="464" t="s">
        <v>5250</v>
      </c>
      <c r="C683" s="476"/>
      <c r="D683" s="464"/>
      <c r="E683" s="464" t="s">
        <v>79</v>
      </c>
      <c r="F683" s="464" t="s">
        <v>5247</v>
      </c>
      <c r="G683" s="80" t="str">
        <f>VLOOKUP(F683,'01. TH'!$B:$E,3,0)</f>
        <v>2500x800x2500</v>
      </c>
      <c r="H683" s="463" t="s">
        <v>836</v>
      </c>
      <c r="I683" s="463" t="s">
        <v>5251</v>
      </c>
      <c r="J683" s="467"/>
      <c r="K683" s="463" t="s">
        <v>1661</v>
      </c>
      <c r="L683" s="464"/>
      <c r="M683" s="465" t="s">
        <v>5252</v>
      </c>
      <c r="N683" s="464" t="s">
        <v>3258</v>
      </c>
      <c r="O683" s="476"/>
      <c r="P683" s="464" t="s">
        <v>3260</v>
      </c>
      <c r="Q683" s="475"/>
      <c r="R683" s="476"/>
      <c r="S683" s="476"/>
      <c r="T683" s="469"/>
      <c r="U683" s="467"/>
      <c r="V683" s="467"/>
    </row>
    <row r="684" ht="15.0" customHeight="1">
      <c r="A684" s="463">
        <f t="shared" si="15"/>
        <v>86</v>
      </c>
      <c r="B684" s="467" t="s">
        <v>5253</v>
      </c>
      <c r="C684" s="476"/>
      <c r="D684" s="464" t="s">
        <v>172</v>
      </c>
      <c r="E684" s="464" t="s">
        <v>79</v>
      </c>
      <c r="F684" s="467" t="s">
        <v>5254</v>
      </c>
      <c r="G684" s="80" t="str">
        <f>VLOOKUP(F684,'01. TH'!$B:$E,3,0)</f>
        <v>#N/A</v>
      </c>
      <c r="H684" s="475" t="s">
        <v>836</v>
      </c>
      <c r="I684" s="475"/>
      <c r="J684" s="467"/>
      <c r="K684" s="463" t="s">
        <v>1661</v>
      </c>
      <c r="L684" s="467"/>
      <c r="M684" s="465" t="s">
        <v>3581</v>
      </c>
      <c r="N684" s="464" t="s">
        <v>3258</v>
      </c>
      <c r="O684" s="476"/>
      <c r="P684" s="464" t="s">
        <v>3260</v>
      </c>
      <c r="Q684" s="475"/>
      <c r="R684" s="476"/>
      <c r="S684" s="476"/>
      <c r="T684" s="469"/>
      <c r="U684" s="467"/>
      <c r="V684" s="467"/>
    </row>
    <row r="685" ht="15.0" customHeight="1">
      <c r="A685" s="463">
        <f t="shared" si="15"/>
        <v>87</v>
      </c>
      <c r="B685" s="467" t="s">
        <v>5255</v>
      </c>
      <c r="C685" s="476"/>
      <c r="D685" s="464" t="s">
        <v>5256</v>
      </c>
      <c r="E685" s="464" t="s">
        <v>79</v>
      </c>
      <c r="F685" s="464" t="s">
        <v>5257</v>
      </c>
      <c r="G685" s="80" t="str">
        <f>VLOOKUP(F685,'01. TH'!$B:$E,3,0)</f>
        <v>#N/A</v>
      </c>
      <c r="H685" s="475" t="s">
        <v>836</v>
      </c>
      <c r="I685" s="466">
        <v>45413.0</v>
      </c>
      <c r="J685" s="499">
        <v>0.96</v>
      </c>
      <c r="K685" s="463" t="s">
        <v>1661</v>
      </c>
      <c r="L685" s="464"/>
      <c r="M685" s="465" t="s">
        <v>336</v>
      </c>
      <c r="N685" s="464" t="s">
        <v>4437</v>
      </c>
      <c r="O685" s="465" t="s">
        <v>4438</v>
      </c>
      <c r="P685" s="468" t="s">
        <v>260</v>
      </c>
      <c r="Q685" s="463">
        <v>2023.0</v>
      </c>
      <c r="R685" s="598" t="s">
        <v>5258</v>
      </c>
      <c r="S685" s="465" t="s">
        <v>5259</v>
      </c>
      <c r="T685" s="482">
        <v>0.3</v>
      </c>
      <c r="U685" s="464" t="s">
        <v>4439</v>
      </c>
      <c r="V685" s="464"/>
    </row>
    <row r="686" ht="15.0" customHeight="1">
      <c r="A686" s="463">
        <f t="shared" si="15"/>
        <v>88</v>
      </c>
      <c r="B686" s="467" t="s">
        <v>5260</v>
      </c>
      <c r="C686" s="465"/>
      <c r="D686" s="464" t="s">
        <v>5261</v>
      </c>
      <c r="E686" s="464" t="s">
        <v>79</v>
      </c>
      <c r="F686" s="464" t="s">
        <v>5257</v>
      </c>
      <c r="G686" s="80" t="str">
        <f>VLOOKUP(F686,'01. TH'!$B:$E,3,0)</f>
        <v>#N/A</v>
      </c>
      <c r="H686" s="475" t="s">
        <v>836</v>
      </c>
      <c r="I686" s="463" t="s">
        <v>459</v>
      </c>
      <c r="J686" s="464"/>
      <c r="K686" s="463" t="s">
        <v>1661</v>
      </c>
      <c r="L686" s="464"/>
      <c r="M686" s="465" t="s">
        <v>336</v>
      </c>
      <c r="N686" s="464" t="s">
        <v>4437</v>
      </c>
      <c r="O686" s="465" t="s">
        <v>4438</v>
      </c>
      <c r="P686" s="468" t="s">
        <v>260</v>
      </c>
      <c r="Q686" s="463">
        <v>2023.0</v>
      </c>
      <c r="R686" s="598" t="s">
        <v>5258</v>
      </c>
      <c r="S686" s="465">
        <v>631513.0</v>
      </c>
      <c r="T686" s="482">
        <v>0.3</v>
      </c>
      <c r="U686" s="464" t="s">
        <v>4439</v>
      </c>
      <c r="V686" s="464"/>
    </row>
    <row r="687" ht="15.0" customHeight="1">
      <c r="A687" s="463">
        <f t="shared" si="15"/>
        <v>89</v>
      </c>
      <c r="B687" s="467" t="s">
        <v>5262</v>
      </c>
      <c r="C687" s="465"/>
      <c r="D687" s="464" t="s">
        <v>5263</v>
      </c>
      <c r="E687" s="464" t="s">
        <v>79</v>
      </c>
      <c r="F687" s="464" t="s">
        <v>5257</v>
      </c>
      <c r="G687" s="80" t="str">
        <f>VLOOKUP(F687,'01. TH'!$B:$E,3,0)</f>
        <v>#N/A</v>
      </c>
      <c r="H687" s="475" t="s">
        <v>836</v>
      </c>
      <c r="I687" s="463" t="s">
        <v>220</v>
      </c>
      <c r="J687" s="464"/>
      <c r="K687" s="510" t="s">
        <v>865</v>
      </c>
      <c r="L687" s="464"/>
      <c r="M687" s="465" t="s">
        <v>336</v>
      </c>
      <c r="N687" s="464" t="s">
        <v>4437</v>
      </c>
      <c r="O687" s="465" t="s">
        <v>4438</v>
      </c>
      <c r="P687" s="468" t="s">
        <v>260</v>
      </c>
      <c r="Q687" s="463">
        <v>2023.0</v>
      </c>
      <c r="R687" s="598" t="s">
        <v>5258</v>
      </c>
      <c r="S687" s="465">
        <v>631514.0</v>
      </c>
      <c r="T687" s="482">
        <v>0.3</v>
      </c>
      <c r="U687" s="464" t="s">
        <v>4439</v>
      </c>
      <c r="V687" s="464"/>
    </row>
    <row r="688" ht="15.0" customHeight="1">
      <c r="A688" s="463">
        <f t="shared" si="15"/>
        <v>90</v>
      </c>
      <c r="B688" s="467" t="s">
        <v>5264</v>
      </c>
      <c r="C688" s="497"/>
      <c r="D688" s="464" t="s">
        <v>5265</v>
      </c>
      <c r="E688" s="464" t="s">
        <v>79</v>
      </c>
      <c r="F688" s="464" t="s">
        <v>5257</v>
      </c>
      <c r="G688" s="80" t="str">
        <f>VLOOKUP(F688,'01. TH'!$B:$E,3,0)</f>
        <v>#N/A</v>
      </c>
      <c r="H688" s="475" t="s">
        <v>836</v>
      </c>
      <c r="I688" s="463" t="s">
        <v>5266</v>
      </c>
      <c r="J688" s="483"/>
      <c r="K688" s="463" t="s">
        <v>1661</v>
      </c>
      <c r="L688" s="464"/>
      <c r="M688" s="465" t="s">
        <v>336</v>
      </c>
      <c r="N688" s="464" t="s">
        <v>4437</v>
      </c>
      <c r="O688" s="465" t="s">
        <v>4438</v>
      </c>
      <c r="P688" s="468" t="s">
        <v>260</v>
      </c>
      <c r="Q688" s="463">
        <v>2024.0</v>
      </c>
      <c r="R688" s="598" t="s">
        <v>5258</v>
      </c>
      <c r="S688" s="465">
        <v>631512.0</v>
      </c>
      <c r="T688" s="482">
        <v>0.3</v>
      </c>
      <c r="U688" s="464" t="s">
        <v>4439</v>
      </c>
      <c r="V688" s="483"/>
    </row>
    <row r="689" ht="15.0" customHeight="1">
      <c r="A689" s="463">
        <f t="shared" si="15"/>
        <v>91</v>
      </c>
      <c r="B689" s="467" t="s">
        <v>5267</v>
      </c>
      <c r="C689" s="464" t="s">
        <v>5268</v>
      </c>
      <c r="D689" s="464" t="s">
        <v>4900</v>
      </c>
      <c r="E689" s="464" t="s">
        <v>79</v>
      </c>
      <c r="F689" s="464" t="s">
        <v>4436</v>
      </c>
      <c r="G689" s="80" t="str">
        <f>VLOOKUP(F689,'01. TH'!$B:$E,3,0)</f>
        <v>#N/A</v>
      </c>
      <c r="H689" s="475" t="s">
        <v>836</v>
      </c>
      <c r="I689" s="463" t="s">
        <v>3090</v>
      </c>
      <c r="J689" s="464"/>
      <c r="K689" s="510" t="s">
        <v>865</v>
      </c>
      <c r="L689" s="465" t="s">
        <v>5269</v>
      </c>
      <c r="M689" s="465" t="s">
        <v>5252</v>
      </c>
      <c r="N689" s="464" t="s">
        <v>4437</v>
      </c>
      <c r="O689" s="476" t="s">
        <v>4438</v>
      </c>
      <c r="P689" s="467" t="s">
        <v>148</v>
      </c>
      <c r="Q689" s="475">
        <v>2024.0</v>
      </c>
      <c r="R689" s="476" t="s">
        <v>4901</v>
      </c>
      <c r="S689" s="465">
        <v>631511.0</v>
      </c>
      <c r="T689" s="482">
        <v>0.3</v>
      </c>
      <c r="U689" s="464" t="s">
        <v>4439</v>
      </c>
      <c r="V689" s="465"/>
    </row>
    <row r="690" ht="15.0" customHeight="1">
      <c r="A690" s="463"/>
      <c r="B690" s="467" t="s">
        <v>5270</v>
      </c>
      <c r="C690" s="464" t="s">
        <v>4902</v>
      </c>
      <c r="D690" s="464" t="s">
        <v>4900</v>
      </c>
      <c r="E690" s="464" t="s">
        <v>79</v>
      </c>
      <c r="F690" s="464" t="s">
        <v>4436</v>
      </c>
      <c r="G690" s="80"/>
      <c r="H690" s="475" t="s">
        <v>836</v>
      </c>
      <c r="I690" s="463">
        <v>46028.0</v>
      </c>
      <c r="J690" s="464"/>
      <c r="K690" s="510" t="s">
        <v>1661</v>
      </c>
      <c r="L690" s="465" t="s">
        <v>5271</v>
      </c>
      <c r="M690" s="465" t="s">
        <v>5252</v>
      </c>
      <c r="N690" s="464" t="s">
        <v>4437</v>
      </c>
      <c r="O690" s="476" t="s">
        <v>4438</v>
      </c>
      <c r="P690" s="467" t="s">
        <v>148</v>
      </c>
      <c r="Q690" s="475">
        <v>2024.0</v>
      </c>
      <c r="R690" s="476" t="s">
        <v>4901</v>
      </c>
      <c r="S690" s="465">
        <v>630745.0</v>
      </c>
      <c r="T690" s="482">
        <v>0.3</v>
      </c>
      <c r="U690" s="464" t="s">
        <v>4439</v>
      </c>
      <c r="V690" s="465"/>
    </row>
    <row r="691" ht="15.0" customHeight="1">
      <c r="A691" s="463">
        <f>A689+1</f>
        <v>92</v>
      </c>
      <c r="B691" s="467" t="s">
        <v>5272</v>
      </c>
      <c r="C691" s="497"/>
      <c r="D691" s="464"/>
      <c r="E691" s="464" t="s">
        <v>79</v>
      </c>
      <c r="F691" s="464" t="s">
        <v>5273</v>
      </c>
      <c r="G691" s="80" t="str">
        <f>VLOOKUP(F691,'01. TH'!$B:$E,3,0)</f>
        <v/>
      </c>
      <c r="H691" s="475" t="s">
        <v>836</v>
      </c>
      <c r="I691" s="466">
        <v>45422.0</v>
      </c>
      <c r="J691" s="483"/>
      <c r="K691" s="463" t="s">
        <v>1661</v>
      </c>
      <c r="L691" s="464"/>
      <c r="M691" s="465" t="s">
        <v>336</v>
      </c>
      <c r="N691" s="464" t="s">
        <v>5274</v>
      </c>
      <c r="O691" s="465" t="s">
        <v>5275</v>
      </c>
      <c r="P691" s="468" t="s">
        <v>260</v>
      </c>
      <c r="Q691" s="463" t="s">
        <v>76</v>
      </c>
      <c r="R691" s="465"/>
      <c r="S691" s="465" t="s">
        <v>5276</v>
      </c>
      <c r="T691" s="599"/>
      <c r="U691" s="483"/>
      <c r="V691" s="483"/>
    </row>
    <row r="692" ht="15.0" customHeight="1">
      <c r="A692" s="463">
        <f t="shared" ref="A692:A760" si="16">A691+1</f>
        <v>93</v>
      </c>
      <c r="B692" s="467" t="s">
        <v>5277</v>
      </c>
      <c r="C692" s="497"/>
      <c r="D692" s="464"/>
      <c r="E692" s="464" t="s">
        <v>79</v>
      </c>
      <c r="F692" s="464" t="s">
        <v>5273</v>
      </c>
      <c r="G692" s="80" t="str">
        <f>VLOOKUP(F692,'01. TH'!$B:$E,3,0)</f>
        <v/>
      </c>
      <c r="H692" s="475" t="s">
        <v>836</v>
      </c>
      <c r="I692" s="466">
        <v>45422.0</v>
      </c>
      <c r="J692" s="483"/>
      <c r="K692" s="463" t="s">
        <v>1661</v>
      </c>
      <c r="L692" s="464"/>
      <c r="M692" s="465" t="s">
        <v>336</v>
      </c>
      <c r="N692" s="464" t="s">
        <v>5274</v>
      </c>
      <c r="O692" s="465" t="s">
        <v>5275</v>
      </c>
      <c r="P692" s="468" t="s">
        <v>260</v>
      </c>
      <c r="Q692" s="463"/>
      <c r="R692" s="465" t="s">
        <v>76</v>
      </c>
      <c r="S692" s="465" t="s">
        <v>76</v>
      </c>
      <c r="T692" s="599"/>
      <c r="U692" s="483"/>
      <c r="V692" s="483"/>
    </row>
    <row r="693" ht="15.0" customHeight="1">
      <c r="A693" s="463">
        <f t="shared" si="16"/>
        <v>94</v>
      </c>
      <c r="B693" s="467" t="s">
        <v>5278</v>
      </c>
      <c r="C693" s="465"/>
      <c r="D693" s="464"/>
      <c r="E693" s="464" t="s">
        <v>79</v>
      </c>
      <c r="F693" s="464" t="s">
        <v>5273</v>
      </c>
      <c r="G693" s="80" t="str">
        <f>VLOOKUP(F693,'01. TH'!$B:$E,3,0)</f>
        <v/>
      </c>
      <c r="H693" s="475" t="s">
        <v>836</v>
      </c>
      <c r="I693" s="463" t="s">
        <v>1736</v>
      </c>
      <c r="J693" s="464"/>
      <c r="K693" s="463" t="s">
        <v>1661</v>
      </c>
      <c r="L693" s="464"/>
      <c r="M693" s="465" t="s">
        <v>336</v>
      </c>
      <c r="N693" s="464" t="s">
        <v>5274</v>
      </c>
      <c r="O693" s="465" t="s">
        <v>5275</v>
      </c>
      <c r="P693" s="468" t="s">
        <v>260</v>
      </c>
      <c r="Q693" s="463"/>
      <c r="R693" s="465"/>
      <c r="S693" s="465" t="s">
        <v>5279</v>
      </c>
      <c r="T693" s="482"/>
      <c r="U693" s="464"/>
      <c r="V693" s="464"/>
    </row>
    <row r="694" ht="15.0" customHeight="1">
      <c r="A694" s="463">
        <f t="shared" si="16"/>
        <v>95</v>
      </c>
      <c r="B694" s="467" t="s">
        <v>5280</v>
      </c>
      <c r="C694" s="465"/>
      <c r="D694" s="464"/>
      <c r="E694" s="464" t="s">
        <v>79</v>
      </c>
      <c r="F694" s="464" t="s">
        <v>5273</v>
      </c>
      <c r="G694" s="80" t="str">
        <f>VLOOKUP(F694,'01. TH'!$B:$E,3,0)</f>
        <v/>
      </c>
      <c r="H694" s="475" t="s">
        <v>836</v>
      </c>
      <c r="I694" s="463" t="s">
        <v>1736</v>
      </c>
      <c r="J694" s="464"/>
      <c r="K694" s="463" t="s">
        <v>1661</v>
      </c>
      <c r="L694" s="464"/>
      <c r="M694" s="465" t="s">
        <v>336</v>
      </c>
      <c r="N694" s="464" t="s">
        <v>5274</v>
      </c>
      <c r="O694" s="465" t="s">
        <v>5275</v>
      </c>
      <c r="P694" s="468" t="s">
        <v>260</v>
      </c>
      <c r="Q694" s="463"/>
      <c r="R694" s="465"/>
      <c r="S694" s="465">
        <v>4.6200892E7</v>
      </c>
      <c r="T694" s="482"/>
      <c r="U694" s="464"/>
      <c r="V694" s="464"/>
    </row>
    <row r="695" ht="15.0" customHeight="1">
      <c r="A695" s="463">
        <f t="shared" si="16"/>
        <v>96</v>
      </c>
      <c r="B695" s="467" t="s">
        <v>5281</v>
      </c>
      <c r="C695" s="465"/>
      <c r="D695" s="464"/>
      <c r="E695" s="464" t="s">
        <v>79</v>
      </c>
      <c r="F695" s="464" t="s">
        <v>5273</v>
      </c>
      <c r="G695" s="80" t="str">
        <f>VLOOKUP(F695,'01. TH'!$B:$E,3,0)</f>
        <v/>
      </c>
      <c r="H695" s="475" t="s">
        <v>836</v>
      </c>
      <c r="I695" s="463" t="s">
        <v>1736</v>
      </c>
      <c r="J695" s="464"/>
      <c r="K695" s="463" t="s">
        <v>1661</v>
      </c>
      <c r="L695" s="464"/>
      <c r="M695" s="465" t="s">
        <v>336</v>
      </c>
      <c r="N695" s="464" t="s">
        <v>5274</v>
      </c>
      <c r="O695" s="465" t="s">
        <v>5275</v>
      </c>
      <c r="P695" s="468" t="s">
        <v>260</v>
      </c>
      <c r="Q695" s="463"/>
      <c r="R695" s="465"/>
      <c r="S695" s="465" t="s">
        <v>5282</v>
      </c>
      <c r="T695" s="482"/>
      <c r="U695" s="464"/>
      <c r="V695" s="464"/>
    </row>
    <row r="696" ht="15.0" customHeight="1">
      <c r="A696" s="463">
        <f t="shared" si="16"/>
        <v>97</v>
      </c>
      <c r="B696" s="467" t="s">
        <v>5283</v>
      </c>
      <c r="C696" s="465"/>
      <c r="D696" s="464"/>
      <c r="E696" s="464" t="s">
        <v>79</v>
      </c>
      <c r="F696" s="464" t="s">
        <v>5273</v>
      </c>
      <c r="G696" s="80" t="str">
        <f>VLOOKUP(F696,'01. TH'!$B:$E,3,0)</f>
        <v/>
      </c>
      <c r="H696" s="475" t="s">
        <v>836</v>
      </c>
      <c r="I696" s="466">
        <v>45323.0</v>
      </c>
      <c r="J696" s="464"/>
      <c r="K696" s="463" t="s">
        <v>1661</v>
      </c>
      <c r="L696" s="464"/>
      <c r="M696" s="465" t="s">
        <v>336</v>
      </c>
      <c r="N696" s="464" t="s">
        <v>5274</v>
      </c>
      <c r="O696" s="465" t="s">
        <v>5275</v>
      </c>
      <c r="P696" s="468" t="s">
        <v>260</v>
      </c>
      <c r="Q696" s="463"/>
      <c r="R696" s="465"/>
      <c r="S696" s="465" t="s">
        <v>5284</v>
      </c>
      <c r="T696" s="482"/>
      <c r="U696" s="464"/>
      <c r="V696" s="464"/>
    </row>
    <row r="697" ht="15.0" customHeight="1">
      <c r="A697" s="463">
        <f t="shared" si="16"/>
        <v>98</v>
      </c>
      <c r="B697" s="464" t="s">
        <v>5285</v>
      </c>
      <c r="C697" s="465"/>
      <c r="D697" s="464"/>
      <c r="E697" s="464" t="s">
        <v>79</v>
      </c>
      <c r="F697" s="464" t="s">
        <v>3899</v>
      </c>
      <c r="G697" s="80" t="str">
        <f>VLOOKUP(F697,'01. TH'!$B:$E,3,0)</f>
        <v/>
      </c>
      <c r="H697" s="475" t="s">
        <v>836</v>
      </c>
      <c r="I697" s="466">
        <v>45514.0</v>
      </c>
      <c r="J697" s="464"/>
      <c r="K697" s="463" t="s">
        <v>1661</v>
      </c>
      <c r="L697" s="464"/>
      <c r="M697" s="465" t="s">
        <v>336</v>
      </c>
      <c r="N697" s="464" t="s">
        <v>5286</v>
      </c>
      <c r="O697" s="465" t="s">
        <v>5287</v>
      </c>
      <c r="P697" s="468" t="s">
        <v>260</v>
      </c>
      <c r="Q697" s="463"/>
      <c r="R697" s="464"/>
      <c r="S697" s="465" t="s">
        <v>5288</v>
      </c>
      <c r="T697" s="482"/>
      <c r="U697" s="464"/>
      <c r="V697" s="464"/>
    </row>
    <row r="698" ht="15.0" customHeight="1">
      <c r="A698" s="463">
        <f t="shared" si="16"/>
        <v>99</v>
      </c>
      <c r="B698" s="464" t="s">
        <v>5289</v>
      </c>
      <c r="C698" s="465"/>
      <c r="D698" s="464"/>
      <c r="E698" s="464" t="s">
        <v>79</v>
      </c>
      <c r="F698" s="464" t="s">
        <v>3899</v>
      </c>
      <c r="G698" s="80" t="str">
        <f>VLOOKUP(F698,'01. TH'!$B:$E,3,0)</f>
        <v/>
      </c>
      <c r="H698" s="475" t="s">
        <v>836</v>
      </c>
      <c r="I698" s="466">
        <v>45514.0</v>
      </c>
      <c r="J698" s="464"/>
      <c r="K698" s="463" t="s">
        <v>1661</v>
      </c>
      <c r="L698" s="464"/>
      <c r="M698" s="465" t="s">
        <v>336</v>
      </c>
      <c r="N698" s="464" t="s">
        <v>5286</v>
      </c>
      <c r="O698" s="465" t="s">
        <v>5287</v>
      </c>
      <c r="P698" s="468" t="s">
        <v>260</v>
      </c>
      <c r="Q698" s="463"/>
      <c r="R698" s="464"/>
      <c r="S698" s="465" t="s">
        <v>5290</v>
      </c>
      <c r="T698" s="482"/>
      <c r="U698" s="464"/>
      <c r="V698" s="464"/>
    </row>
    <row r="699" ht="15.0" customHeight="1">
      <c r="A699" s="463">
        <f t="shared" si="16"/>
        <v>100</v>
      </c>
      <c r="B699" s="464" t="s">
        <v>5291</v>
      </c>
      <c r="C699" s="465"/>
      <c r="D699" s="464"/>
      <c r="E699" s="464" t="s">
        <v>79</v>
      </c>
      <c r="F699" s="464" t="s">
        <v>3899</v>
      </c>
      <c r="G699" s="80" t="str">
        <f>VLOOKUP(F699,'01. TH'!$B:$E,3,0)</f>
        <v/>
      </c>
      <c r="H699" s="475" t="s">
        <v>836</v>
      </c>
      <c r="I699" s="466">
        <v>45514.0</v>
      </c>
      <c r="J699" s="464"/>
      <c r="K699" s="463" t="s">
        <v>1661</v>
      </c>
      <c r="L699" s="464"/>
      <c r="M699" s="465" t="s">
        <v>336</v>
      </c>
      <c r="N699" s="464" t="s">
        <v>5286</v>
      </c>
      <c r="O699" s="465" t="s">
        <v>5287</v>
      </c>
      <c r="P699" s="468" t="s">
        <v>260</v>
      </c>
      <c r="Q699" s="463"/>
      <c r="R699" s="464"/>
      <c r="S699" s="465" t="s">
        <v>5292</v>
      </c>
      <c r="T699" s="482"/>
      <c r="U699" s="464"/>
      <c r="V699" s="464"/>
    </row>
    <row r="700" ht="15.0" customHeight="1">
      <c r="A700" s="463">
        <f t="shared" si="16"/>
        <v>101</v>
      </c>
      <c r="B700" s="464" t="s">
        <v>5293</v>
      </c>
      <c r="C700" s="465" t="s">
        <v>5294</v>
      </c>
      <c r="D700" s="464" t="s">
        <v>5295</v>
      </c>
      <c r="E700" s="464" t="s">
        <v>3238</v>
      </c>
      <c r="F700" s="464" t="s">
        <v>5296</v>
      </c>
      <c r="G700" s="80" t="str">
        <f>VLOOKUP(F700,'01. TH'!$B:$E,3,0)</f>
        <v>150x150x200</v>
      </c>
      <c r="H700" s="475" t="s">
        <v>836</v>
      </c>
      <c r="I700" s="466">
        <v>45294.0</v>
      </c>
      <c r="J700" s="464"/>
      <c r="K700" s="463" t="s">
        <v>1661</v>
      </c>
      <c r="L700" s="464"/>
      <c r="M700" s="465" t="s">
        <v>336</v>
      </c>
      <c r="N700" s="464" t="s">
        <v>5286</v>
      </c>
      <c r="O700" s="465" t="s">
        <v>5287</v>
      </c>
      <c r="P700" s="468" t="s">
        <v>260</v>
      </c>
      <c r="Q700" s="463"/>
      <c r="R700" s="465"/>
      <c r="S700" s="465"/>
      <c r="T700" s="482"/>
      <c r="U700" s="464"/>
      <c r="V700" s="464"/>
    </row>
    <row r="701" ht="15.0" customHeight="1">
      <c r="A701" s="463">
        <f t="shared" si="16"/>
        <v>102</v>
      </c>
      <c r="B701" s="464" t="s">
        <v>5297</v>
      </c>
      <c r="C701" s="476"/>
      <c r="D701" s="464" t="s">
        <v>5298</v>
      </c>
      <c r="E701" s="464" t="s">
        <v>3238</v>
      </c>
      <c r="F701" s="464" t="s">
        <v>5299</v>
      </c>
      <c r="G701" s="80" t="str">
        <f>VLOOKUP(F701,'01. TH'!$B:$E,3,0)</f>
        <v>150x150x200</v>
      </c>
      <c r="H701" s="463" t="s">
        <v>836</v>
      </c>
      <c r="I701" s="463" t="s">
        <v>227</v>
      </c>
      <c r="J701" s="464"/>
      <c r="K701" s="463" t="s">
        <v>1661</v>
      </c>
      <c r="L701" s="464"/>
      <c r="M701" s="465" t="s">
        <v>336</v>
      </c>
      <c r="N701" s="464" t="s">
        <v>3624</v>
      </c>
      <c r="O701" s="465" t="s">
        <v>3804</v>
      </c>
      <c r="P701" s="464" t="s">
        <v>3626</v>
      </c>
      <c r="Q701" s="463">
        <v>2024.0</v>
      </c>
      <c r="R701" s="465"/>
      <c r="S701" s="465">
        <v>3453782.0</v>
      </c>
      <c r="T701" s="482"/>
      <c r="U701" s="464"/>
      <c r="V701" s="464"/>
    </row>
    <row r="702" ht="15.0" customHeight="1">
      <c r="A702" s="463">
        <f t="shared" si="16"/>
        <v>103</v>
      </c>
      <c r="B702" s="464" t="s">
        <v>5300</v>
      </c>
      <c r="C702" s="476"/>
      <c r="D702" s="464" t="s">
        <v>5301</v>
      </c>
      <c r="E702" s="464" t="s">
        <v>3238</v>
      </c>
      <c r="F702" s="464" t="s">
        <v>5299</v>
      </c>
      <c r="G702" s="80" t="str">
        <f>VLOOKUP(F702,'01. TH'!$B:$E,3,0)</f>
        <v>150x150x200</v>
      </c>
      <c r="H702" s="463" t="s">
        <v>836</v>
      </c>
      <c r="I702" s="466">
        <v>45789.0</v>
      </c>
      <c r="J702" s="464"/>
      <c r="K702" s="463" t="s">
        <v>1661</v>
      </c>
      <c r="L702" s="464"/>
      <c r="M702" s="465" t="s">
        <v>336</v>
      </c>
      <c r="N702" s="464"/>
      <c r="O702" s="465"/>
      <c r="P702" s="464" t="s">
        <v>260</v>
      </c>
      <c r="Q702" s="463">
        <v>2025.0</v>
      </c>
      <c r="R702" s="465"/>
      <c r="S702" s="465"/>
      <c r="T702" s="482"/>
      <c r="U702" s="464"/>
      <c r="V702" s="464"/>
    </row>
    <row r="703" ht="15.0" customHeight="1">
      <c r="A703" s="463">
        <f t="shared" si="16"/>
        <v>104</v>
      </c>
      <c r="B703" s="464" t="s">
        <v>5302</v>
      </c>
      <c r="C703" s="476"/>
      <c r="D703" s="464" t="s">
        <v>5303</v>
      </c>
      <c r="E703" s="464" t="s">
        <v>3238</v>
      </c>
      <c r="F703" s="464" t="s">
        <v>5304</v>
      </c>
      <c r="G703" s="80" t="str">
        <f>VLOOKUP(F703,'01. TH'!$B:$E,3,0)</f>
        <v>150x150x200</v>
      </c>
      <c r="H703" s="463" t="s">
        <v>836</v>
      </c>
      <c r="I703" s="466">
        <v>45789.0</v>
      </c>
      <c r="J703" s="464"/>
      <c r="K703" s="463" t="s">
        <v>1661</v>
      </c>
      <c r="L703" s="464"/>
      <c r="M703" s="465" t="s">
        <v>336</v>
      </c>
      <c r="N703" s="464"/>
      <c r="O703" s="465"/>
      <c r="P703" s="464" t="s">
        <v>260</v>
      </c>
      <c r="Q703" s="463">
        <v>2025.0</v>
      </c>
      <c r="R703" s="465"/>
      <c r="S703" s="465"/>
      <c r="T703" s="482"/>
      <c r="U703" s="464"/>
      <c r="V703" s="464"/>
    </row>
    <row r="704" ht="15.0" customHeight="1">
      <c r="A704" s="463">
        <f t="shared" si="16"/>
        <v>105</v>
      </c>
      <c r="B704" s="464" t="s">
        <v>5305</v>
      </c>
      <c r="C704" s="476"/>
      <c r="D704" s="464" t="s">
        <v>5306</v>
      </c>
      <c r="E704" s="464" t="s">
        <v>3238</v>
      </c>
      <c r="F704" s="464" t="s">
        <v>5307</v>
      </c>
      <c r="G704" s="80" t="str">
        <f>VLOOKUP(F704,'01. TH'!$B:$E,3,0)</f>
        <v>#N/A</v>
      </c>
      <c r="H704" s="463" t="s">
        <v>836</v>
      </c>
      <c r="I704" s="466"/>
      <c r="J704" s="464"/>
      <c r="K704" s="463" t="s">
        <v>1661</v>
      </c>
      <c r="L704" s="464"/>
      <c r="M704" s="465" t="s">
        <v>336</v>
      </c>
      <c r="N704" s="464" t="s">
        <v>3836</v>
      </c>
      <c r="O704" s="465" t="s">
        <v>3710</v>
      </c>
      <c r="P704" s="464" t="s">
        <v>662</v>
      </c>
      <c r="Q704" s="463">
        <v>2023.0</v>
      </c>
      <c r="R704" s="465"/>
      <c r="S704" s="465"/>
      <c r="T704" s="482"/>
      <c r="U704" s="464"/>
      <c r="V704" s="464"/>
    </row>
    <row r="705" ht="15.0" customHeight="1">
      <c r="A705" s="463">
        <f t="shared" si="16"/>
        <v>106</v>
      </c>
      <c r="B705" s="464" t="s">
        <v>5308</v>
      </c>
      <c r="C705" s="476"/>
      <c r="D705" s="464" t="s">
        <v>5309</v>
      </c>
      <c r="E705" s="464" t="s">
        <v>3238</v>
      </c>
      <c r="F705" s="464" t="s">
        <v>5307</v>
      </c>
      <c r="G705" s="80" t="str">
        <f>VLOOKUP(F705,'01. TH'!$B:$E,3,0)</f>
        <v>#N/A</v>
      </c>
      <c r="H705" s="463" t="s">
        <v>836</v>
      </c>
      <c r="I705" s="466">
        <v>45455.0</v>
      </c>
      <c r="J705" s="464"/>
      <c r="K705" s="463" t="s">
        <v>1661</v>
      </c>
      <c r="L705" s="464"/>
      <c r="M705" s="465" t="s">
        <v>336</v>
      </c>
      <c r="N705" s="464" t="s">
        <v>3836</v>
      </c>
      <c r="O705" s="465" t="s">
        <v>3710</v>
      </c>
      <c r="P705" s="464" t="s">
        <v>662</v>
      </c>
      <c r="Q705" s="463">
        <v>2024.0</v>
      </c>
      <c r="R705" s="465" t="s">
        <v>5310</v>
      </c>
      <c r="S705" s="465"/>
      <c r="T705" s="482"/>
      <c r="U705" s="464"/>
      <c r="V705" s="464"/>
    </row>
    <row r="706" ht="15.0" customHeight="1">
      <c r="A706" s="463">
        <f t="shared" si="16"/>
        <v>107</v>
      </c>
      <c r="B706" s="464" t="s">
        <v>5311</v>
      </c>
      <c r="C706" s="476"/>
      <c r="D706" s="464" t="s">
        <v>5312</v>
      </c>
      <c r="E706" s="464" t="s">
        <v>3238</v>
      </c>
      <c r="F706" s="464" t="s">
        <v>5307</v>
      </c>
      <c r="G706" s="80"/>
      <c r="H706" s="463" t="s">
        <v>836</v>
      </c>
      <c r="I706" s="466">
        <v>46060.0</v>
      </c>
      <c r="J706" s="464"/>
      <c r="K706" s="463" t="s">
        <v>1661</v>
      </c>
      <c r="L706" s="464"/>
      <c r="M706" s="465" t="s">
        <v>5313</v>
      </c>
      <c r="N706" s="464" t="s">
        <v>3836</v>
      </c>
      <c r="O706" s="465" t="s">
        <v>3710</v>
      </c>
      <c r="P706" s="464" t="s">
        <v>662</v>
      </c>
      <c r="Q706" s="463">
        <v>2026.0</v>
      </c>
      <c r="R706" s="465"/>
      <c r="S706" s="465" t="s">
        <v>5314</v>
      </c>
      <c r="T706" s="482"/>
      <c r="U706" s="464"/>
      <c r="V706" s="464"/>
    </row>
    <row r="707" ht="15.0" customHeight="1">
      <c r="A707" s="463">
        <f t="shared" si="16"/>
        <v>108</v>
      </c>
      <c r="B707" s="464" t="s">
        <v>5315</v>
      </c>
      <c r="C707" s="476" t="s">
        <v>3834</v>
      </c>
      <c r="D707" s="464" t="s">
        <v>3835</v>
      </c>
      <c r="E707" s="464" t="s">
        <v>3238</v>
      </c>
      <c r="F707" s="464" t="s">
        <v>3708</v>
      </c>
      <c r="G707" s="80"/>
      <c r="H707" s="463" t="s">
        <v>836</v>
      </c>
      <c r="I707" s="466">
        <v>46241.0</v>
      </c>
      <c r="J707" s="464"/>
      <c r="K707" s="463" t="s">
        <v>1661</v>
      </c>
      <c r="L707" s="464" t="s">
        <v>5316</v>
      </c>
      <c r="M707" s="465" t="s">
        <v>5252</v>
      </c>
      <c r="N707" s="464" t="s">
        <v>3836</v>
      </c>
      <c r="O707" s="465" t="s">
        <v>3711</v>
      </c>
      <c r="P707" s="465">
        <v>2025.0</v>
      </c>
      <c r="Q707" s="463" t="s">
        <v>5317</v>
      </c>
      <c r="R707" s="465" t="s">
        <v>5010</v>
      </c>
      <c r="S707" s="465" t="s">
        <v>3837</v>
      </c>
      <c r="T707" s="482"/>
      <c r="U707" s="464"/>
      <c r="V707" s="464"/>
    </row>
    <row r="708" ht="15.0" customHeight="1">
      <c r="A708" s="463">
        <f t="shared" si="16"/>
        <v>109</v>
      </c>
      <c r="B708" s="464" t="s">
        <v>5318</v>
      </c>
      <c r="C708" s="465" t="s">
        <v>5319</v>
      </c>
      <c r="D708" s="464" t="s">
        <v>5320</v>
      </c>
      <c r="E708" s="464" t="s">
        <v>79</v>
      </c>
      <c r="F708" s="464" t="s">
        <v>3981</v>
      </c>
      <c r="G708" s="80" t="str">
        <f>VLOOKUP(F708,'01. TH'!$B:$E,3,0)</f>
        <v>#N/A</v>
      </c>
      <c r="H708" s="463" t="s">
        <v>836</v>
      </c>
      <c r="I708" s="463" t="s">
        <v>5321</v>
      </c>
      <c r="J708" s="464"/>
      <c r="K708" s="463" t="s">
        <v>1661</v>
      </c>
      <c r="L708" s="464"/>
      <c r="M708" s="465" t="s">
        <v>4705</v>
      </c>
      <c r="N708" s="464" t="s">
        <v>3258</v>
      </c>
      <c r="O708" s="465"/>
      <c r="P708" s="464" t="s">
        <v>743</v>
      </c>
      <c r="Q708" s="463"/>
      <c r="R708" s="465" t="s">
        <v>5322</v>
      </c>
      <c r="S708" s="465"/>
      <c r="T708" s="482"/>
      <c r="U708" s="464"/>
      <c r="V708" s="464"/>
    </row>
    <row r="709" ht="14.25" customHeight="1">
      <c r="A709" s="463">
        <f t="shared" si="16"/>
        <v>110</v>
      </c>
      <c r="B709" s="464" t="s">
        <v>5323</v>
      </c>
      <c r="C709" s="465"/>
      <c r="D709" s="464" t="s">
        <v>5324</v>
      </c>
      <c r="E709" s="464" t="s">
        <v>79</v>
      </c>
      <c r="F709" s="464" t="s">
        <v>5325</v>
      </c>
      <c r="G709" s="80" t="str">
        <f>VLOOKUP(F709,'01. TH'!$B:$E,3,0)</f>
        <v/>
      </c>
      <c r="H709" s="463" t="s">
        <v>836</v>
      </c>
      <c r="I709" s="463" t="s">
        <v>870</v>
      </c>
      <c r="J709" s="464"/>
      <c r="K709" s="463" t="s">
        <v>1661</v>
      </c>
      <c r="L709" s="464"/>
      <c r="M709" s="465" t="s">
        <v>5252</v>
      </c>
      <c r="N709" s="464" t="s">
        <v>3258</v>
      </c>
      <c r="O709" s="465"/>
      <c r="P709" s="464" t="s">
        <v>743</v>
      </c>
      <c r="Q709" s="463"/>
      <c r="R709" s="465"/>
      <c r="S709" s="465"/>
      <c r="T709" s="482"/>
      <c r="U709" s="464"/>
      <c r="V709" s="464"/>
    </row>
    <row r="710" ht="15.0" customHeight="1">
      <c r="A710" s="463">
        <f t="shared" si="16"/>
        <v>111</v>
      </c>
      <c r="B710" s="464" t="s">
        <v>5326</v>
      </c>
      <c r="C710" s="465" t="s">
        <v>5327</v>
      </c>
      <c r="D710" s="464" t="s">
        <v>5328</v>
      </c>
      <c r="E710" s="464" t="s">
        <v>79</v>
      </c>
      <c r="F710" s="464" t="s">
        <v>5329</v>
      </c>
      <c r="G710" s="80" t="str">
        <f>VLOOKUP(F710,'01. TH'!$B:$E,3,0)</f>
        <v>#N/A</v>
      </c>
      <c r="H710" s="463" t="s">
        <v>836</v>
      </c>
      <c r="I710" s="463" t="s">
        <v>5330</v>
      </c>
      <c r="J710" s="464"/>
      <c r="K710" s="463" t="s">
        <v>1661</v>
      </c>
      <c r="L710" s="464"/>
      <c r="M710" s="465" t="s">
        <v>4705</v>
      </c>
      <c r="N710" s="464" t="s">
        <v>3258</v>
      </c>
      <c r="O710" s="465"/>
      <c r="P710" s="464" t="s">
        <v>743</v>
      </c>
      <c r="Q710" s="463"/>
      <c r="R710" s="465" t="s">
        <v>5331</v>
      </c>
      <c r="S710" s="465"/>
      <c r="T710" s="482"/>
      <c r="U710" s="464"/>
      <c r="V710" s="464"/>
    </row>
    <row r="711" ht="15.0" customHeight="1">
      <c r="A711" s="463">
        <f t="shared" si="16"/>
        <v>112</v>
      </c>
      <c r="B711" s="464" t="s">
        <v>5332</v>
      </c>
      <c r="C711" s="465" t="s">
        <v>5333</v>
      </c>
      <c r="D711" s="464" t="s">
        <v>5334</v>
      </c>
      <c r="E711" s="464" t="s">
        <v>79</v>
      </c>
      <c r="F711" s="464" t="s">
        <v>4497</v>
      </c>
      <c r="G711" s="80" t="str">
        <f>VLOOKUP(F711,'01. TH'!$B:$E,3,0)</f>
        <v/>
      </c>
      <c r="H711" s="463" t="s">
        <v>836</v>
      </c>
      <c r="I711" s="466">
        <v>45356.0</v>
      </c>
      <c r="J711" s="464"/>
      <c r="K711" s="463" t="s">
        <v>1661</v>
      </c>
      <c r="L711" s="464"/>
      <c r="M711" s="465" t="s">
        <v>3581</v>
      </c>
      <c r="N711" s="464" t="s">
        <v>3258</v>
      </c>
      <c r="O711" s="465" t="s">
        <v>5335</v>
      </c>
      <c r="P711" s="464" t="s">
        <v>743</v>
      </c>
      <c r="Q711" s="463"/>
      <c r="R711" s="465" t="s">
        <v>5336</v>
      </c>
      <c r="S711" s="465"/>
      <c r="T711" s="482">
        <v>6.14</v>
      </c>
      <c r="U711" s="464" t="s">
        <v>4499</v>
      </c>
      <c r="V711" s="464"/>
    </row>
    <row r="712" ht="15.0" customHeight="1">
      <c r="A712" s="463">
        <f t="shared" si="16"/>
        <v>113</v>
      </c>
      <c r="B712" s="464" t="s">
        <v>5337</v>
      </c>
      <c r="C712" s="465" t="s">
        <v>5338</v>
      </c>
      <c r="D712" s="464" t="s">
        <v>5339</v>
      </c>
      <c r="E712" s="464" t="s">
        <v>79</v>
      </c>
      <c r="F712" s="464" t="s">
        <v>5340</v>
      </c>
      <c r="G712" s="80" t="str">
        <f>VLOOKUP(F712,'01. TH'!$B:$E,3,0)</f>
        <v>#N/A</v>
      </c>
      <c r="H712" s="463" t="s">
        <v>836</v>
      </c>
      <c r="I712" s="463" t="s">
        <v>220</v>
      </c>
      <c r="J712" s="464"/>
      <c r="K712" s="463" t="s">
        <v>1661</v>
      </c>
      <c r="L712" s="464"/>
      <c r="M712" s="465" t="s">
        <v>3581</v>
      </c>
      <c r="N712" s="464" t="s">
        <v>3258</v>
      </c>
      <c r="O712" s="465" t="s">
        <v>5341</v>
      </c>
      <c r="P712" s="464" t="s">
        <v>3982</v>
      </c>
      <c r="Q712" s="463">
        <v>2024.0</v>
      </c>
      <c r="R712" s="465" t="s">
        <v>5342</v>
      </c>
      <c r="S712" s="465" t="s">
        <v>5343</v>
      </c>
      <c r="T712" s="482">
        <v>6.14</v>
      </c>
      <c r="U712" s="464" t="s">
        <v>4499</v>
      </c>
      <c r="V712" s="464"/>
    </row>
    <row r="713" ht="15.0" customHeight="1">
      <c r="A713" s="463">
        <f t="shared" si="16"/>
        <v>114</v>
      </c>
      <c r="B713" s="464" t="s">
        <v>5344</v>
      </c>
      <c r="C713" s="465" t="s">
        <v>5345</v>
      </c>
      <c r="D713" s="464" t="s">
        <v>5346</v>
      </c>
      <c r="E713" s="464" t="s">
        <v>79</v>
      </c>
      <c r="F713" s="464" t="s">
        <v>4497</v>
      </c>
      <c r="G713" s="80" t="str">
        <f>VLOOKUP(F713,'01. TH'!$B:$E,3,0)</f>
        <v/>
      </c>
      <c r="H713" s="463" t="s">
        <v>836</v>
      </c>
      <c r="I713" s="463"/>
      <c r="J713" s="464"/>
      <c r="K713" s="463" t="s">
        <v>1661</v>
      </c>
      <c r="L713" s="464"/>
      <c r="M713" s="465" t="s">
        <v>3581</v>
      </c>
      <c r="N713" s="464" t="s">
        <v>3258</v>
      </c>
      <c r="O713" s="465" t="s">
        <v>5345</v>
      </c>
      <c r="P713" s="464" t="s">
        <v>3260</v>
      </c>
      <c r="Q713" s="463">
        <v>2024.0</v>
      </c>
      <c r="R713" s="465" t="s">
        <v>5347</v>
      </c>
      <c r="S713" s="465"/>
      <c r="T713" s="482">
        <v>6.14</v>
      </c>
      <c r="U713" s="464" t="s">
        <v>4499</v>
      </c>
      <c r="V713" s="464"/>
    </row>
    <row r="714" ht="15.0" customHeight="1">
      <c r="A714" s="463">
        <f t="shared" si="16"/>
        <v>115</v>
      </c>
      <c r="B714" s="464" t="s">
        <v>5348</v>
      </c>
      <c r="C714" s="465"/>
      <c r="D714" s="464" t="s">
        <v>5349</v>
      </c>
      <c r="E714" s="464" t="s">
        <v>79</v>
      </c>
      <c r="F714" s="464" t="s">
        <v>4497</v>
      </c>
      <c r="G714" s="80" t="str">
        <f>VLOOKUP(F714,'01. TH'!$B:$E,3,0)</f>
        <v/>
      </c>
      <c r="H714" s="463" t="s">
        <v>836</v>
      </c>
      <c r="I714" s="463" t="s">
        <v>5350</v>
      </c>
      <c r="J714" s="464"/>
      <c r="K714" s="463" t="s">
        <v>1661</v>
      </c>
      <c r="L714" s="464"/>
      <c r="M714" s="465" t="s">
        <v>3581</v>
      </c>
      <c r="N714" s="464" t="s">
        <v>3258</v>
      </c>
      <c r="O714" s="465" t="s">
        <v>5351</v>
      </c>
      <c r="P714" s="464" t="s">
        <v>3260</v>
      </c>
      <c r="Q714" s="463">
        <v>2025.0</v>
      </c>
      <c r="R714" s="465" t="s">
        <v>5347</v>
      </c>
      <c r="S714" s="465"/>
      <c r="T714" s="482">
        <v>6.14</v>
      </c>
      <c r="U714" s="464" t="s">
        <v>4499</v>
      </c>
      <c r="V714" s="464"/>
    </row>
    <row r="715" ht="15.0" customHeight="1">
      <c r="A715" s="463">
        <f t="shared" si="16"/>
        <v>116</v>
      </c>
      <c r="B715" s="464" t="s">
        <v>5352</v>
      </c>
      <c r="C715" s="465"/>
      <c r="D715" s="464" t="s">
        <v>5353</v>
      </c>
      <c r="E715" s="464" t="s">
        <v>79</v>
      </c>
      <c r="F715" s="464" t="s">
        <v>4497</v>
      </c>
      <c r="G715" s="80" t="str">
        <f>VLOOKUP(F715,'01. TH'!$B:$E,3,0)</f>
        <v/>
      </c>
      <c r="H715" s="463" t="s">
        <v>836</v>
      </c>
      <c r="I715" s="463" t="s">
        <v>5350</v>
      </c>
      <c r="J715" s="464"/>
      <c r="K715" s="463" t="s">
        <v>1661</v>
      </c>
      <c r="L715" s="464"/>
      <c r="M715" s="465" t="s">
        <v>3581</v>
      </c>
      <c r="N715" s="464" t="s">
        <v>3258</v>
      </c>
      <c r="O715" s="465" t="s">
        <v>5354</v>
      </c>
      <c r="P715" s="464" t="s">
        <v>3260</v>
      </c>
      <c r="Q715" s="463">
        <v>2025.0</v>
      </c>
      <c r="R715" s="465" t="s">
        <v>5347</v>
      </c>
      <c r="S715" s="465"/>
      <c r="T715" s="482">
        <v>6.14</v>
      </c>
      <c r="U715" s="464" t="s">
        <v>4499</v>
      </c>
      <c r="V715" s="464"/>
    </row>
    <row r="716" ht="15.0" customHeight="1">
      <c r="A716" s="463">
        <f t="shared" si="16"/>
        <v>117</v>
      </c>
      <c r="B716" s="464" t="s">
        <v>5355</v>
      </c>
      <c r="C716" s="465"/>
      <c r="D716" s="464" t="s">
        <v>5356</v>
      </c>
      <c r="E716" s="464" t="s">
        <v>79</v>
      </c>
      <c r="F716" s="464" t="s">
        <v>4497</v>
      </c>
      <c r="G716" s="80" t="str">
        <f>VLOOKUP(F716,'01. TH'!$B:$E,3,0)</f>
        <v/>
      </c>
      <c r="H716" s="463" t="s">
        <v>836</v>
      </c>
      <c r="I716" s="463" t="s">
        <v>5350</v>
      </c>
      <c r="J716" s="464"/>
      <c r="K716" s="463" t="s">
        <v>1661</v>
      </c>
      <c r="L716" s="464"/>
      <c r="M716" s="465" t="s">
        <v>3581</v>
      </c>
      <c r="N716" s="464" t="s">
        <v>3258</v>
      </c>
      <c r="O716" s="465" t="s">
        <v>5357</v>
      </c>
      <c r="P716" s="464" t="s">
        <v>3260</v>
      </c>
      <c r="Q716" s="463">
        <v>2025.0</v>
      </c>
      <c r="R716" s="465" t="s">
        <v>5347</v>
      </c>
      <c r="S716" s="465"/>
      <c r="T716" s="482">
        <v>6.14</v>
      </c>
      <c r="U716" s="464" t="s">
        <v>4499</v>
      </c>
      <c r="V716" s="464"/>
    </row>
    <row r="717" ht="15.0" customHeight="1">
      <c r="A717" s="463">
        <f t="shared" si="16"/>
        <v>118</v>
      </c>
      <c r="B717" s="464" t="s">
        <v>5358</v>
      </c>
      <c r="C717" s="465"/>
      <c r="D717" s="464" t="s">
        <v>5359</v>
      </c>
      <c r="E717" s="464" t="s">
        <v>79</v>
      </c>
      <c r="F717" s="464" t="s">
        <v>4497</v>
      </c>
      <c r="G717" s="80" t="str">
        <f>VLOOKUP(F717,'01. TH'!$B:$E,3,0)</f>
        <v/>
      </c>
      <c r="H717" s="463" t="s">
        <v>836</v>
      </c>
      <c r="I717" s="463" t="s">
        <v>5350</v>
      </c>
      <c r="J717" s="464"/>
      <c r="K717" s="463" t="s">
        <v>1661</v>
      </c>
      <c r="L717" s="464"/>
      <c r="M717" s="465" t="s">
        <v>3581</v>
      </c>
      <c r="N717" s="464" t="s">
        <v>3258</v>
      </c>
      <c r="O717" s="465" t="s">
        <v>5360</v>
      </c>
      <c r="P717" s="464" t="s">
        <v>3260</v>
      </c>
      <c r="Q717" s="463">
        <v>2025.0</v>
      </c>
      <c r="R717" s="465" t="s">
        <v>5347</v>
      </c>
      <c r="S717" s="465"/>
      <c r="T717" s="482">
        <v>6.14</v>
      </c>
      <c r="U717" s="464" t="s">
        <v>4499</v>
      </c>
      <c r="V717" s="464"/>
    </row>
    <row r="718" ht="15.0" customHeight="1">
      <c r="A718" s="463">
        <f t="shared" si="16"/>
        <v>119</v>
      </c>
      <c r="B718" s="464" t="s">
        <v>5361</v>
      </c>
      <c r="C718" s="465"/>
      <c r="D718" s="464" t="s">
        <v>5362</v>
      </c>
      <c r="E718" s="464" t="s">
        <v>79</v>
      </c>
      <c r="F718" s="464" t="s">
        <v>4497</v>
      </c>
      <c r="G718" s="80" t="str">
        <f>VLOOKUP(F718,'01. TH'!$B:$E,3,0)</f>
        <v/>
      </c>
      <c r="H718" s="463" t="s">
        <v>836</v>
      </c>
      <c r="I718" s="463" t="s">
        <v>5350</v>
      </c>
      <c r="J718" s="464"/>
      <c r="K718" s="463" t="s">
        <v>1661</v>
      </c>
      <c r="L718" s="464"/>
      <c r="M718" s="465" t="s">
        <v>3581</v>
      </c>
      <c r="N718" s="464" t="s">
        <v>3258</v>
      </c>
      <c r="O718" s="465" t="s">
        <v>5363</v>
      </c>
      <c r="P718" s="464" t="s">
        <v>3260</v>
      </c>
      <c r="Q718" s="463">
        <v>2025.0</v>
      </c>
      <c r="R718" s="465" t="s">
        <v>5347</v>
      </c>
      <c r="S718" s="465"/>
      <c r="T718" s="482">
        <v>6.14</v>
      </c>
      <c r="U718" s="464" t="s">
        <v>4499</v>
      </c>
      <c r="V718" s="464"/>
    </row>
    <row r="719" ht="15.0" customHeight="1">
      <c r="A719" s="463">
        <f t="shared" si="16"/>
        <v>120</v>
      </c>
      <c r="B719" s="464" t="s">
        <v>5364</v>
      </c>
      <c r="C719" s="465"/>
      <c r="D719" s="464" t="s">
        <v>5365</v>
      </c>
      <c r="E719" s="464" t="s">
        <v>79</v>
      </c>
      <c r="F719" s="464" t="s">
        <v>4497</v>
      </c>
      <c r="G719" s="80"/>
      <c r="H719" s="463" t="s">
        <v>836</v>
      </c>
      <c r="I719" s="600">
        <v>46200.0</v>
      </c>
      <c r="J719" s="464"/>
      <c r="K719" s="463" t="s">
        <v>1661</v>
      </c>
      <c r="L719" s="464"/>
      <c r="M719" s="465"/>
      <c r="N719" s="464"/>
      <c r="O719" s="465"/>
      <c r="P719" s="464"/>
      <c r="Q719" s="463"/>
      <c r="R719" s="465"/>
      <c r="S719" s="465"/>
      <c r="T719" s="482">
        <v>6.14</v>
      </c>
      <c r="U719" s="464" t="s">
        <v>4499</v>
      </c>
      <c r="V719" s="464"/>
    </row>
    <row r="720" ht="15.0" customHeight="1">
      <c r="A720" s="463">
        <f t="shared" si="16"/>
        <v>121</v>
      </c>
      <c r="B720" s="464" t="s">
        <v>5366</v>
      </c>
      <c r="C720" s="465"/>
      <c r="D720" s="464" t="s">
        <v>5367</v>
      </c>
      <c r="E720" s="464" t="s">
        <v>79</v>
      </c>
      <c r="F720" s="464" t="s">
        <v>4497</v>
      </c>
      <c r="G720" s="80"/>
      <c r="H720" s="463" t="s">
        <v>836</v>
      </c>
      <c r="I720" s="600">
        <v>46200.0</v>
      </c>
      <c r="J720" s="464"/>
      <c r="K720" s="463" t="s">
        <v>1661</v>
      </c>
      <c r="L720" s="464"/>
      <c r="M720" s="465"/>
      <c r="N720" s="464"/>
      <c r="O720" s="465"/>
      <c r="P720" s="464"/>
      <c r="Q720" s="463"/>
      <c r="R720" s="465"/>
      <c r="S720" s="465"/>
      <c r="T720" s="482">
        <v>6.14</v>
      </c>
      <c r="U720" s="464" t="s">
        <v>4499</v>
      </c>
      <c r="V720" s="464"/>
    </row>
    <row r="721" ht="15.0" customHeight="1">
      <c r="A721" s="463">
        <f t="shared" si="16"/>
        <v>122</v>
      </c>
      <c r="B721" s="464" t="s">
        <v>5368</v>
      </c>
      <c r="C721" s="465"/>
      <c r="D721" s="464" t="s">
        <v>5369</v>
      </c>
      <c r="E721" s="464" t="s">
        <v>79</v>
      </c>
      <c r="F721" s="464" t="s">
        <v>5370</v>
      </c>
      <c r="G721" s="80" t="str">
        <f>VLOOKUP(F721,'01. TH'!$B:$E,3,0)</f>
        <v>#N/A</v>
      </c>
      <c r="H721" s="463" t="s">
        <v>836</v>
      </c>
      <c r="I721" s="463" t="s">
        <v>5372</v>
      </c>
      <c r="J721" s="464"/>
      <c r="K721" s="463" t="s">
        <v>1661</v>
      </c>
      <c r="L721" s="464"/>
      <c r="M721" s="465" t="s">
        <v>5252</v>
      </c>
      <c r="N721" s="464" t="s">
        <v>2666</v>
      </c>
      <c r="O721" s="465" t="s">
        <v>5373</v>
      </c>
      <c r="P721" s="464" t="s">
        <v>2666</v>
      </c>
      <c r="Q721" s="463"/>
      <c r="R721" s="465" t="s">
        <v>5374</v>
      </c>
      <c r="S721" s="465"/>
      <c r="T721" s="482"/>
      <c r="U721" s="464"/>
      <c r="V721" s="464"/>
    </row>
    <row r="722" ht="15.0" customHeight="1">
      <c r="A722" s="463">
        <f t="shared" si="16"/>
        <v>123</v>
      </c>
      <c r="B722" s="464" t="s">
        <v>5375</v>
      </c>
      <c r="C722" s="465"/>
      <c r="D722" s="464" t="s">
        <v>5376</v>
      </c>
      <c r="E722" s="464" t="s">
        <v>79</v>
      </c>
      <c r="F722" s="464" t="s">
        <v>4202</v>
      </c>
      <c r="G722" s="80" t="str">
        <f>VLOOKUP(F722,'01. TH'!$B:$E,3,0)</f>
        <v>4500 x 2500 x 1400</v>
      </c>
      <c r="H722" s="463" t="s">
        <v>836</v>
      </c>
      <c r="I722" s="466">
        <v>45362.0</v>
      </c>
      <c r="J722" s="464"/>
      <c r="K722" s="463" t="s">
        <v>1661</v>
      </c>
      <c r="L722" s="464"/>
      <c r="M722" s="465" t="s">
        <v>3581</v>
      </c>
      <c r="N722" s="464" t="s">
        <v>3258</v>
      </c>
      <c r="O722" s="465" t="s">
        <v>5377</v>
      </c>
      <c r="P722" s="464" t="s">
        <v>3260</v>
      </c>
      <c r="Q722" s="463">
        <v>2024.0</v>
      </c>
      <c r="R722" s="465" t="s">
        <v>5378</v>
      </c>
      <c r="S722" s="465"/>
      <c r="T722" s="482"/>
      <c r="U722" s="464"/>
      <c r="V722" s="464"/>
    </row>
    <row r="723" ht="15.0" customHeight="1">
      <c r="A723" s="463">
        <f t="shared" si="16"/>
        <v>124</v>
      </c>
      <c r="B723" s="464" t="s">
        <v>5379</v>
      </c>
      <c r="C723" s="465"/>
      <c r="D723" s="464" t="s">
        <v>5380</v>
      </c>
      <c r="E723" s="464" t="s">
        <v>79</v>
      </c>
      <c r="F723" s="464" t="s">
        <v>4202</v>
      </c>
      <c r="G723" s="80" t="str">
        <f>VLOOKUP(F723,'01. TH'!$B:$E,3,0)</f>
        <v>4500 x 2500 x 1400</v>
      </c>
      <c r="H723" s="463" t="s">
        <v>836</v>
      </c>
      <c r="I723" s="466">
        <v>45362.0</v>
      </c>
      <c r="J723" s="464"/>
      <c r="K723" s="463" t="s">
        <v>1661</v>
      </c>
      <c r="L723" s="464"/>
      <c r="M723" s="465" t="s">
        <v>3581</v>
      </c>
      <c r="N723" s="464" t="s">
        <v>3258</v>
      </c>
      <c r="O723" s="465" t="s">
        <v>5377</v>
      </c>
      <c r="P723" s="464" t="s">
        <v>3260</v>
      </c>
      <c r="Q723" s="463">
        <v>2024.0</v>
      </c>
      <c r="R723" s="465" t="s">
        <v>5378</v>
      </c>
      <c r="S723" s="465"/>
      <c r="T723" s="482"/>
      <c r="U723" s="464"/>
      <c r="V723" s="464"/>
    </row>
    <row r="724" ht="15.0" customHeight="1">
      <c r="A724" s="463">
        <f t="shared" si="16"/>
        <v>125</v>
      </c>
      <c r="B724" s="464" t="s">
        <v>5381</v>
      </c>
      <c r="C724" s="465" t="s">
        <v>5382</v>
      </c>
      <c r="D724" s="464" t="s">
        <v>5383</v>
      </c>
      <c r="E724" s="464" t="s">
        <v>79</v>
      </c>
      <c r="F724" s="464" t="s">
        <v>5384</v>
      </c>
      <c r="G724" s="80" t="str">
        <f>VLOOKUP(F724,'01. TH'!$B:$E,3,0)</f>
        <v>3000 x 3000 x 1400</v>
      </c>
      <c r="H724" s="463" t="s">
        <v>836</v>
      </c>
      <c r="I724" s="466">
        <v>45515.0</v>
      </c>
      <c r="J724" s="464"/>
      <c r="K724" s="463" t="s">
        <v>1661</v>
      </c>
      <c r="L724" s="464"/>
      <c r="M724" s="465" t="s">
        <v>3581</v>
      </c>
      <c r="N724" s="464" t="s">
        <v>3258</v>
      </c>
      <c r="O724" s="465" t="s">
        <v>5382</v>
      </c>
      <c r="P724" s="464" t="s">
        <v>3260</v>
      </c>
      <c r="Q724" s="463">
        <v>2024.0</v>
      </c>
      <c r="R724" s="465" t="s">
        <v>5385</v>
      </c>
      <c r="S724" s="465"/>
      <c r="T724" s="482"/>
      <c r="U724" s="464"/>
      <c r="V724" s="464"/>
    </row>
    <row r="725" ht="63.0" customHeight="1">
      <c r="A725" s="463">
        <f t="shared" si="16"/>
        <v>126</v>
      </c>
      <c r="B725" s="486" t="s">
        <v>5386</v>
      </c>
      <c r="C725" s="465"/>
      <c r="D725" s="464" t="s">
        <v>5387</v>
      </c>
      <c r="E725" s="464" t="s">
        <v>3238</v>
      </c>
      <c r="F725" s="464" t="s">
        <v>5388</v>
      </c>
      <c r="G725" s="80" t="str">
        <f>VLOOKUP(F725,'01. TH'!$B:$E,3,0)</f>
        <v>2x2.3x1.4</v>
      </c>
      <c r="H725" s="463" t="s">
        <v>836</v>
      </c>
      <c r="I725" s="463" t="s">
        <v>5389</v>
      </c>
      <c r="J725" s="464"/>
      <c r="K725" s="463" t="s">
        <v>1661</v>
      </c>
      <c r="L725" s="464"/>
      <c r="M725" s="465" t="s">
        <v>336</v>
      </c>
      <c r="N725" s="464" t="s">
        <v>260</v>
      </c>
      <c r="O725" s="465" t="s">
        <v>5390</v>
      </c>
      <c r="P725" s="468" t="s">
        <v>260</v>
      </c>
      <c r="Q725" s="463">
        <v>2024.0</v>
      </c>
      <c r="R725" s="573" t="s">
        <v>5391</v>
      </c>
      <c r="S725" s="465"/>
      <c r="T725" s="482"/>
      <c r="U725" s="464"/>
      <c r="V725" s="464"/>
    </row>
    <row r="726" ht="63.0" customHeight="1">
      <c r="A726" s="463">
        <f t="shared" si="16"/>
        <v>127</v>
      </c>
      <c r="B726" s="486" t="s">
        <v>5392</v>
      </c>
      <c r="C726" s="465"/>
      <c r="D726" s="464" t="s">
        <v>5393</v>
      </c>
      <c r="E726" s="464" t="s">
        <v>3238</v>
      </c>
      <c r="F726" s="464" t="s">
        <v>5388</v>
      </c>
      <c r="G726" s="80" t="str">
        <f>VLOOKUP(F726,'01. TH'!$B:$E,3,0)</f>
        <v>2x2.3x1.4</v>
      </c>
      <c r="H726" s="463" t="s">
        <v>836</v>
      </c>
      <c r="I726" s="463" t="s">
        <v>2581</v>
      </c>
      <c r="J726" s="464"/>
      <c r="K726" s="463" t="s">
        <v>1661</v>
      </c>
      <c r="L726" s="464"/>
      <c r="M726" s="465" t="s">
        <v>336</v>
      </c>
      <c r="N726" s="464" t="s">
        <v>260</v>
      </c>
      <c r="O726" s="465" t="s">
        <v>5390</v>
      </c>
      <c r="P726" s="468" t="s">
        <v>260</v>
      </c>
      <c r="Q726" s="463">
        <v>2024.0</v>
      </c>
      <c r="R726" s="573" t="s">
        <v>5391</v>
      </c>
      <c r="S726" s="465"/>
      <c r="T726" s="482"/>
      <c r="U726" s="464"/>
      <c r="V726" s="464"/>
    </row>
    <row r="727" ht="27.0" customHeight="1">
      <c r="A727" s="463">
        <f t="shared" si="16"/>
        <v>128</v>
      </c>
      <c r="B727" s="486" t="s">
        <v>5394</v>
      </c>
      <c r="C727" s="465" t="s">
        <v>5395</v>
      </c>
      <c r="D727" s="464" t="s">
        <v>5396</v>
      </c>
      <c r="E727" s="464" t="s">
        <v>79</v>
      </c>
      <c r="F727" s="464" t="s">
        <v>5397</v>
      </c>
      <c r="G727" s="80" t="str">
        <f>VLOOKUP(F727,'01. TH'!$B:$E,3,0)</f>
        <v>#N/A</v>
      </c>
      <c r="H727" s="463" t="s">
        <v>836</v>
      </c>
      <c r="I727" s="466">
        <v>45512.0</v>
      </c>
      <c r="J727" s="464"/>
      <c r="K727" s="463" t="s">
        <v>1661</v>
      </c>
      <c r="L727" s="464"/>
      <c r="M727" s="465" t="s">
        <v>3581</v>
      </c>
      <c r="N727" s="464" t="s">
        <v>3258</v>
      </c>
      <c r="O727" s="465"/>
      <c r="P727" s="464" t="s">
        <v>3260</v>
      </c>
      <c r="Q727" s="463">
        <v>2024.0</v>
      </c>
      <c r="R727" s="573"/>
      <c r="S727" s="465"/>
      <c r="T727" s="482"/>
      <c r="U727" s="464"/>
      <c r="V727" s="464"/>
    </row>
    <row r="728" ht="27.0" customHeight="1">
      <c r="A728" s="463">
        <f t="shared" si="16"/>
        <v>129</v>
      </c>
      <c r="B728" s="486" t="s">
        <v>5398</v>
      </c>
      <c r="C728" s="465" t="s">
        <v>5399</v>
      </c>
      <c r="D728" s="464" t="s">
        <v>5400</v>
      </c>
      <c r="E728" s="464" t="s">
        <v>79</v>
      </c>
      <c r="F728" s="464" t="s">
        <v>5401</v>
      </c>
      <c r="G728" s="80" t="str">
        <f>VLOOKUP(F728,'01. TH'!$B:$E,3,0)</f>
        <v>2000 x 2300 x 1400</v>
      </c>
      <c r="H728" s="463" t="s">
        <v>836</v>
      </c>
      <c r="I728" s="466">
        <v>45391.0</v>
      </c>
      <c r="J728" s="464"/>
      <c r="K728" s="463" t="s">
        <v>1661</v>
      </c>
      <c r="L728" s="464"/>
      <c r="M728" s="465" t="s">
        <v>3581</v>
      </c>
      <c r="N728" s="464" t="s">
        <v>3258</v>
      </c>
      <c r="O728" s="465" t="s">
        <v>5402</v>
      </c>
      <c r="P728" s="464" t="s">
        <v>3260</v>
      </c>
      <c r="Q728" s="463">
        <v>2024.0</v>
      </c>
      <c r="R728" s="573" t="s">
        <v>5403</v>
      </c>
      <c r="S728" s="465"/>
      <c r="T728" s="482"/>
      <c r="U728" s="464"/>
      <c r="V728" s="464"/>
    </row>
    <row r="729" ht="27.0" customHeight="1">
      <c r="A729" s="463">
        <f t="shared" si="16"/>
        <v>130</v>
      </c>
      <c r="B729" s="486" t="s">
        <v>5404</v>
      </c>
      <c r="C729" s="465" t="s">
        <v>5405</v>
      </c>
      <c r="D729" s="464" t="s">
        <v>5406</v>
      </c>
      <c r="E729" s="464" t="s">
        <v>79</v>
      </c>
      <c r="F729" s="464" t="s">
        <v>5401</v>
      </c>
      <c r="G729" s="80" t="str">
        <f>VLOOKUP(F729,'01. TH'!$B:$E,3,0)</f>
        <v>2000 x 2300 x 1400</v>
      </c>
      <c r="H729" s="463" t="s">
        <v>836</v>
      </c>
      <c r="I729" s="463" t="s">
        <v>5407</v>
      </c>
      <c r="J729" s="464"/>
      <c r="K729" s="463" t="s">
        <v>1661</v>
      </c>
      <c r="L729" s="464"/>
      <c r="M729" s="465" t="s">
        <v>3581</v>
      </c>
      <c r="N729" s="464" t="s">
        <v>3258</v>
      </c>
      <c r="O729" s="465" t="s">
        <v>5402</v>
      </c>
      <c r="P729" s="464" t="s">
        <v>3260</v>
      </c>
      <c r="Q729" s="463"/>
      <c r="R729" s="573"/>
      <c r="S729" s="465"/>
      <c r="T729" s="482"/>
      <c r="U729" s="464"/>
      <c r="V729" s="464"/>
    </row>
    <row r="730" ht="27.0" customHeight="1">
      <c r="A730" s="463">
        <f t="shared" si="16"/>
        <v>131</v>
      </c>
      <c r="B730" s="486" t="s">
        <v>5408</v>
      </c>
      <c r="C730" s="465" t="s">
        <v>5409</v>
      </c>
      <c r="D730" s="464" t="s">
        <v>5410</v>
      </c>
      <c r="E730" s="464" t="s">
        <v>79</v>
      </c>
      <c r="F730" s="464" t="s">
        <v>5401</v>
      </c>
      <c r="G730" s="80" t="str">
        <f>VLOOKUP(F730,'01. TH'!$B:$E,3,0)</f>
        <v>2000 x 2300 x 1400</v>
      </c>
      <c r="H730" s="463" t="s">
        <v>836</v>
      </c>
      <c r="I730" s="463" t="s">
        <v>5411</v>
      </c>
      <c r="J730" s="464"/>
      <c r="K730" s="463" t="s">
        <v>1661</v>
      </c>
      <c r="L730" s="464"/>
      <c r="M730" s="465" t="s">
        <v>3581</v>
      </c>
      <c r="N730" s="464" t="s">
        <v>3258</v>
      </c>
      <c r="O730" s="465" t="s">
        <v>5409</v>
      </c>
      <c r="P730" s="464" t="s">
        <v>3260</v>
      </c>
      <c r="Q730" s="463">
        <v>2024.0</v>
      </c>
      <c r="R730" s="573" t="s">
        <v>5412</v>
      </c>
      <c r="S730" s="465"/>
      <c r="T730" s="482"/>
      <c r="U730" s="464"/>
      <c r="V730" s="464"/>
    </row>
    <row r="731" ht="27.0" customHeight="1">
      <c r="A731" s="463">
        <f t="shared" si="16"/>
        <v>132</v>
      </c>
      <c r="B731" s="486" t="s">
        <v>5413</v>
      </c>
      <c r="C731" s="465"/>
      <c r="D731" s="464" t="s">
        <v>5414</v>
      </c>
      <c r="E731" s="464" t="s">
        <v>79</v>
      </c>
      <c r="F731" s="464" t="s">
        <v>5401</v>
      </c>
      <c r="G731" s="80" t="str">
        <f>VLOOKUP(F731,'01. TH'!$B:$E,3,0)</f>
        <v>2000 x 2300 x 1400</v>
      </c>
      <c r="H731" s="463" t="s">
        <v>836</v>
      </c>
      <c r="I731" s="466">
        <v>45424.0</v>
      </c>
      <c r="J731" s="464"/>
      <c r="K731" s="463" t="s">
        <v>1661</v>
      </c>
      <c r="L731" s="464"/>
      <c r="M731" s="465" t="s">
        <v>3581</v>
      </c>
      <c r="N731" s="464" t="s">
        <v>3258</v>
      </c>
      <c r="O731" s="465" t="s">
        <v>5415</v>
      </c>
      <c r="P731" s="464" t="s">
        <v>3260</v>
      </c>
      <c r="Q731" s="463">
        <v>2024.0</v>
      </c>
      <c r="R731" s="573"/>
      <c r="S731" s="465"/>
      <c r="T731" s="482"/>
      <c r="U731" s="464"/>
      <c r="V731" s="464"/>
    </row>
    <row r="732" ht="27.0" customHeight="1">
      <c r="A732" s="463">
        <f t="shared" si="16"/>
        <v>133</v>
      </c>
      <c r="B732" s="486" t="s">
        <v>5416</v>
      </c>
      <c r="C732" s="465" t="s">
        <v>5417</v>
      </c>
      <c r="D732" s="464" t="s">
        <v>5418</v>
      </c>
      <c r="E732" s="464" t="s">
        <v>79</v>
      </c>
      <c r="F732" s="464" t="s">
        <v>5419</v>
      </c>
      <c r="G732" s="80" t="str">
        <f>VLOOKUP(F732,'01. TH'!$B:$E,3,0)</f>
        <v>3500 x 2200 x 2150</v>
      </c>
      <c r="H732" s="463" t="s">
        <v>836</v>
      </c>
      <c r="I732" s="463" t="s">
        <v>5420</v>
      </c>
      <c r="J732" s="464"/>
      <c r="K732" s="463" t="s">
        <v>1661</v>
      </c>
      <c r="L732" s="464"/>
      <c r="M732" s="465" t="s">
        <v>3581</v>
      </c>
      <c r="N732" s="464" t="s">
        <v>3258</v>
      </c>
      <c r="O732" s="465" t="s">
        <v>5417</v>
      </c>
      <c r="P732" s="464" t="s">
        <v>3260</v>
      </c>
      <c r="Q732" s="463"/>
      <c r="R732" s="573" t="s">
        <v>5421</v>
      </c>
      <c r="S732" s="465"/>
      <c r="T732" s="482"/>
      <c r="U732" s="464"/>
      <c r="V732" s="464"/>
    </row>
    <row r="733" ht="27.0" customHeight="1">
      <c r="A733" s="463">
        <f t="shared" si="16"/>
        <v>134</v>
      </c>
      <c r="B733" s="486" t="s">
        <v>5422</v>
      </c>
      <c r="C733" s="465"/>
      <c r="D733" s="470" t="s">
        <v>5423</v>
      </c>
      <c r="E733" s="464" t="s">
        <v>79</v>
      </c>
      <c r="F733" s="470" t="s">
        <v>5424</v>
      </c>
      <c r="G733" s="80" t="str">
        <f>VLOOKUP(F733,'01. TH'!$B:$E,3,0)</f>
        <v/>
      </c>
      <c r="H733" s="463" t="s">
        <v>836</v>
      </c>
      <c r="I733" s="466">
        <v>45814.0</v>
      </c>
      <c r="J733" s="464"/>
      <c r="K733" s="463" t="s">
        <v>1661</v>
      </c>
      <c r="L733" s="464"/>
      <c r="M733" s="465" t="s">
        <v>5425</v>
      </c>
      <c r="N733" s="463" t="s">
        <v>5426</v>
      </c>
      <c r="O733" s="465" t="s">
        <v>5427</v>
      </c>
      <c r="P733" s="464" t="s">
        <v>5428</v>
      </c>
      <c r="Q733" s="463">
        <v>2024.0</v>
      </c>
      <c r="R733" s="573"/>
      <c r="S733" s="465" t="s">
        <v>5429</v>
      </c>
      <c r="T733" s="482"/>
      <c r="U733" s="464"/>
      <c r="V733" s="464"/>
    </row>
    <row r="734" ht="27.0" customHeight="1">
      <c r="A734" s="463">
        <f t="shared" si="16"/>
        <v>135</v>
      </c>
      <c r="B734" s="486" t="s">
        <v>5430</v>
      </c>
      <c r="C734" s="465"/>
      <c r="D734" s="470" t="s">
        <v>5431</v>
      </c>
      <c r="E734" s="464" t="s">
        <v>79</v>
      </c>
      <c r="F734" s="470" t="s">
        <v>5424</v>
      </c>
      <c r="G734" s="80" t="str">
        <f>VLOOKUP(F734,'01. TH'!$B:$E,3,0)</f>
        <v/>
      </c>
      <c r="H734" s="463" t="s">
        <v>836</v>
      </c>
      <c r="I734" s="466">
        <v>45814.0</v>
      </c>
      <c r="J734" s="464"/>
      <c r="K734" s="463" t="s">
        <v>1661</v>
      </c>
      <c r="L734" s="464"/>
      <c r="M734" s="465" t="s">
        <v>5425</v>
      </c>
      <c r="N734" s="463" t="s">
        <v>5426</v>
      </c>
      <c r="O734" s="465" t="s">
        <v>5427</v>
      </c>
      <c r="P734" s="464" t="s">
        <v>5428</v>
      </c>
      <c r="Q734" s="463">
        <v>2024.0</v>
      </c>
      <c r="R734" s="573"/>
      <c r="S734" s="465" t="s">
        <v>5432</v>
      </c>
      <c r="T734" s="482"/>
      <c r="U734" s="464"/>
      <c r="V734" s="464"/>
    </row>
    <row r="735" ht="27.0" customHeight="1">
      <c r="A735" s="463">
        <f t="shared" si="16"/>
        <v>136</v>
      </c>
      <c r="B735" s="486" t="s">
        <v>5433</v>
      </c>
      <c r="C735" s="465"/>
      <c r="D735" s="464"/>
      <c r="E735" s="464" t="s">
        <v>79</v>
      </c>
      <c r="F735" s="464" t="s">
        <v>5434</v>
      </c>
      <c r="G735" s="80" t="str">
        <f>VLOOKUP(F735,'01. TH'!$B:$E,3,0)</f>
        <v/>
      </c>
      <c r="H735" s="463" t="s">
        <v>836</v>
      </c>
      <c r="I735" s="463" t="s">
        <v>5435</v>
      </c>
      <c r="J735" s="464"/>
      <c r="K735" s="463" t="s">
        <v>1661</v>
      </c>
      <c r="L735" s="464"/>
      <c r="M735" s="465" t="s">
        <v>3581</v>
      </c>
      <c r="N735" s="463" t="s">
        <v>3836</v>
      </c>
      <c r="O735" s="465"/>
      <c r="P735" s="464" t="s">
        <v>5436</v>
      </c>
      <c r="Q735" s="463">
        <v>2024.0</v>
      </c>
      <c r="R735" s="573"/>
      <c r="S735" s="465"/>
      <c r="T735" s="482"/>
      <c r="U735" s="464"/>
      <c r="V735" s="464"/>
    </row>
    <row r="736" ht="27.0" customHeight="1">
      <c r="A736" s="463">
        <f t="shared" si="16"/>
        <v>137</v>
      </c>
      <c r="B736" s="486" t="s">
        <v>5437</v>
      </c>
      <c r="C736" s="465"/>
      <c r="D736" s="464" t="s">
        <v>5438</v>
      </c>
      <c r="E736" s="464" t="s">
        <v>79</v>
      </c>
      <c r="F736" s="464" t="s">
        <v>5439</v>
      </c>
      <c r="G736" s="80" t="str">
        <f>VLOOKUP(F736,'01. TH'!$B:$E,3,0)</f>
        <v>3600 x 2700 x 1340</v>
      </c>
      <c r="H736" s="463" t="s">
        <v>836</v>
      </c>
      <c r="I736" s="463" t="s">
        <v>4452</v>
      </c>
      <c r="J736" s="464"/>
      <c r="K736" s="463" t="s">
        <v>1661</v>
      </c>
      <c r="L736" s="464"/>
      <c r="M736" s="465" t="s">
        <v>3581</v>
      </c>
      <c r="N736" s="464" t="s">
        <v>3258</v>
      </c>
      <c r="O736" s="465" t="s">
        <v>5441</v>
      </c>
      <c r="P736" s="464" t="s">
        <v>3260</v>
      </c>
      <c r="Q736" s="463"/>
      <c r="R736" s="573"/>
      <c r="S736" s="465"/>
      <c r="T736" s="482"/>
      <c r="U736" s="464"/>
      <c r="V736" s="464"/>
    </row>
    <row r="737" ht="24.75" customHeight="1">
      <c r="A737" s="463">
        <f t="shared" si="16"/>
        <v>138</v>
      </c>
      <c r="B737" s="464" t="s">
        <v>5442</v>
      </c>
      <c r="C737" s="464"/>
      <c r="D737" s="464" t="s">
        <v>5443</v>
      </c>
      <c r="E737" s="464" t="s">
        <v>79</v>
      </c>
      <c r="F737" s="464" t="s">
        <v>5444</v>
      </c>
      <c r="G737" s="80" t="str">
        <f>VLOOKUP(F737,'01. TH'!$B:$E,3,0)</f>
        <v>3600 x 2700 x 1340</v>
      </c>
      <c r="H737" s="463" t="s">
        <v>836</v>
      </c>
      <c r="I737" s="463" t="s">
        <v>3703</v>
      </c>
      <c r="J737" s="467"/>
      <c r="K737" s="463" t="s">
        <v>1661</v>
      </c>
      <c r="L737" s="464"/>
      <c r="M737" s="465" t="s">
        <v>3581</v>
      </c>
      <c r="N737" s="464" t="s">
        <v>3258</v>
      </c>
      <c r="O737" s="465" t="s">
        <v>3833</v>
      </c>
      <c r="P737" s="464" t="s">
        <v>3260</v>
      </c>
      <c r="Q737" s="463">
        <v>2025.0</v>
      </c>
      <c r="R737" s="465" t="s">
        <v>5445</v>
      </c>
      <c r="S737" s="465">
        <v>3.0</v>
      </c>
      <c r="T737" s="482"/>
      <c r="U737" s="464"/>
      <c r="V737" s="464"/>
    </row>
    <row r="738" ht="24.75" customHeight="1">
      <c r="A738" s="463">
        <f t="shared" si="16"/>
        <v>139</v>
      </c>
      <c r="B738" s="464" t="s">
        <v>5446</v>
      </c>
      <c r="C738" s="464"/>
      <c r="D738" s="464" t="s">
        <v>5447</v>
      </c>
      <c r="E738" s="464" t="s">
        <v>79</v>
      </c>
      <c r="F738" s="464" t="s">
        <v>5444</v>
      </c>
      <c r="G738" s="80" t="str">
        <f>VLOOKUP(F738,'01. TH'!$B:$E,3,0)</f>
        <v>3600 x 2700 x 1340</v>
      </c>
      <c r="H738" s="463" t="s">
        <v>836</v>
      </c>
      <c r="I738" s="466">
        <v>45692.0</v>
      </c>
      <c r="J738" s="467"/>
      <c r="K738" s="463" t="s">
        <v>1661</v>
      </c>
      <c r="L738" s="464"/>
      <c r="M738" s="465" t="s">
        <v>3581</v>
      </c>
      <c r="N738" s="464" t="s">
        <v>3258</v>
      </c>
      <c r="O738" s="465" t="s">
        <v>5448</v>
      </c>
      <c r="P738" s="464" t="s">
        <v>3260</v>
      </c>
      <c r="Q738" s="463">
        <v>2025.0</v>
      </c>
      <c r="R738" s="465" t="s">
        <v>5445</v>
      </c>
      <c r="S738" s="465"/>
      <c r="T738" s="482"/>
      <c r="U738" s="464"/>
      <c r="V738" s="464"/>
    </row>
    <row r="739" ht="26.25" customHeight="1">
      <c r="A739" s="463">
        <f t="shared" si="16"/>
        <v>140</v>
      </c>
      <c r="B739" s="464" t="s">
        <v>5449</v>
      </c>
      <c r="C739" s="464"/>
      <c r="D739" s="464" t="s">
        <v>3869</v>
      </c>
      <c r="E739" s="464" t="s">
        <v>79</v>
      </c>
      <c r="F739" s="464" t="s">
        <v>5450</v>
      </c>
      <c r="G739" s="80" t="str">
        <f>VLOOKUP(F739,'01. TH'!$B:$E,3,0)</f>
        <v>3600 x 2700 x 1340</v>
      </c>
      <c r="H739" s="463" t="s">
        <v>836</v>
      </c>
      <c r="I739" s="463" t="s">
        <v>5451</v>
      </c>
      <c r="J739" s="467"/>
      <c r="K739" s="463" t="s">
        <v>1661</v>
      </c>
      <c r="L739" s="464"/>
      <c r="M739" s="465" t="s">
        <v>3581</v>
      </c>
      <c r="N739" s="464" t="s">
        <v>3258</v>
      </c>
      <c r="O739" s="465" t="s">
        <v>5452</v>
      </c>
      <c r="P739" s="464" t="s">
        <v>3260</v>
      </c>
      <c r="Q739" s="463">
        <v>2025.0</v>
      </c>
      <c r="R739" s="465" t="s">
        <v>5445</v>
      </c>
      <c r="S739" s="465"/>
      <c r="T739" s="482"/>
      <c r="U739" s="464"/>
      <c r="V739" s="464"/>
    </row>
    <row r="740" ht="26.25" customHeight="1">
      <c r="A740" s="463">
        <f t="shared" si="16"/>
        <v>141</v>
      </c>
      <c r="B740" s="464" t="s">
        <v>5453</v>
      </c>
      <c r="C740" s="464"/>
      <c r="D740" s="464" t="s">
        <v>5454</v>
      </c>
      <c r="E740" s="464" t="s">
        <v>79</v>
      </c>
      <c r="F740" s="464" t="s">
        <v>5455</v>
      </c>
      <c r="G740" s="80"/>
      <c r="H740" s="463" t="s">
        <v>836</v>
      </c>
      <c r="I740" s="463">
        <v>45997.0</v>
      </c>
      <c r="J740" s="467"/>
      <c r="K740" s="463" t="s">
        <v>1661</v>
      </c>
      <c r="L740" s="464" t="s">
        <v>5456</v>
      </c>
      <c r="M740" s="465" t="s">
        <v>5457</v>
      </c>
      <c r="N740" s="464" t="s">
        <v>5458</v>
      </c>
      <c r="O740" s="465" t="s">
        <v>5459</v>
      </c>
      <c r="P740" s="464">
        <v>2025.0</v>
      </c>
      <c r="Q740" s="463" t="s">
        <v>5460</v>
      </c>
      <c r="R740" s="465" t="s">
        <v>5461</v>
      </c>
      <c r="S740" s="465" t="s">
        <v>5462</v>
      </c>
      <c r="T740" s="482"/>
      <c r="U740" s="464"/>
      <c r="V740" s="464"/>
    </row>
    <row r="741" ht="20.25" customHeight="1">
      <c r="A741" s="463">
        <f t="shared" si="16"/>
        <v>142</v>
      </c>
      <c r="B741" s="464" t="s">
        <v>5463</v>
      </c>
      <c r="C741" s="464" t="s">
        <v>5464</v>
      </c>
      <c r="D741" s="464" t="s">
        <v>5465</v>
      </c>
      <c r="E741" s="464" t="s">
        <v>79</v>
      </c>
      <c r="F741" s="464" t="s">
        <v>3947</v>
      </c>
      <c r="G741" s="80" t="str">
        <f>VLOOKUP(F741,'01. TH'!$B:$E,3,0)</f>
        <v/>
      </c>
      <c r="H741" s="463" t="s">
        <v>836</v>
      </c>
      <c r="I741" s="466">
        <v>45719.0</v>
      </c>
      <c r="J741" s="467"/>
      <c r="K741" s="463" t="s">
        <v>1661</v>
      </c>
      <c r="L741" s="464" t="s">
        <v>5466</v>
      </c>
      <c r="M741" s="476"/>
      <c r="N741" s="464" t="s">
        <v>3258</v>
      </c>
      <c r="O741" s="476"/>
      <c r="P741" s="464" t="s">
        <v>3260</v>
      </c>
      <c r="Q741" s="475"/>
      <c r="R741" s="476"/>
      <c r="S741" s="465"/>
      <c r="T741" s="482"/>
      <c r="U741" s="464"/>
      <c r="V741" s="464"/>
    </row>
    <row r="742" ht="20.25" customHeight="1">
      <c r="A742" s="463">
        <f t="shared" si="16"/>
        <v>143</v>
      </c>
      <c r="B742" s="464" t="s">
        <v>5467</v>
      </c>
      <c r="C742" s="464" t="s">
        <v>5468</v>
      </c>
      <c r="D742" s="464" t="s">
        <v>5469</v>
      </c>
      <c r="E742" s="464" t="s">
        <v>79</v>
      </c>
      <c r="F742" s="464" t="s">
        <v>3947</v>
      </c>
      <c r="G742" s="80" t="str">
        <f>VLOOKUP(F742,'01. TH'!$B:$E,3,0)</f>
        <v/>
      </c>
      <c r="H742" s="463" t="s">
        <v>836</v>
      </c>
      <c r="I742" s="463" t="s">
        <v>3703</v>
      </c>
      <c r="J742" s="467"/>
      <c r="K742" s="463" t="s">
        <v>1661</v>
      </c>
      <c r="L742" s="464" t="s">
        <v>5470</v>
      </c>
      <c r="M742" s="476"/>
      <c r="N742" s="464" t="s">
        <v>3258</v>
      </c>
      <c r="O742" s="476"/>
      <c r="P742" s="464" t="s">
        <v>3260</v>
      </c>
      <c r="Q742" s="475"/>
      <c r="R742" s="476"/>
      <c r="S742" s="465"/>
      <c r="T742" s="482"/>
      <c r="U742" s="464"/>
      <c r="V742" s="464"/>
    </row>
    <row r="743" ht="27.0" customHeight="1">
      <c r="A743" s="463">
        <f t="shared" si="16"/>
        <v>144</v>
      </c>
      <c r="B743" s="486" t="s">
        <v>5471</v>
      </c>
      <c r="C743" s="465"/>
      <c r="D743" s="464" t="s">
        <v>5472</v>
      </c>
      <c r="E743" s="464" t="s">
        <v>79</v>
      </c>
      <c r="F743" s="464" t="s">
        <v>5473</v>
      </c>
      <c r="G743" s="80" t="str">
        <f>VLOOKUP(F743,'01. TH'!$B:$E,3,0)</f>
        <v>1400 x 900 x 1100</v>
      </c>
      <c r="H743" s="463" t="s">
        <v>836</v>
      </c>
      <c r="I743" s="463" t="s">
        <v>5474</v>
      </c>
      <c r="J743" s="464"/>
      <c r="K743" s="463" t="s">
        <v>1661</v>
      </c>
      <c r="L743" s="464"/>
      <c r="M743" s="465" t="s">
        <v>3581</v>
      </c>
      <c r="N743" s="464" t="s">
        <v>3258</v>
      </c>
      <c r="O743" s="465" t="s">
        <v>5475</v>
      </c>
      <c r="P743" s="464" t="s">
        <v>3260</v>
      </c>
      <c r="Q743" s="463">
        <v>2025.0</v>
      </c>
      <c r="R743" s="573" t="s">
        <v>5476</v>
      </c>
      <c r="S743" s="465"/>
      <c r="T743" s="482"/>
      <c r="U743" s="464"/>
      <c r="V743" s="464"/>
    </row>
    <row r="744" ht="27.0" customHeight="1">
      <c r="A744" s="463">
        <f t="shared" si="16"/>
        <v>145</v>
      </c>
      <c r="B744" s="486" t="s">
        <v>5477</v>
      </c>
      <c r="C744" s="465"/>
      <c r="D744" s="464" t="s">
        <v>5478</v>
      </c>
      <c r="E744" s="464" t="s">
        <v>3238</v>
      </c>
      <c r="F744" s="464" t="s">
        <v>5479</v>
      </c>
      <c r="G744" s="80" t="str">
        <f>VLOOKUP(F744,'01. TH'!$B:$E,3,0)</f>
        <v/>
      </c>
      <c r="H744" s="463" t="s">
        <v>836</v>
      </c>
      <c r="I744" s="463" t="s">
        <v>5480</v>
      </c>
      <c r="J744" s="464"/>
      <c r="K744" s="463" t="s">
        <v>1661</v>
      </c>
      <c r="L744" s="464"/>
      <c r="M744" s="465" t="s">
        <v>336</v>
      </c>
      <c r="N744" s="465" t="s">
        <v>5481</v>
      </c>
      <c r="O744" s="465" t="s">
        <v>5482</v>
      </c>
      <c r="P744" s="464" t="s">
        <v>5428</v>
      </c>
      <c r="Q744" s="463">
        <v>2025.0</v>
      </c>
      <c r="R744" s="573" t="s">
        <v>5483</v>
      </c>
      <c r="S744" s="465"/>
      <c r="T744" s="482"/>
      <c r="U744" s="464"/>
      <c r="V744" s="464"/>
    </row>
    <row r="745" ht="27.0" customHeight="1">
      <c r="A745" s="463">
        <f t="shared" si="16"/>
        <v>146</v>
      </c>
      <c r="B745" s="486" t="s">
        <v>5484</v>
      </c>
      <c r="C745" s="465"/>
      <c r="D745" s="464" t="s">
        <v>5485</v>
      </c>
      <c r="E745" s="464" t="s">
        <v>3238</v>
      </c>
      <c r="F745" s="464" t="s">
        <v>5479</v>
      </c>
      <c r="G745" s="80" t="str">
        <f>VLOOKUP(F745,'01. TH'!$B:$E,3,0)</f>
        <v/>
      </c>
      <c r="H745" s="463" t="s">
        <v>836</v>
      </c>
      <c r="I745" s="463" t="s">
        <v>5480</v>
      </c>
      <c r="J745" s="464"/>
      <c r="K745" s="463" t="s">
        <v>1661</v>
      </c>
      <c r="L745" s="464"/>
      <c r="M745" s="465" t="s">
        <v>336</v>
      </c>
      <c r="N745" s="465" t="s">
        <v>5481</v>
      </c>
      <c r="O745" s="465" t="s">
        <v>5482</v>
      </c>
      <c r="P745" s="464" t="s">
        <v>5428</v>
      </c>
      <c r="Q745" s="463">
        <v>2025.0</v>
      </c>
      <c r="R745" s="573" t="s">
        <v>5483</v>
      </c>
      <c r="S745" s="465"/>
      <c r="T745" s="482"/>
      <c r="U745" s="464"/>
      <c r="V745" s="464"/>
    </row>
    <row r="746" ht="27.0" customHeight="1">
      <c r="A746" s="463">
        <f t="shared" si="16"/>
        <v>147</v>
      </c>
      <c r="B746" s="486" t="s">
        <v>5486</v>
      </c>
      <c r="C746" s="465"/>
      <c r="D746" s="464" t="s">
        <v>5487</v>
      </c>
      <c r="E746" s="464" t="s">
        <v>3238</v>
      </c>
      <c r="F746" s="464" t="s">
        <v>5488</v>
      </c>
      <c r="G746" s="80" t="str">
        <f>VLOOKUP(F746,'01. TH'!$B:$E,3,0)</f>
        <v>1485x2510x1255</v>
      </c>
      <c r="H746" s="463" t="s">
        <v>836</v>
      </c>
      <c r="I746" s="463" t="s">
        <v>5491</v>
      </c>
      <c r="J746" s="464"/>
      <c r="K746" s="463" t="s">
        <v>1661</v>
      </c>
      <c r="L746" s="464"/>
      <c r="M746" s="465" t="s">
        <v>336</v>
      </c>
      <c r="N746" s="465" t="s">
        <v>5492</v>
      </c>
      <c r="O746" s="465" t="s">
        <v>5493</v>
      </c>
      <c r="P746" s="464" t="s">
        <v>5494</v>
      </c>
      <c r="Q746" s="463">
        <v>2025.0</v>
      </c>
      <c r="R746" s="573" t="s">
        <v>5495</v>
      </c>
      <c r="S746" s="465" t="s">
        <v>5496</v>
      </c>
      <c r="T746" s="482"/>
      <c r="U746" s="464"/>
      <c r="V746" s="464"/>
    </row>
    <row r="747" ht="27.0" customHeight="1">
      <c r="A747" s="463">
        <f t="shared" si="16"/>
        <v>148</v>
      </c>
      <c r="B747" s="486" t="s">
        <v>5497</v>
      </c>
      <c r="C747" s="465"/>
      <c r="D747" s="464" t="s">
        <v>5498</v>
      </c>
      <c r="E747" s="464" t="s">
        <v>79</v>
      </c>
      <c r="F747" s="464" t="s">
        <v>5488</v>
      </c>
      <c r="G747" s="80"/>
      <c r="H747" s="463" t="s">
        <v>836</v>
      </c>
      <c r="I747" s="463" t="s">
        <v>1026</v>
      </c>
      <c r="J747" s="464"/>
      <c r="K747" s="463" t="s">
        <v>1661</v>
      </c>
      <c r="L747" s="464"/>
      <c r="M747" s="465" t="s">
        <v>5499</v>
      </c>
      <c r="N747" s="463" t="s">
        <v>5492</v>
      </c>
      <c r="O747" s="463" t="s">
        <v>5493</v>
      </c>
      <c r="P747" s="463" t="s">
        <v>5500</v>
      </c>
      <c r="Q747" s="463">
        <v>2025.0</v>
      </c>
      <c r="R747" s="573" t="s">
        <v>5501</v>
      </c>
      <c r="S747" s="465" t="s">
        <v>5502</v>
      </c>
      <c r="T747" s="482"/>
      <c r="U747" s="464"/>
      <c r="V747" s="464"/>
    </row>
    <row r="748" ht="27.0" customHeight="1">
      <c r="A748" s="463">
        <f t="shared" si="16"/>
        <v>149</v>
      </c>
      <c r="B748" s="486" t="s">
        <v>5503</v>
      </c>
      <c r="C748" s="465"/>
      <c r="D748" s="464" t="s">
        <v>5504</v>
      </c>
      <c r="E748" s="464" t="s">
        <v>3238</v>
      </c>
      <c r="F748" s="464" t="s">
        <v>5505</v>
      </c>
      <c r="G748" s="80" t="str">
        <f>VLOOKUP(F748,'01. TH'!$B:$E,3,0)</f>
        <v/>
      </c>
      <c r="H748" s="463" t="s">
        <v>836</v>
      </c>
      <c r="I748" s="463" t="s">
        <v>4721</v>
      </c>
      <c r="J748" s="464"/>
      <c r="K748" s="463" t="s">
        <v>1661</v>
      </c>
      <c r="L748" s="464"/>
      <c r="M748" s="465" t="s">
        <v>336</v>
      </c>
      <c r="N748" s="463" t="s">
        <v>3836</v>
      </c>
      <c r="O748" s="465"/>
      <c r="P748" s="463" t="s">
        <v>3711</v>
      </c>
      <c r="Q748" s="463">
        <v>2025.0</v>
      </c>
      <c r="R748" s="573"/>
      <c r="S748" s="465"/>
      <c r="T748" s="482"/>
      <c r="U748" s="464"/>
      <c r="V748" s="464"/>
    </row>
    <row r="749" ht="27.0" customHeight="1">
      <c r="A749" s="463">
        <f t="shared" si="16"/>
        <v>150</v>
      </c>
      <c r="B749" s="486" t="s">
        <v>5506</v>
      </c>
      <c r="C749" s="465"/>
      <c r="D749" s="464" t="s">
        <v>5507</v>
      </c>
      <c r="E749" s="464" t="s">
        <v>3238</v>
      </c>
      <c r="F749" s="464" t="s">
        <v>5505</v>
      </c>
      <c r="G749" s="80" t="str">
        <f>VLOOKUP(F749,'01. TH'!$B:$E,3,0)</f>
        <v/>
      </c>
      <c r="H749" s="463" t="s">
        <v>836</v>
      </c>
      <c r="I749" s="463" t="s">
        <v>4721</v>
      </c>
      <c r="J749" s="464"/>
      <c r="K749" s="463" t="s">
        <v>1661</v>
      </c>
      <c r="L749" s="464"/>
      <c r="M749" s="465" t="s">
        <v>336</v>
      </c>
      <c r="N749" s="463" t="s">
        <v>3836</v>
      </c>
      <c r="O749" s="465"/>
      <c r="P749" s="463" t="s">
        <v>3711</v>
      </c>
      <c r="Q749" s="463">
        <v>2025.0</v>
      </c>
      <c r="R749" s="573"/>
      <c r="S749" s="465"/>
      <c r="T749" s="482"/>
      <c r="U749" s="464"/>
      <c r="V749" s="464"/>
    </row>
    <row r="750" ht="27.0" customHeight="1">
      <c r="A750" s="463">
        <f t="shared" si="16"/>
        <v>151</v>
      </c>
      <c r="B750" s="486" t="s">
        <v>5508</v>
      </c>
      <c r="C750" s="465"/>
      <c r="D750" s="464" t="s">
        <v>5509</v>
      </c>
      <c r="E750" s="464" t="s">
        <v>79</v>
      </c>
      <c r="F750" s="464" t="s">
        <v>5510</v>
      </c>
      <c r="G750" s="80" t="str">
        <f>VLOOKUP(F750,'01. TH'!$B:$E,3,0)</f>
        <v/>
      </c>
      <c r="H750" s="463" t="s">
        <v>836</v>
      </c>
      <c r="I750" s="463" t="s">
        <v>5511</v>
      </c>
      <c r="J750" s="464"/>
      <c r="K750" s="463" t="s">
        <v>1661</v>
      </c>
      <c r="L750" s="464"/>
      <c r="M750" s="465" t="s">
        <v>3581</v>
      </c>
      <c r="N750" s="464" t="s">
        <v>3258</v>
      </c>
      <c r="O750" s="465"/>
      <c r="P750" s="464" t="s">
        <v>3260</v>
      </c>
      <c r="Q750" s="463">
        <v>2025.0</v>
      </c>
      <c r="R750" s="573"/>
      <c r="S750" s="465"/>
      <c r="T750" s="482"/>
      <c r="U750" s="464"/>
      <c r="V750" s="464"/>
    </row>
    <row r="751" ht="27.0" customHeight="1">
      <c r="A751" s="463">
        <f t="shared" si="16"/>
        <v>152</v>
      </c>
      <c r="B751" s="486" t="s">
        <v>5512</v>
      </c>
      <c r="C751" s="465"/>
      <c r="D751" s="464" t="s">
        <v>5513</v>
      </c>
      <c r="E751" s="464" t="s">
        <v>79</v>
      </c>
      <c r="F751" s="464" t="s">
        <v>5514</v>
      </c>
      <c r="G751" s="80" t="str">
        <f>VLOOKUP(F751,'01. TH'!$B:$E,3,0)</f>
        <v>1195 x 4200 x 1148</v>
      </c>
      <c r="H751" s="463" t="s">
        <v>836</v>
      </c>
      <c r="I751" s="493">
        <v>46002.0</v>
      </c>
      <c r="J751" s="464"/>
      <c r="K751" s="463" t="s">
        <v>1661</v>
      </c>
      <c r="L751" s="464"/>
      <c r="M751" s="465" t="s">
        <v>3581</v>
      </c>
      <c r="N751" s="464" t="s">
        <v>3258</v>
      </c>
      <c r="O751" s="465" t="s">
        <v>5515</v>
      </c>
      <c r="P751" s="464" t="s">
        <v>3260</v>
      </c>
      <c r="Q751" s="463">
        <v>2025.0</v>
      </c>
      <c r="R751" s="573" t="s">
        <v>5516</v>
      </c>
      <c r="S751" s="465" t="s">
        <v>5517</v>
      </c>
      <c r="T751" s="482"/>
      <c r="U751" s="464"/>
      <c r="V751" s="464"/>
    </row>
    <row r="752" ht="27.0" customHeight="1">
      <c r="A752" s="463">
        <f t="shared" si="16"/>
        <v>153</v>
      </c>
      <c r="B752" s="486" t="s">
        <v>5518</v>
      </c>
      <c r="C752" s="465"/>
      <c r="D752" s="601" t="s">
        <v>5519</v>
      </c>
      <c r="E752" s="464" t="s">
        <v>79</v>
      </c>
      <c r="F752" s="602" t="s">
        <v>5514</v>
      </c>
      <c r="G752" s="80"/>
      <c r="H752" s="463" t="s">
        <v>836</v>
      </c>
      <c r="I752" s="466">
        <v>46027.0</v>
      </c>
      <c r="J752" s="464"/>
      <c r="K752" s="463" t="s">
        <v>1661</v>
      </c>
      <c r="L752" s="464" t="s">
        <v>5520</v>
      </c>
      <c r="M752" s="465" t="s">
        <v>5499</v>
      </c>
      <c r="N752" s="603" t="s">
        <v>3258</v>
      </c>
      <c r="O752" s="604" t="s">
        <v>5521</v>
      </c>
      <c r="P752" s="604">
        <v>2025.0</v>
      </c>
      <c r="Q752" s="604" t="s">
        <v>5522</v>
      </c>
      <c r="R752" s="48" t="s">
        <v>5010</v>
      </c>
      <c r="S752" s="605"/>
      <c r="T752" s="606"/>
      <c r="U752" s="464"/>
      <c r="V752" s="464"/>
    </row>
    <row r="753" ht="27.0" customHeight="1">
      <c r="A753" s="463">
        <f t="shared" si="16"/>
        <v>154</v>
      </c>
      <c r="B753" s="486" t="s">
        <v>5523</v>
      </c>
      <c r="C753" s="465"/>
      <c r="D753" s="601" t="s">
        <v>5524</v>
      </c>
      <c r="E753" s="464" t="s">
        <v>79</v>
      </c>
      <c r="F753" s="464" t="s">
        <v>5526</v>
      </c>
      <c r="G753" s="80"/>
      <c r="H753" s="463" t="s">
        <v>836</v>
      </c>
      <c r="I753" s="466">
        <v>46027.0</v>
      </c>
      <c r="J753" s="464"/>
      <c r="K753" s="463" t="s">
        <v>1661</v>
      </c>
      <c r="L753" s="464" t="s">
        <v>5520</v>
      </c>
      <c r="M753" s="465" t="s">
        <v>5499</v>
      </c>
      <c r="N753" s="603" t="s">
        <v>3258</v>
      </c>
      <c r="O753" s="604" t="s">
        <v>5521</v>
      </c>
      <c r="P753" s="604">
        <v>2025.0</v>
      </c>
      <c r="Q753" s="604" t="s">
        <v>5527</v>
      </c>
      <c r="R753" s="48" t="s">
        <v>5010</v>
      </c>
      <c r="S753" s="605"/>
      <c r="T753" s="606"/>
      <c r="U753" s="464"/>
      <c r="V753" s="464"/>
    </row>
    <row r="754" ht="27.0" customHeight="1">
      <c r="A754" s="463">
        <f t="shared" si="16"/>
        <v>155</v>
      </c>
      <c r="B754" s="486" t="s">
        <v>5528</v>
      </c>
      <c r="C754" s="465"/>
      <c r="D754" s="601" t="s">
        <v>5529</v>
      </c>
      <c r="E754" s="464" t="s">
        <v>79</v>
      </c>
      <c r="F754" s="464" t="s">
        <v>5526</v>
      </c>
      <c r="G754" s="80"/>
      <c r="H754" s="463" t="s">
        <v>836</v>
      </c>
      <c r="I754" s="466">
        <v>46028.0</v>
      </c>
      <c r="J754" s="464"/>
      <c r="K754" s="463" t="s">
        <v>1661</v>
      </c>
      <c r="L754" s="595" t="s">
        <v>5530</v>
      </c>
      <c r="M754" s="465" t="s">
        <v>3581</v>
      </c>
      <c r="N754" s="603" t="s">
        <v>3258</v>
      </c>
      <c r="O754" s="604" t="s">
        <v>5531</v>
      </c>
      <c r="P754" s="604">
        <v>2026.0</v>
      </c>
      <c r="Q754" s="48" t="s">
        <v>5532</v>
      </c>
      <c r="R754" s="48" t="s">
        <v>4943</v>
      </c>
      <c r="S754" s="605"/>
      <c r="T754" s="606"/>
      <c r="U754" s="464"/>
      <c r="V754" s="464"/>
    </row>
    <row r="755" ht="27.0" customHeight="1">
      <c r="A755" s="463">
        <f t="shared" si="16"/>
        <v>156</v>
      </c>
      <c r="B755" s="486" t="s">
        <v>5533</v>
      </c>
      <c r="C755" s="465"/>
      <c r="D755" s="601" t="s">
        <v>5534</v>
      </c>
      <c r="E755" s="464" t="s">
        <v>79</v>
      </c>
      <c r="F755" s="464" t="s">
        <v>5526</v>
      </c>
      <c r="G755" s="80"/>
      <c r="H755" s="463" t="s">
        <v>836</v>
      </c>
      <c r="I755" s="466">
        <v>46029.0</v>
      </c>
      <c r="J755" s="464"/>
      <c r="K755" s="463" t="s">
        <v>1661</v>
      </c>
      <c r="L755" s="595" t="s">
        <v>5530</v>
      </c>
      <c r="M755" s="465" t="s">
        <v>3581</v>
      </c>
      <c r="N755" s="603" t="s">
        <v>3258</v>
      </c>
      <c r="O755" s="604" t="s">
        <v>5531</v>
      </c>
      <c r="P755" s="604">
        <v>2026.0</v>
      </c>
      <c r="Q755" s="48" t="s">
        <v>5532</v>
      </c>
      <c r="R755" s="48" t="s">
        <v>4943</v>
      </c>
      <c r="S755" s="605"/>
      <c r="T755" s="606"/>
      <c r="U755" s="464"/>
      <c r="V755" s="464"/>
    </row>
    <row r="756" ht="27.0" customHeight="1">
      <c r="A756" s="463">
        <f t="shared" si="16"/>
        <v>157</v>
      </c>
      <c r="B756" s="486" t="s">
        <v>5535</v>
      </c>
      <c r="C756" s="465"/>
      <c r="D756" s="601" t="s">
        <v>5536</v>
      </c>
      <c r="E756" s="464" t="s">
        <v>79</v>
      </c>
      <c r="F756" s="464" t="s">
        <v>5526</v>
      </c>
      <c r="G756" s="80"/>
      <c r="H756" s="463" t="s">
        <v>836</v>
      </c>
      <c r="I756" s="466">
        <v>46030.0</v>
      </c>
      <c r="J756" s="464"/>
      <c r="K756" s="463" t="s">
        <v>1661</v>
      </c>
      <c r="L756" s="595" t="s">
        <v>5537</v>
      </c>
      <c r="M756" s="465" t="s">
        <v>3581</v>
      </c>
      <c r="N756" s="603" t="s">
        <v>3258</v>
      </c>
      <c r="O756" s="604" t="s">
        <v>5531</v>
      </c>
      <c r="P756" s="604">
        <v>2026.0</v>
      </c>
      <c r="Q756" s="48" t="s">
        <v>5532</v>
      </c>
      <c r="R756" s="48" t="s">
        <v>4943</v>
      </c>
      <c r="S756" s="605"/>
      <c r="T756" s="606"/>
      <c r="U756" s="464"/>
      <c r="V756" s="464"/>
    </row>
    <row r="757" ht="27.0" customHeight="1">
      <c r="A757" s="463">
        <f t="shared" si="16"/>
        <v>158</v>
      </c>
      <c r="B757" s="486" t="s">
        <v>5538</v>
      </c>
      <c r="C757" s="465"/>
      <c r="D757" s="601" t="s">
        <v>5539</v>
      </c>
      <c r="E757" s="464" t="s">
        <v>79</v>
      </c>
      <c r="F757" s="464" t="s">
        <v>5526</v>
      </c>
      <c r="G757" s="80"/>
      <c r="H757" s="463" t="s">
        <v>836</v>
      </c>
      <c r="I757" s="466">
        <v>46031.0</v>
      </c>
      <c r="J757" s="464"/>
      <c r="K757" s="463" t="s">
        <v>1661</v>
      </c>
      <c r="L757" s="595" t="s">
        <v>5537</v>
      </c>
      <c r="M757" s="465" t="s">
        <v>3581</v>
      </c>
      <c r="N757" s="603" t="s">
        <v>3258</v>
      </c>
      <c r="O757" s="604" t="s">
        <v>5531</v>
      </c>
      <c r="P757" s="604">
        <v>2026.0</v>
      </c>
      <c r="Q757" s="48" t="s">
        <v>5532</v>
      </c>
      <c r="R757" s="48" t="s">
        <v>4943</v>
      </c>
      <c r="S757" s="605"/>
      <c r="T757" s="606"/>
      <c r="U757" s="464"/>
      <c r="V757" s="464"/>
    </row>
    <row r="758" ht="27.0" customHeight="1">
      <c r="A758" s="463">
        <f t="shared" si="16"/>
        <v>159</v>
      </c>
      <c r="B758" s="486" t="s">
        <v>5540</v>
      </c>
      <c r="C758" s="465"/>
      <c r="D758" s="601" t="s">
        <v>5541</v>
      </c>
      <c r="E758" s="464" t="s">
        <v>79</v>
      </c>
      <c r="F758" s="464" t="s">
        <v>5542</v>
      </c>
      <c r="G758" s="80"/>
      <c r="H758" s="463" t="s">
        <v>836</v>
      </c>
      <c r="I758" s="463" t="s">
        <v>5543</v>
      </c>
      <c r="J758" s="464"/>
      <c r="K758" s="463" t="s">
        <v>1661</v>
      </c>
      <c r="L758" s="595" t="s">
        <v>5537</v>
      </c>
      <c r="M758" s="465" t="s">
        <v>3581</v>
      </c>
      <c r="N758" s="603" t="s">
        <v>3258</v>
      </c>
      <c r="O758" s="604" t="s">
        <v>5531</v>
      </c>
      <c r="P758" s="48">
        <v>2026.0</v>
      </c>
      <c r="Q758" s="607" t="s">
        <v>5544</v>
      </c>
      <c r="R758" s="604" t="s">
        <v>4943</v>
      </c>
      <c r="S758" s="605"/>
      <c r="T758" s="606"/>
      <c r="U758" s="464"/>
      <c r="V758" s="464"/>
    </row>
    <row r="759" ht="27.0" customHeight="1">
      <c r="A759" s="463">
        <f t="shared" si="16"/>
        <v>160</v>
      </c>
      <c r="B759" s="486" t="s">
        <v>5545</v>
      </c>
      <c r="C759" s="465"/>
      <c r="D759" s="601" t="s">
        <v>5546</v>
      </c>
      <c r="E759" s="464" t="s">
        <v>79</v>
      </c>
      <c r="F759" s="464" t="s">
        <v>5542</v>
      </c>
      <c r="G759" s="80"/>
      <c r="H759" s="463" t="s">
        <v>836</v>
      </c>
      <c r="I759" s="463" t="s">
        <v>5543</v>
      </c>
      <c r="J759" s="464"/>
      <c r="K759" s="463" t="s">
        <v>1661</v>
      </c>
      <c r="L759" s="595" t="s">
        <v>5537</v>
      </c>
      <c r="M759" s="465" t="s">
        <v>3581</v>
      </c>
      <c r="N759" s="603" t="s">
        <v>3258</v>
      </c>
      <c r="O759" s="604" t="s">
        <v>5531</v>
      </c>
      <c r="P759" s="48">
        <v>2026.0</v>
      </c>
      <c r="Q759" s="607" t="s">
        <v>5544</v>
      </c>
      <c r="R759" s="604" t="s">
        <v>4943</v>
      </c>
      <c r="S759" s="605"/>
      <c r="T759" s="606"/>
      <c r="U759" s="464"/>
      <c r="V759" s="464"/>
    </row>
    <row r="760" ht="27.0" customHeight="1">
      <c r="A760" s="463">
        <f t="shared" si="16"/>
        <v>161</v>
      </c>
      <c r="B760" s="486" t="s">
        <v>5547</v>
      </c>
      <c r="C760" s="128"/>
      <c r="D760" s="470" t="s">
        <v>5548</v>
      </c>
      <c r="E760" s="464" t="s">
        <v>3238</v>
      </c>
      <c r="F760" s="470" t="s">
        <v>5549</v>
      </c>
      <c r="G760" s="80"/>
      <c r="H760" s="463" t="s">
        <v>836</v>
      </c>
      <c r="I760" s="466">
        <v>46239.0</v>
      </c>
      <c r="J760" s="464"/>
      <c r="K760" s="463" t="s">
        <v>1661</v>
      </c>
      <c r="L760" s="464"/>
      <c r="M760" s="465" t="s">
        <v>336</v>
      </c>
      <c r="N760" s="608"/>
      <c r="O760" s="604" t="s">
        <v>3175</v>
      </c>
      <c r="P760" s="604">
        <v>2026.0</v>
      </c>
      <c r="Q760" s="604" t="s">
        <v>5550</v>
      </c>
      <c r="R760" s="604" t="s">
        <v>5551</v>
      </c>
      <c r="S760" s="604" t="s">
        <v>5552</v>
      </c>
      <c r="T760" s="482"/>
      <c r="U760" s="464"/>
      <c r="V760" s="464"/>
    </row>
    <row r="761" ht="27.0" customHeight="1">
      <c r="A761" s="463"/>
      <c r="B761" s="128"/>
      <c r="C761" s="128"/>
      <c r="D761" s="128"/>
      <c r="E761" s="128"/>
      <c r="F761" s="128"/>
      <c r="G761" s="80"/>
      <c r="H761" s="463"/>
      <c r="I761" s="463"/>
      <c r="J761" s="464"/>
      <c r="K761" s="463"/>
      <c r="L761" s="464"/>
      <c r="M761" s="465"/>
      <c r="N761" s="463"/>
      <c r="O761" s="465"/>
      <c r="P761" s="463"/>
      <c r="Q761" s="604"/>
      <c r="R761" s="573"/>
      <c r="S761" s="465"/>
      <c r="T761" s="482"/>
      <c r="U761" s="464"/>
      <c r="V761" s="464"/>
    </row>
    <row r="762">
      <c r="A762" s="447" t="s">
        <v>5553</v>
      </c>
      <c r="B762" s="448" t="s">
        <v>5554</v>
      </c>
      <c r="C762" s="447">
        <f>COUNTA(B763:B781)</f>
        <v>18</v>
      </c>
      <c r="D762" s="589"/>
      <c r="E762" s="589"/>
      <c r="F762" s="589"/>
      <c r="G762" s="451"/>
      <c r="H762" s="589"/>
      <c r="I762" s="590"/>
      <c r="J762" s="589"/>
      <c r="K762" s="590"/>
      <c r="L762" s="589"/>
      <c r="M762" s="591"/>
      <c r="N762" s="589"/>
      <c r="O762" s="591"/>
      <c r="P762" s="589"/>
      <c r="Q762" s="590"/>
      <c r="R762" s="591"/>
      <c r="S762" s="591"/>
      <c r="T762" s="592"/>
      <c r="U762" s="589"/>
      <c r="V762" s="589"/>
    </row>
    <row r="763" ht="15.0" customHeight="1">
      <c r="A763" s="475">
        <v>1.0</v>
      </c>
      <c r="B763" s="467" t="s">
        <v>5555</v>
      </c>
      <c r="C763" s="467" t="s">
        <v>5556</v>
      </c>
      <c r="D763" s="464"/>
      <c r="E763" s="464" t="s">
        <v>2414</v>
      </c>
      <c r="F763" s="464" t="s">
        <v>5557</v>
      </c>
      <c r="G763" s="80" t="str">
        <f>VLOOKUP(F763,'01. TH'!$B:$E,3,0)</f>
        <v/>
      </c>
      <c r="H763" s="475" t="s">
        <v>64</v>
      </c>
      <c r="I763" s="475"/>
      <c r="J763" s="467"/>
      <c r="K763" s="463" t="s">
        <v>1661</v>
      </c>
      <c r="L763" s="467"/>
      <c r="M763" s="476"/>
      <c r="N763" s="464" t="s">
        <v>3084</v>
      </c>
      <c r="O763" s="465" t="s">
        <v>5558</v>
      </c>
      <c r="P763" s="464" t="s">
        <v>3084</v>
      </c>
      <c r="Q763" s="475"/>
      <c r="R763" s="239"/>
      <c r="S763" s="465" t="s">
        <v>5559</v>
      </c>
      <c r="T763" s="469"/>
      <c r="U763" s="467"/>
      <c r="V763" s="467"/>
    </row>
    <row r="764" ht="15.0" customHeight="1">
      <c r="A764" s="463">
        <f t="shared" ref="A764:A778" si="17">A763+1</f>
        <v>2</v>
      </c>
      <c r="B764" s="467" t="s">
        <v>5560</v>
      </c>
      <c r="C764" s="467" t="s">
        <v>5561</v>
      </c>
      <c r="D764" s="464"/>
      <c r="E764" s="464" t="s">
        <v>2414</v>
      </c>
      <c r="F764" s="464" t="s">
        <v>5557</v>
      </c>
      <c r="G764" s="80" t="str">
        <f>VLOOKUP(F764,'01. TH'!$B:$E,3,0)</f>
        <v/>
      </c>
      <c r="H764" s="475" t="s">
        <v>64</v>
      </c>
      <c r="I764" s="475"/>
      <c r="J764" s="467"/>
      <c r="K764" s="463" t="s">
        <v>1661</v>
      </c>
      <c r="L764" s="467"/>
      <c r="M764" s="476"/>
      <c r="N764" s="464" t="s">
        <v>3084</v>
      </c>
      <c r="O764" s="465" t="s">
        <v>5558</v>
      </c>
      <c r="P764" s="464" t="s">
        <v>3084</v>
      </c>
      <c r="Q764" s="475"/>
      <c r="R764" s="239"/>
      <c r="S764" s="465" t="s">
        <v>5563</v>
      </c>
      <c r="T764" s="469"/>
      <c r="U764" s="467"/>
      <c r="V764" s="467"/>
    </row>
    <row r="765" ht="15.0" customHeight="1">
      <c r="A765" s="463">
        <f t="shared" si="17"/>
        <v>3</v>
      </c>
      <c r="B765" s="467" t="s">
        <v>5564</v>
      </c>
      <c r="C765" s="467" t="s">
        <v>5565</v>
      </c>
      <c r="D765" s="464"/>
      <c r="E765" s="464" t="s">
        <v>2414</v>
      </c>
      <c r="F765" s="464" t="s">
        <v>5557</v>
      </c>
      <c r="G765" s="80" t="str">
        <f>VLOOKUP(F765,'01. TH'!$B:$E,3,0)</f>
        <v/>
      </c>
      <c r="H765" s="475" t="s">
        <v>64</v>
      </c>
      <c r="I765" s="475"/>
      <c r="J765" s="467"/>
      <c r="K765" s="463" t="s">
        <v>1661</v>
      </c>
      <c r="L765" s="467"/>
      <c r="M765" s="476"/>
      <c r="N765" s="464" t="s">
        <v>3084</v>
      </c>
      <c r="O765" s="465" t="s">
        <v>5558</v>
      </c>
      <c r="P765" s="464" t="s">
        <v>3084</v>
      </c>
      <c r="Q765" s="475"/>
      <c r="R765" s="239"/>
      <c r="S765" s="465" t="s">
        <v>5566</v>
      </c>
      <c r="T765" s="469"/>
      <c r="U765" s="467"/>
      <c r="V765" s="467"/>
    </row>
    <row r="766" ht="15.0" customHeight="1">
      <c r="A766" s="463">
        <f t="shared" si="17"/>
        <v>4</v>
      </c>
      <c r="B766" s="467" t="s">
        <v>5567</v>
      </c>
      <c r="C766" s="467" t="s">
        <v>5568</v>
      </c>
      <c r="D766" s="464"/>
      <c r="E766" s="464" t="s">
        <v>2414</v>
      </c>
      <c r="F766" s="464" t="s">
        <v>5557</v>
      </c>
      <c r="G766" s="80" t="str">
        <f>VLOOKUP(F766,'01. TH'!$B:$E,3,0)</f>
        <v/>
      </c>
      <c r="H766" s="475" t="s">
        <v>64</v>
      </c>
      <c r="I766" s="475"/>
      <c r="J766" s="467"/>
      <c r="K766" s="463" t="s">
        <v>1661</v>
      </c>
      <c r="L766" s="467"/>
      <c r="M766" s="476"/>
      <c r="N766" s="464" t="s">
        <v>3084</v>
      </c>
      <c r="O766" s="465" t="s">
        <v>5558</v>
      </c>
      <c r="P766" s="464" t="s">
        <v>3084</v>
      </c>
      <c r="Q766" s="269"/>
      <c r="R766" s="239"/>
      <c r="S766" s="465" t="s">
        <v>5569</v>
      </c>
      <c r="T766" s="469"/>
      <c r="U766" s="467"/>
      <c r="V766" s="467"/>
    </row>
    <row r="767" ht="15.0" customHeight="1">
      <c r="A767" s="463">
        <f t="shared" si="17"/>
        <v>5</v>
      </c>
      <c r="B767" s="467" t="s">
        <v>5570</v>
      </c>
      <c r="C767" s="467" t="s">
        <v>5571</v>
      </c>
      <c r="D767" s="464"/>
      <c r="E767" s="464" t="s">
        <v>2414</v>
      </c>
      <c r="F767" s="464" t="s">
        <v>5557</v>
      </c>
      <c r="G767" s="80" t="str">
        <f>VLOOKUP(F767,'01. TH'!$B:$E,3,0)</f>
        <v/>
      </c>
      <c r="H767" s="475" t="s">
        <v>64</v>
      </c>
      <c r="I767" s="475"/>
      <c r="J767" s="467"/>
      <c r="K767" s="463" t="s">
        <v>1661</v>
      </c>
      <c r="L767" s="467"/>
      <c r="M767" s="476"/>
      <c r="N767" s="464" t="s">
        <v>3084</v>
      </c>
      <c r="O767" s="465" t="s">
        <v>5558</v>
      </c>
      <c r="P767" s="464" t="s">
        <v>3084</v>
      </c>
      <c r="Q767" s="269"/>
      <c r="R767" s="239"/>
      <c r="S767" s="465" t="s">
        <v>5572</v>
      </c>
      <c r="T767" s="469"/>
      <c r="U767" s="467"/>
      <c r="V767" s="467"/>
    </row>
    <row r="768" ht="15.0" customHeight="1">
      <c r="A768" s="463">
        <f t="shared" si="17"/>
        <v>6</v>
      </c>
      <c r="B768" s="467" t="s">
        <v>5573</v>
      </c>
      <c r="C768" s="467" t="s">
        <v>5574</v>
      </c>
      <c r="D768" s="464"/>
      <c r="E768" s="464" t="s">
        <v>2414</v>
      </c>
      <c r="F768" s="464" t="s">
        <v>5557</v>
      </c>
      <c r="G768" s="80" t="str">
        <f>VLOOKUP(F768,'01. TH'!$B:$E,3,0)</f>
        <v/>
      </c>
      <c r="H768" s="475" t="s">
        <v>64</v>
      </c>
      <c r="I768" s="475"/>
      <c r="J768" s="467"/>
      <c r="K768" s="463" t="s">
        <v>1661</v>
      </c>
      <c r="L768" s="467"/>
      <c r="M768" s="476"/>
      <c r="N768" s="464" t="s">
        <v>3084</v>
      </c>
      <c r="O768" s="465" t="s">
        <v>5558</v>
      </c>
      <c r="P768" s="464" t="s">
        <v>3084</v>
      </c>
      <c r="Q768" s="475"/>
      <c r="R768" s="239"/>
      <c r="S768" s="465" t="s">
        <v>5575</v>
      </c>
      <c r="T768" s="469"/>
      <c r="U768" s="467"/>
      <c r="V768" s="467"/>
    </row>
    <row r="769" ht="15.0" customHeight="1">
      <c r="A769" s="463">
        <f t="shared" si="17"/>
        <v>7</v>
      </c>
      <c r="B769" s="467" t="s">
        <v>5576</v>
      </c>
      <c r="C769" s="467" t="s">
        <v>5577</v>
      </c>
      <c r="D769" s="464"/>
      <c r="E769" s="464" t="s">
        <v>2414</v>
      </c>
      <c r="F769" s="464" t="s">
        <v>5557</v>
      </c>
      <c r="G769" s="80" t="str">
        <f>VLOOKUP(F769,'01. TH'!$B:$E,3,0)</f>
        <v/>
      </c>
      <c r="H769" s="475" t="s">
        <v>64</v>
      </c>
      <c r="I769" s="475"/>
      <c r="J769" s="467"/>
      <c r="K769" s="463" t="s">
        <v>1661</v>
      </c>
      <c r="L769" s="467"/>
      <c r="M769" s="476"/>
      <c r="N769" s="464" t="s">
        <v>3084</v>
      </c>
      <c r="O769" s="465" t="s">
        <v>5558</v>
      </c>
      <c r="P769" s="464" t="s">
        <v>3084</v>
      </c>
      <c r="Q769" s="475"/>
      <c r="R769" s="239"/>
      <c r="S769" s="465" t="s">
        <v>5578</v>
      </c>
      <c r="T769" s="469"/>
      <c r="U769" s="467"/>
      <c r="V769" s="467"/>
    </row>
    <row r="770" ht="15.0" customHeight="1">
      <c r="A770" s="463">
        <f t="shared" si="17"/>
        <v>8</v>
      </c>
      <c r="B770" s="467" t="s">
        <v>5579</v>
      </c>
      <c r="C770" s="467" t="s">
        <v>5580</v>
      </c>
      <c r="D770" s="464"/>
      <c r="E770" s="464" t="s">
        <v>2414</v>
      </c>
      <c r="F770" s="464" t="s">
        <v>5581</v>
      </c>
      <c r="G770" s="80" t="str">
        <f>VLOOKUP(F770,'01. TH'!$B:$E,3,0)</f>
        <v/>
      </c>
      <c r="H770" s="475" t="s">
        <v>64</v>
      </c>
      <c r="I770" s="475"/>
      <c r="J770" s="467"/>
      <c r="K770" s="463" t="s">
        <v>1661</v>
      </c>
      <c r="L770" s="467"/>
      <c r="M770" s="476"/>
      <c r="N770" s="464" t="s">
        <v>3084</v>
      </c>
      <c r="O770" s="465" t="s">
        <v>5582</v>
      </c>
      <c r="P770" s="464" t="s">
        <v>3084</v>
      </c>
      <c r="Q770" s="475"/>
      <c r="R770" s="239"/>
      <c r="S770" s="465" t="s">
        <v>5583</v>
      </c>
      <c r="T770" s="469"/>
      <c r="U770" s="467"/>
      <c r="V770" s="467"/>
    </row>
    <row r="771" ht="15.0" customHeight="1">
      <c r="A771" s="463">
        <f t="shared" si="17"/>
        <v>9</v>
      </c>
      <c r="B771" s="467" t="s">
        <v>5584</v>
      </c>
      <c r="C771" s="467" t="s">
        <v>5585</v>
      </c>
      <c r="D771" s="464"/>
      <c r="E771" s="464" t="s">
        <v>2414</v>
      </c>
      <c r="F771" s="464" t="s">
        <v>5581</v>
      </c>
      <c r="G771" s="80" t="str">
        <f>VLOOKUP(F771,'01. TH'!$B:$E,3,0)</f>
        <v/>
      </c>
      <c r="H771" s="475" t="s">
        <v>64</v>
      </c>
      <c r="I771" s="475"/>
      <c r="J771" s="467"/>
      <c r="K771" s="463" t="s">
        <v>1661</v>
      </c>
      <c r="L771" s="467"/>
      <c r="M771" s="476"/>
      <c r="N771" s="464" t="s">
        <v>3084</v>
      </c>
      <c r="O771" s="465" t="s">
        <v>5586</v>
      </c>
      <c r="P771" s="464" t="s">
        <v>3084</v>
      </c>
      <c r="Q771" s="475"/>
      <c r="R771" s="239"/>
      <c r="S771" s="465" t="s">
        <v>5587</v>
      </c>
      <c r="T771" s="469"/>
      <c r="U771" s="467"/>
      <c r="V771" s="467"/>
    </row>
    <row r="772" ht="15.0" customHeight="1">
      <c r="A772" s="463">
        <f t="shared" si="17"/>
        <v>10</v>
      </c>
      <c r="B772" s="467" t="s">
        <v>5588</v>
      </c>
      <c r="C772" s="467" t="s">
        <v>5589</v>
      </c>
      <c r="D772" s="464"/>
      <c r="E772" s="464" t="s">
        <v>2414</v>
      </c>
      <c r="F772" s="464" t="s">
        <v>5557</v>
      </c>
      <c r="G772" s="80" t="str">
        <f>VLOOKUP(F772,'01. TH'!$B:$E,3,0)</f>
        <v/>
      </c>
      <c r="H772" s="475" t="s">
        <v>64</v>
      </c>
      <c r="I772" s="475"/>
      <c r="J772" s="467"/>
      <c r="K772" s="463" t="s">
        <v>1661</v>
      </c>
      <c r="L772" s="467"/>
      <c r="M772" s="476"/>
      <c r="N772" s="464" t="s">
        <v>3084</v>
      </c>
      <c r="O772" s="465" t="s">
        <v>5558</v>
      </c>
      <c r="P772" s="464" t="s">
        <v>3084</v>
      </c>
      <c r="Q772" s="475"/>
      <c r="R772" s="239"/>
      <c r="S772" s="465" t="s">
        <v>5590</v>
      </c>
      <c r="T772" s="469"/>
      <c r="U772" s="467"/>
      <c r="V772" s="467"/>
    </row>
    <row r="773" ht="15.0" customHeight="1">
      <c r="A773" s="463">
        <f t="shared" si="17"/>
        <v>11</v>
      </c>
      <c r="B773" s="467" t="s">
        <v>5591</v>
      </c>
      <c r="C773" s="467" t="s">
        <v>5592</v>
      </c>
      <c r="D773" s="464"/>
      <c r="E773" s="464" t="s">
        <v>2414</v>
      </c>
      <c r="F773" s="464" t="s">
        <v>5581</v>
      </c>
      <c r="G773" s="80" t="str">
        <f>VLOOKUP(F773,'01. TH'!$B:$E,3,0)</f>
        <v/>
      </c>
      <c r="H773" s="475" t="s">
        <v>64</v>
      </c>
      <c r="I773" s="475"/>
      <c r="J773" s="467"/>
      <c r="K773" s="463" t="s">
        <v>1661</v>
      </c>
      <c r="L773" s="467"/>
      <c r="M773" s="476"/>
      <c r="N773" s="464" t="s">
        <v>3084</v>
      </c>
      <c r="O773" s="465" t="s">
        <v>5586</v>
      </c>
      <c r="P773" s="464" t="s">
        <v>3084</v>
      </c>
      <c r="Q773" s="475"/>
      <c r="R773" s="239"/>
      <c r="S773" s="465" t="s">
        <v>5593</v>
      </c>
      <c r="T773" s="469"/>
      <c r="U773" s="467"/>
      <c r="V773" s="467"/>
    </row>
    <row r="774" ht="15.0" customHeight="1">
      <c r="A774" s="463">
        <f t="shared" si="17"/>
        <v>12</v>
      </c>
      <c r="B774" s="464" t="s">
        <v>5594</v>
      </c>
      <c r="C774" s="464" t="s">
        <v>5596</v>
      </c>
      <c r="D774" s="464"/>
      <c r="E774" s="464" t="s">
        <v>2414</v>
      </c>
      <c r="F774" s="464" t="s">
        <v>5581</v>
      </c>
      <c r="G774" s="80" t="str">
        <f>VLOOKUP(F774,'01. TH'!$B:$E,3,0)</f>
        <v/>
      </c>
      <c r="H774" s="475" t="s">
        <v>64</v>
      </c>
      <c r="I774" s="475"/>
      <c r="J774" s="467"/>
      <c r="K774" s="463" t="s">
        <v>1661</v>
      </c>
      <c r="L774" s="467"/>
      <c r="M774" s="476"/>
      <c r="N774" s="464" t="s">
        <v>3084</v>
      </c>
      <c r="O774" s="465" t="s">
        <v>5582</v>
      </c>
      <c r="P774" s="464" t="s">
        <v>3084</v>
      </c>
      <c r="Q774" s="475"/>
      <c r="R774" s="239"/>
      <c r="S774" s="465" t="s">
        <v>5597</v>
      </c>
      <c r="T774" s="469"/>
      <c r="U774" s="467"/>
      <c r="V774" s="467"/>
    </row>
    <row r="775" ht="15.0" customHeight="1">
      <c r="A775" s="463">
        <f t="shared" si="17"/>
        <v>13</v>
      </c>
      <c r="B775" s="464" t="s">
        <v>5598</v>
      </c>
      <c r="C775" s="465" t="s">
        <v>5599</v>
      </c>
      <c r="D775" s="467"/>
      <c r="E775" s="464" t="s">
        <v>2414</v>
      </c>
      <c r="F775" s="464" t="s">
        <v>5581</v>
      </c>
      <c r="G775" s="80" t="str">
        <f>VLOOKUP(F775,'01. TH'!$B:$E,3,0)</f>
        <v/>
      </c>
      <c r="H775" s="475" t="s">
        <v>64</v>
      </c>
      <c r="I775" s="475"/>
      <c r="J775" s="467"/>
      <c r="K775" s="463" t="s">
        <v>1661</v>
      </c>
      <c r="L775" s="467"/>
      <c r="M775" s="476"/>
      <c r="N775" s="464" t="s">
        <v>3084</v>
      </c>
      <c r="O775" s="465" t="s">
        <v>5582</v>
      </c>
      <c r="P775" s="464" t="s">
        <v>3084</v>
      </c>
      <c r="Q775" s="475"/>
      <c r="R775" s="239"/>
      <c r="S775" s="476" t="s">
        <v>5600</v>
      </c>
      <c r="T775" s="610"/>
      <c r="U775" s="611"/>
      <c r="V775" s="611"/>
    </row>
    <row r="776" ht="15.0" customHeight="1">
      <c r="A776" s="463">
        <f t="shared" si="17"/>
        <v>14</v>
      </c>
      <c r="B776" s="464" t="s">
        <v>5601</v>
      </c>
      <c r="C776" s="465" t="s">
        <v>5602</v>
      </c>
      <c r="D776" s="467"/>
      <c r="E776" s="464" t="s">
        <v>2414</v>
      </c>
      <c r="F776" s="464" t="s">
        <v>5581</v>
      </c>
      <c r="G776" s="80" t="str">
        <f>VLOOKUP(F776,'01. TH'!$B:$E,3,0)</f>
        <v/>
      </c>
      <c r="H776" s="475" t="s">
        <v>64</v>
      </c>
      <c r="I776" s="475"/>
      <c r="J776" s="467"/>
      <c r="K776" s="463" t="s">
        <v>1661</v>
      </c>
      <c r="L776" s="467"/>
      <c r="M776" s="476"/>
      <c r="N776" s="464" t="s">
        <v>3084</v>
      </c>
      <c r="O776" s="465" t="s">
        <v>5582</v>
      </c>
      <c r="P776" s="464" t="s">
        <v>3084</v>
      </c>
      <c r="Q776" s="475"/>
      <c r="R776" s="239"/>
      <c r="S776" s="465" t="s">
        <v>5603</v>
      </c>
      <c r="T776" s="469"/>
      <c r="U776" s="467"/>
      <c r="V776" s="467"/>
    </row>
    <row r="777" ht="15.0" customHeight="1">
      <c r="A777" s="463">
        <f t="shared" si="17"/>
        <v>15</v>
      </c>
      <c r="B777" s="464" t="s">
        <v>5604</v>
      </c>
      <c r="C777" s="465" t="s">
        <v>5605</v>
      </c>
      <c r="D777" s="467"/>
      <c r="E777" s="464" t="s">
        <v>2414</v>
      </c>
      <c r="F777" s="464" t="s">
        <v>5557</v>
      </c>
      <c r="G777" s="80" t="str">
        <f>VLOOKUP(F777,'01. TH'!$B:$E,3,0)</f>
        <v/>
      </c>
      <c r="H777" s="475" t="s">
        <v>64</v>
      </c>
      <c r="I777" s="493">
        <v>45940.0</v>
      </c>
      <c r="J777" s="467"/>
      <c r="K777" s="463" t="s">
        <v>1661</v>
      </c>
      <c r="L777" s="464"/>
      <c r="M777" s="476"/>
      <c r="N777" s="467"/>
      <c r="O777" s="465" t="s">
        <v>5582</v>
      </c>
      <c r="P777" s="464"/>
      <c r="Q777" s="475"/>
      <c r="R777" s="239"/>
      <c r="S777" s="465" t="s">
        <v>5606</v>
      </c>
      <c r="T777" s="469"/>
      <c r="U777" s="467"/>
      <c r="V777" s="467"/>
    </row>
    <row r="778" ht="15.0" customHeight="1">
      <c r="A778" s="463">
        <f t="shared" si="17"/>
        <v>16</v>
      </c>
      <c r="B778" s="464" t="s">
        <v>5607</v>
      </c>
      <c r="C778" s="465" t="s">
        <v>5608</v>
      </c>
      <c r="D778" s="467"/>
      <c r="E778" s="464" t="s">
        <v>2414</v>
      </c>
      <c r="F778" s="464" t="s">
        <v>5557</v>
      </c>
      <c r="G778" s="80" t="str">
        <f>VLOOKUP(F778,'01. TH'!$B:$E,3,0)</f>
        <v/>
      </c>
      <c r="H778" s="475" t="s">
        <v>64</v>
      </c>
      <c r="I778" s="493">
        <v>45940.0</v>
      </c>
      <c r="J778" s="467"/>
      <c r="K778" s="463" t="s">
        <v>1661</v>
      </c>
      <c r="L778" s="464"/>
      <c r="M778" s="476"/>
      <c r="N778" s="467"/>
      <c r="O778" s="465" t="s">
        <v>5582</v>
      </c>
      <c r="P778" s="464"/>
      <c r="Q778" s="475"/>
      <c r="R778" s="239"/>
      <c r="S778" s="465" t="s">
        <v>5609</v>
      </c>
      <c r="T778" s="469"/>
      <c r="U778" s="467"/>
      <c r="V778" s="467"/>
    </row>
    <row r="779" ht="15.0" customHeight="1">
      <c r="A779" s="463">
        <v>17.0</v>
      </c>
      <c r="B779" s="464" t="s">
        <v>5610</v>
      </c>
      <c r="C779" s="465" t="s">
        <v>5611</v>
      </c>
      <c r="D779" s="467"/>
      <c r="E779" s="464" t="s">
        <v>2414</v>
      </c>
      <c r="F779" s="464" t="s">
        <v>5557</v>
      </c>
      <c r="G779" s="80" t="str">
        <f>VLOOKUP(F779,'01. TH'!$B:$E,3,0)</f>
        <v/>
      </c>
      <c r="H779" s="475" t="s">
        <v>64</v>
      </c>
      <c r="I779" s="463" t="s">
        <v>5612</v>
      </c>
      <c r="J779" s="467"/>
      <c r="K779" s="463" t="s">
        <v>1661</v>
      </c>
      <c r="L779" s="467"/>
      <c r="M779" s="476"/>
      <c r="N779" s="467"/>
      <c r="O779" s="465" t="s">
        <v>5586</v>
      </c>
      <c r="P779" s="464"/>
      <c r="Q779" s="475"/>
      <c r="R779" s="239"/>
      <c r="S779" s="465" t="s">
        <v>5613</v>
      </c>
      <c r="T779" s="469"/>
      <c r="U779" s="467"/>
      <c r="V779" s="467"/>
    </row>
    <row r="780" ht="15.0" customHeight="1">
      <c r="A780" s="463">
        <v>18.0</v>
      </c>
      <c r="B780" s="464" t="s">
        <v>5614</v>
      </c>
      <c r="C780" s="465" t="s">
        <v>5615</v>
      </c>
      <c r="D780" s="467"/>
      <c r="E780" s="464" t="s">
        <v>2414</v>
      </c>
      <c r="F780" s="464" t="s">
        <v>5581</v>
      </c>
      <c r="G780" s="80"/>
      <c r="H780" s="475" t="s">
        <v>64</v>
      </c>
      <c r="I780" s="463" t="s">
        <v>5616</v>
      </c>
      <c r="J780" s="467"/>
      <c r="K780" s="463" t="s">
        <v>1661</v>
      </c>
      <c r="L780" s="467"/>
      <c r="M780" s="476"/>
      <c r="N780" s="467"/>
      <c r="O780" s="465"/>
      <c r="P780" s="464"/>
      <c r="Q780" s="475"/>
      <c r="R780" s="239"/>
      <c r="S780" s="465"/>
      <c r="T780" s="469"/>
      <c r="U780" s="467"/>
      <c r="V780" s="467"/>
    </row>
    <row r="781" ht="15.0" customHeight="1">
      <c r="A781" s="463"/>
      <c r="B781" s="464"/>
      <c r="C781" s="465"/>
      <c r="D781" s="467"/>
      <c r="E781" s="467"/>
      <c r="F781" s="464"/>
      <c r="G781" s="80" t="str">
        <f>VLOOKUP(F781,'01. TH'!$B:$E,3,0)</f>
        <v>#N/A</v>
      </c>
      <c r="H781" s="475"/>
      <c r="I781" s="475"/>
      <c r="J781" s="467"/>
      <c r="K781" s="463"/>
      <c r="L781" s="467"/>
      <c r="M781" s="476"/>
      <c r="N781" s="467"/>
      <c r="O781" s="465"/>
      <c r="P781" s="464"/>
      <c r="Q781" s="475"/>
      <c r="R781" s="239"/>
      <c r="S781" s="465"/>
      <c r="T781" s="469"/>
      <c r="U781" s="467"/>
      <c r="V781" s="467"/>
    </row>
    <row r="782">
      <c r="A782" s="447" t="s">
        <v>5553</v>
      </c>
      <c r="B782" s="448" t="s">
        <v>5617</v>
      </c>
      <c r="C782" s="447">
        <f>COUNTA(B783:B785)</f>
        <v>2</v>
      </c>
      <c r="D782" s="589"/>
      <c r="E782" s="589"/>
      <c r="F782" s="589"/>
      <c r="G782" s="451"/>
      <c r="H782" s="589"/>
      <c r="I782" s="590"/>
      <c r="J782" s="589"/>
      <c r="K782" s="590"/>
      <c r="L782" s="589"/>
      <c r="M782" s="591"/>
      <c r="N782" s="589"/>
      <c r="O782" s="591"/>
      <c r="P782" s="589"/>
      <c r="Q782" s="590"/>
      <c r="R782" s="591"/>
      <c r="S782" s="591"/>
      <c r="T782" s="592"/>
      <c r="U782" s="589"/>
      <c r="V782" s="589"/>
    </row>
    <row r="783" ht="15.0" customHeight="1">
      <c r="A783" s="463">
        <v>1.0</v>
      </c>
      <c r="B783" s="464" t="s">
        <v>5604</v>
      </c>
      <c r="C783" s="465" t="s">
        <v>5618</v>
      </c>
      <c r="D783" s="467"/>
      <c r="E783" s="464" t="s">
        <v>2414</v>
      </c>
      <c r="F783" s="464" t="s">
        <v>5581</v>
      </c>
      <c r="G783" s="80" t="str">
        <f>VLOOKUP(F783,'01. TH'!$B:$E,3,0)</f>
        <v/>
      </c>
      <c r="H783" s="490" t="s">
        <v>1120</v>
      </c>
      <c r="I783" s="466">
        <v>45905.0</v>
      </c>
      <c r="J783" s="467"/>
      <c r="K783" s="463" t="s">
        <v>1661</v>
      </c>
      <c r="L783" s="467"/>
      <c r="M783" s="476"/>
      <c r="N783" s="464" t="s">
        <v>3084</v>
      </c>
      <c r="O783" s="465" t="s">
        <v>5619</v>
      </c>
      <c r="P783" s="464" t="s">
        <v>3084</v>
      </c>
      <c r="Q783" s="475"/>
      <c r="R783" s="239"/>
      <c r="S783" s="465" t="s">
        <v>5620</v>
      </c>
      <c r="T783" s="469"/>
      <c r="U783" s="467"/>
      <c r="V783" s="467"/>
    </row>
    <row r="784" ht="15.0" customHeight="1">
      <c r="A784" s="463">
        <v>2.0</v>
      </c>
      <c r="B784" s="464" t="s">
        <v>5607</v>
      </c>
      <c r="C784" s="465" t="s">
        <v>5621</v>
      </c>
      <c r="D784" s="467"/>
      <c r="E784" s="464" t="s">
        <v>2414</v>
      </c>
      <c r="F784" s="464" t="s">
        <v>5622</v>
      </c>
      <c r="G784" s="80" t="str">
        <f>VLOOKUP(F784,'01. TH'!$B:$E,3,0)</f>
        <v/>
      </c>
      <c r="H784" s="463" t="s">
        <v>5623</v>
      </c>
      <c r="I784" s="466">
        <v>45660.0</v>
      </c>
      <c r="J784" s="467"/>
      <c r="K784" s="463" t="s">
        <v>1661</v>
      </c>
      <c r="L784" s="467"/>
      <c r="M784" s="476"/>
      <c r="N784" s="464" t="s">
        <v>3084</v>
      </c>
      <c r="O784" s="465" t="s">
        <v>5619</v>
      </c>
      <c r="P784" s="464" t="s">
        <v>3084</v>
      </c>
      <c r="Q784" s="475"/>
      <c r="R784" s="239"/>
      <c r="S784" s="465" t="s">
        <v>5624</v>
      </c>
      <c r="T784" s="469"/>
      <c r="U784" s="467"/>
      <c r="V784" s="464" t="s">
        <v>2649</v>
      </c>
    </row>
    <row r="785" ht="15.0" customHeight="1">
      <c r="A785" s="475"/>
      <c r="B785" s="128"/>
      <c r="C785" s="476"/>
      <c r="D785" s="467"/>
      <c r="E785" s="467"/>
      <c r="F785" s="467"/>
      <c r="G785" s="80" t="str">
        <f>VLOOKUP(F785,'01. TH'!$B:$E,3,0)</f>
        <v>#N/A</v>
      </c>
      <c r="H785" s="475"/>
      <c r="I785" s="475"/>
      <c r="J785" s="467"/>
      <c r="K785" s="475"/>
      <c r="L785" s="467"/>
      <c r="M785" s="476"/>
      <c r="N785" s="467"/>
      <c r="O785" s="476"/>
      <c r="P785" s="467"/>
      <c r="Q785" s="475"/>
      <c r="R785" s="239"/>
      <c r="S785" s="476"/>
      <c r="T785" s="469"/>
      <c r="U785" s="467"/>
      <c r="V785" s="467"/>
    </row>
    <row r="786">
      <c r="A786" s="447" t="s">
        <v>5625</v>
      </c>
      <c r="B786" s="448" t="s">
        <v>5626</v>
      </c>
      <c r="C786" s="447">
        <f>COUNTA(B787:B802)</f>
        <v>16</v>
      </c>
      <c r="D786" s="589"/>
      <c r="E786" s="589"/>
      <c r="F786" s="589"/>
      <c r="G786" s="451"/>
      <c r="H786" s="589"/>
      <c r="I786" s="590"/>
      <c r="J786" s="589"/>
      <c r="K786" s="590"/>
      <c r="L786" s="589"/>
      <c r="M786" s="591"/>
      <c r="N786" s="589"/>
      <c r="O786" s="591"/>
      <c r="P786" s="589"/>
      <c r="Q786" s="590"/>
      <c r="R786" s="591"/>
      <c r="S786" s="591"/>
      <c r="T786" s="592"/>
      <c r="U786" s="589"/>
      <c r="V786" s="589"/>
    </row>
    <row r="787" ht="15.0" customHeight="1">
      <c r="A787" s="48">
        <v>1.0</v>
      </c>
      <c r="B787" s="467" t="s">
        <v>5627</v>
      </c>
      <c r="C787" s="476"/>
      <c r="D787" s="467"/>
      <c r="E787" s="464"/>
      <c r="F787" s="464" t="s">
        <v>5628</v>
      </c>
      <c r="G787" s="80" t="str">
        <f>VLOOKUP(F787,'01. TH'!$B:$E,3,0)</f>
        <v>2000 x 4000 x 700</v>
      </c>
      <c r="H787" s="463" t="s">
        <v>5623</v>
      </c>
      <c r="I787" s="475"/>
      <c r="J787" s="467"/>
      <c r="K787" s="463" t="s">
        <v>1661</v>
      </c>
      <c r="L787" s="475"/>
      <c r="M787" s="476"/>
      <c r="N787" s="464" t="s">
        <v>3258</v>
      </c>
      <c r="O787" s="476"/>
      <c r="P787" s="464" t="s">
        <v>3260</v>
      </c>
      <c r="Q787" s="475"/>
      <c r="R787" s="476" t="s">
        <v>5629</v>
      </c>
      <c r="S787" s="476"/>
      <c r="T787" s="517"/>
      <c r="U787" s="476"/>
      <c r="V787" s="465" t="s">
        <v>2657</v>
      </c>
    </row>
    <row r="788" ht="15.0" customHeight="1">
      <c r="A788" s="48">
        <v>2.0</v>
      </c>
      <c r="B788" s="464" t="s">
        <v>5630</v>
      </c>
      <c r="C788" s="465" t="s">
        <v>5631</v>
      </c>
      <c r="D788" s="467"/>
      <c r="E788" s="467"/>
      <c r="F788" s="464" t="s">
        <v>5632</v>
      </c>
      <c r="G788" s="80" t="str">
        <f>VLOOKUP(F788,'01. TH'!$B:$E,3,0)</f>
        <v>#N/A</v>
      </c>
      <c r="H788" s="475" t="s">
        <v>50</v>
      </c>
      <c r="I788" s="475"/>
      <c r="J788" s="467"/>
      <c r="K788" s="463" t="s">
        <v>1661</v>
      </c>
      <c r="L788" s="463"/>
      <c r="M788" s="465" t="s">
        <v>5633</v>
      </c>
      <c r="N788" s="464" t="s">
        <v>3258</v>
      </c>
      <c r="O788" s="476"/>
      <c r="P788" s="464" t="s">
        <v>3260</v>
      </c>
      <c r="Q788" s="475"/>
      <c r="R788" s="476"/>
      <c r="S788" s="476"/>
      <c r="T788" s="517"/>
      <c r="U788" s="476"/>
      <c r="V788" s="476"/>
    </row>
    <row r="789" ht="15.0" customHeight="1">
      <c r="A789" s="48">
        <v>3.0</v>
      </c>
      <c r="B789" s="464" t="s">
        <v>5634</v>
      </c>
      <c r="C789" s="465" t="s">
        <v>5635</v>
      </c>
      <c r="D789" s="467"/>
      <c r="E789" s="467"/>
      <c r="F789" s="464" t="s">
        <v>5632</v>
      </c>
      <c r="G789" s="80" t="str">
        <f>VLOOKUP(F789,'01. TH'!$B:$E,3,0)</f>
        <v>#N/A</v>
      </c>
      <c r="H789" s="475" t="s">
        <v>50</v>
      </c>
      <c r="I789" s="475"/>
      <c r="J789" s="467"/>
      <c r="K789" s="463" t="s">
        <v>1661</v>
      </c>
      <c r="L789" s="463"/>
      <c r="M789" s="465" t="s">
        <v>5633</v>
      </c>
      <c r="N789" s="464" t="s">
        <v>3258</v>
      </c>
      <c r="O789" s="476"/>
      <c r="P789" s="464" t="s">
        <v>3260</v>
      </c>
      <c r="Q789" s="475"/>
      <c r="R789" s="476"/>
      <c r="S789" s="476"/>
      <c r="T789" s="517"/>
      <c r="U789" s="476"/>
      <c r="V789" s="476"/>
    </row>
    <row r="790" ht="15.0" customHeight="1">
      <c r="A790" s="48">
        <v>4.0</v>
      </c>
      <c r="B790" s="464" t="s">
        <v>5636</v>
      </c>
      <c r="C790" s="465" t="s">
        <v>5637</v>
      </c>
      <c r="D790" s="467"/>
      <c r="E790" s="467"/>
      <c r="F790" s="464" t="s">
        <v>5632</v>
      </c>
      <c r="G790" s="80" t="str">
        <f>VLOOKUP(F790,'01. TH'!$B:$E,3,0)</f>
        <v>#N/A</v>
      </c>
      <c r="H790" s="475" t="s">
        <v>50</v>
      </c>
      <c r="I790" s="475"/>
      <c r="J790" s="467"/>
      <c r="K790" s="463" t="s">
        <v>1661</v>
      </c>
      <c r="L790" s="463"/>
      <c r="M790" s="465" t="s">
        <v>5633</v>
      </c>
      <c r="N790" s="464" t="s">
        <v>3258</v>
      </c>
      <c r="O790" s="476"/>
      <c r="P790" s="464" t="s">
        <v>3260</v>
      </c>
      <c r="Q790" s="475"/>
      <c r="R790" s="476"/>
      <c r="S790" s="476"/>
      <c r="T790" s="517"/>
      <c r="U790" s="476"/>
      <c r="V790" s="476"/>
    </row>
    <row r="791" ht="15.0" customHeight="1">
      <c r="A791" s="48">
        <v>5.0</v>
      </c>
      <c r="B791" s="464" t="s">
        <v>5638</v>
      </c>
      <c r="C791" s="465" t="s">
        <v>5639</v>
      </c>
      <c r="D791" s="467"/>
      <c r="E791" s="467"/>
      <c r="F791" s="464" t="s">
        <v>5632</v>
      </c>
      <c r="G791" s="80" t="str">
        <f>VLOOKUP(F791,'01. TH'!$B:$E,3,0)</f>
        <v>#N/A</v>
      </c>
      <c r="H791" s="475" t="s">
        <v>50</v>
      </c>
      <c r="I791" s="475"/>
      <c r="J791" s="467"/>
      <c r="K791" s="463" t="s">
        <v>1661</v>
      </c>
      <c r="L791" s="463"/>
      <c r="M791" s="465" t="s">
        <v>5633</v>
      </c>
      <c r="N791" s="464" t="s">
        <v>3258</v>
      </c>
      <c r="O791" s="476"/>
      <c r="P791" s="464" t="s">
        <v>3260</v>
      </c>
      <c r="Q791" s="475"/>
      <c r="R791" s="476"/>
      <c r="S791" s="476"/>
      <c r="T791" s="517"/>
      <c r="U791" s="476"/>
      <c r="V791" s="476"/>
    </row>
    <row r="792" ht="15.0" customHeight="1">
      <c r="A792" s="48">
        <v>6.0</v>
      </c>
      <c r="B792" s="464" t="s">
        <v>5640</v>
      </c>
      <c r="C792" s="487"/>
      <c r="D792" s="464" t="s">
        <v>5641</v>
      </c>
      <c r="E792" s="467"/>
      <c r="F792" s="464" t="s">
        <v>5642</v>
      </c>
      <c r="G792" s="80" t="str">
        <f>VLOOKUP(F792,'01. TH'!$B:$E,3,0)</f>
        <v/>
      </c>
      <c r="H792" s="475" t="s">
        <v>50</v>
      </c>
      <c r="I792" s="463" t="s">
        <v>5643</v>
      </c>
      <c r="J792" s="467"/>
      <c r="K792" s="463" t="s">
        <v>1661</v>
      </c>
      <c r="L792" s="464"/>
      <c r="M792" s="476"/>
      <c r="N792" s="464" t="s">
        <v>3258</v>
      </c>
      <c r="O792" s="476"/>
      <c r="P792" s="464" t="s">
        <v>3260</v>
      </c>
      <c r="Q792" s="475"/>
      <c r="R792" s="476"/>
      <c r="S792" s="476"/>
      <c r="T792" s="482">
        <v>0.56</v>
      </c>
      <c r="U792" s="464" t="s">
        <v>3992</v>
      </c>
      <c r="V792" s="464"/>
    </row>
    <row r="793" ht="15.0" customHeight="1">
      <c r="A793" s="48">
        <v>7.0</v>
      </c>
      <c r="B793" s="464" t="s">
        <v>5644</v>
      </c>
      <c r="C793" s="487" t="s">
        <v>5645</v>
      </c>
      <c r="D793" s="464" t="s">
        <v>5646</v>
      </c>
      <c r="E793" s="467"/>
      <c r="F793" s="464" t="s">
        <v>3521</v>
      </c>
      <c r="G793" s="80" t="str">
        <f>VLOOKUP(F793,'01. TH'!$B:$E,3,0)</f>
        <v>1x1x1</v>
      </c>
      <c r="H793" s="475" t="s">
        <v>2964</v>
      </c>
      <c r="I793" s="466">
        <v>45779.0</v>
      </c>
      <c r="J793" s="467"/>
      <c r="K793" s="463" t="s">
        <v>1661</v>
      </c>
      <c r="L793" s="464" t="s">
        <v>5647</v>
      </c>
      <c r="M793" s="476"/>
      <c r="N793" s="464" t="s">
        <v>3258</v>
      </c>
      <c r="O793" s="476"/>
      <c r="P793" s="464" t="s">
        <v>3260</v>
      </c>
      <c r="Q793" s="475"/>
      <c r="R793" s="476"/>
      <c r="S793" s="476" t="s">
        <v>4454</v>
      </c>
      <c r="T793" s="469"/>
      <c r="U793" s="467"/>
      <c r="V793" s="467"/>
    </row>
    <row r="794" ht="15.0" customHeight="1">
      <c r="A794" s="48">
        <v>8.0</v>
      </c>
      <c r="B794" s="464" t="s">
        <v>5648</v>
      </c>
      <c r="C794" s="465"/>
      <c r="D794" s="467"/>
      <c r="E794" s="464"/>
      <c r="F794" s="464" t="s">
        <v>5632</v>
      </c>
      <c r="G794" s="80" t="str">
        <f>VLOOKUP(F794,'01. TH'!$B:$E,3,0)</f>
        <v>#N/A</v>
      </c>
      <c r="H794" s="463" t="s">
        <v>5649</v>
      </c>
      <c r="I794" s="466"/>
      <c r="J794" s="467"/>
      <c r="K794" s="463" t="s">
        <v>1661</v>
      </c>
      <c r="L794" s="463"/>
      <c r="M794" s="465" t="s">
        <v>5650</v>
      </c>
      <c r="N794" s="464" t="s">
        <v>3258</v>
      </c>
      <c r="O794" s="476"/>
      <c r="P794" s="464" t="s">
        <v>3260</v>
      </c>
      <c r="Q794" s="463"/>
      <c r="R794" s="465"/>
      <c r="S794" s="476"/>
      <c r="T794" s="517"/>
      <c r="U794" s="476"/>
      <c r="V794" s="476"/>
    </row>
    <row r="795" ht="15.0" customHeight="1">
      <c r="A795" s="48">
        <v>9.0</v>
      </c>
      <c r="B795" s="464" t="s">
        <v>5651</v>
      </c>
      <c r="C795" s="465"/>
      <c r="D795" s="464" t="s">
        <v>5652</v>
      </c>
      <c r="E795" s="464" t="s">
        <v>5652</v>
      </c>
      <c r="F795" s="464" t="s">
        <v>5653</v>
      </c>
      <c r="G795" s="80" t="str">
        <f>VLOOKUP(F795,'01. TH'!$B:$E,3,0)</f>
        <v>#N/A</v>
      </c>
      <c r="H795" s="463" t="s">
        <v>5649</v>
      </c>
      <c r="I795" s="466">
        <v>45483.0</v>
      </c>
      <c r="J795" s="467"/>
      <c r="K795" s="463" t="s">
        <v>1661</v>
      </c>
      <c r="L795" s="463"/>
      <c r="M795" s="465"/>
      <c r="N795" s="464" t="s">
        <v>3258</v>
      </c>
      <c r="O795" s="476"/>
      <c r="P795" s="464" t="s">
        <v>3260</v>
      </c>
      <c r="Q795" s="463">
        <v>2024.0</v>
      </c>
      <c r="R795" s="465" t="s">
        <v>3286</v>
      </c>
      <c r="S795" s="476"/>
      <c r="T795" s="517"/>
      <c r="U795" s="476"/>
      <c r="V795" s="476"/>
    </row>
    <row r="796" ht="15.0" customHeight="1">
      <c r="A796" s="48">
        <v>10.0</v>
      </c>
      <c r="B796" s="464" t="s">
        <v>5654</v>
      </c>
      <c r="C796" s="465"/>
      <c r="D796" s="464" t="s">
        <v>5655</v>
      </c>
      <c r="E796" s="464" t="s">
        <v>5655</v>
      </c>
      <c r="F796" s="464" t="s">
        <v>5653</v>
      </c>
      <c r="G796" s="80" t="str">
        <f>VLOOKUP(F796,'01. TH'!$B:$E,3,0)</f>
        <v>#N/A</v>
      </c>
      <c r="H796" s="463" t="s">
        <v>5649</v>
      </c>
      <c r="I796" s="466">
        <v>45483.0</v>
      </c>
      <c r="J796" s="467"/>
      <c r="K796" s="463" t="s">
        <v>1661</v>
      </c>
      <c r="L796" s="463"/>
      <c r="M796" s="465"/>
      <c r="N796" s="464" t="s">
        <v>3258</v>
      </c>
      <c r="O796" s="476"/>
      <c r="P796" s="464" t="s">
        <v>3260</v>
      </c>
      <c r="Q796" s="463">
        <v>2024.0</v>
      </c>
      <c r="R796" s="465" t="s">
        <v>3286</v>
      </c>
      <c r="S796" s="476"/>
      <c r="T796" s="517"/>
      <c r="U796" s="476"/>
      <c r="V796" s="476"/>
    </row>
    <row r="797" ht="15.0" customHeight="1">
      <c r="A797" s="48">
        <v>11.0</v>
      </c>
      <c r="B797" s="464" t="s">
        <v>5656</v>
      </c>
      <c r="C797" s="465"/>
      <c r="D797" s="464" t="s">
        <v>5657</v>
      </c>
      <c r="E797" s="464" t="s">
        <v>5657</v>
      </c>
      <c r="F797" s="464" t="s">
        <v>5653</v>
      </c>
      <c r="G797" s="80" t="str">
        <f>VLOOKUP(F797,'01. TH'!$B:$E,3,0)</f>
        <v>#N/A</v>
      </c>
      <c r="H797" s="463" t="s">
        <v>5649</v>
      </c>
      <c r="I797" s="466">
        <v>45483.0</v>
      </c>
      <c r="J797" s="467"/>
      <c r="K797" s="463" t="s">
        <v>1661</v>
      </c>
      <c r="L797" s="463"/>
      <c r="M797" s="465"/>
      <c r="N797" s="464" t="s">
        <v>3258</v>
      </c>
      <c r="O797" s="476"/>
      <c r="P797" s="464" t="s">
        <v>3260</v>
      </c>
      <c r="Q797" s="463">
        <v>2024.0</v>
      </c>
      <c r="R797" s="465" t="s">
        <v>3286</v>
      </c>
      <c r="S797" s="476"/>
      <c r="T797" s="517"/>
      <c r="U797" s="476"/>
      <c r="V797" s="476"/>
    </row>
    <row r="798" ht="15.0" customHeight="1">
      <c r="A798" s="48">
        <v>12.0</v>
      </c>
      <c r="B798" s="464" t="s">
        <v>5658</v>
      </c>
      <c r="C798" s="465"/>
      <c r="D798" s="464" t="s">
        <v>5659</v>
      </c>
      <c r="E798" s="464" t="s">
        <v>5659</v>
      </c>
      <c r="F798" s="464" t="s">
        <v>5653</v>
      </c>
      <c r="G798" s="80" t="str">
        <f>VLOOKUP(F798,'01. TH'!$B:$E,3,0)</f>
        <v>#N/A</v>
      </c>
      <c r="H798" s="463" t="s">
        <v>5649</v>
      </c>
      <c r="I798" s="466">
        <v>45483.0</v>
      </c>
      <c r="J798" s="467"/>
      <c r="K798" s="463" t="s">
        <v>1661</v>
      </c>
      <c r="L798" s="463"/>
      <c r="M798" s="465"/>
      <c r="N798" s="464" t="s">
        <v>3258</v>
      </c>
      <c r="O798" s="476"/>
      <c r="P798" s="464" t="s">
        <v>3260</v>
      </c>
      <c r="Q798" s="463">
        <v>2024.0</v>
      </c>
      <c r="R798" s="465" t="s">
        <v>3286</v>
      </c>
      <c r="S798" s="476"/>
      <c r="T798" s="517"/>
      <c r="U798" s="476"/>
      <c r="V798" s="476"/>
    </row>
    <row r="799" ht="15.0" customHeight="1">
      <c r="A799" s="48">
        <v>13.0</v>
      </c>
      <c r="B799" s="464" t="s">
        <v>5660</v>
      </c>
      <c r="C799" s="465"/>
      <c r="D799" s="464" t="s">
        <v>5661</v>
      </c>
      <c r="E799" s="464" t="s">
        <v>5661</v>
      </c>
      <c r="F799" s="464" t="s">
        <v>5653</v>
      </c>
      <c r="G799" s="80" t="str">
        <f>VLOOKUP(F799,'01. TH'!$B:$E,3,0)</f>
        <v>#N/A</v>
      </c>
      <c r="H799" s="463" t="s">
        <v>5649</v>
      </c>
      <c r="I799" s="466">
        <v>45483.0</v>
      </c>
      <c r="J799" s="467"/>
      <c r="K799" s="463" t="s">
        <v>1661</v>
      </c>
      <c r="L799" s="463"/>
      <c r="M799" s="465"/>
      <c r="N799" s="464" t="s">
        <v>3258</v>
      </c>
      <c r="O799" s="476"/>
      <c r="P799" s="464" t="s">
        <v>3260</v>
      </c>
      <c r="Q799" s="463">
        <v>2024.0</v>
      </c>
      <c r="R799" s="465" t="s">
        <v>3286</v>
      </c>
      <c r="S799" s="476"/>
      <c r="T799" s="517"/>
      <c r="U799" s="476"/>
      <c r="V799" s="476"/>
    </row>
    <row r="800" ht="15.0" customHeight="1">
      <c r="A800" s="48">
        <v>14.0</v>
      </c>
      <c r="B800" s="464" t="s">
        <v>5662</v>
      </c>
      <c r="C800" s="465"/>
      <c r="D800" s="464" t="s">
        <v>5663</v>
      </c>
      <c r="E800" s="464" t="s">
        <v>5663</v>
      </c>
      <c r="F800" s="464" t="s">
        <v>5653</v>
      </c>
      <c r="G800" s="80" t="str">
        <f>VLOOKUP(F800,'01. TH'!$B:$E,3,0)</f>
        <v>#N/A</v>
      </c>
      <c r="H800" s="463" t="s">
        <v>5649</v>
      </c>
      <c r="I800" s="466">
        <v>45483.0</v>
      </c>
      <c r="J800" s="467"/>
      <c r="K800" s="463" t="s">
        <v>1661</v>
      </c>
      <c r="L800" s="463"/>
      <c r="M800" s="465"/>
      <c r="N800" s="464" t="s">
        <v>3258</v>
      </c>
      <c r="O800" s="476"/>
      <c r="P800" s="464" t="s">
        <v>3260</v>
      </c>
      <c r="Q800" s="463">
        <v>2024.0</v>
      </c>
      <c r="R800" s="465" t="s">
        <v>3286</v>
      </c>
      <c r="S800" s="476"/>
      <c r="T800" s="517"/>
      <c r="U800" s="476"/>
      <c r="V800" s="476"/>
    </row>
    <row r="801" ht="15.0" customHeight="1">
      <c r="A801" s="48">
        <v>15.0</v>
      </c>
      <c r="B801" s="464" t="s">
        <v>5664</v>
      </c>
      <c r="C801" s="465"/>
      <c r="D801" s="464" t="s">
        <v>3255</v>
      </c>
      <c r="E801" s="464" t="s">
        <v>3255</v>
      </c>
      <c r="F801" s="464" t="s">
        <v>5653</v>
      </c>
      <c r="G801" s="80" t="str">
        <f>VLOOKUP(F801,'01. TH'!$B:$E,3,0)</f>
        <v>#N/A</v>
      </c>
      <c r="H801" s="463" t="s">
        <v>5649</v>
      </c>
      <c r="I801" s="466">
        <v>45483.0</v>
      </c>
      <c r="J801" s="467"/>
      <c r="K801" s="463" t="s">
        <v>1661</v>
      </c>
      <c r="L801" s="463"/>
      <c r="M801" s="465"/>
      <c r="N801" s="464" t="s">
        <v>3258</v>
      </c>
      <c r="O801" s="476"/>
      <c r="P801" s="464" t="s">
        <v>3260</v>
      </c>
      <c r="Q801" s="463">
        <v>2024.0</v>
      </c>
      <c r="R801" s="465" t="s">
        <v>3286</v>
      </c>
      <c r="S801" s="476"/>
      <c r="T801" s="517"/>
      <c r="U801" s="476"/>
      <c r="V801" s="476"/>
    </row>
    <row r="802" ht="15.0" customHeight="1">
      <c r="A802" s="48">
        <v>16.0</v>
      </c>
      <c r="B802" s="464" t="s">
        <v>5665</v>
      </c>
      <c r="C802" s="465"/>
      <c r="D802" s="464" t="s">
        <v>5666</v>
      </c>
      <c r="E802" s="464" t="s">
        <v>5666</v>
      </c>
      <c r="F802" s="464" t="s">
        <v>5653</v>
      </c>
      <c r="G802" s="80" t="str">
        <f>VLOOKUP(F802,'01. TH'!$B:$E,3,0)</f>
        <v>#N/A</v>
      </c>
      <c r="H802" s="463" t="s">
        <v>5649</v>
      </c>
      <c r="I802" s="466">
        <v>45483.0</v>
      </c>
      <c r="J802" s="467"/>
      <c r="K802" s="463" t="s">
        <v>1661</v>
      </c>
      <c r="L802" s="463"/>
      <c r="M802" s="465"/>
      <c r="N802" s="464" t="s">
        <v>3258</v>
      </c>
      <c r="O802" s="476"/>
      <c r="P802" s="464" t="s">
        <v>3260</v>
      </c>
      <c r="Q802" s="463">
        <v>2024.0</v>
      </c>
      <c r="R802" s="465" t="s">
        <v>3286</v>
      </c>
      <c r="S802" s="476"/>
      <c r="T802" s="517"/>
      <c r="U802" s="476"/>
      <c r="V802" s="476"/>
    </row>
    <row r="803" ht="13.5" customHeight="1">
      <c r="A803" s="80">
        <v>11.0</v>
      </c>
      <c r="B803" s="86" t="s">
        <v>5667</v>
      </c>
      <c r="C803" s="84"/>
      <c r="D803" s="95"/>
      <c r="E803" s="95"/>
      <c r="F803" s="86" t="s">
        <v>5668</v>
      </c>
      <c r="G803" s="80" t="str">
        <f>VLOOKUP(F803,'01. TH'!$B:$E,3,0)</f>
        <v>#N/A</v>
      </c>
      <c r="H803" s="80" t="s">
        <v>2794</v>
      </c>
      <c r="I803" s="128"/>
      <c r="J803" s="99"/>
      <c r="K803" s="80" t="str">
        <f>IF(COUNTIF('TT BTSC'!$D:$D,B803)&gt;0,"Hư hỏng","Bình thường")</f>
        <v>Bình thường</v>
      </c>
      <c r="L803" s="106"/>
      <c r="M803" s="129" t="s">
        <v>5669</v>
      </c>
      <c r="N803" s="108" t="s">
        <v>5670</v>
      </c>
      <c r="O803" s="108" t="s">
        <v>260</v>
      </c>
      <c r="P803" s="80"/>
      <c r="Q803" s="80" t="s">
        <v>5671</v>
      </c>
      <c r="R803" s="80" t="s">
        <v>950</v>
      </c>
      <c r="S803" s="108">
        <v>216281.0</v>
      </c>
      <c r="T803" s="110"/>
      <c r="U803" s="110"/>
      <c r="V803" s="110"/>
    </row>
    <row r="804" ht="15.0" customHeight="1">
      <c r="A804" s="617" t="s">
        <v>2944</v>
      </c>
      <c r="B804" s="618" t="s">
        <v>2945</v>
      </c>
      <c r="C804" s="618"/>
      <c r="D804" s="618"/>
      <c r="E804" s="618"/>
      <c r="F804" s="618"/>
      <c r="G804" s="617"/>
      <c r="H804" s="617"/>
      <c r="I804" s="617"/>
      <c r="J804" s="618"/>
      <c r="K804" s="617"/>
      <c r="L804" s="618"/>
      <c r="M804" s="619"/>
      <c r="N804" s="618"/>
      <c r="O804" s="619"/>
      <c r="P804" s="618"/>
      <c r="Q804" s="617"/>
      <c r="R804" s="619"/>
      <c r="S804" s="619"/>
      <c r="T804" s="620"/>
      <c r="U804" s="618"/>
      <c r="V804" s="618"/>
    </row>
    <row r="805" ht="13.5" customHeight="1">
      <c r="A805" s="621" t="s">
        <v>2947</v>
      </c>
      <c r="B805" s="622" t="s">
        <v>5672</v>
      </c>
      <c r="C805" s="623">
        <f>COUNTA(B806:B818)</f>
        <v>13</v>
      </c>
      <c r="D805" s="623"/>
      <c r="E805" s="623"/>
      <c r="F805" s="623"/>
      <c r="G805" s="623"/>
      <c r="H805" s="623"/>
      <c r="I805" s="624"/>
      <c r="J805" s="623"/>
      <c r="K805" s="623"/>
      <c r="L805" s="623"/>
      <c r="M805" s="625"/>
      <c r="N805" s="625"/>
      <c r="O805" s="625"/>
      <c r="P805" s="625"/>
      <c r="Q805" s="623"/>
      <c r="R805" s="625"/>
      <c r="S805" s="625"/>
      <c r="T805" s="626"/>
      <c r="U805" s="623"/>
      <c r="V805" s="623"/>
    </row>
    <row r="806" ht="15.0" customHeight="1">
      <c r="A806" s="627">
        <v>1.0</v>
      </c>
      <c r="B806" s="628" t="s">
        <v>5673</v>
      </c>
      <c r="C806" s="629" t="s">
        <v>5674</v>
      </c>
      <c r="D806" s="630"/>
      <c r="E806" s="630"/>
      <c r="F806" s="630" t="s">
        <v>3521</v>
      </c>
      <c r="G806" s="80" t="str">
        <f>VLOOKUP(F806,'01. TH'!$B:$E,3,0)</f>
        <v>1x1x1</v>
      </c>
      <c r="H806" s="631" t="s">
        <v>1010</v>
      </c>
      <c r="I806" s="627" t="s">
        <v>5675</v>
      </c>
      <c r="J806" s="630"/>
      <c r="K806" s="627" t="s">
        <v>5252</v>
      </c>
      <c r="L806" s="632"/>
      <c r="M806" s="633"/>
      <c r="N806" s="628" t="s">
        <v>3258</v>
      </c>
      <c r="O806" s="634"/>
      <c r="P806" s="628" t="s">
        <v>3260</v>
      </c>
      <c r="Q806" s="631"/>
      <c r="R806" s="634"/>
      <c r="S806" s="634"/>
      <c r="T806" s="635"/>
      <c r="U806" s="630"/>
      <c r="V806" s="630"/>
    </row>
    <row r="807" ht="15.0" customHeight="1">
      <c r="A807" s="627">
        <f t="shared" ref="A807:A818" si="18">A806+1</f>
        <v>2</v>
      </c>
      <c r="B807" s="628" t="s">
        <v>5676</v>
      </c>
      <c r="C807" s="629" t="s">
        <v>5677</v>
      </c>
      <c r="D807" s="630"/>
      <c r="E807" s="630"/>
      <c r="F807" s="628" t="s">
        <v>4080</v>
      </c>
      <c r="G807" s="80" t="str">
        <f>VLOOKUP(F807,'01. TH'!$B:$E,3,0)</f>
        <v>1x1x1</v>
      </c>
      <c r="H807" s="631" t="s">
        <v>1010</v>
      </c>
      <c r="I807" s="627" t="s">
        <v>5675</v>
      </c>
      <c r="J807" s="630"/>
      <c r="K807" s="627" t="s">
        <v>5252</v>
      </c>
      <c r="L807" s="632"/>
      <c r="M807" s="633"/>
      <c r="N807" s="628" t="s">
        <v>3258</v>
      </c>
      <c r="O807" s="634"/>
      <c r="P807" s="628" t="s">
        <v>3260</v>
      </c>
      <c r="Q807" s="631"/>
      <c r="R807" s="634"/>
      <c r="S807" s="634"/>
      <c r="T807" s="635"/>
      <c r="U807" s="630"/>
      <c r="V807" s="630"/>
    </row>
    <row r="808" ht="15.0" customHeight="1">
      <c r="A808" s="627">
        <f t="shared" si="18"/>
        <v>3</v>
      </c>
      <c r="B808" s="628" t="s">
        <v>5678</v>
      </c>
      <c r="C808" s="629" t="s">
        <v>5679</v>
      </c>
      <c r="D808" s="630"/>
      <c r="E808" s="630"/>
      <c r="F808" s="628" t="s">
        <v>4080</v>
      </c>
      <c r="G808" s="80" t="str">
        <f>VLOOKUP(F808,'01. TH'!$B:$E,3,0)</f>
        <v>1x1x1</v>
      </c>
      <c r="H808" s="631" t="s">
        <v>1010</v>
      </c>
      <c r="I808" s="627" t="s">
        <v>5675</v>
      </c>
      <c r="J808" s="630"/>
      <c r="K808" s="627" t="s">
        <v>5252</v>
      </c>
      <c r="L808" s="632"/>
      <c r="M808" s="633"/>
      <c r="N808" s="628" t="s">
        <v>3258</v>
      </c>
      <c r="O808" s="634"/>
      <c r="P808" s="628" t="s">
        <v>3260</v>
      </c>
      <c r="Q808" s="631"/>
      <c r="R808" s="634"/>
      <c r="S808" s="634"/>
      <c r="T808" s="635"/>
      <c r="U808" s="630"/>
      <c r="V808" s="630"/>
    </row>
    <row r="809" ht="15.0" customHeight="1">
      <c r="A809" s="627">
        <f t="shared" si="18"/>
        <v>4</v>
      </c>
      <c r="B809" s="636" t="s">
        <v>5680</v>
      </c>
      <c r="C809" s="637" t="s">
        <v>5681</v>
      </c>
      <c r="D809" s="638"/>
      <c r="E809" s="638"/>
      <c r="F809" s="628" t="s">
        <v>3521</v>
      </c>
      <c r="G809" s="80" t="str">
        <f>VLOOKUP(F809,'01. TH'!$B:$E,3,0)</f>
        <v>1x1x1</v>
      </c>
      <c r="H809" s="631" t="s">
        <v>1120</v>
      </c>
      <c r="I809" s="627" t="s">
        <v>5675</v>
      </c>
      <c r="J809" s="639"/>
      <c r="K809" s="639" t="s">
        <v>2306</v>
      </c>
      <c r="L809" s="640"/>
      <c r="M809" s="641"/>
      <c r="N809" s="628" t="s">
        <v>3258</v>
      </c>
      <c r="O809" s="641"/>
      <c r="P809" s="628" t="s">
        <v>3260</v>
      </c>
      <c r="Q809" s="642"/>
      <c r="R809" s="643"/>
      <c r="S809" s="643"/>
      <c r="T809" s="644"/>
      <c r="U809" s="638"/>
      <c r="V809" s="638"/>
    </row>
    <row r="810" ht="15.0" customHeight="1">
      <c r="A810" s="627">
        <f t="shared" si="18"/>
        <v>5</v>
      </c>
      <c r="B810" s="636" t="s">
        <v>5682</v>
      </c>
      <c r="C810" s="637" t="s">
        <v>5683</v>
      </c>
      <c r="D810" s="638"/>
      <c r="E810" s="638"/>
      <c r="F810" s="628" t="s">
        <v>3521</v>
      </c>
      <c r="G810" s="80" t="str">
        <f>VLOOKUP(F810,'01. TH'!$B:$E,3,0)</f>
        <v>1x1x1</v>
      </c>
      <c r="H810" s="631" t="s">
        <v>1120</v>
      </c>
      <c r="I810" s="627" t="s">
        <v>5675</v>
      </c>
      <c r="J810" s="639"/>
      <c r="K810" s="639" t="s">
        <v>2306</v>
      </c>
      <c r="L810" s="640"/>
      <c r="M810" s="641"/>
      <c r="N810" s="628" t="s">
        <v>3258</v>
      </c>
      <c r="O810" s="641"/>
      <c r="P810" s="628" t="s">
        <v>3260</v>
      </c>
      <c r="Q810" s="642"/>
      <c r="R810" s="643"/>
      <c r="S810" s="643"/>
      <c r="T810" s="644"/>
      <c r="U810" s="638"/>
      <c r="V810" s="638"/>
    </row>
    <row r="811" ht="15.0" customHeight="1">
      <c r="A811" s="627">
        <f t="shared" si="18"/>
        <v>6</v>
      </c>
      <c r="B811" s="636" t="s">
        <v>5088</v>
      </c>
      <c r="C811" s="637" t="s">
        <v>5679</v>
      </c>
      <c r="D811" s="638"/>
      <c r="E811" s="638"/>
      <c r="F811" s="628" t="s">
        <v>3521</v>
      </c>
      <c r="G811" s="80" t="str">
        <f>VLOOKUP(F811,'01. TH'!$B:$E,3,0)</f>
        <v>1x1x1</v>
      </c>
      <c r="H811" s="631" t="s">
        <v>1120</v>
      </c>
      <c r="I811" s="627" t="s">
        <v>5675</v>
      </c>
      <c r="J811" s="639"/>
      <c r="K811" s="639" t="s">
        <v>2306</v>
      </c>
      <c r="L811" s="640"/>
      <c r="M811" s="641"/>
      <c r="N811" s="628" t="s">
        <v>3258</v>
      </c>
      <c r="O811" s="641"/>
      <c r="P811" s="628" t="s">
        <v>3260</v>
      </c>
      <c r="Q811" s="642"/>
      <c r="R811" s="643"/>
      <c r="S811" s="643"/>
      <c r="T811" s="644"/>
      <c r="U811" s="638"/>
      <c r="V811" s="638"/>
    </row>
    <row r="812" ht="15.0" customHeight="1">
      <c r="A812" s="627">
        <f t="shared" si="18"/>
        <v>7</v>
      </c>
      <c r="B812" s="628" t="s">
        <v>5684</v>
      </c>
      <c r="C812" s="634" t="s">
        <v>5685</v>
      </c>
      <c r="D812" s="628" t="s">
        <v>5686</v>
      </c>
      <c r="E812" s="630"/>
      <c r="F812" s="630" t="s">
        <v>3521</v>
      </c>
      <c r="G812" s="80" t="str">
        <f>VLOOKUP(F812,'01. TH'!$B:$E,3,0)</f>
        <v>1x1x1</v>
      </c>
      <c r="H812" s="631" t="s">
        <v>1120</v>
      </c>
      <c r="I812" s="631"/>
      <c r="J812" s="630"/>
      <c r="K812" s="627" t="s">
        <v>1661</v>
      </c>
      <c r="L812" s="630"/>
      <c r="M812" s="634"/>
      <c r="N812" s="628" t="s">
        <v>3258</v>
      </c>
      <c r="O812" s="634" t="s">
        <v>743</v>
      </c>
      <c r="P812" s="628" t="s">
        <v>3260</v>
      </c>
      <c r="Q812" s="631"/>
      <c r="R812" s="634"/>
      <c r="S812" s="634">
        <v>44.0</v>
      </c>
      <c r="T812" s="645"/>
      <c r="U812" s="634"/>
      <c r="V812" s="634"/>
    </row>
    <row r="813" ht="15.0" customHeight="1">
      <c r="A813" s="627">
        <f t="shared" si="18"/>
        <v>8</v>
      </c>
      <c r="B813" s="628" t="s">
        <v>5687</v>
      </c>
      <c r="C813" s="634" t="s">
        <v>5688</v>
      </c>
      <c r="D813" s="630"/>
      <c r="E813" s="630"/>
      <c r="F813" s="630" t="s">
        <v>3919</v>
      </c>
      <c r="G813" s="80" t="str">
        <f>VLOOKUP(F813,'01. TH'!$B:$E,3,0)</f>
        <v/>
      </c>
      <c r="H813" s="631" t="s">
        <v>1010</v>
      </c>
      <c r="I813" s="646">
        <v>45357.0</v>
      </c>
      <c r="J813" s="630"/>
      <c r="K813" s="639" t="s">
        <v>2306</v>
      </c>
      <c r="L813" s="630"/>
      <c r="M813" s="634"/>
      <c r="N813" s="630"/>
      <c r="O813" s="634" t="s">
        <v>743</v>
      </c>
      <c r="P813" s="628" t="s">
        <v>2666</v>
      </c>
      <c r="Q813" s="631"/>
      <c r="R813" s="634"/>
      <c r="S813" s="634" t="s">
        <v>5689</v>
      </c>
      <c r="T813" s="647">
        <v>8.47</v>
      </c>
      <c r="U813" s="628"/>
      <c r="V813" s="628"/>
    </row>
    <row r="814" ht="15.0" customHeight="1">
      <c r="A814" s="627">
        <f t="shared" si="18"/>
        <v>9</v>
      </c>
      <c r="B814" s="628" t="s">
        <v>5690</v>
      </c>
      <c r="C814" s="629"/>
      <c r="D814" s="628"/>
      <c r="E814" s="628"/>
      <c r="F814" s="628" t="s">
        <v>5691</v>
      </c>
      <c r="G814" s="80" t="str">
        <f>VLOOKUP(F814,'01. TH'!$B:$E,3,0)</f>
        <v>#N/A</v>
      </c>
      <c r="H814" s="627" t="s">
        <v>836</v>
      </c>
      <c r="I814" s="646">
        <v>45388.0</v>
      </c>
      <c r="J814" s="628"/>
      <c r="K814" s="627" t="s">
        <v>5252</v>
      </c>
      <c r="L814" s="628"/>
      <c r="M814" s="629" t="s">
        <v>5692</v>
      </c>
      <c r="N814" s="628" t="s">
        <v>3258</v>
      </c>
      <c r="O814" s="629"/>
      <c r="P814" s="628" t="s">
        <v>3260</v>
      </c>
      <c r="Q814" s="627"/>
      <c r="R814" s="629"/>
      <c r="S814" s="629"/>
      <c r="T814" s="647"/>
      <c r="U814" s="628"/>
      <c r="V814" s="628"/>
    </row>
    <row r="815" ht="15.0" customHeight="1">
      <c r="A815" s="627">
        <f t="shared" si="18"/>
        <v>10</v>
      </c>
      <c r="B815" s="628" t="s">
        <v>5693</v>
      </c>
      <c r="C815" s="634" t="s">
        <v>5694</v>
      </c>
      <c r="D815" s="628" t="s">
        <v>4795</v>
      </c>
      <c r="E815" s="630"/>
      <c r="F815" s="630" t="s">
        <v>4080</v>
      </c>
      <c r="G815" s="80" t="str">
        <f>VLOOKUP(F815,'01. TH'!$B:$E,3,0)</f>
        <v>1x1x1</v>
      </c>
      <c r="H815" s="631" t="s">
        <v>1120</v>
      </c>
      <c r="I815" s="646">
        <v>45330.0</v>
      </c>
      <c r="J815" s="630"/>
      <c r="K815" s="627" t="s">
        <v>5252</v>
      </c>
      <c r="L815" s="630"/>
      <c r="M815" s="629" t="s">
        <v>5695</v>
      </c>
      <c r="N815" s="628" t="s">
        <v>3258</v>
      </c>
      <c r="O815" s="634" t="s">
        <v>743</v>
      </c>
      <c r="P815" s="628" t="s">
        <v>3260</v>
      </c>
      <c r="Q815" s="631"/>
      <c r="R815" s="634"/>
      <c r="S815" s="634" t="s">
        <v>4081</v>
      </c>
      <c r="T815" s="645"/>
      <c r="U815" s="634"/>
      <c r="V815" s="634"/>
    </row>
    <row r="816" ht="15.0" customHeight="1">
      <c r="A816" s="627">
        <f t="shared" si="18"/>
        <v>11</v>
      </c>
      <c r="B816" s="629" t="s">
        <v>5696</v>
      </c>
      <c r="C816" s="648"/>
      <c r="D816" s="628" t="s">
        <v>4446</v>
      </c>
      <c r="E816" s="630"/>
      <c r="F816" s="630" t="s">
        <v>3521</v>
      </c>
      <c r="G816" s="80" t="str">
        <f>VLOOKUP(F816,'01. TH'!$B:$E,3,0)</f>
        <v>1x1x1</v>
      </c>
      <c r="H816" s="627" t="s">
        <v>5697</v>
      </c>
      <c r="I816" s="627" t="s">
        <v>1261</v>
      </c>
      <c r="J816" s="630"/>
      <c r="K816" s="627" t="s">
        <v>1661</v>
      </c>
      <c r="L816" s="628"/>
      <c r="M816" s="629" t="s">
        <v>5692</v>
      </c>
      <c r="N816" s="628" t="s">
        <v>3258</v>
      </c>
      <c r="O816" s="634"/>
      <c r="P816" s="628" t="s">
        <v>3260</v>
      </c>
      <c r="Q816" s="631"/>
      <c r="R816" s="634"/>
      <c r="S816" s="634" t="s">
        <v>4454</v>
      </c>
      <c r="T816" s="635"/>
      <c r="U816" s="630"/>
      <c r="V816" s="630"/>
    </row>
    <row r="817" ht="15.0" customHeight="1">
      <c r="A817" s="627">
        <f t="shared" si="18"/>
        <v>12</v>
      </c>
      <c r="B817" s="628" t="s">
        <v>5698</v>
      </c>
      <c r="C817" s="634" t="s">
        <v>5699</v>
      </c>
      <c r="D817" s="628" t="s">
        <v>5700</v>
      </c>
      <c r="E817" s="630"/>
      <c r="F817" s="628" t="s">
        <v>3521</v>
      </c>
      <c r="G817" s="80" t="str">
        <f>VLOOKUP(F817,'01. TH'!$B:$E,3,0)</f>
        <v>1x1x1</v>
      </c>
      <c r="H817" s="631" t="s">
        <v>2964</v>
      </c>
      <c r="I817" s="631"/>
      <c r="J817" s="630"/>
      <c r="K817" s="627" t="s">
        <v>1661</v>
      </c>
      <c r="L817" s="630"/>
      <c r="M817" s="629" t="s">
        <v>5692</v>
      </c>
      <c r="N817" s="628" t="s">
        <v>3258</v>
      </c>
      <c r="O817" s="634"/>
      <c r="P817" s="628" t="s">
        <v>3260</v>
      </c>
      <c r="Q817" s="631"/>
      <c r="R817" s="634"/>
      <c r="S817" s="634" t="s">
        <v>5701</v>
      </c>
      <c r="T817" s="635"/>
      <c r="U817" s="630"/>
      <c r="V817" s="630"/>
    </row>
    <row r="818" ht="15.0" customHeight="1">
      <c r="A818" s="627">
        <f t="shared" si="18"/>
        <v>13</v>
      </c>
      <c r="B818" s="628" t="s">
        <v>5702</v>
      </c>
      <c r="C818" s="629" t="s">
        <v>5703</v>
      </c>
      <c r="D818" s="628" t="s">
        <v>5704</v>
      </c>
      <c r="E818" s="630"/>
      <c r="F818" s="630" t="s">
        <v>3919</v>
      </c>
      <c r="G818" s="80" t="str">
        <f>VLOOKUP(F818,'01. TH'!$B:$E,3,0)</f>
        <v/>
      </c>
      <c r="H818" s="631" t="s">
        <v>2964</v>
      </c>
      <c r="I818" s="631"/>
      <c r="J818" s="630"/>
      <c r="K818" s="627" t="s">
        <v>1661</v>
      </c>
      <c r="L818" s="630"/>
      <c r="M818" s="629" t="s">
        <v>5692</v>
      </c>
      <c r="N818" s="630"/>
      <c r="O818" s="634"/>
      <c r="P818" s="628" t="s">
        <v>2666</v>
      </c>
      <c r="Q818" s="631"/>
      <c r="R818" s="634"/>
      <c r="S818" s="629" t="s">
        <v>5705</v>
      </c>
      <c r="T818" s="647">
        <v>8.47</v>
      </c>
      <c r="U818" s="628"/>
      <c r="V818" s="628"/>
    </row>
    <row r="819" ht="13.5" customHeight="1">
      <c r="A819" s="649" t="s">
        <v>76</v>
      </c>
      <c r="B819" s="650" t="s">
        <v>2959</v>
      </c>
      <c r="C819" s="651">
        <f>COUNTA(B820:B834)</f>
        <v>7</v>
      </c>
      <c r="D819" s="651"/>
      <c r="E819" s="651"/>
      <c r="F819" s="651"/>
      <c r="G819" s="623"/>
      <c r="H819" s="623"/>
      <c r="I819" s="651"/>
      <c r="J819" s="652"/>
      <c r="K819" s="651"/>
      <c r="L819" s="651"/>
      <c r="M819" s="653"/>
      <c r="N819" s="653"/>
      <c r="O819" s="653"/>
      <c r="P819" s="651"/>
      <c r="Q819" s="651"/>
      <c r="R819" s="651"/>
      <c r="S819" s="653"/>
      <c r="T819" s="654"/>
      <c r="U819" s="654"/>
      <c r="V819" s="654"/>
    </row>
    <row r="820" ht="15.0" customHeight="1">
      <c r="A820" s="655">
        <f>A571+1</f>
        <v>31</v>
      </c>
      <c r="B820" s="656" t="s">
        <v>5706</v>
      </c>
      <c r="C820" s="501" t="s">
        <v>5707</v>
      </c>
      <c r="D820" s="503" t="s">
        <v>5708</v>
      </c>
      <c r="E820" s="501"/>
      <c r="F820" s="503" t="s">
        <v>5709</v>
      </c>
      <c r="G820" s="80" t="str">
        <f>VLOOKUP(F820,'01. TH'!$B:$E,3,0)</f>
        <v>#N/A</v>
      </c>
      <c r="H820" s="655" t="s">
        <v>2963</v>
      </c>
      <c r="I820" s="655" t="s">
        <v>2963</v>
      </c>
      <c r="J820" s="501"/>
      <c r="K820" s="657" t="s">
        <v>5710</v>
      </c>
      <c r="L820" s="658"/>
      <c r="M820" s="659"/>
      <c r="N820" s="503" t="s">
        <v>3084</v>
      </c>
      <c r="O820" s="502" t="s">
        <v>4886</v>
      </c>
      <c r="P820" s="503" t="s">
        <v>3084</v>
      </c>
      <c r="Q820" s="504"/>
      <c r="R820" s="659"/>
      <c r="S820" s="659"/>
      <c r="T820" s="660"/>
      <c r="U820" s="659"/>
      <c r="V820" s="659"/>
    </row>
    <row r="821" ht="15.0" customHeight="1">
      <c r="A821" s="655">
        <f t="shared" ref="A821:A822" si="19">A820+1</f>
        <v>32</v>
      </c>
      <c r="B821" s="656" t="s">
        <v>5711</v>
      </c>
      <c r="C821" s="501" t="s">
        <v>5712</v>
      </c>
      <c r="D821" s="503" t="s">
        <v>5713</v>
      </c>
      <c r="E821" s="501"/>
      <c r="F821" s="503" t="s">
        <v>5709</v>
      </c>
      <c r="G821" s="80" t="str">
        <f>VLOOKUP(F821,'01. TH'!$B:$E,3,0)</f>
        <v>#N/A</v>
      </c>
      <c r="H821" s="655" t="s">
        <v>2963</v>
      </c>
      <c r="I821" s="655" t="s">
        <v>2963</v>
      </c>
      <c r="J821" s="501"/>
      <c r="K821" s="657" t="s">
        <v>5710</v>
      </c>
      <c r="L821" s="504"/>
      <c r="M821" s="659"/>
      <c r="N821" s="503" t="s">
        <v>3084</v>
      </c>
      <c r="O821" s="502" t="s">
        <v>4886</v>
      </c>
      <c r="P821" s="503" t="s">
        <v>3084</v>
      </c>
      <c r="Q821" s="504"/>
      <c r="R821" s="659"/>
      <c r="S821" s="659"/>
      <c r="T821" s="660"/>
      <c r="U821" s="659"/>
      <c r="V821" s="659"/>
    </row>
    <row r="822" ht="15.0" customHeight="1">
      <c r="A822" s="655">
        <f t="shared" si="19"/>
        <v>33</v>
      </c>
      <c r="B822" s="656" t="s">
        <v>5714</v>
      </c>
      <c r="C822" s="501" t="s">
        <v>5715</v>
      </c>
      <c r="D822" s="503" t="s">
        <v>5716</v>
      </c>
      <c r="E822" s="501"/>
      <c r="F822" s="503" t="s">
        <v>5709</v>
      </c>
      <c r="G822" s="80" t="str">
        <f>VLOOKUP(F822,'01. TH'!$B:$E,3,0)</f>
        <v>#N/A</v>
      </c>
      <c r="H822" s="655" t="s">
        <v>2963</v>
      </c>
      <c r="I822" s="655" t="s">
        <v>2963</v>
      </c>
      <c r="J822" s="501"/>
      <c r="K822" s="657" t="s">
        <v>5710</v>
      </c>
      <c r="L822" s="504"/>
      <c r="M822" s="659"/>
      <c r="N822" s="503" t="s">
        <v>3084</v>
      </c>
      <c r="O822" s="502" t="s">
        <v>4886</v>
      </c>
      <c r="P822" s="503" t="s">
        <v>3084</v>
      </c>
      <c r="Q822" s="504"/>
      <c r="R822" s="659"/>
      <c r="S822" s="659"/>
      <c r="T822" s="660"/>
      <c r="U822" s="659"/>
      <c r="V822" s="659"/>
    </row>
    <row r="823" ht="15.0" customHeight="1">
      <c r="A823" s="655">
        <v>1.0</v>
      </c>
      <c r="B823" s="503" t="s">
        <v>5717</v>
      </c>
      <c r="C823" s="659"/>
      <c r="D823" s="503" t="s">
        <v>5718</v>
      </c>
      <c r="E823" s="503"/>
      <c r="F823" s="503" t="s">
        <v>5719</v>
      </c>
      <c r="G823" s="80" t="str">
        <f>VLOOKUP(F823,'01. TH'!$B:$E,3,0)</f>
        <v>#N/A</v>
      </c>
      <c r="H823" s="655" t="s">
        <v>2963</v>
      </c>
      <c r="I823" s="655" t="s">
        <v>2963</v>
      </c>
      <c r="J823" s="501"/>
      <c r="K823" s="657" t="s">
        <v>5710</v>
      </c>
      <c r="L823" s="503"/>
      <c r="M823" s="502" t="s">
        <v>5720</v>
      </c>
      <c r="N823" s="503" t="s">
        <v>3258</v>
      </c>
      <c r="O823" s="659"/>
      <c r="P823" s="503" t="s">
        <v>3260</v>
      </c>
      <c r="Q823" s="504"/>
      <c r="R823" s="502" t="s">
        <v>5721</v>
      </c>
      <c r="S823" s="659"/>
      <c r="T823" s="661"/>
      <c r="U823" s="501"/>
      <c r="V823" s="501"/>
    </row>
    <row r="824" ht="15.0" customHeight="1">
      <c r="A824" s="504">
        <f>A241+1</f>
        <v>3</v>
      </c>
      <c r="B824" s="503" t="s">
        <v>5722</v>
      </c>
      <c r="C824" s="503" t="s">
        <v>5723</v>
      </c>
      <c r="D824" s="503" t="s">
        <v>4070</v>
      </c>
      <c r="E824" s="503"/>
      <c r="F824" s="501" t="s">
        <v>3521</v>
      </c>
      <c r="G824" s="80" t="str">
        <f>VLOOKUP(F824,'01. TH'!$B:$E,3,0)</f>
        <v>1x1x1</v>
      </c>
      <c r="H824" s="655" t="s">
        <v>2963</v>
      </c>
      <c r="I824" s="655" t="s">
        <v>2963</v>
      </c>
      <c r="J824" s="503"/>
      <c r="K824" s="657" t="s">
        <v>5710</v>
      </c>
      <c r="L824" s="503"/>
      <c r="M824" s="502"/>
      <c r="N824" s="503" t="s">
        <v>3258</v>
      </c>
      <c r="O824" s="502"/>
      <c r="P824" s="503" t="s">
        <v>3260</v>
      </c>
      <c r="Q824" s="655"/>
      <c r="R824" s="502"/>
      <c r="S824" s="502">
        <v>40.0</v>
      </c>
      <c r="T824" s="662"/>
      <c r="U824" s="503"/>
      <c r="V824" s="503"/>
    </row>
    <row r="825" ht="15.0" customHeight="1">
      <c r="A825" s="504">
        <f>A824+1</f>
        <v>4</v>
      </c>
      <c r="B825" s="503" t="s">
        <v>5724</v>
      </c>
      <c r="C825" s="503" t="s">
        <v>5725</v>
      </c>
      <c r="D825" s="503" t="s">
        <v>4073</v>
      </c>
      <c r="E825" s="503"/>
      <c r="F825" s="501" t="s">
        <v>3521</v>
      </c>
      <c r="G825" s="80" t="str">
        <f>VLOOKUP(F825,'01. TH'!$B:$E,3,0)</f>
        <v>1x1x1</v>
      </c>
      <c r="H825" s="655" t="s">
        <v>2963</v>
      </c>
      <c r="I825" s="655" t="s">
        <v>2963</v>
      </c>
      <c r="J825" s="503"/>
      <c r="K825" s="657" t="s">
        <v>5710</v>
      </c>
      <c r="L825" s="503"/>
      <c r="M825" s="502"/>
      <c r="N825" s="503" t="s">
        <v>3258</v>
      </c>
      <c r="O825" s="502"/>
      <c r="P825" s="503" t="s">
        <v>3260</v>
      </c>
      <c r="Q825" s="655"/>
      <c r="R825" s="502"/>
      <c r="S825" s="502">
        <v>50.0</v>
      </c>
      <c r="T825" s="662"/>
      <c r="U825" s="503"/>
      <c r="V825" s="503"/>
    </row>
    <row r="826" ht="15.0" customHeight="1">
      <c r="A826" s="655">
        <f>A145+1</f>
        <v>22</v>
      </c>
      <c r="B826" s="503" t="s">
        <v>5726</v>
      </c>
      <c r="C826" s="659" t="s">
        <v>5727</v>
      </c>
      <c r="D826" s="503" t="s">
        <v>5728</v>
      </c>
      <c r="E826" s="501"/>
      <c r="F826" s="503" t="s">
        <v>3599</v>
      </c>
      <c r="G826" s="80" t="str">
        <f>VLOOKUP(F826,'01. TH'!$B:$E,3,0)</f>
        <v>1800x1180x1152</v>
      </c>
      <c r="H826" s="655" t="s">
        <v>2963</v>
      </c>
      <c r="I826" s="655" t="s">
        <v>2963</v>
      </c>
      <c r="J826" s="501"/>
      <c r="K826" s="657" t="s">
        <v>5710</v>
      </c>
      <c r="L826" s="501"/>
      <c r="M826" s="659"/>
      <c r="N826" s="663" t="s">
        <v>260</v>
      </c>
      <c r="O826" s="659"/>
      <c r="P826" s="663" t="s">
        <v>260</v>
      </c>
      <c r="Q826" s="504"/>
      <c r="R826" s="659"/>
      <c r="S826" s="659"/>
      <c r="T826" s="661"/>
      <c r="U826" s="501"/>
      <c r="V826" s="501"/>
    </row>
    <row r="827" ht="15.0" customHeight="1">
      <c r="A827" s="463"/>
      <c r="B827" s="464"/>
      <c r="C827" s="476"/>
      <c r="D827" s="464"/>
      <c r="E827" s="467"/>
      <c r="F827" s="467"/>
      <c r="G827" s="80" t="str">
        <f>VLOOKUP(F827,'01. TH'!$B:$E,3,0)</f>
        <v>#N/A</v>
      </c>
      <c r="H827" s="490"/>
      <c r="I827" s="466"/>
      <c r="J827" s="467"/>
      <c r="K827" s="463"/>
      <c r="L827" s="467"/>
      <c r="M827" s="465"/>
      <c r="N827" s="467"/>
      <c r="O827" s="476"/>
      <c r="P827" s="464"/>
      <c r="Q827" s="475"/>
      <c r="R827" s="476"/>
      <c r="S827" s="476"/>
      <c r="T827" s="517"/>
      <c r="U827" s="476"/>
      <c r="V827" s="476"/>
    </row>
    <row r="828" ht="15.0" customHeight="1">
      <c r="A828" s="463"/>
      <c r="B828" s="464"/>
      <c r="C828" s="476"/>
      <c r="D828" s="464"/>
      <c r="E828" s="467"/>
      <c r="F828" s="467"/>
      <c r="G828" s="80" t="str">
        <f>VLOOKUP(F828,'01. TH'!$B:$E,3,0)</f>
        <v>#N/A</v>
      </c>
      <c r="H828" s="490"/>
      <c r="I828" s="466"/>
      <c r="J828" s="467"/>
      <c r="K828" s="463"/>
      <c r="L828" s="467"/>
      <c r="M828" s="465"/>
      <c r="N828" s="467"/>
      <c r="O828" s="476"/>
      <c r="P828" s="464"/>
      <c r="Q828" s="475"/>
      <c r="R828" s="476"/>
      <c r="S828" s="476"/>
      <c r="T828" s="517"/>
      <c r="U828" s="476"/>
      <c r="V828" s="476"/>
    </row>
    <row r="829" ht="15.0" customHeight="1">
      <c r="A829" s="463"/>
      <c r="B829" s="464"/>
      <c r="C829" s="476"/>
      <c r="D829" s="464"/>
      <c r="E829" s="467"/>
      <c r="F829" s="467"/>
      <c r="G829" s="80" t="str">
        <f>VLOOKUP(F829,'01. TH'!$B:$E,3,0)</f>
        <v>#N/A</v>
      </c>
      <c r="H829" s="490"/>
      <c r="I829" s="466"/>
      <c r="J829" s="467"/>
      <c r="K829" s="463"/>
      <c r="L829" s="467"/>
      <c r="M829" s="465"/>
      <c r="N829" s="467"/>
      <c r="O829" s="476"/>
      <c r="P829" s="464"/>
      <c r="Q829" s="475"/>
      <c r="R829" s="476"/>
      <c r="S829" s="476"/>
      <c r="T829" s="517"/>
      <c r="U829" s="476"/>
      <c r="V829" s="476"/>
    </row>
    <row r="830" ht="15.0" customHeight="1">
      <c r="A830" s="463"/>
      <c r="B830" s="464"/>
      <c r="C830" s="476"/>
      <c r="D830" s="464"/>
      <c r="E830" s="467"/>
      <c r="F830" s="467"/>
      <c r="G830" s="80" t="str">
        <f>VLOOKUP(F830,'01. TH'!$B:$E,3,0)</f>
        <v>#N/A</v>
      </c>
      <c r="H830" s="490"/>
      <c r="I830" s="466"/>
      <c r="J830" s="467"/>
      <c r="K830" s="463"/>
      <c r="L830" s="467"/>
      <c r="M830" s="465"/>
      <c r="N830" s="467"/>
      <c r="O830" s="476"/>
      <c r="P830" s="464"/>
      <c r="Q830" s="475"/>
      <c r="R830" s="476"/>
      <c r="S830" s="476"/>
      <c r="T830" s="517"/>
      <c r="U830" s="476"/>
      <c r="V830" s="476"/>
    </row>
    <row r="831" ht="15.0" customHeight="1">
      <c r="A831" s="463"/>
      <c r="B831" s="464"/>
      <c r="C831" s="476"/>
      <c r="D831" s="464"/>
      <c r="E831" s="467"/>
      <c r="F831" s="467"/>
      <c r="G831" s="80" t="str">
        <f>VLOOKUP(F831,'01. TH'!$B:$E,3,0)</f>
        <v>#N/A</v>
      </c>
      <c r="H831" s="490"/>
      <c r="I831" s="466"/>
      <c r="J831" s="467"/>
      <c r="K831" s="463"/>
      <c r="L831" s="467"/>
      <c r="M831" s="465"/>
      <c r="N831" s="467"/>
      <c r="O831" s="476"/>
      <c r="P831" s="464"/>
      <c r="Q831" s="475"/>
      <c r="R831" s="476"/>
      <c r="S831" s="476"/>
      <c r="T831" s="517"/>
      <c r="U831" s="476"/>
      <c r="V831" s="476"/>
    </row>
    <row r="832" ht="15.0" customHeight="1">
      <c r="A832" s="463"/>
      <c r="B832" s="464"/>
      <c r="C832" s="476"/>
      <c r="D832" s="464"/>
      <c r="E832" s="467"/>
      <c r="F832" s="467"/>
      <c r="G832" s="80" t="str">
        <f>VLOOKUP(F832,'01. TH'!$B:$E,3,0)</f>
        <v>#N/A</v>
      </c>
      <c r="H832" s="490"/>
      <c r="I832" s="466"/>
      <c r="J832" s="467"/>
      <c r="K832" s="463"/>
      <c r="L832" s="467"/>
      <c r="M832" s="465"/>
      <c r="N832" s="467"/>
      <c r="O832" s="476"/>
      <c r="P832" s="464"/>
      <c r="Q832" s="475"/>
      <c r="R832" s="476"/>
      <c r="S832" s="476"/>
      <c r="T832" s="517"/>
      <c r="U832" s="476"/>
      <c r="V832" s="476"/>
    </row>
    <row r="833" ht="15.0" customHeight="1">
      <c r="A833" s="463"/>
      <c r="B833" s="464"/>
      <c r="C833" s="476"/>
      <c r="D833" s="464"/>
      <c r="E833" s="467"/>
      <c r="F833" s="467"/>
      <c r="G833" s="80" t="str">
        <f>VLOOKUP(F833,'01. TH'!$B:$E,3,0)</f>
        <v>#N/A</v>
      </c>
      <c r="H833" s="490"/>
      <c r="I833" s="466"/>
      <c r="J833" s="467"/>
      <c r="K833" s="463"/>
      <c r="L833" s="467"/>
      <c r="M833" s="465"/>
      <c r="N833" s="467"/>
      <c r="O833" s="476"/>
      <c r="P833" s="464"/>
      <c r="Q833" s="475"/>
      <c r="R833" s="476"/>
      <c r="S833" s="476"/>
      <c r="T833" s="517"/>
      <c r="U833" s="476"/>
      <c r="V833" s="476"/>
    </row>
    <row r="834" ht="15.0" customHeight="1">
      <c r="A834" s="463"/>
      <c r="B834" s="464"/>
      <c r="C834" s="476"/>
      <c r="D834" s="464"/>
      <c r="E834" s="467"/>
      <c r="F834" s="467"/>
      <c r="G834" s="80" t="str">
        <f>VLOOKUP(F834,'01. TH'!$B:$E,3,0)</f>
        <v>#N/A</v>
      </c>
      <c r="H834" s="490"/>
      <c r="I834" s="466"/>
      <c r="J834" s="467"/>
      <c r="K834" s="463"/>
      <c r="L834" s="467"/>
      <c r="M834" s="465"/>
      <c r="N834" s="467"/>
      <c r="O834" s="476"/>
      <c r="P834" s="464"/>
      <c r="Q834" s="475"/>
      <c r="R834" s="476"/>
      <c r="S834" s="476"/>
      <c r="T834" s="517"/>
      <c r="U834" s="476"/>
      <c r="V834" s="476"/>
    </row>
    <row r="835" ht="13.5" customHeight="1">
      <c r="A835" s="621" t="s">
        <v>1974</v>
      </c>
      <c r="B835" s="622" t="s">
        <v>5729</v>
      </c>
      <c r="C835" s="623">
        <f>COUNTA(C836)</f>
        <v>1</v>
      </c>
      <c r="D835" s="623"/>
      <c r="E835" s="623"/>
      <c r="F835" s="623"/>
      <c r="G835" s="623"/>
      <c r="H835" s="623"/>
      <c r="I835" s="624"/>
      <c r="J835" s="623"/>
      <c r="K835" s="623"/>
      <c r="L835" s="623"/>
      <c r="M835" s="625"/>
      <c r="N835" s="625"/>
      <c r="O835" s="625"/>
      <c r="P835" s="625"/>
      <c r="Q835" s="623"/>
      <c r="R835" s="625"/>
      <c r="S835" s="625"/>
      <c r="T835" s="626"/>
      <c r="U835" s="623"/>
      <c r="V835" s="623"/>
    </row>
    <row r="836" ht="40.5" customHeight="1">
      <c r="A836" s="463">
        <v>1.0</v>
      </c>
      <c r="B836" s="464" t="s">
        <v>5730</v>
      </c>
      <c r="C836" s="464" t="s">
        <v>5731</v>
      </c>
      <c r="D836" s="464"/>
      <c r="E836" s="467"/>
      <c r="F836" s="464" t="s">
        <v>4748</v>
      </c>
      <c r="G836" s="80" t="str">
        <f>VLOOKUP(F836,'01. TH'!$B:$E,3,0)</f>
        <v>#N/A</v>
      </c>
      <c r="H836" s="463" t="s">
        <v>3164</v>
      </c>
      <c r="I836" s="463" t="s">
        <v>4771</v>
      </c>
      <c r="J836" s="467"/>
      <c r="K836" s="463"/>
      <c r="L836" s="497" t="s">
        <v>5732</v>
      </c>
      <c r="M836" s="465" t="s">
        <v>76</v>
      </c>
      <c r="N836" s="464"/>
      <c r="O836" s="465"/>
      <c r="P836" s="467"/>
      <c r="Q836" s="463">
        <v>2024.0</v>
      </c>
      <c r="R836" s="465" t="s">
        <v>5733</v>
      </c>
      <c r="S836" s="465"/>
      <c r="T836" s="482"/>
      <c r="U836" s="464"/>
      <c r="V836" s="464"/>
    </row>
    <row r="837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</row>
    <row r="838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</row>
    <row r="839" ht="13.5" customHeight="1">
      <c r="A839" s="621"/>
      <c r="B839" s="622"/>
      <c r="C839" s="622" t="s">
        <v>5734</v>
      </c>
      <c r="D839" s="623"/>
      <c r="E839" s="623"/>
      <c r="F839" s="623"/>
      <c r="G839" s="623"/>
      <c r="H839" s="623"/>
      <c r="I839" s="624"/>
      <c r="J839" s="623"/>
      <c r="K839" s="623"/>
      <c r="L839" s="623"/>
      <c r="M839" s="625"/>
      <c r="N839" s="625"/>
      <c r="O839" s="625"/>
      <c r="P839" s="625"/>
      <c r="Q839" s="623"/>
      <c r="R839" s="625"/>
      <c r="S839" s="625"/>
      <c r="T839" s="626"/>
      <c r="U839" s="623"/>
      <c r="V839" s="623"/>
    </row>
    <row r="840" ht="15.0" customHeight="1">
      <c r="A840" s="207"/>
      <c r="B840" s="215"/>
      <c r="C840" s="215"/>
      <c r="D840" s="215"/>
      <c r="E840" s="215"/>
      <c r="F840" s="215"/>
      <c r="G840" s="215"/>
      <c r="H840" s="215"/>
      <c r="I840" s="207"/>
      <c r="J840" s="215"/>
      <c r="K840" s="207"/>
      <c r="L840" s="215"/>
      <c r="M840" s="323"/>
      <c r="N840" s="215"/>
      <c r="O840" s="323"/>
      <c r="P840" s="215"/>
      <c r="Q840" s="207"/>
      <c r="R840" s="323"/>
      <c r="S840" s="323"/>
      <c r="T840" s="664"/>
      <c r="U840" s="215"/>
      <c r="V840" s="215"/>
    </row>
    <row r="841" ht="15.0" customHeight="1">
      <c r="A841" s="207"/>
      <c r="B841" s="215"/>
      <c r="C841" s="215"/>
      <c r="D841" s="215"/>
      <c r="E841" s="215"/>
      <c r="F841" s="215"/>
      <c r="G841" s="215"/>
      <c r="H841" s="215"/>
      <c r="I841" s="207"/>
      <c r="J841" s="215"/>
      <c r="K841" s="207"/>
      <c r="L841" s="215"/>
      <c r="M841" s="323"/>
      <c r="N841" s="215"/>
      <c r="O841" s="323"/>
      <c r="P841" s="215"/>
      <c r="Q841" s="207"/>
      <c r="R841" s="323"/>
      <c r="S841" s="323"/>
      <c r="T841" s="664"/>
      <c r="U841" s="215"/>
      <c r="V841" s="215"/>
    </row>
    <row r="842" ht="15.0" customHeight="1">
      <c r="A842" s="207"/>
      <c r="B842" s="215"/>
      <c r="C842" s="215"/>
      <c r="D842" s="215"/>
      <c r="E842" s="215"/>
      <c r="F842" s="215"/>
      <c r="G842" s="215"/>
      <c r="H842" s="215"/>
      <c r="I842" s="207"/>
      <c r="J842" s="215"/>
      <c r="K842" s="207"/>
      <c r="L842" s="215"/>
      <c r="M842" s="323"/>
      <c r="N842" s="215"/>
      <c r="O842" s="323"/>
      <c r="P842" s="215"/>
      <c r="Q842" s="207"/>
      <c r="R842" s="323"/>
      <c r="S842" s="323"/>
      <c r="T842" s="664"/>
      <c r="U842" s="215"/>
      <c r="V842" s="215"/>
    </row>
    <row r="843" ht="15.0" customHeight="1">
      <c r="A843" s="207"/>
      <c r="B843" s="215"/>
      <c r="C843" s="215"/>
      <c r="D843" s="215"/>
      <c r="E843" s="215"/>
      <c r="F843" s="215"/>
      <c r="G843" s="215"/>
      <c r="H843" s="215"/>
      <c r="I843" s="207"/>
      <c r="J843" s="215"/>
      <c r="K843" s="207"/>
      <c r="L843" s="215"/>
      <c r="M843" s="323"/>
      <c r="N843" s="215"/>
      <c r="O843" s="323"/>
      <c r="P843" s="215"/>
      <c r="Q843" s="207"/>
      <c r="R843" s="323"/>
      <c r="S843" s="323"/>
      <c r="T843" s="664"/>
      <c r="U843" s="215"/>
      <c r="V843" s="215"/>
    </row>
    <row r="844" ht="15.0" customHeight="1">
      <c r="A844" s="207"/>
      <c r="B844" s="215"/>
      <c r="C844" s="215"/>
      <c r="D844" s="215"/>
      <c r="E844" s="215"/>
      <c r="F844" s="215"/>
      <c r="G844" s="215"/>
      <c r="H844" s="215"/>
      <c r="I844" s="207"/>
      <c r="J844" s="215"/>
      <c r="K844" s="207"/>
      <c r="L844" s="215"/>
      <c r="M844" s="323"/>
      <c r="N844" s="215"/>
      <c r="O844" s="323"/>
      <c r="P844" s="215"/>
      <c r="Q844" s="207"/>
      <c r="R844" s="323"/>
      <c r="S844" s="323"/>
      <c r="T844" s="664"/>
      <c r="U844" s="215"/>
      <c r="V844" s="215"/>
    </row>
    <row r="845" ht="15.0" customHeight="1">
      <c r="A845" s="207"/>
      <c r="B845" s="215"/>
      <c r="C845" s="215"/>
      <c r="D845" s="215"/>
      <c r="E845" s="215"/>
      <c r="F845" s="215"/>
      <c r="G845" s="215"/>
      <c r="H845" s="215"/>
      <c r="I845" s="207"/>
      <c r="J845" s="215"/>
      <c r="K845" s="207"/>
      <c r="L845" s="215"/>
      <c r="M845" s="323"/>
      <c r="N845" s="215"/>
      <c r="O845" s="323"/>
      <c r="P845" s="215"/>
      <c r="Q845" s="207"/>
      <c r="R845" s="323"/>
      <c r="S845" s="323"/>
      <c r="T845" s="664"/>
      <c r="U845" s="215"/>
      <c r="V845" s="215"/>
    </row>
    <row r="846" ht="15.0" customHeight="1">
      <c r="A846" s="207"/>
      <c r="B846" s="215"/>
      <c r="C846" s="215"/>
      <c r="D846" s="215"/>
      <c r="E846" s="215"/>
      <c r="F846" s="215"/>
      <c r="G846" s="215"/>
      <c r="H846" s="215"/>
      <c r="I846" s="207"/>
      <c r="J846" s="215"/>
      <c r="K846" s="207"/>
      <c r="L846" s="215"/>
      <c r="M846" s="323"/>
      <c r="N846" s="215"/>
      <c r="O846" s="323"/>
      <c r="P846" s="215"/>
      <c r="Q846" s="207"/>
      <c r="R846" s="323"/>
      <c r="S846" s="323"/>
      <c r="T846" s="664"/>
      <c r="U846" s="215"/>
      <c r="V846" s="215"/>
    </row>
    <row r="847" ht="15.0" customHeight="1">
      <c r="A847" s="207"/>
      <c r="B847" s="215"/>
      <c r="C847" s="215"/>
      <c r="D847" s="215"/>
      <c r="E847" s="215"/>
      <c r="F847" s="215"/>
      <c r="G847" s="215"/>
      <c r="H847" s="215"/>
      <c r="I847" s="207"/>
      <c r="J847" s="215"/>
      <c r="K847" s="207"/>
      <c r="L847" s="215"/>
      <c r="M847" s="323"/>
      <c r="N847" s="215"/>
      <c r="O847" s="323"/>
      <c r="P847" s="215"/>
      <c r="Q847" s="207"/>
      <c r="R847" s="323"/>
      <c r="S847" s="323"/>
      <c r="T847" s="664"/>
      <c r="U847" s="215"/>
      <c r="V847" s="215"/>
    </row>
    <row r="848" ht="15.0" customHeight="1">
      <c r="A848" s="207"/>
      <c r="B848" s="215"/>
      <c r="C848" s="215"/>
      <c r="D848" s="215"/>
      <c r="E848" s="215"/>
      <c r="F848" s="215"/>
      <c r="G848" s="215"/>
      <c r="H848" s="215"/>
      <c r="I848" s="207"/>
      <c r="J848" s="215"/>
      <c r="K848" s="207"/>
      <c r="L848" s="215"/>
      <c r="M848" s="323"/>
      <c r="N848" s="215"/>
      <c r="O848" s="323"/>
      <c r="P848" s="215"/>
      <c r="Q848" s="207"/>
      <c r="R848" s="323"/>
      <c r="S848" s="323"/>
      <c r="T848" s="664"/>
      <c r="U848" s="215"/>
      <c r="V848" s="215"/>
    </row>
    <row r="849" ht="15.0" customHeight="1">
      <c r="A849" s="207"/>
      <c r="B849" s="215"/>
      <c r="C849" s="215"/>
      <c r="D849" s="215"/>
      <c r="E849" s="215"/>
      <c r="F849" s="215"/>
      <c r="G849" s="215"/>
      <c r="H849" s="215"/>
      <c r="I849" s="207"/>
      <c r="J849" s="215"/>
      <c r="K849" s="207"/>
      <c r="L849" s="215"/>
      <c r="M849" s="323"/>
      <c r="N849" s="215"/>
      <c r="O849" s="323"/>
      <c r="P849" s="215"/>
      <c r="Q849" s="207"/>
      <c r="R849" s="323"/>
      <c r="S849" s="323"/>
      <c r="T849" s="664"/>
      <c r="U849" s="215"/>
      <c r="V849" s="215"/>
    </row>
    <row r="850" ht="15.0" customHeight="1">
      <c r="A850" s="207"/>
      <c r="B850" s="215"/>
      <c r="C850" s="215"/>
      <c r="D850" s="215"/>
      <c r="E850" s="215"/>
      <c r="F850" s="215"/>
      <c r="G850" s="215"/>
      <c r="H850" s="215"/>
      <c r="I850" s="207"/>
      <c r="J850" s="215"/>
      <c r="K850" s="207"/>
      <c r="L850" s="215"/>
      <c r="M850" s="323"/>
      <c r="N850" s="215"/>
      <c r="O850" s="323"/>
      <c r="P850" s="215"/>
      <c r="Q850" s="207"/>
      <c r="R850" s="323"/>
      <c r="S850" s="323"/>
      <c r="T850" s="664"/>
      <c r="U850" s="215"/>
      <c r="V850" s="215"/>
    </row>
    <row r="851" ht="15.0" customHeight="1">
      <c r="A851" s="207"/>
      <c r="B851" s="215"/>
      <c r="C851" s="215"/>
      <c r="D851" s="215"/>
      <c r="E851" s="215"/>
      <c r="F851" s="215"/>
      <c r="G851" s="215"/>
      <c r="H851" s="215"/>
      <c r="I851" s="207"/>
      <c r="J851" s="215"/>
      <c r="K851" s="207"/>
      <c r="L851" s="215"/>
      <c r="M851" s="323"/>
      <c r="N851" s="215"/>
      <c r="O851" s="323"/>
      <c r="P851" s="215"/>
      <c r="Q851" s="207"/>
      <c r="R851" s="323"/>
      <c r="S851" s="323"/>
      <c r="T851" s="664"/>
      <c r="U851" s="215"/>
      <c r="V851" s="215"/>
    </row>
    <row r="852" ht="15.0" customHeight="1">
      <c r="A852" s="207"/>
      <c r="B852" s="215"/>
      <c r="C852" s="215"/>
      <c r="D852" s="215"/>
      <c r="E852" s="215"/>
      <c r="F852" s="215"/>
      <c r="G852" s="215"/>
      <c r="H852" s="215"/>
      <c r="I852" s="207"/>
      <c r="J852" s="215"/>
      <c r="K852" s="207"/>
      <c r="L852" s="215"/>
      <c r="M852" s="323"/>
      <c r="N852" s="215"/>
      <c r="O852" s="323"/>
      <c r="P852" s="215"/>
      <c r="Q852" s="207"/>
      <c r="R852" s="323"/>
      <c r="S852" s="323"/>
      <c r="T852" s="664"/>
      <c r="U852" s="215"/>
      <c r="V852" s="215"/>
    </row>
    <row r="853" ht="15.0" customHeight="1">
      <c r="A853" s="207"/>
      <c r="B853" s="215"/>
      <c r="C853" s="215"/>
      <c r="D853" s="215"/>
      <c r="E853" s="215"/>
      <c r="F853" s="215"/>
      <c r="G853" s="215"/>
      <c r="H853" s="215"/>
      <c r="I853" s="207"/>
      <c r="J853" s="215"/>
      <c r="K853" s="207"/>
      <c r="L853" s="215"/>
      <c r="M853" s="323"/>
      <c r="N853" s="215"/>
      <c r="O853" s="323"/>
      <c r="P853" s="215"/>
      <c r="Q853" s="207"/>
      <c r="R853" s="323"/>
      <c r="S853" s="323"/>
      <c r="T853" s="664"/>
      <c r="U853" s="215"/>
      <c r="V853" s="215"/>
    </row>
    <row r="854" ht="15.0" customHeight="1">
      <c r="A854" s="207"/>
      <c r="B854" s="215"/>
      <c r="C854" s="215"/>
      <c r="D854" s="215"/>
      <c r="E854" s="215"/>
      <c r="F854" s="215"/>
      <c r="G854" s="215"/>
      <c r="H854" s="215"/>
      <c r="I854" s="207"/>
      <c r="J854" s="215"/>
      <c r="K854" s="207"/>
      <c r="L854" s="215"/>
      <c r="M854" s="323"/>
      <c r="N854" s="215"/>
      <c r="O854" s="323"/>
      <c r="P854" s="215"/>
      <c r="Q854" s="207"/>
      <c r="R854" s="323"/>
      <c r="S854" s="323"/>
      <c r="T854" s="664"/>
      <c r="U854" s="215"/>
      <c r="V854" s="215"/>
    </row>
    <row r="855" ht="15.0" customHeight="1">
      <c r="A855" s="207"/>
      <c r="B855" s="215"/>
      <c r="C855" s="215"/>
      <c r="D855" s="215"/>
      <c r="E855" s="215"/>
      <c r="F855" s="215"/>
      <c r="G855" s="215"/>
      <c r="H855" s="215"/>
      <c r="I855" s="207"/>
      <c r="J855" s="215"/>
      <c r="K855" s="207"/>
      <c r="L855" s="215"/>
      <c r="M855" s="323"/>
      <c r="N855" s="215"/>
      <c r="O855" s="323"/>
      <c r="P855" s="215"/>
      <c r="Q855" s="207"/>
      <c r="R855" s="323"/>
      <c r="S855" s="323"/>
      <c r="T855" s="664"/>
      <c r="U855" s="215"/>
      <c r="V855" s="215"/>
    </row>
    <row r="856" ht="15.0" customHeight="1">
      <c r="A856" s="207"/>
      <c r="B856" s="215"/>
      <c r="C856" s="215"/>
      <c r="D856" s="215"/>
      <c r="E856" s="215"/>
      <c r="F856" s="215"/>
      <c r="G856" s="215"/>
      <c r="H856" s="215"/>
      <c r="I856" s="207"/>
      <c r="J856" s="215"/>
      <c r="K856" s="207"/>
      <c r="L856" s="215"/>
      <c r="M856" s="323"/>
      <c r="N856" s="215"/>
      <c r="O856" s="323"/>
      <c r="P856" s="215"/>
      <c r="Q856" s="207"/>
      <c r="R856" s="323"/>
      <c r="S856" s="323"/>
      <c r="T856" s="664"/>
      <c r="U856" s="215"/>
      <c r="V856" s="215"/>
    </row>
    <row r="857" ht="15.0" customHeight="1">
      <c r="A857" s="207"/>
      <c r="B857" s="215"/>
      <c r="C857" s="215"/>
      <c r="D857" s="215"/>
      <c r="E857" s="215"/>
      <c r="F857" s="215"/>
      <c r="G857" s="215"/>
      <c r="H857" s="215"/>
      <c r="I857" s="207"/>
      <c r="J857" s="215"/>
      <c r="K857" s="207"/>
      <c r="L857" s="215"/>
      <c r="M857" s="323"/>
      <c r="N857" s="215"/>
      <c r="O857" s="323"/>
      <c r="P857" s="215"/>
      <c r="Q857" s="207"/>
      <c r="R857" s="323"/>
      <c r="S857" s="323"/>
      <c r="T857" s="664"/>
      <c r="U857" s="215"/>
      <c r="V857" s="215"/>
    </row>
    <row r="858" ht="15.0" customHeight="1">
      <c r="A858" s="207"/>
      <c r="B858" s="215"/>
      <c r="C858" s="215"/>
      <c r="D858" s="215"/>
      <c r="E858" s="215"/>
      <c r="F858" s="215"/>
      <c r="G858" s="215"/>
      <c r="H858" s="215"/>
      <c r="I858" s="207"/>
      <c r="J858" s="215"/>
      <c r="K858" s="207"/>
      <c r="L858" s="215"/>
      <c r="M858" s="323"/>
      <c r="N858" s="215"/>
      <c r="O858" s="323"/>
      <c r="P858" s="215"/>
      <c r="Q858" s="207"/>
      <c r="R858" s="323"/>
      <c r="S858" s="323"/>
      <c r="T858" s="664"/>
      <c r="U858" s="215"/>
      <c r="V858" s="215"/>
    </row>
    <row r="859" ht="15.0" customHeight="1">
      <c r="A859" s="207"/>
      <c r="B859" s="215"/>
      <c r="C859" s="215"/>
      <c r="D859" s="215"/>
      <c r="E859" s="215"/>
      <c r="F859" s="215"/>
      <c r="G859" s="215"/>
      <c r="H859" s="215"/>
      <c r="I859" s="207"/>
      <c r="J859" s="215"/>
      <c r="K859" s="207"/>
      <c r="L859" s="215"/>
      <c r="M859" s="323"/>
      <c r="N859" s="215"/>
      <c r="O859" s="323"/>
      <c r="P859" s="215"/>
      <c r="Q859" s="207"/>
      <c r="R859" s="323"/>
      <c r="S859" s="323"/>
      <c r="T859" s="664"/>
      <c r="U859" s="215"/>
      <c r="V859" s="215"/>
    </row>
    <row r="860" ht="15.0" customHeight="1">
      <c r="A860" s="207"/>
      <c r="B860" s="215"/>
      <c r="C860" s="215"/>
      <c r="D860" s="215"/>
      <c r="E860" s="215"/>
      <c r="F860" s="215"/>
      <c r="G860" s="215"/>
      <c r="H860" s="215"/>
      <c r="I860" s="207"/>
      <c r="J860" s="215"/>
      <c r="K860" s="207"/>
      <c r="L860" s="215"/>
      <c r="M860" s="323"/>
      <c r="N860" s="215"/>
      <c r="O860" s="323"/>
      <c r="P860" s="215"/>
      <c r="Q860" s="207"/>
      <c r="R860" s="323"/>
      <c r="S860" s="323"/>
      <c r="T860" s="664"/>
      <c r="U860" s="215"/>
      <c r="V860" s="215"/>
    </row>
    <row r="861" ht="15.0" customHeight="1">
      <c r="A861" s="207"/>
      <c r="B861" s="215"/>
      <c r="C861" s="215"/>
      <c r="D861" s="215"/>
      <c r="E861" s="215"/>
      <c r="F861" s="215"/>
      <c r="G861" s="215"/>
      <c r="H861" s="215"/>
      <c r="I861" s="207"/>
      <c r="J861" s="215"/>
      <c r="K861" s="207"/>
      <c r="L861" s="215"/>
      <c r="M861" s="323"/>
      <c r="N861" s="215"/>
      <c r="O861" s="323"/>
      <c r="P861" s="215"/>
      <c r="Q861" s="207"/>
      <c r="R861" s="323"/>
      <c r="S861" s="323"/>
      <c r="T861" s="664"/>
      <c r="U861" s="215"/>
      <c r="V861" s="215"/>
    </row>
    <row r="862" ht="15.0" customHeight="1">
      <c r="A862" s="207"/>
      <c r="B862" s="215"/>
      <c r="C862" s="215"/>
      <c r="D862" s="215"/>
      <c r="E862" s="215"/>
      <c r="F862" s="215"/>
      <c r="G862" s="215"/>
      <c r="H862" s="215"/>
      <c r="I862" s="207"/>
      <c r="J862" s="215"/>
      <c r="K862" s="207"/>
      <c r="L862" s="215"/>
      <c r="M862" s="323"/>
      <c r="N862" s="215"/>
      <c r="O862" s="323"/>
      <c r="P862" s="215"/>
      <c r="Q862" s="207"/>
      <c r="R862" s="323"/>
      <c r="S862" s="323"/>
      <c r="T862" s="664"/>
      <c r="U862" s="215"/>
      <c r="V862" s="215"/>
    </row>
    <row r="863" ht="15.0" customHeight="1">
      <c r="A863" s="207"/>
      <c r="B863" s="215"/>
      <c r="C863" s="215"/>
      <c r="D863" s="215"/>
      <c r="E863" s="215"/>
      <c r="F863" s="215"/>
      <c r="G863" s="215"/>
      <c r="H863" s="215"/>
      <c r="I863" s="207"/>
      <c r="J863" s="215"/>
      <c r="K863" s="207"/>
      <c r="L863" s="215"/>
      <c r="M863" s="323"/>
      <c r="N863" s="215"/>
      <c r="O863" s="323"/>
      <c r="P863" s="215"/>
      <c r="Q863" s="207"/>
      <c r="R863" s="323"/>
      <c r="S863" s="323"/>
      <c r="T863" s="664"/>
      <c r="U863" s="215"/>
      <c r="V863" s="215"/>
    </row>
    <row r="864" ht="15.0" customHeight="1">
      <c r="A864" s="207"/>
      <c r="B864" s="215"/>
      <c r="C864" s="215"/>
      <c r="D864" s="215"/>
      <c r="E864" s="215"/>
      <c r="F864" s="215"/>
      <c r="G864" s="215"/>
      <c r="H864" s="215"/>
      <c r="I864" s="207"/>
      <c r="J864" s="215"/>
      <c r="K864" s="207"/>
      <c r="L864" s="215"/>
      <c r="M864" s="323"/>
      <c r="N864" s="215"/>
      <c r="O864" s="323"/>
      <c r="P864" s="215"/>
      <c r="Q864" s="207"/>
      <c r="R864" s="323"/>
      <c r="S864" s="323"/>
      <c r="T864" s="664"/>
      <c r="U864" s="215"/>
      <c r="V864" s="215"/>
    </row>
    <row r="865" ht="15.0" customHeight="1">
      <c r="A865" s="207"/>
      <c r="B865" s="215"/>
      <c r="C865" s="215"/>
      <c r="D865" s="215"/>
      <c r="E865" s="215"/>
      <c r="F865" s="215"/>
      <c r="G865" s="215"/>
      <c r="H865" s="215"/>
      <c r="I865" s="207"/>
      <c r="J865" s="215"/>
      <c r="K865" s="207"/>
      <c r="L865" s="215"/>
      <c r="M865" s="323"/>
      <c r="N865" s="215"/>
      <c r="O865" s="323"/>
      <c r="P865" s="215"/>
      <c r="Q865" s="207"/>
      <c r="R865" s="323"/>
      <c r="S865" s="323"/>
      <c r="T865" s="664"/>
      <c r="U865" s="215"/>
      <c r="V865" s="215"/>
    </row>
    <row r="866" ht="15.0" customHeight="1">
      <c r="A866" s="207"/>
      <c r="B866" s="215"/>
      <c r="C866" s="215"/>
      <c r="D866" s="215"/>
      <c r="E866" s="215"/>
      <c r="F866" s="215"/>
      <c r="G866" s="215"/>
      <c r="H866" s="215"/>
      <c r="I866" s="207"/>
      <c r="J866" s="215"/>
      <c r="K866" s="207"/>
      <c r="L866" s="215"/>
      <c r="M866" s="323"/>
      <c r="N866" s="215"/>
      <c r="O866" s="323"/>
      <c r="P866" s="215"/>
      <c r="Q866" s="207"/>
      <c r="R866" s="323"/>
      <c r="S866" s="323"/>
      <c r="T866" s="664"/>
      <c r="U866" s="215"/>
      <c r="V866" s="215"/>
    </row>
    <row r="867" ht="15.0" customHeight="1">
      <c r="A867" s="207"/>
      <c r="B867" s="215"/>
      <c r="C867" s="215"/>
      <c r="D867" s="215"/>
      <c r="E867" s="215"/>
      <c r="F867" s="215"/>
      <c r="G867" s="215"/>
      <c r="H867" s="215"/>
      <c r="I867" s="207"/>
      <c r="J867" s="215"/>
      <c r="K867" s="207"/>
      <c r="L867" s="215"/>
      <c r="M867" s="323"/>
      <c r="N867" s="215"/>
      <c r="O867" s="323"/>
      <c r="P867" s="215"/>
      <c r="Q867" s="207"/>
      <c r="R867" s="323"/>
      <c r="S867" s="323"/>
      <c r="T867" s="664"/>
      <c r="U867" s="215"/>
      <c r="V867" s="215"/>
    </row>
    <row r="868" ht="15.0" customHeight="1">
      <c r="A868" s="207"/>
      <c r="B868" s="215"/>
      <c r="C868" s="215"/>
      <c r="D868" s="215"/>
      <c r="E868" s="215"/>
      <c r="F868" s="215"/>
      <c r="G868" s="215"/>
      <c r="H868" s="215"/>
      <c r="I868" s="207"/>
      <c r="J868" s="215"/>
      <c r="K868" s="207"/>
      <c r="L868" s="215"/>
      <c r="M868" s="323"/>
      <c r="N868" s="215"/>
      <c r="O868" s="323"/>
      <c r="P868" s="215"/>
      <c r="Q868" s="207"/>
      <c r="R868" s="323"/>
      <c r="S868" s="323"/>
      <c r="T868" s="664"/>
      <c r="U868" s="215"/>
      <c r="V868" s="215"/>
    </row>
    <row r="869" ht="15.0" customHeight="1">
      <c r="A869" s="207"/>
      <c r="B869" s="215"/>
      <c r="C869" s="215"/>
      <c r="D869" s="215"/>
      <c r="E869" s="215"/>
      <c r="F869" s="215"/>
      <c r="G869" s="215"/>
      <c r="H869" s="215"/>
      <c r="I869" s="207"/>
      <c r="J869" s="215"/>
      <c r="K869" s="207"/>
      <c r="L869" s="215"/>
      <c r="M869" s="323"/>
      <c r="N869" s="215"/>
      <c r="O869" s="323"/>
      <c r="P869" s="215"/>
      <c r="Q869" s="207"/>
      <c r="R869" s="323"/>
      <c r="S869" s="323"/>
      <c r="T869" s="664"/>
      <c r="U869" s="215"/>
      <c r="V869" s="215"/>
    </row>
    <row r="870" ht="15.0" customHeight="1">
      <c r="A870" s="207"/>
      <c r="B870" s="215"/>
      <c r="C870" s="215"/>
      <c r="D870" s="215"/>
      <c r="E870" s="215"/>
      <c r="F870" s="215"/>
      <c r="G870" s="215"/>
      <c r="H870" s="215"/>
      <c r="I870" s="207"/>
      <c r="J870" s="215"/>
      <c r="K870" s="207"/>
      <c r="L870" s="215"/>
      <c r="M870" s="323"/>
      <c r="N870" s="215"/>
      <c r="O870" s="323"/>
      <c r="P870" s="215"/>
      <c r="Q870" s="207"/>
      <c r="R870" s="323"/>
      <c r="S870" s="323"/>
      <c r="T870" s="664"/>
      <c r="U870" s="215"/>
      <c r="V870" s="215"/>
    </row>
    <row r="871" ht="15.0" customHeight="1">
      <c r="A871" s="207"/>
      <c r="B871" s="215"/>
      <c r="C871" s="215"/>
      <c r="D871" s="215"/>
      <c r="E871" s="215"/>
      <c r="F871" s="215"/>
      <c r="G871" s="215"/>
      <c r="H871" s="215"/>
      <c r="I871" s="207"/>
      <c r="J871" s="215"/>
      <c r="K871" s="207"/>
      <c r="L871" s="215"/>
      <c r="M871" s="323"/>
      <c r="N871" s="215"/>
      <c r="O871" s="323"/>
      <c r="P871" s="215"/>
      <c r="Q871" s="207"/>
      <c r="R871" s="323"/>
      <c r="S871" s="323"/>
      <c r="T871" s="664"/>
      <c r="U871" s="215"/>
      <c r="V871" s="215"/>
    </row>
    <row r="872" ht="15.0" customHeight="1">
      <c r="A872" s="207"/>
      <c r="B872" s="215"/>
      <c r="C872" s="215"/>
      <c r="D872" s="215"/>
      <c r="E872" s="215"/>
      <c r="F872" s="215"/>
      <c r="G872" s="215"/>
      <c r="H872" s="215"/>
      <c r="I872" s="207"/>
      <c r="J872" s="215"/>
      <c r="K872" s="207"/>
      <c r="L872" s="215"/>
      <c r="M872" s="323"/>
      <c r="N872" s="215"/>
      <c r="O872" s="323"/>
      <c r="P872" s="215"/>
      <c r="Q872" s="207"/>
      <c r="R872" s="323"/>
      <c r="S872" s="323"/>
      <c r="T872" s="664"/>
      <c r="U872" s="215"/>
      <c r="V872" s="215"/>
    </row>
    <row r="873" ht="15.0" customHeight="1">
      <c r="A873" s="207"/>
      <c r="B873" s="215"/>
      <c r="C873" s="215"/>
      <c r="D873" s="215"/>
      <c r="E873" s="215"/>
      <c r="F873" s="215"/>
      <c r="G873" s="215"/>
      <c r="H873" s="215"/>
      <c r="I873" s="207"/>
      <c r="J873" s="215"/>
      <c r="K873" s="207"/>
      <c r="L873" s="215"/>
      <c r="M873" s="323"/>
      <c r="N873" s="215"/>
      <c r="O873" s="323"/>
      <c r="P873" s="215"/>
      <c r="Q873" s="207"/>
      <c r="R873" s="323"/>
      <c r="S873" s="323"/>
      <c r="T873" s="664"/>
      <c r="U873" s="215"/>
      <c r="V873" s="215"/>
    </row>
    <row r="874" ht="15.0" customHeight="1">
      <c r="A874" s="207"/>
      <c r="B874" s="215"/>
      <c r="C874" s="215"/>
      <c r="D874" s="215"/>
      <c r="E874" s="215"/>
      <c r="F874" s="215"/>
      <c r="G874" s="215"/>
      <c r="H874" s="215"/>
      <c r="I874" s="207"/>
      <c r="J874" s="215"/>
      <c r="K874" s="207"/>
      <c r="L874" s="215"/>
      <c r="M874" s="323"/>
      <c r="N874" s="215"/>
      <c r="O874" s="323"/>
      <c r="P874" s="215"/>
      <c r="Q874" s="207"/>
      <c r="R874" s="323"/>
      <c r="S874" s="323"/>
      <c r="T874" s="664"/>
      <c r="U874" s="215"/>
      <c r="V874" s="215"/>
    </row>
    <row r="875" ht="15.0" customHeight="1">
      <c r="A875" s="207"/>
      <c r="B875" s="215"/>
      <c r="C875" s="215"/>
      <c r="D875" s="215"/>
      <c r="E875" s="215"/>
      <c r="F875" s="215"/>
      <c r="G875" s="215"/>
      <c r="H875" s="215"/>
      <c r="I875" s="207"/>
      <c r="J875" s="215"/>
      <c r="K875" s="207"/>
      <c r="L875" s="215"/>
      <c r="M875" s="323"/>
      <c r="N875" s="215"/>
      <c r="O875" s="323"/>
      <c r="P875" s="215"/>
      <c r="Q875" s="207"/>
      <c r="R875" s="323"/>
      <c r="S875" s="323"/>
      <c r="T875" s="664"/>
      <c r="U875" s="215"/>
      <c r="V875" s="215"/>
    </row>
    <row r="876" ht="15.0" customHeight="1">
      <c r="A876" s="207"/>
      <c r="B876" s="215"/>
      <c r="C876" s="215"/>
      <c r="D876" s="215"/>
      <c r="E876" s="215"/>
      <c r="F876" s="215"/>
      <c r="G876" s="215"/>
      <c r="H876" s="215"/>
      <c r="I876" s="207"/>
      <c r="J876" s="215"/>
      <c r="K876" s="207"/>
      <c r="L876" s="215"/>
      <c r="M876" s="323"/>
      <c r="N876" s="215"/>
      <c r="O876" s="323"/>
      <c r="P876" s="215"/>
      <c r="Q876" s="207"/>
      <c r="R876" s="323"/>
      <c r="S876" s="323"/>
      <c r="T876" s="664"/>
      <c r="U876" s="215"/>
      <c r="V876" s="215"/>
    </row>
    <row r="877" ht="15.0" customHeight="1">
      <c r="A877" s="207"/>
      <c r="B877" s="215"/>
      <c r="C877" s="215"/>
      <c r="D877" s="215"/>
      <c r="E877" s="215"/>
      <c r="F877" s="215"/>
      <c r="G877" s="215"/>
      <c r="H877" s="215"/>
      <c r="I877" s="207"/>
      <c r="J877" s="215"/>
      <c r="K877" s="207"/>
      <c r="L877" s="215"/>
      <c r="M877" s="323"/>
      <c r="N877" s="215"/>
      <c r="O877" s="323"/>
      <c r="P877" s="215"/>
      <c r="Q877" s="207"/>
      <c r="R877" s="323"/>
      <c r="S877" s="323"/>
      <c r="T877" s="664"/>
      <c r="U877" s="215"/>
      <c r="V877" s="215"/>
    </row>
    <row r="878" ht="15.0" customHeight="1">
      <c r="A878" s="207"/>
      <c r="B878" s="215"/>
      <c r="C878" s="215"/>
      <c r="D878" s="215"/>
      <c r="E878" s="215"/>
      <c r="F878" s="215"/>
      <c r="G878" s="215"/>
      <c r="H878" s="215"/>
      <c r="I878" s="207"/>
      <c r="J878" s="215"/>
      <c r="K878" s="207"/>
      <c r="L878" s="215"/>
      <c r="M878" s="323"/>
      <c r="N878" s="215"/>
      <c r="O878" s="323"/>
      <c r="P878" s="215"/>
      <c r="Q878" s="207"/>
      <c r="R878" s="323"/>
      <c r="S878" s="323"/>
      <c r="T878" s="664"/>
      <c r="U878" s="215"/>
      <c r="V878" s="215"/>
    </row>
    <row r="879" ht="15.0" customHeight="1">
      <c r="A879" s="207"/>
      <c r="B879" s="215"/>
      <c r="C879" s="215"/>
      <c r="D879" s="215"/>
      <c r="E879" s="215"/>
      <c r="F879" s="215"/>
      <c r="G879" s="215"/>
      <c r="H879" s="215"/>
      <c r="I879" s="207"/>
      <c r="J879" s="215"/>
      <c r="K879" s="207"/>
      <c r="L879" s="215"/>
      <c r="M879" s="323"/>
      <c r="N879" s="215"/>
      <c r="O879" s="323"/>
      <c r="P879" s="215"/>
      <c r="Q879" s="207"/>
      <c r="R879" s="323"/>
      <c r="S879" s="323"/>
      <c r="T879" s="664"/>
      <c r="U879" s="215"/>
      <c r="V879" s="215"/>
    </row>
    <row r="880" ht="15.0" customHeight="1">
      <c r="A880" s="207"/>
      <c r="B880" s="215"/>
      <c r="C880" s="215"/>
      <c r="D880" s="215"/>
      <c r="E880" s="215"/>
      <c r="F880" s="215"/>
      <c r="G880" s="215"/>
      <c r="H880" s="215"/>
      <c r="I880" s="207"/>
      <c r="J880" s="215"/>
      <c r="K880" s="207"/>
      <c r="L880" s="215"/>
      <c r="M880" s="323"/>
      <c r="N880" s="215"/>
      <c r="O880" s="323"/>
      <c r="P880" s="215"/>
      <c r="Q880" s="207"/>
      <c r="R880" s="323"/>
      <c r="S880" s="323"/>
      <c r="T880" s="664"/>
      <c r="U880" s="215"/>
      <c r="V880" s="215"/>
    </row>
    <row r="881" ht="15.0" customHeight="1">
      <c r="A881" s="207"/>
      <c r="B881" s="215"/>
      <c r="C881" s="215"/>
      <c r="D881" s="215"/>
      <c r="E881" s="215"/>
      <c r="F881" s="215"/>
      <c r="G881" s="215"/>
      <c r="H881" s="215"/>
      <c r="I881" s="207"/>
      <c r="J881" s="215"/>
      <c r="K881" s="207"/>
      <c r="L881" s="215"/>
      <c r="M881" s="323"/>
      <c r="N881" s="215"/>
      <c r="O881" s="323"/>
      <c r="P881" s="215"/>
      <c r="Q881" s="207"/>
      <c r="R881" s="323"/>
      <c r="S881" s="323"/>
      <c r="T881" s="664"/>
      <c r="U881" s="215"/>
      <c r="V881" s="215"/>
    </row>
    <row r="882" ht="15.0" customHeight="1">
      <c r="A882" s="207"/>
      <c r="B882" s="215"/>
      <c r="C882" s="215"/>
      <c r="D882" s="215"/>
      <c r="E882" s="215"/>
      <c r="F882" s="215"/>
      <c r="G882" s="215"/>
      <c r="H882" s="215"/>
      <c r="I882" s="207"/>
      <c r="J882" s="215"/>
      <c r="K882" s="207"/>
      <c r="L882" s="215"/>
      <c r="M882" s="323"/>
      <c r="N882" s="215"/>
      <c r="O882" s="323"/>
      <c r="P882" s="215"/>
      <c r="Q882" s="207"/>
      <c r="R882" s="323"/>
      <c r="S882" s="323"/>
      <c r="T882" s="664"/>
      <c r="U882" s="215"/>
      <c r="V882" s="215"/>
    </row>
    <row r="883" ht="15.0" customHeight="1">
      <c r="A883" s="207"/>
      <c r="B883" s="215"/>
      <c r="C883" s="215"/>
      <c r="D883" s="215"/>
      <c r="E883" s="215"/>
      <c r="F883" s="215"/>
      <c r="G883" s="215"/>
      <c r="H883" s="215"/>
      <c r="I883" s="207"/>
      <c r="J883" s="215"/>
      <c r="K883" s="207"/>
      <c r="L883" s="215"/>
      <c r="M883" s="323"/>
      <c r="N883" s="215"/>
      <c r="O883" s="323"/>
      <c r="P883" s="215"/>
      <c r="Q883" s="207"/>
      <c r="R883" s="323"/>
      <c r="S883" s="323"/>
      <c r="T883" s="664"/>
      <c r="U883" s="215"/>
      <c r="V883" s="215"/>
    </row>
    <row r="884" ht="15.0" customHeight="1">
      <c r="A884" s="207"/>
      <c r="B884" s="215"/>
      <c r="C884" s="215"/>
      <c r="D884" s="215"/>
      <c r="E884" s="215"/>
      <c r="F884" s="215"/>
      <c r="G884" s="215"/>
      <c r="H884" s="215"/>
      <c r="I884" s="207"/>
      <c r="J884" s="215"/>
      <c r="K884" s="207"/>
      <c r="L884" s="215"/>
      <c r="M884" s="323"/>
      <c r="N884" s="215"/>
      <c r="O884" s="323"/>
      <c r="P884" s="215"/>
      <c r="Q884" s="207"/>
      <c r="R884" s="323"/>
      <c r="S884" s="323"/>
      <c r="T884" s="664"/>
      <c r="U884" s="215"/>
      <c r="V884" s="215"/>
    </row>
    <row r="885" ht="15.0" customHeight="1">
      <c r="A885" s="207"/>
      <c r="B885" s="215"/>
      <c r="C885" s="215"/>
      <c r="D885" s="215"/>
      <c r="E885" s="215"/>
      <c r="F885" s="215"/>
      <c r="G885" s="215"/>
      <c r="H885" s="215"/>
      <c r="I885" s="207"/>
      <c r="J885" s="215"/>
      <c r="K885" s="207"/>
      <c r="L885" s="215"/>
      <c r="M885" s="323"/>
      <c r="N885" s="215"/>
      <c r="O885" s="323"/>
      <c r="P885" s="215"/>
      <c r="Q885" s="207"/>
      <c r="R885" s="323"/>
      <c r="S885" s="323"/>
      <c r="T885" s="664"/>
      <c r="U885" s="215"/>
      <c r="V885" s="215"/>
    </row>
    <row r="886" ht="15.0" customHeight="1">
      <c r="A886" s="207"/>
      <c r="B886" s="215"/>
      <c r="C886" s="215"/>
      <c r="D886" s="215"/>
      <c r="E886" s="215"/>
      <c r="F886" s="215"/>
      <c r="G886" s="215"/>
      <c r="H886" s="215"/>
      <c r="I886" s="207"/>
      <c r="J886" s="215"/>
      <c r="K886" s="207"/>
      <c r="L886" s="215"/>
      <c r="M886" s="323"/>
      <c r="N886" s="215"/>
      <c r="O886" s="323"/>
      <c r="P886" s="215"/>
      <c r="Q886" s="207"/>
      <c r="R886" s="323"/>
      <c r="S886" s="323"/>
      <c r="T886" s="664"/>
      <c r="U886" s="215"/>
      <c r="V886" s="215"/>
    </row>
    <row r="887" ht="15.0" customHeight="1">
      <c r="A887" s="207"/>
      <c r="B887" s="215"/>
      <c r="C887" s="215"/>
      <c r="D887" s="215"/>
      <c r="E887" s="215"/>
      <c r="F887" s="215"/>
      <c r="G887" s="215"/>
      <c r="H887" s="215"/>
      <c r="I887" s="207"/>
      <c r="J887" s="215"/>
      <c r="K887" s="207"/>
      <c r="L887" s="215"/>
      <c r="M887" s="323"/>
      <c r="N887" s="215"/>
      <c r="O887" s="323"/>
      <c r="P887" s="215"/>
      <c r="Q887" s="207"/>
      <c r="R887" s="323"/>
      <c r="S887" s="323"/>
      <c r="T887" s="664"/>
      <c r="U887" s="215"/>
      <c r="V887" s="215"/>
    </row>
    <row r="888" ht="15.0" customHeight="1">
      <c r="A888" s="207"/>
      <c r="B888" s="215"/>
      <c r="C888" s="215"/>
      <c r="D888" s="215"/>
      <c r="E888" s="215"/>
      <c r="F888" s="215"/>
      <c r="G888" s="215"/>
      <c r="H888" s="215"/>
      <c r="I888" s="207"/>
      <c r="J888" s="215"/>
      <c r="K888" s="207"/>
      <c r="L888" s="215"/>
      <c r="M888" s="323"/>
      <c r="N888" s="215"/>
      <c r="O888" s="323"/>
      <c r="P888" s="215"/>
      <c r="Q888" s="207"/>
      <c r="R888" s="323"/>
      <c r="S888" s="323"/>
      <c r="T888" s="664"/>
      <c r="U888" s="215"/>
      <c r="V888" s="215"/>
    </row>
    <row r="889" ht="15.0" customHeight="1">
      <c r="A889" s="207"/>
      <c r="B889" s="215"/>
      <c r="C889" s="215"/>
      <c r="D889" s="215"/>
      <c r="E889" s="215"/>
      <c r="F889" s="215"/>
      <c r="G889" s="215"/>
      <c r="H889" s="215"/>
      <c r="I889" s="207"/>
      <c r="J889" s="215"/>
      <c r="K889" s="207"/>
      <c r="L889" s="215"/>
      <c r="M889" s="323"/>
      <c r="N889" s="215"/>
      <c r="O889" s="323"/>
      <c r="P889" s="215"/>
      <c r="Q889" s="207"/>
      <c r="R889" s="323"/>
      <c r="S889" s="323"/>
      <c r="T889" s="664"/>
      <c r="U889" s="215"/>
      <c r="V889" s="215"/>
    </row>
    <row r="890" ht="15.0" customHeight="1">
      <c r="A890" s="207"/>
      <c r="B890" s="215"/>
      <c r="C890" s="215"/>
      <c r="D890" s="215"/>
      <c r="E890" s="215"/>
      <c r="F890" s="215"/>
      <c r="G890" s="215"/>
      <c r="H890" s="215"/>
      <c r="I890" s="207"/>
      <c r="J890" s="215"/>
      <c r="K890" s="207"/>
      <c r="L890" s="215"/>
      <c r="M890" s="323"/>
      <c r="N890" s="215"/>
      <c r="O890" s="323"/>
      <c r="P890" s="215"/>
      <c r="Q890" s="207"/>
      <c r="R890" s="323"/>
      <c r="S890" s="323"/>
      <c r="T890" s="664"/>
      <c r="U890" s="215"/>
      <c r="V890" s="215"/>
    </row>
    <row r="891" ht="15.0" customHeight="1">
      <c r="A891" s="207"/>
      <c r="B891" s="215"/>
      <c r="C891" s="215"/>
      <c r="D891" s="215"/>
      <c r="E891" s="215"/>
      <c r="F891" s="215"/>
      <c r="G891" s="215"/>
      <c r="H891" s="215"/>
      <c r="I891" s="207"/>
      <c r="J891" s="215"/>
      <c r="K891" s="207"/>
      <c r="L891" s="215"/>
      <c r="M891" s="323"/>
      <c r="N891" s="215"/>
      <c r="O891" s="323"/>
      <c r="P891" s="215"/>
      <c r="Q891" s="207"/>
      <c r="R891" s="323"/>
      <c r="S891" s="323"/>
      <c r="T891" s="664"/>
      <c r="U891" s="215"/>
      <c r="V891" s="215"/>
    </row>
    <row r="892" ht="15.0" customHeight="1">
      <c r="A892" s="207"/>
      <c r="B892" s="215"/>
      <c r="C892" s="215"/>
      <c r="D892" s="215"/>
      <c r="E892" s="215"/>
      <c r="F892" s="215"/>
      <c r="G892" s="215"/>
      <c r="H892" s="215"/>
      <c r="I892" s="207"/>
      <c r="J892" s="215"/>
      <c r="K892" s="207"/>
      <c r="L892" s="215"/>
      <c r="M892" s="323"/>
      <c r="N892" s="215"/>
      <c r="O892" s="323"/>
      <c r="P892" s="215"/>
      <c r="Q892" s="207"/>
      <c r="R892" s="323"/>
      <c r="S892" s="323"/>
      <c r="T892" s="664"/>
      <c r="U892" s="215"/>
      <c r="V892" s="215"/>
    </row>
    <row r="893" ht="15.0" customHeight="1">
      <c r="A893" s="207"/>
      <c r="B893" s="215"/>
      <c r="C893" s="215"/>
      <c r="D893" s="215"/>
      <c r="E893" s="215"/>
      <c r="F893" s="215"/>
      <c r="G893" s="215"/>
      <c r="H893" s="215"/>
      <c r="I893" s="207"/>
      <c r="J893" s="215"/>
      <c r="K893" s="207"/>
      <c r="L893" s="215"/>
      <c r="M893" s="323"/>
      <c r="N893" s="215"/>
      <c r="O893" s="323"/>
      <c r="P893" s="215"/>
      <c r="Q893" s="207"/>
      <c r="R893" s="323"/>
      <c r="S893" s="323"/>
      <c r="T893" s="664"/>
      <c r="U893" s="215"/>
      <c r="V893" s="215"/>
    </row>
    <row r="894" ht="15.0" customHeight="1">
      <c r="A894" s="207"/>
      <c r="B894" s="215"/>
      <c r="C894" s="215"/>
      <c r="D894" s="215"/>
      <c r="E894" s="215"/>
      <c r="F894" s="215"/>
      <c r="G894" s="215"/>
      <c r="H894" s="215"/>
      <c r="I894" s="207"/>
      <c r="J894" s="215"/>
      <c r="K894" s="207"/>
      <c r="L894" s="215"/>
      <c r="M894" s="323"/>
      <c r="N894" s="215"/>
      <c r="O894" s="323"/>
      <c r="P894" s="215"/>
      <c r="Q894" s="207"/>
      <c r="R894" s="323"/>
      <c r="S894" s="323"/>
      <c r="T894" s="664"/>
      <c r="U894" s="215"/>
      <c r="V894" s="215"/>
    </row>
    <row r="895" ht="15.0" customHeight="1">
      <c r="A895" s="207"/>
      <c r="B895" s="215"/>
      <c r="C895" s="215"/>
      <c r="D895" s="215"/>
      <c r="E895" s="215"/>
      <c r="F895" s="215"/>
      <c r="G895" s="215"/>
      <c r="H895" s="215"/>
      <c r="I895" s="207"/>
      <c r="J895" s="215"/>
      <c r="K895" s="207"/>
      <c r="L895" s="215"/>
      <c r="M895" s="323"/>
      <c r="N895" s="215"/>
      <c r="O895" s="323"/>
      <c r="P895" s="215"/>
      <c r="Q895" s="207"/>
      <c r="R895" s="323"/>
      <c r="S895" s="323"/>
      <c r="T895" s="664"/>
      <c r="U895" s="215"/>
      <c r="V895" s="215"/>
    </row>
    <row r="896" ht="15.0" customHeight="1">
      <c r="A896" s="207"/>
      <c r="B896" s="215"/>
      <c r="C896" s="215"/>
      <c r="D896" s="215"/>
      <c r="E896" s="215"/>
      <c r="F896" s="215"/>
      <c r="G896" s="215"/>
      <c r="H896" s="215"/>
      <c r="I896" s="207"/>
      <c r="J896" s="215"/>
      <c r="K896" s="207"/>
      <c r="L896" s="215"/>
      <c r="M896" s="323"/>
      <c r="N896" s="215"/>
      <c r="O896" s="323"/>
      <c r="P896" s="215"/>
      <c r="Q896" s="207"/>
      <c r="R896" s="323"/>
      <c r="S896" s="323"/>
      <c r="T896" s="664"/>
      <c r="U896" s="215"/>
      <c r="V896" s="215"/>
    </row>
    <row r="897" ht="15.0" customHeight="1">
      <c r="A897" s="207"/>
      <c r="B897" s="215"/>
      <c r="C897" s="215"/>
      <c r="D897" s="215"/>
      <c r="E897" s="215"/>
      <c r="F897" s="215"/>
      <c r="G897" s="215"/>
      <c r="H897" s="215"/>
      <c r="I897" s="207"/>
      <c r="J897" s="215"/>
      <c r="K897" s="207"/>
      <c r="L897" s="215"/>
      <c r="M897" s="323"/>
      <c r="N897" s="215"/>
      <c r="O897" s="323"/>
      <c r="P897" s="215"/>
      <c r="Q897" s="207"/>
      <c r="R897" s="323"/>
      <c r="S897" s="323"/>
      <c r="T897" s="664"/>
      <c r="U897" s="215"/>
      <c r="V897" s="215"/>
    </row>
    <row r="898" ht="15.0" customHeight="1">
      <c r="A898" s="207"/>
      <c r="B898" s="215"/>
      <c r="C898" s="215"/>
      <c r="D898" s="215"/>
      <c r="E898" s="215"/>
      <c r="F898" s="215"/>
      <c r="G898" s="215"/>
      <c r="H898" s="215"/>
      <c r="I898" s="207"/>
      <c r="J898" s="215"/>
      <c r="K898" s="207"/>
      <c r="L898" s="215"/>
      <c r="M898" s="323"/>
      <c r="N898" s="215"/>
      <c r="O898" s="323"/>
      <c r="P898" s="215"/>
      <c r="Q898" s="207"/>
      <c r="R898" s="323"/>
      <c r="S898" s="323"/>
      <c r="T898" s="664"/>
      <c r="U898" s="215"/>
      <c r="V898" s="215"/>
    </row>
    <row r="899" ht="15.0" customHeight="1">
      <c r="A899" s="207"/>
      <c r="B899" s="215"/>
      <c r="C899" s="215"/>
      <c r="D899" s="215"/>
      <c r="E899" s="215"/>
      <c r="F899" s="215"/>
      <c r="G899" s="215"/>
      <c r="H899" s="215"/>
      <c r="I899" s="207"/>
      <c r="J899" s="215"/>
      <c r="K899" s="207"/>
      <c r="L899" s="215"/>
      <c r="M899" s="323"/>
      <c r="N899" s="215"/>
      <c r="O899" s="323"/>
      <c r="P899" s="215"/>
      <c r="Q899" s="207"/>
      <c r="R899" s="323"/>
      <c r="S899" s="323"/>
      <c r="T899" s="664"/>
      <c r="U899" s="215"/>
      <c r="V899" s="215"/>
    </row>
    <row r="900" ht="15.0" customHeight="1">
      <c r="A900" s="207"/>
      <c r="B900" s="215"/>
      <c r="C900" s="215"/>
      <c r="D900" s="215"/>
      <c r="E900" s="215"/>
      <c r="F900" s="215"/>
      <c r="G900" s="215"/>
      <c r="H900" s="215"/>
      <c r="I900" s="207"/>
      <c r="J900" s="215"/>
      <c r="K900" s="207"/>
      <c r="L900" s="215"/>
      <c r="M900" s="323"/>
      <c r="N900" s="215"/>
      <c r="O900" s="323"/>
      <c r="P900" s="215"/>
      <c r="Q900" s="207"/>
      <c r="R900" s="323"/>
      <c r="S900" s="323"/>
      <c r="T900" s="664"/>
      <c r="U900" s="215"/>
      <c r="V900" s="215"/>
    </row>
    <row r="901" ht="15.0" customHeight="1">
      <c r="A901" s="207"/>
      <c r="B901" s="215"/>
      <c r="C901" s="215"/>
      <c r="D901" s="215"/>
      <c r="E901" s="215"/>
      <c r="F901" s="215"/>
      <c r="G901" s="215"/>
      <c r="H901" s="215"/>
      <c r="I901" s="207"/>
      <c r="J901" s="215"/>
      <c r="K901" s="207"/>
      <c r="L901" s="215"/>
      <c r="M901" s="323"/>
      <c r="N901" s="215"/>
      <c r="O901" s="323"/>
      <c r="P901" s="215"/>
      <c r="Q901" s="207"/>
      <c r="R901" s="323"/>
      <c r="S901" s="323"/>
      <c r="T901" s="664"/>
      <c r="U901" s="215"/>
      <c r="V901" s="215"/>
    </row>
    <row r="902" ht="15.0" customHeight="1">
      <c r="A902" s="207"/>
      <c r="B902" s="215"/>
      <c r="C902" s="215"/>
      <c r="D902" s="215"/>
      <c r="E902" s="215"/>
      <c r="F902" s="215"/>
      <c r="G902" s="215"/>
      <c r="H902" s="215"/>
      <c r="I902" s="207"/>
      <c r="J902" s="215"/>
      <c r="K902" s="207"/>
      <c r="L902" s="215"/>
      <c r="M902" s="323"/>
      <c r="N902" s="215"/>
      <c r="O902" s="323"/>
      <c r="P902" s="215"/>
      <c r="Q902" s="207"/>
      <c r="R902" s="323"/>
      <c r="S902" s="323"/>
      <c r="T902" s="664"/>
      <c r="U902" s="215"/>
      <c r="V902" s="215"/>
    </row>
    <row r="903" ht="15.0" customHeight="1">
      <c r="A903" s="207"/>
      <c r="B903" s="215"/>
      <c r="C903" s="215"/>
      <c r="D903" s="215"/>
      <c r="E903" s="215"/>
      <c r="F903" s="215"/>
      <c r="G903" s="215"/>
      <c r="H903" s="215"/>
      <c r="I903" s="207"/>
      <c r="J903" s="215"/>
      <c r="K903" s="207"/>
      <c r="L903" s="215"/>
      <c r="M903" s="323"/>
      <c r="N903" s="215"/>
      <c r="O903" s="323"/>
      <c r="P903" s="215"/>
      <c r="Q903" s="207"/>
      <c r="R903" s="323"/>
      <c r="S903" s="323"/>
      <c r="T903" s="664"/>
      <c r="U903" s="215"/>
      <c r="V903" s="215"/>
    </row>
    <row r="904" ht="15.0" customHeight="1">
      <c r="A904" s="207"/>
      <c r="B904" s="215"/>
      <c r="C904" s="215"/>
      <c r="D904" s="215"/>
      <c r="E904" s="215"/>
      <c r="F904" s="215"/>
      <c r="G904" s="215"/>
      <c r="H904" s="215"/>
      <c r="I904" s="207"/>
      <c r="J904" s="215"/>
      <c r="K904" s="207"/>
      <c r="L904" s="215"/>
      <c r="M904" s="323"/>
      <c r="N904" s="215"/>
      <c r="O904" s="323"/>
      <c r="P904" s="215"/>
      <c r="Q904" s="207"/>
      <c r="R904" s="323"/>
      <c r="S904" s="323"/>
      <c r="T904" s="664"/>
      <c r="U904" s="215"/>
      <c r="V904" s="215"/>
    </row>
    <row r="905" ht="15.0" customHeight="1">
      <c r="A905" s="207"/>
      <c r="B905" s="215"/>
      <c r="C905" s="215"/>
      <c r="D905" s="215"/>
      <c r="E905" s="215"/>
      <c r="F905" s="215"/>
      <c r="G905" s="215"/>
      <c r="H905" s="215"/>
      <c r="I905" s="207"/>
      <c r="J905" s="215"/>
      <c r="K905" s="207"/>
      <c r="L905" s="215"/>
      <c r="M905" s="323"/>
      <c r="N905" s="215"/>
      <c r="O905" s="323"/>
      <c r="P905" s="215"/>
      <c r="Q905" s="207"/>
      <c r="R905" s="323"/>
      <c r="S905" s="323"/>
      <c r="T905" s="664"/>
      <c r="U905" s="215"/>
      <c r="V905" s="215"/>
    </row>
    <row r="906" ht="15.0" customHeight="1">
      <c r="A906" s="207"/>
      <c r="B906" s="215"/>
      <c r="C906" s="215"/>
      <c r="D906" s="215"/>
      <c r="E906" s="215"/>
      <c r="F906" s="215"/>
      <c r="G906" s="215"/>
      <c r="H906" s="215"/>
      <c r="I906" s="207"/>
      <c r="J906" s="215"/>
      <c r="K906" s="207"/>
      <c r="L906" s="215"/>
      <c r="M906" s="323"/>
      <c r="N906" s="215"/>
      <c r="O906" s="323"/>
      <c r="P906" s="215"/>
      <c r="Q906" s="207"/>
      <c r="R906" s="323"/>
      <c r="S906" s="323"/>
      <c r="T906" s="664"/>
      <c r="U906" s="215"/>
      <c r="V906" s="215"/>
    </row>
    <row r="907" ht="15.0" customHeight="1">
      <c r="A907" s="207"/>
      <c r="B907" s="215"/>
      <c r="C907" s="215"/>
      <c r="D907" s="215"/>
      <c r="E907" s="215"/>
      <c r="F907" s="215"/>
      <c r="G907" s="215"/>
      <c r="H907" s="215"/>
      <c r="I907" s="207"/>
      <c r="J907" s="215"/>
      <c r="K907" s="207"/>
      <c r="L907" s="215"/>
      <c r="M907" s="323"/>
      <c r="N907" s="215"/>
      <c r="O907" s="323"/>
      <c r="P907" s="215"/>
      <c r="Q907" s="207"/>
      <c r="R907" s="323"/>
      <c r="S907" s="323"/>
      <c r="T907" s="664"/>
      <c r="U907" s="215"/>
      <c r="V907" s="215"/>
    </row>
    <row r="908" ht="15.0" customHeight="1">
      <c r="A908" s="207"/>
      <c r="B908" s="215"/>
      <c r="C908" s="215"/>
      <c r="D908" s="215"/>
      <c r="E908" s="215"/>
      <c r="F908" s="215"/>
      <c r="G908" s="215"/>
      <c r="H908" s="215"/>
      <c r="I908" s="207"/>
      <c r="J908" s="215"/>
      <c r="K908" s="207"/>
      <c r="L908" s="215"/>
      <c r="M908" s="323"/>
      <c r="N908" s="215"/>
      <c r="O908" s="323"/>
      <c r="P908" s="215"/>
      <c r="Q908" s="207"/>
      <c r="R908" s="323"/>
      <c r="S908" s="323"/>
      <c r="T908" s="664"/>
      <c r="U908" s="215"/>
      <c r="V908" s="215"/>
    </row>
    <row r="909" ht="15.0" customHeight="1">
      <c r="A909" s="207"/>
      <c r="B909" s="215"/>
      <c r="C909" s="215"/>
      <c r="D909" s="215"/>
      <c r="E909" s="215"/>
      <c r="F909" s="215"/>
      <c r="G909" s="215"/>
      <c r="H909" s="215"/>
      <c r="I909" s="207"/>
      <c r="J909" s="215"/>
      <c r="K909" s="207"/>
      <c r="L909" s="215"/>
      <c r="M909" s="323"/>
      <c r="N909" s="215"/>
      <c r="O909" s="323"/>
      <c r="P909" s="215"/>
      <c r="Q909" s="207"/>
      <c r="R909" s="323"/>
      <c r="S909" s="323"/>
      <c r="T909" s="664"/>
      <c r="U909" s="215"/>
      <c r="V909" s="215"/>
    </row>
    <row r="910" ht="15.0" customHeight="1">
      <c r="A910" s="207"/>
      <c r="B910" s="215"/>
      <c r="C910" s="215"/>
      <c r="D910" s="215"/>
      <c r="E910" s="215"/>
      <c r="F910" s="215"/>
      <c r="G910" s="215"/>
      <c r="H910" s="215"/>
      <c r="I910" s="207"/>
      <c r="J910" s="215"/>
      <c r="K910" s="207"/>
      <c r="L910" s="215"/>
      <c r="M910" s="323"/>
      <c r="N910" s="215"/>
      <c r="O910" s="323"/>
      <c r="P910" s="215"/>
      <c r="Q910" s="207"/>
      <c r="R910" s="323"/>
      <c r="S910" s="323"/>
      <c r="T910" s="664"/>
      <c r="U910" s="215"/>
      <c r="V910" s="215"/>
    </row>
    <row r="911" ht="15.0" customHeight="1">
      <c r="A911" s="207"/>
      <c r="B911" s="215"/>
      <c r="C911" s="215"/>
      <c r="D911" s="215"/>
      <c r="E911" s="215"/>
      <c r="F911" s="215"/>
      <c r="G911" s="215"/>
      <c r="H911" s="215"/>
      <c r="I911" s="207"/>
      <c r="J911" s="215"/>
      <c r="K911" s="207"/>
      <c r="L911" s="215"/>
      <c r="M911" s="323"/>
      <c r="N911" s="215"/>
      <c r="O911" s="323"/>
      <c r="P911" s="215"/>
      <c r="Q911" s="207"/>
      <c r="R911" s="323"/>
      <c r="S911" s="323"/>
      <c r="T911" s="664"/>
      <c r="U911" s="215"/>
      <c r="V911" s="215"/>
    </row>
    <row r="912" ht="15.0" customHeight="1">
      <c r="A912" s="207"/>
      <c r="B912" s="215"/>
      <c r="C912" s="215"/>
      <c r="D912" s="215"/>
      <c r="E912" s="215"/>
      <c r="F912" s="215"/>
      <c r="G912" s="215"/>
      <c r="H912" s="215"/>
      <c r="I912" s="207"/>
      <c r="J912" s="215"/>
      <c r="K912" s="207"/>
      <c r="L912" s="215"/>
      <c r="M912" s="323"/>
      <c r="N912" s="215"/>
      <c r="O912" s="323"/>
      <c r="P912" s="215"/>
      <c r="Q912" s="207"/>
      <c r="R912" s="323"/>
      <c r="S912" s="323"/>
      <c r="T912" s="664"/>
      <c r="U912" s="215"/>
      <c r="V912" s="215"/>
    </row>
    <row r="913" ht="15.0" customHeight="1">
      <c r="A913" s="207"/>
      <c r="B913" s="215"/>
      <c r="C913" s="215"/>
      <c r="D913" s="215"/>
      <c r="E913" s="215"/>
      <c r="F913" s="215"/>
      <c r="G913" s="215"/>
      <c r="H913" s="215"/>
      <c r="I913" s="207"/>
      <c r="J913" s="215"/>
      <c r="K913" s="207"/>
      <c r="L913" s="215"/>
      <c r="M913" s="323"/>
      <c r="N913" s="215"/>
      <c r="O913" s="323"/>
      <c r="P913" s="215"/>
      <c r="Q913" s="207"/>
      <c r="R913" s="323"/>
      <c r="S913" s="323"/>
      <c r="T913" s="664"/>
      <c r="U913" s="215"/>
      <c r="V913" s="215"/>
    </row>
    <row r="914" ht="15.0" customHeight="1">
      <c r="A914" s="207"/>
      <c r="B914" s="215"/>
      <c r="C914" s="215"/>
      <c r="D914" s="215"/>
      <c r="E914" s="215"/>
      <c r="F914" s="215"/>
      <c r="G914" s="215"/>
      <c r="H914" s="215"/>
      <c r="I914" s="207"/>
      <c r="J914" s="215"/>
      <c r="K914" s="207"/>
      <c r="L914" s="215"/>
      <c r="M914" s="323"/>
      <c r="N914" s="215"/>
      <c r="O914" s="323"/>
      <c r="P914" s="215"/>
      <c r="Q914" s="207"/>
      <c r="R914" s="323"/>
      <c r="S914" s="323"/>
      <c r="T914" s="664"/>
      <c r="U914" s="215"/>
      <c r="V914" s="215"/>
    </row>
    <row r="915" ht="15.0" customHeight="1">
      <c r="A915" s="207"/>
      <c r="B915" s="215"/>
      <c r="C915" s="215"/>
      <c r="D915" s="215"/>
      <c r="E915" s="215"/>
      <c r="F915" s="215"/>
      <c r="G915" s="215"/>
      <c r="H915" s="215"/>
      <c r="I915" s="207"/>
      <c r="J915" s="215"/>
      <c r="K915" s="207"/>
      <c r="L915" s="215"/>
      <c r="M915" s="323"/>
      <c r="N915" s="215"/>
      <c r="O915" s="323"/>
      <c r="P915" s="215"/>
      <c r="Q915" s="207"/>
      <c r="R915" s="323"/>
      <c r="S915" s="323"/>
      <c r="T915" s="664"/>
      <c r="U915" s="215"/>
      <c r="V915" s="215"/>
    </row>
    <row r="916" ht="15.0" customHeight="1">
      <c r="A916" s="207"/>
      <c r="B916" s="215"/>
      <c r="C916" s="215"/>
      <c r="D916" s="215"/>
      <c r="E916" s="215"/>
      <c r="F916" s="215"/>
      <c r="G916" s="215"/>
      <c r="H916" s="215"/>
      <c r="I916" s="207"/>
      <c r="J916" s="215"/>
      <c r="K916" s="207"/>
      <c r="L916" s="215"/>
      <c r="M916" s="323"/>
      <c r="N916" s="215"/>
      <c r="O916" s="323"/>
      <c r="P916" s="215"/>
      <c r="Q916" s="207"/>
      <c r="R916" s="323"/>
      <c r="S916" s="323"/>
      <c r="T916" s="664"/>
      <c r="U916" s="215"/>
      <c r="V916" s="215"/>
    </row>
    <row r="917" ht="15.0" customHeight="1">
      <c r="A917" s="207"/>
      <c r="B917" s="215"/>
      <c r="C917" s="215"/>
      <c r="D917" s="215"/>
      <c r="E917" s="215"/>
      <c r="F917" s="215"/>
      <c r="G917" s="215"/>
      <c r="H917" s="215"/>
      <c r="I917" s="207"/>
      <c r="J917" s="215"/>
      <c r="K917" s="207"/>
      <c r="L917" s="215"/>
      <c r="M917" s="323"/>
      <c r="N917" s="215"/>
      <c r="O917" s="323"/>
      <c r="P917" s="215"/>
      <c r="Q917" s="207"/>
      <c r="R917" s="323"/>
      <c r="S917" s="323"/>
      <c r="T917" s="664"/>
      <c r="U917" s="215"/>
      <c r="V917" s="215"/>
    </row>
    <row r="918" ht="15.0" customHeight="1">
      <c r="A918" s="207"/>
      <c r="B918" s="215"/>
      <c r="C918" s="215"/>
      <c r="D918" s="215"/>
      <c r="E918" s="215"/>
      <c r="F918" s="215"/>
      <c r="G918" s="215"/>
      <c r="H918" s="215"/>
      <c r="I918" s="207"/>
      <c r="J918" s="215"/>
      <c r="K918" s="207"/>
      <c r="L918" s="215"/>
      <c r="M918" s="323"/>
      <c r="N918" s="215"/>
      <c r="O918" s="323"/>
      <c r="P918" s="215"/>
      <c r="Q918" s="207"/>
      <c r="R918" s="323"/>
      <c r="S918" s="323"/>
      <c r="T918" s="664"/>
      <c r="U918" s="215"/>
      <c r="V918" s="215"/>
    </row>
    <row r="919" ht="15.0" customHeight="1">
      <c r="A919" s="207"/>
      <c r="B919" s="215"/>
      <c r="C919" s="215"/>
      <c r="D919" s="215"/>
      <c r="E919" s="215"/>
      <c r="F919" s="215"/>
      <c r="G919" s="215"/>
      <c r="H919" s="215"/>
      <c r="I919" s="207"/>
      <c r="J919" s="215"/>
      <c r="K919" s="207"/>
      <c r="L919" s="215"/>
      <c r="M919" s="323"/>
      <c r="N919" s="215"/>
      <c r="O919" s="323"/>
      <c r="P919" s="215"/>
      <c r="Q919" s="207"/>
      <c r="R919" s="323"/>
      <c r="S919" s="323"/>
      <c r="T919" s="664"/>
      <c r="U919" s="215"/>
      <c r="V919" s="215"/>
    </row>
    <row r="920" ht="15.0" customHeight="1">
      <c r="A920" s="207"/>
      <c r="B920" s="215"/>
      <c r="C920" s="215"/>
      <c r="D920" s="215"/>
      <c r="E920" s="215"/>
      <c r="F920" s="215"/>
      <c r="G920" s="215"/>
      <c r="H920" s="215"/>
      <c r="I920" s="207"/>
      <c r="J920" s="215"/>
      <c r="K920" s="207"/>
      <c r="L920" s="215"/>
      <c r="M920" s="323"/>
      <c r="N920" s="215"/>
      <c r="O920" s="323"/>
      <c r="P920" s="215"/>
      <c r="Q920" s="207"/>
      <c r="R920" s="323"/>
      <c r="S920" s="323"/>
      <c r="T920" s="664"/>
      <c r="U920" s="215"/>
      <c r="V920" s="215"/>
    </row>
    <row r="921" ht="15.0" customHeight="1">
      <c r="A921" s="207"/>
      <c r="B921" s="215"/>
      <c r="C921" s="215"/>
      <c r="D921" s="215"/>
      <c r="E921" s="215"/>
      <c r="F921" s="215"/>
      <c r="G921" s="215"/>
      <c r="H921" s="215"/>
      <c r="I921" s="207"/>
      <c r="J921" s="215"/>
      <c r="K921" s="207"/>
      <c r="L921" s="215"/>
      <c r="M921" s="323"/>
      <c r="N921" s="215"/>
      <c r="O921" s="323"/>
      <c r="P921" s="215"/>
      <c r="Q921" s="207"/>
      <c r="R921" s="323"/>
      <c r="S921" s="323"/>
      <c r="T921" s="664"/>
      <c r="U921" s="215"/>
      <c r="V921" s="215"/>
    </row>
    <row r="922" ht="15.0" customHeight="1">
      <c r="A922" s="207"/>
      <c r="B922" s="215"/>
      <c r="C922" s="215"/>
      <c r="D922" s="215"/>
      <c r="E922" s="215"/>
      <c r="F922" s="215"/>
      <c r="G922" s="215"/>
      <c r="H922" s="215"/>
      <c r="I922" s="207"/>
      <c r="J922" s="215"/>
      <c r="K922" s="207"/>
      <c r="L922" s="215"/>
      <c r="M922" s="323"/>
      <c r="N922" s="215"/>
      <c r="O922" s="323"/>
      <c r="P922" s="215"/>
      <c r="Q922" s="207"/>
      <c r="R922" s="323"/>
      <c r="S922" s="323"/>
      <c r="T922" s="664"/>
      <c r="U922" s="215"/>
      <c r="V922" s="215"/>
    </row>
    <row r="923" ht="15.0" customHeight="1">
      <c r="A923" s="207"/>
      <c r="B923" s="215"/>
      <c r="C923" s="215"/>
      <c r="D923" s="215"/>
      <c r="E923" s="215"/>
      <c r="F923" s="215"/>
      <c r="G923" s="215"/>
      <c r="H923" s="215"/>
      <c r="I923" s="207"/>
      <c r="J923" s="215"/>
      <c r="K923" s="207"/>
      <c r="L923" s="215"/>
      <c r="M923" s="323"/>
      <c r="N923" s="215"/>
      <c r="O923" s="323"/>
      <c r="P923" s="215"/>
      <c r="Q923" s="207"/>
      <c r="R923" s="323"/>
      <c r="S923" s="323"/>
      <c r="T923" s="664"/>
      <c r="U923" s="215"/>
      <c r="V923" s="215"/>
    </row>
    <row r="924" ht="15.0" customHeight="1">
      <c r="A924" s="207"/>
      <c r="B924" s="215"/>
      <c r="C924" s="215"/>
      <c r="D924" s="215"/>
      <c r="E924" s="215"/>
      <c r="F924" s="215"/>
      <c r="G924" s="215"/>
      <c r="H924" s="215"/>
      <c r="I924" s="207"/>
      <c r="J924" s="215"/>
      <c r="K924" s="207"/>
      <c r="L924" s="215"/>
      <c r="M924" s="323"/>
      <c r="N924" s="215"/>
      <c r="O924" s="323"/>
      <c r="P924" s="215"/>
      <c r="Q924" s="207"/>
      <c r="R924" s="323"/>
      <c r="S924" s="323"/>
      <c r="T924" s="664"/>
      <c r="U924" s="215"/>
      <c r="V924" s="215"/>
    </row>
    <row r="925" ht="15.0" customHeight="1">
      <c r="A925" s="207"/>
      <c r="B925" s="215"/>
      <c r="C925" s="215"/>
      <c r="D925" s="215"/>
      <c r="E925" s="215"/>
      <c r="F925" s="215"/>
      <c r="G925" s="215"/>
      <c r="H925" s="215"/>
      <c r="I925" s="207"/>
      <c r="J925" s="215"/>
      <c r="K925" s="207"/>
      <c r="L925" s="215"/>
      <c r="M925" s="323"/>
      <c r="N925" s="215"/>
      <c r="O925" s="323"/>
      <c r="P925" s="215"/>
      <c r="Q925" s="207"/>
      <c r="R925" s="323"/>
      <c r="S925" s="323"/>
      <c r="T925" s="664"/>
      <c r="U925" s="215"/>
      <c r="V925" s="215"/>
    </row>
    <row r="926" ht="15.0" customHeight="1">
      <c r="A926" s="207"/>
      <c r="B926" s="215"/>
      <c r="C926" s="215"/>
      <c r="D926" s="215"/>
      <c r="E926" s="215"/>
      <c r="F926" s="215"/>
      <c r="G926" s="215"/>
      <c r="H926" s="215"/>
      <c r="I926" s="207"/>
      <c r="J926" s="215"/>
      <c r="K926" s="207"/>
      <c r="L926" s="215"/>
      <c r="M926" s="323"/>
      <c r="N926" s="215"/>
      <c r="O926" s="323"/>
      <c r="P926" s="215"/>
      <c r="Q926" s="207"/>
      <c r="R926" s="323"/>
      <c r="S926" s="323"/>
      <c r="T926" s="664"/>
      <c r="U926" s="215"/>
      <c r="V926" s="215"/>
    </row>
    <row r="927" ht="15.0" customHeight="1">
      <c r="A927" s="207"/>
      <c r="B927" s="215"/>
      <c r="C927" s="215"/>
      <c r="D927" s="215"/>
      <c r="E927" s="215"/>
      <c r="F927" s="215"/>
      <c r="G927" s="215"/>
      <c r="H927" s="215"/>
      <c r="I927" s="207"/>
      <c r="J927" s="215"/>
      <c r="K927" s="207"/>
      <c r="L927" s="215"/>
      <c r="M927" s="323"/>
      <c r="N927" s="215"/>
      <c r="O927" s="323"/>
      <c r="P927" s="215"/>
      <c r="Q927" s="207"/>
      <c r="R927" s="323"/>
      <c r="S927" s="323"/>
      <c r="T927" s="664"/>
      <c r="U927" s="215"/>
      <c r="V927" s="215"/>
    </row>
    <row r="928" ht="15.0" customHeight="1">
      <c r="A928" s="207"/>
      <c r="B928" s="215"/>
      <c r="C928" s="215"/>
      <c r="D928" s="215"/>
      <c r="E928" s="215"/>
      <c r="F928" s="215"/>
      <c r="G928" s="215"/>
      <c r="H928" s="215"/>
      <c r="I928" s="207"/>
      <c r="J928" s="215"/>
      <c r="K928" s="207"/>
      <c r="L928" s="215"/>
      <c r="M928" s="323"/>
      <c r="N928" s="215"/>
      <c r="O928" s="323"/>
      <c r="P928" s="215"/>
      <c r="Q928" s="207"/>
      <c r="R928" s="323"/>
      <c r="S928" s="323"/>
      <c r="T928" s="664"/>
      <c r="U928" s="215"/>
      <c r="V928" s="215"/>
    </row>
    <row r="929" ht="15.0" customHeight="1">
      <c r="A929" s="207"/>
      <c r="B929" s="215"/>
      <c r="C929" s="215"/>
      <c r="D929" s="215"/>
      <c r="E929" s="215"/>
      <c r="F929" s="215"/>
      <c r="G929" s="215"/>
      <c r="H929" s="215"/>
      <c r="I929" s="207"/>
      <c r="J929" s="215"/>
      <c r="K929" s="207"/>
      <c r="L929" s="215"/>
      <c r="M929" s="323"/>
      <c r="N929" s="215"/>
      <c r="O929" s="323"/>
      <c r="P929" s="215"/>
      <c r="Q929" s="207"/>
      <c r="R929" s="323"/>
      <c r="S929" s="323"/>
      <c r="T929" s="664"/>
      <c r="U929" s="215"/>
      <c r="V929" s="215"/>
    </row>
    <row r="930" ht="15.0" customHeight="1">
      <c r="A930" s="207"/>
      <c r="B930" s="215"/>
      <c r="C930" s="215"/>
      <c r="D930" s="215"/>
      <c r="E930" s="215"/>
      <c r="F930" s="215"/>
      <c r="G930" s="215"/>
      <c r="H930" s="215"/>
      <c r="I930" s="207"/>
      <c r="J930" s="215"/>
      <c r="K930" s="207"/>
      <c r="L930" s="215"/>
      <c r="M930" s="323"/>
      <c r="N930" s="215"/>
      <c r="O930" s="323"/>
      <c r="P930" s="215"/>
      <c r="Q930" s="207"/>
      <c r="R930" s="323"/>
      <c r="S930" s="323"/>
      <c r="T930" s="664"/>
      <c r="U930" s="215"/>
      <c r="V930" s="215"/>
    </row>
    <row r="931" ht="15.0" customHeight="1">
      <c r="A931" s="207"/>
      <c r="B931" s="215"/>
      <c r="C931" s="215"/>
      <c r="D931" s="215"/>
      <c r="E931" s="215"/>
      <c r="F931" s="215"/>
      <c r="G931" s="215"/>
      <c r="H931" s="215"/>
      <c r="I931" s="207"/>
      <c r="J931" s="215"/>
      <c r="K931" s="207"/>
      <c r="L931" s="215"/>
      <c r="M931" s="323"/>
      <c r="N931" s="215"/>
      <c r="O931" s="323"/>
      <c r="P931" s="215"/>
      <c r="Q931" s="207"/>
      <c r="R931" s="323"/>
      <c r="S931" s="323"/>
      <c r="T931" s="664"/>
      <c r="U931" s="215"/>
      <c r="V931" s="215"/>
    </row>
    <row r="932" ht="15.0" customHeight="1">
      <c r="A932" s="207"/>
      <c r="B932" s="215"/>
      <c r="C932" s="215"/>
      <c r="D932" s="215"/>
      <c r="E932" s="215"/>
      <c r="F932" s="215"/>
      <c r="G932" s="215"/>
      <c r="H932" s="215"/>
      <c r="I932" s="207"/>
      <c r="J932" s="215"/>
      <c r="K932" s="207"/>
      <c r="L932" s="215"/>
      <c r="M932" s="323"/>
      <c r="N932" s="215"/>
      <c r="O932" s="323"/>
      <c r="P932" s="215"/>
      <c r="Q932" s="207"/>
      <c r="R932" s="323"/>
      <c r="S932" s="323"/>
      <c r="T932" s="664"/>
      <c r="U932" s="215"/>
      <c r="V932" s="215"/>
    </row>
    <row r="933" ht="15.0" customHeight="1">
      <c r="A933" s="207"/>
      <c r="B933" s="215"/>
      <c r="C933" s="215"/>
      <c r="D933" s="215"/>
      <c r="E933" s="215"/>
      <c r="F933" s="215"/>
      <c r="G933" s="215"/>
      <c r="H933" s="215"/>
      <c r="I933" s="207"/>
      <c r="J933" s="215"/>
      <c r="K933" s="207"/>
      <c r="L933" s="215"/>
      <c r="M933" s="323"/>
      <c r="N933" s="215"/>
      <c r="O933" s="323"/>
      <c r="P933" s="215"/>
      <c r="Q933" s="207"/>
      <c r="R933" s="323"/>
      <c r="S933" s="323"/>
      <c r="T933" s="664"/>
      <c r="U933" s="215"/>
      <c r="V933" s="215"/>
    </row>
    <row r="934" ht="15.0" customHeight="1">
      <c r="A934" s="207"/>
      <c r="B934" s="215"/>
      <c r="C934" s="215"/>
      <c r="D934" s="215"/>
      <c r="E934" s="215"/>
      <c r="F934" s="215"/>
      <c r="G934" s="215"/>
      <c r="H934" s="215"/>
      <c r="I934" s="207"/>
      <c r="J934" s="215"/>
      <c r="K934" s="207"/>
      <c r="L934" s="215"/>
      <c r="M934" s="323"/>
      <c r="N934" s="215"/>
      <c r="O934" s="323"/>
      <c r="P934" s="215"/>
      <c r="Q934" s="207"/>
      <c r="R934" s="323"/>
      <c r="S934" s="323"/>
      <c r="T934" s="664"/>
      <c r="U934" s="215"/>
      <c r="V934" s="215"/>
    </row>
    <row r="935" ht="15.0" customHeight="1">
      <c r="A935" s="207"/>
      <c r="B935" s="215"/>
      <c r="C935" s="215"/>
      <c r="D935" s="215"/>
      <c r="E935" s="215"/>
      <c r="F935" s="215"/>
      <c r="G935" s="215"/>
      <c r="H935" s="215"/>
      <c r="I935" s="207"/>
      <c r="J935" s="215"/>
      <c r="K935" s="207"/>
      <c r="L935" s="215"/>
      <c r="M935" s="323"/>
      <c r="N935" s="215"/>
      <c r="O935" s="323"/>
      <c r="P935" s="215"/>
      <c r="Q935" s="207"/>
      <c r="R935" s="323"/>
      <c r="S935" s="323"/>
      <c r="T935" s="664"/>
      <c r="U935" s="215"/>
      <c r="V935" s="215"/>
    </row>
    <row r="936" ht="15.0" customHeight="1">
      <c r="A936" s="207"/>
      <c r="B936" s="215"/>
      <c r="C936" s="215"/>
      <c r="D936" s="215"/>
      <c r="E936" s="215"/>
      <c r="F936" s="215"/>
      <c r="G936" s="215"/>
      <c r="H936" s="215"/>
      <c r="I936" s="207"/>
      <c r="J936" s="215"/>
      <c r="K936" s="207"/>
      <c r="L936" s="215"/>
      <c r="M936" s="323"/>
      <c r="N936" s="215"/>
      <c r="O936" s="323"/>
      <c r="P936" s="215"/>
      <c r="Q936" s="207"/>
      <c r="R936" s="323"/>
      <c r="S936" s="323"/>
      <c r="T936" s="664"/>
      <c r="U936" s="215"/>
      <c r="V936" s="215"/>
    </row>
    <row r="937" ht="15.0" customHeight="1">
      <c r="A937" s="207"/>
      <c r="B937" s="215"/>
      <c r="C937" s="215"/>
      <c r="D937" s="215"/>
      <c r="E937" s="215"/>
      <c r="F937" s="215"/>
      <c r="G937" s="215"/>
      <c r="H937" s="215"/>
      <c r="I937" s="207"/>
      <c r="J937" s="215"/>
      <c r="K937" s="207"/>
      <c r="L937" s="215"/>
      <c r="M937" s="323"/>
      <c r="N937" s="215"/>
      <c r="O937" s="323"/>
      <c r="P937" s="215"/>
      <c r="Q937" s="207"/>
      <c r="R937" s="323"/>
      <c r="S937" s="323"/>
      <c r="T937" s="664"/>
      <c r="U937" s="215"/>
      <c r="V937" s="215"/>
    </row>
    <row r="938" ht="15.0" customHeight="1">
      <c r="A938" s="207"/>
      <c r="B938" s="215"/>
      <c r="C938" s="215"/>
      <c r="D938" s="215"/>
      <c r="E938" s="215"/>
      <c r="F938" s="215"/>
      <c r="G938" s="215"/>
      <c r="H938" s="215"/>
      <c r="I938" s="207"/>
      <c r="J938" s="215"/>
      <c r="K938" s="207"/>
      <c r="L938" s="215"/>
      <c r="M938" s="323"/>
      <c r="N938" s="215"/>
      <c r="O938" s="323"/>
      <c r="P938" s="215"/>
      <c r="Q938" s="207"/>
      <c r="R938" s="323"/>
      <c r="S938" s="323"/>
      <c r="T938" s="664"/>
      <c r="U938" s="215"/>
      <c r="V938" s="215"/>
    </row>
    <row r="939" ht="15.0" customHeight="1">
      <c r="A939" s="207"/>
      <c r="B939" s="215"/>
      <c r="C939" s="215"/>
      <c r="D939" s="215"/>
      <c r="E939" s="215"/>
      <c r="F939" s="215"/>
      <c r="G939" s="215"/>
      <c r="H939" s="215"/>
      <c r="I939" s="207"/>
      <c r="J939" s="215"/>
      <c r="K939" s="207"/>
      <c r="L939" s="215"/>
      <c r="M939" s="323"/>
      <c r="N939" s="215"/>
      <c r="O939" s="323"/>
      <c r="P939" s="215"/>
      <c r="Q939" s="207"/>
      <c r="R939" s="323"/>
      <c r="S939" s="323"/>
      <c r="T939" s="664"/>
      <c r="U939" s="215"/>
      <c r="V939" s="215"/>
    </row>
    <row r="940" ht="15.0" customHeight="1">
      <c r="A940" s="207"/>
      <c r="B940" s="215"/>
      <c r="C940" s="215"/>
      <c r="D940" s="215"/>
      <c r="E940" s="215"/>
      <c r="F940" s="215"/>
      <c r="G940" s="215"/>
      <c r="H940" s="215"/>
      <c r="I940" s="207"/>
      <c r="J940" s="215"/>
      <c r="K940" s="207"/>
      <c r="L940" s="215"/>
      <c r="M940" s="323"/>
      <c r="N940" s="215"/>
      <c r="O940" s="323"/>
      <c r="P940" s="215"/>
      <c r="Q940" s="207"/>
      <c r="R940" s="323"/>
      <c r="S940" s="323"/>
      <c r="T940" s="664"/>
      <c r="U940" s="215"/>
      <c r="V940" s="215"/>
    </row>
    <row r="941" ht="15.0" customHeight="1">
      <c r="A941" s="207"/>
      <c r="B941" s="215"/>
      <c r="C941" s="215"/>
      <c r="D941" s="215"/>
      <c r="E941" s="215"/>
      <c r="F941" s="215"/>
      <c r="G941" s="215"/>
      <c r="H941" s="215"/>
      <c r="I941" s="207"/>
      <c r="J941" s="215"/>
      <c r="K941" s="207"/>
      <c r="L941" s="215"/>
      <c r="M941" s="323"/>
      <c r="N941" s="215"/>
      <c r="O941" s="323"/>
      <c r="P941" s="215"/>
      <c r="Q941" s="207"/>
      <c r="R941" s="323"/>
      <c r="S941" s="323"/>
      <c r="T941" s="664"/>
      <c r="U941" s="215"/>
      <c r="V941" s="215"/>
    </row>
    <row r="942" ht="15.0" customHeight="1">
      <c r="A942" s="207"/>
      <c r="B942" s="215"/>
      <c r="C942" s="215"/>
      <c r="D942" s="215"/>
      <c r="E942" s="215"/>
      <c r="F942" s="215"/>
      <c r="G942" s="215"/>
      <c r="H942" s="215"/>
      <c r="I942" s="207"/>
      <c r="J942" s="215"/>
      <c r="K942" s="207"/>
      <c r="L942" s="215"/>
      <c r="M942" s="323"/>
      <c r="N942" s="215"/>
      <c r="O942" s="323"/>
      <c r="P942" s="215"/>
      <c r="Q942" s="207"/>
      <c r="R942" s="323"/>
      <c r="S942" s="323"/>
      <c r="T942" s="664"/>
      <c r="U942" s="215"/>
      <c r="V942" s="215"/>
    </row>
    <row r="943" ht="15.0" customHeight="1">
      <c r="A943" s="207"/>
      <c r="B943" s="215"/>
      <c r="C943" s="215"/>
      <c r="D943" s="215"/>
      <c r="E943" s="215"/>
      <c r="F943" s="215"/>
      <c r="G943" s="215"/>
      <c r="H943" s="215"/>
      <c r="I943" s="207"/>
      <c r="J943" s="215"/>
      <c r="K943" s="207"/>
      <c r="L943" s="215"/>
      <c r="M943" s="323"/>
      <c r="N943" s="215"/>
      <c r="O943" s="323"/>
      <c r="P943" s="215"/>
      <c r="Q943" s="207"/>
      <c r="R943" s="323"/>
      <c r="S943" s="323"/>
      <c r="T943" s="664"/>
      <c r="U943" s="215"/>
      <c r="V943" s="215"/>
    </row>
    <row r="944" ht="15.0" customHeight="1">
      <c r="A944" s="207"/>
      <c r="B944" s="215"/>
      <c r="C944" s="215"/>
      <c r="D944" s="215"/>
      <c r="E944" s="215"/>
      <c r="F944" s="215"/>
      <c r="G944" s="215"/>
      <c r="H944" s="215"/>
      <c r="I944" s="207"/>
      <c r="J944" s="215"/>
      <c r="K944" s="207"/>
      <c r="L944" s="215"/>
      <c r="M944" s="323"/>
      <c r="N944" s="215"/>
      <c r="O944" s="323"/>
      <c r="P944" s="215"/>
      <c r="Q944" s="207"/>
      <c r="R944" s="323"/>
      <c r="S944" s="323"/>
      <c r="T944" s="664"/>
      <c r="U944" s="215"/>
      <c r="V944" s="215"/>
    </row>
    <row r="945" ht="15.0" customHeight="1">
      <c r="A945" s="207"/>
      <c r="B945" s="215"/>
      <c r="C945" s="215"/>
      <c r="D945" s="215"/>
      <c r="E945" s="215"/>
      <c r="F945" s="215"/>
      <c r="G945" s="215"/>
      <c r="H945" s="215"/>
      <c r="I945" s="207"/>
      <c r="J945" s="215"/>
      <c r="K945" s="207"/>
      <c r="L945" s="215"/>
      <c r="M945" s="323"/>
      <c r="N945" s="215"/>
      <c r="O945" s="323"/>
      <c r="P945" s="215"/>
      <c r="Q945" s="207"/>
      <c r="R945" s="323"/>
      <c r="S945" s="323"/>
      <c r="T945" s="664"/>
      <c r="U945" s="215"/>
      <c r="V945" s="215"/>
    </row>
    <row r="946" ht="15.0" customHeight="1">
      <c r="A946" s="207"/>
      <c r="B946" s="215"/>
      <c r="C946" s="215"/>
      <c r="D946" s="215"/>
      <c r="E946" s="215"/>
      <c r="F946" s="215"/>
      <c r="G946" s="215"/>
      <c r="H946" s="215"/>
      <c r="I946" s="207"/>
      <c r="J946" s="215"/>
      <c r="K946" s="207"/>
      <c r="L946" s="215"/>
      <c r="M946" s="323"/>
      <c r="N946" s="215"/>
      <c r="O946" s="323"/>
      <c r="P946" s="215"/>
      <c r="Q946" s="207"/>
      <c r="R946" s="323"/>
      <c r="S946" s="323"/>
      <c r="T946" s="664"/>
      <c r="U946" s="215"/>
      <c r="V946" s="215"/>
    </row>
    <row r="947" ht="15.0" customHeight="1">
      <c r="A947" s="207"/>
      <c r="B947" s="215"/>
      <c r="C947" s="215"/>
      <c r="D947" s="215"/>
      <c r="E947" s="215"/>
      <c r="F947" s="215"/>
      <c r="G947" s="215"/>
      <c r="H947" s="215"/>
      <c r="I947" s="207"/>
      <c r="J947" s="215"/>
      <c r="K947" s="207"/>
      <c r="L947" s="215"/>
      <c r="M947" s="323"/>
      <c r="N947" s="215"/>
      <c r="O947" s="323"/>
      <c r="P947" s="215"/>
      <c r="Q947" s="207"/>
      <c r="R947" s="323"/>
      <c r="S947" s="323"/>
      <c r="T947" s="664"/>
      <c r="U947" s="215"/>
      <c r="V947" s="215"/>
    </row>
    <row r="948" ht="15.0" customHeight="1">
      <c r="A948" s="207"/>
      <c r="B948" s="215"/>
      <c r="C948" s="215"/>
      <c r="D948" s="215"/>
      <c r="E948" s="215"/>
      <c r="F948" s="215"/>
      <c r="G948" s="215"/>
      <c r="H948" s="215"/>
      <c r="I948" s="207"/>
      <c r="J948" s="215"/>
      <c r="K948" s="207"/>
      <c r="L948" s="215"/>
      <c r="M948" s="323"/>
      <c r="N948" s="215"/>
      <c r="O948" s="323"/>
      <c r="P948" s="215"/>
      <c r="Q948" s="207"/>
      <c r="R948" s="323"/>
      <c r="S948" s="323"/>
      <c r="T948" s="664"/>
      <c r="U948" s="215"/>
      <c r="V948" s="215"/>
    </row>
    <row r="949" ht="15.0" customHeight="1">
      <c r="A949" s="207"/>
      <c r="B949" s="215"/>
      <c r="C949" s="215"/>
      <c r="D949" s="215"/>
      <c r="E949" s="215"/>
      <c r="F949" s="215"/>
      <c r="G949" s="215"/>
      <c r="H949" s="215"/>
      <c r="I949" s="207"/>
      <c r="J949" s="215"/>
      <c r="K949" s="207"/>
      <c r="L949" s="215"/>
      <c r="M949" s="323"/>
      <c r="N949" s="215"/>
      <c r="O949" s="323"/>
      <c r="P949" s="215"/>
      <c r="Q949" s="207"/>
      <c r="R949" s="323"/>
      <c r="S949" s="323"/>
      <c r="T949" s="664"/>
      <c r="U949" s="215"/>
      <c r="V949" s="215"/>
    </row>
    <row r="950" ht="15.0" customHeight="1">
      <c r="A950" s="207"/>
      <c r="B950" s="215"/>
      <c r="C950" s="215"/>
      <c r="D950" s="215"/>
      <c r="E950" s="215"/>
      <c r="F950" s="215"/>
      <c r="G950" s="215"/>
      <c r="H950" s="215"/>
      <c r="I950" s="207"/>
      <c r="J950" s="215"/>
      <c r="K950" s="207"/>
      <c r="L950" s="215"/>
      <c r="M950" s="323"/>
      <c r="N950" s="215"/>
      <c r="O950" s="323"/>
      <c r="P950" s="215"/>
      <c r="Q950" s="207"/>
      <c r="R950" s="323"/>
      <c r="S950" s="323"/>
      <c r="T950" s="664"/>
      <c r="U950" s="215"/>
      <c r="V950" s="215"/>
    </row>
    <row r="951" ht="15.0" customHeight="1">
      <c r="A951" s="207"/>
      <c r="B951" s="215"/>
      <c r="C951" s="215"/>
      <c r="D951" s="215"/>
      <c r="E951" s="215"/>
      <c r="F951" s="215"/>
      <c r="G951" s="215"/>
      <c r="H951" s="215"/>
      <c r="I951" s="207"/>
      <c r="J951" s="215"/>
      <c r="K951" s="207"/>
      <c r="L951" s="215"/>
      <c r="M951" s="323"/>
      <c r="N951" s="215"/>
      <c r="O951" s="323"/>
      <c r="P951" s="215"/>
      <c r="Q951" s="207"/>
      <c r="R951" s="323"/>
      <c r="S951" s="323"/>
      <c r="T951" s="664"/>
      <c r="U951" s="215"/>
      <c r="V951" s="215"/>
    </row>
    <row r="952" ht="15.0" customHeight="1">
      <c r="A952" s="207"/>
      <c r="B952" s="215"/>
      <c r="C952" s="215"/>
      <c r="D952" s="215"/>
      <c r="E952" s="215"/>
      <c r="F952" s="215"/>
      <c r="G952" s="215"/>
      <c r="H952" s="215"/>
      <c r="I952" s="207"/>
      <c r="J952" s="215"/>
      <c r="K952" s="207"/>
      <c r="L952" s="215"/>
      <c r="M952" s="323"/>
      <c r="N952" s="215"/>
      <c r="O952" s="323"/>
      <c r="P952" s="215"/>
      <c r="Q952" s="207"/>
      <c r="R952" s="323"/>
      <c r="S952" s="323"/>
      <c r="T952" s="664"/>
      <c r="U952" s="215"/>
      <c r="V952" s="215"/>
    </row>
    <row r="953" ht="15.0" customHeight="1">
      <c r="A953" s="207"/>
      <c r="B953" s="215"/>
      <c r="C953" s="215"/>
      <c r="D953" s="215"/>
      <c r="E953" s="215"/>
      <c r="F953" s="215"/>
      <c r="G953" s="215"/>
      <c r="H953" s="215"/>
      <c r="I953" s="207"/>
      <c r="J953" s="215"/>
      <c r="K953" s="207"/>
      <c r="L953" s="215"/>
      <c r="M953" s="323"/>
      <c r="N953" s="215"/>
      <c r="O953" s="323"/>
      <c r="P953" s="215"/>
      <c r="Q953" s="207"/>
      <c r="R953" s="323"/>
      <c r="S953" s="323"/>
      <c r="T953" s="664"/>
      <c r="U953" s="215"/>
      <c r="V953" s="215"/>
    </row>
    <row r="954" ht="15.0" customHeight="1">
      <c r="A954" s="207"/>
      <c r="B954" s="215"/>
      <c r="C954" s="215"/>
      <c r="D954" s="215"/>
      <c r="E954" s="215"/>
      <c r="F954" s="215"/>
      <c r="G954" s="215"/>
      <c r="H954" s="215"/>
      <c r="I954" s="207"/>
      <c r="J954" s="215"/>
      <c r="K954" s="207"/>
      <c r="L954" s="215"/>
      <c r="M954" s="323"/>
      <c r="N954" s="215"/>
      <c r="O954" s="323"/>
      <c r="P954" s="215"/>
      <c r="Q954" s="207"/>
      <c r="R954" s="323"/>
      <c r="S954" s="323"/>
      <c r="T954" s="664"/>
      <c r="U954" s="215"/>
      <c r="V954" s="215"/>
    </row>
    <row r="955" ht="15.0" customHeight="1">
      <c r="A955" s="207"/>
      <c r="B955" s="215"/>
      <c r="C955" s="215"/>
      <c r="D955" s="215"/>
      <c r="E955" s="215"/>
      <c r="F955" s="215"/>
      <c r="G955" s="215"/>
      <c r="H955" s="215"/>
      <c r="I955" s="207"/>
      <c r="J955" s="215"/>
      <c r="K955" s="207"/>
      <c r="L955" s="215"/>
      <c r="M955" s="323"/>
      <c r="N955" s="215"/>
      <c r="O955" s="323"/>
      <c r="P955" s="215"/>
      <c r="Q955" s="207"/>
      <c r="R955" s="323"/>
      <c r="S955" s="323"/>
      <c r="T955" s="664"/>
      <c r="U955" s="215"/>
      <c r="V955" s="215"/>
    </row>
    <row r="956" ht="15.0" customHeight="1">
      <c r="A956" s="207"/>
      <c r="B956" s="215"/>
      <c r="C956" s="215"/>
      <c r="D956" s="215"/>
      <c r="E956" s="215"/>
      <c r="F956" s="215"/>
      <c r="G956" s="215"/>
      <c r="H956" s="215"/>
      <c r="I956" s="207"/>
      <c r="J956" s="215"/>
      <c r="K956" s="207"/>
      <c r="L956" s="215"/>
      <c r="M956" s="323"/>
      <c r="N956" s="215"/>
      <c r="O956" s="323"/>
      <c r="P956" s="215"/>
      <c r="Q956" s="207"/>
      <c r="R956" s="323"/>
      <c r="S956" s="323"/>
      <c r="T956" s="664"/>
      <c r="U956" s="215"/>
      <c r="V956" s="215"/>
    </row>
    <row r="957" ht="15.0" customHeight="1">
      <c r="A957" s="207"/>
      <c r="B957" s="215"/>
      <c r="C957" s="215"/>
      <c r="D957" s="215"/>
      <c r="E957" s="215"/>
      <c r="F957" s="215"/>
      <c r="G957" s="215"/>
      <c r="H957" s="215"/>
      <c r="I957" s="207"/>
      <c r="J957" s="215"/>
      <c r="K957" s="207"/>
      <c r="L957" s="215"/>
      <c r="M957" s="323"/>
      <c r="N957" s="215"/>
      <c r="O957" s="323"/>
      <c r="P957" s="215"/>
      <c r="Q957" s="207"/>
      <c r="R957" s="323"/>
      <c r="S957" s="323"/>
      <c r="T957" s="664"/>
      <c r="U957" s="215"/>
      <c r="V957" s="215"/>
    </row>
    <row r="958" ht="15.0" customHeight="1">
      <c r="A958" s="207"/>
      <c r="B958" s="215"/>
      <c r="C958" s="215"/>
      <c r="D958" s="215"/>
      <c r="E958" s="215"/>
      <c r="F958" s="215"/>
      <c r="G958" s="215"/>
      <c r="H958" s="215"/>
      <c r="I958" s="207"/>
      <c r="J958" s="215"/>
      <c r="K958" s="207"/>
      <c r="L958" s="215"/>
      <c r="M958" s="323"/>
      <c r="N958" s="215"/>
      <c r="O958" s="323"/>
      <c r="P958" s="215"/>
      <c r="Q958" s="207"/>
      <c r="R958" s="323"/>
      <c r="S958" s="323"/>
      <c r="T958" s="664"/>
      <c r="U958" s="215"/>
      <c r="V958" s="215"/>
    </row>
    <row r="959" ht="15.0" customHeight="1">
      <c r="A959" s="207"/>
      <c r="B959" s="215"/>
      <c r="C959" s="215"/>
      <c r="D959" s="215"/>
      <c r="E959" s="215"/>
      <c r="F959" s="215"/>
      <c r="G959" s="215"/>
      <c r="H959" s="215"/>
      <c r="I959" s="207"/>
      <c r="J959" s="215"/>
      <c r="K959" s="207"/>
      <c r="L959" s="215"/>
      <c r="M959" s="323"/>
      <c r="N959" s="215"/>
      <c r="O959" s="323"/>
      <c r="P959" s="215"/>
      <c r="Q959" s="207"/>
      <c r="R959" s="323"/>
      <c r="S959" s="323"/>
      <c r="T959" s="664"/>
      <c r="U959" s="215"/>
      <c r="V959" s="215"/>
    </row>
    <row r="960" ht="15.0" customHeight="1">
      <c r="A960" s="207"/>
      <c r="B960" s="215"/>
      <c r="C960" s="215"/>
      <c r="D960" s="215"/>
      <c r="E960" s="215"/>
      <c r="F960" s="215"/>
      <c r="G960" s="215"/>
      <c r="H960" s="215"/>
      <c r="I960" s="207"/>
      <c r="J960" s="215"/>
      <c r="K960" s="207"/>
      <c r="L960" s="215"/>
      <c r="M960" s="323"/>
      <c r="N960" s="215"/>
      <c r="O960" s="323"/>
      <c r="P960" s="215"/>
      <c r="Q960" s="207"/>
      <c r="R960" s="323"/>
      <c r="S960" s="323"/>
      <c r="T960" s="664"/>
      <c r="U960" s="215"/>
      <c r="V960" s="215"/>
    </row>
    <row r="961" ht="15.0" customHeight="1">
      <c r="A961" s="207"/>
      <c r="B961" s="215"/>
      <c r="C961" s="215"/>
      <c r="D961" s="215"/>
      <c r="E961" s="215"/>
      <c r="F961" s="215"/>
      <c r="G961" s="215"/>
      <c r="H961" s="215"/>
      <c r="I961" s="207"/>
      <c r="J961" s="215"/>
      <c r="K961" s="207"/>
      <c r="L961" s="215"/>
      <c r="M961" s="323"/>
      <c r="N961" s="215"/>
      <c r="O961" s="323"/>
      <c r="P961" s="215"/>
      <c r="Q961" s="207"/>
      <c r="R961" s="323"/>
      <c r="S961" s="323"/>
      <c r="T961" s="664"/>
      <c r="U961" s="215"/>
      <c r="V961" s="215"/>
    </row>
    <row r="962" ht="15.0" customHeight="1">
      <c r="A962" s="207"/>
      <c r="B962" s="215"/>
      <c r="C962" s="215"/>
      <c r="D962" s="215"/>
      <c r="E962" s="215"/>
      <c r="F962" s="215"/>
      <c r="G962" s="215"/>
      <c r="H962" s="215"/>
      <c r="I962" s="207"/>
      <c r="J962" s="215"/>
      <c r="K962" s="207"/>
      <c r="L962" s="215"/>
      <c r="M962" s="323"/>
      <c r="N962" s="215"/>
      <c r="O962" s="323"/>
      <c r="P962" s="215"/>
      <c r="Q962" s="207"/>
      <c r="R962" s="323"/>
      <c r="S962" s="323"/>
      <c r="T962" s="664"/>
      <c r="U962" s="215"/>
      <c r="V962" s="215"/>
    </row>
    <row r="963" ht="15.0" customHeight="1">
      <c r="A963" s="207"/>
      <c r="B963" s="215"/>
      <c r="C963" s="215"/>
      <c r="D963" s="215"/>
      <c r="E963" s="215"/>
      <c r="F963" s="215"/>
      <c r="G963" s="215"/>
      <c r="H963" s="215"/>
      <c r="I963" s="207"/>
      <c r="J963" s="215"/>
      <c r="K963" s="207"/>
      <c r="L963" s="215"/>
      <c r="M963" s="323"/>
      <c r="N963" s="215"/>
      <c r="O963" s="323"/>
      <c r="P963" s="215"/>
      <c r="Q963" s="207"/>
      <c r="R963" s="323"/>
      <c r="S963" s="323"/>
      <c r="T963" s="664"/>
      <c r="U963" s="215"/>
      <c r="V963" s="215"/>
    </row>
    <row r="964" ht="15.0" customHeight="1">
      <c r="A964" s="207"/>
      <c r="B964" s="215"/>
      <c r="C964" s="215"/>
      <c r="D964" s="215"/>
      <c r="E964" s="215"/>
      <c r="F964" s="215"/>
      <c r="G964" s="215"/>
      <c r="H964" s="215"/>
      <c r="I964" s="207"/>
      <c r="J964" s="215"/>
      <c r="K964" s="207"/>
      <c r="L964" s="215"/>
      <c r="M964" s="323"/>
      <c r="N964" s="215"/>
      <c r="O964" s="323"/>
      <c r="P964" s="215"/>
      <c r="Q964" s="207"/>
      <c r="R964" s="323"/>
      <c r="S964" s="323"/>
      <c r="T964" s="664"/>
      <c r="U964" s="215"/>
      <c r="V964" s="215"/>
    </row>
    <row r="965" ht="15.0" customHeight="1">
      <c r="A965" s="207"/>
      <c r="B965" s="215"/>
      <c r="C965" s="215"/>
      <c r="D965" s="215"/>
      <c r="E965" s="215"/>
      <c r="F965" s="215"/>
      <c r="G965" s="215"/>
      <c r="H965" s="215"/>
      <c r="I965" s="207"/>
      <c r="J965" s="215"/>
      <c r="K965" s="207"/>
      <c r="L965" s="215"/>
      <c r="M965" s="323"/>
      <c r="N965" s="215"/>
      <c r="O965" s="323"/>
      <c r="P965" s="215"/>
      <c r="Q965" s="207"/>
      <c r="R965" s="323"/>
      <c r="S965" s="323"/>
      <c r="T965" s="664"/>
      <c r="U965" s="215"/>
      <c r="V965" s="215"/>
    </row>
    <row r="966" ht="15.0" customHeight="1">
      <c r="A966" s="207"/>
      <c r="B966" s="215"/>
      <c r="C966" s="215"/>
      <c r="D966" s="215"/>
      <c r="E966" s="215"/>
      <c r="F966" s="215"/>
      <c r="G966" s="215"/>
      <c r="H966" s="215"/>
      <c r="I966" s="207"/>
      <c r="J966" s="215"/>
      <c r="K966" s="207"/>
      <c r="L966" s="215"/>
      <c r="M966" s="323"/>
      <c r="N966" s="215"/>
      <c r="O966" s="323"/>
      <c r="P966" s="215"/>
      <c r="Q966" s="207"/>
      <c r="R966" s="323"/>
      <c r="S966" s="323"/>
      <c r="T966" s="664"/>
      <c r="U966" s="215"/>
      <c r="V966" s="215"/>
    </row>
    <row r="967" ht="15.0" customHeight="1">
      <c r="A967" s="207"/>
      <c r="B967" s="215"/>
      <c r="C967" s="215"/>
      <c r="D967" s="215"/>
      <c r="E967" s="215"/>
      <c r="F967" s="215"/>
      <c r="G967" s="215"/>
      <c r="H967" s="215"/>
      <c r="I967" s="207"/>
      <c r="J967" s="215"/>
      <c r="K967" s="207"/>
      <c r="L967" s="215"/>
      <c r="M967" s="323"/>
      <c r="N967" s="215"/>
      <c r="O967" s="323"/>
      <c r="P967" s="215"/>
      <c r="Q967" s="207"/>
      <c r="R967" s="323"/>
      <c r="S967" s="323"/>
      <c r="T967" s="664"/>
      <c r="U967" s="215"/>
      <c r="V967" s="215"/>
    </row>
    <row r="968" ht="15.0" customHeight="1">
      <c r="A968" s="207"/>
      <c r="B968" s="215"/>
      <c r="C968" s="215"/>
      <c r="D968" s="215"/>
      <c r="E968" s="215"/>
      <c r="F968" s="215"/>
      <c r="G968" s="215"/>
      <c r="H968" s="215"/>
      <c r="I968" s="207"/>
      <c r="J968" s="215"/>
      <c r="K968" s="207"/>
      <c r="L968" s="215"/>
      <c r="M968" s="323"/>
      <c r="N968" s="215"/>
      <c r="O968" s="323"/>
      <c r="P968" s="215"/>
      <c r="Q968" s="207"/>
      <c r="R968" s="323"/>
      <c r="S968" s="323"/>
      <c r="T968" s="664"/>
      <c r="U968" s="215"/>
      <c r="V968" s="215"/>
    </row>
    <row r="969" ht="15.0" customHeight="1">
      <c r="A969" s="207"/>
      <c r="B969" s="215"/>
      <c r="C969" s="215"/>
      <c r="D969" s="215"/>
      <c r="E969" s="215"/>
      <c r="F969" s="215"/>
      <c r="G969" s="215"/>
      <c r="H969" s="215"/>
      <c r="I969" s="207"/>
      <c r="J969" s="215"/>
      <c r="K969" s="207"/>
      <c r="L969" s="215"/>
      <c r="M969" s="323"/>
      <c r="N969" s="215"/>
      <c r="O969" s="323"/>
      <c r="P969" s="215"/>
      <c r="Q969" s="207"/>
      <c r="R969" s="323"/>
      <c r="S969" s="323"/>
      <c r="T969" s="664"/>
      <c r="U969" s="215"/>
      <c r="V969" s="215"/>
    </row>
    <row r="970" ht="15.0" customHeight="1">
      <c r="A970" s="207"/>
      <c r="B970" s="215"/>
      <c r="C970" s="215"/>
      <c r="D970" s="215"/>
      <c r="E970" s="215"/>
      <c r="F970" s="215"/>
      <c r="G970" s="215"/>
      <c r="H970" s="215"/>
      <c r="I970" s="207"/>
      <c r="J970" s="215"/>
      <c r="K970" s="207"/>
      <c r="L970" s="215"/>
      <c r="M970" s="323"/>
      <c r="N970" s="215"/>
      <c r="O970" s="323"/>
      <c r="P970" s="215"/>
      <c r="Q970" s="207"/>
      <c r="R970" s="323"/>
      <c r="S970" s="323"/>
      <c r="T970" s="664"/>
      <c r="U970" s="215"/>
      <c r="V970" s="215"/>
    </row>
    <row r="971" ht="15.0" customHeight="1">
      <c r="A971" s="207"/>
      <c r="B971" s="215"/>
      <c r="C971" s="215"/>
      <c r="D971" s="215"/>
      <c r="E971" s="215"/>
      <c r="F971" s="215"/>
      <c r="G971" s="215"/>
      <c r="H971" s="215"/>
      <c r="I971" s="207"/>
      <c r="J971" s="215"/>
      <c r="K971" s="207"/>
      <c r="L971" s="215"/>
      <c r="M971" s="323"/>
      <c r="N971" s="215"/>
      <c r="O971" s="323"/>
      <c r="P971" s="215"/>
      <c r="Q971" s="207"/>
      <c r="R971" s="323"/>
      <c r="S971" s="323"/>
      <c r="T971" s="664"/>
      <c r="U971" s="215"/>
      <c r="V971" s="215"/>
    </row>
    <row r="972" ht="15.0" customHeight="1">
      <c r="A972" s="207"/>
      <c r="B972" s="215"/>
      <c r="C972" s="215"/>
      <c r="D972" s="215"/>
      <c r="E972" s="215"/>
      <c r="F972" s="215"/>
      <c r="G972" s="215"/>
      <c r="H972" s="215"/>
      <c r="I972" s="207"/>
      <c r="J972" s="215"/>
      <c r="K972" s="207"/>
      <c r="L972" s="215"/>
      <c r="M972" s="323"/>
      <c r="N972" s="215"/>
      <c r="O972" s="323"/>
      <c r="P972" s="215"/>
      <c r="Q972" s="207"/>
      <c r="R972" s="323"/>
      <c r="S972" s="323"/>
      <c r="T972" s="664"/>
      <c r="U972" s="215"/>
      <c r="V972" s="215"/>
    </row>
    <row r="973" ht="15.0" customHeight="1">
      <c r="A973" s="207"/>
      <c r="B973" s="215"/>
      <c r="C973" s="215"/>
      <c r="D973" s="215"/>
      <c r="E973" s="215"/>
      <c r="F973" s="215"/>
      <c r="G973" s="215"/>
      <c r="H973" s="215"/>
      <c r="I973" s="207"/>
      <c r="J973" s="215"/>
      <c r="K973" s="207"/>
      <c r="L973" s="215"/>
      <c r="M973" s="323"/>
      <c r="N973" s="215"/>
      <c r="O973" s="323"/>
      <c r="P973" s="215"/>
      <c r="Q973" s="207"/>
      <c r="R973" s="323"/>
      <c r="S973" s="323"/>
      <c r="T973" s="664"/>
      <c r="U973" s="215"/>
      <c r="V973" s="215"/>
    </row>
    <row r="974" ht="15.0" customHeight="1">
      <c r="A974" s="207"/>
      <c r="B974" s="215"/>
      <c r="C974" s="215"/>
      <c r="D974" s="215"/>
      <c r="E974" s="215"/>
      <c r="F974" s="215"/>
      <c r="G974" s="215"/>
      <c r="H974" s="215"/>
      <c r="I974" s="207"/>
      <c r="J974" s="215"/>
      <c r="K974" s="207"/>
      <c r="L974" s="215"/>
      <c r="M974" s="323"/>
      <c r="N974" s="215"/>
      <c r="O974" s="323"/>
      <c r="P974" s="215"/>
      <c r="Q974" s="207"/>
      <c r="R974" s="323"/>
      <c r="S974" s="323"/>
      <c r="T974" s="664"/>
      <c r="U974" s="215"/>
      <c r="V974" s="215"/>
    </row>
    <row r="975" ht="15.0" customHeight="1">
      <c r="A975" s="207"/>
      <c r="B975" s="215"/>
      <c r="C975" s="215"/>
      <c r="D975" s="215"/>
      <c r="E975" s="215"/>
      <c r="F975" s="215"/>
      <c r="G975" s="215"/>
      <c r="H975" s="215"/>
      <c r="I975" s="207"/>
      <c r="J975" s="215"/>
      <c r="K975" s="207"/>
      <c r="L975" s="215"/>
      <c r="M975" s="323"/>
      <c r="N975" s="215"/>
      <c r="O975" s="323"/>
      <c r="P975" s="215"/>
      <c r="Q975" s="207"/>
      <c r="R975" s="323"/>
      <c r="S975" s="323"/>
      <c r="T975" s="664"/>
      <c r="U975" s="215"/>
      <c r="V975" s="215"/>
    </row>
    <row r="976" ht="15.0" customHeight="1">
      <c r="A976" s="207"/>
      <c r="B976" s="215"/>
      <c r="C976" s="215"/>
      <c r="D976" s="215"/>
      <c r="E976" s="215"/>
      <c r="F976" s="215"/>
      <c r="G976" s="215"/>
      <c r="H976" s="215"/>
      <c r="I976" s="207"/>
      <c r="J976" s="215"/>
      <c r="K976" s="207"/>
      <c r="L976" s="215"/>
      <c r="M976" s="323"/>
      <c r="N976" s="215"/>
      <c r="O976" s="323"/>
      <c r="P976" s="215"/>
      <c r="Q976" s="207"/>
      <c r="R976" s="323"/>
      <c r="S976" s="323"/>
      <c r="T976" s="664"/>
      <c r="U976" s="215"/>
      <c r="V976" s="215"/>
    </row>
    <row r="977" ht="15.0" customHeight="1">
      <c r="A977" s="207"/>
      <c r="B977" s="215"/>
      <c r="C977" s="215"/>
      <c r="D977" s="215"/>
      <c r="E977" s="215"/>
      <c r="F977" s="215"/>
      <c r="G977" s="215"/>
      <c r="H977" s="215"/>
      <c r="I977" s="207"/>
      <c r="J977" s="215"/>
      <c r="K977" s="207"/>
      <c r="L977" s="215"/>
      <c r="M977" s="323"/>
      <c r="N977" s="215"/>
      <c r="O977" s="323"/>
      <c r="P977" s="215"/>
      <c r="Q977" s="207"/>
      <c r="R977" s="323"/>
      <c r="S977" s="323"/>
      <c r="T977" s="664"/>
      <c r="U977" s="215"/>
      <c r="V977" s="215"/>
    </row>
    <row r="978" ht="15.0" customHeight="1">
      <c r="A978" s="207"/>
      <c r="B978" s="215"/>
      <c r="C978" s="215"/>
      <c r="D978" s="215"/>
      <c r="E978" s="215"/>
      <c r="F978" s="215"/>
      <c r="G978" s="215"/>
      <c r="H978" s="215"/>
      <c r="I978" s="207"/>
      <c r="J978" s="215"/>
      <c r="K978" s="207"/>
      <c r="L978" s="215"/>
      <c r="M978" s="323"/>
      <c r="N978" s="215"/>
      <c r="O978" s="323"/>
      <c r="P978" s="215"/>
      <c r="Q978" s="207"/>
      <c r="R978" s="323"/>
      <c r="S978" s="323"/>
      <c r="T978" s="664"/>
      <c r="U978" s="215"/>
      <c r="V978" s="215"/>
    </row>
    <row r="979" ht="15.0" customHeight="1">
      <c r="A979" s="207"/>
      <c r="B979" s="215"/>
      <c r="C979" s="215"/>
      <c r="D979" s="215"/>
      <c r="E979" s="215"/>
      <c r="F979" s="215"/>
      <c r="G979" s="215"/>
      <c r="H979" s="215"/>
      <c r="I979" s="207"/>
      <c r="J979" s="215"/>
      <c r="K979" s="207"/>
      <c r="L979" s="215"/>
      <c r="M979" s="323"/>
      <c r="N979" s="215"/>
      <c r="O979" s="323"/>
      <c r="P979" s="215"/>
      <c r="Q979" s="207"/>
      <c r="R979" s="323"/>
      <c r="S979" s="323"/>
      <c r="T979" s="664"/>
      <c r="U979" s="215"/>
      <c r="V979" s="215"/>
    </row>
    <row r="980" ht="15.0" customHeight="1">
      <c r="A980" s="207"/>
      <c r="B980" s="215"/>
      <c r="C980" s="215"/>
      <c r="D980" s="215"/>
      <c r="E980" s="215"/>
      <c r="F980" s="215"/>
      <c r="G980" s="215"/>
      <c r="H980" s="215"/>
      <c r="I980" s="207"/>
      <c r="J980" s="215"/>
      <c r="K980" s="207"/>
      <c r="L980" s="215"/>
      <c r="M980" s="323"/>
      <c r="N980" s="215"/>
      <c r="O980" s="323"/>
      <c r="P980" s="215"/>
      <c r="Q980" s="207"/>
      <c r="R980" s="323"/>
      <c r="S980" s="323"/>
      <c r="T980" s="664"/>
      <c r="U980" s="215"/>
      <c r="V980" s="215"/>
    </row>
    <row r="981" ht="15.0" customHeight="1">
      <c r="A981" s="207"/>
      <c r="B981" s="215"/>
      <c r="C981" s="215"/>
      <c r="D981" s="215"/>
      <c r="E981" s="215"/>
      <c r="F981" s="215"/>
      <c r="G981" s="215"/>
      <c r="H981" s="215"/>
      <c r="I981" s="207"/>
      <c r="J981" s="215"/>
      <c r="K981" s="207"/>
      <c r="L981" s="215"/>
      <c r="M981" s="323"/>
      <c r="N981" s="215"/>
      <c r="O981" s="323"/>
      <c r="P981" s="215"/>
      <c r="Q981" s="207"/>
      <c r="R981" s="323"/>
      <c r="S981" s="323"/>
      <c r="T981" s="664"/>
      <c r="U981" s="215"/>
      <c r="V981" s="215"/>
    </row>
    <row r="982" ht="15.0" customHeight="1">
      <c r="A982" s="207"/>
      <c r="B982" s="215"/>
      <c r="C982" s="215"/>
      <c r="D982" s="215"/>
      <c r="E982" s="215"/>
      <c r="F982" s="215"/>
      <c r="G982" s="215"/>
      <c r="H982" s="215"/>
      <c r="I982" s="207"/>
      <c r="J982" s="215"/>
      <c r="K982" s="207"/>
      <c r="L982" s="215"/>
      <c r="M982" s="323"/>
      <c r="N982" s="215"/>
      <c r="O982" s="323"/>
      <c r="P982" s="215"/>
      <c r="Q982" s="207"/>
      <c r="R982" s="323"/>
      <c r="S982" s="323"/>
      <c r="T982" s="664"/>
      <c r="U982" s="215"/>
      <c r="V982" s="215"/>
    </row>
    <row r="983" ht="15.0" customHeight="1">
      <c r="A983" s="207"/>
      <c r="B983" s="215"/>
      <c r="C983" s="215"/>
      <c r="D983" s="215"/>
      <c r="E983" s="215"/>
      <c r="F983" s="215"/>
      <c r="G983" s="215"/>
      <c r="H983" s="215"/>
      <c r="I983" s="207"/>
      <c r="J983" s="215"/>
      <c r="K983" s="207"/>
      <c r="L983" s="215"/>
      <c r="M983" s="323"/>
      <c r="N983" s="215"/>
      <c r="O983" s="323"/>
      <c r="P983" s="215"/>
      <c r="Q983" s="207"/>
      <c r="R983" s="323"/>
      <c r="S983" s="323"/>
      <c r="T983" s="664"/>
      <c r="U983" s="215"/>
      <c r="V983" s="215"/>
    </row>
    <row r="984" ht="15.0" customHeight="1">
      <c r="A984" s="207"/>
      <c r="B984" s="215"/>
      <c r="C984" s="215"/>
      <c r="D984" s="215"/>
      <c r="E984" s="215"/>
      <c r="F984" s="215"/>
      <c r="G984" s="215"/>
      <c r="H984" s="215"/>
      <c r="I984" s="207"/>
      <c r="J984" s="215"/>
      <c r="K984" s="207"/>
      <c r="L984" s="215"/>
      <c r="M984" s="323"/>
      <c r="N984" s="215"/>
      <c r="O984" s="323"/>
      <c r="P984" s="215"/>
      <c r="Q984" s="207"/>
      <c r="R984" s="323"/>
      <c r="S984" s="323"/>
      <c r="T984" s="664"/>
      <c r="U984" s="215"/>
      <c r="V984" s="215"/>
    </row>
    <row r="985" ht="15.0" customHeight="1">
      <c r="A985" s="207"/>
      <c r="B985" s="215"/>
      <c r="C985" s="215"/>
      <c r="D985" s="215"/>
      <c r="E985" s="215"/>
      <c r="F985" s="215"/>
      <c r="G985" s="215"/>
      <c r="H985" s="215"/>
      <c r="I985" s="207"/>
      <c r="J985" s="215"/>
      <c r="K985" s="207"/>
      <c r="L985" s="215"/>
      <c r="M985" s="323"/>
      <c r="N985" s="215"/>
      <c r="O985" s="323"/>
      <c r="P985" s="215"/>
      <c r="Q985" s="207"/>
      <c r="R985" s="323"/>
      <c r="S985" s="323"/>
      <c r="T985" s="664"/>
      <c r="U985" s="215"/>
      <c r="V985" s="215"/>
    </row>
    <row r="986" ht="15.0" customHeight="1">
      <c r="A986" s="207"/>
      <c r="B986" s="215"/>
      <c r="C986" s="215"/>
      <c r="D986" s="215"/>
      <c r="E986" s="215"/>
      <c r="F986" s="215"/>
      <c r="G986" s="215"/>
      <c r="H986" s="215"/>
      <c r="I986" s="207"/>
      <c r="J986" s="215"/>
      <c r="K986" s="207"/>
      <c r="L986" s="215"/>
      <c r="M986" s="323"/>
      <c r="N986" s="215"/>
      <c r="O986" s="323"/>
      <c r="P986" s="215"/>
      <c r="Q986" s="207"/>
      <c r="R986" s="323"/>
      <c r="S986" s="323"/>
      <c r="T986" s="664"/>
      <c r="U986" s="215"/>
      <c r="V986" s="215"/>
    </row>
    <row r="987" ht="15.0" customHeight="1">
      <c r="A987" s="207"/>
      <c r="B987" s="215"/>
      <c r="C987" s="215"/>
      <c r="D987" s="215"/>
      <c r="E987" s="215"/>
      <c r="F987" s="215"/>
      <c r="G987" s="215"/>
      <c r="H987" s="215"/>
      <c r="I987" s="207"/>
      <c r="J987" s="215"/>
      <c r="K987" s="207"/>
      <c r="L987" s="215"/>
      <c r="M987" s="323"/>
      <c r="N987" s="215"/>
      <c r="O987" s="323"/>
      <c r="P987" s="215"/>
      <c r="Q987" s="207"/>
      <c r="R987" s="323"/>
      <c r="S987" s="323"/>
      <c r="T987" s="664"/>
      <c r="U987" s="215"/>
      <c r="V987" s="215"/>
    </row>
    <row r="988" ht="15.0" customHeight="1">
      <c r="A988" s="207"/>
      <c r="B988" s="215"/>
      <c r="C988" s="215"/>
      <c r="D988" s="215"/>
      <c r="E988" s="215"/>
      <c r="F988" s="215"/>
      <c r="G988" s="215"/>
      <c r="H988" s="215"/>
      <c r="I988" s="207"/>
      <c r="J988" s="215"/>
      <c r="K988" s="207"/>
      <c r="L988" s="215"/>
      <c r="M988" s="323"/>
      <c r="N988" s="215"/>
      <c r="O988" s="323"/>
      <c r="P988" s="215"/>
      <c r="Q988" s="207"/>
      <c r="R988" s="323"/>
      <c r="S988" s="323"/>
      <c r="T988" s="664"/>
      <c r="U988" s="215"/>
      <c r="V988" s="215"/>
    </row>
    <row r="989" ht="15.0" customHeight="1">
      <c r="A989" s="207"/>
      <c r="B989" s="215"/>
      <c r="C989" s="215"/>
      <c r="D989" s="215"/>
      <c r="E989" s="215"/>
      <c r="F989" s="215"/>
      <c r="G989" s="215"/>
      <c r="H989" s="215"/>
      <c r="I989" s="207"/>
      <c r="J989" s="215"/>
      <c r="K989" s="207"/>
      <c r="L989" s="215"/>
      <c r="M989" s="323"/>
      <c r="N989" s="215"/>
      <c r="O989" s="323"/>
      <c r="P989" s="215"/>
      <c r="Q989" s="207"/>
      <c r="R989" s="323"/>
      <c r="S989" s="323"/>
      <c r="T989" s="664"/>
      <c r="U989" s="215"/>
      <c r="V989" s="215"/>
    </row>
    <row r="990" ht="15.0" customHeight="1">
      <c r="A990" s="207"/>
      <c r="B990" s="215"/>
      <c r="C990" s="215"/>
      <c r="D990" s="215"/>
      <c r="E990" s="215"/>
      <c r="F990" s="215"/>
      <c r="G990" s="215"/>
      <c r="H990" s="215"/>
      <c r="I990" s="207"/>
      <c r="J990" s="215"/>
      <c r="K990" s="207"/>
      <c r="L990" s="215"/>
      <c r="M990" s="323"/>
      <c r="N990" s="215"/>
      <c r="O990" s="323"/>
      <c r="P990" s="215"/>
      <c r="Q990" s="207"/>
      <c r="R990" s="323"/>
      <c r="S990" s="323"/>
      <c r="T990" s="664"/>
      <c r="U990" s="215"/>
      <c r="V990" s="215"/>
    </row>
    <row r="991" ht="15.0" customHeight="1">
      <c r="A991" s="207"/>
      <c r="B991" s="215"/>
      <c r="C991" s="215"/>
      <c r="D991" s="215"/>
      <c r="E991" s="215"/>
      <c r="F991" s="215"/>
      <c r="G991" s="215"/>
      <c r="H991" s="215"/>
      <c r="I991" s="207"/>
      <c r="J991" s="215"/>
      <c r="K991" s="207"/>
      <c r="L991" s="215"/>
      <c r="M991" s="323"/>
      <c r="N991" s="215"/>
      <c r="O991" s="323"/>
      <c r="P991" s="215"/>
      <c r="Q991" s="207"/>
      <c r="R991" s="323"/>
      <c r="S991" s="323"/>
      <c r="T991" s="664"/>
      <c r="U991" s="215"/>
      <c r="V991" s="215"/>
    </row>
    <row r="992" ht="15.0" customHeight="1">
      <c r="A992" s="207"/>
      <c r="B992" s="215"/>
      <c r="C992" s="215"/>
      <c r="D992" s="215"/>
      <c r="E992" s="215"/>
      <c r="F992" s="215"/>
      <c r="G992" s="215"/>
      <c r="H992" s="215"/>
      <c r="I992" s="207"/>
      <c r="J992" s="215"/>
      <c r="K992" s="207"/>
      <c r="L992" s="215"/>
      <c r="M992" s="323"/>
      <c r="N992" s="215"/>
      <c r="O992" s="323"/>
      <c r="P992" s="215"/>
      <c r="Q992" s="207"/>
      <c r="R992" s="323"/>
      <c r="S992" s="323"/>
      <c r="T992" s="664"/>
      <c r="U992" s="215"/>
      <c r="V992" s="215"/>
    </row>
    <row r="993" ht="15.0" customHeight="1">
      <c r="A993" s="207"/>
      <c r="B993" s="215"/>
      <c r="C993" s="215"/>
      <c r="D993" s="215"/>
      <c r="E993" s="215"/>
      <c r="F993" s="215"/>
      <c r="G993" s="215"/>
      <c r="H993" s="215"/>
      <c r="I993" s="207"/>
      <c r="J993" s="215"/>
      <c r="K993" s="207"/>
      <c r="L993" s="215"/>
      <c r="M993" s="323"/>
      <c r="N993" s="215"/>
      <c r="O993" s="323"/>
      <c r="P993" s="215"/>
      <c r="Q993" s="207"/>
      <c r="R993" s="323"/>
      <c r="S993" s="323"/>
      <c r="T993" s="664"/>
      <c r="U993" s="215"/>
      <c r="V993" s="215"/>
    </row>
    <row r="994" ht="15.0" customHeight="1">
      <c r="A994" s="207"/>
      <c r="B994" s="215"/>
      <c r="C994" s="215"/>
      <c r="D994" s="215"/>
      <c r="E994" s="215"/>
      <c r="F994" s="215"/>
      <c r="G994" s="215"/>
      <c r="H994" s="215"/>
      <c r="I994" s="207"/>
      <c r="J994" s="215"/>
      <c r="K994" s="207"/>
      <c r="L994" s="215"/>
      <c r="M994" s="323"/>
      <c r="N994" s="215"/>
      <c r="O994" s="323"/>
      <c r="P994" s="215"/>
      <c r="Q994" s="207"/>
      <c r="R994" s="323"/>
      <c r="S994" s="323"/>
      <c r="T994" s="664"/>
      <c r="U994" s="215"/>
      <c r="V994" s="215"/>
    </row>
    <row r="995" ht="15.0" customHeight="1">
      <c r="A995" s="207"/>
      <c r="B995" s="215"/>
      <c r="C995" s="215"/>
      <c r="D995" s="215"/>
      <c r="E995" s="215"/>
      <c r="F995" s="215"/>
      <c r="G995" s="215"/>
      <c r="H995" s="215"/>
      <c r="I995" s="207"/>
      <c r="J995" s="215"/>
      <c r="K995" s="207"/>
      <c r="L995" s="215"/>
      <c r="M995" s="323"/>
      <c r="N995" s="215"/>
      <c r="O995" s="323"/>
      <c r="P995" s="215"/>
      <c r="Q995" s="207"/>
      <c r="R995" s="323"/>
      <c r="S995" s="323"/>
      <c r="T995" s="664"/>
      <c r="U995" s="215"/>
      <c r="V995" s="215"/>
    </row>
    <row r="996" ht="15.0" customHeight="1">
      <c r="A996" s="207"/>
      <c r="B996" s="215"/>
      <c r="C996" s="215"/>
      <c r="D996" s="215"/>
      <c r="E996" s="215"/>
      <c r="F996" s="215"/>
      <c r="G996" s="215"/>
      <c r="H996" s="215"/>
      <c r="I996" s="207"/>
      <c r="J996" s="215"/>
      <c r="K996" s="207"/>
      <c r="L996" s="215"/>
      <c r="M996" s="323"/>
      <c r="N996" s="215"/>
      <c r="O996" s="323"/>
      <c r="P996" s="215"/>
      <c r="Q996" s="207"/>
      <c r="R996" s="323"/>
      <c r="S996" s="323"/>
      <c r="T996" s="664"/>
      <c r="U996" s="215"/>
      <c r="V996" s="215"/>
    </row>
    <row r="997" ht="15.0" customHeight="1">
      <c r="A997" s="207"/>
      <c r="B997" s="215"/>
      <c r="C997" s="215"/>
      <c r="D997" s="215"/>
      <c r="E997" s="215"/>
      <c r="F997" s="215"/>
      <c r="G997" s="215"/>
      <c r="H997" s="215"/>
      <c r="I997" s="207"/>
      <c r="J997" s="215"/>
      <c r="K997" s="207"/>
      <c r="L997" s="215"/>
      <c r="M997" s="323"/>
      <c r="N997" s="215"/>
      <c r="O997" s="323"/>
      <c r="P997" s="215"/>
      <c r="Q997" s="207"/>
      <c r="R997" s="323"/>
      <c r="S997" s="323"/>
      <c r="T997" s="664"/>
      <c r="U997" s="215"/>
      <c r="V997" s="215"/>
    </row>
    <row r="998" ht="15.0" customHeight="1">
      <c r="A998" s="207"/>
      <c r="B998" s="215"/>
      <c r="C998" s="215"/>
      <c r="D998" s="215"/>
      <c r="E998" s="215"/>
      <c r="F998" s="215"/>
      <c r="G998" s="215"/>
      <c r="H998" s="215"/>
      <c r="I998" s="207"/>
      <c r="J998" s="215"/>
      <c r="K998" s="207"/>
      <c r="L998" s="215"/>
      <c r="M998" s="323"/>
      <c r="N998" s="215"/>
      <c r="O998" s="323"/>
      <c r="P998" s="215"/>
      <c r="Q998" s="207"/>
      <c r="R998" s="323"/>
      <c r="S998" s="323"/>
      <c r="T998" s="664"/>
      <c r="U998" s="215"/>
      <c r="V998" s="215"/>
    </row>
    <row r="999" ht="15.0" customHeight="1">
      <c r="A999" s="207"/>
      <c r="B999" s="215"/>
      <c r="C999" s="215"/>
      <c r="D999" s="215"/>
      <c r="E999" s="215"/>
      <c r="F999" s="215"/>
      <c r="G999" s="215"/>
      <c r="H999" s="215"/>
      <c r="I999" s="207"/>
      <c r="J999" s="215"/>
      <c r="K999" s="207"/>
      <c r="L999" s="215"/>
      <c r="M999" s="323"/>
      <c r="N999" s="215"/>
      <c r="O999" s="323"/>
      <c r="P999" s="215"/>
      <c r="Q999" s="207"/>
      <c r="R999" s="323"/>
      <c r="S999" s="323"/>
      <c r="T999" s="664"/>
      <c r="U999" s="215"/>
      <c r="V999" s="215"/>
    </row>
    <row r="1000" ht="15.0" customHeight="1">
      <c r="A1000" s="207"/>
      <c r="B1000" s="215"/>
      <c r="C1000" s="215"/>
      <c r="D1000" s="215"/>
      <c r="E1000" s="215"/>
      <c r="F1000" s="215"/>
      <c r="G1000" s="215"/>
      <c r="H1000" s="215"/>
      <c r="I1000" s="207"/>
      <c r="J1000" s="215"/>
      <c r="K1000" s="207"/>
      <c r="L1000" s="215"/>
      <c r="M1000" s="323"/>
      <c r="N1000" s="215"/>
      <c r="O1000" s="323"/>
      <c r="P1000" s="215"/>
      <c r="Q1000" s="207"/>
      <c r="R1000" s="323"/>
      <c r="S1000" s="323"/>
      <c r="T1000" s="664"/>
      <c r="U1000" s="215"/>
      <c r="V1000" s="215"/>
    </row>
    <row r="1001" ht="15.0" customHeight="1">
      <c r="A1001" s="207"/>
      <c r="B1001" s="215"/>
      <c r="C1001" s="215"/>
      <c r="D1001" s="215"/>
      <c r="E1001" s="215"/>
      <c r="F1001" s="215"/>
      <c r="G1001" s="215"/>
      <c r="H1001" s="215"/>
      <c r="I1001" s="207"/>
      <c r="J1001" s="215"/>
      <c r="K1001" s="207"/>
      <c r="L1001" s="215"/>
      <c r="M1001" s="323"/>
      <c r="N1001" s="215"/>
      <c r="O1001" s="323"/>
      <c r="P1001" s="215"/>
      <c r="Q1001" s="207"/>
      <c r="R1001" s="323"/>
      <c r="S1001" s="323"/>
      <c r="T1001" s="664"/>
      <c r="U1001" s="215"/>
      <c r="V1001" s="215"/>
    </row>
    <row r="1002" ht="15.0" customHeight="1">
      <c r="A1002" s="207"/>
      <c r="B1002" s="215"/>
      <c r="C1002" s="215"/>
      <c r="D1002" s="215"/>
      <c r="E1002" s="215"/>
      <c r="F1002" s="215"/>
      <c r="G1002" s="215"/>
      <c r="H1002" s="215"/>
      <c r="I1002" s="207"/>
      <c r="J1002" s="215"/>
      <c r="K1002" s="207"/>
      <c r="L1002" s="215"/>
      <c r="M1002" s="323"/>
      <c r="N1002" s="215"/>
      <c r="O1002" s="323"/>
      <c r="P1002" s="215"/>
      <c r="Q1002" s="207"/>
      <c r="R1002" s="323"/>
      <c r="S1002" s="323"/>
      <c r="T1002" s="664"/>
      <c r="U1002" s="215"/>
      <c r="V1002" s="215"/>
    </row>
    <row r="1003" ht="15.0" customHeight="1">
      <c r="A1003" s="207"/>
      <c r="B1003" s="215"/>
      <c r="C1003" s="215"/>
      <c r="D1003" s="215"/>
      <c r="E1003" s="215"/>
      <c r="F1003" s="215"/>
      <c r="G1003" s="215"/>
      <c r="H1003" s="215"/>
      <c r="I1003" s="207"/>
      <c r="J1003" s="215"/>
      <c r="K1003" s="207"/>
      <c r="L1003" s="215"/>
      <c r="M1003" s="323"/>
      <c r="N1003" s="215"/>
      <c r="O1003" s="323"/>
      <c r="P1003" s="215"/>
      <c r="Q1003" s="207"/>
      <c r="R1003" s="323"/>
      <c r="S1003" s="323"/>
      <c r="T1003" s="664"/>
      <c r="U1003" s="215"/>
      <c r="V1003" s="215"/>
    </row>
    <row r="1004" ht="15.0" customHeight="1">
      <c r="A1004" s="207"/>
      <c r="B1004" s="215"/>
      <c r="C1004" s="215"/>
      <c r="D1004" s="215"/>
      <c r="E1004" s="215"/>
      <c r="F1004" s="215"/>
      <c r="G1004" s="215"/>
      <c r="H1004" s="215"/>
      <c r="I1004" s="207"/>
      <c r="J1004" s="215"/>
      <c r="K1004" s="207"/>
      <c r="L1004" s="215"/>
      <c r="M1004" s="323"/>
      <c r="N1004" s="215"/>
      <c r="O1004" s="323"/>
      <c r="P1004" s="215"/>
      <c r="Q1004" s="207"/>
      <c r="R1004" s="323"/>
      <c r="S1004" s="323"/>
      <c r="T1004" s="664"/>
      <c r="U1004" s="215"/>
      <c r="V1004" s="215"/>
    </row>
    <row r="1005" ht="15.0" customHeight="1">
      <c r="A1005" s="207"/>
      <c r="B1005" s="215"/>
      <c r="C1005" s="215"/>
      <c r="D1005" s="215"/>
      <c r="E1005" s="215"/>
      <c r="F1005" s="215"/>
      <c r="G1005" s="215"/>
      <c r="H1005" s="215"/>
      <c r="I1005" s="207"/>
      <c r="J1005" s="215"/>
      <c r="K1005" s="207"/>
      <c r="L1005" s="215"/>
      <c r="M1005" s="323"/>
      <c r="N1005" s="215"/>
      <c r="O1005" s="323"/>
      <c r="P1005" s="215"/>
      <c r="Q1005" s="207"/>
      <c r="R1005" s="323"/>
      <c r="S1005" s="323"/>
      <c r="T1005" s="664"/>
      <c r="U1005" s="215"/>
      <c r="V1005" s="215"/>
    </row>
    <row r="1006" ht="15.0" customHeight="1">
      <c r="A1006" s="207"/>
      <c r="B1006" s="215"/>
      <c r="C1006" s="215"/>
      <c r="D1006" s="215"/>
      <c r="E1006" s="215"/>
      <c r="F1006" s="215"/>
      <c r="G1006" s="215"/>
      <c r="H1006" s="215"/>
      <c r="I1006" s="207"/>
      <c r="J1006" s="215"/>
      <c r="K1006" s="207"/>
      <c r="L1006" s="215"/>
      <c r="M1006" s="323"/>
      <c r="N1006" s="215"/>
      <c r="O1006" s="323"/>
      <c r="P1006" s="215"/>
      <c r="Q1006" s="207"/>
      <c r="R1006" s="323"/>
      <c r="S1006" s="323"/>
      <c r="T1006" s="664"/>
      <c r="U1006" s="215"/>
      <c r="V1006" s="215"/>
    </row>
    <row r="1007" ht="15.0" customHeight="1">
      <c r="A1007" s="207"/>
      <c r="B1007" s="215"/>
      <c r="C1007" s="215"/>
      <c r="D1007" s="215"/>
      <c r="E1007" s="215"/>
      <c r="F1007" s="215"/>
      <c r="G1007" s="215"/>
      <c r="H1007" s="215"/>
      <c r="I1007" s="207"/>
      <c r="J1007" s="215"/>
      <c r="K1007" s="207"/>
      <c r="L1007" s="215"/>
      <c r="M1007" s="323"/>
      <c r="N1007" s="215"/>
      <c r="O1007" s="323"/>
      <c r="P1007" s="215"/>
      <c r="Q1007" s="207"/>
      <c r="R1007" s="323"/>
      <c r="S1007" s="323"/>
      <c r="T1007" s="664"/>
      <c r="U1007" s="215"/>
      <c r="V1007" s="215"/>
    </row>
    <row r="1008" ht="15.0" customHeight="1">
      <c r="A1008" s="207"/>
      <c r="B1008" s="215"/>
      <c r="C1008" s="215"/>
      <c r="D1008" s="215"/>
      <c r="E1008" s="215"/>
      <c r="F1008" s="215"/>
      <c r="G1008" s="215"/>
      <c r="H1008" s="215"/>
      <c r="I1008" s="207"/>
      <c r="J1008" s="215"/>
      <c r="K1008" s="207"/>
      <c r="L1008" s="215"/>
      <c r="M1008" s="323"/>
      <c r="N1008" s="215"/>
      <c r="O1008" s="323"/>
      <c r="P1008" s="215"/>
      <c r="Q1008" s="207"/>
      <c r="R1008" s="323"/>
      <c r="S1008" s="323"/>
      <c r="T1008" s="664"/>
      <c r="U1008" s="215"/>
      <c r="V1008" s="215"/>
    </row>
    <row r="1009" ht="15.0" customHeight="1">
      <c r="A1009" s="207"/>
      <c r="B1009" s="215"/>
      <c r="C1009" s="215"/>
      <c r="D1009" s="215"/>
      <c r="E1009" s="215"/>
      <c r="F1009" s="215"/>
      <c r="G1009" s="215"/>
      <c r="H1009" s="215"/>
      <c r="I1009" s="207"/>
      <c r="J1009" s="215"/>
      <c r="K1009" s="207"/>
      <c r="L1009" s="215"/>
      <c r="M1009" s="323"/>
      <c r="N1009" s="215"/>
      <c r="O1009" s="323"/>
      <c r="P1009" s="215"/>
      <c r="Q1009" s="207"/>
      <c r="R1009" s="323"/>
      <c r="S1009" s="323"/>
      <c r="T1009" s="664"/>
      <c r="U1009" s="215"/>
      <c r="V1009" s="215"/>
    </row>
    <row r="1010" ht="15.0" customHeight="1">
      <c r="A1010" s="207"/>
      <c r="B1010" s="215"/>
      <c r="C1010" s="215"/>
      <c r="D1010" s="215"/>
      <c r="E1010" s="215"/>
      <c r="F1010" s="215"/>
      <c r="G1010" s="215"/>
      <c r="H1010" s="215"/>
      <c r="I1010" s="207"/>
      <c r="J1010" s="215"/>
      <c r="K1010" s="207"/>
      <c r="L1010" s="215"/>
      <c r="M1010" s="323"/>
      <c r="N1010" s="215"/>
      <c r="O1010" s="323"/>
      <c r="P1010" s="215"/>
      <c r="Q1010" s="207"/>
      <c r="R1010" s="323"/>
      <c r="S1010" s="323"/>
      <c r="T1010" s="664"/>
      <c r="U1010" s="215"/>
      <c r="V1010" s="215"/>
    </row>
    <row r="1011" ht="15.0" customHeight="1">
      <c r="A1011" s="207"/>
      <c r="B1011" s="215"/>
      <c r="C1011" s="215"/>
      <c r="D1011" s="215"/>
      <c r="E1011" s="215"/>
      <c r="F1011" s="215"/>
      <c r="G1011" s="215"/>
      <c r="H1011" s="215"/>
      <c r="I1011" s="207"/>
      <c r="J1011" s="215"/>
      <c r="K1011" s="207"/>
      <c r="L1011" s="215"/>
      <c r="M1011" s="323"/>
      <c r="N1011" s="215"/>
      <c r="O1011" s="323"/>
      <c r="P1011" s="215"/>
      <c r="Q1011" s="207"/>
      <c r="R1011" s="323"/>
      <c r="S1011" s="323"/>
      <c r="T1011" s="664"/>
      <c r="U1011" s="215"/>
      <c r="V1011" s="215"/>
    </row>
    <row r="1012" ht="15.0" customHeight="1">
      <c r="A1012" s="207"/>
      <c r="B1012" s="215"/>
      <c r="C1012" s="215"/>
      <c r="D1012" s="215"/>
      <c r="E1012" s="215"/>
      <c r="F1012" s="215"/>
      <c r="G1012" s="215"/>
      <c r="H1012" s="215"/>
      <c r="I1012" s="207"/>
      <c r="J1012" s="215"/>
      <c r="K1012" s="207"/>
      <c r="L1012" s="215"/>
      <c r="M1012" s="323"/>
      <c r="N1012" s="215"/>
      <c r="O1012" s="323"/>
      <c r="P1012" s="215"/>
      <c r="Q1012" s="207"/>
      <c r="R1012" s="323"/>
      <c r="S1012" s="323"/>
      <c r="T1012" s="664"/>
      <c r="U1012" s="215"/>
      <c r="V1012" s="215"/>
    </row>
    <row r="1013" ht="15.0" customHeight="1">
      <c r="A1013" s="207"/>
      <c r="B1013" s="215"/>
      <c r="C1013" s="215"/>
      <c r="D1013" s="215"/>
      <c r="E1013" s="215"/>
      <c r="F1013" s="215"/>
      <c r="G1013" s="215"/>
      <c r="H1013" s="215"/>
      <c r="I1013" s="207"/>
      <c r="J1013" s="215"/>
      <c r="K1013" s="207"/>
      <c r="L1013" s="215"/>
      <c r="M1013" s="323"/>
      <c r="N1013" s="215"/>
      <c r="O1013" s="323"/>
      <c r="P1013" s="215"/>
      <c r="Q1013" s="207"/>
      <c r="R1013" s="323"/>
      <c r="S1013" s="323"/>
      <c r="T1013" s="664"/>
      <c r="U1013" s="215"/>
      <c r="V1013" s="215"/>
    </row>
    <row r="1014" ht="15.0" customHeight="1">
      <c r="A1014" s="207"/>
      <c r="B1014" s="215"/>
      <c r="C1014" s="215"/>
      <c r="D1014" s="215"/>
      <c r="E1014" s="215"/>
      <c r="F1014" s="215"/>
      <c r="G1014" s="215"/>
      <c r="H1014" s="215"/>
      <c r="I1014" s="207"/>
      <c r="J1014" s="215"/>
      <c r="K1014" s="207"/>
      <c r="L1014" s="215"/>
      <c r="M1014" s="323"/>
      <c r="N1014" s="215"/>
      <c r="O1014" s="323"/>
      <c r="P1014" s="215"/>
      <c r="Q1014" s="207"/>
      <c r="R1014" s="323"/>
      <c r="S1014" s="323"/>
      <c r="T1014" s="664"/>
      <c r="U1014" s="215"/>
      <c r="V1014" s="215"/>
    </row>
    <row r="1015" ht="15.0" customHeight="1">
      <c r="A1015" s="207"/>
      <c r="B1015" s="215"/>
      <c r="C1015" s="215"/>
      <c r="D1015" s="215"/>
      <c r="E1015" s="215"/>
      <c r="F1015" s="215"/>
      <c r="G1015" s="215"/>
      <c r="H1015" s="215"/>
      <c r="I1015" s="207"/>
      <c r="J1015" s="215"/>
      <c r="K1015" s="207"/>
      <c r="L1015" s="215"/>
      <c r="M1015" s="323"/>
      <c r="N1015" s="215"/>
      <c r="O1015" s="323"/>
      <c r="P1015" s="215"/>
      <c r="Q1015" s="207"/>
      <c r="R1015" s="323"/>
      <c r="S1015" s="323"/>
      <c r="T1015" s="664"/>
      <c r="U1015" s="215"/>
      <c r="V1015" s="215"/>
    </row>
    <row r="1016" ht="15.0" customHeight="1">
      <c r="A1016" s="207"/>
      <c r="B1016" s="215"/>
      <c r="C1016" s="215"/>
      <c r="D1016" s="215"/>
      <c r="E1016" s="215"/>
      <c r="F1016" s="215"/>
      <c r="G1016" s="215"/>
      <c r="H1016" s="215"/>
      <c r="I1016" s="207"/>
      <c r="J1016" s="215"/>
      <c r="K1016" s="207"/>
      <c r="L1016" s="215"/>
      <c r="M1016" s="323"/>
      <c r="N1016" s="215"/>
      <c r="O1016" s="323"/>
      <c r="P1016" s="215"/>
      <c r="Q1016" s="207"/>
      <c r="R1016" s="323"/>
      <c r="S1016" s="323"/>
      <c r="T1016" s="664"/>
      <c r="U1016" s="215"/>
      <c r="V1016" s="215"/>
    </row>
    <row r="1017" ht="15.0" customHeight="1">
      <c r="A1017" s="207"/>
      <c r="B1017" s="215"/>
      <c r="C1017" s="215"/>
      <c r="D1017" s="215"/>
      <c r="E1017" s="215"/>
      <c r="F1017" s="215"/>
      <c r="G1017" s="215"/>
      <c r="H1017" s="215"/>
      <c r="I1017" s="207"/>
      <c r="J1017" s="215"/>
      <c r="K1017" s="207"/>
      <c r="L1017" s="215"/>
      <c r="M1017" s="323"/>
      <c r="N1017" s="215"/>
      <c r="O1017" s="323"/>
      <c r="P1017" s="215"/>
      <c r="Q1017" s="207"/>
      <c r="R1017" s="323"/>
      <c r="S1017" s="323"/>
      <c r="T1017" s="664"/>
      <c r="U1017" s="215"/>
      <c r="V1017" s="215"/>
    </row>
    <row r="1018" ht="15.0" customHeight="1">
      <c r="A1018" s="207"/>
      <c r="B1018" s="215"/>
      <c r="C1018" s="215"/>
      <c r="D1018" s="215"/>
      <c r="E1018" s="215"/>
      <c r="F1018" s="215"/>
      <c r="G1018" s="215"/>
      <c r="H1018" s="215"/>
      <c r="I1018" s="207"/>
      <c r="J1018" s="215"/>
      <c r="K1018" s="207"/>
      <c r="L1018" s="215"/>
      <c r="M1018" s="323"/>
      <c r="N1018" s="215"/>
      <c r="O1018" s="323"/>
      <c r="P1018" s="215"/>
      <c r="Q1018" s="207"/>
      <c r="R1018" s="323"/>
      <c r="S1018" s="323"/>
      <c r="T1018" s="664"/>
      <c r="U1018" s="215"/>
      <c r="V1018" s="215"/>
    </row>
    <row r="1019" ht="15.0" customHeight="1">
      <c r="A1019" s="207"/>
      <c r="B1019" s="215"/>
      <c r="C1019" s="215"/>
      <c r="D1019" s="215"/>
      <c r="E1019" s="215"/>
      <c r="F1019" s="215"/>
      <c r="G1019" s="215"/>
      <c r="H1019" s="215"/>
      <c r="I1019" s="207"/>
      <c r="J1019" s="215"/>
      <c r="K1019" s="207"/>
      <c r="L1019" s="215"/>
      <c r="M1019" s="323"/>
      <c r="N1019" s="215"/>
      <c r="O1019" s="323"/>
      <c r="P1019" s="215"/>
      <c r="Q1019" s="207"/>
      <c r="R1019" s="323"/>
      <c r="S1019" s="323"/>
      <c r="T1019" s="664"/>
      <c r="U1019" s="215"/>
      <c r="V1019" s="215"/>
    </row>
    <row r="1020" ht="15.0" customHeight="1">
      <c r="A1020" s="207"/>
      <c r="B1020" s="215"/>
      <c r="C1020" s="215"/>
      <c r="D1020" s="215"/>
      <c r="E1020" s="215"/>
      <c r="F1020" s="215"/>
      <c r="G1020" s="215"/>
      <c r="H1020" s="215"/>
      <c r="I1020" s="207"/>
      <c r="J1020" s="215"/>
      <c r="K1020" s="207"/>
      <c r="L1020" s="215"/>
      <c r="M1020" s="323"/>
      <c r="N1020" s="215"/>
      <c r="O1020" s="323"/>
      <c r="P1020" s="215"/>
      <c r="Q1020" s="207"/>
      <c r="R1020" s="323"/>
      <c r="S1020" s="323"/>
      <c r="T1020" s="664"/>
      <c r="U1020" s="215"/>
      <c r="V1020" s="215"/>
    </row>
    <row r="1021" ht="15.0" customHeight="1">
      <c r="A1021" s="207"/>
      <c r="B1021" s="215"/>
      <c r="C1021" s="215"/>
      <c r="D1021" s="215"/>
      <c r="E1021" s="215"/>
      <c r="F1021" s="215"/>
      <c r="G1021" s="215"/>
      <c r="H1021" s="215"/>
      <c r="I1021" s="207"/>
      <c r="J1021" s="215"/>
      <c r="K1021" s="207"/>
      <c r="L1021" s="215"/>
      <c r="M1021" s="323"/>
      <c r="N1021" s="215"/>
      <c r="O1021" s="323"/>
      <c r="P1021" s="215"/>
      <c r="Q1021" s="207"/>
      <c r="R1021" s="323"/>
      <c r="S1021" s="323"/>
      <c r="T1021" s="664"/>
      <c r="U1021" s="215"/>
      <c r="V1021" s="215"/>
    </row>
    <row r="1022" ht="15.0" customHeight="1">
      <c r="A1022" s="207"/>
      <c r="B1022" s="215"/>
      <c r="C1022" s="215"/>
      <c r="D1022" s="215"/>
      <c r="E1022" s="215"/>
      <c r="F1022" s="215"/>
      <c r="G1022" s="215"/>
      <c r="H1022" s="215"/>
      <c r="I1022" s="207"/>
      <c r="J1022" s="215"/>
      <c r="K1022" s="207"/>
      <c r="L1022" s="215"/>
      <c r="M1022" s="323"/>
      <c r="N1022" s="215"/>
      <c r="O1022" s="323"/>
      <c r="P1022" s="215"/>
      <c r="Q1022" s="207"/>
      <c r="R1022" s="323"/>
      <c r="S1022" s="323"/>
      <c r="T1022" s="664"/>
      <c r="U1022" s="215"/>
      <c r="V1022" s="215"/>
    </row>
    <row r="1023" ht="15.0" customHeight="1">
      <c r="A1023" s="207"/>
      <c r="B1023" s="215"/>
      <c r="C1023" s="215"/>
      <c r="D1023" s="215"/>
      <c r="E1023" s="215"/>
      <c r="F1023" s="215"/>
      <c r="G1023" s="215"/>
      <c r="H1023" s="215"/>
      <c r="I1023" s="207"/>
      <c r="J1023" s="215"/>
      <c r="K1023" s="207"/>
      <c r="L1023" s="215"/>
      <c r="M1023" s="323"/>
      <c r="N1023" s="215"/>
      <c r="O1023" s="323"/>
      <c r="P1023" s="215"/>
      <c r="Q1023" s="207"/>
      <c r="R1023" s="323"/>
      <c r="S1023" s="323"/>
      <c r="T1023" s="664"/>
      <c r="U1023" s="215"/>
      <c r="V1023" s="215"/>
    </row>
    <row r="1024" ht="15.0" customHeight="1">
      <c r="A1024" s="207"/>
      <c r="B1024" s="215"/>
      <c r="C1024" s="215"/>
      <c r="D1024" s="215"/>
      <c r="E1024" s="215"/>
      <c r="F1024" s="215"/>
      <c r="G1024" s="215"/>
      <c r="H1024" s="215"/>
      <c r="I1024" s="207"/>
      <c r="J1024" s="215"/>
      <c r="K1024" s="207"/>
      <c r="L1024" s="215"/>
      <c r="M1024" s="323"/>
      <c r="N1024" s="215"/>
      <c r="O1024" s="323"/>
      <c r="P1024" s="215"/>
      <c r="Q1024" s="207"/>
      <c r="R1024" s="323"/>
      <c r="S1024" s="323"/>
      <c r="T1024" s="664"/>
      <c r="U1024" s="215"/>
      <c r="V1024" s="215"/>
    </row>
    <row r="1025" ht="15.0" customHeight="1">
      <c r="A1025" s="207"/>
      <c r="B1025" s="215"/>
      <c r="C1025" s="215"/>
      <c r="D1025" s="215"/>
      <c r="E1025" s="215"/>
      <c r="F1025" s="215"/>
      <c r="G1025" s="215"/>
      <c r="H1025" s="215"/>
      <c r="I1025" s="207"/>
      <c r="J1025" s="215"/>
      <c r="K1025" s="207"/>
      <c r="L1025" s="215"/>
      <c r="M1025" s="323"/>
      <c r="N1025" s="215"/>
      <c r="O1025" s="323"/>
      <c r="P1025" s="215"/>
      <c r="Q1025" s="207"/>
      <c r="R1025" s="323"/>
      <c r="S1025" s="323"/>
      <c r="T1025" s="664"/>
      <c r="U1025" s="215"/>
      <c r="V1025" s="215"/>
    </row>
    <row r="1026" ht="15.0" customHeight="1">
      <c r="A1026" s="207"/>
      <c r="B1026" s="215"/>
      <c r="C1026" s="215"/>
      <c r="D1026" s="215"/>
      <c r="E1026" s="215"/>
      <c r="F1026" s="215"/>
      <c r="G1026" s="215"/>
      <c r="H1026" s="215"/>
      <c r="I1026" s="207"/>
      <c r="J1026" s="215"/>
      <c r="K1026" s="207"/>
      <c r="L1026" s="215"/>
      <c r="M1026" s="323"/>
      <c r="N1026" s="215"/>
      <c r="O1026" s="323"/>
      <c r="P1026" s="215"/>
      <c r="Q1026" s="207"/>
      <c r="R1026" s="323"/>
      <c r="S1026" s="323"/>
      <c r="T1026" s="664"/>
      <c r="U1026" s="215"/>
      <c r="V1026" s="215"/>
    </row>
    <row r="1027" ht="15.0" customHeight="1">
      <c r="A1027" s="207"/>
      <c r="B1027" s="215"/>
      <c r="C1027" s="215"/>
      <c r="D1027" s="215"/>
      <c r="E1027" s="215"/>
      <c r="F1027" s="215"/>
      <c r="G1027" s="215"/>
      <c r="H1027" s="215"/>
      <c r="I1027" s="207"/>
      <c r="J1027" s="215"/>
      <c r="K1027" s="207"/>
      <c r="L1027" s="215"/>
      <c r="M1027" s="323"/>
      <c r="N1027" s="215"/>
      <c r="O1027" s="323"/>
      <c r="P1027" s="215"/>
      <c r="Q1027" s="207"/>
      <c r="R1027" s="323"/>
      <c r="S1027" s="323"/>
      <c r="T1027" s="664"/>
      <c r="U1027" s="215"/>
      <c r="V1027" s="215"/>
    </row>
    <row r="1028" ht="15.0" customHeight="1">
      <c r="A1028" s="207"/>
      <c r="B1028" s="215"/>
      <c r="C1028" s="215"/>
      <c r="D1028" s="215"/>
      <c r="E1028" s="215"/>
      <c r="F1028" s="215"/>
      <c r="G1028" s="215"/>
      <c r="H1028" s="215"/>
      <c r="I1028" s="207"/>
      <c r="J1028" s="215"/>
      <c r="K1028" s="207"/>
      <c r="L1028" s="215"/>
      <c r="M1028" s="323"/>
      <c r="N1028" s="215"/>
      <c r="O1028" s="323"/>
      <c r="P1028" s="215"/>
      <c r="Q1028" s="207"/>
      <c r="R1028" s="323"/>
      <c r="S1028" s="323"/>
      <c r="T1028" s="664"/>
      <c r="U1028" s="215"/>
      <c r="V1028" s="215"/>
    </row>
    <row r="1029" ht="15.0" customHeight="1">
      <c r="A1029" s="207"/>
      <c r="B1029" s="215"/>
      <c r="C1029" s="215"/>
      <c r="D1029" s="215"/>
      <c r="E1029" s="215"/>
      <c r="F1029" s="215"/>
      <c r="G1029" s="215"/>
      <c r="H1029" s="215"/>
      <c r="I1029" s="207"/>
      <c r="J1029" s="215"/>
      <c r="K1029" s="207"/>
      <c r="L1029" s="215"/>
      <c r="M1029" s="323"/>
      <c r="N1029" s="215"/>
      <c r="O1029" s="323"/>
      <c r="P1029" s="215"/>
      <c r="Q1029" s="207"/>
      <c r="R1029" s="323"/>
      <c r="S1029" s="323"/>
      <c r="T1029" s="664"/>
      <c r="U1029" s="215"/>
      <c r="V1029" s="215"/>
    </row>
    <row r="1030" ht="15.0" customHeight="1">
      <c r="A1030" s="207"/>
      <c r="B1030" s="215"/>
      <c r="C1030" s="215"/>
      <c r="D1030" s="215"/>
      <c r="E1030" s="215"/>
      <c r="F1030" s="215"/>
      <c r="G1030" s="215"/>
      <c r="H1030" s="215"/>
      <c r="I1030" s="207"/>
      <c r="J1030" s="215"/>
      <c r="K1030" s="207"/>
      <c r="L1030" s="215"/>
      <c r="M1030" s="323"/>
      <c r="N1030" s="215"/>
      <c r="O1030" s="323"/>
      <c r="P1030" s="215"/>
      <c r="Q1030" s="207"/>
      <c r="R1030" s="323"/>
      <c r="S1030" s="323"/>
      <c r="T1030" s="664"/>
      <c r="U1030" s="215"/>
      <c r="V1030" s="215"/>
    </row>
    <row r="1031" ht="15.0" customHeight="1">
      <c r="A1031" s="207"/>
      <c r="B1031" s="215"/>
      <c r="C1031" s="215"/>
      <c r="D1031" s="215"/>
      <c r="E1031" s="215"/>
      <c r="F1031" s="215"/>
      <c r="G1031" s="215"/>
      <c r="H1031" s="215"/>
      <c r="I1031" s="207"/>
      <c r="J1031" s="215"/>
      <c r="K1031" s="207"/>
      <c r="L1031" s="215"/>
      <c r="M1031" s="323"/>
      <c r="N1031" s="215"/>
      <c r="O1031" s="323"/>
      <c r="P1031" s="215"/>
      <c r="Q1031" s="207"/>
      <c r="R1031" s="323"/>
      <c r="S1031" s="323"/>
      <c r="T1031" s="664"/>
      <c r="U1031" s="215"/>
      <c r="V1031" s="215"/>
    </row>
    <row r="1032" ht="15.0" customHeight="1">
      <c r="A1032" s="207"/>
      <c r="B1032" s="215"/>
      <c r="C1032" s="215"/>
      <c r="D1032" s="215"/>
      <c r="E1032" s="215"/>
      <c r="F1032" s="215"/>
      <c r="G1032" s="215"/>
      <c r="H1032" s="215"/>
      <c r="I1032" s="207"/>
      <c r="J1032" s="215"/>
      <c r="K1032" s="207"/>
      <c r="L1032" s="215"/>
      <c r="M1032" s="323"/>
      <c r="N1032" s="215"/>
      <c r="O1032" s="323"/>
      <c r="P1032" s="215"/>
      <c r="Q1032" s="207"/>
      <c r="R1032" s="323"/>
      <c r="S1032" s="323"/>
      <c r="T1032" s="664"/>
      <c r="U1032" s="215"/>
      <c r="V1032" s="215"/>
    </row>
    <row r="1033" ht="15.0" customHeight="1">
      <c r="A1033" s="207"/>
      <c r="B1033" s="215"/>
      <c r="C1033" s="215"/>
      <c r="D1033" s="215"/>
      <c r="E1033" s="215"/>
      <c r="F1033" s="215"/>
      <c r="G1033" s="215"/>
      <c r="H1033" s="215"/>
      <c r="I1033" s="207"/>
      <c r="J1033" s="215"/>
      <c r="K1033" s="207"/>
      <c r="L1033" s="215"/>
      <c r="M1033" s="323"/>
      <c r="N1033" s="215"/>
      <c r="O1033" s="323"/>
      <c r="P1033" s="215"/>
      <c r="Q1033" s="207"/>
      <c r="R1033" s="323"/>
      <c r="S1033" s="323"/>
      <c r="T1033" s="664"/>
      <c r="U1033" s="215"/>
      <c r="V1033" s="215"/>
    </row>
    <row r="1034" ht="15.0" customHeight="1">
      <c r="A1034" s="207"/>
      <c r="B1034" s="215"/>
      <c r="C1034" s="215"/>
      <c r="D1034" s="215"/>
      <c r="E1034" s="215"/>
      <c r="F1034" s="215"/>
      <c r="G1034" s="215"/>
      <c r="H1034" s="215"/>
      <c r="I1034" s="207"/>
      <c r="J1034" s="215"/>
      <c r="K1034" s="207"/>
      <c r="L1034" s="215"/>
      <c r="M1034" s="323"/>
      <c r="N1034" s="215"/>
      <c r="O1034" s="323"/>
      <c r="P1034" s="215"/>
      <c r="Q1034" s="207"/>
      <c r="R1034" s="323"/>
      <c r="S1034" s="323"/>
      <c r="T1034" s="664"/>
      <c r="U1034" s="215"/>
      <c r="V1034" s="215"/>
    </row>
    <row r="1035" ht="15.0" customHeight="1">
      <c r="A1035" s="207"/>
      <c r="B1035" s="215"/>
      <c r="C1035" s="215"/>
      <c r="D1035" s="215"/>
      <c r="E1035" s="215"/>
      <c r="F1035" s="215"/>
      <c r="G1035" s="215"/>
      <c r="H1035" s="215"/>
      <c r="I1035" s="207"/>
      <c r="J1035" s="215"/>
      <c r="K1035" s="207"/>
      <c r="L1035" s="215"/>
      <c r="M1035" s="323"/>
      <c r="N1035" s="215"/>
      <c r="O1035" s="323"/>
      <c r="P1035" s="215"/>
      <c r="Q1035" s="207"/>
      <c r="R1035" s="323"/>
      <c r="S1035" s="323"/>
      <c r="T1035" s="664"/>
      <c r="U1035" s="215"/>
      <c r="V1035" s="215"/>
    </row>
    <row r="1036" ht="15.0" customHeight="1">
      <c r="A1036" s="207"/>
      <c r="B1036" s="215"/>
      <c r="C1036" s="215"/>
      <c r="D1036" s="215"/>
      <c r="E1036" s="215"/>
      <c r="F1036" s="215"/>
      <c r="G1036" s="215"/>
      <c r="H1036" s="215"/>
      <c r="I1036" s="207"/>
      <c r="J1036" s="215"/>
      <c r="K1036" s="207"/>
      <c r="L1036" s="215"/>
      <c r="M1036" s="323"/>
      <c r="N1036" s="215"/>
      <c r="O1036" s="323"/>
      <c r="P1036" s="215"/>
      <c r="Q1036" s="207"/>
      <c r="R1036" s="323"/>
      <c r="S1036" s="323"/>
      <c r="T1036" s="664"/>
      <c r="U1036" s="215"/>
      <c r="V1036" s="215"/>
    </row>
    <row r="1037" ht="15.0" customHeight="1">
      <c r="A1037" s="207"/>
      <c r="B1037" s="215"/>
      <c r="C1037" s="215"/>
      <c r="D1037" s="215"/>
      <c r="E1037" s="215"/>
      <c r="F1037" s="215"/>
      <c r="G1037" s="215"/>
      <c r="H1037" s="215"/>
      <c r="I1037" s="207"/>
      <c r="J1037" s="215"/>
      <c r="K1037" s="207"/>
      <c r="L1037" s="215"/>
      <c r="M1037" s="323"/>
      <c r="N1037" s="215"/>
      <c r="O1037" s="323"/>
      <c r="P1037" s="215"/>
      <c r="Q1037" s="207"/>
      <c r="R1037" s="323"/>
      <c r="S1037" s="323"/>
      <c r="T1037" s="664"/>
      <c r="U1037" s="215"/>
      <c r="V1037" s="215"/>
    </row>
    <row r="1038" ht="15.0" customHeight="1">
      <c r="A1038" s="207"/>
      <c r="B1038" s="215"/>
      <c r="C1038" s="215"/>
      <c r="D1038" s="215"/>
      <c r="E1038" s="215"/>
      <c r="F1038" s="215"/>
      <c r="G1038" s="215"/>
      <c r="H1038" s="215"/>
      <c r="I1038" s="207"/>
      <c r="J1038" s="215"/>
      <c r="K1038" s="207"/>
      <c r="L1038" s="215"/>
      <c r="M1038" s="323"/>
      <c r="N1038" s="215"/>
      <c r="O1038" s="323"/>
      <c r="P1038" s="215"/>
      <c r="Q1038" s="207"/>
      <c r="R1038" s="323"/>
      <c r="S1038" s="323"/>
      <c r="T1038" s="664"/>
      <c r="U1038" s="215"/>
      <c r="V1038" s="215"/>
    </row>
    <row r="1039" ht="15.0" customHeight="1">
      <c r="A1039" s="207"/>
      <c r="B1039" s="215"/>
      <c r="C1039" s="215"/>
      <c r="D1039" s="215"/>
      <c r="E1039" s="215"/>
      <c r="F1039" s="215"/>
      <c r="G1039" s="215"/>
      <c r="H1039" s="215"/>
      <c r="I1039" s="207"/>
      <c r="J1039" s="215"/>
      <c r="K1039" s="207"/>
      <c r="L1039" s="215"/>
      <c r="M1039" s="323"/>
      <c r="N1039" s="215"/>
      <c r="O1039" s="323"/>
      <c r="P1039" s="215"/>
      <c r="Q1039" s="207"/>
      <c r="R1039" s="323"/>
      <c r="S1039" s="323"/>
      <c r="T1039" s="664"/>
      <c r="U1039" s="215"/>
      <c r="V1039" s="215"/>
    </row>
    <row r="1040" ht="15.0" customHeight="1">
      <c r="A1040" s="207"/>
      <c r="B1040" s="215"/>
      <c r="C1040" s="215"/>
      <c r="D1040" s="215"/>
      <c r="E1040" s="215"/>
      <c r="F1040" s="215"/>
      <c r="G1040" s="215"/>
      <c r="H1040" s="215"/>
      <c r="I1040" s="207"/>
      <c r="J1040" s="215"/>
      <c r="K1040" s="207"/>
      <c r="L1040" s="215"/>
      <c r="M1040" s="323"/>
      <c r="N1040" s="215"/>
      <c r="O1040" s="323"/>
      <c r="P1040" s="215"/>
      <c r="Q1040" s="207"/>
      <c r="R1040" s="323"/>
      <c r="S1040" s="323"/>
      <c r="T1040" s="664"/>
      <c r="U1040" s="215"/>
      <c r="V1040" s="215"/>
    </row>
    <row r="1041" ht="15.0" customHeight="1">
      <c r="A1041" s="207"/>
      <c r="B1041" s="215"/>
      <c r="C1041" s="215"/>
      <c r="D1041" s="215"/>
      <c r="E1041" s="215"/>
      <c r="F1041" s="215"/>
      <c r="G1041" s="215"/>
      <c r="H1041" s="215"/>
      <c r="I1041" s="207"/>
      <c r="J1041" s="215"/>
      <c r="K1041" s="207"/>
      <c r="L1041" s="215"/>
      <c r="M1041" s="323"/>
      <c r="N1041" s="215"/>
      <c r="O1041" s="323"/>
      <c r="P1041" s="215"/>
      <c r="Q1041" s="207"/>
      <c r="R1041" s="323"/>
      <c r="S1041" s="323"/>
      <c r="T1041" s="664"/>
      <c r="U1041" s="215"/>
      <c r="V1041" s="215"/>
    </row>
    <row r="1042" ht="15.0" customHeight="1">
      <c r="A1042" s="207"/>
      <c r="B1042" s="215"/>
      <c r="C1042" s="215"/>
      <c r="D1042" s="215"/>
      <c r="E1042" s="215"/>
      <c r="F1042" s="215"/>
      <c r="G1042" s="215"/>
      <c r="H1042" s="215"/>
      <c r="I1042" s="207"/>
      <c r="J1042" s="215"/>
      <c r="K1042" s="207"/>
      <c r="L1042" s="215"/>
      <c r="M1042" s="323"/>
      <c r="N1042" s="215"/>
      <c r="O1042" s="323"/>
      <c r="P1042" s="215"/>
      <c r="Q1042" s="207"/>
      <c r="R1042" s="323"/>
      <c r="S1042" s="323"/>
      <c r="T1042" s="664"/>
      <c r="U1042" s="215"/>
      <c r="V1042" s="215"/>
    </row>
    <row r="1043" ht="15.0" customHeight="1">
      <c r="A1043" s="207"/>
      <c r="B1043" s="215"/>
      <c r="C1043" s="215"/>
      <c r="D1043" s="215"/>
      <c r="E1043" s="215"/>
      <c r="F1043" s="215"/>
      <c r="G1043" s="215"/>
      <c r="H1043" s="215"/>
      <c r="I1043" s="207"/>
      <c r="J1043" s="215"/>
      <c r="K1043" s="207"/>
      <c r="L1043" s="215"/>
      <c r="M1043" s="323"/>
      <c r="N1043" s="215"/>
      <c r="O1043" s="323"/>
      <c r="P1043" s="215"/>
      <c r="Q1043" s="207"/>
      <c r="R1043" s="323"/>
      <c r="S1043" s="323"/>
      <c r="T1043" s="664"/>
      <c r="U1043" s="215"/>
      <c r="V1043" s="215"/>
    </row>
    <row r="1044" ht="15.0" customHeight="1">
      <c r="A1044" s="207"/>
      <c r="B1044" s="215"/>
      <c r="C1044" s="215"/>
      <c r="D1044" s="215"/>
      <c r="E1044" s="215"/>
      <c r="F1044" s="215"/>
      <c r="G1044" s="215"/>
      <c r="H1044" s="215"/>
      <c r="I1044" s="207"/>
      <c r="J1044" s="215"/>
      <c r="K1044" s="207"/>
      <c r="L1044" s="215"/>
      <c r="M1044" s="323"/>
      <c r="N1044" s="215"/>
      <c r="O1044" s="323"/>
      <c r="P1044" s="215"/>
      <c r="Q1044" s="207"/>
      <c r="R1044" s="323"/>
      <c r="S1044" s="323"/>
      <c r="T1044" s="664"/>
      <c r="U1044" s="215"/>
      <c r="V1044" s="215"/>
    </row>
    <row r="1045" ht="15.0" customHeight="1">
      <c r="A1045" s="207"/>
      <c r="B1045" s="215"/>
      <c r="C1045" s="215"/>
      <c r="D1045" s="215"/>
      <c r="E1045" s="215"/>
      <c r="F1045" s="215"/>
      <c r="G1045" s="215"/>
      <c r="H1045" s="215"/>
      <c r="I1045" s="207"/>
      <c r="J1045" s="215"/>
      <c r="K1045" s="207"/>
      <c r="L1045" s="215"/>
      <c r="M1045" s="323"/>
      <c r="N1045" s="215"/>
      <c r="O1045" s="323"/>
      <c r="P1045" s="215"/>
      <c r="Q1045" s="207"/>
      <c r="R1045" s="323"/>
      <c r="S1045" s="323"/>
      <c r="T1045" s="664"/>
      <c r="U1045" s="215"/>
      <c r="V1045" s="215"/>
    </row>
    <row r="1046" ht="15.0" customHeight="1">
      <c r="A1046" s="207"/>
      <c r="B1046" s="215"/>
      <c r="C1046" s="215"/>
      <c r="D1046" s="215"/>
      <c r="E1046" s="215"/>
      <c r="F1046" s="215"/>
      <c r="G1046" s="215"/>
      <c r="H1046" s="215"/>
      <c r="I1046" s="207"/>
      <c r="J1046" s="215"/>
      <c r="K1046" s="207"/>
      <c r="L1046" s="215"/>
      <c r="M1046" s="323"/>
      <c r="N1046" s="215"/>
      <c r="O1046" s="323"/>
      <c r="P1046" s="215"/>
      <c r="Q1046" s="207"/>
      <c r="R1046" s="323"/>
      <c r="S1046" s="323"/>
      <c r="T1046" s="664"/>
      <c r="U1046" s="215"/>
      <c r="V1046" s="215"/>
    </row>
    <row r="1047" ht="15.0" customHeight="1">
      <c r="A1047" s="207"/>
      <c r="B1047" s="215"/>
      <c r="C1047" s="215"/>
      <c r="D1047" s="215"/>
      <c r="E1047" s="215"/>
      <c r="F1047" s="215"/>
      <c r="G1047" s="215"/>
      <c r="H1047" s="215"/>
      <c r="I1047" s="207"/>
      <c r="J1047" s="215"/>
      <c r="K1047" s="207"/>
      <c r="L1047" s="215"/>
      <c r="M1047" s="323"/>
      <c r="N1047" s="215"/>
      <c r="O1047" s="323"/>
      <c r="P1047" s="215"/>
      <c r="Q1047" s="207"/>
      <c r="R1047" s="323"/>
      <c r="S1047" s="323"/>
      <c r="T1047" s="664"/>
      <c r="U1047" s="215"/>
      <c r="V1047" s="215"/>
    </row>
    <row r="1048" ht="15.0" customHeight="1">
      <c r="A1048" s="207"/>
      <c r="B1048" s="215"/>
      <c r="C1048" s="215"/>
      <c r="D1048" s="215"/>
      <c r="E1048" s="215"/>
      <c r="F1048" s="215"/>
      <c r="G1048" s="215"/>
      <c r="H1048" s="215"/>
      <c r="I1048" s="207"/>
      <c r="J1048" s="215"/>
      <c r="K1048" s="207"/>
      <c r="L1048" s="215"/>
      <c r="M1048" s="323"/>
      <c r="N1048" s="215"/>
      <c r="O1048" s="323"/>
      <c r="P1048" s="215"/>
      <c r="Q1048" s="207"/>
      <c r="R1048" s="323"/>
      <c r="S1048" s="323"/>
      <c r="T1048" s="664"/>
      <c r="U1048" s="215"/>
      <c r="V1048" s="215"/>
    </row>
    <row r="1049" ht="15.0" customHeight="1">
      <c r="A1049" s="207"/>
      <c r="B1049" s="215"/>
      <c r="C1049" s="215"/>
      <c r="D1049" s="215"/>
      <c r="E1049" s="215"/>
      <c r="F1049" s="215"/>
      <c r="G1049" s="215"/>
      <c r="H1049" s="215"/>
      <c r="I1049" s="207"/>
      <c r="J1049" s="215"/>
      <c r="K1049" s="207"/>
      <c r="L1049" s="215"/>
      <c r="M1049" s="323"/>
      <c r="N1049" s="215"/>
      <c r="O1049" s="323"/>
      <c r="P1049" s="215"/>
      <c r="Q1049" s="207"/>
      <c r="R1049" s="323"/>
      <c r="S1049" s="323"/>
      <c r="T1049" s="664"/>
      <c r="U1049" s="215"/>
      <c r="V1049" s="215"/>
    </row>
    <row r="1050" ht="15.0" customHeight="1">
      <c r="A1050" s="207"/>
      <c r="B1050" s="215"/>
      <c r="C1050" s="215"/>
      <c r="D1050" s="215"/>
      <c r="E1050" s="215"/>
      <c r="F1050" s="215"/>
      <c r="G1050" s="215"/>
      <c r="H1050" s="215"/>
      <c r="I1050" s="207"/>
      <c r="J1050" s="215"/>
      <c r="K1050" s="207"/>
      <c r="L1050" s="215"/>
      <c r="M1050" s="323"/>
      <c r="N1050" s="215"/>
      <c r="O1050" s="323"/>
      <c r="P1050" s="215"/>
      <c r="Q1050" s="207"/>
      <c r="R1050" s="323"/>
      <c r="S1050" s="323"/>
      <c r="T1050" s="664"/>
      <c r="U1050" s="215"/>
      <c r="V1050" s="215"/>
    </row>
    <row r="1051" ht="15.0" customHeight="1">
      <c r="A1051" s="207"/>
      <c r="B1051" s="215"/>
      <c r="C1051" s="215"/>
      <c r="D1051" s="215"/>
      <c r="E1051" s="215"/>
      <c r="F1051" s="215"/>
      <c r="G1051" s="215"/>
      <c r="H1051" s="215"/>
      <c r="I1051" s="207"/>
      <c r="J1051" s="215"/>
      <c r="K1051" s="207"/>
      <c r="L1051" s="215"/>
      <c r="M1051" s="323"/>
      <c r="N1051" s="215"/>
      <c r="O1051" s="323"/>
      <c r="P1051" s="215"/>
      <c r="Q1051" s="207"/>
      <c r="R1051" s="323"/>
      <c r="S1051" s="323"/>
      <c r="T1051" s="664"/>
      <c r="U1051" s="215"/>
      <c r="V1051" s="215"/>
    </row>
    <row r="1052" ht="15.0" customHeight="1">
      <c r="A1052" s="207"/>
      <c r="B1052" s="215"/>
      <c r="C1052" s="215"/>
      <c r="D1052" s="215"/>
      <c r="E1052" s="215"/>
      <c r="F1052" s="215"/>
      <c r="G1052" s="215"/>
      <c r="H1052" s="215"/>
      <c r="I1052" s="207"/>
      <c r="J1052" s="215"/>
      <c r="K1052" s="207"/>
      <c r="L1052" s="215"/>
      <c r="M1052" s="323"/>
      <c r="N1052" s="215"/>
      <c r="O1052" s="323"/>
      <c r="P1052" s="215"/>
      <c r="Q1052" s="207"/>
      <c r="R1052" s="323"/>
      <c r="S1052" s="323"/>
      <c r="T1052" s="664"/>
      <c r="U1052" s="215"/>
      <c r="V1052" s="215"/>
    </row>
    <row r="1053" ht="15.0" customHeight="1">
      <c r="A1053" s="207"/>
      <c r="B1053" s="215"/>
      <c r="C1053" s="215"/>
      <c r="D1053" s="215"/>
      <c r="E1053" s="215"/>
      <c r="F1053" s="215"/>
      <c r="G1053" s="215"/>
      <c r="H1053" s="215"/>
      <c r="I1053" s="207"/>
      <c r="J1053" s="215"/>
      <c r="K1053" s="207"/>
      <c r="L1053" s="215"/>
      <c r="M1053" s="323"/>
      <c r="N1053" s="215"/>
      <c r="O1053" s="323"/>
      <c r="P1053" s="215"/>
      <c r="Q1053" s="207"/>
      <c r="R1053" s="323"/>
      <c r="S1053" s="323"/>
      <c r="T1053" s="664"/>
      <c r="U1053" s="215"/>
      <c r="V1053" s="215"/>
    </row>
    <row r="1054" ht="15.0" customHeight="1">
      <c r="A1054" s="207"/>
      <c r="B1054" s="215"/>
      <c r="C1054" s="215"/>
      <c r="D1054" s="215"/>
      <c r="E1054" s="215"/>
      <c r="F1054" s="215"/>
      <c r="G1054" s="215"/>
      <c r="H1054" s="215"/>
      <c r="I1054" s="207"/>
      <c r="J1054" s="215"/>
      <c r="K1054" s="207"/>
      <c r="L1054" s="215"/>
      <c r="M1054" s="323"/>
      <c r="N1054" s="215"/>
      <c r="O1054" s="323"/>
      <c r="P1054" s="215"/>
      <c r="Q1054" s="207"/>
      <c r="R1054" s="323"/>
      <c r="S1054" s="323"/>
      <c r="T1054" s="664"/>
      <c r="U1054" s="215"/>
      <c r="V1054" s="215"/>
    </row>
    <row r="1055" ht="15.0" customHeight="1">
      <c r="A1055" s="207"/>
      <c r="B1055" s="215"/>
      <c r="C1055" s="215"/>
      <c r="D1055" s="215"/>
      <c r="E1055" s="215"/>
      <c r="F1055" s="215"/>
      <c r="G1055" s="215"/>
      <c r="H1055" s="215"/>
      <c r="I1055" s="207"/>
      <c r="J1055" s="215"/>
      <c r="K1055" s="207"/>
      <c r="L1055" s="215"/>
      <c r="M1055" s="323"/>
      <c r="N1055" s="215"/>
      <c r="O1055" s="323"/>
      <c r="P1055" s="215"/>
      <c r="Q1055" s="207"/>
      <c r="R1055" s="323"/>
      <c r="S1055" s="323"/>
      <c r="T1055" s="664"/>
      <c r="U1055" s="215"/>
      <c r="V1055" s="215"/>
    </row>
    <row r="1056" ht="15.0" customHeight="1">
      <c r="A1056" s="207"/>
      <c r="B1056" s="215"/>
      <c r="C1056" s="215"/>
      <c r="D1056" s="215"/>
      <c r="E1056" s="215"/>
      <c r="F1056" s="215"/>
      <c r="G1056" s="215"/>
      <c r="H1056" s="215"/>
      <c r="I1056" s="207"/>
      <c r="J1056" s="215"/>
      <c r="K1056" s="207"/>
      <c r="L1056" s="215"/>
      <c r="M1056" s="323"/>
      <c r="N1056" s="215"/>
      <c r="O1056" s="323"/>
      <c r="P1056" s="215"/>
      <c r="Q1056" s="207"/>
      <c r="R1056" s="323"/>
      <c r="S1056" s="323"/>
      <c r="T1056" s="664"/>
      <c r="U1056" s="215"/>
      <c r="V1056" s="215"/>
    </row>
    <row r="1057" ht="15.0" customHeight="1">
      <c r="A1057" s="207"/>
      <c r="B1057" s="215"/>
      <c r="C1057" s="215"/>
      <c r="D1057" s="215"/>
      <c r="E1057" s="215"/>
      <c r="F1057" s="215"/>
      <c r="G1057" s="215"/>
      <c r="H1057" s="215"/>
      <c r="I1057" s="207"/>
      <c r="J1057" s="215"/>
      <c r="K1057" s="207"/>
      <c r="L1057" s="215"/>
      <c r="M1057" s="323"/>
      <c r="N1057" s="215"/>
      <c r="O1057" s="323"/>
      <c r="P1057" s="215"/>
      <c r="Q1057" s="207"/>
      <c r="R1057" s="323"/>
      <c r="S1057" s="323"/>
      <c r="T1057" s="664"/>
      <c r="U1057" s="215"/>
      <c r="V1057" s="215"/>
    </row>
    <row r="1058" ht="15.0" customHeight="1">
      <c r="A1058" s="207"/>
      <c r="B1058" s="215"/>
      <c r="C1058" s="215"/>
      <c r="D1058" s="215"/>
      <c r="E1058" s="215"/>
      <c r="F1058" s="215"/>
      <c r="G1058" s="215"/>
      <c r="H1058" s="215"/>
      <c r="I1058" s="207"/>
      <c r="J1058" s="215"/>
      <c r="K1058" s="207"/>
      <c r="L1058" s="215"/>
      <c r="M1058" s="323"/>
      <c r="N1058" s="215"/>
      <c r="O1058" s="323"/>
      <c r="P1058" s="215"/>
      <c r="Q1058" s="207"/>
      <c r="R1058" s="323"/>
      <c r="S1058" s="323"/>
      <c r="T1058" s="664"/>
      <c r="U1058" s="215"/>
      <c r="V1058" s="215"/>
    </row>
    <row r="1059" ht="15.0" customHeight="1">
      <c r="A1059" s="207"/>
      <c r="B1059" s="215"/>
      <c r="C1059" s="215"/>
      <c r="D1059" s="215"/>
      <c r="E1059" s="215"/>
      <c r="F1059" s="215"/>
      <c r="G1059" s="215"/>
      <c r="H1059" s="215"/>
      <c r="I1059" s="207"/>
      <c r="J1059" s="215"/>
      <c r="K1059" s="207"/>
      <c r="L1059" s="215"/>
      <c r="M1059" s="323"/>
      <c r="N1059" s="215"/>
      <c r="O1059" s="323"/>
      <c r="P1059" s="215"/>
      <c r="Q1059" s="207"/>
      <c r="R1059" s="323"/>
      <c r="S1059" s="323"/>
      <c r="T1059" s="664"/>
      <c r="U1059" s="215"/>
      <c r="V1059" s="215"/>
    </row>
    <row r="1060" ht="15.0" customHeight="1">
      <c r="A1060" s="207"/>
      <c r="B1060" s="215"/>
      <c r="C1060" s="215"/>
      <c r="D1060" s="215"/>
      <c r="E1060" s="215"/>
      <c r="F1060" s="215"/>
      <c r="G1060" s="215"/>
      <c r="H1060" s="215"/>
      <c r="I1060" s="207"/>
      <c r="J1060" s="215"/>
      <c r="K1060" s="207"/>
      <c r="L1060" s="215"/>
      <c r="M1060" s="323"/>
      <c r="N1060" s="215"/>
      <c r="O1060" s="323"/>
      <c r="P1060" s="215"/>
      <c r="Q1060" s="207"/>
      <c r="R1060" s="323"/>
      <c r="S1060" s="323"/>
      <c r="T1060" s="664"/>
      <c r="U1060" s="215"/>
      <c r="V1060" s="215"/>
    </row>
    <row r="1061" ht="15.0" customHeight="1">
      <c r="A1061" s="207"/>
      <c r="B1061" s="215"/>
      <c r="C1061" s="215"/>
      <c r="D1061" s="215"/>
      <c r="E1061" s="215"/>
      <c r="F1061" s="215"/>
      <c r="G1061" s="215"/>
      <c r="H1061" s="215"/>
      <c r="I1061" s="207"/>
      <c r="J1061" s="215"/>
      <c r="K1061" s="207"/>
      <c r="L1061" s="215"/>
      <c r="M1061" s="323"/>
      <c r="N1061" s="215"/>
      <c r="O1061" s="323"/>
      <c r="P1061" s="215"/>
      <c r="Q1061" s="207"/>
      <c r="R1061" s="323"/>
      <c r="S1061" s="323"/>
      <c r="T1061" s="664"/>
      <c r="U1061" s="215"/>
      <c r="V1061" s="215"/>
    </row>
    <row r="1062" ht="15.0" customHeight="1">
      <c r="A1062" s="207"/>
      <c r="B1062" s="215"/>
      <c r="C1062" s="215"/>
      <c r="D1062" s="215"/>
      <c r="E1062" s="215"/>
      <c r="F1062" s="215"/>
      <c r="G1062" s="215"/>
      <c r="H1062" s="215"/>
      <c r="I1062" s="207"/>
      <c r="J1062" s="215"/>
      <c r="K1062" s="207"/>
      <c r="L1062" s="215"/>
      <c r="M1062" s="323"/>
      <c r="N1062" s="215"/>
      <c r="O1062" s="323"/>
      <c r="P1062" s="215"/>
      <c r="Q1062" s="207"/>
      <c r="R1062" s="323"/>
      <c r="S1062" s="323"/>
      <c r="T1062" s="664"/>
      <c r="U1062" s="215"/>
      <c r="V1062" s="215"/>
    </row>
    <row r="1063" ht="15.0" customHeight="1">
      <c r="A1063" s="207"/>
      <c r="B1063" s="215"/>
      <c r="C1063" s="215"/>
      <c r="D1063" s="215"/>
      <c r="E1063" s="215"/>
      <c r="F1063" s="215"/>
      <c r="G1063" s="215"/>
      <c r="H1063" s="215"/>
      <c r="I1063" s="207"/>
      <c r="J1063" s="215"/>
      <c r="K1063" s="207"/>
      <c r="L1063" s="215"/>
      <c r="M1063" s="323"/>
      <c r="N1063" s="215"/>
      <c r="O1063" s="323"/>
      <c r="P1063" s="215"/>
      <c r="Q1063" s="207"/>
      <c r="R1063" s="323"/>
      <c r="S1063" s="323"/>
      <c r="T1063" s="664"/>
      <c r="U1063" s="215"/>
      <c r="V1063" s="215"/>
    </row>
    <row r="1064" ht="15.0" customHeight="1">
      <c r="A1064" s="207"/>
      <c r="B1064" s="215"/>
      <c r="C1064" s="215"/>
      <c r="D1064" s="215"/>
      <c r="E1064" s="215"/>
      <c r="F1064" s="215"/>
      <c r="G1064" s="215"/>
      <c r="H1064" s="215"/>
      <c r="I1064" s="207"/>
      <c r="J1064" s="215"/>
      <c r="K1064" s="207"/>
      <c r="L1064" s="215"/>
      <c r="M1064" s="323"/>
      <c r="N1064" s="215"/>
      <c r="O1064" s="323"/>
      <c r="P1064" s="215"/>
      <c r="Q1064" s="207"/>
      <c r="R1064" s="323"/>
      <c r="S1064" s="323"/>
      <c r="T1064" s="664"/>
      <c r="U1064" s="215"/>
      <c r="V1064" s="215"/>
    </row>
    <row r="1065" ht="15.0" customHeight="1">
      <c r="A1065" s="207"/>
      <c r="B1065" s="215"/>
      <c r="C1065" s="215"/>
      <c r="D1065" s="215"/>
      <c r="E1065" s="215"/>
      <c r="F1065" s="215"/>
      <c r="G1065" s="215"/>
      <c r="H1065" s="215"/>
      <c r="I1065" s="207"/>
      <c r="J1065" s="215"/>
      <c r="K1065" s="207"/>
      <c r="L1065" s="215"/>
      <c r="M1065" s="323"/>
      <c r="N1065" s="215"/>
      <c r="O1065" s="323"/>
      <c r="P1065" s="215"/>
      <c r="Q1065" s="207"/>
      <c r="R1065" s="323"/>
      <c r="S1065" s="323"/>
      <c r="T1065" s="664"/>
      <c r="U1065" s="215"/>
      <c r="V1065" s="215"/>
    </row>
    <row r="1066" ht="15.0" customHeight="1">
      <c r="A1066" s="207"/>
      <c r="B1066" s="215"/>
      <c r="C1066" s="215"/>
      <c r="D1066" s="215"/>
      <c r="E1066" s="215"/>
      <c r="F1066" s="215"/>
      <c r="G1066" s="215"/>
      <c r="H1066" s="215"/>
      <c r="I1066" s="207"/>
      <c r="J1066" s="215"/>
      <c r="K1066" s="207"/>
      <c r="L1066" s="215"/>
      <c r="M1066" s="323"/>
      <c r="N1066" s="215"/>
      <c r="O1066" s="323"/>
      <c r="P1066" s="215"/>
      <c r="Q1066" s="207"/>
      <c r="R1066" s="323"/>
      <c r="S1066" s="323"/>
      <c r="T1066" s="664"/>
      <c r="U1066" s="215"/>
      <c r="V1066" s="215"/>
    </row>
    <row r="1067" ht="15.0" customHeight="1">
      <c r="A1067" s="207"/>
      <c r="B1067" s="215"/>
      <c r="C1067" s="215"/>
      <c r="D1067" s="215"/>
      <c r="E1067" s="215"/>
      <c r="F1067" s="215"/>
      <c r="G1067" s="215"/>
      <c r="H1067" s="215"/>
      <c r="I1067" s="207"/>
      <c r="J1067" s="215"/>
      <c r="K1067" s="207"/>
      <c r="L1067" s="215"/>
      <c r="M1067" s="323"/>
      <c r="N1067" s="215"/>
      <c r="O1067" s="323"/>
      <c r="P1067" s="215"/>
      <c r="Q1067" s="207"/>
      <c r="R1067" s="323"/>
      <c r="S1067" s="323"/>
      <c r="T1067" s="664"/>
      <c r="U1067" s="215"/>
      <c r="V1067" s="215"/>
    </row>
    <row r="1068" ht="15.0" customHeight="1">
      <c r="A1068" s="207"/>
      <c r="B1068" s="215"/>
      <c r="C1068" s="215"/>
      <c r="D1068" s="215"/>
      <c r="E1068" s="215"/>
      <c r="F1068" s="215"/>
      <c r="G1068" s="215"/>
      <c r="H1068" s="215"/>
      <c r="I1068" s="207"/>
      <c r="J1068" s="215"/>
      <c r="K1068" s="207"/>
      <c r="L1068" s="215"/>
      <c r="M1068" s="323"/>
      <c r="N1068" s="215"/>
      <c r="O1068" s="323"/>
      <c r="P1068" s="215"/>
      <c r="Q1068" s="207"/>
      <c r="R1068" s="323"/>
      <c r="S1068" s="323"/>
      <c r="T1068" s="664"/>
      <c r="U1068" s="215"/>
      <c r="V1068" s="215"/>
    </row>
    <row r="1069" ht="15.0" customHeight="1">
      <c r="A1069" s="207"/>
      <c r="B1069" s="215"/>
      <c r="C1069" s="215"/>
      <c r="D1069" s="215"/>
      <c r="E1069" s="215"/>
      <c r="F1069" s="215"/>
      <c r="G1069" s="215"/>
      <c r="H1069" s="215"/>
      <c r="I1069" s="207"/>
      <c r="J1069" s="215"/>
      <c r="K1069" s="207"/>
      <c r="L1069" s="215"/>
      <c r="M1069" s="323"/>
      <c r="N1069" s="215"/>
      <c r="O1069" s="323"/>
      <c r="P1069" s="215"/>
      <c r="Q1069" s="207"/>
      <c r="R1069" s="323"/>
      <c r="S1069" s="323"/>
      <c r="T1069" s="664"/>
      <c r="U1069" s="215"/>
      <c r="V1069" s="215"/>
    </row>
    <row r="1070" ht="15.0" customHeight="1">
      <c r="A1070" s="207"/>
      <c r="B1070" s="215"/>
      <c r="C1070" s="215"/>
      <c r="D1070" s="215"/>
      <c r="E1070" s="215"/>
      <c r="F1070" s="215"/>
      <c r="G1070" s="215"/>
      <c r="H1070" s="215"/>
      <c r="I1070" s="207"/>
      <c r="J1070" s="215"/>
      <c r="K1070" s="207"/>
      <c r="L1070" s="215"/>
      <c r="M1070" s="323"/>
      <c r="N1070" s="215"/>
      <c r="O1070" s="323"/>
      <c r="P1070" s="215"/>
      <c r="Q1070" s="207"/>
      <c r="R1070" s="323"/>
      <c r="S1070" s="323"/>
      <c r="T1070" s="664"/>
      <c r="U1070" s="215"/>
      <c r="V1070" s="215"/>
    </row>
    <row r="1071" ht="15.0" customHeight="1">
      <c r="A1071" s="207"/>
      <c r="B1071" s="215"/>
      <c r="C1071" s="215"/>
      <c r="D1071" s="215"/>
      <c r="E1071" s="215"/>
      <c r="F1071" s="215"/>
      <c r="G1071" s="215"/>
      <c r="H1071" s="215"/>
      <c r="I1071" s="207"/>
      <c r="J1071" s="215"/>
      <c r="K1071" s="207"/>
      <c r="L1071" s="215"/>
      <c r="M1071" s="323"/>
      <c r="N1071" s="215"/>
      <c r="O1071" s="323"/>
      <c r="P1071" s="215"/>
      <c r="Q1071" s="207"/>
      <c r="R1071" s="323"/>
      <c r="S1071" s="323"/>
      <c r="T1071" s="664"/>
      <c r="U1071" s="215"/>
      <c r="V1071" s="215"/>
    </row>
    <row r="1072" ht="15.0" customHeight="1">
      <c r="A1072" s="207"/>
      <c r="B1072" s="215"/>
      <c r="C1072" s="215"/>
      <c r="D1072" s="215"/>
      <c r="E1072" s="215"/>
      <c r="F1072" s="215"/>
      <c r="G1072" s="215"/>
      <c r="H1072" s="215"/>
      <c r="I1072" s="207"/>
      <c r="J1072" s="215"/>
      <c r="K1072" s="207"/>
      <c r="L1072" s="215"/>
      <c r="M1072" s="323"/>
      <c r="N1072" s="215"/>
      <c r="O1072" s="323"/>
      <c r="P1072" s="215"/>
      <c r="Q1072" s="207"/>
      <c r="R1072" s="323"/>
      <c r="S1072" s="323"/>
      <c r="T1072" s="664"/>
      <c r="U1072" s="215"/>
      <c r="V1072" s="215"/>
    </row>
    <row r="1073" ht="15.0" customHeight="1">
      <c r="A1073" s="207"/>
      <c r="B1073" s="215"/>
      <c r="C1073" s="215"/>
      <c r="D1073" s="215"/>
      <c r="E1073" s="215"/>
      <c r="F1073" s="215"/>
      <c r="G1073" s="215"/>
      <c r="H1073" s="215"/>
      <c r="I1073" s="207"/>
      <c r="J1073" s="215"/>
      <c r="K1073" s="207"/>
      <c r="L1073" s="215"/>
      <c r="M1073" s="323"/>
      <c r="N1073" s="215"/>
      <c r="O1073" s="323"/>
      <c r="P1073" s="215"/>
      <c r="Q1073" s="207"/>
      <c r="R1073" s="323"/>
      <c r="S1073" s="323"/>
      <c r="T1073" s="664"/>
      <c r="U1073" s="215"/>
      <c r="V1073" s="215"/>
    </row>
    <row r="1074" ht="15.0" customHeight="1">
      <c r="A1074" s="207"/>
      <c r="B1074" s="215"/>
      <c r="C1074" s="215"/>
      <c r="D1074" s="215"/>
      <c r="E1074" s="215"/>
      <c r="F1074" s="215"/>
      <c r="G1074" s="215"/>
      <c r="H1074" s="215"/>
      <c r="I1074" s="207"/>
      <c r="J1074" s="215"/>
      <c r="K1074" s="207"/>
      <c r="L1074" s="215"/>
      <c r="M1074" s="323"/>
      <c r="N1074" s="215"/>
      <c r="O1074" s="323"/>
      <c r="P1074" s="215"/>
      <c r="Q1074" s="207"/>
      <c r="R1074" s="323"/>
      <c r="S1074" s="323"/>
      <c r="T1074" s="664"/>
      <c r="U1074" s="215"/>
      <c r="V1074" s="215"/>
    </row>
    <row r="1075" ht="15.0" customHeight="1">
      <c r="A1075" s="207"/>
      <c r="B1075" s="215"/>
      <c r="C1075" s="215"/>
      <c r="D1075" s="215"/>
      <c r="E1075" s="215"/>
      <c r="F1075" s="215"/>
      <c r="G1075" s="215"/>
      <c r="H1075" s="215"/>
      <c r="I1075" s="207"/>
      <c r="J1075" s="215"/>
      <c r="K1075" s="207"/>
      <c r="L1075" s="215"/>
      <c r="M1075" s="323"/>
      <c r="N1075" s="215"/>
      <c r="O1075" s="323"/>
      <c r="P1075" s="215"/>
      <c r="Q1075" s="207"/>
      <c r="R1075" s="323"/>
      <c r="S1075" s="323"/>
      <c r="T1075" s="664"/>
      <c r="U1075" s="215"/>
      <c r="V1075" s="215"/>
    </row>
    <row r="1076" ht="15.0" customHeight="1">
      <c r="A1076" s="207"/>
      <c r="B1076" s="215"/>
      <c r="C1076" s="215"/>
      <c r="D1076" s="215"/>
      <c r="E1076" s="215"/>
      <c r="F1076" s="215"/>
      <c r="G1076" s="215"/>
      <c r="H1076" s="215"/>
      <c r="I1076" s="207"/>
      <c r="J1076" s="215"/>
      <c r="K1076" s="207"/>
      <c r="L1076" s="215"/>
      <c r="M1076" s="323"/>
      <c r="N1076" s="215"/>
      <c r="O1076" s="323"/>
      <c r="P1076" s="215"/>
      <c r="Q1076" s="207"/>
      <c r="R1076" s="323"/>
      <c r="S1076" s="323"/>
      <c r="T1076" s="664"/>
      <c r="U1076" s="215"/>
      <c r="V1076" s="215"/>
    </row>
    <row r="1077" ht="15.0" customHeight="1">
      <c r="A1077" s="207"/>
      <c r="B1077" s="215"/>
      <c r="C1077" s="215"/>
      <c r="D1077" s="215"/>
      <c r="E1077" s="215"/>
      <c r="F1077" s="215"/>
      <c r="G1077" s="215"/>
      <c r="H1077" s="215"/>
      <c r="I1077" s="207"/>
      <c r="J1077" s="215"/>
      <c r="K1077" s="207"/>
      <c r="L1077" s="215"/>
      <c r="M1077" s="323"/>
      <c r="N1077" s="215"/>
      <c r="O1077" s="323"/>
      <c r="P1077" s="215"/>
      <c r="Q1077" s="207"/>
      <c r="R1077" s="323"/>
      <c r="S1077" s="323"/>
      <c r="T1077" s="664"/>
      <c r="U1077" s="215"/>
      <c r="V1077" s="215"/>
    </row>
    <row r="1078" ht="15.0" customHeight="1">
      <c r="A1078" s="207"/>
      <c r="B1078" s="215"/>
      <c r="C1078" s="215"/>
      <c r="D1078" s="215"/>
      <c r="E1078" s="215"/>
      <c r="F1078" s="215"/>
      <c r="G1078" s="215"/>
      <c r="H1078" s="215"/>
      <c r="I1078" s="207"/>
      <c r="J1078" s="215"/>
      <c r="K1078" s="207"/>
      <c r="L1078" s="215"/>
      <c r="M1078" s="323"/>
      <c r="N1078" s="215"/>
      <c r="O1078" s="323"/>
      <c r="P1078" s="215"/>
      <c r="Q1078" s="207"/>
      <c r="R1078" s="323"/>
      <c r="S1078" s="323"/>
      <c r="T1078" s="664"/>
      <c r="U1078" s="215"/>
      <c r="V1078" s="215"/>
    </row>
    <row r="1079" ht="15.0" customHeight="1">
      <c r="A1079" s="207"/>
      <c r="B1079" s="215"/>
      <c r="C1079" s="215"/>
      <c r="D1079" s="215"/>
      <c r="E1079" s="215"/>
      <c r="F1079" s="215"/>
      <c r="G1079" s="215"/>
      <c r="H1079" s="215"/>
      <c r="I1079" s="207"/>
      <c r="J1079" s="215"/>
      <c r="K1079" s="207"/>
      <c r="L1079" s="215"/>
      <c r="M1079" s="323"/>
      <c r="N1079" s="215"/>
      <c r="O1079" s="323"/>
      <c r="P1079" s="215"/>
      <c r="Q1079" s="207"/>
      <c r="R1079" s="323"/>
      <c r="S1079" s="323"/>
      <c r="T1079" s="664"/>
      <c r="U1079" s="215"/>
      <c r="V1079" s="215"/>
    </row>
    <row r="1080" ht="15.0" customHeight="1">
      <c r="A1080" s="207"/>
      <c r="B1080" s="215"/>
      <c r="C1080" s="215"/>
      <c r="D1080" s="215"/>
      <c r="E1080" s="215"/>
      <c r="F1080" s="215"/>
      <c r="G1080" s="215"/>
      <c r="H1080" s="215"/>
      <c r="I1080" s="207"/>
      <c r="J1080" s="215"/>
      <c r="K1080" s="207"/>
      <c r="L1080" s="215"/>
      <c r="M1080" s="323"/>
      <c r="N1080" s="215"/>
      <c r="O1080" s="323"/>
      <c r="P1080" s="215"/>
      <c r="Q1080" s="207"/>
      <c r="R1080" s="323"/>
      <c r="S1080" s="323"/>
      <c r="T1080" s="664"/>
      <c r="U1080" s="215"/>
      <c r="V1080" s="215"/>
    </row>
    <row r="1081" ht="15.0" customHeight="1">
      <c r="A1081" s="207"/>
      <c r="B1081" s="215"/>
      <c r="C1081" s="215"/>
      <c r="D1081" s="215"/>
      <c r="E1081" s="215"/>
      <c r="F1081" s="215"/>
      <c r="G1081" s="215"/>
      <c r="H1081" s="215"/>
      <c r="I1081" s="207"/>
      <c r="J1081" s="215"/>
      <c r="K1081" s="207"/>
      <c r="L1081" s="215"/>
      <c r="M1081" s="323"/>
      <c r="N1081" s="215"/>
      <c r="O1081" s="323"/>
      <c r="P1081" s="215"/>
      <c r="Q1081" s="207"/>
      <c r="R1081" s="323"/>
      <c r="S1081" s="323"/>
      <c r="T1081" s="664"/>
      <c r="U1081" s="215"/>
      <c r="V1081" s="215"/>
    </row>
    <row r="1082" ht="15.0" customHeight="1">
      <c r="A1082" s="207"/>
      <c r="B1082" s="215"/>
      <c r="C1082" s="215"/>
      <c r="D1082" s="215"/>
      <c r="E1082" s="215"/>
      <c r="F1082" s="215"/>
      <c r="G1082" s="215"/>
      <c r="H1082" s="215"/>
      <c r="I1082" s="207"/>
      <c r="J1082" s="215"/>
      <c r="K1082" s="207"/>
      <c r="L1082" s="215"/>
      <c r="M1082" s="323"/>
      <c r="N1082" s="215"/>
      <c r="O1082" s="323"/>
      <c r="P1082" s="215"/>
      <c r="Q1082" s="207"/>
      <c r="R1082" s="323"/>
      <c r="S1082" s="323"/>
      <c r="T1082" s="664"/>
      <c r="U1082" s="215"/>
      <c r="V1082" s="215"/>
    </row>
    <row r="1083" ht="15.0" customHeight="1">
      <c r="A1083" s="207"/>
      <c r="B1083" s="215"/>
      <c r="C1083" s="215"/>
      <c r="D1083" s="215"/>
      <c r="E1083" s="215"/>
      <c r="F1083" s="215"/>
      <c r="G1083" s="215"/>
      <c r="H1083" s="215"/>
      <c r="I1083" s="207"/>
      <c r="J1083" s="215"/>
      <c r="K1083" s="207"/>
      <c r="L1083" s="215"/>
      <c r="M1083" s="323"/>
      <c r="N1083" s="215"/>
      <c r="O1083" s="323"/>
      <c r="P1083" s="215"/>
      <c r="Q1083" s="207"/>
      <c r="R1083" s="323"/>
      <c r="S1083" s="323"/>
      <c r="T1083" s="664"/>
      <c r="U1083" s="215"/>
      <c r="V1083" s="215"/>
    </row>
    <row r="1084" ht="15.0" customHeight="1">
      <c r="A1084" s="207"/>
      <c r="B1084" s="215"/>
      <c r="C1084" s="215"/>
      <c r="D1084" s="215"/>
      <c r="E1084" s="215"/>
      <c r="F1084" s="215"/>
      <c r="G1084" s="215"/>
      <c r="H1084" s="215"/>
      <c r="I1084" s="207"/>
      <c r="J1084" s="215"/>
      <c r="K1084" s="207"/>
      <c r="L1084" s="215"/>
      <c r="M1084" s="323"/>
      <c r="N1084" s="215"/>
      <c r="O1084" s="323"/>
      <c r="P1084" s="215"/>
      <c r="Q1084" s="207"/>
      <c r="R1084" s="323"/>
      <c r="S1084" s="323"/>
      <c r="T1084" s="664"/>
      <c r="U1084" s="215"/>
      <c r="V1084" s="215"/>
    </row>
    <row r="1085" ht="15.0" customHeight="1">
      <c r="A1085" s="207"/>
      <c r="B1085" s="215"/>
      <c r="C1085" s="215"/>
      <c r="D1085" s="215"/>
      <c r="E1085" s="215"/>
      <c r="F1085" s="215"/>
      <c r="G1085" s="215"/>
      <c r="H1085" s="215"/>
      <c r="I1085" s="207"/>
      <c r="J1085" s="215"/>
      <c r="K1085" s="207"/>
      <c r="L1085" s="215"/>
      <c r="M1085" s="323"/>
      <c r="N1085" s="215"/>
      <c r="O1085" s="323"/>
      <c r="P1085" s="215"/>
      <c r="Q1085" s="207"/>
      <c r="R1085" s="323"/>
      <c r="S1085" s="323"/>
      <c r="T1085" s="664"/>
      <c r="U1085" s="215"/>
      <c r="V1085" s="215"/>
    </row>
    <row r="1086" ht="15.0" customHeight="1">
      <c r="A1086" s="207"/>
      <c r="B1086" s="215"/>
      <c r="C1086" s="215"/>
      <c r="D1086" s="215"/>
      <c r="E1086" s="215"/>
      <c r="F1086" s="215"/>
      <c r="G1086" s="215"/>
      <c r="H1086" s="215"/>
      <c r="I1086" s="207"/>
      <c r="J1086" s="215"/>
      <c r="K1086" s="207"/>
      <c r="L1086" s="215"/>
      <c r="M1086" s="323"/>
      <c r="N1086" s="215"/>
      <c r="O1086" s="323"/>
      <c r="P1086" s="215"/>
      <c r="Q1086" s="207"/>
      <c r="R1086" s="323"/>
      <c r="S1086" s="323"/>
      <c r="T1086" s="664"/>
      <c r="U1086" s="215"/>
      <c r="V1086" s="215"/>
    </row>
    <row r="1087" ht="15.0" customHeight="1">
      <c r="A1087" s="207"/>
      <c r="B1087" s="215"/>
      <c r="C1087" s="215"/>
      <c r="D1087" s="215"/>
      <c r="E1087" s="215"/>
      <c r="F1087" s="215"/>
      <c r="G1087" s="215"/>
      <c r="H1087" s="215"/>
      <c r="I1087" s="207"/>
      <c r="J1087" s="215"/>
      <c r="K1087" s="207"/>
      <c r="L1087" s="215"/>
      <c r="M1087" s="323"/>
      <c r="N1087" s="215"/>
      <c r="O1087" s="323"/>
      <c r="P1087" s="215"/>
      <c r="Q1087" s="207"/>
      <c r="R1087" s="323"/>
      <c r="S1087" s="323"/>
      <c r="T1087" s="664"/>
      <c r="U1087" s="215"/>
      <c r="V1087" s="215"/>
    </row>
    <row r="1088" ht="15.0" customHeight="1">
      <c r="A1088" s="207"/>
      <c r="B1088" s="215"/>
      <c r="C1088" s="215"/>
      <c r="D1088" s="215"/>
      <c r="E1088" s="215"/>
      <c r="F1088" s="215"/>
      <c r="G1088" s="215"/>
      <c r="H1088" s="215"/>
      <c r="I1088" s="207"/>
      <c r="J1088" s="215"/>
      <c r="K1088" s="207"/>
      <c r="L1088" s="215"/>
      <c r="M1088" s="323"/>
      <c r="N1088" s="215"/>
      <c r="O1088" s="323"/>
      <c r="P1088" s="215"/>
      <c r="Q1088" s="207"/>
      <c r="R1088" s="323"/>
      <c r="S1088" s="323"/>
      <c r="T1088" s="664"/>
      <c r="U1088" s="215"/>
      <c r="V1088" s="215"/>
    </row>
    <row r="1089" ht="15.0" customHeight="1">
      <c r="A1089" s="207"/>
      <c r="B1089" s="215"/>
      <c r="C1089" s="215"/>
      <c r="D1089" s="215"/>
      <c r="E1089" s="215"/>
      <c r="F1089" s="215"/>
      <c r="G1089" s="215"/>
      <c r="H1089" s="215"/>
      <c r="I1089" s="207"/>
      <c r="J1089" s="215"/>
      <c r="K1089" s="207"/>
      <c r="L1089" s="215"/>
      <c r="M1089" s="323"/>
      <c r="N1089" s="215"/>
      <c r="O1089" s="323"/>
      <c r="P1089" s="215"/>
      <c r="Q1089" s="207"/>
      <c r="R1089" s="323"/>
      <c r="S1089" s="323"/>
      <c r="T1089" s="664"/>
      <c r="U1089" s="215"/>
      <c r="V1089" s="215"/>
    </row>
    <row r="1090" ht="15.0" customHeight="1">
      <c r="A1090" s="207"/>
      <c r="B1090" s="215"/>
      <c r="C1090" s="215"/>
      <c r="D1090" s="215"/>
      <c r="E1090" s="215"/>
      <c r="F1090" s="215"/>
      <c r="G1090" s="215"/>
      <c r="H1090" s="215"/>
      <c r="I1090" s="207"/>
      <c r="J1090" s="215"/>
      <c r="K1090" s="207"/>
      <c r="L1090" s="215"/>
      <c r="M1090" s="323"/>
      <c r="N1090" s="215"/>
      <c r="O1090" s="323"/>
      <c r="P1090" s="215"/>
      <c r="Q1090" s="207"/>
      <c r="R1090" s="323"/>
      <c r="S1090" s="323"/>
      <c r="T1090" s="664"/>
      <c r="U1090" s="215"/>
      <c r="V1090" s="215"/>
    </row>
    <row r="1091" ht="15.0" customHeight="1">
      <c r="A1091" s="207"/>
      <c r="B1091" s="215"/>
      <c r="C1091" s="215"/>
      <c r="D1091" s="215"/>
      <c r="E1091" s="215"/>
      <c r="F1091" s="215"/>
      <c r="G1091" s="215"/>
      <c r="H1091" s="215"/>
      <c r="I1091" s="207"/>
      <c r="J1091" s="215"/>
      <c r="K1091" s="207"/>
      <c r="L1091" s="215"/>
      <c r="M1091" s="323"/>
      <c r="N1091" s="215"/>
      <c r="O1091" s="323"/>
      <c r="P1091" s="215"/>
      <c r="Q1091" s="207"/>
      <c r="R1091" s="323"/>
      <c r="S1091" s="323"/>
      <c r="T1091" s="664"/>
      <c r="U1091" s="215"/>
      <c r="V1091" s="215"/>
    </row>
    <row r="1092" ht="15.0" customHeight="1">
      <c r="A1092" s="207"/>
      <c r="B1092" s="215"/>
      <c r="C1092" s="215"/>
      <c r="D1092" s="215"/>
      <c r="E1092" s="215"/>
      <c r="F1092" s="215"/>
      <c r="G1092" s="215"/>
      <c r="H1092" s="215"/>
      <c r="I1092" s="207"/>
      <c r="J1092" s="215"/>
      <c r="K1092" s="207"/>
      <c r="L1092" s="215"/>
      <c r="M1092" s="323"/>
      <c r="N1092" s="215"/>
      <c r="O1092" s="323"/>
      <c r="P1092" s="215"/>
      <c r="Q1092" s="207"/>
      <c r="R1092" s="323"/>
      <c r="S1092" s="323"/>
      <c r="T1092" s="664"/>
      <c r="U1092" s="215"/>
      <c r="V1092" s="215"/>
    </row>
    <row r="1093" ht="15.0" customHeight="1">
      <c r="A1093" s="207"/>
      <c r="B1093" s="215"/>
      <c r="C1093" s="215"/>
      <c r="D1093" s="215"/>
      <c r="E1093" s="215"/>
      <c r="F1093" s="215"/>
      <c r="G1093" s="215"/>
      <c r="H1093" s="215"/>
      <c r="I1093" s="207"/>
      <c r="J1093" s="215"/>
      <c r="K1093" s="207"/>
      <c r="L1093" s="215"/>
      <c r="M1093" s="323"/>
      <c r="N1093" s="215"/>
      <c r="O1093" s="323"/>
      <c r="P1093" s="215"/>
      <c r="Q1093" s="207"/>
      <c r="R1093" s="323"/>
      <c r="S1093" s="323"/>
      <c r="T1093" s="664"/>
      <c r="U1093" s="215"/>
      <c r="V1093" s="215"/>
    </row>
    <row r="1094" ht="15.0" customHeight="1">
      <c r="A1094" s="207"/>
      <c r="B1094" s="215"/>
      <c r="C1094" s="215"/>
      <c r="D1094" s="215"/>
      <c r="E1094" s="215"/>
      <c r="F1094" s="215"/>
      <c r="G1094" s="215"/>
      <c r="H1094" s="215"/>
      <c r="I1094" s="207"/>
      <c r="J1094" s="215"/>
      <c r="K1094" s="207"/>
      <c r="L1094" s="215"/>
      <c r="M1094" s="323"/>
      <c r="N1094" s="215"/>
      <c r="O1094" s="323"/>
      <c r="P1094" s="215"/>
      <c r="Q1094" s="207"/>
      <c r="R1094" s="323"/>
      <c r="S1094" s="323"/>
      <c r="T1094" s="664"/>
      <c r="U1094" s="215"/>
      <c r="V1094" s="215"/>
    </row>
    <row r="1095" ht="15.0" customHeight="1">
      <c r="A1095" s="207"/>
      <c r="B1095" s="215"/>
      <c r="C1095" s="215"/>
      <c r="D1095" s="215"/>
      <c r="E1095" s="215"/>
      <c r="F1095" s="215"/>
      <c r="G1095" s="215"/>
      <c r="H1095" s="215"/>
      <c r="I1095" s="207"/>
      <c r="J1095" s="215"/>
      <c r="K1095" s="207"/>
      <c r="L1095" s="215"/>
      <c r="M1095" s="323"/>
      <c r="N1095" s="215"/>
      <c r="O1095" s="323"/>
      <c r="P1095" s="215"/>
      <c r="Q1095" s="207"/>
      <c r="R1095" s="323"/>
      <c r="S1095" s="323"/>
      <c r="T1095" s="664"/>
      <c r="U1095" s="215"/>
      <c r="V1095" s="215"/>
    </row>
    <row r="1096" ht="15.0" customHeight="1">
      <c r="A1096" s="207"/>
      <c r="B1096" s="215"/>
      <c r="C1096" s="215"/>
      <c r="D1096" s="215"/>
      <c r="E1096" s="215"/>
      <c r="F1096" s="215"/>
      <c r="G1096" s="215"/>
      <c r="H1096" s="215"/>
      <c r="I1096" s="207"/>
      <c r="J1096" s="215"/>
      <c r="K1096" s="207"/>
      <c r="L1096" s="215"/>
      <c r="M1096" s="323"/>
      <c r="N1096" s="215"/>
      <c r="O1096" s="323"/>
      <c r="P1096" s="215"/>
      <c r="Q1096" s="207"/>
      <c r="R1096" s="323"/>
      <c r="S1096" s="323"/>
      <c r="T1096" s="664"/>
      <c r="U1096" s="215"/>
      <c r="V1096" s="215"/>
    </row>
    <row r="1097" ht="15.0" customHeight="1">
      <c r="A1097" s="207"/>
      <c r="B1097" s="215"/>
      <c r="C1097" s="215"/>
      <c r="D1097" s="215"/>
      <c r="E1097" s="215"/>
      <c r="F1097" s="215"/>
      <c r="G1097" s="215"/>
      <c r="H1097" s="215"/>
      <c r="I1097" s="207"/>
      <c r="J1097" s="215"/>
      <c r="K1097" s="207"/>
      <c r="L1097" s="215"/>
      <c r="M1097" s="323"/>
      <c r="N1097" s="215"/>
      <c r="O1097" s="323"/>
      <c r="P1097" s="215"/>
      <c r="Q1097" s="207"/>
      <c r="R1097" s="323"/>
      <c r="S1097" s="323"/>
      <c r="T1097" s="664"/>
      <c r="U1097" s="215"/>
      <c r="V1097" s="215"/>
    </row>
    <row r="1098" ht="15.0" customHeight="1">
      <c r="A1098" s="207"/>
      <c r="B1098" s="215"/>
      <c r="C1098" s="215"/>
      <c r="D1098" s="215"/>
      <c r="E1098" s="215"/>
      <c r="F1098" s="215"/>
      <c r="G1098" s="215"/>
      <c r="H1098" s="215"/>
      <c r="I1098" s="207"/>
      <c r="J1098" s="215"/>
      <c r="K1098" s="207"/>
      <c r="L1098" s="215"/>
      <c r="M1098" s="323"/>
      <c r="N1098" s="215"/>
      <c r="O1098" s="323"/>
      <c r="P1098" s="215"/>
      <c r="Q1098" s="207"/>
      <c r="R1098" s="323"/>
      <c r="S1098" s="323"/>
      <c r="T1098" s="664"/>
      <c r="U1098" s="215"/>
      <c r="V1098" s="215"/>
    </row>
    <row r="1099" ht="15.0" customHeight="1">
      <c r="A1099" s="207"/>
      <c r="B1099" s="215"/>
      <c r="C1099" s="215"/>
      <c r="D1099" s="215"/>
      <c r="E1099" s="215"/>
      <c r="F1099" s="215"/>
      <c r="G1099" s="215"/>
      <c r="H1099" s="215"/>
      <c r="I1099" s="207"/>
      <c r="J1099" s="215"/>
      <c r="K1099" s="207"/>
      <c r="L1099" s="215"/>
      <c r="M1099" s="323"/>
      <c r="N1099" s="215"/>
      <c r="O1099" s="323"/>
      <c r="P1099" s="215"/>
      <c r="Q1099" s="207"/>
      <c r="R1099" s="323"/>
      <c r="S1099" s="323"/>
      <c r="T1099" s="664"/>
      <c r="U1099" s="215"/>
      <c r="V1099" s="215"/>
    </row>
    <row r="1100" ht="15.0" customHeight="1">
      <c r="A1100" s="207"/>
      <c r="B1100" s="215"/>
      <c r="C1100" s="215"/>
      <c r="D1100" s="215"/>
      <c r="E1100" s="215"/>
      <c r="F1100" s="215"/>
      <c r="G1100" s="215"/>
      <c r="H1100" s="215"/>
      <c r="I1100" s="207"/>
      <c r="J1100" s="215"/>
      <c r="K1100" s="207"/>
      <c r="L1100" s="215"/>
      <c r="M1100" s="323"/>
      <c r="N1100" s="215"/>
      <c r="O1100" s="323"/>
      <c r="P1100" s="215"/>
      <c r="Q1100" s="207"/>
      <c r="R1100" s="323"/>
      <c r="S1100" s="323"/>
      <c r="T1100" s="664"/>
      <c r="U1100" s="215"/>
      <c r="V1100" s="215"/>
    </row>
    <row r="1101" ht="15.0" customHeight="1">
      <c r="A1101" s="207"/>
      <c r="B1101" s="215"/>
      <c r="C1101" s="215"/>
      <c r="D1101" s="215"/>
      <c r="E1101" s="215"/>
      <c r="F1101" s="215"/>
      <c r="G1101" s="215"/>
      <c r="H1101" s="215"/>
      <c r="I1101" s="207"/>
      <c r="J1101" s="215"/>
      <c r="K1101" s="207"/>
      <c r="L1101" s="215"/>
      <c r="M1101" s="323"/>
      <c r="N1101" s="215"/>
      <c r="O1101" s="323"/>
      <c r="P1101" s="215"/>
      <c r="Q1101" s="207"/>
      <c r="R1101" s="323"/>
      <c r="S1101" s="323"/>
      <c r="T1101" s="664"/>
      <c r="U1101" s="215"/>
      <c r="V1101" s="215"/>
    </row>
    <row r="1102" ht="15.0" customHeight="1">
      <c r="A1102" s="207"/>
      <c r="B1102" s="215"/>
      <c r="C1102" s="215"/>
      <c r="D1102" s="215"/>
      <c r="E1102" s="215"/>
      <c r="F1102" s="215"/>
      <c r="G1102" s="215"/>
      <c r="H1102" s="215"/>
      <c r="I1102" s="207"/>
      <c r="J1102" s="215"/>
      <c r="K1102" s="207"/>
      <c r="L1102" s="215"/>
      <c r="M1102" s="323"/>
      <c r="N1102" s="215"/>
      <c r="O1102" s="323"/>
      <c r="P1102" s="215"/>
      <c r="Q1102" s="207"/>
      <c r="R1102" s="323"/>
      <c r="S1102" s="323"/>
      <c r="T1102" s="664"/>
      <c r="U1102" s="215"/>
      <c r="V1102" s="215"/>
    </row>
    <row r="1103" ht="15.0" customHeight="1">
      <c r="A1103" s="207"/>
      <c r="B1103" s="215"/>
      <c r="C1103" s="215"/>
      <c r="D1103" s="215"/>
      <c r="E1103" s="215"/>
      <c r="F1103" s="215"/>
      <c r="G1103" s="215"/>
      <c r="H1103" s="215"/>
      <c r="I1103" s="207"/>
      <c r="J1103" s="215"/>
      <c r="K1103" s="207"/>
      <c r="L1103" s="215"/>
      <c r="M1103" s="323"/>
      <c r="N1103" s="215"/>
      <c r="O1103" s="323"/>
      <c r="P1103" s="215"/>
      <c r="Q1103" s="207"/>
      <c r="R1103" s="323"/>
      <c r="S1103" s="323"/>
      <c r="T1103" s="664"/>
      <c r="U1103" s="215"/>
      <c r="V1103" s="215"/>
    </row>
    <row r="1104" ht="15.0" customHeight="1">
      <c r="A1104" s="207"/>
      <c r="B1104" s="215"/>
      <c r="C1104" s="215"/>
      <c r="D1104" s="215"/>
      <c r="E1104" s="215"/>
      <c r="F1104" s="215"/>
      <c r="G1104" s="215"/>
      <c r="H1104" s="215"/>
      <c r="I1104" s="207"/>
      <c r="J1104" s="215"/>
      <c r="K1104" s="207"/>
      <c r="L1104" s="215"/>
      <c r="M1104" s="323"/>
      <c r="N1104" s="215"/>
      <c r="O1104" s="323"/>
      <c r="P1104" s="215"/>
      <c r="Q1104" s="207"/>
      <c r="R1104" s="323"/>
      <c r="S1104" s="323"/>
      <c r="T1104" s="664"/>
      <c r="U1104" s="215"/>
      <c r="V1104" s="215"/>
    </row>
    <row r="1105" ht="15.0" customHeight="1">
      <c r="A1105" s="207"/>
      <c r="B1105" s="215"/>
      <c r="C1105" s="215"/>
      <c r="D1105" s="215"/>
      <c r="E1105" s="215"/>
      <c r="F1105" s="215"/>
      <c r="G1105" s="215"/>
      <c r="H1105" s="215"/>
      <c r="I1105" s="207"/>
      <c r="J1105" s="215"/>
      <c r="K1105" s="207"/>
      <c r="L1105" s="215"/>
      <c r="M1105" s="323"/>
      <c r="N1105" s="215"/>
      <c r="O1105" s="323"/>
      <c r="P1105" s="215"/>
      <c r="Q1105" s="207"/>
      <c r="R1105" s="323"/>
      <c r="S1105" s="323"/>
      <c r="T1105" s="664"/>
      <c r="U1105" s="215"/>
      <c r="V1105" s="215"/>
    </row>
    <row r="1106" ht="15.0" customHeight="1">
      <c r="A1106" s="207"/>
      <c r="B1106" s="215"/>
      <c r="C1106" s="215"/>
      <c r="D1106" s="215"/>
      <c r="E1106" s="215"/>
      <c r="F1106" s="215"/>
      <c r="G1106" s="215"/>
      <c r="H1106" s="215"/>
      <c r="I1106" s="207"/>
      <c r="J1106" s="215"/>
      <c r="K1106" s="207"/>
      <c r="L1106" s="215"/>
      <c r="M1106" s="323"/>
      <c r="N1106" s="215"/>
      <c r="O1106" s="323"/>
      <c r="P1106" s="215"/>
      <c r="Q1106" s="207"/>
      <c r="R1106" s="323"/>
      <c r="S1106" s="323"/>
      <c r="T1106" s="664"/>
      <c r="U1106" s="215"/>
      <c r="V1106" s="215"/>
    </row>
    <row r="1107" ht="15.0" customHeight="1">
      <c r="A1107" s="207"/>
      <c r="B1107" s="215"/>
      <c r="C1107" s="215"/>
      <c r="D1107" s="215"/>
      <c r="E1107" s="215"/>
      <c r="F1107" s="215"/>
      <c r="G1107" s="215"/>
      <c r="H1107" s="215"/>
      <c r="I1107" s="207"/>
      <c r="J1107" s="215"/>
      <c r="K1107" s="207"/>
      <c r="L1107" s="215"/>
      <c r="M1107" s="323"/>
      <c r="N1107" s="215"/>
      <c r="O1107" s="323"/>
      <c r="P1107" s="215"/>
      <c r="Q1107" s="207"/>
      <c r="R1107" s="323"/>
      <c r="S1107" s="323"/>
      <c r="T1107" s="664"/>
      <c r="U1107" s="215"/>
      <c r="V1107" s="215"/>
    </row>
    <row r="1108" ht="15.0" customHeight="1">
      <c r="A1108" s="207"/>
      <c r="B1108" s="215"/>
      <c r="C1108" s="215"/>
      <c r="D1108" s="215"/>
      <c r="E1108" s="215"/>
      <c r="F1108" s="215"/>
      <c r="G1108" s="215"/>
      <c r="H1108" s="215"/>
      <c r="I1108" s="207"/>
      <c r="J1108" s="215"/>
      <c r="K1108" s="207"/>
      <c r="L1108" s="215"/>
      <c r="M1108" s="323"/>
      <c r="N1108" s="215"/>
      <c r="O1108" s="323"/>
      <c r="P1108" s="215"/>
      <c r="Q1108" s="207"/>
      <c r="R1108" s="323"/>
      <c r="S1108" s="323"/>
      <c r="T1108" s="664"/>
      <c r="U1108" s="215"/>
      <c r="V1108" s="215"/>
    </row>
    <row r="1109" ht="15.0" customHeight="1">
      <c r="A1109" s="207"/>
      <c r="B1109" s="215"/>
      <c r="C1109" s="215"/>
      <c r="D1109" s="215"/>
      <c r="E1109" s="215"/>
      <c r="F1109" s="215"/>
      <c r="G1109" s="215"/>
      <c r="H1109" s="215"/>
      <c r="I1109" s="207"/>
      <c r="J1109" s="215"/>
      <c r="K1109" s="207"/>
      <c r="L1109" s="215"/>
      <c r="M1109" s="323"/>
      <c r="N1109" s="215"/>
      <c r="O1109" s="323"/>
      <c r="P1109" s="215"/>
      <c r="Q1109" s="207"/>
      <c r="R1109" s="323"/>
      <c r="S1109" s="323"/>
      <c r="T1109" s="664"/>
      <c r="U1109" s="215"/>
      <c r="V1109" s="215"/>
    </row>
    <row r="1110" ht="15.0" customHeight="1">
      <c r="A1110" s="207"/>
      <c r="B1110" s="215"/>
      <c r="C1110" s="215"/>
      <c r="D1110" s="215"/>
      <c r="E1110" s="215"/>
      <c r="F1110" s="215"/>
      <c r="G1110" s="215"/>
      <c r="H1110" s="215"/>
      <c r="I1110" s="207"/>
      <c r="J1110" s="215"/>
      <c r="K1110" s="207"/>
      <c r="L1110" s="215"/>
      <c r="M1110" s="323"/>
      <c r="N1110" s="215"/>
      <c r="O1110" s="323"/>
      <c r="P1110" s="215"/>
      <c r="Q1110" s="207"/>
      <c r="R1110" s="323"/>
      <c r="S1110" s="323"/>
      <c r="T1110" s="664"/>
      <c r="U1110" s="215"/>
      <c r="V1110" s="215"/>
    </row>
    <row r="1111" ht="15.0" customHeight="1">
      <c r="A1111" s="207"/>
      <c r="B1111" s="215"/>
      <c r="C1111" s="215"/>
      <c r="D1111" s="215"/>
      <c r="E1111" s="215"/>
      <c r="F1111" s="215"/>
      <c r="G1111" s="215"/>
      <c r="H1111" s="215"/>
      <c r="I1111" s="207"/>
      <c r="J1111" s="215"/>
      <c r="K1111" s="207"/>
      <c r="L1111" s="215"/>
      <c r="M1111" s="323"/>
      <c r="N1111" s="215"/>
      <c r="O1111" s="323"/>
      <c r="P1111" s="215"/>
      <c r="Q1111" s="207"/>
      <c r="R1111" s="323"/>
      <c r="S1111" s="323"/>
      <c r="T1111" s="664"/>
      <c r="U1111" s="215"/>
      <c r="V1111" s="215"/>
    </row>
    <row r="1112" ht="15.0" customHeight="1">
      <c r="A1112" s="207"/>
      <c r="B1112" s="215"/>
      <c r="C1112" s="215"/>
      <c r="D1112" s="215"/>
      <c r="E1112" s="215"/>
      <c r="F1112" s="215"/>
      <c r="G1112" s="215"/>
      <c r="H1112" s="215"/>
      <c r="I1112" s="207"/>
      <c r="J1112" s="215"/>
      <c r="K1112" s="207"/>
      <c r="L1112" s="215"/>
      <c r="M1112" s="323"/>
      <c r="N1112" s="215"/>
      <c r="O1112" s="323"/>
      <c r="P1112" s="215"/>
      <c r="Q1112" s="207"/>
      <c r="R1112" s="323"/>
      <c r="S1112" s="323"/>
      <c r="T1112" s="664"/>
      <c r="U1112" s="215"/>
      <c r="V1112" s="215"/>
    </row>
    <row r="1113" ht="15.0" customHeight="1">
      <c r="A1113" s="207"/>
      <c r="B1113" s="215"/>
      <c r="C1113" s="215"/>
      <c r="D1113" s="215"/>
      <c r="E1113" s="215"/>
      <c r="F1113" s="215"/>
      <c r="G1113" s="215"/>
      <c r="H1113" s="215"/>
      <c r="I1113" s="207"/>
      <c r="J1113" s="215"/>
      <c r="K1113" s="207"/>
      <c r="L1113" s="215"/>
      <c r="M1113" s="323"/>
      <c r="N1113" s="215"/>
      <c r="O1113" s="323"/>
      <c r="P1113" s="215"/>
      <c r="Q1113" s="207"/>
      <c r="R1113" s="323"/>
      <c r="S1113" s="323"/>
      <c r="T1113" s="664"/>
      <c r="U1113" s="215"/>
      <c r="V1113" s="215"/>
    </row>
    <row r="1114" ht="15.0" customHeight="1">
      <c r="A1114" s="207"/>
      <c r="B1114" s="215"/>
      <c r="C1114" s="215"/>
      <c r="D1114" s="215"/>
      <c r="E1114" s="215"/>
      <c r="F1114" s="215"/>
      <c r="G1114" s="215"/>
      <c r="H1114" s="215"/>
      <c r="I1114" s="207"/>
      <c r="J1114" s="215"/>
      <c r="K1114" s="207"/>
      <c r="L1114" s="215"/>
      <c r="M1114" s="323"/>
      <c r="N1114" s="215"/>
      <c r="O1114" s="323"/>
      <c r="P1114" s="215"/>
      <c r="Q1114" s="207"/>
      <c r="R1114" s="323"/>
      <c r="S1114" s="323"/>
      <c r="T1114" s="664"/>
      <c r="U1114" s="215"/>
      <c r="V1114" s="215"/>
    </row>
    <row r="1115" ht="15.0" customHeight="1">
      <c r="A1115" s="207"/>
      <c r="B1115" s="215"/>
      <c r="C1115" s="215"/>
      <c r="D1115" s="215"/>
      <c r="E1115" s="215"/>
      <c r="F1115" s="215"/>
      <c r="G1115" s="215"/>
      <c r="H1115" s="215"/>
      <c r="I1115" s="207"/>
      <c r="J1115" s="215"/>
      <c r="K1115" s="207"/>
      <c r="L1115" s="215"/>
      <c r="M1115" s="323"/>
      <c r="N1115" s="215"/>
      <c r="O1115" s="323"/>
      <c r="P1115" s="215"/>
      <c r="Q1115" s="207"/>
      <c r="R1115" s="323"/>
      <c r="S1115" s="323"/>
      <c r="T1115" s="664"/>
      <c r="U1115" s="215"/>
      <c r="V1115" s="215"/>
    </row>
    <row r="1116" ht="15.0" customHeight="1">
      <c r="A1116" s="207"/>
      <c r="B1116" s="215"/>
      <c r="C1116" s="215"/>
      <c r="D1116" s="215"/>
      <c r="E1116" s="215"/>
      <c r="F1116" s="215"/>
      <c r="G1116" s="215"/>
      <c r="H1116" s="215"/>
      <c r="I1116" s="207"/>
      <c r="J1116" s="215"/>
      <c r="K1116" s="207"/>
      <c r="L1116" s="215"/>
      <c r="M1116" s="323"/>
      <c r="N1116" s="215"/>
      <c r="O1116" s="323"/>
      <c r="P1116" s="215"/>
      <c r="Q1116" s="207"/>
      <c r="R1116" s="323"/>
      <c r="S1116" s="323"/>
      <c r="T1116" s="664"/>
      <c r="U1116" s="215"/>
      <c r="V1116" s="215"/>
    </row>
    <row r="1117" ht="15.0" customHeight="1">
      <c r="A1117" s="207"/>
      <c r="B1117" s="215"/>
      <c r="C1117" s="215"/>
      <c r="D1117" s="215"/>
      <c r="E1117" s="215"/>
      <c r="F1117" s="215"/>
      <c r="G1117" s="215"/>
      <c r="H1117" s="215"/>
      <c r="I1117" s="207"/>
      <c r="J1117" s="215"/>
      <c r="K1117" s="207"/>
      <c r="L1117" s="215"/>
      <c r="M1117" s="323"/>
      <c r="N1117" s="215"/>
      <c r="O1117" s="323"/>
      <c r="P1117" s="215"/>
      <c r="Q1117" s="207"/>
      <c r="R1117" s="323"/>
      <c r="S1117" s="323"/>
      <c r="T1117" s="664"/>
      <c r="U1117" s="215"/>
      <c r="V1117" s="215"/>
    </row>
    <row r="1118" ht="15.0" customHeight="1">
      <c r="A1118" s="207"/>
      <c r="B1118" s="215"/>
      <c r="C1118" s="215"/>
      <c r="D1118" s="215"/>
      <c r="E1118" s="215"/>
      <c r="F1118" s="215"/>
      <c r="G1118" s="215"/>
      <c r="H1118" s="215"/>
      <c r="I1118" s="207"/>
      <c r="J1118" s="215"/>
      <c r="K1118" s="207"/>
      <c r="L1118" s="215"/>
      <c r="M1118" s="323"/>
      <c r="N1118" s="215"/>
      <c r="O1118" s="323"/>
      <c r="P1118" s="215"/>
      <c r="Q1118" s="207"/>
      <c r="R1118" s="323"/>
      <c r="S1118" s="323"/>
      <c r="T1118" s="664"/>
      <c r="U1118" s="215"/>
      <c r="V1118" s="215"/>
    </row>
    <row r="1119" ht="15.0" customHeight="1">
      <c r="A1119" s="207"/>
      <c r="B1119" s="215"/>
      <c r="C1119" s="215"/>
      <c r="D1119" s="215"/>
      <c r="E1119" s="215"/>
      <c r="F1119" s="215"/>
      <c r="G1119" s="215"/>
      <c r="H1119" s="215"/>
      <c r="I1119" s="207"/>
      <c r="J1119" s="215"/>
      <c r="K1119" s="207"/>
      <c r="L1119" s="215"/>
      <c r="M1119" s="323"/>
      <c r="N1119" s="215"/>
      <c r="O1119" s="323"/>
      <c r="P1119" s="215"/>
      <c r="Q1119" s="207"/>
      <c r="R1119" s="323"/>
      <c r="S1119" s="323"/>
      <c r="T1119" s="664"/>
      <c r="U1119" s="215"/>
      <c r="V1119" s="215"/>
    </row>
    <row r="1120" ht="15.0" customHeight="1">
      <c r="A1120" s="207"/>
      <c r="B1120" s="215"/>
      <c r="C1120" s="215"/>
      <c r="D1120" s="215"/>
      <c r="E1120" s="215"/>
      <c r="F1120" s="215"/>
      <c r="G1120" s="215"/>
      <c r="H1120" s="215"/>
      <c r="I1120" s="207"/>
      <c r="J1120" s="215"/>
      <c r="K1120" s="207"/>
      <c r="L1120" s="215"/>
      <c r="M1120" s="323"/>
      <c r="N1120" s="215"/>
      <c r="O1120" s="323"/>
      <c r="P1120" s="215"/>
      <c r="Q1120" s="207"/>
      <c r="R1120" s="323"/>
      <c r="S1120" s="323"/>
      <c r="T1120" s="664"/>
      <c r="U1120" s="215"/>
      <c r="V1120" s="215"/>
    </row>
    <row r="1121" ht="15.0" customHeight="1">
      <c r="A1121" s="207"/>
      <c r="B1121" s="215"/>
      <c r="C1121" s="215"/>
      <c r="D1121" s="215"/>
      <c r="E1121" s="215"/>
      <c r="F1121" s="215"/>
      <c r="G1121" s="215"/>
      <c r="H1121" s="215"/>
      <c r="I1121" s="207"/>
      <c r="J1121" s="215"/>
      <c r="K1121" s="207"/>
      <c r="L1121" s="215"/>
      <c r="M1121" s="323"/>
      <c r="N1121" s="215"/>
      <c r="O1121" s="323"/>
      <c r="P1121" s="215"/>
      <c r="Q1121" s="207"/>
      <c r="R1121" s="323"/>
      <c r="S1121" s="323"/>
      <c r="T1121" s="664"/>
      <c r="U1121" s="215"/>
      <c r="V1121" s="215"/>
    </row>
    <row r="1122" ht="15.0" customHeight="1">
      <c r="A1122" s="207"/>
      <c r="B1122" s="215"/>
      <c r="C1122" s="215"/>
      <c r="D1122" s="215"/>
      <c r="E1122" s="215"/>
      <c r="F1122" s="215"/>
      <c r="G1122" s="215"/>
      <c r="H1122" s="215"/>
      <c r="I1122" s="207"/>
      <c r="J1122" s="215"/>
      <c r="K1122" s="207"/>
      <c r="L1122" s="215"/>
      <c r="M1122" s="323"/>
      <c r="N1122" s="215"/>
      <c r="O1122" s="323"/>
      <c r="P1122" s="215"/>
      <c r="Q1122" s="207"/>
      <c r="R1122" s="323"/>
      <c r="S1122" s="323"/>
      <c r="T1122" s="664"/>
      <c r="U1122" s="215"/>
      <c r="V1122" s="215"/>
    </row>
    <row r="1123" ht="15.0" customHeight="1">
      <c r="A1123" s="207"/>
      <c r="B1123" s="215"/>
      <c r="C1123" s="215"/>
      <c r="D1123" s="215"/>
      <c r="E1123" s="215"/>
      <c r="F1123" s="215"/>
      <c r="G1123" s="215"/>
      <c r="H1123" s="215"/>
      <c r="I1123" s="207"/>
      <c r="J1123" s="215"/>
      <c r="K1123" s="207"/>
      <c r="L1123" s="215"/>
      <c r="M1123" s="323"/>
      <c r="N1123" s="215"/>
      <c r="O1123" s="323"/>
      <c r="P1123" s="215"/>
      <c r="Q1123" s="207"/>
      <c r="R1123" s="323"/>
      <c r="S1123" s="323"/>
      <c r="T1123" s="664"/>
      <c r="U1123" s="215"/>
      <c r="V1123" s="215"/>
    </row>
    <row r="1124" ht="15.0" customHeight="1">
      <c r="A1124" s="207"/>
      <c r="B1124" s="215"/>
      <c r="C1124" s="215"/>
      <c r="D1124" s="215"/>
      <c r="E1124" s="215"/>
      <c r="F1124" s="215"/>
      <c r="G1124" s="215"/>
      <c r="H1124" s="215"/>
      <c r="I1124" s="207"/>
      <c r="J1124" s="215"/>
      <c r="K1124" s="207"/>
      <c r="L1124" s="215"/>
      <c r="M1124" s="323"/>
      <c r="N1124" s="215"/>
      <c r="O1124" s="323"/>
      <c r="P1124" s="215"/>
      <c r="Q1124" s="207"/>
      <c r="R1124" s="323"/>
      <c r="S1124" s="323"/>
      <c r="T1124" s="664"/>
      <c r="U1124" s="215"/>
      <c r="V1124" s="215"/>
    </row>
    <row r="1125" ht="15.0" customHeight="1">
      <c r="A1125" s="207"/>
      <c r="B1125" s="215"/>
      <c r="C1125" s="215"/>
      <c r="D1125" s="215"/>
      <c r="E1125" s="215"/>
      <c r="F1125" s="215"/>
      <c r="G1125" s="215"/>
      <c r="H1125" s="215"/>
      <c r="I1125" s="207"/>
      <c r="J1125" s="215"/>
      <c r="K1125" s="207"/>
      <c r="L1125" s="215"/>
      <c r="M1125" s="323"/>
      <c r="N1125" s="215"/>
      <c r="O1125" s="323"/>
      <c r="P1125" s="215"/>
      <c r="Q1125" s="207"/>
      <c r="R1125" s="323"/>
      <c r="S1125" s="323"/>
      <c r="T1125" s="664"/>
      <c r="U1125" s="215"/>
      <c r="V1125" s="215"/>
    </row>
    <row r="1126" ht="15.0" customHeight="1">
      <c r="A1126" s="207"/>
      <c r="B1126" s="215"/>
      <c r="C1126" s="215"/>
      <c r="D1126" s="215"/>
      <c r="E1126" s="215"/>
      <c r="F1126" s="215"/>
      <c r="G1126" s="215"/>
      <c r="H1126" s="215"/>
      <c r="I1126" s="207"/>
      <c r="J1126" s="215"/>
      <c r="K1126" s="207"/>
      <c r="L1126" s="215"/>
      <c r="M1126" s="323"/>
      <c r="N1126" s="215"/>
      <c r="O1126" s="323"/>
      <c r="P1126" s="215"/>
      <c r="Q1126" s="207"/>
      <c r="R1126" s="323"/>
      <c r="S1126" s="323"/>
      <c r="T1126" s="664"/>
      <c r="U1126" s="215"/>
      <c r="V1126" s="215"/>
    </row>
    <row r="1127" ht="15.0" customHeight="1">
      <c r="A1127" s="207"/>
      <c r="B1127" s="215"/>
      <c r="C1127" s="215"/>
      <c r="D1127" s="215"/>
      <c r="E1127" s="215"/>
      <c r="F1127" s="215"/>
      <c r="G1127" s="215"/>
      <c r="H1127" s="215"/>
      <c r="I1127" s="207"/>
      <c r="J1127" s="215"/>
      <c r="K1127" s="207"/>
      <c r="L1127" s="215"/>
      <c r="M1127" s="323"/>
      <c r="N1127" s="215"/>
      <c r="O1127" s="323"/>
      <c r="P1127" s="215"/>
      <c r="Q1127" s="207"/>
      <c r="R1127" s="323"/>
      <c r="S1127" s="323"/>
      <c r="T1127" s="664"/>
      <c r="U1127" s="215"/>
      <c r="V1127" s="215"/>
    </row>
    <row r="1128" ht="15.0" customHeight="1">
      <c r="A1128" s="207"/>
      <c r="B1128" s="215"/>
      <c r="C1128" s="215"/>
      <c r="D1128" s="215"/>
      <c r="E1128" s="215"/>
      <c r="F1128" s="215"/>
      <c r="G1128" s="215"/>
      <c r="H1128" s="215"/>
      <c r="I1128" s="207"/>
      <c r="J1128" s="215"/>
      <c r="K1128" s="207"/>
      <c r="L1128" s="215"/>
      <c r="M1128" s="323"/>
      <c r="N1128" s="215"/>
      <c r="O1128" s="323"/>
      <c r="P1128" s="215"/>
      <c r="Q1128" s="207"/>
      <c r="R1128" s="323"/>
      <c r="S1128" s="323"/>
      <c r="T1128" s="664"/>
      <c r="U1128" s="215"/>
      <c r="V1128" s="215"/>
    </row>
    <row r="1129" ht="15.0" customHeight="1">
      <c r="A1129" s="207"/>
      <c r="B1129" s="215"/>
      <c r="C1129" s="215"/>
      <c r="D1129" s="215"/>
      <c r="E1129" s="215"/>
      <c r="F1129" s="215"/>
      <c r="G1129" s="215"/>
      <c r="H1129" s="215"/>
      <c r="I1129" s="207"/>
      <c r="J1129" s="215"/>
      <c r="K1129" s="207"/>
      <c r="L1129" s="215"/>
      <c r="M1129" s="323"/>
      <c r="N1129" s="215"/>
      <c r="O1129" s="323"/>
      <c r="P1129" s="215"/>
      <c r="Q1129" s="207"/>
      <c r="R1129" s="323"/>
      <c r="S1129" s="323"/>
      <c r="T1129" s="664"/>
      <c r="U1129" s="215"/>
      <c r="V1129" s="215"/>
    </row>
    <row r="1130" ht="15.0" customHeight="1">
      <c r="A1130" s="207"/>
      <c r="B1130" s="215"/>
      <c r="C1130" s="215"/>
      <c r="D1130" s="215"/>
      <c r="E1130" s="215"/>
      <c r="F1130" s="215"/>
      <c r="G1130" s="215"/>
      <c r="H1130" s="215"/>
      <c r="I1130" s="207"/>
      <c r="J1130" s="215"/>
      <c r="K1130" s="207"/>
      <c r="L1130" s="215"/>
      <c r="M1130" s="323"/>
      <c r="N1130" s="215"/>
      <c r="O1130" s="323"/>
      <c r="P1130" s="215"/>
      <c r="Q1130" s="207"/>
      <c r="R1130" s="323"/>
      <c r="S1130" s="323"/>
      <c r="T1130" s="664"/>
      <c r="U1130" s="215"/>
      <c r="V1130" s="215"/>
    </row>
    <row r="1131" ht="15.0" customHeight="1">
      <c r="A1131" s="207"/>
      <c r="B1131" s="215"/>
      <c r="C1131" s="215"/>
      <c r="D1131" s="215"/>
      <c r="E1131" s="215"/>
      <c r="F1131" s="215"/>
      <c r="G1131" s="215"/>
      <c r="H1131" s="215"/>
      <c r="I1131" s="207"/>
      <c r="J1131" s="215"/>
      <c r="K1131" s="207"/>
      <c r="L1131" s="215"/>
      <c r="M1131" s="323"/>
      <c r="N1131" s="215"/>
      <c r="O1131" s="323"/>
      <c r="P1131" s="215"/>
      <c r="Q1131" s="207"/>
      <c r="R1131" s="323"/>
      <c r="S1131" s="323"/>
      <c r="T1131" s="664"/>
      <c r="U1131" s="215"/>
      <c r="V1131" s="215"/>
    </row>
    <row r="1132" ht="15.0" customHeight="1">
      <c r="A1132" s="207"/>
      <c r="B1132" s="215"/>
      <c r="C1132" s="215"/>
      <c r="D1132" s="215"/>
      <c r="E1132" s="215"/>
      <c r="F1132" s="215"/>
      <c r="G1132" s="215"/>
      <c r="H1132" s="215"/>
      <c r="I1132" s="207"/>
      <c r="J1132" s="215"/>
      <c r="K1132" s="207"/>
      <c r="L1132" s="215"/>
      <c r="M1132" s="323"/>
      <c r="N1132" s="215"/>
      <c r="O1132" s="323"/>
      <c r="P1132" s="215"/>
      <c r="Q1132" s="207"/>
      <c r="R1132" s="323"/>
      <c r="S1132" s="323"/>
      <c r="T1132" s="664"/>
      <c r="U1132" s="215"/>
      <c r="V1132" s="215"/>
    </row>
    <row r="1133" ht="15.0" customHeight="1">
      <c r="A1133" s="207"/>
      <c r="B1133" s="215"/>
      <c r="C1133" s="215"/>
      <c r="D1133" s="215"/>
      <c r="E1133" s="215"/>
      <c r="F1133" s="215"/>
      <c r="G1133" s="215"/>
      <c r="H1133" s="215"/>
      <c r="I1133" s="207"/>
      <c r="J1133" s="215"/>
      <c r="K1133" s="207"/>
      <c r="L1133" s="215"/>
      <c r="M1133" s="323"/>
      <c r="N1133" s="215"/>
      <c r="O1133" s="323"/>
      <c r="P1133" s="215"/>
      <c r="Q1133" s="207"/>
      <c r="R1133" s="323"/>
      <c r="S1133" s="323"/>
      <c r="T1133" s="664"/>
      <c r="U1133" s="215"/>
      <c r="V1133" s="215"/>
    </row>
    <row r="1134" ht="15.0" customHeight="1">
      <c r="A1134" s="207"/>
      <c r="B1134" s="215"/>
      <c r="C1134" s="215"/>
      <c r="D1134" s="215"/>
      <c r="E1134" s="215"/>
      <c r="F1134" s="215"/>
      <c r="G1134" s="215"/>
      <c r="H1134" s="215"/>
      <c r="I1134" s="207"/>
      <c r="J1134" s="215"/>
      <c r="K1134" s="207"/>
      <c r="L1134" s="215"/>
      <c r="M1134" s="323"/>
      <c r="N1134" s="215"/>
      <c r="O1134" s="323"/>
      <c r="P1134" s="215"/>
      <c r="Q1134" s="207"/>
      <c r="R1134" s="323"/>
      <c r="S1134" s="323"/>
      <c r="T1134" s="664"/>
      <c r="U1134" s="215"/>
      <c r="V1134" s="215"/>
    </row>
    <row r="1135" ht="15.0" customHeight="1">
      <c r="A1135" s="207"/>
      <c r="B1135" s="215"/>
      <c r="C1135" s="215"/>
      <c r="D1135" s="215"/>
      <c r="E1135" s="215"/>
      <c r="F1135" s="215"/>
      <c r="G1135" s="215"/>
      <c r="H1135" s="215"/>
      <c r="I1135" s="207"/>
      <c r="J1135" s="215"/>
      <c r="K1135" s="207"/>
      <c r="L1135" s="215"/>
      <c r="M1135" s="323"/>
      <c r="N1135" s="215"/>
      <c r="O1135" s="323"/>
      <c r="P1135" s="215"/>
      <c r="Q1135" s="207"/>
      <c r="R1135" s="323"/>
      <c r="S1135" s="323"/>
      <c r="T1135" s="664"/>
      <c r="U1135" s="215"/>
      <c r="V1135" s="215"/>
    </row>
    <row r="1136" ht="15.0" customHeight="1">
      <c r="A1136" s="207"/>
      <c r="B1136" s="215"/>
      <c r="C1136" s="215"/>
      <c r="D1136" s="215"/>
      <c r="E1136" s="215"/>
      <c r="F1136" s="215"/>
      <c r="G1136" s="215"/>
      <c r="H1136" s="215"/>
      <c r="I1136" s="207"/>
      <c r="J1136" s="215"/>
      <c r="K1136" s="207"/>
      <c r="L1136" s="215"/>
      <c r="M1136" s="323"/>
      <c r="N1136" s="215"/>
      <c r="O1136" s="323"/>
      <c r="P1136" s="215"/>
      <c r="Q1136" s="207"/>
      <c r="R1136" s="323"/>
      <c r="S1136" s="323"/>
      <c r="T1136" s="664"/>
      <c r="U1136" s="215"/>
      <c r="V1136" s="215"/>
    </row>
    <row r="1137" ht="15.0" customHeight="1">
      <c r="A1137" s="207"/>
      <c r="B1137" s="215"/>
      <c r="C1137" s="215"/>
      <c r="D1137" s="215"/>
      <c r="E1137" s="215"/>
      <c r="F1137" s="215"/>
      <c r="G1137" s="215"/>
      <c r="H1137" s="215"/>
      <c r="I1137" s="207"/>
      <c r="J1137" s="215"/>
      <c r="K1137" s="207"/>
      <c r="L1137" s="215"/>
      <c r="M1137" s="323"/>
      <c r="N1137" s="215"/>
      <c r="O1137" s="323"/>
      <c r="P1137" s="215"/>
      <c r="Q1137" s="207"/>
      <c r="R1137" s="323"/>
      <c r="S1137" s="323"/>
      <c r="T1137" s="664"/>
      <c r="U1137" s="215"/>
      <c r="V1137" s="215"/>
    </row>
    <row r="1138" ht="15.0" customHeight="1">
      <c r="A1138" s="207"/>
      <c r="B1138" s="215"/>
      <c r="C1138" s="215"/>
      <c r="D1138" s="215"/>
      <c r="E1138" s="215"/>
      <c r="F1138" s="215"/>
      <c r="G1138" s="215"/>
      <c r="H1138" s="215"/>
      <c r="I1138" s="207"/>
      <c r="J1138" s="215"/>
      <c r="K1138" s="207"/>
      <c r="L1138" s="215"/>
      <c r="M1138" s="323"/>
      <c r="N1138" s="215"/>
      <c r="O1138" s="323"/>
      <c r="P1138" s="215"/>
      <c r="Q1138" s="207"/>
      <c r="R1138" s="323"/>
      <c r="S1138" s="323"/>
      <c r="T1138" s="664"/>
      <c r="U1138" s="215"/>
      <c r="V1138" s="215"/>
    </row>
    <row r="1139" ht="15.0" customHeight="1">
      <c r="A1139" s="207"/>
      <c r="B1139" s="215"/>
      <c r="C1139" s="215"/>
      <c r="D1139" s="215"/>
      <c r="E1139" s="215"/>
      <c r="F1139" s="215"/>
      <c r="G1139" s="215"/>
      <c r="H1139" s="215"/>
      <c r="I1139" s="207"/>
      <c r="J1139" s="215"/>
      <c r="K1139" s="207"/>
      <c r="L1139" s="215"/>
      <c r="M1139" s="323"/>
      <c r="N1139" s="215"/>
      <c r="O1139" s="323"/>
      <c r="P1139" s="215"/>
      <c r="Q1139" s="207"/>
      <c r="R1139" s="323"/>
      <c r="S1139" s="323"/>
      <c r="T1139" s="664"/>
      <c r="U1139" s="215"/>
      <c r="V1139" s="215"/>
    </row>
    <row r="1140" ht="15.0" customHeight="1">
      <c r="A1140" s="207"/>
      <c r="B1140" s="215"/>
      <c r="C1140" s="215"/>
      <c r="D1140" s="215"/>
      <c r="E1140" s="215"/>
      <c r="F1140" s="215"/>
      <c r="G1140" s="215"/>
      <c r="H1140" s="215"/>
      <c r="I1140" s="207"/>
      <c r="J1140" s="215"/>
      <c r="K1140" s="207"/>
      <c r="L1140" s="215"/>
      <c r="M1140" s="323"/>
      <c r="N1140" s="215"/>
      <c r="O1140" s="323"/>
      <c r="P1140" s="215"/>
      <c r="Q1140" s="207"/>
      <c r="R1140" s="323"/>
      <c r="S1140" s="323"/>
      <c r="T1140" s="664"/>
      <c r="U1140" s="215"/>
      <c r="V1140" s="215"/>
    </row>
    <row r="1141" ht="15.0" customHeight="1">
      <c r="A1141" s="207"/>
      <c r="B1141" s="215"/>
      <c r="C1141" s="215"/>
      <c r="D1141" s="215"/>
      <c r="E1141" s="215"/>
      <c r="F1141" s="215"/>
      <c r="G1141" s="215"/>
      <c r="H1141" s="215"/>
      <c r="I1141" s="207"/>
      <c r="J1141" s="215"/>
      <c r="K1141" s="207"/>
      <c r="L1141" s="215"/>
      <c r="M1141" s="323"/>
      <c r="N1141" s="215"/>
      <c r="O1141" s="323"/>
      <c r="P1141" s="215"/>
      <c r="Q1141" s="207"/>
      <c r="R1141" s="323"/>
      <c r="S1141" s="323"/>
      <c r="T1141" s="664"/>
      <c r="U1141" s="215"/>
      <c r="V1141" s="215"/>
    </row>
    <row r="1142" ht="15.0" customHeight="1">
      <c r="A1142" s="207"/>
      <c r="B1142" s="215"/>
      <c r="C1142" s="215"/>
      <c r="D1142" s="215"/>
      <c r="E1142" s="215"/>
      <c r="F1142" s="215"/>
      <c r="G1142" s="215"/>
      <c r="H1142" s="215"/>
      <c r="I1142" s="207"/>
      <c r="J1142" s="215"/>
      <c r="K1142" s="207"/>
      <c r="L1142" s="215"/>
      <c r="M1142" s="323"/>
      <c r="N1142" s="215"/>
      <c r="O1142" s="323"/>
      <c r="P1142" s="215"/>
      <c r="Q1142" s="207"/>
      <c r="R1142" s="323"/>
      <c r="S1142" s="323"/>
      <c r="T1142" s="664"/>
      <c r="U1142" s="215"/>
      <c r="V1142" s="215"/>
    </row>
    <row r="1143" ht="15.0" customHeight="1">
      <c r="A1143" s="207"/>
      <c r="B1143" s="215"/>
      <c r="C1143" s="215"/>
      <c r="D1143" s="215"/>
      <c r="E1143" s="215"/>
      <c r="F1143" s="215"/>
      <c r="G1143" s="215"/>
      <c r="H1143" s="215"/>
      <c r="I1143" s="207"/>
      <c r="J1143" s="215"/>
      <c r="K1143" s="207"/>
      <c r="L1143" s="215"/>
      <c r="M1143" s="323"/>
      <c r="N1143" s="215"/>
      <c r="O1143" s="323"/>
      <c r="P1143" s="215"/>
      <c r="Q1143" s="207"/>
      <c r="R1143" s="323"/>
      <c r="S1143" s="323"/>
      <c r="T1143" s="664"/>
      <c r="U1143" s="215"/>
      <c r="V1143" s="215"/>
    </row>
    <row r="1144" ht="15.0" customHeight="1">
      <c r="A1144" s="207"/>
      <c r="B1144" s="215"/>
      <c r="C1144" s="215"/>
      <c r="D1144" s="215"/>
      <c r="E1144" s="215"/>
      <c r="F1144" s="215"/>
      <c r="G1144" s="215"/>
      <c r="H1144" s="215"/>
      <c r="I1144" s="207"/>
      <c r="J1144" s="215"/>
      <c r="K1144" s="207"/>
      <c r="L1144" s="215"/>
      <c r="M1144" s="323"/>
      <c r="N1144" s="215"/>
      <c r="O1144" s="323"/>
      <c r="P1144" s="215"/>
      <c r="Q1144" s="207"/>
      <c r="R1144" s="323"/>
      <c r="S1144" s="323"/>
      <c r="T1144" s="664"/>
      <c r="U1144" s="215"/>
      <c r="V1144" s="215"/>
    </row>
    <row r="1145" ht="15.0" customHeight="1">
      <c r="A1145" s="207"/>
      <c r="B1145" s="215"/>
      <c r="C1145" s="215"/>
      <c r="D1145" s="215"/>
      <c r="E1145" s="215"/>
      <c r="F1145" s="215"/>
      <c r="G1145" s="215"/>
      <c r="H1145" s="215"/>
      <c r="I1145" s="207"/>
      <c r="J1145" s="215"/>
      <c r="K1145" s="207"/>
      <c r="L1145" s="215"/>
      <c r="M1145" s="323"/>
      <c r="N1145" s="215"/>
      <c r="O1145" s="323"/>
      <c r="P1145" s="215"/>
      <c r="Q1145" s="207"/>
      <c r="R1145" s="323"/>
      <c r="S1145" s="323"/>
      <c r="T1145" s="664"/>
      <c r="U1145" s="215"/>
      <c r="V1145" s="215"/>
    </row>
    <row r="1146" ht="15.0" customHeight="1">
      <c r="A1146" s="207"/>
      <c r="B1146" s="215"/>
      <c r="C1146" s="215"/>
      <c r="D1146" s="215"/>
      <c r="E1146" s="215"/>
      <c r="F1146" s="215"/>
      <c r="G1146" s="215"/>
      <c r="H1146" s="215"/>
      <c r="I1146" s="207"/>
      <c r="J1146" s="215"/>
      <c r="K1146" s="207"/>
      <c r="L1146" s="215"/>
      <c r="M1146" s="323"/>
      <c r="N1146" s="215"/>
      <c r="O1146" s="323"/>
      <c r="P1146" s="215"/>
      <c r="Q1146" s="207"/>
      <c r="R1146" s="323"/>
      <c r="S1146" s="323"/>
      <c r="T1146" s="664"/>
      <c r="U1146" s="215"/>
      <c r="V1146" s="215"/>
    </row>
    <row r="1147" ht="15.0" customHeight="1">
      <c r="A1147" s="207"/>
      <c r="B1147" s="215"/>
      <c r="C1147" s="215"/>
      <c r="D1147" s="215"/>
      <c r="E1147" s="215"/>
      <c r="F1147" s="215"/>
      <c r="G1147" s="215"/>
      <c r="H1147" s="215"/>
      <c r="I1147" s="207"/>
      <c r="J1147" s="215"/>
      <c r="K1147" s="207"/>
      <c r="L1147" s="215"/>
      <c r="M1147" s="323"/>
      <c r="N1147" s="215"/>
      <c r="O1147" s="323"/>
      <c r="P1147" s="215"/>
      <c r="Q1147" s="207"/>
      <c r="R1147" s="323"/>
      <c r="S1147" s="323"/>
      <c r="T1147" s="664"/>
      <c r="U1147" s="215"/>
      <c r="V1147" s="215"/>
    </row>
    <row r="1148" ht="15.0" customHeight="1">
      <c r="A1148" s="207"/>
      <c r="B1148" s="215"/>
      <c r="C1148" s="215"/>
      <c r="D1148" s="215"/>
      <c r="E1148" s="215"/>
      <c r="F1148" s="215"/>
      <c r="G1148" s="215"/>
      <c r="H1148" s="215"/>
      <c r="I1148" s="207"/>
      <c r="J1148" s="215"/>
      <c r="K1148" s="207"/>
      <c r="L1148" s="215"/>
      <c r="M1148" s="323"/>
      <c r="N1148" s="215"/>
      <c r="O1148" s="323"/>
      <c r="P1148" s="215"/>
      <c r="Q1148" s="207"/>
      <c r="R1148" s="323"/>
      <c r="S1148" s="323"/>
      <c r="T1148" s="664"/>
      <c r="U1148" s="215"/>
      <c r="V1148" s="215"/>
    </row>
    <row r="1149" ht="15.0" customHeight="1">
      <c r="A1149" s="207"/>
      <c r="B1149" s="215"/>
      <c r="C1149" s="215"/>
      <c r="D1149" s="215"/>
      <c r="E1149" s="215"/>
      <c r="F1149" s="215"/>
      <c r="G1149" s="215"/>
      <c r="H1149" s="215"/>
      <c r="I1149" s="207"/>
      <c r="J1149" s="215"/>
      <c r="K1149" s="207"/>
      <c r="L1149" s="215"/>
      <c r="M1149" s="323"/>
      <c r="N1149" s="215"/>
      <c r="O1149" s="323"/>
      <c r="P1149" s="215"/>
      <c r="Q1149" s="207"/>
      <c r="R1149" s="323"/>
      <c r="S1149" s="323"/>
      <c r="T1149" s="664"/>
      <c r="U1149" s="215"/>
      <c r="V1149" s="215"/>
    </row>
    <row r="1150" ht="15.0" customHeight="1">
      <c r="A1150" s="207"/>
      <c r="B1150" s="215"/>
      <c r="C1150" s="215"/>
      <c r="D1150" s="215"/>
      <c r="E1150" s="215"/>
      <c r="F1150" s="215"/>
      <c r="G1150" s="215"/>
      <c r="H1150" s="215"/>
      <c r="I1150" s="207"/>
      <c r="J1150" s="215"/>
      <c r="K1150" s="207"/>
      <c r="L1150" s="215"/>
      <c r="M1150" s="323"/>
      <c r="N1150" s="215"/>
      <c r="O1150" s="323"/>
      <c r="P1150" s="215"/>
      <c r="Q1150" s="207"/>
      <c r="R1150" s="323"/>
      <c r="S1150" s="323"/>
      <c r="T1150" s="664"/>
      <c r="U1150" s="215"/>
      <c r="V1150" s="215"/>
    </row>
    <row r="1151" ht="15.0" customHeight="1">
      <c r="A1151" s="207"/>
      <c r="B1151" s="215"/>
      <c r="C1151" s="215"/>
      <c r="D1151" s="215"/>
      <c r="E1151" s="215"/>
      <c r="F1151" s="215"/>
      <c r="G1151" s="215"/>
      <c r="H1151" s="215"/>
      <c r="I1151" s="207"/>
      <c r="J1151" s="215"/>
      <c r="K1151" s="207"/>
      <c r="L1151" s="215"/>
      <c r="M1151" s="323"/>
      <c r="N1151" s="215"/>
      <c r="O1151" s="323"/>
      <c r="P1151" s="215"/>
      <c r="Q1151" s="207"/>
      <c r="R1151" s="323"/>
      <c r="S1151" s="323"/>
      <c r="T1151" s="664"/>
      <c r="U1151" s="215"/>
      <c r="V1151" s="215"/>
    </row>
    <row r="1152" ht="15.0" customHeight="1">
      <c r="A1152" s="207"/>
      <c r="B1152" s="215"/>
      <c r="C1152" s="215"/>
      <c r="D1152" s="215"/>
      <c r="E1152" s="215"/>
      <c r="F1152" s="215"/>
      <c r="G1152" s="215"/>
      <c r="H1152" s="215"/>
      <c r="I1152" s="207"/>
      <c r="J1152" s="215"/>
      <c r="K1152" s="207"/>
      <c r="L1152" s="215"/>
      <c r="M1152" s="323"/>
      <c r="N1152" s="215"/>
      <c r="O1152" s="323"/>
      <c r="P1152" s="215"/>
      <c r="Q1152" s="207"/>
      <c r="R1152" s="323"/>
      <c r="S1152" s="323"/>
      <c r="T1152" s="664"/>
      <c r="U1152" s="215"/>
      <c r="V1152" s="215"/>
    </row>
    <row r="1153" ht="15.0" customHeight="1">
      <c r="A1153" s="207"/>
      <c r="B1153" s="215"/>
      <c r="C1153" s="215"/>
      <c r="D1153" s="215"/>
      <c r="E1153" s="215"/>
      <c r="F1153" s="215"/>
      <c r="G1153" s="215"/>
      <c r="H1153" s="215"/>
      <c r="I1153" s="207"/>
      <c r="J1153" s="215"/>
      <c r="K1153" s="207"/>
      <c r="L1153" s="215"/>
      <c r="M1153" s="323"/>
      <c r="N1153" s="215"/>
      <c r="O1153" s="323"/>
      <c r="P1153" s="215"/>
      <c r="Q1153" s="207"/>
      <c r="R1153" s="323"/>
      <c r="S1153" s="323"/>
      <c r="T1153" s="664"/>
      <c r="U1153" s="215"/>
      <c r="V1153" s="215"/>
    </row>
    <row r="1154" ht="15.0" customHeight="1">
      <c r="A1154" s="207"/>
      <c r="B1154" s="215"/>
      <c r="C1154" s="215"/>
      <c r="D1154" s="215"/>
      <c r="E1154" s="215"/>
      <c r="F1154" s="215"/>
      <c r="G1154" s="215"/>
      <c r="H1154" s="215"/>
      <c r="I1154" s="207"/>
      <c r="J1154" s="215"/>
      <c r="K1154" s="207"/>
      <c r="L1154" s="215"/>
      <c r="M1154" s="323"/>
      <c r="N1154" s="215"/>
      <c r="O1154" s="323"/>
      <c r="P1154" s="215"/>
      <c r="Q1154" s="207"/>
      <c r="R1154" s="323"/>
      <c r="S1154" s="323"/>
      <c r="T1154" s="664"/>
      <c r="U1154" s="215"/>
      <c r="V1154" s="215"/>
    </row>
    <row r="1155" ht="15.0" customHeight="1">
      <c r="A1155" s="207"/>
      <c r="B1155" s="215"/>
      <c r="C1155" s="215"/>
      <c r="D1155" s="215"/>
      <c r="E1155" s="215"/>
      <c r="F1155" s="215"/>
      <c r="G1155" s="215"/>
      <c r="H1155" s="215"/>
      <c r="I1155" s="207"/>
      <c r="J1155" s="215"/>
      <c r="K1155" s="207"/>
      <c r="L1155" s="215"/>
      <c r="M1155" s="323"/>
      <c r="N1155" s="215"/>
      <c r="O1155" s="323"/>
      <c r="P1155" s="215"/>
      <c r="Q1155" s="207"/>
      <c r="R1155" s="323"/>
      <c r="S1155" s="323"/>
      <c r="T1155" s="664"/>
      <c r="U1155" s="215"/>
      <c r="V1155" s="215"/>
    </row>
    <row r="1156" ht="15.0" customHeight="1">
      <c r="A1156" s="207"/>
      <c r="B1156" s="215"/>
      <c r="C1156" s="215"/>
      <c r="D1156" s="215"/>
      <c r="E1156" s="215"/>
      <c r="F1156" s="215"/>
      <c r="G1156" s="215"/>
      <c r="H1156" s="215"/>
      <c r="I1156" s="207"/>
      <c r="J1156" s="215"/>
      <c r="K1156" s="207"/>
      <c r="L1156" s="215"/>
      <c r="M1156" s="323"/>
      <c r="N1156" s="215"/>
      <c r="O1156" s="323"/>
      <c r="P1156" s="215"/>
      <c r="Q1156" s="207"/>
      <c r="R1156" s="323"/>
      <c r="S1156" s="323"/>
      <c r="T1156" s="664"/>
      <c r="U1156" s="215"/>
      <c r="V1156" s="215"/>
    </row>
    <row r="1157" ht="15.0" customHeight="1">
      <c r="A1157" s="207"/>
      <c r="B1157" s="215"/>
      <c r="C1157" s="215"/>
      <c r="D1157" s="215"/>
      <c r="E1157" s="215"/>
      <c r="F1157" s="215"/>
      <c r="G1157" s="215"/>
      <c r="H1157" s="215"/>
      <c r="I1157" s="207"/>
      <c r="J1157" s="215"/>
      <c r="K1157" s="207"/>
      <c r="L1157" s="215"/>
      <c r="M1157" s="323"/>
      <c r="N1157" s="215"/>
      <c r="O1157" s="323"/>
      <c r="P1157" s="215"/>
      <c r="Q1157" s="207"/>
      <c r="R1157" s="323"/>
      <c r="S1157" s="323"/>
      <c r="T1157" s="664"/>
      <c r="U1157" s="215"/>
      <c r="V1157" s="215"/>
    </row>
    <row r="1158" ht="15.0" customHeight="1">
      <c r="A1158" s="207"/>
      <c r="B1158" s="215"/>
      <c r="C1158" s="215"/>
      <c r="D1158" s="215"/>
      <c r="E1158" s="215"/>
      <c r="F1158" s="215"/>
      <c r="G1158" s="215"/>
      <c r="H1158" s="215"/>
      <c r="I1158" s="207"/>
      <c r="J1158" s="215"/>
      <c r="K1158" s="207"/>
      <c r="L1158" s="215"/>
      <c r="M1158" s="323"/>
      <c r="N1158" s="215"/>
      <c r="O1158" s="323"/>
      <c r="P1158" s="215"/>
      <c r="Q1158" s="207"/>
      <c r="R1158" s="323"/>
      <c r="S1158" s="323"/>
      <c r="T1158" s="664"/>
      <c r="U1158" s="215"/>
      <c r="V1158" s="215"/>
    </row>
    <row r="1159" ht="15.0" customHeight="1">
      <c r="A1159" s="207"/>
      <c r="B1159" s="215"/>
      <c r="C1159" s="215"/>
      <c r="D1159" s="215"/>
      <c r="E1159" s="215"/>
      <c r="F1159" s="215"/>
      <c r="G1159" s="215"/>
      <c r="H1159" s="215"/>
      <c r="I1159" s="207"/>
      <c r="J1159" s="215"/>
      <c r="K1159" s="207"/>
      <c r="L1159" s="215"/>
      <c r="M1159" s="323"/>
      <c r="N1159" s="215"/>
      <c r="O1159" s="323"/>
      <c r="P1159" s="215"/>
      <c r="Q1159" s="207"/>
      <c r="R1159" s="323"/>
      <c r="S1159" s="323"/>
      <c r="T1159" s="664"/>
      <c r="U1159" s="215"/>
      <c r="V1159" s="215"/>
    </row>
    <row r="1160" ht="15.0" customHeight="1">
      <c r="A1160" s="207"/>
      <c r="B1160" s="215"/>
      <c r="C1160" s="215"/>
      <c r="D1160" s="215"/>
      <c r="E1160" s="215"/>
      <c r="F1160" s="215"/>
      <c r="G1160" s="215"/>
      <c r="H1160" s="215"/>
      <c r="I1160" s="207"/>
      <c r="J1160" s="215"/>
      <c r="K1160" s="207"/>
      <c r="L1160" s="215"/>
      <c r="M1160" s="323"/>
      <c r="N1160" s="215"/>
      <c r="O1160" s="323"/>
      <c r="P1160" s="215"/>
      <c r="Q1160" s="207"/>
      <c r="R1160" s="323"/>
      <c r="S1160" s="323"/>
      <c r="T1160" s="664"/>
      <c r="U1160" s="215"/>
      <c r="V1160" s="215"/>
    </row>
    <row r="1161" ht="15.0" customHeight="1">
      <c r="A1161" s="207"/>
      <c r="B1161" s="215"/>
      <c r="C1161" s="215"/>
      <c r="D1161" s="215"/>
      <c r="E1161" s="215"/>
      <c r="F1161" s="215"/>
      <c r="G1161" s="215"/>
      <c r="H1161" s="215"/>
      <c r="I1161" s="207"/>
      <c r="J1161" s="215"/>
      <c r="K1161" s="207"/>
      <c r="L1161" s="215"/>
      <c r="M1161" s="323"/>
      <c r="N1161" s="215"/>
      <c r="O1161" s="323"/>
      <c r="P1161" s="215"/>
      <c r="Q1161" s="207"/>
      <c r="R1161" s="323"/>
      <c r="S1161" s="323"/>
      <c r="T1161" s="664"/>
      <c r="U1161" s="215"/>
      <c r="V1161" s="215"/>
    </row>
    <row r="1162" ht="15.0" customHeight="1">
      <c r="A1162" s="207"/>
      <c r="B1162" s="215"/>
      <c r="C1162" s="215"/>
      <c r="D1162" s="215"/>
      <c r="E1162" s="215"/>
      <c r="F1162" s="215"/>
      <c r="G1162" s="215"/>
      <c r="H1162" s="215"/>
      <c r="I1162" s="207"/>
      <c r="J1162" s="215"/>
      <c r="K1162" s="207"/>
      <c r="L1162" s="215"/>
      <c r="M1162" s="323"/>
      <c r="N1162" s="215"/>
      <c r="O1162" s="323"/>
      <c r="P1162" s="215"/>
      <c r="Q1162" s="207"/>
      <c r="R1162" s="323"/>
      <c r="S1162" s="323"/>
      <c r="T1162" s="664"/>
      <c r="U1162" s="215"/>
      <c r="V1162" s="215"/>
    </row>
    <row r="1163" ht="15.0" customHeight="1">
      <c r="A1163" s="207"/>
      <c r="B1163" s="215"/>
      <c r="C1163" s="215"/>
      <c r="D1163" s="215"/>
      <c r="E1163" s="215"/>
      <c r="F1163" s="215"/>
      <c r="G1163" s="215"/>
      <c r="H1163" s="215"/>
      <c r="I1163" s="207"/>
      <c r="J1163" s="215"/>
      <c r="K1163" s="207"/>
      <c r="L1163" s="215"/>
      <c r="M1163" s="323"/>
      <c r="N1163" s="215"/>
      <c r="O1163" s="323"/>
      <c r="P1163" s="215"/>
      <c r="Q1163" s="207"/>
      <c r="R1163" s="323"/>
      <c r="S1163" s="323"/>
      <c r="T1163" s="664"/>
      <c r="U1163" s="215"/>
      <c r="V1163" s="215"/>
    </row>
    <row r="1164" ht="15.0" customHeight="1">
      <c r="A1164" s="207"/>
      <c r="B1164" s="215"/>
      <c r="C1164" s="215"/>
      <c r="D1164" s="215"/>
      <c r="E1164" s="215"/>
      <c r="F1164" s="215"/>
      <c r="G1164" s="215"/>
      <c r="H1164" s="215"/>
      <c r="I1164" s="207"/>
      <c r="J1164" s="215"/>
      <c r="K1164" s="207"/>
      <c r="L1164" s="215"/>
      <c r="M1164" s="323"/>
      <c r="N1164" s="215"/>
      <c r="O1164" s="323"/>
      <c r="P1164" s="215"/>
      <c r="Q1164" s="207"/>
      <c r="R1164" s="323"/>
      <c r="S1164" s="323"/>
      <c r="T1164" s="664"/>
      <c r="U1164" s="215"/>
      <c r="V1164" s="215"/>
    </row>
    <row r="1165" ht="15.0" customHeight="1">
      <c r="A1165" s="207"/>
      <c r="B1165" s="215"/>
      <c r="C1165" s="215"/>
      <c r="D1165" s="215"/>
      <c r="E1165" s="215"/>
      <c r="F1165" s="215"/>
      <c r="G1165" s="215"/>
      <c r="H1165" s="215"/>
      <c r="I1165" s="207"/>
      <c r="J1165" s="215"/>
      <c r="K1165" s="207"/>
      <c r="L1165" s="215"/>
      <c r="M1165" s="323"/>
      <c r="N1165" s="215"/>
      <c r="O1165" s="323"/>
      <c r="P1165" s="215"/>
      <c r="Q1165" s="207"/>
      <c r="R1165" s="323"/>
      <c r="S1165" s="323"/>
      <c r="T1165" s="664"/>
      <c r="U1165" s="215"/>
      <c r="V1165" s="215"/>
    </row>
    <row r="1166" ht="15.0" customHeight="1">
      <c r="A1166" s="207"/>
      <c r="B1166" s="215"/>
      <c r="C1166" s="215"/>
      <c r="D1166" s="215"/>
      <c r="E1166" s="215"/>
      <c r="F1166" s="215"/>
      <c r="G1166" s="215"/>
      <c r="H1166" s="215"/>
      <c r="I1166" s="207"/>
      <c r="J1166" s="215"/>
      <c r="K1166" s="207"/>
      <c r="L1166" s="215"/>
      <c r="M1166" s="323"/>
      <c r="N1166" s="215"/>
      <c r="O1166" s="323"/>
      <c r="P1166" s="215"/>
      <c r="Q1166" s="207"/>
      <c r="R1166" s="323"/>
      <c r="S1166" s="323"/>
      <c r="T1166" s="664"/>
      <c r="U1166" s="215"/>
      <c r="V1166" s="215"/>
    </row>
    <row r="1167" ht="15.0" customHeight="1">
      <c r="A1167" s="207"/>
      <c r="B1167" s="215"/>
      <c r="C1167" s="215"/>
      <c r="D1167" s="215"/>
      <c r="E1167" s="215"/>
      <c r="F1167" s="215"/>
      <c r="G1167" s="215"/>
      <c r="H1167" s="215"/>
      <c r="I1167" s="207"/>
      <c r="J1167" s="215"/>
      <c r="K1167" s="207"/>
      <c r="L1167" s="215"/>
      <c r="M1167" s="323"/>
      <c r="N1167" s="215"/>
      <c r="O1167" s="323"/>
      <c r="P1167" s="215"/>
      <c r="Q1167" s="207"/>
      <c r="R1167" s="323"/>
      <c r="S1167" s="323"/>
      <c r="T1167" s="664"/>
      <c r="U1167" s="215"/>
      <c r="V1167" s="215"/>
    </row>
    <row r="1168" ht="15.0" customHeight="1">
      <c r="A1168" s="207"/>
      <c r="B1168" s="215"/>
      <c r="C1168" s="215"/>
      <c r="D1168" s="215"/>
      <c r="E1168" s="215"/>
      <c r="F1168" s="215"/>
      <c r="G1168" s="215"/>
      <c r="H1168" s="215"/>
      <c r="I1168" s="207"/>
      <c r="J1168" s="215"/>
      <c r="K1168" s="207"/>
      <c r="L1168" s="215"/>
      <c r="M1168" s="323"/>
      <c r="N1168" s="215"/>
      <c r="O1168" s="323"/>
      <c r="P1168" s="215"/>
      <c r="Q1168" s="207"/>
      <c r="R1168" s="323"/>
      <c r="S1168" s="323"/>
      <c r="T1168" s="664"/>
      <c r="U1168" s="215"/>
      <c r="V1168" s="215"/>
    </row>
    <row r="1169" ht="15.0" customHeight="1">
      <c r="A1169" s="207"/>
      <c r="B1169" s="215"/>
      <c r="C1169" s="215"/>
      <c r="D1169" s="215"/>
      <c r="E1169" s="215"/>
      <c r="F1169" s="215"/>
      <c r="G1169" s="215"/>
      <c r="H1169" s="215"/>
      <c r="I1169" s="207"/>
      <c r="J1169" s="215"/>
      <c r="K1169" s="207"/>
      <c r="L1169" s="215"/>
      <c r="M1169" s="323"/>
      <c r="N1169" s="215"/>
      <c r="O1169" s="323"/>
      <c r="P1169" s="215"/>
      <c r="Q1169" s="207"/>
      <c r="R1169" s="323"/>
      <c r="S1169" s="323"/>
      <c r="T1169" s="664"/>
      <c r="U1169" s="215"/>
      <c r="V1169" s="215"/>
    </row>
    <row r="1170" ht="15.0" customHeight="1">
      <c r="A1170" s="207"/>
      <c r="B1170" s="215"/>
      <c r="C1170" s="215"/>
      <c r="D1170" s="215"/>
      <c r="E1170" s="215"/>
      <c r="F1170" s="215"/>
      <c r="G1170" s="215"/>
      <c r="H1170" s="215"/>
      <c r="I1170" s="207"/>
      <c r="J1170" s="215"/>
      <c r="K1170" s="207"/>
      <c r="L1170" s="215"/>
      <c r="M1170" s="323"/>
      <c r="N1170" s="215"/>
      <c r="O1170" s="323"/>
      <c r="P1170" s="215"/>
      <c r="Q1170" s="207"/>
      <c r="R1170" s="323"/>
      <c r="S1170" s="323"/>
      <c r="T1170" s="664"/>
      <c r="U1170" s="215"/>
      <c r="V1170" s="215"/>
    </row>
    <row r="1171" ht="15.0" customHeight="1">
      <c r="A1171" s="207"/>
      <c r="B1171" s="215"/>
      <c r="C1171" s="215"/>
      <c r="D1171" s="215"/>
      <c r="E1171" s="215"/>
      <c r="F1171" s="215"/>
      <c r="G1171" s="215"/>
      <c r="H1171" s="215"/>
      <c r="I1171" s="207"/>
      <c r="J1171" s="215"/>
      <c r="K1171" s="207"/>
      <c r="L1171" s="215"/>
      <c r="M1171" s="323"/>
      <c r="N1171" s="215"/>
      <c r="O1171" s="323"/>
      <c r="P1171" s="215"/>
      <c r="Q1171" s="207"/>
      <c r="R1171" s="323"/>
      <c r="S1171" s="323"/>
      <c r="T1171" s="664"/>
      <c r="U1171" s="215"/>
      <c r="V1171" s="215"/>
    </row>
    <row r="1172" ht="15.0" customHeight="1">
      <c r="A1172" s="207"/>
      <c r="B1172" s="215"/>
      <c r="C1172" s="215"/>
      <c r="D1172" s="215"/>
      <c r="E1172" s="215"/>
      <c r="F1172" s="215"/>
      <c r="G1172" s="215"/>
      <c r="H1172" s="215"/>
      <c r="I1172" s="207"/>
      <c r="J1172" s="215"/>
      <c r="K1172" s="207"/>
      <c r="L1172" s="215"/>
      <c r="M1172" s="323"/>
      <c r="N1172" s="215"/>
      <c r="O1172" s="323"/>
      <c r="P1172" s="215"/>
      <c r="Q1172" s="207"/>
      <c r="R1172" s="323"/>
      <c r="S1172" s="323"/>
      <c r="T1172" s="664"/>
      <c r="U1172" s="215"/>
      <c r="V1172" s="215"/>
    </row>
    <row r="1173" ht="15.0" customHeight="1">
      <c r="A1173" s="207"/>
      <c r="B1173" s="215"/>
      <c r="C1173" s="215"/>
      <c r="D1173" s="215"/>
      <c r="E1173" s="215"/>
      <c r="F1173" s="215"/>
      <c r="G1173" s="215"/>
      <c r="H1173" s="215"/>
      <c r="I1173" s="207"/>
      <c r="J1173" s="215"/>
      <c r="K1173" s="207"/>
      <c r="L1173" s="215"/>
      <c r="M1173" s="323"/>
      <c r="N1173" s="215"/>
      <c r="O1173" s="323"/>
      <c r="P1173" s="215"/>
      <c r="Q1173" s="207"/>
      <c r="R1173" s="323"/>
      <c r="S1173" s="323"/>
      <c r="T1173" s="664"/>
      <c r="U1173" s="215"/>
      <c r="V1173" s="215"/>
    </row>
    <row r="1174" ht="15.0" customHeight="1">
      <c r="A1174" s="207"/>
      <c r="B1174" s="215"/>
      <c r="C1174" s="215"/>
      <c r="D1174" s="215"/>
      <c r="E1174" s="215"/>
      <c r="F1174" s="215"/>
      <c r="G1174" s="215"/>
      <c r="H1174" s="215"/>
      <c r="I1174" s="207"/>
      <c r="J1174" s="215"/>
      <c r="K1174" s="207"/>
      <c r="L1174" s="215"/>
      <c r="M1174" s="323"/>
      <c r="N1174" s="215"/>
      <c r="O1174" s="323"/>
      <c r="P1174" s="215"/>
      <c r="Q1174" s="207"/>
      <c r="R1174" s="323"/>
      <c r="S1174" s="323"/>
      <c r="T1174" s="664"/>
      <c r="U1174" s="215"/>
      <c r="V1174" s="215"/>
    </row>
    <row r="1175" ht="15.0" customHeight="1">
      <c r="A1175" s="207"/>
      <c r="B1175" s="215"/>
      <c r="C1175" s="215"/>
      <c r="D1175" s="215"/>
      <c r="E1175" s="215"/>
      <c r="F1175" s="215"/>
      <c r="G1175" s="215"/>
      <c r="H1175" s="215"/>
      <c r="I1175" s="207"/>
      <c r="J1175" s="215"/>
      <c r="K1175" s="207"/>
      <c r="L1175" s="215"/>
      <c r="M1175" s="323"/>
      <c r="N1175" s="215"/>
      <c r="O1175" s="323"/>
      <c r="P1175" s="215"/>
      <c r="Q1175" s="207"/>
      <c r="R1175" s="323"/>
      <c r="S1175" s="323"/>
      <c r="T1175" s="664"/>
      <c r="U1175" s="215"/>
      <c r="V1175" s="215"/>
    </row>
    <row r="1176" ht="15.0" customHeight="1">
      <c r="A1176" s="207"/>
      <c r="B1176" s="215"/>
      <c r="C1176" s="215"/>
      <c r="D1176" s="215"/>
      <c r="E1176" s="215"/>
      <c r="F1176" s="215"/>
      <c r="G1176" s="215"/>
      <c r="H1176" s="215"/>
      <c r="I1176" s="207"/>
      <c r="J1176" s="215"/>
      <c r="K1176" s="207"/>
      <c r="L1176" s="215"/>
      <c r="M1176" s="323"/>
      <c r="N1176" s="215"/>
      <c r="O1176" s="323"/>
      <c r="P1176" s="215"/>
      <c r="Q1176" s="207"/>
      <c r="R1176" s="323"/>
      <c r="S1176" s="323"/>
      <c r="T1176" s="664"/>
      <c r="U1176" s="215"/>
      <c r="V1176" s="215"/>
    </row>
    <row r="1177" ht="15.0" customHeight="1">
      <c r="A1177" s="207"/>
      <c r="B1177" s="215"/>
      <c r="C1177" s="215"/>
      <c r="D1177" s="215"/>
      <c r="E1177" s="215"/>
      <c r="F1177" s="215"/>
      <c r="G1177" s="215"/>
      <c r="H1177" s="215"/>
      <c r="I1177" s="207"/>
      <c r="J1177" s="215"/>
      <c r="K1177" s="207"/>
      <c r="L1177" s="215"/>
      <c r="M1177" s="323"/>
      <c r="N1177" s="215"/>
      <c r="O1177" s="323"/>
      <c r="P1177" s="215"/>
      <c r="Q1177" s="207"/>
      <c r="R1177" s="323"/>
      <c r="S1177" s="323"/>
      <c r="T1177" s="664"/>
      <c r="U1177" s="215"/>
      <c r="V1177" s="215"/>
    </row>
    <row r="1178" ht="15.0" customHeight="1">
      <c r="A1178" s="207"/>
      <c r="B1178" s="215"/>
      <c r="C1178" s="215"/>
      <c r="D1178" s="215"/>
      <c r="E1178" s="215"/>
      <c r="F1178" s="215"/>
      <c r="G1178" s="215"/>
      <c r="H1178" s="215"/>
      <c r="I1178" s="207"/>
      <c r="J1178" s="215"/>
      <c r="K1178" s="207"/>
      <c r="L1178" s="215"/>
      <c r="M1178" s="323"/>
      <c r="N1178" s="215"/>
      <c r="O1178" s="323"/>
      <c r="P1178" s="215"/>
      <c r="Q1178" s="207"/>
      <c r="R1178" s="323"/>
      <c r="S1178" s="323"/>
      <c r="T1178" s="664"/>
      <c r="U1178" s="215"/>
      <c r="V1178" s="215"/>
    </row>
    <row r="1179" ht="15.0" customHeight="1">
      <c r="A1179" s="207"/>
      <c r="B1179" s="215"/>
      <c r="C1179" s="215"/>
      <c r="D1179" s="215"/>
      <c r="E1179" s="215"/>
      <c r="F1179" s="215"/>
      <c r="G1179" s="215"/>
      <c r="H1179" s="215"/>
      <c r="I1179" s="207"/>
      <c r="J1179" s="215"/>
      <c r="K1179" s="207"/>
      <c r="L1179" s="215"/>
      <c r="M1179" s="323"/>
      <c r="N1179" s="215"/>
      <c r="O1179" s="323"/>
      <c r="P1179" s="215"/>
      <c r="Q1179" s="207"/>
      <c r="R1179" s="323"/>
      <c r="S1179" s="323"/>
      <c r="T1179" s="664"/>
      <c r="U1179" s="215"/>
      <c r="V1179" s="215"/>
    </row>
    <row r="1180" ht="15.0" customHeight="1">
      <c r="A1180" s="207"/>
      <c r="B1180" s="215"/>
      <c r="C1180" s="215"/>
      <c r="D1180" s="215"/>
      <c r="E1180" s="215"/>
      <c r="F1180" s="215"/>
      <c r="G1180" s="215"/>
      <c r="H1180" s="215"/>
      <c r="I1180" s="207"/>
      <c r="J1180" s="215"/>
      <c r="K1180" s="207"/>
      <c r="L1180" s="215"/>
      <c r="M1180" s="323"/>
      <c r="N1180" s="215"/>
      <c r="O1180" s="323"/>
      <c r="P1180" s="215"/>
      <c r="Q1180" s="207"/>
      <c r="R1180" s="323"/>
      <c r="S1180" s="323"/>
      <c r="T1180" s="664"/>
      <c r="U1180" s="215"/>
      <c r="V1180" s="215"/>
    </row>
    <row r="1181" ht="15.0" customHeight="1">
      <c r="A1181" s="207"/>
      <c r="B1181" s="215"/>
      <c r="C1181" s="215"/>
      <c r="D1181" s="215"/>
      <c r="E1181" s="215"/>
      <c r="F1181" s="215"/>
      <c r="G1181" s="215"/>
      <c r="H1181" s="215"/>
      <c r="I1181" s="207"/>
      <c r="J1181" s="215"/>
      <c r="K1181" s="207"/>
      <c r="L1181" s="215"/>
      <c r="M1181" s="323"/>
      <c r="N1181" s="215"/>
      <c r="O1181" s="323"/>
      <c r="P1181" s="215"/>
      <c r="Q1181" s="207"/>
      <c r="R1181" s="323"/>
      <c r="S1181" s="323"/>
      <c r="T1181" s="664"/>
      <c r="U1181" s="215"/>
      <c r="V1181" s="215"/>
    </row>
    <row r="1182" ht="15.0" customHeight="1">
      <c r="A1182" s="207"/>
      <c r="B1182" s="215"/>
      <c r="C1182" s="215"/>
      <c r="D1182" s="215"/>
      <c r="E1182" s="215"/>
      <c r="F1182" s="215"/>
      <c r="G1182" s="215"/>
      <c r="H1182" s="215"/>
      <c r="I1182" s="207"/>
      <c r="J1182" s="215"/>
      <c r="K1182" s="207"/>
      <c r="L1182" s="215"/>
      <c r="M1182" s="323"/>
      <c r="N1182" s="215"/>
      <c r="O1182" s="323"/>
      <c r="P1182" s="215"/>
      <c r="Q1182" s="207"/>
      <c r="R1182" s="323"/>
      <c r="S1182" s="323"/>
      <c r="T1182" s="664"/>
      <c r="U1182" s="215"/>
      <c r="V1182" s="215"/>
    </row>
    <row r="1183" ht="15.0" customHeight="1">
      <c r="A1183" s="207"/>
      <c r="B1183" s="215"/>
      <c r="C1183" s="215"/>
      <c r="D1183" s="215"/>
      <c r="E1183" s="215"/>
      <c r="F1183" s="215"/>
      <c r="G1183" s="215"/>
      <c r="H1183" s="215"/>
      <c r="I1183" s="207"/>
      <c r="J1183" s="215"/>
      <c r="K1183" s="207"/>
      <c r="L1183" s="215"/>
      <c r="M1183" s="323"/>
      <c r="N1183" s="215"/>
      <c r="O1183" s="323"/>
      <c r="P1183" s="215"/>
      <c r="Q1183" s="207"/>
      <c r="R1183" s="323"/>
      <c r="S1183" s="323"/>
      <c r="T1183" s="664"/>
      <c r="U1183" s="215"/>
      <c r="V1183" s="215"/>
    </row>
    <row r="1184" ht="15.0" customHeight="1">
      <c r="A1184" s="207"/>
      <c r="B1184" s="215"/>
      <c r="C1184" s="215"/>
      <c r="D1184" s="215"/>
      <c r="E1184" s="215"/>
      <c r="F1184" s="215"/>
      <c r="G1184" s="215"/>
      <c r="H1184" s="215"/>
      <c r="I1184" s="207"/>
      <c r="J1184" s="215"/>
      <c r="K1184" s="207"/>
      <c r="L1184" s="215"/>
      <c r="M1184" s="323"/>
      <c r="N1184" s="215"/>
      <c r="O1184" s="323"/>
      <c r="P1184" s="215"/>
      <c r="Q1184" s="207"/>
      <c r="R1184" s="323"/>
      <c r="S1184" s="323"/>
      <c r="T1184" s="664"/>
      <c r="U1184" s="215"/>
      <c r="V1184" s="215"/>
    </row>
    <row r="1185" ht="15.0" customHeight="1">
      <c r="A1185" s="207"/>
      <c r="B1185" s="215"/>
      <c r="C1185" s="215"/>
      <c r="D1185" s="215"/>
      <c r="E1185" s="215"/>
      <c r="F1185" s="215"/>
      <c r="G1185" s="215"/>
      <c r="H1185" s="215"/>
      <c r="I1185" s="207"/>
      <c r="J1185" s="215"/>
      <c r="K1185" s="207"/>
      <c r="L1185" s="215"/>
      <c r="M1185" s="323"/>
      <c r="N1185" s="215"/>
      <c r="O1185" s="323"/>
      <c r="P1185" s="215"/>
      <c r="Q1185" s="207"/>
      <c r="R1185" s="323"/>
      <c r="S1185" s="323"/>
      <c r="T1185" s="664"/>
      <c r="U1185" s="215"/>
      <c r="V1185" s="215"/>
    </row>
    <row r="1186" ht="15.0" customHeight="1">
      <c r="A1186" s="207"/>
      <c r="B1186" s="215"/>
      <c r="C1186" s="215"/>
      <c r="D1186" s="215"/>
      <c r="E1186" s="215"/>
      <c r="F1186" s="215"/>
      <c r="G1186" s="215"/>
      <c r="H1186" s="215"/>
      <c r="I1186" s="207"/>
      <c r="J1186" s="215"/>
      <c r="K1186" s="207"/>
      <c r="L1186" s="215"/>
      <c r="M1186" s="323"/>
      <c r="N1186" s="215"/>
      <c r="O1186" s="323"/>
      <c r="P1186" s="215"/>
      <c r="Q1186" s="207"/>
      <c r="R1186" s="323"/>
      <c r="S1186" s="323"/>
      <c r="T1186" s="664"/>
      <c r="U1186" s="215"/>
      <c r="V1186" s="215"/>
    </row>
    <row r="1187" ht="15.0" customHeight="1">
      <c r="A1187" s="207"/>
      <c r="B1187" s="215"/>
      <c r="C1187" s="215"/>
      <c r="D1187" s="215"/>
      <c r="E1187" s="215"/>
      <c r="F1187" s="215"/>
      <c r="G1187" s="215"/>
      <c r="H1187" s="215"/>
      <c r="I1187" s="207"/>
      <c r="J1187" s="215"/>
      <c r="K1187" s="207"/>
      <c r="L1187" s="215"/>
      <c r="M1187" s="323"/>
      <c r="N1187" s="215"/>
      <c r="O1187" s="323"/>
      <c r="P1187" s="215"/>
      <c r="Q1187" s="207"/>
      <c r="R1187" s="323"/>
      <c r="S1187" s="323"/>
      <c r="T1187" s="664"/>
      <c r="U1187" s="215"/>
      <c r="V1187" s="215"/>
    </row>
    <row r="1188" ht="15.0" customHeight="1">
      <c r="A1188" s="207"/>
      <c r="B1188" s="215"/>
      <c r="C1188" s="215"/>
      <c r="D1188" s="215"/>
      <c r="E1188" s="215"/>
      <c r="F1188" s="215"/>
      <c r="G1188" s="215"/>
      <c r="H1188" s="215"/>
      <c r="I1188" s="207"/>
      <c r="J1188" s="215"/>
      <c r="K1188" s="207"/>
      <c r="L1188" s="215"/>
      <c r="M1188" s="323"/>
      <c r="N1188" s="215"/>
      <c r="O1188" s="323"/>
      <c r="P1188" s="215"/>
      <c r="Q1188" s="207"/>
      <c r="R1188" s="323"/>
      <c r="S1188" s="323"/>
      <c r="T1188" s="664"/>
      <c r="U1188" s="215"/>
      <c r="V1188" s="215"/>
    </row>
    <row r="1189" ht="15.0" customHeight="1">
      <c r="A1189" s="207"/>
      <c r="B1189" s="215"/>
      <c r="C1189" s="215"/>
      <c r="D1189" s="215"/>
      <c r="E1189" s="215"/>
      <c r="F1189" s="215"/>
      <c r="G1189" s="215"/>
      <c r="H1189" s="215"/>
      <c r="I1189" s="207"/>
      <c r="J1189" s="215"/>
      <c r="K1189" s="207"/>
      <c r="L1189" s="215"/>
      <c r="M1189" s="323"/>
      <c r="N1189" s="215"/>
      <c r="O1189" s="323"/>
      <c r="P1189" s="215"/>
      <c r="Q1189" s="207"/>
      <c r="R1189" s="323"/>
      <c r="S1189" s="323"/>
      <c r="T1189" s="664"/>
      <c r="U1189" s="215"/>
      <c r="V1189" s="215"/>
    </row>
    <row r="1190" ht="15.0" customHeight="1">
      <c r="A1190" s="207"/>
      <c r="B1190" s="215"/>
      <c r="C1190" s="215"/>
      <c r="D1190" s="215"/>
      <c r="E1190" s="215"/>
      <c r="F1190" s="215"/>
      <c r="G1190" s="215"/>
      <c r="H1190" s="215"/>
      <c r="I1190" s="207"/>
      <c r="J1190" s="215"/>
      <c r="K1190" s="207"/>
      <c r="L1190" s="215"/>
      <c r="M1190" s="323"/>
      <c r="N1190" s="215"/>
      <c r="O1190" s="323"/>
      <c r="P1190" s="215"/>
      <c r="Q1190" s="207"/>
      <c r="R1190" s="323"/>
      <c r="S1190" s="323"/>
      <c r="T1190" s="664"/>
      <c r="U1190" s="215"/>
      <c r="V1190" s="215"/>
    </row>
    <row r="1191" ht="15.0" customHeight="1">
      <c r="A1191" s="207"/>
      <c r="B1191" s="215"/>
      <c r="C1191" s="215"/>
      <c r="D1191" s="215"/>
      <c r="E1191" s="215"/>
      <c r="F1191" s="215"/>
      <c r="G1191" s="215"/>
      <c r="H1191" s="215"/>
      <c r="I1191" s="207"/>
      <c r="J1191" s="215"/>
      <c r="K1191" s="207"/>
      <c r="L1191" s="215"/>
      <c r="M1191" s="323"/>
      <c r="N1191" s="215"/>
      <c r="O1191" s="323"/>
      <c r="P1191" s="215"/>
      <c r="Q1191" s="207"/>
      <c r="R1191" s="323"/>
      <c r="S1191" s="323"/>
      <c r="T1191" s="664"/>
      <c r="U1191" s="215"/>
      <c r="V1191" s="215"/>
    </row>
    <row r="1192" ht="15.0" customHeight="1">
      <c r="A1192" s="207"/>
      <c r="B1192" s="215"/>
      <c r="C1192" s="215"/>
      <c r="D1192" s="215"/>
      <c r="E1192" s="215"/>
      <c r="F1192" s="215"/>
      <c r="G1192" s="215"/>
      <c r="H1192" s="215"/>
      <c r="I1192" s="207"/>
      <c r="J1192" s="215"/>
      <c r="K1192" s="207"/>
      <c r="L1192" s="215"/>
      <c r="M1192" s="323"/>
      <c r="N1192" s="215"/>
      <c r="O1192" s="323"/>
      <c r="P1192" s="215"/>
      <c r="Q1192" s="207"/>
      <c r="R1192" s="323"/>
      <c r="S1192" s="323"/>
      <c r="T1192" s="664"/>
      <c r="U1192" s="215"/>
      <c r="V1192" s="215"/>
    </row>
    <row r="1193" ht="15.0" customHeight="1">
      <c r="A1193" s="207"/>
      <c r="B1193" s="215"/>
      <c r="C1193" s="215"/>
      <c r="D1193" s="215"/>
      <c r="E1193" s="215"/>
      <c r="F1193" s="215"/>
      <c r="G1193" s="215"/>
      <c r="H1193" s="215"/>
      <c r="I1193" s="207"/>
      <c r="J1193" s="215"/>
      <c r="K1193" s="207"/>
      <c r="L1193" s="215"/>
      <c r="M1193" s="323"/>
      <c r="N1193" s="215"/>
      <c r="O1193" s="323"/>
      <c r="P1193" s="215"/>
      <c r="Q1193" s="207"/>
      <c r="R1193" s="323"/>
      <c r="S1193" s="323"/>
      <c r="T1193" s="664"/>
      <c r="U1193" s="215"/>
      <c r="V1193" s="215"/>
    </row>
    <row r="1194" ht="15.0" customHeight="1">
      <c r="A1194" s="207"/>
      <c r="B1194" s="215"/>
      <c r="C1194" s="215"/>
      <c r="D1194" s="215"/>
      <c r="E1194" s="215"/>
      <c r="F1194" s="215"/>
      <c r="G1194" s="215"/>
      <c r="H1194" s="215"/>
      <c r="I1194" s="207"/>
      <c r="J1194" s="215"/>
      <c r="K1194" s="207"/>
      <c r="L1194" s="215"/>
      <c r="M1194" s="323"/>
      <c r="N1194" s="215"/>
      <c r="O1194" s="323"/>
      <c r="P1194" s="215"/>
      <c r="Q1194" s="207"/>
      <c r="R1194" s="323"/>
      <c r="S1194" s="323"/>
      <c r="T1194" s="664"/>
      <c r="U1194" s="215"/>
      <c r="V1194" s="215"/>
    </row>
    <row r="1195" ht="15.0" customHeight="1">
      <c r="A1195" s="207"/>
      <c r="B1195" s="215"/>
      <c r="C1195" s="215"/>
      <c r="D1195" s="215"/>
      <c r="E1195" s="215"/>
      <c r="F1195" s="215"/>
      <c r="G1195" s="215"/>
      <c r="H1195" s="215"/>
      <c r="I1195" s="207"/>
      <c r="J1195" s="215"/>
      <c r="K1195" s="207"/>
      <c r="L1195" s="215"/>
      <c r="M1195" s="323"/>
      <c r="N1195" s="215"/>
      <c r="O1195" s="323"/>
      <c r="P1195" s="215"/>
      <c r="Q1195" s="207"/>
      <c r="R1195" s="323"/>
      <c r="S1195" s="323"/>
      <c r="T1195" s="664"/>
      <c r="U1195" s="215"/>
      <c r="V1195" s="215"/>
    </row>
    <row r="1196" ht="15.0" customHeight="1">
      <c r="A1196" s="207"/>
      <c r="B1196" s="215"/>
      <c r="C1196" s="215"/>
      <c r="D1196" s="215"/>
      <c r="E1196" s="215"/>
      <c r="F1196" s="215"/>
      <c r="G1196" s="215"/>
      <c r="H1196" s="215"/>
      <c r="I1196" s="207"/>
      <c r="J1196" s="215"/>
      <c r="K1196" s="207"/>
      <c r="L1196" s="215"/>
      <c r="M1196" s="323"/>
      <c r="N1196" s="215"/>
      <c r="O1196" s="323"/>
      <c r="P1196" s="215"/>
      <c r="Q1196" s="207"/>
      <c r="R1196" s="323"/>
      <c r="S1196" s="323"/>
      <c r="T1196" s="664"/>
      <c r="U1196" s="215"/>
      <c r="V1196" s="215"/>
    </row>
    <row r="1197" ht="15.0" customHeight="1">
      <c r="A1197" s="207"/>
      <c r="B1197" s="215"/>
      <c r="C1197" s="215"/>
      <c r="D1197" s="215"/>
      <c r="E1197" s="215"/>
      <c r="F1197" s="215"/>
      <c r="G1197" s="215"/>
      <c r="H1197" s="215"/>
      <c r="I1197" s="207"/>
      <c r="J1197" s="215"/>
      <c r="K1197" s="207"/>
      <c r="L1197" s="215"/>
      <c r="M1197" s="323"/>
      <c r="N1197" s="215"/>
      <c r="O1197" s="323"/>
      <c r="P1197" s="215"/>
      <c r="Q1197" s="207"/>
      <c r="R1197" s="323"/>
      <c r="S1197" s="323"/>
      <c r="T1197" s="664"/>
      <c r="U1197" s="215"/>
      <c r="V1197" s="215"/>
    </row>
    <row r="1198" ht="15.0" customHeight="1">
      <c r="A1198" s="207"/>
      <c r="B1198" s="215"/>
      <c r="C1198" s="215"/>
      <c r="D1198" s="215"/>
      <c r="E1198" s="215"/>
      <c r="F1198" s="215"/>
      <c r="G1198" s="215"/>
      <c r="H1198" s="215"/>
      <c r="I1198" s="207"/>
      <c r="J1198" s="215"/>
      <c r="K1198" s="207"/>
      <c r="L1198" s="215"/>
      <c r="M1198" s="323"/>
      <c r="N1198" s="215"/>
      <c r="O1198" s="323"/>
      <c r="P1198" s="215"/>
      <c r="Q1198" s="207"/>
      <c r="R1198" s="323"/>
      <c r="S1198" s="323"/>
      <c r="T1198" s="664"/>
      <c r="U1198" s="215"/>
      <c r="V1198" s="215"/>
    </row>
    <row r="1199" ht="15.0" customHeight="1">
      <c r="A1199" s="207"/>
      <c r="B1199" s="215"/>
      <c r="C1199" s="215"/>
      <c r="D1199" s="215"/>
      <c r="E1199" s="215"/>
      <c r="F1199" s="215"/>
      <c r="G1199" s="215"/>
      <c r="H1199" s="215"/>
      <c r="I1199" s="207"/>
      <c r="J1199" s="215"/>
      <c r="K1199" s="207"/>
      <c r="L1199" s="215"/>
      <c r="M1199" s="323"/>
      <c r="N1199" s="215"/>
      <c r="O1199" s="323"/>
      <c r="P1199" s="215"/>
      <c r="Q1199" s="207"/>
      <c r="R1199" s="323"/>
      <c r="S1199" s="323"/>
      <c r="T1199" s="664"/>
      <c r="U1199" s="215"/>
      <c r="V1199" s="215"/>
    </row>
    <row r="1200" ht="15.0" customHeight="1">
      <c r="A1200" s="207"/>
      <c r="B1200" s="215"/>
      <c r="C1200" s="215"/>
      <c r="D1200" s="215"/>
      <c r="E1200" s="215"/>
      <c r="F1200" s="215"/>
      <c r="G1200" s="215"/>
      <c r="H1200" s="215"/>
      <c r="I1200" s="207"/>
      <c r="J1200" s="215"/>
      <c r="K1200" s="207"/>
      <c r="L1200" s="215"/>
      <c r="M1200" s="323"/>
      <c r="N1200" s="215"/>
      <c r="O1200" s="323"/>
      <c r="P1200" s="215"/>
      <c r="Q1200" s="207"/>
      <c r="R1200" s="323"/>
      <c r="S1200" s="323"/>
      <c r="T1200" s="664"/>
      <c r="U1200" s="215"/>
      <c r="V1200" s="215"/>
    </row>
    <row r="1201" ht="15.0" customHeight="1">
      <c r="A1201" s="207"/>
      <c r="B1201" s="215"/>
      <c r="C1201" s="215"/>
      <c r="D1201" s="215"/>
      <c r="E1201" s="215"/>
      <c r="F1201" s="215"/>
      <c r="G1201" s="215"/>
      <c r="H1201" s="215"/>
      <c r="I1201" s="207"/>
      <c r="J1201" s="215"/>
      <c r="K1201" s="207"/>
      <c r="L1201" s="215"/>
      <c r="M1201" s="323"/>
      <c r="N1201" s="215"/>
      <c r="O1201" s="323"/>
      <c r="P1201" s="215"/>
      <c r="Q1201" s="207"/>
      <c r="R1201" s="323"/>
      <c r="S1201" s="323"/>
      <c r="T1201" s="664"/>
      <c r="U1201" s="215"/>
      <c r="V1201" s="215"/>
    </row>
    <row r="1202" ht="15.0" customHeight="1">
      <c r="A1202" s="207"/>
      <c r="B1202" s="215"/>
      <c r="C1202" s="215"/>
      <c r="D1202" s="215"/>
      <c r="E1202" s="215"/>
      <c r="F1202" s="215"/>
      <c r="G1202" s="215"/>
      <c r="H1202" s="215"/>
      <c r="I1202" s="207"/>
      <c r="J1202" s="215"/>
      <c r="K1202" s="207"/>
      <c r="L1202" s="215"/>
      <c r="M1202" s="323"/>
      <c r="N1202" s="215"/>
      <c r="O1202" s="323"/>
      <c r="P1202" s="215"/>
      <c r="Q1202" s="207"/>
      <c r="R1202" s="323"/>
      <c r="S1202" s="323"/>
      <c r="T1202" s="664"/>
      <c r="U1202" s="215"/>
      <c r="V1202" s="215"/>
    </row>
    <row r="1203" ht="15.0" customHeight="1">
      <c r="A1203" s="207"/>
      <c r="B1203" s="215"/>
      <c r="C1203" s="215"/>
      <c r="D1203" s="215"/>
      <c r="E1203" s="215"/>
      <c r="F1203" s="215"/>
      <c r="G1203" s="215"/>
      <c r="H1203" s="215"/>
      <c r="I1203" s="207"/>
      <c r="J1203" s="215"/>
      <c r="K1203" s="207"/>
      <c r="L1203" s="215"/>
      <c r="M1203" s="323"/>
      <c r="N1203" s="215"/>
      <c r="O1203" s="323"/>
      <c r="P1203" s="215"/>
      <c r="Q1203" s="207"/>
      <c r="R1203" s="323"/>
      <c r="S1203" s="323"/>
      <c r="T1203" s="664"/>
      <c r="U1203" s="215"/>
      <c r="V1203" s="215"/>
    </row>
    <row r="1204" ht="15.0" customHeight="1">
      <c r="A1204" s="207"/>
      <c r="B1204" s="215"/>
      <c r="C1204" s="215"/>
      <c r="D1204" s="215"/>
      <c r="E1204" s="215"/>
      <c r="F1204" s="215"/>
      <c r="G1204" s="215"/>
      <c r="H1204" s="215"/>
      <c r="I1204" s="207"/>
      <c r="J1204" s="215"/>
      <c r="K1204" s="207"/>
      <c r="L1204" s="215"/>
      <c r="M1204" s="323"/>
      <c r="N1204" s="215"/>
      <c r="O1204" s="323"/>
      <c r="P1204" s="215"/>
      <c r="Q1204" s="207"/>
      <c r="R1204" s="323"/>
      <c r="S1204" s="323"/>
      <c r="T1204" s="664"/>
      <c r="U1204" s="215"/>
      <c r="V1204" s="215"/>
    </row>
    <row r="1205" ht="15.0" customHeight="1">
      <c r="A1205" s="207"/>
      <c r="B1205" s="215"/>
      <c r="C1205" s="215"/>
      <c r="D1205" s="215"/>
      <c r="E1205" s="215"/>
      <c r="F1205" s="215"/>
      <c r="G1205" s="215"/>
      <c r="H1205" s="215"/>
      <c r="I1205" s="207"/>
      <c r="J1205" s="215"/>
      <c r="K1205" s="207"/>
      <c r="L1205" s="215"/>
      <c r="M1205" s="323"/>
      <c r="N1205" s="215"/>
      <c r="O1205" s="323"/>
      <c r="P1205" s="215"/>
      <c r="Q1205" s="207"/>
      <c r="R1205" s="323"/>
      <c r="S1205" s="323"/>
      <c r="T1205" s="664"/>
      <c r="U1205" s="215"/>
      <c r="V1205" s="215"/>
    </row>
    <row r="1206" ht="15.0" customHeight="1">
      <c r="A1206" s="207"/>
      <c r="B1206" s="215"/>
      <c r="C1206" s="215"/>
      <c r="D1206" s="215"/>
      <c r="E1206" s="215"/>
      <c r="F1206" s="215"/>
      <c r="G1206" s="215"/>
      <c r="H1206" s="215"/>
      <c r="I1206" s="207"/>
      <c r="J1206" s="215"/>
      <c r="K1206" s="207"/>
      <c r="L1206" s="215"/>
      <c r="M1206" s="323"/>
      <c r="N1206" s="215"/>
      <c r="O1206" s="323"/>
      <c r="P1206" s="215"/>
      <c r="Q1206" s="207"/>
      <c r="R1206" s="323"/>
      <c r="S1206" s="323"/>
      <c r="T1206" s="664"/>
      <c r="U1206" s="215"/>
      <c r="V1206" s="215"/>
    </row>
    <row r="1207" ht="15.0" customHeight="1">
      <c r="A1207" s="207"/>
      <c r="B1207" s="215"/>
      <c r="C1207" s="215"/>
      <c r="D1207" s="215"/>
      <c r="E1207" s="215"/>
      <c r="F1207" s="215"/>
      <c r="G1207" s="215"/>
      <c r="H1207" s="215"/>
      <c r="I1207" s="207"/>
      <c r="J1207" s="215"/>
      <c r="K1207" s="207"/>
      <c r="L1207" s="215"/>
      <c r="M1207" s="323"/>
      <c r="N1207" s="215"/>
      <c r="O1207" s="323"/>
      <c r="P1207" s="215"/>
      <c r="Q1207" s="207"/>
      <c r="R1207" s="323"/>
      <c r="S1207" s="323"/>
      <c r="T1207" s="664"/>
      <c r="U1207" s="215"/>
      <c r="V1207" s="215"/>
    </row>
    <row r="1208" ht="15.0" customHeight="1">
      <c r="A1208" s="207"/>
      <c r="B1208" s="215"/>
      <c r="C1208" s="215"/>
      <c r="D1208" s="215"/>
      <c r="E1208" s="215"/>
      <c r="F1208" s="215"/>
      <c r="G1208" s="215"/>
      <c r="H1208" s="215"/>
      <c r="I1208" s="207"/>
      <c r="J1208" s="215"/>
      <c r="K1208" s="207"/>
      <c r="L1208" s="215"/>
      <c r="M1208" s="323"/>
      <c r="N1208" s="215"/>
      <c r="O1208" s="323"/>
      <c r="P1208" s="215"/>
      <c r="Q1208" s="207"/>
      <c r="R1208" s="323"/>
      <c r="S1208" s="323"/>
      <c r="T1208" s="664"/>
      <c r="U1208" s="215"/>
      <c r="V1208" s="215"/>
    </row>
    <row r="1209" ht="15.0" customHeight="1">
      <c r="A1209" s="207"/>
      <c r="B1209" s="215"/>
      <c r="C1209" s="215"/>
      <c r="D1209" s="215"/>
      <c r="E1209" s="215"/>
      <c r="F1209" s="215"/>
      <c r="G1209" s="215"/>
      <c r="H1209" s="215"/>
      <c r="I1209" s="207"/>
      <c r="J1209" s="215"/>
      <c r="K1209" s="207"/>
      <c r="L1209" s="215"/>
      <c r="M1209" s="323"/>
      <c r="N1209" s="215"/>
      <c r="O1209" s="323"/>
      <c r="P1209" s="215"/>
      <c r="Q1209" s="207"/>
      <c r="R1209" s="323"/>
      <c r="S1209" s="323"/>
      <c r="T1209" s="664"/>
      <c r="U1209" s="215"/>
      <c r="V1209" s="215"/>
    </row>
    <row r="1210" ht="15.0" customHeight="1">
      <c r="A1210" s="207"/>
      <c r="B1210" s="215"/>
      <c r="C1210" s="215"/>
      <c r="D1210" s="215"/>
      <c r="E1210" s="215"/>
      <c r="F1210" s="215"/>
      <c r="G1210" s="215"/>
      <c r="H1210" s="215"/>
      <c r="I1210" s="207"/>
      <c r="J1210" s="215"/>
      <c r="K1210" s="207"/>
      <c r="L1210" s="215"/>
      <c r="M1210" s="323"/>
      <c r="N1210" s="215"/>
      <c r="O1210" s="323"/>
      <c r="P1210" s="215"/>
      <c r="Q1210" s="207"/>
      <c r="R1210" s="323"/>
      <c r="S1210" s="323"/>
      <c r="T1210" s="664"/>
      <c r="U1210" s="215"/>
      <c r="V1210" s="215"/>
    </row>
    <row r="1211" ht="15.0" customHeight="1">
      <c r="A1211" s="207"/>
      <c r="B1211" s="215"/>
      <c r="C1211" s="215"/>
      <c r="D1211" s="215"/>
      <c r="E1211" s="215"/>
      <c r="F1211" s="215"/>
      <c r="G1211" s="215"/>
      <c r="H1211" s="215"/>
      <c r="I1211" s="207"/>
      <c r="J1211" s="215"/>
      <c r="K1211" s="207"/>
      <c r="L1211" s="215"/>
      <c r="M1211" s="323"/>
      <c r="N1211" s="215"/>
      <c r="O1211" s="323"/>
      <c r="P1211" s="215"/>
      <c r="Q1211" s="207"/>
      <c r="R1211" s="323"/>
      <c r="S1211" s="323"/>
      <c r="T1211" s="664"/>
      <c r="U1211" s="215"/>
      <c r="V1211" s="215"/>
    </row>
    <row r="1212" ht="15.0" customHeight="1">
      <c r="A1212" s="207"/>
      <c r="B1212" s="215"/>
      <c r="C1212" s="215"/>
      <c r="D1212" s="215"/>
      <c r="E1212" s="215"/>
      <c r="F1212" s="215"/>
      <c r="G1212" s="215"/>
      <c r="H1212" s="215"/>
      <c r="I1212" s="207"/>
      <c r="J1212" s="215"/>
      <c r="K1212" s="207"/>
      <c r="L1212" s="215"/>
      <c r="M1212" s="323"/>
      <c r="N1212" s="215"/>
      <c r="O1212" s="323"/>
      <c r="P1212" s="215"/>
      <c r="Q1212" s="207"/>
      <c r="R1212" s="323"/>
      <c r="S1212" s="323"/>
      <c r="T1212" s="664"/>
      <c r="U1212" s="215"/>
      <c r="V1212" s="215"/>
    </row>
    <row r="1213" ht="15.0" customHeight="1">
      <c r="A1213" s="207"/>
      <c r="B1213" s="215"/>
      <c r="C1213" s="215"/>
      <c r="D1213" s="215"/>
      <c r="E1213" s="215"/>
      <c r="F1213" s="215"/>
      <c r="G1213" s="215"/>
      <c r="H1213" s="215"/>
      <c r="I1213" s="207"/>
      <c r="J1213" s="215"/>
      <c r="K1213" s="207"/>
      <c r="L1213" s="215"/>
      <c r="M1213" s="323"/>
      <c r="N1213" s="215"/>
      <c r="O1213" s="323"/>
      <c r="P1213" s="215"/>
      <c r="Q1213" s="207"/>
      <c r="R1213" s="323"/>
      <c r="S1213" s="323"/>
      <c r="T1213" s="664"/>
      <c r="U1213" s="215"/>
      <c r="V1213" s="215"/>
    </row>
    <row r="1214" ht="15.0" customHeight="1">
      <c r="A1214" s="207"/>
      <c r="B1214" s="215"/>
      <c r="C1214" s="215"/>
      <c r="D1214" s="215"/>
      <c r="E1214" s="215"/>
      <c r="F1214" s="215"/>
      <c r="G1214" s="215"/>
      <c r="H1214" s="215"/>
      <c r="I1214" s="207"/>
      <c r="J1214" s="215"/>
      <c r="K1214" s="207"/>
      <c r="L1214" s="215"/>
      <c r="M1214" s="323"/>
      <c r="N1214" s="215"/>
      <c r="O1214" s="323"/>
      <c r="P1214" s="215"/>
      <c r="Q1214" s="207"/>
      <c r="R1214" s="323"/>
      <c r="S1214" s="323"/>
      <c r="T1214" s="664"/>
      <c r="U1214" s="215"/>
      <c r="V1214" s="215"/>
    </row>
    <row r="1215" ht="15.0" customHeight="1">
      <c r="A1215" s="207"/>
      <c r="B1215" s="215"/>
      <c r="C1215" s="215"/>
      <c r="D1215" s="215"/>
      <c r="E1215" s="215"/>
      <c r="F1215" s="215"/>
      <c r="G1215" s="215"/>
      <c r="H1215" s="215"/>
      <c r="I1215" s="207"/>
      <c r="J1215" s="215"/>
      <c r="K1215" s="207"/>
      <c r="L1215" s="215"/>
      <c r="M1215" s="323"/>
      <c r="N1215" s="215"/>
      <c r="O1215" s="323"/>
      <c r="P1215" s="215"/>
      <c r="Q1215" s="207"/>
      <c r="R1215" s="323"/>
      <c r="S1215" s="323"/>
      <c r="T1215" s="664"/>
      <c r="U1215" s="215"/>
      <c r="V1215" s="215"/>
    </row>
    <row r="1216" ht="15.0" customHeight="1">
      <c r="A1216" s="207"/>
      <c r="B1216" s="215"/>
      <c r="C1216" s="215"/>
      <c r="D1216" s="215"/>
      <c r="E1216" s="215"/>
      <c r="F1216" s="215"/>
      <c r="G1216" s="215"/>
      <c r="H1216" s="215"/>
      <c r="I1216" s="207"/>
      <c r="J1216" s="215"/>
      <c r="K1216" s="207"/>
      <c r="L1216" s="215"/>
      <c r="M1216" s="323"/>
      <c r="N1216" s="215"/>
      <c r="O1216" s="323"/>
      <c r="P1216" s="215"/>
      <c r="Q1216" s="207"/>
      <c r="R1216" s="323"/>
      <c r="S1216" s="323"/>
      <c r="T1216" s="664"/>
      <c r="U1216" s="215"/>
      <c r="V1216" s="215"/>
    </row>
    <row r="1217" ht="15.0" customHeight="1">
      <c r="A1217" s="207"/>
      <c r="B1217" s="215"/>
      <c r="C1217" s="215"/>
      <c r="D1217" s="215"/>
      <c r="E1217" s="215"/>
      <c r="F1217" s="215"/>
      <c r="G1217" s="215"/>
      <c r="H1217" s="215"/>
      <c r="I1217" s="207"/>
      <c r="J1217" s="215"/>
      <c r="K1217" s="207"/>
      <c r="L1217" s="215"/>
      <c r="M1217" s="323"/>
      <c r="N1217" s="215"/>
      <c r="O1217" s="323"/>
      <c r="P1217" s="215"/>
      <c r="Q1217" s="207"/>
      <c r="R1217" s="323"/>
      <c r="S1217" s="323"/>
      <c r="T1217" s="664"/>
      <c r="U1217" s="215"/>
      <c r="V1217" s="215"/>
    </row>
    <row r="1218" ht="15.0" customHeight="1">
      <c r="A1218" s="207"/>
      <c r="B1218" s="215"/>
      <c r="C1218" s="215"/>
      <c r="D1218" s="215"/>
      <c r="E1218" s="215"/>
      <c r="F1218" s="215"/>
      <c r="G1218" s="215"/>
      <c r="H1218" s="215"/>
      <c r="I1218" s="207"/>
      <c r="J1218" s="215"/>
      <c r="K1218" s="207"/>
      <c r="L1218" s="215"/>
      <c r="M1218" s="323"/>
      <c r="N1218" s="215"/>
      <c r="O1218" s="323"/>
      <c r="P1218" s="215"/>
      <c r="Q1218" s="207"/>
      <c r="R1218" s="323"/>
      <c r="S1218" s="323"/>
      <c r="T1218" s="664"/>
      <c r="U1218" s="215"/>
      <c r="V1218" s="215"/>
    </row>
    <row r="1219" ht="15.0" customHeight="1">
      <c r="A1219" s="207"/>
      <c r="B1219" s="215"/>
      <c r="C1219" s="215"/>
      <c r="D1219" s="215"/>
      <c r="E1219" s="215"/>
      <c r="F1219" s="215"/>
      <c r="G1219" s="215"/>
      <c r="H1219" s="215"/>
      <c r="I1219" s="207"/>
      <c r="J1219" s="215"/>
      <c r="K1219" s="207"/>
      <c r="L1219" s="215"/>
      <c r="M1219" s="323"/>
      <c r="N1219" s="215"/>
      <c r="O1219" s="323"/>
      <c r="P1219" s="215"/>
      <c r="Q1219" s="207"/>
      <c r="R1219" s="323"/>
      <c r="S1219" s="323"/>
      <c r="T1219" s="664"/>
      <c r="U1219" s="215"/>
      <c r="V1219" s="215"/>
    </row>
    <row r="1220" ht="15.0" customHeight="1">
      <c r="A1220" s="207"/>
      <c r="B1220" s="215"/>
      <c r="C1220" s="215"/>
      <c r="D1220" s="215"/>
      <c r="E1220" s="215"/>
      <c r="F1220" s="215"/>
      <c r="G1220" s="215"/>
      <c r="H1220" s="215"/>
      <c r="I1220" s="207"/>
      <c r="J1220" s="215"/>
      <c r="K1220" s="207"/>
      <c r="L1220" s="215"/>
      <c r="M1220" s="323"/>
      <c r="N1220" s="215"/>
      <c r="O1220" s="323"/>
      <c r="P1220" s="215"/>
      <c r="Q1220" s="207"/>
      <c r="R1220" s="323"/>
      <c r="S1220" s="323"/>
      <c r="T1220" s="664"/>
      <c r="U1220" s="215"/>
      <c r="V1220" s="215"/>
    </row>
    <row r="1221" ht="15.0" customHeight="1">
      <c r="A1221" s="207"/>
      <c r="B1221" s="215"/>
      <c r="C1221" s="215"/>
      <c r="D1221" s="215"/>
      <c r="E1221" s="215"/>
      <c r="F1221" s="215"/>
      <c r="G1221" s="215"/>
      <c r="H1221" s="215"/>
      <c r="I1221" s="207"/>
      <c r="J1221" s="215"/>
      <c r="K1221" s="207"/>
      <c r="L1221" s="215"/>
      <c r="M1221" s="323"/>
      <c r="N1221" s="215"/>
      <c r="O1221" s="323"/>
      <c r="P1221" s="215"/>
      <c r="Q1221" s="207"/>
      <c r="R1221" s="323"/>
      <c r="S1221" s="323"/>
      <c r="T1221" s="664"/>
      <c r="U1221" s="215"/>
      <c r="V1221" s="215"/>
    </row>
    <row r="1222" ht="15.0" customHeight="1">
      <c r="A1222" s="207"/>
      <c r="B1222" s="215"/>
      <c r="C1222" s="215"/>
      <c r="D1222" s="215"/>
      <c r="E1222" s="215"/>
      <c r="F1222" s="215"/>
      <c r="G1222" s="215"/>
      <c r="H1222" s="215"/>
      <c r="I1222" s="207"/>
      <c r="J1222" s="215"/>
      <c r="K1222" s="207"/>
      <c r="L1222" s="215"/>
      <c r="M1222" s="323"/>
      <c r="N1222" s="215"/>
      <c r="O1222" s="323"/>
      <c r="P1222" s="215"/>
      <c r="Q1222" s="207"/>
      <c r="R1222" s="323"/>
      <c r="S1222" s="323"/>
      <c r="T1222" s="664"/>
      <c r="U1222" s="215"/>
      <c r="V1222" s="215"/>
    </row>
    <row r="1223" ht="15.0" customHeight="1">
      <c r="A1223" s="207"/>
      <c r="B1223" s="215"/>
      <c r="C1223" s="215"/>
      <c r="D1223" s="215"/>
      <c r="E1223" s="215"/>
      <c r="F1223" s="215"/>
      <c r="G1223" s="215"/>
      <c r="H1223" s="215"/>
      <c r="I1223" s="207"/>
      <c r="J1223" s="215"/>
      <c r="K1223" s="207"/>
      <c r="L1223" s="215"/>
      <c r="M1223" s="323"/>
      <c r="N1223" s="215"/>
      <c r="O1223" s="323"/>
      <c r="P1223" s="215"/>
      <c r="Q1223" s="207"/>
      <c r="R1223" s="323"/>
      <c r="S1223" s="323"/>
      <c r="T1223" s="664"/>
      <c r="U1223" s="215"/>
      <c r="V1223" s="215"/>
    </row>
    <row r="1224" ht="15.0" customHeight="1">
      <c r="A1224" s="207"/>
      <c r="B1224" s="215"/>
      <c r="C1224" s="215"/>
      <c r="D1224" s="215"/>
      <c r="E1224" s="215"/>
      <c r="F1224" s="215"/>
      <c r="G1224" s="215"/>
      <c r="H1224" s="215"/>
      <c r="I1224" s="207"/>
      <c r="J1224" s="215"/>
      <c r="K1224" s="207"/>
      <c r="L1224" s="215"/>
      <c r="M1224" s="323"/>
      <c r="N1224" s="215"/>
      <c r="O1224" s="323"/>
      <c r="P1224" s="215"/>
      <c r="Q1224" s="207"/>
      <c r="R1224" s="323"/>
      <c r="S1224" s="323"/>
      <c r="T1224" s="664"/>
      <c r="U1224" s="215"/>
      <c r="V1224" s="215"/>
    </row>
    <row r="1225" ht="15.0" customHeight="1">
      <c r="A1225" s="207"/>
      <c r="B1225" s="215"/>
      <c r="C1225" s="215"/>
      <c r="D1225" s="215"/>
      <c r="E1225" s="215"/>
      <c r="F1225" s="215"/>
      <c r="G1225" s="215"/>
      <c r="H1225" s="215"/>
      <c r="I1225" s="207"/>
      <c r="J1225" s="215"/>
      <c r="K1225" s="207"/>
      <c r="L1225" s="215"/>
      <c r="M1225" s="323"/>
      <c r="N1225" s="215"/>
      <c r="O1225" s="323"/>
      <c r="P1225" s="215"/>
      <c r="Q1225" s="207"/>
      <c r="R1225" s="323"/>
      <c r="S1225" s="323"/>
      <c r="T1225" s="664"/>
      <c r="U1225" s="215"/>
      <c r="V1225" s="215"/>
    </row>
    <row r="1226" ht="15.0" customHeight="1">
      <c r="A1226" s="207"/>
      <c r="B1226" s="215"/>
      <c r="C1226" s="215"/>
      <c r="D1226" s="215"/>
      <c r="E1226" s="215"/>
      <c r="F1226" s="215"/>
      <c r="G1226" s="215"/>
      <c r="H1226" s="215"/>
      <c r="I1226" s="207"/>
      <c r="J1226" s="215"/>
      <c r="K1226" s="207"/>
      <c r="L1226" s="215"/>
      <c r="M1226" s="323"/>
      <c r="N1226" s="215"/>
      <c r="O1226" s="323"/>
      <c r="P1226" s="215"/>
      <c r="Q1226" s="207"/>
      <c r="R1226" s="323"/>
      <c r="S1226" s="323"/>
      <c r="T1226" s="664"/>
      <c r="U1226" s="215"/>
      <c r="V1226" s="215"/>
    </row>
    <row r="1227" ht="15.0" customHeight="1">
      <c r="A1227" s="207"/>
      <c r="B1227" s="215"/>
      <c r="C1227" s="215"/>
      <c r="D1227" s="215"/>
      <c r="E1227" s="215"/>
      <c r="F1227" s="215"/>
      <c r="G1227" s="215"/>
      <c r="H1227" s="215"/>
      <c r="I1227" s="207"/>
      <c r="J1227" s="215"/>
      <c r="K1227" s="207"/>
      <c r="L1227" s="215"/>
      <c r="M1227" s="323"/>
      <c r="N1227" s="215"/>
      <c r="O1227" s="323"/>
      <c r="P1227" s="215"/>
      <c r="Q1227" s="207"/>
      <c r="R1227" s="323"/>
      <c r="S1227" s="323"/>
      <c r="T1227" s="664"/>
      <c r="U1227" s="215"/>
      <c r="V1227" s="215"/>
    </row>
    <row r="1228" ht="15.0" customHeight="1">
      <c r="A1228" s="207"/>
      <c r="B1228" s="215"/>
      <c r="C1228" s="215"/>
      <c r="D1228" s="215"/>
      <c r="E1228" s="215"/>
      <c r="F1228" s="215"/>
      <c r="G1228" s="215"/>
      <c r="H1228" s="215"/>
      <c r="I1228" s="207"/>
      <c r="J1228" s="215"/>
      <c r="K1228" s="207"/>
      <c r="L1228" s="215"/>
      <c r="M1228" s="323"/>
      <c r="N1228" s="215"/>
      <c r="O1228" s="323"/>
      <c r="P1228" s="215"/>
      <c r="Q1228" s="207"/>
      <c r="R1228" s="323"/>
      <c r="S1228" s="323"/>
      <c r="T1228" s="664"/>
      <c r="U1228" s="215"/>
      <c r="V1228" s="215"/>
    </row>
    <row r="1229" ht="15.0" customHeight="1">
      <c r="A1229" s="207"/>
      <c r="B1229" s="215"/>
      <c r="C1229" s="215"/>
      <c r="D1229" s="215"/>
      <c r="E1229" s="215"/>
      <c r="F1229" s="215"/>
      <c r="G1229" s="215"/>
      <c r="H1229" s="215"/>
      <c r="I1229" s="207"/>
      <c r="J1229" s="215"/>
      <c r="K1229" s="207"/>
      <c r="L1229" s="215"/>
      <c r="M1229" s="323"/>
      <c r="N1229" s="215"/>
      <c r="O1229" s="323"/>
      <c r="P1229" s="215"/>
      <c r="Q1229" s="207"/>
      <c r="R1229" s="323"/>
      <c r="S1229" s="323"/>
      <c r="T1229" s="664"/>
      <c r="U1229" s="215"/>
      <c r="V1229" s="215"/>
    </row>
    <row r="1230" ht="15.0" customHeight="1">
      <c r="A1230" s="207"/>
      <c r="B1230" s="215"/>
      <c r="C1230" s="215"/>
      <c r="D1230" s="215"/>
      <c r="E1230" s="215"/>
      <c r="F1230" s="215"/>
      <c r="G1230" s="215"/>
      <c r="H1230" s="215"/>
      <c r="I1230" s="207"/>
      <c r="J1230" s="215"/>
      <c r="K1230" s="207"/>
      <c r="L1230" s="215"/>
      <c r="M1230" s="323"/>
      <c r="N1230" s="215"/>
      <c r="O1230" s="323"/>
      <c r="P1230" s="215"/>
      <c r="Q1230" s="207"/>
      <c r="R1230" s="323"/>
      <c r="S1230" s="323"/>
      <c r="T1230" s="664"/>
      <c r="U1230" s="215"/>
      <c r="V1230" s="215"/>
    </row>
    <row r="1231" ht="15.0" customHeight="1">
      <c r="A1231" s="207"/>
      <c r="B1231" s="215"/>
      <c r="C1231" s="215"/>
      <c r="D1231" s="215"/>
      <c r="E1231" s="215"/>
      <c r="F1231" s="215"/>
      <c r="G1231" s="215"/>
      <c r="H1231" s="215"/>
      <c r="I1231" s="207"/>
      <c r="J1231" s="215"/>
      <c r="K1231" s="207"/>
      <c r="L1231" s="215"/>
      <c r="M1231" s="323"/>
      <c r="N1231" s="215"/>
      <c r="O1231" s="323"/>
      <c r="P1231" s="215"/>
      <c r="Q1231" s="207"/>
      <c r="R1231" s="323"/>
      <c r="S1231" s="323"/>
      <c r="T1231" s="664"/>
      <c r="U1231" s="215"/>
      <c r="V1231" s="215"/>
    </row>
    <row r="1232" ht="15.0" customHeight="1">
      <c r="A1232" s="207"/>
      <c r="B1232" s="215"/>
      <c r="C1232" s="215"/>
      <c r="D1232" s="215"/>
      <c r="E1232" s="215"/>
      <c r="F1232" s="215"/>
      <c r="G1232" s="215"/>
      <c r="H1232" s="215"/>
      <c r="I1232" s="207"/>
      <c r="J1232" s="215"/>
      <c r="K1232" s="207"/>
      <c r="L1232" s="215"/>
      <c r="M1232" s="323"/>
      <c r="N1232" s="215"/>
      <c r="O1232" s="323"/>
      <c r="P1232" s="215"/>
      <c r="Q1232" s="207"/>
      <c r="R1232" s="323"/>
      <c r="S1232" s="323"/>
      <c r="T1232" s="664"/>
      <c r="U1232" s="215"/>
      <c r="V1232" s="215"/>
    </row>
    <row r="1233" ht="15.0" customHeight="1">
      <c r="A1233" s="207"/>
      <c r="B1233" s="215"/>
      <c r="C1233" s="215"/>
      <c r="D1233" s="215"/>
      <c r="E1233" s="215"/>
      <c r="F1233" s="215"/>
      <c r="G1233" s="215"/>
      <c r="H1233" s="215"/>
      <c r="I1233" s="207"/>
      <c r="J1233" s="215"/>
      <c r="K1233" s="207"/>
      <c r="L1233" s="215"/>
      <c r="M1233" s="323"/>
      <c r="N1233" s="215"/>
      <c r="O1233" s="323"/>
      <c r="P1233" s="215"/>
      <c r="Q1233" s="207"/>
      <c r="R1233" s="323"/>
      <c r="S1233" s="323"/>
      <c r="T1233" s="664"/>
      <c r="U1233" s="215"/>
      <c r="V1233" s="215"/>
    </row>
    <row r="1234" ht="15.0" customHeight="1">
      <c r="A1234" s="207"/>
      <c r="B1234" s="215"/>
      <c r="C1234" s="215"/>
      <c r="D1234" s="215"/>
      <c r="E1234" s="215"/>
      <c r="F1234" s="215"/>
      <c r="G1234" s="215"/>
      <c r="H1234" s="215"/>
      <c r="I1234" s="207"/>
      <c r="J1234" s="215"/>
      <c r="K1234" s="207"/>
      <c r="L1234" s="215"/>
      <c r="M1234" s="323"/>
      <c r="N1234" s="215"/>
      <c r="O1234" s="323"/>
      <c r="P1234" s="215"/>
      <c r="Q1234" s="207"/>
      <c r="R1234" s="323"/>
      <c r="S1234" s="323"/>
      <c r="T1234" s="664"/>
      <c r="U1234" s="215"/>
      <c r="V1234" s="215"/>
    </row>
    <row r="1235" ht="15.0" customHeight="1">
      <c r="A1235" s="207"/>
      <c r="B1235" s="215"/>
      <c r="C1235" s="215"/>
      <c r="D1235" s="215"/>
      <c r="E1235" s="215"/>
      <c r="F1235" s="215"/>
      <c r="G1235" s="215"/>
      <c r="H1235" s="215"/>
      <c r="I1235" s="207"/>
      <c r="J1235" s="215"/>
      <c r="K1235" s="207"/>
      <c r="L1235" s="215"/>
      <c r="M1235" s="323"/>
      <c r="N1235" s="215"/>
      <c r="O1235" s="323"/>
      <c r="P1235" s="215"/>
      <c r="Q1235" s="207"/>
      <c r="R1235" s="323"/>
      <c r="S1235" s="323"/>
      <c r="T1235" s="664"/>
      <c r="U1235" s="215"/>
      <c r="V1235" s="215"/>
    </row>
    <row r="1236" ht="15.0" customHeight="1">
      <c r="A1236" s="207"/>
      <c r="B1236" s="215"/>
      <c r="C1236" s="215"/>
      <c r="D1236" s="215"/>
      <c r="E1236" s="215"/>
      <c r="F1236" s="215"/>
      <c r="G1236" s="215"/>
      <c r="H1236" s="215"/>
      <c r="I1236" s="207"/>
      <c r="J1236" s="215"/>
      <c r="K1236" s="207"/>
      <c r="L1236" s="215"/>
      <c r="M1236" s="323"/>
      <c r="N1236" s="215"/>
      <c r="O1236" s="323"/>
      <c r="P1236" s="215"/>
      <c r="Q1236" s="207"/>
      <c r="R1236" s="323"/>
      <c r="S1236" s="323"/>
      <c r="T1236" s="664"/>
      <c r="U1236" s="215"/>
      <c r="V1236" s="215"/>
    </row>
    <row r="1237" ht="15.0" customHeight="1">
      <c r="A1237" s="207"/>
      <c r="B1237" s="215"/>
      <c r="C1237" s="215"/>
      <c r="D1237" s="215"/>
      <c r="E1237" s="215"/>
      <c r="F1237" s="215"/>
      <c r="G1237" s="215"/>
      <c r="H1237" s="215"/>
      <c r="I1237" s="207"/>
      <c r="J1237" s="215"/>
      <c r="K1237" s="207"/>
      <c r="L1237" s="215"/>
      <c r="M1237" s="323"/>
      <c r="N1237" s="215"/>
      <c r="O1237" s="323"/>
      <c r="P1237" s="215"/>
      <c r="Q1237" s="207"/>
      <c r="R1237" s="323"/>
      <c r="S1237" s="323"/>
      <c r="T1237" s="664"/>
      <c r="U1237" s="215"/>
      <c r="V1237" s="215"/>
    </row>
    <row r="1238" ht="15.0" customHeight="1">
      <c r="A1238" s="207"/>
      <c r="B1238" s="215"/>
      <c r="C1238" s="215"/>
      <c r="D1238" s="215"/>
      <c r="E1238" s="215"/>
      <c r="F1238" s="215"/>
      <c r="G1238" s="215"/>
      <c r="H1238" s="215"/>
      <c r="I1238" s="207"/>
      <c r="J1238" s="215"/>
      <c r="K1238" s="207"/>
      <c r="L1238" s="215"/>
      <c r="M1238" s="323"/>
      <c r="N1238" s="215"/>
      <c r="O1238" s="323"/>
      <c r="P1238" s="215"/>
      <c r="Q1238" s="207"/>
      <c r="R1238" s="323"/>
      <c r="S1238" s="323"/>
      <c r="T1238" s="664"/>
      <c r="U1238" s="215"/>
      <c r="V1238" s="215"/>
    </row>
    <row r="1239" ht="15.0" customHeight="1">
      <c r="A1239" s="207"/>
      <c r="B1239" s="215"/>
      <c r="C1239" s="215"/>
      <c r="D1239" s="215"/>
      <c r="E1239" s="215"/>
      <c r="F1239" s="215"/>
      <c r="G1239" s="215"/>
      <c r="H1239" s="215"/>
      <c r="I1239" s="207"/>
      <c r="J1239" s="215"/>
      <c r="K1239" s="207"/>
      <c r="L1239" s="215"/>
      <c r="M1239" s="323"/>
      <c r="N1239" s="215"/>
      <c r="O1239" s="323"/>
      <c r="P1239" s="215"/>
      <c r="Q1239" s="207"/>
      <c r="R1239" s="323"/>
      <c r="S1239" s="323"/>
      <c r="T1239" s="664"/>
      <c r="U1239" s="215"/>
      <c r="V1239" s="215"/>
    </row>
    <row r="1240" ht="15.0" customHeight="1">
      <c r="A1240" s="207"/>
      <c r="B1240" s="215"/>
      <c r="C1240" s="215"/>
      <c r="D1240" s="215"/>
      <c r="E1240" s="215"/>
      <c r="F1240" s="215"/>
      <c r="G1240" s="215"/>
      <c r="H1240" s="215"/>
      <c r="I1240" s="207"/>
      <c r="J1240" s="215"/>
      <c r="K1240" s="207"/>
      <c r="L1240" s="215"/>
      <c r="M1240" s="323"/>
      <c r="N1240" s="215"/>
      <c r="O1240" s="323"/>
      <c r="P1240" s="215"/>
      <c r="Q1240" s="207"/>
      <c r="R1240" s="323"/>
      <c r="S1240" s="323"/>
      <c r="T1240" s="664"/>
      <c r="U1240" s="215"/>
      <c r="V1240" s="215"/>
    </row>
    <row r="1241" ht="15.0" customHeight="1">
      <c r="A1241" s="207"/>
      <c r="B1241" s="215"/>
      <c r="C1241" s="215"/>
      <c r="D1241" s="215"/>
      <c r="E1241" s="215"/>
      <c r="F1241" s="215"/>
      <c r="G1241" s="215"/>
      <c r="H1241" s="215"/>
      <c r="I1241" s="207"/>
      <c r="J1241" s="215"/>
      <c r="K1241" s="207"/>
      <c r="L1241" s="215"/>
      <c r="M1241" s="323"/>
      <c r="N1241" s="215"/>
      <c r="O1241" s="323"/>
      <c r="P1241" s="215"/>
      <c r="Q1241" s="207"/>
      <c r="R1241" s="323"/>
      <c r="S1241" s="323"/>
      <c r="T1241" s="664"/>
      <c r="U1241" s="215"/>
      <c r="V1241" s="215"/>
    </row>
    <row r="1242" ht="15.0" customHeight="1">
      <c r="A1242" s="207"/>
      <c r="B1242" s="215"/>
      <c r="C1242" s="215"/>
      <c r="D1242" s="215"/>
      <c r="E1242" s="215"/>
      <c r="F1242" s="215"/>
      <c r="G1242" s="215"/>
      <c r="H1242" s="215"/>
      <c r="I1242" s="207"/>
      <c r="J1242" s="215"/>
      <c r="K1242" s="207"/>
      <c r="L1242" s="215"/>
      <c r="M1242" s="323"/>
      <c r="N1242" s="215"/>
      <c r="O1242" s="323"/>
      <c r="P1242" s="215"/>
      <c r="Q1242" s="207"/>
      <c r="R1242" s="323"/>
      <c r="S1242" s="323"/>
      <c r="T1242" s="664"/>
      <c r="U1242" s="215"/>
      <c r="V1242" s="215"/>
    </row>
    <row r="1243" ht="15.0" customHeight="1">
      <c r="A1243" s="207"/>
      <c r="B1243" s="215"/>
      <c r="C1243" s="215"/>
      <c r="D1243" s="215"/>
      <c r="E1243" s="215"/>
      <c r="F1243" s="215"/>
      <c r="G1243" s="215"/>
      <c r="H1243" s="215"/>
      <c r="I1243" s="207"/>
      <c r="J1243" s="215"/>
      <c r="K1243" s="207"/>
      <c r="L1243" s="215"/>
      <c r="M1243" s="323"/>
      <c r="N1243" s="215"/>
      <c r="O1243" s="323"/>
      <c r="P1243" s="215"/>
      <c r="Q1243" s="207"/>
      <c r="R1243" s="323"/>
      <c r="S1243" s="323"/>
      <c r="T1243" s="664"/>
      <c r="U1243" s="215"/>
      <c r="V1243" s="215"/>
    </row>
    <row r="1244" ht="15.0" customHeight="1">
      <c r="A1244" s="207"/>
      <c r="B1244" s="215"/>
      <c r="C1244" s="215"/>
      <c r="D1244" s="215"/>
      <c r="E1244" s="215"/>
      <c r="F1244" s="215"/>
      <c r="G1244" s="215"/>
      <c r="H1244" s="215"/>
      <c r="I1244" s="207"/>
      <c r="J1244" s="215"/>
      <c r="K1244" s="207"/>
      <c r="L1244" s="215"/>
      <c r="M1244" s="323"/>
      <c r="N1244" s="215"/>
      <c r="O1244" s="323"/>
      <c r="P1244" s="215"/>
      <c r="Q1244" s="207"/>
      <c r="R1244" s="323"/>
      <c r="S1244" s="323"/>
      <c r="T1244" s="664"/>
      <c r="U1244" s="215"/>
      <c r="V1244" s="215"/>
    </row>
    <row r="1245" ht="15.0" customHeight="1">
      <c r="A1245" s="207"/>
      <c r="B1245" s="215"/>
      <c r="C1245" s="215"/>
      <c r="D1245" s="215"/>
      <c r="E1245" s="215"/>
      <c r="F1245" s="215"/>
      <c r="G1245" s="215"/>
      <c r="H1245" s="215"/>
      <c r="I1245" s="207"/>
      <c r="J1245" s="215"/>
      <c r="K1245" s="207"/>
      <c r="L1245" s="215"/>
      <c r="M1245" s="323"/>
      <c r="N1245" s="215"/>
      <c r="O1245" s="323"/>
      <c r="P1245" s="215"/>
      <c r="Q1245" s="207"/>
      <c r="R1245" s="323"/>
      <c r="S1245" s="323"/>
      <c r="T1245" s="664"/>
      <c r="U1245" s="215"/>
      <c r="V1245" s="215"/>
    </row>
    <row r="1246" ht="15.0" customHeight="1">
      <c r="A1246" s="207"/>
      <c r="B1246" s="215"/>
      <c r="C1246" s="215"/>
      <c r="D1246" s="215"/>
      <c r="E1246" s="215"/>
      <c r="F1246" s="215"/>
      <c r="G1246" s="215"/>
      <c r="H1246" s="215"/>
      <c r="I1246" s="207"/>
      <c r="J1246" s="215"/>
      <c r="K1246" s="207"/>
      <c r="L1246" s="215"/>
      <c r="M1246" s="323"/>
      <c r="N1246" s="215"/>
      <c r="O1246" s="323"/>
      <c r="P1246" s="215"/>
      <c r="Q1246" s="207"/>
      <c r="R1246" s="323"/>
      <c r="S1246" s="323"/>
      <c r="T1246" s="664"/>
      <c r="U1246" s="215"/>
      <c r="V1246" s="215"/>
    </row>
    <row r="1247" ht="15.0" customHeight="1">
      <c r="A1247" s="207"/>
      <c r="B1247" s="215"/>
      <c r="C1247" s="215"/>
      <c r="D1247" s="215"/>
      <c r="E1247" s="215"/>
      <c r="F1247" s="215"/>
      <c r="G1247" s="215"/>
      <c r="H1247" s="215"/>
      <c r="I1247" s="207"/>
      <c r="J1247" s="215"/>
      <c r="K1247" s="207"/>
      <c r="L1247" s="215"/>
      <c r="M1247" s="323"/>
      <c r="N1247" s="215"/>
      <c r="O1247" s="323"/>
      <c r="P1247" s="215"/>
      <c r="Q1247" s="207"/>
      <c r="R1247" s="323"/>
      <c r="S1247" s="323"/>
      <c r="T1247" s="664"/>
      <c r="U1247" s="215"/>
      <c r="V1247" s="215"/>
    </row>
    <row r="1248" ht="15.0" customHeight="1">
      <c r="A1248" s="207"/>
      <c r="B1248" s="215"/>
      <c r="C1248" s="215"/>
      <c r="D1248" s="215"/>
      <c r="E1248" s="215"/>
      <c r="F1248" s="215"/>
      <c r="G1248" s="215"/>
      <c r="H1248" s="215"/>
      <c r="I1248" s="207"/>
      <c r="J1248" s="215"/>
      <c r="K1248" s="207"/>
      <c r="L1248" s="215"/>
      <c r="M1248" s="323"/>
      <c r="N1248" s="215"/>
      <c r="O1248" s="323"/>
      <c r="P1248" s="215"/>
      <c r="Q1248" s="207"/>
      <c r="R1248" s="323"/>
      <c r="S1248" s="323"/>
      <c r="T1248" s="664"/>
      <c r="U1248" s="215"/>
      <c r="V1248" s="215"/>
    </row>
    <row r="1249" ht="15.0" customHeight="1">
      <c r="A1249" s="207"/>
      <c r="B1249" s="215"/>
      <c r="C1249" s="215"/>
      <c r="D1249" s="215"/>
      <c r="E1249" s="215"/>
      <c r="F1249" s="215"/>
      <c r="G1249" s="215"/>
      <c r="H1249" s="215"/>
      <c r="I1249" s="207"/>
      <c r="J1249" s="215"/>
      <c r="K1249" s="207"/>
      <c r="L1249" s="215"/>
      <c r="M1249" s="323"/>
      <c r="N1249" s="215"/>
      <c r="O1249" s="323"/>
      <c r="P1249" s="215"/>
      <c r="Q1249" s="207"/>
      <c r="R1249" s="323"/>
      <c r="S1249" s="323"/>
      <c r="T1249" s="664"/>
      <c r="U1249" s="215"/>
      <c r="V1249" s="215"/>
    </row>
    <row r="1250" ht="15.0" customHeight="1">
      <c r="A1250" s="207"/>
      <c r="B1250" s="215"/>
      <c r="C1250" s="215"/>
      <c r="D1250" s="215"/>
      <c r="E1250" s="215"/>
      <c r="F1250" s="215"/>
      <c r="G1250" s="215"/>
      <c r="H1250" s="215"/>
      <c r="I1250" s="207"/>
      <c r="J1250" s="215"/>
      <c r="K1250" s="207"/>
      <c r="L1250" s="215"/>
      <c r="M1250" s="323"/>
      <c r="N1250" s="215"/>
      <c r="O1250" s="323"/>
      <c r="P1250" s="215"/>
      <c r="Q1250" s="207"/>
      <c r="R1250" s="323"/>
      <c r="S1250" s="323"/>
      <c r="T1250" s="664"/>
      <c r="U1250" s="215"/>
      <c r="V1250" s="215"/>
    </row>
    <row r="1251" ht="15.0" customHeight="1">
      <c r="A1251" s="207"/>
      <c r="B1251" s="215"/>
      <c r="C1251" s="215"/>
      <c r="D1251" s="215"/>
      <c r="E1251" s="215"/>
      <c r="F1251" s="215"/>
      <c r="G1251" s="215"/>
      <c r="H1251" s="215"/>
      <c r="I1251" s="207"/>
      <c r="J1251" s="215"/>
      <c r="K1251" s="207"/>
      <c r="L1251" s="215"/>
      <c r="M1251" s="323"/>
      <c r="N1251" s="215"/>
      <c r="O1251" s="323"/>
      <c r="P1251" s="215"/>
      <c r="Q1251" s="207"/>
      <c r="R1251" s="323"/>
      <c r="S1251" s="323"/>
      <c r="T1251" s="664"/>
      <c r="U1251" s="215"/>
      <c r="V1251" s="215"/>
    </row>
    <row r="1252" ht="15.0" customHeight="1">
      <c r="A1252" s="207"/>
      <c r="B1252" s="215"/>
      <c r="C1252" s="215"/>
      <c r="D1252" s="215"/>
      <c r="E1252" s="215"/>
      <c r="F1252" s="215"/>
      <c r="G1252" s="215"/>
      <c r="H1252" s="215"/>
      <c r="I1252" s="207"/>
      <c r="J1252" s="215"/>
      <c r="K1252" s="207"/>
      <c r="L1252" s="215"/>
      <c r="M1252" s="323"/>
      <c r="N1252" s="215"/>
      <c r="O1252" s="323"/>
      <c r="P1252" s="215"/>
      <c r="Q1252" s="207"/>
      <c r="R1252" s="323"/>
      <c r="S1252" s="323"/>
      <c r="T1252" s="664"/>
      <c r="U1252" s="215"/>
      <c r="V1252" s="215"/>
    </row>
    <row r="1253" ht="15.0" customHeight="1">
      <c r="A1253" s="207"/>
      <c r="B1253" s="215"/>
      <c r="C1253" s="215"/>
      <c r="D1253" s="215"/>
      <c r="E1253" s="215"/>
      <c r="F1253" s="215"/>
      <c r="G1253" s="215"/>
      <c r="H1253" s="215"/>
      <c r="I1253" s="207"/>
      <c r="J1253" s="215"/>
      <c r="K1253" s="207"/>
      <c r="L1253" s="215"/>
      <c r="M1253" s="323"/>
      <c r="N1253" s="215"/>
      <c r="O1253" s="323"/>
      <c r="P1253" s="215"/>
      <c r="Q1253" s="207"/>
      <c r="R1253" s="323"/>
      <c r="S1253" s="323"/>
      <c r="T1253" s="664"/>
      <c r="U1253" s="215"/>
      <c r="V1253" s="215"/>
    </row>
    <row r="1254" ht="15.0" customHeight="1">
      <c r="A1254" s="207"/>
      <c r="B1254" s="215"/>
      <c r="C1254" s="215"/>
      <c r="D1254" s="215"/>
      <c r="E1254" s="215"/>
      <c r="F1254" s="215"/>
      <c r="G1254" s="215"/>
      <c r="H1254" s="215"/>
      <c r="I1254" s="207"/>
      <c r="J1254" s="215"/>
      <c r="K1254" s="207"/>
      <c r="L1254" s="215"/>
      <c r="M1254" s="323"/>
      <c r="N1254" s="215"/>
      <c r="O1254" s="323"/>
      <c r="P1254" s="215"/>
      <c r="Q1254" s="207"/>
      <c r="R1254" s="323"/>
      <c r="S1254" s="323"/>
      <c r="T1254" s="664"/>
      <c r="U1254" s="215"/>
      <c r="V1254" s="215"/>
    </row>
    <row r="1255" ht="15.0" customHeight="1">
      <c r="A1255" s="207"/>
      <c r="B1255" s="215"/>
      <c r="C1255" s="215"/>
      <c r="D1255" s="215"/>
      <c r="E1255" s="215"/>
      <c r="F1255" s="215"/>
      <c r="G1255" s="215"/>
      <c r="H1255" s="215"/>
      <c r="I1255" s="207"/>
      <c r="J1255" s="215"/>
      <c r="K1255" s="207"/>
      <c r="L1255" s="215"/>
      <c r="M1255" s="323"/>
      <c r="N1255" s="215"/>
      <c r="O1255" s="323"/>
      <c r="P1255" s="215"/>
      <c r="Q1255" s="207"/>
      <c r="R1255" s="323"/>
      <c r="S1255" s="323"/>
      <c r="T1255" s="664"/>
      <c r="U1255" s="215"/>
      <c r="V1255" s="215"/>
    </row>
    <row r="1256" ht="15.0" customHeight="1">
      <c r="A1256" s="207"/>
      <c r="B1256" s="215"/>
      <c r="C1256" s="215"/>
      <c r="D1256" s="215"/>
      <c r="E1256" s="215"/>
      <c r="F1256" s="215"/>
      <c r="G1256" s="215"/>
      <c r="H1256" s="215"/>
      <c r="I1256" s="207"/>
      <c r="J1256" s="215"/>
      <c r="K1256" s="207"/>
      <c r="L1256" s="215"/>
      <c r="M1256" s="323"/>
      <c r="N1256" s="215"/>
      <c r="O1256" s="323"/>
      <c r="P1256" s="215"/>
      <c r="Q1256" s="207"/>
      <c r="R1256" s="323"/>
      <c r="S1256" s="323"/>
      <c r="T1256" s="664"/>
      <c r="U1256" s="215"/>
      <c r="V1256" s="215"/>
    </row>
    <row r="1257" ht="15.0" customHeight="1">
      <c r="A1257" s="207"/>
      <c r="B1257" s="215"/>
      <c r="C1257" s="215"/>
      <c r="D1257" s="215"/>
      <c r="E1257" s="215"/>
      <c r="F1257" s="215"/>
      <c r="G1257" s="215"/>
      <c r="H1257" s="215"/>
      <c r="I1257" s="207"/>
      <c r="J1257" s="215"/>
      <c r="K1257" s="207"/>
      <c r="L1257" s="215"/>
      <c r="M1257" s="323"/>
      <c r="N1257" s="215"/>
      <c r="O1257" s="323"/>
      <c r="P1257" s="215"/>
      <c r="Q1257" s="207"/>
      <c r="R1257" s="323"/>
      <c r="S1257" s="323"/>
      <c r="T1257" s="664"/>
      <c r="U1257" s="215"/>
      <c r="V1257" s="215"/>
    </row>
    <row r="1258" ht="15.0" customHeight="1">
      <c r="A1258" s="207"/>
      <c r="B1258" s="215"/>
      <c r="C1258" s="215"/>
      <c r="D1258" s="215"/>
      <c r="E1258" s="215"/>
      <c r="F1258" s="215"/>
      <c r="G1258" s="215"/>
      <c r="H1258" s="215"/>
      <c r="I1258" s="207"/>
      <c r="J1258" s="215"/>
      <c r="K1258" s="207"/>
      <c r="L1258" s="215"/>
      <c r="M1258" s="323"/>
      <c r="N1258" s="215"/>
      <c r="O1258" s="323"/>
      <c r="P1258" s="215"/>
      <c r="Q1258" s="207"/>
      <c r="R1258" s="323"/>
      <c r="S1258" s="323"/>
      <c r="T1258" s="664"/>
      <c r="U1258" s="215"/>
      <c r="V1258" s="215"/>
    </row>
    <row r="1259" ht="15.0" customHeight="1">
      <c r="A1259" s="207"/>
      <c r="B1259" s="215"/>
      <c r="C1259" s="215"/>
      <c r="D1259" s="215"/>
      <c r="E1259" s="215"/>
      <c r="F1259" s="215"/>
      <c r="G1259" s="215"/>
      <c r="H1259" s="215"/>
      <c r="I1259" s="207"/>
      <c r="J1259" s="215"/>
      <c r="K1259" s="207"/>
      <c r="L1259" s="215"/>
      <c r="M1259" s="323"/>
      <c r="N1259" s="215"/>
      <c r="O1259" s="323"/>
      <c r="P1259" s="215"/>
      <c r="Q1259" s="207"/>
      <c r="R1259" s="323"/>
      <c r="S1259" s="323"/>
      <c r="T1259" s="664"/>
      <c r="U1259" s="215"/>
      <c r="V1259" s="215"/>
    </row>
    <row r="1260" ht="15.0" customHeight="1">
      <c r="A1260" s="207"/>
      <c r="B1260" s="215"/>
      <c r="C1260" s="215"/>
      <c r="D1260" s="215"/>
      <c r="E1260" s="215"/>
      <c r="F1260" s="215"/>
      <c r="G1260" s="215"/>
      <c r="H1260" s="215"/>
      <c r="I1260" s="207"/>
      <c r="J1260" s="215"/>
      <c r="K1260" s="207"/>
      <c r="L1260" s="215"/>
      <c r="M1260" s="323"/>
      <c r="N1260" s="215"/>
      <c r="O1260" s="323"/>
      <c r="P1260" s="215"/>
      <c r="Q1260" s="207"/>
      <c r="R1260" s="323"/>
      <c r="S1260" s="323"/>
      <c r="T1260" s="664"/>
      <c r="U1260" s="215"/>
      <c r="V1260" s="215"/>
    </row>
    <row r="1261" ht="15.0" customHeight="1">
      <c r="A1261" s="207"/>
      <c r="B1261" s="215"/>
      <c r="C1261" s="215"/>
      <c r="D1261" s="215"/>
      <c r="E1261" s="215"/>
      <c r="F1261" s="215"/>
      <c r="G1261" s="215"/>
      <c r="H1261" s="215"/>
      <c r="I1261" s="207"/>
      <c r="J1261" s="215"/>
      <c r="K1261" s="207"/>
      <c r="L1261" s="215"/>
      <c r="M1261" s="323"/>
      <c r="N1261" s="215"/>
      <c r="O1261" s="323"/>
      <c r="P1261" s="215"/>
      <c r="Q1261" s="207"/>
      <c r="R1261" s="323"/>
      <c r="S1261" s="323"/>
      <c r="T1261" s="664"/>
      <c r="U1261" s="215"/>
      <c r="V1261" s="215"/>
    </row>
    <row r="1262" ht="15.0" customHeight="1">
      <c r="A1262" s="207"/>
      <c r="B1262" s="215"/>
      <c r="C1262" s="215"/>
      <c r="D1262" s="215"/>
      <c r="E1262" s="215"/>
      <c r="F1262" s="215"/>
      <c r="G1262" s="215"/>
      <c r="H1262" s="215"/>
      <c r="I1262" s="207"/>
      <c r="J1262" s="215"/>
      <c r="K1262" s="207"/>
      <c r="L1262" s="215"/>
      <c r="M1262" s="323"/>
      <c r="N1262" s="215"/>
      <c r="O1262" s="323"/>
      <c r="P1262" s="215"/>
      <c r="Q1262" s="207"/>
      <c r="R1262" s="323"/>
      <c r="S1262" s="323"/>
      <c r="T1262" s="664"/>
      <c r="U1262" s="215"/>
      <c r="V1262" s="215"/>
    </row>
    <row r="1263" ht="15.0" customHeight="1">
      <c r="A1263" s="207"/>
      <c r="B1263" s="215"/>
      <c r="C1263" s="215"/>
      <c r="D1263" s="215"/>
      <c r="E1263" s="215"/>
      <c r="F1263" s="215"/>
      <c r="G1263" s="215"/>
      <c r="H1263" s="215"/>
      <c r="I1263" s="207"/>
      <c r="J1263" s="215"/>
      <c r="K1263" s="207"/>
      <c r="L1263" s="215"/>
      <c r="M1263" s="323"/>
      <c r="N1263" s="215"/>
      <c r="O1263" s="323"/>
      <c r="P1263" s="215"/>
      <c r="Q1263" s="207"/>
      <c r="R1263" s="323"/>
      <c r="S1263" s="323"/>
      <c r="T1263" s="664"/>
      <c r="U1263" s="215"/>
      <c r="V1263" s="215"/>
    </row>
    <row r="1264" ht="15.0" customHeight="1">
      <c r="A1264" s="207"/>
      <c r="B1264" s="215"/>
      <c r="C1264" s="215"/>
      <c r="D1264" s="215"/>
      <c r="E1264" s="215"/>
      <c r="F1264" s="215"/>
      <c r="G1264" s="215"/>
      <c r="H1264" s="215"/>
      <c r="I1264" s="207"/>
      <c r="J1264" s="215"/>
      <c r="K1264" s="207"/>
      <c r="L1264" s="215"/>
      <c r="M1264" s="323"/>
      <c r="N1264" s="215"/>
      <c r="O1264" s="323"/>
      <c r="P1264" s="215"/>
      <c r="Q1264" s="207"/>
      <c r="R1264" s="323"/>
      <c r="S1264" s="323"/>
      <c r="T1264" s="664"/>
      <c r="U1264" s="215"/>
      <c r="V1264" s="215"/>
    </row>
    <row r="1265" ht="15.0" customHeight="1">
      <c r="A1265" s="207"/>
      <c r="B1265" s="215"/>
      <c r="C1265" s="215"/>
      <c r="D1265" s="215"/>
      <c r="E1265" s="215"/>
      <c r="F1265" s="215"/>
      <c r="G1265" s="215"/>
      <c r="H1265" s="215"/>
      <c r="I1265" s="207"/>
      <c r="J1265" s="215"/>
      <c r="K1265" s="207"/>
      <c r="L1265" s="215"/>
      <c r="M1265" s="323"/>
      <c r="N1265" s="215"/>
      <c r="O1265" s="323"/>
      <c r="P1265" s="215"/>
      <c r="Q1265" s="207"/>
      <c r="R1265" s="323"/>
      <c r="S1265" s="323"/>
      <c r="T1265" s="664"/>
      <c r="U1265" s="215"/>
      <c r="V1265" s="215"/>
    </row>
    <row r="1266" ht="15.0" customHeight="1">
      <c r="A1266" s="207"/>
      <c r="B1266" s="215"/>
      <c r="C1266" s="215"/>
      <c r="D1266" s="215"/>
      <c r="E1266" s="215"/>
      <c r="F1266" s="215"/>
      <c r="G1266" s="215"/>
      <c r="H1266" s="215"/>
      <c r="I1266" s="207"/>
      <c r="J1266" s="215"/>
      <c r="K1266" s="207"/>
      <c r="L1266" s="215"/>
      <c r="M1266" s="323"/>
      <c r="N1266" s="215"/>
      <c r="O1266" s="323"/>
      <c r="P1266" s="215"/>
      <c r="Q1266" s="207"/>
      <c r="R1266" s="323"/>
      <c r="S1266" s="323"/>
      <c r="T1266" s="664"/>
      <c r="U1266" s="215"/>
      <c r="V1266" s="215"/>
    </row>
    <row r="1267" ht="15.0" customHeight="1">
      <c r="A1267" s="207"/>
      <c r="B1267" s="215"/>
      <c r="C1267" s="215"/>
      <c r="D1267" s="215"/>
      <c r="E1267" s="215"/>
      <c r="F1267" s="215"/>
      <c r="G1267" s="215"/>
      <c r="H1267" s="215"/>
      <c r="I1267" s="207"/>
      <c r="J1267" s="215"/>
      <c r="K1267" s="207"/>
      <c r="L1267" s="215"/>
      <c r="M1267" s="323"/>
      <c r="N1267" s="215"/>
      <c r="O1267" s="323"/>
      <c r="P1267" s="215"/>
      <c r="Q1267" s="207"/>
      <c r="R1267" s="323"/>
      <c r="S1267" s="323"/>
      <c r="T1267" s="664"/>
      <c r="U1267" s="215"/>
      <c r="V1267" s="215"/>
    </row>
    <row r="1268" ht="15.0" customHeight="1">
      <c r="A1268" s="207"/>
      <c r="B1268" s="215"/>
      <c r="C1268" s="215"/>
      <c r="D1268" s="215"/>
      <c r="E1268" s="215"/>
      <c r="F1268" s="215"/>
      <c r="G1268" s="215"/>
      <c r="H1268" s="215"/>
      <c r="I1268" s="207"/>
      <c r="J1268" s="215"/>
      <c r="K1268" s="207"/>
      <c r="L1268" s="215"/>
      <c r="M1268" s="323"/>
      <c r="N1268" s="215"/>
      <c r="O1268" s="323"/>
      <c r="P1268" s="215"/>
      <c r="Q1268" s="207"/>
      <c r="R1268" s="323"/>
      <c r="S1268" s="323"/>
      <c r="T1268" s="664"/>
      <c r="U1268" s="215"/>
      <c r="V1268" s="215"/>
    </row>
    <row r="1269" ht="15.0" customHeight="1">
      <c r="A1269" s="207"/>
      <c r="B1269" s="215"/>
      <c r="C1269" s="215"/>
      <c r="D1269" s="215"/>
      <c r="E1269" s="215"/>
      <c r="F1269" s="215"/>
      <c r="G1269" s="215"/>
      <c r="H1269" s="215"/>
      <c r="I1269" s="207"/>
      <c r="J1269" s="215"/>
      <c r="K1269" s="207"/>
      <c r="L1269" s="215"/>
      <c r="M1269" s="323"/>
      <c r="N1269" s="215"/>
      <c r="O1269" s="323"/>
      <c r="P1269" s="215"/>
      <c r="Q1269" s="207"/>
      <c r="R1269" s="323"/>
      <c r="S1269" s="323"/>
      <c r="T1269" s="664"/>
      <c r="U1269" s="215"/>
      <c r="V1269" s="215"/>
    </row>
    <row r="1270" ht="15.0" customHeight="1">
      <c r="A1270" s="207"/>
      <c r="B1270" s="215"/>
      <c r="C1270" s="215"/>
      <c r="D1270" s="215"/>
      <c r="E1270" s="215"/>
      <c r="F1270" s="215"/>
      <c r="G1270" s="215"/>
      <c r="H1270" s="215"/>
      <c r="I1270" s="207"/>
      <c r="J1270" s="215"/>
      <c r="K1270" s="207"/>
      <c r="L1270" s="215"/>
      <c r="M1270" s="323"/>
      <c r="N1270" s="215"/>
      <c r="O1270" s="323"/>
      <c r="P1270" s="215"/>
      <c r="Q1270" s="207"/>
      <c r="R1270" s="323"/>
      <c r="S1270" s="323"/>
      <c r="T1270" s="664"/>
      <c r="U1270" s="215"/>
      <c r="V1270" s="215"/>
    </row>
    <row r="1271" ht="15.0" customHeight="1">
      <c r="A1271" s="207"/>
      <c r="B1271" s="215"/>
      <c r="C1271" s="215"/>
      <c r="D1271" s="215"/>
      <c r="E1271" s="215"/>
      <c r="F1271" s="215"/>
      <c r="G1271" s="215"/>
      <c r="H1271" s="215"/>
      <c r="I1271" s="207"/>
      <c r="J1271" s="215"/>
      <c r="K1271" s="207"/>
      <c r="L1271" s="215"/>
      <c r="M1271" s="323"/>
      <c r="N1271" s="215"/>
      <c r="O1271" s="323"/>
      <c r="P1271" s="215"/>
      <c r="Q1271" s="207"/>
      <c r="R1271" s="323"/>
      <c r="S1271" s="323"/>
      <c r="T1271" s="664"/>
      <c r="U1271" s="215"/>
      <c r="V1271" s="215"/>
    </row>
    <row r="1272" ht="15.0" customHeight="1">
      <c r="A1272" s="207"/>
      <c r="B1272" s="215"/>
      <c r="C1272" s="215"/>
      <c r="D1272" s="215"/>
      <c r="E1272" s="215"/>
      <c r="F1272" s="215"/>
      <c r="G1272" s="215"/>
      <c r="H1272" s="215"/>
      <c r="I1272" s="207"/>
      <c r="J1272" s="215"/>
      <c r="K1272" s="207"/>
      <c r="L1272" s="215"/>
      <c r="M1272" s="323"/>
      <c r="N1272" s="215"/>
      <c r="O1272" s="323"/>
      <c r="P1272" s="215"/>
      <c r="Q1272" s="207"/>
      <c r="R1272" s="323"/>
      <c r="S1272" s="323"/>
      <c r="T1272" s="664"/>
      <c r="U1272" s="215"/>
      <c r="V1272" s="215"/>
    </row>
    <row r="1273" ht="15.0" customHeight="1">
      <c r="A1273" s="207"/>
      <c r="B1273" s="215"/>
      <c r="C1273" s="215"/>
      <c r="D1273" s="215"/>
      <c r="E1273" s="215"/>
      <c r="F1273" s="215"/>
      <c r="G1273" s="215"/>
      <c r="H1273" s="215"/>
      <c r="I1273" s="207"/>
      <c r="J1273" s="215"/>
      <c r="K1273" s="207"/>
      <c r="L1273" s="215"/>
      <c r="M1273" s="323"/>
      <c r="N1273" s="215"/>
      <c r="O1273" s="323"/>
      <c r="P1273" s="215"/>
      <c r="Q1273" s="207"/>
      <c r="R1273" s="323"/>
      <c r="S1273" s="323"/>
      <c r="T1273" s="664"/>
      <c r="U1273" s="215"/>
      <c r="V1273" s="215"/>
    </row>
    <row r="1274" ht="15.0" customHeight="1">
      <c r="A1274" s="207"/>
      <c r="B1274" s="215"/>
      <c r="C1274" s="215"/>
      <c r="D1274" s="215"/>
      <c r="E1274" s="215"/>
      <c r="F1274" s="215"/>
      <c r="G1274" s="215"/>
      <c r="H1274" s="215"/>
      <c r="I1274" s="207"/>
      <c r="J1274" s="215"/>
      <c r="K1274" s="207"/>
      <c r="L1274" s="215"/>
      <c r="M1274" s="323"/>
      <c r="N1274" s="215"/>
      <c r="O1274" s="323"/>
      <c r="P1274" s="215"/>
      <c r="Q1274" s="207"/>
      <c r="R1274" s="323"/>
      <c r="S1274" s="323"/>
      <c r="T1274" s="664"/>
      <c r="U1274" s="215"/>
      <c r="V1274" s="215"/>
    </row>
    <row r="1275" ht="15.0" customHeight="1">
      <c r="A1275" s="207"/>
      <c r="B1275" s="215"/>
      <c r="C1275" s="215"/>
      <c r="D1275" s="215"/>
      <c r="E1275" s="215"/>
      <c r="F1275" s="215"/>
      <c r="G1275" s="215"/>
      <c r="H1275" s="215"/>
      <c r="I1275" s="207"/>
      <c r="J1275" s="215"/>
      <c r="K1275" s="207"/>
      <c r="L1275" s="215"/>
      <c r="M1275" s="323"/>
      <c r="N1275" s="215"/>
      <c r="O1275" s="323"/>
      <c r="P1275" s="215"/>
      <c r="Q1275" s="207"/>
      <c r="R1275" s="323"/>
      <c r="S1275" s="323"/>
      <c r="T1275" s="664"/>
      <c r="U1275" s="215"/>
      <c r="V1275" s="215"/>
    </row>
    <row r="1276" ht="15.0" customHeight="1">
      <c r="A1276" s="207"/>
      <c r="B1276" s="215"/>
      <c r="C1276" s="215"/>
      <c r="D1276" s="215"/>
      <c r="E1276" s="215"/>
      <c r="F1276" s="215"/>
      <c r="G1276" s="215"/>
      <c r="H1276" s="215"/>
      <c r="I1276" s="207"/>
      <c r="J1276" s="215"/>
      <c r="K1276" s="207"/>
      <c r="L1276" s="215"/>
      <c r="M1276" s="323"/>
      <c r="N1276" s="215"/>
      <c r="O1276" s="323"/>
      <c r="P1276" s="215"/>
      <c r="Q1276" s="207"/>
      <c r="R1276" s="323"/>
      <c r="S1276" s="323"/>
      <c r="T1276" s="664"/>
      <c r="U1276" s="215"/>
      <c r="V1276" s="215"/>
    </row>
    <row r="1277" ht="15.0" customHeight="1">
      <c r="A1277" s="207"/>
      <c r="B1277" s="215"/>
      <c r="C1277" s="215"/>
      <c r="D1277" s="215"/>
      <c r="E1277" s="215"/>
      <c r="F1277" s="215"/>
      <c r="G1277" s="215"/>
      <c r="H1277" s="215"/>
      <c r="I1277" s="207"/>
      <c r="J1277" s="215"/>
      <c r="K1277" s="207"/>
      <c r="L1277" s="215"/>
      <c r="M1277" s="323"/>
      <c r="N1277" s="215"/>
      <c r="O1277" s="323"/>
      <c r="P1277" s="215"/>
      <c r="Q1277" s="207"/>
      <c r="R1277" s="323"/>
      <c r="S1277" s="323"/>
      <c r="T1277" s="664"/>
      <c r="U1277" s="215"/>
      <c r="V1277" s="215"/>
    </row>
    <row r="1278" ht="15.0" customHeight="1">
      <c r="A1278" s="207"/>
      <c r="B1278" s="215"/>
      <c r="C1278" s="215"/>
      <c r="D1278" s="215"/>
      <c r="E1278" s="215"/>
      <c r="F1278" s="215"/>
      <c r="G1278" s="215"/>
      <c r="H1278" s="215"/>
      <c r="I1278" s="207"/>
      <c r="J1278" s="215"/>
      <c r="K1278" s="207"/>
      <c r="L1278" s="215"/>
      <c r="M1278" s="323"/>
      <c r="N1278" s="215"/>
      <c r="O1278" s="323"/>
      <c r="P1278" s="215"/>
      <c r="Q1278" s="207"/>
      <c r="R1278" s="323"/>
      <c r="S1278" s="323"/>
      <c r="T1278" s="664"/>
      <c r="U1278" s="215"/>
      <c r="V1278" s="215"/>
    </row>
    <row r="1279" ht="15.0" customHeight="1">
      <c r="A1279" s="207"/>
      <c r="B1279" s="215"/>
      <c r="C1279" s="215"/>
      <c r="D1279" s="215"/>
      <c r="E1279" s="215"/>
      <c r="F1279" s="215"/>
      <c r="G1279" s="215"/>
      <c r="H1279" s="215"/>
      <c r="I1279" s="207"/>
      <c r="J1279" s="215"/>
      <c r="K1279" s="207"/>
      <c r="L1279" s="215"/>
      <c r="M1279" s="323"/>
      <c r="N1279" s="215"/>
      <c r="O1279" s="323"/>
      <c r="P1279" s="215"/>
      <c r="Q1279" s="207"/>
      <c r="R1279" s="323"/>
      <c r="S1279" s="323"/>
      <c r="T1279" s="664"/>
      <c r="U1279" s="215"/>
      <c r="V1279" s="215"/>
    </row>
    <row r="1280" ht="15.0" customHeight="1">
      <c r="A1280" s="207"/>
      <c r="B1280" s="215"/>
      <c r="C1280" s="215"/>
      <c r="D1280" s="215"/>
      <c r="E1280" s="215"/>
      <c r="F1280" s="215"/>
      <c r="G1280" s="215"/>
      <c r="H1280" s="215"/>
      <c r="I1280" s="207"/>
      <c r="J1280" s="215"/>
      <c r="K1280" s="207"/>
      <c r="L1280" s="215"/>
      <c r="M1280" s="323"/>
      <c r="N1280" s="215"/>
      <c r="O1280" s="323"/>
      <c r="P1280" s="215"/>
      <c r="Q1280" s="207"/>
      <c r="R1280" s="323"/>
      <c r="S1280" s="323"/>
      <c r="T1280" s="664"/>
      <c r="U1280" s="215"/>
      <c r="V1280" s="215"/>
    </row>
    <row r="1281" ht="15.0" customHeight="1">
      <c r="A1281" s="207"/>
      <c r="B1281" s="215"/>
      <c r="C1281" s="215"/>
      <c r="D1281" s="215"/>
      <c r="E1281" s="215"/>
      <c r="F1281" s="215"/>
      <c r="G1281" s="215"/>
      <c r="H1281" s="215"/>
      <c r="I1281" s="207"/>
      <c r="J1281" s="215"/>
      <c r="K1281" s="207"/>
      <c r="L1281" s="215"/>
      <c r="M1281" s="323"/>
      <c r="N1281" s="215"/>
      <c r="O1281" s="323"/>
      <c r="P1281" s="215"/>
      <c r="Q1281" s="207"/>
      <c r="R1281" s="323"/>
      <c r="S1281" s="323"/>
      <c r="T1281" s="664"/>
      <c r="U1281" s="215"/>
      <c r="V1281" s="215"/>
    </row>
    <row r="1282" ht="15.0" customHeight="1">
      <c r="A1282" s="207"/>
      <c r="B1282" s="215"/>
      <c r="C1282" s="215"/>
      <c r="D1282" s="215"/>
      <c r="E1282" s="215"/>
      <c r="F1282" s="215"/>
      <c r="G1282" s="215"/>
      <c r="H1282" s="215"/>
      <c r="I1282" s="207"/>
      <c r="J1282" s="215"/>
      <c r="K1282" s="207"/>
      <c r="L1282" s="215"/>
      <c r="M1282" s="323"/>
      <c r="N1282" s="215"/>
      <c r="O1282" s="323"/>
      <c r="P1282" s="215"/>
      <c r="Q1282" s="207"/>
      <c r="R1282" s="323"/>
      <c r="S1282" s="323"/>
      <c r="T1282" s="664"/>
      <c r="U1282" s="215"/>
      <c r="V1282" s="215"/>
    </row>
    <row r="1283" ht="15.0" customHeight="1">
      <c r="A1283" s="207"/>
      <c r="B1283" s="215"/>
      <c r="C1283" s="215"/>
      <c r="D1283" s="215"/>
      <c r="E1283" s="215"/>
      <c r="F1283" s="215"/>
      <c r="G1283" s="215"/>
      <c r="H1283" s="215"/>
      <c r="I1283" s="207"/>
      <c r="J1283" s="215"/>
      <c r="K1283" s="207"/>
      <c r="L1283" s="215"/>
      <c r="M1283" s="323"/>
      <c r="N1283" s="215"/>
      <c r="O1283" s="323"/>
      <c r="P1283" s="215"/>
      <c r="Q1283" s="207"/>
      <c r="R1283" s="323"/>
      <c r="S1283" s="323"/>
      <c r="T1283" s="664"/>
      <c r="U1283" s="215"/>
      <c r="V1283" s="215"/>
    </row>
    <row r="1284" ht="15.0" customHeight="1">
      <c r="A1284" s="207"/>
      <c r="B1284" s="215"/>
      <c r="C1284" s="215"/>
      <c r="D1284" s="215"/>
      <c r="E1284" s="215"/>
      <c r="F1284" s="215"/>
      <c r="G1284" s="215"/>
      <c r="H1284" s="215"/>
      <c r="I1284" s="207"/>
      <c r="J1284" s="215"/>
      <c r="K1284" s="207"/>
      <c r="L1284" s="215"/>
      <c r="M1284" s="323"/>
      <c r="N1284" s="215"/>
      <c r="O1284" s="323"/>
      <c r="P1284" s="215"/>
      <c r="Q1284" s="207"/>
      <c r="R1284" s="323"/>
      <c r="S1284" s="323"/>
      <c r="T1284" s="664"/>
      <c r="U1284" s="215"/>
      <c r="V1284" s="215"/>
    </row>
    <row r="1285" ht="15.0" customHeight="1">
      <c r="A1285" s="207"/>
      <c r="B1285" s="215"/>
      <c r="C1285" s="215"/>
      <c r="D1285" s="215"/>
      <c r="E1285" s="215"/>
      <c r="F1285" s="215"/>
      <c r="G1285" s="215"/>
      <c r="H1285" s="215"/>
      <c r="I1285" s="207"/>
      <c r="J1285" s="215"/>
      <c r="K1285" s="207"/>
      <c r="L1285" s="215"/>
      <c r="M1285" s="323"/>
      <c r="N1285" s="215"/>
      <c r="O1285" s="323"/>
      <c r="P1285" s="215"/>
      <c r="Q1285" s="207"/>
      <c r="R1285" s="323"/>
      <c r="S1285" s="323"/>
      <c r="T1285" s="664"/>
      <c r="U1285" s="215"/>
      <c r="V1285" s="215"/>
    </row>
    <row r="1286" ht="15.0" customHeight="1">
      <c r="A1286" s="207"/>
      <c r="B1286" s="215"/>
      <c r="C1286" s="215"/>
      <c r="D1286" s="215"/>
      <c r="E1286" s="215"/>
      <c r="F1286" s="215"/>
      <c r="G1286" s="215"/>
      <c r="H1286" s="215"/>
      <c r="I1286" s="207"/>
      <c r="J1286" s="215"/>
      <c r="K1286" s="207"/>
      <c r="L1286" s="215"/>
      <c r="M1286" s="323"/>
      <c r="N1286" s="215"/>
      <c r="O1286" s="323"/>
      <c r="P1286" s="215"/>
      <c r="Q1286" s="207"/>
      <c r="R1286" s="323"/>
      <c r="S1286" s="323"/>
      <c r="T1286" s="664"/>
      <c r="U1286" s="215"/>
      <c r="V1286" s="215"/>
    </row>
    <row r="1287" ht="15.0" customHeight="1">
      <c r="A1287" s="207"/>
      <c r="B1287" s="215"/>
      <c r="C1287" s="215"/>
      <c r="D1287" s="215"/>
      <c r="E1287" s="215"/>
      <c r="F1287" s="215"/>
      <c r="G1287" s="215"/>
      <c r="H1287" s="215"/>
      <c r="I1287" s="207"/>
      <c r="J1287" s="215"/>
      <c r="K1287" s="207"/>
      <c r="L1287" s="215"/>
      <c r="M1287" s="323"/>
      <c r="N1287" s="215"/>
      <c r="O1287" s="323"/>
      <c r="P1287" s="215"/>
      <c r="Q1287" s="207"/>
      <c r="R1287" s="323"/>
      <c r="S1287" s="323"/>
      <c r="T1287" s="664"/>
      <c r="U1287" s="215"/>
      <c r="V1287" s="215"/>
    </row>
    <row r="1288" ht="15.0" customHeight="1">
      <c r="A1288" s="207"/>
      <c r="B1288" s="215"/>
      <c r="C1288" s="215"/>
      <c r="D1288" s="215"/>
      <c r="E1288" s="215"/>
      <c r="F1288" s="215"/>
      <c r="G1288" s="215"/>
      <c r="H1288" s="215"/>
      <c r="I1288" s="207"/>
      <c r="J1288" s="215"/>
      <c r="K1288" s="207"/>
      <c r="L1288" s="215"/>
      <c r="M1288" s="323"/>
      <c r="N1288" s="215"/>
      <c r="O1288" s="323"/>
      <c r="P1288" s="215"/>
      <c r="Q1288" s="207"/>
      <c r="R1288" s="323"/>
      <c r="S1288" s="323"/>
      <c r="T1288" s="664"/>
      <c r="U1288" s="215"/>
      <c r="V1288" s="215"/>
    </row>
    <row r="1289" ht="15.0" customHeight="1">
      <c r="A1289" s="207"/>
      <c r="B1289" s="215"/>
      <c r="C1289" s="215"/>
      <c r="D1289" s="215"/>
      <c r="E1289" s="215"/>
      <c r="F1289" s="215"/>
      <c r="G1289" s="215"/>
      <c r="H1289" s="215"/>
      <c r="I1289" s="207"/>
      <c r="J1289" s="215"/>
      <c r="K1289" s="207"/>
      <c r="L1289" s="215"/>
      <c r="M1289" s="323"/>
      <c r="N1289" s="215"/>
      <c r="O1289" s="323"/>
      <c r="P1289" s="215"/>
      <c r="Q1289" s="207"/>
      <c r="R1289" s="323"/>
      <c r="S1289" s="323"/>
      <c r="T1289" s="664"/>
      <c r="U1289" s="215"/>
      <c r="V1289" s="215"/>
    </row>
    <row r="1290" ht="15.0" customHeight="1">
      <c r="A1290" s="207"/>
      <c r="B1290" s="215"/>
      <c r="C1290" s="215"/>
      <c r="D1290" s="215"/>
      <c r="E1290" s="215"/>
      <c r="F1290" s="215"/>
      <c r="G1290" s="215"/>
      <c r="H1290" s="215"/>
      <c r="I1290" s="207"/>
      <c r="J1290" s="215"/>
      <c r="K1290" s="207"/>
      <c r="L1290" s="215"/>
      <c r="M1290" s="323"/>
      <c r="N1290" s="215"/>
      <c r="O1290" s="323"/>
      <c r="P1290" s="215"/>
      <c r="Q1290" s="207"/>
      <c r="R1290" s="323"/>
      <c r="S1290" s="323"/>
      <c r="T1290" s="664"/>
      <c r="U1290" s="215"/>
      <c r="V1290" s="215"/>
    </row>
    <row r="1291" ht="15.0" customHeight="1">
      <c r="A1291" s="207"/>
      <c r="B1291" s="215"/>
      <c r="C1291" s="215"/>
      <c r="D1291" s="215"/>
      <c r="E1291" s="215"/>
      <c r="F1291" s="215"/>
      <c r="G1291" s="215"/>
      <c r="H1291" s="215"/>
      <c r="I1291" s="207"/>
      <c r="J1291" s="215"/>
      <c r="K1291" s="207"/>
      <c r="L1291" s="215"/>
      <c r="M1291" s="323"/>
      <c r="N1291" s="215"/>
      <c r="O1291" s="323"/>
      <c r="P1291" s="215"/>
      <c r="Q1291" s="207"/>
      <c r="R1291" s="323"/>
      <c r="S1291" s="323"/>
      <c r="T1291" s="664"/>
      <c r="U1291" s="215"/>
      <c r="V1291" s="215"/>
    </row>
    <row r="1292" ht="15.0" customHeight="1">
      <c r="A1292" s="207"/>
      <c r="B1292" s="215"/>
      <c r="C1292" s="215"/>
      <c r="D1292" s="215"/>
      <c r="E1292" s="215"/>
      <c r="F1292" s="215"/>
      <c r="G1292" s="215"/>
      <c r="H1292" s="215"/>
      <c r="I1292" s="207"/>
      <c r="J1292" s="215"/>
      <c r="K1292" s="207"/>
      <c r="L1292" s="215"/>
      <c r="M1292" s="323"/>
      <c r="N1292" s="215"/>
      <c r="O1292" s="323"/>
      <c r="P1292" s="215"/>
      <c r="Q1292" s="207"/>
      <c r="R1292" s="323"/>
      <c r="S1292" s="323"/>
      <c r="T1292" s="664"/>
      <c r="U1292" s="215"/>
      <c r="V1292" s="215"/>
    </row>
    <row r="1293" ht="15.0" customHeight="1">
      <c r="A1293" s="207"/>
      <c r="B1293" s="215"/>
      <c r="C1293" s="215"/>
      <c r="D1293" s="215"/>
      <c r="E1293" s="215"/>
      <c r="F1293" s="215"/>
      <c r="G1293" s="215"/>
      <c r="H1293" s="215"/>
      <c r="I1293" s="207"/>
      <c r="J1293" s="215"/>
      <c r="K1293" s="207"/>
      <c r="L1293" s="215"/>
      <c r="M1293" s="323"/>
      <c r="N1293" s="215"/>
      <c r="O1293" s="323"/>
      <c r="P1293" s="215"/>
      <c r="Q1293" s="207"/>
      <c r="R1293" s="323"/>
      <c r="S1293" s="323"/>
      <c r="T1293" s="664"/>
      <c r="U1293" s="215"/>
      <c r="V1293" s="215"/>
    </row>
    <row r="1294" ht="15.0" customHeight="1">
      <c r="A1294" s="207"/>
      <c r="B1294" s="215"/>
      <c r="C1294" s="215"/>
      <c r="D1294" s="215"/>
      <c r="E1294" s="215"/>
      <c r="F1294" s="215"/>
      <c r="G1294" s="215"/>
      <c r="H1294" s="215"/>
      <c r="I1294" s="207"/>
      <c r="J1294" s="215"/>
      <c r="K1294" s="207"/>
      <c r="L1294" s="215"/>
      <c r="M1294" s="323"/>
      <c r="N1294" s="215"/>
      <c r="O1294" s="323"/>
      <c r="P1294" s="215"/>
      <c r="Q1294" s="207"/>
      <c r="R1294" s="323"/>
      <c r="S1294" s="323"/>
      <c r="T1294" s="664"/>
      <c r="U1294" s="215"/>
      <c r="V1294" s="215"/>
    </row>
    <row r="1295" ht="15.0" customHeight="1">
      <c r="A1295" s="207"/>
      <c r="B1295" s="215"/>
      <c r="C1295" s="215"/>
      <c r="D1295" s="215"/>
      <c r="E1295" s="215"/>
      <c r="F1295" s="215"/>
      <c r="G1295" s="215"/>
      <c r="H1295" s="215"/>
      <c r="I1295" s="207"/>
      <c r="J1295" s="215"/>
      <c r="K1295" s="207"/>
      <c r="L1295" s="215"/>
      <c r="M1295" s="323"/>
      <c r="N1295" s="215"/>
      <c r="O1295" s="323"/>
      <c r="P1295" s="215"/>
      <c r="Q1295" s="207"/>
      <c r="R1295" s="323"/>
      <c r="S1295" s="323"/>
      <c r="T1295" s="664"/>
      <c r="U1295" s="215"/>
      <c r="V1295" s="215"/>
    </row>
    <row r="1296" ht="15.0" customHeight="1">
      <c r="A1296" s="207"/>
      <c r="B1296" s="215"/>
      <c r="C1296" s="215"/>
      <c r="D1296" s="215"/>
      <c r="E1296" s="215"/>
      <c r="F1296" s="215"/>
      <c r="G1296" s="215"/>
      <c r="H1296" s="215"/>
      <c r="I1296" s="207"/>
      <c r="J1296" s="215"/>
      <c r="K1296" s="207"/>
      <c r="L1296" s="215"/>
      <c r="M1296" s="323"/>
      <c r="N1296" s="215"/>
      <c r="O1296" s="323"/>
      <c r="P1296" s="215"/>
      <c r="Q1296" s="207"/>
      <c r="R1296" s="323"/>
      <c r="S1296" s="323"/>
      <c r="T1296" s="664"/>
      <c r="U1296" s="215"/>
      <c r="V1296" s="215"/>
    </row>
    <row r="1297" ht="15.0" customHeight="1">
      <c r="A1297" s="207"/>
      <c r="B1297" s="215"/>
      <c r="C1297" s="215"/>
      <c r="D1297" s="215"/>
      <c r="E1297" s="215"/>
      <c r="F1297" s="215"/>
      <c r="G1297" s="215"/>
      <c r="H1297" s="215"/>
      <c r="I1297" s="207"/>
      <c r="J1297" s="215"/>
      <c r="K1297" s="207"/>
      <c r="L1297" s="215"/>
      <c r="M1297" s="323"/>
      <c r="N1297" s="215"/>
      <c r="O1297" s="323"/>
      <c r="P1297" s="215"/>
      <c r="Q1297" s="207"/>
      <c r="R1297" s="323"/>
      <c r="S1297" s="323"/>
      <c r="T1297" s="664"/>
      <c r="U1297" s="215"/>
      <c r="V1297" s="215"/>
    </row>
    <row r="1298" ht="15.0" customHeight="1">
      <c r="A1298" s="207"/>
      <c r="B1298" s="215"/>
      <c r="C1298" s="215"/>
      <c r="D1298" s="215"/>
      <c r="E1298" s="215"/>
      <c r="F1298" s="215"/>
      <c r="G1298" s="215"/>
      <c r="H1298" s="215"/>
      <c r="I1298" s="207"/>
      <c r="J1298" s="215"/>
      <c r="K1298" s="207"/>
      <c r="L1298" s="215"/>
      <c r="M1298" s="323"/>
      <c r="N1298" s="215"/>
      <c r="O1298" s="323"/>
      <c r="P1298" s="215"/>
      <c r="Q1298" s="207"/>
      <c r="R1298" s="323"/>
      <c r="S1298" s="323"/>
      <c r="T1298" s="664"/>
      <c r="U1298" s="215"/>
      <c r="V1298" s="215"/>
    </row>
    <row r="1299" ht="15.0" customHeight="1">
      <c r="A1299" s="207"/>
      <c r="B1299" s="215"/>
      <c r="C1299" s="215"/>
      <c r="D1299" s="215"/>
      <c r="E1299" s="215"/>
      <c r="F1299" s="215"/>
      <c r="G1299" s="215"/>
      <c r="H1299" s="215"/>
      <c r="I1299" s="207"/>
      <c r="J1299" s="215"/>
      <c r="K1299" s="207"/>
      <c r="L1299" s="215"/>
      <c r="M1299" s="323"/>
      <c r="N1299" s="215"/>
      <c r="O1299" s="323"/>
      <c r="P1299" s="215"/>
      <c r="Q1299" s="207"/>
      <c r="R1299" s="323"/>
      <c r="S1299" s="323"/>
      <c r="T1299" s="664"/>
      <c r="U1299" s="215"/>
      <c r="V1299" s="215"/>
    </row>
    <row r="1300" ht="15.0" customHeight="1">
      <c r="A1300" s="207"/>
      <c r="B1300" s="215"/>
      <c r="C1300" s="215"/>
      <c r="D1300" s="215"/>
      <c r="E1300" s="215"/>
      <c r="F1300" s="215"/>
      <c r="G1300" s="215"/>
      <c r="H1300" s="215"/>
      <c r="I1300" s="207"/>
      <c r="J1300" s="215"/>
      <c r="K1300" s="207"/>
      <c r="L1300" s="215"/>
      <c r="M1300" s="323"/>
      <c r="N1300" s="215"/>
      <c r="O1300" s="323"/>
      <c r="P1300" s="215"/>
      <c r="Q1300" s="207"/>
      <c r="R1300" s="323"/>
      <c r="S1300" s="323"/>
      <c r="T1300" s="664"/>
      <c r="U1300" s="215"/>
      <c r="V1300" s="215"/>
    </row>
    <row r="1301" ht="15.0" customHeight="1">
      <c r="A1301" s="207"/>
      <c r="B1301" s="215"/>
      <c r="C1301" s="215"/>
      <c r="D1301" s="215"/>
      <c r="E1301" s="215"/>
      <c r="F1301" s="215"/>
      <c r="G1301" s="215"/>
      <c r="H1301" s="215"/>
      <c r="I1301" s="207"/>
      <c r="J1301" s="215"/>
      <c r="K1301" s="207"/>
      <c r="L1301" s="215"/>
      <c r="M1301" s="323"/>
      <c r="N1301" s="215"/>
      <c r="O1301" s="323"/>
      <c r="P1301" s="215"/>
      <c r="Q1301" s="207"/>
      <c r="R1301" s="323"/>
      <c r="S1301" s="323"/>
      <c r="T1301" s="664"/>
      <c r="U1301" s="215"/>
      <c r="V1301" s="215"/>
    </row>
    <row r="1302" ht="15.0" customHeight="1">
      <c r="A1302" s="207"/>
      <c r="B1302" s="215"/>
      <c r="C1302" s="215"/>
      <c r="D1302" s="215"/>
      <c r="E1302" s="215"/>
      <c r="F1302" s="215"/>
      <c r="G1302" s="215"/>
      <c r="H1302" s="215"/>
      <c r="I1302" s="207"/>
      <c r="J1302" s="215"/>
      <c r="K1302" s="207"/>
      <c r="L1302" s="215"/>
      <c r="M1302" s="323"/>
      <c r="N1302" s="215"/>
      <c r="O1302" s="323"/>
      <c r="P1302" s="215"/>
      <c r="Q1302" s="207"/>
      <c r="R1302" s="323"/>
      <c r="S1302" s="323"/>
      <c r="T1302" s="664"/>
      <c r="U1302" s="215"/>
      <c r="V1302" s="215"/>
    </row>
    <row r="1303" ht="15.0" customHeight="1">
      <c r="A1303" s="207"/>
      <c r="B1303" s="215"/>
      <c r="C1303" s="215"/>
      <c r="D1303" s="215"/>
      <c r="E1303" s="215"/>
      <c r="F1303" s="215"/>
      <c r="G1303" s="215"/>
      <c r="H1303" s="215"/>
      <c r="I1303" s="207"/>
      <c r="J1303" s="215"/>
      <c r="K1303" s="207"/>
      <c r="L1303" s="215"/>
      <c r="M1303" s="323"/>
      <c r="N1303" s="215"/>
      <c r="O1303" s="323"/>
      <c r="P1303" s="215"/>
      <c r="Q1303" s="207"/>
      <c r="R1303" s="323"/>
      <c r="S1303" s="323"/>
      <c r="T1303" s="664"/>
      <c r="U1303" s="215"/>
      <c r="V1303" s="215"/>
    </row>
    <row r="1304" ht="15.0" customHeight="1">
      <c r="A1304" s="207"/>
      <c r="B1304" s="215"/>
      <c r="C1304" s="215"/>
      <c r="D1304" s="215"/>
      <c r="E1304" s="215"/>
      <c r="F1304" s="215"/>
      <c r="G1304" s="215"/>
      <c r="H1304" s="215"/>
      <c r="I1304" s="207"/>
      <c r="J1304" s="215"/>
      <c r="K1304" s="207"/>
      <c r="L1304" s="215"/>
      <c r="M1304" s="323"/>
      <c r="N1304" s="215"/>
      <c r="O1304" s="323"/>
      <c r="P1304" s="215"/>
      <c r="Q1304" s="207"/>
      <c r="R1304" s="323"/>
      <c r="S1304" s="323"/>
      <c r="T1304" s="664"/>
      <c r="U1304" s="215"/>
      <c r="V1304" s="215"/>
    </row>
    <row r="1305" ht="15.0" customHeight="1">
      <c r="A1305" s="207"/>
      <c r="B1305" s="215"/>
      <c r="C1305" s="215"/>
      <c r="D1305" s="215"/>
      <c r="E1305" s="215"/>
      <c r="F1305" s="215"/>
      <c r="G1305" s="215"/>
      <c r="H1305" s="215"/>
      <c r="I1305" s="207"/>
      <c r="J1305" s="215"/>
      <c r="K1305" s="207"/>
      <c r="L1305" s="215"/>
      <c r="M1305" s="323"/>
      <c r="N1305" s="215"/>
      <c r="O1305" s="323"/>
      <c r="P1305" s="215"/>
      <c r="Q1305" s="207"/>
      <c r="R1305" s="323"/>
      <c r="S1305" s="323"/>
      <c r="T1305" s="664"/>
      <c r="U1305" s="215"/>
      <c r="V1305" s="215"/>
    </row>
    <row r="1306" ht="15.0" customHeight="1">
      <c r="A1306" s="207"/>
      <c r="B1306" s="215"/>
      <c r="C1306" s="215"/>
      <c r="D1306" s="215"/>
      <c r="E1306" s="215"/>
      <c r="F1306" s="215"/>
      <c r="G1306" s="215"/>
      <c r="H1306" s="215"/>
      <c r="I1306" s="207"/>
      <c r="J1306" s="215"/>
      <c r="K1306" s="207"/>
      <c r="L1306" s="215"/>
      <c r="M1306" s="323"/>
      <c r="N1306" s="215"/>
      <c r="O1306" s="323"/>
      <c r="P1306" s="215"/>
      <c r="Q1306" s="207"/>
      <c r="R1306" s="323"/>
      <c r="S1306" s="323"/>
      <c r="T1306" s="664"/>
      <c r="U1306" s="215"/>
      <c r="V1306" s="215"/>
    </row>
    <row r="1307" ht="15.0" customHeight="1">
      <c r="A1307" s="207"/>
      <c r="B1307" s="215"/>
      <c r="C1307" s="215"/>
      <c r="D1307" s="215"/>
      <c r="E1307" s="215"/>
      <c r="F1307" s="215"/>
      <c r="G1307" s="215"/>
      <c r="H1307" s="215"/>
      <c r="I1307" s="207"/>
      <c r="J1307" s="215"/>
      <c r="K1307" s="207"/>
      <c r="L1307" s="215"/>
      <c r="M1307" s="323"/>
      <c r="N1307" s="215"/>
      <c r="O1307" s="323"/>
      <c r="P1307" s="215"/>
      <c r="Q1307" s="207"/>
      <c r="R1307" s="323"/>
      <c r="S1307" s="323"/>
      <c r="T1307" s="664"/>
      <c r="U1307" s="215"/>
      <c r="V1307" s="215"/>
    </row>
    <row r="1308" ht="15.0" customHeight="1">
      <c r="A1308" s="207"/>
      <c r="B1308" s="215"/>
      <c r="C1308" s="215"/>
      <c r="D1308" s="215"/>
      <c r="E1308" s="215"/>
      <c r="F1308" s="215"/>
      <c r="G1308" s="215"/>
      <c r="H1308" s="215"/>
      <c r="I1308" s="207"/>
      <c r="J1308" s="215"/>
      <c r="K1308" s="207"/>
      <c r="L1308" s="215"/>
      <c r="M1308" s="323"/>
      <c r="N1308" s="215"/>
      <c r="O1308" s="323"/>
      <c r="P1308" s="215"/>
      <c r="Q1308" s="207"/>
      <c r="R1308" s="323"/>
      <c r="S1308" s="323"/>
      <c r="T1308" s="664"/>
      <c r="U1308" s="215"/>
      <c r="V1308" s="215"/>
    </row>
    <row r="1309" ht="15.0" customHeight="1">
      <c r="A1309" s="207"/>
      <c r="B1309" s="215"/>
      <c r="C1309" s="215"/>
      <c r="D1309" s="215"/>
      <c r="E1309" s="215"/>
      <c r="F1309" s="215"/>
      <c r="G1309" s="215"/>
      <c r="H1309" s="215"/>
      <c r="I1309" s="207"/>
      <c r="J1309" s="215"/>
      <c r="K1309" s="207"/>
      <c r="L1309" s="215"/>
      <c r="M1309" s="323"/>
      <c r="N1309" s="215"/>
      <c r="O1309" s="323"/>
      <c r="P1309" s="215"/>
      <c r="Q1309" s="207"/>
      <c r="R1309" s="323"/>
      <c r="S1309" s="323"/>
      <c r="T1309" s="664"/>
      <c r="U1309" s="215"/>
      <c r="V1309" s="215"/>
    </row>
    <row r="1310" ht="15.0" customHeight="1">
      <c r="A1310" s="207"/>
      <c r="B1310" s="215"/>
      <c r="C1310" s="215"/>
      <c r="D1310" s="215"/>
      <c r="E1310" s="215"/>
      <c r="F1310" s="215"/>
      <c r="G1310" s="215"/>
      <c r="H1310" s="215"/>
      <c r="I1310" s="207"/>
      <c r="J1310" s="215"/>
      <c r="K1310" s="207"/>
      <c r="L1310" s="215"/>
      <c r="M1310" s="323"/>
      <c r="N1310" s="215"/>
      <c r="O1310" s="323"/>
      <c r="P1310" s="215"/>
      <c r="Q1310" s="207"/>
      <c r="R1310" s="323"/>
      <c r="S1310" s="323"/>
      <c r="T1310" s="664"/>
      <c r="U1310" s="215"/>
      <c r="V1310" s="215"/>
    </row>
    <row r="1311" ht="15.0" customHeight="1">
      <c r="A1311" s="207"/>
      <c r="B1311" s="215"/>
      <c r="C1311" s="215"/>
      <c r="D1311" s="215"/>
      <c r="E1311" s="215"/>
      <c r="F1311" s="215"/>
      <c r="G1311" s="215"/>
      <c r="H1311" s="215"/>
      <c r="I1311" s="207"/>
      <c r="J1311" s="215"/>
      <c r="K1311" s="207"/>
      <c r="L1311" s="215"/>
      <c r="M1311" s="323"/>
      <c r="N1311" s="215"/>
      <c r="O1311" s="323"/>
      <c r="P1311" s="215"/>
      <c r="Q1311" s="207"/>
      <c r="R1311" s="323"/>
      <c r="S1311" s="323"/>
      <c r="T1311" s="664"/>
      <c r="U1311" s="215"/>
      <c r="V1311" s="215"/>
    </row>
    <row r="1312" ht="15.0" customHeight="1">
      <c r="A1312" s="207"/>
      <c r="B1312" s="215"/>
      <c r="C1312" s="215"/>
      <c r="D1312" s="215"/>
      <c r="E1312" s="215"/>
      <c r="F1312" s="215"/>
      <c r="G1312" s="215"/>
      <c r="H1312" s="215"/>
      <c r="I1312" s="207"/>
      <c r="J1312" s="215"/>
      <c r="K1312" s="207"/>
      <c r="L1312" s="215"/>
      <c r="M1312" s="323"/>
      <c r="N1312" s="215"/>
      <c r="O1312" s="323"/>
      <c r="P1312" s="215"/>
      <c r="Q1312" s="207"/>
      <c r="R1312" s="323"/>
      <c r="S1312" s="323"/>
      <c r="T1312" s="664"/>
      <c r="U1312" s="215"/>
      <c r="V1312" s="215"/>
    </row>
    <row r="1313" ht="15.0" customHeight="1">
      <c r="A1313" s="207"/>
      <c r="B1313" s="215"/>
      <c r="C1313" s="215"/>
      <c r="D1313" s="215"/>
      <c r="E1313" s="215"/>
      <c r="F1313" s="215"/>
      <c r="G1313" s="215"/>
      <c r="H1313" s="215"/>
      <c r="I1313" s="207"/>
      <c r="J1313" s="215"/>
      <c r="K1313" s="207"/>
      <c r="L1313" s="215"/>
      <c r="M1313" s="323"/>
      <c r="N1313" s="215"/>
      <c r="O1313" s="323"/>
      <c r="P1313" s="215"/>
      <c r="Q1313" s="207"/>
      <c r="R1313" s="323"/>
      <c r="S1313" s="323"/>
      <c r="T1313" s="664"/>
      <c r="U1313" s="215"/>
      <c r="V1313" s="215"/>
    </row>
    <row r="1314" ht="15.0" customHeight="1">
      <c r="A1314" s="207"/>
      <c r="B1314" s="215"/>
      <c r="C1314" s="215"/>
      <c r="D1314" s="215"/>
      <c r="E1314" s="215"/>
      <c r="F1314" s="215"/>
      <c r="G1314" s="215"/>
      <c r="H1314" s="215"/>
      <c r="I1314" s="207"/>
      <c r="J1314" s="215"/>
      <c r="K1314" s="207"/>
      <c r="L1314" s="215"/>
      <c r="M1314" s="323"/>
      <c r="N1314" s="215"/>
      <c r="O1314" s="323"/>
      <c r="P1314" s="215"/>
      <c r="Q1314" s="207"/>
      <c r="R1314" s="323"/>
      <c r="S1314" s="323"/>
      <c r="T1314" s="664"/>
      <c r="U1314" s="215"/>
      <c r="V1314" s="215"/>
    </row>
    <row r="1315" ht="15.0" customHeight="1">
      <c r="A1315" s="207"/>
      <c r="B1315" s="215"/>
      <c r="C1315" s="215"/>
      <c r="D1315" s="215"/>
      <c r="E1315" s="215"/>
      <c r="F1315" s="215"/>
      <c r="G1315" s="215"/>
      <c r="H1315" s="215"/>
      <c r="I1315" s="207"/>
      <c r="J1315" s="215"/>
      <c r="K1315" s="207"/>
      <c r="L1315" s="215"/>
      <c r="M1315" s="323"/>
      <c r="N1315" s="215"/>
      <c r="O1315" s="323"/>
      <c r="P1315" s="215"/>
      <c r="Q1315" s="207"/>
      <c r="R1315" s="323"/>
      <c r="S1315" s="323"/>
      <c r="T1315" s="664"/>
      <c r="U1315" s="215"/>
      <c r="V1315" s="215"/>
    </row>
    <row r="1316" ht="15.0" customHeight="1">
      <c r="A1316" s="207"/>
      <c r="B1316" s="215"/>
      <c r="C1316" s="215"/>
      <c r="D1316" s="215"/>
      <c r="E1316" s="215"/>
      <c r="F1316" s="215"/>
      <c r="G1316" s="215"/>
      <c r="H1316" s="215"/>
      <c r="I1316" s="207"/>
      <c r="J1316" s="215"/>
      <c r="K1316" s="207"/>
      <c r="L1316" s="215"/>
      <c r="M1316" s="323"/>
      <c r="N1316" s="215"/>
      <c r="O1316" s="323"/>
      <c r="P1316" s="215"/>
      <c r="Q1316" s="207"/>
      <c r="R1316" s="323"/>
      <c r="S1316" s="323"/>
      <c r="T1316" s="664"/>
      <c r="U1316" s="215"/>
      <c r="V1316" s="215"/>
    </row>
    <row r="1317" ht="15.0" customHeight="1">
      <c r="A1317" s="207"/>
      <c r="B1317" s="215"/>
      <c r="C1317" s="215"/>
      <c r="D1317" s="215"/>
      <c r="E1317" s="215"/>
      <c r="F1317" s="215"/>
      <c r="G1317" s="215"/>
      <c r="H1317" s="215"/>
      <c r="I1317" s="207"/>
      <c r="J1317" s="215"/>
      <c r="K1317" s="207"/>
      <c r="L1317" s="215"/>
      <c r="M1317" s="323"/>
      <c r="N1317" s="215"/>
      <c r="O1317" s="323"/>
      <c r="P1317" s="215"/>
      <c r="Q1317" s="207"/>
      <c r="R1317" s="323"/>
      <c r="S1317" s="323"/>
      <c r="T1317" s="664"/>
      <c r="U1317" s="215"/>
      <c r="V1317" s="215"/>
    </row>
    <row r="1318" ht="15.0" customHeight="1">
      <c r="A1318" s="207"/>
      <c r="B1318" s="215"/>
      <c r="C1318" s="215"/>
      <c r="D1318" s="215"/>
      <c r="E1318" s="215"/>
      <c r="F1318" s="215"/>
      <c r="G1318" s="215"/>
      <c r="H1318" s="215"/>
      <c r="I1318" s="207"/>
      <c r="J1318" s="215"/>
      <c r="K1318" s="207"/>
      <c r="L1318" s="215"/>
      <c r="M1318" s="323"/>
      <c r="N1318" s="215"/>
      <c r="O1318" s="323"/>
      <c r="P1318" s="215"/>
      <c r="Q1318" s="207"/>
      <c r="R1318" s="323"/>
      <c r="S1318" s="323"/>
      <c r="T1318" s="664"/>
      <c r="U1318" s="215"/>
      <c r="V1318" s="215"/>
    </row>
    <row r="1319" ht="15.0" customHeight="1">
      <c r="A1319" s="207"/>
      <c r="B1319" s="215"/>
      <c r="C1319" s="215"/>
      <c r="D1319" s="215"/>
      <c r="E1319" s="215"/>
      <c r="F1319" s="215"/>
      <c r="G1319" s="215"/>
      <c r="H1319" s="215"/>
      <c r="I1319" s="207"/>
      <c r="J1319" s="215"/>
      <c r="K1319" s="207"/>
      <c r="L1319" s="215"/>
      <c r="M1319" s="323"/>
      <c r="N1319" s="215"/>
      <c r="O1319" s="323"/>
      <c r="P1319" s="215"/>
      <c r="Q1319" s="207"/>
      <c r="R1319" s="323"/>
      <c r="S1319" s="323"/>
      <c r="T1319" s="664"/>
      <c r="U1319" s="215"/>
      <c r="V1319" s="215"/>
    </row>
    <row r="1320" ht="15.0" customHeight="1">
      <c r="A1320" s="207"/>
      <c r="B1320" s="215"/>
      <c r="C1320" s="215"/>
      <c r="D1320" s="215"/>
      <c r="E1320" s="215"/>
      <c r="F1320" s="215"/>
      <c r="G1320" s="215"/>
      <c r="H1320" s="215"/>
      <c r="I1320" s="207"/>
      <c r="J1320" s="215"/>
      <c r="K1320" s="207"/>
      <c r="L1320" s="215"/>
      <c r="M1320" s="323"/>
      <c r="N1320" s="215"/>
      <c r="O1320" s="323"/>
      <c r="P1320" s="215"/>
      <c r="Q1320" s="207"/>
      <c r="R1320" s="323"/>
      <c r="S1320" s="323"/>
      <c r="T1320" s="664"/>
      <c r="U1320" s="215"/>
      <c r="V1320" s="215"/>
    </row>
    <row r="1321" ht="15.0" customHeight="1">
      <c r="A1321" s="207"/>
      <c r="B1321" s="215"/>
      <c r="C1321" s="215"/>
      <c r="D1321" s="215"/>
      <c r="E1321" s="215"/>
      <c r="F1321" s="215"/>
      <c r="G1321" s="215"/>
      <c r="H1321" s="215"/>
      <c r="I1321" s="207"/>
      <c r="J1321" s="215"/>
      <c r="K1321" s="207"/>
      <c r="L1321" s="215"/>
      <c r="M1321" s="323"/>
      <c r="N1321" s="215"/>
      <c r="O1321" s="323"/>
      <c r="P1321" s="215"/>
      <c r="Q1321" s="207"/>
      <c r="R1321" s="323"/>
      <c r="S1321" s="323"/>
      <c r="T1321" s="664"/>
      <c r="U1321" s="215"/>
      <c r="V1321" s="215"/>
    </row>
    <row r="1322" ht="15.0" customHeight="1">
      <c r="A1322" s="207"/>
      <c r="B1322" s="215"/>
      <c r="C1322" s="215"/>
      <c r="D1322" s="215"/>
      <c r="E1322" s="215"/>
      <c r="F1322" s="215"/>
      <c r="G1322" s="215"/>
      <c r="H1322" s="215"/>
      <c r="I1322" s="207"/>
      <c r="J1322" s="215"/>
      <c r="K1322" s="207"/>
      <c r="L1322" s="215"/>
      <c r="M1322" s="323"/>
      <c r="N1322" s="215"/>
      <c r="O1322" s="323"/>
      <c r="P1322" s="215"/>
      <c r="Q1322" s="207"/>
      <c r="R1322" s="323"/>
      <c r="S1322" s="323"/>
      <c r="T1322" s="664"/>
      <c r="U1322" s="215"/>
      <c r="V1322" s="215"/>
    </row>
    <row r="1323" ht="15.0" customHeight="1">
      <c r="A1323" s="207"/>
      <c r="B1323" s="215"/>
      <c r="C1323" s="215"/>
      <c r="D1323" s="215"/>
      <c r="E1323" s="215"/>
      <c r="F1323" s="215"/>
      <c r="G1323" s="215"/>
      <c r="H1323" s="215"/>
      <c r="I1323" s="207"/>
      <c r="J1323" s="215"/>
      <c r="K1323" s="207"/>
      <c r="L1323" s="215"/>
      <c r="M1323" s="323"/>
      <c r="N1323" s="215"/>
      <c r="O1323" s="323"/>
      <c r="P1323" s="215"/>
      <c r="Q1323" s="207"/>
      <c r="R1323" s="323"/>
      <c r="S1323" s="323"/>
      <c r="T1323" s="664"/>
      <c r="U1323" s="215"/>
      <c r="V1323" s="215"/>
    </row>
    <row r="1324" ht="15.0" customHeight="1">
      <c r="A1324" s="207"/>
      <c r="B1324" s="215"/>
      <c r="C1324" s="215"/>
      <c r="D1324" s="215"/>
      <c r="E1324" s="215"/>
      <c r="F1324" s="215"/>
      <c r="G1324" s="215"/>
      <c r="H1324" s="215"/>
      <c r="I1324" s="207"/>
      <c r="J1324" s="215"/>
      <c r="K1324" s="207"/>
      <c r="L1324" s="215"/>
      <c r="M1324" s="323"/>
      <c r="N1324" s="215"/>
      <c r="O1324" s="323"/>
      <c r="P1324" s="215"/>
      <c r="Q1324" s="207"/>
      <c r="R1324" s="323"/>
      <c r="S1324" s="323"/>
      <c r="T1324" s="664"/>
      <c r="U1324" s="215"/>
      <c r="V1324" s="215"/>
    </row>
    <row r="1325" ht="15.0" customHeight="1">
      <c r="A1325" s="207"/>
      <c r="B1325" s="215"/>
      <c r="C1325" s="215"/>
      <c r="D1325" s="215"/>
      <c r="E1325" s="215"/>
      <c r="F1325" s="215"/>
      <c r="G1325" s="215"/>
      <c r="H1325" s="215"/>
      <c r="I1325" s="207"/>
      <c r="J1325" s="215"/>
      <c r="K1325" s="207"/>
      <c r="L1325" s="215"/>
      <c r="M1325" s="323"/>
      <c r="N1325" s="215"/>
      <c r="O1325" s="323"/>
      <c r="P1325" s="215"/>
      <c r="Q1325" s="207"/>
      <c r="R1325" s="323"/>
      <c r="S1325" s="323"/>
      <c r="T1325" s="664"/>
      <c r="U1325" s="215"/>
      <c r="V1325" s="215"/>
    </row>
    <row r="1326" ht="15.0" customHeight="1">
      <c r="A1326" s="207"/>
      <c r="B1326" s="215"/>
      <c r="C1326" s="215"/>
      <c r="D1326" s="215"/>
      <c r="E1326" s="215"/>
      <c r="F1326" s="215"/>
      <c r="G1326" s="215"/>
      <c r="H1326" s="215"/>
      <c r="I1326" s="207"/>
      <c r="J1326" s="215"/>
      <c r="K1326" s="207"/>
      <c r="L1326" s="215"/>
      <c r="M1326" s="323"/>
      <c r="N1326" s="215"/>
      <c r="O1326" s="323"/>
      <c r="P1326" s="215"/>
      <c r="Q1326" s="207"/>
      <c r="R1326" s="323"/>
      <c r="S1326" s="323"/>
      <c r="T1326" s="664"/>
      <c r="U1326" s="215"/>
      <c r="V1326" s="215"/>
    </row>
    <row r="1327" ht="15.0" customHeight="1">
      <c r="A1327" s="207"/>
      <c r="B1327" s="215"/>
      <c r="C1327" s="215"/>
      <c r="D1327" s="215"/>
      <c r="E1327" s="215"/>
      <c r="F1327" s="215"/>
      <c r="G1327" s="215"/>
      <c r="H1327" s="215"/>
      <c r="I1327" s="207"/>
      <c r="J1327" s="215"/>
      <c r="K1327" s="207"/>
      <c r="L1327" s="215"/>
      <c r="M1327" s="323"/>
      <c r="N1327" s="215"/>
      <c r="O1327" s="323"/>
      <c r="P1327" s="215"/>
      <c r="Q1327" s="207"/>
      <c r="R1327" s="323"/>
      <c r="S1327" s="323"/>
      <c r="T1327" s="664"/>
      <c r="U1327" s="215"/>
      <c r="V1327" s="215"/>
    </row>
    <row r="1328" ht="15.0" customHeight="1">
      <c r="A1328" s="207"/>
      <c r="B1328" s="215"/>
      <c r="C1328" s="215"/>
      <c r="D1328" s="215"/>
      <c r="E1328" s="215"/>
      <c r="F1328" s="215"/>
      <c r="G1328" s="215"/>
      <c r="H1328" s="215"/>
      <c r="I1328" s="207"/>
      <c r="J1328" s="215"/>
      <c r="K1328" s="207"/>
      <c r="L1328" s="215"/>
      <c r="M1328" s="323"/>
      <c r="N1328" s="215"/>
      <c r="O1328" s="323"/>
      <c r="P1328" s="215"/>
      <c r="Q1328" s="207"/>
      <c r="R1328" s="323"/>
      <c r="S1328" s="323"/>
      <c r="T1328" s="664"/>
      <c r="U1328" s="215"/>
      <c r="V1328" s="215"/>
    </row>
    <row r="1329" ht="15.0" customHeight="1">
      <c r="A1329" s="207"/>
      <c r="B1329" s="215"/>
      <c r="C1329" s="215"/>
      <c r="D1329" s="215"/>
      <c r="E1329" s="215"/>
      <c r="F1329" s="215"/>
      <c r="G1329" s="215"/>
      <c r="H1329" s="215"/>
      <c r="I1329" s="207"/>
      <c r="J1329" s="215"/>
      <c r="K1329" s="207"/>
      <c r="L1329" s="215"/>
      <c r="M1329" s="323"/>
      <c r="N1329" s="215"/>
      <c r="O1329" s="323"/>
      <c r="P1329" s="215"/>
      <c r="Q1329" s="207"/>
      <c r="R1329" s="323"/>
      <c r="S1329" s="323"/>
      <c r="T1329" s="664"/>
      <c r="U1329" s="215"/>
      <c r="V1329" s="215"/>
    </row>
    <row r="1330" ht="15.0" customHeight="1">
      <c r="A1330" s="207"/>
      <c r="B1330" s="215"/>
      <c r="C1330" s="215"/>
      <c r="D1330" s="215"/>
      <c r="E1330" s="215"/>
      <c r="F1330" s="215"/>
      <c r="G1330" s="215"/>
      <c r="H1330" s="215"/>
      <c r="I1330" s="207"/>
      <c r="J1330" s="215"/>
      <c r="K1330" s="207"/>
      <c r="L1330" s="215"/>
      <c r="M1330" s="323"/>
      <c r="N1330" s="215"/>
      <c r="O1330" s="323"/>
      <c r="P1330" s="215"/>
      <c r="Q1330" s="207"/>
      <c r="R1330" s="323"/>
      <c r="S1330" s="323"/>
      <c r="T1330" s="664"/>
      <c r="U1330" s="215"/>
      <c r="V1330" s="215"/>
    </row>
    <row r="1331" ht="15.0" customHeight="1">
      <c r="A1331" s="207"/>
      <c r="B1331" s="215"/>
      <c r="C1331" s="215"/>
      <c r="D1331" s="215"/>
      <c r="E1331" s="215"/>
      <c r="F1331" s="215"/>
      <c r="G1331" s="215"/>
      <c r="H1331" s="215"/>
      <c r="I1331" s="207"/>
      <c r="J1331" s="215"/>
      <c r="K1331" s="207"/>
      <c r="L1331" s="215"/>
      <c r="M1331" s="323"/>
      <c r="N1331" s="215"/>
      <c r="O1331" s="323"/>
      <c r="P1331" s="215"/>
      <c r="Q1331" s="207"/>
      <c r="R1331" s="323"/>
      <c r="S1331" s="323"/>
      <c r="T1331" s="664"/>
      <c r="U1331" s="215"/>
      <c r="V1331" s="215"/>
    </row>
    <row r="1332" ht="15.0" customHeight="1">
      <c r="A1332" s="207"/>
      <c r="B1332" s="215"/>
      <c r="C1332" s="215"/>
      <c r="D1332" s="215"/>
      <c r="E1332" s="215"/>
      <c r="F1332" s="215"/>
      <c r="G1332" s="215"/>
      <c r="H1332" s="215"/>
      <c r="I1332" s="207"/>
      <c r="J1332" s="215"/>
      <c r="K1332" s="207"/>
      <c r="L1332" s="215"/>
      <c r="M1332" s="323"/>
      <c r="N1332" s="215"/>
      <c r="O1332" s="323"/>
      <c r="P1332" s="215"/>
      <c r="Q1332" s="207"/>
      <c r="R1332" s="323"/>
      <c r="S1332" s="323"/>
      <c r="T1332" s="664"/>
      <c r="U1332" s="215"/>
      <c r="V1332" s="215"/>
    </row>
    <row r="1333" ht="15.0" customHeight="1">
      <c r="A1333" s="207"/>
      <c r="B1333" s="215"/>
      <c r="C1333" s="215"/>
      <c r="D1333" s="215"/>
      <c r="E1333" s="215"/>
      <c r="F1333" s="215"/>
      <c r="G1333" s="215"/>
      <c r="H1333" s="215"/>
      <c r="I1333" s="207"/>
      <c r="J1333" s="215"/>
      <c r="K1333" s="207"/>
      <c r="L1333" s="215"/>
      <c r="M1333" s="323"/>
      <c r="N1333" s="215"/>
      <c r="O1333" s="323"/>
      <c r="P1333" s="215"/>
      <c r="Q1333" s="207"/>
      <c r="R1333" s="323"/>
      <c r="S1333" s="323"/>
      <c r="T1333" s="664"/>
      <c r="U1333" s="215"/>
      <c r="V1333" s="215"/>
    </row>
    <row r="1334" ht="15.0" customHeight="1">
      <c r="A1334" s="207"/>
      <c r="B1334" s="215"/>
      <c r="C1334" s="215"/>
      <c r="D1334" s="215"/>
      <c r="E1334" s="215"/>
      <c r="F1334" s="215"/>
      <c r="G1334" s="215"/>
      <c r="H1334" s="215"/>
      <c r="I1334" s="207"/>
      <c r="J1334" s="215"/>
      <c r="K1334" s="207"/>
      <c r="L1334" s="215"/>
      <c r="M1334" s="323"/>
      <c r="N1334" s="215"/>
      <c r="O1334" s="323"/>
      <c r="P1334" s="215"/>
      <c r="Q1334" s="207"/>
      <c r="R1334" s="323"/>
      <c r="S1334" s="323"/>
      <c r="T1334" s="664"/>
      <c r="U1334" s="215"/>
      <c r="V1334" s="215"/>
    </row>
    <row r="1335" ht="15.0" customHeight="1">
      <c r="A1335" s="207"/>
      <c r="B1335" s="215"/>
      <c r="C1335" s="215"/>
      <c r="D1335" s="215"/>
      <c r="E1335" s="215"/>
      <c r="F1335" s="215"/>
      <c r="G1335" s="215"/>
      <c r="H1335" s="215"/>
      <c r="I1335" s="207"/>
      <c r="J1335" s="215"/>
      <c r="K1335" s="207"/>
      <c r="L1335" s="215"/>
      <c r="M1335" s="323"/>
      <c r="N1335" s="215"/>
      <c r="O1335" s="323"/>
      <c r="P1335" s="215"/>
      <c r="Q1335" s="207"/>
      <c r="R1335" s="323"/>
      <c r="S1335" s="323"/>
      <c r="T1335" s="664"/>
      <c r="U1335" s="215"/>
      <c r="V1335" s="215"/>
    </row>
    <row r="1336" ht="15.0" customHeight="1">
      <c r="A1336" s="207"/>
      <c r="B1336" s="215"/>
      <c r="C1336" s="215"/>
      <c r="D1336" s="215"/>
      <c r="E1336" s="215"/>
      <c r="F1336" s="215"/>
      <c r="G1336" s="215"/>
      <c r="H1336" s="215"/>
      <c r="I1336" s="207"/>
      <c r="J1336" s="215"/>
      <c r="K1336" s="207"/>
      <c r="L1336" s="215"/>
      <c r="M1336" s="323"/>
      <c r="N1336" s="215"/>
      <c r="O1336" s="323"/>
      <c r="P1336" s="215"/>
      <c r="Q1336" s="207"/>
      <c r="R1336" s="323"/>
      <c r="S1336" s="323"/>
      <c r="T1336" s="664"/>
      <c r="U1336" s="215"/>
      <c r="V1336" s="215"/>
    </row>
    <row r="1337" ht="15.0" customHeight="1">
      <c r="A1337" s="207"/>
      <c r="B1337" s="215"/>
      <c r="C1337" s="215"/>
      <c r="D1337" s="215"/>
      <c r="E1337" s="215"/>
      <c r="F1337" s="215"/>
      <c r="G1337" s="215"/>
      <c r="H1337" s="215"/>
      <c r="I1337" s="207"/>
      <c r="J1337" s="215"/>
      <c r="K1337" s="207"/>
      <c r="L1337" s="215"/>
      <c r="M1337" s="323"/>
      <c r="N1337" s="215"/>
      <c r="O1337" s="323"/>
      <c r="P1337" s="215"/>
      <c r="Q1337" s="207"/>
      <c r="R1337" s="323"/>
      <c r="S1337" s="323"/>
      <c r="T1337" s="664"/>
      <c r="U1337" s="215"/>
      <c r="V1337" s="215"/>
    </row>
    <row r="1338" ht="15.0" customHeight="1">
      <c r="A1338" s="207"/>
      <c r="B1338" s="215"/>
      <c r="C1338" s="215"/>
      <c r="D1338" s="215"/>
      <c r="E1338" s="215"/>
      <c r="F1338" s="215"/>
      <c r="G1338" s="215"/>
      <c r="H1338" s="215"/>
      <c r="I1338" s="207"/>
      <c r="J1338" s="215"/>
      <c r="K1338" s="207"/>
      <c r="L1338" s="215"/>
      <c r="M1338" s="323"/>
      <c r="N1338" s="215"/>
      <c r="O1338" s="323"/>
      <c r="P1338" s="215"/>
      <c r="Q1338" s="207"/>
      <c r="R1338" s="323"/>
      <c r="S1338" s="323"/>
      <c r="T1338" s="664"/>
      <c r="U1338" s="215"/>
      <c r="V1338" s="215"/>
    </row>
    <row r="1339" ht="15.0" customHeight="1">
      <c r="A1339" s="207"/>
      <c r="B1339" s="215"/>
      <c r="C1339" s="215"/>
      <c r="D1339" s="215"/>
      <c r="E1339" s="215"/>
      <c r="F1339" s="215"/>
      <c r="G1339" s="215"/>
      <c r="H1339" s="215"/>
      <c r="I1339" s="207"/>
      <c r="J1339" s="215"/>
      <c r="K1339" s="207"/>
      <c r="L1339" s="215"/>
      <c r="M1339" s="323"/>
      <c r="N1339" s="215"/>
      <c r="O1339" s="323"/>
      <c r="P1339" s="215"/>
      <c r="Q1339" s="207"/>
      <c r="R1339" s="323"/>
      <c r="S1339" s="323"/>
      <c r="T1339" s="664"/>
      <c r="U1339" s="215"/>
      <c r="V1339" s="215"/>
    </row>
    <row r="1340" ht="15.0" customHeight="1">
      <c r="A1340" s="207"/>
      <c r="B1340" s="215"/>
      <c r="C1340" s="215"/>
      <c r="D1340" s="215"/>
      <c r="E1340" s="215"/>
      <c r="F1340" s="215"/>
      <c r="G1340" s="215"/>
      <c r="H1340" s="215"/>
      <c r="I1340" s="207"/>
      <c r="J1340" s="215"/>
      <c r="K1340" s="207"/>
      <c r="L1340" s="215"/>
      <c r="M1340" s="323"/>
      <c r="N1340" s="215"/>
      <c r="O1340" s="323"/>
      <c r="P1340" s="215"/>
      <c r="Q1340" s="207"/>
      <c r="R1340" s="323"/>
      <c r="S1340" s="323"/>
      <c r="T1340" s="664"/>
      <c r="U1340" s="215"/>
      <c r="V1340" s="215"/>
    </row>
    <row r="1341" ht="15.0" customHeight="1">
      <c r="A1341" s="207"/>
      <c r="B1341" s="215"/>
      <c r="C1341" s="215"/>
      <c r="D1341" s="215"/>
      <c r="E1341" s="215"/>
      <c r="F1341" s="215"/>
      <c r="G1341" s="215"/>
      <c r="H1341" s="215"/>
      <c r="I1341" s="207"/>
      <c r="J1341" s="215"/>
      <c r="K1341" s="207"/>
      <c r="L1341" s="215"/>
      <c r="M1341" s="323"/>
      <c r="N1341" s="215"/>
      <c r="O1341" s="323"/>
      <c r="P1341" s="215"/>
      <c r="Q1341" s="207"/>
      <c r="R1341" s="323"/>
      <c r="S1341" s="323"/>
      <c r="T1341" s="664"/>
      <c r="U1341" s="215"/>
      <c r="V1341" s="215"/>
    </row>
    <row r="1342" ht="15.0" customHeight="1">
      <c r="A1342" s="207"/>
      <c r="B1342" s="215"/>
      <c r="C1342" s="215"/>
      <c r="D1342" s="215"/>
      <c r="E1342" s="215"/>
      <c r="F1342" s="215"/>
      <c r="G1342" s="215"/>
      <c r="H1342" s="215"/>
      <c r="I1342" s="207"/>
      <c r="J1342" s="215"/>
      <c r="K1342" s="207"/>
      <c r="L1342" s="215"/>
      <c r="M1342" s="323"/>
      <c r="N1342" s="215"/>
      <c r="O1342" s="323"/>
      <c r="P1342" s="215"/>
      <c r="Q1342" s="207"/>
      <c r="R1342" s="323"/>
      <c r="S1342" s="323"/>
      <c r="T1342" s="664"/>
      <c r="U1342" s="215"/>
      <c r="V1342" s="215"/>
    </row>
    <row r="1343" ht="15.0" customHeight="1">
      <c r="A1343" s="207"/>
      <c r="B1343" s="215"/>
      <c r="C1343" s="215"/>
      <c r="D1343" s="215"/>
      <c r="E1343" s="215"/>
      <c r="F1343" s="215"/>
      <c r="G1343" s="215"/>
      <c r="H1343" s="215"/>
      <c r="I1343" s="207"/>
      <c r="J1343" s="215"/>
      <c r="K1343" s="207"/>
      <c r="L1343" s="215"/>
      <c r="M1343" s="323"/>
      <c r="N1343" s="215"/>
      <c r="O1343" s="323"/>
      <c r="P1343" s="215"/>
      <c r="Q1343" s="207"/>
      <c r="R1343" s="323"/>
      <c r="S1343" s="323"/>
      <c r="T1343" s="664"/>
      <c r="U1343" s="215"/>
      <c r="V1343" s="215"/>
    </row>
    <row r="1344" ht="15.0" customHeight="1">
      <c r="A1344" s="207"/>
      <c r="B1344" s="215"/>
      <c r="C1344" s="215"/>
      <c r="D1344" s="215"/>
      <c r="E1344" s="215"/>
      <c r="F1344" s="215"/>
      <c r="G1344" s="215"/>
      <c r="H1344" s="215"/>
      <c r="I1344" s="207"/>
      <c r="J1344" s="215"/>
      <c r="K1344" s="207"/>
      <c r="L1344" s="215"/>
      <c r="M1344" s="323"/>
      <c r="N1344" s="215"/>
      <c r="O1344" s="323"/>
      <c r="P1344" s="215"/>
      <c r="Q1344" s="207"/>
      <c r="R1344" s="323"/>
      <c r="S1344" s="323"/>
      <c r="T1344" s="664"/>
      <c r="U1344" s="215"/>
      <c r="V1344" s="215"/>
    </row>
    <row r="1345" ht="15.0" customHeight="1">
      <c r="A1345" s="207"/>
      <c r="B1345" s="215"/>
      <c r="C1345" s="215"/>
      <c r="D1345" s="215"/>
      <c r="E1345" s="215"/>
      <c r="F1345" s="215"/>
      <c r="G1345" s="215"/>
      <c r="H1345" s="215"/>
      <c r="I1345" s="207"/>
      <c r="J1345" s="215"/>
      <c r="K1345" s="207"/>
      <c r="L1345" s="215"/>
      <c r="M1345" s="323"/>
      <c r="N1345" s="215"/>
      <c r="O1345" s="323"/>
      <c r="P1345" s="215"/>
      <c r="Q1345" s="207"/>
      <c r="R1345" s="323"/>
      <c r="S1345" s="323"/>
      <c r="T1345" s="664"/>
      <c r="U1345" s="215"/>
      <c r="V1345" s="215"/>
    </row>
    <row r="1346" ht="15.0" customHeight="1">
      <c r="A1346" s="207"/>
      <c r="B1346" s="215"/>
      <c r="C1346" s="215"/>
      <c r="D1346" s="215"/>
      <c r="E1346" s="215"/>
      <c r="F1346" s="215"/>
      <c r="G1346" s="215"/>
      <c r="H1346" s="215"/>
      <c r="I1346" s="207"/>
      <c r="J1346" s="215"/>
      <c r="K1346" s="207"/>
      <c r="L1346" s="215"/>
      <c r="M1346" s="323"/>
      <c r="N1346" s="215"/>
      <c r="O1346" s="323"/>
      <c r="P1346" s="215"/>
      <c r="Q1346" s="207"/>
      <c r="R1346" s="323"/>
      <c r="S1346" s="323"/>
      <c r="T1346" s="664"/>
      <c r="U1346" s="215"/>
      <c r="V1346" s="215"/>
    </row>
    <row r="1347" ht="15.0" customHeight="1">
      <c r="A1347" s="207"/>
      <c r="B1347" s="215"/>
      <c r="C1347" s="215"/>
      <c r="D1347" s="215"/>
      <c r="E1347" s="215"/>
      <c r="F1347" s="215"/>
      <c r="G1347" s="215"/>
      <c r="H1347" s="215"/>
      <c r="I1347" s="207"/>
      <c r="J1347" s="215"/>
      <c r="K1347" s="207"/>
      <c r="L1347" s="215"/>
      <c r="M1347" s="323"/>
      <c r="N1347" s="215"/>
      <c r="O1347" s="323"/>
      <c r="P1347" s="215"/>
      <c r="Q1347" s="207"/>
      <c r="R1347" s="323"/>
      <c r="S1347" s="323"/>
      <c r="T1347" s="664"/>
      <c r="U1347" s="215"/>
      <c r="V1347" s="215"/>
    </row>
    <row r="1348" ht="15.0" customHeight="1">
      <c r="A1348" s="207"/>
      <c r="B1348" s="215"/>
      <c r="C1348" s="215"/>
      <c r="D1348" s="215"/>
      <c r="E1348" s="215"/>
      <c r="F1348" s="215"/>
      <c r="G1348" s="215"/>
      <c r="H1348" s="215"/>
      <c r="I1348" s="207"/>
      <c r="J1348" s="215"/>
      <c r="K1348" s="207"/>
      <c r="L1348" s="215"/>
      <c r="M1348" s="323"/>
      <c r="N1348" s="215"/>
      <c r="O1348" s="323"/>
      <c r="P1348" s="215"/>
      <c r="Q1348" s="207"/>
      <c r="R1348" s="323"/>
      <c r="S1348" s="323"/>
      <c r="T1348" s="664"/>
      <c r="U1348" s="215"/>
      <c r="V1348" s="215"/>
    </row>
    <row r="1349" ht="15.0" customHeight="1">
      <c r="A1349" s="207"/>
      <c r="B1349" s="215"/>
      <c r="C1349" s="215"/>
      <c r="D1349" s="215"/>
      <c r="E1349" s="215"/>
      <c r="F1349" s="215"/>
      <c r="G1349" s="215"/>
      <c r="H1349" s="215"/>
      <c r="I1349" s="207"/>
      <c r="J1349" s="215"/>
      <c r="K1349" s="207"/>
      <c r="L1349" s="215"/>
      <c r="M1349" s="323"/>
      <c r="N1349" s="215"/>
      <c r="O1349" s="323"/>
      <c r="P1349" s="215"/>
      <c r="Q1349" s="207"/>
      <c r="R1349" s="323"/>
      <c r="S1349" s="323"/>
      <c r="T1349" s="664"/>
      <c r="U1349" s="215"/>
      <c r="V1349" s="215"/>
    </row>
    <row r="1350" ht="15.0" customHeight="1">
      <c r="A1350" s="207"/>
      <c r="B1350" s="215"/>
      <c r="C1350" s="215"/>
      <c r="D1350" s="215"/>
      <c r="E1350" s="215"/>
      <c r="F1350" s="215"/>
      <c r="G1350" s="215"/>
      <c r="H1350" s="215"/>
      <c r="I1350" s="207"/>
      <c r="J1350" s="215"/>
      <c r="K1350" s="207"/>
      <c r="L1350" s="215"/>
      <c r="M1350" s="323"/>
      <c r="N1350" s="215"/>
      <c r="O1350" s="323"/>
      <c r="P1350" s="215"/>
      <c r="Q1350" s="207"/>
      <c r="R1350" s="323"/>
      <c r="S1350" s="323"/>
      <c r="T1350" s="664"/>
      <c r="U1350" s="215"/>
      <c r="V1350" s="215"/>
    </row>
    <row r="1351" ht="15.0" customHeight="1">
      <c r="A1351" s="207"/>
      <c r="B1351" s="215"/>
      <c r="C1351" s="215"/>
      <c r="D1351" s="215"/>
      <c r="E1351" s="215"/>
      <c r="F1351" s="215"/>
      <c r="G1351" s="215"/>
      <c r="H1351" s="215"/>
      <c r="I1351" s="207"/>
      <c r="J1351" s="215"/>
      <c r="K1351" s="207"/>
      <c r="L1351" s="215"/>
      <c r="M1351" s="323"/>
      <c r="N1351" s="215"/>
      <c r="O1351" s="323"/>
      <c r="P1351" s="215"/>
      <c r="Q1351" s="207"/>
      <c r="R1351" s="323"/>
      <c r="S1351" s="323"/>
      <c r="T1351" s="664"/>
      <c r="U1351" s="215"/>
      <c r="V1351" s="215"/>
    </row>
    <row r="1352" ht="15.0" customHeight="1">
      <c r="A1352" s="207"/>
      <c r="B1352" s="215"/>
      <c r="C1352" s="215"/>
      <c r="D1352" s="215"/>
      <c r="E1352" s="215"/>
      <c r="F1352" s="215"/>
      <c r="G1352" s="215"/>
      <c r="H1352" s="215"/>
      <c r="I1352" s="207"/>
      <c r="J1352" s="215"/>
      <c r="K1352" s="207"/>
      <c r="L1352" s="215"/>
      <c r="M1352" s="323"/>
      <c r="N1352" s="215"/>
      <c r="O1352" s="323"/>
      <c r="P1352" s="215"/>
      <c r="Q1352" s="207"/>
      <c r="R1352" s="323"/>
      <c r="S1352" s="323"/>
      <c r="T1352" s="664"/>
      <c r="U1352" s="215"/>
      <c r="V1352" s="215"/>
    </row>
    <row r="1353" ht="15.0" customHeight="1">
      <c r="A1353" s="207"/>
      <c r="B1353" s="215"/>
      <c r="C1353" s="215"/>
      <c r="D1353" s="215"/>
      <c r="E1353" s="215"/>
      <c r="F1353" s="215"/>
      <c r="G1353" s="215"/>
      <c r="H1353" s="215"/>
      <c r="I1353" s="207"/>
      <c r="J1353" s="215"/>
      <c r="K1353" s="207"/>
      <c r="L1353" s="215"/>
      <c r="M1353" s="323"/>
      <c r="N1353" s="215"/>
      <c r="O1353" s="323"/>
      <c r="P1353" s="215"/>
      <c r="Q1353" s="207"/>
      <c r="R1353" s="323"/>
      <c r="S1353" s="323"/>
      <c r="T1353" s="664"/>
      <c r="U1353" s="215"/>
      <c r="V1353" s="215"/>
    </row>
    <row r="1354" ht="15.0" customHeight="1">
      <c r="A1354" s="207"/>
      <c r="B1354" s="215"/>
      <c r="C1354" s="215"/>
      <c r="D1354" s="215"/>
      <c r="E1354" s="215"/>
      <c r="F1354" s="215"/>
      <c r="G1354" s="215"/>
      <c r="H1354" s="215"/>
      <c r="I1354" s="207"/>
      <c r="J1354" s="215"/>
      <c r="K1354" s="207"/>
      <c r="L1354" s="215"/>
      <c r="M1354" s="323"/>
      <c r="N1354" s="215"/>
      <c r="O1354" s="323"/>
      <c r="P1354" s="215"/>
      <c r="Q1354" s="207"/>
      <c r="R1354" s="323"/>
      <c r="S1354" s="323"/>
      <c r="T1354" s="664"/>
      <c r="U1354" s="215"/>
      <c r="V1354" s="215"/>
    </row>
    <row r="1355" ht="15.0" customHeight="1">
      <c r="A1355" s="207"/>
      <c r="B1355" s="215"/>
      <c r="C1355" s="215"/>
      <c r="D1355" s="215"/>
      <c r="E1355" s="215"/>
      <c r="F1355" s="215"/>
      <c r="G1355" s="215"/>
      <c r="H1355" s="215"/>
      <c r="I1355" s="207"/>
      <c r="J1355" s="215"/>
      <c r="K1355" s="207"/>
      <c r="L1355" s="215"/>
      <c r="M1355" s="323"/>
      <c r="N1355" s="215"/>
      <c r="O1355" s="323"/>
      <c r="P1355" s="215"/>
      <c r="Q1355" s="207"/>
      <c r="R1355" s="323"/>
      <c r="S1355" s="323"/>
      <c r="T1355" s="664"/>
      <c r="U1355" s="215"/>
      <c r="V1355" s="215"/>
    </row>
    <row r="1356" ht="15.0" customHeight="1">
      <c r="A1356" s="207"/>
      <c r="B1356" s="215"/>
      <c r="C1356" s="215"/>
      <c r="D1356" s="215"/>
      <c r="E1356" s="215"/>
      <c r="F1356" s="215"/>
      <c r="G1356" s="215"/>
      <c r="H1356" s="215"/>
      <c r="I1356" s="207"/>
      <c r="J1356" s="215"/>
      <c r="K1356" s="207"/>
      <c r="L1356" s="215"/>
      <c r="M1356" s="323"/>
      <c r="N1356" s="215"/>
      <c r="O1356" s="323"/>
      <c r="P1356" s="215"/>
      <c r="Q1356" s="207"/>
      <c r="R1356" s="323"/>
      <c r="S1356" s="323"/>
      <c r="T1356" s="664"/>
      <c r="U1356" s="215"/>
      <c r="V1356" s="215"/>
    </row>
    <row r="1357" ht="15.0" customHeight="1">
      <c r="A1357" s="207"/>
      <c r="B1357" s="215"/>
      <c r="C1357" s="215"/>
      <c r="D1357" s="215"/>
      <c r="E1357" s="215"/>
      <c r="F1357" s="215"/>
      <c r="G1357" s="215"/>
      <c r="H1357" s="215"/>
      <c r="I1357" s="207"/>
      <c r="J1357" s="215"/>
      <c r="K1357" s="207"/>
      <c r="L1357" s="215"/>
      <c r="M1357" s="323"/>
      <c r="N1357" s="215"/>
      <c r="O1357" s="323"/>
      <c r="P1357" s="215"/>
      <c r="Q1357" s="207"/>
      <c r="R1357" s="323"/>
      <c r="S1357" s="323"/>
      <c r="T1357" s="664"/>
      <c r="U1357" s="215"/>
      <c r="V1357" s="215"/>
    </row>
    <row r="1358" ht="15.0" customHeight="1">
      <c r="A1358" s="207"/>
      <c r="B1358" s="215"/>
      <c r="C1358" s="215"/>
      <c r="D1358" s="215"/>
      <c r="E1358" s="215"/>
      <c r="F1358" s="215"/>
      <c r="G1358" s="215"/>
      <c r="H1358" s="215"/>
      <c r="I1358" s="207"/>
      <c r="J1358" s="215"/>
      <c r="K1358" s="207"/>
      <c r="L1358" s="215"/>
      <c r="M1358" s="323"/>
      <c r="N1358" s="215"/>
      <c r="O1358" s="323"/>
      <c r="P1358" s="215"/>
      <c r="Q1358" s="207"/>
      <c r="R1358" s="323"/>
      <c r="S1358" s="323"/>
      <c r="T1358" s="664"/>
      <c r="U1358" s="215"/>
      <c r="V1358" s="215"/>
    </row>
    <row r="1359" ht="15.0" customHeight="1">
      <c r="A1359" s="207"/>
      <c r="B1359" s="215"/>
      <c r="C1359" s="215"/>
      <c r="D1359" s="215"/>
      <c r="E1359" s="215"/>
      <c r="F1359" s="215"/>
      <c r="G1359" s="215"/>
      <c r="H1359" s="215"/>
      <c r="I1359" s="207"/>
      <c r="J1359" s="215"/>
      <c r="K1359" s="207"/>
      <c r="L1359" s="215"/>
      <c r="M1359" s="323"/>
      <c r="N1359" s="215"/>
      <c r="O1359" s="323"/>
      <c r="P1359" s="215"/>
      <c r="Q1359" s="207"/>
      <c r="R1359" s="323"/>
      <c r="S1359" s="323"/>
      <c r="T1359" s="664"/>
      <c r="U1359" s="215"/>
      <c r="V1359" s="215"/>
    </row>
    <row r="1360" ht="15.0" customHeight="1">
      <c r="A1360" s="207"/>
      <c r="B1360" s="215"/>
      <c r="C1360" s="215"/>
      <c r="D1360" s="215"/>
      <c r="E1360" s="215"/>
      <c r="F1360" s="215"/>
      <c r="G1360" s="215"/>
      <c r="H1360" s="215"/>
      <c r="I1360" s="207"/>
      <c r="J1360" s="215"/>
      <c r="K1360" s="207"/>
      <c r="L1360" s="215"/>
      <c r="M1360" s="323"/>
      <c r="N1360" s="215"/>
      <c r="O1360" s="323"/>
      <c r="P1360" s="215"/>
      <c r="Q1360" s="207"/>
      <c r="R1360" s="323"/>
      <c r="S1360" s="323"/>
      <c r="T1360" s="664"/>
      <c r="U1360" s="215"/>
      <c r="V1360" s="215"/>
    </row>
    <row r="1361" ht="15.0" customHeight="1">
      <c r="A1361" s="207"/>
      <c r="B1361" s="215"/>
      <c r="C1361" s="215"/>
      <c r="D1361" s="215"/>
      <c r="E1361" s="215"/>
      <c r="F1361" s="215"/>
      <c r="G1361" s="215"/>
      <c r="H1361" s="215"/>
      <c r="I1361" s="207"/>
      <c r="J1361" s="215"/>
      <c r="K1361" s="207"/>
      <c r="L1361" s="215"/>
      <c r="M1361" s="323"/>
      <c r="N1361" s="215"/>
      <c r="O1361" s="323"/>
      <c r="P1361" s="215"/>
      <c r="Q1361" s="207"/>
      <c r="R1361" s="323"/>
      <c r="S1361" s="323"/>
      <c r="T1361" s="664"/>
      <c r="U1361" s="215"/>
      <c r="V1361" s="215"/>
    </row>
    <row r="1362" ht="15.0" customHeight="1">
      <c r="A1362" s="207"/>
      <c r="B1362" s="215"/>
      <c r="C1362" s="215"/>
      <c r="D1362" s="215"/>
      <c r="E1362" s="215"/>
      <c r="F1362" s="215"/>
      <c r="G1362" s="215"/>
      <c r="H1362" s="215"/>
      <c r="I1362" s="207"/>
      <c r="J1362" s="215"/>
      <c r="K1362" s="207"/>
      <c r="L1362" s="215"/>
      <c r="M1362" s="323"/>
      <c r="N1362" s="215"/>
      <c r="O1362" s="323"/>
      <c r="P1362" s="215"/>
      <c r="Q1362" s="207"/>
      <c r="R1362" s="323"/>
      <c r="S1362" s="323"/>
      <c r="T1362" s="664"/>
      <c r="U1362" s="215"/>
      <c r="V1362" s="215"/>
    </row>
    <row r="1363" ht="15.0" customHeight="1">
      <c r="A1363" s="207"/>
      <c r="B1363" s="215"/>
      <c r="C1363" s="215"/>
      <c r="D1363" s="215"/>
      <c r="E1363" s="215"/>
      <c r="F1363" s="215"/>
      <c r="G1363" s="215"/>
      <c r="H1363" s="215"/>
      <c r="I1363" s="207"/>
      <c r="J1363" s="215"/>
      <c r="K1363" s="207"/>
      <c r="L1363" s="215"/>
      <c r="M1363" s="323"/>
      <c r="N1363" s="215"/>
      <c r="O1363" s="323"/>
      <c r="P1363" s="215"/>
      <c r="Q1363" s="207"/>
      <c r="R1363" s="323"/>
      <c r="S1363" s="323"/>
      <c r="T1363" s="664"/>
      <c r="U1363" s="215"/>
      <c r="V1363" s="215"/>
    </row>
    <row r="1364" ht="15.0" customHeight="1">
      <c r="A1364" s="207"/>
      <c r="B1364" s="215"/>
      <c r="C1364" s="215"/>
      <c r="D1364" s="215"/>
      <c r="E1364" s="215"/>
      <c r="F1364" s="215"/>
      <c r="G1364" s="215"/>
      <c r="H1364" s="215"/>
      <c r="I1364" s="207"/>
      <c r="J1364" s="215"/>
      <c r="K1364" s="207"/>
      <c r="L1364" s="215"/>
      <c r="M1364" s="323"/>
      <c r="N1364" s="215"/>
      <c r="O1364" s="323"/>
      <c r="P1364" s="215"/>
      <c r="Q1364" s="207"/>
      <c r="R1364" s="323"/>
      <c r="S1364" s="323"/>
      <c r="T1364" s="664"/>
      <c r="U1364" s="215"/>
      <c r="V1364" s="215"/>
    </row>
    <row r="1365" ht="15.0" customHeight="1">
      <c r="A1365" s="207"/>
      <c r="B1365" s="215"/>
      <c r="C1365" s="215"/>
      <c r="D1365" s="215"/>
      <c r="E1365" s="215"/>
      <c r="F1365" s="215"/>
      <c r="G1365" s="215"/>
      <c r="H1365" s="215"/>
      <c r="I1365" s="207"/>
      <c r="J1365" s="215"/>
      <c r="K1365" s="207"/>
      <c r="L1365" s="215"/>
      <c r="M1365" s="323"/>
      <c r="N1365" s="215"/>
      <c r="O1365" s="323"/>
      <c r="P1365" s="215"/>
      <c r="Q1365" s="207"/>
      <c r="R1365" s="323"/>
      <c r="S1365" s="323"/>
      <c r="T1365" s="664"/>
      <c r="U1365" s="215"/>
      <c r="V1365" s="215"/>
    </row>
    <row r="1366" ht="15.0" customHeight="1">
      <c r="A1366" s="207"/>
      <c r="B1366" s="215"/>
      <c r="C1366" s="215"/>
      <c r="D1366" s="215"/>
      <c r="E1366" s="215"/>
      <c r="F1366" s="215"/>
      <c r="G1366" s="215"/>
      <c r="H1366" s="215"/>
      <c r="I1366" s="207"/>
      <c r="J1366" s="215"/>
      <c r="K1366" s="207"/>
      <c r="L1366" s="215"/>
      <c r="M1366" s="323"/>
      <c r="N1366" s="215"/>
      <c r="O1366" s="323"/>
      <c r="P1366" s="215"/>
      <c r="Q1366" s="207"/>
      <c r="R1366" s="323"/>
      <c r="S1366" s="323"/>
      <c r="T1366" s="664"/>
      <c r="U1366" s="215"/>
      <c r="V1366" s="215"/>
    </row>
    <row r="1367" ht="15.0" customHeight="1">
      <c r="A1367" s="207"/>
      <c r="B1367" s="215"/>
      <c r="C1367" s="215"/>
      <c r="D1367" s="215"/>
      <c r="E1367" s="215"/>
      <c r="F1367" s="215"/>
      <c r="G1367" s="215"/>
      <c r="H1367" s="215"/>
      <c r="I1367" s="207"/>
      <c r="J1367" s="215"/>
      <c r="K1367" s="207"/>
      <c r="L1367" s="215"/>
      <c r="M1367" s="323"/>
      <c r="N1367" s="215"/>
      <c r="O1367" s="323"/>
      <c r="P1367" s="215"/>
      <c r="Q1367" s="207"/>
      <c r="R1367" s="323"/>
      <c r="S1367" s="323"/>
      <c r="T1367" s="664"/>
      <c r="U1367" s="215"/>
      <c r="V1367" s="215"/>
    </row>
    <row r="1368" ht="15.0" customHeight="1">
      <c r="A1368" s="207"/>
      <c r="B1368" s="215"/>
      <c r="C1368" s="215"/>
      <c r="D1368" s="215"/>
      <c r="E1368" s="215"/>
      <c r="F1368" s="215"/>
      <c r="G1368" s="215"/>
      <c r="H1368" s="215"/>
      <c r="I1368" s="207"/>
      <c r="J1368" s="215"/>
      <c r="K1368" s="207"/>
      <c r="L1368" s="215"/>
      <c r="M1368" s="323"/>
      <c r="N1368" s="215"/>
      <c r="O1368" s="323"/>
      <c r="P1368" s="215"/>
      <c r="Q1368" s="207"/>
      <c r="R1368" s="323"/>
      <c r="S1368" s="323"/>
      <c r="T1368" s="664"/>
      <c r="U1368" s="215"/>
      <c r="V1368" s="215"/>
    </row>
    <row r="1369" ht="15.0" customHeight="1">
      <c r="A1369" s="207"/>
      <c r="B1369" s="215"/>
      <c r="C1369" s="215"/>
      <c r="D1369" s="215"/>
      <c r="E1369" s="215"/>
      <c r="F1369" s="215"/>
      <c r="G1369" s="215"/>
      <c r="H1369" s="215"/>
      <c r="I1369" s="207"/>
      <c r="J1369" s="215"/>
      <c r="K1369" s="207"/>
      <c r="L1369" s="215"/>
      <c r="M1369" s="323"/>
      <c r="N1369" s="215"/>
      <c r="O1369" s="323"/>
      <c r="P1369" s="215"/>
      <c r="Q1369" s="207"/>
      <c r="R1369" s="323"/>
      <c r="S1369" s="323"/>
      <c r="T1369" s="664"/>
      <c r="U1369" s="215"/>
      <c r="V1369" s="215"/>
    </row>
    <row r="1370" ht="15.0" customHeight="1">
      <c r="A1370" s="207"/>
      <c r="B1370" s="215"/>
      <c r="C1370" s="215"/>
      <c r="D1370" s="215"/>
      <c r="E1370" s="215"/>
      <c r="F1370" s="215"/>
      <c r="G1370" s="215"/>
      <c r="H1370" s="215"/>
      <c r="I1370" s="207"/>
      <c r="J1370" s="215"/>
      <c r="K1370" s="207"/>
      <c r="L1370" s="215"/>
      <c r="M1370" s="323"/>
      <c r="N1370" s="215"/>
      <c r="O1370" s="323"/>
      <c r="P1370" s="215"/>
      <c r="Q1370" s="207"/>
      <c r="R1370" s="323"/>
      <c r="S1370" s="323"/>
      <c r="T1370" s="664"/>
      <c r="U1370" s="215"/>
      <c r="V1370" s="215"/>
    </row>
    <row r="1371" ht="15.0" customHeight="1">
      <c r="A1371" s="207"/>
      <c r="B1371" s="215"/>
      <c r="C1371" s="215"/>
      <c r="D1371" s="215"/>
      <c r="E1371" s="215"/>
      <c r="F1371" s="215"/>
      <c r="G1371" s="215"/>
      <c r="H1371" s="215"/>
      <c r="I1371" s="207"/>
      <c r="J1371" s="215"/>
      <c r="K1371" s="207"/>
      <c r="L1371" s="215"/>
      <c r="M1371" s="323"/>
      <c r="N1371" s="215"/>
      <c r="O1371" s="323"/>
      <c r="P1371" s="215"/>
      <c r="Q1371" s="207"/>
      <c r="R1371" s="323"/>
      <c r="S1371" s="323"/>
      <c r="T1371" s="664"/>
      <c r="U1371" s="215"/>
      <c r="V1371" s="215"/>
    </row>
    <row r="1372" ht="15.0" customHeight="1">
      <c r="A1372" s="207"/>
      <c r="B1372" s="215"/>
      <c r="C1372" s="215"/>
      <c r="D1372" s="215"/>
      <c r="E1372" s="215"/>
      <c r="F1372" s="215"/>
      <c r="G1372" s="215"/>
      <c r="H1372" s="215"/>
      <c r="I1372" s="207"/>
      <c r="J1372" s="215"/>
      <c r="K1372" s="207"/>
      <c r="L1372" s="215"/>
      <c r="M1372" s="323"/>
      <c r="N1372" s="215"/>
      <c r="O1372" s="323"/>
      <c r="P1372" s="215"/>
      <c r="Q1372" s="207"/>
      <c r="R1372" s="323"/>
      <c r="S1372" s="323"/>
      <c r="T1372" s="664"/>
      <c r="U1372" s="215"/>
      <c r="V1372" s="215"/>
    </row>
    <row r="1373" ht="15.0" customHeight="1">
      <c r="A1373" s="207"/>
      <c r="B1373" s="215"/>
      <c r="C1373" s="215"/>
      <c r="D1373" s="215"/>
      <c r="E1373" s="215"/>
      <c r="F1373" s="215"/>
      <c r="G1373" s="215"/>
      <c r="H1373" s="215"/>
      <c r="I1373" s="207"/>
      <c r="J1373" s="215"/>
      <c r="K1373" s="207"/>
      <c r="L1373" s="215"/>
      <c r="M1373" s="323"/>
      <c r="N1373" s="215"/>
      <c r="O1373" s="323"/>
      <c r="P1373" s="215"/>
      <c r="Q1373" s="207"/>
      <c r="R1373" s="323"/>
      <c r="S1373" s="323"/>
      <c r="T1373" s="664"/>
      <c r="U1373" s="215"/>
      <c r="V1373" s="215"/>
    </row>
    <row r="1374" ht="15.0" customHeight="1">
      <c r="A1374" s="207"/>
      <c r="B1374" s="215"/>
      <c r="C1374" s="215"/>
      <c r="D1374" s="215"/>
      <c r="E1374" s="215"/>
      <c r="F1374" s="215"/>
      <c r="G1374" s="215"/>
      <c r="H1374" s="215"/>
      <c r="I1374" s="207"/>
      <c r="J1374" s="215"/>
      <c r="K1374" s="207"/>
      <c r="L1374" s="215"/>
      <c r="M1374" s="323"/>
      <c r="N1374" s="215"/>
      <c r="O1374" s="323"/>
      <c r="P1374" s="215"/>
      <c r="Q1374" s="207"/>
      <c r="R1374" s="323"/>
      <c r="S1374" s="323"/>
      <c r="T1374" s="664"/>
      <c r="U1374" s="215"/>
      <c r="V1374" s="215"/>
    </row>
    <row r="1375" ht="15.0" customHeight="1">
      <c r="A1375" s="207"/>
      <c r="B1375" s="215"/>
      <c r="C1375" s="215"/>
      <c r="D1375" s="215"/>
      <c r="E1375" s="215"/>
      <c r="F1375" s="215"/>
      <c r="G1375" s="215"/>
      <c r="H1375" s="215"/>
      <c r="I1375" s="207"/>
      <c r="J1375" s="215"/>
      <c r="K1375" s="207"/>
      <c r="L1375" s="215"/>
      <c r="M1375" s="323"/>
      <c r="N1375" s="215"/>
      <c r="O1375" s="323"/>
      <c r="P1375" s="215"/>
      <c r="Q1375" s="207"/>
      <c r="R1375" s="323"/>
      <c r="S1375" s="323"/>
      <c r="T1375" s="664"/>
      <c r="U1375" s="215"/>
      <c r="V1375" s="215"/>
    </row>
    <row r="1376" ht="15.0" customHeight="1">
      <c r="A1376" s="207"/>
      <c r="B1376" s="215"/>
      <c r="C1376" s="215"/>
      <c r="D1376" s="215"/>
      <c r="E1376" s="215"/>
      <c r="F1376" s="215"/>
      <c r="G1376" s="215"/>
      <c r="H1376" s="215"/>
      <c r="I1376" s="207"/>
      <c r="J1376" s="215"/>
      <c r="K1376" s="207"/>
      <c r="L1376" s="215"/>
      <c r="M1376" s="323"/>
      <c r="N1376" s="215"/>
      <c r="O1376" s="323"/>
      <c r="P1376" s="215"/>
      <c r="Q1376" s="207"/>
      <c r="R1376" s="323"/>
      <c r="S1376" s="323"/>
      <c r="T1376" s="664"/>
      <c r="U1376" s="215"/>
      <c r="V1376" s="215"/>
    </row>
    <row r="1377" ht="15.0" customHeight="1">
      <c r="A1377" s="207"/>
      <c r="B1377" s="215"/>
      <c r="C1377" s="215"/>
      <c r="D1377" s="215"/>
      <c r="E1377" s="215"/>
      <c r="F1377" s="215"/>
      <c r="G1377" s="215"/>
      <c r="H1377" s="215"/>
      <c r="I1377" s="207"/>
      <c r="J1377" s="215"/>
      <c r="K1377" s="207"/>
      <c r="L1377" s="215"/>
      <c r="M1377" s="323"/>
      <c r="N1377" s="215"/>
      <c r="O1377" s="323"/>
      <c r="P1377" s="215"/>
      <c r="Q1377" s="207"/>
      <c r="R1377" s="323"/>
      <c r="S1377" s="323"/>
      <c r="T1377" s="664"/>
      <c r="U1377" s="215"/>
      <c r="V1377" s="215"/>
    </row>
    <row r="1378" ht="15.0" customHeight="1">
      <c r="A1378" s="207"/>
      <c r="B1378" s="215"/>
      <c r="C1378" s="215"/>
      <c r="D1378" s="215"/>
      <c r="E1378" s="215"/>
      <c r="F1378" s="215"/>
      <c r="G1378" s="215"/>
      <c r="H1378" s="215"/>
      <c r="I1378" s="207"/>
      <c r="J1378" s="215"/>
      <c r="K1378" s="207"/>
      <c r="L1378" s="215"/>
      <c r="M1378" s="323"/>
      <c r="N1378" s="215"/>
      <c r="O1378" s="323"/>
      <c r="P1378" s="215"/>
      <c r="Q1378" s="207"/>
      <c r="R1378" s="323"/>
      <c r="S1378" s="323"/>
      <c r="T1378" s="664"/>
      <c r="U1378" s="215"/>
      <c r="V1378" s="215"/>
    </row>
    <row r="1379" ht="15.0" customHeight="1">
      <c r="A1379" s="207"/>
      <c r="B1379" s="215"/>
      <c r="C1379" s="215"/>
      <c r="D1379" s="215"/>
      <c r="E1379" s="215"/>
      <c r="F1379" s="215"/>
      <c r="G1379" s="215"/>
      <c r="H1379" s="215"/>
      <c r="I1379" s="207"/>
      <c r="J1379" s="215"/>
      <c r="K1379" s="207"/>
      <c r="L1379" s="215"/>
      <c r="M1379" s="323"/>
      <c r="N1379" s="215"/>
      <c r="O1379" s="323"/>
      <c r="P1379" s="215"/>
      <c r="Q1379" s="207"/>
      <c r="R1379" s="323"/>
      <c r="S1379" s="323"/>
      <c r="T1379" s="664"/>
      <c r="U1379" s="215"/>
      <c r="V1379" s="215"/>
    </row>
    <row r="1380" ht="15.0" customHeight="1">
      <c r="A1380" s="207"/>
      <c r="B1380" s="215"/>
      <c r="C1380" s="215"/>
      <c r="D1380" s="215"/>
      <c r="E1380" s="215"/>
      <c r="F1380" s="215"/>
      <c r="G1380" s="215"/>
      <c r="H1380" s="215"/>
      <c r="I1380" s="207"/>
      <c r="J1380" s="215"/>
      <c r="K1380" s="207"/>
      <c r="L1380" s="215"/>
      <c r="M1380" s="323"/>
      <c r="N1380" s="215"/>
      <c r="O1380" s="323"/>
      <c r="P1380" s="215"/>
      <c r="Q1380" s="207"/>
      <c r="R1380" s="323"/>
      <c r="S1380" s="323"/>
      <c r="T1380" s="664"/>
      <c r="U1380" s="215"/>
      <c r="V1380" s="215"/>
    </row>
    <row r="1381" ht="15.0" customHeight="1">
      <c r="A1381" s="207"/>
      <c r="B1381" s="215"/>
      <c r="C1381" s="215"/>
      <c r="D1381" s="215"/>
      <c r="E1381" s="215"/>
      <c r="F1381" s="215"/>
      <c r="G1381" s="215"/>
      <c r="H1381" s="215"/>
      <c r="I1381" s="207"/>
      <c r="J1381" s="215"/>
      <c r="K1381" s="207"/>
      <c r="L1381" s="215"/>
      <c r="M1381" s="323"/>
      <c r="N1381" s="215"/>
      <c r="O1381" s="323"/>
      <c r="P1381" s="215"/>
      <c r="Q1381" s="207"/>
      <c r="R1381" s="323"/>
      <c r="S1381" s="323"/>
      <c r="T1381" s="664"/>
      <c r="U1381" s="215"/>
      <c r="V1381" s="215"/>
    </row>
    <row r="1382" ht="15.0" customHeight="1">
      <c r="A1382" s="207"/>
      <c r="B1382" s="215"/>
      <c r="C1382" s="215"/>
      <c r="D1382" s="215"/>
      <c r="E1382" s="215"/>
      <c r="F1382" s="215"/>
      <c r="G1382" s="215"/>
      <c r="H1382" s="215"/>
      <c r="I1382" s="207"/>
      <c r="J1382" s="215"/>
      <c r="K1382" s="207"/>
      <c r="L1382" s="215"/>
      <c r="M1382" s="323"/>
      <c r="N1382" s="215"/>
      <c r="O1382" s="323"/>
      <c r="P1382" s="215"/>
      <c r="Q1382" s="207"/>
      <c r="R1382" s="323"/>
      <c r="S1382" s="323"/>
      <c r="T1382" s="664"/>
      <c r="U1382" s="215"/>
      <c r="V1382" s="215"/>
    </row>
    <row r="1383" ht="15.0" customHeight="1">
      <c r="A1383" s="207"/>
      <c r="B1383" s="215"/>
      <c r="C1383" s="215"/>
      <c r="D1383" s="215"/>
      <c r="E1383" s="215"/>
      <c r="F1383" s="215"/>
      <c r="G1383" s="215"/>
      <c r="H1383" s="215"/>
      <c r="I1383" s="207"/>
      <c r="J1383" s="215"/>
      <c r="K1383" s="207"/>
      <c r="L1383" s="215"/>
      <c r="M1383" s="323"/>
      <c r="N1383" s="215"/>
      <c r="O1383" s="323"/>
      <c r="P1383" s="215"/>
      <c r="Q1383" s="207"/>
      <c r="R1383" s="323"/>
      <c r="S1383" s="323"/>
      <c r="T1383" s="664"/>
      <c r="U1383" s="215"/>
      <c r="V1383" s="215"/>
    </row>
    <row r="1384" ht="15.0" customHeight="1">
      <c r="A1384" s="207"/>
      <c r="B1384" s="215"/>
      <c r="C1384" s="215"/>
      <c r="D1384" s="215"/>
      <c r="E1384" s="215"/>
      <c r="F1384" s="215"/>
      <c r="G1384" s="215"/>
      <c r="H1384" s="215"/>
      <c r="I1384" s="207"/>
      <c r="J1384" s="215"/>
      <c r="K1384" s="207"/>
      <c r="L1384" s="215"/>
      <c r="M1384" s="323"/>
      <c r="N1384" s="215"/>
      <c r="O1384" s="323"/>
      <c r="P1384" s="215"/>
      <c r="Q1384" s="207"/>
      <c r="R1384" s="323"/>
      <c r="S1384" s="323"/>
      <c r="T1384" s="664"/>
      <c r="U1384" s="215"/>
      <c r="V1384" s="215"/>
    </row>
    <row r="1385" ht="15.0" customHeight="1">
      <c r="A1385" s="207"/>
      <c r="B1385" s="215"/>
      <c r="C1385" s="215"/>
      <c r="D1385" s="215"/>
      <c r="E1385" s="215"/>
      <c r="F1385" s="215"/>
      <c r="G1385" s="215"/>
      <c r="H1385" s="215"/>
      <c r="I1385" s="207"/>
      <c r="J1385" s="215"/>
      <c r="K1385" s="207"/>
      <c r="L1385" s="215"/>
      <c r="M1385" s="323"/>
      <c r="N1385" s="215"/>
      <c r="O1385" s="323"/>
      <c r="P1385" s="215"/>
      <c r="Q1385" s="207"/>
      <c r="R1385" s="323"/>
      <c r="S1385" s="323"/>
      <c r="T1385" s="664"/>
      <c r="U1385" s="215"/>
      <c r="V1385" s="215"/>
    </row>
    <row r="1386" ht="15.0" customHeight="1">
      <c r="A1386" s="207"/>
      <c r="B1386" s="215"/>
      <c r="C1386" s="215"/>
      <c r="D1386" s="215"/>
      <c r="E1386" s="215"/>
      <c r="F1386" s="215"/>
      <c r="G1386" s="215"/>
      <c r="H1386" s="215"/>
      <c r="I1386" s="207"/>
      <c r="J1386" s="215"/>
      <c r="K1386" s="207"/>
      <c r="L1386" s="215"/>
      <c r="M1386" s="323"/>
      <c r="N1386" s="215"/>
      <c r="O1386" s="323"/>
      <c r="P1386" s="215"/>
      <c r="Q1386" s="207"/>
      <c r="R1386" s="323"/>
      <c r="S1386" s="323"/>
      <c r="T1386" s="664"/>
      <c r="U1386" s="215"/>
      <c r="V1386" s="215"/>
    </row>
    <row r="1387" ht="15.0" customHeight="1">
      <c r="A1387" s="207"/>
      <c r="B1387" s="215"/>
      <c r="C1387" s="215"/>
      <c r="D1387" s="215"/>
      <c r="E1387" s="215"/>
      <c r="F1387" s="215"/>
      <c r="G1387" s="215"/>
      <c r="H1387" s="215"/>
      <c r="I1387" s="207"/>
      <c r="J1387" s="215"/>
      <c r="K1387" s="207"/>
      <c r="L1387" s="215"/>
      <c r="M1387" s="323"/>
      <c r="N1387" s="215"/>
      <c r="O1387" s="323"/>
      <c r="P1387" s="215"/>
      <c r="Q1387" s="207"/>
      <c r="R1387" s="323"/>
      <c r="S1387" s="323"/>
      <c r="T1387" s="664"/>
      <c r="U1387" s="215"/>
      <c r="V1387" s="215"/>
    </row>
    <row r="1388" ht="15.0" customHeight="1">
      <c r="A1388" s="207"/>
      <c r="B1388" s="215"/>
      <c r="C1388" s="215"/>
      <c r="D1388" s="215"/>
      <c r="E1388" s="215"/>
      <c r="F1388" s="215"/>
      <c r="G1388" s="215"/>
      <c r="H1388" s="215"/>
      <c r="I1388" s="207"/>
      <c r="J1388" s="215"/>
      <c r="K1388" s="207"/>
      <c r="L1388" s="215"/>
      <c r="M1388" s="323"/>
      <c r="N1388" s="215"/>
      <c r="O1388" s="323"/>
      <c r="P1388" s="215"/>
      <c r="Q1388" s="207"/>
      <c r="R1388" s="323"/>
      <c r="S1388" s="323"/>
      <c r="T1388" s="664"/>
      <c r="U1388" s="215"/>
      <c r="V1388" s="215"/>
    </row>
    <row r="1389" ht="15.0" customHeight="1">
      <c r="A1389" s="207"/>
      <c r="B1389" s="215"/>
      <c r="C1389" s="215"/>
      <c r="D1389" s="215"/>
      <c r="E1389" s="215"/>
      <c r="F1389" s="215"/>
      <c r="G1389" s="215"/>
      <c r="H1389" s="215"/>
      <c r="I1389" s="207"/>
      <c r="J1389" s="215"/>
      <c r="K1389" s="207"/>
      <c r="L1389" s="215"/>
      <c r="M1389" s="323"/>
      <c r="N1389" s="215"/>
      <c r="O1389" s="323"/>
      <c r="P1389" s="215"/>
      <c r="Q1389" s="207"/>
      <c r="R1389" s="323"/>
      <c r="S1389" s="323"/>
      <c r="T1389" s="664"/>
      <c r="U1389" s="215"/>
      <c r="V1389" s="215"/>
    </row>
    <row r="1390" ht="15.0" customHeight="1">
      <c r="A1390" s="207"/>
      <c r="B1390" s="215"/>
      <c r="C1390" s="215"/>
      <c r="D1390" s="215"/>
      <c r="E1390" s="215"/>
      <c r="F1390" s="215"/>
      <c r="G1390" s="215"/>
      <c r="H1390" s="215"/>
      <c r="I1390" s="207"/>
      <c r="J1390" s="215"/>
      <c r="K1390" s="207"/>
      <c r="L1390" s="215"/>
      <c r="M1390" s="323"/>
      <c r="N1390" s="215"/>
      <c r="O1390" s="323"/>
      <c r="P1390" s="215"/>
      <c r="Q1390" s="207"/>
      <c r="R1390" s="323"/>
      <c r="S1390" s="323"/>
      <c r="T1390" s="664"/>
      <c r="U1390" s="215"/>
      <c r="V1390" s="215"/>
    </row>
    <row r="1391" ht="15.0" customHeight="1">
      <c r="A1391" s="207"/>
      <c r="B1391" s="215"/>
      <c r="C1391" s="215"/>
      <c r="D1391" s="215"/>
      <c r="E1391" s="215"/>
      <c r="F1391" s="215"/>
      <c r="G1391" s="215"/>
      <c r="H1391" s="215"/>
      <c r="I1391" s="207"/>
      <c r="J1391" s="215"/>
      <c r="K1391" s="207"/>
      <c r="L1391" s="215"/>
      <c r="M1391" s="323"/>
      <c r="N1391" s="215"/>
      <c r="O1391" s="323"/>
      <c r="P1391" s="215"/>
      <c r="Q1391" s="207"/>
      <c r="R1391" s="323"/>
      <c r="S1391" s="323"/>
      <c r="T1391" s="664"/>
      <c r="U1391" s="215"/>
      <c r="V1391" s="215"/>
    </row>
    <row r="1392" ht="15.0" customHeight="1">
      <c r="A1392" s="207"/>
      <c r="B1392" s="215"/>
      <c r="C1392" s="215"/>
      <c r="D1392" s="215"/>
      <c r="E1392" s="215"/>
      <c r="F1392" s="215"/>
      <c r="G1392" s="215"/>
      <c r="H1392" s="215"/>
      <c r="I1392" s="207"/>
      <c r="J1392" s="215"/>
      <c r="K1392" s="207"/>
      <c r="L1392" s="215"/>
      <c r="M1392" s="323"/>
      <c r="N1392" s="215"/>
      <c r="O1392" s="323"/>
      <c r="P1392" s="215"/>
      <c r="Q1392" s="207"/>
      <c r="R1392" s="323"/>
      <c r="S1392" s="323"/>
      <c r="T1392" s="664"/>
      <c r="U1392" s="215"/>
      <c r="V1392" s="215"/>
    </row>
    <row r="1393" ht="15.0" customHeight="1">
      <c r="A1393" s="207"/>
      <c r="B1393" s="215"/>
      <c r="C1393" s="215"/>
      <c r="D1393" s="215"/>
      <c r="E1393" s="215"/>
      <c r="F1393" s="215"/>
      <c r="G1393" s="215"/>
      <c r="H1393" s="215"/>
      <c r="I1393" s="207"/>
      <c r="J1393" s="215"/>
      <c r="K1393" s="207"/>
      <c r="L1393" s="215"/>
      <c r="M1393" s="323"/>
      <c r="N1393" s="215"/>
      <c r="O1393" s="323"/>
      <c r="P1393" s="215"/>
      <c r="Q1393" s="207"/>
      <c r="R1393" s="323"/>
      <c r="S1393" s="323"/>
      <c r="T1393" s="664"/>
      <c r="U1393" s="215"/>
      <c r="V1393" s="215"/>
    </row>
    <row r="1394" ht="15.0" customHeight="1">
      <c r="A1394" s="207"/>
      <c r="B1394" s="215"/>
      <c r="C1394" s="215"/>
      <c r="D1394" s="215"/>
      <c r="E1394" s="215"/>
      <c r="F1394" s="215"/>
      <c r="G1394" s="215"/>
      <c r="H1394" s="215"/>
      <c r="I1394" s="207"/>
      <c r="J1394" s="215"/>
      <c r="K1394" s="207"/>
      <c r="L1394" s="215"/>
      <c r="M1394" s="323"/>
      <c r="N1394" s="215"/>
      <c r="O1394" s="323"/>
      <c r="P1394" s="215"/>
      <c r="Q1394" s="207"/>
      <c r="R1394" s="323"/>
      <c r="S1394" s="323"/>
      <c r="T1394" s="664"/>
      <c r="U1394" s="215"/>
      <c r="V1394" s="215"/>
    </row>
    <row r="1395" ht="15.0" customHeight="1">
      <c r="A1395" s="207"/>
      <c r="B1395" s="215"/>
      <c r="C1395" s="215"/>
      <c r="D1395" s="215"/>
      <c r="E1395" s="215"/>
      <c r="F1395" s="215"/>
      <c r="G1395" s="215"/>
      <c r="H1395" s="215"/>
      <c r="I1395" s="207"/>
      <c r="J1395" s="215"/>
      <c r="K1395" s="207"/>
      <c r="L1395" s="215"/>
      <c r="M1395" s="323"/>
      <c r="N1395" s="215"/>
      <c r="O1395" s="323"/>
      <c r="P1395" s="215"/>
      <c r="Q1395" s="207"/>
      <c r="R1395" s="323"/>
      <c r="S1395" s="323"/>
      <c r="T1395" s="664"/>
      <c r="U1395" s="215"/>
      <c r="V1395" s="215"/>
    </row>
    <row r="1396" ht="15.0" customHeight="1">
      <c r="A1396" s="207"/>
      <c r="B1396" s="215"/>
      <c r="C1396" s="215"/>
      <c r="D1396" s="215"/>
      <c r="E1396" s="215"/>
      <c r="F1396" s="215"/>
      <c r="G1396" s="215"/>
      <c r="H1396" s="215"/>
      <c r="I1396" s="207"/>
      <c r="J1396" s="215"/>
      <c r="K1396" s="207"/>
      <c r="L1396" s="215"/>
      <c r="M1396" s="323"/>
      <c r="N1396" s="215"/>
      <c r="O1396" s="323"/>
      <c r="P1396" s="215"/>
      <c r="Q1396" s="207"/>
      <c r="R1396" s="323"/>
      <c r="S1396" s="323"/>
      <c r="T1396" s="664"/>
      <c r="U1396" s="215"/>
      <c r="V1396" s="215"/>
    </row>
    <row r="1397" ht="15.0" customHeight="1">
      <c r="A1397" s="207"/>
      <c r="B1397" s="215"/>
      <c r="C1397" s="215"/>
      <c r="D1397" s="215"/>
      <c r="E1397" s="215"/>
      <c r="F1397" s="215"/>
      <c r="G1397" s="215"/>
      <c r="H1397" s="215"/>
      <c r="I1397" s="207"/>
      <c r="J1397" s="215"/>
      <c r="K1397" s="207"/>
      <c r="L1397" s="215"/>
      <c r="M1397" s="323"/>
      <c r="N1397" s="215"/>
      <c r="O1397" s="323"/>
      <c r="P1397" s="215"/>
      <c r="Q1397" s="207"/>
      <c r="R1397" s="323"/>
      <c r="S1397" s="323"/>
      <c r="T1397" s="664"/>
      <c r="U1397" s="215"/>
      <c r="V1397" s="215"/>
    </row>
    <row r="1398" ht="15.0" customHeight="1">
      <c r="A1398" s="207"/>
      <c r="B1398" s="215"/>
      <c r="C1398" s="215"/>
      <c r="D1398" s="215"/>
      <c r="E1398" s="215"/>
      <c r="F1398" s="215"/>
      <c r="G1398" s="215"/>
      <c r="H1398" s="215"/>
      <c r="I1398" s="207"/>
      <c r="J1398" s="215"/>
      <c r="K1398" s="207"/>
      <c r="L1398" s="215"/>
      <c r="M1398" s="323"/>
      <c r="N1398" s="215"/>
      <c r="O1398" s="323"/>
      <c r="P1398" s="215"/>
      <c r="Q1398" s="207"/>
      <c r="R1398" s="323"/>
      <c r="S1398" s="323"/>
      <c r="T1398" s="664"/>
      <c r="U1398" s="215"/>
      <c r="V1398" s="215"/>
    </row>
    <row r="1399" ht="15.0" customHeight="1">
      <c r="A1399" s="207"/>
      <c r="B1399" s="215"/>
      <c r="C1399" s="215"/>
      <c r="D1399" s="215"/>
      <c r="E1399" s="215"/>
      <c r="F1399" s="215"/>
      <c r="G1399" s="215"/>
      <c r="H1399" s="215"/>
      <c r="I1399" s="207"/>
      <c r="J1399" s="215"/>
      <c r="K1399" s="207"/>
      <c r="L1399" s="215"/>
      <c r="M1399" s="323"/>
      <c r="N1399" s="215"/>
      <c r="O1399" s="323"/>
      <c r="P1399" s="215"/>
      <c r="Q1399" s="207"/>
      <c r="R1399" s="323"/>
      <c r="S1399" s="323"/>
      <c r="T1399" s="664"/>
      <c r="U1399" s="215"/>
      <c r="V1399" s="215"/>
    </row>
    <row r="1400" ht="15.0" customHeight="1">
      <c r="A1400" s="207"/>
      <c r="B1400" s="215"/>
      <c r="C1400" s="215"/>
      <c r="D1400" s="215"/>
      <c r="E1400" s="215"/>
      <c r="F1400" s="215"/>
      <c r="G1400" s="215"/>
      <c r="H1400" s="215"/>
      <c r="I1400" s="207"/>
      <c r="J1400" s="215"/>
      <c r="K1400" s="207"/>
      <c r="L1400" s="215"/>
      <c r="M1400" s="323"/>
      <c r="N1400" s="215"/>
      <c r="O1400" s="323"/>
      <c r="P1400" s="215"/>
      <c r="Q1400" s="207"/>
      <c r="R1400" s="323"/>
      <c r="S1400" s="323"/>
      <c r="T1400" s="664"/>
      <c r="U1400" s="215"/>
      <c r="V1400" s="215"/>
    </row>
    <row r="1401" ht="15.0" customHeight="1">
      <c r="A1401" s="207"/>
      <c r="B1401" s="215"/>
      <c r="C1401" s="215"/>
      <c r="D1401" s="215"/>
      <c r="E1401" s="215"/>
      <c r="F1401" s="215"/>
      <c r="G1401" s="215"/>
      <c r="H1401" s="215"/>
      <c r="I1401" s="207"/>
      <c r="J1401" s="215"/>
      <c r="K1401" s="207"/>
      <c r="L1401" s="215"/>
      <c r="M1401" s="323"/>
      <c r="N1401" s="215"/>
      <c r="O1401" s="323"/>
      <c r="P1401" s="215"/>
      <c r="Q1401" s="207"/>
      <c r="R1401" s="323"/>
      <c r="S1401" s="323"/>
      <c r="T1401" s="664"/>
      <c r="U1401" s="215"/>
      <c r="V1401" s="215"/>
    </row>
    <row r="1402" ht="15.0" customHeight="1">
      <c r="A1402" s="207"/>
      <c r="B1402" s="215"/>
      <c r="C1402" s="215"/>
      <c r="D1402" s="215"/>
      <c r="E1402" s="215"/>
      <c r="F1402" s="215"/>
      <c r="G1402" s="215"/>
      <c r="H1402" s="215"/>
      <c r="I1402" s="207"/>
      <c r="J1402" s="215"/>
      <c r="K1402" s="207"/>
      <c r="L1402" s="215"/>
      <c r="M1402" s="323"/>
      <c r="N1402" s="215"/>
      <c r="O1402" s="323"/>
      <c r="P1402" s="215"/>
      <c r="Q1402" s="207"/>
      <c r="R1402" s="323"/>
      <c r="S1402" s="323"/>
      <c r="T1402" s="664"/>
      <c r="U1402" s="215"/>
      <c r="V1402" s="215"/>
    </row>
    <row r="1403" ht="15.0" customHeight="1">
      <c r="A1403" s="207"/>
      <c r="B1403" s="215"/>
      <c r="C1403" s="215"/>
      <c r="D1403" s="215"/>
      <c r="E1403" s="215"/>
      <c r="F1403" s="215"/>
      <c r="G1403" s="215"/>
      <c r="H1403" s="215"/>
      <c r="I1403" s="207"/>
      <c r="J1403" s="215"/>
      <c r="K1403" s="207"/>
      <c r="L1403" s="215"/>
      <c r="M1403" s="323"/>
      <c r="N1403" s="215"/>
      <c r="O1403" s="323"/>
      <c r="P1403" s="215"/>
      <c r="Q1403" s="207"/>
      <c r="R1403" s="323"/>
      <c r="S1403" s="323"/>
      <c r="T1403" s="664"/>
      <c r="U1403" s="215"/>
      <c r="V1403" s="215"/>
    </row>
    <row r="1404" ht="15.0" customHeight="1">
      <c r="A1404" s="207"/>
      <c r="B1404" s="215"/>
      <c r="C1404" s="215"/>
      <c r="D1404" s="215"/>
      <c r="E1404" s="215"/>
      <c r="F1404" s="215"/>
      <c r="G1404" s="215"/>
      <c r="H1404" s="215"/>
      <c r="I1404" s="207"/>
      <c r="J1404" s="215"/>
      <c r="K1404" s="207"/>
      <c r="L1404" s="215"/>
      <c r="M1404" s="323"/>
      <c r="N1404" s="215"/>
      <c r="O1404" s="323"/>
      <c r="P1404" s="215"/>
      <c r="Q1404" s="207"/>
      <c r="R1404" s="323"/>
      <c r="S1404" s="323"/>
      <c r="T1404" s="664"/>
      <c r="U1404" s="215"/>
      <c r="V1404" s="215"/>
    </row>
    <row r="1405" ht="15.0" customHeight="1">
      <c r="A1405" s="207"/>
      <c r="B1405" s="215"/>
      <c r="C1405" s="215"/>
      <c r="D1405" s="215"/>
      <c r="E1405" s="215"/>
      <c r="F1405" s="215"/>
      <c r="G1405" s="215"/>
      <c r="H1405" s="215"/>
      <c r="I1405" s="207"/>
      <c r="J1405" s="215"/>
      <c r="K1405" s="207"/>
      <c r="L1405" s="215"/>
      <c r="M1405" s="323"/>
      <c r="N1405" s="215"/>
      <c r="O1405" s="323"/>
      <c r="P1405" s="215"/>
      <c r="Q1405" s="207"/>
      <c r="R1405" s="323"/>
      <c r="S1405" s="323"/>
      <c r="T1405" s="664"/>
      <c r="U1405" s="215"/>
      <c r="V1405" s="215"/>
    </row>
    <row r="1406" ht="15.0" customHeight="1">
      <c r="A1406" s="207"/>
      <c r="B1406" s="215"/>
      <c r="C1406" s="215"/>
      <c r="D1406" s="215"/>
      <c r="E1406" s="215"/>
      <c r="F1406" s="215"/>
      <c r="G1406" s="215"/>
      <c r="H1406" s="215"/>
      <c r="I1406" s="207"/>
      <c r="J1406" s="215"/>
      <c r="K1406" s="207"/>
      <c r="L1406" s="215"/>
      <c r="M1406" s="323"/>
      <c r="N1406" s="215"/>
      <c r="O1406" s="323"/>
      <c r="P1406" s="215"/>
      <c r="Q1406" s="207"/>
      <c r="R1406" s="323"/>
      <c r="S1406" s="323"/>
      <c r="T1406" s="664"/>
      <c r="U1406" s="215"/>
      <c r="V1406" s="215"/>
    </row>
    <row r="1407" ht="15.0" customHeight="1">
      <c r="A1407" s="207"/>
      <c r="B1407" s="215"/>
      <c r="C1407" s="215"/>
      <c r="D1407" s="215"/>
      <c r="E1407" s="215"/>
      <c r="F1407" s="215"/>
      <c r="G1407" s="215"/>
      <c r="H1407" s="215"/>
      <c r="I1407" s="207"/>
      <c r="J1407" s="215"/>
      <c r="K1407" s="207"/>
      <c r="L1407" s="215"/>
      <c r="M1407" s="323"/>
      <c r="N1407" s="215"/>
      <c r="O1407" s="323"/>
      <c r="P1407" s="215"/>
      <c r="Q1407" s="207"/>
      <c r="R1407" s="323"/>
      <c r="S1407" s="323"/>
      <c r="T1407" s="664"/>
      <c r="U1407" s="215"/>
      <c r="V1407" s="215"/>
    </row>
    <row r="1408" ht="15.0" customHeight="1">
      <c r="A1408" s="207"/>
      <c r="B1408" s="215"/>
      <c r="C1408" s="215"/>
      <c r="D1408" s="215"/>
      <c r="E1408" s="215"/>
      <c r="F1408" s="215"/>
      <c r="G1408" s="215"/>
      <c r="H1408" s="215"/>
      <c r="I1408" s="207"/>
      <c r="J1408" s="215"/>
      <c r="K1408" s="207"/>
      <c r="L1408" s="215"/>
      <c r="M1408" s="323"/>
      <c r="N1408" s="215"/>
      <c r="O1408" s="323"/>
      <c r="P1408" s="215"/>
      <c r="Q1408" s="207"/>
      <c r="R1408" s="323"/>
      <c r="S1408" s="323"/>
      <c r="T1408" s="664"/>
      <c r="U1408" s="215"/>
      <c r="V1408" s="215"/>
    </row>
    <row r="1409" ht="15.0" customHeight="1">
      <c r="A1409" s="207"/>
      <c r="B1409" s="215"/>
      <c r="C1409" s="215"/>
      <c r="D1409" s="215"/>
      <c r="E1409" s="215"/>
      <c r="F1409" s="215"/>
      <c r="G1409" s="215"/>
      <c r="H1409" s="215"/>
      <c r="I1409" s="207"/>
      <c r="J1409" s="215"/>
      <c r="K1409" s="207"/>
      <c r="L1409" s="215"/>
      <c r="M1409" s="323"/>
      <c r="N1409" s="215"/>
      <c r="O1409" s="323"/>
      <c r="P1409" s="215"/>
      <c r="Q1409" s="207"/>
      <c r="R1409" s="323"/>
      <c r="S1409" s="323"/>
      <c r="T1409" s="664"/>
      <c r="U1409" s="215"/>
      <c r="V1409" s="215"/>
    </row>
    <row r="1410" ht="15.0" customHeight="1">
      <c r="A1410" s="207"/>
      <c r="B1410" s="215"/>
      <c r="C1410" s="215"/>
      <c r="D1410" s="215"/>
      <c r="E1410" s="215"/>
      <c r="F1410" s="215"/>
      <c r="G1410" s="215"/>
      <c r="H1410" s="215"/>
      <c r="I1410" s="207"/>
      <c r="J1410" s="215"/>
      <c r="K1410" s="207"/>
      <c r="L1410" s="215"/>
      <c r="M1410" s="323"/>
      <c r="N1410" s="215"/>
      <c r="O1410" s="323"/>
      <c r="P1410" s="215"/>
      <c r="Q1410" s="207"/>
      <c r="R1410" s="323"/>
      <c r="S1410" s="323"/>
      <c r="T1410" s="664"/>
      <c r="U1410" s="215"/>
      <c r="V1410" s="215"/>
    </row>
    <row r="1411" ht="15.0" customHeight="1">
      <c r="A1411" s="207"/>
      <c r="B1411" s="215"/>
      <c r="C1411" s="215"/>
      <c r="D1411" s="215"/>
      <c r="E1411" s="215"/>
      <c r="F1411" s="215"/>
      <c r="G1411" s="215"/>
      <c r="H1411" s="215"/>
      <c r="I1411" s="207"/>
      <c r="J1411" s="215"/>
      <c r="K1411" s="207"/>
      <c r="L1411" s="215"/>
      <c r="M1411" s="323"/>
      <c r="N1411" s="215"/>
      <c r="O1411" s="323"/>
      <c r="P1411" s="215"/>
      <c r="Q1411" s="207"/>
      <c r="R1411" s="323"/>
      <c r="S1411" s="323"/>
      <c r="T1411" s="664"/>
      <c r="U1411" s="215"/>
      <c r="V1411" s="215"/>
    </row>
    <row r="1412" ht="15.0" customHeight="1">
      <c r="A1412" s="207"/>
      <c r="B1412" s="215"/>
      <c r="C1412" s="215"/>
      <c r="D1412" s="215"/>
      <c r="E1412" s="215"/>
      <c r="F1412" s="215"/>
      <c r="G1412" s="215"/>
      <c r="H1412" s="215"/>
      <c r="I1412" s="207"/>
      <c r="J1412" s="215"/>
      <c r="K1412" s="207"/>
      <c r="L1412" s="215"/>
      <c r="M1412" s="323"/>
      <c r="N1412" s="215"/>
      <c r="O1412" s="323"/>
      <c r="P1412" s="215"/>
      <c r="Q1412" s="207"/>
      <c r="R1412" s="323"/>
      <c r="S1412" s="323"/>
      <c r="T1412" s="664"/>
      <c r="U1412" s="215"/>
      <c r="V1412" s="215"/>
    </row>
    <row r="1413" ht="15.0" customHeight="1">
      <c r="A1413" s="207"/>
      <c r="B1413" s="215"/>
      <c r="C1413" s="215"/>
      <c r="D1413" s="215"/>
      <c r="E1413" s="215"/>
      <c r="F1413" s="215"/>
      <c r="G1413" s="215"/>
      <c r="H1413" s="215"/>
      <c r="I1413" s="207"/>
      <c r="J1413" s="215"/>
      <c r="K1413" s="207"/>
      <c r="L1413" s="215"/>
      <c r="M1413" s="323"/>
      <c r="N1413" s="215"/>
      <c r="O1413" s="323"/>
      <c r="P1413" s="215"/>
      <c r="Q1413" s="207"/>
      <c r="R1413" s="323"/>
      <c r="S1413" s="323"/>
      <c r="T1413" s="664"/>
      <c r="U1413" s="215"/>
      <c r="V1413" s="215"/>
    </row>
    <row r="1414" ht="15.0" customHeight="1">
      <c r="A1414" s="207"/>
      <c r="B1414" s="215"/>
      <c r="C1414" s="215"/>
      <c r="D1414" s="215"/>
      <c r="E1414" s="215"/>
      <c r="F1414" s="215"/>
      <c r="G1414" s="215"/>
      <c r="H1414" s="215"/>
      <c r="I1414" s="207"/>
      <c r="J1414" s="215"/>
      <c r="K1414" s="207"/>
      <c r="L1414" s="215"/>
      <c r="M1414" s="323"/>
      <c r="N1414" s="215"/>
      <c r="O1414" s="323"/>
      <c r="P1414" s="215"/>
      <c r="Q1414" s="207"/>
      <c r="R1414" s="323"/>
      <c r="S1414" s="323"/>
      <c r="T1414" s="664"/>
      <c r="U1414" s="215"/>
      <c r="V1414" s="215"/>
    </row>
    <row r="1415" ht="15.0" customHeight="1">
      <c r="A1415" s="207"/>
      <c r="B1415" s="215"/>
      <c r="C1415" s="215"/>
      <c r="D1415" s="215"/>
      <c r="E1415" s="215"/>
      <c r="F1415" s="215"/>
      <c r="G1415" s="215"/>
      <c r="H1415" s="215"/>
      <c r="I1415" s="207"/>
      <c r="J1415" s="215"/>
      <c r="K1415" s="207"/>
      <c r="L1415" s="215"/>
      <c r="M1415" s="323"/>
      <c r="N1415" s="215"/>
      <c r="O1415" s="323"/>
      <c r="P1415" s="215"/>
      <c r="Q1415" s="207"/>
      <c r="R1415" s="323"/>
      <c r="S1415" s="323"/>
      <c r="T1415" s="664"/>
      <c r="U1415" s="215"/>
      <c r="V1415" s="215"/>
    </row>
    <row r="1416" ht="15.0" customHeight="1">
      <c r="A1416" s="207"/>
      <c r="B1416" s="215"/>
      <c r="C1416" s="215"/>
      <c r="D1416" s="215"/>
      <c r="E1416" s="215"/>
      <c r="F1416" s="215"/>
      <c r="G1416" s="215"/>
      <c r="H1416" s="215"/>
      <c r="I1416" s="207"/>
      <c r="J1416" s="215"/>
      <c r="K1416" s="207"/>
      <c r="L1416" s="215"/>
      <c r="M1416" s="323"/>
      <c r="N1416" s="215"/>
      <c r="O1416" s="323"/>
      <c r="P1416" s="215"/>
      <c r="Q1416" s="207"/>
      <c r="R1416" s="323"/>
      <c r="S1416" s="323"/>
      <c r="T1416" s="664"/>
      <c r="U1416" s="215"/>
      <c r="V1416" s="215"/>
    </row>
    <row r="1417" ht="15.0" customHeight="1">
      <c r="A1417" s="207"/>
      <c r="B1417" s="215"/>
      <c r="C1417" s="215"/>
      <c r="D1417" s="215"/>
      <c r="E1417" s="215"/>
      <c r="F1417" s="215"/>
      <c r="G1417" s="215"/>
      <c r="H1417" s="215"/>
      <c r="I1417" s="207"/>
      <c r="J1417" s="215"/>
      <c r="K1417" s="207"/>
      <c r="L1417" s="215"/>
      <c r="M1417" s="323"/>
      <c r="N1417" s="215"/>
      <c r="O1417" s="323"/>
      <c r="P1417" s="215"/>
      <c r="Q1417" s="207"/>
      <c r="R1417" s="323"/>
      <c r="S1417" s="323"/>
      <c r="T1417" s="664"/>
      <c r="U1417" s="215"/>
      <c r="V1417" s="215"/>
    </row>
    <row r="1418" ht="15.0" customHeight="1">
      <c r="A1418" s="207"/>
      <c r="B1418" s="215"/>
      <c r="C1418" s="215"/>
      <c r="D1418" s="215"/>
      <c r="E1418" s="215"/>
      <c r="F1418" s="215"/>
      <c r="G1418" s="215"/>
      <c r="H1418" s="215"/>
      <c r="I1418" s="207"/>
      <c r="J1418" s="215"/>
      <c r="K1418" s="207"/>
      <c r="L1418" s="215"/>
      <c r="M1418" s="323"/>
      <c r="N1418" s="215"/>
      <c r="O1418" s="323"/>
      <c r="P1418" s="215"/>
      <c r="Q1418" s="207"/>
      <c r="R1418" s="323"/>
      <c r="S1418" s="323"/>
      <c r="T1418" s="664"/>
      <c r="U1418" s="215"/>
      <c r="V1418" s="215"/>
    </row>
    <row r="1419" ht="15.0" customHeight="1">
      <c r="A1419" s="207"/>
      <c r="B1419" s="215"/>
      <c r="C1419" s="215"/>
      <c r="D1419" s="215"/>
      <c r="E1419" s="215"/>
      <c r="F1419" s="215"/>
      <c r="G1419" s="215"/>
      <c r="H1419" s="215"/>
      <c r="I1419" s="207"/>
      <c r="J1419" s="215"/>
      <c r="K1419" s="207"/>
      <c r="L1419" s="215"/>
      <c r="M1419" s="323"/>
      <c r="N1419" s="215"/>
      <c r="O1419" s="323"/>
      <c r="P1419" s="215"/>
      <c r="Q1419" s="207"/>
      <c r="R1419" s="323"/>
      <c r="S1419" s="323"/>
      <c r="T1419" s="664"/>
      <c r="U1419" s="215"/>
      <c r="V1419" s="215"/>
    </row>
    <row r="1420" ht="15.0" customHeight="1">
      <c r="A1420" s="207"/>
      <c r="B1420" s="215"/>
      <c r="C1420" s="215"/>
      <c r="D1420" s="215"/>
      <c r="E1420" s="215"/>
      <c r="F1420" s="215"/>
      <c r="G1420" s="215"/>
      <c r="H1420" s="215"/>
      <c r="I1420" s="207"/>
      <c r="J1420" s="215"/>
      <c r="K1420" s="207"/>
      <c r="L1420" s="215"/>
      <c r="M1420" s="323"/>
      <c r="N1420" s="215"/>
      <c r="O1420" s="323"/>
      <c r="P1420" s="215"/>
      <c r="Q1420" s="207"/>
      <c r="R1420" s="323"/>
      <c r="S1420" s="323"/>
      <c r="T1420" s="664"/>
      <c r="U1420" s="215"/>
      <c r="V1420" s="215"/>
    </row>
    <row r="1421" ht="15.0" customHeight="1">
      <c r="A1421" s="207"/>
      <c r="B1421" s="215"/>
      <c r="C1421" s="215"/>
      <c r="D1421" s="215"/>
      <c r="E1421" s="215"/>
      <c r="F1421" s="215"/>
      <c r="G1421" s="215"/>
      <c r="H1421" s="215"/>
      <c r="I1421" s="207"/>
      <c r="J1421" s="215"/>
      <c r="K1421" s="207"/>
      <c r="L1421" s="215"/>
      <c r="M1421" s="323"/>
      <c r="N1421" s="215"/>
      <c r="O1421" s="323"/>
      <c r="P1421" s="215"/>
      <c r="Q1421" s="207"/>
      <c r="R1421" s="323"/>
      <c r="S1421" s="323"/>
      <c r="T1421" s="664"/>
      <c r="U1421" s="215"/>
      <c r="V1421" s="215"/>
    </row>
    <row r="1422" ht="15.0" customHeight="1">
      <c r="A1422" s="207"/>
      <c r="B1422" s="215"/>
      <c r="C1422" s="215"/>
      <c r="D1422" s="215"/>
      <c r="E1422" s="215"/>
      <c r="F1422" s="215"/>
      <c r="G1422" s="215"/>
      <c r="H1422" s="215"/>
      <c r="I1422" s="207"/>
      <c r="J1422" s="215"/>
      <c r="K1422" s="207"/>
      <c r="L1422" s="215"/>
      <c r="M1422" s="323"/>
      <c r="N1422" s="215"/>
      <c r="O1422" s="323"/>
      <c r="P1422" s="215"/>
      <c r="Q1422" s="207"/>
      <c r="R1422" s="323"/>
      <c r="S1422" s="323"/>
      <c r="T1422" s="664"/>
      <c r="U1422" s="215"/>
      <c r="V1422" s="215"/>
    </row>
    <row r="1423" ht="15.0" customHeight="1">
      <c r="A1423" s="207"/>
      <c r="B1423" s="215"/>
      <c r="C1423" s="215"/>
      <c r="D1423" s="215"/>
      <c r="E1423" s="215"/>
      <c r="F1423" s="215"/>
      <c r="G1423" s="215"/>
      <c r="H1423" s="215"/>
      <c r="I1423" s="207"/>
      <c r="J1423" s="215"/>
      <c r="K1423" s="207"/>
      <c r="L1423" s="215"/>
      <c r="M1423" s="323"/>
      <c r="N1423" s="215"/>
      <c r="O1423" s="323"/>
      <c r="P1423" s="215"/>
      <c r="Q1423" s="207"/>
      <c r="R1423" s="323"/>
      <c r="S1423" s="323"/>
      <c r="T1423" s="664"/>
      <c r="U1423" s="215"/>
      <c r="V1423" s="215"/>
    </row>
    <row r="1424" ht="15.0" customHeight="1">
      <c r="A1424" s="207"/>
      <c r="B1424" s="215"/>
      <c r="C1424" s="215"/>
      <c r="D1424" s="215"/>
      <c r="E1424" s="215"/>
      <c r="F1424" s="215"/>
      <c r="G1424" s="215"/>
      <c r="H1424" s="215"/>
      <c r="I1424" s="207"/>
      <c r="J1424" s="215"/>
      <c r="K1424" s="207"/>
      <c r="L1424" s="215"/>
      <c r="M1424" s="323"/>
      <c r="N1424" s="215"/>
      <c r="O1424" s="323"/>
      <c r="P1424" s="215"/>
      <c r="Q1424" s="207"/>
      <c r="R1424" s="323"/>
      <c r="S1424" s="323"/>
      <c r="T1424" s="664"/>
      <c r="U1424" s="215"/>
      <c r="V1424" s="215"/>
    </row>
    <row r="1425" ht="15.0" customHeight="1">
      <c r="A1425" s="207"/>
      <c r="B1425" s="215"/>
      <c r="C1425" s="215"/>
      <c r="D1425" s="215"/>
      <c r="E1425" s="215"/>
      <c r="F1425" s="215"/>
      <c r="G1425" s="215"/>
      <c r="H1425" s="215"/>
      <c r="I1425" s="207"/>
      <c r="J1425" s="215"/>
      <c r="K1425" s="207"/>
      <c r="L1425" s="215"/>
      <c r="M1425" s="323"/>
      <c r="N1425" s="215"/>
      <c r="O1425" s="323"/>
      <c r="P1425" s="215"/>
      <c r="Q1425" s="207"/>
      <c r="R1425" s="323"/>
      <c r="S1425" s="323"/>
      <c r="T1425" s="664"/>
      <c r="U1425" s="215"/>
      <c r="V1425" s="215"/>
    </row>
    <row r="1426" ht="15.0" customHeight="1">
      <c r="A1426" s="207"/>
      <c r="B1426" s="215"/>
      <c r="C1426" s="215"/>
      <c r="D1426" s="215"/>
      <c r="E1426" s="215"/>
      <c r="F1426" s="215"/>
      <c r="G1426" s="215"/>
      <c r="H1426" s="215"/>
      <c r="I1426" s="207"/>
      <c r="J1426" s="215"/>
      <c r="K1426" s="207"/>
      <c r="L1426" s="215"/>
      <c r="M1426" s="323"/>
      <c r="N1426" s="215"/>
      <c r="O1426" s="323"/>
      <c r="P1426" s="215"/>
      <c r="Q1426" s="207"/>
      <c r="R1426" s="323"/>
      <c r="S1426" s="323"/>
      <c r="T1426" s="664"/>
      <c r="U1426" s="215"/>
      <c r="V1426" s="215"/>
    </row>
    <row r="1427" ht="15.0" customHeight="1">
      <c r="A1427" s="207"/>
      <c r="B1427" s="215"/>
      <c r="C1427" s="215"/>
      <c r="D1427" s="215"/>
      <c r="E1427" s="215"/>
      <c r="F1427" s="215"/>
      <c r="G1427" s="215"/>
      <c r="H1427" s="215"/>
      <c r="I1427" s="207"/>
      <c r="J1427" s="215"/>
      <c r="K1427" s="207"/>
      <c r="L1427" s="215"/>
      <c r="M1427" s="323"/>
      <c r="N1427" s="215"/>
      <c r="O1427" s="323"/>
      <c r="P1427" s="215"/>
      <c r="Q1427" s="207"/>
      <c r="R1427" s="323"/>
      <c r="S1427" s="323"/>
      <c r="T1427" s="664"/>
      <c r="U1427" s="215"/>
      <c r="V1427" s="215"/>
    </row>
    <row r="1428" ht="15.0" customHeight="1">
      <c r="A1428" s="207"/>
      <c r="B1428" s="215"/>
      <c r="C1428" s="215"/>
      <c r="D1428" s="215"/>
      <c r="E1428" s="215"/>
      <c r="F1428" s="215"/>
      <c r="G1428" s="215"/>
      <c r="H1428" s="215"/>
      <c r="I1428" s="207"/>
      <c r="J1428" s="215"/>
      <c r="K1428" s="207"/>
      <c r="L1428" s="215"/>
      <c r="M1428" s="323"/>
      <c r="N1428" s="215"/>
      <c r="O1428" s="323"/>
      <c r="P1428" s="215"/>
      <c r="Q1428" s="207"/>
      <c r="R1428" s="323"/>
      <c r="S1428" s="323"/>
      <c r="T1428" s="664"/>
      <c r="U1428" s="215"/>
      <c r="V1428" s="215"/>
    </row>
    <row r="1429" ht="15.0" customHeight="1">
      <c r="A1429" s="207"/>
      <c r="B1429" s="215"/>
      <c r="C1429" s="215"/>
      <c r="D1429" s="215"/>
      <c r="E1429" s="215"/>
      <c r="F1429" s="215"/>
      <c r="G1429" s="215"/>
      <c r="H1429" s="215"/>
      <c r="I1429" s="207"/>
      <c r="J1429" s="215"/>
      <c r="K1429" s="207"/>
      <c r="L1429" s="215"/>
      <c r="M1429" s="323"/>
      <c r="N1429" s="215"/>
      <c r="O1429" s="323"/>
      <c r="P1429" s="215"/>
      <c r="Q1429" s="207"/>
      <c r="R1429" s="323"/>
      <c r="S1429" s="323"/>
      <c r="T1429" s="664"/>
      <c r="U1429" s="215"/>
      <c r="V1429" s="215"/>
    </row>
    <row r="1430" ht="15.0" customHeight="1">
      <c r="A1430" s="207"/>
      <c r="B1430" s="215"/>
      <c r="C1430" s="215"/>
      <c r="D1430" s="215"/>
      <c r="E1430" s="215"/>
      <c r="F1430" s="215"/>
      <c r="G1430" s="215"/>
      <c r="H1430" s="215"/>
      <c r="I1430" s="207"/>
      <c r="J1430" s="215"/>
      <c r="K1430" s="207"/>
      <c r="L1430" s="215"/>
      <c r="M1430" s="323"/>
      <c r="N1430" s="215"/>
      <c r="O1430" s="323"/>
      <c r="P1430" s="215"/>
      <c r="Q1430" s="207"/>
      <c r="R1430" s="323"/>
      <c r="S1430" s="323"/>
      <c r="T1430" s="664"/>
      <c r="U1430" s="215"/>
      <c r="V1430" s="215"/>
    </row>
    <row r="1431" ht="15.0" customHeight="1">
      <c r="A1431" s="207"/>
      <c r="B1431" s="215"/>
      <c r="C1431" s="215"/>
      <c r="D1431" s="215"/>
      <c r="E1431" s="215"/>
      <c r="F1431" s="215"/>
      <c r="G1431" s="215"/>
      <c r="H1431" s="215"/>
      <c r="I1431" s="207"/>
      <c r="J1431" s="215"/>
      <c r="K1431" s="207"/>
      <c r="L1431" s="215"/>
      <c r="M1431" s="323"/>
      <c r="N1431" s="215"/>
      <c r="O1431" s="323"/>
      <c r="P1431" s="215"/>
      <c r="Q1431" s="207"/>
      <c r="R1431" s="323"/>
      <c r="S1431" s="323"/>
      <c r="T1431" s="664"/>
      <c r="U1431" s="215"/>
      <c r="V1431" s="215"/>
    </row>
    <row r="1432" ht="15.0" customHeight="1">
      <c r="A1432" s="207"/>
      <c r="B1432" s="215"/>
      <c r="C1432" s="215"/>
      <c r="D1432" s="215"/>
      <c r="E1432" s="215"/>
      <c r="F1432" s="215"/>
      <c r="G1432" s="215"/>
      <c r="H1432" s="215"/>
      <c r="I1432" s="207"/>
      <c r="J1432" s="215"/>
      <c r="K1432" s="207"/>
      <c r="L1432" s="215"/>
      <c r="M1432" s="323"/>
      <c r="N1432" s="215"/>
      <c r="O1432" s="323"/>
      <c r="P1432" s="215"/>
      <c r="Q1432" s="207"/>
      <c r="R1432" s="323"/>
      <c r="S1432" s="323"/>
      <c r="T1432" s="664"/>
      <c r="U1432" s="215"/>
      <c r="V1432" s="215"/>
    </row>
    <row r="1433" ht="15.0" customHeight="1">
      <c r="A1433" s="207"/>
      <c r="B1433" s="215"/>
      <c r="C1433" s="215"/>
      <c r="D1433" s="215"/>
      <c r="E1433" s="215"/>
      <c r="F1433" s="215"/>
      <c r="G1433" s="215"/>
      <c r="H1433" s="215"/>
      <c r="I1433" s="207"/>
      <c r="J1433" s="215"/>
      <c r="K1433" s="207"/>
      <c r="L1433" s="215"/>
      <c r="M1433" s="323"/>
      <c r="N1433" s="215"/>
      <c r="O1433" s="323"/>
      <c r="P1433" s="215"/>
      <c r="Q1433" s="207"/>
      <c r="R1433" s="323"/>
      <c r="S1433" s="323"/>
      <c r="T1433" s="664"/>
      <c r="U1433" s="215"/>
      <c r="V1433" s="215"/>
    </row>
    <row r="1434" ht="15.0" customHeight="1">
      <c r="A1434" s="207"/>
      <c r="B1434" s="215"/>
      <c r="C1434" s="215"/>
      <c r="D1434" s="215"/>
      <c r="E1434" s="215"/>
      <c r="F1434" s="215"/>
      <c r="G1434" s="215"/>
      <c r="H1434" s="215"/>
      <c r="I1434" s="207"/>
      <c r="J1434" s="215"/>
      <c r="K1434" s="207"/>
      <c r="L1434" s="215"/>
      <c r="M1434" s="323"/>
      <c r="N1434" s="215"/>
      <c r="O1434" s="323"/>
      <c r="P1434" s="215"/>
      <c r="Q1434" s="207"/>
      <c r="R1434" s="323"/>
      <c r="S1434" s="323"/>
      <c r="T1434" s="664"/>
      <c r="U1434" s="215"/>
      <c r="V1434" s="215"/>
    </row>
    <row r="1435" ht="15.0" customHeight="1">
      <c r="A1435" s="207"/>
      <c r="B1435" s="215"/>
      <c r="C1435" s="215"/>
      <c r="D1435" s="215"/>
      <c r="E1435" s="215"/>
      <c r="F1435" s="215"/>
      <c r="G1435" s="215"/>
      <c r="H1435" s="215"/>
      <c r="I1435" s="207"/>
      <c r="J1435" s="215"/>
      <c r="K1435" s="207"/>
      <c r="L1435" s="215"/>
      <c r="M1435" s="323"/>
      <c r="N1435" s="215"/>
      <c r="O1435" s="323"/>
      <c r="P1435" s="215"/>
      <c r="Q1435" s="207"/>
      <c r="R1435" s="323"/>
      <c r="S1435" s="323"/>
      <c r="T1435" s="664"/>
      <c r="U1435" s="215"/>
      <c r="V1435" s="215"/>
    </row>
    <row r="1436" ht="15.0" customHeight="1">
      <c r="A1436" s="207"/>
      <c r="B1436" s="215"/>
      <c r="C1436" s="215"/>
      <c r="D1436" s="215"/>
      <c r="E1436" s="215"/>
      <c r="F1436" s="215"/>
      <c r="G1436" s="215"/>
      <c r="H1436" s="215"/>
      <c r="I1436" s="207"/>
      <c r="J1436" s="215"/>
      <c r="K1436" s="207"/>
      <c r="L1436" s="215"/>
      <c r="M1436" s="323"/>
      <c r="N1436" s="215"/>
      <c r="O1436" s="323"/>
      <c r="P1436" s="215"/>
      <c r="Q1436" s="207"/>
      <c r="R1436" s="323"/>
      <c r="S1436" s="323"/>
      <c r="T1436" s="664"/>
      <c r="U1436" s="215"/>
      <c r="V1436" s="215"/>
    </row>
    <row r="1437" ht="15.0" customHeight="1">
      <c r="A1437" s="207"/>
      <c r="B1437" s="215"/>
      <c r="C1437" s="215"/>
      <c r="D1437" s="215"/>
      <c r="E1437" s="215"/>
      <c r="F1437" s="215"/>
      <c r="G1437" s="215"/>
      <c r="H1437" s="215"/>
      <c r="I1437" s="207"/>
      <c r="J1437" s="215"/>
      <c r="K1437" s="207"/>
      <c r="L1437" s="215"/>
      <c r="M1437" s="323"/>
      <c r="N1437" s="215"/>
      <c r="O1437" s="323"/>
      <c r="P1437" s="215"/>
      <c r="Q1437" s="207"/>
      <c r="R1437" s="323"/>
      <c r="S1437" s="323"/>
      <c r="T1437" s="664"/>
      <c r="U1437" s="215"/>
      <c r="V1437" s="215"/>
    </row>
    <row r="1438" ht="15.0" customHeight="1">
      <c r="A1438" s="207"/>
      <c r="B1438" s="215"/>
      <c r="C1438" s="215"/>
      <c r="D1438" s="215"/>
      <c r="E1438" s="215"/>
      <c r="F1438" s="215"/>
      <c r="G1438" s="215"/>
      <c r="H1438" s="215"/>
      <c r="I1438" s="207"/>
      <c r="J1438" s="215"/>
      <c r="K1438" s="207"/>
      <c r="L1438" s="215"/>
      <c r="M1438" s="323"/>
      <c r="N1438" s="215"/>
      <c r="O1438" s="323"/>
      <c r="P1438" s="215"/>
      <c r="Q1438" s="207"/>
      <c r="R1438" s="323"/>
      <c r="S1438" s="323"/>
      <c r="T1438" s="664"/>
      <c r="U1438" s="215"/>
      <c r="V1438" s="215"/>
    </row>
    <row r="1439" ht="15.0" customHeight="1">
      <c r="A1439" s="207"/>
      <c r="B1439" s="215"/>
      <c r="C1439" s="215"/>
      <c r="D1439" s="215"/>
      <c r="E1439" s="215"/>
      <c r="F1439" s="215"/>
      <c r="G1439" s="215"/>
      <c r="H1439" s="215"/>
      <c r="I1439" s="207"/>
      <c r="J1439" s="215"/>
      <c r="K1439" s="207"/>
      <c r="L1439" s="215"/>
      <c r="M1439" s="323"/>
      <c r="N1439" s="215"/>
      <c r="O1439" s="323"/>
      <c r="P1439" s="215"/>
      <c r="Q1439" s="207"/>
      <c r="R1439" s="323"/>
      <c r="S1439" s="323"/>
      <c r="T1439" s="664"/>
      <c r="U1439" s="215"/>
      <c r="V1439" s="215"/>
    </row>
    <row r="1440" ht="15.0" customHeight="1">
      <c r="A1440" s="207"/>
      <c r="B1440" s="215"/>
      <c r="C1440" s="215"/>
      <c r="D1440" s="215"/>
      <c r="E1440" s="215"/>
      <c r="F1440" s="215"/>
      <c r="G1440" s="215"/>
      <c r="H1440" s="215"/>
      <c r="I1440" s="207"/>
      <c r="J1440" s="215"/>
      <c r="K1440" s="207"/>
      <c r="L1440" s="215"/>
      <c r="M1440" s="323"/>
      <c r="N1440" s="215"/>
      <c r="O1440" s="323"/>
      <c r="P1440" s="215"/>
      <c r="Q1440" s="207"/>
      <c r="R1440" s="323"/>
      <c r="S1440" s="323"/>
      <c r="T1440" s="664"/>
      <c r="U1440" s="215"/>
      <c r="V1440" s="215"/>
    </row>
    <row r="1441" ht="15.0" customHeight="1">
      <c r="A1441" s="207"/>
      <c r="B1441" s="215"/>
      <c r="C1441" s="215"/>
      <c r="D1441" s="215"/>
      <c r="E1441" s="215"/>
      <c r="F1441" s="215"/>
      <c r="G1441" s="215"/>
      <c r="H1441" s="215"/>
      <c r="I1441" s="207"/>
      <c r="J1441" s="215"/>
      <c r="K1441" s="207"/>
      <c r="L1441" s="215"/>
      <c r="M1441" s="323"/>
      <c r="N1441" s="215"/>
      <c r="O1441" s="323"/>
      <c r="P1441" s="215"/>
      <c r="Q1441" s="207"/>
      <c r="R1441" s="323"/>
      <c r="S1441" s="323"/>
      <c r="T1441" s="664"/>
      <c r="U1441" s="215"/>
      <c r="V1441" s="215"/>
    </row>
    <row r="1442" ht="15.0" customHeight="1">
      <c r="A1442" s="207"/>
      <c r="B1442" s="215"/>
      <c r="C1442" s="215"/>
      <c r="D1442" s="215"/>
      <c r="E1442" s="215"/>
      <c r="F1442" s="215"/>
      <c r="G1442" s="215"/>
      <c r="H1442" s="215"/>
      <c r="I1442" s="207"/>
      <c r="J1442" s="215"/>
      <c r="K1442" s="207"/>
      <c r="L1442" s="215"/>
      <c r="M1442" s="323"/>
      <c r="N1442" s="215"/>
      <c r="O1442" s="323"/>
      <c r="P1442" s="215"/>
      <c r="Q1442" s="207"/>
      <c r="R1442" s="323"/>
      <c r="S1442" s="323"/>
      <c r="T1442" s="664"/>
      <c r="U1442" s="215"/>
      <c r="V1442" s="215"/>
    </row>
    <row r="1443" ht="15.0" customHeight="1">
      <c r="A1443" s="207"/>
      <c r="B1443" s="215"/>
      <c r="C1443" s="215"/>
      <c r="D1443" s="215"/>
      <c r="E1443" s="215"/>
      <c r="F1443" s="215"/>
      <c r="G1443" s="215"/>
      <c r="H1443" s="215"/>
      <c r="I1443" s="207"/>
      <c r="J1443" s="215"/>
      <c r="K1443" s="207"/>
      <c r="L1443" s="215"/>
      <c r="M1443" s="323"/>
      <c r="N1443" s="215"/>
      <c r="O1443" s="323"/>
      <c r="P1443" s="215"/>
      <c r="Q1443" s="207"/>
      <c r="R1443" s="323"/>
      <c r="S1443" s="323"/>
      <c r="T1443" s="664"/>
      <c r="U1443" s="215"/>
      <c r="V1443" s="215"/>
    </row>
    <row r="1444" ht="15.0" customHeight="1">
      <c r="A1444" s="207"/>
      <c r="B1444" s="215"/>
      <c r="C1444" s="215"/>
      <c r="D1444" s="215"/>
      <c r="E1444" s="215"/>
      <c r="F1444" s="215"/>
      <c r="G1444" s="215"/>
      <c r="H1444" s="215"/>
      <c r="I1444" s="207"/>
      <c r="J1444" s="215"/>
      <c r="K1444" s="207"/>
      <c r="L1444" s="215"/>
      <c r="M1444" s="323"/>
      <c r="N1444" s="215"/>
      <c r="O1444" s="323"/>
      <c r="P1444" s="215"/>
      <c r="Q1444" s="207"/>
      <c r="R1444" s="323"/>
      <c r="S1444" s="323"/>
      <c r="T1444" s="664"/>
      <c r="U1444" s="215"/>
      <c r="V1444" s="215"/>
    </row>
    <row r="1445" ht="15.0" customHeight="1">
      <c r="A1445" s="207"/>
      <c r="B1445" s="215"/>
      <c r="C1445" s="215"/>
      <c r="D1445" s="215"/>
      <c r="E1445" s="215"/>
      <c r="F1445" s="215"/>
      <c r="G1445" s="215"/>
      <c r="H1445" s="215"/>
      <c r="I1445" s="207"/>
      <c r="J1445" s="215"/>
      <c r="K1445" s="207"/>
      <c r="L1445" s="215"/>
      <c r="M1445" s="323"/>
      <c r="N1445" s="215"/>
      <c r="O1445" s="323"/>
      <c r="P1445" s="215"/>
      <c r="Q1445" s="207"/>
      <c r="R1445" s="323"/>
      <c r="S1445" s="323"/>
      <c r="T1445" s="664"/>
      <c r="U1445" s="215"/>
      <c r="V1445" s="215"/>
    </row>
    <row r="1446" ht="15.0" customHeight="1">
      <c r="A1446" s="207"/>
      <c r="B1446" s="215"/>
      <c r="C1446" s="215"/>
      <c r="D1446" s="215"/>
      <c r="E1446" s="215"/>
      <c r="F1446" s="215"/>
      <c r="G1446" s="215"/>
      <c r="H1446" s="215"/>
      <c r="I1446" s="207"/>
      <c r="J1446" s="215"/>
      <c r="K1446" s="207"/>
      <c r="L1446" s="215"/>
      <c r="M1446" s="323"/>
      <c r="N1446" s="215"/>
      <c r="O1446" s="323"/>
      <c r="P1446" s="215"/>
      <c r="Q1446" s="207"/>
      <c r="R1446" s="323"/>
      <c r="S1446" s="323"/>
      <c r="T1446" s="664"/>
      <c r="U1446" s="215"/>
      <c r="V1446" s="215"/>
    </row>
    <row r="1447" ht="15.0" customHeight="1">
      <c r="A1447" s="207"/>
      <c r="B1447" s="215"/>
      <c r="C1447" s="215"/>
      <c r="D1447" s="215"/>
      <c r="E1447" s="215"/>
      <c r="F1447" s="215"/>
      <c r="G1447" s="215"/>
      <c r="H1447" s="215"/>
      <c r="I1447" s="207"/>
      <c r="J1447" s="215"/>
      <c r="K1447" s="207"/>
      <c r="L1447" s="215"/>
      <c r="M1447" s="323"/>
      <c r="N1447" s="215"/>
      <c r="O1447" s="323"/>
      <c r="P1447" s="215"/>
      <c r="Q1447" s="207"/>
      <c r="R1447" s="323"/>
      <c r="S1447" s="323"/>
      <c r="T1447" s="664"/>
      <c r="U1447" s="215"/>
      <c r="V1447" s="215"/>
    </row>
    <row r="1448" ht="15.0" customHeight="1">
      <c r="A1448" s="207"/>
      <c r="B1448" s="215"/>
      <c r="C1448" s="215"/>
      <c r="D1448" s="215"/>
      <c r="E1448" s="215"/>
      <c r="F1448" s="215"/>
      <c r="G1448" s="215"/>
      <c r="H1448" s="215"/>
      <c r="I1448" s="207"/>
      <c r="J1448" s="215"/>
      <c r="K1448" s="207"/>
      <c r="L1448" s="215"/>
      <c r="M1448" s="323"/>
      <c r="N1448" s="215"/>
      <c r="O1448" s="323"/>
      <c r="P1448" s="215"/>
      <c r="Q1448" s="207"/>
      <c r="R1448" s="323"/>
      <c r="S1448" s="323"/>
      <c r="T1448" s="664"/>
      <c r="U1448" s="215"/>
      <c r="V1448" s="215"/>
    </row>
    <row r="1449" ht="15.0" customHeight="1">
      <c r="A1449" s="207"/>
      <c r="B1449" s="215"/>
      <c r="C1449" s="215"/>
      <c r="D1449" s="215"/>
      <c r="E1449" s="215"/>
      <c r="F1449" s="215"/>
      <c r="G1449" s="215"/>
      <c r="H1449" s="215"/>
      <c r="I1449" s="207"/>
      <c r="J1449" s="215"/>
      <c r="K1449" s="207"/>
      <c r="L1449" s="215"/>
      <c r="M1449" s="323"/>
      <c r="N1449" s="215"/>
      <c r="O1449" s="323"/>
      <c r="P1449" s="215"/>
      <c r="Q1449" s="207"/>
      <c r="R1449" s="323"/>
      <c r="S1449" s="323"/>
      <c r="T1449" s="664"/>
      <c r="U1449" s="215"/>
      <c r="V1449" s="215"/>
    </row>
    <row r="1450" ht="15.0" customHeight="1">
      <c r="A1450" s="207"/>
      <c r="B1450" s="215"/>
      <c r="C1450" s="215"/>
      <c r="D1450" s="215"/>
      <c r="E1450" s="215"/>
      <c r="F1450" s="215"/>
      <c r="G1450" s="215"/>
      <c r="H1450" s="215"/>
      <c r="I1450" s="207"/>
      <c r="J1450" s="215"/>
      <c r="K1450" s="207"/>
      <c r="L1450" s="215"/>
      <c r="M1450" s="323"/>
      <c r="N1450" s="215"/>
      <c r="O1450" s="323"/>
      <c r="P1450" s="215"/>
      <c r="Q1450" s="207"/>
      <c r="R1450" s="323"/>
      <c r="S1450" s="323"/>
      <c r="T1450" s="664"/>
      <c r="U1450" s="215"/>
      <c r="V1450" s="215"/>
    </row>
    <row r="1451" ht="15.0" customHeight="1">
      <c r="A1451" s="207"/>
      <c r="B1451" s="215"/>
      <c r="C1451" s="215"/>
      <c r="D1451" s="215"/>
      <c r="E1451" s="215"/>
      <c r="F1451" s="215"/>
      <c r="G1451" s="215"/>
      <c r="H1451" s="215"/>
      <c r="I1451" s="207"/>
      <c r="J1451" s="215"/>
      <c r="K1451" s="207"/>
      <c r="L1451" s="215"/>
      <c r="M1451" s="323"/>
      <c r="N1451" s="215"/>
      <c r="O1451" s="323"/>
      <c r="P1451" s="215"/>
      <c r="Q1451" s="207"/>
      <c r="R1451" s="323"/>
      <c r="S1451" s="323"/>
      <c r="T1451" s="664"/>
      <c r="U1451" s="215"/>
      <c r="V1451" s="215"/>
    </row>
    <row r="1452" ht="15.0" customHeight="1">
      <c r="A1452" s="207"/>
      <c r="B1452" s="215"/>
      <c r="C1452" s="215"/>
      <c r="D1452" s="215"/>
      <c r="E1452" s="215"/>
      <c r="F1452" s="215"/>
      <c r="G1452" s="215"/>
      <c r="H1452" s="215"/>
      <c r="I1452" s="207"/>
      <c r="J1452" s="215"/>
      <c r="K1452" s="207"/>
      <c r="L1452" s="215"/>
      <c r="M1452" s="323"/>
      <c r="N1452" s="215"/>
      <c r="O1452" s="323"/>
      <c r="P1452" s="215"/>
      <c r="Q1452" s="207"/>
      <c r="R1452" s="323"/>
      <c r="S1452" s="323"/>
      <c r="T1452" s="664"/>
      <c r="U1452" s="215"/>
      <c r="V1452" s="215"/>
    </row>
    <row r="1453" ht="15.0" customHeight="1">
      <c r="A1453" s="207"/>
      <c r="B1453" s="215"/>
      <c r="C1453" s="215"/>
      <c r="D1453" s="215"/>
      <c r="E1453" s="215"/>
      <c r="F1453" s="215"/>
      <c r="G1453" s="215"/>
      <c r="H1453" s="215"/>
      <c r="I1453" s="207"/>
      <c r="J1453" s="215"/>
      <c r="K1453" s="207"/>
      <c r="L1453" s="215"/>
      <c r="M1453" s="323"/>
      <c r="N1453" s="215"/>
      <c r="O1453" s="323"/>
      <c r="P1453" s="215"/>
      <c r="Q1453" s="207"/>
      <c r="R1453" s="323"/>
      <c r="S1453" s="323"/>
      <c r="T1453" s="664"/>
      <c r="U1453" s="215"/>
      <c r="V1453" s="215"/>
    </row>
    <row r="1454" ht="15.0" customHeight="1">
      <c r="A1454" s="207"/>
      <c r="B1454" s="215"/>
      <c r="C1454" s="215"/>
      <c r="D1454" s="215"/>
      <c r="E1454" s="215"/>
      <c r="F1454" s="215"/>
      <c r="G1454" s="215"/>
      <c r="H1454" s="215"/>
      <c r="I1454" s="207"/>
      <c r="J1454" s="215"/>
      <c r="K1454" s="207"/>
      <c r="L1454" s="215"/>
      <c r="M1454" s="323"/>
      <c r="N1454" s="215"/>
      <c r="O1454" s="323"/>
      <c r="P1454" s="215"/>
      <c r="Q1454" s="207"/>
      <c r="R1454" s="323"/>
      <c r="S1454" s="323"/>
      <c r="T1454" s="664"/>
      <c r="U1454" s="215"/>
      <c r="V1454" s="215"/>
    </row>
    <row r="1455" ht="15.0" customHeight="1">
      <c r="A1455" s="207"/>
      <c r="B1455" s="215"/>
      <c r="C1455" s="215"/>
      <c r="D1455" s="215"/>
      <c r="E1455" s="215"/>
      <c r="F1455" s="215"/>
      <c r="G1455" s="215"/>
      <c r="H1455" s="215"/>
      <c r="I1455" s="207"/>
      <c r="J1455" s="215"/>
      <c r="K1455" s="207"/>
      <c r="L1455" s="215"/>
      <c r="M1455" s="323"/>
      <c r="N1455" s="215"/>
      <c r="O1455" s="323"/>
      <c r="P1455" s="215"/>
      <c r="Q1455" s="207"/>
      <c r="R1455" s="323"/>
      <c r="S1455" s="323"/>
      <c r="T1455" s="664"/>
      <c r="U1455" s="215"/>
      <c r="V1455" s="215"/>
    </row>
    <row r="1456" ht="15.0" customHeight="1">
      <c r="A1456" s="207"/>
      <c r="B1456" s="215"/>
      <c r="C1456" s="215"/>
      <c r="D1456" s="215"/>
      <c r="E1456" s="215"/>
      <c r="F1456" s="215"/>
      <c r="G1456" s="215"/>
      <c r="H1456" s="215"/>
      <c r="I1456" s="207"/>
      <c r="J1456" s="215"/>
      <c r="K1456" s="207"/>
      <c r="L1456" s="215"/>
      <c r="M1456" s="323"/>
      <c r="N1456" s="215"/>
      <c r="O1456" s="323"/>
      <c r="P1456" s="215"/>
      <c r="Q1456" s="207"/>
      <c r="R1456" s="323"/>
      <c r="S1456" s="323"/>
      <c r="T1456" s="664"/>
      <c r="U1456" s="215"/>
      <c r="V1456" s="215"/>
    </row>
    <row r="1457" ht="15.0" customHeight="1">
      <c r="A1457" s="207"/>
      <c r="B1457" s="215"/>
      <c r="C1457" s="215"/>
      <c r="D1457" s="215"/>
      <c r="E1457" s="215"/>
      <c r="F1457" s="215"/>
      <c r="G1457" s="215"/>
      <c r="H1457" s="215"/>
      <c r="I1457" s="207"/>
      <c r="J1457" s="215"/>
      <c r="K1457" s="207"/>
      <c r="L1457" s="215"/>
      <c r="M1457" s="323"/>
      <c r="N1457" s="215"/>
      <c r="O1457" s="323"/>
      <c r="P1457" s="215"/>
      <c r="Q1457" s="207"/>
      <c r="R1457" s="323"/>
      <c r="S1457" s="323"/>
      <c r="T1457" s="664"/>
      <c r="U1457" s="215"/>
      <c r="V1457" s="215"/>
    </row>
    <row r="1458" ht="15.0" customHeight="1">
      <c r="A1458" s="207"/>
      <c r="B1458" s="215"/>
      <c r="C1458" s="215"/>
      <c r="D1458" s="215"/>
      <c r="E1458" s="215"/>
      <c r="F1458" s="215"/>
      <c r="G1458" s="215"/>
      <c r="H1458" s="215"/>
      <c r="I1458" s="207"/>
      <c r="J1458" s="215"/>
      <c r="K1458" s="207"/>
      <c r="L1458" s="215"/>
      <c r="M1458" s="323"/>
      <c r="N1458" s="215"/>
      <c r="O1458" s="323"/>
      <c r="P1458" s="215"/>
      <c r="Q1458" s="207"/>
      <c r="R1458" s="323"/>
      <c r="S1458" s="323"/>
      <c r="T1458" s="664"/>
      <c r="U1458" s="215"/>
      <c r="V1458" s="215"/>
    </row>
    <row r="1459" ht="15.0" customHeight="1">
      <c r="A1459" s="207"/>
      <c r="B1459" s="215"/>
      <c r="C1459" s="215"/>
      <c r="D1459" s="215"/>
      <c r="E1459" s="215"/>
      <c r="F1459" s="215"/>
      <c r="G1459" s="215"/>
      <c r="H1459" s="215"/>
      <c r="I1459" s="207"/>
      <c r="J1459" s="215"/>
      <c r="K1459" s="207"/>
      <c r="L1459" s="215"/>
      <c r="M1459" s="323"/>
      <c r="N1459" s="215"/>
      <c r="O1459" s="323"/>
      <c r="P1459" s="215"/>
      <c r="Q1459" s="207"/>
      <c r="R1459" s="323"/>
      <c r="S1459" s="323"/>
      <c r="T1459" s="664"/>
      <c r="U1459" s="215"/>
      <c r="V1459" s="215"/>
    </row>
    <row r="1460" ht="15.0" customHeight="1">
      <c r="A1460" s="207"/>
      <c r="B1460" s="215"/>
      <c r="C1460" s="215"/>
      <c r="D1460" s="215"/>
      <c r="E1460" s="215"/>
      <c r="F1460" s="215"/>
      <c r="G1460" s="215"/>
      <c r="H1460" s="215"/>
      <c r="I1460" s="207"/>
      <c r="J1460" s="215"/>
      <c r="K1460" s="207"/>
      <c r="L1460" s="215"/>
      <c r="M1460" s="323"/>
      <c r="N1460" s="215"/>
      <c r="O1460" s="323"/>
      <c r="P1460" s="215"/>
      <c r="Q1460" s="207"/>
      <c r="R1460" s="323"/>
      <c r="S1460" s="323"/>
      <c r="T1460" s="664"/>
      <c r="U1460" s="215"/>
      <c r="V1460" s="215"/>
    </row>
    <row r="1461" ht="15.0" customHeight="1">
      <c r="A1461" s="207"/>
      <c r="B1461" s="215"/>
      <c r="C1461" s="215"/>
      <c r="D1461" s="215"/>
      <c r="E1461" s="215"/>
      <c r="F1461" s="215"/>
      <c r="G1461" s="215"/>
      <c r="H1461" s="215"/>
      <c r="I1461" s="207"/>
      <c r="J1461" s="215"/>
      <c r="K1461" s="207"/>
      <c r="L1461" s="215"/>
      <c r="M1461" s="323"/>
      <c r="N1461" s="215"/>
      <c r="O1461" s="323"/>
      <c r="P1461" s="215"/>
      <c r="Q1461" s="207"/>
      <c r="R1461" s="323"/>
      <c r="S1461" s="323"/>
      <c r="T1461" s="664"/>
      <c r="U1461" s="215"/>
      <c r="V1461" s="215"/>
    </row>
    <row r="1462" ht="15.0" customHeight="1">
      <c r="A1462" s="207"/>
      <c r="B1462" s="215"/>
      <c r="C1462" s="215"/>
      <c r="D1462" s="215"/>
      <c r="E1462" s="215"/>
      <c r="F1462" s="215"/>
      <c r="G1462" s="215"/>
      <c r="H1462" s="215"/>
      <c r="I1462" s="207"/>
      <c r="J1462" s="215"/>
      <c r="K1462" s="207"/>
      <c r="L1462" s="215"/>
      <c r="M1462" s="323"/>
      <c r="N1462" s="215"/>
      <c r="O1462" s="323"/>
      <c r="P1462" s="215"/>
      <c r="Q1462" s="207"/>
      <c r="R1462" s="323"/>
      <c r="S1462" s="323"/>
      <c r="T1462" s="664"/>
      <c r="U1462" s="215"/>
      <c r="V1462" s="215"/>
    </row>
    <row r="1463" ht="15.0" customHeight="1">
      <c r="A1463" s="207"/>
      <c r="B1463" s="215"/>
      <c r="C1463" s="215"/>
      <c r="D1463" s="215"/>
      <c r="E1463" s="215"/>
      <c r="F1463" s="215"/>
      <c r="G1463" s="215"/>
      <c r="H1463" s="215"/>
      <c r="I1463" s="207"/>
      <c r="J1463" s="215"/>
      <c r="K1463" s="207"/>
      <c r="L1463" s="215"/>
      <c r="M1463" s="323"/>
      <c r="N1463" s="215"/>
      <c r="O1463" s="323"/>
      <c r="P1463" s="215"/>
      <c r="Q1463" s="207"/>
      <c r="R1463" s="323"/>
      <c r="S1463" s="323"/>
      <c r="T1463" s="664"/>
      <c r="U1463" s="215"/>
      <c r="V1463" s="215"/>
    </row>
    <row r="1464" ht="15.0" customHeight="1">
      <c r="A1464" s="207"/>
      <c r="B1464" s="215"/>
      <c r="C1464" s="215"/>
      <c r="D1464" s="215"/>
      <c r="E1464" s="215"/>
      <c r="F1464" s="215"/>
      <c r="G1464" s="215"/>
      <c r="H1464" s="215"/>
      <c r="I1464" s="207"/>
      <c r="J1464" s="215"/>
      <c r="K1464" s="207"/>
      <c r="L1464" s="215"/>
      <c r="M1464" s="323"/>
      <c r="N1464" s="215"/>
      <c r="O1464" s="323"/>
      <c r="P1464" s="215"/>
      <c r="Q1464" s="207"/>
      <c r="R1464" s="323"/>
      <c r="S1464" s="323"/>
      <c r="T1464" s="664"/>
      <c r="U1464" s="215"/>
      <c r="V1464" s="215"/>
    </row>
    <row r="1465" ht="15.0" customHeight="1">
      <c r="A1465" s="207"/>
      <c r="B1465" s="215"/>
      <c r="C1465" s="215"/>
      <c r="D1465" s="215"/>
      <c r="E1465" s="215"/>
      <c r="F1465" s="215"/>
      <c r="G1465" s="215"/>
      <c r="H1465" s="215"/>
      <c r="I1465" s="207"/>
      <c r="J1465" s="215"/>
      <c r="K1465" s="207"/>
      <c r="L1465" s="215"/>
      <c r="M1465" s="323"/>
      <c r="N1465" s="215"/>
      <c r="O1465" s="323"/>
      <c r="P1465" s="215"/>
      <c r="Q1465" s="207"/>
      <c r="R1465" s="323"/>
      <c r="S1465" s="323"/>
      <c r="T1465" s="664"/>
      <c r="U1465" s="215"/>
      <c r="V1465" s="215"/>
    </row>
    <row r="1466" ht="15.0" customHeight="1">
      <c r="A1466" s="207"/>
      <c r="B1466" s="215"/>
      <c r="C1466" s="215"/>
      <c r="D1466" s="215"/>
      <c r="E1466" s="215"/>
      <c r="F1466" s="215"/>
      <c r="G1466" s="215"/>
      <c r="H1466" s="215"/>
      <c r="I1466" s="207"/>
      <c r="J1466" s="215"/>
      <c r="K1466" s="207"/>
      <c r="L1466" s="215"/>
      <c r="M1466" s="323"/>
      <c r="N1466" s="215"/>
      <c r="O1466" s="323"/>
      <c r="P1466" s="215"/>
      <c r="Q1466" s="207"/>
      <c r="R1466" s="323"/>
      <c r="S1466" s="323"/>
      <c r="T1466" s="664"/>
      <c r="U1466" s="215"/>
      <c r="V1466" s="215"/>
    </row>
    <row r="1467" ht="15.0" customHeight="1">
      <c r="A1467" s="207"/>
      <c r="B1467" s="215"/>
      <c r="C1467" s="215"/>
      <c r="D1467" s="215"/>
      <c r="E1467" s="215"/>
      <c r="F1467" s="215"/>
      <c r="G1467" s="215"/>
      <c r="H1467" s="215"/>
      <c r="I1467" s="207"/>
      <c r="J1467" s="215"/>
      <c r="K1467" s="207"/>
      <c r="L1467" s="215"/>
      <c r="M1467" s="323"/>
      <c r="N1467" s="215"/>
      <c r="O1467" s="323"/>
      <c r="P1467" s="215"/>
      <c r="Q1467" s="207"/>
      <c r="R1467" s="323"/>
      <c r="S1467" s="323"/>
      <c r="T1467" s="664"/>
      <c r="U1467" s="215"/>
      <c r="V1467" s="215"/>
    </row>
    <row r="1468" ht="15.0" customHeight="1">
      <c r="A1468" s="207"/>
      <c r="B1468" s="215"/>
      <c r="C1468" s="215"/>
      <c r="D1468" s="215"/>
      <c r="E1468" s="215"/>
      <c r="F1468" s="215"/>
      <c r="G1468" s="215"/>
      <c r="H1468" s="215"/>
      <c r="I1468" s="207"/>
      <c r="J1468" s="215"/>
      <c r="K1468" s="207"/>
      <c r="L1468" s="215"/>
      <c r="M1468" s="323"/>
      <c r="N1468" s="215"/>
      <c r="O1468" s="323"/>
      <c r="P1468" s="215"/>
      <c r="Q1468" s="207"/>
      <c r="R1468" s="323"/>
      <c r="S1468" s="323"/>
      <c r="T1468" s="664"/>
      <c r="U1468" s="215"/>
      <c r="V1468" s="215"/>
    </row>
    <row r="1469" ht="15.0" customHeight="1">
      <c r="A1469" s="207"/>
      <c r="B1469" s="215"/>
      <c r="C1469" s="215"/>
      <c r="D1469" s="215"/>
      <c r="E1469" s="215"/>
      <c r="F1469" s="215"/>
      <c r="G1469" s="215"/>
      <c r="H1469" s="215"/>
      <c r="I1469" s="207"/>
      <c r="J1469" s="215"/>
      <c r="K1469" s="207"/>
      <c r="L1469" s="215"/>
      <c r="M1469" s="323"/>
      <c r="N1469" s="215"/>
      <c r="O1469" s="323"/>
      <c r="P1469" s="215"/>
      <c r="Q1469" s="207"/>
      <c r="R1469" s="323"/>
      <c r="S1469" s="323"/>
      <c r="T1469" s="664"/>
      <c r="U1469" s="215"/>
      <c r="V1469" s="215"/>
    </row>
    <row r="1470" ht="15.0" customHeight="1">
      <c r="A1470" s="207"/>
      <c r="B1470" s="215"/>
      <c r="C1470" s="215"/>
      <c r="D1470" s="215"/>
      <c r="E1470" s="215"/>
      <c r="F1470" s="215"/>
      <c r="G1470" s="215"/>
      <c r="H1470" s="215"/>
      <c r="I1470" s="207"/>
      <c r="J1470" s="215"/>
      <c r="K1470" s="207"/>
      <c r="L1470" s="215"/>
      <c r="M1470" s="323"/>
      <c r="N1470" s="215"/>
      <c r="O1470" s="323"/>
      <c r="P1470" s="215"/>
      <c r="Q1470" s="207"/>
      <c r="R1470" s="323"/>
      <c r="S1470" s="323"/>
      <c r="T1470" s="664"/>
      <c r="U1470" s="215"/>
      <c r="V1470" s="215"/>
    </row>
    <row r="1471" ht="15.0" customHeight="1">
      <c r="A1471" s="207"/>
      <c r="B1471" s="215"/>
      <c r="C1471" s="215"/>
      <c r="D1471" s="215"/>
      <c r="E1471" s="215"/>
      <c r="F1471" s="215"/>
      <c r="G1471" s="215"/>
      <c r="H1471" s="215"/>
      <c r="I1471" s="207"/>
      <c r="J1471" s="215"/>
      <c r="K1471" s="207"/>
      <c r="L1471" s="215"/>
      <c r="M1471" s="323"/>
      <c r="N1471" s="215"/>
      <c r="O1471" s="323"/>
      <c r="P1471" s="215"/>
      <c r="Q1471" s="207"/>
      <c r="R1471" s="323"/>
      <c r="S1471" s="323"/>
      <c r="T1471" s="664"/>
      <c r="U1471" s="215"/>
      <c r="V1471" s="215"/>
    </row>
    <row r="1472" ht="15.0" customHeight="1">
      <c r="A1472" s="207"/>
      <c r="B1472" s="215"/>
      <c r="C1472" s="215"/>
      <c r="D1472" s="215"/>
      <c r="E1472" s="215"/>
      <c r="F1472" s="215"/>
      <c r="G1472" s="215"/>
      <c r="H1472" s="215"/>
      <c r="I1472" s="207"/>
      <c r="J1472" s="215"/>
      <c r="K1472" s="207"/>
      <c r="L1472" s="215"/>
      <c r="M1472" s="323"/>
      <c r="N1472" s="215"/>
      <c r="O1472" s="323"/>
      <c r="P1472" s="215"/>
      <c r="Q1472" s="207"/>
      <c r="R1472" s="323"/>
      <c r="S1472" s="323"/>
      <c r="T1472" s="664"/>
      <c r="U1472" s="215"/>
      <c r="V1472" s="215"/>
    </row>
    <row r="1473" ht="15.0" customHeight="1">
      <c r="A1473" s="207"/>
      <c r="B1473" s="215"/>
      <c r="C1473" s="215"/>
      <c r="D1473" s="215"/>
      <c r="E1473" s="215"/>
      <c r="F1473" s="215"/>
      <c r="G1473" s="215"/>
      <c r="H1473" s="215"/>
      <c r="I1473" s="207"/>
      <c r="J1473" s="215"/>
      <c r="K1473" s="207"/>
      <c r="L1473" s="215"/>
      <c r="M1473" s="323"/>
      <c r="N1473" s="215"/>
      <c r="O1473" s="323"/>
      <c r="P1473" s="215"/>
      <c r="Q1473" s="207"/>
      <c r="R1473" s="323"/>
      <c r="S1473" s="323"/>
      <c r="T1473" s="664"/>
      <c r="U1473" s="215"/>
      <c r="V1473" s="215"/>
    </row>
    <row r="1474" ht="15.0" customHeight="1">
      <c r="A1474" s="207"/>
      <c r="B1474" s="215"/>
      <c r="C1474" s="215"/>
      <c r="D1474" s="215"/>
      <c r="E1474" s="215"/>
      <c r="F1474" s="215"/>
      <c r="G1474" s="215"/>
      <c r="H1474" s="215"/>
      <c r="I1474" s="207"/>
      <c r="J1474" s="215"/>
      <c r="K1474" s="207"/>
      <c r="L1474" s="215"/>
      <c r="M1474" s="323"/>
      <c r="N1474" s="215"/>
      <c r="O1474" s="323"/>
      <c r="P1474" s="215"/>
      <c r="Q1474" s="207"/>
      <c r="R1474" s="323"/>
      <c r="S1474" s="323"/>
      <c r="T1474" s="664"/>
      <c r="U1474" s="215"/>
      <c r="V1474" s="215"/>
    </row>
    <row r="1475" ht="15.0" customHeight="1">
      <c r="A1475" s="207"/>
      <c r="B1475" s="215"/>
      <c r="C1475" s="215"/>
      <c r="D1475" s="215"/>
      <c r="E1475" s="215"/>
      <c r="F1475" s="215"/>
      <c r="G1475" s="215"/>
      <c r="H1475" s="215"/>
      <c r="I1475" s="207"/>
      <c r="J1475" s="215"/>
      <c r="K1475" s="207"/>
      <c r="L1475" s="215"/>
      <c r="M1475" s="323"/>
      <c r="N1475" s="215"/>
      <c r="O1475" s="323"/>
      <c r="P1475" s="215"/>
      <c r="Q1475" s="207"/>
      <c r="R1475" s="323"/>
      <c r="S1475" s="323"/>
      <c r="T1475" s="664"/>
      <c r="U1475" s="215"/>
      <c r="V1475" s="215"/>
    </row>
    <row r="1476" ht="15.0" customHeight="1">
      <c r="A1476" s="207"/>
      <c r="B1476" s="215"/>
      <c r="C1476" s="215"/>
      <c r="D1476" s="215"/>
      <c r="E1476" s="215"/>
      <c r="F1476" s="215"/>
      <c r="G1476" s="215"/>
      <c r="H1476" s="215"/>
      <c r="I1476" s="207"/>
      <c r="J1476" s="215"/>
      <c r="K1476" s="207"/>
      <c r="L1476" s="215"/>
      <c r="M1476" s="323"/>
      <c r="N1476" s="215"/>
      <c r="O1476" s="323"/>
      <c r="P1476" s="215"/>
      <c r="Q1476" s="207"/>
      <c r="R1476" s="323"/>
      <c r="S1476" s="323"/>
      <c r="T1476" s="664"/>
      <c r="U1476" s="215"/>
      <c r="V1476" s="215"/>
    </row>
    <row r="1477" ht="15.0" customHeight="1">
      <c r="A1477" s="207"/>
      <c r="B1477" s="215"/>
      <c r="C1477" s="215"/>
      <c r="D1477" s="215"/>
      <c r="E1477" s="215"/>
      <c r="F1477" s="215"/>
      <c r="G1477" s="215"/>
      <c r="H1477" s="215"/>
      <c r="I1477" s="207"/>
      <c r="J1477" s="215"/>
      <c r="K1477" s="207"/>
      <c r="L1477" s="215"/>
      <c r="M1477" s="323"/>
      <c r="N1477" s="215"/>
      <c r="O1477" s="323"/>
      <c r="P1477" s="215"/>
      <c r="Q1477" s="207"/>
      <c r="R1477" s="323"/>
      <c r="S1477" s="323"/>
      <c r="T1477" s="664"/>
      <c r="U1477" s="215"/>
      <c r="V1477" s="215"/>
    </row>
    <row r="1478" ht="15.0" customHeight="1">
      <c r="A1478" s="207"/>
      <c r="B1478" s="215"/>
      <c r="C1478" s="215"/>
      <c r="D1478" s="215"/>
      <c r="E1478" s="215"/>
      <c r="F1478" s="215"/>
      <c r="G1478" s="215"/>
      <c r="H1478" s="215"/>
      <c r="I1478" s="207"/>
      <c r="J1478" s="215"/>
      <c r="K1478" s="207"/>
      <c r="L1478" s="215"/>
      <c r="M1478" s="323"/>
      <c r="N1478" s="215"/>
      <c r="O1478" s="323"/>
      <c r="P1478" s="215"/>
      <c r="Q1478" s="207"/>
      <c r="R1478" s="323"/>
      <c r="S1478" s="323"/>
      <c r="T1478" s="664"/>
      <c r="U1478" s="215"/>
      <c r="V1478" s="215"/>
    </row>
    <row r="1479" ht="15.0" customHeight="1">
      <c r="A1479" s="207"/>
      <c r="B1479" s="215"/>
      <c r="C1479" s="215"/>
      <c r="D1479" s="215"/>
      <c r="E1479" s="215"/>
      <c r="F1479" s="215"/>
      <c r="G1479" s="215"/>
      <c r="H1479" s="215"/>
      <c r="I1479" s="207"/>
      <c r="J1479" s="215"/>
      <c r="K1479" s="207"/>
      <c r="L1479" s="215"/>
      <c r="M1479" s="323"/>
      <c r="N1479" s="215"/>
      <c r="O1479" s="323"/>
      <c r="P1479" s="215"/>
      <c r="Q1479" s="207"/>
      <c r="R1479" s="323"/>
      <c r="S1479" s="323"/>
      <c r="T1479" s="664"/>
      <c r="U1479" s="215"/>
      <c r="V1479" s="215"/>
    </row>
    <row r="1480" ht="15.0" customHeight="1">
      <c r="A1480" s="207"/>
      <c r="B1480" s="215"/>
      <c r="C1480" s="215"/>
      <c r="D1480" s="215"/>
      <c r="E1480" s="215"/>
      <c r="F1480" s="215"/>
      <c r="G1480" s="215"/>
      <c r="H1480" s="215"/>
      <c r="I1480" s="207"/>
      <c r="J1480" s="215"/>
      <c r="K1480" s="207"/>
      <c r="L1480" s="215"/>
      <c r="M1480" s="323"/>
      <c r="N1480" s="215"/>
      <c r="O1480" s="323"/>
      <c r="P1480" s="215"/>
      <c r="Q1480" s="207"/>
      <c r="R1480" s="323"/>
      <c r="S1480" s="323"/>
      <c r="T1480" s="664"/>
      <c r="U1480" s="215"/>
      <c r="V1480" s="215"/>
    </row>
    <row r="1481" ht="15.0" customHeight="1">
      <c r="A1481" s="207"/>
      <c r="B1481" s="215"/>
      <c r="C1481" s="215"/>
      <c r="D1481" s="215"/>
      <c r="E1481" s="215"/>
      <c r="F1481" s="215"/>
      <c r="G1481" s="215"/>
      <c r="H1481" s="215"/>
      <c r="I1481" s="207"/>
      <c r="J1481" s="215"/>
      <c r="K1481" s="207"/>
      <c r="L1481" s="215"/>
      <c r="M1481" s="323"/>
      <c r="N1481" s="215"/>
      <c r="O1481" s="323"/>
      <c r="P1481" s="215"/>
      <c r="Q1481" s="207"/>
      <c r="R1481" s="323"/>
      <c r="S1481" s="323"/>
      <c r="T1481" s="664"/>
      <c r="U1481" s="215"/>
      <c r="V1481" s="215"/>
    </row>
    <row r="1482" ht="15.0" customHeight="1">
      <c r="A1482" s="207"/>
      <c r="B1482" s="215"/>
      <c r="C1482" s="215"/>
      <c r="D1482" s="215"/>
      <c r="E1482" s="215"/>
      <c r="F1482" s="215"/>
      <c r="G1482" s="215"/>
      <c r="H1482" s="215"/>
      <c r="I1482" s="207"/>
      <c r="J1482" s="215"/>
      <c r="K1482" s="207"/>
      <c r="L1482" s="215"/>
      <c r="M1482" s="323"/>
      <c r="N1482" s="215"/>
      <c r="O1482" s="323"/>
      <c r="P1482" s="215"/>
      <c r="Q1482" s="207"/>
      <c r="R1482" s="323"/>
      <c r="S1482" s="323"/>
      <c r="T1482" s="664"/>
      <c r="U1482" s="215"/>
      <c r="V1482" s="215"/>
    </row>
    <row r="1483" ht="15.0" customHeight="1">
      <c r="A1483" s="207"/>
      <c r="B1483" s="215"/>
      <c r="C1483" s="215"/>
      <c r="D1483" s="215"/>
      <c r="E1483" s="215"/>
      <c r="F1483" s="215"/>
      <c r="G1483" s="215"/>
      <c r="H1483" s="215"/>
      <c r="I1483" s="207"/>
      <c r="J1483" s="215"/>
      <c r="K1483" s="207"/>
      <c r="L1483" s="215"/>
      <c r="M1483" s="323"/>
      <c r="N1483" s="215"/>
      <c r="O1483" s="323"/>
      <c r="P1483" s="215"/>
      <c r="Q1483" s="207"/>
      <c r="R1483" s="323"/>
      <c r="S1483" s="323"/>
      <c r="T1483" s="664"/>
      <c r="U1483" s="215"/>
      <c r="V1483" s="215"/>
    </row>
    <row r="1484" ht="15.0" customHeight="1">
      <c r="A1484" s="207"/>
      <c r="B1484" s="215"/>
      <c r="C1484" s="215"/>
      <c r="D1484" s="215"/>
      <c r="E1484" s="215"/>
      <c r="F1484" s="215"/>
      <c r="G1484" s="215"/>
      <c r="H1484" s="215"/>
      <c r="I1484" s="207"/>
      <c r="J1484" s="215"/>
      <c r="K1484" s="207"/>
      <c r="L1484" s="215"/>
      <c r="M1484" s="323"/>
      <c r="N1484" s="215"/>
      <c r="O1484" s="323"/>
      <c r="P1484" s="215"/>
      <c r="Q1484" s="207"/>
      <c r="R1484" s="323"/>
      <c r="S1484" s="323"/>
      <c r="T1484" s="664"/>
      <c r="U1484" s="215"/>
      <c r="V1484" s="215"/>
    </row>
    <row r="1485" ht="15.0" customHeight="1">
      <c r="A1485" s="207"/>
      <c r="B1485" s="215"/>
      <c r="C1485" s="215"/>
      <c r="D1485" s="215"/>
      <c r="E1485" s="215"/>
      <c r="F1485" s="215"/>
      <c r="G1485" s="215"/>
      <c r="H1485" s="215"/>
      <c r="I1485" s="207"/>
      <c r="J1485" s="215"/>
      <c r="K1485" s="207"/>
      <c r="L1485" s="215"/>
      <c r="M1485" s="323"/>
      <c r="N1485" s="215"/>
      <c r="O1485" s="323"/>
      <c r="P1485" s="215"/>
      <c r="Q1485" s="207"/>
      <c r="R1485" s="323"/>
      <c r="S1485" s="323"/>
      <c r="T1485" s="664"/>
      <c r="U1485" s="215"/>
      <c r="V1485" s="215"/>
    </row>
    <row r="1486" ht="15.0" customHeight="1">
      <c r="A1486" s="207"/>
      <c r="B1486" s="215"/>
      <c r="C1486" s="215"/>
      <c r="D1486" s="215"/>
      <c r="E1486" s="215"/>
      <c r="F1486" s="215"/>
      <c r="G1486" s="215"/>
      <c r="H1486" s="215"/>
      <c r="I1486" s="207"/>
      <c r="J1486" s="215"/>
      <c r="K1486" s="207"/>
      <c r="L1486" s="215"/>
      <c r="M1486" s="323"/>
      <c r="N1486" s="215"/>
      <c r="O1486" s="323"/>
      <c r="P1486" s="215"/>
      <c r="Q1486" s="207"/>
      <c r="R1486" s="323"/>
      <c r="S1486" s="323"/>
      <c r="T1486" s="664"/>
      <c r="U1486" s="215"/>
      <c r="V1486" s="215"/>
    </row>
    <row r="1487" ht="15.0" customHeight="1">
      <c r="A1487" s="207"/>
      <c r="B1487" s="215"/>
      <c r="C1487" s="215"/>
      <c r="D1487" s="215"/>
      <c r="E1487" s="215"/>
      <c r="F1487" s="215"/>
      <c r="G1487" s="215"/>
      <c r="H1487" s="215"/>
      <c r="I1487" s="207"/>
      <c r="J1487" s="215"/>
      <c r="K1487" s="207"/>
      <c r="L1487" s="215"/>
      <c r="M1487" s="323"/>
      <c r="N1487" s="215"/>
      <c r="O1487" s="323"/>
      <c r="P1487" s="215"/>
      <c r="Q1487" s="207"/>
      <c r="R1487" s="323"/>
      <c r="S1487" s="323"/>
      <c r="T1487" s="664"/>
      <c r="U1487" s="215"/>
      <c r="V1487" s="215"/>
    </row>
    <row r="1488" ht="15.0" customHeight="1">
      <c r="A1488" s="207"/>
      <c r="B1488" s="215"/>
      <c r="C1488" s="215"/>
      <c r="D1488" s="215"/>
      <c r="E1488" s="215"/>
      <c r="F1488" s="215"/>
      <c r="G1488" s="215"/>
      <c r="H1488" s="215"/>
      <c r="I1488" s="207"/>
      <c r="J1488" s="215"/>
      <c r="K1488" s="207"/>
      <c r="L1488" s="215"/>
      <c r="M1488" s="323"/>
      <c r="N1488" s="215"/>
      <c r="O1488" s="323"/>
      <c r="P1488" s="215"/>
      <c r="Q1488" s="207"/>
      <c r="R1488" s="323"/>
      <c r="S1488" s="323"/>
      <c r="T1488" s="664"/>
      <c r="U1488" s="215"/>
      <c r="V1488" s="215"/>
    </row>
    <row r="1489" ht="15.0" customHeight="1">
      <c r="A1489" s="207"/>
      <c r="B1489" s="215"/>
      <c r="C1489" s="215"/>
      <c r="D1489" s="215"/>
      <c r="E1489" s="215"/>
      <c r="F1489" s="215"/>
      <c r="G1489" s="215"/>
      <c r="H1489" s="215"/>
      <c r="I1489" s="207"/>
      <c r="J1489" s="215"/>
      <c r="K1489" s="207"/>
      <c r="L1489" s="215"/>
      <c r="M1489" s="323"/>
      <c r="N1489" s="215"/>
      <c r="O1489" s="323"/>
      <c r="P1489" s="215"/>
      <c r="Q1489" s="207"/>
      <c r="R1489" s="323"/>
      <c r="S1489" s="323"/>
      <c r="T1489" s="664"/>
      <c r="U1489" s="215"/>
      <c r="V1489" s="215"/>
    </row>
    <row r="1490" ht="15.0" customHeight="1">
      <c r="A1490" s="207"/>
      <c r="B1490" s="215"/>
      <c r="C1490" s="215"/>
      <c r="D1490" s="215"/>
      <c r="E1490" s="215"/>
      <c r="F1490" s="215"/>
      <c r="G1490" s="215"/>
      <c r="H1490" s="215"/>
      <c r="I1490" s="207"/>
      <c r="J1490" s="215"/>
      <c r="K1490" s="207"/>
      <c r="L1490" s="215"/>
      <c r="M1490" s="323"/>
      <c r="N1490" s="215"/>
      <c r="O1490" s="323"/>
      <c r="P1490" s="215"/>
      <c r="Q1490" s="207"/>
      <c r="R1490" s="323"/>
      <c r="S1490" s="323"/>
      <c r="T1490" s="664"/>
      <c r="U1490" s="215"/>
      <c r="V1490" s="215"/>
    </row>
    <row r="1491" ht="15.0" customHeight="1">
      <c r="A1491" s="207"/>
      <c r="B1491" s="215"/>
      <c r="C1491" s="215"/>
      <c r="D1491" s="215"/>
      <c r="E1491" s="215"/>
      <c r="F1491" s="215"/>
      <c r="G1491" s="215"/>
      <c r="H1491" s="215"/>
      <c r="I1491" s="207"/>
      <c r="J1491" s="215"/>
      <c r="K1491" s="207"/>
      <c r="L1491" s="215"/>
      <c r="M1491" s="323"/>
      <c r="N1491" s="215"/>
      <c r="O1491" s="323"/>
      <c r="P1491" s="215"/>
      <c r="Q1491" s="207"/>
      <c r="R1491" s="323"/>
      <c r="S1491" s="323"/>
      <c r="T1491" s="664"/>
      <c r="U1491" s="215"/>
      <c r="V1491" s="215"/>
    </row>
    <row r="1492" ht="15.0" customHeight="1">
      <c r="A1492" s="207"/>
      <c r="B1492" s="215"/>
      <c r="C1492" s="215"/>
      <c r="D1492" s="215"/>
      <c r="E1492" s="215"/>
      <c r="F1492" s="215"/>
      <c r="G1492" s="215"/>
      <c r="H1492" s="215"/>
      <c r="I1492" s="207"/>
      <c r="J1492" s="215"/>
      <c r="K1492" s="207"/>
      <c r="L1492" s="215"/>
      <c r="M1492" s="323"/>
      <c r="N1492" s="215"/>
      <c r="O1492" s="323"/>
      <c r="P1492" s="215"/>
      <c r="Q1492" s="207"/>
      <c r="R1492" s="323"/>
      <c r="S1492" s="323"/>
      <c r="T1492" s="664"/>
      <c r="U1492" s="215"/>
      <c r="V1492" s="215"/>
    </row>
    <row r="1493" ht="15.0" customHeight="1">
      <c r="A1493" s="207"/>
      <c r="B1493" s="215"/>
      <c r="C1493" s="215"/>
      <c r="D1493" s="215"/>
      <c r="E1493" s="215"/>
      <c r="F1493" s="215"/>
      <c r="G1493" s="215"/>
      <c r="H1493" s="215"/>
      <c r="I1493" s="207"/>
      <c r="J1493" s="215"/>
      <c r="K1493" s="207"/>
      <c r="L1493" s="215"/>
      <c r="M1493" s="323"/>
      <c r="N1493" s="215"/>
      <c r="O1493" s="323"/>
      <c r="P1493" s="215"/>
      <c r="Q1493" s="207"/>
      <c r="R1493" s="323"/>
      <c r="S1493" s="323"/>
      <c r="T1493" s="664"/>
      <c r="U1493" s="215"/>
      <c r="V1493" s="215"/>
    </row>
    <row r="1494" ht="15.0" customHeight="1">
      <c r="A1494" s="207"/>
      <c r="B1494" s="215"/>
      <c r="C1494" s="215"/>
      <c r="D1494" s="215"/>
      <c r="E1494" s="215"/>
      <c r="F1494" s="215"/>
      <c r="G1494" s="215"/>
      <c r="H1494" s="215"/>
      <c r="I1494" s="207"/>
      <c r="J1494" s="215"/>
      <c r="K1494" s="207"/>
      <c r="L1494" s="215"/>
      <c r="M1494" s="323"/>
      <c r="N1494" s="215"/>
      <c r="O1494" s="323"/>
      <c r="P1494" s="215"/>
      <c r="Q1494" s="207"/>
      <c r="R1494" s="323"/>
      <c r="S1494" s="323"/>
      <c r="T1494" s="664"/>
      <c r="U1494" s="215"/>
      <c r="V1494" s="215"/>
    </row>
    <row r="1495" ht="15.0" customHeight="1">
      <c r="A1495" s="207"/>
      <c r="B1495" s="215"/>
      <c r="C1495" s="215"/>
      <c r="D1495" s="215"/>
      <c r="E1495" s="215"/>
      <c r="F1495" s="215"/>
      <c r="G1495" s="215"/>
      <c r="H1495" s="215"/>
      <c r="I1495" s="207"/>
      <c r="J1495" s="215"/>
      <c r="K1495" s="207"/>
      <c r="L1495" s="215"/>
      <c r="M1495" s="323"/>
      <c r="N1495" s="215"/>
      <c r="O1495" s="323"/>
      <c r="P1495" s="215"/>
      <c r="Q1495" s="207"/>
      <c r="R1495" s="323"/>
      <c r="S1495" s="323"/>
      <c r="T1495" s="664"/>
      <c r="U1495" s="215"/>
      <c r="V1495" s="215"/>
    </row>
    <row r="1496" ht="15.0" customHeight="1">
      <c r="A1496" s="207"/>
      <c r="B1496" s="215"/>
      <c r="C1496" s="215"/>
      <c r="D1496" s="215"/>
      <c r="E1496" s="215"/>
      <c r="F1496" s="215"/>
      <c r="G1496" s="215"/>
      <c r="H1496" s="215"/>
      <c r="I1496" s="207"/>
      <c r="J1496" s="215"/>
      <c r="K1496" s="207"/>
      <c r="L1496" s="215"/>
      <c r="M1496" s="323"/>
      <c r="N1496" s="215"/>
      <c r="O1496" s="323"/>
      <c r="P1496" s="215"/>
      <c r="Q1496" s="207"/>
      <c r="R1496" s="323"/>
      <c r="S1496" s="323"/>
      <c r="T1496" s="664"/>
      <c r="U1496" s="215"/>
      <c r="V1496" s="215"/>
    </row>
    <row r="1497" ht="15.0" customHeight="1">
      <c r="A1497" s="207"/>
      <c r="B1497" s="215"/>
      <c r="C1497" s="215"/>
      <c r="D1497" s="215"/>
      <c r="E1497" s="215"/>
      <c r="F1497" s="215"/>
      <c r="G1497" s="215"/>
      <c r="H1497" s="215"/>
      <c r="I1497" s="207"/>
      <c r="J1497" s="215"/>
      <c r="K1497" s="207"/>
      <c r="L1497" s="215"/>
      <c r="M1497" s="323"/>
      <c r="N1497" s="215"/>
      <c r="O1497" s="323"/>
      <c r="P1497" s="215"/>
      <c r="Q1497" s="207"/>
      <c r="R1497" s="323"/>
      <c r="S1497" s="323"/>
      <c r="T1497" s="664"/>
      <c r="U1497" s="215"/>
      <c r="V1497" s="215"/>
    </row>
    <row r="1498" ht="15.0" customHeight="1">
      <c r="A1498" s="207"/>
      <c r="B1498" s="215"/>
      <c r="C1498" s="215"/>
      <c r="D1498" s="215"/>
      <c r="E1498" s="215"/>
      <c r="F1498" s="215"/>
      <c r="G1498" s="215"/>
      <c r="H1498" s="215"/>
      <c r="I1498" s="207"/>
      <c r="J1498" s="215"/>
      <c r="K1498" s="207"/>
      <c r="L1498" s="215"/>
      <c r="M1498" s="323"/>
      <c r="N1498" s="215"/>
      <c r="O1498" s="323"/>
      <c r="P1498" s="215"/>
      <c r="Q1498" s="207"/>
      <c r="R1498" s="323"/>
      <c r="S1498" s="323"/>
      <c r="T1498" s="664"/>
      <c r="U1498" s="215"/>
      <c r="V1498" s="215"/>
    </row>
    <row r="1499" ht="15.0" customHeight="1">
      <c r="A1499" s="207"/>
      <c r="B1499" s="215"/>
      <c r="C1499" s="215"/>
      <c r="D1499" s="215"/>
      <c r="E1499" s="215"/>
      <c r="F1499" s="215"/>
      <c r="G1499" s="215"/>
      <c r="H1499" s="215"/>
      <c r="I1499" s="207"/>
      <c r="J1499" s="215"/>
      <c r="K1499" s="207"/>
      <c r="L1499" s="215"/>
      <c r="M1499" s="323"/>
      <c r="N1499" s="215"/>
      <c r="O1499" s="323"/>
      <c r="P1499" s="215"/>
      <c r="Q1499" s="207"/>
      <c r="R1499" s="323"/>
      <c r="S1499" s="323"/>
      <c r="T1499" s="664"/>
      <c r="U1499" s="215"/>
      <c r="V1499" s="215"/>
    </row>
    <row r="1500" ht="15.0" customHeight="1">
      <c r="A1500" s="207"/>
      <c r="B1500" s="215"/>
      <c r="C1500" s="215"/>
      <c r="D1500" s="215"/>
      <c r="E1500" s="215"/>
      <c r="F1500" s="215"/>
      <c r="G1500" s="215"/>
      <c r="H1500" s="215"/>
      <c r="I1500" s="207"/>
      <c r="J1500" s="215"/>
      <c r="K1500" s="207"/>
      <c r="L1500" s="215"/>
      <c r="M1500" s="323"/>
      <c r="N1500" s="215"/>
      <c r="O1500" s="323"/>
      <c r="P1500" s="215"/>
      <c r="Q1500" s="207"/>
      <c r="R1500" s="323"/>
      <c r="S1500" s="323"/>
      <c r="T1500" s="664"/>
      <c r="U1500" s="215"/>
      <c r="V1500" s="215"/>
    </row>
    <row r="1501" ht="15.0" customHeight="1">
      <c r="A1501" s="207"/>
      <c r="B1501" s="215"/>
      <c r="C1501" s="215"/>
      <c r="D1501" s="215"/>
      <c r="E1501" s="215"/>
      <c r="F1501" s="215"/>
      <c r="G1501" s="215"/>
      <c r="H1501" s="215"/>
      <c r="I1501" s="207"/>
      <c r="J1501" s="215"/>
      <c r="K1501" s="207"/>
      <c r="L1501" s="215"/>
      <c r="M1501" s="323"/>
      <c r="N1501" s="215"/>
      <c r="O1501" s="323"/>
      <c r="P1501" s="215"/>
      <c r="Q1501" s="207"/>
      <c r="R1501" s="323"/>
      <c r="S1501" s="323"/>
      <c r="T1501" s="664"/>
      <c r="U1501" s="215"/>
      <c r="V1501" s="215"/>
    </row>
    <row r="1502" ht="15.0" customHeight="1">
      <c r="A1502" s="207"/>
      <c r="B1502" s="215"/>
      <c r="C1502" s="215"/>
      <c r="D1502" s="215"/>
      <c r="E1502" s="215"/>
      <c r="F1502" s="215"/>
      <c r="G1502" s="215"/>
      <c r="H1502" s="215"/>
      <c r="I1502" s="207"/>
      <c r="J1502" s="215"/>
      <c r="K1502" s="207"/>
      <c r="L1502" s="215"/>
      <c r="M1502" s="323"/>
      <c r="N1502" s="215"/>
      <c r="O1502" s="323"/>
      <c r="P1502" s="215"/>
      <c r="Q1502" s="207"/>
      <c r="R1502" s="323"/>
      <c r="S1502" s="323"/>
      <c r="T1502" s="664"/>
      <c r="U1502" s="215"/>
      <c r="V1502" s="215"/>
    </row>
    <row r="1503" ht="15.0" customHeight="1">
      <c r="A1503" s="207"/>
      <c r="B1503" s="215"/>
      <c r="C1503" s="215"/>
      <c r="D1503" s="215"/>
      <c r="E1503" s="215"/>
      <c r="F1503" s="215"/>
      <c r="G1503" s="215"/>
      <c r="H1503" s="215"/>
      <c r="I1503" s="207"/>
      <c r="J1503" s="215"/>
      <c r="K1503" s="207"/>
      <c r="L1503" s="215"/>
      <c r="M1503" s="323"/>
      <c r="N1503" s="215"/>
      <c r="O1503" s="323"/>
      <c r="P1503" s="215"/>
      <c r="Q1503" s="207"/>
      <c r="R1503" s="323"/>
      <c r="S1503" s="323"/>
      <c r="T1503" s="664"/>
      <c r="U1503" s="215"/>
      <c r="V1503" s="215"/>
    </row>
    <row r="1504" ht="15.0" customHeight="1">
      <c r="A1504" s="207"/>
      <c r="B1504" s="215"/>
      <c r="C1504" s="215"/>
      <c r="D1504" s="215"/>
      <c r="E1504" s="215"/>
      <c r="F1504" s="215"/>
      <c r="G1504" s="215"/>
      <c r="H1504" s="215"/>
      <c r="I1504" s="207"/>
      <c r="J1504" s="215"/>
      <c r="K1504" s="207"/>
      <c r="L1504" s="215"/>
      <c r="M1504" s="323"/>
      <c r="N1504" s="215"/>
      <c r="O1504" s="323"/>
      <c r="P1504" s="215"/>
      <c r="Q1504" s="207"/>
      <c r="R1504" s="323"/>
      <c r="S1504" s="323"/>
      <c r="T1504" s="664"/>
      <c r="U1504" s="215"/>
      <c r="V1504" s="215"/>
    </row>
    <row r="1505" ht="15.0" customHeight="1">
      <c r="A1505" s="207"/>
      <c r="B1505" s="215"/>
      <c r="C1505" s="215"/>
      <c r="D1505" s="215"/>
      <c r="E1505" s="215"/>
      <c r="F1505" s="215"/>
      <c r="G1505" s="215"/>
      <c r="H1505" s="215"/>
      <c r="I1505" s="207"/>
      <c r="J1505" s="215"/>
      <c r="K1505" s="207"/>
      <c r="L1505" s="215"/>
      <c r="M1505" s="323"/>
      <c r="N1505" s="215"/>
      <c r="O1505" s="323"/>
      <c r="P1505" s="215"/>
      <c r="Q1505" s="207"/>
      <c r="R1505" s="323"/>
      <c r="S1505" s="323"/>
      <c r="T1505" s="664"/>
      <c r="U1505" s="215"/>
      <c r="V1505" s="215"/>
    </row>
    <row r="1506" ht="15.0" customHeight="1">
      <c r="A1506" s="207"/>
      <c r="B1506" s="215"/>
      <c r="C1506" s="215"/>
      <c r="D1506" s="215"/>
      <c r="E1506" s="215"/>
      <c r="F1506" s="215"/>
      <c r="G1506" s="215"/>
      <c r="H1506" s="215"/>
      <c r="I1506" s="207"/>
      <c r="J1506" s="215"/>
      <c r="K1506" s="207"/>
      <c r="L1506" s="215"/>
      <c r="M1506" s="323"/>
      <c r="N1506" s="215"/>
      <c r="O1506" s="323"/>
      <c r="P1506" s="215"/>
      <c r="Q1506" s="207"/>
      <c r="R1506" s="323"/>
      <c r="S1506" s="323"/>
      <c r="T1506" s="664"/>
      <c r="U1506" s="215"/>
      <c r="V1506" s="215"/>
    </row>
    <row r="1507" ht="15.0" customHeight="1">
      <c r="A1507" s="207"/>
      <c r="B1507" s="215"/>
      <c r="C1507" s="215"/>
      <c r="D1507" s="215"/>
      <c r="E1507" s="215"/>
      <c r="F1507" s="215"/>
      <c r="G1507" s="215"/>
      <c r="H1507" s="215"/>
      <c r="I1507" s="207"/>
      <c r="J1507" s="215"/>
      <c r="K1507" s="207"/>
      <c r="L1507" s="215"/>
      <c r="M1507" s="323"/>
      <c r="N1507" s="215"/>
      <c r="O1507" s="323"/>
      <c r="P1507" s="215"/>
      <c r="Q1507" s="207"/>
      <c r="R1507" s="323"/>
      <c r="S1507" s="323"/>
      <c r="T1507" s="664"/>
      <c r="U1507" s="215"/>
      <c r="V1507" s="215"/>
    </row>
    <row r="1508" ht="15.0" customHeight="1">
      <c r="A1508" s="207"/>
      <c r="B1508" s="215"/>
      <c r="C1508" s="215"/>
      <c r="D1508" s="215"/>
      <c r="E1508" s="215"/>
      <c r="F1508" s="215"/>
      <c r="G1508" s="215"/>
      <c r="H1508" s="215"/>
      <c r="I1508" s="207"/>
      <c r="J1508" s="215"/>
      <c r="K1508" s="207"/>
      <c r="L1508" s="215"/>
      <c r="M1508" s="323"/>
      <c r="N1508" s="215"/>
      <c r="O1508" s="323"/>
      <c r="P1508" s="215"/>
      <c r="Q1508" s="207"/>
      <c r="R1508" s="323"/>
      <c r="S1508" s="323"/>
      <c r="T1508" s="664"/>
      <c r="U1508" s="215"/>
      <c r="V1508" s="215"/>
    </row>
    <row r="1509" ht="15.0" customHeight="1">
      <c r="A1509" s="207"/>
      <c r="B1509" s="215"/>
      <c r="C1509" s="215"/>
      <c r="D1509" s="215"/>
      <c r="E1509" s="215"/>
      <c r="F1509" s="215"/>
      <c r="G1509" s="215"/>
      <c r="H1509" s="215"/>
      <c r="I1509" s="207"/>
      <c r="J1509" s="215"/>
      <c r="K1509" s="207"/>
      <c r="L1509" s="215"/>
      <c r="M1509" s="323"/>
      <c r="N1509" s="215"/>
      <c r="O1509" s="323"/>
      <c r="P1509" s="215"/>
      <c r="Q1509" s="207"/>
      <c r="R1509" s="323"/>
      <c r="S1509" s="323"/>
      <c r="T1509" s="664"/>
      <c r="U1509" s="215"/>
      <c r="V1509" s="215"/>
    </row>
    <row r="1510" ht="15.0" customHeight="1">
      <c r="A1510" s="207"/>
      <c r="B1510" s="215"/>
      <c r="C1510" s="215"/>
      <c r="D1510" s="215"/>
      <c r="E1510" s="215"/>
      <c r="F1510" s="215"/>
      <c r="G1510" s="215"/>
      <c r="H1510" s="215"/>
      <c r="I1510" s="207"/>
      <c r="J1510" s="215"/>
      <c r="K1510" s="207"/>
      <c r="L1510" s="215"/>
      <c r="M1510" s="323"/>
      <c r="N1510" s="215"/>
      <c r="O1510" s="323"/>
      <c r="P1510" s="215"/>
      <c r="Q1510" s="207"/>
      <c r="R1510" s="323"/>
      <c r="S1510" s="323"/>
      <c r="T1510" s="664"/>
      <c r="U1510" s="215"/>
      <c r="V1510" s="215"/>
    </row>
    <row r="1511" ht="15.0" customHeight="1">
      <c r="A1511" s="207"/>
      <c r="B1511" s="215"/>
      <c r="C1511" s="215"/>
      <c r="D1511" s="215"/>
      <c r="E1511" s="215"/>
      <c r="F1511" s="215"/>
      <c r="G1511" s="215"/>
      <c r="H1511" s="215"/>
      <c r="I1511" s="207"/>
      <c r="J1511" s="215"/>
      <c r="K1511" s="207"/>
      <c r="L1511" s="215"/>
      <c r="M1511" s="323"/>
      <c r="N1511" s="215"/>
      <c r="O1511" s="323"/>
      <c r="P1511" s="215"/>
      <c r="Q1511" s="207"/>
      <c r="R1511" s="323"/>
      <c r="S1511" s="323"/>
      <c r="T1511" s="664"/>
      <c r="U1511" s="215"/>
      <c r="V1511" s="215"/>
    </row>
    <row r="1512" ht="15.0" customHeight="1">
      <c r="A1512" s="207"/>
      <c r="B1512" s="215"/>
      <c r="C1512" s="215"/>
      <c r="D1512" s="215"/>
      <c r="E1512" s="215"/>
      <c r="F1512" s="215"/>
      <c r="G1512" s="215"/>
      <c r="H1512" s="215"/>
      <c r="I1512" s="207"/>
      <c r="J1512" s="215"/>
      <c r="K1512" s="207"/>
      <c r="L1512" s="215"/>
      <c r="M1512" s="323"/>
      <c r="N1512" s="215"/>
      <c r="O1512" s="323"/>
      <c r="P1512" s="215"/>
      <c r="Q1512" s="207"/>
      <c r="R1512" s="323"/>
      <c r="S1512" s="323"/>
      <c r="T1512" s="664"/>
      <c r="U1512" s="215"/>
      <c r="V1512" s="215"/>
    </row>
    <row r="1513" ht="15.0" customHeight="1">
      <c r="A1513" s="207"/>
      <c r="B1513" s="215"/>
      <c r="C1513" s="215"/>
      <c r="D1513" s="215"/>
      <c r="E1513" s="215"/>
      <c r="F1513" s="215"/>
      <c r="G1513" s="215"/>
      <c r="H1513" s="215"/>
      <c r="I1513" s="207"/>
      <c r="J1513" s="215"/>
      <c r="K1513" s="207"/>
      <c r="L1513" s="215"/>
      <c r="M1513" s="323"/>
      <c r="N1513" s="215"/>
      <c r="O1513" s="323"/>
      <c r="P1513" s="215"/>
      <c r="Q1513" s="207"/>
      <c r="R1513" s="323"/>
      <c r="S1513" s="323"/>
      <c r="T1513" s="664"/>
      <c r="U1513" s="215"/>
      <c r="V1513" s="215"/>
    </row>
    <row r="1514" ht="15.0" customHeight="1">
      <c r="A1514" s="207"/>
      <c r="B1514" s="215"/>
      <c r="C1514" s="215"/>
      <c r="D1514" s="215"/>
      <c r="E1514" s="215"/>
      <c r="F1514" s="215"/>
      <c r="G1514" s="215"/>
      <c r="H1514" s="215"/>
      <c r="I1514" s="207"/>
      <c r="J1514" s="215"/>
      <c r="K1514" s="207"/>
      <c r="L1514" s="215"/>
      <c r="M1514" s="323"/>
      <c r="N1514" s="215"/>
      <c r="O1514" s="323"/>
      <c r="P1514" s="215"/>
      <c r="Q1514" s="207"/>
      <c r="R1514" s="323"/>
      <c r="S1514" s="323"/>
      <c r="T1514" s="664"/>
      <c r="U1514" s="215"/>
      <c r="V1514" s="215"/>
    </row>
    <row r="1515" ht="15.0" customHeight="1">
      <c r="A1515" s="207"/>
      <c r="B1515" s="215"/>
      <c r="C1515" s="215"/>
      <c r="D1515" s="215"/>
      <c r="E1515" s="215"/>
      <c r="F1515" s="215"/>
      <c r="G1515" s="215"/>
      <c r="H1515" s="215"/>
      <c r="I1515" s="207"/>
      <c r="J1515" s="215"/>
      <c r="K1515" s="207"/>
      <c r="L1515" s="215"/>
      <c r="M1515" s="323"/>
      <c r="N1515" s="215"/>
      <c r="O1515" s="323"/>
      <c r="P1515" s="215"/>
      <c r="Q1515" s="207"/>
      <c r="R1515" s="323"/>
      <c r="S1515" s="323"/>
      <c r="T1515" s="664"/>
      <c r="U1515" s="215"/>
      <c r="V1515" s="215"/>
    </row>
    <row r="1516" ht="15.0" customHeight="1">
      <c r="A1516" s="207"/>
      <c r="B1516" s="215"/>
      <c r="C1516" s="215"/>
      <c r="D1516" s="215"/>
      <c r="E1516" s="215"/>
      <c r="F1516" s="215"/>
      <c r="G1516" s="215"/>
      <c r="H1516" s="215"/>
      <c r="I1516" s="207"/>
      <c r="J1516" s="215"/>
      <c r="K1516" s="207"/>
      <c r="L1516" s="215"/>
      <c r="M1516" s="323"/>
      <c r="N1516" s="215"/>
      <c r="O1516" s="323"/>
      <c r="P1516" s="215"/>
      <c r="Q1516" s="207"/>
      <c r="R1516" s="323"/>
      <c r="S1516" s="323"/>
      <c r="T1516" s="664"/>
      <c r="U1516" s="215"/>
      <c r="V1516" s="215"/>
    </row>
    <row r="1517" ht="15.0" customHeight="1">
      <c r="A1517" s="207"/>
      <c r="B1517" s="215"/>
      <c r="C1517" s="215"/>
      <c r="D1517" s="215"/>
      <c r="E1517" s="215"/>
      <c r="F1517" s="215"/>
      <c r="G1517" s="215"/>
      <c r="H1517" s="215"/>
      <c r="I1517" s="207"/>
      <c r="J1517" s="215"/>
      <c r="K1517" s="207"/>
      <c r="L1517" s="215"/>
      <c r="M1517" s="323"/>
      <c r="N1517" s="215"/>
      <c r="O1517" s="323"/>
      <c r="P1517" s="215"/>
      <c r="Q1517" s="207"/>
      <c r="R1517" s="323"/>
      <c r="S1517" s="323"/>
      <c r="T1517" s="664"/>
      <c r="U1517" s="215"/>
      <c r="V1517" s="215"/>
    </row>
    <row r="1518" ht="15.0" customHeight="1">
      <c r="A1518" s="207"/>
      <c r="B1518" s="215"/>
      <c r="C1518" s="215"/>
      <c r="D1518" s="215"/>
      <c r="E1518" s="215"/>
      <c r="F1518" s="215"/>
      <c r="G1518" s="215"/>
      <c r="H1518" s="215"/>
      <c r="I1518" s="207"/>
      <c r="J1518" s="215"/>
      <c r="K1518" s="207"/>
      <c r="L1518" s="215"/>
      <c r="M1518" s="323"/>
      <c r="N1518" s="215"/>
      <c r="O1518" s="323"/>
      <c r="P1518" s="215"/>
      <c r="Q1518" s="207"/>
      <c r="R1518" s="323"/>
      <c r="S1518" s="323"/>
      <c r="T1518" s="664"/>
      <c r="U1518" s="215"/>
      <c r="V1518" s="215"/>
    </row>
    <row r="1519" ht="15.0" customHeight="1">
      <c r="A1519" s="207"/>
      <c r="B1519" s="215"/>
      <c r="C1519" s="215"/>
      <c r="D1519" s="215"/>
      <c r="E1519" s="215"/>
      <c r="F1519" s="215"/>
      <c r="G1519" s="215"/>
      <c r="H1519" s="215"/>
      <c r="I1519" s="207"/>
      <c r="J1519" s="215"/>
      <c r="K1519" s="207"/>
      <c r="L1519" s="215"/>
      <c r="M1519" s="323"/>
      <c r="N1519" s="215"/>
      <c r="O1519" s="323"/>
      <c r="P1519" s="215"/>
      <c r="Q1519" s="207"/>
      <c r="R1519" s="323"/>
      <c r="S1519" s="323"/>
      <c r="T1519" s="664"/>
      <c r="U1519" s="215"/>
      <c r="V1519" s="215"/>
    </row>
    <row r="1520" ht="15.0" customHeight="1">
      <c r="A1520" s="207"/>
      <c r="B1520" s="215"/>
      <c r="C1520" s="215"/>
      <c r="D1520" s="215"/>
      <c r="E1520" s="215"/>
      <c r="F1520" s="215"/>
      <c r="G1520" s="215"/>
      <c r="H1520" s="215"/>
      <c r="I1520" s="207"/>
      <c r="J1520" s="215"/>
      <c r="K1520" s="207"/>
      <c r="L1520" s="215"/>
      <c r="M1520" s="323"/>
      <c r="N1520" s="215"/>
      <c r="O1520" s="323"/>
      <c r="P1520" s="215"/>
      <c r="Q1520" s="207"/>
      <c r="R1520" s="323"/>
      <c r="S1520" s="323"/>
      <c r="T1520" s="664"/>
      <c r="U1520" s="215"/>
      <c r="V1520" s="215"/>
    </row>
    <row r="1521" ht="15.0" customHeight="1">
      <c r="A1521" s="207"/>
      <c r="B1521" s="215"/>
      <c r="C1521" s="215"/>
      <c r="D1521" s="215"/>
      <c r="E1521" s="215"/>
      <c r="F1521" s="215"/>
      <c r="G1521" s="215"/>
      <c r="H1521" s="215"/>
      <c r="I1521" s="207"/>
      <c r="J1521" s="215"/>
      <c r="K1521" s="207"/>
      <c r="L1521" s="215"/>
      <c r="M1521" s="323"/>
      <c r="N1521" s="215"/>
      <c r="O1521" s="323"/>
      <c r="P1521" s="215"/>
      <c r="Q1521" s="207"/>
      <c r="R1521" s="323"/>
      <c r="S1521" s="323"/>
      <c r="T1521" s="664"/>
      <c r="U1521" s="215"/>
      <c r="V1521" s="215"/>
    </row>
    <row r="1522" ht="15.0" customHeight="1">
      <c r="A1522" s="207"/>
      <c r="B1522" s="215"/>
      <c r="C1522" s="215"/>
      <c r="D1522" s="215"/>
      <c r="E1522" s="215"/>
      <c r="F1522" s="215"/>
      <c r="G1522" s="215"/>
      <c r="H1522" s="215"/>
      <c r="I1522" s="207"/>
      <c r="J1522" s="215"/>
      <c r="K1522" s="207"/>
      <c r="L1522" s="215"/>
      <c r="M1522" s="323"/>
      <c r="N1522" s="215"/>
      <c r="O1522" s="323"/>
      <c r="P1522" s="215"/>
      <c r="Q1522" s="207"/>
      <c r="R1522" s="323"/>
      <c r="S1522" s="323"/>
      <c r="T1522" s="664"/>
      <c r="U1522" s="215"/>
      <c r="V1522" s="215"/>
    </row>
    <row r="1523" ht="15.0" customHeight="1">
      <c r="A1523" s="207"/>
      <c r="B1523" s="215"/>
      <c r="C1523" s="215"/>
      <c r="D1523" s="215"/>
      <c r="E1523" s="215"/>
      <c r="F1523" s="215"/>
      <c r="G1523" s="215"/>
      <c r="H1523" s="215"/>
      <c r="I1523" s="207"/>
      <c r="J1523" s="215"/>
      <c r="K1523" s="207"/>
      <c r="L1523" s="215"/>
      <c r="M1523" s="323"/>
      <c r="N1523" s="215"/>
      <c r="O1523" s="323"/>
      <c r="P1523" s="215"/>
      <c r="Q1523" s="207"/>
      <c r="R1523" s="323"/>
      <c r="S1523" s="323"/>
      <c r="T1523" s="664"/>
      <c r="U1523" s="215"/>
      <c r="V1523" s="215"/>
    </row>
    <row r="1524" ht="15.0" customHeight="1">
      <c r="A1524" s="207"/>
      <c r="B1524" s="215"/>
      <c r="C1524" s="215"/>
      <c r="D1524" s="215"/>
      <c r="E1524" s="215"/>
      <c r="F1524" s="215"/>
      <c r="G1524" s="215"/>
      <c r="H1524" s="215"/>
      <c r="I1524" s="207"/>
      <c r="J1524" s="215"/>
      <c r="K1524" s="207"/>
      <c r="L1524" s="215"/>
      <c r="M1524" s="323"/>
      <c r="N1524" s="215"/>
      <c r="O1524" s="323"/>
      <c r="P1524" s="215"/>
      <c r="Q1524" s="207"/>
      <c r="R1524" s="323"/>
      <c r="S1524" s="323"/>
      <c r="T1524" s="664"/>
      <c r="U1524" s="215"/>
      <c r="V1524" s="215"/>
    </row>
    <row r="1525" ht="15.0" customHeight="1">
      <c r="A1525" s="207"/>
      <c r="B1525" s="215"/>
      <c r="C1525" s="215"/>
      <c r="D1525" s="215"/>
      <c r="E1525" s="215"/>
      <c r="F1525" s="215"/>
      <c r="G1525" s="215"/>
      <c r="H1525" s="215"/>
      <c r="I1525" s="207"/>
      <c r="J1525" s="215"/>
      <c r="K1525" s="207"/>
      <c r="L1525" s="215"/>
      <c r="M1525" s="323"/>
      <c r="N1525" s="215"/>
      <c r="O1525" s="323"/>
      <c r="P1525" s="215"/>
      <c r="Q1525" s="207"/>
      <c r="R1525" s="323"/>
      <c r="S1525" s="323"/>
      <c r="T1525" s="664"/>
      <c r="U1525" s="215"/>
      <c r="V1525" s="215"/>
    </row>
    <row r="1526" ht="15.0" customHeight="1">
      <c r="A1526" s="207"/>
      <c r="B1526" s="215"/>
      <c r="C1526" s="215"/>
      <c r="D1526" s="215"/>
      <c r="E1526" s="215"/>
      <c r="F1526" s="215"/>
      <c r="G1526" s="215"/>
      <c r="H1526" s="215"/>
      <c r="I1526" s="207"/>
      <c r="J1526" s="215"/>
      <c r="K1526" s="207"/>
      <c r="L1526" s="215"/>
      <c r="M1526" s="323"/>
      <c r="N1526" s="215"/>
      <c r="O1526" s="323"/>
      <c r="P1526" s="215"/>
      <c r="Q1526" s="207"/>
      <c r="R1526" s="323"/>
      <c r="S1526" s="323"/>
      <c r="T1526" s="664"/>
      <c r="U1526" s="215"/>
      <c r="V1526" s="215"/>
    </row>
    <row r="1527" ht="15.0" customHeight="1">
      <c r="A1527" s="207"/>
      <c r="B1527" s="215"/>
      <c r="C1527" s="215"/>
      <c r="D1527" s="215"/>
      <c r="E1527" s="215"/>
      <c r="F1527" s="215"/>
      <c r="G1527" s="215"/>
      <c r="H1527" s="215"/>
      <c r="I1527" s="207"/>
      <c r="J1527" s="215"/>
      <c r="K1527" s="207"/>
      <c r="L1527" s="215"/>
      <c r="M1527" s="323"/>
      <c r="N1527" s="215"/>
      <c r="O1527" s="323"/>
      <c r="P1527" s="215"/>
      <c r="Q1527" s="207"/>
      <c r="R1527" s="323"/>
      <c r="S1527" s="323"/>
      <c r="T1527" s="664"/>
      <c r="U1527" s="215"/>
      <c r="V1527" s="215"/>
    </row>
    <row r="1528" ht="15.0" customHeight="1">
      <c r="A1528" s="207"/>
      <c r="B1528" s="215"/>
      <c r="C1528" s="215"/>
      <c r="D1528" s="215"/>
      <c r="E1528" s="215"/>
      <c r="F1528" s="215"/>
      <c r="G1528" s="215"/>
      <c r="H1528" s="215"/>
      <c r="I1528" s="207"/>
      <c r="J1528" s="215"/>
      <c r="K1528" s="207"/>
      <c r="L1528" s="215"/>
      <c r="M1528" s="323"/>
      <c r="N1528" s="215"/>
      <c r="O1528" s="323"/>
      <c r="P1528" s="215"/>
      <c r="Q1528" s="207"/>
      <c r="R1528" s="323"/>
      <c r="S1528" s="323"/>
      <c r="T1528" s="664"/>
      <c r="U1528" s="215"/>
      <c r="V1528" s="215"/>
    </row>
    <row r="1529" ht="15.0" customHeight="1">
      <c r="A1529" s="207"/>
      <c r="B1529" s="215"/>
      <c r="C1529" s="215"/>
      <c r="D1529" s="215"/>
      <c r="E1529" s="215"/>
      <c r="F1529" s="215"/>
      <c r="G1529" s="215"/>
      <c r="H1529" s="215"/>
      <c r="I1529" s="207"/>
      <c r="J1529" s="215"/>
      <c r="K1529" s="207"/>
      <c r="L1529" s="215"/>
      <c r="M1529" s="323"/>
      <c r="N1529" s="215"/>
      <c r="O1529" s="323"/>
      <c r="P1529" s="215"/>
      <c r="Q1529" s="207"/>
      <c r="R1529" s="323"/>
      <c r="S1529" s="323"/>
      <c r="T1529" s="664"/>
      <c r="U1529" s="215"/>
      <c r="V1529" s="215"/>
    </row>
    <row r="1530" ht="15.0" customHeight="1">
      <c r="A1530" s="207"/>
      <c r="B1530" s="215"/>
      <c r="C1530" s="215"/>
      <c r="D1530" s="215"/>
      <c r="E1530" s="215"/>
      <c r="F1530" s="215"/>
      <c r="G1530" s="215"/>
      <c r="H1530" s="215"/>
      <c r="I1530" s="207"/>
      <c r="J1530" s="215"/>
      <c r="K1530" s="207"/>
      <c r="L1530" s="215"/>
      <c r="M1530" s="323"/>
      <c r="N1530" s="215"/>
      <c r="O1530" s="323"/>
      <c r="P1530" s="215"/>
      <c r="Q1530" s="207"/>
      <c r="R1530" s="323"/>
      <c r="S1530" s="323"/>
      <c r="T1530" s="664"/>
      <c r="U1530" s="215"/>
      <c r="V1530" s="215"/>
    </row>
    <row r="1531" ht="15.0" customHeight="1">
      <c r="A1531" s="207"/>
      <c r="B1531" s="215"/>
      <c r="C1531" s="215"/>
      <c r="D1531" s="215"/>
      <c r="E1531" s="215"/>
      <c r="F1531" s="215"/>
      <c r="G1531" s="215"/>
      <c r="H1531" s="215"/>
      <c r="I1531" s="207"/>
      <c r="J1531" s="215"/>
      <c r="K1531" s="207"/>
      <c r="L1531" s="215"/>
      <c r="M1531" s="323"/>
      <c r="N1531" s="215"/>
      <c r="O1531" s="323"/>
      <c r="P1531" s="215"/>
      <c r="Q1531" s="207"/>
      <c r="R1531" s="323"/>
      <c r="S1531" s="323"/>
      <c r="T1531" s="664"/>
      <c r="U1531" s="215"/>
      <c r="V1531" s="215"/>
    </row>
    <row r="1532" ht="15.0" customHeight="1">
      <c r="A1532" s="207"/>
      <c r="B1532" s="215"/>
      <c r="C1532" s="215"/>
      <c r="D1532" s="215"/>
      <c r="E1532" s="215"/>
      <c r="F1532" s="215"/>
      <c r="G1532" s="215"/>
      <c r="H1532" s="215"/>
      <c r="I1532" s="207"/>
      <c r="J1532" s="215"/>
      <c r="K1532" s="207"/>
      <c r="L1532" s="215"/>
      <c r="M1532" s="323"/>
      <c r="N1532" s="215"/>
      <c r="O1532" s="323"/>
      <c r="P1532" s="215"/>
      <c r="Q1532" s="207"/>
      <c r="R1532" s="323"/>
      <c r="S1532" s="323"/>
      <c r="T1532" s="664"/>
      <c r="U1532" s="215"/>
      <c r="V1532" s="215"/>
    </row>
    <row r="1533" ht="15.0" customHeight="1">
      <c r="A1533" s="207"/>
      <c r="B1533" s="215"/>
      <c r="C1533" s="215"/>
      <c r="D1533" s="215"/>
      <c r="E1533" s="215"/>
      <c r="F1533" s="215"/>
      <c r="G1533" s="215"/>
      <c r="H1533" s="215"/>
      <c r="I1533" s="207"/>
      <c r="J1533" s="215"/>
      <c r="K1533" s="207"/>
      <c r="L1533" s="215"/>
      <c r="M1533" s="323"/>
      <c r="N1533" s="215"/>
      <c r="O1533" s="323"/>
      <c r="P1533" s="215"/>
      <c r="Q1533" s="207"/>
      <c r="R1533" s="323"/>
      <c r="S1533" s="323"/>
      <c r="T1533" s="664"/>
      <c r="U1533" s="215"/>
      <c r="V1533" s="215"/>
    </row>
    <row r="1534" ht="15.0" customHeight="1">
      <c r="A1534" s="207"/>
      <c r="B1534" s="215"/>
      <c r="C1534" s="215"/>
      <c r="D1534" s="215"/>
      <c r="E1534" s="215"/>
      <c r="F1534" s="215"/>
      <c r="G1534" s="215"/>
      <c r="H1534" s="215"/>
      <c r="I1534" s="207"/>
      <c r="J1534" s="215"/>
      <c r="K1534" s="207"/>
      <c r="L1534" s="215"/>
      <c r="M1534" s="323"/>
      <c r="N1534" s="215"/>
      <c r="O1534" s="323"/>
      <c r="P1534" s="215"/>
      <c r="Q1534" s="207"/>
      <c r="R1534" s="323"/>
      <c r="S1534" s="323"/>
      <c r="T1534" s="664"/>
      <c r="U1534" s="215"/>
      <c r="V1534" s="215"/>
    </row>
    <row r="1535" ht="15.0" customHeight="1">
      <c r="A1535" s="207"/>
      <c r="B1535" s="215"/>
      <c r="C1535" s="215"/>
      <c r="D1535" s="215"/>
      <c r="E1535" s="215"/>
      <c r="F1535" s="215"/>
      <c r="G1535" s="215"/>
      <c r="H1535" s="215"/>
      <c r="I1535" s="207"/>
      <c r="J1535" s="215"/>
      <c r="K1535" s="207"/>
      <c r="L1535" s="215"/>
      <c r="M1535" s="323"/>
      <c r="N1535" s="215"/>
      <c r="O1535" s="323"/>
      <c r="P1535" s="215"/>
      <c r="Q1535" s="207"/>
      <c r="R1535" s="323"/>
      <c r="S1535" s="323"/>
      <c r="T1535" s="664"/>
      <c r="U1535" s="215"/>
      <c r="V1535" s="215"/>
    </row>
    <row r="1536" ht="15.0" customHeight="1">
      <c r="A1536" s="207"/>
      <c r="B1536" s="215"/>
      <c r="C1536" s="215"/>
      <c r="D1536" s="215"/>
      <c r="E1536" s="215"/>
      <c r="F1536" s="215"/>
      <c r="G1536" s="215"/>
      <c r="H1536" s="215"/>
      <c r="I1536" s="207"/>
      <c r="J1536" s="215"/>
      <c r="K1536" s="207"/>
      <c r="L1536" s="215"/>
      <c r="M1536" s="323"/>
      <c r="N1536" s="215"/>
      <c r="O1536" s="323"/>
      <c r="P1536" s="215"/>
      <c r="Q1536" s="207"/>
      <c r="R1536" s="323"/>
      <c r="S1536" s="323"/>
      <c r="T1536" s="664"/>
      <c r="U1536" s="215"/>
      <c r="V1536" s="215"/>
    </row>
    <row r="1537" ht="15.0" customHeight="1">
      <c r="A1537" s="207"/>
      <c r="B1537" s="215"/>
      <c r="C1537" s="215"/>
      <c r="D1537" s="215"/>
      <c r="E1537" s="215"/>
      <c r="F1537" s="215"/>
      <c r="G1537" s="215"/>
      <c r="H1537" s="215"/>
      <c r="I1537" s="207"/>
      <c r="J1537" s="215"/>
      <c r="K1537" s="207"/>
      <c r="L1537" s="215"/>
      <c r="M1537" s="323"/>
      <c r="N1537" s="215"/>
      <c r="O1537" s="323"/>
      <c r="P1537" s="215"/>
      <c r="Q1537" s="207"/>
      <c r="R1537" s="323"/>
      <c r="S1537" s="323"/>
      <c r="T1537" s="664"/>
      <c r="U1537" s="215"/>
      <c r="V1537" s="215"/>
    </row>
    <row r="1538" ht="15.0" customHeight="1">
      <c r="A1538" s="207"/>
      <c r="B1538" s="215"/>
      <c r="C1538" s="215"/>
      <c r="D1538" s="215"/>
      <c r="E1538" s="215"/>
      <c r="F1538" s="215"/>
      <c r="G1538" s="215"/>
      <c r="H1538" s="215"/>
      <c r="I1538" s="207"/>
      <c r="J1538" s="215"/>
      <c r="K1538" s="207"/>
      <c r="L1538" s="215"/>
      <c r="M1538" s="323"/>
      <c r="N1538" s="215"/>
      <c r="O1538" s="323"/>
      <c r="P1538" s="215"/>
      <c r="Q1538" s="207"/>
      <c r="R1538" s="323"/>
      <c r="S1538" s="323"/>
      <c r="T1538" s="664"/>
      <c r="U1538" s="215"/>
      <c r="V1538" s="215"/>
    </row>
    <row r="1539" ht="15.0" customHeight="1">
      <c r="A1539" s="207"/>
      <c r="B1539" s="215"/>
      <c r="C1539" s="215"/>
      <c r="D1539" s="215"/>
      <c r="E1539" s="215"/>
      <c r="F1539" s="215"/>
      <c r="G1539" s="215"/>
      <c r="H1539" s="215"/>
      <c r="I1539" s="207"/>
      <c r="J1539" s="215"/>
      <c r="K1539" s="207"/>
      <c r="L1539" s="215"/>
      <c r="M1539" s="323"/>
      <c r="N1539" s="215"/>
      <c r="O1539" s="323"/>
      <c r="P1539" s="215"/>
      <c r="Q1539" s="207"/>
      <c r="R1539" s="323"/>
      <c r="S1539" s="323"/>
      <c r="T1539" s="664"/>
      <c r="U1539" s="215"/>
      <c r="V1539" s="215"/>
    </row>
    <row r="1540" ht="15.0" customHeight="1">
      <c r="A1540" s="207"/>
      <c r="B1540" s="215"/>
      <c r="C1540" s="215"/>
      <c r="D1540" s="215"/>
      <c r="E1540" s="215"/>
      <c r="F1540" s="215"/>
      <c r="G1540" s="215"/>
      <c r="H1540" s="215"/>
      <c r="I1540" s="207"/>
      <c r="J1540" s="215"/>
      <c r="K1540" s="207"/>
      <c r="L1540" s="215"/>
      <c r="M1540" s="323"/>
      <c r="N1540" s="215"/>
      <c r="O1540" s="323"/>
      <c r="P1540" s="215"/>
      <c r="Q1540" s="207"/>
      <c r="R1540" s="323"/>
      <c r="S1540" s="323"/>
      <c r="T1540" s="664"/>
      <c r="U1540" s="215"/>
      <c r="V1540" s="215"/>
    </row>
    <row r="1541" ht="15.0" customHeight="1">
      <c r="A1541" s="207"/>
      <c r="B1541" s="215"/>
      <c r="C1541" s="215"/>
      <c r="D1541" s="215"/>
      <c r="E1541" s="215"/>
      <c r="F1541" s="215"/>
      <c r="G1541" s="215"/>
      <c r="H1541" s="215"/>
      <c r="I1541" s="207"/>
      <c r="J1541" s="215"/>
      <c r="K1541" s="207"/>
      <c r="L1541" s="215"/>
      <c r="M1541" s="323"/>
      <c r="N1541" s="215"/>
      <c r="O1541" s="323"/>
      <c r="P1541" s="215"/>
      <c r="Q1541" s="207"/>
      <c r="R1541" s="323"/>
      <c r="S1541" s="323"/>
      <c r="T1541" s="664"/>
      <c r="U1541" s="215"/>
      <c r="V1541" s="215"/>
    </row>
    <row r="1542" ht="15.0" customHeight="1">
      <c r="A1542" s="207"/>
      <c r="B1542" s="215"/>
      <c r="C1542" s="215"/>
      <c r="D1542" s="215"/>
      <c r="E1542" s="215"/>
      <c r="F1542" s="215"/>
      <c r="G1542" s="215"/>
      <c r="H1542" s="215"/>
      <c r="I1542" s="207"/>
      <c r="J1542" s="215"/>
      <c r="K1542" s="207"/>
      <c r="L1542" s="215"/>
      <c r="M1542" s="323"/>
      <c r="N1542" s="215"/>
      <c r="O1542" s="323"/>
      <c r="P1542" s="215"/>
      <c r="Q1542" s="207"/>
      <c r="R1542" s="323"/>
      <c r="S1542" s="323"/>
      <c r="T1542" s="664"/>
      <c r="U1542" s="215"/>
      <c r="V1542" s="215"/>
    </row>
    <row r="1543" ht="15.0" customHeight="1">
      <c r="A1543" s="207"/>
      <c r="B1543" s="215"/>
      <c r="C1543" s="215"/>
      <c r="D1543" s="215"/>
      <c r="E1543" s="215"/>
      <c r="F1543" s="215"/>
      <c r="G1543" s="215"/>
      <c r="H1543" s="215"/>
      <c r="I1543" s="207"/>
      <c r="J1543" s="215"/>
      <c r="K1543" s="207"/>
      <c r="L1543" s="215"/>
      <c r="M1543" s="323"/>
      <c r="N1543" s="215"/>
      <c r="O1543" s="323"/>
      <c r="P1543" s="215"/>
      <c r="Q1543" s="207"/>
      <c r="R1543" s="323"/>
      <c r="S1543" s="323"/>
      <c r="T1543" s="664"/>
      <c r="U1543" s="215"/>
      <c r="V1543" s="215"/>
    </row>
    <row r="1544" ht="15.0" customHeight="1">
      <c r="A1544" s="207"/>
      <c r="B1544" s="215"/>
      <c r="C1544" s="215"/>
      <c r="D1544" s="215"/>
      <c r="E1544" s="215"/>
      <c r="F1544" s="215"/>
      <c r="G1544" s="215"/>
      <c r="H1544" s="215"/>
      <c r="I1544" s="207"/>
      <c r="J1544" s="215"/>
      <c r="K1544" s="207"/>
      <c r="L1544" s="215"/>
      <c r="M1544" s="323"/>
      <c r="N1544" s="215"/>
      <c r="O1544" s="323"/>
      <c r="P1544" s="215"/>
      <c r="Q1544" s="207"/>
      <c r="R1544" s="323"/>
      <c r="S1544" s="323"/>
      <c r="T1544" s="664"/>
      <c r="U1544" s="215"/>
      <c r="V1544" s="215"/>
    </row>
    <row r="1545" ht="15.0" customHeight="1">
      <c r="A1545" s="207"/>
      <c r="B1545" s="215"/>
      <c r="C1545" s="215"/>
      <c r="D1545" s="215"/>
      <c r="E1545" s="215"/>
      <c r="F1545" s="215"/>
      <c r="G1545" s="215"/>
      <c r="H1545" s="215"/>
      <c r="I1545" s="207"/>
      <c r="J1545" s="215"/>
      <c r="K1545" s="207"/>
      <c r="L1545" s="215"/>
      <c r="M1545" s="323"/>
      <c r="N1545" s="215"/>
      <c r="O1545" s="323"/>
      <c r="P1545" s="215"/>
      <c r="Q1545" s="207"/>
      <c r="R1545" s="323"/>
      <c r="S1545" s="323"/>
      <c r="T1545" s="664"/>
      <c r="U1545" s="215"/>
      <c r="V1545" s="215"/>
    </row>
    <row r="1546" ht="15.0" customHeight="1">
      <c r="A1546" s="207"/>
      <c r="B1546" s="215"/>
      <c r="C1546" s="215"/>
      <c r="D1546" s="215"/>
      <c r="E1546" s="215"/>
      <c r="F1546" s="215"/>
      <c r="G1546" s="215"/>
      <c r="H1546" s="215"/>
      <c r="I1546" s="207"/>
      <c r="J1546" s="215"/>
      <c r="K1546" s="207"/>
      <c r="L1546" s="215"/>
      <c r="M1546" s="323"/>
      <c r="N1546" s="215"/>
      <c r="O1546" s="323"/>
      <c r="P1546" s="215"/>
      <c r="Q1546" s="207"/>
      <c r="R1546" s="323"/>
      <c r="S1546" s="323"/>
      <c r="T1546" s="664"/>
      <c r="U1546" s="215"/>
      <c r="V1546" s="215"/>
    </row>
    <row r="1547" ht="15.0" customHeight="1">
      <c r="A1547" s="207"/>
      <c r="B1547" s="215"/>
      <c r="C1547" s="215"/>
      <c r="D1547" s="215"/>
      <c r="E1547" s="215"/>
      <c r="F1547" s="215"/>
      <c r="G1547" s="215"/>
      <c r="H1547" s="215"/>
      <c r="I1547" s="207"/>
      <c r="J1547" s="215"/>
      <c r="K1547" s="207"/>
      <c r="L1547" s="215"/>
      <c r="M1547" s="323"/>
      <c r="N1547" s="215"/>
      <c r="O1547" s="323"/>
      <c r="P1547" s="215"/>
      <c r="Q1547" s="207"/>
      <c r="R1547" s="323"/>
      <c r="S1547" s="323"/>
      <c r="T1547" s="664"/>
      <c r="U1547" s="215"/>
      <c r="V1547" s="215"/>
    </row>
    <row r="1548" ht="15.0" customHeight="1">
      <c r="A1548" s="207"/>
      <c r="B1548" s="215"/>
      <c r="C1548" s="215"/>
      <c r="D1548" s="215"/>
      <c r="E1548" s="215"/>
      <c r="F1548" s="215"/>
      <c r="G1548" s="215"/>
      <c r="H1548" s="215"/>
      <c r="I1548" s="207"/>
      <c r="J1548" s="215"/>
      <c r="K1548" s="207"/>
      <c r="L1548" s="215"/>
      <c r="M1548" s="323"/>
      <c r="N1548" s="215"/>
      <c r="O1548" s="323"/>
      <c r="P1548" s="215"/>
      <c r="Q1548" s="207"/>
      <c r="R1548" s="323"/>
      <c r="S1548" s="323"/>
      <c r="T1548" s="664"/>
      <c r="U1548" s="215"/>
      <c r="V1548" s="215"/>
    </row>
    <row r="1549" ht="15.0" customHeight="1">
      <c r="A1549" s="207"/>
      <c r="B1549" s="215"/>
      <c r="C1549" s="215"/>
      <c r="D1549" s="215"/>
      <c r="E1549" s="215"/>
      <c r="F1549" s="215"/>
      <c r="G1549" s="215"/>
      <c r="H1549" s="215"/>
      <c r="I1549" s="207"/>
      <c r="J1549" s="215"/>
      <c r="K1549" s="207"/>
      <c r="L1549" s="215"/>
      <c r="M1549" s="323"/>
      <c r="N1549" s="215"/>
      <c r="O1549" s="323"/>
      <c r="P1549" s="215"/>
      <c r="Q1549" s="207"/>
      <c r="R1549" s="323"/>
      <c r="S1549" s="323"/>
      <c r="T1549" s="664"/>
      <c r="U1549" s="215"/>
      <c r="V1549" s="215"/>
    </row>
    <row r="1550" ht="15.0" customHeight="1">
      <c r="A1550" s="207"/>
      <c r="B1550" s="215"/>
      <c r="C1550" s="215"/>
      <c r="D1550" s="215"/>
      <c r="E1550" s="215"/>
      <c r="F1550" s="215"/>
      <c r="G1550" s="215"/>
      <c r="H1550" s="215"/>
      <c r="I1550" s="207"/>
      <c r="J1550" s="215"/>
      <c r="K1550" s="207"/>
      <c r="L1550" s="215"/>
      <c r="M1550" s="323"/>
      <c r="N1550" s="215"/>
      <c r="O1550" s="323"/>
      <c r="P1550" s="215"/>
      <c r="Q1550" s="207"/>
      <c r="R1550" s="323"/>
      <c r="S1550" s="323"/>
      <c r="T1550" s="664"/>
      <c r="U1550" s="215"/>
      <c r="V1550" s="215"/>
    </row>
    <row r="1551" ht="15.0" customHeight="1">
      <c r="A1551" s="207"/>
      <c r="B1551" s="215"/>
      <c r="C1551" s="215"/>
      <c r="D1551" s="215"/>
      <c r="E1551" s="215"/>
      <c r="F1551" s="215"/>
      <c r="G1551" s="215"/>
      <c r="H1551" s="215"/>
      <c r="I1551" s="207"/>
      <c r="J1551" s="215"/>
      <c r="K1551" s="207"/>
      <c r="L1551" s="215"/>
      <c r="M1551" s="323"/>
      <c r="N1551" s="215"/>
      <c r="O1551" s="323"/>
      <c r="P1551" s="215"/>
      <c r="Q1551" s="207"/>
      <c r="R1551" s="323"/>
      <c r="S1551" s="323"/>
      <c r="T1551" s="664"/>
      <c r="U1551" s="215"/>
      <c r="V1551" s="215"/>
    </row>
    <row r="1552" ht="15.0" customHeight="1">
      <c r="A1552" s="207"/>
      <c r="B1552" s="215"/>
      <c r="C1552" s="215"/>
      <c r="D1552" s="215"/>
      <c r="E1552" s="215"/>
      <c r="F1552" s="215"/>
      <c r="G1552" s="215"/>
      <c r="H1552" s="215"/>
      <c r="I1552" s="207"/>
      <c r="J1552" s="215"/>
      <c r="K1552" s="207"/>
      <c r="L1552" s="215"/>
      <c r="M1552" s="323"/>
      <c r="N1552" s="215"/>
      <c r="O1552" s="323"/>
      <c r="P1552" s="215"/>
      <c r="Q1552" s="207"/>
      <c r="R1552" s="323"/>
      <c r="S1552" s="323"/>
      <c r="T1552" s="664"/>
      <c r="U1552" s="215"/>
      <c r="V1552" s="215"/>
    </row>
    <row r="1553" ht="15.0" customHeight="1">
      <c r="A1553" s="207"/>
      <c r="B1553" s="215"/>
      <c r="C1553" s="215"/>
      <c r="D1553" s="215"/>
      <c r="E1553" s="215"/>
      <c r="F1553" s="215"/>
      <c r="G1553" s="215"/>
      <c r="H1553" s="215"/>
      <c r="I1553" s="207"/>
      <c r="J1553" s="215"/>
      <c r="K1553" s="207"/>
      <c r="L1553" s="215"/>
      <c r="M1553" s="323"/>
      <c r="N1553" s="215"/>
      <c r="O1553" s="323"/>
      <c r="P1553" s="215"/>
      <c r="Q1553" s="207"/>
      <c r="R1553" s="323"/>
      <c r="S1553" s="323"/>
      <c r="T1553" s="664"/>
      <c r="U1553" s="215"/>
      <c r="V1553" s="215"/>
    </row>
    <row r="1554" ht="15.0" customHeight="1">
      <c r="A1554" s="207"/>
      <c r="B1554" s="215"/>
      <c r="C1554" s="215"/>
      <c r="D1554" s="215"/>
      <c r="E1554" s="215"/>
      <c r="F1554" s="215"/>
      <c r="G1554" s="215"/>
      <c r="H1554" s="215"/>
      <c r="I1554" s="207"/>
      <c r="J1554" s="215"/>
      <c r="K1554" s="207"/>
      <c r="L1554" s="215"/>
      <c r="M1554" s="323"/>
      <c r="N1554" s="215"/>
      <c r="O1554" s="323"/>
      <c r="P1554" s="215"/>
      <c r="Q1554" s="207"/>
      <c r="R1554" s="323"/>
      <c r="S1554" s="323"/>
      <c r="T1554" s="664"/>
      <c r="U1554" s="215"/>
      <c r="V1554" s="215"/>
    </row>
    <row r="1555" ht="15.0" customHeight="1">
      <c r="A1555" s="207"/>
      <c r="B1555" s="215"/>
      <c r="C1555" s="215"/>
      <c r="D1555" s="215"/>
      <c r="E1555" s="215"/>
      <c r="F1555" s="215"/>
      <c r="G1555" s="215"/>
      <c r="H1555" s="215"/>
      <c r="I1555" s="207"/>
      <c r="J1555" s="215"/>
      <c r="K1555" s="207"/>
      <c r="L1555" s="215"/>
      <c r="M1555" s="323"/>
      <c r="N1555" s="215"/>
      <c r="O1555" s="323"/>
      <c r="P1555" s="215"/>
      <c r="Q1555" s="207"/>
      <c r="R1555" s="323"/>
      <c r="S1555" s="323"/>
      <c r="T1555" s="664"/>
      <c r="U1555" s="215"/>
      <c r="V1555" s="215"/>
    </row>
    <row r="1556" ht="15.0" customHeight="1">
      <c r="A1556" s="207"/>
      <c r="B1556" s="215"/>
      <c r="C1556" s="215"/>
      <c r="D1556" s="215"/>
      <c r="E1556" s="215"/>
      <c r="F1556" s="215"/>
      <c r="G1556" s="215"/>
      <c r="H1556" s="215"/>
      <c r="I1556" s="207"/>
      <c r="J1556" s="215"/>
      <c r="K1556" s="207"/>
      <c r="L1556" s="215"/>
      <c r="M1556" s="323"/>
      <c r="N1556" s="215"/>
      <c r="O1556" s="323"/>
      <c r="P1556" s="215"/>
      <c r="Q1556" s="207"/>
      <c r="R1556" s="323"/>
      <c r="S1556" s="323"/>
      <c r="T1556" s="664"/>
      <c r="U1556" s="215"/>
      <c r="V1556" s="215"/>
    </row>
    <row r="1557" ht="15.0" customHeight="1">
      <c r="A1557" s="207"/>
      <c r="B1557" s="215"/>
      <c r="C1557" s="215"/>
      <c r="D1557" s="215"/>
      <c r="E1557" s="215"/>
      <c r="F1557" s="215"/>
      <c r="G1557" s="215"/>
      <c r="H1557" s="215"/>
      <c r="I1557" s="207"/>
      <c r="J1557" s="215"/>
      <c r="K1557" s="207"/>
      <c r="L1557" s="215"/>
      <c r="M1557" s="323"/>
      <c r="N1557" s="215"/>
      <c r="O1557" s="323"/>
      <c r="P1557" s="215"/>
      <c r="Q1557" s="207"/>
      <c r="R1557" s="323"/>
      <c r="S1557" s="323"/>
      <c r="T1557" s="664"/>
      <c r="U1557" s="215"/>
      <c r="V1557" s="215"/>
    </row>
    <row r="1558" ht="15.0" customHeight="1">
      <c r="A1558" s="207"/>
      <c r="B1558" s="215"/>
      <c r="C1558" s="215"/>
      <c r="D1558" s="215"/>
      <c r="E1558" s="215"/>
      <c r="F1558" s="215"/>
      <c r="G1558" s="215"/>
      <c r="H1558" s="215"/>
      <c r="I1558" s="207"/>
      <c r="J1558" s="215"/>
      <c r="K1558" s="207"/>
      <c r="L1558" s="215"/>
      <c r="M1558" s="323"/>
      <c r="N1558" s="215"/>
      <c r="O1558" s="323"/>
      <c r="P1558" s="215"/>
      <c r="Q1558" s="207"/>
      <c r="R1558" s="323"/>
      <c r="S1558" s="323"/>
      <c r="T1558" s="664"/>
      <c r="U1558" s="215"/>
      <c r="V1558" s="215"/>
    </row>
    <row r="1559" ht="15.0" customHeight="1">
      <c r="A1559" s="207"/>
      <c r="B1559" s="215"/>
      <c r="C1559" s="215"/>
      <c r="D1559" s="215"/>
      <c r="E1559" s="215"/>
      <c r="F1559" s="215"/>
      <c r="G1559" s="215"/>
      <c r="H1559" s="215"/>
      <c r="I1559" s="207"/>
      <c r="J1559" s="215"/>
      <c r="K1559" s="207"/>
      <c r="L1559" s="215"/>
      <c r="M1559" s="323"/>
      <c r="N1559" s="215"/>
      <c r="O1559" s="323"/>
      <c r="P1559" s="215"/>
      <c r="Q1559" s="207"/>
      <c r="R1559" s="323"/>
      <c r="S1559" s="323"/>
      <c r="T1559" s="664"/>
      <c r="U1559" s="215"/>
      <c r="V1559" s="215"/>
    </row>
    <row r="1560" ht="15.0" customHeight="1">
      <c r="A1560" s="207"/>
      <c r="B1560" s="215"/>
      <c r="C1560" s="215"/>
      <c r="D1560" s="215"/>
      <c r="E1560" s="215"/>
      <c r="F1560" s="215"/>
      <c r="G1560" s="215"/>
      <c r="H1560" s="215"/>
      <c r="I1560" s="207"/>
      <c r="J1560" s="215"/>
      <c r="K1560" s="207"/>
      <c r="L1560" s="215"/>
      <c r="M1560" s="323"/>
      <c r="N1560" s="215"/>
      <c r="O1560" s="323"/>
      <c r="P1560" s="215"/>
      <c r="Q1560" s="207"/>
      <c r="R1560" s="323"/>
      <c r="S1560" s="323"/>
      <c r="T1560" s="664"/>
      <c r="U1560" s="215"/>
      <c r="V1560" s="215"/>
    </row>
    <row r="1561" ht="15.0" customHeight="1">
      <c r="A1561" s="207"/>
      <c r="B1561" s="215"/>
      <c r="C1561" s="215"/>
      <c r="D1561" s="215"/>
      <c r="E1561" s="215"/>
      <c r="F1561" s="215"/>
      <c r="G1561" s="215"/>
      <c r="H1561" s="215"/>
      <c r="I1561" s="207"/>
      <c r="J1561" s="215"/>
      <c r="K1561" s="207"/>
      <c r="L1561" s="215"/>
      <c r="M1561" s="323"/>
      <c r="N1561" s="215"/>
      <c r="O1561" s="323"/>
      <c r="P1561" s="215"/>
      <c r="Q1561" s="207"/>
      <c r="R1561" s="323"/>
      <c r="S1561" s="323"/>
      <c r="T1561" s="664"/>
      <c r="U1561" s="215"/>
      <c r="V1561" s="215"/>
    </row>
    <row r="1562" ht="15.0" customHeight="1">
      <c r="A1562" s="207"/>
      <c r="B1562" s="215"/>
      <c r="C1562" s="215"/>
      <c r="D1562" s="215"/>
      <c r="E1562" s="215"/>
      <c r="F1562" s="215"/>
      <c r="G1562" s="215"/>
      <c r="H1562" s="215"/>
      <c r="I1562" s="207"/>
      <c r="J1562" s="215"/>
      <c r="K1562" s="207"/>
      <c r="L1562" s="215"/>
      <c r="M1562" s="323"/>
      <c r="N1562" s="215"/>
      <c r="O1562" s="323"/>
      <c r="P1562" s="215"/>
      <c r="Q1562" s="207"/>
      <c r="R1562" s="323"/>
      <c r="S1562" s="323"/>
      <c r="T1562" s="664"/>
      <c r="U1562" s="215"/>
      <c r="V1562" s="215"/>
    </row>
    <row r="1563" ht="15.0" customHeight="1">
      <c r="A1563" s="207"/>
      <c r="B1563" s="215"/>
      <c r="C1563" s="215"/>
      <c r="D1563" s="215"/>
      <c r="E1563" s="215"/>
      <c r="F1563" s="215"/>
      <c r="G1563" s="215"/>
      <c r="H1563" s="215"/>
      <c r="I1563" s="207"/>
      <c r="J1563" s="215"/>
      <c r="K1563" s="207"/>
      <c r="L1563" s="215"/>
      <c r="M1563" s="323"/>
      <c r="N1563" s="215"/>
      <c r="O1563" s="323"/>
      <c r="P1563" s="215"/>
      <c r="Q1563" s="207"/>
      <c r="R1563" s="323"/>
      <c r="S1563" s="323"/>
      <c r="T1563" s="664"/>
      <c r="U1563" s="215"/>
      <c r="V1563" s="215"/>
    </row>
    <row r="1564" ht="15.0" customHeight="1">
      <c r="A1564" s="207"/>
      <c r="B1564" s="215"/>
      <c r="C1564" s="215"/>
      <c r="D1564" s="215"/>
      <c r="E1564" s="215"/>
      <c r="F1564" s="215"/>
      <c r="G1564" s="215"/>
      <c r="H1564" s="215"/>
      <c r="I1564" s="207"/>
      <c r="J1564" s="215"/>
      <c r="K1564" s="207"/>
      <c r="L1564" s="215"/>
      <c r="M1564" s="323"/>
      <c r="N1564" s="215"/>
      <c r="O1564" s="323"/>
      <c r="P1564" s="215"/>
      <c r="Q1564" s="207"/>
      <c r="R1564" s="323"/>
      <c r="S1564" s="323"/>
      <c r="T1564" s="664"/>
      <c r="U1564" s="215"/>
      <c r="V1564" s="215"/>
    </row>
    <row r="1565" ht="15.0" customHeight="1">
      <c r="A1565" s="207"/>
      <c r="B1565" s="215"/>
      <c r="C1565" s="215"/>
      <c r="D1565" s="215"/>
      <c r="E1565" s="215"/>
      <c r="F1565" s="215"/>
      <c r="G1565" s="215"/>
      <c r="H1565" s="215"/>
      <c r="I1565" s="207"/>
      <c r="J1565" s="215"/>
      <c r="K1565" s="207"/>
      <c r="L1565" s="215"/>
      <c r="M1565" s="323"/>
      <c r="N1565" s="215"/>
      <c r="O1565" s="323"/>
      <c r="P1565" s="215"/>
      <c r="Q1565" s="207"/>
      <c r="R1565" s="323"/>
      <c r="S1565" s="323"/>
      <c r="T1565" s="664"/>
      <c r="U1565" s="215"/>
      <c r="V1565" s="215"/>
    </row>
    <row r="1566" ht="15.0" customHeight="1">
      <c r="A1566" s="207"/>
      <c r="B1566" s="215"/>
      <c r="C1566" s="215"/>
      <c r="D1566" s="215"/>
      <c r="E1566" s="215"/>
      <c r="F1566" s="215"/>
      <c r="G1566" s="215"/>
      <c r="H1566" s="215"/>
      <c r="I1566" s="207"/>
      <c r="J1566" s="215"/>
      <c r="K1566" s="207"/>
      <c r="L1566" s="215"/>
      <c r="M1566" s="323"/>
      <c r="N1566" s="215"/>
      <c r="O1566" s="323"/>
      <c r="P1566" s="215"/>
      <c r="Q1566" s="207"/>
      <c r="R1566" s="323"/>
      <c r="S1566" s="323"/>
      <c r="T1566" s="664"/>
      <c r="U1566" s="215"/>
      <c r="V1566" s="215"/>
    </row>
    <row r="1567" ht="15.0" customHeight="1">
      <c r="A1567" s="207"/>
      <c r="B1567" s="215"/>
      <c r="C1567" s="215"/>
      <c r="D1567" s="215"/>
      <c r="E1567" s="215"/>
      <c r="F1567" s="215"/>
      <c r="G1567" s="215"/>
      <c r="H1567" s="215"/>
      <c r="I1567" s="207"/>
      <c r="J1567" s="215"/>
      <c r="K1567" s="207"/>
      <c r="L1567" s="215"/>
      <c r="M1567" s="323"/>
      <c r="N1567" s="215"/>
      <c r="O1567" s="323"/>
      <c r="P1567" s="215"/>
      <c r="Q1567" s="207"/>
      <c r="R1567" s="323"/>
      <c r="S1567" s="323"/>
      <c r="T1567" s="664"/>
      <c r="U1567" s="215"/>
      <c r="V1567" s="215"/>
    </row>
    <row r="1568" ht="15.0" customHeight="1">
      <c r="A1568" s="207"/>
      <c r="B1568" s="215"/>
      <c r="C1568" s="215"/>
      <c r="D1568" s="215"/>
      <c r="E1568" s="215"/>
      <c r="F1568" s="215"/>
      <c r="G1568" s="215"/>
      <c r="H1568" s="215"/>
      <c r="I1568" s="207"/>
      <c r="J1568" s="215"/>
      <c r="K1568" s="207"/>
      <c r="L1568" s="215"/>
      <c r="M1568" s="323"/>
      <c r="N1568" s="215"/>
      <c r="O1568" s="323"/>
      <c r="P1568" s="215"/>
      <c r="Q1568" s="207"/>
      <c r="R1568" s="323"/>
      <c r="S1568" s="323"/>
      <c r="T1568" s="664"/>
      <c r="U1568" s="215"/>
      <c r="V1568" s="215"/>
    </row>
    <row r="1569" ht="15.0" customHeight="1">
      <c r="A1569" s="207"/>
      <c r="B1569" s="215"/>
      <c r="C1569" s="215"/>
      <c r="D1569" s="215"/>
      <c r="E1569" s="215"/>
      <c r="F1569" s="215"/>
      <c r="G1569" s="215"/>
      <c r="H1569" s="215"/>
      <c r="I1569" s="207"/>
      <c r="J1569" s="215"/>
      <c r="K1569" s="207"/>
      <c r="L1569" s="215"/>
      <c r="M1569" s="323"/>
      <c r="N1569" s="215"/>
      <c r="O1569" s="323"/>
      <c r="P1569" s="215"/>
      <c r="Q1569" s="207"/>
      <c r="R1569" s="323"/>
      <c r="S1569" s="323"/>
      <c r="T1569" s="664"/>
      <c r="U1569" s="215"/>
      <c r="V1569" s="215"/>
    </row>
    <row r="1570" ht="15.0" customHeight="1">
      <c r="A1570" s="207"/>
      <c r="B1570" s="215"/>
      <c r="C1570" s="215"/>
      <c r="D1570" s="215"/>
      <c r="E1570" s="215"/>
      <c r="F1570" s="215"/>
      <c r="G1570" s="215"/>
      <c r="H1570" s="215"/>
      <c r="I1570" s="207"/>
      <c r="J1570" s="215"/>
      <c r="K1570" s="207"/>
      <c r="L1570" s="215"/>
      <c r="M1570" s="323"/>
      <c r="N1570" s="215"/>
      <c r="O1570" s="323"/>
      <c r="P1570" s="215"/>
      <c r="Q1570" s="207"/>
      <c r="R1570" s="323"/>
      <c r="S1570" s="323"/>
      <c r="T1570" s="664"/>
      <c r="U1570" s="215"/>
      <c r="V1570" s="215"/>
    </row>
    <row r="1571" ht="15.0" customHeight="1">
      <c r="A1571" s="207"/>
      <c r="B1571" s="215"/>
      <c r="C1571" s="215"/>
      <c r="D1571" s="215"/>
      <c r="E1571" s="215"/>
      <c r="F1571" s="215"/>
      <c r="G1571" s="215"/>
      <c r="H1571" s="215"/>
      <c r="I1571" s="207"/>
      <c r="J1571" s="215"/>
      <c r="K1571" s="207"/>
      <c r="L1571" s="215"/>
      <c r="M1571" s="323"/>
      <c r="N1571" s="215"/>
      <c r="O1571" s="323"/>
      <c r="P1571" s="215"/>
      <c r="Q1571" s="207"/>
      <c r="R1571" s="323"/>
      <c r="S1571" s="323"/>
      <c r="T1571" s="664"/>
      <c r="U1571" s="215"/>
      <c r="V1571" s="215"/>
    </row>
    <row r="1572" ht="15.0" customHeight="1">
      <c r="A1572" s="207"/>
      <c r="B1572" s="215"/>
      <c r="C1572" s="215"/>
      <c r="D1572" s="215"/>
      <c r="E1572" s="215"/>
      <c r="F1572" s="215"/>
      <c r="G1572" s="215"/>
      <c r="H1572" s="215"/>
      <c r="I1572" s="207"/>
      <c r="J1572" s="215"/>
      <c r="K1572" s="207"/>
      <c r="L1572" s="215"/>
      <c r="M1572" s="323"/>
      <c r="N1572" s="215"/>
      <c r="O1572" s="323"/>
      <c r="P1572" s="215"/>
      <c r="Q1572" s="207"/>
      <c r="R1572" s="323"/>
      <c r="S1572" s="323"/>
      <c r="T1572" s="664"/>
      <c r="U1572" s="215"/>
      <c r="V1572" s="215"/>
    </row>
    <row r="1573" ht="15.0" customHeight="1">
      <c r="A1573" s="207"/>
      <c r="B1573" s="215"/>
      <c r="C1573" s="215"/>
      <c r="D1573" s="215"/>
      <c r="E1573" s="215"/>
      <c r="F1573" s="215"/>
      <c r="G1573" s="215"/>
      <c r="H1573" s="215"/>
      <c r="I1573" s="207"/>
      <c r="J1573" s="215"/>
      <c r="K1573" s="207"/>
      <c r="L1573" s="215"/>
      <c r="M1573" s="323"/>
      <c r="N1573" s="215"/>
      <c r="O1573" s="323"/>
      <c r="P1573" s="215"/>
      <c r="Q1573" s="207"/>
      <c r="R1573" s="323"/>
      <c r="S1573" s="323"/>
      <c r="T1573" s="664"/>
      <c r="U1573" s="215"/>
      <c r="V1573" s="215"/>
    </row>
    <row r="1574" ht="15.0" customHeight="1">
      <c r="A1574" s="207"/>
      <c r="B1574" s="215"/>
      <c r="C1574" s="215"/>
      <c r="D1574" s="215"/>
      <c r="E1574" s="215"/>
      <c r="F1574" s="215"/>
      <c r="G1574" s="215"/>
      <c r="H1574" s="215"/>
      <c r="I1574" s="207"/>
      <c r="J1574" s="215"/>
      <c r="K1574" s="207"/>
      <c r="L1574" s="215"/>
      <c r="M1574" s="323"/>
      <c r="N1574" s="215"/>
      <c r="O1574" s="323"/>
      <c r="P1574" s="215"/>
      <c r="Q1574" s="207"/>
      <c r="R1574" s="323"/>
      <c r="S1574" s="323"/>
      <c r="T1574" s="664"/>
      <c r="U1574" s="215"/>
      <c r="V1574" s="215"/>
    </row>
    <row r="1575" ht="15.0" customHeight="1">
      <c r="A1575" s="207"/>
      <c r="B1575" s="215"/>
      <c r="C1575" s="215"/>
      <c r="D1575" s="215"/>
      <c r="E1575" s="215"/>
      <c r="F1575" s="215"/>
      <c r="G1575" s="215"/>
      <c r="H1575" s="215"/>
      <c r="I1575" s="207"/>
      <c r="J1575" s="215"/>
      <c r="K1575" s="207"/>
      <c r="L1575" s="215"/>
      <c r="M1575" s="323"/>
      <c r="N1575" s="215"/>
      <c r="O1575" s="323"/>
      <c r="P1575" s="215"/>
      <c r="Q1575" s="207"/>
      <c r="R1575" s="323"/>
      <c r="S1575" s="323"/>
      <c r="T1575" s="664"/>
      <c r="U1575" s="215"/>
      <c r="V1575" s="215"/>
    </row>
    <row r="1576" ht="15.0" customHeight="1">
      <c r="A1576" s="207"/>
      <c r="B1576" s="215"/>
      <c r="C1576" s="215"/>
      <c r="D1576" s="215"/>
      <c r="E1576" s="215"/>
      <c r="F1576" s="215"/>
      <c r="G1576" s="215"/>
      <c r="H1576" s="215"/>
      <c r="I1576" s="207"/>
      <c r="J1576" s="215"/>
      <c r="K1576" s="207"/>
      <c r="L1576" s="215"/>
      <c r="M1576" s="323"/>
      <c r="N1576" s="215"/>
      <c r="O1576" s="323"/>
      <c r="P1576" s="215"/>
      <c r="Q1576" s="207"/>
      <c r="R1576" s="323"/>
      <c r="S1576" s="323"/>
      <c r="T1576" s="664"/>
      <c r="U1576" s="215"/>
      <c r="V1576" s="215"/>
    </row>
    <row r="1577" ht="15.0" customHeight="1">
      <c r="A1577" s="207"/>
      <c r="B1577" s="215"/>
      <c r="C1577" s="215"/>
      <c r="D1577" s="215"/>
      <c r="E1577" s="215"/>
      <c r="F1577" s="215"/>
      <c r="G1577" s="215"/>
      <c r="H1577" s="215"/>
      <c r="I1577" s="207"/>
      <c r="J1577" s="215"/>
      <c r="K1577" s="207"/>
      <c r="L1577" s="215"/>
      <c r="M1577" s="323"/>
      <c r="N1577" s="215"/>
      <c r="O1577" s="323"/>
      <c r="P1577" s="215"/>
      <c r="Q1577" s="207"/>
      <c r="R1577" s="323"/>
      <c r="S1577" s="323"/>
      <c r="T1577" s="664"/>
      <c r="U1577" s="215"/>
      <c r="V1577" s="215"/>
    </row>
    <row r="1578" ht="15.0" customHeight="1">
      <c r="A1578" s="207"/>
      <c r="B1578" s="215"/>
      <c r="C1578" s="215"/>
      <c r="D1578" s="215"/>
      <c r="E1578" s="215"/>
      <c r="F1578" s="215"/>
      <c r="G1578" s="215"/>
      <c r="H1578" s="215"/>
      <c r="I1578" s="207"/>
      <c r="J1578" s="215"/>
      <c r="K1578" s="207"/>
      <c r="L1578" s="215"/>
      <c r="M1578" s="323"/>
      <c r="N1578" s="215"/>
      <c r="O1578" s="323"/>
      <c r="P1578" s="215"/>
      <c r="Q1578" s="207"/>
      <c r="R1578" s="323"/>
      <c r="S1578" s="323"/>
      <c r="T1578" s="664"/>
      <c r="U1578" s="215"/>
      <c r="V1578" s="215"/>
    </row>
    <row r="1579" ht="15.0" customHeight="1">
      <c r="A1579" s="207"/>
      <c r="B1579" s="215"/>
      <c r="C1579" s="215"/>
      <c r="D1579" s="215"/>
      <c r="E1579" s="215"/>
      <c r="F1579" s="215"/>
      <c r="G1579" s="215"/>
      <c r="H1579" s="215"/>
      <c r="I1579" s="207"/>
      <c r="J1579" s="215"/>
      <c r="K1579" s="207"/>
      <c r="L1579" s="215"/>
      <c r="M1579" s="323"/>
      <c r="N1579" s="215"/>
      <c r="O1579" s="323"/>
      <c r="P1579" s="215"/>
      <c r="Q1579" s="207"/>
      <c r="R1579" s="323"/>
      <c r="S1579" s="323"/>
      <c r="T1579" s="664"/>
      <c r="U1579" s="215"/>
      <c r="V1579" s="215"/>
    </row>
    <row r="1580" ht="15.0" customHeight="1">
      <c r="A1580" s="207"/>
      <c r="B1580" s="215"/>
      <c r="C1580" s="215"/>
      <c r="D1580" s="215"/>
      <c r="E1580" s="215"/>
      <c r="F1580" s="215"/>
      <c r="G1580" s="215"/>
      <c r="H1580" s="215"/>
      <c r="I1580" s="207"/>
      <c r="J1580" s="215"/>
      <c r="K1580" s="207"/>
      <c r="L1580" s="215"/>
      <c r="M1580" s="323"/>
      <c r="N1580" s="215"/>
      <c r="O1580" s="323"/>
      <c r="P1580" s="215"/>
      <c r="Q1580" s="207"/>
      <c r="R1580" s="323"/>
      <c r="S1580" s="323"/>
      <c r="T1580" s="664"/>
      <c r="U1580" s="215"/>
      <c r="V1580" s="215"/>
    </row>
    <row r="1581" ht="15.0" customHeight="1">
      <c r="A1581" s="207"/>
      <c r="B1581" s="215"/>
      <c r="C1581" s="215"/>
      <c r="D1581" s="215"/>
      <c r="E1581" s="215"/>
      <c r="F1581" s="215"/>
      <c r="G1581" s="215"/>
      <c r="H1581" s="215"/>
      <c r="I1581" s="207"/>
      <c r="J1581" s="215"/>
      <c r="K1581" s="207"/>
      <c r="L1581" s="215"/>
      <c r="M1581" s="323"/>
      <c r="N1581" s="215"/>
      <c r="O1581" s="323"/>
      <c r="P1581" s="215"/>
      <c r="Q1581" s="207"/>
      <c r="R1581" s="323"/>
      <c r="S1581" s="323"/>
      <c r="T1581" s="664"/>
      <c r="U1581" s="215"/>
      <c r="V1581" s="215"/>
    </row>
    <row r="1582" ht="15.0" customHeight="1">
      <c r="A1582" s="207"/>
      <c r="B1582" s="215"/>
      <c r="C1582" s="215"/>
      <c r="D1582" s="215"/>
      <c r="E1582" s="215"/>
      <c r="F1582" s="215"/>
      <c r="G1582" s="215"/>
      <c r="H1582" s="215"/>
      <c r="I1582" s="207"/>
      <c r="J1582" s="215"/>
      <c r="K1582" s="207"/>
      <c r="L1582" s="215"/>
      <c r="M1582" s="323"/>
      <c r="N1582" s="215"/>
      <c r="O1582" s="323"/>
      <c r="P1582" s="215"/>
      <c r="Q1582" s="207"/>
      <c r="R1582" s="323"/>
      <c r="S1582" s="323"/>
      <c r="T1582" s="664"/>
      <c r="U1582" s="215"/>
      <c r="V1582" s="215"/>
    </row>
    <row r="1583" ht="15.0" customHeight="1">
      <c r="A1583" s="207"/>
      <c r="B1583" s="215"/>
      <c r="C1583" s="215"/>
      <c r="D1583" s="215"/>
      <c r="E1583" s="215"/>
      <c r="F1583" s="215"/>
      <c r="G1583" s="215"/>
      <c r="H1583" s="215"/>
      <c r="I1583" s="207"/>
      <c r="J1583" s="215"/>
      <c r="K1583" s="207"/>
      <c r="L1583" s="215"/>
      <c r="M1583" s="323"/>
      <c r="N1583" s="215"/>
      <c r="O1583" s="323"/>
      <c r="P1583" s="215"/>
      <c r="Q1583" s="207"/>
      <c r="R1583" s="323"/>
      <c r="S1583" s="323"/>
      <c r="T1583" s="664"/>
      <c r="U1583" s="215"/>
      <c r="V1583" s="215"/>
    </row>
    <row r="1584" ht="15.0" customHeight="1">
      <c r="A1584" s="207"/>
      <c r="B1584" s="215"/>
      <c r="C1584" s="215"/>
      <c r="D1584" s="215"/>
      <c r="E1584" s="215"/>
      <c r="F1584" s="215"/>
      <c r="G1584" s="215"/>
      <c r="H1584" s="215"/>
      <c r="I1584" s="207"/>
      <c r="J1584" s="215"/>
      <c r="K1584" s="207"/>
      <c r="L1584" s="215"/>
      <c r="M1584" s="323"/>
      <c r="N1584" s="215"/>
      <c r="O1584" s="323"/>
      <c r="P1584" s="215"/>
      <c r="Q1584" s="207"/>
      <c r="R1584" s="323"/>
      <c r="S1584" s="323"/>
      <c r="T1584" s="664"/>
      <c r="U1584" s="215"/>
      <c r="V1584" s="215"/>
    </row>
    <row r="1585" ht="15.0" customHeight="1">
      <c r="A1585" s="207"/>
      <c r="B1585" s="215"/>
      <c r="C1585" s="215"/>
      <c r="D1585" s="215"/>
      <c r="E1585" s="215"/>
      <c r="F1585" s="215"/>
      <c r="G1585" s="215"/>
      <c r="H1585" s="215"/>
      <c r="I1585" s="207"/>
      <c r="J1585" s="215"/>
      <c r="K1585" s="207"/>
      <c r="L1585" s="215"/>
      <c r="M1585" s="323"/>
      <c r="N1585" s="215"/>
      <c r="O1585" s="323"/>
      <c r="P1585" s="215"/>
      <c r="Q1585" s="207"/>
      <c r="R1585" s="323"/>
      <c r="S1585" s="323"/>
      <c r="T1585" s="664"/>
      <c r="U1585" s="215"/>
      <c r="V1585" s="215"/>
    </row>
    <row r="1586" ht="15.0" customHeight="1">
      <c r="A1586" s="207"/>
      <c r="B1586" s="215"/>
      <c r="C1586" s="215"/>
      <c r="D1586" s="215"/>
      <c r="E1586" s="215"/>
      <c r="F1586" s="215"/>
      <c r="G1586" s="215"/>
      <c r="H1586" s="215"/>
      <c r="I1586" s="207"/>
      <c r="J1586" s="215"/>
      <c r="K1586" s="207"/>
      <c r="L1586" s="215"/>
      <c r="M1586" s="323"/>
      <c r="N1586" s="215"/>
      <c r="O1586" s="323"/>
      <c r="P1586" s="215"/>
      <c r="Q1586" s="207"/>
      <c r="R1586" s="323"/>
      <c r="S1586" s="323"/>
      <c r="T1586" s="664"/>
      <c r="U1586" s="215"/>
      <c r="V1586" s="215"/>
    </row>
    <row r="1587" ht="15.0" customHeight="1">
      <c r="A1587" s="207"/>
      <c r="B1587" s="215"/>
      <c r="C1587" s="215"/>
      <c r="D1587" s="215"/>
      <c r="E1587" s="215"/>
      <c r="F1587" s="215"/>
      <c r="G1587" s="215"/>
      <c r="H1587" s="215"/>
      <c r="I1587" s="207"/>
      <c r="J1587" s="215"/>
      <c r="K1587" s="207"/>
      <c r="L1587" s="215"/>
      <c r="M1587" s="323"/>
      <c r="N1587" s="215"/>
      <c r="O1587" s="323"/>
      <c r="P1587" s="215"/>
      <c r="Q1587" s="207"/>
      <c r="R1587" s="323"/>
      <c r="S1587" s="323"/>
      <c r="T1587" s="664"/>
      <c r="U1587" s="215"/>
      <c r="V1587" s="215"/>
    </row>
    <row r="1588" ht="15.0" customHeight="1">
      <c r="A1588" s="207"/>
      <c r="B1588" s="215"/>
      <c r="C1588" s="215"/>
      <c r="D1588" s="215"/>
      <c r="E1588" s="215"/>
      <c r="F1588" s="215"/>
      <c r="G1588" s="215"/>
      <c r="H1588" s="215"/>
      <c r="I1588" s="207"/>
      <c r="J1588" s="215"/>
      <c r="K1588" s="207"/>
      <c r="L1588" s="215"/>
      <c r="M1588" s="323"/>
      <c r="N1588" s="215"/>
      <c r="O1588" s="323"/>
      <c r="P1588" s="215"/>
      <c r="Q1588" s="207"/>
      <c r="R1588" s="323"/>
      <c r="S1588" s="323"/>
      <c r="T1588" s="664"/>
      <c r="U1588" s="215"/>
      <c r="V1588" s="215"/>
    </row>
    <row r="1589" ht="15.0" customHeight="1">
      <c r="A1589" s="207"/>
      <c r="B1589" s="215"/>
      <c r="C1589" s="215"/>
      <c r="D1589" s="215"/>
      <c r="E1589" s="215"/>
      <c r="F1589" s="215"/>
      <c r="G1589" s="215"/>
      <c r="H1589" s="215"/>
      <c r="I1589" s="207"/>
      <c r="J1589" s="215"/>
      <c r="K1589" s="207"/>
      <c r="L1589" s="215"/>
      <c r="M1589" s="323"/>
      <c r="N1589" s="215"/>
      <c r="O1589" s="323"/>
      <c r="P1589" s="215"/>
      <c r="Q1589" s="207"/>
      <c r="R1589" s="323"/>
      <c r="S1589" s="323"/>
      <c r="T1589" s="664"/>
      <c r="U1589" s="215"/>
      <c r="V1589" s="215"/>
    </row>
    <row r="1590" ht="15.0" customHeight="1">
      <c r="A1590" s="207"/>
      <c r="B1590" s="215"/>
      <c r="C1590" s="215"/>
      <c r="D1590" s="215"/>
      <c r="E1590" s="215"/>
      <c r="F1590" s="215"/>
      <c r="G1590" s="215"/>
      <c r="H1590" s="215"/>
      <c r="I1590" s="207"/>
      <c r="J1590" s="215"/>
      <c r="K1590" s="207"/>
      <c r="L1590" s="215"/>
      <c r="M1590" s="323"/>
      <c r="N1590" s="215"/>
      <c r="O1590" s="323"/>
      <c r="P1590" s="215"/>
      <c r="Q1590" s="207"/>
      <c r="R1590" s="323"/>
      <c r="S1590" s="323"/>
      <c r="T1590" s="664"/>
      <c r="U1590" s="215"/>
      <c r="V1590" s="215"/>
    </row>
    <row r="1591" ht="15.0" customHeight="1">
      <c r="A1591" s="207"/>
      <c r="B1591" s="215"/>
      <c r="C1591" s="215"/>
      <c r="D1591" s="215"/>
      <c r="E1591" s="215"/>
      <c r="F1591" s="215"/>
      <c r="G1591" s="215"/>
      <c r="H1591" s="215"/>
      <c r="I1591" s="207"/>
      <c r="J1591" s="215"/>
      <c r="K1591" s="207"/>
      <c r="L1591" s="215"/>
      <c r="M1591" s="323"/>
      <c r="N1591" s="215"/>
      <c r="O1591" s="323"/>
      <c r="P1591" s="215"/>
      <c r="Q1591" s="207"/>
      <c r="R1591" s="323"/>
      <c r="S1591" s="323"/>
      <c r="T1591" s="664"/>
      <c r="U1591" s="215"/>
      <c r="V1591" s="215"/>
    </row>
    <row r="1592" ht="15.0" customHeight="1">
      <c r="A1592" s="207"/>
      <c r="B1592" s="215"/>
      <c r="C1592" s="215"/>
      <c r="D1592" s="215"/>
      <c r="E1592" s="215"/>
      <c r="F1592" s="215"/>
      <c r="G1592" s="215"/>
      <c r="H1592" s="215"/>
      <c r="I1592" s="207"/>
      <c r="J1592" s="215"/>
      <c r="K1592" s="207"/>
      <c r="L1592" s="215"/>
      <c r="M1592" s="323"/>
      <c r="N1592" s="215"/>
      <c r="O1592" s="323"/>
      <c r="P1592" s="215"/>
      <c r="Q1592" s="207"/>
      <c r="R1592" s="323"/>
      <c r="S1592" s="323"/>
      <c r="T1592" s="664"/>
      <c r="U1592" s="215"/>
      <c r="V1592" s="215"/>
    </row>
    <row r="1593" ht="15.0" customHeight="1">
      <c r="A1593" s="207"/>
      <c r="B1593" s="215"/>
      <c r="C1593" s="215"/>
      <c r="D1593" s="215"/>
      <c r="E1593" s="215"/>
      <c r="F1593" s="215"/>
      <c r="G1593" s="215"/>
      <c r="H1593" s="215"/>
      <c r="I1593" s="207"/>
      <c r="J1593" s="215"/>
      <c r="K1593" s="207"/>
      <c r="L1593" s="215"/>
      <c r="M1593" s="323"/>
      <c r="N1593" s="215"/>
      <c r="O1593" s="323"/>
      <c r="P1593" s="215"/>
      <c r="Q1593" s="207"/>
      <c r="R1593" s="323"/>
      <c r="S1593" s="323"/>
      <c r="T1593" s="664"/>
      <c r="U1593" s="215"/>
      <c r="V1593" s="215"/>
    </row>
    <row r="1594" ht="15.0" customHeight="1">
      <c r="A1594" s="207"/>
      <c r="B1594" s="215"/>
      <c r="C1594" s="215"/>
      <c r="D1594" s="215"/>
      <c r="E1594" s="215"/>
      <c r="F1594" s="215"/>
      <c r="G1594" s="215"/>
      <c r="H1594" s="215"/>
      <c r="I1594" s="207"/>
      <c r="J1594" s="215"/>
      <c r="K1594" s="207"/>
      <c r="L1594" s="215"/>
      <c r="M1594" s="323"/>
      <c r="N1594" s="215"/>
      <c r="O1594" s="323"/>
      <c r="P1594" s="215"/>
      <c r="Q1594" s="207"/>
      <c r="R1594" s="323"/>
      <c r="S1594" s="323"/>
      <c r="T1594" s="664"/>
      <c r="U1594" s="215"/>
      <c r="V1594" s="215"/>
    </row>
    <row r="1595" ht="15.0" customHeight="1">
      <c r="A1595" s="207"/>
      <c r="B1595" s="215"/>
      <c r="C1595" s="215"/>
      <c r="D1595" s="215"/>
      <c r="E1595" s="215"/>
      <c r="F1595" s="215"/>
      <c r="G1595" s="215"/>
      <c r="H1595" s="215"/>
      <c r="I1595" s="207"/>
      <c r="J1595" s="215"/>
      <c r="K1595" s="207"/>
      <c r="L1595" s="215"/>
      <c r="M1595" s="323"/>
      <c r="N1595" s="215"/>
      <c r="O1595" s="323"/>
      <c r="P1595" s="215"/>
      <c r="Q1595" s="207"/>
      <c r="R1595" s="323"/>
      <c r="S1595" s="323"/>
      <c r="T1595" s="664"/>
      <c r="U1595" s="215"/>
      <c r="V1595" s="215"/>
    </row>
    <row r="1596" ht="15.0" customHeight="1">
      <c r="A1596" s="207"/>
      <c r="B1596" s="215"/>
      <c r="C1596" s="215"/>
      <c r="D1596" s="215"/>
      <c r="E1596" s="215"/>
      <c r="F1596" s="215"/>
      <c r="G1596" s="215"/>
      <c r="H1596" s="215"/>
      <c r="I1596" s="207"/>
      <c r="J1596" s="215"/>
      <c r="K1596" s="207"/>
      <c r="L1596" s="215"/>
      <c r="M1596" s="323"/>
      <c r="N1596" s="215"/>
      <c r="O1596" s="323"/>
      <c r="P1596" s="215"/>
      <c r="Q1596" s="207"/>
      <c r="R1596" s="323"/>
      <c r="S1596" s="323"/>
      <c r="T1596" s="664"/>
      <c r="U1596" s="215"/>
      <c r="V1596" s="215"/>
    </row>
    <row r="1597" ht="15.0" customHeight="1">
      <c r="A1597" s="207"/>
      <c r="B1597" s="215"/>
      <c r="C1597" s="215"/>
      <c r="D1597" s="215"/>
      <c r="E1597" s="215"/>
      <c r="F1597" s="215"/>
      <c r="G1597" s="215"/>
      <c r="H1597" s="215"/>
      <c r="I1597" s="207"/>
      <c r="J1597" s="215"/>
      <c r="K1597" s="207"/>
      <c r="L1597" s="215"/>
      <c r="M1597" s="323"/>
      <c r="N1597" s="215"/>
      <c r="O1597" s="323"/>
      <c r="P1597" s="215"/>
      <c r="Q1597" s="207"/>
      <c r="R1597" s="323"/>
      <c r="S1597" s="323"/>
      <c r="T1597" s="664"/>
      <c r="U1597" s="215"/>
      <c r="V1597" s="215"/>
    </row>
    <row r="1598" ht="15.0" customHeight="1">
      <c r="A1598" s="207"/>
      <c r="B1598" s="215"/>
      <c r="C1598" s="215"/>
      <c r="D1598" s="215"/>
      <c r="E1598" s="215"/>
      <c r="F1598" s="215"/>
      <c r="G1598" s="215"/>
      <c r="H1598" s="215"/>
      <c r="I1598" s="207"/>
      <c r="J1598" s="215"/>
      <c r="K1598" s="207"/>
      <c r="L1598" s="215"/>
      <c r="M1598" s="323"/>
      <c r="N1598" s="215"/>
      <c r="O1598" s="323"/>
      <c r="P1598" s="215"/>
      <c r="Q1598" s="207"/>
      <c r="R1598" s="323"/>
      <c r="S1598" s="323"/>
      <c r="T1598" s="664"/>
      <c r="U1598" s="215"/>
      <c r="V1598" s="215"/>
    </row>
    <row r="1599" ht="15.0" customHeight="1">
      <c r="A1599" s="207"/>
      <c r="B1599" s="215"/>
      <c r="C1599" s="215"/>
      <c r="D1599" s="215"/>
      <c r="E1599" s="215"/>
      <c r="F1599" s="215"/>
      <c r="G1599" s="215"/>
      <c r="H1599" s="215"/>
      <c r="I1599" s="207"/>
      <c r="J1599" s="215"/>
      <c r="K1599" s="207"/>
      <c r="L1599" s="215"/>
      <c r="M1599" s="323"/>
      <c r="N1599" s="215"/>
      <c r="O1599" s="323"/>
      <c r="P1599" s="215"/>
      <c r="Q1599" s="207"/>
      <c r="R1599" s="323"/>
      <c r="S1599" s="323"/>
      <c r="T1599" s="664"/>
      <c r="U1599" s="215"/>
      <c r="V1599" s="215"/>
    </row>
    <row r="1600" ht="15.0" customHeight="1">
      <c r="A1600" s="207"/>
      <c r="B1600" s="215"/>
      <c r="C1600" s="215"/>
      <c r="D1600" s="215"/>
      <c r="E1600" s="215"/>
      <c r="F1600" s="215"/>
      <c r="G1600" s="215"/>
      <c r="H1600" s="215"/>
      <c r="I1600" s="207"/>
      <c r="J1600" s="215"/>
      <c r="K1600" s="207"/>
      <c r="L1600" s="215"/>
      <c r="M1600" s="323"/>
      <c r="N1600" s="215"/>
      <c r="O1600" s="323"/>
      <c r="P1600" s="215"/>
      <c r="Q1600" s="207"/>
      <c r="R1600" s="323"/>
      <c r="S1600" s="323"/>
      <c r="T1600" s="664"/>
      <c r="U1600" s="215"/>
      <c r="V1600" s="215"/>
    </row>
    <row r="1601" ht="15.0" customHeight="1">
      <c r="A1601" s="207"/>
      <c r="B1601" s="215"/>
      <c r="C1601" s="215"/>
      <c r="D1601" s="215"/>
      <c r="E1601" s="215"/>
      <c r="F1601" s="215"/>
      <c r="G1601" s="215"/>
      <c r="H1601" s="215"/>
      <c r="I1601" s="207"/>
      <c r="J1601" s="215"/>
      <c r="K1601" s="207"/>
      <c r="L1601" s="215"/>
      <c r="M1601" s="323"/>
      <c r="N1601" s="215"/>
      <c r="O1601" s="323"/>
      <c r="P1601" s="215"/>
      <c r="Q1601" s="207"/>
      <c r="R1601" s="323"/>
      <c r="S1601" s="323"/>
      <c r="T1601" s="664"/>
      <c r="U1601" s="215"/>
      <c r="V1601" s="215"/>
    </row>
    <row r="1602" ht="15.0" customHeight="1">
      <c r="A1602" s="207"/>
      <c r="B1602" s="215"/>
      <c r="C1602" s="215"/>
      <c r="D1602" s="215"/>
      <c r="E1602" s="215"/>
      <c r="F1602" s="215"/>
      <c r="G1602" s="215"/>
      <c r="H1602" s="215"/>
      <c r="I1602" s="207"/>
      <c r="J1602" s="215"/>
      <c r="K1602" s="207"/>
      <c r="L1602" s="215"/>
      <c r="M1602" s="323"/>
      <c r="N1602" s="215"/>
      <c r="O1602" s="323"/>
      <c r="P1602" s="215"/>
      <c r="Q1602" s="207"/>
      <c r="R1602" s="323"/>
      <c r="S1602" s="323"/>
      <c r="T1602" s="664"/>
      <c r="U1602" s="215"/>
      <c r="V1602" s="215"/>
    </row>
    <row r="1603" ht="15.0" customHeight="1">
      <c r="A1603" s="207"/>
      <c r="B1603" s="215"/>
      <c r="C1603" s="215"/>
      <c r="D1603" s="215"/>
      <c r="E1603" s="215"/>
      <c r="F1603" s="215"/>
      <c r="G1603" s="215"/>
      <c r="H1603" s="215"/>
      <c r="I1603" s="207"/>
      <c r="J1603" s="215"/>
      <c r="K1603" s="207"/>
      <c r="L1603" s="215"/>
      <c r="M1603" s="323"/>
      <c r="N1603" s="215"/>
      <c r="O1603" s="323"/>
      <c r="P1603" s="215"/>
      <c r="Q1603" s="207"/>
      <c r="R1603" s="323"/>
      <c r="S1603" s="323"/>
      <c r="T1603" s="664"/>
      <c r="U1603" s="215"/>
      <c r="V1603" s="215"/>
    </row>
    <row r="1604" ht="15.0" customHeight="1">
      <c r="A1604" s="207"/>
      <c r="B1604" s="215"/>
      <c r="C1604" s="215"/>
      <c r="D1604" s="215"/>
      <c r="E1604" s="215"/>
      <c r="F1604" s="215"/>
      <c r="G1604" s="215"/>
      <c r="H1604" s="215"/>
      <c r="I1604" s="207"/>
      <c r="J1604" s="215"/>
      <c r="K1604" s="207"/>
      <c r="L1604" s="215"/>
      <c r="M1604" s="323"/>
      <c r="N1604" s="215"/>
      <c r="O1604" s="323"/>
      <c r="P1604" s="215"/>
      <c r="Q1604" s="207"/>
      <c r="R1604" s="323"/>
      <c r="S1604" s="323"/>
      <c r="T1604" s="664"/>
      <c r="U1604" s="215"/>
      <c r="V1604" s="215"/>
    </row>
    <row r="1605" ht="15.0" customHeight="1">
      <c r="A1605" s="207"/>
      <c r="B1605" s="215"/>
      <c r="C1605" s="215"/>
      <c r="D1605" s="215"/>
      <c r="E1605" s="215"/>
      <c r="F1605" s="215"/>
      <c r="G1605" s="215"/>
      <c r="H1605" s="215"/>
      <c r="I1605" s="207"/>
      <c r="J1605" s="215"/>
      <c r="K1605" s="207"/>
      <c r="L1605" s="215"/>
      <c r="M1605" s="323"/>
      <c r="N1605" s="215"/>
      <c r="O1605" s="323"/>
      <c r="P1605" s="215"/>
      <c r="Q1605" s="207"/>
      <c r="R1605" s="323"/>
      <c r="S1605" s="323"/>
      <c r="T1605" s="664"/>
      <c r="U1605" s="215"/>
      <c r="V1605" s="215"/>
    </row>
  </sheetData>
  <autoFilter ref="$A$2:$S$882"/>
  <conditionalFormatting sqref="B803:C803">
    <cfRule type="expression" dxfId="0" priority="1">
      <formula>countif(A:A,B803)&gt;1</formula>
    </cfRule>
  </conditionalFormatting>
  <conditionalFormatting sqref="B468 B529 B803 B819">
    <cfRule type="expression" dxfId="0" priority="2">
      <formula>countif(B:B,B468)&gt;1</formula>
    </cfRule>
  </conditionalFormatting>
  <conditionalFormatting sqref="T2 U2:V4 G6:G539 A468:D468 F468 H468:V468 A529:D529 F529 H529:V529 G541:G583 G585:G785 G787:G803 A803:F803 H803:V803 G805:G836 A819:F819 I819:V819">
    <cfRule type="expression" dxfId="4" priority="3">
      <formula>$K2="Hư hỏng"</formula>
    </cfRule>
  </conditionalFormatting>
  <conditionalFormatting sqref="J805:K805 J835:K835 J839:K839">
    <cfRule type="containsText" dxfId="1" priority="4" operator="containsText" text="Hư hỏng">
      <formula>NOT(ISERROR(SEARCH(("Hư hỏng"),(J805))))</formula>
    </cfRule>
  </conditionalFormatting>
  <conditionalFormatting sqref="J805:K805 J835:K835 J839:K839">
    <cfRule type="containsText" dxfId="2" priority="5" operator="containsText" text="Thu hồi">
      <formula>NOT(ISERROR(SEARCH(("Thu hồi"),(J805))))</formula>
    </cfRule>
  </conditionalFormatting>
  <conditionalFormatting sqref="J805:K805 J835:K835 J839:K839">
    <cfRule type="containsText" dxfId="3" priority="6" operator="containsText" text="bình thường">
      <formula>NOT(ISERROR(SEARCH(("bình thường"),(J805))))</formula>
    </cfRule>
  </conditionalFormatting>
  <conditionalFormatting sqref="B805 B835 B839">
    <cfRule type="expression" dxfId="6" priority="7">
      <formula>countif(B:B,B805)&gt;1</formula>
    </cfRule>
  </conditionalFormatting>
  <hyperlinks>
    <hyperlink r:id="rId1" ref="V4"/>
  </hyperlinks>
  <printOptions/>
  <pageMargins bottom="0.75" footer="0.0" header="0.0" left="0.7" right="0.7" top="0.75"/>
  <pageSetup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Row="1"/>
  <cols>
    <col customWidth="1" min="1" max="1" width="6.75"/>
    <col customWidth="1" min="2" max="2" width="34.63"/>
    <col customWidth="1" min="4" max="4" width="21.75"/>
    <col customWidth="1" min="10" max="11" width="25.0"/>
    <col customWidth="1" min="12" max="12" width="16.63"/>
    <col customWidth="1" min="13" max="13" width="20.38"/>
    <col customWidth="1" min="15" max="15" width="22.5"/>
    <col customWidth="1" min="21" max="21" width="18.0"/>
    <col customWidth="1" min="22" max="22" width="16.0"/>
    <col customWidth="1" min="23" max="25" width="19.88"/>
  </cols>
  <sheetData>
    <row r="1">
      <c r="A1" s="516" t="s">
        <v>4064</v>
      </c>
      <c r="B1" s="23"/>
      <c r="C1" s="23"/>
      <c r="D1" s="30"/>
      <c r="E1" s="518">
        <f>SUM(C4,C177,C354,C541,C720,C744)</f>
        <v>575</v>
      </c>
      <c r="F1" s="519"/>
      <c r="G1" s="519"/>
      <c r="H1" s="519"/>
      <c r="I1" s="520"/>
      <c r="J1" s="521"/>
      <c r="K1" s="521"/>
      <c r="L1" s="519"/>
      <c r="M1" s="519"/>
      <c r="N1" s="519"/>
      <c r="O1" s="522"/>
      <c r="P1" s="519"/>
      <c r="Q1" s="519"/>
      <c r="R1" s="519"/>
      <c r="S1" s="519"/>
      <c r="T1" s="519"/>
      <c r="U1" s="519"/>
      <c r="V1" s="520"/>
      <c r="W1" s="519"/>
      <c r="X1" s="519"/>
      <c r="Y1" s="519"/>
      <c r="Z1" s="520"/>
      <c r="AA1" s="519"/>
      <c r="AB1" s="520"/>
      <c r="AC1" s="523"/>
    </row>
    <row r="2">
      <c r="A2" s="524" t="s">
        <v>15</v>
      </c>
      <c r="B2" s="524" t="s">
        <v>4085</v>
      </c>
      <c r="C2" s="524" t="s">
        <v>4086</v>
      </c>
      <c r="D2" s="524" t="s">
        <v>3223</v>
      </c>
      <c r="E2" s="525" t="s">
        <v>4090</v>
      </c>
      <c r="F2" s="23"/>
      <c r="G2" s="23"/>
      <c r="H2" s="23"/>
      <c r="I2" s="23"/>
      <c r="J2" s="30"/>
      <c r="K2" s="524" t="s">
        <v>4091</v>
      </c>
      <c r="L2" s="524" t="s">
        <v>4092</v>
      </c>
      <c r="M2" s="526" t="s">
        <v>4094</v>
      </c>
      <c r="N2" s="524" t="s">
        <v>4098</v>
      </c>
      <c r="O2" s="527" t="s">
        <v>4099</v>
      </c>
      <c r="P2" s="528" t="s">
        <v>4100</v>
      </c>
      <c r="Q2" s="528" t="s">
        <v>4101</v>
      </c>
      <c r="R2" s="525" t="s">
        <v>4102</v>
      </c>
      <c r="S2" s="23"/>
      <c r="T2" s="30"/>
      <c r="U2" s="529" t="s">
        <v>4103</v>
      </c>
      <c r="V2" s="530" t="s">
        <v>4106</v>
      </c>
      <c r="W2" s="23"/>
      <c r="X2" s="23"/>
      <c r="Y2" s="30"/>
      <c r="Z2" s="531" t="s">
        <v>4109</v>
      </c>
      <c r="AA2" s="531" t="s">
        <v>4110</v>
      </c>
      <c r="AB2" s="529" t="s">
        <v>4112</v>
      </c>
      <c r="AC2" s="532"/>
    </row>
    <row r="3">
      <c r="A3" s="58"/>
      <c r="B3" s="58"/>
      <c r="C3" s="58"/>
      <c r="D3" s="58"/>
      <c r="E3" s="533" t="s">
        <v>4113</v>
      </c>
      <c r="F3" s="533" t="s">
        <v>4114</v>
      </c>
      <c r="G3" s="533" t="s">
        <v>4115</v>
      </c>
      <c r="H3" s="533" t="s">
        <v>4116</v>
      </c>
      <c r="I3" s="533" t="s">
        <v>4117</v>
      </c>
      <c r="J3" s="533" t="s">
        <v>4118</v>
      </c>
      <c r="K3" s="58"/>
      <c r="L3" s="58"/>
      <c r="M3" s="58"/>
      <c r="N3" s="58"/>
      <c r="O3" s="58"/>
      <c r="P3" s="58"/>
      <c r="Q3" s="58"/>
      <c r="R3" s="533" t="s">
        <v>4122</v>
      </c>
      <c r="S3" s="533" t="s">
        <v>4124</v>
      </c>
      <c r="T3" s="533" t="s">
        <v>4125</v>
      </c>
      <c r="U3" s="58"/>
      <c r="V3" s="534" t="s">
        <v>4106</v>
      </c>
      <c r="W3" s="534" t="s">
        <v>4126</v>
      </c>
      <c r="X3" s="535" t="s">
        <v>4127</v>
      </c>
      <c r="Y3" s="534" t="s">
        <v>4128</v>
      </c>
      <c r="Z3" s="58"/>
      <c r="AA3" s="58"/>
      <c r="AB3" s="58"/>
      <c r="AC3" s="532"/>
    </row>
    <row r="4">
      <c r="A4" s="536" t="s">
        <v>4129</v>
      </c>
      <c r="B4" s="30"/>
      <c r="C4" s="537">
        <f>SUM(C5,C83,C103,C122,C132)</f>
        <v>101</v>
      </c>
      <c r="D4" s="538"/>
      <c r="E4" s="538"/>
      <c r="F4" s="538"/>
      <c r="G4" s="538"/>
      <c r="H4" s="538"/>
      <c r="I4" s="539"/>
      <c r="J4" s="540"/>
      <c r="K4" s="540"/>
      <c r="L4" s="538"/>
      <c r="M4" s="538"/>
      <c r="N4" s="538"/>
      <c r="O4" s="541"/>
      <c r="P4" s="538"/>
      <c r="Q4" s="538"/>
      <c r="R4" s="538"/>
      <c r="S4" s="538"/>
      <c r="T4" s="538"/>
      <c r="U4" s="538"/>
      <c r="V4" s="539"/>
      <c r="W4" s="538"/>
      <c r="X4" s="538"/>
      <c r="Y4" s="538"/>
      <c r="Z4" s="539"/>
      <c r="AA4" s="538"/>
      <c r="AB4" s="539"/>
      <c r="AC4" s="523"/>
    </row>
    <row r="5">
      <c r="A5" s="542" t="s">
        <v>2947</v>
      </c>
      <c r="B5" s="543" t="s">
        <v>4137</v>
      </c>
      <c r="C5" s="544">
        <f>SUM(C6,C41,C45,C56,C66,C74,C79)</f>
        <v>52</v>
      </c>
      <c r="D5" s="545"/>
      <c r="E5" s="545"/>
      <c r="F5" s="545"/>
      <c r="G5" s="545"/>
      <c r="H5" s="545"/>
      <c r="I5" s="546"/>
      <c r="J5" s="547"/>
      <c r="K5" s="547"/>
      <c r="L5" s="545"/>
      <c r="M5" s="545"/>
      <c r="N5" s="545"/>
      <c r="O5" s="548"/>
      <c r="P5" s="545"/>
      <c r="Q5" s="545"/>
      <c r="R5" s="545"/>
      <c r="S5" s="545"/>
      <c r="T5" s="545"/>
      <c r="U5" s="545"/>
      <c r="V5" s="546"/>
      <c r="W5" s="545"/>
      <c r="X5" s="545"/>
      <c r="Y5" s="545"/>
      <c r="Z5" s="546"/>
      <c r="AA5" s="545"/>
      <c r="AB5" s="546"/>
      <c r="AC5" s="549"/>
    </row>
    <row r="6">
      <c r="A6" s="550">
        <v>1.0</v>
      </c>
      <c r="B6" s="551" t="s">
        <v>123</v>
      </c>
      <c r="C6" s="550">
        <f>COUNTA(B7:B40)</f>
        <v>31</v>
      </c>
      <c r="D6" s="552"/>
      <c r="E6" s="552"/>
      <c r="F6" s="552"/>
      <c r="G6" s="552"/>
      <c r="H6" s="552"/>
      <c r="I6" s="553"/>
      <c r="J6" s="554"/>
      <c r="K6" s="554"/>
      <c r="L6" s="552"/>
      <c r="M6" s="555"/>
      <c r="N6" s="552"/>
      <c r="O6" s="556"/>
      <c r="P6" s="552"/>
      <c r="Q6" s="552"/>
      <c r="R6" s="552"/>
      <c r="S6" s="552"/>
      <c r="T6" s="552"/>
      <c r="U6" s="552"/>
      <c r="V6" s="557"/>
      <c r="W6" s="552"/>
      <c r="X6" s="552"/>
      <c r="Y6" s="552"/>
      <c r="Z6" s="557"/>
      <c r="AA6" s="552"/>
      <c r="AB6" s="557"/>
      <c r="AC6" s="558"/>
    </row>
    <row r="7">
      <c r="A7" s="559"/>
      <c r="B7" s="560" t="str">
        <f>IFERROR(VLOOKUP(M7,'02. MM-KLH'!$B$6:$T$823,6,0),"")</f>
        <v>Máy đào KOMATSU bánh xích gàu 0.3m3</v>
      </c>
      <c r="C7" s="561">
        <v>1.0</v>
      </c>
      <c r="D7" s="559" t="str">
        <f>IFERROR(VLOOKUP(M7,'02. MM-KLH'!$B$6:$T$823,16,0),"")</f>
        <v>PC40MR-3</v>
      </c>
      <c r="E7" s="561" t="s">
        <v>4158</v>
      </c>
      <c r="F7" s="559"/>
      <c r="G7" s="559"/>
      <c r="H7" s="559" t="str">
        <f>IFERROR(VLOOKUP(M7,'02. MM-KLH'!$B$6:$T$823,17,0),"")</f>
        <v>40HP</v>
      </c>
      <c r="I7" s="562">
        <f>IFERROR(VLOOKUP(M7,'02. MM-KLH'!$B$6:$U$823,20,0),"")</f>
        <v>4</v>
      </c>
      <c r="J7" s="560">
        <f>IFERROR(VLOOKUP(M7,'02. MM-KLH'!$B$6:$T$823,19,0),"")</f>
        <v>38204</v>
      </c>
      <c r="K7" s="560" t="str">
        <f>IFERROR(VLOOKUP(M7,'02. MM-KLH'!$B$6:$T$823,18,0),"")</f>
        <v>KMTPC212VFE019356</v>
      </c>
      <c r="L7" s="559" t="str">
        <f>IFERROR(VLOOKUP(M7,'02. MM-KLH'!$B$6:$T$823,4,0),"")</f>
        <v/>
      </c>
      <c r="M7" s="132" t="s">
        <v>217</v>
      </c>
      <c r="N7" s="57">
        <f>IFERROR(VLOOKUP(M7,'02. MM-KLH'!$B$6:$T$823,15,0),"")</f>
        <v>2015</v>
      </c>
      <c r="O7" s="563" t="str">
        <f>IFERROR(VLOOKUP(M7,'02. MM-KLH'!$B$6:$T$823,9,0),"")</f>
        <v>29/07/2024</v>
      </c>
      <c r="P7" s="559"/>
      <c r="Q7" s="564">
        <v>6367.0</v>
      </c>
      <c r="R7" s="561" t="s">
        <v>4158</v>
      </c>
      <c r="S7" s="559"/>
      <c r="T7" s="559"/>
      <c r="U7" s="559" t="str">
        <f>IFERROR(VLOOKUP(M7,'02. MM-KLH'!$B$6:$T$823,5,0),"")</f>
        <v>MỚI (ĐQSD)</v>
      </c>
      <c r="V7" s="565" t="str">
        <f>IFERROR(VLOOKUP(M7,'02. MM-KLH'!$B$6:$T$823,8,0),"")</f>
        <v>CGTC DP</v>
      </c>
      <c r="W7" s="559" t="str">
        <f>IFERROR(VLOOKUP(V7,'NS QUẢN LÝ CG'!$A$4:$D$36,2,0),"")</f>
        <v>Phạm Ngọc Hải</v>
      </c>
      <c r="X7" s="559" t="str">
        <f>IFERROR(VLOOKUP(V7,'NS QUẢN LÝ CG'!$A$4:$D$36,4,0),"")</f>
        <v>Lô 85 DP4</v>
      </c>
      <c r="Y7" s="559" t="str">
        <f>IFERROR(VLOOKUP(V7,'NS QUẢN LÝ CG'!$A$4:$C$36,3,0),"")</f>
        <v>0825456565</v>
      </c>
      <c r="Z7" s="565" t="str">
        <f>IFERROR(VLOOKUP(M7,'02. MM-KLH'!$B$6:$T$823,3,0),"")</f>
        <v>A23-MĐA-013</v>
      </c>
      <c r="AA7" s="559" t="str">
        <f t="shared" ref="AA7:AA14" si="1">SWITCH(LEFT(Z7,3),"A22","ADM","A23","DP","A24","LP","")</f>
        <v>DP</v>
      </c>
      <c r="AB7" s="565"/>
      <c r="AC7" s="523"/>
    </row>
    <row r="8">
      <c r="A8" s="559"/>
      <c r="B8" s="560" t="str">
        <f>IFERROR(VLOOKUP(M8,'02. MM-KLH'!$B$6:$T$823,6,0),"")</f>
        <v>Máy đào KOMATSU bánh xích gàu 0.3m3</v>
      </c>
      <c r="C8" s="561">
        <v>1.0</v>
      </c>
      <c r="D8" s="559" t="str">
        <f>IFERROR(VLOOKUP(M8,'02. MM-KLH'!$B$6:$T$823,16,0),"")</f>
        <v>PC40MR-3</v>
      </c>
      <c r="E8" s="561" t="s">
        <v>4158</v>
      </c>
      <c r="F8" s="559"/>
      <c r="G8" s="559"/>
      <c r="H8" s="559" t="str">
        <f>IFERROR(VLOOKUP(M8,'02. MM-KLH'!$B$6:$T$823,17,0),"")</f>
        <v>40HP</v>
      </c>
      <c r="I8" s="562">
        <f>IFERROR(VLOOKUP(M8,'02. MM-KLH'!$B$6:$U$823,20,0),"")</f>
        <v>4</v>
      </c>
      <c r="J8" s="560">
        <f>IFERROR(VLOOKUP(M8,'02. MM-KLH'!$B$6:$T$823,19,0),"")</f>
        <v>25866</v>
      </c>
      <c r="K8" s="560" t="str">
        <f>IFERROR(VLOOKUP(M8,'02. MM-KLH'!$B$6:$T$823,18,0),"")</f>
        <v>KMTPC203L04019805</v>
      </c>
      <c r="L8" s="559" t="str">
        <f>IFERROR(VLOOKUP(M8,'02. MM-KLH'!$B$6:$T$823,4,0),"")</f>
        <v/>
      </c>
      <c r="M8" s="132" t="s">
        <v>226</v>
      </c>
      <c r="N8" s="57">
        <f>IFERROR(VLOOKUP(M8,'02. MM-KLH'!$B$6:$T$823,15,0),"")</f>
        <v>2012</v>
      </c>
      <c r="O8" s="563" t="str">
        <f>IFERROR(VLOOKUP(M8,'02. MM-KLH'!$B$6:$T$823,9,0),"")</f>
        <v>26/07/2024</v>
      </c>
      <c r="P8" s="559"/>
      <c r="Q8" s="566" t="s">
        <v>1565</v>
      </c>
      <c r="R8" s="561" t="s">
        <v>4158</v>
      </c>
      <c r="S8" s="559"/>
      <c r="T8" s="559"/>
      <c r="U8" s="559" t="str">
        <f>IFERROR(VLOOKUP(M8,'02. MM-KLH'!$B$6:$T$823,5,0),"")</f>
        <v>MỚI (ĐQSD)</v>
      </c>
      <c r="V8" s="565" t="str">
        <f>IFERROR(VLOOKUP(M8,'02. MM-KLH'!$B$6:$T$823,8,0),"")</f>
        <v>CGTC DP</v>
      </c>
      <c r="W8" s="559" t="str">
        <f>IFERROR(VLOOKUP(V8,'NS QUẢN LÝ CG'!$A$4:$D$36,2,0),"")</f>
        <v>Phạm Ngọc Hải</v>
      </c>
      <c r="X8" s="559" t="str">
        <f>IFERROR(VLOOKUP(V8,'NS QUẢN LÝ CG'!$A$4:$D$36,4,0),"")</f>
        <v>Lô 85 DP4</v>
      </c>
      <c r="Y8" s="559" t="str">
        <f>IFERROR(VLOOKUP(V8,'NS QUẢN LÝ CG'!$A$4:$C$36,3,0),"")</f>
        <v>0825456565</v>
      </c>
      <c r="Z8" s="565" t="str">
        <f>IFERROR(VLOOKUP(M8,'02. MM-KLH'!$B$6:$T$823,3,0),"")</f>
        <v>A23-MĐA-014</v>
      </c>
      <c r="AA8" s="559" t="str">
        <f t="shared" si="1"/>
        <v>DP</v>
      </c>
      <c r="AB8" s="565"/>
      <c r="AC8" s="523"/>
    </row>
    <row r="9">
      <c r="A9" s="559"/>
      <c r="B9" s="560" t="str">
        <f>IFERROR(VLOOKUP(M9,'02. MM-KLH'!$B$6:$T$823,6,0),"")</f>
        <v>Máy đào KOMATSU bánh xích gàu 0.3m3</v>
      </c>
      <c r="C9" s="561">
        <v>1.0</v>
      </c>
      <c r="D9" s="559" t="str">
        <f>IFERROR(VLOOKUP(M9,'02. MM-KLH'!$B$6:$T$823,16,0),"")</f>
        <v>PC40MR-3</v>
      </c>
      <c r="E9" s="561" t="s">
        <v>4158</v>
      </c>
      <c r="F9" s="559"/>
      <c r="G9" s="559"/>
      <c r="H9" s="559" t="str">
        <f>IFERROR(VLOOKUP(M9,'02. MM-KLH'!$B$6:$T$823,17,0),"")</f>
        <v>40HP</v>
      </c>
      <c r="I9" s="562">
        <f>IFERROR(VLOOKUP(M9,'02. MM-KLH'!$B$6:$U$823,20,0),"")</f>
        <v>4</v>
      </c>
      <c r="J9" s="560">
        <f>IFERROR(VLOOKUP(M9,'02. MM-KLH'!$B$6:$T$823,19,0),"")</f>
        <v>36975</v>
      </c>
      <c r="K9" s="560" t="str">
        <f>IFERROR(VLOOKUP(M9,'02. MM-KLH'!$B$6:$T$823,18,0),"")</f>
        <v>KMTPC203AFE023466</v>
      </c>
      <c r="L9" s="559" t="str">
        <f>IFERROR(VLOOKUP(M9,'02. MM-KLH'!$B$6:$T$823,4,0),"")</f>
        <v/>
      </c>
      <c r="M9" s="132" t="s">
        <v>230</v>
      </c>
      <c r="N9" s="57">
        <f>IFERROR(VLOOKUP(M9,'02. MM-KLH'!$B$6:$T$823,15,0),"")</f>
        <v>2015</v>
      </c>
      <c r="O9" s="563" t="str">
        <f>IFERROR(VLOOKUP(M9,'02. MM-KLH'!$B$6:$T$823,9,0),"")</f>
        <v>29/07/2024</v>
      </c>
      <c r="P9" s="559"/>
      <c r="Q9" s="566" t="s">
        <v>1565</v>
      </c>
      <c r="R9" s="561" t="s">
        <v>4158</v>
      </c>
      <c r="S9" s="559"/>
      <c r="T9" s="559"/>
      <c r="U9" s="559" t="str">
        <f>IFERROR(VLOOKUP(M9,'02. MM-KLH'!$B$6:$T$823,5,0),"")</f>
        <v>MỚI (ĐQSD)</v>
      </c>
      <c r="V9" s="565" t="str">
        <f>IFERROR(VLOOKUP(M9,'02. MM-KLH'!$B$6:$T$823,8,0),"")</f>
        <v>CGTC DP</v>
      </c>
      <c r="W9" s="559" t="str">
        <f>IFERROR(VLOOKUP(V9,'NS QUẢN LÝ CG'!$A$4:$D$36,2,0),"")</f>
        <v>Phạm Ngọc Hải</v>
      </c>
      <c r="X9" s="559" t="str">
        <f>IFERROR(VLOOKUP(V9,'NS QUẢN LÝ CG'!$A$4:$D$36,4,0),"")</f>
        <v>Lô 85 DP4</v>
      </c>
      <c r="Y9" s="559" t="str">
        <f>IFERROR(VLOOKUP(V9,'NS QUẢN LÝ CG'!$A$4:$C$36,3,0),"")</f>
        <v>0825456565</v>
      </c>
      <c r="Z9" s="565" t="str">
        <f>IFERROR(VLOOKUP(M9,'02. MM-KLH'!$B$6:$T$823,3,0),"")</f>
        <v>A23-MĐA-015</v>
      </c>
      <c r="AA9" s="559" t="str">
        <f t="shared" si="1"/>
        <v>DP</v>
      </c>
      <c r="AB9" s="565"/>
      <c r="AC9" s="523"/>
    </row>
    <row r="10">
      <c r="A10" s="559"/>
      <c r="B10" s="560" t="str">
        <f>IFERROR(VLOOKUP(M10,'02. MM-KLH'!$B$6:$T$823,6,0),"")</f>
        <v>Máy đào KOMATSU bánh xích gàu 0.3m3</v>
      </c>
      <c r="C10" s="561">
        <v>1.0</v>
      </c>
      <c r="D10" s="559" t="str">
        <f>IFERROR(VLOOKUP(M10,'02. MM-KLH'!$B$6:$T$823,16,0),"")</f>
        <v>PC55MR-3</v>
      </c>
      <c r="E10" s="561" t="s">
        <v>4158</v>
      </c>
      <c r="F10" s="559"/>
      <c r="G10" s="559"/>
      <c r="H10" s="559" t="str">
        <f>IFERROR(VLOOKUP(M10,'02. MM-KLH'!$B$6:$T$823,17,0),"")</f>
        <v>40HP</v>
      </c>
      <c r="I10" s="562">
        <f>IFERROR(VLOOKUP(M10,'02. MM-KLH'!$B$6:$U$823,20,0),"")</f>
        <v>4</v>
      </c>
      <c r="J10" s="560">
        <f>IFERROR(VLOOKUP(M10,'02. MM-KLH'!$B$6:$T$823,19,0),"")</f>
        <v>10671</v>
      </c>
      <c r="K10" s="560" t="str">
        <f>IFERROR(VLOOKUP(M10,'02. MM-KLH'!$B$6:$T$823,18,0),"")</f>
        <v>020242</v>
      </c>
      <c r="L10" s="559" t="str">
        <f>IFERROR(VLOOKUP(M10,'02. MM-KLH'!$B$6:$T$823,4,0),"")</f>
        <v/>
      </c>
      <c r="M10" s="132" t="s">
        <v>233</v>
      </c>
      <c r="N10" s="57">
        <f>IFERROR(VLOOKUP(M10,'02. MM-KLH'!$B$6:$T$823,15,0),"")</f>
        <v>2017</v>
      </c>
      <c r="O10" s="563">
        <f>IFERROR(VLOOKUP(M10,'02. MM-KLH'!$B$6:$T$823,9,0),"")</f>
        <v>45302</v>
      </c>
      <c r="P10" s="559"/>
      <c r="Q10" s="566">
        <v>6484.0</v>
      </c>
      <c r="R10" s="561" t="s">
        <v>4158</v>
      </c>
      <c r="S10" s="559"/>
      <c r="T10" s="559"/>
      <c r="U10" s="559" t="str">
        <f>IFERROR(VLOOKUP(M10,'02. MM-KLH'!$B$6:$T$823,5,0),"")</f>
        <v>MỚI (ĐQSD)</v>
      </c>
      <c r="V10" s="565" t="str">
        <f>IFERROR(VLOOKUP(M10,'02. MM-KLH'!$B$6:$T$823,8,0),"")</f>
        <v>CGTC DP</v>
      </c>
      <c r="W10" s="559" t="str">
        <f>IFERROR(VLOOKUP(V10,'NS QUẢN LÝ CG'!$A$4:$D$36,2,0),"")</f>
        <v>Phạm Ngọc Hải</v>
      </c>
      <c r="X10" s="559" t="str">
        <f>IFERROR(VLOOKUP(V10,'NS QUẢN LÝ CG'!$A$4:$D$36,4,0),"")</f>
        <v>Lô 85 DP4</v>
      </c>
      <c r="Y10" s="559" t="str">
        <f>IFERROR(VLOOKUP(V10,'NS QUẢN LÝ CG'!$A$4:$C$36,3,0),"")</f>
        <v>0825456565</v>
      </c>
      <c r="Z10" s="565" t="str">
        <f>IFERROR(VLOOKUP(M10,'02. MM-KLH'!$B$6:$T$823,3,0),"")</f>
        <v>A23-MĐA-062</v>
      </c>
      <c r="AA10" s="559" t="str">
        <f t="shared" si="1"/>
        <v>DP</v>
      </c>
      <c r="AB10" s="565"/>
      <c r="AC10" s="523"/>
    </row>
    <row r="11">
      <c r="A11" s="559"/>
      <c r="B11" s="560" t="str">
        <f>IFERROR(VLOOKUP(M11,'02. MM-KLH'!$B$6:$T$823,6,0),"")</f>
        <v>Máy đào KOMATSU bánh xích gàu 0.3m3</v>
      </c>
      <c r="C11" s="561">
        <v>1.0</v>
      </c>
      <c r="D11" s="559" t="str">
        <f>IFERROR(VLOOKUP(M11,'02. MM-KLH'!$B$6:$T$823,16,0),"")</f>
        <v>PC55MR-3</v>
      </c>
      <c r="E11" s="561" t="s">
        <v>4158</v>
      </c>
      <c r="F11" s="559"/>
      <c r="G11" s="559"/>
      <c r="H11" s="559" t="str">
        <f>IFERROR(VLOOKUP(M11,'02. MM-KLH'!$B$6:$T$823,17,0),"")</f>
        <v>40HP</v>
      </c>
      <c r="I11" s="562">
        <f>IFERROR(VLOOKUP(M11,'02. MM-KLH'!$B$6:$U$823,20,0),"")</f>
        <v>4</v>
      </c>
      <c r="J11" s="560">
        <f>IFERROR(VLOOKUP(M11,'02. MM-KLH'!$B$6:$T$823,19,0),"")</f>
        <v>36094</v>
      </c>
      <c r="K11" s="560" t="str">
        <f>IFERROR(VLOOKUP(M11,'02. MM-KLH'!$B$6:$T$823,18,0),"")</f>
        <v>019139</v>
      </c>
      <c r="L11" s="559" t="str">
        <f>IFERROR(VLOOKUP(M11,'02. MM-KLH'!$B$6:$T$823,4,0),"")</f>
        <v/>
      </c>
      <c r="M11" s="132" t="s">
        <v>239</v>
      </c>
      <c r="N11" s="57">
        <f>IFERROR(VLOOKUP(M11,'02. MM-KLH'!$B$6:$T$823,15,0),"")</f>
        <v>2015</v>
      </c>
      <c r="O11" s="563">
        <f>IFERROR(VLOOKUP(M11,'02. MM-KLH'!$B$6:$T$823,9,0),"")</f>
        <v>45302</v>
      </c>
      <c r="P11" s="559"/>
      <c r="Q11" s="566" t="s">
        <v>1565</v>
      </c>
      <c r="R11" s="561"/>
      <c r="S11" s="561" t="s">
        <v>4158</v>
      </c>
      <c r="T11" s="559"/>
      <c r="U11" s="559" t="str">
        <f>IFERROR(VLOOKUP(M11,'02. MM-KLH'!$B$6:$T$823,5,0),"")</f>
        <v>MỚI (ĐQSD)</v>
      </c>
      <c r="V11" s="565" t="str">
        <f>IFERROR(VLOOKUP(M11,'02. MM-KLH'!$B$6:$T$823,8,0),"")</f>
        <v>CGTC DP</v>
      </c>
      <c r="W11" s="559" t="str">
        <f>IFERROR(VLOOKUP(V11,'NS QUẢN LÝ CG'!$A$4:$D$36,2,0),"")</f>
        <v>Phạm Ngọc Hải</v>
      </c>
      <c r="X11" s="559" t="str">
        <f>IFERROR(VLOOKUP(V11,'NS QUẢN LÝ CG'!$A$4:$D$36,4,0),"")</f>
        <v>Lô 85 DP4</v>
      </c>
      <c r="Y11" s="559" t="str">
        <f>IFERROR(VLOOKUP(V11,'NS QUẢN LÝ CG'!$A$4:$C$36,3,0),"")</f>
        <v>0825456565</v>
      </c>
      <c r="Z11" s="565" t="str">
        <f>IFERROR(VLOOKUP(M11,'02. MM-KLH'!$B$6:$T$823,3,0),"")</f>
        <v>A23-MĐA-063</v>
      </c>
      <c r="AA11" s="559" t="str">
        <f t="shared" si="1"/>
        <v>DP</v>
      </c>
      <c r="AB11" s="565"/>
      <c r="AC11" s="523"/>
    </row>
    <row r="12">
      <c r="A12" s="559"/>
      <c r="B12" s="560" t="str">
        <f>IFERROR(VLOOKUP(M12,'02. MM-KLH'!$B$6:$T$823,6,0),"")</f>
        <v>Máy đào KOMATSU bánh xích gàu 0.3m3</v>
      </c>
      <c r="C12" s="561">
        <v>1.0</v>
      </c>
      <c r="D12" s="559" t="str">
        <f>IFERROR(VLOOKUP(M12,'02. MM-KLH'!$B$6:$T$823,16,0),"")</f>
        <v>PC40MR-3</v>
      </c>
      <c r="E12" s="561" t="s">
        <v>4158</v>
      </c>
      <c r="F12" s="559"/>
      <c r="G12" s="559"/>
      <c r="H12" s="559" t="str">
        <f>IFERROR(VLOOKUP(M12,'02. MM-KLH'!$B$6:$T$823,17,0),"")</f>
        <v>40HP</v>
      </c>
      <c r="I12" s="562">
        <f>IFERROR(VLOOKUP(M12,'02. MM-KLH'!$B$6:$U$823,20,0),"")</f>
        <v>4</v>
      </c>
      <c r="J12" s="560">
        <f>IFERROR(VLOOKUP(M12,'02. MM-KLH'!$B$6:$T$823,19,0),"")</f>
        <v>25275</v>
      </c>
      <c r="K12" s="560" t="str">
        <f>IFERROR(VLOOKUP(M12,'02. MM-KLH'!$B$6:$T$823,18,0),"")</f>
        <v>KMTPC203V04021194</v>
      </c>
      <c r="L12" s="559" t="str">
        <f>IFERROR(VLOOKUP(M12,'02. MM-KLH'!$B$6:$T$823,4,0),"")</f>
        <v/>
      </c>
      <c r="M12" s="132" t="s">
        <v>243</v>
      </c>
      <c r="N12" s="57">
        <f>IFERROR(VLOOKUP(M12,'02. MM-KLH'!$B$6:$T$823,15,0),"")</f>
        <v>2013</v>
      </c>
      <c r="O12" s="563">
        <f>IFERROR(VLOOKUP(M12,'02. MM-KLH'!$B$6:$T$823,9,0),"")</f>
        <v>45298</v>
      </c>
      <c r="P12" s="559"/>
      <c r="Q12" s="566">
        <v>7102.0</v>
      </c>
      <c r="R12" s="561" t="s">
        <v>4158</v>
      </c>
      <c r="S12" s="559"/>
      <c r="T12" s="559"/>
      <c r="U12" s="559" t="str">
        <f>IFERROR(VLOOKUP(M12,'02. MM-KLH'!$B$6:$T$823,5,0),"")</f>
        <v>MỚI (ĐQSD)</v>
      </c>
      <c r="V12" s="565" t="str">
        <f>IFERROR(VLOOKUP(M12,'02. MM-KLH'!$B$6:$T$823,8,0),"")</f>
        <v>CGTC DP</v>
      </c>
      <c r="W12" s="559" t="str">
        <f>IFERROR(VLOOKUP(V12,'NS QUẢN LÝ CG'!$A$4:$D$36,2,0),"")</f>
        <v>Phạm Ngọc Hải</v>
      </c>
      <c r="X12" s="559" t="str">
        <f>IFERROR(VLOOKUP(V12,'NS QUẢN LÝ CG'!$A$4:$D$36,4,0),"")</f>
        <v>Lô 85 DP4</v>
      </c>
      <c r="Y12" s="559" t="str">
        <f>IFERROR(VLOOKUP(V12,'NS QUẢN LÝ CG'!$A$4:$C$36,3,0),"")</f>
        <v>0825456565</v>
      </c>
      <c r="Z12" s="565" t="str">
        <f>IFERROR(VLOOKUP(M12,'02. MM-KLH'!$B$6:$T$823,3,0),"")</f>
        <v>A23-MĐA-047</v>
      </c>
      <c r="AA12" s="559" t="str">
        <f t="shared" si="1"/>
        <v>DP</v>
      </c>
      <c r="AB12" s="565"/>
      <c r="AC12" s="523"/>
    </row>
    <row r="13">
      <c r="A13" s="559"/>
      <c r="B13" s="560" t="str">
        <f>IFERROR(VLOOKUP(M13,'02. MM-KLH'!$B$6:$T$823,6,0),"")</f>
        <v>Máy đào KOMATSU bánh xích gàu 0.3m3</v>
      </c>
      <c r="C13" s="561">
        <v>1.0</v>
      </c>
      <c r="D13" s="559" t="str">
        <f>IFERROR(VLOOKUP(M13,'02. MM-KLH'!$B$6:$T$823,16,0),"")</f>
        <v>PC40MR-3</v>
      </c>
      <c r="E13" s="561" t="s">
        <v>4158</v>
      </c>
      <c r="F13" s="559"/>
      <c r="G13" s="559"/>
      <c r="H13" s="559" t="str">
        <f>IFERROR(VLOOKUP(M13,'02. MM-KLH'!$B$6:$T$823,17,0),"")</f>
        <v>40HP</v>
      </c>
      <c r="I13" s="562">
        <f>IFERROR(VLOOKUP(M13,'02. MM-KLH'!$B$6:$U$823,20,0),"")</f>
        <v>4</v>
      </c>
      <c r="J13" s="560">
        <f>IFERROR(VLOOKUP(M13,'02. MM-KLH'!$B$6:$T$823,19,0),"")</f>
        <v>27440</v>
      </c>
      <c r="K13" s="560" t="str">
        <f>IFERROR(VLOOKUP(M13,'02. MM-KLH'!$B$6:$T$823,18,0),"")</f>
        <v>KMTPC203K04021031</v>
      </c>
      <c r="L13" s="559" t="str">
        <f>IFERROR(VLOOKUP(M13,'02. MM-KLH'!$B$6:$T$823,4,0),"")</f>
        <v/>
      </c>
      <c r="M13" s="132" t="s">
        <v>246</v>
      </c>
      <c r="N13" s="57">
        <f>IFERROR(VLOOKUP(M13,'02. MM-KLH'!$B$6:$T$823,15,0),"")</f>
        <v>2013</v>
      </c>
      <c r="O13" s="563">
        <f>IFERROR(VLOOKUP(M13,'02. MM-KLH'!$B$6:$T$823,9,0),"")</f>
        <v>45298</v>
      </c>
      <c r="P13" s="559"/>
      <c r="Q13" s="566" t="s">
        <v>1565</v>
      </c>
      <c r="R13" s="561" t="s">
        <v>4158</v>
      </c>
      <c r="S13" s="559"/>
      <c r="T13" s="559"/>
      <c r="U13" s="559" t="str">
        <f>IFERROR(VLOOKUP(M13,'02. MM-KLH'!$B$6:$T$823,5,0),"")</f>
        <v>MỚI (ĐQSD)</v>
      </c>
      <c r="V13" s="565" t="str">
        <f>IFERROR(VLOOKUP(M13,'02. MM-KLH'!$B$6:$T$823,8,0),"")</f>
        <v>CGTC DP</v>
      </c>
      <c r="W13" s="559" t="str">
        <f>IFERROR(VLOOKUP(V13,'NS QUẢN LÝ CG'!$A$4:$D$36,2,0),"")</f>
        <v>Phạm Ngọc Hải</v>
      </c>
      <c r="X13" s="559" t="str">
        <f>IFERROR(VLOOKUP(V13,'NS QUẢN LÝ CG'!$A$4:$D$36,4,0),"")</f>
        <v>Lô 85 DP4</v>
      </c>
      <c r="Y13" s="559" t="str">
        <f>IFERROR(VLOOKUP(V13,'NS QUẢN LÝ CG'!$A$4:$C$36,3,0),"")</f>
        <v>0825456565</v>
      </c>
      <c r="Z13" s="565" t="str">
        <f>IFERROR(VLOOKUP(M13,'02. MM-KLH'!$B$6:$T$823,3,0),"")</f>
        <v>A23-MĐA-048</v>
      </c>
      <c r="AA13" s="559" t="str">
        <f t="shared" si="1"/>
        <v>DP</v>
      </c>
      <c r="AB13" s="565"/>
      <c r="AC13" s="523"/>
    </row>
    <row r="14">
      <c r="A14" s="559"/>
      <c r="B14" s="560" t="str">
        <f>IFERROR(VLOOKUP(M14,'02. MM-KLH'!$B$6:$T$823,6,0),"")</f>
        <v>Máy đào KOMATSU bánh xích gàu 0.3m3</v>
      </c>
      <c r="C14" s="561">
        <v>1.0</v>
      </c>
      <c r="D14" s="559" t="str">
        <f>IFERROR(VLOOKUP(M14,'02. MM-KLH'!$B$6:$T$823,16,0),"")</f>
        <v>PC40MR-3-AC</v>
      </c>
      <c r="E14" s="561" t="s">
        <v>4158</v>
      </c>
      <c r="F14" s="559"/>
      <c r="G14" s="559"/>
      <c r="H14" s="559" t="str">
        <f>IFERROR(VLOOKUP(M14,'02. MM-KLH'!$B$6:$T$823,17,0),"")</f>
        <v>40HP</v>
      </c>
      <c r="I14" s="562">
        <f>IFERROR(VLOOKUP(M14,'02. MM-KLH'!$B$6:$U$823,20,0),"")</f>
        <v>4</v>
      </c>
      <c r="J14" s="560" t="str">
        <f>IFERROR(VLOOKUP(M14,'02. MM-KLH'!$B$6:$T$823,19,0),"")</f>
        <v>KACJ4722</v>
      </c>
      <c r="K14" s="560" t="str">
        <f>IFERROR(VLOOKUP(M14,'02. MM-KLH'!$B$6:$T$823,18,0),"")</f>
        <v>KMTPC203KFE023963</v>
      </c>
      <c r="L14" s="559" t="str">
        <f>IFERROR(VLOOKUP(M14,'02. MM-KLH'!$B$6:$T$823,4,0),"")</f>
        <v/>
      </c>
      <c r="M14" s="132" t="s">
        <v>249</v>
      </c>
      <c r="N14" s="57">
        <f>IFERROR(VLOOKUP(M14,'02. MM-KLH'!$B$6:$T$823,15,0),"")</f>
        <v>2015</v>
      </c>
      <c r="O14" s="563">
        <f>IFERROR(VLOOKUP(M14,'02. MM-KLH'!$B$6:$T$823,9,0),"")</f>
        <v>46002</v>
      </c>
      <c r="P14" s="559"/>
      <c r="Q14" s="566">
        <v>4412.0</v>
      </c>
      <c r="R14" s="561" t="s">
        <v>4158</v>
      </c>
      <c r="S14" s="559"/>
      <c r="T14" s="559"/>
      <c r="U14" s="559" t="str">
        <f>IFERROR(VLOOKUP(M14,'02. MM-KLH'!$B$6:$T$823,5,0),"")</f>
        <v>MỚI (ĐQSD)</v>
      </c>
      <c r="V14" s="565" t="str">
        <f>IFERROR(VLOOKUP(M14,'02. MM-KLH'!$B$6:$T$823,8,0),"")</f>
        <v>CGTC DP</v>
      </c>
      <c r="W14" s="559" t="str">
        <f>IFERROR(VLOOKUP(V14,'NS QUẢN LÝ CG'!$A$4:$D$36,2,0),"")</f>
        <v>Phạm Ngọc Hải</v>
      </c>
      <c r="X14" s="559" t="str">
        <f>IFERROR(VLOOKUP(V14,'NS QUẢN LÝ CG'!$A$4:$D$36,4,0),"")</f>
        <v>Lô 85 DP4</v>
      </c>
      <c r="Y14" s="559" t="str">
        <f>IFERROR(VLOOKUP(V14,'NS QUẢN LÝ CG'!$A$4:$C$36,3,0),"")</f>
        <v>0825456565</v>
      </c>
      <c r="Z14" s="565" t="str">
        <f>IFERROR(VLOOKUP(M14,'02. MM-KLH'!$B$6:$T$823,3,0),"")</f>
        <v>A23-MĐA-078</v>
      </c>
      <c r="AA14" s="559" t="str">
        <f t="shared" si="1"/>
        <v>DP</v>
      </c>
      <c r="AB14" s="565"/>
      <c r="AC14" s="523"/>
    </row>
    <row r="15">
      <c r="A15" s="559"/>
      <c r="B15" s="560" t="str">
        <f>IFERROR(VLOOKUP(M15,'02. MM-KLH'!$B$6:$T$823,6,0),"")</f>
        <v>Máy đào KOMATSU bánh xích gàu 0.3m3</v>
      </c>
      <c r="C15" s="561">
        <v>1.0</v>
      </c>
      <c r="D15" s="559" t="str">
        <f>IFERROR(VLOOKUP(M15,'02. MM-KLH'!$B$6:$T$823,16,0),"")</f>
        <v>PC40MR-3</v>
      </c>
      <c r="E15" s="561" t="s">
        <v>4158</v>
      </c>
      <c r="F15" s="559"/>
      <c r="G15" s="559"/>
      <c r="H15" s="559" t="str">
        <f>IFERROR(VLOOKUP(M15,'02. MM-KLH'!$B$6:$T$823,17,0),"")</f>
        <v>39HP</v>
      </c>
      <c r="I15" s="562">
        <f>IFERROR(VLOOKUP(M15,'02. MM-KLH'!$B$6:$U$823,20,0),"")</f>
        <v>4</v>
      </c>
      <c r="J15" s="560" t="str">
        <f>IFERROR(VLOOKUP(M15,'02. MM-KLH'!$B$6:$T$823,19,0),"")</f>
        <v>CCN</v>
      </c>
      <c r="K15" s="560">
        <f>IFERROR(VLOOKUP(M15,'02. MM-KLH'!$B$6:$T$823,18,0),"")</f>
        <v>5288</v>
      </c>
      <c r="L15" s="559" t="str">
        <f>IFERROR(VLOOKUP(M15,'02. MM-KLH'!$B$6:$T$823,4,0),"")</f>
        <v/>
      </c>
      <c r="M15" s="125" t="s">
        <v>941</v>
      </c>
      <c r="N15" s="57">
        <f>IFERROR(VLOOKUP(M15,'02. MM-KLH'!$B$6:$T$823,15,0),"")</f>
        <v>2006</v>
      </c>
      <c r="O15" s="563">
        <f>IFERROR(VLOOKUP(M15,'02. MM-KLH'!$B$6:$T$823,9,0),"")</f>
        <v>45419</v>
      </c>
      <c r="P15" s="559"/>
      <c r="Q15" s="566" t="s">
        <v>1565</v>
      </c>
      <c r="R15" s="561" t="s">
        <v>4158</v>
      </c>
      <c r="S15" s="559"/>
      <c r="T15" s="559"/>
      <c r="U15" s="559" t="str">
        <f>IFERROR(VLOOKUP(M15,'02. MM-KLH'!$B$6:$T$823,5,0),"")</f>
        <v>ĐQSD</v>
      </c>
      <c r="V15" s="565" t="str">
        <f>IFERROR(VLOOKUP(M15,'02. MM-KLH'!$B$6:$T$823,8,0),"")</f>
        <v>XN Chuối DP1</v>
      </c>
      <c r="W15" s="559" t="str">
        <f>IFERROR(VLOOKUP(V15,'NS QUẢN LÝ CG'!$A$4:$D$36,2,0),"")</f>
        <v>Thái Cao Lưu</v>
      </c>
      <c r="X15" s="559" t="str">
        <f>IFERROR(VLOOKUP(V15,'NS QUẢN LÝ CG'!$A$4:$D$36,4,0),"")</f>
        <v>Lô 21 DP1</v>
      </c>
      <c r="Y15" s="559" t="str">
        <f>IFERROR(VLOOKUP(V15,'NS QUẢN LÝ CG'!$A$4:$C$36,3,0),"")</f>
        <v>0387783316</v>
      </c>
      <c r="Z15" s="565" t="str">
        <f>IFERROR(VLOOKUP(M15,'02. MM-KLH'!$B$6:$T$823,3,0),"")</f>
        <v>ATT-A23-0041</v>
      </c>
      <c r="AA15" s="561" t="s">
        <v>4312</v>
      </c>
      <c r="AB15" s="565"/>
      <c r="AC15" s="523"/>
    </row>
    <row r="16">
      <c r="A16" s="559"/>
      <c r="B16" s="560" t="str">
        <f>IFERROR(VLOOKUP(M16,'02. MM-KLH'!$B$6:$T$823,6,0),"")</f>
        <v>Máy đào KOMATSU bánh xích gàu 0.3m3</v>
      </c>
      <c r="C16" s="561">
        <v>1.0</v>
      </c>
      <c r="D16" s="559" t="str">
        <f>IFERROR(VLOOKUP(M16,'02. MM-KLH'!$B$6:$T$823,16,0),"")</f>
        <v>PC40MR-3</v>
      </c>
      <c r="E16" s="561" t="s">
        <v>4158</v>
      </c>
      <c r="F16" s="559"/>
      <c r="G16" s="559"/>
      <c r="H16" s="559" t="str">
        <f>IFERROR(VLOOKUP(M16,'02. MM-KLH'!$B$6:$T$823,17,0),"")</f>
        <v>39HP</v>
      </c>
      <c r="I16" s="562">
        <f>IFERROR(VLOOKUP(M16,'02. MM-KLH'!$B$6:$U$823,20,0),"")</f>
        <v>4</v>
      </c>
      <c r="J16" s="560" t="str">
        <f>IFERROR(VLOOKUP(M16,'02. MM-KLH'!$B$6:$T$823,19,0),"")</f>
        <v>CCN</v>
      </c>
      <c r="K16" s="560">
        <f>IFERROR(VLOOKUP(M16,'02. MM-KLH'!$B$6:$T$823,18,0),"")</f>
        <v>8332</v>
      </c>
      <c r="L16" s="559" t="str">
        <f>IFERROR(VLOOKUP(M16,'02. MM-KLH'!$B$6:$T$823,4,0),"")</f>
        <v/>
      </c>
      <c r="M16" s="475" t="s">
        <v>1009</v>
      </c>
      <c r="N16" s="57">
        <f>IFERROR(VLOOKUP(M16,'02. MM-KLH'!$B$6:$T$823,15,0),"")</f>
        <v>2006</v>
      </c>
      <c r="O16" s="563" t="str">
        <f>IFERROR(VLOOKUP(M16,'02. MM-KLH'!$B$6:$T$823,9,0),"")</f>
        <v/>
      </c>
      <c r="P16" s="559"/>
      <c r="Q16" s="566" t="s">
        <v>1565</v>
      </c>
      <c r="R16" s="561" t="s">
        <v>4158</v>
      </c>
      <c r="S16" s="559"/>
      <c r="T16" s="559"/>
      <c r="U16" s="559" t="str">
        <f>IFERROR(VLOOKUP(M16,'02. MM-KLH'!$B$6:$T$823,5,0),"")</f>
        <v>ĐQSD</v>
      </c>
      <c r="V16" s="565" t="str">
        <f>IFERROR(VLOOKUP(M16,'02. MM-KLH'!$B$6:$T$823,8,0),"")</f>
        <v>XN Chuối DP2</v>
      </c>
      <c r="W16" s="559" t="str">
        <f>IFERROR(VLOOKUP(V16,'NS QUẢN LÝ CG'!$A$4:$D$36,2,0),"")</f>
        <v>Huỳnh Quang Viên</v>
      </c>
      <c r="X16" s="559" t="str">
        <f>IFERROR(VLOOKUP(V16,'NS QUẢN LÝ CG'!$A$4:$D$36,4,0),"")</f>
        <v>Lô 15.6 DP2</v>
      </c>
      <c r="Y16" s="559" t="str">
        <f>IFERROR(VLOOKUP(V16,'NS QUẢN LÝ CG'!$A$4:$C$36,3,0),"")</f>
        <v>0977623379</v>
      </c>
      <c r="Z16" s="565" t="str">
        <f>IFERROR(VLOOKUP(M16,'02. MM-KLH'!$B$6:$T$823,3,0),"")</f>
        <v>ATT-A23-0035</v>
      </c>
      <c r="AA16" s="561" t="s">
        <v>4312</v>
      </c>
      <c r="AB16" s="565"/>
      <c r="AC16" s="523"/>
    </row>
    <row r="17">
      <c r="A17" s="559"/>
      <c r="B17" s="560" t="str">
        <f>IFERROR(VLOOKUP(M17,'02. MM-KLH'!$B$6:$T$823,6,0),"")</f>
        <v>Máy đào KOMATSU bánh xích gàu 0.3m3</v>
      </c>
      <c r="C17" s="561">
        <v>1.0</v>
      </c>
      <c r="D17" s="559" t="str">
        <f>IFERROR(VLOOKUP(M17,'02. MM-KLH'!$B$6:$T$823,16,0),"")</f>
        <v>PC40MR-3</v>
      </c>
      <c r="E17" s="561" t="s">
        <v>4158</v>
      </c>
      <c r="F17" s="559"/>
      <c r="G17" s="559"/>
      <c r="H17" s="559" t="str">
        <f>IFERROR(VLOOKUP(M17,'02. MM-KLH'!$B$6:$T$823,17,0),"")</f>
        <v>39HP</v>
      </c>
      <c r="I17" s="562">
        <f>IFERROR(VLOOKUP(M17,'02. MM-KLH'!$B$6:$U$823,20,0),"")</f>
        <v>4</v>
      </c>
      <c r="J17" s="560" t="str">
        <f>IFERROR(VLOOKUP(M17,'02. MM-KLH'!$B$6:$T$823,19,0),"")</f>
        <v>CCN</v>
      </c>
      <c r="K17" s="560">
        <f>IFERROR(VLOOKUP(M17,'02. MM-KLH'!$B$6:$T$823,18,0),"")</f>
        <v>8608</v>
      </c>
      <c r="L17" s="559" t="str">
        <f>IFERROR(VLOOKUP(M17,'02. MM-KLH'!$B$6:$T$823,4,0),"")</f>
        <v/>
      </c>
      <c r="M17" s="475" t="s">
        <v>1020</v>
      </c>
      <c r="N17" s="57">
        <f>IFERROR(VLOOKUP(M17,'02. MM-KLH'!$B$6:$T$823,15,0),"")</f>
        <v>2006</v>
      </c>
      <c r="O17" s="563" t="str">
        <f>IFERROR(VLOOKUP(M17,'02. MM-KLH'!$B$6:$T$823,9,0),"")</f>
        <v/>
      </c>
      <c r="P17" s="559"/>
      <c r="Q17" s="566" t="s">
        <v>1565</v>
      </c>
      <c r="R17" s="561" t="s">
        <v>4158</v>
      </c>
      <c r="S17" s="559"/>
      <c r="T17" s="559"/>
      <c r="U17" s="559" t="str">
        <f>IFERROR(VLOOKUP(M17,'02. MM-KLH'!$B$6:$T$823,5,0),"")</f>
        <v>ĐQSD</v>
      </c>
      <c r="V17" s="565" t="str">
        <f>IFERROR(VLOOKUP(M17,'02. MM-KLH'!$B$6:$T$823,8,0),"")</f>
        <v>XN Chuối DP3</v>
      </c>
      <c r="W17" s="559" t="str">
        <f>IFERROR(VLOOKUP(V17,'NS QUẢN LÝ CG'!$A$4:$D$36,2,0),"")</f>
        <v>Thạch Ngọc Vững</v>
      </c>
      <c r="X17" s="559" t="str">
        <f>IFERROR(VLOOKUP(V17,'NS QUẢN LÝ CG'!$A$4:$D$36,4,0),"")</f>
        <v>Lô 28 DP3</v>
      </c>
      <c r="Y17" s="559" t="str">
        <f>IFERROR(VLOOKUP(V17,'NS QUẢN LÝ CG'!$A$4:$C$36,3,0),"")</f>
        <v>0975905267</v>
      </c>
      <c r="Z17" s="565" t="str">
        <f>IFERROR(VLOOKUP(M17,'02. MM-KLH'!$B$6:$T$823,3,0),"")</f>
        <v>ATT-A23-0036</v>
      </c>
      <c r="AA17" s="561" t="s">
        <v>4312</v>
      </c>
      <c r="AB17" s="565"/>
      <c r="AC17" s="523"/>
    </row>
    <row r="18">
      <c r="A18" s="559"/>
      <c r="B18" s="560" t="str">
        <f>IFERROR(VLOOKUP(M18,'02. MM-KLH'!$B$6:$T$823,6,0),"")</f>
        <v>Máy đào KOMATSU bánh xích gàu 0.3m3</v>
      </c>
      <c r="C18" s="561">
        <v>1.0</v>
      </c>
      <c r="D18" s="559" t="str">
        <f>IFERROR(VLOOKUP(M18,'02. MM-KLH'!$B$6:$T$823,16,0),"")</f>
        <v>PC40MR-3</v>
      </c>
      <c r="E18" s="561" t="s">
        <v>4158</v>
      </c>
      <c r="F18" s="559"/>
      <c r="G18" s="559"/>
      <c r="H18" s="559" t="str">
        <f>IFERROR(VLOOKUP(M18,'02. MM-KLH'!$B$6:$T$823,17,0),"")</f>
        <v>39HP</v>
      </c>
      <c r="I18" s="562">
        <f>IFERROR(VLOOKUP(M18,'02. MM-KLH'!$B$6:$U$823,20,0),"")</f>
        <v>4</v>
      </c>
      <c r="J18" s="560">
        <f>IFERROR(VLOOKUP(M18,'02. MM-KLH'!$B$6:$T$823,19,0),"")</f>
        <v>27539</v>
      </c>
      <c r="K18" s="560" t="str">
        <f>IFERROR(VLOOKUP(M18,'02. MM-KLH'!$B$6:$T$823,18,0),"")</f>
        <v>KMTPC203C04021039</v>
      </c>
      <c r="L18" s="559" t="str">
        <f>IFERROR(VLOOKUP(M18,'02. MM-KLH'!$B$6:$T$823,4,0),"")</f>
        <v/>
      </c>
      <c r="M18" s="463" t="s">
        <v>1211</v>
      </c>
      <c r="N18" s="57">
        <f>IFERROR(VLOOKUP(M18,'02. MM-KLH'!$B$6:$T$823,15,0),"")</f>
        <v>2013</v>
      </c>
      <c r="O18" s="563" t="str">
        <f>IFERROR(VLOOKUP(M18,'02. MM-KLH'!$B$6:$T$823,9,0),"")</f>
        <v>27/07/2025</v>
      </c>
      <c r="P18" s="559"/>
      <c r="Q18" s="566" t="s">
        <v>1565</v>
      </c>
      <c r="R18" s="561" t="s">
        <v>4158</v>
      </c>
      <c r="S18" s="559"/>
      <c r="T18" s="559"/>
      <c r="U18" s="559" t="str">
        <f>IFERROR(VLOOKUP(M18,'02. MM-KLH'!$B$6:$T$823,5,0),"")</f>
        <v>ĐQSD</v>
      </c>
      <c r="V18" s="565" t="str">
        <f>IFERROR(VLOOKUP(M18,'02. MM-KLH'!$B$6:$T$823,8,0),"")</f>
        <v>XN Chuối LP1</v>
      </c>
      <c r="W18" s="559" t="str">
        <f>IFERROR(VLOOKUP(V18,'NS QUẢN LÝ CG'!$A$4:$D$36,2,0),"")</f>
        <v>Nguyễn Ngọc Nhân</v>
      </c>
      <c r="X18" s="559" t="str">
        <f>IFERROR(VLOOKUP(V18,'NS QUẢN LÝ CG'!$A$4:$D$36,4,0),"")</f>
        <v>Lô 7 LP1</v>
      </c>
      <c r="Y18" s="559" t="str">
        <f>IFERROR(VLOOKUP(V18,'NS QUẢN LÝ CG'!$A$4:$C$36,3,0),"")</f>
        <v>0979578112</v>
      </c>
      <c r="Z18" s="565" t="str">
        <f>IFERROR(VLOOKUP(M18,'02. MM-KLH'!$B$6:$T$823,3,0),"")</f>
        <v>A24-MĐA-066</v>
      </c>
      <c r="AA18" s="559" t="str">
        <f t="shared" ref="AA18:AA20" si="2">SWITCH(LEFT(Z18,3),"A22","ADM","A23","DP","A24","LP","")</f>
        <v>LP</v>
      </c>
      <c r="AB18" s="565"/>
      <c r="AC18" s="523"/>
    </row>
    <row r="19">
      <c r="A19" s="559"/>
      <c r="B19" s="560" t="str">
        <f>IFERROR(VLOOKUP(M19,'02. MM-KLH'!$B$6:$T$823,6,0),"")</f>
        <v>Máy đào KOMATSU bánh xích gàu 0.3m3</v>
      </c>
      <c r="C19" s="561">
        <v>1.0</v>
      </c>
      <c r="D19" s="559" t="str">
        <f>IFERROR(VLOOKUP(M19,'02. MM-KLH'!$B$6:$T$823,16,0),"")</f>
        <v>PC40MR-3</v>
      </c>
      <c r="E19" s="561" t="s">
        <v>4158</v>
      </c>
      <c r="F19" s="559"/>
      <c r="G19" s="559"/>
      <c r="H19" s="559" t="str">
        <f>IFERROR(VLOOKUP(M19,'02. MM-KLH'!$B$6:$T$823,17,0),"")</f>
        <v>39HP</v>
      </c>
      <c r="I19" s="562">
        <f>IFERROR(VLOOKUP(M19,'02. MM-KLH'!$B$6:$U$823,20,0),"")</f>
        <v>4</v>
      </c>
      <c r="J19" s="560">
        <f>IFERROR(VLOOKUP(M19,'02. MM-KLH'!$B$6:$T$823,19,0),"")</f>
        <v>29346</v>
      </c>
      <c r="K19" s="560" t="str">
        <f>IFERROR(VLOOKUP(M19,'02. MM-KLH'!$B$6:$T$823,18,0),"")</f>
        <v>KMTPC203E04021413</v>
      </c>
      <c r="L19" s="559" t="str">
        <f>IFERROR(VLOOKUP(M19,'02. MM-KLH'!$B$6:$T$823,4,0),"")</f>
        <v/>
      </c>
      <c r="M19" s="463" t="s">
        <v>1233</v>
      </c>
      <c r="N19" s="57">
        <f>IFERROR(VLOOKUP(M19,'02. MM-KLH'!$B$6:$T$823,15,0),"")</f>
        <v>2013</v>
      </c>
      <c r="O19" s="563" t="str">
        <f>IFERROR(VLOOKUP(M19,'02. MM-KLH'!$B$6:$T$823,9,0),"")</f>
        <v>27/07/2025</v>
      </c>
      <c r="P19" s="559"/>
      <c r="Q19" s="566" t="s">
        <v>1565</v>
      </c>
      <c r="R19" s="561" t="s">
        <v>4158</v>
      </c>
      <c r="S19" s="559"/>
      <c r="T19" s="559"/>
      <c r="U19" s="559" t="str">
        <f>IFERROR(VLOOKUP(M19,'02. MM-KLH'!$B$6:$T$823,5,0),"")</f>
        <v>ĐQSD</v>
      </c>
      <c r="V19" s="565" t="str">
        <f>IFERROR(VLOOKUP(M19,'02. MM-KLH'!$B$6:$T$823,8,0),"")</f>
        <v>XN Chuối LP1</v>
      </c>
      <c r="W19" s="559" t="str">
        <f>IFERROR(VLOOKUP(V19,'NS QUẢN LÝ CG'!$A$4:$D$36,2,0),"")</f>
        <v>Nguyễn Ngọc Nhân</v>
      </c>
      <c r="X19" s="559" t="str">
        <f>IFERROR(VLOOKUP(V19,'NS QUẢN LÝ CG'!$A$4:$D$36,4,0),"")</f>
        <v>Lô 7 LP1</v>
      </c>
      <c r="Y19" s="559" t="str">
        <f>IFERROR(VLOOKUP(V19,'NS QUẢN LÝ CG'!$A$4:$C$36,3,0),"")</f>
        <v>0979578112</v>
      </c>
      <c r="Z19" s="565" t="str">
        <f>IFERROR(VLOOKUP(M19,'02. MM-KLH'!$B$6:$T$823,3,0),"")</f>
        <v>A24-MĐA-067</v>
      </c>
      <c r="AA19" s="559" t="str">
        <f t="shared" si="2"/>
        <v>LP</v>
      </c>
      <c r="AB19" s="565"/>
      <c r="AC19" s="523"/>
    </row>
    <row r="20">
      <c r="A20" s="559"/>
      <c r="B20" s="560" t="str">
        <f>IFERROR(VLOOKUP(M20,'02. MM-KLH'!$B$6:$T$823,6,0),"")</f>
        <v>Máy đào KOMATSU bánh xích gàu 0.3m3</v>
      </c>
      <c r="C20" s="561">
        <v>1.0</v>
      </c>
      <c r="D20" s="559" t="str">
        <f>IFERROR(VLOOKUP(M20,'02. MM-KLH'!$B$6:$T$823,16,0),"")</f>
        <v>PC40MR-3</v>
      </c>
      <c r="E20" s="561" t="s">
        <v>4158</v>
      </c>
      <c r="F20" s="559"/>
      <c r="G20" s="559"/>
      <c r="H20" s="559" t="str">
        <f>IFERROR(VLOOKUP(M20,'02. MM-KLH'!$B$6:$T$823,17,0),"")</f>
        <v>40HP</v>
      </c>
      <c r="I20" s="562">
        <f>IFERROR(VLOOKUP(M20,'02. MM-KLH'!$B$6:$U$823,20,0),"")</f>
        <v>4</v>
      </c>
      <c r="J20" s="560">
        <f>IFERROR(VLOOKUP(M20,'02. MM-KLH'!$B$6:$T$823,19,0),"")</f>
        <v>35099</v>
      </c>
      <c r="K20" s="560" t="str">
        <f>IFERROR(VLOOKUP(M20,'02. MM-KLH'!$B$6:$T$823,18,0),"")</f>
        <v>KMTPC203VFE022946</v>
      </c>
      <c r="L20" s="559" t="str">
        <f>IFERROR(VLOOKUP(M20,'02. MM-KLH'!$B$6:$T$823,4,0),"")</f>
        <v/>
      </c>
      <c r="M20" s="132" t="s">
        <v>907</v>
      </c>
      <c r="N20" s="57">
        <f>IFERROR(VLOOKUP(M20,'02. MM-KLH'!$B$6:$T$823,15,0),"")</f>
        <v>2015</v>
      </c>
      <c r="O20" s="563" t="str">
        <f>IFERROR(VLOOKUP(M20,'02. MM-KLH'!$B$6:$T$823,9,0),"")</f>
        <v>29/07/2024</v>
      </c>
      <c r="P20" s="559"/>
      <c r="Q20" s="566" t="s">
        <v>1565</v>
      </c>
      <c r="R20" s="561" t="s">
        <v>4158</v>
      </c>
      <c r="S20" s="559"/>
      <c r="T20" s="559"/>
      <c r="U20" s="559" t="str">
        <f>IFERROR(VLOOKUP(M20,'02. MM-KLH'!$B$6:$T$823,5,0),"")</f>
        <v>ĐQSD</v>
      </c>
      <c r="V20" s="565" t="str">
        <f>IFERROR(VLOOKUP(M20,'02. MM-KLH'!$B$6:$T$823,8,0),"")</f>
        <v>XN Chuối LP1</v>
      </c>
      <c r="W20" s="559" t="str">
        <f>IFERROR(VLOOKUP(V20,'NS QUẢN LÝ CG'!$A$4:$D$36,2,0),"")</f>
        <v>Nguyễn Ngọc Nhân</v>
      </c>
      <c r="X20" s="559" t="str">
        <f>IFERROR(VLOOKUP(V20,'NS QUẢN LÝ CG'!$A$4:$D$36,4,0),"")</f>
        <v>Lô 7 LP1</v>
      </c>
      <c r="Y20" s="559" t="str">
        <f>IFERROR(VLOOKUP(V20,'NS QUẢN LÝ CG'!$A$4:$C$36,3,0),"")</f>
        <v>0979578112</v>
      </c>
      <c r="Z20" s="565" t="str">
        <f>IFERROR(VLOOKUP(M20,'02. MM-KLH'!$B$6:$T$823,3,0),"")</f>
        <v>A24-MĐA-013</v>
      </c>
      <c r="AA20" s="559" t="str">
        <f t="shared" si="2"/>
        <v>LP</v>
      </c>
      <c r="AB20" s="565"/>
      <c r="AC20" s="523"/>
    </row>
    <row r="21">
      <c r="A21" s="559"/>
      <c r="B21" s="560" t="str">
        <f>IFERROR(VLOOKUP(M21,'02. MM-KLH'!$B$6:$T$823,6,0),"")</f>
        <v>Máy đào KOMATSU bánh xích gàu 0.3m3</v>
      </c>
      <c r="C21" s="561">
        <v>1.0</v>
      </c>
      <c r="D21" s="559" t="str">
        <f>IFERROR(VLOOKUP(M21,'02. MM-KLH'!$B$6:$T$823,16,0),"")</f>
        <v>PC50MR-2</v>
      </c>
      <c r="E21" s="561" t="s">
        <v>4158</v>
      </c>
      <c r="F21" s="559"/>
      <c r="G21" s="559"/>
      <c r="H21" s="559" t="str">
        <f>IFERROR(VLOOKUP(M21,'02. MM-KLH'!$B$6:$T$823,17,0),"")</f>
        <v>39HP</v>
      </c>
      <c r="I21" s="562">
        <f>IFERROR(VLOOKUP(M21,'02. MM-KLH'!$B$6:$U$823,20,0),"")</f>
        <v>4</v>
      </c>
      <c r="J21" s="560">
        <f>IFERROR(VLOOKUP(M21,'02. MM-KLH'!$B$6:$T$823,19,0),"")</f>
        <v>11014</v>
      </c>
      <c r="K21" s="560" t="str">
        <f>IFERROR(VLOOKUP(M21,'02. MM-KLH'!$B$6:$T$823,18,0),"")</f>
        <v>KMTPC094E05008137</v>
      </c>
      <c r="L21" s="559" t="str">
        <f>IFERROR(VLOOKUP(M21,'02. MM-KLH'!$B$6:$T$823,4,0),"")</f>
        <v/>
      </c>
      <c r="M21" s="488" t="s">
        <v>877</v>
      </c>
      <c r="N21" s="57">
        <f>IFERROR(VLOOKUP(M21,'02. MM-KLH'!$B$6:$T$823,15,0),"")</f>
        <v>2006</v>
      </c>
      <c r="O21" s="563" t="str">
        <f>IFERROR(VLOOKUP(M21,'02. MM-KLH'!$B$6:$T$823,9,0),"")</f>
        <v>21/02/2024</v>
      </c>
      <c r="P21" s="559"/>
      <c r="Q21" s="566" t="s">
        <v>1565</v>
      </c>
      <c r="R21" s="561" t="s">
        <v>4158</v>
      </c>
      <c r="S21" s="559"/>
      <c r="T21" s="559"/>
      <c r="U21" s="559" t="str">
        <f>IFERROR(VLOOKUP(M21,'02. MM-KLH'!$B$6:$T$823,5,0),"")</f>
        <v>ĐQSD</v>
      </c>
      <c r="V21" s="565" t="str">
        <f>IFERROR(VLOOKUP(M21,'02. MM-KLH'!$B$6:$T$823,8,0),"")</f>
        <v>XN Chuối LP3</v>
      </c>
      <c r="W21" s="559" t="str">
        <f>IFERROR(VLOOKUP(V21,'NS QUẢN LÝ CG'!$A$4:$D$36,2,0),"")</f>
        <v>Lê Cao Nghị</v>
      </c>
      <c r="X21" s="559" t="str">
        <f>IFERROR(VLOOKUP(V21,'NS QUẢN LÝ CG'!$A$4:$D$36,4,0),"")</f>
        <v>Lô 2 LP3</v>
      </c>
      <c r="Y21" s="559" t="str">
        <f>IFERROR(VLOOKUP(V21,'NS QUẢN LÝ CG'!$A$4:$C$36,3,0),"")</f>
        <v>0977423100</v>
      </c>
      <c r="Z21" s="565" t="str">
        <f>IFERROR(VLOOKUP(M21,'02. MM-KLH'!$B$6:$T$823,3,0),"")</f>
        <v>ATT-A22-0233</v>
      </c>
      <c r="AA21" s="561" t="s">
        <v>4462</v>
      </c>
      <c r="AB21" s="565"/>
      <c r="AC21" s="523"/>
    </row>
    <row r="22">
      <c r="A22" s="559"/>
      <c r="B22" s="560" t="str">
        <f>IFERROR(VLOOKUP(M22,'02. MM-KLH'!$B$6:$T$823,6,0),"")</f>
        <v>Máy đào KOMATSU bánh xích gàu 0.3m3</v>
      </c>
      <c r="C22" s="561">
        <v>1.0</v>
      </c>
      <c r="D22" s="559" t="str">
        <f>IFERROR(VLOOKUP(M22,'02. MM-KLH'!$B$6:$T$823,16,0),"")</f>
        <v>PC55MR-3</v>
      </c>
      <c r="E22" s="561" t="s">
        <v>4158</v>
      </c>
      <c r="F22" s="559"/>
      <c r="G22" s="559"/>
      <c r="H22" s="559" t="str">
        <f>IFERROR(VLOOKUP(M22,'02. MM-KLH'!$B$6:$T$823,17,0),"")</f>
        <v>38HP</v>
      </c>
      <c r="I22" s="562">
        <f>IFERROR(VLOOKUP(M22,'02. MM-KLH'!$B$6:$U$823,20,0),"")</f>
        <v>4</v>
      </c>
      <c r="J22" s="560">
        <f>IFERROR(VLOOKUP(M22,'02. MM-KLH'!$B$6:$T$823,19,0),"")</f>
        <v>27150</v>
      </c>
      <c r="K22" s="560" t="str">
        <f>IFERROR(VLOOKUP(M22,'02. MM-KLH'!$B$6:$T$823,18,0),"")</f>
        <v>KMTPC212T40417418</v>
      </c>
      <c r="L22" s="559" t="str">
        <f>IFERROR(VLOOKUP(M22,'02. MM-KLH'!$B$6:$T$823,4,0),"")</f>
        <v/>
      </c>
      <c r="M22" s="463" t="s">
        <v>859</v>
      </c>
      <c r="N22" s="57">
        <f>IFERROR(VLOOKUP(M22,'02. MM-KLH'!$B$6:$T$823,15,0),"")</f>
        <v>2005</v>
      </c>
      <c r="O22" s="563" t="str">
        <f>IFERROR(VLOOKUP(M22,'02. MM-KLH'!$B$6:$T$823,9,0),"")</f>
        <v>30/06/2024</v>
      </c>
      <c r="P22" s="559"/>
      <c r="Q22" s="566" t="s">
        <v>1565</v>
      </c>
      <c r="R22" s="561" t="s">
        <v>4158</v>
      </c>
      <c r="S22" s="559"/>
      <c r="T22" s="559"/>
      <c r="U22" s="559" t="str">
        <f>IFERROR(VLOOKUP(M22,'02. MM-KLH'!$B$6:$T$823,5,0),"")</f>
        <v>ĐQSD</v>
      </c>
      <c r="V22" s="565" t="str">
        <f>IFERROR(VLOOKUP(M22,'02. MM-KLH'!$B$6:$T$823,8,0),"")</f>
        <v>XN Chuối LP3</v>
      </c>
      <c r="W22" s="559" t="str">
        <f>IFERROR(VLOOKUP(V22,'NS QUẢN LÝ CG'!$A$4:$D$36,2,0),"")</f>
        <v>Lê Cao Nghị</v>
      </c>
      <c r="X22" s="559" t="str">
        <f>IFERROR(VLOOKUP(V22,'NS QUẢN LÝ CG'!$A$4:$D$36,4,0),"")</f>
        <v>Lô 2 LP3</v>
      </c>
      <c r="Y22" s="559" t="str">
        <f>IFERROR(VLOOKUP(V22,'NS QUẢN LÝ CG'!$A$4:$C$36,3,0),"")</f>
        <v>0977423100</v>
      </c>
      <c r="Z22" s="565" t="str">
        <f>IFERROR(VLOOKUP(M22,'02. MM-KLH'!$B$6:$T$823,3,0),"")</f>
        <v>A24-MĐA-049</v>
      </c>
      <c r="AA22" s="559" t="str">
        <f t="shared" ref="AA22:AA23" si="3">SWITCH(LEFT(Z22,3),"A22","ADM","A23","DP","A24","LP","")</f>
        <v>LP</v>
      </c>
      <c r="AB22" s="565"/>
      <c r="AC22" s="523"/>
    </row>
    <row r="23">
      <c r="A23" s="559"/>
      <c r="B23" s="560" t="str">
        <f>IFERROR(VLOOKUP(M23,'02. MM-KLH'!$B$6:$T$823,6,0),"")</f>
        <v>Máy đào KOMATSU bánh xích gàu 0.3m3</v>
      </c>
      <c r="C23" s="561">
        <v>1.0</v>
      </c>
      <c r="D23" s="559" t="str">
        <f>IFERROR(VLOOKUP(M23,'02. MM-KLH'!$B$6:$T$823,16,0),"")</f>
        <v>PC40MR-3</v>
      </c>
      <c r="E23" s="561" t="s">
        <v>4158</v>
      </c>
      <c r="F23" s="559"/>
      <c r="G23" s="559"/>
      <c r="H23" s="559" t="str">
        <f>IFERROR(VLOOKUP(M23,'02. MM-KLH'!$B$6:$T$823,17,0),"")</f>
        <v>40HP</v>
      </c>
      <c r="I23" s="562">
        <f>IFERROR(VLOOKUP(M23,'02. MM-KLH'!$B$6:$U$823,20,0),"")</f>
        <v>4</v>
      </c>
      <c r="J23" s="560">
        <f>IFERROR(VLOOKUP(M23,'02. MM-KLH'!$B$6:$T$823,19,0),"")</f>
        <v>20536</v>
      </c>
      <c r="K23" s="560" t="str">
        <f>IFERROR(VLOOKUP(M23,'02. MM-KLH'!$B$6:$T$823,18,0),"")</f>
        <v>KMTPC203A04018037</v>
      </c>
      <c r="L23" s="559" t="str">
        <f>IFERROR(VLOOKUP(M23,'02. MM-KLH'!$B$6:$T$823,4,0),"")</f>
        <v/>
      </c>
      <c r="M23" s="463" t="s">
        <v>933</v>
      </c>
      <c r="N23" s="57">
        <f>IFERROR(VLOOKUP(M23,'02. MM-KLH'!$B$6:$T$823,15,0),"")</f>
        <v>2015</v>
      </c>
      <c r="O23" s="563" t="str">
        <f>IFERROR(VLOOKUP(M23,'02. MM-KLH'!$B$6:$T$823,9,0),"")</f>
        <v>29/07/2024</v>
      </c>
      <c r="P23" s="559"/>
      <c r="Q23" s="566" t="s">
        <v>1565</v>
      </c>
      <c r="R23" s="561" t="s">
        <v>4158</v>
      </c>
      <c r="S23" s="559"/>
      <c r="T23" s="559"/>
      <c r="U23" s="559" t="str">
        <f>IFERROR(VLOOKUP(M23,'02. MM-KLH'!$B$6:$T$823,5,0),"")</f>
        <v>ĐQSD</v>
      </c>
      <c r="V23" s="565" t="str">
        <f>IFERROR(VLOOKUP(M23,'02. MM-KLH'!$B$6:$T$823,8,0),"")</f>
        <v>XN Chuối LP3</v>
      </c>
      <c r="W23" s="559" t="str">
        <f>IFERROR(VLOOKUP(V23,'NS QUẢN LÝ CG'!$A$4:$D$36,2,0),"")</f>
        <v>Lê Cao Nghị</v>
      </c>
      <c r="X23" s="559" t="str">
        <f>IFERROR(VLOOKUP(V23,'NS QUẢN LÝ CG'!$A$4:$D$36,4,0),"")</f>
        <v>Lô 2 LP3</v>
      </c>
      <c r="Y23" s="559" t="str">
        <f>IFERROR(VLOOKUP(V23,'NS QUẢN LÝ CG'!$A$4:$C$36,3,0),"")</f>
        <v>0977423100</v>
      </c>
      <c r="Z23" s="565" t="str">
        <f>IFERROR(VLOOKUP(M23,'02. MM-KLH'!$B$6:$T$823,3,0),"")</f>
        <v>A24-MĐA-014</v>
      </c>
      <c r="AA23" s="559" t="str">
        <f t="shared" si="3"/>
        <v>LP</v>
      </c>
      <c r="AB23" s="565"/>
      <c r="AC23" s="523"/>
    </row>
    <row r="24">
      <c r="A24" s="559"/>
      <c r="B24" s="560" t="str">
        <f>IFERROR(VLOOKUP(M24,'02. MM-KLH'!$B$6:$T$823,6,0),"")</f>
        <v>Máy đào KOMATSU bánh xích gàu 0.3m3</v>
      </c>
      <c r="C24" s="561">
        <v>1.0</v>
      </c>
      <c r="D24" s="559" t="str">
        <f>IFERROR(VLOOKUP(M24,'02. MM-KLH'!$B$6:$T$823,16,0),"")</f>
        <v>PC55MR-3</v>
      </c>
      <c r="E24" s="561" t="s">
        <v>4158</v>
      </c>
      <c r="F24" s="559"/>
      <c r="G24" s="559"/>
      <c r="H24" s="559" t="str">
        <f>IFERROR(VLOOKUP(M24,'02. MM-KLH'!$B$6:$T$823,17,0),"")</f>
        <v>39HP</v>
      </c>
      <c r="I24" s="562">
        <f>IFERROR(VLOOKUP(M24,'02. MM-KLH'!$B$6:$U$823,20,0),"")</f>
        <v>4</v>
      </c>
      <c r="J24" s="560">
        <f>IFERROR(VLOOKUP(M24,'02. MM-KLH'!$B$6:$T$823,19,0),"")</f>
        <v>21629</v>
      </c>
      <c r="K24" s="560" t="str">
        <f>IFERROR(VLOOKUP(M24,'02. MM-KLH'!$B$6:$T$823,18,0),"")</f>
        <v>KMTPC212P040416271</v>
      </c>
      <c r="L24" s="559" t="str">
        <f>IFERROR(VLOOKUP(M24,'02. MM-KLH'!$B$6:$T$823,4,0),"")</f>
        <v/>
      </c>
      <c r="M24" s="490" t="s">
        <v>1040</v>
      </c>
      <c r="N24" s="57">
        <f>IFERROR(VLOOKUP(M24,'02. MM-KLH'!$B$6:$T$823,15,0),"")</f>
        <v>2010</v>
      </c>
      <c r="O24" s="563" t="str">
        <f>IFERROR(VLOOKUP(M24,'02. MM-KLH'!$B$6:$T$823,9,0),"")</f>
        <v/>
      </c>
      <c r="P24" s="559"/>
      <c r="Q24" s="566" t="s">
        <v>1565</v>
      </c>
      <c r="R24" s="561"/>
      <c r="S24" s="559"/>
      <c r="T24" s="561" t="s">
        <v>4158</v>
      </c>
      <c r="U24" s="559" t="str">
        <f>IFERROR(VLOOKUP(M24,'02. MM-KLH'!$B$6:$T$823,5,0),"")</f>
        <v>ĐQSD</v>
      </c>
      <c r="V24" s="565" t="str">
        <f>IFERROR(VLOOKUP(M24,'02. MM-KLH'!$B$6:$T$823,8,0),"")</f>
        <v>XN Chuối LP3</v>
      </c>
      <c r="W24" s="559" t="str">
        <f>IFERROR(VLOOKUP(V24,'NS QUẢN LÝ CG'!$A$4:$D$36,2,0),"")</f>
        <v>Lê Cao Nghị</v>
      </c>
      <c r="X24" s="559" t="str">
        <f>IFERROR(VLOOKUP(V24,'NS QUẢN LÝ CG'!$A$4:$D$36,4,0),"")</f>
        <v>Lô 2 LP3</v>
      </c>
      <c r="Y24" s="559" t="str">
        <f>IFERROR(VLOOKUP(V24,'NS QUẢN LÝ CG'!$A$4:$C$36,3,0),"")</f>
        <v>0977423100</v>
      </c>
      <c r="Z24" s="565" t="str">
        <f>IFERROR(VLOOKUP(M24,'02. MM-KLH'!$B$6:$T$823,3,0),"")</f>
        <v>ATT-A22-0236</v>
      </c>
      <c r="AA24" s="561" t="s">
        <v>4462</v>
      </c>
      <c r="AB24" s="565"/>
      <c r="AC24" s="523"/>
    </row>
    <row r="25">
      <c r="A25" s="559"/>
      <c r="B25" s="560" t="str">
        <f>IFERROR(VLOOKUP(M25,'02. MM-KLH'!$B$6:$T$823,6,0),"")</f>
        <v>Máy đào KOMATSU bánh xích gàu 0.3m3</v>
      </c>
      <c r="C25" s="561">
        <v>1.0</v>
      </c>
      <c r="D25" s="559" t="str">
        <f>IFERROR(VLOOKUP(M25,'02. MM-KLH'!$B$6:$T$823,16,0),"")</f>
        <v>PC50MR-2</v>
      </c>
      <c r="E25" s="561" t="s">
        <v>4158</v>
      </c>
      <c r="F25" s="559"/>
      <c r="G25" s="559"/>
      <c r="H25" s="559" t="str">
        <f>IFERROR(VLOOKUP(M25,'02. MM-KLH'!$B$6:$T$823,17,0),"")</f>
        <v>39HP</v>
      </c>
      <c r="I25" s="562">
        <f>IFERROR(VLOOKUP(M25,'02. MM-KLH'!$B$6:$U$823,20,0),"")</f>
        <v>4</v>
      </c>
      <c r="J25" s="560" t="str">
        <f>IFERROR(VLOOKUP(M25,'02. MM-KLH'!$B$6:$T$823,19,0),"")</f>
        <v>CCN</v>
      </c>
      <c r="K25" s="560" t="str">
        <f>IFERROR(VLOOKUP(M25,'02. MM-KLH'!$B$6:$T$823,18,0),"")</f>
        <v>KMTPC094K05007351</v>
      </c>
      <c r="L25" s="559" t="str">
        <f>IFERROR(VLOOKUP(M25,'02. MM-KLH'!$B$6:$T$823,4,0),"")</f>
        <v/>
      </c>
      <c r="M25" s="488" t="s">
        <v>1060</v>
      </c>
      <c r="N25" s="57">
        <f>IFERROR(VLOOKUP(M25,'02. MM-KLH'!$B$6:$T$823,15,0),"")</f>
        <v>2006</v>
      </c>
      <c r="O25" s="563" t="str">
        <f>IFERROR(VLOOKUP(M25,'02. MM-KLH'!$B$6:$T$823,9,0),"")</f>
        <v/>
      </c>
      <c r="P25" s="559"/>
      <c r="Q25" s="566" t="s">
        <v>1565</v>
      </c>
      <c r="R25" s="561"/>
      <c r="S25" s="561" t="s">
        <v>4158</v>
      </c>
      <c r="T25" s="559"/>
      <c r="U25" s="559" t="str">
        <f>IFERROR(VLOOKUP(M25,'02. MM-KLH'!$B$6:$T$823,5,0),"")</f>
        <v>ĐQSD</v>
      </c>
      <c r="V25" s="565" t="str">
        <f>IFERROR(VLOOKUP(M25,'02. MM-KLH'!$B$6:$T$823,8,0),"")</f>
        <v>XN Bò AD</v>
      </c>
      <c r="W25" s="559" t="str">
        <f>IFERROR(VLOOKUP(V25,'NS QUẢN LÝ CG'!$A$4:$D$36,2,0),"")</f>
        <v>Trần Văn Nam</v>
      </c>
      <c r="X25" s="559" t="str">
        <f>IFERROR(VLOOKUP(V25,'NS QUẢN LÝ CG'!$A$4:$D$36,4,0),"")</f>
        <v>Lô 28 XN Bò</v>
      </c>
      <c r="Y25" s="559" t="str">
        <f>IFERROR(VLOOKUP(V25,'NS QUẢN LÝ CG'!$A$4:$C$36,3,0),"")</f>
        <v>0971993540</v>
      </c>
      <c r="Z25" s="565" t="str">
        <f>IFERROR(VLOOKUP(M25,'02. MM-KLH'!$B$6:$T$823,3,0),"")</f>
        <v>ATT-A23-0042</v>
      </c>
      <c r="AA25" s="561" t="s">
        <v>4312</v>
      </c>
      <c r="AB25" s="565"/>
      <c r="AC25" s="523"/>
    </row>
    <row r="26">
      <c r="A26" s="559"/>
      <c r="B26" s="560" t="str">
        <f>IFERROR(VLOOKUP(M26,'02. MM-KLH'!$B$6:$T$823,6,0),"")</f>
        <v>Máy đào KOMATSU bánh xích gàu 0.3m3</v>
      </c>
      <c r="C26" s="561">
        <v>1.0</v>
      </c>
      <c r="D26" s="559" t="str">
        <f>IFERROR(VLOOKUP(M26,'02. MM-KLH'!$B$6:$T$823,16,0),"")</f>
        <v>PC40MR-3</v>
      </c>
      <c r="E26" s="561" t="s">
        <v>4158</v>
      </c>
      <c r="F26" s="559"/>
      <c r="G26" s="559"/>
      <c r="H26" s="559" t="str">
        <f>IFERROR(VLOOKUP(M26,'02. MM-KLH'!$B$6:$T$823,17,0),"")</f>
        <v>39HP</v>
      </c>
      <c r="I26" s="562">
        <f>IFERROR(VLOOKUP(M26,'02. MM-KLH'!$B$6:$U$823,20,0),"")</f>
        <v>4</v>
      </c>
      <c r="J26" s="560">
        <f>IFERROR(VLOOKUP(M26,'02. MM-KLH'!$B$6:$T$823,19,0),"")</f>
        <v>32816</v>
      </c>
      <c r="K26" s="560" t="str">
        <f>IFERROR(VLOOKUP(M26,'02. MM-KLH'!$B$6:$T$823,18,0),"")</f>
        <v>KMTPC023LEE022317</v>
      </c>
      <c r="L26" s="559" t="str">
        <f>IFERROR(VLOOKUP(M26,'02. MM-KLH'!$B$6:$T$823,4,0),"")</f>
        <v/>
      </c>
      <c r="M26" s="463" t="s">
        <v>590</v>
      </c>
      <c r="N26" s="57">
        <f>IFERROR(VLOOKUP(M26,'02. MM-KLH'!$B$6:$T$823,15,0),"")</f>
        <v>2014</v>
      </c>
      <c r="O26" s="563">
        <f>IFERROR(VLOOKUP(M26,'02. MM-KLH'!$B$6:$T$823,9,0),"")</f>
        <v>44199</v>
      </c>
      <c r="P26" s="559"/>
      <c r="Q26" s="566" t="s">
        <v>1565</v>
      </c>
      <c r="R26" s="561" t="s">
        <v>4158</v>
      </c>
      <c r="S26" s="559"/>
      <c r="T26" s="559"/>
      <c r="U26" s="559" t="str">
        <f>IFERROR(VLOOKUP(M26,'02. MM-KLH'!$B$6:$T$823,5,0),"")</f>
        <v>ĐQSD</v>
      </c>
      <c r="V26" s="565" t="str">
        <f>IFERROR(VLOOKUP(M26,'02. MM-KLH'!$B$6:$T$823,8,0),"")</f>
        <v>CGTC AD</v>
      </c>
      <c r="W26" s="559" t="str">
        <f>IFERROR(VLOOKUP(V26,'NS QUẢN LÝ CG'!$A$4:$D$36,2,0),"")</f>
        <v>Vũ Trung Kiên</v>
      </c>
      <c r="X26" s="559" t="str">
        <f>IFERROR(VLOOKUP(V26,'NS QUẢN LÝ CG'!$A$4:$D$36,4,0),"")</f>
        <v>Lô 73 ADM</v>
      </c>
      <c r="Y26" s="559" t="str">
        <f>IFERROR(VLOOKUP(V26,'NS QUẢN LÝ CG'!$A$4:$C$36,3,0),"")</f>
        <v>0981761677</v>
      </c>
      <c r="Z26" s="565" t="str">
        <f>IFERROR(VLOOKUP(M26,'02. MM-KLH'!$B$6:$T$823,3,0),"")</f>
        <v>ATT-A22-0231</v>
      </c>
      <c r="AA26" s="561" t="s">
        <v>4462</v>
      </c>
      <c r="AB26" s="565"/>
      <c r="AC26" s="523"/>
    </row>
    <row r="27">
      <c r="A27" s="559"/>
      <c r="B27" s="560" t="str">
        <f>IFERROR(VLOOKUP(M27,'02. MM-KLH'!$B$6:$T$823,6,0),"")</f>
        <v>Máy đào KOMATSU bánh xích gàu 0.3m3</v>
      </c>
      <c r="C27" s="561">
        <v>1.0</v>
      </c>
      <c r="D27" s="559" t="str">
        <f>IFERROR(VLOOKUP(M27,'02. MM-KLH'!$B$6:$T$823,16,0),"")</f>
        <v>PC55MR-3</v>
      </c>
      <c r="E27" s="561" t="s">
        <v>4158</v>
      </c>
      <c r="F27" s="559"/>
      <c r="G27" s="559"/>
      <c r="H27" s="559" t="str">
        <f>IFERROR(VLOOKUP(M27,'02. MM-KLH'!$B$6:$T$823,17,0),"")</f>
        <v>40HP</v>
      </c>
      <c r="I27" s="562">
        <f>IFERROR(VLOOKUP(M27,'02. MM-KLH'!$B$6:$U$823,20,0),"")</f>
        <v>4</v>
      </c>
      <c r="J27" s="560">
        <f>IFERROR(VLOOKUP(M27,'02. MM-KLH'!$B$6:$T$823,19,0),"")</f>
        <v>26018</v>
      </c>
      <c r="K27" s="560" t="str">
        <f>IFERROR(VLOOKUP(M27,'02. MM-KLH'!$B$6:$T$823,18,0),"")</f>
        <v>KMTPC212J04017231</v>
      </c>
      <c r="L27" s="559" t="str">
        <f>IFERROR(VLOOKUP(M27,'02. MM-KLH'!$B$6:$T$823,4,0),"")</f>
        <v/>
      </c>
      <c r="M27" s="132" t="s">
        <v>609</v>
      </c>
      <c r="N27" s="57">
        <f>IFERROR(VLOOKUP(M27,'02. MM-KLH'!$B$6:$T$823,15,0),"")</f>
        <v>2012</v>
      </c>
      <c r="O27" s="563">
        <f>IFERROR(VLOOKUP(M27,'02. MM-KLH'!$B$6:$T$823,9,0),"")</f>
        <v>45963</v>
      </c>
      <c r="P27" s="269"/>
      <c r="Q27" s="564">
        <v>5474.0</v>
      </c>
      <c r="R27" s="561" t="s">
        <v>4158</v>
      </c>
      <c r="S27" s="559"/>
      <c r="T27" s="559"/>
      <c r="U27" s="559" t="str">
        <f>IFERROR(VLOOKUP(M27,'02. MM-KLH'!$B$6:$T$823,5,0),"")</f>
        <v>MỚI (ĐQSD)</v>
      </c>
      <c r="V27" s="565" t="str">
        <f>IFERROR(VLOOKUP(M27,'02. MM-KLH'!$B$6:$T$823,8,0),"")</f>
        <v>CGTC AD</v>
      </c>
      <c r="W27" s="559" t="str">
        <f>IFERROR(VLOOKUP(V27,'NS QUẢN LÝ CG'!$A$4:$D$36,2,0),"")</f>
        <v>Vũ Trung Kiên</v>
      </c>
      <c r="X27" s="559" t="str">
        <f>IFERROR(VLOOKUP(V27,'NS QUẢN LÝ CG'!$A$4:$D$36,4,0),"")</f>
        <v>Lô 73 ADM</v>
      </c>
      <c r="Y27" s="559" t="str">
        <f>IFERROR(VLOOKUP(V27,'NS QUẢN LÝ CG'!$A$4:$C$36,3,0),"")</f>
        <v>0981761677</v>
      </c>
      <c r="Z27" s="565" t="str">
        <f>IFERROR(VLOOKUP(M27,'02. MM-KLH'!$B$6:$T$823,3,0),"")</f>
        <v>A23-MĐA-065</v>
      </c>
      <c r="AA27" s="559" t="str">
        <f t="shared" ref="AA27:AA37" si="4">SWITCH(LEFT(Z27,3),"A22","ADM","A23","DP","A24","LP","")</f>
        <v>DP</v>
      </c>
      <c r="AB27" s="565"/>
      <c r="AC27" s="523"/>
    </row>
    <row r="28">
      <c r="A28" s="559"/>
      <c r="B28" s="560" t="str">
        <f>IFERROR(VLOOKUP(M28,'02. MM-KLH'!$B$6:$T$823,6,0),"")</f>
        <v>Máy đào KOMATSU bánh xích gàu 0.3m3</v>
      </c>
      <c r="C28" s="561">
        <v>1.0</v>
      </c>
      <c r="D28" s="559" t="str">
        <f>IFERROR(VLOOKUP(M28,'02. MM-KLH'!$B$6:$T$823,16,0),"")</f>
        <v>PC55MR-3</v>
      </c>
      <c r="E28" s="561" t="s">
        <v>4158</v>
      </c>
      <c r="F28" s="559"/>
      <c r="G28" s="559"/>
      <c r="H28" s="559" t="str">
        <f>IFERROR(VLOOKUP(M28,'02. MM-KLH'!$B$6:$T$823,17,0),"")</f>
        <v>40HP</v>
      </c>
      <c r="I28" s="562">
        <f>IFERROR(VLOOKUP(M28,'02. MM-KLH'!$B$6:$U$823,20,0),"")</f>
        <v>4</v>
      </c>
      <c r="J28" s="560">
        <f>IFERROR(VLOOKUP(M28,'02. MM-KLH'!$B$6:$T$823,19,0),"")</f>
        <v>25186</v>
      </c>
      <c r="K28" s="560" t="str">
        <f>IFERROR(VLOOKUP(M28,'02. MM-KLH'!$B$6:$T$823,18,0),"")</f>
        <v>KMTPC212K04017065</v>
      </c>
      <c r="L28" s="559" t="str">
        <f>IFERROR(VLOOKUP(M28,'02. MM-KLH'!$B$6:$T$823,4,0),"")</f>
        <v/>
      </c>
      <c r="M28" s="488" t="s">
        <v>612</v>
      </c>
      <c r="N28" s="57">
        <f>IFERROR(VLOOKUP(M28,'02. MM-KLH'!$B$6:$T$823,15,0),"")</f>
        <v>2012</v>
      </c>
      <c r="O28" s="563">
        <f>IFERROR(VLOOKUP(M28,'02. MM-KLH'!$B$6:$T$823,9,0),"")</f>
        <v>45660</v>
      </c>
      <c r="P28" s="269"/>
      <c r="Q28" s="564">
        <v>5614.0</v>
      </c>
      <c r="R28" s="561" t="s">
        <v>4158</v>
      </c>
      <c r="S28" s="559"/>
      <c r="T28" s="559"/>
      <c r="U28" s="559" t="str">
        <f>IFERROR(VLOOKUP(M28,'02. MM-KLH'!$B$6:$T$823,5,0),"")</f>
        <v>MỚI (ĐQSD)</v>
      </c>
      <c r="V28" s="565" t="str">
        <f>IFERROR(VLOOKUP(M28,'02. MM-KLH'!$B$6:$T$823,8,0),"")</f>
        <v>CGTC AD</v>
      </c>
      <c r="W28" s="559" t="str">
        <f>IFERROR(VLOOKUP(V28,'NS QUẢN LÝ CG'!$A$4:$D$36,2,0),"")</f>
        <v>Vũ Trung Kiên</v>
      </c>
      <c r="X28" s="559" t="str">
        <f>IFERROR(VLOOKUP(V28,'NS QUẢN LÝ CG'!$A$4:$D$36,4,0),"")</f>
        <v>Lô 73 ADM</v>
      </c>
      <c r="Y28" s="559" t="str">
        <f>IFERROR(VLOOKUP(V28,'NS QUẢN LÝ CG'!$A$4:$C$36,3,0),"")</f>
        <v>0981761677</v>
      </c>
      <c r="Z28" s="565" t="str">
        <f>IFERROR(VLOOKUP(M28,'02. MM-KLH'!$B$6:$T$823,3,0),"")</f>
        <v>A22-MĐA-069</v>
      </c>
      <c r="AA28" s="559" t="str">
        <f t="shared" si="4"/>
        <v>ADM</v>
      </c>
      <c r="AB28" s="565"/>
      <c r="AC28" s="523"/>
    </row>
    <row r="29">
      <c r="A29" s="559"/>
      <c r="B29" s="560" t="str">
        <f>IFERROR(VLOOKUP(M29,'02. MM-KLH'!$B$6:$T$823,6,0),"")</f>
        <v>Máy đào KOMATSU bánh xích gàu 0.3m3</v>
      </c>
      <c r="C29" s="561">
        <v>1.0</v>
      </c>
      <c r="D29" s="559" t="str">
        <f>IFERROR(VLOOKUP(M29,'02. MM-KLH'!$B$6:$T$823,16,0),"")</f>
        <v>PC40-MR</v>
      </c>
      <c r="E29" s="561" t="s">
        <v>4158</v>
      </c>
      <c r="F29" s="559"/>
      <c r="G29" s="559"/>
      <c r="H29" s="559" t="str">
        <f>IFERROR(VLOOKUP(M29,'02. MM-KLH'!$B$6:$T$823,17,0),"")</f>
        <v>39HP</v>
      </c>
      <c r="I29" s="562">
        <f>IFERROR(VLOOKUP(M29,'02. MM-KLH'!$B$6:$U$823,20,0),"")</f>
        <v>4</v>
      </c>
      <c r="J29" s="560" t="str">
        <f>IFERROR(VLOOKUP(M29,'02. MM-KLH'!$B$6:$T$823,19,0),"")</f>
        <v>CCN</v>
      </c>
      <c r="K29" s="560">
        <f>IFERROR(VLOOKUP(M29,'02. MM-KLH'!$B$6:$T$823,18,0),"")</f>
        <v>9101</v>
      </c>
      <c r="L29" s="559" t="str">
        <f>IFERROR(VLOOKUP(M29,'02. MM-KLH'!$B$6:$T$823,4,0),"")</f>
        <v/>
      </c>
      <c r="M29" s="475" t="s">
        <v>457</v>
      </c>
      <c r="N29" s="57">
        <f>IFERROR(VLOOKUP(M29,'02. MM-KLH'!$B$6:$T$823,15,0),"")</f>
        <v>2006</v>
      </c>
      <c r="O29" s="563" t="str">
        <f>IFERROR(VLOOKUP(M29,'02. MM-KLH'!$B$6:$T$823,9,0),"")</f>
        <v>16/07/2024</v>
      </c>
      <c r="P29" s="559"/>
      <c r="Q29" s="566" t="s">
        <v>1565</v>
      </c>
      <c r="R29" s="561" t="s">
        <v>4158</v>
      </c>
      <c r="S29" s="559"/>
      <c r="T29" s="559"/>
      <c r="U29" s="559" t="str">
        <f>IFERROR(VLOOKUP(M29,'02. MM-KLH'!$B$6:$T$823,5,0),"")</f>
        <v>ĐQSD</v>
      </c>
      <c r="V29" s="565" t="str">
        <f>IFERROR(VLOOKUP(M29,'02. MM-KLH'!$B$6:$T$823,8,0),"")</f>
        <v>CGTC LP</v>
      </c>
      <c r="W29" s="559" t="str">
        <f>IFERROR(VLOOKUP(V29,'NS QUẢN LÝ CG'!$A$4:$D$36,2,0),"")</f>
        <v>Đỗ Đức Nghĩa</v>
      </c>
      <c r="X29" s="559" t="str">
        <f>IFERROR(VLOOKUP(V29,'NS QUẢN LÝ CG'!$A$4:$D$36,4,0),"")</f>
        <v>NOCN L.4-LP3</v>
      </c>
      <c r="Y29" s="559" t="str">
        <f>IFERROR(VLOOKUP(V29,'NS QUẢN LÝ CG'!$A$4:$C$36,3,0),"")</f>
        <v>0971462780</v>
      </c>
      <c r="Z29" s="565" t="str">
        <f>IFERROR(VLOOKUP(M29,'02. MM-KLH'!$B$6:$T$823,3,0),"")</f>
        <v>A24-MĐA-012</v>
      </c>
      <c r="AA29" s="559" t="str">
        <f t="shared" si="4"/>
        <v>LP</v>
      </c>
      <c r="AB29" s="565"/>
      <c r="AC29" s="523"/>
    </row>
    <row r="30">
      <c r="A30" s="559"/>
      <c r="B30" s="560" t="str">
        <f>IFERROR(VLOOKUP(M30,'02. MM-KLH'!$B$6:$T$823,6,0),"")</f>
        <v>Máy đào KOMATSU bánh lốp gàu 0.7m3</v>
      </c>
      <c r="C30" s="561">
        <v>1.0</v>
      </c>
      <c r="D30" s="559" t="str">
        <f>IFERROR(VLOOKUP(M30,'02. MM-KLH'!$B$6:$T$823,16,0),"")</f>
        <v>PW160-7</v>
      </c>
      <c r="E30" s="561" t="s">
        <v>4158</v>
      </c>
      <c r="F30" s="559"/>
      <c r="G30" s="559"/>
      <c r="H30" s="559" t="str">
        <f>IFERROR(VLOOKUP(M30,'02. MM-KLH'!$B$6:$T$823,17,0),"")</f>
        <v>120HP</v>
      </c>
      <c r="I30" s="562">
        <f>IFERROR(VLOOKUP(M30,'02. MM-KLH'!$B$6:$U$823,20,0),"")</f>
        <v>10</v>
      </c>
      <c r="J30" s="560">
        <f>IFERROR(VLOOKUP(M30,'02. MM-KLH'!$B$6:$T$823,19,0),"")</f>
        <v>21721047</v>
      </c>
      <c r="K30" s="560" t="str">
        <f>IFERROR(VLOOKUP(M30,'02. MM-KLH'!$B$6:$T$823,18,0),"")</f>
        <v>KMTPW013T79H50346</v>
      </c>
      <c r="L30" s="559" t="str">
        <f>IFERROR(VLOOKUP(M30,'02. MM-KLH'!$B$6:$T$823,4,0),"")</f>
        <v/>
      </c>
      <c r="M30" s="132" t="s">
        <v>218</v>
      </c>
      <c r="N30" s="57">
        <f>IFERROR(VLOOKUP(M30,'02. MM-KLH'!$B$6:$T$823,15,0),"")</f>
        <v>2006</v>
      </c>
      <c r="O30" s="563">
        <f>IFERROR(VLOOKUP(M30,'02. MM-KLH'!$B$6:$T$823,9,0),"")</f>
        <v>45963</v>
      </c>
      <c r="P30" s="559"/>
      <c r="Q30" s="566">
        <v>6345.0</v>
      </c>
      <c r="R30" s="561" t="s">
        <v>4158</v>
      </c>
      <c r="S30" s="559"/>
      <c r="T30" s="559"/>
      <c r="U30" s="559" t="str">
        <f>IFERROR(VLOOKUP(M30,'02. MM-KLH'!$B$6:$T$823,5,0),"")</f>
        <v>MỚI (ĐQSD)</v>
      </c>
      <c r="V30" s="565" t="str">
        <f>IFERROR(VLOOKUP(M30,'02. MM-KLH'!$B$6:$T$823,8,0),"")</f>
        <v>CGTC DP</v>
      </c>
      <c r="W30" s="559" t="str">
        <f>IFERROR(VLOOKUP(V30,'NS QUẢN LÝ CG'!$A$4:$D$36,2,0),"")</f>
        <v>Phạm Ngọc Hải</v>
      </c>
      <c r="X30" s="559" t="str">
        <f>IFERROR(VLOOKUP(V30,'NS QUẢN LÝ CG'!$A$4:$D$36,4,0),"")</f>
        <v>Lô 85 DP4</v>
      </c>
      <c r="Y30" s="559" t="str">
        <f>IFERROR(VLOOKUP(V30,'NS QUẢN LÝ CG'!$A$4:$C$36,3,0),"")</f>
        <v>0825456565</v>
      </c>
      <c r="Z30" s="565" t="str">
        <f>IFERROR(VLOOKUP(M30,'02. MM-KLH'!$B$6:$T$823,3,0),"")</f>
        <v>A23-MĐA-066</v>
      </c>
      <c r="AA30" s="559" t="str">
        <f t="shared" si="4"/>
        <v>DP</v>
      </c>
      <c r="AB30" s="565"/>
      <c r="AC30" s="523"/>
    </row>
    <row r="31">
      <c r="A31" s="559"/>
      <c r="B31" s="560" t="str">
        <f>IFERROR(VLOOKUP(M31,'02. MM-KLH'!$B$6:$T$823,6,0),"")</f>
        <v>Máy đào KOMATSU bánh lốp gàu 0.7m3</v>
      </c>
      <c r="C31" s="561">
        <v>1.0</v>
      </c>
      <c r="D31" s="559" t="str">
        <f>IFERROR(VLOOKUP(M31,'02. MM-KLH'!$B$6:$T$823,16,0),"")</f>
        <v>PW200-1</v>
      </c>
      <c r="E31" s="561" t="s">
        <v>4158</v>
      </c>
      <c r="F31" s="559"/>
      <c r="G31" s="559"/>
      <c r="H31" s="559" t="str">
        <f>IFERROR(VLOOKUP(M31,'02. MM-KLH'!$B$6:$T$823,17,0),"")</f>
        <v>115HP</v>
      </c>
      <c r="I31" s="562">
        <f>IFERROR(VLOOKUP(M31,'02. MM-KLH'!$B$6:$U$823,20,0),"")</f>
        <v>10</v>
      </c>
      <c r="J31" s="560" t="str">
        <f>IFERROR(VLOOKUP(M31,'02. MM-KLH'!$B$6:$T$823,19,0),"")</f>
        <v>6D105121806</v>
      </c>
      <c r="K31" s="560" t="str">
        <f>IFERROR(VLOOKUP(M31,'02. MM-KLH'!$B$6:$T$823,18,0),"")</f>
        <v>PW200110186</v>
      </c>
      <c r="L31" s="559" t="str">
        <f>IFERROR(VLOOKUP(M31,'02. MM-KLH'!$B$6:$T$823,4,0),"")</f>
        <v/>
      </c>
      <c r="M31" s="463" t="s">
        <v>388</v>
      </c>
      <c r="N31" s="57">
        <f>IFERROR(VLOOKUP(M31,'02. MM-KLH'!$B$6:$T$823,15,0),"")</f>
        <v>1990</v>
      </c>
      <c r="O31" s="563" t="str">
        <f>IFERROR(VLOOKUP(M31,'02. MM-KLH'!$B$6:$T$823,9,0),"")</f>
        <v>27/07/2025</v>
      </c>
      <c r="P31" s="559"/>
      <c r="Q31" s="566" t="s">
        <v>1565</v>
      </c>
      <c r="R31" s="561" t="s">
        <v>4158</v>
      </c>
      <c r="S31" s="559"/>
      <c r="T31" s="559"/>
      <c r="U31" s="559" t="str">
        <f>IFERROR(VLOOKUP(M31,'02. MM-KLH'!$B$6:$T$823,5,0),"")</f>
        <v>MỚI (ĐQSD)</v>
      </c>
      <c r="V31" s="565" t="str">
        <f>IFERROR(VLOOKUP(M31,'02. MM-KLH'!$B$6:$T$823,8,0),"")</f>
        <v>CGTC LP</v>
      </c>
      <c r="W31" s="559" t="str">
        <f>IFERROR(VLOOKUP(V31,'NS QUẢN LÝ CG'!$A$4:$D$36,2,0),"")</f>
        <v>Đỗ Đức Nghĩa</v>
      </c>
      <c r="X31" s="559" t="str">
        <f>IFERROR(VLOOKUP(V31,'NS QUẢN LÝ CG'!$A$4:$D$36,4,0),"")</f>
        <v>NOCN L.4-LP3</v>
      </c>
      <c r="Y31" s="559" t="str">
        <f>IFERROR(VLOOKUP(V31,'NS QUẢN LÝ CG'!$A$4:$C$36,3,0),"")</f>
        <v>0971462780</v>
      </c>
      <c r="Z31" s="565" t="str">
        <f>IFERROR(VLOOKUP(M31,'02. MM-KLH'!$B$6:$T$823,3,0),"")</f>
        <v>A24-MĐA-068</v>
      </c>
      <c r="AA31" s="559" t="str">
        <f t="shared" si="4"/>
        <v>LP</v>
      </c>
      <c r="AB31" s="565"/>
      <c r="AC31" s="523"/>
    </row>
    <row r="32">
      <c r="A32" s="559"/>
      <c r="B32" s="560" t="str">
        <f>IFERROR(VLOOKUP(M32,'02. MM-KLH'!$B$6:$T$823,6,0),"")</f>
        <v>Máy đào KOMATSU bánh lốp gàu 0.7m3</v>
      </c>
      <c r="C32" s="561">
        <v>1.0</v>
      </c>
      <c r="D32" s="559" t="str">
        <f>IFERROR(VLOOKUP(M32,'02. MM-KLH'!$B$6:$T$823,16,0),"")</f>
        <v>PW160-7</v>
      </c>
      <c r="E32" s="561" t="s">
        <v>4158</v>
      </c>
      <c r="F32" s="559"/>
      <c r="G32" s="559"/>
      <c r="H32" s="559" t="str">
        <f>IFERROR(VLOOKUP(M32,'02. MM-KLH'!$B$6:$T$823,17,0),"")</f>
        <v>120HP</v>
      </c>
      <c r="I32" s="562">
        <f>IFERROR(VLOOKUP(M32,'02. MM-KLH'!$B$6:$U$823,20,0),"")</f>
        <v>10</v>
      </c>
      <c r="J32" s="560">
        <f>IFERROR(VLOOKUP(M32,'02. MM-KLH'!$B$6:$T$823,19,0),"")</f>
        <v>21711747</v>
      </c>
      <c r="K32" s="560" t="str">
        <f>IFERROR(VLOOKUP(M32,'02. MM-KLH'!$B$6:$T$823,18,0),"")</f>
        <v>KMTPW013K79H50270</v>
      </c>
      <c r="L32" s="559" t="str">
        <f>IFERROR(VLOOKUP(M32,'02. MM-KLH'!$B$6:$T$823,4,0),"")</f>
        <v/>
      </c>
      <c r="M32" s="488" t="s">
        <v>405</v>
      </c>
      <c r="N32" s="57">
        <f>IFERROR(VLOOKUP(M32,'02. MM-KLH'!$B$6:$T$823,15,0),"")</f>
        <v>2006</v>
      </c>
      <c r="O32" s="563">
        <f>IFERROR(VLOOKUP(M32,'02. MM-KLH'!$B$6:$T$823,9,0),"")</f>
        <v>45660</v>
      </c>
      <c r="P32" s="559"/>
      <c r="Q32" s="566" t="s">
        <v>1565</v>
      </c>
      <c r="R32" s="561" t="s">
        <v>4158</v>
      </c>
      <c r="S32" s="559"/>
      <c r="T32" s="559"/>
      <c r="U32" s="559" t="str">
        <f>IFERROR(VLOOKUP(M32,'02. MM-KLH'!$B$6:$T$823,5,0),"")</f>
        <v>MỚI (ĐQSD)</v>
      </c>
      <c r="V32" s="565" t="str">
        <f>IFERROR(VLOOKUP(M32,'02. MM-KLH'!$B$6:$T$823,8,0),"")</f>
        <v>XN Bò AD</v>
      </c>
      <c r="W32" s="559" t="str">
        <f>IFERROR(VLOOKUP(V32,'NS QUẢN LÝ CG'!$A$4:$D$36,2,0),"")</f>
        <v>Trần Văn Nam</v>
      </c>
      <c r="X32" s="559" t="str">
        <f>IFERROR(VLOOKUP(V32,'NS QUẢN LÝ CG'!$A$4:$D$36,4,0),"")</f>
        <v>Lô 28 XN Bò</v>
      </c>
      <c r="Y32" s="559" t="str">
        <f>IFERROR(VLOOKUP(V32,'NS QUẢN LÝ CG'!$A$4:$C$36,3,0),"")</f>
        <v>0971993540</v>
      </c>
      <c r="Z32" s="565" t="str">
        <f>IFERROR(VLOOKUP(M32,'02. MM-KLH'!$B$6:$T$823,3,0),"")</f>
        <v>A22-MĐA-070</v>
      </c>
      <c r="AA32" s="559" t="str">
        <f t="shared" si="4"/>
        <v>ADM</v>
      </c>
      <c r="AB32" s="565"/>
      <c r="AC32" s="523"/>
    </row>
    <row r="33">
      <c r="A33" s="559"/>
      <c r="B33" s="560" t="str">
        <f>IFERROR(VLOOKUP(M33,'02. MM-KLH'!$B$6:$T$823,6,0),"")</f>
        <v>Máy đào KOMATSU bánh lốp gàu 0.8m3</v>
      </c>
      <c r="C33" s="561">
        <v>1.0</v>
      </c>
      <c r="D33" s="559" t="str">
        <f>IFERROR(VLOOKUP(M33,'02. MM-KLH'!$B$6:$T$823,16,0),"")</f>
        <v>PW200-7</v>
      </c>
      <c r="E33" s="561" t="s">
        <v>4158</v>
      </c>
      <c r="F33" s="559"/>
      <c r="G33" s="559"/>
      <c r="H33" s="559" t="str">
        <f>IFERROR(VLOOKUP(M33,'02. MM-KLH'!$B$6:$T$823,17,0),"")</f>
        <v>150HP</v>
      </c>
      <c r="I33" s="562">
        <f>IFERROR(VLOOKUP(M33,'02. MM-KLH'!$B$6:$U$823,20,0),"")</f>
        <v>12.5</v>
      </c>
      <c r="J33" s="560">
        <f>IFERROR(VLOOKUP(M33,'02. MM-KLH'!$B$6:$T$823,19,0),"")</f>
        <v>21719691</v>
      </c>
      <c r="K33" s="560" t="str">
        <f>IFERROR(VLOOKUP(M33,'02. MM-KLH'!$B$6:$T$823,18,0),"")</f>
        <v>KMTPW015K79H50237</v>
      </c>
      <c r="L33" s="559" t="str">
        <f>IFERROR(VLOOKUP(M33,'02. MM-KLH'!$B$6:$T$823,4,0),"")</f>
        <v/>
      </c>
      <c r="M33" s="132" t="s">
        <v>273</v>
      </c>
      <c r="N33" s="57">
        <f>IFERROR(VLOOKUP(M33,'02. MM-KLH'!$B$6:$T$823,15,0),"")</f>
        <v>2012</v>
      </c>
      <c r="O33" s="563">
        <f>IFERROR(VLOOKUP(M33,'02. MM-KLH'!$B$6:$T$823,9,0),"")</f>
        <v>45963</v>
      </c>
      <c r="P33" s="559"/>
      <c r="Q33" s="566" t="s">
        <v>1565</v>
      </c>
      <c r="R33" s="561"/>
      <c r="S33" s="561" t="s">
        <v>4158</v>
      </c>
      <c r="T33" s="559"/>
      <c r="U33" s="559" t="str">
        <f>IFERROR(VLOOKUP(M33,'02. MM-KLH'!$B$6:$T$823,5,0),"")</f>
        <v>MỚI (ĐQSD)</v>
      </c>
      <c r="V33" s="565" t="str">
        <f>IFERROR(VLOOKUP(M33,'02. MM-KLH'!$B$6:$T$823,8,0),"")</f>
        <v>CGTC DP</v>
      </c>
      <c r="W33" s="559" t="str">
        <f>IFERROR(VLOOKUP(V33,'NS QUẢN LÝ CG'!$A$4:$D$36,2,0),"")</f>
        <v>Phạm Ngọc Hải</v>
      </c>
      <c r="X33" s="559" t="str">
        <f>IFERROR(VLOOKUP(V33,'NS QUẢN LÝ CG'!$A$4:$D$36,4,0),"")</f>
        <v>Lô 85 DP4</v>
      </c>
      <c r="Y33" s="559" t="str">
        <f>IFERROR(VLOOKUP(V33,'NS QUẢN LÝ CG'!$A$4:$C$36,3,0),"")</f>
        <v>0825456565</v>
      </c>
      <c r="Z33" s="565" t="str">
        <f>IFERROR(VLOOKUP(M33,'02. MM-KLH'!$B$6:$T$823,3,0),"")</f>
        <v>A23-MĐA-067</v>
      </c>
      <c r="AA33" s="559" t="str">
        <f t="shared" si="4"/>
        <v>DP</v>
      </c>
      <c r="AB33" s="565"/>
      <c r="AC33" s="523"/>
    </row>
    <row r="34">
      <c r="A34" s="559"/>
      <c r="B34" s="560" t="str">
        <f>IFERROR(VLOOKUP(M34,'02. MM-KLH'!$B$6:$T$823,6,0),"")</f>
        <v>Máy đào KOMATSU bánh xích gàu 0.8m3</v>
      </c>
      <c r="C34" s="561">
        <v>1.0</v>
      </c>
      <c r="D34" s="559" t="str">
        <f>IFERROR(VLOOKUP(M34,'02. MM-KLH'!$B$6:$T$823,16,0),"")</f>
        <v>PC228US-3N0</v>
      </c>
      <c r="E34" s="561" t="s">
        <v>4158</v>
      </c>
      <c r="F34" s="559"/>
      <c r="G34" s="559"/>
      <c r="H34" s="559" t="str">
        <f>IFERROR(VLOOKUP(M34,'02. MM-KLH'!$B$6:$T$823,17,0),"")</f>
        <v>145HP</v>
      </c>
      <c r="I34" s="562">
        <f>IFERROR(VLOOKUP(M34,'02. MM-KLH'!$B$6:$U$823,20,0),"")</f>
        <v>14</v>
      </c>
      <c r="J34" s="560" t="str">
        <f>IFERROR(VLOOKUP(M34,'02. MM-KLH'!$B$6:$T$823,19,0),"")</f>
        <v>6D1022638264</v>
      </c>
      <c r="K34" s="560" t="str">
        <f>IFERROR(VLOOKUP(M34,'02. MM-KLH'!$B$6:$T$823,18,0),"")</f>
        <v>KMTPC057E02032035</v>
      </c>
      <c r="L34" s="559" t="str">
        <f>IFERROR(VLOOKUP(M34,'02. MM-KLH'!$B$6:$T$823,4,0),"")</f>
        <v/>
      </c>
      <c r="M34" s="132" t="s">
        <v>280</v>
      </c>
      <c r="N34" s="57">
        <f>IFERROR(VLOOKUP(M34,'02. MM-KLH'!$B$6:$T$823,15,0),"")</f>
        <v>2005</v>
      </c>
      <c r="O34" s="563" t="str">
        <f>IFERROR(VLOOKUP(M34,'02. MM-KLH'!$B$6:$T$823,9,0),"")</f>
        <v>28/05/2025</v>
      </c>
      <c r="P34" s="559"/>
      <c r="Q34" s="566">
        <v>11178.0</v>
      </c>
      <c r="R34" s="561"/>
      <c r="S34" s="561" t="s">
        <v>4158</v>
      </c>
      <c r="T34" s="559"/>
      <c r="U34" s="559" t="str">
        <f>IFERROR(VLOOKUP(M34,'02. MM-KLH'!$B$6:$T$823,5,0),"")</f>
        <v>MỚI (ĐQSD)</v>
      </c>
      <c r="V34" s="565" t="str">
        <f>IFERROR(VLOOKUP(M34,'02. MM-KLH'!$B$6:$T$823,8,0),"")</f>
        <v>CGTC DP</v>
      </c>
      <c r="W34" s="559" t="str">
        <f>IFERROR(VLOOKUP(V34,'NS QUẢN LÝ CG'!$A$4:$D$36,2,0),"")</f>
        <v>Phạm Ngọc Hải</v>
      </c>
      <c r="X34" s="559" t="str">
        <f>IFERROR(VLOOKUP(V34,'NS QUẢN LÝ CG'!$A$4:$D$36,4,0),"")</f>
        <v>Lô 85 DP4</v>
      </c>
      <c r="Y34" s="559" t="str">
        <f>IFERROR(VLOOKUP(V34,'NS QUẢN LÝ CG'!$A$4:$C$36,3,0),"")</f>
        <v>0825456565</v>
      </c>
      <c r="Z34" s="565" t="str">
        <f>IFERROR(VLOOKUP(M34,'02. MM-KLH'!$B$6:$T$823,3,0),"")</f>
        <v>A23-MĐA-072</v>
      </c>
      <c r="AA34" s="559" t="str">
        <f t="shared" si="4"/>
        <v>DP</v>
      </c>
      <c r="AB34" s="565"/>
      <c r="AC34" s="523"/>
    </row>
    <row r="35">
      <c r="A35" s="559"/>
      <c r="B35" s="560" t="str">
        <f>IFERROR(VLOOKUP(M35,'02. MM-KLH'!$B$6:$T$823,6,0),"")</f>
        <v>Máy đào KOMATSU bánh xích gàu 0.8m3</v>
      </c>
      <c r="C35" s="561">
        <v>1.0</v>
      </c>
      <c r="D35" s="559" t="str">
        <f>IFERROR(VLOOKUP(M35,'02. MM-KLH'!$B$6:$T$823,16,0),"")</f>
        <v>PC200-8N1</v>
      </c>
      <c r="E35" s="561" t="s">
        <v>4158</v>
      </c>
      <c r="F35" s="559"/>
      <c r="G35" s="559"/>
      <c r="H35" s="559" t="str">
        <f>IFERROR(VLOOKUP(M35,'02. MM-KLH'!$B$6:$T$823,17,0),"")</f>
        <v>145HP</v>
      </c>
      <c r="I35" s="562">
        <f>IFERROR(VLOOKUP(M35,'02. MM-KLH'!$B$6:$U$823,20,0),"")</f>
        <v>14</v>
      </c>
      <c r="J35" s="560" t="str">
        <f>IFERROR(VLOOKUP(M35,'02. MM-KLH'!$B$6:$T$823,19,0),"")</f>
        <v>6D10726567400</v>
      </c>
      <c r="K35" s="560" t="str">
        <f>IFERROR(VLOOKUP(M35,'02. MM-KLH'!$B$6:$T$823,18,0),"")</f>
        <v>KMTPC197A02351172</v>
      </c>
      <c r="L35" s="559" t="str">
        <f>IFERROR(VLOOKUP(M35,'02. MM-KLH'!$B$6:$T$823,4,0),"")</f>
        <v/>
      </c>
      <c r="M35" s="463" t="s">
        <v>488</v>
      </c>
      <c r="N35" s="57">
        <f>IFERROR(VLOOKUP(M35,'02. MM-KLH'!$B$6:$T$823,15,0),"")</f>
        <v>2010</v>
      </c>
      <c r="O35" s="563">
        <f>IFERROR(VLOOKUP(M35,'02. MM-KLH'!$B$6:$T$823,9,0),"")</f>
        <v>45722</v>
      </c>
      <c r="P35" s="559"/>
      <c r="Q35" s="566" t="s">
        <v>1565</v>
      </c>
      <c r="R35" s="561" t="s">
        <v>4158</v>
      </c>
      <c r="S35" s="559"/>
      <c r="T35" s="559"/>
      <c r="U35" s="559" t="str">
        <f>IFERROR(VLOOKUP(M35,'02. MM-KLH'!$B$6:$T$823,5,0),"")</f>
        <v>MỚI (ĐQSD)</v>
      </c>
      <c r="V35" s="565" t="str">
        <f>IFERROR(VLOOKUP(M35,'02. MM-KLH'!$B$6:$T$823,8,0),"")</f>
        <v>CGTC LP</v>
      </c>
      <c r="W35" s="559" t="str">
        <f>IFERROR(VLOOKUP(V35,'NS QUẢN LÝ CG'!$A$4:$D$36,2,0),"")</f>
        <v>Đỗ Đức Nghĩa</v>
      </c>
      <c r="X35" s="559" t="str">
        <f>IFERROR(VLOOKUP(V35,'NS QUẢN LÝ CG'!$A$4:$D$36,4,0),"")</f>
        <v>NOCN L.4-LP3</v>
      </c>
      <c r="Y35" s="559" t="str">
        <f>IFERROR(VLOOKUP(V35,'NS QUẢN LÝ CG'!$A$4:$C$36,3,0),"")</f>
        <v>0971462780</v>
      </c>
      <c r="Z35" s="565" t="str">
        <f>IFERROR(VLOOKUP(M35,'02. MM-KLH'!$B$6:$T$823,3,0),"")</f>
        <v>A24-MĐA-065</v>
      </c>
      <c r="AA35" s="559" t="str">
        <f t="shared" si="4"/>
        <v>LP</v>
      </c>
      <c r="AB35" s="565"/>
      <c r="AC35" s="523"/>
    </row>
    <row r="36">
      <c r="A36" s="559"/>
      <c r="B36" s="560" t="str">
        <f>IFERROR(VLOOKUP(M36,'02. MM-KLH'!$B$6:$T$823,6,0),"")</f>
        <v>Máy đào KOMATSU bánh xích gàu 0.8m3</v>
      </c>
      <c r="C36" s="561">
        <v>1.0</v>
      </c>
      <c r="D36" s="559" t="str">
        <f>IFERROR(VLOOKUP(M36,'02. MM-KLH'!$B$6:$T$823,16,0),"")</f>
        <v>PC200-8N1</v>
      </c>
      <c r="E36" s="561" t="s">
        <v>4158</v>
      </c>
      <c r="F36" s="559"/>
      <c r="G36" s="559"/>
      <c r="H36" s="559" t="str">
        <f>IFERROR(VLOOKUP(M36,'02. MM-KLH'!$B$6:$T$823,17,0),"")</f>
        <v>150HP</v>
      </c>
      <c r="I36" s="562">
        <f>IFERROR(VLOOKUP(M36,'02. MM-KLH'!$B$6:$U$823,20,0),"")</f>
        <v>14</v>
      </c>
      <c r="J36" s="560" t="str">
        <f>IFERROR(VLOOKUP(M36,'02. MM-KLH'!$B$6:$T$823,19,0),"")</f>
        <v>6D10726100136</v>
      </c>
      <c r="K36" s="560" t="str">
        <f>IFERROR(VLOOKUP(M36,'02. MM-KLH'!$B$6:$T$823,18,0),"")</f>
        <v>KMTPC197L02354297</v>
      </c>
      <c r="L36" s="559" t="str">
        <f>IFERROR(VLOOKUP(M36,'02. MM-KLH'!$B$6:$T$823,4,0),"")</f>
        <v/>
      </c>
      <c r="M36" s="488" t="s">
        <v>444</v>
      </c>
      <c r="N36" s="57">
        <f>IFERROR(VLOOKUP(M36,'02. MM-KLH'!$B$6:$T$823,15,0),"")</f>
        <v>2012</v>
      </c>
      <c r="O36" s="563">
        <f>IFERROR(VLOOKUP(M36,'02. MM-KLH'!$B$6:$T$823,9,0),"")</f>
        <v>45660</v>
      </c>
      <c r="P36" s="269"/>
      <c r="Q36" s="564">
        <v>8174.0</v>
      </c>
      <c r="R36" s="561" t="s">
        <v>4158</v>
      </c>
      <c r="S36" s="559"/>
      <c r="T36" s="559"/>
      <c r="U36" s="559" t="str">
        <f>IFERROR(VLOOKUP(M36,'02. MM-KLH'!$B$6:$T$823,5,0),"")</f>
        <v>MỚI (ĐQSD)</v>
      </c>
      <c r="V36" s="565" t="str">
        <f>IFERROR(VLOOKUP(M36,'02. MM-KLH'!$B$6:$T$823,8,0),"")</f>
        <v>CGTC AD</v>
      </c>
      <c r="W36" s="559" t="str">
        <f>IFERROR(VLOOKUP(V36,'NS QUẢN LÝ CG'!$A$4:$D$36,2,0),"")</f>
        <v>Vũ Trung Kiên</v>
      </c>
      <c r="X36" s="559" t="str">
        <f>IFERROR(VLOOKUP(V36,'NS QUẢN LÝ CG'!$A$4:$D$36,4,0),"")</f>
        <v>Lô 73 ADM</v>
      </c>
      <c r="Y36" s="559" t="str">
        <f>IFERROR(VLOOKUP(V36,'NS QUẢN LÝ CG'!$A$4:$C$36,3,0),"")</f>
        <v>0981761677</v>
      </c>
      <c r="Z36" s="565" t="str">
        <f>IFERROR(VLOOKUP(M36,'02. MM-KLH'!$B$6:$T$823,3,0),"")</f>
        <v>A22-MĐA-071</v>
      </c>
      <c r="AA36" s="559" t="str">
        <f t="shared" si="4"/>
        <v>ADM</v>
      </c>
      <c r="AB36" s="565"/>
      <c r="AC36" s="523"/>
    </row>
    <row r="37">
      <c r="A37" s="559"/>
      <c r="B37" s="560" t="str">
        <f>IFERROR(VLOOKUP(M37,'02. MM-KLH'!$B$6:$T$823,6,0),"")</f>
        <v>Máy đào KOMATSU bánh xích gàu 0.8m3</v>
      </c>
      <c r="C37" s="561">
        <v>1.0</v>
      </c>
      <c r="D37" s="559" t="str">
        <f>IFERROR(VLOOKUP(M37,'02. MM-KLH'!$B$6:$T$823,16,0),"")</f>
        <v>PC228US-3N0</v>
      </c>
      <c r="E37" s="561" t="s">
        <v>4158</v>
      </c>
      <c r="F37" s="559"/>
      <c r="G37" s="559"/>
      <c r="H37" s="559" t="str">
        <f>IFERROR(VLOOKUP(M37,'02. MM-KLH'!$B$6:$T$823,17,0),"")</f>
        <v>145HP</v>
      </c>
      <c r="I37" s="562">
        <f>IFERROR(VLOOKUP(M37,'02. MM-KLH'!$B$6:$U$823,20,0),"")</f>
        <v>14</v>
      </c>
      <c r="J37" s="560" t="str">
        <f>IFERROR(VLOOKUP(M37,'02. MM-KLH'!$B$6:$T$823,19,0),"")</f>
        <v>6D10226327476</v>
      </c>
      <c r="K37" s="560" t="str">
        <f>IFERROR(VLOOKUP(M37,'02. MM-KLH'!$B$6:$T$823,18,0),"")</f>
        <v>KMTPC057C02030553</v>
      </c>
      <c r="L37" s="559" t="str">
        <f>IFERROR(VLOOKUP(M37,'02. MM-KLH'!$B$6:$T$823,4,0),"")</f>
        <v/>
      </c>
      <c r="M37" s="488" t="s">
        <v>480</v>
      </c>
      <c r="N37" s="57">
        <f>IFERROR(VLOOKUP(M37,'02. MM-KLH'!$B$6:$T$823,15,0),"")</f>
        <v>2003</v>
      </c>
      <c r="O37" s="563" t="str">
        <f>IFERROR(VLOOKUP(M37,'02. MM-KLH'!$B$6:$T$823,9,0),"")</f>
        <v>28/05/2025</v>
      </c>
      <c r="P37" s="269"/>
      <c r="Q37" s="564">
        <v>4203.0</v>
      </c>
      <c r="R37" s="561"/>
      <c r="S37" s="561" t="s">
        <v>4158</v>
      </c>
      <c r="T37" s="559"/>
      <c r="U37" s="559" t="str">
        <f>IFERROR(VLOOKUP(M37,'02. MM-KLH'!$B$6:$T$823,5,0),"")</f>
        <v>MỚI (ĐQSD)</v>
      </c>
      <c r="V37" s="565" t="str">
        <f>IFERROR(VLOOKUP(M37,'02. MM-KLH'!$B$6:$T$823,8,0),"")</f>
        <v>CGTC AD</v>
      </c>
      <c r="W37" s="559" t="str">
        <f>IFERROR(VLOOKUP(V37,'NS QUẢN LÝ CG'!$A$4:$D$36,2,0),"")</f>
        <v>Vũ Trung Kiên</v>
      </c>
      <c r="X37" s="559" t="str">
        <f>IFERROR(VLOOKUP(V37,'NS QUẢN LÝ CG'!$A$4:$D$36,4,0),"")</f>
        <v>Lô 73 ADM</v>
      </c>
      <c r="Y37" s="559" t="str">
        <f>IFERROR(VLOOKUP(V37,'NS QUẢN LÝ CG'!$A$4:$C$36,3,0),"")</f>
        <v>0981761677</v>
      </c>
      <c r="Z37" s="565" t="str">
        <f>IFERROR(VLOOKUP(M37,'02. MM-KLH'!$B$6:$T$823,3,0),"")</f>
        <v>A23-MDA-073</v>
      </c>
      <c r="AA37" s="559" t="str">
        <f t="shared" si="4"/>
        <v>DP</v>
      </c>
      <c r="AB37" s="565"/>
      <c r="AC37" s="523"/>
    </row>
    <row r="38">
      <c r="A38" s="559"/>
      <c r="B38" s="560" t="str">
        <f>IFERROR(VLOOKUP(M38,'02. MM-KLH'!$B$6:$T$823,6,0),"")</f>
        <v/>
      </c>
      <c r="C38" s="561"/>
      <c r="D38" s="559" t="str">
        <f>IFERROR(VLOOKUP(M38,'02. MM-KLH'!$B$6:$T$823,16,0),"")</f>
        <v/>
      </c>
      <c r="E38" s="561"/>
      <c r="F38" s="559"/>
      <c r="G38" s="559"/>
      <c r="H38" s="559" t="str">
        <f>IFERROR(VLOOKUP(M38,'02. MM-KLH'!$B$6:$T$823,17,0),"")</f>
        <v/>
      </c>
      <c r="I38" s="562" t="str">
        <f>IFERROR(VLOOKUP(M38,'02. MM-KLH'!$B$6:$U$823,20,0),"")</f>
        <v/>
      </c>
      <c r="J38" s="560" t="str">
        <f>IFERROR(VLOOKUP(M38,'02. MM-KLH'!$B$6:$T$823,19,0),"")</f>
        <v/>
      </c>
      <c r="K38" s="560" t="str">
        <f>IFERROR(VLOOKUP(M38,'02. MM-KLH'!$B$6:$T$823,18,0),"")</f>
        <v/>
      </c>
      <c r="L38" s="559" t="str">
        <f>IFERROR(VLOOKUP(M38,'02. MM-KLH'!$B$6:$T$823,4,0),"")</f>
        <v/>
      </c>
      <c r="M38" s="488"/>
      <c r="N38" s="57" t="str">
        <f>IFERROR(VLOOKUP(M38,'02. MM-KLH'!$B$6:$T$823,15,0),"")</f>
        <v/>
      </c>
      <c r="O38" s="563" t="str">
        <f>IFERROR(VLOOKUP(M38,'02. MM-KLH'!$B$6:$T$823,9,0),"")</f>
        <v/>
      </c>
      <c r="P38" s="559"/>
      <c r="Q38" s="559"/>
      <c r="R38" s="559"/>
      <c r="S38" s="559"/>
      <c r="T38" s="559"/>
      <c r="U38" s="559" t="str">
        <f>IFERROR(VLOOKUP(M38,'02. MM-KLH'!$B$6:$T$823,5,0),"")</f>
        <v/>
      </c>
      <c r="V38" s="565" t="str">
        <f>IFERROR(VLOOKUP(M38,'02. MM-KLH'!$B$6:$T$823,8,0),"")</f>
        <v/>
      </c>
      <c r="W38" s="559" t="str">
        <f>IFERROR(VLOOKUP(V38,'NS QUẢN LÝ CG'!$A$4:$D$36,2,0),"")</f>
        <v/>
      </c>
      <c r="X38" s="559" t="str">
        <f>IFERROR(VLOOKUP(V38,'NS QUẢN LÝ CG'!$A$4:$D$36,4,0),"")</f>
        <v/>
      </c>
      <c r="Y38" s="559"/>
      <c r="Z38" s="565" t="str">
        <f>IFERROR(VLOOKUP(M38,'02. MM-KLH'!$B$6:$T$823,3,0),"")</f>
        <v/>
      </c>
      <c r="AA38" s="559"/>
      <c r="AB38" s="565"/>
      <c r="AC38" s="523"/>
    </row>
    <row r="39" hidden="1">
      <c r="A39" s="559"/>
      <c r="B39" s="560" t="str">
        <f>IFERROR(VLOOKUP(M39,'02. MM-KLH'!$B$6:$T$823,6,0),"")</f>
        <v/>
      </c>
      <c r="C39" s="561"/>
      <c r="D39" s="559" t="str">
        <f>IFERROR(VLOOKUP(M39,'02. MM-KLH'!$B$6:$T$823,16,0),"")</f>
        <v/>
      </c>
      <c r="E39" s="561"/>
      <c r="F39" s="559"/>
      <c r="G39" s="559"/>
      <c r="H39" s="559" t="str">
        <f>IFERROR(VLOOKUP(M39,'02. MM-KLH'!$B$6:$T$823,17,0),"")</f>
        <v/>
      </c>
      <c r="I39" s="562" t="str">
        <f>IFERROR(VLOOKUP(M39,'02. MM-KLH'!$B$6:$U$823,20,0),"")</f>
        <v/>
      </c>
      <c r="J39" s="560" t="str">
        <f>IFERROR(VLOOKUP(M39,'02. MM-KLH'!$B$6:$T$823,19,0),"")</f>
        <v/>
      </c>
      <c r="K39" s="560" t="str">
        <f>IFERROR(VLOOKUP(M39,'02. MM-KLH'!$B$6:$T$823,18,0),"")</f>
        <v/>
      </c>
      <c r="L39" s="559" t="str">
        <f>IFERROR(VLOOKUP(M39,'02. MM-KLH'!$B$6:$T$823,4,0),"")</f>
        <v/>
      </c>
      <c r="M39" s="488"/>
      <c r="N39" s="57" t="str">
        <f>IFERROR(VLOOKUP(M39,'02. MM-KLH'!$B$6:$T$823,15,0),"")</f>
        <v/>
      </c>
      <c r="O39" s="563" t="str">
        <f>IFERROR(VLOOKUP(M39,'02. MM-KLH'!$B$6:$T$823,9,0),"")</f>
        <v/>
      </c>
      <c r="P39" s="559"/>
      <c r="Q39" s="559"/>
      <c r="R39" s="559"/>
      <c r="S39" s="559"/>
      <c r="T39" s="559"/>
      <c r="U39" s="559" t="str">
        <f>IFERROR(VLOOKUP(M39,'02. MM-KLH'!$B$6:$T$823,2,0),"")</f>
        <v/>
      </c>
      <c r="V39" s="565" t="str">
        <f>IFERROR(VLOOKUP(M39,'02. MM-KLH'!$B$6:$T$823,8,0),"")</f>
        <v/>
      </c>
      <c r="W39" s="559"/>
      <c r="X39" s="559"/>
      <c r="Y39" s="559"/>
      <c r="Z39" s="565" t="str">
        <f>IFERROR(VLOOKUP(M39,'02. MM-KLH'!$B$6:$T$823,3,0),"")</f>
        <v/>
      </c>
      <c r="AA39" s="559"/>
      <c r="AB39" s="565"/>
      <c r="AC39" s="523"/>
    </row>
    <row r="40" hidden="1">
      <c r="A40" s="559"/>
      <c r="B40" s="560" t="str">
        <f>IFERROR(VLOOKUP(M40,'02. MM-KLH'!$B$6:$T$823,6,0),"")</f>
        <v/>
      </c>
      <c r="C40" s="561"/>
      <c r="D40" s="559" t="str">
        <f>IFERROR(VLOOKUP(M40,'02. MM-KLH'!$B$6:$T$823,16,0),"")</f>
        <v/>
      </c>
      <c r="E40" s="561"/>
      <c r="F40" s="559"/>
      <c r="G40" s="559"/>
      <c r="H40" s="559" t="str">
        <f>IFERROR(VLOOKUP(M40,'02. MM-KLH'!$B$6:$T$823,17,0),"")</f>
        <v/>
      </c>
      <c r="I40" s="562" t="str">
        <f>IFERROR(VLOOKUP(M40,'02. MM-KLH'!$B$6:$U$823,20,0),"")</f>
        <v/>
      </c>
      <c r="J40" s="560" t="str">
        <f>IFERROR(VLOOKUP(M40,'02. MM-KLH'!$B$6:$T$823,19,0),"")</f>
        <v/>
      </c>
      <c r="K40" s="560" t="str">
        <f>IFERROR(VLOOKUP(M40,'02. MM-KLH'!$B$6:$T$823,18,0),"")</f>
        <v/>
      </c>
      <c r="L40" s="559" t="str">
        <f>IFERROR(VLOOKUP(M40,'02. MM-KLH'!$B$6:$T$823,4,0),"")</f>
        <v/>
      </c>
      <c r="M40" s="488"/>
      <c r="N40" s="57" t="str">
        <f>IFERROR(VLOOKUP(M40,'02. MM-KLH'!$B$6:$T$823,15,0),"")</f>
        <v/>
      </c>
      <c r="O40" s="563" t="str">
        <f>IFERROR(VLOOKUP(M40,'02. MM-KLH'!$B$6:$T$823,9,0),"")</f>
        <v/>
      </c>
      <c r="P40" s="559"/>
      <c r="Q40" s="559"/>
      <c r="R40" s="559"/>
      <c r="S40" s="559"/>
      <c r="T40" s="559"/>
      <c r="U40" s="559" t="str">
        <f>IFERROR(VLOOKUP(M40,'02. MM-KLH'!$B$6:$T$823,2,0),"")</f>
        <v/>
      </c>
      <c r="V40" s="565" t="str">
        <f>IFERROR(VLOOKUP(M40,'02. MM-KLH'!$B$6:$T$823,8,0),"")</f>
        <v/>
      </c>
      <c r="W40" s="559"/>
      <c r="X40" s="559"/>
      <c r="Y40" s="559"/>
      <c r="Z40" s="565" t="str">
        <f>IFERROR(VLOOKUP(M40,'02. MM-KLH'!$B$6:$T$823,3,0),"")</f>
        <v/>
      </c>
      <c r="AA40" s="559"/>
      <c r="AB40" s="565"/>
      <c r="AC40" s="523"/>
    </row>
    <row r="41">
      <c r="A41" s="550">
        <v>2.0</v>
      </c>
      <c r="B41" s="551" t="s">
        <v>83</v>
      </c>
      <c r="C41" s="550">
        <f>COUNTA(B42:B44)</f>
        <v>1</v>
      </c>
      <c r="D41" s="552"/>
      <c r="E41" s="552"/>
      <c r="F41" s="552"/>
      <c r="G41" s="552"/>
      <c r="H41" s="552"/>
      <c r="I41" s="553"/>
      <c r="J41" s="554"/>
      <c r="K41" s="554"/>
      <c r="L41" s="552"/>
      <c r="M41" s="555"/>
      <c r="N41" s="552"/>
      <c r="O41" s="556"/>
      <c r="P41" s="552"/>
      <c r="Q41" s="552"/>
      <c r="R41" s="552"/>
      <c r="S41" s="552"/>
      <c r="T41" s="552"/>
      <c r="U41" s="552"/>
      <c r="V41" s="557"/>
      <c r="W41" s="552"/>
      <c r="X41" s="552"/>
      <c r="Y41" s="552"/>
      <c r="Z41" s="557"/>
      <c r="AA41" s="552"/>
      <c r="AB41" s="557"/>
      <c r="AC41" s="558"/>
    </row>
    <row r="42">
      <c r="A42" s="559"/>
      <c r="B42" s="560" t="str">
        <f>IFERROR(VLOOKUP(M42,'02. MM-KLH'!$B$6:$T$823,6,0),"")</f>
        <v>Máy đào KOBELCO bánh xích gàu 1.2m3</v>
      </c>
      <c r="C42" s="561">
        <v>1.0</v>
      </c>
      <c r="D42" s="559" t="str">
        <f>IFERROR(VLOOKUP(M42,'02. MM-KLH'!$B$6:$T$823,16,0),"")</f>
        <v>SK200-08</v>
      </c>
      <c r="E42" s="561" t="s">
        <v>4158</v>
      </c>
      <c r="F42" s="559"/>
      <c r="G42" s="559"/>
      <c r="H42" s="559" t="str">
        <f>IFERROR(VLOOKUP(M42,'02. MM-KLH'!$B$6:$T$823,17,0),"")</f>
        <v>170HP</v>
      </c>
      <c r="I42" s="562">
        <f>IFERROR(VLOOKUP(M42,'02. MM-KLH'!$B$6:$U$823,20,0),"")</f>
        <v>17</v>
      </c>
      <c r="J42" s="560" t="str">
        <f>IFERROR(VLOOKUP(M42,'02. MM-KLH'!$B$6:$T$823,19,0),"")</f>
        <v>R0033333</v>
      </c>
      <c r="K42" s="560" t="str">
        <f>IFERROR(VLOOKUP(M42,'02. MM-KLH'!$B$6:$T$823,18,0),"")</f>
        <v>LQ16-10073 </v>
      </c>
      <c r="L42" s="559" t="str">
        <f>IFERROR(VLOOKUP(M42,'02. MM-KLH'!$B$6:$T$823,4,0),"")</f>
        <v/>
      </c>
      <c r="M42" s="475" t="s">
        <v>78</v>
      </c>
      <c r="N42" s="57">
        <f>IFERROR(VLOOKUP(M42,'02. MM-KLH'!$B$6:$T$823,15,0),"")</f>
        <v>2019</v>
      </c>
      <c r="O42" s="563">
        <f>IFERROR(VLOOKUP(M42,'02. MM-KLH'!$B$6:$T$823,9,0),"")</f>
        <v>43835</v>
      </c>
      <c r="P42" s="559"/>
      <c r="Q42" s="583">
        <v>14970.0</v>
      </c>
      <c r="R42" s="561"/>
      <c r="S42" s="561" t="s">
        <v>4158</v>
      </c>
      <c r="T42" s="559"/>
      <c r="U42" s="559" t="str">
        <f>IFERROR(VLOOKUP(M42,'02. MM-KLH'!$B$6:$T$823,5,0),"")</f>
        <v>ĐQSD</v>
      </c>
      <c r="V42" s="565" t="str">
        <f>IFERROR(VLOOKUP(M42,'02. MM-KLH'!$B$6:$T$823,8,0),"")</f>
        <v>CGTC DP</v>
      </c>
      <c r="W42" s="559" t="str">
        <f>IFERROR(VLOOKUP(V42,'NS QUẢN LÝ CG'!$A$4:$D$36,2,0),"")</f>
        <v>Phạm Ngọc Hải</v>
      </c>
      <c r="X42" s="559" t="str">
        <f>IFERROR(VLOOKUP(V42,'NS QUẢN LÝ CG'!$A$4:$D$36,4,0),"")</f>
        <v>Lô 85 DP4</v>
      </c>
      <c r="Y42" s="559" t="str">
        <f>IFERROR(VLOOKUP(V42,'NS QUẢN LÝ CG'!$A$4:$C$36,3,0),"")</f>
        <v>0825456565</v>
      </c>
      <c r="Z42" s="565" t="str">
        <f>IFERROR(VLOOKUP(M42,'02. MM-KLH'!$B$6:$T$823,3,0),"")</f>
        <v>ATT-A23-0025</v>
      </c>
      <c r="AA42" s="561" t="s">
        <v>4312</v>
      </c>
      <c r="AB42" s="565"/>
      <c r="AC42" s="523"/>
    </row>
    <row r="43">
      <c r="A43" s="559"/>
      <c r="B43" s="560" t="str">
        <f>IFERROR(VLOOKUP(M43,'02. MM-KLH'!$B$6:$T$823,6,0),"")</f>
        <v/>
      </c>
      <c r="C43" s="561"/>
      <c r="D43" s="559" t="str">
        <f>IFERROR(VLOOKUP(M43,'02. MM-KLH'!$B$6:$T$823,16,0),"")</f>
        <v/>
      </c>
      <c r="E43" s="559"/>
      <c r="F43" s="559"/>
      <c r="G43" s="559"/>
      <c r="H43" s="559" t="str">
        <f>IFERROR(VLOOKUP(M43,'02. MM-KLH'!$B$6:$T$823,17,0),"")</f>
        <v/>
      </c>
      <c r="I43" s="562" t="str">
        <f>IFERROR(VLOOKUP(M43,'02. MM-KLH'!$B$6:$U$823,20,0),"")</f>
        <v/>
      </c>
      <c r="J43" s="560" t="str">
        <f>IFERROR(VLOOKUP(M43,'02. MM-KLH'!$B$6:$T$823,19,0),"")</f>
        <v/>
      </c>
      <c r="K43" s="560" t="str">
        <f>IFERROR(VLOOKUP(M43,'02. MM-KLH'!$B$6:$T$823,18,0),"")</f>
        <v/>
      </c>
      <c r="L43" s="559" t="str">
        <f>IFERROR(VLOOKUP(M43,'02. MM-KLH'!$B$6:$T$823,4,0),"")</f>
        <v/>
      </c>
      <c r="M43" s="475"/>
      <c r="N43" s="57" t="str">
        <f>IFERROR(VLOOKUP(M43,'02. MM-KLH'!$B$6:$T$823,15,0),"")</f>
        <v/>
      </c>
      <c r="O43" s="563" t="str">
        <f>IFERROR(VLOOKUP(M43,'02. MM-KLH'!$B$6:$T$823,9,0),"")</f>
        <v/>
      </c>
      <c r="P43" s="559"/>
      <c r="Q43" s="559"/>
      <c r="R43" s="559"/>
      <c r="S43" s="559"/>
      <c r="T43" s="559"/>
      <c r="U43" s="559" t="str">
        <f>IFERROR(VLOOKUP(M43,'02. MM-KLH'!$B$6:$T$823,2,0),"")</f>
        <v/>
      </c>
      <c r="V43" s="565" t="str">
        <f>IFERROR(VLOOKUP(M43,'02. MM-KLH'!$B$6:$T$823,8,0),"")</f>
        <v/>
      </c>
      <c r="W43" s="559" t="str">
        <f>IFERROR(VLOOKUP(V43,'NS QUẢN LÝ CG'!$A$4:$D$36,2,0),"")</f>
        <v/>
      </c>
      <c r="X43" s="559" t="str">
        <f>IFERROR(VLOOKUP(V43,'NS QUẢN LÝ CG'!$A$4:$D$36,4,0),"")</f>
        <v/>
      </c>
      <c r="Y43" s="559"/>
      <c r="Z43" s="565" t="str">
        <f>IFERROR(VLOOKUP(M43,'02. MM-KLH'!$B$6:$T$823,3,0),"")</f>
        <v/>
      </c>
      <c r="AA43" s="559"/>
      <c r="AB43" s="565"/>
      <c r="AC43" s="523"/>
    </row>
    <row r="44" hidden="1">
      <c r="A44" s="559"/>
      <c r="B44" s="560" t="str">
        <f>IFERROR(VLOOKUP(M44,'02. MM-KLH'!$B$6:$T$823,6,0),"")</f>
        <v/>
      </c>
      <c r="C44" s="561"/>
      <c r="D44" s="559" t="str">
        <f>IFERROR(VLOOKUP(M44,'02. MM-KLH'!$B$6:$T$823,16,0),"")</f>
        <v/>
      </c>
      <c r="E44" s="559"/>
      <c r="F44" s="559"/>
      <c r="G44" s="559"/>
      <c r="H44" s="559" t="str">
        <f>IFERROR(VLOOKUP(M44,'02. MM-KLH'!$B$6:$T$823,17,0),"")</f>
        <v/>
      </c>
      <c r="I44" s="562" t="str">
        <f>IFERROR(VLOOKUP(M44,'02. MM-KLH'!$B$6:$U$823,20,0),"")</f>
        <v/>
      </c>
      <c r="J44" s="560" t="str">
        <f>IFERROR(VLOOKUP(M44,'02. MM-KLH'!$B$6:$T$823,19,0),"")</f>
        <v/>
      </c>
      <c r="K44" s="560" t="str">
        <f>IFERROR(VLOOKUP(M44,'02. MM-KLH'!$B$6:$T$823,18,0),"")</f>
        <v/>
      </c>
      <c r="L44" s="559" t="str">
        <f>IFERROR(VLOOKUP(M44,'02. MM-KLH'!$B$6:$T$823,4,0),"")</f>
        <v/>
      </c>
      <c r="M44" s="475"/>
      <c r="N44" s="57" t="str">
        <f>IFERROR(VLOOKUP(M44,'02. MM-KLH'!$B$6:$T$823,15,0),"")</f>
        <v/>
      </c>
      <c r="O44" s="563" t="str">
        <f>IFERROR(VLOOKUP(M44,'02. MM-KLH'!$B$6:$T$823,9,0),"")</f>
        <v/>
      </c>
      <c r="P44" s="559"/>
      <c r="Q44" s="559"/>
      <c r="R44" s="559"/>
      <c r="S44" s="559"/>
      <c r="T44" s="559"/>
      <c r="U44" s="559" t="str">
        <f>IFERROR(VLOOKUP(M44,'02. MM-KLH'!$B$6:$T$823,2,0),"")</f>
        <v/>
      </c>
      <c r="V44" s="565" t="str">
        <f>IFERROR(VLOOKUP(M44,'02. MM-KLH'!$B$6:$T$823,8,0),"")</f>
        <v/>
      </c>
      <c r="W44" s="559"/>
      <c r="X44" s="559"/>
      <c r="Y44" s="559"/>
      <c r="Z44" s="565" t="str">
        <f>IFERROR(VLOOKUP(M44,'02. MM-KLH'!$B$6:$T$823,3,0),"")</f>
        <v/>
      </c>
      <c r="AA44" s="559"/>
      <c r="AB44" s="565"/>
      <c r="AC44" s="523"/>
    </row>
    <row r="45">
      <c r="A45" s="550">
        <v>3.0</v>
      </c>
      <c r="B45" s="551" t="s">
        <v>92</v>
      </c>
      <c r="C45" s="550">
        <f>COUNTA(B46:B55)</f>
        <v>7</v>
      </c>
      <c r="D45" s="552"/>
      <c r="E45" s="552"/>
      <c r="F45" s="552"/>
      <c r="G45" s="552"/>
      <c r="H45" s="552"/>
      <c r="I45" s="553"/>
      <c r="J45" s="554"/>
      <c r="K45" s="554"/>
      <c r="L45" s="552"/>
      <c r="M45" s="555"/>
      <c r="N45" s="552"/>
      <c r="O45" s="556"/>
      <c r="P45" s="552"/>
      <c r="Q45" s="552"/>
      <c r="R45" s="552"/>
      <c r="S45" s="552"/>
      <c r="T45" s="552"/>
      <c r="U45" s="552"/>
      <c r="V45" s="557"/>
      <c r="W45" s="552"/>
      <c r="X45" s="552"/>
      <c r="Y45" s="552"/>
      <c r="Z45" s="557"/>
      <c r="AA45" s="552"/>
      <c r="AB45" s="557"/>
      <c r="AC45" s="558"/>
    </row>
    <row r="46">
      <c r="A46" s="559"/>
      <c r="B46" s="560" t="str">
        <f>IFERROR(VLOOKUP(M46,'02. MM-KLH'!$B$6:$T$823,6,0),"")</f>
        <v>Máy đào SH210 bánh xích gàu 0.9m3</v>
      </c>
      <c r="C46" s="561">
        <v>1.0</v>
      </c>
      <c r="D46" s="559" t="str">
        <f>IFERROR(VLOOKUP(M46,'02. MM-KLH'!$B$6:$T$823,16,0),"")</f>
        <v>SH210</v>
      </c>
      <c r="E46" s="561" t="s">
        <v>4158</v>
      </c>
      <c r="F46" s="559"/>
      <c r="G46" s="559"/>
      <c r="H46" s="559" t="str">
        <f>IFERROR(VLOOKUP(M46,'02. MM-KLH'!$B$6:$T$823,17,0),"")</f>
        <v>156HP</v>
      </c>
      <c r="I46" s="562">
        <f>IFERROR(VLOOKUP(M46,'02. MM-KLH'!$B$6:$U$823,20,0),"")</f>
        <v>13</v>
      </c>
      <c r="J46" s="560" t="str">
        <f>IFERROR(VLOOKUP(M46,'02. MM-KLH'!$B$6:$T$823,19,0),"")</f>
        <v>CCN</v>
      </c>
      <c r="K46" s="560" t="str">
        <f>IFERROR(VLOOKUP(M46,'02. MM-KLH'!$B$6:$T$823,18,0),"")</f>
        <v>STN210T6P00BH2390</v>
      </c>
      <c r="L46" s="559" t="str">
        <f>IFERROR(VLOOKUP(M46,'02. MM-KLH'!$B$6:$T$823,4,0),"")</f>
        <v/>
      </c>
      <c r="M46" s="490" t="s">
        <v>89</v>
      </c>
      <c r="N46" s="57">
        <f>IFERROR(VLOOKUP(M46,'02. MM-KLH'!$B$6:$T$823,15,0),"")</f>
        <v>1993</v>
      </c>
      <c r="O46" s="563">
        <f>IFERROR(VLOOKUP(M46,'02. MM-KLH'!$B$6:$T$823,9,0),"")</f>
        <v>43801</v>
      </c>
      <c r="P46" s="559"/>
      <c r="Q46" s="588">
        <v>14025.0</v>
      </c>
      <c r="R46" s="561" t="s">
        <v>4158</v>
      </c>
      <c r="S46" s="559"/>
      <c r="T46" s="559"/>
      <c r="U46" s="559" t="str">
        <f>IFERROR(VLOOKUP(M46,'02. MM-KLH'!$B$6:$T$823,5,0),"")</f>
        <v>ĐQSD</v>
      </c>
      <c r="V46" s="565" t="str">
        <f>IFERROR(VLOOKUP(M46,'02. MM-KLH'!$B$6:$T$823,8,0),"")</f>
        <v>CGTC DP</v>
      </c>
      <c r="W46" s="559" t="str">
        <f>IFERROR(VLOOKUP(V46,'NS QUẢN LÝ CG'!$A$4:$D$36,2,0),"")</f>
        <v>Phạm Ngọc Hải</v>
      </c>
      <c r="X46" s="559" t="str">
        <f>IFERROR(VLOOKUP(V46,'NS QUẢN LÝ CG'!$A$4:$D$36,4,0),"")</f>
        <v>Lô 85 DP4</v>
      </c>
      <c r="Y46" s="559" t="str">
        <f>IFERROR(VLOOKUP(V46,'NS QUẢN LÝ CG'!$A$4:$C$36,3,0),"")</f>
        <v>0825456565</v>
      </c>
      <c r="Z46" s="565" t="str">
        <f>IFERROR(VLOOKUP(M46,'02. MM-KLH'!$B$6:$T$823,3,0),"")</f>
        <v>ATT-A23-0011</v>
      </c>
      <c r="AA46" s="561" t="s">
        <v>4312</v>
      </c>
      <c r="AB46" s="565"/>
      <c r="AC46" s="523"/>
    </row>
    <row r="47">
      <c r="A47" s="559"/>
      <c r="B47" s="560" t="str">
        <f>IFERROR(VLOOKUP(M47,'02. MM-KLH'!$B$6:$T$823,6,0),"")</f>
        <v>Máy đào SH210 bánh xích gàu 0.9m3</v>
      </c>
      <c r="C47" s="561">
        <v>1.0</v>
      </c>
      <c r="D47" s="559" t="str">
        <f>IFERROR(VLOOKUP(M47,'02. MM-KLH'!$B$6:$T$823,16,0),"")</f>
        <v>SH210-6</v>
      </c>
      <c r="E47" s="561" t="s">
        <v>4158</v>
      </c>
      <c r="F47" s="559"/>
      <c r="G47" s="559"/>
      <c r="H47" s="559" t="str">
        <f>IFERROR(VLOOKUP(M47,'02. MM-KLH'!$B$6:$T$823,17,0),"")</f>
        <v>160HP</v>
      </c>
      <c r="I47" s="562">
        <f>IFERROR(VLOOKUP(M47,'02. MM-KLH'!$B$6:$U$823,20,0),"")</f>
        <v>13</v>
      </c>
      <c r="J47" s="560">
        <f>IFERROR(VLOOKUP(M47,'02. MM-KLH'!$B$6:$T$823,19,0),"")</f>
        <v>801502</v>
      </c>
      <c r="K47" s="560" t="str">
        <f>IFERROR(VLOOKUP(M47,'02. MM-KLH'!$B$6:$T$823,18,0),"")</f>
        <v>STN210T6P00BH2695</v>
      </c>
      <c r="L47" s="559" t="str">
        <f>IFERROR(VLOOKUP(M47,'02. MM-KLH'!$B$6:$T$823,4,0),"")</f>
        <v/>
      </c>
      <c r="M47" s="475" t="s">
        <v>110</v>
      </c>
      <c r="N47" s="57">
        <f>IFERROR(VLOOKUP(M47,'02. MM-KLH'!$B$6:$T$823,15,0),"")</f>
        <v>2020</v>
      </c>
      <c r="O47" s="563">
        <f>IFERROR(VLOOKUP(M47,'02. MM-KLH'!$B$6:$T$823,9,0),"")</f>
        <v>44200</v>
      </c>
      <c r="P47" s="559"/>
      <c r="Q47" s="588">
        <v>11659.0</v>
      </c>
      <c r="R47" s="561" t="s">
        <v>4158</v>
      </c>
      <c r="S47" s="559"/>
      <c r="T47" s="559"/>
      <c r="U47" s="559" t="str">
        <f>IFERROR(VLOOKUP(M47,'02. MM-KLH'!$B$6:$T$823,5,0),"")</f>
        <v>ĐQSD</v>
      </c>
      <c r="V47" s="565" t="str">
        <f>IFERROR(VLOOKUP(M47,'02. MM-KLH'!$B$6:$T$823,8,0),"")</f>
        <v>CGTC DP</v>
      </c>
      <c r="W47" s="559" t="str">
        <f>IFERROR(VLOOKUP(V47,'NS QUẢN LÝ CG'!$A$4:$D$36,2,0),"")</f>
        <v>Phạm Ngọc Hải</v>
      </c>
      <c r="X47" s="559" t="str">
        <f>IFERROR(VLOOKUP(V47,'NS QUẢN LÝ CG'!$A$4:$D$36,4,0),"")</f>
        <v>Lô 85 DP4</v>
      </c>
      <c r="Y47" s="559" t="str">
        <f>IFERROR(VLOOKUP(V47,'NS QUẢN LÝ CG'!$A$4:$C$36,3,0),"")</f>
        <v>0825456565</v>
      </c>
      <c r="Z47" s="565" t="str">
        <f>IFERROR(VLOOKUP(M47,'02. MM-KLH'!$B$6:$T$823,3,0),"")</f>
        <v>ATM-A22-0087</v>
      </c>
      <c r="AA47" s="561" t="s">
        <v>4462</v>
      </c>
      <c r="AB47" s="565"/>
      <c r="AC47" s="523"/>
    </row>
    <row r="48">
      <c r="A48" s="559"/>
      <c r="B48" s="560" t="str">
        <f>IFERROR(VLOOKUP(M48,'02. MM-KLH'!$B$6:$T$823,6,0),"")</f>
        <v>Máy đào SH130 bánh xích gàu 0.5m3</v>
      </c>
      <c r="C48" s="561">
        <v>1.0</v>
      </c>
      <c r="D48" s="559" t="str">
        <f>IFERROR(VLOOKUP(M48,'02. MM-KLH'!$B$6:$T$823,16,0),"")</f>
        <v>SH130-6</v>
      </c>
      <c r="E48" s="561" t="s">
        <v>4158</v>
      </c>
      <c r="F48" s="559"/>
      <c r="G48" s="559"/>
      <c r="H48" s="559" t="str">
        <f>IFERROR(VLOOKUP(M48,'02. MM-KLH'!$B$6:$T$823,17,0),"")</f>
        <v>96HP</v>
      </c>
      <c r="I48" s="562">
        <f>IFERROR(VLOOKUP(M48,'02. MM-KLH'!$B$6:$U$823,20,0),"")</f>
        <v>12</v>
      </c>
      <c r="J48" s="560" t="str">
        <f>IFERROR(VLOOKUP(M48,'02. MM-KLH'!$B$6:$T$823,19,0),"")</f>
        <v>6041164JJ1</v>
      </c>
      <c r="K48" s="560" t="str">
        <f>IFERROR(VLOOKUP(M48,'02. MM-KLH'!$B$6:$T$823,18,0),"")</f>
        <v>STN130T6A00BH1835</v>
      </c>
      <c r="L48" s="559" t="str">
        <f>IFERROR(VLOOKUP(M48,'02. MM-KLH'!$B$6:$T$823,4,0),"")</f>
        <v/>
      </c>
      <c r="M48" s="475" t="s">
        <v>114</v>
      </c>
      <c r="N48" s="57">
        <f>IFERROR(VLOOKUP(M48,'02. MM-KLH'!$B$6:$T$823,15,0),"")</f>
        <v>2021</v>
      </c>
      <c r="O48" s="563">
        <f>IFERROR(VLOOKUP(M48,'02. MM-KLH'!$B$6:$T$823,9,0),"")</f>
        <v>44200</v>
      </c>
      <c r="P48" s="559"/>
      <c r="Q48" s="588">
        <v>12118.0</v>
      </c>
      <c r="R48" s="561" t="s">
        <v>4158</v>
      </c>
      <c r="S48" s="559"/>
      <c r="T48" s="559"/>
      <c r="U48" s="559" t="str">
        <f>IFERROR(VLOOKUP(M48,'02. MM-KLH'!$B$6:$T$823,5,0),"")</f>
        <v>ĐQSD</v>
      </c>
      <c r="V48" s="565" t="str">
        <f>IFERROR(VLOOKUP(M48,'02. MM-KLH'!$B$6:$T$823,8,0),"")</f>
        <v>CGTC DP</v>
      </c>
      <c r="W48" s="559" t="str">
        <f>IFERROR(VLOOKUP(V48,'NS QUẢN LÝ CG'!$A$4:$D$36,2,0),"")</f>
        <v>Phạm Ngọc Hải</v>
      </c>
      <c r="X48" s="559" t="str">
        <f>IFERROR(VLOOKUP(V48,'NS QUẢN LÝ CG'!$A$4:$D$36,4,0),"")</f>
        <v>Lô 85 DP4</v>
      </c>
      <c r="Y48" s="559" t="str">
        <f>IFERROR(VLOOKUP(V48,'NS QUẢN LÝ CG'!$A$4:$C$36,3,0),"")</f>
        <v>0825456565</v>
      </c>
      <c r="Z48" s="565" t="str">
        <f>IFERROR(VLOOKUP(M48,'02. MM-KLH'!$B$6:$T$823,3,0),"")</f>
        <v>ATM-A22-0088</v>
      </c>
      <c r="AA48" s="561" t="s">
        <v>4462</v>
      </c>
      <c r="AB48" s="565"/>
      <c r="AC48" s="523"/>
    </row>
    <row r="49">
      <c r="A49" s="559"/>
      <c r="B49" s="560" t="str">
        <f>IFERROR(VLOOKUP(M49,'02. MM-KLH'!$B$6:$T$823,6,0),"")</f>
        <v>Máy đào SH210 bánh xích gàu 0.9m3</v>
      </c>
      <c r="C49" s="561">
        <v>1.0</v>
      </c>
      <c r="D49" s="559" t="str">
        <f>IFERROR(VLOOKUP(M49,'02. MM-KLH'!$B$6:$T$823,16,0),"")</f>
        <v>SH210-6</v>
      </c>
      <c r="E49" s="561" t="s">
        <v>4158</v>
      </c>
      <c r="F49" s="559"/>
      <c r="G49" s="559"/>
      <c r="H49" s="559" t="str">
        <f>IFERROR(VLOOKUP(M49,'02. MM-KLH'!$B$6:$T$823,17,0),"")</f>
        <v>156HP</v>
      </c>
      <c r="I49" s="562">
        <f>IFERROR(VLOOKUP(M49,'02. MM-KLH'!$B$6:$U$823,20,0),"")</f>
        <v>15</v>
      </c>
      <c r="J49" s="560">
        <f>IFERROR(VLOOKUP(M49,'02. MM-KLH'!$B$6:$T$823,19,0),"")</f>
        <v>800391</v>
      </c>
      <c r="K49" s="560" t="str">
        <f>IFERROR(VLOOKUP(M49,'02. MM-KLH'!$B$6:$T$823,18,0),"")</f>
        <v>STN210T6V00BH2623</v>
      </c>
      <c r="L49" s="559" t="str">
        <f>IFERROR(VLOOKUP(M49,'02. MM-KLH'!$B$6:$T$823,4,0),"")</f>
        <v/>
      </c>
      <c r="M49" s="475" t="s">
        <v>152</v>
      </c>
      <c r="N49" s="57">
        <f>IFERROR(VLOOKUP(M49,'02. MM-KLH'!$B$6:$T$823,15,0),"")</f>
        <v>2020</v>
      </c>
      <c r="O49" s="563">
        <f>IFERROR(VLOOKUP(M49,'02. MM-KLH'!$B$6:$T$823,9,0),"")</f>
        <v>44197</v>
      </c>
      <c r="P49" s="559"/>
      <c r="Q49" s="593">
        <v>12940.0</v>
      </c>
      <c r="R49" s="561" t="s">
        <v>4158</v>
      </c>
      <c r="S49" s="559"/>
      <c r="T49" s="559"/>
      <c r="U49" s="559" t="str">
        <f>IFERROR(VLOOKUP(M49,'02. MM-KLH'!$B$6:$T$823,5,0),"")</f>
        <v>ĐQSD</v>
      </c>
      <c r="V49" s="565" t="str">
        <f>IFERROR(VLOOKUP(M49,'02. MM-KLH'!$B$6:$T$823,8,0),"")</f>
        <v>CGTC LP</v>
      </c>
      <c r="W49" s="559" t="str">
        <f>IFERROR(VLOOKUP(V49,'NS QUẢN LÝ CG'!$A$4:$D$36,2,0),"")</f>
        <v>Đỗ Đức Nghĩa</v>
      </c>
      <c r="X49" s="559" t="str">
        <f>IFERROR(VLOOKUP(V49,'NS QUẢN LÝ CG'!$A$4:$D$36,4,0),"")</f>
        <v>NOCN L.4-LP3</v>
      </c>
      <c r="Y49" s="559" t="str">
        <f>IFERROR(VLOOKUP(V49,'NS QUẢN LÝ CG'!$A$4:$C$36,3,0),"")</f>
        <v>0971462780</v>
      </c>
      <c r="Z49" s="565" t="str">
        <f>IFERROR(VLOOKUP(M49,'02. MM-KLH'!$B$6:$T$823,3,0),"")</f>
        <v>ATT-A24-0053</v>
      </c>
      <c r="AA49" s="561" t="s">
        <v>5046</v>
      </c>
      <c r="AB49" s="565"/>
      <c r="AC49" s="523"/>
    </row>
    <row r="50">
      <c r="A50" s="559"/>
      <c r="B50" s="560" t="str">
        <f>IFERROR(VLOOKUP(M50,'02. MM-KLH'!$B$6:$T$823,6,0),"")</f>
        <v>Máy đào SH130 bánh xích gàu 0.5m3</v>
      </c>
      <c r="C50" s="561">
        <v>1.0</v>
      </c>
      <c r="D50" s="559" t="str">
        <f>IFERROR(VLOOKUP(M50,'02. MM-KLH'!$B$6:$T$823,16,0),"")</f>
        <v>SH130-6</v>
      </c>
      <c r="E50" s="561" t="s">
        <v>4158</v>
      </c>
      <c r="F50" s="559"/>
      <c r="G50" s="559"/>
      <c r="H50" s="559" t="str">
        <f>IFERROR(VLOOKUP(M50,'02. MM-KLH'!$B$6:$T$823,17,0),"")</f>
        <v>96HP</v>
      </c>
      <c r="I50" s="562">
        <f>IFERROR(VLOOKUP(M50,'02. MM-KLH'!$B$6:$U$823,20,0),"")</f>
        <v>12</v>
      </c>
      <c r="J50" s="560" t="str">
        <f>IFERROR(VLOOKUP(M50,'02. MM-KLH'!$B$6:$T$823,19,0),"")</f>
        <v>2757064JJ1</v>
      </c>
      <c r="K50" s="560" t="str">
        <f>IFERROR(VLOOKUP(M50,'02. MM-KLH'!$B$6:$T$823,18,0),"")</f>
        <v>STN130T6V00BH1607</v>
      </c>
      <c r="L50" s="559" t="str">
        <f>IFERROR(VLOOKUP(M50,'02. MM-KLH'!$B$6:$T$823,4,0),"")</f>
        <v/>
      </c>
      <c r="M50" s="475" t="s">
        <v>439</v>
      </c>
      <c r="N50" s="57">
        <f>IFERROR(VLOOKUP(M50,'02. MM-KLH'!$B$6:$T$823,15,0),"")</f>
        <v>2019</v>
      </c>
      <c r="O50" s="563">
        <f>IFERROR(VLOOKUP(M50,'02. MM-KLH'!$B$6:$T$823,9,0),"")</f>
        <v>44197</v>
      </c>
      <c r="P50" s="559"/>
      <c r="Q50" s="593">
        <v>14224.0</v>
      </c>
      <c r="R50" s="561" t="s">
        <v>4158</v>
      </c>
      <c r="S50" s="559"/>
      <c r="T50" s="559"/>
      <c r="U50" s="559" t="str">
        <f>IFERROR(VLOOKUP(M50,'02. MM-KLH'!$B$6:$T$823,5,0),"")</f>
        <v>ĐQSD</v>
      </c>
      <c r="V50" s="565" t="str">
        <f>IFERROR(VLOOKUP(M50,'02. MM-KLH'!$B$6:$T$823,8,0),"")</f>
        <v>CGTC LP</v>
      </c>
      <c r="W50" s="559" t="str">
        <f>IFERROR(VLOOKUP(V50,'NS QUẢN LÝ CG'!$A$4:$D$36,2,0),"")</f>
        <v>Đỗ Đức Nghĩa</v>
      </c>
      <c r="X50" s="559" t="str">
        <f>IFERROR(VLOOKUP(V50,'NS QUẢN LÝ CG'!$A$4:$D$36,4,0),"")</f>
        <v>NOCN L.4-LP3</v>
      </c>
      <c r="Y50" s="559" t="str">
        <f>IFERROR(VLOOKUP(V50,'NS QUẢN LÝ CG'!$A$4:$C$36,3,0),"")</f>
        <v>0971462780</v>
      </c>
      <c r="Z50" s="565" t="str">
        <f>IFERROR(VLOOKUP(M50,'02. MM-KLH'!$B$6:$T$823,3,0),"")</f>
        <v>ATT-A24-0052</v>
      </c>
      <c r="AA50" s="561" t="s">
        <v>5046</v>
      </c>
      <c r="AB50" s="565"/>
      <c r="AC50" s="523"/>
    </row>
    <row r="51">
      <c r="A51" s="559"/>
      <c r="B51" s="560" t="str">
        <f>IFERROR(VLOOKUP(M51,'02. MM-KLH'!$B$6:$T$823,6,0),"")</f>
        <v>Máy đào SH210 bánh xích gàu 0.9m3</v>
      </c>
      <c r="C51" s="561">
        <v>1.0</v>
      </c>
      <c r="D51" s="559" t="str">
        <f>IFERROR(VLOOKUP(M51,'02. MM-KLH'!$B$6:$T$823,16,0),"")</f>
        <v>SH210-6</v>
      </c>
      <c r="E51" s="561" t="s">
        <v>4158</v>
      </c>
      <c r="F51" s="559"/>
      <c r="G51" s="559"/>
      <c r="H51" s="559" t="str">
        <f>IFERROR(VLOOKUP(M51,'02. MM-KLH'!$B$6:$T$823,17,0),"")</f>
        <v>160HP</v>
      </c>
      <c r="I51" s="562">
        <f>IFERROR(VLOOKUP(M51,'02. MM-KLH'!$B$6:$U$823,20,0),"")</f>
        <v>13</v>
      </c>
      <c r="J51" s="560">
        <f>IFERROR(VLOOKUP(M51,'02. MM-KLH'!$B$6:$T$823,19,0),"")</f>
        <v>816364</v>
      </c>
      <c r="K51" s="560" t="str">
        <f>IFERROR(VLOOKUP(M51,'02. MM-KLH'!$B$6:$T$823,18,0),"")</f>
        <v>STN210T6C00BH3091</v>
      </c>
      <c r="L51" s="559" t="str">
        <f>IFERROR(VLOOKUP(M51,'02. MM-KLH'!$B$6:$T$823,4,0),"")</f>
        <v/>
      </c>
      <c r="M51" s="463" t="s">
        <v>181</v>
      </c>
      <c r="N51" s="57">
        <f>IFERROR(VLOOKUP(M51,'02. MM-KLH'!$B$6:$T$823,15,0),"")</f>
        <v>2021</v>
      </c>
      <c r="O51" s="563">
        <f>IFERROR(VLOOKUP(M51,'02. MM-KLH'!$B$6:$T$823,9,0),"")</f>
        <v>44287</v>
      </c>
      <c r="P51" s="559"/>
      <c r="Q51" s="594">
        <v>13650.0</v>
      </c>
      <c r="R51" s="561"/>
      <c r="S51" s="561" t="s">
        <v>4158</v>
      </c>
      <c r="T51" s="559"/>
      <c r="U51" s="559" t="str">
        <f>IFERROR(VLOOKUP(M51,'02. MM-KLH'!$B$6:$T$823,5,0),"")</f>
        <v>ĐQSD</v>
      </c>
      <c r="V51" s="565" t="str">
        <f>IFERROR(VLOOKUP(M51,'02. MM-KLH'!$B$6:$T$823,8,0),"")</f>
        <v>CGTC AD</v>
      </c>
      <c r="W51" s="559" t="str">
        <f>IFERROR(VLOOKUP(V51,'NS QUẢN LÝ CG'!$A$4:$D$36,2,0),"")</f>
        <v>Vũ Trung Kiên</v>
      </c>
      <c r="X51" s="559" t="str">
        <f>IFERROR(VLOOKUP(V51,'NS QUẢN LÝ CG'!$A$4:$D$36,4,0),"")</f>
        <v>Lô 73 ADM</v>
      </c>
      <c r="Y51" s="559" t="str">
        <f>IFERROR(VLOOKUP(V51,'NS QUẢN LÝ CG'!$A$4:$C$36,3,0),"")</f>
        <v>0981761677</v>
      </c>
      <c r="Z51" s="565" t="str">
        <f>IFERROR(VLOOKUP(M51,'02. MM-KLH'!$B$6:$T$823,3,0),"")</f>
        <v>ATM-A22-0086</v>
      </c>
      <c r="AA51" s="561" t="s">
        <v>4462</v>
      </c>
      <c r="AB51" s="565"/>
      <c r="AC51" s="523"/>
    </row>
    <row r="52">
      <c r="A52" s="559"/>
      <c r="B52" s="560" t="str">
        <f>IFERROR(VLOOKUP(M52,'02. MM-KLH'!$B$6:$T$823,6,0),"")</f>
        <v>Máy đào SH210 bánh xích gàu 0.9m3</v>
      </c>
      <c r="C52" s="561">
        <v>1.0</v>
      </c>
      <c r="D52" s="559" t="str">
        <f>IFERROR(VLOOKUP(M52,'02. MM-KLH'!$B$6:$T$823,16,0),"")</f>
        <v>SH210-6</v>
      </c>
      <c r="E52" s="561" t="s">
        <v>4158</v>
      </c>
      <c r="F52" s="559"/>
      <c r="G52" s="559"/>
      <c r="H52" s="559" t="str">
        <f>IFERROR(VLOOKUP(M52,'02. MM-KLH'!$B$6:$T$823,17,0),"")</f>
        <v>156HP</v>
      </c>
      <c r="I52" s="562">
        <f>IFERROR(VLOOKUP(M52,'02. MM-KLH'!$B$6:$U$823,20,0),"")</f>
        <v>15</v>
      </c>
      <c r="J52" s="560">
        <f>IFERROR(VLOOKUP(M52,'02. MM-KLH'!$B$6:$T$823,19,0),"")</f>
        <v>800456</v>
      </c>
      <c r="K52" s="560" t="str">
        <f>IFERROR(VLOOKUP(M52,'02. MM-KLH'!$B$6:$T$823,18,0),"")</f>
        <v>STN210T6V00BH2671</v>
      </c>
      <c r="L52" s="559" t="str">
        <f>IFERROR(VLOOKUP(M52,'02. MM-KLH'!$B$6:$T$823,4,0),"")</f>
        <v/>
      </c>
      <c r="M52" s="463" t="s">
        <v>193</v>
      </c>
      <c r="N52" s="57">
        <f>IFERROR(VLOOKUP(M52,'02. MM-KLH'!$B$6:$T$823,15,0),"")</f>
        <v>2020</v>
      </c>
      <c r="O52" s="563" t="str">
        <f>IFERROR(VLOOKUP(M52,'02. MM-KLH'!$B$6:$T$823,9,0),"")</f>
        <v/>
      </c>
      <c r="P52" s="559"/>
      <c r="Q52" s="594">
        <v>13174.0</v>
      </c>
      <c r="R52" s="561"/>
      <c r="S52" s="561" t="s">
        <v>4158</v>
      </c>
      <c r="T52" s="559"/>
      <c r="U52" s="559" t="str">
        <f>IFERROR(VLOOKUP(M52,'02. MM-KLH'!$B$6:$T$823,5,0),"")</f>
        <v>ĐQSD</v>
      </c>
      <c r="V52" s="565" t="str">
        <f>IFERROR(VLOOKUP(M52,'02. MM-KLH'!$B$6:$T$823,8,0),"")</f>
        <v>CGTC AD</v>
      </c>
      <c r="W52" s="559" t="str">
        <f>IFERROR(VLOOKUP(V52,'NS QUẢN LÝ CG'!$A$4:$D$36,2,0),"")</f>
        <v>Vũ Trung Kiên</v>
      </c>
      <c r="X52" s="559" t="str">
        <f>IFERROR(VLOOKUP(V52,'NS QUẢN LÝ CG'!$A$4:$D$36,4,0),"")</f>
        <v>Lô 73 ADM</v>
      </c>
      <c r="Y52" s="559" t="str">
        <f>IFERROR(VLOOKUP(V52,'NS QUẢN LÝ CG'!$A$4:$C$36,3,0),"")</f>
        <v>0981761677</v>
      </c>
      <c r="Z52" s="565" t="str">
        <f>IFERROR(VLOOKUP(M52,'02. MM-KLH'!$B$6:$T$823,3,0),"")</f>
        <v>ATT-A22-0143</v>
      </c>
      <c r="AA52" s="561" t="s">
        <v>4462</v>
      </c>
      <c r="AB52" s="565"/>
      <c r="AC52" s="523"/>
    </row>
    <row r="53">
      <c r="A53" s="559"/>
      <c r="B53" s="560" t="str">
        <f>IFERROR(VLOOKUP(M53,'02. MM-KLH'!$B$6:$T$823,6,0),"")</f>
        <v/>
      </c>
      <c r="C53" s="561"/>
      <c r="D53" s="559" t="str">
        <f>IFERROR(VLOOKUP(M53,'02. MM-KLH'!$B$6:$T$823,16,0),"")</f>
        <v/>
      </c>
      <c r="E53" s="559"/>
      <c r="F53" s="559"/>
      <c r="G53" s="559"/>
      <c r="H53" s="559" t="str">
        <f>IFERROR(VLOOKUP(M53,'02. MM-KLH'!$B$6:$T$823,17,0),"")</f>
        <v/>
      </c>
      <c r="I53" s="562" t="str">
        <f>IFERROR(VLOOKUP(M53,'02. MM-KLH'!$B$6:$U$823,20,0),"")</f>
        <v/>
      </c>
      <c r="J53" s="560" t="str">
        <f>IFERROR(VLOOKUP(M53,'02. MM-KLH'!$B$6:$T$823,19,0),"")</f>
        <v/>
      </c>
      <c r="K53" s="560" t="str">
        <f>IFERROR(VLOOKUP(M53,'02. MM-KLH'!$B$6:$T$823,18,0),"")</f>
        <v/>
      </c>
      <c r="L53" s="559" t="str">
        <f>IFERROR(VLOOKUP(M53,'02. MM-KLH'!$B$6:$T$823,4,0),"")</f>
        <v/>
      </c>
      <c r="M53" s="463"/>
      <c r="N53" s="57" t="str">
        <f>IFERROR(VLOOKUP(M53,'02. MM-KLH'!$B$6:$T$823,15,0),"")</f>
        <v/>
      </c>
      <c r="O53" s="563" t="str">
        <f>IFERROR(VLOOKUP(M53,'02. MM-KLH'!$B$6:$T$823,9,0),"")</f>
        <v/>
      </c>
      <c r="P53" s="559"/>
      <c r="Q53" s="559"/>
      <c r="R53" s="559"/>
      <c r="S53" s="559"/>
      <c r="T53" s="559"/>
      <c r="U53" s="559" t="str">
        <f>IFERROR(VLOOKUP(M53,'02. MM-KLH'!$B$6:$T$823,2,0),"")</f>
        <v/>
      </c>
      <c r="V53" s="565" t="str">
        <f>IFERROR(VLOOKUP(M53,'02. MM-KLH'!$B$6:$T$823,8,0),"")</f>
        <v/>
      </c>
      <c r="W53" s="559" t="str">
        <f>IFERROR(VLOOKUP(V53,'NS QUẢN LÝ CG'!$A$4:$D$36,2,0),"")</f>
        <v/>
      </c>
      <c r="X53" s="559" t="str">
        <f>IFERROR(VLOOKUP(V53,'NS QUẢN LÝ CG'!$A$4:$D$36,4,0),"")</f>
        <v/>
      </c>
      <c r="Y53" s="559"/>
      <c r="Z53" s="565" t="str">
        <f>IFERROR(VLOOKUP(M53,'02. MM-KLH'!$B$6:$T$823,3,0),"")</f>
        <v/>
      </c>
      <c r="AA53" s="559"/>
      <c r="AB53" s="565"/>
      <c r="AC53" s="523"/>
    </row>
    <row r="54" hidden="1">
      <c r="A54" s="559"/>
      <c r="B54" s="560" t="str">
        <f>IFERROR(VLOOKUP(M54,'02. MM-KLH'!$B$6:$T$823,6,0),"")</f>
        <v/>
      </c>
      <c r="C54" s="561"/>
      <c r="D54" s="559" t="str">
        <f>IFERROR(VLOOKUP(M54,'02. MM-KLH'!$B$6:$T$823,16,0),"")</f>
        <v/>
      </c>
      <c r="E54" s="559"/>
      <c r="F54" s="559"/>
      <c r="G54" s="559"/>
      <c r="H54" s="559" t="str">
        <f>IFERROR(VLOOKUP(M54,'02. MM-KLH'!$B$6:$T$823,17,0),"")</f>
        <v/>
      </c>
      <c r="I54" s="562" t="str">
        <f>IFERROR(VLOOKUP(M54,'02. MM-KLH'!$B$6:$U$823,20,0),"")</f>
        <v/>
      </c>
      <c r="J54" s="560" t="str">
        <f>IFERROR(VLOOKUP(M54,'02. MM-KLH'!$B$6:$T$823,19,0),"")</f>
        <v/>
      </c>
      <c r="K54" s="560" t="str">
        <f>IFERROR(VLOOKUP(M54,'02. MM-KLH'!$B$6:$T$823,18,0),"")</f>
        <v/>
      </c>
      <c r="L54" s="559" t="str">
        <f>IFERROR(VLOOKUP(M54,'02. MM-KLH'!$B$6:$T$823,4,0),"")</f>
        <v/>
      </c>
      <c r="M54" s="463"/>
      <c r="N54" s="57" t="str">
        <f>IFERROR(VLOOKUP(M54,'02. MM-KLH'!$B$6:$T$823,15,0),"")</f>
        <v/>
      </c>
      <c r="O54" s="563" t="str">
        <f>IFERROR(VLOOKUP(M54,'02. MM-KLH'!$B$6:$T$823,9,0),"")</f>
        <v/>
      </c>
      <c r="P54" s="559"/>
      <c r="Q54" s="559"/>
      <c r="R54" s="559"/>
      <c r="S54" s="559"/>
      <c r="T54" s="559"/>
      <c r="U54" s="559" t="str">
        <f>IFERROR(VLOOKUP(M54,'02. MM-KLH'!$B$6:$T$823,2,0),"")</f>
        <v/>
      </c>
      <c r="V54" s="565" t="str">
        <f>IFERROR(VLOOKUP(M54,'02. MM-KLH'!$B$6:$T$823,8,0),"")</f>
        <v/>
      </c>
      <c r="W54" s="559"/>
      <c r="X54" s="559"/>
      <c r="Y54" s="559"/>
      <c r="Z54" s="565" t="str">
        <f>IFERROR(VLOOKUP(M54,'02. MM-KLH'!$B$6:$T$823,3,0),"")</f>
        <v/>
      </c>
      <c r="AA54" s="559"/>
      <c r="AB54" s="565"/>
      <c r="AC54" s="523"/>
    </row>
    <row r="55" hidden="1">
      <c r="A55" s="559"/>
      <c r="B55" s="560" t="str">
        <f>IFERROR(VLOOKUP(M55,'02. MM-KLH'!$B$6:$T$823,6,0),"")</f>
        <v/>
      </c>
      <c r="C55" s="561"/>
      <c r="D55" s="559" t="str">
        <f>IFERROR(VLOOKUP(M55,'02. MM-KLH'!$B$6:$T$823,16,0),"")</f>
        <v/>
      </c>
      <c r="E55" s="559"/>
      <c r="F55" s="559"/>
      <c r="G55" s="559"/>
      <c r="H55" s="559" t="str">
        <f>IFERROR(VLOOKUP(M55,'02. MM-KLH'!$B$6:$T$823,17,0),"")</f>
        <v/>
      </c>
      <c r="I55" s="562" t="str">
        <f>IFERROR(VLOOKUP(M55,'02. MM-KLH'!$B$6:$U$823,20,0),"")</f>
        <v/>
      </c>
      <c r="J55" s="560" t="str">
        <f>IFERROR(VLOOKUP(M55,'02. MM-KLH'!$B$6:$T$823,19,0),"")</f>
        <v/>
      </c>
      <c r="K55" s="560" t="str">
        <f>IFERROR(VLOOKUP(M55,'02. MM-KLH'!$B$6:$T$823,18,0),"")</f>
        <v/>
      </c>
      <c r="L55" s="559" t="str">
        <f>IFERROR(VLOOKUP(M55,'02. MM-KLH'!$B$6:$T$823,4,0),"")</f>
        <v/>
      </c>
      <c r="M55" s="463"/>
      <c r="N55" s="57" t="str">
        <f>IFERROR(VLOOKUP(M55,'02. MM-KLH'!$B$6:$T$823,15,0),"")</f>
        <v/>
      </c>
      <c r="O55" s="563" t="str">
        <f>IFERROR(VLOOKUP(M55,'02. MM-KLH'!$B$6:$T$823,9,0),"")</f>
        <v/>
      </c>
      <c r="P55" s="559"/>
      <c r="Q55" s="559"/>
      <c r="R55" s="559"/>
      <c r="S55" s="559"/>
      <c r="T55" s="559"/>
      <c r="U55" s="559" t="str">
        <f>IFERROR(VLOOKUP(M55,'02. MM-KLH'!$B$6:$T$823,2,0),"")</f>
        <v/>
      </c>
      <c r="V55" s="565" t="str">
        <f>IFERROR(VLOOKUP(M55,'02. MM-KLH'!$B$6:$T$823,8,0),"")</f>
        <v/>
      </c>
      <c r="W55" s="559"/>
      <c r="X55" s="559"/>
      <c r="Y55" s="559"/>
      <c r="Z55" s="565" t="str">
        <f>IFERROR(VLOOKUP(M55,'02. MM-KLH'!$B$6:$T$823,3,0),"")</f>
        <v/>
      </c>
      <c r="AA55" s="559"/>
      <c r="AB55" s="565"/>
      <c r="AC55" s="523"/>
    </row>
    <row r="56">
      <c r="A56" s="550">
        <v>4.0</v>
      </c>
      <c r="B56" s="551" t="s">
        <v>102</v>
      </c>
      <c r="C56" s="550">
        <f>COUNTA(B57:B65)</f>
        <v>6</v>
      </c>
      <c r="D56" s="552"/>
      <c r="E56" s="552"/>
      <c r="F56" s="552"/>
      <c r="G56" s="552"/>
      <c r="H56" s="552"/>
      <c r="I56" s="553"/>
      <c r="J56" s="554"/>
      <c r="K56" s="554"/>
      <c r="L56" s="552"/>
      <c r="M56" s="555"/>
      <c r="N56" s="552"/>
      <c r="O56" s="556"/>
      <c r="P56" s="552"/>
      <c r="Q56" s="552"/>
      <c r="R56" s="552"/>
      <c r="S56" s="552"/>
      <c r="T56" s="552"/>
      <c r="U56" s="552"/>
      <c r="V56" s="557"/>
      <c r="W56" s="552"/>
      <c r="X56" s="552"/>
      <c r="Y56" s="552"/>
      <c r="Z56" s="557"/>
      <c r="AA56" s="596"/>
      <c r="AB56" s="557"/>
      <c r="AC56" s="558"/>
    </row>
    <row r="57">
      <c r="A57" s="559"/>
      <c r="B57" s="560" t="str">
        <f>IFERROR(VLOOKUP(M57,'02. MM-KLH'!$B$6:$T$823,6,0),"")</f>
        <v>Máy đào DX140W bánh lốp gàu 0.7m3</v>
      </c>
      <c r="C57" s="561">
        <v>1.0</v>
      </c>
      <c r="D57" s="559" t="str">
        <f>IFERROR(VLOOKUP(M57,'02. MM-KLH'!$B$6:$T$823,16,0),"")</f>
        <v>DX140W</v>
      </c>
      <c r="E57" s="561" t="s">
        <v>4158</v>
      </c>
      <c r="F57" s="559"/>
      <c r="G57" s="559"/>
      <c r="H57" s="559" t="str">
        <f>IFERROR(VLOOKUP(M57,'02. MM-KLH'!$B$6:$T$823,17,0),"")</f>
        <v>133HP</v>
      </c>
      <c r="I57" s="562">
        <f>IFERROR(VLOOKUP(M57,'02. MM-KLH'!$B$6:$U$823,20,0),"")</f>
        <v>10</v>
      </c>
      <c r="J57" s="560" t="str">
        <f>IFERROR(VLOOKUP(M57,'02. MM-KLH'!$B$6:$T$823,19,0),"")</f>
        <v>CCN</v>
      </c>
      <c r="K57" s="560" t="str">
        <f>IFERROR(VLOOKUP(M57,'02. MM-KLH'!$B$6:$T$823,18,0),"")</f>
        <v>DHKCEWAAVK5008713</v>
      </c>
      <c r="L57" s="559" t="str">
        <f>IFERROR(VLOOKUP(M57,'02. MM-KLH'!$B$6:$T$823,4,0),"")</f>
        <v/>
      </c>
      <c r="M57" s="475" t="s">
        <v>98</v>
      </c>
      <c r="N57" s="57">
        <f>IFERROR(VLOOKUP(M57,'02. MM-KLH'!$B$6:$T$823,15,0),"")</f>
        <v>2019</v>
      </c>
      <c r="O57" s="563">
        <f>IFERROR(VLOOKUP(M57,'02. MM-KLH'!$B$6:$T$823,9,0),"")</f>
        <v>44110</v>
      </c>
      <c r="P57" s="559"/>
      <c r="Q57" s="588">
        <v>16627.0</v>
      </c>
      <c r="R57" s="561" t="s">
        <v>4158</v>
      </c>
      <c r="S57" s="559"/>
      <c r="T57" s="559"/>
      <c r="U57" s="559" t="str">
        <f>IFERROR(VLOOKUP(M57,'02. MM-KLH'!$B$6:$T$823,5,0),"")</f>
        <v>ĐQSD</v>
      </c>
      <c r="V57" s="565" t="str">
        <f>IFERROR(VLOOKUP(M57,'02. MM-KLH'!$B$6:$T$823,8,0),"")</f>
        <v>CGTC DP</v>
      </c>
      <c r="W57" s="559" t="str">
        <f>IFERROR(VLOOKUP(V57,'NS QUẢN LÝ CG'!$A$4:$D$36,2,0),"")</f>
        <v>Phạm Ngọc Hải</v>
      </c>
      <c r="X57" s="559" t="str">
        <f>IFERROR(VLOOKUP(V57,'NS QUẢN LÝ CG'!$A$4:$D$36,4,0),"")</f>
        <v>Lô 85 DP4</v>
      </c>
      <c r="Y57" s="559" t="str">
        <f>IFERROR(VLOOKUP(V57,'NS QUẢN LÝ CG'!$A$4:$C$36,3,0),"")</f>
        <v>0825456565</v>
      </c>
      <c r="Z57" s="565" t="str">
        <f>IFERROR(VLOOKUP(M57,'02. MM-KLH'!$B$6:$T$823,3,0),"")</f>
        <v>ATT-A23-0034</v>
      </c>
      <c r="AA57" s="561" t="s">
        <v>4312</v>
      </c>
      <c r="AB57" s="565"/>
      <c r="AC57" s="523"/>
    </row>
    <row r="58">
      <c r="A58" s="559"/>
      <c r="B58" s="560" t="str">
        <f>IFERROR(VLOOKUP(M58,'02. MM-KLH'!$B$6:$T$823,6,0),"")</f>
        <v>Máy đào DX140W bánh lốp gàu 0.7m3</v>
      </c>
      <c r="C58" s="561">
        <v>1.0</v>
      </c>
      <c r="D58" s="559" t="str">
        <f>IFERROR(VLOOKUP(M58,'02. MM-KLH'!$B$6:$T$823,16,0),"")</f>
        <v>DX140W</v>
      </c>
      <c r="E58" s="561" t="s">
        <v>4158</v>
      </c>
      <c r="F58" s="559"/>
      <c r="G58" s="559"/>
      <c r="H58" s="559" t="str">
        <f>IFERROR(VLOOKUP(M58,'02. MM-KLH'!$B$6:$T$823,17,0),"")</f>
        <v>133HP</v>
      </c>
      <c r="I58" s="562">
        <f>IFERROR(VLOOKUP(M58,'02. MM-KLH'!$B$6:$U$823,20,0),"")</f>
        <v>10</v>
      </c>
      <c r="J58" s="560" t="str">
        <f>IFERROR(VLOOKUP(M58,'02. MM-KLH'!$B$6:$T$823,19,0),"")</f>
        <v>CCN</v>
      </c>
      <c r="K58" s="560" t="str">
        <f>IFERROR(VLOOKUP(M58,'02. MM-KLH'!$B$6:$T$823,18,0),"")</f>
        <v>DHKCEWAAEK5008652</v>
      </c>
      <c r="L58" s="559" t="str">
        <f>IFERROR(VLOOKUP(M58,'02. MM-KLH'!$B$6:$T$823,4,0),"")</f>
        <v/>
      </c>
      <c r="M58" s="490" t="s">
        <v>107</v>
      </c>
      <c r="N58" s="57">
        <f>IFERROR(VLOOKUP(M58,'02. MM-KLH'!$B$6:$T$823,15,0),"")</f>
        <v>2018</v>
      </c>
      <c r="O58" s="563">
        <f>IFERROR(VLOOKUP(M58,'02. MM-KLH'!$B$6:$T$823,9,0),"")</f>
        <v>43801</v>
      </c>
      <c r="P58" s="559"/>
      <c r="Q58" s="588">
        <v>18949.0</v>
      </c>
      <c r="R58" s="561" t="s">
        <v>4158</v>
      </c>
      <c r="S58" s="559"/>
      <c r="T58" s="559"/>
      <c r="U58" s="559" t="str">
        <f>IFERROR(VLOOKUP(M58,'02. MM-KLH'!$B$6:$T$823,5,0),"")</f>
        <v>ĐQSD</v>
      </c>
      <c r="V58" s="565" t="str">
        <f>IFERROR(VLOOKUP(M58,'02. MM-KLH'!$B$6:$T$823,8,0),"")</f>
        <v>CGTC DP</v>
      </c>
      <c r="W58" s="559" t="str">
        <f>IFERROR(VLOOKUP(V58,'NS QUẢN LÝ CG'!$A$4:$D$36,2,0),"")</f>
        <v>Phạm Ngọc Hải</v>
      </c>
      <c r="X58" s="559" t="str">
        <f>IFERROR(VLOOKUP(V58,'NS QUẢN LÝ CG'!$A$4:$D$36,4,0),"")</f>
        <v>Lô 85 DP4</v>
      </c>
      <c r="Y58" s="559" t="str">
        <f>IFERROR(VLOOKUP(V58,'NS QUẢN LÝ CG'!$A$4:$C$36,3,0),"")</f>
        <v>0825456565</v>
      </c>
      <c r="Z58" s="565" t="str">
        <f>IFERROR(VLOOKUP(M58,'02. MM-KLH'!$B$6:$T$823,3,0),"")</f>
        <v>ATT-A23-0012</v>
      </c>
      <c r="AA58" s="561" t="s">
        <v>4312</v>
      </c>
      <c r="AB58" s="565"/>
      <c r="AC58" s="523"/>
    </row>
    <row r="59">
      <c r="A59" s="559"/>
      <c r="B59" s="560" t="str">
        <f>IFERROR(VLOOKUP(M59,'02. MM-KLH'!$B$6:$T$823,6,0),"")</f>
        <v>Máy đào DX140W bánh lốp gàu 0.7m3</v>
      </c>
      <c r="C59" s="561">
        <v>1.0</v>
      </c>
      <c r="D59" s="559" t="str">
        <f>IFERROR(VLOOKUP(M59,'02. MM-KLH'!$B$6:$T$823,16,0),"")</f>
        <v>DX140W</v>
      </c>
      <c r="E59" s="561" t="s">
        <v>4158</v>
      </c>
      <c r="F59" s="559"/>
      <c r="G59" s="559"/>
      <c r="H59" s="559" t="str">
        <f>IFERROR(VLOOKUP(M59,'02. MM-KLH'!$B$6:$T$823,17,0),"")</f>
        <v>133HP</v>
      </c>
      <c r="I59" s="562">
        <f>IFERROR(VLOOKUP(M59,'02. MM-KLH'!$B$6:$U$823,20,0),"")</f>
        <v>10</v>
      </c>
      <c r="J59" s="560" t="str">
        <f>IFERROR(VLOOKUP(M59,'02. MM-KLH'!$B$6:$T$823,19,0),"")</f>
        <v>DB58TIS039588EJ</v>
      </c>
      <c r="K59" s="560" t="str">
        <f>IFERROR(VLOOKUP(M59,'02. MM-KLH'!$B$6:$T$823,18,0),"")</f>
        <v>DHKCEWAAHL5008817</v>
      </c>
      <c r="L59" s="559" t="str">
        <f>IFERROR(VLOOKUP(M59,'02. MM-KLH'!$B$6:$T$823,4,0),"")</f>
        <v/>
      </c>
      <c r="M59" s="475" t="s">
        <v>289</v>
      </c>
      <c r="N59" s="57">
        <f>IFERROR(VLOOKUP(M59,'02. MM-KLH'!$B$6:$T$823,15,0),"")</f>
        <v>2020</v>
      </c>
      <c r="O59" s="563">
        <f>IFERROR(VLOOKUP(M59,'02. MM-KLH'!$B$6:$T$823,9,0),"")</f>
        <v>44197</v>
      </c>
      <c r="P59" s="559"/>
      <c r="Q59" s="597">
        <v>15387.0</v>
      </c>
      <c r="R59" s="561" t="s">
        <v>4158</v>
      </c>
      <c r="S59" s="559"/>
      <c r="T59" s="559"/>
      <c r="U59" s="559" t="str">
        <f>IFERROR(VLOOKUP(M59,'02. MM-KLH'!$B$6:$T$823,5,0),"")</f>
        <v>ĐQSD</v>
      </c>
      <c r="V59" s="565" t="str">
        <f>IFERROR(VLOOKUP(M59,'02. MM-KLH'!$B$6:$T$823,8,0),"")</f>
        <v>CGTC LP</v>
      </c>
      <c r="W59" s="559" t="str">
        <f>IFERROR(VLOOKUP(V59,'NS QUẢN LÝ CG'!$A$4:$D$36,2,0),"")</f>
        <v>Đỗ Đức Nghĩa</v>
      </c>
      <c r="X59" s="559" t="str">
        <f>IFERROR(VLOOKUP(V59,'NS QUẢN LÝ CG'!$A$4:$D$36,4,0),"")</f>
        <v>NOCN L.4-LP3</v>
      </c>
      <c r="Y59" s="559" t="str">
        <f>IFERROR(VLOOKUP(V59,'NS QUẢN LÝ CG'!$A$4:$C$36,3,0),"")</f>
        <v>0971462780</v>
      </c>
      <c r="Z59" s="565" t="str">
        <f>IFERROR(VLOOKUP(M59,'02. MM-KLH'!$B$6:$T$823,3,0),"")</f>
        <v>ATT-A24-0049</v>
      </c>
      <c r="AA59" s="561" t="s">
        <v>5046</v>
      </c>
      <c r="AB59" s="565"/>
      <c r="AC59" s="523"/>
    </row>
    <row r="60">
      <c r="A60" s="559"/>
      <c r="B60" s="560" t="str">
        <f>IFERROR(VLOOKUP(M60,'02. MM-KLH'!$B$6:$T$823,6,0),"")</f>
        <v>Máy đào DX140W bánh lốp gàu 0.7m3</v>
      </c>
      <c r="C60" s="561">
        <v>1.0</v>
      </c>
      <c r="D60" s="559" t="str">
        <f>IFERROR(VLOOKUP(M60,'02. MM-KLH'!$B$6:$T$823,16,0),"")</f>
        <v>DX140W</v>
      </c>
      <c r="E60" s="561" t="s">
        <v>4158</v>
      </c>
      <c r="F60" s="559"/>
      <c r="G60" s="559"/>
      <c r="H60" s="559" t="str">
        <f>IFERROR(VLOOKUP(M60,'02. MM-KLH'!$B$6:$T$823,17,0),"")</f>
        <v>133HP</v>
      </c>
      <c r="I60" s="562">
        <f>IFERROR(VLOOKUP(M60,'02. MM-KLH'!$B$6:$U$823,20,0),"")</f>
        <v>10</v>
      </c>
      <c r="J60" s="560" t="str">
        <f>IFERROR(VLOOKUP(M60,'02. MM-KLH'!$B$6:$T$823,19,0),"")</f>
        <v>DB58TIS039734EJ</v>
      </c>
      <c r="K60" s="560" t="str">
        <f>IFERROR(VLOOKUP(M60,'02. MM-KLH'!$B$6:$T$823,18,0),"")</f>
        <v>DHKCEWAAHL5008818</v>
      </c>
      <c r="L60" s="559" t="str">
        <f>IFERROR(VLOOKUP(M60,'02. MM-KLH'!$B$6:$T$823,4,0),"")</f>
        <v/>
      </c>
      <c r="M60" s="475" t="s">
        <v>322</v>
      </c>
      <c r="N60" s="57">
        <f>IFERROR(VLOOKUP(M60,'02. MM-KLH'!$B$6:$T$823,15,0),"")</f>
        <v>2020</v>
      </c>
      <c r="O60" s="563">
        <f>IFERROR(VLOOKUP(M60,'02. MM-KLH'!$B$6:$T$823,9,0),"")</f>
        <v>44197</v>
      </c>
      <c r="P60" s="559"/>
      <c r="Q60" s="566" t="s">
        <v>1565</v>
      </c>
      <c r="R60" s="561"/>
      <c r="S60" s="561" t="s">
        <v>4158</v>
      </c>
      <c r="T60" s="559"/>
      <c r="U60" s="559" t="str">
        <f>IFERROR(VLOOKUP(M60,'02. MM-KLH'!$B$6:$T$823,5,0),"")</f>
        <v>ĐQSD</v>
      </c>
      <c r="V60" s="565" t="str">
        <f>IFERROR(VLOOKUP(M60,'02. MM-KLH'!$B$6:$T$823,8,0),"")</f>
        <v>CGTC LP</v>
      </c>
      <c r="W60" s="559" t="str">
        <f>IFERROR(VLOOKUP(V60,'NS QUẢN LÝ CG'!$A$4:$D$36,2,0),"")</f>
        <v>Đỗ Đức Nghĩa</v>
      </c>
      <c r="X60" s="559" t="str">
        <f>IFERROR(VLOOKUP(V60,'NS QUẢN LÝ CG'!$A$4:$D$36,4,0),"")</f>
        <v>NOCN L.4-LP3</v>
      </c>
      <c r="Y60" s="559" t="str">
        <f>IFERROR(VLOOKUP(V60,'NS QUẢN LÝ CG'!$A$4:$C$36,3,0),"")</f>
        <v>0971462780</v>
      </c>
      <c r="Z60" s="565" t="str">
        <f>IFERROR(VLOOKUP(M60,'02. MM-KLH'!$B$6:$T$823,3,0),"")</f>
        <v>ATT-A24-0050</v>
      </c>
      <c r="AA60" s="561" t="s">
        <v>5046</v>
      </c>
      <c r="AB60" s="565"/>
      <c r="AC60" s="523"/>
    </row>
    <row r="61">
      <c r="A61" s="559"/>
      <c r="B61" s="560" t="str">
        <f>IFERROR(VLOOKUP(M61,'02. MM-KLH'!$B$6:$T$823,6,0),"")</f>
        <v>Máy đào DX140W bánh lốp gàu 0.7m3</v>
      </c>
      <c r="C61" s="561">
        <v>1.0</v>
      </c>
      <c r="D61" s="559" t="str">
        <f>IFERROR(VLOOKUP(M61,'02. MM-KLH'!$B$6:$T$823,16,0),"")</f>
        <v>DX140W</v>
      </c>
      <c r="E61" s="561" t="s">
        <v>4158</v>
      </c>
      <c r="F61" s="559"/>
      <c r="G61" s="559"/>
      <c r="H61" s="559" t="str">
        <f>IFERROR(VLOOKUP(M61,'02. MM-KLH'!$B$6:$T$823,17,0),"")</f>
        <v>133HP</v>
      </c>
      <c r="I61" s="562">
        <f>IFERROR(VLOOKUP(M61,'02. MM-KLH'!$B$6:$U$823,20,0),"")</f>
        <v>10</v>
      </c>
      <c r="J61" s="560" t="str">
        <f>IFERROR(VLOOKUP(M61,'02. MM-KLH'!$B$6:$T$823,19,0),"")</f>
        <v>DB58TIS039733EJ</v>
      </c>
      <c r="K61" s="560" t="str">
        <f>IFERROR(VLOOKUP(M61,'02. MM-KLH'!$B$6:$T$823,18,0),"")</f>
        <v>DHKCEWAAHL5008819</v>
      </c>
      <c r="L61" s="559" t="str">
        <f>IFERROR(VLOOKUP(M61,'02. MM-KLH'!$B$6:$T$823,4,0),"")</f>
        <v/>
      </c>
      <c r="M61" s="463" t="s">
        <v>354</v>
      </c>
      <c r="N61" s="57">
        <f>IFERROR(VLOOKUP(M61,'02. MM-KLH'!$B$6:$T$823,15,0),"")</f>
        <v>2020</v>
      </c>
      <c r="O61" s="563" t="str">
        <f>IFERROR(VLOOKUP(M61,'02. MM-KLH'!$B$6:$T$823,9,0),"")</f>
        <v>14/09/2020</v>
      </c>
      <c r="P61" s="269"/>
      <c r="Q61" s="594">
        <v>16967.0</v>
      </c>
      <c r="R61" s="561" t="s">
        <v>4158</v>
      </c>
      <c r="S61" s="559"/>
      <c r="T61" s="559"/>
      <c r="U61" s="559" t="str">
        <f>IFERROR(VLOOKUP(M61,'02. MM-KLH'!$B$6:$T$823,5,0),"")</f>
        <v>ĐQSD</v>
      </c>
      <c r="V61" s="565" t="str">
        <f>IFERROR(VLOOKUP(M61,'02. MM-KLH'!$B$6:$T$823,8,0),"")</f>
        <v>CGTC AD</v>
      </c>
      <c r="W61" s="559" t="str">
        <f>IFERROR(VLOOKUP(V61,'NS QUẢN LÝ CG'!$A$4:$D$36,2,0),"")</f>
        <v>Vũ Trung Kiên</v>
      </c>
      <c r="X61" s="559" t="str">
        <f>IFERROR(VLOOKUP(V61,'NS QUẢN LÝ CG'!$A$4:$D$36,4,0),"")</f>
        <v>Lô 73 ADM</v>
      </c>
      <c r="Y61" s="559" t="str">
        <f>IFERROR(VLOOKUP(V61,'NS QUẢN LÝ CG'!$A$4:$C$36,3,0),"")</f>
        <v>0981761677</v>
      </c>
      <c r="Z61" s="565" t="str">
        <f>IFERROR(VLOOKUP(M61,'02. MM-KLH'!$B$6:$T$823,3,0),"")</f>
        <v>ATT-A22-0120</v>
      </c>
      <c r="AA61" s="561" t="s">
        <v>4462</v>
      </c>
      <c r="AB61" s="565"/>
      <c r="AC61" s="523"/>
    </row>
    <row r="62">
      <c r="A62" s="559"/>
      <c r="B62" s="560" t="str">
        <f>IFERROR(VLOOKUP(M62,'02. MM-KLH'!$B$6:$T$823,6,0),"")</f>
        <v>Máy đào DX140W bánh lốp gàu 0.7m3</v>
      </c>
      <c r="C62" s="561">
        <v>1.0</v>
      </c>
      <c r="D62" s="559" t="str">
        <f>IFERROR(VLOOKUP(M62,'02. MM-KLH'!$B$6:$T$823,16,0),"")</f>
        <v>DX140W</v>
      </c>
      <c r="E62" s="561" t="s">
        <v>4158</v>
      </c>
      <c r="F62" s="559"/>
      <c r="G62" s="559"/>
      <c r="H62" s="559" t="str">
        <f>IFERROR(VLOOKUP(M62,'02. MM-KLH'!$B$6:$T$823,17,0),"")</f>
        <v>133HP</v>
      </c>
      <c r="I62" s="562">
        <f>IFERROR(VLOOKUP(M62,'02. MM-KLH'!$B$6:$U$823,20,0),"")</f>
        <v>10</v>
      </c>
      <c r="J62" s="560" t="str">
        <f>IFERROR(VLOOKUP(M62,'02. MM-KLH'!$B$6:$T$823,19,0),"")</f>
        <v>DB58TIS039729EJ</v>
      </c>
      <c r="K62" s="560" t="str">
        <f>IFERROR(VLOOKUP(M62,'02. MM-KLH'!$B$6:$T$823,18,0),"")</f>
        <v>DHKCEWAASL5008820</v>
      </c>
      <c r="L62" s="559" t="str">
        <f>IFERROR(VLOOKUP(M62,'02. MM-KLH'!$B$6:$T$823,4,0),"")</f>
        <v/>
      </c>
      <c r="M62" s="463" t="s">
        <v>377</v>
      </c>
      <c r="N62" s="57">
        <f>IFERROR(VLOOKUP(M62,'02. MM-KLH'!$B$6:$T$823,15,0),"")</f>
        <v>2020</v>
      </c>
      <c r="O62" s="563" t="str">
        <f>IFERROR(VLOOKUP(M62,'02. MM-KLH'!$B$6:$T$823,9,0),"")</f>
        <v>14/09/2020</v>
      </c>
      <c r="P62" s="269"/>
      <c r="Q62" s="594">
        <v>16775.0</v>
      </c>
      <c r="R62" s="561"/>
      <c r="S62" s="561" t="s">
        <v>4158</v>
      </c>
      <c r="T62" s="559"/>
      <c r="U62" s="559" t="str">
        <f>IFERROR(VLOOKUP(M62,'02. MM-KLH'!$B$6:$T$823,5,0),"")</f>
        <v>ĐQSD</v>
      </c>
      <c r="V62" s="565" t="str">
        <f>IFERROR(VLOOKUP(M62,'02. MM-KLH'!$B$6:$T$823,8,0),"")</f>
        <v>CGTC AD</v>
      </c>
      <c r="W62" s="559" t="str">
        <f>IFERROR(VLOOKUP(V62,'NS QUẢN LÝ CG'!$A$4:$D$36,2,0),"")</f>
        <v>Vũ Trung Kiên</v>
      </c>
      <c r="X62" s="559" t="str">
        <f>IFERROR(VLOOKUP(V62,'NS QUẢN LÝ CG'!$A$4:$D$36,4,0),"")</f>
        <v>Lô 73 ADM</v>
      </c>
      <c r="Y62" s="559" t="str">
        <f>IFERROR(VLOOKUP(V62,'NS QUẢN LÝ CG'!$A$4:$C$36,3,0),"")</f>
        <v>0981761677</v>
      </c>
      <c r="Z62" s="565" t="str">
        <f>IFERROR(VLOOKUP(M62,'02. MM-KLH'!$B$6:$T$823,3,0),"")</f>
        <v>ATT-A22-0120</v>
      </c>
      <c r="AA62" s="561" t="s">
        <v>4462</v>
      </c>
      <c r="AB62" s="565"/>
      <c r="AC62" s="523"/>
    </row>
    <row r="63">
      <c r="A63" s="559"/>
      <c r="B63" s="560" t="str">
        <f>IFERROR(VLOOKUP(M63,'02. MM-KLH'!$B$6:$T$823,6,0),"")</f>
        <v/>
      </c>
      <c r="C63" s="561"/>
      <c r="D63" s="559" t="str">
        <f>IFERROR(VLOOKUP(M63,'02. MM-KLH'!$B$6:$T$823,16,0),"")</f>
        <v/>
      </c>
      <c r="E63" s="559"/>
      <c r="F63" s="559"/>
      <c r="G63" s="559"/>
      <c r="H63" s="559" t="str">
        <f>IFERROR(VLOOKUP(M63,'02. MM-KLH'!$B$6:$T$823,17,0),"")</f>
        <v/>
      </c>
      <c r="I63" s="562" t="str">
        <f>IFERROR(VLOOKUP(M63,'02. MM-KLH'!$B$6:$U$823,20,0),"")</f>
        <v/>
      </c>
      <c r="J63" s="560" t="str">
        <f>IFERROR(VLOOKUP(M63,'02. MM-KLH'!$B$6:$T$823,19,0),"")</f>
        <v/>
      </c>
      <c r="K63" s="560" t="str">
        <f>IFERROR(VLOOKUP(M63,'02. MM-KLH'!$B$6:$T$823,18,0),"")</f>
        <v/>
      </c>
      <c r="L63" s="559" t="str">
        <f>IFERROR(VLOOKUP(M63,'02. MM-KLH'!$B$6:$T$823,4,0),"")</f>
        <v/>
      </c>
      <c r="M63" s="463"/>
      <c r="N63" s="57" t="str">
        <f>IFERROR(VLOOKUP(M63,'02. MM-KLH'!$B$6:$T$823,15,0),"")</f>
        <v/>
      </c>
      <c r="O63" s="563" t="str">
        <f>IFERROR(VLOOKUP(M63,'02. MM-KLH'!$B$6:$T$823,9,0),"")</f>
        <v/>
      </c>
      <c r="P63" s="559"/>
      <c r="Q63" s="559"/>
      <c r="R63" s="559"/>
      <c r="S63" s="559"/>
      <c r="T63" s="559"/>
      <c r="U63" s="559" t="str">
        <f>IFERROR(VLOOKUP(M63,'02. MM-KLH'!$B$6:$T$823,2,0),"")</f>
        <v/>
      </c>
      <c r="V63" s="565" t="str">
        <f>IFERROR(VLOOKUP(M63,'02. MM-KLH'!$B$6:$T$823,8,0),"")</f>
        <v/>
      </c>
      <c r="W63" s="559" t="str">
        <f>IFERROR(VLOOKUP(V63,'NS QUẢN LÝ CG'!$A$4:$D$36,2,0),"")</f>
        <v/>
      </c>
      <c r="X63" s="559" t="str">
        <f>IFERROR(VLOOKUP(V63,'NS QUẢN LÝ CG'!$A$4:$D$36,4,0),"")</f>
        <v/>
      </c>
      <c r="Y63" s="559"/>
      <c r="Z63" s="565" t="str">
        <f>IFERROR(VLOOKUP(M63,'02. MM-KLH'!$B$6:$T$823,3,0),"")</f>
        <v/>
      </c>
      <c r="AA63" s="559"/>
      <c r="AB63" s="565"/>
      <c r="AC63" s="523"/>
    </row>
    <row r="64" hidden="1">
      <c r="A64" s="559"/>
      <c r="B64" s="560" t="str">
        <f>IFERROR(VLOOKUP(M64,'02. MM-KLH'!$B$6:$T$823,6,0),"")</f>
        <v/>
      </c>
      <c r="C64" s="561"/>
      <c r="D64" s="559" t="str">
        <f>IFERROR(VLOOKUP(M64,'02. MM-KLH'!$B$6:$T$823,16,0),"")</f>
        <v/>
      </c>
      <c r="E64" s="559"/>
      <c r="F64" s="559"/>
      <c r="G64" s="559"/>
      <c r="H64" s="559" t="str">
        <f>IFERROR(VLOOKUP(M64,'02. MM-KLH'!$B$6:$T$823,17,0),"")</f>
        <v/>
      </c>
      <c r="I64" s="562" t="str">
        <f>IFERROR(VLOOKUP(M64,'02. MM-KLH'!$B$6:$U$823,20,0),"")</f>
        <v/>
      </c>
      <c r="J64" s="560" t="str">
        <f>IFERROR(VLOOKUP(M64,'02. MM-KLH'!$B$6:$T$823,19,0),"")</f>
        <v/>
      </c>
      <c r="K64" s="560" t="str">
        <f>IFERROR(VLOOKUP(M64,'02. MM-KLH'!$B$6:$T$823,18,0),"")</f>
        <v/>
      </c>
      <c r="L64" s="559" t="str">
        <f>IFERROR(VLOOKUP(M64,'02. MM-KLH'!$B$6:$T$823,4,0),"")</f>
        <v/>
      </c>
      <c r="M64" s="463"/>
      <c r="N64" s="57" t="str">
        <f>IFERROR(VLOOKUP(M64,'02. MM-KLH'!$B$6:$T$823,15,0),"")</f>
        <v/>
      </c>
      <c r="O64" s="563" t="str">
        <f>IFERROR(VLOOKUP(M64,'02. MM-KLH'!$B$6:$T$823,9,0),"")</f>
        <v/>
      </c>
      <c r="P64" s="559"/>
      <c r="Q64" s="559"/>
      <c r="R64" s="559"/>
      <c r="S64" s="559"/>
      <c r="T64" s="559"/>
      <c r="U64" s="559" t="str">
        <f>IFERROR(VLOOKUP(M64,'02. MM-KLH'!$B$6:$T$823,2,0),"")</f>
        <v/>
      </c>
      <c r="V64" s="565" t="str">
        <f>IFERROR(VLOOKUP(M64,'02. MM-KLH'!$B$6:$T$823,8,0),"")</f>
        <v/>
      </c>
      <c r="W64" s="559"/>
      <c r="X64" s="559"/>
      <c r="Y64" s="559"/>
      <c r="Z64" s="565" t="str">
        <f>IFERROR(VLOOKUP(M64,'02. MM-KLH'!$B$6:$T$823,3,0),"")</f>
        <v/>
      </c>
      <c r="AA64" s="559"/>
      <c r="AB64" s="565"/>
      <c r="AC64" s="523"/>
    </row>
    <row r="65" hidden="1">
      <c r="A65" s="559"/>
      <c r="B65" s="560" t="str">
        <f>IFERROR(VLOOKUP(M65,'02. MM-KLH'!$B$6:$T$823,6,0),"")</f>
        <v/>
      </c>
      <c r="C65" s="561"/>
      <c r="D65" s="559" t="str">
        <f>IFERROR(VLOOKUP(M65,'02. MM-KLH'!$B$6:$T$823,16,0),"")</f>
        <v/>
      </c>
      <c r="E65" s="559"/>
      <c r="F65" s="559"/>
      <c r="G65" s="559"/>
      <c r="H65" s="559" t="str">
        <f>IFERROR(VLOOKUP(M65,'02. MM-KLH'!$B$6:$T$823,17,0),"")</f>
        <v/>
      </c>
      <c r="I65" s="562" t="str">
        <f>IFERROR(VLOOKUP(M65,'02. MM-KLH'!$B$6:$U$823,20,0),"")</f>
        <v/>
      </c>
      <c r="J65" s="560" t="str">
        <f>IFERROR(VLOOKUP(M65,'02. MM-KLH'!$B$6:$T$823,19,0),"")</f>
        <v/>
      </c>
      <c r="K65" s="560" t="str">
        <f>IFERROR(VLOOKUP(M65,'02. MM-KLH'!$B$6:$T$823,18,0),"")</f>
        <v/>
      </c>
      <c r="L65" s="559" t="str">
        <f>IFERROR(VLOOKUP(M65,'02. MM-KLH'!$B$6:$T$823,4,0),"")</f>
        <v/>
      </c>
      <c r="M65" s="463"/>
      <c r="N65" s="57" t="str">
        <f>IFERROR(VLOOKUP(M65,'02. MM-KLH'!$B$6:$T$823,15,0),"")</f>
        <v/>
      </c>
      <c r="O65" s="563" t="str">
        <f>IFERROR(VLOOKUP(M65,'02. MM-KLH'!$B$6:$T$823,9,0),"")</f>
        <v/>
      </c>
      <c r="P65" s="559"/>
      <c r="Q65" s="559"/>
      <c r="R65" s="559"/>
      <c r="S65" s="559"/>
      <c r="T65" s="559"/>
      <c r="U65" s="559" t="str">
        <f>IFERROR(VLOOKUP(M65,'02. MM-KLH'!$B$6:$T$823,2,0),"")</f>
        <v/>
      </c>
      <c r="V65" s="565" t="str">
        <f>IFERROR(VLOOKUP(M65,'02. MM-KLH'!$B$6:$T$823,8,0),"")</f>
        <v/>
      </c>
      <c r="W65" s="559"/>
      <c r="X65" s="559"/>
      <c r="Y65" s="559"/>
      <c r="Z65" s="565" t="str">
        <f>IFERROR(VLOOKUP(M65,'02. MM-KLH'!$B$6:$T$823,3,0),"")</f>
        <v/>
      </c>
      <c r="AA65" s="559"/>
      <c r="AB65" s="565"/>
      <c r="AC65" s="523"/>
    </row>
    <row r="66">
      <c r="A66" s="550">
        <v>5.0</v>
      </c>
      <c r="B66" s="551" t="s">
        <v>454</v>
      </c>
      <c r="C66" s="550">
        <f>COUNTA(B67:B73)</f>
        <v>4</v>
      </c>
      <c r="D66" s="552"/>
      <c r="E66" s="552"/>
      <c r="F66" s="552"/>
      <c r="G66" s="552"/>
      <c r="H66" s="552"/>
      <c r="I66" s="553"/>
      <c r="J66" s="554"/>
      <c r="K66" s="554"/>
      <c r="L66" s="552"/>
      <c r="M66" s="555"/>
      <c r="N66" s="552"/>
      <c r="O66" s="556"/>
      <c r="P66" s="552"/>
      <c r="Q66" s="552"/>
      <c r="R66" s="552"/>
      <c r="S66" s="552"/>
      <c r="T66" s="552"/>
      <c r="U66" s="552"/>
      <c r="V66" s="557"/>
      <c r="W66" s="552"/>
      <c r="X66" s="552"/>
      <c r="Y66" s="552"/>
      <c r="Z66" s="557"/>
      <c r="AA66" s="552"/>
      <c r="AB66" s="557"/>
      <c r="AC66" s="558"/>
    </row>
    <row r="67">
      <c r="A67" s="559"/>
      <c r="B67" s="560" t="str">
        <f>IFERROR(VLOOKUP(M67,'02. MM-KLH'!$B$6:$T$823,6,0),"")</f>
        <v>Máy đào U35 bánh xích gàu 0.3m3</v>
      </c>
      <c r="C67" s="561">
        <v>1.0</v>
      </c>
      <c r="D67" s="559" t="str">
        <f>IFERROR(VLOOKUP(M67,'02. MM-KLH'!$B$6:$T$823,16,0),"")</f>
        <v>U35-6</v>
      </c>
      <c r="E67" s="561" t="s">
        <v>4158</v>
      </c>
      <c r="F67" s="559"/>
      <c r="G67" s="559"/>
      <c r="H67" s="559" t="str">
        <f>IFERROR(VLOOKUP(M67,'02. MM-KLH'!$B$6:$T$823,17,0),"")</f>
        <v>32HP</v>
      </c>
      <c r="I67" s="562">
        <f>IFERROR(VLOOKUP(M67,'02. MM-KLH'!$B$6:$U$823,20,0),"")</f>
        <v>4</v>
      </c>
      <c r="J67" s="560" t="str">
        <f>IFERROR(VLOOKUP(M67,'02. MM-KLH'!$B$6:$T$823,19,0),"")</f>
        <v>CCN</v>
      </c>
      <c r="K67" s="560">
        <f>IFERROR(VLOOKUP(M67,'02. MM-KLH'!$B$6:$T$823,18,0),"")</f>
        <v>60432</v>
      </c>
      <c r="L67" s="559" t="str">
        <f>IFERROR(VLOOKUP(M67,'02. MM-KLH'!$B$6:$T$823,4,0),"")</f>
        <v/>
      </c>
      <c r="M67" s="488" t="s">
        <v>450</v>
      </c>
      <c r="N67" s="57">
        <f>IFERROR(VLOOKUP(M67,'02. MM-KLH'!$B$6:$T$823,15,0),"")</f>
        <v>2015</v>
      </c>
      <c r="O67" s="563" t="str">
        <f>IFERROR(VLOOKUP(M67,'02. MM-KLH'!$B$6:$T$823,9,0),"")</f>
        <v/>
      </c>
      <c r="P67" s="559"/>
      <c r="Q67" s="566" t="s">
        <v>1565</v>
      </c>
      <c r="R67" s="559"/>
      <c r="S67" s="559"/>
      <c r="T67" s="559"/>
      <c r="U67" s="559" t="str">
        <f>IFERROR(VLOOKUP(M67,'02. MM-KLH'!$B$6:$T$823,5,0),"")</f>
        <v>ĐQSD</v>
      </c>
      <c r="V67" s="565" t="str">
        <f>IFERROR(VLOOKUP(M67,'02. MM-KLH'!$B$6:$T$823,8,0),"")</f>
        <v>CGTC LP</v>
      </c>
      <c r="W67" s="559" t="str">
        <f>IFERROR(VLOOKUP(V67,'NS QUẢN LÝ CG'!$A$4:$D$36,2,0),"")</f>
        <v>Đỗ Đức Nghĩa</v>
      </c>
      <c r="X67" s="559" t="str">
        <f>IFERROR(VLOOKUP(V67,'NS QUẢN LÝ CG'!$A$4:$D$36,4,0),"")</f>
        <v>NOCN L.4-LP3</v>
      </c>
      <c r="Y67" s="559" t="str">
        <f>IFERROR(VLOOKUP(V67,'NS QUẢN LÝ CG'!$A$4:$C$36,3,0),"")</f>
        <v>0971462780</v>
      </c>
      <c r="Z67" s="565" t="str">
        <f>IFERROR(VLOOKUP(M67,'02. MM-KLH'!$B$6:$T$823,3,0),"")</f>
        <v/>
      </c>
      <c r="AA67" s="559" t="str">
        <f>SWITCH(LEFT(Z67,3),"A22","ADM","A23","DP","A24","LP","")</f>
        <v/>
      </c>
      <c r="AB67" s="565"/>
      <c r="AC67" s="523"/>
    </row>
    <row r="68">
      <c r="A68" s="559"/>
      <c r="B68" s="560" t="str">
        <f>IFERROR(VLOOKUP(M68,'02. MM-KLH'!$B$6:$T$823,6,0),"")</f>
        <v>Máy đào U35 bánh xích gàu 0.3m3</v>
      </c>
      <c r="C68" s="561">
        <v>1.0</v>
      </c>
      <c r="D68" s="559" t="str">
        <f>IFERROR(VLOOKUP(M68,'02. MM-KLH'!$B$6:$T$823,16,0),"")</f>
        <v>U35-6</v>
      </c>
      <c r="E68" s="561" t="s">
        <v>4158</v>
      </c>
      <c r="F68" s="559"/>
      <c r="G68" s="559"/>
      <c r="H68" s="559" t="str">
        <f>IFERROR(VLOOKUP(M68,'02. MM-KLH'!$B$6:$T$823,17,0),"")</f>
        <v>32HP</v>
      </c>
      <c r="I68" s="562">
        <f>IFERROR(VLOOKUP(M68,'02. MM-KLH'!$B$6:$U$823,20,0),"")</f>
        <v>4</v>
      </c>
      <c r="J68" s="560" t="str">
        <f>IFERROR(VLOOKUP(M68,'02. MM-KLH'!$B$6:$T$823,19,0),"")</f>
        <v>7HN2997</v>
      </c>
      <c r="K68" s="560" t="str">
        <f>IFERROR(VLOOKUP(M68,'02. MM-KLH'!$B$6:$T$823,18,0),"")</f>
        <v>JKUU0356H01H60283</v>
      </c>
      <c r="L68" s="559" t="str">
        <f>IFERROR(VLOOKUP(M68,'02. MM-KLH'!$B$6:$T$823,4,0),"")</f>
        <v/>
      </c>
      <c r="M68" s="463" t="s">
        <v>594</v>
      </c>
      <c r="N68" s="57">
        <f>IFERROR(VLOOKUP(M68,'02. MM-KLH'!$B$6:$T$823,15,0),"")</f>
        <v>2015</v>
      </c>
      <c r="O68" s="563" t="str">
        <f>IFERROR(VLOOKUP(M68,'02. MM-KLH'!$B$6:$T$823,9,0),"")</f>
        <v/>
      </c>
      <c r="P68" s="559"/>
      <c r="Q68" s="566" t="s">
        <v>1565</v>
      </c>
      <c r="R68" s="559"/>
      <c r="S68" s="559"/>
      <c r="T68" s="561" t="s">
        <v>4158</v>
      </c>
      <c r="U68" s="559" t="str">
        <f>IFERROR(VLOOKUP(M68,'02. MM-KLH'!$B$6:$T$823,5,0),"")</f>
        <v>ĐQSD</v>
      </c>
      <c r="V68" s="565" t="str">
        <f>IFERROR(VLOOKUP(M68,'02. MM-KLH'!$B$6:$T$823,8,0),"")</f>
        <v>CGTC AD</v>
      </c>
      <c r="W68" s="559" t="str">
        <f>IFERROR(VLOOKUP(V68,'NS QUẢN LÝ CG'!$A$4:$D$36,2,0),"")</f>
        <v>Vũ Trung Kiên</v>
      </c>
      <c r="X68" s="559" t="str">
        <f>IFERROR(VLOOKUP(V68,'NS QUẢN LÝ CG'!$A$4:$D$36,4,0),"")</f>
        <v>Lô 73 ADM</v>
      </c>
      <c r="Y68" s="559" t="str">
        <f>IFERROR(VLOOKUP(V68,'NS QUẢN LÝ CG'!$A$4:$C$36,3,0),"")</f>
        <v>0981761677</v>
      </c>
      <c r="Z68" s="565" t="str">
        <f>IFERROR(VLOOKUP(M68,'02. MM-KLH'!$B$6:$T$823,3,0),"")</f>
        <v>ATM-A22-0018</v>
      </c>
      <c r="AA68" s="561" t="s">
        <v>4462</v>
      </c>
      <c r="AB68" s="565"/>
      <c r="AC68" s="523"/>
    </row>
    <row r="69">
      <c r="A69" s="559"/>
      <c r="B69" s="560" t="str">
        <f>IFERROR(VLOOKUP(M69,'02. MM-KLH'!$B$6:$T$823,6,0),"")</f>
        <v>Máy đào U35 bánh xích gàu 0.3m3</v>
      </c>
      <c r="C69" s="561">
        <v>1.0</v>
      </c>
      <c r="D69" s="559" t="str">
        <f>IFERROR(VLOOKUP(M69,'02. MM-KLH'!$B$6:$T$823,16,0),"")</f>
        <v>U35-6</v>
      </c>
      <c r="E69" s="561" t="s">
        <v>4158</v>
      </c>
      <c r="F69" s="559"/>
      <c r="G69" s="559"/>
      <c r="H69" s="559" t="str">
        <f>IFERROR(VLOOKUP(M69,'02. MM-KLH'!$B$6:$T$823,17,0),"")</f>
        <v>32HP</v>
      </c>
      <c r="I69" s="562">
        <f>IFERROR(VLOOKUP(M69,'02. MM-KLH'!$B$6:$U$823,20,0),"")</f>
        <v>4</v>
      </c>
      <c r="J69" s="560" t="str">
        <f>IFERROR(VLOOKUP(M69,'02. MM-KLH'!$B$6:$T$823,19,0),"")</f>
        <v>7HR1204</v>
      </c>
      <c r="K69" s="560" t="str">
        <f>IFERROR(VLOOKUP(M69,'02. MM-KLH'!$B$6:$T$823,18,0),"")</f>
        <v>JKUU0356H01H60431</v>
      </c>
      <c r="L69" s="559" t="str">
        <f>IFERROR(VLOOKUP(M69,'02. MM-KLH'!$B$6:$T$823,4,0),"")</f>
        <v/>
      </c>
      <c r="M69" s="463" t="s">
        <v>599</v>
      </c>
      <c r="N69" s="57">
        <f>IFERROR(VLOOKUP(M69,'02. MM-KLH'!$B$6:$T$823,15,0),"")</f>
        <v>2015</v>
      </c>
      <c r="O69" s="563" t="str">
        <f>IFERROR(VLOOKUP(M69,'02. MM-KLH'!$B$6:$T$823,9,0),"")</f>
        <v/>
      </c>
      <c r="P69" s="559"/>
      <c r="Q69" s="566" t="s">
        <v>1565</v>
      </c>
      <c r="R69" s="559"/>
      <c r="S69" s="559"/>
      <c r="T69" s="561" t="s">
        <v>4158</v>
      </c>
      <c r="U69" s="559" t="str">
        <f>IFERROR(VLOOKUP(M69,'02. MM-KLH'!$B$6:$T$823,5,0),"")</f>
        <v>ĐQSD</v>
      </c>
      <c r="V69" s="565" t="str">
        <f>IFERROR(VLOOKUP(M69,'02. MM-KLH'!$B$6:$T$823,8,0),"")</f>
        <v>CGTC AD</v>
      </c>
      <c r="W69" s="559" t="str">
        <f>IFERROR(VLOOKUP(V69,'NS QUẢN LÝ CG'!$A$4:$D$36,2,0),"")</f>
        <v>Vũ Trung Kiên</v>
      </c>
      <c r="X69" s="559" t="str">
        <f>IFERROR(VLOOKUP(V69,'NS QUẢN LÝ CG'!$A$4:$D$36,4,0),"")</f>
        <v>Lô 73 ADM</v>
      </c>
      <c r="Y69" s="559" t="str">
        <f>IFERROR(VLOOKUP(V69,'NS QUẢN LÝ CG'!$A$4:$C$36,3,0),"")</f>
        <v>0981761677</v>
      </c>
      <c r="Z69" s="565" t="str">
        <f>IFERROR(VLOOKUP(M69,'02. MM-KLH'!$B$6:$T$823,3,0),"")</f>
        <v>ATM-A22-0018</v>
      </c>
      <c r="AA69" s="561" t="s">
        <v>4462</v>
      </c>
      <c r="AB69" s="565"/>
      <c r="AC69" s="523"/>
    </row>
    <row r="70">
      <c r="A70" s="559"/>
      <c r="B70" s="560" t="str">
        <f>IFERROR(VLOOKUP(M70,'02. MM-KLH'!$B$6:$T$823,6,0),"")</f>
        <v>Máy đào U35 bánh xích gàu 0.3m3</v>
      </c>
      <c r="C70" s="561">
        <v>1.0</v>
      </c>
      <c r="D70" s="559" t="str">
        <f>IFERROR(VLOOKUP(M70,'02. MM-KLH'!$B$6:$T$823,16,0),"")</f>
        <v>U35-6</v>
      </c>
      <c r="E70" s="561" t="s">
        <v>4158</v>
      </c>
      <c r="F70" s="559"/>
      <c r="G70" s="559"/>
      <c r="H70" s="559" t="str">
        <f>IFERROR(VLOOKUP(M70,'02. MM-KLH'!$B$6:$T$823,17,0),"")</f>
        <v>32HP</v>
      </c>
      <c r="I70" s="562">
        <f>IFERROR(VLOOKUP(M70,'02. MM-KLH'!$B$6:$U$823,20,0),"")</f>
        <v>4</v>
      </c>
      <c r="J70" s="560" t="str">
        <f>IFERROR(VLOOKUP(M70,'02. MM-KLH'!$B$6:$T$823,19,0),"")</f>
        <v>7HL9269</v>
      </c>
      <c r="K70" s="560" t="str">
        <f>IFERROR(VLOOKUP(M70,'02. MM-KLH'!$B$6:$T$823,18,0),"")</f>
        <v>JKUU0356V01H60277</v>
      </c>
      <c r="L70" s="559" t="str">
        <f>IFERROR(VLOOKUP(M70,'02. MM-KLH'!$B$6:$T$823,4,0),"")</f>
        <v/>
      </c>
      <c r="M70" s="488" t="s">
        <v>604</v>
      </c>
      <c r="N70" s="57">
        <f>IFERROR(VLOOKUP(M70,'02. MM-KLH'!$B$6:$T$823,15,0),"")</f>
        <v>2015</v>
      </c>
      <c r="O70" s="563">
        <f>IFERROR(VLOOKUP(M70,'02. MM-KLH'!$B$6:$T$823,9,0),"")</f>
        <v>45512</v>
      </c>
      <c r="P70" s="559"/>
      <c r="Q70" s="566" t="s">
        <v>1565</v>
      </c>
      <c r="R70" s="559"/>
      <c r="S70" s="559"/>
      <c r="T70" s="561" t="s">
        <v>4158</v>
      </c>
      <c r="U70" s="559" t="str">
        <f>IFERROR(VLOOKUP(M70,'02. MM-KLH'!$B$6:$T$823,5,0),"")</f>
        <v>ĐQSD</v>
      </c>
      <c r="V70" s="565" t="str">
        <f>IFERROR(VLOOKUP(M70,'02. MM-KLH'!$B$6:$T$823,8,0),"")</f>
        <v>CGTC AD</v>
      </c>
      <c r="W70" s="559" t="str">
        <f>IFERROR(VLOOKUP(V70,'NS QUẢN LÝ CG'!$A$4:$D$36,2,0),"")</f>
        <v>Vũ Trung Kiên</v>
      </c>
      <c r="X70" s="559" t="str">
        <f>IFERROR(VLOOKUP(V70,'NS QUẢN LÝ CG'!$A$4:$D$36,4,0),"")</f>
        <v>Lô 73 ADM</v>
      </c>
      <c r="Y70" s="559" t="str">
        <f>IFERROR(VLOOKUP(V70,'NS QUẢN LÝ CG'!$A$4:$C$36,3,0),"")</f>
        <v>0981761677</v>
      </c>
      <c r="Z70" s="565" t="str">
        <f>IFERROR(VLOOKUP(M70,'02. MM-KLH'!$B$6:$T$823,3,0),"")</f>
        <v>A22-MĐA-061</v>
      </c>
      <c r="AA70" s="559" t="str">
        <f>SWITCH(LEFT(Z70,3),"A22","ADM","A23","DP","A24","LP","")</f>
        <v>ADM</v>
      </c>
      <c r="AB70" s="565"/>
      <c r="AC70" s="523"/>
    </row>
    <row r="71">
      <c r="A71" s="559"/>
      <c r="B71" s="560"/>
      <c r="C71" s="561"/>
      <c r="D71" s="559"/>
      <c r="E71" s="559"/>
      <c r="F71" s="559"/>
      <c r="G71" s="559"/>
      <c r="H71" s="559"/>
      <c r="I71" s="562"/>
      <c r="J71" s="560"/>
      <c r="K71" s="560"/>
      <c r="L71" s="559"/>
      <c r="M71" s="488"/>
      <c r="N71" s="57"/>
      <c r="O71" s="563"/>
      <c r="P71" s="559"/>
      <c r="Q71" s="559"/>
      <c r="R71" s="559"/>
      <c r="S71" s="559"/>
      <c r="T71" s="559"/>
      <c r="U71" s="559"/>
      <c r="V71" s="565"/>
      <c r="W71" s="559" t="str">
        <f>IFERROR(VLOOKUP(V71,'NS QUẢN LÝ CG'!$A$4:$D$36,2,0),"")</f>
        <v/>
      </c>
      <c r="X71" s="559" t="str">
        <f>IFERROR(VLOOKUP(V71,'NS QUẢN LÝ CG'!$A$4:$D$36,4,0),"")</f>
        <v/>
      </c>
      <c r="Y71" s="559"/>
      <c r="Z71" s="565"/>
      <c r="AA71" s="559"/>
      <c r="AB71" s="565"/>
      <c r="AC71" s="523"/>
    </row>
    <row r="72" hidden="1">
      <c r="A72" s="559"/>
      <c r="B72" s="560"/>
      <c r="C72" s="561"/>
      <c r="D72" s="559"/>
      <c r="E72" s="559"/>
      <c r="F72" s="559"/>
      <c r="G72" s="559"/>
      <c r="H72" s="559"/>
      <c r="I72" s="562"/>
      <c r="J72" s="560"/>
      <c r="K72" s="560"/>
      <c r="L72" s="559"/>
      <c r="M72" s="488"/>
      <c r="N72" s="57"/>
      <c r="O72" s="563"/>
      <c r="P72" s="559"/>
      <c r="Q72" s="559"/>
      <c r="R72" s="559"/>
      <c r="S72" s="559"/>
      <c r="T72" s="559"/>
      <c r="U72" s="559"/>
      <c r="V72" s="565"/>
      <c r="W72" s="559"/>
      <c r="X72" s="559"/>
      <c r="Y72" s="559"/>
      <c r="Z72" s="565"/>
      <c r="AA72" s="559"/>
      <c r="AB72" s="565"/>
      <c r="AC72" s="523"/>
    </row>
    <row r="73" hidden="1">
      <c r="A73" s="559"/>
      <c r="B73" s="560"/>
      <c r="C73" s="561"/>
      <c r="D73" s="559"/>
      <c r="E73" s="559"/>
      <c r="F73" s="559"/>
      <c r="G73" s="559"/>
      <c r="H73" s="559"/>
      <c r="I73" s="562"/>
      <c r="J73" s="560"/>
      <c r="K73" s="560"/>
      <c r="L73" s="559"/>
      <c r="M73" s="488"/>
      <c r="N73" s="57"/>
      <c r="O73" s="563"/>
      <c r="P73" s="559"/>
      <c r="Q73" s="559"/>
      <c r="R73" s="559"/>
      <c r="S73" s="559"/>
      <c r="T73" s="559"/>
      <c r="U73" s="559"/>
      <c r="V73" s="565"/>
      <c r="W73" s="559"/>
      <c r="X73" s="559"/>
      <c r="Y73" s="559"/>
      <c r="Z73" s="565"/>
      <c r="AA73" s="559"/>
      <c r="AB73" s="565"/>
      <c r="AC73" s="523"/>
    </row>
    <row r="74">
      <c r="A74" s="550">
        <v>5.0</v>
      </c>
      <c r="B74" s="551" t="s">
        <v>5489</v>
      </c>
      <c r="C74" s="550">
        <f>COUNTA(B75:B78)</f>
        <v>2</v>
      </c>
      <c r="D74" s="552"/>
      <c r="E74" s="552"/>
      <c r="F74" s="552"/>
      <c r="G74" s="552"/>
      <c r="H74" s="552"/>
      <c r="I74" s="553"/>
      <c r="J74" s="554"/>
      <c r="K74" s="554"/>
      <c r="L74" s="552"/>
      <c r="M74" s="555"/>
      <c r="N74" s="552"/>
      <c r="O74" s="556"/>
      <c r="P74" s="552"/>
      <c r="Q74" s="552"/>
      <c r="R74" s="552"/>
      <c r="S74" s="552"/>
      <c r="T74" s="552"/>
      <c r="U74" s="552"/>
      <c r="V74" s="557"/>
      <c r="W74" s="552"/>
      <c r="X74" s="552"/>
      <c r="Y74" s="552"/>
      <c r="Z74" s="557"/>
      <c r="AA74" s="552"/>
      <c r="AB74" s="557"/>
      <c r="AC74" s="558"/>
    </row>
    <row r="75">
      <c r="A75" s="559"/>
      <c r="B75" s="560" t="str">
        <f>IFERROR(VLOOKUP(M75,'02. MM-KLH'!$B$6:$T$823,6,0),"")</f>
        <v>Máy đào CAT 305 bánh xích gàu 0.3m3</v>
      </c>
      <c r="C75" s="561">
        <v>1.0</v>
      </c>
      <c r="D75" s="559">
        <f>IFERROR(VLOOKUP(M75,'02. MM-KLH'!$B$6:$T$823,16,0),"")</f>
        <v>305</v>
      </c>
      <c r="E75" s="561" t="s">
        <v>4158</v>
      </c>
      <c r="F75" s="559"/>
      <c r="G75" s="559"/>
      <c r="H75" s="559" t="str">
        <f>IFERROR(VLOOKUP(M75,'02. MM-KLH'!$B$6:$T$823,17,0),"")</f>
        <v>40HP</v>
      </c>
      <c r="I75" s="562">
        <f>IFERROR(VLOOKUP(M75,'02. MM-KLH'!$B$6:$U$823,20,0),"")</f>
        <v>4</v>
      </c>
      <c r="J75" s="560" t="str">
        <f>IFERROR(VLOOKUP(M75,'02. MM-KLH'!$B$6:$T$823,19,0),"")</f>
        <v>CCN</v>
      </c>
      <c r="K75" s="560">
        <f>IFERROR(VLOOKUP(M75,'02. MM-KLH'!$B$6:$T$823,18,0),"")</f>
        <v>2208498</v>
      </c>
      <c r="L75" s="559" t="str">
        <f>IFERROR(VLOOKUP(M75,'02. MM-KLH'!$B$6:$T$823,4,0),"")</f>
        <v/>
      </c>
      <c r="M75" s="125" t="s">
        <v>1150</v>
      </c>
      <c r="N75" s="57">
        <f>IFERROR(VLOOKUP(M75,'02. MM-KLH'!$B$6:$T$823,15,0),"")</f>
        <v>2006</v>
      </c>
      <c r="O75" s="563">
        <f>IFERROR(VLOOKUP(M75,'02. MM-KLH'!$B$6:$T$823,9,0),"")</f>
        <v>45139</v>
      </c>
      <c r="P75" s="559"/>
      <c r="Q75" s="566" t="s">
        <v>1565</v>
      </c>
      <c r="R75" s="559"/>
      <c r="S75" s="559"/>
      <c r="T75" s="561" t="s">
        <v>4158</v>
      </c>
      <c r="U75" s="559" t="str">
        <f>IFERROR(VLOOKUP(M75,'02. MM-KLH'!$B$6:$T$823,5,0),"")</f>
        <v>ĐQSD</v>
      </c>
      <c r="V75" s="565" t="str">
        <f>IFERROR(VLOOKUP(M75,'02. MM-KLH'!$B$6:$T$823,8,0),"")</f>
        <v>XN Chuối LP3</v>
      </c>
      <c r="W75" s="559" t="str">
        <f>IFERROR(VLOOKUP(V75,'NS QUẢN LÝ CG'!$A$4:$D$36,2,0),"")</f>
        <v>Lê Cao Nghị</v>
      </c>
      <c r="X75" s="559" t="str">
        <f>IFERROR(VLOOKUP(V75,'NS QUẢN LÝ CG'!$A$4:$D$36,4,0),"")</f>
        <v>Lô 2 LP3</v>
      </c>
      <c r="Y75" s="559" t="str">
        <f>IFERROR(VLOOKUP(V75,'NS QUẢN LÝ CG'!$A$4:$C$36,3,0),"")</f>
        <v>0977423100</v>
      </c>
      <c r="Z75" s="565" t="str">
        <f>IFERROR(VLOOKUP(M75,'02. MM-KLH'!$B$6:$T$823,3,0),"")</f>
        <v>ATM-A24-0099</v>
      </c>
      <c r="AA75" s="561" t="s">
        <v>5046</v>
      </c>
      <c r="AB75" s="565"/>
      <c r="AC75" s="523"/>
    </row>
    <row r="76">
      <c r="A76" s="559"/>
      <c r="B76" s="560" t="str">
        <f>IFERROR(VLOOKUP(M76,'02. MM-KLH'!$B$6:$T$823,6,0),"")</f>
        <v>Máy đào CAT 305 bánh xích gàu 0.3m3</v>
      </c>
      <c r="C76" s="561">
        <v>1.0</v>
      </c>
      <c r="D76" s="559">
        <f>IFERROR(VLOOKUP(M76,'02. MM-KLH'!$B$6:$T$823,16,0),"")</f>
        <v>305</v>
      </c>
      <c r="E76" s="561" t="s">
        <v>4158</v>
      </c>
      <c r="F76" s="559"/>
      <c r="G76" s="559"/>
      <c r="H76" s="559" t="str">
        <f>IFERROR(VLOOKUP(M76,'02. MM-KLH'!$B$6:$T$823,17,0),"")</f>
        <v>42HP</v>
      </c>
      <c r="I76" s="562">
        <f>IFERROR(VLOOKUP(M76,'02. MM-KLH'!$B$6:$U$823,20,0),"")</f>
        <v>4</v>
      </c>
      <c r="J76" s="560" t="str">
        <f>IFERROR(VLOOKUP(M76,'02. MM-KLH'!$B$6:$T$823,19,0),"")</f>
        <v>20269B4</v>
      </c>
      <c r="K76" s="560" t="str">
        <f>IFERROR(VLOOKUP(M76,'02. MM-KLH'!$B$6:$T$823,18,0),"")</f>
        <v>CAT00305HDCR00990</v>
      </c>
      <c r="L76" s="559" t="str">
        <f>IFERROR(VLOOKUP(M76,'02. MM-KLH'!$B$6:$T$823,4,0),"")</f>
        <v/>
      </c>
      <c r="M76" s="463" t="s">
        <v>1135</v>
      </c>
      <c r="N76" s="57" t="str">
        <f>IFERROR(VLOOKUP(M76,'02. MM-KLH'!$B$6:$T$823,15,0),"")</f>
        <v/>
      </c>
      <c r="O76" s="563">
        <f>IFERROR(VLOOKUP(M76,'02. MM-KLH'!$B$6:$T$823,9,0),"")</f>
        <v>45446</v>
      </c>
      <c r="P76" s="559"/>
      <c r="Q76" s="566" t="s">
        <v>1565</v>
      </c>
      <c r="R76" s="561" t="s">
        <v>4158</v>
      </c>
      <c r="S76" s="559"/>
      <c r="T76" s="559"/>
      <c r="U76" s="559" t="str">
        <f>IFERROR(VLOOKUP(M76,'02. MM-KLH'!$B$6:$T$823,5,0),"")</f>
        <v>ĐQSD</v>
      </c>
      <c r="V76" s="565" t="str">
        <f>IFERROR(VLOOKUP(M76,'02. MM-KLH'!$B$6:$T$823,8,0),"")</f>
        <v>CGTC AD</v>
      </c>
      <c r="W76" s="559" t="str">
        <f>IFERROR(VLOOKUP(V76,'NS QUẢN LÝ CG'!$A$4:$D$36,2,0),"")</f>
        <v>Vũ Trung Kiên</v>
      </c>
      <c r="X76" s="559" t="str">
        <f>IFERROR(VLOOKUP(V76,'NS QUẢN LÝ CG'!$A$4:$D$36,4,0),"")</f>
        <v>Lô 73 ADM</v>
      </c>
      <c r="Y76" s="559" t="str">
        <f>IFERROR(VLOOKUP(V76,'NS QUẢN LÝ CG'!$A$4:$C$36,3,0),"")</f>
        <v>0981761677</v>
      </c>
      <c r="Z76" s="565" t="str">
        <f>IFERROR(VLOOKUP(M76,'02. MM-KLH'!$B$6:$T$823,3,0),"")</f>
        <v/>
      </c>
      <c r="AA76" s="559"/>
      <c r="AB76" s="565"/>
      <c r="AC76" s="523"/>
    </row>
    <row r="77">
      <c r="A77" s="559"/>
      <c r="B77" s="560"/>
      <c r="C77" s="561"/>
      <c r="D77" s="559"/>
      <c r="E77" s="559"/>
      <c r="F77" s="559"/>
      <c r="G77" s="559"/>
      <c r="H77" s="559"/>
      <c r="I77" s="562"/>
      <c r="J77" s="560"/>
      <c r="K77" s="560"/>
      <c r="L77" s="559"/>
      <c r="M77" s="463"/>
      <c r="N77" s="57"/>
      <c r="O77" s="563"/>
      <c r="P77" s="559"/>
      <c r="Q77" s="559"/>
      <c r="R77" s="559"/>
      <c r="S77" s="559"/>
      <c r="T77" s="559"/>
      <c r="U77" s="559"/>
      <c r="V77" s="565"/>
      <c r="W77" s="559" t="str">
        <f>IFERROR(VLOOKUP(V77,'NS QUẢN LÝ CG'!$A$4:$D$36,2,0),"")</f>
        <v/>
      </c>
      <c r="X77" s="559" t="str">
        <f>IFERROR(VLOOKUP(V77,'NS QUẢN LÝ CG'!$A$4:$D$36,4,0),"")</f>
        <v/>
      </c>
      <c r="Y77" s="559"/>
      <c r="Z77" s="565"/>
      <c r="AA77" s="559"/>
      <c r="AB77" s="565"/>
      <c r="AC77" s="523"/>
    </row>
    <row r="78" hidden="1">
      <c r="A78" s="559"/>
      <c r="B78" s="560"/>
      <c r="C78" s="561"/>
      <c r="D78" s="559"/>
      <c r="E78" s="559"/>
      <c r="F78" s="559"/>
      <c r="G78" s="559"/>
      <c r="H78" s="559"/>
      <c r="I78" s="562"/>
      <c r="J78" s="560"/>
      <c r="K78" s="560"/>
      <c r="L78" s="559"/>
      <c r="M78" s="463"/>
      <c r="N78" s="57"/>
      <c r="O78" s="563"/>
      <c r="P78" s="559"/>
      <c r="Q78" s="559"/>
      <c r="R78" s="559"/>
      <c r="S78" s="559"/>
      <c r="T78" s="559"/>
      <c r="U78" s="559"/>
      <c r="V78" s="565"/>
      <c r="W78" s="559"/>
      <c r="X78" s="559"/>
      <c r="Y78" s="559"/>
      <c r="Z78" s="565"/>
      <c r="AA78" s="559"/>
      <c r="AB78" s="565"/>
      <c r="AC78" s="523"/>
    </row>
    <row r="79">
      <c r="A79" s="550">
        <v>6.0</v>
      </c>
      <c r="B79" s="551" t="s">
        <v>1032</v>
      </c>
      <c r="C79" s="550">
        <f>COUNTA(B80:B82)</f>
        <v>1</v>
      </c>
      <c r="D79" s="552"/>
      <c r="E79" s="552"/>
      <c r="F79" s="552"/>
      <c r="G79" s="552"/>
      <c r="H79" s="552"/>
      <c r="I79" s="553"/>
      <c r="J79" s="554"/>
      <c r="K79" s="554"/>
      <c r="L79" s="552"/>
      <c r="M79" s="555"/>
      <c r="N79" s="552"/>
      <c r="O79" s="556"/>
      <c r="P79" s="552"/>
      <c r="Q79" s="552"/>
      <c r="R79" s="552"/>
      <c r="S79" s="552"/>
      <c r="T79" s="552"/>
      <c r="U79" s="552"/>
      <c r="V79" s="557"/>
      <c r="W79" s="552"/>
      <c r="X79" s="552"/>
      <c r="Y79" s="552"/>
      <c r="Z79" s="557"/>
      <c r="AA79" s="552"/>
      <c r="AB79" s="557"/>
      <c r="AC79" s="558"/>
    </row>
    <row r="80">
      <c r="A80" s="559"/>
      <c r="B80" s="560" t="str">
        <f>IFERROR(VLOOKUP(M80,'02. MM-KLH'!$B$6:$T$823,6,0),"")</f>
        <v>Máy đào ROBEX 140W bánh lốp gàu 0.5m3</v>
      </c>
      <c r="C80" s="561">
        <v>1.0</v>
      </c>
      <c r="D80" s="559" t="str">
        <f>IFERROR(VLOOKUP(M80,'02. MM-KLH'!$B$6:$T$823,16,0),"")</f>
        <v>ROBEX 140W</v>
      </c>
      <c r="E80" s="561" t="s">
        <v>4158</v>
      </c>
      <c r="F80" s="559"/>
      <c r="G80" s="559"/>
      <c r="H80" s="559" t="str">
        <f>IFERROR(VLOOKUP(M80,'02. MM-KLH'!$B$6:$T$823,17,0),"")</f>
        <v>133HP</v>
      </c>
      <c r="I80" s="562">
        <f>IFERROR(VLOOKUP(M80,'02. MM-KLH'!$B$6:$U$823,20,0),"")</f>
        <v>12</v>
      </c>
      <c r="J80" s="560">
        <f>IFERROR(VLOOKUP(M80,'02. MM-KLH'!$B$6:$T$823,19,0),"")</f>
        <v>73390872</v>
      </c>
      <c r="K80" s="560" t="str">
        <f>IFERROR(VLOOKUP(M80,'02. MM-KLH'!$B$6:$T$823,18,0),"")</f>
        <v>4LC0001417</v>
      </c>
      <c r="L80" s="559" t="str">
        <f>IFERROR(VLOOKUP(M80,'02. MM-KLH'!$B$6:$T$823,4,0),"")</f>
        <v/>
      </c>
      <c r="M80" s="488" t="s">
        <v>617</v>
      </c>
      <c r="N80" s="57">
        <f>IFERROR(VLOOKUP(M80,'02. MM-KLH'!$B$6:$T$823,15,0),"")</f>
        <v>2012</v>
      </c>
      <c r="O80" s="563">
        <f>IFERROR(VLOOKUP(M80,'02. MM-KLH'!$B$6:$T$823,9,0),"")</f>
        <v>46026</v>
      </c>
      <c r="P80" s="559"/>
      <c r="Q80" s="566" t="s">
        <v>1565</v>
      </c>
      <c r="R80" s="561" t="s">
        <v>4158</v>
      </c>
      <c r="S80" s="559"/>
      <c r="T80" s="559"/>
      <c r="U80" s="559" t="str">
        <f>IFERROR(VLOOKUP(M80,'02. MM-KLH'!$B$6:$T$823,5,0),"")</f>
        <v>MỚI (ĐQSD)</v>
      </c>
      <c r="V80" s="565" t="str">
        <f>IFERROR(VLOOKUP(M80,'02. MM-KLH'!$B$6:$T$823,8,0),"")</f>
        <v>XN Bò AD</v>
      </c>
      <c r="W80" s="559" t="str">
        <f>IFERROR(VLOOKUP(V80,'NS QUẢN LÝ CG'!$A$4:$D$36,2,0),"")</f>
        <v>Trần Văn Nam</v>
      </c>
      <c r="X80" s="559" t="str">
        <f>IFERROR(VLOOKUP(V80,'NS QUẢN LÝ CG'!$A$4:$D$36,4,0),"")</f>
        <v>Lô 28 XN Bò</v>
      </c>
      <c r="Y80" s="559" t="str">
        <f>IFERROR(VLOOKUP(V80,'NS QUẢN LÝ CG'!$A$4:$C$36,3,0),"")</f>
        <v>0971993540</v>
      </c>
      <c r="Z80" s="565" t="str">
        <f>IFERROR(VLOOKUP(M80,'02. MM-KLH'!$B$6:$T$823,3,0),"")</f>
        <v>A24-MĐA-064</v>
      </c>
      <c r="AA80" s="559" t="str">
        <f>SWITCH(LEFT(Z80,3),"A22","ADM","A23","DP","A24","LP","")</f>
        <v>LP</v>
      </c>
      <c r="AB80" s="565"/>
      <c r="AC80" s="523"/>
    </row>
    <row r="81">
      <c r="A81" s="559"/>
      <c r="B81" s="560"/>
      <c r="C81" s="561"/>
      <c r="D81" s="559"/>
      <c r="E81" s="559"/>
      <c r="F81" s="559"/>
      <c r="G81" s="559"/>
      <c r="H81" s="559"/>
      <c r="I81" s="562"/>
      <c r="J81" s="560"/>
      <c r="K81" s="560"/>
      <c r="L81" s="559"/>
      <c r="M81" s="488"/>
      <c r="N81" s="57"/>
      <c r="O81" s="563"/>
      <c r="P81" s="559"/>
      <c r="Q81" s="559"/>
      <c r="R81" s="559"/>
      <c r="S81" s="559"/>
      <c r="T81" s="559"/>
      <c r="U81" s="559"/>
      <c r="V81" s="565"/>
      <c r="W81" s="559" t="str">
        <f>IFERROR(VLOOKUP(V81,'NS QUẢN LÝ CG'!$A$4:$D$36,2,0),"")</f>
        <v/>
      </c>
      <c r="X81" s="559" t="str">
        <f>IFERROR(VLOOKUP(V81,'NS QUẢN LÝ CG'!$A$4:$D$36,4,0),"")</f>
        <v/>
      </c>
      <c r="Y81" s="559"/>
      <c r="Z81" s="565"/>
      <c r="AA81" s="559"/>
      <c r="AB81" s="565"/>
      <c r="AC81" s="523"/>
    </row>
    <row r="82" hidden="1">
      <c r="A82" s="559"/>
      <c r="B82" s="560"/>
      <c r="C82" s="561"/>
      <c r="D82" s="559"/>
      <c r="E82" s="559"/>
      <c r="F82" s="559"/>
      <c r="G82" s="559"/>
      <c r="H82" s="559"/>
      <c r="I82" s="562"/>
      <c r="J82" s="560"/>
      <c r="K82" s="560"/>
      <c r="L82" s="559"/>
      <c r="M82" s="488"/>
      <c r="N82" s="57"/>
      <c r="O82" s="563"/>
      <c r="P82" s="559"/>
      <c r="Q82" s="559"/>
      <c r="R82" s="559"/>
      <c r="S82" s="559"/>
      <c r="T82" s="559"/>
      <c r="U82" s="559"/>
      <c r="V82" s="565"/>
      <c r="W82" s="559"/>
      <c r="X82" s="559"/>
      <c r="Y82" s="559"/>
      <c r="Z82" s="565"/>
      <c r="AA82" s="559"/>
      <c r="AB82" s="565"/>
      <c r="AC82" s="523"/>
    </row>
    <row r="83">
      <c r="A83" s="542" t="s">
        <v>1974</v>
      </c>
      <c r="B83" s="543" t="s">
        <v>1270</v>
      </c>
      <c r="C83" s="544">
        <f>SUM(C84)</f>
        <v>15</v>
      </c>
      <c r="D83" s="545"/>
      <c r="E83" s="545"/>
      <c r="F83" s="545"/>
      <c r="G83" s="545"/>
      <c r="H83" s="545"/>
      <c r="I83" s="546"/>
      <c r="J83" s="547"/>
      <c r="K83" s="547"/>
      <c r="L83" s="545"/>
      <c r="M83" s="545"/>
      <c r="N83" s="545"/>
      <c r="O83" s="548"/>
      <c r="P83" s="545"/>
      <c r="Q83" s="545"/>
      <c r="R83" s="545"/>
      <c r="S83" s="545"/>
      <c r="T83" s="545"/>
      <c r="U83" s="545"/>
      <c r="V83" s="546"/>
      <c r="W83" s="545"/>
      <c r="X83" s="545"/>
      <c r="Y83" s="545"/>
      <c r="Z83" s="546"/>
      <c r="AA83" s="545"/>
      <c r="AB83" s="546"/>
      <c r="AC83" s="549"/>
    </row>
    <row r="84">
      <c r="A84" s="550">
        <v>1.0</v>
      </c>
      <c r="B84" s="551" t="s">
        <v>123</v>
      </c>
      <c r="C84" s="550">
        <f>COUNTA(B85:B102)</f>
        <v>15</v>
      </c>
      <c r="D84" s="552"/>
      <c r="E84" s="552"/>
      <c r="F84" s="552"/>
      <c r="G84" s="552"/>
      <c r="H84" s="552"/>
      <c r="I84" s="553"/>
      <c r="J84" s="554"/>
      <c r="K84" s="554"/>
      <c r="L84" s="552"/>
      <c r="M84" s="555"/>
      <c r="N84" s="552"/>
      <c r="O84" s="556"/>
      <c r="P84" s="552"/>
      <c r="Q84" s="552"/>
      <c r="R84" s="552"/>
      <c r="S84" s="552"/>
      <c r="T84" s="552"/>
      <c r="U84" s="552"/>
      <c r="V84" s="557"/>
      <c r="W84" s="552"/>
      <c r="X84" s="552"/>
      <c r="Y84" s="552"/>
      <c r="Z84" s="557"/>
      <c r="AA84" s="552"/>
      <c r="AB84" s="557"/>
      <c r="AC84" s="558"/>
    </row>
    <row r="85">
      <c r="A85" s="523"/>
      <c r="B85" s="612" t="str">
        <f>IFERROR(VLOOKUP(M85,'02. MM-KLH'!$B$6:$T$823,6,0),"")</f>
        <v>Máy ủi KOMATSU D31PX</v>
      </c>
      <c r="C85" s="566">
        <v>1.0</v>
      </c>
      <c r="D85" s="613" t="str">
        <f>IFERROR(VLOOKUP(M85,'02. MM-KLH'!$B$6:$T$823,16,0),"")</f>
        <v>D31PX</v>
      </c>
      <c r="E85" s="561" t="s">
        <v>4158</v>
      </c>
      <c r="F85" s="613"/>
      <c r="G85" s="613"/>
      <c r="H85" s="613" t="str">
        <f>IFERROR(VLOOKUP(M85,'02. MM-KLH'!$B$6:$T$823,17,0),"")</f>
        <v>80HP</v>
      </c>
      <c r="I85" s="614">
        <f>IFERROR(VLOOKUP(M85,'02. MM-KLH'!$B$6:$U$823,20,0),"")</f>
        <v>8</v>
      </c>
      <c r="J85" s="612" t="str">
        <f>IFERROR(VLOOKUP(M85,'02. MM-KLH'!$B$6:$T$823,19,0),"")</f>
        <v>CCN</v>
      </c>
      <c r="K85" s="612" t="str">
        <f>IFERROR(VLOOKUP(M85,'02. MM-KLH'!$B$6:$T$823,18,0),"")</f>
        <v>KMT0D007V0151352</v>
      </c>
      <c r="L85" s="613" t="str">
        <f>IFERROR(VLOOKUP(M85,'02. MM-KLH'!$B$6:$T$823,4,0),"")</f>
        <v/>
      </c>
      <c r="M85" s="490" t="s">
        <v>121</v>
      </c>
      <c r="N85" s="615">
        <f>IFERROR(VLOOKUP(M85,'02. MM-KLH'!$B$6:$T$823,15,0),"")</f>
        <v>1997</v>
      </c>
      <c r="O85" s="616">
        <f>IFERROR(VLOOKUP(M85,'02. MM-KLH'!$B$6:$T$823,9,0),"")</f>
        <v>43952</v>
      </c>
      <c r="P85" s="613"/>
      <c r="Q85" s="566" t="s">
        <v>1565</v>
      </c>
      <c r="R85" s="566" t="s">
        <v>4158</v>
      </c>
      <c r="S85" s="613"/>
      <c r="T85" s="613"/>
      <c r="U85" s="559" t="str">
        <f>IFERROR(VLOOKUP(M85,'02. MM-KLH'!$B$6:$T$823,5,0),"")</f>
        <v>ĐQSD</v>
      </c>
      <c r="V85" s="523" t="str">
        <f>IFERROR(VLOOKUP(M85,'02. MM-KLH'!$B$6:$T$823,8,0),"")</f>
        <v>CGTC DP</v>
      </c>
      <c r="W85" s="559" t="str">
        <f>IFERROR(VLOOKUP(V85,'NS QUẢN LÝ CG'!$A$4:$D$36,2,0),"")</f>
        <v>Phạm Ngọc Hải</v>
      </c>
      <c r="X85" s="559" t="str">
        <f>IFERROR(VLOOKUP(V85,'NS QUẢN LÝ CG'!$A$4:$D$36,4,0),"")</f>
        <v>Lô 85 DP4</v>
      </c>
      <c r="Y85" s="559" t="str">
        <f>IFERROR(VLOOKUP(V85,'NS QUẢN LÝ CG'!$A$4:$C$36,3,0),"")</f>
        <v>0825456565</v>
      </c>
      <c r="Z85" s="523" t="str">
        <f>IFERROR(VLOOKUP(M85,'02. MM-KLH'!$B$6:$T$823,3,0),"")</f>
        <v>ATT-A23-0027</v>
      </c>
      <c r="AA85" s="561" t="s">
        <v>4312</v>
      </c>
      <c r="AB85" s="523"/>
      <c r="AC85" s="523"/>
    </row>
    <row r="86">
      <c r="A86" s="523"/>
      <c r="B86" s="612" t="str">
        <f>IFERROR(VLOOKUP(M86,'02. MM-KLH'!$B$6:$T$823,6,0),"")</f>
        <v>Máy ủi KOMATSU D31PX</v>
      </c>
      <c r="C86" s="566">
        <v>1.0</v>
      </c>
      <c r="D86" s="613" t="str">
        <f>IFERROR(VLOOKUP(M86,'02. MM-KLH'!$B$6:$T$823,16,0),"")</f>
        <v>D31PX-21</v>
      </c>
      <c r="E86" s="561" t="s">
        <v>4158</v>
      </c>
      <c r="F86" s="613"/>
      <c r="G86" s="613"/>
      <c r="H86" s="613" t="str">
        <f>IFERROR(VLOOKUP(M86,'02. MM-KLH'!$B$6:$T$823,17,0),"")</f>
        <v>76HP</v>
      </c>
      <c r="I86" s="614">
        <f>IFERROR(VLOOKUP(M86,'02. MM-KLH'!$B$6:$U$823,20,0),"")</f>
        <v>8</v>
      </c>
      <c r="J86" s="612" t="str">
        <f>IFERROR(VLOOKUP(M86,'02. MM-KLH'!$B$6:$T$823,19,0),"")</f>
        <v>4D10226319872</v>
      </c>
      <c r="K86" s="612" t="str">
        <f>IFERROR(VLOOKUP(M86,'02. MM-KLH'!$B$6:$T$823,18,0),"")</f>
        <v>D31PX2150296</v>
      </c>
      <c r="L86" s="613" t="str">
        <f>IFERROR(VLOOKUP(M86,'02. MM-KLH'!$B$6:$T$823,4,0),"")</f>
        <v/>
      </c>
      <c r="M86" s="132" t="s">
        <v>287</v>
      </c>
      <c r="N86" s="615">
        <f>IFERROR(VLOOKUP(M86,'02. MM-KLH'!$B$6:$T$823,15,0),"")</f>
        <v>2003</v>
      </c>
      <c r="O86" s="616">
        <f>IFERROR(VLOOKUP(M86,'02. MM-KLH'!$B$6:$T$823,9,0),"")</f>
        <v>45963</v>
      </c>
      <c r="P86" s="613"/>
      <c r="Q86" s="566">
        <v>50506.0</v>
      </c>
      <c r="R86" s="566" t="s">
        <v>4158</v>
      </c>
      <c r="S86" s="613"/>
      <c r="T86" s="613"/>
      <c r="U86" s="559" t="str">
        <f>IFERROR(VLOOKUP(M86,'02. MM-KLH'!$B$6:$T$823,5,0),"")</f>
        <v>MỚI (ĐQSD)</v>
      </c>
      <c r="V86" s="523" t="str">
        <f>IFERROR(VLOOKUP(M86,'02. MM-KLH'!$B$6:$T$823,8,0),"")</f>
        <v>CGTC DP</v>
      </c>
      <c r="W86" s="559" t="str">
        <f>IFERROR(VLOOKUP(V86,'NS QUẢN LÝ CG'!$A$4:$D$36,2,0),"")</f>
        <v>Phạm Ngọc Hải</v>
      </c>
      <c r="X86" s="559" t="str">
        <f>IFERROR(VLOOKUP(V86,'NS QUẢN LÝ CG'!$A$4:$D$36,4,0),"")</f>
        <v>Lô 85 DP4</v>
      </c>
      <c r="Y86" s="559" t="str">
        <f>IFERROR(VLOOKUP(V86,'NS QUẢN LÝ CG'!$A$4:$C$36,3,0),"")</f>
        <v>0825456565</v>
      </c>
      <c r="Z86" s="523" t="str">
        <f>IFERROR(VLOOKUP(M86,'02. MM-KLH'!$B$6:$T$823,3,0),"")</f>
        <v>A23-MUI-011</v>
      </c>
      <c r="AA86" s="559" t="str">
        <f>SWITCH(LEFT(Z86,3),"A22","ADM","A23","DP","A24","LP","")</f>
        <v>DP</v>
      </c>
      <c r="AB86" s="523"/>
      <c r="AC86" s="523"/>
    </row>
    <row r="87">
      <c r="A87" s="523"/>
      <c r="B87" s="612" t="str">
        <f>IFERROR(VLOOKUP(M87,'02. MM-KLH'!$B$6:$T$823,6,0),"")</f>
        <v>Máy ủi KOMATSU D31PX</v>
      </c>
      <c r="C87" s="566">
        <v>1.0</v>
      </c>
      <c r="D87" s="613" t="str">
        <f>IFERROR(VLOOKUP(M87,'02. MM-KLH'!$B$6:$T$823,16,0),"")</f>
        <v>D31PX-21</v>
      </c>
      <c r="E87" s="561" t="s">
        <v>4158</v>
      </c>
      <c r="F87" s="613"/>
      <c r="G87" s="613"/>
      <c r="H87" s="613" t="str">
        <f>IFERROR(VLOOKUP(M87,'02. MM-KLH'!$B$6:$T$823,17,0),"")</f>
        <v>80HP</v>
      </c>
      <c r="I87" s="614">
        <f>IFERROR(VLOOKUP(M87,'02. MM-KLH'!$B$6:$U$823,20,0),"")</f>
        <v>8</v>
      </c>
      <c r="J87" s="612" t="str">
        <f>IFERROR(VLOOKUP(M87,'02. MM-KLH'!$B$6:$T$823,19,0),"")</f>
        <v>4D10226384955</v>
      </c>
      <c r="K87" s="612" t="str">
        <f>IFERROR(VLOOKUP(M87,'02. MM-KLH'!$B$6:$T$823,18,0),"")</f>
        <v>KMT0D007T01051120</v>
      </c>
      <c r="L87" s="613" t="str">
        <f>IFERROR(VLOOKUP(M87,'02. MM-KLH'!$B$6:$T$823,4,0),"")</f>
        <v/>
      </c>
      <c r="M87" s="490" t="s">
        <v>382</v>
      </c>
      <c r="N87" s="615">
        <f>IFERROR(VLOOKUP(M87,'02. MM-KLH'!$B$6:$T$823,15,0),"")</f>
        <v>2006</v>
      </c>
      <c r="O87" s="616">
        <f>IFERROR(VLOOKUP(M87,'02. MM-KLH'!$B$6:$T$823,9,0),"")</f>
        <v>44197</v>
      </c>
      <c r="P87" s="613"/>
      <c r="Q87" s="566" t="s">
        <v>1565</v>
      </c>
      <c r="R87" s="613"/>
      <c r="S87" s="613"/>
      <c r="T87" s="566" t="s">
        <v>4158</v>
      </c>
      <c r="U87" s="559" t="str">
        <f>IFERROR(VLOOKUP(M87,'02. MM-KLH'!$B$6:$T$823,5,0),"")</f>
        <v>ĐQSD</v>
      </c>
      <c r="V87" s="523" t="str">
        <f>IFERROR(VLOOKUP(M87,'02. MM-KLH'!$B$6:$T$823,8,0),"")</f>
        <v>CGTC LP</v>
      </c>
      <c r="W87" s="559" t="str">
        <f>IFERROR(VLOOKUP(V87,'NS QUẢN LÝ CG'!$A$4:$D$36,2,0),"")</f>
        <v>Đỗ Đức Nghĩa</v>
      </c>
      <c r="X87" s="559" t="str">
        <f>IFERROR(VLOOKUP(V87,'NS QUẢN LÝ CG'!$A$4:$D$36,4,0),"")</f>
        <v>NOCN L.4-LP3</v>
      </c>
      <c r="Y87" s="559" t="str">
        <f>IFERROR(VLOOKUP(V87,'NS QUẢN LÝ CG'!$A$4:$C$36,3,0),"")</f>
        <v>0971462780</v>
      </c>
      <c r="Z87" s="523" t="str">
        <f>IFERROR(VLOOKUP(M87,'02. MM-KLH'!$B$6:$T$823,3,0),"")</f>
        <v>ATT-A24-0056</v>
      </c>
      <c r="AA87" s="561" t="s">
        <v>5046</v>
      </c>
      <c r="AB87" s="523"/>
      <c r="AC87" s="523"/>
    </row>
    <row r="88">
      <c r="A88" s="523"/>
      <c r="B88" s="612" t="str">
        <f>IFERROR(VLOOKUP(M88,'02. MM-KLH'!$B$6:$T$823,6,0),"")</f>
        <v>Máy ủi KOMATSU D31PX</v>
      </c>
      <c r="C88" s="566">
        <v>1.0</v>
      </c>
      <c r="D88" s="613" t="str">
        <f>IFERROR(VLOOKUP(M88,'02. MM-KLH'!$B$6:$T$823,16,0),"")</f>
        <v>D31PX-21</v>
      </c>
      <c r="E88" s="561" t="s">
        <v>4158</v>
      </c>
      <c r="F88" s="613"/>
      <c r="G88" s="613"/>
      <c r="H88" s="613" t="str">
        <f>IFERROR(VLOOKUP(M88,'02. MM-KLH'!$B$6:$T$823,17,0),"")</f>
        <v>80HP</v>
      </c>
      <c r="I88" s="614">
        <f>IFERROR(VLOOKUP(M88,'02. MM-KLH'!$B$6:$U$823,20,0),"")</f>
        <v>8</v>
      </c>
      <c r="J88" s="612" t="str">
        <f>IFERROR(VLOOKUP(M88,'02. MM-KLH'!$B$6:$T$823,19,0),"")</f>
        <v>4D10226427091</v>
      </c>
      <c r="K88" s="612" t="str">
        <f>IFERROR(VLOOKUP(M88,'02. MM-KLH'!$B$6:$T$823,18,0),"")</f>
        <v>KMT0D007C01051611</v>
      </c>
      <c r="L88" s="613" t="str">
        <f>IFERROR(VLOOKUP(M88,'02. MM-KLH'!$B$6:$T$823,4,0),"")</f>
        <v/>
      </c>
      <c r="M88" s="490" t="s">
        <v>386</v>
      </c>
      <c r="N88" s="615">
        <f>IFERROR(VLOOKUP(M88,'02. MM-KLH'!$B$6:$T$823,15,0),"")</f>
        <v>2008</v>
      </c>
      <c r="O88" s="616">
        <f>IFERROR(VLOOKUP(M88,'02. MM-KLH'!$B$6:$T$823,9,0),"")</f>
        <v>44197</v>
      </c>
      <c r="P88" s="613"/>
      <c r="Q88" s="566" t="s">
        <v>1565</v>
      </c>
      <c r="R88" s="613"/>
      <c r="S88" s="613"/>
      <c r="T88" s="566" t="s">
        <v>4158</v>
      </c>
      <c r="U88" s="559" t="str">
        <f>IFERROR(VLOOKUP(M88,'02. MM-KLH'!$B$6:$T$823,5,0),"")</f>
        <v>ĐQSD</v>
      </c>
      <c r="V88" s="523" t="str">
        <f>IFERROR(VLOOKUP(M88,'02. MM-KLH'!$B$6:$T$823,8,0),"")</f>
        <v>CGTC LP</v>
      </c>
      <c r="W88" s="559" t="str">
        <f>IFERROR(VLOOKUP(V88,'NS QUẢN LÝ CG'!$A$4:$D$36,2,0),"")</f>
        <v>Đỗ Đức Nghĩa</v>
      </c>
      <c r="X88" s="559" t="str">
        <f>IFERROR(VLOOKUP(V88,'NS QUẢN LÝ CG'!$A$4:$D$36,4,0),"")</f>
        <v>NOCN L.4-LP3</v>
      </c>
      <c r="Y88" s="559" t="str">
        <f>IFERROR(VLOOKUP(V88,'NS QUẢN LÝ CG'!$A$4:$C$36,3,0),"")</f>
        <v>0971462780</v>
      </c>
      <c r="Z88" s="523" t="str">
        <f>IFERROR(VLOOKUP(M88,'02. MM-KLH'!$B$6:$T$823,3,0),"")</f>
        <v>ATT-A24-0048</v>
      </c>
      <c r="AA88" s="561" t="s">
        <v>5046</v>
      </c>
      <c r="AB88" s="523"/>
      <c r="AC88" s="523"/>
    </row>
    <row r="89">
      <c r="A89" s="523"/>
      <c r="B89" s="612" t="str">
        <f>IFERROR(VLOOKUP(M89,'02. MM-KLH'!$B$6:$T$823,6,0),"")</f>
        <v>Máy ủi KOMATSU D31PX</v>
      </c>
      <c r="C89" s="566">
        <v>1.0</v>
      </c>
      <c r="D89" s="613" t="str">
        <f>IFERROR(VLOOKUP(M89,'02. MM-KLH'!$B$6:$T$823,16,0),"")</f>
        <v>D31PX</v>
      </c>
      <c r="E89" s="561" t="s">
        <v>4158</v>
      </c>
      <c r="F89" s="613"/>
      <c r="G89" s="613"/>
      <c r="H89" s="613" t="str">
        <f>IFERROR(VLOOKUP(M89,'02. MM-KLH'!$B$6:$T$823,17,0),"")</f>
        <v>80HP</v>
      </c>
      <c r="I89" s="614">
        <f>IFERROR(VLOOKUP(M89,'02. MM-KLH'!$B$6:$U$823,20,0),"")</f>
        <v>8</v>
      </c>
      <c r="J89" s="612" t="str">
        <f>IFERROR(VLOOKUP(M89,'02. MM-KLH'!$B$6:$T$823,19,0),"")</f>
        <v>4D10226357443</v>
      </c>
      <c r="K89" s="612" t="str">
        <f>IFERROR(VLOOKUP(M89,'02. MM-KLH'!$B$6:$T$823,18,0),"")</f>
        <v>KMT0D0070E01050840</v>
      </c>
      <c r="L89" s="613" t="str">
        <f>IFERROR(VLOOKUP(M89,'02. MM-KLH'!$B$6:$T$823,4,0),"")</f>
        <v/>
      </c>
      <c r="M89" s="488" t="s">
        <v>520</v>
      </c>
      <c r="N89" s="615">
        <f>IFERROR(VLOOKUP(M89,'02. MM-KLH'!$B$6:$T$823,15,0),"")</f>
        <v>2005</v>
      </c>
      <c r="O89" s="616">
        <f>IFERROR(VLOOKUP(M89,'02. MM-KLH'!$B$6:$T$823,9,0),"")</f>
        <v>43841</v>
      </c>
      <c r="P89" s="613"/>
      <c r="Q89" s="566" t="s">
        <v>1565</v>
      </c>
      <c r="R89" s="613"/>
      <c r="S89" s="613"/>
      <c r="T89" s="561" t="s">
        <v>4158</v>
      </c>
      <c r="U89" s="559" t="str">
        <f>IFERROR(VLOOKUP(M89,'02. MM-KLH'!$B$6:$T$823,5,0),"")</f>
        <v>ĐQSD</v>
      </c>
      <c r="V89" s="523" t="str">
        <f>IFERROR(VLOOKUP(M89,'02. MM-KLH'!$B$6:$T$823,8,0),"")</f>
        <v>CGTC AD</v>
      </c>
      <c r="W89" s="559" t="str">
        <f>IFERROR(VLOOKUP(V89,'NS QUẢN LÝ CG'!$A$4:$D$36,2,0),"")</f>
        <v>Vũ Trung Kiên</v>
      </c>
      <c r="X89" s="559" t="str">
        <f>IFERROR(VLOOKUP(V89,'NS QUẢN LÝ CG'!$A$4:$D$36,4,0),"")</f>
        <v>Lô 73 ADM</v>
      </c>
      <c r="Y89" s="559" t="str">
        <f>IFERROR(VLOOKUP(V89,'NS QUẢN LÝ CG'!$A$4:$C$36,3,0),"")</f>
        <v>0981761677</v>
      </c>
      <c r="Z89" s="523" t="str">
        <f>IFERROR(VLOOKUP(M89,'02. MM-KLH'!$B$6:$T$823,3,0),"")</f>
        <v>ATT-A22-0128</v>
      </c>
      <c r="AA89" s="561" t="s">
        <v>4462</v>
      </c>
      <c r="AB89" s="523"/>
      <c r="AC89" s="523"/>
    </row>
    <row r="90">
      <c r="A90" s="523"/>
      <c r="B90" s="612" t="str">
        <f>IFERROR(VLOOKUP(M90,'02. MM-KLH'!$B$6:$T$823,6,0),"")</f>
        <v>Máy ủi KOMATSU D31PX</v>
      </c>
      <c r="C90" s="566">
        <v>1.0</v>
      </c>
      <c r="D90" s="613" t="str">
        <f>IFERROR(VLOOKUP(M90,'02. MM-KLH'!$B$6:$T$823,16,0),"")</f>
        <v>D31PX</v>
      </c>
      <c r="E90" s="561" t="s">
        <v>4158</v>
      </c>
      <c r="F90" s="613"/>
      <c r="G90" s="613"/>
      <c r="H90" s="613" t="str">
        <f>IFERROR(VLOOKUP(M90,'02. MM-KLH'!$B$6:$T$823,17,0),"")</f>
        <v>80HP</v>
      </c>
      <c r="I90" s="614">
        <f>IFERROR(VLOOKUP(M90,'02. MM-KLH'!$B$6:$U$823,20,0),"")</f>
        <v>8</v>
      </c>
      <c r="J90" s="612" t="str">
        <f>IFERROR(VLOOKUP(M90,'02. MM-KLH'!$B$6:$T$823,19,0),"")</f>
        <v>4D10226340664</v>
      </c>
      <c r="K90" s="612" t="str">
        <f>IFERROR(VLOOKUP(M90,'02. MM-KLH'!$B$6:$T$823,18,0),"")</f>
        <v>KMT0D007L01050625</v>
      </c>
      <c r="L90" s="613" t="str">
        <f>IFERROR(VLOOKUP(M90,'02. MM-KLH'!$B$6:$T$823,4,0),"")</f>
        <v/>
      </c>
      <c r="M90" s="488" t="s">
        <v>524</v>
      </c>
      <c r="N90" s="615">
        <f>IFERROR(VLOOKUP(M90,'02. MM-KLH'!$B$6:$T$823,15,0),"")</f>
        <v>2004</v>
      </c>
      <c r="O90" s="616">
        <f>IFERROR(VLOOKUP(M90,'02. MM-KLH'!$B$6:$T$823,9,0),"")</f>
        <v>43841</v>
      </c>
      <c r="P90" s="613"/>
      <c r="Q90" s="566" t="s">
        <v>1565</v>
      </c>
      <c r="R90" s="613"/>
      <c r="S90" s="613"/>
      <c r="T90" s="561" t="s">
        <v>4158</v>
      </c>
      <c r="U90" s="559" t="str">
        <f>IFERROR(VLOOKUP(M90,'02. MM-KLH'!$B$6:$T$823,5,0),"")</f>
        <v>ĐQSD</v>
      </c>
      <c r="V90" s="523" t="str">
        <f>IFERROR(VLOOKUP(M90,'02. MM-KLH'!$B$6:$T$823,8,0),"")</f>
        <v>CGTC AD</v>
      </c>
      <c r="W90" s="559" t="str">
        <f>IFERROR(VLOOKUP(V90,'NS QUẢN LÝ CG'!$A$4:$D$36,2,0),"")</f>
        <v>Vũ Trung Kiên</v>
      </c>
      <c r="X90" s="559" t="str">
        <f>IFERROR(VLOOKUP(V90,'NS QUẢN LÝ CG'!$A$4:$D$36,4,0),"")</f>
        <v>Lô 73 ADM</v>
      </c>
      <c r="Y90" s="559" t="str">
        <f>IFERROR(VLOOKUP(V90,'NS QUẢN LÝ CG'!$A$4:$C$36,3,0),"")</f>
        <v>0981761677</v>
      </c>
      <c r="Z90" s="523" t="str">
        <f>IFERROR(VLOOKUP(M90,'02. MM-KLH'!$B$6:$T$823,3,0),"")</f>
        <v>ATT-A22-0148</v>
      </c>
      <c r="AA90" s="561" t="s">
        <v>4462</v>
      </c>
      <c r="AB90" s="523"/>
      <c r="AC90" s="523"/>
    </row>
    <row r="91">
      <c r="A91" s="523"/>
      <c r="B91" s="612" t="str">
        <f>IFERROR(VLOOKUP(M91,'02. MM-KLH'!$B$6:$T$823,6,0),"")</f>
        <v>Máy ủi KOMATSU D31PX-21</v>
      </c>
      <c r="C91" s="566">
        <v>1.0</v>
      </c>
      <c r="D91" s="613" t="str">
        <f>IFERROR(VLOOKUP(M91,'02. MM-KLH'!$B$6:$T$823,16,0),"")</f>
        <v>D31PX-21</v>
      </c>
      <c r="E91" s="561" t="s">
        <v>4158</v>
      </c>
      <c r="F91" s="613"/>
      <c r="G91" s="613"/>
      <c r="H91" s="613" t="str">
        <f>IFERROR(VLOOKUP(M91,'02. MM-KLH'!$B$6:$T$823,17,0),"")</f>
        <v>78HP</v>
      </c>
      <c r="I91" s="614">
        <f>IFERROR(VLOOKUP(M91,'02. MM-KLH'!$B$6:$U$823,20,0),"")</f>
        <v>8</v>
      </c>
      <c r="J91" s="612" t="str">
        <f>IFERROR(VLOOKUP(M91,'02. MM-KLH'!$B$6:$T$823,19,0),"")</f>
        <v>4D10226430130</v>
      </c>
      <c r="K91" s="612" t="str">
        <f>IFERROR(VLOOKUP(M91,'02. MM-KLH'!$B$6:$T$823,18,0),"")</f>
        <v>KMT0D007J01051638</v>
      </c>
      <c r="L91" s="613" t="str">
        <f>IFERROR(VLOOKUP(M91,'02. MM-KLH'!$B$6:$T$823,4,0),"")</f>
        <v/>
      </c>
      <c r="M91" s="463" t="s">
        <v>507</v>
      </c>
      <c r="N91" s="615">
        <f>IFERROR(VLOOKUP(M91,'02. MM-KLH'!$B$6:$T$823,15,0),"")</f>
        <v>2006</v>
      </c>
      <c r="O91" s="616" t="str">
        <f>IFERROR(VLOOKUP(M91,'02. MM-KLH'!$B$6:$T$823,9,0),"")</f>
        <v>26/07/2025</v>
      </c>
      <c r="P91" s="613"/>
      <c r="Q91" s="566" t="s">
        <v>1565</v>
      </c>
      <c r="R91" s="566" t="s">
        <v>4158</v>
      </c>
      <c r="S91" s="613"/>
      <c r="T91" s="613"/>
      <c r="U91" s="559" t="str">
        <f>IFERROR(VLOOKUP(M91,'02. MM-KLH'!$B$6:$T$823,5,0),"")</f>
        <v>MỚI (ĐQSD)</v>
      </c>
      <c r="V91" s="523" t="str">
        <f>IFERROR(VLOOKUP(M91,'02. MM-KLH'!$B$6:$T$823,8,0),"")</f>
        <v>CGTC LP</v>
      </c>
      <c r="W91" s="559" t="str">
        <f>IFERROR(VLOOKUP(V91,'NS QUẢN LÝ CG'!$A$4:$D$36,2,0),"")</f>
        <v>Đỗ Đức Nghĩa</v>
      </c>
      <c r="X91" s="559" t="str">
        <f>IFERROR(VLOOKUP(V91,'NS QUẢN LÝ CG'!$A$4:$D$36,4,0),"")</f>
        <v>NOCN L.4-LP3</v>
      </c>
      <c r="Y91" s="559" t="str">
        <f>IFERROR(VLOOKUP(V91,'NS QUẢN LÝ CG'!$A$4:$C$36,3,0),"")</f>
        <v>0971462780</v>
      </c>
      <c r="Z91" s="523" t="str">
        <f>IFERROR(VLOOKUP(M91,'02. MM-KLH'!$B$6:$T$823,3,0),"")</f>
        <v>A24-MUI-014</v>
      </c>
      <c r="AA91" s="559" t="str">
        <f>SWITCH(LEFT(Z91,3),"A22","ADM","A23","DP","A24","LP","")</f>
        <v>LP</v>
      </c>
      <c r="AB91" s="523"/>
      <c r="AC91" s="523"/>
    </row>
    <row r="92">
      <c r="A92" s="523"/>
      <c r="B92" s="612" t="str">
        <f>IFERROR(VLOOKUP(M92,'02. MM-KLH'!$B$6:$T$823,6,0),"")</f>
        <v>Máy ủi KOMATSU D31PX</v>
      </c>
      <c r="C92" s="566">
        <v>1.0</v>
      </c>
      <c r="D92" s="613" t="str">
        <f>IFERROR(VLOOKUP(M92,'02. MM-KLH'!$B$6:$T$823,16,0),"")</f>
        <v>D31PX-21</v>
      </c>
      <c r="E92" s="561" t="s">
        <v>4158</v>
      </c>
      <c r="F92" s="613"/>
      <c r="G92" s="613"/>
      <c r="H92" s="613" t="str">
        <f>IFERROR(VLOOKUP(M92,'02. MM-KLH'!$B$6:$T$823,17,0),"")</f>
        <v>75HP</v>
      </c>
      <c r="I92" s="614">
        <f>IFERROR(VLOOKUP(M92,'02. MM-KLH'!$B$6:$U$823,20,0),"")</f>
        <v>8</v>
      </c>
      <c r="J92" s="612" t="str">
        <f>IFERROR(VLOOKUP(M92,'02. MM-KLH'!$B$6:$T$823,19,0),"")</f>
        <v>4D10226392645</v>
      </c>
      <c r="K92" s="612" t="str">
        <f>IFERROR(VLOOKUP(M92,'02. MM-KLH'!$B$6:$T$823,18,0),"")</f>
        <v>KMT0D007P01051250</v>
      </c>
      <c r="L92" s="613" t="str">
        <f>IFERROR(VLOOKUP(M92,'02. MM-KLH'!$B$6:$T$823,4,0),"")</f>
        <v/>
      </c>
      <c r="M92" s="488" t="s">
        <v>534</v>
      </c>
      <c r="N92" s="615">
        <f>IFERROR(VLOOKUP(M92,'02. MM-KLH'!$B$6:$T$823,15,0),"")</f>
        <v>2006</v>
      </c>
      <c r="O92" s="616">
        <f>IFERROR(VLOOKUP(M92,'02. MM-KLH'!$B$6:$T$823,9,0),"")</f>
        <v>44198</v>
      </c>
      <c r="P92" s="613"/>
      <c r="Q92" s="566" t="s">
        <v>1565</v>
      </c>
      <c r="R92" s="613"/>
      <c r="S92" s="613"/>
      <c r="T92" s="561" t="s">
        <v>4158</v>
      </c>
      <c r="U92" s="559" t="str">
        <f>IFERROR(VLOOKUP(M92,'02. MM-KLH'!$B$6:$T$823,5,0),"")</f>
        <v>ĐQSD</v>
      </c>
      <c r="V92" s="523" t="str">
        <f>IFERROR(VLOOKUP(M92,'02. MM-KLH'!$B$6:$T$823,8,0),"")</f>
        <v>CGTC AD</v>
      </c>
      <c r="W92" s="559" t="str">
        <f>IFERROR(VLOOKUP(V92,'NS QUẢN LÝ CG'!$A$4:$D$36,2,0),"")</f>
        <v>Vũ Trung Kiên</v>
      </c>
      <c r="X92" s="559" t="str">
        <f>IFERROR(VLOOKUP(V92,'NS QUẢN LÝ CG'!$A$4:$D$36,4,0),"")</f>
        <v>Lô 73 ADM</v>
      </c>
      <c r="Y92" s="559" t="str">
        <f>IFERROR(VLOOKUP(V92,'NS QUẢN LÝ CG'!$A$4:$C$36,3,0),"")</f>
        <v>0981761677</v>
      </c>
      <c r="Z92" s="523" t="str">
        <f>IFERROR(VLOOKUP(M92,'02. MM-KLH'!$B$6:$T$823,3,0),"")</f>
        <v>ATT-A22-0169</v>
      </c>
      <c r="AA92" s="561" t="s">
        <v>4462</v>
      </c>
      <c r="AB92" s="523"/>
      <c r="AC92" s="523"/>
    </row>
    <row r="93">
      <c r="A93" s="523"/>
      <c r="B93" s="612" t="str">
        <f>IFERROR(VLOOKUP(M93,'02. MM-KLH'!$B$6:$T$823,6,0),"")</f>
        <v>Máy ủi KOMATSU D31PX</v>
      </c>
      <c r="C93" s="566">
        <v>1.0</v>
      </c>
      <c r="D93" s="613" t="str">
        <f>IFERROR(VLOOKUP(M93,'02. MM-KLH'!$B$6:$T$823,16,0),"")</f>
        <v>D31PX-21</v>
      </c>
      <c r="E93" s="561" t="s">
        <v>4158</v>
      </c>
      <c r="F93" s="613"/>
      <c r="G93" s="613"/>
      <c r="H93" s="613" t="str">
        <f>IFERROR(VLOOKUP(M93,'02. MM-KLH'!$B$6:$T$823,17,0),"")</f>
        <v>76HP</v>
      </c>
      <c r="I93" s="614">
        <f>IFERROR(VLOOKUP(M93,'02. MM-KLH'!$B$6:$U$823,20,0),"")</f>
        <v>8</v>
      </c>
      <c r="J93" s="612" t="str">
        <f>IFERROR(VLOOKUP(M93,'02. MM-KLH'!$B$6:$T$823,19,0),"")</f>
        <v>4D10226397126</v>
      </c>
      <c r="K93" s="612" t="str">
        <f>IFERROR(VLOOKUP(M93,'02. MM-KLH'!$B$6:$T$823,18,0),"")</f>
        <v>KMT0D007T01051313</v>
      </c>
      <c r="L93" s="613" t="str">
        <f>IFERROR(VLOOKUP(M93,'02. MM-KLH'!$B$6:$T$823,4,0),"")</f>
        <v/>
      </c>
      <c r="M93" s="132" t="s">
        <v>537</v>
      </c>
      <c r="N93" s="615">
        <f>IFERROR(VLOOKUP(M93,'02. MM-KLH'!$B$6:$T$823,15,0),"")</f>
        <v>2006</v>
      </c>
      <c r="O93" s="616">
        <f>IFERROR(VLOOKUP(M93,'02. MM-KLH'!$B$6:$T$823,9,0),"")</f>
        <v>45963</v>
      </c>
      <c r="P93" s="613"/>
      <c r="Q93" s="566" t="s">
        <v>1565</v>
      </c>
      <c r="R93" s="613"/>
      <c r="S93" s="561" t="s">
        <v>4158</v>
      </c>
      <c r="T93" s="613"/>
      <c r="U93" s="559" t="str">
        <f>IFERROR(VLOOKUP(M93,'02. MM-KLH'!$B$6:$T$823,5,0),"")</f>
        <v>MỚI (ĐQSD)</v>
      </c>
      <c r="V93" s="523" t="str">
        <f>IFERROR(VLOOKUP(M93,'02. MM-KLH'!$B$6:$T$823,8,0),"")</f>
        <v>CGTC AD</v>
      </c>
      <c r="W93" s="559" t="str">
        <f>IFERROR(VLOOKUP(V93,'NS QUẢN LÝ CG'!$A$4:$D$36,2,0),"")</f>
        <v>Vũ Trung Kiên</v>
      </c>
      <c r="X93" s="559" t="str">
        <f>IFERROR(VLOOKUP(V93,'NS QUẢN LÝ CG'!$A$4:$D$36,4,0),"")</f>
        <v>Lô 73 ADM</v>
      </c>
      <c r="Y93" s="559" t="str">
        <f>IFERROR(VLOOKUP(V93,'NS QUẢN LÝ CG'!$A$4:$C$36,3,0),"")</f>
        <v>0981761677</v>
      </c>
      <c r="Z93" s="523" t="str">
        <f>IFERROR(VLOOKUP(M93,'02. MM-KLH'!$B$6:$T$823,3,0),"")</f>
        <v>A23-MUI-012</v>
      </c>
      <c r="AA93" s="559" t="str">
        <f>SWITCH(LEFT(Z93,3),"A22","ADM","A23","DP","A24","LP","")</f>
        <v>DP</v>
      </c>
      <c r="AB93" s="523"/>
      <c r="AC93" s="523"/>
    </row>
    <row r="94">
      <c r="A94" s="523"/>
      <c r="B94" s="612" t="str">
        <f>IFERROR(VLOOKUP(M94,'02. MM-KLH'!$B$6:$T$823,6,0),"")</f>
        <v>Máy ủi KOMATSU D60P-12E</v>
      </c>
      <c r="C94" s="566">
        <v>1.0</v>
      </c>
      <c r="D94" s="613" t="str">
        <f>IFERROR(VLOOKUP(M94,'02. MM-KLH'!$B$6:$T$823,16,0),"")</f>
        <v>D60P-12E</v>
      </c>
      <c r="E94" s="561" t="s">
        <v>4158</v>
      </c>
      <c r="F94" s="613"/>
      <c r="G94" s="613"/>
      <c r="H94" s="613" t="str">
        <f>IFERROR(VLOOKUP(M94,'02. MM-KLH'!$B$6:$T$823,17,0),"")</f>
        <v>190HP</v>
      </c>
      <c r="I94" s="614">
        <f>IFERROR(VLOOKUP(M94,'02. MM-KLH'!$B$6:$U$823,20,0),"")</f>
        <v>14</v>
      </c>
      <c r="J94" s="612" t="str">
        <f>IFERROR(VLOOKUP(M94,'02. MM-KLH'!$B$6:$T$823,19,0),"")</f>
        <v>CCN</v>
      </c>
      <c r="K94" s="612" t="str">
        <f>IFERROR(VLOOKUP(M94,'02. MM-KLH'!$B$6:$T$823,18,0),"")</f>
        <v>D60P1260763</v>
      </c>
      <c r="L94" s="613" t="str">
        <f>IFERROR(VLOOKUP(M94,'02. MM-KLH'!$B$6:$T$823,4,0),"")</f>
        <v/>
      </c>
      <c r="M94" s="490" t="s">
        <v>127</v>
      </c>
      <c r="N94" s="615">
        <f>IFERROR(VLOOKUP(M94,'02. MM-KLH'!$B$6:$T$823,15,0),"")</f>
        <v>2002</v>
      </c>
      <c r="O94" s="616">
        <f>IFERROR(VLOOKUP(M94,'02. MM-KLH'!$B$6:$T$823,9,0),"")</f>
        <v>43837</v>
      </c>
      <c r="P94" s="613"/>
      <c r="Q94" s="566" t="s">
        <v>1565</v>
      </c>
      <c r="R94" s="613"/>
      <c r="S94" s="566" t="s">
        <v>4158</v>
      </c>
      <c r="T94" s="613"/>
      <c r="U94" s="559" t="str">
        <f>IFERROR(VLOOKUP(M94,'02. MM-KLH'!$B$6:$T$823,5,0),"")</f>
        <v>ĐQSD</v>
      </c>
      <c r="V94" s="523" t="str">
        <f>IFERROR(VLOOKUP(M94,'02. MM-KLH'!$B$6:$T$823,8,0),"")</f>
        <v>CGTC DP</v>
      </c>
      <c r="W94" s="559" t="str">
        <f>IFERROR(VLOOKUP(V94,'NS QUẢN LÝ CG'!$A$4:$D$36,2,0),"")</f>
        <v>Phạm Ngọc Hải</v>
      </c>
      <c r="X94" s="559" t="str">
        <f>IFERROR(VLOOKUP(V94,'NS QUẢN LÝ CG'!$A$4:$D$36,4,0),"")</f>
        <v>Lô 85 DP4</v>
      </c>
      <c r="Y94" s="559" t="str">
        <f>IFERROR(VLOOKUP(V94,'NS QUẢN LÝ CG'!$A$4:$C$36,3,0),"")</f>
        <v>0825456565</v>
      </c>
      <c r="Z94" s="523" t="str">
        <f>IFERROR(VLOOKUP(M94,'02. MM-KLH'!$B$6:$T$823,3,0),"")</f>
        <v>ATT-A23-0031</v>
      </c>
      <c r="AA94" s="561" t="s">
        <v>4312</v>
      </c>
      <c r="AB94" s="523"/>
      <c r="AC94" s="523"/>
    </row>
    <row r="95">
      <c r="A95" s="523"/>
      <c r="B95" s="612" t="str">
        <f>IFERROR(VLOOKUP(M95,'02. MM-KLH'!$B$6:$T$823,6,0),"")</f>
        <v>Máy ủi KOMATSU D60P-12E</v>
      </c>
      <c r="C95" s="566">
        <v>1.0</v>
      </c>
      <c r="D95" s="613" t="str">
        <f>IFERROR(VLOOKUP(M95,'02. MM-KLH'!$B$6:$T$823,16,0),"")</f>
        <v>D60P-12E</v>
      </c>
      <c r="E95" s="561" t="s">
        <v>4158</v>
      </c>
      <c r="F95" s="613"/>
      <c r="G95" s="613"/>
      <c r="H95" s="613" t="str">
        <f>IFERROR(VLOOKUP(M95,'02. MM-KLH'!$B$6:$T$823,17,0),"")</f>
        <v>190HP</v>
      </c>
      <c r="I95" s="614">
        <f>IFERROR(VLOOKUP(M95,'02. MM-KLH'!$B$6:$U$823,20,0),"")</f>
        <v>14</v>
      </c>
      <c r="J95" s="612" t="str">
        <f>IFERROR(VLOOKUP(M95,'02. MM-KLH'!$B$6:$T$823,19,0),"")</f>
        <v>6D12562174</v>
      </c>
      <c r="K95" s="612" t="str">
        <f>IFERROR(VLOOKUP(M95,'02. MM-KLH'!$B$6:$T$823,18,0),"")</f>
        <v>D60P1260928</v>
      </c>
      <c r="L95" s="613" t="str">
        <f>IFERROR(VLOOKUP(M95,'02. MM-KLH'!$B$6:$T$823,4,0),"")</f>
        <v/>
      </c>
      <c r="M95" s="488" t="s">
        <v>138</v>
      </c>
      <c r="N95" s="615">
        <f>IFERROR(VLOOKUP(M95,'02. MM-KLH'!$B$6:$T$823,15,0),"")</f>
        <v>1994</v>
      </c>
      <c r="O95" s="616" t="str">
        <f>IFERROR(VLOOKUP(M95,'02. MM-KLH'!$B$6:$T$823,9,0),"")</f>
        <v>28/05/2025</v>
      </c>
      <c r="P95" s="613"/>
      <c r="Q95" s="566" t="s">
        <v>1565</v>
      </c>
      <c r="R95" s="566" t="s">
        <v>4158</v>
      </c>
      <c r="S95" s="613"/>
      <c r="T95" s="613"/>
      <c r="U95" s="559" t="str">
        <f>IFERROR(VLOOKUP(M95,'02. MM-KLH'!$B$6:$T$823,5,0),"")</f>
        <v>MỚI (ĐQSD)</v>
      </c>
      <c r="V95" s="523" t="str">
        <f>IFERROR(VLOOKUP(M95,'02. MM-KLH'!$B$6:$T$823,8,0),"")</f>
        <v>CGTC DP</v>
      </c>
      <c r="W95" s="559" t="str">
        <f>IFERROR(VLOOKUP(V95,'NS QUẢN LÝ CG'!$A$4:$D$36,2,0),"")</f>
        <v>Phạm Ngọc Hải</v>
      </c>
      <c r="X95" s="559" t="str">
        <f>IFERROR(VLOOKUP(V95,'NS QUẢN LÝ CG'!$A$4:$D$36,4,0),"")</f>
        <v>Lô 85 DP4</v>
      </c>
      <c r="Y95" s="559" t="str">
        <f>IFERROR(VLOOKUP(V95,'NS QUẢN LÝ CG'!$A$4:$C$36,3,0),"")</f>
        <v>0825456565</v>
      </c>
      <c r="Z95" s="523" t="str">
        <f>IFERROR(VLOOKUP(M95,'02. MM-KLH'!$B$6:$T$823,3,0),"")</f>
        <v>A23-MUI-013</v>
      </c>
      <c r="AA95" s="559" t="str">
        <f>SWITCH(LEFT(Z95,3),"A22","ADM","A23","DP","A24","LP","")</f>
        <v>DP</v>
      </c>
      <c r="AB95" s="523"/>
      <c r="AC95" s="523"/>
    </row>
    <row r="96">
      <c r="A96" s="523"/>
      <c r="B96" s="612" t="str">
        <f>IFERROR(VLOOKUP(M96,'02. MM-KLH'!$B$6:$T$823,6,0),"")</f>
        <v>Máy ủi KOMATSU D60P</v>
      </c>
      <c r="C96" s="566">
        <v>1.0</v>
      </c>
      <c r="D96" s="613" t="str">
        <f>IFERROR(VLOOKUP(M96,'02. MM-KLH'!$B$6:$T$823,16,0),"")</f>
        <v>D60P</v>
      </c>
      <c r="E96" s="561" t="s">
        <v>4158</v>
      </c>
      <c r="F96" s="613"/>
      <c r="G96" s="613"/>
      <c r="H96" s="613" t="str">
        <f>IFERROR(VLOOKUP(M96,'02. MM-KLH'!$B$6:$T$823,17,0),"")</f>
        <v>190HP</v>
      </c>
      <c r="I96" s="614">
        <f>IFERROR(VLOOKUP(M96,'02. MM-KLH'!$B$6:$U$823,20,0),"")</f>
        <v>14</v>
      </c>
      <c r="J96" s="612" t="str">
        <f>IFERROR(VLOOKUP(M96,'02. MM-KLH'!$B$6:$T$823,19,0),"")</f>
        <v>6D125-30638</v>
      </c>
      <c r="K96" s="612" t="str">
        <f>IFERROR(VLOOKUP(M96,'02. MM-KLH'!$B$6:$T$823,18,0),"")</f>
        <v>D60P1261254</v>
      </c>
      <c r="L96" s="613" t="str">
        <f>IFERROR(VLOOKUP(M96,'02. MM-KLH'!$B$6:$T$823,4,0),"")</f>
        <v/>
      </c>
      <c r="M96" s="475" t="s">
        <v>392</v>
      </c>
      <c r="N96" s="615">
        <f>IFERROR(VLOOKUP(M96,'02. MM-KLH'!$B$6:$T$823,15,0),"")</f>
        <v>1995</v>
      </c>
      <c r="O96" s="616">
        <f>IFERROR(VLOOKUP(M96,'02. MM-KLH'!$B$6:$T$823,9,0),"")</f>
        <v>44228</v>
      </c>
      <c r="P96" s="613"/>
      <c r="Q96" s="566" t="s">
        <v>1565</v>
      </c>
      <c r="R96" s="561" t="s">
        <v>4158</v>
      </c>
      <c r="S96" s="613"/>
      <c r="T96" s="613"/>
      <c r="U96" s="559" t="str">
        <f>IFERROR(VLOOKUP(M96,'02. MM-KLH'!$B$6:$T$823,5,0),"")</f>
        <v>ĐQSD</v>
      </c>
      <c r="V96" s="523" t="str">
        <f>IFERROR(VLOOKUP(M96,'02. MM-KLH'!$B$6:$T$823,8,0),"")</f>
        <v>CGTC LP</v>
      </c>
      <c r="W96" s="559" t="str">
        <f>IFERROR(VLOOKUP(V96,'NS QUẢN LÝ CG'!$A$4:$D$36,2,0),"")</f>
        <v>Đỗ Đức Nghĩa</v>
      </c>
      <c r="X96" s="559" t="str">
        <f>IFERROR(VLOOKUP(V96,'NS QUẢN LÝ CG'!$A$4:$D$36,4,0),"")</f>
        <v>NOCN L.4-LP3</v>
      </c>
      <c r="Y96" s="559" t="str">
        <f>IFERROR(VLOOKUP(V96,'NS QUẢN LÝ CG'!$A$4:$C$36,3,0),"")</f>
        <v>0971462780</v>
      </c>
      <c r="Z96" s="523" t="str">
        <f>IFERROR(VLOOKUP(M96,'02. MM-KLH'!$B$6:$T$823,3,0),"")</f>
        <v>ATT-A22-0170</v>
      </c>
      <c r="AA96" s="561" t="s">
        <v>4462</v>
      </c>
      <c r="AB96" s="523"/>
      <c r="AC96" s="523"/>
    </row>
    <row r="97">
      <c r="A97" s="523"/>
      <c r="B97" s="612" t="str">
        <f>IFERROR(VLOOKUP(M97,'02. MM-KLH'!$B$6:$T$823,6,0),"")</f>
        <v>Máy ủi KOMATSU D61</v>
      </c>
      <c r="C97" s="566">
        <v>1.0</v>
      </c>
      <c r="D97" s="613" t="str">
        <f>IFERROR(VLOOKUP(M97,'02. MM-KLH'!$B$6:$T$823,16,0),"")</f>
        <v>D61PX-15</v>
      </c>
      <c r="E97" s="561" t="s">
        <v>4158</v>
      </c>
      <c r="F97" s="613"/>
      <c r="G97" s="613"/>
      <c r="H97" s="613" t="str">
        <f>IFERROR(VLOOKUP(M97,'02. MM-KLH'!$B$6:$T$823,17,0),"")</f>
        <v>155HP</v>
      </c>
      <c r="I97" s="614">
        <f>IFERROR(VLOOKUP(M97,'02. MM-KLH'!$B$6:$U$823,20,0),"")</f>
        <v>14</v>
      </c>
      <c r="J97" s="612">
        <f>IFERROR(VLOOKUP(M97,'02. MM-KLH'!$B$6:$T$823,19,0),"")</f>
        <v>30559211</v>
      </c>
      <c r="K97" s="612" t="str">
        <f>IFERROR(VLOOKUP(M97,'02. MM-KLH'!$B$6:$T$823,18,0),"")</f>
        <v>KMT0D063H51B40955</v>
      </c>
      <c r="L97" s="613" t="str">
        <f>IFERROR(VLOOKUP(M97,'02. MM-KLH'!$B$6:$T$823,4,0),"")</f>
        <v/>
      </c>
      <c r="M97" s="132" t="s">
        <v>542</v>
      </c>
      <c r="N97" s="615">
        <f>IFERROR(VLOOKUP(M97,'02. MM-KLH'!$B$6:$T$823,15,0),"")</f>
        <v>2006</v>
      </c>
      <c r="O97" s="616" t="str">
        <f>IFERROR(VLOOKUP(M97,'02. MM-KLH'!$B$6:$T$823,9,0),"")</f>
        <v>20/07/2026</v>
      </c>
      <c r="P97" s="269"/>
      <c r="Q97" s="564">
        <v>6297.0</v>
      </c>
      <c r="R97" s="561" t="s">
        <v>4158</v>
      </c>
      <c r="S97" s="613"/>
      <c r="T97" s="613"/>
      <c r="U97" s="559" t="str">
        <f>IFERROR(VLOOKUP(M97,'02. MM-KLH'!$B$6:$T$823,5,0),"")</f>
        <v>MỚI (ĐQSD)</v>
      </c>
      <c r="V97" s="523" t="str">
        <f>IFERROR(VLOOKUP(M97,'02. MM-KLH'!$B$6:$T$823,8,0),"")</f>
        <v>CGTC AD</v>
      </c>
      <c r="W97" s="559" t="str">
        <f>IFERROR(VLOOKUP(V97,'NS QUẢN LÝ CG'!$A$4:$D$36,2,0),"")</f>
        <v>Vũ Trung Kiên</v>
      </c>
      <c r="X97" s="559" t="str">
        <f>IFERROR(VLOOKUP(V97,'NS QUẢN LÝ CG'!$A$4:$D$36,4,0),"")</f>
        <v>Lô 73 ADM</v>
      </c>
      <c r="Y97" s="559" t="str">
        <f>IFERROR(VLOOKUP(V97,'NS QUẢN LÝ CG'!$A$4:$C$36,3,0),"")</f>
        <v>0981761677</v>
      </c>
      <c r="Z97" s="523" t="str">
        <f>IFERROR(VLOOKUP(M97,'02. MM-KLH'!$B$6:$T$823,3,0),"")</f>
        <v>A23-MUI-014</v>
      </c>
      <c r="AA97" s="559" t="str">
        <f>SWITCH(LEFT(Z97,3),"A22","ADM","A23","DP","A24","LP","")</f>
        <v>DP</v>
      </c>
      <c r="AB97" s="523"/>
      <c r="AC97" s="523"/>
    </row>
    <row r="98">
      <c r="A98" s="523"/>
      <c r="B98" s="612" t="str">
        <f>IFERROR(VLOOKUP(M98,'02. MM-KLH'!$B$6:$T$823,6,0),"")</f>
        <v>Máy ủi KOMATSU D65P-12</v>
      </c>
      <c r="C98" s="566">
        <v>1.0</v>
      </c>
      <c r="D98" s="613" t="str">
        <f>IFERROR(VLOOKUP(M98,'02. MM-KLH'!$B$6:$T$823,16,0),"")</f>
        <v>D65P-12</v>
      </c>
      <c r="E98" s="561" t="s">
        <v>4158</v>
      </c>
      <c r="F98" s="613"/>
      <c r="G98" s="613"/>
      <c r="H98" s="613" t="str">
        <f>IFERROR(VLOOKUP(M98,'02. MM-KLH'!$B$6:$T$823,17,0),"")</f>
        <v>190HP</v>
      </c>
      <c r="I98" s="614">
        <f>IFERROR(VLOOKUP(M98,'02. MM-KLH'!$B$6:$U$823,20,0),"")</f>
        <v>14</v>
      </c>
      <c r="J98" s="612" t="str">
        <f>IFERROR(VLOOKUP(M98,'02. MM-KLH'!$B$6:$T$823,19,0),"")</f>
        <v>6D12554976</v>
      </c>
      <c r="K98" s="612" t="str">
        <f>IFERROR(VLOOKUP(M98,'02. MM-KLH'!$B$6:$T$823,18,0),"")</f>
        <v>D65P1260304</v>
      </c>
      <c r="L98" s="613" t="str">
        <f>IFERROR(VLOOKUP(M98,'02. MM-KLH'!$B$6:$T$823,4,0),"")</f>
        <v/>
      </c>
      <c r="M98" s="490" t="s">
        <v>132</v>
      </c>
      <c r="N98" s="615">
        <f>IFERROR(VLOOKUP(M98,'02. MM-KLH'!$B$6:$T$823,15,0),"")</f>
        <v>1992</v>
      </c>
      <c r="O98" s="616">
        <f>IFERROR(VLOOKUP(M98,'02. MM-KLH'!$B$6:$T$823,9,0),"")</f>
        <v>44287</v>
      </c>
      <c r="P98" s="269"/>
      <c r="Q98" s="566" t="s">
        <v>1565</v>
      </c>
      <c r="R98" s="613"/>
      <c r="S98" s="566" t="s">
        <v>4158</v>
      </c>
      <c r="T98" s="613"/>
      <c r="U98" s="559" t="str">
        <f>IFERROR(VLOOKUP(M98,'02. MM-KLH'!$B$6:$T$823,5,0),"")</f>
        <v>ĐQSD</v>
      </c>
      <c r="V98" s="523" t="str">
        <f>IFERROR(VLOOKUP(M98,'02. MM-KLH'!$B$6:$T$823,8,0),"")</f>
        <v>CGTC DP</v>
      </c>
      <c r="W98" s="559" t="str">
        <f>IFERROR(VLOOKUP(V98,'NS QUẢN LÝ CG'!$A$4:$D$36,2,0),"")</f>
        <v>Phạm Ngọc Hải</v>
      </c>
      <c r="X98" s="559" t="str">
        <f>IFERROR(VLOOKUP(V98,'NS QUẢN LÝ CG'!$A$4:$D$36,4,0),"")</f>
        <v>Lô 85 DP4</v>
      </c>
      <c r="Y98" s="559" t="str">
        <f>IFERROR(VLOOKUP(V98,'NS QUẢN LÝ CG'!$A$4:$C$36,3,0),"")</f>
        <v>0825456565</v>
      </c>
      <c r="Z98" s="523" t="str">
        <f>IFERROR(VLOOKUP(M98,'02. MM-KLH'!$B$6:$T$823,3,0),"")</f>
        <v>ATM-A22-0089</v>
      </c>
      <c r="AA98" s="561" t="s">
        <v>4462</v>
      </c>
      <c r="AB98" s="523"/>
      <c r="AC98" s="523"/>
    </row>
    <row r="99">
      <c r="A99" s="523"/>
      <c r="B99" s="612" t="str">
        <f>IFERROR(VLOOKUP(M99,'02. MM-KLH'!$B$6:$T$823,6,0),"")</f>
        <v>Máy ủi KOMATSU D65PX-12</v>
      </c>
      <c r="C99" s="566">
        <v>1.0</v>
      </c>
      <c r="D99" s="613" t="str">
        <f>IFERROR(VLOOKUP(M99,'02. MM-KLH'!$B$6:$T$823,16,0),"")</f>
        <v>D65PX-12E</v>
      </c>
      <c r="E99" s="561" t="s">
        <v>4158</v>
      </c>
      <c r="F99" s="613"/>
      <c r="G99" s="613"/>
      <c r="H99" s="613" t="str">
        <f>IFERROR(VLOOKUP(M99,'02. MM-KLH'!$B$6:$T$823,17,0),"")</f>
        <v>205HP</v>
      </c>
      <c r="I99" s="614">
        <f>IFERROR(VLOOKUP(M99,'02. MM-KLH'!$B$6:$U$823,20,0),"")</f>
        <v>14</v>
      </c>
      <c r="J99" s="612" t="str">
        <f>IFERROR(VLOOKUP(M99,'02. MM-KLH'!$B$6:$T$823,19,0),"")</f>
        <v>6D12564712</v>
      </c>
      <c r="K99" s="612" t="str">
        <f>IFERROR(VLOOKUP(M99,'02. MM-KLH'!$B$6:$T$823,18,0),"")</f>
        <v>D60P1261177</v>
      </c>
      <c r="L99" s="613" t="str">
        <f>IFERROR(VLOOKUP(M99,'02. MM-KLH'!$B$6:$T$823,4,0),"")</f>
        <v/>
      </c>
      <c r="M99" s="488" t="s">
        <v>528</v>
      </c>
      <c r="N99" s="615">
        <f>IFERROR(VLOOKUP(M99,'02. MM-KLH'!$B$6:$T$823,15,0),"")</f>
        <v>1996</v>
      </c>
      <c r="O99" s="616">
        <f>IFERROR(VLOOKUP(M99,'02. MM-KLH'!$B$6:$T$823,9,0),"")</f>
        <v>43841</v>
      </c>
      <c r="P99" s="269"/>
      <c r="Q99" s="564">
        <v>2871.0</v>
      </c>
      <c r="R99" s="613"/>
      <c r="S99" s="561" t="s">
        <v>4158</v>
      </c>
      <c r="T99" s="613"/>
      <c r="U99" s="559" t="str">
        <f>IFERROR(VLOOKUP(M99,'02. MM-KLH'!$B$6:$T$823,5,0),"")</f>
        <v>ĐQSD</v>
      </c>
      <c r="V99" s="523" t="str">
        <f>IFERROR(VLOOKUP(M99,'02. MM-KLH'!$B$6:$T$823,8,0),"")</f>
        <v>CGTC AD</v>
      </c>
      <c r="W99" s="559" t="str">
        <f>IFERROR(VLOOKUP(V99,'NS QUẢN LÝ CG'!$A$4:$D$36,2,0),"")</f>
        <v>Vũ Trung Kiên</v>
      </c>
      <c r="X99" s="559" t="str">
        <f>IFERROR(VLOOKUP(V99,'NS QUẢN LÝ CG'!$A$4:$D$36,4,0),"")</f>
        <v>Lô 73 ADM</v>
      </c>
      <c r="Y99" s="559" t="str">
        <f>IFERROR(VLOOKUP(V99,'NS QUẢN LÝ CG'!$A$4:$C$36,3,0),"")</f>
        <v>0981761677</v>
      </c>
      <c r="Z99" s="523" t="str">
        <f>IFERROR(VLOOKUP(M99,'02. MM-KLH'!$B$6:$T$823,3,0),"")</f>
        <v>ATT-A22-0136</v>
      </c>
      <c r="AA99" s="561" t="s">
        <v>4462</v>
      </c>
      <c r="AB99" s="523"/>
      <c r="AC99" s="523"/>
    </row>
    <row r="100">
      <c r="A100" s="523"/>
      <c r="B100" s="612" t="str">
        <f>IFERROR(VLOOKUP(M100,'02. MM-KLH'!$B$6:$T$823,6,0),"")</f>
        <v/>
      </c>
      <c r="C100" s="665"/>
      <c r="D100" s="613" t="str">
        <f>IFERROR(VLOOKUP(M100,'02. MM-KLH'!$B$6:$T$823,16,0),"")</f>
        <v/>
      </c>
      <c r="E100" s="613"/>
      <c r="F100" s="613"/>
      <c r="G100" s="613"/>
      <c r="H100" s="613" t="str">
        <f>IFERROR(VLOOKUP(M100,'02. MM-KLH'!$B$6:$T$823,17,0),"")</f>
        <v/>
      </c>
      <c r="I100" s="614" t="str">
        <f>IFERROR(VLOOKUP(M100,'02. MM-KLH'!$B$6:$U$823,20,0),"")</f>
        <v/>
      </c>
      <c r="J100" s="612" t="str">
        <f>IFERROR(VLOOKUP(M100,'02. MM-KLH'!$B$6:$T$823,19,0),"")</f>
        <v/>
      </c>
      <c r="K100" s="612" t="str">
        <f>IFERROR(VLOOKUP(M100,'02. MM-KLH'!$B$6:$T$823,18,0),"")</f>
        <v/>
      </c>
      <c r="L100" s="613" t="str">
        <f>IFERROR(VLOOKUP(M100,'02. MM-KLH'!$B$6:$T$823,4,0),"")</f>
        <v/>
      </c>
      <c r="M100" s="585"/>
      <c r="N100" s="615" t="str">
        <f>IFERROR(VLOOKUP(M100,'02. MM-KLH'!$B$6:$T$823,15,0),"")</f>
        <v/>
      </c>
      <c r="O100" s="616" t="str">
        <f>IFERROR(VLOOKUP(M100,'02. MM-KLH'!$B$6:$T$823,9,0),"")</f>
        <v/>
      </c>
      <c r="P100" s="613"/>
      <c r="Q100" s="613"/>
      <c r="R100" s="613"/>
      <c r="S100" s="613"/>
      <c r="T100" s="613"/>
      <c r="U100" s="613" t="str">
        <f>IFERROR(VLOOKUP(M100,'02. MM-KLH'!$B$6:$T$823,2,0),"")</f>
        <v/>
      </c>
      <c r="V100" s="523" t="str">
        <f>IFERROR(VLOOKUP(M100,'02. MM-KLH'!$B$6:$T$823,8,0),"")</f>
        <v/>
      </c>
      <c r="W100" s="559" t="str">
        <f>IFERROR(VLOOKUP(V100,'NS QUẢN LÝ CG'!$A$4:$D$36,2,0),"")</f>
        <v/>
      </c>
      <c r="X100" s="559" t="str">
        <f>IFERROR(VLOOKUP(V100,'NS QUẢN LÝ CG'!$A$4:$D$36,4,0),"")</f>
        <v/>
      </c>
      <c r="Y100" s="613"/>
      <c r="Z100" s="523" t="str">
        <f>IFERROR(VLOOKUP(M100,'02. MM-KLH'!$B$6:$T$823,3,0),"")</f>
        <v/>
      </c>
      <c r="AA100" s="613"/>
      <c r="AB100" s="523"/>
      <c r="AC100" s="523"/>
    </row>
    <row r="101" hidden="1">
      <c r="A101" s="523"/>
      <c r="B101" s="612" t="str">
        <f>IFERROR(VLOOKUP(M101,'02. MM-KLH'!$B$6:$T$823,6,0),"")</f>
        <v/>
      </c>
      <c r="C101" s="665"/>
      <c r="D101" s="613" t="str">
        <f>IFERROR(VLOOKUP(M101,'02. MM-KLH'!$B$6:$T$823,16,0),"")</f>
        <v/>
      </c>
      <c r="E101" s="613"/>
      <c r="F101" s="613"/>
      <c r="G101" s="613"/>
      <c r="H101" s="613" t="str">
        <f>IFERROR(VLOOKUP(M101,'02. MM-KLH'!$B$6:$T$823,17,0),"")</f>
        <v/>
      </c>
      <c r="I101" s="614" t="str">
        <f>IFERROR(VLOOKUP(M101,'02. MM-KLH'!$B$6:$U$823,20,0),"")</f>
        <v/>
      </c>
      <c r="J101" s="612" t="str">
        <f>IFERROR(VLOOKUP(M101,'02. MM-KLH'!$B$6:$T$823,19,0),"")</f>
        <v/>
      </c>
      <c r="K101" s="612" t="str">
        <f>IFERROR(VLOOKUP(M101,'02. MM-KLH'!$B$6:$T$823,18,0),"")</f>
        <v/>
      </c>
      <c r="L101" s="613" t="str">
        <f>IFERROR(VLOOKUP(M101,'02. MM-KLH'!$B$6:$T$823,4,0),"")</f>
        <v/>
      </c>
      <c r="M101" s="585"/>
      <c r="N101" s="615" t="str">
        <f>IFERROR(VLOOKUP(M101,'02. MM-KLH'!$B$6:$T$823,15,0),"")</f>
        <v/>
      </c>
      <c r="O101" s="616" t="str">
        <f>IFERROR(VLOOKUP(M101,'02. MM-KLH'!$B$6:$T$823,9,0),"")</f>
        <v/>
      </c>
      <c r="P101" s="613"/>
      <c r="Q101" s="613"/>
      <c r="R101" s="613"/>
      <c r="S101" s="613"/>
      <c r="T101" s="613"/>
      <c r="U101" s="613" t="str">
        <f>IFERROR(VLOOKUP(M101,'02. MM-KLH'!$B$6:$T$823,2,0),"")</f>
        <v/>
      </c>
      <c r="V101" s="523" t="str">
        <f>IFERROR(VLOOKUP(M101,'02. MM-KLH'!$B$6:$T$823,8,0),"")</f>
        <v/>
      </c>
      <c r="W101" s="613"/>
      <c r="X101" s="613"/>
      <c r="Y101" s="613"/>
      <c r="Z101" s="523" t="str">
        <f>IFERROR(VLOOKUP(M101,'02. MM-KLH'!$B$6:$T$823,3,0),"")</f>
        <v/>
      </c>
      <c r="AA101" s="613"/>
      <c r="AB101" s="523"/>
      <c r="AC101" s="523"/>
    </row>
    <row r="102" hidden="1">
      <c r="A102" s="523"/>
      <c r="B102" s="612" t="str">
        <f>IFERROR(VLOOKUP(M102,'02. MM-KLH'!$B$6:$T$823,6,0),"")</f>
        <v/>
      </c>
      <c r="C102" s="665"/>
      <c r="D102" s="613" t="str">
        <f>IFERROR(VLOOKUP(M102,'02. MM-KLH'!$B$6:$T$823,16,0),"")</f>
        <v/>
      </c>
      <c r="E102" s="613"/>
      <c r="F102" s="613"/>
      <c r="G102" s="613"/>
      <c r="H102" s="613" t="str">
        <f>IFERROR(VLOOKUP(M102,'02. MM-KLH'!$B$6:$T$823,17,0),"")</f>
        <v/>
      </c>
      <c r="I102" s="614" t="str">
        <f>IFERROR(VLOOKUP(M102,'02. MM-KLH'!$B$6:$U$823,20,0),"")</f>
        <v/>
      </c>
      <c r="J102" s="612" t="str">
        <f>IFERROR(VLOOKUP(M102,'02. MM-KLH'!$B$6:$T$823,19,0),"")</f>
        <v/>
      </c>
      <c r="K102" s="612" t="str">
        <f>IFERROR(VLOOKUP(M102,'02. MM-KLH'!$B$6:$T$823,18,0),"")</f>
        <v/>
      </c>
      <c r="L102" s="613" t="str">
        <f>IFERROR(VLOOKUP(M102,'02. MM-KLH'!$B$6:$T$823,4,0),"")</f>
        <v/>
      </c>
      <c r="M102" s="585"/>
      <c r="N102" s="615" t="str">
        <f>IFERROR(VLOOKUP(M102,'02. MM-KLH'!$B$6:$T$823,15,0),"")</f>
        <v/>
      </c>
      <c r="O102" s="616" t="str">
        <f>IFERROR(VLOOKUP(M102,'02. MM-KLH'!$B$6:$T$823,9,0),"")</f>
        <v/>
      </c>
      <c r="P102" s="613"/>
      <c r="Q102" s="613"/>
      <c r="R102" s="613"/>
      <c r="S102" s="613"/>
      <c r="T102" s="613"/>
      <c r="U102" s="613" t="str">
        <f>IFERROR(VLOOKUP(M102,'02. MM-KLH'!$B$6:$T$823,2,0),"")</f>
        <v/>
      </c>
      <c r="V102" s="523" t="str">
        <f>IFERROR(VLOOKUP(M102,'02. MM-KLH'!$B$6:$T$823,8,0),"")</f>
        <v/>
      </c>
      <c r="W102" s="613"/>
      <c r="X102" s="613"/>
      <c r="Y102" s="613"/>
      <c r="Z102" s="523" t="str">
        <f>IFERROR(VLOOKUP(M102,'02. MM-KLH'!$B$6:$T$823,3,0),"")</f>
        <v/>
      </c>
      <c r="AA102" s="613"/>
      <c r="AB102" s="523"/>
      <c r="AC102" s="523"/>
    </row>
    <row r="103">
      <c r="A103" s="542" t="s">
        <v>1974</v>
      </c>
      <c r="B103" s="543" t="s">
        <v>1552</v>
      </c>
      <c r="C103" s="544">
        <f>SUM(C104,C117)</f>
        <v>11</v>
      </c>
      <c r="D103" s="545"/>
      <c r="E103" s="545"/>
      <c r="F103" s="545"/>
      <c r="G103" s="545"/>
      <c r="H103" s="545"/>
      <c r="I103" s="546"/>
      <c r="J103" s="547"/>
      <c r="K103" s="547"/>
      <c r="L103" s="545"/>
      <c r="M103" s="545"/>
      <c r="N103" s="545"/>
      <c r="O103" s="548"/>
      <c r="P103" s="545"/>
      <c r="Q103" s="545"/>
      <c r="R103" s="545"/>
      <c r="S103" s="545"/>
      <c r="T103" s="545"/>
      <c r="U103" s="545"/>
      <c r="V103" s="546"/>
      <c r="W103" s="545"/>
      <c r="X103" s="545"/>
      <c r="Y103" s="545"/>
      <c r="Z103" s="546"/>
      <c r="AA103" s="545"/>
      <c r="AB103" s="546"/>
      <c r="AC103" s="549"/>
    </row>
    <row r="104">
      <c r="A104" s="550">
        <v>1.0</v>
      </c>
      <c r="B104" s="551" t="s">
        <v>187</v>
      </c>
      <c r="C104" s="550">
        <f>COUNTA(B105:B116)</f>
        <v>9</v>
      </c>
      <c r="D104" s="552"/>
      <c r="E104" s="552"/>
      <c r="F104" s="552"/>
      <c r="G104" s="552"/>
      <c r="H104" s="552"/>
      <c r="I104" s="553"/>
      <c r="J104" s="554"/>
      <c r="K104" s="554"/>
      <c r="L104" s="552"/>
      <c r="M104" s="555"/>
      <c r="N104" s="552"/>
      <c r="O104" s="556"/>
      <c r="P104" s="552"/>
      <c r="Q104" s="552"/>
      <c r="R104" s="552"/>
      <c r="S104" s="552"/>
      <c r="T104" s="552"/>
      <c r="U104" s="552"/>
      <c r="V104" s="557"/>
      <c r="W104" s="552"/>
      <c r="X104" s="552"/>
      <c r="Y104" s="552"/>
      <c r="Z104" s="557"/>
      <c r="AA104" s="552"/>
      <c r="AB104" s="557"/>
      <c r="AC104" s="558"/>
    </row>
    <row r="105">
      <c r="A105" s="523"/>
      <c r="B105" s="612" t="str">
        <f>IFERROR(VLOOKUP(M105,'02. MM-KLH'!$B$6:$T$823,6,0),"")</f>
        <v>Xe lu rung SV521DH 11 tấn</v>
      </c>
      <c r="C105" s="566">
        <v>1.0</v>
      </c>
      <c r="D105" s="613" t="str">
        <f>IFERROR(VLOOKUP(M105,'02. MM-KLH'!$B$6:$T$823,16,0),"")</f>
        <v>SV521DH</v>
      </c>
      <c r="E105" s="561" t="s">
        <v>4158</v>
      </c>
      <c r="F105" s="613"/>
      <c r="G105" s="613"/>
      <c r="H105" s="613" t="str">
        <f>IFERROR(VLOOKUP(M105,'02. MM-KLH'!$B$6:$T$823,17,0),"")</f>
        <v>112HP</v>
      </c>
      <c r="I105" s="614">
        <f>IFERROR(VLOOKUP(M105,'02. MM-KLH'!$B$6:$U$823,20,0),"")</f>
        <v>7</v>
      </c>
      <c r="J105" s="612" t="str">
        <f>IFERROR(VLOOKUP(M105,'02. MM-KLH'!$B$6:$T$823,19,0),"")</f>
        <v>CCN</v>
      </c>
      <c r="K105" s="612" t="str">
        <f>IFERROR(VLOOKUP(M105,'02. MM-KLH'!$B$6:$T$823,18,0),"")</f>
        <v>2SV6610202</v>
      </c>
      <c r="L105" s="613" t="str">
        <f>IFERROR(VLOOKUP(M105,'02. MM-KLH'!$B$6:$T$823,4,0),"")</f>
        <v/>
      </c>
      <c r="M105" s="475" t="s">
        <v>185</v>
      </c>
      <c r="N105" s="615">
        <f>IFERROR(VLOOKUP(M105,'02. MM-KLH'!$B$6:$T$823,15,0),"")</f>
        <v>2006</v>
      </c>
      <c r="O105" s="616">
        <f>IFERROR(VLOOKUP(M105,'02. MM-KLH'!$B$6:$T$823,9,0),"")</f>
        <v>43835</v>
      </c>
      <c r="P105" s="613"/>
      <c r="Q105" s="566">
        <v>12094.0</v>
      </c>
      <c r="R105" s="566" t="s">
        <v>4158</v>
      </c>
      <c r="S105" s="613"/>
      <c r="T105" s="613"/>
      <c r="U105" s="559" t="str">
        <f>IFERROR(VLOOKUP(M105,'02. MM-KLH'!$B$6:$T$823,5,0),"")</f>
        <v>ĐQSD</v>
      </c>
      <c r="V105" s="523" t="str">
        <f>IFERROR(VLOOKUP(M105,'02. MM-KLH'!$B$6:$T$823,8,0),"")</f>
        <v>CGTC DP</v>
      </c>
      <c r="W105" s="559" t="str">
        <f>IFERROR(VLOOKUP(V105,'NS QUẢN LÝ CG'!$A$4:$D$36,2,0),"")</f>
        <v>Phạm Ngọc Hải</v>
      </c>
      <c r="X105" s="559" t="str">
        <f>IFERROR(VLOOKUP(V105,'NS QUẢN LÝ CG'!$A$4:$D$36,4,0),"")</f>
        <v>Lô 85 DP4</v>
      </c>
      <c r="Y105" s="559" t="str">
        <f>IFERROR(VLOOKUP(V105,'NS QUẢN LÝ CG'!$A$4:$C$36,3,0),"")</f>
        <v>0825456565</v>
      </c>
      <c r="Z105" s="523" t="str">
        <f>IFERROR(VLOOKUP(M105,'02. MM-KLH'!$B$6:$T$823,3,0),"")</f>
        <v>ATT-A23-0026</v>
      </c>
      <c r="AA105" s="561" t="s">
        <v>4312</v>
      </c>
      <c r="AB105" s="523"/>
      <c r="AC105" s="523"/>
    </row>
    <row r="106">
      <c r="A106" s="523"/>
      <c r="B106" s="612" t="str">
        <f>IFERROR(VLOOKUP(M106,'02. MM-KLH'!$B$6:$T$823,6,0),"")</f>
        <v>Xe lu tĩnh R2 10 tấn</v>
      </c>
      <c r="C106" s="566">
        <v>1.0</v>
      </c>
      <c r="D106" s="613" t="str">
        <f>IFERROR(VLOOKUP(M106,'02. MM-KLH'!$B$6:$T$823,16,0),"")</f>
        <v>R2S</v>
      </c>
      <c r="E106" s="561" t="s">
        <v>4158</v>
      </c>
      <c r="F106" s="613"/>
      <c r="G106" s="613"/>
      <c r="H106" s="613" t="str">
        <f>IFERROR(VLOOKUP(M106,'02. MM-KLH'!$B$6:$T$823,17,0),"")</f>
        <v>74HP</v>
      </c>
      <c r="I106" s="614">
        <f>IFERROR(VLOOKUP(M106,'02. MM-KLH'!$B$6:$U$823,20,0),"")</f>
        <v>4</v>
      </c>
      <c r="J106" s="612" t="str">
        <f>IFERROR(VLOOKUP(M106,'02. MM-KLH'!$B$6:$T$823,19,0),"")</f>
        <v>W04DA26254</v>
      </c>
      <c r="K106" s="612" t="str">
        <f>IFERROR(VLOOKUP(M106,'02. MM-KLH'!$B$6:$T$823,18,0),"")</f>
        <v>RR211446</v>
      </c>
      <c r="L106" s="613" t="str">
        <f>IFERROR(VLOOKUP(M106,'02. MM-KLH'!$B$6:$T$823,4,0),"")</f>
        <v/>
      </c>
      <c r="M106" s="475" t="s">
        <v>191</v>
      </c>
      <c r="N106" s="615">
        <f>IFERROR(VLOOKUP(M106,'02. MM-KLH'!$B$6:$T$823,15,0),"")</f>
        <v>1990</v>
      </c>
      <c r="O106" s="616">
        <f>IFERROR(VLOOKUP(M106,'02. MM-KLH'!$B$6:$T$823,9,0),"")</f>
        <v>44136</v>
      </c>
      <c r="P106" s="613"/>
      <c r="Q106" s="566" t="s">
        <v>1565</v>
      </c>
      <c r="R106" s="566" t="s">
        <v>4158</v>
      </c>
      <c r="S106" s="613"/>
      <c r="T106" s="613"/>
      <c r="U106" s="559" t="str">
        <f>IFERROR(VLOOKUP(M106,'02. MM-KLH'!$B$6:$T$823,5,0),"")</f>
        <v>ĐQSD</v>
      </c>
      <c r="V106" s="523" t="str">
        <f>IFERROR(VLOOKUP(M106,'02. MM-KLH'!$B$6:$T$823,8,0),"")</f>
        <v>CGTC DP</v>
      </c>
      <c r="W106" s="559" t="str">
        <f>IFERROR(VLOOKUP(V106,'NS QUẢN LÝ CG'!$A$4:$D$36,2,0),"")</f>
        <v>Phạm Ngọc Hải</v>
      </c>
      <c r="X106" s="559" t="str">
        <f>IFERROR(VLOOKUP(V106,'NS QUẢN LÝ CG'!$A$4:$D$36,4,0),"")</f>
        <v>Lô 85 DP4</v>
      </c>
      <c r="Y106" s="559" t="str">
        <f>IFERROR(VLOOKUP(V106,'NS QUẢN LÝ CG'!$A$4:$C$36,3,0),"")</f>
        <v>0825456565</v>
      </c>
      <c r="Z106" s="523" t="str">
        <f>IFERROR(VLOOKUP(M106,'02. MM-KLH'!$B$6:$T$823,3,0),"")</f>
        <v>ATT-A22-0153</v>
      </c>
      <c r="AA106" s="561" t="s">
        <v>4462</v>
      </c>
      <c r="AB106" s="523"/>
      <c r="AC106" s="523"/>
    </row>
    <row r="107">
      <c r="A107" s="523"/>
      <c r="B107" s="612" t="str">
        <f>IFERROR(VLOOKUP(M107,'02. MM-KLH'!$B$6:$T$823,6,0),"")</f>
        <v>Xe lu rung SV521DH 11 tấn</v>
      </c>
      <c r="C107" s="566">
        <v>1.0</v>
      </c>
      <c r="D107" s="613" t="str">
        <f>IFERROR(VLOOKUP(M107,'02. MM-KLH'!$B$6:$T$823,16,0),"")</f>
        <v>SV521DH</v>
      </c>
      <c r="E107" s="561" t="s">
        <v>4158</v>
      </c>
      <c r="F107" s="613"/>
      <c r="G107" s="613"/>
      <c r="H107" s="613" t="str">
        <f>IFERROR(VLOOKUP(M107,'02. MM-KLH'!$B$6:$T$823,17,0),"")</f>
        <v>112HP</v>
      </c>
      <c r="I107" s="614">
        <f>IFERROR(VLOOKUP(M107,'02. MM-KLH'!$B$6:$U$823,20,0),"")</f>
        <v>7</v>
      </c>
      <c r="J107" s="612">
        <f>IFERROR(VLOOKUP(M107,'02. MM-KLH'!$B$6:$T$823,19,0),"")</f>
        <v>133243</v>
      </c>
      <c r="K107" s="612" t="str">
        <f>IFERROR(VLOOKUP(M107,'02. MM-KLH'!$B$6:$T$823,18,0),"")</f>
        <v>2SV6610477</v>
      </c>
      <c r="L107" s="613" t="str">
        <f>IFERROR(VLOOKUP(M107,'02. MM-KLH'!$B$6:$T$823,4,0),"")</f>
        <v/>
      </c>
      <c r="M107" s="475" t="s">
        <v>399</v>
      </c>
      <c r="N107" s="615">
        <f>IFERROR(VLOOKUP(M107,'02. MM-KLH'!$B$6:$T$823,15,0),"")</f>
        <v>2020</v>
      </c>
      <c r="O107" s="616">
        <f>IFERROR(VLOOKUP(M107,'02. MM-KLH'!$B$6:$T$823,9,0),"")</f>
        <v>44197</v>
      </c>
      <c r="P107" s="613"/>
      <c r="Q107" s="566" t="s">
        <v>1565</v>
      </c>
      <c r="R107" s="566" t="s">
        <v>4158</v>
      </c>
      <c r="S107" s="613"/>
      <c r="T107" s="613"/>
      <c r="U107" s="559" t="str">
        <f>IFERROR(VLOOKUP(M107,'02. MM-KLH'!$B$6:$T$823,5,0),"")</f>
        <v>ĐQSD</v>
      </c>
      <c r="V107" s="523" t="str">
        <f>IFERROR(VLOOKUP(M107,'02. MM-KLH'!$B$6:$T$823,8,0),"")</f>
        <v>CGTC LP</v>
      </c>
      <c r="W107" s="559" t="str">
        <f>IFERROR(VLOOKUP(V107,'NS QUẢN LÝ CG'!$A$4:$D$36,2,0),"")</f>
        <v>Đỗ Đức Nghĩa</v>
      </c>
      <c r="X107" s="559" t="str">
        <f>IFERROR(VLOOKUP(V107,'NS QUẢN LÝ CG'!$A$4:$D$36,4,0),"")</f>
        <v>NOCN L.4-LP3</v>
      </c>
      <c r="Y107" s="559" t="str">
        <f>IFERROR(VLOOKUP(V107,'NS QUẢN LÝ CG'!$A$4:$C$36,3,0),"")</f>
        <v>0971462780</v>
      </c>
      <c r="Z107" s="523" t="str">
        <f>IFERROR(VLOOKUP(M107,'02. MM-KLH'!$B$6:$T$823,3,0),"")</f>
        <v>ATT-A24-0057</v>
      </c>
      <c r="AA107" s="561" t="s">
        <v>5046</v>
      </c>
      <c r="AB107" s="523"/>
      <c r="AC107" s="523"/>
    </row>
    <row r="108">
      <c r="A108" s="523"/>
      <c r="B108" s="612" t="str">
        <f>IFERROR(VLOOKUP(M108,'02. MM-KLH'!$B$6:$T$823,6,0),"")</f>
        <v>Xe lu tĩnh R2 10 tấn</v>
      </c>
      <c r="C108" s="566">
        <v>1.0</v>
      </c>
      <c r="D108" s="613" t="str">
        <f>IFERROR(VLOOKUP(M108,'02. MM-KLH'!$B$6:$T$823,16,0),"")</f>
        <v>R2</v>
      </c>
      <c r="E108" s="561" t="s">
        <v>4158</v>
      </c>
      <c r="F108" s="613"/>
      <c r="G108" s="613"/>
      <c r="H108" s="613" t="str">
        <f>IFERROR(VLOOKUP(M108,'02. MM-KLH'!$B$6:$T$823,17,0),"")</f>
        <v>74HP</v>
      </c>
      <c r="I108" s="614">
        <f>IFERROR(VLOOKUP(M108,'02. MM-KLH'!$B$6:$U$823,20,0),"")</f>
        <v>4</v>
      </c>
      <c r="J108" s="612" t="str">
        <f>IFERROR(VLOOKUP(M108,'02. MM-KLH'!$B$6:$T$823,19,0),"")</f>
        <v>W04DF15218</v>
      </c>
      <c r="K108" s="612" t="str">
        <f>IFERROR(VLOOKUP(M108,'02. MM-KLH'!$B$6:$T$823,18,0),"")</f>
        <v>RR321551</v>
      </c>
      <c r="L108" s="613" t="str">
        <f>IFERROR(VLOOKUP(M108,'02. MM-KLH'!$B$6:$T$823,4,0),"")</f>
        <v/>
      </c>
      <c r="M108" s="475" t="s">
        <v>402</v>
      </c>
      <c r="N108" s="615">
        <f>IFERROR(VLOOKUP(M108,'02. MM-KLH'!$B$6:$T$823,15,0),"")</f>
        <v>2000</v>
      </c>
      <c r="O108" s="616">
        <f>IFERROR(VLOOKUP(M108,'02. MM-KLH'!$B$6:$T$823,9,0),"")</f>
        <v>44197</v>
      </c>
      <c r="P108" s="613"/>
      <c r="Q108" s="566" t="s">
        <v>1565</v>
      </c>
      <c r="R108" s="613"/>
      <c r="S108" s="613"/>
      <c r="T108" s="566" t="s">
        <v>4158</v>
      </c>
      <c r="U108" s="559" t="str">
        <f>IFERROR(VLOOKUP(M108,'02. MM-KLH'!$B$6:$T$823,5,0),"")</f>
        <v>ĐQSD</v>
      </c>
      <c r="V108" s="523" t="str">
        <f>IFERROR(VLOOKUP(M108,'02. MM-KLH'!$B$6:$T$823,8,0),"")</f>
        <v>CGTC LP</v>
      </c>
      <c r="W108" s="559" t="str">
        <f>IFERROR(VLOOKUP(V108,'NS QUẢN LÝ CG'!$A$4:$D$36,2,0),"")</f>
        <v>Đỗ Đức Nghĩa</v>
      </c>
      <c r="X108" s="559" t="str">
        <f>IFERROR(VLOOKUP(V108,'NS QUẢN LÝ CG'!$A$4:$D$36,4,0),"")</f>
        <v>NOCN L.4-LP3</v>
      </c>
      <c r="Y108" s="559" t="str">
        <f>IFERROR(VLOOKUP(V108,'NS QUẢN LÝ CG'!$A$4:$C$36,3,0),"")</f>
        <v>0971462780</v>
      </c>
      <c r="Z108" s="523" t="str">
        <f>IFERROR(VLOOKUP(M108,'02. MM-KLH'!$B$6:$T$823,3,0),"")</f>
        <v>ATT-A24-0058</v>
      </c>
      <c r="AA108" s="561" t="s">
        <v>5046</v>
      </c>
      <c r="AB108" s="523"/>
      <c r="AC108" s="523"/>
    </row>
    <row r="109">
      <c r="A109" s="523"/>
      <c r="B109" s="612" t="str">
        <f>IFERROR(VLOOKUP(M109,'02. MM-KLH'!$B$6:$T$823,6,0),"")</f>
        <v>Xe lu rung Sakai 3.5 tấn</v>
      </c>
      <c r="C109" s="566">
        <v>1.0</v>
      </c>
      <c r="D109" s="613" t="str">
        <f>IFERROR(VLOOKUP(M109,'02. MM-KLH'!$B$6:$T$823,16,0),"")</f>
        <v>TW500W‑1</v>
      </c>
      <c r="E109" s="561" t="s">
        <v>4158</v>
      </c>
      <c r="F109" s="613"/>
      <c r="G109" s="613"/>
      <c r="H109" s="613" t="str">
        <f>IFERROR(VLOOKUP(M109,'02. MM-KLH'!$B$6:$T$823,17,0),"")</f>
        <v>39HP</v>
      </c>
      <c r="I109" s="614">
        <f>IFERROR(VLOOKUP(M109,'02. MM-KLH'!$B$6:$U$823,20,0),"")</f>
        <v>2.5</v>
      </c>
      <c r="J109" s="612">
        <f>IFERROR(VLOOKUP(M109,'02. MM-KLH'!$B$6:$T$823,19,0),"")</f>
        <v>166376</v>
      </c>
      <c r="K109" s="612" t="str">
        <f>IFERROR(VLOOKUP(M109,'02. MM-KLH'!$B$6:$T$823,18,0),"")</f>
        <v>VTW1521818</v>
      </c>
      <c r="L109" s="613" t="str">
        <f>IFERROR(VLOOKUP(M109,'02. MM-KLH'!$B$6:$T$823,4,0),"")</f>
        <v/>
      </c>
      <c r="M109" s="463" t="s">
        <v>494</v>
      </c>
      <c r="N109" s="615">
        <f>IFERROR(VLOOKUP(M109,'02. MM-KLH'!$B$6:$T$823,15,0),"")</f>
        <v>2004</v>
      </c>
      <c r="O109" s="616" t="str">
        <f>IFERROR(VLOOKUP(M109,'02. MM-KLH'!$B$6:$T$823,9,0),"")</f>
        <v>26/07/2025</v>
      </c>
      <c r="P109" s="613"/>
      <c r="Q109" s="566" t="s">
        <v>1565</v>
      </c>
      <c r="R109" s="613"/>
      <c r="S109" s="613"/>
      <c r="T109" s="613"/>
      <c r="U109" s="559" t="str">
        <f>IFERROR(VLOOKUP(M109,'02. MM-KLH'!$B$6:$T$823,5,0),"")</f>
        <v>MỚI (ĐQSD)</v>
      </c>
      <c r="V109" s="523" t="str">
        <f>IFERROR(VLOOKUP(M109,'02. MM-KLH'!$B$6:$T$823,8,0),"")</f>
        <v>CGTC LP</v>
      </c>
      <c r="W109" s="559" t="str">
        <f>IFERROR(VLOOKUP(V109,'NS QUẢN LÝ CG'!$A$4:$D$36,2,0),"")</f>
        <v>Đỗ Đức Nghĩa</v>
      </c>
      <c r="X109" s="559" t="str">
        <f>IFERROR(VLOOKUP(V109,'NS QUẢN LÝ CG'!$A$4:$D$36,4,0),"")</f>
        <v>NOCN L.4-LP3</v>
      </c>
      <c r="Y109" s="559" t="str">
        <f>IFERROR(VLOOKUP(V109,'NS QUẢN LÝ CG'!$A$4:$C$36,3,0),"")</f>
        <v>0971462780</v>
      </c>
      <c r="Z109" s="523" t="str">
        <f>IFERROR(VLOOKUP(M109,'02. MM-KLH'!$B$6:$T$823,3,0),"")</f>
        <v>A24-XLU-008</v>
      </c>
      <c r="AA109" s="559" t="str">
        <f>SWITCH(LEFT(Z109,3),"A22","ADM","A23","DP","A24","LP","")</f>
        <v>LP</v>
      </c>
      <c r="AB109" s="523"/>
      <c r="AC109" s="523"/>
    </row>
    <row r="110">
      <c r="A110" s="523"/>
      <c r="B110" s="612" t="str">
        <f>IFERROR(VLOOKUP(M110,'02. MM-KLH'!$B$6:$T$823,6,0),"")</f>
        <v>Xe lu tĩnh R2 10 tấn</v>
      </c>
      <c r="C110" s="566">
        <v>1.0</v>
      </c>
      <c r="D110" s="613" t="str">
        <f>IFERROR(VLOOKUP(M110,'02. MM-KLH'!$B$6:$T$823,16,0),"")</f>
        <v>R2H</v>
      </c>
      <c r="E110" s="561" t="s">
        <v>4158</v>
      </c>
      <c r="F110" s="613"/>
      <c r="G110" s="613"/>
      <c r="H110" s="613" t="str">
        <f>IFERROR(VLOOKUP(M110,'02. MM-KLH'!$B$6:$T$823,17,0),"")</f>
        <v>74HP</v>
      </c>
      <c r="I110" s="614">
        <f>IFERROR(VLOOKUP(M110,'02. MM-KLH'!$B$6:$U$823,20,0),"")</f>
        <v>4</v>
      </c>
      <c r="J110" s="612" t="str">
        <f>IFERROR(VLOOKUP(M110,'02. MM-KLH'!$B$6:$T$823,19,0),"")</f>
        <v>W04DF11156</v>
      </c>
      <c r="K110" s="612" t="str">
        <f>IFERROR(VLOOKUP(M110,'02. MM-KLH'!$B$6:$T$823,18,0),"")</f>
        <v>RR321002</v>
      </c>
      <c r="L110" s="613" t="str">
        <f>IFERROR(VLOOKUP(M110,'02. MM-KLH'!$B$6:$T$823,4,0),"")</f>
        <v/>
      </c>
      <c r="M110" s="463" t="s">
        <v>551</v>
      </c>
      <c r="N110" s="615">
        <f>IFERROR(VLOOKUP(M110,'02. MM-KLH'!$B$6:$T$823,15,0),"")</f>
        <v>1997</v>
      </c>
      <c r="O110" s="616">
        <f>IFERROR(VLOOKUP(M110,'02. MM-KLH'!$B$6:$T$823,9,0),"")</f>
        <v>44136</v>
      </c>
      <c r="P110" s="613"/>
      <c r="Q110" s="566" t="s">
        <v>1565</v>
      </c>
      <c r="R110" s="613"/>
      <c r="S110" s="561"/>
      <c r="T110" s="561" t="s">
        <v>4158</v>
      </c>
      <c r="U110" s="559" t="str">
        <f>IFERROR(VLOOKUP(M110,'02. MM-KLH'!$B$6:$T$823,5,0),"")</f>
        <v>ĐQSD</v>
      </c>
      <c r="V110" s="523" t="str">
        <f>IFERROR(VLOOKUP(M110,'02. MM-KLH'!$B$6:$T$823,8,0),"")</f>
        <v>CGTC AD</v>
      </c>
      <c r="W110" s="559" t="str">
        <f>IFERROR(VLOOKUP(V110,'NS QUẢN LÝ CG'!$A$4:$D$36,2,0),"")</f>
        <v>Vũ Trung Kiên</v>
      </c>
      <c r="X110" s="559" t="str">
        <f>IFERROR(VLOOKUP(V110,'NS QUẢN LÝ CG'!$A$4:$D$36,4,0),"")</f>
        <v>Lô 73 ADM</v>
      </c>
      <c r="Y110" s="559" t="str">
        <f>IFERROR(VLOOKUP(V110,'NS QUẢN LÝ CG'!$A$4:$C$36,3,0),"")</f>
        <v>0981761677</v>
      </c>
      <c r="Z110" s="523" t="str">
        <f>IFERROR(VLOOKUP(M110,'02. MM-KLH'!$B$6:$T$823,3,0),"")</f>
        <v>ATT-A22-0152</v>
      </c>
      <c r="AA110" s="561" t="s">
        <v>4462</v>
      </c>
      <c r="AB110" s="523"/>
      <c r="AC110" s="523"/>
    </row>
    <row r="111">
      <c r="A111" s="523"/>
      <c r="B111" s="612" t="str">
        <f>IFERROR(VLOOKUP(M111,'02. MM-KLH'!$B$6:$T$823,6,0),"")</f>
        <v>Xe lu rung SV521DH 11 tấn</v>
      </c>
      <c r="C111" s="566">
        <v>1.0</v>
      </c>
      <c r="D111" s="613" t="str">
        <f>IFERROR(VLOOKUP(M111,'02. MM-KLH'!$B$6:$T$823,16,0),"")</f>
        <v>SV521DH</v>
      </c>
      <c r="E111" s="561" t="s">
        <v>4158</v>
      </c>
      <c r="F111" s="613"/>
      <c r="G111" s="613"/>
      <c r="H111" s="613" t="str">
        <f>IFERROR(VLOOKUP(M111,'02. MM-KLH'!$B$6:$T$823,17,0),"")</f>
        <v>113HP</v>
      </c>
      <c r="I111" s="614">
        <f>IFERROR(VLOOKUP(M111,'02. MM-KLH'!$B$6:$U$823,20,0),"")</f>
        <v>7</v>
      </c>
      <c r="J111" s="612">
        <f>IFERROR(VLOOKUP(M111,'02. MM-KLH'!$B$6:$T$823,19,0),"")</f>
        <v>133945</v>
      </c>
      <c r="K111" s="612" t="str">
        <f>IFERROR(VLOOKUP(M111,'02. MM-KLH'!$B$6:$T$823,18,0),"")</f>
        <v>2SV6610527</v>
      </c>
      <c r="L111" s="613" t="str">
        <f>IFERROR(VLOOKUP(M111,'02. MM-KLH'!$B$6:$T$823,4,0),"")</f>
        <v/>
      </c>
      <c r="M111" s="463" t="s">
        <v>555</v>
      </c>
      <c r="N111" s="615">
        <f>IFERROR(VLOOKUP(M111,'02. MM-KLH'!$B$6:$T$823,15,0),"")</f>
        <v>2020</v>
      </c>
      <c r="O111" s="616">
        <f>IFERROR(VLOOKUP(M111,'02. MM-KLH'!$B$6:$T$823,9,0),"")</f>
        <v>44287</v>
      </c>
      <c r="Q111" s="564">
        <v>10865.0</v>
      </c>
      <c r="R111" s="561" t="s">
        <v>4158</v>
      </c>
      <c r="S111" s="613"/>
      <c r="T111" s="613"/>
      <c r="U111" s="559" t="str">
        <f>IFERROR(VLOOKUP(M111,'02. MM-KLH'!$B$6:$T$823,5,0),"")</f>
        <v>ĐQSD</v>
      </c>
      <c r="V111" s="523" t="str">
        <f>IFERROR(VLOOKUP(M111,'02. MM-KLH'!$B$6:$T$823,8,0),"")</f>
        <v>CGTC AD</v>
      </c>
      <c r="W111" s="559" t="str">
        <f>IFERROR(VLOOKUP(V111,'NS QUẢN LÝ CG'!$A$4:$D$36,2,0),"")</f>
        <v>Vũ Trung Kiên</v>
      </c>
      <c r="X111" s="559" t="str">
        <f>IFERROR(VLOOKUP(V111,'NS QUẢN LÝ CG'!$A$4:$D$36,4,0),"")</f>
        <v>Lô 73 ADM</v>
      </c>
      <c r="Y111" s="559" t="str">
        <f>IFERROR(VLOOKUP(V111,'NS QUẢN LÝ CG'!$A$4:$C$36,3,0),"")</f>
        <v>0981761677</v>
      </c>
      <c r="Z111" s="523" t="str">
        <f>IFERROR(VLOOKUP(M111,'02. MM-KLH'!$B$6:$T$823,3,0),"")</f>
        <v>ATM-A22-0090</v>
      </c>
      <c r="AA111" s="561" t="s">
        <v>4462</v>
      </c>
      <c r="AB111" s="523"/>
      <c r="AC111" s="523"/>
    </row>
    <row r="112">
      <c r="A112" s="523"/>
      <c r="B112" s="612" t="str">
        <f>IFERROR(VLOOKUP(M112,'02. MM-KLH'!$B$6:$T$823,6,0),"")</f>
        <v>Xe lu rung Sakai 3.5 tấn</v>
      </c>
      <c r="C112" s="566">
        <v>1.0</v>
      </c>
      <c r="D112" s="613" t="str">
        <f>IFERROR(VLOOKUP(M112,'02. MM-KLH'!$B$6:$T$823,16,0),"")</f>
        <v>SW350-1</v>
      </c>
      <c r="E112" s="561" t="s">
        <v>4158</v>
      </c>
      <c r="F112" s="613"/>
      <c r="G112" s="613"/>
      <c r="H112" s="613" t="str">
        <f>IFERROR(VLOOKUP(M112,'02. MM-KLH'!$B$6:$T$823,17,0),"")</f>
        <v>28HP</v>
      </c>
      <c r="I112" s="614">
        <f>IFERROR(VLOOKUP(M112,'02. MM-KLH'!$B$6:$U$823,20,0),"")</f>
        <v>2.5</v>
      </c>
      <c r="J112" s="612">
        <f>IFERROR(VLOOKUP(M112,'02. MM-KLH'!$B$6:$T$823,19,0),"")</f>
        <v>256182</v>
      </c>
      <c r="K112" s="612" t="str">
        <f>IFERROR(VLOOKUP(M112,'02. MM-KLH'!$B$6:$T$823,18,0),"")</f>
        <v>VSW1410104</v>
      </c>
      <c r="L112" s="613" t="str">
        <f>IFERROR(VLOOKUP(M112,'02. MM-KLH'!$B$6:$T$823,4,0),"")</f>
        <v/>
      </c>
      <c r="M112" s="463" t="s">
        <v>1295</v>
      </c>
      <c r="N112" s="615">
        <f>IFERROR(VLOOKUP(M112,'02. MM-KLH'!$B$6:$T$823,15,0),"")</f>
        <v>1998</v>
      </c>
      <c r="O112" s="616">
        <f>IFERROR(VLOOKUP(M112,'02. MM-KLH'!$B$6:$T$823,9,0),"")</f>
        <v>45722</v>
      </c>
      <c r="P112" s="613"/>
      <c r="Q112" s="566" t="s">
        <v>1565</v>
      </c>
      <c r="R112" s="613"/>
      <c r="S112" s="613"/>
      <c r="T112" s="613"/>
      <c r="U112" s="559" t="str">
        <f>IFERROR(VLOOKUP(M112,'02. MM-KLH'!$B$6:$T$823,5,0),"")</f>
        <v>MỚI (ĐQSD)</v>
      </c>
      <c r="V112" s="523" t="str">
        <f>IFERROR(VLOOKUP(M112,'02. MM-KLH'!$B$6:$T$823,8,0),"")</f>
        <v>XN Chuối LP1</v>
      </c>
      <c r="W112" s="559" t="str">
        <f>IFERROR(VLOOKUP(V112,'NS QUẢN LÝ CG'!$A$4:$D$36,2,0),"")</f>
        <v>Nguyễn Ngọc Nhân</v>
      </c>
      <c r="X112" s="559" t="str">
        <f>IFERROR(VLOOKUP(V112,'NS QUẢN LÝ CG'!$A$4:$D$36,4,0),"")</f>
        <v>Lô 7 LP1</v>
      </c>
      <c r="Y112" s="559" t="str">
        <f>IFERROR(VLOOKUP(V112,'NS QUẢN LÝ CG'!$A$4:$C$36,3,0),"")</f>
        <v>0979578112</v>
      </c>
      <c r="Z112" s="523" t="str">
        <f>IFERROR(VLOOKUP(M112,'02. MM-KLH'!$B$6:$T$823,3,0),"")</f>
        <v>A24-XLU-006</v>
      </c>
      <c r="AA112" s="559" t="str">
        <f t="shared" ref="AA112:AA113" si="5">SWITCH(LEFT(Z112,3),"A22","ADM","A23","DP","A24","LP","")</f>
        <v>LP</v>
      </c>
      <c r="AB112" s="523"/>
      <c r="AC112" s="523"/>
    </row>
    <row r="113">
      <c r="A113" s="523"/>
      <c r="B113" s="612" t="str">
        <f>IFERROR(VLOOKUP(M113,'02. MM-KLH'!$B$6:$T$823,6,0),"")</f>
        <v>Xe lu rung Sakai 3.5 tấn</v>
      </c>
      <c r="C113" s="566">
        <v>1.0</v>
      </c>
      <c r="D113" s="613" t="str">
        <f>IFERROR(VLOOKUP(M113,'02. MM-KLH'!$B$6:$T$823,16,0),"")</f>
        <v>TW500W‑1</v>
      </c>
      <c r="E113" s="561" t="s">
        <v>4158</v>
      </c>
      <c r="F113" s="613"/>
      <c r="G113" s="613"/>
      <c r="H113" s="613" t="str">
        <f>IFERROR(VLOOKUP(M113,'02. MM-KLH'!$B$6:$T$823,17,0),"")</f>
        <v>39HP</v>
      </c>
      <c r="I113" s="614">
        <f>IFERROR(VLOOKUP(M113,'02. MM-KLH'!$B$6:$U$823,20,0),"")</f>
        <v>2.5</v>
      </c>
      <c r="J113" s="612">
        <f>IFERROR(VLOOKUP(M113,'02. MM-KLH'!$B$6:$T$823,19,0),"")</f>
        <v>161031</v>
      </c>
      <c r="K113" s="612" t="str">
        <f>IFERROR(VLOOKUP(M113,'02. MM-KLH'!$B$6:$T$823,18,0),"")</f>
        <v>VTW1521664</v>
      </c>
      <c r="L113" s="613" t="str">
        <f>IFERROR(VLOOKUP(M113,'02. MM-KLH'!$B$6:$T$823,4,0),"")</f>
        <v/>
      </c>
      <c r="M113" s="463" t="s">
        <v>1719</v>
      </c>
      <c r="N113" s="615">
        <f>IFERROR(VLOOKUP(M113,'02. MM-KLH'!$B$6:$T$823,15,0),"")</f>
        <v>2004</v>
      </c>
      <c r="O113" s="616">
        <f>IFERROR(VLOOKUP(M113,'02. MM-KLH'!$B$6:$T$823,9,0),"")</f>
        <v>45999</v>
      </c>
      <c r="P113" s="613"/>
      <c r="Q113" s="566" t="s">
        <v>1565</v>
      </c>
      <c r="R113" s="566" t="s">
        <v>4158</v>
      </c>
      <c r="S113" s="613"/>
      <c r="T113" s="613"/>
      <c r="U113" s="559" t="str">
        <f>IFERROR(VLOOKUP(M113,'02. MM-KLH'!$B$6:$T$823,5,0),"")</f>
        <v>MỚI (ĐQSD)</v>
      </c>
      <c r="V113" s="523" t="str">
        <f>IFERROR(VLOOKUP(M113,'02. MM-KLH'!$B$6:$T$823,8,0),"")</f>
        <v>XN Bò AD</v>
      </c>
      <c r="W113" s="559" t="str">
        <f>IFERROR(VLOOKUP(V113,'NS QUẢN LÝ CG'!$A$4:$D$36,2,0),"")</f>
        <v>Trần Văn Nam</v>
      </c>
      <c r="X113" s="559" t="str">
        <f>IFERROR(VLOOKUP(V113,'NS QUẢN LÝ CG'!$A$4:$D$36,4,0),"")</f>
        <v>Lô 28 XN Bò</v>
      </c>
      <c r="Y113" s="559" t="str">
        <f>IFERROR(VLOOKUP(V113,'NS QUẢN LÝ CG'!$A$4:$C$36,3,0),"")</f>
        <v>0971993540</v>
      </c>
      <c r="Z113" s="523" t="str">
        <f>IFERROR(VLOOKUP(M113,'02. MM-KLH'!$B$6:$T$823,3,0),"")</f>
        <v>A24-XLU-007</v>
      </c>
      <c r="AA113" s="559" t="str">
        <f t="shared" si="5"/>
        <v>LP</v>
      </c>
      <c r="AB113" s="523"/>
      <c r="AC113" s="523"/>
    </row>
    <row r="114">
      <c r="A114" s="523"/>
      <c r="B114" s="612"/>
      <c r="C114" s="566"/>
      <c r="D114" s="613"/>
      <c r="E114" s="613"/>
      <c r="F114" s="613"/>
      <c r="G114" s="613"/>
      <c r="H114" s="613"/>
      <c r="I114" s="614"/>
      <c r="J114" s="612"/>
      <c r="K114" s="612"/>
      <c r="L114" s="613"/>
      <c r="M114" s="463"/>
      <c r="N114" s="615"/>
      <c r="O114" s="616"/>
      <c r="P114" s="613"/>
      <c r="Q114" s="613"/>
      <c r="R114" s="613"/>
      <c r="S114" s="613"/>
      <c r="T114" s="613"/>
      <c r="U114" s="613"/>
      <c r="V114" s="523"/>
      <c r="W114" s="559" t="str">
        <f>IFERROR(VLOOKUP(V114,'NS QUẢN LÝ CG'!$A$4:$D$36,2,0),"")</f>
        <v/>
      </c>
      <c r="X114" s="559" t="str">
        <f>IFERROR(VLOOKUP(V114,'NS QUẢN LÝ CG'!$A$4:$D$36,4,0),"")</f>
        <v/>
      </c>
      <c r="Y114" s="613"/>
      <c r="Z114" s="523"/>
      <c r="AA114" s="613"/>
      <c r="AB114" s="523"/>
      <c r="AC114" s="523"/>
    </row>
    <row r="115" hidden="1">
      <c r="A115" s="523"/>
      <c r="B115" s="612"/>
      <c r="C115" s="566"/>
      <c r="D115" s="613"/>
      <c r="E115" s="613"/>
      <c r="F115" s="613"/>
      <c r="G115" s="613"/>
      <c r="H115" s="613"/>
      <c r="I115" s="614"/>
      <c r="J115" s="612"/>
      <c r="K115" s="612"/>
      <c r="L115" s="613"/>
      <c r="M115" s="463"/>
      <c r="N115" s="615"/>
      <c r="O115" s="616"/>
      <c r="P115" s="613"/>
      <c r="Q115" s="613"/>
      <c r="R115" s="613"/>
      <c r="S115" s="613"/>
      <c r="T115" s="613"/>
      <c r="U115" s="613"/>
      <c r="V115" s="523"/>
      <c r="W115" s="613"/>
      <c r="X115" s="613"/>
      <c r="Y115" s="613"/>
      <c r="Z115" s="523"/>
      <c r="AA115" s="613"/>
      <c r="AB115" s="523"/>
      <c r="AC115" s="523"/>
    </row>
    <row r="116" hidden="1">
      <c r="A116" s="523"/>
      <c r="B116" s="612"/>
      <c r="C116" s="566"/>
      <c r="D116" s="613"/>
      <c r="E116" s="613"/>
      <c r="F116" s="613"/>
      <c r="G116" s="613"/>
      <c r="H116" s="613"/>
      <c r="I116" s="614"/>
      <c r="J116" s="612"/>
      <c r="K116" s="612"/>
      <c r="L116" s="613"/>
      <c r="M116" s="463"/>
      <c r="N116" s="615"/>
      <c r="O116" s="616"/>
      <c r="P116" s="613"/>
      <c r="Q116" s="613"/>
      <c r="R116" s="613"/>
      <c r="S116" s="613"/>
      <c r="T116" s="613"/>
      <c r="U116" s="613"/>
      <c r="V116" s="523"/>
      <c r="W116" s="613"/>
      <c r="X116" s="613"/>
      <c r="Y116" s="613"/>
      <c r="Z116" s="523"/>
      <c r="AA116" s="613"/>
      <c r="AB116" s="523"/>
      <c r="AC116" s="523"/>
    </row>
    <row r="117">
      <c r="A117" s="550">
        <v>2.0</v>
      </c>
      <c r="B117" s="551" t="s">
        <v>259</v>
      </c>
      <c r="C117" s="550">
        <f>COUNTA(B118:B121)</f>
        <v>2</v>
      </c>
      <c r="D117" s="552"/>
      <c r="E117" s="552"/>
      <c r="F117" s="552"/>
      <c r="G117" s="552"/>
      <c r="H117" s="552"/>
      <c r="I117" s="553"/>
      <c r="J117" s="554"/>
      <c r="K117" s="554"/>
      <c r="L117" s="552"/>
      <c r="M117" s="555"/>
      <c r="N117" s="552"/>
      <c r="O117" s="556"/>
      <c r="P117" s="552"/>
      <c r="Q117" s="552"/>
      <c r="R117" s="552"/>
      <c r="S117" s="552"/>
      <c r="T117" s="552"/>
      <c r="U117" s="552"/>
      <c r="V117" s="557"/>
      <c r="W117" s="552"/>
      <c r="X117" s="552"/>
      <c r="Y117" s="552"/>
      <c r="Z117" s="557"/>
      <c r="AA117" s="552"/>
      <c r="AB117" s="557"/>
      <c r="AC117" s="558"/>
    </row>
    <row r="118">
      <c r="A118" s="523"/>
      <c r="B118" s="612" t="str">
        <f>IFERROR(VLOOKUP(M118,'02. MM-KLH'!$B$6:$T$823,6,0),"")</f>
        <v>Xe lu rung DYNAPAC 5 tấn</v>
      </c>
      <c r="C118" s="566">
        <v>1.0</v>
      </c>
      <c r="D118" s="613" t="str">
        <f>IFERROR(VLOOKUP(M118,'02. MM-KLH'!$B$6:$T$823,16,0),"")</f>
        <v>CCC150C-2</v>
      </c>
      <c r="E118" s="561" t="s">
        <v>4158</v>
      </c>
      <c r="F118" s="613"/>
      <c r="G118" s="613"/>
      <c r="H118" s="613" t="str">
        <f>IFERROR(VLOOKUP(M118,'02. MM-KLH'!$B$6:$T$823,17,0),"")</f>
        <v>16HP</v>
      </c>
      <c r="I118" s="614">
        <f>IFERROR(VLOOKUP(M118,'02. MM-KLH'!$B$6:$U$823,20,0),"")</f>
        <v>2.6</v>
      </c>
      <c r="J118" s="612" t="str">
        <f>IFERROR(VLOOKUP(M118,'02. MM-KLH'!$B$6:$T$823,19,0),"")</f>
        <v>3LD2 - 453951</v>
      </c>
      <c r="K118" s="612" t="str">
        <f>IFERROR(VLOOKUP(M118,'02. MM-KLH'!$B$6:$T$823,18,0),"")</f>
        <v>HCM8U600A00010287</v>
      </c>
      <c r="L118" s="613" t="str">
        <f>IFERROR(VLOOKUP(M118,'02. MM-KLH'!$B$6:$T$823,4,0),"")</f>
        <v/>
      </c>
      <c r="M118" s="463" t="s">
        <v>1543</v>
      </c>
      <c r="N118" s="615">
        <f>IFERROR(VLOOKUP(M118,'02. MM-KLH'!$B$6:$T$823,15,0),"")</f>
        <v>2005</v>
      </c>
      <c r="O118" s="616" t="str">
        <f>IFERROR(VLOOKUP(M118,'02. MM-KLH'!$B$6:$T$823,9,0),"")</f>
        <v>30/06/2024</v>
      </c>
      <c r="P118" s="613"/>
      <c r="Q118" s="566" t="s">
        <v>1565</v>
      </c>
      <c r="R118" s="613"/>
      <c r="S118" s="566" t="s">
        <v>4158</v>
      </c>
      <c r="T118" s="613"/>
      <c r="U118" s="559" t="str">
        <f>IFERROR(VLOOKUP(M118,'02. MM-KLH'!$B$6:$T$823,5,0),"")</f>
        <v>MỚI (ĐQSD)</v>
      </c>
      <c r="V118" s="523" t="str">
        <f>IFERROR(VLOOKUP(M118,'02. MM-KLH'!$B$6:$T$823,8,0),"")</f>
        <v>XN Chuối LP3</v>
      </c>
      <c r="W118" s="559" t="str">
        <f>IFERROR(VLOOKUP(V118,'NS QUẢN LÝ CG'!$A$4:$D$36,2,0),"")</f>
        <v>Lê Cao Nghị</v>
      </c>
      <c r="X118" s="559" t="str">
        <f>IFERROR(VLOOKUP(V118,'NS QUẢN LÝ CG'!$A$4:$D$36,4,0),"")</f>
        <v>Lô 2 LP3</v>
      </c>
      <c r="Y118" s="559" t="str">
        <f>IFERROR(VLOOKUP(V118,'NS QUẢN LÝ CG'!$A$4:$C$36,3,0),"")</f>
        <v>0977423100</v>
      </c>
      <c r="Z118" s="523" t="str">
        <f>IFERROR(VLOOKUP(M118,'02. MM-KLH'!$B$6:$T$823,3,0),"")</f>
        <v>A24-XLU-005</v>
      </c>
      <c r="AA118" s="559" t="str">
        <f t="shared" ref="AA118:AA119" si="6">SWITCH(LEFT(Z118,3),"A22","ADM","A23","DP","A24","LP","")</f>
        <v>LP</v>
      </c>
      <c r="AB118" s="523"/>
      <c r="AC118" s="523"/>
    </row>
    <row r="119">
      <c r="A119" s="523"/>
      <c r="B119" s="612" t="str">
        <f>IFERROR(VLOOKUP(M119,'02. MM-KLH'!$B$6:$T$823,6,0),"")</f>
        <v>Xe lu rung DYNAPAC 5 tấn</v>
      </c>
      <c r="C119" s="566">
        <v>1.0</v>
      </c>
      <c r="D119" s="613" t="str">
        <f>IFERROR(VLOOKUP(M119,'02. MM-KLH'!$B$6:$T$823,16,0),"")</f>
        <v>CC150C-2</v>
      </c>
      <c r="E119" s="561" t="s">
        <v>4158</v>
      </c>
      <c r="F119" s="613"/>
      <c r="G119" s="613"/>
      <c r="H119" s="613" t="str">
        <f>IFERROR(VLOOKUP(M119,'02. MM-KLH'!$B$6:$T$823,17,0),"")</f>
        <v>75HP</v>
      </c>
      <c r="I119" s="614">
        <f>IFERROR(VLOOKUP(M119,'02. MM-KLH'!$B$6:$U$823,20,0),"")</f>
        <v>2.6</v>
      </c>
      <c r="J119" s="612" t="str">
        <f>IFERROR(VLOOKUP(M119,'02. MM-KLH'!$B$6:$T$823,19,0),"")</f>
        <v>3LD2-453954</v>
      </c>
      <c r="K119" s="612" t="str">
        <f>IFERROR(VLOOKUP(M119,'02. MM-KLH'!$B$6:$T$823,18,0),"")</f>
        <v>HCM8U600L00010288</v>
      </c>
      <c r="L119" s="613" t="str">
        <f>IFERROR(VLOOKUP(M119,'02. MM-KLH'!$B$6:$T$823,4,0),"")</f>
        <v/>
      </c>
      <c r="M119" s="132" t="s">
        <v>256</v>
      </c>
      <c r="N119" s="615">
        <f>IFERROR(VLOOKUP(M119,'02. MM-KLH'!$B$6:$T$823,15,0),"")</f>
        <v>2005</v>
      </c>
      <c r="O119" s="616">
        <f>IFERROR(VLOOKUP(M119,'02. MM-KLH'!$B$6:$T$823,9,0),"")</f>
        <v>45330</v>
      </c>
      <c r="P119" s="613"/>
      <c r="Q119" s="566" t="s">
        <v>1565</v>
      </c>
      <c r="R119" s="566" t="s">
        <v>4158</v>
      </c>
      <c r="S119" s="613"/>
      <c r="T119" s="613"/>
      <c r="U119" s="559" t="str">
        <f>IFERROR(VLOOKUP(M119,'02. MM-KLH'!$B$6:$T$823,5,0),"")</f>
        <v>MỚI (ĐQSD)</v>
      </c>
      <c r="V119" s="523" t="str">
        <f>IFERROR(VLOOKUP(M119,'02. MM-KLH'!$B$6:$T$823,8,0),"")</f>
        <v>CGTC DP</v>
      </c>
      <c r="W119" s="559" t="str">
        <f>IFERROR(VLOOKUP(V119,'NS QUẢN LÝ CG'!$A$4:$D$36,2,0),"")</f>
        <v>Phạm Ngọc Hải</v>
      </c>
      <c r="X119" s="559" t="str">
        <f>IFERROR(VLOOKUP(V119,'NS QUẢN LÝ CG'!$A$4:$D$36,4,0),"")</f>
        <v>Lô 85 DP4</v>
      </c>
      <c r="Y119" s="559" t="str">
        <f>IFERROR(VLOOKUP(V119,'NS QUẢN LÝ CG'!$A$4:$C$36,3,0),"")</f>
        <v>0825456565</v>
      </c>
      <c r="Z119" s="523" t="str">
        <f>IFERROR(VLOOKUP(M119,'02. MM-KLH'!$B$6:$T$823,3,0),"")</f>
        <v>A23-XLU-008</v>
      </c>
      <c r="AA119" s="559" t="str">
        <f t="shared" si="6"/>
        <v>DP</v>
      </c>
      <c r="AB119" s="523"/>
      <c r="AC119" s="523"/>
    </row>
    <row r="120">
      <c r="A120" s="523"/>
      <c r="B120" s="612" t="str">
        <f>IFERROR(VLOOKUP(M120,'02. MM-KLH'!$B$6:$T$823,6,0),"")</f>
        <v/>
      </c>
      <c r="C120" s="566"/>
      <c r="D120" s="613" t="str">
        <f>IFERROR(VLOOKUP(M120,'02. MM-KLH'!$B$6:$T$823,16,0),"")</f>
        <v/>
      </c>
      <c r="E120" s="613"/>
      <c r="F120" s="613"/>
      <c r="G120" s="613"/>
      <c r="H120" s="613" t="str">
        <f>IFERROR(VLOOKUP(M120,'02. MM-KLH'!$B$6:$T$823,17,0),"")</f>
        <v/>
      </c>
      <c r="I120" s="614" t="str">
        <f>IFERROR(VLOOKUP(M120,'02. MM-KLH'!$B$6:$U$823,20,0),"")</f>
        <v/>
      </c>
      <c r="J120" s="612" t="str">
        <f>IFERROR(VLOOKUP(M120,'02. MM-KLH'!$B$6:$T$823,19,0),"")</f>
        <v/>
      </c>
      <c r="K120" s="612" t="str">
        <f>IFERROR(VLOOKUP(M120,'02. MM-KLH'!$B$6:$T$823,18,0),"")</f>
        <v/>
      </c>
      <c r="L120" s="613" t="str">
        <f>IFERROR(VLOOKUP(M120,'02. MM-KLH'!$B$6:$T$823,4,0),"")</f>
        <v/>
      </c>
      <c r="M120" s="488"/>
      <c r="N120" s="615" t="str">
        <f>IFERROR(VLOOKUP(M120,'02. MM-KLH'!$B$6:$T$823,15,0),"")</f>
        <v/>
      </c>
      <c r="O120" s="616" t="str">
        <f>IFERROR(VLOOKUP(M120,'02. MM-KLH'!$B$6:$T$823,9,0),"")</f>
        <v/>
      </c>
      <c r="P120" s="613"/>
      <c r="Q120" s="613"/>
      <c r="R120" s="613"/>
      <c r="S120" s="613"/>
      <c r="T120" s="613"/>
      <c r="U120" s="613" t="str">
        <f>IFERROR(VLOOKUP(M120,'02. MM-KLH'!$B$6:$T$823,2,0),"")</f>
        <v/>
      </c>
      <c r="V120" s="523" t="str">
        <f>IFERROR(VLOOKUP(M120,'02. MM-KLH'!$B$6:$T$823,8,0),"")</f>
        <v/>
      </c>
      <c r="W120" s="559" t="str">
        <f>IFERROR(VLOOKUP(V120,'NS QUẢN LÝ CG'!$A$4:$D$36,2,0),"")</f>
        <v/>
      </c>
      <c r="X120" s="559" t="str">
        <f>IFERROR(VLOOKUP(V120,'NS QUẢN LÝ CG'!$A$4:$D$36,4,0),"")</f>
        <v/>
      </c>
      <c r="Y120" s="613"/>
      <c r="Z120" s="523" t="str">
        <f>IFERROR(VLOOKUP(M120,'02. MM-KLH'!$B$6:$T$823,3,0),"")</f>
        <v/>
      </c>
      <c r="AA120" s="613"/>
      <c r="AB120" s="523"/>
      <c r="AC120" s="523"/>
    </row>
    <row r="121" hidden="1">
      <c r="A121" s="523"/>
      <c r="B121" s="612" t="str">
        <f>IFERROR(VLOOKUP(M121,'02. MM-KLH'!$B$6:$T$823,6,0),"")</f>
        <v/>
      </c>
      <c r="C121" s="566"/>
      <c r="D121" s="613" t="str">
        <f>IFERROR(VLOOKUP(M121,'02. MM-KLH'!$B$6:$T$823,16,0),"")</f>
        <v/>
      </c>
      <c r="E121" s="613"/>
      <c r="F121" s="613"/>
      <c r="G121" s="613"/>
      <c r="H121" s="613" t="str">
        <f>IFERROR(VLOOKUP(M121,'02. MM-KLH'!$B$6:$T$823,17,0),"")</f>
        <v/>
      </c>
      <c r="I121" s="614" t="str">
        <f>IFERROR(VLOOKUP(M121,'02. MM-KLH'!$B$6:$U$823,20,0),"")</f>
        <v/>
      </c>
      <c r="J121" s="612" t="str">
        <f>IFERROR(VLOOKUP(M121,'02. MM-KLH'!$B$6:$T$823,19,0),"")</f>
        <v/>
      </c>
      <c r="K121" s="612" t="str">
        <f>IFERROR(VLOOKUP(M121,'02. MM-KLH'!$B$6:$T$823,18,0),"")</f>
        <v/>
      </c>
      <c r="L121" s="613" t="str">
        <f>IFERROR(VLOOKUP(M121,'02. MM-KLH'!$B$6:$T$823,4,0),"")</f>
        <v/>
      </c>
      <c r="M121" s="488"/>
      <c r="N121" s="615" t="str">
        <f>IFERROR(VLOOKUP(M121,'02. MM-KLH'!$B$6:$T$823,15,0),"")</f>
        <v/>
      </c>
      <c r="O121" s="616" t="str">
        <f>IFERROR(VLOOKUP(M121,'02. MM-KLH'!$B$6:$T$823,9,0),"")</f>
        <v/>
      </c>
      <c r="P121" s="613"/>
      <c r="Q121" s="613"/>
      <c r="R121" s="613"/>
      <c r="S121" s="613"/>
      <c r="T121" s="613"/>
      <c r="U121" s="613" t="str">
        <f>IFERROR(VLOOKUP(M121,'02. MM-KLH'!$B$6:$T$823,2,0),"")</f>
        <v/>
      </c>
      <c r="V121" s="523" t="str">
        <f>IFERROR(VLOOKUP(M121,'02. MM-KLH'!$B$6:$T$823,8,0),"")</f>
        <v/>
      </c>
      <c r="W121" s="613"/>
      <c r="X121" s="613"/>
      <c r="Y121" s="613"/>
      <c r="Z121" s="523" t="str">
        <f>IFERROR(VLOOKUP(M121,'02. MM-KLH'!$B$6:$T$823,3,0),"")</f>
        <v/>
      </c>
      <c r="AA121" s="613"/>
      <c r="AB121" s="523"/>
      <c r="AC121" s="523"/>
    </row>
    <row r="122">
      <c r="A122" s="542" t="s">
        <v>1974</v>
      </c>
      <c r="B122" s="543" t="s">
        <v>1776</v>
      </c>
      <c r="C122" s="544">
        <f>SUM(C123)</f>
        <v>5</v>
      </c>
      <c r="D122" s="545"/>
      <c r="E122" s="545"/>
      <c r="F122" s="545"/>
      <c r="G122" s="545"/>
      <c r="H122" s="545"/>
      <c r="I122" s="546"/>
      <c r="J122" s="547"/>
      <c r="K122" s="547"/>
      <c r="L122" s="545"/>
      <c r="M122" s="545"/>
      <c r="N122" s="545"/>
      <c r="O122" s="548"/>
      <c r="P122" s="545"/>
      <c r="Q122" s="545"/>
      <c r="R122" s="545"/>
      <c r="S122" s="545"/>
      <c r="T122" s="545"/>
      <c r="U122" s="545"/>
      <c r="V122" s="546"/>
      <c r="W122" s="545"/>
      <c r="X122" s="545"/>
      <c r="Y122" s="545"/>
      <c r="Z122" s="546"/>
      <c r="AA122" s="545"/>
      <c r="AB122" s="546"/>
      <c r="AC122" s="549"/>
    </row>
    <row r="123">
      <c r="A123" s="550">
        <v>1.0</v>
      </c>
      <c r="B123" s="551" t="s">
        <v>123</v>
      </c>
      <c r="C123" s="550">
        <f>COUNTA(B124:B131)</f>
        <v>5</v>
      </c>
      <c r="D123" s="552"/>
      <c r="E123" s="552"/>
      <c r="F123" s="552"/>
      <c r="G123" s="552"/>
      <c r="H123" s="552"/>
      <c r="I123" s="553"/>
      <c r="J123" s="554"/>
      <c r="K123" s="554"/>
      <c r="L123" s="552"/>
      <c r="M123" s="555"/>
      <c r="N123" s="552"/>
      <c r="O123" s="556"/>
      <c r="P123" s="552"/>
      <c r="Q123" s="552"/>
      <c r="R123" s="552"/>
      <c r="S123" s="552"/>
      <c r="T123" s="552"/>
      <c r="U123" s="552"/>
      <c r="V123" s="557"/>
      <c r="W123" s="552"/>
      <c r="X123" s="552"/>
      <c r="Y123" s="552"/>
      <c r="Z123" s="557"/>
      <c r="AA123" s="552"/>
      <c r="AB123" s="557"/>
      <c r="AC123" s="558"/>
    </row>
    <row r="124">
      <c r="A124" s="523"/>
      <c r="B124" s="612" t="str">
        <f>IFERROR(VLOOKUP(M124,'02. MM-KLH'!$B$6:$T$823,6,0),"")</f>
        <v>Xe ban KOMATSU GD605A</v>
      </c>
      <c r="C124" s="566">
        <v>1.0</v>
      </c>
      <c r="D124" s="613" t="str">
        <f>IFERROR(VLOOKUP(M124,'02. MM-KLH'!$B$6:$T$823,16,0),"")</f>
        <v>GD605A-5</v>
      </c>
      <c r="E124" s="561" t="s">
        <v>4158</v>
      </c>
      <c r="F124" s="613"/>
      <c r="G124" s="613"/>
      <c r="H124" s="613" t="str">
        <f>IFERROR(VLOOKUP(M124,'02. MM-KLH'!$B$6:$T$823,17,0),"")</f>
        <v>145HP</v>
      </c>
      <c r="I124" s="614">
        <f>IFERROR(VLOOKUP(M124,'02. MM-KLH'!$B$6:$U$823,20,0),"")</f>
        <v>9.3</v>
      </c>
      <c r="J124" s="612" t="str">
        <f>IFERROR(VLOOKUP(M124,'02. MM-KLH'!$B$6:$T$823,19,0),"")</f>
        <v>6D12561378</v>
      </c>
      <c r="K124" s="612" t="str">
        <f>IFERROR(VLOOKUP(M124,'02. MM-KLH'!$B$6:$T$823,18,0),"")</f>
        <v>G605A54617</v>
      </c>
      <c r="L124" s="613" t="str">
        <f>IFERROR(VLOOKUP(M124,'02. MM-KLH'!$B$6:$T$823,4,0),"")</f>
        <v/>
      </c>
      <c r="M124" s="490" t="s">
        <v>206</v>
      </c>
      <c r="N124" s="615">
        <f>IFERROR(VLOOKUP(M124,'02. MM-KLH'!$B$6:$T$823,15,0),"")</f>
        <v>1994</v>
      </c>
      <c r="O124" s="616">
        <f>IFERROR(VLOOKUP(M124,'02. MM-KLH'!$B$6:$T$823,9,0),"")</f>
        <v>44166</v>
      </c>
      <c r="P124" s="613"/>
      <c r="Q124" s="566">
        <v>2418.0</v>
      </c>
      <c r="R124" s="566" t="s">
        <v>4158</v>
      </c>
      <c r="S124" s="613"/>
      <c r="T124" s="613"/>
      <c r="U124" s="559" t="str">
        <f>IFERROR(VLOOKUP(M124,'02. MM-KLH'!$B$6:$T$823,5,0),"")</f>
        <v>ĐQSD</v>
      </c>
      <c r="V124" s="523" t="str">
        <f>IFERROR(VLOOKUP(M124,'02. MM-KLH'!$B$6:$T$823,8,0),"")</f>
        <v>CGTC DP</v>
      </c>
      <c r="W124" s="559" t="str">
        <f>IFERROR(VLOOKUP(V124,'NS QUẢN LÝ CG'!$A$4:$D$36,2,0),"")</f>
        <v>Phạm Ngọc Hải</v>
      </c>
      <c r="X124" s="559" t="str">
        <f>IFERROR(VLOOKUP(V124,'NS QUẢN LÝ CG'!$A$4:$D$36,4,0),"")</f>
        <v>Lô 85 DP4</v>
      </c>
      <c r="Y124" s="559" t="str">
        <f>IFERROR(VLOOKUP(V124,'NS QUẢN LÝ CG'!$A$4:$C$36,3,0),"")</f>
        <v>0825456565</v>
      </c>
      <c r="Z124" s="523" t="str">
        <f>IFERROR(VLOOKUP(M124,'02. MM-KLH'!$B$6:$T$823,3,0),"")</f>
        <v>ATT-A22-0156</v>
      </c>
      <c r="AA124" s="561" t="s">
        <v>4462</v>
      </c>
      <c r="AB124" s="523"/>
      <c r="AC124" s="523"/>
    </row>
    <row r="125">
      <c r="A125" s="523"/>
      <c r="B125" s="612" t="str">
        <f>IFERROR(VLOOKUP(M125,'02. MM-KLH'!$B$6:$T$823,6,0),"")</f>
        <v>Xe ban Komatsu 705A</v>
      </c>
      <c r="C125" s="566">
        <v>1.0</v>
      </c>
      <c r="D125" s="613" t="str">
        <f>IFERROR(VLOOKUP(M125,'02. MM-KLH'!$B$6:$T$823,16,0),"")</f>
        <v>705A</v>
      </c>
      <c r="E125" s="561" t="s">
        <v>4158</v>
      </c>
      <c r="F125" s="613"/>
      <c r="G125" s="613"/>
      <c r="H125" s="613" t="str">
        <f>IFERROR(VLOOKUP(M125,'02. MM-KLH'!$B$6:$T$823,17,0),"")</f>
        <v>200HP</v>
      </c>
      <c r="I125" s="614">
        <f>IFERROR(VLOOKUP(M125,'02. MM-KLH'!$B$6:$U$823,20,0),"")</f>
        <v>14.8</v>
      </c>
      <c r="J125" s="612" t="str">
        <f>IFERROR(VLOOKUP(M125,'02. MM-KLH'!$B$6:$T$823,19,0),"")</f>
        <v>CCN</v>
      </c>
      <c r="K125" s="612" t="str">
        <f>IFERROR(VLOOKUP(M125,'02. MM-KLH'!$B$6:$T$823,18,0),"")</f>
        <v>G70A4A11006</v>
      </c>
      <c r="L125" s="613" t="str">
        <f>IFERROR(VLOOKUP(M125,'02. MM-KLH'!$B$6:$T$823,4,0),"")</f>
        <v/>
      </c>
      <c r="M125" s="475" t="s">
        <v>212</v>
      </c>
      <c r="N125" s="615">
        <f>IFERROR(VLOOKUP(M125,'02. MM-KLH'!$B$6:$T$823,15,0),"")</f>
        <v>2018</v>
      </c>
      <c r="O125" s="616">
        <f>IFERROR(VLOOKUP(M125,'02. MM-KLH'!$B$6:$T$823,9,0),"")</f>
        <v>43837</v>
      </c>
      <c r="P125" s="613"/>
      <c r="Q125" s="566" t="s">
        <v>1565</v>
      </c>
      <c r="R125" s="613"/>
      <c r="S125" s="566" t="s">
        <v>4158</v>
      </c>
      <c r="T125" s="613"/>
      <c r="U125" s="559" t="str">
        <f>IFERROR(VLOOKUP(M125,'02. MM-KLH'!$B$6:$T$823,5,0),"")</f>
        <v>ĐQSD</v>
      </c>
      <c r="V125" s="523" t="str">
        <f>IFERROR(VLOOKUP(M125,'02. MM-KLH'!$B$6:$T$823,8,0),"")</f>
        <v>CGTC DP</v>
      </c>
      <c r="W125" s="559" t="str">
        <f>IFERROR(VLOOKUP(V125,'NS QUẢN LÝ CG'!$A$4:$D$36,2,0),"")</f>
        <v>Phạm Ngọc Hải</v>
      </c>
      <c r="X125" s="559" t="str">
        <f>IFERROR(VLOOKUP(V125,'NS QUẢN LÝ CG'!$A$4:$D$36,4,0),"")</f>
        <v>Lô 85 DP4</v>
      </c>
      <c r="Y125" s="559" t="str">
        <f>IFERROR(VLOOKUP(V125,'NS QUẢN LÝ CG'!$A$4:$C$36,3,0),"")</f>
        <v>0825456565</v>
      </c>
      <c r="Z125" s="523" t="str">
        <f>IFERROR(VLOOKUP(M125,'02. MM-KLH'!$B$6:$T$823,3,0),"")</f>
        <v>ATT-A23-0033</v>
      </c>
      <c r="AA125" s="561" t="s">
        <v>4312</v>
      </c>
      <c r="AB125" s="523"/>
      <c r="AC125" s="523"/>
    </row>
    <row r="126">
      <c r="A126" s="523"/>
      <c r="B126" s="612" t="str">
        <f>IFERROR(VLOOKUP(M126,'02. MM-KLH'!$B$6:$T$823,6,0),"")</f>
        <v>Xe ban KOMATSU GD605A</v>
      </c>
      <c r="C126" s="566">
        <v>1.0</v>
      </c>
      <c r="D126" s="613" t="str">
        <f>IFERROR(VLOOKUP(M126,'02. MM-KLH'!$B$6:$T$823,16,0),"")</f>
        <v>GD605A-5</v>
      </c>
      <c r="E126" s="561" t="s">
        <v>4158</v>
      </c>
      <c r="F126" s="613"/>
      <c r="G126" s="613"/>
      <c r="H126" s="613" t="str">
        <f>IFERROR(VLOOKUP(M126,'02. MM-KLH'!$B$6:$T$823,17,0),"")</f>
        <v>145HP</v>
      </c>
      <c r="I126" s="614">
        <f>IFERROR(VLOOKUP(M126,'02. MM-KLH'!$B$6:$U$823,20,0),"")</f>
        <v>9.3</v>
      </c>
      <c r="J126" s="612" t="str">
        <f>IFERROR(VLOOKUP(M126,'02. MM-KLH'!$B$6:$T$823,19,0),"")</f>
        <v>6D12562969</v>
      </c>
      <c r="K126" s="612" t="str">
        <f>IFERROR(VLOOKUP(M126,'02. MM-KLH'!$B$6:$T$823,18,0),"")</f>
        <v>G60A51575</v>
      </c>
      <c r="L126" s="613" t="str">
        <f>IFERROR(VLOOKUP(M126,'02. MM-KLH'!$B$6:$T$823,4,0),"")</f>
        <v/>
      </c>
      <c r="M126" s="490" t="s">
        <v>378</v>
      </c>
      <c r="N126" s="615">
        <f>IFERROR(VLOOKUP(M126,'02. MM-KLH'!$B$6:$T$823,15,0),"")</f>
        <v>1995</v>
      </c>
      <c r="O126" s="616">
        <f>IFERROR(VLOOKUP(M126,'02. MM-KLH'!$B$6:$T$823,9,0),"")</f>
        <v>44197</v>
      </c>
      <c r="P126" s="613"/>
      <c r="Q126" s="566" t="s">
        <v>1565</v>
      </c>
      <c r="R126" s="613"/>
      <c r="S126" s="566" t="s">
        <v>4158</v>
      </c>
      <c r="T126" s="613"/>
      <c r="U126" s="559" t="str">
        <f>IFERROR(VLOOKUP(M126,'02. MM-KLH'!$B$6:$T$823,5,0),"")</f>
        <v>ĐQSD</v>
      </c>
      <c r="V126" s="523" t="str">
        <f>IFERROR(VLOOKUP(M126,'02. MM-KLH'!$B$6:$T$823,8,0),"")</f>
        <v>CGTC LP</v>
      </c>
      <c r="W126" s="559" t="str">
        <f>IFERROR(VLOOKUP(V126,'NS QUẢN LÝ CG'!$A$4:$D$36,2,0),"")</f>
        <v>Đỗ Đức Nghĩa</v>
      </c>
      <c r="X126" s="559" t="str">
        <f>IFERROR(VLOOKUP(V126,'NS QUẢN LÝ CG'!$A$4:$D$36,4,0),"")</f>
        <v>NOCN L.4-LP3</v>
      </c>
      <c r="Y126" s="559" t="str">
        <f>IFERROR(VLOOKUP(V126,'NS QUẢN LÝ CG'!$A$4:$C$36,3,0),"")</f>
        <v>0971462780</v>
      </c>
      <c r="Z126" s="523" t="str">
        <f>IFERROR(VLOOKUP(M126,'02. MM-KLH'!$B$6:$T$823,3,0),"")</f>
        <v>ATT-A24-0059</v>
      </c>
      <c r="AA126" s="561" t="s">
        <v>5046</v>
      </c>
      <c r="AB126" s="523"/>
      <c r="AC126" s="523"/>
    </row>
    <row r="127">
      <c r="A127" s="523"/>
      <c r="B127" s="612" t="str">
        <f>IFERROR(VLOOKUP(M127,'02. MM-KLH'!$B$6:$T$823,6,0),"")</f>
        <v>Xe ban KOMATSU GD605A</v>
      </c>
      <c r="C127" s="566">
        <v>1.0</v>
      </c>
      <c r="D127" s="613" t="str">
        <f>IFERROR(VLOOKUP(M127,'02. MM-KLH'!$B$6:$T$823,16,0),"")</f>
        <v>GD605A-5</v>
      </c>
      <c r="E127" s="561" t="s">
        <v>4158</v>
      </c>
      <c r="F127" s="613"/>
      <c r="G127" s="613"/>
      <c r="H127" s="613" t="str">
        <f>IFERROR(VLOOKUP(M127,'02. MM-KLH'!$B$6:$T$823,17,0),"")</f>
        <v>145HP</v>
      </c>
      <c r="I127" s="614">
        <f>IFERROR(VLOOKUP(M127,'02. MM-KLH'!$B$6:$U$823,20,0),"")</f>
        <v>9.3</v>
      </c>
      <c r="J127" s="612" t="str">
        <f>IFERROR(VLOOKUP(M127,'02. MM-KLH'!$B$6:$T$823,19,0),"")</f>
        <v>6D12532782</v>
      </c>
      <c r="K127" s="612" t="str">
        <f>IFERROR(VLOOKUP(M127,'02. MM-KLH'!$B$6:$T$823,18,0),"")</f>
        <v>G60A54058</v>
      </c>
      <c r="L127" s="613" t="str">
        <f>IFERROR(VLOOKUP(M127,'02. MM-KLH'!$B$6:$T$823,4,0),"")</f>
        <v/>
      </c>
      <c r="M127" s="475" t="s">
        <v>517</v>
      </c>
      <c r="N127" s="615">
        <f>IFERROR(VLOOKUP(M127,'02. MM-KLH'!$B$6:$T$823,15,0),"")</f>
        <v>1995</v>
      </c>
      <c r="O127" s="616">
        <f>IFERROR(VLOOKUP(M127,'02. MM-KLH'!$B$6:$T$823,9,0),"")</f>
        <v>44136</v>
      </c>
      <c r="P127" s="613"/>
      <c r="Q127" s="566" t="s">
        <v>1565</v>
      </c>
      <c r="R127" s="561" t="s">
        <v>4158</v>
      </c>
      <c r="S127" s="613"/>
      <c r="T127" s="613"/>
      <c r="U127" s="559" t="str">
        <f>IFERROR(VLOOKUP(M127,'02. MM-KLH'!$B$6:$T$823,5,0),"")</f>
        <v>ĐQSD</v>
      </c>
      <c r="V127" s="523" t="str">
        <f>IFERROR(VLOOKUP(M127,'02. MM-KLH'!$B$6:$T$823,8,0),"")</f>
        <v>CGTC AD</v>
      </c>
      <c r="W127" s="559" t="str">
        <f>IFERROR(VLOOKUP(V127,'NS QUẢN LÝ CG'!$A$4:$D$36,2,0),"")</f>
        <v>Vũ Trung Kiên</v>
      </c>
      <c r="X127" s="559" t="str">
        <f>IFERROR(VLOOKUP(V127,'NS QUẢN LÝ CG'!$A$4:$D$36,4,0),"")</f>
        <v>Lô 73 ADM</v>
      </c>
      <c r="Y127" s="559" t="str">
        <f>IFERROR(VLOOKUP(V127,'NS QUẢN LÝ CG'!$A$4:$C$36,3,0),"")</f>
        <v>0981761677</v>
      </c>
      <c r="Z127" s="523" t="str">
        <f>IFERROR(VLOOKUP(M127,'02. MM-KLH'!$B$6:$T$823,3,0),"")</f>
        <v>ATT-A22-0135</v>
      </c>
      <c r="AA127" s="561" t="s">
        <v>4462</v>
      </c>
      <c r="AB127" s="523"/>
      <c r="AC127" s="523"/>
    </row>
    <row r="128">
      <c r="A128" s="523"/>
      <c r="B128" s="612" t="str">
        <f>IFERROR(VLOOKUP(M128,'02. MM-KLH'!$B$6:$T$823,6,0),"")</f>
        <v>Xe ban KOMATSU GD605A</v>
      </c>
      <c r="C128" s="566">
        <v>1.0</v>
      </c>
      <c r="D128" s="613" t="str">
        <f>IFERROR(VLOOKUP(M128,'02. MM-KLH'!$B$6:$T$823,16,0),"")</f>
        <v>GD605A-5</v>
      </c>
      <c r="E128" s="561" t="s">
        <v>4158</v>
      </c>
      <c r="F128" s="613"/>
      <c r="G128" s="613"/>
      <c r="H128" s="613" t="str">
        <f>IFERROR(VLOOKUP(M128,'02. MM-KLH'!$B$6:$T$823,17,0),"")</f>
        <v>155HP</v>
      </c>
      <c r="I128" s="614">
        <f>IFERROR(VLOOKUP(M128,'02. MM-KLH'!$B$6:$U$823,20,0),"")</f>
        <v>9.3</v>
      </c>
      <c r="J128" s="612" t="str">
        <f>IFERROR(VLOOKUP(M128,'02. MM-KLH'!$B$6:$T$823,19,0),"")</f>
        <v>6D12561725</v>
      </c>
      <c r="K128" s="612" t="str">
        <f>IFERROR(VLOOKUP(M128,'02. MM-KLH'!$B$6:$T$823,18,0),"")</f>
        <v>G60A54622</v>
      </c>
      <c r="L128" s="613" t="str">
        <f>IFERROR(VLOOKUP(M128,'02. MM-KLH'!$B$6:$T$823,4,0),"")</f>
        <v/>
      </c>
      <c r="M128" s="488" t="s">
        <v>637</v>
      </c>
      <c r="N128" s="615">
        <f>IFERROR(VLOOKUP(M128,'02. MM-KLH'!$B$6:$T$823,15,0),"")</f>
        <v>1994</v>
      </c>
      <c r="O128" s="616" t="str">
        <f>IFERROR(VLOOKUP(M128,'02. MM-KLH'!$B$6:$T$823,9,0),"")</f>
        <v>28/05/2025</v>
      </c>
      <c r="Q128" s="564">
        <v>4810.0</v>
      </c>
      <c r="R128" s="561" t="s">
        <v>4158</v>
      </c>
      <c r="S128" s="613"/>
      <c r="T128" s="613"/>
      <c r="U128" s="559" t="str">
        <f>IFERROR(VLOOKUP(M128,'02. MM-KLH'!$B$6:$T$823,5,0),"")</f>
        <v>MỚI (ĐQSD)</v>
      </c>
      <c r="V128" s="523" t="str">
        <f>IFERROR(VLOOKUP(M128,'02. MM-KLH'!$B$6:$T$823,8,0),"")</f>
        <v>CGTC AD</v>
      </c>
      <c r="W128" s="559" t="str">
        <f>IFERROR(VLOOKUP(V128,'NS QUẢN LÝ CG'!$A$4:$D$36,2,0),"")</f>
        <v>Vũ Trung Kiên</v>
      </c>
      <c r="X128" s="559" t="str">
        <f>IFERROR(VLOOKUP(V128,'NS QUẢN LÝ CG'!$A$4:$D$36,4,0),"")</f>
        <v>Lô 73 ADM</v>
      </c>
      <c r="Y128" s="559" t="str">
        <f>IFERROR(VLOOKUP(V128,'NS QUẢN LÝ CG'!$A$4:$C$36,3,0),"")</f>
        <v>0981761677</v>
      </c>
      <c r="Z128" s="523" t="str">
        <f>IFERROR(VLOOKUP(M128,'02. MM-KLH'!$B$6:$T$823,3,0),"")</f>
        <v>A23-BAN-005</v>
      </c>
      <c r="AA128" s="559" t="str">
        <f>SWITCH(LEFT(Z128,3),"A22","ADM","A23","DP","A24","LP","")</f>
        <v>DP</v>
      </c>
      <c r="AB128" s="523"/>
      <c r="AC128" s="523"/>
    </row>
    <row r="129">
      <c r="A129" s="523"/>
      <c r="B129" s="612" t="str">
        <f>IFERROR(VLOOKUP(M129,'02. MM-KLH'!$B$6:$T$823,6,0),"")</f>
        <v/>
      </c>
      <c r="C129" s="566"/>
      <c r="D129" s="613" t="str">
        <f>IFERROR(VLOOKUP(M129,'02. MM-KLH'!$B$6:$T$823,16,0),"")</f>
        <v/>
      </c>
      <c r="E129" s="613"/>
      <c r="F129" s="613"/>
      <c r="G129" s="613"/>
      <c r="H129" s="613" t="str">
        <f>IFERROR(VLOOKUP(M129,'02. MM-KLH'!$B$6:$T$823,17,0),"")</f>
        <v/>
      </c>
      <c r="I129" s="614" t="str">
        <f>IFERROR(VLOOKUP(M129,'02. MM-KLH'!$B$6:$U$823,20,0),"")</f>
        <v/>
      </c>
      <c r="J129" s="612" t="str">
        <f>IFERROR(VLOOKUP(M129,'02. MM-KLH'!$B$6:$T$823,19,0),"")</f>
        <v/>
      </c>
      <c r="K129" s="612" t="str">
        <f>IFERROR(VLOOKUP(M129,'02. MM-KLH'!$B$6:$T$823,18,0),"")</f>
        <v/>
      </c>
      <c r="L129" s="613" t="str">
        <f>IFERROR(VLOOKUP(M129,'02. MM-KLH'!$B$6:$T$823,4,0),"")</f>
        <v/>
      </c>
      <c r="M129" s="488"/>
      <c r="N129" s="615" t="str">
        <f>IFERROR(VLOOKUP(M129,'02. MM-KLH'!$B$6:$T$823,15,0),"")</f>
        <v/>
      </c>
      <c r="O129" s="616" t="str">
        <f>IFERROR(VLOOKUP(M129,'02. MM-KLH'!$B$6:$T$823,9,0),"")</f>
        <v/>
      </c>
      <c r="P129" s="613"/>
      <c r="Q129" s="613"/>
      <c r="R129" s="613"/>
      <c r="S129" s="613"/>
      <c r="T129" s="613"/>
      <c r="U129" s="613" t="str">
        <f>IFERROR(VLOOKUP(M129,'02. MM-KLH'!$B$6:$T$823,2,0),"")</f>
        <v/>
      </c>
      <c r="V129" s="523" t="str">
        <f>IFERROR(VLOOKUP(M129,'02. MM-KLH'!$B$6:$T$823,8,0),"")</f>
        <v/>
      </c>
      <c r="W129" s="559" t="str">
        <f>IFERROR(VLOOKUP(V129,'NS QUẢN LÝ CG'!$A$4:$D$36,2,0),"")</f>
        <v/>
      </c>
      <c r="X129" s="559" t="str">
        <f>IFERROR(VLOOKUP(V129,'NS QUẢN LÝ CG'!$A$4:$D$36,4,0),"")</f>
        <v/>
      </c>
      <c r="Y129" s="613"/>
      <c r="Z129" s="523" t="str">
        <f>IFERROR(VLOOKUP(M129,'02. MM-KLH'!$B$6:$T$823,3,0),"")</f>
        <v/>
      </c>
      <c r="AA129" s="613"/>
      <c r="AB129" s="523"/>
      <c r="AC129" s="523"/>
    </row>
    <row r="130" hidden="1">
      <c r="A130" s="523"/>
      <c r="B130" s="612" t="str">
        <f>IFERROR(VLOOKUP(M130,'02. MM-KLH'!$B$6:$T$823,6,0),"")</f>
        <v/>
      </c>
      <c r="C130" s="566"/>
      <c r="D130" s="613" t="str">
        <f>IFERROR(VLOOKUP(M130,'02. MM-KLH'!$B$6:$T$823,16,0),"")</f>
        <v/>
      </c>
      <c r="E130" s="613"/>
      <c r="F130" s="613"/>
      <c r="G130" s="613"/>
      <c r="H130" s="613" t="str">
        <f>IFERROR(VLOOKUP(M130,'02. MM-KLH'!$B$6:$T$823,17,0),"")</f>
        <v/>
      </c>
      <c r="I130" s="614" t="str">
        <f>IFERROR(VLOOKUP(M130,'02. MM-KLH'!$B$6:$U$823,20,0),"")</f>
        <v/>
      </c>
      <c r="J130" s="612" t="str">
        <f>IFERROR(VLOOKUP(M130,'02. MM-KLH'!$B$6:$T$823,19,0),"")</f>
        <v/>
      </c>
      <c r="K130" s="612" t="str">
        <f>IFERROR(VLOOKUP(M130,'02. MM-KLH'!$B$6:$T$823,18,0),"")</f>
        <v/>
      </c>
      <c r="L130" s="613" t="str">
        <f>IFERROR(VLOOKUP(M130,'02. MM-KLH'!$B$6:$T$823,4,0),"")</f>
        <v/>
      </c>
      <c r="M130" s="488"/>
      <c r="N130" s="615" t="str">
        <f>IFERROR(VLOOKUP(M130,'02. MM-KLH'!$B$6:$T$823,15,0),"")</f>
        <v/>
      </c>
      <c r="O130" s="616" t="str">
        <f>IFERROR(VLOOKUP(M130,'02. MM-KLH'!$B$6:$T$823,9,0),"")</f>
        <v/>
      </c>
      <c r="P130" s="613"/>
      <c r="Q130" s="613"/>
      <c r="R130" s="613"/>
      <c r="S130" s="613"/>
      <c r="T130" s="613"/>
      <c r="U130" s="613" t="str">
        <f>IFERROR(VLOOKUP(M130,'02. MM-KLH'!$B$6:$T$823,2,0),"")</f>
        <v/>
      </c>
      <c r="V130" s="523" t="str">
        <f>IFERROR(VLOOKUP(M130,'02. MM-KLH'!$B$6:$T$823,8,0),"")</f>
        <v/>
      </c>
      <c r="W130" s="613"/>
      <c r="X130" s="613"/>
      <c r="Y130" s="613"/>
      <c r="Z130" s="523" t="str">
        <f>IFERROR(VLOOKUP(M130,'02. MM-KLH'!$B$6:$T$823,3,0),"")</f>
        <v/>
      </c>
      <c r="AA130" s="613"/>
      <c r="AB130" s="523"/>
      <c r="AC130" s="523"/>
    </row>
    <row r="131" hidden="1">
      <c r="A131" s="523"/>
      <c r="B131" s="612" t="str">
        <f>IFERROR(VLOOKUP(M131,'02. MM-KLH'!$B$6:$T$823,6,0),"")</f>
        <v/>
      </c>
      <c r="C131" s="566"/>
      <c r="D131" s="613" t="str">
        <f>IFERROR(VLOOKUP(M131,'02. MM-KLH'!$B$6:$T$823,16,0),"")</f>
        <v/>
      </c>
      <c r="E131" s="613"/>
      <c r="F131" s="613"/>
      <c r="G131" s="613"/>
      <c r="H131" s="613" t="str">
        <f>IFERROR(VLOOKUP(M131,'02. MM-KLH'!$B$6:$T$823,17,0),"")</f>
        <v/>
      </c>
      <c r="I131" s="614" t="str">
        <f>IFERROR(VLOOKUP(M131,'02. MM-KLH'!$B$6:$U$823,20,0),"")</f>
        <v/>
      </c>
      <c r="J131" s="612" t="str">
        <f>IFERROR(VLOOKUP(M131,'02. MM-KLH'!$B$6:$T$823,19,0),"")</f>
        <v/>
      </c>
      <c r="K131" s="612" t="str">
        <f>IFERROR(VLOOKUP(M131,'02. MM-KLH'!$B$6:$T$823,18,0),"")</f>
        <v/>
      </c>
      <c r="L131" s="613" t="str">
        <f>IFERROR(VLOOKUP(M131,'02. MM-KLH'!$B$6:$T$823,4,0),"")</f>
        <v/>
      </c>
      <c r="M131" s="488"/>
      <c r="N131" s="615" t="str">
        <f>IFERROR(VLOOKUP(M131,'02. MM-KLH'!$B$6:$T$823,15,0),"")</f>
        <v/>
      </c>
      <c r="O131" s="616" t="str">
        <f>IFERROR(VLOOKUP(M131,'02. MM-KLH'!$B$6:$T$823,9,0),"")</f>
        <v/>
      </c>
      <c r="P131" s="613"/>
      <c r="Q131" s="613"/>
      <c r="R131" s="613"/>
      <c r="S131" s="613"/>
      <c r="T131" s="613"/>
      <c r="U131" s="613" t="str">
        <f>IFERROR(VLOOKUP(M131,'02. MM-KLH'!$B$6:$T$823,2,0),"")</f>
        <v/>
      </c>
      <c r="V131" s="523" t="str">
        <f>IFERROR(VLOOKUP(M131,'02. MM-KLH'!$B$6:$T$823,8,0),"")</f>
        <v/>
      </c>
      <c r="W131" s="613"/>
      <c r="X131" s="613"/>
      <c r="Y131" s="613"/>
      <c r="Z131" s="523" t="str">
        <f>IFERROR(VLOOKUP(M131,'02. MM-KLH'!$B$6:$T$823,3,0),"")</f>
        <v/>
      </c>
      <c r="AA131" s="613"/>
      <c r="AB131" s="523"/>
      <c r="AC131" s="523"/>
    </row>
    <row r="132">
      <c r="A132" s="542" t="s">
        <v>1974</v>
      </c>
      <c r="B132" s="543" t="s">
        <v>5749</v>
      </c>
      <c r="C132" s="544">
        <f>SUM(C133,C141,C147,C151,C160,C164,C172)</f>
        <v>18</v>
      </c>
      <c r="D132" s="545"/>
      <c r="E132" s="545"/>
      <c r="F132" s="545"/>
      <c r="G132" s="545"/>
      <c r="H132" s="545"/>
      <c r="I132" s="546"/>
      <c r="J132" s="547"/>
      <c r="K132" s="547"/>
      <c r="L132" s="545"/>
      <c r="M132" s="545"/>
      <c r="N132" s="545"/>
      <c r="O132" s="548"/>
      <c r="P132" s="545"/>
      <c r="Q132" s="545"/>
      <c r="R132" s="545"/>
      <c r="S132" s="545"/>
      <c r="T132" s="545"/>
      <c r="U132" s="545"/>
      <c r="V132" s="546"/>
      <c r="W132" s="545"/>
      <c r="X132" s="545"/>
      <c r="Y132" s="545"/>
      <c r="Z132" s="546"/>
      <c r="AA132" s="545"/>
      <c r="AB132" s="546"/>
      <c r="AC132" s="549"/>
    </row>
    <row r="133">
      <c r="A133" s="550">
        <v>1.0</v>
      </c>
      <c r="B133" s="551" t="s">
        <v>123</v>
      </c>
      <c r="C133" s="550">
        <f>COUNTA(B134:B140)</f>
        <v>4</v>
      </c>
      <c r="D133" s="552"/>
      <c r="E133" s="552"/>
      <c r="F133" s="552"/>
      <c r="G133" s="552"/>
      <c r="H133" s="552"/>
      <c r="I133" s="553"/>
      <c r="J133" s="554"/>
      <c r="K133" s="554"/>
      <c r="L133" s="552"/>
      <c r="M133" s="555"/>
      <c r="N133" s="552"/>
      <c r="O133" s="556"/>
      <c r="P133" s="552"/>
      <c r="Q133" s="552"/>
      <c r="R133" s="552"/>
      <c r="S133" s="552"/>
      <c r="T133" s="552"/>
      <c r="U133" s="552"/>
      <c r="V133" s="557"/>
      <c r="W133" s="552"/>
      <c r="X133" s="552"/>
      <c r="Y133" s="552"/>
      <c r="Z133" s="557"/>
      <c r="AA133" s="552"/>
      <c r="AB133" s="557"/>
      <c r="AC133" s="558"/>
    </row>
    <row r="134">
      <c r="A134" s="523"/>
      <c r="B134" s="612" t="str">
        <f>IFERROR(VLOOKUP(M134,'02. MM-KLH'!$B$6:$T$823,6,0),"")</f>
        <v>Xe xúc lật WA400</v>
      </c>
      <c r="C134" s="566">
        <v>1.0</v>
      </c>
      <c r="D134" s="613" t="str">
        <f>IFERROR(VLOOKUP(M134,'02. MM-KLH'!$B$6:$T$823,16,0),"")</f>
        <v>WA400-3E</v>
      </c>
      <c r="E134" s="561" t="s">
        <v>4158</v>
      </c>
      <c r="F134" s="613"/>
      <c r="G134" s="613"/>
      <c r="H134" s="613" t="str">
        <f>IFERROR(VLOOKUP(M134,'02. MM-KLH'!$B$6:$T$823,17,0),"")</f>
        <v>208HP</v>
      </c>
      <c r="I134" s="614">
        <f>IFERROR(VLOOKUP(M134,'02. MM-KLH'!$B$6:$U$823,20,0),"")</f>
        <v>11</v>
      </c>
      <c r="J134" s="612" t="str">
        <f>IFERROR(VLOOKUP(M134,'02. MM-KLH'!$B$6:$T$823,19,0),"")</f>
        <v>CCN</v>
      </c>
      <c r="K134" s="612">
        <f>IFERROR(VLOOKUP(M134,'02. MM-KLH'!$B$6:$T$823,18,0),"")</f>
        <v>50183</v>
      </c>
      <c r="L134" s="613" t="str">
        <f>IFERROR(VLOOKUP(M134,'02. MM-KLH'!$B$6:$T$823,4,0),"")</f>
        <v/>
      </c>
      <c r="M134" s="475" t="s">
        <v>1918</v>
      </c>
      <c r="N134" s="615">
        <f>IFERROR(VLOOKUP(M134,'02. MM-KLH'!$B$6:$T$823,15,0),"")</f>
        <v>2020</v>
      </c>
      <c r="O134" s="616" t="str">
        <f>IFERROR(VLOOKUP(M134,'02. MM-KLH'!$B$6:$T$823,9,0),"")</f>
        <v/>
      </c>
      <c r="P134" s="128"/>
      <c r="Q134" s="566" t="s">
        <v>1565</v>
      </c>
      <c r="R134" s="613"/>
      <c r="S134" s="566" t="s">
        <v>4158</v>
      </c>
      <c r="T134" s="613"/>
      <c r="U134" s="559" t="str">
        <f>IFERROR(VLOOKUP(M134,'02. MM-KLH'!$B$6:$T$823,5,0),"")</f>
        <v>ĐQSD</v>
      </c>
      <c r="V134" s="523" t="str">
        <f>IFERROR(VLOOKUP(M134,'02. MM-KLH'!$B$6:$T$823,8,0),"")</f>
        <v>XN Bò AD</v>
      </c>
      <c r="W134" s="559" t="str">
        <f>IFERROR(VLOOKUP(V134,'NS QUẢN LÝ CG'!$A$4:$D$36,2,0),"")</f>
        <v>Trần Văn Nam</v>
      </c>
      <c r="X134" s="559" t="str">
        <f>IFERROR(VLOOKUP(V134,'NS QUẢN LÝ CG'!$A$4:$D$36,4,0),"")</f>
        <v>Lô 28 XN Bò</v>
      </c>
      <c r="Y134" s="559" t="str">
        <f>IFERROR(VLOOKUP(V134,'NS QUẢN LÝ CG'!$A$4:$C$36,3,0),"")</f>
        <v>0971993540</v>
      </c>
      <c r="Z134" s="523" t="str">
        <f>IFERROR(VLOOKUP(M134,'02. MM-KLH'!$B$6:$T$823,3,0),"")</f>
        <v>A22-XXL-002</v>
      </c>
      <c r="AA134" s="559" t="str">
        <f t="shared" ref="AA134:AA135" si="7">SWITCH(LEFT(Z134,3),"A22","ADM","A23","DP","A24","LP","")</f>
        <v>ADM</v>
      </c>
      <c r="AB134" s="523"/>
      <c r="AC134" s="523"/>
    </row>
    <row r="135">
      <c r="A135" s="523"/>
      <c r="B135" s="612" t="str">
        <f>IFERROR(VLOOKUP(M135,'02. MM-KLH'!$B$6:$T$823,6,0),"")</f>
        <v>Xe xúc lật WA350</v>
      </c>
      <c r="C135" s="566">
        <v>1.0</v>
      </c>
      <c r="D135" s="613" t="str">
        <f>IFERROR(VLOOKUP(M135,'02. MM-KLH'!$B$6:$T$823,16,0),"")</f>
        <v>WA350-3</v>
      </c>
      <c r="E135" s="561" t="s">
        <v>4158</v>
      </c>
      <c r="F135" s="613"/>
      <c r="G135" s="613"/>
      <c r="H135" s="613" t="str">
        <f>IFERROR(VLOOKUP(M135,'02. MM-KLH'!$B$6:$T$823,17,0),"")</f>
        <v>162HP</v>
      </c>
      <c r="I135" s="614">
        <f>IFERROR(VLOOKUP(M135,'02. MM-KLH'!$B$6:$U$823,20,0),"")</f>
        <v>14.25</v>
      </c>
      <c r="J135" s="612">
        <f>IFERROR(VLOOKUP(M135,'02. MM-KLH'!$B$6:$T$823,19,0),"")</f>
        <v>18033</v>
      </c>
      <c r="K135" s="612">
        <f>IFERROR(VLOOKUP(M135,'02. MM-KLH'!$B$6:$T$823,18,0),"")</f>
        <v>50100</v>
      </c>
      <c r="L135" s="613" t="str">
        <f>IFERROR(VLOOKUP(M135,'02. MM-KLH'!$B$6:$T$823,4,0),"")</f>
        <v/>
      </c>
      <c r="M135" s="490" t="s">
        <v>1921</v>
      </c>
      <c r="N135" s="615">
        <f>IFERROR(VLOOKUP(M135,'02. MM-KLH'!$B$6:$T$823,15,0),"")</f>
        <v>2020</v>
      </c>
      <c r="O135" s="616">
        <f>IFERROR(VLOOKUP(M135,'02. MM-KLH'!$B$6:$T$823,9,0),"")</f>
        <v>44208</v>
      </c>
      <c r="P135" s="128"/>
      <c r="Q135" s="566" t="s">
        <v>1565</v>
      </c>
      <c r="R135" s="566" t="s">
        <v>4158</v>
      </c>
      <c r="S135" s="613"/>
      <c r="T135" s="613"/>
      <c r="U135" s="559" t="str">
        <f>IFERROR(VLOOKUP(M135,'02. MM-KLH'!$B$6:$T$823,5,0),"")</f>
        <v>ĐQSD</v>
      </c>
      <c r="V135" s="523" t="str">
        <f>IFERROR(VLOOKUP(M135,'02. MM-KLH'!$B$6:$T$823,8,0),"")</f>
        <v>XN Bò AD</v>
      </c>
      <c r="W135" s="559" t="str">
        <f>IFERROR(VLOOKUP(V135,'NS QUẢN LÝ CG'!$A$4:$D$36,2,0),"")</f>
        <v>Trần Văn Nam</v>
      </c>
      <c r="X135" s="559" t="str">
        <f>IFERROR(VLOOKUP(V135,'NS QUẢN LÝ CG'!$A$4:$D$36,4,0),"")</f>
        <v>Lô 28 XN Bò</v>
      </c>
      <c r="Y135" s="559" t="str">
        <f>IFERROR(VLOOKUP(V135,'NS QUẢN LÝ CG'!$A$4:$C$36,3,0),"")</f>
        <v>0971993540</v>
      </c>
      <c r="Z135" s="523" t="str">
        <f>IFERROR(VLOOKUP(M135,'02. MM-KLH'!$B$6:$T$823,3,0),"")</f>
        <v>A22-XXL-004</v>
      </c>
      <c r="AA135" s="559" t="str">
        <f t="shared" si="7"/>
        <v>ADM</v>
      </c>
      <c r="AB135" s="523"/>
      <c r="AC135" s="523"/>
    </row>
    <row r="136">
      <c r="A136" s="523"/>
      <c r="B136" s="612" t="str">
        <f>IFERROR(VLOOKUP(M136,'02. MM-KLH'!$B$6:$T$823,6,0),"")</f>
        <v>Xe xúc lật WA200-3</v>
      </c>
      <c r="C136" s="566">
        <v>1.0</v>
      </c>
      <c r="D136" s="613" t="str">
        <f>IFERROR(VLOOKUP(M136,'02. MM-KLH'!$B$6:$T$823,16,0),"")</f>
        <v>WA200-3</v>
      </c>
      <c r="E136" s="561" t="s">
        <v>4158</v>
      </c>
      <c r="F136" s="613"/>
      <c r="G136" s="613"/>
      <c r="H136" s="613" t="str">
        <f>IFERROR(VLOOKUP(M136,'02. MM-KLH'!$B$6:$T$823,17,0),"")</f>
        <v>123HP</v>
      </c>
      <c r="I136" s="614">
        <f>IFERROR(VLOOKUP(M136,'02. MM-KLH'!$B$6:$U$823,20,0),"")</f>
        <v>8.31</v>
      </c>
      <c r="J136" s="612" t="str">
        <f>IFERROR(VLOOKUP(M136,'02. MM-KLH'!$B$6:$T$823,19,0),"")</f>
        <v>6D95L-140544</v>
      </c>
      <c r="K136" s="612" t="str">
        <f>IFERROR(VLOOKUP(M136,'02. MM-KLH'!$B$6:$T$823,18,0),"")</f>
        <v>W038-60400</v>
      </c>
      <c r="L136" s="613" t="str">
        <f>IFERROR(VLOOKUP(M136,'02. MM-KLH'!$B$6:$T$823,4,0),"")</f>
        <v/>
      </c>
      <c r="M136" s="475" t="s">
        <v>2486</v>
      </c>
      <c r="N136" s="615">
        <f>IFERROR(VLOOKUP(M136,'02. MM-KLH'!$B$6:$T$823,15,0),"")</f>
        <v>1994</v>
      </c>
      <c r="O136" s="616">
        <f>IFERROR(VLOOKUP(M136,'02. MM-KLH'!$B$6:$T$823,9,0),"")</f>
        <v>44197</v>
      </c>
      <c r="P136" s="128"/>
      <c r="Q136" s="566" t="s">
        <v>1565</v>
      </c>
      <c r="R136" s="613"/>
      <c r="S136" s="613"/>
      <c r="T136" s="613"/>
      <c r="U136" s="559" t="str">
        <f>IFERROR(VLOOKUP(M136,'02. MM-KLH'!$B$6:$T$823,5,0),"")</f>
        <v>ĐQSD</v>
      </c>
      <c r="V136" s="523" t="str">
        <f>IFERROR(VLOOKUP(M136,'02. MM-KLH'!$B$6:$T$823,8,0),"")</f>
        <v>Trạm trộn bê tông</v>
      </c>
      <c r="W136" s="559" t="str">
        <f>IFERROR(VLOOKUP(V136,'NS QUẢN LÝ CG'!$A$4:$D$36,2,0),"")</f>
        <v/>
      </c>
      <c r="X136" s="559" t="str">
        <f>IFERROR(VLOOKUP(V136,'NS QUẢN LÝ CG'!$A$4:$D$36,4,0),"")</f>
        <v/>
      </c>
      <c r="Y136" s="559" t="str">
        <f>IFERROR(VLOOKUP(V136,'NS QUẢN LÝ CG'!$A$4:$C$36,3,0),"")</f>
        <v/>
      </c>
      <c r="Z136" s="523" t="str">
        <f>IFERROR(VLOOKUP(M136,'02. MM-KLH'!$B$6:$T$823,3,0),"")</f>
        <v>ATT-A22-0158</v>
      </c>
      <c r="AA136" s="561" t="s">
        <v>4462</v>
      </c>
      <c r="AB136" s="523"/>
      <c r="AC136" s="523"/>
    </row>
    <row r="137">
      <c r="A137" s="523"/>
      <c r="B137" s="612" t="str">
        <f>IFERROR(VLOOKUP(M137,'02. MM-KLH'!$B$6:$T$823,6,0),"")</f>
        <v>Xe xúc lật WA200-3</v>
      </c>
      <c r="C137" s="566">
        <v>1.0</v>
      </c>
      <c r="D137" s="613" t="str">
        <f>IFERROR(VLOOKUP(M137,'02. MM-KLH'!$B$6:$T$823,16,0),"")</f>
        <v>WA200-3</v>
      </c>
      <c r="E137" s="561" t="s">
        <v>4158</v>
      </c>
      <c r="F137" s="613"/>
      <c r="G137" s="613"/>
      <c r="H137" s="613" t="str">
        <f>IFERROR(VLOOKUP(M137,'02. MM-KLH'!$B$6:$T$823,17,0),"")</f>
        <v>125HP</v>
      </c>
      <c r="I137" s="614">
        <f>IFERROR(VLOOKUP(M137,'02. MM-KLH'!$B$6:$U$823,20,0),"")</f>
        <v>9</v>
      </c>
      <c r="J137" s="612" t="str">
        <f>IFERROR(VLOOKUP(M137,'02. MM-KLH'!$B$6:$T$823,19,0),"")</f>
        <v>6D95L-153498</v>
      </c>
      <c r="K137" s="612" t="str">
        <f>IFERROR(VLOOKUP(M137,'02. MM-KLH'!$B$6:$T$823,18,0),"")</f>
        <v>W038-60624</v>
      </c>
      <c r="L137" s="613" t="str">
        <f>IFERROR(VLOOKUP(M137,'02. MM-KLH'!$B$6:$T$823,4,0),"")</f>
        <v/>
      </c>
      <c r="M137" s="463" t="s">
        <v>2490</v>
      </c>
      <c r="N137" s="615">
        <f>IFERROR(VLOOKUP(M137,'02. MM-KLH'!$B$6:$T$823,15,0),"")</f>
        <v>2021</v>
      </c>
      <c r="O137" s="616" t="str">
        <f>IFERROR(VLOOKUP(M137,'02. MM-KLH'!$B$6:$T$823,9,0),"")</f>
        <v>24/01/2024</v>
      </c>
      <c r="P137" s="128"/>
      <c r="Q137" s="566" t="s">
        <v>1565</v>
      </c>
      <c r="R137" s="613"/>
      <c r="S137" s="613"/>
      <c r="T137" s="613"/>
      <c r="U137" s="559" t="str">
        <f>IFERROR(VLOOKUP(M137,'02. MM-KLH'!$B$6:$T$823,5,0),"")</f>
        <v>ĐQSD</v>
      </c>
      <c r="V137" s="523" t="str">
        <f>IFERROR(VLOOKUP(M137,'02. MM-KLH'!$B$6:$T$823,8,0),"")</f>
        <v>Trạm trộn bê tông</v>
      </c>
      <c r="W137" s="559" t="str">
        <f>IFERROR(VLOOKUP(V137,'NS QUẢN LÝ CG'!$A$4:$D$36,2,0),"")</f>
        <v/>
      </c>
      <c r="X137" s="559" t="str">
        <f>IFERROR(VLOOKUP(V137,'NS QUẢN LÝ CG'!$A$4:$D$36,4,0),"")</f>
        <v/>
      </c>
      <c r="Y137" s="559" t="str">
        <f>IFERROR(VLOOKUP(V137,'NS QUẢN LÝ CG'!$A$4:$C$36,3,0),"")</f>
        <v/>
      </c>
      <c r="Z137" s="523" t="str">
        <f>IFERROR(VLOOKUP(M137,'02. MM-KLH'!$B$6:$T$823,3,0),"")</f>
        <v>ATT-A22-0323</v>
      </c>
      <c r="AA137" s="561" t="s">
        <v>4462</v>
      </c>
      <c r="AB137" s="523"/>
      <c r="AC137" s="523"/>
    </row>
    <row r="138">
      <c r="A138" s="523"/>
      <c r="B138" s="612" t="str">
        <f>IFERROR(VLOOKUP(M138,'02. MM-KLH'!$B$6:$T$823,6,0),"")</f>
        <v/>
      </c>
      <c r="C138" s="566"/>
      <c r="D138" s="613" t="str">
        <f>IFERROR(VLOOKUP(M138,'02. MM-KLH'!$B$6:$T$823,16,0),"")</f>
        <v/>
      </c>
      <c r="E138" s="613"/>
      <c r="F138" s="613"/>
      <c r="G138" s="613"/>
      <c r="H138" s="613" t="str">
        <f>IFERROR(VLOOKUP(M138,'02. MM-KLH'!$B$6:$T$823,17,0),"")</f>
        <v/>
      </c>
      <c r="I138" s="614" t="str">
        <f>IFERROR(VLOOKUP(M138,'02. MM-KLH'!$B$6:$U$823,20,0),"")</f>
        <v/>
      </c>
      <c r="J138" s="612" t="str">
        <f>IFERROR(VLOOKUP(M138,'02. MM-KLH'!$B$6:$T$823,19,0),"")</f>
        <v/>
      </c>
      <c r="K138" s="612" t="str">
        <f>IFERROR(VLOOKUP(M138,'02. MM-KLH'!$B$6:$T$823,18,0),"")</f>
        <v/>
      </c>
      <c r="L138" s="613" t="str">
        <f>IFERROR(VLOOKUP(M138,'02. MM-KLH'!$B$6:$T$823,4,0),"")</f>
        <v/>
      </c>
      <c r="M138" s="475"/>
      <c r="N138" s="615" t="str">
        <f>IFERROR(VLOOKUP(M138,'02. MM-KLH'!$B$6:$T$823,15,0),"")</f>
        <v/>
      </c>
      <c r="O138" s="616" t="str">
        <f>IFERROR(VLOOKUP(M138,'02. MM-KLH'!$B$6:$T$823,9,0),"")</f>
        <v/>
      </c>
      <c r="P138" s="613"/>
      <c r="Q138" s="613"/>
      <c r="R138" s="613"/>
      <c r="S138" s="613"/>
      <c r="T138" s="613"/>
      <c r="U138" s="613" t="str">
        <f>IFERROR(VLOOKUP(M138,'02. MM-KLH'!$B$6:$T$823,2,0),"")</f>
        <v/>
      </c>
      <c r="V138" s="523" t="str">
        <f>IFERROR(VLOOKUP(M138,'02. MM-KLH'!$B$6:$T$823,8,0),"")</f>
        <v/>
      </c>
      <c r="W138" s="559" t="str">
        <f>IFERROR(VLOOKUP(V138,'NS QUẢN LÝ CG'!$A$4:$D$36,2,0),"")</f>
        <v/>
      </c>
      <c r="X138" s="559" t="str">
        <f>IFERROR(VLOOKUP(V138,'NS QUẢN LÝ CG'!$A$4:$D$36,4,0),"")</f>
        <v/>
      </c>
      <c r="Y138" s="613"/>
      <c r="Z138" s="523" t="str">
        <f>IFERROR(VLOOKUP(M138,'02. MM-KLH'!$B$6:$T$823,3,0),"")</f>
        <v/>
      </c>
      <c r="AA138" s="613"/>
      <c r="AB138" s="523"/>
      <c r="AC138" s="523"/>
    </row>
    <row r="139" hidden="1">
      <c r="A139" s="523"/>
      <c r="B139" s="612" t="str">
        <f>IFERROR(VLOOKUP(M139,'02. MM-KLH'!$B$6:$T$823,6,0),"")</f>
        <v/>
      </c>
      <c r="C139" s="566"/>
      <c r="D139" s="613" t="str">
        <f>IFERROR(VLOOKUP(M139,'02. MM-KLH'!$B$6:$T$823,16,0),"")</f>
        <v/>
      </c>
      <c r="E139" s="613"/>
      <c r="F139" s="613"/>
      <c r="G139" s="613"/>
      <c r="H139" s="613" t="str">
        <f>IFERROR(VLOOKUP(M139,'02. MM-KLH'!$B$6:$T$823,17,0),"")</f>
        <v/>
      </c>
      <c r="I139" s="614" t="str">
        <f>IFERROR(VLOOKUP(M139,'02. MM-KLH'!$B$6:$U$823,20,0),"")</f>
        <v/>
      </c>
      <c r="J139" s="612" t="str">
        <f>IFERROR(VLOOKUP(M139,'02. MM-KLH'!$B$6:$T$823,19,0),"")</f>
        <v/>
      </c>
      <c r="K139" s="612" t="str">
        <f>IFERROR(VLOOKUP(M139,'02. MM-KLH'!$B$6:$T$823,18,0),"")</f>
        <v/>
      </c>
      <c r="L139" s="613" t="str">
        <f>IFERROR(VLOOKUP(M139,'02. MM-KLH'!$B$6:$T$823,4,0),"")</f>
        <v/>
      </c>
      <c r="M139" s="463"/>
      <c r="N139" s="615" t="str">
        <f>IFERROR(VLOOKUP(M139,'02. MM-KLH'!$B$6:$T$823,15,0),"")</f>
        <v/>
      </c>
      <c r="O139" s="616" t="str">
        <f>IFERROR(VLOOKUP(M139,'02. MM-KLH'!$B$6:$T$823,9,0),"")</f>
        <v/>
      </c>
      <c r="P139" s="613"/>
      <c r="Q139" s="613"/>
      <c r="R139" s="613"/>
      <c r="S139" s="613"/>
      <c r="T139" s="613"/>
      <c r="U139" s="613" t="str">
        <f>IFERROR(VLOOKUP(M139,'02. MM-KLH'!$B$6:$T$823,2,0),"")</f>
        <v/>
      </c>
      <c r="V139" s="523" t="str">
        <f>IFERROR(VLOOKUP(M139,'02. MM-KLH'!$B$6:$T$823,8,0),"")</f>
        <v/>
      </c>
      <c r="W139" s="613"/>
      <c r="X139" s="613"/>
      <c r="Y139" s="613"/>
      <c r="Z139" s="523" t="str">
        <f>IFERROR(VLOOKUP(M139,'02. MM-KLH'!$B$6:$T$823,3,0),"")</f>
        <v/>
      </c>
      <c r="AA139" s="613"/>
      <c r="AB139" s="523"/>
      <c r="AC139" s="523"/>
    </row>
    <row r="140" hidden="1">
      <c r="A140" s="523"/>
      <c r="B140" s="612" t="str">
        <f>IFERROR(VLOOKUP(M140,'02. MM-KLH'!$B$6:$T$823,6,0),"")</f>
        <v/>
      </c>
      <c r="C140" s="566"/>
      <c r="D140" s="613" t="str">
        <f>IFERROR(VLOOKUP(M140,'02. MM-KLH'!$B$6:$T$823,16,0),"")</f>
        <v/>
      </c>
      <c r="E140" s="613"/>
      <c r="F140" s="613"/>
      <c r="G140" s="613"/>
      <c r="H140" s="613" t="str">
        <f>IFERROR(VLOOKUP(M140,'02. MM-KLH'!$B$6:$T$823,17,0),"")</f>
        <v/>
      </c>
      <c r="I140" s="614" t="str">
        <f>IFERROR(VLOOKUP(M140,'02. MM-KLH'!$B$6:$U$823,20,0),"")</f>
        <v/>
      </c>
      <c r="J140" s="612" t="str">
        <f>IFERROR(VLOOKUP(M140,'02. MM-KLH'!$B$6:$T$823,19,0),"")</f>
        <v/>
      </c>
      <c r="K140" s="612" t="str">
        <f>IFERROR(VLOOKUP(M140,'02. MM-KLH'!$B$6:$T$823,18,0),"")</f>
        <v/>
      </c>
      <c r="L140" s="613" t="str">
        <f>IFERROR(VLOOKUP(M140,'02. MM-KLH'!$B$6:$T$823,4,0),"")</f>
        <v/>
      </c>
      <c r="M140" s="463"/>
      <c r="N140" s="615" t="str">
        <f>IFERROR(VLOOKUP(M140,'02. MM-KLH'!$B$6:$T$823,15,0),"")</f>
        <v/>
      </c>
      <c r="O140" s="616" t="str">
        <f>IFERROR(VLOOKUP(M140,'02. MM-KLH'!$B$6:$T$823,9,0),"")</f>
        <v/>
      </c>
      <c r="P140" s="613"/>
      <c r="Q140" s="613"/>
      <c r="R140" s="613"/>
      <c r="S140" s="613"/>
      <c r="T140" s="613"/>
      <c r="U140" s="613" t="str">
        <f>IFERROR(VLOOKUP(M140,'02. MM-KLH'!$B$6:$T$823,2,0),"")</f>
        <v/>
      </c>
      <c r="V140" s="523" t="str">
        <f>IFERROR(VLOOKUP(M140,'02. MM-KLH'!$B$6:$T$823,8,0),"")</f>
        <v/>
      </c>
      <c r="W140" s="613"/>
      <c r="X140" s="613"/>
      <c r="Y140" s="613"/>
      <c r="Z140" s="523" t="str">
        <f>IFERROR(VLOOKUP(M140,'02. MM-KLH'!$B$6:$T$823,3,0),"")</f>
        <v/>
      </c>
      <c r="AA140" s="613"/>
      <c r="AB140" s="523"/>
      <c r="AC140" s="523"/>
    </row>
    <row r="141">
      <c r="A141" s="550">
        <v>2.0</v>
      </c>
      <c r="B141" s="551" t="s">
        <v>1990</v>
      </c>
      <c r="C141" s="550">
        <f>COUNTA(B142:B146)</f>
        <v>2</v>
      </c>
      <c r="D141" s="552"/>
      <c r="E141" s="552"/>
      <c r="F141" s="552"/>
      <c r="G141" s="552"/>
      <c r="H141" s="552"/>
      <c r="I141" s="553"/>
      <c r="J141" s="554"/>
      <c r="K141" s="554"/>
      <c r="L141" s="552"/>
      <c r="M141" s="555"/>
      <c r="N141" s="552"/>
      <c r="O141" s="556"/>
      <c r="P141" s="552"/>
      <c r="Q141" s="552"/>
      <c r="R141" s="552"/>
      <c r="S141" s="552"/>
      <c r="T141" s="552"/>
      <c r="U141" s="552"/>
      <c r="V141" s="557"/>
      <c r="W141" s="552"/>
      <c r="X141" s="552"/>
      <c r="Y141" s="552"/>
      <c r="Z141" s="557"/>
      <c r="AA141" s="552"/>
      <c r="AB141" s="557"/>
      <c r="AC141" s="558"/>
    </row>
    <row r="142">
      <c r="A142" s="523"/>
      <c r="B142" s="612" t="str">
        <f>IFERROR(VLOOKUP(M142,'02. MM-KLH'!$B$6:$T$823,6,0),"")</f>
        <v>Xe xúc lật BOBCAT 753</v>
      </c>
      <c r="C142" s="566">
        <v>1.0</v>
      </c>
      <c r="D142" s="613">
        <f>IFERROR(VLOOKUP(M142,'02. MM-KLH'!$B$6:$T$823,16,0),"")</f>
        <v>753</v>
      </c>
      <c r="E142" s="561" t="s">
        <v>4158</v>
      </c>
      <c r="F142" s="613"/>
      <c r="G142" s="613"/>
      <c r="H142" s="613" t="str">
        <f>IFERROR(VLOOKUP(M142,'02. MM-KLH'!$B$6:$T$823,17,0),"")</f>
        <v>44Hp</v>
      </c>
      <c r="I142" s="614" t="str">
        <f>IFERROR(VLOOKUP(M142,'02. MM-KLH'!$B$6:$U$823,20,0),"")</f>
        <v/>
      </c>
      <c r="J142" s="612" t="str">
        <f>IFERROR(VLOOKUP(M142,'02. MM-KLH'!$B$6:$T$823,19,0),"")</f>
        <v>V2203-389041</v>
      </c>
      <c r="K142" s="612">
        <f>IFERROR(VLOOKUP(M142,'02. MM-KLH'!$B$6:$T$823,18,0),"")</f>
        <v>511350401</v>
      </c>
      <c r="L142" s="613" t="str">
        <f>IFERROR(VLOOKUP(M142,'02. MM-KLH'!$B$6:$T$823,4,0),"")</f>
        <v/>
      </c>
      <c r="M142" s="488" t="s">
        <v>1988</v>
      </c>
      <c r="N142" s="615" t="str">
        <f>IFERROR(VLOOKUP(M142,'02. MM-KLH'!$B$6:$T$823,15,0),"")</f>
        <v/>
      </c>
      <c r="O142" s="616">
        <f>IFERROR(VLOOKUP(M142,'02. MM-KLH'!$B$6:$T$823,9,0),"")</f>
        <v>46082</v>
      </c>
      <c r="P142" s="128"/>
      <c r="Q142" s="566" t="s">
        <v>1565</v>
      </c>
      <c r="R142" s="566" t="s">
        <v>4158</v>
      </c>
      <c r="S142" s="613"/>
      <c r="T142" s="613"/>
      <c r="U142" s="559" t="str">
        <f>IFERROR(VLOOKUP(M142,'02. MM-KLH'!$B$6:$T$823,5,0),"")</f>
        <v>MỚI (ĐQSD)</v>
      </c>
      <c r="V142" s="523" t="str">
        <f>IFERROR(VLOOKUP(M142,'02. MM-KLH'!$B$6:$T$823,8,0),"")</f>
        <v>XN Bò AD</v>
      </c>
      <c r="W142" s="559" t="str">
        <f>IFERROR(VLOOKUP(V142,'NS QUẢN LÝ CG'!$A$4:$D$36,2,0),"")</f>
        <v>Trần Văn Nam</v>
      </c>
      <c r="X142" s="559" t="str">
        <f>IFERROR(VLOOKUP(V142,'NS QUẢN LÝ CG'!$A$4:$D$36,4,0),"")</f>
        <v>Lô 28 XN Bò</v>
      </c>
      <c r="Y142" s="559" t="str">
        <f>IFERROR(VLOOKUP(V142,'NS QUẢN LÝ CG'!$A$4:$C$36,3,0),"")</f>
        <v>0971993540</v>
      </c>
      <c r="Z142" s="523" t="str">
        <f>IFERROR(VLOOKUP(M142,'02. MM-KLH'!$B$6:$T$823,3,0),"")</f>
        <v>A22-XXL-016</v>
      </c>
      <c r="AA142" s="559" t="str">
        <f t="shared" ref="AA142:AA143" si="8">SWITCH(LEFT(Z142,3),"A22","ADM","A23","DP","A24","LP","")</f>
        <v>ADM</v>
      </c>
      <c r="AB142" s="523"/>
      <c r="AC142" s="523"/>
    </row>
    <row r="143">
      <c r="A143" s="523"/>
      <c r="B143" s="612" t="str">
        <f>IFERROR(VLOOKUP(M143,'02. MM-KLH'!$B$6:$T$823,6,0),"")</f>
        <v>Xe xúc lật BOBCAT 763</v>
      </c>
      <c r="C143" s="566">
        <v>1.0</v>
      </c>
      <c r="D143" s="613">
        <f>IFERROR(VLOOKUP(M143,'02. MM-KLH'!$B$6:$T$823,16,0),"")</f>
        <v>763</v>
      </c>
      <c r="E143" s="561" t="s">
        <v>4158</v>
      </c>
      <c r="F143" s="613"/>
      <c r="G143" s="613"/>
      <c r="H143" s="613" t="str">
        <f>IFERROR(VLOOKUP(M143,'02. MM-KLH'!$B$6:$T$823,17,0),"")</f>
        <v>46Hp</v>
      </c>
      <c r="I143" s="614" t="str">
        <f>IFERROR(VLOOKUP(M143,'02. MM-KLH'!$B$6:$U$823,20,0),"")</f>
        <v/>
      </c>
      <c r="J143" s="612" t="str">
        <f>IFERROR(VLOOKUP(M143,'02. MM-KLH'!$B$6:$T$823,19,0),"")</f>
        <v>V2203-111961</v>
      </c>
      <c r="K143" s="612">
        <f>IFERROR(VLOOKUP(M143,'02. MM-KLH'!$B$6:$T$823,18,0),"")</f>
        <v>512215700</v>
      </c>
      <c r="L143" s="613" t="str">
        <f>IFERROR(VLOOKUP(M143,'02. MM-KLH'!$B$6:$T$823,4,0),"")</f>
        <v/>
      </c>
      <c r="M143" s="488" t="s">
        <v>1994</v>
      </c>
      <c r="N143" s="615" t="str">
        <f>IFERROR(VLOOKUP(M143,'02. MM-KLH'!$B$6:$T$823,15,0),"")</f>
        <v/>
      </c>
      <c r="O143" s="616">
        <f>IFERROR(VLOOKUP(M143,'02. MM-KLH'!$B$6:$T$823,9,0),"")</f>
        <v>46082</v>
      </c>
      <c r="P143" s="128"/>
      <c r="Q143" s="566" t="s">
        <v>1565</v>
      </c>
      <c r="R143" s="613"/>
      <c r="S143" s="566" t="s">
        <v>4158</v>
      </c>
      <c r="T143" s="613"/>
      <c r="U143" s="559" t="str">
        <f>IFERROR(VLOOKUP(M143,'02. MM-KLH'!$B$6:$T$823,5,0),"")</f>
        <v>MỚI (ĐQSD)</v>
      </c>
      <c r="V143" s="523" t="str">
        <f>IFERROR(VLOOKUP(M143,'02. MM-KLH'!$B$6:$T$823,8,0),"")</f>
        <v>XN Bò AD</v>
      </c>
      <c r="W143" s="559" t="str">
        <f>IFERROR(VLOOKUP(V143,'NS QUẢN LÝ CG'!$A$4:$D$36,2,0),"")</f>
        <v>Trần Văn Nam</v>
      </c>
      <c r="X143" s="559" t="str">
        <f>IFERROR(VLOOKUP(V143,'NS QUẢN LÝ CG'!$A$4:$D$36,4,0),"")</f>
        <v>Lô 28 XN Bò</v>
      </c>
      <c r="Y143" s="559" t="str">
        <f>IFERROR(VLOOKUP(V143,'NS QUẢN LÝ CG'!$A$4:$C$36,3,0),"")</f>
        <v>0971993540</v>
      </c>
      <c r="Z143" s="523" t="str">
        <f>IFERROR(VLOOKUP(M143,'02. MM-KLH'!$B$6:$T$823,3,0),"")</f>
        <v>A22-XXL-017</v>
      </c>
      <c r="AA143" s="559" t="str">
        <f t="shared" si="8"/>
        <v>ADM</v>
      </c>
      <c r="AB143" s="523"/>
      <c r="AC143" s="523"/>
    </row>
    <row r="144">
      <c r="A144" s="523"/>
      <c r="B144" s="612" t="str">
        <f>IFERROR(VLOOKUP(M144,'02. MM-KLH'!$B$6:$T$823,6,0),"")</f>
        <v/>
      </c>
      <c r="C144" s="566"/>
      <c r="D144" s="613" t="str">
        <f>IFERROR(VLOOKUP(M144,'02. MM-KLH'!$B$6:$T$823,16,0),"")</f>
        <v/>
      </c>
      <c r="E144" s="613"/>
      <c r="F144" s="613"/>
      <c r="G144" s="613"/>
      <c r="H144" s="613" t="str">
        <f>IFERROR(VLOOKUP(M144,'02. MM-KLH'!$B$6:$T$823,17,0),"")</f>
        <v/>
      </c>
      <c r="I144" s="614" t="str">
        <f>IFERROR(VLOOKUP(M144,'02. MM-KLH'!$B$6:$U$823,20,0),"")</f>
        <v/>
      </c>
      <c r="J144" s="612" t="str">
        <f>IFERROR(VLOOKUP(M144,'02. MM-KLH'!$B$6:$T$823,19,0),"")</f>
        <v/>
      </c>
      <c r="K144" s="612" t="str">
        <f>IFERROR(VLOOKUP(M144,'02. MM-KLH'!$B$6:$T$823,18,0),"")</f>
        <v/>
      </c>
      <c r="L144" s="613" t="str">
        <f>IFERROR(VLOOKUP(M144,'02. MM-KLH'!$B$6:$T$823,4,0),"")</f>
        <v/>
      </c>
      <c r="M144" s="488"/>
      <c r="N144" s="615" t="str">
        <f>IFERROR(VLOOKUP(M144,'02. MM-KLH'!$B$6:$T$823,15,0),"")</f>
        <v/>
      </c>
      <c r="O144" s="616" t="str">
        <f>IFERROR(VLOOKUP(M144,'02. MM-KLH'!$B$6:$T$823,9,0),"")</f>
        <v/>
      </c>
      <c r="P144" s="613"/>
      <c r="Q144" s="613"/>
      <c r="R144" s="613"/>
      <c r="S144" s="613"/>
      <c r="T144" s="613"/>
      <c r="U144" s="613" t="str">
        <f>IFERROR(VLOOKUP(M144,'02. MM-KLH'!$B$6:$T$823,2,0),"")</f>
        <v/>
      </c>
      <c r="V144" s="523" t="str">
        <f>IFERROR(VLOOKUP(M144,'02. MM-KLH'!$B$6:$T$823,8,0),"")</f>
        <v/>
      </c>
      <c r="W144" s="559" t="str">
        <f>IFERROR(VLOOKUP(V144,'NS QUẢN LÝ CG'!$A$4:$D$36,2,0),"")</f>
        <v/>
      </c>
      <c r="X144" s="559" t="str">
        <f>IFERROR(VLOOKUP(V144,'NS QUẢN LÝ CG'!$A$4:$D$36,4,0),"")</f>
        <v/>
      </c>
      <c r="Y144" s="613"/>
      <c r="Z144" s="523" t="str">
        <f>IFERROR(VLOOKUP(M144,'02. MM-KLH'!$B$6:$T$823,3,0),"")</f>
        <v/>
      </c>
      <c r="AA144" s="613"/>
      <c r="AB144" s="523"/>
      <c r="AC144" s="523"/>
    </row>
    <row r="145" hidden="1">
      <c r="A145" s="523"/>
      <c r="B145" s="612" t="str">
        <f>IFERROR(VLOOKUP(M145,'02. MM-KLH'!$B$6:$T$823,6,0),"")</f>
        <v/>
      </c>
      <c r="C145" s="566"/>
      <c r="D145" s="613" t="str">
        <f>IFERROR(VLOOKUP(M145,'02. MM-KLH'!$B$6:$T$823,16,0),"")</f>
        <v/>
      </c>
      <c r="E145" s="613"/>
      <c r="F145" s="613"/>
      <c r="G145" s="613"/>
      <c r="H145" s="613" t="str">
        <f>IFERROR(VLOOKUP(M145,'02. MM-KLH'!$B$6:$T$823,17,0),"")</f>
        <v/>
      </c>
      <c r="I145" s="614" t="str">
        <f>IFERROR(VLOOKUP(M145,'02. MM-KLH'!$B$6:$U$823,20,0),"")</f>
        <v/>
      </c>
      <c r="J145" s="612" t="str">
        <f>IFERROR(VLOOKUP(M145,'02. MM-KLH'!$B$6:$T$823,19,0),"")</f>
        <v/>
      </c>
      <c r="K145" s="612" t="str">
        <f>IFERROR(VLOOKUP(M145,'02. MM-KLH'!$B$6:$T$823,18,0),"")</f>
        <v/>
      </c>
      <c r="L145" s="613" t="str">
        <f>IFERROR(VLOOKUP(M145,'02. MM-KLH'!$B$6:$T$823,4,0),"")</f>
        <v/>
      </c>
      <c r="M145" s="488"/>
      <c r="N145" s="615" t="str">
        <f>IFERROR(VLOOKUP(M145,'02. MM-KLH'!$B$6:$T$823,15,0),"")</f>
        <v/>
      </c>
      <c r="O145" s="616" t="str">
        <f>IFERROR(VLOOKUP(M145,'02. MM-KLH'!$B$6:$T$823,9,0),"")</f>
        <v/>
      </c>
      <c r="P145" s="613"/>
      <c r="Q145" s="613"/>
      <c r="R145" s="613"/>
      <c r="S145" s="613"/>
      <c r="T145" s="613"/>
      <c r="U145" s="613" t="str">
        <f>IFERROR(VLOOKUP(M145,'02. MM-KLH'!$B$6:$T$823,2,0),"")</f>
        <v/>
      </c>
      <c r="V145" s="523" t="str">
        <f>IFERROR(VLOOKUP(M145,'02. MM-KLH'!$B$6:$T$823,8,0),"")</f>
        <v/>
      </c>
      <c r="W145" s="613"/>
      <c r="X145" s="613"/>
      <c r="Y145" s="613"/>
      <c r="Z145" s="523" t="str">
        <f>IFERROR(VLOOKUP(M145,'02. MM-KLH'!$B$6:$T$823,3,0),"")</f>
        <v/>
      </c>
      <c r="AA145" s="613"/>
      <c r="AB145" s="523"/>
      <c r="AC145" s="523"/>
    </row>
    <row r="146" hidden="1">
      <c r="A146" s="523"/>
      <c r="B146" s="612" t="str">
        <f>IFERROR(VLOOKUP(M146,'02. MM-KLH'!$B$6:$T$823,6,0),"")</f>
        <v/>
      </c>
      <c r="C146" s="566"/>
      <c r="D146" s="613" t="str">
        <f>IFERROR(VLOOKUP(M146,'02. MM-KLH'!$B$6:$T$823,16,0),"")</f>
        <v/>
      </c>
      <c r="E146" s="613"/>
      <c r="F146" s="613"/>
      <c r="G146" s="613"/>
      <c r="H146" s="613" t="str">
        <f>IFERROR(VLOOKUP(M146,'02. MM-KLH'!$B$6:$T$823,17,0),"")</f>
        <v/>
      </c>
      <c r="I146" s="614" t="str">
        <f>IFERROR(VLOOKUP(M146,'02. MM-KLH'!$B$6:$U$823,20,0),"")</f>
        <v/>
      </c>
      <c r="J146" s="612" t="str">
        <f>IFERROR(VLOOKUP(M146,'02. MM-KLH'!$B$6:$T$823,19,0),"")</f>
        <v/>
      </c>
      <c r="K146" s="612" t="str">
        <f>IFERROR(VLOOKUP(M146,'02. MM-KLH'!$B$6:$T$823,18,0),"")</f>
        <v/>
      </c>
      <c r="L146" s="613" t="str">
        <f>IFERROR(VLOOKUP(M146,'02. MM-KLH'!$B$6:$T$823,4,0),"")</f>
        <v/>
      </c>
      <c r="M146" s="488"/>
      <c r="N146" s="615" t="str">
        <f>IFERROR(VLOOKUP(M146,'02. MM-KLH'!$B$6:$T$823,15,0),"")</f>
        <v/>
      </c>
      <c r="O146" s="616" t="str">
        <f>IFERROR(VLOOKUP(M146,'02. MM-KLH'!$B$6:$T$823,9,0),"")</f>
        <v/>
      </c>
      <c r="P146" s="613"/>
      <c r="Q146" s="613"/>
      <c r="R146" s="613"/>
      <c r="S146" s="613"/>
      <c r="T146" s="613"/>
      <c r="U146" s="613" t="str">
        <f>IFERROR(VLOOKUP(M146,'02. MM-KLH'!$B$6:$T$823,2,0),"")</f>
        <v/>
      </c>
      <c r="V146" s="523" t="str">
        <f>IFERROR(VLOOKUP(M146,'02. MM-KLH'!$B$6:$T$823,8,0),"")</f>
        <v/>
      </c>
      <c r="W146" s="613"/>
      <c r="X146" s="613"/>
      <c r="Y146" s="613"/>
      <c r="Z146" s="523" t="str">
        <f>IFERROR(VLOOKUP(M146,'02. MM-KLH'!$B$6:$T$823,3,0),"")</f>
        <v/>
      </c>
      <c r="AA146" s="613"/>
      <c r="AB146" s="523"/>
      <c r="AC146" s="523"/>
    </row>
    <row r="147">
      <c r="A147" s="550">
        <v>3.0</v>
      </c>
      <c r="B147" s="551" t="s">
        <v>1915</v>
      </c>
      <c r="C147" s="550">
        <f>COUNTA(B148:B150)</f>
        <v>1</v>
      </c>
      <c r="D147" s="552"/>
      <c r="E147" s="552"/>
      <c r="F147" s="552"/>
      <c r="G147" s="552"/>
      <c r="H147" s="552"/>
      <c r="I147" s="553"/>
      <c r="J147" s="554"/>
      <c r="K147" s="554"/>
      <c r="L147" s="552"/>
      <c r="M147" s="555"/>
      <c r="N147" s="552"/>
      <c r="O147" s="556"/>
      <c r="P147" s="552"/>
      <c r="Q147" s="552"/>
      <c r="R147" s="552"/>
      <c r="S147" s="552"/>
      <c r="T147" s="552"/>
      <c r="U147" s="552"/>
      <c r="V147" s="557"/>
      <c r="W147" s="552"/>
      <c r="X147" s="552"/>
      <c r="Y147" s="552"/>
      <c r="Z147" s="557"/>
      <c r="AA147" s="552"/>
      <c r="AB147" s="557"/>
      <c r="AC147" s="558"/>
    </row>
    <row r="148">
      <c r="A148" s="523"/>
      <c r="B148" s="612" t="str">
        <f>IFERROR(VLOOKUP(M148,'02. MM-KLH'!$B$6:$T$823,6,0),"")</f>
        <v>Xe xúc lật WSM953</v>
      </c>
      <c r="C148" s="566">
        <v>1.0</v>
      </c>
      <c r="D148" s="613" t="str">
        <f>IFERROR(VLOOKUP(M148,'02. MM-KLH'!$B$6:$T$823,16,0),"")</f>
        <v>WSM953 2m3</v>
      </c>
      <c r="E148" s="561" t="s">
        <v>4158</v>
      </c>
      <c r="F148" s="613"/>
      <c r="G148" s="613"/>
      <c r="H148" s="613" t="str">
        <f>IFERROR(VLOOKUP(M148,'02. MM-KLH'!$B$6:$T$823,17,0),"")</f>
        <v>123HP</v>
      </c>
      <c r="I148" s="614">
        <f>IFERROR(VLOOKUP(M148,'02. MM-KLH'!$B$6:$U$823,20,0),"")</f>
        <v>11</v>
      </c>
      <c r="J148" s="612" t="str">
        <f>IFERROR(VLOOKUP(M148,'02. MM-KLH'!$B$6:$T$823,19,0),"")</f>
        <v>CCN</v>
      </c>
      <c r="K148" s="612">
        <f>IFERROR(VLOOKUP(M148,'02. MM-KLH'!$B$6:$T$823,18,0),"")</f>
        <v>90516</v>
      </c>
      <c r="L148" s="613" t="str">
        <f>IFERROR(VLOOKUP(M148,'02. MM-KLH'!$B$6:$T$823,4,0),"")</f>
        <v/>
      </c>
      <c r="M148" s="490" t="s">
        <v>1912</v>
      </c>
      <c r="N148" s="615" t="str">
        <f>IFERROR(VLOOKUP(M148,'02. MM-KLH'!$B$6:$T$823,15,0),"")</f>
        <v/>
      </c>
      <c r="O148" s="616" t="str">
        <f>IFERROR(VLOOKUP(M148,'02. MM-KLH'!$B$6:$T$823,9,0),"")</f>
        <v/>
      </c>
      <c r="P148" s="613"/>
      <c r="Q148" s="613"/>
      <c r="R148" s="613"/>
      <c r="S148" s="566" t="s">
        <v>4158</v>
      </c>
      <c r="T148" s="613"/>
      <c r="U148" s="559" t="str">
        <f>IFERROR(VLOOKUP(M148,'02. MM-KLH'!$B$6:$T$823,5,0),"")</f>
        <v>ĐQSD</v>
      </c>
      <c r="V148" s="523" t="str">
        <f>IFERROR(VLOOKUP(M148,'02. MM-KLH'!$B$6:$T$823,8,0),"")</f>
        <v>XN Bò AD</v>
      </c>
      <c r="W148" s="559" t="str">
        <f>IFERROR(VLOOKUP(V148,'NS QUẢN LÝ CG'!$A$4:$D$36,2,0),"")</f>
        <v>Trần Văn Nam</v>
      </c>
      <c r="X148" s="559" t="str">
        <f>IFERROR(VLOOKUP(V148,'NS QUẢN LÝ CG'!$A$4:$D$36,4,0),"")</f>
        <v>Lô 28 XN Bò</v>
      </c>
      <c r="Y148" s="559" t="str">
        <f>IFERROR(VLOOKUP(V148,'NS QUẢN LÝ CG'!$A$4:$C$36,3,0),"")</f>
        <v>0971993540</v>
      </c>
      <c r="Z148" s="523" t="str">
        <f>IFERROR(VLOOKUP(M148,'02. MM-KLH'!$B$6:$T$823,3,0),"")</f>
        <v>ATT-A22-0194</v>
      </c>
      <c r="AA148" s="561" t="s">
        <v>4462</v>
      </c>
      <c r="AB148" s="523"/>
      <c r="AC148" s="523"/>
    </row>
    <row r="149">
      <c r="A149" s="523"/>
      <c r="B149" s="612" t="str">
        <f>IFERROR(VLOOKUP(M149,'02. MM-KLH'!$B$6:$T$823,6,0),"")</f>
        <v/>
      </c>
      <c r="C149" s="566"/>
      <c r="D149" s="613" t="str">
        <f>IFERROR(VLOOKUP(M149,'02. MM-KLH'!$B$6:$T$823,16,0),"")</f>
        <v/>
      </c>
      <c r="E149" s="613"/>
      <c r="F149" s="613"/>
      <c r="G149" s="613"/>
      <c r="H149" s="613" t="str">
        <f>IFERROR(VLOOKUP(M149,'02. MM-KLH'!$B$6:$T$823,17,0),"")</f>
        <v/>
      </c>
      <c r="I149" s="614" t="str">
        <f>IFERROR(VLOOKUP(M149,'02. MM-KLH'!$B$6:$U$823,20,0),"")</f>
        <v/>
      </c>
      <c r="J149" s="612" t="str">
        <f>IFERROR(VLOOKUP(M149,'02. MM-KLH'!$B$6:$T$823,19,0),"")</f>
        <v/>
      </c>
      <c r="K149" s="612" t="str">
        <f>IFERROR(VLOOKUP(M149,'02. MM-KLH'!$B$6:$T$823,18,0),"")</f>
        <v/>
      </c>
      <c r="L149" s="613" t="str">
        <f>IFERROR(VLOOKUP(M149,'02. MM-KLH'!$B$6:$T$823,4,0),"")</f>
        <v/>
      </c>
      <c r="M149" s="488"/>
      <c r="N149" s="615" t="str">
        <f>IFERROR(VLOOKUP(M149,'02. MM-KLH'!$B$6:$T$823,15,0),"")</f>
        <v/>
      </c>
      <c r="O149" s="616" t="str">
        <f>IFERROR(VLOOKUP(M149,'02. MM-KLH'!$B$6:$T$823,9,0),"")</f>
        <v/>
      </c>
      <c r="P149" s="613"/>
      <c r="Q149" s="613"/>
      <c r="R149" s="613"/>
      <c r="S149" s="613"/>
      <c r="T149" s="613"/>
      <c r="U149" s="613" t="str">
        <f>IFERROR(VLOOKUP(M149,'02. MM-KLH'!$B$6:$T$823,2,0),"")</f>
        <v/>
      </c>
      <c r="V149" s="523" t="str">
        <f>IFERROR(VLOOKUP(M149,'02. MM-KLH'!$B$6:$T$823,8,0),"")</f>
        <v/>
      </c>
      <c r="W149" s="559" t="str">
        <f>IFERROR(VLOOKUP(V149,'NS QUẢN LÝ CG'!$A$4:$D$36,2,0),"")</f>
        <v/>
      </c>
      <c r="X149" s="559" t="str">
        <f>IFERROR(VLOOKUP(V149,'NS QUẢN LÝ CG'!$A$4:$D$36,4,0),"")</f>
        <v/>
      </c>
      <c r="Y149" s="613"/>
      <c r="Z149" s="523" t="str">
        <f>IFERROR(VLOOKUP(M149,'02. MM-KLH'!$B$6:$T$823,3,0),"")</f>
        <v/>
      </c>
      <c r="AA149" s="613"/>
      <c r="AB149" s="523"/>
      <c r="AC149" s="523"/>
    </row>
    <row r="150" hidden="1">
      <c r="A150" s="523"/>
      <c r="B150" s="612" t="str">
        <f>IFERROR(VLOOKUP(M150,'02. MM-KLH'!$B$6:$T$823,6,0),"")</f>
        <v/>
      </c>
      <c r="C150" s="566"/>
      <c r="D150" s="613" t="str">
        <f>IFERROR(VLOOKUP(M150,'02. MM-KLH'!$B$6:$T$823,16,0),"")</f>
        <v/>
      </c>
      <c r="E150" s="613"/>
      <c r="F150" s="613"/>
      <c r="G150" s="613"/>
      <c r="H150" s="613" t="str">
        <f>IFERROR(VLOOKUP(M150,'02. MM-KLH'!$B$6:$T$823,17,0),"")</f>
        <v/>
      </c>
      <c r="I150" s="614" t="str">
        <f>IFERROR(VLOOKUP(M150,'02. MM-KLH'!$B$6:$U$823,20,0),"")</f>
        <v/>
      </c>
      <c r="J150" s="612" t="str">
        <f>IFERROR(VLOOKUP(M150,'02. MM-KLH'!$B$6:$T$823,19,0),"")</f>
        <v/>
      </c>
      <c r="K150" s="612" t="str">
        <f>IFERROR(VLOOKUP(M150,'02. MM-KLH'!$B$6:$T$823,18,0),"")</f>
        <v/>
      </c>
      <c r="L150" s="613" t="str">
        <f>IFERROR(VLOOKUP(M150,'02. MM-KLH'!$B$6:$T$823,4,0),"")</f>
        <v/>
      </c>
      <c r="M150" s="475"/>
      <c r="N150" s="615" t="str">
        <f>IFERROR(VLOOKUP(M150,'02. MM-KLH'!$B$6:$T$823,15,0),"")</f>
        <v/>
      </c>
      <c r="O150" s="616" t="str">
        <f>IFERROR(VLOOKUP(M150,'02. MM-KLH'!$B$6:$T$823,9,0),"")</f>
        <v/>
      </c>
      <c r="P150" s="613"/>
      <c r="Q150" s="613"/>
      <c r="R150" s="613"/>
      <c r="S150" s="613"/>
      <c r="T150" s="613"/>
      <c r="U150" s="613" t="str">
        <f>IFERROR(VLOOKUP(M150,'02. MM-KLH'!$B$6:$T$823,2,0),"")</f>
        <v/>
      </c>
      <c r="V150" s="523" t="str">
        <f>IFERROR(VLOOKUP(M150,'02. MM-KLH'!$B$6:$T$823,8,0),"")</f>
        <v/>
      </c>
      <c r="W150" s="613"/>
      <c r="X150" s="613"/>
      <c r="Y150" s="613"/>
      <c r="Z150" s="523" t="str">
        <f>IFERROR(VLOOKUP(M150,'02. MM-KLH'!$B$6:$T$823,3,0),"")</f>
        <v/>
      </c>
      <c r="AA150" s="613"/>
      <c r="AB150" s="523"/>
      <c r="AC150" s="523"/>
    </row>
    <row r="151">
      <c r="A151" s="550">
        <v>4.0</v>
      </c>
      <c r="B151" s="666" t="s">
        <v>1933</v>
      </c>
      <c r="C151" s="550">
        <f>COUNTA(B152:B159)</f>
        <v>5</v>
      </c>
      <c r="D151" s="552"/>
      <c r="E151" s="552"/>
      <c r="F151" s="552"/>
      <c r="G151" s="552"/>
      <c r="H151" s="552"/>
      <c r="I151" s="553"/>
      <c r="J151" s="554"/>
      <c r="K151" s="554"/>
      <c r="L151" s="552"/>
      <c r="M151" s="555"/>
      <c r="N151" s="552"/>
      <c r="O151" s="556"/>
      <c r="P151" s="552"/>
      <c r="Q151" s="552"/>
      <c r="R151" s="552"/>
      <c r="S151" s="552"/>
      <c r="T151" s="552"/>
      <c r="U151" s="552"/>
      <c r="V151" s="557"/>
      <c r="W151" s="552"/>
      <c r="X151" s="552"/>
      <c r="Y151" s="552"/>
      <c r="Z151" s="557"/>
      <c r="AA151" s="552"/>
      <c r="AB151" s="557"/>
      <c r="AC151" s="558"/>
    </row>
    <row r="152">
      <c r="A152" s="523"/>
      <c r="B152" s="612" t="str">
        <f>IFERROR(VLOOKUP(M152,'02. MM-KLH'!$B$6:$T$823,6,0),"")</f>
        <v>Xe xúc lật LEHMAN ZL940G</v>
      </c>
      <c r="C152" s="566">
        <v>1.0</v>
      </c>
      <c r="D152" s="613" t="str">
        <f>IFERROR(VLOOKUP(M152,'02. MM-KLH'!$B$6:$T$823,16,0),"")</f>
        <v>ZL940G</v>
      </c>
      <c r="E152" s="561" t="s">
        <v>4158</v>
      </c>
      <c r="F152" s="613"/>
      <c r="G152" s="613"/>
      <c r="H152" s="613" t="str">
        <f>IFERROR(VLOOKUP(M152,'02. MM-KLH'!$B$6:$T$823,17,0),"")</f>
        <v>115HP</v>
      </c>
      <c r="I152" s="614">
        <f>IFERROR(VLOOKUP(M152,'02. MM-KLH'!$B$6:$U$823,20,0),"")</f>
        <v>7</v>
      </c>
      <c r="J152" s="612" t="str">
        <f>IFERROR(VLOOKUP(M152,'02. MM-KLH'!$B$6:$T$823,19,0),"")</f>
        <v>YCD4J22T-1151JG410P03213</v>
      </c>
      <c r="K152" s="612" t="str">
        <f>IFERROR(VLOOKUP(M152,'02. MM-KLH'!$B$6:$T$823,18,0),"")</f>
        <v>SY23090078</v>
      </c>
      <c r="L152" s="613" t="str">
        <f>IFERROR(VLOOKUP(M152,'02. MM-KLH'!$B$6:$T$823,4,0),"")</f>
        <v/>
      </c>
      <c r="M152" s="490" t="s">
        <v>1931</v>
      </c>
      <c r="N152" s="615">
        <f>IFERROR(VLOOKUP(M152,'02. MM-KLH'!$B$6:$T$823,15,0),"")</f>
        <v>2023</v>
      </c>
      <c r="O152" s="616" t="str">
        <f>IFERROR(VLOOKUP(M152,'02. MM-KLH'!$B$6:$T$823,9,0),"")</f>
        <v>15/12/2023</v>
      </c>
      <c r="P152" s="128"/>
      <c r="Q152" s="566" t="s">
        <v>1565</v>
      </c>
      <c r="R152" s="566" t="s">
        <v>4158</v>
      </c>
      <c r="S152" s="613"/>
      <c r="T152" s="613"/>
      <c r="U152" s="559" t="str">
        <f>IFERROR(VLOOKUP(M152,'02. MM-KLH'!$B$6:$T$823,5,0),"")</f>
        <v>MỚI</v>
      </c>
      <c r="V152" s="523" t="str">
        <f>IFERROR(VLOOKUP(M152,'02. MM-KLH'!$B$6:$T$823,8,0),"")</f>
        <v>XN Bò AD</v>
      </c>
      <c r="W152" s="559" t="str">
        <f>IFERROR(VLOOKUP(V152,'NS QUẢN LÝ CG'!$A$4:$D$36,2,0),"")</f>
        <v>Trần Văn Nam</v>
      </c>
      <c r="X152" s="559" t="str">
        <f>IFERROR(VLOOKUP(V152,'NS QUẢN LÝ CG'!$A$4:$D$36,4,0),"")</f>
        <v>Lô 28 XN Bò</v>
      </c>
      <c r="Y152" s="559" t="str">
        <f>IFERROR(VLOOKUP(V152,'NS QUẢN LÝ CG'!$A$4:$C$36,3,0),"")</f>
        <v>0971993540</v>
      </c>
      <c r="Z152" s="523" t="str">
        <f>IFERROR(VLOOKUP(M152,'02. MM-KLH'!$B$6:$T$823,3,0),"")</f>
        <v>ATM-A22-0120</v>
      </c>
      <c r="AA152" s="561" t="s">
        <v>4462</v>
      </c>
      <c r="AB152" s="523"/>
      <c r="AC152" s="523"/>
    </row>
    <row r="153">
      <c r="A153" s="523"/>
      <c r="B153" s="612" t="str">
        <f>IFERROR(VLOOKUP(M153,'02. MM-KLH'!$B$6:$T$823,6,0),"")</f>
        <v>Xe xúc lật LEHMAN ZL946E</v>
      </c>
      <c r="C153" s="566">
        <v>1.0</v>
      </c>
      <c r="D153" s="613" t="str">
        <f>IFERROR(VLOOKUP(M153,'02. MM-KLH'!$B$6:$T$823,16,0),"")</f>
        <v>ZL946E</v>
      </c>
      <c r="E153" s="561" t="s">
        <v>4158</v>
      </c>
      <c r="F153" s="613"/>
      <c r="G153" s="613"/>
      <c r="H153" s="613" t="str">
        <f>IFERROR(VLOOKUP(M153,'02. MM-KLH'!$B$6:$T$823,17,0),"")</f>
        <v>114HP</v>
      </c>
      <c r="I153" s="614">
        <f>IFERROR(VLOOKUP(M153,'02. MM-KLH'!$B$6:$U$823,20,0),"")</f>
        <v>7</v>
      </c>
      <c r="J153" s="612" t="str">
        <f>IFERROR(VLOOKUP(M153,'02. MM-KLH'!$B$6:$T$823,19,0),"")</f>
        <v>1JG410P06207</v>
      </c>
      <c r="K153" s="612" t="str">
        <f>IFERROR(VLOOKUP(M153,'02. MM-KLH'!$B$6:$T$823,18,0),"")</f>
        <v>SY24020177</v>
      </c>
      <c r="L153" s="613" t="str">
        <f>IFERROR(VLOOKUP(M153,'02. MM-KLH'!$B$6:$T$823,4,0),"")</f>
        <v/>
      </c>
      <c r="M153" s="488" t="s">
        <v>1944</v>
      </c>
      <c r="N153" s="615">
        <f>IFERROR(VLOOKUP(M153,'02. MM-KLH'!$B$6:$T$823,15,0),"")</f>
        <v>2024</v>
      </c>
      <c r="O153" s="616">
        <f>IFERROR(VLOOKUP(M153,'02. MM-KLH'!$B$6:$T$823,9,0),"")</f>
        <v>45633</v>
      </c>
      <c r="P153" s="128"/>
      <c r="Q153" s="566" t="s">
        <v>1565</v>
      </c>
      <c r="R153" s="566" t="s">
        <v>4158</v>
      </c>
      <c r="S153" s="613"/>
      <c r="T153" s="613"/>
      <c r="U153" s="559" t="str">
        <f>IFERROR(VLOOKUP(M153,'02. MM-KLH'!$B$6:$T$823,5,0),"")</f>
        <v>MỚI</v>
      </c>
      <c r="V153" s="523" t="str">
        <f>IFERROR(VLOOKUP(M153,'02. MM-KLH'!$B$6:$T$823,8,0),"")</f>
        <v>XN Bò AD</v>
      </c>
      <c r="W153" s="559" t="str">
        <f>IFERROR(VLOOKUP(V153,'NS QUẢN LÝ CG'!$A$4:$D$36,2,0),"")</f>
        <v>Trần Văn Nam</v>
      </c>
      <c r="X153" s="559" t="str">
        <f>IFERROR(VLOOKUP(V153,'NS QUẢN LÝ CG'!$A$4:$D$36,4,0),"")</f>
        <v>Lô 28 XN Bò</v>
      </c>
      <c r="Y153" s="559" t="str">
        <f>IFERROR(VLOOKUP(V153,'NS QUẢN LÝ CG'!$A$4:$C$36,3,0),"")</f>
        <v>0971993540</v>
      </c>
      <c r="Z153" s="523" t="str">
        <f>IFERROR(VLOOKUP(M153,'02. MM-KLH'!$B$6:$T$823,3,0),"")</f>
        <v>A22-XXL-008</v>
      </c>
      <c r="AA153" s="559" t="str">
        <f t="shared" ref="AA153:AA156" si="9">SWITCH(LEFT(Z153,3),"A22","ADM","A23","DP","A24","LP","")</f>
        <v>ADM</v>
      </c>
      <c r="AB153" s="523"/>
      <c r="AC153" s="523"/>
    </row>
    <row r="154">
      <c r="A154" s="523"/>
      <c r="B154" s="612" t="str">
        <f>IFERROR(VLOOKUP(M154,'02. MM-KLH'!$B$6:$T$823,6,0),"")</f>
        <v>Xe xúc lật LEHMAN ZL946PR</v>
      </c>
      <c r="C154" s="566">
        <v>1.0</v>
      </c>
      <c r="D154" s="613" t="str">
        <f>IFERROR(VLOOKUP(M154,'02. MM-KLH'!$B$6:$T$823,16,0),"")</f>
        <v>ZL946PR</v>
      </c>
      <c r="E154" s="561" t="s">
        <v>4158</v>
      </c>
      <c r="F154" s="613"/>
      <c r="G154" s="613"/>
      <c r="H154" s="613" t="str">
        <f>IFERROR(VLOOKUP(M154,'02. MM-KLH'!$B$6:$T$823,17,0),"")</f>
        <v>114HP</v>
      </c>
      <c r="I154" s="614">
        <f>IFERROR(VLOOKUP(M154,'02. MM-KLH'!$B$6:$U$823,20,0),"")</f>
        <v>7</v>
      </c>
      <c r="J154" s="612" t="str">
        <f>IFERROR(VLOOKUP(M154,'02. MM-KLH'!$B$6:$T$823,19,0),"")</f>
        <v>1JG410R01725</v>
      </c>
      <c r="K154" s="612" t="str">
        <f>IFERROR(VLOOKUP(M154,'02. MM-KLH'!$B$6:$T$823,18,0),"")</f>
        <v>SY24050287</v>
      </c>
      <c r="L154" s="613" t="str">
        <f>IFERROR(VLOOKUP(M154,'02. MM-KLH'!$B$6:$T$823,4,0),"")</f>
        <v/>
      </c>
      <c r="M154" s="488" t="s">
        <v>1948</v>
      </c>
      <c r="N154" s="615">
        <f>IFERROR(VLOOKUP(M154,'02. MM-KLH'!$B$6:$T$823,15,0),"")</f>
        <v>2024</v>
      </c>
      <c r="O154" s="616" t="str">
        <f>IFERROR(VLOOKUP(M154,'02. MM-KLH'!$B$6:$T$823,9,0),"")</f>
        <v>16/08/2024</v>
      </c>
      <c r="P154" s="128"/>
      <c r="Q154" s="566" t="s">
        <v>1565</v>
      </c>
      <c r="R154" s="613"/>
      <c r="S154" s="566" t="s">
        <v>4158</v>
      </c>
      <c r="T154" s="613"/>
      <c r="U154" s="559" t="str">
        <f>IFERROR(VLOOKUP(M154,'02. MM-KLH'!$B$6:$T$823,5,0),"")</f>
        <v>MỚI</v>
      </c>
      <c r="V154" s="523" t="str">
        <f>IFERROR(VLOOKUP(M154,'02. MM-KLH'!$B$6:$T$823,8,0),"")</f>
        <v>XN Bò AD</v>
      </c>
      <c r="W154" s="559" t="str">
        <f>IFERROR(VLOOKUP(V154,'NS QUẢN LÝ CG'!$A$4:$D$36,2,0),"")</f>
        <v>Trần Văn Nam</v>
      </c>
      <c r="X154" s="559" t="str">
        <f>IFERROR(VLOOKUP(V154,'NS QUẢN LÝ CG'!$A$4:$D$36,4,0),"")</f>
        <v>Lô 28 XN Bò</v>
      </c>
      <c r="Y154" s="559" t="str">
        <f>IFERROR(VLOOKUP(V154,'NS QUẢN LÝ CG'!$A$4:$C$36,3,0),"")</f>
        <v>0971993540</v>
      </c>
      <c r="Z154" s="523" t="str">
        <f>IFERROR(VLOOKUP(M154,'02. MM-KLH'!$B$6:$T$823,3,0),"")</f>
        <v>A22-XXL-009</v>
      </c>
      <c r="AA154" s="559" t="str">
        <f t="shared" si="9"/>
        <v>ADM</v>
      </c>
      <c r="AB154" s="523"/>
      <c r="AC154" s="523"/>
    </row>
    <row r="155">
      <c r="A155" s="523"/>
      <c r="B155" s="612" t="str">
        <f>IFERROR(VLOOKUP(M155,'02. MM-KLH'!$B$6:$T$823,6,0),"")</f>
        <v>Xe xúc lật LEHMAN ZL946GP</v>
      </c>
      <c r="C155" s="566">
        <v>1.0</v>
      </c>
      <c r="D155" s="613" t="str">
        <f>IFERROR(VLOOKUP(M155,'02. MM-KLH'!$B$6:$T$823,16,0),"")</f>
        <v>ZL946GP</v>
      </c>
      <c r="E155" s="561" t="s">
        <v>4158</v>
      </c>
      <c r="F155" s="613"/>
      <c r="G155" s="613"/>
      <c r="H155" s="613" t="str">
        <f>IFERROR(VLOOKUP(M155,'02. MM-KLH'!$B$6:$T$823,17,0),"")</f>
        <v>114HP</v>
      </c>
      <c r="I155" s="614">
        <f>IFERROR(VLOOKUP(M155,'02. MM-KLH'!$B$6:$U$823,20,0),"")</f>
        <v>7</v>
      </c>
      <c r="J155" s="612" t="str">
        <f>IFERROR(VLOOKUP(M155,'02. MM-KLH'!$B$6:$T$823,19,0),"")</f>
        <v>1JG410R02694</v>
      </c>
      <c r="K155" s="612" t="str">
        <f>IFERROR(VLOOKUP(M155,'02. MM-KLH'!$B$6:$T$823,18,0),"")</f>
        <v>SY24070162</v>
      </c>
      <c r="L155" s="613" t="str">
        <f>IFERROR(VLOOKUP(M155,'02. MM-KLH'!$B$6:$T$823,4,0),"")</f>
        <v/>
      </c>
      <c r="M155" s="488" t="s">
        <v>1954</v>
      </c>
      <c r="N155" s="615">
        <f>IFERROR(VLOOKUP(M155,'02. MM-KLH'!$B$6:$T$823,15,0),"")</f>
        <v>2024</v>
      </c>
      <c r="O155" s="616">
        <f>IFERROR(VLOOKUP(M155,'02. MM-KLH'!$B$6:$T$823,9,0),"")</f>
        <v>45717</v>
      </c>
      <c r="P155" s="128"/>
      <c r="Q155" s="566" t="s">
        <v>1565</v>
      </c>
      <c r="R155" s="566" t="s">
        <v>4158</v>
      </c>
      <c r="S155" s="613"/>
      <c r="T155" s="613"/>
      <c r="U155" s="559" t="str">
        <f>IFERROR(VLOOKUP(M155,'02. MM-KLH'!$B$6:$T$823,5,0),"")</f>
        <v>MỚI</v>
      </c>
      <c r="V155" s="523" t="str">
        <f>IFERROR(VLOOKUP(M155,'02. MM-KLH'!$B$6:$T$823,8,0),"")</f>
        <v>XN Bò AD</v>
      </c>
      <c r="W155" s="559" t="str">
        <f>IFERROR(VLOOKUP(V155,'NS QUẢN LÝ CG'!$A$4:$D$36,2,0),"")</f>
        <v>Trần Văn Nam</v>
      </c>
      <c r="X155" s="559" t="str">
        <f>IFERROR(VLOOKUP(V155,'NS QUẢN LÝ CG'!$A$4:$D$36,4,0),"")</f>
        <v>Lô 28 XN Bò</v>
      </c>
      <c r="Y155" s="559" t="str">
        <f>IFERROR(VLOOKUP(V155,'NS QUẢN LÝ CG'!$A$4:$C$36,3,0),"")</f>
        <v>0971993540</v>
      </c>
      <c r="Z155" s="523" t="str">
        <f>IFERROR(VLOOKUP(M155,'02. MM-KLH'!$B$6:$T$823,3,0),"")</f>
        <v>A22-XXL-010</v>
      </c>
      <c r="AA155" s="559" t="str">
        <f t="shared" si="9"/>
        <v>ADM</v>
      </c>
      <c r="AB155" s="523"/>
      <c r="AC155" s="523"/>
    </row>
    <row r="156">
      <c r="A156" s="523"/>
      <c r="B156" s="612" t="str">
        <f>IFERROR(VLOOKUP(M156,'02. MM-KLH'!$B$6:$T$823,6,0),"")</f>
        <v>Xe xúc lật LEHMAN ZL946GP</v>
      </c>
      <c r="C156" s="566">
        <v>1.0</v>
      </c>
      <c r="D156" s="613" t="str">
        <f>IFERROR(VLOOKUP(M156,'02. MM-KLH'!$B$6:$T$823,16,0),"")</f>
        <v>ZL946GP</v>
      </c>
      <c r="E156" s="561" t="s">
        <v>4158</v>
      </c>
      <c r="F156" s="613"/>
      <c r="G156" s="613"/>
      <c r="H156" s="613" t="str">
        <f>IFERROR(VLOOKUP(M156,'02. MM-KLH'!$B$6:$T$823,17,0),"")</f>
        <v>114HP</v>
      </c>
      <c r="I156" s="614">
        <f>IFERROR(VLOOKUP(M156,'02. MM-KLH'!$B$6:$U$823,20,0),"")</f>
        <v>7</v>
      </c>
      <c r="J156" s="612" t="str">
        <f>IFERROR(VLOOKUP(M156,'02. MM-KLH'!$B$6:$T$823,19,0),"")</f>
        <v>1JG410R02705</v>
      </c>
      <c r="K156" s="612" t="str">
        <f>IFERROR(VLOOKUP(M156,'02. MM-KLH'!$B$6:$T$823,18,0),"")</f>
        <v>SY35080163</v>
      </c>
      <c r="L156" s="613" t="str">
        <f>IFERROR(VLOOKUP(M156,'02. MM-KLH'!$B$6:$T$823,4,0),"")</f>
        <v/>
      </c>
      <c r="M156" s="488" t="s">
        <v>1959</v>
      </c>
      <c r="N156" s="615">
        <f>IFERROR(VLOOKUP(M156,'02. MM-KLH'!$B$6:$T$823,15,0),"")</f>
        <v>2024</v>
      </c>
      <c r="O156" s="616">
        <f>IFERROR(VLOOKUP(M156,'02. MM-KLH'!$B$6:$T$823,9,0),"")</f>
        <v>45717</v>
      </c>
      <c r="P156" s="128"/>
      <c r="Q156" s="566" t="s">
        <v>1565</v>
      </c>
      <c r="R156" s="613"/>
      <c r="S156" s="566" t="s">
        <v>4158</v>
      </c>
      <c r="T156" s="613"/>
      <c r="U156" s="559" t="str">
        <f>IFERROR(VLOOKUP(M156,'02. MM-KLH'!$B$6:$T$823,5,0),"")</f>
        <v>MỚI</v>
      </c>
      <c r="V156" s="523" t="str">
        <f>IFERROR(VLOOKUP(M156,'02. MM-KLH'!$B$6:$T$823,8,0),"")</f>
        <v>XN Bò AD</v>
      </c>
      <c r="W156" s="559" t="str">
        <f>IFERROR(VLOOKUP(V156,'NS QUẢN LÝ CG'!$A$4:$D$36,2,0),"")</f>
        <v>Trần Văn Nam</v>
      </c>
      <c r="X156" s="559" t="str">
        <f>IFERROR(VLOOKUP(V156,'NS QUẢN LÝ CG'!$A$4:$D$36,4,0),"")</f>
        <v>Lô 28 XN Bò</v>
      </c>
      <c r="Y156" s="559" t="str">
        <f>IFERROR(VLOOKUP(V156,'NS QUẢN LÝ CG'!$A$4:$C$36,3,0),"")</f>
        <v>0971993540</v>
      </c>
      <c r="Z156" s="523" t="str">
        <f>IFERROR(VLOOKUP(M156,'02. MM-KLH'!$B$6:$T$823,3,0),"")</f>
        <v>A22-XXL-011</v>
      </c>
      <c r="AA156" s="559" t="str">
        <f t="shared" si="9"/>
        <v>ADM</v>
      </c>
      <c r="AB156" s="523"/>
      <c r="AC156" s="523"/>
    </row>
    <row r="157">
      <c r="A157" s="523"/>
      <c r="B157" s="612" t="str">
        <f>IFERROR(VLOOKUP(M157,'02. MM-KLH'!$B$6:$T$823,6,0),"")</f>
        <v/>
      </c>
      <c r="C157" s="566"/>
      <c r="D157" s="613" t="str">
        <f>IFERROR(VLOOKUP(M157,'02. MM-KLH'!$B$6:$T$823,16,0),"")</f>
        <v/>
      </c>
      <c r="E157" s="613"/>
      <c r="F157" s="613"/>
      <c r="G157" s="613"/>
      <c r="H157" s="613" t="str">
        <f>IFERROR(VLOOKUP(M157,'02. MM-KLH'!$B$6:$T$823,17,0),"")</f>
        <v/>
      </c>
      <c r="I157" s="614" t="str">
        <f>IFERROR(VLOOKUP(M157,'02. MM-KLH'!$B$6:$U$823,20,0),"")</f>
        <v/>
      </c>
      <c r="J157" s="612" t="str">
        <f>IFERROR(VLOOKUP(M157,'02. MM-KLH'!$B$6:$T$823,19,0),"")</f>
        <v/>
      </c>
      <c r="K157" s="612" t="str">
        <f>IFERROR(VLOOKUP(M157,'02. MM-KLH'!$B$6:$T$823,18,0),"")</f>
        <v/>
      </c>
      <c r="L157" s="613" t="str">
        <f>IFERROR(VLOOKUP(M157,'02. MM-KLH'!$B$6:$T$823,4,0),"")</f>
        <v/>
      </c>
      <c r="M157" s="488"/>
      <c r="N157" s="615" t="str">
        <f>IFERROR(VLOOKUP(M157,'02. MM-KLH'!$B$6:$T$823,15,0),"")</f>
        <v/>
      </c>
      <c r="O157" s="616" t="str">
        <f>IFERROR(VLOOKUP(M157,'02. MM-KLH'!$B$6:$T$823,9,0),"")</f>
        <v/>
      </c>
      <c r="P157" s="613"/>
      <c r="Q157" s="613"/>
      <c r="R157" s="613"/>
      <c r="S157" s="613"/>
      <c r="T157" s="613"/>
      <c r="U157" s="613" t="str">
        <f>IFERROR(VLOOKUP(M157,'02. MM-KLH'!$B$6:$T$823,2,0),"")</f>
        <v/>
      </c>
      <c r="V157" s="523" t="str">
        <f>IFERROR(VLOOKUP(M157,'02. MM-KLH'!$B$6:$T$823,8,0),"")</f>
        <v/>
      </c>
      <c r="W157" s="559" t="str">
        <f>IFERROR(VLOOKUP(V157,'NS QUẢN LÝ CG'!$A$4:$D$36,2,0),"")</f>
        <v/>
      </c>
      <c r="X157" s="559" t="str">
        <f>IFERROR(VLOOKUP(V157,'NS QUẢN LÝ CG'!$A$4:$D$36,4,0),"")</f>
        <v/>
      </c>
      <c r="Y157" s="613"/>
      <c r="Z157" s="523" t="str">
        <f>IFERROR(VLOOKUP(M157,'02. MM-KLH'!$B$6:$T$823,3,0),"")</f>
        <v/>
      </c>
      <c r="AA157" s="613"/>
      <c r="AB157" s="523"/>
      <c r="AC157" s="523"/>
    </row>
    <row r="158" hidden="1">
      <c r="A158" s="523"/>
      <c r="B158" s="612" t="str">
        <f>IFERROR(VLOOKUP(M158,'02. MM-KLH'!$B$6:$T$823,6,0),"")</f>
        <v/>
      </c>
      <c r="C158" s="566"/>
      <c r="D158" s="613" t="str">
        <f>IFERROR(VLOOKUP(M158,'02. MM-KLH'!$B$6:$T$823,16,0),"")</f>
        <v/>
      </c>
      <c r="E158" s="613"/>
      <c r="F158" s="613"/>
      <c r="G158" s="613"/>
      <c r="H158" s="613" t="str">
        <f>IFERROR(VLOOKUP(M158,'02. MM-KLH'!$B$6:$T$823,17,0),"")</f>
        <v/>
      </c>
      <c r="I158" s="614" t="str">
        <f>IFERROR(VLOOKUP(M158,'02. MM-KLH'!$B$6:$U$823,20,0),"")</f>
        <v/>
      </c>
      <c r="J158" s="612" t="str">
        <f>IFERROR(VLOOKUP(M158,'02. MM-KLH'!$B$6:$T$823,19,0),"")</f>
        <v/>
      </c>
      <c r="K158" s="612" t="str">
        <f>IFERROR(VLOOKUP(M158,'02. MM-KLH'!$B$6:$T$823,18,0),"")</f>
        <v/>
      </c>
      <c r="L158" s="613" t="str">
        <f>IFERROR(VLOOKUP(M158,'02. MM-KLH'!$B$6:$T$823,4,0),"")</f>
        <v/>
      </c>
      <c r="M158" s="488"/>
      <c r="N158" s="615" t="str">
        <f>IFERROR(VLOOKUP(M158,'02. MM-KLH'!$B$6:$T$823,15,0),"")</f>
        <v/>
      </c>
      <c r="O158" s="616" t="str">
        <f>IFERROR(VLOOKUP(M158,'02. MM-KLH'!$B$6:$T$823,9,0),"")</f>
        <v/>
      </c>
      <c r="P158" s="613"/>
      <c r="Q158" s="613"/>
      <c r="R158" s="613"/>
      <c r="S158" s="613"/>
      <c r="T158" s="613"/>
      <c r="U158" s="613" t="str">
        <f>IFERROR(VLOOKUP(M158,'02. MM-KLH'!$B$6:$T$823,2,0),"")</f>
        <v/>
      </c>
      <c r="V158" s="523" t="str">
        <f>IFERROR(VLOOKUP(M158,'02. MM-KLH'!$B$6:$T$823,8,0),"")</f>
        <v/>
      </c>
      <c r="W158" s="613"/>
      <c r="X158" s="613"/>
      <c r="Y158" s="613"/>
      <c r="Z158" s="523" t="str">
        <f>IFERROR(VLOOKUP(M158,'02. MM-KLH'!$B$6:$T$823,3,0),"")</f>
        <v/>
      </c>
      <c r="AA158" s="613"/>
      <c r="AB158" s="523"/>
      <c r="AC158" s="523"/>
    </row>
    <row r="159" hidden="1">
      <c r="A159" s="523"/>
      <c r="B159" s="612" t="str">
        <f>IFERROR(VLOOKUP(M159,'02. MM-KLH'!$B$6:$T$823,6,0),"")</f>
        <v/>
      </c>
      <c r="C159" s="566"/>
      <c r="D159" s="613" t="str">
        <f>IFERROR(VLOOKUP(M159,'02. MM-KLH'!$B$6:$T$823,16,0),"")</f>
        <v/>
      </c>
      <c r="E159" s="613"/>
      <c r="F159" s="613"/>
      <c r="G159" s="613"/>
      <c r="H159" s="613" t="str">
        <f>IFERROR(VLOOKUP(M159,'02. MM-KLH'!$B$6:$T$823,17,0),"")</f>
        <v/>
      </c>
      <c r="I159" s="614" t="str">
        <f>IFERROR(VLOOKUP(M159,'02. MM-KLH'!$B$6:$U$823,20,0),"")</f>
        <v/>
      </c>
      <c r="J159" s="612" t="str">
        <f>IFERROR(VLOOKUP(M159,'02. MM-KLH'!$B$6:$T$823,19,0),"")</f>
        <v/>
      </c>
      <c r="K159" s="612" t="str">
        <f>IFERROR(VLOOKUP(M159,'02. MM-KLH'!$B$6:$T$823,18,0),"")</f>
        <v/>
      </c>
      <c r="L159" s="613" t="str">
        <f>IFERROR(VLOOKUP(M159,'02. MM-KLH'!$B$6:$T$823,4,0),"")</f>
        <v/>
      </c>
      <c r="M159" s="488"/>
      <c r="N159" s="615" t="str">
        <f>IFERROR(VLOOKUP(M159,'02. MM-KLH'!$B$6:$T$823,15,0),"")</f>
        <v/>
      </c>
      <c r="O159" s="616" t="str">
        <f>IFERROR(VLOOKUP(M159,'02. MM-KLH'!$B$6:$T$823,9,0),"")</f>
        <v/>
      </c>
      <c r="P159" s="613"/>
      <c r="Q159" s="613"/>
      <c r="R159" s="613"/>
      <c r="S159" s="613"/>
      <c r="T159" s="613"/>
      <c r="U159" s="613" t="str">
        <f>IFERROR(VLOOKUP(M159,'02. MM-KLH'!$B$6:$T$823,2,0),"")</f>
        <v/>
      </c>
      <c r="V159" s="523" t="str">
        <f>IFERROR(VLOOKUP(M159,'02. MM-KLH'!$B$6:$T$823,8,0),"")</f>
        <v/>
      </c>
      <c r="W159" s="613"/>
      <c r="X159" s="613"/>
      <c r="Y159" s="613"/>
      <c r="Z159" s="523" t="str">
        <f>IFERROR(VLOOKUP(M159,'02. MM-KLH'!$B$6:$T$823,3,0),"")</f>
        <v/>
      </c>
      <c r="AA159" s="613"/>
      <c r="AB159" s="523"/>
      <c r="AC159" s="523"/>
    </row>
    <row r="160">
      <c r="A160" s="550">
        <v>5.0</v>
      </c>
      <c r="B160" s="666" t="s">
        <v>1926</v>
      </c>
      <c r="C160" s="550">
        <f>COUNTA(B161:B163)</f>
        <v>1</v>
      </c>
      <c r="D160" s="552"/>
      <c r="E160" s="552"/>
      <c r="F160" s="552"/>
      <c r="G160" s="552"/>
      <c r="H160" s="552"/>
      <c r="I160" s="553"/>
      <c r="J160" s="554"/>
      <c r="K160" s="554"/>
      <c r="L160" s="552"/>
      <c r="M160" s="555"/>
      <c r="N160" s="552"/>
      <c r="O160" s="556"/>
      <c r="P160" s="552"/>
      <c r="Q160" s="552"/>
      <c r="R160" s="552"/>
      <c r="S160" s="552"/>
      <c r="T160" s="552"/>
      <c r="U160" s="552"/>
      <c r="V160" s="557"/>
      <c r="W160" s="552"/>
      <c r="X160" s="552"/>
      <c r="Y160" s="552"/>
      <c r="Z160" s="557"/>
      <c r="AA160" s="552"/>
      <c r="AB160" s="557"/>
      <c r="AC160" s="558"/>
    </row>
    <row r="161">
      <c r="A161" s="523"/>
      <c r="B161" s="612" t="str">
        <f>IFERROR(VLOOKUP(M161,'02. MM-KLH'!$B$6:$T$823,6,0),"")</f>
        <v>Xe xúc lật MT625H</v>
      </c>
      <c r="C161" s="566">
        <v>1.0</v>
      </c>
      <c r="D161" s="613" t="str">
        <f>IFERROR(VLOOKUP(M161,'02. MM-KLH'!$B$6:$T$823,16,0),"")</f>
        <v>MT625H</v>
      </c>
      <c r="E161" s="561" t="s">
        <v>4158</v>
      </c>
      <c r="F161" s="613"/>
      <c r="G161" s="613"/>
      <c r="H161" s="613" t="str">
        <f>IFERROR(VLOOKUP(M161,'02. MM-KLH'!$B$6:$T$823,17,0),"")</f>
        <v>75HP</v>
      </c>
      <c r="I161" s="614" t="str">
        <f>IFERROR(VLOOKUP(M161,'02. MM-KLH'!$B$6:$U$823,20,0),"")</f>
        <v/>
      </c>
      <c r="J161" s="612" t="str">
        <f>IFERROR(VLOOKUP(M161,'02. MM-KLH'!$B$6:$T$823,19,0),"")</f>
        <v> V3307T8JL1568</v>
      </c>
      <c r="K161" s="612" t="str">
        <f>IFERROR(VLOOKUP(M161,'02. MM-KLH'!$B$6:$T$823,18,0),"")</f>
        <v>MAN00000T01005580</v>
      </c>
      <c r="L161" s="613" t="str">
        <f>IFERROR(VLOOKUP(M161,'02. MM-KLH'!$B$6:$T$823,4,0),"")</f>
        <v/>
      </c>
      <c r="M161" s="490" t="s">
        <v>1925</v>
      </c>
      <c r="N161" s="615">
        <f>IFERROR(VLOOKUP(M161,'02. MM-KLH'!$B$6:$T$823,15,0),"")</f>
        <v>2018</v>
      </c>
      <c r="O161" s="616">
        <f>IFERROR(VLOOKUP(M161,'02. MM-KLH'!$B$6:$T$823,9,0),"")</f>
        <v>45292</v>
      </c>
      <c r="Q161" s="566" t="s">
        <v>1565</v>
      </c>
      <c r="R161" s="613"/>
      <c r="S161" s="566" t="s">
        <v>4158</v>
      </c>
      <c r="T161" s="613"/>
      <c r="U161" s="559" t="str">
        <f>IFERROR(VLOOKUP(M161,'02. MM-KLH'!$B$6:$T$823,5,0),"")</f>
        <v>ĐQSD</v>
      </c>
      <c r="V161" s="523" t="str">
        <f>IFERROR(VLOOKUP(M161,'02. MM-KLH'!$B$6:$T$823,8,0),"")</f>
        <v>XN Bò AD</v>
      </c>
      <c r="W161" s="559" t="str">
        <f>IFERROR(VLOOKUP(V161,'NS QUẢN LÝ CG'!$A$4:$D$36,2,0),"")</f>
        <v>Trần Văn Nam</v>
      </c>
      <c r="X161" s="559" t="str">
        <f>IFERROR(VLOOKUP(V161,'NS QUẢN LÝ CG'!$A$4:$D$36,4,0),"")</f>
        <v>Lô 28 XN Bò</v>
      </c>
      <c r="Y161" s="559" t="str">
        <f>IFERROR(VLOOKUP(V161,'NS QUẢN LÝ CG'!$A$4:$C$36,3,0),"")</f>
        <v>0971993540</v>
      </c>
      <c r="Z161" s="523" t="str">
        <f>IFERROR(VLOOKUP(M161,'02. MM-KLH'!$B$6:$T$823,3,0),"")</f>
        <v>ATM-A22-0127</v>
      </c>
      <c r="AA161" s="561" t="s">
        <v>4462</v>
      </c>
      <c r="AB161" s="523"/>
      <c r="AC161" s="523"/>
    </row>
    <row r="162">
      <c r="A162" s="523"/>
      <c r="B162" s="612" t="str">
        <f>IFERROR(VLOOKUP(M162,'02. MM-KLH'!$B$6:$T$823,6,0),"")</f>
        <v/>
      </c>
      <c r="C162" s="566"/>
      <c r="D162" s="613" t="str">
        <f>IFERROR(VLOOKUP(M162,'02. MM-KLH'!$B$6:$T$823,16,0),"")</f>
        <v/>
      </c>
      <c r="E162" s="613"/>
      <c r="F162" s="613"/>
      <c r="G162" s="613"/>
      <c r="H162" s="613" t="str">
        <f>IFERROR(VLOOKUP(M162,'02. MM-KLH'!$B$6:$T$823,17,0),"")</f>
        <v/>
      </c>
      <c r="I162" s="614" t="str">
        <f>IFERROR(VLOOKUP(M162,'02. MM-KLH'!$B$6:$U$823,20,0),"")</f>
        <v/>
      </c>
      <c r="J162" s="612" t="str">
        <f>IFERROR(VLOOKUP(M162,'02. MM-KLH'!$B$6:$T$823,19,0),"")</f>
        <v/>
      </c>
      <c r="K162" s="612" t="str">
        <f>IFERROR(VLOOKUP(M162,'02. MM-KLH'!$B$6:$T$823,18,0),"")</f>
        <v/>
      </c>
      <c r="L162" s="613" t="str">
        <f>IFERROR(VLOOKUP(M162,'02. MM-KLH'!$B$6:$T$823,4,0),"")</f>
        <v/>
      </c>
      <c r="M162" s="488"/>
      <c r="N162" s="615" t="str">
        <f>IFERROR(VLOOKUP(M162,'02. MM-KLH'!$B$6:$T$823,15,0),"")</f>
        <v/>
      </c>
      <c r="O162" s="616" t="str">
        <f>IFERROR(VLOOKUP(M162,'02. MM-KLH'!$B$6:$T$823,9,0),"")</f>
        <v/>
      </c>
      <c r="P162" s="613"/>
      <c r="Q162" s="613"/>
      <c r="R162" s="613"/>
      <c r="S162" s="613"/>
      <c r="T162" s="613"/>
      <c r="U162" s="613" t="str">
        <f>IFERROR(VLOOKUP(M162,'02. MM-KLH'!$B$6:$T$823,2,0),"")</f>
        <v/>
      </c>
      <c r="V162" s="523" t="str">
        <f>IFERROR(VLOOKUP(M162,'02. MM-KLH'!$B$6:$T$823,8,0),"")</f>
        <v/>
      </c>
      <c r="W162" s="559" t="str">
        <f>IFERROR(VLOOKUP(V162,'NS QUẢN LÝ CG'!$A$4:$D$36,2,0),"")</f>
        <v/>
      </c>
      <c r="X162" s="559" t="str">
        <f>IFERROR(VLOOKUP(V162,'NS QUẢN LÝ CG'!$A$4:$D$36,4,0),"")</f>
        <v/>
      </c>
      <c r="Y162" s="613"/>
      <c r="Z162" s="523" t="str">
        <f>IFERROR(VLOOKUP(M162,'02. MM-KLH'!$B$6:$T$823,3,0),"")</f>
        <v/>
      </c>
      <c r="AA162" s="613"/>
      <c r="AB162" s="523"/>
      <c r="AC162" s="523"/>
    </row>
    <row r="163" hidden="1">
      <c r="A163" s="523"/>
      <c r="B163" s="612" t="str">
        <f>IFERROR(VLOOKUP(M163,'02. MM-KLH'!$B$6:$T$823,6,0),"")</f>
        <v/>
      </c>
      <c r="C163" s="566"/>
      <c r="D163" s="613" t="str">
        <f>IFERROR(VLOOKUP(M163,'02. MM-KLH'!$B$6:$T$823,16,0),"")</f>
        <v/>
      </c>
      <c r="E163" s="613"/>
      <c r="F163" s="613"/>
      <c r="G163" s="613"/>
      <c r="H163" s="613" t="str">
        <f>IFERROR(VLOOKUP(M163,'02. MM-KLH'!$B$6:$T$823,17,0),"")</f>
        <v/>
      </c>
      <c r="I163" s="614" t="str">
        <f>IFERROR(VLOOKUP(M163,'02. MM-KLH'!$B$6:$U$823,20,0),"")</f>
        <v/>
      </c>
      <c r="J163" s="612" t="str">
        <f>IFERROR(VLOOKUP(M163,'02. MM-KLH'!$B$6:$T$823,19,0),"")</f>
        <v/>
      </c>
      <c r="K163" s="612" t="str">
        <f>IFERROR(VLOOKUP(M163,'02. MM-KLH'!$B$6:$T$823,18,0),"")</f>
        <v/>
      </c>
      <c r="L163" s="613" t="str">
        <f>IFERROR(VLOOKUP(M163,'02. MM-KLH'!$B$6:$T$823,4,0),"")</f>
        <v/>
      </c>
      <c r="M163" s="488"/>
      <c r="N163" s="615" t="str">
        <f>IFERROR(VLOOKUP(M163,'02. MM-KLH'!$B$6:$T$823,15,0),"")</f>
        <v/>
      </c>
      <c r="O163" s="616" t="str">
        <f>IFERROR(VLOOKUP(M163,'02. MM-KLH'!$B$6:$T$823,9,0),"")</f>
        <v/>
      </c>
      <c r="P163" s="613"/>
      <c r="Q163" s="613"/>
      <c r="R163" s="613"/>
      <c r="S163" s="613"/>
      <c r="T163" s="613"/>
      <c r="U163" s="613" t="str">
        <f>IFERROR(VLOOKUP(M163,'02. MM-KLH'!$B$6:$T$823,2,0),"")</f>
        <v/>
      </c>
      <c r="V163" s="523" t="str">
        <f>IFERROR(VLOOKUP(M163,'02. MM-KLH'!$B$6:$T$823,8,0),"")</f>
        <v/>
      </c>
      <c r="W163" s="613"/>
      <c r="X163" s="613"/>
      <c r="Y163" s="613"/>
      <c r="Z163" s="523" t="str">
        <f>IFERROR(VLOOKUP(M163,'02. MM-KLH'!$B$6:$T$823,3,0),"")</f>
        <v/>
      </c>
      <c r="AA163" s="613"/>
      <c r="AB163" s="523"/>
      <c r="AC163" s="523"/>
    </row>
    <row r="164">
      <c r="A164" s="550">
        <v>6.0</v>
      </c>
      <c r="B164" s="551" t="s">
        <v>1940</v>
      </c>
      <c r="C164" s="550">
        <f>COUNTA(B165:B171)</f>
        <v>4</v>
      </c>
      <c r="D164" s="552"/>
      <c r="E164" s="552"/>
      <c r="F164" s="552"/>
      <c r="G164" s="552"/>
      <c r="H164" s="552"/>
      <c r="I164" s="553"/>
      <c r="J164" s="554"/>
      <c r="K164" s="554"/>
      <c r="L164" s="552"/>
      <c r="M164" s="555"/>
      <c r="N164" s="552"/>
      <c r="O164" s="556"/>
      <c r="P164" s="552"/>
      <c r="Q164" s="552"/>
      <c r="R164" s="552"/>
      <c r="S164" s="552"/>
      <c r="T164" s="552"/>
      <c r="U164" s="552"/>
      <c r="V164" s="557"/>
      <c r="W164" s="552"/>
      <c r="X164" s="552"/>
      <c r="Y164" s="552"/>
      <c r="Z164" s="557"/>
      <c r="AA164" s="552"/>
      <c r="AB164" s="557"/>
      <c r="AC164" s="558"/>
    </row>
    <row r="165">
      <c r="A165" s="523"/>
      <c r="B165" s="612" t="str">
        <f>IFERROR(VLOOKUP(M165,'02. MM-KLH'!$B$6:$T$823,6,0),"")</f>
        <v>Xe xúc lật L935H</v>
      </c>
      <c r="C165" s="566">
        <v>1.0</v>
      </c>
      <c r="D165" s="613" t="str">
        <f>IFERROR(VLOOKUP(M165,'02. MM-KLH'!$B$6:$T$823,16,0),"")</f>
        <v>L935H</v>
      </c>
      <c r="E165" s="561" t="s">
        <v>4158</v>
      </c>
      <c r="F165" s="613"/>
      <c r="G165" s="613"/>
      <c r="H165" s="613" t="str">
        <f>IFERROR(VLOOKUP(M165,'02. MM-KLH'!$B$6:$T$823,17,0),"")</f>
        <v>140HP</v>
      </c>
      <c r="I165" s="614">
        <f>IFERROR(VLOOKUP(M165,'02. MM-KLH'!$B$6:$U$823,20,0),"")</f>
        <v>12</v>
      </c>
      <c r="J165" s="612" t="str">
        <f>IFERROR(VLOOKUP(M165,'02. MM-KLH'!$B$6:$T$823,19,0),"")</f>
        <v>WP6G140E226P22D023010</v>
      </c>
      <c r="K165" s="612" t="str">
        <f>IFERROR(VLOOKUP(M165,'02. MM-KLH'!$B$6:$T$823,18,0),"")</f>
        <v>VLGL935HAN0620050</v>
      </c>
      <c r="L165" s="613" t="str">
        <f>IFERROR(VLOOKUP(M165,'02. MM-KLH'!$B$6:$T$823,4,0),"")</f>
        <v/>
      </c>
      <c r="M165" s="488" t="s">
        <v>1937</v>
      </c>
      <c r="N165" s="615">
        <f>IFERROR(VLOOKUP(M165,'02. MM-KLH'!$B$6:$T$823,15,0),"")</f>
        <v>2022</v>
      </c>
      <c r="O165" s="616" t="str">
        <f>IFERROR(VLOOKUP(M165,'02. MM-KLH'!$B$6:$T$823,9,0),"")</f>
        <v>30/01/2024</v>
      </c>
      <c r="P165" s="128"/>
      <c r="Q165" s="566">
        <v>7429.0</v>
      </c>
      <c r="R165" s="566" t="s">
        <v>4158</v>
      </c>
      <c r="S165" s="613"/>
      <c r="T165" s="613"/>
      <c r="U165" s="559" t="str">
        <f>IFERROR(VLOOKUP(M165,'02. MM-KLH'!$B$6:$T$823,5,0),"")</f>
        <v>MỚI</v>
      </c>
      <c r="V165" s="523" t="str">
        <f>IFERROR(VLOOKUP(M165,'02. MM-KLH'!$B$6:$T$823,8,0),"")</f>
        <v>XN Bò AD</v>
      </c>
      <c r="W165" s="559" t="str">
        <f>IFERROR(VLOOKUP(V165,'NS QUẢN LÝ CG'!$A$4:$D$36,2,0),"")</f>
        <v>Trần Văn Nam</v>
      </c>
      <c r="X165" s="559" t="str">
        <f>IFERROR(VLOOKUP(V165,'NS QUẢN LÝ CG'!$A$4:$D$36,4,0),"")</f>
        <v>Lô 28 XN Bò</v>
      </c>
      <c r="Y165" s="559" t="str">
        <f>IFERROR(VLOOKUP(V165,'NS QUẢN LÝ CG'!$A$4:$C$36,3,0),"")</f>
        <v>0971993540</v>
      </c>
      <c r="Z165" s="523" t="str">
        <f>IFERROR(VLOOKUP(M165,'02. MM-KLH'!$B$6:$T$823,3,0),"")</f>
        <v>ATT-A22-0324</v>
      </c>
      <c r="AA165" s="561" t="s">
        <v>4462</v>
      </c>
      <c r="AB165" s="523"/>
      <c r="AC165" s="523"/>
    </row>
    <row r="166">
      <c r="A166" s="523"/>
      <c r="B166" s="612" t="str">
        <f>IFERROR(VLOOKUP(M166,'02. MM-KLH'!$B$6:$T$823,6,0),"")</f>
        <v>Xe xúc lật SDLG L936H</v>
      </c>
      <c r="C166" s="566">
        <v>1.0</v>
      </c>
      <c r="D166" s="613" t="str">
        <f>IFERROR(VLOOKUP(M166,'02. MM-KLH'!$B$6:$T$823,16,0),"")</f>
        <v>L936H</v>
      </c>
      <c r="E166" s="561" t="s">
        <v>4158</v>
      </c>
      <c r="F166" s="613"/>
      <c r="G166" s="613"/>
      <c r="H166" s="613" t="str">
        <f>IFERROR(VLOOKUP(M166,'02. MM-KLH'!$B$6:$T$823,17,0),"")</f>
        <v>143HP</v>
      </c>
      <c r="I166" s="614">
        <f>IFERROR(VLOOKUP(M166,'02. MM-KLH'!$B$6:$U$823,20,0),"")</f>
        <v>12</v>
      </c>
      <c r="J166" s="612" t="str">
        <f>IFERROR(VLOOKUP(M166,'02. MM-KLH'!$B$6:$T$823,19,0),"")</f>
        <v>WP6G140E226P24S022431</v>
      </c>
      <c r="K166" s="612" t="str">
        <f>IFERROR(VLOOKUP(M166,'02. MM-KLH'!$B$6:$T$823,18,0),"")</f>
        <v>VLGL936HLR0620877</v>
      </c>
      <c r="L166" s="613" t="str">
        <f>IFERROR(VLOOKUP(M166,'02. MM-KLH'!$B$6:$T$823,4,0),"")</f>
        <v/>
      </c>
      <c r="M166" s="488" t="s">
        <v>1963</v>
      </c>
      <c r="N166" s="615">
        <f>IFERROR(VLOOKUP(M166,'02. MM-KLH'!$B$6:$T$823,15,0),"")</f>
        <v>2025</v>
      </c>
      <c r="O166" s="616">
        <f>IFERROR(VLOOKUP(M166,'02. MM-KLH'!$B$6:$T$823,9,0),"")</f>
        <v>45939</v>
      </c>
      <c r="P166" s="128"/>
      <c r="Q166" s="566">
        <v>3579.0</v>
      </c>
      <c r="R166" s="566" t="s">
        <v>4158</v>
      </c>
      <c r="S166" s="613"/>
      <c r="T166" s="613"/>
      <c r="U166" s="559" t="str">
        <f>IFERROR(VLOOKUP(M166,'02. MM-KLH'!$B$6:$T$823,5,0),"")</f>
        <v>MỚI</v>
      </c>
      <c r="V166" s="523" t="str">
        <f>IFERROR(VLOOKUP(M166,'02. MM-KLH'!$B$6:$T$823,8,0),"")</f>
        <v>XN Bò AD</v>
      </c>
      <c r="W166" s="559" t="str">
        <f>IFERROR(VLOOKUP(V166,'NS QUẢN LÝ CG'!$A$4:$D$36,2,0),"")</f>
        <v>Trần Văn Nam</v>
      </c>
      <c r="X166" s="559" t="str">
        <f>IFERROR(VLOOKUP(V166,'NS QUẢN LÝ CG'!$A$4:$D$36,4,0),"")</f>
        <v>Lô 28 XN Bò</v>
      </c>
      <c r="Y166" s="559" t="str">
        <f>IFERROR(VLOOKUP(V166,'NS QUẢN LÝ CG'!$A$4:$C$36,3,0),"")</f>
        <v>0971993540</v>
      </c>
      <c r="Z166" s="523" t="str">
        <f>IFERROR(VLOOKUP(M166,'02. MM-KLH'!$B$6:$T$823,3,0),"")</f>
        <v>A22-XXL-012</v>
      </c>
      <c r="AA166" s="559" t="str">
        <f t="shared" ref="AA166:AA168" si="10">SWITCH(LEFT(Z166,3),"A22","ADM","A23","DP","A24","LP","")</f>
        <v>ADM</v>
      </c>
      <c r="AB166" s="523"/>
      <c r="AC166" s="523"/>
    </row>
    <row r="167">
      <c r="A167" s="523"/>
      <c r="B167" s="612" t="str">
        <f>IFERROR(VLOOKUP(M167,'02. MM-KLH'!$B$6:$T$823,6,0),"")</f>
        <v>Xe xúc lật SDLG L936H</v>
      </c>
      <c r="C167" s="566">
        <v>1.0</v>
      </c>
      <c r="D167" s="613" t="str">
        <f>IFERROR(VLOOKUP(M167,'02. MM-KLH'!$B$6:$T$823,16,0),"")</f>
        <v>L936H</v>
      </c>
      <c r="E167" s="561" t="s">
        <v>4158</v>
      </c>
      <c r="F167" s="613"/>
      <c r="G167" s="613"/>
      <c r="H167" s="613" t="str">
        <f>IFERROR(VLOOKUP(M167,'02. MM-KLH'!$B$6:$T$823,17,0),"")</f>
        <v>143HP</v>
      </c>
      <c r="I167" s="614">
        <f>IFERROR(VLOOKUP(M167,'02. MM-KLH'!$B$6:$U$823,20,0),"")</f>
        <v>12</v>
      </c>
      <c r="J167" s="612" t="str">
        <f>IFERROR(VLOOKUP(M167,'02. MM-KLH'!$B$6:$T$823,19,0),"")</f>
        <v>WP6G140E226P24K026707</v>
      </c>
      <c r="K167" s="612" t="str">
        <f>IFERROR(VLOOKUP(M167,'02. MM-KLH'!$B$6:$T$823,18,0),"")</f>
        <v>VLGL936HVS0620901</v>
      </c>
      <c r="L167" s="613" t="str">
        <f>IFERROR(VLOOKUP(M167,'02. MM-KLH'!$B$6:$T$823,4,0),"")</f>
        <v/>
      </c>
      <c r="M167" s="488" t="s">
        <v>1968</v>
      </c>
      <c r="N167" s="615">
        <f>IFERROR(VLOOKUP(M167,'02. MM-KLH'!$B$6:$T$823,15,0),"")</f>
        <v>2025</v>
      </c>
      <c r="O167" s="616">
        <f>IFERROR(VLOOKUP(M167,'02. MM-KLH'!$B$6:$T$823,9,0),"")</f>
        <v>45939</v>
      </c>
      <c r="P167" s="128"/>
      <c r="Q167" s="566">
        <v>3475.0</v>
      </c>
      <c r="R167" s="566" t="s">
        <v>4158</v>
      </c>
      <c r="S167" s="613"/>
      <c r="T167" s="613"/>
      <c r="U167" s="559" t="str">
        <f>IFERROR(VLOOKUP(M167,'02. MM-KLH'!$B$6:$T$823,5,0),"")</f>
        <v>MỚI</v>
      </c>
      <c r="V167" s="523" t="str">
        <f>IFERROR(VLOOKUP(M167,'02. MM-KLH'!$B$6:$T$823,8,0),"")</f>
        <v>XN Bò AD</v>
      </c>
      <c r="W167" s="559" t="str">
        <f>IFERROR(VLOOKUP(V167,'NS QUẢN LÝ CG'!$A$4:$D$36,2,0),"")</f>
        <v>Trần Văn Nam</v>
      </c>
      <c r="X167" s="559" t="str">
        <f>IFERROR(VLOOKUP(V167,'NS QUẢN LÝ CG'!$A$4:$D$36,4,0),"")</f>
        <v>Lô 28 XN Bò</v>
      </c>
      <c r="Y167" s="559" t="str">
        <f>IFERROR(VLOOKUP(V167,'NS QUẢN LÝ CG'!$A$4:$C$36,3,0),"")</f>
        <v>0971993540</v>
      </c>
      <c r="Z167" s="523" t="str">
        <f>IFERROR(VLOOKUP(M167,'02. MM-KLH'!$B$6:$T$823,3,0),"")</f>
        <v>A22-XXL-013</v>
      </c>
      <c r="AA167" s="559" t="str">
        <f t="shared" si="10"/>
        <v>ADM</v>
      </c>
      <c r="AB167" s="523"/>
      <c r="AC167" s="523"/>
    </row>
    <row r="168">
      <c r="A168" s="523"/>
      <c r="B168" s="612" t="str">
        <f>IFERROR(VLOOKUP(M168,'02. MM-KLH'!$B$6:$T$823,6,0),"")</f>
        <v>Xe xúc lật SDLG L936H</v>
      </c>
      <c r="C168" s="566">
        <v>1.0</v>
      </c>
      <c r="D168" s="613" t="str">
        <f>IFERROR(VLOOKUP(M168,'02. MM-KLH'!$B$6:$T$823,16,0),"")</f>
        <v>L936H</v>
      </c>
      <c r="E168" s="561" t="s">
        <v>4158</v>
      </c>
      <c r="F168" s="613"/>
      <c r="G168" s="613"/>
      <c r="H168" s="613" t="str">
        <f>IFERROR(VLOOKUP(M168,'02. MM-KLH'!$B$6:$T$823,17,0),"")</f>
        <v>142.7HP</v>
      </c>
      <c r="I168" s="614" t="str">
        <f>IFERROR(VLOOKUP(M168,'02. MM-KLH'!$B$6:$U$823,20,0),"")</f>
        <v/>
      </c>
      <c r="J168" s="612" t="str">
        <f>IFERROR(VLOOKUP(M168,'02. MM-KLH'!$B$6:$T$823,19,0),"")</f>
        <v>WP6G140E226P25G016629</v>
      </c>
      <c r="K168" s="612" t="str">
        <f>IFERROR(VLOOKUP(M168,'02. MM-KLH'!$B$6:$T$823,18,0),"")</f>
        <v>VLGL936HCS0621335</v>
      </c>
      <c r="L168" s="613" t="str">
        <f>IFERROR(VLOOKUP(M168,'02. MM-KLH'!$B$6:$T$823,4,0),"")</f>
        <v/>
      </c>
      <c r="M168" s="488" t="s">
        <v>1982</v>
      </c>
      <c r="N168" s="615">
        <f>IFERROR(VLOOKUP(M168,'02. MM-KLH'!$B$6:$T$823,15,0),"")</f>
        <v>2025</v>
      </c>
      <c r="O168" s="616">
        <f>IFERROR(VLOOKUP(M168,'02. MM-KLH'!$B$6:$T$823,9,0),"")</f>
        <v>46002</v>
      </c>
      <c r="P168" s="128"/>
      <c r="Q168" s="566" t="s">
        <v>5779</v>
      </c>
      <c r="R168" s="566" t="s">
        <v>4158</v>
      </c>
      <c r="S168" s="613"/>
      <c r="T168" s="613"/>
      <c r="U168" s="559" t="str">
        <f>IFERROR(VLOOKUP(M168,'02. MM-KLH'!$B$6:$T$823,5,0),"")</f>
        <v>MỚI (ĐQSD)</v>
      </c>
      <c r="V168" s="523" t="str">
        <f>IFERROR(VLOOKUP(M168,'02. MM-KLH'!$B$6:$T$823,8,0),"")</f>
        <v>XN Bò AD</v>
      </c>
      <c r="W168" s="559" t="str">
        <f>IFERROR(VLOOKUP(V168,'NS QUẢN LÝ CG'!$A$4:$D$36,2,0),"")</f>
        <v>Trần Văn Nam</v>
      </c>
      <c r="X168" s="559" t="str">
        <f>IFERROR(VLOOKUP(V168,'NS QUẢN LÝ CG'!$A$4:$D$36,4,0),"")</f>
        <v>Lô 28 XN Bò</v>
      </c>
      <c r="Y168" s="559" t="str">
        <f>IFERROR(VLOOKUP(V168,'NS QUẢN LÝ CG'!$A$4:$C$36,3,0),"")</f>
        <v>0971993540</v>
      </c>
      <c r="Z168" s="523" t="str">
        <f>IFERROR(VLOOKUP(M168,'02. MM-KLH'!$B$6:$T$823,3,0),"")</f>
        <v>A22-XXL-015</v>
      </c>
      <c r="AA168" s="559" t="str">
        <f t="shared" si="10"/>
        <v>ADM</v>
      </c>
      <c r="AB168" s="523"/>
      <c r="AC168" s="523"/>
    </row>
    <row r="169">
      <c r="A169" s="523"/>
      <c r="B169" s="612" t="str">
        <f>IFERROR(VLOOKUP(M169,'02. MM-KLH'!$B$6:$T$823,6,0),"")</f>
        <v/>
      </c>
      <c r="C169" s="566"/>
      <c r="D169" s="613" t="str">
        <f>IFERROR(VLOOKUP(M169,'02. MM-KLH'!$B$6:$T$823,16,0),"")</f>
        <v/>
      </c>
      <c r="E169" s="613"/>
      <c r="F169" s="613"/>
      <c r="G169" s="613"/>
      <c r="H169" s="613" t="str">
        <f>IFERROR(VLOOKUP(M169,'02. MM-KLH'!$B$6:$T$823,17,0),"")</f>
        <v/>
      </c>
      <c r="I169" s="614" t="str">
        <f>IFERROR(VLOOKUP(M169,'02. MM-KLH'!$B$6:$U$823,20,0),"")</f>
        <v/>
      </c>
      <c r="J169" s="612" t="str">
        <f>IFERROR(VLOOKUP(M169,'02. MM-KLH'!$B$6:$T$823,19,0),"")</f>
        <v/>
      </c>
      <c r="K169" s="612" t="str">
        <f>IFERROR(VLOOKUP(M169,'02. MM-KLH'!$B$6:$T$823,18,0),"")</f>
        <v/>
      </c>
      <c r="L169" s="613" t="str">
        <f>IFERROR(VLOOKUP(M169,'02. MM-KLH'!$B$6:$T$823,4,0),"")</f>
        <v/>
      </c>
      <c r="M169" s="488"/>
      <c r="N169" s="615" t="str">
        <f>IFERROR(VLOOKUP(M169,'02. MM-KLH'!$B$6:$T$823,15,0),"")</f>
        <v/>
      </c>
      <c r="O169" s="616" t="str">
        <f>IFERROR(VLOOKUP(M169,'02. MM-KLH'!$B$6:$T$823,9,0),"")</f>
        <v/>
      </c>
      <c r="P169" s="613"/>
      <c r="Q169" s="613"/>
      <c r="R169" s="613"/>
      <c r="S169" s="613"/>
      <c r="T169" s="613"/>
      <c r="U169" s="613" t="str">
        <f>IFERROR(VLOOKUP(M169,'02. MM-KLH'!$B$6:$T$823,2,0),"")</f>
        <v/>
      </c>
      <c r="V169" s="523" t="str">
        <f>IFERROR(VLOOKUP(M169,'02. MM-KLH'!$B$6:$T$823,8,0),"")</f>
        <v/>
      </c>
      <c r="W169" s="559" t="str">
        <f>IFERROR(VLOOKUP(V169,'NS QUẢN LÝ CG'!$A$4:$D$36,2,0),"")</f>
        <v/>
      </c>
      <c r="X169" s="559" t="str">
        <f>IFERROR(VLOOKUP(V169,'NS QUẢN LÝ CG'!$A$4:$D$36,4,0),"")</f>
        <v/>
      </c>
      <c r="Y169" s="613"/>
      <c r="Z169" s="523" t="str">
        <f>IFERROR(VLOOKUP(M169,'02. MM-KLH'!$B$6:$T$823,3,0),"")</f>
        <v/>
      </c>
      <c r="AA169" s="613"/>
      <c r="AB169" s="523"/>
      <c r="AC169" s="523"/>
    </row>
    <row r="170" hidden="1">
      <c r="A170" s="523"/>
      <c r="B170" s="612" t="str">
        <f>IFERROR(VLOOKUP(M170,'02. MM-KLH'!$B$6:$T$823,6,0),"")</f>
        <v/>
      </c>
      <c r="C170" s="566"/>
      <c r="D170" s="613" t="str">
        <f>IFERROR(VLOOKUP(M170,'02. MM-KLH'!$B$6:$T$823,16,0),"")</f>
        <v/>
      </c>
      <c r="E170" s="613"/>
      <c r="F170" s="613"/>
      <c r="G170" s="613"/>
      <c r="H170" s="613" t="str">
        <f>IFERROR(VLOOKUP(M170,'02. MM-KLH'!$B$6:$T$823,17,0),"")</f>
        <v/>
      </c>
      <c r="I170" s="614" t="str">
        <f>IFERROR(VLOOKUP(M170,'02. MM-KLH'!$B$6:$U$823,20,0),"")</f>
        <v/>
      </c>
      <c r="J170" s="612" t="str">
        <f>IFERROR(VLOOKUP(M170,'02. MM-KLH'!$B$6:$T$823,19,0),"")</f>
        <v/>
      </c>
      <c r="K170" s="612" t="str">
        <f>IFERROR(VLOOKUP(M170,'02. MM-KLH'!$B$6:$T$823,18,0),"")</f>
        <v/>
      </c>
      <c r="L170" s="613" t="str">
        <f>IFERROR(VLOOKUP(M170,'02. MM-KLH'!$B$6:$T$823,4,0),"")</f>
        <v/>
      </c>
      <c r="M170" s="488"/>
      <c r="N170" s="615" t="str">
        <f>IFERROR(VLOOKUP(M170,'02. MM-KLH'!$B$6:$T$823,15,0),"")</f>
        <v/>
      </c>
      <c r="O170" s="616" t="str">
        <f>IFERROR(VLOOKUP(M170,'02. MM-KLH'!$B$6:$T$823,9,0),"")</f>
        <v/>
      </c>
      <c r="P170" s="613"/>
      <c r="Q170" s="613"/>
      <c r="R170" s="613"/>
      <c r="S170" s="613"/>
      <c r="T170" s="613"/>
      <c r="U170" s="613" t="str">
        <f>IFERROR(VLOOKUP(M170,'02. MM-KLH'!$B$6:$T$823,2,0),"")</f>
        <v/>
      </c>
      <c r="V170" s="523" t="str">
        <f>IFERROR(VLOOKUP(M170,'02. MM-KLH'!$B$6:$T$823,8,0),"")</f>
        <v/>
      </c>
      <c r="W170" s="613"/>
      <c r="X170" s="613"/>
      <c r="Y170" s="613"/>
      <c r="Z170" s="523" t="str">
        <f>IFERROR(VLOOKUP(M170,'02. MM-KLH'!$B$6:$T$823,3,0),"")</f>
        <v/>
      </c>
      <c r="AA170" s="613"/>
      <c r="AB170" s="523"/>
      <c r="AC170" s="523"/>
    </row>
    <row r="171" hidden="1">
      <c r="A171" s="523"/>
      <c r="B171" s="612" t="str">
        <f>IFERROR(VLOOKUP(M171,'02. MM-KLH'!$B$6:$T$823,6,0),"")</f>
        <v/>
      </c>
      <c r="C171" s="566"/>
      <c r="D171" s="613" t="str">
        <f>IFERROR(VLOOKUP(M171,'02. MM-KLH'!$B$6:$T$823,16,0),"")</f>
        <v/>
      </c>
      <c r="E171" s="613"/>
      <c r="F171" s="613"/>
      <c r="G171" s="613"/>
      <c r="H171" s="613" t="str">
        <f>IFERROR(VLOOKUP(M171,'02. MM-KLH'!$B$6:$T$823,17,0),"")</f>
        <v/>
      </c>
      <c r="I171" s="614" t="str">
        <f>IFERROR(VLOOKUP(M171,'02. MM-KLH'!$B$6:$U$823,20,0),"")</f>
        <v/>
      </c>
      <c r="J171" s="612" t="str">
        <f>IFERROR(VLOOKUP(M171,'02. MM-KLH'!$B$6:$T$823,19,0),"")</f>
        <v/>
      </c>
      <c r="K171" s="612" t="str">
        <f>IFERROR(VLOOKUP(M171,'02. MM-KLH'!$B$6:$T$823,18,0),"")</f>
        <v/>
      </c>
      <c r="L171" s="613" t="str">
        <f>IFERROR(VLOOKUP(M171,'02. MM-KLH'!$B$6:$T$823,4,0),"")</f>
        <v/>
      </c>
      <c r="M171" s="488"/>
      <c r="N171" s="615" t="str">
        <f>IFERROR(VLOOKUP(M171,'02. MM-KLH'!$B$6:$T$823,15,0),"")</f>
        <v/>
      </c>
      <c r="O171" s="616" t="str">
        <f>IFERROR(VLOOKUP(M171,'02. MM-KLH'!$B$6:$T$823,9,0),"")</f>
        <v/>
      </c>
      <c r="P171" s="613"/>
      <c r="Q171" s="613"/>
      <c r="R171" s="613"/>
      <c r="S171" s="613"/>
      <c r="T171" s="613"/>
      <c r="U171" s="613" t="str">
        <f>IFERROR(VLOOKUP(M171,'02. MM-KLH'!$B$6:$T$823,2,0),"")</f>
        <v/>
      </c>
      <c r="V171" s="523" t="str">
        <f>IFERROR(VLOOKUP(M171,'02. MM-KLH'!$B$6:$T$823,8,0),"")</f>
        <v/>
      </c>
      <c r="W171" s="613"/>
      <c r="X171" s="613"/>
      <c r="Y171" s="613"/>
      <c r="Z171" s="523" t="str">
        <f>IFERROR(VLOOKUP(M171,'02. MM-KLH'!$B$6:$T$823,3,0),"")</f>
        <v/>
      </c>
      <c r="AA171" s="613"/>
      <c r="AB171" s="523"/>
      <c r="AC171" s="523"/>
    </row>
    <row r="172">
      <c r="A172" s="695">
        <v>7.0</v>
      </c>
      <c r="B172" s="696" t="s">
        <v>1978</v>
      </c>
      <c r="C172" s="697">
        <f>COUNTA(B173:B175)</f>
        <v>1</v>
      </c>
      <c r="D172" s="698"/>
      <c r="E172" s="698"/>
      <c r="F172" s="698"/>
      <c r="G172" s="698"/>
      <c r="H172" s="558"/>
      <c r="I172" s="558"/>
      <c r="J172" s="699"/>
      <c r="K172" s="699"/>
      <c r="L172" s="698"/>
      <c r="M172" s="700"/>
      <c r="N172" s="698"/>
      <c r="O172" s="701"/>
      <c r="P172" s="698"/>
      <c r="Q172" s="698"/>
      <c r="R172" s="698"/>
      <c r="S172" s="698"/>
      <c r="T172" s="698"/>
      <c r="U172" s="698"/>
      <c r="V172" s="558"/>
      <c r="W172" s="698"/>
      <c r="X172" s="698"/>
      <c r="Y172" s="698"/>
      <c r="Z172" s="558"/>
      <c r="AA172" s="698"/>
      <c r="AB172" s="558"/>
      <c r="AC172" s="558"/>
    </row>
    <row r="173">
      <c r="A173" s="523"/>
      <c r="B173" s="612" t="str">
        <f>IFERROR(VLOOKUP(M173,'02. MM-KLH'!$B$6:$T$823,6,0),"")</f>
        <v>Xe xúc lật TCM 709</v>
      </c>
      <c r="C173" s="566"/>
      <c r="D173" s="613" t="str">
        <f>IFERROR(VLOOKUP(M173,'02. MM-KLH'!$B$6:$T$823,16,0),"")</f>
        <v>V2403-M</v>
      </c>
      <c r="E173" s="561" t="s">
        <v>4158</v>
      </c>
      <c r="F173" s="613"/>
      <c r="G173" s="613"/>
      <c r="H173" s="613" t="str">
        <f>IFERROR(VLOOKUP(M173,'02. MM-KLH'!$B$6:$T$823,17,0),"")</f>
        <v>45HP</v>
      </c>
      <c r="I173" s="614" t="str">
        <f>IFERROR(VLOOKUP(M173,'02. MM-KLH'!$B$6:$U$823,20,0),"")</f>
        <v/>
      </c>
      <c r="J173" s="612" t="str">
        <f>IFERROR(VLOOKUP(M173,'02. MM-KLH'!$B$6:$T$823,19,0),"")</f>
        <v>V2403-08-3116</v>
      </c>
      <c r="K173" s="612" t="str">
        <f>IFERROR(VLOOKUP(M173,'02. MM-KLH'!$B$6:$T$823,18,0),"")</f>
        <v>56T01045</v>
      </c>
      <c r="L173" s="613" t="str">
        <f>IFERROR(VLOOKUP(M173,'02. MM-KLH'!$B$6:$T$823,4,0),"")</f>
        <v/>
      </c>
      <c r="M173" s="488" t="s">
        <v>1972</v>
      </c>
      <c r="N173" s="615">
        <f>IFERROR(VLOOKUP(M173,'02. MM-KLH'!$B$6:$T$823,15,0),"")</f>
        <v>2007</v>
      </c>
      <c r="O173" s="616" t="str">
        <f>IFERROR(VLOOKUP(M173,'02. MM-KLH'!$B$6:$T$823,9,0),"")</f>
        <v>24/09/2025</v>
      </c>
      <c r="Q173" s="566" t="s">
        <v>1565</v>
      </c>
      <c r="R173" s="613"/>
      <c r="S173" s="566" t="s">
        <v>4158</v>
      </c>
      <c r="T173" s="613"/>
      <c r="U173" s="559" t="str">
        <f>IFERROR(VLOOKUP(M173,'02. MM-KLH'!$B$6:$T$823,5,0),"")</f>
        <v>MỚI (ĐQSD)</v>
      </c>
      <c r="V173" s="523" t="str">
        <f>IFERROR(VLOOKUP(M173,'02. MM-KLH'!$B$6:$T$823,8,0),"")</f>
        <v>XN Bò AD</v>
      </c>
      <c r="W173" s="559" t="str">
        <f>IFERROR(VLOOKUP(V173,'NS QUẢN LÝ CG'!$A$4:$D$36,2,0),"")</f>
        <v>Trần Văn Nam</v>
      </c>
      <c r="X173" s="559" t="str">
        <f>IFERROR(VLOOKUP(V173,'NS QUẢN LÝ CG'!$A$4:$D$36,4,0),"")</f>
        <v>Lô 28 XN Bò</v>
      </c>
      <c r="Y173" s="559" t="str">
        <f>IFERROR(VLOOKUP(V173,'NS QUẢN LÝ CG'!$A$4:$C$36,3,0),"")</f>
        <v>0971993540</v>
      </c>
      <c r="Z173" s="523" t="str">
        <f>IFERROR(VLOOKUP(M173,'02. MM-KLH'!$B$6:$T$823,3,0),"")</f>
        <v>A22-XXL-014</v>
      </c>
      <c r="AA173" s="559" t="str">
        <f>SWITCH(LEFT(Z173,3),"A22","ADM","A23","DP","A24","LP","")</f>
        <v>ADM</v>
      </c>
      <c r="AB173" s="523"/>
      <c r="AC173" s="523"/>
    </row>
    <row r="174">
      <c r="A174" s="523"/>
      <c r="B174" s="612" t="str">
        <f>IFERROR(VLOOKUP(M174,'02. MM-KLH'!$B$6:$T$823,6,0),"")</f>
        <v/>
      </c>
      <c r="C174" s="566"/>
      <c r="D174" s="613" t="str">
        <f>IFERROR(VLOOKUP(M174,'02. MM-KLH'!$B$6:$T$823,16,0),"")</f>
        <v/>
      </c>
      <c r="E174" s="613"/>
      <c r="F174" s="613"/>
      <c r="G174" s="613"/>
      <c r="H174" s="613" t="str">
        <f>IFERROR(VLOOKUP(M174,'02. MM-KLH'!$B$6:$T$823,17,0),"")</f>
        <v/>
      </c>
      <c r="I174" s="614" t="str">
        <f>IFERROR(VLOOKUP(M174,'02. MM-KLH'!$B$6:$U$823,20,0),"")</f>
        <v/>
      </c>
      <c r="J174" s="612" t="str">
        <f>IFERROR(VLOOKUP(M174,'02. MM-KLH'!$B$6:$T$823,19,0),"")</f>
        <v/>
      </c>
      <c r="K174" s="612" t="str">
        <f>IFERROR(VLOOKUP(M174,'02. MM-KLH'!$B$6:$T$823,18,0),"")</f>
        <v/>
      </c>
      <c r="L174" s="613" t="str">
        <f>IFERROR(VLOOKUP(M174,'02. MM-KLH'!$B$6:$T$823,4,0),"")</f>
        <v/>
      </c>
      <c r="M174" s="488"/>
      <c r="N174" s="615" t="str">
        <f>IFERROR(VLOOKUP(M174,'02. MM-KLH'!$B$6:$T$823,15,0),"")</f>
        <v/>
      </c>
      <c r="O174" s="616" t="str">
        <f>IFERROR(VLOOKUP(M174,'02. MM-KLH'!$B$6:$T$823,9,0),"")</f>
        <v/>
      </c>
      <c r="P174" s="613"/>
      <c r="Q174" s="613"/>
      <c r="R174" s="613"/>
      <c r="S174" s="613"/>
      <c r="T174" s="613"/>
      <c r="U174" s="613" t="str">
        <f>IFERROR(VLOOKUP(M174,'02. MM-KLH'!$B$6:$T$823,2,0),"")</f>
        <v/>
      </c>
      <c r="V174" s="523" t="str">
        <f>IFERROR(VLOOKUP(M174,'02. MM-KLH'!$B$6:$T$823,8,0),"")</f>
        <v/>
      </c>
      <c r="W174" s="559" t="str">
        <f>IFERROR(VLOOKUP(V174,'NS QUẢN LÝ CG'!$A$4:$D$36,2,0),"")</f>
        <v/>
      </c>
      <c r="X174" s="559" t="str">
        <f>IFERROR(VLOOKUP(V174,'NS QUẢN LÝ CG'!$A$4:$D$36,4,0),"")</f>
        <v/>
      </c>
      <c r="Y174" s="613"/>
      <c r="Z174" s="523" t="str">
        <f>IFERROR(VLOOKUP(M174,'02. MM-KLH'!$B$6:$T$823,3,0),"")</f>
        <v/>
      </c>
      <c r="AA174" s="613"/>
      <c r="AB174" s="523"/>
      <c r="AC174" s="523"/>
    </row>
    <row r="175" hidden="1">
      <c r="A175" s="523"/>
      <c r="B175" s="612" t="str">
        <f>IFERROR(VLOOKUP(M175,'02. MM-KLH'!$B$6:$T$823,6,0),"")</f>
        <v/>
      </c>
      <c r="C175" s="566"/>
      <c r="D175" s="613" t="str">
        <f>IFERROR(VLOOKUP(M175,'02. MM-KLH'!$B$6:$T$823,16,0),"")</f>
        <v/>
      </c>
      <c r="E175" s="613"/>
      <c r="F175" s="613"/>
      <c r="G175" s="613"/>
      <c r="H175" s="613" t="str">
        <f>IFERROR(VLOOKUP(M175,'02. MM-KLH'!$B$6:$T$823,17,0),"")</f>
        <v/>
      </c>
      <c r="I175" s="614" t="str">
        <f>IFERROR(VLOOKUP(M175,'02. MM-KLH'!$B$6:$U$823,20,0),"")</f>
        <v/>
      </c>
      <c r="J175" s="612" t="str">
        <f>IFERROR(VLOOKUP(M175,'02. MM-KLH'!$B$6:$T$823,19,0),"")</f>
        <v/>
      </c>
      <c r="K175" s="612" t="str">
        <f>IFERROR(VLOOKUP(M175,'02. MM-KLH'!$B$6:$T$823,18,0),"")</f>
        <v/>
      </c>
      <c r="L175" s="613" t="str">
        <f>IFERROR(VLOOKUP(M175,'02. MM-KLH'!$B$6:$T$823,4,0),"")</f>
        <v/>
      </c>
      <c r="M175" s="488"/>
      <c r="N175" s="615" t="str">
        <f>IFERROR(VLOOKUP(M175,'02. MM-KLH'!$B$6:$T$823,15,0),"")</f>
        <v/>
      </c>
      <c r="O175" s="616" t="str">
        <f>IFERROR(VLOOKUP(M175,'02. MM-KLH'!$B$6:$T$823,9,0),"")</f>
        <v/>
      </c>
      <c r="P175" s="613"/>
      <c r="Q175" s="613"/>
      <c r="R175" s="613"/>
      <c r="S175" s="613"/>
      <c r="T175" s="613"/>
      <c r="U175" s="613" t="str">
        <f>IFERROR(VLOOKUP(M175,'02. MM-KLH'!$B$6:$T$823,2,0),"")</f>
        <v/>
      </c>
      <c r="V175" s="523" t="str">
        <f>IFERROR(VLOOKUP(M175,'02. MM-KLH'!$B$6:$T$823,8,0),"")</f>
        <v/>
      </c>
      <c r="W175" s="613"/>
      <c r="X175" s="613"/>
      <c r="Y175" s="613"/>
      <c r="Z175" s="523" t="str">
        <f>IFERROR(VLOOKUP(M175,'02. MM-KLH'!$B$6:$T$823,3,0),"")</f>
        <v/>
      </c>
      <c r="AA175" s="613"/>
      <c r="AB175" s="523"/>
      <c r="AC175" s="523"/>
    </row>
    <row r="176" hidden="1">
      <c r="A176" s="523"/>
      <c r="B176" s="612" t="str">
        <f>IFERROR(VLOOKUP(M176,'02. MM-KLH'!$B$6:$T$823,6,0),"")</f>
        <v/>
      </c>
      <c r="C176" s="566"/>
      <c r="D176" s="613" t="str">
        <f>IFERROR(VLOOKUP(M176,'02. MM-KLH'!$B$6:$T$823,16,0),"")</f>
        <v/>
      </c>
      <c r="E176" s="613"/>
      <c r="F176" s="613"/>
      <c r="G176" s="613"/>
      <c r="H176" s="613" t="str">
        <f>IFERROR(VLOOKUP(M176,'02. MM-KLH'!$B$6:$T$823,17,0),"")</f>
        <v/>
      </c>
      <c r="I176" s="614" t="str">
        <f>IFERROR(VLOOKUP(M176,'02. MM-KLH'!$B$6:$U$823,20,0),"")</f>
        <v/>
      </c>
      <c r="J176" s="612" t="str">
        <f>IFERROR(VLOOKUP(M176,'02. MM-KLH'!$B$6:$T$823,19,0),"")</f>
        <v/>
      </c>
      <c r="K176" s="612" t="str">
        <f>IFERROR(VLOOKUP(M176,'02. MM-KLH'!$B$6:$T$823,18,0),"")</f>
        <v/>
      </c>
      <c r="L176" s="613" t="str">
        <f>IFERROR(VLOOKUP(M176,'02. MM-KLH'!$B$6:$T$823,4,0),"")</f>
        <v/>
      </c>
      <c r="M176" s="488"/>
      <c r="N176" s="615" t="str">
        <f>IFERROR(VLOOKUP(M176,'02. MM-KLH'!$B$6:$T$823,15,0),"")</f>
        <v/>
      </c>
      <c r="O176" s="616" t="str">
        <f>IFERROR(VLOOKUP(M176,'02. MM-KLH'!$B$6:$T$823,9,0),"")</f>
        <v/>
      </c>
      <c r="P176" s="613"/>
      <c r="Q176" s="613"/>
      <c r="R176" s="613"/>
      <c r="S176" s="613"/>
      <c r="T176" s="613"/>
      <c r="U176" s="613" t="str">
        <f>IFERROR(VLOOKUP(M176,'02. MM-KLH'!$B$6:$T$823,2,0),"")</f>
        <v/>
      </c>
      <c r="V176" s="523" t="str">
        <f>IFERROR(VLOOKUP(M176,'02. MM-KLH'!$B$6:$T$823,8,0),"")</f>
        <v/>
      </c>
      <c r="W176" s="613"/>
      <c r="X176" s="613"/>
      <c r="Y176" s="613"/>
      <c r="Z176" s="523" t="str">
        <f>IFERROR(VLOOKUP(M176,'02. MM-KLH'!$B$6:$T$823,3,0),"")</f>
        <v/>
      </c>
      <c r="AA176" s="613"/>
      <c r="AB176" s="523"/>
      <c r="AC176" s="523"/>
    </row>
    <row r="177">
      <c r="A177" s="702" t="s">
        <v>5786</v>
      </c>
      <c r="B177" s="30"/>
      <c r="C177" s="537">
        <f>SUM(C178,C328)</f>
        <v>138</v>
      </c>
      <c r="D177" s="538"/>
      <c r="E177" s="538"/>
      <c r="F177" s="538"/>
      <c r="G177" s="538"/>
      <c r="H177" s="538"/>
      <c r="I177" s="539"/>
      <c r="J177" s="540"/>
      <c r="K177" s="540"/>
      <c r="L177" s="538"/>
      <c r="M177" s="538"/>
      <c r="N177" s="538"/>
      <c r="O177" s="541"/>
      <c r="P177" s="538"/>
      <c r="Q177" s="538"/>
      <c r="R177" s="538"/>
      <c r="S177" s="538"/>
      <c r="T177" s="538"/>
      <c r="U177" s="538"/>
      <c r="V177" s="539"/>
      <c r="W177" s="538"/>
      <c r="X177" s="538"/>
      <c r="Y177" s="538"/>
      <c r="Z177" s="539"/>
      <c r="AA177" s="538"/>
      <c r="AB177" s="539"/>
      <c r="AC177" s="523"/>
    </row>
    <row r="178">
      <c r="A178" s="542" t="s">
        <v>2947</v>
      </c>
      <c r="B178" s="543" t="s">
        <v>5788</v>
      </c>
      <c r="C178" s="544">
        <f>SUM(C179,C228,C251,C283,C320,C324)</f>
        <v>127</v>
      </c>
      <c r="D178" s="545"/>
      <c r="E178" s="545"/>
      <c r="F178" s="545"/>
      <c r="G178" s="545"/>
      <c r="H178" s="545"/>
      <c r="I178" s="546"/>
      <c r="J178" s="547"/>
      <c r="K178" s="547"/>
      <c r="L178" s="545"/>
      <c r="M178" s="545"/>
      <c r="N178" s="545"/>
      <c r="O178" s="548"/>
      <c r="P178" s="545"/>
      <c r="Q178" s="545"/>
      <c r="R178" s="545"/>
      <c r="S178" s="545"/>
      <c r="T178" s="545"/>
      <c r="U178" s="545"/>
      <c r="V178" s="546"/>
      <c r="W178" s="545"/>
      <c r="X178" s="545"/>
      <c r="Y178" s="545"/>
      <c r="Z178" s="546"/>
      <c r="AA178" s="545"/>
      <c r="AB178" s="546"/>
      <c r="AC178" s="549"/>
    </row>
    <row r="179">
      <c r="A179" s="695">
        <v>1.0</v>
      </c>
      <c r="B179" s="703" t="s">
        <v>689</v>
      </c>
      <c r="C179" s="697">
        <f>COUNTA(B180:B227)</f>
        <v>45</v>
      </c>
      <c r="D179" s="698"/>
      <c r="E179" s="698"/>
      <c r="F179" s="698"/>
      <c r="G179" s="698"/>
      <c r="H179" s="558"/>
      <c r="I179" s="558"/>
      <c r="J179" s="699"/>
      <c r="K179" s="699"/>
      <c r="L179" s="698"/>
      <c r="M179" s="700"/>
      <c r="N179" s="698"/>
      <c r="O179" s="701"/>
      <c r="P179" s="698"/>
      <c r="Q179" s="698"/>
      <c r="R179" s="698"/>
      <c r="S179" s="698"/>
      <c r="T179" s="698"/>
      <c r="U179" s="698"/>
      <c r="V179" s="558"/>
      <c r="W179" s="698"/>
      <c r="X179" s="698"/>
      <c r="Y179" s="698"/>
      <c r="Z179" s="558"/>
      <c r="AA179" s="698"/>
      <c r="AB179" s="558"/>
      <c r="AC179" s="558"/>
    </row>
    <row r="180">
      <c r="A180" s="523"/>
      <c r="B180" s="612" t="str">
        <f>IFERROR(VLOOKUP(M180,'02. MM-KLH'!$B$6:$T$823,6,0),"")</f>
        <v>Máy cày JD 6603</v>
      </c>
      <c r="C180" s="566">
        <v>1.0</v>
      </c>
      <c r="D180" s="613">
        <f>IFERROR(VLOOKUP(M180,'02. MM-KLH'!$B$6:$T$823,16,0),"")</f>
        <v>6603</v>
      </c>
      <c r="E180" s="561" t="s">
        <v>4158</v>
      </c>
      <c r="F180" s="613"/>
      <c r="G180" s="613"/>
      <c r="H180" s="613" t="str">
        <f>IFERROR(VLOOKUP(M180,'02. MM-KLH'!$B$6:$T$823,17,0),"")</f>
        <v>120HP</v>
      </c>
      <c r="I180" s="614">
        <f>IFERROR(VLOOKUP(M180,'02. MM-KLH'!$B$6:$U$823,20,0),"")</f>
        <v>9</v>
      </c>
      <c r="J180" s="612" t="str">
        <f>IFERROR(VLOOKUP(M180,'02. MM-KLH'!$B$6:$T$823,19,0),"")</f>
        <v>CCN</v>
      </c>
      <c r="K180" s="612">
        <f>IFERROR(VLOOKUP(M180,'02. MM-KLH'!$B$6:$T$823,18,0),"")</f>
        <v>33028</v>
      </c>
      <c r="L180" s="613" t="str">
        <f>IFERROR(VLOOKUP(M180,'02. MM-KLH'!$B$6:$T$823,4,0),"")</f>
        <v/>
      </c>
      <c r="M180" s="488" t="s">
        <v>685</v>
      </c>
      <c r="N180" s="615">
        <f>IFERROR(VLOOKUP(M180,'02. MM-KLH'!$B$6:$T$823,15,0),"")</f>
        <v>2018</v>
      </c>
      <c r="O180" s="616" t="str">
        <f>IFERROR(VLOOKUP(M180,'02. MM-KLH'!$B$6:$T$823,9,0),"")</f>
        <v/>
      </c>
      <c r="P180" s="613"/>
      <c r="Q180" s="566" t="s">
        <v>1565</v>
      </c>
      <c r="R180" s="566" t="s">
        <v>4158</v>
      </c>
      <c r="S180" s="613"/>
      <c r="T180" s="613"/>
      <c r="U180" s="559" t="str">
        <f>IFERROR(VLOOKUP(M180,'02. MM-KLH'!$B$6:$T$823,5,0),"")</f>
        <v>ĐQSD</v>
      </c>
      <c r="V180" s="523" t="str">
        <f>IFERROR(VLOOKUP(M180,'02. MM-KLH'!$B$6:$T$823,8,0),"")</f>
        <v>CGLĐ DP</v>
      </c>
      <c r="W180" s="559" t="str">
        <f>IFERROR(VLOOKUP(V180,'NS QUẢN LÝ CG'!$A$4:$D$36,2,0),"")</f>
        <v>Nguyễn Tấn Triều</v>
      </c>
      <c r="X180" s="559" t="str">
        <f>IFERROR(VLOOKUP(V180,'NS QUẢN LÝ CG'!$A$4:$D$36,4,0),"")</f>
        <v>Lô 85 DP4</v>
      </c>
      <c r="Y180" s="559" t="str">
        <f>IFERROR(VLOOKUP(V180,'NS QUẢN LÝ CG'!$A$4:$C$36,3,0),"")</f>
        <v>05974160290</v>
      </c>
      <c r="Z180" s="523" t="str">
        <f>IFERROR(VLOOKUP(M180,'02. MM-KLH'!$B$6:$T$823,3,0),"")</f>
        <v>A23-MKE-005</v>
      </c>
      <c r="AA180" s="559" t="str">
        <f t="shared" ref="AA180:AA181" si="11">SWITCH(LEFT(Z180,3),"A22","ADM","A23","DP","A24","LP","")</f>
        <v>DP</v>
      </c>
      <c r="AB180" s="523"/>
      <c r="AC180" s="523"/>
    </row>
    <row r="181">
      <c r="A181" s="523"/>
      <c r="B181" s="612" t="str">
        <f>IFERROR(VLOOKUP(M181,'02. MM-KLH'!$B$6:$T$823,6,0),"")</f>
        <v>Máy cày JD 6603</v>
      </c>
      <c r="C181" s="566">
        <v>1.0</v>
      </c>
      <c r="D181" s="613">
        <f>IFERROR(VLOOKUP(M181,'02. MM-KLH'!$B$6:$T$823,16,0),"")</f>
        <v>6603</v>
      </c>
      <c r="E181" s="561" t="s">
        <v>4158</v>
      </c>
      <c r="F181" s="613"/>
      <c r="G181" s="613"/>
      <c r="H181" s="613" t="str">
        <f>IFERROR(VLOOKUP(M181,'02. MM-KLH'!$B$6:$T$823,17,0),"")</f>
        <v>120HP</v>
      </c>
      <c r="I181" s="614">
        <f>IFERROR(VLOOKUP(M181,'02. MM-KLH'!$B$6:$U$823,20,0),"")</f>
        <v>9</v>
      </c>
      <c r="J181" s="612" t="str">
        <f>IFERROR(VLOOKUP(M181,'02. MM-KLH'!$B$6:$T$823,19,0),"")</f>
        <v>CCN</v>
      </c>
      <c r="K181" s="612">
        <f>IFERROR(VLOOKUP(M181,'02. MM-KLH'!$B$6:$T$823,18,0),"")</f>
        <v>33178</v>
      </c>
      <c r="L181" s="613" t="str">
        <f>IFERROR(VLOOKUP(M181,'02. MM-KLH'!$B$6:$T$823,4,0),"")</f>
        <v/>
      </c>
      <c r="M181" s="490" t="s">
        <v>691</v>
      </c>
      <c r="N181" s="615">
        <f>IFERROR(VLOOKUP(M181,'02. MM-KLH'!$B$6:$T$823,15,0),"")</f>
        <v>2018</v>
      </c>
      <c r="O181" s="616">
        <f>IFERROR(VLOOKUP(M181,'02. MM-KLH'!$B$6:$T$823,9,0),"")</f>
        <v>43862</v>
      </c>
      <c r="P181" s="613"/>
      <c r="Q181" s="566" t="s">
        <v>1565</v>
      </c>
      <c r="R181" s="566" t="s">
        <v>4158</v>
      </c>
      <c r="S181" s="613"/>
      <c r="T181" s="613"/>
      <c r="U181" s="559" t="str">
        <f>IFERROR(VLOOKUP(M181,'02. MM-KLH'!$B$6:$T$823,5,0),"")</f>
        <v>ĐQSD</v>
      </c>
      <c r="V181" s="523" t="str">
        <f>IFERROR(VLOOKUP(M181,'02. MM-KLH'!$B$6:$T$823,8,0),"")</f>
        <v>CGLĐ DP</v>
      </c>
      <c r="W181" s="559" t="str">
        <f>IFERROR(VLOOKUP(V181,'NS QUẢN LÝ CG'!$A$4:$D$36,2,0),"")</f>
        <v>Nguyễn Tấn Triều</v>
      </c>
      <c r="X181" s="559" t="str">
        <f>IFERROR(VLOOKUP(V181,'NS QUẢN LÝ CG'!$A$4:$D$36,4,0),"")</f>
        <v>Lô 85 DP4</v>
      </c>
      <c r="Y181" s="559" t="str">
        <f>IFERROR(VLOOKUP(V181,'NS QUẢN LÝ CG'!$A$4:$C$36,3,0),"")</f>
        <v>05974160290</v>
      </c>
      <c r="Z181" s="523" t="str">
        <f>IFERROR(VLOOKUP(M181,'02. MM-KLH'!$B$6:$T$823,3,0),"")</f>
        <v>A23-MKE-006</v>
      </c>
      <c r="AA181" s="559" t="str">
        <f t="shared" si="11"/>
        <v>DP</v>
      </c>
      <c r="AB181" s="523"/>
      <c r="AC181" s="523"/>
    </row>
    <row r="182">
      <c r="A182" s="523"/>
      <c r="B182" s="612" t="str">
        <f>IFERROR(VLOOKUP(M182,'02. MM-KLH'!$B$6:$T$823,6,0),"")</f>
        <v>Máy cày JD 6603</v>
      </c>
      <c r="C182" s="566">
        <v>1.0</v>
      </c>
      <c r="D182" s="613">
        <f>IFERROR(VLOOKUP(M182,'02. MM-KLH'!$B$6:$T$823,16,0),"")</f>
        <v>6603</v>
      </c>
      <c r="E182" s="561" t="s">
        <v>4158</v>
      </c>
      <c r="F182" s="613"/>
      <c r="G182" s="613"/>
      <c r="H182" s="613" t="str">
        <f>IFERROR(VLOOKUP(M182,'02. MM-KLH'!$B$6:$T$823,17,0),"")</f>
        <v>120HP</v>
      </c>
      <c r="I182" s="614">
        <f>IFERROR(VLOOKUP(M182,'02. MM-KLH'!$B$6:$U$823,20,0),"")</f>
        <v>9</v>
      </c>
      <c r="J182" s="612" t="str">
        <f>IFERROR(VLOOKUP(M182,'02. MM-KLH'!$B$6:$T$823,19,0),"")</f>
        <v>CCN</v>
      </c>
      <c r="K182" s="612">
        <f>IFERROR(VLOOKUP(M182,'02. MM-KLH'!$B$6:$T$823,18,0),"")</f>
        <v>32607</v>
      </c>
      <c r="L182" s="613" t="str">
        <f>IFERROR(VLOOKUP(M182,'02. MM-KLH'!$B$6:$T$823,4,0),"")</f>
        <v/>
      </c>
      <c r="M182" s="488" t="s">
        <v>762</v>
      </c>
      <c r="N182" s="615">
        <f>IFERROR(VLOOKUP(M182,'02. MM-KLH'!$B$6:$T$823,15,0),"")</f>
        <v>2018</v>
      </c>
      <c r="O182" s="616" t="str">
        <f>IFERROR(VLOOKUP(M182,'02. MM-KLH'!$B$6:$T$823,9,0),"")</f>
        <v/>
      </c>
      <c r="P182" s="613"/>
      <c r="Q182" s="566" t="s">
        <v>1565</v>
      </c>
      <c r="R182" s="566" t="s">
        <v>4158</v>
      </c>
      <c r="S182" s="613"/>
      <c r="T182" s="613"/>
      <c r="U182" s="559" t="str">
        <f>IFERROR(VLOOKUP(M182,'02. MM-KLH'!$B$6:$T$823,5,0),"")</f>
        <v>ĐQSD</v>
      </c>
      <c r="V182" s="523" t="str">
        <f>IFERROR(VLOOKUP(M182,'02. MM-KLH'!$B$6:$T$823,8,0),"")</f>
        <v>CGLĐ LP</v>
      </c>
      <c r="W182" s="559" t="str">
        <f>IFERROR(VLOOKUP(V182,'NS QUẢN LÝ CG'!$A$4:$D$36,2,0),"")</f>
        <v>Nguyễn Tấn Triều</v>
      </c>
      <c r="X182" s="559" t="str">
        <f>IFERROR(VLOOKUP(V182,'NS QUẢN LÝ CG'!$A$4:$D$36,4,0),"")</f>
        <v>LP3.5-LP3</v>
      </c>
      <c r="Y182" s="559" t="str">
        <f>IFERROR(VLOOKUP(V182,'NS QUẢN LÝ CG'!$A$4:$C$36,3,0),"")</f>
        <v>05974160290</v>
      </c>
      <c r="Z182" s="523" t="str">
        <f>IFERROR(VLOOKUP(M182,'02. MM-KLH'!$B$6:$T$823,3,0),"")</f>
        <v>ATT-A23-0016</v>
      </c>
      <c r="AA182" s="561" t="s">
        <v>4312</v>
      </c>
      <c r="AB182" s="523"/>
      <c r="AC182" s="523"/>
    </row>
    <row r="183">
      <c r="A183" s="523"/>
      <c r="B183" s="612" t="str">
        <f>IFERROR(VLOOKUP(M183,'02. MM-KLH'!$B$6:$T$823,6,0),"")</f>
        <v>Máy cày JD 6603</v>
      </c>
      <c r="C183" s="566">
        <v>1.0</v>
      </c>
      <c r="D183" s="613">
        <f>IFERROR(VLOOKUP(M183,'02. MM-KLH'!$B$6:$T$823,16,0),"")</f>
        <v>6603</v>
      </c>
      <c r="E183" s="561" t="s">
        <v>4158</v>
      </c>
      <c r="F183" s="613"/>
      <c r="G183" s="613"/>
      <c r="H183" s="613" t="str">
        <f>IFERROR(VLOOKUP(M183,'02. MM-KLH'!$B$6:$T$823,17,0),"")</f>
        <v>120HP</v>
      </c>
      <c r="I183" s="614">
        <f>IFERROR(VLOOKUP(M183,'02. MM-KLH'!$B$6:$U$823,20,0),"")</f>
        <v>9</v>
      </c>
      <c r="J183" s="612" t="str">
        <f>IFERROR(VLOOKUP(M183,'02. MM-KLH'!$B$6:$T$823,19,0),"")</f>
        <v>05958</v>
      </c>
      <c r="K183" s="612" t="str">
        <f>IFERROR(VLOOKUP(M183,'02. MM-KLH'!$B$6:$T$823,18,0),"")</f>
        <v>J0033179</v>
      </c>
      <c r="L183" s="613" t="str">
        <f>IFERROR(VLOOKUP(M183,'02. MM-KLH'!$B$6:$T$823,4,0),"")</f>
        <v/>
      </c>
      <c r="M183" s="488" t="s">
        <v>764</v>
      </c>
      <c r="N183" s="615">
        <f>IFERROR(VLOOKUP(M183,'02. MM-KLH'!$B$6:$T$823,15,0),"")</f>
        <v>2018</v>
      </c>
      <c r="O183" s="616" t="str">
        <f>IFERROR(VLOOKUP(M183,'02. MM-KLH'!$B$6:$T$823,9,0),"")</f>
        <v/>
      </c>
      <c r="P183" s="613"/>
      <c r="Q183" s="566" t="s">
        <v>1565</v>
      </c>
      <c r="R183" s="566" t="s">
        <v>4158</v>
      </c>
      <c r="S183" s="613"/>
      <c r="T183" s="613"/>
      <c r="U183" s="559" t="str">
        <f>IFERROR(VLOOKUP(M183,'02. MM-KLH'!$B$6:$T$823,5,0),"")</f>
        <v>ĐQSD</v>
      </c>
      <c r="V183" s="523" t="str">
        <f>IFERROR(VLOOKUP(M183,'02. MM-KLH'!$B$6:$T$823,8,0),"")</f>
        <v>CGLĐ LP</v>
      </c>
      <c r="W183" s="559" t="str">
        <f>IFERROR(VLOOKUP(V183,'NS QUẢN LÝ CG'!$A$4:$D$36,2,0),"")</f>
        <v>Nguyễn Tấn Triều</v>
      </c>
      <c r="X183" s="559" t="str">
        <f>IFERROR(VLOOKUP(V183,'NS QUẢN LÝ CG'!$A$4:$D$36,4,0),"")</f>
        <v>LP3.5-LP3</v>
      </c>
      <c r="Y183" s="559" t="str">
        <f>IFERROR(VLOOKUP(V183,'NS QUẢN LÝ CG'!$A$4:$C$36,3,0),"")</f>
        <v>05974160290</v>
      </c>
      <c r="Z183" s="523" t="str">
        <f>IFERROR(VLOOKUP(M183,'02. MM-KLH'!$B$6:$T$823,3,0),"")</f>
        <v>ATT-A23-0016</v>
      </c>
      <c r="AA183" s="561" t="s">
        <v>4312</v>
      </c>
      <c r="AB183" s="523"/>
      <c r="AC183" s="523"/>
    </row>
    <row r="184">
      <c r="A184" s="523"/>
      <c r="B184" s="612" t="str">
        <f>IFERROR(VLOOKUP(M184,'02. MM-KLH'!$B$6:$T$823,6,0),"")</f>
        <v>Máy cày JD 6603</v>
      </c>
      <c r="C184" s="566">
        <v>1.0</v>
      </c>
      <c r="D184" s="613">
        <f>IFERROR(VLOOKUP(M184,'02. MM-KLH'!$B$6:$T$823,16,0),"")</f>
        <v>6603</v>
      </c>
      <c r="E184" s="561" t="s">
        <v>4158</v>
      </c>
      <c r="F184" s="613"/>
      <c r="G184" s="613"/>
      <c r="H184" s="613" t="str">
        <f>IFERROR(VLOOKUP(M184,'02. MM-KLH'!$B$6:$T$823,17,0),"")</f>
        <v>120HP</v>
      </c>
      <c r="I184" s="614">
        <f>IFERROR(VLOOKUP(M184,'02. MM-KLH'!$B$6:$U$823,20,0),"")</f>
        <v>9</v>
      </c>
      <c r="J184" s="612" t="str">
        <f>IFERROR(VLOOKUP(M184,'02. MM-KLH'!$B$6:$T$823,19,0),"")</f>
        <v>PE6068E003752</v>
      </c>
      <c r="K184" s="612" t="str">
        <f>IFERROR(VLOOKUP(M184,'02. MM-KLH'!$B$6:$T$823,18,0),"")</f>
        <v>1P06603XLJ0032211</v>
      </c>
      <c r="L184" s="613" t="str">
        <f>IFERROR(VLOOKUP(M184,'02. MM-KLH'!$B$6:$T$823,4,0),"")</f>
        <v/>
      </c>
      <c r="M184" s="488" t="s">
        <v>768</v>
      </c>
      <c r="N184" s="615">
        <f>IFERROR(VLOOKUP(M184,'02. MM-KLH'!$B$6:$T$823,15,0),"")</f>
        <v>2018</v>
      </c>
      <c r="O184" s="616" t="str">
        <f>IFERROR(VLOOKUP(M184,'02. MM-KLH'!$B$6:$T$823,9,0),"")</f>
        <v/>
      </c>
      <c r="P184" s="613"/>
      <c r="Q184" s="566" t="s">
        <v>1565</v>
      </c>
      <c r="R184" s="566" t="s">
        <v>4158</v>
      </c>
      <c r="S184" s="613"/>
      <c r="T184" s="613"/>
      <c r="U184" s="559" t="str">
        <f>IFERROR(VLOOKUP(M184,'02. MM-KLH'!$B$6:$T$823,5,0),"")</f>
        <v>ĐQSD</v>
      </c>
      <c r="V184" s="523" t="str">
        <f>IFERROR(VLOOKUP(M184,'02. MM-KLH'!$B$6:$T$823,8,0),"")</f>
        <v>CGLĐ LP</v>
      </c>
      <c r="W184" s="559" t="str">
        <f>IFERROR(VLOOKUP(V184,'NS QUẢN LÝ CG'!$A$4:$D$36,2,0),"")</f>
        <v>Nguyễn Tấn Triều</v>
      </c>
      <c r="X184" s="559" t="str">
        <f>IFERROR(VLOOKUP(V184,'NS QUẢN LÝ CG'!$A$4:$D$36,4,0),"")</f>
        <v>LP3.5-LP3</v>
      </c>
      <c r="Y184" s="559" t="str">
        <f>IFERROR(VLOOKUP(V184,'NS QUẢN LÝ CG'!$A$4:$C$36,3,0),"")</f>
        <v>05974160290</v>
      </c>
      <c r="Z184" s="523" t="str">
        <f>IFERROR(VLOOKUP(M184,'02. MM-KLH'!$B$6:$T$823,3,0),"")</f>
        <v>ATT-A23-0016</v>
      </c>
      <c r="AA184" s="561" t="s">
        <v>4312</v>
      </c>
      <c r="AB184" s="523"/>
      <c r="AC184" s="523"/>
    </row>
    <row r="185">
      <c r="A185" s="523"/>
      <c r="B185" s="612" t="str">
        <f>IFERROR(VLOOKUP(M185,'02. MM-KLH'!$B$6:$T$823,6,0),"")</f>
        <v>Máy cày JD 6603</v>
      </c>
      <c r="C185" s="566">
        <v>1.0</v>
      </c>
      <c r="D185" s="613">
        <f>IFERROR(VLOOKUP(M185,'02. MM-KLH'!$B$6:$T$823,16,0),"")</f>
        <v>6603</v>
      </c>
      <c r="E185" s="561" t="s">
        <v>4158</v>
      </c>
      <c r="F185" s="613"/>
      <c r="G185" s="613"/>
      <c r="H185" s="613" t="str">
        <f>IFERROR(VLOOKUP(M185,'02. MM-KLH'!$B$6:$T$823,17,0),"")</f>
        <v>120HP</v>
      </c>
      <c r="I185" s="614">
        <f>IFERROR(VLOOKUP(M185,'02. MM-KLH'!$B$6:$U$823,20,0),"")</f>
        <v>9</v>
      </c>
      <c r="J185" s="612" t="str">
        <f>IFERROR(VLOOKUP(M185,'02. MM-KLH'!$B$6:$T$823,19,0),"")</f>
        <v>CCN</v>
      </c>
      <c r="K185" s="612">
        <f>IFERROR(VLOOKUP(M185,'02. MM-KLH'!$B$6:$T$823,18,0),"")</f>
        <v>33027</v>
      </c>
      <c r="L185" s="613" t="str">
        <f>IFERROR(VLOOKUP(M185,'02. MM-KLH'!$B$6:$T$823,4,0),"")</f>
        <v/>
      </c>
      <c r="M185" s="488" t="s">
        <v>840</v>
      </c>
      <c r="N185" s="615">
        <f>IFERROR(VLOOKUP(M185,'02. MM-KLH'!$B$6:$T$823,15,0),"")</f>
        <v>2018</v>
      </c>
      <c r="O185" s="616">
        <f>IFERROR(VLOOKUP(M185,'02. MM-KLH'!$B$6:$T$823,9,0),"")</f>
        <v>43862</v>
      </c>
      <c r="P185" s="613"/>
      <c r="Q185" s="566" t="s">
        <v>1565</v>
      </c>
      <c r="R185" s="613"/>
      <c r="S185" s="566" t="s">
        <v>4158</v>
      </c>
      <c r="T185" s="613"/>
      <c r="U185" s="559" t="str">
        <f>IFERROR(VLOOKUP(M185,'02. MM-KLH'!$B$6:$T$823,5,0),"")</f>
        <v>ĐQSD</v>
      </c>
      <c r="V185" s="523" t="str">
        <f>IFERROR(VLOOKUP(M185,'02. MM-KLH'!$B$6:$T$823,8,0),"")</f>
        <v>XN Bò AD</v>
      </c>
      <c r="W185" s="559" t="str">
        <f>IFERROR(VLOOKUP(V185,'NS QUẢN LÝ CG'!$A$4:$D$36,2,0),"")</f>
        <v>Trần Văn Nam</v>
      </c>
      <c r="X185" s="559" t="str">
        <f>IFERROR(VLOOKUP(V185,'NS QUẢN LÝ CG'!$A$4:$D$36,4,0),"")</f>
        <v>Lô 28 XN Bò</v>
      </c>
      <c r="Y185" s="559" t="str">
        <f>IFERROR(VLOOKUP(V185,'NS QUẢN LÝ CG'!$A$4:$C$36,3,0),"")</f>
        <v>0971993540</v>
      </c>
      <c r="Z185" s="523" t="str">
        <f>IFERROR(VLOOKUP(M185,'02. MM-KLH'!$B$6:$T$823,3,0),"")</f>
        <v>ATT-A23-0016</v>
      </c>
      <c r="AA185" s="561" t="s">
        <v>4312</v>
      </c>
      <c r="AB185" s="523"/>
      <c r="AC185" s="523"/>
    </row>
    <row r="186">
      <c r="A186" s="523"/>
      <c r="B186" s="612" t="str">
        <f>IFERROR(VLOOKUP(M186,'02. MM-KLH'!$B$6:$T$823,6,0),"")</f>
        <v>Máy cày JD 6603</v>
      </c>
      <c r="C186" s="566">
        <v>1.0</v>
      </c>
      <c r="D186" s="613">
        <f>IFERROR(VLOOKUP(M186,'02. MM-KLH'!$B$6:$T$823,16,0),"")</f>
        <v>6603</v>
      </c>
      <c r="E186" s="561" t="s">
        <v>4158</v>
      </c>
      <c r="F186" s="613"/>
      <c r="G186" s="613"/>
      <c r="H186" s="613" t="str">
        <f>IFERROR(VLOOKUP(M186,'02. MM-KLH'!$B$6:$T$823,17,0),"")</f>
        <v>120HP</v>
      </c>
      <c r="I186" s="614">
        <f>IFERROR(VLOOKUP(M186,'02. MM-KLH'!$B$6:$U$823,20,0),"")</f>
        <v>9</v>
      </c>
      <c r="J186" s="612" t="str">
        <f>IFERROR(VLOOKUP(M186,'02. MM-KLH'!$B$6:$T$823,19,0),"")</f>
        <v>CCN</v>
      </c>
      <c r="K186" s="612">
        <f>IFERROR(VLOOKUP(M186,'02. MM-KLH'!$B$6:$T$823,18,0),"")</f>
        <v>5956</v>
      </c>
      <c r="L186" s="613" t="str">
        <f>IFERROR(VLOOKUP(M186,'02. MM-KLH'!$B$6:$T$823,4,0),"")</f>
        <v/>
      </c>
      <c r="M186" s="490" t="s">
        <v>1657</v>
      </c>
      <c r="N186" s="615">
        <f>IFERROR(VLOOKUP(M186,'02. MM-KLH'!$B$6:$T$823,15,0),"")</f>
        <v>2008</v>
      </c>
      <c r="O186" s="616" t="str">
        <f>IFERROR(VLOOKUP(M186,'02. MM-KLH'!$B$6:$T$823,9,0),"")</f>
        <v/>
      </c>
      <c r="P186" s="613"/>
      <c r="Q186" s="566" t="s">
        <v>1565</v>
      </c>
      <c r="R186" s="566" t="s">
        <v>4158</v>
      </c>
      <c r="S186" s="613"/>
      <c r="T186" s="613"/>
      <c r="U186" s="559" t="str">
        <f>IFERROR(VLOOKUP(M186,'02. MM-KLH'!$B$6:$T$823,5,0),"")</f>
        <v>ĐQSD</v>
      </c>
      <c r="V186" s="523" t="str">
        <f>IFERROR(VLOOKUP(M186,'02. MM-KLH'!$B$6:$T$823,8,0),"")</f>
        <v>XN Bò AD</v>
      </c>
      <c r="W186" s="559" t="str">
        <f>IFERROR(VLOOKUP(V186,'NS QUẢN LÝ CG'!$A$4:$D$36,2,0),"")</f>
        <v>Trần Văn Nam</v>
      </c>
      <c r="X186" s="559" t="str">
        <f>IFERROR(VLOOKUP(V186,'NS QUẢN LÝ CG'!$A$4:$D$36,4,0),"")</f>
        <v>Lô 28 XN Bò</v>
      </c>
      <c r="Y186" s="559" t="str">
        <f>IFERROR(VLOOKUP(V186,'NS QUẢN LÝ CG'!$A$4:$C$36,3,0),"")</f>
        <v>0971993540</v>
      </c>
      <c r="Z186" s="523" t="str">
        <f>IFERROR(VLOOKUP(M186,'02. MM-KLH'!$B$6:$T$823,3,0),"")</f>
        <v>A22-MKE-009</v>
      </c>
      <c r="AA186" s="559" t="str">
        <f t="shared" ref="AA186:AA187" si="12">SWITCH(LEFT(Z186,3),"A22","ADM","A23","DP","A24","LP","")</f>
        <v>ADM</v>
      </c>
      <c r="AB186" s="523"/>
      <c r="AC186" s="523"/>
    </row>
    <row r="187">
      <c r="A187" s="523"/>
      <c r="B187" s="612" t="str">
        <f>IFERROR(VLOOKUP(M187,'02. MM-KLH'!$B$6:$T$823,6,0),"")</f>
        <v>Máy cày JD 6603</v>
      </c>
      <c r="C187" s="566">
        <v>1.0</v>
      </c>
      <c r="D187" s="613">
        <f>IFERROR(VLOOKUP(M187,'02. MM-KLH'!$B$6:$T$823,16,0),"")</f>
        <v>6603</v>
      </c>
      <c r="E187" s="561" t="s">
        <v>4158</v>
      </c>
      <c r="F187" s="613"/>
      <c r="G187" s="613"/>
      <c r="H187" s="613" t="str">
        <f>IFERROR(VLOOKUP(M187,'02. MM-KLH'!$B$6:$T$823,17,0),"")</f>
        <v>120HP</v>
      </c>
      <c r="I187" s="614">
        <f>IFERROR(VLOOKUP(M187,'02. MM-KLH'!$B$6:$U$823,20,0),"")</f>
        <v>7</v>
      </c>
      <c r="J187" s="612" t="str">
        <f>IFERROR(VLOOKUP(M187,'02. MM-KLH'!$B$6:$T$823,19,0),"")</f>
        <v>CCN</v>
      </c>
      <c r="K187" s="612">
        <f>IFERROR(VLOOKUP(M187,'02. MM-KLH'!$B$6:$T$823,18,0),"")</f>
        <v>32551</v>
      </c>
      <c r="L187" s="613" t="str">
        <f>IFERROR(VLOOKUP(M187,'02. MM-KLH'!$B$6:$T$823,4,0),"")</f>
        <v/>
      </c>
      <c r="M187" s="490" t="s">
        <v>1659</v>
      </c>
      <c r="N187" s="615">
        <f>IFERROR(VLOOKUP(M187,'02. MM-KLH'!$B$6:$T$823,15,0),"")</f>
        <v>2008</v>
      </c>
      <c r="O187" s="616" t="str">
        <f>IFERROR(VLOOKUP(M187,'02. MM-KLH'!$B$6:$T$823,9,0),"")</f>
        <v/>
      </c>
      <c r="P187" s="613"/>
      <c r="Q187" s="566" t="s">
        <v>1565</v>
      </c>
      <c r="R187" s="613"/>
      <c r="S187" s="613"/>
      <c r="T187" s="613"/>
      <c r="U187" s="559" t="str">
        <f>IFERROR(VLOOKUP(M187,'02. MM-KLH'!$B$6:$T$823,5,0),"")</f>
        <v>ĐQSD</v>
      </c>
      <c r="V187" s="523" t="str">
        <f>IFERROR(VLOOKUP(M187,'02. MM-KLH'!$B$6:$T$823,8,0),"")</f>
        <v>XN Bò AD</v>
      </c>
      <c r="W187" s="559" t="str">
        <f>IFERROR(VLOOKUP(V187,'NS QUẢN LÝ CG'!$A$4:$D$36,2,0),"")</f>
        <v>Trần Văn Nam</v>
      </c>
      <c r="X187" s="559" t="str">
        <f>IFERROR(VLOOKUP(V187,'NS QUẢN LÝ CG'!$A$4:$D$36,4,0),"")</f>
        <v>Lô 28 XN Bò</v>
      </c>
      <c r="Y187" s="559" t="str">
        <f>IFERROR(VLOOKUP(V187,'NS QUẢN LÝ CG'!$A$4:$C$36,3,0),"")</f>
        <v>0971993540</v>
      </c>
      <c r="Z187" s="523" t="str">
        <f>IFERROR(VLOOKUP(M187,'02. MM-KLH'!$B$6:$T$823,3,0),"")</f>
        <v>A22-MKE-010</v>
      </c>
      <c r="AA187" s="559" t="str">
        <f t="shared" si="12"/>
        <v>ADM</v>
      </c>
      <c r="AB187" s="523"/>
      <c r="AC187" s="523"/>
    </row>
    <row r="188">
      <c r="A188" s="523"/>
      <c r="B188" s="612" t="str">
        <f>IFERROR(VLOOKUP(M188,'02. MM-KLH'!$B$6:$T$823,6,0),"")</f>
        <v>Máy cày JD 6603</v>
      </c>
      <c r="C188" s="566">
        <v>1.0</v>
      </c>
      <c r="D188" s="613">
        <f>IFERROR(VLOOKUP(M188,'02. MM-KLH'!$B$6:$T$823,16,0),"")</f>
        <v>6603</v>
      </c>
      <c r="E188" s="561" t="s">
        <v>4158</v>
      </c>
      <c r="F188" s="613"/>
      <c r="G188" s="613"/>
      <c r="H188" s="613" t="str">
        <f>IFERROR(VLOOKUP(M188,'02. MM-KLH'!$B$6:$T$823,17,0),"")</f>
        <v>120HP</v>
      </c>
      <c r="I188" s="614">
        <f>IFERROR(VLOOKUP(M188,'02. MM-KLH'!$B$6:$U$823,20,0),"")</f>
        <v>9</v>
      </c>
      <c r="J188" s="612" t="str">
        <f>IFERROR(VLOOKUP(M188,'02. MM-KLH'!$B$6:$T$823,19,0),"")</f>
        <v>CCN</v>
      </c>
      <c r="K188" s="612">
        <f>IFERROR(VLOOKUP(M188,'02. MM-KLH'!$B$6:$T$823,18,0),"")</f>
        <v>32550</v>
      </c>
      <c r="L188" s="613" t="str">
        <f>IFERROR(VLOOKUP(M188,'02. MM-KLH'!$B$6:$T$823,4,0),"")</f>
        <v/>
      </c>
      <c r="M188" s="488" t="s">
        <v>1745</v>
      </c>
      <c r="N188" s="615">
        <f>IFERROR(VLOOKUP(M188,'02. MM-KLH'!$B$6:$T$823,15,0),"")</f>
        <v>2018</v>
      </c>
      <c r="O188" s="616" t="str">
        <f>IFERROR(VLOOKUP(M188,'02. MM-KLH'!$B$6:$T$823,9,0),"")</f>
        <v/>
      </c>
      <c r="P188" s="613"/>
      <c r="Q188" s="566" t="s">
        <v>1565</v>
      </c>
      <c r="R188" s="613"/>
      <c r="S188" s="566" t="s">
        <v>4158</v>
      </c>
      <c r="T188" s="613"/>
      <c r="U188" s="559" t="str">
        <f>IFERROR(VLOOKUP(M188,'02. MM-KLH'!$B$6:$T$823,5,0),"")</f>
        <v>ĐQSD</v>
      </c>
      <c r="V188" s="523" t="str">
        <f>IFERROR(VLOOKUP(M188,'02. MM-KLH'!$B$6:$T$823,8,0),"")</f>
        <v>XN Bò AD</v>
      </c>
      <c r="W188" s="559" t="str">
        <f>IFERROR(VLOOKUP(V188,'NS QUẢN LÝ CG'!$A$4:$D$36,2,0),"")</f>
        <v>Trần Văn Nam</v>
      </c>
      <c r="X188" s="559" t="str">
        <f>IFERROR(VLOOKUP(V188,'NS QUẢN LÝ CG'!$A$4:$D$36,4,0),"")</f>
        <v>Lô 28 XN Bò</v>
      </c>
      <c r="Y188" s="559" t="str">
        <f>IFERROR(VLOOKUP(V188,'NS QUẢN LÝ CG'!$A$4:$C$36,3,0),"")</f>
        <v>0971993540</v>
      </c>
      <c r="Z188" s="523" t="str">
        <f>IFERROR(VLOOKUP(M188,'02. MM-KLH'!$B$6:$T$823,3,0),"")</f>
        <v>ATT-A23-0016</v>
      </c>
      <c r="AA188" s="561" t="s">
        <v>4312</v>
      </c>
      <c r="AB188" s="523"/>
      <c r="AC188" s="523"/>
    </row>
    <row r="189">
      <c r="A189" s="523"/>
      <c r="B189" s="612" t="str">
        <f>IFERROR(VLOOKUP(M189,'02. MM-KLH'!$B$6:$T$823,6,0),"")</f>
        <v>Máy cày JD 6120B</v>
      </c>
      <c r="C189" s="566">
        <v>1.0</v>
      </c>
      <c r="D189" s="613" t="str">
        <f>IFERROR(VLOOKUP(M189,'02. MM-KLH'!$B$6:$T$823,16,0),"")</f>
        <v>6120B</v>
      </c>
      <c r="E189" s="561" t="s">
        <v>4158</v>
      </c>
      <c r="F189" s="613"/>
      <c r="G189" s="613"/>
      <c r="H189" s="613" t="str">
        <f>IFERROR(VLOOKUP(M189,'02. MM-KLH'!$B$6:$T$823,17,0),"")</f>
        <v>120HP</v>
      </c>
      <c r="I189" s="614">
        <f>IFERROR(VLOOKUP(M189,'02. MM-KLH'!$B$6:$U$823,20,0),"")</f>
        <v>9.5</v>
      </c>
      <c r="J189" s="612" t="str">
        <f>IFERROR(VLOOKUP(M189,'02. MM-KLH'!$B$6:$T$823,19,0),"")</f>
        <v>PE4045N035815</v>
      </c>
      <c r="K189" s="612" t="str">
        <f>IFERROR(VLOOKUP(M189,'02. MM-KLH'!$B$6:$T$823,18,0),"")</f>
        <v>1YR6120BARD210216</v>
      </c>
      <c r="L189" s="613" t="str">
        <f>IFERROR(VLOOKUP(M189,'02. MM-KLH'!$B$6:$T$823,4,0),"")</f>
        <v/>
      </c>
      <c r="M189" s="488" t="s">
        <v>693</v>
      </c>
      <c r="N189" s="615">
        <f>IFERROR(VLOOKUP(M189,'02. MM-KLH'!$B$6:$T$823,15,0),"")</f>
        <v>2022</v>
      </c>
      <c r="O189" s="616" t="str">
        <f>IFERROR(VLOOKUP(M189,'02. MM-KLH'!$B$6:$T$823,9,0),"")</f>
        <v>15/03/2024</v>
      </c>
      <c r="P189" s="128"/>
      <c r="Q189" s="566">
        <v>4077.0</v>
      </c>
      <c r="R189" s="566" t="s">
        <v>4158</v>
      </c>
      <c r="S189" s="613"/>
      <c r="T189" s="613"/>
      <c r="U189" s="559" t="str">
        <f>IFERROR(VLOOKUP(M189,'02. MM-KLH'!$B$6:$T$823,5,0),"")</f>
        <v>MỚI</v>
      </c>
      <c r="V189" s="523" t="str">
        <f>IFERROR(VLOOKUP(M189,'02. MM-KLH'!$B$6:$T$823,8,0),"")</f>
        <v>CGLĐ DP</v>
      </c>
      <c r="W189" s="559" t="str">
        <f>IFERROR(VLOOKUP(V189,'NS QUẢN LÝ CG'!$A$4:$D$36,2,0),"")</f>
        <v>Nguyễn Tấn Triều</v>
      </c>
      <c r="X189" s="559" t="str">
        <f>IFERROR(VLOOKUP(V189,'NS QUẢN LÝ CG'!$A$4:$D$36,4,0),"")</f>
        <v>Lô 85 DP4</v>
      </c>
      <c r="Y189" s="559" t="str">
        <f>IFERROR(VLOOKUP(V189,'NS QUẢN LÝ CG'!$A$4:$C$36,3,0),"")</f>
        <v>05974160290</v>
      </c>
      <c r="Z189" s="523" t="str">
        <f>IFERROR(VLOOKUP(M189,'02. MM-KLH'!$B$6:$T$823,3,0),"")</f>
        <v>A23-MKE-007</v>
      </c>
      <c r="AA189" s="559" t="str">
        <f>SWITCH(LEFT(Z189,3),"A22","ADM","A23","DP","A24","LP","")</f>
        <v>DP</v>
      </c>
      <c r="AB189" s="523"/>
      <c r="AC189" s="523"/>
    </row>
    <row r="190">
      <c r="A190" s="523"/>
      <c r="B190" s="612" t="str">
        <f>IFERROR(VLOOKUP(M190,'02. MM-KLH'!$B$6:$T$823,6,0),"")</f>
        <v>Máy cày JD 6120B</v>
      </c>
      <c r="C190" s="566">
        <v>1.0</v>
      </c>
      <c r="D190" s="613" t="str">
        <f>IFERROR(VLOOKUP(M190,'02. MM-KLH'!$B$6:$T$823,16,0),"")</f>
        <v>6120B</v>
      </c>
      <c r="E190" s="561" t="s">
        <v>4158</v>
      </c>
      <c r="F190" s="613"/>
      <c r="G190" s="613"/>
      <c r="H190" s="613" t="str">
        <f>IFERROR(VLOOKUP(M190,'02. MM-KLH'!$B$6:$T$823,17,0),"")</f>
        <v>120HP</v>
      </c>
      <c r="I190" s="614">
        <f>IFERROR(VLOOKUP(M190,'02. MM-KLH'!$B$6:$U$823,20,0),"")</f>
        <v>9.5</v>
      </c>
      <c r="J190" s="612" t="str">
        <f>IFERROR(VLOOKUP(M190,'02. MM-KLH'!$B$6:$T$823,19,0),"")</f>
        <v>PE4045N035800</v>
      </c>
      <c r="K190" s="612" t="str">
        <f>IFERROR(VLOOKUP(M190,'02. MM-KLH'!$B$6:$T$823,18,0),"")</f>
        <v>1YR6120BERD210219</v>
      </c>
      <c r="L190" s="613" t="str">
        <f>IFERROR(VLOOKUP(M190,'02. MM-KLH'!$B$6:$T$823,4,0),"")</f>
        <v/>
      </c>
      <c r="M190" s="488" t="s">
        <v>772</v>
      </c>
      <c r="N190" s="615">
        <f>IFERROR(VLOOKUP(M190,'02. MM-KLH'!$B$6:$T$823,15,0),"")</f>
        <v>2022</v>
      </c>
      <c r="O190" s="616" t="str">
        <f>IFERROR(VLOOKUP(M190,'02. MM-KLH'!$B$6:$T$823,9,0),"")</f>
        <v>15/03/2024</v>
      </c>
      <c r="P190" s="128"/>
      <c r="Q190" s="566">
        <v>3863.0</v>
      </c>
      <c r="R190" s="566" t="s">
        <v>4158</v>
      </c>
      <c r="S190" s="613"/>
      <c r="T190" s="613"/>
      <c r="U190" s="559" t="str">
        <f>IFERROR(VLOOKUP(M190,'02. MM-KLH'!$B$6:$T$823,5,0),"")</f>
        <v>MỚI</v>
      </c>
      <c r="V190" s="523" t="str">
        <f>IFERROR(VLOOKUP(M190,'02. MM-KLH'!$B$6:$T$823,8,0),"")</f>
        <v>CGLĐ LP</v>
      </c>
      <c r="W190" s="559" t="str">
        <f>IFERROR(VLOOKUP(V190,'NS QUẢN LÝ CG'!$A$4:$D$36,2,0),"")</f>
        <v>Nguyễn Tấn Triều</v>
      </c>
      <c r="X190" s="559" t="str">
        <f>IFERROR(VLOOKUP(V190,'NS QUẢN LÝ CG'!$A$4:$D$36,4,0),"")</f>
        <v>LP3.5-LP3</v>
      </c>
      <c r="Y190" s="559" t="str">
        <f>IFERROR(VLOOKUP(V190,'NS QUẢN LÝ CG'!$A$4:$C$36,3,0),"")</f>
        <v>05974160290</v>
      </c>
      <c r="Z190" s="523" t="str">
        <f>IFERROR(VLOOKUP(M190,'02. MM-KLH'!$B$6:$T$823,3,0),"")</f>
        <v>ATM-A24-0101</v>
      </c>
      <c r="AA190" s="561" t="s">
        <v>5046</v>
      </c>
      <c r="AB190" s="523"/>
      <c r="AC190" s="523"/>
    </row>
    <row r="191">
      <c r="A191" s="523"/>
      <c r="B191" s="612" t="str">
        <f>IFERROR(VLOOKUP(M191,'02. MM-KLH'!$B$6:$T$823,6,0),"")</f>
        <v>Máy cày JD 6120B</v>
      </c>
      <c r="C191" s="566">
        <v>1.0</v>
      </c>
      <c r="D191" s="613" t="str">
        <f>IFERROR(VLOOKUP(M191,'02. MM-KLH'!$B$6:$T$823,16,0),"")</f>
        <v>6120B</v>
      </c>
      <c r="E191" s="561" t="s">
        <v>4158</v>
      </c>
      <c r="F191" s="613"/>
      <c r="G191" s="613"/>
      <c r="H191" s="613" t="str">
        <f>IFERROR(VLOOKUP(M191,'02. MM-KLH'!$B$6:$T$823,17,0),"")</f>
        <v>120HP</v>
      </c>
      <c r="I191" s="614">
        <f>IFERROR(VLOOKUP(M191,'02. MM-KLH'!$B$6:$U$823,20,0),"")</f>
        <v>9.5</v>
      </c>
      <c r="J191" s="612" t="str">
        <f>IFERROR(VLOOKUP(M191,'02. MM-KLH'!$B$6:$T$823,19,0),"")</f>
        <v>PE4045N035792</v>
      </c>
      <c r="K191" s="612" t="str">
        <f>IFERROR(VLOOKUP(M191,'02. MM-KLH'!$B$6:$T$823,18,0),"")</f>
        <v>1YR6120BLRD210217</v>
      </c>
      <c r="L191" s="613" t="str">
        <f>IFERROR(VLOOKUP(M191,'02. MM-KLH'!$B$6:$T$823,4,0),"")</f>
        <v/>
      </c>
      <c r="M191" s="488" t="s">
        <v>1681</v>
      </c>
      <c r="N191" s="615">
        <f>IFERROR(VLOOKUP(M191,'02. MM-KLH'!$B$6:$T$823,15,0),"")</f>
        <v>2022</v>
      </c>
      <c r="O191" s="616" t="str">
        <f>IFERROR(VLOOKUP(M191,'02. MM-KLH'!$B$6:$T$823,9,0),"")</f>
        <v>15/03/2024</v>
      </c>
      <c r="P191" s="613"/>
      <c r="Q191" s="566" t="s">
        <v>5797</v>
      </c>
      <c r="R191" s="566" t="s">
        <v>4158</v>
      </c>
      <c r="S191" s="613"/>
      <c r="T191" s="613"/>
      <c r="U191" s="559" t="str">
        <f>IFERROR(VLOOKUP(M191,'02. MM-KLH'!$B$6:$T$823,5,0),"")</f>
        <v>MỚI</v>
      </c>
      <c r="V191" s="523" t="str">
        <f>IFERROR(VLOOKUP(M191,'02. MM-KLH'!$B$6:$T$823,8,0),"")</f>
        <v>XN Bò AD</v>
      </c>
      <c r="W191" s="559" t="str">
        <f>IFERROR(VLOOKUP(V191,'NS QUẢN LÝ CG'!$A$4:$D$36,2,0),"")</f>
        <v>Trần Văn Nam</v>
      </c>
      <c r="X191" s="559" t="str">
        <f>IFERROR(VLOOKUP(V191,'NS QUẢN LÝ CG'!$A$4:$D$36,4,0),"")</f>
        <v>Lô 28 XN Bò</v>
      </c>
      <c r="Y191" s="559" t="str">
        <f>IFERROR(VLOOKUP(V191,'NS QUẢN LÝ CG'!$A$4:$C$36,3,0),"")</f>
        <v>0971993540</v>
      </c>
      <c r="Z191" s="523" t="str">
        <f>IFERROR(VLOOKUP(M191,'02. MM-KLH'!$B$6:$T$823,3,0),"")</f>
        <v>ATT-A22-0329</v>
      </c>
      <c r="AA191" s="561" t="s">
        <v>4462</v>
      </c>
      <c r="AB191" s="523"/>
      <c r="AC191" s="523"/>
    </row>
    <row r="192">
      <c r="A192" s="523"/>
      <c r="B192" s="612" t="str">
        <f>IFERROR(VLOOKUP(M192,'02. MM-KLH'!$B$6:$T$823,6,0),"")</f>
        <v>Máy cày JD 6120B</v>
      </c>
      <c r="C192" s="566">
        <v>1.0</v>
      </c>
      <c r="D192" s="613" t="str">
        <f>IFERROR(VLOOKUP(M192,'02. MM-KLH'!$B$6:$T$823,16,0),"")</f>
        <v>6120B</v>
      </c>
      <c r="E192" s="561" t="s">
        <v>4158</v>
      </c>
      <c r="F192" s="613"/>
      <c r="G192" s="613"/>
      <c r="H192" s="613" t="str">
        <f>IFERROR(VLOOKUP(M192,'02. MM-KLH'!$B$6:$T$823,17,0),"")</f>
        <v>120HP</v>
      </c>
      <c r="I192" s="614">
        <f>IFERROR(VLOOKUP(M192,'02. MM-KLH'!$B$6:$U$823,20,0),"")</f>
        <v>9.5</v>
      </c>
      <c r="J192" s="612" t="str">
        <f>IFERROR(VLOOKUP(M192,'02. MM-KLH'!$B$6:$T$823,19,0),"")</f>
        <v>PE4045N035812</v>
      </c>
      <c r="K192" s="612" t="str">
        <f>IFERROR(VLOOKUP(M192,'02. MM-KLH'!$B$6:$T$823,18,0),"")</f>
        <v>1YR6120BJRD210227</v>
      </c>
      <c r="L192" s="613" t="str">
        <f>IFERROR(VLOOKUP(M192,'02. MM-KLH'!$B$6:$T$823,4,0),"")</f>
        <v/>
      </c>
      <c r="M192" s="488" t="s">
        <v>1698</v>
      </c>
      <c r="N192" s="615">
        <f>IFERROR(VLOOKUP(M192,'02. MM-KLH'!$B$6:$T$823,15,0),"")</f>
        <v>2024</v>
      </c>
      <c r="O192" s="616" t="str">
        <f>IFERROR(VLOOKUP(M192,'02. MM-KLH'!$B$6:$T$823,9,0),"")</f>
        <v>30/07/2024</v>
      </c>
      <c r="P192" s="613"/>
      <c r="Q192" s="566" t="s">
        <v>1565</v>
      </c>
      <c r="R192" s="566" t="s">
        <v>4158</v>
      </c>
      <c r="S192" s="613"/>
      <c r="T192" s="613"/>
      <c r="U192" s="559" t="str">
        <f>IFERROR(VLOOKUP(M192,'02. MM-KLH'!$B$6:$T$823,5,0),"")</f>
        <v>MỚI</v>
      </c>
      <c r="V192" s="523" t="str">
        <f>IFERROR(VLOOKUP(M192,'02. MM-KLH'!$B$6:$T$823,8,0),"")</f>
        <v>XN Bò AD</v>
      </c>
      <c r="W192" s="559" t="str">
        <f>IFERROR(VLOOKUP(V192,'NS QUẢN LÝ CG'!$A$4:$D$36,2,0),"")</f>
        <v>Trần Văn Nam</v>
      </c>
      <c r="X192" s="559" t="str">
        <f>IFERROR(VLOOKUP(V192,'NS QUẢN LÝ CG'!$A$4:$D$36,4,0),"")</f>
        <v>Lô 28 XN Bò</v>
      </c>
      <c r="Y192" s="559" t="str">
        <f>IFERROR(VLOOKUP(V192,'NS QUẢN LÝ CG'!$A$4:$C$36,3,0),"")</f>
        <v>0971993540</v>
      </c>
      <c r="Z192" s="523" t="str">
        <f>IFERROR(VLOOKUP(M192,'02. MM-KLH'!$B$6:$T$823,3,0),"")</f>
        <v>A22-MKE-051</v>
      </c>
      <c r="AA192" s="559" t="str">
        <f t="shared" ref="AA192:AA195" si="13">SWITCH(LEFT(Z192,3),"A22","ADM","A23","DP","A24","LP","")</f>
        <v>ADM</v>
      </c>
      <c r="AB192" s="523"/>
      <c r="AC192" s="523"/>
    </row>
    <row r="193">
      <c r="A193" s="523"/>
      <c r="B193" s="612" t="str">
        <f>IFERROR(VLOOKUP(M193,'02. MM-KLH'!$B$6:$T$823,6,0),"")</f>
        <v>Máy cày JD 6120B</v>
      </c>
      <c r="C193" s="566">
        <v>1.0</v>
      </c>
      <c r="D193" s="613" t="str">
        <f>IFERROR(VLOOKUP(M193,'02. MM-KLH'!$B$6:$T$823,16,0),"")</f>
        <v>6120B</v>
      </c>
      <c r="E193" s="561" t="s">
        <v>4158</v>
      </c>
      <c r="F193" s="613"/>
      <c r="G193" s="613"/>
      <c r="H193" s="613" t="str">
        <f>IFERROR(VLOOKUP(M193,'02. MM-KLH'!$B$6:$T$823,17,0),"")</f>
        <v>120HP</v>
      </c>
      <c r="I193" s="614">
        <f>IFERROR(VLOOKUP(M193,'02. MM-KLH'!$B$6:$U$823,20,0),"")</f>
        <v>9.5</v>
      </c>
      <c r="J193" s="612" t="str">
        <f>IFERROR(VLOOKUP(M193,'02. MM-KLH'!$B$6:$T$823,19,0),"")</f>
        <v>PE4045N035868</v>
      </c>
      <c r="K193" s="612" t="str">
        <f>IFERROR(VLOOKUP(M193,'02. MM-KLH'!$B$6:$T$823,18,0),"")</f>
        <v>1YR6120BKRD210226</v>
      </c>
      <c r="L193" s="613" t="str">
        <f>IFERROR(VLOOKUP(M193,'02. MM-KLH'!$B$6:$T$823,4,0),"")</f>
        <v/>
      </c>
      <c r="M193" s="488" t="s">
        <v>1701</v>
      </c>
      <c r="N193" s="615">
        <f>IFERROR(VLOOKUP(M193,'02. MM-KLH'!$B$6:$T$823,15,0),"")</f>
        <v>2024</v>
      </c>
      <c r="O193" s="616" t="str">
        <f>IFERROR(VLOOKUP(M193,'02. MM-KLH'!$B$6:$T$823,9,0),"")</f>
        <v>30/07/2024</v>
      </c>
      <c r="P193" s="613"/>
      <c r="Q193" s="566">
        <v>4537.0</v>
      </c>
      <c r="R193" s="566" t="s">
        <v>4158</v>
      </c>
      <c r="S193" s="613"/>
      <c r="T193" s="613"/>
      <c r="U193" s="559" t="str">
        <f>IFERROR(VLOOKUP(M193,'02. MM-KLH'!$B$6:$T$823,5,0),"")</f>
        <v>MỚI</v>
      </c>
      <c r="V193" s="523" t="str">
        <f>IFERROR(VLOOKUP(M193,'02. MM-KLH'!$B$6:$T$823,8,0),"")</f>
        <v>XN Bò AD</v>
      </c>
      <c r="W193" s="559" t="str">
        <f>IFERROR(VLOOKUP(V193,'NS QUẢN LÝ CG'!$A$4:$D$36,2,0),"")</f>
        <v>Trần Văn Nam</v>
      </c>
      <c r="X193" s="559" t="str">
        <f>IFERROR(VLOOKUP(V193,'NS QUẢN LÝ CG'!$A$4:$D$36,4,0),"")</f>
        <v>Lô 28 XN Bò</v>
      </c>
      <c r="Y193" s="559" t="str">
        <f>IFERROR(VLOOKUP(V193,'NS QUẢN LÝ CG'!$A$4:$C$36,3,0),"")</f>
        <v>0971993540</v>
      </c>
      <c r="Z193" s="523" t="str">
        <f>IFERROR(VLOOKUP(M193,'02. MM-KLH'!$B$6:$T$823,3,0),"")</f>
        <v>A22-MKE-052</v>
      </c>
      <c r="AA193" s="559" t="str">
        <f t="shared" si="13"/>
        <v>ADM</v>
      </c>
      <c r="AB193" s="523"/>
      <c r="AC193" s="523"/>
    </row>
    <row r="194">
      <c r="A194" s="523"/>
      <c r="B194" s="612" t="str">
        <f>IFERROR(VLOOKUP(M194,'02. MM-KLH'!$B$6:$T$823,6,0),"")</f>
        <v>Máy cày JD 6120B</v>
      </c>
      <c r="C194" s="566">
        <v>1.0</v>
      </c>
      <c r="D194" s="613" t="str">
        <f>IFERROR(VLOOKUP(M194,'02. MM-KLH'!$B$6:$T$823,16,0),"")</f>
        <v>6120B</v>
      </c>
      <c r="E194" s="561" t="s">
        <v>4158</v>
      </c>
      <c r="F194" s="613"/>
      <c r="G194" s="613"/>
      <c r="H194" s="613" t="str">
        <f>IFERROR(VLOOKUP(M194,'02. MM-KLH'!$B$6:$T$823,17,0),"")</f>
        <v>120HP</v>
      </c>
      <c r="I194" s="614">
        <f>IFERROR(VLOOKUP(M194,'02. MM-KLH'!$B$6:$U$823,20,0),"")</f>
        <v>9.5</v>
      </c>
      <c r="J194" s="612" t="str">
        <f>IFERROR(VLOOKUP(M194,'02. MM-KLH'!$B$6:$T$823,19,0),"")</f>
        <v>PE4045N051252</v>
      </c>
      <c r="K194" s="612" t="str">
        <f>IFERROR(VLOOKUP(M194,'02. MM-KLH'!$B$6:$T$823,18,0),"")</f>
        <v>1YR6120BLSV220083</v>
      </c>
      <c r="L194" s="613" t="str">
        <f>IFERROR(VLOOKUP(M194,'02. MM-KLH'!$B$6:$T$823,4,0),"")</f>
        <v/>
      </c>
      <c r="M194" s="488" t="s">
        <v>1753</v>
      </c>
      <c r="N194" s="615">
        <f>IFERROR(VLOOKUP(M194,'02. MM-KLH'!$B$6:$T$823,15,0),"")</f>
        <v>2025</v>
      </c>
      <c r="O194" s="616" t="str">
        <f>IFERROR(VLOOKUP(M194,'02. MM-KLH'!$B$6:$T$823,9,0),"")</f>
        <v>19/09/2025</v>
      </c>
      <c r="P194" s="613"/>
      <c r="Q194" s="566">
        <v>1294.0</v>
      </c>
      <c r="R194" s="566" t="s">
        <v>4158</v>
      </c>
      <c r="S194" s="613"/>
      <c r="T194" s="613"/>
      <c r="U194" s="559" t="str">
        <f>IFERROR(VLOOKUP(M194,'02. MM-KLH'!$B$6:$T$823,5,0),"")</f>
        <v>MỚI</v>
      </c>
      <c r="V194" s="523" t="str">
        <f>IFERROR(VLOOKUP(M194,'02. MM-KLH'!$B$6:$T$823,8,0),"")</f>
        <v>XN Bò AD</v>
      </c>
      <c r="W194" s="559" t="str">
        <f>IFERROR(VLOOKUP(V194,'NS QUẢN LÝ CG'!$A$4:$D$36,2,0),"")</f>
        <v>Trần Văn Nam</v>
      </c>
      <c r="X194" s="559" t="str">
        <f>IFERROR(VLOOKUP(V194,'NS QUẢN LÝ CG'!$A$4:$D$36,4,0),"")</f>
        <v>Lô 28 XN Bò</v>
      </c>
      <c r="Y194" s="559" t="str">
        <f>IFERROR(VLOOKUP(V194,'NS QUẢN LÝ CG'!$A$4:$C$36,3,0),"")</f>
        <v>0971993540</v>
      </c>
      <c r="Z194" s="523" t="str">
        <f>IFERROR(VLOOKUP(M194,'02. MM-KLH'!$B$6:$T$823,3,0),"")</f>
        <v>A22-MKE-047</v>
      </c>
      <c r="AA194" s="559" t="str">
        <f t="shared" si="13"/>
        <v>ADM</v>
      </c>
      <c r="AB194" s="523"/>
      <c r="AC194" s="523"/>
    </row>
    <row r="195">
      <c r="A195" s="523"/>
      <c r="B195" s="612" t="str">
        <f>IFERROR(VLOOKUP(M195,'02. MM-KLH'!$B$6:$T$823,6,0),"")</f>
        <v>Máy cày JD 6120B</v>
      </c>
      <c r="C195" s="566">
        <v>1.0</v>
      </c>
      <c r="D195" s="613" t="str">
        <f>IFERROR(VLOOKUP(M195,'02. MM-KLH'!$B$6:$T$823,16,0),"")</f>
        <v>6120B</v>
      </c>
      <c r="E195" s="561" t="s">
        <v>4158</v>
      </c>
      <c r="F195" s="613"/>
      <c r="G195" s="613"/>
      <c r="H195" s="613" t="str">
        <f>IFERROR(VLOOKUP(M195,'02. MM-KLH'!$B$6:$T$823,17,0),"")</f>
        <v>120HP</v>
      </c>
      <c r="I195" s="614">
        <f>IFERROR(VLOOKUP(M195,'02. MM-KLH'!$B$6:$U$823,20,0),"")</f>
        <v>9.5</v>
      </c>
      <c r="J195" s="612" t="str">
        <f>IFERROR(VLOOKUP(M195,'02. MM-KLH'!$B$6:$T$823,19,0),"")</f>
        <v>PE4045N051256</v>
      </c>
      <c r="K195" s="612" t="str">
        <f>IFERROR(VLOOKUP(M195,'02. MM-KLH'!$B$6:$T$823,18,0),"")</f>
        <v>1YR6120BHSV220084</v>
      </c>
      <c r="L195" s="613" t="str">
        <f>IFERROR(VLOOKUP(M195,'02. MM-KLH'!$B$6:$T$823,4,0),"")</f>
        <v/>
      </c>
      <c r="M195" s="488" t="s">
        <v>1759</v>
      </c>
      <c r="N195" s="615">
        <f>IFERROR(VLOOKUP(M195,'02. MM-KLH'!$B$6:$T$823,15,0),"")</f>
        <v>2025</v>
      </c>
      <c r="O195" s="616" t="str">
        <f>IFERROR(VLOOKUP(M195,'02. MM-KLH'!$B$6:$T$823,9,0),"")</f>
        <v>19/09/2025</v>
      </c>
      <c r="P195" s="613"/>
      <c r="Q195" s="566" t="s">
        <v>5799</v>
      </c>
      <c r="R195" s="566" t="s">
        <v>4158</v>
      </c>
      <c r="S195" s="613"/>
      <c r="T195" s="613"/>
      <c r="U195" s="559" t="str">
        <f>IFERROR(VLOOKUP(M195,'02. MM-KLH'!$B$6:$T$823,5,0),"")</f>
        <v>MỚI</v>
      </c>
      <c r="V195" s="523" t="str">
        <f>IFERROR(VLOOKUP(M195,'02. MM-KLH'!$B$6:$T$823,8,0),"")</f>
        <v>XN Bò AD</v>
      </c>
      <c r="W195" s="559" t="str">
        <f>IFERROR(VLOOKUP(V195,'NS QUẢN LÝ CG'!$A$4:$D$36,2,0),"")</f>
        <v>Trần Văn Nam</v>
      </c>
      <c r="X195" s="559" t="str">
        <f>IFERROR(VLOOKUP(V195,'NS QUẢN LÝ CG'!$A$4:$D$36,4,0),"")</f>
        <v>Lô 28 XN Bò</v>
      </c>
      <c r="Y195" s="559" t="str">
        <f>IFERROR(VLOOKUP(V195,'NS QUẢN LÝ CG'!$A$4:$C$36,3,0),"")</f>
        <v>0971993540</v>
      </c>
      <c r="Z195" s="523" t="str">
        <f>IFERROR(VLOOKUP(M195,'02. MM-KLH'!$B$6:$T$823,3,0),"")</f>
        <v>A22-MKE-048</v>
      </c>
      <c r="AA195" s="559" t="str">
        <f t="shared" si="13"/>
        <v>ADM</v>
      </c>
      <c r="AB195" s="523"/>
      <c r="AC195" s="523"/>
    </row>
    <row r="196">
      <c r="A196" s="523"/>
      <c r="B196" s="612" t="str">
        <f>IFERROR(VLOOKUP(M196,'02. MM-KLH'!$B$6:$T$823,6,0),"")</f>
        <v>Máy cày JD 5090E</v>
      </c>
      <c r="C196" s="566">
        <v>1.0</v>
      </c>
      <c r="D196" s="613" t="str">
        <f>IFERROR(VLOOKUP(M196,'02. MM-KLH'!$B$6:$T$823,16,0),"")</f>
        <v>5090E</v>
      </c>
      <c r="E196" s="561" t="s">
        <v>4158</v>
      </c>
      <c r="F196" s="613"/>
      <c r="G196" s="613"/>
      <c r="H196" s="613" t="str">
        <f>IFERROR(VLOOKUP(M196,'02. MM-KLH'!$B$6:$T$823,17,0),"")</f>
        <v>90HP</v>
      </c>
      <c r="I196" s="614">
        <f>IFERROR(VLOOKUP(M196,'02. MM-KLH'!$B$6:$U$823,20,0),"")</f>
        <v>6</v>
      </c>
      <c r="J196" s="612" t="str">
        <f>IFERROR(VLOOKUP(M196,'02. MM-KLH'!$B$6:$T$823,19,0),"")</f>
        <v>PE4045E027602</v>
      </c>
      <c r="K196" s="612" t="str">
        <f>IFERROR(VLOOKUP(M196,'02. MM-KLH'!$B$6:$T$823,18,0),"")</f>
        <v>1P05090EVN4073521</v>
      </c>
      <c r="L196" s="613" t="str">
        <f>IFERROR(VLOOKUP(M196,'02. MM-KLH'!$B$6:$T$823,4,0),"")</f>
        <v/>
      </c>
      <c r="M196" s="488" t="s">
        <v>847</v>
      </c>
      <c r="N196" s="615">
        <f>IFERROR(VLOOKUP(M196,'02. MM-KLH'!$B$6:$T$823,15,0),"")</f>
        <v>2022</v>
      </c>
      <c r="O196" s="616" t="str">
        <f>IFERROR(VLOOKUP(M196,'02. MM-KLH'!$B$6:$T$823,9,0),"")</f>
        <v>15/03/2024</v>
      </c>
      <c r="P196" s="613"/>
      <c r="Q196" s="566" t="s">
        <v>1565</v>
      </c>
      <c r="R196" s="613"/>
      <c r="S196" s="613"/>
      <c r="T196" s="613"/>
      <c r="U196" s="559" t="str">
        <f>IFERROR(VLOOKUP(M196,'02. MM-KLH'!$B$6:$T$823,5,0),"")</f>
        <v>ĐQSD</v>
      </c>
      <c r="V196" s="523" t="str">
        <f>IFERROR(VLOOKUP(M196,'02. MM-KLH'!$B$6:$T$823,8,0),"")</f>
        <v>XN Bò AD</v>
      </c>
      <c r="W196" s="559" t="str">
        <f>IFERROR(VLOOKUP(V196,'NS QUẢN LÝ CG'!$A$4:$D$36,2,0),"")</f>
        <v>Trần Văn Nam</v>
      </c>
      <c r="X196" s="559" t="str">
        <f>IFERROR(VLOOKUP(V196,'NS QUẢN LÝ CG'!$A$4:$D$36,4,0),"")</f>
        <v>Lô 28 XN Bò</v>
      </c>
      <c r="Y196" s="559" t="str">
        <f>IFERROR(VLOOKUP(V196,'NS QUẢN LÝ CG'!$A$4:$C$36,3,0),"")</f>
        <v>0971993540</v>
      </c>
      <c r="Z196" s="523" t="str">
        <f>IFERROR(VLOOKUP(M196,'02. MM-KLH'!$B$6:$T$823,3,0),"")</f>
        <v>ATM-A24-0102</v>
      </c>
      <c r="AA196" s="561" t="s">
        <v>5046</v>
      </c>
      <c r="AB196" s="523"/>
      <c r="AC196" s="523"/>
    </row>
    <row r="197">
      <c r="A197" s="523"/>
      <c r="B197" s="612" t="str">
        <f>IFERROR(VLOOKUP(M197,'02. MM-KLH'!$B$6:$T$823,6,0),"")</f>
        <v>Máy cày JD 5090E</v>
      </c>
      <c r="C197" s="566">
        <v>1.0</v>
      </c>
      <c r="D197" s="613" t="str">
        <f>IFERROR(VLOOKUP(M197,'02. MM-KLH'!$B$6:$T$823,16,0),"")</f>
        <v>5090E</v>
      </c>
      <c r="E197" s="561" t="s">
        <v>4158</v>
      </c>
      <c r="F197" s="613"/>
      <c r="G197" s="613"/>
      <c r="H197" s="613" t="str">
        <f>IFERROR(VLOOKUP(M197,'02. MM-KLH'!$B$6:$T$823,17,0),"")</f>
        <v>90HP</v>
      </c>
      <c r="I197" s="614">
        <f>IFERROR(VLOOKUP(M197,'02. MM-KLH'!$B$6:$U$823,20,0),"")</f>
        <v>6</v>
      </c>
      <c r="J197" s="612" t="str">
        <f>IFERROR(VLOOKUP(M197,'02. MM-KLH'!$B$6:$T$823,19,0),"")</f>
        <v>PE4045E028102</v>
      </c>
      <c r="K197" s="612" t="str">
        <f>IFERROR(VLOOKUP(M197,'02. MM-KLH'!$B$6:$T$823,18,0),"")</f>
        <v>1P05090ELN4073859</v>
      </c>
      <c r="L197" s="613" t="str">
        <f>IFERROR(VLOOKUP(M197,'02. MM-KLH'!$B$6:$T$823,4,0),"")</f>
        <v/>
      </c>
      <c r="M197" s="488" t="s">
        <v>700</v>
      </c>
      <c r="N197" s="615">
        <f>IFERROR(VLOOKUP(M197,'02. MM-KLH'!$B$6:$T$823,15,0),"")</f>
        <v>2022</v>
      </c>
      <c r="O197" s="616" t="str">
        <f>IFERROR(VLOOKUP(M197,'02. MM-KLH'!$B$6:$T$823,9,0),"")</f>
        <v>15/03/2024</v>
      </c>
      <c r="P197" s="613"/>
      <c r="Q197" s="566" t="s">
        <v>1565</v>
      </c>
      <c r="R197" s="613"/>
      <c r="S197" s="566" t="s">
        <v>4158</v>
      </c>
      <c r="T197" s="613"/>
      <c r="U197" s="559" t="str">
        <f>IFERROR(VLOOKUP(M197,'02. MM-KLH'!$B$6:$T$823,5,0),"")</f>
        <v>MỚI</v>
      </c>
      <c r="V197" s="523" t="str">
        <f>IFERROR(VLOOKUP(M197,'02. MM-KLH'!$B$6:$T$823,8,0),"")</f>
        <v>CGLĐ DP</v>
      </c>
      <c r="W197" s="559" t="str">
        <f>IFERROR(VLOOKUP(V197,'NS QUẢN LÝ CG'!$A$4:$D$36,2,0),"")</f>
        <v>Nguyễn Tấn Triều</v>
      </c>
      <c r="X197" s="559" t="str">
        <f>IFERROR(VLOOKUP(V197,'NS QUẢN LÝ CG'!$A$4:$D$36,4,0),"")</f>
        <v>Lô 85 DP4</v>
      </c>
      <c r="Y197" s="559" t="str">
        <f>IFERROR(VLOOKUP(V197,'NS QUẢN LÝ CG'!$A$4:$C$36,3,0),"")</f>
        <v>05974160290</v>
      </c>
      <c r="Z197" s="523" t="str">
        <f>IFERROR(VLOOKUP(M197,'02. MM-KLH'!$B$6:$T$823,3,0),"")</f>
        <v>A23-MKE-008</v>
      </c>
      <c r="AA197" s="559" t="str">
        <f>SWITCH(LEFT(Z197,3),"A22","ADM","A23","DP","A24","LP","")</f>
        <v>DP</v>
      </c>
      <c r="AB197" s="523"/>
      <c r="AC197" s="523"/>
    </row>
    <row r="198">
      <c r="A198" s="523"/>
      <c r="B198" s="612" t="str">
        <f>IFERROR(VLOOKUP(M198,'02. MM-KLH'!$B$6:$T$823,6,0),"")</f>
        <v>Máy cày JD 5090E</v>
      </c>
      <c r="C198" s="566">
        <v>1.0</v>
      </c>
      <c r="D198" s="613">
        <f>IFERROR(VLOOKUP(M198,'02. MM-KLH'!$B$6:$T$823,16,0),"")</f>
        <v>5090</v>
      </c>
      <c r="E198" s="561" t="s">
        <v>4158</v>
      </c>
      <c r="F198" s="613"/>
      <c r="G198" s="613"/>
      <c r="H198" s="613" t="str">
        <f>IFERROR(VLOOKUP(M198,'02. MM-KLH'!$B$6:$T$823,17,0),"")</f>
        <v>90HP</v>
      </c>
      <c r="I198" s="614">
        <f>IFERROR(VLOOKUP(M198,'02. MM-KLH'!$B$6:$U$823,20,0),"")</f>
        <v>6</v>
      </c>
      <c r="J198" s="612" t="str">
        <f>IFERROR(VLOOKUP(M198,'02. MM-KLH'!$B$6:$T$823,19,0),"")</f>
        <v>PE4045E027590</v>
      </c>
      <c r="K198" s="612" t="str">
        <f>IFERROR(VLOOKUP(M198,'02. MM-KLH'!$B$6:$T$823,18,0),"")</f>
        <v>1P05090EHN4073538</v>
      </c>
      <c r="L198" s="613" t="str">
        <f>IFERROR(VLOOKUP(M198,'02. MM-KLH'!$B$6:$T$823,4,0),"")</f>
        <v/>
      </c>
      <c r="M198" s="488" t="s">
        <v>776</v>
      </c>
      <c r="N198" s="615">
        <f>IFERROR(VLOOKUP(M198,'02. MM-KLH'!$B$6:$T$823,15,0),"")</f>
        <v>2022</v>
      </c>
      <c r="O198" s="616">
        <f>IFERROR(VLOOKUP(M198,'02. MM-KLH'!$B$6:$T$823,9,0),"")</f>
        <v>45634</v>
      </c>
      <c r="P198" s="613"/>
      <c r="Q198" s="566" t="s">
        <v>1565</v>
      </c>
      <c r="R198" s="613"/>
      <c r="S198" s="566" t="s">
        <v>4158</v>
      </c>
      <c r="T198" s="613"/>
      <c r="U198" s="559" t="str">
        <f>IFERROR(VLOOKUP(M198,'02. MM-KLH'!$B$6:$T$823,5,0),"")</f>
        <v>ĐQSD</v>
      </c>
      <c r="V198" s="523" t="str">
        <f>IFERROR(VLOOKUP(M198,'02. MM-KLH'!$B$6:$T$823,8,0),"")</f>
        <v>CGLĐ LP</v>
      </c>
      <c r="W198" s="559" t="str">
        <f>IFERROR(VLOOKUP(V198,'NS QUẢN LÝ CG'!$A$4:$D$36,2,0),"")</f>
        <v>Nguyễn Tấn Triều</v>
      </c>
      <c r="X198" s="559" t="str">
        <f>IFERROR(VLOOKUP(V198,'NS QUẢN LÝ CG'!$A$4:$D$36,4,0),"")</f>
        <v>LP3.5-LP3</v>
      </c>
      <c r="Y198" s="559" t="str">
        <f>IFERROR(VLOOKUP(V198,'NS QUẢN LÝ CG'!$A$4:$C$36,3,0),"")</f>
        <v>05974160290</v>
      </c>
      <c r="Z198" s="523" t="str">
        <f>IFERROR(VLOOKUP(M198,'02. MM-KLH'!$B$6:$T$823,3,0),"")</f>
        <v>ATT-A22-0312</v>
      </c>
      <c r="AA198" s="561" t="s">
        <v>4462</v>
      </c>
      <c r="AB198" s="523"/>
      <c r="AC198" s="523"/>
    </row>
    <row r="199">
      <c r="A199" s="523"/>
      <c r="B199" s="612" t="str">
        <f>IFERROR(VLOOKUP(M199,'02. MM-KLH'!$B$6:$T$823,6,0),"")</f>
        <v>Máy cày JD 5090E</v>
      </c>
      <c r="C199" s="566">
        <v>1.0</v>
      </c>
      <c r="D199" s="613">
        <f>IFERROR(VLOOKUP(M199,'02. MM-KLH'!$B$6:$T$823,16,0),"")</f>
        <v>5090</v>
      </c>
      <c r="E199" s="561" t="s">
        <v>4158</v>
      </c>
      <c r="F199" s="613"/>
      <c r="G199" s="613"/>
      <c r="H199" s="613" t="str">
        <f>IFERROR(VLOOKUP(M199,'02. MM-KLH'!$B$6:$T$823,17,0),"")</f>
        <v>90HP</v>
      </c>
      <c r="I199" s="614">
        <f>IFERROR(VLOOKUP(M199,'02. MM-KLH'!$B$6:$U$823,20,0),"")</f>
        <v>6</v>
      </c>
      <c r="J199" s="612">
        <f>IFERROR(VLOOKUP(M199,'02. MM-KLH'!$B$6:$T$823,19,0),"")</f>
        <v>26911</v>
      </c>
      <c r="K199" s="612">
        <f>IFERROR(VLOOKUP(M199,'02. MM-KLH'!$B$6:$T$823,18,0),"")</f>
        <v>4073059</v>
      </c>
      <c r="L199" s="613" t="str">
        <f>IFERROR(VLOOKUP(M199,'02. MM-KLH'!$B$6:$T$823,4,0),"")</f>
        <v/>
      </c>
      <c r="M199" s="490" t="s">
        <v>1674</v>
      </c>
      <c r="N199" s="615">
        <f>IFERROR(VLOOKUP(M199,'02. MM-KLH'!$B$6:$T$823,15,0),"")</f>
        <v>2022</v>
      </c>
      <c r="O199" s="616">
        <f>IFERROR(VLOOKUP(M199,'02. MM-KLH'!$B$6:$T$823,9,0),"")</f>
        <v>45292</v>
      </c>
      <c r="P199" s="613"/>
      <c r="Q199" s="566">
        <v>4779.0</v>
      </c>
      <c r="R199" s="566" t="s">
        <v>4158</v>
      </c>
      <c r="S199" s="613"/>
      <c r="T199" s="613"/>
      <c r="U199" s="559" t="str">
        <f>IFERROR(VLOOKUP(M199,'02. MM-KLH'!$B$6:$T$823,5,0),"")</f>
        <v>MỚI</v>
      </c>
      <c r="V199" s="523" t="str">
        <f>IFERROR(VLOOKUP(M199,'02. MM-KLH'!$B$6:$T$823,8,0),"")</f>
        <v>XN Bò AD</v>
      </c>
      <c r="W199" s="559" t="str">
        <f>IFERROR(VLOOKUP(V199,'NS QUẢN LÝ CG'!$A$4:$D$36,2,0),"")</f>
        <v>Trần Văn Nam</v>
      </c>
      <c r="X199" s="559" t="str">
        <f>IFERROR(VLOOKUP(V199,'NS QUẢN LÝ CG'!$A$4:$D$36,4,0),"")</f>
        <v>Lô 28 XN Bò</v>
      </c>
      <c r="Y199" s="559" t="str">
        <f>IFERROR(VLOOKUP(V199,'NS QUẢN LÝ CG'!$A$4:$C$36,3,0),"")</f>
        <v>0971993540</v>
      </c>
      <c r="Z199" s="523" t="str">
        <f>IFERROR(VLOOKUP(M199,'02. MM-KLH'!$B$6:$T$823,3,0),"")</f>
        <v>ATT-A22-0321</v>
      </c>
      <c r="AA199" s="561" t="s">
        <v>4462</v>
      </c>
      <c r="AB199" s="523"/>
      <c r="AC199" s="523"/>
    </row>
    <row r="200">
      <c r="A200" s="523"/>
      <c r="B200" s="612" t="str">
        <f>IFERROR(VLOOKUP(M200,'02. MM-KLH'!$B$6:$T$823,6,0),"")</f>
        <v>Máy cày JD 5090E</v>
      </c>
      <c r="C200" s="566">
        <v>1.0</v>
      </c>
      <c r="D200" s="613">
        <f>IFERROR(VLOOKUP(M200,'02. MM-KLH'!$B$6:$T$823,16,0),"")</f>
        <v>5090</v>
      </c>
      <c r="E200" s="561" t="s">
        <v>4158</v>
      </c>
      <c r="F200" s="613"/>
      <c r="G200" s="613"/>
      <c r="H200" s="613" t="str">
        <f>IFERROR(VLOOKUP(M200,'02. MM-KLH'!$B$6:$T$823,17,0),"")</f>
        <v>90HP</v>
      </c>
      <c r="I200" s="614">
        <f>IFERROR(VLOOKUP(M200,'02. MM-KLH'!$B$6:$U$823,20,0),"")</f>
        <v>6</v>
      </c>
      <c r="J200" s="612">
        <f>IFERROR(VLOOKUP(M200,'02. MM-KLH'!$B$6:$T$823,19,0),"")</f>
        <v>27085</v>
      </c>
      <c r="K200" s="612">
        <f>IFERROR(VLOOKUP(M200,'02. MM-KLH'!$B$6:$T$823,18,0),"")</f>
        <v>4073056</v>
      </c>
      <c r="L200" s="613" t="str">
        <f>IFERROR(VLOOKUP(M200,'02. MM-KLH'!$B$6:$T$823,4,0),"")</f>
        <v/>
      </c>
      <c r="M200" s="490" t="s">
        <v>1676</v>
      </c>
      <c r="N200" s="615">
        <f>IFERROR(VLOOKUP(M200,'02. MM-KLH'!$B$6:$T$823,15,0),"")</f>
        <v>2022</v>
      </c>
      <c r="O200" s="616">
        <f>IFERROR(VLOOKUP(M200,'02. MM-KLH'!$B$6:$T$823,9,0),"")</f>
        <v>45292</v>
      </c>
      <c r="P200" s="613"/>
      <c r="Q200" s="566">
        <v>4962.0</v>
      </c>
      <c r="R200" s="566" t="s">
        <v>4158</v>
      </c>
      <c r="S200" s="613"/>
      <c r="T200" s="613"/>
      <c r="U200" s="559" t="str">
        <f>IFERROR(VLOOKUP(M200,'02. MM-KLH'!$B$6:$T$823,5,0),"")</f>
        <v>MỚI</v>
      </c>
      <c r="V200" s="523" t="str">
        <f>IFERROR(VLOOKUP(M200,'02. MM-KLH'!$B$6:$T$823,8,0),"")</f>
        <v>XN Bò AD</v>
      </c>
      <c r="W200" s="559" t="str">
        <f>IFERROR(VLOOKUP(V200,'NS QUẢN LÝ CG'!$A$4:$D$36,2,0),"")</f>
        <v>Trần Văn Nam</v>
      </c>
      <c r="X200" s="559" t="str">
        <f>IFERROR(VLOOKUP(V200,'NS QUẢN LÝ CG'!$A$4:$D$36,4,0),"")</f>
        <v>Lô 28 XN Bò</v>
      </c>
      <c r="Y200" s="559" t="str">
        <f>IFERROR(VLOOKUP(V200,'NS QUẢN LÝ CG'!$A$4:$C$36,3,0),"")</f>
        <v>0971993540</v>
      </c>
      <c r="Z200" s="523" t="str">
        <f>IFERROR(VLOOKUP(M200,'02. MM-KLH'!$B$6:$T$823,3,0),"")</f>
        <v>ATT-A22-0322</v>
      </c>
      <c r="AA200" s="561" t="s">
        <v>4462</v>
      </c>
      <c r="AB200" s="523"/>
      <c r="AC200" s="523"/>
    </row>
    <row r="201">
      <c r="A201" s="523"/>
      <c r="B201" s="612" t="str">
        <f>IFERROR(VLOOKUP(M201,'02. MM-KLH'!$B$6:$T$823,6,0),"")</f>
        <v>Máy cày JD 6155J</v>
      </c>
      <c r="C201" s="566">
        <v>1.0</v>
      </c>
      <c r="D201" s="613" t="str">
        <f>IFERROR(VLOOKUP(M201,'02. MM-KLH'!$B$6:$T$823,16,0),"")</f>
        <v>6155J</v>
      </c>
      <c r="E201" s="561" t="s">
        <v>4158</v>
      </c>
      <c r="F201" s="613"/>
      <c r="G201" s="613"/>
      <c r="H201" s="613" t="str">
        <f>IFERROR(VLOOKUP(M201,'02. MM-KLH'!$B$6:$T$823,17,0),"")</f>
        <v>155HP</v>
      </c>
      <c r="I201" s="614">
        <f>IFERROR(VLOOKUP(M201,'02. MM-KLH'!$B$6:$U$823,20,0),"")</f>
        <v>14</v>
      </c>
      <c r="J201" s="612" t="str">
        <f>IFERROR(VLOOKUP(M201,'02. MM-KLH'!$B$6:$T$823,19,0),"")</f>
        <v>PE6068J008148</v>
      </c>
      <c r="K201" s="612" t="str">
        <f>IFERROR(VLOOKUP(M201,'02. MM-KLH'!$B$6:$T$823,18,0),"")</f>
        <v>1P06155JJP8010850</v>
      </c>
      <c r="L201" s="613" t="str">
        <f>IFERROR(VLOOKUP(M201,'02. MM-KLH'!$B$6:$T$823,4,0),"")</f>
        <v/>
      </c>
      <c r="M201" s="488" t="s">
        <v>781</v>
      </c>
      <c r="N201" s="615">
        <f>IFERROR(VLOOKUP(M201,'02. MM-KLH'!$B$6:$T$823,15,0),"")</f>
        <v>2022</v>
      </c>
      <c r="O201" s="616">
        <f>IFERROR(VLOOKUP(M201,'02. MM-KLH'!$B$6:$T$823,9,0),"")</f>
        <v>45540</v>
      </c>
      <c r="Q201" s="566">
        <v>4004.0</v>
      </c>
      <c r="R201" s="566" t="s">
        <v>4158</v>
      </c>
      <c r="S201" s="613"/>
      <c r="T201" s="613"/>
      <c r="U201" s="559" t="str">
        <f>IFERROR(VLOOKUP(M201,'02. MM-KLH'!$B$6:$T$823,5,0),"")</f>
        <v>MỚI</v>
      </c>
      <c r="V201" s="523" t="str">
        <f>IFERROR(VLOOKUP(M201,'02. MM-KLH'!$B$6:$T$823,8,0),"")</f>
        <v>CGLĐ LP</v>
      </c>
      <c r="W201" s="559" t="str">
        <f>IFERROR(VLOOKUP(V201,'NS QUẢN LÝ CG'!$A$4:$D$36,2,0),"")</f>
        <v>Nguyễn Tấn Triều</v>
      </c>
      <c r="X201" s="559" t="str">
        <f>IFERROR(VLOOKUP(V201,'NS QUẢN LÝ CG'!$A$4:$D$36,4,0),"")</f>
        <v>LP3.5-LP3</v>
      </c>
      <c r="Y201" s="559" t="str">
        <f>IFERROR(VLOOKUP(V201,'NS QUẢN LÝ CG'!$A$4:$C$36,3,0),"")</f>
        <v>05974160290</v>
      </c>
      <c r="Z201" s="523" t="str">
        <f>IFERROR(VLOOKUP(M201,'02. MM-KLH'!$B$6:$T$823,3,0),"")</f>
        <v>ATM-A24-0103</v>
      </c>
      <c r="AA201" s="561" t="s">
        <v>5046</v>
      </c>
      <c r="AB201" s="523"/>
      <c r="AC201" s="523"/>
    </row>
    <row r="202">
      <c r="A202" s="523"/>
      <c r="B202" s="612" t="str">
        <f>IFERROR(VLOOKUP(M202,'02. MM-KLH'!$B$6:$T$823,6,0),"")</f>
        <v>Máy cày JD 6155J</v>
      </c>
      <c r="C202" s="566">
        <v>1.0</v>
      </c>
      <c r="D202" s="613" t="str">
        <f>IFERROR(VLOOKUP(M202,'02. MM-KLH'!$B$6:$T$823,16,0),"")</f>
        <v>6155J</v>
      </c>
      <c r="E202" s="561" t="s">
        <v>4158</v>
      </c>
      <c r="F202" s="613"/>
      <c r="G202" s="613"/>
      <c r="H202" s="613" t="str">
        <f>IFERROR(VLOOKUP(M202,'02. MM-KLH'!$B$6:$T$823,17,0),"")</f>
        <v>155HP</v>
      </c>
      <c r="I202" s="614">
        <f>IFERROR(VLOOKUP(M202,'02. MM-KLH'!$B$6:$U$823,20,0),"")</f>
        <v>14</v>
      </c>
      <c r="J202" s="612" t="str">
        <f>IFERROR(VLOOKUP(M202,'02. MM-KLH'!$B$6:$T$823,19,0),"")</f>
        <v>PE6068J008216</v>
      </c>
      <c r="K202" s="612" t="str">
        <f>IFERROR(VLOOKUP(M202,'02. MM-KLH'!$B$6:$T$823,18,0),"")</f>
        <v>1P06155JPR8010864</v>
      </c>
      <c r="L202" s="613" t="str">
        <f>IFERROR(VLOOKUP(M202,'02. MM-KLH'!$B$6:$T$823,4,0),"")</f>
        <v/>
      </c>
      <c r="M202" s="488" t="s">
        <v>1749</v>
      </c>
      <c r="N202" s="615">
        <f>IFERROR(VLOOKUP(M202,'02. MM-KLH'!$B$6:$T$823,15,0),"")</f>
        <v>2024</v>
      </c>
      <c r="O202" s="616">
        <f>IFERROR(VLOOKUP(M202,'02. MM-KLH'!$B$6:$T$823,9,0),"")</f>
        <v>45756</v>
      </c>
      <c r="P202" s="613"/>
      <c r="Q202" s="566">
        <v>3573.0</v>
      </c>
      <c r="R202" s="566" t="s">
        <v>4158</v>
      </c>
      <c r="S202" s="613"/>
      <c r="T202" s="613"/>
      <c r="U202" s="559" t="str">
        <f>IFERROR(VLOOKUP(M202,'02. MM-KLH'!$B$6:$T$823,5,0),"")</f>
        <v>MỚI</v>
      </c>
      <c r="V202" s="523" t="str">
        <f>IFERROR(VLOOKUP(M202,'02. MM-KLH'!$B$6:$T$823,8,0),"")</f>
        <v>XN Bò AD</v>
      </c>
      <c r="W202" s="559" t="str">
        <f>IFERROR(VLOOKUP(V202,'NS QUẢN LÝ CG'!$A$4:$D$36,2,0),"")</f>
        <v>Trần Văn Nam</v>
      </c>
      <c r="X202" s="559" t="str">
        <f>IFERROR(VLOOKUP(V202,'NS QUẢN LÝ CG'!$A$4:$D$36,4,0),"")</f>
        <v>Lô 28 XN Bò</v>
      </c>
      <c r="Y202" s="559" t="str">
        <f>IFERROR(VLOOKUP(V202,'NS QUẢN LÝ CG'!$A$4:$C$36,3,0),"")</f>
        <v>0971993540</v>
      </c>
      <c r="Z202" s="523" t="str">
        <f>IFERROR(VLOOKUP(M202,'02. MM-KLH'!$B$6:$T$823,3,0),"")</f>
        <v/>
      </c>
      <c r="AA202" s="559" t="str">
        <f t="shared" ref="AA202:AA224" si="14">SWITCH(LEFT(Z202,3),"A22","ADM","A23","DP","A24","LP","")</f>
        <v/>
      </c>
      <c r="AB202" s="523"/>
      <c r="AC202" s="523"/>
    </row>
    <row r="203">
      <c r="A203" s="523"/>
      <c r="B203" s="612" t="str">
        <f>IFERROR(VLOOKUP(M203,'02. MM-KLH'!$B$6:$T$823,6,0),"")</f>
        <v>Máy cày JD 6155J</v>
      </c>
      <c r="C203" s="566">
        <v>1.0</v>
      </c>
      <c r="D203" s="613" t="str">
        <f>IFERROR(VLOOKUP(M203,'02. MM-KLH'!$B$6:$T$823,16,0),"")</f>
        <v>6155J</v>
      </c>
      <c r="E203" s="561" t="s">
        <v>4158</v>
      </c>
      <c r="F203" s="613"/>
      <c r="G203" s="613"/>
      <c r="H203" s="613" t="str">
        <f>IFERROR(VLOOKUP(M203,'02. MM-KLH'!$B$6:$T$823,17,0),"")</f>
        <v>155HP</v>
      </c>
      <c r="I203" s="614">
        <f>IFERROR(VLOOKUP(M203,'02. MM-KLH'!$B$6:$U$823,20,0),"")</f>
        <v>14</v>
      </c>
      <c r="J203" s="612" t="str">
        <f>IFERROR(VLOOKUP(M203,'02. MM-KLH'!$B$6:$T$823,19,0),"")</f>
        <v>PE6068J008136</v>
      </c>
      <c r="K203" s="612" t="str">
        <f>IFERROR(VLOOKUP(M203,'02. MM-KLH'!$B$6:$T$823,18,0),"")</f>
        <v>1P06155JCP8010851</v>
      </c>
      <c r="L203" s="613" t="str">
        <f>IFERROR(VLOOKUP(M203,'02. MM-KLH'!$B$6:$T$823,4,0),"")</f>
        <v/>
      </c>
      <c r="M203" s="488" t="s">
        <v>1832</v>
      </c>
      <c r="N203" s="615">
        <f>IFERROR(VLOOKUP(M203,'02. MM-KLH'!$B$6:$T$823,15,0),"")</f>
        <v>2022</v>
      </c>
      <c r="O203" s="616">
        <f>IFERROR(VLOOKUP(M203,'02. MM-KLH'!$B$6:$T$823,9,0),"")</f>
        <v>45540</v>
      </c>
      <c r="P203" s="613"/>
      <c r="Q203" s="566" t="s">
        <v>1565</v>
      </c>
      <c r="R203" s="613"/>
      <c r="S203" s="566" t="s">
        <v>4158</v>
      </c>
      <c r="T203" s="613"/>
      <c r="U203" s="559" t="str">
        <f>IFERROR(VLOOKUP(M203,'02. MM-KLH'!$B$6:$T$823,5,0),"")</f>
        <v>MỚI</v>
      </c>
      <c r="V203" s="523" t="str">
        <f>IFERROR(VLOOKUP(M203,'02. MM-KLH'!$B$6:$T$823,8,0),"")</f>
        <v>XN Bò AD</v>
      </c>
      <c r="W203" s="559" t="str">
        <f>IFERROR(VLOOKUP(V203,'NS QUẢN LÝ CG'!$A$4:$D$36,2,0),"")</f>
        <v>Trần Văn Nam</v>
      </c>
      <c r="X203" s="559" t="str">
        <f>IFERROR(VLOOKUP(V203,'NS QUẢN LÝ CG'!$A$4:$D$36,4,0),"")</f>
        <v>Lô 28 XN Bò</v>
      </c>
      <c r="Y203" s="559" t="str">
        <f>IFERROR(VLOOKUP(V203,'NS QUẢN LÝ CG'!$A$4:$C$36,3,0),"")</f>
        <v>0971993540</v>
      </c>
      <c r="Z203" s="523" t="str">
        <f>IFERROR(VLOOKUP(M203,'02. MM-KLH'!$B$6:$T$823,3,0),"")</f>
        <v>A23-MKE-009</v>
      </c>
      <c r="AA203" s="559" t="str">
        <f t="shared" si="14"/>
        <v>DP</v>
      </c>
      <c r="AB203" s="523"/>
      <c r="AC203" s="523"/>
    </row>
    <row r="204">
      <c r="A204" s="523"/>
      <c r="B204" s="612" t="str">
        <f>IFERROR(VLOOKUP(M204,'02. MM-KLH'!$B$6:$T$823,6,0),"")</f>
        <v>Máy cày JD 6400</v>
      </c>
      <c r="C204" s="566">
        <v>1.0</v>
      </c>
      <c r="D204" s="613">
        <f>IFERROR(VLOOKUP(M204,'02. MM-KLH'!$B$6:$T$823,16,0),"")</f>
        <v>6400</v>
      </c>
      <c r="E204" s="561" t="s">
        <v>4158</v>
      </c>
      <c r="F204" s="613"/>
      <c r="G204" s="613"/>
      <c r="H204" s="613" t="str">
        <f>IFERROR(VLOOKUP(M204,'02. MM-KLH'!$B$6:$T$823,17,0),"")</f>
        <v>100HP</v>
      </c>
      <c r="I204" s="614">
        <f>IFERROR(VLOOKUP(M204,'02. MM-KLH'!$B$6:$U$823,20,0),"")</f>
        <v>6</v>
      </c>
      <c r="J204" s="612" t="str">
        <f>IFERROR(VLOOKUP(M204,'02. MM-KLH'!$B$6:$T$823,19,0),"")</f>
        <v>T149522</v>
      </c>
      <c r="K204" s="612" t="str">
        <f>IFERROR(VLOOKUP(M204,'02. MM-KLH'!$B$6:$T$823,18,0),"")</f>
        <v>V120937</v>
      </c>
      <c r="L204" s="613" t="str">
        <f>IFERROR(VLOOKUP(M204,'02. MM-KLH'!$B$6:$T$823,4,0),"")</f>
        <v/>
      </c>
      <c r="M204" s="488" t="s">
        <v>708</v>
      </c>
      <c r="N204" s="615">
        <f>IFERROR(VLOOKUP(M204,'02. MM-KLH'!$B$6:$T$823,15,0),"")</f>
        <v>1998</v>
      </c>
      <c r="O204" s="616" t="str">
        <f>IFERROR(VLOOKUP(M204,'02. MM-KLH'!$B$6:$T$823,9,0),"")</f>
        <v>18/01/2025</v>
      </c>
      <c r="P204" s="613"/>
      <c r="Q204" s="566" t="s">
        <v>1565</v>
      </c>
      <c r="R204" s="613"/>
      <c r="S204" s="566" t="s">
        <v>4158</v>
      </c>
      <c r="T204" s="613"/>
      <c r="U204" s="559" t="str">
        <f>IFERROR(VLOOKUP(M204,'02. MM-KLH'!$B$6:$T$823,5,0),"")</f>
        <v>MỚI (ĐQSD)</v>
      </c>
      <c r="V204" s="523" t="str">
        <f>IFERROR(VLOOKUP(M204,'02. MM-KLH'!$B$6:$T$823,8,0),"")</f>
        <v>CGLĐ DP</v>
      </c>
      <c r="W204" s="559" t="str">
        <f>IFERROR(VLOOKUP(V204,'NS QUẢN LÝ CG'!$A$4:$D$36,2,0),"")</f>
        <v>Nguyễn Tấn Triều</v>
      </c>
      <c r="X204" s="559" t="str">
        <f>IFERROR(VLOOKUP(V204,'NS QUẢN LÝ CG'!$A$4:$D$36,4,0),"")</f>
        <v>Lô 85 DP4</v>
      </c>
      <c r="Y204" s="559" t="str">
        <f>IFERROR(VLOOKUP(V204,'NS QUẢN LÝ CG'!$A$4:$C$36,3,0),"")</f>
        <v>05974160290</v>
      </c>
      <c r="Z204" s="523" t="str">
        <f>IFERROR(VLOOKUP(M204,'02. MM-KLH'!$B$6:$T$823,3,0),"")</f>
        <v>A23-MKE-034</v>
      </c>
      <c r="AA204" s="559" t="str">
        <f t="shared" si="14"/>
        <v>DP</v>
      </c>
      <c r="AB204" s="523"/>
      <c r="AC204" s="523"/>
    </row>
    <row r="205">
      <c r="A205" s="523"/>
      <c r="B205" s="612" t="str">
        <f>IFERROR(VLOOKUP(M205,'02. MM-KLH'!$B$6:$T$823,6,0),"")</f>
        <v>Máy cày JD 6400</v>
      </c>
      <c r="C205" s="566">
        <v>1.0</v>
      </c>
      <c r="D205" s="613">
        <f>IFERROR(VLOOKUP(M205,'02. MM-KLH'!$B$6:$T$823,16,0),"")</f>
        <v>6400</v>
      </c>
      <c r="E205" s="561" t="s">
        <v>4158</v>
      </c>
      <c r="F205" s="613"/>
      <c r="G205" s="613"/>
      <c r="H205" s="613" t="str">
        <f>IFERROR(VLOOKUP(M205,'02. MM-KLH'!$B$6:$T$823,17,0),"")</f>
        <v>100HP</v>
      </c>
      <c r="I205" s="614">
        <f>IFERROR(VLOOKUP(M205,'02. MM-KLH'!$B$6:$U$823,20,0),"")</f>
        <v>6.5</v>
      </c>
      <c r="J205" s="612" t="str">
        <f>IFERROR(VLOOKUP(M205,'02. MM-KLH'!$B$6:$T$823,19,0),"")</f>
        <v>T318857</v>
      </c>
      <c r="K205" s="612" t="str">
        <f>IFERROR(VLOOKUP(M205,'02. MM-KLH'!$B$6:$T$823,18,0),"")</f>
        <v>V190731</v>
      </c>
      <c r="L205" s="613" t="str">
        <f>IFERROR(VLOOKUP(M205,'02. MM-KLH'!$B$6:$T$823,4,0),"")</f>
        <v/>
      </c>
      <c r="M205" s="488" t="s">
        <v>714</v>
      </c>
      <c r="N205" s="615">
        <f>IFERROR(VLOOKUP(M205,'02. MM-KLH'!$B$6:$T$823,15,0),"")</f>
        <v>1998</v>
      </c>
      <c r="O205" s="616" t="str">
        <f>IFERROR(VLOOKUP(M205,'02. MM-KLH'!$B$6:$T$823,9,0),"")</f>
        <v>18/01/2025</v>
      </c>
      <c r="Q205" s="566">
        <v>7929.0</v>
      </c>
      <c r="R205" s="566" t="s">
        <v>4158</v>
      </c>
      <c r="S205" s="613"/>
      <c r="T205" s="613"/>
      <c r="U205" s="559" t="str">
        <f>IFERROR(VLOOKUP(M205,'02. MM-KLH'!$B$6:$T$823,5,0),"")</f>
        <v>MỚI (ĐQSD)</v>
      </c>
      <c r="V205" s="523" t="str">
        <f>IFERROR(VLOOKUP(M205,'02. MM-KLH'!$B$6:$T$823,8,0),"")</f>
        <v>CGLĐ DP</v>
      </c>
      <c r="W205" s="559" t="str">
        <f>IFERROR(VLOOKUP(V205,'NS QUẢN LÝ CG'!$A$4:$D$36,2,0),"")</f>
        <v>Nguyễn Tấn Triều</v>
      </c>
      <c r="X205" s="559" t="str">
        <f>IFERROR(VLOOKUP(V205,'NS QUẢN LÝ CG'!$A$4:$D$36,4,0),"")</f>
        <v>Lô 85 DP4</v>
      </c>
      <c r="Y205" s="559" t="str">
        <f>IFERROR(VLOOKUP(V205,'NS QUẢN LÝ CG'!$A$4:$C$36,3,0),"")</f>
        <v>05974160290</v>
      </c>
      <c r="Z205" s="523" t="str">
        <f>IFERROR(VLOOKUP(M205,'02. MM-KLH'!$B$6:$T$823,3,0),"")</f>
        <v>A23-MKE-035</v>
      </c>
      <c r="AA205" s="559" t="str">
        <f t="shared" si="14"/>
        <v>DP</v>
      </c>
      <c r="AB205" s="523"/>
      <c r="AC205" s="523"/>
    </row>
    <row r="206">
      <c r="A206" s="523"/>
      <c r="B206" s="612" t="str">
        <f>IFERROR(VLOOKUP(M206,'02. MM-KLH'!$B$6:$T$823,6,0),"")</f>
        <v>Máy cày JD 6400</v>
      </c>
      <c r="C206" s="566">
        <v>1.0</v>
      </c>
      <c r="D206" s="613">
        <f>IFERROR(VLOOKUP(M206,'02. MM-KLH'!$B$6:$T$823,16,0),"")</f>
        <v>6400</v>
      </c>
      <c r="E206" s="561" t="s">
        <v>4158</v>
      </c>
      <c r="F206" s="613"/>
      <c r="G206" s="613"/>
      <c r="H206" s="613" t="str">
        <f>IFERROR(VLOOKUP(M206,'02. MM-KLH'!$B$6:$T$823,17,0),"")</f>
        <v>100HP</v>
      </c>
      <c r="I206" s="614">
        <f>IFERROR(VLOOKUP(M206,'02. MM-KLH'!$B$6:$U$823,20,0),"")</f>
        <v>6</v>
      </c>
      <c r="J206" s="612" t="str">
        <f>IFERROR(VLOOKUP(M206,'02. MM-KLH'!$B$6:$T$823,19,0),"")</f>
        <v>CD4045T744536</v>
      </c>
      <c r="K206" s="612" t="str">
        <f>IFERROR(VLOOKUP(M206,'02. MM-KLH'!$B$6:$T$823,18,0),"")</f>
        <v>L06400V127612</v>
      </c>
      <c r="L206" s="613" t="str">
        <f>IFERROR(VLOOKUP(M206,'02. MM-KLH'!$B$6:$T$823,4,0),"")</f>
        <v/>
      </c>
      <c r="M206" s="488" t="s">
        <v>793</v>
      </c>
      <c r="N206" s="615">
        <f>IFERROR(VLOOKUP(M206,'02. MM-KLH'!$B$6:$T$823,15,0),"")</f>
        <v>1998</v>
      </c>
      <c r="O206" s="616">
        <f>IFERROR(VLOOKUP(M206,'02. MM-KLH'!$B$6:$T$823,9,0),"")</f>
        <v>45360</v>
      </c>
      <c r="P206" s="613"/>
      <c r="Q206" s="566" t="s">
        <v>1565</v>
      </c>
      <c r="R206" s="613"/>
      <c r="S206" s="566" t="s">
        <v>4158</v>
      </c>
      <c r="T206" s="613"/>
      <c r="U206" s="559" t="str">
        <f>IFERROR(VLOOKUP(M206,'02. MM-KLH'!$B$6:$T$823,5,0),"")</f>
        <v>MỚI (ĐQSD)</v>
      </c>
      <c r="V206" s="523" t="str">
        <f>IFERROR(VLOOKUP(M206,'02. MM-KLH'!$B$6:$T$823,8,0),"")</f>
        <v>CGLĐ LP</v>
      </c>
      <c r="W206" s="559" t="str">
        <f>IFERROR(VLOOKUP(V206,'NS QUẢN LÝ CG'!$A$4:$D$36,2,0),"")</f>
        <v>Nguyễn Tấn Triều</v>
      </c>
      <c r="X206" s="559" t="str">
        <f>IFERROR(VLOOKUP(V206,'NS QUẢN LÝ CG'!$A$4:$D$36,4,0),"")</f>
        <v>LP3.5-LP3</v>
      </c>
      <c r="Y206" s="559" t="str">
        <f>IFERROR(VLOOKUP(V206,'NS QUẢN LÝ CG'!$A$4:$C$36,3,0),"")</f>
        <v>05974160290</v>
      </c>
      <c r="Z206" s="523" t="str">
        <f>IFERROR(VLOOKUP(M206,'02. MM-KLH'!$B$6:$T$823,3,0),"")</f>
        <v>A24-MKE-021</v>
      </c>
      <c r="AA206" s="559" t="str">
        <f t="shared" si="14"/>
        <v>LP</v>
      </c>
      <c r="AB206" s="523"/>
      <c r="AC206" s="523"/>
    </row>
    <row r="207">
      <c r="A207" s="523"/>
      <c r="B207" s="612" t="str">
        <f>IFERROR(VLOOKUP(M207,'02. MM-KLH'!$B$6:$T$823,6,0),"")</f>
        <v>Máy cày JD 6300</v>
      </c>
      <c r="C207" s="566">
        <v>1.0</v>
      </c>
      <c r="D207" s="613">
        <f>IFERROR(VLOOKUP(M207,'02. MM-KLH'!$B$6:$T$823,16,0),"")</f>
        <v>6300</v>
      </c>
      <c r="E207" s="561" t="s">
        <v>4158</v>
      </c>
      <c r="F207" s="613"/>
      <c r="G207" s="613"/>
      <c r="H207" s="613" t="str">
        <f>IFERROR(VLOOKUP(M207,'02. MM-KLH'!$B$6:$T$823,17,0),"")</f>
        <v>110HP</v>
      </c>
      <c r="I207" s="614" t="str">
        <f>IFERROR(VLOOKUP(M207,'02. MM-KLH'!$B$6:$U$823,20,0),"")</f>
        <v/>
      </c>
      <c r="J207" s="612" t="str">
        <f>IFERROR(VLOOKUP(M207,'02. MM-KLH'!$B$6:$T$823,19,0),"")</f>
        <v>CD4045D133056</v>
      </c>
      <c r="K207" s="612" t="str">
        <f>IFERROR(VLOOKUP(M207,'02. MM-KLH'!$B$6:$T$823,18,0),"")</f>
        <v>L06100X111345</v>
      </c>
      <c r="L207" s="613" t="str">
        <f>IFERROR(VLOOKUP(M207,'02. MM-KLH'!$B$6:$T$823,4,0),"")</f>
        <v/>
      </c>
      <c r="M207" s="488" t="s">
        <v>821</v>
      </c>
      <c r="N207" s="615">
        <f>IFERROR(VLOOKUP(M207,'02. MM-KLH'!$B$6:$T$823,15,0),"")</f>
        <v>1994</v>
      </c>
      <c r="O207" s="616" t="str">
        <f>IFERROR(VLOOKUP(M207,'02. MM-KLH'!$B$6:$T$823,9,0),"")</f>
        <v>29/04/2025</v>
      </c>
      <c r="P207" s="613"/>
      <c r="Q207" s="566" t="s">
        <v>1565</v>
      </c>
      <c r="R207" s="613"/>
      <c r="S207" s="613"/>
      <c r="T207" s="613"/>
      <c r="U207" s="559" t="str">
        <f>IFERROR(VLOOKUP(M207,'02. MM-KLH'!$B$6:$T$823,5,0),"")</f>
        <v>MỚI (ĐQSD)</v>
      </c>
      <c r="V207" s="523" t="str">
        <f>IFERROR(VLOOKUP(M207,'02. MM-KLH'!$B$6:$T$823,8,0),"")</f>
        <v>CGLĐ LP</v>
      </c>
      <c r="W207" s="559" t="str">
        <f>IFERROR(VLOOKUP(V207,'NS QUẢN LÝ CG'!$A$4:$D$36,2,0),"")</f>
        <v>Nguyễn Tấn Triều</v>
      </c>
      <c r="X207" s="559" t="str">
        <f>IFERROR(VLOOKUP(V207,'NS QUẢN LÝ CG'!$A$4:$D$36,4,0),"")</f>
        <v>LP3.5-LP3</v>
      </c>
      <c r="Y207" s="559" t="str">
        <f>IFERROR(VLOOKUP(V207,'NS QUẢN LÝ CG'!$A$4:$C$36,3,0),"")</f>
        <v>05974160290</v>
      </c>
      <c r="Z207" s="523" t="str">
        <f>IFERROR(VLOOKUP(M207,'02. MM-KLH'!$B$6:$T$823,3,0),"")</f>
        <v>A24-MKE-037</v>
      </c>
      <c r="AA207" s="559" t="str">
        <f t="shared" si="14"/>
        <v>LP</v>
      </c>
      <c r="AB207" s="523"/>
      <c r="AC207" s="523"/>
    </row>
    <row r="208">
      <c r="A208" s="523"/>
      <c r="B208" s="612" t="str">
        <f>IFERROR(VLOOKUP(M208,'02. MM-KLH'!$B$6:$T$823,6,0),"")</f>
        <v>Máy cày JD 6200</v>
      </c>
      <c r="C208" s="566">
        <v>1.0</v>
      </c>
      <c r="D208" s="613">
        <f>IFERROR(VLOOKUP(M208,'02. MM-KLH'!$B$6:$T$823,16,0),"")</f>
        <v>6200</v>
      </c>
      <c r="E208" s="561" t="s">
        <v>4158</v>
      </c>
      <c r="F208" s="613"/>
      <c r="G208" s="613"/>
      <c r="H208" s="613" t="str">
        <f>IFERROR(VLOOKUP(M208,'02. MM-KLH'!$B$6:$T$823,17,0),"")</f>
        <v>90HP</v>
      </c>
      <c r="I208" s="614" t="str">
        <f>IFERROR(VLOOKUP(M208,'02. MM-KLH'!$B$6:$U$823,20,0),"")</f>
        <v/>
      </c>
      <c r="J208" s="612" t="str">
        <f>IFERROR(VLOOKUP(M208,'02. MM-KLH'!$B$6:$T$823,19,0),"")</f>
        <v>CD4039T351816</v>
      </c>
      <c r="K208" s="612" t="str">
        <f>IFERROR(VLOOKUP(M208,'02. MM-KLH'!$B$6:$T$823,18,0),"")</f>
        <v>L06200V203044</v>
      </c>
      <c r="L208" s="613" t="str">
        <f>IFERROR(VLOOKUP(M208,'02. MM-KLH'!$B$6:$T$823,4,0),"")</f>
        <v/>
      </c>
      <c r="M208" s="488" t="s">
        <v>1618</v>
      </c>
      <c r="N208" s="615">
        <f>IFERROR(VLOOKUP(M208,'02. MM-KLH'!$B$6:$T$823,15,0),"")</f>
        <v>1997</v>
      </c>
      <c r="O208" s="616" t="str">
        <f>IFERROR(VLOOKUP(M208,'02. MM-KLH'!$B$6:$T$823,9,0),"")</f>
        <v>25/12/2025</v>
      </c>
      <c r="P208" s="613"/>
      <c r="Q208" s="566" t="s">
        <v>1565</v>
      </c>
      <c r="R208" s="613"/>
      <c r="S208" s="613"/>
      <c r="T208" s="613"/>
      <c r="U208" s="559" t="str">
        <f>IFERROR(VLOOKUP(M208,'02. MM-KLH'!$B$6:$T$823,5,0),"")</f>
        <v>MỚI (ĐQSD)</v>
      </c>
      <c r="V208" s="523" t="str">
        <f>IFERROR(VLOOKUP(M208,'02. MM-KLH'!$B$6:$T$823,8,0),"")</f>
        <v>XN Bò AD</v>
      </c>
      <c r="W208" s="559" t="str">
        <f>IFERROR(VLOOKUP(V208,'NS QUẢN LÝ CG'!$A$4:$D$36,2,0),"")</f>
        <v>Trần Văn Nam</v>
      </c>
      <c r="X208" s="559" t="str">
        <f>IFERROR(VLOOKUP(V208,'NS QUẢN LÝ CG'!$A$4:$D$36,4,0),"")</f>
        <v>Lô 28 XN Bò</v>
      </c>
      <c r="Y208" s="559" t="str">
        <f>IFERROR(VLOOKUP(V208,'NS QUẢN LÝ CG'!$A$4:$C$36,3,0),"")</f>
        <v>0971993540</v>
      </c>
      <c r="Z208" s="523" t="str">
        <f>IFERROR(VLOOKUP(M208,'02. MM-KLH'!$B$6:$T$823,3,0),"")</f>
        <v>A22-MKE-062</v>
      </c>
      <c r="AA208" s="559" t="str">
        <f t="shared" si="14"/>
        <v>ADM</v>
      </c>
      <c r="AB208" s="523"/>
      <c r="AC208" s="523"/>
    </row>
    <row r="209">
      <c r="A209" s="523"/>
      <c r="B209" s="612" t="str">
        <f>IFERROR(VLOOKUP(M209,'02. MM-KLH'!$B$6:$T$823,6,0),"")</f>
        <v>Máy cày JD 6200</v>
      </c>
      <c r="C209" s="566">
        <v>1.0</v>
      </c>
      <c r="D209" s="613">
        <f>IFERROR(VLOOKUP(M209,'02. MM-KLH'!$B$6:$T$823,16,0),"")</f>
        <v>6200</v>
      </c>
      <c r="E209" s="561" t="s">
        <v>4158</v>
      </c>
      <c r="F209" s="613"/>
      <c r="G209" s="613"/>
      <c r="H209" s="613" t="str">
        <f>IFERROR(VLOOKUP(M209,'02. MM-KLH'!$B$6:$T$823,17,0),"")</f>
        <v>90HP</v>
      </c>
      <c r="I209" s="614">
        <f>IFERROR(VLOOKUP(M209,'02. MM-KLH'!$B$6:$U$823,20,0),"")</f>
        <v>6.5</v>
      </c>
      <c r="J209" s="612" t="str">
        <f>IFERROR(VLOOKUP(M209,'02. MM-KLH'!$B$6:$T$823,19,0),"")</f>
        <v>CD4039T142137</v>
      </c>
      <c r="K209" s="612" t="str">
        <f>IFERROR(VLOOKUP(M209,'02. MM-KLH'!$B$6:$T$823,18,0),"")</f>
        <v>L06200X115877</v>
      </c>
      <c r="L209" s="613" t="str">
        <f>IFERROR(VLOOKUP(M209,'02. MM-KLH'!$B$6:$T$823,4,0),"")</f>
        <v/>
      </c>
      <c r="M209" s="488" t="s">
        <v>1715</v>
      </c>
      <c r="N209" s="615">
        <f>IFERROR(VLOOKUP(M209,'02. MM-KLH'!$B$6:$T$823,15,0),"")</f>
        <v>1998</v>
      </c>
      <c r="O209" s="616">
        <f>IFERROR(VLOOKUP(M209,'02. MM-KLH'!$B$6:$T$823,9,0),"")</f>
        <v>45360</v>
      </c>
      <c r="P209" s="613"/>
      <c r="Q209" s="566" t="s">
        <v>1565</v>
      </c>
      <c r="R209" s="613"/>
      <c r="S209" s="566" t="s">
        <v>4158</v>
      </c>
      <c r="T209" s="613"/>
      <c r="U209" s="559" t="str">
        <f>IFERROR(VLOOKUP(M209,'02. MM-KLH'!$B$6:$T$823,5,0),"")</f>
        <v>MỚI (ĐQSD)</v>
      </c>
      <c r="V209" s="523" t="str">
        <f>IFERROR(VLOOKUP(M209,'02. MM-KLH'!$B$6:$T$823,8,0),"")</f>
        <v>XN Bò AD</v>
      </c>
      <c r="W209" s="559" t="str">
        <f>IFERROR(VLOOKUP(V209,'NS QUẢN LÝ CG'!$A$4:$D$36,2,0),"")</f>
        <v>Trần Văn Nam</v>
      </c>
      <c r="X209" s="559" t="str">
        <f>IFERROR(VLOOKUP(V209,'NS QUẢN LÝ CG'!$A$4:$D$36,4,0),"")</f>
        <v>Lô 28 XN Bò</v>
      </c>
      <c r="Y209" s="559" t="str">
        <f>IFERROR(VLOOKUP(V209,'NS QUẢN LÝ CG'!$A$4:$C$36,3,0),"")</f>
        <v>0971993540</v>
      </c>
      <c r="Z209" s="523" t="str">
        <f>IFERROR(VLOOKUP(M209,'02. MM-KLH'!$B$6:$T$823,3,0),"")</f>
        <v>A22-MKE-055</v>
      </c>
      <c r="AA209" s="559" t="str">
        <f t="shared" si="14"/>
        <v>ADM</v>
      </c>
      <c r="AB209" s="523"/>
      <c r="AC209" s="523"/>
    </row>
    <row r="210">
      <c r="A210" s="523"/>
      <c r="B210" s="612" t="str">
        <f>IFERROR(VLOOKUP(M210,'02. MM-KLH'!$B$6:$T$823,6,0),"")</f>
        <v>Máy cày JD 6200</v>
      </c>
      <c r="C210" s="566">
        <v>1.0</v>
      </c>
      <c r="D210" s="613">
        <f>IFERROR(VLOOKUP(M210,'02. MM-KLH'!$B$6:$T$823,16,0),"")</f>
        <v>6200</v>
      </c>
      <c r="E210" s="561" t="s">
        <v>4158</v>
      </c>
      <c r="F210" s="613"/>
      <c r="G210" s="613"/>
      <c r="H210" s="613" t="str">
        <f>IFERROR(VLOOKUP(M210,'02. MM-KLH'!$B$6:$T$823,17,0),"")</f>
        <v>90HP</v>
      </c>
      <c r="I210" s="614" t="str">
        <f>IFERROR(VLOOKUP(M210,'02. MM-KLH'!$B$6:$U$823,20,0),"")</f>
        <v/>
      </c>
      <c r="J210" s="612" t="str">
        <f>IFERROR(VLOOKUP(M210,'02. MM-KLH'!$B$6:$T$823,19,0),"")</f>
        <v>CD4039T232227</v>
      </c>
      <c r="K210" s="612" t="str">
        <f>IFERROR(VLOOKUP(M210,'02. MM-KLH'!$B$6:$T$823,18,0),"")</f>
        <v>L06200X154907</v>
      </c>
      <c r="L210" s="613" t="str">
        <f>IFERROR(VLOOKUP(M210,'02. MM-KLH'!$B$6:$T$823,4,0),"")</f>
        <v/>
      </c>
      <c r="M210" s="488" t="s">
        <v>1763</v>
      </c>
      <c r="N210" s="615">
        <f>IFERROR(VLOOKUP(M210,'02. MM-KLH'!$B$6:$T$823,15,0),"")</f>
        <v>1998</v>
      </c>
      <c r="O210" s="616" t="str">
        <f>IFERROR(VLOOKUP(M210,'02. MM-KLH'!$B$6:$T$823,9,0),"")</f>
        <v>26/09/2025</v>
      </c>
      <c r="P210" s="613"/>
      <c r="Q210" s="566">
        <v>8951.0</v>
      </c>
      <c r="R210" s="566" t="s">
        <v>4158</v>
      </c>
      <c r="S210" s="613"/>
      <c r="T210" s="613"/>
      <c r="U210" s="559" t="str">
        <f>IFERROR(VLOOKUP(M210,'02. MM-KLH'!$B$6:$T$823,5,0),"")</f>
        <v>MỚI (ĐQSD)</v>
      </c>
      <c r="V210" s="523" t="str">
        <f>IFERROR(VLOOKUP(M210,'02. MM-KLH'!$B$6:$T$823,8,0),"")</f>
        <v>XN Bò AD</v>
      </c>
      <c r="W210" s="559" t="str">
        <f>IFERROR(VLOOKUP(V210,'NS QUẢN LÝ CG'!$A$4:$D$36,2,0),"")</f>
        <v>Trần Văn Nam</v>
      </c>
      <c r="X210" s="559" t="str">
        <f>IFERROR(VLOOKUP(V210,'NS QUẢN LÝ CG'!$A$4:$D$36,4,0),"")</f>
        <v>Lô 28 XN Bò</v>
      </c>
      <c r="Y210" s="559" t="str">
        <f>IFERROR(VLOOKUP(V210,'NS QUẢN LÝ CG'!$A$4:$C$36,3,0),"")</f>
        <v>0971993540</v>
      </c>
      <c r="Z210" s="523" t="str">
        <f>IFERROR(VLOOKUP(M210,'02. MM-KLH'!$B$6:$T$823,3,0),"")</f>
        <v>A22-MKE-049</v>
      </c>
      <c r="AA210" s="559" t="str">
        <f t="shared" si="14"/>
        <v>ADM</v>
      </c>
      <c r="AB210" s="523"/>
      <c r="AC210" s="523"/>
    </row>
    <row r="211">
      <c r="A211" s="523"/>
      <c r="B211" s="612" t="str">
        <f>IFERROR(VLOOKUP(M211,'02. MM-KLH'!$B$6:$T$823,6,0),"")</f>
        <v>Máy cày JD 6600</v>
      </c>
      <c r="C211" s="566">
        <v>1.0</v>
      </c>
      <c r="D211" s="613">
        <f>IFERROR(VLOOKUP(M211,'02. MM-KLH'!$B$6:$T$823,16,0),"")</f>
        <v>6600</v>
      </c>
      <c r="E211" s="561" t="s">
        <v>4158</v>
      </c>
      <c r="F211" s="613"/>
      <c r="G211" s="613"/>
      <c r="H211" s="613" t="str">
        <f>IFERROR(VLOOKUP(M211,'02. MM-KLH'!$B$6:$T$823,17,0),"")</f>
        <v>110HP</v>
      </c>
      <c r="I211" s="614" t="str">
        <f>IFERROR(VLOOKUP(M211,'02. MM-KLH'!$B$6:$U$823,20,0),"")</f>
        <v/>
      </c>
      <c r="J211" s="612" t="str">
        <f>IFERROR(VLOOKUP(M211,'02. MM-KLH'!$B$6:$T$823,19,0),"")</f>
        <v>CD6059T276336</v>
      </c>
      <c r="K211" s="612" t="str">
        <f>IFERROR(VLOOKUP(M211,'02. MM-KLH'!$B$6:$T$823,18,0),"")</f>
        <v>L06600V172903</v>
      </c>
      <c r="L211" s="613" t="str">
        <f>IFERROR(VLOOKUP(M211,'02. MM-KLH'!$B$6:$T$823,4,0),"")</f>
        <v/>
      </c>
      <c r="M211" s="488" t="s">
        <v>1799</v>
      </c>
      <c r="N211" s="615">
        <f>IFERROR(VLOOKUP(M211,'02. MM-KLH'!$B$6:$T$823,15,0),"")</f>
        <v>1995</v>
      </c>
      <c r="O211" s="616" t="str">
        <f>IFERROR(VLOOKUP(M211,'02. MM-KLH'!$B$6:$T$823,9,0),"")</f>
        <v>14/01/2026</v>
      </c>
      <c r="P211" s="613"/>
      <c r="Q211" s="566" t="s">
        <v>1565</v>
      </c>
      <c r="R211" s="613"/>
      <c r="S211" s="566" t="s">
        <v>4158</v>
      </c>
      <c r="T211" s="613"/>
      <c r="U211" s="559" t="str">
        <f>IFERROR(VLOOKUP(M211,'02. MM-KLH'!$B$6:$T$823,5,0),"")</f>
        <v>MỚI (ĐQSD)</v>
      </c>
      <c r="V211" s="523" t="str">
        <f>IFERROR(VLOOKUP(M211,'02. MM-KLH'!$B$6:$T$823,8,0),"")</f>
        <v>XN Bò AD</v>
      </c>
      <c r="W211" s="559" t="str">
        <f>IFERROR(VLOOKUP(V211,'NS QUẢN LÝ CG'!$A$4:$D$36,2,0),"")</f>
        <v>Trần Văn Nam</v>
      </c>
      <c r="X211" s="559" t="str">
        <f>IFERROR(VLOOKUP(V211,'NS QUẢN LÝ CG'!$A$4:$D$36,4,0),"")</f>
        <v>Lô 28 XN Bò</v>
      </c>
      <c r="Y211" s="559" t="str">
        <f>IFERROR(VLOOKUP(V211,'NS QUẢN LÝ CG'!$A$4:$C$36,3,0),"")</f>
        <v>0971993540</v>
      </c>
      <c r="Z211" s="523" t="str">
        <f>IFERROR(VLOOKUP(M211,'02. MM-KLH'!$B$6:$T$823,3,0),"")</f>
        <v>A22-MKE-063</v>
      </c>
      <c r="AA211" s="559" t="str">
        <f t="shared" si="14"/>
        <v>ADM</v>
      </c>
      <c r="AB211" s="523"/>
      <c r="AC211" s="523"/>
    </row>
    <row r="212">
      <c r="A212" s="523"/>
      <c r="B212" s="612" t="str">
        <f>IFERROR(VLOOKUP(M212,'02. MM-KLH'!$B$6:$T$823,6,0),"")</f>
        <v>Máy cày JD 6620</v>
      </c>
      <c r="C212" s="566">
        <v>1.0</v>
      </c>
      <c r="D212" s="613">
        <f>IFERROR(VLOOKUP(M212,'02. MM-KLH'!$B$6:$T$823,16,0),"")</f>
        <v>6620</v>
      </c>
      <c r="E212" s="561" t="s">
        <v>4158</v>
      </c>
      <c r="F212" s="613"/>
      <c r="G212" s="613"/>
      <c r="H212" s="613" t="str">
        <f>IFERROR(VLOOKUP(M212,'02. MM-KLH'!$B$6:$T$823,17,0),"")</f>
        <v>120HP</v>
      </c>
      <c r="I212" s="614" t="str">
        <f>IFERROR(VLOOKUP(M212,'02. MM-KLH'!$B$6:$U$823,20,0),"")</f>
        <v/>
      </c>
      <c r="J212" s="612" t="str">
        <f>IFERROR(VLOOKUP(M212,'02. MM-KLH'!$B$6:$T$823,19,0),"")</f>
        <v>CD6068G073699</v>
      </c>
      <c r="K212" s="612" t="str">
        <f>IFERROR(VLOOKUP(M212,'02. MM-KLH'!$B$6:$T$823,18,0),"")</f>
        <v>L06620D501194</v>
      </c>
      <c r="L212" s="613" t="str">
        <f>IFERROR(VLOOKUP(M212,'02. MM-KLH'!$B$6:$T$823,4,0),"")</f>
        <v/>
      </c>
      <c r="M212" s="488" t="s">
        <v>1773</v>
      </c>
      <c r="N212" s="615">
        <f>IFERROR(VLOOKUP(M212,'02. MM-KLH'!$B$6:$T$823,15,0),"")</f>
        <v>1999</v>
      </c>
      <c r="O212" s="616" t="str">
        <f>IFERROR(VLOOKUP(M212,'02. MM-KLH'!$B$6:$T$823,9,0),"")</f>
        <v>26/09/2025</v>
      </c>
      <c r="P212" s="613"/>
      <c r="Q212" s="566" t="s">
        <v>1565</v>
      </c>
      <c r="R212" s="613"/>
      <c r="S212" s="566" t="s">
        <v>4158</v>
      </c>
      <c r="T212" s="613"/>
      <c r="U212" s="559" t="str">
        <f>IFERROR(VLOOKUP(M212,'02. MM-KLH'!$B$6:$T$823,5,0),"")</f>
        <v>MỚI (ĐQSD)</v>
      </c>
      <c r="V212" s="523" t="str">
        <f>IFERROR(VLOOKUP(M212,'02. MM-KLH'!$B$6:$T$823,8,0),"")</f>
        <v>XN Bò AD</v>
      </c>
      <c r="W212" s="559" t="str">
        <f>IFERROR(VLOOKUP(V212,'NS QUẢN LÝ CG'!$A$4:$D$36,2,0),"")</f>
        <v>Trần Văn Nam</v>
      </c>
      <c r="X212" s="559" t="str">
        <f>IFERROR(VLOOKUP(V212,'NS QUẢN LÝ CG'!$A$4:$D$36,4,0),"")</f>
        <v>Lô 28 XN Bò</v>
      </c>
      <c r="Y212" s="559" t="str">
        <f>IFERROR(VLOOKUP(V212,'NS QUẢN LÝ CG'!$A$4:$C$36,3,0),"")</f>
        <v>0971993540</v>
      </c>
      <c r="Z212" s="523" t="str">
        <f>IFERROR(VLOOKUP(M212,'02. MM-KLH'!$B$6:$T$823,3,0),"")</f>
        <v>A22-MKE-057</v>
      </c>
      <c r="AA212" s="559" t="str">
        <f t="shared" si="14"/>
        <v>ADM</v>
      </c>
      <c r="AB212" s="523"/>
      <c r="AC212" s="523"/>
    </row>
    <row r="213">
      <c r="A213" s="523"/>
      <c r="B213" s="612" t="str">
        <f>IFERROR(VLOOKUP(M213,'02. MM-KLH'!$B$6:$T$823,6,0),"")</f>
        <v>Máy cày JD 6210</v>
      </c>
      <c r="C213" s="566">
        <v>1.0</v>
      </c>
      <c r="D213" s="613">
        <f>IFERROR(VLOOKUP(M213,'02. MM-KLH'!$B$6:$T$823,16,0),"")</f>
        <v>6210</v>
      </c>
      <c r="E213" s="561" t="s">
        <v>4158</v>
      </c>
      <c r="F213" s="613"/>
      <c r="G213" s="613"/>
      <c r="H213" s="613" t="str">
        <f>IFERROR(VLOOKUP(M213,'02. MM-KLH'!$B$6:$T$823,17,0),"")</f>
        <v>95HP</v>
      </c>
      <c r="I213" s="614" t="str">
        <f>IFERROR(VLOOKUP(M213,'02. MM-KLH'!$B$6:$U$823,20,0),"")</f>
        <v/>
      </c>
      <c r="J213" s="612" t="str">
        <f>IFERROR(VLOOKUP(M213,'02. MM-KLH'!$B$6:$T$823,19,0),"")</f>
        <v>CD4045T534901</v>
      </c>
      <c r="K213" s="612" t="str">
        <f>IFERROR(VLOOKUP(M213,'02. MM-KLH'!$B$6:$T$823,18,0),"")</f>
        <v>322019L</v>
      </c>
      <c r="L213" s="613" t="str">
        <f>IFERROR(VLOOKUP(M213,'02. MM-KLH'!$B$6:$T$823,4,0),"")</f>
        <v/>
      </c>
      <c r="M213" s="488" t="s">
        <v>1768</v>
      </c>
      <c r="N213" s="615">
        <f>IFERROR(VLOOKUP(M213,'02. MM-KLH'!$B$6:$T$823,15,0),"")</f>
        <v>1999</v>
      </c>
      <c r="O213" s="616" t="str">
        <f>IFERROR(VLOOKUP(M213,'02. MM-KLH'!$B$6:$T$823,9,0),"")</f>
        <v>26/09/2025</v>
      </c>
      <c r="P213" s="613"/>
      <c r="Q213" s="566" t="s">
        <v>1565</v>
      </c>
      <c r="R213" s="613"/>
      <c r="S213" s="566" t="s">
        <v>4158</v>
      </c>
      <c r="T213" s="613"/>
      <c r="U213" s="559" t="str">
        <f>IFERROR(VLOOKUP(M213,'02. MM-KLH'!$B$6:$T$823,5,0),"")</f>
        <v>MỚI (ĐQSD)</v>
      </c>
      <c r="V213" s="523" t="str">
        <f>IFERROR(VLOOKUP(M213,'02. MM-KLH'!$B$6:$T$823,8,0),"")</f>
        <v>XN Bò AD</v>
      </c>
      <c r="W213" s="559" t="str">
        <f>IFERROR(VLOOKUP(V213,'NS QUẢN LÝ CG'!$A$4:$D$36,2,0),"")</f>
        <v>Trần Văn Nam</v>
      </c>
      <c r="X213" s="559" t="str">
        <f>IFERROR(VLOOKUP(V213,'NS QUẢN LÝ CG'!$A$4:$D$36,4,0),"")</f>
        <v>Lô 28 XN Bò</v>
      </c>
      <c r="Y213" s="559" t="str">
        <f>IFERROR(VLOOKUP(V213,'NS QUẢN LÝ CG'!$A$4:$C$36,3,0),"")</f>
        <v>0971993540</v>
      </c>
      <c r="Z213" s="523" t="str">
        <f>IFERROR(VLOOKUP(M213,'02. MM-KLH'!$B$6:$T$823,3,0),"")</f>
        <v>A22-MKE-050</v>
      </c>
      <c r="AA213" s="559" t="str">
        <f t="shared" si="14"/>
        <v>ADM</v>
      </c>
      <c r="AB213" s="523"/>
      <c r="AC213" s="523"/>
    </row>
    <row r="214">
      <c r="A214" s="523"/>
      <c r="B214" s="612" t="str">
        <f>IFERROR(VLOOKUP(M214,'02. MM-KLH'!$B$6:$T$823,6,0),"")</f>
        <v>Máy cày JD 6210</v>
      </c>
      <c r="C214" s="566">
        <v>1.0</v>
      </c>
      <c r="D214" s="613">
        <f>IFERROR(VLOOKUP(M214,'02. MM-KLH'!$B$6:$T$823,16,0),"")</f>
        <v>6210</v>
      </c>
      <c r="E214" s="561" t="s">
        <v>4158</v>
      </c>
      <c r="F214" s="613"/>
      <c r="G214" s="613"/>
      <c r="H214" s="613" t="str">
        <f>IFERROR(VLOOKUP(M214,'02. MM-KLH'!$B$6:$T$823,17,0),"")</f>
        <v>95HP</v>
      </c>
      <c r="I214" s="614" t="str">
        <f>IFERROR(VLOOKUP(M214,'02. MM-KLH'!$B$6:$U$823,20,0),"")</f>
        <v/>
      </c>
      <c r="J214" s="612" t="str">
        <f>IFERROR(VLOOKUP(M214,'02. MM-KLH'!$B$6:$T$823,19,0),"")</f>
        <v>CD4045T640751</v>
      </c>
      <c r="K214" s="612" t="str">
        <f>IFERROR(VLOOKUP(M214,'02. MM-KLH'!$B$6:$T$823,18,0),"")</f>
        <v>309429L</v>
      </c>
      <c r="L214" s="613" t="str">
        <f>IFERROR(VLOOKUP(M214,'02. MM-KLH'!$B$6:$T$823,4,0),"")</f>
        <v/>
      </c>
      <c r="M214" s="488" t="s">
        <v>1806</v>
      </c>
      <c r="N214" s="615">
        <f>IFERROR(VLOOKUP(M214,'02. MM-KLH'!$B$6:$T$823,15,0),"")</f>
        <v>1999</v>
      </c>
      <c r="O214" s="616" t="str">
        <f>IFERROR(VLOOKUP(M214,'02. MM-KLH'!$B$6:$T$823,9,0),"")</f>
        <v>16/03/2026</v>
      </c>
      <c r="P214" s="613"/>
      <c r="Q214" s="566" t="s">
        <v>1565</v>
      </c>
      <c r="R214" s="566" t="s">
        <v>4158</v>
      </c>
      <c r="S214" s="613"/>
      <c r="T214" s="613"/>
      <c r="U214" s="559" t="str">
        <f>IFERROR(VLOOKUP(M214,'02. MM-KLH'!$B$6:$T$823,5,0),"")</f>
        <v>MỚI (ĐQSD)</v>
      </c>
      <c r="V214" s="523" t="str">
        <f>IFERROR(VLOOKUP(M214,'02. MM-KLH'!$B$6:$T$823,8,0),"")</f>
        <v>XN Bò AD</v>
      </c>
      <c r="W214" s="559" t="str">
        <f>IFERROR(VLOOKUP(V214,'NS QUẢN LÝ CG'!$A$4:$D$36,2,0),"")</f>
        <v>Trần Văn Nam</v>
      </c>
      <c r="X214" s="559" t="str">
        <f>IFERROR(VLOOKUP(V214,'NS QUẢN LÝ CG'!$A$4:$D$36,4,0),"")</f>
        <v>Lô 28 XN Bò</v>
      </c>
      <c r="Y214" s="559" t="str">
        <f>IFERROR(VLOOKUP(V214,'NS QUẢN LÝ CG'!$A$4:$C$36,3,0),"")</f>
        <v>0971993540</v>
      </c>
      <c r="Z214" s="523" t="str">
        <f>IFERROR(VLOOKUP(M214,'02. MM-KLH'!$B$6:$T$823,3,0),"")</f>
        <v>A22-MKE-040</v>
      </c>
      <c r="AA214" s="559" t="str">
        <f t="shared" si="14"/>
        <v>ADM</v>
      </c>
      <c r="AB214" s="523"/>
      <c r="AC214" s="523"/>
    </row>
    <row r="215">
      <c r="A215" s="523"/>
      <c r="B215" s="612" t="str">
        <f>IFERROR(VLOOKUP(M215,'02. MM-KLH'!$B$6:$T$823,6,0),"")</f>
        <v>Máy cày JD 2850</v>
      </c>
      <c r="C215" s="566">
        <v>1.0</v>
      </c>
      <c r="D215" s="613">
        <f>IFERROR(VLOOKUP(M215,'02. MM-KLH'!$B$6:$T$823,16,0),"")</f>
        <v>2850</v>
      </c>
      <c r="E215" s="561" t="s">
        <v>4158</v>
      </c>
      <c r="F215" s="613"/>
      <c r="G215" s="613"/>
      <c r="H215" s="613" t="str">
        <f>IFERROR(VLOOKUP(M215,'02. MM-KLH'!$B$6:$T$823,17,0),"")</f>
        <v>85HP</v>
      </c>
      <c r="I215" s="614" t="str">
        <f>IFERROR(VLOOKUP(M215,'02. MM-KLH'!$B$6:$U$823,20,0),"")</f>
        <v/>
      </c>
      <c r="J215" s="612" t="str">
        <f>IFERROR(VLOOKUP(M215,'02. MM-KLH'!$B$6:$T$823,19,0),"")</f>
        <v>CD4239T907229</v>
      </c>
      <c r="K215" s="612" t="str">
        <f>IFERROR(VLOOKUP(M215,'02. MM-KLH'!$B$6:$T$823,18,0),"")</f>
        <v>717696L</v>
      </c>
      <c r="L215" s="613" t="str">
        <f>IFERROR(VLOOKUP(M215,'02. MM-KLH'!$B$6:$T$823,4,0),"")</f>
        <v/>
      </c>
      <c r="M215" s="488" t="s">
        <v>718</v>
      </c>
      <c r="N215" s="615">
        <f>IFERROR(VLOOKUP(M215,'02. MM-KLH'!$B$6:$T$823,15,0),"")</f>
        <v>1994</v>
      </c>
      <c r="O215" s="616">
        <f>IFERROR(VLOOKUP(M215,'02. MM-KLH'!$B$6:$T$823,9,0),"")</f>
        <v>45811</v>
      </c>
      <c r="P215" s="613"/>
      <c r="Q215" s="566" t="s">
        <v>1565</v>
      </c>
      <c r="R215" s="566" t="s">
        <v>4158</v>
      </c>
      <c r="S215" s="613"/>
      <c r="T215" s="613"/>
      <c r="U215" s="559" t="str">
        <f>IFERROR(VLOOKUP(M215,'02. MM-KLH'!$B$6:$T$823,5,0),"")</f>
        <v>MỚI (ĐQSD)</v>
      </c>
      <c r="V215" s="523" t="str">
        <f>IFERROR(VLOOKUP(M215,'02. MM-KLH'!$B$6:$T$823,8,0),"")</f>
        <v>CGLĐ DP</v>
      </c>
      <c r="W215" s="559" t="str">
        <f>IFERROR(VLOOKUP(V215,'NS QUẢN LÝ CG'!$A$4:$D$36,2,0),"")</f>
        <v>Nguyễn Tấn Triều</v>
      </c>
      <c r="X215" s="559" t="str">
        <f>IFERROR(VLOOKUP(V215,'NS QUẢN LÝ CG'!$A$4:$D$36,4,0),"")</f>
        <v>Lô 85 DP4</v>
      </c>
      <c r="Y215" s="559" t="str">
        <f>IFERROR(VLOOKUP(V215,'NS QUẢN LÝ CG'!$A$4:$C$36,3,0),"")</f>
        <v>05974160290</v>
      </c>
      <c r="Z215" s="523" t="str">
        <f>IFERROR(VLOOKUP(M215,'02. MM-KLH'!$B$6:$T$823,3,0),"")</f>
        <v>A23-MKE-036</v>
      </c>
      <c r="AA215" s="559" t="str">
        <f t="shared" si="14"/>
        <v>DP</v>
      </c>
      <c r="AB215" s="523"/>
      <c r="AC215" s="523"/>
    </row>
    <row r="216">
      <c r="A216" s="523"/>
      <c r="B216" s="612" t="str">
        <f>IFERROR(VLOOKUP(M216,'02. MM-KLH'!$B$6:$T$823,6,0),"")</f>
        <v>Máy cày JD 3350</v>
      </c>
      <c r="C216" s="566">
        <v>1.0</v>
      </c>
      <c r="D216" s="613">
        <f>IFERROR(VLOOKUP(M216,'02. MM-KLH'!$B$6:$T$823,16,0),"")</f>
        <v>3350</v>
      </c>
      <c r="E216" s="561" t="s">
        <v>4158</v>
      </c>
      <c r="F216" s="613"/>
      <c r="G216" s="613"/>
      <c r="H216" s="613" t="str">
        <f>IFERROR(VLOOKUP(M216,'02. MM-KLH'!$B$6:$T$823,17,0),"")</f>
        <v>100HP</v>
      </c>
      <c r="I216" s="614">
        <f>IFERROR(VLOOKUP(M216,'02. MM-KLH'!$B$6:$U$823,20,0),"")</f>
        <v>6.5</v>
      </c>
      <c r="J216" s="612" t="str">
        <f>IFERROR(VLOOKUP(M216,'02. MM-KLH'!$B$6:$T$823,19,0),"")</f>
        <v>CD6359D897588</v>
      </c>
      <c r="K216" s="612" t="str">
        <f>IFERROR(VLOOKUP(M216,'02. MM-KLH'!$B$6:$T$823,18,0),"")</f>
        <v>711050L</v>
      </c>
      <c r="L216" s="613" t="str">
        <f>IFERROR(VLOOKUP(M216,'02. MM-KLH'!$B$6:$T$823,4,0),"")</f>
        <v/>
      </c>
      <c r="M216" s="488" t="s">
        <v>724</v>
      </c>
      <c r="N216" s="615">
        <f>IFERROR(VLOOKUP(M216,'02. MM-KLH'!$B$6:$T$823,15,0),"")</f>
        <v>1993</v>
      </c>
      <c r="O216" s="616">
        <f>IFERROR(VLOOKUP(M216,'02. MM-KLH'!$B$6:$T$823,9,0),"")</f>
        <v>45811</v>
      </c>
      <c r="P216" s="613"/>
      <c r="Q216" s="566" t="s">
        <v>1565</v>
      </c>
      <c r="R216" s="613"/>
      <c r="S216" s="566" t="s">
        <v>4158</v>
      </c>
      <c r="T216" s="613"/>
      <c r="U216" s="559" t="str">
        <f>IFERROR(VLOOKUP(M216,'02. MM-KLH'!$B$6:$T$823,5,0),"")</f>
        <v>MỚI (ĐQSD)</v>
      </c>
      <c r="V216" s="523" t="str">
        <f>IFERROR(VLOOKUP(M216,'02. MM-KLH'!$B$6:$T$823,8,0),"")</f>
        <v>CGLĐ DP</v>
      </c>
      <c r="W216" s="559" t="str">
        <f>IFERROR(VLOOKUP(V216,'NS QUẢN LÝ CG'!$A$4:$D$36,2,0),"")</f>
        <v>Nguyễn Tấn Triều</v>
      </c>
      <c r="X216" s="559" t="str">
        <f>IFERROR(VLOOKUP(V216,'NS QUẢN LÝ CG'!$A$4:$D$36,4,0),"")</f>
        <v>Lô 85 DP4</v>
      </c>
      <c r="Y216" s="559" t="str">
        <f>IFERROR(VLOOKUP(V216,'NS QUẢN LÝ CG'!$A$4:$C$36,3,0),"")</f>
        <v>05974160290</v>
      </c>
      <c r="Z216" s="523" t="str">
        <f>IFERROR(VLOOKUP(M216,'02. MM-KLH'!$B$6:$T$823,3,0),"")</f>
        <v>A23-MKE-037</v>
      </c>
      <c r="AA216" s="559" t="str">
        <f t="shared" si="14"/>
        <v>DP</v>
      </c>
      <c r="AB216" s="523"/>
      <c r="AC216" s="523"/>
    </row>
    <row r="217">
      <c r="A217" s="523"/>
      <c r="B217" s="612" t="str">
        <f>IFERROR(VLOOKUP(M217,'02. MM-KLH'!$B$6:$T$823,6,0),"")</f>
        <v>Máy cày JD 7800</v>
      </c>
      <c r="C217" s="566">
        <v>1.0</v>
      </c>
      <c r="D217" s="613">
        <f>IFERROR(VLOOKUP(M217,'02. MM-KLH'!$B$6:$T$823,16,0),"")</f>
        <v>7800</v>
      </c>
      <c r="E217" s="561" t="s">
        <v>4158</v>
      </c>
      <c r="F217" s="613"/>
      <c r="G217" s="613"/>
      <c r="H217" s="613" t="str">
        <f>IFERROR(VLOOKUP(M217,'02. MM-KLH'!$B$6:$T$823,17,0),"")</f>
        <v>170HP</v>
      </c>
      <c r="I217" s="614">
        <f>IFERROR(VLOOKUP(M217,'02. MM-KLH'!$B$6:$U$823,20,0),"")</f>
        <v>11</v>
      </c>
      <c r="J217" s="612" t="str">
        <f>IFERROR(VLOOKUP(M217,'02. MM-KLH'!$B$6:$T$823,19,0),"")</f>
        <v>RG6076T568036</v>
      </c>
      <c r="K217" s="612" t="str">
        <f>IFERROR(VLOOKUP(M217,'02. MM-KLH'!$B$6:$T$823,18,0),"")</f>
        <v>RW7800P015834</v>
      </c>
      <c r="L217" s="613" t="str">
        <f>IFERROR(VLOOKUP(M217,'02. MM-KLH'!$B$6:$T$823,4,0),"")</f>
        <v/>
      </c>
      <c r="M217" s="488" t="s">
        <v>729</v>
      </c>
      <c r="N217" s="615">
        <f>IFERROR(VLOOKUP(M217,'02. MM-KLH'!$B$6:$T$823,15,0),"")</f>
        <v>1997</v>
      </c>
      <c r="O217" s="616">
        <f>IFERROR(VLOOKUP(M217,'02. MM-KLH'!$B$6:$T$823,9,0),"")</f>
        <v>45811</v>
      </c>
      <c r="P217" s="613"/>
      <c r="Q217" s="566" t="s">
        <v>1565</v>
      </c>
      <c r="R217" s="613"/>
      <c r="S217" s="566" t="s">
        <v>4158</v>
      </c>
      <c r="T217" s="613"/>
      <c r="U217" s="559" t="str">
        <f>IFERROR(VLOOKUP(M217,'02. MM-KLH'!$B$6:$T$823,5,0),"")</f>
        <v>MỚI (ĐQSD)</v>
      </c>
      <c r="V217" s="523" t="str">
        <f>IFERROR(VLOOKUP(M217,'02. MM-KLH'!$B$6:$T$823,8,0),"")</f>
        <v>CGLĐ DP</v>
      </c>
      <c r="W217" s="559" t="str">
        <f>IFERROR(VLOOKUP(V217,'NS QUẢN LÝ CG'!$A$4:$D$36,2,0),"")</f>
        <v>Nguyễn Tấn Triều</v>
      </c>
      <c r="X217" s="559" t="str">
        <f>IFERROR(VLOOKUP(V217,'NS QUẢN LÝ CG'!$A$4:$D$36,4,0),"")</f>
        <v>Lô 85 DP4</v>
      </c>
      <c r="Y217" s="559" t="str">
        <f>IFERROR(VLOOKUP(V217,'NS QUẢN LÝ CG'!$A$4:$C$36,3,0),"")</f>
        <v>05974160290</v>
      </c>
      <c r="Z217" s="523" t="str">
        <f>IFERROR(VLOOKUP(M217,'02. MM-KLH'!$B$6:$T$823,3,0),"")</f>
        <v>A23-MKE-038</v>
      </c>
      <c r="AA217" s="559" t="str">
        <f t="shared" si="14"/>
        <v>DP</v>
      </c>
      <c r="AB217" s="523"/>
      <c r="AC217" s="523"/>
    </row>
    <row r="218">
      <c r="A218" s="523"/>
      <c r="B218" s="612" t="str">
        <f>IFERROR(VLOOKUP(M218,'02. MM-KLH'!$B$6:$T$823,6,0),"")</f>
        <v>Máy cày JD 3350</v>
      </c>
      <c r="C218" s="566">
        <v>1.0</v>
      </c>
      <c r="D218" s="613">
        <f>IFERROR(VLOOKUP(M218,'02. MM-KLH'!$B$6:$T$823,16,0),"")</f>
        <v>3350</v>
      </c>
      <c r="E218" s="561" t="s">
        <v>4158</v>
      </c>
      <c r="F218" s="613"/>
      <c r="G218" s="613"/>
      <c r="H218" s="613" t="str">
        <f>IFERROR(VLOOKUP(M218,'02. MM-KLH'!$B$6:$T$823,17,0),"")</f>
        <v>100HP</v>
      </c>
      <c r="I218" s="614" t="str">
        <f>IFERROR(VLOOKUP(M218,'02. MM-KLH'!$B$6:$U$823,20,0),"")</f>
        <v/>
      </c>
      <c r="J218" s="612" t="str">
        <f>IFERROR(VLOOKUP(M218,'02. MM-KLH'!$B$6:$T$823,19,0),"")</f>
        <v>CD6359D776913</v>
      </c>
      <c r="K218" s="612" t="str">
        <f>IFERROR(VLOOKUP(M218,'02. MM-KLH'!$B$6:$T$823,18,0),"")</f>
        <v>636964L</v>
      </c>
      <c r="L218" s="613" t="str">
        <f>IFERROR(VLOOKUP(M218,'02. MM-KLH'!$B$6:$T$823,4,0),"")</f>
        <v/>
      </c>
      <c r="M218" s="488" t="s">
        <v>744</v>
      </c>
      <c r="N218" s="615">
        <f>IFERROR(VLOOKUP(M218,'02. MM-KLH'!$B$6:$T$823,15,0),"")</f>
        <v>1993</v>
      </c>
      <c r="O218" s="616" t="str">
        <f>IFERROR(VLOOKUP(M218,'02. MM-KLH'!$B$6:$T$823,9,0),"")</f>
        <v>16/03/2026</v>
      </c>
      <c r="P218" s="613"/>
      <c r="Q218" s="566" t="s">
        <v>1565</v>
      </c>
      <c r="R218" s="566" t="s">
        <v>4158</v>
      </c>
      <c r="S218" s="613"/>
      <c r="T218" s="613"/>
      <c r="U218" s="559" t="str">
        <f>IFERROR(VLOOKUP(M218,'02. MM-KLH'!$B$6:$T$823,5,0),"")</f>
        <v>MỚI (ĐQSD)</v>
      </c>
      <c r="V218" s="523" t="str">
        <f>IFERROR(VLOOKUP(M218,'02. MM-KLH'!$B$6:$T$823,8,0),"")</f>
        <v>CGLĐ DP</v>
      </c>
      <c r="W218" s="559" t="str">
        <f>IFERROR(VLOOKUP(V218,'NS QUẢN LÝ CG'!$A$4:$D$36,2,0),"")</f>
        <v>Nguyễn Tấn Triều</v>
      </c>
      <c r="X218" s="559" t="str">
        <f>IFERROR(VLOOKUP(V218,'NS QUẢN LÝ CG'!$A$4:$D$36,4,0),"")</f>
        <v>Lô 85 DP4</v>
      </c>
      <c r="Y218" s="559" t="str">
        <f>IFERROR(VLOOKUP(V218,'NS QUẢN LÝ CG'!$A$4:$C$36,3,0),"")</f>
        <v>05974160290</v>
      </c>
      <c r="Z218" s="523" t="str">
        <f>IFERROR(VLOOKUP(M218,'02. MM-KLH'!$B$6:$T$823,3,0),"")</f>
        <v>A22-MKE-039</v>
      </c>
      <c r="AA218" s="559" t="str">
        <f t="shared" si="14"/>
        <v>ADM</v>
      </c>
      <c r="AB218" s="523"/>
      <c r="AC218" s="523"/>
    </row>
    <row r="219">
      <c r="A219" s="523"/>
      <c r="B219" s="612" t="str">
        <f>IFERROR(VLOOKUP(M219,'02. MM-KLH'!$B$6:$T$823,6,0),"")</f>
        <v>Máy cày JD 3350</v>
      </c>
      <c r="C219" s="566">
        <v>1.0</v>
      </c>
      <c r="D219" s="613">
        <f>IFERROR(VLOOKUP(M219,'02. MM-KLH'!$B$6:$T$823,16,0),"")</f>
        <v>3350</v>
      </c>
      <c r="E219" s="561" t="s">
        <v>4158</v>
      </c>
      <c r="F219" s="613"/>
      <c r="G219" s="613"/>
      <c r="H219" s="613" t="str">
        <f>IFERROR(VLOOKUP(M219,'02. MM-KLH'!$B$6:$T$823,17,0),"")</f>
        <v>100HP</v>
      </c>
      <c r="I219" s="614">
        <f>IFERROR(VLOOKUP(M219,'02. MM-KLH'!$B$6:$U$823,20,0),"")</f>
        <v>6.5</v>
      </c>
      <c r="J219" s="612" t="str">
        <f>IFERROR(VLOOKUP(M219,'02. MM-KLH'!$B$6:$T$823,19,0),"")</f>
        <v>CD0635-90696675</v>
      </c>
      <c r="K219" s="612">
        <f>IFERROR(VLOOKUP(M219,'02. MM-KLH'!$B$6:$T$823,18,0),"")</f>
        <v>608107</v>
      </c>
      <c r="L219" s="613" t="str">
        <f>IFERROR(VLOOKUP(M219,'02. MM-KLH'!$B$6:$T$823,4,0),"")</f>
        <v/>
      </c>
      <c r="M219" s="488" t="s">
        <v>806</v>
      </c>
      <c r="N219" s="615">
        <f>IFERROR(VLOOKUP(M219,'02. MM-KLH'!$B$6:$T$823,15,0),"")</f>
        <v>1993</v>
      </c>
      <c r="O219" s="616">
        <f>IFERROR(VLOOKUP(M219,'02. MM-KLH'!$B$6:$T$823,9,0),"")</f>
        <v>45993</v>
      </c>
      <c r="P219" s="613"/>
      <c r="Q219" s="566" t="s">
        <v>1565</v>
      </c>
      <c r="R219" s="613"/>
      <c r="S219" s="566" t="s">
        <v>4158</v>
      </c>
      <c r="T219" s="613"/>
      <c r="U219" s="559" t="str">
        <f>IFERROR(VLOOKUP(M219,'02. MM-KLH'!$B$6:$T$823,5,0),"")</f>
        <v>MỚI (ĐQSD)</v>
      </c>
      <c r="V219" s="523" t="str">
        <f>IFERROR(VLOOKUP(M219,'02. MM-KLH'!$B$6:$T$823,8,0),"")</f>
        <v>CGLĐ LP</v>
      </c>
      <c r="W219" s="559" t="str">
        <f>IFERROR(VLOOKUP(V219,'NS QUẢN LÝ CG'!$A$4:$D$36,2,0),"")</f>
        <v>Nguyễn Tấn Triều</v>
      </c>
      <c r="X219" s="559" t="str">
        <f>IFERROR(VLOOKUP(V219,'NS QUẢN LÝ CG'!$A$4:$D$36,4,0),"")</f>
        <v>LP3.5-LP3</v>
      </c>
      <c r="Y219" s="559" t="str">
        <f>IFERROR(VLOOKUP(V219,'NS QUẢN LÝ CG'!$A$4:$C$36,3,0),"")</f>
        <v>05974160290</v>
      </c>
      <c r="Z219" s="523" t="str">
        <f>IFERROR(VLOOKUP(M219,'02. MM-KLH'!$B$6:$T$823,3,0),"")</f>
        <v>A24-MKE-030</v>
      </c>
      <c r="AA219" s="559" t="str">
        <f t="shared" si="14"/>
        <v>LP</v>
      </c>
      <c r="AB219" s="523"/>
      <c r="AC219" s="523"/>
    </row>
    <row r="220">
      <c r="A220" s="523"/>
      <c r="B220" s="612" t="str">
        <f>IFERROR(VLOOKUP(M220,'02. MM-KLH'!$B$6:$T$823,6,0),"")</f>
        <v>Máy cày JD 3650</v>
      </c>
      <c r="C220" s="566">
        <v>1.0</v>
      </c>
      <c r="D220" s="613">
        <f>IFERROR(VLOOKUP(M220,'02. MM-KLH'!$B$6:$T$823,16,0),"")</f>
        <v>3650</v>
      </c>
      <c r="E220" s="561" t="s">
        <v>4158</v>
      </c>
      <c r="F220" s="613"/>
      <c r="G220" s="613"/>
      <c r="H220" s="613" t="str">
        <f>IFERROR(VLOOKUP(M220,'02. MM-KLH'!$B$6:$T$823,17,0),"")</f>
        <v>115HP</v>
      </c>
      <c r="I220" s="614">
        <f>IFERROR(VLOOKUP(M220,'02. MM-KLH'!$B$6:$U$823,20,0),"")</f>
        <v>9.4</v>
      </c>
      <c r="J220" s="612" t="str">
        <f>IFERROR(VLOOKUP(M220,'02. MM-KLH'!$B$6:$T$823,19,0),"")</f>
        <v>149701CD</v>
      </c>
      <c r="K220" s="612" t="str">
        <f>IFERROR(VLOOKUP(M220,'02. MM-KLH'!$B$6:$T$823,18,0),"")</f>
        <v>U573763</v>
      </c>
      <c r="L220" s="613" t="str">
        <f>IFERROR(VLOOKUP(M220,'02. MM-KLH'!$B$6:$T$823,4,0),"")</f>
        <v/>
      </c>
      <c r="M220" s="488" t="s">
        <v>809</v>
      </c>
      <c r="N220" s="615">
        <f>IFERROR(VLOOKUP(M220,'02. MM-KLH'!$B$6:$T$823,15,0),"")</f>
        <v>1993</v>
      </c>
      <c r="O220" s="616" t="str">
        <f>IFERROR(VLOOKUP(M220,'02. MM-KLH'!$B$6:$T$823,9,0),"")</f>
        <v>25/02/2025</v>
      </c>
      <c r="P220" s="613"/>
      <c r="Q220" s="566" t="s">
        <v>1565</v>
      </c>
      <c r="R220" s="613"/>
      <c r="S220" s="566" t="s">
        <v>4158</v>
      </c>
      <c r="T220" s="613"/>
      <c r="U220" s="559" t="str">
        <f>IFERROR(VLOOKUP(M220,'02. MM-KLH'!$B$6:$T$823,5,0),"")</f>
        <v>MỚI (ĐQSD)</v>
      </c>
      <c r="V220" s="523" t="str">
        <f>IFERROR(VLOOKUP(M220,'02. MM-KLH'!$B$6:$T$823,8,0),"")</f>
        <v>CGLĐ LP</v>
      </c>
      <c r="W220" s="559" t="str">
        <f>IFERROR(VLOOKUP(V220,'NS QUẢN LÝ CG'!$A$4:$D$36,2,0),"")</f>
        <v>Nguyễn Tấn Triều</v>
      </c>
      <c r="X220" s="559" t="str">
        <f>IFERROR(VLOOKUP(V220,'NS QUẢN LÝ CG'!$A$4:$D$36,4,0),"")</f>
        <v>LP3.5-LP3</v>
      </c>
      <c r="Y220" s="559" t="str">
        <f>IFERROR(VLOOKUP(V220,'NS QUẢN LÝ CG'!$A$4:$C$36,3,0),"")</f>
        <v>05974160290</v>
      </c>
      <c r="Z220" s="523" t="str">
        <f>IFERROR(VLOOKUP(M220,'02. MM-KLH'!$B$6:$T$823,3,0),"")</f>
        <v>A24-MKE-031</v>
      </c>
      <c r="AA220" s="559" t="str">
        <f t="shared" si="14"/>
        <v>LP</v>
      </c>
      <c r="AB220" s="523"/>
      <c r="AC220" s="523"/>
    </row>
    <row r="221">
      <c r="A221" s="523"/>
      <c r="B221" s="612" t="str">
        <f>IFERROR(VLOOKUP(M221,'02. MM-KLH'!$B$6:$T$823,6,0),"")</f>
        <v>Máy cày JD 3640</v>
      </c>
      <c r="C221" s="566">
        <v>1.0</v>
      </c>
      <c r="D221" s="613">
        <f>IFERROR(VLOOKUP(M221,'02. MM-KLH'!$B$6:$T$823,16,0),"")</f>
        <v>3640</v>
      </c>
      <c r="E221" s="561" t="s">
        <v>4158</v>
      </c>
      <c r="F221" s="613"/>
      <c r="G221" s="613"/>
      <c r="H221" s="613" t="str">
        <f>IFERROR(VLOOKUP(M221,'02. MM-KLH'!$B$6:$T$823,17,0),"")</f>
        <v>115HP</v>
      </c>
      <c r="I221" s="614" t="str">
        <f>IFERROR(VLOOKUP(M221,'02. MM-KLH'!$B$6:$U$823,20,0),"")</f>
        <v/>
      </c>
      <c r="J221" s="612" t="str">
        <f>IFERROR(VLOOKUP(M221,'02. MM-KLH'!$B$6:$T$823,19,0),"")</f>
        <v>CD6359D704281</v>
      </c>
      <c r="K221" s="612" t="str">
        <f>IFERROR(VLOOKUP(M221,'02. MM-KLH'!$B$6:$T$823,18,0),"")</f>
        <v>579925L</v>
      </c>
      <c r="L221" s="613" t="str">
        <f>IFERROR(VLOOKUP(M221,'02. MM-KLH'!$B$6:$T$823,4,0),"")</f>
        <v/>
      </c>
      <c r="M221" s="488" t="s">
        <v>815</v>
      </c>
      <c r="N221" s="615">
        <f>IFERROR(VLOOKUP(M221,'02. MM-KLH'!$B$6:$T$823,15,0),"")</f>
        <v>1987</v>
      </c>
      <c r="O221" s="616" t="str">
        <f>IFERROR(VLOOKUP(M221,'02. MM-KLH'!$B$6:$T$823,9,0),"")</f>
        <v>29/04/2025</v>
      </c>
      <c r="P221" s="613"/>
      <c r="Q221" s="566" t="s">
        <v>1565</v>
      </c>
      <c r="R221" s="566" t="s">
        <v>4158</v>
      </c>
      <c r="S221" s="613"/>
      <c r="T221" s="613"/>
      <c r="U221" s="559" t="str">
        <f>IFERROR(VLOOKUP(M221,'02. MM-KLH'!$B$6:$T$823,5,0),"")</f>
        <v>MỚI (ĐQSD)</v>
      </c>
      <c r="V221" s="523" t="str">
        <f>IFERROR(VLOOKUP(M221,'02. MM-KLH'!$B$6:$T$823,8,0),"")</f>
        <v>CGLĐ LP</v>
      </c>
      <c r="W221" s="559" t="str">
        <f>IFERROR(VLOOKUP(V221,'NS QUẢN LÝ CG'!$A$4:$D$36,2,0),"")</f>
        <v>Nguyễn Tấn Triều</v>
      </c>
      <c r="X221" s="559" t="str">
        <f>IFERROR(VLOOKUP(V221,'NS QUẢN LÝ CG'!$A$4:$D$36,4,0),"")</f>
        <v>LP3.5-LP3</v>
      </c>
      <c r="Y221" s="559" t="str">
        <f>IFERROR(VLOOKUP(V221,'NS QUẢN LÝ CG'!$A$4:$C$36,3,0),"")</f>
        <v>05974160290</v>
      </c>
      <c r="Z221" s="523" t="str">
        <f>IFERROR(VLOOKUP(M221,'02. MM-KLH'!$B$6:$T$823,3,0),"")</f>
        <v>A24-MKE-036</v>
      </c>
      <c r="AA221" s="559" t="str">
        <f t="shared" si="14"/>
        <v>LP</v>
      </c>
      <c r="AB221" s="523"/>
      <c r="AC221" s="523"/>
    </row>
    <row r="222">
      <c r="A222" s="523"/>
      <c r="B222" s="612" t="str">
        <f>IFERROR(VLOOKUP(M222,'02. MM-KLH'!$B$6:$T$823,6,0),"")</f>
        <v>Máy cày JD 5520</v>
      </c>
      <c r="C222" s="566">
        <v>1.0</v>
      </c>
      <c r="D222" s="613">
        <f>IFERROR(VLOOKUP(M222,'02. MM-KLH'!$B$6:$T$823,16,0),"")</f>
        <v>5520</v>
      </c>
      <c r="E222" s="561" t="s">
        <v>4158</v>
      </c>
      <c r="F222" s="613"/>
      <c r="G222" s="613"/>
      <c r="H222" s="613" t="str">
        <f>IFERROR(VLOOKUP(M222,'02. MM-KLH'!$B$6:$T$823,17,0),"")</f>
        <v>89HP</v>
      </c>
      <c r="I222" s="614" t="str">
        <f>IFERROR(VLOOKUP(M222,'02. MM-KLH'!$B$6:$U$823,20,0),"")</f>
        <v/>
      </c>
      <c r="J222" s="612" t="str">
        <f>IFERROR(VLOOKUP(M222,'02. MM-KLH'!$B$6:$T$823,19,0),"")</f>
        <v>PE4045D043015</v>
      </c>
      <c r="K222" s="612" t="str">
        <f>IFERROR(VLOOKUP(M222,'02. MM-KLH'!$B$6:$T$823,18,0),"")</f>
        <v>54110883Y</v>
      </c>
      <c r="L222" s="613" t="str">
        <f>IFERROR(VLOOKUP(M222,'02. MM-KLH'!$B$6:$T$823,4,0),"")</f>
        <v/>
      </c>
      <c r="M222" s="488" t="s">
        <v>1705</v>
      </c>
      <c r="N222" s="615">
        <f>IFERROR(VLOOKUP(M222,'02. MM-KLH'!$B$6:$T$823,15,0),"")</f>
        <v>2004</v>
      </c>
      <c r="O222" s="616" t="str">
        <f>IFERROR(VLOOKUP(M222,'02. MM-KLH'!$B$6:$T$823,9,0),"")</f>
        <v>30/08/2024</v>
      </c>
      <c r="P222" s="613"/>
      <c r="Q222" s="566" t="s">
        <v>1565</v>
      </c>
      <c r="R222" s="613"/>
      <c r="S222" s="566" t="s">
        <v>4158</v>
      </c>
      <c r="T222" s="613"/>
      <c r="U222" s="559" t="str">
        <f>IFERROR(VLOOKUP(M222,'02. MM-KLH'!$B$6:$T$823,5,0),"")</f>
        <v>MỚI (ĐQSD)</v>
      </c>
      <c r="V222" s="523" t="str">
        <f>IFERROR(VLOOKUP(M222,'02. MM-KLH'!$B$6:$T$823,8,0),"")</f>
        <v>XN Bò AD</v>
      </c>
      <c r="W222" s="559" t="str">
        <f>IFERROR(VLOOKUP(V222,'NS QUẢN LÝ CG'!$A$4:$D$36,2,0),"")</f>
        <v>Trần Văn Nam</v>
      </c>
      <c r="X222" s="559" t="str">
        <f>IFERROR(VLOOKUP(V222,'NS QUẢN LÝ CG'!$A$4:$D$36,4,0),"")</f>
        <v>Lô 28 XN Bò</v>
      </c>
      <c r="Y222" s="559" t="str">
        <f>IFERROR(VLOOKUP(V222,'NS QUẢN LÝ CG'!$A$4:$C$36,3,0),"")</f>
        <v>0971993540</v>
      </c>
      <c r="Z222" s="523" t="str">
        <f>IFERROR(VLOOKUP(M222,'02. MM-KLH'!$B$6:$T$823,3,0),"")</f>
        <v>A22-MKE-053</v>
      </c>
      <c r="AA222" s="559" t="str">
        <f t="shared" si="14"/>
        <v>ADM</v>
      </c>
      <c r="AB222" s="523"/>
      <c r="AC222" s="523"/>
    </row>
    <row r="223">
      <c r="A223" s="523"/>
      <c r="B223" s="612" t="str">
        <f>IFERROR(VLOOKUP(M223,'02. MM-KLH'!$B$6:$T$823,6,0),"")</f>
        <v>Máy cày JD 5510</v>
      </c>
      <c r="C223" s="566">
        <v>1.0</v>
      </c>
      <c r="D223" s="613">
        <f>IFERROR(VLOOKUP(M223,'02. MM-KLH'!$B$6:$T$823,16,0),"")</f>
        <v>5510</v>
      </c>
      <c r="E223" s="561" t="s">
        <v>4158</v>
      </c>
      <c r="F223" s="613"/>
      <c r="G223" s="613"/>
      <c r="H223" s="613" t="str">
        <f>IFERROR(VLOOKUP(M223,'02. MM-KLH'!$B$6:$T$823,17,0),"")</f>
        <v>89HP</v>
      </c>
      <c r="I223" s="614" t="str">
        <f>IFERROR(VLOOKUP(M223,'02. MM-KLH'!$B$6:$U$823,20,0),"")</f>
        <v/>
      </c>
      <c r="J223" s="612" t="str">
        <f>IFERROR(VLOOKUP(M223,'02. MM-KLH'!$B$6:$T$823,19,0),"")</f>
        <v>PE4045D043101</v>
      </c>
      <c r="K223" s="612" t="str">
        <f>IFERROR(VLOOKUP(M223,'02. MM-KLH'!$B$6:$T$823,18,0),"")</f>
        <v>54110015Y</v>
      </c>
      <c r="L223" s="613" t="str">
        <f>IFERROR(VLOOKUP(M223,'02. MM-KLH'!$B$6:$T$823,4,0),"")</f>
        <v/>
      </c>
      <c r="M223" s="488" t="s">
        <v>1711</v>
      </c>
      <c r="N223" s="615">
        <f>IFERROR(VLOOKUP(M223,'02. MM-KLH'!$B$6:$T$823,15,0),"")</f>
        <v>2004</v>
      </c>
      <c r="O223" s="616" t="str">
        <f>IFERROR(VLOOKUP(M223,'02. MM-KLH'!$B$6:$T$823,9,0),"")</f>
        <v>30/08/2024</v>
      </c>
      <c r="P223" s="613"/>
      <c r="Q223" s="566" t="s">
        <v>1565</v>
      </c>
      <c r="R223" s="613"/>
      <c r="S223" s="566" t="s">
        <v>4158</v>
      </c>
      <c r="T223" s="613"/>
      <c r="U223" s="559" t="str">
        <f>IFERROR(VLOOKUP(M223,'02. MM-KLH'!$B$6:$T$823,5,0),"")</f>
        <v>MỚI (ĐQSD)</v>
      </c>
      <c r="V223" s="523" t="str">
        <f>IFERROR(VLOOKUP(M223,'02. MM-KLH'!$B$6:$T$823,8,0),"")</f>
        <v>XN Bò AD</v>
      </c>
      <c r="W223" s="559" t="str">
        <f>IFERROR(VLOOKUP(V223,'NS QUẢN LÝ CG'!$A$4:$D$36,2,0),"")</f>
        <v>Trần Văn Nam</v>
      </c>
      <c r="X223" s="559" t="str">
        <f>IFERROR(VLOOKUP(V223,'NS QUẢN LÝ CG'!$A$4:$D$36,4,0),"")</f>
        <v>Lô 28 XN Bò</v>
      </c>
      <c r="Y223" s="559" t="str">
        <f>IFERROR(VLOOKUP(V223,'NS QUẢN LÝ CG'!$A$4:$C$36,3,0),"")</f>
        <v>0971993540</v>
      </c>
      <c r="Z223" s="523" t="str">
        <f>IFERROR(VLOOKUP(M223,'02. MM-KLH'!$B$6:$T$823,3,0),"")</f>
        <v>A22-MKE-054</v>
      </c>
      <c r="AA223" s="559" t="str">
        <f t="shared" si="14"/>
        <v>ADM</v>
      </c>
      <c r="AB223" s="523"/>
      <c r="AC223" s="523"/>
    </row>
    <row r="224">
      <c r="A224" s="523"/>
      <c r="B224" s="612" t="str">
        <f>IFERROR(VLOOKUP(M224,'02. MM-KLH'!$B$6:$T$823,6,0),"")</f>
        <v>Máy cày JD 5425</v>
      </c>
      <c r="C224" s="566">
        <v>1.0</v>
      </c>
      <c r="D224" s="613">
        <f>IFERROR(VLOOKUP(M224,'02. MM-KLH'!$B$6:$T$823,16,0),"")</f>
        <v>5425</v>
      </c>
      <c r="E224" s="561" t="s">
        <v>4158</v>
      </c>
      <c r="F224" s="613"/>
      <c r="G224" s="613"/>
      <c r="H224" s="613" t="str">
        <f>IFERROR(VLOOKUP(M224,'02. MM-KLH'!$B$6:$T$823,17,0),"")</f>
        <v>81HP</v>
      </c>
      <c r="I224" s="614" t="str">
        <f>IFERROR(VLOOKUP(M224,'02. MM-KLH'!$B$6:$U$823,20,0),"")</f>
        <v/>
      </c>
      <c r="J224" s="612" t="str">
        <f>IFERROR(VLOOKUP(M224,'02. MM-KLH'!$B$6:$T$823,19,0),"")</f>
        <v>PE4045T722734</v>
      </c>
      <c r="K224" s="612" t="str">
        <f>IFERROR(VLOOKUP(M224,'02. MM-KLH'!$B$6:$T$823,18,0),"")</f>
        <v>542510101Y</v>
      </c>
      <c r="L224" s="613" t="str">
        <f>IFERROR(VLOOKUP(M224,'02. MM-KLH'!$B$6:$T$823,4,0),"")</f>
        <v/>
      </c>
      <c r="M224" s="488" t="s">
        <v>1718</v>
      </c>
      <c r="N224" s="615">
        <f>IFERROR(VLOOKUP(M224,'02. MM-KLH'!$B$6:$T$823,15,0),"")</f>
        <v>2006</v>
      </c>
      <c r="O224" s="616">
        <f>IFERROR(VLOOKUP(M224,'02. MM-KLH'!$B$6:$T$823,9,0),"")</f>
        <v>45360</v>
      </c>
      <c r="P224" s="613"/>
      <c r="Q224" s="566" t="s">
        <v>1565</v>
      </c>
      <c r="R224" s="613"/>
      <c r="S224" s="566" t="s">
        <v>4158</v>
      </c>
      <c r="T224" s="613"/>
      <c r="U224" s="559" t="str">
        <f>IFERROR(VLOOKUP(M224,'02. MM-KLH'!$B$6:$T$823,5,0),"")</f>
        <v>MỚI (ĐQSD)</v>
      </c>
      <c r="V224" s="523" t="str">
        <f>IFERROR(VLOOKUP(M224,'02. MM-KLH'!$B$6:$T$823,8,0),"")</f>
        <v>XN Bò AD</v>
      </c>
      <c r="W224" s="559" t="str">
        <f>IFERROR(VLOOKUP(V224,'NS QUẢN LÝ CG'!$A$4:$D$36,2,0),"")</f>
        <v>Trần Văn Nam</v>
      </c>
      <c r="X224" s="559" t="str">
        <f>IFERROR(VLOOKUP(V224,'NS QUẢN LÝ CG'!$A$4:$D$36,4,0),"")</f>
        <v>Lô 28 XN Bò</v>
      </c>
      <c r="Y224" s="559" t="str">
        <f>IFERROR(VLOOKUP(V224,'NS QUẢN LÝ CG'!$A$4:$C$36,3,0),"")</f>
        <v>0971993540</v>
      </c>
      <c r="Z224" s="523" t="str">
        <f>IFERROR(VLOOKUP(M224,'02. MM-KLH'!$B$6:$T$823,3,0),"")</f>
        <v>A22-MKE-056</v>
      </c>
      <c r="AA224" s="559" t="str">
        <f t="shared" si="14"/>
        <v>ADM</v>
      </c>
      <c r="AB224" s="523"/>
      <c r="AC224" s="523"/>
    </row>
    <row r="225">
      <c r="A225" s="523"/>
      <c r="B225" s="612"/>
      <c r="C225" s="566"/>
      <c r="D225" s="613"/>
      <c r="E225" s="561"/>
      <c r="F225" s="613"/>
      <c r="G225" s="613"/>
      <c r="H225" s="613"/>
      <c r="I225" s="614"/>
      <c r="J225" s="612"/>
      <c r="K225" s="612"/>
      <c r="L225" s="613"/>
      <c r="M225" s="488"/>
      <c r="N225" s="615"/>
      <c r="O225" s="616"/>
      <c r="P225" s="613"/>
      <c r="Q225" s="613"/>
      <c r="R225" s="613"/>
      <c r="S225" s="613"/>
      <c r="T225" s="613"/>
      <c r="U225" s="613"/>
      <c r="V225" s="523"/>
      <c r="W225" s="559" t="str">
        <f>IFERROR(VLOOKUP(V225,'NS QUẢN LÝ CG'!$A$4:$D$36,2,0),"")</f>
        <v/>
      </c>
      <c r="X225" s="559" t="str">
        <f>IFERROR(VLOOKUP(V225,'NS QUẢN LÝ CG'!$A$4:$D$36,4,0),"")</f>
        <v/>
      </c>
      <c r="Y225" s="613"/>
      <c r="Z225" s="523"/>
      <c r="AA225" s="613"/>
      <c r="AB225" s="523"/>
      <c r="AC225" s="523"/>
    </row>
    <row r="226" hidden="1">
      <c r="A226" s="523"/>
      <c r="B226" s="612"/>
      <c r="C226" s="566"/>
      <c r="D226" s="613"/>
      <c r="E226" s="613"/>
      <c r="F226" s="613"/>
      <c r="G226" s="613"/>
      <c r="H226" s="613"/>
      <c r="I226" s="614"/>
      <c r="J226" s="612"/>
      <c r="K226" s="612"/>
      <c r="L226" s="613"/>
      <c r="M226" s="488"/>
      <c r="N226" s="615"/>
      <c r="O226" s="616"/>
      <c r="P226" s="613"/>
      <c r="Q226" s="613"/>
      <c r="R226" s="613"/>
      <c r="S226" s="613"/>
      <c r="T226" s="613"/>
      <c r="U226" s="613"/>
      <c r="V226" s="523"/>
      <c r="W226" s="613"/>
      <c r="X226" s="613"/>
      <c r="Y226" s="613"/>
      <c r="Z226" s="523"/>
      <c r="AA226" s="613"/>
      <c r="AB226" s="523"/>
      <c r="AC226" s="523"/>
    </row>
    <row r="227" hidden="1">
      <c r="A227" s="523"/>
      <c r="B227" s="612"/>
      <c r="C227" s="566"/>
      <c r="D227" s="613"/>
      <c r="E227" s="613"/>
      <c r="F227" s="613"/>
      <c r="G227" s="613"/>
      <c r="H227" s="613"/>
      <c r="I227" s="614"/>
      <c r="J227" s="612"/>
      <c r="K227" s="612"/>
      <c r="L227" s="613"/>
      <c r="M227" s="488"/>
      <c r="N227" s="615"/>
      <c r="O227" s="616"/>
      <c r="P227" s="613"/>
      <c r="Q227" s="613"/>
      <c r="R227" s="613"/>
      <c r="S227" s="613"/>
      <c r="T227" s="613"/>
      <c r="U227" s="613"/>
      <c r="V227" s="523"/>
      <c r="W227" s="613"/>
      <c r="X227" s="613"/>
      <c r="Y227" s="613"/>
      <c r="Z227" s="523"/>
      <c r="AA227" s="613"/>
      <c r="AB227" s="523"/>
      <c r="AC227" s="523"/>
    </row>
    <row r="228">
      <c r="A228" s="695">
        <v>2.0</v>
      </c>
      <c r="B228" s="696" t="s">
        <v>739</v>
      </c>
      <c r="C228" s="697">
        <f>COUNTA(B229:B250)</f>
        <v>19</v>
      </c>
      <c r="D228" s="698"/>
      <c r="E228" s="698"/>
      <c r="F228" s="698"/>
      <c r="G228" s="698"/>
      <c r="H228" s="558"/>
      <c r="I228" s="558"/>
      <c r="J228" s="699"/>
      <c r="K228" s="699"/>
      <c r="L228" s="698"/>
      <c r="M228" s="700"/>
      <c r="N228" s="698"/>
      <c r="O228" s="701"/>
      <c r="P228" s="698"/>
      <c r="Q228" s="698"/>
      <c r="R228" s="698"/>
      <c r="S228" s="698"/>
      <c r="T228" s="698"/>
      <c r="U228" s="698"/>
      <c r="V228" s="558"/>
      <c r="W228" s="698"/>
      <c r="X228" s="698"/>
      <c r="Y228" s="698"/>
      <c r="Z228" s="558"/>
      <c r="AA228" s="698"/>
      <c r="AB228" s="558"/>
      <c r="AC228" s="558"/>
    </row>
    <row r="229">
      <c r="A229" s="523"/>
      <c r="B229" s="612" t="str">
        <f>IFERROR(VLOOKUP(M229,'02. MM-KLH'!$B$6:$T$823,6,0),"")</f>
        <v>Máy cày LOVOL 1504</v>
      </c>
      <c r="C229" s="566">
        <v>1.0</v>
      </c>
      <c r="D229" s="613">
        <f>IFERROR(VLOOKUP(M229,'02. MM-KLH'!$B$6:$T$823,16,0),"")</f>
        <v>1504</v>
      </c>
      <c r="E229" s="561" t="s">
        <v>4158</v>
      </c>
      <c r="F229" s="613"/>
      <c r="G229" s="613"/>
      <c r="H229" s="613" t="str">
        <f>IFERROR(VLOOKUP(M229,'02. MM-KLH'!$B$6:$T$823,17,0),"")</f>
        <v>150HP</v>
      </c>
      <c r="I229" s="614">
        <f>IFERROR(VLOOKUP(M229,'02. MM-KLH'!$B$6:$U$823,20,0),"")</f>
        <v>13</v>
      </c>
      <c r="J229" s="612" t="str">
        <f>IFERROR(VLOOKUP(M229,'02. MM-KLH'!$B$6:$T$823,19,0),"")</f>
        <v>WP6G180E3306P25J023348</v>
      </c>
      <c r="K229" s="612" t="str">
        <f>IFERROR(VLOOKUP(M229,'02. MM-KLH'!$B$6:$T$823,18,0),"")</f>
        <v>M600279SX</v>
      </c>
      <c r="L229" s="613" t="str">
        <f>IFERROR(VLOOKUP(M229,'02. MM-KLH'!$B$6:$T$823,4,0),"")</f>
        <v/>
      </c>
      <c r="M229" s="488" t="s">
        <v>735</v>
      </c>
      <c r="N229" s="615">
        <f>IFERROR(VLOOKUP(M229,'02. MM-KLH'!$B$6:$T$823,15,0),"")</f>
        <v>2025</v>
      </c>
      <c r="O229" s="616" t="str">
        <f>IFERROR(VLOOKUP(M229,'02. MM-KLH'!$B$6:$T$823,9,0),"")</f>
        <v>18/12/2025</v>
      </c>
      <c r="P229" s="128"/>
      <c r="Q229" s="566">
        <v>1387.0</v>
      </c>
      <c r="R229" s="566" t="s">
        <v>4158</v>
      </c>
      <c r="S229" s="613"/>
      <c r="T229" s="613"/>
      <c r="U229" s="559" t="str">
        <f>IFERROR(VLOOKUP(M229,'02. MM-KLH'!$B$6:$T$823,5,0),"")</f>
        <v>MỚI</v>
      </c>
      <c r="V229" s="523" t="str">
        <f>IFERROR(VLOOKUP(M229,'02. MM-KLH'!$B$6:$T$823,8,0),"")</f>
        <v>CGLĐ DP</v>
      </c>
      <c r="W229" s="559" t="str">
        <f>IFERROR(VLOOKUP(V229,'NS QUẢN LÝ CG'!$A$4:$D$36,2,0),"")</f>
        <v>Nguyễn Tấn Triều</v>
      </c>
      <c r="X229" s="559" t="str">
        <f>IFERROR(VLOOKUP(V229,'NS QUẢN LÝ CG'!$A$4:$D$36,4,0),"")</f>
        <v>Lô 85 DP4</v>
      </c>
      <c r="Y229" s="559" t="str">
        <f>IFERROR(VLOOKUP(V229,'NS QUẢN LÝ CG'!$A$4:$C$36,3,0),"")</f>
        <v>05974160290</v>
      </c>
      <c r="Z229" s="523" t="str">
        <f>IFERROR(VLOOKUP(M229,'02. MM-KLH'!$B$6:$T$823,3,0),"")</f>
        <v>A22-MKE-060</v>
      </c>
      <c r="AA229" s="559" t="str">
        <f t="shared" ref="AA229:AA247" si="15">SWITCH(LEFT(Z229,3),"A22","ADM","A23","DP","A24","LP","")</f>
        <v>ADM</v>
      </c>
      <c r="AB229" s="523"/>
      <c r="AC229" s="523"/>
    </row>
    <row r="230">
      <c r="A230" s="523"/>
      <c r="B230" s="612" t="str">
        <f>IFERROR(VLOOKUP(M230,'02. MM-KLH'!$B$6:$T$823,6,0),"")</f>
        <v>Máy cày LOVOL 1504</v>
      </c>
      <c r="C230" s="566">
        <v>1.0</v>
      </c>
      <c r="D230" s="613">
        <f>IFERROR(VLOOKUP(M230,'02. MM-KLH'!$B$6:$T$823,16,0),"")</f>
        <v>1504</v>
      </c>
      <c r="E230" s="561" t="s">
        <v>4158</v>
      </c>
      <c r="F230" s="613"/>
      <c r="G230" s="613"/>
      <c r="H230" s="613" t="str">
        <f>IFERROR(VLOOKUP(M230,'02. MM-KLH'!$B$6:$T$823,17,0),"")</f>
        <v>147HP</v>
      </c>
      <c r="I230" s="614">
        <f>IFERROR(VLOOKUP(M230,'02. MM-KLH'!$B$6:$U$823,20,0),"")</f>
        <v>13</v>
      </c>
      <c r="J230" s="612" t="str">
        <f>IFERROR(VLOOKUP(M230,'02. MM-KLH'!$B$6:$T$823,19,0),"")</f>
        <v>CCN</v>
      </c>
      <c r="K230" s="612" t="str">
        <f>IFERROR(VLOOKUP(M230,'02. MM-KLH'!$B$6:$T$823,18,0),"")</f>
        <v>6P23C005870</v>
      </c>
      <c r="L230" s="613" t="str">
        <f>IFERROR(VLOOKUP(M230,'02. MM-KLH'!$B$6:$T$823,4,0),"")</f>
        <v/>
      </c>
      <c r="M230" s="488" t="s">
        <v>798</v>
      </c>
      <c r="N230" s="615">
        <f>IFERROR(VLOOKUP(M230,'02. MM-KLH'!$B$6:$T$823,15,0),"")</f>
        <v>2024</v>
      </c>
      <c r="O230" s="616" t="str">
        <f>IFERROR(VLOOKUP(M230,'02. MM-KLH'!$B$6:$T$823,9,0),"")</f>
        <v>25/10/2024</v>
      </c>
      <c r="P230" s="128"/>
      <c r="Q230" s="566">
        <v>3224.0</v>
      </c>
      <c r="R230" s="566" t="s">
        <v>4158</v>
      </c>
      <c r="S230" s="613"/>
      <c r="T230" s="613"/>
      <c r="U230" s="559" t="str">
        <f>IFERROR(VLOOKUP(M230,'02. MM-KLH'!$B$6:$T$823,5,0),"")</f>
        <v>MỚI </v>
      </c>
      <c r="V230" s="523" t="str">
        <f>IFERROR(VLOOKUP(M230,'02. MM-KLH'!$B$6:$T$823,8,0),"")</f>
        <v>CGLĐ LP</v>
      </c>
      <c r="W230" s="559" t="str">
        <f>IFERROR(VLOOKUP(V230,'NS QUẢN LÝ CG'!$A$4:$D$36,2,0),"")</f>
        <v>Nguyễn Tấn Triều</v>
      </c>
      <c r="X230" s="559" t="str">
        <f>IFERROR(VLOOKUP(V230,'NS QUẢN LÝ CG'!$A$4:$D$36,4,0),"")</f>
        <v>LP3.5-LP3</v>
      </c>
      <c r="Y230" s="559" t="str">
        <f>IFERROR(VLOOKUP(V230,'NS QUẢN LÝ CG'!$A$4:$C$36,3,0),"")</f>
        <v>05974160290</v>
      </c>
      <c r="Z230" s="523" t="str">
        <f>IFERROR(VLOOKUP(M230,'02. MM-KLH'!$B$6:$T$823,3,0),"")</f>
        <v>A22-MKE-042</v>
      </c>
      <c r="AA230" s="559" t="str">
        <f t="shared" si="15"/>
        <v>ADM</v>
      </c>
      <c r="AB230" s="523"/>
      <c r="AC230" s="523"/>
    </row>
    <row r="231">
      <c r="A231" s="523"/>
      <c r="B231" s="612" t="str">
        <f>IFERROR(VLOOKUP(M231,'02. MM-KLH'!$B$6:$T$823,6,0),"")</f>
        <v>Máy cày LOVOL 1504</v>
      </c>
      <c r="C231" s="566">
        <v>1.0</v>
      </c>
      <c r="D231" s="613">
        <f>IFERROR(VLOOKUP(M231,'02. MM-KLH'!$B$6:$T$823,16,0),"")</f>
        <v>1504</v>
      </c>
      <c r="E231" s="561" t="s">
        <v>4158</v>
      </c>
      <c r="F231" s="613"/>
      <c r="G231" s="613"/>
      <c r="H231" s="613" t="str">
        <f>IFERROR(VLOOKUP(M231,'02. MM-KLH'!$B$6:$T$823,17,0),"")</f>
        <v>150HP</v>
      </c>
      <c r="I231" s="614">
        <f>IFERROR(VLOOKUP(M231,'02. MM-KLH'!$B$6:$U$823,20,0),"")</f>
        <v>13</v>
      </c>
      <c r="J231" s="612" t="str">
        <f>IFERROR(VLOOKUP(M231,'02. MM-KLH'!$B$6:$T$823,19,0),"")</f>
        <v>WP6G180E3306P25J023351</v>
      </c>
      <c r="K231" s="612" t="str">
        <f>IFERROR(VLOOKUP(M231,'02. MM-KLH'!$B$6:$T$823,18,0),"")</f>
        <v>M600277SU</v>
      </c>
      <c r="L231" s="613" t="str">
        <f>IFERROR(VLOOKUP(M231,'02. MM-KLH'!$B$6:$T$823,4,0),"")</f>
        <v/>
      </c>
      <c r="M231" s="488" t="s">
        <v>827</v>
      </c>
      <c r="N231" s="615">
        <f>IFERROR(VLOOKUP(M231,'02. MM-KLH'!$B$6:$T$823,15,0),"")</f>
        <v>2025</v>
      </c>
      <c r="O231" s="616" t="str">
        <f>IFERROR(VLOOKUP(M231,'02. MM-KLH'!$B$6:$T$823,9,0),"")</f>
        <v>18/12/2025</v>
      </c>
      <c r="P231" s="128"/>
      <c r="Q231" s="566">
        <v>1272.0</v>
      </c>
      <c r="R231" s="566" t="s">
        <v>4158</v>
      </c>
      <c r="S231" s="613"/>
      <c r="T231" s="613"/>
      <c r="U231" s="559" t="str">
        <f>IFERROR(VLOOKUP(M231,'02. MM-KLH'!$B$6:$T$823,5,0),"")</f>
        <v>MỚI </v>
      </c>
      <c r="V231" s="523" t="str">
        <f>IFERROR(VLOOKUP(M231,'02. MM-KLH'!$B$6:$T$823,8,0),"")</f>
        <v>CGLĐ LP</v>
      </c>
      <c r="W231" s="559" t="str">
        <f>IFERROR(VLOOKUP(V231,'NS QUẢN LÝ CG'!$A$4:$D$36,2,0),"")</f>
        <v>Nguyễn Tấn Triều</v>
      </c>
      <c r="X231" s="559" t="str">
        <f>IFERROR(VLOOKUP(V231,'NS QUẢN LÝ CG'!$A$4:$D$36,4,0),"")</f>
        <v>LP3.5-LP3</v>
      </c>
      <c r="Y231" s="559" t="str">
        <f>IFERROR(VLOOKUP(V231,'NS QUẢN LÝ CG'!$A$4:$C$36,3,0),"")</f>
        <v>05974160290</v>
      </c>
      <c r="Z231" s="523" t="str">
        <f>IFERROR(VLOOKUP(M231,'02. MM-KLH'!$B$6:$T$823,3,0),"")</f>
        <v>A22-MKE-058</v>
      </c>
      <c r="AA231" s="559" t="str">
        <f t="shared" si="15"/>
        <v>ADM</v>
      </c>
      <c r="AB231" s="523"/>
      <c r="AC231" s="523"/>
    </row>
    <row r="232">
      <c r="A232" s="523"/>
      <c r="B232" s="612" t="str">
        <f>IFERROR(VLOOKUP(M232,'02. MM-KLH'!$B$6:$T$823,6,0),"")</f>
        <v>Máy cày LOVOL 1504</v>
      </c>
      <c r="C232" s="566">
        <v>1.0</v>
      </c>
      <c r="D232" s="613">
        <f>IFERROR(VLOOKUP(M232,'02. MM-KLH'!$B$6:$T$823,16,0),"")</f>
        <v>1504</v>
      </c>
      <c r="E232" s="561" t="s">
        <v>4158</v>
      </c>
      <c r="F232" s="613"/>
      <c r="G232" s="613"/>
      <c r="H232" s="613" t="str">
        <f>IFERROR(VLOOKUP(M232,'02. MM-KLH'!$B$6:$T$823,17,0),"")</f>
        <v>150HP</v>
      </c>
      <c r="I232" s="614">
        <f>IFERROR(VLOOKUP(M232,'02. MM-KLH'!$B$6:$U$823,20,0),"")</f>
        <v>13</v>
      </c>
      <c r="J232" s="612" t="str">
        <f>IFERROR(VLOOKUP(M232,'02. MM-KLH'!$B$6:$T$823,19,0),"")</f>
        <v>WP6G180E3306P25J023349</v>
      </c>
      <c r="K232" s="612" t="str">
        <f>IFERROR(VLOOKUP(M232,'02. MM-KLH'!$B$6:$T$823,18,0),"")</f>
        <v>M600278SX</v>
      </c>
      <c r="L232" s="613" t="str">
        <f>IFERROR(VLOOKUP(M232,'02. MM-KLH'!$B$6:$T$823,4,0),"")</f>
        <v/>
      </c>
      <c r="M232" s="488" t="s">
        <v>1787</v>
      </c>
      <c r="N232" s="615">
        <f>IFERROR(VLOOKUP(M232,'02. MM-KLH'!$B$6:$T$823,15,0),"")</f>
        <v>2025</v>
      </c>
      <c r="O232" s="616" t="str">
        <f>IFERROR(VLOOKUP(M232,'02. MM-KLH'!$B$6:$T$823,9,0),"")</f>
        <v>18/12/2025</v>
      </c>
      <c r="P232" s="613"/>
      <c r="Q232" s="566" t="s">
        <v>5833</v>
      </c>
      <c r="R232" s="566" t="s">
        <v>4158</v>
      </c>
      <c r="S232" s="613"/>
      <c r="T232" s="613"/>
      <c r="U232" s="559" t="str">
        <f>IFERROR(VLOOKUP(M232,'02. MM-KLH'!$B$6:$T$823,5,0),"")</f>
        <v>MỚI</v>
      </c>
      <c r="V232" s="523" t="str">
        <f>IFERROR(VLOOKUP(M232,'02. MM-KLH'!$B$6:$T$823,8,0),"")</f>
        <v>XN Bò AD</v>
      </c>
      <c r="W232" s="559" t="str">
        <f>IFERROR(VLOOKUP(V232,'NS QUẢN LÝ CG'!$A$4:$D$36,2,0),"")</f>
        <v>Trần Văn Nam</v>
      </c>
      <c r="X232" s="559" t="str">
        <f>IFERROR(VLOOKUP(V232,'NS QUẢN LÝ CG'!$A$4:$D$36,4,0),"")</f>
        <v>Lô 28 XN Bò</v>
      </c>
      <c r="Y232" s="559" t="str">
        <f>IFERROR(VLOOKUP(V232,'NS QUẢN LÝ CG'!$A$4:$C$36,3,0),"")</f>
        <v>0971993540</v>
      </c>
      <c r="Z232" s="523" t="str">
        <f>IFERROR(VLOOKUP(M232,'02. MM-KLH'!$B$6:$T$823,3,0),"")</f>
        <v>A22-MKE-059</v>
      </c>
      <c r="AA232" s="559" t="str">
        <f t="shared" si="15"/>
        <v>ADM</v>
      </c>
      <c r="AB232" s="523"/>
      <c r="AC232" s="523"/>
    </row>
    <row r="233">
      <c r="A233" s="523"/>
      <c r="B233" s="612" t="str">
        <f>IFERROR(VLOOKUP(M233,'02. MM-KLH'!$B$6:$T$823,6,0),"")</f>
        <v>Máy cày LOVOL 1504</v>
      </c>
      <c r="C233" s="566">
        <v>1.0</v>
      </c>
      <c r="D233" s="613">
        <f>IFERROR(VLOOKUP(M233,'02. MM-KLH'!$B$6:$T$823,16,0),"")</f>
        <v>1504</v>
      </c>
      <c r="E233" s="561" t="s">
        <v>4158</v>
      </c>
      <c r="F233" s="613"/>
      <c r="G233" s="613"/>
      <c r="H233" s="613" t="str">
        <f>IFERROR(VLOOKUP(M233,'02. MM-KLH'!$B$6:$T$823,17,0),"")</f>
        <v>150HP</v>
      </c>
      <c r="I233" s="614">
        <f>IFERROR(VLOOKUP(M233,'02. MM-KLH'!$B$6:$U$823,20,0),"")</f>
        <v>13</v>
      </c>
      <c r="J233" s="612" t="str">
        <f>IFERROR(VLOOKUP(M233,'02. MM-KLH'!$B$6:$T$823,19,0),"")</f>
        <v>WP6G180E3306P25J023350</v>
      </c>
      <c r="K233" s="612" t="str">
        <f>IFERROR(VLOOKUP(M233,'02. MM-KLH'!$B$6:$T$823,18,0),"")</f>
        <v>M600280SX</v>
      </c>
      <c r="L233" s="613" t="str">
        <f>IFERROR(VLOOKUP(M233,'02. MM-KLH'!$B$6:$T$823,4,0),"")</f>
        <v/>
      </c>
      <c r="M233" s="488" t="s">
        <v>1795</v>
      </c>
      <c r="N233" s="615">
        <f>IFERROR(VLOOKUP(M233,'02. MM-KLH'!$B$6:$T$823,15,0),"")</f>
        <v>2025</v>
      </c>
      <c r="O233" s="616" t="str">
        <f>IFERROR(VLOOKUP(M233,'02. MM-KLH'!$B$6:$T$823,9,0),"")</f>
        <v>18/12/2025</v>
      </c>
      <c r="P233" s="613"/>
      <c r="Q233" s="566">
        <v>1224.0</v>
      </c>
      <c r="R233" s="566" t="s">
        <v>4158</v>
      </c>
      <c r="S233" s="613"/>
      <c r="T233" s="613"/>
      <c r="U233" s="559" t="str">
        <f>IFERROR(VLOOKUP(M233,'02. MM-KLH'!$B$6:$T$823,5,0),"")</f>
        <v>MỚI</v>
      </c>
      <c r="V233" s="523" t="str">
        <f>IFERROR(VLOOKUP(M233,'02. MM-KLH'!$B$6:$T$823,8,0),"")</f>
        <v>XN Bò AD</v>
      </c>
      <c r="W233" s="559" t="str">
        <f>IFERROR(VLOOKUP(V233,'NS QUẢN LÝ CG'!$A$4:$D$36,2,0),"")</f>
        <v>Trần Văn Nam</v>
      </c>
      <c r="X233" s="559" t="str">
        <f>IFERROR(VLOOKUP(V233,'NS QUẢN LÝ CG'!$A$4:$D$36,4,0),"")</f>
        <v>Lô 28 XN Bò</v>
      </c>
      <c r="Y233" s="559" t="str">
        <f>IFERROR(VLOOKUP(V233,'NS QUẢN LÝ CG'!$A$4:$C$36,3,0),"")</f>
        <v>0971993540</v>
      </c>
      <c r="Z233" s="523" t="str">
        <f>IFERROR(VLOOKUP(M233,'02. MM-KLH'!$B$6:$T$823,3,0),"")</f>
        <v>A22-MKE-061</v>
      </c>
      <c r="AA233" s="559" t="str">
        <f t="shared" si="15"/>
        <v>ADM</v>
      </c>
      <c r="AB233" s="523"/>
      <c r="AC233" s="523"/>
    </row>
    <row r="234">
      <c r="A234" s="523"/>
      <c r="B234" s="612" t="str">
        <f>IFERROR(VLOOKUP(M234,'02. MM-KLH'!$B$6:$T$823,6,0),"")</f>
        <v>Máy cày LOVOL TR1504</v>
      </c>
      <c r="C234" s="566">
        <v>1.0</v>
      </c>
      <c r="D234" s="613" t="str">
        <f>IFERROR(VLOOKUP(M234,'02. MM-KLH'!$B$6:$T$823,16,0),"")</f>
        <v>TR1504</v>
      </c>
      <c r="E234" s="561" t="s">
        <v>4158</v>
      </c>
      <c r="F234" s="613"/>
      <c r="G234" s="613"/>
      <c r="H234" s="613" t="str">
        <f>IFERROR(VLOOKUP(M234,'02. MM-KLH'!$B$6:$T$823,17,0),"")</f>
        <v>150 HP</v>
      </c>
      <c r="I234" s="614" t="str">
        <f>IFERROR(VLOOKUP(M234,'02. MM-KLH'!$B$6:$U$823,20,0),"")</f>
        <v/>
      </c>
      <c r="J234" s="612" t="str">
        <f>IFERROR(VLOOKUP(M234,'02. MM-KLH'!$B$6:$T$823,19,0),"")</f>
        <v>6P26C009038</v>
      </c>
      <c r="K234" s="612" t="str">
        <f>IFERROR(VLOOKUP(M234,'02. MM-KLH'!$B$6:$T$823,18,0),"")</f>
        <v>M600086TY</v>
      </c>
      <c r="L234" s="613" t="str">
        <f>IFERROR(VLOOKUP(M234,'02. MM-KLH'!$B$6:$T$823,4,0),"")</f>
        <v/>
      </c>
      <c r="M234" s="488" t="s">
        <v>1859</v>
      </c>
      <c r="N234" s="615">
        <f>IFERROR(VLOOKUP(M234,'02. MM-KLH'!$B$6:$T$823,15,0),"")</f>
        <v>2026</v>
      </c>
      <c r="O234" s="616" t="str">
        <f>IFERROR(VLOOKUP(M234,'02. MM-KLH'!$B$6:$T$823,9,0),"")</f>
        <v>28/05/2026</v>
      </c>
      <c r="P234" s="613"/>
      <c r="Q234" s="566">
        <v>375.0</v>
      </c>
      <c r="R234" s="566" t="s">
        <v>4158</v>
      </c>
      <c r="S234" s="613"/>
      <c r="T234" s="613"/>
      <c r="U234" s="559" t="str">
        <f>IFERROR(VLOOKUP(M234,'02. MM-KLH'!$B$6:$T$823,5,0),"")</f>
        <v>MỚI</v>
      </c>
      <c r="V234" s="523" t="str">
        <f>IFERROR(VLOOKUP(M234,'02. MM-KLH'!$B$6:$T$823,8,0),"")</f>
        <v>XN Bò AD</v>
      </c>
      <c r="W234" s="559" t="str">
        <f>IFERROR(VLOOKUP(V234,'NS QUẢN LÝ CG'!$A$4:$D$36,2,0),"")</f>
        <v>Trần Văn Nam</v>
      </c>
      <c r="X234" s="559" t="str">
        <f>IFERROR(VLOOKUP(V234,'NS QUẢN LÝ CG'!$A$4:$D$36,4,0),"")</f>
        <v>Lô 28 XN Bò</v>
      </c>
      <c r="Y234" s="559" t="str">
        <f>IFERROR(VLOOKUP(V234,'NS QUẢN LÝ CG'!$A$4:$C$36,3,0),"")</f>
        <v>0971993540</v>
      </c>
      <c r="Z234" s="523" t="str">
        <f>IFERROR(VLOOKUP(M234,'02. MM-KLH'!$B$6:$T$823,3,0),"")</f>
        <v>A23-MKE-039</v>
      </c>
      <c r="AA234" s="559" t="str">
        <f t="shared" si="15"/>
        <v>DP</v>
      </c>
      <c r="AB234" s="523"/>
      <c r="AC234" s="523"/>
    </row>
    <row r="235">
      <c r="A235" s="523"/>
      <c r="B235" s="612" t="str">
        <f>IFERROR(VLOOKUP(M235,'02. MM-KLH'!$B$6:$T$823,6,0),"")</f>
        <v>Máy cày LOVOL TR1504</v>
      </c>
      <c r="C235" s="566">
        <v>1.0</v>
      </c>
      <c r="D235" s="613" t="str">
        <f>IFERROR(VLOOKUP(M235,'02. MM-KLH'!$B$6:$T$823,16,0),"")</f>
        <v>TR1504</v>
      </c>
      <c r="E235" s="561" t="s">
        <v>4158</v>
      </c>
      <c r="F235" s="613"/>
      <c r="G235" s="613"/>
      <c r="H235" s="613" t="str">
        <f>IFERROR(VLOOKUP(M235,'02. MM-KLH'!$B$6:$T$823,17,0),"")</f>
        <v>150 HP</v>
      </c>
      <c r="I235" s="614" t="str">
        <f>IFERROR(VLOOKUP(M235,'02. MM-KLH'!$B$6:$U$823,20,0),"")</f>
        <v/>
      </c>
      <c r="J235" s="612" t="str">
        <f>IFERROR(VLOOKUP(M235,'02. MM-KLH'!$B$6:$T$823,19,0),"")</f>
        <v>6P26C009039</v>
      </c>
      <c r="K235" s="612" t="str">
        <f>IFERROR(VLOOKUP(M235,'02. MM-KLH'!$B$6:$T$823,18,0),"")</f>
        <v>M600087TY</v>
      </c>
      <c r="L235" s="613" t="str">
        <f>IFERROR(VLOOKUP(M235,'02. MM-KLH'!$B$6:$T$823,4,0),"")</f>
        <v/>
      </c>
      <c r="M235" s="488" t="s">
        <v>1866</v>
      </c>
      <c r="N235" s="615">
        <f>IFERROR(VLOOKUP(M235,'02. MM-KLH'!$B$6:$T$823,15,0),"")</f>
        <v>2026</v>
      </c>
      <c r="O235" s="616" t="str">
        <f>IFERROR(VLOOKUP(M235,'02. MM-KLH'!$B$6:$T$823,9,0),"")</f>
        <v>28/05/2026</v>
      </c>
      <c r="P235" s="613"/>
      <c r="Q235" s="566">
        <v>265.0</v>
      </c>
      <c r="R235" s="566" t="s">
        <v>4158</v>
      </c>
      <c r="S235" s="613"/>
      <c r="T235" s="613"/>
      <c r="U235" s="559" t="str">
        <f>IFERROR(VLOOKUP(M235,'02. MM-KLH'!$B$6:$T$823,5,0),"")</f>
        <v>MỚI</v>
      </c>
      <c r="V235" s="523" t="str">
        <f>IFERROR(VLOOKUP(M235,'02. MM-KLH'!$B$6:$T$823,8,0),"")</f>
        <v>XN Bò AD</v>
      </c>
      <c r="W235" s="559" t="str">
        <f>IFERROR(VLOOKUP(V235,'NS QUẢN LÝ CG'!$A$4:$D$36,2,0),"")</f>
        <v>Trần Văn Nam</v>
      </c>
      <c r="X235" s="559" t="str">
        <f>IFERROR(VLOOKUP(V235,'NS QUẢN LÝ CG'!$A$4:$D$36,4,0),"")</f>
        <v>Lô 28 XN Bò</v>
      </c>
      <c r="Y235" s="559" t="str">
        <f>IFERROR(VLOOKUP(V235,'NS QUẢN LÝ CG'!$A$4:$C$36,3,0),"")</f>
        <v>0971993540</v>
      </c>
      <c r="Z235" s="523" t="str">
        <f>IFERROR(VLOOKUP(M235,'02. MM-KLH'!$B$6:$T$823,3,0),"")</f>
        <v>A23-MKE-040</v>
      </c>
      <c r="AA235" s="559" t="str">
        <f t="shared" si="15"/>
        <v>DP</v>
      </c>
      <c r="AB235" s="523"/>
      <c r="AC235" s="523"/>
    </row>
    <row r="236">
      <c r="A236" s="523"/>
      <c r="B236" s="612" t="str">
        <f>IFERROR(VLOOKUP(M236,'02. MM-KLH'!$B$6:$T$823,6,0),"")</f>
        <v>Máy cày LOVOL TR1504</v>
      </c>
      <c r="C236" s="566">
        <v>1.0</v>
      </c>
      <c r="D236" s="613" t="str">
        <f>IFERROR(VLOOKUP(M236,'02. MM-KLH'!$B$6:$T$823,16,0),"")</f>
        <v>TR1504</v>
      </c>
      <c r="E236" s="561" t="s">
        <v>4158</v>
      </c>
      <c r="F236" s="613"/>
      <c r="G236" s="613"/>
      <c r="H236" s="613" t="str">
        <f>IFERROR(VLOOKUP(M236,'02. MM-KLH'!$B$6:$T$823,17,0),"")</f>
        <v>150 HP</v>
      </c>
      <c r="I236" s="614" t="str">
        <f>IFERROR(VLOOKUP(M236,'02. MM-KLH'!$B$6:$U$823,20,0),"")</f>
        <v/>
      </c>
      <c r="J236" s="612" t="str">
        <f>IFERROR(VLOOKUP(M236,'02. MM-KLH'!$B$6:$T$823,19,0),"")</f>
        <v>6P26C009040</v>
      </c>
      <c r="K236" s="612" t="str">
        <f>IFERROR(VLOOKUP(M236,'02. MM-KLH'!$B$6:$T$823,18,0),"")</f>
        <v>M600088TY</v>
      </c>
      <c r="L236" s="613" t="str">
        <f>IFERROR(VLOOKUP(M236,'02. MM-KLH'!$B$6:$T$823,4,0),"")</f>
        <v/>
      </c>
      <c r="M236" s="488" t="s">
        <v>1870</v>
      </c>
      <c r="N236" s="615">
        <f>IFERROR(VLOOKUP(M236,'02. MM-KLH'!$B$6:$T$823,15,0),"")</f>
        <v>2026</v>
      </c>
      <c r="O236" s="616" t="str">
        <f>IFERROR(VLOOKUP(M236,'02. MM-KLH'!$B$6:$T$823,9,0),"")</f>
        <v>28/05/2026</v>
      </c>
      <c r="P236" s="613"/>
      <c r="Q236" s="566">
        <v>495.0</v>
      </c>
      <c r="R236" s="566" t="s">
        <v>4158</v>
      </c>
      <c r="S236" s="613"/>
      <c r="T236" s="613"/>
      <c r="U236" s="559" t="str">
        <f>IFERROR(VLOOKUP(M236,'02. MM-KLH'!$B$6:$T$823,5,0),"")</f>
        <v>MỚI</v>
      </c>
      <c r="V236" s="523" t="str">
        <f>IFERROR(VLOOKUP(M236,'02. MM-KLH'!$B$6:$T$823,8,0),"")</f>
        <v>XN Bò AD</v>
      </c>
      <c r="W236" s="559" t="str">
        <f>IFERROR(VLOOKUP(V236,'NS QUẢN LÝ CG'!$A$4:$D$36,2,0),"")</f>
        <v>Trần Văn Nam</v>
      </c>
      <c r="X236" s="559" t="str">
        <f>IFERROR(VLOOKUP(V236,'NS QUẢN LÝ CG'!$A$4:$D$36,4,0),"")</f>
        <v>Lô 28 XN Bò</v>
      </c>
      <c r="Y236" s="559" t="str">
        <f>IFERROR(VLOOKUP(V236,'NS QUẢN LÝ CG'!$A$4:$C$36,3,0),"")</f>
        <v>0971993540</v>
      </c>
      <c r="Z236" s="523" t="str">
        <f>IFERROR(VLOOKUP(M236,'02. MM-KLH'!$B$6:$T$823,3,0),"")</f>
        <v>A23-MKE-041</v>
      </c>
      <c r="AA236" s="559" t="str">
        <f t="shared" si="15"/>
        <v>DP</v>
      </c>
      <c r="AB236" s="523"/>
      <c r="AC236" s="523"/>
    </row>
    <row r="237">
      <c r="A237" s="523"/>
      <c r="B237" s="612" t="str">
        <f>IFERROR(VLOOKUP(M237,'02. MM-KLH'!$B$6:$T$823,6,0),"")</f>
        <v>Máy cày LOVOL 2204</v>
      </c>
      <c r="C237" s="566">
        <v>1.0</v>
      </c>
      <c r="D237" s="613" t="str">
        <f>IFERROR(VLOOKUP(M237,'02. MM-KLH'!$B$6:$T$823,16,0),"")</f>
        <v>TR2204</v>
      </c>
      <c r="E237" s="561" t="s">
        <v>4158</v>
      </c>
      <c r="F237" s="613"/>
      <c r="G237" s="613"/>
      <c r="H237" s="613" t="str">
        <f>IFERROR(VLOOKUP(M237,'02. MM-KLH'!$B$6:$T$823,17,0),"")</f>
        <v>217HP</v>
      </c>
      <c r="I237" s="614">
        <f>IFERROR(VLOOKUP(M237,'02. MM-KLH'!$B$6:$U$823,20,0),"")</f>
        <v>17.5</v>
      </c>
      <c r="J237" s="612" t="str">
        <f>IFERROR(VLOOKUP(M237,'02. MM-KLH'!$B$6:$T$823,19,0),"")</f>
        <v>7324C004472</v>
      </c>
      <c r="K237" s="612" t="str">
        <f>IFERROR(VLOOKUP(M237,'02. MM-KLH'!$B$6:$T$823,18,0),"")</f>
        <v>M600085RM</v>
      </c>
      <c r="L237" s="613" t="str">
        <f>IFERROR(VLOOKUP(M237,'02. MM-KLH'!$B$6:$T$823,4,0),"")</f>
        <v/>
      </c>
      <c r="M237" s="488" t="s">
        <v>1733</v>
      </c>
      <c r="N237" s="615">
        <f>IFERROR(VLOOKUP(M237,'02. MM-KLH'!$B$6:$T$823,15,0),"")</f>
        <v>2024</v>
      </c>
      <c r="O237" s="616" t="str">
        <f>IFERROR(VLOOKUP(M237,'02. MM-KLH'!$B$6:$T$823,9,0),"")</f>
        <v>26/10/2024</v>
      </c>
      <c r="P237" s="613"/>
      <c r="Q237" s="566" t="s">
        <v>1565</v>
      </c>
      <c r="R237" s="613"/>
      <c r="S237" s="566" t="s">
        <v>4158</v>
      </c>
      <c r="T237" s="613"/>
      <c r="U237" s="559" t="str">
        <f>IFERROR(VLOOKUP(M237,'02. MM-KLH'!$B$6:$T$823,5,0),"")</f>
        <v>MỚI</v>
      </c>
      <c r="V237" s="523" t="str">
        <f>IFERROR(VLOOKUP(M237,'02. MM-KLH'!$B$6:$T$823,8,0),"")</f>
        <v>XN Bò AD</v>
      </c>
      <c r="W237" s="559" t="str">
        <f>IFERROR(VLOOKUP(V237,'NS QUẢN LÝ CG'!$A$4:$D$36,2,0),"")</f>
        <v>Trần Văn Nam</v>
      </c>
      <c r="X237" s="559" t="str">
        <f>IFERROR(VLOOKUP(V237,'NS QUẢN LÝ CG'!$A$4:$D$36,4,0),"")</f>
        <v>Lô 28 XN Bò</v>
      </c>
      <c r="Y237" s="559" t="str">
        <f>IFERROR(VLOOKUP(V237,'NS QUẢN LÝ CG'!$A$4:$C$36,3,0),"")</f>
        <v>0971993540</v>
      </c>
      <c r="Z237" s="523" t="str">
        <f>IFERROR(VLOOKUP(M237,'02. MM-KLH'!$B$6:$T$823,3,0),"")</f>
        <v>A22-MKE-043</v>
      </c>
      <c r="AA237" s="559" t="str">
        <f t="shared" si="15"/>
        <v>ADM</v>
      </c>
      <c r="AB237" s="523"/>
      <c r="AC237" s="523"/>
    </row>
    <row r="238">
      <c r="A238" s="523"/>
      <c r="B238" s="612" t="str">
        <f>IFERROR(VLOOKUP(M238,'02. MM-KLH'!$B$6:$T$823,6,0),"")</f>
        <v>Máy cày LOVOL P3050</v>
      </c>
      <c r="C238" s="566">
        <v>1.0</v>
      </c>
      <c r="D238" s="613" t="str">
        <f>IFERROR(VLOOKUP(M238,'02. MM-KLH'!$B$6:$T$823,16,0),"")</f>
        <v>P3050</v>
      </c>
      <c r="E238" s="561" t="s">
        <v>4158</v>
      </c>
      <c r="F238" s="613"/>
      <c r="G238" s="613"/>
      <c r="H238" s="613" t="str">
        <f>IFERROR(VLOOKUP(M238,'02. MM-KLH'!$B$6:$T$823,17,0),"")</f>
        <v>47Hp</v>
      </c>
      <c r="I238" s="614">
        <f>IFERROR(VLOOKUP(M238,'02. MM-KLH'!$B$6:$U$823,20,0),"")</f>
        <v>3.3</v>
      </c>
      <c r="J238" s="612" t="str">
        <f>IFERROR(VLOOKUP(M238,'02. MM-KLH'!$B$6:$T$823,19,0),"")</f>
        <v>FTTP3A34VRS000231</v>
      </c>
      <c r="K238" s="612" t="str">
        <f>IFERROR(VLOOKUP(M238,'02. MM-KLH'!$B$6:$T$823,18,0),"")</f>
        <v>TY1S312020001K301198R03</v>
      </c>
      <c r="L238" s="613" t="str">
        <f>IFERROR(VLOOKUP(M238,'02. MM-KLH'!$B$6:$T$823,4,0),"")</f>
        <v/>
      </c>
      <c r="M238" s="488" t="s">
        <v>1409</v>
      </c>
      <c r="N238" s="615">
        <f>IFERROR(VLOOKUP(M238,'02. MM-KLH'!$B$6:$T$823,15,0),"")</f>
        <v>2024</v>
      </c>
      <c r="O238" s="616" t="str">
        <f>IFERROR(VLOOKUP(M238,'02. MM-KLH'!$B$6:$T$823,9,0),"")</f>
        <v>18/05/2026</v>
      </c>
      <c r="P238" s="613"/>
      <c r="Q238" s="566">
        <v>25113.0</v>
      </c>
      <c r="R238" s="566" t="s">
        <v>4158</v>
      </c>
      <c r="S238" s="613"/>
      <c r="T238" s="613"/>
      <c r="U238" s="559" t="str">
        <f>IFERROR(VLOOKUP(M238,'02. MM-KLH'!$B$6:$T$823,5,0),"")</f>
        <v>MỚI</v>
      </c>
      <c r="V238" s="523" t="str">
        <f>IFERROR(VLOOKUP(M238,'02. MM-KLH'!$B$6:$T$823,8,0),"")</f>
        <v>XN Chuối LP3</v>
      </c>
      <c r="W238" s="559" t="str">
        <f>IFERROR(VLOOKUP(V238,'NS QUẢN LÝ CG'!$A$4:$D$36,2,0),"")</f>
        <v>Lê Cao Nghị</v>
      </c>
      <c r="X238" s="559" t="str">
        <f>IFERROR(VLOOKUP(V238,'NS QUẢN LÝ CG'!$A$4:$D$36,4,0),"")</f>
        <v>Lô 2 LP3</v>
      </c>
      <c r="Y238" s="559" t="str">
        <f>IFERROR(VLOOKUP(V238,'NS QUẢN LÝ CG'!$A$4:$C$36,3,0),"")</f>
        <v>0977423100</v>
      </c>
      <c r="Z238" s="523" t="str">
        <f>IFERROR(VLOOKUP(M238,'02. MM-KLH'!$B$6:$T$823,3,0),"")</f>
        <v>A22-MKE-008</v>
      </c>
      <c r="AA238" s="559" t="str">
        <f t="shared" si="15"/>
        <v>ADM</v>
      </c>
      <c r="AB238" s="523"/>
      <c r="AC238" s="523"/>
    </row>
    <row r="239">
      <c r="A239" s="523"/>
      <c r="B239" s="612" t="str">
        <f>IFERROR(VLOOKUP(M239,'02. MM-KLH'!$B$6:$T$823,6,0),"")</f>
        <v>Máy cày LOVOL P4100</v>
      </c>
      <c r="C239" s="566">
        <v>1.0</v>
      </c>
      <c r="D239" s="613" t="str">
        <f>IFERROR(VLOOKUP(M239,'02. MM-KLH'!$B$6:$T$823,16,0),"")</f>
        <v>P4100</v>
      </c>
      <c r="E239" s="561" t="s">
        <v>4158</v>
      </c>
      <c r="F239" s="613"/>
      <c r="G239" s="613"/>
      <c r="H239" s="613" t="str">
        <f>IFERROR(VLOOKUP(M239,'02. MM-KLH'!$B$6:$T$823,17,0),"")</f>
        <v>98HP</v>
      </c>
      <c r="I239" s="614">
        <f>IFERROR(VLOOKUP(M239,'02. MM-KLH'!$B$6:$U$823,20,0),"")</f>
        <v>6</v>
      </c>
      <c r="J239" s="612" t="str">
        <f>IFERROR(VLOOKUP(M239,'02. MM-KLH'!$B$6:$T$823,19,0),"")</f>
        <v>P400120RV</v>
      </c>
      <c r="K239" s="612" t="str">
        <f>IFERROR(VLOOKUP(M239,'02. MM-KLH'!$B$6:$T$823,18,0),"")</f>
        <v>E424H012739</v>
      </c>
      <c r="L239" s="613" t="str">
        <f>IFERROR(VLOOKUP(M239,'02. MM-KLH'!$B$6:$T$823,4,0),"")</f>
        <v/>
      </c>
      <c r="M239" s="488" t="s">
        <v>1724</v>
      </c>
      <c r="N239" s="615">
        <f>IFERROR(VLOOKUP(M239,'02. MM-KLH'!$B$6:$T$823,15,0),"")</f>
        <v>2024</v>
      </c>
      <c r="O239" s="616" t="str">
        <f>IFERROR(VLOOKUP(M239,'02. MM-KLH'!$B$6:$T$823,9,0),"")</f>
        <v>25/10/2024</v>
      </c>
      <c r="P239" s="613"/>
      <c r="Q239" s="566">
        <v>3269.0</v>
      </c>
      <c r="R239" s="566" t="s">
        <v>4158</v>
      </c>
      <c r="S239" s="613"/>
      <c r="T239" s="613"/>
      <c r="U239" s="559" t="str">
        <f>IFERROR(VLOOKUP(M239,'02. MM-KLH'!$B$6:$T$823,5,0),"")</f>
        <v>MỚI</v>
      </c>
      <c r="V239" s="523" t="str">
        <f>IFERROR(VLOOKUP(M239,'02. MM-KLH'!$B$6:$T$823,8,0),"")</f>
        <v>XN Bò AD</v>
      </c>
      <c r="W239" s="559" t="str">
        <f>IFERROR(VLOOKUP(V239,'NS QUẢN LÝ CG'!$A$4:$D$36,2,0),"")</f>
        <v>Trần Văn Nam</v>
      </c>
      <c r="X239" s="559" t="str">
        <f>IFERROR(VLOOKUP(V239,'NS QUẢN LÝ CG'!$A$4:$D$36,4,0),"")</f>
        <v>Lô 28 XN Bò</v>
      </c>
      <c r="Y239" s="559" t="str">
        <f>IFERROR(VLOOKUP(V239,'NS QUẢN LÝ CG'!$A$4:$C$36,3,0),"")</f>
        <v>0971993540</v>
      </c>
      <c r="Z239" s="523" t="str">
        <f>IFERROR(VLOOKUP(M239,'02. MM-KLH'!$B$6:$T$823,3,0),"")</f>
        <v>A22-MKE-041</v>
      </c>
      <c r="AA239" s="559" t="str">
        <f t="shared" si="15"/>
        <v>ADM</v>
      </c>
      <c r="AB239" s="523"/>
      <c r="AC239" s="523"/>
    </row>
    <row r="240">
      <c r="A240" s="523"/>
      <c r="B240" s="612" t="str">
        <f>IFERROR(VLOOKUP(M240,'02. MM-KLH'!$B$6:$T$823,6,0),"")</f>
        <v>Máy cày LOVOL P4100</v>
      </c>
      <c r="C240" s="566">
        <v>1.0</v>
      </c>
      <c r="D240" s="613" t="str">
        <f>IFERROR(VLOOKUP(M240,'02. MM-KLH'!$B$6:$T$823,16,0),"")</f>
        <v>P4100</v>
      </c>
      <c r="E240" s="561" t="s">
        <v>4158</v>
      </c>
      <c r="F240" s="613"/>
      <c r="G240" s="613"/>
      <c r="H240" s="613" t="str">
        <f>IFERROR(VLOOKUP(M240,'02. MM-KLH'!$B$6:$T$823,17,0),"")</f>
        <v>100 HP</v>
      </c>
      <c r="I240" s="614" t="str">
        <f>IFERROR(VLOOKUP(M240,'02. MM-KLH'!$B$6:$U$823,20,0),"")</f>
        <v/>
      </c>
      <c r="J240" s="612" t="str">
        <f>IFERROR(VLOOKUP(M240,'02. MM-KLH'!$B$6:$T$823,19,0),"")</f>
        <v>E426C008054</v>
      </c>
      <c r="K240" s="612" t="str">
        <f>IFERROR(VLOOKUP(M240,'02. MM-KLH'!$B$6:$T$823,18,0),"")</f>
        <v>P400050TM</v>
      </c>
      <c r="L240" s="613" t="str">
        <f>IFERROR(VLOOKUP(M240,'02. MM-KLH'!$B$6:$T$823,4,0),"")</f>
        <v/>
      </c>
      <c r="M240" s="488" t="s">
        <v>1779</v>
      </c>
      <c r="N240" s="615">
        <f>IFERROR(VLOOKUP(M240,'02. MM-KLH'!$B$6:$T$823,15,0),"")</f>
        <v>2026</v>
      </c>
      <c r="O240" s="616" t="str">
        <f>IFERROR(VLOOKUP(M240,'02. MM-KLH'!$B$6:$T$823,9,0),"")</f>
        <v>28/05/2026</v>
      </c>
      <c r="P240" s="613"/>
      <c r="Q240" s="566">
        <v>405.0</v>
      </c>
      <c r="R240" s="566" t="s">
        <v>4158</v>
      </c>
      <c r="S240" s="613"/>
      <c r="T240" s="613"/>
      <c r="U240" s="559" t="str">
        <f>IFERROR(VLOOKUP(M240,'02. MM-KLH'!$B$6:$T$823,5,0),"")</f>
        <v>MỚI</v>
      </c>
      <c r="V240" s="523" t="str">
        <f>IFERROR(VLOOKUP(M240,'02. MM-KLH'!$B$6:$T$823,8,0),"")</f>
        <v>XN Bò AD</v>
      </c>
      <c r="W240" s="559" t="str">
        <f>IFERROR(VLOOKUP(V240,'NS QUẢN LÝ CG'!$A$4:$D$36,2,0),"")</f>
        <v>Trần Văn Nam</v>
      </c>
      <c r="X240" s="559" t="str">
        <f>IFERROR(VLOOKUP(V240,'NS QUẢN LÝ CG'!$A$4:$D$36,4,0),"")</f>
        <v>Lô 28 XN Bò</v>
      </c>
      <c r="Y240" s="559" t="str">
        <f>IFERROR(VLOOKUP(V240,'NS QUẢN LÝ CG'!$A$4:$C$36,3,0),"")</f>
        <v>0971993540</v>
      </c>
      <c r="Z240" s="523" t="str">
        <f>IFERROR(VLOOKUP(M240,'02. MM-KLH'!$B$6:$T$823,3,0),"")</f>
        <v>A22-MKE-064</v>
      </c>
      <c r="AA240" s="559" t="str">
        <f t="shared" si="15"/>
        <v>ADM</v>
      </c>
      <c r="AB240" s="523"/>
      <c r="AC240" s="523"/>
    </row>
    <row r="241">
      <c r="A241" s="523"/>
      <c r="B241" s="612" t="str">
        <f>IFERROR(VLOOKUP(M241,'02. MM-KLH'!$B$6:$T$823,6,0),"")</f>
        <v>Máy cày LOVOL P4100</v>
      </c>
      <c r="C241" s="566">
        <v>1.0</v>
      </c>
      <c r="D241" s="613" t="str">
        <f>IFERROR(VLOOKUP(M241,'02. MM-KLH'!$B$6:$T$823,16,0),"")</f>
        <v>P4100</v>
      </c>
      <c r="E241" s="561" t="s">
        <v>4158</v>
      </c>
      <c r="F241" s="613"/>
      <c r="G241" s="613"/>
      <c r="H241" s="613" t="str">
        <f>IFERROR(VLOOKUP(M241,'02. MM-KLH'!$B$6:$T$823,17,0),"")</f>
        <v>100 HP</v>
      </c>
      <c r="I241" s="614" t="str">
        <f>IFERROR(VLOOKUP(M241,'02. MM-KLH'!$B$6:$U$823,20,0),"")</f>
        <v/>
      </c>
      <c r="J241" s="612" t="str">
        <f>IFERROR(VLOOKUP(M241,'02. MM-KLH'!$B$6:$T$823,19,0),"")</f>
        <v>E426C008049</v>
      </c>
      <c r="K241" s="612" t="str">
        <f>IFERROR(VLOOKUP(M241,'02. MM-KLH'!$B$6:$T$823,18,0),"")</f>
        <v>P400051TM</v>
      </c>
      <c r="L241" s="613" t="str">
        <f>IFERROR(VLOOKUP(M241,'02. MM-KLH'!$B$6:$T$823,4,0),"")</f>
        <v/>
      </c>
      <c r="M241" s="488" t="s">
        <v>1791</v>
      </c>
      <c r="N241" s="615">
        <f>IFERROR(VLOOKUP(M241,'02. MM-KLH'!$B$6:$T$823,15,0),"")</f>
        <v>2026</v>
      </c>
      <c r="O241" s="616" t="str">
        <f>IFERROR(VLOOKUP(M241,'02. MM-KLH'!$B$6:$T$823,9,0),"")</f>
        <v>28/05/2026</v>
      </c>
      <c r="P241" s="613"/>
      <c r="Q241" s="566">
        <v>364.0</v>
      </c>
      <c r="R241" s="566" t="s">
        <v>4158</v>
      </c>
      <c r="S241" s="613"/>
      <c r="T241" s="613"/>
      <c r="U241" s="559" t="str">
        <f>IFERROR(VLOOKUP(M241,'02. MM-KLH'!$B$6:$T$823,5,0),"")</f>
        <v>MỚI</v>
      </c>
      <c r="V241" s="523" t="str">
        <f>IFERROR(VLOOKUP(M241,'02. MM-KLH'!$B$6:$T$823,8,0),"")</f>
        <v>XN Bò AD</v>
      </c>
      <c r="W241" s="559" t="str">
        <f>IFERROR(VLOOKUP(V241,'NS QUẢN LÝ CG'!$A$4:$D$36,2,0),"")</f>
        <v>Trần Văn Nam</v>
      </c>
      <c r="X241" s="559" t="str">
        <f>IFERROR(VLOOKUP(V241,'NS QUẢN LÝ CG'!$A$4:$D$36,4,0),"")</f>
        <v>Lô 28 XN Bò</v>
      </c>
      <c r="Y241" s="559" t="str">
        <f>IFERROR(VLOOKUP(V241,'NS QUẢN LÝ CG'!$A$4:$C$36,3,0),"")</f>
        <v>0971993540</v>
      </c>
      <c r="Z241" s="523" t="str">
        <f>IFERROR(VLOOKUP(M241,'02. MM-KLH'!$B$6:$T$823,3,0),"")</f>
        <v>A22-MKE-065</v>
      </c>
      <c r="AA241" s="559" t="str">
        <f t="shared" si="15"/>
        <v>ADM</v>
      </c>
      <c r="AB241" s="523"/>
      <c r="AC241" s="523"/>
    </row>
    <row r="242">
      <c r="A242" s="523"/>
      <c r="B242" s="612" t="str">
        <f>IFERROR(VLOOKUP(M242,'02. MM-KLH'!$B$6:$T$823,6,0),"")</f>
        <v>Máy cày LOVOL P4100</v>
      </c>
      <c r="C242" s="566">
        <v>1.0</v>
      </c>
      <c r="D242" s="613" t="str">
        <f>IFERROR(VLOOKUP(M242,'02. MM-KLH'!$B$6:$T$823,16,0),"")</f>
        <v>P4100</v>
      </c>
      <c r="E242" s="561" t="s">
        <v>4158</v>
      </c>
      <c r="F242" s="613"/>
      <c r="G242" s="613"/>
      <c r="H242" s="613" t="str">
        <f>IFERROR(VLOOKUP(M242,'02. MM-KLH'!$B$6:$T$823,17,0),"")</f>
        <v>100 HP</v>
      </c>
      <c r="I242" s="614" t="str">
        <f>IFERROR(VLOOKUP(M242,'02. MM-KLH'!$B$6:$U$823,20,0),"")</f>
        <v/>
      </c>
      <c r="J242" s="612" t="str">
        <f>IFERROR(VLOOKUP(M242,'02. MM-KLH'!$B$6:$T$823,19,0),"")</f>
        <v>E426C008042</v>
      </c>
      <c r="K242" s="612" t="str">
        <f>IFERROR(VLOOKUP(M242,'02. MM-KLH'!$B$6:$T$823,18,0),"")</f>
        <v>P400052TM</v>
      </c>
      <c r="L242" s="613" t="str">
        <f>IFERROR(VLOOKUP(M242,'02. MM-KLH'!$B$6:$T$823,4,0),"")</f>
        <v/>
      </c>
      <c r="M242" s="488" t="s">
        <v>1837</v>
      </c>
      <c r="N242" s="615">
        <f>IFERROR(VLOOKUP(M242,'02. MM-KLH'!$B$6:$T$823,15,0),"")</f>
        <v>2026</v>
      </c>
      <c r="O242" s="616" t="str">
        <f>IFERROR(VLOOKUP(M242,'02. MM-KLH'!$B$6:$T$823,9,0),"")</f>
        <v>28/05/2026</v>
      </c>
      <c r="P242" s="613"/>
      <c r="Q242" s="566">
        <v>395.0</v>
      </c>
      <c r="R242" s="566" t="s">
        <v>4158</v>
      </c>
      <c r="S242" s="613"/>
      <c r="T242" s="613"/>
      <c r="U242" s="559" t="str">
        <f>IFERROR(VLOOKUP(M242,'02. MM-KLH'!$B$6:$T$823,5,0),"")</f>
        <v>MỚI</v>
      </c>
      <c r="V242" s="523" t="str">
        <f>IFERROR(VLOOKUP(M242,'02. MM-KLH'!$B$6:$T$823,8,0),"")</f>
        <v>XN Bò AD</v>
      </c>
      <c r="W242" s="559" t="str">
        <f>IFERROR(VLOOKUP(V242,'NS QUẢN LÝ CG'!$A$4:$D$36,2,0),"")</f>
        <v>Trần Văn Nam</v>
      </c>
      <c r="X242" s="559" t="str">
        <f>IFERROR(VLOOKUP(V242,'NS QUẢN LÝ CG'!$A$4:$D$36,4,0),"")</f>
        <v>Lô 28 XN Bò</v>
      </c>
      <c r="Y242" s="559" t="str">
        <f>IFERROR(VLOOKUP(V242,'NS QUẢN LÝ CG'!$A$4:$C$36,3,0),"")</f>
        <v>0971993540</v>
      </c>
      <c r="Z242" s="523" t="str">
        <f>IFERROR(VLOOKUP(M242,'02. MM-KLH'!$B$6:$T$823,3,0),"")</f>
        <v>A22-MKE-066</v>
      </c>
      <c r="AA242" s="559" t="str">
        <f t="shared" si="15"/>
        <v>ADM</v>
      </c>
      <c r="AB242" s="523"/>
      <c r="AC242" s="523"/>
    </row>
    <row r="243">
      <c r="A243" s="523"/>
      <c r="B243" s="612" t="str">
        <f>IFERROR(VLOOKUP(M243,'02. MM-KLH'!$B$6:$T$823,6,0),"")</f>
        <v>Máy cày LOVOL P4100</v>
      </c>
      <c r="C243" s="566">
        <v>1.0</v>
      </c>
      <c r="D243" s="613" t="str">
        <f>IFERROR(VLOOKUP(M243,'02. MM-KLH'!$B$6:$T$823,16,0),"")</f>
        <v>P4100</v>
      </c>
      <c r="E243" s="561" t="s">
        <v>4158</v>
      </c>
      <c r="F243" s="613"/>
      <c r="G243" s="613"/>
      <c r="H243" s="613" t="str">
        <f>IFERROR(VLOOKUP(M243,'02. MM-KLH'!$B$6:$T$823,17,0),"")</f>
        <v>100 HP</v>
      </c>
      <c r="I243" s="614" t="str">
        <f>IFERROR(VLOOKUP(M243,'02. MM-KLH'!$B$6:$U$823,20,0),"")</f>
        <v/>
      </c>
      <c r="J243" s="612" t="str">
        <f>IFERROR(VLOOKUP(M243,'02. MM-KLH'!$B$6:$T$823,19,0),"")</f>
        <v>E426C008052</v>
      </c>
      <c r="K243" s="612" t="str">
        <f>IFERROR(VLOOKUP(M243,'02. MM-KLH'!$B$6:$T$823,18,0),"")</f>
        <v>P400053TM</v>
      </c>
      <c r="L243" s="613" t="str">
        <f>IFERROR(VLOOKUP(M243,'02. MM-KLH'!$B$6:$T$823,4,0),"")</f>
        <v/>
      </c>
      <c r="M243" s="488" t="s">
        <v>1841</v>
      </c>
      <c r="N243" s="615">
        <f>IFERROR(VLOOKUP(M243,'02. MM-KLH'!$B$6:$T$823,15,0),"")</f>
        <v>2026</v>
      </c>
      <c r="O243" s="616" t="str">
        <f>IFERROR(VLOOKUP(M243,'02. MM-KLH'!$B$6:$T$823,9,0),"")</f>
        <v>28/05/2026</v>
      </c>
      <c r="P243" s="613"/>
      <c r="Q243" s="566">
        <v>456.0</v>
      </c>
      <c r="R243" s="566" t="s">
        <v>4158</v>
      </c>
      <c r="S243" s="613"/>
      <c r="T243" s="613"/>
      <c r="U243" s="559" t="str">
        <f>IFERROR(VLOOKUP(M243,'02. MM-KLH'!$B$6:$T$823,5,0),"")</f>
        <v>MỚI</v>
      </c>
      <c r="V243" s="523" t="str">
        <f>IFERROR(VLOOKUP(M243,'02. MM-KLH'!$B$6:$T$823,8,0),"")</f>
        <v>XN Bò AD</v>
      </c>
      <c r="W243" s="559" t="str">
        <f>IFERROR(VLOOKUP(V243,'NS QUẢN LÝ CG'!$A$4:$D$36,2,0),"")</f>
        <v>Trần Văn Nam</v>
      </c>
      <c r="X243" s="559" t="str">
        <f>IFERROR(VLOOKUP(V243,'NS QUẢN LÝ CG'!$A$4:$D$36,4,0),"")</f>
        <v>Lô 28 XN Bò</v>
      </c>
      <c r="Y243" s="559" t="str">
        <f>IFERROR(VLOOKUP(V243,'NS QUẢN LÝ CG'!$A$4:$C$36,3,0),"")</f>
        <v>0971993540</v>
      </c>
      <c r="Z243" s="523" t="str">
        <f>IFERROR(VLOOKUP(M243,'02. MM-KLH'!$B$6:$T$823,3,0),"")</f>
        <v>A22-MKE-067</v>
      </c>
      <c r="AA243" s="559" t="str">
        <f t="shared" si="15"/>
        <v>ADM</v>
      </c>
      <c r="AB243" s="523"/>
      <c r="AC243" s="523"/>
    </row>
    <row r="244">
      <c r="A244" s="523"/>
      <c r="B244" s="612" t="str">
        <f>IFERROR(VLOOKUP(M244,'02. MM-KLH'!$B$6:$T$823,6,0),"")</f>
        <v>Máy cày LOVOL P4110</v>
      </c>
      <c r="C244" s="566">
        <v>1.0</v>
      </c>
      <c r="D244" s="613" t="str">
        <f>IFERROR(VLOOKUP(M244,'02. MM-KLH'!$B$6:$T$823,16,0),"")</f>
        <v>P4110</v>
      </c>
      <c r="E244" s="561" t="s">
        <v>4158</v>
      </c>
      <c r="F244" s="613"/>
      <c r="G244" s="613"/>
      <c r="H244" s="613" t="str">
        <f>IFERROR(VLOOKUP(M244,'02. MM-KLH'!$B$6:$T$823,17,0),"")</f>
        <v>110 HP</v>
      </c>
      <c r="I244" s="614" t="str">
        <f>IFERROR(VLOOKUP(M244,'02. MM-KLH'!$B$6:$U$823,20,0),"")</f>
        <v/>
      </c>
      <c r="J244" s="612" t="str">
        <f>IFERROR(VLOOKUP(M244,'02. MM-KLH'!$B$6:$T$823,19,0),"")</f>
        <v>E426C008079</v>
      </c>
      <c r="K244" s="612" t="str">
        <f>IFERROR(VLOOKUP(M244,'02. MM-KLH'!$B$6:$T$823,18,0),"")</f>
        <v>P400067TM</v>
      </c>
      <c r="L244" s="613" t="str">
        <f>IFERROR(VLOOKUP(M244,'02. MM-KLH'!$B$6:$T$823,4,0),"")</f>
        <v/>
      </c>
      <c r="M244" s="488" t="s">
        <v>1812</v>
      </c>
      <c r="N244" s="615">
        <f>IFERROR(VLOOKUP(M244,'02. MM-KLH'!$B$6:$T$823,15,0),"")</f>
        <v>2026</v>
      </c>
      <c r="O244" s="616" t="str">
        <f>IFERROR(VLOOKUP(M244,'02. MM-KLH'!$B$6:$T$823,9,0),"")</f>
        <v>28/05/2026</v>
      </c>
      <c r="P244" s="613"/>
      <c r="Q244" s="566">
        <v>231.0</v>
      </c>
      <c r="R244" s="566" t="s">
        <v>4158</v>
      </c>
      <c r="S244" s="613"/>
      <c r="T244" s="613"/>
      <c r="U244" s="559" t="str">
        <f>IFERROR(VLOOKUP(M244,'02. MM-KLH'!$B$6:$T$823,5,0),"")</f>
        <v>MỚI</v>
      </c>
      <c r="V244" s="523" t="str">
        <f>IFERROR(VLOOKUP(M244,'02. MM-KLH'!$B$6:$T$823,8,0),"")</f>
        <v>XN Bò AD</v>
      </c>
      <c r="W244" s="559" t="str">
        <f>IFERROR(VLOOKUP(V244,'NS QUẢN LÝ CG'!$A$4:$D$36,2,0),"")</f>
        <v>Trần Văn Nam</v>
      </c>
      <c r="X244" s="559" t="str">
        <f>IFERROR(VLOOKUP(V244,'NS QUẢN LÝ CG'!$A$4:$D$36,4,0),"")</f>
        <v>Lô 28 XN Bò</v>
      </c>
      <c r="Y244" s="559" t="str">
        <f>IFERROR(VLOOKUP(V244,'NS QUẢN LÝ CG'!$A$4:$C$36,3,0),"")</f>
        <v>0971993540</v>
      </c>
      <c r="Z244" s="523" t="str">
        <f>IFERROR(VLOOKUP(M244,'02. MM-KLH'!$B$6:$T$823,3,0),"")</f>
        <v>A24-MKE-038</v>
      </c>
      <c r="AA244" s="559" t="str">
        <f t="shared" si="15"/>
        <v>LP</v>
      </c>
      <c r="AB244" s="523"/>
      <c r="AC244" s="523"/>
    </row>
    <row r="245">
      <c r="A245" s="523"/>
      <c r="B245" s="612" t="str">
        <f>IFERROR(VLOOKUP(M245,'02. MM-KLH'!$B$6:$T$823,6,0),"")</f>
        <v>Máy cày LOVOL P4110</v>
      </c>
      <c r="C245" s="566">
        <v>1.0</v>
      </c>
      <c r="D245" s="613" t="str">
        <f>IFERROR(VLOOKUP(M245,'02. MM-KLH'!$B$6:$T$823,16,0),"")</f>
        <v>P4110</v>
      </c>
      <c r="E245" s="561" t="s">
        <v>4158</v>
      </c>
      <c r="F245" s="613"/>
      <c r="G245" s="613"/>
      <c r="H245" s="613" t="str">
        <f>IFERROR(VLOOKUP(M245,'02. MM-KLH'!$B$6:$T$823,17,0),"")</f>
        <v>110 HP</v>
      </c>
      <c r="I245" s="614" t="str">
        <f>IFERROR(VLOOKUP(M245,'02. MM-KLH'!$B$6:$U$823,20,0),"")</f>
        <v/>
      </c>
      <c r="J245" s="612" t="str">
        <f>IFERROR(VLOOKUP(M245,'02. MM-KLH'!$B$6:$T$823,19,0),"")</f>
        <v>E426C008939</v>
      </c>
      <c r="K245" s="612" t="str">
        <f>IFERROR(VLOOKUP(M245,'02. MM-KLH'!$B$6:$T$823,18,0),"")</f>
        <v>P400068TM</v>
      </c>
      <c r="L245" s="613" t="str">
        <f>IFERROR(VLOOKUP(M245,'02. MM-KLH'!$B$6:$T$823,4,0),"")</f>
        <v/>
      </c>
      <c r="M245" s="488" t="s">
        <v>1846</v>
      </c>
      <c r="N245" s="615">
        <f>IFERROR(VLOOKUP(M245,'02. MM-KLH'!$B$6:$T$823,15,0),"")</f>
        <v>2026</v>
      </c>
      <c r="O245" s="616" t="str">
        <f>IFERROR(VLOOKUP(M245,'02. MM-KLH'!$B$6:$T$823,9,0),"")</f>
        <v>28/05/2026</v>
      </c>
      <c r="P245" s="613"/>
      <c r="Q245" s="566">
        <v>458.0</v>
      </c>
      <c r="R245" s="566" t="s">
        <v>4158</v>
      </c>
      <c r="S245" s="613"/>
      <c r="T245" s="613"/>
      <c r="U245" s="559" t="str">
        <f>IFERROR(VLOOKUP(M245,'02. MM-KLH'!$B$6:$T$823,5,0),"")</f>
        <v>MỚI</v>
      </c>
      <c r="V245" s="523" t="str">
        <f>IFERROR(VLOOKUP(M245,'02. MM-KLH'!$B$6:$T$823,8,0),"")</f>
        <v>XN Bò AD</v>
      </c>
      <c r="W245" s="559" t="str">
        <f>IFERROR(VLOOKUP(V245,'NS QUẢN LÝ CG'!$A$4:$D$36,2,0),"")</f>
        <v>Trần Văn Nam</v>
      </c>
      <c r="X245" s="559" t="str">
        <f>IFERROR(VLOOKUP(V245,'NS QUẢN LÝ CG'!$A$4:$D$36,4,0),"")</f>
        <v>Lô 28 XN Bò</v>
      </c>
      <c r="Y245" s="559" t="str">
        <f>IFERROR(VLOOKUP(V245,'NS QUẢN LÝ CG'!$A$4:$C$36,3,0),"")</f>
        <v>0971993540</v>
      </c>
      <c r="Z245" s="523" t="str">
        <f>IFERROR(VLOOKUP(M245,'02. MM-KLH'!$B$6:$T$823,3,0),"")</f>
        <v>A24-MKE-039</v>
      </c>
      <c r="AA245" s="559" t="str">
        <f t="shared" si="15"/>
        <v>LP</v>
      </c>
      <c r="AB245" s="523"/>
      <c r="AC245" s="523"/>
    </row>
    <row r="246">
      <c r="A246" s="523"/>
      <c r="B246" s="612" t="str">
        <f>IFERROR(VLOOKUP(M246,'02. MM-KLH'!$B$6:$T$823,6,0),"")</f>
        <v>Máy cày LOVOL P4110</v>
      </c>
      <c r="C246" s="566">
        <v>1.0</v>
      </c>
      <c r="D246" s="613" t="str">
        <f>IFERROR(VLOOKUP(M246,'02. MM-KLH'!$B$6:$T$823,16,0),"")</f>
        <v>P4110</v>
      </c>
      <c r="E246" s="561" t="s">
        <v>4158</v>
      </c>
      <c r="F246" s="613"/>
      <c r="G246" s="613"/>
      <c r="H246" s="613" t="str">
        <f>IFERROR(VLOOKUP(M246,'02. MM-KLH'!$B$6:$T$823,17,0),"")</f>
        <v>110 HP</v>
      </c>
      <c r="I246" s="614" t="str">
        <f>IFERROR(VLOOKUP(M246,'02. MM-KLH'!$B$6:$U$823,20,0),"")</f>
        <v/>
      </c>
      <c r="J246" s="612" t="str">
        <f>IFERROR(VLOOKUP(M246,'02. MM-KLH'!$B$6:$T$823,19,0),"")</f>
        <v>E426C008097</v>
      </c>
      <c r="K246" s="612" t="str">
        <f>IFERROR(VLOOKUP(M246,'02. MM-KLH'!$B$6:$T$823,18,0),"")</f>
        <v>P400069TM</v>
      </c>
      <c r="L246" s="613" t="str">
        <f>IFERROR(VLOOKUP(M246,'02. MM-KLH'!$B$6:$T$823,4,0),"")</f>
        <v/>
      </c>
      <c r="M246" s="488" t="s">
        <v>1851</v>
      </c>
      <c r="N246" s="615">
        <f>IFERROR(VLOOKUP(M246,'02. MM-KLH'!$B$6:$T$823,15,0),"")</f>
        <v>2026</v>
      </c>
      <c r="O246" s="616" t="str">
        <f>IFERROR(VLOOKUP(M246,'02. MM-KLH'!$B$6:$T$823,9,0),"")</f>
        <v>28/05/2026</v>
      </c>
      <c r="P246" s="613"/>
      <c r="Q246" s="566">
        <v>513.0</v>
      </c>
      <c r="R246" s="566" t="s">
        <v>4158</v>
      </c>
      <c r="S246" s="613"/>
      <c r="T246" s="613"/>
      <c r="U246" s="559" t="str">
        <f>IFERROR(VLOOKUP(M246,'02. MM-KLH'!$B$6:$T$823,5,0),"")</f>
        <v>MỚI</v>
      </c>
      <c r="V246" s="523" t="str">
        <f>IFERROR(VLOOKUP(M246,'02. MM-KLH'!$B$6:$T$823,8,0),"")</f>
        <v>XN Bò AD</v>
      </c>
      <c r="W246" s="559" t="str">
        <f>IFERROR(VLOOKUP(V246,'NS QUẢN LÝ CG'!$A$4:$D$36,2,0),"")</f>
        <v>Trần Văn Nam</v>
      </c>
      <c r="X246" s="559" t="str">
        <f>IFERROR(VLOOKUP(V246,'NS QUẢN LÝ CG'!$A$4:$D$36,4,0),"")</f>
        <v>Lô 28 XN Bò</v>
      </c>
      <c r="Y246" s="559" t="str">
        <f>IFERROR(VLOOKUP(V246,'NS QUẢN LÝ CG'!$A$4:$C$36,3,0),"")</f>
        <v>0971993540</v>
      </c>
      <c r="Z246" s="523" t="str">
        <f>IFERROR(VLOOKUP(M246,'02. MM-KLH'!$B$6:$T$823,3,0),"")</f>
        <v>A24-MKE-040</v>
      </c>
      <c r="AA246" s="559" t="str">
        <f t="shared" si="15"/>
        <v>LP</v>
      </c>
      <c r="AB246" s="523"/>
      <c r="AC246" s="523"/>
    </row>
    <row r="247">
      <c r="A247" s="523"/>
      <c r="B247" s="612" t="str">
        <f>IFERROR(VLOOKUP(M247,'02. MM-KLH'!$B$6:$T$823,6,0),"")</f>
        <v>Máy cày LOVOL P4110</v>
      </c>
      <c r="C247" s="566">
        <v>1.0</v>
      </c>
      <c r="D247" s="613" t="str">
        <f>IFERROR(VLOOKUP(M247,'02. MM-KLH'!$B$6:$T$823,16,0),"")</f>
        <v>P4110</v>
      </c>
      <c r="E247" s="561" t="s">
        <v>4158</v>
      </c>
      <c r="F247" s="613"/>
      <c r="G247" s="613"/>
      <c r="H247" s="613" t="str">
        <f>IFERROR(VLOOKUP(M247,'02. MM-KLH'!$B$6:$T$823,17,0),"")</f>
        <v>110 HP</v>
      </c>
      <c r="I247" s="614" t="str">
        <f>IFERROR(VLOOKUP(M247,'02. MM-KLH'!$B$6:$U$823,20,0),"")</f>
        <v/>
      </c>
      <c r="J247" s="612" t="str">
        <f>IFERROR(VLOOKUP(M247,'02. MM-KLH'!$B$6:$T$823,19,0),"")</f>
        <v>E426C008092</v>
      </c>
      <c r="K247" s="612" t="str">
        <f>IFERROR(VLOOKUP(M247,'02. MM-KLH'!$B$6:$T$823,18,0),"")</f>
        <v>P400070TM</v>
      </c>
      <c r="L247" s="613" t="str">
        <f>IFERROR(VLOOKUP(M247,'02. MM-KLH'!$B$6:$T$823,4,0),"")</f>
        <v/>
      </c>
      <c r="M247" s="488" t="s">
        <v>1855</v>
      </c>
      <c r="N247" s="615">
        <f>IFERROR(VLOOKUP(M247,'02. MM-KLH'!$B$6:$T$823,15,0),"")</f>
        <v>2026</v>
      </c>
      <c r="O247" s="616" t="str">
        <f>IFERROR(VLOOKUP(M247,'02. MM-KLH'!$B$6:$T$823,9,0),"")</f>
        <v>28/05/2026</v>
      </c>
      <c r="P247" s="613"/>
      <c r="Q247" s="566">
        <v>460.0</v>
      </c>
      <c r="R247" s="566" t="s">
        <v>4158</v>
      </c>
      <c r="S247" s="613"/>
      <c r="T247" s="613"/>
      <c r="U247" s="559" t="str">
        <f>IFERROR(VLOOKUP(M247,'02. MM-KLH'!$B$6:$T$823,5,0),"")</f>
        <v>MỚI</v>
      </c>
      <c r="V247" s="523" t="str">
        <f>IFERROR(VLOOKUP(M247,'02. MM-KLH'!$B$6:$T$823,8,0),"")</f>
        <v>XN Bò AD</v>
      </c>
      <c r="W247" s="559" t="str">
        <f>IFERROR(VLOOKUP(V247,'NS QUẢN LÝ CG'!$A$4:$D$36,2,0),"")</f>
        <v>Trần Văn Nam</v>
      </c>
      <c r="X247" s="559" t="str">
        <f>IFERROR(VLOOKUP(V247,'NS QUẢN LÝ CG'!$A$4:$D$36,4,0),"")</f>
        <v>Lô 28 XN Bò</v>
      </c>
      <c r="Y247" s="559" t="str">
        <f>IFERROR(VLOOKUP(V247,'NS QUẢN LÝ CG'!$A$4:$C$36,3,0),"")</f>
        <v>0971993540</v>
      </c>
      <c r="Z247" s="523" t="str">
        <f>IFERROR(VLOOKUP(M247,'02. MM-KLH'!$B$6:$T$823,3,0),"")</f>
        <v>A24-MKE-041</v>
      </c>
      <c r="AA247" s="559" t="str">
        <f t="shared" si="15"/>
        <v>LP</v>
      </c>
      <c r="AB247" s="523"/>
      <c r="AC247" s="523"/>
    </row>
    <row r="248">
      <c r="A248" s="523"/>
      <c r="B248" s="612" t="str">
        <f>IFERROR(VLOOKUP(M248,'02. MM-KLH'!$B$6:$T$823,6,0),"")</f>
        <v/>
      </c>
      <c r="C248" s="566"/>
      <c r="D248" s="613" t="str">
        <f>IFERROR(VLOOKUP(M248,'02. MM-KLH'!$B$6:$T$823,16,0),"")</f>
        <v/>
      </c>
      <c r="E248" s="613"/>
      <c r="F248" s="613"/>
      <c r="G248" s="613"/>
      <c r="H248" s="613" t="str">
        <f>IFERROR(VLOOKUP(M248,'02. MM-KLH'!$B$6:$T$823,17,0),"")</f>
        <v/>
      </c>
      <c r="I248" s="614" t="str">
        <f>IFERROR(VLOOKUP(M248,'02. MM-KLH'!$B$6:$U$823,20,0),"")</f>
        <v/>
      </c>
      <c r="J248" s="612" t="str">
        <f>IFERROR(VLOOKUP(M248,'02. MM-KLH'!$B$6:$T$823,19,0),"")</f>
        <v/>
      </c>
      <c r="K248" s="612" t="str">
        <f>IFERROR(VLOOKUP(M248,'02. MM-KLH'!$B$6:$T$823,18,0),"")</f>
        <v/>
      </c>
      <c r="L248" s="613" t="str">
        <f>IFERROR(VLOOKUP(M248,'02. MM-KLH'!$B$6:$T$823,4,0),"")</f>
        <v/>
      </c>
      <c r="M248" s="488"/>
      <c r="N248" s="615" t="str">
        <f>IFERROR(VLOOKUP(M248,'02. MM-KLH'!$B$6:$T$823,15,0),"")</f>
        <v/>
      </c>
      <c r="O248" s="616" t="str">
        <f>IFERROR(VLOOKUP(M248,'02. MM-KLH'!$B$6:$T$823,9,0),"")</f>
        <v/>
      </c>
      <c r="P248" s="613"/>
      <c r="Q248" s="613"/>
      <c r="R248" s="613"/>
      <c r="S248" s="613"/>
      <c r="T248" s="613"/>
      <c r="U248" s="613" t="str">
        <f>IFERROR(VLOOKUP(M248,'02. MM-KLH'!$B$6:$T$823,2,0),"")</f>
        <v/>
      </c>
      <c r="V248" s="523" t="str">
        <f>IFERROR(VLOOKUP(M248,'02. MM-KLH'!$B$6:$T$823,8,0),"")</f>
        <v/>
      </c>
      <c r="W248" s="559" t="str">
        <f>IFERROR(VLOOKUP(V248,'NS QUẢN LÝ CG'!$A$4:$D$36,2,0),"")</f>
        <v/>
      </c>
      <c r="X248" s="559" t="str">
        <f>IFERROR(VLOOKUP(V248,'NS QUẢN LÝ CG'!$A$4:$D$36,4,0),"")</f>
        <v/>
      </c>
      <c r="Y248" s="613"/>
      <c r="Z248" s="523" t="str">
        <f>IFERROR(VLOOKUP(M248,'02. MM-KLH'!$B$6:$T$823,3,0),"")</f>
        <v/>
      </c>
      <c r="AA248" s="613"/>
      <c r="AB248" s="523"/>
      <c r="AC248" s="523"/>
    </row>
    <row r="249" hidden="1">
      <c r="A249" s="523"/>
      <c r="B249" s="612" t="str">
        <f>IFERROR(VLOOKUP(M249,'02. MM-KLH'!$B$6:$T$823,6,0),"")</f>
        <v/>
      </c>
      <c r="C249" s="566"/>
      <c r="D249" s="613" t="str">
        <f>IFERROR(VLOOKUP(M249,'02. MM-KLH'!$B$6:$T$823,16,0),"")</f>
        <v/>
      </c>
      <c r="E249" s="613"/>
      <c r="F249" s="613"/>
      <c r="G249" s="613"/>
      <c r="H249" s="613" t="str">
        <f>IFERROR(VLOOKUP(M249,'02. MM-KLH'!$B$6:$T$823,17,0),"")</f>
        <v/>
      </c>
      <c r="I249" s="614" t="str">
        <f>IFERROR(VLOOKUP(M249,'02. MM-KLH'!$B$6:$U$823,20,0),"")</f>
        <v/>
      </c>
      <c r="J249" s="612" t="str">
        <f>IFERROR(VLOOKUP(M249,'02. MM-KLH'!$B$6:$T$823,19,0),"")</f>
        <v/>
      </c>
      <c r="K249" s="612" t="str">
        <f>IFERROR(VLOOKUP(M249,'02. MM-KLH'!$B$6:$T$823,18,0),"")</f>
        <v/>
      </c>
      <c r="L249" s="613" t="str">
        <f>IFERROR(VLOOKUP(M249,'02. MM-KLH'!$B$6:$T$823,4,0),"")</f>
        <v/>
      </c>
      <c r="M249" s="488"/>
      <c r="N249" s="615" t="str">
        <f>IFERROR(VLOOKUP(M249,'02. MM-KLH'!$B$6:$T$823,15,0),"")</f>
        <v/>
      </c>
      <c r="O249" s="616" t="str">
        <f>IFERROR(VLOOKUP(M249,'02. MM-KLH'!$B$6:$T$823,9,0),"")</f>
        <v/>
      </c>
      <c r="P249" s="613"/>
      <c r="Q249" s="613"/>
      <c r="R249" s="613"/>
      <c r="S249" s="613"/>
      <c r="T249" s="613"/>
      <c r="U249" s="613" t="str">
        <f>IFERROR(VLOOKUP(M249,'02. MM-KLH'!$B$6:$T$823,2,0),"")</f>
        <v/>
      </c>
      <c r="V249" s="523" t="str">
        <f>IFERROR(VLOOKUP(M249,'02. MM-KLH'!$B$6:$T$823,8,0),"")</f>
        <v/>
      </c>
      <c r="W249" s="613"/>
      <c r="X249" s="613"/>
      <c r="Y249" s="613"/>
      <c r="Z249" s="523" t="str">
        <f>IFERROR(VLOOKUP(M249,'02. MM-KLH'!$B$6:$T$823,3,0),"")</f>
        <v/>
      </c>
      <c r="AA249" s="613"/>
      <c r="AB249" s="523"/>
      <c r="AC249" s="523"/>
    </row>
    <row r="250" hidden="1">
      <c r="A250" s="523"/>
      <c r="B250" s="612" t="str">
        <f>IFERROR(VLOOKUP(M250,'02. MM-KLH'!$B$6:$T$823,6,0),"")</f>
        <v/>
      </c>
      <c r="C250" s="566"/>
      <c r="D250" s="613" t="str">
        <f>IFERROR(VLOOKUP(M250,'02. MM-KLH'!$B$6:$T$823,16,0),"")</f>
        <v/>
      </c>
      <c r="E250" s="613"/>
      <c r="F250" s="613"/>
      <c r="G250" s="613"/>
      <c r="H250" s="613" t="str">
        <f>IFERROR(VLOOKUP(M250,'02. MM-KLH'!$B$6:$T$823,17,0),"")</f>
        <v/>
      </c>
      <c r="I250" s="614" t="str">
        <f>IFERROR(VLOOKUP(M250,'02. MM-KLH'!$B$6:$U$823,20,0),"")</f>
        <v/>
      </c>
      <c r="J250" s="612" t="str">
        <f>IFERROR(VLOOKUP(M250,'02. MM-KLH'!$B$6:$T$823,19,0),"")</f>
        <v/>
      </c>
      <c r="K250" s="612" t="str">
        <f>IFERROR(VLOOKUP(M250,'02. MM-KLH'!$B$6:$T$823,18,0),"")</f>
        <v/>
      </c>
      <c r="L250" s="613" t="str">
        <f>IFERROR(VLOOKUP(M250,'02. MM-KLH'!$B$6:$T$823,4,0),"")</f>
        <v/>
      </c>
      <c r="M250" s="488"/>
      <c r="N250" s="615" t="str">
        <f>IFERROR(VLOOKUP(M250,'02. MM-KLH'!$B$6:$T$823,15,0),"")</f>
        <v/>
      </c>
      <c r="O250" s="616" t="str">
        <f>IFERROR(VLOOKUP(M250,'02. MM-KLH'!$B$6:$T$823,9,0),"")</f>
        <v/>
      </c>
      <c r="P250" s="613"/>
      <c r="Q250" s="613"/>
      <c r="R250" s="613"/>
      <c r="S250" s="613"/>
      <c r="T250" s="613"/>
      <c r="U250" s="613" t="str">
        <f>IFERROR(VLOOKUP(M250,'02. MM-KLH'!$B$6:$T$823,2,0),"")</f>
        <v/>
      </c>
      <c r="V250" s="523" t="str">
        <f>IFERROR(VLOOKUP(M250,'02. MM-KLH'!$B$6:$T$823,8,0),"")</f>
        <v/>
      </c>
      <c r="W250" s="613"/>
      <c r="X250" s="613"/>
      <c r="Y250" s="613"/>
      <c r="Z250" s="523" t="str">
        <f>IFERROR(VLOOKUP(M250,'02. MM-KLH'!$B$6:$T$823,3,0),"")</f>
        <v/>
      </c>
      <c r="AA250" s="613"/>
      <c r="AB250" s="523"/>
      <c r="AC250" s="523"/>
    </row>
    <row r="251">
      <c r="A251" s="695">
        <v>3.0</v>
      </c>
      <c r="B251" s="696" t="s">
        <v>454</v>
      </c>
      <c r="C251" s="697">
        <f>COUNTA(B252:B282)</f>
        <v>28</v>
      </c>
      <c r="D251" s="698"/>
      <c r="E251" s="698"/>
      <c r="F251" s="698"/>
      <c r="G251" s="698"/>
      <c r="H251" s="558"/>
      <c r="I251" s="558"/>
      <c r="J251" s="699"/>
      <c r="K251" s="699"/>
      <c r="L251" s="698"/>
      <c r="M251" s="700"/>
      <c r="N251" s="698"/>
      <c r="O251" s="701"/>
      <c r="P251" s="698"/>
      <c r="Q251" s="698"/>
      <c r="R251" s="698"/>
      <c r="S251" s="698"/>
      <c r="T251" s="698"/>
      <c r="U251" s="698"/>
      <c r="V251" s="558"/>
      <c r="W251" s="698"/>
      <c r="X251" s="698"/>
      <c r="Y251" s="698"/>
      <c r="Z251" s="558"/>
      <c r="AA251" s="698"/>
      <c r="AB251" s="558"/>
      <c r="AC251" s="558"/>
    </row>
    <row r="252">
      <c r="A252" s="523"/>
      <c r="B252" s="612" t="str">
        <f>IFERROR(VLOOKUP(M252,'02. MM-KLH'!$B$6:$T$823,6,0),"")</f>
        <v>Máy cày L4508</v>
      </c>
      <c r="C252" s="566">
        <v>1.0</v>
      </c>
      <c r="D252" s="613" t="str">
        <f>IFERROR(VLOOKUP(M252,'02. MM-KLH'!$B$6:$T$823,16,0),"")</f>
        <v>L4508</v>
      </c>
      <c r="E252" s="561" t="s">
        <v>4158</v>
      </c>
      <c r="F252" s="613"/>
      <c r="G252" s="613"/>
      <c r="H252" s="613" t="str">
        <f>IFERROR(VLOOKUP(M252,'02. MM-KLH'!$B$6:$T$823,17,0),"")</f>
        <v>45HP</v>
      </c>
      <c r="I252" s="614">
        <f>IFERROR(VLOOKUP(M252,'02. MM-KLH'!$B$6:$U$823,20,0),"")</f>
        <v>2</v>
      </c>
      <c r="J252" s="612" t="str">
        <f>IFERROR(VLOOKUP(M252,'02. MM-KLH'!$B$6:$T$823,19,0),"")</f>
        <v>CCN</v>
      </c>
      <c r="K252" s="612">
        <f>IFERROR(VLOOKUP(M252,'02. MM-KLH'!$B$6:$T$823,18,0),"")</f>
        <v>14793</v>
      </c>
      <c r="L252" s="613" t="str">
        <f>IFERROR(VLOOKUP(M252,'02. MM-KLH'!$B$6:$T$823,4,0),"")</f>
        <v/>
      </c>
      <c r="M252" s="488" t="s">
        <v>873</v>
      </c>
      <c r="N252" s="615">
        <f>IFERROR(VLOOKUP(M252,'02. MM-KLH'!$B$6:$T$823,15,0),"")</f>
        <v>2019</v>
      </c>
      <c r="O252" s="616" t="str">
        <f>IFERROR(VLOOKUP(M252,'02. MM-KLH'!$B$6:$T$823,9,0),"")</f>
        <v/>
      </c>
      <c r="P252" s="613"/>
      <c r="Q252" s="566" t="s">
        <v>1565</v>
      </c>
      <c r="R252" s="613"/>
      <c r="S252" s="613"/>
      <c r="T252" s="613"/>
      <c r="U252" s="559" t="str">
        <f>IFERROR(VLOOKUP(M252,'02. MM-KLH'!$B$6:$T$823,5,0),"")</f>
        <v>ĐQSD</v>
      </c>
      <c r="V252" s="523" t="str">
        <f>IFERROR(VLOOKUP(M252,'02. MM-KLH'!$B$6:$T$823,8,0),"")</f>
        <v>XN Chuối DP1</v>
      </c>
      <c r="W252" s="559" t="str">
        <f>IFERROR(VLOOKUP(V252,'NS QUẢN LÝ CG'!$A$4:$D$36,2,0),"")</f>
        <v>Thái Cao Lưu</v>
      </c>
      <c r="X252" s="559" t="str">
        <f>IFERROR(VLOOKUP(V252,'NS QUẢN LÝ CG'!$A$4:$D$36,4,0),"")</f>
        <v>Lô 21 DP1</v>
      </c>
      <c r="Y252" s="559" t="str">
        <f>IFERROR(VLOOKUP(V252,'NS QUẢN LÝ CG'!$A$4:$C$36,3,0),"")</f>
        <v>0387783316</v>
      </c>
      <c r="Z252" s="523" t="str">
        <f>IFERROR(VLOOKUP(M252,'02. MM-KLH'!$B$6:$T$823,3,0),"")</f>
        <v/>
      </c>
      <c r="AA252" s="559" t="str">
        <f t="shared" ref="AA252:AA259" si="16">SWITCH(LEFT(Z252,3),"A22","ADM","A23","DP","A24","LP","")</f>
        <v/>
      </c>
      <c r="AB252" s="523"/>
      <c r="AC252" s="523"/>
    </row>
    <row r="253">
      <c r="A253" s="523"/>
      <c r="B253" s="612" t="str">
        <f>IFERROR(VLOOKUP(M253,'02. MM-KLH'!$B$6:$T$823,6,0),"")</f>
        <v>Máy cày L4508</v>
      </c>
      <c r="C253" s="566">
        <v>1.0</v>
      </c>
      <c r="D253" s="613" t="str">
        <f>IFERROR(VLOOKUP(M253,'02. MM-KLH'!$B$6:$T$823,16,0),"")</f>
        <v>L4508</v>
      </c>
      <c r="E253" s="561" t="s">
        <v>4158</v>
      </c>
      <c r="F253" s="613"/>
      <c r="G253" s="613"/>
      <c r="H253" s="613" t="str">
        <f>IFERROR(VLOOKUP(M253,'02. MM-KLH'!$B$6:$T$823,17,0),"")</f>
        <v>45HP</v>
      </c>
      <c r="I253" s="614">
        <f>IFERROR(VLOOKUP(M253,'02. MM-KLH'!$B$6:$U$823,20,0),"")</f>
        <v>2</v>
      </c>
      <c r="J253" s="612" t="str">
        <f>IFERROR(VLOOKUP(M253,'02. MM-KLH'!$B$6:$T$823,19,0),"")</f>
        <v>CCN</v>
      </c>
      <c r="K253" s="612">
        <f>IFERROR(VLOOKUP(M253,'02. MM-KLH'!$B$6:$T$823,18,0),"")</f>
        <v>14720</v>
      </c>
      <c r="L253" s="613" t="str">
        <f>IFERROR(VLOOKUP(M253,'02. MM-KLH'!$B$6:$T$823,4,0),"")</f>
        <v/>
      </c>
      <c r="M253" s="490" t="s">
        <v>1118</v>
      </c>
      <c r="N253" s="615">
        <f>IFERROR(VLOOKUP(M253,'02. MM-KLH'!$B$6:$T$823,15,0),"")</f>
        <v>2019</v>
      </c>
      <c r="O253" s="616" t="str">
        <f>IFERROR(VLOOKUP(M253,'02. MM-KLH'!$B$6:$T$823,9,0),"")</f>
        <v/>
      </c>
      <c r="P253" s="613"/>
      <c r="Q253" s="566" t="s">
        <v>1565</v>
      </c>
      <c r="R253" s="566" t="s">
        <v>4158</v>
      </c>
      <c r="S253" s="613"/>
      <c r="T253" s="613"/>
      <c r="U253" s="559" t="str">
        <f>IFERROR(VLOOKUP(M253,'02. MM-KLH'!$B$6:$T$823,5,0),"")</f>
        <v>ĐQSD</v>
      </c>
      <c r="V253" s="523" t="str">
        <f>IFERROR(VLOOKUP(M253,'02. MM-KLH'!$B$6:$T$823,8,0),"")</f>
        <v>XN Chuối DP3</v>
      </c>
      <c r="W253" s="559" t="str">
        <f>IFERROR(VLOOKUP(V253,'NS QUẢN LÝ CG'!$A$4:$D$36,2,0),"")</f>
        <v>Thạch Ngọc Vững</v>
      </c>
      <c r="X253" s="559" t="str">
        <f>IFERROR(VLOOKUP(V253,'NS QUẢN LÝ CG'!$A$4:$D$36,4,0),"")</f>
        <v>Lô 28 DP3</v>
      </c>
      <c r="Y253" s="559" t="str">
        <f>IFERROR(VLOOKUP(V253,'NS QUẢN LÝ CG'!$A$4:$C$36,3,0),"")</f>
        <v>0975905267</v>
      </c>
      <c r="Z253" s="523" t="str">
        <f>IFERROR(VLOOKUP(M253,'02. MM-KLH'!$B$6:$T$823,3,0),"")</f>
        <v>A23-MKE-023</v>
      </c>
      <c r="AA253" s="559" t="str">
        <f t="shared" si="16"/>
        <v>DP</v>
      </c>
      <c r="AB253" s="523"/>
      <c r="AC253" s="523"/>
    </row>
    <row r="254">
      <c r="A254" s="523"/>
      <c r="B254" s="612" t="str">
        <f>IFERROR(VLOOKUP(M254,'02. MM-KLH'!$B$6:$T$823,6,0),"")</f>
        <v>Máy cày L4508</v>
      </c>
      <c r="C254" s="566">
        <v>1.0</v>
      </c>
      <c r="D254" s="613" t="str">
        <f>IFERROR(VLOOKUP(M254,'02. MM-KLH'!$B$6:$T$823,16,0),"")</f>
        <v>L4508</v>
      </c>
      <c r="E254" s="561" t="s">
        <v>4158</v>
      </c>
      <c r="F254" s="613"/>
      <c r="G254" s="613"/>
      <c r="H254" s="613" t="str">
        <f>IFERROR(VLOOKUP(M254,'02. MM-KLH'!$B$6:$T$823,17,0),"")</f>
        <v>45HP</v>
      </c>
      <c r="I254" s="614">
        <f>IFERROR(VLOOKUP(M254,'02. MM-KLH'!$B$6:$U$823,20,0),"")</f>
        <v>2.5</v>
      </c>
      <c r="J254" s="612" t="str">
        <f>IFERROR(VLOOKUP(M254,'02. MM-KLH'!$B$6:$T$823,19,0),"")</f>
        <v>CCN</v>
      </c>
      <c r="K254" s="612">
        <f>IFERROR(VLOOKUP(M254,'02. MM-KLH'!$B$6:$T$823,18,0),"")</f>
        <v>14716</v>
      </c>
      <c r="L254" s="613" t="str">
        <f>IFERROR(VLOOKUP(M254,'02. MM-KLH'!$B$6:$T$823,4,0),"")</f>
        <v/>
      </c>
      <c r="M254" s="490" t="s">
        <v>1138</v>
      </c>
      <c r="N254" s="615">
        <f>IFERROR(VLOOKUP(M254,'02. MM-KLH'!$B$6:$T$823,15,0),"")</f>
        <v>2019</v>
      </c>
      <c r="O254" s="616" t="str">
        <f>IFERROR(VLOOKUP(M254,'02. MM-KLH'!$B$6:$T$823,9,0),"")</f>
        <v/>
      </c>
      <c r="P254" s="613"/>
      <c r="Q254" s="566" t="s">
        <v>1565</v>
      </c>
      <c r="R254" s="566" t="s">
        <v>4158</v>
      </c>
      <c r="S254" s="613"/>
      <c r="T254" s="613"/>
      <c r="U254" s="559" t="str">
        <f>IFERROR(VLOOKUP(M254,'02. MM-KLH'!$B$6:$T$823,5,0),"")</f>
        <v>ĐQSD</v>
      </c>
      <c r="V254" s="523" t="str">
        <f>IFERROR(VLOOKUP(M254,'02. MM-KLH'!$B$6:$T$823,8,0),"")</f>
        <v>XN Chuối DP3</v>
      </c>
      <c r="W254" s="559" t="str">
        <f>IFERROR(VLOOKUP(V254,'NS QUẢN LÝ CG'!$A$4:$D$36,2,0),"")</f>
        <v>Thạch Ngọc Vững</v>
      </c>
      <c r="X254" s="559" t="str">
        <f>IFERROR(VLOOKUP(V254,'NS QUẢN LÝ CG'!$A$4:$D$36,4,0),"")</f>
        <v>Lô 28 DP3</v>
      </c>
      <c r="Y254" s="559" t="str">
        <f>IFERROR(VLOOKUP(V254,'NS QUẢN LÝ CG'!$A$4:$C$36,3,0),"")</f>
        <v>0975905267</v>
      </c>
      <c r="Z254" s="523" t="str">
        <f>IFERROR(VLOOKUP(M254,'02. MM-KLH'!$B$6:$T$823,3,0),"")</f>
        <v>A23-MKE-029</v>
      </c>
      <c r="AA254" s="559" t="str">
        <f t="shared" si="16"/>
        <v>DP</v>
      </c>
      <c r="AB254" s="523"/>
      <c r="AC254" s="523"/>
    </row>
    <row r="255">
      <c r="A255" s="523"/>
      <c r="B255" s="612" t="str">
        <f>IFERROR(VLOOKUP(M255,'02. MM-KLH'!$B$6:$T$823,6,0),"")</f>
        <v>Máy cày L4508</v>
      </c>
      <c r="C255" s="566">
        <v>1.0</v>
      </c>
      <c r="D255" s="613" t="str">
        <f>IFERROR(VLOOKUP(M255,'02. MM-KLH'!$B$6:$T$823,16,0),"")</f>
        <v>L4508</v>
      </c>
      <c r="E255" s="561" t="s">
        <v>4158</v>
      </c>
      <c r="F255" s="613"/>
      <c r="G255" s="613"/>
      <c r="H255" s="613" t="str">
        <f>IFERROR(VLOOKUP(M255,'02. MM-KLH'!$B$6:$T$823,17,0),"")</f>
        <v>45HP</v>
      </c>
      <c r="I255" s="614">
        <f>IFERROR(VLOOKUP(M255,'02. MM-KLH'!$B$6:$U$823,20,0),"")</f>
        <v>2</v>
      </c>
      <c r="J255" s="612" t="str">
        <f>IFERROR(VLOOKUP(M255,'02. MM-KLH'!$B$6:$T$823,19,0),"")</f>
        <v>CCN</v>
      </c>
      <c r="K255" s="612" t="str">
        <f>IFERROR(VLOOKUP(M255,'02. MM-KLH'!$B$6:$T$823,18,0),"")</f>
        <v>V2208-BC1659</v>
      </c>
      <c r="L255" s="613" t="str">
        <f>IFERROR(VLOOKUP(M255,'02. MM-KLH'!$B$6:$T$823,4,0),"")</f>
        <v/>
      </c>
      <c r="M255" s="490" t="s">
        <v>1278</v>
      </c>
      <c r="N255" s="615">
        <f>IFERROR(VLOOKUP(M255,'02. MM-KLH'!$B$6:$T$823,15,0),"")</f>
        <v>2019</v>
      </c>
      <c r="O255" s="616" t="str">
        <f>IFERROR(VLOOKUP(M255,'02. MM-KLH'!$B$6:$T$823,9,0),"")</f>
        <v/>
      </c>
      <c r="P255" s="613"/>
      <c r="Q255" s="566" t="s">
        <v>1565</v>
      </c>
      <c r="R255" s="613"/>
      <c r="S255" s="613"/>
      <c r="T255" s="613"/>
      <c r="U255" s="559" t="str">
        <f>IFERROR(VLOOKUP(M255,'02. MM-KLH'!$B$6:$T$823,5,0),"")</f>
        <v>ĐQSD</v>
      </c>
      <c r="V255" s="523" t="str">
        <f>IFERROR(VLOOKUP(M255,'02. MM-KLH'!$B$6:$T$823,8,0),"")</f>
        <v>XN Chuối LP1</v>
      </c>
      <c r="W255" s="559" t="str">
        <f>IFERROR(VLOOKUP(V255,'NS QUẢN LÝ CG'!$A$4:$D$36,2,0),"")</f>
        <v>Nguyễn Ngọc Nhân</v>
      </c>
      <c r="X255" s="559" t="str">
        <f>IFERROR(VLOOKUP(V255,'NS QUẢN LÝ CG'!$A$4:$D$36,4,0),"")</f>
        <v>Lô 7 LP1</v>
      </c>
      <c r="Y255" s="559" t="str">
        <f>IFERROR(VLOOKUP(V255,'NS QUẢN LÝ CG'!$A$4:$C$36,3,0),"")</f>
        <v>0979578112</v>
      </c>
      <c r="Z255" s="523" t="str">
        <f>IFERROR(VLOOKUP(M255,'02. MM-KLH'!$B$6:$T$823,3,0),"")</f>
        <v>A24-MKE-017</v>
      </c>
      <c r="AA255" s="559" t="str">
        <f t="shared" si="16"/>
        <v>LP</v>
      </c>
      <c r="AB255" s="523"/>
      <c r="AC255" s="523"/>
    </row>
    <row r="256">
      <c r="A256" s="523"/>
      <c r="B256" s="612" t="str">
        <f>IFERROR(VLOOKUP(M256,'02. MM-KLH'!$B$6:$T$823,6,0),"")</f>
        <v>Máy cày L4508</v>
      </c>
      <c r="C256" s="566">
        <v>1.0</v>
      </c>
      <c r="D256" s="613" t="str">
        <f>IFERROR(VLOOKUP(M256,'02. MM-KLH'!$B$6:$T$823,16,0),"")</f>
        <v>L4508</v>
      </c>
      <c r="E256" s="561" t="s">
        <v>4158</v>
      </c>
      <c r="F256" s="613"/>
      <c r="G256" s="613"/>
      <c r="H256" s="613" t="str">
        <f>IFERROR(VLOOKUP(M256,'02. MM-KLH'!$B$6:$T$823,17,0),"")</f>
        <v>45HP</v>
      </c>
      <c r="I256" s="614">
        <f>IFERROR(VLOOKUP(M256,'02. MM-KLH'!$B$6:$U$823,20,0),"")</f>
        <v>2.5</v>
      </c>
      <c r="J256" s="612" t="str">
        <f>IFERROR(VLOOKUP(M256,'02. MM-KLH'!$B$6:$T$823,19,0),"")</f>
        <v>CCN</v>
      </c>
      <c r="K256" s="612">
        <f>IFERROR(VLOOKUP(M256,'02. MM-KLH'!$B$6:$T$823,18,0),"")</f>
        <v>1665</v>
      </c>
      <c r="L256" s="613" t="str">
        <f>IFERROR(VLOOKUP(M256,'02. MM-KLH'!$B$6:$T$823,4,0),"")</f>
        <v/>
      </c>
      <c r="M256" s="490" t="s">
        <v>1398</v>
      </c>
      <c r="N256" s="615">
        <f>IFERROR(VLOOKUP(M256,'02. MM-KLH'!$B$6:$T$823,15,0),"")</f>
        <v>2019</v>
      </c>
      <c r="O256" s="616" t="str">
        <f>IFERROR(VLOOKUP(M256,'02. MM-KLH'!$B$6:$T$823,9,0),"")</f>
        <v/>
      </c>
      <c r="P256" s="613"/>
      <c r="Q256" s="566" t="s">
        <v>1565</v>
      </c>
      <c r="R256" s="613"/>
      <c r="S256" s="613"/>
      <c r="T256" s="566" t="s">
        <v>4158</v>
      </c>
      <c r="U256" s="559" t="str">
        <f>IFERROR(VLOOKUP(M256,'02. MM-KLH'!$B$6:$T$823,5,0),"")</f>
        <v>ĐQSD</v>
      </c>
      <c r="V256" s="523" t="str">
        <f>IFERROR(VLOOKUP(M256,'02. MM-KLH'!$B$6:$T$823,8,0),"")</f>
        <v>XN Chuối LP3</v>
      </c>
      <c r="W256" s="559" t="str">
        <f>IFERROR(VLOOKUP(V256,'NS QUẢN LÝ CG'!$A$4:$D$36,2,0),"")</f>
        <v>Lê Cao Nghị</v>
      </c>
      <c r="X256" s="559" t="str">
        <f>IFERROR(VLOOKUP(V256,'NS QUẢN LÝ CG'!$A$4:$D$36,4,0),"")</f>
        <v>Lô 2 LP3</v>
      </c>
      <c r="Y256" s="559" t="str">
        <f>IFERROR(VLOOKUP(V256,'NS QUẢN LÝ CG'!$A$4:$C$36,3,0),"")</f>
        <v>0977423100</v>
      </c>
      <c r="Z256" s="523" t="str">
        <f>IFERROR(VLOOKUP(M256,'02. MM-KLH'!$B$6:$T$823,3,0),"")</f>
        <v>A24-MKE-014</v>
      </c>
      <c r="AA256" s="559" t="str">
        <f t="shared" si="16"/>
        <v>LP</v>
      </c>
      <c r="AB256" s="523"/>
      <c r="AC256" s="523"/>
    </row>
    <row r="257">
      <c r="A257" s="523"/>
      <c r="B257" s="612" t="str">
        <f>IFERROR(VLOOKUP(M257,'02. MM-KLH'!$B$6:$T$823,6,0),"")</f>
        <v>Máy cày L4508</v>
      </c>
      <c r="C257" s="566">
        <v>1.0</v>
      </c>
      <c r="D257" s="613" t="str">
        <f>IFERROR(VLOOKUP(M257,'02. MM-KLH'!$B$6:$T$823,16,0),"")</f>
        <v>L4508</v>
      </c>
      <c r="E257" s="561" t="s">
        <v>4158</v>
      </c>
      <c r="F257" s="613"/>
      <c r="G257" s="613"/>
      <c r="H257" s="613" t="str">
        <f>IFERROR(VLOOKUP(M257,'02. MM-KLH'!$B$6:$T$823,17,0),"")</f>
        <v>45HP</v>
      </c>
      <c r="I257" s="614">
        <f>IFERROR(VLOOKUP(M257,'02. MM-KLH'!$B$6:$U$823,20,0),"")</f>
        <v>2.5</v>
      </c>
      <c r="J257" s="612" t="str">
        <f>IFERROR(VLOOKUP(M257,'02. MM-KLH'!$B$6:$T$823,19,0),"")</f>
        <v>CCN</v>
      </c>
      <c r="K257" s="612" t="str">
        <f>IFERROR(VLOOKUP(M257,'02. MM-KLH'!$B$6:$T$823,18,0),"")</f>
        <v>0950</v>
      </c>
      <c r="L257" s="613" t="str">
        <f>IFERROR(VLOOKUP(M257,'02. MM-KLH'!$B$6:$T$823,4,0),"")</f>
        <v/>
      </c>
      <c r="M257" s="488" t="s">
        <v>2498</v>
      </c>
      <c r="N257" s="615">
        <f>IFERROR(VLOOKUP(M257,'02. MM-KLH'!$B$6:$T$823,15,0),"")</f>
        <v>2019</v>
      </c>
      <c r="O257" s="616" t="str">
        <f>IFERROR(VLOOKUP(M257,'02. MM-KLH'!$B$6:$T$823,9,0),"")</f>
        <v/>
      </c>
      <c r="P257" s="613"/>
      <c r="Q257" s="566" t="s">
        <v>1565</v>
      </c>
      <c r="R257" s="613"/>
      <c r="S257" s="613"/>
      <c r="T257" s="613"/>
      <c r="U257" s="559" t="str">
        <f>IFERROR(VLOOKUP(M257,'02. MM-KLH'!$B$6:$T$823,5,0),"")</f>
        <v>ĐQSD</v>
      </c>
      <c r="V257" s="523" t="str">
        <f>IFERROR(VLOOKUP(M257,'02. MM-KLH'!$B$6:$T$823,8,0),"")</f>
        <v>Ban điện nước</v>
      </c>
      <c r="W257" s="559" t="str">
        <f>IFERROR(VLOOKUP(V257,'NS QUẢN LÝ CG'!$A$4:$D$36,2,0),"")</f>
        <v/>
      </c>
      <c r="X257" s="559" t="str">
        <f>IFERROR(VLOOKUP(V257,'NS QUẢN LÝ CG'!$A$4:$D$36,4,0),"")</f>
        <v/>
      </c>
      <c r="Y257" s="559" t="str">
        <f>IFERROR(VLOOKUP(V257,'NS QUẢN LÝ CG'!$A$4:$C$36,3,0),"")</f>
        <v/>
      </c>
      <c r="Z257" s="523" t="str">
        <f>IFERROR(VLOOKUP(M257,'02. MM-KLH'!$B$6:$T$823,3,0),"")</f>
        <v/>
      </c>
      <c r="AA257" s="559" t="str">
        <f t="shared" si="16"/>
        <v/>
      </c>
      <c r="AB257" s="523"/>
      <c r="AC257" s="523"/>
    </row>
    <row r="258">
      <c r="A258" s="523"/>
      <c r="B258" s="612" t="str">
        <f>IFERROR(VLOOKUP(M258,'02. MM-KLH'!$B$6:$T$823,6,0),"")</f>
        <v>Máy cày L4508</v>
      </c>
      <c r="C258" s="566">
        <v>1.0</v>
      </c>
      <c r="D258" s="613" t="str">
        <f>IFERROR(VLOOKUP(M258,'02. MM-KLH'!$B$6:$T$823,16,0),"")</f>
        <v>L4508</v>
      </c>
      <c r="E258" s="561" t="s">
        <v>4158</v>
      </c>
      <c r="F258" s="613"/>
      <c r="G258" s="613"/>
      <c r="H258" s="613" t="str">
        <f>IFERROR(VLOOKUP(M258,'02. MM-KLH'!$B$6:$T$823,17,0),"")</f>
        <v>45HP</v>
      </c>
      <c r="I258" s="614">
        <f>IFERROR(VLOOKUP(M258,'02. MM-KLH'!$B$6:$U$823,20,0),"")</f>
        <v>2.5</v>
      </c>
      <c r="J258" s="612" t="str">
        <f>IFERROR(VLOOKUP(M258,'02. MM-KLH'!$B$6:$T$823,19,0),"")</f>
        <v>CCN</v>
      </c>
      <c r="K258" s="612">
        <f>IFERROR(VLOOKUP(M258,'02. MM-KLH'!$B$6:$T$823,18,0),"")</f>
        <v>1659</v>
      </c>
      <c r="L258" s="613" t="str">
        <f>IFERROR(VLOOKUP(M258,'02. MM-KLH'!$B$6:$T$823,4,0),"")</f>
        <v/>
      </c>
      <c r="M258" s="488" t="s">
        <v>2646</v>
      </c>
      <c r="N258" s="615">
        <f>IFERROR(VLOOKUP(M258,'02. MM-KLH'!$B$6:$T$823,15,0),"")</f>
        <v>2015</v>
      </c>
      <c r="O258" s="616">
        <f>IFERROR(VLOOKUP(M258,'02. MM-KLH'!$B$6:$T$823,9,0),"")</f>
        <v>42011</v>
      </c>
      <c r="P258" s="613"/>
      <c r="Q258" s="566" t="s">
        <v>1565</v>
      </c>
      <c r="R258" s="613"/>
      <c r="S258" s="613"/>
      <c r="T258" s="613"/>
      <c r="U258" s="559" t="str">
        <f>IFERROR(VLOOKUP(M258,'02. MM-KLH'!$B$6:$T$823,5,0),"")</f>
        <v>ĐQSD</v>
      </c>
      <c r="V258" s="523" t="str">
        <f>IFERROR(VLOOKUP(M258,'02. MM-KLH'!$B$6:$T$823,8,0),"")</f>
        <v>HÀNH CHÍNH KLH</v>
      </c>
      <c r="W258" s="559" t="str">
        <f>IFERROR(VLOOKUP(V258,'NS QUẢN LÝ CG'!$A$4:$D$36,2,0),"")</f>
        <v>Lê Trần Hoàng Minh</v>
      </c>
      <c r="X258" s="559" t="str">
        <f>IFERROR(VLOOKUP(V258,'NS QUẢN LÝ CG'!$A$4:$D$36,4,0),"")</f>
        <v>Văn Phòng 94</v>
      </c>
      <c r="Y258" s="559" t="str">
        <f>IFERROR(VLOOKUP(V258,'NS QUẢN LÝ CG'!$A$4:$C$36,3,0),"")</f>
        <v>0965509539</v>
      </c>
      <c r="Z258" s="523" t="str">
        <f>IFERROR(VLOOKUP(M258,'02. MM-KLH'!$B$6:$T$823,3,0),"")</f>
        <v/>
      </c>
      <c r="AA258" s="559" t="str">
        <f t="shared" si="16"/>
        <v/>
      </c>
      <c r="AB258" s="523"/>
      <c r="AC258" s="523"/>
    </row>
    <row r="259">
      <c r="A259" s="523"/>
      <c r="B259" s="612" t="str">
        <f>IFERROR(VLOOKUP(M259,'02. MM-KLH'!$B$6:$T$823,6,0),"")</f>
        <v>Máy cày L4508</v>
      </c>
      <c r="C259" s="566">
        <v>1.0</v>
      </c>
      <c r="D259" s="613" t="str">
        <f>IFERROR(VLOOKUP(M259,'02. MM-KLH'!$B$6:$T$823,16,0),"")</f>
        <v>L4508</v>
      </c>
      <c r="E259" s="561" t="s">
        <v>4158</v>
      </c>
      <c r="F259" s="613"/>
      <c r="G259" s="613"/>
      <c r="H259" s="613" t="str">
        <f>IFERROR(VLOOKUP(M259,'02. MM-KLH'!$B$6:$T$823,17,0),"")</f>
        <v>45HP</v>
      </c>
      <c r="I259" s="614">
        <f>IFERROR(VLOOKUP(M259,'02. MM-KLH'!$B$6:$U$823,20,0),"")</f>
        <v>2.5</v>
      </c>
      <c r="J259" s="612" t="str">
        <f>IFERROR(VLOOKUP(M259,'02. MM-KLH'!$B$6:$T$823,19,0),"")</f>
        <v>CCN</v>
      </c>
      <c r="K259" s="612" t="str">
        <f>IFERROR(VLOOKUP(M259,'02. MM-KLH'!$B$6:$T$823,18,0),"")</f>
        <v>01720</v>
      </c>
      <c r="L259" s="613" t="str">
        <f>IFERROR(VLOOKUP(M259,'02. MM-KLH'!$B$6:$T$823,4,0),"")</f>
        <v/>
      </c>
      <c r="M259" s="488" t="s">
        <v>2658</v>
      </c>
      <c r="N259" s="615">
        <f>IFERROR(VLOOKUP(M259,'02. MM-KLH'!$B$6:$T$823,15,0),"")</f>
        <v>2015</v>
      </c>
      <c r="O259" s="616" t="str">
        <f>IFERROR(VLOOKUP(M259,'02. MM-KLH'!$B$6:$T$823,9,0),"")</f>
        <v/>
      </c>
      <c r="P259" s="613"/>
      <c r="Q259" s="566" t="s">
        <v>1565</v>
      </c>
      <c r="R259" s="613"/>
      <c r="S259" s="613"/>
      <c r="T259" s="613"/>
      <c r="U259" s="559" t="str">
        <f>IFERROR(VLOOKUP(M259,'02. MM-KLH'!$B$6:$T$823,5,0),"")</f>
        <v>ĐQSD</v>
      </c>
      <c r="V259" s="523" t="str">
        <f>IFERROR(VLOOKUP(M259,'02. MM-KLH'!$B$6:$T$823,8,0),"")</f>
        <v>HÀNH CHÍNH KLH</v>
      </c>
      <c r="W259" s="559" t="str">
        <f>IFERROR(VLOOKUP(V259,'NS QUẢN LÝ CG'!$A$4:$D$36,2,0),"")</f>
        <v>Lê Trần Hoàng Minh</v>
      </c>
      <c r="X259" s="559" t="str">
        <f>IFERROR(VLOOKUP(V259,'NS QUẢN LÝ CG'!$A$4:$D$36,4,0),"")</f>
        <v>Văn Phòng 94</v>
      </c>
      <c r="Y259" s="559" t="str">
        <f>IFERROR(VLOOKUP(V259,'NS QUẢN LÝ CG'!$A$4:$C$36,3,0),"")</f>
        <v>0965509539</v>
      </c>
      <c r="Z259" s="523" t="str">
        <f>IFERROR(VLOOKUP(M259,'02. MM-KLH'!$B$6:$T$823,3,0),"")</f>
        <v/>
      </c>
      <c r="AA259" s="559" t="str">
        <f t="shared" si="16"/>
        <v/>
      </c>
      <c r="AB259" s="523"/>
      <c r="AC259" s="523"/>
    </row>
    <row r="260">
      <c r="A260" s="523"/>
      <c r="B260" s="612" t="str">
        <f>IFERROR(VLOOKUP(M260,'02. MM-KLH'!$B$6:$T$823,6,0),"")</f>
        <v>Máy cày M9540</v>
      </c>
      <c r="C260" s="566">
        <v>1.0</v>
      </c>
      <c r="D260" s="613">
        <f>IFERROR(VLOOKUP(M260,'02. MM-KLH'!$B$6:$T$823,16,0),"")</f>
        <v>9540</v>
      </c>
      <c r="E260" s="561" t="s">
        <v>4158</v>
      </c>
      <c r="F260" s="613"/>
      <c r="G260" s="613"/>
      <c r="H260" s="613" t="str">
        <f>IFERROR(VLOOKUP(M260,'02. MM-KLH'!$B$6:$T$823,17,0),"")</f>
        <v>95HP</v>
      </c>
      <c r="I260" s="614">
        <f>IFERROR(VLOOKUP(M260,'02. MM-KLH'!$B$6:$U$823,20,0),"")</f>
        <v>3.8</v>
      </c>
      <c r="J260" s="612" t="str">
        <f>IFERROR(VLOOKUP(M260,'02. MM-KLH'!$B$6:$T$823,19,0),"")</f>
        <v>CCN</v>
      </c>
      <c r="K260" s="612" t="str">
        <f>IFERROR(VLOOKUP(M260,'02. MM-KLH'!$B$6:$T$823,18,0),"")</f>
        <v>BY0896</v>
      </c>
      <c r="L260" s="613" t="str">
        <f>IFERROR(VLOOKUP(M260,'02. MM-KLH'!$B$6:$T$823,4,0),"")</f>
        <v/>
      </c>
      <c r="M260" s="488" t="s">
        <v>842</v>
      </c>
      <c r="N260" s="615">
        <f>IFERROR(VLOOKUP(M260,'02. MM-KLH'!$B$6:$T$823,15,0),"")</f>
        <v>2011</v>
      </c>
      <c r="O260" s="616" t="str">
        <f>IFERROR(VLOOKUP(M260,'02. MM-KLH'!$B$6:$T$823,9,0),"")</f>
        <v/>
      </c>
      <c r="P260" s="613"/>
      <c r="Q260" s="566" t="s">
        <v>1565</v>
      </c>
      <c r="R260" s="613"/>
      <c r="S260" s="613"/>
      <c r="T260" s="613"/>
      <c r="U260" s="559" t="str">
        <f>IFERROR(VLOOKUP(M260,'02. MM-KLH'!$B$6:$T$823,5,0),"")</f>
        <v>ĐQSD</v>
      </c>
      <c r="V260" s="523" t="str">
        <f>IFERROR(VLOOKUP(M260,'02. MM-KLH'!$B$6:$T$823,8,0),"")</f>
        <v>XN Bò AD</v>
      </c>
      <c r="W260" s="559" t="str">
        <f>IFERROR(VLOOKUP(V260,'NS QUẢN LÝ CG'!$A$4:$D$36,2,0),"")</f>
        <v>Trần Văn Nam</v>
      </c>
      <c r="X260" s="559" t="str">
        <f>IFERROR(VLOOKUP(V260,'NS QUẢN LÝ CG'!$A$4:$D$36,4,0),"")</f>
        <v>Lô 28 XN Bò</v>
      </c>
      <c r="Y260" s="559" t="str">
        <f>IFERROR(VLOOKUP(V260,'NS QUẢN LÝ CG'!$A$4:$C$36,3,0),"")</f>
        <v>0971993540</v>
      </c>
      <c r="Z260" s="523" t="str">
        <f>IFERROR(VLOOKUP(M260,'02. MM-KLH'!$B$6:$T$823,3,0),"")</f>
        <v>ATT-A22-0182</v>
      </c>
      <c r="AA260" s="561" t="s">
        <v>4462</v>
      </c>
      <c r="AB260" s="523"/>
      <c r="AC260" s="523"/>
    </row>
    <row r="261">
      <c r="A261" s="523"/>
      <c r="B261" s="612" t="str">
        <f>IFERROR(VLOOKUP(M261,'02. MM-KLH'!$B$6:$T$823,6,0),"")</f>
        <v>Máy cày M9540</v>
      </c>
      <c r="C261" s="566">
        <v>1.0</v>
      </c>
      <c r="D261" s="613">
        <f>IFERROR(VLOOKUP(M261,'02. MM-KLH'!$B$6:$T$823,16,0),"")</f>
        <v>9540</v>
      </c>
      <c r="E261" s="561" t="s">
        <v>4158</v>
      </c>
      <c r="F261" s="613"/>
      <c r="G261" s="613"/>
      <c r="H261" s="613" t="str">
        <f>IFERROR(VLOOKUP(M261,'02. MM-KLH'!$B$6:$T$823,17,0),"")</f>
        <v>95HP</v>
      </c>
      <c r="I261" s="614">
        <f>IFERROR(VLOOKUP(M261,'02. MM-KLH'!$B$6:$U$823,20,0),"")</f>
        <v>2.5</v>
      </c>
      <c r="J261" s="612" t="str">
        <f>IFERROR(VLOOKUP(M261,'02. MM-KLH'!$B$6:$T$823,19,0),"")</f>
        <v>CCN</v>
      </c>
      <c r="K261" s="612">
        <f>IFERROR(VLOOKUP(M261,'02. MM-KLH'!$B$6:$T$823,18,0),"")</f>
        <v>2340</v>
      </c>
      <c r="L261" s="613" t="str">
        <f>IFERROR(VLOOKUP(M261,'02. MM-KLH'!$B$6:$T$823,4,0),"")</f>
        <v/>
      </c>
      <c r="M261" s="490" t="s">
        <v>1647</v>
      </c>
      <c r="N261" s="615">
        <f>IFERROR(VLOOKUP(M261,'02. MM-KLH'!$B$6:$T$823,15,0),"")</f>
        <v>2011</v>
      </c>
      <c r="O261" s="616" t="str">
        <f>IFERROR(VLOOKUP(M261,'02. MM-KLH'!$B$6:$T$823,9,0),"")</f>
        <v/>
      </c>
      <c r="P261" s="613"/>
      <c r="Q261" s="566" t="s">
        <v>1565</v>
      </c>
      <c r="R261" s="566" t="s">
        <v>4158</v>
      </c>
      <c r="S261" s="613"/>
      <c r="T261" s="613"/>
      <c r="U261" s="559" t="str">
        <f>IFERROR(VLOOKUP(M261,'02. MM-KLH'!$B$6:$T$823,5,0),"")</f>
        <v>ĐQSD</v>
      </c>
      <c r="V261" s="523" t="str">
        <f>IFERROR(VLOOKUP(M261,'02. MM-KLH'!$B$6:$T$823,8,0),"")</f>
        <v>XN Bò AD</v>
      </c>
      <c r="W261" s="559" t="str">
        <f>IFERROR(VLOOKUP(V261,'NS QUẢN LÝ CG'!$A$4:$D$36,2,0),"")</f>
        <v>Trần Văn Nam</v>
      </c>
      <c r="X261" s="559" t="str">
        <f>IFERROR(VLOOKUP(V261,'NS QUẢN LÝ CG'!$A$4:$D$36,4,0),"")</f>
        <v>Lô 28 XN Bò</v>
      </c>
      <c r="Y261" s="559" t="str">
        <f>IFERROR(VLOOKUP(V261,'NS QUẢN LÝ CG'!$A$4:$C$36,3,0),"")</f>
        <v>0971993540</v>
      </c>
      <c r="Z261" s="523" t="str">
        <f>IFERROR(VLOOKUP(M261,'02. MM-KLH'!$B$6:$T$823,3,0),"")</f>
        <v>ATT-A22-0182</v>
      </c>
      <c r="AA261" s="561" t="s">
        <v>4462</v>
      </c>
      <c r="AB261" s="523"/>
      <c r="AC261" s="523"/>
    </row>
    <row r="262">
      <c r="A262" s="523"/>
      <c r="B262" s="612" t="str">
        <f>IFERROR(VLOOKUP(M262,'02. MM-KLH'!$B$6:$T$823,6,0),"")</f>
        <v>Máy cày M9540</v>
      </c>
      <c r="C262" s="566">
        <v>1.0</v>
      </c>
      <c r="D262" s="613">
        <f>IFERROR(VLOOKUP(M262,'02. MM-KLH'!$B$6:$T$823,16,0),"")</f>
        <v>9540</v>
      </c>
      <c r="E262" s="561" t="s">
        <v>4158</v>
      </c>
      <c r="F262" s="613"/>
      <c r="G262" s="613"/>
      <c r="H262" s="613" t="str">
        <f>IFERROR(VLOOKUP(M262,'02. MM-KLH'!$B$6:$T$823,17,0),"")</f>
        <v>95HP</v>
      </c>
      <c r="I262" s="614">
        <f>IFERROR(VLOOKUP(M262,'02. MM-KLH'!$B$6:$U$823,20,0),"")</f>
        <v>3.8</v>
      </c>
      <c r="J262" s="612" t="str">
        <f>IFERROR(VLOOKUP(M262,'02. MM-KLH'!$B$6:$T$823,19,0),"")</f>
        <v>CCN</v>
      </c>
      <c r="K262" s="612">
        <f>IFERROR(VLOOKUP(M262,'02. MM-KLH'!$B$6:$T$823,18,0),"")</f>
        <v>2807</v>
      </c>
      <c r="L262" s="613" t="str">
        <f>IFERROR(VLOOKUP(M262,'02. MM-KLH'!$B$6:$T$823,4,0),"")</f>
        <v/>
      </c>
      <c r="M262" s="490" t="s">
        <v>1650</v>
      </c>
      <c r="N262" s="615">
        <f>IFERROR(VLOOKUP(M262,'02. MM-KLH'!$B$6:$T$823,15,0),"")</f>
        <v>2011</v>
      </c>
      <c r="O262" s="616" t="str">
        <f>IFERROR(VLOOKUP(M262,'02. MM-KLH'!$B$6:$T$823,9,0),"")</f>
        <v/>
      </c>
      <c r="P262" s="613"/>
      <c r="Q262" s="566" t="s">
        <v>1565</v>
      </c>
      <c r="R262" s="613"/>
      <c r="S262" s="566"/>
      <c r="T262" s="566" t="s">
        <v>4158</v>
      </c>
      <c r="U262" s="559" t="str">
        <f>IFERROR(VLOOKUP(M262,'02. MM-KLH'!$B$6:$T$823,5,0),"")</f>
        <v>ĐQSD</v>
      </c>
      <c r="V262" s="523" t="str">
        <f>IFERROR(VLOOKUP(M262,'02. MM-KLH'!$B$6:$T$823,8,0),"")</f>
        <v>XN Bò AD</v>
      </c>
      <c r="W262" s="559" t="str">
        <f>IFERROR(VLOOKUP(V262,'NS QUẢN LÝ CG'!$A$4:$D$36,2,0),"")</f>
        <v>Trần Văn Nam</v>
      </c>
      <c r="X262" s="559" t="str">
        <f>IFERROR(VLOOKUP(V262,'NS QUẢN LÝ CG'!$A$4:$D$36,4,0),"")</f>
        <v>Lô 28 XN Bò</v>
      </c>
      <c r="Y262" s="559" t="str">
        <f>IFERROR(VLOOKUP(V262,'NS QUẢN LÝ CG'!$A$4:$C$36,3,0),"")</f>
        <v>0971993540</v>
      </c>
      <c r="Z262" s="523" t="str">
        <f>IFERROR(VLOOKUP(M262,'02. MM-KLH'!$B$6:$T$823,3,0),"")</f>
        <v>ATT-A22-0182</v>
      </c>
      <c r="AA262" s="561" t="s">
        <v>4462</v>
      </c>
      <c r="AB262" s="523"/>
      <c r="AC262" s="523"/>
    </row>
    <row r="263">
      <c r="A263" s="523"/>
      <c r="B263" s="612" t="str">
        <f>IFERROR(VLOOKUP(M263,'02. MM-KLH'!$B$6:$T$823,6,0),"")</f>
        <v>Máy cày M9540</v>
      </c>
      <c r="C263" s="566">
        <v>1.0</v>
      </c>
      <c r="D263" s="613">
        <f>IFERROR(VLOOKUP(M263,'02. MM-KLH'!$B$6:$T$823,16,0),"")</f>
        <v>9540</v>
      </c>
      <c r="E263" s="561" t="s">
        <v>4158</v>
      </c>
      <c r="F263" s="613"/>
      <c r="G263" s="613"/>
      <c r="H263" s="613" t="str">
        <f>IFERROR(VLOOKUP(M263,'02. MM-KLH'!$B$6:$T$823,17,0),"")</f>
        <v>95HP</v>
      </c>
      <c r="I263" s="614">
        <f>IFERROR(VLOOKUP(M263,'02. MM-KLH'!$B$6:$U$823,20,0),"")</f>
        <v>3.8</v>
      </c>
      <c r="J263" s="612" t="str">
        <f>IFERROR(VLOOKUP(M263,'02. MM-KLH'!$B$6:$T$823,19,0),"")</f>
        <v>CCN</v>
      </c>
      <c r="K263" s="612">
        <f>IFERROR(VLOOKUP(M263,'02. MM-KLH'!$B$6:$T$823,18,0),"")</f>
        <v>2796</v>
      </c>
      <c r="L263" s="613" t="str">
        <f>IFERROR(VLOOKUP(M263,'02. MM-KLH'!$B$6:$T$823,4,0),"")</f>
        <v/>
      </c>
      <c r="M263" s="490" t="s">
        <v>1652</v>
      </c>
      <c r="N263" s="615">
        <f>IFERROR(VLOOKUP(M263,'02. MM-KLH'!$B$6:$T$823,15,0),"")</f>
        <v>2011</v>
      </c>
      <c r="O263" s="616" t="str">
        <f>IFERROR(VLOOKUP(M263,'02. MM-KLH'!$B$6:$T$823,9,0),"")</f>
        <v/>
      </c>
      <c r="P263" s="613"/>
      <c r="Q263" s="566" t="s">
        <v>1565</v>
      </c>
      <c r="R263" s="613"/>
      <c r="S263" s="566"/>
      <c r="T263" s="566" t="s">
        <v>4158</v>
      </c>
      <c r="U263" s="559" t="str">
        <f>IFERROR(VLOOKUP(M263,'02. MM-KLH'!$B$6:$T$823,5,0),"")</f>
        <v>ĐQSD</v>
      </c>
      <c r="V263" s="523" t="str">
        <f>IFERROR(VLOOKUP(M263,'02. MM-KLH'!$B$6:$T$823,8,0),"")</f>
        <v>XN Bò AD</v>
      </c>
      <c r="W263" s="559" t="str">
        <f>IFERROR(VLOOKUP(V263,'NS QUẢN LÝ CG'!$A$4:$D$36,2,0),"")</f>
        <v>Trần Văn Nam</v>
      </c>
      <c r="X263" s="559" t="str">
        <f>IFERROR(VLOOKUP(V263,'NS QUẢN LÝ CG'!$A$4:$D$36,4,0),"")</f>
        <v>Lô 28 XN Bò</v>
      </c>
      <c r="Y263" s="559" t="str">
        <f>IFERROR(VLOOKUP(V263,'NS QUẢN LÝ CG'!$A$4:$C$36,3,0),"")</f>
        <v>0971993540</v>
      </c>
      <c r="Z263" s="523" t="str">
        <f>IFERROR(VLOOKUP(M263,'02. MM-KLH'!$B$6:$T$823,3,0),"")</f>
        <v>ATT-A22-0182</v>
      </c>
      <c r="AA263" s="561" t="s">
        <v>4462</v>
      </c>
      <c r="AB263" s="523"/>
      <c r="AC263" s="523"/>
    </row>
    <row r="264">
      <c r="A264" s="523"/>
      <c r="B264" s="612" t="str">
        <f>IFERROR(VLOOKUP(M264,'02. MM-KLH'!$B$6:$T$823,6,0),"")</f>
        <v>Máy cày KUBOTA L2002DT</v>
      </c>
      <c r="C264" s="566">
        <v>1.0</v>
      </c>
      <c r="D264" s="613" t="str">
        <f>IFERROR(VLOOKUP(M264,'02. MM-KLH'!$B$6:$T$823,16,0),"")</f>
        <v>L2002DT</v>
      </c>
      <c r="E264" s="561" t="s">
        <v>4158</v>
      </c>
      <c r="F264" s="613"/>
      <c r="G264" s="613"/>
      <c r="H264" s="613" t="str">
        <f>IFERROR(VLOOKUP(M264,'02. MM-KLH'!$B$6:$T$823,17,0),"")</f>
        <v>20HP</v>
      </c>
      <c r="I264" s="614">
        <f>IFERROR(VLOOKUP(M264,'02. MM-KLH'!$B$6:$U$823,20,0),"")</f>
        <v>2.5</v>
      </c>
      <c r="J264" s="612">
        <f>IFERROR(VLOOKUP(M264,'02. MM-KLH'!$B$6:$T$823,19,0),"")</f>
        <v>11368</v>
      </c>
      <c r="K264" s="612" t="str">
        <f>IFERROR(VLOOKUP(M264,'02. MM-KLH'!$B$6:$T$823,18,0),"")</f>
        <v>CCN</v>
      </c>
      <c r="L264" s="613" t="str">
        <f>IFERROR(VLOOKUP(M264,'02. MM-KLH'!$B$6:$T$823,4,0),"")</f>
        <v/>
      </c>
      <c r="M264" s="488" t="s">
        <v>1272</v>
      </c>
      <c r="N264" s="615" t="str">
        <f>IFERROR(VLOOKUP(M264,'02. MM-KLH'!$B$6:$T$823,15,0),"")</f>
        <v/>
      </c>
      <c r="O264" s="616" t="str">
        <f>IFERROR(VLOOKUP(M264,'02. MM-KLH'!$B$6:$T$823,9,0),"")</f>
        <v>23/01/2024</v>
      </c>
      <c r="P264" s="613"/>
      <c r="Q264" s="566" t="s">
        <v>1565</v>
      </c>
      <c r="R264" s="613"/>
      <c r="S264" s="613"/>
      <c r="T264" s="613"/>
      <c r="U264" s="559" t="str">
        <f>IFERROR(VLOOKUP(M264,'02. MM-KLH'!$B$6:$T$823,5,0),"")</f>
        <v>ĐQSD</v>
      </c>
      <c r="V264" s="523" t="str">
        <f>IFERROR(VLOOKUP(M264,'02. MM-KLH'!$B$6:$T$823,8,0),"")</f>
        <v>XN Chuối LP1</v>
      </c>
      <c r="W264" s="559" t="str">
        <f>IFERROR(VLOOKUP(V264,'NS QUẢN LÝ CG'!$A$4:$D$36,2,0),"")</f>
        <v>Nguyễn Ngọc Nhân</v>
      </c>
      <c r="X264" s="559" t="str">
        <f>IFERROR(VLOOKUP(V264,'NS QUẢN LÝ CG'!$A$4:$D$36,4,0),"")</f>
        <v>Lô 7 LP1</v>
      </c>
      <c r="Y264" s="559" t="str">
        <f>IFERROR(VLOOKUP(V264,'NS QUẢN LÝ CG'!$A$4:$C$36,3,0),"")</f>
        <v>0979578112</v>
      </c>
      <c r="Z264" s="523" t="str">
        <f>IFERROR(VLOOKUP(M264,'02. MM-KLH'!$B$6:$T$823,3,0),"")</f>
        <v>A24-MKE-020</v>
      </c>
      <c r="AA264" s="559" t="str">
        <f t="shared" ref="AA264:AA267" si="17">SWITCH(LEFT(Z264,3),"A22","ADM","A23","DP","A24","LP","")</f>
        <v>LP</v>
      </c>
      <c r="AB264" s="523"/>
      <c r="AC264" s="523"/>
    </row>
    <row r="265">
      <c r="A265" s="523"/>
      <c r="B265" s="612" t="str">
        <f>IFERROR(VLOOKUP(M265,'02. MM-KLH'!$B$6:$T$823,6,0),"")</f>
        <v>Máy cày KUBOTA L2002DT</v>
      </c>
      <c r="C265" s="566">
        <v>1.0</v>
      </c>
      <c r="D265" s="613" t="str">
        <f>IFERROR(VLOOKUP(M265,'02. MM-KLH'!$B$6:$T$823,16,0),"")</f>
        <v>L2002DT</v>
      </c>
      <c r="E265" s="561" t="s">
        <v>4158</v>
      </c>
      <c r="F265" s="613"/>
      <c r="G265" s="613"/>
      <c r="H265" s="613" t="str">
        <f>IFERROR(VLOOKUP(M265,'02. MM-KLH'!$B$6:$T$823,17,0),"")</f>
        <v>20HP</v>
      </c>
      <c r="I265" s="614">
        <f>IFERROR(VLOOKUP(M265,'02. MM-KLH'!$B$6:$U$823,20,0),"")</f>
        <v>2</v>
      </c>
      <c r="J265" s="612" t="str">
        <f>IFERROR(VLOOKUP(M265,'02. MM-KLH'!$B$6:$T$823,19,0),"")</f>
        <v>02250</v>
      </c>
      <c r="K265" s="612" t="str">
        <f>IFERROR(VLOOKUP(M265,'02. MM-KLH'!$B$6:$T$823,18,0),"")</f>
        <v>CCN</v>
      </c>
      <c r="L265" s="613" t="str">
        <f>IFERROR(VLOOKUP(M265,'02. MM-KLH'!$B$6:$T$823,4,0),"")</f>
        <v/>
      </c>
      <c r="M265" s="490" t="s">
        <v>1568</v>
      </c>
      <c r="N265" s="615" t="str">
        <f>IFERROR(VLOOKUP(M265,'02. MM-KLH'!$B$6:$T$823,15,0),"")</f>
        <v/>
      </c>
      <c r="O265" s="616" t="str">
        <f>IFERROR(VLOOKUP(M265,'02. MM-KLH'!$B$6:$T$823,9,0),"")</f>
        <v/>
      </c>
      <c r="P265" s="613"/>
      <c r="Q265" s="566" t="s">
        <v>1565</v>
      </c>
      <c r="R265" s="613"/>
      <c r="S265" s="613"/>
      <c r="T265" s="613"/>
      <c r="U265" s="559" t="str">
        <f>IFERROR(VLOOKUP(M265,'02. MM-KLH'!$B$6:$T$823,5,0),"")</f>
        <v>ĐQSD</v>
      </c>
      <c r="V265" s="523" t="str">
        <f>IFERROR(VLOOKUP(M265,'02. MM-KLH'!$B$6:$T$823,8,0),"")</f>
        <v>Xoài DP</v>
      </c>
      <c r="W265" s="559" t="str">
        <f>IFERROR(VLOOKUP(V265,'NS QUẢN LÝ CG'!$A$4:$D$36,2,0),"")</f>
        <v>Hà Văn Nghĩa</v>
      </c>
      <c r="X265" s="559" t="str">
        <f>IFERROR(VLOOKUP(V265,'NS QUẢN LÝ CG'!$A$4:$D$36,4,0),"")</f>
        <v>Lô 136 XN Xoài</v>
      </c>
      <c r="Y265" s="559" t="str">
        <f>IFERROR(VLOOKUP(V265,'NS QUẢN LÝ CG'!$A$4:$C$36,3,0),"")</f>
        <v>0813564564</v>
      </c>
      <c r="Z265" s="523" t="str">
        <f>IFERROR(VLOOKUP(M265,'02. MM-KLH'!$B$6:$T$823,3,0),"")</f>
        <v>A23-MKE-030</v>
      </c>
      <c r="AA265" s="559" t="str">
        <f t="shared" si="17"/>
        <v>DP</v>
      </c>
      <c r="AB265" s="523"/>
      <c r="AC265" s="523"/>
    </row>
    <row r="266">
      <c r="A266" s="523"/>
      <c r="B266" s="612" t="str">
        <f>IFERROR(VLOOKUP(M266,'02. MM-KLH'!$B$6:$T$823,6,0),"")</f>
        <v>Máy cày KUBOTA L2002DT</v>
      </c>
      <c r="C266" s="566">
        <v>1.0</v>
      </c>
      <c r="D266" s="613" t="str">
        <f>IFERROR(VLOOKUP(M266,'02. MM-KLH'!$B$6:$T$823,16,0),"")</f>
        <v>L2002DT</v>
      </c>
      <c r="E266" s="561" t="s">
        <v>4158</v>
      </c>
      <c r="F266" s="613"/>
      <c r="G266" s="613"/>
      <c r="H266" s="613" t="str">
        <f>IFERROR(VLOOKUP(M266,'02. MM-KLH'!$B$6:$T$823,17,0),"")</f>
        <v>20HP</v>
      </c>
      <c r="I266" s="614">
        <f>IFERROR(VLOOKUP(M266,'02. MM-KLH'!$B$6:$U$823,20,0),"")</f>
        <v>2</v>
      </c>
      <c r="J266" s="612" t="str">
        <f>IFERROR(VLOOKUP(M266,'02. MM-KLH'!$B$6:$T$823,19,0),"")</f>
        <v>03315</v>
      </c>
      <c r="K266" s="612" t="str">
        <f>IFERROR(VLOOKUP(M266,'02. MM-KLH'!$B$6:$T$823,18,0),"")</f>
        <v>CCN</v>
      </c>
      <c r="L266" s="613" t="str">
        <f>IFERROR(VLOOKUP(M266,'02. MM-KLH'!$B$6:$T$823,4,0),"")</f>
        <v/>
      </c>
      <c r="M266" s="490" t="s">
        <v>1571</v>
      </c>
      <c r="N266" s="615" t="str">
        <f>IFERROR(VLOOKUP(M266,'02. MM-KLH'!$B$6:$T$823,15,0),"")</f>
        <v/>
      </c>
      <c r="O266" s="616" t="str">
        <f>IFERROR(VLOOKUP(M266,'02. MM-KLH'!$B$6:$T$823,9,0),"")</f>
        <v/>
      </c>
      <c r="P266" s="613"/>
      <c r="Q266" s="566" t="s">
        <v>1565</v>
      </c>
      <c r="R266" s="613"/>
      <c r="S266" s="613"/>
      <c r="T266" s="613"/>
      <c r="U266" s="559" t="str">
        <f>IFERROR(VLOOKUP(M266,'02. MM-KLH'!$B$6:$T$823,5,0),"")</f>
        <v>ĐQSD</v>
      </c>
      <c r="V266" s="523" t="str">
        <f>IFERROR(VLOOKUP(M266,'02. MM-KLH'!$B$6:$T$823,8,0),"")</f>
        <v>Xoài DP</v>
      </c>
      <c r="W266" s="559" t="str">
        <f>IFERROR(VLOOKUP(V266,'NS QUẢN LÝ CG'!$A$4:$D$36,2,0),"")</f>
        <v>Hà Văn Nghĩa</v>
      </c>
      <c r="X266" s="559" t="str">
        <f>IFERROR(VLOOKUP(V266,'NS QUẢN LÝ CG'!$A$4:$D$36,4,0),"")</f>
        <v>Lô 136 XN Xoài</v>
      </c>
      <c r="Y266" s="559" t="str">
        <f>IFERROR(VLOOKUP(V266,'NS QUẢN LÝ CG'!$A$4:$C$36,3,0),"")</f>
        <v>0813564564</v>
      </c>
      <c r="Z266" s="523" t="str">
        <f>IFERROR(VLOOKUP(M266,'02. MM-KLH'!$B$6:$T$823,3,0),"")</f>
        <v>A23-MKE-031</v>
      </c>
      <c r="AA266" s="559" t="str">
        <f t="shared" si="17"/>
        <v>DP</v>
      </c>
      <c r="AB266" s="523"/>
      <c r="AC266" s="523"/>
    </row>
    <row r="267">
      <c r="A267" s="523"/>
      <c r="B267" s="612" t="str">
        <f>IFERROR(VLOOKUP(M267,'02. MM-KLH'!$B$6:$T$823,6,0),"")</f>
        <v>Máy cày KUBOTA L2002DT</v>
      </c>
      <c r="C267" s="566">
        <v>1.0</v>
      </c>
      <c r="D267" s="613" t="str">
        <f>IFERROR(VLOOKUP(M267,'02. MM-KLH'!$B$6:$T$823,16,0),"")</f>
        <v>L2002DT</v>
      </c>
      <c r="E267" s="561" t="s">
        <v>4158</v>
      </c>
      <c r="F267" s="613"/>
      <c r="G267" s="613"/>
      <c r="H267" s="613" t="str">
        <f>IFERROR(VLOOKUP(M267,'02. MM-KLH'!$B$6:$T$823,17,0),"")</f>
        <v>20HP</v>
      </c>
      <c r="I267" s="614">
        <f>IFERROR(VLOOKUP(M267,'02. MM-KLH'!$B$6:$U$823,20,0),"")</f>
        <v>2.5</v>
      </c>
      <c r="J267" s="612">
        <f>IFERROR(VLOOKUP(M267,'02. MM-KLH'!$B$6:$T$823,19,0),"")</f>
        <v>2216</v>
      </c>
      <c r="K267" s="612" t="str">
        <f>IFERROR(VLOOKUP(M267,'02. MM-KLH'!$B$6:$T$823,18,0),"")</f>
        <v>CCN</v>
      </c>
      <c r="L267" s="613" t="str">
        <f>IFERROR(VLOOKUP(M267,'02. MM-KLH'!$B$6:$T$823,4,0),"")</f>
        <v/>
      </c>
      <c r="M267" s="490" t="s">
        <v>1587</v>
      </c>
      <c r="N267" s="615" t="str">
        <f>IFERROR(VLOOKUP(M267,'02. MM-KLH'!$B$6:$T$823,15,0),"")</f>
        <v/>
      </c>
      <c r="O267" s="616" t="str">
        <f>IFERROR(VLOOKUP(M267,'02. MM-KLH'!$B$6:$T$823,9,0),"")</f>
        <v/>
      </c>
      <c r="P267" s="613"/>
      <c r="Q267" s="566" t="s">
        <v>1565</v>
      </c>
      <c r="R267" s="613"/>
      <c r="S267" s="613"/>
      <c r="T267" s="613"/>
      <c r="U267" s="559" t="str">
        <f>IFERROR(VLOOKUP(M267,'02. MM-KLH'!$B$6:$T$823,5,0),"")</f>
        <v>ĐQSD</v>
      </c>
      <c r="V267" s="523" t="str">
        <f>IFERROR(VLOOKUP(M267,'02. MM-KLH'!$B$6:$T$823,8,0),"")</f>
        <v>XOÀI AD</v>
      </c>
      <c r="W267" s="559" t="str">
        <f>IFERROR(VLOOKUP(V267,'NS QUẢN LÝ CG'!$A$4:$D$36,2,0),"")</f>
        <v>Huỳnh Đông Giang</v>
      </c>
      <c r="X267" s="559" t="str">
        <f>IFERROR(VLOOKUP(V267,'NS QUẢN LÝ CG'!$A$4:$D$36,4,0),"")</f>
        <v>Lô 132 XN AD</v>
      </c>
      <c r="Y267" s="559" t="str">
        <f>IFERROR(VLOOKUP(V267,'NS QUẢN LÝ CG'!$A$4:$C$36,3,0),"")</f>
        <v>0972283372</v>
      </c>
      <c r="Z267" s="523" t="str">
        <f>IFERROR(VLOOKUP(M267,'02. MM-KLH'!$B$6:$T$823,3,0),"")</f>
        <v>A22-MKE-003</v>
      </c>
      <c r="AA267" s="559" t="str">
        <f t="shared" si="17"/>
        <v>ADM</v>
      </c>
      <c r="AB267" s="523"/>
      <c r="AC267" s="523"/>
    </row>
    <row r="268">
      <c r="A268" s="523"/>
      <c r="B268" s="612" t="str">
        <f>IFERROR(VLOOKUP(M268,'02. MM-KLH'!$B$6:$T$823,6,0),"")</f>
        <v>Máy cày M6040</v>
      </c>
      <c r="C268" s="566">
        <v>1.0</v>
      </c>
      <c r="D268" s="613" t="str">
        <f>IFERROR(VLOOKUP(M268,'02. MM-KLH'!$B$6:$T$823,16,0),"")</f>
        <v>M6040</v>
      </c>
      <c r="E268" s="561" t="s">
        <v>4158</v>
      </c>
      <c r="F268" s="613"/>
      <c r="G268" s="613"/>
      <c r="H268" s="613" t="str">
        <f>IFERROR(VLOOKUP(M268,'02. MM-KLH'!$B$6:$T$823,17,0),"")</f>
        <v>60HP</v>
      </c>
      <c r="I268" s="614">
        <f>IFERROR(VLOOKUP(M268,'02. MM-KLH'!$B$6:$U$823,20,0),"")</f>
        <v>3.5</v>
      </c>
      <c r="J268" s="612" t="str">
        <f>IFERROR(VLOOKUP(M268,'02. MM-KLH'!$B$6:$T$823,19,0),"")</f>
        <v>CCN</v>
      </c>
      <c r="K268" s="612">
        <f>IFERROR(VLOOKUP(M268,'02. MM-KLH'!$B$6:$T$823,18,0),"")</f>
        <v>57548</v>
      </c>
      <c r="L268" s="613" t="str">
        <f>IFERROR(VLOOKUP(M268,'02. MM-KLH'!$B$6:$T$823,4,0),"")</f>
        <v/>
      </c>
      <c r="M268" s="488" t="s">
        <v>786</v>
      </c>
      <c r="N268" s="615">
        <f>IFERROR(VLOOKUP(M268,'02. MM-KLH'!$B$6:$T$823,15,0),"")</f>
        <v>2013</v>
      </c>
      <c r="O268" s="616" t="str">
        <f>IFERROR(VLOOKUP(M268,'02. MM-KLH'!$B$6:$T$823,9,0),"")</f>
        <v>30/03/2024</v>
      </c>
      <c r="P268" s="613"/>
      <c r="Q268" s="566" t="s">
        <v>1565</v>
      </c>
      <c r="R268" s="566" t="s">
        <v>4158</v>
      </c>
      <c r="S268" s="613"/>
      <c r="T268" s="613"/>
      <c r="U268" s="559" t="str">
        <f>IFERROR(VLOOKUP(M268,'02. MM-KLH'!$B$6:$T$823,5,0),"")</f>
        <v>ĐQSD</v>
      </c>
      <c r="V268" s="523" t="str">
        <f>IFERROR(VLOOKUP(M268,'02. MM-KLH'!$B$6:$T$823,8,0),"")</f>
        <v>CGLĐ LP</v>
      </c>
      <c r="W268" s="559" t="str">
        <f>IFERROR(VLOOKUP(V268,'NS QUẢN LÝ CG'!$A$4:$D$36,2,0),"")</f>
        <v>Nguyễn Tấn Triều</v>
      </c>
      <c r="X268" s="559" t="str">
        <f>IFERROR(VLOOKUP(V268,'NS QUẢN LÝ CG'!$A$4:$D$36,4,0),"")</f>
        <v>LP3.5-LP3</v>
      </c>
      <c r="Y268" s="559" t="str">
        <f>IFERROR(VLOOKUP(V268,'NS QUẢN LÝ CG'!$A$4:$C$36,3,0),"")</f>
        <v>05974160290</v>
      </c>
      <c r="Z268" s="523" t="str">
        <f>IFERROR(VLOOKUP(M268,'02. MM-KLH'!$B$6:$T$823,3,0),"")</f>
        <v>ATT-A23-0019</v>
      </c>
      <c r="AA268" s="561" t="s">
        <v>4312</v>
      </c>
      <c r="AB268" s="523"/>
      <c r="AC268" s="523"/>
    </row>
    <row r="269">
      <c r="A269" s="523"/>
      <c r="B269" s="612" t="str">
        <f>IFERROR(VLOOKUP(M269,'02. MM-KLH'!$B$6:$T$823,6,0),"")</f>
        <v>Máy cày M6040</v>
      </c>
      <c r="C269" s="566">
        <v>1.0</v>
      </c>
      <c r="D269" s="613" t="str">
        <f>IFERROR(VLOOKUP(M269,'02. MM-KLH'!$B$6:$T$823,16,0),"")</f>
        <v>M6040</v>
      </c>
      <c r="E269" s="561" t="s">
        <v>4158</v>
      </c>
      <c r="F269" s="613"/>
      <c r="G269" s="613"/>
      <c r="H269" s="613" t="str">
        <f>IFERROR(VLOOKUP(M269,'02. MM-KLH'!$B$6:$T$823,17,0),"")</f>
        <v>60HP</v>
      </c>
      <c r="I269" s="614">
        <f>IFERROR(VLOOKUP(M269,'02. MM-KLH'!$B$6:$U$823,20,0),"")</f>
        <v>3.5</v>
      </c>
      <c r="J269" s="612" t="str">
        <f>IFERROR(VLOOKUP(M269,'02. MM-KLH'!$B$6:$T$823,19,0),"")</f>
        <v>CCN</v>
      </c>
      <c r="K269" s="612">
        <f>IFERROR(VLOOKUP(M269,'02. MM-KLH'!$B$6:$T$823,18,0),"")</f>
        <v>57646</v>
      </c>
      <c r="L269" s="613" t="str">
        <f>IFERROR(VLOOKUP(M269,'02. MM-KLH'!$B$6:$T$823,4,0),"")</f>
        <v/>
      </c>
      <c r="M269" s="490" t="s">
        <v>1007</v>
      </c>
      <c r="N269" s="615">
        <f>IFERROR(VLOOKUP(M269,'02. MM-KLH'!$B$6:$T$823,15,0),"")</f>
        <v>2013</v>
      </c>
      <c r="O269" s="616" t="str">
        <f>IFERROR(VLOOKUP(M269,'02. MM-KLH'!$B$6:$T$823,9,0),"")</f>
        <v/>
      </c>
      <c r="P269" s="613"/>
      <c r="Q269" s="566" t="s">
        <v>1565</v>
      </c>
      <c r="R269" s="566" t="s">
        <v>4158</v>
      </c>
      <c r="S269" s="613"/>
      <c r="T269" s="613"/>
      <c r="U269" s="559" t="str">
        <f>IFERROR(VLOOKUP(M269,'02. MM-KLH'!$B$6:$T$823,5,0),"")</f>
        <v>ĐQSD</v>
      </c>
      <c r="V269" s="523" t="str">
        <f>IFERROR(VLOOKUP(M269,'02. MM-KLH'!$B$6:$T$823,8,0),"")</f>
        <v>XN Chuối DP2</v>
      </c>
      <c r="W269" s="559" t="str">
        <f>IFERROR(VLOOKUP(V269,'NS QUẢN LÝ CG'!$A$4:$D$36,2,0),"")</f>
        <v>Huỳnh Quang Viên</v>
      </c>
      <c r="X269" s="559" t="str">
        <f>IFERROR(VLOOKUP(V269,'NS QUẢN LÝ CG'!$A$4:$D$36,4,0),"")</f>
        <v>Lô 15.6 DP2</v>
      </c>
      <c r="Y269" s="559" t="str">
        <f>IFERROR(VLOOKUP(V269,'NS QUẢN LÝ CG'!$A$4:$C$36,3,0),"")</f>
        <v>0977623379</v>
      </c>
      <c r="Z269" s="523" t="str">
        <f>IFERROR(VLOOKUP(M269,'02. MM-KLH'!$B$6:$T$823,3,0),"")</f>
        <v>A23-MKE-016</v>
      </c>
      <c r="AA269" s="559" t="str">
        <f t="shared" ref="AA269:AA272" si="18">SWITCH(LEFT(Z269,3),"A22","ADM","A23","DP","A24","LP","")</f>
        <v>DP</v>
      </c>
      <c r="AB269" s="523"/>
      <c r="AC269" s="523"/>
    </row>
    <row r="270">
      <c r="A270" s="523"/>
      <c r="B270" s="612" t="str">
        <f>IFERROR(VLOOKUP(M270,'02. MM-KLH'!$B$6:$T$823,6,0),"")</f>
        <v>Máy cày M6040</v>
      </c>
      <c r="C270" s="566">
        <v>1.0</v>
      </c>
      <c r="D270" s="613" t="str">
        <f>IFERROR(VLOOKUP(M270,'02. MM-KLH'!$B$6:$T$823,16,0),"")</f>
        <v>M6040</v>
      </c>
      <c r="E270" s="561" t="s">
        <v>4158</v>
      </c>
      <c r="F270" s="613"/>
      <c r="G270" s="613"/>
      <c r="H270" s="613" t="str">
        <f>IFERROR(VLOOKUP(M270,'02. MM-KLH'!$B$6:$T$823,17,0),"")</f>
        <v>60HP</v>
      </c>
      <c r="I270" s="614">
        <f>IFERROR(VLOOKUP(M270,'02. MM-KLH'!$B$6:$U$823,20,0),"")</f>
        <v>3.5</v>
      </c>
      <c r="J270" s="612" t="str">
        <f>IFERROR(VLOOKUP(M270,'02. MM-KLH'!$B$6:$T$823,19,0),"")</f>
        <v>CCN</v>
      </c>
      <c r="K270" s="612">
        <f>IFERROR(VLOOKUP(M270,'02. MM-KLH'!$B$6:$T$823,18,0),"")</f>
        <v>56797</v>
      </c>
      <c r="L270" s="613" t="str">
        <f>IFERROR(VLOOKUP(M270,'02. MM-KLH'!$B$6:$T$823,4,0),"")</f>
        <v/>
      </c>
      <c r="M270" s="490" t="s">
        <v>1012</v>
      </c>
      <c r="N270" s="615">
        <f>IFERROR(VLOOKUP(M270,'02. MM-KLH'!$B$6:$T$823,15,0),"")</f>
        <v>2013</v>
      </c>
      <c r="O270" s="616" t="str">
        <f>IFERROR(VLOOKUP(M270,'02. MM-KLH'!$B$6:$T$823,9,0),"")</f>
        <v/>
      </c>
      <c r="P270" s="613"/>
      <c r="Q270" s="566" t="s">
        <v>1565</v>
      </c>
      <c r="R270" s="566" t="s">
        <v>4158</v>
      </c>
      <c r="S270" s="613"/>
      <c r="T270" s="613"/>
      <c r="U270" s="559" t="str">
        <f>IFERROR(VLOOKUP(M270,'02. MM-KLH'!$B$6:$T$823,5,0),"")</f>
        <v>ĐQSD</v>
      </c>
      <c r="V270" s="523" t="str">
        <f>IFERROR(VLOOKUP(M270,'02. MM-KLH'!$B$6:$T$823,8,0),"")</f>
        <v>XN Chuối DP2</v>
      </c>
      <c r="W270" s="559" t="str">
        <f>IFERROR(VLOOKUP(V270,'NS QUẢN LÝ CG'!$A$4:$D$36,2,0),"")</f>
        <v>Huỳnh Quang Viên</v>
      </c>
      <c r="X270" s="559" t="str">
        <f>IFERROR(VLOOKUP(V270,'NS QUẢN LÝ CG'!$A$4:$D$36,4,0),"")</f>
        <v>Lô 15.6 DP2</v>
      </c>
      <c r="Y270" s="559" t="str">
        <f>IFERROR(VLOOKUP(V270,'NS QUẢN LÝ CG'!$A$4:$C$36,3,0),"")</f>
        <v>0977623379</v>
      </c>
      <c r="Z270" s="523" t="str">
        <f>IFERROR(VLOOKUP(M270,'02. MM-KLH'!$B$6:$T$823,3,0),"")</f>
        <v>A23-MKE-017</v>
      </c>
      <c r="AA270" s="559" t="str">
        <f t="shared" si="18"/>
        <v>DP</v>
      </c>
      <c r="AB270" s="523"/>
      <c r="AC270" s="523"/>
    </row>
    <row r="271">
      <c r="A271" s="523"/>
      <c r="B271" s="612" t="str">
        <f>IFERROR(VLOOKUP(M271,'02. MM-KLH'!$B$6:$T$823,6,0),"")</f>
        <v>Máy cày M6040</v>
      </c>
      <c r="C271" s="566">
        <v>1.0</v>
      </c>
      <c r="D271" s="613" t="str">
        <f>IFERROR(VLOOKUP(M271,'02. MM-KLH'!$B$6:$T$823,16,0),"")</f>
        <v>M6040</v>
      </c>
      <c r="E271" s="561" t="s">
        <v>4158</v>
      </c>
      <c r="F271" s="613"/>
      <c r="G271" s="613"/>
      <c r="H271" s="613" t="str">
        <f>IFERROR(VLOOKUP(M271,'02. MM-KLH'!$B$6:$T$823,17,0),"")</f>
        <v>60HP</v>
      </c>
      <c r="I271" s="614">
        <f>IFERROR(VLOOKUP(M271,'02. MM-KLH'!$B$6:$U$823,20,0),"")</f>
        <v>3.5</v>
      </c>
      <c r="J271" s="612" t="str">
        <f>IFERROR(VLOOKUP(M271,'02. MM-KLH'!$B$6:$T$823,19,0),"")</f>
        <v>CCN</v>
      </c>
      <c r="K271" s="612">
        <f>IFERROR(VLOOKUP(M271,'02. MM-KLH'!$B$6:$T$823,18,0),"")</f>
        <v>57273</v>
      </c>
      <c r="L271" s="613" t="str">
        <f>IFERROR(VLOOKUP(M271,'02. MM-KLH'!$B$6:$T$823,4,0),"")</f>
        <v/>
      </c>
      <c r="M271" s="490" t="s">
        <v>1023</v>
      </c>
      <c r="N271" s="615">
        <f>IFERROR(VLOOKUP(M271,'02. MM-KLH'!$B$6:$T$823,15,0),"")</f>
        <v>2013</v>
      </c>
      <c r="O271" s="616" t="str">
        <f>IFERROR(VLOOKUP(M271,'02. MM-KLH'!$B$6:$T$823,9,0),"")</f>
        <v>28/01/2026</v>
      </c>
      <c r="P271" s="613"/>
      <c r="Q271" s="566" t="s">
        <v>1565</v>
      </c>
      <c r="R271" s="566" t="s">
        <v>4158</v>
      </c>
      <c r="S271" s="613"/>
      <c r="T271" s="613"/>
      <c r="U271" s="559" t="str">
        <f>IFERROR(VLOOKUP(M271,'02. MM-KLH'!$B$6:$T$823,5,0),"")</f>
        <v>ĐQSD</v>
      </c>
      <c r="V271" s="523" t="str">
        <f>IFERROR(VLOOKUP(M271,'02. MM-KLH'!$B$6:$T$823,8,0),"")</f>
        <v>XN Chuối DP2</v>
      </c>
      <c r="W271" s="559" t="str">
        <f>IFERROR(VLOOKUP(V271,'NS QUẢN LÝ CG'!$A$4:$D$36,2,0),"")</f>
        <v>Huỳnh Quang Viên</v>
      </c>
      <c r="X271" s="559" t="str">
        <f>IFERROR(VLOOKUP(V271,'NS QUẢN LÝ CG'!$A$4:$D$36,4,0),"")</f>
        <v>Lô 15.6 DP2</v>
      </c>
      <c r="Y271" s="559" t="str">
        <f>IFERROR(VLOOKUP(V271,'NS QUẢN LÝ CG'!$A$4:$C$36,3,0),"")</f>
        <v>0977623379</v>
      </c>
      <c r="Z271" s="523" t="str">
        <f>IFERROR(VLOOKUP(M271,'02. MM-KLH'!$B$6:$T$823,3,0),"")</f>
        <v>A23-MKE-002</v>
      </c>
      <c r="AA271" s="559" t="str">
        <f t="shared" si="18"/>
        <v>DP</v>
      </c>
      <c r="AB271" s="523"/>
      <c r="AC271" s="523"/>
    </row>
    <row r="272">
      <c r="A272" s="523"/>
      <c r="B272" s="612" t="str">
        <f>IFERROR(VLOOKUP(M272,'02. MM-KLH'!$B$6:$T$823,6,0),"")</f>
        <v>Máy cày M6040</v>
      </c>
      <c r="C272" s="566">
        <v>1.0</v>
      </c>
      <c r="D272" s="613" t="str">
        <f>IFERROR(VLOOKUP(M272,'02. MM-KLH'!$B$6:$T$823,16,0),"")</f>
        <v>M6040</v>
      </c>
      <c r="E272" s="561" t="s">
        <v>4158</v>
      </c>
      <c r="F272" s="613"/>
      <c r="G272" s="613"/>
      <c r="H272" s="613" t="str">
        <f>IFERROR(VLOOKUP(M272,'02. MM-KLH'!$B$6:$T$823,17,0),"")</f>
        <v>60HP</v>
      </c>
      <c r="I272" s="614">
        <f>IFERROR(VLOOKUP(M272,'02. MM-KLH'!$B$6:$U$823,20,0),"")</f>
        <v>3.5</v>
      </c>
      <c r="J272" s="612" t="str">
        <f>IFERROR(VLOOKUP(M272,'02. MM-KLH'!$B$6:$T$823,19,0),"")</f>
        <v>CCN</v>
      </c>
      <c r="K272" s="612" t="str">
        <f>IFERROR(VLOOKUP(M272,'02. MM-KLH'!$B$6:$T$823,18,0),"")</f>
        <v>D57605</v>
      </c>
      <c r="L272" s="613" t="str">
        <f>IFERROR(VLOOKUP(M272,'02. MM-KLH'!$B$6:$T$823,4,0),"")</f>
        <v/>
      </c>
      <c r="M272" s="488" t="s">
        <v>1400</v>
      </c>
      <c r="N272" s="615">
        <f>IFERROR(VLOOKUP(M272,'02. MM-KLH'!$B$6:$T$823,15,0),"")</f>
        <v>2013</v>
      </c>
      <c r="O272" s="616" t="str">
        <f>IFERROR(VLOOKUP(M272,'02. MM-KLH'!$B$6:$T$823,9,0),"")</f>
        <v>21/02/2024</v>
      </c>
      <c r="P272" s="613"/>
      <c r="Q272" s="566" t="s">
        <v>1565</v>
      </c>
      <c r="R272" s="613"/>
      <c r="S272" s="566" t="s">
        <v>4158</v>
      </c>
      <c r="T272" s="613"/>
      <c r="U272" s="559" t="str">
        <f>IFERROR(VLOOKUP(M272,'02. MM-KLH'!$B$6:$T$823,5,0),"")</f>
        <v>ĐQSD</v>
      </c>
      <c r="V272" s="523" t="str">
        <f>IFERROR(VLOOKUP(M272,'02. MM-KLH'!$B$6:$T$823,8,0),"")</f>
        <v>XN Chuối LP3</v>
      </c>
      <c r="W272" s="559" t="str">
        <f>IFERROR(VLOOKUP(V272,'NS QUẢN LÝ CG'!$A$4:$D$36,2,0),"")</f>
        <v>Lê Cao Nghị</v>
      </c>
      <c r="X272" s="559" t="str">
        <f>IFERROR(VLOOKUP(V272,'NS QUẢN LÝ CG'!$A$4:$D$36,4,0),"")</f>
        <v>Lô 2 LP3</v>
      </c>
      <c r="Y272" s="559" t="str">
        <f>IFERROR(VLOOKUP(V272,'NS QUẢN LÝ CG'!$A$4:$C$36,3,0),"")</f>
        <v>0977423100</v>
      </c>
      <c r="Z272" s="523" t="str">
        <f>IFERROR(VLOOKUP(M272,'02. MM-KLH'!$B$6:$T$823,3,0),"")</f>
        <v>A24-MKE-015</v>
      </c>
      <c r="AA272" s="559" t="str">
        <f t="shared" si="18"/>
        <v>LP</v>
      </c>
      <c r="AB272" s="523"/>
      <c r="AC272" s="523"/>
    </row>
    <row r="273">
      <c r="A273" s="523"/>
      <c r="B273" s="612" t="str">
        <f>IFERROR(VLOOKUP(M273,'02. MM-KLH'!$B$6:$T$823,6,0),"")</f>
        <v>Máy cày M6040</v>
      </c>
      <c r="C273" s="566">
        <v>1.0</v>
      </c>
      <c r="D273" s="613" t="str">
        <f>IFERROR(VLOOKUP(M273,'02. MM-KLH'!$B$6:$T$823,16,0),"")</f>
        <v>M6040</v>
      </c>
      <c r="E273" s="561" t="s">
        <v>4158</v>
      </c>
      <c r="F273" s="613"/>
      <c r="G273" s="613"/>
      <c r="H273" s="613" t="str">
        <f>IFERROR(VLOOKUP(M273,'02. MM-KLH'!$B$6:$T$823,17,0),"")</f>
        <v>60HP</v>
      </c>
      <c r="I273" s="614">
        <f>IFERROR(VLOOKUP(M273,'02. MM-KLH'!$B$6:$U$823,20,0),"")</f>
        <v>6.6</v>
      </c>
      <c r="J273" s="612">
        <f>IFERROR(VLOOKUP(M273,'02. MM-KLH'!$B$6:$T$823,19,0),"")</f>
        <v>7542</v>
      </c>
      <c r="K273" s="612">
        <f>IFERROR(VLOOKUP(M273,'02. MM-KLH'!$B$6:$T$823,18,0),"")</f>
        <v>57121</v>
      </c>
      <c r="L273" s="613" t="str">
        <f>IFERROR(VLOOKUP(M273,'02. MM-KLH'!$B$6:$T$823,4,0),"")</f>
        <v/>
      </c>
      <c r="M273" s="488" t="s">
        <v>1420</v>
      </c>
      <c r="N273" s="615">
        <f>IFERROR(VLOOKUP(M273,'02. MM-KLH'!$B$6:$T$823,15,0),"")</f>
        <v>2013</v>
      </c>
      <c r="O273" s="616" t="str">
        <f>IFERROR(VLOOKUP(M273,'02. MM-KLH'!$B$6:$T$823,9,0),"")</f>
        <v/>
      </c>
      <c r="P273" s="613"/>
      <c r="Q273" s="566" t="s">
        <v>1565</v>
      </c>
      <c r="R273" s="566" t="s">
        <v>4158</v>
      </c>
      <c r="S273" s="613"/>
      <c r="T273" s="613"/>
      <c r="U273" s="559" t="str">
        <f>IFERROR(VLOOKUP(M273,'02. MM-KLH'!$B$6:$T$823,5,0),"")</f>
        <v>ĐQSD</v>
      </c>
      <c r="V273" s="523" t="str">
        <f>IFERROR(VLOOKUP(M273,'02. MM-KLH'!$B$6:$T$823,8,0),"")</f>
        <v>XN Chuối LP3</v>
      </c>
      <c r="W273" s="559" t="str">
        <f>IFERROR(VLOOKUP(V273,'NS QUẢN LÝ CG'!$A$4:$D$36,2,0),"")</f>
        <v>Lê Cao Nghị</v>
      </c>
      <c r="X273" s="559" t="str">
        <f>IFERROR(VLOOKUP(V273,'NS QUẢN LÝ CG'!$A$4:$D$36,4,0),"")</f>
        <v>Lô 2 LP3</v>
      </c>
      <c r="Y273" s="559" t="str">
        <f>IFERROR(VLOOKUP(V273,'NS QUẢN LÝ CG'!$A$4:$C$36,3,0),"")</f>
        <v>0977423100</v>
      </c>
      <c r="Z273" s="523" t="str">
        <f>IFERROR(VLOOKUP(M273,'02. MM-KLH'!$B$6:$T$823,3,0),"")</f>
        <v>ATT-A22-0023</v>
      </c>
      <c r="AA273" s="561" t="s">
        <v>4462</v>
      </c>
      <c r="AB273" s="523"/>
      <c r="AC273" s="523"/>
    </row>
    <row r="274">
      <c r="A274" s="523"/>
      <c r="B274" s="612" t="str">
        <f>IFERROR(VLOOKUP(M274,'02. MM-KLH'!$B$6:$T$823,6,0),"")</f>
        <v>Máy cày M6040</v>
      </c>
      <c r="C274" s="566">
        <v>1.0</v>
      </c>
      <c r="D274" s="613" t="str">
        <f>IFERROR(VLOOKUP(M274,'02. MM-KLH'!$B$6:$T$823,16,0),"")</f>
        <v>M6040</v>
      </c>
      <c r="E274" s="561" t="s">
        <v>4158</v>
      </c>
      <c r="F274" s="613"/>
      <c r="G274" s="613"/>
      <c r="H274" s="613" t="str">
        <f>IFERROR(VLOOKUP(M274,'02. MM-KLH'!$B$6:$T$823,17,0),"")</f>
        <v>60HP</v>
      </c>
      <c r="I274" s="614">
        <f>IFERROR(VLOOKUP(M274,'02. MM-KLH'!$B$6:$U$823,20,0),"")</f>
        <v>4.8</v>
      </c>
      <c r="J274" s="612" t="str">
        <f>IFERROR(VLOOKUP(M274,'02. MM-KLH'!$B$6:$T$823,19,0),"")</f>
        <v>CCN</v>
      </c>
      <c r="K274" s="612">
        <f>IFERROR(VLOOKUP(M274,'02. MM-KLH'!$B$6:$T$823,18,0),"")</f>
        <v>57123</v>
      </c>
      <c r="L274" s="613" t="str">
        <f>IFERROR(VLOOKUP(M274,'02. MM-KLH'!$B$6:$T$823,4,0),"")</f>
        <v/>
      </c>
      <c r="M274" s="490" t="s">
        <v>1595</v>
      </c>
      <c r="N274" s="615">
        <f>IFERROR(VLOOKUP(M274,'02. MM-KLH'!$B$6:$T$823,15,0),"")</f>
        <v>2013</v>
      </c>
      <c r="O274" s="616" t="str">
        <f>IFERROR(VLOOKUP(M274,'02. MM-KLH'!$B$6:$T$823,9,0),"")</f>
        <v/>
      </c>
      <c r="P274" s="613"/>
      <c r="Q274" s="566" t="s">
        <v>1565</v>
      </c>
      <c r="R274" s="613"/>
      <c r="S274" s="613"/>
      <c r="T274" s="613"/>
      <c r="U274" s="559" t="str">
        <f>IFERROR(VLOOKUP(M274,'02. MM-KLH'!$B$6:$T$823,5,0),"")</f>
        <v>ĐQSD</v>
      </c>
      <c r="V274" s="523" t="str">
        <f>IFERROR(VLOOKUP(M274,'02. MM-KLH'!$B$6:$T$823,8,0),"")</f>
        <v>XOÀI AD</v>
      </c>
      <c r="W274" s="559" t="str">
        <f>IFERROR(VLOOKUP(V274,'NS QUẢN LÝ CG'!$A$4:$D$36,2,0),"")</f>
        <v>Huỳnh Đông Giang</v>
      </c>
      <c r="X274" s="559" t="str">
        <f>IFERROR(VLOOKUP(V274,'NS QUẢN LÝ CG'!$A$4:$D$36,4,0),"")</f>
        <v>Lô 132 XN AD</v>
      </c>
      <c r="Y274" s="559" t="str">
        <f>IFERROR(VLOOKUP(V274,'NS QUẢN LÝ CG'!$A$4:$C$36,3,0),"")</f>
        <v>0972283372</v>
      </c>
      <c r="Z274" s="523" t="str">
        <f>IFERROR(VLOOKUP(M274,'02. MM-KLH'!$B$6:$T$823,3,0),"")</f>
        <v>A22-MKE-001</v>
      </c>
      <c r="AA274" s="559" t="str">
        <f t="shared" ref="AA274:AA275" si="19">SWITCH(LEFT(Z274,3),"A22","ADM","A23","DP","A24","LP","")</f>
        <v>ADM</v>
      </c>
      <c r="AB274" s="523"/>
      <c r="AC274" s="523"/>
    </row>
    <row r="275">
      <c r="A275" s="523"/>
      <c r="B275" s="612" t="str">
        <f>IFERROR(VLOOKUP(M275,'02. MM-KLH'!$B$6:$T$823,6,0),"")</f>
        <v>Máy cày M6040</v>
      </c>
      <c r="C275" s="566">
        <v>1.0</v>
      </c>
      <c r="D275" s="613" t="str">
        <f>IFERROR(VLOOKUP(M275,'02. MM-KLH'!$B$6:$T$823,16,0),"")</f>
        <v>M6040</v>
      </c>
      <c r="E275" s="561" t="s">
        <v>4158</v>
      </c>
      <c r="F275" s="613"/>
      <c r="G275" s="613"/>
      <c r="H275" s="613" t="str">
        <f>IFERROR(VLOOKUP(M275,'02. MM-KLH'!$B$6:$T$823,17,0),"")</f>
        <v>60HP</v>
      </c>
      <c r="I275" s="614" t="str">
        <f>IFERROR(VLOOKUP(M275,'02. MM-KLH'!$B$6:$U$823,20,0),"")</f>
        <v/>
      </c>
      <c r="J275" s="612" t="str">
        <f>IFERROR(VLOOKUP(M275,'02. MM-KLH'!$B$6:$T$823,19,0),"")</f>
        <v>CCN</v>
      </c>
      <c r="K275" s="612" t="str">
        <f>IFERROR(VLOOKUP(M275,'02. MM-KLH'!$B$6:$T$823,18,0),"")</f>
        <v>M6040SUD57124</v>
      </c>
      <c r="L275" s="613" t="str">
        <f>IFERROR(VLOOKUP(M275,'02. MM-KLH'!$B$6:$T$823,4,0),"")</f>
        <v/>
      </c>
      <c r="M275" s="488" t="s">
        <v>1613</v>
      </c>
      <c r="N275" s="615">
        <f>IFERROR(VLOOKUP(M275,'02. MM-KLH'!$B$6:$T$823,15,0),"")</f>
        <v>2013</v>
      </c>
      <c r="O275" s="616" t="str">
        <f>IFERROR(VLOOKUP(M275,'02. MM-KLH'!$B$6:$T$823,9,0),"")</f>
        <v>20/05/2026</v>
      </c>
      <c r="P275" s="613"/>
      <c r="Q275" s="566" t="s">
        <v>1565</v>
      </c>
      <c r="R275" s="613"/>
      <c r="S275" s="613"/>
      <c r="T275" s="613"/>
      <c r="U275" s="559" t="str">
        <f>IFERROR(VLOOKUP(M275,'02. MM-KLH'!$B$6:$T$823,5,0),"")</f>
        <v>ĐQSD</v>
      </c>
      <c r="V275" s="523" t="str">
        <f>IFERROR(VLOOKUP(M275,'02. MM-KLH'!$B$6:$T$823,8,0),"")</f>
        <v>XOÀI AD</v>
      </c>
      <c r="W275" s="559" t="str">
        <f>IFERROR(VLOOKUP(V275,'NS QUẢN LÝ CG'!$A$4:$D$36,2,0),"")</f>
        <v>Huỳnh Đông Giang</v>
      </c>
      <c r="X275" s="559" t="str">
        <f>IFERROR(VLOOKUP(V275,'NS QUẢN LÝ CG'!$A$4:$D$36,4,0),"")</f>
        <v>Lô 132 XN AD</v>
      </c>
      <c r="Y275" s="559" t="str">
        <f>IFERROR(VLOOKUP(V275,'NS QUẢN LÝ CG'!$A$4:$C$36,3,0),"")</f>
        <v>0972283372</v>
      </c>
      <c r="Z275" s="523" t="str">
        <f>IFERROR(VLOOKUP(M275,'02. MM-KLH'!$B$6:$T$823,3,0),"")</f>
        <v/>
      </c>
      <c r="AA275" s="559" t="str">
        <f t="shared" si="19"/>
        <v/>
      </c>
      <c r="AB275" s="523"/>
      <c r="AC275" s="523"/>
    </row>
    <row r="276">
      <c r="A276" s="727"/>
      <c r="B276" s="612" t="str">
        <f>IFERROR(VLOOKUP(M276,'02. MM-KLH'!$B$6:$T$823,6,0),"")</f>
        <v>Máy cày M6040</v>
      </c>
      <c r="C276" s="566">
        <v>1.0</v>
      </c>
      <c r="D276" s="613" t="str">
        <f>IFERROR(VLOOKUP(M276,'02. MM-KLH'!$B$6:$T$823,16,0),"")</f>
        <v>M6040</v>
      </c>
      <c r="E276" s="561" t="s">
        <v>4158</v>
      </c>
      <c r="F276" s="613"/>
      <c r="G276" s="613"/>
      <c r="H276" s="613" t="str">
        <f>IFERROR(VLOOKUP(M276,'02. MM-KLH'!$B$6:$T$823,17,0),"")</f>
        <v>60HP</v>
      </c>
      <c r="I276" s="614">
        <f>IFERROR(VLOOKUP(M276,'02. MM-KLH'!$B$6:$U$823,20,0),"")</f>
        <v>3.5</v>
      </c>
      <c r="J276" s="612">
        <f>IFERROR(VLOOKUP(M276,'02. MM-KLH'!$B$6:$T$823,19,0),"")</f>
        <v>9237</v>
      </c>
      <c r="K276" s="612">
        <f>IFERROR(VLOOKUP(M276,'02. MM-KLH'!$B$6:$T$823,18,0),"")</f>
        <v>57274</v>
      </c>
      <c r="L276" s="613" t="str">
        <f>IFERROR(VLOOKUP(M276,'02. MM-KLH'!$B$6:$T$823,4,0),"")</f>
        <v/>
      </c>
      <c r="M276" s="490" t="s">
        <v>1654</v>
      </c>
      <c r="N276" s="615">
        <f>IFERROR(VLOOKUP(M276,'02. MM-KLH'!$B$6:$T$823,15,0),"")</f>
        <v>2013</v>
      </c>
      <c r="O276" s="616" t="str">
        <f>IFERROR(VLOOKUP(M276,'02. MM-KLH'!$B$6:$T$823,9,0),"")</f>
        <v/>
      </c>
      <c r="P276" s="613"/>
      <c r="Q276" s="566" t="s">
        <v>1565</v>
      </c>
      <c r="R276" s="613"/>
      <c r="S276" s="613"/>
      <c r="T276" s="566" t="s">
        <v>4158</v>
      </c>
      <c r="U276" s="559" t="str">
        <f>IFERROR(VLOOKUP(M276,'02. MM-KLH'!$B$6:$T$823,5,0),"")</f>
        <v>ĐQSD</v>
      </c>
      <c r="V276" s="523" t="str">
        <f>IFERROR(VLOOKUP(M276,'02. MM-KLH'!$B$6:$T$823,8,0),"")</f>
        <v>XN Bò AD</v>
      </c>
      <c r="W276" s="559" t="str">
        <f>IFERROR(VLOOKUP(V276,'NS QUẢN LÝ CG'!$A$4:$D$36,2,0),"")</f>
        <v>Trần Văn Nam</v>
      </c>
      <c r="X276" s="559" t="str">
        <f>IFERROR(VLOOKUP(V276,'NS QUẢN LÝ CG'!$A$4:$D$36,4,0),"")</f>
        <v>Lô 28 XN Bò</v>
      </c>
      <c r="Y276" s="559" t="str">
        <f>IFERROR(VLOOKUP(V276,'NS QUẢN LÝ CG'!$A$4:$C$36,3,0),"")</f>
        <v>0971993540</v>
      </c>
      <c r="Z276" s="523" t="str">
        <f>IFERROR(VLOOKUP(M276,'02. MM-KLH'!$B$6:$T$823,3,0),"")</f>
        <v>ATT-A22-0023</v>
      </c>
      <c r="AA276" s="561" t="s">
        <v>4462</v>
      </c>
      <c r="AB276" s="523"/>
      <c r="AC276" s="523"/>
    </row>
    <row r="277">
      <c r="A277" s="523"/>
      <c r="B277" s="612" t="str">
        <f>IFERROR(VLOOKUP(M277,'02. MM-KLH'!$B$6:$T$823,6,0),"")</f>
        <v>Máy cày M6040</v>
      </c>
      <c r="C277" s="566">
        <v>1.0</v>
      </c>
      <c r="D277" s="613" t="str">
        <f>IFERROR(VLOOKUP(M277,'02. MM-KLH'!$B$6:$T$823,16,0),"")</f>
        <v>M6040</v>
      </c>
      <c r="E277" s="561" t="s">
        <v>4158</v>
      </c>
      <c r="F277" s="613"/>
      <c r="G277" s="613"/>
      <c r="H277" s="613" t="str">
        <f>IFERROR(VLOOKUP(M277,'02. MM-KLH'!$B$6:$T$823,17,0),"")</f>
        <v>60HP</v>
      </c>
      <c r="I277" s="614">
        <f>IFERROR(VLOOKUP(M277,'02. MM-KLH'!$B$6:$U$823,20,0),"")</f>
        <v>3.5</v>
      </c>
      <c r="J277" s="612" t="str">
        <f>IFERROR(VLOOKUP(M277,'02. MM-KLH'!$B$6:$T$823,19,0),"")</f>
        <v>CCN</v>
      </c>
      <c r="K277" s="612" t="str">
        <f>IFERROR(VLOOKUP(M277,'02. MM-KLH'!$B$6:$T$823,18,0),"")</f>
        <v>D57126</v>
      </c>
      <c r="L277" s="613" t="str">
        <f>IFERROR(VLOOKUP(M277,'02. MM-KLH'!$B$6:$T$823,4,0),"")</f>
        <v/>
      </c>
      <c r="M277" s="490" t="s">
        <v>1665</v>
      </c>
      <c r="N277" s="615">
        <f>IFERROR(VLOOKUP(M277,'02. MM-KLH'!$B$6:$T$823,15,0),"")</f>
        <v>2013</v>
      </c>
      <c r="O277" s="616" t="str">
        <f>IFERROR(VLOOKUP(M277,'02. MM-KLH'!$B$6:$T$823,9,0),"")</f>
        <v/>
      </c>
      <c r="P277" s="613"/>
      <c r="Q277" s="566" t="s">
        <v>1565</v>
      </c>
      <c r="R277" s="566" t="s">
        <v>4158</v>
      </c>
      <c r="S277" s="613"/>
      <c r="T277" s="613"/>
      <c r="U277" s="559" t="str">
        <f>IFERROR(VLOOKUP(M277,'02. MM-KLH'!$B$6:$T$823,5,0),"")</f>
        <v>ĐQSD</v>
      </c>
      <c r="V277" s="523" t="str">
        <f>IFERROR(VLOOKUP(M277,'02. MM-KLH'!$B$6:$T$823,8,0),"")</f>
        <v>XN Bò AD</v>
      </c>
      <c r="W277" s="559" t="str">
        <f>IFERROR(VLOOKUP(V277,'NS QUẢN LÝ CG'!$A$4:$D$36,2,0),"")</f>
        <v>Trần Văn Nam</v>
      </c>
      <c r="X277" s="559" t="str">
        <f>IFERROR(VLOOKUP(V277,'NS QUẢN LÝ CG'!$A$4:$D$36,4,0),"")</f>
        <v>Lô 28 XN Bò</v>
      </c>
      <c r="Y277" s="559" t="str">
        <f>IFERROR(VLOOKUP(V277,'NS QUẢN LÝ CG'!$A$4:$C$36,3,0),"")</f>
        <v>0971993540</v>
      </c>
      <c r="Z277" s="523" t="str">
        <f>IFERROR(VLOOKUP(M277,'02. MM-KLH'!$B$6:$T$823,3,0),"")</f>
        <v>A22-MKE-015</v>
      </c>
      <c r="AA277" s="559" t="str">
        <f t="shared" ref="AA277:AA279" si="20">SWITCH(LEFT(Z277,3),"A22","ADM","A23","DP","A24","LP","")</f>
        <v>ADM</v>
      </c>
      <c r="AB277" s="523"/>
      <c r="AC277" s="523"/>
    </row>
    <row r="278">
      <c r="A278" s="523"/>
      <c r="B278" s="612" t="str">
        <f>IFERROR(VLOOKUP(M278,'02. MM-KLH'!$B$6:$T$823,6,0),"")</f>
        <v>Máy cày M6040</v>
      </c>
      <c r="C278" s="566">
        <v>1.0</v>
      </c>
      <c r="D278" s="613" t="str">
        <f>IFERROR(VLOOKUP(M278,'02. MM-KLH'!$B$6:$T$823,16,0),"")</f>
        <v>M6040</v>
      </c>
      <c r="E278" s="561" t="s">
        <v>4158</v>
      </c>
      <c r="F278" s="613"/>
      <c r="G278" s="613"/>
      <c r="H278" s="613" t="str">
        <f>IFERROR(VLOOKUP(M278,'02. MM-KLH'!$B$6:$T$823,17,0),"")</f>
        <v>60HP</v>
      </c>
      <c r="I278" s="614" t="str">
        <f>IFERROR(VLOOKUP(M278,'02. MM-KLH'!$B$6:$U$823,20,0),"")</f>
        <v/>
      </c>
      <c r="J278" s="612" t="str">
        <f>IFERROR(VLOOKUP(M278,'02. MM-KLH'!$B$6:$T$823,19,0),"")</f>
        <v>CCN</v>
      </c>
      <c r="K278" s="612">
        <f>IFERROR(VLOOKUP(M278,'02. MM-KLH'!$B$6:$T$823,18,0),"")</f>
        <v>57652</v>
      </c>
      <c r="L278" s="613" t="str">
        <f>IFERROR(VLOOKUP(M278,'02. MM-KLH'!$B$6:$T$823,4,0),"")</f>
        <v/>
      </c>
      <c r="M278" s="488" t="s">
        <v>1828</v>
      </c>
      <c r="N278" s="615">
        <f>IFERROR(VLOOKUP(M278,'02. MM-KLH'!$B$6:$T$823,15,0),"")</f>
        <v>2013</v>
      </c>
      <c r="O278" s="616" t="str">
        <f>IFERROR(VLOOKUP(M278,'02. MM-KLH'!$B$6:$T$823,9,0),"")</f>
        <v>21/05/2026</v>
      </c>
      <c r="P278" s="613"/>
      <c r="Q278" s="566" t="s">
        <v>1565</v>
      </c>
      <c r="R278" s="613"/>
      <c r="S278" s="566" t="s">
        <v>4158</v>
      </c>
      <c r="T278" s="613"/>
      <c r="U278" s="559" t="str">
        <f>IFERROR(VLOOKUP(M278,'02. MM-KLH'!$B$6:$T$823,5,0),"")</f>
        <v>ĐQSD</v>
      </c>
      <c r="V278" s="523" t="str">
        <f>IFERROR(VLOOKUP(M278,'02. MM-KLH'!$B$6:$T$823,8,0),"")</f>
        <v>XN Bò AD</v>
      </c>
      <c r="W278" s="559" t="str">
        <f>IFERROR(VLOOKUP(V278,'NS QUẢN LÝ CG'!$A$4:$D$36,2,0),"")</f>
        <v>Trần Văn Nam</v>
      </c>
      <c r="X278" s="559" t="str">
        <f>IFERROR(VLOOKUP(V278,'NS QUẢN LÝ CG'!$A$4:$D$36,4,0),"")</f>
        <v>Lô 28 XN Bò</v>
      </c>
      <c r="Y278" s="559" t="str">
        <f>IFERROR(VLOOKUP(V278,'NS QUẢN LÝ CG'!$A$4:$C$36,3,0),"")</f>
        <v>0971993540</v>
      </c>
      <c r="Z278" s="523" t="str">
        <f>IFERROR(VLOOKUP(M278,'02. MM-KLH'!$B$6:$T$823,3,0),"")</f>
        <v/>
      </c>
      <c r="AA278" s="559" t="str">
        <f t="shared" si="20"/>
        <v/>
      </c>
      <c r="AB278" s="523"/>
      <c r="AC278" s="523"/>
    </row>
    <row r="279">
      <c r="A279" s="523"/>
      <c r="B279" s="612" t="str">
        <f>IFERROR(VLOOKUP(M279,'02. MM-KLH'!$B$6:$T$823,6,0),"")</f>
        <v>Máy cày M6040</v>
      </c>
      <c r="C279" s="566">
        <v>1.0</v>
      </c>
      <c r="D279" s="613" t="str">
        <f>IFERROR(VLOOKUP(M279,'02. MM-KLH'!$B$6:$T$823,16,0),"")</f>
        <v>M6040</v>
      </c>
      <c r="E279" s="561" t="s">
        <v>4158</v>
      </c>
      <c r="F279" s="613"/>
      <c r="G279" s="613"/>
      <c r="H279" s="613" t="str">
        <f>IFERROR(VLOOKUP(M279,'02. MM-KLH'!$B$6:$T$823,17,0),"")</f>
        <v>60HP</v>
      </c>
      <c r="I279" s="614">
        <f>IFERROR(VLOOKUP(M279,'02. MM-KLH'!$B$6:$U$823,20,0),"")</f>
        <v>3.5</v>
      </c>
      <c r="J279" s="612" t="str">
        <f>IFERROR(VLOOKUP(M279,'02. MM-KLH'!$B$6:$T$823,19,0),"")</f>
        <v>CCN</v>
      </c>
      <c r="K279" s="612" t="str">
        <f>IFERROR(VLOOKUP(M279,'02. MM-KLH'!$B$6:$T$823,18,0),"")</f>
        <v>FD202H-16335</v>
      </c>
      <c r="L279" s="613" t="str">
        <f>IFERROR(VLOOKUP(M279,'02. MM-KLH'!$B$6:$T$823,4,0),"")</f>
        <v/>
      </c>
      <c r="M279" s="490" t="s">
        <v>2604</v>
      </c>
      <c r="N279" s="615">
        <f>IFERROR(VLOOKUP(M279,'02. MM-KLH'!$B$6:$T$823,15,0),"")</f>
        <v>2013</v>
      </c>
      <c r="O279" s="616" t="str">
        <f>IFERROR(VLOOKUP(M279,'02. MM-KLH'!$B$6:$T$823,9,0),"")</f>
        <v/>
      </c>
      <c r="P279" s="613"/>
      <c r="Q279" s="566" t="s">
        <v>1565</v>
      </c>
      <c r="R279" s="613"/>
      <c r="S279" s="613"/>
      <c r="T279" s="613"/>
      <c r="U279" s="559" t="str">
        <f>IFERROR(VLOOKUP(M279,'02. MM-KLH'!$B$6:$T$823,5,0),"")</f>
        <v>ĐQSD</v>
      </c>
      <c r="V279" s="523" t="str">
        <f>IFERROR(VLOOKUP(M279,'02. MM-KLH'!$B$6:$T$823,8,0),"")</f>
        <v>Thagricons</v>
      </c>
      <c r="W279" s="559" t="str">
        <f>IFERROR(VLOOKUP(V279,'NS QUẢN LÝ CG'!$A$4:$D$36,2,0),"")</f>
        <v/>
      </c>
      <c r="X279" s="559" t="str">
        <f>IFERROR(VLOOKUP(V279,'NS QUẢN LÝ CG'!$A$4:$D$36,4,0),"")</f>
        <v/>
      </c>
      <c r="Y279" s="559" t="str">
        <f>IFERROR(VLOOKUP(V279,'NS QUẢN LÝ CG'!$A$4:$C$36,3,0),"")</f>
        <v/>
      </c>
      <c r="Z279" s="523" t="str">
        <f>IFERROR(VLOOKUP(M279,'02. MM-KLH'!$B$6:$T$823,3,0),"")</f>
        <v>A22-MKE-029</v>
      </c>
      <c r="AA279" s="559" t="str">
        <f t="shared" si="20"/>
        <v>ADM</v>
      </c>
      <c r="AB279" s="523"/>
      <c r="AC279" s="523"/>
    </row>
    <row r="280">
      <c r="A280" s="523"/>
      <c r="B280" s="612" t="str">
        <f>IFERROR(VLOOKUP(M280,'02. MM-KLH'!$B$6:$T$823,6,0),"")</f>
        <v/>
      </c>
      <c r="C280" s="566"/>
      <c r="D280" s="613" t="str">
        <f>IFERROR(VLOOKUP(M280,'02. MM-KLH'!$B$6:$T$823,16,0),"")</f>
        <v/>
      </c>
      <c r="E280" s="613"/>
      <c r="F280" s="613"/>
      <c r="G280" s="613"/>
      <c r="H280" s="613" t="str">
        <f>IFERROR(VLOOKUP(M280,'02. MM-KLH'!$B$6:$T$823,17,0),"")</f>
        <v/>
      </c>
      <c r="I280" s="614" t="str">
        <f>IFERROR(VLOOKUP(M280,'02. MM-KLH'!$B$6:$U$823,20,0),"")</f>
        <v/>
      </c>
      <c r="J280" s="612" t="str">
        <f>IFERROR(VLOOKUP(M280,'02. MM-KLH'!$B$6:$T$823,19,0),"")</f>
        <v/>
      </c>
      <c r="K280" s="612" t="str">
        <f>IFERROR(VLOOKUP(M280,'02. MM-KLH'!$B$6:$T$823,18,0),"")</f>
        <v/>
      </c>
      <c r="L280" s="613" t="str">
        <f>IFERROR(VLOOKUP(M280,'02. MM-KLH'!$B$6:$T$823,4,0),"")</f>
        <v/>
      </c>
      <c r="M280" s="488"/>
      <c r="N280" s="615" t="str">
        <f>IFERROR(VLOOKUP(M280,'02. MM-KLH'!$B$6:$T$823,15,0),"")</f>
        <v/>
      </c>
      <c r="O280" s="616" t="str">
        <f>IFERROR(VLOOKUP(M280,'02. MM-KLH'!$B$6:$T$823,9,0),"")</f>
        <v/>
      </c>
      <c r="P280" s="613"/>
      <c r="Q280" s="613"/>
      <c r="R280" s="613"/>
      <c r="S280" s="613"/>
      <c r="T280" s="613"/>
      <c r="U280" s="613" t="str">
        <f>IFERROR(VLOOKUP(M280,'02. MM-KLH'!$B$6:$T$823,2,0),"")</f>
        <v/>
      </c>
      <c r="V280" s="523" t="str">
        <f>IFERROR(VLOOKUP(M280,'02. MM-KLH'!$B$6:$T$823,8,0),"")</f>
        <v/>
      </c>
      <c r="W280" s="559" t="str">
        <f>IFERROR(VLOOKUP(V280,'NS QUẢN LÝ CG'!$A$4:$D$36,2,0),"")</f>
        <v/>
      </c>
      <c r="X280" s="559" t="str">
        <f>IFERROR(VLOOKUP(V280,'NS QUẢN LÝ CG'!$A$4:$D$36,4,0),"")</f>
        <v/>
      </c>
      <c r="Y280" s="613"/>
      <c r="Z280" s="523" t="str">
        <f>IFERROR(VLOOKUP(M280,'02. MM-KLH'!$B$6:$T$823,3,0),"")</f>
        <v/>
      </c>
      <c r="AA280" s="613"/>
      <c r="AB280" s="523"/>
      <c r="AC280" s="523"/>
    </row>
    <row r="281" hidden="1">
      <c r="A281" s="523"/>
      <c r="B281" s="612" t="str">
        <f>IFERROR(VLOOKUP(M281,'02. MM-KLH'!$B$6:$T$823,6,0),"")</f>
        <v/>
      </c>
      <c r="C281" s="566"/>
      <c r="D281" s="613" t="str">
        <f>IFERROR(VLOOKUP(M281,'02. MM-KLH'!$B$6:$T$823,16,0),"")</f>
        <v/>
      </c>
      <c r="E281" s="613"/>
      <c r="F281" s="613"/>
      <c r="G281" s="613"/>
      <c r="H281" s="613" t="str">
        <f>IFERROR(VLOOKUP(M281,'02. MM-KLH'!$B$6:$T$823,17,0),"")</f>
        <v/>
      </c>
      <c r="I281" s="614" t="str">
        <f>IFERROR(VLOOKUP(M281,'02. MM-KLH'!$B$6:$U$823,20,0),"")</f>
        <v/>
      </c>
      <c r="J281" s="612" t="str">
        <f>IFERROR(VLOOKUP(M281,'02. MM-KLH'!$B$6:$T$823,19,0),"")</f>
        <v/>
      </c>
      <c r="K281" s="612" t="str">
        <f>IFERROR(VLOOKUP(M281,'02. MM-KLH'!$B$6:$T$823,18,0),"")</f>
        <v/>
      </c>
      <c r="L281" s="613" t="str">
        <f>IFERROR(VLOOKUP(M281,'02. MM-KLH'!$B$6:$T$823,4,0),"")</f>
        <v/>
      </c>
      <c r="M281" s="488"/>
      <c r="N281" s="615" t="str">
        <f>IFERROR(VLOOKUP(M281,'02. MM-KLH'!$B$6:$T$823,15,0),"")</f>
        <v/>
      </c>
      <c r="O281" s="616" t="str">
        <f>IFERROR(VLOOKUP(M281,'02. MM-KLH'!$B$6:$T$823,9,0),"")</f>
        <v/>
      </c>
      <c r="P281" s="613"/>
      <c r="Q281" s="613"/>
      <c r="R281" s="613"/>
      <c r="S281" s="613"/>
      <c r="T281" s="613"/>
      <c r="U281" s="613" t="str">
        <f>IFERROR(VLOOKUP(M281,'02. MM-KLH'!$B$6:$T$823,2,0),"")</f>
        <v/>
      </c>
      <c r="V281" s="523" t="str">
        <f>IFERROR(VLOOKUP(M281,'02. MM-KLH'!$B$6:$T$823,8,0),"")</f>
        <v/>
      </c>
      <c r="W281" s="613"/>
      <c r="X281" s="613"/>
      <c r="Y281" s="613"/>
      <c r="Z281" s="523" t="str">
        <f>IFERROR(VLOOKUP(M281,'02. MM-KLH'!$B$6:$T$823,3,0),"")</f>
        <v/>
      </c>
      <c r="AA281" s="613"/>
      <c r="AB281" s="523"/>
      <c r="AC281" s="523"/>
    </row>
    <row r="282" hidden="1">
      <c r="A282" s="523"/>
      <c r="B282" s="612" t="str">
        <f>IFERROR(VLOOKUP(M282,'02. MM-KLH'!$B$6:$T$823,6,0),"")</f>
        <v/>
      </c>
      <c r="C282" s="566"/>
      <c r="D282" s="613" t="str">
        <f>IFERROR(VLOOKUP(M282,'02. MM-KLH'!$B$6:$T$823,16,0),"")</f>
        <v/>
      </c>
      <c r="E282" s="613"/>
      <c r="F282" s="613"/>
      <c r="G282" s="613"/>
      <c r="H282" s="613" t="str">
        <f>IFERROR(VLOOKUP(M282,'02. MM-KLH'!$B$6:$T$823,17,0),"")</f>
        <v/>
      </c>
      <c r="I282" s="614" t="str">
        <f>IFERROR(VLOOKUP(M282,'02. MM-KLH'!$B$6:$U$823,20,0),"")</f>
        <v/>
      </c>
      <c r="J282" s="612" t="str">
        <f>IFERROR(VLOOKUP(M282,'02. MM-KLH'!$B$6:$T$823,19,0),"")</f>
        <v/>
      </c>
      <c r="K282" s="612" t="str">
        <f>IFERROR(VLOOKUP(M282,'02. MM-KLH'!$B$6:$T$823,18,0),"")</f>
        <v/>
      </c>
      <c r="L282" s="613" t="str">
        <f>IFERROR(VLOOKUP(M282,'02. MM-KLH'!$B$6:$T$823,4,0),"")</f>
        <v/>
      </c>
      <c r="M282" s="488"/>
      <c r="N282" s="615" t="str">
        <f>IFERROR(VLOOKUP(M282,'02. MM-KLH'!$B$6:$T$823,15,0),"")</f>
        <v/>
      </c>
      <c r="O282" s="616" t="str">
        <f>IFERROR(VLOOKUP(M282,'02. MM-KLH'!$B$6:$T$823,9,0),"")</f>
        <v/>
      </c>
      <c r="P282" s="613"/>
      <c r="Q282" s="613"/>
      <c r="R282" s="613"/>
      <c r="S282" s="613"/>
      <c r="T282" s="613"/>
      <c r="U282" s="613" t="str">
        <f>IFERROR(VLOOKUP(M282,'02. MM-KLH'!$B$6:$T$823,2,0),"")</f>
        <v/>
      </c>
      <c r="V282" s="523" t="str">
        <f>IFERROR(VLOOKUP(M282,'02. MM-KLH'!$B$6:$T$823,8,0),"")</f>
        <v/>
      </c>
      <c r="W282" s="613"/>
      <c r="X282" s="613"/>
      <c r="Y282" s="613"/>
      <c r="Z282" s="523" t="str">
        <f>IFERROR(VLOOKUP(M282,'02. MM-KLH'!$B$6:$T$823,3,0),"")</f>
        <v/>
      </c>
      <c r="AA282" s="613"/>
      <c r="AB282" s="523"/>
      <c r="AC282" s="523"/>
    </row>
    <row r="283">
      <c r="A283" s="695">
        <v>4.0</v>
      </c>
      <c r="B283" s="696" t="s">
        <v>860</v>
      </c>
      <c r="C283" s="697">
        <f>COUNTA(B284:B319)</f>
        <v>33</v>
      </c>
      <c r="D283" s="698"/>
      <c r="E283" s="698"/>
      <c r="F283" s="698"/>
      <c r="G283" s="698"/>
      <c r="H283" s="558"/>
      <c r="I283" s="558"/>
      <c r="J283" s="699"/>
      <c r="K283" s="699"/>
      <c r="L283" s="698"/>
      <c r="M283" s="700"/>
      <c r="N283" s="698"/>
      <c r="O283" s="701"/>
      <c r="P283" s="698"/>
      <c r="Q283" s="698"/>
      <c r="R283" s="698"/>
      <c r="S283" s="698"/>
      <c r="T283" s="698"/>
      <c r="U283" s="698"/>
      <c r="V283" s="558"/>
      <c r="W283" s="698"/>
      <c r="X283" s="698"/>
      <c r="Y283" s="698"/>
      <c r="Z283" s="558"/>
      <c r="AA283" s="698"/>
      <c r="AB283" s="558"/>
      <c r="AC283" s="558"/>
    </row>
    <row r="284">
      <c r="A284" s="523"/>
      <c r="B284" s="612" t="str">
        <f>IFERROR(VLOOKUP(M284,'02. MM-KLH'!$B$6:$T$823,6,0),"")</f>
        <v>Máy cày KAM50</v>
      </c>
      <c r="C284" s="566">
        <v>1.0</v>
      </c>
      <c r="D284" s="613" t="str">
        <f>IFERROR(VLOOKUP(M284,'02. MM-KLH'!$B$6:$T$823,16,0),"")</f>
        <v>KAM50</v>
      </c>
      <c r="E284" s="561" t="s">
        <v>4158</v>
      </c>
      <c r="F284" s="613"/>
      <c r="G284" s="613"/>
      <c r="H284" s="613" t="str">
        <f>IFERROR(VLOOKUP(M284,'02. MM-KLH'!$B$6:$T$823,17,0),"")</f>
        <v>50HP</v>
      </c>
      <c r="I284" s="614">
        <f>IFERROR(VLOOKUP(M284,'02. MM-KLH'!$B$6:$U$823,20,0),"")</f>
        <v>2.5</v>
      </c>
      <c r="J284" s="612" t="str">
        <f>IFERROR(VLOOKUP(M284,'02. MM-KLH'!$B$6:$T$823,19,0),"")</f>
        <v>CCN</v>
      </c>
      <c r="K284" s="612" t="str">
        <f>IFERROR(VLOOKUP(M284,'02. MM-KLH'!$B$6:$T$823,18,0),"")</f>
        <v>C000012</v>
      </c>
      <c r="L284" s="613" t="str">
        <f>IFERROR(VLOOKUP(M284,'02. MM-KLH'!$B$6:$T$823,4,0),"")</f>
        <v/>
      </c>
      <c r="M284" s="490" t="s">
        <v>855</v>
      </c>
      <c r="N284" s="615">
        <f>IFERROR(VLOOKUP(M284,'02. MM-KLH'!$B$6:$T$823,15,0),"")</f>
        <v>2018</v>
      </c>
      <c r="O284" s="616" t="str">
        <f>IFERROR(VLOOKUP(M284,'02. MM-KLH'!$B$6:$T$823,9,0),"")</f>
        <v/>
      </c>
      <c r="P284" s="613"/>
      <c r="Q284" s="566" t="s">
        <v>1565</v>
      </c>
      <c r="R284" s="566" t="s">
        <v>4158</v>
      </c>
      <c r="S284" s="613"/>
      <c r="T284" s="613"/>
      <c r="U284" s="559" t="str">
        <f>IFERROR(VLOOKUP(M284,'02. MM-KLH'!$B$6:$T$823,5,0),"")</f>
        <v>ĐQSD</v>
      </c>
      <c r="V284" s="523" t="str">
        <f>IFERROR(VLOOKUP(M284,'02. MM-KLH'!$B$6:$T$823,8,0),"")</f>
        <v>XN Chuối DP1</v>
      </c>
      <c r="W284" s="559" t="str">
        <f>IFERROR(VLOOKUP(V284,'NS QUẢN LÝ CG'!$A$4:$D$36,2,0),"")</f>
        <v>Thái Cao Lưu</v>
      </c>
      <c r="X284" s="559" t="str">
        <f>IFERROR(VLOOKUP(V284,'NS QUẢN LÝ CG'!$A$4:$D$36,4,0),"")</f>
        <v>Lô 21 DP1</v>
      </c>
      <c r="Y284" s="559" t="str">
        <f>IFERROR(VLOOKUP(V284,'NS QUẢN LÝ CG'!$A$4:$C$36,3,0),"")</f>
        <v>0387783316</v>
      </c>
      <c r="Z284" s="523" t="str">
        <f>IFERROR(VLOOKUP(M284,'02. MM-KLH'!$B$6:$T$823,3,0),"")</f>
        <v>A23-MKE-012</v>
      </c>
      <c r="AA284" s="559" t="str">
        <f t="shared" ref="AA284:AA310" si="21">SWITCH(LEFT(Z284,3),"A22","ADM","A23","DP","A24","LP","")</f>
        <v>DP</v>
      </c>
      <c r="AB284" s="523"/>
      <c r="AC284" s="523"/>
    </row>
    <row r="285">
      <c r="A285" s="523"/>
      <c r="B285" s="612" t="str">
        <f>IFERROR(VLOOKUP(M285,'02. MM-KLH'!$B$6:$T$823,6,0),"")</f>
        <v>Máy cày KAM50</v>
      </c>
      <c r="C285" s="566">
        <v>1.0</v>
      </c>
      <c r="D285" s="613" t="str">
        <f>IFERROR(VLOOKUP(M285,'02. MM-KLH'!$B$6:$T$823,16,0),"")</f>
        <v>KAM50</v>
      </c>
      <c r="E285" s="561" t="s">
        <v>4158</v>
      </c>
      <c r="F285" s="613"/>
      <c r="G285" s="613"/>
      <c r="H285" s="613" t="str">
        <f>IFERROR(VLOOKUP(M285,'02. MM-KLH'!$B$6:$T$823,17,0),"")</f>
        <v>50HP</v>
      </c>
      <c r="I285" s="614">
        <f>IFERROR(VLOOKUP(M285,'02. MM-KLH'!$B$6:$U$823,20,0),"")</f>
        <v>2.5</v>
      </c>
      <c r="J285" s="612" t="str">
        <f>IFERROR(VLOOKUP(M285,'02. MM-KLH'!$B$6:$T$823,19,0),"")</f>
        <v>CCN</v>
      </c>
      <c r="K285" s="612" t="str">
        <f>IFERROR(VLOOKUP(M285,'02. MM-KLH'!$B$6:$T$823,18,0),"")</f>
        <v>C000072</v>
      </c>
      <c r="L285" s="613" t="str">
        <f>IFERROR(VLOOKUP(M285,'02. MM-KLH'!$B$6:$T$823,4,0),"")</f>
        <v/>
      </c>
      <c r="M285" s="490" t="s">
        <v>863</v>
      </c>
      <c r="N285" s="615">
        <f>IFERROR(VLOOKUP(M285,'02. MM-KLH'!$B$6:$T$823,15,0),"")</f>
        <v>2018</v>
      </c>
      <c r="O285" s="616" t="str">
        <f>IFERROR(VLOOKUP(M285,'02. MM-KLH'!$B$6:$T$823,9,0),"")</f>
        <v/>
      </c>
      <c r="P285" s="613"/>
      <c r="Q285" s="566" t="s">
        <v>1565</v>
      </c>
      <c r="R285" s="566" t="s">
        <v>4158</v>
      </c>
      <c r="S285" s="613"/>
      <c r="T285" s="613"/>
      <c r="U285" s="559" t="str">
        <f>IFERROR(VLOOKUP(M285,'02. MM-KLH'!$B$6:$T$823,5,0),"")</f>
        <v>ĐQSD</v>
      </c>
      <c r="V285" s="523" t="str">
        <f>IFERROR(VLOOKUP(M285,'02. MM-KLH'!$B$6:$T$823,8,0),"")</f>
        <v>XN Chuối DP1</v>
      </c>
      <c r="W285" s="559" t="str">
        <f>IFERROR(VLOOKUP(V285,'NS QUẢN LÝ CG'!$A$4:$D$36,2,0),"")</f>
        <v>Thái Cao Lưu</v>
      </c>
      <c r="X285" s="559" t="str">
        <f>IFERROR(VLOOKUP(V285,'NS QUẢN LÝ CG'!$A$4:$D$36,4,0),"")</f>
        <v>Lô 21 DP1</v>
      </c>
      <c r="Y285" s="559" t="str">
        <f>IFERROR(VLOOKUP(V285,'NS QUẢN LÝ CG'!$A$4:$C$36,3,0),"")</f>
        <v>0387783316</v>
      </c>
      <c r="Z285" s="523" t="str">
        <f>IFERROR(VLOOKUP(M285,'02. MM-KLH'!$B$6:$T$823,3,0),"")</f>
        <v>A23-MKE-013</v>
      </c>
      <c r="AA285" s="559" t="str">
        <f t="shared" si="21"/>
        <v>DP</v>
      </c>
      <c r="AB285" s="523"/>
      <c r="AC285" s="523"/>
    </row>
    <row r="286">
      <c r="A286" s="523"/>
      <c r="B286" s="612" t="str">
        <f>IFERROR(VLOOKUP(M286,'02. MM-KLH'!$B$6:$T$823,6,0),"")</f>
        <v>Máy cày KAM50</v>
      </c>
      <c r="C286" s="566">
        <v>1.0</v>
      </c>
      <c r="D286" s="613" t="str">
        <f>IFERROR(VLOOKUP(M286,'02. MM-KLH'!$B$6:$T$823,16,0),"")</f>
        <v>KAM50</v>
      </c>
      <c r="E286" s="561" t="s">
        <v>4158</v>
      </c>
      <c r="F286" s="613"/>
      <c r="G286" s="613"/>
      <c r="H286" s="613" t="str">
        <f>IFERROR(VLOOKUP(M286,'02. MM-KLH'!$B$6:$T$823,17,0),"")</f>
        <v>50HP</v>
      </c>
      <c r="I286" s="614">
        <f>IFERROR(VLOOKUP(M286,'02. MM-KLH'!$B$6:$U$823,20,0),"")</f>
        <v>2.5</v>
      </c>
      <c r="J286" s="612" t="str">
        <f>IFERROR(VLOOKUP(M286,'02. MM-KLH'!$B$6:$T$823,19,0),"")</f>
        <v>CCN</v>
      </c>
      <c r="K286" s="612" t="str">
        <f>IFERROR(VLOOKUP(M286,'02. MM-KLH'!$B$6:$T$823,18,0),"")</f>
        <v>C000025</v>
      </c>
      <c r="L286" s="613" t="str">
        <f>IFERROR(VLOOKUP(M286,'02. MM-KLH'!$B$6:$T$823,4,0),"")</f>
        <v/>
      </c>
      <c r="M286" s="488" t="s">
        <v>868</v>
      </c>
      <c r="N286" s="615">
        <f>IFERROR(VLOOKUP(M286,'02. MM-KLH'!$B$6:$T$823,15,0),"")</f>
        <v>2018</v>
      </c>
      <c r="O286" s="616" t="str">
        <f>IFERROR(VLOOKUP(M286,'02. MM-KLH'!$B$6:$T$823,9,0),"")</f>
        <v>24/04/2024</v>
      </c>
      <c r="P286" s="613"/>
      <c r="Q286" s="566" t="s">
        <v>1565</v>
      </c>
      <c r="R286" s="566" t="s">
        <v>4158</v>
      </c>
      <c r="S286" s="613"/>
      <c r="T286" s="613"/>
      <c r="U286" s="559" t="str">
        <f>IFERROR(VLOOKUP(M286,'02. MM-KLH'!$B$6:$T$823,5,0),"")</f>
        <v>ĐQSD</v>
      </c>
      <c r="V286" s="523" t="str">
        <f>IFERROR(VLOOKUP(M286,'02. MM-KLH'!$B$6:$T$823,8,0),"")</f>
        <v>XN Chuối DP1</v>
      </c>
      <c r="W286" s="559" t="str">
        <f>IFERROR(VLOOKUP(V286,'NS QUẢN LÝ CG'!$A$4:$D$36,2,0),"")</f>
        <v>Thái Cao Lưu</v>
      </c>
      <c r="X286" s="559" t="str">
        <f>IFERROR(VLOOKUP(V286,'NS QUẢN LÝ CG'!$A$4:$D$36,4,0),"")</f>
        <v>Lô 21 DP1</v>
      </c>
      <c r="Y286" s="559" t="str">
        <f>IFERROR(VLOOKUP(V286,'NS QUẢN LÝ CG'!$A$4:$C$36,3,0),"")</f>
        <v>0387783316</v>
      </c>
      <c r="Z286" s="523" t="str">
        <f>IFERROR(VLOOKUP(M286,'02. MM-KLH'!$B$6:$T$823,3,0),"")</f>
        <v>A23-MKE-014</v>
      </c>
      <c r="AA286" s="559" t="str">
        <f t="shared" si="21"/>
        <v>DP</v>
      </c>
      <c r="AB286" s="523"/>
      <c r="AC286" s="523"/>
    </row>
    <row r="287">
      <c r="A287" s="523"/>
      <c r="B287" s="612" t="str">
        <f>IFERROR(VLOOKUP(M287,'02. MM-KLH'!$B$6:$T$823,6,0),"")</f>
        <v>Máy cày KAM50</v>
      </c>
      <c r="C287" s="566">
        <v>1.0</v>
      </c>
      <c r="D287" s="613" t="str">
        <f>IFERROR(VLOOKUP(M287,'02. MM-KLH'!$B$6:$T$823,16,0),"")</f>
        <v>KAM50</v>
      </c>
      <c r="E287" s="561" t="s">
        <v>4158</v>
      </c>
      <c r="F287" s="613"/>
      <c r="G287" s="613"/>
      <c r="H287" s="613" t="str">
        <f>IFERROR(VLOOKUP(M287,'02. MM-KLH'!$B$6:$T$823,17,0),"")</f>
        <v>50HP</v>
      </c>
      <c r="I287" s="614">
        <f>IFERROR(VLOOKUP(M287,'02. MM-KLH'!$B$6:$U$823,20,0),"")</f>
        <v>2.5</v>
      </c>
      <c r="J287" s="612" t="str">
        <f>IFERROR(VLOOKUP(M287,'02. MM-KLH'!$B$6:$T$823,19,0),"")</f>
        <v>CCN</v>
      </c>
      <c r="K287" s="612" t="str">
        <f>IFERROR(VLOOKUP(M287,'02. MM-KLH'!$B$6:$T$823,18,0),"")</f>
        <v>C000011</v>
      </c>
      <c r="L287" s="613" t="str">
        <f>IFERROR(VLOOKUP(M287,'02. MM-KLH'!$B$6:$T$823,4,0),"")</f>
        <v/>
      </c>
      <c r="M287" s="490" t="s">
        <v>1014</v>
      </c>
      <c r="N287" s="615">
        <f>IFERROR(VLOOKUP(M287,'02. MM-KLH'!$B$6:$T$823,15,0),"")</f>
        <v>2018</v>
      </c>
      <c r="O287" s="616" t="str">
        <f>IFERROR(VLOOKUP(M287,'02. MM-KLH'!$B$6:$T$823,9,0),"")</f>
        <v/>
      </c>
      <c r="P287" s="613"/>
      <c r="Q287" s="566" t="s">
        <v>1565</v>
      </c>
      <c r="R287" s="566" t="s">
        <v>4158</v>
      </c>
      <c r="S287" s="613"/>
      <c r="T287" s="613"/>
      <c r="U287" s="559" t="str">
        <f>IFERROR(VLOOKUP(M287,'02. MM-KLH'!$B$6:$T$823,5,0),"")</f>
        <v>ĐQSD</v>
      </c>
      <c r="V287" s="523" t="str">
        <f>IFERROR(VLOOKUP(M287,'02. MM-KLH'!$B$6:$T$823,8,0),"")</f>
        <v>XN Chuối DP2</v>
      </c>
      <c r="W287" s="559" t="str">
        <f>IFERROR(VLOOKUP(V287,'NS QUẢN LÝ CG'!$A$4:$D$36,2,0),"")</f>
        <v>Huỳnh Quang Viên</v>
      </c>
      <c r="X287" s="559" t="str">
        <f>IFERROR(VLOOKUP(V287,'NS QUẢN LÝ CG'!$A$4:$D$36,4,0),"")</f>
        <v>Lô 15.6 DP2</v>
      </c>
      <c r="Y287" s="559" t="str">
        <f>IFERROR(VLOOKUP(V287,'NS QUẢN LÝ CG'!$A$4:$C$36,3,0),"")</f>
        <v>0977623379</v>
      </c>
      <c r="Z287" s="523" t="str">
        <f>IFERROR(VLOOKUP(M287,'02. MM-KLH'!$B$6:$T$823,3,0),"")</f>
        <v>A23-MKE-019</v>
      </c>
      <c r="AA287" s="559" t="str">
        <f t="shared" si="21"/>
        <v>DP</v>
      </c>
      <c r="AB287" s="523"/>
      <c r="AC287" s="523"/>
    </row>
    <row r="288">
      <c r="A288" s="523"/>
      <c r="B288" s="612" t="str">
        <f>IFERROR(VLOOKUP(M288,'02. MM-KLH'!$B$6:$T$823,6,0),"")</f>
        <v>Máy cày KAM50</v>
      </c>
      <c r="C288" s="566">
        <v>1.0</v>
      </c>
      <c r="D288" s="613" t="str">
        <f>IFERROR(VLOOKUP(M288,'02. MM-KLH'!$B$6:$T$823,16,0),"")</f>
        <v>KAM50</v>
      </c>
      <c r="E288" s="561" t="s">
        <v>4158</v>
      </c>
      <c r="F288" s="613"/>
      <c r="G288" s="613"/>
      <c r="H288" s="613" t="str">
        <f>IFERROR(VLOOKUP(M288,'02. MM-KLH'!$B$6:$T$823,17,0),"")</f>
        <v>50HP</v>
      </c>
      <c r="I288" s="614">
        <f>IFERROR(VLOOKUP(M288,'02. MM-KLH'!$B$6:$U$823,20,0),"")</f>
        <v>2.5</v>
      </c>
      <c r="J288" s="612" t="str">
        <f>IFERROR(VLOOKUP(M288,'02. MM-KLH'!$B$6:$T$823,19,0),"")</f>
        <v>CCN</v>
      </c>
      <c r="K288" s="612" t="str">
        <f>IFERROR(VLOOKUP(M288,'02. MM-KLH'!$B$6:$T$823,18,0),"")</f>
        <v>C00007</v>
      </c>
      <c r="L288" s="613" t="str">
        <f>IFERROR(VLOOKUP(M288,'02. MM-KLH'!$B$6:$T$823,4,0),"")</f>
        <v/>
      </c>
      <c r="M288" s="490" t="s">
        <v>1017</v>
      </c>
      <c r="N288" s="615">
        <f>IFERROR(VLOOKUP(M288,'02. MM-KLH'!$B$6:$T$823,15,0),"")</f>
        <v>2018</v>
      </c>
      <c r="O288" s="616" t="str">
        <f>IFERROR(VLOOKUP(M288,'02. MM-KLH'!$B$6:$T$823,9,0),"")</f>
        <v/>
      </c>
      <c r="P288" s="613"/>
      <c r="Q288" s="566" t="s">
        <v>1565</v>
      </c>
      <c r="R288" s="566" t="s">
        <v>4158</v>
      </c>
      <c r="S288" s="613"/>
      <c r="T288" s="613"/>
      <c r="U288" s="559" t="str">
        <f>IFERROR(VLOOKUP(M288,'02. MM-KLH'!$B$6:$T$823,5,0),"")</f>
        <v>ĐQSD</v>
      </c>
      <c r="V288" s="523" t="str">
        <f>IFERROR(VLOOKUP(M288,'02. MM-KLH'!$B$6:$T$823,8,0),"")</f>
        <v>XN Chuối DP2</v>
      </c>
      <c r="W288" s="559" t="str">
        <f>IFERROR(VLOOKUP(V288,'NS QUẢN LÝ CG'!$A$4:$D$36,2,0),"")</f>
        <v>Huỳnh Quang Viên</v>
      </c>
      <c r="X288" s="559" t="str">
        <f>IFERROR(VLOOKUP(V288,'NS QUẢN LÝ CG'!$A$4:$D$36,4,0),"")</f>
        <v>Lô 15.6 DP2</v>
      </c>
      <c r="Y288" s="559" t="str">
        <f>IFERROR(VLOOKUP(V288,'NS QUẢN LÝ CG'!$A$4:$C$36,3,0),"")</f>
        <v>0977623379</v>
      </c>
      <c r="Z288" s="523" t="str">
        <f>IFERROR(VLOOKUP(M288,'02. MM-KLH'!$B$6:$T$823,3,0),"")</f>
        <v>A23-MKE-020</v>
      </c>
      <c r="AA288" s="559" t="str">
        <f t="shared" si="21"/>
        <v>DP</v>
      </c>
      <c r="AB288" s="523"/>
      <c r="AC288" s="523"/>
    </row>
    <row r="289">
      <c r="A289" s="523"/>
      <c r="B289" s="612" t="str">
        <f>IFERROR(VLOOKUP(M289,'02. MM-KLH'!$B$6:$T$823,6,0),"")</f>
        <v>Máy cày KAM50</v>
      </c>
      <c r="C289" s="566">
        <v>1.0</v>
      </c>
      <c r="D289" s="613" t="str">
        <f>IFERROR(VLOOKUP(M289,'02. MM-KLH'!$B$6:$T$823,16,0),"")</f>
        <v>KAM50</v>
      </c>
      <c r="E289" s="561" t="s">
        <v>4158</v>
      </c>
      <c r="F289" s="613"/>
      <c r="G289" s="613"/>
      <c r="H289" s="613" t="str">
        <f>IFERROR(VLOOKUP(M289,'02. MM-KLH'!$B$6:$T$823,17,0),"")</f>
        <v>50HP</v>
      </c>
      <c r="I289" s="614">
        <f>IFERROR(VLOOKUP(M289,'02. MM-KLH'!$B$6:$U$823,20,0),"")</f>
        <v>2.5</v>
      </c>
      <c r="J289" s="612" t="str">
        <f>IFERROR(VLOOKUP(M289,'02. MM-KLH'!$B$6:$T$823,19,0),"")</f>
        <v>CCN</v>
      </c>
      <c r="K289" s="612" t="str">
        <f>IFERROR(VLOOKUP(M289,'02. MM-KLH'!$B$6:$T$823,18,0),"")</f>
        <v>C000083</v>
      </c>
      <c r="L289" s="613" t="str">
        <f>IFERROR(VLOOKUP(M289,'02. MM-KLH'!$B$6:$T$823,4,0),"")</f>
        <v/>
      </c>
      <c r="M289" s="490" t="s">
        <v>1121</v>
      </c>
      <c r="N289" s="615">
        <f>IFERROR(VLOOKUP(M289,'02. MM-KLH'!$B$6:$T$823,15,0),"")</f>
        <v>2018</v>
      </c>
      <c r="O289" s="616">
        <f>IFERROR(VLOOKUP(M289,'02. MM-KLH'!$B$6:$T$823,9,0),"")</f>
        <v>43525</v>
      </c>
      <c r="P289" s="613"/>
      <c r="Q289" s="566" t="s">
        <v>1565</v>
      </c>
      <c r="R289" s="566" t="s">
        <v>4158</v>
      </c>
      <c r="S289" s="613"/>
      <c r="T289" s="613"/>
      <c r="U289" s="559" t="str">
        <f>IFERROR(VLOOKUP(M289,'02. MM-KLH'!$B$6:$T$823,5,0),"")</f>
        <v>ĐQSD</v>
      </c>
      <c r="V289" s="523" t="str">
        <f>IFERROR(VLOOKUP(M289,'02. MM-KLH'!$B$6:$T$823,8,0),"")</f>
        <v>XN Chuối DP3</v>
      </c>
      <c r="W289" s="559" t="str">
        <f>IFERROR(VLOOKUP(V289,'NS QUẢN LÝ CG'!$A$4:$D$36,2,0),"")</f>
        <v>Thạch Ngọc Vững</v>
      </c>
      <c r="X289" s="559" t="str">
        <f>IFERROR(VLOOKUP(V289,'NS QUẢN LÝ CG'!$A$4:$D$36,4,0),"")</f>
        <v>Lô 28 DP3</v>
      </c>
      <c r="Y289" s="559" t="str">
        <f>IFERROR(VLOOKUP(V289,'NS QUẢN LÝ CG'!$A$4:$C$36,3,0),"")</f>
        <v>0975905267</v>
      </c>
      <c r="Z289" s="523" t="str">
        <f>IFERROR(VLOOKUP(M289,'02. MM-KLH'!$B$6:$T$823,3,0),"")</f>
        <v>A23-MKE-024</v>
      </c>
      <c r="AA289" s="559" t="str">
        <f t="shared" si="21"/>
        <v>DP</v>
      </c>
      <c r="AB289" s="523"/>
      <c r="AC289" s="523"/>
    </row>
    <row r="290">
      <c r="A290" s="523"/>
      <c r="B290" s="612" t="str">
        <f>IFERROR(VLOOKUP(M290,'02. MM-KLH'!$B$6:$T$823,6,0),"")</f>
        <v>Máy cày KAM50</v>
      </c>
      <c r="C290" s="566">
        <v>1.0</v>
      </c>
      <c r="D290" s="613" t="str">
        <f>IFERROR(VLOOKUP(M290,'02. MM-KLH'!$B$6:$T$823,16,0),"")</f>
        <v>KAM50</v>
      </c>
      <c r="E290" s="561" t="s">
        <v>4158</v>
      </c>
      <c r="F290" s="613"/>
      <c r="G290" s="613"/>
      <c r="H290" s="613" t="str">
        <f>IFERROR(VLOOKUP(M290,'02. MM-KLH'!$B$6:$T$823,17,0),"")</f>
        <v>50HP</v>
      </c>
      <c r="I290" s="614">
        <f>IFERROR(VLOOKUP(M290,'02. MM-KLH'!$B$6:$U$823,20,0),"")</f>
        <v>2.5</v>
      </c>
      <c r="J290" s="612" t="str">
        <f>IFERROR(VLOOKUP(M290,'02. MM-KLH'!$B$6:$T$823,19,0),"")</f>
        <v>CCN</v>
      </c>
      <c r="K290" s="612" t="str">
        <f>IFERROR(VLOOKUP(M290,'02. MM-KLH'!$B$6:$T$823,18,0),"")</f>
        <v>C000070</v>
      </c>
      <c r="L290" s="613" t="str">
        <f>IFERROR(VLOOKUP(M290,'02. MM-KLH'!$B$6:$T$823,4,0),"")</f>
        <v/>
      </c>
      <c r="M290" s="490" t="s">
        <v>1124</v>
      </c>
      <c r="N290" s="615">
        <f>IFERROR(VLOOKUP(M290,'02. MM-KLH'!$B$6:$T$823,15,0),"")</f>
        <v>2018</v>
      </c>
      <c r="O290" s="616">
        <f>IFERROR(VLOOKUP(M290,'02. MM-KLH'!$B$6:$T$823,9,0),"")</f>
        <v>43525</v>
      </c>
      <c r="P290" s="613"/>
      <c r="Q290" s="566" t="s">
        <v>1565</v>
      </c>
      <c r="R290" s="613"/>
      <c r="S290" s="566" t="s">
        <v>4158</v>
      </c>
      <c r="T290" s="613"/>
      <c r="U290" s="559" t="str">
        <f>IFERROR(VLOOKUP(M290,'02. MM-KLH'!$B$6:$T$823,5,0),"")</f>
        <v>ĐQSD</v>
      </c>
      <c r="V290" s="523" t="str">
        <f>IFERROR(VLOOKUP(M290,'02. MM-KLH'!$B$6:$T$823,8,0),"")</f>
        <v>XN Chuối DP3</v>
      </c>
      <c r="W290" s="559" t="str">
        <f>IFERROR(VLOOKUP(V290,'NS QUẢN LÝ CG'!$A$4:$D$36,2,0),"")</f>
        <v>Thạch Ngọc Vững</v>
      </c>
      <c r="X290" s="559" t="str">
        <f>IFERROR(VLOOKUP(V290,'NS QUẢN LÝ CG'!$A$4:$D$36,4,0),"")</f>
        <v>Lô 28 DP3</v>
      </c>
      <c r="Y290" s="559" t="str">
        <f>IFERROR(VLOOKUP(V290,'NS QUẢN LÝ CG'!$A$4:$C$36,3,0),"")</f>
        <v>0975905267</v>
      </c>
      <c r="Z290" s="523" t="str">
        <f>IFERROR(VLOOKUP(M290,'02. MM-KLH'!$B$6:$T$823,3,0),"")</f>
        <v>A23-MKE-025</v>
      </c>
      <c r="AA290" s="559" t="str">
        <f t="shared" si="21"/>
        <v>DP</v>
      </c>
      <c r="AB290" s="523"/>
      <c r="AC290" s="523"/>
    </row>
    <row r="291">
      <c r="A291" s="523"/>
      <c r="B291" s="612" t="str">
        <f>IFERROR(VLOOKUP(M291,'02. MM-KLH'!$B$6:$T$823,6,0),"")</f>
        <v>Máy cày KAM50</v>
      </c>
      <c r="C291" s="566">
        <v>1.0</v>
      </c>
      <c r="D291" s="613" t="str">
        <f>IFERROR(VLOOKUP(M291,'02. MM-KLH'!$B$6:$T$823,16,0),"")</f>
        <v>KAM50</v>
      </c>
      <c r="E291" s="561" t="s">
        <v>4158</v>
      </c>
      <c r="F291" s="613"/>
      <c r="G291" s="613"/>
      <c r="H291" s="613" t="str">
        <f>IFERROR(VLOOKUP(M291,'02. MM-KLH'!$B$6:$T$823,17,0),"")</f>
        <v>50HP</v>
      </c>
      <c r="I291" s="614">
        <f>IFERROR(VLOOKUP(M291,'02. MM-KLH'!$B$6:$U$823,20,0),"")</f>
        <v>2.5</v>
      </c>
      <c r="J291" s="612" t="str">
        <f>IFERROR(VLOOKUP(M291,'02. MM-KLH'!$B$6:$T$823,19,0),"")</f>
        <v>CCN</v>
      </c>
      <c r="K291" s="612" t="str">
        <f>IFERROR(VLOOKUP(M291,'02. MM-KLH'!$B$6:$T$823,18,0),"")</f>
        <v>C000036</v>
      </c>
      <c r="L291" s="613" t="str">
        <f>IFERROR(VLOOKUP(M291,'02. MM-KLH'!$B$6:$T$823,4,0),"")</f>
        <v/>
      </c>
      <c r="M291" s="490" t="s">
        <v>1127</v>
      </c>
      <c r="N291" s="615">
        <f>IFERROR(VLOOKUP(M291,'02. MM-KLH'!$B$6:$T$823,15,0),"")</f>
        <v>2018</v>
      </c>
      <c r="O291" s="616">
        <f>IFERROR(VLOOKUP(M291,'02. MM-KLH'!$B$6:$T$823,9,0),"")</f>
        <v>43525</v>
      </c>
      <c r="P291" s="613"/>
      <c r="Q291" s="566" t="s">
        <v>1565</v>
      </c>
      <c r="R291" s="566" t="s">
        <v>4158</v>
      </c>
      <c r="S291" s="613"/>
      <c r="T291" s="613"/>
      <c r="U291" s="559" t="str">
        <f>IFERROR(VLOOKUP(M291,'02. MM-KLH'!$B$6:$T$823,5,0),"")</f>
        <v>ĐQSD</v>
      </c>
      <c r="V291" s="523" t="str">
        <f>IFERROR(VLOOKUP(M291,'02. MM-KLH'!$B$6:$T$823,8,0),"")</f>
        <v>XN Chuối DP3</v>
      </c>
      <c r="W291" s="559" t="str">
        <f>IFERROR(VLOOKUP(V291,'NS QUẢN LÝ CG'!$A$4:$D$36,2,0),"")</f>
        <v>Thạch Ngọc Vững</v>
      </c>
      <c r="X291" s="559" t="str">
        <f>IFERROR(VLOOKUP(V291,'NS QUẢN LÝ CG'!$A$4:$D$36,4,0),"")</f>
        <v>Lô 28 DP3</v>
      </c>
      <c r="Y291" s="559" t="str">
        <f>IFERROR(VLOOKUP(V291,'NS QUẢN LÝ CG'!$A$4:$C$36,3,0),"")</f>
        <v>0975905267</v>
      </c>
      <c r="Z291" s="523" t="str">
        <f>IFERROR(VLOOKUP(M291,'02. MM-KLH'!$B$6:$T$823,3,0),"")</f>
        <v>A23-MKE-026</v>
      </c>
      <c r="AA291" s="559" t="str">
        <f t="shared" si="21"/>
        <v>DP</v>
      </c>
      <c r="AB291" s="523"/>
      <c r="AC291" s="523"/>
    </row>
    <row r="292">
      <c r="A292" s="523"/>
      <c r="B292" s="612" t="str">
        <f>IFERROR(VLOOKUP(M292,'02. MM-KLH'!$B$6:$T$823,6,0),"")</f>
        <v>Máy cày KAM50</v>
      </c>
      <c r="C292" s="566">
        <v>1.0</v>
      </c>
      <c r="D292" s="613" t="str">
        <f>IFERROR(VLOOKUP(M292,'02. MM-KLH'!$B$6:$T$823,16,0),"")</f>
        <v>KAM50</v>
      </c>
      <c r="E292" s="561" t="s">
        <v>4158</v>
      </c>
      <c r="F292" s="613"/>
      <c r="G292" s="613"/>
      <c r="H292" s="613" t="str">
        <f>IFERROR(VLOOKUP(M292,'02. MM-KLH'!$B$6:$T$823,17,0),"")</f>
        <v>50HP</v>
      </c>
      <c r="I292" s="614">
        <f>IFERROR(VLOOKUP(M292,'02. MM-KLH'!$B$6:$U$823,20,0),"")</f>
        <v>2.5</v>
      </c>
      <c r="J292" s="612" t="str">
        <f>IFERROR(VLOOKUP(M292,'02. MM-KLH'!$B$6:$T$823,19,0),"")</f>
        <v>CCN</v>
      </c>
      <c r="K292" s="612" t="str">
        <f>IFERROR(VLOOKUP(M292,'02. MM-KLH'!$B$6:$T$823,18,0),"")</f>
        <v>C000013</v>
      </c>
      <c r="L292" s="613" t="str">
        <f>IFERROR(VLOOKUP(M292,'02. MM-KLH'!$B$6:$T$823,4,0),"")</f>
        <v/>
      </c>
      <c r="M292" s="490" t="s">
        <v>1130</v>
      </c>
      <c r="N292" s="615">
        <f>IFERROR(VLOOKUP(M292,'02. MM-KLH'!$B$6:$T$823,15,0),"")</f>
        <v>2018</v>
      </c>
      <c r="O292" s="616">
        <f>IFERROR(VLOOKUP(M292,'02. MM-KLH'!$B$6:$T$823,9,0),"")</f>
        <v>43525</v>
      </c>
      <c r="P292" s="613"/>
      <c r="Q292" s="566" t="s">
        <v>1565</v>
      </c>
      <c r="R292" s="566" t="s">
        <v>4158</v>
      </c>
      <c r="S292" s="613"/>
      <c r="T292" s="613"/>
      <c r="U292" s="559" t="str">
        <f>IFERROR(VLOOKUP(M292,'02. MM-KLH'!$B$6:$T$823,5,0),"")</f>
        <v>ĐQSD</v>
      </c>
      <c r="V292" s="523" t="str">
        <f>IFERROR(VLOOKUP(M292,'02. MM-KLH'!$B$6:$T$823,8,0),"")</f>
        <v>XN Chuối DP3</v>
      </c>
      <c r="W292" s="559" t="str">
        <f>IFERROR(VLOOKUP(V292,'NS QUẢN LÝ CG'!$A$4:$D$36,2,0),"")</f>
        <v>Thạch Ngọc Vững</v>
      </c>
      <c r="X292" s="559" t="str">
        <f>IFERROR(VLOOKUP(V292,'NS QUẢN LÝ CG'!$A$4:$D$36,4,0),"")</f>
        <v>Lô 28 DP3</v>
      </c>
      <c r="Y292" s="559" t="str">
        <f>IFERROR(VLOOKUP(V292,'NS QUẢN LÝ CG'!$A$4:$C$36,3,0),"")</f>
        <v>0975905267</v>
      </c>
      <c r="Z292" s="523" t="str">
        <f>IFERROR(VLOOKUP(M292,'02. MM-KLH'!$B$6:$T$823,3,0),"")</f>
        <v>A23-MKE-027</v>
      </c>
      <c r="AA292" s="559" t="str">
        <f t="shared" si="21"/>
        <v>DP</v>
      </c>
      <c r="AB292" s="523"/>
      <c r="AC292" s="523"/>
    </row>
    <row r="293">
      <c r="A293" s="523"/>
      <c r="B293" s="612" t="str">
        <f>IFERROR(VLOOKUP(M293,'02. MM-KLH'!$B$6:$T$823,6,0),"")</f>
        <v>Máy cày KAM50</v>
      </c>
      <c r="C293" s="566">
        <v>1.0</v>
      </c>
      <c r="D293" s="613" t="str">
        <f>IFERROR(VLOOKUP(M293,'02. MM-KLH'!$B$6:$T$823,16,0),"")</f>
        <v>KAM50</v>
      </c>
      <c r="E293" s="561" t="s">
        <v>4158</v>
      </c>
      <c r="F293" s="613"/>
      <c r="G293" s="613"/>
      <c r="H293" s="613" t="str">
        <f>IFERROR(VLOOKUP(M293,'02. MM-KLH'!$B$6:$T$823,17,0),"")</f>
        <v>50HP</v>
      </c>
      <c r="I293" s="614">
        <f>IFERROR(VLOOKUP(M293,'02. MM-KLH'!$B$6:$U$823,20,0),"")</f>
        <v>2</v>
      </c>
      <c r="J293" s="612" t="str">
        <f>IFERROR(VLOOKUP(M293,'02. MM-KLH'!$B$6:$T$823,19,0),"")</f>
        <v>CCN</v>
      </c>
      <c r="K293" s="612" t="str">
        <f>IFERROR(VLOOKUP(M293,'02. MM-KLH'!$B$6:$T$823,18,0),"")</f>
        <v>C000084</v>
      </c>
      <c r="L293" s="613" t="str">
        <f>IFERROR(VLOOKUP(M293,'02. MM-KLH'!$B$6:$T$823,4,0),"")</f>
        <v/>
      </c>
      <c r="M293" s="490" t="s">
        <v>1134</v>
      </c>
      <c r="N293" s="615">
        <f>IFERROR(VLOOKUP(M293,'02. MM-KLH'!$B$6:$T$823,15,0),"")</f>
        <v>2018</v>
      </c>
      <c r="O293" s="616" t="str">
        <f>IFERROR(VLOOKUP(M293,'02. MM-KLH'!$B$6:$T$823,9,0),"")</f>
        <v/>
      </c>
      <c r="P293" s="613"/>
      <c r="Q293" s="566" t="s">
        <v>1565</v>
      </c>
      <c r="R293" s="566" t="s">
        <v>4158</v>
      </c>
      <c r="S293" s="613"/>
      <c r="T293" s="613"/>
      <c r="U293" s="559" t="str">
        <f>IFERROR(VLOOKUP(M293,'02. MM-KLH'!$B$6:$T$823,5,0),"")</f>
        <v>ĐQSD</v>
      </c>
      <c r="V293" s="523" t="str">
        <f>IFERROR(VLOOKUP(M293,'02. MM-KLH'!$B$6:$T$823,8,0),"")</f>
        <v>XN Chuối DP3</v>
      </c>
      <c r="W293" s="559" t="str">
        <f>IFERROR(VLOOKUP(V293,'NS QUẢN LÝ CG'!$A$4:$D$36,2,0),"")</f>
        <v>Thạch Ngọc Vững</v>
      </c>
      <c r="X293" s="559" t="str">
        <f>IFERROR(VLOOKUP(V293,'NS QUẢN LÝ CG'!$A$4:$D$36,4,0),"")</f>
        <v>Lô 28 DP3</v>
      </c>
      <c r="Y293" s="559" t="str">
        <f>IFERROR(VLOOKUP(V293,'NS QUẢN LÝ CG'!$A$4:$C$36,3,0),"")</f>
        <v>0975905267</v>
      </c>
      <c r="Z293" s="523" t="str">
        <f>IFERROR(VLOOKUP(M293,'02. MM-KLH'!$B$6:$T$823,3,0),"")</f>
        <v>A23-MKE-028</v>
      </c>
      <c r="AA293" s="559" t="str">
        <f t="shared" si="21"/>
        <v>DP</v>
      </c>
      <c r="AB293" s="523"/>
      <c r="AC293" s="523"/>
    </row>
    <row r="294">
      <c r="A294" s="523"/>
      <c r="B294" s="612" t="str">
        <f>IFERROR(VLOOKUP(M294,'02. MM-KLH'!$B$6:$T$823,6,0),"")</f>
        <v>Máy cày KAM50</v>
      </c>
      <c r="C294" s="566">
        <v>1.0</v>
      </c>
      <c r="D294" s="613" t="str">
        <f>IFERROR(VLOOKUP(M294,'02. MM-KLH'!$B$6:$T$823,16,0),"")</f>
        <v>KAM50</v>
      </c>
      <c r="E294" s="561" t="s">
        <v>4158</v>
      </c>
      <c r="F294" s="613"/>
      <c r="G294" s="613"/>
      <c r="H294" s="613" t="str">
        <f>IFERROR(VLOOKUP(M294,'02. MM-KLH'!$B$6:$T$823,17,0),"")</f>
        <v>50HP</v>
      </c>
      <c r="I294" s="614">
        <f>IFERROR(VLOOKUP(M294,'02. MM-KLH'!$B$6:$U$823,20,0),"")</f>
        <v>2</v>
      </c>
      <c r="J294" s="612" t="str">
        <f>IFERROR(VLOOKUP(M294,'02. MM-KLH'!$B$6:$T$823,19,0),"")</f>
        <v>CCN</v>
      </c>
      <c r="K294" s="612" t="str">
        <f>IFERROR(VLOOKUP(M294,'02. MM-KLH'!$B$6:$T$823,18,0),"")</f>
        <v>C000052</v>
      </c>
      <c r="L294" s="613" t="str">
        <f>IFERROR(VLOOKUP(M294,'02. MM-KLH'!$B$6:$T$823,4,0),"")</f>
        <v/>
      </c>
      <c r="M294" s="488" t="s">
        <v>1259</v>
      </c>
      <c r="N294" s="615">
        <f>IFERROR(VLOOKUP(M294,'02. MM-KLH'!$B$6:$T$823,15,0),"")</f>
        <v>2018</v>
      </c>
      <c r="O294" s="616" t="str">
        <f>IFERROR(VLOOKUP(M294,'02. MM-KLH'!$B$6:$T$823,9,0),"")</f>
        <v>28/06/2024</v>
      </c>
      <c r="P294" s="613"/>
      <c r="Q294" s="566" t="s">
        <v>1565</v>
      </c>
      <c r="R294" s="613"/>
      <c r="S294" s="566" t="s">
        <v>4158</v>
      </c>
      <c r="T294" s="613"/>
      <c r="U294" s="559" t="str">
        <f>IFERROR(VLOOKUP(M294,'02. MM-KLH'!$B$6:$T$823,5,0),"")</f>
        <v>ĐQSD</v>
      </c>
      <c r="V294" s="523" t="str">
        <f>IFERROR(VLOOKUP(M294,'02. MM-KLH'!$B$6:$T$823,8,0),"")</f>
        <v>XN Chuối LP1</v>
      </c>
      <c r="W294" s="559" t="str">
        <f>IFERROR(VLOOKUP(V294,'NS QUẢN LÝ CG'!$A$4:$D$36,2,0),"")</f>
        <v>Nguyễn Ngọc Nhân</v>
      </c>
      <c r="X294" s="559" t="str">
        <f>IFERROR(VLOOKUP(V294,'NS QUẢN LÝ CG'!$A$4:$D$36,4,0),"")</f>
        <v>Lô 7 LP1</v>
      </c>
      <c r="Y294" s="559" t="str">
        <f>IFERROR(VLOOKUP(V294,'NS QUẢN LÝ CG'!$A$4:$C$36,3,0),"")</f>
        <v>0979578112</v>
      </c>
      <c r="Z294" s="523" t="str">
        <f>IFERROR(VLOOKUP(M294,'02. MM-KLH'!$B$6:$T$823,3,0),"")</f>
        <v>A24-MKE-010</v>
      </c>
      <c r="AA294" s="559" t="str">
        <f t="shared" si="21"/>
        <v>LP</v>
      </c>
      <c r="AB294" s="523"/>
      <c r="AC294" s="523"/>
    </row>
    <row r="295">
      <c r="A295" s="523"/>
      <c r="B295" s="612" t="str">
        <f>IFERROR(VLOOKUP(M295,'02. MM-KLH'!$B$6:$T$823,6,0),"")</f>
        <v>Máy cày KAM50</v>
      </c>
      <c r="C295" s="566">
        <v>1.0</v>
      </c>
      <c r="D295" s="613" t="str">
        <f>IFERROR(VLOOKUP(M295,'02. MM-KLH'!$B$6:$T$823,16,0),"")</f>
        <v>KAM50</v>
      </c>
      <c r="E295" s="561" t="s">
        <v>4158</v>
      </c>
      <c r="F295" s="613"/>
      <c r="G295" s="613"/>
      <c r="H295" s="613" t="str">
        <f>IFERROR(VLOOKUP(M295,'02. MM-KLH'!$B$6:$T$823,17,0),"")</f>
        <v>50HP</v>
      </c>
      <c r="I295" s="614">
        <f>IFERROR(VLOOKUP(M295,'02. MM-KLH'!$B$6:$U$823,20,0),"")</f>
        <v>2.5</v>
      </c>
      <c r="J295" s="612" t="str">
        <f>IFERROR(VLOOKUP(M295,'02. MM-KLH'!$B$6:$T$823,19,0),"")</f>
        <v>CCN</v>
      </c>
      <c r="K295" s="612" t="str">
        <f>IFERROR(VLOOKUP(M295,'02. MM-KLH'!$B$6:$T$823,18,0),"")</f>
        <v>C000017</v>
      </c>
      <c r="L295" s="613" t="str">
        <f>IFERROR(VLOOKUP(M295,'02. MM-KLH'!$B$6:$T$823,4,0),"")</f>
        <v/>
      </c>
      <c r="M295" s="490" t="s">
        <v>1264</v>
      </c>
      <c r="N295" s="615">
        <f>IFERROR(VLOOKUP(M295,'02. MM-KLH'!$B$6:$T$823,15,0),"")</f>
        <v>2018</v>
      </c>
      <c r="O295" s="616" t="str">
        <f>IFERROR(VLOOKUP(M295,'02. MM-KLH'!$B$6:$T$823,9,0),"")</f>
        <v/>
      </c>
      <c r="P295" s="613"/>
      <c r="Q295" s="566" t="s">
        <v>1565</v>
      </c>
      <c r="R295" s="613"/>
      <c r="S295" s="566" t="s">
        <v>4158</v>
      </c>
      <c r="T295" s="613"/>
      <c r="U295" s="559" t="str">
        <f>IFERROR(VLOOKUP(M295,'02. MM-KLH'!$B$6:$T$823,5,0),"")</f>
        <v>ĐQSD</v>
      </c>
      <c r="V295" s="523" t="str">
        <f>IFERROR(VLOOKUP(M295,'02. MM-KLH'!$B$6:$T$823,8,0),"")</f>
        <v>XN Chuối LP1</v>
      </c>
      <c r="W295" s="559" t="str">
        <f>IFERROR(VLOOKUP(V295,'NS QUẢN LÝ CG'!$A$4:$D$36,2,0),"")</f>
        <v>Nguyễn Ngọc Nhân</v>
      </c>
      <c r="X295" s="559" t="str">
        <f>IFERROR(VLOOKUP(V295,'NS QUẢN LÝ CG'!$A$4:$D$36,4,0),"")</f>
        <v>Lô 7 LP1</v>
      </c>
      <c r="Y295" s="559" t="str">
        <f>IFERROR(VLOOKUP(V295,'NS QUẢN LÝ CG'!$A$4:$C$36,3,0),"")</f>
        <v>0979578112</v>
      </c>
      <c r="Z295" s="523" t="str">
        <f>IFERROR(VLOOKUP(M295,'02. MM-KLH'!$B$6:$T$823,3,0),"")</f>
        <v>A24-MKE-018</v>
      </c>
      <c r="AA295" s="559" t="str">
        <f t="shared" si="21"/>
        <v>LP</v>
      </c>
      <c r="AB295" s="523"/>
      <c r="AC295" s="523"/>
    </row>
    <row r="296">
      <c r="A296" s="523"/>
      <c r="B296" s="612" t="str">
        <f>IFERROR(VLOOKUP(M296,'02. MM-KLH'!$B$6:$T$823,6,0),"")</f>
        <v>Máy cày KAM50</v>
      </c>
      <c r="C296" s="566">
        <v>1.0</v>
      </c>
      <c r="D296" s="613" t="str">
        <f>IFERROR(VLOOKUP(M296,'02. MM-KLH'!$B$6:$T$823,16,0),"")</f>
        <v>KAM50</v>
      </c>
      <c r="E296" s="561" t="s">
        <v>4158</v>
      </c>
      <c r="F296" s="613"/>
      <c r="G296" s="613"/>
      <c r="H296" s="613" t="str">
        <f>IFERROR(VLOOKUP(M296,'02. MM-KLH'!$B$6:$T$823,17,0),"")</f>
        <v>50HP</v>
      </c>
      <c r="I296" s="614">
        <f>IFERROR(VLOOKUP(M296,'02. MM-KLH'!$B$6:$U$823,20,0),"")</f>
        <v>2.5</v>
      </c>
      <c r="J296" s="612" t="str">
        <f>IFERROR(VLOOKUP(M296,'02. MM-KLH'!$B$6:$T$823,19,0),"")</f>
        <v>CCN</v>
      </c>
      <c r="K296" s="612" t="str">
        <f>IFERROR(VLOOKUP(M296,'02. MM-KLH'!$B$6:$T$823,18,0),"")</f>
        <v>C000063</v>
      </c>
      <c r="L296" s="613" t="str">
        <f>IFERROR(VLOOKUP(M296,'02. MM-KLH'!$B$6:$T$823,4,0),"")</f>
        <v/>
      </c>
      <c r="M296" s="490" t="s">
        <v>1268</v>
      </c>
      <c r="N296" s="615">
        <f>IFERROR(VLOOKUP(M296,'02. MM-KLH'!$B$6:$T$823,15,0),"")</f>
        <v>2018</v>
      </c>
      <c r="O296" s="616" t="str">
        <f>IFERROR(VLOOKUP(M296,'02. MM-KLH'!$B$6:$T$823,9,0),"")</f>
        <v/>
      </c>
      <c r="P296" s="613"/>
      <c r="Q296" s="566" t="s">
        <v>1565</v>
      </c>
      <c r="R296" s="613"/>
      <c r="S296" s="566" t="s">
        <v>4158</v>
      </c>
      <c r="T296" s="613"/>
      <c r="U296" s="559" t="str">
        <f>IFERROR(VLOOKUP(M296,'02. MM-KLH'!$B$6:$T$823,5,0),"")</f>
        <v>ĐQSD</v>
      </c>
      <c r="V296" s="523" t="str">
        <f>IFERROR(VLOOKUP(M296,'02. MM-KLH'!$B$6:$T$823,8,0),"")</f>
        <v>XN Chuối LP1</v>
      </c>
      <c r="W296" s="559" t="str">
        <f>IFERROR(VLOOKUP(V296,'NS QUẢN LÝ CG'!$A$4:$D$36,2,0),"")</f>
        <v>Nguyễn Ngọc Nhân</v>
      </c>
      <c r="X296" s="559" t="str">
        <f>IFERROR(VLOOKUP(V296,'NS QUẢN LÝ CG'!$A$4:$D$36,4,0),"")</f>
        <v>Lô 7 LP1</v>
      </c>
      <c r="Y296" s="559" t="str">
        <f>IFERROR(VLOOKUP(V296,'NS QUẢN LÝ CG'!$A$4:$C$36,3,0),"")</f>
        <v>0979578112</v>
      </c>
      <c r="Z296" s="523" t="str">
        <f>IFERROR(VLOOKUP(M296,'02. MM-KLH'!$B$6:$T$823,3,0),"")</f>
        <v>A24-MKE-019</v>
      </c>
      <c r="AA296" s="559" t="str">
        <f t="shared" si="21"/>
        <v>LP</v>
      </c>
      <c r="AB296" s="523"/>
      <c r="AC296" s="523"/>
    </row>
    <row r="297">
      <c r="A297" s="523"/>
      <c r="B297" s="612" t="str">
        <f>IFERROR(VLOOKUP(M297,'02. MM-KLH'!$B$6:$T$823,6,0),"")</f>
        <v>Máy cày KAM50</v>
      </c>
      <c r="C297" s="566">
        <v>1.0</v>
      </c>
      <c r="D297" s="613" t="str">
        <f>IFERROR(VLOOKUP(M297,'02. MM-KLH'!$B$6:$T$823,16,0),"")</f>
        <v>KAM50</v>
      </c>
      <c r="E297" s="561" t="s">
        <v>4158</v>
      </c>
      <c r="F297" s="613"/>
      <c r="G297" s="613"/>
      <c r="H297" s="613" t="str">
        <f>IFERROR(VLOOKUP(M297,'02. MM-KLH'!$B$6:$T$823,17,0),"")</f>
        <v>50HP</v>
      </c>
      <c r="I297" s="614">
        <f>IFERROR(VLOOKUP(M297,'02. MM-KLH'!$B$6:$U$823,20,0),"")</f>
        <v>2.5</v>
      </c>
      <c r="J297" s="612" t="str">
        <f>IFERROR(VLOOKUP(M297,'02. MM-KLH'!$B$6:$T$823,19,0),"")</f>
        <v>CCN</v>
      </c>
      <c r="K297" s="612" t="str">
        <f>IFERROR(VLOOKUP(M297,'02. MM-KLH'!$B$6:$T$823,18,0),"")</f>
        <v>C000057</v>
      </c>
      <c r="L297" s="613" t="str">
        <f>IFERROR(VLOOKUP(M297,'02. MM-KLH'!$B$6:$T$823,4,0),"")</f>
        <v/>
      </c>
      <c r="M297" s="490" t="s">
        <v>1387</v>
      </c>
      <c r="N297" s="615">
        <f>IFERROR(VLOOKUP(M297,'02. MM-KLH'!$B$6:$T$823,15,0),"")</f>
        <v>2018</v>
      </c>
      <c r="O297" s="616" t="str">
        <f>IFERROR(VLOOKUP(M297,'02. MM-KLH'!$B$6:$T$823,9,0),"")</f>
        <v/>
      </c>
      <c r="P297" s="613"/>
      <c r="Q297" s="566" t="s">
        <v>1565</v>
      </c>
      <c r="R297" s="613"/>
      <c r="S297" s="613"/>
      <c r="T297" s="566" t="s">
        <v>4158</v>
      </c>
      <c r="U297" s="559" t="str">
        <f>IFERROR(VLOOKUP(M297,'02. MM-KLH'!$B$6:$T$823,5,0),"")</f>
        <v>ĐQSD</v>
      </c>
      <c r="V297" s="523" t="str">
        <f>IFERROR(VLOOKUP(M297,'02. MM-KLH'!$B$6:$T$823,8,0),"")</f>
        <v>XN Chuối LP3</v>
      </c>
      <c r="W297" s="559" t="str">
        <f>IFERROR(VLOOKUP(V297,'NS QUẢN LÝ CG'!$A$4:$D$36,2,0),"")</f>
        <v>Lê Cao Nghị</v>
      </c>
      <c r="X297" s="559" t="str">
        <f>IFERROR(VLOOKUP(V297,'NS QUẢN LÝ CG'!$A$4:$D$36,4,0),"")</f>
        <v>Lô 2 LP3</v>
      </c>
      <c r="Y297" s="559" t="str">
        <f>IFERROR(VLOOKUP(V297,'NS QUẢN LÝ CG'!$A$4:$C$36,3,0),"")</f>
        <v>0977423100</v>
      </c>
      <c r="Z297" s="523" t="str">
        <f>IFERROR(VLOOKUP(M297,'02. MM-KLH'!$B$6:$T$823,3,0),"")</f>
        <v>A24-MKE-011</v>
      </c>
      <c r="AA297" s="559" t="str">
        <f t="shared" si="21"/>
        <v>LP</v>
      </c>
      <c r="AB297" s="523"/>
      <c r="AC297" s="523"/>
    </row>
    <row r="298">
      <c r="A298" s="523"/>
      <c r="B298" s="612" t="str">
        <f>IFERROR(VLOOKUP(M298,'02. MM-KLH'!$B$6:$T$823,6,0),"")</f>
        <v>Máy cày KAM50</v>
      </c>
      <c r="C298" s="566">
        <v>1.0</v>
      </c>
      <c r="D298" s="613" t="str">
        <f>IFERROR(VLOOKUP(M298,'02. MM-KLH'!$B$6:$T$823,16,0),"")</f>
        <v>KAM50</v>
      </c>
      <c r="E298" s="561" t="s">
        <v>4158</v>
      </c>
      <c r="F298" s="613"/>
      <c r="G298" s="613"/>
      <c r="H298" s="613" t="str">
        <f>IFERROR(VLOOKUP(M298,'02. MM-KLH'!$B$6:$T$823,17,0),"")</f>
        <v>50HP</v>
      </c>
      <c r="I298" s="614">
        <f>IFERROR(VLOOKUP(M298,'02. MM-KLH'!$B$6:$U$823,20,0),"")</f>
        <v>2</v>
      </c>
      <c r="J298" s="612" t="str">
        <f>IFERROR(VLOOKUP(M298,'02. MM-KLH'!$B$6:$T$823,19,0),"")</f>
        <v>CCN</v>
      </c>
      <c r="K298" s="612" t="str">
        <f>IFERROR(VLOOKUP(M298,'02. MM-KLH'!$B$6:$T$823,18,0),"")</f>
        <v>C000056</v>
      </c>
      <c r="L298" s="613" t="str">
        <f>IFERROR(VLOOKUP(M298,'02. MM-KLH'!$B$6:$T$823,4,0),"")</f>
        <v/>
      </c>
      <c r="M298" s="490" t="s">
        <v>1391</v>
      </c>
      <c r="N298" s="615">
        <f>IFERROR(VLOOKUP(M298,'02. MM-KLH'!$B$6:$T$823,15,0),"")</f>
        <v>2018</v>
      </c>
      <c r="O298" s="616" t="str">
        <f>IFERROR(VLOOKUP(M298,'02. MM-KLH'!$B$6:$T$823,9,0),"")</f>
        <v/>
      </c>
      <c r="P298" s="613"/>
      <c r="Q298" s="566" t="s">
        <v>1565</v>
      </c>
      <c r="R298" s="613"/>
      <c r="S298" s="613"/>
      <c r="T298" s="566" t="s">
        <v>4158</v>
      </c>
      <c r="U298" s="559" t="str">
        <f>IFERROR(VLOOKUP(M298,'02. MM-KLH'!$B$6:$T$823,5,0),"")</f>
        <v>ĐQSD</v>
      </c>
      <c r="V298" s="523" t="str">
        <f>IFERROR(VLOOKUP(M298,'02. MM-KLH'!$B$6:$T$823,8,0),"")</f>
        <v>XN Chuối LP3</v>
      </c>
      <c r="W298" s="559" t="str">
        <f>IFERROR(VLOOKUP(V298,'NS QUẢN LÝ CG'!$A$4:$D$36,2,0),"")</f>
        <v>Lê Cao Nghị</v>
      </c>
      <c r="X298" s="559" t="str">
        <f>IFERROR(VLOOKUP(V298,'NS QUẢN LÝ CG'!$A$4:$D$36,4,0),"")</f>
        <v>Lô 2 LP3</v>
      </c>
      <c r="Y298" s="559" t="str">
        <f>IFERROR(VLOOKUP(V298,'NS QUẢN LÝ CG'!$A$4:$C$36,3,0),"")</f>
        <v>0977423100</v>
      </c>
      <c r="Z298" s="523" t="str">
        <f>IFERROR(VLOOKUP(M298,'02. MM-KLH'!$B$6:$T$823,3,0),"")</f>
        <v>A24-MKE-012</v>
      </c>
      <c r="AA298" s="559" t="str">
        <f t="shared" si="21"/>
        <v>LP</v>
      </c>
      <c r="AB298" s="523"/>
      <c r="AC298" s="523"/>
    </row>
    <row r="299">
      <c r="A299" s="523"/>
      <c r="B299" s="612" t="str">
        <f>IFERROR(VLOOKUP(M299,'02. MM-KLH'!$B$6:$T$823,6,0),"")</f>
        <v>Máy cày KAM50</v>
      </c>
      <c r="C299" s="566">
        <v>1.0</v>
      </c>
      <c r="D299" s="613" t="str">
        <f>IFERROR(VLOOKUP(M299,'02. MM-KLH'!$B$6:$T$823,16,0),"")</f>
        <v>KAM50</v>
      </c>
      <c r="E299" s="561" t="s">
        <v>4158</v>
      </c>
      <c r="F299" s="613"/>
      <c r="G299" s="613"/>
      <c r="H299" s="613" t="str">
        <f>IFERROR(VLOOKUP(M299,'02. MM-KLH'!$B$6:$T$823,17,0),"")</f>
        <v>50HP</v>
      </c>
      <c r="I299" s="614">
        <f>IFERROR(VLOOKUP(M299,'02. MM-KLH'!$B$6:$U$823,20,0),"")</f>
        <v>2</v>
      </c>
      <c r="J299" s="612" t="str">
        <f>IFERROR(VLOOKUP(M299,'02. MM-KLH'!$B$6:$T$823,19,0),"")</f>
        <v>CCN</v>
      </c>
      <c r="K299" s="612" t="str">
        <f>IFERROR(VLOOKUP(M299,'02. MM-KLH'!$B$6:$T$823,18,0),"")</f>
        <v>C000027</v>
      </c>
      <c r="L299" s="613" t="str">
        <f>IFERROR(VLOOKUP(M299,'02. MM-KLH'!$B$6:$T$823,4,0),"")</f>
        <v/>
      </c>
      <c r="M299" s="490" t="s">
        <v>1394</v>
      </c>
      <c r="N299" s="615">
        <f>IFERROR(VLOOKUP(M299,'02. MM-KLH'!$B$6:$T$823,15,0),"")</f>
        <v>2018</v>
      </c>
      <c r="O299" s="616" t="str">
        <f>IFERROR(VLOOKUP(M299,'02. MM-KLH'!$B$6:$T$823,9,0),"")</f>
        <v/>
      </c>
      <c r="P299" s="613"/>
      <c r="Q299" s="566" t="s">
        <v>1565</v>
      </c>
      <c r="R299" s="566" t="s">
        <v>4158</v>
      </c>
      <c r="S299" s="613"/>
      <c r="T299" s="613"/>
      <c r="U299" s="559" t="str">
        <f>IFERROR(VLOOKUP(M299,'02. MM-KLH'!$B$6:$T$823,5,0),"")</f>
        <v>ĐQSD</v>
      </c>
      <c r="V299" s="523" t="str">
        <f>IFERROR(VLOOKUP(M299,'02. MM-KLH'!$B$6:$T$823,8,0),"")</f>
        <v>XN Chuối LP3</v>
      </c>
      <c r="W299" s="559" t="str">
        <f>IFERROR(VLOOKUP(V299,'NS QUẢN LÝ CG'!$A$4:$D$36,2,0),"")</f>
        <v>Lê Cao Nghị</v>
      </c>
      <c r="X299" s="559" t="str">
        <f>IFERROR(VLOOKUP(V299,'NS QUẢN LÝ CG'!$A$4:$D$36,4,0),"")</f>
        <v>Lô 2 LP3</v>
      </c>
      <c r="Y299" s="559" t="str">
        <f>IFERROR(VLOOKUP(V299,'NS QUẢN LÝ CG'!$A$4:$C$36,3,0),"")</f>
        <v>0977423100</v>
      </c>
      <c r="Z299" s="523" t="str">
        <f>IFERROR(VLOOKUP(M299,'02. MM-KLH'!$B$6:$T$823,3,0),"")</f>
        <v>A24-MKE-013</v>
      </c>
      <c r="AA299" s="559" t="str">
        <f t="shared" si="21"/>
        <v>LP</v>
      </c>
      <c r="AB299" s="523"/>
      <c r="AC299" s="523"/>
    </row>
    <row r="300">
      <c r="A300" s="523"/>
      <c r="B300" s="612" t="str">
        <f>IFERROR(VLOOKUP(M300,'02. MM-KLH'!$B$6:$T$823,6,0),"")</f>
        <v>Máy cày KAM50</v>
      </c>
      <c r="C300" s="566">
        <v>1.0</v>
      </c>
      <c r="D300" s="613" t="str">
        <f>IFERROR(VLOOKUP(M300,'02. MM-KLH'!$B$6:$T$823,16,0),"")</f>
        <v>KAM50</v>
      </c>
      <c r="E300" s="561" t="s">
        <v>4158</v>
      </c>
      <c r="F300" s="613"/>
      <c r="G300" s="613"/>
      <c r="H300" s="613" t="str">
        <f>IFERROR(VLOOKUP(M300,'02. MM-KLH'!$B$6:$T$823,17,0),"")</f>
        <v>50HP</v>
      </c>
      <c r="I300" s="614">
        <f>IFERROR(VLOOKUP(M300,'02. MM-KLH'!$B$6:$U$823,20,0),"")</f>
        <v>2.5</v>
      </c>
      <c r="J300" s="612" t="str">
        <f>IFERROR(VLOOKUP(M300,'02. MM-KLH'!$B$6:$T$823,19,0),"")</f>
        <v>CCN</v>
      </c>
      <c r="K300" s="612">
        <f>IFERROR(VLOOKUP(M300,'02. MM-KLH'!$B$6:$T$823,18,0),"")</f>
        <v>180046</v>
      </c>
      <c r="L300" s="613" t="str">
        <f>IFERROR(VLOOKUP(M300,'02. MM-KLH'!$B$6:$T$823,4,0),"")</f>
        <v/>
      </c>
      <c r="M300" s="488" t="s">
        <v>1405</v>
      </c>
      <c r="N300" s="615">
        <f>IFERROR(VLOOKUP(M300,'02. MM-KLH'!$B$6:$T$823,15,0),"")</f>
        <v>2018</v>
      </c>
      <c r="O300" s="616">
        <f>IFERROR(VLOOKUP(M300,'02. MM-KLH'!$B$6:$T$823,9,0),"")</f>
        <v>45600</v>
      </c>
      <c r="P300" s="613"/>
      <c r="Q300" s="566" t="s">
        <v>1565</v>
      </c>
      <c r="R300" s="613"/>
      <c r="S300" s="613"/>
      <c r="T300" s="566" t="s">
        <v>4158</v>
      </c>
      <c r="U300" s="559" t="str">
        <f>IFERROR(VLOOKUP(M300,'02. MM-KLH'!$B$6:$T$823,5,0),"")</f>
        <v>ĐQSD</v>
      </c>
      <c r="V300" s="523" t="str">
        <f>IFERROR(VLOOKUP(M300,'02. MM-KLH'!$B$6:$T$823,8,0),"")</f>
        <v>XN Chuối LP3</v>
      </c>
      <c r="W300" s="559" t="str">
        <f>IFERROR(VLOOKUP(V300,'NS QUẢN LÝ CG'!$A$4:$D$36,2,0),"")</f>
        <v>Lê Cao Nghị</v>
      </c>
      <c r="X300" s="559" t="str">
        <f>IFERROR(VLOOKUP(V300,'NS QUẢN LÝ CG'!$A$4:$D$36,4,0),"")</f>
        <v>Lô 2 LP3</v>
      </c>
      <c r="Y300" s="559" t="str">
        <f>IFERROR(VLOOKUP(V300,'NS QUẢN LÝ CG'!$A$4:$C$36,3,0),"")</f>
        <v>0977423100</v>
      </c>
      <c r="Z300" s="523" t="str">
        <f>IFERROR(VLOOKUP(M300,'02. MM-KLH'!$B$6:$T$823,3,0),"")</f>
        <v>A24-MKE-016</v>
      </c>
      <c r="AA300" s="559" t="str">
        <f t="shared" si="21"/>
        <v>LP</v>
      </c>
      <c r="AB300" s="523"/>
      <c r="AC300" s="523"/>
    </row>
    <row r="301">
      <c r="A301" s="523"/>
      <c r="B301" s="612" t="str">
        <f>IFERROR(VLOOKUP(M301,'02. MM-KLH'!$B$6:$T$823,6,0),"")</f>
        <v>Máy cày KAM50</v>
      </c>
      <c r="C301" s="566">
        <v>1.0</v>
      </c>
      <c r="D301" s="613" t="str">
        <f>IFERROR(VLOOKUP(M301,'02. MM-KLH'!$B$6:$T$823,16,0),"")</f>
        <v>KAM50</v>
      </c>
      <c r="E301" s="561" t="s">
        <v>4158</v>
      </c>
      <c r="F301" s="613"/>
      <c r="G301" s="613"/>
      <c r="H301" s="613" t="str">
        <f>IFERROR(VLOOKUP(M301,'02. MM-KLH'!$B$6:$T$823,17,0),"")</f>
        <v>50HP</v>
      </c>
      <c r="I301" s="614">
        <f>IFERROR(VLOOKUP(M301,'02. MM-KLH'!$B$6:$U$823,20,0),"")</f>
        <v>2.5</v>
      </c>
      <c r="J301" s="612">
        <f>IFERROR(VLOOKUP(M301,'02. MM-KLH'!$B$6:$T$823,19,0),"")</f>
        <v>180001</v>
      </c>
      <c r="K301" s="612" t="str">
        <f>IFERROR(VLOOKUP(M301,'02. MM-KLH'!$B$6:$T$823,18,0),"")</f>
        <v>C000074</v>
      </c>
      <c r="L301" s="613" t="str">
        <f>IFERROR(VLOOKUP(M301,'02. MM-KLH'!$B$6:$T$823,4,0),"")</f>
        <v/>
      </c>
      <c r="M301" s="488" t="s">
        <v>1583</v>
      </c>
      <c r="N301" s="615">
        <f>IFERROR(VLOOKUP(M301,'02. MM-KLH'!$B$6:$T$823,15,0),"")</f>
        <v>2018</v>
      </c>
      <c r="O301" s="616" t="str">
        <f>IFERROR(VLOOKUP(M301,'02. MM-KLH'!$B$6:$T$823,9,0),"")</f>
        <v/>
      </c>
      <c r="P301" s="613"/>
      <c r="Q301" s="566" t="s">
        <v>1565</v>
      </c>
      <c r="R301" s="613"/>
      <c r="S301" s="566" t="s">
        <v>4158</v>
      </c>
      <c r="T301" s="613"/>
      <c r="U301" s="559" t="str">
        <f>IFERROR(VLOOKUP(M301,'02. MM-KLH'!$B$6:$T$823,5,0),"")</f>
        <v>ĐQSD</v>
      </c>
      <c r="V301" s="523" t="str">
        <f>IFERROR(VLOOKUP(M301,'02. MM-KLH'!$B$6:$T$823,8,0),"")</f>
        <v>BƯỞI AD</v>
      </c>
      <c r="W301" s="559" t="str">
        <f>IFERROR(VLOOKUP(V301,'NS QUẢN LÝ CG'!$A$4:$D$36,2,0),"")</f>
        <v>Huỳnh Đông Giang</v>
      </c>
      <c r="X301" s="559" t="str">
        <f>IFERROR(VLOOKUP(V301,'NS QUẢN LÝ CG'!$A$4:$D$36,4,0),"")</f>
        <v>Lô 132 XN AD</v>
      </c>
      <c r="Y301" s="559" t="str">
        <f>IFERROR(VLOOKUP(V301,'NS QUẢN LÝ CG'!$A$4:$C$36,3,0),"")</f>
        <v>0972283372</v>
      </c>
      <c r="Z301" s="523" t="str">
        <f>IFERROR(VLOOKUP(M301,'02. MM-KLH'!$B$6:$T$823,3,0),"")</f>
        <v/>
      </c>
      <c r="AA301" s="559" t="str">
        <f t="shared" si="21"/>
        <v/>
      </c>
      <c r="AB301" s="523"/>
      <c r="AC301" s="523"/>
    </row>
    <row r="302">
      <c r="A302" s="523"/>
      <c r="B302" s="612" t="str">
        <f>IFERROR(VLOOKUP(M302,'02. MM-KLH'!$B$6:$T$823,6,0),"")</f>
        <v>Máy cày KAM50</v>
      </c>
      <c r="C302" s="566">
        <v>1.0</v>
      </c>
      <c r="D302" s="613" t="str">
        <f>IFERROR(VLOOKUP(M302,'02. MM-KLH'!$B$6:$T$823,16,0),"")</f>
        <v>KAM50</v>
      </c>
      <c r="E302" s="561" t="s">
        <v>4158</v>
      </c>
      <c r="F302" s="613"/>
      <c r="G302" s="613"/>
      <c r="H302" s="613" t="str">
        <f>IFERROR(VLOOKUP(M302,'02. MM-KLH'!$B$6:$T$823,17,0),"")</f>
        <v>50HP</v>
      </c>
      <c r="I302" s="614">
        <f>IFERROR(VLOOKUP(M302,'02. MM-KLH'!$B$6:$U$823,20,0),"")</f>
        <v>3.3</v>
      </c>
      <c r="J302" s="612" t="str">
        <f>IFERROR(VLOOKUP(M302,'02. MM-KLH'!$B$6:$T$823,19,0),"")</f>
        <v>CCN</v>
      </c>
      <c r="K302" s="612" t="str">
        <f>IFERROR(VLOOKUP(M302,'02. MM-KLH'!$B$6:$T$823,18,0),"")</f>
        <v>C000082</v>
      </c>
      <c r="L302" s="613" t="str">
        <f>IFERROR(VLOOKUP(M302,'02. MM-KLH'!$B$6:$T$823,4,0),"")</f>
        <v/>
      </c>
      <c r="M302" s="490" t="s">
        <v>1591</v>
      </c>
      <c r="N302" s="615">
        <f>IFERROR(VLOOKUP(M302,'02. MM-KLH'!$B$6:$T$823,15,0),"")</f>
        <v>2012</v>
      </c>
      <c r="O302" s="616" t="str">
        <f>IFERROR(VLOOKUP(M302,'02. MM-KLH'!$B$6:$T$823,9,0),"")</f>
        <v/>
      </c>
      <c r="P302" s="613"/>
      <c r="Q302" s="566" t="s">
        <v>1565</v>
      </c>
      <c r="R302" s="613"/>
      <c r="S302" s="566" t="s">
        <v>4158</v>
      </c>
      <c r="T302" s="613"/>
      <c r="U302" s="559" t="str">
        <f>IFERROR(VLOOKUP(M302,'02. MM-KLH'!$B$6:$T$823,5,0),"")</f>
        <v>ĐQSD</v>
      </c>
      <c r="V302" s="523" t="str">
        <f>IFERROR(VLOOKUP(M302,'02. MM-KLH'!$B$6:$T$823,8,0),"")</f>
        <v>XOÀI AD</v>
      </c>
      <c r="W302" s="559" t="str">
        <f>IFERROR(VLOOKUP(V302,'NS QUẢN LÝ CG'!$A$4:$D$36,2,0),"")</f>
        <v>Huỳnh Đông Giang</v>
      </c>
      <c r="X302" s="559" t="str">
        <f>IFERROR(VLOOKUP(V302,'NS QUẢN LÝ CG'!$A$4:$D$36,4,0),"")</f>
        <v>Lô 132 XN AD</v>
      </c>
      <c r="Y302" s="559" t="str">
        <f>IFERROR(VLOOKUP(V302,'NS QUẢN LÝ CG'!$A$4:$C$36,3,0),"")</f>
        <v>0972283372</v>
      </c>
      <c r="Z302" s="523" t="str">
        <f>IFERROR(VLOOKUP(M302,'02. MM-KLH'!$B$6:$T$823,3,0),"")</f>
        <v>A22-MKE-002</v>
      </c>
      <c r="AA302" s="559" t="str">
        <f t="shared" si="21"/>
        <v>ADM</v>
      </c>
      <c r="AB302" s="523"/>
      <c r="AC302" s="523"/>
    </row>
    <row r="303">
      <c r="A303" s="523"/>
      <c r="B303" s="612" t="str">
        <f>IFERROR(VLOOKUP(M303,'02. MM-KLH'!$B$6:$T$823,6,0),"")</f>
        <v>Máy cày KAM50</v>
      </c>
      <c r="C303" s="566">
        <v>1.0</v>
      </c>
      <c r="D303" s="613" t="str">
        <f>IFERROR(VLOOKUP(M303,'02. MM-KLH'!$B$6:$T$823,16,0),"")</f>
        <v>KAM50</v>
      </c>
      <c r="E303" s="561" t="s">
        <v>4158</v>
      </c>
      <c r="F303" s="613"/>
      <c r="G303" s="613"/>
      <c r="H303" s="613" t="str">
        <f>IFERROR(VLOOKUP(M303,'02. MM-KLH'!$B$6:$T$823,17,0),"")</f>
        <v>50HP</v>
      </c>
      <c r="I303" s="614">
        <f>IFERROR(VLOOKUP(M303,'02. MM-KLH'!$B$6:$U$823,20,0),"")</f>
        <v>2.5</v>
      </c>
      <c r="J303" s="612" t="str">
        <f>IFERROR(VLOOKUP(M303,'02. MM-KLH'!$B$6:$T$823,19,0),"")</f>
        <v>C000079</v>
      </c>
      <c r="K303" s="612" t="str">
        <f>IFERROR(VLOOKUP(M303,'02. MM-KLH'!$B$6:$T$823,18,0),"")</f>
        <v>CCN</v>
      </c>
      <c r="L303" s="613" t="str">
        <f>IFERROR(VLOOKUP(M303,'02. MM-KLH'!$B$6:$T$823,4,0),"")</f>
        <v/>
      </c>
      <c r="M303" s="488" t="s">
        <v>1597</v>
      </c>
      <c r="N303" s="615" t="str">
        <f>IFERROR(VLOOKUP(M303,'02. MM-KLH'!$B$6:$T$823,15,0),"")</f>
        <v/>
      </c>
      <c r="O303" s="616" t="str">
        <f>IFERROR(VLOOKUP(M303,'02. MM-KLH'!$B$6:$T$823,9,0),"")</f>
        <v>27/02/2024</v>
      </c>
      <c r="P303" s="613"/>
      <c r="Q303" s="566" t="s">
        <v>1565</v>
      </c>
      <c r="R303" s="613"/>
      <c r="S303" s="566" t="s">
        <v>4158</v>
      </c>
      <c r="T303" s="613"/>
      <c r="U303" s="559" t="str">
        <f>IFERROR(VLOOKUP(M303,'02. MM-KLH'!$B$6:$T$823,5,0),"")</f>
        <v>ĐQSD</v>
      </c>
      <c r="V303" s="523" t="str">
        <f>IFERROR(VLOOKUP(M303,'02. MM-KLH'!$B$6:$T$823,8,0),"")</f>
        <v>XOÀI AD</v>
      </c>
      <c r="W303" s="559" t="str">
        <f>IFERROR(VLOOKUP(V303,'NS QUẢN LÝ CG'!$A$4:$D$36,2,0),"")</f>
        <v>Huỳnh Đông Giang</v>
      </c>
      <c r="X303" s="559" t="str">
        <f>IFERROR(VLOOKUP(V303,'NS QUẢN LÝ CG'!$A$4:$D$36,4,0),"")</f>
        <v>Lô 132 XN AD</v>
      </c>
      <c r="Y303" s="559" t="str">
        <f>IFERROR(VLOOKUP(V303,'NS QUẢN LÝ CG'!$A$4:$C$36,3,0),"")</f>
        <v>0972283372</v>
      </c>
      <c r="Z303" s="523" t="str">
        <f>IFERROR(VLOOKUP(M303,'02. MM-KLH'!$B$6:$T$823,3,0),"")</f>
        <v>A22-MKE-005</v>
      </c>
      <c r="AA303" s="559" t="str">
        <f t="shared" si="21"/>
        <v>ADM</v>
      </c>
      <c r="AB303" s="523"/>
      <c r="AC303" s="523"/>
    </row>
    <row r="304">
      <c r="A304" s="523"/>
      <c r="B304" s="612" t="str">
        <f>IFERROR(VLOOKUP(M304,'02. MM-KLH'!$B$6:$T$823,6,0),"")</f>
        <v>Máy cày KAM50</v>
      </c>
      <c r="C304" s="566">
        <v>1.0</v>
      </c>
      <c r="D304" s="613" t="str">
        <f>IFERROR(VLOOKUP(M304,'02. MM-KLH'!$B$6:$T$823,16,0),"")</f>
        <v>KAM50</v>
      </c>
      <c r="E304" s="561" t="s">
        <v>4158</v>
      </c>
      <c r="F304" s="613"/>
      <c r="G304" s="613"/>
      <c r="H304" s="613" t="str">
        <f>IFERROR(VLOOKUP(M304,'02. MM-KLH'!$B$6:$T$823,17,0),"")</f>
        <v>50HP</v>
      </c>
      <c r="I304" s="614">
        <f>IFERROR(VLOOKUP(M304,'02. MM-KLH'!$B$6:$U$823,20,0),"")</f>
        <v>2.5</v>
      </c>
      <c r="J304" s="612" t="str">
        <f>IFERROR(VLOOKUP(M304,'02. MM-KLH'!$B$6:$T$823,19,0),"")</f>
        <v>CCN</v>
      </c>
      <c r="K304" s="612" t="str">
        <f>IFERROR(VLOOKUP(M304,'02. MM-KLH'!$B$6:$T$823,18,0),"")</f>
        <v>C000075</v>
      </c>
      <c r="L304" s="613" t="str">
        <f>IFERROR(VLOOKUP(M304,'02. MM-KLH'!$B$6:$T$823,4,0),"")</f>
        <v/>
      </c>
      <c r="M304" s="488" t="s">
        <v>1602</v>
      </c>
      <c r="N304" s="615">
        <f>IFERROR(VLOOKUP(M304,'02. MM-KLH'!$B$6:$T$823,15,0),"")</f>
        <v>2018</v>
      </c>
      <c r="O304" s="616" t="str">
        <f>IFERROR(VLOOKUP(M304,'02. MM-KLH'!$B$6:$T$823,9,0),"")</f>
        <v/>
      </c>
      <c r="P304" s="613"/>
      <c r="Q304" s="566" t="s">
        <v>1565</v>
      </c>
      <c r="R304" s="566" t="s">
        <v>4158</v>
      </c>
      <c r="S304" s="613"/>
      <c r="T304" s="613"/>
      <c r="U304" s="559" t="str">
        <f>IFERROR(VLOOKUP(M304,'02. MM-KLH'!$B$6:$T$823,5,0),"")</f>
        <v>ĐQSD</v>
      </c>
      <c r="V304" s="523" t="str">
        <f>IFERROR(VLOOKUP(M304,'02. MM-KLH'!$B$6:$T$823,8,0),"")</f>
        <v>XOÀI AD</v>
      </c>
      <c r="W304" s="559" t="str">
        <f>IFERROR(VLOOKUP(V304,'NS QUẢN LÝ CG'!$A$4:$D$36,2,0),"")</f>
        <v>Huỳnh Đông Giang</v>
      </c>
      <c r="X304" s="559" t="str">
        <f>IFERROR(VLOOKUP(V304,'NS QUẢN LÝ CG'!$A$4:$D$36,4,0),"")</f>
        <v>Lô 132 XN AD</v>
      </c>
      <c r="Y304" s="559" t="str">
        <f>IFERROR(VLOOKUP(V304,'NS QUẢN LÝ CG'!$A$4:$C$36,3,0),"")</f>
        <v>0972283372</v>
      </c>
      <c r="Z304" s="523" t="str">
        <f>IFERROR(VLOOKUP(M304,'02. MM-KLH'!$B$6:$T$823,3,0),"")</f>
        <v/>
      </c>
      <c r="AA304" s="559" t="str">
        <f t="shared" si="21"/>
        <v/>
      </c>
      <c r="AB304" s="523"/>
      <c r="AC304" s="523"/>
    </row>
    <row r="305">
      <c r="A305" s="523"/>
      <c r="B305" s="612" t="str">
        <f>IFERROR(VLOOKUP(M305,'02. MM-KLH'!$B$6:$T$823,6,0),"")</f>
        <v>Máy cày KAM50</v>
      </c>
      <c r="C305" s="566">
        <v>1.0</v>
      </c>
      <c r="D305" s="613" t="str">
        <f>IFERROR(VLOOKUP(M305,'02. MM-KLH'!$B$6:$T$823,16,0),"")</f>
        <v>KAM50</v>
      </c>
      <c r="E305" s="561" t="s">
        <v>4158</v>
      </c>
      <c r="F305" s="613"/>
      <c r="G305" s="613"/>
      <c r="H305" s="613" t="str">
        <f>IFERROR(VLOOKUP(M305,'02. MM-KLH'!$B$6:$T$823,17,0),"")</f>
        <v>50HP</v>
      </c>
      <c r="I305" s="614">
        <f>IFERROR(VLOOKUP(M305,'02. MM-KLH'!$B$6:$U$823,20,0),"")</f>
        <v>2.5</v>
      </c>
      <c r="J305" s="612" t="str">
        <f>IFERROR(VLOOKUP(M305,'02. MM-KLH'!$B$6:$T$823,19,0),"")</f>
        <v>CCN</v>
      </c>
      <c r="K305" s="612" t="str">
        <f>IFERROR(VLOOKUP(M305,'02. MM-KLH'!$B$6:$T$823,18,0),"")</f>
        <v>C000010</v>
      </c>
      <c r="L305" s="613" t="str">
        <f>IFERROR(VLOOKUP(M305,'02. MM-KLH'!$B$6:$T$823,4,0),"")</f>
        <v/>
      </c>
      <c r="M305" s="488" t="s">
        <v>1609</v>
      </c>
      <c r="N305" s="615">
        <f>IFERROR(VLOOKUP(M305,'02. MM-KLH'!$B$6:$T$823,15,0),"")</f>
        <v>2018</v>
      </c>
      <c r="O305" s="616" t="str">
        <f>IFERROR(VLOOKUP(M305,'02. MM-KLH'!$B$6:$T$823,9,0),"")</f>
        <v/>
      </c>
      <c r="P305" s="613"/>
      <c r="Q305" s="566" t="s">
        <v>1565</v>
      </c>
      <c r="R305" s="566" t="s">
        <v>4158</v>
      </c>
      <c r="S305" s="613"/>
      <c r="T305" s="613"/>
      <c r="U305" s="559" t="str">
        <f>IFERROR(VLOOKUP(M305,'02. MM-KLH'!$B$6:$T$823,5,0),"")</f>
        <v>ĐQSD</v>
      </c>
      <c r="V305" s="523" t="str">
        <f>IFERROR(VLOOKUP(M305,'02. MM-KLH'!$B$6:$T$823,8,0),"")</f>
        <v>XOÀI AD</v>
      </c>
      <c r="W305" s="559" t="str">
        <f>IFERROR(VLOOKUP(V305,'NS QUẢN LÝ CG'!$A$4:$D$36,2,0),"")</f>
        <v>Huỳnh Đông Giang</v>
      </c>
      <c r="X305" s="559" t="str">
        <f>IFERROR(VLOOKUP(V305,'NS QUẢN LÝ CG'!$A$4:$D$36,4,0),"")</f>
        <v>Lô 132 XN AD</v>
      </c>
      <c r="Y305" s="559" t="str">
        <f>IFERROR(VLOOKUP(V305,'NS QUẢN LÝ CG'!$A$4:$C$36,3,0),"")</f>
        <v>0972283372</v>
      </c>
      <c r="Z305" s="523" t="str">
        <f>IFERROR(VLOOKUP(M305,'02. MM-KLH'!$B$6:$T$823,3,0),"")</f>
        <v/>
      </c>
      <c r="AA305" s="559" t="str">
        <f t="shared" si="21"/>
        <v/>
      </c>
      <c r="AB305" s="523"/>
      <c r="AC305" s="523"/>
    </row>
    <row r="306">
      <c r="A306" s="523"/>
      <c r="B306" s="612" t="str">
        <f>IFERROR(VLOOKUP(M306,'02. MM-KLH'!$B$6:$T$823,6,0),"")</f>
        <v>Máy cày KAM50</v>
      </c>
      <c r="C306" s="566">
        <v>1.0</v>
      </c>
      <c r="D306" s="613" t="str">
        <f>IFERROR(VLOOKUP(M306,'02. MM-KLH'!$B$6:$T$823,16,0),"")</f>
        <v>KAM50</v>
      </c>
      <c r="E306" s="561" t="s">
        <v>4158</v>
      </c>
      <c r="F306" s="613"/>
      <c r="G306" s="613"/>
      <c r="H306" s="613" t="str">
        <f>IFERROR(VLOOKUP(M306,'02. MM-KLH'!$B$6:$T$823,17,0),"")</f>
        <v>50HP</v>
      </c>
      <c r="I306" s="614">
        <f>IFERROR(VLOOKUP(M306,'02. MM-KLH'!$B$6:$U$823,20,0),"")</f>
        <v>2.5</v>
      </c>
      <c r="J306" s="612">
        <f>IFERROR(VLOOKUP(M306,'02. MM-KLH'!$B$6:$T$823,19,0),"")</f>
        <v>80</v>
      </c>
      <c r="K306" s="612" t="str">
        <f>IFERROR(VLOOKUP(M306,'02. MM-KLH'!$B$6:$T$823,18,0),"")</f>
        <v>0000087</v>
      </c>
      <c r="L306" s="613" t="str">
        <f>IFERROR(VLOOKUP(M306,'02. MM-KLH'!$B$6:$T$823,4,0),"")</f>
        <v/>
      </c>
      <c r="M306" s="490" t="s">
        <v>1662</v>
      </c>
      <c r="N306" s="615">
        <f>IFERROR(VLOOKUP(M306,'02. MM-KLH'!$B$6:$T$823,15,0),"")</f>
        <v>2018</v>
      </c>
      <c r="O306" s="616" t="str">
        <f>IFERROR(VLOOKUP(M306,'02. MM-KLH'!$B$6:$T$823,9,0),"")</f>
        <v/>
      </c>
      <c r="P306" s="613"/>
      <c r="Q306" s="566" t="s">
        <v>1565</v>
      </c>
      <c r="R306" s="613"/>
      <c r="S306" s="566" t="s">
        <v>4158</v>
      </c>
      <c r="T306" s="613"/>
      <c r="U306" s="559" t="str">
        <f>IFERROR(VLOOKUP(M306,'02. MM-KLH'!$B$6:$T$823,5,0),"")</f>
        <v>ĐQSD</v>
      </c>
      <c r="V306" s="523" t="str">
        <f>IFERROR(VLOOKUP(M306,'02. MM-KLH'!$B$6:$T$823,8,0),"")</f>
        <v>XN Bò AD</v>
      </c>
      <c r="W306" s="559" t="str">
        <f>IFERROR(VLOOKUP(V306,'NS QUẢN LÝ CG'!$A$4:$D$36,2,0),"")</f>
        <v>Trần Văn Nam</v>
      </c>
      <c r="X306" s="559" t="str">
        <f>IFERROR(VLOOKUP(V306,'NS QUẢN LÝ CG'!$A$4:$D$36,4,0),"")</f>
        <v>Lô 28 XN Bò</v>
      </c>
      <c r="Y306" s="559" t="str">
        <f>IFERROR(VLOOKUP(V306,'NS QUẢN LÝ CG'!$A$4:$C$36,3,0),"")</f>
        <v>0971993540</v>
      </c>
      <c r="Z306" s="523" t="str">
        <f>IFERROR(VLOOKUP(M306,'02. MM-KLH'!$B$6:$T$823,3,0),"")</f>
        <v>A22-MKE-011</v>
      </c>
      <c r="AA306" s="559" t="str">
        <f t="shared" si="21"/>
        <v>ADM</v>
      </c>
      <c r="AB306" s="523"/>
      <c r="AC306" s="523"/>
    </row>
    <row r="307">
      <c r="A307" s="523"/>
      <c r="B307" s="612" t="str">
        <f>IFERROR(VLOOKUP(M307,'02. MM-KLH'!$B$6:$T$823,6,0),"")</f>
        <v>Máy cày KAM50</v>
      </c>
      <c r="C307" s="566">
        <v>1.0</v>
      </c>
      <c r="D307" s="613" t="str">
        <f>IFERROR(VLOOKUP(M307,'02. MM-KLH'!$B$6:$T$823,16,0),"")</f>
        <v>KAM50</v>
      </c>
      <c r="E307" s="561" t="s">
        <v>4158</v>
      </c>
      <c r="F307" s="613"/>
      <c r="G307" s="613"/>
      <c r="H307" s="613" t="str">
        <f>IFERROR(VLOOKUP(M307,'02. MM-KLH'!$B$6:$T$823,17,0),"")</f>
        <v>50HP</v>
      </c>
      <c r="I307" s="614">
        <f>IFERROR(VLOOKUP(M307,'02. MM-KLH'!$B$6:$U$823,20,0),"")</f>
        <v>2</v>
      </c>
      <c r="J307" s="612">
        <f>IFERROR(VLOOKUP(M307,'02. MM-KLH'!$B$6:$T$823,19,0),"")</f>
        <v>180012</v>
      </c>
      <c r="K307" s="612" t="str">
        <f>IFERROR(VLOOKUP(M307,'02. MM-KLH'!$B$6:$T$823,18,0),"")</f>
        <v>C000077</v>
      </c>
      <c r="L307" s="613" t="str">
        <f>IFERROR(VLOOKUP(M307,'02. MM-KLH'!$B$6:$T$823,4,0),"")</f>
        <v/>
      </c>
      <c r="M307" s="490" t="s">
        <v>1669</v>
      </c>
      <c r="N307" s="615">
        <f>IFERROR(VLOOKUP(M307,'02. MM-KLH'!$B$6:$T$823,15,0),"")</f>
        <v>2018</v>
      </c>
      <c r="O307" s="616" t="str">
        <f>IFERROR(VLOOKUP(M307,'02. MM-KLH'!$B$6:$T$823,9,0),"")</f>
        <v/>
      </c>
      <c r="P307" s="613"/>
      <c r="Q307" s="566" t="s">
        <v>1565</v>
      </c>
      <c r="R307" s="566" t="s">
        <v>4158</v>
      </c>
      <c r="S307" s="613"/>
      <c r="T307" s="613"/>
      <c r="U307" s="559" t="str">
        <f>IFERROR(VLOOKUP(M307,'02. MM-KLH'!$B$6:$T$823,5,0),"")</f>
        <v>ĐQSD</v>
      </c>
      <c r="V307" s="523" t="str">
        <f>IFERROR(VLOOKUP(M307,'02. MM-KLH'!$B$6:$T$823,8,0),"")</f>
        <v>XN Bò AD</v>
      </c>
      <c r="W307" s="559" t="str">
        <f>IFERROR(VLOOKUP(V307,'NS QUẢN LÝ CG'!$A$4:$D$36,2,0),"")</f>
        <v>Trần Văn Nam</v>
      </c>
      <c r="X307" s="559" t="str">
        <f>IFERROR(VLOOKUP(V307,'NS QUẢN LÝ CG'!$A$4:$D$36,4,0),"")</f>
        <v>Lô 28 XN Bò</v>
      </c>
      <c r="Y307" s="559" t="str">
        <f>IFERROR(VLOOKUP(V307,'NS QUẢN LÝ CG'!$A$4:$C$36,3,0),"")</f>
        <v>0971993540</v>
      </c>
      <c r="Z307" s="523" t="str">
        <f>IFERROR(VLOOKUP(M307,'02. MM-KLH'!$B$6:$T$823,3,0),"")</f>
        <v>A22-MKE-016</v>
      </c>
      <c r="AA307" s="559" t="str">
        <f t="shared" si="21"/>
        <v>ADM</v>
      </c>
      <c r="AB307" s="523"/>
      <c r="AC307" s="523"/>
    </row>
    <row r="308">
      <c r="A308" s="523"/>
      <c r="B308" s="612" t="str">
        <f>IFERROR(VLOOKUP(M308,'02. MM-KLH'!$B$6:$T$823,6,0),"")</f>
        <v>Máy cày KAM50</v>
      </c>
      <c r="C308" s="566">
        <v>1.0</v>
      </c>
      <c r="D308" s="613" t="str">
        <f>IFERROR(VLOOKUP(M308,'02. MM-KLH'!$B$6:$T$823,16,0),"")</f>
        <v>KAM50</v>
      </c>
      <c r="E308" s="561" t="s">
        <v>4158</v>
      </c>
      <c r="F308" s="613"/>
      <c r="G308" s="613"/>
      <c r="H308" s="613" t="str">
        <f>IFERROR(VLOOKUP(M308,'02. MM-KLH'!$B$6:$T$823,17,0),"")</f>
        <v>50HP</v>
      </c>
      <c r="I308" s="614">
        <f>IFERROR(VLOOKUP(M308,'02. MM-KLH'!$B$6:$U$823,20,0),"")</f>
        <v>2.5</v>
      </c>
      <c r="J308" s="612" t="str">
        <f>IFERROR(VLOOKUP(M308,'02. MM-KLH'!$B$6:$T$823,19,0),"")</f>
        <v>CCN</v>
      </c>
      <c r="K308" s="612">
        <f>IFERROR(VLOOKUP(M308,'02. MM-KLH'!$B$6:$T$823,18,0),"")</f>
        <v>180090</v>
      </c>
      <c r="L308" s="613" t="str">
        <f>IFERROR(VLOOKUP(M308,'02. MM-KLH'!$B$6:$T$823,4,0),"")</f>
        <v/>
      </c>
      <c r="M308" s="490" t="s">
        <v>1677</v>
      </c>
      <c r="N308" s="615">
        <f>IFERROR(VLOOKUP(M308,'02. MM-KLH'!$B$6:$T$823,15,0),"")</f>
        <v>2018</v>
      </c>
      <c r="O308" s="616" t="str">
        <f>IFERROR(VLOOKUP(M308,'02. MM-KLH'!$B$6:$T$823,9,0),"")</f>
        <v>28/11/2023</v>
      </c>
      <c r="P308" s="613"/>
      <c r="Q308" s="566" t="s">
        <v>1565</v>
      </c>
      <c r="R308" s="566" t="s">
        <v>4158</v>
      </c>
      <c r="S308" s="613"/>
      <c r="T308" s="566" t="s">
        <v>4158</v>
      </c>
      <c r="U308" s="559" t="str">
        <f>IFERROR(VLOOKUP(M308,'02. MM-KLH'!$B$6:$T$823,5,0),"")</f>
        <v>ĐQSD</v>
      </c>
      <c r="V308" s="523" t="str">
        <f>IFERROR(VLOOKUP(M308,'02. MM-KLH'!$B$6:$T$823,8,0),"")</f>
        <v>XN Bò AD</v>
      </c>
      <c r="W308" s="559" t="str">
        <f>IFERROR(VLOOKUP(V308,'NS QUẢN LÝ CG'!$A$4:$D$36,2,0),"")</f>
        <v>Trần Văn Nam</v>
      </c>
      <c r="X308" s="559" t="str">
        <f>IFERROR(VLOOKUP(V308,'NS QUẢN LÝ CG'!$A$4:$D$36,4,0),"")</f>
        <v>Lô 28 XN Bò</v>
      </c>
      <c r="Y308" s="559" t="str">
        <f>IFERROR(VLOOKUP(V308,'NS QUẢN LÝ CG'!$A$4:$C$36,3,0),"")</f>
        <v>0971993540</v>
      </c>
      <c r="Z308" s="523" t="str">
        <f>IFERROR(VLOOKUP(M308,'02. MM-KLH'!$B$6:$T$823,3,0),"")</f>
        <v>A22-MKE-020</v>
      </c>
      <c r="AA308" s="559" t="str">
        <f t="shared" si="21"/>
        <v>ADM</v>
      </c>
      <c r="AB308" s="523"/>
      <c r="AC308" s="523"/>
    </row>
    <row r="309">
      <c r="A309" s="523"/>
      <c r="B309" s="612" t="str">
        <f>IFERROR(VLOOKUP(M309,'02. MM-KLH'!$B$6:$T$823,6,0),"")</f>
        <v>Máy cày KAM50</v>
      </c>
      <c r="C309" s="566">
        <v>1.0</v>
      </c>
      <c r="D309" s="613" t="str">
        <f>IFERROR(VLOOKUP(M309,'02. MM-KLH'!$B$6:$T$823,16,0),"")</f>
        <v>KAM50</v>
      </c>
      <c r="E309" s="561" t="s">
        <v>4158</v>
      </c>
      <c r="F309" s="613"/>
      <c r="G309" s="613"/>
      <c r="H309" s="613" t="str">
        <f>IFERROR(VLOOKUP(M309,'02. MM-KLH'!$B$6:$T$823,17,0),"")</f>
        <v>50HP</v>
      </c>
      <c r="I309" s="614">
        <f>IFERROR(VLOOKUP(M309,'02. MM-KLH'!$B$6:$U$823,20,0),"")</f>
        <v>2.5</v>
      </c>
      <c r="J309" s="612" t="str">
        <f>IFERROR(VLOOKUP(M309,'02. MM-KLH'!$B$6:$T$823,19,0),"")</f>
        <v>CCN</v>
      </c>
      <c r="K309" s="612" t="str">
        <f>IFERROR(VLOOKUP(M309,'02. MM-KLH'!$B$6:$T$823,18,0),"")</f>
        <v>C000046</v>
      </c>
      <c r="L309" s="613" t="str">
        <f>IFERROR(VLOOKUP(M309,'02. MM-KLH'!$B$6:$T$823,4,0),"")</f>
        <v/>
      </c>
      <c r="M309" s="488" t="s">
        <v>1689</v>
      </c>
      <c r="N309" s="615">
        <f>IFERROR(VLOOKUP(M309,'02. MM-KLH'!$B$6:$T$823,15,0),"")</f>
        <v>2018</v>
      </c>
      <c r="O309" s="616" t="str">
        <f>IFERROR(VLOOKUP(M309,'02. MM-KLH'!$B$6:$T$823,9,0),"")</f>
        <v>16/07/2024</v>
      </c>
      <c r="P309" s="613"/>
      <c r="Q309" s="566" t="s">
        <v>1565</v>
      </c>
      <c r="R309" s="566" t="s">
        <v>4158</v>
      </c>
      <c r="S309" s="613"/>
      <c r="T309" s="566" t="s">
        <v>4158</v>
      </c>
      <c r="U309" s="559" t="str">
        <f>IFERROR(VLOOKUP(M309,'02. MM-KLH'!$B$6:$T$823,5,0),"")</f>
        <v>ĐQSD</v>
      </c>
      <c r="V309" s="523" t="str">
        <f>IFERROR(VLOOKUP(M309,'02. MM-KLH'!$B$6:$T$823,8,0),"")</f>
        <v>XN Bò AD</v>
      </c>
      <c r="W309" s="559" t="str">
        <f>IFERROR(VLOOKUP(V309,'NS QUẢN LÝ CG'!$A$4:$D$36,2,0),"")</f>
        <v>Trần Văn Nam</v>
      </c>
      <c r="X309" s="559" t="str">
        <f>IFERROR(VLOOKUP(V309,'NS QUẢN LÝ CG'!$A$4:$D$36,4,0),"")</f>
        <v>Lô 28 XN Bò</v>
      </c>
      <c r="Y309" s="559" t="str">
        <f>IFERROR(VLOOKUP(V309,'NS QUẢN LÝ CG'!$A$4:$C$36,3,0),"")</f>
        <v>0971993540</v>
      </c>
      <c r="Z309" s="523" t="str">
        <f>IFERROR(VLOOKUP(M309,'02. MM-KLH'!$B$6:$T$823,3,0),"")</f>
        <v>A22-MKE-022</v>
      </c>
      <c r="AA309" s="559" t="str">
        <f t="shared" si="21"/>
        <v>ADM</v>
      </c>
      <c r="AB309" s="523"/>
      <c r="AC309" s="523"/>
    </row>
    <row r="310">
      <c r="A310" s="523"/>
      <c r="B310" s="612" t="str">
        <f>IFERROR(VLOOKUP(M310,'02. MM-KLH'!$B$6:$T$823,6,0),"")</f>
        <v>Máy cày KAM50</v>
      </c>
      <c r="C310" s="566">
        <v>1.0</v>
      </c>
      <c r="D310" s="613" t="str">
        <f>IFERROR(VLOOKUP(M310,'02. MM-KLH'!$B$6:$T$823,16,0),"")</f>
        <v>KAM50</v>
      </c>
      <c r="E310" s="561" t="s">
        <v>4158</v>
      </c>
      <c r="F310" s="613"/>
      <c r="G310" s="613"/>
      <c r="H310" s="613" t="str">
        <f>IFERROR(VLOOKUP(M310,'02. MM-KLH'!$B$6:$T$823,17,0),"")</f>
        <v>50HP</v>
      </c>
      <c r="I310" s="614">
        <f>IFERROR(VLOOKUP(M310,'02. MM-KLH'!$B$6:$U$823,20,0),"")</f>
        <v>2.5</v>
      </c>
      <c r="J310" s="612" t="str">
        <f>IFERROR(VLOOKUP(M310,'02. MM-KLH'!$B$6:$T$823,19,0),"")</f>
        <v>CCN</v>
      </c>
      <c r="K310" s="612" t="str">
        <f>IFERROR(VLOOKUP(M310,'02. MM-KLH'!$B$6:$T$823,18,0),"")</f>
        <v>C000015</v>
      </c>
      <c r="L310" s="613" t="str">
        <f>IFERROR(VLOOKUP(M310,'02. MM-KLH'!$B$6:$T$823,4,0),"")</f>
        <v/>
      </c>
      <c r="M310" s="488" t="s">
        <v>1741</v>
      </c>
      <c r="N310" s="615">
        <f>IFERROR(VLOOKUP(M310,'02. MM-KLH'!$B$6:$T$823,15,0),"")</f>
        <v>2018</v>
      </c>
      <c r="O310" s="616">
        <f>IFERROR(VLOOKUP(M310,'02. MM-KLH'!$B$6:$T$823,9,0),"")</f>
        <v>45689</v>
      </c>
      <c r="P310" s="613"/>
      <c r="Q310" s="566" t="s">
        <v>1565</v>
      </c>
      <c r="R310" s="566" t="s">
        <v>4158</v>
      </c>
      <c r="S310" s="613"/>
      <c r="T310" s="613"/>
      <c r="U310" s="559" t="str">
        <f>IFERROR(VLOOKUP(M310,'02. MM-KLH'!$B$6:$T$823,5,0),"")</f>
        <v>ĐQSD</v>
      </c>
      <c r="V310" s="523" t="str">
        <f>IFERROR(VLOOKUP(M310,'02. MM-KLH'!$B$6:$T$823,8,0),"")</f>
        <v>XN Bò AD</v>
      </c>
      <c r="W310" s="559" t="str">
        <f>IFERROR(VLOOKUP(V310,'NS QUẢN LÝ CG'!$A$4:$D$36,2,0),"")</f>
        <v>Trần Văn Nam</v>
      </c>
      <c r="X310" s="559" t="str">
        <f>IFERROR(VLOOKUP(V310,'NS QUẢN LÝ CG'!$A$4:$D$36,4,0),"")</f>
        <v>Lô 28 XN Bò</v>
      </c>
      <c r="Y310" s="559" t="str">
        <f>IFERROR(VLOOKUP(V310,'NS QUẢN LÝ CG'!$A$4:$C$36,3,0),"")</f>
        <v>0971993540</v>
      </c>
      <c r="Z310" s="523" t="str">
        <f>IFERROR(VLOOKUP(M310,'02. MM-KLH'!$B$6:$T$823,3,0),"")</f>
        <v/>
      </c>
      <c r="AA310" s="559" t="str">
        <f t="shared" si="21"/>
        <v/>
      </c>
      <c r="AB310" s="523"/>
      <c r="AC310" s="523"/>
    </row>
    <row r="311">
      <c r="A311" s="523"/>
      <c r="B311" s="612" t="str">
        <f>IFERROR(VLOOKUP(M311,'02. MM-KLH'!$B$6:$T$823,6,0),"")</f>
        <v>Máy cày KAM50</v>
      </c>
      <c r="C311" s="566">
        <v>1.0</v>
      </c>
      <c r="D311" s="613" t="str">
        <f>IFERROR(VLOOKUP(M311,'02. MM-KLH'!$B$6:$T$823,16,0),"")</f>
        <v>KAM50</v>
      </c>
      <c r="E311" s="561" t="s">
        <v>4158</v>
      </c>
      <c r="F311" s="613"/>
      <c r="G311" s="613"/>
      <c r="H311" s="613" t="str">
        <f>IFERROR(VLOOKUP(M311,'02. MM-KLH'!$B$6:$T$823,17,0),"")</f>
        <v>50HP</v>
      </c>
      <c r="I311" s="614">
        <f>IFERROR(VLOOKUP(M311,'02. MM-KLH'!$B$6:$U$823,20,0),"")</f>
        <v>2.5</v>
      </c>
      <c r="J311" s="612" t="str">
        <f>IFERROR(VLOOKUP(M311,'02. MM-KLH'!$B$6:$T$823,19,0),"")</f>
        <v>CCN</v>
      </c>
      <c r="K311" s="612" t="str">
        <f>IFERROR(VLOOKUP(M311,'02. MM-KLH'!$B$6:$T$823,18,0),"")</f>
        <v>C000053</v>
      </c>
      <c r="L311" s="613" t="str">
        <f>IFERROR(VLOOKUP(M311,'02. MM-KLH'!$B$6:$T$823,4,0),"")</f>
        <v/>
      </c>
      <c r="M311" s="488" t="s">
        <v>1822</v>
      </c>
      <c r="N311" s="615">
        <f>IFERROR(VLOOKUP(M311,'02. MM-KLH'!$B$6:$T$823,15,0),"")</f>
        <v>2018</v>
      </c>
      <c r="O311" s="616" t="str">
        <f>IFERROR(VLOOKUP(M311,'02. MM-KLH'!$B$6:$T$823,9,0),"")</f>
        <v/>
      </c>
      <c r="P311" s="613"/>
      <c r="Q311" s="566" t="s">
        <v>1565</v>
      </c>
      <c r="R311" s="613"/>
      <c r="S311" s="566" t="s">
        <v>4158</v>
      </c>
      <c r="T311" s="613"/>
      <c r="U311" s="559" t="str">
        <f>IFERROR(VLOOKUP(M311,'02. MM-KLH'!$B$6:$T$823,5,0),"")</f>
        <v>ĐQSD</v>
      </c>
      <c r="V311" s="523" t="str">
        <f>IFERROR(VLOOKUP(M311,'02. MM-KLH'!$B$6:$T$823,8,0),"")</f>
        <v>XN Bò AD</v>
      </c>
      <c r="W311" s="559" t="str">
        <f>IFERROR(VLOOKUP(V311,'NS QUẢN LÝ CG'!$A$4:$D$36,2,0),"")</f>
        <v>Trần Văn Nam</v>
      </c>
      <c r="X311" s="559" t="str">
        <f>IFERROR(VLOOKUP(V311,'NS QUẢN LÝ CG'!$A$4:$D$36,4,0),"")</f>
        <v>Lô 28 XN Bò</v>
      </c>
      <c r="Y311" s="559" t="str">
        <f>IFERROR(VLOOKUP(V311,'NS QUẢN LÝ CG'!$A$4:$C$36,3,0),"")</f>
        <v>0971993540</v>
      </c>
      <c r="Z311" s="523" t="str">
        <f>IFERROR(VLOOKUP(M311,'02. MM-KLH'!$B$6:$T$823,3,0),"")</f>
        <v>ATT-A23-0002</v>
      </c>
      <c r="AA311" s="561" t="s">
        <v>4312</v>
      </c>
      <c r="AB311" s="523"/>
      <c r="AC311" s="523"/>
    </row>
    <row r="312">
      <c r="A312" s="523"/>
      <c r="B312" s="612" t="str">
        <f>IFERROR(VLOOKUP(M312,'02. MM-KLH'!$B$6:$T$823,6,0),"")</f>
        <v>Máy cày KAM50</v>
      </c>
      <c r="C312" s="566">
        <v>1.0</v>
      </c>
      <c r="D312" s="613" t="str">
        <f>IFERROR(VLOOKUP(M312,'02. MM-KLH'!$B$6:$T$823,16,0),"")</f>
        <v>KAM50</v>
      </c>
      <c r="E312" s="561" t="s">
        <v>4158</v>
      </c>
      <c r="F312" s="613"/>
      <c r="G312" s="613"/>
      <c r="H312" s="613" t="str">
        <f>IFERROR(VLOOKUP(M312,'02. MM-KLH'!$B$6:$T$823,17,0),"")</f>
        <v>50HP</v>
      </c>
      <c r="I312" s="614">
        <f>IFERROR(VLOOKUP(M312,'02. MM-KLH'!$B$6:$U$823,20,0),"")</f>
        <v>2.5</v>
      </c>
      <c r="J312" s="612" t="str">
        <f>IFERROR(VLOOKUP(M312,'02. MM-KLH'!$B$6:$T$823,19,0),"")</f>
        <v>CCN</v>
      </c>
      <c r="K312" s="612">
        <f>IFERROR(VLOOKUP(M312,'02. MM-KLH'!$B$6:$T$823,18,0),"")</f>
        <v>180069</v>
      </c>
      <c r="L312" s="613" t="str">
        <f>IFERROR(VLOOKUP(M312,'02. MM-KLH'!$B$6:$T$823,4,0),"")</f>
        <v/>
      </c>
      <c r="M312" s="488" t="s">
        <v>2497</v>
      </c>
      <c r="N312" s="615">
        <f>IFERROR(VLOOKUP(M312,'02. MM-KLH'!$B$6:$T$823,15,0),"")</f>
        <v>2018</v>
      </c>
      <c r="O312" s="616" t="str">
        <f>IFERROR(VLOOKUP(M312,'02. MM-KLH'!$B$6:$T$823,9,0),"")</f>
        <v/>
      </c>
      <c r="P312" s="613"/>
      <c r="Q312" s="566" t="s">
        <v>1565</v>
      </c>
      <c r="R312" s="613"/>
      <c r="S312" s="566" t="s">
        <v>4158</v>
      </c>
      <c r="T312" s="613"/>
      <c r="U312" s="559" t="str">
        <f>IFERROR(VLOOKUP(M312,'02. MM-KLH'!$B$6:$T$823,5,0),"")</f>
        <v>ĐQSD</v>
      </c>
      <c r="V312" s="523" t="str">
        <f>IFERROR(VLOOKUP(M312,'02. MM-KLH'!$B$6:$T$823,8,0),"")</f>
        <v>Ban điện nước</v>
      </c>
      <c r="W312" s="559" t="str">
        <f>IFERROR(VLOOKUP(V312,'NS QUẢN LÝ CG'!$A$4:$D$36,2,0),"")</f>
        <v/>
      </c>
      <c r="X312" s="559" t="str">
        <f>IFERROR(VLOOKUP(V312,'NS QUẢN LÝ CG'!$A$4:$D$36,4,0),"")</f>
        <v/>
      </c>
      <c r="Y312" s="559" t="str">
        <f>IFERROR(VLOOKUP(V312,'NS QUẢN LÝ CG'!$A$4:$C$36,3,0),"")</f>
        <v/>
      </c>
      <c r="Z312" s="523" t="str">
        <f>IFERROR(VLOOKUP(M312,'02. MM-KLH'!$B$6:$T$823,3,0),"")</f>
        <v>A22-MKE-028</v>
      </c>
      <c r="AA312" s="559" t="str">
        <f t="shared" ref="AA312:AA316" si="22">SWITCH(LEFT(Z312,3),"A22","ADM","A23","DP","A24","LP","")</f>
        <v>ADM</v>
      </c>
      <c r="AB312" s="523"/>
      <c r="AC312" s="523"/>
    </row>
    <row r="313">
      <c r="A313" s="523"/>
      <c r="B313" s="612" t="str">
        <f>IFERROR(VLOOKUP(M313,'02. MM-KLH'!$B$6:$T$823,6,0),"")</f>
        <v>Máy cày KAM50</v>
      </c>
      <c r="C313" s="566">
        <v>1.0</v>
      </c>
      <c r="D313" s="613" t="str">
        <f>IFERROR(VLOOKUP(M313,'02. MM-KLH'!$B$6:$T$823,16,0),"")</f>
        <v>KAM50</v>
      </c>
      <c r="E313" s="561" t="s">
        <v>4158</v>
      </c>
      <c r="F313" s="613"/>
      <c r="G313" s="613"/>
      <c r="H313" s="613" t="str">
        <f>IFERROR(VLOOKUP(M313,'02. MM-KLH'!$B$6:$T$823,17,0),"")</f>
        <v>50HP</v>
      </c>
      <c r="I313" s="614">
        <f>IFERROR(VLOOKUP(M313,'02. MM-KLH'!$B$6:$U$823,20,0),"")</f>
        <v>2.5</v>
      </c>
      <c r="J313" s="612" t="str">
        <f>IFERROR(VLOOKUP(M313,'02. MM-KLH'!$B$6:$T$823,19,0),"")</f>
        <v/>
      </c>
      <c r="K313" s="612" t="str">
        <f>IFERROR(VLOOKUP(M313,'02. MM-KLH'!$B$6:$T$823,18,0),"")</f>
        <v>C000080</v>
      </c>
      <c r="L313" s="613" t="str">
        <f>IFERROR(VLOOKUP(M313,'02. MM-KLH'!$B$6:$T$823,4,0),"")</f>
        <v/>
      </c>
      <c r="M313" s="488" t="s">
        <v>2545</v>
      </c>
      <c r="N313" s="615" t="str">
        <f>IFERROR(VLOOKUP(M313,'02. MM-KLH'!$B$6:$T$823,15,0),"")</f>
        <v/>
      </c>
      <c r="O313" s="616" t="str">
        <f>IFERROR(VLOOKUP(M313,'02. MM-KLH'!$B$6:$T$823,9,0),"")</f>
        <v/>
      </c>
      <c r="P313" s="613"/>
      <c r="Q313" s="566" t="s">
        <v>1565</v>
      </c>
      <c r="R313" s="613"/>
      <c r="S313" s="566" t="s">
        <v>4158</v>
      </c>
      <c r="T313" s="613"/>
      <c r="U313" s="559" t="str">
        <f>IFERROR(VLOOKUP(M313,'02. MM-KLH'!$B$6:$T$823,5,0),"")</f>
        <v>ĐQSD</v>
      </c>
      <c r="V313" s="523" t="str">
        <f>IFERROR(VLOOKUP(M313,'02. MM-KLH'!$B$6:$T$823,8,0),"")</f>
        <v>Xưởng Cơ khí DP</v>
      </c>
      <c r="W313" s="559" t="str">
        <f>IFERROR(VLOOKUP(V313,'NS QUẢN LÝ CG'!$A$4:$D$36,2,0),"")</f>
        <v/>
      </c>
      <c r="X313" s="559" t="str">
        <f>IFERROR(VLOOKUP(V313,'NS QUẢN LÝ CG'!$A$4:$D$36,4,0),"")</f>
        <v/>
      </c>
      <c r="Y313" s="559" t="str">
        <f>IFERROR(VLOOKUP(V313,'NS QUẢN LÝ CG'!$A$4:$C$36,3,0),"")</f>
        <v/>
      </c>
      <c r="Z313" s="523" t="str">
        <f>IFERROR(VLOOKUP(M313,'02. MM-KLH'!$B$6:$T$823,3,0),"")</f>
        <v>A23-MKE-032</v>
      </c>
      <c r="AA313" s="559" t="str">
        <f t="shared" si="22"/>
        <v>DP</v>
      </c>
      <c r="AB313" s="523"/>
      <c r="AC313" s="523"/>
    </row>
    <row r="314">
      <c r="A314" s="523"/>
      <c r="B314" s="612" t="str">
        <f>IFERROR(VLOOKUP(M314,'02. MM-KLH'!$B$6:$T$823,6,0),"")</f>
        <v>Máy cày KAM50</v>
      </c>
      <c r="C314" s="566">
        <v>1.0</v>
      </c>
      <c r="D314" s="613" t="str">
        <f>IFERROR(VLOOKUP(M314,'02. MM-KLH'!$B$6:$T$823,16,0),"")</f>
        <v>KAM50</v>
      </c>
      <c r="E314" s="561" t="s">
        <v>4158</v>
      </c>
      <c r="F314" s="613"/>
      <c r="G314" s="613"/>
      <c r="H314" s="613" t="str">
        <f>IFERROR(VLOOKUP(M314,'02. MM-KLH'!$B$6:$T$823,17,0),"")</f>
        <v>50HP</v>
      </c>
      <c r="I314" s="614">
        <f>IFERROR(VLOOKUP(M314,'02. MM-KLH'!$B$6:$U$823,20,0),"")</f>
        <v>2.5</v>
      </c>
      <c r="J314" s="612" t="str">
        <f>IFERROR(VLOOKUP(M314,'02. MM-KLH'!$B$6:$T$823,19,0),"")</f>
        <v/>
      </c>
      <c r="K314" s="612" t="str">
        <f>IFERROR(VLOOKUP(M314,'02. MM-KLH'!$B$6:$T$823,18,0),"")</f>
        <v>C000016</v>
      </c>
      <c r="L314" s="613" t="str">
        <f>IFERROR(VLOOKUP(M314,'02. MM-KLH'!$B$6:$T$823,4,0),"")</f>
        <v/>
      </c>
      <c r="M314" s="488" t="s">
        <v>2548</v>
      </c>
      <c r="N314" s="615" t="str">
        <f>IFERROR(VLOOKUP(M314,'02. MM-KLH'!$B$6:$T$823,15,0),"")</f>
        <v/>
      </c>
      <c r="O314" s="616" t="str">
        <f>IFERROR(VLOOKUP(M314,'02. MM-KLH'!$B$6:$T$823,9,0),"")</f>
        <v/>
      </c>
      <c r="P314" s="613"/>
      <c r="Q314" s="566" t="s">
        <v>1565</v>
      </c>
      <c r="R314" s="566" t="s">
        <v>4158</v>
      </c>
      <c r="S314" s="613"/>
      <c r="T314" s="613"/>
      <c r="U314" s="559" t="str">
        <f>IFERROR(VLOOKUP(M314,'02. MM-KLH'!$B$6:$T$823,5,0),"")</f>
        <v>ĐQSD</v>
      </c>
      <c r="V314" s="523" t="str">
        <f>IFERROR(VLOOKUP(M314,'02. MM-KLH'!$B$6:$T$823,8,0),"")</f>
        <v>Xưởng Cơ khí DP</v>
      </c>
      <c r="W314" s="559" t="str">
        <f>IFERROR(VLOOKUP(V314,'NS QUẢN LÝ CG'!$A$4:$D$36,2,0),"")</f>
        <v/>
      </c>
      <c r="X314" s="559" t="str">
        <f>IFERROR(VLOOKUP(V314,'NS QUẢN LÝ CG'!$A$4:$D$36,4,0),"")</f>
        <v/>
      </c>
      <c r="Y314" s="559" t="str">
        <f>IFERROR(VLOOKUP(V314,'NS QUẢN LÝ CG'!$A$4:$C$36,3,0),"")</f>
        <v/>
      </c>
      <c r="Z314" s="523" t="str">
        <f>IFERROR(VLOOKUP(M314,'02. MM-KLH'!$B$6:$T$823,3,0),"")</f>
        <v>A23-MKE-033</v>
      </c>
      <c r="AA314" s="559" t="str">
        <f t="shared" si="22"/>
        <v>DP</v>
      </c>
      <c r="AB314" s="523"/>
      <c r="AC314" s="523"/>
    </row>
    <row r="315">
      <c r="A315" s="523"/>
      <c r="B315" s="612" t="str">
        <f>IFERROR(VLOOKUP(M315,'02. MM-KLH'!$B$6:$T$823,6,0),"")</f>
        <v>Máy cày KAM50</v>
      </c>
      <c r="C315" s="566">
        <v>1.0</v>
      </c>
      <c r="D315" s="613" t="str">
        <f>IFERROR(VLOOKUP(M315,'02. MM-KLH'!$B$6:$T$823,16,0),"")</f>
        <v>KAM50</v>
      </c>
      <c r="E315" s="561" t="s">
        <v>4158</v>
      </c>
      <c r="F315" s="613"/>
      <c r="G315" s="613"/>
      <c r="H315" s="613" t="str">
        <f>IFERROR(VLOOKUP(M315,'02. MM-KLH'!$B$6:$T$823,17,0),"")</f>
        <v>50HP</v>
      </c>
      <c r="I315" s="614">
        <f>IFERROR(VLOOKUP(M315,'02. MM-KLH'!$B$6:$U$823,20,0),"")</f>
        <v>2.5</v>
      </c>
      <c r="J315" s="612" t="str">
        <f>IFERROR(VLOOKUP(M315,'02. MM-KLH'!$B$6:$T$823,19,0),"")</f>
        <v>CCN</v>
      </c>
      <c r="K315" s="612" t="str">
        <f>IFERROR(VLOOKUP(M315,'02. MM-KLH'!$B$6:$T$823,18,0),"")</f>
        <v>TAMMT05AJC000044</v>
      </c>
      <c r="L315" s="613" t="str">
        <f>IFERROR(VLOOKUP(M315,'02. MM-KLH'!$B$6:$T$823,4,0),"")</f>
        <v/>
      </c>
      <c r="M315" s="488" t="s">
        <v>2551</v>
      </c>
      <c r="N315" s="615">
        <f>IFERROR(VLOOKUP(M315,'02. MM-KLH'!$B$6:$T$823,15,0),"")</f>
        <v>2012</v>
      </c>
      <c r="O315" s="616" t="str">
        <f>IFERROR(VLOOKUP(M315,'02. MM-KLH'!$B$6:$T$823,9,0),"")</f>
        <v/>
      </c>
      <c r="P315" s="613"/>
      <c r="Q315" s="566" t="s">
        <v>1565</v>
      </c>
      <c r="R315" s="566" t="s">
        <v>4158</v>
      </c>
      <c r="S315" s="613"/>
      <c r="T315" s="613"/>
      <c r="U315" s="559" t="str">
        <f>IFERROR(VLOOKUP(M315,'02. MM-KLH'!$B$6:$T$823,5,0),"")</f>
        <v>ĐQSD</v>
      </c>
      <c r="V315" s="523" t="str">
        <f>IFERROR(VLOOKUP(M315,'02. MM-KLH'!$B$6:$T$823,8,0),"")</f>
        <v>Xưởng Cơ khí DP</v>
      </c>
      <c r="W315" s="559" t="str">
        <f>IFERROR(VLOOKUP(V315,'NS QUẢN LÝ CG'!$A$4:$D$36,2,0),"")</f>
        <v/>
      </c>
      <c r="X315" s="559" t="str">
        <f>IFERROR(VLOOKUP(V315,'NS QUẢN LÝ CG'!$A$4:$D$36,4,0),"")</f>
        <v/>
      </c>
      <c r="Y315" s="559" t="str">
        <f>IFERROR(VLOOKUP(V315,'NS QUẢN LÝ CG'!$A$4:$C$36,3,0),"")</f>
        <v/>
      </c>
      <c r="Z315" s="523" t="str">
        <f>IFERROR(VLOOKUP(M315,'02. MM-KLH'!$B$6:$T$823,3,0),"")</f>
        <v>A22-MKE-031</v>
      </c>
      <c r="AA315" s="559" t="str">
        <f t="shared" si="22"/>
        <v>ADM</v>
      </c>
      <c r="AB315" s="523"/>
      <c r="AC315" s="523"/>
    </row>
    <row r="316">
      <c r="A316" s="523"/>
      <c r="B316" s="612" t="str">
        <f>IFERROR(VLOOKUP(M316,'02. MM-KLH'!$B$6:$T$823,6,0),"")</f>
        <v>Máy cày KAM50</v>
      </c>
      <c r="C316" s="566">
        <v>1.0</v>
      </c>
      <c r="D316" s="613" t="str">
        <f>IFERROR(VLOOKUP(M316,'02. MM-KLH'!$B$6:$T$823,16,0),"")</f>
        <v>KAM50</v>
      </c>
      <c r="E316" s="561" t="s">
        <v>4158</v>
      </c>
      <c r="F316" s="613"/>
      <c r="G316" s="613"/>
      <c r="H316" s="613" t="str">
        <f>IFERROR(VLOOKUP(M316,'02. MM-KLH'!$B$6:$T$823,17,0),"")</f>
        <v>50HP</v>
      </c>
      <c r="I316" s="614">
        <f>IFERROR(VLOOKUP(M316,'02. MM-KLH'!$B$6:$U$823,20,0),"")</f>
        <v>2.5</v>
      </c>
      <c r="J316" s="612" t="str">
        <f>IFERROR(VLOOKUP(M316,'02. MM-KLH'!$B$6:$T$823,19,0),"")</f>
        <v>CCN</v>
      </c>
      <c r="K316" s="612" t="str">
        <f>IFERROR(VLOOKUP(M316,'02. MM-KLH'!$B$6:$T$823,18,0),"")</f>
        <v>TAMMT05AJC000089</v>
      </c>
      <c r="L316" s="613" t="str">
        <f>IFERROR(VLOOKUP(M316,'02. MM-KLH'!$B$6:$T$823,4,0),"")</f>
        <v/>
      </c>
      <c r="M316" s="490" t="s">
        <v>2611</v>
      </c>
      <c r="N316" s="615">
        <f>IFERROR(VLOOKUP(M316,'02. MM-KLH'!$B$6:$T$823,15,0),"")</f>
        <v>2012</v>
      </c>
      <c r="O316" s="616" t="str">
        <f>IFERROR(VLOOKUP(M316,'02. MM-KLH'!$B$6:$T$823,9,0),"")</f>
        <v/>
      </c>
      <c r="P316" s="613"/>
      <c r="Q316" s="566" t="s">
        <v>1565</v>
      </c>
      <c r="R316" s="566" t="s">
        <v>4158</v>
      </c>
      <c r="S316" s="613"/>
      <c r="T316" s="613"/>
      <c r="U316" s="559" t="str">
        <f>IFERROR(VLOOKUP(M316,'02. MM-KLH'!$B$6:$T$823,5,0),"")</f>
        <v>ĐQSD</v>
      </c>
      <c r="V316" s="523" t="str">
        <f>IFERROR(VLOOKUP(M316,'02. MM-KLH'!$B$6:$T$823,8,0),"")</f>
        <v>Thagricons</v>
      </c>
      <c r="W316" s="559" t="str">
        <f>IFERROR(VLOOKUP(V316,'NS QUẢN LÝ CG'!$A$4:$D$36,2,0),"")</f>
        <v/>
      </c>
      <c r="X316" s="559" t="str">
        <f>IFERROR(VLOOKUP(V316,'NS QUẢN LÝ CG'!$A$4:$D$36,4,0),"")</f>
        <v/>
      </c>
      <c r="Y316" s="559" t="str">
        <f>IFERROR(VLOOKUP(V316,'NS QUẢN LÝ CG'!$A$4:$C$36,3,0),"")</f>
        <v/>
      </c>
      <c r="Z316" s="523" t="str">
        <f>IFERROR(VLOOKUP(M316,'02. MM-KLH'!$B$6:$T$823,3,0),"")</f>
        <v>A22-MKE-032</v>
      </c>
      <c r="AA316" s="559" t="str">
        <f t="shared" si="22"/>
        <v>ADM</v>
      </c>
      <c r="AB316" s="523"/>
      <c r="AC316" s="523"/>
    </row>
    <row r="317">
      <c r="A317" s="523"/>
      <c r="B317" s="612" t="str">
        <f>IFERROR(VLOOKUP(M317,'02. MM-KLH'!$B$6:$T$823,6,0),"")</f>
        <v/>
      </c>
      <c r="C317" s="566"/>
      <c r="D317" s="613" t="str">
        <f>IFERROR(VLOOKUP(M317,'02. MM-KLH'!$B$6:$T$823,16,0),"")</f>
        <v/>
      </c>
      <c r="E317" s="613"/>
      <c r="F317" s="613"/>
      <c r="G317" s="613"/>
      <c r="H317" s="613" t="str">
        <f>IFERROR(VLOOKUP(M317,'02. MM-KLH'!$B$6:$T$823,17,0),"")</f>
        <v/>
      </c>
      <c r="I317" s="614" t="str">
        <f>IFERROR(VLOOKUP(M317,'02. MM-KLH'!$B$6:$U$823,20,0),"")</f>
        <v/>
      </c>
      <c r="J317" s="612" t="str">
        <f>IFERROR(VLOOKUP(M317,'02. MM-KLH'!$B$6:$T$823,19,0),"")</f>
        <v/>
      </c>
      <c r="K317" s="612" t="str">
        <f>IFERROR(VLOOKUP(M317,'02. MM-KLH'!$B$6:$T$823,18,0),"")</f>
        <v/>
      </c>
      <c r="L317" s="613" t="str">
        <f>IFERROR(VLOOKUP(M317,'02. MM-KLH'!$B$6:$T$823,4,0),"")</f>
        <v/>
      </c>
      <c r="M317" s="488"/>
      <c r="N317" s="615" t="str">
        <f>IFERROR(VLOOKUP(M317,'02. MM-KLH'!$B$6:$T$823,15,0),"")</f>
        <v/>
      </c>
      <c r="O317" s="616" t="str">
        <f>IFERROR(VLOOKUP(M317,'02. MM-KLH'!$B$6:$T$823,9,0),"")</f>
        <v/>
      </c>
      <c r="P317" s="613"/>
      <c r="Q317" s="613"/>
      <c r="R317" s="613"/>
      <c r="S317" s="613"/>
      <c r="T317" s="613"/>
      <c r="U317" s="613" t="str">
        <f>IFERROR(VLOOKUP(M317,'02. MM-KLH'!$B$6:$T$823,2,0),"")</f>
        <v/>
      </c>
      <c r="V317" s="523" t="str">
        <f>IFERROR(VLOOKUP(M317,'02. MM-KLH'!$B$6:$T$823,8,0),"")</f>
        <v/>
      </c>
      <c r="W317" s="559" t="str">
        <f>IFERROR(VLOOKUP(V317,'NS QUẢN LÝ CG'!$A$4:$D$36,2,0),"")</f>
        <v/>
      </c>
      <c r="X317" s="559" t="str">
        <f>IFERROR(VLOOKUP(V317,'NS QUẢN LÝ CG'!$A$4:$D$36,4,0),"")</f>
        <v/>
      </c>
      <c r="Y317" s="613"/>
      <c r="Z317" s="523" t="str">
        <f>IFERROR(VLOOKUP(M317,'02. MM-KLH'!$B$6:$T$823,3,0),"")</f>
        <v/>
      </c>
      <c r="AA317" s="613"/>
      <c r="AB317" s="523"/>
      <c r="AC317" s="523"/>
    </row>
    <row r="318" hidden="1">
      <c r="A318" s="523"/>
      <c r="B318" s="612" t="str">
        <f>IFERROR(VLOOKUP(M318,'02. MM-KLH'!$B$6:$T$823,6,0),"")</f>
        <v/>
      </c>
      <c r="C318" s="566"/>
      <c r="D318" s="613" t="str">
        <f>IFERROR(VLOOKUP(M318,'02. MM-KLH'!$B$6:$T$823,16,0),"")</f>
        <v/>
      </c>
      <c r="E318" s="613"/>
      <c r="F318" s="613"/>
      <c r="G318" s="613"/>
      <c r="H318" s="613" t="str">
        <f>IFERROR(VLOOKUP(M318,'02. MM-KLH'!$B$6:$T$823,17,0),"")</f>
        <v/>
      </c>
      <c r="I318" s="614" t="str">
        <f>IFERROR(VLOOKUP(M318,'02. MM-KLH'!$B$6:$U$823,20,0),"")</f>
        <v/>
      </c>
      <c r="J318" s="612" t="str">
        <f>IFERROR(VLOOKUP(M318,'02. MM-KLH'!$B$6:$T$823,19,0),"")</f>
        <v/>
      </c>
      <c r="K318" s="612" t="str">
        <f>IFERROR(VLOOKUP(M318,'02. MM-KLH'!$B$6:$T$823,18,0),"")</f>
        <v/>
      </c>
      <c r="L318" s="613" t="str">
        <f>IFERROR(VLOOKUP(M318,'02. MM-KLH'!$B$6:$T$823,4,0),"")</f>
        <v/>
      </c>
      <c r="M318" s="488"/>
      <c r="N318" s="615" t="str">
        <f>IFERROR(VLOOKUP(M318,'02. MM-KLH'!$B$6:$T$823,15,0),"")</f>
        <v/>
      </c>
      <c r="O318" s="616" t="str">
        <f>IFERROR(VLOOKUP(M318,'02. MM-KLH'!$B$6:$T$823,9,0),"")</f>
        <v/>
      </c>
      <c r="P318" s="613"/>
      <c r="Q318" s="613"/>
      <c r="R318" s="613"/>
      <c r="S318" s="613"/>
      <c r="T318" s="613"/>
      <c r="U318" s="613" t="str">
        <f>IFERROR(VLOOKUP(M318,'02. MM-KLH'!$B$6:$T$823,2,0),"")</f>
        <v/>
      </c>
      <c r="V318" s="523" t="str">
        <f>IFERROR(VLOOKUP(M318,'02. MM-KLH'!$B$6:$T$823,8,0),"")</f>
        <v/>
      </c>
      <c r="W318" s="613"/>
      <c r="X318" s="613"/>
      <c r="Y318" s="613"/>
      <c r="Z318" s="523" t="str">
        <f>IFERROR(VLOOKUP(M318,'02. MM-KLH'!$B$6:$T$823,3,0),"")</f>
        <v/>
      </c>
      <c r="AA318" s="613"/>
      <c r="AB318" s="523"/>
      <c r="AC318" s="523"/>
    </row>
    <row r="319" hidden="1">
      <c r="A319" s="523"/>
      <c r="B319" s="612" t="str">
        <f>IFERROR(VLOOKUP(M319,'02. MM-KLH'!$B$6:$T$823,6,0),"")</f>
        <v/>
      </c>
      <c r="C319" s="566"/>
      <c r="D319" s="613" t="str">
        <f>IFERROR(VLOOKUP(M319,'02. MM-KLH'!$B$6:$T$823,16,0),"")</f>
        <v/>
      </c>
      <c r="E319" s="613"/>
      <c r="F319" s="613"/>
      <c r="G319" s="613"/>
      <c r="H319" s="613" t="str">
        <f>IFERROR(VLOOKUP(M319,'02. MM-KLH'!$B$6:$T$823,17,0),"")</f>
        <v/>
      </c>
      <c r="I319" s="614" t="str">
        <f>IFERROR(VLOOKUP(M319,'02. MM-KLH'!$B$6:$U$823,20,0),"")</f>
        <v/>
      </c>
      <c r="J319" s="612" t="str">
        <f>IFERROR(VLOOKUP(M319,'02. MM-KLH'!$B$6:$T$823,19,0),"")</f>
        <v/>
      </c>
      <c r="K319" s="612" t="str">
        <f>IFERROR(VLOOKUP(M319,'02. MM-KLH'!$B$6:$T$823,18,0),"")</f>
        <v/>
      </c>
      <c r="L319" s="613" t="str">
        <f>IFERROR(VLOOKUP(M319,'02. MM-KLH'!$B$6:$T$823,4,0),"")</f>
        <v/>
      </c>
      <c r="M319" s="488"/>
      <c r="N319" s="615" t="str">
        <f>IFERROR(VLOOKUP(M319,'02. MM-KLH'!$B$6:$T$823,15,0),"")</f>
        <v/>
      </c>
      <c r="O319" s="616" t="str">
        <f>IFERROR(VLOOKUP(M319,'02. MM-KLH'!$B$6:$T$823,9,0),"")</f>
        <v/>
      </c>
      <c r="P319" s="613"/>
      <c r="Q319" s="613"/>
      <c r="R319" s="613"/>
      <c r="S319" s="613"/>
      <c r="T319" s="613"/>
      <c r="U319" s="613" t="str">
        <f>IFERROR(VLOOKUP(M319,'02. MM-KLH'!$B$6:$T$823,2,0),"")</f>
        <v/>
      </c>
      <c r="V319" s="523" t="str">
        <f>IFERROR(VLOOKUP(M319,'02. MM-KLH'!$B$6:$T$823,8,0),"")</f>
        <v/>
      </c>
      <c r="W319" s="613"/>
      <c r="X319" s="613"/>
      <c r="Y319" s="613"/>
      <c r="Z319" s="523" t="str">
        <f>IFERROR(VLOOKUP(M319,'02. MM-KLH'!$B$6:$T$823,3,0),"")</f>
        <v/>
      </c>
      <c r="AA319" s="613"/>
      <c r="AB319" s="523"/>
      <c r="AC319" s="523"/>
    </row>
    <row r="320">
      <c r="A320" s="695">
        <v>4.0</v>
      </c>
      <c r="B320" s="696" t="s">
        <v>837</v>
      </c>
      <c r="C320" s="697">
        <f>COUNTA(B321:B323)</f>
        <v>1</v>
      </c>
      <c r="D320" s="698"/>
      <c r="E320" s="698"/>
      <c r="F320" s="698"/>
      <c r="G320" s="698"/>
      <c r="H320" s="558"/>
      <c r="I320" s="558"/>
      <c r="J320" s="699"/>
      <c r="K320" s="699"/>
      <c r="L320" s="698"/>
      <c r="M320" s="700"/>
      <c r="N320" s="698"/>
      <c r="O320" s="701"/>
      <c r="P320" s="698"/>
      <c r="Q320" s="698"/>
      <c r="R320" s="698"/>
      <c r="S320" s="698"/>
      <c r="T320" s="698"/>
      <c r="U320" s="698"/>
      <c r="V320" s="558"/>
      <c r="W320" s="698"/>
      <c r="X320" s="698"/>
      <c r="Y320" s="698"/>
      <c r="Z320" s="558"/>
      <c r="AA320" s="698"/>
      <c r="AB320" s="558"/>
      <c r="AC320" s="558"/>
    </row>
    <row r="321">
      <c r="A321" s="523"/>
      <c r="B321" s="612" t="str">
        <f>IFERROR(VLOOKUP(M321,'02. MM-KLH'!$B$6:$T$823,6,0),"")</f>
        <v>Máy cày NH TD157</v>
      </c>
      <c r="C321" s="566">
        <v>1.0</v>
      </c>
      <c r="D321" s="613" t="str">
        <f>IFERROR(VLOOKUP(M321,'02. MM-KLH'!$B$6:$T$823,16,0),"")</f>
        <v>TD157</v>
      </c>
      <c r="E321" s="561" t="s">
        <v>4158</v>
      </c>
      <c r="F321" s="613"/>
      <c r="G321" s="613"/>
      <c r="H321" s="613" t="str">
        <f>IFERROR(VLOOKUP(M321,'02. MM-KLH'!$B$6:$T$823,17,0),"")</f>
        <v>150HP</v>
      </c>
      <c r="I321" s="614">
        <f>IFERROR(VLOOKUP(M321,'02. MM-KLH'!$B$6:$U$823,20,0),"")</f>
        <v>11</v>
      </c>
      <c r="J321" s="612" t="str">
        <f>IFERROR(VLOOKUP(M321,'02. MM-KLH'!$B$6:$T$823,19,0),"")</f>
        <v>CCN</v>
      </c>
      <c r="K321" s="612">
        <f>IFERROR(VLOOKUP(M321,'02. MM-KLH'!$B$6:$T$823,18,0),"")</f>
        <v>73737</v>
      </c>
      <c r="L321" s="613" t="str">
        <f>IFERROR(VLOOKUP(M321,'02. MM-KLH'!$B$6:$T$823,4,0),"")</f>
        <v/>
      </c>
      <c r="M321" s="488" t="s">
        <v>833</v>
      </c>
      <c r="N321" s="615">
        <f>IFERROR(VLOOKUP(M321,'02. MM-KLH'!$B$6:$T$823,15,0),"")</f>
        <v>2018</v>
      </c>
      <c r="O321" s="616" t="str">
        <f>IFERROR(VLOOKUP(M321,'02. MM-KLH'!$B$6:$T$823,9,0),"")</f>
        <v/>
      </c>
      <c r="P321" s="613"/>
      <c r="Q321" s="566" t="s">
        <v>1565</v>
      </c>
      <c r="R321" s="613"/>
      <c r="S321" s="613"/>
      <c r="T321" s="566" t="s">
        <v>4158</v>
      </c>
      <c r="U321" s="559" t="str">
        <f>IFERROR(VLOOKUP(M321,'02. MM-KLH'!$B$6:$T$823,5,0),"")</f>
        <v>ĐQSD</v>
      </c>
      <c r="V321" s="523" t="str">
        <f>IFERROR(VLOOKUP(M321,'02. MM-KLH'!$B$6:$T$823,8,0),"")</f>
        <v>XN Bò AD</v>
      </c>
      <c r="W321" s="559" t="str">
        <f>IFERROR(VLOOKUP(V321,'NS QUẢN LÝ CG'!$A$4:$D$36,2,0),"")</f>
        <v>Trần Văn Nam</v>
      </c>
      <c r="X321" s="559" t="str">
        <f>IFERROR(VLOOKUP(V321,'NS QUẢN LÝ CG'!$A$4:$D$36,4,0),"")</f>
        <v>Lô 28 XN Bò</v>
      </c>
      <c r="Y321" s="559" t="str">
        <f>IFERROR(VLOOKUP(V321,'NS QUẢN LÝ CG'!$A$4:$C$36,3,0),"")</f>
        <v>0971993540</v>
      </c>
      <c r="Z321" s="523" t="str">
        <f>IFERROR(VLOOKUP(M321,'02. MM-KLH'!$B$6:$T$823,3,0),"")</f>
        <v>ATT-A23-0017</v>
      </c>
      <c r="AA321" s="561" t="s">
        <v>4312</v>
      </c>
      <c r="AB321" s="523"/>
      <c r="AC321" s="523"/>
    </row>
    <row r="322">
      <c r="A322" s="523"/>
      <c r="B322" s="612" t="str">
        <f>IFERROR(VLOOKUP(M322,'02. MM-KLH'!$B$6:$T$823,6,0),"")</f>
        <v/>
      </c>
      <c r="C322" s="566"/>
      <c r="D322" s="613" t="str">
        <f>IFERROR(VLOOKUP(M322,'02. MM-KLH'!$B$6:$T$823,16,0),"")</f>
        <v/>
      </c>
      <c r="E322" s="613"/>
      <c r="F322" s="613"/>
      <c r="G322" s="613"/>
      <c r="H322" s="613" t="str">
        <f>IFERROR(VLOOKUP(M322,'02. MM-KLH'!$B$6:$T$823,17,0),"")</f>
        <v/>
      </c>
      <c r="I322" s="614" t="str">
        <f>IFERROR(VLOOKUP(M322,'02. MM-KLH'!$B$6:$U$823,20,0),"")</f>
        <v/>
      </c>
      <c r="J322" s="612" t="str">
        <f>IFERROR(VLOOKUP(M322,'02. MM-KLH'!$B$6:$T$823,19,0),"")</f>
        <v/>
      </c>
      <c r="K322" s="612" t="str">
        <f>IFERROR(VLOOKUP(M322,'02. MM-KLH'!$B$6:$T$823,18,0),"")</f>
        <v/>
      </c>
      <c r="L322" s="613" t="str">
        <f>IFERROR(VLOOKUP(M322,'02. MM-KLH'!$B$6:$T$823,4,0),"")</f>
        <v/>
      </c>
      <c r="M322" s="488"/>
      <c r="N322" s="615" t="str">
        <f>IFERROR(VLOOKUP(M322,'02. MM-KLH'!$B$6:$T$823,15,0),"")</f>
        <v/>
      </c>
      <c r="O322" s="616" t="str">
        <f>IFERROR(VLOOKUP(M322,'02. MM-KLH'!$B$6:$T$823,9,0),"")</f>
        <v/>
      </c>
      <c r="P322" s="613"/>
      <c r="Q322" s="613"/>
      <c r="R322" s="613"/>
      <c r="S322" s="613"/>
      <c r="T322" s="613"/>
      <c r="U322" s="613" t="str">
        <f>IFERROR(VLOOKUP(M322,'02. MM-KLH'!$B$6:$T$823,2,0),"")</f>
        <v/>
      </c>
      <c r="V322" s="523" t="str">
        <f>IFERROR(VLOOKUP(M322,'02. MM-KLH'!$B$6:$T$823,8,0),"")</f>
        <v/>
      </c>
      <c r="W322" s="559" t="str">
        <f>IFERROR(VLOOKUP(V322,'NS QUẢN LÝ CG'!$A$4:$D$36,2,0),"")</f>
        <v/>
      </c>
      <c r="X322" s="559" t="str">
        <f>IFERROR(VLOOKUP(V322,'NS QUẢN LÝ CG'!$A$4:$D$36,4,0),"")</f>
        <v/>
      </c>
      <c r="Y322" s="613"/>
      <c r="Z322" s="523" t="str">
        <f>IFERROR(VLOOKUP(M322,'02. MM-KLH'!$B$6:$T$823,3,0),"")</f>
        <v/>
      </c>
      <c r="AA322" s="613"/>
      <c r="AB322" s="523"/>
      <c r="AC322" s="523"/>
    </row>
    <row r="323" hidden="1">
      <c r="A323" s="523"/>
      <c r="B323" s="612" t="str">
        <f>IFERROR(VLOOKUP(M323,'02. MM-KLH'!$B$6:$T$823,6,0),"")</f>
        <v/>
      </c>
      <c r="C323" s="566"/>
      <c r="D323" s="613" t="str">
        <f>IFERROR(VLOOKUP(M323,'02. MM-KLH'!$B$6:$T$823,16,0),"")</f>
        <v/>
      </c>
      <c r="E323" s="613"/>
      <c r="F323" s="613"/>
      <c r="G323" s="613"/>
      <c r="H323" s="613" t="str">
        <f>IFERROR(VLOOKUP(M323,'02. MM-KLH'!$B$6:$T$823,17,0),"")</f>
        <v/>
      </c>
      <c r="I323" s="614" t="str">
        <f>IFERROR(VLOOKUP(M323,'02. MM-KLH'!$B$6:$U$823,20,0),"")</f>
        <v/>
      </c>
      <c r="J323" s="612" t="str">
        <f>IFERROR(VLOOKUP(M323,'02. MM-KLH'!$B$6:$T$823,19,0),"")</f>
        <v/>
      </c>
      <c r="K323" s="612" t="str">
        <f>IFERROR(VLOOKUP(M323,'02. MM-KLH'!$B$6:$T$823,18,0),"")</f>
        <v/>
      </c>
      <c r="L323" s="613" t="str">
        <f>IFERROR(VLOOKUP(M323,'02. MM-KLH'!$B$6:$T$823,4,0),"")</f>
        <v/>
      </c>
      <c r="M323" s="488"/>
      <c r="N323" s="615" t="str">
        <f>IFERROR(VLOOKUP(M323,'02. MM-KLH'!$B$6:$T$823,15,0),"")</f>
        <v/>
      </c>
      <c r="O323" s="616" t="str">
        <f>IFERROR(VLOOKUP(M323,'02. MM-KLH'!$B$6:$T$823,9,0),"")</f>
        <v/>
      </c>
      <c r="P323" s="613"/>
      <c r="Q323" s="613"/>
      <c r="R323" s="613"/>
      <c r="S323" s="613"/>
      <c r="T323" s="613"/>
      <c r="U323" s="613" t="str">
        <f>IFERROR(VLOOKUP(M323,'02. MM-KLH'!$B$6:$T$823,2,0),"")</f>
        <v/>
      </c>
      <c r="V323" s="523" t="str">
        <f>IFERROR(VLOOKUP(M323,'02. MM-KLH'!$B$6:$T$823,8,0),"")</f>
        <v/>
      </c>
      <c r="W323" s="613"/>
      <c r="X323" s="613"/>
      <c r="Y323" s="613"/>
      <c r="Z323" s="523" t="str">
        <f>IFERROR(VLOOKUP(M323,'02. MM-KLH'!$B$6:$T$823,3,0),"")</f>
        <v/>
      </c>
      <c r="AA323" s="613"/>
      <c r="AB323" s="523"/>
      <c r="AC323" s="523"/>
    </row>
    <row r="324">
      <c r="A324" s="695">
        <v>5.0</v>
      </c>
      <c r="B324" s="696" t="s">
        <v>5903</v>
      </c>
      <c r="C324" s="697">
        <f>COUNTA(B325:B327)</f>
        <v>1</v>
      </c>
      <c r="D324" s="698"/>
      <c r="E324" s="698"/>
      <c r="F324" s="698"/>
      <c r="G324" s="698"/>
      <c r="H324" s="558"/>
      <c r="I324" s="558"/>
      <c r="J324" s="699"/>
      <c r="K324" s="699"/>
      <c r="L324" s="698"/>
      <c r="M324" s="700"/>
      <c r="N324" s="698"/>
      <c r="O324" s="701"/>
      <c r="P324" s="698"/>
      <c r="Q324" s="698"/>
      <c r="R324" s="698"/>
      <c r="S324" s="698"/>
      <c r="T324" s="698"/>
      <c r="U324" s="698"/>
      <c r="V324" s="558"/>
      <c r="W324" s="698"/>
      <c r="X324" s="698"/>
      <c r="Y324" s="698"/>
      <c r="Z324" s="558"/>
      <c r="AA324" s="698"/>
      <c r="AB324" s="558"/>
      <c r="AC324" s="558"/>
    </row>
    <row r="325">
      <c r="A325" s="523"/>
      <c r="B325" s="612" t="str">
        <f>IFERROR(VLOOKUP(M325,'02. MM-KLH'!$B$6:$T$823,6,0),"")</f>
        <v>Máy cày SHIBAURA</v>
      </c>
      <c r="C325" s="566">
        <v>1.0</v>
      </c>
      <c r="D325" s="613" t="str">
        <f>IFERROR(VLOOKUP(M325,'02. MM-KLH'!$B$6:$T$823,16,0),"")</f>
        <v/>
      </c>
      <c r="E325" s="561" t="s">
        <v>4158</v>
      </c>
      <c r="F325" s="613"/>
      <c r="G325" s="613"/>
      <c r="H325" s="613" t="str">
        <f>IFERROR(VLOOKUP(M325,'02. MM-KLH'!$B$6:$T$823,17,0),"")</f>
        <v>20HP</v>
      </c>
      <c r="I325" s="614" t="str">
        <f>IFERROR(VLOOKUP(M325,'02. MM-KLH'!$B$6:$U$823,20,0),"")</f>
        <v/>
      </c>
      <c r="J325" s="612" t="str">
        <f>IFERROR(VLOOKUP(M325,'02. MM-KLH'!$B$6:$T$823,19,0),"")</f>
        <v>CCN</v>
      </c>
      <c r="K325" s="612" t="str">
        <f>IFERROR(VLOOKUP(M325,'02. MM-KLH'!$B$6:$T$823,18,0),"")</f>
        <v>10434T</v>
      </c>
      <c r="L325" s="613" t="str">
        <f>IFERROR(VLOOKUP(M325,'02. MM-KLH'!$B$6:$T$823,4,0),"")</f>
        <v/>
      </c>
      <c r="M325" s="490" t="s">
        <v>2606</v>
      </c>
      <c r="N325" s="615" t="str">
        <f>IFERROR(VLOOKUP(M325,'02. MM-KLH'!$B$6:$T$823,15,0),"")</f>
        <v/>
      </c>
      <c r="O325" s="616" t="str">
        <f>IFERROR(VLOOKUP(M325,'02. MM-KLH'!$B$6:$T$823,9,0),"")</f>
        <v/>
      </c>
      <c r="P325" s="613"/>
      <c r="Q325" s="566" t="s">
        <v>1565</v>
      </c>
      <c r="R325" s="613"/>
      <c r="S325" s="613"/>
      <c r="T325" s="566" t="s">
        <v>4158</v>
      </c>
      <c r="U325" s="559" t="str">
        <f>IFERROR(VLOOKUP(M325,'02. MM-KLH'!$B$6:$T$823,5,0),"")</f>
        <v>ĐQSD</v>
      </c>
      <c r="V325" s="523" t="str">
        <f>IFERROR(VLOOKUP(M325,'02. MM-KLH'!$B$6:$T$823,8,0),"")</f>
        <v>Thagricons</v>
      </c>
      <c r="W325" s="559" t="str">
        <f>IFERROR(VLOOKUP(V325,'NS QUẢN LÝ CG'!$A$4:$D$36,2,0),"")</f>
        <v/>
      </c>
      <c r="X325" s="559" t="str">
        <f>IFERROR(VLOOKUP(V325,'NS QUẢN LÝ CG'!$A$4:$D$36,4,0),"")</f>
        <v/>
      </c>
      <c r="Y325" s="559" t="str">
        <f>IFERROR(VLOOKUP(V325,'NS QUẢN LÝ CG'!$A$4:$C$36,3,0),"")</f>
        <v/>
      </c>
      <c r="Z325" s="523" t="str">
        <f>IFERROR(VLOOKUP(M325,'02. MM-KLH'!$B$6:$T$823,3,0),"")</f>
        <v>A22-MKE-030</v>
      </c>
      <c r="AA325" s="559" t="str">
        <f>SWITCH(LEFT(Z325,3),"A22","ADM","A23","DP","A24","LP","")</f>
        <v>ADM</v>
      </c>
      <c r="AB325" s="523"/>
      <c r="AC325" s="523"/>
    </row>
    <row r="326">
      <c r="A326" s="523"/>
      <c r="B326" s="612" t="str">
        <f>IFERROR(VLOOKUP(M326,'02. MM-KLH'!$B$6:$T$823,6,0),"")</f>
        <v/>
      </c>
      <c r="C326" s="566"/>
      <c r="D326" s="613" t="str">
        <f>IFERROR(VLOOKUP(M326,'02. MM-KLH'!$B$6:$T$823,16,0),"")</f>
        <v/>
      </c>
      <c r="E326" s="613"/>
      <c r="F326" s="613"/>
      <c r="G326" s="613"/>
      <c r="H326" s="613" t="str">
        <f>IFERROR(VLOOKUP(M326,'02. MM-KLH'!$B$6:$T$823,17,0),"")</f>
        <v/>
      </c>
      <c r="I326" s="614" t="str">
        <f>IFERROR(VLOOKUP(M326,'02. MM-KLH'!$B$6:$U$823,20,0),"")</f>
        <v/>
      </c>
      <c r="J326" s="612" t="str">
        <f>IFERROR(VLOOKUP(M326,'02. MM-KLH'!$B$6:$T$823,19,0),"")</f>
        <v/>
      </c>
      <c r="K326" s="612" t="str">
        <f>IFERROR(VLOOKUP(M326,'02. MM-KLH'!$B$6:$T$823,18,0),"")</f>
        <v/>
      </c>
      <c r="L326" s="613" t="str">
        <f>IFERROR(VLOOKUP(M326,'02. MM-KLH'!$B$6:$T$823,4,0),"")</f>
        <v/>
      </c>
      <c r="M326" s="488"/>
      <c r="N326" s="615" t="str">
        <f>IFERROR(VLOOKUP(M326,'02. MM-KLH'!$B$6:$T$823,15,0),"")</f>
        <v/>
      </c>
      <c r="O326" s="616" t="str">
        <f>IFERROR(VLOOKUP(M326,'02. MM-KLH'!$B$6:$T$823,9,0),"")</f>
        <v/>
      </c>
      <c r="P326" s="613"/>
      <c r="Q326" s="613"/>
      <c r="R326" s="613"/>
      <c r="S326" s="613"/>
      <c r="T326" s="613"/>
      <c r="U326" s="613" t="str">
        <f>IFERROR(VLOOKUP(M326,'02. MM-KLH'!$B$6:$T$823,2,0),"")</f>
        <v/>
      </c>
      <c r="V326" s="523" t="str">
        <f>IFERROR(VLOOKUP(M326,'02. MM-KLH'!$B$6:$T$823,8,0),"")</f>
        <v/>
      </c>
      <c r="W326" s="559" t="str">
        <f>IFERROR(VLOOKUP(V326,'NS QUẢN LÝ CG'!$A$4:$D$36,2,0),"")</f>
        <v/>
      </c>
      <c r="X326" s="559" t="str">
        <f>IFERROR(VLOOKUP(V326,'NS QUẢN LÝ CG'!$A$4:$D$36,4,0),"")</f>
        <v/>
      </c>
      <c r="Y326" s="613"/>
      <c r="Z326" s="523" t="str">
        <f>IFERROR(VLOOKUP(M326,'02. MM-KLH'!$B$6:$T$823,3,0),"")</f>
        <v/>
      </c>
      <c r="AA326" s="613"/>
      <c r="AB326" s="523"/>
      <c r="AC326" s="523"/>
    </row>
    <row r="327" hidden="1">
      <c r="A327" s="523"/>
      <c r="B327" s="612" t="str">
        <f>IFERROR(VLOOKUP(M327,'02. MM-KLH'!$B$6:$T$823,6,0),"")</f>
        <v/>
      </c>
      <c r="C327" s="566"/>
      <c r="D327" s="613" t="str">
        <f>IFERROR(VLOOKUP(M327,'02. MM-KLH'!$B$6:$T$823,16,0),"")</f>
        <v/>
      </c>
      <c r="E327" s="613"/>
      <c r="F327" s="613"/>
      <c r="G327" s="613"/>
      <c r="H327" s="613" t="str">
        <f>IFERROR(VLOOKUP(M327,'02. MM-KLH'!$B$6:$T$823,17,0),"")</f>
        <v/>
      </c>
      <c r="I327" s="614" t="str">
        <f>IFERROR(VLOOKUP(M327,'02. MM-KLH'!$B$6:$U$823,20,0),"")</f>
        <v/>
      </c>
      <c r="J327" s="612" t="str">
        <f>IFERROR(VLOOKUP(M327,'02. MM-KLH'!$B$6:$T$823,19,0),"")</f>
        <v/>
      </c>
      <c r="K327" s="612" t="str">
        <f>IFERROR(VLOOKUP(M327,'02. MM-KLH'!$B$6:$T$823,18,0),"")</f>
        <v/>
      </c>
      <c r="L327" s="613" t="str">
        <f>IFERROR(VLOOKUP(M327,'02. MM-KLH'!$B$6:$T$823,4,0),"")</f>
        <v/>
      </c>
      <c r="M327" s="488"/>
      <c r="N327" s="615" t="str">
        <f>IFERROR(VLOOKUP(M327,'02. MM-KLH'!$B$6:$T$823,15,0),"")</f>
        <v/>
      </c>
      <c r="O327" s="616" t="str">
        <f>IFERROR(VLOOKUP(M327,'02. MM-KLH'!$B$6:$T$823,9,0),"")</f>
        <v/>
      </c>
      <c r="P327" s="613"/>
      <c r="Q327" s="613"/>
      <c r="R327" s="613"/>
      <c r="S327" s="613"/>
      <c r="T327" s="613"/>
      <c r="U327" s="613" t="str">
        <f>IFERROR(VLOOKUP(M327,'02. MM-KLH'!$B$6:$T$823,2,0),"")</f>
        <v/>
      </c>
      <c r="V327" s="523" t="str">
        <f>IFERROR(VLOOKUP(M327,'02. MM-KLH'!$B$6:$T$823,8,0),"")</f>
        <v/>
      </c>
      <c r="W327" s="613"/>
      <c r="X327" s="613"/>
      <c r="Y327" s="613"/>
      <c r="Z327" s="523" t="str">
        <f>IFERROR(VLOOKUP(M327,'02. MM-KLH'!$B$6:$T$823,3,0),"")</f>
        <v/>
      </c>
      <c r="AA327" s="613"/>
      <c r="AB327" s="523"/>
      <c r="AC327" s="523"/>
    </row>
    <row r="328">
      <c r="A328" s="542" t="s">
        <v>2947</v>
      </c>
      <c r="B328" s="543" t="s">
        <v>5905</v>
      </c>
      <c r="C328" s="544">
        <f>SUM(C329,C335,C339,C343,C346,C350)</f>
        <v>11</v>
      </c>
      <c r="D328" s="545"/>
      <c r="E328" s="545"/>
      <c r="F328" s="545"/>
      <c r="G328" s="545"/>
      <c r="H328" s="545"/>
      <c r="I328" s="546"/>
      <c r="J328" s="547"/>
      <c r="K328" s="547"/>
      <c r="L328" s="545"/>
      <c r="M328" s="545"/>
      <c r="N328" s="545"/>
      <c r="O328" s="548"/>
      <c r="P328" s="545"/>
      <c r="Q328" s="545"/>
      <c r="R328" s="545"/>
      <c r="S328" s="545"/>
      <c r="T328" s="545"/>
      <c r="U328" s="545"/>
      <c r="V328" s="546"/>
      <c r="W328" s="545"/>
      <c r="X328" s="545"/>
      <c r="Y328" s="545"/>
      <c r="Z328" s="546"/>
      <c r="AA328" s="545"/>
      <c r="AB328" s="546"/>
      <c r="AC328" s="549"/>
    </row>
    <row r="329">
      <c r="A329" s="695">
        <v>1.0</v>
      </c>
      <c r="B329" s="696" t="s">
        <v>673</v>
      </c>
      <c r="C329" s="697">
        <f>COUNTA(B330:B334)</f>
        <v>4</v>
      </c>
      <c r="D329" s="698"/>
      <c r="E329" s="698"/>
      <c r="F329" s="698"/>
      <c r="G329" s="698"/>
      <c r="H329" s="558"/>
      <c r="I329" s="558"/>
      <c r="J329" s="699"/>
      <c r="K329" s="699"/>
      <c r="L329" s="698"/>
      <c r="M329" s="700"/>
      <c r="N329" s="698"/>
      <c r="O329" s="701"/>
      <c r="P329" s="698"/>
      <c r="Q329" s="698"/>
      <c r="R329" s="698"/>
      <c r="S329" s="698"/>
      <c r="T329" s="698"/>
      <c r="U329" s="698"/>
      <c r="V329" s="558"/>
      <c r="W329" s="698"/>
      <c r="X329" s="698"/>
      <c r="Y329" s="698"/>
      <c r="Z329" s="558"/>
      <c r="AA329" s="698"/>
      <c r="AB329" s="558"/>
      <c r="AC329" s="558"/>
    </row>
    <row r="330">
      <c r="A330" s="523"/>
      <c r="B330" s="612" t="str">
        <f>IFERROR(VLOOKUP(M330,'02. MM-KLH'!$B$6:$T$823,6,0),"")</f>
        <v>Máy cày bánh xích YANMAR</v>
      </c>
      <c r="C330" s="566">
        <v>1.0</v>
      </c>
      <c r="D330" s="613" t="str">
        <f>IFERROR(VLOOKUP(M330,'02. MM-KLH'!$B$6:$T$823,16,0),"")</f>
        <v>CT95</v>
      </c>
      <c r="E330" s="561" t="s">
        <v>4158</v>
      </c>
      <c r="F330" s="613"/>
      <c r="G330" s="613"/>
      <c r="H330" s="613" t="str">
        <f>IFERROR(VLOOKUP(M330,'02. MM-KLH'!$B$6:$T$823,17,0),"")</f>
        <v>95HP</v>
      </c>
      <c r="I330" s="614" t="str">
        <f>IFERROR(VLOOKUP(M330,'02. MM-KLH'!$B$6:$U$823,20,0),"")</f>
        <v/>
      </c>
      <c r="J330" s="612" t="str">
        <f>IFERROR(VLOOKUP(M330,'02. MM-KLH'!$B$6:$T$823,19,0),"")</f>
        <v>CCN</v>
      </c>
      <c r="K330" s="612">
        <f>IFERROR(VLOOKUP(M330,'02. MM-KLH'!$B$6:$T$823,18,0),"")</f>
        <v>50478</v>
      </c>
      <c r="L330" s="613" t="str">
        <f>IFERROR(VLOOKUP(M330,'02. MM-KLH'!$B$6:$T$823,4,0),"")</f>
        <v/>
      </c>
      <c r="M330" s="488" t="s">
        <v>1693</v>
      </c>
      <c r="N330" s="615" t="str">
        <f>IFERROR(VLOOKUP(M330,'02. MM-KLH'!$B$6:$T$823,15,0),"")</f>
        <v/>
      </c>
      <c r="O330" s="616" t="str">
        <f>IFERROR(VLOOKUP(M330,'02. MM-KLH'!$B$6:$T$823,9,0),"")</f>
        <v>22/07/2024</v>
      </c>
      <c r="P330" s="613"/>
      <c r="Q330" s="566" t="s">
        <v>1565</v>
      </c>
      <c r="R330" s="566" t="s">
        <v>4158</v>
      </c>
      <c r="S330" s="613"/>
      <c r="T330" s="613"/>
      <c r="U330" s="559" t="str">
        <f>IFERROR(VLOOKUP(M330,'02. MM-KLH'!$B$6:$T$823,5,0),"")</f>
        <v>MỚI (ĐQSD)</v>
      </c>
      <c r="V330" s="523" t="str">
        <f>IFERROR(VLOOKUP(M330,'02. MM-KLH'!$B$6:$T$823,8,0),"")</f>
        <v>XN Bò AD</v>
      </c>
      <c r="W330" s="559" t="str">
        <f>IFERROR(VLOOKUP(V330,'NS QUẢN LÝ CG'!$A$4:$D$36,2,0),"")</f>
        <v>Trần Văn Nam</v>
      </c>
      <c r="X330" s="559" t="str">
        <f>IFERROR(VLOOKUP(V330,'NS QUẢN LÝ CG'!$A$4:$D$36,4,0),"")</f>
        <v>Lô 28 XN Bò</v>
      </c>
      <c r="Y330" s="559" t="str">
        <f>IFERROR(VLOOKUP(V330,'NS QUẢN LÝ CG'!$A$4:$C$36,3,0),"")</f>
        <v>0971993540</v>
      </c>
      <c r="Z330" s="523" t="str">
        <f>IFERROR(VLOOKUP(M330,'02. MM-KLH'!$B$6:$T$823,3,0),"")</f>
        <v>ATM-A22-0129</v>
      </c>
      <c r="AA330" s="561" t="s">
        <v>4462</v>
      </c>
      <c r="AB330" s="523"/>
      <c r="AC330" s="523"/>
    </row>
    <row r="331">
      <c r="A331" s="523"/>
      <c r="B331" s="612" t="str">
        <f>IFERROR(VLOOKUP(M331,'02. MM-KLH'!$B$6:$T$823,6,0),"")</f>
        <v>Máy kéo bánh xích CT652</v>
      </c>
      <c r="C331" s="566">
        <v>1.0</v>
      </c>
      <c r="D331" s="613" t="str">
        <f>IFERROR(VLOOKUP(M331,'02. MM-KLH'!$B$6:$T$823,16,0),"")</f>
        <v>CT652</v>
      </c>
      <c r="E331" s="561" t="s">
        <v>4158</v>
      </c>
      <c r="F331" s="613"/>
      <c r="G331" s="613"/>
      <c r="H331" s="613" t="str">
        <f>IFERROR(VLOOKUP(M331,'02. MM-KLH'!$B$6:$T$823,17,0),"")</f>
        <v>65HP</v>
      </c>
      <c r="I331" s="614" t="str">
        <f>IFERROR(VLOOKUP(M331,'02. MM-KLH'!$B$6:$U$823,20,0),"")</f>
        <v/>
      </c>
      <c r="J331" s="612" t="str">
        <f>IFERROR(VLOOKUP(M331,'02. MM-KLH'!$B$6:$T$823,19,0),"")</f>
        <v>R2091</v>
      </c>
      <c r="K331" s="612">
        <f>IFERROR(VLOOKUP(M331,'02. MM-KLH'!$B$6:$T$823,18,0),"")</f>
        <v>50349</v>
      </c>
      <c r="L331" s="613" t="str">
        <f>IFERROR(VLOOKUP(M331,'02. MM-KLH'!$B$6:$T$823,4,0),"")</f>
        <v/>
      </c>
      <c r="M331" s="488" t="s">
        <v>1636</v>
      </c>
      <c r="N331" s="615" t="str">
        <f>IFERROR(VLOOKUP(M331,'02. MM-KLH'!$B$6:$T$823,15,0),"")</f>
        <v/>
      </c>
      <c r="O331" s="616" t="str">
        <f>IFERROR(VLOOKUP(M331,'02. MM-KLH'!$B$6:$T$823,9,0),"")</f>
        <v>29/05/2026</v>
      </c>
      <c r="P331" s="613"/>
      <c r="Q331" s="566" t="s">
        <v>1565</v>
      </c>
      <c r="R331" s="566" t="s">
        <v>4158</v>
      </c>
      <c r="S331" s="613"/>
      <c r="T331" s="613"/>
      <c r="U331" s="559" t="str">
        <f>IFERROR(VLOOKUP(M331,'02. MM-KLH'!$B$6:$T$823,5,0),"")</f>
        <v>MỚI (ĐQSD)</v>
      </c>
      <c r="V331" s="523" t="str">
        <f>IFERROR(VLOOKUP(M331,'02. MM-KLH'!$B$6:$T$823,8,0),"")</f>
        <v>XOÀI AD</v>
      </c>
      <c r="W331" s="559" t="str">
        <f>IFERROR(VLOOKUP(V331,'NS QUẢN LÝ CG'!$A$4:$D$36,2,0),"")</f>
        <v>Huỳnh Đông Giang</v>
      </c>
      <c r="X331" s="559" t="str">
        <f>IFERROR(VLOOKUP(V331,'NS QUẢN LÝ CG'!$A$4:$D$36,4,0),"")</f>
        <v>Lô 132 XN AD</v>
      </c>
      <c r="Y331" s="559" t="str">
        <f>IFERROR(VLOOKUP(V331,'NS QUẢN LÝ CG'!$A$4:$C$36,3,0),"")</f>
        <v>0972283372</v>
      </c>
      <c r="Z331" s="523" t="str">
        <f>IFERROR(VLOOKUP(M331,'02. MM-KLH'!$B$6:$T$823,3,0),"")</f>
        <v>A22-MKX-007</v>
      </c>
      <c r="AA331" s="559" t="str">
        <f t="shared" ref="AA331:AA333" si="23">SWITCH(LEFT(Z331,3),"A22","ADM","A23","DP","A24","LP","")</f>
        <v>ADM</v>
      </c>
      <c r="AB331" s="523"/>
      <c r="AC331" s="523"/>
    </row>
    <row r="332">
      <c r="A332" s="523"/>
      <c r="B332" s="612" t="str">
        <f>IFERROR(VLOOKUP(M332,'02. MM-KLH'!$B$6:$T$823,6,0),"")</f>
        <v>Máy cày bánh xích CT55</v>
      </c>
      <c r="C332" s="566">
        <v>1.0</v>
      </c>
      <c r="D332" s="613" t="str">
        <f>IFERROR(VLOOKUP(M332,'02. MM-KLH'!$B$6:$T$823,16,0),"")</f>
        <v>CT55</v>
      </c>
      <c r="E332" s="561" t="s">
        <v>4158</v>
      </c>
      <c r="F332" s="613"/>
      <c r="G332" s="613"/>
      <c r="H332" s="613" t="str">
        <f>IFERROR(VLOOKUP(M332,'02. MM-KLH'!$B$6:$T$823,17,0),"")</f>
        <v>55HP</v>
      </c>
      <c r="I332" s="614" t="str">
        <f>IFERROR(VLOOKUP(M332,'02. MM-KLH'!$B$6:$U$823,20,0),"")</f>
        <v/>
      </c>
      <c r="J332" s="612">
        <f>IFERROR(VLOOKUP(M332,'02. MM-KLH'!$B$6:$T$823,19,0),"")</f>
        <v>8391</v>
      </c>
      <c r="K332" s="612">
        <f>IFERROR(VLOOKUP(M332,'02. MM-KLH'!$B$6:$T$823,18,0),"")</f>
        <v>1174</v>
      </c>
      <c r="L332" s="613" t="str">
        <f>IFERROR(VLOOKUP(M332,'02. MM-KLH'!$B$6:$T$823,4,0),"")</f>
        <v/>
      </c>
      <c r="M332" s="488" t="s">
        <v>1906</v>
      </c>
      <c r="N332" s="615" t="str">
        <f>IFERROR(VLOOKUP(M332,'02. MM-KLH'!$B$6:$T$823,15,0),"")</f>
        <v/>
      </c>
      <c r="O332" s="616" t="str">
        <f>IFERROR(VLOOKUP(M332,'02. MM-KLH'!$B$6:$T$823,9,0),"")</f>
        <v>23/01/2026</v>
      </c>
      <c r="P332" s="613"/>
      <c r="Q332" s="566" t="s">
        <v>1565</v>
      </c>
      <c r="R332" s="566"/>
      <c r="S332" s="566" t="s">
        <v>4158</v>
      </c>
      <c r="T332" s="613"/>
      <c r="U332" s="559" t="str">
        <f>IFERROR(VLOOKUP(M332,'02. MM-KLH'!$B$6:$T$823,5,0),"")</f>
        <v>MỚI (ĐQSD)</v>
      </c>
      <c r="V332" s="523" t="str">
        <f>IFERROR(VLOOKUP(M332,'02. MM-KLH'!$B$6:$T$823,8,0),"")</f>
        <v>XN Bò AD</v>
      </c>
      <c r="W332" s="559" t="str">
        <f>IFERROR(VLOOKUP(V332,'NS QUẢN LÝ CG'!$A$4:$D$36,2,0),"")</f>
        <v>Trần Văn Nam</v>
      </c>
      <c r="X332" s="559" t="str">
        <f>IFERROR(VLOOKUP(V332,'NS QUẢN LÝ CG'!$A$4:$D$36,4,0),"")</f>
        <v>Lô 28 XN Bò</v>
      </c>
      <c r="Y332" s="559" t="str">
        <f>IFERROR(VLOOKUP(V332,'NS QUẢN LÝ CG'!$A$4:$C$36,3,0),"")</f>
        <v>0971993540</v>
      </c>
      <c r="Z332" s="523" t="str">
        <f>IFERROR(VLOOKUP(M332,'02. MM-KLH'!$B$6:$T$823,3,0),"")</f>
        <v>A22-MKX-005</v>
      </c>
      <c r="AA332" s="559" t="str">
        <f t="shared" si="23"/>
        <v>ADM</v>
      </c>
      <c r="AB332" s="523"/>
      <c r="AC332" s="523"/>
    </row>
    <row r="333">
      <c r="A333" s="523"/>
      <c r="B333" s="612" t="str">
        <f>IFERROR(VLOOKUP(M333,'02. MM-KLH'!$B$6:$T$823,6,0),"")</f>
        <v>Máy cày bánh xích CT65</v>
      </c>
      <c r="C333" s="566">
        <v>1.0</v>
      </c>
      <c r="D333" s="613" t="str">
        <f>IFERROR(VLOOKUP(M333,'02. MM-KLH'!$B$6:$T$823,16,0),"")</f>
        <v>CT65</v>
      </c>
      <c r="E333" s="561" t="s">
        <v>4158</v>
      </c>
      <c r="F333" s="613"/>
      <c r="G333" s="613"/>
      <c r="H333" s="613" t="str">
        <f>IFERROR(VLOOKUP(M333,'02. MM-KLH'!$B$6:$T$823,17,0),"")</f>
        <v>65HP</v>
      </c>
      <c r="I333" s="614" t="str">
        <f>IFERROR(VLOOKUP(M333,'02. MM-KLH'!$B$6:$U$823,20,0),"")</f>
        <v/>
      </c>
      <c r="J333" s="612">
        <f>IFERROR(VLOOKUP(M333,'02. MM-KLH'!$B$6:$T$823,19,0),"")</f>
        <v>2463</v>
      </c>
      <c r="K333" s="612">
        <f>IFERROR(VLOOKUP(M333,'02. MM-KLH'!$B$6:$T$823,18,0),"")</f>
        <v>10139</v>
      </c>
      <c r="L333" s="613" t="str">
        <f>IFERROR(VLOOKUP(M333,'02. MM-KLH'!$B$6:$T$823,4,0),"")</f>
        <v/>
      </c>
      <c r="M333" s="488" t="s">
        <v>667</v>
      </c>
      <c r="N333" s="615" t="str">
        <f>IFERROR(VLOOKUP(M333,'02. MM-KLH'!$B$6:$T$823,15,0),"")</f>
        <v/>
      </c>
      <c r="O333" s="616" t="str">
        <f>IFERROR(VLOOKUP(M333,'02. MM-KLH'!$B$6:$T$823,9,0),"")</f>
        <v>19/01/2026</v>
      </c>
      <c r="Q333" s="566">
        <v>8804.0</v>
      </c>
      <c r="R333" s="566" t="s">
        <v>4158</v>
      </c>
      <c r="S333" s="613"/>
      <c r="T333" s="613"/>
      <c r="U333" s="559" t="str">
        <f>IFERROR(VLOOKUP(M333,'02. MM-KLH'!$B$6:$T$823,5,0),"")</f>
        <v>MỚI (ĐQSD)</v>
      </c>
      <c r="V333" s="523" t="str">
        <f>IFERROR(VLOOKUP(M333,'02. MM-KLH'!$B$6:$T$823,8,0),"")</f>
        <v>CGLĐ DP</v>
      </c>
      <c r="W333" s="559" t="str">
        <f>IFERROR(VLOOKUP(V333,'NS QUẢN LÝ CG'!$A$4:$D$36,2,0),"")</f>
        <v>Nguyễn Tấn Triều</v>
      </c>
      <c r="X333" s="559" t="str">
        <f>IFERROR(VLOOKUP(V333,'NS QUẢN LÝ CG'!$A$4:$D$36,4,0),"")</f>
        <v>Lô 85 DP4</v>
      </c>
      <c r="Y333" s="559" t="str">
        <f>IFERROR(VLOOKUP(V333,'NS QUẢN LÝ CG'!$A$4:$C$36,3,0),"")</f>
        <v>05974160290</v>
      </c>
      <c r="Z333" s="523" t="str">
        <f>IFERROR(VLOOKUP(M333,'02. MM-KLH'!$B$6:$T$823,3,0),"")</f>
        <v>A22-MKX-006</v>
      </c>
      <c r="AA333" s="559" t="str">
        <f t="shared" si="23"/>
        <v>ADM</v>
      </c>
      <c r="AB333" s="523"/>
      <c r="AC333" s="523"/>
    </row>
    <row r="334">
      <c r="A334" s="523"/>
      <c r="B334" s="612" t="str">
        <f>IFERROR(VLOOKUP(M334,'02. MM-KLH'!$B$6:$T$823,6,0),"")</f>
        <v/>
      </c>
      <c r="C334" s="566"/>
      <c r="D334" s="613" t="str">
        <f>IFERROR(VLOOKUP(M334,'02. MM-KLH'!$B$6:$T$823,16,0),"")</f>
        <v/>
      </c>
      <c r="E334" s="613"/>
      <c r="F334" s="613"/>
      <c r="G334" s="613"/>
      <c r="H334" s="613" t="str">
        <f>IFERROR(VLOOKUP(M334,'02. MM-KLH'!$B$6:$T$823,17,0),"")</f>
        <v/>
      </c>
      <c r="I334" s="614" t="str">
        <f>IFERROR(VLOOKUP(M334,'02. MM-KLH'!$B$6:$U$823,20,0),"")</f>
        <v/>
      </c>
      <c r="J334" s="612" t="str">
        <f>IFERROR(VLOOKUP(M334,'02. MM-KLH'!$B$6:$T$823,19,0),"")</f>
        <v/>
      </c>
      <c r="K334" s="612" t="str">
        <f>IFERROR(VLOOKUP(M334,'02. MM-KLH'!$B$6:$T$823,18,0),"")</f>
        <v/>
      </c>
      <c r="L334" s="613" t="str">
        <f>IFERROR(VLOOKUP(M334,'02. MM-KLH'!$B$6:$T$823,4,0),"")</f>
        <v/>
      </c>
      <c r="M334" s="488"/>
      <c r="N334" s="615" t="str">
        <f>IFERROR(VLOOKUP(M334,'02. MM-KLH'!$B$6:$T$823,15,0),"")</f>
        <v/>
      </c>
      <c r="O334" s="616" t="str">
        <f>IFERROR(VLOOKUP(M334,'02. MM-KLH'!$B$6:$T$823,9,0),"")</f>
        <v/>
      </c>
      <c r="P334" s="613"/>
      <c r="Q334" s="613"/>
      <c r="R334" s="613"/>
      <c r="S334" s="613"/>
      <c r="T334" s="613"/>
      <c r="U334" s="613" t="str">
        <f>IFERROR(VLOOKUP(M334,'02. MM-KLH'!$B$6:$T$823,2,0),"")</f>
        <v/>
      </c>
      <c r="V334" s="523" t="str">
        <f>IFERROR(VLOOKUP(M334,'02. MM-KLH'!$B$6:$T$823,8,0),"")</f>
        <v/>
      </c>
      <c r="W334" s="559" t="str">
        <f>IFERROR(VLOOKUP(V334,'NS QUẢN LÝ CG'!$A$4:$D$36,2,0),"")</f>
        <v/>
      </c>
      <c r="X334" s="559" t="str">
        <f>IFERROR(VLOOKUP(V334,'NS QUẢN LÝ CG'!$A$4:$D$36,4,0),"")</f>
        <v/>
      </c>
      <c r="Y334" s="613"/>
      <c r="Z334" s="523" t="str">
        <f>IFERROR(VLOOKUP(M334,'02. MM-KLH'!$B$6:$T$823,3,0),"")</f>
        <v/>
      </c>
      <c r="AA334" s="613"/>
      <c r="AB334" s="523"/>
      <c r="AC334" s="523"/>
    </row>
    <row r="335">
      <c r="A335" s="695">
        <v>2.0</v>
      </c>
      <c r="B335" s="696" t="s">
        <v>978</v>
      </c>
      <c r="C335" s="697">
        <f>COUNTA(B336:B338)</f>
        <v>1</v>
      </c>
      <c r="D335" s="698"/>
      <c r="E335" s="698"/>
      <c r="F335" s="698"/>
      <c r="G335" s="698"/>
      <c r="H335" s="558"/>
      <c r="I335" s="558"/>
      <c r="J335" s="699"/>
      <c r="K335" s="699"/>
      <c r="L335" s="698"/>
      <c r="M335" s="700"/>
      <c r="N335" s="698"/>
      <c r="O335" s="701"/>
      <c r="P335" s="698"/>
      <c r="Q335" s="698"/>
      <c r="R335" s="698"/>
      <c r="S335" s="698"/>
      <c r="T335" s="698"/>
      <c r="U335" s="698"/>
      <c r="V335" s="558"/>
      <c r="W335" s="698"/>
      <c r="X335" s="698"/>
      <c r="Y335" s="698"/>
      <c r="Z335" s="558"/>
      <c r="AA335" s="698"/>
      <c r="AB335" s="558"/>
      <c r="AC335" s="558"/>
    </row>
    <row r="336">
      <c r="A336" s="523"/>
      <c r="B336" s="612" t="str">
        <f>IFERROR(VLOOKUP(M336,'02. MM-KLH'!$B$6:$T$823,6,0),"")</f>
        <v>Máy cày bánh xích ISEKI</v>
      </c>
      <c r="C336" s="566">
        <v>1.0</v>
      </c>
      <c r="D336" s="613" t="str">
        <f>IFERROR(VLOOKUP(M336,'02. MM-KLH'!$B$6:$T$823,16,0),"")</f>
        <v>TA-C120</v>
      </c>
      <c r="E336" s="561" t="s">
        <v>4158</v>
      </c>
      <c r="F336" s="613"/>
      <c r="G336" s="613"/>
      <c r="H336" s="613" t="str">
        <f>IFERROR(VLOOKUP(M336,'02. MM-KLH'!$B$6:$T$823,17,0),"")</f>
        <v>120HP</v>
      </c>
      <c r="I336" s="614" t="str">
        <f>IFERROR(VLOOKUP(M336,'02. MM-KLH'!$B$6:$U$823,20,0),"")</f>
        <v/>
      </c>
      <c r="J336" s="612" t="str">
        <f>IFERROR(VLOOKUP(M336,'02. MM-KLH'!$B$6:$T$823,19,0),"")</f>
        <v>S6S025912</v>
      </c>
      <c r="K336" s="612" t="str">
        <f>IFERROR(VLOOKUP(M336,'02. MM-KLH'!$B$6:$T$823,18,0),"")</f>
        <v>K12A/10050</v>
      </c>
      <c r="L336" s="613" t="str">
        <f>IFERROR(VLOOKUP(M336,'02. MM-KLH'!$B$6:$T$823,4,0),"")</f>
        <v/>
      </c>
      <c r="M336" s="490" t="s">
        <v>1684</v>
      </c>
      <c r="N336" s="615" t="str">
        <f>IFERROR(VLOOKUP(M336,'02. MM-KLH'!$B$6:$T$823,15,0),"")</f>
        <v/>
      </c>
      <c r="O336" s="616">
        <f>IFERROR(VLOOKUP(M336,'02. MM-KLH'!$B$6:$T$823,9,0),"")</f>
        <v>45385</v>
      </c>
      <c r="P336" s="613"/>
      <c r="Q336" s="566" t="s">
        <v>1565</v>
      </c>
      <c r="R336" s="613"/>
      <c r="S336" s="566" t="s">
        <v>4158</v>
      </c>
      <c r="T336" s="613"/>
      <c r="U336" s="559" t="str">
        <f>IFERROR(VLOOKUP(M336,'02. MM-KLH'!$B$6:$T$823,5,0),"")</f>
        <v>MỚI (ĐQSD)</v>
      </c>
      <c r="V336" s="523" t="str">
        <f>IFERROR(VLOOKUP(M336,'02. MM-KLH'!$B$6:$T$823,8,0),"")</f>
        <v>XN Bò AD</v>
      </c>
      <c r="W336" s="559" t="str">
        <f>IFERROR(VLOOKUP(V336,'NS QUẢN LÝ CG'!$A$4:$D$36,2,0),"")</f>
        <v>Trần Văn Nam</v>
      </c>
      <c r="X336" s="559" t="str">
        <f>IFERROR(VLOOKUP(V336,'NS QUẢN LÝ CG'!$A$4:$D$36,4,0),"")</f>
        <v>Lô 28 XN Bò</v>
      </c>
      <c r="Y336" s="559" t="str">
        <f>IFERROR(VLOOKUP(V336,'NS QUẢN LÝ CG'!$A$4:$C$36,3,0),"")</f>
        <v>0971993540</v>
      </c>
      <c r="Z336" s="523" t="str">
        <f>IFERROR(VLOOKUP(M336,'02. MM-KLH'!$B$6:$T$823,3,0),"")</f>
        <v>ATM-A22-0126</v>
      </c>
      <c r="AA336" s="561" t="s">
        <v>4462</v>
      </c>
      <c r="AB336" s="523"/>
      <c r="AC336" s="523"/>
    </row>
    <row r="337">
      <c r="A337" s="523"/>
      <c r="B337" s="612" t="str">
        <f>IFERROR(VLOOKUP(M337,'02. MM-KLH'!$B$6:$T$823,6,0),"")</f>
        <v/>
      </c>
      <c r="C337" s="566"/>
      <c r="D337" s="613" t="str">
        <f>IFERROR(VLOOKUP(M337,'02. MM-KLH'!$B$6:$T$823,16,0),"")</f>
        <v/>
      </c>
      <c r="E337" s="613"/>
      <c r="F337" s="613"/>
      <c r="G337" s="613"/>
      <c r="H337" s="613" t="str">
        <f>IFERROR(VLOOKUP(M337,'02. MM-KLH'!$B$6:$T$823,17,0),"")</f>
        <v/>
      </c>
      <c r="I337" s="614" t="str">
        <f>IFERROR(VLOOKUP(M337,'02. MM-KLH'!$B$6:$U$823,20,0),"")</f>
        <v/>
      </c>
      <c r="J337" s="612" t="str">
        <f>IFERROR(VLOOKUP(M337,'02. MM-KLH'!$B$6:$T$823,19,0),"")</f>
        <v/>
      </c>
      <c r="K337" s="612" t="str">
        <f>IFERROR(VLOOKUP(M337,'02. MM-KLH'!$B$6:$T$823,18,0),"")</f>
        <v/>
      </c>
      <c r="L337" s="613" t="str">
        <f>IFERROR(VLOOKUP(M337,'02. MM-KLH'!$B$6:$T$823,4,0),"")</f>
        <v/>
      </c>
      <c r="M337" s="488"/>
      <c r="N337" s="615" t="str">
        <f>IFERROR(VLOOKUP(M337,'02. MM-KLH'!$B$6:$T$823,15,0),"")</f>
        <v/>
      </c>
      <c r="O337" s="616" t="str">
        <f>IFERROR(VLOOKUP(M337,'02. MM-KLH'!$B$6:$T$823,9,0),"")</f>
        <v/>
      </c>
      <c r="P337" s="613"/>
      <c r="Q337" s="613"/>
      <c r="R337" s="613"/>
      <c r="S337" s="613"/>
      <c r="T337" s="613"/>
      <c r="U337" s="613" t="str">
        <f>IFERROR(VLOOKUP(M337,'02. MM-KLH'!$B$6:$T$823,2,0),"")</f>
        <v/>
      </c>
      <c r="V337" s="523" t="str">
        <f>IFERROR(VLOOKUP(M337,'02. MM-KLH'!$B$6:$T$823,8,0),"")</f>
        <v/>
      </c>
      <c r="W337" s="559" t="str">
        <f>IFERROR(VLOOKUP(V337,'NS QUẢN LÝ CG'!$A$4:$D$36,2,0),"")</f>
        <v/>
      </c>
      <c r="X337" s="559" t="str">
        <f>IFERROR(VLOOKUP(V337,'NS QUẢN LÝ CG'!$A$4:$D$36,4,0),"")</f>
        <v/>
      </c>
      <c r="Y337" s="613"/>
      <c r="Z337" s="523" t="str">
        <f>IFERROR(VLOOKUP(M337,'02. MM-KLH'!$B$6:$T$823,3,0),"")</f>
        <v/>
      </c>
      <c r="AA337" s="613"/>
      <c r="AB337" s="523"/>
      <c r="AC337" s="523"/>
    </row>
    <row r="338" hidden="1">
      <c r="A338" s="523"/>
      <c r="B338" s="612" t="str">
        <f>IFERROR(VLOOKUP(M338,'02. MM-KLH'!$B$6:$T$823,6,0),"")</f>
        <v/>
      </c>
      <c r="C338" s="566"/>
      <c r="D338" s="613" t="str">
        <f>IFERROR(VLOOKUP(M338,'02. MM-KLH'!$B$6:$T$823,16,0),"")</f>
        <v/>
      </c>
      <c r="E338" s="613"/>
      <c r="F338" s="613"/>
      <c r="G338" s="613"/>
      <c r="H338" s="613" t="str">
        <f>IFERROR(VLOOKUP(M338,'02. MM-KLH'!$B$6:$T$823,17,0),"")</f>
        <v/>
      </c>
      <c r="I338" s="614" t="str">
        <f>IFERROR(VLOOKUP(M338,'02. MM-KLH'!$B$6:$U$823,20,0),"")</f>
        <v/>
      </c>
      <c r="J338" s="612" t="str">
        <f>IFERROR(VLOOKUP(M338,'02. MM-KLH'!$B$6:$T$823,19,0),"")</f>
        <v/>
      </c>
      <c r="K338" s="612" t="str">
        <f>IFERROR(VLOOKUP(M338,'02. MM-KLH'!$B$6:$T$823,18,0),"")</f>
        <v/>
      </c>
      <c r="L338" s="613" t="str">
        <f>IFERROR(VLOOKUP(M338,'02. MM-KLH'!$B$6:$T$823,4,0),"")</f>
        <v/>
      </c>
      <c r="M338" s="488"/>
      <c r="N338" s="615" t="str">
        <f>IFERROR(VLOOKUP(M338,'02. MM-KLH'!$B$6:$T$823,15,0),"")</f>
        <v/>
      </c>
      <c r="O338" s="616" t="str">
        <f>IFERROR(VLOOKUP(M338,'02. MM-KLH'!$B$6:$T$823,9,0),"")</f>
        <v/>
      </c>
      <c r="P338" s="613"/>
      <c r="Q338" s="613"/>
      <c r="R338" s="613"/>
      <c r="S338" s="613"/>
      <c r="T338" s="613"/>
      <c r="U338" s="613" t="str">
        <f>IFERROR(VLOOKUP(M338,'02. MM-KLH'!$B$6:$T$823,2,0),"")</f>
        <v/>
      </c>
      <c r="V338" s="523" t="str">
        <f>IFERROR(VLOOKUP(M338,'02. MM-KLH'!$B$6:$T$823,8,0),"")</f>
        <v/>
      </c>
      <c r="W338" s="613"/>
      <c r="X338" s="613"/>
      <c r="Y338" s="613"/>
      <c r="Z338" s="523" t="str">
        <f>IFERROR(VLOOKUP(M338,'02. MM-KLH'!$B$6:$T$823,3,0),"")</f>
        <v/>
      </c>
      <c r="AA338" s="613"/>
      <c r="AB338" s="523"/>
      <c r="AC338" s="523"/>
    </row>
    <row r="339">
      <c r="A339" s="695">
        <v>3.0</v>
      </c>
      <c r="B339" s="696" t="s">
        <v>739</v>
      </c>
      <c r="C339" s="697">
        <f>COUNTA(B340:B342)</f>
        <v>2</v>
      </c>
      <c r="D339" s="698"/>
      <c r="E339" s="698"/>
      <c r="F339" s="698"/>
      <c r="G339" s="698"/>
      <c r="H339" s="558"/>
      <c r="I339" s="558"/>
      <c r="J339" s="699"/>
      <c r="K339" s="699"/>
      <c r="L339" s="698"/>
      <c r="M339" s="700"/>
      <c r="N339" s="698"/>
      <c r="O339" s="701"/>
      <c r="P339" s="698"/>
      <c r="Q339" s="698"/>
      <c r="R339" s="698"/>
      <c r="S339" s="698"/>
      <c r="T339" s="698"/>
      <c r="U339" s="698"/>
      <c r="V339" s="558"/>
      <c r="W339" s="698"/>
      <c r="X339" s="698"/>
      <c r="Y339" s="698"/>
      <c r="Z339" s="558"/>
      <c r="AA339" s="698"/>
      <c r="AB339" s="558"/>
      <c r="AC339" s="558"/>
    </row>
    <row r="340">
      <c r="A340" s="523"/>
      <c r="B340" s="612" t="str">
        <f>IFERROR(VLOOKUP(M340,'02. MM-KLH'!$B$6:$T$823,6,0),"")</f>
        <v>Máy cày bánh xích LOVOL</v>
      </c>
      <c r="C340" s="566">
        <v>1.0</v>
      </c>
      <c r="D340" s="613" t="str">
        <f>IFERROR(VLOOKUP(M340,'02. MM-KLH'!$B$6:$T$823,16,0),"")</f>
        <v>1GZL-230X</v>
      </c>
      <c r="E340" s="561" t="s">
        <v>4158</v>
      </c>
      <c r="F340" s="613"/>
      <c r="G340" s="613"/>
      <c r="H340" s="613" t="str">
        <f>IFERROR(VLOOKUP(M340,'02. MM-KLH'!$B$6:$T$823,17,0),"")</f>
        <v>102HP</v>
      </c>
      <c r="I340" s="614" t="str">
        <f>IFERROR(VLOOKUP(M340,'02. MM-KLH'!$B$6:$U$823,20,0),"")</f>
        <v/>
      </c>
      <c r="J340" s="612" t="str">
        <f>IFERROR(VLOOKUP(M340,'02. MM-KLH'!$B$6:$T$823,19,0),"")</f>
        <v>Q250577684G</v>
      </c>
      <c r="K340" s="612" t="str">
        <f>IFERROR(VLOOKUP(M340,'02. MM-KLH'!$B$6:$T$823,18,0),"")</f>
        <v>FTHRXX23CSN000034</v>
      </c>
      <c r="L340" s="613" t="str">
        <f>IFERROR(VLOOKUP(M340,'02. MM-KLH'!$B$6:$T$823,4,0),"")</f>
        <v/>
      </c>
      <c r="M340" s="488" t="s">
        <v>1874</v>
      </c>
      <c r="N340" s="615">
        <f>IFERROR(VLOOKUP(M340,'02. MM-KLH'!$B$6:$T$823,15,0),"")</f>
        <v>2025</v>
      </c>
      <c r="O340" s="616" t="str">
        <f>IFERROR(VLOOKUP(M340,'02. MM-KLH'!$B$6:$T$823,9,0),"")</f>
        <v>25/08/2025</v>
      </c>
      <c r="P340" s="613"/>
      <c r="Q340" s="566" t="s">
        <v>1565</v>
      </c>
      <c r="R340" s="613"/>
      <c r="S340" s="566" t="s">
        <v>4158</v>
      </c>
      <c r="T340" s="613"/>
      <c r="U340" s="559" t="str">
        <f>IFERROR(VLOOKUP(M340,'02. MM-KLH'!$B$6:$T$823,5,0),"")</f>
        <v>MỚI</v>
      </c>
      <c r="V340" s="523" t="str">
        <f>IFERROR(VLOOKUP(M340,'02. MM-KLH'!$B$6:$T$823,8,0),"")</f>
        <v>XN Bò AD</v>
      </c>
      <c r="W340" s="559" t="str">
        <f>IFERROR(VLOOKUP(V340,'NS QUẢN LÝ CG'!$A$4:$D$36,2,0),"")</f>
        <v>Trần Văn Nam</v>
      </c>
      <c r="X340" s="559" t="str">
        <f>IFERROR(VLOOKUP(V340,'NS QUẢN LÝ CG'!$A$4:$D$36,4,0),"")</f>
        <v>Lô 28 XN Bò</v>
      </c>
      <c r="Y340" s="559" t="str">
        <f>IFERROR(VLOOKUP(V340,'NS QUẢN LÝ CG'!$A$4:$C$36,3,0),"")</f>
        <v>0971993540</v>
      </c>
      <c r="Z340" s="523" t="str">
        <f>IFERROR(VLOOKUP(M340,'02. MM-KLH'!$B$6:$T$823,3,0),"")</f>
        <v>A23-MKX-001</v>
      </c>
      <c r="AA340" s="559" t="str">
        <f t="shared" ref="AA340:AA341" si="24">SWITCH(LEFT(Z340,3),"A22","ADM","A23","DP","A24","LP","")</f>
        <v>DP</v>
      </c>
      <c r="AB340" s="523"/>
      <c r="AC340" s="523"/>
    </row>
    <row r="341">
      <c r="A341" s="523"/>
      <c r="B341" s="612" t="str">
        <f>IFERROR(VLOOKUP(M341,'02. MM-KLH'!$B$6:$T$823,6,0),"")</f>
        <v>Máy cày bánh xích LOVOL TB1002C</v>
      </c>
      <c r="C341" s="566">
        <v>1.0</v>
      </c>
      <c r="D341" s="613" t="str">
        <f>IFERROR(VLOOKUP(M341,'02. MM-KLH'!$B$6:$T$823,16,0),"")</f>
        <v>TB1002-C</v>
      </c>
      <c r="E341" s="561" t="s">
        <v>4158</v>
      </c>
      <c r="F341" s="613"/>
      <c r="G341" s="613"/>
      <c r="H341" s="613" t="str">
        <f>IFERROR(VLOOKUP(M341,'02. MM-KLH'!$B$6:$T$823,17,0),"")</f>
        <v>100HP</v>
      </c>
      <c r="I341" s="614" t="str">
        <f>IFERROR(VLOOKUP(M341,'02. MM-KLH'!$B$6:$U$823,20,0),"")</f>
        <v/>
      </c>
      <c r="J341" s="612" t="str">
        <f>IFERROR(VLOOKUP(M341,'02. MM-KLH'!$B$6:$T$823,19,0),"")</f>
        <v>Q250194560G</v>
      </c>
      <c r="K341" s="612" t="str">
        <f>IFERROR(VLOOKUP(M341,'02. MM-KLH'!$B$6:$T$823,18,0),"")</f>
        <v>FTTM3AD2CSC000020</v>
      </c>
      <c r="L341" s="613" t="str">
        <f>IFERROR(VLOOKUP(M341,'02. MM-KLH'!$B$6:$T$823,4,0),"")</f>
        <v/>
      </c>
      <c r="M341" s="488" t="s">
        <v>1891</v>
      </c>
      <c r="N341" s="615">
        <f>IFERROR(VLOOKUP(M341,'02. MM-KLH'!$B$6:$T$823,15,0),"")</f>
        <v>2025</v>
      </c>
      <c r="O341" s="616" t="str">
        <f>IFERROR(VLOOKUP(M341,'02. MM-KLH'!$B$6:$T$823,9,0),"")</f>
        <v>15/12/2025</v>
      </c>
      <c r="P341" s="613"/>
      <c r="Q341" s="566" t="s">
        <v>1565</v>
      </c>
      <c r="R341" s="566" t="s">
        <v>4158</v>
      </c>
      <c r="S341" s="613"/>
      <c r="T341" s="613"/>
      <c r="U341" s="559" t="str">
        <f>IFERROR(VLOOKUP(M341,'02. MM-KLH'!$B$6:$T$823,5,0),"")</f>
        <v>MỚI</v>
      </c>
      <c r="V341" s="523" t="str">
        <f>IFERROR(VLOOKUP(M341,'02. MM-KLH'!$B$6:$T$823,8,0),"")</f>
        <v>XN Bò AD</v>
      </c>
      <c r="W341" s="559" t="str">
        <f>IFERROR(VLOOKUP(V341,'NS QUẢN LÝ CG'!$A$4:$D$36,2,0),"")</f>
        <v>Trần Văn Nam</v>
      </c>
      <c r="X341" s="559" t="str">
        <f>IFERROR(VLOOKUP(V341,'NS QUẢN LÝ CG'!$A$4:$D$36,4,0),"")</f>
        <v>Lô 28 XN Bò</v>
      </c>
      <c r="Y341" s="559" t="str">
        <f>IFERROR(VLOOKUP(V341,'NS QUẢN LÝ CG'!$A$4:$C$36,3,0),"")</f>
        <v>0971993540</v>
      </c>
      <c r="Z341" s="523" t="str">
        <f>IFERROR(VLOOKUP(M341,'02. MM-KLH'!$B$6:$T$823,3,0),"")</f>
        <v>A22-MKX-003</v>
      </c>
      <c r="AA341" s="559" t="str">
        <f t="shared" si="24"/>
        <v>ADM</v>
      </c>
      <c r="AB341" s="523"/>
      <c r="AC341" s="523"/>
    </row>
    <row r="342">
      <c r="A342" s="523"/>
      <c r="B342" s="612" t="str">
        <f>IFERROR(VLOOKUP(M342,'02. MM-KLH'!$B$6:$T$823,6,0),"")</f>
        <v/>
      </c>
      <c r="C342" s="566"/>
      <c r="D342" s="613" t="str">
        <f>IFERROR(VLOOKUP(M342,'02. MM-KLH'!$B$6:$T$823,16,0),"")</f>
        <v/>
      </c>
      <c r="E342" s="613"/>
      <c r="F342" s="613"/>
      <c r="G342" s="613"/>
      <c r="H342" s="613" t="str">
        <f>IFERROR(VLOOKUP(M342,'02. MM-KLH'!$B$6:$T$823,17,0),"")</f>
        <v/>
      </c>
      <c r="I342" s="614" t="str">
        <f>IFERROR(VLOOKUP(M342,'02. MM-KLH'!$B$6:$U$823,20,0),"")</f>
        <v/>
      </c>
      <c r="J342" s="612" t="str">
        <f>IFERROR(VLOOKUP(M342,'02. MM-KLH'!$B$6:$T$823,19,0),"")</f>
        <v/>
      </c>
      <c r="K342" s="612" t="str">
        <f>IFERROR(VLOOKUP(M342,'02. MM-KLH'!$B$6:$T$823,18,0),"")</f>
        <v/>
      </c>
      <c r="L342" s="613" t="str">
        <f>IFERROR(VLOOKUP(M342,'02. MM-KLH'!$B$6:$T$823,4,0),"")</f>
        <v/>
      </c>
      <c r="M342" s="488"/>
      <c r="N342" s="615" t="str">
        <f>IFERROR(VLOOKUP(M342,'02. MM-KLH'!$B$6:$T$823,15,0),"")</f>
        <v/>
      </c>
      <c r="O342" s="616" t="str">
        <f>IFERROR(VLOOKUP(M342,'02. MM-KLH'!$B$6:$T$823,9,0),"")</f>
        <v/>
      </c>
      <c r="P342" s="613"/>
      <c r="Q342" s="613"/>
      <c r="R342" s="613"/>
      <c r="S342" s="613"/>
      <c r="T342" s="613"/>
      <c r="U342" s="613" t="str">
        <f>IFERROR(VLOOKUP(M342,'02. MM-KLH'!$B$6:$T$823,2,0),"")</f>
        <v/>
      </c>
      <c r="V342" s="523" t="str">
        <f>IFERROR(VLOOKUP(M342,'02. MM-KLH'!$B$6:$T$823,8,0),"")</f>
        <v/>
      </c>
      <c r="W342" s="559" t="str">
        <f>IFERROR(VLOOKUP(V342,'NS QUẢN LÝ CG'!$A$4:$D$36,2,0),"")</f>
        <v/>
      </c>
      <c r="X342" s="559" t="str">
        <f>IFERROR(VLOOKUP(V342,'NS QUẢN LÝ CG'!$A$4:$D$36,4,0),"")</f>
        <v/>
      </c>
      <c r="Y342" s="613"/>
      <c r="Z342" s="523" t="str">
        <f>IFERROR(VLOOKUP(M342,'02. MM-KLH'!$B$6:$T$823,3,0),"")</f>
        <v/>
      </c>
      <c r="AA342" s="613"/>
      <c r="AB342" s="523"/>
      <c r="AC342" s="523"/>
    </row>
    <row r="343">
      <c r="A343" s="695">
        <v>4.0</v>
      </c>
      <c r="B343" s="696" t="s">
        <v>680</v>
      </c>
      <c r="C343" s="697">
        <f>COUNTA(B344:B345)</f>
        <v>1</v>
      </c>
      <c r="D343" s="698"/>
      <c r="E343" s="698"/>
      <c r="F343" s="698"/>
      <c r="G343" s="698"/>
      <c r="H343" s="558"/>
      <c r="I343" s="558"/>
      <c r="J343" s="699"/>
      <c r="K343" s="699"/>
      <c r="L343" s="698"/>
      <c r="M343" s="700"/>
      <c r="N343" s="698"/>
      <c r="O343" s="701"/>
      <c r="P343" s="698"/>
      <c r="Q343" s="698"/>
      <c r="R343" s="698"/>
      <c r="S343" s="698"/>
      <c r="T343" s="698"/>
      <c r="U343" s="698"/>
      <c r="V343" s="558"/>
      <c r="W343" s="698"/>
      <c r="X343" s="698"/>
      <c r="Y343" s="698"/>
      <c r="Z343" s="558"/>
      <c r="AA343" s="698"/>
      <c r="AB343" s="558"/>
      <c r="AC343" s="558"/>
    </row>
    <row r="344">
      <c r="A344" s="523"/>
      <c r="B344" s="612" t="str">
        <f>IFERROR(VLOOKUP(M344,'02. MM-KLH'!$B$6:$T$823,6,0),"")</f>
        <v>Máy cày bánh xích Mitsubishi</v>
      </c>
      <c r="C344" s="566">
        <v>1.0</v>
      </c>
      <c r="D344" s="613" t="str">
        <f>IFERROR(VLOOKUP(M344,'02. MM-KLH'!$B$6:$T$823,16,0),"")</f>
        <v>MKM100</v>
      </c>
      <c r="E344" s="561" t="s">
        <v>4158</v>
      </c>
      <c r="F344" s="613"/>
      <c r="G344" s="613"/>
      <c r="H344" s="613" t="str">
        <f>IFERROR(VLOOKUP(M344,'02. MM-KLH'!$B$6:$T$823,17,0),"")</f>
        <v>100HP</v>
      </c>
      <c r="I344" s="614" t="str">
        <f>IFERROR(VLOOKUP(M344,'02. MM-KLH'!$B$6:$U$823,20,0),"")</f>
        <v/>
      </c>
      <c r="J344" s="612" t="str">
        <f>IFERROR(VLOOKUP(M344,'02. MM-KLH'!$B$6:$T$823,19,0),"")</f>
        <v>6S6-019410</v>
      </c>
      <c r="K344" s="612" t="str">
        <f>IFERROR(VLOOKUP(M344,'02. MM-KLH'!$B$6:$T$823,18,0),"")</f>
        <v>K10A-10011</v>
      </c>
      <c r="L344" s="613" t="str">
        <f>IFERROR(VLOOKUP(M344,'02. MM-KLH'!$B$6:$T$823,4,0),"")</f>
        <v/>
      </c>
      <c r="M344" s="488" t="s">
        <v>676</v>
      </c>
      <c r="N344" s="615">
        <f>IFERROR(VLOOKUP(M344,'02. MM-KLH'!$B$6:$T$823,15,0),"")</f>
        <v>2016</v>
      </c>
      <c r="O344" s="616">
        <f>IFERROR(VLOOKUP(M344,'02. MM-KLH'!$B$6:$T$823,9,0),"")</f>
        <v>46088</v>
      </c>
      <c r="Q344" s="566">
        <v>9670.0</v>
      </c>
      <c r="R344" s="566" t="s">
        <v>4158</v>
      </c>
      <c r="S344" s="613"/>
      <c r="T344" s="613"/>
      <c r="U344" s="559" t="str">
        <f>IFERROR(VLOOKUP(M344,'02. MM-KLH'!$B$6:$T$823,5,0),"")</f>
        <v>MỚI (ĐQSD)</v>
      </c>
      <c r="V344" s="523" t="str">
        <f>IFERROR(VLOOKUP(M344,'02. MM-KLH'!$B$6:$T$823,8,0),"")</f>
        <v>CGLĐ DP</v>
      </c>
      <c r="W344" s="559" t="str">
        <f>IFERROR(VLOOKUP(V344,'NS QUẢN LÝ CG'!$A$4:$D$36,2,0),"")</f>
        <v>Nguyễn Tấn Triều</v>
      </c>
      <c r="X344" s="559" t="str">
        <f>IFERROR(VLOOKUP(V344,'NS QUẢN LÝ CG'!$A$4:$D$36,4,0),"")</f>
        <v>Lô 85 DP4</v>
      </c>
      <c r="Y344" s="559" t="str">
        <f>IFERROR(VLOOKUP(V344,'NS QUẢN LÝ CG'!$A$4:$C$36,3,0),"")</f>
        <v>05974160290</v>
      </c>
      <c r="Z344" s="523" t="str">
        <f>IFERROR(VLOOKUP(M344,'02. MM-KLH'!$B$6:$T$823,3,0),"")</f>
        <v>A24-MKX-001</v>
      </c>
      <c r="AA344" s="559" t="str">
        <f>SWITCH(LEFT(Z344,3),"A22","ADM","A23","DP","A24","LP","")</f>
        <v>LP</v>
      </c>
      <c r="AB344" s="523"/>
      <c r="AC344" s="523"/>
    </row>
    <row r="345">
      <c r="A345" s="523"/>
      <c r="B345" s="612" t="str">
        <f>IFERROR(VLOOKUP(M345,'02. MM-KLH'!$B$6:$T$823,6,0),"")</f>
        <v/>
      </c>
      <c r="C345" s="566"/>
      <c r="D345" s="613" t="str">
        <f>IFERROR(VLOOKUP(M345,'02. MM-KLH'!$B$6:$T$823,16,0),"")</f>
        <v/>
      </c>
      <c r="E345" s="613"/>
      <c r="F345" s="613"/>
      <c r="G345" s="613"/>
      <c r="H345" s="613" t="str">
        <f>IFERROR(VLOOKUP(M345,'02. MM-KLH'!$B$6:$T$823,17,0),"")</f>
        <v/>
      </c>
      <c r="I345" s="614" t="str">
        <f>IFERROR(VLOOKUP(M345,'02. MM-KLH'!$B$6:$U$823,20,0),"")</f>
        <v/>
      </c>
      <c r="J345" s="612" t="str">
        <f>IFERROR(VLOOKUP(M345,'02. MM-KLH'!$B$6:$T$823,19,0),"")</f>
        <v/>
      </c>
      <c r="K345" s="612" t="str">
        <f>IFERROR(VLOOKUP(M345,'02. MM-KLH'!$B$6:$T$823,18,0),"")</f>
        <v/>
      </c>
      <c r="L345" s="613" t="str">
        <f>IFERROR(VLOOKUP(M345,'02. MM-KLH'!$B$6:$T$823,4,0),"")</f>
        <v/>
      </c>
      <c r="M345" s="488"/>
      <c r="N345" s="615" t="str">
        <f>IFERROR(VLOOKUP(M345,'02. MM-KLH'!$B$6:$T$823,15,0),"")</f>
        <v/>
      </c>
      <c r="O345" s="616" t="str">
        <f>IFERROR(VLOOKUP(M345,'02. MM-KLH'!$B$6:$T$823,9,0),"")</f>
        <v/>
      </c>
      <c r="P345" s="613"/>
      <c r="Q345" s="613"/>
      <c r="R345" s="613"/>
      <c r="S345" s="613"/>
      <c r="T345" s="613"/>
      <c r="U345" s="613" t="str">
        <f>IFERROR(VLOOKUP(M345,'02. MM-KLH'!$B$6:$T$823,2,0),"")</f>
        <v/>
      </c>
      <c r="V345" s="523" t="str">
        <f>IFERROR(VLOOKUP(M345,'02. MM-KLH'!$B$6:$T$823,8,0),"")</f>
        <v/>
      </c>
      <c r="W345" s="559" t="str">
        <f>IFERROR(VLOOKUP(V345,'NS QUẢN LÝ CG'!$A$4:$D$36,2,0),"")</f>
        <v/>
      </c>
      <c r="X345" s="559" t="str">
        <f>IFERROR(VLOOKUP(V345,'NS QUẢN LÝ CG'!$A$4:$D$36,4,0),"")</f>
        <v/>
      </c>
      <c r="Y345" s="613"/>
      <c r="Z345" s="523" t="str">
        <f>IFERROR(VLOOKUP(M345,'02. MM-KLH'!$B$6:$T$823,3,0),"")</f>
        <v/>
      </c>
      <c r="AA345" s="613"/>
      <c r="AB345" s="523"/>
      <c r="AC345" s="523"/>
    </row>
    <row r="346">
      <c r="A346" s="695">
        <v>5.0</v>
      </c>
      <c r="B346" s="696" t="s">
        <v>1887</v>
      </c>
      <c r="C346" s="697">
        <f>COUNTA(B347:B349)</f>
        <v>2</v>
      </c>
      <c r="D346" s="698"/>
      <c r="E346" s="698"/>
      <c r="F346" s="698"/>
      <c r="G346" s="698"/>
      <c r="H346" s="558"/>
      <c r="I346" s="558"/>
      <c r="J346" s="699"/>
      <c r="K346" s="699"/>
      <c r="L346" s="698"/>
      <c r="M346" s="700"/>
      <c r="N346" s="698"/>
      <c r="O346" s="701"/>
      <c r="P346" s="698"/>
      <c r="Q346" s="698"/>
      <c r="R346" s="698"/>
      <c r="S346" s="698"/>
      <c r="T346" s="698"/>
      <c r="U346" s="698"/>
      <c r="V346" s="558"/>
      <c r="W346" s="698"/>
      <c r="X346" s="698"/>
      <c r="Y346" s="698"/>
      <c r="Z346" s="558"/>
      <c r="AA346" s="698"/>
      <c r="AB346" s="558"/>
      <c r="AC346" s="558"/>
    </row>
    <row r="347">
      <c r="A347" s="523"/>
      <c r="B347" s="612" t="str">
        <f>IFERROR(VLOOKUP(M347,'02. MM-KLH'!$B$6:$T$823,6,0),"")</f>
        <v>Máy cày bánh xích MOROOKA</v>
      </c>
      <c r="C347" s="566">
        <v>1.0</v>
      </c>
      <c r="D347" s="613" t="str">
        <f>IFERROR(VLOOKUP(M347,'02. MM-KLH'!$B$6:$T$823,16,0),"")</f>
        <v>MK-200</v>
      </c>
      <c r="E347" s="561" t="s">
        <v>4158</v>
      </c>
      <c r="F347" s="613"/>
      <c r="G347" s="613"/>
      <c r="H347" s="613" t="str">
        <f>IFERROR(VLOOKUP(M347,'02. MM-KLH'!$B$6:$T$823,17,0),"")</f>
        <v>200HP</v>
      </c>
      <c r="I347" s="614" t="str">
        <f>IFERROR(VLOOKUP(M347,'02. MM-KLH'!$B$6:$U$823,20,0),"")</f>
        <v/>
      </c>
      <c r="J347" s="612" t="str">
        <f>IFERROR(VLOOKUP(M347,'02. MM-KLH'!$B$6:$T$823,19,0),"")</f>
        <v>H06C TF11820</v>
      </c>
      <c r="K347" s="612" t="str">
        <f>IFERROR(VLOOKUP(M347,'02. MM-KLH'!$B$6:$T$823,18,0),"")</f>
        <v>T20022</v>
      </c>
      <c r="L347" s="613" t="str">
        <f>IFERROR(VLOOKUP(M347,'02. MM-KLH'!$B$6:$T$823,4,0),"")</f>
        <v/>
      </c>
      <c r="M347" s="488" t="s">
        <v>1882</v>
      </c>
      <c r="N347" s="615" t="str">
        <f>IFERROR(VLOOKUP(M347,'02. MM-KLH'!$B$6:$T$823,15,0),"")</f>
        <v/>
      </c>
      <c r="O347" s="616" t="str">
        <f>IFERROR(VLOOKUP(M347,'02. MM-KLH'!$B$6:$T$823,9,0),"")</f>
        <v>19/09/2025</v>
      </c>
      <c r="P347" s="613"/>
      <c r="Q347" s="566" t="s">
        <v>1565</v>
      </c>
      <c r="R347" s="613"/>
      <c r="S347" s="566" t="s">
        <v>4158</v>
      </c>
      <c r="T347" s="613"/>
      <c r="U347" s="559" t="str">
        <f>IFERROR(VLOOKUP(M347,'02. MM-KLH'!$B$6:$T$823,5,0),"")</f>
        <v>MỚI (ĐQSD)</v>
      </c>
      <c r="V347" s="523" t="str">
        <f>IFERROR(VLOOKUP(M347,'02. MM-KLH'!$B$6:$T$823,8,0),"")</f>
        <v>XN Bò AD</v>
      </c>
      <c r="W347" s="559" t="str">
        <f>IFERROR(VLOOKUP(V347,'NS QUẢN LÝ CG'!$A$4:$D$36,2,0),"")</f>
        <v>Trần Văn Nam</v>
      </c>
      <c r="X347" s="559" t="str">
        <f>IFERROR(VLOOKUP(V347,'NS QUẢN LÝ CG'!$A$4:$D$36,4,0),"")</f>
        <v>Lô 28 XN Bò</v>
      </c>
      <c r="Y347" s="559" t="str">
        <f>IFERROR(VLOOKUP(V347,'NS QUẢN LÝ CG'!$A$4:$C$36,3,0),"")</f>
        <v>0971993540</v>
      </c>
      <c r="Z347" s="523" t="str">
        <f>IFERROR(VLOOKUP(M347,'02. MM-KLH'!$B$6:$T$823,3,0),"")</f>
        <v>A22-MKX-002</v>
      </c>
      <c r="AA347" s="559" t="str">
        <f t="shared" ref="AA347:AA348" si="25">SWITCH(LEFT(Z347,3),"A22","ADM","A23","DP","A24","LP","")</f>
        <v>ADM</v>
      </c>
      <c r="AB347" s="523"/>
      <c r="AC347" s="523"/>
    </row>
    <row r="348">
      <c r="A348" s="523"/>
      <c r="B348" s="612" t="str">
        <f>IFERROR(VLOOKUP(M348,'02. MM-KLH'!$B$6:$T$823,6,0),"")</f>
        <v>Máy cày bánh xích MK 250</v>
      </c>
      <c r="C348" s="566">
        <v>1.0</v>
      </c>
      <c r="D348" s="613" t="str">
        <f>IFERROR(VLOOKUP(M348,'02. MM-KLH'!$B$6:$T$823,16,0),"")</f>
        <v>MK 250</v>
      </c>
      <c r="E348" s="561" t="s">
        <v>4158</v>
      </c>
      <c r="F348" s="613"/>
      <c r="G348" s="613"/>
      <c r="H348" s="613" t="str">
        <f>IFERROR(VLOOKUP(M348,'02. MM-KLH'!$B$6:$T$823,17,0),"")</f>
        <v>250HP</v>
      </c>
      <c r="I348" s="614" t="str">
        <f>IFERROR(VLOOKUP(M348,'02. MM-KLH'!$B$6:$U$823,20,0),"")</f>
        <v/>
      </c>
      <c r="J348" s="612" t="str">
        <f>IFERROR(VLOOKUP(M348,'02. MM-KLH'!$B$6:$T$823,19,0),"")</f>
        <v>6D108-19718</v>
      </c>
      <c r="K348" s="612" t="str">
        <f>IFERROR(VLOOKUP(M348,'02. MM-KLH'!$B$6:$T$823,18,0),"")</f>
        <v>T22032</v>
      </c>
      <c r="L348" s="613" t="str">
        <f>IFERROR(VLOOKUP(M348,'02. MM-KLH'!$B$6:$T$823,4,0),"")</f>
        <v/>
      </c>
      <c r="M348" s="488" t="s">
        <v>1898</v>
      </c>
      <c r="N348" s="615" t="str">
        <f>IFERROR(VLOOKUP(M348,'02. MM-KLH'!$B$6:$T$823,15,0),"")</f>
        <v/>
      </c>
      <c r="O348" s="616" t="str">
        <f>IFERROR(VLOOKUP(M348,'02. MM-KLH'!$B$6:$T$823,9,0),"")</f>
        <v>19/01/2026</v>
      </c>
      <c r="P348" s="613"/>
      <c r="Q348" s="566" t="s">
        <v>1565</v>
      </c>
      <c r="R348" s="566" t="s">
        <v>4158</v>
      </c>
      <c r="S348" s="613"/>
      <c r="T348" s="613"/>
      <c r="U348" s="559" t="str">
        <f>IFERROR(VLOOKUP(M348,'02. MM-KLH'!$B$6:$T$823,5,0),"")</f>
        <v>MỚI (ĐQSD)</v>
      </c>
      <c r="V348" s="523" t="str">
        <f>IFERROR(VLOOKUP(M348,'02. MM-KLH'!$B$6:$T$823,8,0),"")</f>
        <v>XN Bò AD</v>
      </c>
      <c r="W348" s="559" t="str">
        <f>IFERROR(VLOOKUP(V348,'NS QUẢN LÝ CG'!$A$4:$D$36,2,0),"")</f>
        <v>Trần Văn Nam</v>
      </c>
      <c r="X348" s="559" t="str">
        <f>IFERROR(VLOOKUP(V348,'NS QUẢN LÝ CG'!$A$4:$D$36,4,0),"")</f>
        <v>Lô 28 XN Bò</v>
      </c>
      <c r="Y348" s="559" t="str">
        <f>IFERROR(VLOOKUP(V348,'NS QUẢN LÝ CG'!$A$4:$C$36,3,0),"")</f>
        <v>0971993540</v>
      </c>
      <c r="Z348" s="523" t="str">
        <f>IFERROR(VLOOKUP(M348,'02. MM-KLH'!$B$6:$T$823,3,0),"")</f>
        <v>A22-MKX-004</v>
      </c>
      <c r="AA348" s="559" t="str">
        <f t="shared" si="25"/>
        <v>ADM</v>
      </c>
      <c r="AB348" s="523"/>
      <c r="AC348" s="523"/>
    </row>
    <row r="349">
      <c r="A349" s="523"/>
      <c r="B349" s="612" t="str">
        <f>IFERROR(VLOOKUP(M349,'02. MM-KLH'!$B$6:$T$823,6,0),"")</f>
        <v/>
      </c>
      <c r="C349" s="566"/>
      <c r="D349" s="613" t="str">
        <f>IFERROR(VLOOKUP(M349,'02. MM-KLH'!$B$6:$T$823,16,0),"")</f>
        <v/>
      </c>
      <c r="E349" s="613"/>
      <c r="F349" s="613"/>
      <c r="G349" s="613"/>
      <c r="H349" s="613" t="str">
        <f>IFERROR(VLOOKUP(M349,'02. MM-KLH'!$B$6:$T$823,17,0),"")</f>
        <v/>
      </c>
      <c r="I349" s="614" t="str">
        <f>IFERROR(VLOOKUP(M349,'02. MM-KLH'!$B$6:$U$823,20,0),"")</f>
        <v/>
      </c>
      <c r="J349" s="612" t="str">
        <f>IFERROR(VLOOKUP(M349,'02. MM-KLH'!$B$6:$T$823,19,0),"")</f>
        <v/>
      </c>
      <c r="K349" s="612" t="str">
        <f>IFERROR(VLOOKUP(M349,'02. MM-KLH'!$B$6:$T$823,18,0),"")</f>
        <v/>
      </c>
      <c r="L349" s="613" t="str">
        <f>IFERROR(VLOOKUP(M349,'02. MM-KLH'!$B$6:$T$823,4,0),"")</f>
        <v/>
      </c>
      <c r="M349" s="488"/>
      <c r="N349" s="615" t="str">
        <f>IFERROR(VLOOKUP(M349,'02. MM-KLH'!$B$6:$T$823,15,0),"")</f>
        <v/>
      </c>
      <c r="O349" s="616" t="str">
        <f>IFERROR(VLOOKUP(M349,'02. MM-KLH'!$B$6:$T$823,9,0),"")</f>
        <v/>
      </c>
      <c r="P349" s="613"/>
      <c r="Q349" s="613"/>
      <c r="R349" s="613"/>
      <c r="S349" s="613"/>
      <c r="T349" s="613"/>
      <c r="U349" s="613" t="str">
        <f>IFERROR(VLOOKUP(M349,'02. MM-KLH'!$B$6:$T$823,2,0),"")</f>
        <v/>
      </c>
      <c r="V349" s="523" t="str">
        <f>IFERROR(VLOOKUP(M349,'02. MM-KLH'!$B$6:$T$823,8,0),"")</f>
        <v/>
      </c>
      <c r="W349" s="559" t="str">
        <f>IFERROR(VLOOKUP(V349,'NS QUẢN LÝ CG'!$A$4:$D$36,2,0),"")</f>
        <v/>
      </c>
      <c r="X349" s="559" t="str">
        <f>IFERROR(VLOOKUP(V349,'NS QUẢN LÝ CG'!$A$4:$D$36,4,0),"")</f>
        <v/>
      </c>
      <c r="Y349" s="613"/>
      <c r="Z349" s="523" t="str">
        <f>IFERROR(VLOOKUP(M349,'02. MM-KLH'!$B$6:$T$823,3,0),"")</f>
        <v/>
      </c>
      <c r="AA349" s="613"/>
      <c r="AB349" s="523"/>
      <c r="AC349" s="523"/>
    </row>
    <row r="350">
      <c r="A350" s="695">
        <v>6.0</v>
      </c>
      <c r="B350" s="696" t="s">
        <v>2351</v>
      </c>
      <c r="C350" s="697">
        <f>COUNTA(B351:B353)</f>
        <v>1</v>
      </c>
      <c r="D350" s="698"/>
      <c r="E350" s="698"/>
      <c r="F350" s="698"/>
      <c r="G350" s="698"/>
      <c r="H350" s="558"/>
      <c r="I350" s="558"/>
      <c r="J350" s="699"/>
      <c r="K350" s="699"/>
      <c r="L350" s="698"/>
      <c r="M350" s="700"/>
      <c r="N350" s="698"/>
      <c r="O350" s="701"/>
      <c r="P350" s="698"/>
      <c r="Q350" s="698"/>
      <c r="R350" s="698"/>
      <c r="S350" s="698"/>
      <c r="T350" s="698"/>
      <c r="U350" s="698"/>
      <c r="V350" s="558"/>
      <c r="W350" s="698"/>
      <c r="X350" s="698"/>
      <c r="Y350" s="698"/>
      <c r="Z350" s="558"/>
      <c r="AA350" s="698"/>
      <c r="AB350" s="558"/>
      <c r="AC350" s="558"/>
    </row>
    <row r="351">
      <c r="A351" s="523"/>
      <c r="B351" s="612" t="str">
        <f>IFERROR(VLOOKUP(M351,'02. MM-KLH'!$B$6:$T$823,6,0),"")</f>
        <v>Xe bánh xích gom phân chuồng </v>
      </c>
      <c r="C351" s="566"/>
      <c r="D351" s="613" t="str">
        <f>IFERROR(VLOOKUP(M351,'02. MM-KLH'!$B$6:$T$823,16,0),"")</f>
        <v>MINGKO</v>
      </c>
      <c r="E351" s="561" t="s">
        <v>4158</v>
      </c>
      <c r="F351" s="613"/>
      <c r="G351" s="613"/>
      <c r="H351" s="613" t="str">
        <f>IFERROR(VLOOKUP(M351,'02. MM-KLH'!$B$6:$T$823,17,0),"")</f>
        <v>38.3HP</v>
      </c>
      <c r="I351" s="614" t="str">
        <f>IFERROR(VLOOKUP(M351,'02. MM-KLH'!$B$6:$U$823,20,0),"")</f>
        <v/>
      </c>
      <c r="J351" s="612" t="str">
        <f>IFERROR(VLOOKUP(M351,'02. MM-KLH'!$B$6:$T$823,19,0),"")</f>
        <v>31101A</v>
      </c>
      <c r="K351" s="612" t="str">
        <f>IFERROR(VLOOKUP(M351,'02. MM-KLH'!$B$6:$T$823,18,0),"")</f>
        <v>CCN</v>
      </c>
      <c r="L351" s="613" t="str">
        <f>IFERROR(VLOOKUP(M351,'02. MM-KLH'!$B$6:$T$823,4,0),"")</f>
        <v/>
      </c>
      <c r="M351" s="488" t="s">
        <v>2347</v>
      </c>
      <c r="N351" s="615">
        <f>IFERROR(VLOOKUP(M351,'02. MM-KLH'!$B$6:$T$823,15,0),"")</f>
        <v>2025</v>
      </c>
      <c r="O351" s="616" t="str">
        <f>IFERROR(VLOOKUP(M351,'02. MM-KLH'!$B$6:$T$823,9,0),"")</f>
        <v>16/01/2026</v>
      </c>
      <c r="P351" s="613"/>
      <c r="Q351" s="566" t="s">
        <v>1565</v>
      </c>
      <c r="R351" s="566" t="s">
        <v>4158</v>
      </c>
      <c r="S351" s="613"/>
      <c r="T351" s="613"/>
      <c r="U351" s="559" t="str">
        <f>IFERROR(VLOOKUP(M351,'02. MM-KLH'!$B$6:$T$823,5,0),"")</f>
        <v>MỚI</v>
      </c>
      <c r="V351" s="523" t="str">
        <f>IFERROR(VLOOKUP(M351,'02. MM-KLH'!$B$6:$T$823,8,0),"")</f>
        <v>XN Bò AD</v>
      </c>
      <c r="W351" s="559" t="str">
        <f>IFERROR(VLOOKUP(V351,'NS QUẢN LÝ CG'!$A$4:$D$36,2,0),"")</f>
        <v>Trần Văn Nam</v>
      </c>
      <c r="X351" s="559" t="str">
        <f>IFERROR(VLOOKUP(V351,'NS QUẢN LÝ CG'!$A$4:$D$36,4,0),"")</f>
        <v>Lô 28 XN Bò</v>
      </c>
      <c r="Y351" s="559" t="str">
        <f>IFERROR(VLOOKUP(V351,'NS QUẢN LÝ CG'!$A$4:$C$36,3,0),"")</f>
        <v>0971993540</v>
      </c>
      <c r="Z351" s="523" t="str">
        <f>IFERROR(VLOOKUP(M351,'02. MM-KLH'!$B$6:$T$823,3,0),"")</f>
        <v>A22-XBX-001</v>
      </c>
      <c r="AA351" s="559" t="str">
        <f>SWITCH(LEFT(Z351,3),"A22","ADM","A23","DP","A24","LP","")</f>
        <v>ADM</v>
      </c>
      <c r="AB351" s="523"/>
      <c r="AC351" s="523"/>
    </row>
    <row r="352">
      <c r="A352" s="523"/>
      <c r="B352" s="612" t="str">
        <f>IFERROR(VLOOKUP(M352,'02. MM-KLH'!$B$6:$T$823,6,0),"")</f>
        <v/>
      </c>
      <c r="C352" s="566"/>
      <c r="D352" s="613" t="str">
        <f>IFERROR(VLOOKUP(M352,'02. MM-KLH'!$B$6:$T$823,16,0),"")</f>
        <v/>
      </c>
      <c r="E352" s="613"/>
      <c r="F352" s="613"/>
      <c r="G352" s="613"/>
      <c r="H352" s="613" t="str">
        <f>IFERROR(VLOOKUP(M352,'02. MM-KLH'!$B$6:$T$823,17,0),"")</f>
        <v/>
      </c>
      <c r="I352" s="614" t="str">
        <f>IFERROR(VLOOKUP(M352,'02. MM-KLH'!$B$6:$U$823,20,0),"")</f>
        <v/>
      </c>
      <c r="J352" s="612" t="str">
        <f>IFERROR(VLOOKUP(M352,'02. MM-KLH'!$B$6:$T$823,19,0),"")</f>
        <v/>
      </c>
      <c r="K352" s="612" t="str">
        <f>IFERROR(VLOOKUP(M352,'02. MM-KLH'!$B$6:$T$823,18,0),"")</f>
        <v/>
      </c>
      <c r="L352" s="613" t="str">
        <f>IFERROR(VLOOKUP(M352,'02. MM-KLH'!$B$6:$T$823,4,0),"")</f>
        <v/>
      </c>
      <c r="M352" s="488"/>
      <c r="N352" s="615" t="str">
        <f>IFERROR(VLOOKUP(M352,'02. MM-KLH'!$B$6:$T$823,15,0),"")</f>
        <v/>
      </c>
      <c r="O352" s="616" t="str">
        <f>IFERROR(VLOOKUP(M352,'02. MM-KLH'!$B$6:$T$823,9,0),"")</f>
        <v/>
      </c>
      <c r="P352" s="613"/>
      <c r="Q352" s="613"/>
      <c r="R352" s="613"/>
      <c r="S352" s="613"/>
      <c r="T352" s="613"/>
      <c r="U352" s="613" t="str">
        <f>IFERROR(VLOOKUP(M352,'02. MM-KLH'!$B$6:$T$823,2,0),"")</f>
        <v/>
      </c>
      <c r="V352" s="523" t="str">
        <f>IFERROR(VLOOKUP(M352,'02. MM-KLH'!$B$6:$T$823,8,0),"")</f>
        <v/>
      </c>
      <c r="W352" s="559" t="str">
        <f>IFERROR(VLOOKUP(V352,'NS QUẢN LÝ CG'!$A$4:$D$36,2,0),"")</f>
        <v/>
      </c>
      <c r="X352" s="559" t="str">
        <f>IFERROR(VLOOKUP(V352,'NS QUẢN LÝ CG'!$A$4:$D$36,4,0),"")</f>
        <v/>
      </c>
      <c r="Y352" s="613"/>
      <c r="Z352" s="523" t="str">
        <f>IFERROR(VLOOKUP(M352,'02. MM-KLH'!$B$6:$T$823,3,0),"")</f>
        <v/>
      </c>
      <c r="AA352" s="613"/>
      <c r="AB352" s="523"/>
      <c r="AC352" s="523"/>
    </row>
    <row r="353" hidden="1">
      <c r="A353" s="523"/>
      <c r="B353" s="612" t="str">
        <f>IFERROR(VLOOKUP(M353,'02. MM-KLH'!$B$6:$T$823,6,0),"")</f>
        <v/>
      </c>
      <c r="C353" s="566"/>
      <c r="D353" s="613" t="str">
        <f>IFERROR(VLOOKUP(M353,'02. MM-KLH'!$B$6:$T$823,16,0),"")</f>
        <v/>
      </c>
      <c r="E353" s="613"/>
      <c r="F353" s="613"/>
      <c r="G353" s="613"/>
      <c r="H353" s="613" t="str">
        <f>IFERROR(VLOOKUP(M353,'02. MM-KLH'!$B$6:$T$823,17,0),"")</f>
        <v/>
      </c>
      <c r="I353" s="614" t="str">
        <f>IFERROR(VLOOKUP(M353,'02. MM-KLH'!$B$6:$U$823,20,0),"")</f>
        <v/>
      </c>
      <c r="J353" s="612" t="str">
        <f>IFERROR(VLOOKUP(M353,'02. MM-KLH'!$B$6:$T$823,19,0),"")</f>
        <v/>
      </c>
      <c r="K353" s="612" t="str">
        <f>IFERROR(VLOOKUP(M353,'02. MM-KLH'!$B$6:$T$823,18,0),"")</f>
        <v/>
      </c>
      <c r="L353" s="613" t="str">
        <f>IFERROR(VLOOKUP(M353,'02. MM-KLH'!$B$6:$T$823,4,0),"")</f>
        <v/>
      </c>
      <c r="M353" s="488"/>
      <c r="N353" s="615" t="str">
        <f>IFERROR(VLOOKUP(M353,'02. MM-KLH'!$B$6:$T$823,15,0),"")</f>
        <v/>
      </c>
      <c r="O353" s="616" t="str">
        <f>IFERROR(VLOOKUP(M353,'02. MM-KLH'!$B$6:$T$823,9,0),"")</f>
        <v/>
      </c>
      <c r="P353" s="613"/>
      <c r="Q353" s="613"/>
      <c r="R353" s="613"/>
      <c r="S353" s="613"/>
      <c r="T353" s="613"/>
      <c r="U353" s="613" t="str">
        <f>IFERROR(VLOOKUP(M353,'02. MM-KLH'!$B$6:$T$823,2,0),"")</f>
        <v/>
      </c>
      <c r="V353" s="523" t="str">
        <f>IFERROR(VLOOKUP(M353,'02. MM-KLH'!$B$6:$T$823,8,0),"")</f>
        <v/>
      </c>
      <c r="W353" s="613"/>
      <c r="X353" s="613"/>
      <c r="Y353" s="613"/>
      <c r="Z353" s="523" t="str">
        <f>IFERROR(VLOOKUP(M353,'02. MM-KLH'!$B$6:$T$823,3,0),"")</f>
        <v/>
      </c>
      <c r="AA353" s="613"/>
      <c r="AB353" s="523"/>
      <c r="AC353" s="523"/>
    </row>
    <row r="354">
      <c r="A354" s="752" t="s">
        <v>5929</v>
      </c>
      <c r="B354" s="30"/>
      <c r="C354" s="537">
        <f>SUM(C355,C437,C472,C515,C498)</f>
        <v>146</v>
      </c>
      <c r="D354" s="538"/>
      <c r="E354" s="538"/>
      <c r="F354" s="538"/>
      <c r="G354" s="538"/>
      <c r="H354" s="539"/>
      <c r="I354" s="539"/>
      <c r="J354" s="540"/>
      <c r="K354" s="540"/>
      <c r="L354" s="538"/>
      <c r="M354" s="753"/>
      <c r="N354" s="538"/>
      <c r="O354" s="541"/>
      <c r="P354" s="538"/>
      <c r="Q354" s="538"/>
      <c r="R354" s="538"/>
      <c r="S354" s="538"/>
      <c r="T354" s="538"/>
      <c r="U354" s="538"/>
      <c r="V354" s="539"/>
      <c r="W354" s="538"/>
      <c r="X354" s="538"/>
      <c r="Y354" s="538"/>
      <c r="Z354" s="539"/>
      <c r="AA354" s="538"/>
      <c r="AB354" s="539"/>
      <c r="AC354" s="754"/>
    </row>
    <row r="355">
      <c r="A355" s="542" t="s">
        <v>2947</v>
      </c>
      <c r="B355" s="543" t="s">
        <v>5930</v>
      </c>
      <c r="C355" s="544">
        <f>SUM(C356,C412,C420)</f>
        <v>69</v>
      </c>
      <c r="D355" s="545"/>
      <c r="E355" s="545"/>
      <c r="F355" s="545"/>
      <c r="G355" s="545"/>
      <c r="H355" s="545"/>
      <c r="I355" s="546"/>
      <c r="J355" s="547"/>
      <c r="K355" s="547"/>
      <c r="L355" s="545"/>
      <c r="M355" s="545"/>
      <c r="N355" s="545"/>
      <c r="O355" s="548"/>
      <c r="P355" s="545"/>
      <c r="Q355" s="545"/>
      <c r="R355" s="545"/>
      <c r="S355" s="545"/>
      <c r="T355" s="545"/>
      <c r="U355" s="545"/>
      <c r="V355" s="546"/>
      <c r="W355" s="545"/>
      <c r="X355" s="545"/>
      <c r="Y355" s="545"/>
      <c r="Z355" s="546"/>
      <c r="AA355" s="545"/>
      <c r="AB355" s="546"/>
      <c r="AC355" s="549"/>
    </row>
    <row r="356">
      <c r="A356" s="695">
        <v>1.0</v>
      </c>
      <c r="B356" s="696" t="s">
        <v>5931</v>
      </c>
      <c r="C356" s="697">
        <f>COUNTA(B357:B411)</f>
        <v>52</v>
      </c>
      <c r="D356" s="698" t="str">
        <f>IFERROR(VLOOKUP(M356,'02. MM-KLH'!$B$6:$T$823,16,0),"")</f>
        <v/>
      </c>
      <c r="E356" s="698"/>
      <c r="F356" s="698"/>
      <c r="G356" s="698"/>
      <c r="H356" s="558" t="str">
        <f>IFERROR(VLOOKUP(M356,'02. MM-KLH'!$B$6:$T$823,17,0),"")</f>
        <v/>
      </c>
      <c r="I356" s="558" t="str">
        <f>IFERROR(VLOOKUP(M356,'02. MM-KLH'!$B$6:$U$823,20,0),"")</f>
        <v/>
      </c>
      <c r="J356" s="699" t="str">
        <f>IFERROR(VLOOKUP(M356,'02. MM-KLH'!$B$6:$T$823,19,0),"")</f>
        <v/>
      </c>
      <c r="K356" s="699" t="str">
        <f>IFERROR(VLOOKUP(M356,'02. MM-KLH'!$B$6:$T$823,18,0),"")</f>
        <v/>
      </c>
      <c r="L356" s="698" t="str">
        <f>IFERROR(VLOOKUP(M356,'02. MM-KLH'!$B$6:$T$823,4,0),"")</f>
        <v/>
      </c>
      <c r="M356" s="700"/>
      <c r="N356" s="698" t="str">
        <f>IFERROR(VLOOKUP(M356,'02. MM-KLH'!$B$6:$T$823,15,0),"")</f>
        <v/>
      </c>
      <c r="O356" s="701" t="str">
        <f>IFERROR(VLOOKUP(M356,'02. MM-KLH'!$B$6:$T$823,9,0),"")</f>
        <v/>
      </c>
      <c r="P356" s="698"/>
      <c r="Q356" s="698"/>
      <c r="R356" s="698"/>
      <c r="S356" s="698"/>
      <c r="T356" s="698"/>
      <c r="U356" s="698" t="str">
        <f>IFERROR(VLOOKUP(M356,'02. MM-KLH'!$B$6:$T$823,2,0),"")</f>
        <v/>
      </c>
      <c r="V356" s="558" t="str">
        <f>IFERROR(VLOOKUP(M356,'02. MM-KLH'!$B$6:$T$823,8,0),"")</f>
        <v/>
      </c>
      <c r="W356" s="698"/>
      <c r="X356" s="698"/>
      <c r="Y356" s="698"/>
      <c r="Z356" s="558" t="str">
        <f>IFERROR(VLOOKUP(M356,'02. MM-KLH'!$B$6:$T$823,3,0),"")</f>
        <v/>
      </c>
      <c r="AA356" s="698"/>
      <c r="AB356" s="558"/>
      <c r="AC356" s="558"/>
    </row>
    <row r="357">
      <c r="A357" s="523"/>
      <c r="B357" s="612" t="str">
        <f>IFERROR(VLOOKUP(M357,'02. MM-KLH'!$B$6:$T$823,6,0),"")</f>
        <v>Xe ben FD150</v>
      </c>
      <c r="C357" s="566">
        <v>1.0</v>
      </c>
      <c r="D357" s="613" t="str">
        <f>IFERROR(VLOOKUP(M357,'02. MM-KLH'!$B$6:$T$823,16,0),"")</f>
        <v>FD150-4WD </v>
      </c>
      <c r="E357" s="561" t="s">
        <v>4158</v>
      </c>
      <c r="F357" s="613"/>
      <c r="G357" s="613"/>
      <c r="H357" s="613" t="str">
        <f>IFERROR(VLOOKUP(M357,'02. MM-KLH'!$B$6:$T$823,17,0),"")</f>
        <v>150HP</v>
      </c>
      <c r="I357" s="614">
        <f>IFERROR(VLOOKUP(M357,'02. MM-KLH'!$B$6:$U$823,20,0),"")</f>
        <v>0.63</v>
      </c>
      <c r="J357" s="612" t="str">
        <f>IFERROR(VLOOKUP(M357,'02. MM-KLH'!$B$6:$T$823,19,0),"")</f>
        <v>D59M1N01254</v>
      </c>
      <c r="K357" s="612" t="str">
        <f>IFERROR(VLOOKUP(M357,'02. MM-KLH'!$B$6:$T$823,18,0),"")</f>
        <v>RNHF16FYART000834</v>
      </c>
      <c r="L357" s="613" t="str">
        <f>IFERROR(VLOOKUP(M357,'02. MM-KLH'!$B$6:$T$823,4,0),"")</f>
        <v>3A-6816</v>
      </c>
      <c r="M357" s="488" t="s">
        <v>294</v>
      </c>
      <c r="N357" s="615">
        <f>IFERROR(VLOOKUP(M357,'02. MM-KLH'!$B$6:$T$823,15,0),"")</f>
        <v>2024</v>
      </c>
      <c r="O357" s="616">
        <f>IFERROR(VLOOKUP(M357,'02. MM-KLH'!$B$6:$T$823,9,0),"")</f>
        <v>45841</v>
      </c>
      <c r="P357" s="583">
        <v>29767.0</v>
      </c>
      <c r="Q357" s="613"/>
      <c r="R357" s="566" t="s">
        <v>4158</v>
      </c>
      <c r="S357" s="613"/>
      <c r="T357" s="613"/>
      <c r="U357" s="559" t="str">
        <f>IFERROR(VLOOKUP(M357,'02. MM-KLH'!$B$6:$T$823,5,0),"")</f>
        <v>MỚI</v>
      </c>
      <c r="V357" s="523" t="str">
        <f>IFERROR(VLOOKUP(M357,'02. MM-KLH'!$B$6:$T$823,8,0),"")</f>
        <v>CGTC DP</v>
      </c>
      <c r="W357" s="559" t="str">
        <f>IFERROR(VLOOKUP(V357,'NS QUẢN LÝ CG'!$A$4:$D$36,2,0),"")</f>
        <v>Phạm Ngọc Hải</v>
      </c>
      <c r="X357" s="559" t="str">
        <f>IFERROR(VLOOKUP(V357,'NS QUẢN LÝ CG'!$A$4:$D$36,4,0),"")</f>
        <v>Lô 85 DP4</v>
      </c>
      <c r="Y357" s="559" t="str">
        <f>IFERROR(VLOOKUP(V357,'NS QUẢN LÝ CG'!$A$4:$C$36,3,0),"")</f>
        <v>0825456565</v>
      </c>
      <c r="Z357" s="523" t="str">
        <f>IFERROR(VLOOKUP(M357,'02. MM-KLH'!$B$6:$T$823,3,0),"")</f>
        <v>A23-XTA-030</v>
      </c>
      <c r="AA357" s="559" t="str">
        <f t="shared" ref="AA357:AA372" si="26">SWITCH(LEFT(Z357,3),"A22","ADM","A23","DP","A24","LP","")</f>
        <v>DP</v>
      </c>
      <c r="AB357" s="523"/>
      <c r="AC357" s="523"/>
    </row>
    <row r="358">
      <c r="A358" s="523"/>
      <c r="B358" s="612" t="str">
        <f>IFERROR(VLOOKUP(M358,'02. MM-KLH'!$B$6:$T$823,6,0),"")</f>
        <v>Xe ben FD150</v>
      </c>
      <c r="C358" s="566">
        <v>1.0</v>
      </c>
      <c r="D358" s="613" t="str">
        <f>IFERROR(VLOOKUP(M358,'02. MM-KLH'!$B$6:$T$823,16,0),"")</f>
        <v>FD150-4WD</v>
      </c>
      <c r="E358" s="561" t="s">
        <v>4158</v>
      </c>
      <c r="F358" s="613"/>
      <c r="G358" s="613"/>
      <c r="H358" s="613" t="str">
        <f>IFERROR(VLOOKUP(M358,'02. MM-KLH'!$B$6:$T$823,17,0),"")</f>
        <v>150HP</v>
      </c>
      <c r="I358" s="614">
        <f>IFERROR(VLOOKUP(M358,'02. MM-KLH'!$B$6:$U$823,20,0),"")</f>
        <v>0.63</v>
      </c>
      <c r="J358" s="612" t="str">
        <f>IFERROR(VLOOKUP(M358,'02. MM-KLH'!$B$6:$T$823,19,0),"")</f>
        <v>D59M1N01360</v>
      </c>
      <c r="K358" s="612" t="str">
        <f>IFERROR(VLOOKUP(M358,'02. MM-KLH'!$B$6:$T$823,18,0),"")</f>
        <v>RNHF16FYART000835</v>
      </c>
      <c r="L358" s="613" t="str">
        <f>IFERROR(VLOOKUP(M358,'02. MM-KLH'!$B$6:$T$823,4,0),"")</f>
        <v>3A-6817</v>
      </c>
      <c r="M358" s="488" t="s">
        <v>304</v>
      </c>
      <c r="N358" s="615">
        <f>IFERROR(VLOOKUP(M358,'02. MM-KLH'!$B$6:$T$823,15,0),"")</f>
        <v>2024</v>
      </c>
      <c r="O358" s="616">
        <f>IFERROR(VLOOKUP(M358,'02. MM-KLH'!$B$6:$T$823,9,0),"")</f>
        <v>45841</v>
      </c>
      <c r="P358" s="566">
        <v>31469.0</v>
      </c>
      <c r="Q358" s="613"/>
      <c r="R358" s="566" t="s">
        <v>4158</v>
      </c>
      <c r="S358" s="613"/>
      <c r="T358" s="613"/>
      <c r="U358" s="559" t="str">
        <f>IFERROR(VLOOKUP(M358,'02. MM-KLH'!$B$6:$T$823,5,0),"")</f>
        <v>MỚI</v>
      </c>
      <c r="V358" s="523" t="str">
        <f>IFERROR(VLOOKUP(M358,'02. MM-KLH'!$B$6:$T$823,8,0),"")</f>
        <v>CGTC DP</v>
      </c>
      <c r="W358" s="559" t="str">
        <f>IFERROR(VLOOKUP(V358,'NS QUẢN LÝ CG'!$A$4:$D$36,2,0),"")</f>
        <v>Phạm Ngọc Hải</v>
      </c>
      <c r="X358" s="559" t="str">
        <f>IFERROR(VLOOKUP(V358,'NS QUẢN LÝ CG'!$A$4:$D$36,4,0),"")</f>
        <v>Lô 85 DP4</v>
      </c>
      <c r="Y358" s="559" t="str">
        <f>IFERROR(VLOOKUP(V358,'NS QUẢN LÝ CG'!$A$4:$C$36,3,0),"")</f>
        <v>0825456565</v>
      </c>
      <c r="Z358" s="523" t="str">
        <f>IFERROR(VLOOKUP(M358,'02. MM-KLH'!$B$6:$T$823,3,0),"")</f>
        <v>A23-XTA-031</v>
      </c>
      <c r="AA358" s="559" t="str">
        <f t="shared" si="26"/>
        <v>DP</v>
      </c>
      <c r="AB358" s="523"/>
      <c r="AC358" s="523"/>
    </row>
    <row r="359">
      <c r="A359" s="523"/>
      <c r="B359" s="612" t="str">
        <f>IFERROR(VLOOKUP(M359,'02. MM-KLH'!$B$6:$T$823,6,0),"")</f>
        <v>Xe ben FD150</v>
      </c>
      <c r="C359" s="566">
        <v>1.0</v>
      </c>
      <c r="D359" s="613" t="str">
        <f>IFERROR(VLOOKUP(M359,'02. MM-KLH'!$B$6:$T$823,16,0),"")</f>
        <v>FD150-4WD</v>
      </c>
      <c r="E359" s="561" t="s">
        <v>4158</v>
      </c>
      <c r="F359" s="613"/>
      <c r="G359" s="613"/>
      <c r="H359" s="613" t="str">
        <f>IFERROR(VLOOKUP(M359,'02. MM-KLH'!$B$6:$T$823,17,0),"")</f>
        <v>150HP</v>
      </c>
      <c r="I359" s="614">
        <f>IFERROR(VLOOKUP(M359,'02. MM-KLH'!$B$6:$U$823,20,0),"")</f>
        <v>1</v>
      </c>
      <c r="J359" s="612" t="str">
        <f>IFERROR(VLOOKUP(M359,'02. MM-KLH'!$B$6:$T$823,19,0),"")</f>
        <v>D59M1N01292</v>
      </c>
      <c r="K359" s="612" t="str">
        <f>IFERROR(VLOOKUP(M359,'02. MM-KLH'!$B$6:$T$823,18,0),"")</f>
        <v>RNHF16FYART000830</v>
      </c>
      <c r="L359" s="613" t="str">
        <f>IFERROR(VLOOKUP(M359,'02. MM-KLH'!$B$6:$T$823,4,0),"")</f>
        <v>3A-6813</v>
      </c>
      <c r="M359" s="490" t="s">
        <v>463</v>
      </c>
      <c r="N359" s="615">
        <f>IFERROR(VLOOKUP(M359,'02. MM-KLH'!$B$6:$T$823,15,0),"")</f>
        <v>2024</v>
      </c>
      <c r="O359" s="616">
        <f>IFERROR(VLOOKUP(M359,'02. MM-KLH'!$B$6:$T$823,9,0),"")</f>
        <v>45841</v>
      </c>
      <c r="P359" s="566" t="s">
        <v>1565</v>
      </c>
      <c r="Q359" s="613"/>
      <c r="R359" s="613"/>
      <c r="S359" s="566" t="s">
        <v>4158</v>
      </c>
      <c r="T359" s="613"/>
      <c r="U359" s="559" t="str">
        <f>IFERROR(VLOOKUP(M359,'02. MM-KLH'!$B$6:$T$823,5,0),"")</f>
        <v>MỚI</v>
      </c>
      <c r="V359" s="523" t="str">
        <f>IFERROR(VLOOKUP(M359,'02. MM-KLH'!$B$6:$T$823,8,0),"")</f>
        <v>CGTC LP</v>
      </c>
      <c r="W359" s="559" t="str">
        <f>IFERROR(VLOOKUP(V359,'NS QUẢN LÝ CG'!$A$4:$D$36,2,0),"")</f>
        <v>Đỗ Đức Nghĩa</v>
      </c>
      <c r="X359" s="559" t="str">
        <f>IFERROR(VLOOKUP(V359,'NS QUẢN LÝ CG'!$A$4:$D$36,4,0),"")</f>
        <v>NOCN L.4-LP3</v>
      </c>
      <c r="Y359" s="559" t="str">
        <f>IFERROR(VLOOKUP(V359,'NS QUẢN LÝ CG'!$A$4:$C$36,3,0),"")</f>
        <v>0971462780</v>
      </c>
      <c r="Z359" s="523" t="str">
        <f>IFERROR(VLOOKUP(M359,'02. MM-KLH'!$B$6:$T$823,3,0),"")</f>
        <v>A24-XTA-032</v>
      </c>
      <c r="AA359" s="559" t="str">
        <f t="shared" si="26"/>
        <v>LP</v>
      </c>
      <c r="AB359" s="523"/>
      <c r="AC359" s="523"/>
    </row>
    <row r="360">
      <c r="A360" s="523"/>
      <c r="B360" s="612" t="str">
        <f>IFERROR(VLOOKUP(M360,'02. MM-KLH'!$B$6:$T$823,6,0),"")</f>
        <v>Xe ben FD150</v>
      </c>
      <c r="C360" s="566">
        <v>1.0</v>
      </c>
      <c r="D360" s="613" t="str">
        <f>IFERROR(VLOOKUP(M360,'02. MM-KLH'!$B$6:$T$823,16,0),"")</f>
        <v>FD150-4WD</v>
      </c>
      <c r="E360" s="561" t="s">
        <v>4158</v>
      </c>
      <c r="F360" s="613"/>
      <c r="G360" s="613"/>
      <c r="H360" s="613" t="str">
        <f>IFERROR(VLOOKUP(M360,'02. MM-KLH'!$B$6:$T$823,17,0),"")</f>
        <v>150HP</v>
      </c>
      <c r="I360" s="614">
        <f>IFERROR(VLOOKUP(M360,'02. MM-KLH'!$B$6:$U$823,20,0),"")</f>
        <v>1</v>
      </c>
      <c r="J360" s="612" t="str">
        <f>IFERROR(VLOOKUP(M360,'02. MM-KLH'!$B$6:$T$823,19,0),"")</f>
        <v>D59M1N01308</v>
      </c>
      <c r="K360" s="612" t="str">
        <f>IFERROR(VLOOKUP(M360,'02. MM-KLH'!$B$6:$T$823,18,0),"")</f>
        <v>RNHF16FYART000831</v>
      </c>
      <c r="L360" s="613" t="str">
        <f>IFERROR(VLOOKUP(M360,'02. MM-KLH'!$B$6:$T$823,4,0),"")</f>
        <v>3A-6804</v>
      </c>
      <c r="M360" s="490" t="s">
        <v>469</v>
      </c>
      <c r="N360" s="615">
        <f>IFERROR(VLOOKUP(M360,'02. MM-KLH'!$B$6:$T$823,15,0),"")</f>
        <v>2024</v>
      </c>
      <c r="O360" s="616">
        <f>IFERROR(VLOOKUP(M360,'02. MM-KLH'!$B$6:$T$823,9,0),"")</f>
        <v>45841</v>
      </c>
      <c r="P360" s="757">
        <v>26488.0</v>
      </c>
      <c r="Q360" s="613"/>
      <c r="R360" s="566" t="s">
        <v>4158</v>
      </c>
      <c r="S360" s="613"/>
      <c r="T360" s="613"/>
      <c r="U360" s="559" t="str">
        <f>IFERROR(VLOOKUP(M360,'02. MM-KLH'!$B$6:$T$823,5,0),"")</f>
        <v>MỚI</v>
      </c>
      <c r="V360" s="523" t="str">
        <f>IFERROR(VLOOKUP(M360,'02. MM-KLH'!$B$6:$T$823,8,0),"")</f>
        <v>CGTC LP</v>
      </c>
      <c r="W360" s="559" t="str">
        <f>IFERROR(VLOOKUP(V360,'NS QUẢN LÝ CG'!$A$4:$D$36,2,0),"")</f>
        <v>Đỗ Đức Nghĩa</v>
      </c>
      <c r="X360" s="559" t="str">
        <f>IFERROR(VLOOKUP(V360,'NS QUẢN LÝ CG'!$A$4:$D$36,4,0),"")</f>
        <v>NOCN L.4-LP3</v>
      </c>
      <c r="Y360" s="559" t="str">
        <f>IFERROR(VLOOKUP(V360,'NS QUẢN LÝ CG'!$A$4:$C$36,3,0),"")</f>
        <v>0971462780</v>
      </c>
      <c r="Z360" s="523" t="str">
        <f>IFERROR(VLOOKUP(M360,'02. MM-KLH'!$B$6:$T$823,3,0),"")</f>
        <v>A24-XTA-033</v>
      </c>
      <c r="AA360" s="559" t="str">
        <f t="shared" si="26"/>
        <v>LP</v>
      </c>
      <c r="AB360" s="523"/>
      <c r="AC360" s="523"/>
    </row>
    <row r="361">
      <c r="A361" s="523"/>
      <c r="B361" s="612" t="str">
        <f>IFERROR(VLOOKUP(M361,'02. MM-KLH'!$B$6:$T$823,6,0),"")</f>
        <v>Xe ben FC150</v>
      </c>
      <c r="C361" s="566">
        <v>1.0</v>
      </c>
      <c r="D361" s="613" t="str">
        <f>IFERROR(VLOOKUP(M361,'02. MM-KLH'!$B$6:$T$823,16,0),"")</f>
        <v>FC150-4WD</v>
      </c>
      <c r="E361" s="561" t="s">
        <v>4158</v>
      </c>
      <c r="F361" s="613"/>
      <c r="G361" s="613"/>
      <c r="H361" s="613" t="str">
        <f>IFERROR(VLOOKUP(M361,'02. MM-KLH'!$B$6:$T$823,17,0),"")</f>
        <v>150HP</v>
      </c>
      <c r="I361" s="614">
        <f>IFERROR(VLOOKUP(M361,'02. MM-KLH'!$B$6:$U$823,20,0),"")</f>
        <v>4.5</v>
      </c>
      <c r="J361" s="612" t="str">
        <f>IFERROR(VLOOKUP(M361,'02. MM-KLH'!$B$6:$T$823,19,0),"")</f>
        <v>D59M1N01088</v>
      </c>
      <c r="K361" s="612" t="str">
        <f>IFERROR(VLOOKUP(M361,'02. MM-KLH'!$B$6:$T$823,18,0),"")</f>
        <v>RNHF16FYBRT000132</v>
      </c>
      <c r="L361" s="613" t="str">
        <f>IFERROR(VLOOKUP(M361,'02. MM-KLH'!$B$6:$T$823,4,0),"")</f>
        <v/>
      </c>
      <c r="M361" s="488" t="s">
        <v>310</v>
      </c>
      <c r="N361" s="615">
        <f>IFERROR(VLOOKUP(M361,'02. MM-KLH'!$B$6:$T$823,15,0),"")</f>
        <v>2024</v>
      </c>
      <c r="O361" s="616" t="str">
        <f>IFERROR(VLOOKUP(M361,'02. MM-KLH'!$B$6:$T$823,9,0),"")</f>
        <v>29/05/2025</v>
      </c>
      <c r="P361" s="566" t="s">
        <v>1565</v>
      </c>
      <c r="Q361" s="613"/>
      <c r="R361" s="566" t="s">
        <v>4158</v>
      </c>
      <c r="S361" s="613"/>
      <c r="T361" s="613"/>
      <c r="U361" s="559" t="str">
        <f>IFERROR(VLOOKUP(M361,'02. MM-KLH'!$B$6:$T$823,5,0),"")</f>
        <v>MỚI</v>
      </c>
      <c r="V361" s="523" t="str">
        <f>IFERROR(VLOOKUP(M361,'02. MM-KLH'!$B$6:$T$823,8,0),"")</f>
        <v>CGTC DP</v>
      </c>
      <c r="W361" s="559" t="str">
        <f>IFERROR(VLOOKUP(V361,'NS QUẢN LÝ CG'!$A$4:$D$36,2,0),"")</f>
        <v>Phạm Ngọc Hải</v>
      </c>
      <c r="X361" s="559" t="str">
        <f>IFERROR(VLOOKUP(V361,'NS QUẢN LÝ CG'!$A$4:$D$36,4,0),"")</f>
        <v>Lô 85 DP4</v>
      </c>
      <c r="Y361" s="559" t="str">
        <f>IFERROR(VLOOKUP(V361,'NS QUẢN LÝ CG'!$A$4:$C$36,3,0),"")</f>
        <v>0825456565</v>
      </c>
      <c r="Z361" s="523" t="str">
        <f>IFERROR(VLOOKUP(M361,'02. MM-KLH'!$B$6:$T$823,3,0),"")</f>
        <v>A23-XTA-037</v>
      </c>
      <c r="AA361" s="559" t="str">
        <f t="shared" si="26"/>
        <v>DP</v>
      </c>
      <c r="AB361" s="523"/>
      <c r="AC361" s="523"/>
    </row>
    <row r="362">
      <c r="A362" s="523"/>
      <c r="B362" s="612" t="str">
        <f>IFERROR(VLOOKUP(M362,'02. MM-KLH'!$B$6:$T$823,6,0),"")</f>
        <v>Xe ben FC150</v>
      </c>
      <c r="C362" s="566">
        <v>1.0</v>
      </c>
      <c r="D362" s="613" t="str">
        <f>IFERROR(VLOOKUP(M362,'02. MM-KLH'!$B$6:$T$823,16,0),"")</f>
        <v>FC150-4WD</v>
      </c>
      <c r="E362" s="561" t="s">
        <v>4158</v>
      </c>
      <c r="F362" s="613"/>
      <c r="G362" s="613"/>
      <c r="H362" s="613" t="str">
        <f>IFERROR(VLOOKUP(M362,'02. MM-KLH'!$B$6:$T$823,17,0),"")</f>
        <v>150HP</v>
      </c>
      <c r="I362" s="614">
        <f>IFERROR(VLOOKUP(M362,'02. MM-KLH'!$B$6:$U$823,20,0),"")</f>
        <v>0.63</v>
      </c>
      <c r="J362" s="612" t="str">
        <f>IFERROR(VLOOKUP(M362,'02. MM-KLH'!$B$6:$T$823,19,0),"")</f>
        <v>D59M1N01089</v>
      </c>
      <c r="K362" s="612" t="str">
        <f>IFERROR(VLOOKUP(M362,'02. MM-KLH'!$B$6:$T$823,18,0),"")</f>
        <v>RNHF16FYBRT000133</v>
      </c>
      <c r="L362" s="613" t="str">
        <f>IFERROR(VLOOKUP(M362,'02. MM-KLH'!$B$6:$T$823,4,0),"")</f>
        <v/>
      </c>
      <c r="M362" s="488" t="s">
        <v>318</v>
      </c>
      <c r="N362" s="615">
        <f>IFERROR(VLOOKUP(M362,'02. MM-KLH'!$B$6:$T$823,15,0),"")</f>
        <v>2024</v>
      </c>
      <c r="O362" s="616" t="str">
        <f>IFERROR(VLOOKUP(M362,'02. MM-KLH'!$B$6:$T$823,9,0),"")</f>
        <v>29/05/2025</v>
      </c>
      <c r="P362" s="566" t="s">
        <v>1565</v>
      </c>
      <c r="Q362" s="613"/>
      <c r="R362" s="566" t="s">
        <v>4158</v>
      </c>
      <c r="S362" s="613"/>
      <c r="T362" s="613"/>
      <c r="U362" s="559" t="str">
        <f>IFERROR(VLOOKUP(M362,'02. MM-KLH'!$B$6:$T$823,5,0),"")</f>
        <v>MỚI</v>
      </c>
      <c r="V362" s="523" t="str">
        <f>IFERROR(VLOOKUP(M362,'02. MM-KLH'!$B$6:$T$823,8,0),"")</f>
        <v>CGTC DP</v>
      </c>
      <c r="W362" s="559" t="str">
        <f>IFERROR(VLOOKUP(V362,'NS QUẢN LÝ CG'!$A$4:$D$36,2,0),"")</f>
        <v>Phạm Ngọc Hải</v>
      </c>
      <c r="X362" s="559" t="str">
        <f>IFERROR(VLOOKUP(V362,'NS QUẢN LÝ CG'!$A$4:$D$36,4,0),"")</f>
        <v>Lô 85 DP4</v>
      </c>
      <c r="Y362" s="559" t="str">
        <f>IFERROR(VLOOKUP(V362,'NS QUẢN LÝ CG'!$A$4:$C$36,3,0),"")</f>
        <v>0825456565</v>
      </c>
      <c r="Z362" s="523" t="str">
        <f>IFERROR(VLOOKUP(M362,'02. MM-KLH'!$B$6:$T$823,3,0),"")</f>
        <v>A23-XTA-038</v>
      </c>
      <c r="AA362" s="559" t="str">
        <f t="shared" si="26"/>
        <v>DP</v>
      </c>
      <c r="AB362" s="523"/>
      <c r="AC362" s="523"/>
    </row>
    <row r="363">
      <c r="A363" s="523"/>
      <c r="B363" s="612" t="str">
        <f>IFERROR(VLOOKUP(M363,'02. MM-KLH'!$B$6:$T$823,6,0),"")</f>
        <v>Xe ben FC150</v>
      </c>
      <c r="C363" s="566">
        <v>1.0</v>
      </c>
      <c r="D363" s="613" t="str">
        <f>IFERROR(VLOOKUP(M363,'02. MM-KLH'!$B$6:$T$823,16,0),"")</f>
        <v>FC150-4WD</v>
      </c>
      <c r="E363" s="561" t="s">
        <v>4158</v>
      </c>
      <c r="F363" s="613"/>
      <c r="G363" s="613"/>
      <c r="H363" s="613" t="str">
        <f>IFERROR(VLOOKUP(M363,'02. MM-KLH'!$B$6:$T$823,17,0),"")</f>
        <v>150HP</v>
      </c>
      <c r="I363" s="614">
        <f>IFERROR(VLOOKUP(M363,'02. MM-KLH'!$B$6:$U$823,20,0),"")</f>
        <v>0.63</v>
      </c>
      <c r="J363" s="612" t="str">
        <f>IFERROR(VLOOKUP(M363,'02. MM-KLH'!$B$6:$T$823,19,0),"")</f>
        <v>D59M1N01091</v>
      </c>
      <c r="K363" s="612" t="str">
        <f>IFERROR(VLOOKUP(M363,'02. MM-KLH'!$B$6:$T$823,18,0),"")</f>
        <v>RNHF16FYBRT000134</v>
      </c>
      <c r="L363" s="613" t="str">
        <f>IFERROR(VLOOKUP(M363,'02. MM-KLH'!$B$6:$T$823,4,0),"")</f>
        <v/>
      </c>
      <c r="M363" s="488" t="s">
        <v>323</v>
      </c>
      <c r="N363" s="615">
        <f>IFERROR(VLOOKUP(M363,'02. MM-KLH'!$B$6:$T$823,15,0),"")</f>
        <v>2024</v>
      </c>
      <c r="O363" s="616" t="str">
        <f>IFERROR(VLOOKUP(M363,'02. MM-KLH'!$B$6:$T$823,9,0),"")</f>
        <v>29/05/2025</v>
      </c>
      <c r="P363" s="566">
        <v>23132.0</v>
      </c>
      <c r="Q363" s="613"/>
      <c r="R363" s="566" t="s">
        <v>4158</v>
      </c>
      <c r="S363" s="613"/>
      <c r="T363" s="613"/>
      <c r="U363" s="559" t="str">
        <f>IFERROR(VLOOKUP(M363,'02. MM-KLH'!$B$6:$T$823,5,0),"")</f>
        <v>MỚI</v>
      </c>
      <c r="V363" s="523" t="str">
        <f>IFERROR(VLOOKUP(M363,'02. MM-KLH'!$B$6:$T$823,8,0),"")</f>
        <v>CGTC DP</v>
      </c>
      <c r="W363" s="559" t="str">
        <f>IFERROR(VLOOKUP(V363,'NS QUẢN LÝ CG'!$A$4:$D$36,2,0),"")</f>
        <v>Phạm Ngọc Hải</v>
      </c>
      <c r="X363" s="559" t="str">
        <f>IFERROR(VLOOKUP(V363,'NS QUẢN LÝ CG'!$A$4:$D$36,4,0),"")</f>
        <v>Lô 85 DP4</v>
      </c>
      <c r="Y363" s="559" t="str">
        <f>IFERROR(VLOOKUP(V363,'NS QUẢN LÝ CG'!$A$4:$C$36,3,0),"")</f>
        <v>0825456565</v>
      </c>
      <c r="Z363" s="523" t="str">
        <f>IFERROR(VLOOKUP(M363,'02. MM-KLH'!$B$6:$T$823,3,0),"")</f>
        <v>A23-XTA-039</v>
      </c>
      <c r="AA363" s="559" t="str">
        <f t="shared" si="26"/>
        <v>DP</v>
      </c>
      <c r="AB363" s="523"/>
      <c r="AC363" s="523"/>
    </row>
    <row r="364">
      <c r="A364" s="523"/>
      <c r="B364" s="612" t="str">
        <f>IFERROR(VLOOKUP(M364,'02. MM-KLH'!$B$6:$T$823,6,0),"")</f>
        <v>Xe ben FC150</v>
      </c>
      <c r="C364" s="566">
        <v>1.0</v>
      </c>
      <c r="D364" s="613" t="str">
        <f>IFERROR(VLOOKUP(M364,'02. MM-KLH'!$B$6:$T$823,16,0),"")</f>
        <v>FC150-4WD</v>
      </c>
      <c r="E364" s="561" t="s">
        <v>4158</v>
      </c>
      <c r="F364" s="613"/>
      <c r="G364" s="613"/>
      <c r="H364" s="613" t="str">
        <f>IFERROR(VLOOKUP(M364,'02. MM-KLH'!$B$6:$T$823,17,0),"")</f>
        <v>150HP</v>
      </c>
      <c r="I364" s="614">
        <f>IFERROR(VLOOKUP(M364,'02. MM-KLH'!$B$6:$U$823,20,0),"")</f>
        <v>0.63</v>
      </c>
      <c r="J364" s="612" t="str">
        <f>IFERROR(VLOOKUP(M364,'02. MM-KLH'!$B$6:$T$823,19,0),"")</f>
        <v>D59M1N01092</v>
      </c>
      <c r="K364" s="612" t="str">
        <f>IFERROR(VLOOKUP(M364,'02. MM-KLH'!$B$6:$T$823,18,0),"")</f>
        <v>RNHF16FYBRT000135</v>
      </c>
      <c r="L364" s="613" t="str">
        <f>IFERROR(VLOOKUP(M364,'02. MM-KLH'!$B$6:$T$823,4,0),"")</f>
        <v/>
      </c>
      <c r="M364" s="488" t="s">
        <v>327</v>
      </c>
      <c r="N364" s="615">
        <f>IFERROR(VLOOKUP(M364,'02. MM-KLH'!$B$6:$T$823,15,0),"")</f>
        <v>2024</v>
      </c>
      <c r="O364" s="616" t="str">
        <f>IFERROR(VLOOKUP(M364,'02. MM-KLH'!$B$6:$T$823,9,0),"")</f>
        <v>29/05/2025</v>
      </c>
      <c r="P364" s="566">
        <v>23847.0</v>
      </c>
      <c r="Q364" s="613"/>
      <c r="R364" s="566" t="s">
        <v>4158</v>
      </c>
      <c r="S364" s="613"/>
      <c r="T364" s="613"/>
      <c r="U364" s="559" t="str">
        <f>IFERROR(VLOOKUP(M364,'02. MM-KLH'!$B$6:$T$823,5,0),"")</f>
        <v>MỚI</v>
      </c>
      <c r="V364" s="523" t="str">
        <f>IFERROR(VLOOKUP(M364,'02. MM-KLH'!$B$6:$T$823,8,0),"")</f>
        <v>CGTC DP</v>
      </c>
      <c r="W364" s="559" t="str">
        <f>IFERROR(VLOOKUP(V364,'NS QUẢN LÝ CG'!$A$4:$D$36,2,0),"")</f>
        <v>Phạm Ngọc Hải</v>
      </c>
      <c r="X364" s="559" t="str">
        <f>IFERROR(VLOOKUP(V364,'NS QUẢN LÝ CG'!$A$4:$D$36,4,0),"")</f>
        <v>Lô 85 DP4</v>
      </c>
      <c r="Y364" s="559" t="str">
        <f>IFERROR(VLOOKUP(V364,'NS QUẢN LÝ CG'!$A$4:$C$36,3,0),"")</f>
        <v>0825456565</v>
      </c>
      <c r="Z364" s="523" t="str">
        <f>IFERROR(VLOOKUP(M364,'02. MM-KLH'!$B$6:$T$823,3,0),"")</f>
        <v>A23-XTA-040</v>
      </c>
      <c r="AA364" s="559" t="str">
        <f t="shared" si="26"/>
        <v>DP</v>
      </c>
      <c r="AB364" s="523"/>
      <c r="AC364" s="523"/>
    </row>
    <row r="365">
      <c r="A365" s="523"/>
      <c r="B365" s="612" t="str">
        <f>IFERROR(VLOOKUP(M365,'02. MM-KLH'!$B$6:$T$823,6,0),"")</f>
        <v>Xe ben FC150</v>
      </c>
      <c r="C365" s="566">
        <v>1.0</v>
      </c>
      <c r="D365" s="613" t="str">
        <f>IFERROR(VLOOKUP(M365,'02. MM-KLH'!$B$6:$T$823,16,0),"")</f>
        <v>FC150-4WD</v>
      </c>
      <c r="E365" s="561" t="s">
        <v>4158</v>
      </c>
      <c r="F365" s="613"/>
      <c r="G365" s="613"/>
      <c r="H365" s="613" t="str">
        <f>IFERROR(VLOOKUP(M365,'02. MM-KLH'!$B$6:$T$823,17,0),"")</f>
        <v>150HP</v>
      </c>
      <c r="I365" s="614">
        <f>IFERROR(VLOOKUP(M365,'02. MM-KLH'!$B$6:$U$823,20,0),"")</f>
        <v>1</v>
      </c>
      <c r="J365" s="612" t="str">
        <f>IFERROR(VLOOKUP(M365,'02. MM-KLH'!$B$6:$T$823,19,0),"")</f>
        <v>D59M1N01094</v>
      </c>
      <c r="K365" s="612" t="str">
        <f>IFERROR(VLOOKUP(M365,'02. MM-KLH'!$B$6:$T$823,18,0),"")</f>
        <v>RNHF16FYBRT000136</v>
      </c>
      <c r="L365" s="613" t="str">
        <f>IFERROR(VLOOKUP(M365,'02. MM-KLH'!$B$6:$T$823,4,0),"")</f>
        <v/>
      </c>
      <c r="M365" s="488" t="s">
        <v>474</v>
      </c>
      <c r="N365" s="615">
        <f>IFERROR(VLOOKUP(M365,'02. MM-KLH'!$B$6:$T$823,15,0),"")</f>
        <v>2024</v>
      </c>
      <c r="O365" s="616" t="str">
        <f>IFERROR(VLOOKUP(M365,'02. MM-KLH'!$B$6:$T$823,9,0),"")</f>
        <v>29/05/2025</v>
      </c>
      <c r="P365" s="757">
        <v>22529.0</v>
      </c>
      <c r="Q365" s="613"/>
      <c r="R365" s="566" t="s">
        <v>4158</v>
      </c>
      <c r="S365" s="613"/>
      <c r="T365" s="613"/>
      <c r="U365" s="559" t="str">
        <f>IFERROR(VLOOKUP(M365,'02. MM-KLH'!$B$6:$T$823,5,0),"")</f>
        <v>MỚI</v>
      </c>
      <c r="V365" s="523" t="str">
        <f>IFERROR(VLOOKUP(M365,'02. MM-KLH'!$B$6:$T$823,8,0),"")</f>
        <v>CGTC LP</v>
      </c>
      <c r="W365" s="559" t="str">
        <f>IFERROR(VLOOKUP(V365,'NS QUẢN LÝ CG'!$A$4:$D$36,2,0),"")</f>
        <v>Đỗ Đức Nghĩa</v>
      </c>
      <c r="X365" s="559" t="str">
        <f>IFERROR(VLOOKUP(V365,'NS QUẢN LÝ CG'!$A$4:$D$36,4,0),"")</f>
        <v>NOCN L.4-LP3</v>
      </c>
      <c r="Y365" s="559" t="str">
        <f>IFERROR(VLOOKUP(V365,'NS QUẢN LÝ CG'!$A$4:$C$36,3,0),"")</f>
        <v>0971462780</v>
      </c>
      <c r="Z365" s="523" t="str">
        <f>IFERROR(VLOOKUP(M365,'02. MM-KLH'!$B$6:$T$823,3,0),"")</f>
        <v>A24-XTA-034</v>
      </c>
      <c r="AA365" s="559" t="str">
        <f t="shared" si="26"/>
        <v>LP</v>
      </c>
      <c r="AB365" s="523"/>
      <c r="AC365" s="523"/>
    </row>
    <row r="366">
      <c r="A366" s="523"/>
      <c r="B366" s="612" t="str">
        <f>IFERROR(VLOOKUP(M366,'02. MM-KLH'!$B$6:$T$823,6,0),"")</f>
        <v>Xe ben FC150</v>
      </c>
      <c r="C366" s="566">
        <v>1.0</v>
      </c>
      <c r="D366" s="613" t="str">
        <f>IFERROR(VLOOKUP(M366,'02. MM-KLH'!$B$6:$T$823,16,0),"")</f>
        <v>FC150-4WD</v>
      </c>
      <c r="E366" s="561" t="s">
        <v>4158</v>
      </c>
      <c r="F366" s="613"/>
      <c r="G366" s="613"/>
      <c r="H366" s="613" t="str">
        <f>IFERROR(VLOOKUP(M366,'02. MM-KLH'!$B$6:$T$823,17,0),"")</f>
        <v>150HP</v>
      </c>
      <c r="I366" s="614">
        <f>IFERROR(VLOOKUP(M366,'02. MM-KLH'!$B$6:$U$823,20,0),"")</f>
        <v>1</v>
      </c>
      <c r="J366" s="612" t="str">
        <f>IFERROR(VLOOKUP(M366,'02. MM-KLH'!$B$6:$T$823,19,0),"")</f>
        <v>D59M1N01095</v>
      </c>
      <c r="K366" s="612" t="str">
        <f>IFERROR(VLOOKUP(M366,'02. MM-KLH'!$B$6:$T$823,18,0),"")</f>
        <v>RNHF16FYBRT000137</v>
      </c>
      <c r="L366" s="613" t="str">
        <f>IFERROR(VLOOKUP(M366,'02. MM-KLH'!$B$6:$T$823,4,0),"")</f>
        <v/>
      </c>
      <c r="M366" s="488" t="s">
        <v>478</v>
      </c>
      <c r="N366" s="615">
        <f>IFERROR(VLOOKUP(M366,'02. MM-KLH'!$B$6:$T$823,15,0),"")</f>
        <v>2024</v>
      </c>
      <c r="O366" s="616" t="str">
        <f>IFERROR(VLOOKUP(M366,'02. MM-KLH'!$B$6:$T$823,9,0),"")</f>
        <v>29/05/2025</v>
      </c>
      <c r="P366" s="757">
        <v>23550.0</v>
      </c>
      <c r="Q366" s="613"/>
      <c r="R366" s="566" t="s">
        <v>4158</v>
      </c>
      <c r="S366" s="613"/>
      <c r="T366" s="613"/>
      <c r="U366" s="559" t="str">
        <f>IFERROR(VLOOKUP(M366,'02. MM-KLH'!$B$6:$T$823,5,0),"")</f>
        <v>MỚI</v>
      </c>
      <c r="V366" s="523" t="str">
        <f>IFERROR(VLOOKUP(M366,'02. MM-KLH'!$B$6:$T$823,8,0),"")</f>
        <v>CGTC LP</v>
      </c>
      <c r="W366" s="559" t="str">
        <f>IFERROR(VLOOKUP(V366,'NS QUẢN LÝ CG'!$A$4:$D$36,2,0),"")</f>
        <v>Đỗ Đức Nghĩa</v>
      </c>
      <c r="X366" s="559" t="str">
        <f>IFERROR(VLOOKUP(V366,'NS QUẢN LÝ CG'!$A$4:$D$36,4,0),"")</f>
        <v>NOCN L.4-LP3</v>
      </c>
      <c r="Y366" s="559" t="str">
        <f>IFERROR(VLOOKUP(V366,'NS QUẢN LÝ CG'!$A$4:$C$36,3,0),"")</f>
        <v>0971462780</v>
      </c>
      <c r="Z366" s="523" t="str">
        <f>IFERROR(VLOOKUP(M366,'02. MM-KLH'!$B$6:$T$823,3,0),"")</f>
        <v>A24-XTA-035</v>
      </c>
      <c r="AA366" s="559" t="str">
        <f t="shared" si="26"/>
        <v>LP</v>
      </c>
      <c r="AB366" s="523"/>
      <c r="AC366" s="523"/>
    </row>
    <row r="367">
      <c r="A367" s="523"/>
      <c r="B367" s="612" t="str">
        <f>IFERROR(VLOOKUP(M367,'02. MM-KLH'!$B$6:$T$823,6,0),"")</f>
        <v>Xe ben FC150</v>
      </c>
      <c r="C367" s="566">
        <v>1.0</v>
      </c>
      <c r="D367" s="613" t="str">
        <f>IFERROR(VLOOKUP(M367,'02. MM-KLH'!$B$6:$T$823,16,0),"")</f>
        <v>FC150-4WD</v>
      </c>
      <c r="E367" s="561" t="s">
        <v>4158</v>
      </c>
      <c r="F367" s="613"/>
      <c r="G367" s="613"/>
      <c r="H367" s="613" t="str">
        <f>IFERROR(VLOOKUP(M367,'02. MM-KLH'!$B$6:$T$823,17,0),"")</f>
        <v>150HP</v>
      </c>
      <c r="I367" s="614">
        <f>IFERROR(VLOOKUP(M367,'02. MM-KLH'!$B$6:$U$823,20,0),"")</f>
        <v>1</v>
      </c>
      <c r="J367" s="612" t="str">
        <f>IFERROR(VLOOKUP(M367,'02. MM-KLH'!$B$6:$T$823,19,0),"")</f>
        <v>D59M1N01096</v>
      </c>
      <c r="K367" s="612" t="str">
        <f>IFERROR(VLOOKUP(M367,'02. MM-KLH'!$B$6:$T$823,18,0),"")</f>
        <v>RNHF16FYBRT000138</v>
      </c>
      <c r="L367" s="613" t="str">
        <f>IFERROR(VLOOKUP(M367,'02. MM-KLH'!$B$6:$T$823,4,0),"")</f>
        <v/>
      </c>
      <c r="M367" s="488" t="s">
        <v>483</v>
      </c>
      <c r="N367" s="615">
        <f>IFERROR(VLOOKUP(M367,'02. MM-KLH'!$B$6:$T$823,15,0),"")</f>
        <v>2024</v>
      </c>
      <c r="O367" s="616" t="str">
        <f>IFERROR(VLOOKUP(M367,'02. MM-KLH'!$B$6:$T$823,9,0),"")</f>
        <v>29/05/2025</v>
      </c>
      <c r="P367" s="757">
        <v>21743.0</v>
      </c>
      <c r="Q367" s="613"/>
      <c r="R367" s="566" t="s">
        <v>4158</v>
      </c>
      <c r="S367" s="613"/>
      <c r="T367" s="613"/>
      <c r="U367" s="559" t="str">
        <f>IFERROR(VLOOKUP(M367,'02. MM-KLH'!$B$6:$T$823,5,0),"")</f>
        <v>MỚI</v>
      </c>
      <c r="V367" s="523" t="str">
        <f>IFERROR(VLOOKUP(M367,'02. MM-KLH'!$B$6:$T$823,8,0),"")</f>
        <v>CGTC LP</v>
      </c>
      <c r="W367" s="559" t="str">
        <f>IFERROR(VLOOKUP(V367,'NS QUẢN LÝ CG'!$A$4:$D$36,2,0),"")</f>
        <v>Đỗ Đức Nghĩa</v>
      </c>
      <c r="X367" s="559" t="str">
        <f>IFERROR(VLOOKUP(V367,'NS QUẢN LÝ CG'!$A$4:$D$36,4,0),"")</f>
        <v>NOCN L.4-LP3</v>
      </c>
      <c r="Y367" s="559" t="str">
        <f>IFERROR(VLOOKUP(V367,'NS QUẢN LÝ CG'!$A$4:$C$36,3,0),"")</f>
        <v>0971462780</v>
      </c>
      <c r="Z367" s="523" t="str">
        <f>IFERROR(VLOOKUP(M367,'02. MM-KLH'!$B$6:$T$823,3,0),"")</f>
        <v>A24-XTA-036</v>
      </c>
      <c r="AA367" s="559" t="str">
        <f t="shared" si="26"/>
        <v>LP</v>
      </c>
      <c r="AB367" s="523"/>
      <c r="AC367" s="523"/>
    </row>
    <row r="368">
      <c r="A368" s="523"/>
      <c r="B368" s="612" t="str">
        <f>IFERROR(VLOOKUP(M368,'02. MM-KLH'!$B$6:$T$823,6,0),"")</f>
        <v>Xe ben FD120</v>
      </c>
      <c r="C368" s="566">
        <v>1.0</v>
      </c>
      <c r="D368" s="613" t="str">
        <f>IFERROR(VLOOKUP(M368,'02. MM-KLH'!$B$6:$T$823,16,0),"")</f>
        <v>FD120-4WD</v>
      </c>
      <c r="E368" s="561" t="s">
        <v>4158</v>
      </c>
      <c r="F368" s="613"/>
      <c r="G368" s="613"/>
      <c r="H368" s="613" t="str">
        <f>IFERROR(VLOOKUP(M368,'02. MM-KLH'!$B$6:$T$823,17,0),"")</f>
        <v>129HP</v>
      </c>
      <c r="I368" s="614">
        <f>IFERROR(VLOOKUP(M368,'02. MM-KLH'!$B$6:$U$823,20,0),"")</f>
        <v>0.61</v>
      </c>
      <c r="J368" s="612" t="str">
        <f>IFERROR(VLOOKUP(M368,'02. MM-KLH'!$B$6:$T$823,19,0),"")</f>
        <v>YN38CRD1*AGN22000242*</v>
      </c>
      <c r="K368" s="612" t="str">
        <f>IFERROR(VLOOKUP(M368,'02. MM-KLH'!$B$6:$T$823,18,0),"")</f>
        <v>RNHF12FNBRT002062</v>
      </c>
      <c r="L368" s="613" t="str">
        <f>IFERROR(VLOOKUP(M368,'02. MM-KLH'!$B$6:$T$823,4,0),"")</f>
        <v>3A-6828</v>
      </c>
      <c r="M368" s="488" t="s">
        <v>332</v>
      </c>
      <c r="N368" s="615">
        <f>IFERROR(VLOOKUP(M368,'02. MM-KLH'!$B$6:$T$823,15,0),"")</f>
        <v>2024</v>
      </c>
      <c r="O368" s="616">
        <f>IFERROR(VLOOKUP(M368,'02. MM-KLH'!$B$6:$T$823,9,0),"")</f>
        <v>45936</v>
      </c>
      <c r="P368" s="566">
        <v>16900.0</v>
      </c>
      <c r="Q368" s="613"/>
      <c r="R368" s="566" t="s">
        <v>4158</v>
      </c>
      <c r="S368" s="613"/>
      <c r="T368" s="613"/>
      <c r="U368" s="559" t="str">
        <f>IFERROR(VLOOKUP(M368,'02. MM-KLH'!$B$6:$T$823,5,0),"")</f>
        <v>MỚI</v>
      </c>
      <c r="V368" s="523" t="str">
        <f>IFERROR(VLOOKUP(M368,'02. MM-KLH'!$B$6:$T$823,8,0),"")</f>
        <v>CGTC DP</v>
      </c>
      <c r="W368" s="559" t="str">
        <f>IFERROR(VLOOKUP(V368,'NS QUẢN LÝ CG'!$A$4:$D$36,2,0),"")</f>
        <v>Phạm Ngọc Hải</v>
      </c>
      <c r="X368" s="559" t="str">
        <f>IFERROR(VLOOKUP(V368,'NS QUẢN LÝ CG'!$A$4:$D$36,4,0),"")</f>
        <v>Lô 85 DP4</v>
      </c>
      <c r="Y368" s="559" t="str">
        <f>IFERROR(VLOOKUP(V368,'NS QUẢN LÝ CG'!$A$4:$C$36,3,0),"")</f>
        <v>0825456565</v>
      </c>
      <c r="Z368" s="523" t="str">
        <f>IFERROR(VLOOKUP(M368,'02. MM-KLH'!$B$6:$T$823,3,0),"")</f>
        <v>A23-XTA-041</v>
      </c>
      <c r="AA368" s="559" t="str">
        <f t="shared" si="26"/>
        <v>DP</v>
      </c>
      <c r="AB368" s="523"/>
      <c r="AC368" s="523"/>
    </row>
    <row r="369">
      <c r="A369" s="523"/>
      <c r="B369" s="612" t="str">
        <f>IFERROR(VLOOKUP(M369,'02. MM-KLH'!$B$6:$T$823,6,0),"")</f>
        <v>Xe ben FD120</v>
      </c>
      <c r="C369" s="566">
        <v>1.0</v>
      </c>
      <c r="D369" s="613" t="str">
        <f>IFERROR(VLOOKUP(M369,'02. MM-KLH'!$B$6:$T$823,16,0),"")</f>
        <v>FD120-4WD</v>
      </c>
      <c r="E369" s="561" t="s">
        <v>4158</v>
      </c>
      <c r="F369" s="613"/>
      <c r="G369" s="613"/>
      <c r="H369" s="613" t="str">
        <f>IFERROR(VLOOKUP(M369,'02. MM-KLH'!$B$6:$T$823,17,0),"")</f>
        <v>129HP</v>
      </c>
      <c r="I369" s="614">
        <f>IFERROR(VLOOKUP(M369,'02. MM-KLH'!$B$6:$U$823,20,0),"")</f>
        <v>0.61</v>
      </c>
      <c r="J369" s="612" t="str">
        <f>IFERROR(VLOOKUP(M369,'02. MM-KLH'!$B$6:$T$823,19,0),"")</f>
        <v>YN38CRD1*AGN22000243*</v>
      </c>
      <c r="K369" s="612" t="str">
        <f>IFERROR(VLOOKUP(M369,'02. MM-KLH'!$B$6:$T$823,18,0),"")</f>
        <v>RNHF12FNBRT002063</v>
      </c>
      <c r="L369" s="613" t="str">
        <f>IFERROR(VLOOKUP(M369,'02. MM-KLH'!$B$6:$T$823,4,0),"")</f>
        <v>3A-6827</v>
      </c>
      <c r="M369" s="488" t="s">
        <v>341</v>
      </c>
      <c r="N369" s="615">
        <f>IFERROR(VLOOKUP(M369,'02. MM-KLH'!$B$6:$T$823,15,0),"")</f>
        <v>2024</v>
      </c>
      <c r="O369" s="616">
        <f>IFERROR(VLOOKUP(M369,'02. MM-KLH'!$B$6:$T$823,9,0),"")</f>
        <v>45936</v>
      </c>
      <c r="P369" s="566">
        <v>18316.0</v>
      </c>
      <c r="Q369" s="613"/>
      <c r="R369" s="566" t="s">
        <v>4158</v>
      </c>
      <c r="S369" s="613"/>
      <c r="T369" s="613"/>
      <c r="U369" s="559" t="str">
        <f>IFERROR(VLOOKUP(M369,'02. MM-KLH'!$B$6:$T$823,5,0),"")</f>
        <v>MỚI</v>
      </c>
      <c r="V369" s="523" t="str">
        <f>IFERROR(VLOOKUP(M369,'02. MM-KLH'!$B$6:$T$823,8,0),"")</f>
        <v>CGTC DP</v>
      </c>
      <c r="W369" s="559" t="str">
        <f>IFERROR(VLOOKUP(V369,'NS QUẢN LÝ CG'!$A$4:$D$36,2,0),"")</f>
        <v>Phạm Ngọc Hải</v>
      </c>
      <c r="X369" s="559" t="str">
        <f>IFERROR(VLOOKUP(V369,'NS QUẢN LÝ CG'!$A$4:$D$36,4,0),"")</f>
        <v>Lô 85 DP4</v>
      </c>
      <c r="Y369" s="559" t="str">
        <f>IFERROR(VLOOKUP(V369,'NS QUẢN LÝ CG'!$A$4:$C$36,3,0),"")</f>
        <v>0825456565</v>
      </c>
      <c r="Z369" s="523" t="str">
        <f>IFERROR(VLOOKUP(M369,'02. MM-KLH'!$B$6:$T$823,3,0),"")</f>
        <v>A23-XTA-042</v>
      </c>
      <c r="AA369" s="559" t="str">
        <f t="shared" si="26"/>
        <v>DP</v>
      </c>
      <c r="AB369" s="523"/>
      <c r="AC369" s="523"/>
    </row>
    <row r="370">
      <c r="A370" s="523"/>
      <c r="B370" s="612" t="str">
        <f>IFERROR(VLOOKUP(M370,'02. MM-KLH'!$B$6:$T$823,6,0),"")</f>
        <v>Xe ben FD120</v>
      </c>
      <c r="C370" s="566">
        <v>1.0</v>
      </c>
      <c r="D370" s="613" t="str">
        <f>IFERROR(VLOOKUP(M370,'02. MM-KLH'!$B$6:$T$823,16,0),"")</f>
        <v>FD120-4WD</v>
      </c>
      <c r="E370" s="561" t="s">
        <v>4158</v>
      </c>
      <c r="F370" s="613"/>
      <c r="G370" s="613"/>
      <c r="H370" s="613" t="str">
        <f>IFERROR(VLOOKUP(M370,'02. MM-KLH'!$B$6:$T$823,17,0),"")</f>
        <v>129HP</v>
      </c>
      <c r="I370" s="614">
        <f>IFERROR(VLOOKUP(M370,'02. MM-KLH'!$B$6:$U$823,20,0),"")</f>
        <v>0.61</v>
      </c>
      <c r="J370" s="612" t="str">
        <f>IFERROR(VLOOKUP(M370,'02. MM-KLH'!$B$6:$T$823,19,0),"")</f>
        <v>YN38CRD1*AGN22000244*</v>
      </c>
      <c r="K370" s="612" t="str">
        <f>IFERROR(VLOOKUP(M370,'02. MM-KLH'!$B$6:$T$823,18,0),"")</f>
        <v>RNHF12FNBRT002064</v>
      </c>
      <c r="L370" s="613" t="str">
        <f>IFERROR(VLOOKUP(M370,'02. MM-KLH'!$B$6:$T$823,4,0),"")</f>
        <v>3A-6826</v>
      </c>
      <c r="M370" s="488" t="s">
        <v>346</v>
      </c>
      <c r="N370" s="615">
        <f>IFERROR(VLOOKUP(M370,'02. MM-KLH'!$B$6:$T$823,15,0),"")</f>
        <v>2024</v>
      </c>
      <c r="O370" s="616">
        <f>IFERROR(VLOOKUP(M370,'02. MM-KLH'!$B$6:$T$823,9,0),"")</f>
        <v>45936</v>
      </c>
      <c r="P370" s="566">
        <v>12234.0</v>
      </c>
      <c r="Q370" s="613"/>
      <c r="R370" s="566" t="s">
        <v>4158</v>
      </c>
      <c r="S370" s="613"/>
      <c r="T370" s="613"/>
      <c r="U370" s="559" t="str">
        <f>IFERROR(VLOOKUP(M370,'02. MM-KLH'!$B$6:$T$823,5,0),"")</f>
        <v>MỚI</v>
      </c>
      <c r="V370" s="523" t="str">
        <f>IFERROR(VLOOKUP(M370,'02. MM-KLH'!$B$6:$T$823,8,0),"")</f>
        <v>CGTC DP</v>
      </c>
      <c r="W370" s="559" t="str">
        <f>IFERROR(VLOOKUP(V370,'NS QUẢN LÝ CG'!$A$4:$D$36,2,0),"")</f>
        <v>Phạm Ngọc Hải</v>
      </c>
      <c r="X370" s="559" t="str">
        <f>IFERROR(VLOOKUP(V370,'NS QUẢN LÝ CG'!$A$4:$D$36,4,0),"")</f>
        <v>Lô 85 DP4</v>
      </c>
      <c r="Y370" s="559" t="str">
        <f>IFERROR(VLOOKUP(V370,'NS QUẢN LÝ CG'!$A$4:$C$36,3,0),"")</f>
        <v>0825456565</v>
      </c>
      <c r="Z370" s="523" t="str">
        <f>IFERROR(VLOOKUP(M370,'02. MM-KLH'!$B$6:$T$823,3,0),"")</f>
        <v>A23-XTA-043</v>
      </c>
      <c r="AA370" s="559" t="str">
        <f t="shared" si="26"/>
        <v>DP</v>
      </c>
      <c r="AB370" s="523"/>
      <c r="AC370" s="523"/>
    </row>
    <row r="371">
      <c r="A371" s="523"/>
      <c r="B371" s="612" t="str">
        <f>IFERROR(VLOOKUP(M371,'02. MM-KLH'!$B$6:$T$823,6,0),"")</f>
        <v>Xe ben FD120</v>
      </c>
      <c r="C371" s="566">
        <v>1.0</v>
      </c>
      <c r="D371" s="613" t="str">
        <f>IFERROR(VLOOKUP(M371,'02. MM-KLH'!$B$6:$T$823,16,0),"")</f>
        <v>FD120-4WD</v>
      </c>
      <c r="E371" s="561" t="s">
        <v>4158</v>
      </c>
      <c r="F371" s="613"/>
      <c r="G371" s="613"/>
      <c r="H371" s="613" t="str">
        <f>IFERROR(VLOOKUP(M371,'02. MM-KLH'!$B$6:$T$823,17,0),"")</f>
        <v>129HP</v>
      </c>
      <c r="I371" s="614">
        <f>IFERROR(VLOOKUP(M371,'02. MM-KLH'!$B$6:$U$823,20,0),"")</f>
        <v>0.61</v>
      </c>
      <c r="J371" s="612" t="str">
        <f>IFERROR(VLOOKUP(M371,'02. MM-KLH'!$B$6:$T$823,19,0),"")</f>
        <v>YN38CRD1*AGN22000245*</v>
      </c>
      <c r="K371" s="612" t="str">
        <f>IFERROR(VLOOKUP(M371,'02. MM-KLH'!$B$6:$T$823,18,0),"")</f>
        <v>RNHF12FNBRT002065</v>
      </c>
      <c r="L371" s="613" t="str">
        <f>IFERROR(VLOOKUP(M371,'02. MM-KLH'!$B$6:$T$823,4,0),"")</f>
        <v>3A-6825</v>
      </c>
      <c r="M371" s="488" t="s">
        <v>351</v>
      </c>
      <c r="N371" s="615">
        <f>IFERROR(VLOOKUP(M371,'02. MM-KLH'!$B$6:$T$823,15,0),"")</f>
        <v>2024</v>
      </c>
      <c r="O371" s="616">
        <f>IFERROR(VLOOKUP(M371,'02. MM-KLH'!$B$6:$T$823,9,0),"")</f>
        <v>45936</v>
      </c>
      <c r="P371" s="566">
        <v>23257.0</v>
      </c>
      <c r="Q371" s="613"/>
      <c r="R371" s="566" t="s">
        <v>4158</v>
      </c>
      <c r="S371" s="613"/>
      <c r="T371" s="613"/>
      <c r="U371" s="559" t="str">
        <f>IFERROR(VLOOKUP(M371,'02. MM-KLH'!$B$6:$T$823,5,0),"")</f>
        <v>MỚI</v>
      </c>
      <c r="V371" s="523" t="str">
        <f>IFERROR(VLOOKUP(M371,'02. MM-KLH'!$B$6:$T$823,8,0),"")</f>
        <v>CGTC DP</v>
      </c>
      <c r="W371" s="559" t="str">
        <f>IFERROR(VLOOKUP(V371,'NS QUẢN LÝ CG'!$A$4:$D$36,2,0),"")</f>
        <v>Phạm Ngọc Hải</v>
      </c>
      <c r="X371" s="559" t="str">
        <f>IFERROR(VLOOKUP(V371,'NS QUẢN LÝ CG'!$A$4:$D$36,4,0),"")</f>
        <v>Lô 85 DP4</v>
      </c>
      <c r="Y371" s="559" t="str">
        <f>IFERROR(VLOOKUP(V371,'NS QUẢN LÝ CG'!$A$4:$C$36,3,0),"")</f>
        <v>0825456565</v>
      </c>
      <c r="Z371" s="523" t="str">
        <f>IFERROR(VLOOKUP(M371,'02. MM-KLH'!$B$6:$T$823,3,0),"")</f>
        <v>A23-XTA-044</v>
      </c>
      <c r="AA371" s="559" t="str">
        <f t="shared" si="26"/>
        <v>DP</v>
      </c>
      <c r="AB371" s="523"/>
      <c r="AC371" s="523"/>
    </row>
    <row r="372">
      <c r="A372" s="523"/>
      <c r="B372" s="612" t="str">
        <f>IFERROR(VLOOKUP(M372,'02. MM-KLH'!$B$6:$T$823,6,0),"")</f>
        <v>Xe ben FD120</v>
      </c>
      <c r="C372" s="566">
        <v>1.0</v>
      </c>
      <c r="D372" s="613" t="str">
        <f>IFERROR(VLOOKUP(M372,'02. MM-KLH'!$B$6:$T$823,16,0),"")</f>
        <v>FD120-4WD</v>
      </c>
      <c r="E372" s="561" t="s">
        <v>4158</v>
      </c>
      <c r="F372" s="613"/>
      <c r="G372" s="613"/>
      <c r="H372" s="613" t="str">
        <f>IFERROR(VLOOKUP(M372,'02. MM-KLH'!$B$6:$T$823,17,0),"")</f>
        <v>129HP</v>
      </c>
      <c r="I372" s="614">
        <f>IFERROR(VLOOKUP(M372,'02. MM-KLH'!$B$6:$U$823,20,0),"")</f>
        <v>0.61</v>
      </c>
      <c r="J372" s="612" t="str">
        <f>IFERROR(VLOOKUP(M372,'02. MM-KLH'!$B$6:$T$823,19,0),"")</f>
        <v>YN38CRD1*AGN22000246*</v>
      </c>
      <c r="K372" s="612" t="str">
        <f>IFERROR(VLOOKUP(M372,'02. MM-KLH'!$B$6:$T$823,18,0),"")</f>
        <v>RNHF12FNBRT002066</v>
      </c>
      <c r="L372" s="613" t="str">
        <f>IFERROR(VLOOKUP(M372,'02. MM-KLH'!$B$6:$T$823,4,0),"")</f>
        <v>3A-6800</v>
      </c>
      <c r="M372" s="488" t="s">
        <v>645</v>
      </c>
      <c r="N372" s="615">
        <f>IFERROR(VLOOKUP(M372,'02. MM-KLH'!$B$6:$T$823,15,0),"")</f>
        <v>2024</v>
      </c>
      <c r="O372" s="616">
        <f>IFERROR(VLOOKUP(M372,'02. MM-KLH'!$B$6:$T$823,9,0),"")</f>
        <v>45936</v>
      </c>
      <c r="P372" s="564">
        <v>32616.0</v>
      </c>
      <c r="Q372" s="613"/>
      <c r="R372" s="566"/>
      <c r="S372" s="613"/>
      <c r="T372" s="613"/>
      <c r="U372" s="559" t="str">
        <f>IFERROR(VLOOKUP(M372,'02. MM-KLH'!$B$6:$T$823,5,0),"")</f>
        <v>MỚI</v>
      </c>
      <c r="V372" s="523" t="str">
        <f>IFERROR(VLOOKUP(M372,'02. MM-KLH'!$B$6:$T$823,8,0),"")</f>
        <v>CGTC AD</v>
      </c>
      <c r="W372" s="559" t="str">
        <f>IFERROR(VLOOKUP(V372,'NS QUẢN LÝ CG'!$A$4:$D$36,2,0),"")</f>
        <v>Vũ Trung Kiên</v>
      </c>
      <c r="X372" s="559" t="str">
        <f>IFERROR(VLOOKUP(V372,'NS QUẢN LÝ CG'!$A$4:$D$36,4,0),"")</f>
        <v>Lô 73 ADM</v>
      </c>
      <c r="Y372" s="559" t="str">
        <f>IFERROR(VLOOKUP(V372,'NS QUẢN LÝ CG'!$A$4:$C$36,3,0),"")</f>
        <v>0981761677</v>
      </c>
      <c r="Z372" s="523" t="str">
        <f>IFERROR(VLOOKUP(M372,'02. MM-KLH'!$B$6:$T$823,3,0),"")</f>
        <v>A22-XTA-048</v>
      </c>
      <c r="AA372" s="559" t="str">
        <f t="shared" si="26"/>
        <v>ADM</v>
      </c>
      <c r="AB372" s="523"/>
      <c r="AC372" s="523"/>
    </row>
    <row r="373">
      <c r="A373" s="523"/>
      <c r="B373" s="612" t="str">
        <f>IFERROR(VLOOKUP(M373,'02. MM-KLH'!$B$6:$T$823,6,0),"")</f>
        <v>Xe ben FD140</v>
      </c>
      <c r="C373" s="566">
        <v>1.0</v>
      </c>
      <c r="D373" s="613" t="str">
        <f>IFERROR(VLOOKUP(M373,'02. MM-KLH'!$B$6:$T$823,16,0),"")</f>
        <v>FD140-8T</v>
      </c>
      <c r="E373" s="561" t="s">
        <v>4158</v>
      </c>
      <c r="F373" s="613"/>
      <c r="G373" s="613"/>
      <c r="H373" s="613" t="str">
        <f>IFERROR(VLOOKUP(M373,'02. MM-KLH'!$B$6:$T$823,17,0),"")</f>
        <v>140HP</v>
      </c>
      <c r="I373" s="614">
        <f>IFERROR(VLOOKUP(M373,'02. MM-KLH'!$B$6:$U$823,20,0),"")</f>
        <v>5.7</v>
      </c>
      <c r="J373" s="612" t="str">
        <f>IFERROR(VLOOKUP(M373,'02. MM-KLH'!$B$6:$T$823,19,0),"")</f>
        <v>YC4D140-48D59M1J20731</v>
      </c>
      <c r="K373" s="612" t="str">
        <f>IFERROR(VLOOKUP(M373,'02. MM-KLH'!$B$6:$T$823,18,0),"")</f>
        <v>RNHF14FYALT024045</v>
      </c>
      <c r="L373" s="613" t="str">
        <f>IFERROR(VLOOKUP(M373,'02. MM-KLH'!$B$6:$T$823,4,0),"")</f>
        <v/>
      </c>
      <c r="M373" s="490" t="s">
        <v>408</v>
      </c>
      <c r="N373" s="615">
        <f>IFERROR(VLOOKUP(M373,'02. MM-KLH'!$B$6:$T$823,15,0),"")</f>
        <v>2020</v>
      </c>
      <c r="O373" s="616">
        <f>IFERROR(VLOOKUP(M373,'02. MM-KLH'!$B$6:$T$823,9,0),"")</f>
        <v>44197</v>
      </c>
      <c r="P373" s="566" t="s">
        <v>1565</v>
      </c>
      <c r="Q373" s="613"/>
      <c r="R373" s="613"/>
      <c r="S373" s="566" t="s">
        <v>4158</v>
      </c>
      <c r="T373" s="613"/>
      <c r="U373" s="559" t="str">
        <f>IFERROR(VLOOKUP(M373,'02. MM-KLH'!$B$6:$T$823,5,0),"")</f>
        <v>ĐQSD</v>
      </c>
      <c r="V373" s="523" t="str">
        <f>IFERROR(VLOOKUP(M373,'02. MM-KLH'!$B$6:$T$823,8,0),"")</f>
        <v>CGTC LP</v>
      </c>
      <c r="W373" s="559" t="str">
        <f>IFERROR(VLOOKUP(V373,'NS QUẢN LÝ CG'!$A$4:$D$36,2,0),"")</f>
        <v>Đỗ Đức Nghĩa</v>
      </c>
      <c r="X373" s="559" t="str">
        <f>IFERROR(VLOOKUP(V373,'NS QUẢN LÝ CG'!$A$4:$D$36,4,0),"")</f>
        <v>NOCN L.4-LP3</v>
      </c>
      <c r="Y373" s="559" t="str">
        <f>IFERROR(VLOOKUP(V373,'NS QUẢN LÝ CG'!$A$4:$C$36,3,0),"")</f>
        <v>0971462780</v>
      </c>
      <c r="Z373" s="523" t="str">
        <f>IFERROR(VLOOKUP(M373,'02. MM-KLH'!$B$6:$T$823,3,0),"")</f>
        <v>ATT-A24-0061</v>
      </c>
      <c r="AA373" s="561" t="s">
        <v>5046</v>
      </c>
      <c r="AB373" s="523"/>
      <c r="AC373" s="523"/>
    </row>
    <row r="374">
      <c r="A374" s="523"/>
      <c r="B374" s="612" t="str">
        <f>IFERROR(VLOOKUP(M374,'02. MM-KLH'!$B$6:$T$823,6,0),"")</f>
        <v>Xe ben FD140</v>
      </c>
      <c r="C374" s="566">
        <v>1.0</v>
      </c>
      <c r="D374" s="613" t="str">
        <f>IFERROR(VLOOKUP(M374,'02. MM-KLH'!$B$6:$T$823,16,0),"")</f>
        <v>FD140-8T</v>
      </c>
      <c r="E374" s="561" t="s">
        <v>4158</v>
      </c>
      <c r="F374" s="613"/>
      <c r="G374" s="613"/>
      <c r="H374" s="613" t="str">
        <f>IFERROR(VLOOKUP(M374,'02. MM-KLH'!$B$6:$T$823,17,0),"")</f>
        <v>140HP</v>
      </c>
      <c r="I374" s="614">
        <f>IFERROR(VLOOKUP(M374,'02. MM-KLH'!$B$6:$U$823,20,0),"")</f>
        <v>0.4</v>
      </c>
      <c r="J374" s="612" t="str">
        <f>IFERROR(VLOOKUP(M374,'02. MM-KLH'!$B$6:$T$823,19,0),"")</f>
        <v>YC4D140-48D59M1J20797</v>
      </c>
      <c r="K374" s="612" t="str">
        <f>IFERROR(VLOOKUP(M374,'02. MM-KLH'!$B$6:$T$823,18,0),"")</f>
        <v>RNHF14FYALT024043</v>
      </c>
      <c r="L374" s="613" t="str">
        <f>IFERROR(VLOOKUP(M374,'02. MM-KLH'!$B$6:$T$823,4,0),"")</f>
        <v/>
      </c>
      <c r="M374" s="488" t="s">
        <v>558</v>
      </c>
      <c r="N374" s="615">
        <f>IFERROR(VLOOKUP(M374,'02. MM-KLH'!$B$6:$T$823,15,0),"")</f>
        <v>2020</v>
      </c>
      <c r="O374" s="616" t="str">
        <f>IFERROR(VLOOKUP(M374,'02. MM-KLH'!$B$6:$T$823,9,0),"")</f>
        <v/>
      </c>
      <c r="P374" s="564">
        <v>111451.0</v>
      </c>
      <c r="Q374" s="613"/>
      <c r="R374" s="566" t="s">
        <v>4158</v>
      </c>
      <c r="S374" s="613"/>
      <c r="T374" s="613"/>
      <c r="U374" s="559" t="str">
        <f>IFERROR(VLOOKUP(M374,'02. MM-KLH'!$B$6:$T$823,5,0),"")</f>
        <v>ĐQSD</v>
      </c>
      <c r="V374" s="523" t="str">
        <f>IFERROR(VLOOKUP(M374,'02. MM-KLH'!$B$6:$T$823,8,0),"")</f>
        <v>CGTC AD</v>
      </c>
      <c r="W374" s="559" t="str">
        <f>IFERROR(VLOOKUP(V374,'NS QUẢN LÝ CG'!$A$4:$D$36,2,0),"")</f>
        <v>Vũ Trung Kiên</v>
      </c>
      <c r="X374" s="559" t="str">
        <f>IFERROR(VLOOKUP(V374,'NS QUẢN LÝ CG'!$A$4:$D$36,4,0),"")</f>
        <v>Lô 73 ADM</v>
      </c>
      <c r="Y374" s="559" t="str">
        <f>IFERROR(VLOOKUP(V374,'NS QUẢN LÝ CG'!$A$4:$C$36,3,0),"")</f>
        <v>0981761677</v>
      </c>
      <c r="Z374" s="523" t="str">
        <f>IFERROR(VLOOKUP(M374,'02. MM-KLH'!$B$6:$T$823,3,0),"")</f>
        <v>ATT-A24-0062</v>
      </c>
      <c r="AA374" s="561" t="s">
        <v>5046</v>
      </c>
      <c r="AB374" s="523"/>
      <c r="AC374" s="523"/>
    </row>
    <row r="375">
      <c r="A375" s="523"/>
      <c r="B375" s="612" t="str">
        <f>IFERROR(VLOOKUP(M375,'02. MM-KLH'!$B$6:$T$823,6,0),"")</f>
        <v>Xe ben FD850</v>
      </c>
      <c r="C375" s="566">
        <v>1.0</v>
      </c>
      <c r="D375" s="613" t="str">
        <f>IFERROR(VLOOKUP(M375,'02. MM-KLH'!$B$6:$T$823,16,0),"")</f>
        <v>FD850-5T</v>
      </c>
      <c r="E375" s="561" t="s">
        <v>4158</v>
      </c>
      <c r="F375" s="613"/>
      <c r="G375" s="613"/>
      <c r="H375" s="613" t="str">
        <f>IFERROR(VLOOKUP(M375,'02. MM-KLH'!$B$6:$T$823,17,0),"")</f>
        <v>140HP</v>
      </c>
      <c r="I375" s="614">
        <f>IFERROR(VLOOKUP(M375,'02. MM-KLH'!$B$6:$U$823,20,0),"")</f>
        <v>6</v>
      </c>
      <c r="J375" s="612" t="str">
        <f>IFERROR(VLOOKUP(M375,'02. MM-KLH'!$B$6:$T$823,19,0),"")</f>
        <v>D59M1J20132</v>
      </c>
      <c r="K375" s="612" t="str">
        <f>IFERROR(VLOOKUP(M375,'02. MM-KLH'!$B$6:$T$823,18,0),"")</f>
        <v>RNHF14FYALC008840</v>
      </c>
      <c r="L375" s="613" t="str">
        <f>IFERROR(VLOOKUP(M375,'02. MM-KLH'!$B$6:$T$823,4,0),"")</f>
        <v/>
      </c>
      <c r="M375" s="490" t="s">
        <v>417</v>
      </c>
      <c r="N375" s="615">
        <f>IFERROR(VLOOKUP(M375,'02. MM-KLH'!$B$6:$T$823,15,0),"")</f>
        <v>2020</v>
      </c>
      <c r="O375" s="616" t="str">
        <f>IFERROR(VLOOKUP(M375,'02. MM-KLH'!$B$6:$T$823,9,0),"")</f>
        <v/>
      </c>
      <c r="P375" s="566" t="s">
        <v>1565</v>
      </c>
      <c r="Q375" s="613"/>
      <c r="R375" s="566" t="s">
        <v>4158</v>
      </c>
      <c r="S375" s="613"/>
      <c r="T375" s="613"/>
      <c r="U375" s="559" t="str">
        <f>IFERROR(VLOOKUP(M375,'02. MM-KLH'!$B$6:$T$823,5,0),"")</f>
        <v>ĐQSD</v>
      </c>
      <c r="V375" s="523" t="str">
        <f>IFERROR(VLOOKUP(M375,'02. MM-KLH'!$B$6:$T$823,8,0),"")</f>
        <v>CGTC LP</v>
      </c>
      <c r="W375" s="559" t="str">
        <f>IFERROR(VLOOKUP(V375,'NS QUẢN LÝ CG'!$A$4:$D$36,2,0),"")</f>
        <v>Đỗ Đức Nghĩa</v>
      </c>
      <c r="X375" s="559" t="str">
        <f>IFERROR(VLOOKUP(V375,'NS QUẢN LÝ CG'!$A$4:$D$36,4,0),"")</f>
        <v>NOCN L.4-LP3</v>
      </c>
      <c r="Y375" s="559" t="str">
        <f>IFERROR(VLOOKUP(V375,'NS QUẢN LÝ CG'!$A$4:$C$36,3,0),"")</f>
        <v>0971462780</v>
      </c>
      <c r="Z375" s="523" t="str">
        <f>IFERROR(VLOOKUP(M375,'02. MM-KLH'!$B$6:$T$823,3,0),"")</f>
        <v>A24-XTA-010</v>
      </c>
      <c r="AA375" s="559" t="str">
        <f>SWITCH(LEFT(Z375,3),"A22","ADM","A23","DP","A24","LP","")</f>
        <v>LP</v>
      </c>
      <c r="AB375" s="523"/>
      <c r="AC375" s="523"/>
    </row>
    <row r="376">
      <c r="A376" s="523"/>
      <c r="B376" s="612" t="str">
        <f>IFERROR(VLOOKUP(M376,'02. MM-KLH'!$B$6:$T$823,6,0),"")</f>
        <v>Xe ben FD150 (8.7m3)</v>
      </c>
      <c r="C376" s="566">
        <v>1.0</v>
      </c>
      <c r="D376" s="613" t="str">
        <f>IFERROR(VLOOKUP(M376,'02. MM-KLH'!$B$6:$T$823,16,0),"")</f>
        <v>FD150-4WD</v>
      </c>
      <c r="E376" s="561" t="s">
        <v>4158</v>
      </c>
      <c r="F376" s="613"/>
      <c r="G376" s="613"/>
      <c r="H376" s="613" t="str">
        <f>IFERROR(VLOOKUP(M376,'02. MM-KLH'!$B$6:$T$823,17,0),"")</f>
        <v>150HP</v>
      </c>
      <c r="I376" s="614">
        <f>IFERROR(VLOOKUP(M376,'02. MM-KLH'!$B$6:$U$823,20,0),"")</f>
        <v>0.45</v>
      </c>
      <c r="J376" s="612" t="str">
        <f>IFERROR(VLOOKUP(M376,'02. MM-KLH'!$B$6:$T$823,19,0),"")</f>
        <v>YC4D150-48D59M1N00931</v>
      </c>
      <c r="K376" s="612" t="str">
        <f>IFERROR(VLOOKUP(M376,'02. MM-KLH'!$B$6:$T$823,18,0),"")</f>
        <v>RNHF16FYAPTO77537</v>
      </c>
      <c r="L376" s="613" t="str">
        <f>IFERROR(VLOOKUP(M376,'02. MM-KLH'!$B$6:$T$823,4,0),"")</f>
        <v/>
      </c>
      <c r="M376" s="488" t="s">
        <v>2936</v>
      </c>
      <c r="N376" s="615">
        <f>IFERROR(VLOOKUP(M376,'02. MM-KLH'!$B$6:$T$823,15,0),"")</f>
        <v>2023</v>
      </c>
      <c r="O376" s="616">
        <f>IFERROR(VLOOKUP(M376,'02. MM-KLH'!$B$6:$T$823,9,0),"")</f>
        <v>46089</v>
      </c>
      <c r="P376" s="566" t="s">
        <v>1565</v>
      </c>
      <c r="Q376" s="613"/>
      <c r="R376" s="613"/>
      <c r="S376" s="613"/>
      <c r="T376" s="613"/>
      <c r="U376" s="559" t="str">
        <f>IFERROR(VLOOKUP(M376,'02. MM-KLH'!$B$6:$T$823,5,0),"")</f>
        <v>ĐQSD</v>
      </c>
      <c r="V376" s="523" t="str">
        <f>IFERROR(VLOOKUP(M376,'02. MM-KLH'!$B$6:$T$823,8,0),"")</f>
        <v>Vườn tăng gia</v>
      </c>
      <c r="W376" s="559" t="str">
        <f>IFERROR(VLOOKUP(V376,'NS QUẢN LÝ CG'!$A$4:$D$36,2,0),"")</f>
        <v/>
      </c>
      <c r="X376" s="559" t="str">
        <f>IFERROR(VLOOKUP(V376,'NS QUẢN LÝ CG'!$A$4:$D$36,4,0),"")</f>
        <v/>
      </c>
      <c r="Y376" s="559" t="str">
        <f>IFERROR(VLOOKUP(V376,'NS QUẢN LÝ CG'!$A$4:$C$36,3,0),"")</f>
        <v/>
      </c>
      <c r="Z376" s="523" t="str">
        <f>IFERROR(VLOOKUP(M376,'02. MM-KLH'!$B$6:$T$823,3,0),"")</f>
        <v>ATT-A22-0298</v>
      </c>
      <c r="AA376" s="561" t="s">
        <v>4462</v>
      </c>
      <c r="AB376" s="523"/>
      <c r="AC376" s="523"/>
    </row>
    <row r="377">
      <c r="A377" s="523"/>
      <c r="B377" s="612" t="str">
        <f>IFERROR(VLOOKUP(M377,'02. MM-KLH'!$B$6:$T$823,6,0),"")</f>
        <v>Xe ben FD850</v>
      </c>
      <c r="C377" s="566">
        <v>1.0</v>
      </c>
      <c r="D377" s="613" t="str">
        <f>IFERROR(VLOOKUP(M377,'02. MM-KLH'!$B$6:$T$823,16,0),"")</f>
        <v>FD850-8T</v>
      </c>
      <c r="E377" s="561" t="s">
        <v>4158</v>
      </c>
      <c r="F377" s="613"/>
      <c r="G377" s="613"/>
      <c r="H377" s="613" t="str">
        <f>IFERROR(VLOOKUP(M377,'02. MM-KLH'!$B$6:$T$823,17,0),"")</f>
        <v>140HP</v>
      </c>
      <c r="I377" s="614" t="str">
        <f>IFERROR(VLOOKUP(M377,'02. MM-KLH'!$B$6:$U$823,20,0),"")</f>
        <v/>
      </c>
      <c r="J377" s="612" t="str">
        <f>IFERROR(VLOOKUP(M377,'02. MM-KLH'!$B$6:$T$823,19,0),"")</f>
        <v>CCN</v>
      </c>
      <c r="K377" s="612" t="str">
        <f>IFERROR(VLOOKUP(M377,'02. MM-KLH'!$B$6:$T$823,18,0),"")</f>
        <v>RNHF14FYAL0008847</v>
      </c>
      <c r="L377" s="613" t="str">
        <f>IFERROR(VLOOKUP(M377,'02. MM-KLH'!$B$6:$T$823,4,0),"")</f>
        <v/>
      </c>
      <c r="M377" s="488" t="s">
        <v>1191</v>
      </c>
      <c r="N377" s="615">
        <f>IFERROR(VLOOKUP(M377,'02. MM-KLH'!$B$6:$T$823,15,0),"")</f>
        <v>2010</v>
      </c>
      <c r="O377" s="616" t="str">
        <f>IFERROR(VLOOKUP(M377,'02. MM-KLH'!$B$6:$T$823,9,0),"")</f>
        <v>31/01/2024</v>
      </c>
      <c r="P377" s="566" t="s">
        <v>1565</v>
      </c>
      <c r="Q377" s="613"/>
      <c r="R377" s="566" t="s">
        <v>4158</v>
      </c>
      <c r="S377" s="613"/>
      <c r="T377" s="613"/>
      <c r="U377" s="559" t="str">
        <f>IFERROR(VLOOKUP(M377,'02. MM-KLH'!$B$6:$T$823,5,0),"")</f>
        <v>ĐQSD</v>
      </c>
      <c r="V377" s="523" t="str">
        <f>IFERROR(VLOOKUP(M377,'02. MM-KLH'!$B$6:$T$823,8,0),"")</f>
        <v>XN Chuối DP3</v>
      </c>
      <c r="W377" s="559" t="str">
        <f>IFERROR(VLOOKUP(V377,'NS QUẢN LÝ CG'!$A$4:$D$36,2,0),"")</f>
        <v>Thạch Ngọc Vững</v>
      </c>
      <c r="X377" s="559" t="str">
        <f>IFERROR(VLOOKUP(V377,'NS QUẢN LÝ CG'!$A$4:$D$36,4,0),"")</f>
        <v>Lô 28 DP3</v>
      </c>
      <c r="Y377" s="559" t="str">
        <f>IFERROR(VLOOKUP(V377,'NS QUẢN LÝ CG'!$A$4:$C$36,3,0),"")</f>
        <v>0975905267</v>
      </c>
      <c r="Z377" s="523" t="str">
        <f>IFERROR(VLOOKUP(M377,'02. MM-KLH'!$B$6:$T$823,3,0),"")</f>
        <v>A23-XTA-007</v>
      </c>
      <c r="AA377" s="559" t="str">
        <f t="shared" ref="AA377:AA395" si="27">SWITCH(LEFT(Z377,3),"A22","ADM","A23","DP","A24","LP","")</f>
        <v>DP</v>
      </c>
      <c r="AB377" s="523"/>
      <c r="AC377" s="523"/>
    </row>
    <row r="378">
      <c r="A378" s="523"/>
      <c r="B378" s="612" t="str">
        <f>IFERROR(VLOOKUP(M378,'02. MM-KLH'!$B$6:$T$823,6,0),"")</f>
        <v>Xe ben Forland FD990-4WDXTH4-5T</v>
      </c>
      <c r="C378" s="566">
        <v>1.0</v>
      </c>
      <c r="D378" s="613" t="str">
        <f>IFERROR(VLOOKUP(M378,'02. MM-KLH'!$B$6:$T$823,16,0),"")</f>
        <v> FD990-4WD</v>
      </c>
      <c r="E378" s="561" t="s">
        <v>4158</v>
      </c>
      <c r="F378" s="613"/>
      <c r="G378" s="613"/>
      <c r="H378" s="613" t="str">
        <f>IFERROR(VLOOKUP(M378,'02. MM-KLH'!$B$6:$T$823,17,0),"")</f>
        <v>94HP</v>
      </c>
      <c r="I378" s="614">
        <f>IFERROR(VLOOKUP(M378,'02. MM-KLH'!$B$6:$U$823,20,0),"")</f>
        <v>0.33</v>
      </c>
      <c r="J378" s="612" t="str">
        <f>IFERROR(VLOOKUP(M378,'02. MM-KLH'!$B$6:$T$823,19,0),"")</f>
        <v>4DW93-95E4*B0576949*</v>
      </c>
      <c r="K378" s="612" t="str">
        <f>IFERROR(VLOOKUP(M378,'02. MM-KLH'!$B$6:$T$823,18,0),"")</f>
        <v>RNHF99FACRT090613</v>
      </c>
      <c r="L378" s="613" t="str">
        <f>IFERROR(VLOOKUP(M378,'02. MM-KLH'!$B$6:$T$823,4,0),"")</f>
        <v/>
      </c>
      <c r="M378" s="490" t="s">
        <v>916</v>
      </c>
      <c r="N378" s="615">
        <f>IFERROR(VLOOKUP(M378,'02. MM-KLH'!$B$6:$T$823,15,0),"")</f>
        <v>2024</v>
      </c>
      <c r="O378" s="616">
        <f>IFERROR(VLOOKUP(M378,'02. MM-KLH'!$B$6:$T$823,9,0),"")</f>
        <v>45632</v>
      </c>
      <c r="P378" s="566" t="s">
        <v>1565</v>
      </c>
      <c r="Q378" s="613"/>
      <c r="R378" s="613"/>
      <c r="S378" s="613"/>
      <c r="T378" s="613"/>
      <c r="U378" s="559" t="str">
        <f>IFERROR(VLOOKUP(M378,'02. MM-KLH'!$B$6:$T$823,5,0),"")</f>
        <v>MỚI</v>
      </c>
      <c r="V378" s="523" t="str">
        <f>IFERROR(VLOOKUP(M378,'02. MM-KLH'!$B$6:$T$823,8,0),"")</f>
        <v>XN Chuối DP1</v>
      </c>
      <c r="W378" s="559" t="str">
        <f>IFERROR(VLOOKUP(V378,'NS QUẢN LÝ CG'!$A$4:$D$36,2,0),"")</f>
        <v>Thái Cao Lưu</v>
      </c>
      <c r="X378" s="559" t="str">
        <f>IFERROR(VLOOKUP(V378,'NS QUẢN LÝ CG'!$A$4:$D$36,4,0),"")</f>
        <v>Lô 21 DP1</v>
      </c>
      <c r="Y378" s="559" t="str">
        <f>IFERROR(VLOOKUP(V378,'NS QUẢN LÝ CG'!$A$4:$C$36,3,0),"")</f>
        <v>0387783316</v>
      </c>
      <c r="Z378" s="523" t="str">
        <f>IFERROR(VLOOKUP(M378,'02. MM-KLH'!$B$6:$T$823,3,0),"")</f>
        <v>A23-XTA-003</v>
      </c>
      <c r="AA378" s="559" t="str">
        <f t="shared" si="27"/>
        <v>DP</v>
      </c>
      <c r="AB378" s="523"/>
      <c r="AC378" s="523"/>
    </row>
    <row r="379">
      <c r="A379" s="523"/>
      <c r="B379" s="612" t="str">
        <f>IFERROR(VLOOKUP(M379,'02. MM-KLH'!$B$6:$T$823,6,0),"")</f>
        <v>Xe ben Forland FD990-4WDXTH4-5T</v>
      </c>
      <c r="C379" s="566">
        <v>1.0</v>
      </c>
      <c r="D379" s="613" t="str">
        <f>IFERROR(VLOOKUP(M379,'02. MM-KLH'!$B$6:$T$823,16,0),"")</f>
        <v> FD990-4WD</v>
      </c>
      <c r="E379" s="561" t="s">
        <v>4158</v>
      </c>
      <c r="F379" s="613"/>
      <c r="G379" s="613"/>
      <c r="H379" s="613" t="str">
        <f>IFERROR(VLOOKUP(M379,'02. MM-KLH'!$B$6:$T$823,17,0),"")</f>
        <v>94HP</v>
      </c>
      <c r="I379" s="614">
        <f>IFERROR(VLOOKUP(M379,'02. MM-KLH'!$B$6:$U$823,20,0),"")</f>
        <v>0.33</v>
      </c>
      <c r="J379" s="612" t="str">
        <f>IFERROR(VLOOKUP(M379,'02. MM-KLH'!$B$6:$T$823,19,0),"")</f>
        <v>4DW93-95E4*B0576971*</v>
      </c>
      <c r="K379" s="612" t="str">
        <f>IFERROR(VLOOKUP(M379,'02. MM-KLH'!$B$6:$T$823,18,0),"")</f>
        <v>RNHF99FACRT090609</v>
      </c>
      <c r="L379" s="613" t="str">
        <f>IFERROR(VLOOKUP(M379,'02. MM-KLH'!$B$6:$T$823,4,0),"")</f>
        <v/>
      </c>
      <c r="M379" s="488" t="s">
        <v>925</v>
      </c>
      <c r="N379" s="615">
        <f>IFERROR(VLOOKUP(M379,'02. MM-KLH'!$B$6:$T$823,15,0),"")</f>
        <v>2024</v>
      </c>
      <c r="O379" s="616">
        <f>IFERROR(VLOOKUP(M379,'02. MM-KLH'!$B$6:$T$823,9,0),"")</f>
        <v>45632</v>
      </c>
      <c r="P379" s="566" t="s">
        <v>1565</v>
      </c>
      <c r="Q379" s="613"/>
      <c r="R379" s="613"/>
      <c r="S379" s="613"/>
      <c r="T379" s="613"/>
      <c r="U379" s="559" t="str">
        <f>IFERROR(VLOOKUP(M379,'02. MM-KLH'!$B$6:$T$823,5,0),"")</f>
        <v>MỚI</v>
      </c>
      <c r="V379" s="523" t="str">
        <f>IFERROR(VLOOKUP(M379,'02. MM-KLH'!$B$6:$T$823,8,0),"")</f>
        <v>XN Chuối DP1</v>
      </c>
      <c r="W379" s="559" t="str">
        <f>IFERROR(VLOOKUP(V379,'NS QUẢN LÝ CG'!$A$4:$D$36,2,0),"")</f>
        <v>Thái Cao Lưu</v>
      </c>
      <c r="X379" s="559" t="str">
        <f>IFERROR(VLOOKUP(V379,'NS QUẢN LÝ CG'!$A$4:$D$36,4,0),"")</f>
        <v>Lô 21 DP1</v>
      </c>
      <c r="Y379" s="559" t="str">
        <f>IFERROR(VLOOKUP(V379,'NS QUẢN LÝ CG'!$A$4:$C$36,3,0),"")</f>
        <v>0387783316</v>
      </c>
      <c r="Z379" s="523" t="str">
        <f>IFERROR(VLOOKUP(M379,'02. MM-KLH'!$B$6:$T$823,3,0),"")</f>
        <v>A23-XTA-004</v>
      </c>
      <c r="AA379" s="559" t="str">
        <f t="shared" si="27"/>
        <v>DP</v>
      </c>
      <c r="AB379" s="523"/>
      <c r="AC379" s="523"/>
    </row>
    <row r="380">
      <c r="A380" s="523"/>
      <c r="B380" s="612" t="str">
        <f>IFERROR(VLOOKUP(M380,'02. MM-KLH'!$B$6:$T$823,6,0),"")</f>
        <v>Xe ben Forland FD990-4WDXTH4-5T</v>
      </c>
      <c r="C380" s="566">
        <v>1.0</v>
      </c>
      <c r="D380" s="613" t="str">
        <f>IFERROR(VLOOKUP(M380,'02. MM-KLH'!$B$6:$T$823,16,0),"")</f>
        <v> FD990-4WD</v>
      </c>
      <c r="E380" s="561" t="s">
        <v>4158</v>
      </c>
      <c r="F380" s="613"/>
      <c r="G380" s="613"/>
      <c r="H380" s="613" t="str">
        <f>IFERROR(VLOOKUP(M380,'02. MM-KLH'!$B$6:$T$823,17,0),"")</f>
        <v>94HP</v>
      </c>
      <c r="I380" s="614">
        <f>IFERROR(VLOOKUP(M380,'02. MM-KLH'!$B$6:$U$823,20,0),"")</f>
        <v>3</v>
      </c>
      <c r="J380" s="612" t="str">
        <f>IFERROR(VLOOKUP(M380,'02. MM-KLH'!$B$6:$T$823,19,0),"")</f>
        <v>4DW93-95E4*B0576946*</v>
      </c>
      <c r="K380" s="612" t="str">
        <f>IFERROR(VLOOKUP(M380,'02. MM-KLH'!$B$6:$T$823,18,0),"")</f>
        <v>RNHF99FACRT087868</v>
      </c>
      <c r="L380" s="613" t="str">
        <f>IFERROR(VLOOKUP(M380,'02. MM-KLH'!$B$6:$T$823,4,0),"")</f>
        <v/>
      </c>
      <c r="M380" s="488" t="s">
        <v>930</v>
      </c>
      <c r="N380" s="615">
        <f>IFERROR(VLOOKUP(M380,'02. MM-KLH'!$B$6:$T$823,15,0),"")</f>
        <v>2024</v>
      </c>
      <c r="O380" s="616">
        <f>IFERROR(VLOOKUP(M380,'02. MM-KLH'!$B$6:$T$823,9,0),"")</f>
        <v>45632</v>
      </c>
      <c r="P380" s="566" t="s">
        <v>1565</v>
      </c>
      <c r="Q380" s="613"/>
      <c r="R380" s="613"/>
      <c r="S380" s="613"/>
      <c r="T380" s="613"/>
      <c r="U380" s="559" t="str">
        <f>IFERROR(VLOOKUP(M380,'02. MM-KLH'!$B$6:$T$823,5,0),"")</f>
        <v>MỚI</v>
      </c>
      <c r="V380" s="523" t="str">
        <f>IFERROR(VLOOKUP(M380,'02. MM-KLH'!$B$6:$T$823,8,0),"")</f>
        <v>XN Chuối DP1</v>
      </c>
      <c r="W380" s="559" t="str">
        <f>IFERROR(VLOOKUP(V380,'NS QUẢN LÝ CG'!$A$4:$D$36,2,0),"")</f>
        <v>Thái Cao Lưu</v>
      </c>
      <c r="X380" s="559" t="str">
        <f>IFERROR(VLOOKUP(V380,'NS QUẢN LÝ CG'!$A$4:$D$36,4,0),"")</f>
        <v>Lô 21 DP1</v>
      </c>
      <c r="Y380" s="559" t="str">
        <f>IFERROR(VLOOKUP(V380,'NS QUẢN LÝ CG'!$A$4:$C$36,3,0),"")</f>
        <v>0387783316</v>
      </c>
      <c r="Z380" s="523" t="str">
        <f>IFERROR(VLOOKUP(M380,'02. MM-KLH'!$B$6:$T$823,3,0),"")</f>
        <v>A23-XTA-005</v>
      </c>
      <c r="AA380" s="559" t="str">
        <f t="shared" si="27"/>
        <v>DP</v>
      </c>
      <c r="AB380" s="523"/>
      <c r="AC380" s="523"/>
    </row>
    <row r="381">
      <c r="A381" s="523"/>
      <c r="B381" s="612" t="str">
        <f>IFERROR(VLOOKUP(M381,'02. MM-KLH'!$B$6:$T$823,6,0),"")</f>
        <v>Xe ben Forland FD990-4WDXTH4-5T</v>
      </c>
      <c r="C381" s="566">
        <v>1.0</v>
      </c>
      <c r="D381" s="613" t="str">
        <f>IFERROR(VLOOKUP(M381,'02. MM-KLH'!$B$6:$T$823,16,0),"")</f>
        <v> FD990-4WD</v>
      </c>
      <c r="E381" s="561" t="s">
        <v>4158</v>
      </c>
      <c r="F381" s="613"/>
      <c r="G381" s="613"/>
      <c r="H381" s="613" t="str">
        <f>IFERROR(VLOOKUP(M381,'02. MM-KLH'!$B$6:$T$823,17,0),"")</f>
        <v>94HP</v>
      </c>
      <c r="I381" s="614">
        <f>IFERROR(VLOOKUP(M381,'02. MM-KLH'!$B$6:$U$823,20,0),"")</f>
        <v>0.33</v>
      </c>
      <c r="J381" s="612" t="str">
        <f>IFERROR(VLOOKUP(M381,'02. MM-KLH'!$B$6:$T$823,19,0),"")</f>
        <v>4DW93-95E4*B0576959*</v>
      </c>
      <c r="K381" s="612" t="str">
        <f>IFERROR(VLOOKUP(M381,'02. MM-KLH'!$B$6:$T$823,18,0),"")</f>
        <v>RNHF99FACRT090610</v>
      </c>
      <c r="L381" s="613" t="str">
        <f>IFERROR(VLOOKUP(M381,'02. MM-KLH'!$B$6:$T$823,4,0),"")</f>
        <v/>
      </c>
      <c r="M381" s="488" t="s">
        <v>936</v>
      </c>
      <c r="N381" s="615">
        <f>IFERROR(VLOOKUP(M381,'02. MM-KLH'!$B$6:$T$823,15,0),"")</f>
        <v>2024</v>
      </c>
      <c r="O381" s="616">
        <f>IFERROR(VLOOKUP(M381,'02. MM-KLH'!$B$6:$T$823,9,0),"")</f>
        <v>45632</v>
      </c>
      <c r="P381" s="566" t="s">
        <v>1565</v>
      </c>
      <c r="Q381" s="613"/>
      <c r="R381" s="613"/>
      <c r="S381" s="613"/>
      <c r="T381" s="613"/>
      <c r="U381" s="559" t="str">
        <f>IFERROR(VLOOKUP(M381,'02. MM-KLH'!$B$6:$T$823,5,0),"")</f>
        <v>MỚI</v>
      </c>
      <c r="V381" s="523" t="str">
        <f>IFERROR(VLOOKUP(M381,'02. MM-KLH'!$B$6:$T$823,8,0),"")</f>
        <v>XN Chuối DP1</v>
      </c>
      <c r="W381" s="559" t="str">
        <f>IFERROR(VLOOKUP(V381,'NS QUẢN LÝ CG'!$A$4:$D$36,2,0),"")</f>
        <v>Thái Cao Lưu</v>
      </c>
      <c r="X381" s="559" t="str">
        <f>IFERROR(VLOOKUP(V381,'NS QUẢN LÝ CG'!$A$4:$D$36,4,0),"")</f>
        <v>Lô 21 DP1</v>
      </c>
      <c r="Y381" s="559" t="str">
        <f>IFERROR(VLOOKUP(V381,'NS QUẢN LÝ CG'!$A$4:$C$36,3,0),"")</f>
        <v>0387783316</v>
      </c>
      <c r="Z381" s="523" t="str">
        <f>IFERROR(VLOOKUP(M381,'02. MM-KLH'!$B$6:$T$823,3,0),"")</f>
        <v>A23-XTA-006</v>
      </c>
      <c r="AA381" s="559" t="str">
        <f t="shared" si="27"/>
        <v>DP</v>
      </c>
      <c r="AB381" s="523"/>
      <c r="AC381" s="523"/>
    </row>
    <row r="382">
      <c r="A382" s="523"/>
      <c r="B382" s="612" t="str">
        <f>IFERROR(VLOOKUP(M382,'02. MM-KLH'!$B$6:$T$823,6,0),"")</f>
        <v>Xe ben Forland FD990-4WDXTH4-5T</v>
      </c>
      <c r="C382" s="566">
        <v>1.0</v>
      </c>
      <c r="D382" s="613" t="str">
        <f>IFERROR(VLOOKUP(M382,'02. MM-KLH'!$B$6:$T$823,16,0),"")</f>
        <v> FD990-4WD</v>
      </c>
      <c r="E382" s="561" t="s">
        <v>4158</v>
      </c>
      <c r="F382" s="613"/>
      <c r="G382" s="613"/>
      <c r="H382" s="613" t="str">
        <f>IFERROR(VLOOKUP(M382,'02. MM-KLH'!$B$6:$T$823,17,0),"")</f>
        <v>94HP</v>
      </c>
      <c r="I382" s="614">
        <f>IFERROR(VLOOKUP(M382,'02. MM-KLH'!$B$6:$U$823,20,0),"")</f>
        <v>0.33</v>
      </c>
      <c r="J382" s="612" t="str">
        <f>IFERROR(VLOOKUP(M382,'02. MM-KLH'!$B$6:$T$823,19,0),"")</f>
        <v>B0576976</v>
      </c>
      <c r="K382" s="612" t="str">
        <f>IFERROR(VLOOKUP(M382,'02. MM-KLH'!$B$6:$T$823,18,0),"")</f>
        <v>RNHF99FACRT092728</v>
      </c>
      <c r="L382" s="613" t="str">
        <f>IFERROR(VLOOKUP(M382,'02. MM-KLH'!$B$6:$T$823,4,0),"")</f>
        <v/>
      </c>
      <c r="M382" s="490" t="s">
        <v>1043</v>
      </c>
      <c r="N382" s="615">
        <f>IFERROR(VLOOKUP(M382,'02. MM-KLH'!$B$6:$T$823,15,0),"")</f>
        <v>2024</v>
      </c>
      <c r="O382" s="616" t="str">
        <f>IFERROR(VLOOKUP(M382,'02. MM-KLH'!$B$6:$T$823,9,0),"")</f>
        <v>30/07/2024</v>
      </c>
      <c r="P382" s="566">
        <v>34677.0</v>
      </c>
      <c r="Q382" s="613"/>
      <c r="R382" s="566" t="s">
        <v>4158</v>
      </c>
      <c r="S382" s="613"/>
      <c r="T382" s="613"/>
      <c r="U382" s="559" t="str">
        <f>IFERROR(VLOOKUP(M382,'02. MM-KLH'!$B$6:$T$823,5,0),"")</f>
        <v> MỚI</v>
      </c>
      <c r="V382" s="523" t="str">
        <f>IFERROR(VLOOKUP(M382,'02. MM-KLH'!$B$6:$T$823,8,0),"")</f>
        <v>XN Chuối DP2</v>
      </c>
      <c r="W382" s="559" t="str">
        <f>IFERROR(VLOOKUP(V382,'NS QUẢN LÝ CG'!$A$4:$D$36,2,0),"")</f>
        <v>Huỳnh Quang Viên</v>
      </c>
      <c r="X382" s="559" t="str">
        <f>IFERROR(VLOOKUP(V382,'NS QUẢN LÝ CG'!$A$4:$D$36,4,0),"")</f>
        <v>Lô 15.6 DP2</v>
      </c>
      <c r="Y382" s="559" t="str">
        <f>IFERROR(VLOOKUP(V382,'NS QUẢN LÝ CG'!$A$4:$C$36,3,0),"")</f>
        <v>0977623379</v>
      </c>
      <c r="Z382" s="523" t="str">
        <f>IFERROR(VLOOKUP(M382,'02. MM-KLH'!$B$6:$T$823,3,0),"")</f>
        <v>A23-XTA-019</v>
      </c>
      <c r="AA382" s="559" t="str">
        <f t="shared" si="27"/>
        <v>DP</v>
      </c>
      <c r="AB382" s="523"/>
      <c r="AC382" s="523"/>
    </row>
    <row r="383">
      <c r="A383" s="523"/>
      <c r="B383" s="612" t="str">
        <f>IFERROR(VLOOKUP(M383,'02. MM-KLH'!$B$6:$T$823,6,0),"")</f>
        <v>Xe ben Forland FD990-4WDXTH4-5T</v>
      </c>
      <c r="C383" s="566">
        <v>1.0</v>
      </c>
      <c r="D383" s="613" t="str">
        <f>IFERROR(VLOOKUP(M383,'02. MM-KLH'!$B$6:$T$823,16,0),"")</f>
        <v> FD990-4WD</v>
      </c>
      <c r="E383" s="561" t="s">
        <v>4158</v>
      </c>
      <c r="F383" s="613"/>
      <c r="G383" s="613"/>
      <c r="H383" s="613" t="str">
        <f>IFERROR(VLOOKUP(M383,'02. MM-KLH'!$B$6:$T$823,17,0),"")</f>
        <v>94HP</v>
      </c>
      <c r="I383" s="614">
        <f>IFERROR(VLOOKUP(M383,'02. MM-KLH'!$B$6:$U$823,20,0),"")</f>
        <v>3</v>
      </c>
      <c r="J383" s="612" t="str">
        <f>IFERROR(VLOOKUP(M383,'02. MM-KLH'!$B$6:$T$823,19,0),"")</f>
        <v>B0577298</v>
      </c>
      <c r="K383" s="612" t="str">
        <f>IFERROR(VLOOKUP(M383,'02. MM-KLH'!$B$6:$T$823,18,0),"")</f>
        <v>RNHF99FACRT092729</v>
      </c>
      <c r="L383" s="613" t="str">
        <f>IFERROR(VLOOKUP(M383,'02. MM-KLH'!$B$6:$T$823,4,0),"")</f>
        <v/>
      </c>
      <c r="M383" s="490" t="s">
        <v>1048</v>
      </c>
      <c r="N383" s="615">
        <f>IFERROR(VLOOKUP(M383,'02. MM-KLH'!$B$6:$T$823,15,0),"")</f>
        <v>2024</v>
      </c>
      <c r="O383" s="616" t="str">
        <f>IFERROR(VLOOKUP(M383,'02. MM-KLH'!$B$6:$T$823,9,0),"")</f>
        <v>30/07/2024</v>
      </c>
      <c r="P383" s="566" t="s">
        <v>1565</v>
      </c>
      <c r="Q383" s="613"/>
      <c r="R383" s="566" t="s">
        <v>4158</v>
      </c>
      <c r="S383" s="613"/>
      <c r="T383" s="613"/>
      <c r="U383" s="559" t="str">
        <f>IFERROR(VLOOKUP(M383,'02. MM-KLH'!$B$6:$T$823,5,0),"")</f>
        <v> MỚI</v>
      </c>
      <c r="V383" s="523" t="str">
        <f>IFERROR(VLOOKUP(M383,'02. MM-KLH'!$B$6:$T$823,8,0),"")</f>
        <v>XN Chuối DP2</v>
      </c>
      <c r="W383" s="559" t="str">
        <f>IFERROR(VLOOKUP(V383,'NS QUẢN LÝ CG'!$A$4:$D$36,2,0),"")</f>
        <v>Huỳnh Quang Viên</v>
      </c>
      <c r="X383" s="559" t="str">
        <f>IFERROR(VLOOKUP(V383,'NS QUẢN LÝ CG'!$A$4:$D$36,4,0),"")</f>
        <v>Lô 15.6 DP2</v>
      </c>
      <c r="Y383" s="559" t="str">
        <f>IFERROR(VLOOKUP(V383,'NS QUẢN LÝ CG'!$A$4:$C$36,3,0),"")</f>
        <v>0977623379</v>
      </c>
      <c r="Z383" s="523" t="str">
        <f>IFERROR(VLOOKUP(M383,'02. MM-KLH'!$B$6:$T$823,3,0),"")</f>
        <v>A23-XTA-020</v>
      </c>
      <c r="AA383" s="559" t="str">
        <f t="shared" si="27"/>
        <v>DP</v>
      </c>
      <c r="AB383" s="523"/>
      <c r="AC383" s="523"/>
    </row>
    <row r="384">
      <c r="A384" s="523"/>
      <c r="B384" s="612" t="str">
        <f>IFERROR(VLOOKUP(M384,'02. MM-KLH'!$B$6:$T$823,6,0),"")</f>
        <v>Xe ben Forland FD990-4WDXTH4-5T</v>
      </c>
      <c r="C384" s="566">
        <v>1.0</v>
      </c>
      <c r="D384" s="613" t="str">
        <f>IFERROR(VLOOKUP(M384,'02. MM-KLH'!$B$6:$T$823,16,0),"")</f>
        <v> FD990-4WD</v>
      </c>
      <c r="E384" s="561" t="s">
        <v>4158</v>
      </c>
      <c r="F384" s="613"/>
      <c r="G384" s="613"/>
      <c r="H384" s="613" t="str">
        <f>IFERROR(VLOOKUP(M384,'02. MM-KLH'!$B$6:$T$823,17,0),"")</f>
        <v>100HP</v>
      </c>
      <c r="I384" s="614">
        <f>IFERROR(VLOOKUP(M384,'02. MM-KLH'!$B$6:$U$823,20,0),"")</f>
        <v>0.33</v>
      </c>
      <c r="J384" s="612" t="str">
        <f>IFERROR(VLOOKUP(M384,'02. MM-KLH'!$B$6:$T$823,19,0),"")</f>
        <v>4DW9395E4B0576690</v>
      </c>
      <c r="K384" s="612" t="str">
        <f>IFERROR(VLOOKUP(M384,'02. MM-KLH'!$B$6:$T$823,18,0),"")</f>
        <v>RNHF99FACPT075129</v>
      </c>
      <c r="L384" s="613" t="str">
        <f>IFERROR(VLOOKUP(M384,'02. MM-KLH'!$B$6:$T$823,4,0),"")</f>
        <v/>
      </c>
      <c r="M384" s="490" t="s">
        <v>1052</v>
      </c>
      <c r="N384" s="615">
        <f>IFERROR(VLOOKUP(M384,'02. MM-KLH'!$B$6:$T$823,15,0),"")</f>
        <v>2023</v>
      </c>
      <c r="O384" s="616">
        <f>IFERROR(VLOOKUP(M384,'02. MM-KLH'!$B$6:$T$823,9,0),"")</f>
        <v>45569</v>
      </c>
      <c r="P384" s="566" t="s">
        <v>1565</v>
      </c>
      <c r="Q384" s="613"/>
      <c r="R384" s="566" t="s">
        <v>4158</v>
      </c>
      <c r="S384" s="613"/>
      <c r="T384" s="613"/>
      <c r="U384" s="559" t="str">
        <f>IFERROR(VLOOKUP(M384,'02. MM-KLH'!$B$6:$T$823,5,0),"")</f>
        <v> MỚI</v>
      </c>
      <c r="V384" s="523" t="str">
        <f>IFERROR(VLOOKUP(M384,'02. MM-KLH'!$B$6:$T$823,8,0),"")</f>
        <v>XN Chuối DP2</v>
      </c>
      <c r="W384" s="559" t="str">
        <f>IFERROR(VLOOKUP(V384,'NS QUẢN LÝ CG'!$A$4:$D$36,2,0),"")</f>
        <v>Huỳnh Quang Viên</v>
      </c>
      <c r="X384" s="559" t="str">
        <f>IFERROR(VLOOKUP(V384,'NS QUẢN LÝ CG'!$A$4:$D$36,4,0),"")</f>
        <v>Lô 15.6 DP2</v>
      </c>
      <c r="Y384" s="559" t="str">
        <f>IFERROR(VLOOKUP(V384,'NS QUẢN LÝ CG'!$A$4:$C$36,3,0),"")</f>
        <v>0977623379</v>
      </c>
      <c r="Z384" s="523" t="str">
        <f>IFERROR(VLOOKUP(M384,'02. MM-KLH'!$B$6:$T$823,3,0),"")</f>
        <v>A24-XTA-003</v>
      </c>
      <c r="AA384" s="559" t="str">
        <f t="shared" si="27"/>
        <v>LP</v>
      </c>
      <c r="AB384" s="523"/>
      <c r="AC384" s="523"/>
    </row>
    <row r="385">
      <c r="A385" s="523"/>
      <c r="B385" s="612" t="str">
        <f>IFERROR(VLOOKUP(M385,'02. MM-KLH'!$B$6:$T$823,6,0),"")</f>
        <v>Xe ben Forland FD990-4WDXTH4-5T</v>
      </c>
      <c r="C385" s="566">
        <v>1.0</v>
      </c>
      <c r="D385" s="613" t="str">
        <f>IFERROR(VLOOKUP(M385,'02. MM-KLH'!$B$6:$T$823,16,0),"")</f>
        <v> FD990-4WD</v>
      </c>
      <c r="E385" s="561" t="s">
        <v>4158</v>
      </c>
      <c r="F385" s="613"/>
      <c r="G385" s="613"/>
      <c r="H385" s="613" t="str">
        <f>IFERROR(VLOOKUP(M385,'02. MM-KLH'!$B$6:$T$823,17,0),"")</f>
        <v>94HP</v>
      </c>
      <c r="I385" s="614">
        <f>IFERROR(VLOOKUP(M385,'02. MM-KLH'!$B$6:$U$823,20,0),"")</f>
        <v>0.33</v>
      </c>
      <c r="J385" s="612" t="str">
        <f>IFERROR(VLOOKUP(M385,'02. MM-KLH'!$B$6:$T$823,19,0),"")</f>
        <v>B0576973</v>
      </c>
      <c r="K385" s="612" t="str">
        <f>IFERROR(VLOOKUP(M385,'02. MM-KLH'!$B$6:$T$823,18,0),"")</f>
        <v>RNHF99FACRT092725</v>
      </c>
      <c r="L385" s="613" t="str">
        <f>IFERROR(VLOOKUP(M385,'02. MM-KLH'!$B$6:$T$823,4,0),"")</f>
        <v>3A-6810</v>
      </c>
      <c r="M385" s="488" t="s">
        <v>1172</v>
      </c>
      <c r="N385" s="615">
        <f>IFERROR(VLOOKUP(M385,'02. MM-KLH'!$B$6:$T$823,15,0),"")</f>
        <v>2024</v>
      </c>
      <c r="O385" s="616" t="str">
        <f>IFERROR(VLOOKUP(M385,'02. MM-KLH'!$B$6:$T$823,9,0),"")</f>
        <v>30/07/2024</v>
      </c>
      <c r="P385" s="566">
        <v>39166.0</v>
      </c>
      <c r="Q385" s="613"/>
      <c r="R385" s="566" t="s">
        <v>4158</v>
      </c>
      <c r="S385" s="613"/>
      <c r="T385" s="613"/>
      <c r="U385" s="559" t="str">
        <f>IFERROR(VLOOKUP(M385,'02. MM-KLH'!$B$6:$T$823,5,0),"")</f>
        <v>MỚI</v>
      </c>
      <c r="V385" s="523" t="str">
        <f>IFERROR(VLOOKUP(M385,'02. MM-KLH'!$B$6:$T$823,8,0),"")</f>
        <v>XN Chuối DP3</v>
      </c>
      <c r="W385" s="559" t="str">
        <f>IFERROR(VLOOKUP(V385,'NS QUẢN LÝ CG'!$A$4:$D$36,2,0),"")</f>
        <v>Thạch Ngọc Vững</v>
      </c>
      <c r="X385" s="559" t="str">
        <f>IFERROR(VLOOKUP(V385,'NS QUẢN LÝ CG'!$A$4:$D$36,4,0),"")</f>
        <v>Lô 28 DP3</v>
      </c>
      <c r="Y385" s="559" t="str">
        <f>IFERROR(VLOOKUP(V385,'NS QUẢN LÝ CG'!$A$4:$C$36,3,0),"")</f>
        <v>0975905267</v>
      </c>
      <c r="Z385" s="523" t="str">
        <f>IFERROR(VLOOKUP(M385,'02. MM-KLH'!$B$6:$T$823,3,0),"")</f>
        <v>A23-XTA-021</v>
      </c>
      <c r="AA385" s="559" t="str">
        <f t="shared" si="27"/>
        <v>DP</v>
      </c>
      <c r="AB385" s="523"/>
      <c r="AC385" s="523"/>
    </row>
    <row r="386">
      <c r="A386" s="523"/>
      <c r="B386" s="612" t="str">
        <f>IFERROR(VLOOKUP(M386,'02. MM-KLH'!$B$6:$T$823,6,0),"")</f>
        <v>Xe ben Forland FD990-4WDXTH4-5T</v>
      </c>
      <c r="C386" s="566">
        <v>1.0</v>
      </c>
      <c r="D386" s="613" t="str">
        <f>IFERROR(VLOOKUP(M386,'02. MM-KLH'!$B$6:$T$823,16,0),"")</f>
        <v> FD990-4WD</v>
      </c>
      <c r="E386" s="561" t="s">
        <v>4158</v>
      </c>
      <c r="F386" s="613"/>
      <c r="G386" s="613"/>
      <c r="H386" s="613" t="str">
        <f>IFERROR(VLOOKUP(M386,'02. MM-KLH'!$B$6:$T$823,17,0),"")</f>
        <v>94HP</v>
      </c>
      <c r="I386" s="614">
        <f>IFERROR(VLOOKUP(M386,'02. MM-KLH'!$B$6:$U$823,20,0),"")</f>
        <v>0.33</v>
      </c>
      <c r="J386" s="612" t="str">
        <f>IFERROR(VLOOKUP(M386,'02. MM-KLH'!$B$6:$T$823,19,0),"")</f>
        <v>B0576944</v>
      </c>
      <c r="K386" s="612" t="str">
        <f>IFERROR(VLOOKUP(M386,'02. MM-KLH'!$B$6:$T$823,18,0),"")</f>
        <v>RNHF99FACRT090615</v>
      </c>
      <c r="L386" s="613" t="str">
        <f>IFERROR(VLOOKUP(M386,'02. MM-KLH'!$B$6:$T$823,4,0),"")</f>
        <v>3A-6811</v>
      </c>
      <c r="M386" s="488" t="s">
        <v>1177</v>
      </c>
      <c r="N386" s="615">
        <f>IFERROR(VLOOKUP(M386,'02. MM-KLH'!$B$6:$T$823,15,0),"")</f>
        <v>2024</v>
      </c>
      <c r="O386" s="616" t="str">
        <f>IFERROR(VLOOKUP(M386,'02. MM-KLH'!$B$6:$T$823,9,0),"")</f>
        <v>30/07/2024</v>
      </c>
      <c r="P386" s="566">
        <v>42148.0</v>
      </c>
      <c r="Q386" s="613"/>
      <c r="R386" s="566" t="s">
        <v>4158</v>
      </c>
      <c r="S386" s="613"/>
      <c r="T386" s="613"/>
      <c r="U386" s="559" t="str">
        <f>IFERROR(VLOOKUP(M386,'02. MM-KLH'!$B$6:$T$823,5,0),"")</f>
        <v>MỚI</v>
      </c>
      <c r="V386" s="523" t="str">
        <f>IFERROR(VLOOKUP(M386,'02. MM-KLH'!$B$6:$T$823,8,0),"")</f>
        <v>XN Chuối DP3</v>
      </c>
      <c r="W386" s="559" t="str">
        <f>IFERROR(VLOOKUP(V386,'NS QUẢN LÝ CG'!$A$4:$D$36,2,0),"")</f>
        <v>Thạch Ngọc Vững</v>
      </c>
      <c r="X386" s="559" t="str">
        <f>IFERROR(VLOOKUP(V386,'NS QUẢN LÝ CG'!$A$4:$D$36,4,0),"")</f>
        <v>Lô 28 DP3</v>
      </c>
      <c r="Y386" s="559" t="str">
        <f>IFERROR(VLOOKUP(V386,'NS QUẢN LÝ CG'!$A$4:$C$36,3,0),"")</f>
        <v>0975905267</v>
      </c>
      <c r="Z386" s="523" t="str">
        <f>IFERROR(VLOOKUP(M386,'02. MM-KLH'!$B$6:$T$823,3,0),"")</f>
        <v>A23-XTA-022</v>
      </c>
      <c r="AA386" s="559" t="str">
        <f t="shared" si="27"/>
        <v>DP</v>
      </c>
      <c r="AB386" s="523"/>
      <c r="AC386" s="523"/>
    </row>
    <row r="387">
      <c r="A387" s="523"/>
      <c r="B387" s="612" t="str">
        <f>IFERROR(VLOOKUP(M387,'02. MM-KLH'!$B$6:$T$823,6,0),"")</f>
        <v>Xe ben Forland FD990-4WDXTH4-5T</v>
      </c>
      <c r="C387" s="566">
        <v>1.0</v>
      </c>
      <c r="D387" s="613" t="str">
        <f>IFERROR(VLOOKUP(M387,'02. MM-KLH'!$B$6:$T$823,16,0),"")</f>
        <v> FD990-4WD</v>
      </c>
      <c r="E387" s="561" t="s">
        <v>4158</v>
      </c>
      <c r="F387" s="613"/>
      <c r="G387" s="613"/>
      <c r="H387" s="613" t="str">
        <f>IFERROR(VLOOKUP(M387,'02. MM-KLH'!$B$6:$T$823,17,0),"")</f>
        <v>100HP</v>
      </c>
      <c r="I387" s="614">
        <f>IFERROR(VLOOKUP(M387,'02. MM-KLH'!$B$6:$U$823,20,0),"")</f>
        <v>0.33</v>
      </c>
      <c r="J387" s="612" t="str">
        <f>IFERROR(VLOOKUP(M387,'02. MM-KLH'!$B$6:$T$823,19,0),"")</f>
        <v>4DW9395E4B0577289</v>
      </c>
      <c r="K387" s="612" t="str">
        <f>IFERROR(VLOOKUP(M387,'02. MM-KLH'!$B$6:$T$823,18,0),"")</f>
        <v>RNHF99FACRT087863</v>
      </c>
      <c r="L387" s="613" t="str">
        <f>IFERROR(VLOOKUP(M387,'02. MM-KLH'!$B$6:$T$823,4,0),"")</f>
        <v/>
      </c>
      <c r="M387" s="488" t="s">
        <v>1181</v>
      </c>
      <c r="N387" s="615">
        <f>IFERROR(VLOOKUP(M387,'02. MM-KLH'!$B$6:$T$823,15,0),"")</f>
        <v>2023</v>
      </c>
      <c r="O387" s="616">
        <f>IFERROR(VLOOKUP(M387,'02. MM-KLH'!$B$6:$T$823,9,0),"")</f>
        <v>45569</v>
      </c>
      <c r="P387" s="566">
        <v>45323.0</v>
      </c>
      <c r="Q387" s="613"/>
      <c r="R387" s="566" t="s">
        <v>4158</v>
      </c>
      <c r="S387" s="613"/>
      <c r="T387" s="613"/>
      <c r="U387" s="559" t="str">
        <f>IFERROR(VLOOKUP(M387,'02. MM-KLH'!$B$6:$T$823,5,0),"")</f>
        <v>MỚI</v>
      </c>
      <c r="V387" s="523" t="str">
        <f>IFERROR(VLOOKUP(M387,'02. MM-KLH'!$B$6:$T$823,8,0),"")</f>
        <v>XN Chuối DP3</v>
      </c>
      <c r="W387" s="559" t="str">
        <f>IFERROR(VLOOKUP(V387,'NS QUẢN LÝ CG'!$A$4:$D$36,2,0),"")</f>
        <v>Thạch Ngọc Vững</v>
      </c>
      <c r="X387" s="559" t="str">
        <f>IFERROR(VLOOKUP(V387,'NS QUẢN LÝ CG'!$A$4:$D$36,4,0),"")</f>
        <v>Lô 28 DP3</v>
      </c>
      <c r="Y387" s="559" t="str">
        <f>IFERROR(VLOOKUP(V387,'NS QUẢN LÝ CG'!$A$4:$C$36,3,0),"")</f>
        <v>0975905267</v>
      </c>
      <c r="Z387" s="523" t="str">
        <f>IFERROR(VLOOKUP(M387,'02. MM-KLH'!$B$6:$T$823,3,0),"")</f>
        <v>A24-XTA-006</v>
      </c>
      <c r="AA387" s="559" t="str">
        <f t="shared" si="27"/>
        <v>LP</v>
      </c>
      <c r="AB387" s="523"/>
      <c r="AC387" s="523"/>
    </row>
    <row r="388">
      <c r="A388" s="523"/>
      <c r="B388" s="612" t="str">
        <f>IFERROR(VLOOKUP(M388,'02. MM-KLH'!$B$6:$T$823,6,0),"")</f>
        <v>Xe ben Forland FD990-4WDXTH4-5T</v>
      </c>
      <c r="C388" s="566">
        <v>1.0</v>
      </c>
      <c r="D388" s="613" t="str">
        <f>IFERROR(VLOOKUP(M388,'02. MM-KLH'!$B$6:$T$823,16,0),"")</f>
        <v> FD990-4WD</v>
      </c>
      <c r="E388" s="561" t="s">
        <v>4158</v>
      </c>
      <c r="F388" s="613"/>
      <c r="G388" s="613"/>
      <c r="H388" s="613" t="str">
        <f>IFERROR(VLOOKUP(M388,'02. MM-KLH'!$B$6:$T$823,17,0),"")</f>
        <v>100HP</v>
      </c>
      <c r="I388" s="614">
        <f>IFERROR(VLOOKUP(M388,'02. MM-KLH'!$B$6:$U$823,20,0),"")</f>
        <v>0.33</v>
      </c>
      <c r="J388" s="612" t="str">
        <f>IFERROR(VLOOKUP(M388,'02. MM-KLH'!$B$6:$T$823,19,0),"")</f>
        <v>4DW9395E4B0577291</v>
      </c>
      <c r="K388" s="612" t="str">
        <f>IFERROR(VLOOKUP(M388,'02. MM-KLH'!$B$6:$T$823,18,0),"")</f>
        <v>RNHF99FACRT087864</v>
      </c>
      <c r="L388" s="613" t="str">
        <f>IFERROR(VLOOKUP(M388,'02. MM-KLH'!$B$6:$T$823,4,0),"")</f>
        <v/>
      </c>
      <c r="M388" s="488" t="s">
        <v>1186</v>
      </c>
      <c r="N388" s="615">
        <f>IFERROR(VLOOKUP(M388,'02. MM-KLH'!$B$6:$T$823,15,0),"")</f>
        <v>2023</v>
      </c>
      <c r="O388" s="616">
        <f>IFERROR(VLOOKUP(M388,'02. MM-KLH'!$B$6:$T$823,9,0),"")</f>
        <v>45569</v>
      </c>
      <c r="P388" s="566">
        <v>51986.0</v>
      </c>
      <c r="Q388" s="613"/>
      <c r="R388" s="566" t="s">
        <v>4158</v>
      </c>
      <c r="S388" s="613"/>
      <c r="T388" s="613"/>
      <c r="U388" s="559" t="str">
        <f>IFERROR(VLOOKUP(M388,'02. MM-KLH'!$B$6:$T$823,5,0),"")</f>
        <v>MỚI</v>
      </c>
      <c r="V388" s="523" t="str">
        <f>IFERROR(VLOOKUP(M388,'02. MM-KLH'!$B$6:$T$823,8,0),"")</f>
        <v>XN Chuối DP3</v>
      </c>
      <c r="W388" s="559" t="str">
        <f>IFERROR(VLOOKUP(V388,'NS QUẢN LÝ CG'!$A$4:$D$36,2,0),"")</f>
        <v>Thạch Ngọc Vững</v>
      </c>
      <c r="X388" s="559" t="str">
        <f>IFERROR(VLOOKUP(V388,'NS QUẢN LÝ CG'!$A$4:$D$36,4,0),"")</f>
        <v>Lô 28 DP3</v>
      </c>
      <c r="Y388" s="559" t="str">
        <f>IFERROR(VLOOKUP(V388,'NS QUẢN LÝ CG'!$A$4:$C$36,3,0),"")</f>
        <v>0975905267</v>
      </c>
      <c r="Z388" s="523" t="str">
        <f>IFERROR(VLOOKUP(M388,'02. MM-KLH'!$B$6:$T$823,3,0),"")</f>
        <v>A24-XTA-007</v>
      </c>
      <c r="AA388" s="559" t="str">
        <f t="shared" si="27"/>
        <v>LP</v>
      </c>
      <c r="AB388" s="523"/>
      <c r="AC388" s="523"/>
    </row>
    <row r="389">
      <c r="A389" s="523"/>
      <c r="B389" s="612" t="str">
        <f>IFERROR(VLOOKUP(M389,'02. MM-KLH'!$B$6:$T$823,6,0),"")</f>
        <v>Xe ben Forland FD990-4WDXTH4-5T</v>
      </c>
      <c r="C389" s="566">
        <v>1.0</v>
      </c>
      <c r="D389" s="613" t="str">
        <f>IFERROR(VLOOKUP(M389,'02. MM-KLH'!$B$6:$T$823,16,0),"")</f>
        <v> FD990-4WD</v>
      </c>
      <c r="E389" s="561" t="s">
        <v>4158</v>
      </c>
      <c r="F389" s="613"/>
      <c r="G389" s="613"/>
      <c r="H389" s="613" t="str">
        <f>IFERROR(VLOOKUP(M389,'02. MM-KLH'!$B$6:$T$823,17,0),"")</f>
        <v>94HP</v>
      </c>
      <c r="I389" s="614">
        <f>IFERROR(VLOOKUP(M389,'02. MM-KLH'!$B$6:$U$823,20,0),"")</f>
        <v>0.33</v>
      </c>
      <c r="J389" s="612" t="str">
        <f>IFERROR(VLOOKUP(M389,'02. MM-KLH'!$B$6:$T$823,19,0),"")</f>
        <v>4DW93-95E4*B0577301*</v>
      </c>
      <c r="K389" s="612" t="str">
        <f>IFERROR(VLOOKUP(M389,'02. MM-KLH'!$B$6:$T$823,18,0),"")</f>
        <v>RNHF99FACRT087866</v>
      </c>
      <c r="L389" s="613" t="str">
        <f>IFERROR(VLOOKUP(M389,'02. MM-KLH'!$B$6:$T$823,4,0),"")</f>
        <v/>
      </c>
      <c r="M389" s="488" t="s">
        <v>1308</v>
      </c>
      <c r="N389" s="615">
        <f>IFERROR(VLOOKUP(M389,'02. MM-KLH'!$B$6:$T$823,15,0),"")</f>
        <v>2024</v>
      </c>
      <c r="O389" s="616">
        <f>IFERROR(VLOOKUP(M389,'02. MM-KLH'!$B$6:$T$823,9,0),"")</f>
        <v>45632</v>
      </c>
      <c r="P389" s="566" t="s">
        <v>1565</v>
      </c>
      <c r="Q389" s="613"/>
      <c r="R389" s="613"/>
      <c r="S389" s="613"/>
      <c r="T389" s="613"/>
      <c r="U389" s="559" t="str">
        <f>IFERROR(VLOOKUP(M389,'02. MM-KLH'!$B$6:$T$823,5,0),"")</f>
        <v>MỚI</v>
      </c>
      <c r="V389" s="523" t="str">
        <f>IFERROR(VLOOKUP(M389,'02. MM-KLH'!$B$6:$T$823,8,0),"")</f>
        <v>XN Chuối LP1</v>
      </c>
      <c r="W389" s="559" t="str">
        <f>IFERROR(VLOOKUP(V389,'NS QUẢN LÝ CG'!$A$4:$D$36,2,0),"")</f>
        <v>Nguyễn Ngọc Nhân</v>
      </c>
      <c r="X389" s="559" t="str">
        <f>IFERROR(VLOOKUP(V389,'NS QUẢN LÝ CG'!$A$4:$D$36,4,0),"")</f>
        <v>Lô 7 LP1</v>
      </c>
      <c r="Y389" s="559" t="str">
        <f>IFERROR(VLOOKUP(V389,'NS QUẢN LÝ CG'!$A$4:$C$36,3,0),"")</f>
        <v>0979578112</v>
      </c>
      <c r="Z389" s="523" t="str">
        <f>IFERROR(VLOOKUP(M389,'02. MM-KLH'!$B$6:$T$823,3,0),"")</f>
        <v>A24-XTA-001</v>
      </c>
      <c r="AA389" s="559" t="str">
        <f t="shared" si="27"/>
        <v>LP</v>
      </c>
      <c r="AB389" s="523"/>
      <c r="AC389" s="523"/>
    </row>
    <row r="390">
      <c r="A390" s="523"/>
      <c r="B390" s="612" t="str">
        <f>IFERROR(VLOOKUP(M390,'02. MM-KLH'!$B$6:$T$823,6,0),"")</f>
        <v>Xe ben Forland FD990-4WDXTH4-5T</v>
      </c>
      <c r="C390" s="566">
        <v>1.0</v>
      </c>
      <c r="D390" s="613" t="str">
        <f>IFERROR(VLOOKUP(M390,'02. MM-KLH'!$B$6:$T$823,16,0),"")</f>
        <v> FD990-4WD</v>
      </c>
      <c r="E390" s="561" t="s">
        <v>4158</v>
      </c>
      <c r="F390" s="613"/>
      <c r="G390" s="613"/>
      <c r="H390" s="613" t="str">
        <f>IFERROR(VLOOKUP(M390,'02. MM-KLH'!$B$6:$T$823,17,0),"")</f>
        <v>94HP</v>
      </c>
      <c r="I390" s="614">
        <f>IFERROR(VLOOKUP(M390,'02. MM-KLH'!$B$6:$U$823,20,0),"")</f>
        <v>0.33</v>
      </c>
      <c r="J390" s="612" t="str">
        <f>IFERROR(VLOOKUP(M390,'02. MM-KLH'!$B$6:$T$823,19,0),"")</f>
        <v>4DW93-95E4*B0576952*</v>
      </c>
      <c r="K390" s="612" t="str">
        <f>IFERROR(VLOOKUP(M390,'02. MM-KLH'!$B$6:$T$823,18,0),"")</f>
        <v>RNHF99FACRT090611</v>
      </c>
      <c r="L390" s="613" t="str">
        <f>IFERROR(VLOOKUP(M390,'02. MM-KLH'!$B$6:$T$823,4,0),"")</f>
        <v/>
      </c>
      <c r="M390" s="488" t="s">
        <v>1314</v>
      </c>
      <c r="N390" s="615">
        <f>IFERROR(VLOOKUP(M390,'02. MM-KLH'!$B$6:$T$823,15,0),"")</f>
        <v>2024</v>
      </c>
      <c r="O390" s="616">
        <f>IFERROR(VLOOKUP(M390,'02. MM-KLH'!$B$6:$T$823,9,0),"")</f>
        <v>45632</v>
      </c>
      <c r="P390" s="566" t="s">
        <v>1565</v>
      </c>
      <c r="Q390" s="613"/>
      <c r="R390" s="613"/>
      <c r="S390" s="613"/>
      <c r="T390" s="613"/>
      <c r="U390" s="559" t="str">
        <f>IFERROR(VLOOKUP(M390,'02. MM-KLH'!$B$6:$T$823,5,0),"")</f>
        <v>MỚI</v>
      </c>
      <c r="V390" s="523" t="str">
        <f>IFERROR(VLOOKUP(M390,'02. MM-KLH'!$B$6:$T$823,8,0),"")</f>
        <v>XN Chuối LP1</v>
      </c>
      <c r="W390" s="559" t="str">
        <f>IFERROR(VLOOKUP(V390,'NS QUẢN LÝ CG'!$A$4:$D$36,2,0),"")</f>
        <v>Nguyễn Ngọc Nhân</v>
      </c>
      <c r="X390" s="559" t="str">
        <f>IFERROR(VLOOKUP(V390,'NS QUẢN LÝ CG'!$A$4:$D$36,4,0),"")</f>
        <v>Lô 7 LP1</v>
      </c>
      <c r="Y390" s="559" t="str">
        <f>IFERROR(VLOOKUP(V390,'NS QUẢN LÝ CG'!$A$4:$C$36,3,0),"")</f>
        <v>0979578112</v>
      </c>
      <c r="Z390" s="523" t="str">
        <f>IFERROR(VLOOKUP(M390,'02. MM-KLH'!$B$6:$T$823,3,0),"")</f>
        <v>A24-XTA-002</v>
      </c>
      <c r="AA390" s="559" t="str">
        <f t="shared" si="27"/>
        <v>LP</v>
      </c>
      <c r="AB390" s="523"/>
      <c r="AC390" s="523"/>
    </row>
    <row r="391">
      <c r="A391" s="523"/>
      <c r="B391" s="612" t="str">
        <f>IFERROR(VLOOKUP(M391,'02. MM-KLH'!$B$6:$T$823,6,0),"")</f>
        <v>Xe ben Forland FD990-4WDXTH4-5T</v>
      </c>
      <c r="C391" s="566">
        <v>1.0</v>
      </c>
      <c r="D391" s="613" t="str">
        <f>IFERROR(VLOOKUP(M391,'02. MM-KLH'!$B$6:$T$823,16,0),"")</f>
        <v> FD990-4WD</v>
      </c>
      <c r="E391" s="561" t="s">
        <v>4158</v>
      </c>
      <c r="F391" s="613"/>
      <c r="G391" s="613"/>
      <c r="H391" s="613" t="str">
        <f>IFERROR(VLOOKUP(M391,'02. MM-KLH'!$B$6:$T$823,17,0),"")</f>
        <v>94HP</v>
      </c>
      <c r="I391" s="614">
        <f>IFERROR(VLOOKUP(M391,'02. MM-KLH'!$B$6:$U$823,20,0),"")</f>
        <v>3</v>
      </c>
      <c r="J391" s="612" t="str">
        <f>IFERROR(VLOOKUP(M391,'02. MM-KLH'!$B$6:$T$823,19,0),"")</f>
        <v>B0577292</v>
      </c>
      <c r="K391" s="612" t="str">
        <f>IFERROR(VLOOKUP(M391,'02. MM-KLH'!$B$6:$T$823,18,0),"")</f>
        <v>RNHF99FACRT090616</v>
      </c>
      <c r="L391" s="613" t="str">
        <f>IFERROR(VLOOKUP(M391,'02. MM-KLH'!$B$6:$T$823,4,0),"")</f>
        <v>3A-6812</v>
      </c>
      <c r="M391" s="488" t="s">
        <v>1319</v>
      </c>
      <c r="N391" s="615">
        <f>IFERROR(VLOOKUP(M391,'02. MM-KLH'!$B$6:$T$823,15,0),"")</f>
        <v>2024</v>
      </c>
      <c r="O391" s="616" t="str">
        <f>IFERROR(VLOOKUP(M391,'02. MM-KLH'!$B$6:$T$823,9,0),"")</f>
        <v>30/07/2024</v>
      </c>
      <c r="P391" s="566" t="s">
        <v>1565</v>
      </c>
      <c r="Q391" s="613"/>
      <c r="R391" s="613"/>
      <c r="S391" s="613"/>
      <c r="T391" s="613"/>
      <c r="U391" s="559" t="str">
        <f>IFERROR(VLOOKUP(M391,'02. MM-KLH'!$B$6:$T$823,5,0),"")</f>
        <v>MỚI</v>
      </c>
      <c r="V391" s="523" t="str">
        <f>IFERROR(VLOOKUP(M391,'02. MM-KLH'!$B$6:$T$823,8,0),"")</f>
        <v>XN Chuối LP1</v>
      </c>
      <c r="W391" s="559" t="str">
        <f>IFERROR(VLOOKUP(V391,'NS QUẢN LÝ CG'!$A$4:$D$36,2,0),"")</f>
        <v>Nguyễn Ngọc Nhân</v>
      </c>
      <c r="X391" s="559" t="str">
        <f>IFERROR(VLOOKUP(V391,'NS QUẢN LÝ CG'!$A$4:$D$36,4,0),"")</f>
        <v>Lô 7 LP1</v>
      </c>
      <c r="Y391" s="559" t="str">
        <f>IFERROR(VLOOKUP(V391,'NS QUẢN LÝ CG'!$A$4:$C$36,3,0),"")</f>
        <v>0979578112</v>
      </c>
      <c r="Z391" s="523" t="str">
        <f>IFERROR(VLOOKUP(M391,'02. MM-KLH'!$B$6:$T$823,3,0),"")</f>
        <v>A24-XTA-019</v>
      </c>
      <c r="AA391" s="559" t="str">
        <f t="shared" si="27"/>
        <v>LP</v>
      </c>
      <c r="AB391" s="523"/>
      <c r="AC391" s="523"/>
    </row>
    <row r="392">
      <c r="A392" s="523"/>
      <c r="B392" s="612" t="str">
        <f>IFERROR(VLOOKUP(M392,'02. MM-KLH'!$B$6:$T$823,6,0),"")</f>
        <v>Xe ben Forland FD990-4WDXTH4-5T</v>
      </c>
      <c r="C392" s="566">
        <v>1.0</v>
      </c>
      <c r="D392" s="613" t="str">
        <f>IFERROR(VLOOKUP(M392,'02. MM-KLH'!$B$6:$T$823,16,0),"")</f>
        <v> FD990-4WD</v>
      </c>
      <c r="E392" s="561" t="s">
        <v>4158</v>
      </c>
      <c r="F392" s="613"/>
      <c r="G392" s="613"/>
      <c r="H392" s="613" t="str">
        <f>IFERROR(VLOOKUP(M392,'02. MM-KLH'!$B$6:$T$823,17,0),"")</f>
        <v>100HP</v>
      </c>
      <c r="I392" s="614">
        <f>IFERROR(VLOOKUP(M392,'02. MM-KLH'!$B$6:$U$823,20,0),"")</f>
        <v>3</v>
      </c>
      <c r="J392" s="612" t="str">
        <f>IFERROR(VLOOKUP(M392,'02. MM-KLH'!$B$6:$T$823,19,0),"")</f>
        <v>4DW9395E4B0575115</v>
      </c>
      <c r="K392" s="612" t="str">
        <f>IFERROR(VLOOKUP(M392,'02. MM-KLH'!$B$6:$T$823,18,0),"")</f>
        <v>RNHF99FACPT075130</v>
      </c>
      <c r="L392" s="613" t="str">
        <f>IFERROR(VLOOKUP(M392,'02. MM-KLH'!$B$6:$T$823,4,0),"")</f>
        <v/>
      </c>
      <c r="M392" s="488" t="s">
        <v>1457</v>
      </c>
      <c r="N392" s="615">
        <f>IFERROR(VLOOKUP(M392,'02. MM-KLH'!$B$6:$T$823,15,0),"")</f>
        <v>2023</v>
      </c>
      <c r="O392" s="616">
        <f>IFERROR(VLOOKUP(M392,'02. MM-KLH'!$B$6:$T$823,9,0),"")</f>
        <v>45569</v>
      </c>
      <c r="P392" s="566" t="s">
        <v>1565</v>
      </c>
      <c r="Q392" s="613"/>
      <c r="R392" s="566" t="s">
        <v>4158</v>
      </c>
      <c r="S392" s="613"/>
      <c r="T392" s="613"/>
      <c r="U392" s="559" t="str">
        <f>IFERROR(VLOOKUP(M392,'02. MM-KLH'!$B$6:$T$823,5,0),"")</f>
        <v>MỚI</v>
      </c>
      <c r="V392" s="523" t="str">
        <f>IFERROR(VLOOKUP(M392,'02. MM-KLH'!$B$6:$T$823,8,0),"")</f>
        <v>XN Chuối LP3</v>
      </c>
      <c r="W392" s="559" t="str">
        <f>IFERROR(VLOOKUP(V392,'NS QUẢN LÝ CG'!$A$4:$D$36,2,0),"")</f>
        <v>Lê Cao Nghị</v>
      </c>
      <c r="X392" s="559" t="str">
        <f>IFERROR(VLOOKUP(V392,'NS QUẢN LÝ CG'!$A$4:$D$36,4,0),"")</f>
        <v>Lô 2 LP3</v>
      </c>
      <c r="Y392" s="559" t="str">
        <f>IFERROR(VLOOKUP(V392,'NS QUẢN LÝ CG'!$A$4:$C$36,3,0),"")</f>
        <v>0977423100</v>
      </c>
      <c r="Z392" s="523" t="str">
        <f>IFERROR(VLOOKUP(M392,'02. MM-KLH'!$B$6:$T$823,3,0),"")</f>
        <v>A24-XTA-004</v>
      </c>
      <c r="AA392" s="559" t="str">
        <f t="shared" si="27"/>
        <v>LP</v>
      </c>
      <c r="AB392" s="523"/>
      <c r="AC392" s="523"/>
    </row>
    <row r="393">
      <c r="A393" s="523"/>
      <c r="B393" s="612" t="str">
        <f>IFERROR(VLOOKUP(M393,'02. MM-KLH'!$B$6:$T$823,6,0),"")</f>
        <v>Xe ben Forland FD990-4WDXTH4-5T</v>
      </c>
      <c r="C393" s="566">
        <v>1.0</v>
      </c>
      <c r="D393" s="613" t="str">
        <f>IFERROR(VLOOKUP(M393,'02. MM-KLH'!$B$6:$T$823,16,0),"")</f>
        <v> FD990-4WD</v>
      </c>
      <c r="E393" s="561" t="s">
        <v>4158</v>
      </c>
      <c r="F393" s="613"/>
      <c r="G393" s="613"/>
      <c r="H393" s="613" t="str">
        <f>IFERROR(VLOOKUP(M393,'02. MM-KLH'!$B$6:$T$823,17,0),"")</f>
        <v>100HP</v>
      </c>
      <c r="I393" s="614">
        <f>IFERROR(VLOOKUP(M393,'02. MM-KLH'!$B$6:$U$823,20,0),"")</f>
        <v>0.33</v>
      </c>
      <c r="J393" s="612" t="str">
        <f>IFERROR(VLOOKUP(M393,'02. MM-KLH'!$B$6:$T$823,19,0),"")</f>
        <v>4DW9395E4B0576687</v>
      </c>
      <c r="K393" s="612" t="str">
        <f>IFERROR(VLOOKUP(M393,'02. MM-KLH'!$B$6:$T$823,18,0),"")</f>
        <v>RNHF99FACPT076907</v>
      </c>
      <c r="L393" s="613" t="str">
        <f>IFERROR(VLOOKUP(M393,'02. MM-KLH'!$B$6:$T$823,4,0),"")</f>
        <v/>
      </c>
      <c r="M393" s="488" t="s">
        <v>1460</v>
      </c>
      <c r="N393" s="615">
        <f>IFERROR(VLOOKUP(M393,'02. MM-KLH'!$B$6:$T$823,15,0),"")</f>
        <v>2023</v>
      </c>
      <c r="O393" s="616">
        <f>IFERROR(VLOOKUP(M393,'02. MM-KLH'!$B$6:$T$823,9,0),"")</f>
        <v>45569</v>
      </c>
      <c r="P393" s="767">
        <v>86779.0</v>
      </c>
      <c r="Q393" s="613"/>
      <c r="R393" s="566" t="s">
        <v>4158</v>
      </c>
      <c r="S393" s="613"/>
      <c r="T393" s="613"/>
      <c r="U393" s="559" t="str">
        <f>IFERROR(VLOOKUP(M393,'02. MM-KLH'!$B$6:$T$823,5,0),"")</f>
        <v>MỚI</v>
      </c>
      <c r="V393" s="523" t="str">
        <f>IFERROR(VLOOKUP(M393,'02. MM-KLH'!$B$6:$T$823,8,0),"")</f>
        <v>XN Chuối LP3</v>
      </c>
      <c r="W393" s="559" t="str">
        <f>IFERROR(VLOOKUP(V393,'NS QUẢN LÝ CG'!$A$4:$D$36,2,0),"")</f>
        <v>Lê Cao Nghị</v>
      </c>
      <c r="X393" s="559" t="str">
        <f>IFERROR(VLOOKUP(V393,'NS QUẢN LÝ CG'!$A$4:$D$36,4,0),"")</f>
        <v>Lô 2 LP3</v>
      </c>
      <c r="Y393" s="559" t="str">
        <f>IFERROR(VLOOKUP(V393,'NS QUẢN LÝ CG'!$A$4:$C$36,3,0),"")</f>
        <v>0977423100</v>
      </c>
      <c r="Z393" s="523" t="str">
        <f>IFERROR(VLOOKUP(M393,'02. MM-KLH'!$B$6:$T$823,3,0),"")</f>
        <v>A24-XTA-005</v>
      </c>
      <c r="AA393" s="559" t="str">
        <f t="shared" si="27"/>
        <v>LP</v>
      </c>
      <c r="AB393" s="523"/>
      <c r="AC393" s="523"/>
    </row>
    <row r="394">
      <c r="A394" s="523"/>
      <c r="B394" s="612" t="str">
        <f>IFERROR(VLOOKUP(M394,'02. MM-KLH'!$B$6:$T$823,6,0),"")</f>
        <v>Xe ben Forland FD990-4WDXTH4-5T</v>
      </c>
      <c r="C394" s="566">
        <v>1.0</v>
      </c>
      <c r="D394" s="613" t="str">
        <f>IFERROR(VLOOKUP(M394,'02. MM-KLH'!$B$6:$T$823,16,0),"")</f>
        <v> FD990-4WD</v>
      </c>
      <c r="E394" s="561" t="s">
        <v>4158</v>
      </c>
      <c r="F394" s="613"/>
      <c r="G394" s="613"/>
      <c r="H394" s="613" t="str">
        <f>IFERROR(VLOOKUP(M394,'02. MM-KLH'!$B$6:$T$823,17,0),"")</f>
        <v>100HP</v>
      </c>
      <c r="I394" s="614">
        <f>IFERROR(VLOOKUP(M394,'02. MM-KLH'!$B$6:$U$823,20,0),"")</f>
        <v>0.33</v>
      </c>
      <c r="J394" s="612" t="str">
        <f>IFERROR(VLOOKUP(M394,'02. MM-KLH'!$B$6:$T$823,19,0),"")</f>
        <v>4DW9395E4B0530476</v>
      </c>
      <c r="K394" s="612" t="str">
        <f>IFERROR(VLOOKUP(M394,'02. MM-KLH'!$B$6:$T$823,18,0),"")</f>
        <v>RNHF99FACNT055633</v>
      </c>
      <c r="L394" s="613" t="str">
        <f>IFERROR(VLOOKUP(M394,'02. MM-KLH'!$B$6:$T$823,4,0),"")</f>
        <v/>
      </c>
      <c r="M394" s="488" t="s">
        <v>1463</v>
      </c>
      <c r="N394" s="615">
        <f>IFERROR(VLOOKUP(M394,'02. MM-KLH'!$B$6:$T$823,15,0),"")</f>
        <v>2023</v>
      </c>
      <c r="O394" s="616">
        <f>IFERROR(VLOOKUP(M394,'02. MM-KLH'!$B$6:$T$823,9,0),"")</f>
        <v>45569</v>
      </c>
      <c r="P394" s="768">
        <v>55722.0</v>
      </c>
      <c r="Q394" s="613"/>
      <c r="R394" s="566" t="s">
        <v>4158</v>
      </c>
      <c r="S394" s="613"/>
      <c r="T394" s="613"/>
      <c r="U394" s="559" t="str">
        <f>IFERROR(VLOOKUP(M394,'02. MM-KLH'!$B$6:$T$823,5,0),"")</f>
        <v>MỚI</v>
      </c>
      <c r="V394" s="523" t="str">
        <f>IFERROR(VLOOKUP(M394,'02. MM-KLH'!$B$6:$T$823,8,0),"")</f>
        <v>XN Chuối LP3</v>
      </c>
      <c r="W394" s="559" t="str">
        <f>IFERROR(VLOOKUP(V394,'NS QUẢN LÝ CG'!$A$4:$D$36,2,0),"")</f>
        <v>Lê Cao Nghị</v>
      </c>
      <c r="X394" s="559" t="str">
        <f>IFERROR(VLOOKUP(V394,'NS QUẢN LÝ CG'!$A$4:$D$36,4,0),"")</f>
        <v>Lô 2 LP3</v>
      </c>
      <c r="Y394" s="559" t="str">
        <f>IFERROR(VLOOKUP(V394,'NS QUẢN LÝ CG'!$A$4:$C$36,3,0),"")</f>
        <v>0977423100</v>
      </c>
      <c r="Z394" s="523" t="str">
        <f>IFERROR(VLOOKUP(M394,'02. MM-KLH'!$B$6:$T$823,3,0),"")</f>
        <v>A24-XTA-008</v>
      </c>
      <c r="AA394" s="559" t="str">
        <f t="shared" si="27"/>
        <v>LP</v>
      </c>
      <c r="AB394" s="523"/>
      <c r="AC394" s="523"/>
    </row>
    <row r="395">
      <c r="A395" s="523"/>
      <c r="B395" s="612" t="str">
        <f>IFERROR(VLOOKUP(M395,'02. MM-KLH'!$B$6:$T$823,6,0),"")</f>
        <v>Xe ben Forland FD990-4WDXTH4-5T</v>
      </c>
      <c r="C395" s="566">
        <v>1.0</v>
      </c>
      <c r="D395" s="613" t="str">
        <f>IFERROR(VLOOKUP(M395,'02. MM-KLH'!$B$6:$T$823,16,0),"")</f>
        <v> FD990-4WD</v>
      </c>
      <c r="E395" s="561" t="s">
        <v>4158</v>
      </c>
      <c r="F395" s="613"/>
      <c r="G395" s="613"/>
      <c r="H395" s="613" t="str">
        <f>IFERROR(VLOOKUP(M395,'02. MM-KLH'!$B$6:$T$823,17,0),"")</f>
        <v>94HP</v>
      </c>
      <c r="I395" s="614">
        <f>IFERROR(VLOOKUP(M395,'02. MM-KLH'!$B$6:$U$823,20,0),"")</f>
        <v>0.33</v>
      </c>
      <c r="J395" s="612" t="str">
        <f>IFERROR(VLOOKUP(M395,'02. MM-KLH'!$B$6:$T$823,19,0),"")</f>
        <v>B0577285</v>
      </c>
      <c r="K395" s="612" t="str">
        <f>IFERROR(VLOOKUP(M395,'02. MM-KLH'!$B$6:$T$823,18,0),"")</f>
        <v>RNHF99FACRT092726</v>
      </c>
      <c r="L395" s="613" t="str">
        <f>IFERROR(VLOOKUP(M395,'02. MM-KLH'!$B$6:$T$823,4,0),"")</f>
        <v>3A-6824</v>
      </c>
      <c r="M395" s="488" t="s">
        <v>1469</v>
      </c>
      <c r="N395" s="615">
        <f>IFERROR(VLOOKUP(M395,'02. MM-KLH'!$B$6:$T$823,15,0),"")</f>
        <v>2024</v>
      </c>
      <c r="O395" s="616" t="str">
        <f>IFERROR(VLOOKUP(M395,'02. MM-KLH'!$B$6:$T$823,9,0),"")</f>
        <v>30/07/2024</v>
      </c>
      <c r="P395" s="768">
        <v>12715.0</v>
      </c>
      <c r="Q395" s="613"/>
      <c r="R395" s="566" t="s">
        <v>4158</v>
      </c>
      <c r="S395" s="613"/>
      <c r="T395" s="613"/>
      <c r="U395" s="559" t="str">
        <f>IFERROR(VLOOKUP(M395,'02. MM-KLH'!$B$6:$T$823,5,0),"")</f>
        <v>MỚI</v>
      </c>
      <c r="V395" s="523" t="str">
        <f>IFERROR(VLOOKUP(M395,'02. MM-KLH'!$B$6:$T$823,8,0),"")</f>
        <v>XN Chuối LP3</v>
      </c>
      <c r="W395" s="559" t="str">
        <f>IFERROR(VLOOKUP(V395,'NS QUẢN LÝ CG'!$A$4:$D$36,2,0),"")</f>
        <v>Lê Cao Nghị</v>
      </c>
      <c r="X395" s="559" t="str">
        <f>IFERROR(VLOOKUP(V395,'NS QUẢN LÝ CG'!$A$4:$D$36,4,0),"")</f>
        <v>Lô 2 LP3</v>
      </c>
      <c r="Y395" s="559" t="str">
        <f>IFERROR(VLOOKUP(V395,'NS QUẢN LÝ CG'!$A$4:$C$36,3,0),"")</f>
        <v>0977423100</v>
      </c>
      <c r="Z395" s="523" t="str">
        <f>IFERROR(VLOOKUP(M395,'02. MM-KLH'!$B$6:$T$823,3,0),"")</f>
        <v>A24-XTA-018</v>
      </c>
      <c r="AA395" s="559" t="str">
        <f t="shared" si="27"/>
        <v>LP</v>
      </c>
      <c r="AB395" s="523"/>
      <c r="AC395" s="523"/>
    </row>
    <row r="396">
      <c r="A396" s="523"/>
      <c r="B396" s="612" t="str">
        <f>IFERROR(VLOOKUP(M396,'02. MM-KLH'!$B$6:$T$823,6,0),"")</f>
        <v>Xe chở phân FD150 (11.8m3)</v>
      </c>
      <c r="C396" s="566">
        <v>1.0</v>
      </c>
      <c r="D396" s="613" t="str">
        <f>IFERROR(VLOOKUP(M396,'02. MM-KLH'!$B$6:$T$823,16,0),"")</f>
        <v>FD150-4WD</v>
      </c>
      <c r="E396" s="561" t="s">
        <v>4158</v>
      </c>
      <c r="F396" s="613"/>
      <c r="G396" s="613"/>
      <c r="H396" s="613" t="str">
        <f>IFERROR(VLOOKUP(M396,'02. MM-KLH'!$B$6:$T$823,17,0),"")</f>
        <v>150HP</v>
      </c>
      <c r="I396" s="614">
        <f>IFERROR(VLOOKUP(M396,'02. MM-KLH'!$B$6:$U$823,20,0),"")</f>
        <v>0.45</v>
      </c>
      <c r="J396" s="612" t="str">
        <f>IFERROR(VLOOKUP(M396,'02. MM-KLH'!$B$6:$T$823,19,0),"")</f>
        <v>YC4D150-48D59M1N00692</v>
      </c>
      <c r="K396" s="612" t="str">
        <f>IFERROR(VLOOKUP(M396,'02. MM-KLH'!$B$6:$T$823,18,0),"")</f>
        <v>RNHF16FYANT066262</v>
      </c>
      <c r="L396" s="613" t="str">
        <f>IFERROR(VLOOKUP(M396,'02. MM-KLH'!$B$6:$T$823,4,0),"")</f>
        <v/>
      </c>
      <c r="M396" s="490" t="s">
        <v>2111</v>
      </c>
      <c r="N396" s="615">
        <f>IFERROR(VLOOKUP(M396,'02. MM-KLH'!$B$6:$T$823,15,0),"")</f>
        <v>2022</v>
      </c>
      <c r="O396" s="616">
        <f>IFERROR(VLOOKUP(M396,'02. MM-KLH'!$B$6:$T$823,9,0),"")</f>
        <v>45261</v>
      </c>
      <c r="P396" s="566" t="s">
        <v>1565</v>
      </c>
      <c r="Q396" s="613"/>
      <c r="R396" s="566" t="s">
        <v>4158</v>
      </c>
      <c r="S396" s="613"/>
      <c r="T396" s="613"/>
      <c r="U396" s="559" t="str">
        <f>IFERROR(VLOOKUP(M396,'02. MM-KLH'!$B$6:$T$823,5,0),"")</f>
        <v>MỚI</v>
      </c>
      <c r="V396" s="523" t="str">
        <f>IFERROR(VLOOKUP(M396,'02. MM-KLH'!$B$6:$T$823,8,0),"")</f>
        <v>XN Bò AD</v>
      </c>
      <c r="W396" s="559" t="str">
        <f>IFERROR(VLOOKUP(V396,'NS QUẢN LÝ CG'!$A$4:$D$36,2,0),"")</f>
        <v>Trần Văn Nam</v>
      </c>
      <c r="X396" s="559" t="str">
        <f>IFERROR(VLOOKUP(V396,'NS QUẢN LÝ CG'!$A$4:$D$36,4,0),"")</f>
        <v>Lô 28 XN Bò</v>
      </c>
      <c r="Y396" s="559" t="str">
        <f>IFERROR(VLOOKUP(V396,'NS QUẢN LÝ CG'!$A$4:$C$36,3,0),"")</f>
        <v>0971993540</v>
      </c>
      <c r="Z396" s="523" t="str">
        <f>IFERROR(VLOOKUP(M396,'02. MM-KLH'!$B$6:$T$823,3,0),"")</f>
        <v>ATT-A22-0286</v>
      </c>
      <c r="AA396" s="561" t="s">
        <v>4462</v>
      </c>
      <c r="AB396" s="523"/>
      <c r="AC396" s="523"/>
    </row>
    <row r="397">
      <c r="A397" s="523"/>
      <c r="B397" s="612" t="str">
        <f>IFERROR(VLOOKUP(M397,'02. MM-KLH'!$B$6:$T$823,6,0),"")</f>
        <v>Xe chở phân FD150 (11.8m3)</v>
      </c>
      <c r="C397" s="566">
        <v>1.0</v>
      </c>
      <c r="D397" s="613" t="str">
        <f>IFERROR(VLOOKUP(M397,'02. MM-KLH'!$B$6:$T$823,16,0),"")</f>
        <v>FD150-4WD</v>
      </c>
      <c r="E397" s="561" t="s">
        <v>4158</v>
      </c>
      <c r="F397" s="613"/>
      <c r="G397" s="613"/>
      <c r="H397" s="613" t="str">
        <f>IFERROR(VLOOKUP(M397,'02. MM-KLH'!$B$6:$T$823,17,0),"")</f>
        <v>150HP</v>
      </c>
      <c r="I397" s="614">
        <f>IFERROR(VLOOKUP(M397,'02. MM-KLH'!$B$6:$U$823,20,0),"")</f>
        <v>0.45</v>
      </c>
      <c r="J397" s="612" t="str">
        <f>IFERROR(VLOOKUP(M397,'02. MM-KLH'!$B$6:$T$823,19,0),"")</f>
        <v>YC4D150-48D59M1N00561</v>
      </c>
      <c r="K397" s="612" t="str">
        <f>IFERROR(VLOOKUP(M397,'02. MM-KLH'!$B$6:$T$823,18,0),"")</f>
        <v>RNHF16FYANT065187</v>
      </c>
      <c r="L397" s="613" t="str">
        <f>IFERROR(VLOOKUP(M397,'02. MM-KLH'!$B$6:$T$823,4,0),"")</f>
        <v/>
      </c>
      <c r="M397" s="490" t="s">
        <v>2115</v>
      </c>
      <c r="N397" s="615">
        <f>IFERROR(VLOOKUP(M397,'02. MM-KLH'!$B$6:$T$823,15,0),"")</f>
        <v>2022</v>
      </c>
      <c r="O397" s="616">
        <f>IFERROR(VLOOKUP(M397,'02. MM-KLH'!$B$6:$T$823,9,0),"")</f>
        <v>45261</v>
      </c>
      <c r="P397" s="566">
        <v>66513.0</v>
      </c>
      <c r="Q397" s="613"/>
      <c r="R397" s="566" t="s">
        <v>4158</v>
      </c>
      <c r="S397" s="613"/>
      <c r="T397" s="613"/>
      <c r="U397" s="559" t="str">
        <f>IFERROR(VLOOKUP(M397,'02. MM-KLH'!$B$6:$T$823,5,0),"")</f>
        <v>MỚI</v>
      </c>
      <c r="V397" s="523" t="str">
        <f>IFERROR(VLOOKUP(M397,'02. MM-KLH'!$B$6:$T$823,8,0),"")</f>
        <v>XN Bò AD</v>
      </c>
      <c r="W397" s="559" t="str">
        <f>IFERROR(VLOOKUP(V397,'NS QUẢN LÝ CG'!$A$4:$D$36,2,0),"")</f>
        <v>Trần Văn Nam</v>
      </c>
      <c r="X397" s="559" t="str">
        <f>IFERROR(VLOOKUP(V397,'NS QUẢN LÝ CG'!$A$4:$D$36,4,0),"")</f>
        <v>Lô 28 XN Bò</v>
      </c>
      <c r="Y397" s="559" t="str">
        <f>IFERROR(VLOOKUP(V397,'NS QUẢN LÝ CG'!$A$4:$C$36,3,0),"")</f>
        <v>0971993540</v>
      </c>
      <c r="Z397" s="523" t="str">
        <f>IFERROR(VLOOKUP(M397,'02. MM-KLH'!$B$6:$T$823,3,0),"")</f>
        <v>ATT-A22-0292</v>
      </c>
      <c r="AA397" s="561" t="s">
        <v>4462</v>
      </c>
      <c r="AB397" s="523"/>
      <c r="AC397" s="523"/>
    </row>
    <row r="398">
      <c r="A398" s="523"/>
      <c r="B398" s="612" t="str">
        <f>IFERROR(VLOOKUP(M398,'02. MM-KLH'!$B$6:$T$823,6,0),"")</f>
        <v>Xe chở phân FD150 (11.8m3)</v>
      </c>
      <c r="C398" s="566">
        <v>1.0</v>
      </c>
      <c r="D398" s="613" t="str">
        <f>IFERROR(VLOOKUP(M398,'02. MM-KLH'!$B$6:$T$823,16,0),"")</f>
        <v>FD150-4WD</v>
      </c>
      <c r="E398" s="561" t="s">
        <v>4158</v>
      </c>
      <c r="F398" s="613"/>
      <c r="G398" s="613"/>
      <c r="H398" s="613" t="str">
        <f>IFERROR(VLOOKUP(M398,'02. MM-KLH'!$B$6:$T$823,17,0),"")</f>
        <v>150HP</v>
      </c>
      <c r="I398" s="614">
        <f>IFERROR(VLOOKUP(M398,'02. MM-KLH'!$B$6:$U$823,20,0),"")</f>
        <v>4</v>
      </c>
      <c r="J398" s="612" t="str">
        <f>IFERROR(VLOOKUP(M398,'02. MM-KLH'!$B$6:$T$823,19,0),"")</f>
        <v>YC4D150-48D59M1N00654</v>
      </c>
      <c r="K398" s="612" t="str">
        <f>IFERROR(VLOOKUP(M398,'02. MM-KLH'!$B$6:$T$823,18,0),"")</f>
        <v>RNHF16FYANT065161</v>
      </c>
      <c r="L398" s="613" t="str">
        <f>IFERROR(VLOOKUP(M398,'02. MM-KLH'!$B$6:$T$823,4,0),"")</f>
        <v/>
      </c>
      <c r="M398" s="490" t="s">
        <v>2118</v>
      </c>
      <c r="N398" s="615">
        <f>IFERROR(VLOOKUP(M398,'02. MM-KLH'!$B$6:$T$823,15,0),"")</f>
        <v>2022</v>
      </c>
      <c r="O398" s="616">
        <f>IFERROR(VLOOKUP(M398,'02. MM-KLH'!$B$6:$T$823,9,0),"")</f>
        <v>45261</v>
      </c>
      <c r="P398" s="566">
        <v>23597.0</v>
      </c>
      <c r="Q398" s="613"/>
      <c r="R398" s="566" t="s">
        <v>4158</v>
      </c>
      <c r="S398" s="613"/>
      <c r="T398" s="613"/>
      <c r="U398" s="559" t="str">
        <f>IFERROR(VLOOKUP(M398,'02. MM-KLH'!$B$6:$T$823,5,0),"")</f>
        <v>MỚI</v>
      </c>
      <c r="V398" s="523" t="str">
        <f>IFERROR(VLOOKUP(M398,'02. MM-KLH'!$B$6:$T$823,8,0),"")</f>
        <v>XN Bò AD</v>
      </c>
      <c r="W398" s="559" t="str">
        <f>IFERROR(VLOOKUP(V398,'NS QUẢN LÝ CG'!$A$4:$D$36,2,0),"")</f>
        <v>Trần Văn Nam</v>
      </c>
      <c r="X398" s="559" t="str">
        <f>IFERROR(VLOOKUP(V398,'NS QUẢN LÝ CG'!$A$4:$D$36,4,0),"")</f>
        <v>Lô 28 XN Bò</v>
      </c>
      <c r="Y398" s="559" t="str">
        <f>IFERROR(VLOOKUP(V398,'NS QUẢN LÝ CG'!$A$4:$C$36,3,0),"")</f>
        <v>0971993540</v>
      </c>
      <c r="Z398" s="523" t="str">
        <f>IFERROR(VLOOKUP(M398,'02. MM-KLH'!$B$6:$T$823,3,0),"")</f>
        <v>ATT-A22-0290</v>
      </c>
      <c r="AA398" s="561" t="s">
        <v>4462</v>
      </c>
      <c r="AB398" s="523"/>
      <c r="AC398" s="523"/>
    </row>
    <row r="399">
      <c r="A399" s="523"/>
      <c r="B399" s="612" t="str">
        <f>IFERROR(VLOOKUP(M399,'02. MM-KLH'!$B$6:$T$823,6,0),"")</f>
        <v>Xe chở phân FD150 (11.8m3)</v>
      </c>
      <c r="C399" s="566">
        <v>1.0</v>
      </c>
      <c r="D399" s="613" t="str">
        <f>IFERROR(VLOOKUP(M399,'02. MM-KLH'!$B$6:$T$823,16,0),"")</f>
        <v>FD150-4WD</v>
      </c>
      <c r="E399" s="561" t="s">
        <v>4158</v>
      </c>
      <c r="F399" s="613"/>
      <c r="G399" s="613"/>
      <c r="H399" s="613" t="str">
        <f>IFERROR(VLOOKUP(M399,'02. MM-KLH'!$B$6:$T$823,17,0),"")</f>
        <v>150HP</v>
      </c>
      <c r="I399" s="614">
        <f>IFERROR(VLOOKUP(M399,'02. MM-KLH'!$B$6:$U$823,20,0),"")</f>
        <v>0.45</v>
      </c>
      <c r="J399" s="612" t="str">
        <f>IFERROR(VLOOKUP(M399,'02. MM-KLH'!$B$6:$T$823,19,0),"")</f>
        <v>YC4D150-48D59M1N00572</v>
      </c>
      <c r="K399" s="612" t="str">
        <f>IFERROR(VLOOKUP(M399,'02. MM-KLH'!$B$6:$T$823,18,0),"")</f>
        <v> RNHF16FYANT065198</v>
      </c>
      <c r="L399" s="613" t="str">
        <f>IFERROR(VLOOKUP(M399,'02. MM-KLH'!$B$6:$T$823,4,0),"")</f>
        <v/>
      </c>
      <c r="M399" s="490" t="s">
        <v>2121</v>
      </c>
      <c r="N399" s="615">
        <f>IFERROR(VLOOKUP(M399,'02. MM-KLH'!$B$6:$T$823,15,0),"")</f>
        <v>2022</v>
      </c>
      <c r="O399" s="616">
        <f>IFERROR(VLOOKUP(M399,'02. MM-KLH'!$B$6:$T$823,9,0),"")</f>
        <v>45261</v>
      </c>
      <c r="P399" s="566" t="s">
        <v>1565</v>
      </c>
      <c r="Q399" s="613"/>
      <c r="R399" s="566" t="s">
        <v>4158</v>
      </c>
      <c r="S399" s="613"/>
      <c r="T399" s="613"/>
      <c r="U399" s="559" t="str">
        <f>IFERROR(VLOOKUP(M399,'02. MM-KLH'!$B$6:$T$823,5,0),"")</f>
        <v>MỚI</v>
      </c>
      <c r="V399" s="523" t="str">
        <f>IFERROR(VLOOKUP(M399,'02. MM-KLH'!$B$6:$T$823,8,0),"")</f>
        <v>XN Bò AD</v>
      </c>
      <c r="W399" s="559" t="str">
        <f>IFERROR(VLOOKUP(V399,'NS QUẢN LÝ CG'!$A$4:$D$36,2,0),"")</f>
        <v>Trần Văn Nam</v>
      </c>
      <c r="X399" s="559" t="str">
        <f>IFERROR(VLOOKUP(V399,'NS QUẢN LÝ CG'!$A$4:$D$36,4,0),"")</f>
        <v>Lô 28 XN Bò</v>
      </c>
      <c r="Y399" s="559" t="str">
        <f>IFERROR(VLOOKUP(V399,'NS QUẢN LÝ CG'!$A$4:$C$36,3,0),"")</f>
        <v>0971993540</v>
      </c>
      <c r="Z399" s="523" t="str">
        <f>IFERROR(VLOOKUP(M399,'02. MM-KLH'!$B$6:$T$823,3,0),"")</f>
        <v>ATT-A22-0291</v>
      </c>
      <c r="AA399" s="561" t="s">
        <v>4462</v>
      </c>
      <c r="AB399" s="523"/>
      <c r="AC399" s="523"/>
    </row>
    <row r="400">
      <c r="A400" s="523"/>
      <c r="B400" s="612" t="str">
        <f>IFERROR(VLOOKUP(M400,'02. MM-KLH'!$B$6:$T$823,6,0),"")</f>
        <v>Xe chở phân FD150 (8.7m3)</v>
      </c>
      <c r="C400" s="566">
        <v>1.0</v>
      </c>
      <c r="D400" s="613" t="str">
        <f>IFERROR(VLOOKUP(M400,'02. MM-KLH'!$B$6:$T$823,16,0),"")</f>
        <v>FD150-4WD</v>
      </c>
      <c r="E400" s="561" t="s">
        <v>4158</v>
      </c>
      <c r="F400" s="613"/>
      <c r="G400" s="613"/>
      <c r="H400" s="613" t="str">
        <f>IFERROR(VLOOKUP(M400,'02. MM-KLH'!$B$6:$T$823,17,0),"")</f>
        <v>150HP</v>
      </c>
      <c r="I400" s="614">
        <f>IFERROR(VLOOKUP(M400,'02. MM-KLH'!$B$6:$U$823,20,0),"")</f>
        <v>4</v>
      </c>
      <c r="J400" s="612" t="str">
        <f>IFERROR(VLOOKUP(M400,'02. MM-KLH'!$B$6:$T$823,19,0),"")</f>
        <v>YC4D150-48D59M1N00920</v>
      </c>
      <c r="K400" s="612" t="str">
        <f>IFERROR(VLOOKUP(M400,'02. MM-KLH'!$B$6:$T$823,18,0),"")</f>
        <v>RNHF16FYAPTO77540</v>
      </c>
      <c r="L400" s="613" t="str">
        <f>IFERROR(VLOOKUP(M400,'02. MM-KLH'!$B$6:$T$823,4,0),"")</f>
        <v/>
      </c>
      <c r="M400" s="490" t="s">
        <v>2124</v>
      </c>
      <c r="N400" s="615">
        <f>IFERROR(VLOOKUP(M400,'02. MM-KLH'!$B$6:$T$823,15,0),"")</f>
        <v>2023</v>
      </c>
      <c r="O400" s="616" t="str">
        <f>IFERROR(VLOOKUP(M400,'02. MM-KLH'!$B$6:$T$823,9,0),"")</f>
        <v>25/11/2023</v>
      </c>
      <c r="P400" s="566" t="s">
        <v>1565</v>
      </c>
      <c r="Q400" s="613"/>
      <c r="R400" s="566" t="s">
        <v>4158</v>
      </c>
      <c r="S400" s="613"/>
      <c r="T400" s="613"/>
      <c r="U400" s="559" t="str">
        <f>IFERROR(VLOOKUP(M400,'02. MM-KLH'!$B$6:$T$823,5,0),"")</f>
        <v>MỚI</v>
      </c>
      <c r="V400" s="523" t="str">
        <f>IFERROR(VLOOKUP(M400,'02. MM-KLH'!$B$6:$T$823,8,0),"")</f>
        <v>XN Bò AD</v>
      </c>
      <c r="W400" s="559" t="str">
        <f>IFERROR(VLOOKUP(V400,'NS QUẢN LÝ CG'!$A$4:$D$36,2,0),"")</f>
        <v>Trần Văn Nam</v>
      </c>
      <c r="X400" s="559" t="str">
        <f>IFERROR(VLOOKUP(V400,'NS QUẢN LÝ CG'!$A$4:$D$36,4,0),"")</f>
        <v>Lô 28 XN Bò</v>
      </c>
      <c r="Y400" s="559" t="str">
        <f>IFERROR(VLOOKUP(V400,'NS QUẢN LÝ CG'!$A$4:$C$36,3,0),"")</f>
        <v>0971993540</v>
      </c>
      <c r="Z400" s="523" t="str">
        <f>IFERROR(VLOOKUP(M400,'02. MM-KLH'!$B$6:$T$823,3,0),"")</f>
        <v>ATT-A22-0303</v>
      </c>
      <c r="AA400" s="561" t="s">
        <v>4462</v>
      </c>
      <c r="AB400" s="523"/>
      <c r="AC400" s="523"/>
    </row>
    <row r="401">
      <c r="A401" s="523"/>
      <c r="B401" s="612" t="str">
        <f>IFERROR(VLOOKUP(M401,'02. MM-KLH'!$B$6:$T$823,6,0),"")</f>
        <v>Xe chở phân FD150 (8.7m3)</v>
      </c>
      <c r="C401" s="566">
        <v>1.0</v>
      </c>
      <c r="D401" s="613" t="str">
        <f>IFERROR(VLOOKUP(M401,'02. MM-KLH'!$B$6:$T$823,16,0),"")</f>
        <v>FD150-4WD</v>
      </c>
      <c r="E401" s="561" t="s">
        <v>4158</v>
      </c>
      <c r="F401" s="613"/>
      <c r="G401" s="613"/>
      <c r="H401" s="613" t="str">
        <f>IFERROR(VLOOKUP(M401,'02. MM-KLH'!$B$6:$T$823,17,0),"")</f>
        <v>150HP</v>
      </c>
      <c r="I401" s="614">
        <f>IFERROR(VLOOKUP(M401,'02. MM-KLH'!$B$6:$U$823,20,0),"")</f>
        <v>0.45</v>
      </c>
      <c r="J401" s="612" t="str">
        <f>IFERROR(VLOOKUP(M401,'02. MM-KLH'!$B$6:$T$823,19,0),"")</f>
        <v>YC4D150-48D59M1N00903</v>
      </c>
      <c r="K401" s="612" t="str">
        <f>IFERROR(VLOOKUP(M401,'02. MM-KLH'!$B$6:$T$823,18,0),"")</f>
        <v>RNHF16FYAPTO77538</v>
      </c>
      <c r="L401" s="613" t="str">
        <f>IFERROR(VLOOKUP(M401,'02. MM-KLH'!$B$6:$T$823,4,0),"")</f>
        <v/>
      </c>
      <c r="M401" s="490" t="s">
        <v>2128</v>
      </c>
      <c r="N401" s="615">
        <f>IFERROR(VLOOKUP(M401,'02. MM-KLH'!$B$6:$T$823,15,0),"")</f>
        <v>2023</v>
      </c>
      <c r="O401" s="616" t="str">
        <f>IFERROR(VLOOKUP(M401,'02. MM-KLH'!$B$6:$T$823,9,0),"")</f>
        <v>25/11/2023</v>
      </c>
      <c r="P401" s="566">
        <v>70664.0</v>
      </c>
      <c r="Q401" s="613"/>
      <c r="R401" s="566" t="s">
        <v>4158</v>
      </c>
      <c r="S401" s="613"/>
      <c r="T401" s="613"/>
      <c r="U401" s="559" t="str">
        <f>IFERROR(VLOOKUP(M401,'02. MM-KLH'!$B$6:$T$823,5,0),"")</f>
        <v>MỚI</v>
      </c>
      <c r="V401" s="523" t="str">
        <f>IFERROR(VLOOKUP(M401,'02. MM-KLH'!$B$6:$T$823,8,0),"")</f>
        <v>XN Bò AD</v>
      </c>
      <c r="W401" s="559" t="str">
        <f>IFERROR(VLOOKUP(V401,'NS QUẢN LÝ CG'!$A$4:$D$36,2,0),"")</f>
        <v>Trần Văn Nam</v>
      </c>
      <c r="X401" s="559" t="str">
        <f>IFERROR(VLOOKUP(V401,'NS QUẢN LÝ CG'!$A$4:$D$36,4,0),"")</f>
        <v>Lô 28 XN Bò</v>
      </c>
      <c r="Y401" s="559" t="str">
        <f>IFERROR(VLOOKUP(V401,'NS QUẢN LÝ CG'!$A$4:$C$36,3,0),"")</f>
        <v>0971993540</v>
      </c>
      <c r="Z401" s="523" t="str">
        <f>IFERROR(VLOOKUP(M401,'02. MM-KLH'!$B$6:$T$823,3,0),"")</f>
        <v>ATT-A22-0299</v>
      </c>
      <c r="AA401" s="561" t="s">
        <v>4462</v>
      </c>
      <c r="AB401" s="523"/>
      <c r="AC401" s="523"/>
    </row>
    <row r="402">
      <c r="A402" s="523"/>
      <c r="B402" s="612" t="str">
        <f>IFERROR(VLOOKUP(M402,'02. MM-KLH'!$B$6:$T$823,6,0),"")</f>
        <v>Xe chở phân FD150 (8.7m3)</v>
      </c>
      <c r="C402" s="566">
        <v>1.0</v>
      </c>
      <c r="D402" s="613" t="str">
        <f>IFERROR(VLOOKUP(M402,'02. MM-KLH'!$B$6:$T$823,16,0),"")</f>
        <v>FD150-4WD</v>
      </c>
      <c r="E402" s="561" t="s">
        <v>4158</v>
      </c>
      <c r="F402" s="613"/>
      <c r="G402" s="613"/>
      <c r="H402" s="613" t="str">
        <f>IFERROR(VLOOKUP(M402,'02. MM-KLH'!$B$6:$T$823,17,0),"")</f>
        <v>150HP</v>
      </c>
      <c r="I402" s="614">
        <f>IFERROR(VLOOKUP(M402,'02. MM-KLH'!$B$6:$U$823,20,0),"")</f>
        <v>0.45</v>
      </c>
      <c r="J402" s="612" t="str">
        <f>IFERROR(VLOOKUP(M402,'02. MM-KLH'!$B$6:$T$823,19,0),"")</f>
        <v>D59M1N01406</v>
      </c>
      <c r="K402" s="612" t="str">
        <f>IFERROR(VLOOKUP(M402,'02. MM-KLH'!$B$6:$T$823,18,0),"")</f>
        <v>RNHF16FYART095004</v>
      </c>
      <c r="L402" s="613" t="str">
        <f>IFERROR(VLOOKUP(M402,'02. MM-KLH'!$B$6:$T$823,4,0),"")</f>
        <v>3A-6803</v>
      </c>
      <c r="M402" s="488" t="s">
        <v>2131</v>
      </c>
      <c r="N402" s="615">
        <f>IFERROR(VLOOKUP(M402,'02. MM-KLH'!$B$6:$T$823,15,0),"")</f>
        <v>2024</v>
      </c>
      <c r="O402" s="616">
        <f>IFERROR(VLOOKUP(M402,'02. MM-KLH'!$B$6:$T$823,9,0),"")</f>
        <v>45452</v>
      </c>
      <c r="P402" s="566">
        <v>50067.0</v>
      </c>
      <c r="Q402" s="613"/>
      <c r="R402" s="566" t="s">
        <v>4158</v>
      </c>
      <c r="S402" s="613"/>
      <c r="T402" s="613"/>
      <c r="U402" s="559" t="str">
        <f>IFERROR(VLOOKUP(M402,'02. MM-KLH'!$B$6:$T$823,5,0),"")</f>
        <v>MỚI</v>
      </c>
      <c r="V402" s="523" t="str">
        <f>IFERROR(VLOOKUP(M402,'02. MM-KLH'!$B$6:$T$823,8,0),"")</f>
        <v>XN Bò AD</v>
      </c>
      <c r="W402" s="559" t="str">
        <f>IFERROR(VLOOKUP(V402,'NS QUẢN LÝ CG'!$A$4:$D$36,2,0),"")</f>
        <v>Trần Văn Nam</v>
      </c>
      <c r="X402" s="559" t="str">
        <f>IFERROR(VLOOKUP(V402,'NS QUẢN LÝ CG'!$A$4:$D$36,4,0),"")</f>
        <v>Lô 28 XN Bò</v>
      </c>
      <c r="Y402" s="559" t="str">
        <f>IFERROR(VLOOKUP(V402,'NS QUẢN LÝ CG'!$A$4:$C$36,3,0),"")</f>
        <v>0971993540</v>
      </c>
      <c r="Z402" s="523" t="str">
        <f>IFERROR(VLOOKUP(M402,'02. MM-KLH'!$B$6:$T$823,3,0),"")</f>
        <v>A22-XCP-008</v>
      </c>
      <c r="AA402" s="559" t="str">
        <f t="shared" ref="AA402:AA408" si="28">SWITCH(LEFT(Z402,3),"A22","ADM","A23","DP","A24","LP","")</f>
        <v>ADM</v>
      </c>
      <c r="AB402" s="523"/>
      <c r="AC402" s="523"/>
    </row>
    <row r="403">
      <c r="A403" s="523"/>
      <c r="B403" s="612" t="str">
        <f>IFERROR(VLOOKUP(M403,'02. MM-KLH'!$B$6:$T$823,6,0),"")</f>
        <v>Xe chở phân FD150 (8.7m3)</v>
      </c>
      <c r="C403" s="566">
        <v>1.0</v>
      </c>
      <c r="D403" s="613" t="str">
        <f>IFERROR(VLOOKUP(M403,'02. MM-KLH'!$B$6:$T$823,16,0),"")</f>
        <v>FD150-4WD</v>
      </c>
      <c r="E403" s="561" t="s">
        <v>4158</v>
      </c>
      <c r="F403" s="613"/>
      <c r="G403" s="613"/>
      <c r="H403" s="613" t="str">
        <f>IFERROR(VLOOKUP(M403,'02. MM-KLH'!$B$6:$T$823,17,0),"")</f>
        <v>150HP</v>
      </c>
      <c r="I403" s="614">
        <f>IFERROR(VLOOKUP(M403,'02. MM-KLH'!$B$6:$U$823,20,0),"")</f>
        <v>0.45</v>
      </c>
      <c r="J403" s="612" t="str">
        <f>IFERROR(VLOOKUP(M403,'02. MM-KLH'!$B$6:$T$823,19,0),"")</f>
        <v>D59M1N01437</v>
      </c>
      <c r="K403" s="612" t="str">
        <f>IFERROR(VLOOKUP(M403,'02. MM-KLH'!$B$6:$T$823,18,0),"")</f>
        <v>RNHF16FYART095002</v>
      </c>
      <c r="L403" s="613" t="str">
        <f>IFERROR(VLOOKUP(M403,'02. MM-KLH'!$B$6:$T$823,4,0),"")</f>
        <v>3A-6801</v>
      </c>
      <c r="M403" s="488" t="s">
        <v>2136</v>
      </c>
      <c r="N403" s="615">
        <f>IFERROR(VLOOKUP(M403,'02. MM-KLH'!$B$6:$T$823,15,0),"")</f>
        <v>2024</v>
      </c>
      <c r="O403" s="616">
        <f>IFERROR(VLOOKUP(M403,'02. MM-KLH'!$B$6:$T$823,9,0),"")</f>
        <v>45452</v>
      </c>
      <c r="P403" s="566">
        <v>66672.0</v>
      </c>
      <c r="Q403" s="613"/>
      <c r="R403" s="566" t="s">
        <v>4158</v>
      </c>
      <c r="S403" s="613"/>
      <c r="T403" s="613"/>
      <c r="U403" s="559" t="str">
        <f>IFERROR(VLOOKUP(M403,'02. MM-KLH'!$B$6:$T$823,5,0),"")</f>
        <v>MỚI</v>
      </c>
      <c r="V403" s="523" t="str">
        <f>IFERROR(VLOOKUP(M403,'02. MM-KLH'!$B$6:$T$823,8,0),"")</f>
        <v>XN Bò AD</v>
      </c>
      <c r="W403" s="559" t="str">
        <f>IFERROR(VLOOKUP(V403,'NS QUẢN LÝ CG'!$A$4:$D$36,2,0),"")</f>
        <v>Trần Văn Nam</v>
      </c>
      <c r="X403" s="559" t="str">
        <f>IFERROR(VLOOKUP(V403,'NS QUẢN LÝ CG'!$A$4:$D$36,4,0),"")</f>
        <v>Lô 28 XN Bò</v>
      </c>
      <c r="Y403" s="559" t="str">
        <f>IFERROR(VLOOKUP(V403,'NS QUẢN LÝ CG'!$A$4:$C$36,3,0),"")</f>
        <v>0971993540</v>
      </c>
      <c r="Z403" s="523" t="str">
        <f>IFERROR(VLOOKUP(M403,'02. MM-KLH'!$B$6:$T$823,3,0),"")</f>
        <v>A22-XCP-009</v>
      </c>
      <c r="AA403" s="559" t="str">
        <f t="shared" si="28"/>
        <v>ADM</v>
      </c>
      <c r="AB403" s="523"/>
      <c r="AC403" s="523"/>
    </row>
    <row r="404">
      <c r="A404" s="523"/>
      <c r="B404" s="612" t="str">
        <f>IFERROR(VLOOKUP(M404,'02. MM-KLH'!$B$6:$T$823,6,0),"")</f>
        <v>Xe chở phân FD150 (8.7m3)</v>
      </c>
      <c r="C404" s="566">
        <v>1.0</v>
      </c>
      <c r="D404" s="613" t="str">
        <f>IFERROR(VLOOKUP(M404,'02. MM-KLH'!$B$6:$T$823,16,0),"")</f>
        <v>FD150-4WD</v>
      </c>
      <c r="E404" s="561" t="s">
        <v>4158</v>
      </c>
      <c r="F404" s="613"/>
      <c r="G404" s="613"/>
      <c r="H404" s="613" t="str">
        <f>IFERROR(VLOOKUP(M404,'02. MM-KLH'!$B$6:$T$823,17,0),"")</f>
        <v>150HP</v>
      </c>
      <c r="I404" s="614">
        <f>IFERROR(VLOOKUP(M404,'02. MM-KLH'!$B$6:$U$823,20,0),"")</f>
        <v>0.45</v>
      </c>
      <c r="J404" s="612" t="str">
        <f>IFERROR(VLOOKUP(M404,'02. MM-KLH'!$B$6:$T$823,19,0),"")</f>
        <v>D59M1N01416</v>
      </c>
      <c r="K404" s="612" t="str">
        <f>IFERROR(VLOOKUP(M404,'02. MM-KLH'!$B$6:$T$823,18,0),"")</f>
        <v>RNHF16FYART095001</v>
      </c>
      <c r="L404" s="613" t="str">
        <f>IFERROR(VLOOKUP(M404,'02. MM-KLH'!$B$6:$T$823,4,0),"")</f>
        <v>3A-6807</v>
      </c>
      <c r="M404" s="488" t="s">
        <v>2141</v>
      </c>
      <c r="N404" s="615">
        <f>IFERROR(VLOOKUP(M404,'02. MM-KLH'!$B$6:$T$823,15,0),"")</f>
        <v>2024</v>
      </c>
      <c r="O404" s="616">
        <f>IFERROR(VLOOKUP(M404,'02. MM-KLH'!$B$6:$T$823,9,0),"")</f>
        <v>45452</v>
      </c>
      <c r="P404" s="566">
        <v>59700.0</v>
      </c>
      <c r="Q404" s="613"/>
      <c r="R404" s="566" t="s">
        <v>4158</v>
      </c>
      <c r="S404" s="613"/>
      <c r="T404" s="613"/>
      <c r="U404" s="559" t="str">
        <f>IFERROR(VLOOKUP(M404,'02. MM-KLH'!$B$6:$T$823,5,0),"")</f>
        <v>MỚI</v>
      </c>
      <c r="V404" s="523" t="str">
        <f>IFERROR(VLOOKUP(M404,'02. MM-KLH'!$B$6:$T$823,8,0),"")</f>
        <v>XN Bò AD</v>
      </c>
      <c r="W404" s="559" t="str">
        <f>IFERROR(VLOOKUP(V404,'NS QUẢN LÝ CG'!$A$4:$D$36,2,0),"")</f>
        <v>Trần Văn Nam</v>
      </c>
      <c r="X404" s="559" t="str">
        <f>IFERROR(VLOOKUP(V404,'NS QUẢN LÝ CG'!$A$4:$D$36,4,0),"")</f>
        <v>Lô 28 XN Bò</v>
      </c>
      <c r="Y404" s="559" t="str">
        <f>IFERROR(VLOOKUP(V404,'NS QUẢN LÝ CG'!$A$4:$C$36,3,0),"")</f>
        <v>0971993540</v>
      </c>
      <c r="Z404" s="523" t="str">
        <f>IFERROR(VLOOKUP(M404,'02. MM-KLH'!$B$6:$T$823,3,0),"")</f>
        <v>A22-XCP-010</v>
      </c>
      <c r="AA404" s="559" t="str">
        <f t="shared" si="28"/>
        <v>ADM</v>
      </c>
      <c r="AB404" s="523"/>
      <c r="AC404" s="523"/>
    </row>
    <row r="405">
      <c r="A405" s="523"/>
      <c r="B405" s="612" t="str">
        <f>IFERROR(VLOOKUP(M405,'02. MM-KLH'!$B$6:$T$823,6,0),"")</f>
        <v>Xe chở phân FD150 (8.7m3)</v>
      </c>
      <c r="C405" s="566">
        <v>1.0</v>
      </c>
      <c r="D405" s="613" t="str">
        <f>IFERROR(VLOOKUP(M405,'02. MM-KLH'!$B$6:$T$823,16,0),"")</f>
        <v>FD150-4WD</v>
      </c>
      <c r="E405" s="561" t="s">
        <v>4158</v>
      </c>
      <c r="F405" s="613"/>
      <c r="G405" s="613"/>
      <c r="H405" s="613" t="str">
        <f>IFERROR(VLOOKUP(M405,'02. MM-KLH'!$B$6:$T$823,17,0),"")</f>
        <v>150HP</v>
      </c>
      <c r="I405" s="614">
        <f>IFERROR(VLOOKUP(M405,'02. MM-KLH'!$B$6:$U$823,20,0),"")</f>
        <v>0.45</v>
      </c>
      <c r="J405" s="612" t="str">
        <f>IFERROR(VLOOKUP(M405,'02. MM-KLH'!$B$6:$T$823,19,0),"")</f>
        <v>D59M1N01392</v>
      </c>
      <c r="K405" s="612" t="str">
        <f>IFERROR(VLOOKUP(M405,'02. MM-KLH'!$B$6:$T$823,18,0),"")</f>
        <v>RNHF16FYART094996</v>
      </c>
      <c r="L405" s="613" t="str">
        <f>IFERROR(VLOOKUP(M405,'02. MM-KLH'!$B$6:$T$823,4,0),"")</f>
        <v>3A-6802</v>
      </c>
      <c r="M405" s="488" t="s">
        <v>2146</v>
      </c>
      <c r="N405" s="615">
        <f>IFERROR(VLOOKUP(M405,'02. MM-KLH'!$B$6:$T$823,15,0),"")</f>
        <v>2024</v>
      </c>
      <c r="O405" s="616">
        <f>IFERROR(VLOOKUP(M405,'02. MM-KLH'!$B$6:$T$823,9,0),"")</f>
        <v>45452</v>
      </c>
      <c r="P405" s="566">
        <v>59563.0</v>
      </c>
      <c r="Q405" s="613"/>
      <c r="R405" s="566" t="s">
        <v>4158</v>
      </c>
      <c r="S405" s="613"/>
      <c r="T405" s="613"/>
      <c r="U405" s="559" t="str">
        <f>IFERROR(VLOOKUP(M405,'02. MM-KLH'!$B$6:$T$823,5,0),"")</f>
        <v>MỚI</v>
      </c>
      <c r="V405" s="523" t="str">
        <f>IFERROR(VLOOKUP(M405,'02. MM-KLH'!$B$6:$T$823,8,0),"")</f>
        <v>XN Bò AD</v>
      </c>
      <c r="W405" s="559" t="str">
        <f>IFERROR(VLOOKUP(V405,'NS QUẢN LÝ CG'!$A$4:$D$36,2,0),"")</f>
        <v>Trần Văn Nam</v>
      </c>
      <c r="X405" s="559" t="str">
        <f>IFERROR(VLOOKUP(V405,'NS QUẢN LÝ CG'!$A$4:$D$36,4,0),"")</f>
        <v>Lô 28 XN Bò</v>
      </c>
      <c r="Y405" s="559" t="str">
        <f>IFERROR(VLOOKUP(V405,'NS QUẢN LÝ CG'!$A$4:$C$36,3,0),"")</f>
        <v>0971993540</v>
      </c>
      <c r="Z405" s="523" t="str">
        <f>IFERROR(VLOOKUP(M405,'02. MM-KLH'!$B$6:$T$823,3,0),"")</f>
        <v>A22-XCP-011</v>
      </c>
      <c r="AA405" s="559" t="str">
        <f t="shared" si="28"/>
        <v>ADM</v>
      </c>
      <c r="AB405" s="523"/>
      <c r="AC405" s="523"/>
    </row>
    <row r="406">
      <c r="A406" s="523"/>
      <c r="B406" s="612" t="str">
        <f>IFERROR(VLOOKUP(M406,'02. MM-KLH'!$B$6:$T$823,6,0),"")</f>
        <v>Xe chở phân FD120 (5.41m3)</v>
      </c>
      <c r="C406" s="566">
        <v>1.0</v>
      </c>
      <c r="D406" s="613" t="str">
        <f>IFERROR(VLOOKUP(M406,'02. MM-KLH'!$B$6:$T$823,16,0),"")</f>
        <v> FD120-4WD</v>
      </c>
      <c r="E406" s="561" t="s">
        <v>4158</v>
      </c>
      <c r="F406" s="613"/>
      <c r="G406" s="613"/>
      <c r="H406" s="613" t="str">
        <f>IFERROR(VLOOKUP(M406,'02. MM-KLH'!$B$6:$T$823,17,0),"")</f>
        <v>129HP</v>
      </c>
      <c r="I406" s="614">
        <f>IFERROR(VLOOKUP(M406,'02. MM-KLH'!$B$6:$U$823,20,0),"")</f>
        <v>0.61</v>
      </c>
      <c r="J406" s="612" t="str">
        <f>IFERROR(VLOOKUP(M406,'02. MM-KLH'!$B$6:$T$823,19,0),"")</f>
        <v>YN38CRD1*AGN22000292*</v>
      </c>
      <c r="K406" s="612" t="str">
        <f>IFERROR(VLOOKUP(M406,'02. MM-KLH'!$B$6:$T$823,18,0),"")</f>
        <v>RNHF12FNBRT002112</v>
      </c>
      <c r="L406" s="613" t="str">
        <f>IFERROR(VLOOKUP(M406,'02. MM-KLH'!$B$6:$T$823,4,0),"")</f>
        <v>3A-6841</v>
      </c>
      <c r="M406" s="488" t="s">
        <v>2151</v>
      </c>
      <c r="N406" s="615">
        <f>IFERROR(VLOOKUP(M406,'02. MM-KLH'!$B$6:$T$823,15,0),"")</f>
        <v>2024</v>
      </c>
      <c r="O406" s="616" t="str">
        <f>IFERROR(VLOOKUP(M406,'02. MM-KLH'!$B$6:$T$823,9,0),"")</f>
        <v>13/09/2025</v>
      </c>
      <c r="P406" s="566" t="s">
        <v>1565</v>
      </c>
      <c r="Q406" s="613"/>
      <c r="R406" s="566" t="s">
        <v>4158</v>
      </c>
      <c r="S406" s="613"/>
      <c r="T406" s="613"/>
      <c r="U406" s="559" t="str">
        <f>IFERROR(VLOOKUP(M406,'02. MM-KLH'!$B$6:$T$823,5,0),"")</f>
        <v>MỚI</v>
      </c>
      <c r="V406" s="523" t="str">
        <f>IFERROR(VLOOKUP(M406,'02. MM-KLH'!$B$6:$T$823,8,0),"")</f>
        <v>XN Bò AD</v>
      </c>
      <c r="W406" s="559" t="str">
        <f>IFERROR(VLOOKUP(V406,'NS QUẢN LÝ CG'!$A$4:$D$36,2,0),"")</f>
        <v>Trần Văn Nam</v>
      </c>
      <c r="X406" s="559" t="str">
        <f>IFERROR(VLOOKUP(V406,'NS QUẢN LÝ CG'!$A$4:$D$36,4,0),"")</f>
        <v>Lô 28 XN Bò</v>
      </c>
      <c r="Y406" s="559" t="str">
        <f>IFERROR(VLOOKUP(V406,'NS QUẢN LÝ CG'!$A$4:$C$36,3,0),"")</f>
        <v>0971993540</v>
      </c>
      <c r="Z406" s="523" t="str">
        <f>IFERROR(VLOOKUP(M406,'02. MM-KLH'!$B$6:$T$823,3,0),"")</f>
        <v>A22-XCP-012</v>
      </c>
      <c r="AA406" s="559" t="str">
        <f t="shared" si="28"/>
        <v>ADM</v>
      </c>
      <c r="AB406" s="523"/>
      <c r="AC406" s="523"/>
    </row>
    <row r="407">
      <c r="A407" s="523"/>
      <c r="B407" s="612" t="str">
        <f>IFERROR(VLOOKUP(M407,'02. MM-KLH'!$B$6:$T$823,6,0),"")</f>
        <v>Xe chở phân FD120 (5.41m3)</v>
      </c>
      <c r="C407" s="566">
        <v>1.0</v>
      </c>
      <c r="D407" s="613" t="str">
        <f>IFERROR(VLOOKUP(M407,'02. MM-KLH'!$B$6:$T$823,16,0),"")</f>
        <v> FD120-4WD</v>
      </c>
      <c r="E407" s="561" t="s">
        <v>4158</v>
      </c>
      <c r="F407" s="613"/>
      <c r="G407" s="613"/>
      <c r="H407" s="613" t="str">
        <f>IFERROR(VLOOKUP(M407,'02. MM-KLH'!$B$6:$T$823,17,0),"")</f>
        <v>129HP</v>
      </c>
      <c r="I407" s="614">
        <f>IFERROR(VLOOKUP(M407,'02. MM-KLH'!$B$6:$U$823,20,0),"")</f>
        <v>4.3</v>
      </c>
      <c r="J407" s="612" t="str">
        <f>IFERROR(VLOOKUP(M407,'02. MM-KLH'!$B$6:$T$823,19,0),"")</f>
        <v>YN38CRD1*AGN22000293*</v>
      </c>
      <c r="K407" s="612" t="str">
        <f>IFERROR(VLOOKUP(M407,'02. MM-KLH'!$B$6:$T$823,18,0),"")</f>
        <v>RNHF12FNBRT002113</v>
      </c>
      <c r="L407" s="613" t="str">
        <f>IFERROR(VLOOKUP(M407,'02. MM-KLH'!$B$6:$T$823,4,0),"")</f>
        <v/>
      </c>
      <c r="M407" s="488" t="s">
        <v>2159</v>
      </c>
      <c r="N407" s="615">
        <f>IFERROR(VLOOKUP(M407,'02. MM-KLH'!$B$6:$T$823,15,0),"")</f>
        <v>2024</v>
      </c>
      <c r="O407" s="616" t="str">
        <f>IFERROR(VLOOKUP(M407,'02. MM-KLH'!$B$6:$T$823,9,0),"")</f>
        <v>13/09/2025</v>
      </c>
      <c r="P407" s="566" t="s">
        <v>1565</v>
      </c>
      <c r="Q407" s="613"/>
      <c r="R407" s="566" t="s">
        <v>4158</v>
      </c>
      <c r="S407" s="613"/>
      <c r="T407" s="613"/>
      <c r="U407" s="559" t="str">
        <f>IFERROR(VLOOKUP(M407,'02. MM-KLH'!$B$6:$T$823,5,0),"")</f>
        <v>MỚI</v>
      </c>
      <c r="V407" s="523" t="str">
        <f>IFERROR(VLOOKUP(M407,'02. MM-KLH'!$B$6:$T$823,8,0),"")</f>
        <v>XN Bò AD</v>
      </c>
      <c r="W407" s="559" t="str">
        <f>IFERROR(VLOOKUP(V407,'NS QUẢN LÝ CG'!$A$4:$D$36,2,0),"")</f>
        <v>Trần Văn Nam</v>
      </c>
      <c r="X407" s="559" t="str">
        <f>IFERROR(VLOOKUP(V407,'NS QUẢN LÝ CG'!$A$4:$D$36,4,0),"")</f>
        <v>Lô 28 XN Bò</v>
      </c>
      <c r="Y407" s="559" t="str">
        <f>IFERROR(VLOOKUP(V407,'NS QUẢN LÝ CG'!$A$4:$C$36,3,0),"")</f>
        <v>0971993540</v>
      </c>
      <c r="Z407" s="523" t="str">
        <f>IFERROR(VLOOKUP(M407,'02. MM-KLH'!$B$6:$T$823,3,0),"")</f>
        <v>A22-XCP-013</v>
      </c>
      <c r="AA407" s="559" t="str">
        <f t="shared" si="28"/>
        <v>ADM</v>
      </c>
      <c r="AB407" s="523"/>
      <c r="AC407" s="523"/>
    </row>
    <row r="408">
      <c r="A408" s="523"/>
      <c r="B408" s="612" t="str">
        <f>IFERROR(VLOOKUP(M408,'02. MM-KLH'!$B$6:$T$823,6,0),"")</f>
        <v>Xe chở phân FD120 (5.41m3)</v>
      </c>
      <c r="C408" s="566">
        <v>1.0</v>
      </c>
      <c r="D408" s="613" t="str">
        <f>IFERROR(VLOOKUP(M408,'02. MM-KLH'!$B$6:$T$823,16,0),"")</f>
        <v> FD120-4WD</v>
      </c>
      <c r="E408" s="561" t="s">
        <v>4158</v>
      </c>
      <c r="F408" s="613"/>
      <c r="G408" s="613"/>
      <c r="H408" s="613" t="str">
        <f>IFERROR(VLOOKUP(M408,'02. MM-KLH'!$B$6:$T$823,17,0),"")</f>
        <v>129HP</v>
      </c>
      <c r="I408" s="614">
        <f>IFERROR(VLOOKUP(M408,'02. MM-KLH'!$B$6:$U$823,20,0),"")</f>
        <v>0.61</v>
      </c>
      <c r="J408" s="612" t="str">
        <f>IFERROR(VLOOKUP(M408,'02. MM-KLH'!$B$6:$T$823,19,0),"")</f>
        <v>YN38CRD1*AGN22000297*</v>
      </c>
      <c r="K408" s="612" t="str">
        <f>IFERROR(VLOOKUP(M408,'02. MM-KLH'!$B$6:$T$823,18,0),"")</f>
        <v>RNHF12FNBRT002117</v>
      </c>
      <c r="L408" s="613" t="str">
        <f>IFERROR(VLOOKUP(M408,'02. MM-KLH'!$B$6:$T$823,4,0),"")</f>
        <v>3A-6833</v>
      </c>
      <c r="M408" s="488" t="s">
        <v>2163</v>
      </c>
      <c r="N408" s="615">
        <f>IFERROR(VLOOKUP(M408,'02. MM-KLH'!$B$6:$T$823,15,0),"")</f>
        <v>2024</v>
      </c>
      <c r="O408" s="616" t="str">
        <f>IFERROR(VLOOKUP(M408,'02. MM-KLH'!$B$6:$T$823,9,0),"")</f>
        <v>13/09/2025</v>
      </c>
      <c r="P408" s="566">
        <v>23248.0</v>
      </c>
      <c r="Q408" s="613"/>
      <c r="R408" s="566" t="s">
        <v>4158</v>
      </c>
      <c r="S408" s="613"/>
      <c r="T408" s="613"/>
      <c r="U408" s="559" t="str">
        <f>IFERROR(VLOOKUP(M408,'02. MM-KLH'!$B$6:$T$823,5,0),"")</f>
        <v>MỚI</v>
      </c>
      <c r="V408" s="523" t="str">
        <f>IFERROR(VLOOKUP(M408,'02. MM-KLH'!$B$6:$T$823,8,0),"")</f>
        <v>XN Bò AD</v>
      </c>
      <c r="W408" s="559" t="str">
        <f>IFERROR(VLOOKUP(V408,'NS QUẢN LÝ CG'!$A$4:$D$36,2,0),"")</f>
        <v>Trần Văn Nam</v>
      </c>
      <c r="X408" s="559" t="str">
        <f>IFERROR(VLOOKUP(V408,'NS QUẢN LÝ CG'!$A$4:$D$36,4,0),"")</f>
        <v>Lô 28 XN Bò</v>
      </c>
      <c r="Y408" s="559" t="str">
        <f>IFERROR(VLOOKUP(V408,'NS QUẢN LÝ CG'!$A$4:$C$36,3,0),"")</f>
        <v>0971993540</v>
      </c>
      <c r="Z408" s="523" t="str">
        <f>IFERROR(VLOOKUP(M408,'02. MM-KLH'!$B$6:$T$823,3,0),"")</f>
        <v>A22-XCP-014</v>
      </c>
      <c r="AA408" s="559" t="str">
        <f t="shared" si="28"/>
        <v>ADM</v>
      </c>
      <c r="AB408" s="523"/>
      <c r="AC408" s="523"/>
    </row>
    <row r="409">
      <c r="A409" s="523"/>
      <c r="B409" s="612" t="str">
        <f>IFERROR(VLOOKUP(M409,'02. MM-KLH'!$B$6:$T$823,6,0),"")</f>
        <v/>
      </c>
      <c r="C409" s="566"/>
      <c r="D409" s="613" t="str">
        <f>IFERROR(VLOOKUP(M409,'02. MM-KLH'!$B$6:$T$823,16,0),"")</f>
        <v/>
      </c>
      <c r="E409" s="613"/>
      <c r="F409" s="613"/>
      <c r="G409" s="613"/>
      <c r="H409" s="613" t="str">
        <f>IFERROR(VLOOKUP(M409,'02. MM-KLH'!$B$6:$T$823,17,0),"")</f>
        <v/>
      </c>
      <c r="I409" s="614" t="str">
        <f>IFERROR(VLOOKUP(M409,'02. MM-KLH'!$B$6:$U$823,20,0),"")</f>
        <v/>
      </c>
      <c r="J409" s="612" t="str">
        <f>IFERROR(VLOOKUP(M409,'02. MM-KLH'!$B$6:$T$823,19,0),"")</f>
        <v/>
      </c>
      <c r="K409" s="612" t="str">
        <f>IFERROR(VLOOKUP(M409,'02. MM-KLH'!$B$6:$T$823,18,0),"")</f>
        <v/>
      </c>
      <c r="L409" s="613" t="str">
        <f>IFERROR(VLOOKUP(M409,'02. MM-KLH'!$B$6:$T$823,4,0),"")</f>
        <v/>
      </c>
      <c r="M409" s="488"/>
      <c r="N409" s="615" t="str">
        <f>IFERROR(VLOOKUP(M409,'02. MM-KLH'!$B$6:$T$823,15,0),"")</f>
        <v/>
      </c>
      <c r="O409" s="616" t="str">
        <f>IFERROR(VLOOKUP(M409,'02. MM-KLH'!$B$6:$T$823,9,0),"")</f>
        <v/>
      </c>
      <c r="P409" s="613"/>
      <c r="Q409" s="613"/>
      <c r="R409" s="613"/>
      <c r="S409" s="613"/>
      <c r="T409" s="613"/>
      <c r="U409" s="613" t="str">
        <f>IFERROR(VLOOKUP(M409,'02. MM-KLH'!$B$6:$T$823,2,0),"")</f>
        <v/>
      </c>
      <c r="V409" s="523" t="str">
        <f>IFERROR(VLOOKUP(M409,'02. MM-KLH'!$B$6:$T$823,8,0),"")</f>
        <v/>
      </c>
      <c r="W409" s="559" t="str">
        <f>IFERROR(VLOOKUP(V409,'NS QUẢN LÝ CG'!$A$4:$D$36,2,0),"")</f>
        <v/>
      </c>
      <c r="X409" s="559" t="str">
        <f>IFERROR(VLOOKUP(V409,'NS QUẢN LÝ CG'!$A$4:$D$36,4,0),"")</f>
        <v/>
      </c>
      <c r="Y409" s="613"/>
      <c r="Z409" s="523" t="str">
        <f>IFERROR(VLOOKUP(M409,'02. MM-KLH'!$B$6:$T$823,3,0),"")</f>
        <v/>
      </c>
      <c r="AA409" s="613"/>
      <c r="AB409" s="523"/>
      <c r="AC409" s="523"/>
    </row>
    <row r="410" hidden="1">
      <c r="A410" s="523"/>
      <c r="B410" s="612" t="str">
        <f>IFERROR(VLOOKUP(M410,'02. MM-KLH'!$B$6:$T$823,6,0),"")</f>
        <v/>
      </c>
      <c r="C410" s="566"/>
      <c r="D410" s="613" t="str">
        <f>IFERROR(VLOOKUP(M410,'02. MM-KLH'!$B$6:$T$823,16,0),"")</f>
        <v/>
      </c>
      <c r="E410" s="613"/>
      <c r="F410" s="613"/>
      <c r="G410" s="613"/>
      <c r="H410" s="613" t="str">
        <f>IFERROR(VLOOKUP(M410,'02. MM-KLH'!$B$6:$T$823,17,0),"")</f>
        <v/>
      </c>
      <c r="I410" s="614" t="str">
        <f>IFERROR(VLOOKUP(M410,'02. MM-KLH'!$B$6:$U$823,20,0),"")</f>
        <v/>
      </c>
      <c r="J410" s="612" t="str">
        <f>IFERROR(VLOOKUP(M410,'02. MM-KLH'!$B$6:$T$823,19,0),"")</f>
        <v/>
      </c>
      <c r="K410" s="612" t="str">
        <f>IFERROR(VLOOKUP(M410,'02. MM-KLH'!$B$6:$T$823,18,0),"")</f>
        <v/>
      </c>
      <c r="L410" s="613" t="str">
        <f>IFERROR(VLOOKUP(M410,'02. MM-KLH'!$B$6:$T$823,4,0),"")</f>
        <v/>
      </c>
      <c r="M410" s="488"/>
      <c r="N410" s="615" t="str">
        <f>IFERROR(VLOOKUP(M410,'02. MM-KLH'!$B$6:$T$823,15,0),"")</f>
        <v/>
      </c>
      <c r="O410" s="616" t="str">
        <f>IFERROR(VLOOKUP(M410,'02. MM-KLH'!$B$6:$T$823,9,0),"")</f>
        <v/>
      </c>
      <c r="P410" s="613"/>
      <c r="Q410" s="613"/>
      <c r="R410" s="613"/>
      <c r="S410" s="613"/>
      <c r="T410" s="613"/>
      <c r="U410" s="613" t="str">
        <f>IFERROR(VLOOKUP(M410,'02. MM-KLH'!$B$6:$T$823,2,0),"")</f>
        <v/>
      </c>
      <c r="V410" s="523" t="str">
        <f>IFERROR(VLOOKUP(M410,'02. MM-KLH'!$B$6:$T$823,8,0),"")</f>
        <v/>
      </c>
      <c r="W410" s="613"/>
      <c r="X410" s="613"/>
      <c r="Y410" s="613"/>
      <c r="Z410" s="523" t="str">
        <f>IFERROR(VLOOKUP(M410,'02. MM-KLH'!$B$6:$T$823,3,0),"")</f>
        <v/>
      </c>
      <c r="AA410" s="613"/>
      <c r="AB410" s="523"/>
      <c r="AC410" s="523"/>
    </row>
    <row r="411" hidden="1">
      <c r="A411" s="523"/>
      <c r="B411" s="612" t="str">
        <f>IFERROR(VLOOKUP(M411,'02. MM-KLH'!$B$6:$T$823,6,0),"")</f>
        <v/>
      </c>
      <c r="C411" s="566"/>
      <c r="D411" s="613" t="str">
        <f>IFERROR(VLOOKUP(M411,'02. MM-KLH'!$B$6:$T$823,16,0),"")</f>
        <v/>
      </c>
      <c r="E411" s="613"/>
      <c r="F411" s="613"/>
      <c r="G411" s="613"/>
      <c r="H411" s="613" t="str">
        <f>IFERROR(VLOOKUP(M411,'02. MM-KLH'!$B$6:$T$823,17,0),"")</f>
        <v/>
      </c>
      <c r="I411" s="614" t="str">
        <f>IFERROR(VLOOKUP(M411,'02. MM-KLH'!$B$6:$U$823,20,0),"")</f>
        <v/>
      </c>
      <c r="J411" s="612" t="str">
        <f>IFERROR(VLOOKUP(M411,'02. MM-KLH'!$B$6:$T$823,19,0),"")</f>
        <v/>
      </c>
      <c r="K411" s="612" t="str">
        <f>IFERROR(VLOOKUP(M411,'02. MM-KLH'!$B$6:$T$823,18,0),"")</f>
        <v/>
      </c>
      <c r="L411" s="613" t="str">
        <f>IFERROR(VLOOKUP(M411,'02. MM-KLH'!$B$6:$T$823,4,0),"")</f>
        <v/>
      </c>
      <c r="M411" s="488"/>
      <c r="N411" s="615" t="str">
        <f>IFERROR(VLOOKUP(M411,'02. MM-KLH'!$B$6:$T$823,15,0),"")</f>
        <v/>
      </c>
      <c r="O411" s="616" t="str">
        <f>IFERROR(VLOOKUP(M411,'02. MM-KLH'!$B$6:$T$823,9,0),"")</f>
        <v/>
      </c>
      <c r="P411" s="613"/>
      <c r="Q411" s="613"/>
      <c r="R411" s="613"/>
      <c r="S411" s="613"/>
      <c r="T411" s="613"/>
      <c r="U411" s="613" t="str">
        <f>IFERROR(VLOOKUP(M411,'02. MM-KLH'!$B$6:$T$823,2,0),"")</f>
        <v/>
      </c>
      <c r="V411" s="523" t="str">
        <f>IFERROR(VLOOKUP(M411,'02. MM-KLH'!$B$6:$T$823,8,0),"")</f>
        <v/>
      </c>
      <c r="W411" s="613"/>
      <c r="X411" s="613"/>
      <c r="Y411" s="613"/>
      <c r="Z411" s="523" t="str">
        <f>IFERROR(VLOOKUP(M411,'02. MM-KLH'!$B$6:$T$823,3,0),"")</f>
        <v/>
      </c>
      <c r="AA411" s="613"/>
      <c r="AB411" s="523"/>
      <c r="AC411" s="523"/>
    </row>
    <row r="412">
      <c r="A412" s="695">
        <v>2.0</v>
      </c>
      <c r="B412" s="696" t="s">
        <v>147</v>
      </c>
      <c r="C412" s="697">
        <f>COUNTA(B413:B419)</f>
        <v>4</v>
      </c>
      <c r="D412" s="698" t="str">
        <f>IFERROR(VLOOKUP(M412,'02. MM-KLH'!$B$6:$T$823,16,0),"")</f>
        <v/>
      </c>
      <c r="E412" s="698"/>
      <c r="F412" s="698"/>
      <c r="G412" s="698"/>
      <c r="H412" s="558" t="str">
        <f>IFERROR(VLOOKUP(M412,'02. MM-KLH'!$B$6:$T$823,17,0),"")</f>
        <v/>
      </c>
      <c r="I412" s="558" t="str">
        <f>IFERROR(VLOOKUP(M412,'02. MM-KLH'!$B$6:$U$823,20,0),"")</f>
        <v/>
      </c>
      <c r="J412" s="699" t="str">
        <f>IFERROR(VLOOKUP(M412,'02. MM-KLH'!$B$6:$T$823,19,0),"")</f>
        <v/>
      </c>
      <c r="K412" s="699" t="str">
        <f>IFERROR(VLOOKUP(M412,'02. MM-KLH'!$B$6:$T$823,18,0),"")</f>
        <v/>
      </c>
      <c r="L412" s="698" t="str">
        <f>IFERROR(VLOOKUP(M412,'02. MM-KLH'!$B$6:$T$823,4,0),"")</f>
        <v/>
      </c>
      <c r="M412" s="700"/>
      <c r="N412" s="698" t="str">
        <f>IFERROR(VLOOKUP(M412,'02. MM-KLH'!$B$6:$T$823,15,0),"")</f>
        <v/>
      </c>
      <c r="O412" s="701" t="str">
        <f>IFERROR(VLOOKUP(M412,'02. MM-KLH'!$B$6:$T$823,9,0),"")</f>
        <v/>
      </c>
      <c r="P412" s="698"/>
      <c r="Q412" s="698"/>
      <c r="R412" s="698"/>
      <c r="S412" s="698"/>
      <c r="T412" s="698"/>
      <c r="U412" s="698" t="str">
        <f>IFERROR(VLOOKUP(M412,'02. MM-KLH'!$B$6:$T$823,2,0),"")</f>
        <v/>
      </c>
      <c r="V412" s="558" t="str">
        <f>IFERROR(VLOOKUP(M412,'02. MM-KLH'!$B$6:$T$823,8,0),"")</f>
        <v/>
      </c>
      <c r="W412" s="698"/>
      <c r="X412" s="698"/>
      <c r="Y412" s="698"/>
      <c r="Z412" s="558" t="str">
        <f>IFERROR(VLOOKUP(M412,'02. MM-KLH'!$B$6:$T$823,3,0),"")</f>
        <v/>
      </c>
      <c r="AA412" s="698"/>
      <c r="AB412" s="558"/>
      <c r="AC412" s="558"/>
    </row>
    <row r="413">
      <c r="A413" s="523"/>
      <c r="B413" s="612" t="str">
        <f>IFERROR(VLOOKUP(M413,'02. MM-KLH'!$B$6:$T$823,6,0),"")</f>
        <v>Xe ben AUMAN GTL D300 E4</v>
      </c>
      <c r="C413" s="566">
        <v>1.0</v>
      </c>
      <c r="D413" s="613" t="str">
        <f>IFERROR(VLOOKUP(M413,'02. MM-KLH'!$B$6:$T$823,16,0),"")</f>
        <v>GTL D300E4</v>
      </c>
      <c r="E413" s="561" t="s">
        <v>4158</v>
      </c>
      <c r="F413" s="613"/>
      <c r="G413" s="613"/>
      <c r="H413" s="613" t="str">
        <f>IFERROR(VLOOKUP(M413,'02. MM-KLH'!$B$6:$T$823,17,0),"")</f>
        <v>375HP</v>
      </c>
      <c r="I413" s="614">
        <f>IFERROR(VLOOKUP(M413,'02. MM-KLH'!$B$6:$U$823,20,0),"")</f>
        <v>1.41</v>
      </c>
      <c r="J413" s="612" t="str">
        <f>IFERROR(VLOOKUP(M413,'02. MM-KLH'!$B$6:$T$823,19,0),"")</f>
        <v>CCN</v>
      </c>
      <c r="K413" s="612" t="str">
        <f>IFERROR(VLOOKUP(M413,'02. MM-KLH'!$B$6:$T$823,18,0),"")</f>
        <v>RNHD30FWAJC078089</v>
      </c>
      <c r="L413" s="613" t="str">
        <f>IFERROR(VLOOKUP(M413,'02. MM-KLH'!$B$6:$T$823,4,0),"")</f>
        <v/>
      </c>
      <c r="M413" s="490" t="s">
        <v>145</v>
      </c>
      <c r="N413" s="615">
        <f>IFERROR(VLOOKUP(M413,'02. MM-KLH'!$B$6:$T$823,15,0),"")</f>
        <v>2018</v>
      </c>
      <c r="O413" s="616" t="str">
        <f>IFERROR(VLOOKUP(M413,'02. MM-KLH'!$B$6:$T$823,9,0),"")</f>
        <v/>
      </c>
      <c r="P413" s="566">
        <v>100931.0</v>
      </c>
      <c r="Q413" s="613"/>
      <c r="R413" s="566" t="s">
        <v>4158</v>
      </c>
      <c r="S413" s="613"/>
      <c r="T413" s="613"/>
      <c r="U413" s="559" t="str">
        <f>IFERROR(VLOOKUP(M413,'02. MM-KLH'!$B$6:$T$823,5,0),"")</f>
        <v>ĐQSD</v>
      </c>
      <c r="V413" s="523" t="str">
        <f>IFERROR(VLOOKUP(M413,'02. MM-KLH'!$B$6:$T$823,8,0),"")</f>
        <v>CGTC DP</v>
      </c>
      <c r="W413" s="559" t="str">
        <f>IFERROR(VLOOKUP(V413,'NS QUẢN LÝ CG'!$A$4:$D$36,2,0),"")</f>
        <v>Phạm Ngọc Hải</v>
      </c>
      <c r="X413" s="559" t="str">
        <f>IFERROR(VLOOKUP(V413,'NS QUẢN LÝ CG'!$A$4:$D$36,4,0),"")</f>
        <v>Lô 85 DP4</v>
      </c>
      <c r="Y413" s="559" t="str">
        <f>IFERROR(VLOOKUP(V413,'NS QUẢN LÝ CG'!$A$4:$C$36,3,0),"")</f>
        <v>0825456565</v>
      </c>
      <c r="Z413" s="523" t="str">
        <f>IFERROR(VLOOKUP(M413,'02. MM-KLH'!$B$6:$T$823,3,0),"")</f>
        <v>A23-XTA-002</v>
      </c>
      <c r="AA413" s="559" t="str">
        <f>SWITCH(LEFT(Z413,3),"A22","ADM","A23","DP","A24","LP","")</f>
        <v>DP</v>
      </c>
      <c r="AB413" s="523"/>
      <c r="AC413" s="523"/>
    </row>
    <row r="414">
      <c r="A414" s="523"/>
      <c r="B414" s="612" t="str">
        <f>IFERROR(VLOOKUP(M414,'02. MM-KLH'!$B$6:$T$823,6,0),"")</f>
        <v>Xe ben AUMAN GTL D300 E4</v>
      </c>
      <c r="C414" s="566">
        <v>1.0</v>
      </c>
      <c r="D414" s="613" t="str">
        <f>IFERROR(VLOOKUP(M414,'02. MM-KLH'!$B$6:$T$823,16,0),"")</f>
        <v>GTL D300E4</v>
      </c>
      <c r="E414" s="561" t="s">
        <v>4158</v>
      </c>
      <c r="F414" s="613"/>
      <c r="G414" s="613"/>
      <c r="H414" s="613" t="str">
        <f>IFERROR(VLOOKUP(M414,'02. MM-KLH'!$B$6:$T$823,17,0),"")</f>
        <v>375HP</v>
      </c>
      <c r="I414" s="614">
        <f>IFERROR(VLOOKUP(M414,'02. MM-KLH'!$B$6:$U$823,20,0),"")</f>
        <v>1.41</v>
      </c>
      <c r="J414" s="612" t="str">
        <f>IFERROR(VLOOKUP(M414,'02. MM-KLH'!$B$6:$T$823,19,0),"")</f>
        <v>WP10375E431618A009923</v>
      </c>
      <c r="K414" s="612" t="str">
        <f>IFERROR(VLOOKUP(M414,'02. MM-KLH'!$B$6:$T$823,18,0),"")</f>
        <v>RNHD30FWAJCO078095</v>
      </c>
      <c r="L414" s="613" t="str">
        <f>IFERROR(VLOOKUP(M414,'02. MM-KLH'!$B$6:$T$823,4,0),"")</f>
        <v/>
      </c>
      <c r="M414" s="490" t="s">
        <v>423</v>
      </c>
      <c r="N414" s="615">
        <f>IFERROR(VLOOKUP(M414,'02. MM-KLH'!$B$6:$T$823,15,0),"")</f>
        <v>2018</v>
      </c>
      <c r="O414" s="616">
        <f>IFERROR(VLOOKUP(M414,'02. MM-KLH'!$B$6:$T$823,9,0),"")</f>
        <v>44205</v>
      </c>
      <c r="P414" s="757">
        <v>98059.0</v>
      </c>
      <c r="Q414" s="613"/>
      <c r="R414" s="566" t="s">
        <v>4158</v>
      </c>
      <c r="S414" s="613"/>
      <c r="T414" s="613"/>
      <c r="U414" s="559" t="str">
        <f>IFERROR(VLOOKUP(M414,'02. MM-KLH'!$B$6:$T$823,5,0),"")</f>
        <v>ĐQSD</v>
      </c>
      <c r="V414" s="523" t="str">
        <f>IFERROR(VLOOKUP(M414,'02. MM-KLH'!$B$6:$T$823,8,0),"")</f>
        <v>CGTC LP</v>
      </c>
      <c r="W414" s="559" t="str">
        <f>IFERROR(VLOOKUP(V414,'NS QUẢN LÝ CG'!$A$4:$D$36,2,0),"")</f>
        <v>Đỗ Đức Nghĩa</v>
      </c>
      <c r="X414" s="559" t="str">
        <f>IFERROR(VLOOKUP(V414,'NS QUẢN LÝ CG'!$A$4:$D$36,4,0),"")</f>
        <v>NOCN L.4-LP3</v>
      </c>
      <c r="Y414" s="559" t="str">
        <f>IFERROR(VLOOKUP(V414,'NS QUẢN LÝ CG'!$A$4:$C$36,3,0),"")</f>
        <v>0971462780</v>
      </c>
      <c r="Z414" s="523" t="str">
        <f>IFERROR(VLOOKUP(M414,'02. MM-KLH'!$B$6:$T$823,3,0),"")</f>
        <v>ATT-A24-0080</v>
      </c>
      <c r="AA414" s="561" t="s">
        <v>5046</v>
      </c>
      <c r="AB414" s="523"/>
      <c r="AC414" s="523"/>
    </row>
    <row r="415">
      <c r="A415" s="523"/>
      <c r="B415" s="612" t="str">
        <f>IFERROR(VLOOKUP(M415,'02. MM-KLH'!$B$6:$T$823,6,0),"")</f>
        <v>Xe ben AUMAN GTL D300 E4</v>
      </c>
      <c r="C415" s="566">
        <v>1.0</v>
      </c>
      <c r="D415" s="613" t="str">
        <f>IFERROR(VLOOKUP(M415,'02. MM-KLH'!$B$6:$T$823,16,0),"")</f>
        <v>GTL D300E4</v>
      </c>
      <c r="E415" s="561" t="s">
        <v>4158</v>
      </c>
      <c r="F415" s="613"/>
      <c r="G415" s="613"/>
      <c r="H415" s="613" t="str">
        <f>IFERROR(VLOOKUP(M415,'02. MM-KLH'!$B$6:$T$823,17,0),"")</f>
        <v>375HP</v>
      </c>
      <c r="I415" s="614">
        <f>IFERROR(VLOOKUP(M415,'02. MM-KLH'!$B$6:$U$823,20,0),"")</f>
        <v>1.41</v>
      </c>
      <c r="J415" s="612" t="str">
        <f>IFERROR(VLOOKUP(M415,'02. MM-KLH'!$B$6:$T$823,19,0),"")</f>
        <v>WP10375E431618A009907</v>
      </c>
      <c r="K415" s="612" t="str">
        <f>IFERROR(VLOOKUP(M415,'02. MM-KLH'!$B$6:$T$823,18,0),"")</f>
        <v>RNHD30FWAJC078104</v>
      </c>
      <c r="L415" s="613" t="str">
        <f>IFERROR(VLOOKUP(M415,'02. MM-KLH'!$B$6:$T$823,4,0),"")</f>
        <v/>
      </c>
      <c r="M415" s="490" t="s">
        <v>561</v>
      </c>
      <c r="N415" s="615">
        <f>IFERROR(VLOOKUP(M415,'02. MM-KLH'!$B$6:$T$823,15,0),"")</f>
        <v>2018</v>
      </c>
      <c r="O415" s="616">
        <f>IFERROR(VLOOKUP(M415,'02. MM-KLH'!$B$6:$T$823,9,0),"")</f>
        <v>44198</v>
      </c>
      <c r="P415" s="564">
        <v>29698.0</v>
      </c>
      <c r="Q415" s="564"/>
      <c r="R415" s="613"/>
      <c r="S415" s="566" t="s">
        <v>4158</v>
      </c>
      <c r="T415" s="613"/>
      <c r="U415" s="559" t="str">
        <f>IFERROR(VLOOKUP(M415,'02. MM-KLH'!$B$6:$T$823,5,0),"")</f>
        <v>ĐQSD</v>
      </c>
      <c r="V415" s="523" t="str">
        <f>IFERROR(VLOOKUP(M415,'02. MM-KLH'!$B$6:$T$823,8,0),"")</f>
        <v>CGTC AD</v>
      </c>
      <c r="W415" s="559" t="str">
        <f>IFERROR(VLOOKUP(V415,'NS QUẢN LÝ CG'!$A$4:$D$36,2,0),"")</f>
        <v>Vũ Trung Kiên</v>
      </c>
      <c r="X415" s="559" t="str">
        <f>IFERROR(VLOOKUP(V415,'NS QUẢN LÝ CG'!$A$4:$D$36,4,0),"")</f>
        <v>Lô 73 ADM</v>
      </c>
      <c r="Y415" s="559" t="str">
        <f>IFERROR(VLOOKUP(V415,'NS QUẢN LÝ CG'!$A$4:$C$36,3,0),"")</f>
        <v>0981761677</v>
      </c>
      <c r="Z415" s="523" t="str">
        <f>IFERROR(VLOOKUP(M415,'02. MM-KLH'!$B$6:$T$823,3,0),"")</f>
        <v>ATT-A22-0171</v>
      </c>
      <c r="AA415" s="561" t="s">
        <v>4462</v>
      </c>
      <c r="AB415" s="523"/>
      <c r="AC415" s="523"/>
    </row>
    <row r="416">
      <c r="A416" s="523"/>
      <c r="B416" s="612" t="str">
        <f>IFERROR(VLOOKUP(M416,'02. MM-KLH'!$B$6:$T$823,6,0),"")</f>
        <v>Xe ben AUMAN GTL D300 E4</v>
      </c>
      <c r="C416" s="566">
        <v>1.0</v>
      </c>
      <c r="D416" s="613" t="str">
        <f>IFERROR(VLOOKUP(M416,'02. MM-KLH'!$B$6:$T$823,16,0),"")</f>
        <v>GTL D300E4</v>
      </c>
      <c r="E416" s="561" t="s">
        <v>4158</v>
      </c>
      <c r="F416" s="613"/>
      <c r="G416" s="613"/>
      <c r="H416" s="613" t="str">
        <f>IFERROR(VLOOKUP(M416,'02. MM-KLH'!$B$6:$T$823,17,0),"")</f>
        <v>375HP</v>
      </c>
      <c r="I416" s="614">
        <f>IFERROR(VLOOKUP(M416,'02. MM-KLH'!$B$6:$U$823,20,0),"")</f>
        <v>1.41</v>
      </c>
      <c r="J416" s="612" t="str">
        <f>IFERROR(VLOOKUP(M416,'02. MM-KLH'!$B$6:$T$823,19,0),"")</f>
        <v>WP10375E431617K140763</v>
      </c>
      <c r="K416" s="612" t="str">
        <f>IFERROR(VLOOKUP(M416,'02. MM-KLH'!$B$6:$T$823,18,0),"")</f>
        <v>RNHD30FWAJC75800</v>
      </c>
      <c r="L416" s="613" t="str">
        <f>IFERROR(VLOOKUP(M416,'02. MM-KLH'!$B$6:$T$823,4,0),"")</f>
        <v/>
      </c>
      <c r="M416" s="490" t="s">
        <v>564</v>
      </c>
      <c r="N416" s="615">
        <f>IFERROR(VLOOKUP(M416,'02. MM-KLH'!$B$6:$T$823,15,0),"")</f>
        <v>2018</v>
      </c>
      <c r="O416" s="616">
        <f>IFERROR(VLOOKUP(M416,'02. MM-KLH'!$B$6:$T$823,9,0),"")</f>
        <v>44198</v>
      </c>
      <c r="P416" s="564">
        <v>107899.0</v>
      </c>
      <c r="Q416" s="564"/>
      <c r="R416" s="566" t="s">
        <v>4158</v>
      </c>
      <c r="S416" s="613"/>
      <c r="T416" s="613"/>
      <c r="U416" s="559" t="str">
        <f>IFERROR(VLOOKUP(M416,'02. MM-KLH'!$B$6:$T$823,5,0),"")</f>
        <v>ĐQSD</v>
      </c>
      <c r="V416" s="523" t="str">
        <f>IFERROR(VLOOKUP(M416,'02. MM-KLH'!$B$6:$T$823,8,0),"")</f>
        <v>CGTC AD</v>
      </c>
      <c r="W416" s="559" t="str">
        <f>IFERROR(VLOOKUP(V416,'NS QUẢN LÝ CG'!$A$4:$D$36,2,0),"")</f>
        <v>Vũ Trung Kiên</v>
      </c>
      <c r="X416" s="559" t="str">
        <f>IFERROR(VLOOKUP(V416,'NS QUẢN LÝ CG'!$A$4:$D$36,4,0),"")</f>
        <v>Lô 73 ADM</v>
      </c>
      <c r="Y416" s="559" t="str">
        <f>IFERROR(VLOOKUP(V416,'NS QUẢN LÝ CG'!$A$4:$C$36,3,0),"")</f>
        <v>0981761677</v>
      </c>
      <c r="Z416" s="523" t="str">
        <f>IFERROR(VLOOKUP(M416,'02. MM-KLH'!$B$6:$T$823,3,0),"")</f>
        <v>ATT-A22-0171</v>
      </c>
      <c r="AA416" s="561" t="s">
        <v>4462</v>
      </c>
      <c r="AB416" s="523"/>
      <c r="AC416" s="523"/>
    </row>
    <row r="417">
      <c r="A417" s="523"/>
      <c r="B417" s="612" t="str">
        <f>IFERROR(VLOOKUP(M417,'02. MM-KLH'!$B$6:$T$823,6,0),"")</f>
        <v/>
      </c>
      <c r="C417" s="566"/>
      <c r="D417" s="613" t="str">
        <f>IFERROR(VLOOKUP(M417,'02. MM-KLH'!$B$6:$T$823,16,0),"")</f>
        <v/>
      </c>
      <c r="E417" s="613"/>
      <c r="F417" s="613"/>
      <c r="G417" s="613"/>
      <c r="H417" s="613" t="str">
        <f>IFERROR(VLOOKUP(M417,'02. MM-KLH'!$B$6:$T$823,17,0),"")</f>
        <v/>
      </c>
      <c r="I417" s="614" t="str">
        <f>IFERROR(VLOOKUP(M417,'02. MM-KLH'!$B$6:$U$823,20,0),"")</f>
        <v/>
      </c>
      <c r="J417" s="612" t="str">
        <f>IFERROR(VLOOKUP(M417,'02. MM-KLH'!$B$6:$T$823,19,0),"")</f>
        <v/>
      </c>
      <c r="K417" s="612" t="str">
        <f>IFERROR(VLOOKUP(M417,'02. MM-KLH'!$B$6:$T$823,18,0),"")</f>
        <v/>
      </c>
      <c r="L417" s="613" t="str">
        <f>IFERROR(VLOOKUP(M417,'02. MM-KLH'!$B$6:$T$823,4,0),"")</f>
        <v/>
      </c>
      <c r="M417" s="488"/>
      <c r="N417" s="615" t="str">
        <f>IFERROR(VLOOKUP(M417,'02. MM-KLH'!$B$6:$T$823,15,0),"")</f>
        <v/>
      </c>
      <c r="O417" s="616" t="str">
        <f>IFERROR(VLOOKUP(M417,'02. MM-KLH'!$B$6:$T$823,9,0),"")</f>
        <v/>
      </c>
      <c r="P417" s="613"/>
      <c r="Q417" s="613"/>
      <c r="R417" s="613"/>
      <c r="S417" s="613"/>
      <c r="T417" s="613"/>
      <c r="U417" s="613" t="str">
        <f>IFERROR(VLOOKUP(M417,'02. MM-KLH'!$B$6:$T$823,2,0),"")</f>
        <v/>
      </c>
      <c r="V417" s="523" t="str">
        <f>IFERROR(VLOOKUP(M417,'02. MM-KLH'!$B$6:$T$823,8,0),"")</f>
        <v/>
      </c>
      <c r="W417" s="559" t="str">
        <f>IFERROR(VLOOKUP(V417,'NS QUẢN LÝ CG'!$A$4:$D$36,2,0),"")</f>
        <v/>
      </c>
      <c r="X417" s="559" t="str">
        <f>IFERROR(VLOOKUP(V417,'NS QUẢN LÝ CG'!$A$4:$D$36,4,0),"")</f>
        <v/>
      </c>
      <c r="Y417" s="613"/>
      <c r="Z417" s="523" t="str">
        <f>IFERROR(VLOOKUP(M417,'02. MM-KLH'!$B$6:$T$823,3,0),"")</f>
        <v/>
      </c>
      <c r="AA417" s="613"/>
      <c r="AB417" s="523"/>
      <c r="AC417" s="523"/>
    </row>
    <row r="418" hidden="1">
      <c r="A418" s="523"/>
      <c r="B418" s="612" t="str">
        <f>IFERROR(VLOOKUP(M418,'02. MM-KLH'!$B$6:$T$823,6,0),"")</f>
        <v/>
      </c>
      <c r="C418" s="566"/>
      <c r="D418" s="613" t="str">
        <f>IFERROR(VLOOKUP(M418,'02. MM-KLH'!$B$6:$T$823,16,0),"")</f>
        <v/>
      </c>
      <c r="E418" s="613"/>
      <c r="F418" s="613"/>
      <c r="G418" s="613"/>
      <c r="H418" s="613" t="str">
        <f>IFERROR(VLOOKUP(M418,'02. MM-KLH'!$B$6:$T$823,17,0),"")</f>
        <v/>
      </c>
      <c r="I418" s="614" t="str">
        <f>IFERROR(VLOOKUP(M418,'02. MM-KLH'!$B$6:$U$823,20,0),"")</f>
        <v/>
      </c>
      <c r="J418" s="612" t="str">
        <f>IFERROR(VLOOKUP(M418,'02. MM-KLH'!$B$6:$T$823,19,0),"")</f>
        <v/>
      </c>
      <c r="K418" s="612" t="str">
        <f>IFERROR(VLOOKUP(M418,'02. MM-KLH'!$B$6:$T$823,18,0),"")</f>
        <v/>
      </c>
      <c r="L418" s="613" t="str">
        <f>IFERROR(VLOOKUP(M418,'02. MM-KLH'!$B$6:$T$823,4,0),"")</f>
        <v/>
      </c>
      <c r="M418" s="488"/>
      <c r="N418" s="615" t="str">
        <f>IFERROR(VLOOKUP(M418,'02. MM-KLH'!$B$6:$T$823,15,0),"")</f>
        <v/>
      </c>
      <c r="O418" s="616" t="str">
        <f>IFERROR(VLOOKUP(M418,'02. MM-KLH'!$B$6:$T$823,9,0),"")</f>
        <v/>
      </c>
      <c r="P418" s="613"/>
      <c r="Q418" s="613"/>
      <c r="R418" s="613"/>
      <c r="S418" s="613"/>
      <c r="T418" s="613"/>
      <c r="U418" s="613" t="str">
        <f>IFERROR(VLOOKUP(M418,'02. MM-KLH'!$B$6:$T$823,2,0),"")</f>
        <v/>
      </c>
      <c r="V418" s="523" t="str">
        <f>IFERROR(VLOOKUP(M418,'02. MM-KLH'!$B$6:$T$823,8,0),"")</f>
        <v/>
      </c>
      <c r="W418" s="613"/>
      <c r="X418" s="613"/>
      <c r="Y418" s="613"/>
      <c r="Z418" s="523" t="str">
        <f>IFERROR(VLOOKUP(M418,'02. MM-KLH'!$B$6:$T$823,3,0),"")</f>
        <v/>
      </c>
      <c r="AA418" s="613"/>
      <c r="AB418" s="523"/>
      <c r="AC418" s="523"/>
    </row>
    <row r="419" hidden="1">
      <c r="A419" s="523"/>
      <c r="B419" s="612" t="str">
        <f>IFERROR(VLOOKUP(M419,'02. MM-KLH'!$B$6:$T$823,6,0),"")</f>
        <v/>
      </c>
      <c r="C419" s="566"/>
      <c r="D419" s="613" t="str">
        <f>IFERROR(VLOOKUP(M419,'02. MM-KLH'!$B$6:$T$823,16,0),"")</f>
        <v/>
      </c>
      <c r="E419" s="613"/>
      <c r="F419" s="613"/>
      <c r="G419" s="613"/>
      <c r="H419" s="613" t="str">
        <f>IFERROR(VLOOKUP(M419,'02. MM-KLH'!$B$6:$T$823,17,0),"")</f>
        <v/>
      </c>
      <c r="I419" s="614" t="str">
        <f>IFERROR(VLOOKUP(M419,'02. MM-KLH'!$B$6:$U$823,20,0),"")</f>
        <v/>
      </c>
      <c r="J419" s="612" t="str">
        <f>IFERROR(VLOOKUP(M419,'02. MM-KLH'!$B$6:$T$823,19,0),"")</f>
        <v/>
      </c>
      <c r="K419" s="612" t="str">
        <f>IFERROR(VLOOKUP(M419,'02. MM-KLH'!$B$6:$T$823,18,0),"")</f>
        <v/>
      </c>
      <c r="L419" s="613" t="str">
        <f>IFERROR(VLOOKUP(M419,'02. MM-KLH'!$B$6:$T$823,4,0),"")</f>
        <v/>
      </c>
      <c r="M419" s="488"/>
      <c r="N419" s="615" t="str">
        <f>IFERROR(VLOOKUP(M419,'02. MM-KLH'!$B$6:$T$823,15,0),"")</f>
        <v/>
      </c>
      <c r="O419" s="616" t="str">
        <f>IFERROR(VLOOKUP(M419,'02. MM-KLH'!$B$6:$T$823,9,0),"")</f>
        <v/>
      </c>
      <c r="P419" s="613"/>
      <c r="Q419" s="613"/>
      <c r="R419" s="613"/>
      <c r="S419" s="613"/>
      <c r="T419" s="613"/>
      <c r="U419" s="613" t="str">
        <f>IFERROR(VLOOKUP(M419,'02. MM-KLH'!$B$6:$T$823,2,0),"")</f>
        <v/>
      </c>
      <c r="V419" s="523" t="str">
        <f>IFERROR(VLOOKUP(M419,'02. MM-KLH'!$B$6:$T$823,8,0),"")</f>
        <v/>
      </c>
      <c r="W419" s="613"/>
      <c r="X419" s="613"/>
      <c r="Y419" s="613"/>
      <c r="Z419" s="523" t="str">
        <f>IFERROR(VLOOKUP(M419,'02. MM-KLH'!$B$6:$T$823,3,0),"")</f>
        <v/>
      </c>
      <c r="AA419" s="613"/>
      <c r="AB419" s="523"/>
      <c r="AC419" s="523"/>
    </row>
    <row r="420">
      <c r="A420" s="695">
        <v>3.0</v>
      </c>
      <c r="B420" s="696" t="s">
        <v>161</v>
      </c>
      <c r="C420" s="697">
        <f>COUNTA(B421:B436)</f>
        <v>13</v>
      </c>
      <c r="D420" s="698" t="str">
        <f>IFERROR(VLOOKUP(M420,'02. MM-KLH'!$B$6:$T$823,16,0),"")</f>
        <v/>
      </c>
      <c r="E420" s="698"/>
      <c r="F420" s="698"/>
      <c r="G420" s="698"/>
      <c r="H420" s="558" t="str">
        <f>IFERROR(VLOOKUP(M420,'02. MM-KLH'!$B$6:$T$823,17,0),"")</f>
        <v/>
      </c>
      <c r="I420" s="558" t="str">
        <f>IFERROR(VLOOKUP(M420,'02. MM-KLH'!$B$6:$U$823,20,0),"")</f>
        <v/>
      </c>
      <c r="J420" s="699" t="str">
        <f>IFERROR(VLOOKUP(M420,'02. MM-KLH'!$B$6:$T$823,19,0),"")</f>
        <v/>
      </c>
      <c r="K420" s="699" t="str">
        <f>IFERROR(VLOOKUP(M420,'02. MM-KLH'!$B$6:$T$823,18,0),"")</f>
        <v/>
      </c>
      <c r="L420" s="698" t="str">
        <f>IFERROR(VLOOKUP(M420,'02. MM-KLH'!$B$6:$T$823,4,0),"")</f>
        <v/>
      </c>
      <c r="M420" s="700"/>
      <c r="N420" s="698" t="str">
        <f>IFERROR(VLOOKUP(M420,'02. MM-KLH'!$B$6:$T$823,15,0),"")</f>
        <v/>
      </c>
      <c r="O420" s="701" t="str">
        <f>IFERROR(VLOOKUP(M420,'02. MM-KLH'!$B$6:$T$823,9,0),"")</f>
        <v/>
      </c>
      <c r="P420" s="698"/>
      <c r="Q420" s="698"/>
      <c r="R420" s="698"/>
      <c r="S420" s="698"/>
      <c r="T420" s="698"/>
      <c r="U420" s="698" t="str">
        <f>IFERROR(VLOOKUP(M420,'02. MM-KLH'!$B$6:$T$823,2,0),"")</f>
        <v/>
      </c>
      <c r="V420" s="558" t="str">
        <f>IFERROR(VLOOKUP(M420,'02. MM-KLH'!$B$6:$T$823,8,0),"")</f>
        <v/>
      </c>
      <c r="W420" s="698"/>
      <c r="X420" s="698"/>
      <c r="Y420" s="698"/>
      <c r="Z420" s="558" t="str">
        <f>IFERROR(VLOOKUP(M420,'02. MM-KLH'!$B$6:$T$823,3,0),"")</f>
        <v/>
      </c>
      <c r="AA420" s="698"/>
      <c r="AB420" s="558"/>
      <c r="AC420" s="558"/>
    </row>
    <row r="421">
      <c r="A421" s="523"/>
      <c r="B421" s="612" t="str">
        <f>IFERROR(VLOOKUP(M421,'02. MM-KLH'!$B$6:$T$823,6,0),"")</f>
        <v>Xe ben HOWO TXD600</v>
      </c>
      <c r="C421" s="566">
        <v>1.0</v>
      </c>
      <c r="D421" s="613" t="str">
        <f>IFERROR(VLOOKUP(M421,'02. MM-KLH'!$B$6:$T$823,16,0),"")</f>
        <v>HOWO TX D600</v>
      </c>
      <c r="E421" s="561" t="s">
        <v>4158</v>
      </c>
      <c r="F421" s="613"/>
      <c r="G421" s="613"/>
      <c r="H421" s="613" t="str">
        <f>IFERROR(VLOOKUP(M421,'02. MM-KLH'!$B$6:$T$823,17,0),"")</f>
        <v>380HP</v>
      </c>
      <c r="I421" s="614">
        <f>IFERROR(VLOOKUP(M421,'02. MM-KLH'!$B$6:$U$823,20,0),"")</f>
        <v>1.34</v>
      </c>
      <c r="J421" s="612" t="str">
        <f>IFERROR(VLOOKUP(M421,'02. MM-KLH'!$B$6:$T$823,19,0),"")</f>
        <v>1622B008395</v>
      </c>
      <c r="K421" s="612" t="str">
        <f>IFERROR(VLOOKUP(M421,'02. MM-KLH'!$B$6:$T$823,18,0),"")</f>
        <v>RNHD24CWANT057806</v>
      </c>
      <c r="L421" s="613" t="str">
        <f>IFERROR(VLOOKUP(M421,'02. MM-KLH'!$B$6:$T$823,4,0),"")</f>
        <v>3A-6815</v>
      </c>
      <c r="M421" s="488" t="s">
        <v>153</v>
      </c>
      <c r="N421" s="615">
        <f>IFERROR(VLOOKUP(M421,'02. MM-KLH'!$B$6:$T$823,15,0),"")</f>
        <v>2022</v>
      </c>
      <c r="O421" s="616">
        <f>IFERROR(VLOOKUP(M421,'02. MM-KLH'!$B$6:$T$823,9,0),"")</f>
        <v>45749</v>
      </c>
      <c r="P421" s="566">
        <v>28769.0</v>
      </c>
      <c r="Q421" s="613"/>
      <c r="R421" s="566" t="s">
        <v>4158</v>
      </c>
      <c r="S421" s="613"/>
      <c r="T421" s="613"/>
      <c r="U421" s="559" t="str">
        <f>IFERROR(VLOOKUP(M421,'02. MM-KLH'!$B$6:$T$823,5,0),"")</f>
        <v>MỚI</v>
      </c>
      <c r="V421" s="523" t="str">
        <f>IFERROR(VLOOKUP(M421,'02. MM-KLH'!$B$6:$T$823,8,0),"")</f>
        <v>CGTC DP</v>
      </c>
      <c r="W421" s="559" t="str">
        <f>IFERROR(VLOOKUP(V421,'NS QUẢN LÝ CG'!$A$4:$D$36,2,0),"")</f>
        <v>Phạm Ngọc Hải</v>
      </c>
      <c r="X421" s="559" t="str">
        <f>IFERROR(VLOOKUP(V421,'NS QUẢN LÝ CG'!$A$4:$D$36,4,0),"")</f>
        <v>Lô 85 DP4</v>
      </c>
      <c r="Y421" s="559" t="str">
        <f>IFERROR(VLOOKUP(V421,'NS QUẢN LÝ CG'!$A$4:$C$36,3,0),"")</f>
        <v>0825456565</v>
      </c>
      <c r="Z421" s="523" t="str">
        <f>IFERROR(VLOOKUP(M421,'02. MM-KLH'!$B$6:$T$823,3,0),"")</f>
        <v>A23-XTA-024</v>
      </c>
      <c r="AA421" s="559" t="str">
        <f t="shared" ref="AA421:AA433" si="29">SWITCH(LEFT(Z421,3),"A22","ADM","A23","DP","A24","LP","")</f>
        <v>DP</v>
      </c>
      <c r="AB421" s="523"/>
      <c r="AC421" s="523"/>
    </row>
    <row r="422">
      <c r="A422" s="523"/>
      <c r="B422" s="612" t="str">
        <f>IFERROR(VLOOKUP(M422,'02. MM-KLH'!$B$6:$T$823,6,0),"")</f>
        <v>Xe ben HOWO TXD600</v>
      </c>
      <c r="C422" s="566">
        <v>1.0</v>
      </c>
      <c r="D422" s="613" t="str">
        <f>IFERROR(VLOOKUP(M422,'02. MM-KLH'!$B$6:$T$823,16,0),"")</f>
        <v>HOWO TX D600</v>
      </c>
      <c r="E422" s="561" t="s">
        <v>4158</v>
      </c>
      <c r="F422" s="613"/>
      <c r="G422" s="613"/>
      <c r="H422" s="613" t="str">
        <f>IFERROR(VLOOKUP(M422,'02. MM-KLH'!$B$6:$T$823,17,0),"")</f>
        <v>380HP</v>
      </c>
      <c r="I422" s="614">
        <f>IFERROR(VLOOKUP(M422,'02. MM-KLH'!$B$6:$U$823,20,0),"")</f>
        <v>1.34</v>
      </c>
      <c r="J422" s="612" t="str">
        <f>IFERROR(VLOOKUP(M422,'02. MM-KLH'!$B$6:$T$823,19,0),"")</f>
        <v>1622B008391</v>
      </c>
      <c r="K422" s="612" t="str">
        <f>IFERROR(VLOOKUP(M422,'02. MM-KLH'!$B$6:$T$823,18,0),"")</f>
        <v>RNHD24CWANT057808</v>
      </c>
      <c r="L422" s="613" t="str">
        <f>IFERROR(VLOOKUP(M422,'02. MM-KLH'!$B$6:$T$823,4,0),"")</f>
        <v>3A-6820</v>
      </c>
      <c r="M422" s="488" t="s">
        <v>166</v>
      </c>
      <c r="N422" s="615">
        <f>IFERROR(VLOOKUP(M422,'02. MM-KLH'!$B$6:$T$823,15,0),"")</f>
        <v>2022</v>
      </c>
      <c r="O422" s="616">
        <f>IFERROR(VLOOKUP(M422,'02. MM-KLH'!$B$6:$T$823,9,0),"")</f>
        <v>45749</v>
      </c>
      <c r="P422" s="566" t="s">
        <v>1565</v>
      </c>
      <c r="Q422" s="613"/>
      <c r="R422" s="613"/>
      <c r="S422" s="566" t="s">
        <v>4158</v>
      </c>
      <c r="T422" s="613"/>
      <c r="U422" s="559" t="str">
        <f>IFERROR(VLOOKUP(M422,'02. MM-KLH'!$B$6:$T$823,5,0),"")</f>
        <v>MỚI</v>
      </c>
      <c r="V422" s="523" t="str">
        <f>IFERROR(VLOOKUP(M422,'02. MM-KLH'!$B$6:$T$823,8,0),"")</f>
        <v>CGTC DP</v>
      </c>
      <c r="W422" s="559" t="str">
        <f>IFERROR(VLOOKUP(V422,'NS QUẢN LÝ CG'!$A$4:$D$36,2,0),"")</f>
        <v>Phạm Ngọc Hải</v>
      </c>
      <c r="X422" s="559" t="str">
        <f>IFERROR(VLOOKUP(V422,'NS QUẢN LÝ CG'!$A$4:$D$36,4,0),"")</f>
        <v>Lô 85 DP4</v>
      </c>
      <c r="Y422" s="559" t="str">
        <f>IFERROR(VLOOKUP(V422,'NS QUẢN LÝ CG'!$A$4:$C$36,3,0),"")</f>
        <v>0825456565</v>
      </c>
      <c r="Z422" s="523" t="str">
        <f>IFERROR(VLOOKUP(M422,'02. MM-KLH'!$B$6:$T$823,3,0),"")</f>
        <v>A23-XTA-025</v>
      </c>
      <c r="AA422" s="559" t="str">
        <f t="shared" si="29"/>
        <v>DP</v>
      </c>
      <c r="AB422" s="523"/>
      <c r="AC422" s="523"/>
    </row>
    <row r="423">
      <c r="A423" s="523"/>
      <c r="B423" s="612" t="str">
        <f>IFERROR(VLOOKUP(M423,'02. MM-KLH'!$B$6:$T$823,6,0),"")</f>
        <v>Xe ben HOWO TXD600</v>
      </c>
      <c r="C423" s="566">
        <v>1.0</v>
      </c>
      <c r="D423" s="613" t="str">
        <f>IFERROR(VLOOKUP(M423,'02. MM-KLH'!$B$6:$T$823,16,0),"")</f>
        <v>HOWO TX D600</v>
      </c>
      <c r="E423" s="561" t="s">
        <v>4158</v>
      </c>
      <c r="F423" s="613"/>
      <c r="G423" s="613"/>
      <c r="H423" s="613" t="str">
        <f>IFERROR(VLOOKUP(M423,'02. MM-KLH'!$B$6:$T$823,17,0),"")</f>
        <v>380HP</v>
      </c>
      <c r="I423" s="614">
        <f>IFERROR(VLOOKUP(M423,'02. MM-KLH'!$B$6:$U$823,20,0),"")</f>
        <v>0.9</v>
      </c>
      <c r="J423" s="612" t="str">
        <f>IFERROR(VLOOKUP(M423,'02. MM-KLH'!$B$6:$T$823,19,0),"")</f>
        <v>1622B008389</v>
      </c>
      <c r="K423" s="612" t="str">
        <f>IFERROR(VLOOKUP(M423,'02. MM-KLH'!$B$6:$T$823,18,0),"")</f>
        <v>RNHD24CWANT057810</v>
      </c>
      <c r="L423" s="613" t="str">
        <f>IFERROR(VLOOKUP(M423,'02. MM-KLH'!$B$6:$T$823,4,0),"")</f>
        <v>3A-6821</v>
      </c>
      <c r="M423" s="488" t="s">
        <v>171</v>
      </c>
      <c r="N423" s="615">
        <f>IFERROR(VLOOKUP(M423,'02. MM-KLH'!$B$6:$T$823,15,0),"")</f>
        <v>2022</v>
      </c>
      <c r="O423" s="616">
        <f>IFERROR(VLOOKUP(M423,'02. MM-KLH'!$B$6:$T$823,9,0),"")</f>
        <v>45749</v>
      </c>
      <c r="P423" s="564">
        <v>36917.0</v>
      </c>
      <c r="Q423" s="613"/>
      <c r="R423" s="613"/>
      <c r="S423" s="566" t="s">
        <v>4158</v>
      </c>
      <c r="T423" s="613"/>
      <c r="U423" s="559" t="str">
        <f>IFERROR(VLOOKUP(M423,'02. MM-KLH'!$B$6:$T$823,5,0),"")</f>
        <v>MỚI</v>
      </c>
      <c r="V423" s="523" t="str">
        <f>IFERROR(VLOOKUP(M423,'02. MM-KLH'!$B$6:$T$823,8,0),"")</f>
        <v>CGTC DP</v>
      </c>
      <c r="W423" s="559" t="str">
        <f>IFERROR(VLOOKUP(V423,'NS QUẢN LÝ CG'!$A$4:$D$36,2,0),"")</f>
        <v>Phạm Ngọc Hải</v>
      </c>
      <c r="X423" s="559" t="str">
        <f>IFERROR(VLOOKUP(V423,'NS QUẢN LÝ CG'!$A$4:$D$36,4,0),"")</f>
        <v>Lô 85 DP4</v>
      </c>
      <c r="Y423" s="559" t="str">
        <f>IFERROR(VLOOKUP(V423,'NS QUẢN LÝ CG'!$A$4:$C$36,3,0),"")</f>
        <v>0825456565</v>
      </c>
      <c r="Z423" s="523" t="str">
        <f>IFERROR(VLOOKUP(M423,'02. MM-KLH'!$B$6:$T$823,3,0),"")</f>
        <v>A23-XTA-026</v>
      </c>
      <c r="AA423" s="559" t="str">
        <f t="shared" si="29"/>
        <v>DP</v>
      </c>
      <c r="AB423" s="523"/>
      <c r="AC423" s="523"/>
    </row>
    <row r="424">
      <c r="A424" s="523"/>
      <c r="B424" s="612" t="str">
        <f>IFERROR(VLOOKUP(M424,'02. MM-KLH'!$B$6:$T$823,6,0),"")</f>
        <v>Xe ben HOWO TXD600</v>
      </c>
      <c r="C424" s="566">
        <v>1.0</v>
      </c>
      <c r="D424" s="613" t="str">
        <f>IFERROR(VLOOKUP(M424,'02. MM-KLH'!$B$6:$T$823,16,0),"")</f>
        <v>HOWO TX D600</v>
      </c>
      <c r="E424" s="561" t="s">
        <v>4158</v>
      </c>
      <c r="F424" s="613"/>
      <c r="G424" s="613"/>
      <c r="H424" s="613" t="str">
        <f>IFERROR(VLOOKUP(M424,'02. MM-KLH'!$B$6:$T$823,17,0),"")</f>
        <v>380HP</v>
      </c>
      <c r="I424" s="614">
        <f>IFERROR(VLOOKUP(M424,'02. MM-KLH'!$B$6:$U$823,20,0),"")</f>
        <v>1.34</v>
      </c>
      <c r="J424" s="612" t="str">
        <f>IFERROR(VLOOKUP(M424,'02. MM-KLH'!$B$6:$T$823,19,0),"")</f>
        <v>1622F024360</v>
      </c>
      <c r="K424" s="612" t="str">
        <f>IFERROR(VLOOKUP(M424,'02. MM-KLH'!$B$6:$T$823,18,0),"")</f>
        <v>RNHD24CWART000069</v>
      </c>
      <c r="L424" s="613" t="str">
        <f>IFERROR(VLOOKUP(M424,'02. MM-KLH'!$B$6:$T$823,4,0),"")</f>
        <v>3A-6818</v>
      </c>
      <c r="M424" s="488" t="s">
        <v>178</v>
      </c>
      <c r="N424" s="615">
        <f>IFERROR(VLOOKUP(M424,'02. MM-KLH'!$B$6:$T$823,15,0),"")</f>
        <v>2022</v>
      </c>
      <c r="O424" s="616">
        <f>IFERROR(VLOOKUP(M424,'02. MM-KLH'!$B$6:$T$823,9,0),"")</f>
        <v>45661</v>
      </c>
      <c r="P424" s="566">
        <v>31466.0</v>
      </c>
      <c r="Q424" s="613"/>
      <c r="R424" s="566" t="s">
        <v>4158</v>
      </c>
      <c r="S424" s="613"/>
      <c r="T424" s="613"/>
      <c r="U424" s="559" t="str">
        <f>IFERROR(VLOOKUP(M424,'02. MM-KLH'!$B$6:$T$823,5,0),"")</f>
        <v>MỚI</v>
      </c>
      <c r="V424" s="523" t="str">
        <f>IFERROR(VLOOKUP(M424,'02. MM-KLH'!$B$6:$T$823,8,0),"")</f>
        <v>CGTC DP</v>
      </c>
      <c r="W424" s="559" t="str">
        <f>IFERROR(VLOOKUP(V424,'NS QUẢN LÝ CG'!$A$4:$D$36,2,0),"")</f>
        <v>Phạm Ngọc Hải</v>
      </c>
      <c r="X424" s="559" t="str">
        <f>IFERROR(VLOOKUP(V424,'NS QUẢN LÝ CG'!$A$4:$D$36,4,0),"")</f>
        <v>Lô 85 DP4</v>
      </c>
      <c r="Y424" s="559" t="str">
        <f>IFERROR(VLOOKUP(V424,'NS QUẢN LÝ CG'!$A$4:$C$36,3,0),"")</f>
        <v>0825456565</v>
      </c>
      <c r="Z424" s="523" t="str">
        <f>IFERROR(VLOOKUP(M424,'02. MM-KLH'!$B$6:$T$823,3,0),"")</f>
        <v>A23-XTA-036</v>
      </c>
      <c r="AA424" s="559" t="str">
        <f t="shared" si="29"/>
        <v>DP</v>
      </c>
      <c r="AB424" s="523"/>
      <c r="AC424" s="523"/>
    </row>
    <row r="425">
      <c r="A425" s="523"/>
      <c r="B425" s="612" t="str">
        <f>IFERROR(VLOOKUP(M425,'02. MM-KLH'!$B$6:$T$823,6,0),"")</f>
        <v>Xe ben HOWO TXD600</v>
      </c>
      <c r="C425" s="566">
        <v>1.0</v>
      </c>
      <c r="D425" s="613" t="str">
        <f>IFERROR(VLOOKUP(M425,'02. MM-KLH'!$B$6:$T$823,16,0),"")</f>
        <v>HOWO TX D600</v>
      </c>
      <c r="E425" s="561" t="s">
        <v>4158</v>
      </c>
      <c r="F425" s="613"/>
      <c r="G425" s="613"/>
      <c r="H425" s="613" t="str">
        <f>IFERROR(VLOOKUP(M425,'02. MM-KLH'!$B$6:$T$823,17,0),"")</f>
        <v>380HP</v>
      </c>
      <c r="I425" s="614">
        <f>IFERROR(VLOOKUP(M425,'02. MM-KLH'!$B$6:$U$823,20,0),"")</f>
        <v>1.34</v>
      </c>
      <c r="J425" s="612" t="str">
        <f>IFERROR(VLOOKUP(M425,'02. MM-KLH'!$B$6:$T$823,19,0),"")</f>
        <v>WP10380E53*1622F024366*</v>
      </c>
      <c r="K425" s="612" t="str">
        <f>IFERROR(VLOOKUP(M425,'02. MM-KLH'!$B$6:$T$823,18,0),"")</f>
        <v>RNHD24CWART00061</v>
      </c>
      <c r="L425" s="613" t="str">
        <f>IFERROR(VLOOKUP(M425,'02. MM-KLH'!$B$6:$T$823,4,0),"")</f>
        <v>3A-6829</v>
      </c>
      <c r="M425" s="488" t="s">
        <v>357</v>
      </c>
      <c r="N425" s="615">
        <f>IFERROR(VLOOKUP(M425,'02. MM-KLH'!$B$6:$T$823,15,0),"")</f>
        <v>2022</v>
      </c>
      <c r="O425" s="616">
        <f>IFERROR(VLOOKUP(M425,'02. MM-KLH'!$B$6:$T$823,9,0),"")</f>
        <v>45997</v>
      </c>
      <c r="P425" s="566">
        <v>18840.0</v>
      </c>
      <c r="Q425" s="613"/>
      <c r="R425" s="566" t="s">
        <v>4158</v>
      </c>
      <c r="S425" s="613"/>
      <c r="T425" s="613"/>
      <c r="U425" s="559" t="str">
        <f>IFERROR(VLOOKUP(M425,'02. MM-KLH'!$B$6:$T$823,5,0),"")</f>
        <v>MỚI</v>
      </c>
      <c r="V425" s="523" t="str">
        <f>IFERROR(VLOOKUP(M425,'02. MM-KLH'!$B$6:$T$823,8,0),"")</f>
        <v>CGTC DP</v>
      </c>
      <c r="W425" s="559" t="str">
        <f>IFERROR(VLOOKUP(V425,'NS QUẢN LÝ CG'!$A$4:$D$36,2,0),"")</f>
        <v>Phạm Ngọc Hải</v>
      </c>
      <c r="X425" s="559" t="str">
        <f>IFERROR(VLOOKUP(V425,'NS QUẢN LÝ CG'!$A$4:$D$36,4,0),"")</f>
        <v>Lô 85 DP4</v>
      </c>
      <c r="Y425" s="559" t="str">
        <f>IFERROR(VLOOKUP(V425,'NS QUẢN LÝ CG'!$A$4:$C$36,3,0),"")</f>
        <v>0825456565</v>
      </c>
      <c r="Z425" s="523" t="str">
        <f>IFERROR(VLOOKUP(M425,'02. MM-KLH'!$B$6:$T$823,3,0),"")</f>
        <v>A23-XTA-045</v>
      </c>
      <c r="AA425" s="559" t="str">
        <f t="shared" si="29"/>
        <v>DP</v>
      </c>
      <c r="AB425" s="523"/>
      <c r="AC425" s="523"/>
    </row>
    <row r="426">
      <c r="A426" s="523"/>
      <c r="B426" s="612" t="str">
        <f>IFERROR(VLOOKUP(M426,'02. MM-KLH'!$B$6:$T$823,6,0),"")</f>
        <v>Xe ben HOWO TXD600</v>
      </c>
      <c r="C426" s="566">
        <v>1.0</v>
      </c>
      <c r="D426" s="613" t="str">
        <f>IFERROR(VLOOKUP(M426,'02. MM-KLH'!$B$6:$T$823,16,0),"")</f>
        <v>HOWO TX D600</v>
      </c>
      <c r="E426" s="561" t="s">
        <v>4158</v>
      </c>
      <c r="F426" s="613"/>
      <c r="G426" s="613"/>
      <c r="H426" s="613" t="str">
        <f>IFERROR(VLOOKUP(M426,'02. MM-KLH'!$B$6:$T$823,17,0),"")</f>
        <v>380HP</v>
      </c>
      <c r="I426" s="614">
        <f>IFERROR(VLOOKUP(M426,'02. MM-KLH'!$B$6:$U$823,20,0),"")</f>
        <v>1.34</v>
      </c>
      <c r="J426" s="612" t="str">
        <f>IFERROR(VLOOKUP(M426,'02. MM-KLH'!$B$6:$T$823,19,0),"")</f>
        <v>WP10380E53*1622F024350*</v>
      </c>
      <c r="K426" s="612" t="str">
        <f>IFERROR(VLOOKUP(M426,'02. MM-KLH'!$B$6:$T$823,18,0),"")</f>
        <v>RNHD24CWART00062</v>
      </c>
      <c r="L426" s="613" t="str">
        <f>IFERROR(VLOOKUP(M426,'02. MM-KLH'!$B$6:$T$823,4,0),"")</f>
        <v>3A-6819</v>
      </c>
      <c r="M426" s="488" t="s">
        <v>363</v>
      </c>
      <c r="N426" s="615">
        <f>IFERROR(VLOOKUP(M426,'02. MM-KLH'!$B$6:$T$823,15,0),"")</f>
        <v>2022</v>
      </c>
      <c r="O426" s="616">
        <f>IFERROR(VLOOKUP(M426,'02. MM-KLH'!$B$6:$T$823,9,0),"")</f>
        <v>45997</v>
      </c>
      <c r="P426" s="566">
        <v>19024.0</v>
      </c>
      <c r="Q426" s="613"/>
      <c r="R426" s="566" t="s">
        <v>4158</v>
      </c>
      <c r="S426" s="613"/>
      <c r="T426" s="613"/>
      <c r="U426" s="559" t="str">
        <f>IFERROR(VLOOKUP(M426,'02. MM-KLH'!$B$6:$T$823,5,0),"")</f>
        <v>MỚI</v>
      </c>
      <c r="V426" s="523" t="str">
        <f>IFERROR(VLOOKUP(M426,'02. MM-KLH'!$B$6:$T$823,8,0),"")</f>
        <v>CGTC DP</v>
      </c>
      <c r="W426" s="559" t="str">
        <f>IFERROR(VLOOKUP(V426,'NS QUẢN LÝ CG'!$A$4:$D$36,2,0),"")</f>
        <v>Phạm Ngọc Hải</v>
      </c>
      <c r="X426" s="559" t="str">
        <f>IFERROR(VLOOKUP(V426,'NS QUẢN LÝ CG'!$A$4:$D$36,4,0),"")</f>
        <v>Lô 85 DP4</v>
      </c>
      <c r="Y426" s="559" t="str">
        <f>IFERROR(VLOOKUP(V426,'NS QUẢN LÝ CG'!$A$4:$C$36,3,0),"")</f>
        <v>0825456565</v>
      </c>
      <c r="Z426" s="523" t="str">
        <f>IFERROR(VLOOKUP(M426,'02. MM-KLH'!$B$6:$T$823,3,0),"")</f>
        <v>A23-XTA-046</v>
      </c>
      <c r="AA426" s="559" t="str">
        <f t="shared" si="29"/>
        <v>DP</v>
      </c>
      <c r="AB426" s="523"/>
      <c r="AC426" s="523"/>
    </row>
    <row r="427">
      <c r="A427" s="523"/>
      <c r="B427" s="612" t="str">
        <f>IFERROR(VLOOKUP(M427,'02. MM-KLH'!$B$6:$T$823,6,0),"")</f>
        <v>Xe ben HOWO TXD600</v>
      </c>
      <c r="C427" s="566">
        <v>1.0</v>
      </c>
      <c r="D427" s="613" t="str">
        <f>IFERROR(VLOOKUP(M427,'02. MM-KLH'!$B$6:$T$823,16,0),"")</f>
        <v>HOWO TX D600</v>
      </c>
      <c r="E427" s="561" t="s">
        <v>4158</v>
      </c>
      <c r="F427" s="613"/>
      <c r="G427" s="613"/>
      <c r="H427" s="613" t="str">
        <f>IFERROR(VLOOKUP(M427,'02. MM-KLH'!$B$6:$T$823,17,0),"")</f>
        <v>380HP</v>
      </c>
      <c r="I427" s="614">
        <f>IFERROR(VLOOKUP(M427,'02. MM-KLH'!$B$6:$U$823,20,0),"")</f>
        <v>1.34</v>
      </c>
      <c r="J427" s="612" t="str">
        <f>IFERROR(VLOOKUP(M427,'02. MM-KLH'!$B$6:$T$823,19,0),"")</f>
        <v>1622D017391</v>
      </c>
      <c r="K427" s="612" t="str">
        <f>IFERROR(VLOOKUP(M427,'02. MM-KLH'!$B$6:$T$823,18,0),"")</f>
        <v>RNHD24CWANT063483</v>
      </c>
      <c r="L427" s="613" t="str">
        <f>IFERROR(VLOOKUP(M427,'02. MM-KLH'!$B$6:$T$823,4,0),"")</f>
        <v>3A-6808</v>
      </c>
      <c r="M427" s="488" t="s">
        <v>427</v>
      </c>
      <c r="N427" s="615">
        <f>IFERROR(VLOOKUP(M427,'02. MM-KLH'!$B$6:$T$823,15,0),"")</f>
        <v>2022</v>
      </c>
      <c r="O427" s="616">
        <f>IFERROR(VLOOKUP(M427,'02. MM-KLH'!$B$6:$T$823,9,0),"")</f>
        <v>45749</v>
      </c>
      <c r="P427" s="757">
        <v>31048.0</v>
      </c>
      <c r="Q427" s="613"/>
      <c r="R427" s="566" t="s">
        <v>4158</v>
      </c>
      <c r="S427" s="613"/>
      <c r="T427" s="613"/>
      <c r="U427" s="559" t="str">
        <f>IFERROR(VLOOKUP(M427,'02. MM-KLH'!$B$6:$T$823,5,0),"")</f>
        <v>MỚI</v>
      </c>
      <c r="V427" s="523" t="str">
        <f>IFERROR(VLOOKUP(M427,'02. MM-KLH'!$B$6:$T$823,8,0),"")</f>
        <v>CGTC LP</v>
      </c>
      <c r="W427" s="559" t="str">
        <f>IFERROR(VLOOKUP(V427,'NS QUẢN LÝ CG'!$A$4:$D$36,2,0),"")</f>
        <v>Đỗ Đức Nghĩa</v>
      </c>
      <c r="X427" s="559" t="str">
        <f>IFERROR(VLOOKUP(V427,'NS QUẢN LÝ CG'!$A$4:$D$36,4,0),"")</f>
        <v>NOCN L.4-LP3</v>
      </c>
      <c r="Y427" s="559" t="str">
        <f>IFERROR(VLOOKUP(V427,'NS QUẢN LÝ CG'!$A$4:$C$36,3,0),"")</f>
        <v>0971462780</v>
      </c>
      <c r="Z427" s="523" t="str">
        <f>IFERROR(VLOOKUP(M427,'02. MM-KLH'!$B$6:$T$823,3,0),"")</f>
        <v>A24-XTA-021</v>
      </c>
      <c r="AA427" s="559" t="str">
        <f t="shared" si="29"/>
        <v>LP</v>
      </c>
      <c r="AB427" s="523"/>
      <c r="AC427" s="523"/>
    </row>
    <row r="428">
      <c r="A428" s="523"/>
      <c r="B428" s="612" t="str">
        <f>IFERROR(VLOOKUP(M428,'02. MM-KLH'!$B$6:$T$823,6,0),"")</f>
        <v>Xe ben HOWO TXD600</v>
      </c>
      <c r="C428" s="566">
        <v>1.0</v>
      </c>
      <c r="D428" s="613" t="str">
        <f>IFERROR(VLOOKUP(M428,'02. MM-KLH'!$B$6:$T$823,16,0),"")</f>
        <v>HOWO TX D600</v>
      </c>
      <c r="E428" s="561" t="s">
        <v>4158</v>
      </c>
      <c r="F428" s="613"/>
      <c r="G428" s="613"/>
      <c r="H428" s="613" t="str">
        <f>IFERROR(VLOOKUP(M428,'02. MM-KLH'!$B$6:$T$823,17,0),"")</f>
        <v>380HP</v>
      </c>
      <c r="I428" s="614">
        <f>IFERROR(VLOOKUP(M428,'02. MM-KLH'!$B$6:$U$823,20,0),"")</f>
        <v>1.34</v>
      </c>
      <c r="J428" s="612" t="str">
        <f>IFERROR(VLOOKUP(M428,'02. MM-KLH'!$B$6:$T$823,19,0),"")</f>
        <v>1622D017399</v>
      </c>
      <c r="K428" s="612" t="str">
        <f>IFERROR(VLOOKUP(M428,'02. MM-KLH'!$B$6:$T$823,18,0),"")</f>
        <v>RNHD24CWANT063484</v>
      </c>
      <c r="L428" s="613" t="str">
        <f>IFERROR(VLOOKUP(M428,'02. MM-KLH'!$B$6:$T$823,4,0),"")</f>
        <v>3A-6809</v>
      </c>
      <c r="M428" s="488" t="s">
        <v>432</v>
      </c>
      <c r="N428" s="615">
        <f>IFERROR(VLOOKUP(M428,'02. MM-KLH'!$B$6:$T$823,15,0),"")</f>
        <v>2022</v>
      </c>
      <c r="O428" s="616">
        <f>IFERROR(VLOOKUP(M428,'02. MM-KLH'!$B$6:$T$823,9,0),"")</f>
        <v>45749</v>
      </c>
      <c r="P428" s="757">
        <v>26916.0</v>
      </c>
      <c r="Q428" s="613"/>
      <c r="R428" s="566" t="s">
        <v>4158</v>
      </c>
      <c r="S428" s="613"/>
      <c r="T428" s="613"/>
      <c r="U428" s="559" t="str">
        <f>IFERROR(VLOOKUP(M428,'02. MM-KLH'!$B$6:$T$823,5,0),"")</f>
        <v>MỚI</v>
      </c>
      <c r="V428" s="523" t="str">
        <f>IFERROR(VLOOKUP(M428,'02. MM-KLH'!$B$6:$T$823,8,0),"")</f>
        <v>CGTC LP</v>
      </c>
      <c r="W428" s="559" t="str">
        <f>IFERROR(VLOOKUP(V428,'NS QUẢN LÝ CG'!$A$4:$D$36,2,0),"")</f>
        <v>Đỗ Đức Nghĩa</v>
      </c>
      <c r="X428" s="559" t="str">
        <f>IFERROR(VLOOKUP(V428,'NS QUẢN LÝ CG'!$A$4:$D$36,4,0),"")</f>
        <v>NOCN L.4-LP3</v>
      </c>
      <c r="Y428" s="559" t="str">
        <f>IFERROR(VLOOKUP(V428,'NS QUẢN LÝ CG'!$A$4:$C$36,3,0),"")</f>
        <v>0971462780</v>
      </c>
      <c r="Z428" s="523" t="str">
        <f>IFERROR(VLOOKUP(M428,'02. MM-KLH'!$B$6:$T$823,3,0),"")</f>
        <v>A24-XTA-022</v>
      </c>
      <c r="AA428" s="559" t="str">
        <f t="shared" si="29"/>
        <v>LP</v>
      </c>
      <c r="AB428" s="523"/>
      <c r="AC428" s="523"/>
    </row>
    <row r="429">
      <c r="A429" s="523"/>
      <c r="B429" s="612" t="str">
        <f>IFERROR(VLOOKUP(M429,'02. MM-KLH'!$B$6:$T$823,6,0),"")</f>
        <v>Xe ben HOWO TXD600</v>
      </c>
      <c r="C429" s="566">
        <v>1.0</v>
      </c>
      <c r="D429" s="613" t="str">
        <f>IFERROR(VLOOKUP(M429,'02. MM-KLH'!$B$6:$T$823,16,0),"")</f>
        <v>HOWO TX D600</v>
      </c>
      <c r="E429" s="561" t="s">
        <v>4158</v>
      </c>
      <c r="F429" s="613"/>
      <c r="G429" s="613"/>
      <c r="H429" s="613" t="str">
        <f>IFERROR(VLOOKUP(M429,'02. MM-KLH'!$B$6:$T$823,17,0),"")</f>
        <v>380HP</v>
      </c>
      <c r="I429" s="614">
        <f>IFERROR(VLOOKUP(M429,'02. MM-KLH'!$B$6:$U$823,20,0),"")</f>
        <v>0.9</v>
      </c>
      <c r="J429" s="612" t="str">
        <f>IFERROR(VLOOKUP(M429,'02. MM-KLH'!$B$6:$T$823,19,0),"")</f>
        <v>1622F024356</v>
      </c>
      <c r="K429" s="612" t="str">
        <f>IFERROR(VLOOKUP(M429,'02. MM-KLH'!$B$6:$T$823,18,0),"")</f>
        <v>RNHD24CWART000063</v>
      </c>
      <c r="L429" s="613" t="str">
        <f>IFERROR(VLOOKUP(M429,'02. MM-KLH'!$B$6:$T$823,4,0),"")</f>
        <v>3A-6823</v>
      </c>
      <c r="M429" s="488" t="s">
        <v>620</v>
      </c>
      <c r="N429" s="615">
        <f>IFERROR(VLOOKUP(M429,'02. MM-KLH'!$B$6:$T$823,15,0),"")</f>
        <v>2022</v>
      </c>
      <c r="O429" s="616">
        <f>IFERROR(VLOOKUP(M429,'02. MM-KLH'!$B$6:$T$823,9,0),"")</f>
        <v>45661</v>
      </c>
      <c r="P429" s="564">
        <v>36619.0</v>
      </c>
      <c r="Q429" s="613"/>
      <c r="R429" s="566" t="s">
        <v>4158</v>
      </c>
      <c r="S429" s="613"/>
      <c r="T429" s="613"/>
      <c r="U429" s="559" t="str">
        <f>IFERROR(VLOOKUP(M429,'02. MM-KLH'!$B$6:$T$823,5,0),"")</f>
        <v>MỚI</v>
      </c>
      <c r="V429" s="523" t="str">
        <f>IFERROR(VLOOKUP(M429,'02. MM-KLH'!$B$6:$T$823,8,0),"")</f>
        <v>CGTC AD</v>
      </c>
      <c r="W429" s="559" t="str">
        <f>IFERROR(VLOOKUP(V429,'NS QUẢN LÝ CG'!$A$4:$D$36,2,0),"")</f>
        <v>Vũ Trung Kiên</v>
      </c>
      <c r="X429" s="559" t="str">
        <f>IFERROR(VLOOKUP(V429,'NS QUẢN LÝ CG'!$A$4:$D$36,4,0),"")</f>
        <v>Lô 73 ADM</v>
      </c>
      <c r="Y429" s="559" t="str">
        <f>IFERROR(VLOOKUP(V429,'NS QUẢN LÝ CG'!$A$4:$C$36,3,0),"")</f>
        <v>0981761677</v>
      </c>
      <c r="Z429" s="523" t="str">
        <f>IFERROR(VLOOKUP(M429,'02. MM-KLH'!$B$6:$T$823,3,0),"")</f>
        <v>A23-XTA-034</v>
      </c>
      <c r="AA429" s="559" t="str">
        <f t="shared" si="29"/>
        <v>DP</v>
      </c>
      <c r="AB429" s="523"/>
      <c r="AC429" s="523"/>
    </row>
    <row r="430">
      <c r="A430" s="523"/>
      <c r="B430" s="612" t="str">
        <f>IFERROR(VLOOKUP(M430,'02. MM-KLH'!$B$6:$T$823,6,0),"")</f>
        <v>Xe ben HOWO TXD600</v>
      </c>
      <c r="C430" s="566">
        <v>1.0</v>
      </c>
      <c r="D430" s="613" t="str">
        <f>IFERROR(VLOOKUP(M430,'02. MM-KLH'!$B$6:$T$823,16,0),"")</f>
        <v>HOWO TX D600</v>
      </c>
      <c r="E430" s="561" t="s">
        <v>4158</v>
      </c>
      <c r="F430" s="613"/>
      <c r="G430" s="613"/>
      <c r="H430" s="613" t="str">
        <f>IFERROR(VLOOKUP(M430,'02. MM-KLH'!$B$6:$T$823,17,0),"")</f>
        <v>380HP</v>
      </c>
      <c r="I430" s="614">
        <f>IFERROR(VLOOKUP(M430,'02. MM-KLH'!$B$6:$U$823,20,0),"")</f>
        <v>0.9</v>
      </c>
      <c r="J430" s="612" t="str">
        <f>IFERROR(VLOOKUP(M430,'02. MM-KLH'!$B$6:$T$823,19,0),"")</f>
        <v>1622F024357</v>
      </c>
      <c r="K430" s="612" t="str">
        <f>IFERROR(VLOOKUP(M430,'02. MM-KLH'!$B$6:$T$823,18,0),"")</f>
        <v>RNHD24CWART000064</v>
      </c>
      <c r="L430" s="613" t="str">
        <f>IFERROR(VLOOKUP(M430,'02. MM-KLH'!$B$6:$T$823,4,0),"")</f>
        <v>3A-6822</v>
      </c>
      <c r="M430" s="488" t="s">
        <v>626</v>
      </c>
      <c r="N430" s="615">
        <f>IFERROR(VLOOKUP(M430,'02. MM-KLH'!$B$6:$T$823,15,0),"")</f>
        <v>2022</v>
      </c>
      <c r="O430" s="616">
        <f>IFERROR(VLOOKUP(M430,'02. MM-KLH'!$B$6:$T$823,9,0),"")</f>
        <v>45661</v>
      </c>
      <c r="P430" s="564">
        <v>39931.0</v>
      </c>
      <c r="Q430" s="613"/>
      <c r="R430" s="566" t="s">
        <v>4158</v>
      </c>
      <c r="S430" s="613"/>
      <c r="T430" s="613"/>
      <c r="U430" s="559" t="str">
        <f>IFERROR(VLOOKUP(M430,'02. MM-KLH'!$B$6:$T$823,5,0),"")</f>
        <v>MỚI</v>
      </c>
      <c r="V430" s="523" t="str">
        <f>IFERROR(VLOOKUP(M430,'02. MM-KLH'!$B$6:$T$823,8,0),"")</f>
        <v>CGTC AD</v>
      </c>
      <c r="W430" s="559" t="str">
        <f>IFERROR(VLOOKUP(V430,'NS QUẢN LÝ CG'!$A$4:$D$36,2,0),"")</f>
        <v>Vũ Trung Kiên</v>
      </c>
      <c r="X430" s="559" t="str">
        <f>IFERROR(VLOOKUP(V430,'NS QUẢN LÝ CG'!$A$4:$D$36,4,0),"")</f>
        <v>Lô 73 ADM</v>
      </c>
      <c r="Y430" s="559" t="str">
        <f>IFERROR(VLOOKUP(V430,'NS QUẢN LÝ CG'!$A$4:$C$36,3,0),"")</f>
        <v>0981761677</v>
      </c>
      <c r="Z430" s="523" t="str">
        <f>IFERROR(VLOOKUP(M430,'02. MM-KLH'!$B$6:$T$823,3,0),"")</f>
        <v>A23-XTA-035</v>
      </c>
      <c r="AA430" s="559" t="str">
        <f t="shared" si="29"/>
        <v>DP</v>
      </c>
      <c r="AB430" s="523"/>
      <c r="AC430" s="523"/>
    </row>
    <row r="431">
      <c r="A431" s="523"/>
      <c r="B431" s="612" t="str">
        <f>IFERROR(VLOOKUP(M431,'02. MM-KLH'!$B$6:$T$823,6,0),"")</f>
        <v>Xe ben HOWO TXD600</v>
      </c>
      <c r="C431" s="566">
        <v>1.0</v>
      </c>
      <c r="D431" s="613" t="str">
        <f>IFERROR(VLOOKUP(M431,'02. MM-KLH'!$B$6:$T$823,16,0),"")</f>
        <v>HOWO TX D600</v>
      </c>
      <c r="E431" s="561" t="s">
        <v>4158</v>
      </c>
      <c r="F431" s="613"/>
      <c r="G431" s="613"/>
      <c r="H431" s="613" t="str">
        <f>IFERROR(VLOOKUP(M431,'02. MM-KLH'!$B$6:$T$823,17,0),"")</f>
        <v>380HP</v>
      </c>
      <c r="I431" s="614">
        <f>IFERROR(VLOOKUP(M431,'02. MM-KLH'!$B$6:$U$823,20,0),"")</f>
        <v>0.9</v>
      </c>
      <c r="J431" s="612" t="str">
        <f>IFERROR(VLOOKUP(M431,'02. MM-KLH'!$B$6:$T$823,19,0),"")</f>
        <v>1622D017402</v>
      </c>
      <c r="K431" s="612" t="str">
        <f>IFERROR(VLOOKUP(M431,'02. MM-KLH'!$B$6:$T$823,18,0),"")</f>
        <v>RNHD24CWANT063481</v>
      </c>
      <c r="L431" s="613" t="str">
        <f>IFERROR(VLOOKUP(M431,'02. MM-KLH'!$B$6:$T$823,4,0),"")</f>
        <v>3A-6814</v>
      </c>
      <c r="M431" s="488" t="s">
        <v>631</v>
      </c>
      <c r="N431" s="615">
        <f>IFERROR(VLOOKUP(M431,'02. MM-KLH'!$B$6:$T$823,15,0),"")</f>
        <v>2022</v>
      </c>
      <c r="O431" s="616">
        <f>IFERROR(VLOOKUP(M431,'02. MM-KLH'!$B$6:$T$823,9,0),"")</f>
        <v>45749</v>
      </c>
      <c r="P431" s="564">
        <v>42396.0</v>
      </c>
      <c r="Q431" s="613"/>
      <c r="R431" s="566" t="s">
        <v>4158</v>
      </c>
      <c r="S431" s="613"/>
      <c r="T431" s="613"/>
      <c r="U431" s="559" t="str">
        <f>IFERROR(VLOOKUP(M431,'02. MM-KLH'!$B$6:$T$823,5,0),"")</f>
        <v>MỚI</v>
      </c>
      <c r="V431" s="523" t="str">
        <f>IFERROR(VLOOKUP(M431,'02. MM-KLH'!$B$6:$T$823,8,0),"")</f>
        <v>CGTC AD</v>
      </c>
      <c r="W431" s="559" t="str">
        <f>IFERROR(VLOOKUP(V431,'NS QUẢN LÝ CG'!$A$4:$D$36,2,0),"")</f>
        <v>Vũ Trung Kiên</v>
      </c>
      <c r="X431" s="559" t="str">
        <f>IFERROR(VLOOKUP(V431,'NS QUẢN LÝ CG'!$A$4:$D$36,4,0),"")</f>
        <v>Lô 73 ADM</v>
      </c>
      <c r="Y431" s="559" t="str">
        <f>IFERROR(VLOOKUP(V431,'NS QUẢN LÝ CG'!$A$4:$C$36,3,0),"")</f>
        <v>0981761677</v>
      </c>
      <c r="Z431" s="523" t="str">
        <f>IFERROR(VLOOKUP(M431,'02. MM-KLH'!$B$6:$T$823,3,0),"")</f>
        <v>A24-XTA-020</v>
      </c>
      <c r="AA431" s="559" t="str">
        <f t="shared" si="29"/>
        <v>LP</v>
      </c>
      <c r="AB431" s="523"/>
      <c r="AC431" s="523"/>
    </row>
    <row r="432">
      <c r="A432" s="523"/>
      <c r="B432" s="612" t="str">
        <f>IFERROR(VLOOKUP(M432,'02. MM-KLH'!$B$6:$T$823,6,0),"")</f>
        <v>Xe tải ben Howo 371</v>
      </c>
      <c r="C432" s="566">
        <v>1.0</v>
      </c>
      <c r="D432" s="613" t="str">
        <f>IFERROR(VLOOKUP(M432,'02. MM-KLH'!$B$6:$T$823,16,0),"")</f>
        <v>HOWO 371</v>
      </c>
      <c r="E432" s="561" t="s">
        <v>4158</v>
      </c>
      <c r="F432" s="613"/>
      <c r="G432" s="613"/>
      <c r="H432" s="613" t="str">
        <f>IFERROR(VLOOKUP(M432,'02. MM-KLH'!$B$6:$T$823,17,0),"")</f>
        <v>300HP</v>
      </c>
      <c r="I432" s="614">
        <f>IFERROR(VLOOKUP(M432,'02. MM-KLH'!$B$6:$U$823,20,0),"")</f>
        <v>0.36</v>
      </c>
      <c r="J432" s="612" t="str">
        <f>IFERROR(VLOOKUP(M432,'02. MM-KLH'!$B$6:$T$823,19,0),"")</f>
        <v>CCN</v>
      </c>
      <c r="K432" s="612">
        <f>IFERROR(VLOOKUP(M432,'02. MM-KLH'!$B$6:$T$823,18,0),"")</f>
        <v>63965</v>
      </c>
      <c r="L432" s="613" t="str">
        <f>IFERROR(VLOOKUP(M432,'02. MM-KLH'!$B$6:$T$823,4,0),"")</f>
        <v/>
      </c>
      <c r="M432" s="490" t="s">
        <v>2383</v>
      </c>
      <c r="N432" s="615" t="str">
        <f>IFERROR(VLOOKUP(M432,'02. MM-KLH'!$B$6:$T$823,15,0),"")</f>
        <v/>
      </c>
      <c r="O432" s="616" t="str">
        <f>IFERROR(VLOOKUP(M432,'02. MM-KLH'!$B$6:$T$823,9,0),"")</f>
        <v/>
      </c>
      <c r="P432" s="566">
        <v>2088.0</v>
      </c>
      <c r="Q432" s="613"/>
      <c r="R432" s="613"/>
      <c r="S432" s="566" t="s">
        <v>4158</v>
      </c>
      <c r="T432" s="613"/>
      <c r="U432" s="559" t="str">
        <f>IFERROR(VLOOKUP(M432,'02. MM-KLH'!$B$6:$T$823,5,0),"")</f>
        <v>ĐQSD</v>
      </c>
      <c r="V432" s="523" t="str">
        <f>IFERROR(VLOOKUP(M432,'02. MM-KLH'!$B$6:$T$823,8,0),"")</f>
        <v>Phòng GNVC</v>
      </c>
      <c r="W432" s="559" t="str">
        <f>IFERROR(VLOOKUP(V432,'NS QUẢN LÝ CG'!$A$4:$D$36,2,0),"")</f>
        <v>Lâm Quốc Cường</v>
      </c>
      <c r="X432" s="559" t="str">
        <f>IFERROR(VLOOKUP(V432,'NS QUẢN LÝ CG'!$A$4:$D$36,4,0),"")</f>
        <v>Tổng kho KLH</v>
      </c>
      <c r="Y432" s="559" t="str">
        <f>IFERROR(VLOOKUP(V432,'NS QUẢN LÝ CG'!$A$4:$C$36,3,0),"")</f>
        <v>0384653979</v>
      </c>
      <c r="Z432" s="523" t="str">
        <f>IFERROR(VLOOKUP(M432,'02. MM-KLH'!$B$6:$T$823,3,0),"")</f>
        <v>A22-XTA-010</v>
      </c>
      <c r="AA432" s="559" t="str">
        <f t="shared" si="29"/>
        <v>ADM</v>
      </c>
      <c r="AB432" s="523"/>
      <c r="AC432" s="523"/>
    </row>
    <row r="433">
      <c r="A433" s="523"/>
      <c r="B433" s="612" t="str">
        <f>IFERROR(VLOOKUP(M433,'02. MM-KLH'!$B$6:$T$823,6,0),"")</f>
        <v>Xe tải ben Howo 371</v>
      </c>
      <c r="C433" s="566">
        <v>1.0</v>
      </c>
      <c r="D433" s="613" t="str">
        <f>IFERROR(VLOOKUP(M433,'02. MM-KLH'!$B$6:$T$823,16,0),"")</f>
        <v>HOWO 371</v>
      </c>
      <c r="E433" s="561" t="s">
        <v>4158</v>
      </c>
      <c r="F433" s="613"/>
      <c r="G433" s="613"/>
      <c r="H433" s="613" t="str">
        <f>IFERROR(VLOOKUP(M433,'02. MM-KLH'!$B$6:$T$823,17,0),"")</f>
        <v>300HP</v>
      </c>
      <c r="I433" s="614">
        <f>IFERROR(VLOOKUP(M433,'02. MM-KLH'!$B$6:$U$823,20,0),"")</f>
        <v>0.36</v>
      </c>
      <c r="J433" s="612" t="str">
        <f>IFERROR(VLOOKUP(M433,'02. MM-KLH'!$B$6:$T$823,19,0),"")</f>
        <v>CCN</v>
      </c>
      <c r="K433" s="612">
        <f>IFERROR(VLOOKUP(M433,'02. MM-KLH'!$B$6:$T$823,18,0),"")</f>
        <v>933513</v>
      </c>
      <c r="L433" s="613" t="str">
        <f>IFERROR(VLOOKUP(M433,'02. MM-KLH'!$B$6:$T$823,4,0),"")</f>
        <v/>
      </c>
      <c r="M433" s="490" t="s">
        <v>2388</v>
      </c>
      <c r="N433" s="615" t="str">
        <f>IFERROR(VLOOKUP(M433,'02. MM-KLH'!$B$6:$T$823,15,0),"")</f>
        <v/>
      </c>
      <c r="O433" s="616" t="str">
        <f>IFERROR(VLOOKUP(M433,'02. MM-KLH'!$B$6:$T$823,9,0),"")</f>
        <v/>
      </c>
      <c r="P433" s="566">
        <v>171658.0</v>
      </c>
      <c r="Q433" s="613"/>
      <c r="R433" s="613"/>
      <c r="S433" s="566" t="s">
        <v>4158</v>
      </c>
      <c r="T433" s="613"/>
      <c r="U433" s="559" t="str">
        <f>IFERROR(VLOOKUP(M433,'02. MM-KLH'!$B$6:$T$823,5,0),"")</f>
        <v>ĐQSD</v>
      </c>
      <c r="V433" s="523" t="str">
        <f>IFERROR(VLOOKUP(M433,'02. MM-KLH'!$B$6:$T$823,8,0),"")</f>
        <v>Phòng GNVC</v>
      </c>
      <c r="W433" s="559" t="str">
        <f>IFERROR(VLOOKUP(V433,'NS QUẢN LÝ CG'!$A$4:$D$36,2,0),"")</f>
        <v>Lâm Quốc Cường</v>
      </c>
      <c r="X433" s="559" t="str">
        <f>IFERROR(VLOOKUP(V433,'NS QUẢN LÝ CG'!$A$4:$D$36,4,0),"")</f>
        <v>Tổng kho KLH</v>
      </c>
      <c r="Y433" s="559" t="str">
        <f>IFERROR(VLOOKUP(V433,'NS QUẢN LÝ CG'!$A$4:$C$36,3,0),"")</f>
        <v>0384653979</v>
      </c>
      <c r="Z433" s="523" t="str">
        <f>IFERROR(VLOOKUP(M433,'02. MM-KLH'!$B$6:$T$823,3,0),"")</f>
        <v>A22-XTA-011</v>
      </c>
      <c r="AA433" s="559" t="str">
        <f t="shared" si="29"/>
        <v>ADM</v>
      </c>
      <c r="AB433" s="523"/>
      <c r="AC433" s="523"/>
    </row>
    <row r="434">
      <c r="A434" s="523"/>
      <c r="B434" s="612" t="str">
        <f>IFERROR(VLOOKUP(M434,'02. MM-KLH'!$B$6:$T$823,6,0),"")</f>
        <v/>
      </c>
      <c r="C434" s="566"/>
      <c r="D434" s="613" t="str">
        <f>IFERROR(VLOOKUP(M434,'02. MM-KLH'!$B$6:$T$823,16,0),"")</f>
        <v/>
      </c>
      <c r="E434" s="613"/>
      <c r="F434" s="613"/>
      <c r="G434" s="613"/>
      <c r="H434" s="613" t="str">
        <f>IFERROR(VLOOKUP(M434,'02. MM-KLH'!$B$6:$T$823,17,0),"")</f>
        <v/>
      </c>
      <c r="I434" s="614" t="str">
        <f>IFERROR(VLOOKUP(M434,'02. MM-KLH'!$B$6:$U$823,20,0),"")</f>
        <v/>
      </c>
      <c r="J434" s="612" t="str">
        <f>IFERROR(VLOOKUP(M434,'02. MM-KLH'!$B$6:$T$823,19,0),"")</f>
        <v/>
      </c>
      <c r="K434" s="612" t="str">
        <f>IFERROR(VLOOKUP(M434,'02. MM-KLH'!$B$6:$T$823,18,0),"")</f>
        <v/>
      </c>
      <c r="L434" s="613" t="str">
        <f>IFERROR(VLOOKUP(M434,'02. MM-KLH'!$B$6:$T$823,4,0),"")</f>
        <v/>
      </c>
      <c r="M434" s="488"/>
      <c r="N434" s="615" t="str">
        <f>IFERROR(VLOOKUP(M434,'02. MM-KLH'!$B$6:$T$823,15,0),"")</f>
        <v/>
      </c>
      <c r="O434" s="616" t="str">
        <f>IFERROR(VLOOKUP(M434,'02. MM-KLH'!$B$6:$T$823,9,0),"")</f>
        <v/>
      </c>
      <c r="P434" s="613"/>
      <c r="Q434" s="613"/>
      <c r="R434" s="613"/>
      <c r="S434" s="613"/>
      <c r="T434" s="613"/>
      <c r="U434" s="613" t="str">
        <f>IFERROR(VLOOKUP(M434,'02. MM-KLH'!$B$6:$T$823,2,0),"")</f>
        <v/>
      </c>
      <c r="V434" s="523" t="str">
        <f>IFERROR(VLOOKUP(M434,'02. MM-KLH'!$B$6:$T$823,8,0),"")</f>
        <v/>
      </c>
      <c r="W434" s="559" t="str">
        <f>IFERROR(VLOOKUP(V434,'NS QUẢN LÝ CG'!$A$4:$D$36,2,0),"")</f>
        <v/>
      </c>
      <c r="X434" s="559" t="str">
        <f>IFERROR(VLOOKUP(V434,'NS QUẢN LÝ CG'!$A$4:$D$36,4,0),"")</f>
        <v/>
      </c>
      <c r="Y434" s="613"/>
      <c r="Z434" s="523" t="str">
        <f>IFERROR(VLOOKUP(M434,'02. MM-KLH'!$B$6:$T$823,3,0),"")</f>
        <v/>
      </c>
      <c r="AA434" s="613"/>
      <c r="AB434" s="523"/>
      <c r="AC434" s="523"/>
    </row>
    <row r="435" hidden="1">
      <c r="A435" s="523"/>
      <c r="B435" s="612" t="str">
        <f>IFERROR(VLOOKUP(M435,'02. MM-KLH'!$B$6:$T$823,6,0),"")</f>
        <v/>
      </c>
      <c r="C435" s="566"/>
      <c r="D435" s="613" t="str">
        <f>IFERROR(VLOOKUP(M435,'02. MM-KLH'!$B$6:$T$823,16,0),"")</f>
        <v/>
      </c>
      <c r="E435" s="613"/>
      <c r="F435" s="613"/>
      <c r="G435" s="613"/>
      <c r="H435" s="613" t="str">
        <f>IFERROR(VLOOKUP(M435,'02. MM-KLH'!$B$6:$T$823,17,0),"")</f>
        <v/>
      </c>
      <c r="I435" s="614" t="str">
        <f>IFERROR(VLOOKUP(M435,'02. MM-KLH'!$B$6:$U$823,20,0),"")</f>
        <v/>
      </c>
      <c r="J435" s="612" t="str">
        <f>IFERROR(VLOOKUP(M435,'02. MM-KLH'!$B$6:$T$823,19,0),"")</f>
        <v/>
      </c>
      <c r="K435" s="612" t="str">
        <f>IFERROR(VLOOKUP(M435,'02. MM-KLH'!$B$6:$T$823,18,0),"")</f>
        <v/>
      </c>
      <c r="L435" s="613" t="str">
        <f>IFERROR(VLOOKUP(M435,'02. MM-KLH'!$B$6:$T$823,4,0),"")</f>
        <v/>
      </c>
      <c r="M435" s="488"/>
      <c r="N435" s="615" t="str">
        <f>IFERROR(VLOOKUP(M435,'02. MM-KLH'!$B$6:$T$823,15,0),"")</f>
        <v/>
      </c>
      <c r="O435" s="616" t="str">
        <f>IFERROR(VLOOKUP(M435,'02. MM-KLH'!$B$6:$T$823,9,0),"")</f>
        <v/>
      </c>
      <c r="P435" s="613"/>
      <c r="Q435" s="613"/>
      <c r="R435" s="613"/>
      <c r="S435" s="613"/>
      <c r="T435" s="613"/>
      <c r="U435" s="613" t="str">
        <f>IFERROR(VLOOKUP(M435,'02. MM-KLH'!$B$6:$T$823,2,0),"")</f>
        <v/>
      </c>
      <c r="V435" s="523" t="str">
        <f>IFERROR(VLOOKUP(M435,'02. MM-KLH'!$B$6:$T$823,8,0),"")</f>
        <v/>
      </c>
      <c r="W435" s="613"/>
      <c r="X435" s="613"/>
      <c r="Y435" s="613"/>
      <c r="Z435" s="523" t="str">
        <f>IFERROR(VLOOKUP(M435,'02. MM-KLH'!$B$6:$T$823,3,0),"")</f>
        <v/>
      </c>
      <c r="AA435" s="613"/>
      <c r="AB435" s="523"/>
      <c r="AC435" s="523"/>
    </row>
    <row r="436" hidden="1">
      <c r="A436" s="523"/>
      <c r="B436" s="612" t="str">
        <f>IFERROR(VLOOKUP(M436,'02. MM-KLH'!$B$6:$T$823,6,0),"")</f>
        <v/>
      </c>
      <c r="C436" s="566"/>
      <c r="D436" s="613" t="str">
        <f>IFERROR(VLOOKUP(M436,'02. MM-KLH'!$B$6:$T$823,16,0),"")</f>
        <v/>
      </c>
      <c r="E436" s="613"/>
      <c r="F436" s="613"/>
      <c r="G436" s="613"/>
      <c r="H436" s="613" t="str">
        <f>IFERROR(VLOOKUP(M436,'02. MM-KLH'!$B$6:$T$823,17,0),"")</f>
        <v/>
      </c>
      <c r="I436" s="614" t="str">
        <f>IFERROR(VLOOKUP(M436,'02. MM-KLH'!$B$6:$U$823,20,0),"")</f>
        <v/>
      </c>
      <c r="J436" s="612" t="str">
        <f>IFERROR(VLOOKUP(M436,'02. MM-KLH'!$B$6:$T$823,19,0),"")</f>
        <v/>
      </c>
      <c r="K436" s="612" t="str">
        <f>IFERROR(VLOOKUP(M436,'02. MM-KLH'!$B$6:$T$823,18,0),"")</f>
        <v/>
      </c>
      <c r="L436" s="613" t="str">
        <f>IFERROR(VLOOKUP(M436,'02. MM-KLH'!$B$6:$T$823,4,0),"")</f>
        <v/>
      </c>
      <c r="M436" s="488"/>
      <c r="N436" s="615" t="str">
        <f>IFERROR(VLOOKUP(M436,'02. MM-KLH'!$B$6:$T$823,15,0),"")</f>
        <v/>
      </c>
      <c r="O436" s="616" t="str">
        <f>IFERROR(VLOOKUP(M436,'02. MM-KLH'!$B$6:$T$823,9,0),"")</f>
        <v/>
      </c>
      <c r="P436" s="613"/>
      <c r="Q436" s="613"/>
      <c r="R436" s="613"/>
      <c r="S436" s="613"/>
      <c r="T436" s="613"/>
      <c r="U436" s="613" t="str">
        <f>IFERROR(VLOOKUP(M436,'02. MM-KLH'!$B$6:$T$823,2,0),"")</f>
        <v/>
      </c>
      <c r="V436" s="523" t="str">
        <f>IFERROR(VLOOKUP(M436,'02. MM-KLH'!$B$6:$T$823,8,0),"")</f>
        <v/>
      </c>
      <c r="W436" s="613"/>
      <c r="X436" s="613"/>
      <c r="Y436" s="613"/>
      <c r="Z436" s="523" t="str">
        <f>IFERROR(VLOOKUP(M436,'02. MM-KLH'!$B$6:$T$823,3,0),"")</f>
        <v/>
      </c>
      <c r="AA436" s="613"/>
      <c r="AB436" s="523"/>
      <c r="AC436" s="523"/>
    </row>
    <row r="437">
      <c r="A437" s="542" t="s">
        <v>1974</v>
      </c>
      <c r="B437" s="543" t="s">
        <v>5990</v>
      </c>
      <c r="C437" s="544">
        <f>SUM(C438,C447,C453,C464)</f>
        <v>22</v>
      </c>
      <c r="D437" s="545"/>
      <c r="E437" s="545"/>
      <c r="F437" s="545"/>
      <c r="G437" s="545"/>
      <c r="H437" s="545"/>
      <c r="I437" s="546"/>
      <c r="J437" s="547"/>
      <c r="K437" s="547"/>
      <c r="L437" s="545"/>
      <c r="M437" s="545"/>
      <c r="N437" s="545"/>
      <c r="O437" s="548"/>
      <c r="P437" s="545"/>
      <c r="Q437" s="545"/>
      <c r="R437" s="545"/>
      <c r="S437" s="545"/>
      <c r="T437" s="545"/>
      <c r="U437" s="545"/>
      <c r="V437" s="546"/>
      <c r="W437" s="545"/>
      <c r="X437" s="545"/>
      <c r="Y437" s="545"/>
      <c r="Z437" s="546"/>
      <c r="AA437" s="545"/>
      <c r="AB437" s="546"/>
      <c r="AC437" s="549"/>
    </row>
    <row r="438">
      <c r="A438" s="695">
        <v>1.0</v>
      </c>
      <c r="B438" s="696" t="s">
        <v>300</v>
      </c>
      <c r="C438" s="697">
        <f>COUNTA(B439:B446)</f>
        <v>7</v>
      </c>
      <c r="D438" s="698" t="str">
        <f>IFERROR(VLOOKUP(M438,'02. MM-KLH'!$B$6:$T$823,16,0),"")</f>
        <v/>
      </c>
      <c r="E438" s="698"/>
      <c r="F438" s="698"/>
      <c r="G438" s="698"/>
      <c r="H438" s="558" t="str">
        <f>IFERROR(VLOOKUP(M438,'02. MM-KLH'!$B$6:$T$823,17,0),"")</f>
        <v/>
      </c>
      <c r="I438" s="558" t="str">
        <f>IFERROR(VLOOKUP(M438,'02. MM-KLH'!$B$6:$U$823,20,0),"")</f>
        <v/>
      </c>
      <c r="J438" s="699" t="str">
        <f>IFERROR(VLOOKUP(M438,'02. MM-KLH'!$B$6:$T$823,19,0),"")</f>
        <v/>
      </c>
      <c r="K438" s="699" t="str">
        <f>IFERROR(VLOOKUP(M438,'02. MM-KLH'!$B$6:$T$823,18,0),"")</f>
        <v/>
      </c>
      <c r="L438" s="698" t="str">
        <f>IFERROR(VLOOKUP(M438,'02. MM-KLH'!$B$6:$T$823,4,0),"")</f>
        <v/>
      </c>
      <c r="M438" s="700"/>
      <c r="N438" s="698" t="str">
        <f>IFERROR(VLOOKUP(M438,'02. MM-KLH'!$B$6:$T$823,15,0),"")</f>
        <v/>
      </c>
      <c r="O438" s="701" t="str">
        <f>IFERROR(VLOOKUP(M438,'02. MM-KLH'!$B$6:$T$823,9,0),"")</f>
        <v/>
      </c>
      <c r="P438" s="698"/>
      <c r="Q438" s="698"/>
      <c r="R438" s="698"/>
      <c r="S438" s="698"/>
      <c r="T438" s="698"/>
      <c r="U438" s="698" t="str">
        <f>IFERROR(VLOOKUP(M438,'02. MM-KLH'!$B$6:$T$823,2,0),"")</f>
        <v/>
      </c>
      <c r="V438" s="558" t="str">
        <f>IFERROR(VLOOKUP(M438,'02. MM-KLH'!$B$6:$T$823,8,0),"")</f>
        <v/>
      </c>
      <c r="W438" s="698"/>
      <c r="X438" s="698"/>
      <c r="Y438" s="698"/>
      <c r="Z438" s="558" t="str">
        <f>IFERROR(VLOOKUP(M438,'02. MM-KLH'!$B$6:$T$823,3,0),"")</f>
        <v/>
      </c>
      <c r="AA438" s="698"/>
      <c r="AB438" s="558"/>
      <c r="AC438" s="558"/>
    </row>
    <row r="439">
      <c r="A439" s="523"/>
      <c r="B439" s="612" t="str">
        <f>IFERROR(VLOOKUP(M439,'02. MM-KLH'!$B$6:$T$823,6,0),"")</f>
        <v>Xe tải thùng FD140</v>
      </c>
      <c r="C439" s="566">
        <v>1.0</v>
      </c>
      <c r="D439" s="613" t="str">
        <f>IFERROR(VLOOKUP(M439,'02. MM-KLH'!$B$6:$T$823,16,0),"")</f>
        <v>FD140</v>
      </c>
      <c r="E439" s="561" t="s">
        <v>4158</v>
      </c>
      <c r="F439" s="613"/>
      <c r="G439" s="613"/>
      <c r="H439" s="613" t="str">
        <f>IFERROR(VLOOKUP(M439,'02. MM-KLH'!$B$6:$T$823,17,0),"")</f>
        <v>140HP</v>
      </c>
      <c r="I439" s="614">
        <f>IFERROR(VLOOKUP(M439,'02. MM-KLH'!$B$6:$U$823,20,0),"")</f>
        <v>0.3</v>
      </c>
      <c r="J439" s="612" t="str">
        <f>IFERROR(VLOOKUP(M439,'02. MM-KLH'!$B$6:$T$823,19,0),"")</f>
        <v>YC4D140-48D59M1M00594</v>
      </c>
      <c r="K439" s="612" t="str">
        <f>IFERROR(VLOOKUP(M439,'02. MM-KLH'!$B$6:$T$823,18,0),"")</f>
        <v>RNHF14FYAMT052028</v>
      </c>
      <c r="L439" s="613" t="str">
        <f>IFERROR(VLOOKUP(M439,'02. MM-KLH'!$B$6:$T$823,4,0),"")</f>
        <v/>
      </c>
      <c r="M439" s="490" t="s">
        <v>2371</v>
      </c>
      <c r="N439" s="615">
        <f>IFERROR(VLOOKUP(M439,'02. MM-KLH'!$B$6:$T$823,15,0),"")</f>
        <v>2021</v>
      </c>
      <c r="O439" s="616">
        <f>IFERROR(VLOOKUP(M439,'02. MM-KLH'!$B$6:$T$823,9,0),"")</f>
        <v>44564</v>
      </c>
      <c r="P439" s="566">
        <v>100597.0</v>
      </c>
      <c r="Q439" s="613"/>
      <c r="R439" s="566" t="s">
        <v>4158</v>
      </c>
      <c r="S439" s="613"/>
      <c r="T439" s="613"/>
      <c r="U439" s="559" t="str">
        <f>IFERROR(VLOOKUP(M439,'02. MM-KLH'!$B$6:$T$823,5,0),"")</f>
        <v>ĐQSD</v>
      </c>
      <c r="V439" s="523" t="str">
        <f>IFERROR(VLOOKUP(M439,'02. MM-KLH'!$B$6:$T$823,8,0),"")</f>
        <v>Phòng GNVC</v>
      </c>
      <c r="W439" s="559" t="str">
        <f>IFERROR(VLOOKUP(V439,'NS QUẢN LÝ CG'!$A$4:$D$36,2,0),"")</f>
        <v>Lâm Quốc Cường</v>
      </c>
      <c r="X439" s="559" t="str">
        <f>IFERROR(VLOOKUP(V439,'NS QUẢN LÝ CG'!$A$4:$D$36,4,0),"")</f>
        <v>Tổng kho KLH</v>
      </c>
      <c r="Y439" s="559" t="str">
        <f>IFERROR(VLOOKUP(V439,'NS QUẢN LÝ CG'!$A$4:$C$36,3,0),"")</f>
        <v>0384653979</v>
      </c>
      <c r="Z439" s="523" t="str">
        <f>IFERROR(VLOOKUP(M439,'02. MM-KLH'!$B$6:$T$823,3,0),"")</f>
        <v>ATT-A22-0259</v>
      </c>
      <c r="AA439" s="561" t="s">
        <v>4462</v>
      </c>
      <c r="AB439" s="523"/>
      <c r="AC439" s="523"/>
    </row>
    <row r="440">
      <c r="A440" s="523"/>
      <c r="B440" s="612" t="str">
        <f>IFERROR(VLOOKUP(M440,'02. MM-KLH'!$B$6:$T$823,6,0),"")</f>
        <v>Xe tải thùng FD140</v>
      </c>
      <c r="C440" s="566">
        <v>1.0</v>
      </c>
      <c r="D440" s="613" t="str">
        <f>IFERROR(VLOOKUP(M440,'02. MM-KLH'!$B$6:$T$823,16,0),"")</f>
        <v>FD140</v>
      </c>
      <c r="E440" s="561" t="s">
        <v>4158</v>
      </c>
      <c r="F440" s="613"/>
      <c r="G440" s="613"/>
      <c r="H440" s="613" t="str">
        <f>IFERROR(VLOOKUP(M440,'02. MM-KLH'!$B$6:$T$823,17,0),"")</f>
        <v>140HP</v>
      </c>
      <c r="I440" s="614">
        <f>IFERROR(VLOOKUP(M440,'02. MM-KLH'!$B$6:$U$823,20,0),"")</f>
        <v>0.3</v>
      </c>
      <c r="J440" s="612" t="str">
        <f>IFERROR(VLOOKUP(M440,'02. MM-KLH'!$B$6:$T$823,19,0),"")</f>
        <v>YC4D140-48D59M1M00563</v>
      </c>
      <c r="K440" s="612" t="str">
        <f>IFERROR(VLOOKUP(M440,'02. MM-KLH'!$B$6:$T$823,18,0),"")</f>
        <v>RNHF14FYAMT052029</v>
      </c>
      <c r="L440" s="613" t="str">
        <f>IFERROR(VLOOKUP(M440,'02. MM-KLH'!$B$6:$T$823,4,0),"")</f>
        <v/>
      </c>
      <c r="M440" s="490" t="s">
        <v>2375</v>
      </c>
      <c r="N440" s="615">
        <f>IFERROR(VLOOKUP(M440,'02. MM-KLH'!$B$6:$T$823,15,0),"")</f>
        <v>2021</v>
      </c>
      <c r="O440" s="616">
        <f>IFERROR(VLOOKUP(M440,'02. MM-KLH'!$B$6:$T$823,9,0),"")</f>
        <v>44564</v>
      </c>
      <c r="P440" s="566">
        <v>127132.0</v>
      </c>
      <c r="Q440" s="613"/>
      <c r="R440" s="566" t="s">
        <v>4158</v>
      </c>
      <c r="S440" s="613"/>
      <c r="T440" s="613"/>
      <c r="U440" s="559" t="str">
        <f>IFERROR(VLOOKUP(M440,'02. MM-KLH'!$B$6:$T$823,5,0),"")</f>
        <v>ĐQSD</v>
      </c>
      <c r="V440" s="523" t="str">
        <f>IFERROR(VLOOKUP(M440,'02. MM-KLH'!$B$6:$T$823,8,0),"")</f>
        <v>Phòng GNVC</v>
      </c>
      <c r="W440" s="559" t="str">
        <f>IFERROR(VLOOKUP(V440,'NS QUẢN LÝ CG'!$A$4:$D$36,2,0),"")</f>
        <v>Lâm Quốc Cường</v>
      </c>
      <c r="X440" s="559" t="str">
        <f>IFERROR(VLOOKUP(V440,'NS QUẢN LÝ CG'!$A$4:$D$36,4,0),"")</f>
        <v>Tổng kho KLH</v>
      </c>
      <c r="Y440" s="559" t="str">
        <f>IFERROR(VLOOKUP(V440,'NS QUẢN LÝ CG'!$A$4:$C$36,3,0),"")</f>
        <v>0384653979</v>
      </c>
      <c r="Z440" s="523" t="str">
        <f>IFERROR(VLOOKUP(M440,'02. MM-KLH'!$B$6:$T$823,3,0),"")</f>
        <v>ATT-A22-0260</v>
      </c>
      <c r="AA440" s="561" t="s">
        <v>4462</v>
      </c>
      <c r="AB440" s="523"/>
      <c r="AC440" s="523"/>
    </row>
    <row r="441">
      <c r="A441" s="523"/>
      <c r="B441" s="612" t="str">
        <f>IFERROR(VLOOKUP(M441,'02. MM-KLH'!$B$6:$T$823,6,0),"")</f>
        <v>Xe tải thùng FD140</v>
      </c>
      <c r="C441" s="566">
        <v>1.0</v>
      </c>
      <c r="D441" s="613" t="str">
        <f>IFERROR(VLOOKUP(M441,'02. MM-KLH'!$B$6:$T$823,16,0),"")</f>
        <v>FD140</v>
      </c>
      <c r="E441" s="561" t="s">
        <v>4158</v>
      </c>
      <c r="F441" s="613"/>
      <c r="G441" s="613"/>
      <c r="H441" s="613" t="str">
        <f>IFERROR(VLOOKUP(M441,'02. MM-KLH'!$B$6:$T$823,17,0),"")</f>
        <v>140HP</v>
      </c>
      <c r="I441" s="614">
        <f>IFERROR(VLOOKUP(M441,'02. MM-KLH'!$B$6:$U$823,20,0),"")</f>
        <v>0.3</v>
      </c>
      <c r="J441" s="612" t="str">
        <f>IFERROR(VLOOKUP(M441,'02. MM-KLH'!$B$6:$T$823,19,0),"")</f>
        <v>YC4D140-48D59M1M00527</v>
      </c>
      <c r="K441" s="612" t="str">
        <f>IFERROR(VLOOKUP(M441,'02. MM-KLH'!$B$6:$T$823,18,0),"")</f>
        <v>RNHF14FYAMT052030</v>
      </c>
      <c r="L441" s="613" t="str">
        <f>IFERROR(VLOOKUP(M441,'02. MM-KLH'!$B$6:$T$823,4,0),"")</f>
        <v/>
      </c>
      <c r="M441" s="490" t="s">
        <v>2378</v>
      </c>
      <c r="N441" s="615">
        <f>IFERROR(VLOOKUP(M441,'02. MM-KLH'!$B$6:$T$823,15,0),"")</f>
        <v>2021</v>
      </c>
      <c r="O441" s="616">
        <f>IFERROR(VLOOKUP(M441,'02. MM-KLH'!$B$6:$T$823,9,0),"")</f>
        <v>44564</v>
      </c>
      <c r="P441" s="566">
        <v>114293.0</v>
      </c>
      <c r="Q441" s="613"/>
      <c r="R441" s="566" t="s">
        <v>4158</v>
      </c>
      <c r="S441" s="613"/>
      <c r="T441" s="613"/>
      <c r="U441" s="559" t="str">
        <f>IFERROR(VLOOKUP(M441,'02. MM-KLH'!$B$6:$T$823,5,0),"")</f>
        <v>ĐQSD</v>
      </c>
      <c r="V441" s="523" t="str">
        <f>IFERROR(VLOOKUP(M441,'02. MM-KLH'!$B$6:$T$823,8,0),"")</f>
        <v>Phòng GNVC</v>
      </c>
      <c r="W441" s="559" t="str">
        <f>IFERROR(VLOOKUP(V441,'NS QUẢN LÝ CG'!$A$4:$D$36,2,0),"")</f>
        <v>Lâm Quốc Cường</v>
      </c>
      <c r="X441" s="559" t="str">
        <f>IFERROR(VLOOKUP(V441,'NS QUẢN LÝ CG'!$A$4:$D$36,4,0),"")</f>
        <v>Tổng kho KLH</v>
      </c>
      <c r="Y441" s="559" t="str">
        <f>IFERROR(VLOOKUP(V441,'NS QUẢN LÝ CG'!$A$4:$C$36,3,0),"")</f>
        <v>0384653979</v>
      </c>
      <c r="Z441" s="523" t="str">
        <f>IFERROR(VLOOKUP(M441,'02. MM-KLH'!$B$6:$T$823,3,0),"")</f>
        <v>ATT-A22-0261</v>
      </c>
      <c r="AA441" s="561" t="s">
        <v>4462</v>
      </c>
      <c r="AB441" s="523"/>
      <c r="AC441" s="523"/>
    </row>
    <row r="442">
      <c r="A442" s="523"/>
      <c r="B442" s="612" t="str">
        <f>IFERROR(VLOOKUP(M442,'02. MM-KLH'!$B$6:$T$823,6,0),"")</f>
        <v>Xe tải thùng FD140</v>
      </c>
      <c r="C442" s="566">
        <v>1.0</v>
      </c>
      <c r="D442" s="613" t="str">
        <f>IFERROR(VLOOKUP(M442,'02. MM-KLH'!$B$6:$T$823,16,0),"")</f>
        <v>FD140</v>
      </c>
      <c r="E442" s="561" t="s">
        <v>4158</v>
      </c>
      <c r="F442" s="613"/>
      <c r="G442" s="613"/>
      <c r="H442" s="613" t="str">
        <f>IFERROR(VLOOKUP(M442,'02. MM-KLH'!$B$6:$T$823,17,0),"")</f>
        <v>140HP</v>
      </c>
      <c r="I442" s="614">
        <f>IFERROR(VLOOKUP(M442,'02. MM-KLH'!$B$6:$U$823,20,0),"")</f>
        <v>0.3</v>
      </c>
      <c r="J442" s="612" t="str">
        <f>IFERROR(VLOOKUP(M442,'02. MM-KLH'!$B$6:$T$823,19,0),"")</f>
        <v>CCN</v>
      </c>
      <c r="K442" s="612">
        <f>IFERROR(VLOOKUP(M442,'02. MM-KLH'!$B$6:$T$823,18,0),"")</f>
        <v>49595</v>
      </c>
      <c r="L442" s="613" t="str">
        <f>IFERROR(VLOOKUP(M442,'02. MM-KLH'!$B$6:$T$823,4,0),"")</f>
        <v/>
      </c>
      <c r="M442" s="490" t="s">
        <v>2381</v>
      </c>
      <c r="N442" s="615">
        <f>IFERROR(VLOOKUP(M442,'02. MM-KLH'!$B$6:$T$823,15,0),"")</f>
        <v>2021</v>
      </c>
      <c r="O442" s="616">
        <f>IFERROR(VLOOKUP(M442,'02. MM-KLH'!$B$6:$T$823,9,0),"")</f>
        <v>44570</v>
      </c>
      <c r="P442" s="566">
        <v>99256.0</v>
      </c>
      <c r="Q442" s="613"/>
      <c r="R442" s="566" t="s">
        <v>4158</v>
      </c>
      <c r="S442" s="613"/>
      <c r="T442" s="613"/>
      <c r="U442" s="559" t="str">
        <f>IFERROR(VLOOKUP(M442,'02. MM-KLH'!$B$6:$T$823,5,0),"")</f>
        <v>ĐQSD</v>
      </c>
      <c r="V442" s="523" t="str">
        <f>IFERROR(VLOOKUP(M442,'02. MM-KLH'!$B$6:$T$823,8,0),"")</f>
        <v>Phòng GNVC</v>
      </c>
      <c r="W442" s="559" t="str">
        <f>IFERROR(VLOOKUP(V442,'NS QUẢN LÝ CG'!$A$4:$D$36,2,0),"")</f>
        <v>Lâm Quốc Cường</v>
      </c>
      <c r="X442" s="559" t="str">
        <f>IFERROR(VLOOKUP(V442,'NS QUẢN LÝ CG'!$A$4:$D$36,4,0),"")</f>
        <v>Tổng kho KLH</v>
      </c>
      <c r="Y442" s="559" t="str">
        <f>IFERROR(VLOOKUP(V442,'NS QUẢN LÝ CG'!$A$4:$C$36,3,0),"")</f>
        <v>0384653979</v>
      </c>
      <c r="Z442" s="523" t="str">
        <f>IFERROR(VLOOKUP(M442,'02. MM-KLH'!$B$6:$T$823,3,0),"")</f>
        <v>ATT-A23-0045</v>
      </c>
      <c r="AA442" s="561" t="s">
        <v>4312</v>
      </c>
      <c r="AB442" s="523"/>
      <c r="AC442" s="523"/>
    </row>
    <row r="443">
      <c r="A443" s="523"/>
      <c r="B443" s="612" t="str">
        <f>IFERROR(VLOOKUP(M443,'02. MM-KLH'!$B$6:$T$823,6,0),"")</f>
        <v>Xe tải thùng FC150</v>
      </c>
      <c r="C443" s="566">
        <v>1.0</v>
      </c>
      <c r="D443" s="613" t="str">
        <f>IFERROR(VLOOKUP(M443,'02. MM-KLH'!$B$6:$T$823,16,0),"")</f>
        <v>FC150-4WD</v>
      </c>
      <c r="E443" s="561" t="s">
        <v>4158</v>
      </c>
      <c r="F443" s="613"/>
      <c r="G443" s="613"/>
      <c r="H443" s="613" t="str">
        <f>IFERROR(VLOOKUP(M443,'02. MM-KLH'!$B$6:$T$823,17,0),"")</f>
        <v>147HP</v>
      </c>
      <c r="I443" s="614">
        <f>IFERROR(VLOOKUP(M443,'02. MM-KLH'!$B$6:$U$823,20,0),"")</f>
        <v>0.5</v>
      </c>
      <c r="J443" s="612" t="str">
        <f>IFERROR(VLOOKUP(M443,'02. MM-KLH'!$B$6:$T$823,19,0),"")</f>
        <v>D59M1N01082</v>
      </c>
      <c r="K443" s="612" t="str">
        <f>IFERROR(VLOOKUP(M443,'02. MM-KLH'!$B$6:$T$823,18,0),"")</f>
        <v>RNHF16FYBRT077509</v>
      </c>
      <c r="L443" s="613" t="str">
        <f>IFERROR(VLOOKUP(M443,'02. MM-KLH'!$B$6:$T$823,4,0),"")</f>
        <v>3A-6805</v>
      </c>
      <c r="M443" s="488" t="s">
        <v>2175</v>
      </c>
      <c r="N443" s="615">
        <f>IFERROR(VLOOKUP(M443,'02. MM-KLH'!$B$6:$T$823,15,0),"")</f>
        <v>2024</v>
      </c>
      <c r="O443" s="616">
        <f>IFERROR(VLOOKUP(M443,'02. MM-KLH'!$B$6:$T$823,9,0),"")</f>
        <v>45636</v>
      </c>
      <c r="P443" s="774">
        <v>40685.0</v>
      </c>
      <c r="Q443" s="613"/>
      <c r="R443" s="566" t="s">
        <v>4158</v>
      </c>
      <c r="S443" s="613"/>
      <c r="T443" s="613"/>
      <c r="U443" s="559" t="str">
        <f>IFERROR(VLOOKUP(M443,'02. MM-KLH'!$B$6:$T$823,5,0),"")</f>
        <v>MỚI</v>
      </c>
      <c r="V443" s="523" t="str">
        <f>IFERROR(VLOOKUP(M443,'02. MM-KLH'!$B$6:$T$823,8,0),"")</f>
        <v>XN Bò AD</v>
      </c>
      <c r="W443" s="559" t="str">
        <f>IFERROR(VLOOKUP(V443,'NS QUẢN LÝ CG'!$A$4:$D$36,2,0),"")</f>
        <v>Trần Văn Nam</v>
      </c>
      <c r="X443" s="559" t="str">
        <f>IFERROR(VLOOKUP(V443,'NS QUẢN LÝ CG'!$A$4:$D$36,4,0),"")</f>
        <v>Lô 28 XN Bò</v>
      </c>
      <c r="Y443" s="559" t="str">
        <f>IFERROR(VLOOKUP(V443,'NS QUẢN LÝ CG'!$A$4:$C$36,3,0),"")</f>
        <v>0971993540</v>
      </c>
      <c r="Z443" s="523" t="str">
        <f>IFERROR(VLOOKUP(M443,'02. MM-KLH'!$B$6:$T$823,3,0),"")</f>
        <v>A22-XTA-006</v>
      </c>
      <c r="AA443" s="559" t="str">
        <f>SWITCH(LEFT(Z443,3),"A22","ADM","A23","DP","A24","LP","")</f>
        <v>ADM</v>
      </c>
      <c r="AB443" s="523"/>
      <c r="AC443" s="523"/>
    </row>
    <row r="444">
      <c r="A444" s="523"/>
      <c r="B444" s="612" t="str">
        <f>IFERROR(VLOOKUP(M444,'02. MM-KLH'!$B$6:$T$823,6,0),"")</f>
        <v>Xe tải thùng FD140</v>
      </c>
      <c r="C444" s="566">
        <v>1.0</v>
      </c>
      <c r="D444" s="613" t="str">
        <f>IFERROR(VLOOKUP(M444,'02. MM-KLH'!$B$6:$T$823,16,0),"")</f>
        <v>FD140-4WD</v>
      </c>
      <c r="E444" s="561" t="s">
        <v>4158</v>
      </c>
      <c r="F444" s="613"/>
      <c r="G444" s="613"/>
      <c r="H444" s="613" t="str">
        <f>IFERROR(VLOOKUP(M444,'02. MM-KLH'!$B$6:$T$823,17,0),"")</f>
        <v>140HP</v>
      </c>
      <c r="I444" s="614">
        <f>IFERROR(VLOOKUP(M444,'02. MM-KLH'!$B$6:$U$823,20,0),"")</f>
        <v>0.3</v>
      </c>
      <c r="J444" s="612" t="str">
        <f>IFERROR(VLOOKUP(M444,'02. MM-KLH'!$B$6:$T$823,19,0),"")</f>
        <v>YC4D140-48D59M1M00546</v>
      </c>
      <c r="K444" s="612" t="str">
        <f>IFERROR(VLOOKUP(M444,'02. MM-KLH'!$B$6:$T$823,18,0),"")</f>
        <v>RNHF14FYAMT052027</v>
      </c>
      <c r="L444" s="613" t="str">
        <f>IFERROR(VLOOKUP(M444,'02. MM-KLH'!$B$6:$T$823,4,0),"")</f>
        <v/>
      </c>
      <c r="M444" s="488" t="s">
        <v>2168</v>
      </c>
      <c r="N444" s="615">
        <f>IFERROR(VLOOKUP(M444,'02. MM-KLH'!$B$6:$T$823,15,0),"")</f>
        <v>2021</v>
      </c>
      <c r="O444" s="616">
        <f>IFERROR(VLOOKUP(M444,'02. MM-KLH'!$B$6:$T$823,9,0),"")</f>
        <v>44564</v>
      </c>
      <c r="P444" s="774">
        <v>90246.0</v>
      </c>
      <c r="Q444" s="613"/>
      <c r="R444" s="566" t="s">
        <v>4158</v>
      </c>
      <c r="S444" s="613"/>
      <c r="T444" s="613"/>
      <c r="U444" s="559" t="str">
        <f>IFERROR(VLOOKUP(M444,'02. MM-KLH'!$B$6:$T$823,5,0),"")</f>
        <v>ĐQSD</v>
      </c>
      <c r="V444" s="523" t="str">
        <f>IFERROR(VLOOKUP(M444,'02. MM-KLH'!$B$6:$T$823,8,0),"")</f>
        <v>XN Bò AD</v>
      </c>
      <c r="W444" s="559" t="str">
        <f>IFERROR(VLOOKUP(V444,'NS QUẢN LÝ CG'!$A$4:$D$36,2,0),"")</f>
        <v>Trần Văn Nam</v>
      </c>
      <c r="X444" s="559" t="str">
        <f>IFERROR(VLOOKUP(V444,'NS QUẢN LÝ CG'!$A$4:$D$36,4,0),"")</f>
        <v>Lô 28 XN Bò</v>
      </c>
      <c r="Y444" s="559" t="str">
        <f>IFERROR(VLOOKUP(V444,'NS QUẢN LÝ CG'!$A$4:$C$36,3,0),"")</f>
        <v>0971993540</v>
      </c>
      <c r="Z444" s="523" t="str">
        <f>IFERROR(VLOOKUP(M444,'02. MM-KLH'!$B$6:$T$823,3,0),"")</f>
        <v>ATT-A22-0258</v>
      </c>
      <c r="AA444" s="561" t="s">
        <v>4462</v>
      </c>
      <c r="AB444" s="523"/>
      <c r="AC444" s="523"/>
    </row>
    <row r="445">
      <c r="A445" s="523"/>
      <c r="B445" s="612" t="str">
        <f>IFERROR(VLOOKUP(M445,'02. MM-KLH'!$B$6:$T$823,6,0),"")</f>
        <v>Xe tải Forland FD140</v>
      </c>
      <c r="C445" s="566">
        <v>1.0</v>
      </c>
      <c r="D445" s="613" t="str">
        <f>IFERROR(VLOOKUP(M445,'02. MM-KLH'!$B$6:$T$823,16,0),"")</f>
        <v>FD140</v>
      </c>
      <c r="E445" s="561" t="s">
        <v>4158</v>
      </c>
      <c r="F445" s="613"/>
      <c r="G445" s="613"/>
      <c r="H445" s="613" t="str">
        <f>IFERROR(VLOOKUP(M445,'02. MM-KLH'!$B$6:$T$823,17,0),"")</f>
        <v>140HP</v>
      </c>
      <c r="I445" s="614" t="str">
        <f>IFERROR(VLOOKUP(M445,'02. MM-KLH'!$B$6:$U$823,20,0),"")</f>
        <v/>
      </c>
      <c r="J445" s="612" t="str">
        <f>IFERROR(VLOOKUP(M445,'02. MM-KLH'!$B$6:$T$823,19,0),"")</f>
        <v>CCN</v>
      </c>
      <c r="K445" s="612" t="str">
        <f>IFERROR(VLOOKUP(M445,'02. MM-KLH'!$B$6:$T$823,18,0),"")</f>
        <v>RNHF14YALT022435</v>
      </c>
      <c r="L445" s="613" t="str">
        <f>IFERROR(VLOOKUP(M445,'02. MM-KLH'!$B$6:$T$823,4,0),"")</f>
        <v/>
      </c>
      <c r="M445" s="488" t="s">
        <v>2792</v>
      </c>
      <c r="N445" s="615" t="str">
        <f>IFERROR(VLOOKUP(M445,'02. MM-KLH'!$B$6:$T$823,15,0),"")</f>
        <v/>
      </c>
      <c r="O445" s="616" t="str">
        <f>IFERROR(VLOOKUP(M445,'02. MM-KLH'!$B$6:$T$823,9,0),"")</f>
        <v>Đã qua sử dụng</v>
      </c>
      <c r="P445" s="613"/>
      <c r="Q445" s="613"/>
      <c r="R445" s="566" t="s">
        <v>4158</v>
      </c>
      <c r="S445" s="613"/>
      <c r="T445" s="613"/>
      <c r="U445" s="559" t="str">
        <f>IFERROR(VLOOKUP(M445,'02. MM-KLH'!$B$6:$T$823,5,0),"")</f>
        <v>ĐQSD</v>
      </c>
      <c r="V445" s="523" t="str">
        <f>IFERROR(VLOOKUP(M445,'02. MM-KLH'!$B$6:$T$823,8,0),"")</f>
        <v>Thadicons A&amp;I</v>
      </c>
      <c r="W445" s="559" t="str">
        <f>IFERROR(VLOOKUP(V445,'NS QUẢN LÝ CG'!$A$4:$D$36,2,0),"")</f>
        <v/>
      </c>
      <c r="X445" s="559" t="str">
        <f>IFERROR(VLOOKUP(V445,'NS QUẢN LÝ CG'!$A$4:$D$36,4,0),"")</f>
        <v/>
      </c>
      <c r="Y445" s="559" t="str">
        <f>IFERROR(VLOOKUP(V445,'NS QUẢN LÝ CG'!$A$4:$C$36,3,0),"")</f>
        <v/>
      </c>
      <c r="Z445" s="523" t="str">
        <f>IFERROR(VLOOKUP(M445,'02. MM-KLH'!$B$6:$T$823,3,0),"")</f>
        <v>-</v>
      </c>
      <c r="AA445" s="613"/>
      <c r="AB445" s="523"/>
      <c r="AC445" s="523"/>
    </row>
    <row r="446">
      <c r="A446" s="523"/>
      <c r="B446" s="612"/>
      <c r="C446" s="566"/>
      <c r="D446" s="613"/>
      <c r="E446" s="613"/>
      <c r="F446" s="613"/>
      <c r="G446" s="613"/>
      <c r="H446" s="613"/>
      <c r="I446" s="614"/>
      <c r="J446" s="612"/>
      <c r="K446" s="612"/>
      <c r="L446" s="613"/>
      <c r="M446" s="488"/>
      <c r="N446" s="615"/>
      <c r="O446" s="616"/>
      <c r="P446" s="613"/>
      <c r="Q446" s="613"/>
      <c r="R446" s="613"/>
      <c r="S446" s="613"/>
      <c r="T446" s="613"/>
      <c r="U446" s="613"/>
      <c r="V446" s="523"/>
      <c r="W446" s="559" t="str">
        <f>IFERROR(VLOOKUP(V446,'NS QUẢN LÝ CG'!$A$4:$D$36,2,0),"")</f>
        <v/>
      </c>
      <c r="X446" s="559" t="str">
        <f>IFERROR(VLOOKUP(V446,'NS QUẢN LÝ CG'!$A$4:$D$36,4,0),"")</f>
        <v/>
      </c>
      <c r="Y446" s="613"/>
      <c r="Z446" s="523"/>
      <c r="AA446" s="613"/>
      <c r="AB446" s="523"/>
      <c r="AC446" s="523"/>
    </row>
    <row r="447">
      <c r="A447" s="695">
        <v>2.0</v>
      </c>
      <c r="B447" s="696" t="s">
        <v>147</v>
      </c>
      <c r="C447" s="697">
        <f>COUNTA(B448:B452)</f>
        <v>3</v>
      </c>
      <c r="D447" s="698" t="str">
        <f>IFERROR(VLOOKUP(M447,'02. MM-KLH'!$B$6:$T$823,16,0),"")</f>
        <v/>
      </c>
      <c r="E447" s="698"/>
      <c r="F447" s="698"/>
      <c r="G447" s="698"/>
      <c r="H447" s="558" t="str">
        <f>IFERROR(VLOOKUP(M447,'02. MM-KLH'!$B$6:$T$823,17,0),"")</f>
        <v/>
      </c>
      <c r="I447" s="558" t="str">
        <f>IFERROR(VLOOKUP(M447,'02. MM-KLH'!$B$6:$U$823,20,0),"")</f>
        <v/>
      </c>
      <c r="J447" s="699" t="str">
        <f>IFERROR(VLOOKUP(M447,'02. MM-KLH'!$B$6:$T$823,19,0),"")</f>
        <v/>
      </c>
      <c r="K447" s="699" t="str">
        <f>IFERROR(VLOOKUP(M447,'02. MM-KLH'!$B$6:$T$823,18,0),"")</f>
        <v/>
      </c>
      <c r="L447" s="698" t="str">
        <f>IFERROR(VLOOKUP(M447,'02. MM-KLH'!$B$6:$T$823,4,0),"")</f>
        <v/>
      </c>
      <c r="M447" s="700"/>
      <c r="N447" s="698" t="str">
        <f>IFERROR(VLOOKUP(M447,'02. MM-KLH'!$B$6:$T$823,15,0),"")</f>
        <v/>
      </c>
      <c r="O447" s="701" t="str">
        <f>IFERROR(VLOOKUP(M447,'02. MM-KLH'!$B$6:$T$823,9,0),"")</f>
        <v/>
      </c>
      <c r="P447" s="698"/>
      <c r="Q447" s="698"/>
      <c r="R447" s="698"/>
      <c r="S447" s="698"/>
      <c r="T447" s="698"/>
      <c r="U447" s="698" t="str">
        <f>IFERROR(VLOOKUP(M447,'02. MM-KLH'!$B$6:$T$823,2,0),"")</f>
        <v/>
      </c>
      <c r="V447" s="558" t="str">
        <f>IFERROR(VLOOKUP(M447,'02. MM-KLH'!$B$6:$T$823,8,0),"")</f>
        <v/>
      </c>
      <c r="W447" s="698"/>
      <c r="X447" s="698"/>
      <c r="Y447" s="698"/>
      <c r="Z447" s="558" t="str">
        <f>IFERROR(VLOOKUP(M447,'02. MM-KLH'!$B$6:$T$823,3,0),"")</f>
        <v/>
      </c>
      <c r="AA447" s="698"/>
      <c r="AB447" s="558"/>
      <c r="AC447" s="558"/>
    </row>
    <row r="448">
      <c r="A448" s="523"/>
      <c r="B448" s="612" t="str">
        <f>IFERROR(VLOOKUP(M448,'02. MM-KLH'!$B$6:$T$823,6,0),"")</f>
        <v>Xe tải thùng Auman C160</v>
      </c>
      <c r="C448" s="566">
        <v>1.0</v>
      </c>
      <c r="D448" s="613" t="str">
        <f>IFERROR(VLOOKUP(M448,'02. MM-KLH'!$B$6:$T$823,16,0),"")</f>
        <v>C160</v>
      </c>
      <c r="E448" s="561" t="s">
        <v>4158</v>
      </c>
      <c r="F448" s="613"/>
      <c r="G448" s="613"/>
      <c r="H448" s="613" t="str">
        <f>IFERROR(VLOOKUP(M448,'02. MM-KLH'!$B$6:$T$823,17,0),"")</f>
        <v>96HP</v>
      </c>
      <c r="I448" s="614">
        <f>IFERROR(VLOOKUP(M448,'02. MM-KLH'!$B$6:$U$823,20,0),"")</f>
        <v>0.3</v>
      </c>
      <c r="J448" s="612">
        <f>IFERROR(VLOOKUP(M448,'02. MM-KLH'!$B$6:$T$823,19,0),"")</f>
        <v>495027</v>
      </c>
      <c r="K448" s="612">
        <f>IFERROR(VLOOKUP(M448,'02. MM-KLH'!$B$6:$T$823,18,0),"")</f>
        <v>6005</v>
      </c>
      <c r="L448" s="613" t="str">
        <f>IFERROR(VLOOKUP(M448,'02. MM-KLH'!$B$6:$T$823,4,0),"")</f>
        <v>3A-0813</v>
      </c>
      <c r="M448" s="488" t="s">
        <v>2357</v>
      </c>
      <c r="N448" s="615">
        <f>IFERROR(VLOOKUP(M448,'02. MM-KLH'!$B$6:$T$823,15,0),"")</f>
        <v>2012</v>
      </c>
      <c r="O448" s="616">
        <f>IFERROR(VLOOKUP(M448,'02. MM-KLH'!$B$6:$T$823,9,0),"")</f>
        <v>43835</v>
      </c>
      <c r="P448" s="566">
        <v>179078.0</v>
      </c>
      <c r="Q448" s="613"/>
      <c r="R448" s="566" t="s">
        <v>4158</v>
      </c>
      <c r="S448" s="613"/>
      <c r="T448" s="613"/>
      <c r="U448" s="559" t="str">
        <f>IFERROR(VLOOKUP(M448,'02. MM-KLH'!$B$6:$T$823,5,0),"")</f>
        <v>ĐQSD</v>
      </c>
      <c r="V448" s="523" t="str">
        <f>IFERROR(VLOOKUP(M448,'02. MM-KLH'!$B$6:$T$823,8,0),"")</f>
        <v>Phòng GNVC</v>
      </c>
      <c r="W448" s="559" t="str">
        <f>IFERROR(VLOOKUP(V448,'NS QUẢN LÝ CG'!$A$4:$D$36,2,0),"")</f>
        <v>Lâm Quốc Cường</v>
      </c>
      <c r="X448" s="559" t="str">
        <f>IFERROR(VLOOKUP(V448,'NS QUẢN LÝ CG'!$A$4:$D$36,4,0),"")</f>
        <v>Tổng kho KLH</v>
      </c>
      <c r="Y448" s="559" t="str">
        <f>IFERROR(VLOOKUP(V448,'NS QUẢN LÝ CG'!$A$4:$C$36,3,0),"")</f>
        <v>0384653979</v>
      </c>
      <c r="Z448" s="523" t="str">
        <f>IFERROR(VLOOKUP(M448,'02. MM-KLH'!$B$6:$T$823,3,0),"")</f>
        <v>ATT-A23-0023</v>
      </c>
      <c r="AA448" s="561" t="s">
        <v>4312</v>
      </c>
      <c r="AB448" s="523"/>
      <c r="AC448" s="523"/>
    </row>
    <row r="449">
      <c r="A449" s="523"/>
      <c r="B449" s="612" t="str">
        <f>IFERROR(VLOOKUP(M449,'02. MM-KLH'!$B$6:$T$823,6,0),"")</f>
        <v>Xe tải thùng Auman C160</v>
      </c>
      <c r="C449" s="566">
        <v>1.0</v>
      </c>
      <c r="D449" s="613" t="str">
        <f>IFERROR(VLOOKUP(M449,'02. MM-KLH'!$B$6:$T$823,16,0),"")</f>
        <v>C160</v>
      </c>
      <c r="E449" s="561" t="s">
        <v>4158</v>
      </c>
      <c r="F449" s="613"/>
      <c r="G449" s="613"/>
      <c r="H449" s="613" t="str">
        <f>IFERROR(VLOOKUP(M449,'02. MM-KLH'!$B$6:$T$823,17,0),"")</f>
        <v>96HP</v>
      </c>
      <c r="I449" s="614">
        <f>IFERROR(VLOOKUP(M449,'02. MM-KLH'!$B$6:$U$823,20,0),"")</f>
        <v>0.3</v>
      </c>
      <c r="J449" s="612" t="str">
        <f>IFERROR(VLOOKUP(M449,'02. MM-KLH'!$B$6:$T$823,19,0),"")</f>
        <v>CCN</v>
      </c>
      <c r="K449" s="612" t="str">
        <f>IFERROR(VLOOKUP(M449,'02. MM-KLH'!$B$6:$T$823,18,0),"")</f>
        <v>C006006</v>
      </c>
      <c r="L449" s="613" t="str">
        <f>IFERROR(VLOOKUP(M449,'02. MM-KLH'!$B$6:$T$823,4,0),"")</f>
        <v>3F-2956</v>
      </c>
      <c r="M449" s="490" t="s">
        <v>2362</v>
      </c>
      <c r="N449" s="615">
        <f>IFERROR(VLOOKUP(M449,'02. MM-KLH'!$B$6:$T$823,15,0),"")</f>
        <v>2012</v>
      </c>
      <c r="O449" s="616" t="str">
        <f>IFERROR(VLOOKUP(M449,'02. MM-KLH'!$B$6:$T$823,9,0),"")</f>
        <v/>
      </c>
      <c r="P449" s="566">
        <v>5090.0</v>
      </c>
      <c r="Q449" s="613"/>
      <c r="R449" s="566" t="s">
        <v>4158</v>
      </c>
      <c r="S449" s="613"/>
      <c r="T449" s="613"/>
      <c r="U449" s="559" t="str">
        <f>IFERROR(VLOOKUP(M449,'02. MM-KLH'!$B$6:$T$823,5,0),"")</f>
        <v>ĐQSD</v>
      </c>
      <c r="V449" s="523" t="str">
        <f>IFERROR(VLOOKUP(M449,'02. MM-KLH'!$B$6:$T$823,8,0),"")</f>
        <v>Phòng GNVC</v>
      </c>
      <c r="W449" s="559" t="str">
        <f>IFERROR(VLOOKUP(V449,'NS QUẢN LÝ CG'!$A$4:$D$36,2,0),"")</f>
        <v>Lâm Quốc Cường</v>
      </c>
      <c r="X449" s="559" t="str">
        <f>IFERROR(VLOOKUP(V449,'NS QUẢN LÝ CG'!$A$4:$D$36,4,0),"")</f>
        <v>Tổng kho KLH</v>
      </c>
      <c r="Y449" s="559" t="str">
        <f>IFERROR(VLOOKUP(V449,'NS QUẢN LÝ CG'!$A$4:$C$36,3,0),"")</f>
        <v>0384653979</v>
      </c>
      <c r="Z449" s="523" t="str">
        <f>IFERROR(VLOOKUP(M449,'02. MM-KLH'!$B$6:$T$823,3,0),"")</f>
        <v>A23-XTA-013</v>
      </c>
      <c r="AA449" s="559" t="str">
        <f>SWITCH(LEFT(Z449,3),"A22","ADM","A23","DP","A24","LP","")</f>
        <v>DP</v>
      </c>
      <c r="AB449" s="523"/>
      <c r="AC449" s="523"/>
    </row>
    <row r="450">
      <c r="A450" s="523"/>
      <c r="B450" s="612" t="str">
        <f>IFERROR(VLOOKUP(M450,'02. MM-KLH'!$B$6:$T$823,6,0),"")</f>
        <v>Xe tải thùng Auman C160</v>
      </c>
      <c r="C450" s="566">
        <v>1.0</v>
      </c>
      <c r="D450" s="613" t="str">
        <f>IFERROR(VLOOKUP(M450,'02. MM-KLH'!$B$6:$T$823,16,0),"")</f>
        <v>C160</v>
      </c>
      <c r="E450" s="561" t="s">
        <v>4158</v>
      </c>
      <c r="F450" s="613"/>
      <c r="G450" s="613"/>
      <c r="H450" s="613" t="str">
        <f>IFERROR(VLOOKUP(M450,'02. MM-KLH'!$B$6:$T$823,17,0),"")</f>
        <v>96HP</v>
      </c>
      <c r="I450" s="614">
        <f>IFERROR(VLOOKUP(M450,'02. MM-KLH'!$B$6:$U$823,20,0),"")</f>
        <v>0.3</v>
      </c>
      <c r="J450" s="612" t="str">
        <f>IFERROR(VLOOKUP(M450,'02. MM-KLH'!$B$6:$T$823,19,0),"")</f>
        <v>CCN</v>
      </c>
      <c r="K450" s="612" t="str">
        <f>IFERROR(VLOOKUP(M450,'02. MM-KLH'!$B$6:$T$823,18,0),"")</f>
        <v>C006003</v>
      </c>
      <c r="L450" s="613" t="str">
        <f>IFERROR(VLOOKUP(M450,'02. MM-KLH'!$B$6:$T$823,4,0),"")</f>
        <v>3A-6603</v>
      </c>
      <c r="M450" s="490" t="s">
        <v>2366</v>
      </c>
      <c r="N450" s="615">
        <f>IFERROR(VLOOKUP(M450,'02. MM-KLH'!$B$6:$T$823,15,0),"")</f>
        <v>2012</v>
      </c>
      <c r="O450" s="616">
        <f>IFERROR(VLOOKUP(M450,'02. MM-KLH'!$B$6:$T$823,9,0),"")</f>
        <v>44114</v>
      </c>
      <c r="P450" s="566">
        <v>3999.0</v>
      </c>
      <c r="Q450" s="613"/>
      <c r="R450" s="566" t="s">
        <v>4158</v>
      </c>
      <c r="S450" s="613"/>
      <c r="T450" s="613"/>
      <c r="U450" s="559" t="str">
        <f>IFERROR(VLOOKUP(M450,'02. MM-KLH'!$B$6:$T$823,5,0),"")</f>
        <v>ĐQSD</v>
      </c>
      <c r="V450" s="523" t="str">
        <f>IFERROR(VLOOKUP(M450,'02. MM-KLH'!$B$6:$T$823,8,0),"")</f>
        <v>Phòng GNVC</v>
      </c>
      <c r="W450" s="559" t="str">
        <f>IFERROR(VLOOKUP(V450,'NS QUẢN LÝ CG'!$A$4:$D$36,2,0),"")</f>
        <v>Lâm Quốc Cường</v>
      </c>
      <c r="X450" s="559" t="str">
        <f>IFERROR(VLOOKUP(V450,'NS QUẢN LÝ CG'!$A$4:$D$36,4,0),"")</f>
        <v>Tổng kho KLH</v>
      </c>
      <c r="Y450" s="559" t="str">
        <f>IFERROR(VLOOKUP(V450,'NS QUẢN LÝ CG'!$A$4:$C$36,3,0),"")</f>
        <v>0384653979</v>
      </c>
      <c r="Z450" s="523" t="str">
        <f>IFERROR(VLOOKUP(M450,'02. MM-KLH'!$B$6:$T$823,3,0),"")</f>
        <v>ATT-A23-0040</v>
      </c>
      <c r="AA450" s="561" t="s">
        <v>4312</v>
      </c>
      <c r="AB450" s="523"/>
      <c r="AC450" s="523"/>
    </row>
    <row r="451">
      <c r="A451" s="523"/>
      <c r="B451" s="612"/>
      <c r="C451" s="566">
        <v>1.0</v>
      </c>
      <c r="D451" s="613"/>
      <c r="E451" s="613"/>
      <c r="F451" s="613"/>
      <c r="G451" s="613"/>
      <c r="H451" s="613"/>
      <c r="I451" s="614"/>
      <c r="J451" s="612"/>
      <c r="K451" s="612"/>
      <c r="L451" s="613"/>
      <c r="M451" s="490"/>
      <c r="N451" s="615"/>
      <c r="O451" s="616"/>
      <c r="P451" s="613"/>
      <c r="Q451" s="613"/>
      <c r="R451" s="613"/>
      <c r="S451" s="613"/>
      <c r="T451" s="613"/>
      <c r="U451" s="613"/>
      <c r="V451" s="523"/>
      <c r="W451" s="559" t="str">
        <f>IFERROR(VLOOKUP(V451,'NS QUẢN LÝ CG'!$A$4:$D$36,2,0),"")</f>
        <v/>
      </c>
      <c r="X451" s="559" t="str">
        <f>IFERROR(VLOOKUP(V451,'NS QUẢN LÝ CG'!$A$4:$D$36,4,0),"")</f>
        <v/>
      </c>
      <c r="Y451" s="613"/>
      <c r="Z451" s="523"/>
      <c r="AA451" s="613"/>
      <c r="AB451" s="523"/>
      <c r="AC451" s="523"/>
    </row>
    <row r="452">
      <c r="A452" s="523"/>
      <c r="B452" s="612"/>
      <c r="C452" s="566"/>
      <c r="D452" s="613"/>
      <c r="E452" s="613"/>
      <c r="F452" s="613"/>
      <c r="G452" s="613"/>
      <c r="H452" s="613"/>
      <c r="I452" s="614"/>
      <c r="J452" s="612"/>
      <c r="K452" s="612"/>
      <c r="L452" s="613"/>
      <c r="M452" s="490"/>
      <c r="N452" s="615"/>
      <c r="O452" s="616"/>
      <c r="P452" s="613"/>
      <c r="Q452" s="613"/>
      <c r="R452" s="613"/>
      <c r="S452" s="613"/>
      <c r="T452" s="613"/>
      <c r="U452" s="613"/>
      <c r="V452" s="523"/>
      <c r="W452" s="559" t="str">
        <f>IFERROR(VLOOKUP(V452,'NS QUẢN LÝ CG'!$A$4:$D$36,2,0),"")</f>
        <v/>
      </c>
      <c r="X452" s="559" t="str">
        <f>IFERROR(VLOOKUP(V452,'NS QUẢN LÝ CG'!$A$4:$D$36,4,0),"")</f>
        <v/>
      </c>
      <c r="Y452" s="613"/>
      <c r="Z452" s="523"/>
      <c r="AA452" s="613"/>
      <c r="AB452" s="523"/>
      <c r="AC452" s="523"/>
    </row>
    <row r="453">
      <c r="A453" s="695">
        <v>3.0</v>
      </c>
      <c r="B453" s="696" t="s">
        <v>661</v>
      </c>
      <c r="C453" s="697">
        <f>COUNTA(B454:B463)</f>
        <v>7</v>
      </c>
      <c r="D453" s="698" t="str">
        <f>IFERROR(VLOOKUP(M453,'02. MM-KLH'!$B$6:$T$823,16,0),"")</f>
        <v/>
      </c>
      <c r="E453" s="698"/>
      <c r="F453" s="698"/>
      <c r="G453" s="698"/>
      <c r="H453" s="558" t="str">
        <f>IFERROR(VLOOKUP(M453,'02. MM-KLH'!$B$6:$T$823,17,0),"")</f>
        <v/>
      </c>
      <c r="I453" s="558" t="str">
        <f>IFERROR(VLOOKUP(M453,'02. MM-KLH'!$B$6:$U$823,20,0),"")</f>
        <v/>
      </c>
      <c r="J453" s="699" t="str">
        <f>IFERROR(VLOOKUP(M453,'02. MM-KLH'!$B$6:$T$823,19,0),"")</f>
        <v/>
      </c>
      <c r="K453" s="699" t="str">
        <f>IFERROR(VLOOKUP(M453,'02. MM-KLH'!$B$6:$T$823,18,0),"")</f>
        <v/>
      </c>
      <c r="L453" s="698" t="str">
        <f>IFERROR(VLOOKUP(M453,'02. MM-KLH'!$B$6:$T$823,4,0),"")</f>
        <v/>
      </c>
      <c r="M453" s="700"/>
      <c r="N453" s="698" t="str">
        <f>IFERROR(VLOOKUP(M453,'02. MM-KLH'!$B$6:$T$823,15,0),"")</f>
        <v/>
      </c>
      <c r="O453" s="701" t="str">
        <f>IFERROR(VLOOKUP(M453,'02. MM-KLH'!$B$6:$T$823,9,0),"")</f>
        <v/>
      </c>
      <c r="P453" s="698"/>
      <c r="Q453" s="698"/>
      <c r="R453" s="698"/>
      <c r="S453" s="698"/>
      <c r="T453" s="698"/>
      <c r="U453" s="698" t="str">
        <f>IFERROR(VLOOKUP(M453,'02. MM-KLH'!$B$6:$T$823,2,0),"")</f>
        <v/>
      </c>
      <c r="V453" s="558" t="str">
        <f>IFERROR(VLOOKUP(M453,'02. MM-KLH'!$B$6:$T$823,8,0),"")</f>
        <v/>
      </c>
      <c r="W453" s="698"/>
      <c r="X453" s="698"/>
      <c r="Y453" s="698"/>
      <c r="Z453" s="558" t="str">
        <f>IFERROR(VLOOKUP(M453,'02. MM-KLH'!$B$6:$T$823,3,0),"")</f>
        <v/>
      </c>
      <c r="AA453" s="698"/>
      <c r="AB453" s="558"/>
      <c r="AC453" s="558"/>
    </row>
    <row r="454">
      <c r="A454" s="523"/>
      <c r="B454" s="612" t="str">
        <f>IFERROR(VLOOKUP(M454,'02. MM-KLH'!$B$6:$T$823,6,0),"")</f>
        <v>Xe tải THACO FRONTIER TF490</v>
      </c>
      <c r="C454" s="566">
        <v>1.0</v>
      </c>
      <c r="D454" s="613" t="str">
        <f>IFERROR(VLOOKUP(M454,'02. MM-KLH'!$B$6:$T$823,16,0),"")</f>
        <v>TF490</v>
      </c>
      <c r="E454" s="561" t="s">
        <v>4158</v>
      </c>
      <c r="F454" s="613"/>
      <c r="G454" s="613"/>
      <c r="H454" s="613" t="str">
        <f>IFERROR(VLOOKUP(M454,'02. MM-KLH'!$B$6:$T$823,17,0),"")</f>
        <v>107HP</v>
      </c>
      <c r="I454" s="614">
        <f>IFERROR(VLOOKUP(M454,'02. MM-KLH'!$B$6:$U$823,20,0),"")</f>
        <v>0.2</v>
      </c>
      <c r="J454" s="612" t="str">
        <f>IFERROR(VLOOKUP(M454,'02. MM-KLH'!$B$6:$T$823,19,0),"")</f>
        <v>JE493ZLQ4*37100377*</v>
      </c>
      <c r="K454" s="612" t="str">
        <f>IFERROR(VLOOKUP(M454,'02. MM-KLH'!$B$6:$T$823,18,0),"")</f>
        <v>RNHA49TZART082912</v>
      </c>
      <c r="L454" s="613" t="str">
        <f>IFERROR(VLOOKUP(M454,'02. MM-KLH'!$B$6:$T$823,4,0),"")</f>
        <v/>
      </c>
      <c r="M454" s="488" t="s">
        <v>655</v>
      </c>
      <c r="N454" s="615">
        <f>IFERROR(VLOOKUP(M454,'02. MM-KLH'!$B$6:$T$823,15,0),"")</f>
        <v>2024</v>
      </c>
      <c r="O454" s="616">
        <f>IFERROR(VLOOKUP(M454,'02. MM-KLH'!$B$6:$T$823,9,0),"")</f>
        <v>46266</v>
      </c>
      <c r="P454" s="566">
        <v>20226.0</v>
      </c>
      <c r="Q454" s="613"/>
      <c r="R454" s="566" t="s">
        <v>4158</v>
      </c>
      <c r="S454" s="613"/>
      <c r="T454" s="613"/>
      <c r="U454" s="559" t="str">
        <f>IFERROR(VLOOKUP(M454,'02. MM-KLH'!$B$6:$T$823,5,0),"")</f>
        <v>MỚI</v>
      </c>
      <c r="V454" s="523" t="str">
        <f>IFERROR(VLOOKUP(M454,'02. MM-KLH'!$B$6:$T$823,8,0),"")</f>
        <v>CGLĐ DP</v>
      </c>
      <c r="W454" s="559" t="str">
        <f>IFERROR(VLOOKUP(V454,'NS QUẢN LÝ CG'!$A$4:$D$36,2,0),"")</f>
        <v>Nguyễn Tấn Triều</v>
      </c>
      <c r="X454" s="559" t="str">
        <f>IFERROR(VLOOKUP(V454,'NS QUẢN LÝ CG'!$A$4:$D$36,4,0),"")</f>
        <v>Lô 85 DP4</v>
      </c>
      <c r="Y454" s="559" t="str">
        <f>IFERROR(VLOOKUP(V454,'NS QUẢN LÝ CG'!$A$4:$C$36,3,0),"")</f>
        <v>05974160290</v>
      </c>
      <c r="Z454" s="523" t="str">
        <f>IFERROR(VLOOKUP(M454,'02. MM-KLH'!$B$6:$T$823,3,0),"")</f>
        <v>A23-XTA-048</v>
      </c>
      <c r="AA454" s="559" t="str">
        <f t="shared" ref="AA454:AA458" si="30">SWITCH(LEFT(Z454,3),"A22","ADM","A23","DP","A24","LP","")</f>
        <v>DP</v>
      </c>
      <c r="AB454" s="523"/>
      <c r="AC454" s="523"/>
    </row>
    <row r="455">
      <c r="A455" s="523"/>
      <c r="B455" s="612" t="str">
        <f>IFERROR(VLOOKUP(M455,'02. MM-KLH'!$B$6:$T$823,6,0),"")</f>
        <v>Xe tải THACO FRONTIER TF490</v>
      </c>
      <c r="C455" s="566">
        <v>1.0</v>
      </c>
      <c r="D455" s="613" t="str">
        <f>IFERROR(VLOOKUP(M455,'02. MM-KLH'!$B$6:$T$823,16,0),"")</f>
        <v>TF490</v>
      </c>
      <c r="E455" s="561" t="s">
        <v>4158</v>
      </c>
      <c r="F455" s="613"/>
      <c r="G455" s="613"/>
      <c r="H455" s="613" t="str">
        <f>IFERROR(VLOOKUP(M455,'02. MM-KLH'!$B$6:$T$823,17,0),"")</f>
        <v>107HP</v>
      </c>
      <c r="I455" s="614">
        <f>IFERROR(VLOOKUP(M455,'02. MM-KLH'!$B$6:$U$823,20,0),"")</f>
        <v>0.2</v>
      </c>
      <c r="J455" s="612" t="str">
        <f>IFERROR(VLOOKUP(M455,'02. MM-KLH'!$B$6:$T$823,19,0),"")</f>
        <v>JE493ZLQ4*37100368*</v>
      </c>
      <c r="K455" s="612" t="str">
        <f>IFERROR(VLOOKUP(M455,'02. MM-KLH'!$B$6:$T$823,18,0),"")</f>
        <v>RNHA49TZART082919</v>
      </c>
      <c r="L455" s="613" t="str">
        <f>IFERROR(VLOOKUP(M455,'02. MM-KLH'!$B$6:$T$823,4,0),"")</f>
        <v/>
      </c>
      <c r="M455" s="488" t="s">
        <v>1058</v>
      </c>
      <c r="N455" s="615">
        <f>IFERROR(VLOOKUP(M455,'02. MM-KLH'!$B$6:$T$823,15,0),"")</f>
        <v>2024</v>
      </c>
      <c r="O455" s="616">
        <f>IFERROR(VLOOKUP(M455,'02. MM-KLH'!$B$6:$T$823,9,0),"")</f>
        <v>46143</v>
      </c>
      <c r="P455" s="566">
        <v>13836.0</v>
      </c>
      <c r="Q455" s="613"/>
      <c r="R455" s="566" t="s">
        <v>4158</v>
      </c>
      <c r="S455" s="613"/>
      <c r="T455" s="613"/>
      <c r="U455" s="559" t="str">
        <f>IFERROR(VLOOKUP(M455,'02. MM-KLH'!$B$6:$T$823,5,0),"")</f>
        <v> MỚI</v>
      </c>
      <c r="V455" s="523" t="str">
        <f>IFERROR(VLOOKUP(M455,'02. MM-KLH'!$B$6:$T$823,8,0),"")</f>
        <v>XN Chuối DP2</v>
      </c>
      <c r="W455" s="559" t="str">
        <f>IFERROR(VLOOKUP(V455,'NS QUẢN LÝ CG'!$A$4:$D$36,2,0),"")</f>
        <v>Huỳnh Quang Viên</v>
      </c>
      <c r="X455" s="559" t="str">
        <f>IFERROR(VLOOKUP(V455,'NS QUẢN LÝ CG'!$A$4:$D$36,4,0),"")</f>
        <v>Lô 15.6 DP2</v>
      </c>
      <c r="Y455" s="559" t="str">
        <f>IFERROR(VLOOKUP(V455,'NS QUẢN LÝ CG'!$A$4:$C$36,3,0),"")</f>
        <v>0977623379</v>
      </c>
      <c r="Z455" s="523" t="str">
        <f>IFERROR(VLOOKUP(M455,'02. MM-KLH'!$B$6:$T$823,3,0),"")</f>
        <v>A23-XTA-049</v>
      </c>
      <c r="AA455" s="559" t="str">
        <f t="shared" si="30"/>
        <v>DP</v>
      </c>
      <c r="AB455" s="523"/>
      <c r="AC455" s="523"/>
    </row>
    <row r="456">
      <c r="A456" s="523"/>
      <c r="B456" s="612" t="str">
        <f>IFERROR(VLOOKUP(M456,'02. MM-KLH'!$B$6:$T$823,6,0),"")</f>
        <v>Xe tải THACO FRONTIER TF700</v>
      </c>
      <c r="C456" s="566">
        <v>1.0</v>
      </c>
      <c r="D456" s="613" t="str">
        <f>IFERROR(VLOOKUP(M456,'02. MM-KLH'!$B$6:$T$823,16,0),"")</f>
        <v>TF700</v>
      </c>
      <c r="E456" s="561" t="s">
        <v>4158</v>
      </c>
      <c r="F456" s="613"/>
      <c r="G456" s="613"/>
      <c r="H456" s="613" t="str">
        <f>IFERROR(VLOOKUP(M456,'02. MM-KLH'!$B$6:$T$823,17,0),"")</f>
        <v>107HP</v>
      </c>
      <c r="I456" s="614">
        <f>IFERROR(VLOOKUP(M456,'02. MM-KLH'!$B$6:$U$823,20,0),"")</f>
        <v>0.2</v>
      </c>
      <c r="J456" s="612" t="str">
        <f>IFERROR(VLOOKUP(M456,'02. MM-KLH'!$B$6:$T$823,19,0),"")</f>
        <v>JE493ZLQ4*37100367*</v>
      </c>
      <c r="K456" s="612" t="str">
        <f>IFERROR(VLOOKUP(M456,'02. MM-KLH'!$B$6:$T$823,18,0),"")</f>
        <v>RNHA69TZAPT082910</v>
      </c>
      <c r="L456" s="613" t="str">
        <f>IFERROR(VLOOKUP(M456,'02. MM-KLH'!$B$6:$T$823,4,0),"")</f>
        <v/>
      </c>
      <c r="M456" s="488" t="s">
        <v>1325</v>
      </c>
      <c r="N456" s="615">
        <f>IFERROR(VLOOKUP(M456,'02. MM-KLH'!$B$6:$T$823,15,0),"")</f>
        <v>2024</v>
      </c>
      <c r="O456" s="616" t="str">
        <f>IFERROR(VLOOKUP(M456,'02. MM-KLH'!$B$6:$T$823,9,0),"")</f>
        <v>26/01/2026</v>
      </c>
      <c r="P456" s="566">
        <v>45508.0</v>
      </c>
      <c r="Q456" s="613"/>
      <c r="R456" s="566" t="s">
        <v>4158</v>
      </c>
      <c r="S456" s="613"/>
      <c r="T456" s="613"/>
      <c r="U456" s="559" t="str">
        <f>IFERROR(VLOOKUP(M456,'02. MM-KLH'!$B$6:$T$823,5,0),"")</f>
        <v>MỚI</v>
      </c>
      <c r="V456" s="523" t="str">
        <f>IFERROR(VLOOKUP(M456,'02. MM-KLH'!$B$6:$T$823,8,0),"")</f>
        <v>XN Chuối LP1</v>
      </c>
      <c r="W456" s="559" t="str">
        <f>IFERROR(VLOOKUP(V456,'NS QUẢN LÝ CG'!$A$4:$D$36,2,0),"")</f>
        <v>Nguyễn Ngọc Nhân</v>
      </c>
      <c r="X456" s="559" t="str">
        <f>IFERROR(VLOOKUP(V456,'NS QUẢN LÝ CG'!$A$4:$D$36,4,0),"")</f>
        <v>Lô 7 LP1</v>
      </c>
      <c r="Y456" s="559" t="str">
        <f>IFERROR(VLOOKUP(V456,'NS QUẢN LÝ CG'!$A$4:$C$36,3,0),"")</f>
        <v>0979578112</v>
      </c>
      <c r="Z456" s="523" t="str">
        <f>IFERROR(VLOOKUP(M456,'02. MM-KLH'!$B$6:$T$823,3,0),"")</f>
        <v>A24-XTA-038</v>
      </c>
      <c r="AA456" s="559" t="str">
        <f t="shared" si="30"/>
        <v>LP</v>
      </c>
      <c r="AB456" s="523"/>
      <c r="AC456" s="523"/>
    </row>
    <row r="457">
      <c r="A457" s="523"/>
      <c r="B457" s="612" t="str">
        <f>IFERROR(VLOOKUP(M457,'02. MM-KLH'!$B$6:$T$823,6,0),"")</f>
        <v>Xe tải THACO FRONTIER TF490</v>
      </c>
      <c r="C457" s="566">
        <v>1.0</v>
      </c>
      <c r="D457" s="613" t="str">
        <f>IFERROR(VLOOKUP(M457,'02. MM-KLH'!$B$6:$T$823,16,0),"")</f>
        <v>TF490</v>
      </c>
      <c r="E457" s="561" t="s">
        <v>4158</v>
      </c>
      <c r="F457" s="613"/>
      <c r="G457" s="613"/>
      <c r="H457" s="613" t="str">
        <f>IFERROR(VLOOKUP(M457,'02. MM-KLH'!$B$6:$T$823,17,0),"")</f>
        <v>107HP</v>
      </c>
      <c r="I457" s="614">
        <f>IFERROR(VLOOKUP(M457,'02. MM-KLH'!$B$6:$U$823,20,0),"")</f>
        <v>0.2</v>
      </c>
      <c r="J457" s="612" t="str">
        <f>IFERROR(VLOOKUP(M457,'02. MM-KLH'!$B$6:$T$823,19,0),"")</f>
        <v>JE493ZLQ4*37100378*</v>
      </c>
      <c r="K457" s="612" t="str">
        <f>IFERROR(VLOOKUP(M457,'02. MM-KLH'!$B$6:$T$823,18,0),"")</f>
        <v>RNHA49TZART082920</v>
      </c>
      <c r="L457" s="613" t="str">
        <f>IFERROR(VLOOKUP(M457,'02. MM-KLH'!$B$6:$T$823,4,0),"")</f>
        <v/>
      </c>
      <c r="M457" s="488" t="s">
        <v>1476</v>
      </c>
      <c r="N457" s="615">
        <f>IFERROR(VLOOKUP(M457,'02. MM-KLH'!$B$6:$T$823,15,0),"")</f>
        <v>2024</v>
      </c>
      <c r="O457" s="616">
        <f>IFERROR(VLOOKUP(M457,'02. MM-KLH'!$B$6:$T$823,9,0),"")</f>
        <v>46296</v>
      </c>
      <c r="P457" s="566" t="s">
        <v>1565</v>
      </c>
      <c r="Q457" s="566"/>
      <c r="R457" s="566" t="s">
        <v>4158</v>
      </c>
      <c r="S457" s="613"/>
      <c r="T457" s="613"/>
      <c r="U457" s="559" t="str">
        <f>IFERROR(VLOOKUP(M457,'02. MM-KLH'!$B$6:$T$823,5,0),"")</f>
        <v>MỚI</v>
      </c>
      <c r="V457" s="523" t="str">
        <f>IFERROR(VLOOKUP(M457,'02. MM-KLH'!$B$6:$T$823,8,0),"")</f>
        <v>XN Chuối LP3</v>
      </c>
      <c r="W457" s="559" t="str">
        <f>IFERROR(VLOOKUP(V457,'NS QUẢN LÝ CG'!$A$4:$D$36,2,0),"")</f>
        <v>Lê Cao Nghị</v>
      </c>
      <c r="X457" s="559" t="str">
        <f>IFERROR(VLOOKUP(V457,'NS QUẢN LÝ CG'!$A$4:$D$36,4,0),"")</f>
        <v>Lô 2 LP3</v>
      </c>
      <c r="Y457" s="559" t="str">
        <f>IFERROR(VLOOKUP(V457,'NS QUẢN LÝ CG'!$A$4:$C$36,3,0),"")</f>
        <v>0977423100</v>
      </c>
      <c r="Z457" s="523" t="str">
        <f>IFERROR(VLOOKUP(M457,'02. MM-KLH'!$B$6:$T$823,3,0),"")</f>
        <v>A24-XTA-037</v>
      </c>
      <c r="AA457" s="559" t="str">
        <f t="shared" si="30"/>
        <v>LP</v>
      </c>
      <c r="AB457" s="523"/>
      <c r="AC457" s="523"/>
    </row>
    <row r="458">
      <c r="A458" s="523"/>
      <c r="B458" s="612" t="str">
        <f>IFERROR(VLOOKUP(M458,'02. MM-KLH'!$B$6:$T$823,6,0),"")</f>
        <v>Xe tải THACO FRONTIER TF490</v>
      </c>
      <c r="C458" s="566">
        <v>1.0</v>
      </c>
      <c r="D458" s="613" t="str">
        <f>IFERROR(VLOOKUP(M458,'02. MM-KLH'!$B$6:$T$823,16,0),"")</f>
        <v>TF490</v>
      </c>
      <c r="E458" s="561" t="s">
        <v>4158</v>
      </c>
      <c r="F458" s="613"/>
      <c r="G458" s="613"/>
      <c r="H458" s="613" t="str">
        <f>IFERROR(VLOOKUP(M458,'02. MM-KLH'!$B$6:$T$823,17,0),"")</f>
        <v>107HP</v>
      </c>
      <c r="I458" s="614" t="str">
        <f>IFERROR(VLOOKUP(M458,'02. MM-KLH'!$B$6:$U$823,20,0),"")</f>
        <v/>
      </c>
      <c r="J458" s="612" t="str">
        <f>IFERROR(VLOOKUP(M458,'02. MM-KLH'!$B$6:$T$823,19,0),"")</f>
        <v>JE493ZLQ4*33102790*</v>
      </c>
      <c r="K458" s="612" t="str">
        <f>IFERROR(VLOOKUP(M458,'02. MM-KLH'!$B$6:$T$823,18,0),"")</f>
        <v>RNHA49TZART051060</v>
      </c>
      <c r="L458" s="613" t="str">
        <f>IFERROR(VLOOKUP(M458,'02. MM-KLH'!$B$6:$T$823,4,0),"")</f>
        <v/>
      </c>
      <c r="M458" s="488" t="s">
        <v>2781</v>
      </c>
      <c r="N458" s="615">
        <f>IFERROR(VLOOKUP(M458,'02. MM-KLH'!$B$6:$T$823,15,0),"")</f>
        <v>2024</v>
      </c>
      <c r="O458" s="616">
        <f>IFERROR(VLOOKUP(M458,'02. MM-KLH'!$B$6:$T$823,9,0),"")</f>
        <v>46114</v>
      </c>
      <c r="P458" s="566">
        <v>3071.0</v>
      </c>
      <c r="Q458" s="613"/>
      <c r="R458" s="566" t="s">
        <v>4158</v>
      </c>
      <c r="S458" s="613"/>
      <c r="T458" s="613"/>
      <c r="U458" s="559" t="str">
        <f>IFERROR(VLOOKUP(M458,'02. MM-KLH'!$B$6:$T$823,5,0),"")</f>
        <v>MỚI</v>
      </c>
      <c r="V458" s="523" t="str">
        <f>IFERROR(VLOOKUP(M458,'02. MM-KLH'!$B$6:$T$823,8,0),"")</f>
        <v>HÀNH CHÍNH KLH</v>
      </c>
      <c r="W458" s="559" t="str">
        <f>IFERROR(VLOOKUP(V458,'NS QUẢN LÝ CG'!$A$4:$D$36,2,0),"")</f>
        <v>Lê Trần Hoàng Minh</v>
      </c>
      <c r="X458" s="559" t="str">
        <f>IFERROR(VLOOKUP(V458,'NS QUẢN LÝ CG'!$A$4:$D$36,4,0),"")</f>
        <v>Văn Phòng 94</v>
      </c>
      <c r="Y458" s="559" t="str">
        <f>IFERROR(VLOOKUP(V458,'NS QUẢN LÝ CG'!$A$4:$C$36,3,0),"")</f>
        <v>0965509539</v>
      </c>
      <c r="Z458" s="523" t="str">
        <f>IFERROR(VLOOKUP(M458,'02. MM-KLH'!$B$6:$T$823,3,0),"")</f>
        <v>A23-XTA-047</v>
      </c>
      <c r="AA458" s="559" t="str">
        <f t="shared" si="30"/>
        <v>DP</v>
      </c>
      <c r="AB458" s="523"/>
      <c r="AC458" s="523"/>
    </row>
    <row r="459">
      <c r="A459" s="523"/>
      <c r="B459" s="612" t="str">
        <f>IFERROR(VLOOKUP(M459,'02. MM-KLH'!$B$6:$T$823,6,0),"")</f>
        <v>Xe tải Frontier TF2800</v>
      </c>
      <c r="C459" s="566">
        <v>1.0</v>
      </c>
      <c r="D459" s="613" t="str">
        <f>IFERROR(VLOOKUP(M459,'02. MM-KLH'!$B$6:$T$823,16,0),"")</f>
        <v>TF2800</v>
      </c>
      <c r="E459" s="561" t="s">
        <v>4158</v>
      </c>
      <c r="F459" s="613"/>
      <c r="G459" s="613"/>
      <c r="H459" s="613" t="str">
        <f>IFERROR(VLOOKUP(M459,'02. MM-KLH'!$B$6:$T$823,17,0),"")</f>
        <v>100HP</v>
      </c>
      <c r="I459" s="614" t="str">
        <f>IFERROR(VLOOKUP(M459,'02. MM-KLH'!$B$6:$U$823,20,0),"")</f>
        <v/>
      </c>
      <c r="J459" s="612" t="str">
        <f>IFERROR(VLOOKUP(M459,'02. MM-KLH'!$B$6:$T$823,19,0),"")</f>
        <v/>
      </c>
      <c r="K459" s="612" t="str">
        <f>IFERROR(VLOOKUP(M459,'02. MM-KLH'!$B$6:$T$823,18,0),"")</f>
        <v/>
      </c>
      <c r="L459" s="613" t="str">
        <f>IFERROR(VLOOKUP(M459,'02. MM-KLH'!$B$6:$T$823,4,0),"")</f>
        <v/>
      </c>
      <c r="M459" s="488" t="s">
        <v>2797</v>
      </c>
      <c r="N459" s="615" t="str">
        <f>IFERROR(VLOOKUP(M459,'02. MM-KLH'!$B$6:$T$823,15,0),"")</f>
        <v/>
      </c>
      <c r="O459" s="616" t="str">
        <f>IFERROR(VLOOKUP(M459,'02. MM-KLH'!$B$6:$T$823,9,0),"")</f>
        <v>Mới </v>
      </c>
      <c r="P459" s="566" t="s">
        <v>1565</v>
      </c>
      <c r="Q459" s="613"/>
      <c r="R459" s="566" t="s">
        <v>4158</v>
      </c>
      <c r="S459" s="613"/>
      <c r="T459" s="613"/>
      <c r="U459" s="559" t="str">
        <f>IFERROR(VLOOKUP(M459,'02. MM-KLH'!$B$6:$T$823,5,0),"")</f>
        <v>ĐQSD</v>
      </c>
      <c r="V459" s="523" t="str">
        <f>IFERROR(VLOOKUP(M459,'02. MM-KLH'!$B$6:$T$823,8,0),"")</f>
        <v>Thadicons A&amp;I</v>
      </c>
      <c r="W459" s="559" t="str">
        <f>IFERROR(VLOOKUP(V459,'NS QUẢN LÝ CG'!$A$4:$D$36,2,0),"")</f>
        <v/>
      </c>
      <c r="X459" s="559" t="str">
        <f>IFERROR(VLOOKUP(V459,'NS QUẢN LÝ CG'!$A$4:$D$36,4,0),"")</f>
        <v/>
      </c>
      <c r="Y459" s="559" t="str">
        <f>IFERROR(VLOOKUP(V459,'NS QUẢN LÝ CG'!$A$4:$C$36,3,0),"")</f>
        <v/>
      </c>
      <c r="Z459" s="523" t="str">
        <f>IFERROR(VLOOKUP(M459,'02. MM-KLH'!$B$6:$T$823,3,0),"")</f>
        <v>-</v>
      </c>
      <c r="AA459" s="613"/>
      <c r="AB459" s="523"/>
      <c r="AC459" s="523"/>
    </row>
    <row r="460">
      <c r="A460" s="523"/>
      <c r="B460" s="612" t="str">
        <f>IFERROR(VLOOKUP(M460,'02. MM-KLH'!$B$6:$T$823,6,0),"")</f>
        <v>Xe tải Van THACO FRONTIER TF420-5S</v>
      </c>
      <c r="C460" s="566">
        <v>1.0</v>
      </c>
      <c r="D460" s="613" t="str">
        <f>IFERROR(VLOOKUP(M460,'02. MM-KLH'!$B$6:$T$823,16,0),"")</f>
        <v>TF420</v>
      </c>
      <c r="E460" s="561" t="s">
        <v>4158</v>
      </c>
      <c r="F460" s="613"/>
      <c r="G460" s="613"/>
      <c r="H460" s="613" t="str">
        <f>IFERROR(VLOOKUP(M460,'02. MM-KLH'!$B$6:$T$823,17,0),"")</f>
        <v>100HP</v>
      </c>
      <c r="I460" s="614" t="str">
        <f>IFERROR(VLOOKUP(M460,'02. MM-KLH'!$B$6:$U$823,20,0),"")</f>
        <v/>
      </c>
      <c r="J460" s="612" t="str">
        <f>IFERROR(VLOOKUP(M460,'02. MM-KLH'!$B$6:$T$823,19,0),"")</f>
        <v/>
      </c>
      <c r="K460" s="612" t="str">
        <f>IFERROR(VLOOKUP(M460,'02. MM-KLH'!$B$6:$T$823,18,0),"")</f>
        <v/>
      </c>
      <c r="L460" s="613" t="str">
        <f>IFERROR(VLOOKUP(M460,'02. MM-KLH'!$B$6:$T$823,4,0),"")</f>
        <v/>
      </c>
      <c r="M460" s="488" t="s">
        <v>2800</v>
      </c>
      <c r="N460" s="615" t="str">
        <f>IFERROR(VLOOKUP(M460,'02. MM-KLH'!$B$6:$T$823,15,0),"")</f>
        <v/>
      </c>
      <c r="O460" s="616" t="str">
        <f>IFERROR(VLOOKUP(M460,'02. MM-KLH'!$B$6:$T$823,9,0),"")</f>
        <v>Đã qua sử dụng</v>
      </c>
      <c r="P460" s="566" t="s">
        <v>1565</v>
      </c>
      <c r="Q460" s="613"/>
      <c r="R460" s="566" t="s">
        <v>4158</v>
      </c>
      <c r="S460" s="613"/>
      <c r="T460" s="613"/>
      <c r="U460" s="559" t="str">
        <f>IFERROR(VLOOKUP(M460,'02. MM-KLH'!$B$6:$T$823,5,0),"")</f>
        <v>ĐQSD</v>
      </c>
      <c r="V460" s="523" t="str">
        <f>IFERROR(VLOOKUP(M460,'02. MM-KLH'!$B$6:$T$823,8,0),"")</f>
        <v>Thadicons A&amp;I</v>
      </c>
      <c r="W460" s="559" t="str">
        <f>IFERROR(VLOOKUP(V460,'NS QUẢN LÝ CG'!$A$4:$D$36,2,0),"")</f>
        <v/>
      </c>
      <c r="X460" s="559" t="str">
        <f>IFERROR(VLOOKUP(V460,'NS QUẢN LÝ CG'!$A$4:$D$36,4,0),"")</f>
        <v/>
      </c>
      <c r="Y460" s="559" t="str">
        <f>IFERROR(VLOOKUP(V460,'NS QUẢN LÝ CG'!$A$4:$C$36,3,0),"")</f>
        <v/>
      </c>
      <c r="Z460" s="523" t="str">
        <f>IFERROR(VLOOKUP(M460,'02. MM-KLH'!$B$6:$T$823,3,0),"")</f>
        <v>-</v>
      </c>
      <c r="AA460" s="613"/>
      <c r="AB460" s="523"/>
      <c r="AC460" s="523"/>
    </row>
    <row r="461">
      <c r="A461" s="523"/>
      <c r="B461" s="612"/>
      <c r="C461" s="566"/>
      <c r="D461" s="613"/>
      <c r="E461" s="613"/>
      <c r="F461" s="613"/>
      <c r="G461" s="613"/>
      <c r="H461" s="613"/>
      <c r="I461" s="614"/>
      <c r="J461" s="612"/>
      <c r="K461" s="612"/>
      <c r="L461" s="613"/>
      <c r="M461" s="488"/>
      <c r="N461" s="615"/>
      <c r="O461" s="616"/>
      <c r="P461" s="613"/>
      <c r="Q461" s="613"/>
      <c r="R461" s="613"/>
      <c r="S461" s="613"/>
      <c r="T461" s="613"/>
      <c r="U461" s="613"/>
      <c r="V461" s="523"/>
      <c r="W461" s="559" t="str">
        <f>IFERROR(VLOOKUP(V461,'NS QUẢN LÝ CG'!$A$4:$D$36,2,0),"")</f>
        <v/>
      </c>
      <c r="X461" s="559" t="str">
        <f>IFERROR(VLOOKUP(V461,'NS QUẢN LÝ CG'!$A$4:$D$36,4,0),"")</f>
        <v/>
      </c>
      <c r="Y461" s="613"/>
      <c r="Z461" s="523"/>
      <c r="AA461" s="613"/>
      <c r="AB461" s="523"/>
      <c r="AC461" s="523"/>
    </row>
    <row r="462" hidden="1">
      <c r="A462" s="523"/>
      <c r="B462" s="612"/>
      <c r="C462" s="566"/>
      <c r="D462" s="613"/>
      <c r="E462" s="613"/>
      <c r="F462" s="613"/>
      <c r="G462" s="613"/>
      <c r="H462" s="613"/>
      <c r="I462" s="614"/>
      <c r="J462" s="612"/>
      <c r="K462" s="612"/>
      <c r="L462" s="613"/>
      <c r="M462" s="488"/>
      <c r="N462" s="615"/>
      <c r="O462" s="616"/>
      <c r="P462" s="613"/>
      <c r="Q462" s="613"/>
      <c r="R462" s="613"/>
      <c r="S462" s="613"/>
      <c r="T462" s="613"/>
      <c r="U462" s="613"/>
      <c r="V462" s="523"/>
      <c r="W462" s="613"/>
      <c r="X462" s="613"/>
      <c r="Y462" s="613"/>
      <c r="Z462" s="523"/>
      <c r="AA462" s="613"/>
      <c r="AB462" s="523"/>
      <c r="AC462" s="523"/>
    </row>
    <row r="463" hidden="1">
      <c r="A463" s="523"/>
      <c r="B463" s="612" t="str">
        <f>IFERROR(VLOOKUP(M463,'02. MM-KLH'!$B$6:$T$823,6,0),"")</f>
        <v/>
      </c>
      <c r="C463" s="566"/>
      <c r="D463" s="613" t="str">
        <f>IFERROR(VLOOKUP(M463,'02. MM-KLH'!$B$6:$T$823,16,0),"")</f>
        <v/>
      </c>
      <c r="E463" s="613"/>
      <c r="F463" s="613"/>
      <c r="G463" s="613"/>
      <c r="H463" s="613" t="str">
        <f>IFERROR(VLOOKUP(M463,'02. MM-KLH'!$B$6:$T$823,17,0),"")</f>
        <v/>
      </c>
      <c r="I463" s="614" t="str">
        <f>IFERROR(VLOOKUP(M463,'02. MM-KLH'!$B$6:$U$823,20,0),"")</f>
        <v/>
      </c>
      <c r="J463" s="612" t="str">
        <f>IFERROR(VLOOKUP(M463,'02. MM-KLH'!$B$6:$T$823,19,0),"")</f>
        <v/>
      </c>
      <c r="K463" s="612" t="str">
        <f>IFERROR(VLOOKUP(M463,'02. MM-KLH'!$B$6:$T$823,18,0),"")</f>
        <v/>
      </c>
      <c r="L463" s="613" t="str">
        <f>IFERROR(VLOOKUP(M463,'02. MM-KLH'!$B$6:$T$823,4,0),"")</f>
        <v/>
      </c>
      <c r="M463" s="488"/>
      <c r="N463" s="615" t="str">
        <f>IFERROR(VLOOKUP(M463,'02. MM-KLH'!$B$6:$T$823,15,0),"")</f>
        <v/>
      </c>
      <c r="O463" s="616" t="str">
        <f>IFERROR(VLOOKUP(M463,'02. MM-KLH'!$B$6:$T$823,9,0),"")</f>
        <v/>
      </c>
      <c r="P463" s="613"/>
      <c r="Q463" s="613"/>
      <c r="R463" s="613"/>
      <c r="S463" s="613"/>
      <c r="T463" s="613"/>
      <c r="U463" s="613" t="str">
        <f>IFERROR(VLOOKUP(M463,'02. MM-KLH'!$B$6:$T$823,2,0),"")</f>
        <v/>
      </c>
      <c r="V463" s="523" t="str">
        <f>IFERROR(VLOOKUP(M463,'02. MM-KLH'!$B$6:$T$823,8,0),"")</f>
        <v/>
      </c>
      <c r="W463" s="613"/>
      <c r="X463" s="613"/>
      <c r="Y463" s="613"/>
      <c r="Z463" s="523" t="str">
        <f>IFERROR(VLOOKUP(M463,'02. MM-KLH'!$B$6:$T$823,3,0),"")</f>
        <v/>
      </c>
      <c r="AA463" s="613"/>
      <c r="AB463" s="523"/>
      <c r="AC463" s="523"/>
    </row>
    <row r="464">
      <c r="A464" s="695">
        <v>4.0</v>
      </c>
      <c r="B464" s="696" t="s">
        <v>911</v>
      </c>
      <c r="C464" s="697">
        <f>COUNTA(B465:B471)</f>
        <v>5</v>
      </c>
      <c r="D464" s="698" t="str">
        <f>IFERROR(VLOOKUP(M464,'02. MM-KLH'!$B$6:$T$823,16,0),"")</f>
        <v/>
      </c>
      <c r="E464" s="698"/>
      <c r="F464" s="698"/>
      <c r="G464" s="698"/>
      <c r="H464" s="558" t="str">
        <f>IFERROR(VLOOKUP(M464,'02. MM-KLH'!$B$6:$T$823,17,0),"")</f>
        <v/>
      </c>
      <c r="I464" s="558" t="str">
        <f>IFERROR(VLOOKUP(M464,'02. MM-KLH'!$B$6:$U$823,20,0),"")</f>
        <v/>
      </c>
      <c r="J464" s="699" t="str">
        <f>IFERROR(VLOOKUP(M464,'02. MM-KLH'!$B$6:$T$823,19,0),"")</f>
        <v/>
      </c>
      <c r="K464" s="699" t="str">
        <f>IFERROR(VLOOKUP(M464,'02. MM-KLH'!$B$6:$T$823,18,0),"")</f>
        <v/>
      </c>
      <c r="L464" s="698" t="str">
        <f>IFERROR(VLOOKUP(M464,'02. MM-KLH'!$B$6:$T$823,4,0),"")</f>
        <v/>
      </c>
      <c r="M464" s="700"/>
      <c r="N464" s="698" t="str">
        <f>IFERROR(VLOOKUP(M464,'02. MM-KLH'!$B$6:$T$823,15,0),"")</f>
        <v/>
      </c>
      <c r="O464" s="701" t="str">
        <f>IFERROR(VLOOKUP(M464,'02. MM-KLH'!$B$6:$T$823,9,0),"")</f>
        <v/>
      </c>
      <c r="P464" s="698"/>
      <c r="Q464" s="698"/>
      <c r="R464" s="698"/>
      <c r="S464" s="698"/>
      <c r="T464" s="698"/>
      <c r="U464" s="698" t="str">
        <f>IFERROR(VLOOKUP(M464,'02. MM-KLH'!$B$6:$T$823,2,0),"")</f>
        <v/>
      </c>
      <c r="V464" s="558" t="str">
        <f>IFERROR(VLOOKUP(M464,'02. MM-KLH'!$B$6:$T$823,8,0),"")</f>
        <v/>
      </c>
      <c r="W464" s="698"/>
      <c r="X464" s="698"/>
      <c r="Y464" s="698"/>
      <c r="Z464" s="558" t="str">
        <f>IFERROR(VLOOKUP(M464,'02. MM-KLH'!$B$6:$T$823,3,0),"")</f>
        <v/>
      </c>
      <c r="AA464" s="698"/>
      <c r="AB464" s="558"/>
      <c r="AC464" s="558"/>
    </row>
    <row r="465">
      <c r="A465" s="523"/>
      <c r="B465" s="612" t="str">
        <f>IFERROR(VLOOKUP(M465,'02. MM-KLH'!$B$6:$T$823,6,0),"")</f>
        <v>Xe tải KOZUN</v>
      </c>
      <c r="C465" s="566">
        <v>1.0</v>
      </c>
      <c r="D465" s="613" t="str">
        <f>IFERROR(VLOOKUP(M465,'02. MM-KLH'!$B$6:$T$823,16,0),"")</f>
        <v/>
      </c>
      <c r="E465" s="561" t="s">
        <v>4158</v>
      </c>
      <c r="F465" s="613"/>
      <c r="G465" s="613"/>
      <c r="H465" s="613" t="str">
        <f>IFERROR(VLOOKUP(M465,'02. MM-KLH'!$B$6:$T$823,17,0),"")</f>
        <v>60HP</v>
      </c>
      <c r="I465" s="614">
        <f>IFERROR(VLOOKUP(M465,'02. MM-KLH'!$B$6:$U$823,20,0),"")</f>
        <v>2</v>
      </c>
      <c r="J465" s="612" t="str">
        <f>IFERROR(VLOOKUP(M465,'02. MM-KLH'!$B$6:$T$823,19,0),"")</f>
        <v>CCN</v>
      </c>
      <c r="K465" s="612">
        <f>IFERROR(VLOOKUP(M465,'02. MM-KLH'!$B$6:$T$823,18,0),"")</f>
        <v>113819</v>
      </c>
      <c r="L465" s="613" t="str">
        <f>IFERROR(VLOOKUP(M465,'02. MM-KLH'!$B$6:$T$823,4,0),"")</f>
        <v/>
      </c>
      <c r="M465" s="490" t="s">
        <v>908</v>
      </c>
      <c r="N465" s="615" t="str">
        <f>IFERROR(VLOOKUP(M465,'02. MM-KLH'!$B$6:$T$823,15,0),"")</f>
        <v/>
      </c>
      <c r="O465" s="616" t="str">
        <f>IFERROR(VLOOKUP(M465,'02. MM-KLH'!$B$6:$T$823,9,0),"")</f>
        <v/>
      </c>
      <c r="P465" s="566" t="s">
        <v>1565</v>
      </c>
      <c r="Q465" s="566" t="s">
        <v>1565</v>
      </c>
      <c r="R465" s="613"/>
      <c r="S465" s="566" t="s">
        <v>4158</v>
      </c>
      <c r="T465" s="613"/>
      <c r="U465" s="559" t="str">
        <f>IFERROR(VLOOKUP(M465,'02. MM-KLH'!$B$6:$T$823,5,0),"")</f>
        <v>ĐQSD</v>
      </c>
      <c r="V465" s="523" t="str">
        <f>IFERROR(VLOOKUP(M465,'02. MM-KLH'!$B$6:$T$823,8,0),"")</f>
        <v>XN Chuối DP1</v>
      </c>
      <c r="W465" s="559" t="str">
        <f>IFERROR(VLOOKUP(V465,'NS QUẢN LÝ CG'!$A$4:$D$36,2,0),"")</f>
        <v>Thái Cao Lưu</v>
      </c>
      <c r="X465" s="559" t="str">
        <f>IFERROR(VLOOKUP(V465,'NS QUẢN LÝ CG'!$A$4:$D$36,4,0),"")</f>
        <v>Lô 21 DP1</v>
      </c>
      <c r="Y465" s="559" t="str">
        <f>IFERROR(VLOOKUP(V465,'NS QUẢN LÝ CG'!$A$4:$C$36,3,0),"")</f>
        <v>0387783316</v>
      </c>
      <c r="Z465" s="523" t="str">
        <f>IFERROR(VLOOKUP(M465,'02. MM-KLH'!$B$6:$T$823,3,0),"")</f>
        <v>A23-XTA-008</v>
      </c>
      <c r="AA465" s="559" t="str">
        <f t="shared" ref="AA465:AA466" si="31">SWITCH(LEFT(Z465,3),"A22","ADM","A23","DP","A24","LP","")</f>
        <v>DP</v>
      </c>
      <c r="AB465" s="523"/>
      <c r="AC465" s="523"/>
    </row>
    <row r="466">
      <c r="A466" s="523"/>
      <c r="B466" s="612" t="str">
        <f>IFERROR(VLOOKUP(M466,'02. MM-KLH'!$B$6:$T$823,6,0),"")</f>
        <v>Xe tải KOZUN</v>
      </c>
      <c r="C466" s="566">
        <v>1.0</v>
      </c>
      <c r="D466" s="613" t="str">
        <f>IFERROR(VLOOKUP(M466,'02. MM-KLH'!$B$6:$T$823,16,0),"")</f>
        <v/>
      </c>
      <c r="E466" s="561" t="s">
        <v>4158</v>
      </c>
      <c r="F466" s="613"/>
      <c r="G466" s="613"/>
      <c r="H466" s="613" t="str">
        <f>IFERROR(VLOOKUP(M466,'02. MM-KLH'!$B$6:$T$823,17,0),"")</f>
        <v>60HP</v>
      </c>
      <c r="I466" s="614">
        <f>IFERROR(VLOOKUP(M466,'02. MM-KLH'!$B$6:$U$823,20,0),"")</f>
        <v>2</v>
      </c>
      <c r="J466" s="612" t="str">
        <f>IFERROR(VLOOKUP(M466,'02. MM-KLH'!$B$6:$T$823,19,0),"")</f>
        <v>CCN</v>
      </c>
      <c r="K466" s="612">
        <f>IFERROR(VLOOKUP(M466,'02. MM-KLH'!$B$6:$T$823,18,0),"")</f>
        <v>78504</v>
      </c>
      <c r="L466" s="613" t="str">
        <f>IFERROR(VLOOKUP(M466,'02. MM-KLH'!$B$6:$T$823,4,0),"")</f>
        <v/>
      </c>
      <c r="M466" s="490" t="s">
        <v>913</v>
      </c>
      <c r="N466" s="615" t="str">
        <f>IFERROR(VLOOKUP(M466,'02. MM-KLH'!$B$6:$T$823,15,0),"")</f>
        <v/>
      </c>
      <c r="O466" s="616" t="str">
        <f>IFERROR(VLOOKUP(M466,'02. MM-KLH'!$B$6:$T$823,9,0),"")</f>
        <v>13/05/2024</v>
      </c>
      <c r="P466" s="566" t="s">
        <v>1565</v>
      </c>
      <c r="Q466" s="566" t="s">
        <v>1565</v>
      </c>
      <c r="R466" s="613"/>
      <c r="S466" s="566" t="s">
        <v>4158</v>
      </c>
      <c r="T466" s="613"/>
      <c r="U466" s="559" t="str">
        <f>IFERROR(VLOOKUP(M466,'02. MM-KLH'!$B$6:$T$823,5,0),"")</f>
        <v>ĐQSD</v>
      </c>
      <c r="V466" s="523" t="str">
        <f>IFERROR(VLOOKUP(M466,'02. MM-KLH'!$B$6:$T$823,8,0),"")</f>
        <v>XN Chuối DP1</v>
      </c>
      <c r="W466" s="559" t="str">
        <f>IFERROR(VLOOKUP(V466,'NS QUẢN LÝ CG'!$A$4:$D$36,2,0),"")</f>
        <v>Thái Cao Lưu</v>
      </c>
      <c r="X466" s="559" t="str">
        <f>IFERROR(VLOOKUP(V466,'NS QUẢN LÝ CG'!$A$4:$D$36,4,0),"")</f>
        <v>Lô 21 DP1</v>
      </c>
      <c r="Y466" s="559" t="str">
        <f>IFERROR(VLOOKUP(V466,'NS QUẢN LÝ CG'!$A$4:$C$36,3,0),"")</f>
        <v>0387783316</v>
      </c>
      <c r="Z466" s="523" t="str">
        <f>IFERROR(VLOOKUP(M466,'02. MM-KLH'!$B$6:$T$823,3,0),"")</f>
        <v>A23-XTA-009</v>
      </c>
      <c r="AA466" s="559" t="str">
        <f t="shared" si="31"/>
        <v>DP</v>
      </c>
      <c r="AB466" s="523"/>
      <c r="AC466" s="523"/>
    </row>
    <row r="467">
      <c r="A467" s="523"/>
      <c r="B467" s="612" t="str">
        <f>IFERROR(VLOOKUP(M467,'02. MM-KLH'!$B$6:$T$823,6,0),"")</f>
        <v>Xe tải KOZUN</v>
      </c>
      <c r="C467" s="566">
        <v>1.0</v>
      </c>
      <c r="D467" s="613" t="str">
        <f>IFERROR(VLOOKUP(M467,'02. MM-KLH'!$B$6:$T$823,16,0),"")</f>
        <v/>
      </c>
      <c r="E467" s="561" t="s">
        <v>4158</v>
      </c>
      <c r="F467" s="613"/>
      <c r="G467" s="613"/>
      <c r="H467" s="613" t="str">
        <f>IFERROR(VLOOKUP(M467,'02. MM-KLH'!$B$6:$T$823,17,0),"")</f>
        <v>60HP</v>
      </c>
      <c r="I467" s="614">
        <f>IFERROR(VLOOKUP(M467,'02. MM-KLH'!$B$6:$U$823,20,0),"")</f>
        <v>2</v>
      </c>
      <c r="J467" s="612" t="str">
        <f>IFERROR(VLOOKUP(M467,'02. MM-KLH'!$B$6:$T$823,19,0),"")</f>
        <v>CCN</v>
      </c>
      <c r="K467" s="612">
        <f>IFERROR(VLOOKUP(M467,'02. MM-KLH'!$B$6:$T$823,18,0),"")</f>
        <v>29823</v>
      </c>
      <c r="L467" s="613" t="str">
        <f>IFERROR(VLOOKUP(M467,'02. MM-KLH'!$B$6:$T$823,4,0),"")</f>
        <v/>
      </c>
      <c r="M467" s="488" t="s">
        <v>1332</v>
      </c>
      <c r="N467" s="615" t="str">
        <f>IFERROR(VLOOKUP(M467,'02. MM-KLH'!$B$6:$T$823,15,0),"")</f>
        <v/>
      </c>
      <c r="O467" s="616">
        <f>IFERROR(VLOOKUP(M467,'02. MM-KLH'!$B$6:$T$823,9,0),"")</f>
        <v>41651</v>
      </c>
      <c r="P467" s="566" t="s">
        <v>1565</v>
      </c>
      <c r="Q467" s="566" t="s">
        <v>1565</v>
      </c>
      <c r="R467" s="613"/>
      <c r="S467" s="566" t="s">
        <v>4158</v>
      </c>
      <c r="T467" s="613"/>
      <c r="U467" s="559" t="str">
        <f>IFERROR(VLOOKUP(M467,'02. MM-KLH'!$B$6:$T$823,5,0),"")</f>
        <v>ĐQSD</v>
      </c>
      <c r="V467" s="523" t="str">
        <f>IFERROR(VLOOKUP(M467,'02. MM-KLH'!$B$6:$T$823,8,0),"")</f>
        <v>XN Chuối LP1</v>
      </c>
      <c r="W467" s="559" t="str">
        <f>IFERROR(VLOOKUP(V467,'NS QUẢN LÝ CG'!$A$4:$D$36,2,0),"")</f>
        <v>Nguyễn Ngọc Nhân</v>
      </c>
      <c r="X467" s="559" t="str">
        <f>IFERROR(VLOOKUP(V467,'NS QUẢN LÝ CG'!$A$4:$D$36,4,0),"")</f>
        <v>Lô 7 LP1</v>
      </c>
      <c r="Y467" s="559" t="str">
        <f>IFERROR(VLOOKUP(V467,'NS QUẢN LÝ CG'!$A$4:$C$36,3,0),"")</f>
        <v>0979578112</v>
      </c>
      <c r="Z467" s="523" t="str">
        <f>IFERROR(VLOOKUP(M467,'02. MM-KLH'!$B$6:$T$823,3,0),"")</f>
        <v>ATT-A22-0017</v>
      </c>
      <c r="AA467" s="561" t="s">
        <v>4462</v>
      </c>
      <c r="AB467" s="523"/>
      <c r="AC467" s="523"/>
    </row>
    <row r="468">
      <c r="A468" s="523"/>
      <c r="B468" s="612" t="str">
        <f>IFERROR(VLOOKUP(M468,'02. MM-KLH'!$B$6:$T$823,6,0),"")</f>
        <v>Xe tải KOZUN</v>
      </c>
      <c r="C468" s="566">
        <v>1.0</v>
      </c>
      <c r="D468" s="613" t="str">
        <f>IFERROR(VLOOKUP(M468,'02. MM-KLH'!$B$6:$T$823,16,0),"")</f>
        <v/>
      </c>
      <c r="E468" s="561" t="s">
        <v>4158</v>
      </c>
      <c r="F468" s="613"/>
      <c r="G468" s="613"/>
      <c r="H468" s="613" t="str">
        <f>IFERROR(VLOOKUP(M468,'02. MM-KLH'!$B$6:$T$823,17,0),"")</f>
        <v>60HP</v>
      </c>
      <c r="I468" s="614">
        <f>IFERROR(VLOOKUP(M468,'02. MM-KLH'!$B$6:$U$823,20,0),"")</f>
        <v>2</v>
      </c>
      <c r="J468" s="612" t="str">
        <f>IFERROR(VLOOKUP(M468,'02. MM-KLH'!$B$6:$T$823,19,0),"")</f>
        <v>CCN</v>
      </c>
      <c r="K468" s="612">
        <f>IFERROR(VLOOKUP(M468,'02. MM-KLH'!$B$6:$T$823,18,0),"")</f>
        <v>101437</v>
      </c>
      <c r="L468" s="613" t="str">
        <f>IFERROR(VLOOKUP(M468,'02. MM-KLH'!$B$6:$T$823,4,0),"")</f>
        <v/>
      </c>
      <c r="M468" s="488" t="s">
        <v>1336</v>
      </c>
      <c r="N468" s="615" t="str">
        <f>IFERROR(VLOOKUP(M468,'02. MM-KLH'!$B$6:$T$823,15,0),"")</f>
        <v/>
      </c>
      <c r="O468" s="616">
        <f>IFERROR(VLOOKUP(M468,'02. MM-KLH'!$B$6:$T$823,9,0),"")</f>
        <v>41651</v>
      </c>
      <c r="P468" s="566" t="s">
        <v>1565</v>
      </c>
      <c r="Q468" s="566" t="s">
        <v>1565</v>
      </c>
      <c r="R468" s="613"/>
      <c r="S468" s="566" t="s">
        <v>4158</v>
      </c>
      <c r="T468" s="613"/>
      <c r="U468" s="559" t="str">
        <f>IFERROR(VLOOKUP(M468,'02. MM-KLH'!$B$6:$T$823,5,0),"")</f>
        <v>ĐQSD</v>
      </c>
      <c r="V468" s="523" t="str">
        <f>IFERROR(VLOOKUP(M468,'02. MM-KLH'!$B$6:$T$823,8,0),"")</f>
        <v>XN Chuối LP1</v>
      </c>
      <c r="W468" s="559" t="str">
        <f>IFERROR(VLOOKUP(V468,'NS QUẢN LÝ CG'!$A$4:$D$36,2,0),"")</f>
        <v>Nguyễn Ngọc Nhân</v>
      </c>
      <c r="X468" s="559" t="str">
        <f>IFERROR(VLOOKUP(V468,'NS QUẢN LÝ CG'!$A$4:$D$36,4,0),"")</f>
        <v>Lô 7 LP1</v>
      </c>
      <c r="Y468" s="559" t="str">
        <f>IFERROR(VLOOKUP(V468,'NS QUẢN LÝ CG'!$A$4:$C$36,3,0),"")</f>
        <v>0979578112</v>
      </c>
      <c r="Z468" s="523" t="str">
        <f>IFERROR(VLOOKUP(M468,'02. MM-KLH'!$B$6:$T$823,3,0),"")</f>
        <v>ATT-A22-0018</v>
      </c>
      <c r="AA468" s="561" t="s">
        <v>4462</v>
      </c>
      <c r="AB468" s="523"/>
      <c r="AC468" s="523"/>
    </row>
    <row r="469">
      <c r="A469" s="523"/>
      <c r="B469" s="612" t="str">
        <f>IFERROR(VLOOKUP(M469,'02. MM-KLH'!$B$6:$T$823,6,0),"")</f>
        <v>Xe tải KOZUN</v>
      </c>
      <c r="C469" s="566">
        <v>1.0</v>
      </c>
      <c r="D469" s="613" t="str">
        <f>IFERROR(VLOOKUP(M469,'02. MM-KLH'!$B$6:$T$823,16,0),"")</f>
        <v/>
      </c>
      <c r="E469" s="561" t="s">
        <v>4158</v>
      </c>
      <c r="F469" s="613"/>
      <c r="G469" s="613"/>
      <c r="H469" s="613" t="str">
        <f>IFERROR(VLOOKUP(M469,'02. MM-KLH'!$B$6:$T$823,17,0),"")</f>
        <v>60HP</v>
      </c>
      <c r="I469" s="614">
        <f>IFERROR(VLOOKUP(M469,'02. MM-KLH'!$B$6:$U$823,20,0),"")</f>
        <v>2</v>
      </c>
      <c r="J469" s="612">
        <f>IFERROR(VLOOKUP(M469,'02. MM-KLH'!$B$6:$T$823,19,0),"")</f>
        <v>115002</v>
      </c>
      <c r="K469" s="612" t="str">
        <f>IFERROR(VLOOKUP(M469,'02. MM-KLH'!$B$6:$T$823,18,0),"")</f>
        <v>Mất số khung</v>
      </c>
      <c r="L469" s="613" t="str">
        <f>IFERROR(VLOOKUP(M469,'02. MM-KLH'!$B$6:$T$823,4,0),"")</f>
        <v/>
      </c>
      <c r="M469" s="490" t="s">
        <v>1453</v>
      </c>
      <c r="N469" s="615" t="str">
        <f>IFERROR(VLOOKUP(M469,'02. MM-KLH'!$B$6:$T$823,15,0),"")</f>
        <v/>
      </c>
      <c r="O469" s="616">
        <f>IFERROR(VLOOKUP(M469,'02. MM-KLH'!$B$6:$T$823,9,0),"")</f>
        <v>40914</v>
      </c>
      <c r="P469" s="566" t="s">
        <v>1565</v>
      </c>
      <c r="Q469" s="566" t="s">
        <v>1565</v>
      </c>
      <c r="R469" s="613"/>
      <c r="S469" s="613"/>
      <c r="T469" s="566" t="s">
        <v>4158</v>
      </c>
      <c r="U469" s="559" t="str">
        <f>IFERROR(VLOOKUP(M469,'02. MM-KLH'!$B$6:$T$823,5,0),"")</f>
        <v>ĐQSD</v>
      </c>
      <c r="V469" s="523" t="str">
        <f>IFERROR(VLOOKUP(M469,'02. MM-KLH'!$B$6:$T$823,8,0),"")</f>
        <v>XN Chuối LP3</v>
      </c>
      <c r="W469" s="559" t="str">
        <f>IFERROR(VLOOKUP(V469,'NS QUẢN LÝ CG'!$A$4:$D$36,2,0),"")</f>
        <v>Lê Cao Nghị</v>
      </c>
      <c r="X469" s="559" t="str">
        <f>IFERROR(VLOOKUP(V469,'NS QUẢN LÝ CG'!$A$4:$D$36,4,0),"")</f>
        <v>Lô 2 LP3</v>
      </c>
      <c r="Y469" s="559" t="str">
        <f>IFERROR(VLOOKUP(V469,'NS QUẢN LÝ CG'!$A$4:$C$36,3,0),"")</f>
        <v>0977423100</v>
      </c>
      <c r="Z469" s="523" t="str">
        <f>IFERROR(VLOOKUP(M469,'02. MM-KLH'!$B$6:$T$823,3,0),"")</f>
        <v>ATT-A24-0015</v>
      </c>
      <c r="AA469" s="561" t="s">
        <v>5046</v>
      </c>
      <c r="AB469" s="523"/>
      <c r="AC469" s="523"/>
    </row>
    <row r="470">
      <c r="A470" s="523"/>
      <c r="B470" s="612" t="str">
        <f>IFERROR(VLOOKUP(M470,'02. MM-KLH'!$B$6:$T$823,6,0),"")</f>
        <v/>
      </c>
      <c r="C470" s="566">
        <v>1.0</v>
      </c>
      <c r="D470" s="613" t="str">
        <f>IFERROR(VLOOKUP(M470,'02. MM-KLH'!$B$6:$T$823,16,0),"")</f>
        <v/>
      </c>
      <c r="E470" s="561" t="s">
        <v>4158</v>
      </c>
      <c r="F470" s="613"/>
      <c r="G470" s="613"/>
      <c r="H470" s="613" t="str">
        <f>IFERROR(VLOOKUP(M470,'02. MM-KLH'!$B$6:$T$823,17,0),"")</f>
        <v/>
      </c>
      <c r="I470" s="614" t="str">
        <f>IFERROR(VLOOKUP(M470,'02. MM-KLH'!$B$6:$U$823,20,0),"")</f>
        <v/>
      </c>
      <c r="J470" s="612" t="str">
        <f>IFERROR(VLOOKUP(M470,'02. MM-KLH'!$B$6:$T$823,19,0),"")</f>
        <v/>
      </c>
      <c r="K470" s="612" t="str">
        <f>IFERROR(VLOOKUP(M470,'02. MM-KLH'!$B$6:$T$823,18,0),"")</f>
        <v/>
      </c>
      <c r="L470" s="613" t="str">
        <f>IFERROR(VLOOKUP(M470,'02. MM-KLH'!$B$6:$T$823,4,0),"")</f>
        <v/>
      </c>
      <c r="M470" s="488"/>
      <c r="N470" s="615" t="str">
        <f>IFERROR(VLOOKUP(M470,'02. MM-KLH'!$B$6:$T$823,15,0),"")</f>
        <v/>
      </c>
      <c r="O470" s="616" t="str">
        <f>IFERROR(VLOOKUP(M470,'02. MM-KLH'!$B$6:$T$823,9,0),"")</f>
        <v/>
      </c>
      <c r="P470" s="613"/>
      <c r="Q470" s="613"/>
      <c r="R470" s="613"/>
      <c r="S470" s="613"/>
      <c r="T470" s="613"/>
      <c r="U470" s="613" t="str">
        <f>IFERROR(VLOOKUP(M470,'02. MM-KLH'!$B$6:$T$823,2,0),"")</f>
        <v/>
      </c>
      <c r="V470" s="523" t="str">
        <f>IFERROR(VLOOKUP(M470,'02. MM-KLH'!$B$6:$T$823,8,0),"")</f>
        <v/>
      </c>
      <c r="W470" s="559" t="str">
        <f>IFERROR(VLOOKUP(V470,'NS QUẢN LÝ CG'!$A$4:$D$36,2,0),"")</f>
        <v/>
      </c>
      <c r="X470" s="559" t="str">
        <f>IFERROR(VLOOKUP(V470,'NS QUẢN LÝ CG'!$A$4:$D$36,4,0),"")</f>
        <v/>
      </c>
      <c r="Y470" s="613"/>
      <c r="Z470" s="523" t="str">
        <f>IFERROR(VLOOKUP(M470,'02. MM-KLH'!$B$6:$T$823,3,0),"")</f>
        <v/>
      </c>
      <c r="AA470" s="613"/>
      <c r="AB470" s="523"/>
      <c r="AC470" s="523"/>
    </row>
    <row r="471">
      <c r="A471" s="523"/>
      <c r="B471" s="612" t="str">
        <f>IFERROR(VLOOKUP(M471,'02. MM-KLH'!$B$6:$T$823,6,0),"")</f>
        <v/>
      </c>
      <c r="C471" s="566"/>
      <c r="D471" s="613" t="str">
        <f>IFERROR(VLOOKUP(M471,'02. MM-KLH'!$B$6:$T$823,16,0),"")</f>
        <v/>
      </c>
      <c r="E471" s="613"/>
      <c r="F471" s="613"/>
      <c r="G471" s="613"/>
      <c r="H471" s="613" t="str">
        <f>IFERROR(VLOOKUP(M471,'02. MM-KLH'!$B$6:$T$823,17,0),"")</f>
        <v/>
      </c>
      <c r="I471" s="614" t="str">
        <f>IFERROR(VLOOKUP(M471,'02. MM-KLH'!$B$6:$U$823,20,0),"")</f>
        <v/>
      </c>
      <c r="J471" s="612" t="str">
        <f>IFERROR(VLOOKUP(M471,'02. MM-KLH'!$B$6:$T$823,19,0),"")</f>
        <v/>
      </c>
      <c r="K471" s="612" t="str">
        <f>IFERROR(VLOOKUP(M471,'02. MM-KLH'!$B$6:$T$823,18,0),"")</f>
        <v/>
      </c>
      <c r="L471" s="613" t="str">
        <f>IFERROR(VLOOKUP(M471,'02. MM-KLH'!$B$6:$T$823,4,0),"")</f>
        <v/>
      </c>
      <c r="M471" s="488"/>
      <c r="N471" s="615" t="str">
        <f>IFERROR(VLOOKUP(M471,'02. MM-KLH'!$B$6:$T$823,15,0),"")</f>
        <v/>
      </c>
      <c r="O471" s="616" t="str">
        <f>IFERROR(VLOOKUP(M471,'02. MM-KLH'!$B$6:$T$823,9,0),"")</f>
        <v/>
      </c>
      <c r="P471" s="613"/>
      <c r="Q471" s="613"/>
      <c r="R471" s="613"/>
      <c r="S471" s="613"/>
      <c r="T471" s="613"/>
      <c r="U471" s="613" t="str">
        <f>IFERROR(VLOOKUP(M471,'02. MM-KLH'!$B$6:$T$823,2,0),"")</f>
        <v/>
      </c>
      <c r="V471" s="523" t="str">
        <f>IFERROR(VLOOKUP(M471,'02. MM-KLH'!$B$6:$T$823,8,0),"")</f>
        <v/>
      </c>
      <c r="W471" s="559" t="str">
        <f>IFERROR(VLOOKUP(V471,'NS QUẢN LÝ CG'!$A$4:$D$36,2,0),"")</f>
        <v/>
      </c>
      <c r="X471" s="559" t="str">
        <f>IFERROR(VLOOKUP(V471,'NS QUẢN LÝ CG'!$A$4:$D$36,4,0),"")</f>
        <v/>
      </c>
      <c r="Y471" s="613"/>
      <c r="Z471" s="523" t="str">
        <f>IFERROR(VLOOKUP(M471,'02. MM-KLH'!$B$6:$T$823,3,0),"")</f>
        <v/>
      </c>
      <c r="AA471" s="613"/>
      <c r="AB471" s="523"/>
      <c r="AC471" s="523"/>
    </row>
    <row r="472">
      <c r="A472" s="542" t="s">
        <v>2642</v>
      </c>
      <c r="B472" s="543" t="s">
        <v>5757</v>
      </c>
      <c r="C472" s="544">
        <f>SUM(C473,C477,C490)</f>
        <v>19</v>
      </c>
      <c r="D472" s="545"/>
      <c r="E472" s="545"/>
      <c r="F472" s="545"/>
      <c r="G472" s="545"/>
      <c r="H472" s="545"/>
      <c r="I472" s="546"/>
      <c r="J472" s="547"/>
      <c r="K472" s="547"/>
      <c r="L472" s="545"/>
      <c r="M472" s="545"/>
      <c r="N472" s="545"/>
      <c r="O472" s="548"/>
      <c r="P472" s="545"/>
      <c r="Q472" s="545"/>
      <c r="R472" s="545"/>
      <c r="S472" s="545"/>
      <c r="T472" s="545"/>
      <c r="U472" s="545"/>
      <c r="V472" s="546"/>
      <c r="W472" s="545"/>
      <c r="X472" s="545"/>
      <c r="Y472" s="545"/>
      <c r="Z472" s="546"/>
      <c r="AA472" s="545"/>
      <c r="AB472" s="546"/>
      <c r="AC472" s="549"/>
    </row>
    <row r="473">
      <c r="A473" s="695">
        <v>1.0</v>
      </c>
      <c r="B473" s="696" t="s">
        <v>300</v>
      </c>
      <c r="C473" s="697">
        <f>COUNTA(B474:B476)</f>
        <v>2</v>
      </c>
      <c r="D473" s="698" t="str">
        <f>IFERROR(VLOOKUP(M473,'02. MM-KLH'!$B$6:$T$823,16,0),"")</f>
        <v/>
      </c>
      <c r="E473" s="698"/>
      <c r="F473" s="698"/>
      <c r="G473" s="698"/>
      <c r="H473" s="558" t="str">
        <f>IFERROR(VLOOKUP(M473,'02. MM-KLH'!$B$6:$T$823,17,0),"")</f>
        <v/>
      </c>
      <c r="I473" s="558" t="str">
        <f>IFERROR(VLOOKUP(M473,'02. MM-KLH'!$B$6:$U$823,20,0),"")</f>
        <v/>
      </c>
      <c r="J473" s="699" t="str">
        <f>IFERROR(VLOOKUP(M473,'02. MM-KLH'!$B$6:$T$823,19,0),"")</f>
        <v/>
      </c>
      <c r="K473" s="699" t="str">
        <f>IFERROR(VLOOKUP(M473,'02. MM-KLH'!$B$6:$T$823,18,0),"")</f>
        <v/>
      </c>
      <c r="L473" s="698" t="str">
        <f>IFERROR(VLOOKUP(M473,'02. MM-KLH'!$B$6:$T$823,4,0),"")</f>
        <v/>
      </c>
      <c r="M473" s="700"/>
      <c r="N473" s="698" t="str">
        <f>IFERROR(VLOOKUP(M473,'02. MM-KLH'!$B$6:$T$823,15,0),"")</f>
        <v/>
      </c>
      <c r="O473" s="701" t="str">
        <f>IFERROR(VLOOKUP(M473,'02. MM-KLH'!$B$6:$T$823,9,0),"")</f>
        <v/>
      </c>
      <c r="P473" s="698"/>
      <c r="Q473" s="698"/>
      <c r="R473" s="698"/>
      <c r="S473" s="698"/>
      <c r="T473" s="698"/>
      <c r="U473" s="698" t="str">
        <f>IFERROR(VLOOKUP(M473,'02. MM-KLH'!$B$6:$T$823,2,0),"")</f>
        <v/>
      </c>
      <c r="V473" s="558" t="str">
        <f>IFERROR(VLOOKUP(M473,'02. MM-KLH'!$B$6:$T$823,8,0),"")</f>
        <v/>
      </c>
      <c r="W473" s="698"/>
      <c r="X473" s="698"/>
      <c r="Y473" s="698"/>
      <c r="Z473" s="558" t="str">
        <f>IFERROR(VLOOKUP(M473,'02. MM-KLH'!$B$6:$T$823,3,0),"")</f>
        <v/>
      </c>
      <c r="AA473" s="698"/>
      <c r="AB473" s="558"/>
      <c r="AC473" s="558"/>
    </row>
    <row r="474">
      <c r="A474" s="523"/>
      <c r="B474" s="612" t="str">
        <f>IFERROR(VLOOKUP(M474,'02. MM-KLH'!$B$6:$T$823,6,0),"")</f>
        <v>Xe đầu kéo FD1600B</v>
      </c>
      <c r="C474" s="566">
        <v>1.0</v>
      </c>
      <c r="D474" s="613" t="str">
        <f>IFERROR(VLOOKUP(M474,'02. MM-KLH'!$B$6:$T$823,16,0),"")</f>
        <v>FD1600B</v>
      </c>
      <c r="E474" s="561" t="s">
        <v>4158</v>
      </c>
      <c r="F474" s="613"/>
      <c r="G474" s="613"/>
      <c r="H474" s="613" t="str">
        <f>IFERROR(VLOOKUP(M474,'02. MM-KLH'!$B$6:$T$823,17,0),"")</f>
        <v>177HP</v>
      </c>
      <c r="I474" s="614">
        <f>IFERROR(VLOOKUP(M474,'02. MM-KLH'!$B$6:$U$823,20,0),"")</f>
        <v>7</v>
      </c>
      <c r="J474" s="612" t="str">
        <f>IFERROR(VLOOKUP(M474,'02. MM-KLH'!$B$6:$T$823,19,0),"")</f>
        <v>6P15D005384</v>
      </c>
      <c r="K474" s="612" t="str">
        <f>IFERROR(VLOOKUP(M474,'02. MM-KLH'!$B$6:$T$823,18,0),"")</f>
        <v>RNHD1600DHC070065</v>
      </c>
      <c r="L474" s="613" t="str">
        <f>IFERROR(VLOOKUP(M474,'02. MM-KLH'!$B$6:$T$823,4,0),"")</f>
        <v/>
      </c>
      <c r="M474" s="488" t="s">
        <v>2181</v>
      </c>
      <c r="N474" s="615">
        <f>IFERROR(VLOOKUP(M474,'02. MM-KLH'!$B$6:$T$823,15,0),"")</f>
        <v>2022</v>
      </c>
      <c r="O474" s="616" t="str">
        <f>IFERROR(VLOOKUP(M474,'02. MM-KLH'!$B$6:$T$823,9,0),"")</f>
        <v>29/10/2024</v>
      </c>
      <c r="P474" s="566" t="s">
        <v>1565</v>
      </c>
      <c r="Q474" s="613"/>
      <c r="R474" s="774" t="s">
        <v>4158</v>
      </c>
      <c r="S474" s="613"/>
      <c r="T474" s="613"/>
      <c r="U474" s="559" t="str">
        <f>IFERROR(VLOOKUP(M474,'02. MM-KLH'!$B$6:$T$823,5,0),"")</f>
        <v>MỚI</v>
      </c>
      <c r="V474" s="523" t="str">
        <f>IFERROR(VLOOKUP(M474,'02. MM-KLH'!$B$6:$T$823,8,0),"")</f>
        <v>XN Bò AD</v>
      </c>
      <c r="W474" s="559" t="str">
        <f>IFERROR(VLOOKUP(V474,'NS QUẢN LÝ CG'!$A$4:$D$36,2,0),"")</f>
        <v>Trần Văn Nam</v>
      </c>
      <c r="X474" s="559" t="str">
        <f>IFERROR(VLOOKUP(V474,'NS QUẢN LÝ CG'!$A$4:$D$36,4,0),"")</f>
        <v>Lô 28 XN Bò</v>
      </c>
      <c r="Y474" s="559" t="str">
        <f>IFERROR(VLOOKUP(V474,'NS QUẢN LÝ CG'!$A$4:$C$36,3,0),"")</f>
        <v>0971993540</v>
      </c>
      <c r="Z474" s="523" t="str">
        <f>IFERROR(VLOOKUP(M474,'02. MM-KLH'!$B$6:$T$823,3,0),"")</f>
        <v>A22-XĐK-001</v>
      </c>
      <c r="AA474" s="559" t="str">
        <f t="shared" ref="AA474:AA475" si="32">SWITCH(LEFT(Z474,3),"A22","ADM","A23","DP","A24","LP","")</f>
        <v>ADM</v>
      </c>
      <c r="AB474" s="523"/>
      <c r="AC474" s="523"/>
    </row>
    <row r="475">
      <c r="A475" s="523"/>
      <c r="B475" s="612" t="str">
        <f>IFERROR(VLOOKUP(M475,'02. MM-KLH'!$B$6:$T$823,6,0),"")</f>
        <v>Xe đầu kéo TT261J-MT</v>
      </c>
      <c r="C475" s="566">
        <v>1.0</v>
      </c>
      <c r="D475" s="613" t="str">
        <f>IFERROR(VLOOKUP(M475,'02. MM-KLH'!$B$6:$T$823,16,0),"")</f>
        <v>THACO TT261J-MT</v>
      </c>
      <c r="E475" s="561" t="s">
        <v>4158</v>
      </c>
      <c r="F475" s="613"/>
      <c r="G475" s="613"/>
      <c r="H475" s="613" t="str">
        <f>IFERROR(VLOOKUP(M475,'02. MM-KLH'!$B$6:$T$823,17,0),"")</f>
        <v>295HP</v>
      </c>
      <c r="I475" s="614" t="str">
        <f>IFERROR(VLOOKUP(M475,'02. MM-KLH'!$B$6:$U$823,20,0),"")</f>
        <v/>
      </c>
      <c r="J475" s="612" t="str">
        <f>IFERROR(VLOOKUP(M475,'02. MM-KLH'!$B$6:$T$823,19,0),"")</f>
        <v>1024A000597</v>
      </c>
      <c r="K475" s="612" t="str">
        <f>IFERROR(VLOOKUP(M475,'02. MM-KLH'!$B$6:$T$823,18,0),"")</f>
        <v>RNHT16TWART098475</v>
      </c>
      <c r="L475" s="613" t="str">
        <f>IFERROR(VLOOKUP(M475,'02. MM-KLH'!$B$6:$T$823,4,0),"")</f>
        <v>3A-6806</v>
      </c>
      <c r="M475" s="488" t="s">
        <v>2189</v>
      </c>
      <c r="N475" s="615">
        <f>IFERROR(VLOOKUP(M475,'02. MM-KLH'!$B$6:$T$823,15,0),"")</f>
        <v>2024</v>
      </c>
      <c r="O475" s="616">
        <f>IFERROR(VLOOKUP(M475,'02. MM-KLH'!$B$6:$T$823,9,0),"")</f>
        <v>45692</v>
      </c>
      <c r="P475" s="774">
        <v>43169.0</v>
      </c>
      <c r="Q475" s="613"/>
      <c r="R475" s="774" t="s">
        <v>4158</v>
      </c>
      <c r="S475" s="613"/>
      <c r="T475" s="613"/>
      <c r="U475" s="559" t="str">
        <f>IFERROR(VLOOKUP(M475,'02. MM-KLH'!$B$6:$T$823,5,0),"")</f>
        <v>MỚI</v>
      </c>
      <c r="V475" s="523" t="str">
        <f>IFERROR(VLOOKUP(M475,'02. MM-KLH'!$B$6:$T$823,8,0),"")</f>
        <v>XN Bò AD</v>
      </c>
      <c r="W475" s="559" t="str">
        <f>IFERROR(VLOOKUP(V475,'NS QUẢN LÝ CG'!$A$4:$D$36,2,0),"")</f>
        <v>Trần Văn Nam</v>
      </c>
      <c r="X475" s="559" t="str">
        <f>IFERROR(VLOOKUP(V475,'NS QUẢN LÝ CG'!$A$4:$D$36,4,0),"")</f>
        <v>Lô 28 XN Bò</v>
      </c>
      <c r="Y475" s="559" t="str">
        <f>IFERROR(VLOOKUP(V475,'NS QUẢN LÝ CG'!$A$4:$C$36,3,0),"")</f>
        <v>0971993540</v>
      </c>
      <c r="Z475" s="523" t="str">
        <f>IFERROR(VLOOKUP(M475,'02. MM-KLH'!$B$6:$T$823,3,0),"")</f>
        <v>A22-XĐK-002</v>
      </c>
      <c r="AA475" s="559" t="str">
        <f t="shared" si="32"/>
        <v>ADM</v>
      </c>
      <c r="AB475" s="523"/>
      <c r="AC475" s="523"/>
    </row>
    <row r="476">
      <c r="A476" s="523"/>
      <c r="B476" s="612" t="str">
        <f>IFERROR(VLOOKUP(M476,'02. MM-KLH'!$B$6:$T$823,6,0),"")</f>
        <v/>
      </c>
      <c r="C476" s="566"/>
      <c r="D476" s="613" t="str">
        <f>IFERROR(VLOOKUP(M476,'02. MM-KLH'!$B$6:$T$823,16,0),"")</f>
        <v/>
      </c>
      <c r="E476" s="613"/>
      <c r="F476" s="613"/>
      <c r="G476" s="613"/>
      <c r="H476" s="613" t="str">
        <f>IFERROR(VLOOKUP(M476,'02. MM-KLH'!$B$6:$T$823,17,0),"")</f>
        <v/>
      </c>
      <c r="I476" s="614" t="str">
        <f>IFERROR(VLOOKUP(M476,'02. MM-KLH'!$B$6:$U$823,20,0),"")</f>
        <v/>
      </c>
      <c r="J476" s="612" t="str">
        <f>IFERROR(VLOOKUP(M476,'02. MM-KLH'!$B$6:$T$823,19,0),"")</f>
        <v/>
      </c>
      <c r="K476" s="612" t="str">
        <f>IFERROR(VLOOKUP(M476,'02. MM-KLH'!$B$6:$T$823,18,0),"")</f>
        <v/>
      </c>
      <c r="L476" s="613" t="str">
        <f>IFERROR(VLOOKUP(M476,'02. MM-KLH'!$B$6:$T$823,4,0),"")</f>
        <v/>
      </c>
      <c r="M476" s="488"/>
      <c r="N476" s="615" t="str">
        <f>IFERROR(VLOOKUP(M476,'02. MM-KLH'!$B$6:$T$823,15,0),"")</f>
        <v/>
      </c>
      <c r="O476" s="616" t="str">
        <f>IFERROR(VLOOKUP(M476,'02. MM-KLH'!$B$6:$T$823,9,0),"")</f>
        <v/>
      </c>
      <c r="P476" s="613"/>
      <c r="Q476" s="613"/>
      <c r="R476" s="613"/>
      <c r="S476" s="613"/>
      <c r="T476" s="613"/>
      <c r="U476" s="613" t="str">
        <f>IFERROR(VLOOKUP(M476,'02. MM-KLH'!$B$6:$T$823,2,0),"")</f>
        <v/>
      </c>
      <c r="V476" s="523" t="str">
        <f>IFERROR(VLOOKUP(M476,'02. MM-KLH'!$B$6:$T$823,8,0),"")</f>
        <v/>
      </c>
      <c r="W476" s="559" t="str">
        <f>IFERROR(VLOOKUP(V476,'NS QUẢN LÝ CG'!$A$4:$D$36,2,0),"")</f>
        <v/>
      </c>
      <c r="X476" s="559" t="str">
        <f>IFERROR(VLOOKUP(V476,'NS QUẢN LÝ CG'!$A$4:$D$36,4,0),"")</f>
        <v/>
      </c>
      <c r="Y476" s="613"/>
      <c r="Z476" s="523" t="str">
        <f>IFERROR(VLOOKUP(M476,'02. MM-KLH'!$B$6:$T$823,3,0),"")</f>
        <v/>
      </c>
      <c r="AA476" s="613"/>
      <c r="AB476" s="523"/>
      <c r="AC476" s="523"/>
    </row>
    <row r="477">
      <c r="A477" s="695">
        <v>2.0</v>
      </c>
      <c r="B477" s="696" t="s">
        <v>2203</v>
      </c>
      <c r="C477" s="697">
        <f>COUNTA(B478:B489)</f>
        <v>11</v>
      </c>
      <c r="D477" s="698" t="str">
        <f>IFERROR(VLOOKUP(M477,'02. MM-KLH'!$B$6:$T$823,16,0),"")</f>
        <v/>
      </c>
      <c r="E477" s="698"/>
      <c r="F477" s="698"/>
      <c r="G477" s="698"/>
      <c r="H477" s="558" t="str">
        <f>IFERROR(VLOOKUP(M477,'02. MM-KLH'!$B$6:$T$823,17,0),"")</f>
        <v/>
      </c>
      <c r="I477" s="558" t="str">
        <f>IFERROR(VLOOKUP(M477,'02. MM-KLH'!$B$6:$U$823,20,0),"")</f>
        <v/>
      </c>
      <c r="J477" s="699" t="str">
        <f>IFERROR(VLOOKUP(M477,'02. MM-KLH'!$B$6:$T$823,19,0),"")</f>
        <v/>
      </c>
      <c r="K477" s="699" t="str">
        <f>IFERROR(VLOOKUP(M477,'02. MM-KLH'!$B$6:$T$823,18,0),"")</f>
        <v/>
      </c>
      <c r="L477" s="698" t="str">
        <f>IFERROR(VLOOKUP(M477,'02. MM-KLH'!$B$6:$T$823,4,0),"")</f>
        <v/>
      </c>
      <c r="M477" s="700"/>
      <c r="N477" s="698" t="str">
        <f>IFERROR(VLOOKUP(M477,'02. MM-KLH'!$B$6:$T$823,15,0),"")</f>
        <v/>
      </c>
      <c r="O477" s="701" t="str">
        <f>IFERROR(VLOOKUP(M477,'02. MM-KLH'!$B$6:$T$823,9,0),"")</f>
        <v/>
      </c>
      <c r="P477" s="698"/>
      <c r="Q477" s="698"/>
      <c r="R477" s="698"/>
      <c r="S477" s="698"/>
      <c r="T477" s="698"/>
      <c r="U477" s="698" t="str">
        <f>IFERROR(VLOOKUP(M477,'02. MM-KLH'!$B$6:$T$823,2,0),"")</f>
        <v/>
      </c>
      <c r="V477" s="558" t="str">
        <f>IFERROR(VLOOKUP(M477,'02. MM-KLH'!$B$6:$T$823,8,0),"")</f>
        <v/>
      </c>
      <c r="W477" s="698"/>
      <c r="X477" s="698"/>
      <c r="Y477" s="698"/>
      <c r="Z477" s="558" t="str">
        <f>IFERROR(VLOOKUP(M477,'02. MM-KLH'!$B$6:$T$823,3,0),"")</f>
        <v/>
      </c>
      <c r="AA477" s="698"/>
      <c r="AB477" s="558"/>
      <c r="AC477" s="558"/>
    </row>
    <row r="478">
      <c r="A478" s="523"/>
      <c r="B478" s="612" t="str">
        <f>IFERROR(VLOOKUP(M478,'02. MM-KLH'!$B$6:$T$823,6,0),"")</f>
        <v>Xe đầu kéo HOWO</v>
      </c>
      <c r="C478" s="566">
        <v>1.0</v>
      </c>
      <c r="D478" s="613" t="str">
        <f>IFERROR(VLOOKUP(M478,'02. MM-KLH'!$B$6:$T$823,16,0),"")</f>
        <v>ZZ4187N391JE1</v>
      </c>
      <c r="E478" s="561" t="s">
        <v>4158</v>
      </c>
      <c r="F478" s="613"/>
      <c r="G478" s="613"/>
      <c r="H478" s="613" t="str">
        <f>IFERROR(VLOOKUP(M478,'02. MM-KLH'!$B$6:$T$823,17,0),"")</f>
        <v>299HP</v>
      </c>
      <c r="I478" s="614" t="str">
        <f>IFERROR(VLOOKUP(M478,'02. MM-KLH'!$B$6:$U$823,20,0),"")</f>
        <v/>
      </c>
      <c r="J478" s="612" t="str">
        <f>IFERROR(VLOOKUP(M478,'02. MM-KLH'!$B$6:$T$823,19,0),"")</f>
        <v>WP7.300E51*1025G007299*</v>
      </c>
      <c r="K478" s="612" t="str">
        <f>IFERROR(VLOOKUP(M478,'02. MM-KLH'!$B$6:$T$823,18,0),"")</f>
        <v>LZZ1CCMD2SJ416137</v>
      </c>
      <c r="L478" s="613" t="str">
        <f>IFERROR(VLOOKUP(M478,'02. MM-KLH'!$B$6:$T$823,4,0),"")</f>
        <v>3A-6837</v>
      </c>
      <c r="M478" s="488" t="s">
        <v>2198</v>
      </c>
      <c r="N478" s="615">
        <f>IFERROR(VLOOKUP(M478,'02. MM-KLH'!$B$6:$T$823,15,0),"")</f>
        <v>2025</v>
      </c>
      <c r="O478" s="616">
        <f>IFERROR(VLOOKUP(M478,'02. MM-KLH'!$B$6:$T$823,9,0),"")</f>
        <v>45909</v>
      </c>
      <c r="P478" s="783"/>
      <c r="Q478" s="613"/>
      <c r="R478" s="774" t="s">
        <v>4158</v>
      </c>
      <c r="S478" s="613"/>
      <c r="T478" s="613"/>
      <c r="U478" s="559" t="str">
        <f>IFERROR(VLOOKUP(M478,'02. MM-KLH'!$B$6:$T$823,5,0),"")</f>
        <v>MỚI</v>
      </c>
      <c r="V478" s="523" t="str">
        <f>IFERROR(VLOOKUP(M478,'02. MM-KLH'!$B$6:$T$823,8,0),"")</f>
        <v>XN Bò AD</v>
      </c>
      <c r="W478" s="559" t="str">
        <f>IFERROR(VLOOKUP(V478,'NS QUẢN LÝ CG'!$A$4:$D$36,2,0),"")</f>
        <v>Trần Văn Nam</v>
      </c>
      <c r="X478" s="559" t="str">
        <f>IFERROR(VLOOKUP(V478,'NS QUẢN LÝ CG'!$A$4:$D$36,4,0),"")</f>
        <v>Lô 28 XN Bò</v>
      </c>
      <c r="Y478" s="559" t="str">
        <f>IFERROR(VLOOKUP(V478,'NS QUẢN LÝ CG'!$A$4:$C$36,3,0),"")</f>
        <v>0971993540</v>
      </c>
      <c r="Z478" s="523" t="str">
        <f>IFERROR(VLOOKUP(M478,'02. MM-KLH'!$B$6:$T$823,3,0),"")</f>
        <v>A22-XĐK-003</v>
      </c>
      <c r="AA478" s="559" t="str">
        <f t="shared" ref="AA478:AA488" si="33">SWITCH(LEFT(Z478,3),"A22","ADM","A23","DP","A24","LP","")</f>
        <v>ADM</v>
      </c>
      <c r="AB478" s="523"/>
      <c r="AC478" s="523"/>
    </row>
    <row r="479">
      <c r="A479" s="523"/>
      <c r="B479" s="612" t="str">
        <f>IFERROR(VLOOKUP(M479,'02. MM-KLH'!$B$6:$T$823,6,0),"")</f>
        <v>Xe đầu kéo HOWO</v>
      </c>
      <c r="C479" s="566">
        <v>1.0</v>
      </c>
      <c r="D479" s="613" t="str">
        <f>IFERROR(VLOOKUP(M479,'02. MM-KLH'!$B$6:$T$823,16,0),"")</f>
        <v>ZZ4187N391JE1</v>
      </c>
      <c r="E479" s="561" t="s">
        <v>4158</v>
      </c>
      <c r="F479" s="613"/>
      <c r="G479" s="613"/>
      <c r="H479" s="613" t="str">
        <f>IFERROR(VLOOKUP(M479,'02. MM-KLH'!$B$6:$T$823,17,0),"")</f>
        <v>299HP</v>
      </c>
      <c r="I479" s="614" t="str">
        <f>IFERROR(VLOOKUP(M479,'02. MM-KLH'!$B$6:$U$823,20,0),"")</f>
        <v/>
      </c>
      <c r="J479" s="612" t="str">
        <f>IFERROR(VLOOKUP(M479,'02. MM-KLH'!$B$6:$T$823,19,0),"")</f>
        <v>WP7.300E51*1025G006835*</v>
      </c>
      <c r="K479" s="612" t="str">
        <f>IFERROR(VLOOKUP(M479,'02. MM-KLH'!$B$6:$T$823,18,0),"")</f>
        <v>LZZ1CCMD7SJ415209</v>
      </c>
      <c r="L479" s="613" t="str">
        <f>IFERROR(VLOOKUP(M479,'02. MM-KLH'!$B$6:$T$823,4,0),"")</f>
        <v>3A-6839</v>
      </c>
      <c r="M479" s="488" t="s">
        <v>2208</v>
      </c>
      <c r="N479" s="615">
        <f>IFERROR(VLOOKUP(M479,'02. MM-KLH'!$B$6:$T$823,15,0),"")</f>
        <v>2025</v>
      </c>
      <c r="O479" s="616">
        <f>IFERROR(VLOOKUP(M479,'02. MM-KLH'!$B$6:$T$823,9,0),"")</f>
        <v>45879</v>
      </c>
      <c r="P479" s="774">
        <v>15196.0</v>
      </c>
      <c r="Q479" s="613"/>
      <c r="R479" s="774" t="s">
        <v>4158</v>
      </c>
      <c r="S479" s="613"/>
      <c r="T479" s="613"/>
      <c r="U479" s="559" t="str">
        <f>IFERROR(VLOOKUP(M479,'02. MM-KLH'!$B$6:$T$823,5,0),"")</f>
        <v>MỚI</v>
      </c>
      <c r="V479" s="523" t="str">
        <f>IFERROR(VLOOKUP(M479,'02. MM-KLH'!$B$6:$T$823,8,0),"")</f>
        <v>XN Bò AD</v>
      </c>
      <c r="W479" s="559" t="str">
        <f>IFERROR(VLOOKUP(V479,'NS QUẢN LÝ CG'!$A$4:$D$36,2,0),"")</f>
        <v>Trần Văn Nam</v>
      </c>
      <c r="X479" s="559" t="str">
        <f>IFERROR(VLOOKUP(V479,'NS QUẢN LÝ CG'!$A$4:$D$36,4,0),"")</f>
        <v>Lô 28 XN Bò</v>
      </c>
      <c r="Y479" s="559" t="str">
        <f>IFERROR(VLOOKUP(V479,'NS QUẢN LÝ CG'!$A$4:$C$36,3,0),"")</f>
        <v>0971993540</v>
      </c>
      <c r="Z479" s="523" t="str">
        <f>IFERROR(VLOOKUP(M479,'02. MM-KLH'!$B$6:$T$823,3,0),"")</f>
        <v>A22-XĐK-004</v>
      </c>
      <c r="AA479" s="559" t="str">
        <f t="shared" si="33"/>
        <v>ADM</v>
      </c>
      <c r="AB479" s="523"/>
      <c r="AC479" s="523"/>
    </row>
    <row r="480">
      <c r="A480" s="523"/>
      <c r="B480" s="612" t="str">
        <f>IFERROR(VLOOKUP(M480,'02. MM-KLH'!$B$6:$T$823,6,0),"")</f>
        <v>Xe đầu kéo HOWO</v>
      </c>
      <c r="C480" s="566">
        <v>1.0</v>
      </c>
      <c r="D480" s="613" t="str">
        <f>IFERROR(VLOOKUP(M480,'02. MM-KLH'!$B$6:$T$823,16,0),"")</f>
        <v>ZZ4187N391JE1</v>
      </c>
      <c r="E480" s="561" t="s">
        <v>4158</v>
      </c>
      <c r="F480" s="613"/>
      <c r="G480" s="613"/>
      <c r="H480" s="613" t="str">
        <f>IFERROR(VLOOKUP(M480,'02. MM-KLH'!$B$6:$T$823,17,0),"")</f>
        <v>299HP</v>
      </c>
      <c r="I480" s="614" t="str">
        <f>IFERROR(VLOOKUP(M480,'02. MM-KLH'!$B$6:$U$823,20,0),"")</f>
        <v/>
      </c>
      <c r="J480" s="612" t="str">
        <f>IFERROR(VLOOKUP(M480,'02. MM-KLH'!$B$6:$T$823,19,0),"")</f>
        <v>WP7.300E51*1025G006838*</v>
      </c>
      <c r="K480" s="612" t="str">
        <f>IFERROR(VLOOKUP(M480,'02. MM-KLH'!$B$6:$T$823,18,0),"")</f>
        <v>LZZ1CCMD3SJ415210</v>
      </c>
      <c r="L480" s="613" t="str">
        <f>IFERROR(VLOOKUP(M480,'02. MM-KLH'!$B$6:$T$823,4,0),"")</f>
        <v>3A-6836</v>
      </c>
      <c r="M480" s="488" t="s">
        <v>2214</v>
      </c>
      <c r="N480" s="615">
        <f>IFERROR(VLOOKUP(M480,'02. MM-KLH'!$B$6:$T$823,15,0),"")</f>
        <v>2025</v>
      </c>
      <c r="O480" s="616">
        <f>IFERROR(VLOOKUP(M480,'02. MM-KLH'!$B$6:$T$823,9,0),"")</f>
        <v>45879</v>
      </c>
      <c r="P480" s="774">
        <v>18455.0</v>
      </c>
      <c r="Q480" s="613"/>
      <c r="R480" s="774" t="s">
        <v>4158</v>
      </c>
      <c r="S480" s="613"/>
      <c r="T480" s="613"/>
      <c r="U480" s="559" t="str">
        <f>IFERROR(VLOOKUP(M480,'02. MM-KLH'!$B$6:$T$823,5,0),"")</f>
        <v>MỚI</v>
      </c>
      <c r="V480" s="523" t="str">
        <f>IFERROR(VLOOKUP(M480,'02. MM-KLH'!$B$6:$T$823,8,0),"")</f>
        <v>XN Bò AD</v>
      </c>
      <c r="W480" s="559" t="str">
        <f>IFERROR(VLOOKUP(V480,'NS QUẢN LÝ CG'!$A$4:$D$36,2,0),"")</f>
        <v>Trần Văn Nam</v>
      </c>
      <c r="X480" s="559" t="str">
        <f>IFERROR(VLOOKUP(V480,'NS QUẢN LÝ CG'!$A$4:$D$36,4,0),"")</f>
        <v>Lô 28 XN Bò</v>
      </c>
      <c r="Y480" s="559" t="str">
        <f>IFERROR(VLOOKUP(V480,'NS QUẢN LÝ CG'!$A$4:$C$36,3,0),"")</f>
        <v>0971993540</v>
      </c>
      <c r="Z480" s="523" t="str">
        <f>IFERROR(VLOOKUP(M480,'02. MM-KLH'!$B$6:$T$823,3,0),"")</f>
        <v>A22-XĐK-005</v>
      </c>
      <c r="AA480" s="559" t="str">
        <f t="shared" si="33"/>
        <v>ADM</v>
      </c>
      <c r="AB480" s="523"/>
      <c r="AC480" s="523"/>
    </row>
    <row r="481">
      <c r="A481" s="523"/>
      <c r="B481" s="612" t="str">
        <f>IFERROR(VLOOKUP(M481,'02. MM-KLH'!$B$6:$T$823,6,0),"")</f>
        <v>Xe đầu kéo HOWO</v>
      </c>
      <c r="C481" s="566">
        <v>1.0</v>
      </c>
      <c r="D481" s="613" t="str">
        <f>IFERROR(VLOOKUP(M481,'02. MM-KLH'!$B$6:$T$823,16,0),"")</f>
        <v>ZZ4187N391JE1</v>
      </c>
      <c r="E481" s="561" t="s">
        <v>4158</v>
      </c>
      <c r="F481" s="613"/>
      <c r="G481" s="613"/>
      <c r="H481" s="613" t="str">
        <f>IFERROR(VLOOKUP(M481,'02. MM-KLH'!$B$6:$T$823,17,0),"")</f>
        <v>299HP</v>
      </c>
      <c r="I481" s="614" t="str">
        <f>IFERROR(VLOOKUP(M481,'02. MM-KLH'!$B$6:$U$823,20,0),"")</f>
        <v/>
      </c>
      <c r="J481" s="612" t="str">
        <f>IFERROR(VLOOKUP(M481,'02. MM-KLH'!$B$6:$T$823,19,0),"")</f>
        <v>WP7.300E51*1025G006833*</v>
      </c>
      <c r="K481" s="612" t="str">
        <f>IFERROR(VLOOKUP(M481,'02. MM-KLH'!$B$6:$T$823,18,0),"")</f>
        <v>LZZ1CCMD3SJ415207</v>
      </c>
      <c r="L481" s="613" t="str">
        <f>IFERROR(VLOOKUP(M481,'02. MM-KLH'!$B$6:$T$823,4,0),"")</f>
        <v>3A-6835</v>
      </c>
      <c r="M481" s="488" t="s">
        <v>2220</v>
      </c>
      <c r="N481" s="615">
        <f>IFERROR(VLOOKUP(M481,'02. MM-KLH'!$B$6:$T$823,15,0),"")</f>
        <v>2025</v>
      </c>
      <c r="O481" s="616" t="str">
        <f>IFERROR(VLOOKUP(M481,'02. MM-KLH'!$B$6:$T$823,9,0),"")</f>
        <v>31/10/2025</v>
      </c>
      <c r="P481" s="774">
        <v>16458.0</v>
      </c>
      <c r="Q481" s="613"/>
      <c r="R481" s="774" t="s">
        <v>4158</v>
      </c>
      <c r="S481" s="613"/>
      <c r="T481" s="613"/>
      <c r="U481" s="559" t="str">
        <f>IFERROR(VLOOKUP(M481,'02. MM-KLH'!$B$6:$T$823,5,0),"")</f>
        <v>MỚI</v>
      </c>
      <c r="V481" s="523" t="str">
        <f>IFERROR(VLOOKUP(M481,'02. MM-KLH'!$B$6:$T$823,8,0),"")</f>
        <v>XN Bò AD</v>
      </c>
      <c r="W481" s="559" t="str">
        <f>IFERROR(VLOOKUP(V481,'NS QUẢN LÝ CG'!$A$4:$D$36,2,0),"")</f>
        <v>Trần Văn Nam</v>
      </c>
      <c r="X481" s="559" t="str">
        <f>IFERROR(VLOOKUP(V481,'NS QUẢN LÝ CG'!$A$4:$D$36,4,0),"")</f>
        <v>Lô 28 XN Bò</v>
      </c>
      <c r="Y481" s="559" t="str">
        <f>IFERROR(VLOOKUP(V481,'NS QUẢN LÝ CG'!$A$4:$C$36,3,0),"")</f>
        <v>0971993540</v>
      </c>
      <c r="Z481" s="523" t="str">
        <f>IFERROR(VLOOKUP(M481,'02. MM-KLH'!$B$6:$T$823,3,0),"")</f>
        <v>A22-XĐK-006</v>
      </c>
      <c r="AA481" s="559" t="str">
        <f t="shared" si="33"/>
        <v>ADM</v>
      </c>
      <c r="AB481" s="523"/>
      <c r="AC481" s="523"/>
    </row>
    <row r="482">
      <c r="A482" s="523"/>
      <c r="B482" s="612" t="str">
        <f>IFERROR(VLOOKUP(M482,'02. MM-KLH'!$B$6:$T$823,6,0),"")</f>
        <v>Xe đầu kéo HOWO</v>
      </c>
      <c r="C482" s="566">
        <v>1.0</v>
      </c>
      <c r="D482" s="613" t="str">
        <f>IFERROR(VLOOKUP(M482,'02. MM-KLH'!$B$6:$T$823,16,0),"")</f>
        <v>ZZ4187N391JE1</v>
      </c>
      <c r="E482" s="561" t="s">
        <v>4158</v>
      </c>
      <c r="F482" s="613"/>
      <c r="G482" s="613"/>
      <c r="H482" s="613" t="str">
        <f>IFERROR(VLOOKUP(M482,'02. MM-KLH'!$B$6:$T$823,17,0),"")</f>
        <v>299HP</v>
      </c>
      <c r="I482" s="614" t="str">
        <f>IFERROR(VLOOKUP(M482,'02. MM-KLH'!$B$6:$U$823,20,0),"")</f>
        <v/>
      </c>
      <c r="J482" s="612" t="str">
        <f>IFERROR(VLOOKUP(M482,'02. MM-KLH'!$B$6:$T$823,19,0),"")</f>
        <v>WP7.300E51*1025G006834*</v>
      </c>
      <c r="K482" s="612" t="str">
        <f>IFERROR(VLOOKUP(M482,'02. MM-KLH'!$B$6:$T$823,18,0),"")</f>
        <v>LZZ1CCMD3SJ415208</v>
      </c>
      <c r="L482" s="613" t="str">
        <f>IFERROR(VLOOKUP(M482,'02. MM-KLH'!$B$6:$T$823,4,0),"")</f>
        <v>3A-6840</v>
      </c>
      <c r="M482" s="488" t="s">
        <v>2227</v>
      </c>
      <c r="N482" s="615">
        <f>IFERROR(VLOOKUP(M482,'02. MM-KLH'!$B$6:$T$823,15,0),"")</f>
        <v>2025</v>
      </c>
      <c r="O482" s="616" t="str">
        <f>IFERROR(VLOOKUP(M482,'02. MM-KLH'!$B$6:$T$823,9,0),"")</f>
        <v>24/10/2025</v>
      </c>
      <c r="P482" s="783"/>
      <c r="Q482" s="613"/>
      <c r="R482" s="774" t="s">
        <v>4158</v>
      </c>
      <c r="S482" s="613"/>
      <c r="T482" s="613"/>
      <c r="U482" s="559" t="str">
        <f>IFERROR(VLOOKUP(M482,'02. MM-KLH'!$B$6:$T$823,5,0),"")</f>
        <v>MỚI</v>
      </c>
      <c r="V482" s="523" t="str">
        <f>IFERROR(VLOOKUP(M482,'02. MM-KLH'!$B$6:$T$823,8,0),"")</f>
        <v>XN Bò AD</v>
      </c>
      <c r="W482" s="559" t="str">
        <f>IFERROR(VLOOKUP(V482,'NS QUẢN LÝ CG'!$A$4:$D$36,2,0),"")</f>
        <v>Trần Văn Nam</v>
      </c>
      <c r="X482" s="559" t="str">
        <f>IFERROR(VLOOKUP(V482,'NS QUẢN LÝ CG'!$A$4:$D$36,4,0),"")</f>
        <v>Lô 28 XN Bò</v>
      </c>
      <c r="Y482" s="559" t="str">
        <f>IFERROR(VLOOKUP(V482,'NS QUẢN LÝ CG'!$A$4:$C$36,3,0),"")</f>
        <v>0971993540</v>
      </c>
      <c r="Z482" s="523" t="str">
        <f>IFERROR(VLOOKUP(M482,'02. MM-KLH'!$B$6:$T$823,3,0),"")</f>
        <v>A22-XĐK-007</v>
      </c>
      <c r="AA482" s="559" t="str">
        <f t="shared" si="33"/>
        <v>ADM</v>
      </c>
      <c r="AB482" s="523"/>
      <c r="AC482" s="523"/>
    </row>
    <row r="483">
      <c r="A483" s="523"/>
      <c r="B483" s="612" t="str">
        <f>IFERROR(VLOOKUP(M483,'02. MM-KLH'!$B$6:$T$823,6,0),"")</f>
        <v>Xe đầu kéo HOWO</v>
      </c>
      <c r="C483" s="566">
        <v>1.0</v>
      </c>
      <c r="D483" s="613" t="str">
        <f>IFERROR(VLOOKUP(M483,'02. MM-KLH'!$B$6:$T$823,16,0),"")</f>
        <v>ZZ4187N391JE1</v>
      </c>
      <c r="E483" s="561" t="s">
        <v>4158</v>
      </c>
      <c r="F483" s="613"/>
      <c r="G483" s="613"/>
      <c r="H483" s="613" t="str">
        <f>IFERROR(VLOOKUP(M483,'02. MM-KLH'!$B$6:$T$823,17,0),"")</f>
        <v>299HP</v>
      </c>
      <c r="I483" s="614" t="str">
        <f>IFERROR(VLOOKUP(M483,'02. MM-KLH'!$B$6:$U$823,20,0),"")</f>
        <v/>
      </c>
      <c r="J483" s="612" t="str">
        <f>IFERROR(VLOOKUP(M483,'02. MM-KLH'!$B$6:$T$823,19,0),"")</f>
        <v>WP7.300E51*1025G007295*</v>
      </c>
      <c r="K483" s="612" t="str">
        <f>IFERROR(VLOOKUP(M483,'02. MM-KLH'!$B$6:$T$823,18,0),"")</f>
        <v>LZZ1CCMD4SJ416138</v>
      </c>
      <c r="L483" s="613" t="str">
        <f>IFERROR(VLOOKUP(M483,'02. MM-KLH'!$B$6:$T$823,4,0),"")</f>
        <v>3A-6832</v>
      </c>
      <c r="M483" s="488" t="s">
        <v>2234</v>
      </c>
      <c r="N483" s="615">
        <f>IFERROR(VLOOKUP(M483,'02. MM-KLH'!$B$6:$T$823,15,0),"")</f>
        <v>2025</v>
      </c>
      <c r="O483" s="616">
        <f>IFERROR(VLOOKUP(M483,'02. MM-KLH'!$B$6:$T$823,9,0),"")</f>
        <v>46082</v>
      </c>
      <c r="P483" s="774">
        <v>13002.0</v>
      </c>
      <c r="Q483" s="613"/>
      <c r="R483" s="774" t="s">
        <v>4158</v>
      </c>
      <c r="S483" s="613"/>
      <c r="T483" s="613"/>
      <c r="U483" s="559" t="str">
        <f>IFERROR(VLOOKUP(M483,'02. MM-KLH'!$B$6:$T$823,5,0),"")</f>
        <v>MỚI</v>
      </c>
      <c r="V483" s="523" t="str">
        <f>IFERROR(VLOOKUP(M483,'02. MM-KLH'!$B$6:$T$823,8,0),"")</f>
        <v>XN Bò AD</v>
      </c>
      <c r="W483" s="559" t="str">
        <f>IFERROR(VLOOKUP(V483,'NS QUẢN LÝ CG'!$A$4:$D$36,2,0),"")</f>
        <v>Trần Văn Nam</v>
      </c>
      <c r="X483" s="559" t="str">
        <f>IFERROR(VLOOKUP(V483,'NS QUẢN LÝ CG'!$A$4:$D$36,4,0),"")</f>
        <v>Lô 28 XN Bò</v>
      </c>
      <c r="Y483" s="559" t="str">
        <f>IFERROR(VLOOKUP(V483,'NS QUẢN LÝ CG'!$A$4:$C$36,3,0),"")</f>
        <v>0971993540</v>
      </c>
      <c r="Z483" s="523" t="str">
        <f>IFERROR(VLOOKUP(M483,'02. MM-KLH'!$B$6:$T$823,3,0),"")</f>
        <v>A22-XĐK-008</v>
      </c>
      <c r="AA483" s="559" t="str">
        <f t="shared" si="33"/>
        <v>ADM</v>
      </c>
      <c r="AB483" s="523"/>
      <c r="AC483" s="523"/>
    </row>
    <row r="484">
      <c r="A484" s="523"/>
      <c r="B484" s="612" t="str">
        <f>IFERROR(VLOOKUP(M484,'02. MM-KLH'!$B$6:$T$823,6,0),"")</f>
        <v>Xe đầu kéo HOWO</v>
      </c>
      <c r="C484" s="566">
        <v>1.0</v>
      </c>
      <c r="D484" s="613" t="str">
        <f>IFERROR(VLOOKUP(M484,'02. MM-KLH'!$B$6:$T$823,16,0),"")</f>
        <v>ZZ4187N391JE1</v>
      </c>
      <c r="E484" s="561" t="s">
        <v>4158</v>
      </c>
      <c r="F484" s="613"/>
      <c r="G484" s="613"/>
      <c r="H484" s="613" t="str">
        <f>IFERROR(VLOOKUP(M484,'02. MM-KLH'!$B$6:$T$823,17,0),"")</f>
        <v>299HP</v>
      </c>
      <c r="I484" s="614" t="str">
        <f>IFERROR(VLOOKUP(M484,'02. MM-KLH'!$B$6:$U$823,20,0),"")</f>
        <v/>
      </c>
      <c r="J484" s="612" t="str">
        <f>IFERROR(VLOOKUP(M484,'02. MM-KLH'!$B$6:$T$823,19,0),"")</f>
        <v>WP7.300E51*1025G007305*</v>
      </c>
      <c r="K484" s="612" t="str">
        <f>IFERROR(VLOOKUP(M484,'02. MM-KLH'!$B$6:$T$823,18,0),"")</f>
        <v>LZZ1CCMD5SJ416133</v>
      </c>
      <c r="L484" s="613" t="str">
        <f>IFERROR(VLOOKUP(M484,'02. MM-KLH'!$B$6:$T$823,4,0),"")</f>
        <v>3A-6831</v>
      </c>
      <c r="M484" s="488" t="s">
        <v>2240</v>
      </c>
      <c r="N484" s="615">
        <f>IFERROR(VLOOKUP(M484,'02. MM-KLH'!$B$6:$T$823,15,0),"")</f>
        <v>2025</v>
      </c>
      <c r="O484" s="616" t="str">
        <f>IFERROR(VLOOKUP(M484,'02. MM-KLH'!$B$6:$T$823,9,0),"")</f>
        <v>23/12/2025</v>
      </c>
      <c r="P484" s="774">
        <v>12511.0</v>
      </c>
      <c r="Q484" s="613"/>
      <c r="R484" s="774" t="s">
        <v>4158</v>
      </c>
      <c r="S484" s="613"/>
      <c r="T484" s="613"/>
      <c r="U484" s="559" t="str">
        <f>IFERROR(VLOOKUP(M484,'02. MM-KLH'!$B$6:$T$823,5,0),"")</f>
        <v>MỚI</v>
      </c>
      <c r="V484" s="523" t="str">
        <f>IFERROR(VLOOKUP(M484,'02. MM-KLH'!$B$6:$T$823,8,0),"")</f>
        <v>XN Bò AD</v>
      </c>
      <c r="W484" s="559" t="str">
        <f>IFERROR(VLOOKUP(V484,'NS QUẢN LÝ CG'!$A$4:$D$36,2,0),"")</f>
        <v>Trần Văn Nam</v>
      </c>
      <c r="X484" s="559" t="str">
        <f>IFERROR(VLOOKUP(V484,'NS QUẢN LÝ CG'!$A$4:$D$36,4,0),"")</f>
        <v>Lô 28 XN Bò</v>
      </c>
      <c r="Y484" s="559" t="str">
        <f>IFERROR(VLOOKUP(V484,'NS QUẢN LÝ CG'!$A$4:$C$36,3,0),"")</f>
        <v>0971993540</v>
      </c>
      <c r="Z484" s="523" t="str">
        <f>IFERROR(VLOOKUP(M484,'02. MM-KLH'!$B$6:$T$823,3,0),"")</f>
        <v>A22-XĐK-009</v>
      </c>
      <c r="AA484" s="559" t="str">
        <f t="shared" si="33"/>
        <v>ADM</v>
      </c>
      <c r="AB484" s="523"/>
      <c r="AC484" s="523"/>
    </row>
    <row r="485">
      <c r="A485" s="523"/>
      <c r="B485" s="612" t="str">
        <f>IFERROR(VLOOKUP(M485,'02. MM-KLH'!$B$6:$T$823,6,0),"")</f>
        <v>Xe đầu kéo HOWO</v>
      </c>
      <c r="C485" s="566">
        <v>1.0</v>
      </c>
      <c r="D485" s="613" t="str">
        <f>IFERROR(VLOOKUP(M485,'02. MM-KLH'!$B$6:$T$823,16,0),"")</f>
        <v>ZZ4187N391JE1</v>
      </c>
      <c r="E485" s="561" t="s">
        <v>4158</v>
      </c>
      <c r="F485" s="613"/>
      <c r="G485" s="613"/>
      <c r="H485" s="613" t="str">
        <f>IFERROR(VLOOKUP(M485,'02. MM-KLH'!$B$6:$T$823,17,0),"")</f>
        <v>299 HP</v>
      </c>
      <c r="I485" s="614" t="str">
        <f>IFERROR(VLOOKUP(M485,'02. MM-KLH'!$B$6:$U$823,20,0),"")</f>
        <v/>
      </c>
      <c r="J485" s="612" t="str">
        <f>IFERROR(VLOOKUP(M485,'02. MM-KLH'!$B$6:$T$823,19,0),"")</f>
        <v>WP7.300E51*1025G007298*</v>
      </c>
      <c r="K485" s="612" t="str">
        <f>IFERROR(VLOOKUP(M485,'02. MM-KLH'!$B$6:$T$823,18,0),"")</f>
        <v>LZZ1CCMD6SJ416125</v>
      </c>
      <c r="L485" s="613" t="str">
        <f>IFERROR(VLOOKUP(M485,'02. MM-KLH'!$B$6:$T$823,4,0),"")</f>
        <v>3A-6842</v>
      </c>
      <c r="M485" s="488" t="s">
        <v>2247</v>
      </c>
      <c r="N485" s="615">
        <f>IFERROR(VLOOKUP(M485,'02. MM-KLH'!$B$6:$T$823,15,0),"")</f>
        <v>2025</v>
      </c>
      <c r="O485" s="616">
        <f>IFERROR(VLOOKUP(M485,'02. MM-KLH'!$B$6:$T$823,9,0),"")</f>
        <v>46176</v>
      </c>
      <c r="P485" s="774">
        <v>10126.0</v>
      </c>
      <c r="Q485" s="613"/>
      <c r="R485" s="774" t="s">
        <v>4158</v>
      </c>
      <c r="S485" s="613"/>
      <c r="T485" s="613"/>
      <c r="U485" s="559" t="str">
        <f>IFERROR(VLOOKUP(M485,'02. MM-KLH'!$B$6:$T$823,5,0),"")</f>
        <v>MỚI</v>
      </c>
      <c r="V485" s="523" t="str">
        <f>IFERROR(VLOOKUP(M485,'02. MM-KLH'!$B$6:$T$823,8,0),"")</f>
        <v>XN Bò AD</v>
      </c>
      <c r="W485" s="559" t="str">
        <f>IFERROR(VLOOKUP(V485,'NS QUẢN LÝ CG'!$A$4:$D$36,2,0),"")</f>
        <v>Trần Văn Nam</v>
      </c>
      <c r="X485" s="559" t="str">
        <f>IFERROR(VLOOKUP(V485,'NS QUẢN LÝ CG'!$A$4:$D$36,4,0),"")</f>
        <v>Lô 28 XN Bò</v>
      </c>
      <c r="Y485" s="559" t="str">
        <f>IFERROR(VLOOKUP(V485,'NS QUẢN LÝ CG'!$A$4:$C$36,3,0),"")</f>
        <v>0971993540</v>
      </c>
      <c r="Z485" s="523" t="str">
        <f>IFERROR(VLOOKUP(M485,'02. MM-KLH'!$B$6:$T$823,3,0),"")</f>
        <v>A22-XĐK-010</v>
      </c>
      <c r="AA485" s="559" t="str">
        <f t="shared" si="33"/>
        <v>ADM</v>
      </c>
      <c r="AB485" s="523"/>
      <c r="AC485" s="523"/>
    </row>
    <row r="486">
      <c r="A486" s="523"/>
      <c r="B486" s="612" t="str">
        <f>IFERROR(VLOOKUP(M486,'02. MM-KLH'!$B$6:$T$823,6,0),"")</f>
        <v>Xe đầu kéo HOWO</v>
      </c>
      <c r="C486" s="566">
        <v>1.0</v>
      </c>
      <c r="D486" s="613" t="str">
        <f>IFERROR(VLOOKUP(M486,'02. MM-KLH'!$B$6:$T$823,16,0),"")</f>
        <v>ZZ4187N391JE1</v>
      </c>
      <c r="E486" s="561" t="s">
        <v>4158</v>
      </c>
      <c r="F486" s="613"/>
      <c r="G486" s="613"/>
      <c r="H486" s="613" t="str">
        <f>IFERROR(VLOOKUP(M486,'02. MM-KLH'!$B$6:$T$823,17,0),"")</f>
        <v>299 HP</v>
      </c>
      <c r="I486" s="614" t="str">
        <f>IFERROR(VLOOKUP(M486,'02. MM-KLH'!$B$6:$U$823,20,0),"")</f>
        <v/>
      </c>
      <c r="J486" s="612" t="str">
        <f>IFERROR(VLOOKUP(M486,'02. MM-KLH'!$B$6:$T$823,19,0),"")</f>
        <v>WP7.300E51*1025G007310*</v>
      </c>
      <c r="K486" s="612" t="str">
        <f>IFERROR(VLOOKUP(M486,'02. MM-KLH'!$B$6:$T$823,18,0),"")</f>
        <v>LZZ1CCMD9SJ416135</v>
      </c>
      <c r="L486" s="613" t="str">
        <f>IFERROR(VLOOKUP(M486,'02. MM-KLH'!$B$6:$T$823,4,0),"")</f>
        <v>3A-6838</v>
      </c>
      <c r="M486" s="488" t="s">
        <v>2254</v>
      </c>
      <c r="N486" s="615">
        <f>IFERROR(VLOOKUP(M486,'02. MM-KLH'!$B$6:$T$823,15,0),"")</f>
        <v>2025</v>
      </c>
      <c r="O486" s="616">
        <f>IFERROR(VLOOKUP(M486,'02. MM-KLH'!$B$6:$T$823,9,0),"")</f>
        <v>46176</v>
      </c>
      <c r="P486" s="774">
        <v>10833.0</v>
      </c>
      <c r="Q486" s="613"/>
      <c r="R486" s="774" t="s">
        <v>4158</v>
      </c>
      <c r="S486" s="613"/>
      <c r="T486" s="613"/>
      <c r="U486" s="559" t="str">
        <f>IFERROR(VLOOKUP(M486,'02. MM-KLH'!$B$6:$T$823,5,0),"")</f>
        <v>MỚI</v>
      </c>
      <c r="V486" s="523" t="str">
        <f>IFERROR(VLOOKUP(M486,'02. MM-KLH'!$B$6:$T$823,8,0),"")</f>
        <v>XN Bò AD</v>
      </c>
      <c r="W486" s="559" t="str">
        <f>IFERROR(VLOOKUP(V486,'NS QUẢN LÝ CG'!$A$4:$D$36,2,0),"")</f>
        <v>Trần Văn Nam</v>
      </c>
      <c r="X486" s="559" t="str">
        <f>IFERROR(VLOOKUP(V486,'NS QUẢN LÝ CG'!$A$4:$D$36,4,0),"")</f>
        <v>Lô 28 XN Bò</v>
      </c>
      <c r="Y486" s="559" t="str">
        <f>IFERROR(VLOOKUP(V486,'NS QUẢN LÝ CG'!$A$4:$C$36,3,0),"")</f>
        <v>0971993540</v>
      </c>
      <c r="Z486" s="523" t="str">
        <f>IFERROR(VLOOKUP(M486,'02. MM-KLH'!$B$6:$T$823,3,0),"")</f>
        <v>A22-XĐK-011</v>
      </c>
      <c r="AA486" s="559" t="str">
        <f t="shared" si="33"/>
        <v>ADM</v>
      </c>
      <c r="AB486" s="523"/>
      <c r="AC486" s="523"/>
    </row>
    <row r="487">
      <c r="A487" s="523"/>
      <c r="B487" s="612" t="str">
        <f>IFERROR(VLOOKUP(M487,'02. MM-KLH'!$B$6:$T$823,6,0),"")</f>
        <v>Xe đầu kéo HOWO</v>
      </c>
      <c r="C487" s="566">
        <v>1.0</v>
      </c>
      <c r="D487" s="613" t="str">
        <f>IFERROR(VLOOKUP(M487,'02. MM-KLH'!$B$6:$T$823,16,0),"")</f>
        <v>ZZ4187N391JE1</v>
      </c>
      <c r="E487" s="561" t="s">
        <v>4158</v>
      </c>
      <c r="F487" s="613"/>
      <c r="G487" s="613"/>
      <c r="H487" s="613" t="str">
        <f>IFERROR(VLOOKUP(M487,'02. MM-KLH'!$B$6:$T$823,17,0),"")</f>
        <v>299 HP</v>
      </c>
      <c r="I487" s="614" t="str">
        <f>IFERROR(VLOOKUP(M487,'02. MM-KLH'!$B$6:$U$823,20,0),"")</f>
        <v/>
      </c>
      <c r="J487" s="612" t="str">
        <f>IFERROR(VLOOKUP(M487,'02. MM-KLH'!$B$6:$T$823,19,0),"")</f>
        <v>WP7.300E51*1025G007303*</v>
      </c>
      <c r="K487" s="612" t="str">
        <f>IFERROR(VLOOKUP(M487,'02. MM-KLH'!$B$6:$T$823,18,0),"")</f>
        <v>LZZ1CCMD0SJ416136</v>
      </c>
      <c r="L487" s="613" t="str">
        <f>IFERROR(VLOOKUP(M487,'02. MM-KLH'!$B$6:$T$823,4,0),"")</f>
        <v>3A-6830</v>
      </c>
      <c r="M487" s="488" t="s">
        <v>2260</v>
      </c>
      <c r="N487" s="615">
        <f>IFERROR(VLOOKUP(M487,'02. MM-KLH'!$B$6:$T$823,15,0),"")</f>
        <v>2025</v>
      </c>
      <c r="O487" s="616">
        <f>IFERROR(VLOOKUP(M487,'02. MM-KLH'!$B$6:$T$823,9,0),"")</f>
        <v>46176</v>
      </c>
      <c r="P487" s="774">
        <v>12865.0</v>
      </c>
      <c r="Q487" s="613"/>
      <c r="R487" s="774" t="s">
        <v>4158</v>
      </c>
      <c r="S487" s="613"/>
      <c r="T487" s="613"/>
      <c r="U487" s="559" t="str">
        <f>IFERROR(VLOOKUP(M487,'02. MM-KLH'!$B$6:$T$823,5,0),"")</f>
        <v>MỚI</v>
      </c>
      <c r="V487" s="523" t="str">
        <f>IFERROR(VLOOKUP(M487,'02. MM-KLH'!$B$6:$T$823,8,0),"")</f>
        <v>XN Bò AD</v>
      </c>
      <c r="W487" s="559" t="str">
        <f>IFERROR(VLOOKUP(V487,'NS QUẢN LÝ CG'!$A$4:$D$36,2,0),"")</f>
        <v>Trần Văn Nam</v>
      </c>
      <c r="X487" s="559" t="str">
        <f>IFERROR(VLOOKUP(V487,'NS QUẢN LÝ CG'!$A$4:$D$36,4,0),"")</f>
        <v>Lô 28 XN Bò</v>
      </c>
      <c r="Y487" s="559" t="str">
        <f>IFERROR(VLOOKUP(V487,'NS QUẢN LÝ CG'!$A$4:$C$36,3,0),"")</f>
        <v>0971993540</v>
      </c>
      <c r="Z487" s="523" t="str">
        <f>IFERROR(VLOOKUP(M487,'02. MM-KLH'!$B$6:$T$823,3,0),"")</f>
        <v>A22-XĐK-012</v>
      </c>
      <c r="AA487" s="559" t="str">
        <f t="shared" si="33"/>
        <v>ADM</v>
      </c>
      <c r="AB487" s="523"/>
      <c r="AC487" s="523"/>
    </row>
    <row r="488">
      <c r="A488" s="523"/>
      <c r="B488" s="612" t="str">
        <f>IFERROR(VLOOKUP(M488,'02. MM-KLH'!$B$6:$T$823,6,0),"")</f>
        <v>Xe đầu kéo HOWO</v>
      </c>
      <c r="C488" s="566">
        <v>1.0</v>
      </c>
      <c r="D488" s="613" t="str">
        <f>IFERROR(VLOOKUP(M488,'02. MM-KLH'!$B$6:$T$823,16,0),"")</f>
        <v>ZZ4187N391JE1</v>
      </c>
      <c r="E488" s="561" t="s">
        <v>4158</v>
      </c>
      <c r="F488" s="613"/>
      <c r="G488" s="613"/>
      <c r="H488" s="613" t="str">
        <f>IFERROR(VLOOKUP(M488,'02. MM-KLH'!$B$6:$T$823,17,0),"")</f>
        <v>299 HP</v>
      </c>
      <c r="I488" s="614" t="str">
        <f>IFERROR(VLOOKUP(M488,'02. MM-KLH'!$B$6:$U$823,20,0),"")</f>
        <v/>
      </c>
      <c r="J488" s="612" t="str">
        <f>IFERROR(VLOOKUP(M488,'02. MM-KLH'!$B$6:$T$823,19,0),"")</f>
        <v>WP7.300E51*1025G007301*</v>
      </c>
      <c r="K488" s="612" t="str">
        <f>IFERROR(VLOOKUP(M488,'02. MM-KLH'!$B$6:$T$823,18,0),"")</f>
        <v>LZZ1CCMD6SJ416139</v>
      </c>
      <c r="L488" s="613" t="str">
        <f>IFERROR(VLOOKUP(M488,'02. MM-KLH'!$B$6:$T$823,4,0),"")</f>
        <v>3A-6834</v>
      </c>
      <c r="M488" s="488" t="s">
        <v>2267</v>
      </c>
      <c r="N488" s="615">
        <f>IFERROR(VLOOKUP(M488,'02. MM-KLH'!$B$6:$T$823,15,0),"")</f>
        <v>2025</v>
      </c>
      <c r="O488" s="616">
        <f>IFERROR(VLOOKUP(M488,'02. MM-KLH'!$B$6:$T$823,9,0),"")</f>
        <v>46176</v>
      </c>
      <c r="P488" s="774">
        <v>13814.0</v>
      </c>
      <c r="Q488" s="613"/>
      <c r="R488" s="774" t="s">
        <v>4158</v>
      </c>
      <c r="S488" s="613"/>
      <c r="T488" s="613"/>
      <c r="U488" s="559" t="str">
        <f>IFERROR(VLOOKUP(M488,'02. MM-KLH'!$B$6:$T$823,5,0),"")</f>
        <v>MỚI</v>
      </c>
      <c r="V488" s="523" t="str">
        <f>IFERROR(VLOOKUP(M488,'02. MM-KLH'!$B$6:$T$823,8,0),"")</f>
        <v>XN Bò AD</v>
      </c>
      <c r="W488" s="559" t="str">
        <f>IFERROR(VLOOKUP(V488,'NS QUẢN LÝ CG'!$A$4:$D$36,2,0),"")</f>
        <v>Trần Văn Nam</v>
      </c>
      <c r="X488" s="559" t="str">
        <f>IFERROR(VLOOKUP(V488,'NS QUẢN LÝ CG'!$A$4:$D$36,4,0),"")</f>
        <v>Lô 28 XN Bò</v>
      </c>
      <c r="Y488" s="559" t="str">
        <f>IFERROR(VLOOKUP(V488,'NS QUẢN LÝ CG'!$A$4:$C$36,3,0),"")</f>
        <v>0971993540</v>
      </c>
      <c r="Z488" s="523" t="str">
        <f>IFERROR(VLOOKUP(M488,'02. MM-KLH'!$B$6:$T$823,3,0),"")</f>
        <v>A22-XĐK-013</v>
      </c>
      <c r="AA488" s="559" t="str">
        <f t="shared" si="33"/>
        <v>ADM</v>
      </c>
      <c r="AB488" s="523"/>
      <c r="AC488" s="523"/>
    </row>
    <row r="489">
      <c r="A489" s="523"/>
      <c r="B489" s="612" t="str">
        <f>IFERROR(VLOOKUP(M489,'02. MM-KLH'!$B$6:$T$823,6,0),"")</f>
        <v/>
      </c>
      <c r="C489" s="566"/>
      <c r="D489" s="613" t="str">
        <f>IFERROR(VLOOKUP(M489,'02. MM-KLH'!$B$6:$T$823,16,0),"")</f>
        <v/>
      </c>
      <c r="E489" s="613"/>
      <c r="F489" s="613"/>
      <c r="G489" s="613"/>
      <c r="H489" s="613" t="str">
        <f>IFERROR(VLOOKUP(M489,'02. MM-KLH'!$B$6:$T$823,17,0),"")</f>
        <v/>
      </c>
      <c r="I489" s="614" t="str">
        <f>IFERROR(VLOOKUP(M489,'02. MM-KLH'!$B$6:$U$823,20,0),"")</f>
        <v/>
      </c>
      <c r="J489" s="612" t="str">
        <f>IFERROR(VLOOKUP(M489,'02. MM-KLH'!$B$6:$T$823,19,0),"")</f>
        <v/>
      </c>
      <c r="K489" s="612" t="str">
        <f>IFERROR(VLOOKUP(M489,'02. MM-KLH'!$B$6:$T$823,18,0),"")</f>
        <v/>
      </c>
      <c r="L489" s="613" t="str">
        <f>IFERROR(VLOOKUP(M489,'02. MM-KLH'!$B$6:$T$823,4,0),"")</f>
        <v/>
      </c>
      <c r="M489" s="488"/>
      <c r="N489" s="615" t="str">
        <f>IFERROR(VLOOKUP(M489,'02. MM-KLH'!$B$6:$T$823,15,0),"")</f>
        <v/>
      </c>
      <c r="O489" s="616" t="str">
        <f>IFERROR(VLOOKUP(M489,'02. MM-KLH'!$B$6:$T$823,9,0),"")</f>
        <v/>
      </c>
      <c r="P489" s="613"/>
      <c r="Q489" s="613"/>
      <c r="R489" s="613"/>
      <c r="S489" s="613"/>
      <c r="T489" s="613"/>
      <c r="U489" s="613" t="str">
        <f>IFERROR(VLOOKUP(M489,'02. MM-KLH'!$B$6:$T$823,2,0),"")</f>
        <v/>
      </c>
      <c r="V489" s="523" t="str">
        <f>IFERROR(VLOOKUP(M489,'02. MM-KLH'!$B$6:$T$823,8,0),"")</f>
        <v/>
      </c>
      <c r="W489" s="559" t="str">
        <f>IFERROR(VLOOKUP(V489,'NS QUẢN LÝ CG'!$A$4:$D$36,2,0),"")</f>
        <v/>
      </c>
      <c r="X489" s="559" t="str">
        <f>IFERROR(VLOOKUP(V489,'NS QUẢN LÝ CG'!$A$4:$D$36,4,0),"")</f>
        <v/>
      </c>
      <c r="Y489" s="613"/>
      <c r="Z489" s="523" t="str">
        <f>IFERROR(VLOOKUP(M489,'02. MM-KLH'!$B$6:$T$823,3,0),"")</f>
        <v/>
      </c>
      <c r="AA489" s="613"/>
      <c r="AB489" s="523"/>
      <c r="AC489" s="523"/>
    </row>
    <row r="490">
      <c r="A490" s="695">
        <v>3.0</v>
      </c>
      <c r="B490" s="696" t="s">
        <v>2416</v>
      </c>
      <c r="C490" s="697">
        <f>COUNTA(B491:B497)</f>
        <v>6</v>
      </c>
      <c r="D490" s="698" t="str">
        <f>IFERROR(VLOOKUP(M490,'02. MM-KLH'!$B$6:$T$823,16,0),"")</f>
        <v/>
      </c>
      <c r="E490" s="698"/>
      <c r="F490" s="698"/>
      <c r="G490" s="698"/>
      <c r="H490" s="558" t="str">
        <f>IFERROR(VLOOKUP(M490,'02. MM-KLH'!$B$6:$T$823,17,0),"")</f>
        <v/>
      </c>
      <c r="I490" s="558" t="str">
        <f>IFERROR(VLOOKUP(M490,'02. MM-KLH'!$B$6:$U$823,20,0),"")</f>
        <v/>
      </c>
      <c r="J490" s="699" t="str">
        <f>IFERROR(VLOOKUP(M490,'02. MM-KLH'!$B$6:$T$823,19,0),"")</f>
        <v/>
      </c>
      <c r="K490" s="699" t="str">
        <f>IFERROR(VLOOKUP(M490,'02. MM-KLH'!$B$6:$T$823,18,0),"")</f>
        <v/>
      </c>
      <c r="L490" s="698" t="str">
        <f>IFERROR(VLOOKUP(M490,'02. MM-KLH'!$B$6:$T$823,4,0),"")</f>
        <v/>
      </c>
      <c r="M490" s="700"/>
      <c r="N490" s="698" t="str">
        <f>IFERROR(VLOOKUP(M490,'02. MM-KLH'!$B$6:$T$823,15,0),"")</f>
        <v/>
      </c>
      <c r="O490" s="701" t="str">
        <f>IFERROR(VLOOKUP(M490,'02. MM-KLH'!$B$6:$T$823,9,0),"")</f>
        <v/>
      </c>
      <c r="P490" s="698"/>
      <c r="Q490" s="698"/>
      <c r="R490" s="698"/>
      <c r="S490" s="698"/>
      <c r="T490" s="698"/>
      <c r="U490" s="698" t="str">
        <f>IFERROR(VLOOKUP(M490,'02. MM-KLH'!$B$6:$T$823,2,0),"")</f>
        <v/>
      </c>
      <c r="V490" s="558" t="str">
        <f>IFERROR(VLOOKUP(M490,'02. MM-KLH'!$B$6:$T$823,8,0),"")</f>
        <v/>
      </c>
      <c r="W490" s="698"/>
      <c r="X490" s="698"/>
      <c r="Y490" s="698"/>
      <c r="Z490" s="558" t="str">
        <f>IFERROR(VLOOKUP(M490,'02. MM-KLH'!$B$6:$T$823,3,0),"")</f>
        <v/>
      </c>
      <c r="AA490" s="698"/>
      <c r="AB490" s="558"/>
      <c r="AC490" s="558"/>
    </row>
    <row r="491">
      <c r="A491" s="523"/>
      <c r="B491" s="612" t="str">
        <f>IFERROR(VLOOKUP(M491,'02. MM-KLH'!$B$6:$T$823,6,0),"")</f>
        <v>Xe container FUSO FZ49</v>
      </c>
      <c r="C491" s="566">
        <v>1.0</v>
      </c>
      <c r="D491" s="613" t="str">
        <f>IFERROR(VLOOKUP(M491,'02. MM-KLH'!$B$6:$T$823,16,0),"")</f>
        <v>FZ49</v>
      </c>
      <c r="E491" s="561" t="s">
        <v>4158</v>
      </c>
      <c r="F491" s="613"/>
      <c r="G491" s="613"/>
      <c r="H491" s="613" t="str">
        <f>IFERROR(VLOOKUP(M491,'02. MM-KLH'!$B$6:$T$823,17,0),"")</f>
        <v>280HP</v>
      </c>
      <c r="I491" s="614">
        <f>IFERROR(VLOOKUP(M491,'02. MM-KLH'!$B$6:$U$823,20,0),"")</f>
        <v>0.49</v>
      </c>
      <c r="J491" s="612" t="str">
        <f>IFERROR(VLOOKUP(M491,'02. MM-KLH'!$B$6:$T$823,19,0),"")</f>
        <v/>
      </c>
      <c r="K491" s="612" t="str">
        <f>IFERROR(VLOOKUP(M491,'02. MM-KLH'!$B$6:$T$823,18,0),"")</f>
        <v>MEC2812SCGP028677</v>
      </c>
      <c r="L491" s="613" t="str">
        <f>IFERROR(VLOOKUP(M491,'02. MM-KLH'!$B$6:$T$823,4,0),"")</f>
        <v/>
      </c>
      <c r="M491" s="488" t="s">
        <v>2412</v>
      </c>
      <c r="N491" s="615" t="str">
        <f>IFERROR(VLOOKUP(M491,'02. MM-KLH'!$B$6:$T$823,15,0),"")</f>
        <v/>
      </c>
      <c r="O491" s="616" t="str">
        <f>IFERROR(VLOOKUP(M491,'02. MM-KLH'!$B$6:$T$823,9,0),"")</f>
        <v/>
      </c>
      <c r="P491" s="566">
        <v>370.738</v>
      </c>
      <c r="Q491" s="613"/>
      <c r="R491" s="566" t="s">
        <v>4158</v>
      </c>
      <c r="S491" s="613"/>
      <c r="T491" s="613"/>
      <c r="U491" s="559" t="str">
        <f>IFERROR(VLOOKUP(M491,'02. MM-KLH'!$B$6:$T$823,5,0),"")</f>
        <v>THUÊ THILOGI</v>
      </c>
      <c r="V491" s="523" t="str">
        <f>IFERROR(VLOOKUP(M491,'02. MM-KLH'!$B$6:$T$823,8,0),"")</f>
        <v>Phòng GNVC</v>
      </c>
      <c r="W491" s="559" t="str">
        <f>IFERROR(VLOOKUP(V491,'NS QUẢN LÝ CG'!$A$4:$D$36,2,0),"")</f>
        <v>Lâm Quốc Cường</v>
      </c>
      <c r="X491" s="559" t="str">
        <f>IFERROR(VLOOKUP(V491,'NS QUẢN LÝ CG'!$A$4:$D$36,4,0),"")</f>
        <v>Tổng kho KLH</v>
      </c>
      <c r="Y491" s="559" t="str">
        <f>IFERROR(VLOOKUP(V491,'NS QUẢN LÝ CG'!$A$4:$C$36,3,0),"")</f>
        <v>0384653979</v>
      </c>
      <c r="Z491" s="523" t="str">
        <f>IFERROR(VLOOKUP(M491,'02. MM-KLH'!$B$6:$T$823,3,0),"")</f>
        <v>A23-COT-001</v>
      </c>
      <c r="AA491" s="559" t="str">
        <f t="shared" ref="AA491:AA496" si="34">SWITCH(LEFT(Z491,3),"A22","ADM","A23","DP","A24","LP","")</f>
        <v>DP</v>
      </c>
      <c r="AB491" s="523"/>
      <c r="AC491" s="523"/>
    </row>
    <row r="492">
      <c r="A492" s="523"/>
      <c r="B492" s="612" t="str">
        <f>IFERROR(VLOOKUP(M492,'02. MM-KLH'!$B$6:$T$823,6,0),"")</f>
        <v>Xe container FUSO FZ49</v>
      </c>
      <c r="C492" s="566">
        <v>1.0</v>
      </c>
      <c r="D492" s="613" t="str">
        <f>IFERROR(VLOOKUP(M492,'02. MM-KLH'!$B$6:$T$823,16,0),"")</f>
        <v>FZ49</v>
      </c>
      <c r="E492" s="561" t="s">
        <v>4158</v>
      </c>
      <c r="F492" s="613"/>
      <c r="G492" s="613"/>
      <c r="H492" s="613" t="str">
        <f>IFERROR(VLOOKUP(M492,'02. MM-KLH'!$B$6:$T$823,17,0),"")</f>
        <v>280HP</v>
      </c>
      <c r="I492" s="614">
        <f>IFERROR(VLOOKUP(M492,'02. MM-KLH'!$B$6:$U$823,20,0),"")</f>
        <v>0.49</v>
      </c>
      <c r="J492" s="612" t="str">
        <f>IFERROR(VLOOKUP(M492,'02. MM-KLH'!$B$6:$T$823,19,0),"")</f>
        <v/>
      </c>
      <c r="K492" s="612" t="str">
        <f>IFERROR(VLOOKUP(M492,'02. MM-KLH'!$B$6:$T$823,18,0),"")</f>
        <v>MEC2812SCGP028311</v>
      </c>
      <c r="L492" s="613" t="str">
        <f>IFERROR(VLOOKUP(M492,'02. MM-KLH'!$B$6:$T$823,4,0),"")</f>
        <v/>
      </c>
      <c r="M492" s="488" t="s">
        <v>2420</v>
      </c>
      <c r="N492" s="615" t="str">
        <f>IFERROR(VLOOKUP(M492,'02. MM-KLH'!$B$6:$T$823,15,0),"")</f>
        <v/>
      </c>
      <c r="O492" s="616" t="str">
        <f>IFERROR(VLOOKUP(M492,'02. MM-KLH'!$B$6:$T$823,9,0),"")</f>
        <v/>
      </c>
      <c r="P492" s="566">
        <v>356.396</v>
      </c>
      <c r="Q492" s="613"/>
      <c r="R492" s="566" t="s">
        <v>4158</v>
      </c>
      <c r="S492" s="613"/>
      <c r="T492" s="613"/>
      <c r="U492" s="559" t="str">
        <f>IFERROR(VLOOKUP(M492,'02. MM-KLH'!$B$6:$T$823,5,0),"")</f>
        <v>THUÊ THILOGI</v>
      </c>
      <c r="V492" s="523" t="str">
        <f>IFERROR(VLOOKUP(M492,'02. MM-KLH'!$B$6:$T$823,8,0),"")</f>
        <v>Phòng GNVC</v>
      </c>
      <c r="W492" s="559" t="str">
        <f>IFERROR(VLOOKUP(V492,'NS QUẢN LÝ CG'!$A$4:$D$36,2,0),"")</f>
        <v>Lâm Quốc Cường</v>
      </c>
      <c r="X492" s="559" t="str">
        <f>IFERROR(VLOOKUP(V492,'NS QUẢN LÝ CG'!$A$4:$D$36,4,0),"")</f>
        <v>Tổng kho KLH</v>
      </c>
      <c r="Y492" s="559" t="str">
        <f>IFERROR(VLOOKUP(V492,'NS QUẢN LÝ CG'!$A$4:$C$36,3,0),"")</f>
        <v>0384653979</v>
      </c>
      <c r="Z492" s="523" t="str">
        <f>IFERROR(VLOOKUP(M492,'02. MM-KLH'!$B$6:$T$823,3,0),"")</f>
        <v>A23-COT-002</v>
      </c>
      <c r="AA492" s="559" t="str">
        <f t="shared" si="34"/>
        <v>DP</v>
      </c>
      <c r="AB492" s="523"/>
      <c r="AC492" s="523"/>
    </row>
    <row r="493">
      <c r="A493" s="523"/>
      <c r="B493" s="612" t="str">
        <f>IFERROR(VLOOKUP(M493,'02. MM-KLH'!$B$6:$T$823,6,0),"")</f>
        <v>Xe container FUSO FZ49</v>
      </c>
      <c r="C493" s="566">
        <v>1.0</v>
      </c>
      <c r="D493" s="613" t="str">
        <f>IFERROR(VLOOKUP(M493,'02. MM-KLH'!$B$6:$T$823,16,0),"")</f>
        <v>FZ49</v>
      </c>
      <c r="E493" s="561" t="s">
        <v>4158</v>
      </c>
      <c r="F493" s="613"/>
      <c r="G493" s="613"/>
      <c r="H493" s="613" t="str">
        <f>IFERROR(VLOOKUP(M493,'02. MM-KLH'!$B$6:$T$823,17,0),"")</f>
        <v>280HP</v>
      </c>
      <c r="I493" s="614">
        <f>IFERROR(VLOOKUP(M493,'02. MM-KLH'!$B$6:$U$823,20,0),"")</f>
        <v>0.49</v>
      </c>
      <c r="J493" s="612" t="str">
        <f>IFERROR(VLOOKUP(M493,'02. MM-KLH'!$B$6:$T$823,19,0),"")</f>
        <v/>
      </c>
      <c r="K493" s="612" t="str">
        <f>IFERROR(VLOOKUP(M493,'02. MM-KLH'!$B$6:$T$823,18,0),"")</f>
        <v>MEC2812SCGP029295</v>
      </c>
      <c r="L493" s="613" t="str">
        <f>IFERROR(VLOOKUP(M493,'02. MM-KLH'!$B$6:$T$823,4,0),"")</f>
        <v/>
      </c>
      <c r="M493" s="488" t="s">
        <v>2423</v>
      </c>
      <c r="N493" s="615" t="str">
        <f>IFERROR(VLOOKUP(M493,'02. MM-KLH'!$B$6:$T$823,15,0),"")</f>
        <v/>
      </c>
      <c r="O493" s="616" t="str">
        <f>IFERROR(VLOOKUP(M493,'02. MM-KLH'!$B$6:$T$823,9,0),"")</f>
        <v/>
      </c>
      <c r="P493" s="566">
        <v>395.591</v>
      </c>
      <c r="Q493" s="613"/>
      <c r="R493" s="566" t="s">
        <v>4158</v>
      </c>
      <c r="S493" s="613"/>
      <c r="T493" s="613"/>
      <c r="U493" s="559" t="str">
        <f>IFERROR(VLOOKUP(M493,'02. MM-KLH'!$B$6:$T$823,5,0),"")</f>
        <v>THUÊ THILOGI</v>
      </c>
      <c r="V493" s="523" t="str">
        <f>IFERROR(VLOOKUP(M493,'02. MM-KLH'!$B$6:$T$823,8,0),"")</f>
        <v>Phòng GNVC</v>
      </c>
      <c r="W493" s="559" t="str">
        <f>IFERROR(VLOOKUP(V493,'NS QUẢN LÝ CG'!$A$4:$D$36,2,0),"")</f>
        <v>Lâm Quốc Cường</v>
      </c>
      <c r="X493" s="559" t="str">
        <f>IFERROR(VLOOKUP(V493,'NS QUẢN LÝ CG'!$A$4:$D$36,4,0),"")</f>
        <v>Tổng kho KLH</v>
      </c>
      <c r="Y493" s="559" t="str">
        <f>IFERROR(VLOOKUP(V493,'NS QUẢN LÝ CG'!$A$4:$C$36,3,0),"")</f>
        <v>0384653979</v>
      </c>
      <c r="Z493" s="523" t="str">
        <f>IFERROR(VLOOKUP(M493,'02. MM-KLH'!$B$6:$T$823,3,0),"")</f>
        <v>A23-COT-003</v>
      </c>
      <c r="AA493" s="559" t="str">
        <f t="shared" si="34"/>
        <v>DP</v>
      </c>
      <c r="AB493" s="523"/>
      <c r="AC493" s="523"/>
    </row>
    <row r="494">
      <c r="A494" s="523"/>
      <c r="B494" s="612" t="str">
        <f>IFERROR(VLOOKUP(M494,'02. MM-KLH'!$B$6:$T$823,6,0),"")</f>
        <v>Xe container FUSO FZ49</v>
      </c>
      <c r="C494" s="566">
        <v>1.0</v>
      </c>
      <c r="D494" s="613" t="str">
        <f>IFERROR(VLOOKUP(M494,'02. MM-KLH'!$B$6:$T$823,16,0),"")</f>
        <v>FZ49</v>
      </c>
      <c r="E494" s="561" t="s">
        <v>4158</v>
      </c>
      <c r="F494" s="613"/>
      <c r="G494" s="613"/>
      <c r="H494" s="613" t="str">
        <f>IFERROR(VLOOKUP(M494,'02. MM-KLH'!$B$6:$T$823,17,0),"")</f>
        <v>280HP</v>
      </c>
      <c r="I494" s="614">
        <f>IFERROR(VLOOKUP(M494,'02. MM-KLH'!$B$6:$U$823,20,0),"")</f>
        <v>0.49</v>
      </c>
      <c r="J494" s="612" t="str">
        <f>IFERROR(VLOOKUP(M494,'02. MM-KLH'!$B$6:$T$823,19,0),"")</f>
        <v/>
      </c>
      <c r="K494" s="612" t="str">
        <f>IFERROR(VLOOKUP(M494,'02. MM-KLH'!$B$6:$T$823,18,0),"")</f>
        <v>MEC2812SCGP028625</v>
      </c>
      <c r="L494" s="613" t="str">
        <f>IFERROR(VLOOKUP(M494,'02. MM-KLH'!$B$6:$T$823,4,0),"")</f>
        <v/>
      </c>
      <c r="M494" s="488" t="s">
        <v>2426</v>
      </c>
      <c r="N494" s="615" t="str">
        <f>IFERROR(VLOOKUP(M494,'02. MM-KLH'!$B$6:$T$823,15,0),"")</f>
        <v/>
      </c>
      <c r="O494" s="616" t="str">
        <f>IFERROR(VLOOKUP(M494,'02. MM-KLH'!$B$6:$T$823,9,0),"")</f>
        <v/>
      </c>
      <c r="P494" s="566">
        <v>298.101</v>
      </c>
      <c r="Q494" s="613"/>
      <c r="R494" s="566" t="s">
        <v>4158</v>
      </c>
      <c r="S494" s="613"/>
      <c r="T494" s="613"/>
      <c r="U494" s="559" t="str">
        <f>IFERROR(VLOOKUP(M494,'02. MM-KLH'!$B$6:$T$823,5,0),"")</f>
        <v>THUÊ THILOGI</v>
      </c>
      <c r="V494" s="523" t="str">
        <f>IFERROR(VLOOKUP(M494,'02. MM-KLH'!$B$6:$T$823,8,0),"")</f>
        <v>Phòng GNVC</v>
      </c>
      <c r="W494" s="559" t="str">
        <f>IFERROR(VLOOKUP(V494,'NS QUẢN LÝ CG'!$A$4:$D$36,2,0),"")</f>
        <v>Lâm Quốc Cường</v>
      </c>
      <c r="X494" s="559" t="str">
        <f>IFERROR(VLOOKUP(V494,'NS QUẢN LÝ CG'!$A$4:$D$36,4,0),"")</f>
        <v>Tổng kho KLH</v>
      </c>
      <c r="Y494" s="559" t="str">
        <f>IFERROR(VLOOKUP(V494,'NS QUẢN LÝ CG'!$A$4:$C$36,3,0),"")</f>
        <v>0384653979</v>
      </c>
      <c r="Z494" s="523" t="str">
        <f>IFERROR(VLOOKUP(M494,'02. MM-KLH'!$B$6:$T$823,3,0),"")</f>
        <v>A23-COT-004</v>
      </c>
      <c r="AA494" s="559" t="str">
        <f t="shared" si="34"/>
        <v>DP</v>
      </c>
      <c r="AB494" s="523"/>
      <c r="AC494" s="523"/>
    </row>
    <row r="495">
      <c r="A495" s="523"/>
      <c r="B495" s="612" t="str">
        <f>IFERROR(VLOOKUP(M495,'02. MM-KLH'!$B$6:$T$823,6,0),"")</f>
        <v>Xe container FUSO FZ49</v>
      </c>
      <c r="C495" s="566">
        <v>1.0</v>
      </c>
      <c r="D495" s="613" t="str">
        <f>IFERROR(VLOOKUP(M495,'02. MM-KLH'!$B$6:$T$823,16,0),"")</f>
        <v>FZ49</v>
      </c>
      <c r="E495" s="561" t="s">
        <v>4158</v>
      </c>
      <c r="F495" s="613"/>
      <c r="G495" s="613"/>
      <c r="H495" s="613" t="str">
        <f>IFERROR(VLOOKUP(M495,'02. MM-KLH'!$B$6:$T$823,17,0),"")</f>
        <v>280HP</v>
      </c>
      <c r="I495" s="614">
        <f>IFERROR(VLOOKUP(M495,'02. MM-KLH'!$B$6:$U$823,20,0),"")</f>
        <v>0.49</v>
      </c>
      <c r="J495" s="612" t="str">
        <f>IFERROR(VLOOKUP(M495,'02. MM-KLH'!$B$6:$T$823,19,0),"")</f>
        <v/>
      </c>
      <c r="K495" s="612" t="str">
        <f>IFERROR(VLOOKUP(M495,'02. MM-KLH'!$B$6:$T$823,18,0),"")</f>
        <v>MEC2812SCGP028373</v>
      </c>
      <c r="L495" s="613" t="str">
        <f>IFERROR(VLOOKUP(M495,'02. MM-KLH'!$B$6:$T$823,4,0),"")</f>
        <v/>
      </c>
      <c r="M495" s="488" t="s">
        <v>2429</v>
      </c>
      <c r="N495" s="615" t="str">
        <f>IFERROR(VLOOKUP(M495,'02. MM-KLH'!$B$6:$T$823,15,0),"")</f>
        <v/>
      </c>
      <c r="O495" s="616" t="str">
        <f>IFERROR(VLOOKUP(M495,'02. MM-KLH'!$B$6:$T$823,9,0),"")</f>
        <v/>
      </c>
      <c r="P495" s="566">
        <v>433.161</v>
      </c>
      <c r="Q495" s="613"/>
      <c r="R495" s="566" t="s">
        <v>4158</v>
      </c>
      <c r="S495" s="613"/>
      <c r="T495" s="613"/>
      <c r="U495" s="559" t="str">
        <f>IFERROR(VLOOKUP(M495,'02. MM-KLH'!$B$6:$T$823,5,0),"")</f>
        <v>THUÊ THILOGI</v>
      </c>
      <c r="V495" s="523" t="str">
        <f>IFERROR(VLOOKUP(M495,'02. MM-KLH'!$B$6:$T$823,8,0),"")</f>
        <v>Phòng GNVC</v>
      </c>
      <c r="W495" s="559" t="str">
        <f>IFERROR(VLOOKUP(V495,'NS QUẢN LÝ CG'!$A$4:$D$36,2,0),"")</f>
        <v>Lâm Quốc Cường</v>
      </c>
      <c r="X495" s="559" t="str">
        <f>IFERROR(VLOOKUP(V495,'NS QUẢN LÝ CG'!$A$4:$D$36,4,0),"")</f>
        <v>Tổng kho KLH</v>
      </c>
      <c r="Y495" s="559" t="str">
        <f>IFERROR(VLOOKUP(V495,'NS QUẢN LÝ CG'!$A$4:$C$36,3,0),"")</f>
        <v>0384653979</v>
      </c>
      <c r="Z495" s="523" t="str">
        <f>IFERROR(VLOOKUP(M495,'02. MM-KLH'!$B$6:$T$823,3,0),"")</f>
        <v>A23-COT-005</v>
      </c>
      <c r="AA495" s="559" t="str">
        <f t="shared" si="34"/>
        <v>DP</v>
      </c>
      <c r="AB495" s="523"/>
      <c r="AC495" s="523"/>
    </row>
    <row r="496">
      <c r="A496" s="523"/>
      <c r="B496" s="612" t="str">
        <f>IFERROR(VLOOKUP(M496,'02. MM-KLH'!$B$6:$T$823,6,0),"")</f>
        <v>Xe container FUSO FZ49</v>
      </c>
      <c r="C496" s="566">
        <v>1.0</v>
      </c>
      <c r="D496" s="613" t="str">
        <f>IFERROR(VLOOKUP(M496,'02. MM-KLH'!$B$6:$T$823,16,0),"")</f>
        <v>FZ49</v>
      </c>
      <c r="E496" s="561" t="s">
        <v>4158</v>
      </c>
      <c r="F496" s="613"/>
      <c r="G496" s="613"/>
      <c r="H496" s="613" t="str">
        <f>IFERROR(VLOOKUP(M496,'02. MM-KLH'!$B$6:$T$823,17,0),"")</f>
        <v>280HP</v>
      </c>
      <c r="I496" s="614">
        <f>IFERROR(VLOOKUP(M496,'02. MM-KLH'!$B$6:$U$823,20,0),"")</f>
        <v>0.49</v>
      </c>
      <c r="J496" s="612" t="str">
        <f>IFERROR(VLOOKUP(M496,'02. MM-KLH'!$B$6:$T$823,19,0),"")</f>
        <v>Thay cho TND-COT-006</v>
      </c>
      <c r="K496" s="612" t="str">
        <f>IFERROR(VLOOKUP(M496,'02. MM-KLH'!$B$6:$T$823,18,0),"")</f>
        <v>MEC2812SCGP028586</v>
      </c>
      <c r="L496" s="613" t="str">
        <f>IFERROR(VLOOKUP(M496,'02. MM-KLH'!$B$6:$T$823,4,0),"")</f>
        <v/>
      </c>
      <c r="M496" s="488" t="s">
        <v>2432</v>
      </c>
      <c r="N496" s="615" t="str">
        <f>IFERROR(VLOOKUP(M496,'02. MM-KLH'!$B$6:$T$823,15,0),"")</f>
        <v/>
      </c>
      <c r="O496" s="616" t="str">
        <f>IFERROR(VLOOKUP(M496,'02. MM-KLH'!$B$6:$T$823,9,0),"")</f>
        <v/>
      </c>
      <c r="P496" s="566">
        <v>331.841</v>
      </c>
      <c r="Q496" s="613"/>
      <c r="R496" s="566" t="s">
        <v>4158</v>
      </c>
      <c r="S496" s="613"/>
      <c r="T496" s="613"/>
      <c r="U496" s="559" t="str">
        <f>IFERROR(VLOOKUP(M496,'02. MM-KLH'!$B$6:$T$823,5,0),"")</f>
        <v>THUÊ THILOGI</v>
      </c>
      <c r="V496" s="523" t="str">
        <f>IFERROR(VLOOKUP(M496,'02. MM-KLH'!$B$6:$T$823,8,0),"")</f>
        <v>Phòng GNVC</v>
      </c>
      <c r="W496" s="559" t="str">
        <f>IFERROR(VLOOKUP(V496,'NS QUẢN LÝ CG'!$A$4:$D$36,2,0),"")</f>
        <v>Lâm Quốc Cường</v>
      </c>
      <c r="X496" s="559" t="str">
        <f>IFERROR(VLOOKUP(V496,'NS QUẢN LÝ CG'!$A$4:$D$36,4,0),"")</f>
        <v>Tổng kho KLH</v>
      </c>
      <c r="Y496" s="559" t="str">
        <f>IFERROR(VLOOKUP(V496,'NS QUẢN LÝ CG'!$A$4:$C$36,3,0),"")</f>
        <v>0384653979</v>
      </c>
      <c r="Z496" s="523" t="str">
        <f>IFERROR(VLOOKUP(M496,'02. MM-KLH'!$B$6:$T$823,3,0),"")</f>
        <v>A23-COT-006</v>
      </c>
      <c r="AA496" s="559" t="str">
        <f t="shared" si="34"/>
        <v>DP</v>
      </c>
      <c r="AB496" s="523"/>
      <c r="AC496" s="523"/>
    </row>
    <row r="497">
      <c r="A497" s="523"/>
      <c r="B497" s="612" t="str">
        <f>IFERROR(VLOOKUP(M497,'02. MM-KLH'!$B$6:$T$823,6,0),"")</f>
        <v/>
      </c>
      <c r="C497" s="566"/>
      <c r="D497" s="613" t="str">
        <f>IFERROR(VLOOKUP(M497,'02. MM-KLH'!$B$6:$T$823,16,0),"")</f>
        <v/>
      </c>
      <c r="E497" s="613"/>
      <c r="F497" s="613"/>
      <c r="G497" s="613"/>
      <c r="H497" s="613" t="str">
        <f>IFERROR(VLOOKUP(M497,'02. MM-KLH'!$B$6:$T$823,17,0),"")</f>
        <v/>
      </c>
      <c r="I497" s="614" t="str">
        <f>IFERROR(VLOOKUP(M497,'02. MM-KLH'!$B$6:$U$823,20,0),"")</f>
        <v/>
      </c>
      <c r="J497" s="612" t="str">
        <f>IFERROR(VLOOKUP(M497,'02. MM-KLH'!$B$6:$T$823,19,0),"")</f>
        <v/>
      </c>
      <c r="K497" s="612" t="str">
        <f>IFERROR(VLOOKUP(M497,'02. MM-KLH'!$B$6:$T$823,18,0),"")</f>
        <v/>
      </c>
      <c r="L497" s="613" t="str">
        <f>IFERROR(VLOOKUP(M497,'02. MM-KLH'!$B$6:$T$823,4,0),"")</f>
        <v/>
      </c>
      <c r="M497" s="488"/>
      <c r="N497" s="615" t="str">
        <f>IFERROR(VLOOKUP(M497,'02. MM-KLH'!$B$6:$T$823,15,0),"")</f>
        <v/>
      </c>
      <c r="O497" s="616" t="str">
        <f>IFERROR(VLOOKUP(M497,'02. MM-KLH'!$B$6:$T$823,9,0),"")</f>
        <v/>
      </c>
      <c r="P497" s="613"/>
      <c r="Q497" s="613"/>
      <c r="R497" s="613"/>
      <c r="S497" s="613"/>
      <c r="T497" s="613"/>
      <c r="U497" s="613" t="str">
        <f>IFERROR(VLOOKUP(M497,'02. MM-KLH'!$B$6:$T$823,2,0),"")</f>
        <v/>
      </c>
      <c r="V497" s="523" t="str">
        <f>IFERROR(VLOOKUP(M497,'02. MM-KLH'!$B$6:$T$823,8,0),"")</f>
        <v/>
      </c>
      <c r="W497" s="559" t="str">
        <f>IFERROR(VLOOKUP(V497,'NS QUẢN LÝ CG'!$A$4:$D$36,2,0),"")</f>
        <v/>
      </c>
      <c r="X497" s="559" t="str">
        <f>IFERROR(VLOOKUP(V497,'NS QUẢN LÝ CG'!$A$4:$D$36,4,0),"")</f>
        <v/>
      </c>
      <c r="Y497" s="613"/>
      <c r="Z497" s="523" t="str">
        <f>IFERROR(VLOOKUP(M497,'02. MM-KLH'!$B$6:$T$823,3,0),"")</f>
        <v/>
      </c>
      <c r="AA497" s="613"/>
      <c r="AB497" s="523"/>
      <c r="AC497" s="523"/>
    </row>
    <row r="498">
      <c r="A498" s="542" t="s">
        <v>4476</v>
      </c>
      <c r="B498" s="543" t="s">
        <v>6078</v>
      </c>
      <c r="C498" s="544">
        <f>COUNTA(B499:B514)</f>
        <v>14</v>
      </c>
      <c r="D498" s="545"/>
      <c r="E498" s="545"/>
      <c r="F498" s="545"/>
      <c r="G498" s="545"/>
      <c r="H498" s="545"/>
      <c r="I498" s="546"/>
      <c r="J498" s="547"/>
      <c r="K498" s="547"/>
      <c r="L498" s="545"/>
      <c r="M498" s="545"/>
      <c r="N498" s="545"/>
      <c r="O498" s="548"/>
      <c r="P498" s="545"/>
      <c r="Q498" s="545"/>
      <c r="R498" s="545"/>
      <c r="S498" s="545"/>
      <c r="T498" s="545"/>
      <c r="U498" s="545"/>
      <c r="V498" s="546"/>
      <c r="W498" s="545"/>
      <c r="X498" s="545"/>
      <c r="Y498" s="545"/>
      <c r="Z498" s="546"/>
      <c r="AA498" s="545"/>
      <c r="AB498" s="546"/>
      <c r="AC498" s="549"/>
    </row>
    <row r="499">
      <c r="A499" s="523"/>
      <c r="B499" s="612" t="str">
        <f>IFERROR(VLOOKUP(M499,'02. MM-KLH'!$B$6:$T$823,6,0),"")</f>
        <v>Xe tải chuyên dụng (cabin đôi)</v>
      </c>
      <c r="C499" s="566">
        <v>1.0</v>
      </c>
      <c r="D499" s="613" t="str">
        <f>IFERROR(VLOOKUP(M499,'02. MM-KLH'!$B$6:$T$823,16,0),"")</f>
        <v>FRONTIER K200SD</v>
      </c>
      <c r="E499" s="561" t="s">
        <v>4158</v>
      </c>
      <c r="F499" s="613"/>
      <c r="G499" s="613"/>
      <c r="H499" s="613" t="str">
        <f>IFERROR(VLOOKUP(M499,'02. MM-KLH'!$B$6:$T$823,17,0),"")</f>
        <v>130HP</v>
      </c>
      <c r="I499" s="614" t="str">
        <f>IFERROR(VLOOKUP(M499,'02. MM-KLH'!$B$6:$U$823,20,0),"")</f>
        <v/>
      </c>
      <c r="J499" s="612" t="str">
        <f>IFERROR(VLOOKUP(M499,'02. MM-KLH'!$B$6:$T$823,19,0),"")</f>
        <v>MD534241D4CB</v>
      </c>
      <c r="K499" s="612" t="str">
        <f>IFERROR(VLOOKUP(M499,'02. MM-KLH'!$B$6:$T$823,18,0),"")</f>
        <v>RNHF39KHBMT045336</v>
      </c>
      <c r="L499" s="613" t="str">
        <f>IFERROR(VLOOKUP(M499,'02. MM-KLH'!$B$6:$T$823,4,0),"")</f>
        <v>2A-0490</v>
      </c>
      <c r="M499" s="490" t="s">
        <v>894</v>
      </c>
      <c r="N499" s="615">
        <f>IFERROR(VLOOKUP(M499,'02. MM-KLH'!$B$6:$T$823,15,0),"")</f>
        <v>2021</v>
      </c>
      <c r="O499" s="616">
        <f>IFERROR(VLOOKUP(M499,'02. MM-KLH'!$B$6:$T$823,9,0),"")</f>
        <v>45566</v>
      </c>
      <c r="P499" s="613"/>
      <c r="Q499" s="613"/>
      <c r="R499" s="566" t="s">
        <v>4158</v>
      </c>
      <c r="S499" s="613"/>
      <c r="T499" s="613"/>
      <c r="U499" s="559" t="str">
        <f>IFERROR(VLOOKUP(M499,'02. MM-KLH'!$B$6:$T$823,5,0),"")</f>
        <v>ĐQSD</v>
      </c>
      <c r="V499" s="523" t="str">
        <f>IFERROR(VLOOKUP(M499,'02. MM-KLH'!$B$6:$T$823,8,0),"")</f>
        <v>XN Chuối DP1</v>
      </c>
      <c r="W499" s="559" t="str">
        <f>IFERROR(VLOOKUP(V499,'NS QUẢN LÝ CG'!$A$4:$D$36,2,0),"")</f>
        <v>Thái Cao Lưu</v>
      </c>
      <c r="X499" s="559" t="str">
        <f>IFERROR(VLOOKUP(V499,'NS QUẢN LÝ CG'!$A$4:$D$36,4,0),"")</f>
        <v>Lô 21 DP1</v>
      </c>
      <c r="Y499" s="559" t="str">
        <f>IFERROR(VLOOKUP(V499,'NS QUẢN LÝ CG'!$A$4:$C$36,3,0),"")</f>
        <v>0387783316</v>
      </c>
      <c r="Z499" s="523" t="str">
        <f>IFERROR(VLOOKUP(M499,'02. MM-KLH'!$B$6:$T$823,3,0),"")</f>
        <v>ATT-A22-0314</v>
      </c>
      <c r="AA499" s="561" t="s">
        <v>4462</v>
      </c>
      <c r="AB499" s="523"/>
      <c r="AC499" s="523"/>
    </row>
    <row r="500">
      <c r="A500" s="523"/>
      <c r="B500" s="612" t="str">
        <f>IFERROR(VLOOKUP(M500,'02. MM-KLH'!$B$6:$T$823,6,0),"")</f>
        <v>Xe tải chuyên dụng (cabin đôi)</v>
      </c>
      <c r="C500" s="566">
        <v>1.0</v>
      </c>
      <c r="D500" s="613" t="str">
        <f>IFERROR(VLOOKUP(M500,'02. MM-KLH'!$B$6:$T$823,16,0),"")</f>
        <v>FRONTIER K200SD</v>
      </c>
      <c r="E500" s="561" t="s">
        <v>4158</v>
      </c>
      <c r="F500" s="613"/>
      <c r="G500" s="613"/>
      <c r="H500" s="613" t="str">
        <f>IFERROR(VLOOKUP(M500,'02. MM-KLH'!$B$6:$T$823,17,0),"")</f>
        <v>130HP</v>
      </c>
      <c r="I500" s="614" t="str">
        <f>IFERROR(VLOOKUP(M500,'02. MM-KLH'!$B$6:$U$823,20,0),"")</f>
        <v/>
      </c>
      <c r="J500" s="612" t="str">
        <f>IFERROR(VLOOKUP(M500,'02. MM-KLH'!$B$6:$T$823,19,0),"")</f>
        <v>MD540079D4CB</v>
      </c>
      <c r="K500" s="612" t="str">
        <f>IFERROR(VLOOKUP(M500,'02. MM-KLH'!$B$6:$T$823,18,0),"")</f>
        <v>RNHF39KHBMT045667</v>
      </c>
      <c r="L500" s="613" t="str">
        <f>IFERROR(VLOOKUP(M500,'02. MM-KLH'!$B$6:$T$823,4,0),"")</f>
        <v>2A-0494</v>
      </c>
      <c r="M500" s="490" t="s">
        <v>1037</v>
      </c>
      <c r="N500" s="615">
        <f>IFERROR(VLOOKUP(M500,'02. MM-KLH'!$B$6:$T$823,15,0),"")</f>
        <v>2021</v>
      </c>
      <c r="O500" s="616">
        <f>IFERROR(VLOOKUP(M500,'02. MM-KLH'!$B$6:$T$823,9,0),"")</f>
        <v>45566</v>
      </c>
      <c r="P500" s="613"/>
      <c r="Q500" s="613"/>
      <c r="R500" s="566" t="s">
        <v>4158</v>
      </c>
      <c r="S500" s="613"/>
      <c r="T500" s="613"/>
      <c r="U500" s="559" t="str">
        <f>IFERROR(VLOOKUP(M500,'02. MM-KLH'!$B$6:$T$823,5,0),"")</f>
        <v> MỚI</v>
      </c>
      <c r="V500" s="523" t="str">
        <f>IFERROR(VLOOKUP(M500,'02. MM-KLH'!$B$6:$T$823,8,0),"")</f>
        <v>XN Chuối DP2</v>
      </c>
      <c r="W500" s="559" t="str">
        <f>IFERROR(VLOOKUP(V500,'NS QUẢN LÝ CG'!$A$4:$D$36,2,0),"")</f>
        <v>Huỳnh Quang Viên</v>
      </c>
      <c r="X500" s="559" t="str">
        <f>IFERROR(VLOOKUP(V500,'NS QUẢN LÝ CG'!$A$4:$D$36,4,0),"")</f>
        <v>Lô 15.6 DP2</v>
      </c>
      <c r="Y500" s="559" t="str">
        <f>IFERROR(VLOOKUP(V500,'NS QUẢN LÝ CG'!$A$4:$C$36,3,0),"")</f>
        <v>0977623379</v>
      </c>
      <c r="Z500" s="523" t="str">
        <f>IFERROR(VLOOKUP(M500,'02. MM-KLH'!$B$6:$T$823,3,0),"")</f>
        <v>ATT-A22-0315</v>
      </c>
      <c r="AA500" s="561" t="s">
        <v>4462</v>
      </c>
      <c r="AB500" s="523"/>
      <c r="AC500" s="523"/>
    </row>
    <row r="501">
      <c r="A501" s="523"/>
      <c r="B501" s="612" t="str">
        <f>IFERROR(VLOOKUP(M501,'02. MM-KLH'!$B$6:$T$823,6,0),"")</f>
        <v>Xe tải chuyên dụng (cabin đôi)</v>
      </c>
      <c r="C501" s="566">
        <v>1.0</v>
      </c>
      <c r="D501" s="613" t="str">
        <f>IFERROR(VLOOKUP(M501,'02. MM-KLH'!$B$6:$T$823,16,0),"")</f>
        <v>FRONTIER K200SD</v>
      </c>
      <c r="E501" s="561" t="s">
        <v>4158</v>
      </c>
      <c r="F501" s="613"/>
      <c r="G501" s="613"/>
      <c r="H501" s="613" t="str">
        <f>IFERROR(VLOOKUP(M501,'02. MM-KLH'!$B$6:$T$823,17,0),"")</f>
        <v>130HP</v>
      </c>
      <c r="I501" s="614" t="str">
        <f>IFERROR(VLOOKUP(M501,'02. MM-KLH'!$B$6:$U$823,20,0),"")</f>
        <v/>
      </c>
      <c r="J501" s="612" t="str">
        <f>IFERROR(VLOOKUP(M501,'02. MM-KLH'!$B$6:$T$823,19,0),"")</f>
        <v>MD540070D4CB</v>
      </c>
      <c r="K501" s="612" t="str">
        <f>IFERROR(VLOOKUP(M501,'02. MM-KLH'!$B$6:$T$823,18,0),"")</f>
        <v>RNHF39KHBMT045629</v>
      </c>
      <c r="L501" s="613" t="str">
        <f>IFERROR(VLOOKUP(M501,'02. MM-KLH'!$B$6:$T$823,4,0),"")</f>
        <v>2A-0493</v>
      </c>
      <c r="M501" s="490" t="s">
        <v>1148</v>
      </c>
      <c r="N501" s="615">
        <f>IFERROR(VLOOKUP(M501,'02. MM-KLH'!$B$6:$T$823,15,0),"")</f>
        <v>2021</v>
      </c>
      <c r="O501" s="616">
        <f>IFERROR(VLOOKUP(M501,'02. MM-KLH'!$B$6:$T$823,9,0),"")</f>
        <v>45566</v>
      </c>
      <c r="P501" s="564">
        <v>63363.0</v>
      </c>
      <c r="Q501" s="613"/>
      <c r="R501" s="566" t="s">
        <v>4158</v>
      </c>
      <c r="S501" s="613"/>
      <c r="T501" s="613"/>
      <c r="U501" s="559" t="str">
        <f>IFERROR(VLOOKUP(M501,'02. MM-KLH'!$B$6:$T$823,5,0),"")</f>
        <v>MỚI</v>
      </c>
      <c r="V501" s="523" t="str">
        <f>IFERROR(VLOOKUP(M501,'02. MM-KLH'!$B$6:$T$823,8,0),"")</f>
        <v>XN Chuối DP3</v>
      </c>
      <c r="W501" s="559" t="str">
        <f>IFERROR(VLOOKUP(V501,'NS QUẢN LÝ CG'!$A$4:$D$36,2,0),"")</f>
        <v>Thạch Ngọc Vững</v>
      </c>
      <c r="X501" s="559" t="str">
        <f>IFERROR(VLOOKUP(V501,'NS QUẢN LÝ CG'!$A$4:$D$36,4,0),"")</f>
        <v>Lô 28 DP3</v>
      </c>
      <c r="Y501" s="559" t="str">
        <f>IFERROR(VLOOKUP(V501,'NS QUẢN LÝ CG'!$A$4:$C$36,3,0),"")</f>
        <v>0975905267</v>
      </c>
      <c r="Z501" s="523" t="str">
        <f>IFERROR(VLOOKUP(M501,'02. MM-KLH'!$B$6:$T$823,3,0),"")</f>
        <v>ATT-A22-0316</v>
      </c>
      <c r="AA501" s="561" t="s">
        <v>4462</v>
      </c>
      <c r="AB501" s="523"/>
      <c r="AC501" s="523"/>
    </row>
    <row r="502">
      <c r="A502" s="523"/>
      <c r="B502" s="612" t="str">
        <f>IFERROR(VLOOKUP(M502,'02. MM-KLH'!$B$6:$T$823,6,0),"")</f>
        <v>Xe tải chuyên dụng (thùng lửng)</v>
      </c>
      <c r="C502" s="566">
        <v>1.0</v>
      </c>
      <c r="D502" s="613" t="str">
        <f>IFERROR(VLOOKUP(M502,'02. MM-KLH'!$B$6:$T$823,16,0),"")</f>
        <v>FRONTIER K200SD-4WD</v>
      </c>
      <c r="E502" s="561" t="s">
        <v>4158</v>
      </c>
      <c r="F502" s="613"/>
      <c r="G502" s="613"/>
      <c r="H502" s="613" t="str">
        <f>IFERROR(VLOOKUP(M502,'02. MM-KLH'!$B$6:$T$823,17,0),"")</f>
        <v>130HP</v>
      </c>
      <c r="I502" s="614" t="str">
        <f>IFERROR(VLOOKUP(M502,'02. MM-KLH'!$B$6:$U$823,20,0),"")</f>
        <v/>
      </c>
      <c r="J502" s="612" t="str">
        <f>IFERROR(VLOOKUP(M502,'02. MM-KLH'!$B$6:$T$823,19,0),"")</f>
        <v>MD540096D4CB</v>
      </c>
      <c r="K502" s="612" t="str">
        <f>IFERROR(VLOOKUP(M502,'02. MM-KLH'!$B$6:$T$823,18,0),"")</f>
        <v>RNHF39KHBMT045642</v>
      </c>
      <c r="L502" s="613" t="str">
        <f>IFERROR(VLOOKUP(M502,'02. MM-KLH'!$B$6:$T$823,4,0),"")</f>
        <v>2A-6088</v>
      </c>
      <c r="M502" s="488" t="s">
        <v>1249</v>
      </c>
      <c r="N502" s="615">
        <f>IFERROR(VLOOKUP(M502,'02. MM-KLH'!$B$6:$T$823,15,0),"")</f>
        <v>2021</v>
      </c>
      <c r="O502" s="616">
        <f>IFERROR(VLOOKUP(M502,'02. MM-KLH'!$B$6:$T$823,9,0),"")</f>
        <v>45575</v>
      </c>
      <c r="P502" s="613"/>
      <c r="Q502" s="613"/>
      <c r="R502" s="613"/>
      <c r="S502" s="613"/>
      <c r="T502" s="613"/>
      <c r="U502" s="559" t="str">
        <f>IFERROR(VLOOKUP(M502,'02. MM-KLH'!$B$6:$T$823,5,0),"")</f>
        <v>MỚI</v>
      </c>
      <c r="V502" s="523" t="str">
        <f>IFERROR(VLOOKUP(M502,'02. MM-KLH'!$B$6:$T$823,8,0),"")</f>
        <v>XN Chuối LP1</v>
      </c>
      <c r="W502" s="559" t="str">
        <f>IFERROR(VLOOKUP(V502,'NS QUẢN LÝ CG'!$A$4:$D$36,2,0),"")</f>
        <v>Nguyễn Ngọc Nhân</v>
      </c>
      <c r="X502" s="559" t="str">
        <f>IFERROR(VLOOKUP(V502,'NS QUẢN LÝ CG'!$A$4:$D$36,4,0),"")</f>
        <v>Lô 7 LP1</v>
      </c>
      <c r="Y502" s="559" t="str">
        <f>IFERROR(VLOOKUP(V502,'NS QUẢN LÝ CG'!$A$4:$C$36,3,0),"")</f>
        <v>0979578112</v>
      </c>
      <c r="Z502" s="523" t="str">
        <f>IFERROR(VLOOKUP(M502,'02. MM-KLH'!$B$6:$T$823,3,0),"")</f>
        <v>A24-TCD-001</v>
      </c>
      <c r="AA502" s="559" t="str">
        <f>SWITCH(LEFT(Z502,3),"A22","ADM","A23","DP","A24","LP","")</f>
        <v>LP</v>
      </c>
      <c r="AB502" s="523"/>
      <c r="AC502" s="523"/>
    </row>
    <row r="503">
      <c r="A503" s="523"/>
      <c r="B503" s="612" t="str">
        <f>IFERROR(VLOOKUP(M503,'02. MM-KLH'!$B$6:$T$823,6,0),"")</f>
        <v>Xe tải chuyên dụng (cabin đôi)</v>
      </c>
      <c r="C503" s="566">
        <v>1.0</v>
      </c>
      <c r="D503" s="613" t="str">
        <f>IFERROR(VLOOKUP(M503,'02. MM-KLH'!$B$6:$T$823,16,0),"")</f>
        <v>FRONTIER K200SD</v>
      </c>
      <c r="E503" s="561" t="s">
        <v>4158</v>
      </c>
      <c r="F503" s="613"/>
      <c r="G503" s="613"/>
      <c r="H503" s="613" t="str">
        <f>IFERROR(VLOOKUP(M503,'02. MM-KLH'!$B$6:$T$823,17,0),"")</f>
        <v>130HP</v>
      </c>
      <c r="I503" s="614" t="str">
        <f>IFERROR(VLOOKUP(M503,'02. MM-KLH'!$B$6:$U$823,20,0),"")</f>
        <v/>
      </c>
      <c r="J503" s="612" t="str">
        <f>IFERROR(VLOOKUP(M503,'02. MM-KLH'!$B$6:$T$823,19,0),"")</f>
        <v>MD540095D4CB</v>
      </c>
      <c r="K503" s="612" t="str">
        <f>IFERROR(VLOOKUP(M503,'02. MM-KLH'!$B$6:$T$823,18,0),"")</f>
        <v>RNHF39KHBMT045643</v>
      </c>
      <c r="L503" s="613" t="str">
        <f>IFERROR(VLOOKUP(M503,'02. MM-KLH'!$B$6:$T$823,4,0),"")</f>
        <v>2A-0492</v>
      </c>
      <c r="M503" s="490" t="s">
        <v>1442</v>
      </c>
      <c r="N503" s="615">
        <f>IFERROR(VLOOKUP(M503,'02. MM-KLH'!$B$6:$T$823,15,0),"")</f>
        <v>2021</v>
      </c>
      <c r="O503" s="616">
        <f>IFERROR(VLOOKUP(M503,'02. MM-KLH'!$B$6:$T$823,9,0),"")</f>
        <v>45566</v>
      </c>
      <c r="P503" s="613"/>
      <c r="Q503" s="613"/>
      <c r="R503" s="613"/>
      <c r="S503" s="566" t="s">
        <v>4158</v>
      </c>
      <c r="T503" s="613"/>
      <c r="U503" s="559" t="str">
        <f>IFERROR(VLOOKUP(M503,'02. MM-KLH'!$B$6:$T$823,5,0),"")</f>
        <v>MỚI</v>
      </c>
      <c r="V503" s="523" t="str">
        <f>IFERROR(VLOOKUP(M503,'02. MM-KLH'!$B$6:$T$823,8,0),"")</f>
        <v>XN Chuối LP3</v>
      </c>
      <c r="W503" s="559" t="str">
        <f>IFERROR(VLOOKUP(V503,'NS QUẢN LÝ CG'!$A$4:$D$36,2,0),"")</f>
        <v>Lê Cao Nghị</v>
      </c>
      <c r="X503" s="559" t="str">
        <f>IFERROR(VLOOKUP(V503,'NS QUẢN LÝ CG'!$A$4:$D$36,4,0),"")</f>
        <v>Lô 2 LP3</v>
      </c>
      <c r="Y503" s="559" t="str">
        <f>IFERROR(VLOOKUP(V503,'NS QUẢN LÝ CG'!$A$4:$C$36,3,0),"")</f>
        <v>0977423100</v>
      </c>
      <c r="Z503" s="523" t="str">
        <f>IFERROR(VLOOKUP(M503,'02. MM-KLH'!$B$6:$T$823,3,0),"")</f>
        <v>ATT-A22-0320</v>
      </c>
      <c r="AA503" s="561" t="s">
        <v>4462</v>
      </c>
      <c r="AB503" s="523"/>
      <c r="AC503" s="523"/>
    </row>
    <row r="504">
      <c r="A504" s="523"/>
      <c r="B504" s="612" t="str">
        <f>IFERROR(VLOOKUP(M504,'02. MM-KLH'!$B$6:$T$823,6,0),"")</f>
        <v>Xe tải chuyên dụng (thùng lửng)</v>
      </c>
      <c r="C504" s="566">
        <v>1.0</v>
      </c>
      <c r="D504" s="613" t="str">
        <f>IFERROR(VLOOKUP(M504,'02. MM-KLH'!$B$6:$T$823,16,0),"")</f>
        <v>FRONTIER K200SD-4WD</v>
      </c>
      <c r="E504" s="561" t="s">
        <v>4158</v>
      </c>
      <c r="F504" s="613"/>
      <c r="G504" s="613"/>
      <c r="H504" s="613" t="str">
        <f>IFERROR(VLOOKUP(M504,'02. MM-KLH'!$B$6:$T$823,17,0),"")</f>
        <v>129HP</v>
      </c>
      <c r="I504" s="614" t="str">
        <f>IFERROR(VLOOKUP(M504,'02. MM-KLH'!$B$6:$U$823,20,0),"")</f>
        <v/>
      </c>
      <c r="J504" s="612" t="str">
        <f>IFERROR(VLOOKUP(M504,'02. MM-KLH'!$B$6:$T$823,19,0),"")</f>
        <v>MD540097D4CB</v>
      </c>
      <c r="K504" s="612" t="str">
        <f>IFERROR(VLOOKUP(M504,'02. MM-KLH'!$B$6:$T$823,18,0),"")</f>
        <v>RNHF39KHBMT045662</v>
      </c>
      <c r="L504" s="613" t="str">
        <f>IFERROR(VLOOKUP(M504,'02. MM-KLH'!$B$6:$T$823,4,0),"")</f>
        <v>2A-6090</v>
      </c>
      <c r="M504" s="488" t="s">
        <v>1447</v>
      </c>
      <c r="N504" s="615">
        <f>IFERROR(VLOOKUP(M504,'02. MM-KLH'!$B$6:$T$823,15,0),"")</f>
        <v>2021</v>
      </c>
      <c r="O504" s="616" t="str">
        <f>IFERROR(VLOOKUP(M504,'02. MM-KLH'!$B$6:$T$823,9,0),"")</f>
        <v>13/10/2024</v>
      </c>
      <c r="P504" s="768">
        <v>57788.0</v>
      </c>
      <c r="Q504" s="613"/>
      <c r="R504" s="566" t="s">
        <v>4158</v>
      </c>
      <c r="S504" s="613"/>
      <c r="T504" s="613"/>
      <c r="U504" s="559" t="str">
        <f>IFERROR(VLOOKUP(M504,'02. MM-KLH'!$B$6:$T$823,5,0),"")</f>
        <v>MỚI</v>
      </c>
      <c r="V504" s="523" t="str">
        <f>IFERROR(VLOOKUP(M504,'02. MM-KLH'!$B$6:$T$823,8,0),"")</f>
        <v>XN Chuối LP3</v>
      </c>
      <c r="W504" s="559" t="str">
        <f>IFERROR(VLOOKUP(V504,'NS QUẢN LÝ CG'!$A$4:$D$36,2,0),"")</f>
        <v>Lê Cao Nghị</v>
      </c>
      <c r="X504" s="559" t="str">
        <f>IFERROR(VLOOKUP(V504,'NS QUẢN LÝ CG'!$A$4:$D$36,4,0),"")</f>
        <v>Lô 2 LP3</v>
      </c>
      <c r="Y504" s="559" t="str">
        <f>IFERROR(VLOOKUP(V504,'NS QUẢN LÝ CG'!$A$4:$C$36,3,0),"")</f>
        <v>0977423100</v>
      </c>
      <c r="Z504" s="523" t="str">
        <f>IFERROR(VLOOKUP(M504,'02. MM-KLH'!$B$6:$T$823,3,0),"")</f>
        <v>A24-TCD-002</v>
      </c>
      <c r="AA504" s="559" t="str">
        <f>SWITCH(LEFT(Z504,3),"A22","ADM","A23","DP","A24","LP","")</f>
        <v>LP</v>
      </c>
      <c r="AB504" s="523"/>
      <c r="AC504" s="523"/>
    </row>
    <row r="505">
      <c r="A505" s="523"/>
      <c r="B505" s="612" t="str">
        <f>IFERROR(VLOOKUP(M505,'02. MM-KLH'!$B$6:$T$823,6,0),"")</f>
        <v>Xe tải chuyên dụng (cabin đôi)</v>
      </c>
      <c r="C505" s="566">
        <v>1.0</v>
      </c>
      <c r="D505" s="613" t="str">
        <f>IFERROR(VLOOKUP(M505,'02. MM-KLH'!$B$6:$T$823,16,0),"")</f>
        <v>FRONTIER K200SD</v>
      </c>
      <c r="E505" s="561" t="s">
        <v>4158</v>
      </c>
      <c r="F505" s="613"/>
      <c r="G505" s="613"/>
      <c r="H505" s="613" t="str">
        <f>IFERROR(VLOOKUP(M505,'02. MM-KLH'!$B$6:$T$823,17,0),"")</f>
        <v>130HP</v>
      </c>
      <c r="I505" s="614" t="str">
        <f>IFERROR(VLOOKUP(M505,'02. MM-KLH'!$B$6:$U$823,20,0),"")</f>
        <v/>
      </c>
      <c r="J505" s="612" t="str">
        <f>IFERROR(VLOOKUP(M505,'02. MM-KLH'!$B$6:$T$823,19,0),"")</f>
        <v>MD540089D4CB</v>
      </c>
      <c r="K505" s="612" t="str">
        <f>IFERROR(VLOOKUP(M505,'02. MM-KLH'!$B$6:$T$823,18,0),"")</f>
        <v>RNHF39KHBMT045661</v>
      </c>
      <c r="L505" s="613" t="str">
        <f>IFERROR(VLOOKUP(M505,'02. MM-KLH'!$B$6:$T$823,4,0),"")</f>
        <v>2A-0489</v>
      </c>
      <c r="M505" s="488" t="s">
        <v>2650</v>
      </c>
      <c r="N505" s="615">
        <f>IFERROR(VLOOKUP(M505,'02. MM-KLH'!$B$6:$T$823,15,0),"")</f>
        <v>2021</v>
      </c>
      <c r="O505" s="616">
        <f>IFERROR(VLOOKUP(M505,'02. MM-KLH'!$B$6:$T$823,9,0),"")</f>
        <v>45566</v>
      </c>
      <c r="P505" s="613"/>
      <c r="Q505" s="613"/>
      <c r="R505" s="613"/>
      <c r="S505" s="613"/>
      <c r="T505" s="613"/>
      <c r="U505" s="559" t="str">
        <f>IFERROR(VLOOKUP(M505,'02. MM-KLH'!$B$6:$T$823,5,0),"")</f>
        <v>ĐQSD</v>
      </c>
      <c r="V505" s="523" t="str">
        <f>IFERROR(VLOOKUP(M505,'02. MM-KLH'!$B$6:$T$823,8,0),"")</f>
        <v>HÀNH CHÍNH KLH</v>
      </c>
      <c r="W505" s="559" t="str">
        <f>IFERROR(VLOOKUP(V505,'NS QUẢN LÝ CG'!$A$4:$D$36,2,0),"")</f>
        <v>Lê Trần Hoàng Minh</v>
      </c>
      <c r="X505" s="559" t="str">
        <f>IFERROR(VLOOKUP(V505,'NS QUẢN LÝ CG'!$A$4:$D$36,4,0),"")</f>
        <v>Văn Phòng 94</v>
      </c>
      <c r="Y505" s="559" t="str">
        <f>IFERROR(VLOOKUP(V505,'NS QUẢN LÝ CG'!$A$4:$C$36,3,0),"")</f>
        <v>0965509539</v>
      </c>
      <c r="Z505" s="523" t="str">
        <f>IFERROR(VLOOKUP(M505,'02. MM-KLH'!$B$6:$T$823,3,0),"")</f>
        <v>ATT-A22-0318</v>
      </c>
      <c r="AA505" s="561" t="s">
        <v>4462</v>
      </c>
      <c r="AB505" s="523"/>
      <c r="AC505" s="523"/>
    </row>
    <row r="506">
      <c r="A506" s="523"/>
      <c r="B506" s="612" t="str">
        <f>IFERROR(VLOOKUP(M506,'02. MM-KLH'!$B$6:$T$823,6,0),"")</f>
        <v>Xe tải chuyên dụng (cabin đôi)</v>
      </c>
      <c r="C506" s="566">
        <v>1.0</v>
      </c>
      <c r="D506" s="613" t="str">
        <f>IFERROR(VLOOKUP(M506,'02. MM-KLH'!$B$6:$T$823,16,0),"")</f>
        <v>FRONTIER K200SD</v>
      </c>
      <c r="E506" s="561" t="s">
        <v>4158</v>
      </c>
      <c r="F506" s="613"/>
      <c r="G506" s="613"/>
      <c r="H506" s="613" t="str">
        <f>IFERROR(VLOOKUP(M506,'02. MM-KLH'!$B$6:$T$823,17,0),"")</f>
        <v>130HP</v>
      </c>
      <c r="I506" s="614" t="str">
        <f>IFERROR(VLOOKUP(M506,'02. MM-KLH'!$B$6:$U$823,20,0),"")</f>
        <v/>
      </c>
      <c r="J506" s="612" t="str">
        <f>IFERROR(VLOOKUP(M506,'02. MM-KLH'!$B$6:$T$823,19,0),"")</f>
        <v>MD540092D4CB</v>
      </c>
      <c r="K506" s="612" t="str">
        <f>IFERROR(VLOOKUP(M506,'02. MM-KLH'!$B$6:$T$823,18,0),"")</f>
        <v>RNHF39KHBMT045635</v>
      </c>
      <c r="L506" s="613" t="str">
        <f>IFERROR(VLOOKUP(M506,'02. MM-KLH'!$B$6:$T$823,4,0),"")</f>
        <v>2A-0491</v>
      </c>
      <c r="M506" s="490" t="s">
        <v>2290</v>
      </c>
      <c r="N506" s="615">
        <f>IFERROR(VLOOKUP(M506,'02. MM-KLH'!$B$6:$T$823,15,0),"")</f>
        <v>2021</v>
      </c>
      <c r="O506" s="616">
        <f>IFERROR(VLOOKUP(M506,'02. MM-KLH'!$B$6:$T$823,9,0),"")</f>
        <v>45566</v>
      </c>
      <c r="P506" s="613"/>
      <c r="Q506" s="613"/>
      <c r="R506" s="566" t="s">
        <v>4158</v>
      </c>
      <c r="S506" s="613"/>
      <c r="T506" s="613"/>
      <c r="U506" s="559" t="str">
        <f>IFERROR(VLOOKUP(M506,'02. MM-KLH'!$B$6:$T$823,5,0),"")</f>
        <v>MỚI</v>
      </c>
      <c r="V506" s="523" t="str">
        <f>IFERROR(VLOOKUP(M506,'02. MM-KLH'!$B$6:$T$823,8,0),"")</f>
        <v>XN Bò AD</v>
      </c>
      <c r="W506" s="559" t="str">
        <f>IFERROR(VLOOKUP(V506,'NS QUẢN LÝ CG'!$A$4:$D$36,2,0),"")</f>
        <v>Trần Văn Nam</v>
      </c>
      <c r="X506" s="559" t="str">
        <f>IFERROR(VLOOKUP(V506,'NS QUẢN LÝ CG'!$A$4:$D$36,4,0),"")</f>
        <v>Lô 28 XN Bò</v>
      </c>
      <c r="Y506" s="559" t="str">
        <f>IFERROR(VLOOKUP(V506,'NS QUẢN LÝ CG'!$A$4:$C$36,3,0),"")</f>
        <v>0971993540</v>
      </c>
      <c r="Z506" s="523" t="str">
        <f>IFERROR(VLOOKUP(M506,'02. MM-KLH'!$B$6:$T$823,3,0),"")</f>
        <v>ATT-A22-0317</v>
      </c>
      <c r="AA506" s="561" t="s">
        <v>4462</v>
      </c>
      <c r="AB506" s="523"/>
      <c r="AC506" s="523"/>
    </row>
    <row r="507">
      <c r="A507" s="523"/>
      <c r="B507" s="612" t="str">
        <f>IFERROR(VLOOKUP(M507,'02. MM-KLH'!$B$6:$T$823,6,0),"")</f>
        <v>Xe tải chuyên dụng (cabin đôi)</v>
      </c>
      <c r="C507" s="566">
        <v>1.0</v>
      </c>
      <c r="D507" s="613" t="str">
        <f>IFERROR(VLOOKUP(M507,'02. MM-KLH'!$B$6:$T$823,16,0),"")</f>
        <v>FRONTIER K200SD</v>
      </c>
      <c r="E507" s="561" t="s">
        <v>4158</v>
      </c>
      <c r="F507" s="613"/>
      <c r="G507" s="613"/>
      <c r="H507" s="613" t="str">
        <f>IFERROR(VLOOKUP(M507,'02. MM-KLH'!$B$6:$T$823,17,0),"")</f>
        <v>130HP</v>
      </c>
      <c r="I507" s="614" t="str">
        <f>IFERROR(VLOOKUP(M507,'02. MM-KLH'!$B$6:$U$823,20,0),"")</f>
        <v/>
      </c>
      <c r="J507" s="612" t="str">
        <f>IFERROR(VLOOKUP(M507,'02. MM-KLH'!$B$6:$T$823,19,0),"")</f>
        <v>MD540107D4CB</v>
      </c>
      <c r="K507" s="612" t="str">
        <f>IFERROR(VLOOKUP(M507,'02. MM-KLH'!$B$6:$T$823,18,0),"")</f>
        <v>RNHF39KHBMT045640</v>
      </c>
      <c r="L507" s="613" t="str">
        <f>IFERROR(VLOOKUP(M507,'02. MM-KLH'!$B$6:$T$823,4,0),"")</f>
        <v>2A-0488</v>
      </c>
      <c r="M507" s="488" t="s">
        <v>2875</v>
      </c>
      <c r="N507" s="615">
        <f>IFERROR(VLOOKUP(M507,'02. MM-KLH'!$B$6:$T$823,15,0),"")</f>
        <v>2021</v>
      </c>
      <c r="O507" s="616" t="str">
        <f>IFERROR(VLOOKUP(M507,'02. MM-KLH'!$B$6:$T$823,9,0),"")</f>
        <v>15/10/2024</v>
      </c>
      <c r="P507" s="613"/>
      <c r="Q507" s="613"/>
      <c r="R507" s="566" t="s">
        <v>4158</v>
      </c>
      <c r="S507" s="613"/>
      <c r="T507" s="613"/>
      <c r="U507" s="559" t="str">
        <f>IFERROR(VLOOKUP(M507,'02. MM-KLH'!$B$6:$T$823,5,0),"")</f>
        <v>ĐQSD</v>
      </c>
      <c r="V507" s="523" t="str">
        <f>IFERROR(VLOOKUP(M507,'02. MM-KLH'!$B$6:$T$823,8,0),"")</f>
        <v>BAN KT CHUỐI</v>
      </c>
      <c r="W507" s="559" t="str">
        <f>IFERROR(VLOOKUP(V507,'NS QUẢN LÝ CG'!$A$4:$D$36,2,0),"")</f>
        <v/>
      </c>
      <c r="X507" s="559" t="str">
        <f>IFERROR(VLOOKUP(V507,'NS QUẢN LÝ CG'!$A$4:$D$36,4,0),"")</f>
        <v/>
      </c>
      <c r="Y507" s="559" t="str">
        <f>IFERROR(VLOOKUP(V507,'NS QUẢN LÝ CG'!$A$4:$C$36,3,0),"")</f>
        <v/>
      </c>
      <c r="Z507" s="523" t="str">
        <f>IFERROR(VLOOKUP(M507,'02. MM-KLH'!$B$6:$T$823,3,0),"")</f>
        <v>ATT-A22-0319</v>
      </c>
      <c r="AA507" s="559" t="str">
        <f t="shared" ref="AA507:AA512" si="35">SWITCH(LEFT(Z507,3),"A22","ADM","A23","DP","A24","LP","")</f>
        <v/>
      </c>
      <c r="AB507" s="523"/>
      <c r="AC507" s="523"/>
    </row>
    <row r="508">
      <c r="A508" s="523"/>
      <c r="B508" s="612" t="str">
        <f>IFERROR(VLOOKUP(M508,'02. MM-KLH'!$B$6:$T$823,6,0),"")</f>
        <v>Xe tải chuyên dụng (thùng lửng)</v>
      </c>
      <c r="C508" s="566">
        <v>1.0</v>
      </c>
      <c r="D508" s="613" t="str">
        <f>IFERROR(VLOOKUP(M508,'02. MM-KLH'!$B$6:$T$823,16,0),"")</f>
        <v>FRONTIER K200SD-4WD</v>
      </c>
      <c r="E508" s="561" t="s">
        <v>4158</v>
      </c>
      <c r="F508" s="613"/>
      <c r="G508" s="613"/>
      <c r="H508" s="613" t="str">
        <f>IFERROR(VLOOKUP(M508,'02. MM-KLH'!$B$6:$T$823,17,0),"")</f>
        <v>130HP</v>
      </c>
      <c r="I508" s="614" t="str">
        <f>IFERROR(VLOOKUP(M508,'02. MM-KLH'!$B$6:$U$823,20,0),"")</f>
        <v/>
      </c>
      <c r="J508" s="612" t="str">
        <f>IFERROR(VLOOKUP(M508,'02. MM-KLH'!$B$6:$T$823,19,0),"")</f>
        <v>MD540071D4CB</v>
      </c>
      <c r="K508" s="612" t="str">
        <f>IFERROR(VLOOKUP(M508,'02. MM-KLH'!$B$6:$T$823,18,0),"")</f>
        <v>RNHF39KHBMT045631</v>
      </c>
      <c r="L508" s="613" t="str">
        <f>IFERROR(VLOOKUP(M508,'02. MM-KLH'!$B$6:$T$823,4,0),"")</f>
        <v>2A-6092</v>
      </c>
      <c r="M508" s="488" t="s">
        <v>2883</v>
      </c>
      <c r="N508" s="615">
        <f>IFERROR(VLOOKUP(M508,'02. MM-KLH'!$B$6:$T$823,15,0),"")</f>
        <v>2021</v>
      </c>
      <c r="O508" s="616" t="str">
        <f>IFERROR(VLOOKUP(M508,'02. MM-KLH'!$B$6:$T$823,9,0),"")</f>
        <v>15/10/2024</v>
      </c>
      <c r="P508" s="613"/>
      <c r="Q508" s="613"/>
      <c r="R508" s="566" t="s">
        <v>4158</v>
      </c>
      <c r="S508" s="613"/>
      <c r="T508" s="613"/>
      <c r="U508" s="559" t="str">
        <f>IFERROR(VLOOKUP(M508,'02. MM-KLH'!$B$6:$T$823,5,0),"")</f>
        <v>ĐQSD</v>
      </c>
      <c r="V508" s="523" t="str">
        <f>IFERROR(VLOOKUP(M508,'02. MM-KLH'!$B$6:$T$823,8,0),"")</f>
        <v>BAN KT CHUỐI</v>
      </c>
      <c r="W508" s="559" t="str">
        <f>IFERROR(VLOOKUP(V508,'NS QUẢN LÝ CG'!$A$4:$D$36,2,0),"")</f>
        <v/>
      </c>
      <c r="X508" s="559" t="str">
        <f>IFERROR(VLOOKUP(V508,'NS QUẢN LÝ CG'!$A$4:$D$36,4,0),"")</f>
        <v/>
      </c>
      <c r="Y508" s="559" t="str">
        <f>IFERROR(VLOOKUP(V508,'NS QUẢN LÝ CG'!$A$4:$C$36,3,0),"")</f>
        <v/>
      </c>
      <c r="Z508" s="523" t="str">
        <f>IFERROR(VLOOKUP(M508,'02. MM-KLH'!$B$6:$T$823,3,0),"")</f>
        <v>A23-TCD-001</v>
      </c>
      <c r="AA508" s="559" t="str">
        <f t="shared" si="35"/>
        <v>DP</v>
      </c>
      <c r="AB508" s="523"/>
      <c r="AC508" s="523"/>
    </row>
    <row r="509">
      <c r="A509" s="523"/>
      <c r="B509" s="612" t="str">
        <f>IFERROR(VLOOKUP(M509,'02. MM-KLH'!$B$6:$T$823,6,0),"")</f>
        <v>Xe tải chuyên dụng (thùng lửng)</v>
      </c>
      <c r="C509" s="566">
        <v>1.0</v>
      </c>
      <c r="D509" s="613" t="str">
        <f>IFERROR(VLOOKUP(M509,'02. MM-KLH'!$B$6:$T$823,16,0),"")</f>
        <v>FRONTIER K200SD-4WD</v>
      </c>
      <c r="E509" s="561" t="s">
        <v>4158</v>
      </c>
      <c r="F509" s="613"/>
      <c r="G509" s="613"/>
      <c r="H509" s="613" t="str">
        <f>IFERROR(VLOOKUP(M509,'02. MM-KLH'!$B$6:$T$823,17,0),"")</f>
        <v>130HP</v>
      </c>
      <c r="I509" s="614" t="str">
        <f>IFERROR(VLOOKUP(M509,'02. MM-KLH'!$B$6:$U$823,20,0),"")</f>
        <v/>
      </c>
      <c r="J509" s="612" t="str">
        <f>IFERROR(VLOOKUP(M509,'02. MM-KLH'!$B$6:$T$823,19,0),"")</f>
        <v>MD534256D4CB</v>
      </c>
      <c r="K509" s="612" t="str">
        <f>IFERROR(VLOOKUP(M509,'02. MM-KLH'!$B$6:$T$823,18,0),"")</f>
        <v>RNHF39KHBMT045342</v>
      </c>
      <c r="L509" s="613" t="str">
        <f>IFERROR(VLOOKUP(M509,'02. MM-KLH'!$B$6:$T$823,4,0),"")</f>
        <v>2A-6093</v>
      </c>
      <c r="M509" s="488" t="s">
        <v>2889</v>
      </c>
      <c r="N509" s="615">
        <f>IFERROR(VLOOKUP(M509,'02. MM-KLH'!$B$6:$T$823,15,0),"")</f>
        <v>2021</v>
      </c>
      <c r="O509" s="616" t="str">
        <f>IFERROR(VLOOKUP(M509,'02. MM-KLH'!$B$6:$T$823,9,0),"")</f>
        <v>13/10/2024</v>
      </c>
      <c r="P509" s="613"/>
      <c r="Q509" s="613"/>
      <c r="R509" s="566" t="s">
        <v>4158</v>
      </c>
      <c r="S509" s="613"/>
      <c r="T509" s="613"/>
      <c r="U509" s="559" t="str">
        <f>IFERROR(VLOOKUP(M509,'02. MM-KLH'!$B$6:$T$823,5,0),"")</f>
        <v>ĐQSD</v>
      </c>
      <c r="V509" s="523" t="str">
        <f>IFERROR(VLOOKUP(M509,'02. MM-KLH'!$B$6:$T$823,8,0),"")</f>
        <v>BAN KT CHUỐI</v>
      </c>
      <c r="W509" s="559" t="str">
        <f>IFERROR(VLOOKUP(V509,'NS QUẢN LÝ CG'!$A$4:$D$36,2,0),"")</f>
        <v/>
      </c>
      <c r="X509" s="559" t="str">
        <f>IFERROR(VLOOKUP(V509,'NS QUẢN LÝ CG'!$A$4:$D$36,4,0),"")</f>
        <v/>
      </c>
      <c r="Y509" s="559" t="str">
        <f>IFERROR(VLOOKUP(V509,'NS QUẢN LÝ CG'!$A$4:$C$36,3,0),"")</f>
        <v/>
      </c>
      <c r="Z509" s="523" t="str">
        <f>IFERROR(VLOOKUP(M509,'02. MM-KLH'!$B$6:$T$823,3,0),"")</f>
        <v>A24-TCD-003</v>
      </c>
      <c r="AA509" s="559" t="str">
        <f t="shared" si="35"/>
        <v>LP</v>
      </c>
      <c r="AB509" s="523"/>
      <c r="AC509" s="523"/>
    </row>
    <row r="510">
      <c r="A510" s="523"/>
      <c r="B510" s="612" t="str">
        <f>IFERROR(VLOOKUP(M510,'02. MM-KLH'!$B$6:$T$823,6,0),"")</f>
        <v>Xe tải chuyên dụng (thùng lửng)</v>
      </c>
      <c r="C510" s="566">
        <v>1.0</v>
      </c>
      <c r="D510" s="613" t="str">
        <f>IFERROR(VLOOKUP(M510,'02. MM-KLH'!$B$6:$T$823,16,0),"")</f>
        <v>FRONTIER K200SD-4WD</v>
      </c>
      <c r="E510" s="561" t="s">
        <v>4158</v>
      </c>
      <c r="F510" s="613"/>
      <c r="G510" s="613"/>
      <c r="H510" s="613" t="str">
        <f>IFERROR(VLOOKUP(M510,'02. MM-KLH'!$B$6:$T$823,17,0),"")</f>
        <v>130HP</v>
      </c>
      <c r="I510" s="614" t="str">
        <f>IFERROR(VLOOKUP(M510,'02. MM-KLH'!$B$6:$U$823,20,0),"")</f>
        <v/>
      </c>
      <c r="J510" s="612" t="str">
        <f>IFERROR(VLOOKUP(M510,'02. MM-KLH'!$B$6:$T$823,19,0),"")</f>
        <v>MD540068D4CB</v>
      </c>
      <c r="K510" s="612" t="str">
        <f>IFERROR(VLOOKUP(M510,'02. MM-KLH'!$B$6:$T$823,18,0),"")</f>
        <v>RNHF39KHBMT045656</v>
      </c>
      <c r="L510" s="613" t="str">
        <f>IFERROR(VLOOKUP(M510,'02. MM-KLH'!$B$6:$T$823,4,0),"")</f>
        <v/>
      </c>
      <c r="M510" s="488" t="s">
        <v>2823</v>
      </c>
      <c r="N510" s="615">
        <f>IFERROR(VLOOKUP(M510,'02. MM-KLH'!$B$6:$T$823,15,0),"")</f>
        <v>2021</v>
      </c>
      <c r="O510" s="616">
        <f>IFERROR(VLOOKUP(M510,'02. MM-KLH'!$B$6:$T$823,9,0),"")</f>
        <v>45606</v>
      </c>
      <c r="P510" s="613"/>
      <c r="Q510" s="613"/>
      <c r="R510" s="566" t="s">
        <v>4158</v>
      </c>
      <c r="S510" s="613"/>
      <c r="T510" s="613"/>
      <c r="U510" s="559" t="str">
        <f>IFERROR(VLOOKUP(M510,'02. MM-KLH'!$B$6:$T$823,5,0),"")</f>
        <v>MỚI</v>
      </c>
      <c r="V510" s="523" t="str">
        <f>IFERROR(VLOOKUP(M510,'02. MM-KLH'!$B$6:$T$823,8,0),"")</f>
        <v>BAN CG-CK &amp; SXCN</v>
      </c>
      <c r="W510" s="559" t="str">
        <f>IFERROR(VLOOKUP(V510,'NS QUẢN LÝ CG'!$A$4:$D$36,2,0),"")</f>
        <v/>
      </c>
      <c r="X510" s="559" t="str">
        <f>IFERROR(VLOOKUP(V510,'NS QUẢN LÝ CG'!$A$4:$D$36,4,0),"")</f>
        <v/>
      </c>
      <c r="Y510" s="559" t="str">
        <f>IFERROR(VLOOKUP(V510,'NS QUẢN LÝ CG'!$A$4:$C$36,3,0),"")</f>
        <v/>
      </c>
      <c r="Z510" s="523" t="str">
        <f>IFERROR(VLOOKUP(M510,'02. MM-KLH'!$B$6:$T$823,3,0),"")</f>
        <v>A22-TCD-002</v>
      </c>
      <c r="AA510" s="559" t="str">
        <f t="shared" si="35"/>
        <v>ADM</v>
      </c>
      <c r="AB510" s="523"/>
      <c r="AC510" s="523"/>
    </row>
    <row r="511">
      <c r="A511" s="523"/>
      <c r="B511" s="612" t="str">
        <f>IFERROR(VLOOKUP(M511,'02. MM-KLH'!$B$6:$T$823,6,0),"")</f>
        <v>Xe tải chuyên dụng (thùng lửng)</v>
      </c>
      <c r="C511" s="566">
        <v>1.0</v>
      </c>
      <c r="D511" s="613" t="str">
        <f>IFERROR(VLOOKUP(M511,'02. MM-KLH'!$B$6:$T$823,16,0),"")</f>
        <v>FRONTIER K200SD-4WD</v>
      </c>
      <c r="E511" s="561" t="s">
        <v>4158</v>
      </c>
      <c r="F511" s="613"/>
      <c r="G511" s="613"/>
      <c r="H511" s="613" t="str">
        <f>IFERROR(VLOOKUP(M511,'02. MM-KLH'!$B$6:$T$823,17,0),"")</f>
        <v>130HP</v>
      </c>
      <c r="I511" s="614" t="str">
        <f>IFERROR(VLOOKUP(M511,'02. MM-KLH'!$B$6:$U$823,20,0),"")</f>
        <v/>
      </c>
      <c r="J511" s="612" t="str">
        <f>IFERROR(VLOOKUP(M511,'02. MM-KLH'!$B$6:$T$823,19,0),"")</f>
        <v>MD540108D4CB</v>
      </c>
      <c r="K511" s="612" t="str">
        <f>IFERROR(VLOOKUP(M511,'02. MM-KLH'!$B$6:$T$823,18,0),"")</f>
        <v>RNHF39KHBMT045639</v>
      </c>
      <c r="L511" s="613" t="str">
        <f>IFERROR(VLOOKUP(M511,'02. MM-KLH'!$B$6:$T$823,4,0),"")</f>
        <v/>
      </c>
      <c r="M511" s="488" t="s">
        <v>2829</v>
      </c>
      <c r="N511" s="615">
        <f>IFERROR(VLOOKUP(M511,'02. MM-KLH'!$B$6:$T$823,15,0),"")</f>
        <v>2021</v>
      </c>
      <c r="O511" s="616">
        <f>IFERROR(VLOOKUP(M511,'02. MM-KLH'!$B$6:$T$823,9,0),"")</f>
        <v>45575</v>
      </c>
      <c r="P511" s="613"/>
      <c r="Q511" s="613"/>
      <c r="R511" s="566" t="s">
        <v>4158</v>
      </c>
      <c r="S511" s="613"/>
      <c r="T511" s="613"/>
      <c r="U511" s="559" t="str">
        <f>IFERROR(VLOOKUP(M511,'02. MM-KLH'!$B$6:$T$823,5,0),"")</f>
        <v>MỚI</v>
      </c>
      <c r="V511" s="523" t="str">
        <f>IFERROR(VLOOKUP(M511,'02. MM-KLH'!$B$6:$T$823,8,0),"")</f>
        <v>BAN CG-CK &amp; SXCN</v>
      </c>
      <c r="W511" s="559" t="str">
        <f>IFERROR(VLOOKUP(V511,'NS QUẢN LÝ CG'!$A$4:$D$36,2,0),"")</f>
        <v/>
      </c>
      <c r="X511" s="559" t="str">
        <f>IFERROR(VLOOKUP(V511,'NS QUẢN LÝ CG'!$A$4:$D$36,4,0),"")</f>
        <v/>
      </c>
      <c r="Y511" s="559" t="str">
        <f>IFERROR(VLOOKUP(V511,'NS QUẢN LÝ CG'!$A$4:$C$36,3,0),"")</f>
        <v/>
      </c>
      <c r="Z511" s="523" t="str">
        <f>IFERROR(VLOOKUP(M511,'02. MM-KLH'!$B$6:$T$823,3,0),"")</f>
        <v>A22-TCD-003</v>
      </c>
      <c r="AA511" s="559" t="str">
        <f t="shared" si="35"/>
        <v>ADM</v>
      </c>
      <c r="AB511" s="523"/>
      <c r="AC511" s="523"/>
    </row>
    <row r="512">
      <c r="A512" s="523"/>
      <c r="B512" s="612" t="str">
        <f>IFERROR(VLOOKUP(M512,'02. MM-KLH'!$B$6:$T$823,6,0),"")</f>
        <v>Xe tải chuyên dụng (thùng SCLĐ)</v>
      </c>
      <c r="C512" s="566">
        <v>1.0</v>
      </c>
      <c r="D512" s="613" t="str">
        <f>IFERROR(VLOOKUP(M512,'02. MM-KLH'!$B$6:$T$823,16,0),"")</f>
        <v>KIA K200SD</v>
      </c>
      <c r="E512" s="561" t="s">
        <v>4158</v>
      </c>
      <c r="F512" s="613"/>
      <c r="G512" s="613"/>
      <c r="H512" s="613" t="str">
        <f>IFERROR(VLOOKUP(M512,'02. MM-KLH'!$B$6:$T$823,17,0),"")</f>
        <v>130HP</v>
      </c>
      <c r="I512" s="614" t="str">
        <f>IFERROR(VLOOKUP(M512,'02. MM-KLH'!$B$6:$U$823,20,0),"")</f>
        <v/>
      </c>
      <c r="J512" s="612" t="str">
        <f>IFERROR(VLOOKUP(M512,'02. MM-KLH'!$B$6:$T$823,19,0),"")</f>
        <v>MD540074D4CB</v>
      </c>
      <c r="K512" s="612" t="str">
        <f>IFERROR(VLOOKUP(M512,'02. MM-KLH'!$B$6:$T$823,18,0),"")</f>
        <v>RNHF39KHBMT045676</v>
      </c>
      <c r="L512" s="613" t="str">
        <f>IFERROR(VLOOKUP(M512,'02. MM-KLH'!$B$6:$T$823,4,0),"")</f>
        <v>2A-0518</v>
      </c>
      <c r="M512" s="488" t="s">
        <v>2835</v>
      </c>
      <c r="N512" s="615">
        <f>IFERROR(VLOOKUP(M512,'02. MM-KLH'!$B$6:$T$823,15,0),"")</f>
        <v>2024</v>
      </c>
      <c r="O512" s="616" t="str">
        <f>IFERROR(VLOOKUP(M512,'02. MM-KLH'!$B$6:$T$823,9,0),"")</f>
        <v>27/01/2026</v>
      </c>
      <c r="P512" s="613"/>
      <c r="Q512" s="613"/>
      <c r="R512" s="566" t="s">
        <v>4158</v>
      </c>
      <c r="S512" s="613"/>
      <c r="T512" s="613"/>
      <c r="U512" s="559" t="str">
        <f>IFERROR(VLOOKUP(M512,'02. MM-KLH'!$B$6:$T$823,5,0),"")</f>
        <v>MỚI</v>
      </c>
      <c r="V512" s="523" t="str">
        <f>IFERROR(VLOOKUP(M512,'02. MM-KLH'!$B$6:$T$823,8,0),"")</f>
        <v>BAN CG-CK &amp; SXCN</v>
      </c>
      <c r="W512" s="559" t="str">
        <f>IFERROR(VLOOKUP(V512,'NS QUẢN LÝ CG'!$A$4:$D$36,2,0),"")</f>
        <v/>
      </c>
      <c r="X512" s="559" t="str">
        <f>IFERROR(VLOOKUP(V512,'NS QUẢN LÝ CG'!$A$4:$D$36,4,0),"")</f>
        <v/>
      </c>
      <c r="Y512" s="559" t="str">
        <f>IFERROR(VLOOKUP(V512,'NS QUẢN LÝ CG'!$A$4:$C$36,3,0),"")</f>
        <v/>
      </c>
      <c r="Z512" s="523" t="str">
        <f>IFERROR(VLOOKUP(M512,'02. MM-KLH'!$B$6:$T$823,3,0),"")</f>
        <v>A22-TCD-004</v>
      </c>
      <c r="AA512" s="559" t="str">
        <f t="shared" si="35"/>
        <v>ADM</v>
      </c>
      <c r="AB512" s="523"/>
      <c r="AC512" s="523"/>
    </row>
    <row r="513">
      <c r="A513" s="523"/>
      <c r="B513" s="612" t="str">
        <f>IFERROR(VLOOKUP(M513,'02. MM-KLH'!$B$6:$T$823,6,0),"")</f>
        <v/>
      </c>
      <c r="C513" s="566"/>
      <c r="D513" s="613" t="str">
        <f>IFERROR(VLOOKUP(M513,'02. MM-KLH'!$B$6:$T$823,16,0),"")</f>
        <v/>
      </c>
      <c r="E513" s="613"/>
      <c r="F513" s="613"/>
      <c r="G513" s="613"/>
      <c r="H513" s="613" t="str">
        <f>IFERROR(VLOOKUP(M513,'02. MM-KLH'!$B$6:$T$823,17,0),"")</f>
        <v/>
      </c>
      <c r="I513" s="614" t="str">
        <f>IFERROR(VLOOKUP(M513,'02. MM-KLH'!$B$6:$U$823,20,0),"")</f>
        <v/>
      </c>
      <c r="J513" s="612" t="str">
        <f>IFERROR(VLOOKUP(M513,'02. MM-KLH'!$B$6:$T$823,19,0),"")</f>
        <v/>
      </c>
      <c r="K513" s="612" t="str">
        <f>IFERROR(VLOOKUP(M513,'02. MM-KLH'!$B$6:$T$823,18,0),"")</f>
        <v/>
      </c>
      <c r="L513" s="613" t="str">
        <f>IFERROR(VLOOKUP(M513,'02. MM-KLH'!$B$6:$T$823,4,0),"")</f>
        <v/>
      </c>
      <c r="M513" s="488"/>
      <c r="N513" s="615" t="str">
        <f>IFERROR(VLOOKUP(M513,'02. MM-KLH'!$B$6:$T$823,15,0),"")</f>
        <v/>
      </c>
      <c r="O513" s="616" t="str">
        <f>IFERROR(VLOOKUP(M513,'02. MM-KLH'!$B$6:$T$823,9,0),"")</f>
        <v/>
      </c>
      <c r="P513" s="613"/>
      <c r="Q513" s="613"/>
      <c r="R513" s="613"/>
      <c r="S513" s="613"/>
      <c r="T513" s="613"/>
      <c r="U513" s="613" t="str">
        <f>IFERROR(VLOOKUP(M513,'02. MM-KLH'!$B$6:$T$823,2,0),"")</f>
        <v/>
      </c>
      <c r="V513" s="523" t="str">
        <f>IFERROR(VLOOKUP(M513,'02. MM-KLH'!$B$6:$T$823,8,0),"")</f>
        <v/>
      </c>
      <c r="W513" s="559" t="str">
        <f>IFERROR(VLOOKUP(V513,'NS QUẢN LÝ CG'!$A$4:$D$36,2,0),"")</f>
        <v/>
      </c>
      <c r="X513" s="559" t="str">
        <f>IFERROR(VLOOKUP(V513,'NS QUẢN LÝ CG'!$A$4:$D$36,4,0),"")</f>
        <v/>
      </c>
      <c r="Y513" s="613"/>
      <c r="Z513" s="523" t="str">
        <f>IFERROR(VLOOKUP(M513,'02. MM-KLH'!$B$6:$T$823,3,0),"")</f>
        <v/>
      </c>
      <c r="AA513" s="613"/>
      <c r="AB513" s="523"/>
      <c r="AC513" s="523"/>
    </row>
    <row r="514">
      <c r="A514" s="523"/>
      <c r="B514" s="612" t="str">
        <f>IFERROR(VLOOKUP(M514,'02. MM-KLH'!$B$6:$T$823,6,0),"")</f>
        <v/>
      </c>
      <c r="C514" s="566"/>
      <c r="D514" s="613" t="str">
        <f>IFERROR(VLOOKUP(M514,'02. MM-KLH'!$B$6:$T$823,16,0),"")</f>
        <v/>
      </c>
      <c r="E514" s="613"/>
      <c r="F514" s="613"/>
      <c r="G514" s="613"/>
      <c r="H514" s="613" t="str">
        <f>IFERROR(VLOOKUP(M514,'02. MM-KLH'!$B$6:$T$823,17,0),"")</f>
        <v/>
      </c>
      <c r="I514" s="614" t="str">
        <f>IFERROR(VLOOKUP(M514,'02. MM-KLH'!$B$6:$U$823,20,0),"")</f>
        <v/>
      </c>
      <c r="J514" s="612" t="str">
        <f>IFERROR(VLOOKUP(M514,'02. MM-KLH'!$B$6:$T$823,19,0),"")</f>
        <v/>
      </c>
      <c r="K514" s="612" t="str">
        <f>IFERROR(VLOOKUP(M514,'02. MM-KLH'!$B$6:$T$823,18,0),"")</f>
        <v/>
      </c>
      <c r="L514" s="613" t="str">
        <f>IFERROR(VLOOKUP(M514,'02. MM-KLH'!$B$6:$T$823,4,0),"")</f>
        <v/>
      </c>
      <c r="M514" s="488"/>
      <c r="N514" s="615" t="str">
        <f>IFERROR(VLOOKUP(M514,'02. MM-KLH'!$B$6:$T$823,15,0),"")</f>
        <v/>
      </c>
      <c r="O514" s="616" t="str">
        <f>IFERROR(VLOOKUP(M514,'02. MM-KLH'!$B$6:$T$823,9,0),"")</f>
        <v/>
      </c>
      <c r="P514" s="613"/>
      <c r="Q514" s="613"/>
      <c r="R514" s="613"/>
      <c r="S514" s="613"/>
      <c r="T514" s="613"/>
      <c r="U514" s="613" t="str">
        <f>IFERROR(VLOOKUP(M514,'02. MM-KLH'!$B$6:$T$823,2,0),"")</f>
        <v/>
      </c>
      <c r="V514" s="523" t="str">
        <f>IFERROR(VLOOKUP(M514,'02. MM-KLH'!$B$6:$T$823,8,0),"")</f>
        <v/>
      </c>
      <c r="W514" s="559" t="str">
        <f>IFERROR(VLOOKUP(V514,'NS QUẢN LÝ CG'!$A$4:$D$36,2,0),"")</f>
        <v/>
      </c>
      <c r="X514" s="559" t="str">
        <f>IFERROR(VLOOKUP(V514,'NS QUẢN LÝ CG'!$A$4:$D$36,4,0),"")</f>
        <v/>
      </c>
      <c r="Y514" s="613"/>
      <c r="Z514" s="523" t="str">
        <f>IFERROR(VLOOKUP(M514,'02. MM-KLH'!$B$6:$T$823,3,0),"")</f>
        <v/>
      </c>
      <c r="AA514" s="613"/>
      <c r="AB514" s="523"/>
      <c r="AC514" s="523"/>
    </row>
    <row r="515">
      <c r="A515" s="542" t="s">
        <v>4476</v>
      </c>
      <c r="B515" s="543" t="s">
        <v>6302</v>
      </c>
      <c r="C515" s="544">
        <f>COUNTA(B516:B539)</f>
        <v>22</v>
      </c>
      <c r="D515" s="545"/>
      <c r="E515" s="545"/>
      <c r="F515" s="545"/>
      <c r="G515" s="545"/>
      <c r="H515" s="545"/>
      <c r="I515" s="546"/>
      <c r="J515" s="547"/>
      <c r="K515" s="547"/>
      <c r="L515" s="545"/>
      <c r="M515" s="545"/>
      <c r="N515" s="545"/>
      <c r="O515" s="548"/>
      <c r="P515" s="545"/>
      <c r="Q515" s="545"/>
      <c r="R515" s="545"/>
      <c r="S515" s="545"/>
      <c r="T515" s="545"/>
      <c r="U515" s="545"/>
      <c r="V515" s="546"/>
      <c r="W515" s="545"/>
      <c r="X515" s="545"/>
      <c r="Y515" s="545"/>
      <c r="Z515" s="546"/>
      <c r="AA515" s="545"/>
      <c r="AB515" s="546"/>
      <c r="AC515" s="549"/>
    </row>
    <row r="516">
      <c r="A516" s="523"/>
      <c r="B516" s="612" t="str">
        <f>IFERROR(VLOOKUP(M516,'02. MM-KLH'!$B$6:$T$823,6,0),"")</f>
        <v>Xe lôi</v>
      </c>
      <c r="C516" s="566">
        <v>1.0</v>
      </c>
      <c r="D516" s="613" t="str">
        <f>IFERROR(VLOOKUP(M516,'02. MM-KLH'!$B$6:$T$823,16,0),"")</f>
        <v>TH150ZH</v>
      </c>
      <c r="E516" s="613"/>
      <c r="F516" s="561" t="s">
        <v>4158</v>
      </c>
      <c r="G516" s="613"/>
      <c r="H516" s="613" t="str">
        <f>IFERROR(VLOOKUP(M516,'02. MM-KLH'!$B$6:$T$823,17,0),"")</f>
        <v>15HP</v>
      </c>
      <c r="I516" s="614">
        <f>IFERROR(VLOOKUP(M516,'02. MM-KLH'!$B$6:$U$823,20,0),"")</f>
        <v>2.5</v>
      </c>
      <c r="J516" s="612" t="str">
        <f>IFERROR(VLOOKUP(M516,'02. MM-KLH'!$B$6:$T$823,19,0),"")</f>
        <v>CCN</v>
      </c>
      <c r="K516" s="612" t="str">
        <f>IFERROR(VLOOKUP(M516,'02. MM-KLH'!$B$6:$T$823,18,0),"")</f>
        <v>TH162FMJ-C22060509</v>
      </c>
      <c r="L516" s="613" t="str">
        <f>IFERROR(VLOOKUP(M516,'02. MM-KLH'!$B$6:$T$823,4,0),"")</f>
        <v/>
      </c>
      <c r="M516" s="490" t="s">
        <v>2294</v>
      </c>
      <c r="N516" s="615">
        <f>IFERROR(VLOOKUP(M516,'02. MM-KLH'!$B$6:$T$823,15,0),"")</f>
        <v>2020</v>
      </c>
      <c r="O516" s="616">
        <f>IFERROR(VLOOKUP(M516,'02. MM-KLH'!$B$6:$T$823,9,0),"")</f>
        <v>44938</v>
      </c>
      <c r="P516" s="613"/>
      <c r="Q516" s="566" t="s">
        <v>1565</v>
      </c>
      <c r="R516" s="566" t="s">
        <v>4158</v>
      </c>
      <c r="S516" s="613"/>
      <c r="T516" s="613"/>
      <c r="U516" s="559" t="str">
        <f>IFERROR(VLOOKUP(M516,'02. MM-KLH'!$B$6:$T$823,5,0),"")</f>
        <v>MỚI</v>
      </c>
      <c r="V516" s="523" t="str">
        <f>IFERROR(VLOOKUP(M516,'02. MM-KLH'!$B$6:$T$823,8,0),"")</f>
        <v>XN Bò AD</v>
      </c>
      <c r="W516" s="559" t="str">
        <f>IFERROR(VLOOKUP(V516,'NS QUẢN LÝ CG'!$A$4:$D$36,2,0),"")</f>
        <v>Trần Văn Nam</v>
      </c>
      <c r="X516" s="559" t="str">
        <f>IFERROR(VLOOKUP(V516,'NS QUẢN LÝ CG'!$A$4:$D$36,4,0),"")</f>
        <v>Lô 28 XN Bò</v>
      </c>
      <c r="Y516" s="559" t="str">
        <f>IFERROR(VLOOKUP(V516,'NS QUẢN LÝ CG'!$A$4:$C$36,3,0),"")</f>
        <v>0971993540</v>
      </c>
      <c r="Z516" s="523" t="str">
        <f>IFERROR(VLOOKUP(M516,'02. MM-KLH'!$B$6:$T$823,3,0),"")</f>
        <v>ATT-A22-0313</v>
      </c>
      <c r="AA516" s="561" t="s">
        <v>4462</v>
      </c>
      <c r="AB516" s="523"/>
      <c r="AC516" s="523"/>
    </row>
    <row r="517">
      <c r="A517" s="523"/>
      <c r="B517" s="612" t="str">
        <f>IFERROR(VLOOKUP(M517,'02. MM-KLH'!$B$6:$T$823,6,0),"")</f>
        <v>Xe lôi</v>
      </c>
      <c r="C517" s="566">
        <v>1.0</v>
      </c>
      <c r="D517" s="613" t="str">
        <f>IFERROR(VLOOKUP(M517,'02. MM-KLH'!$B$6:$T$823,16,0),"")</f>
        <v>TH150ZH</v>
      </c>
      <c r="E517" s="613"/>
      <c r="F517" s="561" t="s">
        <v>4158</v>
      </c>
      <c r="G517" s="613"/>
      <c r="H517" s="613" t="str">
        <f>IFERROR(VLOOKUP(M517,'02. MM-KLH'!$B$6:$T$823,17,0),"")</f>
        <v>15HP</v>
      </c>
      <c r="I517" s="614">
        <f>IFERROR(VLOOKUP(M517,'02. MM-KLH'!$B$6:$U$823,20,0),"")</f>
        <v>2.5</v>
      </c>
      <c r="J517" s="612" t="str">
        <f>IFERROR(VLOOKUP(M517,'02. MM-KLH'!$B$6:$T$823,19,0),"")</f>
        <v>CCN</v>
      </c>
      <c r="K517" s="612" t="str">
        <f>IFERROR(VLOOKUP(M517,'02. MM-KLH'!$B$6:$T$823,18,0),"")</f>
        <v>TH162FMJ-C23004029</v>
      </c>
      <c r="L517" s="613" t="str">
        <f>IFERROR(VLOOKUP(M517,'02. MM-KLH'!$B$6:$T$823,4,0),"")</f>
        <v/>
      </c>
      <c r="M517" s="490" t="s">
        <v>2299</v>
      </c>
      <c r="N517" s="615">
        <f>IFERROR(VLOOKUP(M517,'02. MM-KLH'!$B$6:$T$823,15,0),"")</f>
        <v>2020</v>
      </c>
      <c r="O517" s="616" t="str">
        <f>IFERROR(VLOOKUP(M517,'02. MM-KLH'!$B$6:$T$823,9,0),"")</f>
        <v>26/12/2023</v>
      </c>
      <c r="P517" s="613"/>
      <c r="Q517" s="566" t="s">
        <v>1565</v>
      </c>
      <c r="R517" s="566" t="s">
        <v>4158</v>
      </c>
      <c r="S517" s="613"/>
      <c r="T517" s="613"/>
      <c r="U517" s="559" t="str">
        <f>IFERROR(VLOOKUP(M517,'02. MM-KLH'!$B$6:$T$823,5,0),"")</f>
        <v>MỚI</v>
      </c>
      <c r="V517" s="523" t="str">
        <f>IFERROR(VLOOKUP(M517,'02. MM-KLH'!$B$6:$T$823,8,0),"")</f>
        <v>XN Bò AD</v>
      </c>
      <c r="W517" s="559" t="str">
        <f>IFERROR(VLOOKUP(V517,'NS QUẢN LÝ CG'!$A$4:$D$36,2,0),"")</f>
        <v>Trần Văn Nam</v>
      </c>
      <c r="X517" s="559" t="str">
        <f>IFERROR(VLOOKUP(V517,'NS QUẢN LÝ CG'!$A$4:$D$36,4,0),"")</f>
        <v>Lô 28 XN Bò</v>
      </c>
      <c r="Y517" s="559" t="str">
        <f>IFERROR(VLOOKUP(V517,'NS QUẢN LÝ CG'!$A$4:$C$36,3,0),"")</f>
        <v>0971993540</v>
      </c>
      <c r="Z517" s="523" t="str">
        <f>IFERROR(VLOOKUP(M517,'02. MM-KLH'!$B$6:$T$823,3,0),"")</f>
        <v>ATT-A22-0327</v>
      </c>
      <c r="AA517" s="561" t="s">
        <v>4462</v>
      </c>
      <c r="AB517" s="523"/>
      <c r="AC517" s="523"/>
    </row>
    <row r="518">
      <c r="A518" s="523"/>
      <c r="B518" s="612" t="str">
        <f>IFERROR(VLOOKUP(M518,'02. MM-KLH'!$B$6:$T$823,6,0),"")</f>
        <v>Xe lôi</v>
      </c>
      <c r="C518" s="566">
        <v>1.0</v>
      </c>
      <c r="D518" s="613" t="str">
        <f>IFERROR(VLOOKUP(M518,'02. MM-KLH'!$B$6:$T$823,16,0),"")</f>
        <v>150ZH-2DR</v>
      </c>
      <c r="E518" s="613"/>
      <c r="F518" s="561" t="s">
        <v>4158</v>
      </c>
      <c r="G518" s="613"/>
      <c r="H518" s="613" t="str">
        <f>IFERROR(VLOOKUP(M518,'02. MM-KLH'!$B$6:$T$823,17,0),"")</f>
        <v>11HP</v>
      </c>
      <c r="I518" s="614">
        <f>IFERROR(VLOOKUP(M518,'02. MM-KLH'!$B$6:$U$823,20,0),"")</f>
        <v>2.5</v>
      </c>
      <c r="J518" s="612" t="str">
        <f>IFERROR(VLOOKUP(M518,'02. MM-KLH'!$B$6:$T$823,19,0),"")</f>
        <v>170MM-B8R100075</v>
      </c>
      <c r="K518" s="612" t="str">
        <f>IFERROR(VLOOKUP(M518,'02. MM-KLH'!$B$6:$T$823,18,0),"")</f>
        <v>L6XHBN1B8R0000061</v>
      </c>
      <c r="L518" s="613" t="str">
        <f>IFERROR(VLOOKUP(M518,'02. MM-KLH'!$B$6:$T$823,4,0),"")</f>
        <v/>
      </c>
      <c r="M518" s="488" t="s">
        <v>2514</v>
      </c>
      <c r="N518" s="615" t="str">
        <f>IFERROR(VLOOKUP(M518,'02. MM-KLH'!$B$6:$T$823,15,0),"")</f>
        <v/>
      </c>
      <c r="O518" s="616">
        <f>IFERROR(VLOOKUP(M518,'02. MM-KLH'!$B$6:$T$823,9,0),"")</f>
        <v>45963</v>
      </c>
      <c r="P518" s="613"/>
      <c r="Q518" s="566" t="s">
        <v>1565</v>
      </c>
      <c r="R518" s="566" t="s">
        <v>4158</v>
      </c>
      <c r="S518" s="613"/>
      <c r="T518" s="613"/>
      <c r="U518" s="559" t="str">
        <f>IFERROR(VLOOKUP(M518,'02. MM-KLH'!$B$6:$T$823,5,0),"")</f>
        <v>ĐQSD</v>
      </c>
      <c r="V518" s="523" t="str">
        <f>IFERROR(VLOOKUP(M518,'02. MM-KLH'!$B$6:$T$823,8,0),"")</f>
        <v>Ban điện nước</v>
      </c>
      <c r="W518" s="559" t="str">
        <f>IFERROR(VLOOKUP(V518,'NS QUẢN LÝ CG'!$A$4:$D$36,2,0),"")</f>
        <v/>
      </c>
      <c r="X518" s="559" t="str">
        <f>IFERROR(VLOOKUP(V518,'NS QUẢN LÝ CG'!$A$4:$D$36,4,0),"")</f>
        <v/>
      </c>
      <c r="Y518" s="559" t="str">
        <f>IFERROR(VLOOKUP(V518,'NS QUẢN LÝ CG'!$A$4:$C$36,3,0),"")</f>
        <v/>
      </c>
      <c r="Z518" s="523" t="str">
        <f>IFERROR(VLOOKUP(M518,'02. MM-KLH'!$B$6:$T$823,3,0),"")</f>
        <v/>
      </c>
      <c r="AA518" s="559" t="str">
        <f t="shared" ref="AA518:AA523" si="36">SWITCH(LEFT(Z518,3),"A22","ADM","A23","DP","A24","LP","")</f>
        <v/>
      </c>
      <c r="AB518" s="523"/>
      <c r="AC518" s="523"/>
    </row>
    <row r="519">
      <c r="A519" s="523"/>
      <c r="B519" s="612" t="str">
        <f>IFERROR(VLOOKUP(M519,'02. MM-KLH'!$B$6:$T$823,6,0),"")</f>
        <v>Xe lôi</v>
      </c>
      <c r="C519" s="566">
        <v>1.0</v>
      </c>
      <c r="D519" s="613" t="str">
        <f>IFERROR(VLOOKUP(M519,'02. MM-KLH'!$B$6:$T$823,16,0),"")</f>
        <v>150ZH-2DR</v>
      </c>
      <c r="E519" s="613"/>
      <c r="F519" s="561" t="s">
        <v>4158</v>
      </c>
      <c r="G519" s="613"/>
      <c r="H519" s="613" t="str">
        <f>IFERROR(VLOOKUP(M519,'02. MM-KLH'!$B$6:$T$823,17,0),"")</f>
        <v>11HP</v>
      </c>
      <c r="I519" s="614">
        <f>IFERROR(VLOOKUP(M519,'02. MM-KLH'!$B$6:$U$823,20,0),"")</f>
        <v>2.5</v>
      </c>
      <c r="J519" s="612" t="str">
        <f>IFERROR(VLOOKUP(M519,'02. MM-KLH'!$B$6:$T$823,19,0),"")</f>
        <v>170MM-B8R100072</v>
      </c>
      <c r="K519" s="612" t="str">
        <f>IFERROR(VLOOKUP(M519,'02. MM-KLH'!$B$6:$T$823,18,0),"")</f>
        <v>L6XHBN1B8R0000058</v>
      </c>
      <c r="L519" s="613" t="str">
        <f>IFERROR(VLOOKUP(M519,'02. MM-KLH'!$B$6:$T$823,4,0),"")</f>
        <v/>
      </c>
      <c r="M519" s="488" t="s">
        <v>2519</v>
      </c>
      <c r="N519" s="615" t="str">
        <f>IFERROR(VLOOKUP(M519,'02. MM-KLH'!$B$6:$T$823,15,0),"")</f>
        <v/>
      </c>
      <c r="O519" s="616">
        <f>IFERROR(VLOOKUP(M519,'02. MM-KLH'!$B$6:$T$823,9,0),"")</f>
        <v>45963</v>
      </c>
      <c r="P519" s="613"/>
      <c r="Q519" s="566" t="s">
        <v>1565</v>
      </c>
      <c r="R519" s="566" t="s">
        <v>4158</v>
      </c>
      <c r="S519" s="613"/>
      <c r="T519" s="613"/>
      <c r="U519" s="559" t="str">
        <f>IFERROR(VLOOKUP(M519,'02. MM-KLH'!$B$6:$T$823,5,0),"")</f>
        <v>ĐQSD</v>
      </c>
      <c r="V519" s="523" t="str">
        <f>IFERROR(VLOOKUP(M519,'02. MM-KLH'!$B$6:$T$823,8,0),"")</f>
        <v>Ban điện nước</v>
      </c>
      <c r="W519" s="559" t="str">
        <f>IFERROR(VLOOKUP(V519,'NS QUẢN LÝ CG'!$A$4:$D$36,2,0),"")</f>
        <v/>
      </c>
      <c r="X519" s="559" t="str">
        <f>IFERROR(VLOOKUP(V519,'NS QUẢN LÝ CG'!$A$4:$D$36,4,0),"")</f>
        <v/>
      </c>
      <c r="Y519" s="559" t="str">
        <f>IFERROR(VLOOKUP(V519,'NS QUẢN LÝ CG'!$A$4:$C$36,3,0),"")</f>
        <v/>
      </c>
      <c r="Z519" s="523" t="str">
        <f>IFERROR(VLOOKUP(M519,'02. MM-KLH'!$B$6:$T$823,3,0),"")</f>
        <v/>
      </c>
      <c r="AA519" s="559" t="str">
        <f t="shared" si="36"/>
        <v/>
      </c>
      <c r="AB519" s="523"/>
      <c r="AC519" s="523"/>
    </row>
    <row r="520">
      <c r="A520" s="523"/>
      <c r="B520" s="612" t="str">
        <f>IFERROR(VLOOKUP(M520,'02. MM-KLH'!$B$6:$T$823,6,0),"")</f>
        <v>Xe lôi</v>
      </c>
      <c r="C520" s="566">
        <v>1.0</v>
      </c>
      <c r="D520" s="613" t="str">
        <f>IFERROR(VLOOKUP(M520,'02. MM-KLH'!$B$6:$T$823,16,0),"")</f>
        <v>150ZH-2DR</v>
      </c>
      <c r="E520" s="613"/>
      <c r="F520" s="561" t="s">
        <v>4158</v>
      </c>
      <c r="G520" s="613"/>
      <c r="H520" s="613" t="str">
        <f>IFERROR(VLOOKUP(M520,'02. MM-KLH'!$B$6:$T$823,17,0),"")</f>
        <v>11HP</v>
      </c>
      <c r="I520" s="614">
        <f>IFERROR(VLOOKUP(M520,'02. MM-KLH'!$B$6:$U$823,20,0),"")</f>
        <v>2.5</v>
      </c>
      <c r="J520" s="612" t="str">
        <f>IFERROR(VLOOKUP(M520,'02. MM-KLH'!$B$6:$T$823,19,0),"")</f>
        <v>170MM-B8R100073</v>
      </c>
      <c r="K520" s="612" t="str">
        <f>IFERROR(VLOOKUP(M520,'02. MM-KLH'!$B$6:$T$823,18,0),"")</f>
        <v>L6XHBN1B8R0000059</v>
      </c>
      <c r="L520" s="613" t="str">
        <f>IFERROR(VLOOKUP(M520,'02. MM-KLH'!$B$6:$T$823,4,0),"")</f>
        <v/>
      </c>
      <c r="M520" s="488" t="s">
        <v>2522</v>
      </c>
      <c r="N520" s="615" t="str">
        <f>IFERROR(VLOOKUP(M520,'02. MM-KLH'!$B$6:$T$823,15,0),"")</f>
        <v/>
      </c>
      <c r="O520" s="616">
        <f>IFERROR(VLOOKUP(M520,'02. MM-KLH'!$B$6:$T$823,9,0),"")</f>
        <v>45963</v>
      </c>
      <c r="P520" s="613"/>
      <c r="Q520" s="566" t="s">
        <v>1565</v>
      </c>
      <c r="R520" s="566" t="s">
        <v>4158</v>
      </c>
      <c r="S520" s="613"/>
      <c r="T520" s="613"/>
      <c r="U520" s="559" t="str">
        <f>IFERROR(VLOOKUP(M520,'02. MM-KLH'!$B$6:$T$823,5,0),"")</f>
        <v>ĐQSD</v>
      </c>
      <c r="V520" s="523" t="str">
        <f>IFERROR(VLOOKUP(M520,'02. MM-KLH'!$B$6:$T$823,8,0),"")</f>
        <v>Ban điện nước</v>
      </c>
      <c r="W520" s="559" t="str">
        <f>IFERROR(VLOOKUP(V520,'NS QUẢN LÝ CG'!$A$4:$D$36,2,0),"")</f>
        <v/>
      </c>
      <c r="X520" s="559" t="str">
        <f>IFERROR(VLOOKUP(V520,'NS QUẢN LÝ CG'!$A$4:$D$36,4,0),"")</f>
        <v/>
      </c>
      <c r="Y520" s="559" t="str">
        <f>IFERROR(VLOOKUP(V520,'NS QUẢN LÝ CG'!$A$4:$C$36,3,0),"")</f>
        <v/>
      </c>
      <c r="Z520" s="523" t="str">
        <f>IFERROR(VLOOKUP(M520,'02. MM-KLH'!$B$6:$T$823,3,0),"")</f>
        <v/>
      </c>
      <c r="AA520" s="559" t="str">
        <f t="shared" si="36"/>
        <v/>
      </c>
      <c r="AB520" s="523"/>
      <c r="AC520" s="523"/>
    </row>
    <row r="521">
      <c r="A521" s="523"/>
      <c r="B521" s="612" t="str">
        <f>IFERROR(VLOOKUP(M521,'02. MM-KLH'!$B$6:$T$823,6,0),"")</f>
        <v>Xe lôi</v>
      </c>
      <c r="C521" s="566">
        <v>1.0</v>
      </c>
      <c r="D521" s="613" t="str">
        <f>IFERROR(VLOOKUP(M521,'02. MM-KLH'!$B$6:$T$823,16,0),"")</f>
        <v/>
      </c>
      <c r="E521" s="613"/>
      <c r="F521" s="561" t="s">
        <v>4158</v>
      </c>
      <c r="G521" s="613"/>
      <c r="H521" s="613" t="str">
        <f>IFERROR(VLOOKUP(M521,'02. MM-KLH'!$B$6:$T$823,17,0),"")</f>
        <v>150CC</v>
      </c>
      <c r="I521" s="614">
        <f>IFERROR(VLOOKUP(M521,'02. MM-KLH'!$B$6:$U$823,20,0),"")</f>
        <v>2.5</v>
      </c>
      <c r="J521" s="612" t="str">
        <f>IFERROR(VLOOKUP(M521,'02. MM-KLH'!$B$6:$T$823,19,0),"")</f>
        <v>CCN</v>
      </c>
      <c r="K521" s="612" t="str">
        <f>IFERROR(VLOOKUP(M521,'02. MM-KLH'!$B$6:$T$823,18,0),"")</f>
        <v>1L000058</v>
      </c>
      <c r="L521" s="613" t="str">
        <f>IFERROR(VLOOKUP(M521,'02. MM-KLH'!$B$6:$T$823,4,0),"")</f>
        <v/>
      </c>
      <c r="M521" s="488" t="s">
        <v>2526</v>
      </c>
      <c r="N521" s="615" t="str">
        <f>IFERROR(VLOOKUP(M521,'02. MM-KLH'!$B$6:$T$823,15,0),"")</f>
        <v/>
      </c>
      <c r="O521" s="616" t="str">
        <f>IFERROR(VLOOKUP(M521,'02. MM-KLH'!$B$6:$T$823,9,0),"")</f>
        <v/>
      </c>
      <c r="P521" s="613"/>
      <c r="Q521" s="566" t="s">
        <v>1565</v>
      </c>
      <c r="R521" s="566" t="s">
        <v>4158</v>
      </c>
      <c r="S521" s="613"/>
      <c r="T521" s="613"/>
      <c r="U521" s="559" t="str">
        <f>IFERROR(VLOOKUP(M521,'02. MM-KLH'!$B$6:$T$823,5,0),"")</f>
        <v>ĐQSD</v>
      </c>
      <c r="V521" s="523" t="str">
        <f>IFERROR(VLOOKUP(M521,'02. MM-KLH'!$B$6:$T$823,8,0),"")</f>
        <v>Xưởng Cơ khí ADM&amp;LP</v>
      </c>
      <c r="W521" s="559" t="str">
        <f>IFERROR(VLOOKUP(V521,'NS QUẢN LÝ CG'!$A$4:$D$36,2,0),"")</f>
        <v/>
      </c>
      <c r="X521" s="559" t="str">
        <f>IFERROR(VLOOKUP(V521,'NS QUẢN LÝ CG'!$A$4:$D$36,4,0),"")</f>
        <v/>
      </c>
      <c r="Y521" s="559" t="str">
        <f>IFERROR(VLOOKUP(V521,'NS QUẢN LÝ CG'!$A$4:$C$36,3,0),"")</f>
        <v/>
      </c>
      <c r="Z521" s="523" t="str">
        <f>IFERROR(VLOOKUP(M521,'02. MM-KLH'!$B$6:$T$823,3,0),"")</f>
        <v>A22-XLO-001</v>
      </c>
      <c r="AA521" s="559" t="str">
        <f t="shared" si="36"/>
        <v>ADM</v>
      </c>
      <c r="AB521" s="523"/>
      <c r="AC521" s="523"/>
    </row>
    <row r="522">
      <c r="A522" s="523"/>
      <c r="B522" s="612" t="str">
        <f>IFERROR(VLOOKUP(M522,'02. MM-KLH'!$B$6:$T$823,6,0),"")</f>
        <v>Xe lôi</v>
      </c>
      <c r="C522" s="566">
        <v>1.0</v>
      </c>
      <c r="D522" s="613" t="str">
        <f>IFERROR(VLOOKUP(M522,'02. MM-KLH'!$B$6:$T$823,16,0),"")</f>
        <v/>
      </c>
      <c r="E522" s="613"/>
      <c r="F522" s="561" t="s">
        <v>4158</v>
      </c>
      <c r="G522" s="613"/>
      <c r="H522" s="613" t="str">
        <f>IFERROR(VLOOKUP(M522,'02. MM-KLH'!$B$6:$T$823,17,0),"")</f>
        <v>150CC</v>
      </c>
      <c r="I522" s="614">
        <f>IFERROR(VLOOKUP(M522,'02. MM-KLH'!$B$6:$U$823,20,0),"")</f>
        <v>2.5</v>
      </c>
      <c r="J522" s="612" t="str">
        <f>IFERROR(VLOOKUP(M522,'02. MM-KLH'!$B$6:$T$823,19,0),"")</f>
        <v>CCN</v>
      </c>
      <c r="K522" s="612" t="str">
        <f>IFERROR(VLOOKUP(M522,'02. MM-KLH'!$B$6:$T$823,18,0),"")</f>
        <v>21L001162</v>
      </c>
      <c r="L522" s="613" t="str">
        <f>IFERROR(VLOOKUP(M522,'02. MM-KLH'!$B$6:$T$823,4,0),"")</f>
        <v/>
      </c>
      <c r="M522" s="488" t="s">
        <v>2527</v>
      </c>
      <c r="N522" s="615" t="str">
        <f>IFERROR(VLOOKUP(M522,'02. MM-KLH'!$B$6:$T$823,15,0),"")</f>
        <v/>
      </c>
      <c r="O522" s="616" t="str">
        <f>IFERROR(VLOOKUP(M522,'02. MM-KLH'!$B$6:$T$823,9,0),"")</f>
        <v/>
      </c>
      <c r="P522" s="613"/>
      <c r="Q522" s="566" t="s">
        <v>1565</v>
      </c>
      <c r="R522" s="566" t="s">
        <v>4158</v>
      </c>
      <c r="S522" s="613"/>
      <c r="T522" s="613"/>
      <c r="U522" s="559" t="str">
        <f>IFERROR(VLOOKUP(M522,'02. MM-KLH'!$B$6:$T$823,5,0),"")</f>
        <v>ĐQSD</v>
      </c>
      <c r="V522" s="523" t="str">
        <f>IFERROR(VLOOKUP(M522,'02. MM-KLH'!$B$6:$T$823,8,0),"")</f>
        <v>Xưởng Cơ khí ADM&amp;LP</v>
      </c>
      <c r="W522" s="559" t="str">
        <f>IFERROR(VLOOKUP(V522,'NS QUẢN LÝ CG'!$A$4:$D$36,2,0),"")</f>
        <v/>
      </c>
      <c r="X522" s="559" t="str">
        <f>IFERROR(VLOOKUP(V522,'NS QUẢN LÝ CG'!$A$4:$D$36,4,0),"")</f>
        <v/>
      </c>
      <c r="Y522" s="559" t="str">
        <f>IFERROR(VLOOKUP(V522,'NS QUẢN LÝ CG'!$A$4:$C$36,3,0),"")</f>
        <v/>
      </c>
      <c r="Z522" s="523" t="str">
        <f>IFERROR(VLOOKUP(M522,'02. MM-KLH'!$B$6:$T$823,3,0),"")</f>
        <v>A22-XLO-002</v>
      </c>
      <c r="AA522" s="559" t="str">
        <f t="shared" si="36"/>
        <v>ADM</v>
      </c>
      <c r="AB522" s="523"/>
      <c r="AC522" s="523"/>
    </row>
    <row r="523">
      <c r="A523" s="523"/>
      <c r="B523" s="612" t="str">
        <f>IFERROR(VLOOKUP(M523,'02. MM-KLH'!$B$6:$T$823,6,0),"")</f>
        <v>Xe lôi</v>
      </c>
      <c r="C523" s="566">
        <v>1.0</v>
      </c>
      <c r="D523" s="613" t="str">
        <f>IFERROR(VLOOKUP(M523,'02. MM-KLH'!$B$6:$T$823,16,0),"")</f>
        <v/>
      </c>
      <c r="E523" s="613"/>
      <c r="F523" s="561" t="s">
        <v>4158</v>
      </c>
      <c r="G523" s="613"/>
      <c r="H523" s="613" t="str">
        <f>IFERROR(VLOOKUP(M523,'02. MM-KLH'!$B$6:$T$823,17,0),"")</f>
        <v>150CC</v>
      </c>
      <c r="I523" s="614">
        <f>IFERROR(VLOOKUP(M523,'02. MM-KLH'!$B$6:$U$823,20,0),"")</f>
        <v>2.5</v>
      </c>
      <c r="J523" s="612" t="str">
        <f>IFERROR(VLOOKUP(M523,'02. MM-KLH'!$B$6:$T$823,19,0),"")</f>
        <v>CCN</v>
      </c>
      <c r="K523" s="612" t="str">
        <f>IFERROR(VLOOKUP(M523,'02. MM-KLH'!$B$6:$T$823,18,0),"")</f>
        <v>21L000299</v>
      </c>
      <c r="L523" s="613" t="str">
        <f>IFERROR(VLOOKUP(M523,'02. MM-KLH'!$B$6:$T$823,4,0),"")</f>
        <v/>
      </c>
      <c r="M523" s="488" t="s">
        <v>2530</v>
      </c>
      <c r="N523" s="615" t="str">
        <f>IFERROR(VLOOKUP(M523,'02. MM-KLH'!$B$6:$T$823,15,0),"")</f>
        <v/>
      </c>
      <c r="O523" s="616" t="str">
        <f>IFERROR(VLOOKUP(M523,'02. MM-KLH'!$B$6:$T$823,9,0),"")</f>
        <v/>
      </c>
      <c r="P523" s="613"/>
      <c r="Q523" s="566" t="s">
        <v>1565</v>
      </c>
      <c r="R523" s="566" t="s">
        <v>4158</v>
      </c>
      <c r="S523" s="613"/>
      <c r="T523" s="613"/>
      <c r="U523" s="559" t="str">
        <f>IFERROR(VLOOKUP(M523,'02. MM-KLH'!$B$6:$T$823,5,0),"")</f>
        <v>ĐQSD</v>
      </c>
      <c r="V523" s="523" t="str">
        <f>IFERROR(VLOOKUP(M523,'02. MM-KLH'!$B$6:$T$823,8,0),"")</f>
        <v>Xưởng Cơ khí ADM&amp;LP</v>
      </c>
      <c r="W523" s="559" t="str">
        <f>IFERROR(VLOOKUP(V523,'NS QUẢN LÝ CG'!$A$4:$D$36,2,0),"")</f>
        <v/>
      </c>
      <c r="X523" s="559" t="str">
        <f>IFERROR(VLOOKUP(V523,'NS QUẢN LÝ CG'!$A$4:$D$36,4,0),"")</f>
        <v/>
      </c>
      <c r="Y523" s="559" t="str">
        <f>IFERROR(VLOOKUP(V523,'NS QUẢN LÝ CG'!$A$4:$C$36,3,0),"")</f>
        <v/>
      </c>
      <c r="Z523" s="523" t="str">
        <f>IFERROR(VLOOKUP(M523,'02. MM-KLH'!$B$6:$T$823,3,0),"")</f>
        <v>A22-XLO-003</v>
      </c>
      <c r="AA523" s="559" t="str">
        <f t="shared" si="36"/>
        <v>ADM</v>
      </c>
      <c r="AB523" s="523"/>
      <c r="AC523" s="523"/>
    </row>
    <row r="524">
      <c r="A524" s="523"/>
      <c r="B524" s="612" t="str">
        <f>IFERROR(VLOOKUP(M524,'02. MM-KLH'!$B$6:$T$823,6,0),"")</f>
        <v>Xe lôi</v>
      </c>
      <c r="C524" s="566">
        <v>1.0</v>
      </c>
      <c r="D524" s="613" t="str">
        <f>IFERROR(VLOOKUP(M524,'02. MM-KLH'!$B$6:$T$823,16,0),"")</f>
        <v>150ZH</v>
      </c>
      <c r="E524" s="613"/>
      <c r="F524" s="561" t="s">
        <v>4158</v>
      </c>
      <c r="G524" s="613"/>
      <c r="H524" s="613" t="str">
        <f>IFERROR(VLOOKUP(M524,'02. MM-KLH'!$B$6:$T$823,17,0),"")</f>
        <v>150HP</v>
      </c>
      <c r="I524" s="614">
        <f>IFERROR(VLOOKUP(M524,'02. MM-KLH'!$B$6:$U$823,20,0),"")</f>
        <v>2.5</v>
      </c>
      <c r="J524" s="612" t="str">
        <f>IFERROR(VLOOKUP(M524,'02. MM-KLH'!$B$6:$T$823,19,0),"")</f>
        <v>CCN</v>
      </c>
      <c r="K524" s="612" t="str">
        <f>IFERROR(VLOOKUP(M524,'02. MM-KLH'!$B$6:$T$823,18,0),"")</f>
        <v>TH162FMJ-C22060455</v>
      </c>
      <c r="L524" s="613" t="str">
        <f>IFERROR(VLOOKUP(M524,'02. MM-KLH'!$B$6:$T$823,4,0),"")</f>
        <v/>
      </c>
      <c r="M524" s="490" t="s">
        <v>2619</v>
      </c>
      <c r="N524" s="615" t="str">
        <f>IFERROR(VLOOKUP(M524,'02. MM-KLH'!$B$6:$T$823,15,0),"")</f>
        <v/>
      </c>
      <c r="O524" s="616">
        <f>IFERROR(VLOOKUP(M524,'02. MM-KLH'!$B$6:$T$823,9,0),"")</f>
        <v>44936</v>
      </c>
      <c r="P524" s="613"/>
      <c r="Q524" s="566" t="s">
        <v>1565</v>
      </c>
      <c r="R524" s="566" t="s">
        <v>4158</v>
      </c>
      <c r="S524" s="613"/>
      <c r="T524" s="613"/>
      <c r="U524" s="559" t="str">
        <f>IFERROR(VLOOKUP(M524,'02. MM-KLH'!$B$6:$T$823,5,0),"")</f>
        <v>ĐQSD</v>
      </c>
      <c r="V524" s="523" t="str">
        <f>IFERROR(VLOOKUP(M524,'02. MM-KLH'!$B$6:$T$823,8,0),"")</f>
        <v>Thagricons</v>
      </c>
      <c r="W524" s="559" t="str">
        <f>IFERROR(VLOOKUP(V524,'NS QUẢN LÝ CG'!$A$4:$D$36,2,0),"")</f>
        <v/>
      </c>
      <c r="X524" s="559" t="str">
        <f>IFERROR(VLOOKUP(V524,'NS QUẢN LÝ CG'!$A$4:$D$36,4,0),"")</f>
        <v/>
      </c>
      <c r="Y524" s="559" t="str">
        <f>IFERROR(VLOOKUP(V524,'NS QUẢN LÝ CG'!$A$4:$C$36,3,0),"")</f>
        <v/>
      </c>
      <c r="Z524" s="523" t="str">
        <f>IFERROR(VLOOKUP(M524,'02. MM-KLH'!$B$6:$T$823,3,0),"")</f>
        <v>ATT-A22-0275</v>
      </c>
      <c r="AA524" s="561" t="s">
        <v>4462</v>
      </c>
      <c r="AB524" s="523"/>
      <c r="AC524" s="523"/>
    </row>
    <row r="525">
      <c r="A525" s="523"/>
      <c r="B525" s="612" t="str">
        <f>IFERROR(VLOOKUP(M525,'02. MM-KLH'!$B$6:$T$823,6,0),"")</f>
        <v>Xe lôi</v>
      </c>
      <c r="C525" s="566">
        <v>1.0</v>
      </c>
      <c r="D525" s="613" t="str">
        <f>IFERROR(VLOOKUP(M525,'02. MM-KLH'!$B$6:$T$823,16,0),"")</f>
        <v>150ZH</v>
      </c>
      <c r="E525" s="613"/>
      <c r="F525" s="561" t="s">
        <v>4158</v>
      </c>
      <c r="G525" s="613"/>
      <c r="H525" s="613" t="str">
        <f>IFERROR(VLOOKUP(M525,'02. MM-KLH'!$B$6:$T$823,17,0),"")</f>
        <v>150HP</v>
      </c>
      <c r="I525" s="614">
        <f>IFERROR(VLOOKUP(M525,'02. MM-KLH'!$B$6:$U$823,20,0),"")</f>
        <v>2.5</v>
      </c>
      <c r="J525" s="612" t="str">
        <f>IFERROR(VLOOKUP(M525,'02. MM-KLH'!$B$6:$T$823,19,0),"")</f>
        <v>CCN</v>
      </c>
      <c r="K525" s="612" t="str">
        <f>IFERROR(VLOOKUP(M525,'02. MM-KLH'!$B$6:$T$823,18,0),"")</f>
        <v>TH162FMJ-C23004009</v>
      </c>
      <c r="L525" s="613" t="str">
        <f>IFERROR(VLOOKUP(M525,'02. MM-KLH'!$B$6:$T$823,4,0),"")</f>
        <v/>
      </c>
      <c r="M525" s="490" t="s">
        <v>2625</v>
      </c>
      <c r="N525" s="615" t="str">
        <f>IFERROR(VLOOKUP(M525,'02. MM-KLH'!$B$6:$T$823,15,0),"")</f>
        <v/>
      </c>
      <c r="O525" s="616" t="str">
        <f>IFERROR(VLOOKUP(M525,'02. MM-KLH'!$B$6:$T$823,9,0),"")</f>
        <v>14/11/2023</v>
      </c>
      <c r="P525" s="613"/>
      <c r="Q525" s="566" t="s">
        <v>1565</v>
      </c>
      <c r="R525" s="566" t="s">
        <v>4158</v>
      </c>
      <c r="S525" s="613"/>
      <c r="T525" s="613"/>
      <c r="U525" s="559" t="str">
        <f>IFERROR(VLOOKUP(M525,'02. MM-KLH'!$B$6:$T$823,5,0),"")</f>
        <v>ĐQSD</v>
      </c>
      <c r="V525" s="523" t="str">
        <f>IFERROR(VLOOKUP(M525,'02. MM-KLH'!$B$6:$T$823,8,0),"")</f>
        <v>Thagricons</v>
      </c>
      <c r="W525" s="559" t="str">
        <f>IFERROR(VLOOKUP(V525,'NS QUẢN LÝ CG'!$A$4:$D$36,2,0),"")</f>
        <v/>
      </c>
      <c r="X525" s="559" t="str">
        <f>IFERROR(VLOOKUP(V525,'NS QUẢN LÝ CG'!$A$4:$D$36,4,0),"")</f>
        <v/>
      </c>
      <c r="Y525" s="559" t="str">
        <f>IFERROR(VLOOKUP(V525,'NS QUẢN LÝ CG'!$A$4:$C$36,3,0),"")</f>
        <v/>
      </c>
      <c r="Z525" s="523" t="str">
        <f>IFERROR(VLOOKUP(M525,'02. MM-KLH'!$B$6:$T$823,3,0),"")</f>
        <v>ATT-A22-0281</v>
      </c>
      <c r="AA525" s="561" t="s">
        <v>4462</v>
      </c>
      <c r="AB525" s="523"/>
      <c r="AC525" s="523"/>
    </row>
    <row r="526">
      <c r="A526" s="523"/>
      <c r="B526" s="612" t="str">
        <f>IFERROR(VLOOKUP(M526,'02. MM-KLH'!$B$6:$T$823,6,0),"")</f>
        <v>Xe lôi</v>
      </c>
      <c r="C526" s="566">
        <v>1.0</v>
      </c>
      <c r="D526" s="613" t="str">
        <f>IFERROR(VLOOKUP(M526,'02. MM-KLH'!$B$6:$T$823,16,0),"")</f>
        <v>150ZH</v>
      </c>
      <c r="E526" s="613"/>
      <c r="F526" s="561" t="s">
        <v>4158</v>
      </c>
      <c r="G526" s="613"/>
      <c r="H526" s="613" t="str">
        <f>IFERROR(VLOOKUP(M526,'02. MM-KLH'!$B$6:$T$823,17,0),"")</f>
        <v>150HP</v>
      </c>
      <c r="I526" s="614">
        <f>IFERROR(VLOOKUP(M526,'02. MM-KLH'!$B$6:$U$823,20,0),"")</f>
        <v>2.5</v>
      </c>
      <c r="J526" s="612" t="str">
        <f>IFERROR(VLOOKUP(M526,'02. MM-KLH'!$B$6:$T$823,19,0),"")</f>
        <v>CCN</v>
      </c>
      <c r="K526" s="612" t="str">
        <f>IFERROR(VLOOKUP(M526,'02. MM-KLH'!$B$6:$T$823,18,0),"")</f>
        <v>TH162FMJ-C23004035</v>
      </c>
      <c r="L526" s="613" t="str">
        <f>IFERROR(VLOOKUP(M526,'02. MM-KLH'!$B$6:$T$823,4,0),"")</f>
        <v/>
      </c>
      <c r="M526" s="490" t="s">
        <v>2628</v>
      </c>
      <c r="N526" s="615" t="str">
        <f>IFERROR(VLOOKUP(M526,'02. MM-KLH'!$B$6:$T$823,15,0),"")</f>
        <v/>
      </c>
      <c r="O526" s="616" t="str">
        <f>IFERROR(VLOOKUP(M526,'02. MM-KLH'!$B$6:$T$823,9,0),"")</f>
        <v>14/11/2023</v>
      </c>
      <c r="P526" s="613"/>
      <c r="Q526" s="566" t="s">
        <v>1565</v>
      </c>
      <c r="R526" s="566" t="s">
        <v>4158</v>
      </c>
      <c r="S526" s="613"/>
      <c r="T526" s="613"/>
      <c r="U526" s="559" t="str">
        <f>IFERROR(VLOOKUP(M526,'02. MM-KLH'!$B$6:$T$823,5,0),"")</f>
        <v>ĐQSD</v>
      </c>
      <c r="V526" s="523" t="str">
        <f>IFERROR(VLOOKUP(M526,'02. MM-KLH'!$B$6:$T$823,8,0),"")</f>
        <v>Thagricons</v>
      </c>
      <c r="W526" s="559" t="str">
        <f>IFERROR(VLOOKUP(V526,'NS QUẢN LÝ CG'!$A$4:$D$36,2,0),"")</f>
        <v/>
      </c>
      <c r="X526" s="559" t="str">
        <f>IFERROR(VLOOKUP(V526,'NS QUẢN LÝ CG'!$A$4:$D$36,4,0),"")</f>
        <v/>
      </c>
      <c r="Y526" s="559" t="str">
        <f>IFERROR(VLOOKUP(V526,'NS QUẢN LÝ CG'!$A$4:$C$36,3,0),"")</f>
        <v/>
      </c>
      <c r="Z526" s="523" t="str">
        <f>IFERROR(VLOOKUP(M526,'02. MM-KLH'!$B$6:$T$823,3,0),"")</f>
        <v>ATT-A22-0282</v>
      </c>
      <c r="AA526" s="561" t="s">
        <v>4462</v>
      </c>
      <c r="AB526" s="523"/>
      <c r="AC526" s="523"/>
    </row>
    <row r="527">
      <c r="A527" s="523"/>
      <c r="B527" s="612" t="str">
        <f>IFERROR(VLOOKUP(M527,'02. MM-KLH'!$B$6:$T$823,6,0),"")</f>
        <v>Xe lôi</v>
      </c>
      <c r="C527" s="566">
        <v>1.0</v>
      </c>
      <c r="D527" s="613" t="str">
        <f>IFERROR(VLOOKUP(M527,'02. MM-KLH'!$B$6:$T$823,16,0),"")</f>
        <v>150ZH</v>
      </c>
      <c r="E527" s="613"/>
      <c r="F527" s="561" t="s">
        <v>4158</v>
      </c>
      <c r="G527" s="613"/>
      <c r="H527" s="613" t="str">
        <f>IFERROR(VLOOKUP(M527,'02. MM-KLH'!$B$6:$T$823,17,0),"")</f>
        <v>150HP</v>
      </c>
      <c r="I527" s="614">
        <f>IFERROR(VLOOKUP(M527,'02. MM-KLH'!$B$6:$U$823,20,0),"")</f>
        <v>2.5</v>
      </c>
      <c r="J527" s="612" t="str">
        <f>IFERROR(VLOOKUP(M527,'02. MM-KLH'!$B$6:$T$823,19,0),"")</f>
        <v>CCN</v>
      </c>
      <c r="K527" s="612" t="str">
        <f>IFERROR(VLOOKUP(M527,'02. MM-KLH'!$B$6:$T$823,18,0),"")</f>
        <v>TH162FMJ-C23004033</v>
      </c>
      <c r="L527" s="613" t="str">
        <f>IFERROR(VLOOKUP(M527,'02. MM-KLH'!$B$6:$T$823,4,0),"")</f>
        <v/>
      </c>
      <c r="M527" s="490" t="s">
        <v>2630</v>
      </c>
      <c r="N527" s="615" t="str">
        <f>IFERROR(VLOOKUP(M527,'02. MM-KLH'!$B$6:$T$823,15,0),"")</f>
        <v/>
      </c>
      <c r="O527" s="616">
        <f>IFERROR(VLOOKUP(M527,'02. MM-KLH'!$B$6:$T$823,9,0),"")</f>
        <v>45474</v>
      </c>
      <c r="P527" s="613"/>
      <c r="Q527" s="566" t="s">
        <v>1565</v>
      </c>
      <c r="R527" s="566" t="s">
        <v>4158</v>
      </c>
      <c r="S527" s="613"/>
      <c r="T527" s="613"/>
      <c r="U527" s="559" t="str">
        <f>IFERROR(VLOOKUP(M527,'02. MM-KLH'!$B$6:$T$823,5,0),"")</f>
        <v>ĐQSD</v>
      </c>
      <c r="V527" s="523" t="str">
        <f>IFERROR(VLOOKUP(M527,'02. MM-KLH'!$B$6:$T$823,8,0),"")</f>
        <v>Thagricons</v>
      </c>
      <c r="W527" s="559" t="str">
        <f>IFERROR(VLOOKUP(V527,'NS QUẢN LÝ CG'!$A$4:$D$36,2,0),"")</f>
        <v/>
      </c>
      <c r="X527" s="559" t="str">
        <f>IFERROR(VLOOKUP(V527,'NS QUẢN LÝ CG'!$A$4:$D$36,4,0),"")</f>
        <v/>
      </c>
      <c r="Y527" s="559" t="str">
        <f>IFERROR(VLOOKUP(V527,'NS QUẢN LÝ CG'!$A$4:$C$36,3,0),"")</f>
        <v/>
      </c>
      <c r="Z527" s="523" t="str">
        <f>IFERROR(VLOOKUP(M527,'02. MM-KLH'!$B$6:$T$823,3,0),"")</f>
        <v>ATT-A22-0325</v>
      </c>
      <c r="AA527" s="561" t="s">
        <v>4462</v>
      </c>
      <c r="AB527" s="523"/>
      <c r="AC527" s="523"/>
    </row>
    <row r="528">
      <c r="A528" s="523"/>
      <c r="B528" s="612" t="str">
        <f>IFERROR(VLOOKUP(M528,'02. MM-KLH'!$B$6:$T$823,6,0),"")</f>
        <v>Xe lôi</v>
      </c>
      <c r="C528" s="566">
        <v>1.0</v>
      </c>
      <c r="D528" s="613" t="str">
        <f>IFERROR(VLOOKUP(M528,'02. MM-KLH'!$B$6:$T$823,16,0),"")</f>
        <v>150ZH</v>
      </c>
      <c r="E528" s="613"/>
      <c r="F528" s="561" t="s">
        <v>4158</v>
      </c>
      <c r="G528" s="613"/>
      <c r="H528" s="613" t="str">
        <f>IFERROR(VLOOKUP(M528,'02. MM-KLH'!$B$6:$T$823,17,0),"")</f>
        <v>150HP</v>
      </c>
      <c r="I528" s="614">
        <f>IFERROR(VLOOKUP(M528,'02. MM-KLH'!$B$6:$U$823,20,0),"")</f>
        <v>2.5</v>
      </c>
      <c r="J528" s="612" t="str">
        <f>IFERROR(VLOOKUP(M528,'02. MM-KLH'!$B$6:$T$823,19,0),"")</f>
        <v>CCN</v>
      </c>
      <c r="K528" s="612" t="str">
        <f>IFERROR(VLOOKUP(M528,'02. MM-KLH'!$B$6:$T$823,18,0),"")</f>
        <v>TH162FMJ-C23004039</v>
      </c>
      <c r="L528" s="613" t="str">
        <f>IFERROR(VLOOKUP(M528,'02. MM-KLH'!$B$6:$T$823,4,0),"")</f>
        <v/>
      </c>
      <c r="M528" s="490" t="s">
        <v>2620</v>
      </c>
      <c r="N528" s="615" t="str">
        <f>IFERROR(VLOOKUP(M528,'02. MM-KLH'!$B$6:$T$823,15,0),"")</f>
        <v/>
      </c>
      <c r="O528" s="616">
        <f>IFERROR(VLOOKUP(M528,'02. MM-KLH'!$B$6:$T$823,9,0),"")</f>
        <v>45352</v>
      </c>
      <c r="P528" s="613"/>
      <c r="Q528" s="566" t="s">
        <v>1565</v>
      </c>
      <c r="R528" s="566" t="s">
        <v>4158</v>
      </c>
      <c r="S528" s="613"/>
      <c r="T528" s="613"/>
      <c r="U528" s="559" t="str">
        <f>IFERROR(VLOOKUP(M528,'02. MM-KLH'!$B$6:$T$823,5,0),"")</f>
        <v>ĐQSD</v>
      </c>
      <c r="V528" s="523" t="str">
        <f>IFERROR(VLOOKUP(M528,'02. MM-KLH'!$B$6:$T$823,8,0),"")</f>
        <v>Thagricons</v>
      </c>
      <c r="W528" s="559" t="str">
        <f>IFERROR(VLOOKUP(V528,'NS QUẢN LÝ CG'!$A$4:$D$36,2,0),"")</f>
        <v/>
      </c>
      <c r="X528" s="559" t="str">
        <f>IFERROR(VLOOKUP(V528,'NS QUẢN LÝ CG'!$A$4:$D$36,4,0),"")</f>
        <v/>
      </c>
      <c r="Y528" s="559" t="str">
        <f>IFERROR(VLOOKUP(V528,'NS QUẢN LÝ CG'!$A$4:$C$36,3,0),"")</f>
        <v/>
      </c>
      <c r="Z528" s="523" t="str">
        <f>IFERROR(VLOOKUP(M528,'02. MM-KLH'!$B$6:$T$823,3,0),"")</f>
        <v>ATT-A22-0326</v>
      </c>
      <c r="AA528" s="561" t="s">
        <v>4462</v>
      </c>
      <c r="AB528" s="523"/>
      <c r="AC528" s="523"/>
    </row>
    <row r="529">
      <c r="A529" s="523"/>
      <c r="B529" s="612" t="str">
        <f>IFERROR(VLOOKUP(M529,'02. MM-KLH'!$B$6:$T$823,6,0),"")</f>
        <v>Xe lôi</v>
      </c>
      <c r="C529" s="566">
        <v>1.0</v>
      </c>
      <c r="D529" s="613" t="str">
        <f>IFERROR(VLOOKUP(M529,'02. MM-KLH'!$B$6:$T$823,16,0),"")</f>
        <v>150ZH</v>
      </c>
      <c r="E529" s="613"/>
      <c r="F529" s="561" t="s">
        <v>4158</v>
      </c>
      <c r="G529" s="613"/>
      <c r="H529" s="613" t="str">
        <f>IFERROR(VLOOKUP(M529,'02. MM-KLH'!$B$6:$T$823,17,0),"")</f>
        <v>150HP</v>
      </c>
      <c r="I529" s="614">
        <f>IFERROR(VLOOKUP(M529,'02. MM-KLH'!$B$6:$U$823,20,0),"")</f>
        <v>2.5</v>
      </c>
      <c r="J529" s="612" t="str">
        <f>IFERROR(VLOOKUP(M529,'02. MM-KLH'!$B$6:$T$823,19,0),"")</f>
        <v>CCN</v>
      </c>
      <c r="K529" s="612" t="str">
        <f>IFERROR(VLOOKUP(M529,'02. MM-KLH'!$B$6:$T$823,18,0),"")</f>
        <v>TH162FMJ-C22060453</v>
      </c>
      <c r="L529" s="613" t="str">
        <f>IFERROR(VLOOKUP(M529,'02. MM-KLH'!$B$6:$T$823,4,0),"")</f>
        <v/>
      </c>
      <c r="M529" s="490" t="s">
        <v>2633</v>
      </c>
      <c r="N529" s="615" t="str">
        <f>IFERROR(VLOOKUP(M529,'02. MM-KLH'!$B$6:$T$823,15,0),"")</f>
        <v/>
      </c>
      <c r="O529" s="616">
        <f>IFERROR(VLOOKUP(M529,'02. MM-KLH'!$B$6:$T$823,9,0),"")</f>
        <v>44936</v>
      </c>
      <c r="P529" s="613"/>
      <c r="Q529" s="566" t="s">
        <v>1565</v>
      </c>
      <c r="R529" s="566" t="s">
        <v>4158</v>
      </c>
      <c r="S529" s="613"/>
      <c r="T529" s="613"/>
      <c r="U529" s="559" t="str">
        <f>IFERROR(VLOOKUP(M529,'02. MM-KLH'!$B$6:$T$823,5,0),"")</f>
        <v>ĐQSD</v>
      </c>
      <c r="V529" s="523" t="str">
        <f>IFERROR(VLOOKUP(M529,'02. MM-KLH'!$B$6:$T$823,8,0),"")</f>
        <v>Thagricons</v>
      </c>
      <c r="W529" s="559" t="str">
        <f>IFERROR(VLOOKUP(V529,'NS QUẢN LÝ CG'!$A$4:$D$36,2,0),"")</f>
        <v/>
      </c>
      <c r="X529" s="559" t="str">
        <f>IFERROR(VLOOKUP(V529,'NS QUẢN LÝ CG'!$A$4:$D$36,4,0),"")</f>
        <v/>
      </c>
      <c r="Y529" s="559" t="str">
        <f>IFERROR(VLOOKUP(V529,'NS QUẢN LÝ CG'!$A$4:$C$36,3,0),"")</f>
        <v/>
      </c>
      <c r="Z529" s="523" t="str">
        <f>IFERROR(VLOOKUP(M529,'02. MM-KLH'!$B$6:$T$823,3,0),"")</f>
        <v>ATT-A22-0276</v>
      </c>
      <c r="AA529" s="561" t="s">
        <v>4462</v>
      </c>
      <c r="AB529" s="523"/>
      <c r="AC529" s="523"/>
    </row>
    <row r="530">
      <c r="A530" s="523"/>
      <c r="B530" s="612" t="str">
        <f>IFERROR(VLOOKUP(M530,'02. MM-KLH'!$B$6:$T$823,6,0),"")</f>
        <v>Xe lôi</v>
      </c>
      <c r="C530" s="566">
        <v>1.0</v>
      </c>
      <c r="D530" s="613" t="str">
        <f>IFERROR(VLOOKUP(M530,'02. MM-KLH'!$B$6:$T$823,16,0),"")</f>
        <v>150ZH</v>
      </c>
      <c r="E530" s="613"/>
      <c r="F530" s="561" t="s">
        <v>4158</v>
      </c>
      <c r="G530" s="613"/>
      <c r="H530" s="613" t="str">
        <f>IFERROR(VLOOKUP(M530,'02. MM-KLH'!$B$6:$T$823,17,0),"")</f>
        <v>150HP</v>
      </c>
      <c r="I530" s="614">
        <f>IFERROR(VLOOKUP(M530,'02. MM-KLH'!$B$6:$U$823,20,0),"")</f>
        <v>2.5</v>
      </c>
      <c r="J530" s="612" t="str">
        <f>IFERROR(VLOOKUP(M530,'02. MM-KLH'!$B$6:$T$823,19,0),"")</f>
        <v>CCN</v>
      </c>
      <c r="K530" s="612" t="str">
        <f>IFERROR(VLOOKUP(M530,'02. MM-KLH'!$B$6:$T$823,18,0),"")</f>
        <v>LC162FMJ-TM014863</v>
      </c>
      <c r="L530" s="613" t="str">
        <f>IFERROR(VLOOKUP(M530,'02. MM-KLH'!$B$6:$T$823,4,0),"")</f>
        <v/>
      </c>
      <c r="M530" s="490" t="s">
        <v>2635</v>
      </c>
      <c r="N530" s="615" t="str">
        <f>IFERROR(VLOOKUP(M530,'02. MM-KLH'!$B$6:$T$823,15,0),"")</f>
        <v/>
      </c>
      <c r="O530" s="616" t="str">
        <f>IFERROR(VLOOKUP(M530,'02. MM-KLH'!$B$6:$T$823,9,0),"")</f>
        <v/>
      </c>
      <c r="P530" s="613"/>
      <c r="Q530" s="566" t="s">
        <v>1565</v>
      </c>
      <c r="R530" s="566" t="s">
        <v>4158</v>
      </c>
      <c r="S530" s="613"/>
      <c r="T530" s="613"/>
      <c r="U530" s="559" t="str">
        <f>IFERROR(VLOOKUP(M530,'02. MM-KLH'!$B$6:$T$823,5,0),"")</f>
        <v>ĐQSD</v>
      </c>
      <c r="V530" s="523" t="str">
        <f>IFERROR(VLOOKUP(M530,'02. MM-KLH'!$B$6:$T$823,8,0),"")</f>
        <v>Thagricons</v>
      </c>
      <c r="W530" s="559" t="str">
        <f>IFERROR(VLOOKUP(V530,'NS QUẢN LÝ CG'!$A$4:$D$36,2,0),"")</f>
        <v/>
      </c>
      <c r="X530" s="559" t="str">
        <f>IFERROR(VLOOKUP(V530,'NS QUẢN LÝ CG'!$A$4:$D$36,4,0),"")</f>
        <v/>
      </c>
      <c r="Y530" s="559" t="str">
        <f>IFERROR(VLOOKUP(V530,'NS QUẢN LÝ CG'!$A$4:$C$36,3,0),"")</f>
        <v/>
      </c>
      <c r="Z530" s="523" t="str">
        <f>IFERROR(VLOOKUP(M530,'02. MM-KLH'!$B$6:$T$823,3,0),"")</f>
        <v>A22-XLO-007</v>
      </c>
      <c r="AA530" s="559" t="str">
        <f t="shared" ref="AA530:AA532" si="37">SWITCH(LEFT(Z530,3),"A22","ADM","A23","DP","A24","LP","")</f>
        <v>ADM</v>
      </c>
      <c r="AB530" s="523"/>
      <c r="AC530" s="523"/>
    </row>
    <row r="531">
      <c r="A531" s="523"/>
      <c r="B531" s="612" t="str">
        <f>IFERROR(VLOOKUP(M531,'02. MM-KLH'!$B$6:$T$823,6,0),"")</f>
        <v>Xe lôi</v>
      </c>
      <c r="C531" s="566">
        <v>1.0</v>
      </c>
      <c r="D531" s="613" t="str">
        <f>IFERROR(VLOOKUP(M531,'02. MM-KLH'!$B$6:$T$823,16,0),"")</f>
        <v>150ZH</v>
      </c>
      <c r="E531" s="613"/>
      <c r="F531" s="561" t="s">
        <v>4158</v>
      </c>
      <c r="G531" s="613"/>
      <c r="H531" s="613" t="str">
        <f>IFERROR(VLOOKUP(M531,'02. MM-KLH'!$B$6:$T$823,17,0),"")</f>
        <v>150HP</v>
      </c>
      <c r="I531" s="614">
        <f>IFERROR(VLOOKUP(M531,'02. MM-KLH'!$B$6:$U$823,20,0),"")</f>
        <v>2.5</v>
      </c>
      <c r="J531" s="612" t="str">
        <f>IFERROR(VLOOKUP(M531,'02. MM-KLH'!$B$6:$T$823,19,0),"")</f>
        <v>CCN</v>
      </c>
      <c r="K531" s="612" t="str">
        <f>IFERROR(VLOOKUP(M531,'02. MM-KLH'!$B$6:$T$823,18,0),"")</f>
        <v>ZS162MJ-L8L300020</v>
      </c>
      <c r="L531" s="613" t="str">
        <f>IFERROR(VLOOKUP(M531,'02. MM-KLH'!$B$6:$T$823,4,0),"")</f>
        <v/>
      </c>
      <c r="M531" s="490" t="s">
        <v>2638</v>
      </c>
      <c r="N531" s="615" t="str">
        <f>IFERROR(VLOOKUP(M531,'02. MM-KLH'!$B$6:$T$823,15,0),"")</f>
        <v/>
      </c>
      <c r="O531" s="616" t="str">
        <f>IFERROR(VLOOKUP(M531,'02. MM-KLH'!$B$6:$T$823,9,0),"")</f>
        <v/>
      </c>
      <c r="P531" s="613"/>
      <c r="Q531" s="566" t="s">
        <v>1565</v>
      </c>
      <c r="R531" s="566" t="s">
        <v>4158</v>
      </c>
      <c r="S531" s="613"/>
      <c r="T531" s="613"/>
      <c r="U531" s="559" t="str">
        <f>IFERROR(VLOOKUP(M531,'02. MM-KLH'!$B$6:$T$823,5,0),"")</f>
        <v>ĐQSD</v>
      </c>
      <c r="V531" s="523" t="str">
        <f>IFERROR(VLOOKUP(M531,'02. MM-KLH'!$B$6:$T$823,8,0),"")</f>
        <v>Thagricons</v>
      </c>
      <c r="W531" s="559" t="str">
        <f>IFERROR(VLOOKUP(V531,'NS QUẢN LÝ CG'!$A$4:$D$36,2,0),"")</f>
        <v/>
      </c>
      <c r="X531" s="559" t="str">
        <f>IFERROR(VLOOKUP(V531,'NS QUẢN LÝ CG'!$A$4:$D$36,4,0),"")</f>
        <v/>
      </c>
      <c r="Y531" s="559" t="str">
        <f>IFERROR(VLOOKUP(V531,'NS QUẢN LÝ CG'!$A$4:$C$36,3,0),"")</f>
        <v/>
      </c>
      <c r="Z531" s="523" t="str">
        <f>IFERROR(VLOOKUP(M531,'02. MM-KLH'!$B$6:$T$823,3,0),"")</f>
        <v>A22-XLO-008</v>
      </c>
      <c r="AA531" s="559" t="str">
        <f t="shared" si="37"/>
        <v>ADM</v>
      </c>
      <c r="AB531" s="523"/>
      <c r="AC531" s="523"/>
    </row>
    <row r="532">
      <c r="A532" s="523"/>
      <c r="B532" s="612" t="str">
        <f>IFERROR(VLOOKUP(M532,'02. MM-KLH'!$B$6:$T$823,6,0),"")</f>
        <v>Xe lôi</v>
      </c>
      <c r="C532" s="566">
        <v>1.0</v>
      </c>
      <c r="D532" s="613" t="str">
        <f>IFERROR(VLOOKUP(M532,'02. MM-KLH'!$B$6:$T$823,16,0),"")</f>
        <v>150ZH</v>
      </c>
      <c r="E532" s="613"/>
      <c r="F532" s="561" t="s">
        <v>4158</v>
      </c>
      <c r="G532" s="613"/>
      <c r="H532" s="613" t="str">
        <f>IFERROR(VLOOKUP(M532,'02. MM-KLH'!$B$6:$T$823,17,0),"")</f>
        <v>150HP</v>
      </c>
      <c r="I532" s="614">
        <f>IFERROR(VLOOKUP(M532,'02. MM-KLH'!$B$6:$U$823,20,0),"")</f>
        <v>2.5</v>
      </c>
      <c r="J532" s="612" t="str">
        <f>IFERROR(VLOOKUP(M532,'02. MM-KLH'!$B$6:$T$823,19,0),"")</f>
        <v>CCN</v>
      </c>
      <c r="K532" s="612" t="str">
        <f>IFERROR(VLOOKUP(M532,'02. MM-KLH'!$B$6:$T$823,18,0),"")</f>
        <v>ZS162MJ-LL012627</v>
      </c>
      <c r="L532" s="613" t="str">
        <f>IFERROR(VLOOKUP(M532,'02. MM-KLH'!$B$6:$T$823,4,0),"")</f>
        <v/>
      </c>
      <c r="M532" s="490" t="s">
        <v>2641</v>
      </c>
      <c r="N532" s="615" t="str">
        <f>IFERROR(VLOOKUP(M532,'02. MM-KLH'!$B$6:$T$823,15,0),"")</f>
        <v/>
      </c>
      <c r="O532" s="616" t="str">
        <f>IFERROR(VLOOKUP(M532,'02. MM-KLH'!$B$6:$T$823,9,0),"")</f>
        <v/>
      </c>
      <c r="P532" s="613"/>
      <c r="Q532" s="566" t="s">
        <v>1565</v>
      </c>
      <c r="R532" s="566" t="s">
        <v>4158</v>
      </c>
      <c r="S532" s="613"/>
      <c r="T532" s="613"/>
      <c r="U532" s="559" t="str">
        <f>IFERROR(VLOOKUP(M532,'02. MM-KLH'!$B$6:$T$823,5,0),"")</f>
        <v>ĐQSD</v>
      </c>
      <c r="V532" s="523" t="str">
        <f>IFERROR(VLOOKUP(M532,'02. MM-KLH'!$B$6:$T$823,8,0),"")</f>
        <v>Thagricons</v>
      </c>
      <c r="W532" s="559" t="str">
        <f>IFERROR(VLOOKUP(V532,'NS QUẢN LÝ CG'!$A$4:$D$36,2,0),"")</f>
        <v/>
      </c>
      <c r="X532" s="559" t="str">
        <f>IFERROR(VLOOKUP(V532,'NS QUẢN LÝ CG'!$A$4:$D$36,4,0),"")</f>
        <v/>
      </c>
      <c r="Y532" s="559" t="str">
        <f>IFERROR(VLOOKUP(V532,'NS QUẢN LÝ CG'!$A$4:$C$36,3,0),"")</f>
        <v/>
      </c>
      <c r="Z532" s="523" t="str">
        <f>IFERROR(VLOOKUP(M532,'02. MM-KLH'!$B$6:$T$823,3,0),"")</f>
        <v>A22-XLO-009</v>
      </c>
      <c r="AA532" s="559" t="str">
        <f t="shared" si="37"/>
        <v>ADM</v>
      </c>
      <c r="AB532" s="523"/>
      <c r="AC532" s="523"/>
    </row>
    <row r="533">
      <c r="A533" s="523"/>
      <c r="B533" s="612" t="str">
        <f>IFERROR(VLOOKUP(M533,'02. MM-KLH'!$B$6:$T$823,6,0),"")</f>
        <v>Xe lôi</v>
      </c>
      <c r="C533" s="566">
        <v>1.0</v>
      </c>
      <c r="D533" s="613" t="str">
        <f>IFERROR(VLOOKUP(M533,'02. MM-KLH'!$B$6:$T$823,16,0),"")</f>
        <v>150ZH</v>
      </c>
      <c r="E533" s="613"/>
      <c r="F533" s="561" t="s">
        <v>4158</v>
      </c>
      <c r="G533" s="613"/>
      <c r="H533" s="613" t="str">
        <f>IFERROR(VLOOKUP(M533,'02. MM-KLH'!$B$6:$T$823,17,0),"")</f>
        <v>150HP</v>
      </c>
      <c r="I533" s="614">
        <f>IFERROR(VLOOKUP(M533,'02. MM-KLH'!$B$6:$U$823,20,0),"")</f>
        <v>2.5</v>
      </c>
      <c r="J533" s="612" t="str">
        <f>IFERROR(VLOOKUP(M533,'02. MM-KLH'!$B$6:$T$823,19,0),"")</f>
        <v>LP7HCKZ91P0004045</v>
      </c>
      <c r="K533" s="612" t="str">
        <f>IFERROR(VLOOKUP(M533,'02. MM-KLH'!$B$6:$T$823,18,0),"")</f>
        <v>TH162FMJ-C23004045</v>
      </c>
      <c r="L533" s="613" t="str">
        <f>IFERROR(VLOOKUP(M533,'02. MM-KLH'!$B$6:$T$823,4,0),"")</f>
        <v/>
      </c>
      <c r="M533" s="488" t="s">
        <v>2809</v>
      </c>
      <c r="N533" s="615">
        <f>IFERROR(VLOOKUP(M533,'02. MM-KLH'!$B$6:$T$823,15,0),"")</f>
        <v>2021</v>
      </c>
      <c r="O533" s="616" t="str">
        <f>IFERROR(VLOOKUP(M533,'02. MM-KLH'!$B$6:$T$823,9,0),"")</f>
        <v>14/11/2023</v>
      </c>
      <c r="P533" s="613"/>
      <c r="Q533" s="566" t="s">
        <v>1565</v>
      </c>
      <c r="R533" s="566" t="s">
        <v>4158</v>
      </c>
      <c r="S533" s="613"/>
      <c r="T533" s="613"/>
      <c r="U533" s="559" t="str">
        <f>IFERROR(VLOOKUP(M533,'02. MM-KLH'!$B$6:$T$823,5,0),"")</f>
        <v>ĐQSD</v>
      </c>
      <c r="V533" s="523" t="str">
        <f>IFERROR(VLOOKUP(M533,'02. MM-KLH'!$B$6:$T$823,8,0),"")</f>
        <v>Thadicons A&amp;I</v>
      </c>
      <c r="W533" s="559" t="str">
        <f>IFERROR(VLOOKUP(V533,'NS QUẢN LÝ CG'!$A$4:$D$36,2,0),"")</f>
        <v/>
      </c>
      <c r="X533" s="559" t="str">
        <f>IFERROR(VLOOKUP(V533,'NS QUẢN LÝ CG'!$A$4:$D$36,4,0),"")</f>
        <v/>
      </c>
      <c r="Y533" s="559" t="str">
        <f>IFERROR(VLOOKUP(V533,'NS QUẢN LÝ CG'!$A$4:$C$36,3,0),"")</f>
        <v/>
      </c>
      <c r="Z533" s="523" t="str">
        <f>IFERROR(VLOOKUP(M533,'02. MM-KLH'!$B$6:$T$823,3,0),"")</f>
        <v>ATT-A22-0284</v>
      </c>
      <c r="AA533" s="561" t="s">
        <v>4462</v>
      </c>
      <c r="AB533" s="523"/>
      <c r="AC533" s="523"/>
    </row>
    <row r="534">
      <c r="A534" s="523"/>
      <c r="B534" s="612" t="str">
        <f>IFERROR(VLOOKUP(M534,'02. MM-KLH'!$B$6:$T$823,6,0),"")</f>
        <v>Xe lôi</v>
      </c>
      <c r="C534" s="566">
        <v>1.0</v>
      </c>
      <c r="D534" s="613" t="str">
        <f>IFERROR(VLOOKUP(M534,'02. MM-KLH'!$B$6:$T$823,16,0),"")</f>
        <v>150ZH</v>
      </c>
      <c r="E534" s="613"/>
      <c r="F534" s="561" t="s">
        <v>4158</v>
      </c>
      <c r="G534" s="613"/>
      <c r="H534" s="613" t="str">
        <f>IFERROR(VLOOKUP(M534,'02. MM-KLH'!$B$6:$T$823,17,0),"")</f>
        <v>150HP</v>
      </c>
      <c r="I534" s="614">
        <f>IFERROR(VLOOKUP(M534,'02. MM-KLH'!$B$6:$U$823,20,0),"")</f>
        <v>2.5</v>
      </c>
      <c r="J534" s="612" t="str">
        <f>IFERROR(VLOOKUP(M534,'02. MM-KLH'!$B$6:$T$823,19,0),"")</f>
        <v>LP7HCKZ9XP0004013</v>
      </c>
      <c r="K534" s="612" t="str">
        <f>IFERROR(VLOOKUP(M534,'02. MM-KLH'!$B$6:$T$823,18,0),"")</f>
        <v>TH162FMJ-C23004013</v>
      </c>
      <c r="L534" s="613" t="str">
        <f>IFERROR(VLOOKUP(M534,'02. MM-KLH'!$B$6:$T$823,4,0),"")</f>
        <v/>
      </c>
      <c r="M534" s="488" t="s">
        <v>2812</v>
      </c>
      <c r="N534" s="615">
        <f>IFERROR(VLOOKUP(M534,'02. MM-KLH'!$B$6:$T$823,15,0),"")</f>
        <v>2021</v>
      </c>
      <c r="O534" s="616" t="str">
        <f>IFERROR(VLOOKUP(M534,'02. MM-KLH'!$B$6:$T$823,9,0),"")</f>
        <v>14/11/2023</v>
      </c>
      <c r="P534" s="613"/>
      <c r="Q534" s="566" t="s">
        <v>1565</v>
      </c>
      <c r="R534" s="566" t="s">
        <v>4158</v>
      </c>
      <c r="S534" s="613"/>
      <c r="T534" s="613"/>
      <c r="U534" s="559" t="str">
        <f>IFERROR(VLOOKUP(M534,'02. MM-KLH'!$B$6:$T$823,5,0),"")</f>
        <v>ĐQSD</v>
      </c>
      <c r="V534" s="523" t="str">
        <f>IFERROR(VLOOKUP(M534,'02. MM-KLH'!$B$6:$T$823,8,0),"")</f>
        <v>Thadicons A&amp;I</v>
      </c>
      <c r="W534" s="559" t="str">
        <f>IFERROR(VLOOKUP(V534,'NS QUẢN LÝ CG'!$A$4:$D$36,2,0),"")</f>
        <v/>
      </c>
      <c r="X534" s="559" t="str">
        <f>IFERROR(VLOOKUP(V534,'NS QUẢN LÝ CG'!$A$4:$D$36,4,0),"")</f>
        <v/>
      </c>
      <c r="Y534" s="559" t="str">
        <f>IFERROR(VLOOKUP(V534,'NS QUẢN LÝ CG'!$A$4:$C$36,3,0),"")</f>
        <v/>
      </c>
      <c r="Z534" s="523" t="str">
        <f>IFERROR(VLOOKUP(M534,'02. MM-KLH'!$B$6:$T$823,3,0),"")</f>
        <v>ATT-A22-0283</v>
      </c>
      <c r="AA534" s="561" t="s">
        <v>4462</v>
      </c>
      <c r="AB534" s="523"/>
      <c r="AC534" s="523"/>
    </row>
    <row r="535">
      <c r="A535" s="523"/>
      <c r="B535" s="612" t="str">
        <f>IFERROR(VLOOKUP(M535,'02. MM-KLH'!$B$6:$T$823,6,0),"")</f>
        <v>Xe lôi</v>
      </c>
      <c r="C535" s="566">
        <v>1.0</v>
      </c>
      <c r="D535" s="613" t="str">
        <f>IFERROR(VLOOKUP(M535,'02. MM-KLH'!$B$6:$T$823,16,0),"")</f>
        <v>150ZH</v>
      </c>
      <c r="E535" s="613"/>
      <c r="F535" s="561" t="s">
        <v>4158</v>
      </c>
      <c r="G535" s="613"/>
      <c r="H535" s="613" t="str">
        <f>IFERROR(VLOOKUP(M535,'02. MM-KLH'!$B$6:$T$823,17,0),"")</f>
        <v>150HP</v>
      </c>
      <c r="I535" s="614">
        <f>IFERROR(VLOOKUP(M535,'02. MM-KLH'!$B$6:$U$823,20,0),"")</f>
        <v>2.5</v>
      </c>
      <c r="J535" s="612" t="str">
        <f>IFERROR(VLOOKUP(M535,'02. MM-KLH'!$B$6:$T$823,19,0),"")</f>
        <v>LP7HCKZ95N0000447</v>
      </c>
      <c r="K535" s="612">
        <f>IFERROR(VLOOKUP(M535,'02. MM-KLH'!$B$6:$T$823,18,0),"")</f>
        <v>22060447</v>
      </c>
      <c r="L535" s="613" t="str">
        <f>IFERROR(VLOOKUP(M535,'02. MM-KLH'!$B$6:$T$823,4,0),"")</f>
        <v/>
      </c>
      <c r="M535" s="488" t="s">
        <v>2815</v>
      </c>
      <c r="N535" s="615">
        <f>IFERROR(VLOOKUP(M535,'02. MM-KLH'!$B$6:$T$823,15,0),"")</f>
        <v>2021</v>
      </c>
      <c r="O535" s="616" t="str">
        <f>IFERROR(VLOOKUP(M535,'02. MM-KLH'!$B$6:$T$823,9,0),"")</f>
        <v>14/11/2023</v>
      </c>
      <c r="P535" s="613"/>
      <c r="Q535" s="566" t="s">
        <v>1565</v>
      </c>
      <c r="R535" s="566" t="s">
        <v>4158</v>
      </c>
      <c r="S535" s="613"/>
      <c r="T535" s="613"/>
      <c r="U535" s="559" t="str">
        <f>IFERROR(VLOOKUP(M535,'02. MM-KLH'!$B$6:$T$823,5,0),"")</f>
        <v>ĐQSD</v>
      </c>
      <c r="V535" s="523" t="str">
        <f>IFERROR(VLOOKUP(M535,'02. MM-KLH'!$B$6:$T$823,8,0),"")</f>
        <v>Thadicons A&amp;I</v>
      </c>
      <c r="W535" s="559" t="str">
        <f>IFERROR(VLOOKUP(V535,'NS QUẢN LÝ CG'!$A$4:$D$36,2,0),"")</f>
        <v/>
      </c>
      <c r="X535" s="559" t="str">
        <f>IFERROR(VLOOKUP(V535,'NS QUẢN LÝ CG'!$A$4:$D$36,4,0),"")</f>
        <v/>
      </c>
      <c r="Y535" s="559" t="str">
        <f>IFERROR(VLOOKUP(V535,'NS QUẢN LÝ CG'!$A$4:$C$36,3,0),"")</f>
        <v/>
      </c>
      <c r="Z535" s="523" t="str">
        <f>IFERROR(VLOOKUP(M535,'02. MM-KLH'!$B$6:$T$823,3,0),"")</f>
        <v>ATT-A22-0277</v>
      </c>
      <c r="AA535" s="561" t="s">
        <v>4462</v>
      </c>
      <c r="AB535" s="523"/>
      <c r="AC535" s="523"/>
    </row>
    <row r="536">
      <c r="A536" s="523"/>
      <c r="B536" s="612" t="str">
        <f>IFERROR(VLOOKUP(M536,'02. MM-KLH'!$B$6:$T$823,6,0),"")</f>
        <v>Xe lôi</v>
      </c>
      <c r="C536" s="566">
        <v>1.0</v>
      </c>
      <c r="D536" s="613" t="str">
        <f>IFERROR(VLOOKUP(M536,'02. MM-KLH'!$B$6:$T$823,16,0),"")</f>
        <v>150ZH</v>
      </c>
      <c r="E536" s="613"/>
      <c r="F536" s="561" t="s">
        <v>4158</v>
      </c>
      <c r="G536" s="613"/>
      <c r="H536" s="613" t="str">
        <f>IFERROR(VLOOKUP(M536,'02. MM-KLH'!$B$6:$T$823,17,0),"")</f>
        <v>150HP</v>
      </c>
      <c r="I536" s="614">
        <f>IFERROR(VLOOKUP(M536,'02. MM-KLH'!$B$6:$U$823,20,0),"")</f>
        <v>2.5</v>
      </c>
      <c r="J536" s="612" t="str">
        <f>IFERROR(VLOOKUP(M536,'02. MM-KLH'!$B$6:$T$823,19,0),"")</f>
        <v>LP7HCKZ98N0000460</v>
      </c>
      <c r="K536" s="612">
        <f>IFERROR(VLOOKUP(M536,'02. MM-KLH'!$B$6:$T$823,18,0),"")</f>
        <v>22060460</v>
      </c>
      <c r="L536" s="613" t="str">
        <f>IFERROR(VLOOKUP(M536,'02. MM-KLH'!$B$6:$T$823,4,0),"")</f>
        <v/>
      </c>
      <c r="M536" s="488" t="s">
        <v>2817</v>
      </c>
      <c r="N536" s="615">
        <f>IFERROR(VLOOKUP(M536,'02. MM-KLH'!$B$6:$T$823,15,0),"")</f>
        <v>2021</v>
      </c>
      <c r="O536" s="616" t="str">
        <f>IFERROR(VLOOKUP(M536,'02. MM-KLH'!$B$6:$T$823,9,0),"")</f>
        <v>14/11/2023</v>
      </c>
      <c r="P536" s="613"/>
      <c r="Q536" s="566" t="s">
        <v>1565</v>
      </c>
      <c r="R536" s="566" t="s">
        <v>4158</v>
      </c>
      <c r="S536" s="613"/>
      <c r="T536" s="613"/>
      <c r="U536" s="559" t="str">
        <f>IFERROR(VLOOKUP(M536,'02. MM-KLH'!$B$6:$T$823,5,0),"")</f>
        <v>ĐQSD</v>
      </c>
      <c r="V536" s="523" t="str">
        <f>IFERROR(VLOOKUP(M536,'02. MM-KLH'!$B$6:$T$823,8,0),"")</f>
        <v>Thadicons A&amp;I</v>
      </c>
      <c r="W536" s="559" t="str">
        <f>IFERROR(VLOOKUP(V536,'NS QUẢN LÝ CG'!$A$4:$D$36,2,0),"")</f>
        <v/>
      </c>
      <c r="X536" s="559" t="str">
        <f>IFERROR(VLOOKUP(V536,'NS QUẢN LÝ CG'!$A$4:$D$36,4,0),"")</f>
        <v/>
      </c>
      <c r="Y536" s="559" t="str">
        <f>IFERROR(VLOOKUP(V536,'NS QUẢN LÝ CG'!$A$4:$C$36,3,0),"")</f>
        <v/>
      </c>
      <c r="Z536" s="523" t="str">
        <f>IFERROR(VLOOKUP(M536,'02. MM-KLH'!$B$6:$T$823,3,0),"")</f>
        <v>A22-XLO-004</v>
      </c>
      <c r="AA536" s="559" t="str">
        <f t="shared" ref="AA536:AA537" si="38">SWITCH(LEFT(Z536,3),"A22","ADM","A23","DP","A24","LP","")</f>
        <v>ADM</v>
      </c>
      <c r="AB536" s="523"/>
      <c r="AC536" s="523"/>
    </row>
    <row r="537">
      <c r="A537" s="523"/>
      <c r="B537" s="612" t="str">
        <f>IFERROR(VLOOKUP(M537,'02. MM-KLH'!$B$6:$T$823,6,0),"")</f>
        <v>Xe lôi</v>
      </c>
      <c r="C537" s="566">
        <v>1.0</v>
      </c>
      <c r="D537" s="613" t="str">
        <f>IFERROR(VLOOKUP(M537,'02. MM-KLH'!$B$6:$T$823,16,0),"")</f>
        <v>150ZH</v>
      </c>
      <c r="E537" s="613"/>
      <c r="F537" s="561" t="s">
        <v>4158</v>
      </c>
      <c r="G537" s="613"/>
      <c r="H537" s="613" t="str">
        <f>IFERROR(VLOOKUP(M537,'02. MM-KLH'!$B$6:$T$823,17,0),"")</f>
        <v>150HP</v>
      </c>
      <c r="I537" s="614">
        <f>IFERROR(VLOOKUP(M537,'02. MM-KLH'!$B$6:$U$823,20,0),"")</f>
        <v>2.5</v>
      </c>
      <c r="J537" s="612" t="str">
        <f>IFERROR(VLOOKUP(M537,'02. MM-KLH'!$B$6:$T$823,19,0),"")</f>
        <v>L0011901053343</v>
      </c>
      <c r="K537" s="612" t="str">
        <f>IFERROR(VLOOKUP(M537,'02. MM-KLH'!$B$6:$T$823,18,0),"")</f>
        <v>K002901900089</v>
      </c>
      <c r="L537" s="613" t="str">
        <f>IFERROR(VLOOKUP(M537,'02. MM-KLH'!$B$6:$T$823,4,0),"")</f>
        <v/>
      </c>
      <c r="M537" s="488" t="s">
        <v>2819</v>
      </c>
      <c r="N537" s="615">
        <f>IFERROR(VLOOKUP(M537,'02. MM-KLH'!$B$6:$T$823,15,0),"")</f>
        <v>2021</v>
      </c>
      <c r="O537" s="616" t="str">
        <f>IFERROR(VLOOKUP(M537,'02. MM-KLH'!$B$6:$T$823,9,0),"")</f>
        <v>Mới </v>
      </c>
      <c r="P537" s="613"/>
      <c r="Q537" s="566" t="s">
        <v>1565</v>
      </c>
      <c r="R537" s="566" t="s">
        <v>4158</v>
      </c>
      <c r="S537" s="613"/>
      <c r="T537" s="613"/>
      <c r="U537" s="559" t="str">
        <f>IFERROR(VLOOKUP(M537,'02. MM-KLH'!$B$6:$T$823,5,0),"")</f>
        <v>ĐQSD</v>
      </c>
      <c r="V537" s="523" t="str">
        <f>IFERROR(VLOOKUP(M537,'02. MM-KLH'!$B$6:$T$823,8,0),"")</f>
        <v>Thadicons A&amp;I</v>
      </c>
      <c r="W537" s="559" t="str">
        <f>IFERROR(VLOOKUP(V537,'NS QUẢN LÝ CG'!$A$4:$D$36,2,0),"")</f>
        <v/>
      </c>
      <c r="X537" s="559" t="str">
        <f>IFERROR(VLOOKUP(V537,'NS QUẢN LÝ CG'!$A$4:$D$36,4,0),"")</f>
        <v/>
      </c>
      <c r="Y537" s="559" t="str">
        <f>IFERROR(VLOOKUP(V537,'NS QUẢN LÝ CG'!$A$4:$C$36,3,0),"")</f>
        <v/>
      </c>
      <c r="Z537" s="523" t="str">
        <f>IFERROR(VLOOKUP(M537,'02. MM-KLH'!$B$6:$T$823,3,0),"")</f>
        <v>A22-XLO-005</v>
      </c>
      <c r="AA537" s="559" t="str">
        <f t="shared" si="38"/>
        <v>ADM</v>
      </c>
      <c r="AB537" s="523"/>
      <c r="AC537" s="523"/>
    </row>
    <row r="538">
      <c r="A538" s="523"/>
      <c r="B538" s="612" t="str">
        <f>IFERROR(VLOOKUP(M538,'02. MM-KLH'!$B$6:$T$823,6,0),"")</f>
        <v/>
      </c>
      <c r="C538" s="566"/>
      <c r="D538" s="613" t="str">
        <f>IFERROR(VLOOKUP(M538,'02. MM-KLH'!$B$6:$T$823,16,0),"")</f>
        <v/>
      </c>
      <c r="E538" s="613"/>
      <c r="F538" s="613"/>
      <c r="G538" s="613"/>
      <c r="H538" s="613" t="str">
        <f>IFERROR(VLOOKUP(M538,'02. MM-KLH'!$B$6:$T$823,17,0),"")</f>
        <v/>
      </c>
      <c r="I538" s="614" t="str">
        <f>IFERROR(VLOOKUP(M538,'02. MM-KLH'!$B$6:$U$823,20,0),"")</f>
        <v/>
      </c>
      <c r="J538" s="612" t="str">
        <f>IFERROR(VLOOKUP(M538,'02. MM-KLH'!$B$6:$T$823,19,0),"")</f>
        <v/>
      </c>
      <c r="K538" s="612" t="str">
        <f>IFERROR(VLOOKUP(M538,'02. MM-KLH'!$B$6:$T$823,18,0),"")</f>
        <v/>
      </c>
      <c r="L538" s="613" t="str">
        <f>IFERROR(VLOOKUP(M538,'02. MM-KLH'!$B$6:$T$823,4,0),"")</f>
        <v/>
      </c>
      <c r="M538" s="488"/>
      <c r="N538" s="615" t="str">
        <f>IFERROR(VLOOKUP(M538,'02. MM-KLH'!$B$6:$T$823,15,0),"")</f>
        <v/>
      </c>
      <c r="O538" s="616" t="str">
        <f>IFERROR(VLOOKUP(M538,'02. MM-KLH'!$B$6:$T$823,9,0),"")</f>
        <v/>
      </c>
      <c r="P538" s="613"/>
      <c r="Q538" s="613"/>
      <c r="R538" s="613"/>
      <c r="S538" s="613"/>
      <c r="T538" s="613"/>
      <c r="U538" s="613" t="str">
        <f>IFERROR(VLOOKUP(M538,'02. MM-KLH'!$B$6:$T$823,2,0),"")</f>
        <v/>
      </c>
      <c r="V538" s="523" t="str">
        <f>IFERROR(VLOOKUP(M538,'02. MM-KLH'!$B$6:$T$823,8,0),"")</f>
        <v/>
      </c>
      <c r="W538" s="559" t="str">
        <f>IFERROR(VLOOKUP(V538,'NS QUẢN LÝ CG'!$A$4:$D$36,2,0),"")</f>
        <v/>
      </c>
      <c r="X538" s="559" t="str">
        <f>IFERROR(VLOOKUP(V538,'NS QUẢN LÝ CG'!$A$4:$D$36,4,0),"")</f>
        <v/>
      </c>
      <c r="Y538" s="613"/>
      <c r="Z538" s="523" t="str">
        <f>IFERROR(VLOOKUP(M538,'02. MM-KLH'!$B$6:$T$823,3,0),"")</f>
        <v/>
      </c>
      <c r="AA538" s="613"/>
      <c r="AB538" s="523"/>
      <c r="AC538" s="523"/>
    </row>
    <row r="539" hidden="1">
      <c r="A539" s="523"/>
      <c r="B539" s="612" t="str">
        <f>IFERROR(VLOOKUP(M539,'02. MM-KLH'!$B$6:$T$823,6,0),"")</f>
        <v/>
      </c>
      <c r="C539" s="566"/>
      <c r="D539" s="613" t="str">
        <f>IFERROR(VLOOKUP(M539,'02. MM-KLH'!$B$6:$T$823,16,0),"")</f>
        <v/>
      </c>
      <c r="E539" s="613"/>
      <c r="F539" s="613"/>
      <c r="G539" s="613"/>
      <c r="H539" s="613" t="str">
        <f>IFERROR(VLOOKUP(M539,'02. MM-KLH'!$B$6:$T$823,17,0),"")</f>
        <v/>
      </c>
      <c r="I539" s="614" t="str">
        <f>IFERROR(VLOOKUP(M539,'02. MM-KLH'!$B$6:$U$823,20,0),"")</f>
        <v/>
      </c>
      <c r="J539" s="612" t="str">
        <f>IFERROR(VLOOKUP(M539,'02. MM-KLH'!$B$6:$T$823,19,0),"")</f>
        <v/>
      </c>
      <c r="K539" s="612" t="str">
        <f>IFERROR(VLOOKUP(M539,'02. MM-KLH'!$B$6:$T$823,18,0),"")</f>
        <v/>
      </c>
      <c r="L539" s="613" t="str">
        <f>IFERROR(VLOOKUP(M539,'02. MM-KLH'!$B$6:$T$823,4,0),"")</f>
        <v/>
      </c>
      <c r="M539" s="488"/>
      <c r="N539" s="615" t="str">
        <f>IFERROR(VLOOKUP(M539,'02. MM-KLH'!$B$6:$T$823,15,0),"")</f>
        <v/>
      </c>
      <c r="O539" s="616" t="str">
        <f>IFERROR(VLOOKUP(M539,'02. MM-KLH'!$B$6:$T$823,9,0),"")</f>
        <v/>
      </c>
      <c r="P539" s="613"/>
      <c r="Q539" s="613"/>
      <c r="R539" s="613"/>
      <c r="S539" s="613"/>
      <c r="T539" s="613"/>
      <c r="U539" s="613" t="str">
        <f>IFERROR(VLOOKUP(M539,'02. MM-KLH'!$B$6:$T$823,2,0),"")</f>
        <v/>
      </c>
      <c r="V539" s="523" t="str">
        <f>IFERROR(VLOOKUP(M539,'02. MM-KLH'!$B$6:$T$823,8,0),"")</f>
        <v/>
      </c>
      <c r="W539" s="613"/>
      <c r="X539" s="613"/>
      <c r="Y539" s="613"/>
      <c r="Z539" s="523" t="str">
        <f>IFERROR(VLOOKUP(M539,'02. MM-KLH'!$B$6:$T$823,3,0),"")</f>
        <v/>
      </c>
      <c r="AA539" s="613"/>
      <c r="AB539" s="523"/>
      <c r="AC539" s="523"/>
    </row>
    <row r="540" hidden="1">
      <c r="A540" s="523"/>
      <c r="B540" s="612" t="str">
        <f>IFERROR(VLOOKUP(M540,'02. MM-KLH'!$B$6:$T$823,6,0),"")</f>
        <v/>
      </c>
      <c r="C540" s="566"/>
      <c r="D540" s="613" t="str">
        <f>IFERROR(VLOOKUP(M540,'02. MM-KLH'!$B$6:$T$823,16,0),"")</f>
        <v/>
      </c>
      <c r="E540" s="613"/>
      <c r="F540" s="613"/>
      <c r="G540" s="613"/>
      <c r="H540" s="613" t="str">
        <f>IFERROR(VLOOKUP(M540,'02. MM-KLH'!$B$6:$T$823,17,0),"")</f>
        <v/>
      </c>
      <c r="I540" s="614" t="str">
        <f>IFERROR(VLOOKUP(M540,'02. MM-KLH'!$B$6:$U$823,20,0),"")</f>
        <v/>
      </c>
      <c r="J540" s="612" t="str">
        <f>IFERROR(VLOOKUP(M540,'02. MM-KLH'!$B$6:$T$823,19,0),"")</f>
        <v/>
      </c>
      <c r="K540" s="612" t="str">
        <f>IFERROR(VLOOKUP(M540,'02. MM-KLH'!$B$6:$T$823,18,0),"")</f>
        <v/>
      </c>
      <c r="L540" s="613" t="str">
        <f>IFERROR(VLOOKUP(M540,'02. MM-KLH'!$B$6:$T$823,4,0),"")</f>
        <v/>
      </c>
      <c r="M540" s="488"/>
      <c r="N540" s="615" t="str">
        <f>IFERROR(VLOOKUP(M540,'02. MM-KLH'!$B$6:$T$823,15,0),"")</f>
        <v/>
      </c>
      <c r="O540" s="616" t="str">
        <f>IFERROR(VLOOKUP(M540,'02. MM-KLH'!$B$6:$T$823,9,0),"")</f>
        <v/>
      </c>
      <c r="P540" s="613"/>
      <c r="Q540" s="613"/>
      <c r="R540" s="613"/>
      <c r="S540" s="613"/>
      <c r="T540" s="613"/>
      <c r="U540" s="613" t="str">
        <f>IFERROR(VLOOKUP(M540,'02. MM-KLH'!$B$6:$T$823,2,0),"")</f>
        <v/>
      </c>
      <c r="V540" s="523" t="str">
        <f>IFERROR(VLOOKUP(M540,'02. MM-KLH'!$B$6:$T$823,8,0),"")</f>
        <v/>
      </c>
      <c r="W540" s="613"/>
      <c r="X540" s="613"/>
      <c r="Y540" s="613"/>
      <c r="Z540" s="523" t="str">
        <f>IFERROR(VLOOKUP(M540,'02. MM-KLH'!$B$6:$T$823,3,0),"")</f>
        <v/>
      </c>
      <c r="AA540" s="613"/>
      <c r="AB540" s="523"/>
      <c r="AC540" s="523"/>
    </row>
    <row r="541">
      <c r="A541" s="870" t="s">
        <v>6424</v>
      </c>
      <c r="B541" s="30"/>
      <c r="C541" s="537">
        <f>SUM(C542,C594,C626,C642,C648,C671,C675,C688,C662)</f>
        <v>125</v>
      </c>
      <c r="D541" s="538"/>
      <c r="E541" s="538"/>
      <c r="F541" s="538"/>
      <c r="G541" s="538"/>
      <c r="H541" s="539"/>
      <c r="I541" s="539"/>
      <c r="J541" s="540"/>
      <c r="K541" s="540"/>
      <c r="L541" s="538"/>
      <c r="M541" s="753"/>
      <c r="N541" s="538"/>
      <c r="O541" s="541"/>
      <c r="P541" s="538"/>
      <c r="Q541" s="538"/>
      <c r="R541" s="538"/>
      <c r="S541" s="538"/>
      <c r="T541" s="538"/>
      <c r="U541" s="538"/>
      <c r="V541" s="539"/>
      <c r="W541" s="538"/>
      <c r="X541" s="538"/>
      <c r="Y541" s="538"/>
      <c r="Z541" s="539"/>
      <c r="AA541" s="538"/>
      <c r="AB541" s="539"/>
      <c r="AC541" s="754"/>
    </row>
    <row r="542">
      <c r="A542" s="542" t="s">
        <v>2947</v>
      </c>
      <c r="B542" s="543" t="s">
        <v>5818</v>
      </c>
      <c r="C542" s="544">
        <f>SUM(C543,C552,C568,C579,C584)</f>
        <v>39</v>
      </c>
      <c r="D542" s="545"/>
      <c r="E542" s="545"/>
      <c r="F542" s="545"/>
      <c r="G542" s="545"/>
      <c r="H542" s="545"/>
      <c r="I542" s="546"/>
      <c r="J542" s="547"/>
      <c r="K542" s="547"/>
      <c r="L542" s="545"/>
      <c r="M542" s="545"/>
      <c r="N542" s="545"/>
      <c r="O542" s="548"/>
      <c r="P542" s="545"/>
      <c r="Q542" s="545"/>
      <c r="R542" s="545"/>
      <c r="S542" s="545"/>
      <c r="T542" s="545"/>
      <c r="U542" s="545"/>
      <c r="V542" s="546"/>
      <c r="W542" s="545"/>
      <c r="X542" s="545"/>
      <c r="Y542" s="545"/>
      <c r="Z542" s="546"/>
      <c r="AA542" s="545"/>
      <c r="AB542" s="546"/>
      <c r="AC542" s="549"/>
    </row>
    <row r="543">
      <c r="A543" s="695">
        <v>1.0</v>
      </c>
      <c r="B543" s="696" t="s">
        <v>882</v>
      </c>
      <c r="C543" s="697">
        <f>COUNTA(B544:B551)</f>
        <v>7</v>
      </c>
      <c r="D543" s="698" t="str">
        <f>IFERROR(VLOOKUP(M543,'02. MM-KLH'!$B$6:$T$823,16,0),"")</f>
        <v/>
      </c>
      <c r="E543" s="698"/>
      <c r="F543" s="698"/>
      <c r="G543" s="698"/>
      <c r="H543" s="558" t="str">
        <f>IFERROR(VLOOKUP(M543,'02. MM-KLH'!$B$6:$T$823,17,0),"")</f>
        <v/>
      </c>
      <c r="I543" s="558" t="str">
        <f>IFERROR(VLOOKUP(M543,'02. MM-KLH'!$B$6:$U$823,20,0),"")</f>
        <v/>
      </c>
      <c r="J543" s="699" t="str">
        <f>IFERROR(VLOOKUP(M543,'02. MM-KLH'!$B$6:$T$823,19,0),"")</f>
        <v/>
      </c>
      <c r="K543" s="699" t="str">
        <f>IFERROR(VLOOKUP(M543,'02. MM-KLH'!$B$6:$T$823,18,0),"")</f>
        <v/>
      </c>
      <c r="L543" s="698" t="str">
        <f>IFERROR(VLOOKUP(M543,'02. MM-KLH'!$B$6:$T$823,4,0),"")</f>
        <v/>
      </c>
      <c r="M543" s="700"/>
      <c r="N543" s="698" t="str">
        <f>IFERROR(VLOOKUP(M543,'02. MM-KLH'!$B$6:$T$823,15,0),"")</f>
        <v/>
      </c>
      <c r="O543" s="701" t="str">
        <f>IFERROR(VLOOKUP(M543,'02. MM-KLH'!$B$6:$T$823,9,0),"")</f>
        <v/>
      </c>
      <c r="P543" s="698"/>
      <c r="Q543" s="698"/>
      <c r="R543" s="698"/>
      <c r="S543" s="698"/>
      <c r="T543" s="698"/>
      <c r="U543" s="698" t="str">
        <f>IFERROR(VLOOKUP(M543,'02. MM-KLH'!$B$6:$T$823,2,0),"")</f>
        <v/>
      </c>
      <c r="V543" s="558" t="str">
        <f>IFERROR(VLOOKUP(M543,'02. MM-KLH'!$B$6:$T$823,8,0),"")</f>
        <v/>
      </c>
      <c r="W543" s="698"/>
      <c r="X543" s="698"/>
      <c r="Y543" s="698"/>
      <c r="Z543" s="558" t="str">
        <f>IFERROR(VLOOKUP(M543,'02. MM-KLH'!$B$6:$T$823,3,0),"")</f>
        <v/>
      </c>
      <c r="AA543" s="698"/>
      <c r="AB543" s="558"/>
      <c r="AC543" s="558"/>
    </row>
    <row r="544">
      <c r="A544" s="523"/>
      <c r="B544" s="612" t="str">
        <f>IFERROR(VLOOKUP(M544,'02. MM-KLH'!$B$6:$T$823,6,0),"")</f>
        <v>Xe nâng điện 1.5 tấn</v>
      </c>
      <c r="C544" s="566">
        <v>1.0</v>
      </c>
      <c r="D544" s="613" t="str">
        <f>IFERROR(VLOOKUP(M544,'02. MM-KLH'!$B$6:$T$823,16,0),"")</f>
        <v>ECB16S-B</v>
      </c>
      <c r="E544" s="613"/>
      <c r="F544" s="613"/>
      <c r="G544" s="561" t="s">
        <v>4158</v>
      </c>
      <c r="H544" s="613" t="str">
        <f>IFERROR(VLOOKUP(M544,'02. MM-KLH'!$B$6:$T$823,17,0),"")</f>
        <v>29HP</v>
      </c>
      <c r="I544" s="614" t="str">
        <f>IFERROR(VLOOKUP(M544,'02. MM-KLH'!$B$6:$U$823,20,0),"")</f>
        <v/>
      </c>
      <c r="J544" s="612" t="str">
        <f>IFERROR(VLOOKUP(M544,'02. MM-KLH'!$B$6:$T$823,19,0),"")</f>
        <v>TS0510598-2021</v>
      </c>
      <c r="K544" s="612">
        <f>IFERROR(VLOOKUP(M544,'02. MM-KLH'!$B$6:$T$823,18,0),"")</f>
        <v>1501190100</v>
      </c>
      <c r="L544" s="613" t="str">
        <f>IFERROR(VLOOKUP(M544,'02. MM-KLH'!$B$6:$T$823,4,0),"")</f>
        <v/>
      </c>
      <c r="M544" s="490" t="s">
        <v>879</v>
      </c>
      <c r="N544" s="615">
        <f>IFERROR(VLOOKUP(M544,'02. MM-KLH'!$B$6:$T$823,15,0),"")</f>
        <v>2019</v>
      </c>
      <c r="O544" s="616" t="str">
        <f>IFERROR(VLOOKUP(M544,'02. MM-KLH'!$B$6:$T$823,9,0),"")</f>
        <v/>
      </c>
      <c r="P544" s="613"/>
      <c r="Q544" s="566" t="s">
        <v>1565</v>
      </c>
      <c r="R544" s="566" t="s">
        <v>4158</v>
      </c>
      <c r="S544" s="613"/>
      <c r="T544" s="613"/>
      <c r="U544" s="559" t="str">
        <f>IFERROR(VLOOKUP(M544,'02. MM-KLH'!$B$6:$T$823,5,0),"")</f>
        <v>ĐQSD</v>
      </c>
      <c r="V544" s="523" t="str">
        <f>IFERROR(VLOOKUP(M544,'02. MM-KLH'!$B$6:$T$823,8,0),"")</f>
        <v>XN Chuối DP1</v>
      </c>
      <c r="W544" s="559" t="str">
        <f>IFERROR(VLOOKUP(V544,'NS QUẢN LÝ CG'!$A$4:$D$36,2,0),"")</f>
        <v>Thái Cao Lưu</v>
      </c>
      <c r="X544" s="559" t="str">
        <f>IFERROR(VLOOKUP(V544,'NS QUẢN LÝ CG'!$A$4:$D$36,4,0),"")</f>
        <v>Lô 21 DP1</v>
      </c>
      <c r="Y544" s="559" t="str">
        <f>IFERROR(VLOOKUP(V544,'NS QUẢN LÝ CG'!$A$4:$C$36,3,0),"")</f>
        <v>0387783316</v>
      </c>
      <c r="Z544" s="523" t="str">
        <f>IFERROR(VLOOKUP(M544,'02. MM-KLH'!$B$6:$T$823,3,0),"")</f>
        <v>ATT-A23-0044</v>
      </c>
      <c r="AA544" s="561" t="s">
        <v>5046</v>
      </c>
      <c r="AB544" s="523"/>
      <c r="AC544" s="523"/>
    </row>
    <row r="545">
      <c r="A545" s="523"/>
      <c r="B545" s="612" t="str">
        <f>IFERROR(VLOOKUP(M545,'02. MM-KLH'!$B$6:$T$823,6,0),"")</f>
        <v>Xe nâng điện 1.5 tấn</v>
      </c>
      <c r="C545" s="566">
        <v>1.0</v>
      </c>
      <c r="D545" s="613" t="str">
        <f>IFERROR(VLOOKUP(M545,'02. MM-KLH'!$B$6:$T$823,16,0),"")</f>
        <v>ECB16S-B</v>
      </c>
      <c r="E545" s="613"/>
      <c r="F545" s="613"/>
      <c r="G545" s="561" t="s">
        <v>4158</v>
      </c>
      <c r="H545" s="613" t="str">
        <f>IFERROR(VLOOKUP(M545,'02. MM-KLH'!$B$6:$T$823,17,0),"")</f>
        <v>1.5TẤN</v>
      </c>
      <c r="I545" s="614" t="str">
        <f>IFERROR(VLOOKUP(M545,'02. MM-KLH'!$B$6:$U$823,20,0),"")</f>
        <v/>
      </c>
      <c r="J545" s="612" t="str">
        <f>IFERROR(VLOOKUP(M545,'02. MM-KLH'!$B$6:$T$823,19,0),"")</f>
        <v>CCN</v>
      </c>
      <c r="K545" s="612">
        <f>IFERROR(VLOOKUP(M545,'02. MM-KLH'!$B$6:$T$823,18,0),"")</f>
        <v>1501190010</v>
      </c>
      <c r="L545" s="613" t="str">
        <f>IFERROR(VLOOKUP(M545,'02. MM-KLH'!$B$6:$T$823,4,0),"")</f>
        <v/>
      </c>
      <c r="M545" s="488" t="s">
        <v>1344</v>
      </c>
      <c r="N545" s="615">
        <f>IFERROR(VLOOKUP(M545,'02. MM-KLH'!$B$6:$T$823,15,0),"")</f>
        <v>2019</v>
      </c>
      <c r="O545" s="616" t="str">
        <f>IFERROR(VLOOKUP(M545,'02. MM-KLH'!$B$6:$T$823,9,0),"")</f>
        <v/>
      </c>
      <c r="P545" s="613"/>
      <c r="Q545" s="566" t="s">
        <v>1565</v>
      </c>
      <c r="R545" s="566" t="s">
        <v>4158</v>
      </c>
      <c r="S545" s="613"/>
      <c r="T545" s="613"/>
      <c r="U545" s="559" t="str">
        <f>IFERROR(VLOOKUP(M545,'02. MM-KLH'!$B$6:$T$823,5,0),"")</f>
        <v>ĐQSD</v>
      </c>
      <c r="V545" s="523" t="str">
        <f>IFERROR(VLOOKUP(M545,'02. MM-KLH'!$B$6:$T$823,8,0),"")</f>
        <v>XN Chuối LP1</v>
      </c>
      <c r="W545" s="559" t="str">
        <f>IFERROR(VLOOKUP(V545,'NS QUẢN LÝ CG'!$A$4:$D$36,2,0),"")</f>
        <v>Nguyễn Ngọc Nhân</v>
      </c>
      <c r="X545" s="559" t="str">
        <f>IFERROR(VLOOKUP(V545,'NS QUẢN LÝ CG'!$A$4:$D$36,4,0),"")</f>
        <v>Lô 7 LP1</v>
      </c>
      <c r="Y545" s="559" t="str">
        <f>IFERROR(VLOOKUP(V545,'NS QUẢN LÝ CG'!$A$4:$C$36,3,0),"")</f>
        <v>0979578112</v>
      </c>
      <c r="Z545" s="523" t="str">
        <f>IFERROR(VLOOKUP(M545,'02. MM-KLH'!$B$6:$T$823,3,0),"")</f>
        <v/>
      </c>
      <c r="AA545" s="559" t="str">
        <f t="shared" ref="AA545:AA550" si="39">SWITCH(LEFT(Z545,3),"A22","ADM","A23","DP","A24","LP","")</f>
        <v/>
      </c>
      <c r="AB545" s="523"/>
      <c r="AC545" s="523"/>
    </row>
    <row r="546">
      <c r="A546" s="523"/>
      <c r="B546" s="612" t="str">
        <f>IFERROR(VLOOKUP(M546,'02. MM-KLH'!$B$6:$T$823,6,0),"")</f>
        <v>Xe nâng điện 1.5 tấn</v>
      </c>
      <c r="C546" s="566">
        <v>1.0</v>
      </c>
      <c r="D546" s="613" t="str">
        <f>IFERROR(VLOOKUP(M546,'02. MM-KLH'!$B$6:$T$823,16,0),"")</f>
        <v>ECB16S-B</v>
      </c>
      <c r="E546" s="613"/>
      <c r="F546" s="613"/>
      <c r="G546" s="561" t="s">
        <v>4158</v>
      </c>
      <c r="H546" s="613" t="str">
        <f>IFERROR(VLOOKUP(M546,'02. MM-KLH'!$B$6:$T$823,17,0),"")</f>
        <v/>
      </c>
      <c r="I546" s="614" t="str">
        <f>IFERROR(VLOOKUP(M546,'02. MM-KLH'!$B$6:$U$823,20,0),"")</f>
        <v/>
      </c>
      <c r="J546" s="612" t="str">
        <f>IFERROR(VLOOKUP(M546,'02. MM-KLH'!$B$6:$T$823,19,0),"")</f>
        <v>TS2510598-2021</v>
      </c>
      <c r="K546" s="612">
        <f>IFERROR(VLOOKUP(M546,'02. MM-KLH'!$B$6:$T$823,18,0),"")</f>
        <v>1501190005</v>
      </c>
      <c r="L546" s="613" t="str">
        <f>IFERROR(VLOOKUP(M546,'02. MM-KLH'!$B$6:$T$823,4,0),"")</f>
        <v/>
      </c>
      <c r="M546" s="488" t="s">
        <v>1492</v>
      </c>
      <c r="N546" s="615">
        <f>IFERROR(VLOOKUP(M546,'02. MM-KLH'!$B$6:$T$823,15,0),"")</f>
        <v>2019</v>
      </c>
      <c r="O546" s="616" t="str">
        <f>IFERROR(VLOOKUP(M546,'02. MM-KLH'!$B$6:$T$823,9,0),"")</f>
        <v/>
      </c>
      <c r="P546" s="613"/>
      <c r="Q546" s="566" t="s">
        <v>1565</v>
      </c>
      <c r="R546" s="566" t="s">
        <v>4158</v>
      </c>
      <c r="S546" s="613"/>
      <c r="T546" s="613"/>
      <c r="U546" s="559" t="str">
        <f>IFERROR(VLOOKUP(M546,'02. MM-KLH'!$B$6:$T$823,5,0),"")</f>
        <v>ĐQSD</v>
      </c>
      <c r="V546" s="523" t="str">
        <f>IFERROR(VLOOKUP(M546,'02. MM-KLH'!$B$6:$T$823,8,0),"")</f>
        <v>XN Chuối LP3</v>
      </c>
      <c r="W546" s="559" t="str">
        <f>IFERROR(VLOOKUP(V546,'NS QUẢN LÝ CG'!$A$4:$D$36,2,0),"")</f>
        <v>Lê Cao Nghị</v>
      </c>
      <c r="X546" s="559" t="str">
        <f>IFERROR(VLOOKUP(V546,'NS QUẢN LÝ CG'!$A$4:$D$36,4,0),"")</f>
        <v>Lô 2 LP3</v>
      </c>
      <c r="Y546" s="559" t="str">
        <f>IFERROR(VLOOKUP(V546,'NS QUẢN LÝ CG'!$A$4:$C$36,3,0),"")</f>
        <v>0977423100</v>
      </c>
      <c r="Z546" s="523" t="str">
        <f>IFERROR(VLOOKUP(M546,'02. MM-KLH'!$B$6:$T$823,3,0),"")</f>
        <v/>
      </c>
      <c r="AA546" s="559" t="str">
        <f t="shared" si="39"/>
        <v/>
      </c>
      <c r="AB546" s="523"/>
      <c r="AC546" s="523"/>
    </row>
    <row r="547">
      <c r="A547" s="523"/>
      <c r="B547" s="612" t="str">
        <f>IFERROR(VLOOKUP(M547,'02. MM-KLH'!$B$6:$T$823,6,0),"")</f>
        <v>Xe nâng điện 1.5 tấn</v>
      </c>
      <c r="C547" s="566">
        <v>1.0</v>
      </c>
      <c r="D547" s="613" t="str">
        <f>IFERROR(VLOOKUP(M547,'02. MM-KLH'!$B$6:$T$823,16,0),"")</f>
        <v>ECP16S</v>
      </c>
      <c r="E547" s="613"/>
      <c r="F547" s="613"/>
      <c r="G547" s="561" t="s">
        <v>4158</v>
      </c>
      <c r="H547" s="613" t="str">
        <f>IFERROR(VLOOKUP(M547,'02. MM-KLH'!$B$6:$T$823,17,0),"")</f>
        <v/>
      </c>
      <c r="I547" s="614" t="str">
        <f>IFERROR(VLOOKUP(M547,'02. MM-KLH'!$B$6:$U$823,20,0),"")</f>
        <v/>
      </c>
      <c r="J547" s="612" t="str">
        <f>IFERROR(VLOOKUP(M547,'02. MM-KLH'!$B$6:$T$823,19,0),"")</f>
        <v/>
      </c>
      <c r="K547" s="612">
        <f>IFERROR(VLOOKUP(M547,'02. MM-KLH'!$B$6:$T$823,18,0),"")</f>
        <v>1501190033</v>
      </c>
      <c r="L547" s="613" t="str">
        <f>IFERROR(VLOOKUP(M547,'02. MM-KLH'!$B$6:$T$823,4,0),"")</f>
        <v/>
      </c>
      <c r="M547" s="488" t="s">
        <v>2925</v>
      </c>
      <c r="N547" s="615">
        <f>IFERROR(VLOOKUP(M547,'02. MM-KLH'!$B$6:$T$823,15,0),"")</f>
        <v>2021</v>
      </c>
      <c r="O547" s="616" t="str">
        <f>IFERROR(VLOOKUP(M547,'02. MM-KLH'!$B$6:$T$823,9,0),"")</f>
        <v/>
      </c>
      <c r="P547" s="613"/>
      <c r="Q547" s="566" t="s">
        <v>1565</v>
      </c>
      <c r="R547" s="566" t="s">
        <v>4158</v>
      </c>
      <c r="S547" s="613"/>
      <c r="T547" s="613"/>
      <c r="U547" s="559" t="str">
        <f>IFERROR(VLOOKUP(M547,'02. MM-KLH'!$B$6:$T$823,5,0),"")</f>
        <v>ĐQSD</v>
      </c>
      <c r="V547" s="523" t="str">
        <f>IFERROR(VLOOKUP(M547,'02. MM-KLH'!$B$6:$T$823,8,0),"")</f>
        <v>Tổng kho</v>
      </c>
      <c r="W547" s="559" t="str">
        <f>IFERROR(VLOOKUP(V547,'NS QUẢN LÝ CG'!$A$4:$D$36,2,0),"")</f>
        <v>Võ Thanh Hiếu</v>
      </c>
      <c r="X547" s="559" t="str">
        <f>IFERROR(VLOOKUP(V547,'NS QUẢN LÝ CG'!$A$4:$D$36,4,0),"")</f>
        <v>Tổng kho KLH</v>
      </c>
      <c r="Y547" s="559" t="str">
        <f>IFERROR(VLOOKUP(V547,'NS QUẢN LÝ CG'!$A$4:$C$36,3,0),"")</f>
        <v>0884281479</v>
      </c>
      <c r="Z547" s="523" t="str">
        <f>IFERROR(VLOOKUP(M547,'02. MM-KLH'!$B$6:$T$823,3,0),"")</f>
        <v/>
      </c>
      <c r="AA547" s="559" t="str">
        <f t="shared" si="39"/>
        <v/>
      </c>
      <c r="AB547" s="523"/>
      <c r="AC547" s="523"/>
    </row>
    <row r="548">
      <c r="A548" s="523"/>
      <c r="B548" s="612" t="str">
        <f>IFERROR(VLOOKUP(M548,'02. MM-KLH'!$B$6:$T$823,6,0),"")</f>
        <v>Xe nâng điện 1.5 tấn</v>
      </c>
      <c r="C548" s="566">
        <v>1.0</v>
      </c>
      <c r="D548" s="613" t="str">
        <f>IFERROR(VLOOKUP(M548,'02. MM-KLH'!$B$6:$T$823,16,0),"")</f>
        <v>ECP16S</v>
      </c>
      <c r="E548" s="613"/>
      <c r="F548" s="613"/>
      <c r="G548" s="561" t="s">
        <v>4158</v>
      </c>
      <c r="H548" s="613" t="str">
        <f>IFERROR(VLOOKUP(M548,'02. MM-KLH'!$B$6:$T$823,17,0),"")</f>
        <v/>
      </c>
      <c r="I548" s="614" t="str">
        <f>IFERROR(VLOOKUP(M548,'02. MM-KLH'!$B$6:$U$823,20,0),"")</f>
        <v/>
      </c>
      <c r="J548" s="612" t="str">
        <f>IFERROR(VLOOKUP(M548,'02. MM-KLH'!$B$6:$T$823,19,0),"")</f>
        <v/>
      </c>
      <c r="K548" s="612">
        <f>IFERROR(VLOOKUP(M548,'02. MM-KLH'!$B$6:$T$823,18,0),"")</f>
        <v>1501190062</v>
      </c>
      <c r="L548" s="613" t="str">
        <f>IFERROR(VLOOKUP(M548,'02. MM-KLH'!$B$6:$T$823,4,0),"")</f>
        <v/>
      </c>
      <c r="M548" s="488" t="s">
        <v>2928</v>
      </c>
      <c r="N548" s="615">
        <f>IFERROR(VLOOKUP(M548,'02. MM-KLH'!$B$6:$T$823,15,0),"")</f>
        <v>2021</v>
      </c>
      <c r="O548" s="616" t="str">
        <f>IFERROR(VLOOKUP(M548,'02. MM-KLH'!$B$6:$T$823,9,0),"")</f>
        <v/>
      </c>
      <c r="P548" s="613"/>
      <c r="Q548" s="566" t="s">
        <v>1565</v>
      </c>
      <c r="R548" s="566" t="s">
        <v>4158</v>
      </c>
      <c r="S548" s="613"/>
      <c r="T548" s="613"/>
      <c r="U548" s="559" t="str">
        <f>IFERROR(VLOOKUP(M548,'02. MM-KLH'!$B$6:$T$823,5,0),"")</f>
        <v>ĐQSD</v>
      </c>
      <c r="V548" s="523" t="str">
        <f>IFERROR(VLOOKUP(M548,'02. MM-KLH'!$B$6:$T$823,8,0),"")</f>
        <v>Tổng kho</v>
      </c>
      <c r="W548" s="559" t="str">
        <f>IFERROR(VLOOKUP(V548,'NS QUẢN LÝ CG'!$A$4:$D$36,2,0),"")</f>
        <v>Võ Thanh Hiếu</v>
      </c>
      <c r="X548" s="559" t="str">
        <f>IFERROR(VLOOKUP(V548,'NS QUẢN LÝ CG'!$A$4:$D$36,4,0),"")</f>
        <v>Tổng kho KLH</v>
      </c>
      <c r="Y548" s="559" t="str">
        <f>IFERROR(VLOOKUP(V548,'NS QUẢN LÝ CG'!$A$4:$C$36,3,0),"")</f>
        <v>0884281479</v>
      </c>
      <c r="Z548" s="523" t="str">
        <f>IFERROR(VLOOKUP(M548,'02. MM-KLH'!$B$6:$T$823,3,0),"")</f>
        <v/>
      </c>
      <c r="AA548" s="559" t="str">
        <f t="shared" si="39"/>
        <v/>
      </c>
      <c r="AB548" s="523"/>
      <c r="AC548" s="523"/>
    </row>
    <row r="549">
      <c r="A549" s="523"/>
      <c r="B549" s="612" t="str">
        <f>IFERROR(VLOOKUP(M549,'02. MM-KLH'!$B$6:$T$823,6,0),"")</f>
        <v>Xe nâng điện 1.5 tấn</v>
      </c>
      <c r="C549" s="566">
        <v>1.0</v>
      </c>
      <c r="D549" s="613" t="str">
        <f>IFERROR(VLOOKUP(M549,'02. MM-KLH'!$B$6:$T$823,16,0),"")</f>
        <v>ECP16S</v>
      </c>
      <c r="E549" s="613"/>
      <c r="F549" s="613"/>
      <c r="G549" s="561" t="s">
        <v>4158</v>
      </c>
      <c r="H549" s="613" t="str">
        <f>IFERROR(VLOOKUP(M549,'02. MM-KLH'!$B$6:$T$823,17,0),"")</f>
        <v/>
      </c>
      <c r="I549" s="614" t="str">
        <f>IFERROR(VLOOKUP(M549,'02. MM-KLH'!$B$6:$U$823,20,0),"")</f>
        <v/>
      </c>
      <c r="J549" s="612" t="str">
        <f>IFERROR(VLOOKUP(M549,'02. MM-KLH'!$B$6:$T$823,19,0),"")</f>
        <v/>
      </c>
      <c r="K549" s="612">
        <f>IFERROR(VLOOKUP(M549,'02. MM-KLH'!$B$6:$T$823,18,0),"")</f>
        <v>1501190058</v>
      </c>
      <c r="L549" s="613" t="str">
        <f>IFERROR(VLOOKUP(M549,'02. MM-KLH'!$B$6:$T$823,4,0),"")</f>
        <v/>
      </c>
      <c r="M549" s="488" t="s">
        <v>2929</v>
      </c>
      <c r="N549" s="615">
        <f>IFERROR(VLOOKUP(M549,'02. MM-KLH'!$B$6:$T$823,15,0),"")</f>
        <v>2021</v>
      </c>
      <c r="O549" s="616" t="str">
        <f>IFERROR(VLOOKUP(M549,'02. MM-KLH'!$B$6:$T$823,9,0),"")</f>
        <v/>
      </c>
      <c r="P549" s="613"/>
      <c r="Q549" s="566" t="s">
        <v>1565</v>
      </c>
      <c r="R549" s="566" t="s">
        <v>4158</v>
      </c>
      <c r="S549" s="613"/>
      <c r="T549" s="613"/>
      <c r="U549" s="559" t="str">
        <f>IFERROR(VLOOKUP(M549,'02. MM-KLH'!$B$6:$T$823,5,0),"")</f>
        <v>ĐQSD</v>
      </c>
      <c r="V549" s="523" t="str">
        <f>IFERROR(VLOOKUP(M549,'02. MM-KLH'!$B$6:$T$823,8,0),"")</f>
        <v>Tổng kho</v>
      </c>
      <c r="W549" s="559" t="str">
        <f>IFERROR(VLOOKUP(V549,'NS QUẢN LÝ CG'!$A$4:$D$36,2,0),"")</f>
        <v>Võ Thanh Hiếu</v>
      </c>
      <c r="X549" s="559" t="str">
        <f>IFERROR(VLOOKUP(V549,'NS QUẢN LÝ CG'!$A$4:$D$36,4,0),"")</f>
        <v>Tổng kho KLH</v>
      </c>
      <c r="Y549" s="559" t="str">
        <f>IFERROR(VLOOKUP(V549,'NS QUẢN LÝ CG'!$A$4:$C$36,3,0),"")</f>
        <v>0884281479</v>
      </c>
      <c r="Z549" s="523" t="str">
        <f>IFERROR(VLOOKUP(M549,'02. MM-KLH'!$B$6:$T$823,3,0),"")</f>
        <v/>
      </c>
      <c r="AA549" s="559" t="str">
        <f t="shared" si="39"/>
        <v/>
      </c>
      <c r="AB549" s="523"/>
      <c r="AC549" s="523"/>
    </row>
    <row r="550">
      <c r="A550" s="523"/>
      <c r="B550" s="612" t="str">
        <f>IFERROR(VLOOKUP(M550,'02. MM-KLH'!$B$6:$T$823,6,0),"")</f>
        <v>Xe nâng điện 1.5 tấn</v>
      </c>
      <c r="C550" s="566">
        <v>1.0</v>
      </c>
      <c r="D550" s="613" t="str">
        <f>IFERROR(VLOOKUP(M550,'02. MM-KLH'!$B$6:$T$823,16,0),"")</f>
        <v>ECP16S</v>
      </c>
      <c r="E550" s="613"/>
      <c r="F550" s="613"/>
      <c r="G550" s="561" t="s">
        <v>4158</v>
      </c>
      <c r="H550" s="613" t="str">
        <f>IFERROR(VLOOKUP(M550,'02. MM-KLH'!$B$6:$T$823,17,0),"")</f>
        <v/>
      </c>
      <c r="I550" s="614" t="str">
        <f>IFERROR(VLOOKUP(M550,'02. MM-KLH'!$B$6:$U$823,20,0),"")</f>
        <v/>
      </c>
      <c r="J550" s="612" t="str">
        <f>IFERROR(VLOOKUP(M550,'02. MM-KLH'!$B$6:$T$823,19,0),"")</f>
        <v/>
      </c>
      <c r="K550" s="612">
        <f>IFERROR(VLOOKUP(M550,'02. MM-KLH'!$B$6:$T$823,18,0),"")</f>
        <v>1501190065</v>
      </c>
      <c r="L550" s="613" t="str">
        <f>IFERROR(VLOOKUP(M550,'02. MM-KLH'!$B$6:$T$823,4,0),"")</f>
        <v/>
      </c>
      <c r="M550" s="488" t="s">
        <v>2930</v>
      </c>
      <c r="N550" s="615">
        <f>IFERROR(VLOOKUP(M550,'02. MM-KLH'!$B$6:$T$823,15,0),"")</f>
        <v>2021</v>
      </c>
      <c r="O550" s="616" t="str">
        <f>IFERROR(VLOOKUP(M550,'02. MM-KLH'!$B$6:$T$823,9,0),"")</f>
        <v/>
      </c>
      <c r="P550" s="613"/>
      <c r="Q550" s="566" t="s">
        <v>1565</v>
      </c>
      <c r="R550" s="566" t="s">
        <v>4158</v>
      </c>
      <c r="S550" s="613"/>
      <c r="T550" s="613"/>
      <c r="U550" s="559" t="str">
        <f>IFERROR(VLOOKUP(M550,'02. MM-KLH'!$B$6:$T$823,5,0),"")</f>
        <v>ĐQSD</v>
      </c>
      <c r="V550" s="523" t="str">
        <f>IFERROR(VLOOKUP(M550,'02. MM-KLH'!$B$6:$T$823,8,0),"")</f>
        <v>Tổng kho</v>
      </c>
      <c r="W550" s="559" t="str">
        <f>IFERROR(VLOOKUP(V550,'NS QUẢN LÝ CG'!$A$4:$D$36,2,0),"")</f>
        <v>Võ Thanh Hiếu</v>
      </c>
      <c r="X550" s="559" t="str">
        <f>IFERROR(VLOOKUP(V550,'NS QUẢN LÝ CG'!$A$4:$D$36,4,0),"")</f>
        <v>Tổng kho KLH</v>
      </c>
      <c r="Y550" s="559" t="str">
        <f>IFERROR(VLOOKUP(V550,'NS QUẢN LÝ CG'!$A$4:$C$36,3,0),"")</f>
        <v>0884281479</v>
      </c>
      <c r="Z550" s="523" t="str">
        <f>IFERROR(VLOOKUP(M550,'02. MM-KLH'!$B$6:$T$823,3,0),"")</f>
        <v/>
      </c>
      <c r="AA550" s="559" t="str">
        <f t="shared" si="39"/>
        <v/>
      </c>
      <c r="AB550" s="523"/>
      <c r="AC550" s="523"/>
    </row>
    <row r="551">
      <c r="A551" s="523"/>
      <c r="B551" s="612" t="str">
        <f>IFERROR(VLOOKUP(M551,'02. MM-KLH'!$B$6:$T$823,6,0),"")</f>
        <v/>
      </c>
      <c r="C551" s="566"/>
      <c r="D551" s="613" t="str">
        <f>IFERROR(VLOOKUP(M551,'02. MM-KLH'!$B$6:$T$823,16,0),"")</f>
        <v/>
      </c>
      <c r="E551" s="613"/>
      <c r="F551" s="613"/>
      <c r="G551" s="613"/>
      <c r="H551" s="613" t="str">
        <f>IFERROR(VLOOKUP(M551,'02. MM-KLH'!$B$6:$T$823,17,0),"")</f>
        <v/>
      </c>
      <c r="I551" s="614" t="str">
        <f>IFERROR(VLOOKUP(M551,'02. MM-KLH'!$B$6:$U$823,20,0),"")</f>
        <v/>
      </c>
      <c r="J551" s="612" t="str">
        <f>IFERROR(VLOOKUP(M551,'02. MM-KLH'!$B$6:$T$823,19,0),"")</f>
        <v/>
      </c>
      <c r="K551" s="612" t="str">
        <f>IFERROR(VLOOKUP(M551,'02. MM-KLH'!$B$6:$T$823,18,0),"")</f>
        <v/>
      </c>
      <c r="L551" s="613" t="str">
        <f>IFERROR(VLOOKUP(M551,'02. MM-KLH'!$B$6:$T$823,4,0),"")</f>
        <v/>
      </c>
      <c r="M551" s="488"/>
      <c r="N551" s="615" t="str">
        <f>IFERROR(VLOOKUP(M551,'02. MM-KLH'!$B$6:$T$823,15,0),"")</f>
        <v/>
      </c>
      <c r="O551" s="616" t="str">
        <f>IFERROR(VLOOKUP(M551,'02. MM-KLH'!$B$6:$T$823,9,0),"")</f>
        <v/>
      </c>
      <c r="P551" s="613"/>
      <c r="Q551" s="613"/>
      <c r="R551" s="613"/>
      <c r="S551" s="613"/>
      <c r="T551" s="613"/>
      <c r="U551" s="613" t="str">
        <f>IFERROR(VLOOKUP(M551,'02. MM-KLH'!$B$6:$T$823,2,0),"")</f>
        <v/>
      </c>
      <c r="V551" s="523" t="str">
        <f>IFERROR(VLOOKUP(M551,'02. MM-KLH'!$B$6:$T$823,8,0),"")</f>
        <v/>
      </c>
      <c r="W551" s="559" t="str">
        <f>IFERROR(VLOOKUP(V551,'NS QUẢN LÝ CG'!$A$4:$D$36,2,0),"")</f>
        <v/>
      </c>
      <c r="X551" s="559" t="str">
        <f>IFERROR(VLOOKUP(V551,'NS QUẢN LÝ CG'!$A$4:$D$36,4,0),"")</f>
        <v/>
      </c>
      <c r="Y551" s="613"/>
      <c r="Z551" s="523" t="str">
        <f>IFERROR(VLOOKUP(M551,'02. MM-KLH'!$B$6:$T$823,3,0),"")</f>
        <v/>
      </c>
      <c r="AA551" s="613"/>
      <c r="AB551" s="523"/>
      <c r="AC551" s="523"/>
    </row>
    <row r="552">
      <c r="A552" s="695">
        <v>2.0</v>
      </c>
      <c r="B552" s="696" t="s">
        <v>1157</v>
      </c>
      <c r="C552" s="697">
        <f>COUNTA(B553:B567)</f>
        <v>14</v>
      </c>
      <c r="D552" s="698" t="str">
        <f>IFERROR(VLOOKUP(M552,'02. MM-KLH'!$B$6:$T$823,16,0),"")</f>
        <v/>
      </c>
      <c r="E552" s="698"/>
      <c r="F552" s="698"/>
      <c r="G552" s="698"/>
      <c r="H552" s="558" t="str">
        <f>IFERROR(VLOOKUP(M552,'02. MM-KLH'!$B$6:$T$823,17,0),"")</f>
        <v/>
      </c>
      <c r="I552" s="558" t="str">
        <f>IFERROR(VLOOKUP(M552,'02. MM-KLH'!$B$6:$U$823,20,0),"")</f>
        <v/>
      </c>
      <c r="J552" s="699" t="str">
        <f>IFERROR(VLOOKUP(M552,'02. MM-KLH'!$B$6:$T$823,19,0),"")</f>
        <v/>
      </c>
      <c r="K552" s="699" t="str">
        <f>IFERROR(VLOOKUP(M552,'02. MM-KLH'!$B$6:$T$823,18,0),"")</f>
        <v/>
      </c>
      <c r="L552" s="698" t="str">
        <f>IFERROR(VLOOKUP(M552,'02. MM-KLH'!$B$6:$T$823,4,0),"")</f>
        <v/>
      </c>
      <c r="M552" s="700"/>
      <c r="N552" s="698" t="str">
        <f>IFERROR(VLOOKUP(M552,'02. MM-KLH'!$B$6:$T$823,15,0),"")</f>
        <v/>
      </c>
      <c r="O552" s="701" t="str">
        <f>IFERROR(VLOOKUP(M552,'02. MM-KLH'!$B$6:$T$823,9,0),"")</f>
        <v/>
      </c>
      <c r="P552" s="698"/>
      <c r="Q552" s="698"/>
      <c r="R552" s="698"/>
      <c r="S552" s="698"/>
      <c r="T552" s="698"/>
      <c r="U552" s="698" t="str">
        <f>IFERROR(VLOOKUP(M552,'02. MM-KLH'!$B$6:$T$823,2,0),"")</f>
        <v/>
      </c>
      <c r="V552" s="558" t="str">
        <f>IFERROR(VLOOKUP(M552,'02. MM-KLH'!$B$6:$T$823,8,0),"")</f>
        <v/>
      </c>
      <c r="W552" s="698"/>
      <c r="X552" s="698"/>
      <c r="Y552" s="698"/>
      <c r="Z552" s="558" t="str">
        <f>IFERROR(VLOOKUP(M552,'02. MM-KLH'!$B$6:$T$823,3,0),"")</f>
        <v/>
      </c>
      <c r="AA552" s="698"/>
      <c r="AB552" s="558"/>
      <c r="AC552" s="558"/>
    </row>
    <row r="553">
      <c r="A553" s="523"/>
      <c r="B553" s="612" t="str">
        <f>IFERROR(VLOOKUP(M553,'02. MM-KLH'!$B$6:$T$823,6,0),"")</f>
        <v>Xe nâng tay điện 1.5 tấn</v>
      </c>
      <c r="C553" s="566">
        <v>1.0</v>
      </c>
      <c r="D553" s="613" t="str">
        <f>IFERROR(VLOOKUP(M553,'02. MM-KLH'!$B$6:$T$823,16,0),"")</f>
        <v>CDD15J</v>
      </c>
      <c r="E553" s="613"/>
      <c r="F553" s="613"/>
      <c r="G553" s="561" t="s">
        <v>4158</v>
      </c>
      <c r="H553" s="613" t="str">
        <f>IFERROR(VLOOKUP(M553,'02. MM-KLH'!$B$6:$T$823,17,0),"")</f>
        <v>24V-1.5T</v>
      </c>
      <c r="I553" s="614">
        <f>IFERROR(VLOOKUP(M553,'02. MM-KLH'!$B$6:$U$823,20,0),"")</f>
        <v>0</v>
      </c>
      <c r="J553" s="612" t="str">
        <f>IFERROR(VLOOKUP(M553,'02. MM-KLH'!$B$6:$T$823,19,0),"")</f>
        <v>NIL</v>
      </c>
      <c r="K553" s="612" t="str">
        <f>IFERROR(VLOOKUP(M553,'02. MM-KLH'!$B$6:$T$823,18,0),"")</f>
        <v>08015JM7921</v>
      </c>
      <c r="L553" s="613" t="str">
        <f>IFERROR(VLOOKUP(M553,'02. MM-KLH'!$B$6:$T$823,4,0),"")</f>
        <v/>
      </c>
      <c r="M553" s="488" t="s">
        <v>1153</v>
      </c>
      <c r="N553" s="615">
        <f>IFERROR(VLOOKUP(M553,'02. MM-KLH'!$B$6:$T$823,15,0),"")</f>
        <v>2022</v>
      </c>
      <c r="O553" s="616" t="str">
        <f>IFERROR(VLOOKUP(M553,'02. MM-KLH'!$B$6:$T$823,9,0),"")</f>
        <v/>
      </c>
      <c r="P553" s="613"/>
      <c r="Q553" s="566" t="s">
        <v>1565</v>
      </c>
      <c r="R553" s="613"/>
      <c r="S553" s="613"/>
      <c r="T553" s="566" t="s">
        <v>4158</v>
      </c>
      <c r="U553" s="559" t="str">
        <f>IFERROR(VLOOKUP(M553,'02. MM-KLH'!$B$6:$T$823,5,0),"")</f>
        <v>MỚI</v>
      </c>
      <c r="V553" s="523" t="str">
        <f>IFERROR(VLOOKUP(M553,'02. MM-KLH'!$B$6:$T$823,8,0),"")</f>
        <v>XN Chuối DP3</v>
      </c>
      <c r="W553" s="559" t="str">
        <f>IFERROR(VLOOKUP(V553,'NS QUẢN LÝ CG'!$A$4:$D$36,2,0),"")</f>
        <v>Thạch Ngọc Vững</v>
      </c>
      <c r="X553" s="559" t="str">
        <f>IFERROR(VLOOKUP(V553,'NS QUẢN LÝ CG'!$A$4:$D$36,4,0),"")</f>
        <v>Lô 28 DP3</v>
      </c>
      <c r="Y553" s="559" t="str">
        <f>IFERROR(VLOOKUP(V553,'NS QUẢN LÝ CG'!$A$4:$C$36,3,0),"")</f>
        <v>0975905267</v>
      </c>
      <c r="Z553" s="523" t="str">
        <f>IFERROR(VLOOKUP(M553,'02. MM-KLH'!$B$6:$T$823,3,0),"")</f>
        <v>ATT-A23-0044</v>
      </c>
      <c r="AA553" s="561" t="s">
        <v>4312</v>
      </c>
      <c r="AB553" s="523"/>
      <c r="AC553" s="523"/>
    </row>
    <row r="554">
      <c r="A554" s="523"/>
      <c r="B554" s="612" t="str">
        <f>IFERROR(VLOOKUP(M554,'02. MM-KLH'!$B$6:$T$823,6,0),"")</f>
        <v>Xe nâng dầu HELI 3.5 tấn</v>
      </c>
      <c r="C554" s="566">
        <v>1.0</v>
      </c>
      <c r="D554" s="613" t="str">
        <f>IFERROR(VLOOKUP(M554,'02. MM-KLH'!$B$6:$T$823,16,0),"")</f>
        <v>CPCD35</v>
      </c>
      <c r="E554" s="561" t="s">
        <v>4158</v>
      </c>
      <c r="F554" s="613"/>
      <c r="G554" s="613"/>
      <c r="H554" s="613" t="str">
        <f>IFERROR(VLOOKUP(M554,'02. MM-KLH'!$B$6:$T$823,17,0),"")</f>
        <v>60HP</v>
      </c>
      <c r="I554" s="614">
        <f>IFERROR(VLOOKUP(M554,'02. MM-KLH'!$B$6:$U$823,20,0),"")</f>
        <v>4</v>
      </c>
      <c r="J554" s="612" t="str">
        <f>IFERROR(VLOOKUP(M554,'02. MM-KLH'!$B$6:$T$823,19,0),"")</f>
        <v>4JG2-650393</v>
      </c>
      <c r="K554" s="612" t="str">
        <f>IFERROR(VLOOKUP(M554,'02. MM-KLH'!$B$6:$T$823,18,0),"")</f>
        <v>010353K5641</v>
      </c>
      <c r="L554" s="613" t="str">
        <f>IFERROR(VLOOKUP(M554,'02. MM-KLH'!$B$6:$T$823,4,0),"")</f>
        <v/>
      </c>
      <c r="M554" s="488" t="s">
        <v>2015</v>
      </c>
      <c r="N554" s="615">
        <f>IFERROR(VLOOKUP(M554,'02. MM-KLH'!$B$6:$T$823,15,0),"")</f>
        <v>2024</v>
      </c>
      <c r="O554" s="616">
        <f>IFERROR(VLOOKUP(M554,'02. MM-KLH'!$B$6:$T$823,9,0),"")</f>
        <v>45813</v>
      </c>
      <c r="P554" s="613"/>
      <c r="Q554" s="566" t="s">
        <v>1565</v>
      </c>
      <c r="R554" s="566" t="s">
        <v>4158</v>
      </c>
      <c r="S554" s="613"/>
      <c r="T554" s="613"/>
      <c r="U554" s="559" t="str">
        <f>IFERROR(VLOOKUP(M554,'02. MM-KLH'!$B$6:$T$823,5,0),"")</f>
        <v>MỚI</v>
      </c>
      <c r="V554" s="523" t="str">
        <f>IFERROR(VLOOKUP(M554,'02. MM-KLH'!$B$6:$T$823,8,0),"")</f>
        <v>XN Bò AD</v>
      </c>
      <c r="W554" s="559" t="str">
        <f>IFERROR(VLOOKUP(V554,'NS QUẢN LÝ CG'!$A$4:$D$36,2,0),"")</f>
        <v>Trần Văn Nam</v>
      </c>
      <c r="X554" s="559" t="str">
        <f>IFERROR(VLOOKUP(V554,'NS QUẢN LÝ CG'!$A$4:$D$36,4,0),"")</f>
        <v>Lô 28 XN Bò</v>
      </c>
      <c r="Y554" s="559" t="str">
        <f>IFERROR(VLOOKUP(V554,'NS QUẢN LÝ CG'!$A$4:$C$36,3,0),"")</f>
        <v>0971993540</v>
      </c>
      <c r="Z554" s="523" t="str">
        <f>IFERROR(VLOOKUP(M554,'02. MM-KLH'!$B$6:$T$823,3,0),"")</f>
        <v>A22-XNA-005</v>
      </c>
      <c r="AA554" s="559" t="str">
        <f t="shared" ref="AA554:AA566" si="40">SWITCH(LEFT(Z554,3),"A22","ADM","A23","DP","A24","LP","")</f>
        <v>ADM</v>
      </c>
      <c r="AB554" s="523"/>
      <c r="AC554" s="523"/>
    </row>
    <row r="555">
      <c r="A555" s="523"/>
      <c r="B555" s="612" t="str">
        <f>IFERROR(VLOOKUP(M555,'02. MM-KLH'!$B$6:$T$823,6,0),"")</f>
        <v>Xe nâng dầu HELI 3.5 tấn</v>
      </c>
      <c r="C555" s="566">
        <v>1.0</v>
      </c>
      <c r="D555" s="613" t="str">
        <f>IFERROR(VLOOKUP(M555,'02. MM-KLH'!$B$6:$T$823,16,0),"")</f>
        <v>CPCD35</v>
      </c>
      <c r="E555" s="561" t="s">
        <v>4158</v>
      </c>
      <c r="F555" s="613"/>
      <c r="G555" s="613"/>
      <c r="H555" s="613" t="str">
        <f>IFERROR(VLOOKUP(M555,'02. MM-KLH'!$B$6:$T$823,17,0),"")</f>
        <v>60HP</v>
      </c>
      <c r="I555" s="614">
        <f>IFERROR(VLOOKUP(M555,'02. MM-KLH'!$B$6:$U$823,20,0),"")</f>
        <v>4</v>
      </c>
      <c r="J555" s="612" t="str">
        <f>IFERROR(VLOOKUP(M555,'02. MM-KLH'!$B$6:$T$823,19,0),"")</f>
        <v>4JG2-649490</v>
      </c>
      <c r="K555" s="612" t="str">
        <f>IFERROR(VLOOKUP(M555,'02. MM-KLH'!$B$6:$T$823,18,0),"")</f>
        <v>010353H8176</v>
      </c>
      <c r="L555" s="613" t="str">
        <f>IFERROR(VLOOKUP(M555,'02. MM-KLH'!$B$6:$T$823,4,0),"")</f>
        <v/>
      </c>
      <c r="M555" s="488" t="s">
        <v>2022</v>
      </c>
      <c r="N555" s="615">
        <f>IFERROR(VLOOKUP(M555,'02. MM-KLH'!$B$6:$T$823,15,0),"")</f>
        <v>2024</v>
      </c>
      <c r="O555" s="616">
        <f>IFERROR(VLOOKUP(M555,'02. MM-KLH'!$B$6:$T$823,9,0),"")</f>
        <v>45813</v>
      </c>
      <c r="P555" s="613"/>
      <c r="Q555" s="566" t="s">
        <v>1565</v>
      </c>
      <c r="R555" s="566" t="s">
        <v>4158</v>
      </c>
      <c r="S555" s="613"/>
      <c r="T555" s="613"/>
      <c r="U555" s="559" t="str">
        <f>IFERROR(VLOOKUP(M555,'02. MM-KLH'!$B$6:$T$823,5,0),"")</f>
        <v>MỚI</v>
      </c>
      <c r="V555" s="523" t="str">
        <f>IFERROR(VLOOKUP(M555,'02. MM-KLH'!$B$6:$T$823,8,0),"")</f>
        <v>XN Bò AD</v>
      </c>
      <c r="W555" s="559" t="str">
        <f>IFERROR(VLOOKUP(V555,'NS QUẢN LÝ CG'!$A$4:$D$36,2,0),"")</f>
        <v>Trần Văn Nam</v>
      </c>
      <c r="X555" s="559" t="str">
        <f>IFERROR(VLOOKUP(V555,'NS QUẢN LÝ CG'!$A$4:$D$36,4,0),"")</f>
        <v>Lô 28 XN Bò</v>
      </c>
      <c r="Y555" s="559" t="str">
        <f>IFERROR(VLOOKUP(V555,'NS QUẢN LÝ CG'!$A$4:$C$36,3,0),"")</f>
        <v>0971993540</v>
      </c>
      <c r="Z555" s="523" t="str">
        <f>IFERROR(VLOOKUP(M555,'02. MM-KLH'!$B$6:$T$823,3,0),"")</f>
        <v>A22-XNA-006</v>
      </c>
      <c r="AA555" s="559" t="str">
        <f t="shared" si="40"/>
        <v>ADM</v>
      </c>
      <c r="AB555" s="523"/>
      <c r="AC555" s="523"/>
    </row>
    <row r="556">
      <c r="A556" s="523"/>
      <c r="B556" s="612" t="str">
        <f>IFERROR(VLOOKUP(M556,'02. MM-KLH'!$B$6:$T$823,6,0),"")</f>
        <v>Xe nâng dầu HELI 3.5 tấn</v>
      </c>
      <c r="C556" s="566">
        <v>1.0</v>
      </c>
      <c r="D556" s="613" t="str">
        <f>IFERROR(VLOOKUP(M556,'02. MM-KLH'!$B$6:$T$823,16,0),"")</f>
        <v>CPCD35</v>
      </c>
      <c r="E556" s="561" t="s">
        <v>4158</v>
      </c>
      <c r="F556" s="613"/>
      <c r="G556" s="613"/>
      <c r="H556" s="613" t="str">
        <f>IFERROR(VLOOKUP(M556,'02. MM-KLH'!$B$6:$T$823,17,0),"")</f>
        <v>60HP</v>
      </c>
      <c r="I556" s="614">
        <f>IFERROR(VLOOKUP(M556,'02. MM-KLH'!$B$6:$U$823,20,0),"")</f>
        <v>2.5</v>
      </c>
      <c r="J556" s="612" t="str">
        <f>IFERROR(VLOOKUP(M556,'02. MM-KLH'!$B$6:$T$823,19,0),"")</f>
        <v>CCN</v>
      </c>
      <c r="K556" s="612" t="str">
        <f>IFERROR(VLOOKUP(M556,'02. MM-KLH'!$B$6:$T$823,18,0),"")</f>
        <v>010353K6773</v>
      </c>
      <c r="L556" s="613" t="str">
        <f>IFERROR(VLOOKUP(M556,'02. MM-KLH'!$B$6:$T$823,4,0),"")</f>
        <v/>
      </c>
      <c r="M556" s="488" t="s">
        <v>2534</v>
      </c>
      <c r="N556" s="615">
        <f>IFERROR(VLOOKUP(M556,'02. MM-KLH'!$B$6:$T$823,15,0),"")</f>
        <v>2024</v>
      </c>
      <c r="O556" s="616" t="str">
        <f>IFERROR(VLOOKUP(M556,'02. MM-KLH'!$B$6:$T$823,9,0),"")</f>
        <v>18/03/2025</v>
      </c>
      <c r="P556" s="613"/>
      <c r="Q556" s="566" t="s">
        <v>1565</v>
      </c>
      <c r="R556" s="566" t="s">
        <v>4158</v>
      </c>
      <c r="S556" s="613"/>
      <c r="T556" s="613"/>
      <c r="U556" s="559" t="str">
        <f>IFERROR(VLOOKUP(M556,'02. MM-KLH'!$B$6:$T$823,5,0),"")</f>
        <v>ĐQSD</v>
      </c>
      <c r="V556" s="523" t="str">
        <f>IFERROR(VLOOKUP(M556,'02. MM-KLH'!$B$6:$T$823,8,0),"")</f>
        <v>Xưởng Cơ khí ADM&amp;LP</v>
      </c>
      <c r="W556" s="559" t="str">
        <f>IFERROR(VLOOKUP(V556,'NS QUẢN LÝ CG'!$A$4:$D$36,2,0),"")</f>
        <v/>
      </c>
      <c r="X556" s="559" t="str">
        <f>IFERROR(VLOOKUP(V556,'NS QUẢN LÝ CG'!$A$4:$D$36,4,0),"")</f>
        <v/>
      </c>
      <c r="Y556" s="559" t="str">
        <f>IFERROR(VLOOKUP(V556,'NS QUẢN LÝ CG'!$A$4:$C$36,3,0),"")</f>
        <v/>
      </c>
      <c r="Z556" s="523" t="str">
        <f>IFERROR(VLOOKUP(M556,'02. MM-KLH'!$B$6:$T$823,3,0),"")</f>
        <v>A23-XNA-001</v>
      </c>
      <c r="AA556" s="559" t="str">
        <f t="shared" si="40"/>
        <v>DP</v>
      </c>
      <c r="AB556" s="523"/>
      <c r="AC556" s="523"/>
    </row>
    <row r="557">
      <c r="A557" s="523"/>
      <c r="B557" s="612" t="str">
        <f>IFERROR(VLOOKUP(M557,'02. MM-KLH'!$B$6:$T$823,6,0),"")</f>
        <v>Xe nâng dầu HELI 5 tấn</v>
      </c>
      <c r="C557" s="566">
        <v>1.0</v>
      </c>
      <c r="D557" s="613" t="str">
        <f>IFERROR(VLOOKUP(M557,'02. MM-KLH'!$B$6:$T$823,16,0),"")</f>
        <v>CPCD50</v>
      </c>
      <c r="E557" s="561" t="s">
        <v>4158</v>
      </c>
      <c r="F557" s="613"/>
      <c r="G557" s="613"/>
      <c r="H557" s="613" t="str">
        <f>IFERROR(VLOOKUP(M557,'02. MM-KLH'!$B$6:$T$823,17,0),"")</f>
        <v>69HP</v>
      </c>
      <c r="I557" s="614">
        <f>IFERROR(VLOOKUP(M557,'02. MM-KLH'!$B$6:$U$823,20,0),"")</f>
        <v>2.5</v>
      </c>
      <c r="J557" s="612" t="str">
        <f>IFERROR(VLOOKUP(M557,'02. MM-KLH'!$B$6:$T$823,19,0),"")</f>
        <v>CCN</v>
      </c>
      <c r="K557" s="612" t="str">
        <f>IFERROR(VLOOKUP(M557,'02. MM-KLH'!$B$6:$T$823,18,0),"")</f>
        <v>010503S3572</v>
      </c>
      <c r="L557" s="613" t="str">
        <f>IFERROR(VLOOKUP(M557,'02. MM-KLH'!$B$6:$T$823,4,0),"")</f>
        <v/>
      </c>
      <c r="M557" s="488" t="s">
        <v>2538</v>
      </c>
      <c r="N557" s="615">
        <f>IFERROR(VLOOKUP(M557,'02. MM-KLH'!$B$6:$T$823,15,0),"")</f>
        <v>2026</v>
      </c>
      <c r="O557" s="616" t="str">
        <f>IFERROR(VLOOKUP(M557,'02. MM-KLH'!$B$6:$T$823,9,0),"")</f>
        <v>28/04/2026</v>
      </c>
      <c r="P557" s="613"/>
      <c r="Q557" s="566" t="s">
        <v>1565</v>
      </c>
      <c r="R557" s="566" t="s">
        <v>4158</v>
      </c>
      <c r="S557" s="613"/>
      <c r="T557" s="613"/>
      <c r="U557" s="559" t="str">
        <f>IFERROR(VLOOKUP(M557,'02. MM-KLH'!$B$6:$T$823,5,0),"")</f>
        <v>MỚI</v>
      </c>
      <c r="V557" s="523" t="str">
        <f>IFERROR(VLOOKUP(M557,'02. MM-KLH'!$B$6:$T$823,8,0),"")</f>
        <v>Xưởng Cơ khí ADM&amp;LP</v>
      </c>
      <c r="W557" s="559" t="str">
        <f>IFERROR(VLOOKUP(V557,'NS QUẢN LÝ CG'!$A$4:$D$36,2,0),"")</f>
        <v/>
      </c>
      <c r="X557" s="559" t="str">
        <f>IFERROR(VLOOKUP(V557,'NS QUẢN LÝ CG'!$A$4:$D$36,4,0),"")</f>
        <v/>
      </c>
      <c r="Y557" s="559" t="str">
        <f>IFERROR(VLOOKUP(V557,'NS QUẢN LÝ CG'!$A$4:$C$36,3,0),"")</f>
        <v/>
      </c>
      <c r="Z557" s="523" t="str">
        <f>IFERROR(VLOOKUP(M557,'02. MM-KLH'!$B$6:$T$823,3,0),"")</f>
        <v/>
      </c>
      <c r="AA557" s="559" t="str">
        <f t="shared" si="40"/>
        <v/>
      </c>
      <c r="AB557" s="523"/>
      <c r="AC557" s="523"/>
    </row>
    <row r="558">
      <c r="A558" s="523"/>
      <c r="B558" s="612" t="str">
        <f>IFERROR(VLOOKUP(M558,'02. MM-KLH'!$B$6:$T$823,6,0),"")</f>
        <v>Xe nâng điện 2.5 tấn</v>
      </c>
      <c r="C558" s="566">
        <v>1.0</v>
      </c>
      <c r="D558" s="613" t="str">
        <f>IFERROR(VLOOKUP(M558,'02. MM-KLH'!$B$6:$T$823,16,0),"")</f>
        <v>CPD25-GB2LI-H</v>
      </c>
      <c r="E558" s="613"/>
      <c r="F558" s="613"/>
      <c r="G558" s="561" t="s">
        <v>4158</v>
      </c>
      <c r="H558" s="613" t="str">
        <f>IFERROR(VLOOKUP(M558,'02. MM-KLH'!$B$6:$T$823,17,0),"")</f>
        <v/>
      </c>
      <c r="I558" s="614" t="str">
        <f>IFERROR(VLOOKUP(M558,'02. MM-KLH'!$B$6:$U$823,20,0),"")</f>
        <v/>
      </c>
      <c r="J558" s="612" t="str">
        <f>IFERROR(VLOOKUP(M558,'02. MM-KLH'!$B$6:$T$823,19,0),"")</f>
        <v/>
      </c>
      <c r="K558" s="612" t="str">
        <f>IFERROR(VLOOKUP(M558,'02. MM-KLH'!$B$6:$T$823,18,0),"")</f>
        <v>05025DF7308</v>
      </c>
      <c r="L558" s="613" t="str">
        <f>IFERROR(VLOOKUP(M558,'02. MM-KLH'!$B$6:$T$823,4,0),"")</f>
        <v/>
      </c>
      <c r="M558" s="488" t="s">
        <v>2900</v>
      </c>
      <c r="N558" s="615">
        <f>IFERROR(VLOOKUP(M558,'02. MM-KLH'!$B$6:$T$823,15,0),"")</f>
        <v>2021</v>
      </c>
      <c r="O558" s="616" t="str">
        <f>IFERROR(VLOOKUP(M558,'02. MM-KLH'!$B$6:$T$823,9,0),"")</f>
        <v/>
      </c>
      <c r="P558" s="613"/>
      <c r="Q558" s="566" t="s">
        <v>1565</v>
      </c>
      <c r="R558" s="566" t="s">
        <v>4158</v>
      </c>
      <c r="S558" s="613"/>
      <c r="T558" s="613"/>
      <c r="U558" s="559" t="str">
        <f>IFERROR(VLOOKUP(M558,'02. MM-KLH'!$B$6:$T$823,5,0),"")</f>
        <v>ĐQSD</v>
      </c>
      <c r="V558" s="523" t="str">
        <f>IFERROR(VLOOKUP(M558,'02. MM-KLH'!$B$6:$T$823,8,0),"")</f>
        <v>NM NHỰA -XỐP DP</v>
      </c>
      <c r="W558" s="559" t="str">
        <f>IFERROR(VLOOKUP(V558,'NS QUẢN LÝ CG'!$A$4:$D$36,2,0),"")</f>
        <v>Nguyễn Xuân Liêm</v>
      </c>
      <c r="X558" s="559" t="str">
        <f>IFERROR(VLOOKUP(V558,'NS QUẢN LÝ CG'!$A$4:$D$36,4,0),"")</f>
        <v>NM Nhựa</v>
      </c>
      <c r="Y558" s="559" t="str">
        <f>IFERROR(VLOOKUP(V558,'NS QUẢN LÝ CG'!$A$4:$C$36,3,0),"")</f>
        <v>0762578457</v>
      </c>
      <c r="Z558" s="523" t="str">
        <f>IFERROR(VLOOKUP(M558,'02. MM-KLH'!$B$6:$T$823,3,0),"")</f>
        <v/>
      </c>
      <c r="AA558" s="559" t="str">
        <f t="shared" si="40"/>
        <v/>
      </c>
      <c r="AB558" s="523"/>
      <c r="AC558" s="523"/>
    </row>
    <row r="559">
      <c r="A559" s="523"/>
      <c r="B559" s="612" t="str">
        <f>IFERROR(VLOOKUP(M559,'02. MM-KLH'!$B$6:$T$823,6,0),"")</f>
        <v>Xe nâng điện 2.5 tấn</v>
      </c>
      <c r="C559" s="566">
        <v>1.0</v>
      </c>
      <c r="D559" s="613" t="str">
        <f>IFERROR(VLOOKUP(M559,'02. MM-KLH'!$B$6:$T$823,16,0),"")</f>
        <v>CPD25-GB2LI-H</v>
      </c>
      <c r="E559" s="613"/>
      <c r="F559" s="613"/>
      <c r="G559" s="561" t="s">
        <v>4158</v>
      </c>
      <c r="H559" s="613" t="str">
        <f>IFERROR(VLOOKUP(M559,'02. MM-KLH'!$B$6:$T$823,17,0),"")</f>
        <v/>
      </c>
      <c r="I559" s="614" t="str">
        <f>IFERROR(VLOOKUP(M559,'02. MM-KLH'!$B$6:$U$823,20,0),"")</f>
        <v/>
      </c>
      <c r="J559" s="612" t="str">
        <f>IFERROR(VLOOKUP(M559,'02. MM-KLH'!$B$6:$T$823,19,0),"")</f>
        <v/>
      </c>
      <c r="K559" s="612" t="str">
        <f>IFERROR(VLOOKUP(M559,'02. MM-KLH'!$B$6:$T$823,18,0),"")</f>
        <v>05025DF945</v>
      </c>
      <c r="L559" s="613" t="str">
        <f>IFERROR(VLOOKUP(M559,'02. MM-KLH'!$B$6:$T$823,4,0),"")</f>
        <v/>
      </c>
      <c r="M559" s="488" t="s">
        <v>2903</v>
      </c>
      <c r="N559" s="615">
        <f>IFERROR(VLOOKUP(M559,'02. MM-KLH'!$B$6:$T$823,15,0),"")</f>
        <v>2021</v>
      </c>
      <c r="O559" s="616" t="str">
        <f>IFERROR(VLOOKUP(M559,'02. MM-KLH'!$B$6:$T$823,9,0),"")</f>
        <v/>
      </c>
      <c r="P559" s="613"/>
      <c r="Q559" s="566" t="s">
        <v>1565</v>
      </c>
      <c r="R559" s="566" t="s">
        <v>4158</v>
      </c>
      <c r="S559" s="613"/>
      <c r="T559" s="613"/>
      <c r="U559" s="559" t="str">
        <f>IFERROR(VLOOKUP(M559,'02. MM-KLH'!$B$6:$T$823,5,0),"")</f>
        <v>ĐQSD</v>
      </c>
      <c r="V559" s="523" t="str">
        <f>IFERROR(VLOOKUP(M559,'02. MM-KLH'!$B$6:$T$823,8,0),"")</f>
        <v>NM NHỰA -XỐP DP</v>
      </c>
      <c r="W559" s="559" t="str">
        <f>IFERROR(VLOOKUP(V559,'NS QUẢN LÝ CG'!$A$4:$D$36,2,0),"")</f>
        <v>Nguyễn Xuân Liêm</v>
      </c>
      <c r="X559" s="559" t="str">
        <f>IFERROR(VLOOKUP(V559,'NS QUẢN LÝ CG'!$A$4:$D$36,4,0),"")</f>
        <v>NM Nhựa</v>
      </c>
      <c r="Y559" s="559" t="str">
        <f>IFERROR(VLOOKUP(V559,'NS QUẢN LÝ CG'!$A$4:$C$36,3,0),"")</f>
        <v>0762578457</v>
      </c>
      <c r="Z559" s="523" t="str">
        <f>IFERROR(VLOOKUP(M559,'02. MM-KLH'!$B$6:$T$823,3,0),"")</f>
        <v/>
      </c>
      <c r="AA559" s="559" t="str">
        <f t="shared" si="40"/>
        <v/>
      </c>
      <c r="AB559" s="523"/>
      <c r="AC559" s="523"/>
    </row>
    <row r="560">
      <c r="A560" s="523"/>
      <c r="B560" s="612" t="str">
        <f>IFERROR(VLOOKUP(M560,'02. MM-KLH'!$B$6:$T$823,6,0),"")</f>
        <v>Xe nâng điện 2.5 tấn</v>
      </c>
      <c r="C560" s="566">
        <v>1.0</v>
      </c>
      <c r="D560" s="613" t="str">
        <f>IFERROR(VLOOKUP(M560,'02. MM-KLH'!$B$6:$T$823,16,0),"")</f>
        <v>CPD25-GB2LI-H</v>
      </c>
      <c r="E560" s="613"/>
      <c r="F560" s="613"/>
      <c r="G560" s="561" t="s">
        <v>4158</v>
      </c>
      <c r="H560" s="613" t="str">
        <f>IFERROR(VLOOKUP(M560,'02. MM-KLH'!$B$6:$T$823,17,0),"")</f>
        <v/>
      </c>
      <c r="I560" s="614" t="str">
        <f>IFERROR(VLOOKUP(M560,'02. MM-KLH'!$B$6:$U$823,20,0),"")</f>
        <v/>
      </c>
      <c r="J560" s="612" t="str">
        <f>IFERROR(VLOOKUP(M560,'02. MM-KLH'!$B$6:$T$823,19,0),"")</f>
        <v/>
      </c>
      <c r="K560" s="612" t="str">
        <f>IFERROR(VLOOKUP(M560,'02. MM-KLH'!$B$6:$T$823,18,0),"")</f>
        <v>05025DF7946</v>
      </c>
      <c r="L560" s="613" t="str">
        <f>IFERROR(VLOOKUP(M560,'02. MM-KLH'!$B$6:$T$823,4,0),"")</f>
        <v/>
      </c>
      <c r="M560" s="488" t="s">
        <v>2905</v>
      </c>
      <c r="N560" s="615">
        <f>IFERROR(VLOOKUP(M560,'02. MM-KLH'!$B$6:$T$823,15,0),"")</f>
        <v>2021</v>
      </c>
      <c r="O560" s="616" t="str">
        <f>IFERROR(VLOOKUP(M560,'02. MM-KLH'!$B$6:$T$823,9,0),"")</f>
        <v/>
      </c>
      <c r="P560" s="613"/>
      <c r="Q560" s="566" t="s">
        <v>1565</v>
      </c>
      <c r="R560" s="566" t="s">
        <v>4158</v>
      </c>
      <c r="S560" s="613"/>
      <c r="T560" s="613"/>
      <c r="U560" s="559" t="str">
        <f>IFERROR(VLOOKUP(M560,'02. MM-KLH'!$B$6:$T$823,5,0),"")</f>
        <v>ĐQSD</v>
      </c>
      <c r="V560" s="523" t="str">
        <f>IFERROR(VLOOKUP(M560,'02. MM-KLH'!$B$6:$T$823,8,0),"")</f>
        <v>NM NHỰA -XỐP DP</v>
      </c>
      <c r="W560" s="559" t="str">
        <f>IFERROR(VLOOKUP(V560,'NS QUẢN LÝ CG'!$A$4:$D$36,2,0),"")</f>
        <v>Nguyễn Xuân Liêm</v>
      </c>
      <c r="X560" s="559" t="str">
        <f>IFERROR(VLOOKUP(V560,'NS QUẢN LÝ CG'!$A$4:$D$36,4,0),"")</f>
        <v>NM Nhựa</v>
      </c>
      <c r="Y560" s="559" t="str">
        <f>IFERROR(VLOOKUP(V560,'NS QUẢN LÝ CG'!$A$4:$C$36,3,0),"")</f>
        <v>0762578457</v>
      </c>
      <c r="Z560" s="523" t="str">
        <f>IFERROR(VLOOKUP(M560,'02. MM-KLH'!$B$6:$T$823,3,0),"")</f>
        <v/>
      </c>
      <c r="AA560" s="559" t="str">
        <f t="shared" si="40"/>
        <v/>
      </c>
      <c r="AB560" s="523"/>
      <c r="AC560" s="523"/>
    </row>
    <row r="561">
      <c r="A561" s="523"/>
      <c r="B561" s="612" t="str">
        <f>IFERROR(VLOOKUP(M561,'02. MM-KLH'!$B$6:$T$823,6,0),"")</f>
        <v>Xe nâng điện 3.5 tấn</v>
      </c>
      <c r="C561" s="566">
        <v>1.0</v>
      </c>
      <c r="D561" s="613" t="str">
        <f>IFERROR(VLOOKUP(M561,'02. MM-KLH'!$B$6:$T$823,16,0),"")</f>
        <v>CPD35-GB2LI-H</v>
      </c>
      <c r="E561" s="613"/>
      <c r="F561" s="613"/>
      <c r="G561" s="561" t="s">
        <v>4158</v>
      </c>
      <c r="H561" s="613" t="str">
        <f>IFERROR(VLOOKUP(M561,'02. MM-KLH'!$B$6:$T$823,17,0),"")</f>
        <v/>
      </c>
      <c r="I561" s="614" t="str">
        <f>IFERROR(VLOOKUP(M561,'02. MM-KLH'!$B$6:$U$823,20,0),"")</f>
        <v/>
      </c>
      <c r="J561" s="612" t="str">
        <f>IFERROR(VLOOKUP(M561,'02. MM-KLH'!$B$6:$T$823,19,0),"")</f>
        <v/>
      </c>
      <c r="K561" s="612" t="str">
        <f>IFERROR(VLOOKUP(M561,'02. MM-KLH'!$B$6:$T$823,18,0),"")</f>
        <v>05035DF8691</v>
      </c>
      <c r="L561" s="613" t="str">
        <f>IFERROR(VLOOKUP(M561,'02. MM-KLH'!$B$6:$T$823,4,0),"")</f>
        <v/>
      </c>
      <c r="M561" s="488" t="s">
        <v>2907</v>
      </c>
      <c r="N561" s="615">
        <f>IFERROR(VLOOKUP(M561,'02. MM-KLH'!$B$6:$T$823,15,0),"")</f>
        <v>2021</v>
      </c>
      <c r="O561" s="616" t="str">
        <f>IFERROR(VLOOKUP(M561,'02. MM-KLH'!$B$6:$T$823,9,0),"")</f>
        <v/>
      </c>
      <c r="P561" s="613"/>
      <c r="Q561" s="566" t="s">
        <v>1565</v>
      </c>
      <c r="R561" s="566" t="s">
        <v>4158</v>
      </c>
      <c r="S561" s="613"/>
      <c r="T561" s="613"/>
      <c r="U561" s="559" t="str">
        <f>IFERROR(VLOOKUP(M561,'02. MM-KLH'!$B$6:$T$823,5,0),"")</f>
        <v>ĐQSD</v>
      </c>
      <c r="V561" s="523" t="str">
        <f>IFERROR(VLOOKUP(M561,'02. MM-KLH'!$B$6:$T$823,8,0),"")</f>
        <v>NM NHỰA -XỐP DP</v>
      </c>
      <c r="W561" s="559" t="str">
        <f>IFERROR(VLOOKUP(V561,'NS QUẢN LÝ CG'!$A$4:$D$36,2,0),"")</f>
        <v>Nguyễn Xuân Liêm</v>
      </c>
      <c r="X561" s="559" t="str">
        <f>IFERROR(VLOOKUP(V561,'NS QUẢN LÝ CG'!$A$4:$D$36,4,0),"")</f>
        <v>NM Nhựa</v>
      </c>
      <c r="Y561" s="559" t="str">
        <f>IFERROR(VLOOKUP(V561,'NS QUẢN LÝ CG'!$A$4:$C$36,3,0),"")</f>
        <v>0762578457</v>
      </c>
      <c r="Z561" s="523" t="str">
        <f>IFERROR(VLOOKUP(M561,'02. MM-KLH'!$B$6:$T$823,3,0),"")</f>
        <v/>
      </c>
      <c r="AA561" s="559" t="str">
        <f t="shared" si="40"/>
        <v/>
      </c>
      <c r="AB561" s="523"/>
      <c r="AC561" s="523"/>
    </row>
    <row r="562">
      <c r="A562" s="523"/>
      <c r="B562" s="612" t="str">
        <f>IFERROR(VLOOKUP(M562,'02. MM-KLH'!$B$6:$T$823,6,0),"")</f>
        <v>Xe nâng điện 5 tấn</v>
      </c>
      <c r="C562" s="566">
        <v>1.0</v>
      </c>
      <c r="D562" s="613" t="str">
        <f>IFERROR(VLOOKUP(M562,'02. MM-KLH'!$B$6:$T$823,16,0),"")</f>
        <v>CPD50-GB2LI</v>
      </c>
      <c r="E562" s="613"/>
      <c r="F562" s="613"/>
      <c r="G562" s="561" t="s">
        <v>4158</v>
      </c>
      <c r="H562" s="613" t="str">
        <f>IFERROR(VLOOKUP(M562,'02. MM-KLH'!$B$6:$T$823,17,0),"")</f>
        <v/>
      </c>
      <c r="I562" s="614" t="str">
        <f>IFERROR(VLOOKUP(M562,'02. MM-KLH'!$B$6:$U$823,20,0),"")</f>
        <v/>
      </c>
      <c r="J562" s="612" t="str">
        <f>IFERROR(VLOOKUP(M562,'02. MM-KLH'!$B$6:$T$823,19,0),"")</f>
        <v/>
      </c>
      <c r="K562" s="612" t="str">
        <f>IFERROR(VLOOKUP(M562,'02. MM-KLH'!$B$6:$T$823,18,0),"")</f>
        <v>05050DF9070</v>
      </c>
      <c r="L562" s="613" t="str">
        <f>IFERROR(VLOOKUP(M562,'02. MM-KLH'!$B$6:$T$823,4,0),"")</f>
        <v/>
      </c>
      <c r="M562" s="488" t="s">
        <v>2911</v>
      </c>
      <c r="N562" s="615">
        <f>IFERROR(VLOOKUP(M562,'02. MM-KLH'!$B$6:$T$823,15,0),"")</f>
        <v>2021</v>
      </c>
      <c r="O562" s="616" t="str">
        <f>IFERROR(VLOOKUP(M562,'02. MM-KLH'!$B$6:$T$823,9,0),"")</f>
        <v/>
      </c>
      <c r="P562" s="613"/>
      <c r="Q562" s="566" t="s">
        <v>1565</v>
      </c>
      <c r="R562" s="566" t="s">
        <v>4158</v>
      </c>
      <c r="S562" s="613"/>
      <c r="T562" s="613"/>
      <c r="U562" s="559" t="str">
        <f>IFERROR(VLOOKUP(M562,'02. MM-KLH'!$B$6:$T$823,5,0),"")</f>
        <v>ĐQSD</v>
      </c>
      <c r="V562" s="523" t="str">
        <f>IFERROR(VLOOKUP(M562,'02. MM-KLH'!$B$6:$T$823,8,0),"")</f>
        <v>NM NHỰA -XỐP DP</v>
      </c>
      <c r="W562" s="559" t="str">
        <f>IFERROR(VLOOKUP(V562,'NS QUẢN LÝ CG'!$A$4:$D$36,2,0),"")</f>
        <v>Nguyễn Xuân Liêm</v>
      </c>
      <c r="X562" s="559" t="str">
        <f>IFERROR(VLOOKUP(V562,'NS QUẢN LÝ CG'!$A$4:$D$36,4,0),"")</f>
        <v>NM Nhựa</v>
      </c>
      <c r="Y562" s="559" t="str">
        <f>IFERROR(VLOOKUP(V562,'NS QUẢN LÝ CG'!$A$4:$C$36,3,0),"")</f>
        <v>0762578457</v>
      </c>
      <c r="Z562" s="523" t="str">
        <f>IFERROR(VLOOKUP(M562,'02. MM-KLH'!$B$6:$T$823,3,0),"")</f>
        <v/>
      </c>
      <c r="AA562" s="559" t="str">
        <f t="shared" si="40"/>
        <v/>
      </c>
      <c r="AB562" s="523"/>
      <c r="AC562" s="523"/>
    </row>
    <row r="563">
      <c r="A563" s="523"/>
      <c r="B563" s="612" t="str">
        <f>IFERROR(VLOOKUP(M563,'02. MM-KLH'!$B$6:$T$823,6,0),"")</f>
        <v>Xe nâng điện 5 tấn</v>
      </c>
      <c r="C563" s="566">
        <v>1.0</v>
      </c>
      <c r="D563" s="613" t="str">
        <f>IFERROR(VLOOKUP(M563,'02. MM-KLH'!$B$6:$T$823,16,0),"")</f>
        <v>CPD50-GB2LI</v>
      </c>
      <c r="E563" s="613"/>
      <c r="F563" s="613"/>
      <c r="G563" s="561" t="s">
        <v>4158</v>
      </c>
      <c r="H563" s="613" t="str">
        <f>IFERROR(VLOOKUP(M563,'02. MM-KLH'!$B$6:$T$823,17,0),"")</f>
        <v/>
      </c>
      <c r="I563" s="614" t="str">
        <f>IFERROR(VLOOKUP(M563,'02. MM-KLH'!$B$6:$U$823,20,0),"")</f>
        <v/>
      </c>
      <c r="J563" s="612" t="str">
        <f>IFERROR(VLOOKUP(M563,'02. MM-KLH'!$B$6:$T$823,19,0),"")</f>
        <v/>
      </c>
      <c r="K563" s="612" t="str">
        <f>IFERROR(VLOOKUP(M563,'02. MM-KLH'!$B$6:$T$823,18,0),"")</f>
        <v>05050DF9069</v>
      </c>
      <c r="L563" s="613" t="str">
        <f>IFERROR(VLOOKUP(M563,'02. MM-KLH'!$B$6:$T$823,4,0),"")</f>
        <v/>
      </c>
      <c r="M563" s="488" t="s">
        <v>2915</v>
      </c>
      <c r="N563" s="615">
        <f>IFERROR(VLOOKUP(M563,'02. MM-KLH'!$B$6:$T$823,15,0),"")</f>
        <v>2021</v>
      </c>
      <c r="O563" s="616" t="str">
        <f>IFERROR(VLOOKUP(M563,'02. MM-KLH'!$B$6:$T$823,9,0),"")</f>
        <v/>
      </c>
      <c r="P563" s="613"/>
      <c r="Q563" s="566" t="s">
        <v>1565</v>
      </c>
      <c r="R563" s="566" t="s">
        <v>4158</v>
      </c>
      <c r="S563" s="613"/>
      <c r="T563" s="613"/>
      <c r="U563" s="559" t="str">
        <f>IFERROR(VLOOKUP(M563,'02. MM-KLH'!$B$6:$T$823,5,0),"")</f>
        <v>ĐQSD</v>
      </c>
      <c r="V563" s="523" t="str">
        <f>IFERROR(VLOOKUP(M563,'02. MM-KLH'!$B$6:$T$823,8,0),"")</f>
        <v>NM NHỰA -XỐP DP</v>
      </c>
      <c r="W563" s="559" t="str">
        <f>IFERROR(VLOOKUP(V563,'NS QUẢN LÝ CG'!$A$4:$D$36,2,0),"")</f>
        <v>Nguyễn Xuân Liêm</v>
      </c>
      <c r="X563" s="559" t="str">
        <f>IFERROR(VLOOKUP(V563,'NS QUẢN LÝ CG'!$A$4:$D$36,4,0),"")</f>
        <v>NM Nhựa</v>
      </c>
      <c r="Y563" s="559" t="str">
        <f>IFERROR(VLOOKUP(V563,'NS QUẢN LÝ CG'!$A$4:$C$36,3,0),"")</f>
        <v>0762578457</v>
      </c>
      <c r="Z563" s="523" t="str">
        <f>IFERROR(VLOOKUP(M563,'02. MM-KLH'!$B$6:$T$823,3,0),"")</f>
        <v/>
      </c>
      <c r="AA563" s="559" t="str">
        <f t="shared" si="40"/>
        <v/>
      </c>
      <c r="AB563" s="523"/>
      <c r="AC563" s="523"/>
    </row>
    <row r="564">
      <c r="A564" s="523"/>
      <c r="B564" s="612" t="str">
        <f>IFERROR(VLOOKUP(M564,'02. MM-KLH'!$B$6:$T$823,6,0),"")</f>
        <v>Xe nâng điện 1.5 tấn</v>
      </c>
      <c r="C564" s="566">
        <v>1.0</v>
      </c>
      <c r="D564" s="613" t="str">
        <f>IFERROR(VLOOKUP(M564,'02. MM-KLH'!$B$6:$T$823,16,0),"")</f>
        <v>CPD15</v>
      </c>
      <c r="E564" s="613"/>
      <c r="F564" s="613"/>
      <c r="G564" s="561" t="s">
        <v>4158</v>
      </c>
      <c r="H564" s="613" t="str">
        <f>IFERROR(VLOOKUP(M564,'02. MM-KLH'!$B$6:$T$823,17,0),"")</f>
        <v/>
      </c>
      <c r="I564" s="614" t="str">
        <f>IFERROR(VLOOKUP(M564,'02. MM-KLH'!$B$6:$U$823,20,0),"")</f>
        <v/>
      </c>
      <c r="J564" s="612" t="str">
        <f>IFERROR(VLOOKUP(M564,'02. MM-KLH'!$B$6:$T$823,19,0),"")</f>
        <v/>
      </c>
      <c r="K564" s="612">
        <f>IFERROR(VLOOKUP(M564,'02. MM-KLH'!$B$6:$T$823,18,0),"")</f>
        <v>1501190032</v>
      </c>
      <c r="L564" s="613" t="str">
        <f>IFERROR(VLOOKUP(M564,'02. MM-KLH'!$B$6:$T$823,4,0),"")</f>
        <v/>
      </c>
      <c r="M564" s="488" t="s">
        <v>2918</v>
      </c>
      <c r="N564" s="615">
        <f>IFERROR(VLOOKUP(M564,'02. MM-KLH'!$B$6:$T$823,15,0),"")</f>
        <v>2023</v>
      </c>
      <c r="O564" s="616" t="str">
        <f>IFERROR(VLOOKUP(M564,'02. MM-KLH'!$B$6:$T$823,9,0),"")</f>
        <v/>
      </c>
      <c r="P564" s="613"/>
      <c r="Q564" s="566" t="s">
        <v>1565</v>
      </c>
      <c r="R564" s="566" t="s">
        <v>4158</v>
      </c>
      <c r="S564" s="613"/>
      <c r="T564" s="613"/>
      <c r="U564" s="559" t="str">
        <f>IFERROR(VLOOKUP(M564,'02. MM-KLH'!$B$6:$T$823,5,0),"")</f>
        <v>ĐQSD</v>
      </c>
      <c r="V564" s="523" t="str">
        <f>IFERROR(VLOOKUP(M564,'02. MM-KLH'!$B$6:$T$823,8,0),"")</f>
        <v>Tổng kho</v>
      </c>
      <c r="W564" s="559" t="str">
        <f>IFERROR(VLOOKUP(V564,'NS QUẢN LÝ CG'!$A$4:$D$36,2,0),"")</f>
        <v>Võ Thanh Hiếu</v>
      </c>
      <c r="X564" s="559" t="str">
        <f>IFERROR(VLOOKUP(V564,'NS QUẢN LÝ CG'!$A$4:$D$36,4,0),"")</f>
        <v>Tổng kho KLH</v>
      </c>
      <c r="Y564" s="559" t="str">
        <f>IFERROR(VLOOKUP(V564,'NS QUẢN LÝ CG'!$A$4:$C$36,3,0),"")</f>
        <v>0884281479</v>
      </c>
      <c r="Z564" s="523" t="str">
        <f>IFERROR(VLOOKUP(M564,'02. MM-KLH'!$B$6:$T$823,3,0),"")</f>
        <v/>
      </c>
      <c r="AA564" s="559" t="str">
        <f t="shared" si="40"/>
        <v/>
      </c>
      <c r="AB564" s="523"/>
      <c r="AC564" s="523"/>
    </row>
    <row r="565">
      <c r="A565" s="523"/>
      <c r="B565" s="612" t="str">
        <f>IFERROR(VLOOKUP(M565,'02. MM-KLH'!$B$6:$T$823,6,0),"")</f>
        <v>Xe nâng điện 2.5 tấn</v>
      </c>
      <c r="C565" s="566">
        <v>1.0</v>
      </c>
      <c r="D565" s="613" t="str">
        <f>IFERROR(VLOOKUP(M565,'02. MM-KLH'!$B$6:$T$823,16,0),"")</f>
        <v>CPD25</v>
      </c>
      <c r="E565" s="613"/>
      <c r="F565" s="613"/>
      <c r="G565" s="561" t="s">
        <v>4158</v>
      </c>
      <c r="H565" s="613" t="str">
        <f>IFERROR(VLOOKUP(M565,'02. MM-KLH'!$B$6:$T$823,17,0),"")</f>
        <v/>
      </c>
      <c r="I565" s="614" t="str">
        <f>IFERROR(VLOOKUP(M565,'02. MM-KLH'!$B$6:$U$823,20,0),"")</f>
        <v/>
      </c>
      <c r="J565" s="612" t="str">
        <f>IFERROR(VLOOKUP(M565,'02. MM-KLH'!$B$6:$T$823,19,0),"")</f>
        <v/>
      </c>
      <c r="K565" s="612" t="str">
        <f>IFERROR(VLOOKUP(M565,'02. MM-KLH'!$B$6:$T$823,18,0),"")</f>
        <v>05025DH3158</v>
      </c>
      <c r="L565" s="613" t="str">
        <f>IFERROR(VLOOKUP(M565,'02. MM-KLH'!$B$6:$T$823,4,0),"")</f>
        <v/>
      </c>
      <c r="M565" s="488" t="s">
        <v>2921</v>
      </c>
      <c r="N565" s="615">
        <f>IFERROR(VLOOKUP(M565,'02. MM-KLH'!$B$6:$T$823,15,0),"")</f>
        <v>2023</v>
      </c>
      <c r="O565" s="616" t="str">
        <f>IFERROR(VLOOKUP(M565,'02. MM-KLH'!$B$6:$T$823,9,0),"")</f>
        <v/>
      </c>
      <c r="P565" s="613"/>
      <c r="Q565" s="566" t="s">
        <v>1565</v>
      </c>
      <c r="R565" s="566" t="s">
        <v>4158</v>
      </c>
      <c r="S565" s="613"/>
      <c r="T565" s="613"/>
      <c r="U565" s="559" t="str">
        <f>IFERROR(VLOOKUP(M565,'02. MM-KLH'!$B$6:$T$823,5,0),"")</f>
        <v>ĐQSD</v>
      </c>
      <c r="V565" s="523" t="str">
        <f>IFERROR(VLOOKUP(M565,'02. MM-KLH'!$B$6:$T$823,8,0),"")</f>
        <v>Tổng kho</v>
      </c>
      <c r="W565" s="559" t="str">
        <f>IFERROR(VLOOKUP(V565,'NS QUẢN LÝ CG'!$A$4:$D$36,2,0),"")</f>
        <v>Võ Thanh Hiếu</v>
      </c>
      <c r="X565" s="559" t="str">
        <f>IFERROR(VLOOKUP(V565,'NS QUẢN LÝ CG'!$A$4:$D$36,4,0),"")</f>
        <v>Tổng kho KLH</v>
      </c>
      <c r="Y565" s="559" t="str">
        <f>IFERROR(VLOOKUP(V565,'NS QUẢN LÝ CG'!$A$4:$C$36,3,0),"")</f>
        <v>0884281479</v>
      </c>
      <c r="Z565" s="523" t="str">
        <f>IFERROR(VLOOKUP(M565,'02. MM-KLH'!$B$6:$T$823,3,0),"")</f>
        <v/>
      </c>
      <c r="AA565" s="559" t="str">
        <f t="shared" si="40"/>
        <v/>
      </c>
      <c r="AB565" s="523"/>
      <c r="AC565" s="523"/>
    </row>
    <row r="566">
      <c r="A566" s="523"/>
      <c r="B566" s="612" t="str">
        <f>IFERROR(VLOOKUP(M566,'02. MM-KLH'!$B$6:$T$823,6,0),"")</f>
        <v>Xe nâng 2.5 tấn</v>
      </c>
      <c r="C566" s="566">
        <v>1.0</v>
      </c>
      <c r="D566" s="613" t="str">
        <f>IFERROR(VLOOKUP(M566,'02. MM-KLH'!$B$6:$T$823,16,0),"")</f>
        <v/>
      </c>
      <c r="E566" s="613"/>
      <c r="F566" s="613"/>
      <c r="G566" s="613"/>
      <c r="H566" s="613" t="str">
        <f>IFERROR(VLOOKUP(M566,'02. MM-KLH'!$B$6:$T$823,17,0),"")</f>
        <v/>
      </c>
      <c r="I566" s="614">
        <f>IFERROR(VLOOKUP(M566,'02. MM-KLH'!$B$6:$U$823,20,0),"")</f>
        <v>2</v>
      </c>
      <c r="J566" s="612" t="str">
        <f>IFERROR(VLOOKUP(M566,'02. MM-KLH'!$B$6:$T$823,19,0),"")</f>
        <v>CCN</v>
      </c>
      <c r="K566" s="612" t="str">
        <f>IFERROR(VLOOKUP(M566,'02. MM-KLH'!$B$6:$T$823,18,0),"")</f>
        <v>4TNE98</v>
      </c>
      <c r="L566" s="613" t="str">
        <f>IFERROR(VLOOKUP(M566,'02. MM-KLH'!$B$6:$T$823,4,0),"")</f>
        <v/>
      </c>
      <c r="M566" s="490" t="s">
        <v>2599</v>
      </c>
      <c r="N566" s="615" t="str">
        <f>IFERROR(VLOOKUP(M566,'02. MM-KLH'!$B$6:$T$823,15,0),"")</f>
        <v/>
      </c>
      <c r="O566" s="616" t="str">
        <f>IFERROR(VLOOKUP(M566,'02. MM-KLH'!$B$6:$T$823,9,0),"")</f>
        <v/>
      </c>
      <c r="P566" s="613"/>
      <c r="Q566" s="566" t="s">
        <v>1565</v>
      </c>
      <c r="R566" s="566" t="s">
        <v>4158</v>
      </c>
      <c r="S566" s="613"/>
      <c r="T566" s="613"/>
      <c r="U566" s="559" t="str">
        <f>IFERROR(VLOOKUP(M566,'02. MM-KLH'!$B$6:$T$823,5,0),"")</f>
        <v>ĐQSD</v>
      </c>
      <c r="V566" s="523" t="str">
        <f>IFERROR(VLOOKUP(M566,'02. MM-KLH'!$B$6:$T$823,8,0),"")</f>
        <v>Thagricons</v>
      </c>
      <c r="W566" s="559" t="str">
        <f>IFERROR(VLOOKUP(V566,'NS QUẢN LÝ CG'!$A$4:$D$36,2,0),"")</f>
        <v/>
      </c>
      <c r="X566" s="559" t="str">
        <f>IFERROR(VLOOKUP(V566,'NS QUẢN LÝ CG'!$A$4:$D$36,4,0),"")</f>
        <v/>
      </c>
      <c r="Y566" s="559" t="str">
        <f>IFERROR(VLOOKUP(V566,'NS QUẢN LÝ CG'!$A$4:$C$36,3,0),"")</f>
        <v/>
      </c>
      <c r="Z566" s="523" t="str">
        <f>IFERROR(VLOOKUP(M566,'02. MM-KLH'!$B$6:$T$823,3,0),"")</f>
        <v>A22-XNA-002</v>
      </c>
      <c r="AA566" s="559" t="str">
        <f t="shared" si="40"/>
        <v>ADM</v>
      </c>
      <c r="AB566" s="523"/>
      <c r="AC566" s="523"/>
    </row>
    <row r="567">
      <c r="A567" s="523"/>
      <c r="B567" s="612" t="str">
        <f>IFERROR(VLOOKUP(M567,'02. MM-KLH'!$B$6:$T$823,6,0),"")</f>
        <v/>
      </c>
      <c r="C567" s="566"/>
      <c r="D567" s="613" t="str">
        <f>IFERROR(VLOOKUP(M567,'02. MM-KLH'!$B$6:$T$823,16,0),"")</f>
        <v/>
      </c>
      <c r="E567" s="613"/>
      <c r="F567" s="613"/>
      <c r="G567" s="613"/>
      <c r="H567" s="613" t="str">
        <f>IFERROR(VLOOKUP(M567,'02. MM-KLH'!$B$6:$T$823,17,0),"")</f>
        <v/>
      </c>
      <c r="I567" s="614" t="str">
        <f>IFERROR(VLOOKUP(M567,'02. MM-KLH'!$B$6:$U$823,20,0),"")</f>
        <v/>
      </c>
      <c r="J567" s="612" t="str">
        <f>IFERROR(VLOOKUP(M567,'02. MM-KLH'!$B$6:$T$823,19,0),"")</f>
        <v/>
      </c>
      <c r="K567" s="612" t="str">
        <f>IFERROR(VLOOKUP(M567,'02. MM-KLH'!$B$6:$T$823,18,0),"")</f>
        <v/>
      </c>
      <c r="L567" s="613" t="str">
        <f>IFERROR(VLOOKUP(M567,'02. MM-KLH'!$B$6:$T$823,4,0),"")</f>
        <v/>
      </c>
      <c r="M567" s="488"/>
      <c r="N567" s="615" t="str">
        <f>IFERROR(VLOOKUP(M567,'02. MM-KLH'!$B$6:$T$823,15,0),"")</f>
        <v/>
      </c>
      <c r="O567" s="616" t="str">
        <f>IFERROR(VLOOKUP(M567,'02. MM-KLH'!$B$6:$T$823,9,0),"")</f>
        <v/>
      </c>
      <c r="P567" s="613"/>
      <c r="Q567" s="613"/>
      <c r="R567" s="613"/>
      <c r="S567" s="613"/>
      <c r="T567" s="613"/>
      <c r="U567" s="613" t="str">
        <f>IFERROR(VLOOKUP(M567,'02. MM-KLH'!$B$6:$T$823,2,0),"")</f>
        <v/>
      </c>
      <c r="V567" s="523" t="str">
        <f>IFERROR(VLOOKUP(M567,'02. MM-KLH'!$B$6:$T$823,8,0),"")</f>
        <v/>
      </c>
      <c r="W567" s="559" t="str">
        <f>IFERROR(VLOOKUP(V567,'NS QUẢN LÝ CG'!$A$4:$D$36,2,0),"")</f>
        <v/>
      </c>
      <c r="X567" s="559" t="str">
        <f>IFERROR(VLOOKUP(V567,'NS QUẢN LÝ CG'!$A$4:$D$36,4,0),"")</f>
        <v/>
      </c>
      <c r="Y567" s="613"/>
      <c r="Z567" s="523" t="str">
        <f>IFERROR(VLOOKUP(M567,'02. MM-KLH'!$B$6:$T$823,3,0),"")</f>
        <v/>
      </c>
      <c r="AA567" s="613"/>
      <c r="AB567" s="523"/>
      <c r="AC567" s="523"/>
    </row>
    <row r="568">
      <c r="A568" s="695">
        <v>3.0</v>
      </c>
      <c r="B568" s="696" t="s">
        <v>123</v>
      </c>
      <c r="C568" s="697">
        <f>COUNTA(B569:B578)</f>
        <v>8</v>
      </c>
      <c r="D568" s="698" t="str">
        <f>IFERROR(VLOOKUP(M568,'02. MM-KLH'!$B$6:$T$823,16,0),"")</f>
        <v/>
      </c>
      <c r="E568" s="698"/>
      <c r="F568" s="698"/>
      <c r="G568" s="698"/>
      <c r="H568" s="558" t="str">
        <f>IFERROR(VLOOKUP(M568,'02. MM-KLH'!$B$6:$T$823,17,0),"")</f>
        <v/>
      </c>
      <c r="I568" s="558" t="str">
        <f>IFERROR(VLOOKUP(M568,'02. MM-KLH'!$B$6:$U$823,20,0),"")</f>
        <v/>
      </c>
      <c r="J568" s="699" t="str">
        <f>IFERROR(VLOOKUP(M568,'02. MM-KLH'!$B$6:$T$823,19,0),"")</f>
        <v/>
      </c>
      <c r="K568" s="699" t="str">
        <f>IFERROR(VLOOKUP(M568,'02. MM-KLH'!$B$6:$T$823,18,0),"")</f>
        <v/>
      </c>
      <c r="L568" s="698" t="str">
        <f>IFERROR(VLOOKUP(M568,'02. MM-KLH'!$B$6:$T$823,4,0),"")</f>
        <v/>
      </c>
      <c r="M568" s="700"/>
      <c r="N568" s="698" t="str">
        <f>IFERROR(VLOOKUP(M568,'02. MM-KLH'!$B$6:$T$823,15,0),"")</f>
        <v/>
      </c>
      <c r="O568" s="701" t="str">
        <f>IFERROR(VLOOKUP(M568,'02. MM-KLH'!$B$6:$T$823,9,0),"")</f>
        <v/>
      </c>
      <c r="P568" s="698"/>
      <c r="Q568" s="698"/>
      <c r="R568" s="698"/>
      <c r="S568" s="698"/>
      <c r="T568" s="698"/>
      <c r="U568" s="698" t="str">
        <f>IFERROR(VLOOKUP(M568,'02. MM-KLH'!$B$6:$T$823,2,0),"")</f>
        <v/>
      </c>
      <c r="V568" s="558" t="str">
        <f>IFERROR(VLOOKUP(M568,'02. MM-KLH'!$B$6:$T$823,8,0),"")</f>
        <v/>
      </c>
      <c r="W568" s="698"/>
      <c r="X568" s="698"/>
      <c r="Y568" s="698"/>
      <c r="Z568" s="558" t="str">
        <f>IFERROR(VLOOKUP(M568,'02. MM-KLH'!$B$6:$T$823,3,0),"")</f>
        <v/>
      </c>
      <c r="AA568" s="698"/>
      <c r="AB568" s="558"/>
      <c r="AC568" s="558"/>
    </row>
    <row r="569">
      <c r="A569" s="523"/>
      <c r="B569" s="612" t="str">
        <f>IFERROR(VLOOKUP(M569,'02. MM-KLH'!$B$6:$T$823,6,0),"")</f>
        <v>Xe nâng điện 1.5 tấn</v>
      </c>
      <c r="C569" s="566">
        <v>1.0</v>
      </c>
      <c r="D569" s="613" t="str">
        <f>IFERROR(VLOOKUP(M569,'02. MM-KLH'!$B$6:$T$823,16,0),"")</f>
        <v>FB15EX-11</v>
      </c>
      <c r="E569" s="613"/>
      <c r="F569" s="613"/>
      <c r="G569" s="561" t="s">
        <v>4158</v>
      </c>
      <c r="H569" s="613" t="str">
        <f>IFERROR(VLOOKUP(M569,'02. MM-KLH'!$B$6:$T$823,17,0),"")</f>
        <v/>
      </c>
      <c r="I569" s="614" t="str">
        <f>IFERROR(VLOOKUP(M569,'02. MM-KLH'!$B$6:$U$823,20,0),"")</f>
        <v/>
      </c>
      <c r="J569" s="612">
        <f>IFERROR(VLOOKUP(M569,'02. MM-KLH'!$B$6:$T$823,19,0),"")</f>
        <v>39630</v>
      </c>
      <c r="K569" s="612">
        <f>IFERROR(VLOOKUP(M569,'02. MM-KLH'!$B$6:$T$823,18,0),"")</f>
        <v>809168</v>
      </c>
      <c r="L569" s="613" t="str">
        <f>IFERROR(VLOOKUP(M569,'02. MM-KLH'!$B$6:$T$823,4,0),"")</f>
        <v/>
      </c>
      <c r="M569" s="488" t="s">
        <v>1162</v>
      </c>
      <c r="N569" s="615">
        <f>IFERROR(VLOOKUP(M569,'02. MM-KLH'!$B$6:$T$823,15,0),"")</f>
        <v>2008</v>
      </c>
      <c r="O569" s="616" t="str">
        <f>IFERROR(VLOOKUP(M569,'02. MM-KLH'!$B$6:$T$823,9,0),"")</f>
        <v/>
      </c>
      <c r="P569" s="613"/>
      <c r="Q569" s="566" t="s">
        <v>1565</v>
      </c>
      <c r="R569" s="566"/>
      <c r="S569" s="613"/>
      <c r="T569" s="566" t="s">
        <v>4158</v>
      </c>
      <c r="U569" s="559" t="str">
        <f>IFERROR(VLOOKUP(M569,'02. MM-KLH'!$B$6:$T$823,5,0),"")</f>
        <v>MỚI</v>
      </c>
      <c r="V569" s="523" t="str">
        <f>IFERROR(VLOOKUP(M569,'02. MM-KLH'!$B$6:$T$823,8,0),"")</f>
        <v>XN Chuối DP3</v>
      </c>
      <c r="W569" s="559" t="str">
        <f>IFERROR(VLOOKUP(V569,'NS QUẢN LÝ CG'!$A$4:$D$36,2,0),"")</f>
        <v>Thạch Ngọc Vững</v>
      </c>
      <c r="X569" s="559" t="str">
        <f>IFERROR(VLOOKUP(V569,'NS QUẢN LÝ CG'!$A$4:$D$36,4,0),"")</f>
        <v>Lô 28 DP3</v>
      </c>
      <c r="Y569" s="559" t="str">
        <f>IFERROR(VLOOKUP(V569,'NS QUẢN LÝ CG'!$A$4:$C$36,3,0),"")</f>
        <v>0975905267</v>
      </c>
      <c r="Z569" s="523" t="str">
        <f>IFERROR(VLOOKUP(M569,'02. MM-KLH'!$B$6:$T$823,3,0),"")</f>
        <v>ATT-A23-0044</v>
      </c>
      <c r="AA569" s="561" t="s">
        <v>4312</v>
      </c>
      <c r="AB569" s="523"/>
      <c r="AC569" s="523"/>
    </row>
    <row r="570">
      <c r="A570" s="523"/>
      <c r="B570" s="612" t="str">
        <f>IFERROR(VLOOKUP(M570,'02. MM-KLH'!$B$6:$T$823,6,0),"")</f>
        <v>Xe nâng điện 1.5 tấn</v>
      </c>
      <c r="C570" s="566">
        <v>1.0</v>
      </c>
      <c r="D570" s="613" t="str">
        <f>IFERROR(VLOOKUP(M570,'02. MM-KLH'!$B$6:$T$823,16,0),"")</f>
        <v>FB15-12</v>
      </c>
      <c r="E570" s="613"/>
      <c r="F570" s="613"/>
      <c r="G570" s="561" t="s">
        <v>4158</v>
      </c>
      <c r="H570" s="613" t="str">
        <f>IFERROR(VLOOKUP(M570,'02. MM-KLH'!$B$6:$T$823,17,0),"")</f>
        <v/>
      </c>
      <c r="I570" s="614" t="str">
        <f>IFERROR(VLOOKUP(M570,'02. MM-KLH'!$B$6:$U$823,20,0),"")</f>
        <v/>
      </c>
      <c r="J570" s="612">
        <f>IFERROR(VLOOKUP(M570,'02. MM-KLH'!$B$6:$T$823,19,0),"")</f>
        <v>39114</v>
      </c>
      <c r="K570" s="612">
        <f>IFERROR(VLOOKUP(M570,'02. MM-KLH'!$B$6:$T$823,18,0),"")</f>
        <v>830261</v>
      </c>
      <c r="L570" s="613" t="str">
        <f>IFERROR(VLOOKUP(M570,'02. MM-KLH'!$B$6:$T$823,4,0),"")</f>
        <v/>
      </c>
      <c r="M570" s="488" t="s">
        <v>1488</v>
      </c>
      <c r="N570" s="615">
        <f>IFERROR(VLOOKUP(M570,'02. MM-KLH'!$B$6:$T$823,15,0),"")</f>
        <v>2007</v>
      </c>
      <c r="O570" s="616" t="str">
        <f>IFERROR(VLOOKUP(M570,'02. MM-KLH'!$B$6:$T$823,9,0),"")</f>
        <v/>
      </c>
      <c r="P570" s="613"/>
      <c r="Q570" s="566" t="s">
        <v>1565</v>
      </c>
      <c r="R570" s="566" t="s">
        <v>4158</v>
      </c>
      <c r="S570" s="613"/>
      <c r="T570" s="613"/>
      <c r="U570" s="559" t="str">
        <f>IFERROR(VLOOKUP(M570,'02. MM-KLH'!$B$6:$T$823,5,0),"")</f>
        <v>ĐQSD</v>
      </c>
      <c r="V570" s="523" t="str">
        <f>IFERROR(VLOOKUP(M570,'02. MM-KLH'!$B$6:$T$823,8,0),"")</f>
        <v>XN Chuối LP3</v>
      </c>
      <c r="W570" s="559" t="str">
        <f>IFERROR(VLOOKUP(V570,'NS QUẢN LÝ CG'!$A$4:$D$36,2,0),"")</f>
        <v>Lê Cao Nghị</v>
      </c>
      <c r="X570" s="559" t="str">
        <f>IFERROR(VLOOKUP(V570,'NS QUẢN LÝ CG'!$A$4:$D$36,4,0),"")</f>
        <v>Lô 2 LP3</v>
      </c>
      <c r="Y570" s="559" t="str">
        <f>IFERROR(VLOOKUP(V570,'NS QUẢN LÝ CG'!$A$4:$C$36,3,0),"")</f>
        <v>0977423100</v>
      </c>
      <c r="Z570" s="523" t="str">
        <f>IFERROR(VLOOKUP(M570,'02. MM-KLH'!$B$6:$T$823,3,0),"")</f>
        <v>A24-XNA-001</v>
      </c>
      <c r="AA570" s="559" t="str">
        <f>SWITCH(LEFT(Z570,3),"A22","ADM","A23","DP","A24","LP","")</f>
        <v>LP</v>
      </c>
      <c r="AB570" s="523"/>
      <c r="AC570" s="523"/>
    </row>
    <row r="571">
      <c r="A571" s="523"/>
      <c r="B571" s="612" t="str">
        <f>IFERROR(VLOOKUP(M571,'02. MM-KLH'!$B$6:$T$823,6,0),"")</f>
        <v>Xe nâng điện 1.5 tấn</v>
      </c>
      <c r="C571" s="566">
        <v>1.0</v>
      </c>
      <c r="D571" s="613" t="str">
        <f>IFERROR(VLOOKUP(M571,'02. MM-KLH'!$B$6:$T$823,16,0),"")</f>
        <v>FB15HB-12</v>
      </c>
      <c r="E571" s="613"/>
      <c r="F571" s="613"/>
      <c r="G571" s="561" t="s">
        <v>4158</v>
      </c>
      <c r="H571" s="613" t="str">
        <f>IFERROR(VLOOKUP(M571,'02. MM-KLH'!$B$6:$T$823,17,0),"")</f>
        <v>48V/280AH</v>
      </c>
      <c r="I571" s="614" t="str">
        <f>IFERROR(VLOOKUP(M571,'02. MM-KLH'!$B$6:$U$823,20,0),"")</f>
        <v/>
      </c>
      <c r="J571" s="612" t="str">
        <f>IFERROR(VLOOKUP(M571,'02. MM-KLH'!$B$6:$T$823,19,0),"")</f>
        <v>2C09/11</v>
      </c>
      <c r="K571" s="612">
        <f>IFERROR(VLOOKUP(M571,'02. MM-KLH'!$B$6:$T$823,18,0),"")</f>
        <v>838092</v>
      </c>
      <c r="L571" s="613" t="str">
        <f>IFERROR(VLOOKUP(M571,'02. MM-KLH'!$B$6:$T$823,4,0),"")</f>
        <v/>
      </c>
      <c r="M571" s="490" t="s">
        <v>1998</v>
      </c>
      <c r="N571" s="615">
        <f>IFERROR(VLOOKUP(M571,'02. MM-KLH'!$B$6:$T$823,15,0),"")</f>
        <v>2015</v>
      </c>
      <c r="O571" s="616" t="str">
        <f>IFERROR(VLOOKUP(M571,'02. MM-KLH'!$B$6:$T$823,9,0),"")</f>
        <v/>
      </c>
      <c r="P571" s="613"/>
      <c r="Q571" s="566" t="s">
        <v>1565</v>
      </c>
      <c r="R571" s="613"/>
      <c r="S571" s="566" t="s">
        <v>4158</v>
      </c>
      <c r="T571" s="613"/>
      <c r="U571" s="559" t="str">
        <f>IFERROR(VLOOKUP(M571,'02. MM-KLH'!$B$6:$T$823,5,0),"")</f>
        <v>ĐQSD</v>
      </c>
      <c r="V571" s="523" t="str">
        <f>IFERROR(VLOOKUP(M571,'02. MM-KLH'!$B$6:$T$823,8,0),"")</f>
        <v>XN Bò AD</v>
      </c>
      <c r="W571" s="559" t="str">
        <f>IFERROR(VLOOKUP(V571,'NS QUẢN LÝ CG'!$A$4:$D$36,2,0),"")</f>
        <v>Trần Văn Nam</v>
      </c>
      <c r="X571" s="559" t="str">
        <f>IFERROR(VLOOKUP(V571,'NS QUẢN LÝ CG'!$A$4:$D$36,4,0),"")</f>
        <v>Lô 28 XN Bò</v>
      </c>
      <c r="Y571" s="559" t="str">
        <f>IFERROR(VLOOKUP(V571,'NS QUẢN LÝ CG'!$A$4:$C$36,3,0),"")</f>
        <v>0971993540</v>
      </c>
      <c r="Z571" s="523" t="str">
        <f>IFERROR(VLOOKUP(M571,'02. MM-KLH'!$B$6:$T$823,3,0),"")</f>
        <v>ATT-A22-0055</v>
      </c>
      <c r="AA571" s="561" t="s">
        <v>4462</v>
      </c>
      <c r="AB571" s="523"/>
      <c r="AC571" s="523"/>
    </row>
    <row r="572">
      <c r="A572" s="523"/>
      <c r="B572" s="612" t="str">
        <f>IFERROR(VLOOKUP(M572,'02. MM-KLH'!$B$6:$T$823,6,0),"")</f>
        <v>Xe nâng 3 tấn</v>
      </c>
      <c r="C572" s="566">
        <v>1.0</v>
      </c>
      <c r="D572" s="613" t="str">
        <f>IFERROR(VLOOKUP(M572,'02. MM-KLH'!$B$6:$T$823,16,0),"")</f>
        <v>FD30T-17</v>
      </c>
      <c r="E572" s="613"/>
      <c r="F572" s="613"/>
      <c r="G572" s="561" t="s">
        <v>4158</v>
      </c>
      <c r="H572" s="613" t="str">
        <f>IFERROR(VLOOKUP(M572,'02. MM-KLH'!$B$6:$T$823,17,0),"")</f>
        <v>30HP</v>
      </c>
      <c r="I572" s="614">
        <f>IFERROR(VLOOKUP(M572,'02. MM-KLH'!$B$6:$U$823,20,0),"")</f>
        <v>2</v>
      </c>
      <c r="J572" s="612" t="str">
        <f>IFERROR(VLOOKUP(M572,'02. MM-KLH'!$B$6:$T$823,19,0),"")</f>
        <v>CCN</v>
      </c>
      <c r="K572" s="612">
        <f>IFERROR(VLOOKUP(M572,'02. MM-KLH'!$B$6:$T$823,18,0),"")</f>
        <v>308754</v>
      </c>
      <c r="L572" s="613" t="str">
        <f>IFERROR(VLOOKUP(M572,'02. MM-KLH'!$B$6:$T$823,4,0),"")</f>
        <v/>
      </c>
      <c r="M572" s="490" t="s">
        <v>2002</v>
      </c>
      <c r="N572" s="615">
        <f>IFERROR(VLOOKUP(M572,'02. MM-KLH'!$B$6:$T$823,15,0),"")</f>
        <v>2018</v>
      </c>
      <c r="O572" s="616" t="str">
        <f>IFERROR(VLOOKUP(M572,'02. MM-KLH'!$B$6:$T$823,9,0),"")</f>
        <v>15/12/2023</v>
      </c>
      <c r="P572" s="613"/>
      <c r="Q572" s="566" t="s">
        <v>1565</v>
      </c>
      <c r="R572" s="566" t="s">
        <v>4158</v>
      </c>
      <c r="S572" s="613"/>
      <c r="T572" s="613"/>
      <c r="U572" s="559" t="str">
        <f>IFERROR(VLOOKUP(M572,'02. MM-KLH'!$B$6:$T$823,5,0),"")</f>
        <v>ĐQSD</v>
      </c>
      <c r="V572" s="523" t="str">
        <f>IFERROR(VLOOKUP(M572,'02. MM-KLH'!$B$6:$T$823,8,0),"")</f>
        <v>XN Bò AD</v>
      </c>
      <c r="W572" s="559" t="str">
        <f>IFERROR(VLOOKUP(V572,'NS QUẢN LÝ CG'!$A$4:$D$36,2,0),"")</f>
        <v>Trần Văn Nam</v>
      </c>
      <c r="X572" s="559" t="str">
        <f>IFERROR(VLOOKUP(V572,'NS QUẢN LÝ CG'!$A$4:$D$36,4,0),"")</f>
        <v>Lô 28 XN Bò</v>
      </c>
      <c r="Y572" s="559" t="str">
        <f>IFERROR(VLOOKUP(V572,'NS QUẢN LÝ CG'!$A$4:$C$36,3,0),"")</f>
        <v>0971993540</v>
      </c>
      <c r="Z572" s="523" t="str">
        <f>IFERROR(VLOOKUP(M572,'02. MM-KLH'!$B$6:$T$823,3,0),"")</f>
        <v>ATT-A22-0305</v>
      </c>
      <c r="AA572" s="561" t="s">
        <v>4462</v>
      </c>
      <c r="AB572" s="523"/>
      <c r="AC572" s="523"/>
    </row>
    <row r="573">
      <c r="A573" s="523"/>
      <c r="B573" s="612" t="str">
        <f>IFERROR(VLOOKUP(M573,'02. MM-KLH'!$B$6:$T$823,6,0),"")</f>
        <v>Xe nâng điện 2.5 tấn</v>
      </c>
      <c r="C573" s="566">
        <v>1.0</v>
      </c>
      <c r="D573" s="613" t="str">
        <f>IFERROR(VLOOKUP(M573,'02. MM-KLH'!$B$6:$T$823,16,0),"")</f>
        <v>CP-CY25DC1B</v>
      </c>
      <c r="E573" s="613"/>
      <c r="F573" s="613"/>
      <c r="G573" s="561" t="s">
        <v>4158</v>
      </c>
      <c r="H573" s="613" t="str">
        <f>IFERROR(VLOOKUP(M573,'02. MM-KLH'!$B$6:$T$823,17,0),"")</f>
        <v>-</v>
      </c>
      <c r="I573" s="614" t="str">
        <f>IFERROR(VLOOKUP(M573,'02. MM-KLH'!$B$6:$U$823,20,0),"")</f>
        <v/>
      </c>
      <c r="J573" s="612" t="str">
        <f>IFERROR(VLOOKUP(M573,'02. MM-KLH'!$B$6:$T$823,19,0),"")</f>
        <v>CCN</v>
      </c>
      <c r="K573" s="612">
        <f>IFERROR(VLOOKUP(M573,'02. MM-KLH'!$B$6:$T$823,18,0),"")</f>
        <v>806003</v>
      </c>
      <c r="L573" s="613" t="str">
        <f>IFERROR(VLOOKUP(M573,'02. MM-KLH'!$B$6:$T$823,4,0),"")</f>
        <v/>
      </c>
      <c r="M573" s="490" t="s">
        <v>2007</v>
      </c>
      <c r="N573" s="615" t="str">
        <f>IFERROR(VLOOKUP(M573,'02. MM-KLH'!$B$6:$T$823,15,0),"")</f>
        <v/>
      </c>
      <c r="O573" s="616" t="str">
        <f>IFERROR(VLOOKUP(M573,'02. MM-KLH'!$B$6:$T$823,9,0),"")</f>
        <v/>
      </c>
      <c r="P573" s="613"/>
      <c r="Q573" s="566" t="s">
        <v>1565</v>
      </c>
      <c r="R573" s="613"/>
      <c r="S573" s="566" t="s">
        <v>4158</v>
      </c>
      <c r="T573" s="613"/>
      <c r="U573" s="559" t="str">
        <f>IFERROR(VLOOKUP(M573,'02. MM-KLH'!$B$6:$T$823,5,0),"")</f>
        <v>ĐQSD</v>
      </c>
      <c r="V573" s="523" t="str">
        <f>IFERROR(VLOOKUP(M573,'02. MM-KLH'!$B$6:$T$823,8,0),"")</f>
        <v>XN Bò AD</v>
      </c>
      <c r="W573" s="559" t="str">
        <f>IFERROR(VLOOKUP(V573,'NS QUẢN LÝ CG'!$A$4:$D$36,2,0),"")</f>
        <v>Trần Văn Nam</v>
      </c>
      <c r="X573" s="559" t="str">
        <f>IFERROR(VLOOKUP(V573,'NS QUẢN LÝ CG'!$A$4:$D$36,4,0),"")</f>
        <v>Lô 28 XN Bò</v>
      </c>
      <c r="Y573" s="559" t="str">
        <f>IFERROR(VLOOKUP(V573,'NS QUẢN LÝ CG'!$A$4:$C$36,3,0),"")</f>
        <v>0971993540</v>
      </c>
      <c r="Z573" s="523" t="str">
        <f>IFERROR(VLOOKUP(M573,'02. MM-KLH'!$B$6:$T$823,3,0),"")</f>
        <v>ATT-A22-0055</v>
      </c>
      <c r="AA573" s="561" t="s">
        <v>4462</v>
      </c>
      <c r="AB573" s="523"/>
      <c r="AC573" s="523"/>
    </row>
    <row r="574">
      <c r="A574" s="523"/>
      <c r="B574" s="612" t="str">
        <f>IFERROR(VLOOKUP(M574,'02. MM-KLH'!$B$6:$T$823,6,0),"")</f>
        <v>Xe nâng dầu KOMATSU 3.5 tấn</v>
      </c>
      <c r="C574" s="566">
        <v>1.0</v>
      </c>
      <c r="D574" s="613" t="str">
        <f>IFERROR(VLOOKUP(M574,'02. MM-KLH'!$B$6:$T$823,16,0),"")</f>
        <v>FH35-1</v>
      </c>
      <c r="E574" s="613"/>
      <c r="F574" s="613"/>
      <c r="G574" s="561" t="s">
        <v>4158</v>
      </c>
      <c r="H574" s="613" t="str">
        <f>IFERROR(VLOOKUP(M574,'02. MM-KLH'!$B$6:$T$823,17,0),"")</f>
        <v>70 HP</v>
      </c>
      <c r="I574" s="614">
        <f>IFERROR(VLOOKUP(M574,'02. MM-KLH'!$B$6:$U$823,20,0),"")</f>
        <v>4</v>
      </c>
      <c r="J574" s="612" t="str">
        <f>IFERROR(VLOOKUP(M574,'02. MM-KLH'!$B$6:$T$823,19,0),"")</f>
        <v>CCN</v>
      </c>
      <c r="K574" s="612">
        <f>IFERROR(VLOOKUP(M574,'02. MM-KLH'!$B$6:$T$823,18,0),"")</f>
        <v>38377</v>
      </c>
      <c r="L574" s="613" t="str">
        <f>IFERROR(VLOOKUP(M574,'02. MM-KLH'!$B$6:$T$823,4,0),"")</f>
        <v/>
      </c>
      <c r="M574" s="488" t="s">
        <v>2009</v>
      </c>
      <c r="N574" s="615">
        <f>IFERROR(VLOOKUP(M574,'02. MM-KLH'!$B$6:$T$823,15,0),"")</f>
        <v>2013</v>
      </c>
      <c r="O574" s="616" t="str">
        <f>IFERROR(VLOOKUP(M574,'02. MM-KLH'!$B$6:$T$823,9,0),"")</f>
        <v>17/01/2025</v>
      </c>
      <c r="P574" s="613"/>
      <c r="Q574" s="566" t="s">
        <v>1565</v>
      </c>
      <c r="R574" s="566" t="s">
        <v>4158</v>
      </c>
      <c r="S574" s="613"/>
      <c r="T574" s="613"/>
      <c r="U574" s="559" t="str">
        <f>IFERROR(VLOOKUP(M574,'02. MM-KLH'!$B$6:$T$823,5,0),"")</f>
        <v>ĐQSD</v>
      </c>
      <c r="V574" s="523" t="str">
        <f>IFERROR(VLOOKUP(M574,'02. MM-KLH'!$B$6:$T$823,8,0),"")</f>
        <v>XN Bò AD</v>
      </c>
      <c r="W574" s="559" t="str">
        <f>IFERROR(VLOOKUP(V574,'NS QUẢN LÝ CG'!$A$4:$D$36,2,0),"")</f>
        <v>Trần Văn Nam</v>
      </c>
      <c r="X574" s="559" t="str">
        <f>IFERROR(VLOOKUP(V574,'NS QUẢN LÝ CG'!$A$4:$D$36,4,0),"")</f>
        <v>Lô 28 XN Bò</v>
      </c>
      <c r="Y574" s="559" t="str">
        <f>IFERROR(VLOOKUP(V574,'NS QUẢN LÝ CG'!$A$4:$C$36,3,0),"")</f>
        <v>0971993540</v>
      </c>
      <c r="Z574" s="523" t="str">
        <f>IFERROR(VLOOKUP(M574,'02. MM-KLH'!$B$6:$T$823,3,0),"")</f>
        <v>A22-XNA-004</v>
      </c>
      <c r="AA574" s="559" t="str">
        <f>SWITCH(LEFT(Z574,3),"A22","ADM","A23","DP","A24","LP","")</f>
        <v>ADM</v>
      </c>
      <c r="AB574" s="523"/>
      <c r="AC574" s="523"/>
    </row>
    <row r="575">
      <c r="A575" s="523"/>
      <c r="B575" s="612" t="str">
        <f>IFERROR(VLOOKUP(M575,'02. MM-KLH'!$B$6:$T$823,6,0),"")</f>
        <v>Xe nâng điện 1.5 tấn</v>
      </c>
      <c r="C575" s="566">
        <v>1.0</v>
      </c>
      <c r="D575" s="613" t="str">
        <f>IFERROR(VLOOKUP(M575,'02. MM-KLH'!$B$6:$T$823,16,0),"")</f>
        <v>FB15EX-11</v>
      </c>
      <c r="E575" s="613"/>
      <c r="F575" s="613"/>
      <c r="G575" s="561" t="s">
        <v>4158</v>
      </c>
      <c r="H575" s="613" t="str">
        <f>IFERROR(VLOOKUP(M575,'02. MM-KLH'!$B$6:$T$823,17,0),"")</f>
        <v/>
      </c>
      <c r="I575" s="614" t="str">
        <f>IFERROR(VLOOKUP(M575,'02. MM-KLH'!$B$6:$U$823,20,0),"")</f>
        <v/>
      </c>
      <c r="J575" s="612" t="str">
        <f>IFERROR(VLOOKUP(M575,'02. MM-KLH'!$B$6:$T$823,19,0),"")</f>
        <v/>
      </c>
      <c r="K575" s="612">
        <f>IFERROR(VLOOKUP(M575,'02. MM-KLH'!$B$6:$T$823,18,0),"")</f>
        <v>809168</v>
      </c>
      <c r="L575" s="613" t="str">
        <f>IFERROR(VLOOKUP(M575,'02. MM-KLH'!$B$6:$T$823,4,0),"")</f>
        <v/>
      </c>
      <c r="M575" s="488" t="s">
        <v>2932</v>
      </c>
      <c r="N575" s="615">
        <f>IFERROR(VLOOKUP(M575,'02. MM-KLH'!$B$6:$T$823,15,0),"")</f>
        <v>2007</v>
      </c>
      <c r="O575" s="616" t="str">
        <f>IFERROR(VLOOKUP(M575,'02. MM-KLH'!$B$6:$T$823,9,0),"")</f>
        <v/>
      </c>
      <c r="P575" s="613"/>
      <c r="Q575" s="566" t="s">
        <v>1565</v>
      </c>
      <c r="R575" s="566" t="s">
        <v>4158</v>
      </c>
      <c r="S575" s="613"/>
      <c r="T575" s="613"/>
      <c r="U575" s="559" t="str">
        <f>IFERROR(VLOOKUP(M575,'02. MM-KLH'!$B$6:$T$823,5,0),"")</f>
        <v>ĐQSD</v>
      </c>
      <c r="V575" s="523" t="str">
        <f>IFERROR(VLOOKUP(M575,'02. MM-KLH'!$B$6:$T$823,8,0),"")</f>
        <v>Tổng kho</v>
      </c>
      <c r="W575" s="559" t="str">
        <f>IFERROR(VLOOKUP(V575,'NS QUẢN LÝ CG'!$A$4:$D$36,2,0),"")</f>
        <v>Võ Thanh Hiếu</v>
      </c>
      <c r="X575" s="559" t="str">
        <f>IFERROR(VLOOKUP(V575,'NS QUẢN LÝ CG'!$A$4:$D$36,4,0),"")</f>
        <v>Tổng kho KLH</v>
      </c>
      <c r="Y575" s="559" t="str">
        <f>IFERROR(VLOOKUP(V575,'NS QUẢN LÝ CG'!$A$4:$C$36,3,0),"")</f>
        <v>0884281479</v>
      </c>
      <c r="Z575" s="523" t="str">
        <f>IFERROR(VLOOKUP(M575,'02. MM-KLH'!$B$6:$T$823,3,0),"")</f>
        <v/>
      </c>
      <c r="AA575" s="613"/>
      <c r="AB575" s="523"/>
      <c r="AC575" s="523"/>
    </row>
    <row r="576">
      <c r="A576" s="523"/>
      <c r="B576" s="612" t="str">
        <f>IFERROR(VLOOKUP(M576,'02. MM-KLH'!$B$6:$T$823,6,0),"")</f>
        <v>Xe nâng điện 1.5 tấn</v>
      </c>
      <c r="C576" s="566">
        <v>1.0</v>
      </c>
      <c r="D576" s="613" t="str">
        <f>IFERROR(VLOOKUP(M576,'02. MM-KLH'!$B$6:$T$823,16,0),"")</f>
        <v>FB15HB-12</v>
      </c>
      <c r="E576" s="613"/>
      <c r="F576" s="613"/>
      <c r="G576" s="561" t="s">
        <v>4158</v>
      </c>
      <c r="H576" s="613" t="str">
        <f>IFERROR(VLOOKUP(M576,'02. MM-KLH'!$B$6:$T$823,17,0),"")</f>
        <v/>
      </c>
      <c r="I576" s="614" t="str">
        <f>IFERROR(VLOOKUP(M576,'02. MM-KLH'!$B$6:$U$823,20,0),"")</f>
        <v/>
      </c>
      <c r="J576" s="612" t="str">
        <f>IFERROR(VLOOKUP(M576,'02. MM-KLH'!$B$6:$T$823,19,0),"")</f>
        <v/>
      </c>
      <c r="K576" s="612">
        <f>IFERROR(VLOOKUP(M576,'02. MM-KLH'!$B$6:$T$823,18,0),"")</f>
        <v>841392</v>
      </c>
      <c r="L576" s="613" t="str">
        <f>IFERROR(VLOOKUP(M576,'02. MM-KLH'!$B$6:$T$823,4,0),"")</f>
        <v/>
      </c>
      <c r="M576" s="488" t="s">
        <v>2933</v>
      </c>
      <c r="N576" s="615">
        <f>IFERROR(VLOOKUP(M576,'02. MM-KLH'!$B$6:$T$823,15,0),"")</f>
        <v>2017</v>
      </c>
      <c r="O576" s="616" t="str">
        <f>IFERROR(VLOOKUP(M576,'02. MM-KLH'!$B$6:$T$823,9,0),"")</f>
        <v/>
      </c>
      <c r="P576" s="613"/>
      <c r="Q576" s="566" t="s">
        <v>1565</v>
      </c>
      <c r="R576" s="566" t="s">
        <v>4158</v>
      </c>
      <c r="S576" s="613"/>
      <c r="T576" s="613"/>
      <c r="U576" s="559" t="str">
        <f>IFERROR(VLOOKUP(M576,'02. MM-KLH'!$B$6:$T$823,5,0),"")</f>
        <v>ĐQSD</v>
      </c>
      <c r="V576" s="523" t="str">
        <f>IFERROR(VLOOKUP(M576,'02. MM-KLH'!$B$6:$T$823,8,0),"")</f>
        <v>Tổng kho</v>
      </c>
      <c r="W576" s="559" t="str">
        <f>IFERROR(VLOOKUP(V576,'NS QUẢN LÝ CG'!$A$4:$D$36,2,0),"")</f>
        <v>Võ Thanh Hiếu</v>
      </c>
      <c r="X576" s="559" t="str">
        <f>IFERROR(VLOOKUP(V576,'NS QUẢN LÝ CG'!$A$4:$D$36,4,0),"")</f>
        <v>Tổng kho KLH</v>
      </c>
      <c r="Y576" s="559" t="str">
        <f>IFERROR(VLOOKUP(V576,'NS QUẢN LÝ CG'!$A$4:$C$36,3,0),"")</f>
        <v>0884281479</v>
      </c>
      <c r="Z576" s="523" t="str">
        <f>IFERROR(VLOOKUP(M576,'02. MM-KLH'!$B$6:$T$823,3,0),"")</f>
        <v/>
      </c>
      <c r="AA576" s="613"/>
      <c r="AB576" s="523"/>
      <c r="AC576" s="523"/>
    </row>
    <row r="577">
      <c r="A577" s="523"/>
      <c r="B577" s="612" t="str">
        <f>IFERROR(VLOOKUP(M577,'02. MM-KLH'!$B$6:$T$823,6,0),"")</f>
        <v/>
      </c>
      <c r="C577" s="566"/>
      <c r="D577" s="613" t="str">
        <f>IFERROR(VLOOKUP(M577,'02. MM-KLH'!$B$6:$T$823,16,0),"")</f>
        <v/>
      </c>
      <c r="E577" s="613"/>
      <c r="F577" s="613"/>
      <c r="G577" s="613"/>
      <c r="H577" s="613" t="str">
        <f>IFERROR(VLOOKUP(M577,'02. MM-KLH'!$B$6:$T$823,17,0),"")</f>
        <v/>
      </c>
      <c r="I577" s="614" t="str">
        <f>IFERROR(VLOOKUP(M577,'02. MM-KLH'!$B$6:$U$823,20,0),"")</f>
        <v/>
      </c>
      <c r="J577" s="612" t="str">
        <f>IFERROR(VLOOKUP(M577,'02. MM-KLH'!$B$6:$T$823,19,0),"")</f>
        <v/>
      </c>
      <c r="K577" s="612" t="str">
        <f>IFERROR(VLOOKUP(M577,'02. MM-KLH'!$B$6:$T$823,18,0),"")</f>
        <v/>
      </c>
      <c r="L577" s="613" t="str">
        <f>IFERROR(VLOOKUP(M577,'02. MM-KLH'!$B$6:$T$823,4,0),"")</f>
        <v/>
      </c>
      <c r="M577" s="488"/>
      <c r="N577" s="615" t="str">
        <f>IFERROR(VLOOKUP(M577,'02. MM-KLH'!$B$6:$T$823,15,0),"")</f>
        <v/>
      </c>
      <c r="O577" s="616" t="str">
        <f>IFERROR(VLOOKUP(M577,'02. MM-KLH'!$B$6:$T$823,9,0),"")</f>
        <v/>
      </c>
      <c r="P577" s="613"/>
      <c r="Q577" s="613"/>
      <c r="R577" s="613"/>
      <c r="S577" s="613"/>
      <c r="T577" s="613"/>
      <c r="U577" s="613" t="str">
        <f>IFERROR(VLOOKUP(M577,'02. MM-KLH'!$B$6:$T$823,2,0),"")</f>
        <v/>
      </c>
      <c r="V577" s="523" t="str">
        <f>IFERROR(VLOOKUP(M577,'02. MM-KLH'!$B$6:$T$823,8,0),"")</f>
        <v/>
      </c>
      <c r="W577" s="559" t="str">
        <f>IFERROR(VLOOKUP(V577,'NS QUẢN LÝ CG'!$A$4:$D$36,2,0),"")</f>
        <v/>
      </c>
      <c r="X577" s="559" t="str">
        <f>IFERROR(VLOOKUP(V577,'NS QUẢN LÝ CG'!$A$4:$D$36,4,0),"")</f>
        <v/>
      </c>
      <c r="Y577" s="613"/>
      <c r="Z577" s="523" t="str">
        <f>IFERROR(VLOOKUP(M577,'02. MM-KLH'!$B$6:$T$823,3,0),"")</f>
        <v/>
      </c>
      <c r="AA577" s="613"/>
      <c r="AB577" s="523"/>
      <c r="AC577" s="523"/>
    </row>
    <row r="578">
      <c r="A578" s="523"/>
      <c r="B578" s="612" t="str">
        <f>IFERROR(VLOOKUP(M578,'02. MM-KLH'!$B$6:$T$823,6,0),"")</f>
        <v/>
      </c>
      <c r="C578" s="566"/>
      <c r="D578" s="613" t="str">
        <f>IFERROR(VLOOKUP(M578,'02. MM-KLH'!$B$6:$T$823,16,0),"")</f>
        <v/>
      </c>
      <c r="E578" s="613"/>
      <c r="F578" s="613"/>
      <c r="G578" s="613"/>
      <c r="H578" s="613" t="str">
        <f>IFERROR(VLOOKUP(M578,'02. MM-KLH'!$B$6:$T$823,17,0),"")</f>
        <v/>
      </c>
      <c r="I578" s="614" t="str">
        <f>IFERROR(VLOOKUP(M578,'02. MM-KLH'!$B$6:$U$823,20,0),"")</f>
        <v/>
      </c>
      <c r="J578" s="612" t="str">
        <f>IFERROR(VLOOKUP(M578,'02. MM-KLH'!$B$6:$T$823,19,0),"")</f>
        <v/>
      </c>
      <c r="K578" s="612" t="str">
        <f>IFERROR(VLOOKUP(M578,'02. MM-KLH'!$B$6:$T$823,18,0),"")</f>
        <v/>
      </c>
      <c r="L578" s="613" t="str">
        <f>IFERROR(VLOOKUP(M578,'02. MM-KLH'!$B$6:$T$823,4,0),"")</f>
        <v/>
      </c>
      <c r="M578" s="488"/>
      <c r="N578" s="615" t="str">
        <f>IFERROR(VLOOKUP(M578,'02. MM-KLH'!$B$6:$T$823,15,0),"")</f>
        <v/>
      </c>
      <c r="O578" s="616" t="str">
        <f>IFERROR(VLOOKUP(M578,'02. MM-KLH'!$B$6:$T$823,9,0),"")</f>
        <v/>
      </c>
      <c r="P578" s="613"/>
      <c r="Q578" s="613"/>
      <c r="R578" s="613"/>
      <c r="S578" s="613"/>
      <c r="T578" s="613"/>
      <c r="U578" s="613" t="str">
        <f>IFERROR(VLOOKUP(M578,'02. MM-KLH'!$B$6:$T$823,2,0),"")</f>
        <v/>
      </c>
      <c r="V578" s="523" t="str">
        <f>IFERROR(VLOOKUP(M578,'02. MM-KLH'!$B$6:$T$823,8,0),"")</f>
        <v/>
      </c>
      <c r="W578" s="559" t="str">
        <f>IFERROR(VLOOKUP(V578,'NS QUẢN LÝ CG'!$A$4:$D$36,2,0),"")</f>
        <v/>
      </c>
      <c r="X578" s="559" t="str">
        <f>IFERROR(VLOOKUP(V578,'NS QUẢN LÝ CG'!$A$4:$D$36,4,0),"")</f>
        <v/>
      </c>
      <c r="Y578" s="613"/>
      <c r="Z578" s="523" t="str">
        <f>IFERROR(VLOOKUP(M578,'02. MM-KLH'!$B$6:$T$823,3,0),"")</f>
        <v/>
      </c>
      <c r="AA578" s="613"/>
      <c r="AB578" s="523"/>
      <c r="AC578" s="523"/>
    </row>
    <row r="579">
      <c r="A579" s="695">
        <v>4.0</v>
      </c>
      <c r="B579" s="696" t="s">
        <v>2617</v>
      </c>
      <c r="C579" s="697">
        <f>COUNTA(B580:B583)</f>
        <v>3</v>
      </c>
      <c r="D579" s="698" t="str">
        <f>IFERROR(VLOOKUP(M579,'02. MM-KLH'!$B$6:$T$823,16,0),"")</f>
        <v/>
      </c>
      <c r="E579" s="698"/>
      <c r="F579" s="698"/>
      <c r="G579" s="698"/>
      <c r="H579" s="558" t="str">
        <f>IFERROR(VLOOKUP(M579,'02. MM-KLH'!$B$6:$T$823,17,0),"")</f>
        <v/>
      </c>
      <c r="I579" s="558" t="str">
        <f>IFERROR(VLOOKUP(M579,'02. MM-KLH'!$B$6:$U$823,20,0),"")</f>
        <v/>
      </c>
      <c r="J579" s="699" t="str">
        <f>IFERROR(VLOOKUP(M579,'02. MM-KLH'!$B$6:$T$823,19,0),"")</f>
        <v/>
      </c>
      <c r="K579" s="699" t="str">
        <f>IFERROR(VLOOKUP(M579,'02. MM-KLH'!$B$6:$T$823,18,0),"")</f>
        <v/>
      </c>
      <c r="L579" s="698" t="str">
        <f>IFERROR(VLOOKUP(M579,'02. MM-KLH'!$B$6:$T$823,4,0),"")</f>
        <v/>
      </c>
      <c r="M579" s="700"/>
      <c r="N579" s="698" t="str">
        <f>IFERROR(VLOOKUP(M579,'02. MM-KLH'!$B$6:$T$823,15,0),"")</f>
        <v/>
      </c>
      <c r="O579" s="701" t="str">
        <f>IFERROR(VLOOKUP(M579,'02. MM-KLH'!$B$6:$T$823,9,0),"")</f>
        <v/>
      </c>
      <c r="P579" s="698"/>
      <c r="Q579" s="698"/>
      <c r="R579" s="698"/>
      <c r="S579" s="698"/>
      <c r="T579" s="698"/>
      <c r="U579" s="698" t="str">
        <f>IFERROR(VLOOKUP(M579,'02. MM-KLH'!$B$6:$T$823,2,0),"")</f>
        <v/>
      </c>
      <c r="V579" s="558" t="str">
        <f>IFERROR(VLOOKUP(M579,'02. MM-KLH'!$B$6:$T$823,8,0),"")</f>
        <v/>
      </c>
      <c r="W579" s="698"/>
      <c r="X579" s="698"/>
      <c r="Y579" s="698"/>
      <c r="Z579" s="558" t="str">
        <f>IFERROR(VLOOKUP(M579,'02. MM-KLH'!$B$6:$T$823,3,0),"")</f>
        <v/>
      </c>
      <c r="AA579" s="698"/>
      <c r="AB579" s="558"/>
      <c r="AC579" s="558"/>
    </row>
    <row r="580">
      <c r="A580" s="523"/>
      <c r="B580" s="612" t="str">
        <f>IFERROR(VLOOKUP(M580,'02. MM-KLH'!$B$6:$T$823,6,0),"")</f>
        <v>Xe nâng dầu YALE 3.5 tấn</v>
      </c>
      <c r="C580" s="566">
        <v>1.0</v>
      </c>
      <c r="D580" s="613" t="str">
        <f>IFERROR(VLOOKUP(M580,'02. MM-KLH'!$B$6:$T$823,16,0),"")</f>
        <v/>
      </c>
      <c r="E580" s="561" t="s">
        <v>4158</v>
      </c>
      <c r="F580" s="613"/>
      <c r="G580" s="613"/>
      <c r="H580" s="613" t="str">
        <f>IFERROR(VLOOKUP(M580,'02. MM-KLH'!$B$6:$T$823,17,0),"")</f>
        <v/>
      </c>
      <c r="I580" s="614">
        <f>IFERROR(VLOOKUP(M580,'02. MM-KLH'!$B$6:$U$823,20,0),"")</f>
        <v>2.5</v>
      </c>
      <c r="J580" s="612" t="str">
        <f>IFERROR(VLOOKUP(M580,'02. MM-KLH'!$B$6:$T$823,19,0),"")</f>
        <v>4TNE98-805NNF</v>
      </c>
      <c r="K580" s="612">
        <f>IFERROR(VLOOKUP(M580,'02. MM-KLH'!$B$6:$T$823,18,0),"")</f>
        <v>31059</v>
      </c>
      <c r="L580" s="613" t="str">
        <f>IFERROR(VLOOKUP(M580,'02. MM-KLH'!$B$6:$T$823,4,0),"")</f>
        <v/>
      </c>
      <c r="M580" s="490" t="s">
        <v>2614</v>
      </c>
      <c r="N580" s="615" t="str">
        <f>IFERROR(VLOOKUP(M580,'02. MM-KLH'!$B$6:$T$823,15,0),"")</f>
        <v/>
      </c>
      <c r="O580" s="616" t="str">
        <f>IFERROR(VLOOKUP(M580,'02. MM-KLH'!$B$6:$T$823,9,0),"")</f>
        <v/>
      </c>
      <c r="P580" s="613"/>
      <c r="Q580" s="566" t="s">
        <v>1565</v>
      </c>
      <c r="R580" s="566" t="s">
        <v>4158</v>
      </c>
      <c r="S580" s="613"/>
      <c r="T580" s="613"/>
      <c r="U580" s="559" t="str">
        <f>IFERROR(VLOOKUP(M580,'02. MM-KLH'!$B$6:$T$823,5,0),"")</f>
        <v>ĐQSD</v>
      </c>
      <c r="V580" s="523" t="str">
        <f>IFERROR(VLOOKUP(M580,'02. MM-KLH'!$B$6:$T$823,8,0),"")</f>
        <v>Thagricons</v>
      </c>
      <c r="W580" s="559" t="str">
        <f>IFERROR(VLOOKUP(V580,'NS QUẢN LÝ CG'!$A$4:$C$36,2,0),"")</f>
        <v/>
      </c>
      <c r="X580" s="561" t="s">
        <v>6518</v>
      </c>
      <c r="Y580" s="559" t="str">
        <f>IFERROR(VLOOKUP(V580,'NS QUẢN LÝ CG'!$A$4:$C$36,3,0),"")</f>
        <v/>
      </c>
      <c r="Z580" s="523" t="str">
        <f>IFERROR(VLOOKUP(M580,'02. MM-KLH'!$B$6:$T$823,3,0),"")</f>
        <v>A22-XNA-001</v>
      </c>
      <c r="AA580" s="559" t="str">
        <f>SWITCH(LEFT(Z580,3),"A22","ADM","A23","DP","A24","LP","")</f>
        <v>ADM</v>
      </c>
      <c r="AB580" s="523"/>
      <c r="AC580" s="523"/>
    </row>
    <row r="581">
      <c r="A581" s="523"/>
      <c r="B581" s="612" t="str">
        <f>IFERROR(VLOOKUP(M581,'02. MM-KLH'!$B$6:$T$823,6,0),"")</f>
        <v>Xe nâng dầu YALE 3.5 tấn</v>
      </c>
      <c r="C581" s="566">
        <v>1.0</v>
      </c>
      <c r="D581" s="613" t="str">
        <f>IFERROR(VLOOKUP(M581,'02. MM-KLH'!$B$6:$T$823,16,0),"")</f>
        <v>GDP35MX</v>
      </c>
      <c r="E581" s="561" t="s">
        <v>4158</v>
      </c>
      <c r="F581" s="613"/>
      <c r="G581" s="613"/>
      <c r="H581" s="613" t="str">
        <f>IFERROR(VLOOKUP(M581,'02. MM-KLH'!$B$6:$T$823,17,0),"")</f>
        <v>58HP</v>
      </c>
      <c r="I581" s="614">
        <f>IFERROR(VLOOKUP(M581,'02. MM-KLH'!$B$6:$U$823,20,0),"")</f>
        <v>2.5</v>
      </c>
      <c r="J581" s="612" t="str">
        <f>IFERROR(VLOOKUP(M581,'02. MM-KLH'!$B$6:$T$823,19,0),"")</f>
        <v>CCN</v>
      </c>
      <c r="K581" s="612" t="str">
        <f>IFERROR(VLOOKUP(M581,'02. MM-KLH'!$B$6:$T$823,18,0),"")</f>
        <v>D871R15794W</v>
      </c>
      <c r="L581" s="613" t="str">
        <f>IFERROR(VLOOKUP(M581,'02. MM-KLH'!$B$6:$T$823,4,0),"")</f>
        <v/>
      </c>
      <c r="M581" s="488" t="s">
        <v>2896</v>
      </c>
      <c r="N581" s="615">
        <f>IFERROR(VLOOKUP(M581,'02. MM-KLH'!$B$6:$T$823,15,0),"")</f>
        <v>2022</v>
      </c>
      <c r="O581" s="616">
        <f>IFERROR(VLOOKUP(M581,'02. MM-KLH'!$B$6:$T$823,9,0),"")</f>
        <v>45931</v>
      </c>
      <c r="P581" s="613"/>
      <c r="Q581" s="566" t="s">
        <v>1565</v>
      </c>
      <c r="R581" s="566" t="s">
        <v>4158</v>
      </c>
      <c r="S581" s="613"/>
      <c r="T581" s="613"/>
      <c r="U581" s="559" t="str">
        <f>IFERROR(VLOOKUP(M581,'02. MM-KLH'!$B$6:$T$823,5,0),"")</f>
        <v>ĐQSD</v>
      </c>
      <c r="V581" s="523" t="str">
        <f>IFERROR(VLOOKUP(M581,'02. MM-KLH'!$B$6:$T$823,8,0),"")</f>
        <v>NM NHỰA -XỐP DP</v>
      </c>
      <c r="W581" s="559" t="str">
        <f>IFERROR(VLOOKUP(V581,'NS QUẢN LÝ CG'!$A$4:$C$36,2,0),"")</f>
        <v>Nguyễn Xuân Liêm</v>
      </c>
      <c r="X581" s="561" t="s">
        <v>6527</v>
      </c>
      <c r="Y581" s="559" t="str">
        <f>IFERROR(VLOOKUP(V581,'NS QUẢN LÝ CG'!$A$4:$C$36,3,0),"")</f>
        <v>0762578457</v>
      </c>
      <c r="Z581" s="523" t="str">
        <f>IFERROR(VLOOKUP(M581,'02. MM-KLH'!$B$6:$T$823,3,0),"")</f>
        <v/>
      </c>
      <c r="AA581" s="613"/>
      <c r="AB581" s="523"/>
      <c r="AC581" s="523"/>
    </row>
    <row r="582">
      <c r="A582" s="523"/>
      <c r="B582" s="612" t="str">
        <f>IFERROR(VLOOKUP(M582,'02. MM-KLH'!$B$6:$T$823,6,0),"")</f>
        <v>Xe nâng 3.5T-CĐ18</v>
      </c>
      <c r="C582" s="566">
        <v>1.0</v>
      </c>
      <c r="D582" s="613" t="str">
        <f>IFERROR(VLOOKUP(M582,'02. MM-KLH'!$B$6:$T$823,16,0),"")</f>
        <v/>
      </c>
      <c r="E582" s="561" t="s">
        <v>4158</v>
      </c>
      <c r="F582" s="613"/>
      <c r="G582" s="613"/>
      <c r="H582" s="613" t="str">
        <f>IFERROR(VLOOKUP(M582,'02. MM-KLH'!$B$6:$T$823,17,0),"")</f>
        <v/>
      </c>
      <c r="I582" s="614">
        <f>IFERROR(VLOOKUP(M582,'02. MM-KLH'!$B$6:$U$823,20,0),"")</f>
        <v>2.5</v>
      </c>
      <c r="J582" s="612" t="str">
        <f>IFERROR(VLOOKUP(M582,'02. MM-KLH'!$B$6:$T$823,19,0),"")</f>
        <v/>
      </c>
      <c r="K582" s="612" t="str">
        <f>IFERROR(VLOOKUP(M582,'02. MM-KLH'!$B$6:$T$823,18,0),"")</f>
        <v/>
      </c>
      <c r="L582" s="613" t="str">
        <f>IFERROR(VLOOKUP(M582,'02. MM-KLH'!$B$6:$T$823,4,0),"")</f>
        <v/>
      </c>
      <c r="M582" s="488" t="s">
        <v>2802</v>
      </c>
      <c r="N582" s="615" t="str">
        <f>IFERROR(VLOOKUP(M582,'02. MM-KLH'!$B$6:$T$823,15,0),"")</f>
        <v/>
      </c>
      <c r="O582" s="616" t="str">
        <f>IFERROR(VLOOKUP(M582,'02. MM-KLH'!$B$6:$T$823,9,0),"")</f>
        <v>Đã qua sử dụng</v>
      </c>
      <c r="P582" s="613"/>
      <c r="Q582" s="566" t="s">
        <v>1565</v>
      </c>
      <c r="R582" s="566" t="s">
        <v>4158</v>
      </c>
      <c r="S582" s="613"/>
      <c r="T582" s="613"/>
      <c r="U582" s="559" t="str">
        <f>IFERROR(VLOOKUP(M582,'02. MM-KLH'!$B$6:$T$823,5,0),"")</f>
        <v>ĐQSD</v>
      </c>
      <c r="V582" s="523" t="str">
        <f>IFERROR(VLOOKUP(M582,'02. MM-KLH'!$B$6:$T$823,8,0),"")</f>
        <v>Thadicons A&amp;I</v>
      </c>
      <c r="W582" s="559" t="str">
        <f>IFERROR(VLOOKUP(V582,'NS QUẢN LÝ CG'!$A$4:$C$36,2,0),"")</f>
        <v/>
      </c>
      <c r="X582" s="561" t="s">
        <v>6518</v>
      </c>
      <c r="Y582" s="559" t="str">
        <f>IFERROR(VLOOKUP(V582,'NS QUẢN LÝ CG'!$A$4:$C$36,3,0),"")</f>
        <v/>
      </c>
      <c r="Z582" s="523" t="str">
        <f>IFERROR(VLOOKUP(M582,'02. MM-KLH'!$B$6:$T$823,3,0),"")</f>
        <v>-</v>
      </c>
      <c r="AA582" s="613"/>
      <c r="AB582" s="523"/>
      <c r="AC582" s="523"/>
    </row>
    <row r="583">
      <c r="A583" s="523"/>
      <c r="B583" s="612" t="str">
        <f>IFERROR(VLOOKUP(M583,'02. MM-KLH'!$B$6:$T$823,6,0),"")</f>
        <v/>
      </c>
      <c r="C583" s="566"/>
      <c r="D583" s="613" t="str">
        <f>IFERROR(VLOOKUP(M583,'02. MM-KLH'!$B$6:$T$823,16,0),"")</f>
        <v/>
      </c>
      <c r="E583" s="613"/>
      <c r="F583" s="613"/>
      <c r="G583" s="613"/>
      <c r="H583" s="613" t="str">
        <f>IFERROR(VLOOKUP(M583,'02. MM-KLH'!$B$6:$T$823,17,0),"")</f>
        <v/>
      </c>
      <c r="I583" s="614" t="str">
        <f>IFERROR(VLOOKUP(M583,'02. MM-KLH'!$B$6:$U$823,20,0),"")</f>
        <v/>
      </c>
      <c r="J583" s="612" t="str">
        <f>IFERROR(VLOOKUP(M583,'02. MM-KLH'!$B$6:$T$823,19,0),"")</f>
        <v/>
      </c>
      <c r="K583" s="612" t="str">
        <f>IFERROR(VLOOKUP(M583,'02. MM-KLH'!$B$6:$T$823,18,0),"")</f>
        <v/>
      </c>
      <c r="L583" s="613" t="str">
        <f>IFERROR(VLOOKUP(M583,'02. MM-KLH'!$B$6:$T$823,4,0),"")</f>
        <v/>
      </c>
      <c r="M583" s="488"/>
      <c r="N583" s="615" t="str">
        <f>IFERROR(VLOOKUP(M583,'02. MM-KLH'!$B$6:$T$823,15,0),"")</f>
        <v/>
      </c>
      <c r="O583" s="616" t="str">
        <f>IFERROR(VLOOKUP(M583,'02. MM-KLH'!$B$6:$T$823,9,0),"")</f>
        <v/>
      </c>
      <c r="P583" s="613"/>
      <c r="Q583" s="613"/>
      <c r="R583" s="613"/>
      <c r="S583" s="613"/>
      <c r="T583" s="613"/>
      <c r="U583" s="613" t="str">
        <f>IFERROR(VLOOKUP(M583,'02. MM-KLH'!$B$6:$T$823,2,0),"")</f>
        <v/>
      </c>
      <c r="V583" s="523" t="str">
        <f>IFERROR(VLOOKUP(M583,'02. MM-KLH'!$B$6:$T$823,8,0),"")</f>
        <v/>
      </c>
      <c r="W583" s="613"/>
      <c r="X583" s="613"/>
      <c r="Y583" s="613"/>
      <c r="Z583" s="523" t="str">
        <f>IFERROR(VLOOKUP(M583,'02. MM-KLH'!$B$6:$T$823,3,0),"")</f>
        <v/>
      </c>
      <c r="AA583" s="613"/>
      <c r="AB583" s="523"/>
      <c r="AC583" s="523"/>
    </row>
    <row r="584">
      <c r="A584" s="695">
        <v>5.0</v>
      </c>
      <c r="B584" s="696" t="s">
        <v>739</v>
      </c>
      <c r="C584" s="697">
        <f>COUNTA(B585:B593)</f>
        <v>7</v>
      </c>
      <c r="D584" s="698" t="str">
        <f>IFERROR(VLOOKUP(M584,'02. MM-KLH'!$B$6:$T$823,16,0),"")</f>
        <v/>
      </c>
      <c r="E584" s="698"/>
      <c r="F584" s="698"/>
      <c r="G584" s="698"/>
      <c r="H584" s="558" t="str">
        <f>IFERROR(VLOOKUP(M584,'02. MM-KLH'!$B$6:$T$823,17,0),"")</f>
        <v/>
      </c>
      <c r="I584" s="558" t="str">
        <f>IFERROR(VLOOKUP(M584,'02. MM-KLH'!$B$6:$U$823,20,0),"")</f>
        <v/>
      </c>
      <c r="J584" s="699" t="str">
        <f>IFERROR(VLOOKUP(M584,'02. MM-KLH'!$B$6:$T$823,19,0),"")</f>
        <v/>
      </c>
      <c r="K584" s="699" t="str">
        <f>IFERROR(VLOOKUP(M584,'02. MM-KLH'!$B$6:$T$823,18,0),"")</f>
        <v/>
      </c>
      <c r="L584" s="698" t="str">
        <f>IFERROR(VLOOKUP(M584,'02. MM-KLH'!$B$6:$T$823,4,0),"")</f>
        <v/>
      </c>
      <c r="M584" s="700"/>
      <c r="N584" s="698" t="str">
        <f>IFERROR(VLOOKUP(M584,'02. MM-KLH'!$B$6:$T$823,15,0),"")</f>
        <v/>
      </c>
      <c r="O584" s="701" t="str">
        <f>IFERROR(VLOOKUP(M584,'02. MM-KLH'!$B$6:$T$823,9,0),"")</f>
        <v/>
      </c>
      <c r="P584" s="698"/>
      <c r="Q584" s="698"/>
      <c r="R584" s="698"/>
      <c r="S584" s="698"/>
      <c r="T584" s="698"/>
      <c r="U584" s="698" t="str">
        <f>IFERROR(VLOOKUP(M584,'02. MM-KLH'!$B$6:$T$823,2,0),"")</f>
        <v/>
      </c>
      <c r="V584" s="558" t="str">
        <f>IFERROR(VLOOKUP(M584,'02. MM-KLH'!$B$6:$T$823,8,0),"")</f>
        <v/>
      </c>
      <c r="W584" s="698"/>
      <c r="X584" s="698"/>
      <c r="Y584" s="698"/>
      <c r="Z584" s="558" t="str">
        <f>IFERROR(VLOOKUP(M584,'02. MM-KLH'!$B$6:$T$823,3,0),"")</f>
        <v/>
      </c>
      <c r="AA584" s="698"/>
      <c r="AB584" s="558"/>
      <c r="AC584" s="558"/>
    </row>
    <row r="585">
      <c r="A585" s="523"/>
      <c r="B585" s="612" t="str">
        <f>IFERROR(VLOOKUP(M585,'02. MM-KLH'!$B$6:$T$823,6,0),"")</f>
        <v>Xe nâng điện 2.5 tấn</v>
      </c>
      <c r="C585" s="566">
        <v>1.0</v>
      </c>
      <c r="D585" s="613" t="str">
        <f>IFERROR(VLOOKUP(M585,'02. MM-KLH'!$B$6:$T$823,16,0),"")</f>
        <v>FF25E</v>
      </c>
      <c r="E585" s="613"/>
      <c r="F585" s="613"/>
      <c r="G585" s="561" t="s">
        <v>4158</v>
      </c>
      <c r="H585" s="613" t="str">
        <f>IFERROR(VLOOKUP(M585,'02. MM-KLH'!$B$6:$T$823,17,0),"")</f>
        <v>13,68 HP</v>
      </c>
      <c r="I585" s="614" t="str">
        <f>IFERROR(VLOOKUP(M585,'02. MM-KLH'!$B$6:$U$823,20,0),"")</f>
        <v/>
      </c>
      <c r="J585" s="612" t="str">
        <f>IFERROR(VLOOKUP(M585,'02. MM-KLH'!$B$6:$T$823,19,0),"")</f>
        <v/>
      </c>
      <c r="K585" s="612" t="str">
        <f>IFERROR(VLOOKUP(M585,'02. MM-KLH'!$B$6:$T$823,18,0),"")</f>
        <v>C31293R50031</v>
      </c>
      <c r="L585" s="613" t="str">
        <f>IFERROR(VLOOKUP(M585,'02. MM-KLH'!$B$6:$T$823,4,0),"")</f>
        <v/>
      </c>
      <c r="M585" s="490" t="s">
        <v>887</v>
      </c>
      <c r="N585" s="615">
        <f>IFERROR(VLOOKUP(M585,'02. MM-KLH'!$B$6:$T$823,15,0),"")</f>
        <v>2026</v>
      </c>
      <c r="O585" s="616">
        <f>IFERROR(VLOOKUP(M585,'02. MM-KLH'!$B$6:$T$823,9,0),"")</f>
        <v>46361</v>
      </c>
      <c r="P585" s="613"/>
      <c r="Q585" s="566">
        <v>235.0</v>
      </c>
      <c r="R585" s="566" t="s">
        <v>4158</v>
      </c>
      <c r="S585" s="613"/>
      <c r="T585" s="613"/>
      <c r="U585" s="559" t="str">
        <f>IFERROR(VLOOKUP(M585,'02. MM-KLH'!$B$6:$T$823,5,0),"")</f>
        <v>MỚI</v>
      </c>
      <c r="V585" s="523" t="str">
        <f>IFERROR(VLOOKUP(M585,'02. MM-KLH'!$B$6:$T$823,8,0),"")</f>
        <v>XN Chuối DP1</v>
      </c>
      <c r="W585" s="559" t="str">
        <f>IFERROR(VLOOKUP(V585,'NS QUẢN LÝ CG'!$A$4:$C$36,2,0),"")</f>
        <v>Thái Cao Lưu</v>
      </c>
      <c r="X585" s="561" t="s">
        <v>4155</v>
      </c>
      <c r="Y585" s="559" t="str">
        <f>IFERROR(VLOOKUP(V585,'NS QUẢN LÝ CG'!$A$4:$C$36,3,0),"")</f>
        <v>0387783316</v>
      </c>
      <c r="Z585" s="523" t="str">
        <f>IFERROR(VLOOKUP(M585,'02. MM-KLH'!$B$6:$T$823,3,0),"")</f>
        <v>A23-XNA-007</v>
      </c>
      <c r="AA585" s="559" t="str">
        <f t="shared" ref="AA585:AA591" si="41">SWITCH(LEFT(Z585,3),"A22","ADM","A23","DP","A24","LP","")</f>
        <v>DP</v>
      </c>
      <c r="AB585" s="523"/>
      <c r="AC585" s="523"/>
    </row>
    <row r="586">
      <c r="A586" s="523"/>
      <c r="B586" s="612" t="str">
        <f>IFERROR(VLOOKUP(M586,'02. MM-KLH'!$B$6:$T$823,6,0),"")</f>
        <v>Xe nâng điện 2.5 tấn</v>
      </c>
      <c r="C586" s="566">
        <v>1.0</v>
      </c>
      <c r="D586" s="613" t="str">
        <f>IFERROR(VLOOKUP(M586,'02. MM-KLH'!$B$6:$T$823,16,0),"")</f>
        <v>FF25E</v>
      </c>
      <c r="E586" s="613"/>
      <c r="F586" s="613"/>
      <c r="G586" s="561" t="s">
        <v>4158</v>
      </c>
      <c r="H586" s="613" t="str">
        <f>IFERROR(VLOOKUP(M586,'02. MM-KLH'!$B$6:$T$823,17,0),"")</f>
        <v>14HP</v>
      </c>
      <c r="I586" s="614" t="str">
        <f>IFERROR(VLOOKUP(M586,'02. MM-KLH'!$B$6:$U$823,20,0),"")</f>
        <v/>
      </c>
      <c r="J586" s="612" t="str">
        <f>IFERROR(VLOOKUP(M586,'02. MM-KLH'!$B$6:$T$823,19,0),"")</f>
        <v>JB253701317</v>
      </c>
      <c r="K586" s="612" t="str">
        <f>IFERROR(VLOOKUP(M586,'02. MM-KLH'!$B$6:$T$823,18,0),"")</f>
        <v>C31293P50544</v>
      </c>
      <c r="L586" s="613" t="str">
        <f>IFERROR(VLOOKUP(M586,'02. MM-KLH'!$B$6:$T$823,4,0),"")</f>
        <v/>
      </c>
      <c r="M586" s="488" t="s">
        <v>1063</v>
      </c>
      <c r="N586" s="615">
        <f>IFERROR(VLOOKUP(M586,'02. MM-KLH'!$B$6:$T$823,15,0),"")</f>
        <v>2025</v>
      </c>
      <c r="O586" s="616">
        <f>IFERROR(VLOOKUP(M586,'02. MM-KLH'!$B$6:$T$823,9,0),"")</f>
        <v>45789</v>
      </c>
      <c r="P586" s="613"/>
      <c r="Q586" s="566">
        <v>366.0</v>
      </c>
      <c r="R586" s="566" t="s">
        <v>4158</v>
      </c>
      <c r="S586" s="613"/>
      <c r="T586" s="613"/>
      <c r="U586" s="559" t="str">
        <f>IFERROR(VLOOKUP(M586,'02. MM-KLH'!$B$6:$T$823,5,0),"")</f>
        <v> MỚI</v>
      </c>
      <c r="V586" s="523" t="str">
        <f>IFERROR(VLOOKUP(M586,'02. MM-KLH'!$B$6:$T$823,8,0),"")</f>
        <v>XN Chuối DP2</v>
      </c>
      <c r="W586" s="559" t="str">
        <f>IFERROR(VLOOKUP(V586,'NS QUẢN LÝ CG'!$A$4:$C$36,2,0),"")</f>
        <v>Huỳnh Quang Viên</v>
      </c>
      <c r="X586" s="561" t="s">
        <v>4155</v>
      </c>
      <c r="Y586" s="559" t="str">
        <f>IFERROR(VLOOKUP(V586,'NS QUẢN LÝ CG'!$A$4:$C$36,3,0),"")</f>
        <v>0977623379</v>
      </c>
      <c r="Z586" s="523" t="str">
        <f>IFERROR(VLOOKUP(M586,'02. MM-KLH'!$B$6:$T$823,3,0),"")</f>
        <v>A23-XNA-004</v>
      </c>
      <c r="AA586" s="559" t="str">
        <f t="shared" si="41"/>
        <v>DP</v>
      </c>
      <c r="AB586" s="523"/>
      <c r="AC586" s="523"/>
    </row>
    <row r="587">
      <c r="A587" s="523"/>
      <c r="B587" s="612" t="str">
        <f>IFERROR(VLOOKUP(M587,'02. MM-KLH'!$B$6:$T$823,6,0),"")</f>
        <v>Xe nâng điện 1.5 tấn</v>
      </c>
      <c r="C587" s="566">
        <v>1.0</v>
      </c>
      <c r="D587" s="613" t="str">
        <f>IFERROR(VLOOKUP(M587,'02. MM-KLH'!$B$6:$T$823,16,0),"")</f>
        <v>FF15E</v>
      </c>
      <c r="E587" s="613"/>
      <c r="F587" s="613"/>
      <c r="G587" s="561" t="s">
        <v>4158</v>
      </c>
      <c r="H587" s="613" t="str">
        <f>IFERROR(VLOOKUP(M587,'02. MM-KLH'!$B$6:$T$823,17,0),"")</f>
        <v>11,8 HP</v>
      </c>
      <c r="I587" s="614" t="str">
        <f>IFERROR(VLOOKUP(M587,'02. MM-KLH'!$B$6:$U$823,20,0),"")</f>
        <v/>
      </c>
      <c r="J587" s="612" t="str">
        <f>IFERROR(VLOOKUP(M587,'02. MM-KLH'!$B$6:$T$823,19,0),"")</f>
        <v/>
      </c>
      <c r="K587" s="612" t="str">
        <f>IFERROR(VLOOKUP(M587,'02. MM-KLH'!$B$6:$T$823,18,0),"")</f>
        <v>C31293R50030</v>
      </c>
      <c r="L587" s="613" t="str">
        <f>IFERROR(VLOOKUP(M587,'02. MM-KLH'!$B$6:$T$823,4,0),"")</f>
        <v/>
      </c>
      <c r="M587" s="488" t="s">
        <v>1069</v>
      </c>
      <c r="N587" s="615">
        <f>IFERROR(VLOOKUP(M587,'02. MM-KLH'!$B$6:$T$823,15,0),"")</f>
        <v>2026</v>
      </c>
      <c r="O587" s="616">
        <f>IFERROR(VLOOKUP(M587,'02. MM-KLH'!$B$6:$T$823,9,0),"")</f>
        <v>46361</v>
      </c>
      <c r="P587" s="613"/>
      <c r="Q587" s="566">
        <v>546.0</v>
      </c>
      <c r="R587" s="566" t="s">
        <v>4158</v>
      </c>
      <c r="S587" s="613"/>
      <c r="T587" s="613"/>
      <c r="U587" s="559" t="str">
        <f>IFERROR(VLOOKUP(M587,'02. MM-KLH'!$B$6:$T$823,5,0),"")</f>
        <v> MỚI</v>
      </c>
      <c r="V587" s="523" t="str">
        <f>IFERROR(VLOOKUP(M587,'02. MM-KLH'!$B$6:$T$823,8,0),"")</f>
        <v>XN Chuối DP2</v>
      </c>
      <c r="W587" s="559" t="str">
        <f>IFERROR(VLOOKUP(V587,'NS QUẢN LÝ CG'!$A$4:$C$36,2,0),"")</f>
        <v>Huỳnh Quang Viên</v>
      </c>
      <c r="X587" s="561" t="s">
        <v>4155</v>
      </c>
      <c r="Y587" s="559" t="str">
        <f>IFERROR(VLOOKUP(V587,'NS QUẢN LÝ CG'!$A$4:$C$36,3,0),"")</f>
        <v>0977623379</v>
      </c>
      <c r="Z587" s="523" t="str">
        <f>IFERROR(VLOOKUP(M587,'02. MM-KLH'!$B$6:$T$823,3,0),"")</f>
        <v>A23-XNA-005</v>
      </c>
      <c r="AA587" s="559" t="str">
        <f t="shared" si="41"/>
        <v>DP</v>
      </c>
      <c r="AB587" s="523"/>
      <c r="AC587" s="523"/>
    </row>
    <row r="588">
      <c r="A588" s="523"/>
      <c r="B588" s="612" t="str">
        <f>IFERROR(VLOOKUP(M588,'02. MM-KLH'!$B$6:$T$823,6,0),"")</f>
        <v>Xe nâng điện 1.5 tấn</v>
      </c>
      <c r="C588" s="566">
        <v>1.0</v>
      </c>
      <c r="D588" s="613" t="str">
        <f>IFERROR(VLOOKUP(M588,'02. MM-KLH'!$B$6:$T$823,16,0),"")</f>
        <v>FF15E</v>
      </c>
      <c r="E588" s="613"/>
      <c r="F588" s="613"/>
      <c r="G588" s="561" t="s">
        <v>4158</v>
      </c>
      <c r="H588" s="613" t="str">
        <f>IFERROR(VLOOKUP(M588,'02. MM-KLH'!$B$6:$T$823,17,0),"")</f>
        <v>12HP</v>
      </c>
      <c r="I588" s="614" t="str">
        <f>IFERROR(VLOOKUP(M588,'02. MM-KLH'!$B$6:$U$823,20,0),"")</f>
        <v/>
      </c>
      <c r="J588" s="612" t="str">
        <f>IFERROR(VLOOKUP(M588,'02. MM-KLH'!$B$6:$T$823,19,0),"")</f>
        <v>JB253801347</v>
      </c>
      <c r="K588" s="612" t="str">
        <f>IFERROR(VLOOKUP(M588,'02. MM-KLH'!$B$6:$T$823,18,0),"")</f>
        <v>C11292P50328</v>
      </c>
      <c r="L588" s="613" t="str">
        <f>IFERROR(VLOOKUP(M588,'02. MM-KLH'!$B$6:$T$823,4,0),"")</f>
        <v/>
      </c>
      <c r="M588" s="488" t="s">
        <v>1164</v>
      </c>
      <c r="N588" s="615">
        <f>IFERROR(VLOOKUP(M588,'02. MM-KLH'!$B$6:$T$823,15,0),"")</f>
        <v>2025</v>
      </c>
      <c r="O588" s="616">
        <f>IFERROR(VLOOKUP(M588,'02. MM-KLH'!$B$6:$T$823,9,0),"")</f>
        <v>45669</v>
      </c>
      <c r="P588" s="613"/>
      <c r="Q588" s="564">
        <v>1221.0</v>
      </c>
      <c r="R588" s="566" t="s">
        <v>4158</v>
      </c>
      <c r="S588" s="613"/>
      <c r="T588" s="613"/>
      <c r="U588" s="559" t="str">
        <f>IFERROR(VLOOKUP(M588,'02. MM-KLH'!$B$6:$T$823,5,0),"")</f>
        <v>MỚI</v>
      </c>
      <c r="V588" s="523" t="str">
        <f>IFERROR(VLOOKUP(M588,'02. MM-KLH'!$B$6:$T$823,8,0),"")</f>
        <v>XN Chuối DP3</v>
      </c>
      <c r="W588" s="559" t="str">
        <f>IFERROR(VLOOKUP(V588,'NS QUẢN LÝ CG'!$A$4:$C$36,2,0),"")</f>
        <v>Thạch Ngọc Vững</v>
      </c>
      <c r="X588" s="561" t="s">
        <v>4155</v>
      </c>
      <c r="Y588" s="559" t="str">
        <f>IFERROR(VLOOKUP(V588,'NS QUẢN LÝ CG'!$A$4:$C$36,3,0),"")</f>
        <v>0975905267</v>
      </c>
      <c r="Z588" s="523" t="str">
        <f>IFERROR(VLOOKUP(M588,'02. MM-KLH'!$B$6:$T$823,3,0),"")</f>
        <v>A23-XNA-003</v>
      </c>
      <c r="AA588" s="559" t="str">
        <f t="shared" si="41"/>
        <v>DP</v>
      </c>
      <c r="AB588" s="523"/>
      <c r="AC588" s="523"/>
    </row>
    <row r="589">
      <c r="A589" s="523"/>
      <c r="B589" s="612" t="str">
        <f>IFERROR(VLOOKUP(M589,'02. MM-KLH'!$B$6:$T$823,6,0),"")</f>
        <v>Xe nâng điện 2.5 tấn</v>
      </c>
      <c r="C589" s="566">
        <v>1.0</v>
      </c>
      <c r="D589" s="613" t="str">
        <f>IFERROR(VLOOKUP(M589,'02. MM-KLH'!$B$6:$T$823,16,0),"")</f>
        <v>FF25E</v>
      </c>
      <c r="E589" s="613"/>
      <c r="F589" s="613"/>
      <c r="G589" s="561" t="s">
        <v>4158</v>
      </c>
      <c r="H589" s="613" t="str">
        <f>IFERROR(VLOOKUP(M589,'02. MM-KLH'!$B$6:$T$823,17,0),"")</f>
        <v>13,68 HP</v>
      </c>
      <c r="I589" s="614" t="str">
        <f>IFERROR(VLOOKUP(M589,'02. MM-KLH'!$B$6:$U$823,20,0),"")</f>
        <v/>
      </c>
      <c r="J589" s="612" t="str">
        <f>IFERROR(VLOOKUP(M589,'02. MM-KLH'!$B$6:$T$823,19,0),"")</f>
        <v/>
      </c>
      <c r="K589" s="612" t="str">
        <f>IFERROR(VLOOKUP(M589,'02. MM-KLH'!$B$6:$T$823,18,0),"")</f>
        <v>C31293R50033</v>
      </c>
      <c r="L589" s="613" t="str">
        <f>IFERROR(VLOOKUP(M589,'02. MM-KLH'!$B$6:$T$823,4,0),"")</f>
        <v/>
      </c>
      <c r="M589" s="488" t="s">
        <v>1169</v>
      </c>
      <c r="N589" s="615">
        <f>IFERROR(VLOOKUP(M589,'02. MM-KLH'!$B$6:$T$823,15,0),"")</f>
        <v>2026</v>
      </c>
      <c r="O589" s="616">
        <f>IFERROR(VLOOKUP(M589,'02. MM-KLH'!$B$6:$T$823,9,0),"")</f>
        <v>46361</v>
      </c>
      <c r="P589" s="613"/>
      <c r="Q589" s="564">
        <v>382.0</v>
      </c>
      <c r="R589" s="566" t="s">
        <v>4158</v>
      </c>
      <c r="S589" s="613"/>
      <c r="T589" s="613"/>
      <c r="U589" s="559" t="str">
        <f>IFERROR(VLOOKUP(M589,'02. MM-KLH'!$B$6:$T$823,5,0),"")</f>
        <v>MỚI</v>
      </c>
      <c r="V589" s="523" t="str">
        <f>IFERROR(VLOOKUP(M589,'02. MM-KLH'!$B$6:$T$823,8,0),"")</f>
        <v>XN Chuối DP3</v>
      </c>
      <c r="W589" s="559" t="str">
        <f>IFERROR(VLOOKUP(V589,'NS QUẢN LÝ CG'!$A$4:$C$36,2,0),"")</f>
        <v>Thạch Ngọc Vững</v>
      </c>
      <c r="X589" s="561" t="s">
        <v>4155</v>
      </c>
      <c r="Y589" s="559" t="str">
        <f>IFERROR(VLOOKUP(V589,'NS QUẢN LÝ CG'!$A$4:$C$36,3,0),"")</f>
        <v>0975905267</v>
      </c>
      <c r="Z589" s="523" t="str">
        <f>IFERROR(VLOOKUP(M589,'02. MM-KLH'!$B$6:$T$823,3,0),"")</f>
        <v>A23-XNA-006</v>
      </c>
      <c r="AA589" s="559" t="str">
        <f t="shared" si="41"/>
        <v>DP</v>
      </c>
      <c r="AB589" s="523"/>
      <c r="AC589" s="523"/>
    </row>
    <row r="590">
      <c r="A590" s="523"/>
      <c r="B590" s="612" t="str">
        <f>IFERROR(VLOOKUP(M590,'02. MM-KLH'!$B$6:$T$823,6,0),"")</f>
        <v>Xe nâng điện 2.5 tấn</v>
      </c>
      <c r="C590" s="566">
        <v>1.0</v>
      </c>
      <c r="D590" s="613" t="str">
        <f>IFERROR(VLOOKUP(M590,'02. MM-KLH'!$B$6:$T$823,16,0),"")</f>
        <v>FF25E</v>
      </c>
      <c r="E590" s="613"/>
      <c r="F590" s="613"/>
      <c r="G590" s="561" t="s">
        <v>4158</v>
      </c>
      <c r="H590" s="613" t="str">
        <f>IFERROR(VLOOKUP(M590,'02. MM-KLH'!$B$6:$T$823,17,0),"")</f>
        <v>13,68 HP</v>
      </c>
      <c r="I590" s="614" t="str">
        <f>IFERROR(VLOOKUP(M590,'02. MM-KLH'!$B$6:$U$823,20,0),"")</f>
        <v/>
      </c>
      <c r="J590" s="612" t="str">
        <f>IFERROR(VLOOKUP(M590,'02. MM-KLH'!$B$6:$T$823,19,0),"")</f>
        <v/>
      </c>
      <c r="K590" s="612" t="str">
        <f>IFERROR(VLOOKUP(M590,'02. MM-KLH'!$B$6:$T$823,18,0),"")</f>
        <v>C31293R50032</v>
      </c>
      <c r="L590" s="613" t="str">
        <f>IFERROR(VLOOKUP(M590,'02. MM-KLH'!$B$6:$T$823,4,0),"")</f>
        <v/>
      </c>
      <c r="M590" s="488" t="s">
        <v>1348</v>
      </c>
      <c r="N590" s="615">
        <f>IFERROR(VLOOKUP(M590,'02. MM-KLH'!$B$6:$T$823,15,0),"")</f>
        <v>2026</v>
      </c>
      <c r="O590" s="616">
        <f>IFERROR(VLOOKUP(M590,'02. MM-KLH'!$B$6:$T$823,9,0),"")</f>
        <v>46361</v>
      </c>
      <c r="P590" s="613"/>
      <c r="Q590" s="566">
        <v>314.0</v>
      </c>
      <c r="R590" s="566" t="s">
        <v>4158</v>
      </c>
      <c r="S590" s="613"/>
      <c r="T590" s="613"/>
      <c r="U590" s="559" t="str">
        <f>IFERROR(VLOOKUP(M590,'02. MM-KLH'!$B$6:$T$823,5,0),"")</f>
        <v>MỚI</v>
      </c>
      <c r="V590" s="523" t="str">
        <f>IFERROR(VLOOKUP(M590,'02. MM-KLH'!$B$6:$T$823,8,0),"")</f>
        <v>XN Chuối LP1</v>
      </c>
      <c r="W590" s="559" t="str">
        <f>IFERROR(VLOOKUP(V590,'NS QUẢN LÝ CG'!$A$4:$C$36,2,0),"")</f>
        <v>Nguyễn Ngọc Nhân</v>
      </c>
      <c r="X590" s="561" t="s">
        <v>4155</v>
      </c>
      <c r="Y590" s="559" t="str">
        <f>IFERROR(VLOOKUP(V590,'NS QUẢN LÝ CG'!$A$4:$C$36,3,0),"")</f>
        <v>0979578112</v>
      </c>
      <c r="Z590" s="523" t="str">
        <f>IFERROR(VLOOKUP(M590,'02. MM-KLH'!$B$6:$T$823,3,0),"")</f>
        <v>A24-XNA-002</v>
      </c>
      <c r="AA590" s="559" t="str">
        <f t="shared" si="41"/>
        <v>LP</v>
      </c>
      <c r="AB590" s="523"/>
      <c r="AC590" s="523"/>
    </row>
    <row r="591">
      <c r="A591" s="523"/>
      <c r="B591" s="612" t="str">
        <f>IFERROR(VLOOKUP(M591,'02. MM-KLH'!$B$6:$T$823,6,0),"")</f>
        <v>Xe nâng điện 2.5 tấn</v>
      </c>
      <c r="C591" s="566">
        <v>1.0</v>
      </c>
      <c r="D591" s="613" t="str">
        <f>IFERROR(VLOOKUP(M591,'02. MM-KLH'!$B$6:$T$823,16,0),"")</f>
        <v>FF25E</v>
      </c>
      <c r="E591" s="613"/>
      <c r="F591" s="613"/>
      <c r="G591" s="561" t="s">
        <v>4158</v>
      </c>
      <c r="H591" s="613" t="str">
        <f>IFERROR(VLOOKUP(M591,'02. MM-KLH'!$B$6:$T$823,17,0),"")</f>
        <v>13,68 HP</v>
      </c>
      <c r="I591" s="614" t="str">
        <f>IFERROR(VLOOKUP(M591,'02. MM-KLH'!$B$6:$U$823,20,0),"")</f>
        <v/>
      </c>
      <c r="J591" s="612" t="str">
        <f>IFERROR(VLOOKUP(M591,'02. MM-KLH'!$B$6:$T$823,19,0),"")</f>
        <v/>
      </c>
      <c r="K591" s="612" t="str">
        <f>IFERROR(VLOOKUP(M591,'02. MM-KLH'!$B$6:$T$823,18,0),"")</f>
        <v>C31293R50030</v>
      </c>
      <c r="L591" s="613" t="str">
        <f>IFERROR(VLOOKUP(M591,'02. MM-KLH'!$B$6:$T$823,4,0),"")</f>
        <v/>
      </c>
      <c r="M591" s="488" t="s">
        <v>1494</v>
      </c>
      <c r="N591" s="615">
        <f>IFERROR(VLOOKUP(M591,'02. MM-KLH'!$B$6:$T$823,15,0),"")</f>
        <v>2026</v>
      </c>
      <c r="O591" s="616">
        <f>IFERROR(VLOOKUP(M591,'02. MM-KLH'!$B$6:$T$823,9,0),"")</f>
        <v>46361</v>
      </c>
      <c r="P591" s="613"/>
      <c r="Q591" s="566">
        <v>216.0</v>
      </c>
      <c r="R591" s="566" t="s">
        <v>4158</v>
      </c>
      <c r="S591" s="613"/>
      <c r="T591" s="613"/>
      <c r="U591" s="559" t="str">
        <f>IFERROR(VLOOKUP(M591,'02. MM-KLH'!$B$6:$T$823,5,0),"")</f>
        <v>MỚI</v>
      </c>
      <c r="V591" s="523" t="str">
        <f>IFERROR(VLOOKUP(M591,'02. MM-KLH'!$B$6:$T$823,8,0),"")</f>
        <v>XN Chuối LP3</v>
      </c>
      <c r="W591" s="559" t="str">
        <f>IFERROR(VLOOKUP(V591,'NS QUẢN LÝ CG'!$A$4:$C$36,2,0),"")</f>
        <v>Lê Cao Nghị</v>
      </c>
      <c r="X591" s="561" t="s">
        <v>4155</v>
      </c>
      <c r="Y591" s="559" t="str">
        <f>IFERROR(VLOOKUP(V591,'NS QUẢN LÝ CG'!$A$4:$C$36,3,0),"")</f>
        <v>0977423100</v>
      </c>
      <c r="Z591" s="523" t="str">
        <f>IFERROR(VLOOKUP(M591,'02. MM-KLH'!$B$6:$T$823,3,0),"")</f>
        <v>A24-XNA-003</v>
      </c>
      <c r="AA591" s="559" t="str">
        <f t="shared" si="41"/>
        <v>LP</v>
      </c>
      <c r="AB591" s="523"/>
      <c r="AC591" s="523"/>
    </row>
    <row r="592">
      <c r="A592" s="523"/>
      <c r="B592" s="612" t="str">
        <f>IFERROR(VLOOKUP(M592,'02. MM-KLH'!$B$6:$T$823,6,0),"")</f>
        <v/>
      </c>
      <c r="C592" s="566"/>
      <c r="D592" s="613" t="str">
        <f>IFERROR(VLOOKUP(M592,'02. MM-KLH'!$B$6:$T$823,16,0),"")</f>
        <v/>
      </c>
      <c r="E592" s="613"/>
      <c r="F592" s="613"/>
      <c r="G592" s="613"/>
      <c r="H592" s="613" t="str">
        <f>IFERROR(VLOOKUP(M592,'02. MM-KLH'!$B$6:$T$823,17,0),"")</f>
        <v/>
      </c>
      <c r="I592" s="614" t="str">
        <f>IFERROR(VLOOKUP(M592,'02. MM-KLH'!$B$6:$U$823,20,0),"")</f>
        <v/>
      </c>
      <c r="J592" s="612" t="str">
        <f>IFERROR(VLOOKUP(M592,'02. MM-KLH'!$B$6:$T$823,19,0),"")</f>
        <v/>
      </c>
      <c r="K592" s="612" t="str">
        <f>IFERROR(VLOOKUP(M592,'02. MM-KLH'!$B$6:$T$823,18,0),"")</f>
        <v/>
      </c>
      <c r="L592" s="613" t="str">
        <f>IFERROR(VLOOKUP(M592,'02. MM-KLH'!$B$6:$T$823,4,0),"")</f>
        <v/>
      </c>
      <c r="M592" s="488"/>
      <c r="N592" s="615" t="str">
        <f>IFERROR(VLOOKUP(M592,'02. MM-KLH'!$B$6:$T$823,15,0),"")</f>
        <v/>
      </c>
      <c r="O592" s="616" t="str">
        <f>IFERROR(VLOOKUP(M592,'02. MM-KLH'!$B$6:$T$823,9,0),"")</f>
        <v/>
      </c>
      <c r="P592" s="613"/>
      <c r="Q592" s="613"/>
      <c r="R592" s="613"/>
      <c r="S592" s="613"/>
      <c r="T592" s="613"/>
      <c r="U592" s="613" t="str">
        <f>IFERROR(VLOOKUP(M592,'02. MM-KLH'!$B$6:$T$823,2,0),"")</f>
        <v/>
      </c>
      <c r="V592" s="523" t="str">
        <f>IFERROR(VLOOKUP(M592,'02. MM-KLH'!$B$6:$T$823,8,0),"")</f>
        <v/>
      </c>
      <c r="W592" s="613"/>
      <c r="X592" s="613"/>
      <c r="Y592" s="613"/>
      <c r="Z592" s="523" t="str">
        <f>IFERROR(VLOOKUP(M592,'02. MM-KLH'!$B$6:$T$823,3,0),"")</f>
        <v/>
      </c>
      <c r="AA592" s="613"/>
      <c r="AB592" s="523"/>
      <c r="AC592" s="523"/>
    </row>
    <row r="593">
      <c r="A593" s="523"/>
      <c r="B593" s="612" t="str">
        <f>IFERROR(VLOOKUP(M593,'02. MM-KLH'!$B$6:$T$823,6,0),"")</f>
        <v/>
      </c>
      <c r="C593" s="566"/>
      <c r="D593" s="613" t="str">
        <f>IFERROR(VLOOKUP(M593,'02. MM-KLH'!$B$6:$T$823,16,0),"")</f>
        <v/>
      </c>
      <c r="E593" s="613"/>
      <c r="F593" s="613"/>
      <c r="G593" s="613"/>
      <c r="H593" s="613" t="str">
        <f>IFERROR(VLOOKUP(M593,'02. MM-KLH'!$B$6:$T$823,17,0),"")</f>
        <v/>
      </c>
      <c r="I593" s="614" t="str">
        <f>IFERROR(VLOOKUP(M593,'02. MM-KLH'!$B$6:$U$823,20,0),"")</f>
        <v/>
      </c>
      <c r="J593" s="612" t="str">
        <f>IFERROR(VLOOKUP(M593,'02. MM-KLH'!$B$6:$T$823,19,0),"")</f>
        <v/>
      </c>
      <c r="K593" s="612" t="str">
        <f>IFERROR(VLOOKUP(M593,'02. MM-KLH'!$B$6:$T$823,18,0),"")</f>
        <v/>
      </c>
      <c r="L593" s="613" t="str">
        <f>IFERROR(VLOOKUP(M593,'02. MM-KLH'!$B$6:$T$823,4,0),"")</f>
        <v/>
      </c>
      <c r="M593" s="488"/>
      <c r="N593" s="615" t="str">
        <f>IFERROR(VLOOKUP(M593,'02. MM-KLH'!$B$6:$T$823,15,0),"")</f>
        <v/>
      </c>
      <c r="O593" s="616" t="str">
        <f>IFERROR(VLOOKUP(M593,'02. MM-KLH'!$B$6:$T$823,9,0),"")</f>
        <v/>
      </c>
      <c r="P593" s="613"/>
      <c r="Q593" s="613"/>
      <c r="R593" s="613"/>
      <c r="S593" s="613"/>
      <c r="T593" s="613"/>
      <c r="U593" s="613" t="str">
        <f>IFERROR(VLOOKUP(M593,'02. MM-KLH'!$B$6:$T$823,2,0),"")</f>
        <v/>
      </c>
      <c r="V593" s="523" t="str">
        <f>IFERROR(VLOOKUP(M593,'02. MM-KLH'!$B$6:$T$823,8,0),"")</f>
        <v/>
      </c>
      <c r="W593" s="613"/>
      <c r="X593" s="613"/>
      <c r="Y593" s="613"/>
      <c r="Z593" s="523" t="str">
        <f>IFERROR(VLOOKUP(M593,'02. MM-KLH'!$B$6:$T$823,3,0),"")</f>
        <v/>
      </c>
      <c r="AA593" s="613"/>
      <c r="AB593" s="523"/>
      <c r="AC593" s="523"/>
    </row>
    <row r="594">
      <c r="A594" s="542" t="s">
        <v>1974</v>
      </c>
      <c r="B594" s="543" t="s">
        <v>5855</v>
      </c>
      <c r="C594" s="544">
        <f>SUM(C595,C605,C610,C613,C622)</f>
        <v>17</v>
      </c>
      <c r="D594" s="545"/>
      <c r="E594" s="545"/>
      <c r="F594" s="545"/>
      <c r="G594" s="545"/>
      <c r="H594" s="545"/>
      <c r="I594" s="546"/>
      <c r="J594" s="547"/>
      <c r="K594" s="547"/>
      <c r="L594" s="545"/>
      <c r="M594" s="545"/>
      <c r="N594" s="545"/>
      <c r="O594" s="548"/>
      <c r="P594" s="545"/>
      <c r="Q594" s="545"/>
      <c r="R594" s="545"/>
      <c r="S594" s="545"/>
      <c r="T594" s="545"/>
      <c r="U594" s="545"/>
      <c r="V594" s="546"/>
      <c r="W594" s="545"/>
      <c r="X594" s="545"/>
      <c r="Y594" s="545"/>
      <c r="Z594" s="546"/>
      <c r="AA594" s="545"/>
      <c r="AB594" s="546"/>
      <c r="AC594" s="549"/>
    </row>
    <row r="595">
      <c r="A595" s="695">
        <v>1.0</v>
      </c>
      <c r="B595" s="696" t="s">
        <v>201</v>
      </c>
      <c r="C595" s="697">
        <f>COUNTA(B596:B604)</f>
        <v>6</v>
      </c>
      <c r="D595" s="698" t="str">
        <f>IFERROR(VLOOKUP(M595,'02. MM-KLH'!$B$6:$T$823,16,0),"")</f>
        <v/>
      </c>
      <c r="E595" s="698"/>
      <c r="F595" s="698"/>
      <c r="G595" s="698"/>
      <c r="H595" s="558" t="str">
        <f>IFERROR(VLOOKUP(M595,'02. MM-KLH'!$B$6:$T$823,17,0),"")</f>
        <v/>
      </c>
      <c r="I595" s="558" t="str">
        <f>IFERROR(VLOOKUP(M595,'02. MM-KLH'!$B$6:$U$823,20,0),"")</f>
        <v/>
      </c>
      <c r="J595" s="699" t="str">
        <f>IFERROR(VLOOKUP(M595,'02. MM-KLH'!$B$6:$T$823,19,0),"")</f>
        <v/>
      </c>
      <c r="K595" s="699" t="str">
        <f>IFERROR(VLOOKUP(M595,'02. MM-KLH'!$B$6:$T$823,18,0),"")</f>
        <v/>
      </c>
      <c r="L595" s="698" t="str">
        <f>IFERROR(VLOOKUP(M595,'02. MM-KLH'!$B$6:$T$823,4,0),"")</f>
        <v/>
      </c>
      <c r="M595" s="700"/>
      <c r="N595" s="698" t="str">
        <f>IFERROR(VLOOKUP(M595,'02. MM-KLH'!$B$6:$T$823,15,0),"")</f>
        <v/>
      </c>
      <c r="O595" s="701" t="str">
        <f>IFERROR(VLOOKUP(M595,'02. MM-KLH'!$B$6:$T$823,9,0),"")</f>
        <v/>
      </c>
      <c r="P595" s="698"/>
      <c r="Q595" s="698"/>
      <c r="R595" s="698"/>
      <c r="S595" s="698"/>
      <c r="T595" s="698"/>
      <c r="U595" s="698" t="str">
        <f>IFERROR(VLOOKUP(M595,'02. MM-KLH'!$B$6:$T$823,2,0),"")</f>
        <v/>
      </c>
      <c r="V595" s="558" t="str">
        <f>IFERROR(VLOOKUP(M595,'02. MM-KLH'!$B$6:$T$823,8,0),"")</f>
        <v/>
      </c>
      <c r="W595" s="698"/>
      <c r="X595" s="698"/>
      <c r="Y595" s="698"/>
      <c r="Z595" s="558" t="str">
        <f>IFERROR(VLOOKUP(M595,'02. MM-KLH'!$B$6:$T$823,3,0),"")</f>
        <v/>
      </c>
      <c r="AA595" s="698"/>
      <c r="AB595" s="558"/>
      <c r="AC595" s="558"/>
    </row>
    <row r="596">
      <c r="A596" s="523"/>
      <c r="B596" s="612" t="str">
        <f>IFERROR(VLOOKUP(M596,'02. MM-KLH'!$B$6:$T$823,6,0),"")</f>
        <v>Xe bồn AUMAN ETX D300 (tưới đường)</v>
      </c>
      <c r="C596" s="566">
        <v>1.0</v>
      </c>
      <c r="D596" s="613" t="str">
        <f>IFERROR(VLOOKUP(M596,'02. MM-KLH'!$B$6:$T$823,16,0),"")</f>
        <v> ETX D300</v>
      </c>
      <c r="E596" s="561" t="s">
        <v>4158</v>
      </c>
      <c r="F596" s="613"/>
      <c r="G596" s="613"/>
      <c r="H596" s="613" t="str">
        <f>IFERROR(VLOOKUP(M596,'02. MM-KLH'!$B$6:$T$823,17,0),"")</f>
        <v>330HP</v>
      </c>
      <c r="I596" s="614">
        <f>IFERROR(VLOOKUP(M596,'02. MM-KLH'!$B$6:$U$823,20,0),"")</f>
        <v>0.6</v>
      </c>
      <c r="J596" s="612" t="str">
        <f>IFERROR(VLOOKUP(M596,'02. MM-KLH'!$B$6:$T$823,19,0),"")</f>
        <v>WP10336E431622D017084</v>
      </c>
      <c r="K596" s="612" t="str">
        <f>IFERROR(VLOOKUP(M596,'02. MM-KLH'!$B$6:$T$823,18,0),"")</f>
        <v>RNHD30FWANT067862</v>
      </c>
      <c r="L596" s="613" t="str">
        <f>IFERROR(VLOOKUP(M596,'02. MM-KLH'!$B$6:$T$823,4,0),"")</f>
        <v/>
      </c>
      <c r="M596" s="490" t="s">
        <v>199</v>
      </c>
      <c r="N596" s="615">
        <f>IFERROR(VLOOKUP(M596,'02. MM-KLH'!$B$6:$T$823,15,0),"")</f>
        <v>2022</v>
      </c>
      <c r="O596" s="616" t="str">
        <f>IFERROR(VLOOKUP(M596,'02. MM-KLH'!$B$6:$T$823,9,0),"")</f>
        <v> </v>
      </c>
      <c r="P596" s="566">
        <v>63136.0</v>
      </c>
      <c r="Q596" s="613"/>
      <c r="R596" s="566" t="s">
        <v>4158</v>
      </c>
      <c r="S596" s="613"/>
      <c r="T596" s="613"/>
      <c r="U596" s="559" t="str">
        <f>IFERROR(VLOOKUP(M596,'02. MM-KLH'!$B$6:$T$823,5,0),"")</f>
        <v>ĐQSD</v>
      </c>
      <c r="V596" s="523" t="str">
        <f>IFERROR(VLOOKUP(M596,'02. MM-KLH'!$B$6:$T$823,8,0),"")</f>
        <v>CGTC DP</v>
      </c>
      <c r="W596" s="559" t="str">
        <f>IFERROR(VLOOKUP(V596,'NS QUẢN LÝ CG'!$A$4:$D$36,2,0),"")</f>
        <v>Phạm Ngọc Hải</v>
      </c>
      <c r="X596" s="559" t="str">
        <f>IFERROR(VLOOKUP(V596,'NS QUẢN LÝ CG'!$A$4:$D$36,4,0),"")</f>
        <v>Lô 85 DP4</v>
      </c>
      <c r="Y596" s="559" t="str">
        <f>IFERROR(VLOOKUP(V596,'NS QUẢN LÝ CG'!$A$4:$C$36,3,0),"")</f>
        <v>0825456565</v>
      </c>
      <c r="Z596" s="523" t="str">
        <f>IFERROR(VLOOKUP(M596,'02. MM-KLH'!$B$6:$T$823,3,0),"")</f>
        <v>ATT-A22-0295</v>
      </c>
      <c r="AA596" s="561" t="s">
        <v>4462</v>
      </c>
      <c r="AB596" s="523"/>
      <c r="AC596" s="523"/>
    </row>
    <row r="597">
      <c r="A597" s="523"/>
      <c r="B597" s="612" t="str">
        <f>IFERROR(VLOOKUP(M597,'02. MM-KLH'!$B$6:$T$823,6,0),"")</f>
        <v>Xe bồn AUMAN ETX D300 (Bồn tưới 18m3)</v>
      </c>
      <c r="C597" s="566">
        <v>1.0</v>
      </c>
      <c r="D597" s="613" t="str">
        <f>IFERROR(VLOOKUP(M597,'02. MM-KLH'!$B$6:$T$823,16,0),"")</f>
        <v>ETX D300E4</v>
      </c>
      <c r="E597" s="561" t="s">
        <v>4158</v>
      </c>
      <c r="F597" s="613"/>
      <c r="G597" s="613"/>
      <c r="H597" s="613" t="str">
        <f>IFERROR(VLOOKUP(M597,'02. MM-KLH'!$B$6:$T$823,17,0),"")</f>
        <v>336HP</v>
      </c>
      <c r="I597" s="614">
        <f>IFERROR(VLOOKUP(M597,'02. MM-KLH'!$B$6:$U$823,20,0),"")</f>
        <v>0.6</v>
      </c>
      <c r="J597" s="612" t="str">
        <f>IFERROR(VLOOKUP(M597,'02. MM-KLH'!$B$6:$T$823,19,0),"")</f>
        <v>WP10336E431618C035173</v>
      </c>
      <c r="K597" s="612" t="str">
        <f>IFERROR(VLOOKUP(M597,'02. MM-KLH'!$B$6:$T$823,18,0),"")</f>
        <v>RNHD30FWBKC005994</v>
      </c>
      <c r="L597" s="613" t="str">
        <f>IFERROR(VLOOKUP(M597,'02. MM-KLH'!$B$6:$T$823,4,0),"")</f>
        <v/>
      </c>
      <c r="M597" s="490" t="s">
        <v>567</v>
      </c>
      <c r="N597" s="615">
        <f>IFERROR(VLOOKUP(M597,'02. MM-KLH'!$B$6:$T$823,15,0),"")</f>
        <v>2019</v>
      </c>
      <c r="O597" s="616">
        <f>IFERROR(VLOOKUP(M597,'02. MM-KLH'!$B$6:$T$823,9,0),"")</f>
        <v>44198</v>
      </c>
      <c r="P597" s="564">
        <v>63630.0</v>
      </c>
      <c r="Q597" s="613"/>
      <c r="R597" s="566" t="s">
        <v>4158</v>
      </c>
      <c r="S597" s="613"/>
      <c r="T597" s="613"/>
      <c r="U597" s="559" t="str">
        <f>IFERROR(VLOOKUP(M597,'02. MM-KLH'!$B$6:$T$823,5,0),"")</f>
        <v>ĐQSD</v>
      </c>
      <c r="V597" s="523" t="str">
        <f>IFERROR(VLOOKUP(M597,'02. MM-KLH'!$B$6:$T$823,8,0),"")</f>
        <v>CGTC AD</v>
      </c>
      <c r="W597" s="559" t="str">
        <f>IFERROR(VLOOKUP(V597,'NS QUẢN LÝ CG'!$A$4:$D$36,2,0),"")</f>
        <v>Vũ Trung Kiên</v>
      </c>
      <c r="X597" s="559" t="str">
        <f>IFERROR(VLOOKUP(V597,'NS QUẢN LÝ CG'!$A$4:$D$36,4,0),"")</f>
        <v>Lô 73 ADM</v>
      </c>
      <c r="Y597" s="559" t="str">
        <f>IFERROR(VLOOKUP(V597,'NS QUẢN LÝ CG'!$A$4:$C$36,3,0),"")</f>
        <v>0981761677</v>
      </c>
      <c r="Z597" s="523" t="str">
        <f>IFERROR(VLOOKUP(M597,'02. MM-KLH'!$B$6:$T$823,3,0),"")</f>
        <v>ATT-A22-0230</v>
      </c>
      <c r="AA597" s="561" t="s">
        <v>4462</v>
      </c>
      <c r="AB597" s="523"/>
      <c r="AC597" s="523"/>
    </row>
    <row r="598">
      <c r="A598" s="523"/>
      <c r="B598" s="612" t="str">
        <f>IFERROR(VLOOKUP(M598,'02. MM-KLH'!$B$6:$T$823,6,0),"")</f>
        <v>Xe tải AUMAN GTL D300 E4 (Cấp dầu)</v>
      </c>
      <c r="C598" s="566">
        <v>1.0</v>
      </c>
      <c r="D598" s="613" t="str">
        <f>IFERROR(VLOOKUP(M598,'02. MM-KLH'!$B$6:$T$823,16,0),"")</f>
        <v>GTL D300E4</v>
      </c>
      <c r="E598" s="561" t="s">
        <v>4158</v>
      </c>
      <c r="F598" s="613"/>
      <c r="G598" s="613"/>
      <c r="H598" s="613" t="str">
        <f>IFERROR(VLOOKUP(M598,'02. MM-KLH'!$B$6:$T$823,17,0),"")</f>
        <v/>
      </c>
      <c r="I598" s="614">
        <f>IFERROR(VLOOKUP(M598,'02. MM-KLH'!$B$6:$U$823,20,0),"")</f>
        <v>0.7</v>
      </c>
      <c r="J598" s="612" t="str">
        <f>IFERROR(VLOOKUP(M598,'02. MM-KLH'!$B$6:$T$823,19,0),"")</f>
        <v>CCN</v>
      </c>
      <c r="K598" s="612" t="str">
        <f>IFERROR(VLOOKUP(M598,'02. MM-KLH'!$B$6:$T$823,18,0),"")</f>
        <v>RNHD30FWAJC07892</v>
      </c>
      <c r="L598" s="613" t="str">
        <f>IFERROR(VLOOKUP(M598,'02. MM-KLH'!$B$6:$T$823,4,0),"")</f>
        <v/>
      </c>
      <c r="M598" s="490" t="s">
        <v>2390</v>
      </c>
      <c r="N598" s="615">
        <f>IFERROR(VLOOKUP(M598,'02. MM-KLH'!$B$6:$T$823,15,0),"")</f>
        <v>2018</v>
      </c>
      <c r="O598" s="616" t="str">
        <f>IFERROR(VLOOKUP(M598,'02. MM-KLH'!$B$6:$T$823,9,0),"")</f>
        <v/>
      </c>
      <c r="P598" s="566">
        <v>106195.0</v>
      </c>
      <c r="Q598" s="613"/>
      <c r="R598" s="566" t="s">
        <v>4158</v>
      </c>
      <c r="S598" s="613"/>
      <c r="T598" s="613"/>
      <c r="U598" s="559" t="str">
        <f>IFERROR(VLOOKUP(M598,'02. MM-KLH'!$B$6:$T$823,5,0),"")</f>
        <v>ĐQSD</v>
      </c>
      <c r="V598" s="523" t="str">
        <f>IFERROR(VLOOKUP(M598,'02. MM-KLH'!$B$6:$T$823,8,0),"")</f>
        <v>Phòng GNVC</v>
      </c>
      <c r="W598" s="559" t="str">
        <f>IFERROR(VLOOKUP(V598,'NS QUẢN LÝ CG'!$A$4:$D$36,2,0),"")</f>
        <v>Lâm Quốc Cường</v>
      </c>
      <c r="X598" s="559" t="str">
        <f>IFERROR(VLOOKUP(V598,'NS QUẢN LÝ CG'!$A$4:$D$36,4,0),"")</f>
        <v>Tổng kho KLH</v>
      </c>
      <c r="Y598" s="559" t="str">
        <f>IFERROR(VLOOKUP(V598,'NS QUẢN LÝ CG'!$A$4:$C$36,3,0),"")</f>
        <v>0384653979</v>
      </c>
      <c r="Z598" s="523" t="str">
        <f>IFERROR(VLOOKUP(M598,'02. MM-KLH'!$B$6:$T$823,3,0),"")</f>
        <v>ATT-A22-0176</v>
      </c>
      <c r="AA598" s="561" t="s">
        <v>4462</v>
      </c>
      <c r="AB598" s="523"/>
      <c r="AC598" s="523"/>
    </row>
    <row r="599">
      <c r="A599" s="523"/>
      <c r="B599" s="612" t="str">
        <f>IFERROR(VLOOKUP(M599,'02. MM-KLH'!$B$6:$T$823,6,0),"")</f>
        <v>Xe tải AUMAN GTL D300 E4 (Cấp dầu)</v>
      </c>
      <c r="C599" s="566">
        <v>1.0</v>
      </c>
      <c r="D599" s="613" t="str">
        <f>IFERROR(VLOOKUP(M599,'02. MM-KLH'!$B$6:$T$823,16,0),"")</f>
        <v>GTL D300E4</v>
      </c>
      <c r="E599" s="561" t="s">
        <v>4158</v>
      </c>
      <c r="F599" s="613"/>
      <c r="G599" s="613"/>
      <c r="H599" s="613" t="str">
        <f>IFERROR(VLOOKUP(M599,'02. MM-KLH'!$B$6:$T$823,17,0),"")</f>
        <v>375HP</v>
      </c>
      <c r="I599" s="614">
        <f>IFERROR(VLOOKUP(M599,'02. MM-KLH'!$B$6:$U$823,20,0),"")</f>
        <v>0.7</v>
      </c>
      <c r="J599" s="612" t="str">
        <f>IFERROR(VLOOKUP(M599,'02. MM-KLH'!$B$6:$T$823,19,0),"")</f>
        <v>WP10375E431618A009911</v>
      </c>
      <c r="K599" s="612" t="str">
        <f>IFERROR(VLOOKUP(M599,'02. MM-KLH'!$B$6:$T$823,18,0),"")</f>
        <v>RNHD30FWAJC078093</v>
      </c>
      <c r="L599" s="613" t="str">
        <f>IFERROR(VLOOKUP(M599,'02. MM-KLH'!$B$6:$T$823,4,0),"")</f>
        <v/>
      </c>
      <c r="M599" s="490" t="s">
        <v>2393</v>
      </c>
      <c r="N599" s="615">
        <f>IFERROR(VLOOKUP(M599,'02. MM-KLH'!$B$6:$T$823,15,0),"")</f>
        <v>2018</v>
      </c>
      <c r="O599" s="616">
        <f>IFERROR(VLOOKUP(M599,'02. MM-KLH'!$B$6:$T$823,9,0),"")</f>
        <v>44198</v>
      </c>
      <c r="P599" s="566">
        <v>110450.0</v>
      </c>
      <c r="Q599" s="613"/>
      <c r="R599" s="566" t="s">
        <v>4158</v>
      </c>
      <c r="S599" s="613"/>
      <c r="T599" s="613"/>
      <c r="U599" s="559" t="str">
        <f>IFERROR(VLOOKUP(M599,'02. MM-KLH'!$B$6:$T$823,5,0),"")</f>
        <v>ĐQSD</v>
      </c>
      <c r="V599" s="523" t="str">
        <f>IFERROR(VLOOKUP(M599,'02. MM-KLH'!$B$6:$T$823,8,0),"")</f>
        <v>Phòng GNVC</v>
      </c>
      <c r="W599" s="559" t="str">
        <f>IFERROR(VLOOKUP(V599,'NS QUẢN LÝ CG'!$A$4:$D$36,2,0),"")</f>
        <v>Lâm Quốc Cường</v>
      </c>
      <c r="X599" s="559" t="str">
        <f>IFERROR(VLOOKUP(V599,'NS QUẢN LÝ CG'!$A$4:$D$36,4,0),"")</f>
        <v>Tổng kho KLH</v>
      </c>
      <c r="Y599" s="559" t="str">
        <f>IFERROR(VLOOKUP(V599,'NS QUẢN LÝ CG'!$A$4:$C$36,3,0),"")</f>
        <v>0384653979</v>
      </c>
      <c r="Z599" s="523" t="str">
        <f>IFERROR(VLOOKUP(M599,'02. MM-KLH'!$B$6:$T$823,3,0),"")</f>
        <v>ATT-A22-0176</v>
      </c>
      <c r="AA599" s="561" t="s">
        <v>4462</v>
      </c>
      <c r="AB599" s="523"/>
      <c r="AC599" s="523"/>
    </row>
    <row r="600">
      <c r="A600" s="523"/>
      <c r="B600" s="612" t="str">
        <f>IFERROR(VLOOKUP(M600,'02. MM-KLH'!$B$6:$T$823,6,0),"")</f>
        <v>Xe tải AUMAN GTL D300 E4 (Cấp dầu)</v>
      </c>
      <c r="C600" s="566">
        <v>1.0</v>
      </c>
      <c r="D600" s="613" t="str">
        <f>IFERROR(VLOOKUP(M600,'02. MM-KLH'!$B$6:$T$823,16,0),"")</f>
        <v>GTL D300E4</v>
      </c>
      <c r="E600" s="561" t="s">
        <v>4158</v>
      </c>
      <c r="F600" s="613"/>
      <c r="G600" s="613"/>
      <c r="H600" s="613" t="str">
        <f>IFERROR(VLOOKUP(M600,'02. MM-KLH'!$B$6:$T$823,17,0),"")</f>
        <v>375HP</v>
      </c>
      <c r="I600" s="614">
        <f>IFERROR(VLOOKUP(M600,'02. MM-KLH'!$B$6:$U$823,20,0),"")</f>
        <v>0.7</v>
      </c>
      <c r="J600" s="612" t="str">
        <f>IFERROR(VLOOKUP(M600,'02. MM-KLH'!$B$6:$T$823,19,0),"")</f>
        <v>CCN</v>
      </c>
      <c r="K600" s="612" t="str">
        <f>IFERROR(VLOOKUP(M600,'02. MM-KLH'!$B$6:$T$823,18,0),"")</f>
        <v>RNHD30FWAJC078086</v>
      </c>
      <c r="L600" s="613" t="str">
        <f>IFERROR(VLOOKUP(M600,'02. MM-KLH'!$B$6:$T$823,4,0),"")</f>
        <v/>
      </c>
      <c r="M600" s="488" t="s">
        <v>2402</v>
      </c>
      <c r="N600" s="615">
        <f>IFERROR(VLOOKUP(M600,'02. MM-KLH'!$B$6:$T$823,15,0),"")</f>
        <v>2018</v>
      </c>
      <c r="O600" s="616">
        <f>IFERROR(VLOOKUP(M600,'02. MM-KLH'!$B$6:$T$823,9,0),"")</f>
        <v>44198</v>
      </c>
      <c r="P600" s="566">
        <v>74508.0</v>
      </c>
      <c r="Q600" s="613"/>
      <c r="R600" s="566" t="s">
        <v>4158</v>
      </c>
      <c r="S600" s="613"/>
      <c r="T600" s="613"/>
      <c r="U600" s="559" t="str">
        <f>IFERROR(VLOOKUP(M600,'02. MM-KLH'!$B$6:$T$823,5,0),"")</f>
        <v>ĐQSD</v>
      </c>
      <c r="V600" s="523" t="str">
        <f>IFERROR(VLOOKUP(M600,'02. MM-KLH'!$B$6:$T$823,8,0),"")</f>
        <v>Phòng GNVC</v>
      </c>
      <c r="W600" s="559" t="str">
        <f>IFERROR(VLOOKUP(V600,'NS QUẢN LÝ CG'!$A$4:$D$36,2,0),"")</f>
        <v>Lâm Quốc Cường</v>
      </c>
      <c r="X600" s="559" t="str">
        <f>IFERROR(VLOOKUP(V600,'NS QUẢN LÝ CG'!$A$4:$D$36,4,0),"")</f>
        <v>Tổng kho KLH</v>
      </c>
      <c r="Y600" s="559" t="str">
        <f>IFERROR(VLOOKUP(V600,'NS QUẢN LÝ CG'!$A$4:$C$36,3,0),"")</f>
        <v>0384653979</v>
      </c>
      <c r="Z600" s="523" t="str">
        <f>IFERROR(VLOOKUP(M600,'02. MM-KLH'!$B$6:$T$823,3,0),"")</f>
        <v>A23-XTA-001</v>
      </c>
      <c r="AA600" s="559" t="str">
        <f>SWITCH(LEFT(Z600,3),"A22","ADM","A23","DP","A24","LP","")</f>
        <v>DP</v>
      </c>
      <c r="AB600" s="523"/>
      <c r="AC600" s="523"/>
    </row>
    <row r="601">
      <c r="A601" s="523"/>
      <c r="B601" s="612" t="str">
        <f>IFERROR(VLOOKUP(M601,'02. MM-KLH'!$B$6:$T$823,6,0),"")</f>
        <v>Xe tải AUMAN GTL D300 E4 (Cấp dầu)</v>
      </c>
      <c r="C601" s="566">
        <v>1.0</v>
      </c>
      <c r="D601" s="613" t="str">
        <f>IFERROR(VLOOKUP(M601,'02. MM-KLH'!$B$6:$T$823,16,0),"")</f>
        <v>GTL D300E4</v>
      </c>
      <c r="E601" s="561" t="s">
        <v>4158</v>
      </c>
      <c r="F601" s="613"/>
      <c r="G601" s="613"/>
      <c r="H601" s="613" t="str">
        <f>IFERROR(VLOOKUP(M601,'02. MM-KLH'!$B$6:$T$823,17,0),"")</f>
        <v>375HP</v>
      </c>
      <c r="I601" s="614">
        <f>IFERROR(VLOOKUP(M601,'02. MM-KLH'!$B$6:$U$823,20,0),"")</f>
        <v>0.7</v>
      </c>
      <c r="J601" s="612" t="str">
        <f>IFERROR(VLOOKUP(M601,'02. MM-KLH'!$B$6:$T$823,19,0),"")</f>
        <v>WP10375E431618A008105</v>
      </c>
      <c r="K601" s="612" t="str">
        <f>IFERROR(VLOOKUP(M601,'02. MM-KLH'!$B$6:$T$823,18,0),"")</f>
        <v>RNHD30FWAJCO078101</v>
      </c>
      <c r="L601" s="613" t="str">
        <f>IFERROR(VLOOKUP(M601,'02. MM-KLH'!$B$6:$T$823,4,0),"")</f>
        <v/>
      </c>
      <c r="M601" s="488" t="s">
        <v>2406</v>
      </c>
      <c r="N601" s="615">
        <f>IFERROR(VLOOKUP(M601,'02. MM-KLH'!$B$6:$T$823,15,0),"")</f>
        <v>2018</v>
      </c>
      <c r="O601" s="616">
        <f>IFERROR(VLOOKUP(M601,'02. MM-KLH'!$B$6:$T$823,9,0),"")</f>
        <v>44205</v>
      </c>
      <c r="P601" s="566">
        <v>109373.0</v>
      </c>
      <c r="Q601" s="613"/>
      <c r="R601" s="566" t="s">
        <v>4158</v>
      </c>
      <c r="S601" s="613"/>
      <c r="T601" s="613"/>
      <c r="U601" s="559" t="str">
        <f>IFERROR(VLOOKUP(M601,'02. MM-KLH'!$B$6:$T$823,5,0),"")</f>
        <v>ĐQSD</v>
      </c>
      <c r="V601" s="523" t="str">
        <f>IFERROR(VLOOKUP(M601,'02. MM-KLH'!$B$6:$T$823,8,0),"")</f>
        <v>Phòng GNVC</v>
      </c>
      <c r="W601" s="559" t="str">
        <f>IFERROR(VLOOKUP(V601,'NS QUẢN LÝ CG'!$A$4:$D$36,2,0),"")</f>
        <v>Lâm Quốc Cường</v>
      </c>
      <c r="X601" s="559" t="str">
        <f>IFERROR(VLOOKUP(W601,'NS QUẢN LÝ CG'!$A$4:$D$36,2,0),"")</f>
        <v/>
      </c>
      <c r="Y601" s="559" t="str">
        <f>IFERROR(VLOOKUP(V601,'NS QUẢN LÝ CG'!$A$4:$C$36,3,0),"")</f>
        <v>0384653979</v>
      </c>
      <c r="Z601" s="523" t="str">
        <f>IFERROR(VLOOKUP(M601,'02. MM-KLH'!$B$6:$T$823,3,0),"")</f>
        <v>ATT-A24-0079</v>
      </c>
      <c r="AA601" s="561" t="s">
        <v>5046</v>
      </c>
      <c r="AB601" s="523"/>
      <c r="AC601" s="523"/>
    </row>
    <row r="602">
      <c r="A602" s="523"/>
      <c r="B602" s="612" t="str">
        <f>IFERROR(VLOOKUP(M602,'02. MM-KLH'!$B$6:$T$823,6,0),"")</f>
        <v/>
      </c>
      <c r="C602" s="566"/>
      <c r="D602" s="613" t="str">
        <f>IFERROR(VLOOKUP(M602,'02. MM-KLH'!$B$6:$T$823,16,0),"")</f>
        <v/>
      </c>
      <c r="E602" s="613"/>
      <c r="F602" s="613"/>
      <c r="G602" s="613"/>
      <c r="H602" s="613" t="str">
        <f>IFERROR(VLOOKUP(M602,'02. MM-KLH'!$B$6:$T$823,17,0),"")</f>
        <v/>
      </c>
      <c r="I602" s="614" t="str">
        <f>IFERROR(VLOOKUP(M602,'02. MM-KLH'!$B$6:$U$823,20,0),"")</f>
        <v/>
      </c>
      <c r="J602" s="612" t="str">
        <f>IFERROR(VLOOKUP(M602,'02. MM-KLH'!$B$6:$T$823,19,0),"")</f>
        <v/>
      </c>
      <c r="K602" s="612" t="str">
        <f>IFERROR(VLOOKUP(M602,'02. MM-KLH'!$B$6:$T$823,18,0),"")</f>
        <v/>
      </c>
      <c r="L602" s="613" t="str">
        <f>IFERROR(VLOOKUP(M602,'02. MM-KLH'!$B$6:$T$823,4,0),"")</f>
        <v/>
      </c>
      <c r="M602" s="490"/>
      <c r="N602" s="615" t="str">
        <f>IFERROR(VLOOKUP(M602,'02. MM-KLH'!$B$6:$T$823,15,0),"")</f>
        <v/>
      </c>
      <c r="O602" s="616" t="str">
        <f>IFERROR(VLOOKUP(M602,'02. MM-KLH'!$B$6:$T$823,9,0),"")</f>
        <v/>
      </c>
      <c r="P602" s="613"/>
      <c r="Q602" s="613"/>
      <c r="R602" s="613"/>
      <c r="S602" s="613"/>
      <c r="T602" s="613"/>
      <c r="U602" s="613" t="str">
        <f>IFERROR(VLOOKUP(M602,'02. MM-KLH'!$B$6:$T$823,2,0),"")</f>
        <v/>
      </c>
      <c r="V602" s="523" t="str">
        <f>IFERROR(VLOOKUP(M602,'02. MM-KLH'!$B$6:$T$823,8,0),"")</f>
        <v/>
      </c>
      <c r="W602" s="559" t="str">
        <f>IFERROR(VLOOKUP(V602,'NS QUẢN LÝ CG'!$A$4:$D$36,2,0),"")</f>
        <v/>
      </c>
      <c r="X602" s="559" t="str">
        <f>IFERROR(VLOOKUP(V602,'NS QUẢN LÝ CG'!$A$4:$D$36,4,0),"")</f>
        <v/>
      </c>
      <c r="Y602" s="613"/>
      <c r="Z602" s="523" t="str">
        <f>IFERROR(VLOOKUP(M602,'02. MM-KLH'!$B$6:$T$823,3,0),"")</f>
        <v/>
      </c>
      <c r="AA602" s="613"/>
      <c r="AB602" s="523"/>
      <c r="AC602" s="523"/>
    </row>
    <row r="603" hidden="1">
      <c r="A603" s="523"/>
      <c r="B603" s="612" t="str">
        <f>IFERROR(VLOOKUP(M603,'02. MM-KLH'!$B$6:$T$823,6,0),"")</f>
        <v/>
      </c>
      <c r="C603" s="566"/>
      <c r="D603" s="613" t="str">
        <f>IFERROR(VLOOKUP(M603,'02. MM-KLH'!$B$6:$T$823,16,0),"")</f>
        <v/>
      </c>
      <c r="E603" s="613"/>
      <c r="F603" s="613"/>
      <c r="G603" s="613"/>
      <c r="H603" s="613" t="str">
        <f>IFERROR(VLOOKUP(M603,'02. MM-KLH'!$B$6:$T$823,17,0),"")</f>
        <v/>
      </c>
      <c r="I603" s="614" t="str">
        <f>IFERROR(VLOOKUP(M603,'02. MM-KLH'!$B$6:$U$823,20,0),"")</f>
        <v/>
      </c>
      <c r="J603" s="612" t="str">
        <f>IFERROR(VLOOKUP(M603,'02. MM-KLH'!$B$6:$T$823,19,0),"")</f>
        <v/>
      </c>
      <c r="K603" s="612" t="str">
        <f>IFERROR(VLOOKUP(M603,'02. MM-KLH'!$B$6:$T$823,18,0),"")</f>
        <v/>
      </c>
      <c r="L603" s="613" t="str">
        <f>IFERROR(VLOOKUP(M603,'02. MM-KLH'!$B$6:$T$823,4,0),"")</f>
        <v/>
      </c>
      <c r="M603" s="490"/>
      <c r="N603" s="615" t="str">
        <f>IFERROR(VLOOKUP(M603,'02. MM-KLH'!$B$6:$T$823,15,0),"")</f>
        <v/>
      </c>
      <c r="O603" s="616" t="str">
        <f>IFERROR(VLOOKUP(M603,'02. MM-KLH'!$B$6:$T$823,9,0),"")</f>
        <v/>
      </c>
      <c r="P603" s="613"/>
      <c r="Q603" s="613"/>
      <c r="R603" s="613"/>
      <c r="S603" s="613"/>
      <c r="T603" s="613"/>
      <c r="U603" s="613" t="str">
        <f>IFERROR(VLOOKUP(M603,'02. MM-KLH'!$B$6:$T$823,2,0),"")</f>
        <v/>
      </c>
      <c r="V603" s="523" t="str">
        <f>IFERROR(VLOOKUP(M603,'02. MM-KLH'!$B$6:$T$823,8,0),"")</f>
        <v/>
      </c>
      <c r="W603" s="613"/>
      <c r="X603" s="613"/>
      <c r="Y603" s="613"/>
      <c r="Z603" s="523" t="str">
        <f>IFERROR(VLOOKUP(M603,'02. MM-KLH'!$B$6:$T$823,3,0),"")</f>
        <v/>
      </c>
      <c r="AA603" s="613"/>
      <c r="AB603" s="523"/>
      <c r="AC603" s="523"/>
    </row>
    <row r="604" hidden="1">
      <c r="A604" s="523"/>
      <c r="B604" s="612" t="str">
        <f>IFERROR(VLOOKUP(M604,'02. MM-KLH'!$B$6:$T$823,6,0),"")</f>
        <v/>
      </c>
      <c r="C604" s="566"/>
      <c r="D604" s="613" t="str">
        <f>IFERROR(VLOOKUP(M604,'02. MM-KLH'!$B$6:$T$823,16,0),"")</f>
        <v/>
      </c>
      <c r="E604" s="613"/>
      <c r="F604" s="613"/>
      <c r="G604" s="613"/>
      <c r="H604" s="613" t="str">
        <f>IFERROR(VLOOKUP(M604,'02. MM-KLH'!$B$6:$T$823,17,0),"")</f>
        <v/>
      </c>
      <c r="I604" s="614" t="str">
        <f>IFERROR(VLOOKUP(M604,'02. MM-KLH'!$B$6:$U$823,20,0),"")</f>
        <v/>
      </c>
      <c r="J604" s="612" t="str">
        <f>IFERROR(VLOOKUP(M604,'02. MM-KLH'!$B$6:$T$823,19,0),"")</f>
        <v/>
      </c>
      <c r="K604" s="612" t="str">
        <f>IFERROR(VLOOKUP(M604,'02. MM-KLH'!$B$6:$T$823,18,0),"")</f>
        <v/>
      </c>
      <c r="L604" s="613" t="str">
        <f>IFERROR(VLOOKUP(M604,'02. MM-KLH'!$B$6:$T$823,4,0),"")</f>
        <v/>
      </c>
      <c r="M604" s="490"/>
      <c r="N604" s="615" t="str">
        <f>IFERROR(VLOOKUP(M604,'02. MM-KLH'!$B$6:$T$823,15,0),"")</f>
        <v/>
      </c>
      <c r="O604" s="616" t="str">
        <f>IFERROR(VLOOKUP(M604,'02. MM-KLH'!$B$6:$T$823,9,0),"")</f>
        <v/>
      </c>
      <c r="P604" s="613"/>
      <c r="Q604" s="613"/>
      <c r="R604" s="613"/>
      <c r="S604" s="613"/>
      <c r="T604" s="613"/>
      <c r="U604" s="613" t="str">
        <f>IFERROR(VLOOKUP(M604,'02. MM-KLH'!$B$6:$T$823,2,0),"")</f>
        <v/>
      </c>
      <c r="V604" s="523" t="str">
        <f>IFERROR(VLOOKUP(M604,'02. MM-KLH'!$B$6:$T$823,8,0),"")</f>
        <v/>
      </c>
      <c r="W604" s="613"/>
      <c r="X604" s="613"/>
      <c r="Y604" s="613"/>
      <c r="Z604" s="523" t="str">
        <f>IFERROR(VLOOKUP(M604,'02. MM-KLH'!$B$6:$T$823,3,0),"")</f>
        <v/>
      </c>
      <c r="AA604" s="613"/>
      <c r="AB604" s="523"/>
      <c r="AC604" s="523"/>
    </row>
    <row r="605">
      <c r="A605" s="695">
        <v>2.0</v>
      </c>
      <c r="B605" s="696" t="s">
        <v>1032</v>
      </c>
      <c r="C605" s="697">
        <f>COUNTA(B606:B609)</f>
        <v>3</v>
      </c>
      <c r="D605" s="698" t="str">
        <f>IFERROR(VLOOKUP(M605,'02. MM-KLH'!$B$6:$T$823,16,0),"")</f>
        <v/>
      </c>
      <c r="E605" s="698"/>
      <c r="F605" s="698"/>
      <c r="G605" s="698"/>
      <c r="H605" s="558" t="str">
        <f>IFERROR(VLOOKUP(M605,'02. MM-KLH'!$B$6:$T$823,17,0),"")</f>
        <v/>
      </c>
      <c r="I605" s="558" t="str">
        <f>IFERROR(VLOOKUP(M605,'02. MM-KLH'!$B$6:$U$823,20,0),"")</f>
        <v/>
      </c>
      <c r="J605" s="699" t="str">
        <f>IFERROR(VLOOKUP(M605,'02. MM-KLH'!$B$6:$T$823,19,0),"")</f>
        <v/>
      </c>
      <c r="K605" s="699" t="str">
        <f>IFERROR(VLOOKUP(M605,'02. MM-KLH'!$B$6:$T$823,18,0),"")</f>
        <v/>
      </c>
      <c r="L605" s="698" t="str">
        <f>IFERROR(VLOOKUP(M605,'02. MM-KLH'!$B$6:$T$823,4,0),"")</f>
        <v/>
      </c>
      <c r="M605" s="700"/>
      <c r="N605" s="698" t="str">
        <f>IFERROR(VLOOKUP(M605,'02. MM-KLH'!$B$6:$T$823,15,0),"")</f>
        <v/>
      </c>
      <c r="O605" s="701" t="str">
        <f>IFERROR(VLOOKUP(M605,'02. MM-KLH'!$B$6:$T$823,9,0),"")</f>
        <v/>
      </c>
      <c r="P605" s="698"/>
      <c r="Q605" s="698"/>
      <c r="R605" s="698"/>
      <c r="S605" s="698"/>
      <c r="T605" s="698"/>
      <c r="U605" s="698" t="str">
        <f>IFERROR(VLOOKUP(M605,'02. MM-KLH'!$B$6:$T$823,2,0),"")</f>
        <v/>
      </c>
      <c r="V605" s="558" t="str">
        <f>IFERROR(VLOOKUP(M605,'02. MM-KLH'!$B$6:$T$823,8,0),"")</f>
        <v/>
      </c>
      <c r="W605" s="698"/>
      <c r="X605" s="698"/>
      <c r="Y605" s="698"/>
      <c r="Z605" s="558" t="str">
        <f>IFERROR(VLOOKUP(M605,'02. MM-KLH'!$B$6:$T$823,3,0),"")</f>
        <v/>
      </c>
      <c r="AA605" s="698"/>
      <c r="AB605" s="558"/>
      <c r="AC605" s="558"/>
    </row>
    <row r="606">
      <c r="A606" s="523"/>
      <c r="B606" s="612" t="str">
        <f>IFERROR(VLOOKUP(M606,'02. MM-KLH'!$B$6:$T$823,6,0),"")</f>
        <v>Xe tải bồn HYUNDAI HD 270</v>
      </c>
      <c r="C606" s="566">
        <v>1.0</v>
      </c>
      <c r="D606" s="613" t="str">
        <f>IFERROR(VLOOKUP(M606,'02. MM-KLH'!$B$6:$T$823,16,0),"")</f>
        <v>HD270</v>
      </c>
      <c r="E606" s="561" t="s">
        <v>4158</v>
      </c>
      <c r="F606" s="613"/>
      <c r="G606" s="613"/>
      <c r="H606" s="613" t="str">
        <f>IFERROR(VLOOKUP(M606,'02. MM-KLH'!$B$6:$T$823,17,0),"")</f>
        <v>280HP</v>
      </c>
      <c r="I606" s="614">
        <f>IFERROR(VLOOKUP(M606,'02. MM-KLH'!$B$6:$U$823,20,0),"")</f>
        <v>0.7</v>
      </c>
      <c r="J606" s="612" t="str">
        <f>IFERROR(VLOOKUP(M606,'02. MM-KLH'!$B$6:$T$823,19,0),"")</f>
        <v>D6CAGJ310250</v>
      </c>
      <c r="K606" s="612" t="str">
        <f>IFERROR(VLOOKUP(M606,'02. MM-KLH'!$B$6:$T$823,18,0),"")</f>
        <v>KMCDH18SPHC094971</v>
      </c>
      <c r="L606" s="613" t="str">
        <f>IFERROR(VLOOKUP(M606,'02. MM-KLH'!$B$6:$T$823,4,0),"")</f>
        <v/>
      </c>
      <c r="M606" s="490" t="s">
        <v>2438</v>
      </c>
      <c r="N606" s="615">
        <f>IFERROR(VLOOKUP(M606,'02. MM-KLH'!$B$6:$T$823,15,0),"")</f>
        <v>2017</v>
      </c>
      <c r="O606" s="616">
        <f>IFERROR(VLOOKUP(M606,'02. MM-KLH'!$B$6:$T$823,9,0),"")</f>
        <v>44197</v>
      </c>
      <c r="P606" s="566" t="s">
        <v>1565</v>
      </c>
      <c r="Q606" s="613"/>
      <c r="R606" s="566" t="s">
        <v>4158</v>
      </c>
      <c r="S606" s="613"/>
      <c r="T606" s="613"/>
      <c r="U606" s="559" t="str">
        <f>IFERROR(VLOOKUP(M606,'02. MM-KLH'!$B$6:$T$823,5,0),"")</f>
        <v>ĐQSD</v>
      </c>
      <c r="V606" s="523" t="str">
        <f>IFERROR(VLOOKUP(M606,'02. MM-KLH'!$B$6:$T$823,8,0),"")</f>
        <v>Trạm trộn bê tông</v>
      </c>
      <c r="W606" s="559" t="str">
        <f>IFERROR(VLOOKUP(V606,'NS QUẢN LÝ CG'!$A$4:$D$36,2,0),"")</f>
        <v/>
      </c>
      <c r="X606" s="559" t="str">
        <f>IFERROR(VLOOKUP(V606,'NS QUẢN LÝ CG'!$A$4:$D$36,4,0),"")</f>
        <v/>
      </c>
      <c r="Y606" s="559" t="str">
        <f>IFERROR(VLOOKUP(V606,'NS QUẢN LÝ CG'!$A$4:$C$36,3,0),"")</f>
        <v/>
      </c>
      <c r="Z606" s="523" t="str">
        <f>IFERROR(VLOOKUP(M606,'02. MM-KLH'!$B$6:$T$823,3,0),"")</f>
        <v>ATT-A22-0159</v>
      </c>
      <c r="AA606" s="561" t="s">
        <v>4462</v>
      </c>
      <c r="AB606" s="523"/>
      <c r="AC606" s="523"/>
    </row>
    <row r="607">
      <c r="A607" s="523"/>
      <c r="B607" s="612" t="str">
        <f>IFERROR(VLOOKUP(M607,'02. MM-KLH'!$B$6:$T$823,6,0),"")</f>
        <v>Xe tải bồn HYUNDAI HD 270</v>
      </c>
      <c r="C607" s="566">
        <v>1.0</v>
      </c>
      <c r="D607" s="613" t="str">
        <f>IFERROR(VLOOKUP(M607,'02. MM-KLH'!$B$6:$T$823,16,0),"")</f>
        <v>HD270</v>
      </c>
      <c r="E607" s="561" t="s">
        <v>4158</v>
      </c>
      <c r="F607" s="613"/>
      <c r="G607" s="613"/>
      <c r="H607" s="613" t="str">
        <f>IFERROR(VLOOKUP(M607,'02. MM-KLH'!$B$6:$T$823,17,0),"")</f>
        <v>280HP</v>
      </c>
      <c r="I607" s="614">
        <f>IFERROR(VLOOKUP(M607,'02. MM-KLH'!$B$6:$U$823,20,0),"")</f>
        <v>0.7</v>
      </c>
      <c r="J607" s="612" t="str">
        <f>IFERROR(VLOOKUP(M607,'02. MM-KLH'!$B$6:$T$823,19,0),"")</f>
        <v>D6CAGJ309410</v>
      </c>
      <c r="K607" s="612" t="str">
        <f>IFERROR(VLOOKUP(M607,'02. MM-KLH'!$B$6:$T$823,18,0),"")</f>
        <v>KMCDH15SPHC094979</v>
      </c>
      <c r="L607" s="613" t="str">
        <f>IFERROR(VLOOKUP(M607,'02. MM-KLH'!$B$6:$T$823,4,0),"")</f>
        <v/>
      </c>
      <c r="M607" s="490" t="s">
        <v>2443</v>
      </c>
      <c r="N607" s="615">
        <f>IFERROR(VLOOKUP(M607,'02. MM-KLH'!$B$6:$T$823,15,0),"")</f>
        <v>2017</v>
      </c>
      <c r="O607" s="616">
        <f>IFERROR(VLOOKUP(M607,'02. MM-KLH'!$B$6:$T$823,9,0),"")</f>
        <v>44197</v>
      </c>
      <c r="P607" s="566" t="s">
        <v>1565</v>
      </c>
      <c r="Q607" s="613"/>
      <c r="R607" s="566" t="s">
        <v>4158</v>
      </c>
      <c r="S607" s="613"/>
      <c r="T607" s="613"/>
      <c r="U607" s="559" t="str">
        <f>IFERROR(VLOOKUP(M607,'02. MM-KLH'!$B$6:$T$823,5,0),"")</f>
        <v>ĐQSD</v>
      </c>
      <c r="V607" s="523" t="str">
        <f>IFERROR(VLOOKUP(M607,'02. MM-KLH'!$B$6:$T$823,8,0),"")</f>
        <v>Trạm trộn bê tông</v>
      </c>
      <c r="W607" s="559" t="str">
        <f>IFERROR(VLOOKUP(V607,'NS QUẢN LÝ CG'!$A$4:$D$36,2,0),"")</f>
        <v/>
      </c>
      <c r="X607" s="559" t="str">
        <f>IFERROR(VLOOKUP(V607,'NS QUẢN LÝ CG'!$A$4:$D$36,4,0),"")</f>
        <v/>
      </c>
      <c r="Y607" s="559" t="str">
        <f>IFERROR(VLOOKUP(V607,'NS QUẢN LÝ CG'!$A$4:$C$36,3,0),"")</f>
        <v/>
      </c>
      <c r="Z607" s="523" t="str">
        <f>IFERROR(VLOOKUP(M607,'02. MM-KLH'!$B$6:$T$823,3,0),"")</f>
        <v>ATT-A22-0160</v>
      </c>
      <c r="AA607" s="561" t="s">
        <v>4462</v>
      </c>
      <c r="AB607" s="523"/>
      <c r="AC607" s="523"/>
    </row>
    <row r="608">
      <c r="A608" s="523"/>
      <c r="B608" s="612" t="str">
        <f>IFERROR(VLOOKUP(M608,'02. MM-KLH'!$B$6:$T$823,6,0),"")</f>
        <v>Xe tải bồn HYUNDAI HD 270</v>
      </c>
      <c r="C608" s="566">
        <v>1.0</v>
      </c>
      <c r="D608" s="613" t="str">
        <f>IFERROR(VLOOKUP(M608,'02. MM-KLH'!$B$6:$T$823,16,0),"")</f>
        <v>HD270</v>
      </c>
      <c r="E608" s="561" t="s">
        <v>4158</v>
      </c>
      <c r="F608" s="613"/>
      <c r="G608" s="613"/>
      <c r="H608" s="613" t="str">
        <f>IFERROR(VLOOKUP(M608,'02. MM-KLH'!$B$6:$T$823,17,0),"")</f>
        <v>280HP</v>
      </c>
      <c r="I608" s="614">
        <f>IFERROR(VLOOKUP(M608,'02. MM-KLH'!$B$6:$U$823,20,0),"")</f>
        <v>0.7</v>
      </c>
      <c r="J608" s="612" t="str">
        <f>IFERROR(VLOOKUP(M608,'02. MM-KLH'!$B$6:$T$823,19,0),"")</f>
        <v>D6CAGJ309414</v>
      </c>
      <c r="K608" s="612" t="str">
        <f>IFERROR(VLOOKUP(M608,'02. MM-KLH'!$B$6:$T$823,18,0),"")</f>
        <v>KMCDH18SPHC094980</v>
      </c>
      <c r="L608" s="613" t="str">
        <f>IFERROR(VLOOKUP(M608,'02. MM-KLH'!$B$6:$T$823,4,0),"")</f>
        <v/>
      </c>
      <c r="M608" s="490" t="s">
        <v>2446</v>
      </c>
      <c r="N608" s="615">
        <f>IFERROR(VLOOKUP(M608,'02. MM-KLH'!$B$6:$T$823,15,0),"")</f>
        <v>2017</v>
      </c>
      <c r="O608" s="616">
        <f>IFERROR(VLOOKUP(M608,'02. MM-KLH'!$B$6:$T$823,9,0),"")</f>
        <v>44197</v>
      </c>
      <c r="P608" s="566" t="s">
        <v>1565</v>
      </c>
      <c r="Q608" s="613"/>
      <c r="R608" s="566" t="s">
        <v>4158</v>
      </c>
      <c r="S608" s="613"/>
      <c r="T608" s="613"/>
      <c r="U608" s="559" t="str">
        <f>IFERROR(VLOOKUP(M608,'02. MM-KLH'!$B$6:$T$823,5,0),"")</f>
        <v>ĐQSD</v>
      </c>
      <c r="V608" s="523" t="str">
        <f>IFERROR(VLOOKUP(M608,'02. MM-KLH'!$B$6:$T$823,8,0),"")</f>
        <v>Trạm trộn bê tông</v>
      </c>
      <c r="W608" s="559" t="str">
        <f>IFERROR(VLOOKUP(V608,'NS QUẢN LÝ CG'!$A$4:$D$36,2,0),"")</f>
        <v/>
      </c>
      <c r="X608" s="559" t="str">
        <f>IFERROR(VLOOKUP(V608,'NS QUẢN LÝ CG'!$A$4:$D$36,4,0),"")</f>
        <v/>
      </c>
      <c r="Y608" s="559" t="str">
        <f>IFERROR(VLOOKUP(V608,'NS QUẢN LÝ CG'!$A$4:$C$36,3,0),"")</f>
        <v/>
      </c>
      <c r="Z608" s="523" t="str">
        <f>IFERROR(VLOOKUP(M608,'02. MM-KLH'!$B$6:$T$823,3,0),"")</f>
        <v>ATT-A22-0161</v>
      </c>
      <c r="AA608" s="561" t="s">
        <v>4462</v>
      </c>
      <c r="AB608" s="523"/>
      <c r="AC608" s="523"/>
    </row>
    <row r="609">
      <c r="A609" s="523"/>
      <c r="B609" s="612"/>
      <c r="C609" s="566"/>
      <c r="D609" s="613"/>
      <c r="E609" s="613"/>
      <c r="F609" s="613"/>
      <c r="G609" s="613"/>
      <c r="H609" s="613"/>
      <c r="I609" s="614"/>
      <c r="J609" s="612"/>
      <c r="K609" s="612"/>
      <c r="L609" s="613"/>
      <c r="M609" s="490"/>
      <c r="N609" s="615"/>
      <c r="O609" s="616"/>
      <c r="P609" s="613"/>
      <c r="Q609" s="613"/>
      <c r="R609" s="613"/>
      <c r="S609" s="613"/>
      <c r="T609" s="613"/>
      <c r="U609" s="613"/>
      <c r="V609" s="523"/>
      <c r="W609" s="613"/>
      <c r="X609" s="559" t="str">
        <f>IFERROR(VLOOKUP(V609,'NS QUẢN LÝ CG'!$A$4:$D$36,4,0),"")</f>
        <v/>
      </c>
      <c r="Y609" s="613"/>
      <c r="Z609" s="523"/>
      <c r="AA609" s="613"/>
      <c r="AB609" s="523"/>
      <c r="AC609" s="523"/>
    </row>
    <row r="610">
      <c r="A610" s="695">
        <v>3.0</v>
      </c>
      <c r="B610" s="696" t="s">
        <v>2451</v>
      </c>
      <c r="C610" s="697">
        <f>COUNTA(B611:B612)</f>
        <v>1</v>
      </c>
      <c r="D610" s="698" t="str">
        <f>IFERROR(VLOOKUP(M610,'02. MM-KLH'!$B$6:$T$823,16,0),"")</f>
        <v/>
      </c>
      <c r="E610" s="698"/>
      <c r="F610" s="698"/>
      <c r="G610" s="698"/>
      <c r="H610" s="558" t="str">
        <f>IFERROR(VLOOKUP(M610,'02. MM-KLH'!$B$6:$T$823,17,0),"")</f>
        <v/>
      </c>
      <c r="I610" s="558" t="str">
        <f>IFERROR(VLOOKUP(M610,'02. MM-KLH'!$B$6:$U$823,20,0),"")</f>
        <v/>
      </c>
      <c r="J610" s="699" t="str">
        <f>IFERROR(VLOOKUP(M610,'02. MM-KLH'!$B$6:$T$823,19,0),"")</f>
        <v/>
      </c>
      <c r="K610" s="699" t="str">
        <f>IFERROR(VLOOKUP(M610,'02. MM-KLH'!$B$6:$T$823,18,0),"")</f>
        <v/>
      </c>
      <c r="L610" s="698" t="str">
        <f>IFERROR(VLOOKUP(M610,'02. MM-KLH'!$B$6:$T$823,4,0),"")</f>
        <v/>
      </c>
      <c r="M610" s="700"/>
      <c r="N610" s="698" t="str">
        <f>IFERROR(VLOOKUP(M610,'02. MM-KLH'!$B$6:$T$823,15,0),"")</f>
        <v/>
      </c>
      <c r="O610" s="701" t="str">
        <f>IFERROR(VLOOKUP(M610,'02. MM-KLH'!$B$6:$T$823,9,0),"")</f>
        <v/>
      </c>
      <c r="P610" s="698"/>
      <c r="Q610" s="698"/>
      <c r="R610" s="698"/>
      <c r="S610" s="698"/>
      <c r="T610" s="698"/>
      <c r="U610" s="698" t="str">
        <f>IFERROR(VLOOKUP(M610,'02. MM-KLH'!$B$6:$T$823,2,0),"")</f>
        <v/>
      </c>
      <c r="V610" s="558" t="str">
        <f>IFERROR(VLOOKUP(M610,'02. MM-KLH'!$B$6:$T$823,8,0),"")</f>
        <v/>
      </c>
      <c r="W610" s="698"/>
      <c r="X610" s="698"/>
      <c r="Y610" s="698"/>
      <c r="Z610" s="558" t="str">
        <f>IFERROR(VLOOKUP(M610,'02. MM-KLH'!$B$6:$T$823,3,0),"")</f>
        <v/>
      </c>
      <c r="AA610" s="698"/>
      <c r="AB610" s="558"/>
      <c r="AC610" s="558"/>
    </row>
    <row r="611">
      <c r="A611" s="523"/>
      <c r="B611" s="612" t="str">
        <f>IFERROR(VLOOKUP(M611,'02. MM-KLH'!$B$6:$T$823,6,0),"")</f>
        <v>Xe tải bồn FORTON</v>
      </c>
      <c r="C611" s="566">
        <v>1.0</v>
      </c>
      <c r="D611" s="613" t="str">
        <f>IFERROR(VLOOKUP(M611,'02. MM-KLH'!$B$6:$T$823,16,0),"")</f>
        <v>BJ5253GJB-AB</v>
      </c>
      <c r="E611" s="561" t="s">
        <v>4158</v>
      </c>
      <c r="F611" s="613"/>
      <c r="G611" s="613"/>
      <c r="H611" s="613" t="str">
        <f>IFERROR(VLOOKUP(M611,'02. MM-KLH'!$B$6:$T$823,17,0),"")</f>
        <v>335HP</v>
      </c>
      <c r="I611" s="614">
        <f>IFERROR(VLOOKUP(M611,'02. MM-KLH'!$B$6:$U$823,20,0),"")</f>
        <v>0.7</v>
      </c>
      <c r="J611" s="612" t="str">
        <f>IFERROR(VLOOKUP(M611,'02. MM-KLH'!$B$6:$T$823,19,0),"")</f>
        <v>ISGe534076226632</v>
      </c>
      <c r="K611" s="612" t="str">
        <f>IFERROR(VLOOKUP(M611,'02. MM-KLH'!$B$6:$T$823,18,0),"")</f>
        <v>LRDV6PEC7JH613967</v>
      </c>
      <c r="L611" s="613" t="str">
        <f>IFERROR(VLOOKUP(M611,'02. MM-KLH'!$B$6:$T$823,4,0),"")</f>
        <v/>
      </c>
      <c r="M611" s="490" t="s">
        <v>2449</v>
      </c>
      <c r="N611" s="615">
        <f>IFERROR(VLOOKUP(M611,'02. MM-KLH'!$B$6:$T$823,15,0),"")</f>
        <v>2018</v>
      </c>
      <c r="O611" s="616">
        <f>IFERROR(VLOOKUP(M611,'02. MM-KLH'!$B$6:$T$823,9,0),"")</f>
        <v>44197</v>
      </c>
      <c r="P611" s="566" t="s">
        <v>1565</v>
      </c>
      <c r="Q611" s="613"/>
      <c r="R611" s="566" t="s">
        <v>4158</v>
      </c>
      <c r="S611" s="613"/>
      <c r="T611" s="613"/>
      <c r="U611" s="559" t="str">
        <f>IFERROR(VLOOKUP(M611,'02. MM-KLH'!$B$6:$T$823,5,0),"")</f>
        <v>ĐQSD</v>
      </c>
      <c r="V611" s="523" t="str">
        <f>IFERROR(VLOOKUP(M611,'02. MM-KLH'!$B$6:$T$823,8,0),"")</f>
        <v>Trạm trộn bê tông</v>
      </c>
      <c r="W611" s="559" t="str">
        <f>IFERROR(VLOOKUP(V611,'NS QUẢN LÝ CG'!$A$4:$D$36,2,0),"")</f>
        <v/>
      </c>
      <c r="X611" s="559" t="str">
        <f>IFERROR(VLOOKUP(V611,'NS QUẢN LÝ CG'!$A$4:$D$36,4,0),"")</f>
        <v/>
      </c>
      <c r="Y611" s="559" t="str">
        <f>IFERROR(VLOOKUP(V611,'NS QUẢN LÝ CG'!$A$4:$C$36,3,0),"")</f>
        <v/>
      </c>
      <c r="Z611" s="523" t="str">
        <f>IFERROR(VLOOKUP(M611,'02. MM-KLH'!$B$6:$T$823,3,0),"")</f>
        <v>ATT-A22-0162</v>
      </c>
      <c r="AA611" s="561" t="s">
        <v>4462</v>
      </c>
      <c r="AB611" s="523"/>
      <c r="AC611" s="523"/>
    </row>
    <row r="612">
      <c r="A612" s="523"/>
      <c r="B612" s="612"/>
      <c r="C612" s="566"/>
      <c r="D612" s="613"/>
      <c r="E612" s="613"/>
      <c r="F612" s="613"/>
      <c r="G612" s="613"/>
      <c r="H612" s="613"/>
      <c r="I612" s="614"/>
      <c r="J612" s="612"/>
      <c r="K612" s="612"/>
      <c r="L612" s="613"/>
      <c r="M612" s="490"/>
      <c r="N612" s="615"/>
      <c r="O612" s="616"/>
      <c r="P612" s="613"/>
      <c r="Q612" s="613"/>
      <c r="R612" s="613"/>
      <c r="S612" s="613"/>
      <c r="T612" s="613"/>
      <c r="U612" s="613"/>
      <c r="V612" s="523"/>
      <c r="W612" s="559" t="str">
        <f>IFERROR(VLOOKUP(V612,'NS QUẢN LÝ CG'!$A$4:$D$36,2,0),"")</f>
        <v/>
      </c>
      <c r="X612" s="613"/>
      <c r="Y612" s="613"/>
      <c r="Z612" s="523"/>
      <c r="AA612" s="613"/>
      <c r="AB612" s="523"/>
      <c r="AC612" s="523"/>
    </row>
    <row r="613">
      <c r="A613" s="695">
        <v>4.0</v>
      </c>
      <c r="B613" s="696" t="s">
        <v>2203</v>
      </c>
      <c r="C613" s="697">
        <f>COUNTA(B614:B621)</f>
        <v>6</v>
      </c>
      <c r="D613" s="698" t="str">
        <f>IFERROR(VLOOKUP(M613,'02. MM-KLH'!$B$6:$T$823,16,0),"")</f>
        <v/>
      </c>
      <c r="E613" s="698"/>
      <c r="F613" s="698"/>
      <c r="G613" s="698"/>
      <c r="H613" s="558" t="str">
        <f>IFERROR(VLOOKUP(M613,'02. MM-KLH'!$B$6:$T$823,17,0),"")</f>
        <v/>
      </c>
      <c r="I613" s="558" t="str">
        <f>IFERROR(VLOOKUP(M613,'02. MM-KLH'!$B$6:$U$823,20,0),"")</f>
        <v/>
      </c>
      <c r="J613" s="699" t="str">
        <f>IFERROR(VLOOKUP(M613,'02. MM-KLH'!$B$6:$T$823,19,0),"")</f>
        <v/>
      </c>
      <c r="K613" s="699" t="str">
        <f>IFERROR(VLOOKUP(M613,'02. MM-KLH'!$B$6:$T$823,18,0),"")</f>
        <v/>
      </c>
      <c r="L613" s="698" t="str">
        <f>IFERROR(VLOOKUP(M613,'02. MM-KLH'!$B$6:$T$823,4,0),"")</f>
        <v/>
      </c>
      <c r="M613" s="700"/>
      <c r="N613" s="698" t="str">
        <f>IFERROR(VLOOKUP(M613,'02. MM-KLH'!$B$6:$T$823,15,0),"")</f>
        <v/>
      </c>
      <c r="O613" s="701" t="str">
        <f>IFERROR(VLOOKUP(M613,'02. MM-KLH'!$B$6:$T$823,9,0),"")</f>
        <v/>
      </c>
      <c r="P613" s="698"/>
      <c r="Q613" s="698"/>
      <c r="R613" s="698"/>
      <c r="S613" s="698"/>
      <c r="T613" s="698"/>
      <c r="U613" s="698" t="str">
        <f>IFERROR(VLOOKUP(M613,'02. MM-KLH'!$B$6:$T$823,2,0),"")</f>
        <v/>
      </c>
      <c r="V613" s="558" t="str">
        <f>IFERROR(VLOOKUP(M613,'02. MM-KLH'!$B$6:$T$823,8,0),"")</f>
        <v/>
      </c>
      <c r="W613" s="698"/>
      <c r="X613" s="698"/>
      <c r="Y613" s="698"/>
      <c r="Z613" s="558" t="str">
        <f>IFERROR(VLOOKUP(M613,'02. MM-KLH'!$B$6:$T$823,3,0),"")</f>
        <v/>
      </c>
      <c r="AA613" s="698"/>
      <c r="AB613" s="558"/>
      <c r="AC613" s="558"/>
    </row>
    <row r="614">
      <c r="A614" s="523"/>
      <c r="B614" s="612" t="str">
        <f>IFERROR(VLOOKUP(M614,'02. MM-KLH'!$B$6:$T$823,6,0),"")</f>
        <v>Xe tải bồn CNHTC Sinotruk</v>
      </c>
      <c r="C614" s="566">
        <v>1.0</v>
      </c>
      <c r="D614" s="613" t="str">
        <f>IFERROR(VLOOKUP(M614,'02. MM-KLH'!$B$6:$T$823,16,0),"")</f>
        <v>ZZ5257GJBN3847E1</v>
      </c>
      <c r="E614" s="561" t="s">
        <v>4158</v>
      </c>
      <c r="F614" s="613"/>
      <c r="G614" s="613"/>
      <c r="H614" s="613" t="str">
        <f>IFERROR(VLOOKUP(M614,'02. MM-KLH'!$B$6:$T$823,17,0),"")</f>
        <v>338.5HP</v>
      </c>
      <c r="I614" s="614">
        <f>IFERROR(VLOOKUP(M614,'02. MM-KLH'!$B$6:$U$823,20,0),"")</f>
        <v>0.7</v>
      </c>
      <c r="J614" s="612" t="str">
        <f>IFERROR(VLOOKUP(M614,'02. MM-KLH'!$B$6:$T$823,19,0),"")</f>
        <v>D103450230507007387</v>
      </c>
      <c r="K614" s="612" t="str">
        <f>IFERROR(VLOOKUP(M614,'02. MM-KLH'!$B$6:$T$823,18,0),"")</f>
        <v>LZZ1BLND6PA126475</v>
      </c>
      <c r="L614" s="613" t="str">
        <f>IFERROR(VLOOKUP(M614,'02. MM-KLH'!$B$6:$T$823,4,0),"")</f>
        <v>5A-0004</v>
      </c>
      <c r="M614" s="490" t="s">
        <v>2456</v>
      </c>
      <c r="N614" s="615">
        <f>IFERROR(VLOOKUP(M614,'02. MM-KLH'!$B$6:$T$823,15,0),"")</f>
        <v>2023</v>
      </c>
      <c r="O614" s="616" t="str">
        <f>IFERROR(VLOOKUP(M614,'02. MM-KLH'!$B$6:$T$823,9,0),"")</f>
        <v>17/12/2023</v>
      </c>
      <c r="P614" s="613"/>
      <c r="Q614" s="613"/>
      <c r="R614" s="566" t="s">
        <v>4158</v>
      </c>
      <c r="S614" s="613"/>
      <c r="T614" s="613"/>
      <c r="U614" s="559" t="str">
        <f>IFERROR(VLOOKUP(M614,'02. MM-KLH'!$B$6:$T$823,5,0),"")</f>
        <v>MỚI</v>
      </c>
      <c r="V614" s="523" t="str">
        <f>IFERROR(VLOOKUP(M614,'02. MM-KLH'!$B$6:$T$823,8,0),"")</f>
        <v>Trạm trộn bê tông</v>
      </c>
      <c r="W614" s="559" t="str">
        <f>IFERROR(VLOOKUP(V614,'NS QUẢN LÝ CG'!$A$4:$D$36,2,0),"")</f>
        <v/>
      </c>
      <c r="X614" s="559" t="str">
        <f>IFERROR(VLOOKUP(V614,'NS QUẢN LÝ CG'!$A$4:$D$36,4,0),"")</f>
        <v/>
      </c>
      <c r="Y614" s="559" t="str">
        <f>IFERROR(VLOOKUP(V614,'NS QUẢN LÝ CG'!$A$4:$C$36,3,0),"")</f>
        <v/>
      </c>
      <c r="Z614" s="523" t="str">
        <f>IFERROR(VLOOKUP(M614,'02. MM-KLH'!$B$6:$T$823,3,0),"")</f>
        <v>ATT-A22-0311</v>
      </c>
      <c r="AA614" s="561" t="s">
        <v>4462</v>
      </c>
      <c r="AB614" s="523"/>
      <c r="AC614" s="523"/>
    </row>
    <row r="615">
      <c r="A615" s="523"/>
      <c r="B615" s="612" t="str">
        <f>IFERROR(VLOOKUP(M615,'02. MM-KLH'!$B$6:$T$823,6,0),"")</f>
        <v>Xe tải bồn CNHTC Sinotruk</v>
      </c>
      <c r="C615" s="566">
        <v>1.0</v>
      </c>
      <c r="D615" s="613" t="str">
        <f>IFERROR(VLOOKUP(M615,'02. MM-KLH'!$B$6:$T$823,16,0),"")</f>
        <v>ZZ5257GJBN3847E1</v>
      </c>
      <c r="E615" s="561" t="s">
        <v>4158</v>
      </c>
      <c r="F615" s="613"/>
      <c r="G615" s="613"/>
      <c r="H615" s="613" t="str">
        <f>IFERROR(VLOOKUP(M615,'02. MM-KLH'!$B$6:$T$823,17,0),"")</f>
        <v>338.5HP</v>
      </c>
      <c r="I615" s="614">
        <f>IFERROR(VLOOKUP(M615,'02. MM-KLH'!$B$6:$U$823,20,0),"")</f>
        <v>0.7</v>
      </c>
      <c r="J615" s="612" t="str">
        <f>IFERROR(VLOOKUP(M615,'02. MM-KLH'!$B$6:$T$823,19,0),"")</f>
        <v>D103450230507007397</v>
      </c>
      <c r="K615" s="612" t="str">
        <f>IFERROR(VLOOKUP(M615,'02. MM-KLH'!$B$6:$T$823,18,0),"")</f>
        <v>LZZ1BLND8PA126476</v>
      </c>
      <c r="L615" s="613" t="str">
        <f>IFERROR(VLOOKUP(M615,'02. MM-KLH'!$B$6:$T$823,4,0),"")</f>
        <v>5A-0006</v>
      </c>
      <c r="M615" s="490" t="s">
        <v>2465</v>
      </c>
      <c r="N615" s="615">
        <f>IFERROR(VLOOKUP(M615,'02. MM-KLH'!$B$6:$T$823,15,0),"")</f>
        <v>2023</v>
      </c>
      <c r="O615" s="616">
        <f>IFERROR(VLOOKUP(M615,'02. MM-KLH'!$B$6:$T$823,9,0),"")</f>
        <v>45150</v>
      </c>
      <c r="P615" s="613"/>
      <c r="Q615" s="613"/>
      <c r="R615" s="566" t="s">
        <v>4158</v>
      </c>
      <c r="S615" s="613"/>
      <c r="T615" s="613"/>
      <c r="U615" s="559" t="str">
        <f>IFERROR(VLOOKUP(M615,'02. MM-KLH'!$B$6:$T$823,5,0),"")</f>
        <v>MỚI</v>
      </c>
      <c r="V615" s="523" t="str">
        <f>IFERROR(VLOOKUP(M615,'02. MM-KLH'!$B$6:$T$823,8,0),"")</f>
        <v>Trạm trộn bê tông</v>
      </c>
      <c r="W615" s="559" t="str">
        <f>IFERROR(VLOOKUP(V615,'NS QUẢN LÝ CG'!$A$4:$D$36,2,0),"")</f>
        <v/>
      </c>
      <c r="X615" s="559" t="str">
        <f>IFERROR(VLOOKUP(V615,'NS QUẢN LÝ CG'!$A$4:$D$36,4,0),"")</f>
        <v/>
      </c>
      <c r="Y615" s="559" t="str">
        <f>IFERROR(VLOOKUP(V615,'NS QUẢN LÝ CG'!$A$4:$C$36,3,0),"")</f>
        <v/>
      </c>
      <c r="Z615" s="523" t="str">
        <f>IFERROR(VLOOKUP(M615,'02. MM-KLH'!$B$6:$T$823,3,0),"")</f>
        <v>ATT-A22-0306</v>
      </c>
      <c r="AA615" s="561" t="s">
        <v>4462</v>
      </c>
      <c r="AB615" s="523"/>
      <c r="AC615" s="523"/>
    </row>
    <row r="616">
      <c r="A616" s="523"/>
      <c r="B616" s="612" t="str">
        <f>IFERROR(VLOOKUP(M616,'02. MM-KLH'!$B$6:$T$823,6,0),"")</f>
        <v>Xe tải bồn CNHTC Sinotruk</v>
      </c>
      <c r="C616" s="566">
        <v>1.0</v>
      </c>
      <c r="D616" s="613" t="str">
        <f>IFERROR(VLOOKUP(M616,'02. MM-KLH'!$B$6:$T$823,16,0),"")</f>
        <v>ZZ5257GJBN3847E1</v>
      </c>
      <c r="E616" s="561" t="s">
        <v>4158</v>
      </c>
      <c r="F616" s="613"/>
      <c r="G616" s="613"/>
      <c r="H616" s="613" t="str">
        <f>IFERROR(VLOOKUP(M616,'02. MM-KLH'!$B$6:$T$823,17,0),"")</f>
        <v>338.5HP</v>
      </c>
      <c r="I616" s="614">
        <f>IFERROR(VLOOKUP(M616,'02. MM-KLH'!$B$6:$U$823,20,0),"")</f>
        <v>0.7</v>
      </c>
      <c r="J616" s="612" t="str">
        <f>IFERROR(VLOOKUP(M616,'02. MM-KLH'!$B$6:$T$823,19,0),"")</f>
        <v>D103450230507007367</v>
      </c>
      <c r="K616" s="612" t="str">
        <f>IFERROR(VLOOKUP(M616,'02. MM-KLH'!$B$6:$T$823,18,0),"")</f>
        <v>LZZ1BLNDXPA126477</v>
      </c>
      <c r="L616" s="613" t="str">
        <f>IFERROR(VLOOKUP(M616,'02. MM-KLH'!$B$6:$T$823,4,0),"")</f>
        <v>5A-0002</v>
      </c>
      <c r="M616" s="490" t="s">
        <v>2469</v>
      </c>
      <c r="N616" s="615">
        <f>IFERROR(VLOOKUP(M616,'02. MM-KLH'!$B$6:$T$823,15,0),"")</f>
        <v>2023</v>
      </c>
      <c r="O616" s="616">
        <f>IFERROR(VLOOKUP(M616,'02. MM-KLH'!$B$6:$T$823,9,0),"")</f>
        <v>45150</v>
      </c>
      <c r="P616" s="613"/>
      <c r="Q616" s="613"/>
      <c r="R616" s="566" t="s">
        <v>4158</v>
      </c>
      <c r="S616" s="613"/>
      <c r="T616" s="613"/>
      <c r="U616" s="559" t="str">
        <f>IFERROR(VLOOKUP(M616,'02. MM-KLH'!$B$6:$T$823,5,0),"")</f>
        <v>MỚI</v>
      </c>
      <c r="V616" s="523" t="str">
        <f>IFERROR(VLOOKUP(M616,'02. MM-KLH'!$B$6:$T$823,8,0),"")</f>
        <v>Trạm trộn bê tông</v>
      </c>
      <c r="W616" s="559" t="str">
        <f>IFERROR(VLOOKUP(V616,'NS QUẢN LÝ CG'!$A$4:$D$36,2,0),"")</f>
        <v/>
      </c>
      <c r="X616" s="559" t="str">
        <f>IFERROR(VLOOKUP(V616,'NS QUẢN LÝ CG'!$A$4:$D$36,4,0),"")</f>
        <v/>
      </c>
      <c r="Y616" s="559" t="str">
        <f>IFERROR(VLOOKUP(V616,'NS QUẢN LÝ CG'!$A$4:$C$36,3,0),"")</f>
        <v/>
      </c>
      <c r="Z616" s="523" t="str">
        <f>IFERROR(VLOOKUP(M616,'02. MM-KLH'!$B$6:$T$823,3,0),"")</f>
        <v>ATT-A22-0307</v>
      </c>
      <c r="AA616" s="561" t="s">
        <v>4462</v>
      </c>
      <c r="AB616" s="523"/>
      <c r="AC616" s="523"/>
    </row>
    <row r="617">
      <c r="A617" s="523"/>
      <c r="B617" s="612" t="str">
        <f>IFERROR(VLOOKUP(M617,'02. MM-KLH'!$B$6:$T$823,6,0),"")</f>
        <v>Xe tải bồn CNHTC Sinotruk</v>
      </c>
      <c r="C617" s="566">
        <v>1.0</v>
      </c>
      <c r="D617" s="613" t="str">
        <f>IFERROR(VLOOKUP(M617,'02. MM-KLH'!$B$6:$T$823,16,0),"")</f>
        <v>ZZ5257GJBN3847E1</v>
      </c>
      <c r="E617" s="561" t="s">
        <v>4158</v>
      </c>
      <c r="F617" s="613"/>
      <c r="G617" s="613"/>
      <c r="H617" s="613" t="str">
        <f>IFERROR(VLOOKUP(M617,'02. MM-KLH'!$B$6:$T$823,17,0),"")</f>
        <v>338.5HP</v>
      </c>
      <c r="I617" s="614">
        <f>IFERROR(VLOOKUP(M617,'02. MM-KLH'!$B$6:$U$823,20,0),"")</f>
        <v>0.7</v>
      </c>
      <c r="J617" s="612" t="str">
        <f>IFERROR(VLOOKUP(M617,'02. MM-KLH'!$B$6:$T$823,19,0),"")</f>
        <v>D103450230507007327</v>
      </c>
      <c r="K617" s="612" t="str">
        <f>IFERROR(VLOOKUP(M617,'02. MM-KLH'!$B$6:$T$823,18,0),"")</f>
        <v>LZZ1BLND1PA126478</v>
      </c>
      <c r="L617" s="613" t="str">
        <f>IFERROR(VLOOKUP(M617,'02. MM-KLH'!$B$6:$T$823,4,0),"")</f>
        <v>5A-0005</v>
      </c>
      <c r="M617" s="490" t="s">
        <v>2473</v>
      </c>
      <c r="N617" s="615">
        <f>IFERROR(VLOOKUP(M617,'02. MM-KLH'!$B$6:$T$823,15,0),"")</f>
        <v>2023</v>
      </c>
      <c r="O617" s="616">
        <f>IFERROR(VLOOKUP(M617,'02. MM-KLH'!$B$6:$T$823,9,0),"")</f>
        <v>45150</v>
      </c>
      <c r="P617" s="613"/>
      <c r="Q617" s="613"/>
      <c r="R617" s="566" t="s">
        <v>4158</v>
      </c>
      <c r="S617" s="613"/>
      <c r="T617" s="613"/>
      <c r="U617" s="559" t="str">
        <f>IFERROR(VLOOKUP(M617,'02. MM-KLH'!$B$6:$T$823,5,0),"")</f>
        <v>MỚI</v>
      </c>
      <c r="V617" s="523" t="str">
        <f>IFERROR(VLOOKUP(M617,'02. MM-KLH'!$B$6:$T$823,8,0),"")</f>
        <v>Trạm trộn bê tông</v>
      </c>
      <c r="W617" s="559" t="str">
        <f>IFERROR(VLOOKUP(V617,'NS QUẢN LÝ CG'!$A$4:$D$36,2,0),"")</f>
        <v/>
      </c>
      <c r="X617" s="559" t="str">
        <f>IFERROR(VLOOKUP(V617,'NS QUẢN LÝ CG'!$A$4:$D$36,4,0),"")</f>
        <v/>
      </c>
      <c r="Y617" s="559" t="str">
        <f>IFERROR(VLOOKUP(V617,'NS QUẢN LÝ CG'!$A$4:$C$36,3,0),"")</f>
        <v/>
      </c>
      <c r="Z617" s="523" t="str">
        <f>IFERROR(VLOOKUP(M617,'02. MM-KLH'!$B$6:$T$823,3,0),"")</f>
        <v>ATT-A22-0308</v>
      </c>
      <c r="AA617" s="561" t="s">
        <v>4462</v>
      </c>
      <c r="AB617" s="523"/>
      <c r="AC617" s="523"/>
    </row>
    <row r="618">
      <c r="A618" s="523"/>
      <c r="B618" s="612" t="str">
        <f>IFERROR(VLOOKUP(M618,'02. MM-KLH'!$B$6:$T$823,6,0),"")</f>
        <v>Xe tải bồn CNHTC Sinotruk</v>
      </c>
      <c r="C618" s="566">
        <v>1.0</v>
      </c>
      <c r="D618" s="613" t="str">
        <f>IFERROR(VLOOKUP(M618,'02. MM-KLH'!$B$6:$T$823,16,0),"")</f>
        <v>ZZ5257GJBN3847E1</v>
      </c>
      <c r="E618" s="561" t="s">
        <v>4158</v>
      </c>
      <c r="F618" s="613"/>
      <c r="G618" s="613"/>
      <c r="H618" s="613" t="str">
        <f>IFERROR(VLOOKUP(M618,'02. MM-KLH'!$B$6:$T$823,17,0),"")</f>
        <v>338.5HP</v>
      </c>
      <c r="I618" s="614">
        <f>IFERROR(VLOOKUP(M618,'02. MM-KLH'!$B$6:$U$823,20,0),"")</f>
        <v>0.7</v>
      </c>
      <c r="J618" s="612" t="str">
        <f>IFERROR(VLOOKUP(M618,'02. MM-KLH'!$B$6:$T$823,19,0),"")</f>
        <v>D103450230507007377</v>
      </c>
      <c r="K618" s="612" t="str">
        <f>IFERROR(VLOOKUP(M618,'02. MM-KLH'!$B$6:$T$823,18,0),"")</f>
        <v>LZZ1BLND3PA126479</v>
      </c>
      <c r="L618" s="613" t="str">
        <f>IFERROR(VLOOKUP(M618,'02. MM-KLH'!$B$6:$T$823,4,0),"")</f>
        <v>5A-0003</v>
      </c>
      <c r="M618" s="490" t="s">
        <v>2477</v>
      </c>
      <c r="N618" s="615">
        <f>IFERROR(VLOOKUP(M618,'02. MM-KLH'!$B$6:$T$823,15,0),"")</f>
        <v>2023</v>
      </c>
      <c r="O618" s="616">
        <f>IFERROR(VLOOKUP(M618,'02. MM-KLH'!$B$6:$T$823,9,0),"")</f>
        <v>45150</v>
      </c>
      <c r="P618" s="613"/>
      <c r="Q618" s="613"/>
      <c r="R618" s="566" t="s">
        <v>4158</v>
      </c>
      <c r="S618" s="613"/>
      <c r="T618" s="613"/>
      <c r="U618" s="559" t="str">
        <f>IFERROR(VLOOKUP(M618,'02. MM-KLH'!$B$6:$T$823,5,0),"")</f>
        <v>MỚI</v>
      </c>
      <c r="V618" s="523" t="str">
        <f>IFERROR(VLOOKUP(M618,'02. MM-KLH'!$B$6:$T$823,8,0),"")</f>
        <v>Trạm trộn bê tông</v>
      </c>
      <c r="W618" s="559" t="str">
        <f>IFERROR(VLOOKUP(V618,'NS QUẢN LÝ CG'!$A$4:$D$36,2,0),"")</f>
        <v/>
      </c>
      <c r="X618" s="559" t="str">
        <f>IFERROR(VLOOKUP(V618,'NS QUẢN LÝ CG'!$A$4:$D$36,4,0),"")</f>
        <v/>
      </c>
      <c r="Y618" s="559" t="str">
        <f>IFERROR(VLOOKUP(V618,'NS QUẢN LÝ CG'!$A$4:$C$36,3,0),"")</f>
        <v/>
      </c>
      <c r="Z618" s="523" t="str">
        <f>IFERROR(VLOOKUP(M618,'02. MM-KLH'!$B$6:$T$823,3,0),"")</f>
        <v>ATT-A22-0309</v>
      </c>
      <c r="AA618" s="561" t="s">
        <v>4462</v>
      </c>
      <c r="AB618" s="523"/>
      <c r="AC618" s="523"/>
    </row>
    <row r="619">
      <c r="A619" s="523"/>
      <c r="B619" s="612" t="str">
        <f>IFERROR(VLOOKUP(M619,'02. MM-KLH'!$B$6:$T$823,6,0),"")</f>
        <v>Xe tải bồn CNHTC Sinotruk</v>
      </c>
      <c r="C619" s="566">
        <v>1.0</v>
      </c>
      <c r="D619" s="613" t="str">
        <f>IFERROR(VLOOKUP(M619,'02. MM-KLH'!$B$6:$T$823,16,0),"")</f>
        <v>ZZ5257GJBN3847E1</v>
      </c>
      <c r="E619" s="561" t="s">
        <v>4158</v>
      </c>
      <c r="F619" s="613"/>
      <c r="G619" s="613"/>
      <c r="H619" s="613" t="str">
        <f>IFERROR(VLOOKUP(M619,'02. MM-KLH'!$B$6:$T$823,17,0),"")</f>
        <v>338.5HP</v>
      </c>
      <c r="I619" s="614">
        <f>IFERROR(VLOOKUP(M619,'02. MM-KLH'!$B$6:$U$823,20,0),"")</f>
        <v>0.7</v>
      </c>
      <c r="J619" s="612" t="str">
        <f>IFERROR(VLOOKUP(M619,'02. MM-KLH'!$B$6:$T$823,19,0),"")</f>
        <v>D103450230507007347</v>
      </c>
      <c r="K619" s="612" t="str">
        <f>IFERROR(VLOOKUP(M619,'02. MM-KLH'!$B$6:$T$823,18,0),"")</f>
        <v>LZZ1BLND3PA126482</v>
      </c>
      <c r="L619" s="613" t="str">
        <f>IFERROR(VLOOKUP(M619,'02. MM-KLH'!$B$6:$T$823,4,0),"")</f>
        <v>5A-0001</v>
      </c>
      <c r="M619" s="490" t="s">
        <v>2482</v>
      </c>
      <c r="N619" s="615">
        <f>IFERROR(VLOOKUP(M619,'02. MM-KLH'!$B$6:$T$823,15,0),"")</f>
        <v>2023</v>
      </c>
      <c r="O619" s="616">
        <f>IFERROR(VLOOKUP(M619,'02. MM-KLH'!$B$6:$T$823,9,0),"")</f>
        <v>45150</v>
      </c>
      <c r="P619" s="613"/>
      <c r="Q619" s="613"/>
      <c r="R619" s="566" t="s">
        <v>4158</v>
      </c>
      <c r="S619" s="613"/>
      <c r="T619" s="613"/>
      <c r="U619" s="559" t="str">
        <f>IFERROR(VLOOKUP(M619,'02. MM-KLH'!$B$6:$T$823,5,0),"")</f>
        <v>MỚI</v>
      </c>
      <c r="V619" s="523" t="str">
        <f>IFERROR(VLOOKUP(M619,'02. MM-KLH'!$B$6:$T$823,8,0),"")</f>
        <v>Trạm trộn bê tông</v>
      </c>
      <c r="W619" s="559" t="str">
        <f>IFERROR(VLOOKUP(V619,'NS QUẢN LÝ CG'!$A$4:$D$36,2,0),"")</f>
        <v/>
      </c>
      <c r="X619" s="559" t="str">
        <f>IFERROR(VLOOKUP(V619,'NS QUẢN LÝ CG'!$A$4:$D$36,4,0),"")</f>
        <v/>
      </c>
      <c r="Y619" s="559" t="str">
        <f>IFERROR(VLOOKUP(V619,'NS QUẢN LÝ CG'!$A$4:$C$36,3,0),"")</f>
        <v/>
      </c>
      <c r="Z619" s="523" t="str">
        <f>IFERROR(VLOOKUP(M619,'02. MM-KLH'!$B$6:$T$823,3,0),"")</f>
        <v>ATT-A22-0310</v>
      </c>
      <c r="AA619" s="561" t="s">
        <v>4462</v>
      </c>
      <c r="AB619" s="523"/>
      <c r="AC619" s="523"/>
    </row>
    <row r="620">
      <c r="A620" s="523"/>
      <c r="B620" s="612"/>
      <c r="C620" s="566"/>
      <c r="D620" s="613"/>
      <c r="E620" s="613"/>
      <c r="F620" s="613"/>
      <c r="G620" s="613"/>
      <c r="H620" s="613"/>
      <c r="I620" s="614"/>
      <c r="J620" s="612"/>
      <c r="K620" s="612"/>
      <c r="L620" s="613"/>
      <c r="M620" s="490"/>
      <c r="N620" s="615"/>
      <c r="O620" s="616"/>
      <c r="P620" s="613"/>
      <c r="Q620" s="613"/>
      <c r="R620" s="613"/>
      <c r="S620" s="613"/>
      <c r="T620" s="613"/>
      <c r="U620" s="613"/>
      <c r="V620" s="523"/>
      <c r="W620" s="559" t="str">
        <f>IFERROR(VLOOKUP(V620,'NS QUẢN LÝ CG'!$A$4:$D$36,2,0),"")</f>
        <v/>
      </c>
      <c r="X620" s="613"/>
      <c r="Y620" s="613"/>
      <c r="Z620" s="523"/>
      <c r="AA620" s="613"/>
      <c r="AB620" s="523"/>
      <c r="AC620" s="523"/>
    </row>
    <row r="621">
      <c r="A621" s="523"/>
      <c r="B621" s="612"/>
      <c r="C621" s="566"/>
      <c r="D621" s="613"/>
      <c r="E621" s="613"/>
      <c r="F621" s="613"/>
      <c r="G621" s="613"/>
      <c r="H621" s="613"/>
      <c r="I621" s="614"/>
      <c r="J621" s="612"/>
      <c r="K621" s="612"/>
      <c r="L621" s="613"/>
      <c r="M621" s="490"/>
      <c r="N621" s="615"/>
      <c r="O621" s="616"/>
      <c r="P621" s="613"/>
      <c r="Q621" s="613"/>
      <c r="R621" s="613"/>
      <c r="S621" s="613"/>
      <c r="T621" s="613"/>
      <c r="U621" s="613"/>
      <c r="V621" s="523"/>
      <c r="W621" s="559" t="str">
        <f>IFERROR(VLOOKUP(V621,'NS QUẢN LÝ CG'!$A$4:$D$36,2,0),"")</f>
        <v/>
      </c>
      <c r="X621" s="613"/>
      <c r="Y621" s="613"/>
      <c r="Z621" s="523"/>
      <c r="AA621" s="613"/>
      <c r="AB621" s="523"/>
      <c r="AC621" s="523"/>
    </row>
    <row r="622">
      <c r="A622" s="695">
        <v>5.0</v>
      </c>
      <c r="B622" s="696" t="s">
        <v>300</v>
      </c>
      <c r="C622" s="697">
        <f>COUNTA(B623:B625)</f>
        <v>1</v>
      </c>
      <c r="D622" s="698" t="str">
        <f>IFERROR(VLOOKUP(M622,'02. MM-KLH'!$B$6:$T$823,16,0),"")</f>
        <v/>
      </c>
      <c r="E622" s="698"/>
      <c r="F622" s="698"/>
      <c r="G622" s="698"/>
      <c r="H622" s="558" t="str">
        <f>IFERROR(VLOOKUP(M622,'02. MM-KLH'!$B$6:$T$823,17,0),"")</f>
        <v/>
      </c>
      <c r="I622" s="558" t="str">
        <f>IFERROR(VLOOKUP(M622,'02. MM-KLH'!$B$6:$U$823,20,0),"")</f>
        <v/>
      </c>
      <c r="J622" s="699" t="str">
        <f>IFERROR(VLOOKUP(M622,'02. MM-KLH'!$B$6:$T$823,19,0),"")</f>
        <v/>
      </c>
      <c r="K622" s="699" t="str">
        <f>IFERROR(VLOOKUP(M622,'02. MM-KLH'!$B$6:$T$823,18,0),"")</f>
        <v/>
      </c>
      <c r="L622" s="698" t="str">
        <f>IFERROR(VLOOKUP(M622,'02. MM-KLH'!$B$6:$T$823,4,0),"")</f>
        <v/>
      </c>
      <c r="M622" s="700"/>
      <c r="N622" s="698" t="str">
        <f>IFERROR(VLOOKUP(M622,'02. MM-KLH'!$B$6:$T$823,15,0),"")</f>
        <v/>
      </c>
      <c r="O622" s="701" t="str">
        <f>IFERROR(VLOOKUP(M622,'02. MM-KLH'!$B$6:$T$823,9,0),"")</f>
        <v/>
      </c>
      <c r="P622" s="698"/>
      <c r="Q622" s="698"/>
      <c r="R622" s="698"/>
      <c r="S622" s="698"/>
      <c r="T622" s="698"/>
      <c r="U622" s="698" t="str">
        <f>IFERROR(VLOOKUP(M622,'02. MM-KLH'!$B$6:$T$823,2,0),"")</f>
        <v/>
      </c>
      <c r="V622" s="558" t="str">
        <f>IFERROR(VLOOKUP(M622,'02. MM-KLH'!$B$6:$T$823,8,0),"")</f>
        <v/>
      </c>
      <c r="W622" s="698"/>
      <c r="X622" s="698"/>
      <c r="Y622" s="698"/>
      <c r="Z622" s="558" t="str">
        <f>IFERROR(VLOOKUP(M622,'02. MM-KLH'!$B$6:$T$823,3,0),"")</f>
        <v/>
      </c>
      <c r="AA622" s="698"/>
      <c r="AB622" s="558"/>
      <c r="AC622" s="558"/>
    </row>
    <row r="623">
      <c r="A623" s="523"/>
      <c r="B623" s="612" t="str">
        <f>IFERROR(VLOOKUP(M623,'02. MM-KLH'!$B$6:$T$823,6,0),"")</f>
        <v>Xe tải FD850 (Cấp dầu)</v>
      </c>
      <c r="C623" s="566">
        <v>1.0</v>
      </c>
      <c r="D623" s="613" t="str">
        <f>IFERROR(VLOOKUP(M623,'02. MM-KLH'!$B$6:$T$823,16,0),"")</f>
        <v>FD850</v>
      </c>
      <c r="E623" s="561" t="s">
        <v>4158</v>
      </c>
      <c r="F623" s="613"/>
      <c r="G623" s="613"/>
      <c r="H623" s="613" t="str">
        <f>IFERROR(VLOOKUP(M623,'02. MM-KLH'!$B$6:$T$823,17,0),"")</f>
        <v>140HP</v>
      </c>
      <c r="I623" s="614">
        <f>IFERROR(VLOOKUP(M623,'02. MM-KLH'!$B$6:$U$823,20,0),"")</f>
        <v>0.36</v>
      </c>
      <c r="J623" s="612" t="str">
        <f>IFERROR(VLOOKUP(M623,'02. MM-KLH'!$B$6:$T$823,19,0),"")</f>
        <v>CCN</v>
      </c>
      <c r="K623" s="612" t="str">
        <f>IFERROR(VLOOKUP(M623,'02. MM-KLH'!$B$6:$T$823,18,0),"")</f>
        <v>RNHF14FYALC012920</v>
      </c>
      <c r="L623" s="613" t="str">
        <f>IFERROR(VLOOKUP(M623,'02. MM-KLH'!$B$6:$T$823,4,0),"")</f>
        <v>92C-17302</v>
      </c>
      <c r="M623" s="488" t="s">
        <v>2396</v>
      </c>
      <c r="N623" s="615">
        <f>IFERROR(VLOOKUP(M623,'02. MM-KLH'!$B$6:$T$823,15,0),"")</f>
        <v>2020</v>
      </c>
      <c r="O623" s="616" t="str">
        <f>IFERROR(VLOOKUP(M623,'02. MM-KLH'!$B$6:$T$823,9,0),"")</f>
        <v/>
      </c>
      <c r="P623" s="566">
        <v>112366.0</v>
      </c>
      <c r="Q623" s="613"/>
      <c r="R623" s="566" t="s">
        <v>4158</v>
      </c>
      <c r="S623" s="613"/>
      <c r="T623" s="613"/>
      <c r="U623" s="559" t="str">
        <f>IFERROR(VLOOKUP(M623,'02. MM-KLH'!$B$6:$T$823,5,0),"")</f>
        <v>ĐQSD</v>
      </c>
      <c r="V623" s="523" t="str">
        <f>IFERROR(VLOOKUP(M623,'02. MM-KLH'!$B$6:$T$823,8,0),"")</f>
        <v>Phòng GNVC</v>
      </c>
      <c r="W623" s="559" t="str">
        <f>IFERROR(VLOOKUP(V623,'NS QUẢN LÝ CG'!$A$4:$D$36,2,0),"")</f>
        <v>Lâm Quốc Cường</v>
      </c>
      <c r="X623" s="559" t="str">
        <f>IFERROR(VLOOKUP(V623,'NS QUẢN LÝ CG'!$A$4:$D$36,4,0),"")</f>
        <v>Tổng kho KLH</v>
      </c>
      <c r="Y623" s="559" t="str">
        <f>IFERROR(VLOOKUP(V623,'NS QUẢN LÝ CG'!$A$4:$C$36,3,0),"")</f>
        <v>0384653979</v>
      </c>
      <c r="Z623" s="523" t="str">
        <f>IFERROR(VLOOKUP(M623,'02. MM-KLH'!$B$6:$T$823,3,0),"")</f>
        <v>ATT-A23-0024</v>
      </c>
      <c r="AA623" s="561" t="s">
        <v>4312</v>
      </c>
      <c r="AB623" s="523"/>
      <c r="AC623" s="523"/>
    </row>
    <row r="624">
      <c r="A624" s="523"/>
      <c r="B624" s="612" t="str">
        <f>IFERROR(VLOOKUP(M624,'02. MM-KLH'!$B$6:$T$823,6,0),"")</f>
        <v/>
      </c>
      <c r="C624" s="566"/>
      <c r="D624" s="613" t="str">
        <f>IFERROR(VLOOKUP(M624,'02. MM-KLH'!$B$6:$T$823,16,0),"")</f>
        <v/>
      </c>
      <c r="E624" s="613"/>
      <c r="F624" s="613"/>
      <c r="G624" s="613"/>
      <c r="H624" s="613" t="str">
        <f>IFERROR(VLOOKUP(M624,'02. MM-KLH'!$B$6:$T$823,17,0),"")</f>
        <v/>
      </c>
      <c r="I624" s="614" t="str">
        <f>IFERROR(VLOOKUP(M624,'02. MM-KLH'!$B$6:$U$823,20,0),"")</f>
        <v/>
      </c>
      <c r="J624" s="612" t="str">
        <f>IFERROR(VLOOKUP(M624,'02. MM-KLH'!$B$6:$T$823,19,0),"")</f>
        <v/>
      </c>
      <c r="K624" s="612" t="str">
        <f>IFERROR(VLOOKUP(M624,'02. MM-KLH'!$B$6:$T$823,18,0),"")</f>
        <v/>
      </c>
      <c r="L624" s="613" t="str">
        <f>IFERROR(VLOOKUP(M624,'02. MM-KLH'!$B$6:$T$823,4,0),"")</f>
        <v/>
      </c>
      <c r="M624" s="488"/>
      <c r="N624" s="615" t="str">
        <f>IFERROR(VLOOKUP(M624,'02. MM-KLH'!$B$6:$T$823,15,0),"")</f>
        <v/>
      </c>
      <c r="O624" s="616" t="str">
        <f>IFERROR(VLOOKUP(M624,'02. MM-KLH'!$B$6:$T$823,9,0),"")</f>
        <v/>
      </c>
      <c r="P624" s="613"/>
      <c r="Q624" s="613"/>
      <c r="R624" s="613"/>
      <c r="S624" s="613"/>
      <c r="T624" s="613"/>
      <c r="U624" s="613" t="str">
        <f>IFERROR(VLOOKUP(M624,'02. MM-KLH'!$B$6:$T$823,2,0),"")</f>
        <v/>
      </c>
      <c r="V624" s="523" t="str">
        <f>IFERROR(VLOOKUP(M624,'02. MM-KLH'!$B$6:$T$823,8,0),"")</f>
        <v/>
      </c>
      <c r="W624" s="559" t="str">
        <f>IFERROR(VLOOKUP(V624,'NS QUẢN LÝ CG'!$A$4:$D$36,2,0),"")</f>
        <v/>
      </c>
      <c r="X624" s="559" t="str">
        <f>IFERROR(VLOOKUP(V624,'NS QUẢN LÝ CG'!$A$4:$D$36,4,0),"")</f>
        <v/>
      </c>
      <c r="Y624" s="613"/>
      <c r="Z624" s="523" t="str">
        <f>IFERROR(VLOOKUP(M624,'02. MM-KLH'!$B$6:$T$823,3,0),"")</f>
        <v/>
      </c>
      <c r="AA624" s="613"/>
      <c r="AB624" s="523"/>
      <c r="AC624" s="523"/>
    </row>
    <row r="625">
      <c r="A625" s="523"/>
      <c r="B625" s="612" t="str">
        <f>IFERROR(VLOOKUP(M625,'02. MM-KLH'!$B$6:$T$823,6,0),"")</f>
        <v/>
      </c>
      <c r="C625" s="566"/>
      <c r="D625" s="613" t="str">
        <f>IFERROR(VLOOKUP(M625,'02. MM-KLH'!$B$6:$T$823,16,0),"")</f>
        <v/>
      </c>
      <c r="E625" s="613"/>
      <c r="F625" s="613"/>
      <c r="G625" s="613"/>
      <c r="H625" s="613" t="str">
        <f>IFERROR(VLOOKUP(M625,'02. MM-KLH'!$B$6:$T$823,17,0),"")</f>
        <v/>
      </c>
      <c r="I625" s="614" t="str">
        <f>IFERROR(VLOOKUP(M625,'02. MM-KLH'!$B$6:$U$823,20,0),"")</f>
        <v/>
      </c>
      <c r="J625" s="612" t="str">
        <f>IFERROR(VLOOKUP(M625,'02. MM-KLH'!$B$6:$T$823,19,0),"")</f>
        <v/>
      </c>
      <c r="K625" s="612" t="str">
        <f>IFERROR(VLOOKUP(M625,'02. MM-KLH'!$B$6:$T$823,18,0),"")</f>
        <v/>
      </c>
      <c r="L625" s="613" t="str">
        <f>IFERROR(VLOOKUP(M625,'02. MM-KLH'!$B$6:$T$823,4,0),"")</f>
        <v/>
      </c>
      <c r="M625" s="488"/>
      <c r="N625" s="615" t="str">
        <f>IFERROR(VLOOKUP(M625,'02. MM-KLH'!$B$6:$T$823,15,0),"")</f>
        <v/>
      </c>
      <c r="O625" s="616" t="str">
        <f>IFERROR(VLOOKUP(M625,'02. MM-KLH'!$B$6:$T$823,9,0),"")</f>
        <v/>
      </c>
      <c r="P625" s="613"/>
      <c r="Q625" s="613"/>
      <c r="R625" s="613"/>
      <c r="S625" s="613"/>
      <c r="T625" s="613"/>
      <c r="U625" s="613" t="str">
        <f>IFERROR(VLOOKUP(M625,'02. MM-KLH'!$B$6:$T$823,2,0),"")</f>
        <v/>
      </c>
      <c r="V625" s="523" t="str">
        <f>IFERROR(VLOOKUP(M625,'02. MM-KLH'!$B$6:$T$823,8,0),"")</f>
        <v/>
      </c>
      <c r="W625" s="559" t="str">
        <f>IFERROR(VLOOKUP(V625,'NS QUẢN LÝ CG'!$A$4:$D$36,2,0),"")</f>
        <v/>
      </c>
      <c r="X625" s="559" t="str">
        <f>IFERROR(VLOOKUP(V625,'NS QUẢN LÝ CG'!$A$4:$D$36,4,0),"")</f>
        <v/>
      </c>
      <c r="Y625" s="613"/>
      <c r="Z625" s="523" t="str">
        <f>IFERROR(VLOOKUP(M625,'02. MM-KLH'!$B$6:$T$823,3,0),"")</f>
        <v/>
      </c>
      <c r="AA625" s="613"/>
      <c r="AB625" s="523"/>
      <c r="AC625" s="523"/>
    </row>
    <row r="626">
      <c r="A626" s="542" t="s">
        <v>2642</v>
      </c>
      <c r="B626" s="543" t="s">
        <v>5891</v>
      </c>
      <c r="C626" s="544">
        <f>SUM(C627,C631,C636)</f>
        <v>8</v>
      </c>
      <c r="D626" s="545"/>
      <c r="E626" s="545"/>
      <c r="F626" s="545"/>
      <c r="G626" s="545"/>
      <c r="H626" s="545"/>
      <c r="I626" s="546"/>
      <c r="J626" s="547"/>
      <c r="K626" s="547"/>
      <c r="L626" s="545"/>
      <c r="M626" s="545"/>
      <c r="N626" s="545"/>
      <c r="O626" s="548"/>
      <c r="P626" s="545"/>
      <c r="Q626" s="545"/>
      <c r="R626" s="545"/>
      <c r="S626" s="545"/>
      <c r="T626" s="545"/>
      <c r="U626" s="545"/>
      <c r="V626" s="546"/>
      <c r="W626" s="545"/>
      <c r="X626" s="545"/>
      <c r="Y626" s="545"/>
      <c r="Z626" s="546"/>
      <c r="AA626" s="545"/>
      <c r="AB626" s="546"/>
      <c r="AC626" s="549"/>
    </row>
    <row r="627">
      <c r="A627" s="695">
        <v>1.0</v>
      </c>
      <c r="B627" s="696" t="s">
        <v>905</v>
      </c>
      <c r="C627" s="697">
        <f>COUNTA(B628:B630)</f>
        <v>2</v>
      </c>
      <c r="D627" s="698" t="str">
        <f>IFERROR(VLOOKUP(M627,'02. MM-KLH'!$B$6:$T$823,16,0),"")</f>
        <v/>
      </c>
      <c r="E627" s="698"/>
      <c r="F627" s="698"/>
      <c r="G627" s="698"/>
      <c r="H627" s="558" t="str">
        <f>IFERROR(VLOOKUP(M627,'02. MM-KLH'!$B$6:$T$823,17,0),"")</f>
        <v/>
      </c>
      <c r="I627" s="558" t="str">
        <f>IFERROR(VLOOKUP(M627,'02. MM-KLH'!$B$6:$U$823,20,0),"")</f>
        <v/>
      </c>
      <c r="J627" s="699" t="str">
        <f>IFERROR(VLOOKUP(M627,'02. MM-KLH'!$B$6:$T$823,19,0),"")</f>
        <v/>
      </c>
      <c r="K627" s="699" t="str">
        <f>IFERROR(VLOOKUP(M627,'02. MM-KLH'!$B$6:$T$823,18,0),"")</f>
        <v/>
      </c>
      <c r="L627" s="698" t="str">
        <f>IFERROR(VLOOKUP(M627,'02. MM-KLH'!$B$6:$T$823,4,0),"")</f>
        <v/>
      </c>
      <c r="M627" s="700"/>
      <c r="N627" s="698" t="str">
        <f>IFERROR(VLOOKUP(M627,'02. MM-KLH'!$B$6:$T$823,15,0),"")</f>
        <v/>
      </c>
      <c r="O627" s="701" t="str">
        <f>IFERROR(VLOOKUP(M627,'02. MM-KLH'!$B$6:$T$823,9,0),"")</f>
        <v/>
      </c>
      <c r="P627" s="698"/>
      <c r="Q627" s="698"/>
      <c r="R627" s="698"/>
      <c r="S627" s="698"/>
      <c r="T627" s="698"/>
      <c r="U627" s="698" t="str">
        <f>IFERROR(VLOOKUP(M627,'02. MM-KLH'!$B$6:$T$823,2,0),"")</f>
        <v/>
      </c>
      <c r="V627" s="558" t="str">
        <f>IFERROR(VLOOKUP(M627,'02. MM-KLH'!$B$6:$T$823,8,0),"")</f>
        <v/>
      </c>
      <c r="W627" s="698"/>
      <c r="X627" s="698"/>
      <c r="Y627" s="698"/>
      <c r="Z627" s="558" t="str">
        <f>IFERROR(VLOOKUP(M627,'02. MM-KLH'!$B$6:$T$823,3,0),"")</f>
        <v/>
      </c>
      <c r="AA627" s="698"/>
      <c r="AB627" s="558"/>
      <c r="AC627" s="558"/>
    </row>
    <row r="628">
      <c r="A628" s="523"/>
      <c r="B628" s="612" t="str">
        <f>IFERROR(VLOOKUP(M628,'02. MM-KLH'!$B$6:$T$823,6,0),"")</f>
        <v>Xe phun thuốc Faw 15T</v>
      </c>
      <c r="C628" s="566">
        <v>1.0</v>
      </c>
      <c r="D628" s="613" t="str">
        <f>IFERROR(VLOOKUP(M628,'02. MM-KLH'!$B$6:$T$823,16,0),"")</f>
        <v/>
      </c>
      <c r="E628" s="561" t="s">
        <v>4158</v>
      </c>
      <c r="F628" s="613"/>
      <c r="G628" s="613"/>
      <c r="H628" s="613" t="str">
        <f>IFERROR(VLOOKUP(M628,'02. MM-KLH'!$B$6:$T$823,17,0),"")</f>
        <v/>
      </c>
      <c r="I628" s="614">
        <f>IFERROR(VLOOKUP(M628,'02. MM-KLH'!$B$6:$U$823,20,0),"")</f>
        <v>3.75</v>
      </c>
      <c r="J628" s="612" t="str">
        <f>IFERROR(VLOOKUP(M628,'02. MM-KLH'!$B$6:$T$823,19,0),"")</f>
        <v>CCN</v>
      </c>
      <c r="K628" s="612" t="str">
        <f>IFERROR(VLOOKUP(M628,'02. MM-KLH'!$B$6:$T$823,18,0),"")</f>
        <v>9AD16885</v>
      </c>
      <c r="L628" s="613" t="str">
        <f>IFERROR(VLOOKUP(M628,'02. MM-KLH'!$B$6:$T$823,4,0),"")</f>
        <v/>
      </c>
      <c r="M628" s="488" t="s">
        <v>901</v>
      </c>
      <c r="N628" s="615">
        <f>IFERROR(VLOOKUP(M628,'02. MM-KLH'!$B$6:$T$823,15,0),"")</f>
        <v>2010</v>
      </c>
      <c r="O628" s="616">
        <f>IFERROR(VLOOKUP(M628,'02. MM-KLH'!$B$6:$T$823,9,0),"")</f>
        <v>45446</v>
      </c>
      <c r="P628" s="566" t="s">
        <v>1565</v>
      </c>
      <c r="Q628" s="613"/>
      <c r="R628" s="613"/>
      <c r="S628" s="613"/>
      <c r="T628" s="613"/>
      <c r="U628" s="559" t="str">
        <f>IFERROR(VLOOKUP(M628,'02. MM-KLH'!$B$6:$T$823,5,0),"")</f>
        <v>ĐQSD</v>
      </c>
      <c r="V628" s="523" t="str">
        <f>IFERROR(VLOOKUP(M628,'02. MM-KLH'!$B$6:$T$823,8,0),"")</f>
        <v>XN Chuối DP1</v>
      </c>
      <c r="W628" s="559" t="str">
        <f>IFERROR(VLOOKUP(V628,'NS QUẢN LÝ CG'!$A$4:$D$36,2,0),"")</f>
        <v>Thái Cao Lưu</v>
      </c>
      <c r="X628" s="559" t="str">
        <f>IFERROR(VLOOKUP(V628,'NS QUẢN LÝ CG'!$A$4:$D$36,4,0),"")</f>
        <v>Lô 21 DP1</v>
      </c>
      <c r="Y628" s="559" t="str">
        <f>IFERROR(VLOOKUP(V628,'NS QUẢN LÝ CG'!$A$4:$C$36,3,0),"")</f>
        <v>0387783316</v>
      </c>
      <c r="Z628" s="523" t="str">
        <f>IFERROR(VLOOKUP(M628,'02. MM-KLH'!$B$6:$T$823,3,0),"")</f>
        <v>A23-XPT-001</v>
      </c>
      <c r="AA628" s="559" t="str">
        <f t="shared" ref="AA628:AA629" si="42">SWITCH(LEFT(Z628,3),"A22","ADM","A23","DP","A24","LP","")</f>
        <v>DP</v>
      </c>
      <c r="AB628" s="523"/>
      <c r="AC628" s="523"/>
    </row>
    <row r="629">
      <c r="A629" s="523"/>
      <c r="B629" s="612" t="str">
        <f>IFERROR(VLOOKUP(M629,'02. MM-KLH'!$B$6:$T$823,6,0),"")</f>
        <v>Xe phun thuốc Faw 15T</v>
      </c>
      <c r="C629" s="566">
        <v>1.0</v>
      </c>
      <c r="D629" s="613" t="str">
        <f>IFERROR(VLOOKUP(M629,'02. MM-KLH'!$B$6:$T$823,16,0),"")</f>
        <v/>
      </c>
      <c r="E629" s="561" t="s">
        <v>4158</v>
      </c>
      <c r="F629" s="613"/>
      <c r="G629" s="613"/>
      <c r="H629" s="613" t="str">
        <f>IFERROR(VLOOKUP(M629,'02. MM-KLH'!$B$6:$T$823,17,0),"")</f>
        <v>15 TẤN</v>
      </c>
      <c r="I629" s="614">
        <f>IFERROR(VLOOKUP(M629,'02. MM-KLH'!$B$6:$U$823,20,0),"")</f>
        <v>3.75</v>
      </c>
      <c r="J629" s="612" t="str">
        <f>IFERROR(VLOOKUP(M629,'02. MM-KLH'!$B$6:$T$823,19,0),"")</f>
        <v>CCN</v>
      </c>
      <c r="K629" s="612" t="str">
        <f>IFERROR(VLOOKUP(M629,'02. MM-KLH'!$B$6:$T$823,18,0),"")</f>
        <v>9AD16880</v>
      </c>
      <c r="L629" s="613" t="str">
        <f>IFERROR(VLOOKUP(M629,'02. MM-KLH'!$B$6:$T$823,4,0),"")</f>
        <v/>
      </c>
      <c r="M629" s="488" t="s">
        <v>1480</v>
      </c>
      <c r="N629" s="615">
        <f>IFERROR(VLOOKUP(M629,'02. MM-KLH'!$B$6:$T$823,15,0),"")</f>
        <v>2010</v>
      </c>
      <c r="O629" s="616" t="str">
        <f>IFERROR(VLOOKUP(M629,'02. MM-KLH'!$B$6:$T$823,9,0),"")</f>
        <v>21/02/2024</v>
      </c>
      <c r="P629" s="566" t="s">
        <v>1565</v>
      </c>
      <c r="Q629" s="613"/>
      <c r="R629" s="566" t="s">
        <v>4158</v>
      </c>
      <c r="S629" s="613"/>
      <c r="T629" s="613"/>
      <c r="U629" s="559" t="str">
        <f>IFERROR(VLOOKUP(M629,'02. MM-KLH'!$B$6:$T$823,5,0),"")</f>
        <v>ĐQSD</v>
      </c>
      <c r="V629" s="523" t="str">
        <f>IFERROR(VLOOKUP(M629,'02. MM-KLH'!$B$6:$T$823,8,0),"")</f>
        <v>XN Chuối LP3</v>
      </c>
      <c r="W629" s="559" t="str">
        <f>IFERROR(VLOOKUP(V629,'NS QUẢN LÝ CG'!$A$4:$D$36,2,0),"")</f>
        <v>Lê Cao Nghị</v>
      </c>
      <c r="X629" s="559" t="str">
        <f>IFERROR(VLOOKUP(V629,'NS QUẢN LÝ CG'!$A$4:$D$36,4,0),"")</f>
        <v>Lô 2 LP3</v>
      </c>
      <c r="Y629" s="559" t="str">
        <f>IFERROR(VLOOKUP(V629,'NS QUẢN LÝ CG'!$A$4:$C$36,3,0),"")</f>
        <v>0977423100</v>
      </c>
      <c r="Z629" s="523" t="str">
        <f>IFERROR(VLOOKUP(M629,'02. MM-KLH'!$B$6:$T$823,3,0),"")</f>
        <v>A24-XPT-001</v>
      </c>
      <c r="AA629" s="559" t="str">
        <f t="shared" si="42"/>
        <v>LP</v>
      </c>
      <c r="AB629" s="523"/>
      <c r="AC629" s="523"/>
    </row>
    <row r="630">
      <c r="A630" s="523"/>
      <c r="B630" s="612"/>
      <c r="C630" s="566"/>
      <c r="D630" s="613"/>
      <c r="E630" s="613"/>
      <c r="F630" s="613"/>
      <c r="G630" s="613"/>
      <c r="H630" s="613"/>
      <c r="I630" s="614"/>
      <c r="J630" s="612"/>
      <c r="K630" s="612"/>
      <c r="L630" s="613"/>
      <c r="M630" s="488"/>
      <c r="N630" s="615"/>
      <c r="O630" s="616"/>
      <c r="P630" s="613"/>
      <c r="Q630" s="613"/>
      <c r="R630" s="613"/>
      <c r="S630" s="613"/>
      <c r="T630" s="613"/>
      <c r="U630" s="613"/>
      <c r="V630" s="523"/>
      <c r="W630" s="559" t="str">
        <f>IFERROR(VLOOKUP(V630,'NS QUẢN LÝ CG'!$A$4:$D$36,2,0),"")</f>
        <v/>
      </c>
      <c r="X630" s="559" t="str">
        <f>IFERROR(VLOOKUP(V630,'NS QUẢN LÝ CG'!$A$4:$D$36,4,0),"")</f>
        <v/>
      </c>
      <c r="Y630" s="613"/>
      <c r="Z630" s="523"/>
      <c r="AA630" s="613"/>
      <c r="AB630" s="523"/>
      <c r="AC630" s="523"/>
    </row>
    <row r="631">
      <c r="A631" s="695">
        <v>2.0</v>
      </c>
      <c r="B631" s="696" t="s">
        <v>1032</v>
      </c>
      <c r="C631" s="697">
        <f>COUNTA(B632:B635)</f>
        <v>3</v>
      </c>
      <c r="D631" s="698" t="str">
        <f>IFERROR(VLOOKUP(M631,'02. MM-KLH'!$B$6:$T$823,16,0),"")</f>
        <v/>
      </c>
      <c r="E631" s="698"/>
      <c r="F631" s="698"/>
      <c r="G631" s="698"/>
      <c r="H631" s="558" t="str">
        <f>IFERROR(VLOOKUP(M631,'02. MM-KLH'!$B$6:$T$823,17,0),"")</f>
        <v/>
      </c>
      <c r="I631" s="558" t="str">
        <f>IFERROR(VLOOKUP(M631,'02. MM-KLH'!$B$6:$U$823,20,0),"")</f>
        <v/>
      </c>
      <c r="J631" s="699" t="str">
        <f>IFERROR(VLOOKUP(M631,'02. MM-KLH'!$B$6:$T$823,19,0),"")</f>
        <v/>
      </c>
      <c r="K631" s="699" t="str">
        <f>IFERROR(VLOOKUP(M631,'02. MM-KLH'!$B$6:$T$823,18,0),"")</f>
        <v/>
      </c>
      <c r="L631" s="698" t="str">
        <f>IFERROR(VLOOKUP(M631,'02. MM-KLH'!$B$6:$T$823,4,0),"")</f>
        <v/>
      </c>
      <c r="M631" s="700"/>
      <c r="N631" s="698" t="str">
        <f>IFERROR(VLOOKUP(M631,'02. MM-KLH'!$B$6:$T$823,15,0),"")</f>
        <v/>
      </c>
      <c r="O631" s="701" t="str">
        <f>IFERROR(VLOOKUP(M631,'02. MM-KLH'!$B$6:$T$823,9,0),"")</f>
        <v/>
      </c>
      <c r="P631" s="698"/>
      <c r="Q631" s="698"/>
      <c r="R631" s="698"/>
      <c r="S631" s="698"/>
      <c r="T631" s="698"/>
      <c r="U631" s="698" t="str">
        <f>IFERROR(VLOOKUP(M631,'02. MM-KLH'!$B$6:$T$823,2,0),"")</f>
        <v/>
      </c>
      <c r="V631" s="558" t="str">
        <f>IFERROR(VLOOKUP(M631,'02. MM-KLH'!$B$6:$T$823,8,0),"")</f>
        <v/>
      </c>
      <c r="W631" s="698"/>
      <c r="X631" s="698"/>
      <c r="Y631" s="698"/>
      <c r="Z631" s="558" t="str">
        <f>IFERROR(VLOOKUP(M631,'02. MM-KLH'!$B$6:$T$823,3,0),"")</f>
        <v/>
      </c>
      <c r="AA631" s="698"/>
      <c r="AB631" s="558"/>
      <c r="AC631" s="558"/>
    </row>
    <row r="632">
      <c r="A632" s="523"/>
      <c r="B632" s="612" t="str">
        <f>IFERROR(VLOOKUP(M632,'02. MM-KLH'!$B$6:$T$823,6,0),"")</f>
        <v>Xe phun thuốc HYUNDAI 15T</v>
      </c>
      <c r="C632" s="566">
        <v>1.0</v>
      </c>
      <c r="D632" s="613" t="str">
        <f>IFERROR(VLOOKUP(M632,'02. MM-KLH'!$B$6:$T$823,16,0),"")</f>
        <v/>
      </c>
      <c r="E632" s="561" t="s">
        <v>4158</v>
      </c>
      <c r="F632" s="613"/>
      <c r="G632" s="613"/>
      <c r="H632" s="613" t="str">
        <f>IFERROR(VLOOKUP(M632,'02. MM-KLH'!$B$6:$T$823,17,0),"")</f>
        <v/>
      </c>
      <c r="I632" s="614">
        <f>IFERROR(VLOOKUP(M632,'02. MM-KLH'!$B$6:$U$823,20,0),"")</f>
        <v>3.75</v>
      </c>
      <c r="J632" s="612" t="str">
        <f>IFERROR(VLOOKUP(M632,'02. MM-KLH'!$B$6:$T$823,19,0),"")</f>
        <v>CCN</v>
      </c>
      <c r="K632" s="612">
        <f>IFERROR(VLOOKUP(M632,'02. MM-KLH'!$B$6:$T$823,18,0),"")</f>
        <v>18446</v>
      </c>
      <c r="L632" s="613" t="str">
        <f>IFERROR(VLOOKUP(M632,'02. MM-KLH'!$B$6:$T$823,4,0),"")</f>
        <v/>
      </c>
      <c r="M632" s="488" t="s">
        <v>1484</v>
      </c>
      <c r="N632" s="615" t="str">
        <f>IFERROR(VLOOKUP(M632,'02. MM-KLH'!$B$6:$T$823,15,0),"")</f>
        <v/>
      </c>
      <c r="O632" s="616" t="str">
        <f>IFERROR(VLOOKUP(M632,'02. MM-KLH'!$B$6:$T$823,9,0),"")</f>
        <v/>
      </c>
      <c r="P632" s="566" t="s">
        <v>1565</v>
      </c>
      <c r="Q632" s="613"/>
      <c r="R632" s="566" t="s">
        <v>4158</v>
      </c>
      <c r="S632" s="613"/>
      <c r="T632" s="613"/>
      <c r="U632" s="559" t="str">
        <f>IFERROR(VLOOKUP(M632,'02. MM-KLH'!$B$6:$T$823,5,0),"")</f>
        <v>ĐQSD</v>
      </c>
      <c r="V632" s="523" t="str">
        <f>IFERROR(VLOOKUP(M632,'02. MM-KLH'!$B$6:$T$823,8,0),"")</f>
        <v>XN Chuối LP3</v>
      </c>
      <c r="W632" s="559" t="str">
        <f>IFERROR(VLOOKUP(V632,'NS QUẢN LÝ CG'!$A$4:$D$36,2,0),"")</f>
        <v>Lê Cao Nghị</v>
      </c>
      <c r="X632" s="559" t="str">
        <f>IFERROR(VLOOKUP(V632,'NS QUẢN LÝ CG'!$A$4:$D$36,4,0),"")</f>
        <v>Lô 2 LP3</v>
      </c>
      <c r="Y632" s="559" t="str">
        <f>IFERROR(VLOOKUP(V632,'NS QUẢN LÝ CG'!$A$4:$C$36,3,0),"")</f>
        <v>0977423100</v>
      </c>
      <c r="Z632" s="523" t="str">
        <f>IFERROR(VLOOKUP(M632,'02. MM-KLH'!$B$6:$T$823,3,0),"")</f>
        <v/>
      </c>
      <c r="AA632" s="559" t="str">
        <f t="shared" ref="AA632:AA634" si="43">SWITCH(LEFT(Z632,3),"A22","ADM","A23","DP","A24","LP","")</f>
        <v/>
      </c>
      <c r="AB632" s="523"/>
      <c r="AC632" s="523"/>
    </row>
    <row r="633">
      <c r="A633" s="523"/>
      <c r="B633" s="612" t="str">
        <f>IFERROR(VLOOKUP(M633,'02. MM-KLH'!$B$6:$T$823,6,0),"")</f>
        <v>Xe phun thuốc HYUNDAI 15T</v>
      </c>
      <c r="C633" s="566">
        <v>1.0</v>
      </c>
      <c r="D633" s="613" t="str">
        <f>IFERROR(VLOOKUP(M633,'02. MM-KLH'!$B$6:$T$823,16,0),"")</f>
        <v/>
      </c>
      <c r="E633" s="561" t="s">
        <v>4158</v>
      </c>
      <c r="F633" s="613"/>
      <c r="G633" s="613"/>
      <c r="H633" s="613" t="str">
        <f>IFERROR(VLOOKUP(M633,'02. MM-KLH'!$B$6:$T$823,17,0),"")</f>
        <v>15TẤN</v>
      </c>
      <c r="I633" s="614">
        <f>IFERROR(VLOOKUP(M633,'02. MM-KLH'!$B$6:$U$823,20,0),"")</f>
        <v>3.75</v>
      </c>
      <c r="J633" s="612" t="str">
        <f>IFERROR(VLOOKUP(M633,'02. MM-KLH'!$B$6:$T$823,19,0),"")</f>
        <v>CCN</v>
      </c>
      <c r="K633" s="612">
        <f>IFERROR(VLOOKUP(M633,'02. MM-KLH'!$B$6:$T$823,18,0),"")</f>
        <v>6958</v>
      </c>
      <c r="L633" s="613" t="str">
        <f>IFERROR(VLOOKUP(M633,'02. MM-KLH'!$B$6:$T$823,4,0),"")</f>
        <v/>
      </c>
      <c r="M633" s="488" t="s">
        <v>1339</v>
      </c>
      <c r="N633" s="615" t="str">
        <f>IFERROR(VLOOKUP(M633,'02. MM-KLH'!$B$6:$T$823,15,0),"")</f>
        <v/>
      </c>
      <c r="O633" s="616" t="str">
        <f>IFERROR(VLOOKUP(M633,'02. MM-KLH'!$B$6:$T$823,9,0),"")</f>
        <v/>
      </c>
      <c r="P633" s="566" t="s">
        <v>1565</v>
      </c>
      <c r="Q633" s="613"/>
      <c r="R633" s="613"/>
      <c r="S633" s="613"/>
      <c r="T633" s="613"/>
      <c r="U633" s="559" t="str">
        <f>IFERROR(VLOOKUP(M633,'02. MM-KLH'!$B$6:$T$823,5,0),"")</f>
        <v>ĐQSD</v>
      </c>
      <c r="V633" s="523" t="str">
        <f>IFERROR(VLOOKUP(M633,'02. MM-KLH'!$B$6:$T$823,8,0),"")</f>
        <v>XN Chuối LP1</v>
      </c>
      <c r="W633" s="559" t="str">
        <f>IFERROR(VLOOKUP(V633,'NS QUẢN LÝ CG'!$A$4:$D$36,2,0),"")</f>
        <v>Nguyễn Ngọc Nhân</v>
      </c>
      <c r="X633" s="559" t="str">
        <f>IFERROR(VLOOKUP(V633,'NS QUẢN LÝ CG'!$A$4:$D$36,4,0),"")</f>
        <v>Lô 7 LP1</v>
      </c>
      <c r="Y633" s="559" t="str">
        <f>IFERROR(VLOOKUP(V633,'NS QUẢN LÝ CG'!$A$4:$C$36,3,0),"")</f>
        <v>0979578112</v>
      </c>
      <c r="Z633" s="523" t="str">
        <f>IFERROR(VLOOKUP(M633,'02. MM-KLH'!$B$6:$T$823,3,0),"")</f>
        <v/>
      </c>
      <c r="AA633" s="559" t="str">
        <f t="shared" si="43"/>
        <v/>
      </c>
      <c r="AB633" s="523"/>
      <c r="AC633" s="523"/>
    </row>
    <row r="634">
      <c r="A634" s="523"/>
      <c r="B634" s="612" t="str">
        <f>IFERROR(VLOOKUP(M634,'02. MM-KLH'!$B$6:$T$823,6,0),"")</f>
        <v>Xe phun thuốc HYUNDAI 15T</v>
      </c>
      <c r="C634" s="566">
        <v>1.0</v>
      </c>
      <c r="D634" s="613" t="str">
        <f>IFERROR(VLOOKUP(M634,'02. MM-KLH'!$B$6:$T$823,16,0),"")</f>
        <v>15T</v>
      </c>
      <c r="E634" s="561" t="s">
        <v>4158</v>
      </c>
      <c r="F634" s="613"/>
      <c r="G634" s="613"/>
      <c r="H634" s="613" t="str">
        <f>IFERROR(VLOOKUP(M634,'02. MM-KLH'!$B$6:$T$823,17,0),"")</f>
        <v/>
      </c>
      <c r="I634" s="614">
        <f>IFERROR(VLOOKUP(M634,'02. MM-KLH'!$B$6:$U$823,20,0),"")</f>
        <v>3.75</v>
      </c>
      <c r="J634" s="612" t="str">
        <f>IFERROR(VLOOKUP(M634,'02. MM-KLH'!$B$6:$T$823,19,0),"")</f>
        <v>D8AVP095627</v>
      </c>
      <c r="K634" s="612" t="str">
        <f>IFERROR(VLOOKUP(M634,'02. MM-KLH'!$B$6:$T$823,18,0),"")</f>
        <v>KMCDB19IPNU003775</v>
      </c>
      <c r="L634" s="613" t="str">
        <f>IFERROR(VLOOKUP(M634,'02. MM-KLH'!$B$6:$T$823,4,0),"")</f>
        <v/>
      </c>
      <c r="M634" s="488" t="s">
        <v>1029</v>
      </c>
      <c r="N634" s="615">
        <f>IFERROR(VLOOKUP(M634,'02. MM-KLH'!$B$6:$T$823,15,0),"")</f>
        <v>1992</v>
      </c>
      <c r="O634" s="616" t="str">
        <f>IFERROR(VLOOKUP(M634,'02. MM-KLH'!$B$6:$T$823,9,0),"")</f>
        <v/>
      </c>
      <c r="P634" s="566" t="s">
        <v>1565</v>
      </c>
      <c r="Q634" s="613"/>
      <c r="R634" s="613"/>
      <c r="S634" s="566" t="s">
        <v>4158</v>
      </c>
      <c r="T634" s="613"/>
      <c r="U634" s="559" t="str">
        <f>IFERROR(VLOOKUP(M634,'02. MM-KLH'!$B$6:$T$823,5,0),"")</f>
        <v>ĐQSD</v>
      </c>
      <c r="V634" s="523" t="str">
        <f>IFERROR(VLOOKUP(M634,'02. MM-KLH'!$B$6:$T$823,8,0),"")</f>
        <v>XN Chuối DP2</v>
      </c>
      <c r="W634" s="559" t="str">
        <f>IFERROR(VLOOKUP(V634,'NS QUẢN LÝ CG'!$A$4:$D$36,2,0),"")</f>
        <v>Huỳnh Quang Viên</v>
      </c>
      <c r="X634" s="559" t="str">
        <f>IFERROR(VLOOKUP(V634,'NS QUẢN LÝ CG'!$A$4:$D$36,4,0),"")</f>
        <v>Lô 15.6 DP2</v>
      </c>
      <c r="Y634" s="559" t="str">
        <f>IFERROR(VLOOKUP(V634,'NS QUẢN LÝ CG'!$A$4:$C$36,3,0),"")</f>
        <v>0977623379</v>
      </c>
      <c r="Z634" s="523" t="str">
        <f>IFERROR(VLOOKUP(M634,'02. MM-KLH'!$B$6:$T$823,3,0),"")</f>
        <v>A23-XPT-002</v>
      </c>
      <c r="AA634" s="559" t="str">
        <f t="shared" si="43"/>
        <v>DP</v>
      </c>
      <c r="AB634" s="523"/>
      <c r="AC634" s="523"/>
    </row>
    <row r="635">
      <c r="A635" s="523"/>
      <c r="B635" s="612" t="str">
        <f>IFERROR(VLOOKUP(M635,'02. MM-KLH'!$B$6:$T$823,6,0),"")</f>
        <v/>
      </c>
      <c r="C635" s="566"/>
      <c r="D635" s="613" t="str">
        <f>IFERROR(VLOOKUP(M635,'02. MM-KLH'!$B$6:$T$823,16,0),"")</f>
        <v/>
      </c>
      <c r="E635" s="613"/>
      <c r="F635" s="613"/>
      <c r="G635" s="613"/>
      <c r="H635" s="613" t="str">
        <f>IFERROR(VLOOKUP(M635,'02. MM-KLH'!$B$6:$T$823,17,0),"")</f>
        <v/>
      </c>
      <c r="I635" s="614" t="str">
        <f>IFERROR(VLOOKUP(M635,'02. MM-KLH'!$B$6:$U$823,20,0),"")</f>
        <v/>
      </c>
      <c r="J635" s="612" t="str">
        <f>IFERROR(VLOOKUP(M635,'02. MM-KLH'!$B$6:$T$823,19,0),"")</f>
        <v/>
      </c>
      <c r="K635" s="612" t="str">
        <f>IFERROR(VLOOKUP(M635,'02. MM-KLH'!$B$6:$T$823,18,0),"")</f>
        <v/>
      </c>
      <c r="L635" s="613" t="str">
        <f>IFERROR(VLOOKUP(M635,'02. MM-KLH'!$B$6:$T$823,4,0),"")</f>
        <v/>
      </c>
      <c r="M635" s="488"/>
      <c r="N635" s="615" t="str">
        <f>IFERROR(VLOOKUP(M635,'02. MM-KLH'!$B$6:$T$823,15,0),"")</f>
        <v/>
      </c>
      <c r="O635" s="616" t="str">
        <f>IFERROR(VLOOKUP(M635,'02. MM-KLH'!$B$6:$T$823,9,0),"")</f>
        <v/>
      </c>
      <c r="P635" s="613"/>
      <c r="Q635" s="613"/>
      <c r="R635" s="613"/>
      <c r="S635" s="613"/>
      <c r="T635" s="613"/>
      <c r="U635" s="613" t="str">
        <f>IFERROR(VLOOKUP(M635,'02. MM-KLH'!$B$6:$T$823,2,0),"")</f>
        <v/>
      </c>
      <c r="V635" s="523" t="str">
        <f>IFERROR(VLOOKUP(M635,'02. MM-KLH'!$B$6:$T$823,8,0),"")</f>
        <v/>
      </c>
      <c r="W635" s="559" t="str">
        <f>IFERROR(VLOOKUP(V635,'NS QUẢN LÝ CG'!$A$4:$D$36,2,0),"")</f>
        <v/>
      </c>
      <c r="X635" s="559" t="str">
        <f>IFERROR(VLOOKUP(V635,'NS QUẢN LÝ CG'!$A$4:$D$36,4,0),"")</f>
        <v/>
      </c>
      <c r="Y635" s="613"/>
      <c r="Z635" s="523" t="str">
        <f>IFERROR(VLOOKUP(M635,'02. MM-KLH'!$B$6:$T$823,3,0),"")</f>
        <v/>
      </c>
      <c r="AA635" s="613"/>
      <c r="AB635" s="523"/>
      <c r="AC635" s="523"/>
    </row>
    <row r="636">
      <c r="A636" s="695">
        <v>3.0</v>
      </c>
      <c r="B636" s="696" t="s">
        <v>300</v>
      </c>
      <c r="C636" s="697">
        <f>COUNTA(B637:B641)</f>
        <v>3</v>
      </c>
      <c r="D636" s="698" t="str">
        <f>IFERROR(VLOOKUP(M636,'02. MM-KLH'!$B$6:$T$823,16,0),"")</f>
        <v/>
      </c>
      <c r="E636" s="698"/>
      <c r="F636" s="698"/>
      <c r="G636" s="698"/>
      <c r="H636" s="558" t="str">
        <f>IFERROR(VLOOKUP(M636,'02. MM-KLH'!$B$6:$T$823,17,0),"")</f>
        <v/>
      </c>
      <c r="I636" s="558" t="str">
        <f>IFERROR(VLOOKUP(M636,'02. MM-KLH'!$B$6:$U$823,20,0),"")</f>
        <v/>
      </c>
      <c r="J636" s="699" t="str">
        <f>IFERROR(VLOOKUP(M636,'02. MM-KLH'!$B$6:$T$823,19,0),"")</f>
        <v/>
      </c>
      <c r="K636" s="699" t="str">
        <f>IFERROR(VLOOKUP(M636,'02. MM-KLH'!$B$6:$T$823,18,0),"")</f>
        <v/>
      </c>
      <c r="L636" s="698" t="str">
        <f>IFERROR(VLOOKUP(M636,'02. MM-KLH'!$B$6:$T$823,4,0),"")</f>
        <v/>
      </c>
      <c r="M636" s="700"/>
      <c r="N636" s="698" t="str">
        <f>IFERROR(VLOOKUP(M636,'02. MM-KLH'!$B$6:$T$823,15,0),"")</f>
        <v/>
      </c>
      <c r="O636" s="701" t="str">
        <f>IFERROR(VLOOKUP(M636,'02. MM-KLH'!$B$6:$T$823,9,0),"")</f>
        <v/>
      </c>
      <c r="P636" s="698"/>
      <c r="Q636" s="698"/>
      <c r="R636" s="698"/>
      <c r="S636" s="698"/>
      <c r="T636" s="698"/>
      <c r="U636" s="698" t="str">
        <f>IFERROR(VLOOKUP(M636,'02. MM-KLH'!$B$6:$T$823,2,0),"")</f>
        <v/>
      </c>
      <c r="V636" s="558" t="str">
        <f>IFERROR(VLOOKUP(M636,'02. MM-KLH'!$B$6:$T$823,8,0),"")</f>
        <v/>
      </c>
      <c r="W636" s="698"/>
      <c r="X636" s="698"/>
      <c r="Y636" s="698"/>
      <c r="Z636" s="558" t="str">
        <f>IFERROR(VLOOKUP(M636,'02. MM-KLH'!$B$6:$T$823,3,0),"")</f>
        <v/>
      </c>
      <c r="AA636" s="698"/>
      <c r="AB636" s="558"/>
      <c r="AC636" s="558"/>
    </row>
    <row r="637">
      <c r="A637" s="523"/>
      <c r="B637" s="612" t="str">
        <f>IFERROR(VLOOKUP(M637,'02. MM-KLH'!$B$6:$T$823,6,0),"")</f>
        <v>Xe phun thuốc FC950</v>
      </c>
      <c r="C637" s="566">
        <v>1.0</v>
      </c>
      <c r="D637" s="613" t="str">
        <f>IFERROR(VLOOKUP(M637,'02. MM-KLH'!$B$6:$T$823,16,0),"")</f>
        <v>FC950</v>
      </c>
      <c r="E637" s="561" t="s">
        <v>4158</v>
      </c>
      <c r="F637" s="613"/>
      <c r="G637" s="613"/>
      <c r="H637" s="613" t="str">
        <f>IFERROR(VLOOKUP(M637,'02. MM-KLH'!$B$6:$T$823,17,0),"")</f>
        <v>160HP</v>
      </c>
      <c r="I637" s="614">
        <f>IFERROR(VLOOKUP(M637,'02. MM-KLH'!$B$6:$U$823,20,0),"")</f>
        <v>5</v>
      </c>
      <c r="J637" s="612" t="str">
        <f>IFERROR(VLOOKUP(M637,'02. MM-KLH'!$B$6:$T$823,19,0),"")</f>
        <v>J00043</v>
      </c>
      <c r="K637" s="612" t="str">
        <f>IFERROR(VLOOKUP(M637,'02. MM-KLH'!$B$6:$T$823,18,0),"")</f>
        <v>RNHA16FYAJC093491</v>
      </c>
      <c r="L637" s="613" t="str">
        <f>IFERROR(VLOOKUP(M637,'02. MM-KLH'!$B$6:$T$823,4,0),"")</f>
        <v/>
      </c>
      <c r="M637" s="490" t="s">
        <v>1141</v>
      </c>
      <c r="N637" s="615">
        <f>IFERROR(VLOOKUP(M637,'02. MM-KLH'!$B$6:$T$823,15,0),"")</f>
        <v>2018</v>
      </c>
      <c r="O637" s="616" t="str">
        <f>IFERROR(VLOOKUP(M637,'02. MM-KLH'!$B$6:$T$823,9,0),"")</f>
        <v/>
      </c>
      <c r="P637" s="566" t="s">
        <v>1565</v>
      </c>
      <c r="Q637" s="613"/>
      <c r="R637" s="566" t="s">
        <v>4158</v>
      </c>
      <c r="S637" s="613"/>
      <c r="T637" s="613"/>
      <c r="U637" s="559" t="str">
        <f>IFERROR(VLOOKUP(M637,'02. MM-KLH'!$B$6:$T$823,5,0),"")</f>
        <v>ĐQSD</v>
      </c>
      <c r="V637" s="523" t="str">
        <f>IFERROR(VLOOKUP(M637,'02. MM-KLH'!$B$6:$T$823,8,0),"")</f>
        <v>XN Chuối DP3</v>
      </c>
      <c r="W637" s="559" t="str">
        <f>IFERROR(VLOOKUP(V637,'NS QUẢN LÝ CG'!$A$4:$D$36,2,0),"")</f>
        <v>Thạch Ngọc Vững</v>
      </c>
      <c r="X637" s="559" t="str">
        <f>IFERROR(VLOOKUP(V637,'NS QUẢN LÝ CG'!$A$4:$D$36,4,0),"")</f>
        <v>Lô 28 DP3</v>
      </c>
      <c r="Y637" s="559" t="str">
        <f>IFERROR(VLOOKUP(V637,'NS QUẢN LÝ CG'!$A$4:$C$36,3,0),"")</f>
        <v>0975905267</v>
      </c>
      <c r="Z637" s="523" t="str">
        <f>IFERROR(VLOOKUP(M637,'02. MM-KLH'!$B$6:$T$823,3,0),"")</f>
        <v>A23-XPT-003</v>
      </c>
      <c r="AA637" s="559" t="str">
        <f t="shared" ref="AA637:AA640" si="44">SWITCH(LEFT(Z637,3),"A22","ADM","A23","DP","A24","LP","")</f>
        <v>DP</v>
      </c>
      <c r="AB637" s="523"/>
      <c r="AC637" s="523"/>
    </row>
    <row r="638">
      <c r="A638" s="523"/>
      <c r="B638" s="612" t="str">
        <f>IFERROR(VLOOKUP(M638,'02. MM-KLH'!$B$6:$T$823,6,0),"")</f>
        <v>Xe phun thuốc FD 3.5T</v>
      </c>
      <c r="C638" s="566">
        <v>1.0</v>
      </c>
      <c r="D638" s="613" t="str">
        <f>IFERROR(VLOOKUP(M638,'02. MM-KLH'!$B$6:$T$823,16,0),"")</f>
        <v>FD350</v>
      </c>
      <c r="E638" s="561" t="s">
        <v>4158</v>
      </c>
      <c r="F638" s="613"/>
      <c r="G638" s="613"/>
      <c r="H638" s="613" t="str">
        <f>IFERROR(VLOOKUP(M638,'02. MM-KLH'!$B$6:$T$823,17,0),"")</f>
        <v>78HP</v>
      </c>
      <c r="I638" s="614">
        <f>IFERROR(VLOOKUP(M638,'02. MM-KLH'!$B$6:$U$823,20,0),"")</f>
        <v>3.75</v>
      </c>
      <c r="J638" s="612" t="str">
        <f>IFERROR(VLOOKUP(M638,'02. MM-KLH'!$B$6:$T$823,19,0),"")</f>
        <v>CCN</v>
      </c>
      <c r="K638" s="612">
        <f>IFERROR(VLOOKUP(M638,'02. MM-KLH'!$B$6:$T$823,18,0),"")</f>
        <v>380096</v>
      </c>
      <c r="L638" s="613" t="str">
        <f>IFERROR(VLOOKUP(M638,'02. MM-KLH'!$B$6:$T$823,4,0),"")</f>
        <v/>
      </c>
      <c r="M638" s="488" t="s">
        <v>1379</v>
      </c>
      <c r="N638" s="615">
        <f>IFERROR(VLOOKUP(M638,'02. MM-KLH'!$B$6:$T$823,15,0),"")</f>
        <v>2018</v>
      </c>
      <c r="O638" s="616" t="str">
        <f>IFERROR(VLOOKUP(M638,'02. MM-KLH'!$B$6:$T$823,9,0),"")</f>
        <v/>
      </c>
      <c r="P638" s="566" t="s">
        <v>1565</v>
      </c>
      <c r="Q638" s="613"/>
      <c r="R638" s="613"/>
      <c r="S638" s="566" t="s">
        <v>4158</v>
      </c>
      <c r="T638" s="613"/>
      <c r="U638" s="559" t="str">
        <f>IFERROR(VLOOKUP(M638,'02. MM-KLH'!$B$6:$T$823,5,0),"")</f>
        <v>ĐQSD</v>
      </c>
      <c r="V638" s="523" t="str">
        <f>IFERROR(VLOOKUP(M638,'02. MM-KLH'!$B$6:$T$823,8,0),"")</f>
        <v>XN Chuối LP1</v>
      </c>
      <c r="W638" s="559" t="str">
        <f>IFERROR(VLOOKUP(V638,'NS QUẢN LÝ CG'!$A$4:$D$36,2,0),"")</f>
        <v>Nguyễn Ngọc Nhân</v>
      </c>
      <c r="X638" s="559" t="str">
        <f>IFERROR(VLOOKUP(V638,'NS QUẢN LÝ CG'!$A$4:$D$36,4,0),"")</f>
        <v>Lô 7 LP1</v>
      </c>
      <c r="Y638" s="559" t="str">
        <f>IFERROR(VLOOKUP(V638,'NS QUẢN LÝ CG'!$A$4:$C$36,3,0),"")</f>
        <v>0979578112</v>
      </c>
      <c r="Z638" s="523" t="str">
        <f>IFERROR(VLOOKUP(M638,'02. MM-KLH'!$B$6:$T$823,3,0),"")</f>
        <v/>
      </c>
      <c r="AA638" s="559" t="str">
        <f t="shared" si="44"/>
        <v/>
      </c>
      <c r="AB638" s="523"/>
      <c r="AC638" s="523"/>
    </row>
    <row r="639">
      <c r="A639" s="523"/>
      <c r="B639" s="612" t="str">
        <f>IFERROR(VLOOKUP(M639,'02. MM-KLH'!$B$6:$T$823,6,0),"")</f>
        <v>Xe phun thuốc chuyên dụng</v>
      </c>
      <c r="C639" s="566">
        <v>1.0</v>
      </c>
      <c r="D639" s="613" t="str">
        <f>IFERROR(VLOOKUP(M639,'02. MM-KLH'!$B$6:$T$823,16,0),"")</f>
        <v>3TNV88-DSA</v>
      </c>
      <c r="E639" s="561" t="s">
        <v>4158</v>
      </c>
      <c r="F639" s="613"/>
      <c r="G639" s="613"/>
      <c r="H639" s="613" t="str">
        <f>IFERROR(VLOOKUP(M639,'02. MM-KLH'!$B$6:$T$823,17,0),"")</f>
        <v>36HP</v>
      </c>
      <c r="I639" s="614">
        <f>IFERROR(VLOOKUP(M639,'02. MM-KLH'!$B$6:$U$823,20,0),"")</f>
        <v>2.4</v>
      </c>
      <c r="J639" s="612" t="str">
        <f>IFERROR(VLOOKUP(M639,'02. MM-KLH'!$B$6:$T$823,19,0),"")</f>
        <v>J8134</v>
      </c>
      <c r="K639" s="612" t="str">
        <f>IFERROR(VLOOKUP(M639,'02. MM-KLH'!$B$6:$T$823,18,0),"")</f>
        <v>CCN</v>
      </c>
      <c r="L639" s="613" t="str">
        <f>IFERROR(VLOOKUP(M639,'02. MM-KLH'!$B$6:$T$823,4,0),"")</f>
        <v/>
      </c>
      <c r="M639" s="488" t="s">
        <v>2303</v>
      </c>
      <c r="N639" s="615" t="str">
        <f>IFERROR(VLOOKUP(M639,'02. MM-KLH'!$B$6:$T$823,15,0),"")</f>
        <v/>
      </c>
      <c r="O639" s="616" t="str">
        <f>IFERROR(VLOOKUP(M639,'02. MM-KLH'!$B$6:$T$823,9,0),"")</f>
        <v/>
      </c>
      <c r="P639" s="566" t="s">
        <v>1565</v>
      </c>
      <c r="Q639" s="613"/>
      <c r="R639" s="613"/>
      <c r="S639" s="566" t="s">
        <v>4158</v>
      </c>
      <c r="T639" s="613"/>
      <c r="U639" s="559" t="str">
        <f>IFERROR(VLOOKUP(M639,'02. MM-KLH'!$B$6:$T$823,5,0),"")</f>
        <v>ĐQSD</v>
      </c>
      <c r="V639" s="523" t="str">
        <f>IFERROR(VLOOKUP(M639,'02. MM-KLH'!$B$6:$T$823,8,0),"")</f>
        <v>XN Bò AD</v>
      </c>
      <c r="W639" s="559" t="str">
        <f>IFERROR(VLOOKUP(V639,'NS QUẢN LÝ CG'!$A$4:$D$36,2,0),"")</f>
        <v>Trần Văn Nam</v>
      </c>
      <c r="X639" s="559" t="str">
        <f>IFERROR(VLOOKUP(V639,'NS QUẢN LÝ CG'!$A$4:$D$36,4,0),"")</f>
        <v>Lô 28 XN Bò</v>
      </c>
      <c r="Y639" s="559" t="str">
        <f>IFERROR(VLOOKUP(V639,'NS QUẢN LÝ CG'!$A$4:$C$36,3,0),"")</f>
        <v>0971993540</v>
      </c>
      <c r="Z639" s="523" t="str">
        <f>IFERROR(VLOOKUP(M639,'02. MM-KLH'!$B$6:$T$823,3,0),"")</f>
        <v>A22-XPT-004</v>
      </c>
      <c r="AA639" s="559" t="str">
        <f t="shared" si="44"/>
        <v>ADM</v>
      </c>
      <c r="AB639" s="523"/>
      <c r="AC639" s="523"/>
    </row>
    <row r="640">
      <c r="A640" s="523"/>
      <c r="B640" s="612" t="str">
        <f>IFERROR(VLOOKUP(M640,'02. MM-KLH'!$B$6:$T$823,6,0),"")</f>
        <v/>
      </c>
      <c r="C640" s="566"/>
      <c r="D640" s="613" t="str">
        <f>IFERROR(VLOOKUP(M640,'02. MM-KLH'!$B$6:$T$823,16,0),"")</f>
        <v/>
      </c>
      <c r="E640" s="613"/>
      <c r="F640" s="613"/>
      <c r="G640" s="613"/>
      <c r="H640" s="613" t="str">
        <f>IFERROR(VLOOKUP(M640,'02. MM-KLH'!$B$6:$T$823,17,0),"")</f>
        <v/>
      </c>
      <c r="I640" s="614" t="str">
        <f>IFERROR(VLOOKUP(M640,'02. MM-KLH'!$B$6:$U$823,20,0),"")</f>
        <v/>
      </c>
      <c r="J640" s="612" t="str">
        <f>IFERROR(VLOOKUP(M640,'02. MM-KLH'!$B$6:$T$823,19,0),"")</f>
        <v/>
      </c>
      <c r="K640" s="612" t="str">
        <f>IFERROR(VLOOKUP(M640,'02. MM-KLH'!$B$6:$T$823,18,0),"")</f>
        <v/>
      </c>
      <c r="L640" s="613" t="str">
        <f>IFERROR(VLOOKUP(M640,'02. MM-KLH'!$B$6:$T$823,4,0),"")</f>
        <v/>
      </c>
      <c r="M640" s="488"/>
      <c r="N640" s="615" t="str">
        <f>IFERROR(VLOOKUP(M640,'02. MM-KLH'!$B$6:$T$823,15,0),"")</f>
        <v/>
      </c>
      <c r="O640" s="616" t="str">
        <f>IFERROR(VLOOKUP(M640,'02. MM-KLH'!$B$6:$T$823,9,0),"")</f>
        <v/>
      </c>
      <c r="P640" s="613"/>
      <c r="Q640" s="613"/>
      <c r="R640" s="613"/>
      <c r="S640" s="613"/>
      <c r="T640" s="613"/>
      <c r="U640" s="613" t="str">
        <f>IFERROR(VLOOKUP(M640,'02. MM-KLH'!$B$6:$T$823,2,0),"")</f>
        <v/>
      </c>
      <c r="V640" s="523" t="str">
        <f>IFERROR(VLOOKUP(M640,'02. MM-KLH'!$B$6:$T$823,8,0),"")</f>
        <v/>
      </c>
      <c r="W640" s="559" t="str">
        <f>IFERROR(VLOOKUP(V640,'NS QUẢN LÝ CG'!$A$4:$D$36,2,0),"")</f>
        <v/>
      </c>
      <c r="X640" s="559" t="str">
        <f>IFERROR(VLOOKUP(V640,'NS QUẢN LÝ CG'!$A$4:$D$36,4,0),"")</f>
        <v/>
      </c>
      <c r="Y640" s="613"/>
      <c r="Z640" s="523" t="str">
        <f>IFERROR(VLOOKUP(M640,'02. MM-KLH'!$B$6:$T$823,3,0),"")</f>
        <v/>
      </c>
      <c r="AA640" s="559" t="str">
        <f t="shared" si="44"/>
        <v/>
      </c>
      <c r="AB640" s="523"/>
      <c r="AC640" s="523"/>
    </row>
    <row r="641">
      <c r="A641" s="523"/>
      <c r="B641" s="612" t="str">
        <f>IFERROR(VLOOKUP(M641,'02. MM-KLH'!$B$6:$T$823,6,0),"")</f>
        <v/>
      </c>
      <c r="C641" s="566"/>
      <c r="D641" s="613" t="str">
        <f>IFERROR(VLOOKUP(M641,'02. MM-KLH'!$B$6:$T$823,16,0),"")</f>
        <v/>
      </c>
      <c r="E641" s="613"/>
      <c r="F641" s="613"/>
      <c r="G641" s="613"/>
      <c r="H641" s="613" t="str">
        <f>IFERROR(VLOOKUP(M641,'02. MM-KLH'!$B$6:$T$823,17,0),"")</f>
        <v/>
      </c>
      <c r="I641" s="614" t="str">
        <f>IFERROR(VLOOKUP(M641,'02. MM-KLH'!$B$6:$U$823,20,0),"")</f>
        <v/>
      </c>
      <c r="J641" s="612" t="str">
        <f>IFERROR(VLOOKUP(M641,'02. MM-KLH'!$B$6:$T$823,19,0),"")</f>
        <v/>
      </c>
      <c r="K641" s="612" t="str">
        <f>IFERROR(VLOOKUP(M641,'02. MM-KLH'!$B$6:$T$823,18,0),"")</f>
        <v/>
      </c>
      <c r="L641" s="613" t="str">
        <f>IFERROR(VLOOKUP(M641,'02. MM-KLH'!$B$6:$T$823,4,0),"")</f>
        <v/>
      </c>
      <c r="M641" s="488"/>
      <c r="N641" s="615" t="str">
        <f>IFERROR(VLOOKUP(M641,'02. MM-KLH'!$B$6:$T$823,15,0),"")</f>
        <v/>
      </c>
      <c r="O641" s="616" t="str">
        <f>IFERROR(VLOOKUP(M641,'02. MM-KLH'!$B$6:$T$823,9,0),"")</f>
        <v/>
      </c>
      <c r="P641" s="613"/>
      <c r="Q641" s="613"/>
      <c r="R641" s="613"/>
      <c r="S641" s="613"/>
      <c r="T641" s="613"/>
      <c r="U641" s="613" t="str">
        <f>IFERROR(VLOOKUP(M641,'02. MM-KLH'!$B$6:$T$823,2,0),"")</f>
        <v/>
      </c>
      <c r="V641" s="523" t="str">
        <f>IFERROR(VLOOKUP(M641,'02. MM-KLH'!$B$6:$T$823,8,0),"")</f>
        <v/>
      </c>
      <c r="W641" s="559" t="str">
        <f>IFERROR(VLOOKUP(V641,'NS QUẢN LÝ CG'!$A$4:$D$36,2,0),"")</f>
        <v/>
      </c>
      <c r="X641" s="559" t="str">
        <f>IFERROR(VLOOKUP(V641,'NS QUẢN LÝ CG'!$A$4:$D$36,4,0),"")</f>
        <v/>
      </c>
      <c r="Y641" s="613"/>
      <c r="Z641" s="523" t="str">
        <f>IFERROR(VLOOKUP(M641,'02. MM-KLH'!$B$6:$T$823,3,0),"")</f>
        <v/>
      </c>
      <c r="AA641" s="613"/>
      <c r="AB641" s="523"/>
      <c r="AC641" s="523"/>
    </row>
    <row r="642">
      <c r="A642" s="542" t="s">
        <v>2642</v>
      </c>
      <c r="B642" s="543" t="s">
        <v>5987</v>
      </c>
      <c r="C642" s="544">
        <f>COUNTA(B643:B647)</f>
        <v>4</v>
      </c>
      <c r="D642" s="545"/>
      <c r="E642" s="545"/>
      <c r="F642" s="545"/>
      <c r="G642" s="545"/>
      <c r="H642" s="545"/>
      <c r="I642" s="546"/>
      <c r="J642" s="547"/>
      <c r="K642" s="547"/>
      <c r="L642" s="545"/>
      <c r="M642" s="545"/>
      <c r="N642" s="545"/>
      <c r="O642" s="548"/>
      <c r="P642" s="545"/>
      <c r="Q642" s="545"/>
      <c r="R642" s="545"/>
      <c r="S642" s="545"/>
      <c r="T642" s="545"/>
      <c r="U642" s="545"/>
      <c r="V642" s="546"/>
      <c r="W642" s="545"/>
      <c r="X642" s="545"/>
      <c r="Y642" s="545"/>
      <c r="Z642" s="546"/>
      <c r="AA642" s="545"/>
      <c r="AB642" s="546"/>
      <c r="AC642" s="549"/>
    </row>
    <row r="643">
      <c r="A643" s="523"/>
      <c r="B643" s="612" t="str">
        <f>IFERROR(VLOOKUP(M643,'02. MM-KLH'!$B$6:$T$823,6,0),"")</f>
        <v>Xe rải thức ăn FD1600B (23m3)</v>
      </c>
      <c r="C643" s="566">
        <v>1.0</v>
      </c>
      <c r="D643" s="613" t="str">
        <f>IFERROR(VLOOKUP(M643,'02. MM-KLH'!$B$6:$T$823,16,0),"")</f>
        <v>FD1600B</v>
      </c>
      <c r="E643" s="561" t="s">
        <v>4158</v>
      </c>
      <c r="F643" s="613"/>
      <c r="G643" s="613"/>
      <c r="H643" s="613" t="str">
        <f>IFERROR(VLOOKUP(M643,'02. MM-KLH'!$B$6:$T$823,17,0),"")</f>
        <v>180HP</v>
      </c>
      <c r="I643" s="614">
        <f>IFERROR(VLOOKUP(M643,'02. MM-KLH'!$B$6:$U$823,20,0),"")</f>
        <v>0.46</v>
      </c>
      <c r="J643" s="612" t="str">
        <f>IFERROR(VLOOKUP(M643,'02. MM-KLH'!$B$6:$T$823,19,0),"")</f>
        <v>WP6180E326P15D005529</v>
      </c>
      <c r="K643" s="612" t="str">
        <f>IFERROR(VLOOKUP(M643,'02. MM-KLH'!$B$6:$T$823,18,0),"")</f>
        <v>RNHD1600DHC070080</v>
      </c>
      <c r="L643" s="613" t="str">
        <f>IFERROR(VLOOKUP(M643,'02. MM-KLH'!$B$6:$T$823,4,0),"")</f>
        <v/>
      </c>
      <c r="M643" s="488" t="s">
        <v>2051</v>
      </c>
      <c r="N643" s="615">
        <f>IFERROR(VLOOKUP(M643,'02. MM-KLH'!$B$6:$T$823,15,0),"")</f>
        <v>2017</v>
      </c>
      <c r="O643" s="616">
        <f>IFERROR(VLOOKUP(M643,'02. MM-KLH'!$B$6:$T$823,9,0),"")</f>
        <v>44927</v>
      </c>
      <c r="P643" s="774">
        <v>79996.0</v>
      </c>
      <c r="Q643" s="613"/>
      <c r="R643" s="566" t="s">
        <v>4158</v>
      </c>
      <c r="S643" s="613"/>
      <c r="T643" s="613"/>
      <c r="U643" s="559" t="str">
        <f>IFERROR(VLOOKUP(M643,'02. MM-KLH'!$B$6:$T$823,5,0),"")</f>
        <v>MỚI</v>
      </c>
      <c r="V643" s="523" t="str">
        <f>IFERROR(VLOOKUP(M643,'02. MM-KLH'!$B$6:$T$823,8,0),"")</f>
        <v>XN Bò AD</v>
      </c>
      <c r="W643" s="559" t="str">
        <f>IFERROR(VLOOKUP(V643,'NS QUẢN LÝ CG'!$A$4:$D$36,2,0),"")</f>
        <v>Trần Văn Nam</v>
      </c>
      <c r="X643" s="559" t="str">
        <f>IFERROR(VLOOKUP(V643,'NS QUẢN LÝ CG'!$A$4:$D$36,4,0),"")</f>
        <v>Lô 28 XN Bò</v>
      </c>
      <c r="Y643" s="559" t="str">
        <f>IFERROR(VLOOKUP(V643,'NS QUẢN LÝ CG'!$A$4:$C$36,3,0),"")</f>
        <v>0971993540</v>
      </c>
      <c r="Z643" s="523" t="str">
        <f>IFERROR(VLOOKUP(M643,'02. MM-KLH'!$B$6:$T$823,3,0),"")</f>
        <v>ATT-A22-0270</v>
      </c>
      <c r="AA643" s="561" t="s">
        <v>4462</v>
      </c>
      <c r="AB643" s="523"/>
      <c r="AC643" s="523"/>
    </row>
    <row r="644">
      <c r="A644" s="523"/>
      <c r="B644" s="612" t="str">
        <f>IFERROR(VLOOKUP(M644,'02. MM-KLH'!$B$6:$T$823,6,0),"")</f>
        <v>Xe rải thức ăn FD1600B (23m3)</v>
      </c>
      <c r="C644" s="566">
        <v>1.0</v>
      </c>
      <c r="D644" s="613" t="str">
        <f>IFERROR(VLOOKUP(M644,'02. MM-KLH'!$B$6:$T$823,16,0),"")</f>
        <v>FD1600B</v>
      </c>
      <c r="E644" s="561" t="s">
        <v>4158</v>
      </c>
      <c r="F644" s="613"/>
      <c r="G644" s="613"/>
      <c r="H644" s="613" t="str">
        <f>IFERROR(VLOOKUP(M644,'02. MM-KLH'!$B$6:$T$823,17,0),"")</f>
        <v>180HP</v>
      </c>
      <c r="I644" s="614">
        <f>IFERROR(VLOOKUP(M644,'02. MM-KLH'!$B$6:$U$823,20,0),"")</f>
        <v>0.46</v>
      </c>
      <c r="J644" s="612" t="str">
        <f>IFERROR(VLOOKUP(M644,'02. MM-KLH'!$B$6:$T$823,19,0),"")</f>
        <v>WP6180E326P15D005502</v>
      </c>
      <c r="K644" s="612" t="str">
        <f>IFERROR(VLOOKUP(M644,'02. MM-KLH'!$B$6:$T$823,18,0),"")</f>
        <v>RNHD1600DHC055025</v>
      </c>
      <c r="L644" s="613" t="str">
        <f>IFERROR(VLOOKUP(M644,'02. MM-KLH'!$B$6:$T$823,4,0),"")</f>
        <v/>
      </c>
      <c r="M644" s="490" t="s">
        <v>2059</v>
      </c>
      <c r="N644" s="615">
        <f>IFERROR(VLOOKUP(M644,'02. MM-KLH'!$B$6:$T$823,15,0),"")</f>
        <v>2017</v>
      </c>
      <c r="O644" s="616">
        <f>IFERROR(VLOOKUP(M644,'02. MM-KLH'!$B$6:$T$823,9,0),"")</f>
        <v>45261</v>
      </c>
      <c r="P644" s="566" t="s">
        <v>1565</v>
      </c>
      <c r="Q644" s="613"/>
      <c r="R644" s="613"/>
      <c r="S644" s="566" t="s">
        <v>4158</v>
      </c>
      <c r="T644" s="613"/>
      <c r="U644" s="559" t="str">
        <f>IFERROR(VLOOKUP(M644,'02. MM-KLH'!$B$6:$T$823,5,0),"")</f>
        <v>MỚI</v>
      </c>
      <c r="V644" s="523" t="str">
        <f>IFERROR(VLOOKUP(M644,'02. MM-KLH'!$B$6:$T$823,8,0),"")</f>
        <v>XN Bò AD</v>
      </c>
      <c r="W644" s="559" t="str">
        <f>IFERROR(VLOOKUP(V644,'NS QUẢN LÝ CG'!$A$4:$D$36,2,0),"")</f>
        <v>Trần Văn Nam</v>
      </c>
      <c r="X644" s="559" t="str">
        <f>IFERROR(VLOOKUP(V644,'NS QUẢN LÝ CG'!$A$4:$D$36,4,0),"")</f>
        <v>Lô 28 XN Bò</v>
      </c>
      <c r="Y644" s="559" t="str">
        <f>IFERROR(VLOOKUP(V644,'NS QUẢN LÝ CG'!$A$4:$C$36,3,0),"")</f>
        <v>0971993540</v>
      </c>
      <c r="Z644" s="523" t="str">
        <f>IFERROR(VLOOKUP(M644,'02. MM-KLH'!$B$6:$T$823,3,0),"")</f>
        <v>ATT-A22-0287</v>
      </c>
      <c r="AA644" s="561" t="s">
        <v>4462</v>
      </c>
      <c r="AB644" s="523"/>
      <c r="AC644" s="523"/>
    </row>
    <row r="645">
      <c r="A645" s="523"/>
      <c r="B645" s="612" t="str">
        <f>IFERROR(VLOOKUP(M645,'02. MM-KLH'!$B$6:$T$823,6,0),"")</f>
        <v>Xe rải thức ăn FD1600B (23m3)</v>
      </c>
      <c r="C645" s="566">
        <v>1.0</v>
      </c>
      <c r="D645" s="613" t="str">
        <f>IFERROR(VLOOKUP(M645,'02. MM-KLH'!$B$6:$T$823,16,0),"")</f>
        <v>FD1600B</v>
      </c>
      <c r="E645" s="561" t="s">
        <v>4158</v>
      </c>
      <c r="F645" s="613"/>
      <c r="G645" s="613"/>
      <c r="H645" s="613" t="str">
        <f>IFERROR(VLOOKUP(M645,'02. MM-KLH'!$B$6:$T$823,17,0),"")</f>
        <v>180HP</v>
      </c>
      <c r="I645" s="614">
        <f>IFERROR(VLOOKUP(M645,'02. MM-KLH'!$B$6:$U$823,20,0),"")</f>
        <v>5</v>
      </c>
      <c r="J645" s="612" t="str">
        <f>IFERROR(VLOOKUP(M645,'02. MM-KLH'!$B$6:$T$823,19,0),"")</f>
        <v>WP6.180E326P15D005524</v>
      </c>
      <c r="K645" s="612" t="str">
        <f>IFERROR(VLOOKUP(M645,'02. MM-KLH'!$B$6:$T$823,18,0),"")</f>
        <v>RNHD1600DHC056126</v>
      </c>
      <c r="L645" s="613" t="str">
        <f>IFERROR(VLOOKUP(M645,'02. MM-KLH'!$B$6:$T$823,4,0),"")</f>
        <v/>
      </c>
      <c r="M645" s="490" t="s">
        <v>2062</v>
      </c>
      <c r="N645" s="615">
        <f>IFERROR(VLOOKUP(M645,'02. MM-KLH'!$B$6:$T$823,15,0),"")</f>
        <v>2017</v>
      </c>
      <c r="O645" s="616">
        <f>IFERROR(VLOOKUP(M645,'02. MM-KLH'!$B$6:$T$823,9,0),"")</f>
        <v>45261</v>
      </c>
      <c r="P645" s="566" t="s">
        <v>1565</v>
      </c>
      <c r="Q645" s="613"/>
      <c r="R645" s="566" t="s">
        <v>4158</v>
      </c>
      <c r="S645" s="613"/>
      <c r="T645" s="613"/>
      <c r="U645" s="559" t="str">
        <f>IFERROR(VLOOKUP(M645,'02. MM-KLH'!$B$6:$T$823,5,0),"")</f>
        <v>MỚI</v>
      </c>
      <c r="V645" s="523" t="str">
        <f>IFERROR(VLOOKUP(M645,'02. MM-KLH'!$B$6:$T$823,8,0),"")</f>
        <v>XN Bò AD</v>
      </c>
      <c r="W645" s="559" t="str">
        <f>IFERROR(VLOOKUP(V645,'NS QUẢN LÝ CG'!$A$4:$D$36,2,0),"")</f>
        <v>Trần Văn Nam</v>
      </c>
      <c r="X645" s="559" t="str">
        <f>IFERROR(VLOOKUP(V645,'NS QUẢN LÝ CG'!$A$4:$D$36,4,0),"")</f>
        <v>Lô 28 XN Bò</v>
      </c>
      <c r="Y645" s="559" t="str">
        <f>IFERROR(VLOOKUP(V645,'NS QUẢN LÝ CG'!$A$4:$C$36,3,0),"")</f>
        <v>0971993540</v>
      </c>
      <c r="Z645" s="523" t="str">
        <f>IFERROR(VLOOKUP(M645,'02. MM-KLH'!$B$6:$T$823,3,0),"")</f>
        <v>ATT-A22-0288</v>
      </c>
      <c r="AA645" s="561" t="s">
        <v>4462</v>
      </c>
      <c r="AB645" s="523"/>
      <c r="AC645" s="523"/>
    </row>
    <row r="646">
      <c r="A646" s="523"/>
      <c r="B646" s="612" t="str">
        <f>IFERROR(VLOOKUP(M646,'02. MM-KLH'!$B$6:$T$823,6,0),"")</f>
        <v>Xe rải thức ăn FD1600B (23m3)</v>
      </c>
      <c r="C646" s="566">
        <v>1.0</v>
      </c>
      <c r="D646" s="613" t="str">
        <f>IFERROR(VLOOKUP(M646,'02. MM-KLH'!$B$6:$T$823,16,0),"")</f>
        <v>FD1600B</v>
      </c>
      <c r="E646" s="561" t="s">
        <v>4158</v>
      </c>
      <c r="F646" s="613"/>
      <c r="G646" s="613"/>
      <c r="H646" s="613" t="str">
        <f>IFERROR(VLOOKUP(M646,'02. MM-KLH'!$B$6:$T$823,17,0),"")</f>
        <v>180HP</v>
      </c>
      <c r="I646" s="614">
        <f>IFERROR(VLOOKUP(M646,'02. MM-KLH'!$B$6:$U$823,20,0),"")</f>
        <v>5</v>
      </c>
      <c r="J646" s="612" t="str">
        <f>IFERROR(VLOOKUP(M646,'02. MM-KLH'!$B$6:$T$823,19,0),"")</f>
        <v>WP6.180E32*6P15D005392</v>
      </c>
      <c r="K646" s="612" t="str">
        <f>IFERROR(VLOOKUP(M646,'02. MM-KLH'!$B$6:$T$823,18,0),"")</f>
        <v>RNHD1600DHC056121</v>
      </c>
      <c r="L646" s="613" t="str">
        <f>IFERROR(VLOOKUP(M646,'02. MM-KLH'!$B$6:$T$823,4,0),"")</f>
        <v/>
      </c>
      <c r="M646" s="490" t="s">
        <v>2065</v>
      </c>
      <c r="N646" s="615">
        <f>IFERROR(VLOOKUP(M646,'02. MM-KLH'!$B$6:$T$823,15,0),"")</f>
        <v>2017</v>
      </c>
      <c r="O646" s="616">
        <f>IFERROR(VLOOKUP(M646,'02. MM-KLH'!$B$6:$T$823,9,0),"")</f>
        <v>45569</v>
      </c>
      <c r="P646" s="566" t="s">
        <v>1565</v>
      </c>
      <c r="Q646" s="613"/>
      <c r="R646" s="566" t="s">
        <v>4158</v>
      </c>
      <c r="S646" s="613"/>
      <c r="T646" s="613"/>
      <c r="U646" s="559" t="str">
        <f>IFERROR(VLOOKUP(M646,'02. MM-KLH'!$B$6:$T$823,5,0),"")</f>
        <v>MỚI</v>
      </c>
      <c r="V646" s="523" t="str">
        <f>IFERROR(VLOOKUP(M646,'02. MM-KLH'!$B$6:$T$823,8,0),"")</f>
        <v>XN Bò AD</v>
      </c>
      <c r="W646" s="559" t="str">
        <f>IFERROR(VLOOKUP(V646,'NS QUẢN LÝ CG'!$A$4:$D$36,2,0),"")</f>
        <v>Trần Văn Nam</v>
      </c>
      <c r="X646" s="559" t="str">
        <f>IFERROR(VLOOKUP(V646,'NS QUẢN LÝ CG'!$A$4:$D$36,4,0),"")</f>
        <v>Lô 28 XN Bò</v>
      </c>
      <c r="Y646" s="559" t="str">
        <f>IFERROR(VLOOKUP(V646,'NS QUẢN LÝ CG'!$A$4:$C$36,3,0),"")</f>
        <v>0971993540</v>
      </c>
      <c r="Z646" s="523" t="str">
        <f>IFERROR(VLOOKUP(M646,'02. MM-KLH'!$B$6:$T$823,3,0),"")</f>
        <v>A22-XRA-005</v>
      </c>
      <c r="AA646" s="559" t="str">
        <f>SWITCH(LEFT(Z646,3),"A22","ADM","A23","DP","A24","LP","")</f>
        <v>ADM</v>
      </c>
      <c r="AB646" s="523"/>
      <c r="AC646" s="523"/>
    </row>
    <row r="647">
      <c r="A647" s="523"/>
      <c r="B647" s="612" t="str">
        <f>IFERROR(VLOOKUP(M647,'02. MM-KLH'!$B$6:$T$823,6,0),"")</f>
        <v/>
      </c>
      <c r="C647" s="566"/>
      <c r="D647" s="613" t="str">
        <f>IFERROR(VLOOKUP(M647,'02. MM-KLH'!$B$6:$T$823,16,0),"")</f>
        <v/>
      </c>
      <c r="E647" s="613"/>
      <c r="F647" s="613"/>
      <c r="G647" s="613"/>
      <c r="H647" s="613" t="str">
        <f>IFERROR(VLOOKUP(M647,'02. MM-KLH'!$B$6:$T$823,17,0),"")</f>
        <v/>
      </c>
      <c r="I647" s="614" t="str">
        <f>IFERROR(VLOOKUP(M647,'02. MM-KLH'!$B$6:$U$823,20,0),"")</f>
        <v/>
      </c>
      <c r="J647" s="612" t="str">
        <f>IFERROR(VLOOKUP(M647,'02. MM-KLH'!$B$6:$T$823,19,0),"")</f>
        <v/>
      </c>
      <c r="K647" s="612" t="str">
        <f>IFERROR(VLOOKUP(M647,'02. MM-KLH'!$B$6:$T$823,18,0),"")</f>
        <v/>
      </c>
      <c r="L647" s="613" t="str">
        <f>IFERROR(VLOOKUP(M647,'02. MM-KLH'!$B$6:$T$823,4,0),"")</f>
        <v/>
      </c>
      <c r="M647" s="488"/>
      <c r="N647" s="615" t="str">
        <f>IFERROR(VLOOKUP(M647,'02. MM-KLH'!$B$6:$T$823,15,0),"")</f>
        <v/>
      </c>
      <c r="O647" s="616" t="str">
        <f>IFERROR(VLOOKUP(M647,'02. MM-KLH'!$B$6:$T$823,9,0),"")</f>
        <v/>
      </c>
      <c r="P647" s="613"/>
      <c r="Q647" s="613"/>
      <c r="R647" s="613"/>
      <c r="S647" s="613"/>
      <c r="T647" s="613"/>
      <c r="U647" s="613" t="str">
        <f>IFERROR(VLOOKUP(M647,'02. MM-KLH'!$B$6:$T$823,2,0),"")</f>
        <v/>
      </c>
      <c r="V647" s="523" t="str">
        <f>IFERROR(VLOOKUP(M647,'02. MM-KLH'!$B$6:$T$823,8,0),"")</f>
        <v/>
      </c>
      <c r="W647" s="559" t="str">
        <f>IFERROR(VLOOKUP(V647,'NS QUẢN LÝ CG'!$A$4:$D$36,2,0),"")</f>
        <v/>
      </c>
      <c r="X647" s="559" t="str">
        <f>IFERROR(VLOOKUP(V647,'NS QUẢN LÝ CG'!$A$4:$D$36,4,0),"")</f>
        <v/>
      </c>
      <c r="Y647" s="613"/>
      <c r="Z647" s="523" t="str">
        <f>IFERROR(VLOOKUP(M647,'02. MM-KLH'!$B$6:$T$823,3,0),"")</f>
        <v/>
      </c>
      <c r="AA647" s="613"/>
      <c r="AB647" s="523"/>
      <c r="AC647" s="523"/>
    </row>
    <row r="648">
      <c r="A648" s="542" t="s">
        <v>4476</v>
      </c>
      <c r="B648" s="543" t="s">
        <v>5972</v>
      </c>
      <c r="C648" s="544">
        <f>COUNTA(B649:B661)</f>
        <v>11</v>
      </c>
      <c r="D648" s="545"/>
      <c r="E648" s="545"/>
      <c r="F648" s="545"/>
      <c r="G648" s="545"/>
      <c r="H648" s="545"/>
      <c r="I648" s="546"/>
      <c r="J648" s="547"/>
      <c r="K648" s="547"/>
      <c r="L648" s="545"/>
      <c r="M648" s="545"/>
      <c r="N648" s="545"/>
      <c r="O648" s="548"/>
      <c r="P648" s="545"/>
      <c r="Q648" s="545"/>
      <c r="R648" s="545"/>
      <c r="S648" s="545"/>
      <c r="T648" s="545"/>
      <c r="U648" s="545"/>
      <c r="V648" s="546"/>
      <c r="W648" s="545"/>
      <c r="X648" s="545"/>
      <c r="Y648" s="545"/>
      <c r="Z648" s="546"/>
      <c r="AA648" s="545"/>
      <c r="AB648" s="546"/>
      <c r="AC648" s="549"/>
    </row>
    <row r="649">
      <c r="A649" s="523"/>
      <c r="B649" s="612" t="str">
        <f>IFERROR(VLOOKUP(M649,'02. MM-KLH'!$B$6:$T$823,6,0),"")</f>
        <v>Xe hứng cỏ FC150 (30m3)</v>
      </c>
      <c r="C649" s="566">
        <v>1.0</v>
      </c>
      <c r="D649" s="613" t="str">
        <f>IFERROR(VLOOKUP(M649,'02. MM-KLH'!$B$6:$T$823,16,0),"")</f>
        <v>FC150-4WD</v>
      </c>
      <c r="E649" s="561" t="s">
        <v>4158</v>
      </c>
      <c r="F649" s="613"/>
      <c r="G649" s="613"/>
      <c r="H649" s="613" t="str">
        <f>IFERROR(VLOOKUP(M649,'02. MM-KLH'!$B$6:$T$823,17,0),"")</f>
        <v>150HP</v>
      </c>
      <c r="I649" s="614">
        <f>IFERROR(VLOOKUP(M649,'02. MM-KLH'!$B$6:$U$823,20,0),"")</f>
        <v>0.63</v>
      </c>
      <c r="J649" s="612" t="str">
        <f>IFERROR(VLOOKUP(M649,'02. MM-KLH'!$B$6:$T$823,19,0),"")</f>
        <v>YC4D150-48D59M1N00701</v>
      </c>
      <c r="K649" s="612" t="str">
        <f>IFERROR(VLOOKUP(M649,'02. MM-KLH'!$B$6:$T$823,18,0),"")</f>
        <v>RNHF16FYBNT070603</v>
      </c>
      <c r="L649" s="613" t="str">
        <f>IFERROR(VLOOKUP(M649,'02. MM-KLH'!$B$6:$T$823,4,0),"")</f>
        <v/>
      </c>
      <c r="M649" s="490" t="s">
        <v>2068</v>
      </c>
      <c r="N649" s="615">
        <f>IFERROR(VLOOKUP(M649,'02. MM-KLH'!$B$6:$T$823,15,0),"")</f>
        <v>2022</v>
      </c>
      <c r="O649" s="616">
        <f>IFERROR(VLOOKUP(M649,'02. MM-KLH'!$B$6:$T$823,9,0),"")</f>
        <v>45261</v>
      </c>
      <c r="P649" s="566" t="s">
        <v>1565</v>
      </c>
      <c r="Q649" s="613"/>
      <c r="R649" s="566" t="s">
        <v>4158</v>
      </c>
      <c r="S649" s="613"/>
      <c r="T649" s="613"/>
      <c r="U649" s="559" t="str">
        <f>IFERROR(VLOOKUP(M649,'02. MM-KLH'!$B$6:$T$823,5,0),"")</f>
        <v>MỚI</v>
      </c>
      <c r="V649" s="523" t="str">
        <f>IFERROR(VLOOKUP(M649,'02. MM-KLH'!$B$6:$T$823,8,0),"")</f>
        <v>XN Bò AD</v>
      </c>
      <c r="W649" s="559" t="str">
        <f>IFERROR(VLOOKUP(V649,'NS QUẢN LÝ CG'!$A$4:$D$36,2,0),"")</f>
        <v>Trần Văn Nam</v>
      </c>
      <c r="X649" s="559" t="str">
        <f>IFERROR(VLOOKUP(V649,'NS QUẢN LÝ CG'!$A$4:$D$36,4,0),"")</f>
        <v>Lô 28 XN Bò</v>
      </c>
      <c r="Y649" s="559" t="str">
        <f>IFERROR(VLOOKUP(V649,'NS QUẢN LÝ CG'!$A$4:$C$36,3,0),"")</f>
        <v>0971993540</v>
      </c>
      <c r="Z649" s="523" t="str">
        <f>IFERROR(VLOOKUP(M649,'02. MM-KLH'!$B$6:$T$823,3,0),"")</f>
        <v>ATT-A22-0285</v>
      </c>
      <c r="AA649" s="561" t="s">
        <v>4462</v>
      </c>
      <c r="AB649" s="523"/>
      <c r="AC649" s="523"/>
    </row>
    <row r="650">
      <c r="A650" s="523"/>
      <c r="B650" s="612" t="str">
        <f>IFERROR(VLOOKUP(M650,'02. MM-KLH'!$B$6:$T$823,6,0),"")</f>
        <v>Xe hứng cỏ FC150 (30m3)</v>
      </c>
      <c r="C650" s="566">
        <v>1.0</v>
      </c>
      <c r="D650" s="613" t="str">
        <f>IFERROR(VLOOKUP(M650,'02. MM-KLH'!$B$6:$T$823,16,0),"")</f>
        <v>FC150-4WD</v>
      </c>
      <c r="E650" s="561" t="s">
        <v>4158</v>
      </c>
      <c r="F650" s="613"/>
      <c r="G650" s="613"/>
      <c r="H650" s="613" t="str">
        <f>IFERROR(VLOOKUP(M650,'02. MM-KLH'!$B$6:$T$823,17,0),"")</f>
        <v>150HP</v>
      </c>
      <c r="I650" s="614">
        <f>IFERROR(VLOOKUP(M650,'02. MM-KLH'!$B$6:$U$823,20,0),"")</f>
        <v>0.63</v>
      </c>
      <c r="J650" s="612" t="str">
        <f>IFERROR(VLOOKUP(M650,'02. MM-KLH'!$B$6:$T$823,19,0),"")</f>
        <v>YC4D150-48D59M1N00901</v>
      </c>
      <c r="K650" s="612" t="str">
        <f>IFERROR(VLOOKUP(M650,'02. MM-KLH'!$B$6:$T$823,18,0),"")</f>
        <v>RNHF16FYANT077508</v>
      </c>
      <c r="L650" s="613" t="str">
        <f>IFERROR(VLOOKUP(M650,'02. MM-KLH'!$B$6:$T$823,4,0),"")</f>
        <v/>
      </c>
      <c r="M650" s="490" t="s">
        <v>2073</v>
      </c>
      <c r="N650" s="615">
        <f>IFERROR(VLOOKUP(M650,'02. MM-KLH'!$B$6:$T$823,15,0),"")</f>
        <v>2023</v>
      </c>
      <c r="O650" s="616">
        <f>IFERROR(VLOOKUP(M650,'02. MM-KLH'!$B$6:$T$823,9,0),"")</f>
        <v>45261</v>
      </c>
      <c r="P650" s="566" t="s">
        <v>1565</v>
      </c>
      <c r="Q650" s="613"/>
      <c r="R650" s="613"/>
      <c r="S650" s="566" t="s">
        <v>4158</v>
      </c>
      <c r="T650" s="613"/>
      <c r="U650" s="559" t="str">
        <f>IFERROR(VLOOKUP(M650,'02. MM-KLH'!$B$6:$T$823,5,0),"")</f>
        <v>MỚI</v>
      </c>
      <c r="V650" s="523" t="str">
        <f>IFERROR(VLOOKUP(M650,'02. MM-KLH'!$B$6:$T$823,8,0),"")</f>
        <v>XN Bò AD</v>
      </c>
      <c r="W650" s="559" t="str">
        <f>IFERROR(VLOOKUP(V650,'NS QUẢN LÝ CG'!$A$4:$D$36,2,0),"")</f>
        <v>Trần Văn Nam</v>
      </c>
      <c r="X650" s="559" t="str">
        <f>IFERROR(VLOOKUP(V650,'NS QUẢN LÝ CG'!$A$4:$D$36,4,0),"")</f>
        <v>Lô 28 XN Bò</v>
      </c>
      <c r="Y650" s="559" t="str">
        <f>IFERROR(VLOOKUP(V650,'NS QUẢN LÝ CG'!$A$4:$C$36,3,0),"")</f>
        <v>0971993540</v>
      </c>
      <c r="Z650" s="523" t="str">
        <f>IFERROR(VLOOKUP(M650,'02. MM-KLH'!$B$6:$T$823,3,0),"")</f>
        <v>ATT-A22-0289</v>
      </c>
      <c r="AA650" s="561" t="s">
        <v>4462</v>
      </c>
      <c r="AB650" s="523"/>
      <c r="AC650" s="523"/>
    </row>
    <row r="651">
      <c r="A651" s="523"/>
      <c r="B651" s="612" t="str">
        <f>IFERROR(VLOOKUP(M651,'02. MM-KLH'!$B$6:$T$823,6,0),"")</f>
        <v>Xe hứng cỏ FC150 (30m3)</v>
      </c>
      <c r="C651" s="566">
        <v>1.0</v>
      </c>
      <c r="D651" s="613" t="str">
        <f>IFERROR(VLOOKUP(M651,'02. MM-KLH'!$B$6:$T$823,16,0),"")</f>
        <v>FC150-4WD</v>
      </c>
      <c r="E651" s="561" t="s">
        <v>4158</v>
      </c>
      <c r="F651" s="613"/>
      <c r="G651" s="613"/>
      <c r="H651" s="613" t="str">
        <f>IFERROR(VLOOKUP(M651,'02. MM-KLH'!$B$6:$T$823,17,0),"")</f>
        <v>150HP</v>
      </c>
      <c r="I651" s="614">
        <f>IFERROR(VLOOKUP(M651,'02. MM-KLH'!$B$6:$U$823,20,0),"")</f>
        <v>0.63</v>
      </c>
      <c r="J651" s="612" t="str">
        <f>IFERROR(VLOOKUP(M651,'02. MM-KLH'!$B$6:$T$823,19,0),"")</f>
        <v>YC4D150-48D59M1N00964</v>
      </c>
      <c r="K651" s="612" t="str">
        <f>IFERROR(VLOOKUP(M651,'02. MM-KLH'!$B$6:$T$823,18,0),"")</f>
        <v>RNHF16FYAPT077501</v>
      </c>
      <c r="L651" s="613" t="str">
        <f>IFERROR(VLOOKUP(M651,'02. MM-KLH'!$B$6:$T$823,4,0),"")</f>
        <v/>
      </c>
      <c r="M651" s="490" t="s">
        <v>2076</v>
      </c>
      <c r="N651" s="615">
        <f>IFERROR(VLOOKUP(M651,'02. MM-KLH'!$B$6:$T$823,15,0),"")</f>
        <v>2023</v>
      </c>
      <c r="O651" s="616">
        <f>IFERROR(VLOOKUP(M651,'02. MM-KLH'!$B$6:$T$823,9,0),"")</f>
        <v>45261</v>
      </c>
      <c r="P651" s="566" t="s">
        <v>1565</v>
      </c>
      <c r="Q651" s="613"/>
      <c r="R651" s="566" t="s">
        <v>4158</v>
      </c>
      <c r="S651" s="613"/>
      <c r="T651" s="613"/>
      <c r="U651" s="559" t="str">
        <f>IFERROR(VLOOKUP(M651,'02. MM-KLH'!$B$6:$T$823,5,0),"")</f>
        <v>MỚI</v>
      </c>
      <c r="V651" s="523" t="str">
        <f>IFERROR(VLOOKUP(M651,'02. MM-KLH'!$B$6:$T$823,8,0),"")</f>
        <v>XN Bò AD</v>
      </c>
      <c r="W651" s="559" t="str">
        <f>IFERROR(VLOOKUP(V651,'NS QUẢN LÝ CG'!$A$4:$D$36,2,0),"")</f>
        <v>Trần Văn Nam</v>
      </c>
      <c r="X651" s="559" t="str">
        <f>IFERROR(VLOOKUP(V651,'NS QUẢN LÝ CG'!$A$4:$D$36,4,0),"")</f>
        <v>Lô 28 XN Bò</v>
      </c>
      <c r="Y651" s="559" t="str">
        <f>IFERROR(VLOOKUP(V651,'NS QUẢN LÝ CG'!$A$4:$C$36,3,0),"")</f>
        <v>0971993540</v>
      </c>
      <c r="Z651" s="523" t="str">
        <f>IFERROR(VLOOKUP(M651,'02. MM-KLH'!$B$6:$T$823,3,0),"")</f>
        <v>ATT-A22-0293</v>
      </c>
      <c r="AA651" s="561" t="s">
        <v>4462</v>
      </c>
      <c r="AB651" s="523"/>
      <c r="AC651" s="523"/>
    </row>
    <row r="652">
      <c r="A652" s="523"/>
      <c r="B652" s="612" t="str">
        <f>IFERROR(VLOOKUP(M652,'02. MM-KLH'!$B$6:$T$823,6,0),"")</f>
        <v>Xe hứng cỏ FC150 (30m3)</v>
      </c>
      <c r="C652" s="566">
        <v>1.0</v>
      </c>
      <c r="D652" s="613" t="str">
        <f>IFERROR(VLOOKUP(M652,'02. MM-KLH'!$B$6:$T$823,16,0),"")</f>
        <v>FC150-4WD</v>
      </c>
      <c r="E652" s="561" t="s">
        <v>4158</v>
      </c>
      <c r="F652" s="613"/>
      <c r="G652" s="613"/>
      <c r="H652" s="613" t="str">
        <f>IFERROR(VLOOKUP(M652,'02. MM-KLH'!$B$6:$T$823,17,0),"")</f>
        <v>150HP</v>
      </c>
      <c r="I652" s="614">
        <f>IFERROR(VLOOKUP(M652,'02. MM-KLH'!$B$6:$U$823,20,0),"")</f>
        <v>6.5</v>
      </c>
      <c r="J652" s="612" t="str">
        <f>IFERROR(VLOOKUP(M652,'02. MM-KLH'!$B$6:$T$823,19,0),"")</f>
        <v>YC4D150-48D59M1N00940</v>
      </c>
      <c r="K652" s="612" t="str">
        <f>IFERROR(VLOOKUP(M652,'02. MM-KLH'!$B$6:$T$823,18,0),"")</f>
        <v>RNHF16FYAPT077504</v>
      </c>
      <c r="L652" s="613" t="str">
        <f>IFERROR(VLOOKUP(M652,'02. MM-KLH'!$B$6:$T$823,4,0),"")</f>
        <v/>
      </c>
      <c r="M652" s="490" t="s">
        <v>2080</v>
      </c>
      <c r="N652" s="615">
        <f>IFERROR(VLOOKUP(M652,'02. MM-KLH'!$B$6:$T$823,15,0),"")</f>
        <v>2023</v>
      </c>
      <c r="O652" s="616">
        <f>IFERROR(VLOOKUP(M652,'02. MM-KLH'!$B$6:$T$823,9,0),"")</f>
        <v>45261</v>
      </c>
      <c r="P652" s="566" t="s">
        <v>1565</v>
      </c>
      <c r="Q652" s="613"/>
      <c r="R652" s="566" t="s">
        <v>4158</v>
      </c>
      <c r="S652" s="613"/>
      <c r="T652" s="613"/>
      <c r="U652" s="559" t="str">
        <f>IFERROR(VLOOKUP(M652,'02. MM-KLH'!$B$6:$T$823,5,0),"")</f>
        <v>MỚI</v>
      </c>
      <c r="V652" s="523" t="str">
        <f>IFERROR(VLOOKUP(M652,'02. MM-KLH'!$B$6:$T$823,8,0),"")</f>
        <v>XN Bò AD</v>
      </c>
      <c r="W652" s="559" t="str">
        <f>IFERROR(VLOOKUP(V652,'NS QUẢN LÝ CG'!$A$4:$D$36,2,0),"")</f>
        <v>Trần Văn Nam</v>
      </c>
      <c r="X652" s="559" t="str">
        <f>IFERROR(VLOOKUP(V652,'NS QUẢN LÝ CG'!$A$4:$D$36,4,0),"")</f>
        <v>Lô 28 XN Bò</v>
      </c>
      <c r="Y652" s="559" t="str">
        <f>IFERROR(VLOOKUP(V652,'NS QUẢN LÝ CG'!$A$4:$C$36,3,0),"")</f>
        <v>0971993540</v>
      </c>
      <c r="Z652" s="523" t="str">
        <f>IFERROR(VLOOKUP(M652,'02. MM-KLH'!$B$6:$T$823,3,0),"")</f>
        <v>ATT-A22-0294</v>
      </c>
      <c r="AA652" s="561" t="s">
        <v>4462</v>
      </c>
      <c r="AB652" s="523"/>
      <c r="AC652" s="523"/>
    </row>
    <row r="653">
      <c r="A653" s="523"/>
      <c r="B653" s="612" t="str">
        <f>IFERROR(VLOOKUP(M653,'02. MM-KLH'!$B$6:$T$823,6,0),"")</f>
        <v>Xe hứng cỏ FC150 (30m3)</v>
      </c>
      <c r="C653" s="566">
        <v>1.0</v>
      </c>
      <c r="D653" s="613" t="str">
        <f>IFERROR(VLOOKUP(M653,'02. MM-KLH'!$B$6:$T$823,16,0),"")</f>
        <v>FC150-4WD</v>
      </c>
      <c r="E653" s="561" t="s">
        <v>4158</v>
      </c>
      <c r="F653" s="613"/>
      <c r="G653" s="613"/>
      <c r="H653" s="613" t="str">
        <f>IFERROR(VLOOKUP(M653,'02. MM-KLH'!$B$6:$T$823,17,0),"")</f>
        <v>150HP</v>
      </c>
      <c r="I653" s="614">
        <f>IFERROR(VLOOKUP(M653,'02. MM-KLH'!$B$6:$U$823,20,0),"")</f>
        <v>6.5</v>
      </c>
      <c r="J653" s="612" t="str">
        <f>IFERROR(VLOOKUP(M653,'02. MM-KLH'!$B$6:$T$823,19,0),"")</f>
        <v>YC4D150-48D59M1N00944</v>
      </c>
      <c r="K653" s="612" t="str">
        <f>IFERROR(VLOOKUP(M653,'02. MM-KLH'!$B$6:$T$823,18,0),"")</f>
        <v>RNHF16FYAPT077505</v>
      </c>
      <c r="L653" s="613" t="str">
        <f>IFERROR(VLOOKUP(M653,'02. MM-KLH'!$B$6:$T$823,4,0),"")</f>
        <v/>
      </c>
      <c r="M653" s="490" t="s">
        <v>2084</v>
      </c>
      <c r="N653" s="615">
        <f>IFERROR(VLOOKUP(M653,'02. MM-KLH'!$B$6:$T$823,15,0),"")</f>
        <v>2023</v>
      </c>
      <c r="O653" s="616" t="str">
        <f>IFERROR(VLOOKUP(M653,'02. MM-KLH'!$B$6:$T$823,9,0),"")</f>
        <v>25/11/2023</v>
      </c>
      <c r="P653" s="566" t="s">
        <v>1565</v>
      </c>
      <c r="Q653" s="613"/>
      <c r="R653" s="566" t="s">
        <v>4158</v>
      </c>
      <c r="S653" s="613"/>
      <c r="T653" s="613"/>
      <c r="U653" s="559" t="str">
        <f>IFERROR(VLOOKUP(M653,'02. MM-KLH'!$B$6:$T$823,5,0),"")</f>
        <v>MỚI</v>
      </c>
      <c r="V653" s="523" t="str">
        <f>IFERROR(VLOOKUP(M653,'02. MM-KLH'!$B$6:$T$823,8,0),"")</f>
        <v>XN Bò AD</v>
      </c>
      <c r="W653" s="559" t="str">
        <f>IFERROR(VLOOKUP(V653,'NS QUẢN LÝ CG'!$A$4:$D$36,2,0),"")</f>
        <v>Trần Văn Nam</v>
      </c>
      <c r="X653" s="559" t="str">
        <f>IFERROR(VLOOKUP(V653,'NS QUẢN LÝ CG'!$A$4:$D$36,4,0),"")</f>
        <v>Lô 28 XN Bò</v>
      </c>
      <c r="Y653" s="559" t="str">
        <f>IFERROR(VLOOKUP(V653,'NS QUẢN LÝ CG'!$A$4:$C$36,3,0),"")</f>
        <v>0971993540</v>
      </c>
      <c r="Z653" s="523" t="str">
        <f>IFERROR(VLOOKUP(M653,'02. MM-KLH'!$B$6:$T$823,3,0),"")</f>
        <v>ATT-A22-0296</v>
      </c>
      <c r="AA653" s="561" t="s">
        <v>4462</v>
      </c>
      <c r="AB653" s="523"/>
      <c r="AC653" s="523"/>
    </row>
    <row r="654">
      <c r="A654" s="523"/>
      <c r="B654" s="612" t="str">
        <f>IFERROR(VLOOKUP(M654,'02. MM-KLH'!$B$6:$T$823,6,0),"")</f>
        <v>Xe hứng cỏ FC150 (30m3)</v>
      </c>
      <c r="C654" s="566">
        <v>1.0</v>
      </c>
      <c r="D654" s="613" t="str">
        <f>IFERROR(VLOOKUP(M654,'02. MM-KLH'!$B$6:$T$823,16,0),"")</f>
        <v>FC150-4WD</v>
      </c>
      <c r="E654" s="561" t="s">
        <v>4158</v>
      </c>
      <c r="F654" s="613"/>
      <c r="G654" s="613"/>
      <c r="H654" s="613" t="str">
        <f>IFERROR(VLOOKUP(M654,'02. MM-KLH'!$B$6:$T$823,17,0),"")</f>
        <v>150HP</v>
      </c>
      <c r="I654" s="614">
        <f>IFERROR(VLOOKUP(M654,'02. MM-KLH'!$B$6:$U$823,20,0),"")</f>
        <v>0.63</v>
      </c>
      <c r="J654" s="612" t="str">
        <f>IFERROR(VLOOKUP(M654,'02. MM-KLH'!$B$6:$T$823,19,0),"")</f>
        <v>YC4D150-48D59M1N00906</v>
      </c>
      <c r="K654" s="612" t="str">
        <f>IFERROR(VLOOKUP(M654,'02. MM-KLH'!$B$6:$T$823,18,0),"")</f>
        <v>RNHF16FYAPT077506</v>
      </c>
      <c r="L654" s="613" t="str">
        <f>IFERROR(VLOOKUP(M654,'02. MM-KLH'!$B$6:$T$823,4,0),"")</f>
        <v/>
      </c>
      <c r="M654" s="490" t="s">
        <v>2088</v>
      </c>
      <c r="N654" s="615">
        <f>IFERROR(VLOOKUP(M654,'02. MM-KLH'!$B$6:$T$823,15,0),"")</f>
        <v>2023</v>
      </c>
      <c r="O654" s="616" t="str">
        <f>IFERROR(VLOOKUP(M654,'02. MM-KLH'!$B$6:$T$823,9,0),"")</f>
        <v>25/11/2023</v>
      </c>
      <c r="P654" s="566" t="s">
        <v>1565</v>
      </c>
      <c r="Q654" s="613"/>
      <c r="R654" s="613"/>
      <c r="S654" s="566" t="s">
        <v>4158</v>
      </c>
      <c r="T654" s="613"/>
      <c r="U654" s="559" t="str">
        <f>IFERROR(VLOOKUP(M654,'02. MM-KLH'!$B$6:$T$823,5,0),"")</f>
        <v>MỚI</v>
      </c>
      <c r="V654" s="523" t="str">
        <f>IFERROR(VLOOKUP(M654,'02. MM-KLH'!$B$6:$T$823,8,0),"")</f>
        <v>XN Bò AD</v>
      </c>
      <c r="W654" s="559" t="str">
        <f>IFERROR(VLOOKUP(V654,'NS QUẢN LÝ CG'!$A$4:$D$36,2,0),"")</f>
        <v>Trần Văn Nam</v>
      </c>
      <c r="X654" s="559" t="str">
        <f>IFERROR(VLOOKUP(V654,'NS QUẢN LÝ CG'!$A$4:$D$36,4,0),"")</f>
        <v>Lô 28 XN Bò</v>
      </c>
      <c r="Y654" s="559" t="str">
        <f>IFERROR(VLOOKUP(V654,'NS QUẢN LÝ CG'!$A$4:$C$36,3,0),"")</f>
        <v>0971993540</v>
      </c>
      <c r="Z654" s="523" t="str">
        <f>IFERROR(VLOOKUP(M654,'02. MM-KLH'!$B$6:$T$823,3,0),"")</f>
        <v>ATT-A22-0297</v>
      </c>
      <c r="AA654" s="561" t="s">
        <v>4462</v>
      </c>
      <c r="AB654" s="523"/>
      <c r="AC654" s="523"/>
    </row>
    <row r="655">
      <c r="A655" s="523"/>
      <c r="B655" s="612" t="str">
        <f>IFERROR(VLOOKUP(M655,'02. MM-KLH'!$B$6:$T$823,6,0),"")</f>
        <v>Xe hứng cỏ FC150 (30m3)</v>
      </c>
      <c r="C655" s="566">
        <v>1.0</v>
      </c>
      <c r="D655" s="613" t="str">
        <f>IFERROR(VLOOKUP(M655,'02. MM-KLH'!$B$6:$T$823,16,0),"")</f>
        <v>FC150-4WD</v>
      </c>
      <c r="E655" s="561" t="s">
        <v>4158</v>
      </c>
      <c r="F655" s="613"/>
      <c r="G655" s="613"/>
      <c r="H655" s="613" t="str">
        <f>IFERROR(VLOOKUP(M655,'02. MM-KLH'!$B$6:$T$823,17,0),"")</f>
        <v>150HP</v>
      </c>
      <c r="I655" s="614">
        <f>IFERROR(VLOOKUP(M655,'02. MM-KLH'!$B$6:$U$823,20,0),"")</f>
        <v>0.63</v>
      </c>
      <c r="J655" s="612" t="str">
        <f>IFERROR(VLOOKUP(M655,'02. MM-KLH'!$B$6:$T$823,19,0),"")</f>
        <v>D59M1N00683</v>
      </c>
      <c r="K655" s="612" t="str">
        <f>IFERROR(VLOOKUP(M655,'02. MM-KLH'!$B$6:$T$823,18,0),"")</f>
        <v>RNHF16FYBRT070602</v>
      </c>
      <c r="L655" s="613" t="str">
        <f>IFERROR(VLOOKUP(M655,'02. MM-KLH'!$B$6:$T$823,4,0),"")</f>
        <v/>
      </c>
      <c r="M655" s="488" t="s">
        <v>2091</v>
      </c>
      <c r="N655" s="615">
        <f>IFERROR(VLOOKUP(M655,'02. MM-KLH'!$B$6:$T$823,15,0),"")</f>
        <v>2024</v>
      </c>
      <c r="O655" s="616">
        <f>IFERROR(VLOOKUP(M655,'02. MM-KLH'!$B$6:$T$823,9,0),"")</f>
        <v>45751</v>
      </c>
      <c r="P655" s="566" t="s">
        <v>1565</v>
      </c>
      <c r="Q655" s="613"/>
      <c r="R655" s="566" t="s">
        <v>4158</v>
      </c>
      <c r="S655" s="613"/>
      <c r="T655" s="613"/>
      <c r="U655" s="559" t="str">
        <f>IFERROR(VLOOKUP(M655,'02. MM-KLH'!$B$6:$T$823,5,0),"")</f>
        <v>MỚI</v>
      </c>
      <c r="V655" s="523" t="str">
        <f>IFERROR(VLOOKUP(M655,'02. MM-KLH'!$B$6:$T$823,8,0),"")</f>
        <v>XN Bò AD</v>
      </c>
      <c r="W655" s="559" t="str">
        <f>IFERROR(VLOOKUP(V655,'NS QUẢN LÝ CG'!$A$4:$D$36,2,0),"")</f>
        <v>Trần Văn Nam</v>
      </c>
      <c r="X655" s="559" t="str">
        <f>IFERROR(VLOOKUP(V655,'NS QUẢN LÝ CG'!$A$4:$D$36,4,0),"")</f>
        <v>Lô 28 XN Bò</v>
      </c>
      <c r="Y655" s="559" t="str">
        <f>IFERROR(VLOOKUP(V655,'NS QUẢN LÝ CG'!$A$4:$C$36,3,0),"")</f>
        <v>0971993540</v>
      </c>
      <c r="Z655" s="523" t="str">
        <f>IFERROR(VLOOKUP(M655,'02. MM-KLH'!$B$6:$T$823,3,0),"")</f>
        <v>A22-XHC-007</v>
      </c>
      <c r="AA655" s="559" t="str">
        <f t="shared" ref="AA655:AA659" si="45">SWITCH(LEFT(Z655,3),"A22","ADM","A23","DP","A24","LP","")</f>
        <v>ADM</v>
      </c>
      <c r="AB655" s="523"/>
      <c r="AC655" s="523"/>
    </row>
    <row r="656">
      <c r="A656" s="523"/>
      <c r="B656" s="612" t="str">
        <f>IFERROR(VLOOKUP(M656,'02. MM-KLH'!$B$6:$T$823,6,0),"")</f>
        <v>Xe hứng cỏ FC150 (30m3)</v>
      </c>
      <c r="C656" s="566">
        <v>1.0</v>
      </c>
      <c r="D656" s="613" t="str">
        <f>IFERROR(VLOOKUP(M656,'02. MM-KLH'!$B$6:$T$823,16,0),"")</f>
        <v>FC150-4WD</v>
      </c>
      <c r="E656" s="561" t="s">
        <v>4158</v>
      </c>
      <c r="F656" s="613"/>
      <c r="G656" s="613"/>
      <c r="H656" s="613" t="str">
        <f>IFERROR(VLOOKUP(M656,'02. MM-KLH'!$B$6:$T$823,17,0),"")</f>
        <v>150HP</v>
      </c>
      <c r="I656" s="614">
        <f>IFERROR(VLOOKUP(M656,'02. MM-KLH'!$B$6:$U$823,20,0),"")</f>
        <v>0.63</v>
      </c>
      <c r="J656" s="612" t="str">
        <f>IFERROR(VLOOKUP(M656,'02. MM-KLH'!$B$6:$T$823,19,0),"")</f>
        <v>D59M1N01090</v>
      </c>
      <c r="K656" s="612" t="str">
        <f>IFERROR(VLOOKUP(M656,'02. MM-KLH'!$B$6:$T$823,18,0),"")</f>
        <v>RNHF16FYBRT077511</v>
      </c>
      <c r="L656" s="613" t="str">
        <f>IFERROR(VLOOKUP(M656,'02. MM-KLH'!$B$6:$T$823,4,0),"")</f>
        <v/>
      </c>
      <c r="M656" s="488" t="s">
        <v>2095</v>
      </c>
      <c r="N656" s="615">
        <f>IFERROR(VLOOKUP(M656,'02. MM-KLH'!$B$6:$T$823,15,0),"")</f>
        <v>2024</v>
      </c>
      <c r="O656" s="616">
        <f>IFERROR(VLOOKUP(M656,'02. MM-KLH'!$B$6:$T$823,9,0),"")</f>
        <v>45751</v>
      </c>
      <c r="P656" s="566" t="s">
        <v>1565</v>
      </c>
      <c r="Q656" s="613"/>
      <c r="R656" s="566" t="s">
        <v>4158</v>
      </c>
      <c r="S656" s="613"/>
      <c r="T656" s="613"/>
      <c r="U656" s="559" t="str">
        <f>IFERROR(VLOOKUP(M656,'02. MM-KLH'!$B$6:$T$823,5,0),"")</f>
        <v>MỚI</v>
      </c>
      <c r="V656" s="523" t="str">
        <f>IFERROR(VLOOKUP(M656,'02. MM-KLH'!$B$6:$T$823,8,0),"")</f>
        <v>XN Bò AD</v>
      </c>
      <c r="W656" s="559" t="str">
        <f>IFERROR(VLOOKUP(V656,'NS QUẢN LÝ CG'!$A$4:$D$36,2,0),"")</f>
        <v>Trần Văn Nam</v>
      </c>
      <c r="X656" s="559" t="str">
        <f>IFERROR(VLOOKUP(V656,'NS QUẢN LÝ CG'!$A$4:$D$36,4,0),"")</f>
        <v>Lô 28 XN Bò</v>
      </c>
      <c r="Y656" s="559" t="str">
        <f>IFERROR(VLOOKUP(V656,'NS QUẢN LÝ CG'!$A$4:$C$36,3,0),"")</f>
        <v>0971993540</v>
      </c>
      <c r="Z656" s="523" t="str">
        <f>IFERROR(VLOOKUP(M656,'02. MM-KLH'!$B$6:$T$823,3,0),"")</f>
        <v>A22-XHC-008</v>
      </c>
      <c r="AA656" s="559" t="str">
        <f t="shared" si="45"/>
        <v>ADM</v>
      </c>
      <c r="AB656" s="523"/>
      <c r="AC656" s="523"/>
    </row>
    <row r="657">
      <c r="A657" s="523"/>
      <c r="B657" s="612" t="str">
        <f>IFERROR(VLOOKUP(M657,'02. MM-KLH'!$B$6:$T$823,6,0),"")</f>
        <v>Xe hứng cỏ FC150 (30m3)</v>
      </c>
      <c r="C657" s="566">
        <v>1.0</v>
      </c>
      <c r="D657" s="613" t="str">
        <f>IFERROR(VLOOKUP(M657,'02. MM-KLH'!$B$6:$T$823,16,0),"")</f>
        <v>FC150-4WD</v>
      </c>
      <c r="E657" s="561" t="s">
        <v>4158</v>
      </c>
      <c r="F657" s="613"/>
      <c r="G657" s="613"/>
      <c r="H657" s="613" t="str">
        <f>IFERROR(VLOOKUP(M657,'02. MM-KLH'!$B$6:$T$823,17,0),"")</f>
        <v>150HP</v>
      </c>
      <c r="I657" s="614">
        <f>IFERROR(VLOOKUP(M657,'02. MM-KLH'!$B$6:$U$823,20,0),"")</f>
        <v>0.63</v>
      </c>
      <c r="J657" s="612" t="str">
        <f>IFERROR(VLOOKUP(M657,'02. MM-KLH'!$B$6:$T$823,19,0),"")</f>
        <v>D59M1N01093</v>
      </c>
      <c r="K657" s="612" t="str">
        <f>IFERROR(VLOOKUP(M657,'02. MM-KLH'!$B$6:$T$823,18,0),"")</f>
        <v>RNHF16FYBRT077510</v>
      </c>
      <c r="L657" s="613" t="str">
        <f>IFERROR(VLOOKUP(M657,'02. MM-KLH'!$B$6:$T$823,4,0),"")</f>
        <v/>
      </c>
      <c r="M657" s="488" t="s">
        <v>2099</v>
      </c>
      <c r="N657" s="615">
        <f>IFERROR(VLOOKUP(M657,'02. MM-KLH'!$B$6:$T$823,15,0),"")</f>
        <v>2024</v>
      </c>
      <c r="O657" s="616">
        <f>IFERROR(VLOOKUP(M657,'02. MM-KLH'!$B$6:$T$823,9,0),"")</f>
        <v>45751</v>
      </c>
      <c r="P657" s="774">
        <v>49940.0</v>
      </c>
      <c r="Q657" s="613"/>
      <c r="R657" s="566" t="s">
        <v>4158</v>
      </c>
      <c r="S657" s="613"/>
      <c r="T657" s="613"/>
      <c r="U657" s="559" t="str">
        <f>IFERROR(VLOOKUP(M657,'02. MM-KLH'!$B$6:$T$823,5,0),"")</f>
        <v>MỚI</v>
      </c>
      <c r="V657" s="523" t="str">
        <f>IFERROR(VLOOKUP(M657,'02. MM-KLH'!$B$6:$T$823,8,0),"")</f>
        <v>XN Bò AD</v>
      </c>
      <c r="W657" s="559" t="str">
        <f>IFERROR(VLOOKUP(V657,'NS QUẢN LÝ CG'!$A$4:$D$36,2,0),"")</f>
        <v>Trần Văn Nam</v>
      </c>
      <c r="X657" s="559" t="str">
        <f>IFERROR(VLOOKUP(V657,'NS QUẢN LÝ CG'!$A$4:$D$36,4,0),"")</f>
        <v>Lô 28 XN Bò</v>
      </c>
      <c r="Y657" s="559" t="str">
        <f>IFERROR(VLOOKUP(V657,'NS QUẢN LÝ CG'!$A$4:$C$36,3,0),"")</f>
        <v>0971993540</v>
      </c>
      <c r="Z657" s="523" t="str">
        <f>IFERROR(VLOOKUP(M657,'02. MM-KLH'!$B$6:$T$823,3,0),"")</f>
        <v>A22-XHC-009</v>
      </c>
      <c r="AA657" s="559" t="str">
        <f t="shared" si="45"/>
        <v>ADM</v>
      </c>
      <c r="AB657" s="523"/>
      <c r="AC657" s="523"/>
    </row>
    <row r="658">
      <c r="A658" s="523"/>
      <c r="B658" s="612" t="str">
        <f>IFERROR(VLOOKUP(M658,'02. MM-KLH'!$B$6:$T$823,6,0),"")</f>
        <v>Xe hứng cỏ FC150 (30m3)</v>
      </c>
      <c r="C658" s="566">
        <v>1.0</v>
      </c>
      <c r="D658" s="613" t="str">
        <f>IFERROR(VLOOKUP(M658,'02. MM-KLH'!$B$6:$T$823,16,0),"")</f>
        <v>FC150-4WD</v>
      </c>
      <c r="E658" s="561" t="s">
        <v>4158</v>
      </c>
      <c r="F658" s="613"/>
      <c r="G658" s="613"/>
      <c r="H658" s="613" t="str">
        <f>IFERROR(VLOOKUP(M658,'02. MM-KLH'!$B$6:$T$823,17,0),"")</f>
        <v>150HP</v>
      </c>
      <c r="I658" s="614">
        <f>IFERROR(VLOOKUP(M658,'02. MM-KLH'!$B$6:$U$823,20,0),"")</f>
        <v>0.63</v>
      </c>
      <c r="J658" s="612" t="str">
        <f>IFERROR(VLOOKUP(M658,'02. MM-KLH'!$B$6:$T$823,19,0),"")</f>
        <v>D59M1N01099</v>
      </c>
      <c r="K658" s="612" t="str">
        <f>IFERROR(VLOOKUP(M658,'02. MM-KLH'!$B$6:$T$823,18,0),"")</f>
        <v>RNHF16FYBRT077512</v>
      </c>
      <c r="L658" s="613" t="str">
        <f>IFERROR(VLOOKUP(M658,'02. MM-KLH'!$B$6:$T$823,4,0),"")</f>
        <v/>
      </c>
      <c r="M658" s="488" t="s">
        <v>2103</v>
      </c>
      <c r="N658" s="615">
        <f>IFERROR(VLOOKUP(M658,'02. MM-KLH'!$B$6:$T$823,15,0),"")</f>
        <v>2024</v>
      </c>
      <c r="O658" s="616">
        <f>IFERROR(VLOOKUP(M658,'02. MM-KLH'!$B$6:$T$823,9,0),"")</f>
        <v>45751</v>
      </c>
      <c r="P658" s="774">
        <v>57699.0</v>
      </c>
      <c r="Q658" s="613"/>
      <c r="R658" s="566" t="s">
        <v>4158</v>
      </c>
      <c r="S658" s="613"/>
      <c r="T658" s="613"/>
      <c r="U658" s="559" t="str">
        <f>IFERROR(VLOOKUP(M658,'02. MM-KLH'!$B$6:$T$823,5,0),"")</f>
        <v>MỚI</v>
      </c>
      <c r="V658" s="523" t="str">
        <f>IFERROR(VLOOKUP(M658,'02. MM-KLH'!$B$6:$T$823,8,0),"")</f>
        <v>XN Bò AD</v>
      </c>
      <c r="W658" s="559" t="str">
        <f>IFERROR(VLOOKUP(V658,'NS QUẢN LÝ CG'!$A$4:$D$36,2,0),"")</f>
        <v>Trần Văn Nam</v>
      </c>
      <c r="X658" s="559" t="str">
        <f>IFERROR(VLOOKUP(V658,'NS QUẢN LÝ CG'!$A$4:$D$36,4,0),"")</f>
        <v>Lô 28 XN Bò</v>
      </c>
      <c r="Y658" s="559" t="str">
        <f>IFERROR(VLOOKUP(V658,'NS QUẢN LÝ CG'!$A$4:$C$36,3,0),"")</f>
        <v>0971993540</v>
      </c>
      <c r="Z658" s="523" t="str">
        <f>IFERROR(VLOOKUP(M658,'02. MM-KLH'!$B$6:$T$823,3,0),"")</f>
        <v>A22-XHC-010</v>
      </c>
      <c r="AA658" s="559" t="str">
        <f t="shared" si="45"/>
        <v>ADM</v>
      </c>
      <c r="AB658" s="523"/>
      <c r="AC658" s="523"/>
    </row>
    <row r="659">
      <c r="A659" s="523"/>
      <c r="B659" s="612" t="str">
        <f>IFERROR(VLOOKUP(M659,'02. MM-KLH'!$B$6:$T$823,6,0),"")</f>
        <v>Xe hứng cỏ FC150 (30m3)</v>
      </c>
      <c r="C659" s="566">
        <v>1.0</v>
      </c>
      <c r="D659" s="613" t="str">
        <f>IFERROR(VLOOKUP(M659,'02. MM-KLH'!$B$6:$T$823,16,0),"")</f>
        <v>FC150-4WD</v>
      </c>
      <c r="E659" s="561" t="s">
        <v>4158</v>
      </c>
      <c r="F659" s="613"/>
      <c r="G659" s="613"/>
      <c r="H659" s="613" t="str">
        <f>IFERROR(VLOOKUP(M659,'02. MM-KLH'!$B$6:$T$823,17,0),"")</f>
        <v>150HP</v>
      </c>
      <c r="I659" s="614">
        <f>IFERROR(VLOOKUP(M659,'02. MM-KLH'!$B$6:$U$823,20,0),"")</f>
        <v>0.63</v>
      </c>
      <c r="J659" s="612" t="str">
        <f>IFERROR(VLOOKUP(M659,'02. MM-KLH'!$B$6:$T$823,19,0),"")</f>
        <v>YC4D150-48*D59M1N01035*</v>
      </c>
      <c r="K659" s="612" t="str">
        <f>IFERROR(VLOOKUP(M659,'02. MM-KLH'!$B$6:$T$823,18,0),"")</f>
        <v>RNHF16FYBRT000129</v>
      </c>
      <c r="L659" s="613" t="str">
        <f>IFERROR(VLOOKUP(M659,'02. MM-KLH'!$B$6:$T$823,4,0),"")</f>
        <v/>
      </c>
      <c r="M659" s="488" t="s">
        <v>2107</v>
      </c>
      <c r="N659" s="615">
        <f>IFERROR(VLOOKUP(M659,'02. MM-KLH'!$B$6:$T$823,15,0),"")</f>
        <v>2024</v>
      </c>
      <c r="O659" s="616">
        <f>IFERROR(VLOOKUP(M659,'02. MM-KLH'!$B$6:$T$823,9,0),"")</f>
        <v>45967</v>
      </c>
      <c r="P659" s="774">
        <v>46047.0</v>
      </c>
      <c r="Q659" s="613"/>
      <c r="R659" s="566" t="s">
        <v>4158</v>
      </c>
      <c r="S659" s="613"/>
      <c r="T659" s="613"/>
      <c r="U659" s="559" t="str">
        <f>IFERROR(VLOOKUP(M659,'02. MM-KLH'!$B$6:$T$823,5,0),"")</f>
        <v>MỚI</v>
      </c>
      <c r="V659" s="523" t="str">
        <f>IFERROR(VLOOKUP(M659,'02. MM-KLH'!$B$6:$T$823,8,0),"")</f>
        <v>XN Bò AD</v>
      </c>
      <c r="W659" s="559" t="str">
        <f>IFERROR(VLOOKUP(V659,'NS QUẢN LÝ CG'!$A$4:$D$36,2,0),"")</f>
        <v>Trần Văn Nam</v>
      </c>
      <c r="X659" s="559" t="str">
        <f>IFERROR(VLOOKUP(V659,'NS QUẢN LÝ CG'!$A$4:$D$36,4,0),"")</f>
        <v>Lô 28 XN Bò</v>
      </c>
      <c r="Y659" s="559" t="str">
        <f>IFERROR(VLOOKUP(V659,'NS QUẢN LÝ CG'!$A$4:$C$36,3,0),"")</f>
        <v>0971993540</v>
      </c>
      <c r="Z659" s="523" t="str">
        <f>IFERROR(VLOOKUP(M659,'02. MM-KLH'!$B$6:$T$823,3,0),"")</f>
        <v>A22-XHC-011</v>
      </c>
      <c r="AA659" s="559" t="str">
        <f t="shared" si="45"/>
        <v>ADM</v>
      </c>
      <c r="AB659" s="523"/>
      <c r="AC659" s="523"/>
    </row>
    <row r="660">
      <c r="A660" s="523"/>
      <c r="B660" s="612" t="str">
        <f>IFERROR(VLOOKUP(M660,'02. MM-KLH'!$B$6:$T$823,6,0),"")</f>
        <v/>
      </c>
      <c r="C660" s="566"/>
      <c r="D660" s="613" t="str">
        <f>IFERROR(VLOOKUP(M660,'02. MM-KLH'!$B$6:$T$823,16,0),"")</f>
        <v/>
      </c>
      <c r="E660" s="613"/>
      <c r="F660" s="613"/>
      <c r="G660" s="613"/>
      <c r="H660" s="613" t="str">
        <f>IFERROR(VLOOKUP(M660,'02. MM-KLH'!$B$6:$T$823,17,0),"")</f>
        <v/>
      </c>
      <c r="I660" s="614" t="str">
        <f>IFERROR(VLOOKUP(M660,'02. MM-KLH'!$B$6:$U$823,20,0),"")</f>
        <v/>
      </c>
      <c r="J660" s="612" t="str">
        <f>IFERROR(VLOOKUP(M660,'02. MM-KLH'!$B$6:$T$823,19,0),"")</f>
        <v/>
      </c>
      <c r="K660" s="612" t="str">
        <f>IFERROR(VLOOKUP(M660,'02. MM-KLH'!$B$6:$T$823,18,0),"")</f>
        <v/>
      </c>
      <c r="L660" s="613" t="str">
        <f>IFERROR(VLOOKUP(M660,'02. MM-KLH'!$B$6:$T$823,4,0),"")</f>
        <v/>
      </c>
      <c r="M660" s="488"/>
      <c r="N660" s="615" t="str">
        <f>IFERROR(VLOOKUP(M660,'02. MM-KLH'!$B$6:$T$823,15,0),"")</f>
        <v/>
      </c>
      <c r="O660" s="616" t="str">
        <f>IFERROR(VLOOKUP(M660,'02. MM-KLH'!$B$6:$T$823,9,0),"")</f>
        <v/>
      </c>
      <c r="P660" s="613"/>
      <c r="Q660" s="613"/>
      <c r="R660" s="613"/>
      <c r="S660" s="613"/>
      <c r="T660" s="613"/>
      <c r="U660" s="613" t="str">
        <f>IFERROR(VLOOKUP(M660,'02. MM-KLH'!$B$6:$T$823,2,0),"")</f>
        <v/>
      </c>
      <c r="V660" s="523" t="str">
        <f>IFERROR(VLOOKUP(M660,'02. MM-KLH'!$B$6:$T$823,8,0),"")</f>
        <v/>
      </c>
      <c r="W660" s="559" t="str">
        <f>IFERROR(VLOOKUP(V660,'NS QUẢN LÝ CG'!$A$4:$D$36,2,0),"")</f>
        <v/>
      </c>
      <c r="X660" s="559" t="str">
        <f>IFERROR(VLOOKUP(V660,'NS QUẢN LÝ CG'!$A$4:$D$36,4,0),"")</f>
        <v/>
      </c>
      <c r="Y660" s="613"/>
      <c r="Z660" s="523" t="str">
        <f>IFERROR(VLOOKUP(M660,'02. MM-KLH'!$B$6:$T$823,3,0),"")</f>
        <v/>
      </c>
      <c r="AA660" s="613"/>
      <c r="AB660" s="523"/>
      <c r="AC660" s="523"/>
    </row>
    <row r="661">
      <c r="A661" s="523"/>
      <c r="B661" s="612" t="str">
        <f>IFERROR(VLOOKUP(M661,'02. MM-KLH'!$B$6:$T$823,6,0),"")</f>
        <v/>
      </c>
      <c r="C661" s="566"/>
      <c r="D661" s="613" t="str">
        <f>IFERROR(VLOOKUP(M661,'02. MM-KLH'!$B$6:$T$823,16,0),"")</f>
        <v/>
      </c>
      <c r="E661" s="613"/>
      <c r="F661" s="613"/>
      <c r="G661" s="613"/>
      <c r="H661" s="613" t="str">
        <f>IFERROR(VLOOKUP(M661,'02. MM-KLH'!$B$6:$T$823,17,0),"")</f>
        <v/>
      </c>
      <c r="I661" s="614" t="str">
        <f>IFERROR(VLOOKUP(M661,'02. MM-KLH'!$B$6:$U$823,20,0),"")</f>
        <v/>
      </c>
      <c r="J661" s="612" t="str">
        <f>IFERROR(VLOOKUP(M661,'02. MM-KLH'!$B$6:$T$823,19,0),"")</f>
        <v/>
      </c>
      <c r="K661" s="612" t="str">
        <f>IFERROR(VLOOKUP(M661,'02. MM-KLH'!$B$6:$T$823,18,0),"")</f>
        <v/>
      </c>
      <c r="L661" s="613" t="str">
        <f>IFERROR(VLOOKUP(M661,'02. MM-KLH'!$B$6:$T$823,4,0),"")</f>
        <v/>
      </c>
      <c r="M661" s="488"/>
      <c r="N661" s="615" t="str">
        <f>IFERROR(VLOOKUP(M661,'02. MM-KLH'!$B$6:$T$823,15,0),"")</f>
        <v/>
      </c>
      <c r="O661" s="616" t="str">
        <f>IFERROR(VLOOKUP(M661,'02. MM-KLH'!$B$6:$T$823,9,0),"")</f>
        <v/>
      </c>
      <c r="P661" s="613"/>
      <c r="Q661" s="613"/>
      <c r="R661" s="613"/>
      <c r="S661" s="613"/>
      <c r="T661" s="613"/>
      <c r="U661" s="613" t="str">
        <f>IFERROR(VLOOKUP(M661,'02. MM-KLH'!$B$6:$T$823,2,0),"")</f>
        <v/>
      </c>
      <c r="V661" s="523" t="str">
        <f>IFERROR(VLOOKUP(M661,'02. MM-KLH'!$B$6:$T$823,8,0),"")</f>
        <v/>
      </c>
      <c r="W661" s="559" t="str">
        <f>IFERROR(VLOOKUP(V661,'NS QUẢN LÝ CG'!$A$4:$D$36,2,0),"")</f>
        <v/>
      </c>
      <c r="X661" s="559" t="str">
        <f>IFERROR(VLOOKUP(V661,'NS QUẢN LÝ CG'!$A$4:$D$36,4,0),"")</f>
        <v/>
      </c>
      <c r="Y661" s="613"/>
      <c r="Z661" s="523" t="str">
        <f>IFERROR(VLOOKUP(M661,'02. MM-KLH'!$B$6:$T$823,3,0),"")</f>
        <v/>
      </c>
      <c r="AA661" s="613"/>
      <c r="AB661" s="523"/>
      <c r="AC661" s="523"/>
    </row>
    <row r="662">
      <c r="A662" s="542" t="s">
        <v>4476</v>
      </c>
      <c r="B662" s="543" t="s">
        <v>6684</v>
      </c>
      <c r="C662" s="544">
        <f>COUNTA(B663:B670)</f>
        <v>5</v>
      </c>
      <c r="D662" s="545"/>
      <c r="E662" s="545"/>
      <c r="F662" s="545"/>
      <c r="G662" s="545"/>
      <c r="H662" s="545"/>
      <c r="I662" s="546"/>
      <c r="J662" s="547"/>
      <c r="K662" s="547"/>
      <c r="L662" s="545"/>
      <c r="M662" s="545"/>
      <c r="N662" s="545"/>
      <c r="O662" s="548"/>
      <c r="P662" s="545"/>
      <c r="Q662" s="545"/>
      <c r="R662" s="545"/>
      <c r="S662" s="545"/>
      <c r="T662" s="545"/>
      <c r="U662" s="545"/>
      <c r="V662" s="546"/>
      <c r="W662" s="545"/>
      <c r="X662" s="545"/>
      <c r="Y662" s="545"/>
      <c r="Z662" s="546"/>
      <c r="AA662" s="545"/>
      <c r="AB662" s="546"/>
      <c r="AC662" s="549"/>
    </row>
    <row r="663">
      <c r="A663" s="523"/>
      <c r="B663" s="612" t="str">
        <f>IFERROR(VLOOKUP(M663,'02. MM-KLH'!$B$6:$T$823,6,0),"")</f>
        <v>Xe rùa bánh xích HỒNG HÀ</v>
      </c>
      <c r="C663" s="566">
        <v>1.0</v>
      </c>
      <c r="D663" s="613" t="str">
        <f>IFERROR(VLOOKUP(M663,'02. MM-KLH'!$B$6:$T$823,16,0),"")</f>
        <v>4L6819010</v>
      </c>
      <c r="E663" s="561" t="s">
        <v>4158</v>
      </c>
      <c r="F663" s="613"/>
      <c r="G663" s="613"/>
      <c r="H663" s="613" t="str">
        <f>IFERROR(VLOOKUP(M663,'02. MM-KLH'!$B$6:$T$823,17,0),"")</f>
        <v>87HP</v>
      </c>
      <c r="I663" s="614" t="str">
        <f>IFERROR(VLOOKUP(M663,'02. MM-KLH'!$B$6:$U$823,20,0),"")</f>
        <v/>
      </c>
      <c r="J663" s="612">
        <f>IFERROR(VLOOKUP(M663,'02. MM-KLH'!$B$6:$T$823,19,0),"")</f>
        <v>410203</v>
      </c>
      <c r="K663" s="612" t="str">
        <f>IFERROR(VLOOKUP(M663,'02. MM-KLH'!$B$6:$T$823,18,0),"")</f>
        <v>RYTJU32C2NA178540</v>
      </c>
      <c r="L663" s="613" t="str">
        <f>IFERROR(VLOOKUP(M663,'02. MM-KLH'!$B$6:$T$823,4,0),"")</f>
        <v/>
      </c>
      <c r="M663" s="488" t="s">
        <v>2310</v>
      </c>
      <c r="N663" s="615">
        <f>IFERROR(VLOOKUP(M663,'02. MM-KLH'!$B$6:$T$823,15,0),"")</f>
        <v>2024</v>
      </c>
      <c r="O663" s="616">
        <f>IFERROR(VLOOKUP(M663,'02. MM-KLH'!$B$6:$T$823,9,0),"")</f>
        <v>45454</v>
      </c>
      <c r="P663" s="613"/>
      <c r="Q663" s="566" t="s">
        <v>1565</v>
      </c>
      <c r="R663" s="613"/>
      <c r="S663" s="613"/>
      <c r="T663" s="613"/>
      <c r="U663" s="559" t="str">
        <f>IFERROR(VLOOKUP(M663,'02. MM-KLH'!$B$6:$T$823,5,0),"")</f>
        <v>MỚI (ĐQSD)</v>
      </c>
      <c r="V663" s="523" t="str">
        <f>IFERROR(VLOOKUP(M663,'02. MM-KLH'!$B$6:$T$823,8,0),"")</f>
        <v>XN Bò AD</v>
      </c>
      <c r="W663" s="559" t="str">
        <f>IFERROR(VLOOKUP(V663,'NS QUẢN LÝ CG'!$A$4:$D$36,2,0),"")</f>
        <v>Trần Văn Nam</v>
      </c>
      <c r="X663" s="559" t="str">
        <f>IFERROR(VLOOKUP(V663,'NS QUẢN LÝ CG'!$A$4:$D$36,4,0),"")</f>
        <v>Lô 28 XN Bò</v>
      </c>
      <c r="Y663" s="559" t="str">
        <f>IFERROR(VLOOKUP(V663,'NS QUẢN LÝ CG'!$A$4:$C$36,3,0),"")</f>
        <v>0971993540</v>
      </c>
      <c r="Z663" s="523" t="str">
        <f>IFERROR(VLOOKUP(M663,'02. MM-KLH'!$B$6:$T$823,3,0),"")</f>
        <v>A24-CT-0171</v>
      </c>
      <c r="AA663" s="559" t="str">
        <f>SWITCH(LEFT(Z663,3),"A22","ADM","A23","DP","A24","LP","")</f>
        <v>LP</v>
      </c>
      <c r="AB663" s="523"/>
      <c r="AC663" s="523"/>
    </row>
    <row r="664">
      <c r="A664" s="523"/>
      <c r="B664" s="612" t="str">
        <f>IFERROR(VLOOKUP(M664,'02. MM-KLH'!$B$6:$T$823,6,0),"")</f>
        <v>Xe rùa bánh xích HỒNG HÀ</v>
      </c>
      <c r="C664" s="566">
        <v>1.0</v>
      </c>
      <c r="D664" s="613" t="str">
        <f>IFERROR(VLOOKUP(M664,'02. MM-KLH'!$B$6:$T$823,16,0),"")</f>
        <v>4L6819010 (động cơ diesel)</v>
      </c>
      <c r="E664" s="561" t="s">
        <v>4158</v>
      </c>
      <c r="F664" s="613"/>
      <c r="G664" s="613"/>
      <c r="H664" s="613" t="str">
        <f>IFERROR(VLOOKUP(M664,'02. MM-KLH'!$B$6:$T$823,17,0),"")</f>
        <v>67HP</v>
      </c>
      <c r="I664" s="614" t="str">
        <f>IFERROR(VLOOKUP(M664,'02. MM-KLH'!$B$6:$U$823,20,0),"")</f>
        <v/>
      </c>
      <c r="J664" s="612" t="str">
        <f>IFERROR(VLOOKUP(M664,'02. MM-KLH'!$B$6:$T$823,19,0),"")</f>
        <v>C43101509A</v>
      </c>
      <c r="K664" s="612" t="str">
        <f>IFERROR(VLOOKUP(M664,'02. MM-KLH'!$B$6:$T$823,18,0),"")</f>
        <v>TCYUN54A1JR278360</v>
      </c>
      <c r="L664" s="613" t="str">
        <f>IFERROR(VLOOKUP(M664,'02. MM-KLH'!$B$6:$T$823,4,0),"")</f>
        <v/>
      </c>
      <c r="M664" s="488" t="s">
        <v>1518</v>
      </c>
      <c r="N664" s="615">
        <f>IFERROR(VLOOKUP(M664,'02. MM-KLH'!$B$6:$T$823,15,0),"")</f>
        <v>2024</v>
      </c>
      <c r="O664" s="616">
        <f>IFERROR(VLOOKUP(M664,'02. MM-KLH'!$B$6:$T$823,9,0),"")</f>
        <v>45577</v>
      </c>
      <c r="P664" s="613"/>
      <c r="Q664" s="566" t="s">
        <v>1565</v>
      </c>
      <c r="R664" s="613"/>
      <c r="S664" s="566" t="s">
        <v>4158</v>
      </c>
      <c r="T664" s="613"/>
      <c r="U664" s="559" t="str">
        <f>IFERROR(VLOOKUP(M664,'02. MM-KLH'!$B$6:$T$823,5,0),"")</f>
        <v>MỚI (ĐQSD)</v>
      </c>
      <c r="V664" s="523" t="str">
        <f>IFERROR(VLOOKUP(M664,'02. MM-KLH'!$B$6:$T$823,8,0),"")</f>
        <v>XN Chuối LP3</v>
      </c>
      <c r="W664" s="559" t="str">
        <f>IFERROR(VLOOKUP(V664,'NS QUẢN LÝ CG'!$A$4:$D$36,2,0),"")</f>
        <v>Lê Cao Nghị</v>
      </c>
      <c r="X664" s="559" t="str">
        <f>IFERROR(VLOOKUP(V664,'NS QUẢN LÝ CG'!$A$4:$D$36,4,0),"")</f>
        <v>Lô 2 LP3</v>
      </c>
      <c r="Y664" s="559" t="str">
        <f>IFERROR(VLOOKUP(V664,'NS QUẢN LÝ CG'!$A$4:$C$36,3,0),"")</f>
        <v>0977423100</v>
      </c>
      <c r="Z664" s="523" t="str">
        <f>IFERROR(VLOOKUP(M664,'02. MM-KLH'!$B$6:$T$823,3,0),"")</f>
        <v>ATM-A23-0128</v>
      </c>
      <c r="AA664" s="561" t="s">
        <v>4312</v>
      </c>
      <c r="AB664" s="523"/>
      <c r="AC664" s="523"/>
    </row>
    <row r="665">
      <c r="A665" s="523"/>
      <c r="B665" s="612" t="str">
        <f>IFERROR(VLOOKUP(M665,'02. MM-KLH'!$B$6:$T$823,6,0),"")</f>
        <v>Xe rùa bánh xích HỒNG HÀ</v>
      </c>
      <c r="C665" s="566">
        <v>1.0</v>
      </c>
      <c r="D665" s="613" t="str">
        <f>IFERROR(VLOOKUP(M665,'02. MM-KLH'!$B$6:$T$823,16,0),"")</f>
        <v>4L6819010 (động cơ diesel)</v>
      </c>
      <c r="E665" s="561" t="s">
        <v>4158</v>
      </c>
      <c r="F665" s="613"/>
      <c r="G665" s="613"/>
      <c r="H665" s="613" t="str">
        <f>IFERROR(VLOOKUP(M665,'02. MM-KLH'!$B$6:$T$823,17,0),"")</f>
        <v>67HP</v>
      </c>
      <c r="I665" s="614" t="str">
        <f>IFERROR(VLOOKUP(M665,'02. MM-KLH'!$B$6:$U$823,20,0),"")</f>
        <v/>
      </c>
      <c r="J665" s="612" t="str">
        <f>IFERROR(VLOOKUP(M665,'02. MM-KLH'!$B$6:$T$823,19,0),"")</f>
        <v>C43101511A</v>
      </c>
      <c r="K665" s="612" t="str">
        <f>IFERROR(VLOOKUP(M665,'02. MM-KLH'!$B$6:$T$823,18,0),"")</f>
        <v>Không có</v>
      </c>
      <c r="L665" s="613" t="str">
        <f>IFERROR(VLOOKUP(M665,'02. MM-KLH'!$B$6:$T$823,4,0),"")</f>
        <v/>
      </c>
      <c r="M665" s="488" t="s">
        <v>2317</v>
      </c>
      <c r="N665" s="615">
        <f>IFERROR(VLOOKUP(M665,'02. MM-KLH'!$B$6:$T$823,15,0),"")</f>
        <v>2024</v>
      </c>
      <c r="O665" s="616" t="str">
        <f>IFERROR(VLOOKUP(M665,'02. MM-KLH'!$B$6:$T$823,9,0),"")</f>
        <v/>
      </c>
      <c r="P665" s="613"/>
      <c r="Q665" s="566" t="s">
        <v>1565</v>
      </c>
      <c r="R665" s="613"/>
      <c r="S665" s="613"/>
      <c r="T665" s="613"/>
      <c r="U665" s="559" t="str">
        <f>IFERROR(VLOOKUP(M665,'02. MM-KLH'!$B$6:$T$823,5,0),"")</f>
        <v>MỚI (ĐQSD)</v>
      </c>
      <c r="V665" s="523" t="str">
        <f>IFERROR(VLOOKUP(M665,'02. MM-KLH'!$B$6:$T$823,8,0),"")</f>
        <v>XN Bò AD</v>
      </c>
      <c r="W665" s="559" t="str">
        <f>IFERROR(VLOOKUP(V665,'NS QUẢN LÝ CG'!$A$4:$D$36,2,0),"")</f>
        <v>Trần Văn Nam</v>
      </c>
      <c r="X665" s="559" t="str">
        <f>IFERROR(VLOOKUP(V665,'NS QUẢN LÝ CG'!$A$4:$D$36,4,0),"")</f>
        <v>Lô 28 XN Bò</v>
      </c>
      <c r="Y665" s="559" t="str">
        <f>IFERROR(VLOOKUP(V665,'NS QUẢN LÝ CG'!$A$4:$C$36,3,0),"")</f>
        <v>0971993540</v>
      </c>
      <c r="Z665" s="523" t="str">
        <f>IFERROR(VLOOKUP(M665,'02. MM-KLH'!$B$6:$T$823,3,0),"")</f>
        <v/>
      </c>
      <c r="AA665" s="559" t="str">
        <f t="shared" ref="AA665:AA667" si="46">SWITCH(LEFT(Z665,3),"A22","ADM","A23","DP","A24","LP","")</f>
        <v/>
      </c>
      <c r="AB665" s="523"/>
      <c r="AC665" s="523"/>
    </row>
    <row r="666">
      <c r="A666" s="523"/>
      <c r="B666" s="612" t="str">
        <f>IFERROR(VLOOKUP(M666,'02. MM-KLH'!$B$6:$T$823,6,0),"")</f>
        <v>Xe rùa bánh xích MST2000</v>
      </c>
      <c r="C666" s="566">
        <v>1.0</v>
      </c>
      <c r="D666" s="613" t="str">
        <f>IFERROR(VLOOKUP(M666,'02. MM-KLH'!$B$6:$T$823,16,0),"")</f>
        <v>MST2000</v>
      </c>
      <c r="E666" s="561" t="s">
        <v>4158</v>
      </c>
      <c r="F666" s="613"/>
      <c r="G666" s="613"/>
      <c r="H666" s="613" t="str">
        <f>IFERROR(VLOOKUP(M666,'02. MM-KLH'!$B$6:$T$823,17,0),"")</f>
        <v>236HP</v>
      </c>
      <c r="I666" s="614" t="str">
        <f>IFERROR(VLOOKUP(M666,'02. MM-KLH'!$B$6:$U$823,20,0),"")</f>
        <v/>
      </c>
      <c r="J666" s="612" t="str">
        <f>IFERROR(VLOOKUP(M666,'02. MM-KLH'!$B$6:$T$823,19,0),"")</f>
        <v>6D110160178</v>
      </c>
      <c r="K666" s="612">
        <f>IFERROR(VLOOKUP(M666,'02. MM-KLH'!$B$6:$T$823,18,0),"")</f>
        <v>20265</v>
      </c>
      <c r="L666" s="613" t="str">
        <f>IFERROR(VLOOKUP(M666,'02. MM-KLH'!$B$6:$T$823,4,0),"")</f>
        <v/>
      </c>
      <c r="M666" s="488" t="s">
        <v>2324</v>
      </c>
      <c r="N666" s="615" t="str">
        <f>IFERROR(VLOOKUP(M666,'02. MM-KLH'!$B$6:$T$823,15,0),"")</f>
        <v/>
      </c>
      <c r="O666" s="616">
        <f>IFERROR(VLOOKUP(M666,'02. MM-KLH'!$B$6:$T$823,9,0),"")</f>
        <v>45785</v>
      </c>
      <c r="P666" s="613"/>
      <c r="Q666" s="566" t="s">
        <v>1565</v>
      </c>
      <c r="R666" s="566" t="s">
        <v>4158</v>
      </c>
      <c r="S666" s="613"/>
      <c r="T666" s="613"/>
      <c r="U666" s="559" t="str">
        <f>IFERROR(VLOOKUP(M666,'02. MM-KLH'!$B$6:$T$823,5,0),"")</f>
        <v>MỚI (ĐQSD)</v>
      </c>
      <c r="V666" s="523" t="str">
        <f>IFERROR(VLOOKUP(M666,'02. MM-KLH'!$B$6:$T$823,8,0),"")</f>
        <v>XN Bò AD</v>
      </c>
      <c r="W666" s="559" t="str">
        <f>IFERROR(VLOOKUP(V666,'NS QUẢN LÝ CG'!$A$4:$D$36,2,0),"")</f>
        <v>Trần Văn Nam</v>
      </c>
      <c r="X666" s="559" t="str">
        <f>IFERROR(VLOOKUP(V666,'NS QUẢN LÝ CG'!$A$4:$D$36,4,0),"")</f>
        <v>Lô 28 XN Bò</v>
      </c>
      <c r="Y666" s="559" t="str">
        <f>IFERROR(VLOOKUP(V666,'NS QUẢN LÝ CG'!$A$4:$C$36,3,0),"")</f>
        <v>0971993540</v>
      </c>
      <c r="Z666" s="523" t="str">
        <f>IFERROR(VLOOKUP(M666,'02. MM-KLH'!$B$6:$T$823,3,0),"")</f>
        <v>A22-RBX-004</v>
      </c>
      <c r="AA666" s="559" t="str">
        <f t="shared" si="46"/>
        <v>ADM</v>
      </c>
      <c r="AB666" s="523"/>
      <c r="AC666" s="523"/>
    </row>
    <row r="667">
      <c r="A667" s="523"/>
      <c r="B667" s="612" t="str">
        <f>IFERROR(VLOOKUP(M667,'02. MM-KLH'!$B$6:$T$823,6,0),"")</f>
        <v>Xe rùa bánh xích MST700E</v>
      </c>
      <c r="C667" s="566">
        <v>1.0</v>
      </c>
      <c r="D667" s="613" t="str">
        <f>IFERROR(VLOOKUP(M667,'02. MM-KLH'!$B$6:$T$823,16,0),"")</f>
        <v>MST700E</v>
      </c>
      <c r="E667" s="561" t="s">
        <v>4158</v>
      </c>
      <c r="F667" s="613"/>
      <c r="G667" s="613"/>
      <c r="H667" s="613" t="str">
        <f>IFERROR(VLOOKUP(M667,'02. MM-KLH'!$B$6:$T$823,17,0),"")</f>
        <v>90HP</v>
      </c>
      <c r="I667" s="614">
        <f>IFERROR(VLOOKUP(M667,'02. MM-KLH'!$B$6:$U$823,20,0),"")</f>
        <v>8</v>
      </c>
      <c r="J667" s="612" t="str">
        <f>IFERROR(VLOOKUP(M667,'02. MM-KLH'!$B$6:$T$823,19,0),"")</f>
        <v>4D95L177865</v>
      </c>
      <c r="K667" s="612">
        <f>IFERROR(VLOOKUP(M667,'02. MM-KLH'!$B$6:$T$823,18,0),"")</f>
        <v>701114</v>
      </c>
      <c r="L667" s="613" t="str">
        <f>IFERROR(VLOOKUP(M667,'02. MM-KLH'!$B$6:$T$823,4,0),"")</f>
        <v/>
      </c>
      <c r="M667" s="488" t="s">
        <v>2330</v>
      </c>
      <c r="N667" s="615">
        <f>IFERROR(VLOOKUP(M667,'02. MM-KLH'!$B$6:$T$823,15,0),"")</f>
        <v>1988</v>
      </c>
      <c r="O667" s="616">
        <f>IFERROR(VLOOKUP(M667,'02. MM-KLH'!$B$6:$T$823,9,0),"")</f>
        <v>45785</v>
      </c>
      <c r="P667" s="613"/>
      <c r="Q667" s="566" t="s">
        <v>1565</v>
      </c>
      <c r="R667" s="566" t="s">
        <v>4158</v>
      </c>
      <c r="S667" s="613"/>
      <c r="T667" s="613"/>
      <c r="U667" s="559" t="str">
        <f>IFERROR(VLOOKUP(M667,'02. MM-KLH'!$B$6:$T$823,5,0),"")</f>
        <v>MỚI (ĐQSD)</v>
      </c>
      <c r="V667" s="523" t="str">
        <f>IFERROR(VLOOKUP(M667,'02. MM-KLH'!$B$6:$T$823,8,0),"")</f>
        <v>XN Bò AD</v>
      </c>
      <c r="W667" s="559" t="str">
        <f>IFERROR(VLOOKUP(V667,'NS QUẢN LÝ CG'!$A$4:$D$36,2,0),"")</f>
        <v>Trần Văn Nam</v>
      </c>
      <c r="X667" s="559" t="str">
        <f>IFERROR(VLOOKUP(V667,'NS QUẢN LÝ CG'!$A$4:$D$36,4,0),"")</f>
        <v>Lô 28 XN Bò</v>
      </c>
      <c r="Y667" s="559" t="str">
        <f>IFERROR(VLOOKUP(V667,'NS QUẢN LÝ CG'!$A$4:$C$36,3,0),"")</f>
        <v>0971993540</v>
      </c>
      <c r="Z667" s="523" t="str">
        <f>IFERROR(VLOOKUP(M667,'02. MM-KLH'!$B$6:$T$823,3,0),"")</f>
        <v>A22-RBX-005</v>
      </c>
      <c r="AA667" s="559" t="str">
        <f t="shared" si="46"/>
        <v>ADM</v>
      </c>
      <c r="AB667" s="523"/>
      <c r="AC667" s="523"/>
    </row>
    <row r="668">
      <c r="A668" s="523"/>
      <c r="B668" s="612" t="str">
        <f>IFERROR(VLOOKUP(M668,'02. MM-KLH'!$B$6:$T$823,6,0),"")</f>
        <v/>
      </c>
      <c r="C668" s="566"/>
      <c r="D668" s="613" t="str">
        <f>IFERROR(VLOOKUP(M668,'02. MM-KLH'!$B$6:$T$823,16,0),"")</f>
        <v/>
      </c>
      <c r="E668" s="613"/>
      <c r="F668" s="613"/>
      <c r="G668" s="613"/>
      <c r="H668" s="613" t="str">
        <f>IFERROR(VLOOKUP(M668,'02. MM-KLH'!$B$6:$T$823,17,0),"")</f>
        <v/>
      </c>
      <c r="I668" s="614" t="str">
        <f>IFERROR(VLOOKUP(M668,'02. MM-KLH'!$B$6:$U$823,20,0),"")</f>
        <v/>
      </c>
      <c r="J668" s="612" t="str">
        <f>IFERROR(VLOOKUP(M668,'02. MM-KLH'!$B$6:$T$823,19,0),"")</f>
        <v/>
      </c>
      <c r="K668" s="612" t="str">
        <f>IFERROR(VLOOKUP(M668,'02. MM-KLH'!$B$6:$T$823,18,0),"")</f>
        <v/>
      </c>
      <c r="L668" s="613" t="str">
        <f>IFERROR(VLOOKUP(M668,'02. MM-KLH'!$B$6:$T$823,4,0),"")</f>
        <v/>
      </c>
      <c r="M668" s="488"/>
      <c r="N668" s="615" t="str">
        <f>IFERROR(VLOOKUP(M668,'02. MM-KLH'!$B$6:$T$823,15,0),"")</f>
        <v/>
      </c>
      <c r="O668" s="616" t="str">
        <f>IFERROR(VLOOKUP(M668,'02. MM-KLH'!$B$6:$T$823,9,0),"")</f>
        <v/>
      </c>
      <c r="P668" s="613"/>
      <c r="Q668" s="613"/>
      <c r="R668" s="613"/>
      <c r="S668" s="613"/>
      <c r="T668" s="613"/>
      <c r="U668" s="613" t="str">
        <f>IFERROR(VLOOKUP(M668,'02. MM-KLH'!$B$6:$T$823,2,0),"")</f>
        <v/>
      </c>
      <c r="V668" s="523" t="str">
        <f>IFERROR(VLOOKUP(M668,'02. MM-KLH'!$B$6:$T$823,8,0),"")</f>
        <v/>
      </c>
      <c r="W668" s="559" t="str">
        <f>IFERROR(VLOOKUP(V668,'NS QUẢN LÝ CG'!$A$4:$D$36,2,0),"")</f>
        <v/>
      </c>
      <c r="X668" s="559" t="str">
        <f>IFERROR(VLOOKUP(V668,'NS QUẢN LÝ CG'!$A$4:$D$36,4,0),"")</f>
        <v/>
      </c>
      <c r="Y668" s="613"/>
      <c r="Z668" s="523" t="str">
        <f>IFERROR(VLOOKUP(M668,'02. MM-KLH'!$B$6:$T$823,3,0),"")</f>
        <v/>
      </c>
      <c r="AA668" s="613"/>
      <c r="AB668" s="523"/>
      <c r="AC668" s="523"/>
    </row>
    <row r="669" hidden="1">
      <c r="A669" s="523"/>
      <c r="B669" s="612" t="str">
        <f>IFERROR(VLOOKUP(M669,'02. MM-KLH'!$B$6:$T$823,6,0),"")</f>
        <v/>
      </c>
      <c r="C669" s="566"/>
      <c r="D669" s="613" t="str">
        <f>IFERROR(VLOOKUP(M669,'02. MM-KLH'!$B$6:$T$823,16,0),"")</f>
        <v/>
      </c>
      <c r="E669" s="613"/>
      <c r="F669" s="613"/>
      <c r="G669" s="613"/>
      <c r="H669" s="613" t="str">
        <f>IFERROR(VLOOKUP(M669,'02. MM-KLH'!$B$6:$T$823,17,0),"")</f>
        <v/>
      </c>
      <c r="I669" s="614" t="str">
        <f>IFERROR(VLOOKUP(M669,'02. MM-KLH'!$B$6:$U$823,20,0),"")</f>
        <v/>
      </c>
      <c r="J669" s="612" t="str">
        <f>IFERROR(VLOOKUP(M669,'02. MM-KLH'!$B$6:$T$823,19,0),"")</f>
        <v/>
      </c>
      <c r="K669" s="612" t="str">
        <f>IFERROR(VLOOKUP(M669,'02. MM-KLH'!$B$6:$T$823,18,0),"")</f>
        <v/>
      </c>
      <c r="L669" s="613" t="str">
        <f>IFERROR(VLOOKUP(M669,'02. MM-KLH'!$B$6:$T$823,4,0),"")</f>
        <v/>
      </c>
      <c r="M669" s="488"/>
      <c r="N669" s="615" t="str">
        <f>IFERROR(VLOOKUP(M669,'02. MM-KLH'!$B$6:$T$823,15,0),"")</f>
        <v/>
      </c>
      <c r="O669" s="616" t="str">
        <f>IFERROR(VLOOKUP(M669,'02. MM-KLH'!$B$6:$T$823,9,0),"")</f>
        <v/>
      </c>
      <c r="P669" s="613"/>
      <c r="Q669" s="613"/>
      <c r="R669" s="613"/>
      <c r="S669" s="613"/>
      <c r="T669" s="613"/>
      <c r="U669" s="613" t="str">
        <f>IFERROR(VLOOKUP(M669,'02. MM-KLH'!$B$6:$T$823,2,0),"")</f>
        <v/>
      </c>
      <c r="V669" s="523" t="str">
        <f>IFERROR(VLOOKUP(M669,'02. MM-KLH'!$B$6:$T$823,8,0),"")</f>
        <v/>
      </c>
      <c r="W669" s="613"/>
      <c r="X669" s="613"/>
      <c r="Y669" s="613"/>
      <c r="Z669" s="523" t="str">
        <f>IFERROR(VLOOKUP(M669,'02. MM-KLH'!$B$6:$T$823,3,0),"")</f>
        <v/>
      </c>
      <c r="AA669" s="613"/>
      <c r="AB669" s="523"/>
      <c r="AC669" s="523"/>
    </row>
    <row r="670" hidden="1">
      <c r="A670" s="523"/>
      <c r="B670" s="612" t="str">
        <f>IFERROR(VLOOKUP(M670,'02. MM-KLH'!$B$6:$T$823,6,0),"")</f>
        <v/>
      </c>
      <c r="C670" s="566"/>
      <c r="D670" s="613" t="str">
        <f>IFERROR(VLOOKUP(M670,'02. MM-KLH'!$B$6:$T$823,16,0),"")</f>
        <v/>
      </c>
      <c r="E670" s="613"/>
      <c r="F670" s="613"/>
      <c r="G670" s="613"/>
      <c r="H670" s="613" t="str">
        <f>IFERROR(VLOOKUP(M670,'02. MM-KLH'!$B$6:$T$823,17,0),"")</f>
        <v/>
      </c>
      <c r="I670" s="614" t="str">
        <f>IFERROR(VLOOKUP(M670,'02. MM-KLH'!$B$6:$U$823,20,0),"")</f>
        <v/>
      </c>
      <c r="J670" s="612" t="str">
        <f>IFERROR(VLOOKUP(M670,'02. MM-KLH'!$B$6:$T$823,19,0),"")</f>
        <v/>
      </c>
      <c r="K670" s="612" t="str">
        <f>IFERROR(VLOOKUP(M670,'02. MM-KLH'!$B$6:$T$823,18,0),"")</f>
        <v/>
      </c>
      <c r="L670" s="613" t="str">
        <f>IFERROR(VLOOKUP(M670,'02. MM-KLH'!$B$6:$T$823,4,0),"")</f>
        <v/>
      </c>
      <c r="M670" s="488"/>
      <c r="N670" s="615" t="str">
        <f>IFERROR(VLOOKUP(M670,'02. MM-KLH'!$B$6:$T$823,15,0),"")</f>
        <v/>
      </c>
      <c r="O670" s="616" t="str">
        <f>IFERROR(VLOOKUP(M670,'02. MM-KLH'!$B$6:$T$823,9,0),"")</f>
        <v/>
      </c>
      <c r="P670" s="613"/>
      <c r="Q670" s="613"/>
      <c r="R670" s="613"/>
      <c r="S670" s="613"/>
      <c r="T670" s="613"/>
      <c r="U670" s="613" t="str">
        <f>IFERROR(VLOOKUP(M670,'02. MM-KLH'!$B$6:$T$823,2,0),"")</f>
        <v/>
      </c>
      <c r="V670" s="523" t="str">
        <f>IFERROR(VLOOKUP(M670,'02. MM-KLH'!$B$6:$T$823,8,0),"")</f>
        <v/>
      </c>
      <c r="W670" s="613"/>
      <c r="X670" s="613"/>
      <c r="Y670" s="613"/>
      <c r="Z670" s="523" t="str">
        <f>IFERROR(VLOOKUP(M670,'02. MM-KLH'!$B$6:$T$823,3,0),"")</f>
        <v/>
      </c>
      <c r="AA670" s="613"/>
      <c r="AB670" s="523"/>
      <c r="AC670" s="523"/>
    </row>
    <row r="671">
      <c r="A671" s="542" t="s">
        <v>4476</v>
      </c>
      <c r="B671" s="543" t="s">
        <v>5993</v>
      </c>
      <c r="C671" s="544">
        <f>COUNTA(B672:B674)</f>
        <v>1</v>
      </c>
      <c r="D671" s="545"/>
      <c r="E671" s="545"/>
      <c r="F671" s="545"/>
      <c r="G671" s="545"/>
      <c r="H671" s="545"/>
      <c r="I671" s="546"/>
      <c r="J671" s="547"/>
      <c r="K671" s="547"/>
      <c r="L671" s="545"/>
      <c r="M671" s="545"/>
      <c r="N671" s="545"/>
      <c r="O671" s="548"/>
      <c r="P671" s="545"/>
      <c r="Q671" s="545"/>
      <c r="R671" s="545"/>
      <c r="S671" s="545"/>
      <c r="T671" s="545"/>
      <c r="U671" s="545"/>
      <c r="V671" s="546"/>
      <c r="W671" s="545"/>
      <c r="X671" s="545"/>
      <c r="Y671" s="545"/>
      <c r="Z671" s="546"/>
      <c r="AA671" s="545"/>
      <c r="AB671" s="546"/>
      <c r="AC671" s="549"/>
    </row>
    <row r="672">
      <c r="A672" s="523"/>
      <c r="B672" s="612" t="str">
        <f>IFERROR(VLOOKUP(M672,'02. MM-KLH'!$B$6:$T$823,6,0),"")</f>
        <v>Xe chở cám FC950</v>
      </c>
      <c r="C672" s="566">
        <v>1.0</v>
      </c>
      <c r="D672" s="613" t="str">
        <f>IFERROR(VLOOKUP(M672,'02. MM-KLH'!$B$6:$T$823,16,0),"")</f>
        <v>FC950</v>
      </c>
      <c r="E672" s="561" t="s">
        <v>4158</v>
      </c>
      <c r="F672" s="613"/>
      <c r="G672" s="613"/>
      <c r="H672" s="613" t="str">
        <f>IFERROR(VLOOKUP(M672,'02. MM-KLH'!$B$6:$T$823,17,0),"")</f>
        <v>160HP</v>
      </c>
      <c r="I672" s="614" t="str">
        <f>IFERROR(VLOOKUP(M672,'02. MM-KLH'!$B$6:$U$823,20,0),"")</f>
        <v/>
      </c>
      <c r="J672" s="612" t="str">
        <f>IFERROR(VLOOKUP(M672,'02. MM-KLH'!$B$6:$T$823,19,0),"")</f>
        <v>J00052</v>
      </c>
      <c r="K672" s="612" t="str">
        <f>IFERROR(VLOOKUP(M672,'02. MM-KLH'!$B$6:$T$823,18,0),"")</f>
        <v>RNHA16FYAJC084020</v>
      </c>
      <c r="L672" s="613" t="str">
        <f>IFERROR(VLOOKUP(M672,'02. MM-KLH'!$B$6:$T$823,4,0),"")</f>
        <v/>
      </c>
      <c r="M672" s="490" t="s">
        <v>2046</v>
      </c>
      <c r="N672" s="615">
        <f>IFERROR(VLOOKUP(M672,'02. MM-KLH'!$B$6:$T$823,15,0),"")</f>
        <v>2018</v>
      </c>
      <c r="O672" s="616" t="str">
        <f>IFERROR(VLOOKUP(M672,'02. MM-KLH'!$B$6:$T$823,9,0),"")</f>
        <v/>
      </c>
      <c r="P672" s="566" t="s">
        <v>1565</v>
      </c>
      <c r="Q672" s="613"/>
      <c r="R672" s="566" t="s">
        <v>4158</v>
      </c>
      <c r="S672" s="613"/>
      <c r="T672" s="613"/>
      <c r="U672" s="559" t="str">
        <f>IFERROR(VLOOKUP(M672,'02. MM-KLH'!$B$6:$T$823,5,0),"")</f>
        <v>ĐQSD</v>
      </c>
      <c r="V672" s="523" t="str">
        <f>IFERROR(VLOOKUP(M672,'02. MM-KLH'!$B$6:$T$823,8,0),"")</f>
        <v>XN Bò AD</v>
      </c>
      <c r="W672" s="559" t="str">
        <f>IFERROR(VLOOKUP(V672,'NS QUẢN LÝ CG'!$A$4:$D$36,2,0),"")</f>
        <v>Trần Văn Nam</v>
      </c>
      <c r="X672" s="559" t="str">
        <f>IFERROR(VLOOKUP(V672,'NS QUẢN LÝ CG'!$A$4:$D$36,4,0),"")</f>
        <v>Lô 28 XN Bò</v>
      </c>
      <c r="Y672" s="559" t="str">
        <f>IFERROR(VLOOKUP(V672,'NS QUẢN LÝ CG'!$A$4:$C$36,3,0),"")</f>
        <v>0971993540</v>
      </c>
      <c r="Z672" s="523" t="str">
        <f>IFERROR(VLOOKUP(M672,'02. MM-KLH'!$B$6:$T$823,3,0),"")</f>
        <v>A22-XCC-001</v>
      </c>
      <c r="AA672" s="559" t="str">
        <f>SWITCH(LEFT(Z672,3),"A22","ADM","A23","DP","A24","LP","")</f>
        <v>ADM</v>
      </c>
      <c r="AB672" s="523"/>
      <c r="AC672" s="523"/>
    </row>
    <row r="673">
      <c r="A673" s="523"/>
      <c r="B673" s="612" t="str">
        <f>IFERROR(VLOOKUP(M673,'02. MM-KLH'!$B$6:$T$823,6,0),"")</f>
        <v/>
      </c>
      <c r="C673" s="566"/>
      <c r="D673" s="613" t="str">
        <f>IFERROR(VLOOKUP(M673,'02. MM-KLH'!$B$6:$T$823,16,0),"")</f>
        <v/>
      </c>
      <c r="E673" s="613"/>
      <c r="F673" s="613"/>
      <c r="G673" s="613"/>
      <c r="H673" s="613" t="str">
        <f>IFERROR(VLOOKUP(M673,'02. MM-KLH'!$B$6:$T$823,17,0),"")</f>
        <v/>
      </c>
      <c r="I673" s="614" t="str">
        <f>IFERROR(VLOOKUP(M673,'02. MM-KLH'!$B$6:$U$823,20,0),"")</f>
        <v/>
      </c>
      <c r="J673" s="612" t="str">
        <f>IFERROR(VLOOKUP(M673,'02. MM-KLH'!$B$6:$T$823,19,0),"")</f>
        <v/>
      </c>
      <c r="K673" s="612" t="str">
        <f>IFERROR(VLOOKUP(M673,'02. MM-KLH'!$B$6:$T$823,18,0),"")</f>
        <v/>
      </c>
      <c r="L673" s="613" t="str">
        <f>IFERROR(VLOOKUP(M673,'02. MM-KLH'!$B$6:$T$823,4,0),"")</f>
        <v/>
      </c>
      <c r="M673" s="488"/>
      <c r="N673" s="615" t="str">
        <f>IFERROR(VLOOKUP(M673,'02. MM-KLH'!$B$6:$T$823,15,0),"")</f>
        <v/>
      </c>
      <c r="O673" s="616" t="str">
        <f>IFERROR(VLOOKUP(M673,'02. MM-KLH'!$B$6:$T$823,9,0),"")</f>
        <v/>
      </c>
      <c r="P673" s="613"/>
      <c r="Q673" s="613"/>
      <c r="R673" s="613"/>
      <c r="S673" s="613"/>
      <c r="T673" s="613"/>
      <c r="U673" s="559" t="str">
        <f>IFERROR(VLOOKUP(M673,'02. MM-KLH'!$B$6:$T$823,5,0),"")</f>
        <v/>
      </c>
      <c r="V673" s="523" t="str">
        <f>IFERROR(VLOOKUP(M673,'02. MM-KLH'!$B$6:$T$823,8,0),"")</f>
        <v/>
      </c>
      <c r="W673" s="559" t="str">
        <f>IFERROR(VLOOKUP(V673,'NS QUẢN LÝ CG'!$A$4:$D$36,2,0),"")</f>
        <v/>
      </c>
      <c r="X673" s="559" t="str">
        <f>IFERROR(VLOOKUP(V673,'NS QUẢN LÝ CG'!$A$4:$D$36,4,0),"")</f>
        <v/>
      </c>
      <c r="Y673" s="613"/>
      <c r="Z673" s="523" t="str">
        <f>IFERROR(VLOOKUP(M673,'02. MM-KLH'!$B$6:$T$823,3,0),"")</f>
        <v/>
      </c>
      <c r="AA673" s="613"/>
      <c r="AB673" s="523"/>
      <c r="AC673" s="523"/>
    </row>
    <row r="674">
      <c r="A674" s="523"/>
      <c r="B674" s="612" t="str">
        <f>IFERROR(VLOOKUP(M674,'02. MM-KLH'!$B$6:$T$823,6,0),"")</f>
        <v/>
      </c>
      <c r="C674" s="566"/>
      <c r="D674" s="613" t="str">
        <f>IFERROR(VLOOKUP(M674,'02. MM-KLH'!$B$6:$T$823,16,0),"")</f>
        <v/>
      </c>
      <c r="E674" s="613"/>
      <c r="F674" s="613"/>
      <c r="G674" s="613"/>
      <c r="H674" s="613" t="str">
        <f>IFERROR(VLOOKUP(M674,'02. MM-KLH'!$B$6:$T$823,17,0),"")</f>
        <v/>
      </c>
      <c r="I674" s="614" t="str">
        <f>IFERROR(VLOOKUP(M674,'02. MM-KLH'!$B$6:$U$823,20,0),"")</f>
        <v/>
      </c>
      <c r="J674" s="612" t="str">
        <f>IFERROR(VLOOKUP(M674,'02. MM-KLH'!$B$6:$T$823,19,0),"")</f>
        <v/>
      </c>
      <c r="K674" s="612" t="str">
        <f>IFERROR(VLOOKUP(M674,'02. MM-KLH'!$B$6:$T$823,18,0),"")</f>
        <v/>
      </c>
      <c r="L674" s="613" t="str">
        <f>IFERROR(VLOOKUP(M674,'02. MM-KLH'!$B$6:$T$823,4,0),"")</f>
        <v/>
      </c>
      <c r="M674" s="488"/>
      <c r="N674" s="615" t="str">
        <f>IFERROR(VLOOKUP(M674,'02. MM-KLH'!$B$6:$T$823,15,0),"")</f>
        <v/>
      </c>
      <c r="O674" s="616" t="str">
        <f>IFERROR(VLOOKUP(M674,'02. MM-KLH'!$B$6:$T$823,9,0),"")</f>
        <v/>
      </c>
      <c r="P674" s="613"/>
      <c r="Q674" s="613"/>
      <c r="R674" s="613"/>
      <c r="S674" s="613"/>
      <c r="T674" s="613"/>
      <c r="U674" s="613" t="str">
        <f>IFERROR(VLOOKUP(M674,'02. MM-KLH'!$B$6:$T$823,2,0),"")</f>
        <v/>
      </c>
      <c r="V674" s="523" t="str">
        <f>IFERROR(VLOOKUP(M674,'02. MM-KLH'!$B$6:$T$823,8,0),"")</f>
        <v/>
      </c>
      <c r="W674" s="559" t="str">
        <f>IFERROR(VLOOKUP(V674,'NS QUẢN LÝ CG'!$A$4:$D$36,2,0),"")</f>
        <v/>
      </c>
      <c r="X674" s="559" t="str">
        <f>IFERROR(VLOOKUP(V674,'NS QUẢN LÝ CG'!$A$4:$D$36,4,0),"")</f>
        <v/>
      </c>
      <c r="Y674" s="613"/>
      <c r="Z674" s="523" t="str">
        <f>IFERROR(VLOOKUP(M674,'02. MM-KLH'!$B$6:$T$823,3,0),"")</f>
        <v/>
      </c>
      <c r="AA674" s="613"/>
      <c r="AB674" s="523"/>
      <c r="AC674" s="523"/>
    </row>
    <row r="675">
      <c r="A675" s="542" t="s">
        <v>5816</v>
      </c>
      <c r="B675" s="543" t="s">
        <v>5995</v>
      </c>
      <c r="C675" s="544">
        <f>COUNTA(B676:B687)</f>
        <v>11</v>
      </c>
      <c r="D675" s="545"/>
      <c r="E675" s="545"/>
      <c r="F675" s="545"/>
      <c r="G675" s="545"/>
      <c r="H675" s="545"/>
      <c r="I675" s="546"/>
      <c r="J675" s="547"/>
      <c r="K675" s="547"/>
      <c r="L675" s="545"/>
      <c r="M675" s="545"/>
      <c r="N675" s="545"/>
      <c r="O675" s="548"/>
      <c r="P675" s="545"/>
      <c r="Q675" s="545"/>
      <c r="R675" s="545"/>
      <c r="S675" s="545"/>
      <c r="T675" s="545"/>
      <c r="U675" s="545"/>
      <c r="V675" s="546"/>
      <c r="W675" s="545"/>
      <c r="X675" s="545"/>
      <c r="Y675" s="545"/>
      <c r="Z675" s="546"/>
      <c r="AA675" s="545"/>
      <c r="AB675" s="546"/>
      <c r="AC675" s="549"/>
    </row>
    <row r="676" ht="18.0" customHeight="1">
      <c r="A676" s="532"/>
      <c r="B676" s="986" t="str">
        <f>IFERROR(VLOOKUP(M676,'02. MM-KLH'!$B$6:$T$823,6,0),"")</f>
        <v>Xe cẩu bàn 5 tấn</v>
      </c>
      <c r="C676" s="566">
        <v>1.0</v>
      </c>
      <c r="D676" s="692" t="str">
        <f>IFERROR(VLOOKUP(M676,'02. MM-KLH'!$B$6:$T$823,16,0),"")</f>
        <v>ETX C240 ND2</v>
      </c>
      <c r="E676" s="561" t="s">
        <v>4158</v>
      </c>
      <c r="F676" s="692"/>
      <c r="G676" s="692"/>
      <c r="H676" s="692" t="str">
        <f>IFERROR(VLOOKUP(M676,'02. MM-KLH'!$B$6:$T$823,17,0),"")</f>
        <v>336HP</v>
      </c>
      <c r="I676" s="987">
        <f>IFERROR(VLOOKUP(M676,'02. MM-KLH'!$B$6:$U$823,20,0),"")</f>
        <v>0.65</v>
      </c>
      <c r="J676" s="986" t="str">
        <f>IFERROR(VLOOKUP(M676,'02. MM-KLH'!$B$6:$T$823,19,0),"")</f>
        <v>WP10.336E431619A000091</v>
      </c>
      <c r="K676" s="986" t="str">
        <f>IFERROR(VLOOKUP(M676,'02. MM-KLH'!$B$6:$T$823,18,0),"")</f>
        <v>RNHA24FWAKC099303</v>
      </c>
      <c r="L676" s="692" t="str">
        <f>IFERROR(VLOOKUP(M676,'02. MM-KLH'!$B$6:$T$823,4,0),"")</f>
        <v/>
      </c>
      <c r="M676" s="490" t="s">
        <v>582</v>
      </c>
      <c r="N676" s="988" t="str">
        <f>IFERROR(VLOOKUP(M676,'02. MM-KLH'!$B$6:$T$823,15,0),"")</f>
        <v>2019</v>
      </c>
      <c r="O676" s="989">
        <f>IFERROR(VLOOKUP(M676,'02. MM-KLH'!$B$6:$T$823,9,0),"")</f>
        <v>44317</v>
      </c>
      <c r="P676" s="564">
        <v>202257.0</v>
      </c>
      <c r="Q676" s="692"/>
      <c r="R676" s="463" t="s">
        <v>4158</v>
      </c>
      <c r="S676" s="692"/>
      <c r="T676" s="692"/>
      <c r="U676" s="559" t="str">
        <f>IFERROR(VLOOKUP(M676,'02. MM-KLH'!$B$6:$T$823,5,0),"")</f>
        <v>ĐQSD</v>
      </c>
      <c r="V676" s="532" t="str">
        <f>IFERROR(VLOOKUP(M676,'02. MM-KLH'!$B$6:$T$823,8,0),"")</f>
        <v>CGTC AD</v>
      </c>
      <c r="W676" s="559" t="str">
        <f>IFERROR(VLOOKUP(V676,'NS QUẢN LÝ CG'!$A$4:$D$36,2,0),"")</f>
        <v>Vũ Trung Kiên</v>
      </c>
      <c r="X676" s="559" t="str">
        <f>IFERROR(VLOOKUP(V676,'NS QUẢN LÝ CG'!$A$4:$D$36,4,0),"")</f>
        <v>Lô 73 ADM</v>
      </c>
      <c r="Y676" s="559" t="str">
        <f>IFERROR(VLOOKUP(V676,'NS QUẢN LÝ CG'!$A$4:$C$36,3,0),"")</f>
        <v>0981761677</v>
      </c>
      <c r="Z676" s="532" t="str">
        <f>IFERROR(VLOOKUP(M676,'02. MM-KLH'!$B$6:$T$823,3,0),"")</f>
        <v>ATT-A22-0240</v>
      </c>
      <c r="AA676" s="561" t="s">
        <v>4462</v>
      </c>
      <c r="AB676" s="532"/>
      <c r="AC676" s="532"/>
    </row>
    <row r="677" ht="18.0" customHeight="1">
      <c r="A677" s="532"/>
      <c r="B677" s="986" t="str">
        <f>IFERROR(VLOOKUP(M677,'02. MM-KLH'!$B$6:$T$823,6,0),"")</f>
        <v>Xe cẩu bàn 5 tấn</v>
      </c>
      <c r="C677" s="566">
        <v>1.0</v>
      </c>
      <c r="D677" s="692" t="str">
        <f>IFERROR(VLOOKUP(M677,'02. MM-KLH'!$B$6:$T$823,16,0),"")</f>
        <v>TXD800-ND2</v>
      </c>
      <c r="E677" s="561" t="s">
        <v>4158</v>
      </c>
      <c r="F677" s="692"/>
      <c r="G677" s="692"/>
      <c r="H677" s="692" t="str">
        <f>IFERROR(VLOOKUP(M677,'02. MM-KLH'!$B$6:$T$823,17,0),"")</f>
        <v>380HP</v>
      </c>
      <c r="I677" s="987" t="str">
        <f>IFERROR(VLOOKUP(M677,'02. MM-KLH'!$B$6:$U$823,20,0),"")</f>
        <v/>
      </c>
      <c r="J677" s="986" t="str">
        <f>IFERROR(VLOOKUP(M677,'02. MM-KLH'!$B$6:$T$823,19,0),"")</f>
        <v>WP10380E53*1622B008536*</v>
      </c>
      <c r="K677" s="986" t="str">
        <f>IFERROR(VLOOKUP(M677,'02. MM-KLH'!$B$6:$T$823,18,0),"")</f>
        <v>RNHD30CWANT058649</v>
      </c>
      <c r="L677" s="692" t="str">
        <f>IFERROR(VLOOKUP(M677,'02. MM-KLH'!$B$6:$T$823,4,0),"")</f>
        <v/>
      </c>
      <c r="M677" s="488" t="s">
        <v>368</v>
      </c>
      <c r="N677" s="988">
        <f>IFERROR(VLOOKUP(M677,'02. MM-KLH'!$B$6:$T$823,15,0),"")</f>
        <v>2022</v>
      </c>
      <c r="O677" s="989">
        <f>IFERROR(VLOOKUP(M677,'02. MM-KLH'!$B$6:$T$823,9,0),"")</f>
        <v>46056</v>
      </c>
      <c r="P677" s="566">
        <v>16183.0</v>
      </c>
      <c r="Q677" s="692"/>
      <c r="R677" s="463" t="s">
        <v>4158</v>
      </c>
      <c r="S677" s="692"/>
      <c r="T677" s="692"/>
      <c r="U677" s="559" t="str">
        <f>IFERROR(VLOOKUP(M677,'02. MM-KLH'!$B$6:$T$823,5,0),"")</f>
        <v>MỚI</v>
      </c>
      <c r="V677" s="532" t="str">
        <f>IFERROR(VLOOKUP(M677,'02. MM-KLH'!$B$6:$T$823,8,0),"")</f>
        <v>CGTC DP</v>
      </c>
      <c r="W677" s="559" t="str">
        <f>IFERROR(VLOOKUP(V677,'NS QUẢN LÝ CG'!$A$4:$D$36,2,0),"")</f>
        <v>Phạm Ngọc Hải</v>
      </c>
      <c r="X677" s="559" t="str">
        <f>IFERROR(VLOOKUP(V677,'NS QUẢN LÝ CG'!$A$4:$D$36,4,0),"")</f>
        <v>Lô 85 DP4</v>
      </c>
      <c r="Y677" s="559" t="str">
        <f>IFERROR(VLOOKUP(V677,'NS QUẢN LÝ CG'!$A$4:$C$36,3,0),"")</f>
        <v>0825456565</v>
      </c>
      <c r="Z677" s="532" t="str">
        <f>IFERROR(VLOOKUP(M677,'02. MM-KLH'!$B$6:$T$823,3,0),"")</f>
        <v>A23-XCA-004</v>
      </c>
      <c r="AA677" s="559" t="str">
        <f t="shared" ref="AA677:AA686" si="47">SWITCH(LEFT(Z677,3),"A22","ADM","A23","DP","A24","LP","")</f>
        <v>DP</v>
      </c>
      <c r="AB677" s="532"/>
      <c r="AC677" s="532"/>
    </row>
    <row r="678" ht="18.0" customHeight="1">
      <c r="A678" s="532"/>
      <c r="B678" s="986" t="str">
        <f>IFERROR(VLOOKUP(M678,'02. MM-KLH'!$B$6:$T$823,6,0),"")</f>
        <v>Xe cẩu thùng FOTON AUMAN 8 tấn</v>
      </c>
      <c r="C678" s="566">
        <v>1.0</v>
      </c>
      <c r="D678" s="692" t="str">
        <f>IFERROR(VLOOKUP(M678,'02. MM-KLH'!$B$6:$T$823,16,0),"")</f>
        <v>C240</v>
      </c>
      <c r="E678" s="561" t="s">
        <v>4158</v>
      </c>
      <c r="F678" s="692"/>
      <c r="G678" s="692"/>
      <c r="H678" s="692" t="str">
        <f>IFERROR(VLOOKUP(M678,'02. MM-KLH'!$B$6:$T$823,17,0),"")</f>
        <v>270HP</v>
      </c>
      <c r="I678" s="987">
        <f>IFERROR(VLOOKUP(M678,'02. MM-KLH'!$B$6:$U$823,20,0),"")</f>
        <v>6</v>
      </c>
      <c r="J678" s="986" t="str">
        <f>IFERROR(VLOOKUP(M678,'02. MM-KLH'!$B$6:$T$823,19,0),"")</f>
        <v>ISDE2704082442137</v>
      </c>
      <c r="K678" s="986" t="str">
        <f>IFERROR(VLOOKUP(M678,'02. MM-KLH'!$B$6:$T$823,18,0),"")</f>
        <v>RNHA24FCAPT080028</v>
      </c>
      <c r="L678" s="692" t="str">
        <f>IFERROR(VLOOKUP(M678,'02. MM-KLH'!$B$6:$T$823,4,0),"")</f>
        <v/>
      </c>
      <c r="M678" s="488" t="s">
        <v>2586</v>
      </c>
      <c r="N678" s="988">
        <f>IFERROR(VLOOKUP(M678,'02. MM-KLH'!$B$6:$T$823,15,0),"")</f>
        <v>2023</v>
      </c>
      <c r="O678" s="989">
        <f>IFERROR(VLOOKUP(M678,'02. MM-KLH'!$B$6:$T$823,9,0),"")</f>
        <v>45757</v>
      </c>
      <c r="P678" s="692"/>
      <c r="Q678" s="692"/>
      <c r="R678" s="463" t="s">
        <v>4158</v>
      </c>
      <c r="S678" s="692"/>
      <c r="T678" s="692"/>
      <c r="U678" s="559" t="str">
        <f>IFERROR(VLOOKUP(M678,'02. MM-KLH'!$B$6:$T$823,5,0),"")</f>
        <v>MỚI</v>
      </c>
      <c r="V678" s="532" t="str">
        <f>IFERROR(VLOOKUP(M678,'02. MM-KLH'!$B$6:$T$823,8,0),"")</f>
        <v>Thagricons</v>
      </c>
      <c r="W678" s="559" t="str">
        <f>IFERROR(VLOOKUP(V678,'NS QUẢN LÝ CG'!$A$4:$D$36,2,0),"")</f>
        <v/>
      </c>
      <c r="X678" s="559" t="str">
        <f>IFERROR(VLOOKUP(V678,'NS QUẢN LÝ CG'!$A$4:$D$36,4,0),"")</f>
        <v/>
      </c>
      <c r="Y678" s="559" t="str">
        <f>IFERROR(VLOOKUP(V678,'NS QUẢN LÝ CG'!$A$4:$C$36,3,0),"")</f>
        <v/>
      </c>
      <c r="Z678" s="532" t="str">
        <f>IFERROR(VLOOKUP(M678,'02. MM-KLH'!$B$6:$T$823,3,0),"")</f>
        <v>A23-XCA-003</v>
      </c>
      <c r="AA678" s="559" t="str">
        <f t="shared" si="47"/>
        <v>DP</v>
      </c>
      <c r="AB678" s="532"/>
      <c r="AC678" s="532"/>
    </row>
    <row r="679" ht="18.0" customHeight="1">
      <c r="A679" s="532"/>
      <c r="B679" s="986" t="str">
        <f>IFERROR(VLOOKUP(M679,'02. MM-KLH'!$B$6:$T$823,6,0),"")</f>
        <v>Xe cẩu 5 tấn</v>
      </c>
      <c r="C679" s="566">
        <v>1.0</v>
      </c>
      <c r="D679" s="692" t="str">
        <f>IFERROR(VLOOKUP(M679,'02. MM-KLH'!$B$6:$T$823,16,0),"")</f>
        <v/>
      </c>
      <c r="E679" s="561" t="s">
        <v>4158</v>
      </c>
      <c r="F679" s="692"/>
      <c r="G679" s="692"/>
      <c r="H679" s="692" t="str">
        <f>IFERROR(VLOOKUP(M679,'02. MM-KLH'!$B$6:$T$823,17,0),"")</f>
        <v/>
      </c>
      <c r="I679" s="987">
        <f>IFERROR(VLOOKUP(M679,'02. MM-KLH'!$B$6:$U$823,20,0),"")</f>
        <v>6.5</v>
      </c>
      <c r="J679" s="986" t="str">
        <f>IFERROR(VLOOKUP(M679,'02. MM-KLH'!$B$6:$T$823,19,0),"")</f>
        <v>00227</v>
      </c>
      <c r="K679" s="986" t="str">
        <f>IFERROR(VLOOKUP(M679,'02. MM-KLH'!$B$6:$T$823,18,0),"")</f>
        <v>19APC027557</v>
      </c>
      <c r="L679" s="692" t="str">
        <f>IFERROR(VLOOKUP(M679,'02. MM-KLH'!$B$6:$T$823,4,0),"")</f>
        <v/>
      </c>
      <c r="M679" s="488" t="s">
        <v>2502</v>
      </c>
      <c r="N679" s="988">
        <f>IFERROR(VLOOKUP(M679,'02. MM-KLH'!$B$6:$T$823,15,0),"")</f>
        <v>2000</v>
      </c>
      <c r="O679" s="989">
        <f>IFERROR(VLOOKUP(M679,'02. MM-KLH'!$B$6:$T$823,9,0),"")</f>
        <v>43862</v>
      </c>
      <c r="P679" s="566" t="s">
        <v>1565</v>
      </c>
      <c r="Q679" s="692"/>
      <c r="R679" s="692"/>
      <c r="S679" s="463" t="s">
        <v>4158</v>
      </c>
      <c r="T679" s="692"/>
      <c r="U679" s="559" t="str">
        <f>IFERROR(VLOOKUP(M679,'02. MM-KLH'!$B$6:$T$823,5,0),"")</f>
        <v>ĐQSD</v>
      </c>
      <c r="V679" s="532" t="str">
        <f>IFERROR(VLOOKUP(M679,'02. MM-KLH'!$B$6:$T$823,8,0),"")</f>
        <v>Ban điện nước</v>
      </c>
      <c r="W679" s="559" t="str">
        <f>IFERROR(VLOOKUP(V679,'NS QUẢN LÝ CG'!$A$4:$D$36,2,0),"")</f>
        <v/>
      </c>
      <c r="X679" s="559" t="str">
        <f>IFERROR(VLOOKUP(V679,'NS QUẢN LÝ CG'!$A$4:$D$36,4,0),"")</f>
        <v/>
      </c>
      <c r="Y679" s="559" t="str">
        <f>IFERROR(VLOOKUP(V679,'NS QUẢN LÝ CG'!$A$4:$C$36,3,0),"")</f>
        <v/>
      </c>
      <c r="Z679" s="532" t="str">
        <f>IFERROR(VLOOKUP(M679,'02. MM-KLH'!$B$6:$T$823,3,0),"")</f>
        <v/>
      </c>
      <c r="AA679" s="559" t="str">
        <f t="shared" si="47"/>
        <v/>
      </c>
      <c r="AB679" s="532"/>
      <c r="AC679" s="532"/>
    </row>
    <row r="680" ht="18.0" customHeight="1">
      <c r="A680" s="532"/>
      <c r="B680" s="986" t="str">
        <f>IFERROR(VLOOKUP(M680,'02. MM-KLH'!$B$6:$T$823,6,0),"")</f>
        <v>Xe cẩu 3.5 tấn</v>
      </c>
      <c r="C680" s="566">
        <v>1.0</v>
      </c>
      <c r="D680" s="692" t="str">
        <f>IFERROR(VLOOKUP(M680,'02. MM-KLH'!$B$6:$T$823,16,0),"")</f>
        <v>Ollin 900B</v>
      </c>
      <c r="E680" s="561" t="s">
        <v>4158</v>
      </c>
      <c r="F680" s="692"/>
      <c r="G680" s="692"/>
      <c r="H680" s="692" t="str">
        <f>IFERROR(VLOOKUP(M680,'02. MM-KLH'!$B$6:$T$823,17,0),"")</f>
        <v>160HP</v>
      </c>
      <c r="I680" s="987">
        <f>IFERROR(VLOOKUP(M680,'02. MM-KLH'!$B$6:$U$823,20,0),"")</f>
        <v>5</v>
      </c>
      <c r="J680" s="986" t="str">
        <f>IFERROR(VLOOKUP(M680,'02. MM-KLH'!$B$6:$T$823,19,0),"")</f>
        <v>CCN</v>
      </c>
      <c r="K680" s="986" t="str">
        <f>IFERROR(VLOOKUP(M680,'02. MM-KLH'!$B$6:$T$823,18,0),"")</f>
        <v>RNHA1550BHC072222</v>
      </c>
      <c r="L680" s="692" t="str">
        <f>IFERROR(VLOOKUP(M680,'02. MM-KLH'!$B$6:$T$823,4,0),"")</f>
        <v/>
      </c>
      <c r="M680" s="488" t="s">
        <v>2508</v>
      </c>
      <c r="N680" s="988">
        <f>IFERROR(VLOOKUP(M680,'02. MM-KLH'!$B$6:$T$823,15,0),"")</f>
        <v>2017</v>
      </c>
      <c r="O680" s="989" t="str">
        <f>IFERROR(VLOOKUP(M680,'02. MM-KLH'!$B$6:$T$823,9,0),"")</f>
        <v/>
      </c>
      <c r="P680" s="566" t="s">
        <v>1565</v>
      </c>
      <c r="Q680" s="692"/>
      <c r="R680" s="692"/>
      <c r="S680" s="463" t="s">
        <v>4158</v>
      </c>
      <c r="T680" s="692"/>
      <c r="U680" s="559" t="str">
        <f>IFERROR(VLOOKUP(M680,'02. MM-KLH'!$B$6:$T$823,5,0),"")</f>
        <v>ĐQSD</v>
      </c>
      <c r="V680" s="532" t="str">
        <f>IFERROR(VLOOKUP(M680,'02. MM-KLH'!$B$6:$T$823,8,0),"")</f>
        <v>Ban điện nước</v>
      </c>
      <c r="W680" s="559" t="str">
        <f>IFERROR(VLOOKUP(V680,'NS QUẢN LÝ CG'!$A$4:$D$36,2,0),"")</f>
        <v/>
      </c>
      <c r="X680" s="559" t="str">
        <f>IFERROR(VLOOKUP(V680,'NS QUẢN LÝ CG'!$A$4:$D$36,4,0),"")</f>
        <v/>
      </c>
      <c r="Y680" s="559" t="str">
        <f>IFERROR(VLOOKUP(V680,'NS QUẢN LÝ CG'!$A$4:$C$36,3,0),"")</f>
        <v/>
      </c>
      <c r="Z680" s="532" t="str">
        <f>IFERROR(VLOOKUP(M680,'02. MM-KLH'!$B$6:$T$823,3,0),"")</f>
        <v/>
      </c>
      <c r="AA680" s="559" t="str">
        <f t="shared" si="47"/>
        <v/>
      </c>
      <c r="AB680" s="532"/>
      <c r="AC680" s="532"/>
    </row>
    <row r="681" ht="18.0" customHeight="1">
      <c r="A681" s="532"/>
      <c r="B681" s="986" t="str">
        <f>IFERROR(VLOOKUP(M681,'02. MM-KLH'!$B$6:$T$823,6,0),"")</f>
        <v>Xe cẩu Hyundai 5 tấn</v>
      </c>
      <c r="C681" s="566">
        <v>1.0</v>
      </c>
      <c r="D681" s="692" t="str">
        <f>IFERROR(VLOOKUP(M681,'02. MM-KLH'!$B$6:$T$823,16,0),"")</f>
        <v/>
      </c>
      <c r="E681" s="561" t="s">
        <v>4158</v>
      </c>
      <c r="F681" s="692"/>
      <c r="G681" s="692"/>
      <c r="H681" s="692" t="str">
        <f>IFERROR(VLOOKUP(M681,'02. MM-KLH'!$B$6:$T$823,17,0),"")</f>
        <v/>
      </c>
      <c r="I681" s="987">
        <f>IFERROR(VLOOKUP(M681,'02. MM-KLH'!$B$6:$U$823,20,0),"")</f>
        <v>4.2</v>
      </c>
      <c r="J681" s="986">
        <f>IFERROR(VLOOKUP(M681,'02. MM-KLH'!$B$6:$T$823,19,0),"")</f>
        <v>107291</v>
      </c>
      <c r="K681" s="986" t="str">
        <f>IFERROR(VLOOKUP(M681,'02. MM-KLH'!$B$6:$T$823,18,0),"")</f>
        <v>CCN</v>
      </c>
      <c r="L681" s="692" t="str">
        <f>IFERROR(VLOOKUP(M681,'02. MM-KLH'!$B$6:$T$823,4,0),"")</f>
        <v/>
      </c>
      <c r="M681" s="490" t="s">
        <v>2561</v>
      </c>
      <c r="N681" s="988" t="str">
        <f>IFERROR(VLOOKUP(M681,'02. MM-KLH'!$B$6:$T$823,15,0),"")</f>
        <v/>
      </c>
      <c r="O681" s="989" t="str">
        <f>IFERROR(VLOOKUP(M681,'02. MM-KLH'!$B$6:$T$823,9,0),"")</f>
        <v/>
      </c>
      <c r="P681" s="566" t="s">
        <v>1565</v>
      </c>
      <c r="Q681" s="692"/>
      <c r="R681" s="463" t="s">
        <v>4158</v>
      </c>
      <c r="S681" s="692"/>
      <c r="T681" s="692"/>
      <c r="U681" s="559" t="str">
        <f>IFERROR(VLOOKUP(M681,'02. MM-KLH'!$B$6:$T$823,5,0),"")</f>
        <v>ĐQSD</v>
      </c>
      <c r="V681" s="532" t="str">
        <f>IFERROR(VLOOKUP(M681,'02. MM-KLH'!$B$6:$T$823,8,0),"")</f>
        <v>Thagricons</v>
      </c>
      <c r="W681" s="559" t="str">
        <f>IFERROR(VLOOKUP(V681,'NS QUẢN LÝ CG'!$A$4:$D$36,2,0),"")</f>
        <v/>
      </c>
      <c r="X681" s="559" t="str">
        <f>IFERROR(VLOOKUP(V681,'NS QUẢN LÝ CG'!$A$4:$D$36,4,0),"")</f>
        <v/>
      </c>
      <c r="Y681" s="559" t="str">
        <f>IFERROR(VLOOKUP(V681,'NS QUẢN LÝ CG'!$A$4:$C$36,3,0),"")</f>
        <v/>
      </c>
      <c r="Z681" s="532" t="str">
        <f>IFERROR(VLOOKUP(M681,'02. MM-KLH'!$B$6:$T$823,3,0),"")</f>
        <v>A22-XCA-004</v>
      </c>
      <c r="AA681" s="559" t="str">
        <f t="shared" si="47"/>
        <v>ADM</v>
      </c>
      <c r="AB681" s="532"/>
      <c r="AC681" s="532"/>
    </row>
    <row r="682" ht="18.0" customHeight="1">
      <c r="A682" s="532"/>
      <c r="B682" s="986" t="str">
        <f>IFERROR(VLOOKUP(M682,'02. MM-KLH'!$B$6:$T$823,6,0),"")</f>
        <v>Xe cẩu ZOOMLION 55 tấn</v>
      </c>
      <c r="C682" s="566">
        <v>1.0</v>
      </c>
      <c r="D682" s="692" t="str">
        <f>IFERROR(VLOOKUP(M682,'02. MM-KLH'!$B$6:$T$823,16,0),"")</f>
        <v>ZTC550V532-1</v>
      </c>
      <c r="E682" s="561" t="s">
        <v>4158</v>
      </c>
      <c r="F682" s="692"/>
      <c r="G682" s="692"/>
      <c r="H682" s="692" t="str">
        <f>IFERROR(VLOOKUP(M682,'02. MM-KLH'!$B$6:$T$823,17,0),"")</f>
        <v>336HP</v>
      </c>
      <c r="I682" s="987">
        <f>IFERROR(VLOOKUP(M682,'02. MM-KLH'!$B$6:$U$823,20,0),"")</f>
        <v>7.5</v>
      </c>
      <c r="J682" s="986" t="str">
        <f>IFERROR(VLOOKUP(M682,'02. MM-KLH'!$B$6:$T$823,19,0),"")</f>
        <v>WP103361623G017019</v>
      </c>
      <c r="K682" s="986" t="str">
        <f>IFERROR(VLOOKUP(M682,'02. MM-KLH'!$B$6:$T$823,18,0),"")</f>
        <v>L5E6H4D33PA014676</v>
      </c>
      <c r="L682" s="692" t="str">
        <f>IFERROR(VLOOKUP(M682,'02. MM-KLH'!$B$6:$T$823,4,0),"")</f>
        <v/>
      </c>
      <c r="M682" s="488" t="s">
        <v>2564</v>
      </c>
      <c r="N682" s="988">
        <f>IFERROR(VLOOKUP(M682,'02. MM-KLH'!$B$6:$T$823,15,0),"")</f>
        <v>2023</v>
      </c>
      <c r="O682" s="989">
        <f>IFERROR(VLOOKUP(M682,'02. MM-KLH'!$B$6:$T$823,9,0),"")</f>
        <v>45478</v>
      </c>
      <c r="P682" s="692"/>
      <c r="Q682" s="692"/>
      <c r="R682" s="463" t="s">
        <v>4158</v>
      </c>
      <c r="S682" s="692"/>
      <c r="T682" s="692"/>
      <c r="U682" s="559" t="str">
        <f>IFERROR(VLOOKUP(M682,'02. MM-KLH'!$B$6:$T$823,5,0),"")</f>
        <v>MỚI</v>
      </c>
      <c r="V682" s="532" t="str">
        <f>IFERROR(VLOOKUP(M682,'02. MM-KLH'!$B$6:$T$823,8,0),"")</f>
        <v>Thagricons</v>
      </c>
      <c r="W682" s="559" t="str">
        <f>IFERROR(VLOOKUP(V682,'NS QUẢN LÝ CG'!$A$4:$D$36,2,0),"")</f>
        <v/>
      </c>
      <c r="X682" s="559" t="str">
        <f>IFERROR(VLOOKUP(V682,'NS QUẢN LÝ CG'!$A$4:$D$36,4,0),"")</f>
        <v/>
      </c>
      <c r="Y682" s="559" t="str">
        <f>IFERROR(VLOOKUP(V682,'NS QUẢN LÝ CG'!$A$4:$C$36,3,0),"")</f>
        <v/>
      </c>
      <c r="Z682" s="532" t="str">
        <f>IFERROR(VLOOKUP(M682,'02. MM-KLH'!$B$6:$T$823,3,0),"")</f>
        <v>A22-XCA-002</v>
      </c>
      <c r="AA682" s="559" t="str">
        <f t="shared" si="47"/>
        <v>ADM</v>
      </c>
      <c r="AB682" s="532"/>
      <c r="AC682" s="532"/>
    </row>
    <row r="683" ht="18.0" customHeight="1">
      <c r="A683" s="532"/>
      <c r="B683" s="986" t="str">
        <f>IFERROR(VLOOKUP(M683,'02. MM-KLH'!$B$6:$T$823,6,0),"")</f>
        <v>Xe cẩu 3.5 tấn</v>
      </c>
      <c r="C683" s="566">
        <v>1.0</v>
      </c>
      <c r="D683" s="692" t="str">
        <f>IFERROR(VLOOKUP(M683,'02. MM-KLH'!$B$6:$T$823,16,0),"")</f>
        <v>Ollin 900B</v>
      </c>
      <c r="E683" s="561" t="s">
        <v>4158</v>
      </c>
      <c r="F683" s="692"/>
      <c r="G683" s="692"/>
      <c r="H683" s="692" t="str">
        <f>IFERROR(VLOOKUP(M683,'02. MM-KLH'!$B$6:$T$823,17,0),"")</f>
        <v>160HP</v>
      </c>
      <c r="I683" s="987">
        <f>IFERROR(VLOOKUP(M683,'02. MM-KLH'!$B$6:$U$823,20,0),"")</f>
        <v>5</v>
      </c>
      <c r="J683" s="986" t="str">
        <f>IFERROR(VLOOKUP(M683,'02. MM-KLH'!$B$6:$T$823,19,0),"")</f>
        <v>YC4E160-33E37F2H00227</v>
      </c>
      <c r="K683" s="986" t="str">
        <f>IFERROR(VLOOKUP(M683,'02. MM-KLH'!$B$6:$T$823,18,0),"")</f>
        <v>RNHA1550BHC063037</v>
      </c>
      <c r="L683" s="692" t="str">
        <f>IFERROR(VLOOKUP(M683,'02. MM-KLH'!$B$6:$T$823,4,0),"")</f>
        <v/>
      </c>
      <c r="M683" s="488" t="s">
        <v>2554</v>
      </c>
      <c r="N683" s="988">
        <f>IFERROR(VLOOKUP(M683,'02. MM-KLH'!$B$6:$T$823,15,0),"")</f>
        <v>2018</v>
      </c>
      <c r="O683" s="989" t="str">
        <f>IFERROR(VLOOKUP(M683,'02. MM-KLH'!$B$6:$T$823,9,0),"")</f>
        <v>30/12/2024</v>
      </c>
      <c r="P683" s="566" t="s">
        <v>1565</v>
      </c>
      <c r="Q683" s="692"/>
      <c r="R683" s="463" t="s">
        <v>4158</v>
      </c>
      <c r="S683" s="692"/>
      <c r="T683" s="692"/>
      <c r="U683" s="559" t="str">
        <f>IFERROR(VLOOKUP(M683,'02. MM-KLH'!$B$6:$T$823,5,0),"")</f>
        <v>ĐQSD</v>
      </c>
      <c r="V683" s="532" t="str">
        <f>IFERROR(VLOOKUP(M683,'02. MM-KLH'!$B$6:$T$823,8,0),"")</f>
        <v>Xưởng Cơ khí DP</v>
      </c>
      <c r="W683" s="559" t="str">
        <f>IFERROR(VLOOKUP(V683,'NS QUẢN LÝ CG'!$A$4:$D$36,2,0),"")</f>
        <v/>
      </c>
      <c r="X683" s="559" t="str">
        <f>IFERROR(VLOOKUP(V683,'NS QUẢN LÝ CG'!$A$4:$D$36,4,0),"")</f>
        <v/>
      </c>
      <c r="Y683" s="559" t="str">
        <f>IFERROR(VLOOKUP(V683,'NS QUẢN LÝ CG'!$A$4:$C$36,3,0),"")</f>
        <v/>
      </c>
      <c r="Z683" s="532" t="str">
        <f>IFERROR(VLOOKUP(M683,'02. MM-KLH'!$B$6:$T$823,3,0),"")</f>
        <v/>
      </c>
      <c r="AA683" s="559" t="str">
        <f t="shared" si="47"/>
        <v/>
      </c>
      <c r="AB683" s="532"/>
      <c r="AC683" s="532"/>
    </row>
    <row r="684" ht="18.0" customHeight="1">
      <c r="A684" s="532"/>
      <c r="B684" s="986" t="str">
        <f>IFERROR(VLOOKUP(M684,'02. MM-KLH'!$B$6:$T$823,6,0),"")</f>
        <v>Xe cẩu 3.5 tấn</v>
      </c>
      <c r="C684" s="566">
        <v>1.0</v>
      </c>
      <c r="D684" s="692" t="str">
        <f>IFERROR(VLOOKUP(M684,'02. MM-KLH'!$B$6:$T$823,16,0),"")</f>
        <v>Ollin 900B</v>
      </c>
      <c r="E684" s="561" t="s">
        <v>4158</v>
      </c>
      <c r="F684" s="692"/>
      <c r="G684" s="692"/>
      <c r="H684" s="692" t="str">
        <f>IFERROR(VLOOKUP(M684,'02. MM-KLH'!$B$6:$T$823,17,0),"")</f>
        <v>160HP</v>
      </c>
      <c r="I684" s="987">
        <f>IFERROR(VLOOKUP(M684,'02. MM-KLH'!$B$6:$U$823,20,0),"")</f>
        <v>5</v>
      </c>
      <c r="J684" s="986" t="str">
        <f>IFERROR(VLOOKUP(M684,'02. MM-KLH'!$B$6:$T$823,19,0),"")</f>
        <v>YC4E160-33E37F2H00201</v>
      </c>
      <c r="K684" s="986" t="str">
        <f>IFERROR(VLOOKUP(M684,'02. MM-KLH'!$B$6:$T$823,18,0),"")</f>
        <v>RNHA1550BHC063042</v>
      </c>
      <c r="L684" s="692" t="str">
        <f>IFERROR(VLOOKUP(M684,'02. MM-KLH'!$B$6:$T$823,4,0),"")</f>
        <v/>
      </c>
      <c r="M684" s="488" t="s">
        <v>2572</v>
      </c>
      <c r="N684" s="988">
        <f>IFERROR(VLOOKUP(M684,'02. MM-KLH'!$B$6:$T$823,15,0),"")</f>
        <v>2018</v>
      </c>
      <c r="O684" s="989">
        <f>IFERROR(VLOOKUP(M684,'02. MM-KLH'!$B$6:$T$823,9,0),"")</f>
        <v>45329</v>
      </c>
      <c r="P684" s="566" t="s">
        <v>1565</v>
      </c>
      <c r="Q684" s="692"/>
      <c r="R684" s="463" t="s">
        <v>4158</v>
      </c>
      <c r="S684" s="692"/>
      <c r="T684" s="692"/>
      <c r="U684" s="559" t="str">
        <f>IFERROR(VLOOKUP(M684,'02. MM-KLH'!$B$6:$T$823,5,0),"")</f>
        <v>ĐQSD</v>
      </c>
      <c r="V684" s="532" t="str">
        <f>IFERROR(VLOOKUP(M684,'02. MM-KLH'!$B$6:$T$823,8,0),"")</f>
        <v>Thagricons</v>
      </c>
      <c r="W684" s="559" t="str">
        <f>IFERROR(VLOOKUP(V684,'NS QUẢN LÝ CG'!$A$4:$D$36,2,0),"")</f>
        <v/>
      </c>
      <c r="X684" s="559" t="str">
        <f>IFERROR(VLOOKUP(V684,'NS QUẢN LÝ CG'!$A$4:$D$36,4,0),"")</f>
        <v/>
      </c>
      <c r="Y684" s="559" t="str">
        <f>IFERROR(VLOOKUP(V684,'NS QUẢN LÝ CG'!$A$4:$C$36,3,0),"")</f>
        <v/>
      </c>
      <c r="Z684" s="532" t="str">
        <f>IFERROR(VLOOKUP(M684,'02. MM-KLH'!$B$6:$T$823,3,0),"")</f>
        <v>A22-XCA-006</v>
      </c>
      <c r="AA684" s="559" t="str">
        <f t="shared" si="47"/>
        <v>ADM</v>
      </c>
      <c r="AB684" s="532"/>
      <c r="AC684" s="532"/>
    </row>
    <row r="685" ht="18.0" customHeight="1">
      <c r="A685" s="532"/>
      <c r="B685" s="986" t="str">
        <f>IFERROR(VLOOKUP(M685,'02. MM-KLH'!$B$6:$T$823,6,0),"")</f>
        <v>Xe cẩu thùng FOTON AUMAN 8 tấn</v>
      </c>
      <c r="C685" s="566">
        <v>1.0</v>
      </c>
      <c r="D685" s="692" t="str">
        <f>IFERROR(VLOOKUP(M685,'02. MM-KLH'!$B$6:$T$823,16,0),"")</f>
        <v> C240</v>
      </c>
      <c r="E685" s="561" t="s">
        <v>4158</v>
      </c>
      <c r="F685" s="692"/>
      <c r="G685" s="692"/>
      <c r="H685" s="692" t="str">
        <f>IFERROR(VLOOKUP(M685,'02. MM-KLH'!$B$6:$T$823,17,0),"")</f>
        <v>266HP</v>
      </c>
      <c r="I685" s="987">
        <f>IFERROR(VLOOKUP(M685,'02. MM-KLH'!$B$6:$U$823,20,0),"")</f>
        <v>6</v>
      </c>
      <c r="J685" s="986">
        <f>IFERROR(VLOOKUP(M685,'02. MM-KLH'!$B$6:$T$823,19,0),"")</f>
        <v>82162916</v>
      </c>
      <c r="K685" s="986" t="str">
        <f>IFERROR(VLOOKUP(M685,'02. MM-KLH'!$B$6:$T$823,18,0),"")</f>
        <v>RNHA24FCANT056597</v>
      </c>
      <c r="L685" s="692" t="str">
        <f>IFERROR(VLOOKUP(M685,'02. MM-KLH'!$B$6:$T$823,4,0),"")</f>
        <v/>
      </c>
      <c r="M685" s="488" t="s">
        <v>2578</v>
      </c>
      <c r="N685" s="988">
        <f>IFERROR(VLOOKUP(M685,'02. MM-KLH'!$B$6:$T$823,15,0),"")</f>
        <v>2022</v>
      </c>
      <c r="O685" s="989" t="str">
        <f>IFERROR(VLOOKUP(M685,'02. MM-KLH'!$B$6:$T$823,9,0),"")</f>
        <v>21/10/2024</v>
      </c>
      <c r="P685" s="692"/>
      <c r="Q685" s="692"/>
      <c r="R685" s="463" t="s">
        <v>4158</v>
      </c>
      <c r="S685" s="692"/>
      <c r="T685" s="692"/>
      <c r="U685" s="559" t="str">
        <f>IFERROR(VLOOKUP(M685,'02. MM-KLH'!$B$6:$T$823,5,0),"")</f>
        <v>MỚI</v>
      </c>
      <c r="V685" s="532" t="str">
        <f>IFERROR(VLOOKUP(M685,'02. MM-KLH'!$B$6:$T$823,8,0),"")</f>
        <v>Thagricons</v>
      </c>
      <c r="W685" s="559" t="str">
        <f>IFERROR(VLOOKUP(V685,'NS QUẢN LÝ CG'!$A$4:$D$36,2,0),"")</f>
        <v/>
      </c>
      <c r="X685" s="559" t="str">
        <f>IFERROR(VLOOKUP(V685,'NS QUẢN LÝ CG'!$A$4:$D$36,4,0),"")</f>
        <v/>
      </c>
      <c r="Y685" s="559" t="str">
        <f>IFERROR(VLOOKUP(V685,'NS QUẢN LÝ CG'!$A$4:$C$36,3,0),"")</f>
        <v/>
      </c>
      <c r="Z685" s="532" t="str">
        <f>IFERROR(VLOOKUP(M685,'02. MM-KLH'!$B$6:$T$823,3,0),"")</f>
        <v>A22-XCA-009</v>
      </c>
      <c r="AA685" s="559" t="str">
        <f t="shared" si="47"/>
        <v>ADM</v>
      </c>
      <c r="AB685" s="532"/>
      <c r="AC685" s="532"/>
    </row>
    <row r="686" ht="18.0" customHeight="1">
      <c r="A686" s="532"/>
      <c r="B686" s="986" t="str">
        <f>IFERROR(VLOOKUP(M686,'02. MM-KLH'!$B$6:$T$823,6,0),"")</f>
        <v>Xe cẩu AUMAN 15 tấn</v>
      </c>
      <c r="C686" s="566">
        <v>1.0</v>
      </c>
      <c r="D686" s="692" t="str">
        <f>IFERROR(VLOOKUP(M686,'02. MM-KLH'!$B$6:$T$823,16,0),"")</f>
        <v>C34</v>
      </c>
      <c r="E686" s="561" t="s">
        <v>4158</v>
      </c>
      <c r="F686" s="692"/>
      <c r="G686" s="692"/>
      <c r="H686" s="692" t="str">
        <f>IFERROR(VLOOKUP(M686,'02. MM-KLH'!$B$6:$T$823,17,0),"")</f>
        <v>335HP</v>
      </c>
      <c r="I686" s="987">
        <f>IFERROR(VLOOKUP(M686,'02. MM-KLH'!$B$6:$U$823,20,0),"")</f>
        <v>7.1</v>
      </c>
      <c r="J686" s="986" t="str">
        <f>IFERROR(VLOOKUP(M686,'02. MM-KLH'!$B$6:$T$823,19,0),"")</f>
        <v>000AFC072313</v>
      </c>
      <c r="K686" s="986" t="str">
        <f>IFERROR(VLOOKUP(M686,'02. MM-KLH'!$B$6:$T$823,18,0),"")</f>
        <v>21615E037691 </v>
      </c>
      <c r="L686" s="692" t="str">
        <f>IFERROR(VLOOKUP(M686,'02. MM-KLH'!$B$6:$T$823,4,0),"")</f>
        <v/>
      </c>
      <c r="M686" s="490" t="s">
        <v>2593</v>
      </c>
      <c r="N686" s="988" t="str">
        <f>IFERROR(VLOOKUP(M686,'02. MM-KLH'!$B$6:$T$823,15,0),"")</f>
        <v/>
      </c>
      <c r="O686" s="989" t="str">
        <f>IFERROR(VLOOKUP(M686,'02. MM-KLH'!$B$6:$T$823,9,0),"")</f>
        <v/>
      </c>
      <c r="P686" s="566" t="s">
        <v>1565</v>
      </c>
      <c r="Q686" s="692"/>
      <c r="R686" s="463" t="s">
        <v>4158</v>
      </c>
      <c r="S686" s="692"/>
      <c r="T686" s="692"/>
      <c r="U686" s="559" t="str">
        <f>IFERROR(VLOOKUP(M686,'02. MM-KLH'!$B$6:$T$823,5,0),"")</f>
        <v>ĐQSD</v>
      </c>
      <c r="V686" s="532" t="str">
        <f>IFERROR(VLOOKUP(M686,'02. MM-KLH'!$B$6:$T$823,8,0),"")</f>
        <v>Thagricons</v>
      </c>
      <c r="W686" s="559" t="str">
        <f>IFERROR(VLOOKUP(V686,'NS QUẢN LÝ CG'!$A$4:$D$36,2,0),"")</f>
        <v/>
      </c>
      <c r="X686" s="559" t="str">
        <f>IFERROR(VLOOKUP(V686,'NS QUẢN LÝ CG'!$A$4:$D$36,4,0),"")</f>
        <v/>
      </c>
      <c r="Y686" s="559" t="str">
        <f>IFERROR(VLOOKUP(V686,'NS QUẢN LÝ CG'!$A$4:$C$36,3,0),"")</f>
        <v/>
      </c>
      <c r="Z686" s="532" t="str">
        <f>IFERROR(VLOOKUP(M686,'02. MM-KLH'!$B$6:$T$823,3,0),"")</f>
        <v/>
      </c>
      <c r="AA686" s="559" t="str">
        <f t="shared" si="47"/>
        <v/>
      </c>
      <c r="AB686" s="532"/>
      <c r="AC686" s="532"/>
    </row>
    <row r="687">
      <c r="A687" s="523"/>
      <c r="B687" s="612" t="str">
        <f>IFERROR(VLOOKUP(M687,'02. MM-KLH'!$B$6:$T$823,6,0),"")</f>
        <v/>
      </c>
      <c r="C687" s="566"/>
      <c r="D687" s="613" t="str">
        <f>IFERROR(VLOOKUP(M687,'02. MM-KLH'!$B$6:$T$823,16,0),"")</f>
        <v/>
      </c>
      <c r="E687" s="613"/>
      <c r="F687" s="613"/>
      <c r="G687" s="613"/>
      <c r="H687" s="613" t="str">
        <f>IFERROR(VLOOKUP(M687,'02. MM-KLH'!$B$6:$T$823,17,0),"")</f>
        <v/>
      </c>
      <c r="I687" s="614" t="str">
        <f>IFERROR(VLOOKUP(M687,'02. MM-KLH'!$B$6:$U$823,20,0),"")</f>
        <v/>
      </c>
      <c r="J687" s="612" t="str">
        <f>IFERROR(VLOOKUP(M687,'02. MM-KLH'!$B$6:$T$823,19,0),"")</f>
        <v/>
      </c>
      <c r="K687" s="612" t="str">
        <f>IFERROR(VLOOKUP(M687,'02. MM-KLH'!$B$6:$T$823,18,0),"")</f>
        <v/>
      </c>
      <c r="L687" s="613" t="str">
        <f>IFERROR(VLOOKUP(M687,'02. MM-KLH'!$B$6:$T$823,4,0),"")</f>
        <v/>
      </c>
      <c r="M687" s="488"/>
      <c r="N687" s="615" t="str">
        <f>IFERROR(VLOOKUP(M687,'02. MM-KLH'!$B$6:$T$823,15,0),"")</f>
        <v/>
      </c>
      <c r="O687" s="616" t="str">
        <f>IFERROR(VLOOKUP(M687,'02. MM-KLH'!$B$6:$T$823,9,0),"")</f>
        <v/>
      </c>
      <c r="P687" s="613"/>
      <c r="Q687" s="613"/>
      <c r="R687" s="613"/>
      <c r="S687" s="613"/>
      <c r="T687" s="613"/>
      <c r="U687" s="613" t="str">
        <f>IFERROR(VLOOKUP(M687,'02. MM-KLH'!$B$6:$T$823,2,0),"")</f>
        <v/>
      </c>
      <c r="V687" s="523" t="str">
        <f>IFERROR(VLOOKUP(M687,'02. MM-KLH'!$B$6:$T$823,8,0),"")</f>
        <v/>
      </c>
      <c r="W687" s="559" t="str">
        <f>IFERROR(VLOOKUP(V687,'NS QUẢN LÝ CG'!$A$4:$D$36,2,0),"")</f>
        <v/>
      </c>
      <c r="X687" s="559" t="str">
        <f>IFERROR(VLOOKUP(V687,'NS QUẢN LÝ CG'!$A$4:$D$36,4,0),"")</f>
        <v/>
      </c>
      <c r="Y687" s="613"/>
      <c r="Z687" s="523" t="str">
        <f>IFERROR(VLOOKUP(M687,'02. MM-KLH'!$B$6:$T$823,3,0),"")</f>
        <v/>
      </c>
      <c r="AA687" s="613"/>
      <c r="AB687" s="523"/>
      <c r="AC687" s="523"/>
    </row>
    <row r="688">
      <c r="A688" s="542" t="s">
        <v>5816</v>
      </c>
      <c r="B688" s="543" t="s">
        <v>7110</v>
      </c>
      <c r="C688" s="544">
        <f>COUNTA(B689:B719)</f>
        <v>29</v>
      </c>
      <c r="D688" s="545"/>
      <c r="E688" s="545"/>
      <c r="F688" s="545"/>
      <c r="G688" s="545"/>
      <c r="H688" s="545"/>
      <c r="I688" s="546"/>
      <c r="J688" s="547"/>
      <c r="K688" s="547"/>
      <c r="L688" s="545"/>
      <c r="M688" s="545"/>
      <c r="N688" s="545"/>
      <c r="O688" s="548"/>
      <c r="P688" s="545"/>
      <c r="Q688" s="545"/>
      <c r="R688" s="545"/>
      <c r="S688" s="545"/>
      <c r="T688" s="545"/>
      <c r="U688" s="545"/>
      <c r="V688" s="546"/>
      <c r="W688" s="545"/>
      <c r="X688" s="545"/>
      <c r="Y688" s="545"/>
      <c r="Z688" s="546"/>
      <c r="AA688" s="545"/>
      <c r="AB688" s="546"/>
      <c r="AC688" s="549"/>
    </row>
    <row r="689">
      <c r="A689" s="523"/>
      <c r="B689" s="612" t="str">
        <f>IFERROR(VLOOKUP(M689,'02. MM-KLH'!$B$6:$T$823,6,0),"")</f>
        <v>Xe clethon</v>
      </c>
      <c r="C689" s="566">
        <v>1.0</v>
      </c>
      <c r="D689" s="613" t="str">
        <f>IFERROR(VLOOKUP(M689,'02. MM-KLH'!$B$6:$T$823,16,0),"")</f>
        <v>TF150NL-PR2</v>
      </c>
      <c r="E689" s="561" t="s">
        <v>4158</v>
      </c>
      <c r="F689" s="613"/>
      <c r="G689" s="613"/>
      <c r="H689" s="613" t="str">
        <f>IFERROR(VLOOKUP(M689,'02. MM-KLH'!$B$6:$T$823,17,0),"")</f>
        <v>15HP</v>
      </c>
      <c r="I689" s="614">
        <f>IFERROR(VLOOKUP(M689,'02. MM-KLH'!$B$6:$U$823,20,0),"")</f>
        <v>0.68</v>
      </c>
      <c r="J689" s="612" t="str">
        <f>IFERROR(VLOOKUP(M689,'02. MM-KLH'!$B$6:$T$823,19,0),"")</f>
        <v>B2212L</v>
      </c>
      <c r="K689" s="612">
        <f>IFERROR(VLOOKUP(M689,'02. MM-KLH'!$B$6:$T$823,18,0),"")</f>
        <v>203084</v>
      </c>
      <c r="L689" s="613" t="str">
        <f>IFERROR(VLOOKUP(M689,'02. MM-KLH'!$B$6:$T$823,4,0),"")</f>
        <v/>
      </c>
      <c r="M689" s="488" t="s">
        <v>1301</v>
      </c>
      <c r="N689" s="615">
        <f>IFERROR(VLOOKUP(M689,'02. MM-KLH'!$B$6:$T$823,15,0),"")</f>
        <v>2022</v>
      </c>
      <c r="O689" s="616" t="str">
        <f>IFERROR(VLOOKUP(M689,'02. MM-KLH'!$B$6:$T$823,9,0),"")</f>
        <v>29/07/2025</v>
      </c>
      <c r="P689" s="613"/>
      <c r="Q689" s="566"/>
      <c r="R689" s="566" t="s">
        <v>4158</v>
      </c>
      <c r="S689" s="613"/>
      <c r="T689" s="613"/>
      <c r="U689" s="559" t="str">
        <f>IFERROR(VLOOKUP(M689,'02. MM-KLH'!$B$6:$T$823,5,0),"")</f>
        <v>MỚI</v>
      </c>
      <c r="V689" s="523" t="str">
        <f>IFERROR(VLOOKUP(M689,'02. MM-KLH'!$B$6:$T$823,8,0),"")</f>
        <v>XN Chuối LP1</v>
      </c>
      <c r="W689" s="559" t="str">
        <f>IFERROR(VLOOKUP(V689,'NS QUẢN LÝ CG'!$A$4:$D$36,2,0),"")</f>
        <v>Nguyễn Ngọc Nhân</v>
      </c>
      <c r="X689" s="559" t="str">
        <f>IFERROR(VLOOKUP(V689,'NS QUẢN LÝ CG'!$A$4:$D$36,4,0),"")</f>
        <v>Lô 7 LP1</v>
      </c>
      <c r="Y689" s="559" t="str">
        <f>IFERROR(VLOOKUP(V689,'NS QUẢN LÝ CG'!$A$4:$C$36,3,0),"")</f>
        <v>0979578112</v>
      </c>
      <c r="Z689" s="523" t="str">
        <f>IFERROR(VLOOKUP(M689,'02. MM-KLH'!$B$6:$T$823,3,0),"")</f>
        <v>A23-CLT-015</v>
      </c>
      <c r="AA689" s="559" t="str">
        <f t="shared" ref="AA689:AA717" si="48">SWITCH(LEFT(Z689,3),"A22","ADM","A23","DP","A24","LP","")</f>
        <v>DP</v>
      </c>
      <c r="AB689" s="523"/>
      <c r="AC689" s="523"/>
    </row>
    <row r="690">
      <c r="A690" s="523"/>
      <c r="B690" s="612" t="str">
        <f>IFERROR(VLOOKUP(M690,'02. MM-KLH'!$B$6:$T$823,6,0),"")</f>
        <v>Xe clethon</v>
      </c>
      <c r="C690" s="566">
        <v>1.0</v>
      </c>
      <c r="D690" s="613" t="str">
        <f>IFERROR(VLOOKUP(M690,'02. MM-KLH'!$B$6:$T$823,16,0),"")</f>
        <v>TF150NL-PR2</v>
      </c>
      <c r="E690" s="561" t="s">
        <v>4158</v>
      </c>
      <c r="F690" s="613"/>
      <c r="G690" s="613"/>
      <c r="H690" s="613" t="str">
        <f>IFERROR(VLOOKUP(M690,'02. MM-KLH'!$B$6:$T$823,17,0),"")</f>
        <v>15HP</v>
      </c>
      <c r="I690" s="614">
        <f>IFERROR(VLOOKUP(M690,'02. MM-KLH'!$B$6:$U$823,20,0),"")</f>
        <v>0.5</v>
      </c>
      <c r="J690" s="612" t="str">
        <f>IFERROR(VLOOKUP(M690,'02. MM-KLH'!$B$6:$T$823,19,0),"")</f>
        <v>B1320M</v>
      </c>
      <c r="K690" s="612">
        <f>IFERROR(VLOOKUP(M690,'02. MM-KLH'!$B$6:$T$823,18,0),"")</f>
        <v>203065</v>
      </c>
      <c r="L690" s="613" t="str">
        <f>IFERROR(VLOOKUP(M690,'02. MM-KLH'!$B$6:$T$823,4,0),"")</f>
        <v/>
      </c>
      <c r="M690" s="488" t="s">
        <v>944</v>
      </c>
      <c r="N690" s="615">
        <f>IFERROR(VLOOKUP(M690,'02. MM-KLH'!$B$6:$T$823,15,0),"")</f>
        <v>2022</v>
      </c>
      <c r="O690" s="616" t="str">
        <f>IFERROR(VLOOKUP(M690,'02. MM-KLH'!$B$6:$T$823,9,0),"")</f>
        <v>24/07/2025</v>
      </c>
      <c r="P690" s="613"/>
      <c r="Q690" s="566"/>
      <c r="R690" s="566" t="s">
        <v>4158</v>
      </c>
      <c r="S690" s="613"/>
      <c r="T690" s="613"/>
      <c r="U690" s="559" t="str">
        <f>IFERROR(VLOOKUP(M690,'02. MM-KLH'!$B$6:$T$823,5,0),"")</f>
        <v>MỚI</v>
      </c>
      <c r="V690" s="523" t="str">
        <f>IFERROR(VLOOKUP(M690,'02. MM-KLH'!$B$6:$T$823,8,0),"")</f>
        <v>XN Chuối DP1</v>
      </c>
      <c r="W690" s="559" t="str">
        <f>IFERROR(VLOOKUP(V690,'NS QUẢN LÝ CG'!$A$4:$D$36,2,0),"")</f>
        <v>Thái Cao Lưu</v>
      </c>
      <c r="X690" s="559" t="str">
        <f>IFERROR(VLOOKUP(V690,'NS QUẢN LÝ CG'!$A$4:$D$36,4,0),"")</f>
        <v>Lô 21 DP1</v>
      </c>
      <c r="Y690" s="559" t="str">
        <f>IFERROR(VLOOKUP(V690,'NS QUẢN LÝ CG'!$A$4:$C$36,3,0),"")</f>
        <v>0387783316</v>
      </c>
      <c r="Z690" s="523" t="str">
        <f>IFERROR(VLOOKUP(M690,'02. MM-KLH'!$B$6:$T$823,3,0),"")</f>
        <v>A23-CLT-001</v>
      </c>
      <c r="AA690" s="559" t="str">
        <f t="shared" si="48"/>
        <v>DP</v>
      </c>
      <c r="AB690" s="523"/>
      <c r="AC690" s="523"/>
    </row>
    <row r="691">
      <c r="A691" s="523"/>
      <c r="B691" s="612" t="str">
        <f>IFERROR(VLOOKUP(M691,'02. MM-KLH'!$B$6:$T$823,6,0),"")</f>
        <v>Xe clethon</v>
      </c>
      <c r="C691" s="566">
        <v>1.0</v>
      </c>
      <c r="D691" s="613" t="str">
        <f>IFERROR(VLOOKUP(M691,'02. MM-KLH'!$B$6:$T$823,16,0),"")</f>
        <v>TF150NL-PR2</v>
      </c>
      <c r="E691" s="561" t="s">
        <v>4158</v>
      </c>
      <c r="F691" s="613"/>
      <c r="G691" s="613"/>
      <c r="H691" s="613" t="str">
        <f>IFERROR(VLOOKUP(M691,'02. MM-KLH'!$B$6:$T$823,17,0),"")</f>
        <v>15HP</v>
      </c>
      <c r="I691" s="614">
        <f>IFERROR(VLOOKUP(M691,'02. MM-KLH'!$B$6:$U$823,20,0),"")</f>
        <v>0.5</v>
      </c>
      <c r="J691" s="612" t="str">
        <f>IFERROR(VLOOKUP(M691,'02. MM-KLH'!$B$6:$T$823,19,0),"")</f>
        <v>C0869C</v>
      </c>
      <c r="K691" s="612">
        <f>IFERROR(VLOOKUP(M691,'02. MM-KLH'!$B$6:$T$823,18,0),"")</f>
        <v>203175</v>
      </c>
      <c r="L691" s="613" t="str">
        <f>IFERROR(VLOOKUP(M691,'02. MM-KLH'!$B$6:$T$823,4,0),"")</f>
        <v/>
      </c>
      <c r="M691" s="488" t="s">
        <v>952</v>
      </c>
      <c r="N691" s="615">
        <f>IFERROR(VLOOKUP(M691,'02. MM-KLH'!$B$6:$T$823,15,0),"")</f>
        <v>2022</v>
      </c>
      <c r="O691" s="616" t="str">
        <f>IFERROR(VLOOKUP(M691,'02. MM-KLH'!$B$6:$T$823,9,0),"")</f>
        <v>24/07/2025</v>
      </c>
      <c r="P691" s="613"/>
      <c r="Q691" s="566"/>
      <c r="R691" s="566" t="s">
        <v>4158</v>
      </c>
      <c r="S691" s="613"/>
      <c r="T691" s="613"/>
      <c r="U691" s="559" t="str">
        <f>IFERROR(VLOOKUP(M691,'02. MM-KLH'!$B$6:$T$823,5,0),"")</f>
        <v>MỚI</v>
      </c>
      <c r="V691" s="523" t="str">
        <f>IFERROR(VLOOKUP(M691,'02. MM-KLH'!$B$6:$T$823,8,0),"")</f>
        <v>XN Chuối DP1</v>
      </c>
      <c r="W691" s="559" t="str">
        <f>IFERROR(VLOOKUP(V691,'NS QUẢN LÝ CG'!$A$4:$D$36,2,0),"")</f>
        <v>Thái Cao Lưu</v>
      </c>
      <c r="X691" s="559" t="str">
        <f>IFERROR(VLOOKUP(V691,'NS QUẢN LÝ CG'!$A$4:$D$36,4,0),"")</f>
        <v>Lô 21 DP1</v>
      </c>
      <c r="Y691" s="559" t="str">
        <f>IFERROR(VLOOKUP(V691,'NS QUẢN LÝ CG'!$A$4:$C$36,3,0),"")</f>
        <v>0387783316</v>
      </c>
      <c r="Z691" s="523" t="str">
        <f>IFERROR(VLOOKUP(M691,'02. MM-KLH'!$B$6:$T$823,3,0),"")</f>
        <v>A23-CLT-002</v>
      </c>
      <c r="AA691" s="559" t="str">
        <f t="shared" si="48"/>
        <v>DP</v>
      </c>
      <c r="AB691" s="523"/>
      <c r="AC691" s="523"/>
    </row>
    <row r="692">
      <c r="A692" s="523"/>
      <c r="B692" s="612" t="str">
        <f>IFERROR(VLOOKUP(M692,'02. MM-KLH'!$B$6:$T$823,6,0),"")</f>
        <v>Xe clethon</v>
      </c>
      <c r="C692" s="566">
        <v>1.0</v>
      </c>
      <c r="D692" s="613" t="str">
        <f>IFERROR(VLOOKUP(M692,'02. MM-KLH'!$B$6:$T$823,16,0),"")</f>
        <v>TF150NL-PR2</v>
      </c>
      <c r="E692" s="561" t="s">
        <v>4158</v>
      </c>
      <c r="F692" s="613"/>
      <c r="G692" s="613"/>
      <c r="H692" s="613" t="str">
        <f>IFERROR(VLOOKUP(M692,'02. MM-KLH'!$B$6:$T$823,17,0),"")</f>
        <v>15HP</v>
      </c>
      <c r="I692" s="614">
        <f>IFERROR(VLOOKUP(M692,'02. MM-KLH'!$B$6:$U$823,20,0),"")</f>
        <v>0.5</v>
      </c>
      <c r="J692" s="612" t="str">
        <f>IFERROR(VLOOKUP(M692,'02. MM-KLH'!$B$6:$T$823,19,0),"")</f>
        <v>B2167L</v>
      </c>
      <c r="K692" s="612">
        <f>IFERROR(VLOOKUP(M692,'02. MM-KLH'!$B$6:$T$823,18,0),"")</f>
        <v>203079</v>
      </c>
      <c r="L692" s="613" t="str">
        <f>IFERROR(VLOOKUP(M692,'02. MM-KLH'!$B$6:$T$823,4,0),"")</f>
        <v/>
      </c>
      <c r="M692" s="488" t="s">
        <v>955</v>
      </c>
      <c r="N692" s="615">
        <f>IFERROR(VLOOKUP(M692,'02. MM-KLH'!$B$6:$T$823,15,0),"")</f>
        <v>2022</v>
      </c>
      <c r="O692" s="616" t="str">
        <f>IFERROR(VLOOKUP(M692,'02. MM-KLH'!$B$6:$T$823,9,0),"")</f>
        <v>24/07/2025</v>
      </c>
      <c r="P692" s="613"/>
      <c r="Q692" s="566"/>
      <c r="R692" s="566" t="s">
        <v>4158</v>
      </c>
      <c r="S692" s="613"/>
      <c r="T692" s="613"/>
      <c r="U692" s="559" t="str">
        <f>IFERROR(VLOOKUP(M692,'02. MM-KLH'!$B$6:$T$823,5,0),"")</f>
        <v>MỚI</v>
      </c>
      <c r="V692" s="523" t="str">
        <f>IFERROR(VLOOKUP(M692,'02. MM-KLH'!$B$6:$T$823,8,0),"")</f>
        <v>XN Chuối DP1</v>
      </c>
      <c r="W692" s="559" t="str">
        <f>IFERROR(VLOOKUP(V692,'NS QUẢN LÝ CG'!$A$4:$D$36,2,0),"")</f>
        <v>Thái Cao Lưu</v>
      </c>
      <c r="X692" s="559" t="str">
        <f>IFERROR(VLOOKUP(V692,'NS QUẢN LÝ CG'!$A$4:$D$36,4,0),"")</f>
        <v>Lô 21 DP1</v>
      </c>
      <c r="Y692" s="559" t="str">
        <f>IFERROR(VLOOKUP(V692,'NS QUẢN LÝ CG'!$A$4:$C$36,3,0),"")</f>
        <v>0387783316</v>
      </c>
      <c r="Z692" s="523" t="str">
        <f>IFERROR(VLOOKUP(M692,'02. MM-KLH'!$B$6:$T$823,3,0),"")</f>
        <v>A23-CLT-003</v>
      </c>
      <c r="AA692" s="559" t="str">
        <f t="shared" si="48"/>
        <v>DP</v>
      </c>
      <c r="AB692" s="523"/>
      <c r="AC692" s="523"/>
    </row>
    <row r="693">
      <c r="A693" s="523"/>
      <c r="B693" s="612" t="str">
        <f>IFERROR(VLOOKUP(M693,'02. MM-KLH'!$B$6:$T$823,6,0),"")</f>
        <v>Xe clethon</v>
      </c>
      <c r="C693" s="566">
        <v>1.0</v>
      </c>
      <c r="D693" s="613" t="str">
        <f>IFERROR(VLOOKUP(M693,'02. MM-KLH'!$B$6:$T$823,16,0),"")</f>
        <v>TF150NL-PR2</v>
      </c>
      <c r="E693" s="561" t="s">
        <v>4158</v>
      </c>
      <c r="F693" s="613"/>
      <c r="G693" s="613"/>
      <c r="H693" s="613" t="str">
        <f>IFERROR(VLOOKUP(M693,'02. MM-KLH'!$B$6:$T$823,17,0),"")</f>
        <v>15HP</v>
      </c>
      <c r="I693" s="614">
        <f>IFERROR(VLOOKUP(M693,'02. MM-KLH'!$B$6:$U$823,20,0),"")</f>
        <v>0.5</v>
      </c>
      <c r="J693" s="612" t="str">
        <f>IFERROR(VLOOKUP(M693,'02. MM-KLH'!$B$6:$T$823,19,0),"")</f>
        <v>C0845C</v>
      </c>
      <c r="K693" s="612">
        <f>IFERROR(VLOOKUP(M693,'02. MM-KLH'!$B$6:$T$823,18,0),"")</f>
        <v>203080</v>
      </c>
      <c r="L693" s="613" t="str">
        <f>IFERROR(VLOOKUP(M693,'02. MM-KLH'!$B$6:$T$823,4,0),"")</f>
        <v/>
      </c>
      <c r="M693" s="488" t="s">
        <v>958</v>
      </c>
      <c r="N693" s="615">
        <f>IFERROR(VLOOKUP(M693,'02. MM-KLH'!$B$6:$T$823,15,0),"")</f>
        <v>2022</v>
      </c>
      <c r="O693" s="616" t="str">
        <f>IFERROR(VLOOKUP(M693,'02. MM-KLH'!$B$6:$T$823,9,0),"")</f>
        <v>24/07/2025</v>
      </c>
      <c r="P693" s="613"/>
      <c r="Q693" s="566"/>
      <c r="R693" s="566" t="s">
        <v>4158</v>
      </c>
      <c r="S693" s="613"/>
      <c r="T693" s="613"/>
      <c r="U693" s="559" t="str">
        <f>IFERROR(VLOOKUP(M693,'02. MM-KLH'!$B$6:$T$823,5,0),"")</f>
        <v>MỚI</v>
      </c>
      <c r="V693" s="523" t="str">
        <f>IFERROR(VLOOKUP(M693,'02. MM-KLH'!$B$6:$T$823,8,0),"")</f>
        <v>XN Chuối DP1</v>
      </c>
      <c r="W693" s="559" t="str">
        <f>IFERROR(VLOOKUP(V693,'NS QUẢN LÝ CG'!$A$4:$D$36,2,0),"")</f>
        <v>Thái Cao Lưu</v>
      </c>
      <c r="X693" s="559" t="str">
        <f>IFERROR(VLOOKUP(V693,'NS QUẢN LÝ CG'!$A$4:$D$36,4,0),"")</f>
        <v>Lô 21 DP1</v>
      </c>
      <c r="Y693" s="559" t="str">
        <f>IFERROR(VLOOKUP(V693,'NS QUẢN LÝ CG'!$A$4:$C$36,3,0),"")</f>
        <v>0387783316</v>
      </c>
      <c r="Z693" s="523" t="str">
        <f>IFERROR(VLOOKUP(M693,'02. MM-KLH'!$B$6:$T$823,3,0),"")</f>
        <v>A23-CLT-004</v>
      </c>
      <c r="AA693" s="559" t="str">
        <f t="shared" si="48"/>
        <v>DP</v>
      </c>
      <c r="AB693" s="523"/>
      <c r="AC693" s="523"/>
    </row>
    <row r="694">
      <c r="A694" s="523"/>
      <c r="B694" s="612" t="str">
        <f>IFERROR(VLOOKUP(M694,'02. MM-KLH'!$B$6:$T$823,6,0),"")</f>
        <v>Xe clethon</v>
      </c>
      <c r="C694" s="566">
        <v>1.0</v>
      </c>
      <c r="D694" s="613" t="str">
        <f>IFERROR(VLOOKUP(M694,'02. MM-KLH'!$B$6:$T$823,16,0),"")</f>
        <v>TF150NL-PR2</v>
      </c>
      <c r="E694" s="561" t="s">
        <v>4158</v>
      </c>
      <c r="F694" s="613"/>
      <c r="G694" s="613"/>
      <c r="H694" s="613" t="str">
        <f>IFERROR(VLOOKUP(M694,'02. MM-KLH'!$B$6:$T$823,17,0),"")</f>
        <v>15HP</v>
      </c>
      <c r="I694" s="614">
        <f>IFERROR(VLOOKUP(M694,'02. MM-KLH'!$B$6:$U$823,20,0),"")</f>
        <v>0.5</v>
      </c>
      <c r="J694" s="612" t="str">
        <f>IFERROR(VLOOKUP(M694,'02. MM-KLH'!$B$6:$T$823,19,0),"")</f>
        <v>B0518M</v>
      </c>
      <c r="K694" s="612">
        <f>IFERROR(VLOOKUP(M694,'02. MM-KLH'!$B$6:$T$823,18,0),"")</f>
        <v>203082</v>
      </c>
      <c r="L694" s="613" t="str">
        <f>IFERROR(VLOOKUP(M694,'02. MM-KLH'!$B$6:$T$823,4,0),"")</f>
        <v/>
      </c>
      <c r="M694" s="488" t="s">
        <v>961</v>
      </c>
      <c r="N694" s="615">
        <f>IFERROR(VLOOKUP(M694,'02. MM-KLH'!$B$6:$T$823,15,0),"")</f>
        <v>2022</v>
      </c>
      <c r="O694" s="616" t="str">
        <f>IFERROR(VLOOKUP(M694,'02. MM-KLH'!$B$6:$T$823,9,0),"")</f>
        <v>24/07/2025</v>
      </c>
      <c r="P694" s="613"/>
      <c r="Q694" s="566"/>
      <c r="R694" s="566" t="s">
        <v>4158</v>
      </c>
      <c r="S694" s="613"/>
      <c r="T694" s="613"/>
      <c r="U694" s="559" t="str">
        <f>IFERROR(VLOOKUP(M694,'02. MM-KLH'!$B$6:$T$823,5,0),"")</f>
        <v>MỚI</v>
      </c>
      <c r="V694" s="523" t="str">
        <f>IFERROR(VLOOKUP(M694,'02. MM-KLH'!$B$6:$T$823,8,0),"")</f>
        <v>XN Chuối DP1</v>
      </c>
      <c r="W694" s="559" t="str">
        <f>IFERROR(VLOOKUP(V694,'NS QUẢN LÝ CG'!$A$4:$D$36,2,0),"")</f>
        <v>Thái Cao Lưu</v>
      </c>
      <c r="X694" s="559" t="str">
        <f>IFERROR(VLOOKUP(V694,'NS QUẢN LÝ CG'!$A$4:$D$36,4,0),"")</f>
        <v>Lô 21 DP1</v>
      </c>
      <c r="Y694" s="559" t="str">
        <f>IFERROR(VLOOKUP(V694,'NS QUẢN LÝ CG'!$A$4:$C$36,3,0),"")</f>
        <v>0387783316</v>
      </c>
      <c r="Z694" s="523" t="str">
        <f>IFERROR(VLOOKUP(M694,'02. MM-KLH'!$B$6:$T$823,3,0),"")</f>
        <v>A23-CLT-005</v>
      </c>
      <c r="AA694" s="559" t="str">
        <f t="shared" si="48"/>
        <v>DP</v>
      </c>
      <c r="AB694" s="523"/>
      <c r="AC694" s="523"/>
    </row>
    <row r="695">
      <c r="A695" s="523"/>
      <c r="B695" s="612" t="str">
        <f>IFERROR(VLOOKUP(M695,'02. MM-KLH'!$B$6:$T$823,6,0),"")</f>
        <v>Xe clethon</v>
      </c>
      <c r="C695" s="566">
        <v>1.0</v>
      </c>
      <c r="D695" s="613" t="str">
        <f>IFERROR(VLOOKUP(M695,'02. MM-KLH'!$B$6:$T$823,16,0),"")</f>
        <v>TF150NL-PR2</v>
      </c>
      <c r="E695" s="561" t="s">
        <v>4158</v>
      </c>
      <c r="F695" s="613"/>
      <c r="G695" s="613"/>
      <c r="H695" s="613" t="str">
        <f>IFERROR(VLOOKUP(M695,'02. MM-KLH'!$B$6:$T$823,17,0),"")</f>
        <v>15HP</v>
      </c>
      <c r="I695" s="614">
        <f>IFERROR(VLOOKUP(M695,'02. MM-KLH'!$B$6:$U$823,20,0),"")</f>
        <v>0.5</v>
      </c>
      <c r="J695" s="612" t="str">
        <f>IFERROR(VLOOKUP(M695,'02. MM-KLH'!$B$6:$T$823,19,0),"")</f>
        <v>B2229L</v>
      </c>
      <c r="K695" s="612">
        <f>IFERROR(VLOOKUP(M695,'02. MM-KLH'!$B$6:$T$823,18,0),"")</f>
        <v>203050</v>
      </c>
      <c r="L695" s="613" t="str">
        <f>IFERROR(VLOOKUP(M695,'02. MM-KLH'!$B$6:$T$823,4,0),"")</f>
        <v/>
      </c>
      <c r="M695" s="488" t="s">
        <v>1074</v>
      </c>
      <c r="N695" s="615">
        <f>IFERROR(VLOOKUP(M695,'02. MM-KLH'!$B$6:$T$823,15,0),"")</f>
        <v>2022</v>
      </c>
      <c r="O695" s="616" t="str">
        <f>IFERROR(VLOOKUP(M695,'02. MM-KLH'!$B$6:$T$823,9,0),"")</f>
        <v>24/07/2025</v>
      </c>
      <c r="P695" s="613"/>
      <c r="Q695" s="566"/>
      <c r="R695" s="566" t="s">
        <v>4158</v>
      </c>
      <c r="S695" s="613"/>
      <c r="T695" s="613"/>
      <c r="U695" s="559" t="str">
        <f>IFERROR(VLOOKUP(M695,'02. MM-KLH'!$B$6:$T$823,5,0),"")</f>
        <v> MỚI</v>
      </c>
      <c r="V695" s="523" t="str">
        <f>IFERROR(VLOOKUP(M695,'02. MM-KLH'!$B$6:$T$823,8,0),"")</f>
        <v>XN Chuối DP2</v>
      </c>
      <c r="W695" s="559" t="str">
        <f>IFERROR(VLOOKUP(V695,'NS QUẢN LÝ CG'!$A$4:$D$36,2,0),"")</f>
        <v>Huỳnh Quang Viên</v>
      </c>
      <c r="X695" s="559" t="str">
        <f>IFERROR(VLOOKUP(V695,'NS QUẢN LÝ CG'!$A$4:$D$36,4,0),"")</f>
        <v>Lô 15.6 DP2</v>
      </c>
      <c r="Y695" s="559" t="str">
        <f>IFERROR(VLOOKUP(V695,'NS QUẢN LÝ CG'!$A$4:$C$36,3,0),"")</f>
        <v>0977623379</v>
      </c>
      <c r="Z695" s="523" t="str">
        <f>IFERROR(VLOOKUP(M695,'02. MM-KLH'!$B$6:$T$823,3,0),"")</f>
        <v>A23-CLT-006</v>
      </c>
      <c r="AA695" s="559" t="str">
        <f t="shared" si="48"/>
        <v>DP</v>
      </c>
      <c r="AB695" s="523"/>
      <c r="AC695" s="523"/>
    </row>
    <row r="696">
      <c r="A696" s="523"/>
      <c r="B696" s="612" t="str">
        <f>IFERROR(VLOOKUP(M696,'02. MM-KLH'!$B$6:$T$823,6,0),"")</f>
        <v>Xe clethon</v>
      </c>
      <c r="C696" s="566">
        <v>1.0</v>
      </c>
      <c r="D696" s="613" t="str">
        <f>IFERROR(VLOOKUP(M696,'02. MM-KLH'!$B$6:$T$823,16,0),"")</f>
        <v>TF150NL-PR2</v>
      </c>
      <c r="E696" s="561" t="s">
        <v>4158</v>
      </c>
      <c r="F696" s="613"/>
      <c r="G696" s="613"/>
      <c r="H696" s="613" t="str">
        <f>IFERROR(VLOOKUP(M696,'02. MM-KLH'!$B$6:$T$823,17,0),"")</f>
        <v>15HP</v>
      </c>
      <c r="I696" s="614">
        <f>IFERROR(VLOOKUP(M696,'02. MM-KLH'!$B$6:$U$823,20,0),"")</f>
        <v>0.5</v>
      </c>
      <c r="J696" s="612" t="str">
        <f>IFERROR(VLOOKUP(M696,'02. MM-KLH'!$B$6:$T$823,19,0),"")</f>
        <v>B1314M</v>
      </c>
      <c r="K696" s="612">
        <f>IFERROR(VLOOKUP(M696,'02. MM-KLH'!$B$6:$T$823,18,0),"")</f>
        <v>203054</v>
      </c>
      <c r="L696" s="613" t="str">
        <f>IFERROR(VLOOKUP(M696,'02. MM-KLH'!$B$6:$T$823,4,0),"")</f>
        <v/>
      </c>
      <c r="M696" s="488" t="s">
        <v>1078</v>
      </c>
      <c r="N696" s="615">
        <f>IFERROR(VLOOKUP(M696,'02. MM-KLH'!$B$6:$T$823,15,0),"")</f>
        <v>2022</v>
      </c>
      <c r="O696" s="616" t="str">
        <f>IFERROR(VLOOKUP(M696,'02. MM-KLH'!$B$6:$T$823,9,0),"")</f>
        <v>24/07/2025</v>
      </c>
      <c r="P696" s="613"/>
      <c r="Q696" s="566"/>
      <c r="R696" s="566" t="s">
        <v>4158</v>
      </c>
      <c r="S696" s="613"/>
      <c r="T696" s="613"/>
      <c r="U696" s="559" t="str">
        <f>IFERROR(VLOOKUP(M696,'02. MM-KLH'!$B$6:$T$823,5,0),"")</f>
        <v> MỚI</v>
      </c>
      <c r="V696" s="523" t="str">
        <f>IFERROR(VLOOKUP(M696,'02. MM-KLH'!$B$6:$T$823,8,0),"")</f>
        <v>XN Chuối DP2</v>
      </c>
      <c r="W696" s="559" t="str">
        <f>IFERROR(VLOOKUP(V696,'NS QUẢN LÝ CG'!$A$4:$D$36,2,0),"")</f>
        <v>Huỳnh Quang Viên</v>
      </c>
      <c r="X696" s="559" t="str">
        <f>IFERROR(VLOOKUP(V696,'NS QUẢN LÝ CG'!$A$4:$D$36,4,0),"")</f>
        <v>Lô 15.6 DP2</v>
      </c>
      <c r="Y696" s="559" t="str">
        <f>IFERROR(VLOOKUP(V696,'NS QUẢN LÝ CG'!$A$4:$C$36,3,0),"")</f>
        <v>0977623379</v>
      </c>
      <c r="Z696" s="523" t="str">
        <f>IFERROR(VLOOKUP(M696,'02. MM-KLH'!$B$6:$T$823,3,0),"")</f>
        <v>A23-CLT-007</v>
      </c>
      <c r="AA696" s="559" t="str">
        <f t="shared" si="48"/>
        <v>DP</v>
      </c>
      <c r="AB696" s="523"/>
      <c r="AC696" s="523"/>
    </row>
    <row r="697">
      <c r="A697" s="523"/>
      <c r="B697" s="612" t="str">
        <f>IFERROR(VLOOKUP(M697,'02. MM-KLH'!$B$6:$T$823,6,0),"")</f>
        <v>Xe clethon</v>
      </c>
      <c r="C697" s="566">
        <v>1.0</v>
      </c>
      <c r="D697" s="613" t="str">
        <f>IFERROR(VLOOKUP(M697,'02. MM-KLH'!$B$6:$T$823,16,0),"")</f>
        <v>TF150NL-PR2</v>
      </c>
      <c r="E697" s="561" t="s">
        <v>4158</v>
      </c>
      <c r="F697" s="613"/>
      <c r="G697" s="613"/>
      <c r="H697" s="613" t="str">
        <f>IFERROR(VLOOKUP(M697,'02. MM-KLH'!$B$6:$T$823,17,0),"")</f>
        <v>15HP</v>
      </c>
      <c r="I697" s="614">
        <f>IFERROR(VLOOKUP(M697,'02. MM-KLH'!$B$6:$U$823,20,0),"")</f>
        <v>0.5</v>
      </c>
      <c r="J697" s="612" t="str">
        <f>IFERROR(VLOOKUP(M697,'02. MM-KLH'!$B$6:$T$823,19,0),"")</f>
        <v>B2099L</v>
      </c>
      <c r="K697" s="612">
        <f>IFERROR(VLOOKUP(M697,'02. MM-KLH'!$B$6:$T$823,18,0),"")</f>
        <v>203068</v>
      </c>
      <c r="L697" s="613" t="str">
        <f>IFERROR(VLOOKUP(M697,'02. MM-KLH'!$B$6:$T$823,4,0),"")</f>
        <v/>
      </c>
      <c r="M697" s="488" t="s">
        <v>1081</v>
      </c>
      <c r="N697" s="615">
        <f>IFERROR(VLOOKUP(M697,'02. MM-KLH'!$B$6:$T$823,15,0),"")</f>
        <v>2022</v>
      </c>
      <c r="O697" s="616" t="str">
        <f>IFERROR(VLOOKUP(M697,'02. MM-KLH'!$B$6:$T$823,9,0),"")</f>
        <v>24/07/2025</v>
      </c>
      <c r="P697" s="613"/>
      <c r="Q697" s="566"/>
      <c r="R697" s="613"/>
      <c r="S697" s="566" t="s">
        <v>4158</v>
      </c>
      <c r="T697" s="566"/>
      <c r="U697" s="559" t="str">
        <f>IFERROR(VLOOKUP(M697,'02. MM-KLH'!$B$6:$T$823,5,0),"")</f>
        <v> MỚI</v>
      </c>
      <c r="V697" s="523" t="str">
        <f>IFERROR(VLOOKUP(M697,'02. MM-KLH'!$B$6:$T$823,8,0),"")</f>
        <v>XN Chuối DP2</v>
      </c>
      <c r="W697" s="559" t="str">
        <f>IFERROR(VLOOKUP(V697,'NS QUẢN LÝ CG'!$A$4:$D$36,2,0),"")</f>
        <v>Huỳnh Quang Viên</v>
      </c>
      <c r="X697" s="559" t="str">
        <f>IFERROR(VLOOKUP(V697,'NS QUẢN LÝ CG'!$A$4:$D$36,4,0),"")</f>
        <v>Lô 15.6 DP2</v>
      </c>
      <c r="Y697" s="559" t="str">
        <f>IFERROR(VLOOKUP(V697,'NS QUẢN LÝ CG'!$A$4:$C$36,3,0),"")</f>
        <v>0977623379</v>
      </c>
      <c r="Z697" s="523" t="str">
        <f>IFERROR(VLOOKUP(M697,'02. MM-KLH'!$B$6:$T$823,3,0),"")</f>
        <v>A23-CLT-008</v>
      </c>
      <c r="AA697" s="559" t="str">
        <f t="shared" si="48"/>
        <v>DP</v>
      </c>
      <c r="AB697" s="523"/>
      <c r="AC697" s="523"/>
    </row>
    <row r="698">
      <c r="A698" s="523"/>
      <c r="B698" s="612" t="str">
        <f>IFERROR(VLOOKUP(M698,'02. MM-KLH'!$B$6:$T$823,6,0),"")</f>
        <v>Xe clethon</v>
      </c>
      <c r="C698" s="566">
        <v>1.0</v>
      </c>
      <c r="D698" s="613" t="str">
        <f>IFERROR(VLOOKUP(M698,'02. MM-KLH'!$B$6:$T$823,16,0),"")</f>
        <v>TF150NL-PR2</v>
      </c>
      <c r="E698" s="561" t="s">
        <v>4158</v>
      </c>
      <c r="F698" s="613"/>
      <c r="G698" s="613"/>
      <c r="H698" s="613" t="str">
        <f>IFERROR(VLOOKUP(M698,'02. MM-KLH'!$B$6:$T$823,17,0),"")</f>
        <v>15HP</v>
      </c>
      <c r="I698" s="614">
        <f>IFERROR(VLOOKUP(M698,'02. MM-KLH'!$B$6:$U$823,20,0),"")</f>
        <v>0.5</v>
      </c>
      <c r="J698" s="612" t="str">
        <f>IFERROR(VLOOKUP(M698,'02. MM-KLH'!$B$6:$T$823,19,0),"")</f>
        <v>B2151L</v>
      </c>
      <c r="K698" s="612">
        <f>IFERROR(VLOOKUP(M698,'02. MM-KLH'!$B$6:$T$823,18,0),"")</f>
        <v>203075</v>
      </c>
      <c r="L698" s="613" t="str">
        <f>IFERROR(VLOOKUP(M698,'02. MM-KLH'!$B$6:$T$823,4,0),"")</f>
        <v/>
      </c>
      <c r="M698" s="488" t="s">
        <v>1085</v>
      </c>
      <c r="N698" s="615">
        <f>IFERROR(VLOOKUP(M698,'02. MM-KLH'!$B$6:$T$823,15,0),"")</f>
        <v>2022</v>
      </c>
      <c r="O698" s="616" t="str">
        <f>IFERROR(VLOOKUP(M698,'02. MM-KLH'!$B$6:$T$823,9,0),"")</f>
        <v>24/07/2025</v>
      </c>
      <c r="P698" s="613"/>
      <c r="Q698" s="566"/>
      <c r="R698" s="613"/>
      <c r="S698" s="566" t="s">
        <v>4158</v>
      </c>
      <c r="T698" s="613"/>
      <c r="U698" s="559" t="str">
        <f>IFERROR(VLOOKUP(M698,'02. MM-KLH'!$B$6:$T$823,5,0),"")</f>
        <v> MỚI</v>
      </c>
      <c r="V698" s="523" t="str">
        <f>IFERROR(VLOOKUP(M698,'02. MM-KLH'!$B$6:$T$823,8,0),"")</f>
        <v>XN Chuối DP2</v>
      </c>
      <c r="W698" s="559" t="str">
        <f>IFERROR(VLOOKUP(V698,'NS QUẢN LÝ CG'!$A$4:$D$36,2,0),"")</f>
        <v>Huỳnh Quang Viên</v>
      </c>
      <c r="X698" s="559" t="str">
        <f>IFERROR(VLOOKUP(V698,'NS QUẢN LÝ CG'!$A$4:$D$36,4,0),"")</f>
        <v>Lô 15.6 DP2</v>
      </c>
      <c r="Y698" s="559" t="str">
        <f>IFERROR(VLOOKUP(V698,'NS QUẢN LÝ CG'!$A$4:$C$36,3,0),"")</f>
        <v>0977623379</v>
      </c>
      <c r="Z698" s="523" t="str">
        <f>IFERROR(VLOOKUP(M698,'02. MM-KLH'!$B$6:$T$823,3,0),"")</f>
        <v>A23-CLT-009</v>
      </c>
      <c r="AA698" s="559" t="str">
        <f t="shared" si="48"/>
        <v>DP</v>
      </c>
      <c r="AB698" s="523"/>
      <c r="AC698" s="523"/>
    </row>
    <row r="699">
      <c r="A699" s="523"/>
      <c r="B699" s="612" t="str">
        <f>IFERROR(VLOOKUP(M699,'02. MM-KLH'!$B$6:$T$823,6,0),"")</f>
        <v>Xe clethon</v>
      </c>
      <c r="C699" s="566">
        <v>1.0</v>
      </c>
      <c r="D699" s="613" t="str">
        <f>IFERROR(VLOOKUP(M699,'02. MM-KLH'!$B$6:$T$823,16,0),"")</f>
        <v>TF150NL-PR2</v>
      </c>
      <c r="E699" s="561" t="s">
        <v>4158</v>
      </c>
      <c r="F699" s="613"/>
      <c r="G699" s="613"/>
      <c r="H699" s="613" t="str">
        <f>IFERROR(VLOOKUP(M699,'02. MM-KLH'!$B$6:$T$823,17,0),"")</f>
        <v>15HP</v>
      </c>
      <c r="I699" s="614">
        <f>IFERROR(VLOOKUP(M699,'02. MM-KLH'!$B$6:$U$823,20,0),"")</f>
        <v>0.5</v>
      </c>
      <c r="J699" s="612" t="str">
        <f>IFERROR(VLOOKUP(M699,'02. MM-KLH'!$B$6:$T$823,19,0),"")</f>
        <v>C0853C</v>
      </c>
      <c r="K699" s="612">
        <f>IFERROR(VLOOKUP(M699,'02. MM-KLH'!$B$6:$T$823,18,0),"")</f>
        <v>203086</v>
      </c>
      <c r="L699" s="613" t="str">
        <f>IFERROR(VLOOKUP(M699,'02. MM-KLH'!$B$6:$T$823,4,0),"")</f>
        <v/>
      </c>
      <c r="M699" s="488" t="s">
        <v>1088</v>
      </c>
      <c r="N699" s="615">
        <f>IFERROR(VLOOKUP(M699,'02. MM-KLH'!$B$6:$T$823,15,0),"")</f>
        <v>2022</v>
      </c>
      <c r="O699" s="616" t="str">
        <f>IFERROR(VLOOKUP(M699,'02. MM-KLH'!$B$6:$T$823,9,0),"")</f>
        <v>24/07/2025</v>
      </c>
      <c r="P699" s="613"/>
      <c r="Q699" s="566"/>
      <c r="R699" s="613"/>
      <c r="S699" s="566" t="s">
        <v>4158</v>
      </c>
      <c r="T699" s="613"/>
      <c r="U699" s="559" t="str">
        <f>IFERROR(VLOOKUP(M699,'02. MM-KLH'!$B$6:$T$823,5,0),"")</f>
        <v> MỚI</v>
      </c>
      <c r="V699" s="523" t="str">
        <f>IFERROR(VLOOKUP(M699,'02. MM-KLH'!$B$6:$T$823,8,0),"")</f>
        <v>XN Chuối DP2</v>
      </c>
      <c r="W699" s="559" t="str">
        <f>IFERROR(VLOOKUP(V699,'NS QUẢN LÝ CG'!$A$4:$D$36,2,0),"")</f>
        <v>Huỳnh Quang Viên</v>
      </c>
      <c r="X699" s="559" t="str">
        <f>IFERROR(VLOOKUP(V699,'NS QUẢN LÝ CG'!$A$4:$D$36,4,0),"")</f>
        <v>Lô 15.6 DP2</v>
      </c>
      <c r="Y699" s="559" t="str">
        <f>IFERROR(VLOOKUP(V699,'NS QUẢN LÝ CG'!$A$4:$C$36,3,0),"")</f>
        <v>0977623379</v>
      </c>
      <c r="Z699" s="523" t="str">
        <f>IFERROR(VLOOKUP(M699,'02. MM-KLH'!$B$6:$T$823,3,0),"")</f>
        <v>A23-CLT-010</v>
      </c>
      <c r="AA699" s="559" t="str">
        <f t="shared" si="48"/>
        <v>DP</v>
      </c>
      <c r="AB699" s="523"/>
      <c r="AC699" s="523"/>
    </row>
    <row r="700">
      <c r="A700" s="523"/>
      <c r="B700" s="612" t="str">
        <f>IFERROR(VLOOKUP(M700,'02. MM-KLH'!$B$6:$T$823,6,0),"")</f>
        <v>Xe clethon</v>
      </c>
      <c r="C700" s="566">
        <v>1.0</v>
      </c>
      <c r="D700" s="613" t="str">
        <f>IFERROR(VLOOKUP(M700,'02. MM-KLH'!$B$6:$T$823,16,0),"")</f>
        <v>TF150NL-PR2</v>
      </c>
      <c r="E700" s="561" t="s">
        <v>4158</v>
      </c>
      <c r="F700" s="613"/>
      <c r="G700" s="613"/>
      <c r="H700" s="613" t="str">
        <f>IFERROR(VLOOKUP(M700,'02. MM-KLH'!$B$6:$T$823,17,0),"")</f>
        <v>15HP</v>
      </c>
      <c r="I700" s="614">
        <f>IFERROR(VLOOKUP(M700,'02. MM-KLH'!$B$6:$U$823,20,0),"")</f>
        <v>0.5</v>
      </c>
      <c r="J700" s="612" t="str">
        <f>IFERROR(VLOOKUP(M700,'02. MM-KLH'!$B$6:$T$823,19,0),"")</f>
        <v>B1541L</v>
      </c>
      <c r="K700" s="612">
        <f>IFERROR(VLOOKUP(M700,'02. MM-KLH'!$B$6:$T$823,18,0),"")</f>
        <v>203055</v>
      </c>
      <c r="L700" s="613" t="str">
        <f>IFERROR(VLOOKUP(M700,'02. MM-KLH'!$B$6:$T$823,4,0),"")</f>
        <v/>
      </c>
      <c r="M700" s="488" t="s">
        <v>1197</v>
      </c>
      <c r="N700" s="615">
        <f>IFERROR(VLOOKUP(M700,'02. MM-KLH'!$B$6:$T$823,15,0),"")</f>
        <v>2022</v>
      </c>
      <c r="O700" s="616" t="str">
        <f>IFERROR(VLOOKUP(M700,'02. MM-KLH'!$B$6:$T$823,9,0),"")</f>
        <v>24/07/2025</v>
      </c>
      <c r="P700" s="613"/>
      <c r="Q700" s="566"/>
      <c r="R700" s="613"/>
      <c r="S700" s="566" t="s">
        <v>4158</v>
      </c>
      <c r="T700" s="613"/>
      <c r="U700" s="559" t="str">
        <f>IFERROR(VLOOKUP(M700,'02. MM-KLH'!$B$6:$T$823,5,0),"")</f>
        <v>MỚI</v>
      </c>
      <c r="V700" s="523" t="str">
        <f>IFERROR(VLOOKUP(M700,'02. MM-KLH'!$B$6:$T$823,8,0),"")</f>
        <v>XN Chuối DP3</v>
      </c>
      <c r="W700" s="559" t="str">
        <f>IFERROR(VLOOKUP(V700,'NS QUẢN LÝ CG'!$A$4:$D$36,2,0),"")</f>
        <v>Thạch Ngọc Vững</v>
      </c>
      <c r="X700" s="559" t="str">
        <f>IFERROR(VLOOKUP(V700,'NS QUẢN LÝ CG'!$A$4:$D$36,4,0),"")</f>
        <v>Lô 28 DP3</v>
      </c>
      <c r="Y700" s="559" t="str">
        <f>IFERROR(VLOOKUP(V700,'NS QUẢN LÝ CG'!$A$4:$C$36,3,0),"")</f>
        <v>0975905267</v>
      </c>
      <c r="Z700" s="523" t="str">
        <f>IFERROR(VLOOKUP(M700,'02. MM-KLH'!$B$6:$T$823,3,0),"")</f>
        <v>A23-CLT-011</v>
      </c>
      <c r="AA700" s="559" t="str">
        <f t="shared" si="48"/>
        <v>DP</v>
      </c>
      <c r="AB700" s="523"/>
      <c r="AC700" s="523"/>
    </row>
    <row r="701">
      <c r="A701" s="523"/>
      <c r="B701" s="612" t="str">
        <f>IFERROR(VLOOKUP(M701,'02. MM-KLH'!$B$6:$T$823,6,0),"")</f>
        <v>Xe clethon</v>
      </c>
      <c r="C701" s="566">
        <v>1.0</v>
      </c>
      <c r="D701" s="613" t="str">
        <f>IFERROR(VLOOKUP(M701,'02. MM-KLH'!$B$6:$T$823,16,0),"")</f>
        <v>TF150NL-PR2</v>
      </c>
      <c r="E701" s="561" t="s">
        <v>4158</v>
      </c>
      <c r="F701" s="613"/>
      <c r="G701" s="613"/>
      <c r="H701" s="613" t="str">
        <f>IFERROR(VLOOKUP(M701,'02. MM-KLH'!$B$6:$T$823,17,0),"")</f>
        <v>15HP</v>
      </c>
      <c r="I701" s="614">
        <f>IFERROR(VLOOKUP(M701,'02. MM-KLH'!$B$6:$U$823,20,0),"")</f>
        <v>0.5</v>
      </c>
      <c r="J701" s="612" t="str">
        <f>IFERROR(VLOOKUP(M701,'02. MM-KLH'!$B$6:$T$823,19,0),"")</f>
        <v>B2128L</v>
      </c>
      <c r="K701" s="612">
        <f>IFERROR(VLOOKUP(M701,'02. MM-KLH'!$B$6:$T$823,18,0),"")</f>
        <v>203059</v>
      </c>
      <c r="L701" s="613" t="str">
        <f>IFERROR(VLOOKUP(M701,'02. MM-KLH'!$B$6:$T$823,4,0),"")</f>
        <v/>
      </c>
      <c r="M701" s="488" t="s">
        <v>1200</v>
      </c>
      <c r="N701" s="615">
        <f>IFERROR(VLOOKUP(M701,'02. MM-KLH'!$B$6:$T$823,15,0),"")</f>
        <v>2022</v>
      </c>
      <c r="O701" s="616" t="str">
        <f>IFERROR(VLOOKUP(M701,'02. MM-KLH'!$B$6:$T$823,9,0),"")</f>
        <v>24/07/2025</v>
      </c>
      <c r="P701" s="613"/>
      <c r="Q701" s="566"/>
      <c r="R701" s="566" t="s">
        <v>4158</v>
      </c>
      <c r="S701" s="613"/>
      <c r="T701" s="613"/>
      <c r="U701" s="559" t="str">
        <f>IFERROR(VLOOKUP(M701,'02. MM-KLH'!$B$6:$T$823,5,0),"")</f>
        <v>MỚI</v>
      </c>
      <c r="V701" s="523" t="str">
        <f>IFERROR(VLOOKUP(M701,'02. MM-KLH'!$B$6:$T$823,8,0),"")</f>
        <v>XN Chuối DP3</v>
      </c>
      <c r="W701" s="559" t="str">
        <f>IFERROR(VLOOKUP(V701,'NS QUẢN LÝ CG'!$A$4:$D$36,2,0),"")</f>
        <v>Thạch Ngọc Vững</v>
      </c>
      <c r="X701" s="559" t="str">
        <f>IFERROR(VLOOKUP(V701,'NS QUẢN LÝ CG'!$A$4:$D$36,4,0),"")</f>
        <v>Lô 28 DP3</v>
      </c>
      <c r="Y701" s="559" t="str">
        <f>IFERROR(VLOOKUP(V701,'NS QUẢN LÝ CG'!$A$4:$C$36,3,0),"")</f>
        <v>0975905267</v>
      </c>
      <c r="Z701" s="523" t="str">
        <f>IFERROR(VLOOKUP(M701,'02. MM-KLH'!$B$6:$T$823,3,0),"")</f>
        <v>A23-CLT-012</v>
      </c>
      <c r="AA701" s="559" t="str">
        <f t="shared" si="48"/>
        <v>DP</v>
      </c>
      <c r="AB701" s="523"/>
      <c r="AC701" s="523"/>
    </row>
    <row r="702">
      <c r="A702" s="523"/>
      <c r="B702" s="612" t="str">
        <f>IFERROR(VLOOKUP(M702,'02. MM-KLH'!$B$6:$T$823,6,0),"")</f>
        <v>Xe clethon</v>
      </c>
      <c r="C702" s="566">
        <v>1.0</v>
      </c>
      <c r="D702" s="613" t="str">
        <f>IFERROR(VLOOKUP(M702,'02. MM-KLH'!$B$6:$T$823,16,0),"")</f>
        <v>TF150NL-PR2</v>
      </c>
      <c r="E702" s="561" t="s">
        <v>4158</v>
      </c>
      <c r="F702" s="613"/>
      <c r="G702" s="613"/>
      <c r="H702" s="613" t="str">
        <f>IFERROR(VLOOKUP(M702,'02. MM-KLH'!$B$6:$T$823,17,0),"")</f>
        <v>15HP</v>
      </c>
      <c r="I702" s="614">
        <f>IFERROR(VLOOKUP(M702,'02. MM-KLH'!$B$6:$U$823,20,0),"")</f>
        <v>0.5</v>
      </c>
      <c r="J702" s="612" t="str">
        <f>IFERROR(VLOOKUP(M702,'02. MM-KLH'!$B$6:$T$823,19,0),"")</f>
        <v>B1316M</v>
      </c>
      <c r="K702" s="612">
        <f>IFERROR(VLOOKUP(M702,'02. MM-KLH'!$B$6:$T$823,18,0),"")</f>
        <v>203061</v>
      </c>
      <c r="L702" s="613" t="str">
        <f>IFERROR(VLOOKUP(M702,'02. MM-KLH'!$B$6:$T$823,4,0),"")</f>
        <v/>
      </c>
      <c r="M702" s="488" t="s">
        <v>1203</v>
      </c>
      <c r="N702" s="615">
        <f>IFERROR(VLOOKUP(M702,'02. MM-KLH'!$B$6:$T$823,15,0),"")</f>
        <v>2022</v>
      </c>
      <c r="O702" s="616" t="str">
        <f>IFERROR(VLOOKUP(M702,'02. MM-KLH'!$B$6:$T$823,9,0),"")</f>
        <v>24/07/2025</v>
      </c>
      <c r="P702" s="613"/>
      <c r="Q702" s="566"/>
      <c r="R702" s="566" t="s">
        <v>4158</v>
      </c>
      <c r="S702" s="613"/>
      <c r="T702" s="613"/>
      <c r="U702" s="559" t="str">
        <f>IFERROR(VLOOKUP(M702,'02. MM-KLH'!$B$6:$T$823,5,0),"")</f>
        <v>MỚI</v>
      </c>
      <c r="V702" s="523" t="str">
        <f>IFERROR(VLOOKUP(M702,'02. MM-KLH'!$B$6:$T$823,8,0),"")</f>
        <v>XN Chuối DP3</v>
      </c>
      <c r="W702" s="559" t="str">
        <f>IFERROR(VLOOKUP(V702,'NS QUẢN LÝ CG'!$A$4:$D$36,2,0),"")</f>
        <v>Thạch Ngọc Vững</v>
      </c>
      <c r="X702" s="559" t="str">
        <f>IFERROR(VLOOKUP(V702,'NS QUẢN LÝ CG'!$A$4:$D$36,4,0),"")</f>
        <v>Lô 28 DP3</v>
      </c>
      <c r="Y702" s="559" t="str">
        <f>IFERROR(VLOOKUP(V702,'NS QUẢN LÝ CG'!$A$4:$C$36,3,0),"")</f>
        <v>0975905267</v>
      </c>
      <c r="Z702" s="523" t="str">
        <f>IFERROR(VLOOKUP(M702,'02. MM-KLH'!$B$6:$T$823,3,0),"")</f>
        <v>A23-CLT-013</v>
      </c>
      <c r="AA702" s="559" t="str">
        <f t="shared" si="48"/>
        <v>DP</v>
      </c>
      <c r="AB702" s="523"/>
      <c r="AC702" s="523"/>
    </row>
    <row r="703">
      <c r="A703" s="523"/>
      <c r="B703" s="612" t="str">
        <f>IFERROR(VLOOKUP(M703,'02. MM-KLH'!$B$6:$T$823,6,0),"")</f>
        <v>Xe clethon</v>
      </c>
      <c r="C703" s="566">
        <v>1.0</v>
      </c>
      <c r="D703" s="613" t="str">
        <f>IFERROR(VLOOKUP(M703,'02. MM-KLH'!$B$6:$T$823,16,0),"")</f>
        <v>TF150NL-PR2</v>
      </c>
      <c r="E703" s="561" t="s">
        <v>4158</v>
      </c>
      <c r="F703" s="613"/>
      <c r="G703" s="613"/>
      <c r="H703" s="613" t="str">
        <f>IFERROR(VLOOKUP(M703,'02. MM-KLH'!$B$6:$T$823,17,0),"")</f>
        <v>15HP</v>
      </c>
      <c r="I703" s="614">
        <f>IFERROR(VLOOKUP(M703,'02. MM-KLH'!$B$6:$U$823,20,0),"")</f>
        <v>0.5</v>
      </c>
      <c r="J703" s="612" t="str">
        <f>IFERROR(VLOOKUP(M703,'02. MM-KLH'!$B$6:$T$823,19,0),"")</f>
        <v>C0870C</v>
      </c>
      <c r="K703" s="612">
        <f>IFERROR(VLOOKUP(M703,'02. MM-KLH'!$B$6:$T$823,18,0),"")</f>
        <v>203176</v>
      </c>
      <c r="L703" s="613" t="str">
        <f>IFERROR(VLOOKUP(M703,'02. MM-KLH'!$B$6:$T$823,4,0),"")</f>
        <v/>
      </c>
      <c r="M703" s="488" t="s">
        <v>1206</v>
      </c>
      <c r="N703" s="615">
        <f>IFERROR(VLOOKUP(M703,'02. MM-KLH'!$B$6:$T$823,15,0),"")</f>
        <v>2022</v>
      </c>
      <c r="O703" s="616" t="str">
        <f>IFERROR(VLOOKUP(M703,'02. MM-KLH'!$B$6:$T$823,9,0),"")</f>
        <v>24/07/2025</v>
      </c>
      <c r="P703" s="613"/>
      <c r="Q703" s="566"/>
      <c r="R703" s="566" t="s">
        <v>4158</v>
      </c>
      <c r="S703" s="613"/>
      <c r="T703" s="613"/>
      <c r="U703" s="559" t="str">
        <f>IFERROR(VLOOKUP(M703,'02. MM-KLH'!$B$6:$T$823,5,0),"")</f>
        <v>MỚI</v>
      </c>
      <c r="V703" s="523" t="str">
        <f>IFERROR(VLOOKUP(M703,'02. MM-KLH'!$B$6:$T$823,8,0),"")</f>
        <v>XN Chuối DP3</v>
      </c>
      <c r="W703" s="559" t="str">
        <f>IFERROR(VLOOKUP(V703,'NS QUẢN LÝ CG'!$A$4:$D$36,2,0),"")</f>
        <v>Thạch Ngọc Vững</v>
      </c>
      <c r="X703" s="559" t="str">
        <f>IFERROR(VLOOKUP(V703,'NS QUẢN LÝ CG'!$A$4:$D$36,4,0),"")</f>
        <v>Lô 28 DP3</v>
      </c>
      <c r="Y703" s="559" t="str">
        <f>IFERROR(VLOOKUP(V703,'NS QUẢN LÝ CG'!$A$4:$C$36,3,0),"")</f>
        <v>0975905267</v>
      </c>
      <c r="Z703" s="523" t="str">
        <f>IFERROR(VLOOKUP(M703,'02. MM-KLH'!$B$6:$T$823,3,0),"")</f>
        <v>A23-CLT-014</v>
      </c>
      <c r="AA703" s="559" t="str">
        <f t="shared" si="48"/>
        <v>DP</v>
      </c>
      <c r="AB703" s="523"/>
      <c r="AC703" s="523"/>
    </row>
    <row r="704">
      <c r="A704" s="523"/>
      <c r="B704" s="612" t="str">
        <f>IFERROR(VLOOKUP(M704,'02. MM-KLH'!$B$6:$T$823,6,0),"")</f>
        <v>Xe clethon</v>
      </c>
      <c r="C704" s="566">
        <v>1.0</v>
      </c>
      <c r="D704" s="613" t="str">
        <f>IFERROR(VLOOKUP(M704,'02. MM-KLH'!$B$6:$T$823,16,0),"")</f>
        <v>TF150NL-PR2</v>
      </c>
      <c r="E704" s="561" t="s">
        <v>4158</v>
      </c>
      <c r="F704" s="613"/>
      <c r="G704" s="613"/>
      <c r="H704" s="613" t="str">
        <f>IFERROR(VLOOKUP(M704,'02. MM-KLH'!$B$6:$T$823,17,0),"")</f>
        <v>15HP</v>
      </c>
      <c r="I704" s="614">
        <f>IFERROR(VLOOKUP(M704,'02. MM-KLH'!$B$6:$U$823,20,0),"")</f>
        <v>0.5</v>
      </c>
      <c r="J704" s="612" t="str">
        <f>IFERROR(VLOOKUP(M704,'02. MM-KLH'!$B$6:$T$823,19,0),"")</f>
        <v>B2165L</v>
      </c>
      <c r="K704" s="612">
        <f>IFERROR(VLOOKUP(M704,'02. MM-KLH'!$B$6:$T$823,18,0),"")</f>
        <v>203063</v>
      </c>
      <c r="L704" s="613" t="str">
        <f>IFERROR(VLOOKUP(M704,'02. MM-KLH'!$B$6:$T$823,4,0),"")</f>
        <v/>
      </c>
      <c r="M704" s="488" t="s">
        <v>1496</v>
      </c>
      <c r="N704" s="615">
        <f>IFERROR(VLOOKUP(M704,'02. MM-KLH'!$B$6:$T$823,15,0),"")</f>
        <v>2022</v>
      </c>
      <c r="O704" s="616" t="str">
        <f>IFERROR(VLOOKUP(M704,'02. MM-KLH'!$B$6:$T$823,9,0),"")</f>
        <v>24/07/2025</v>
      </c>
      <c r="P704" s="613"/>
      <c r="Q704" s="566"/>
      <c r="R704" s="566" t="s">
        <v>4158</v>
      </c>
      <c r="S704" s="613"/>
      <c r="T704" s="613"/>
      <c r="U704" s="559" t="str">
        <f>IFERROR(VLOOKUP(M704,'02. MM-KLH'!$B$6:$T$823,5,0),"")</f>
        <v>MỚI</v>
      </c>
      <c r="V704" s="523" t="str">
        <f>IFERROR(VLOOKUP(M704,'02. MM-KLH'!$B$6:$T$823,8,0),"")</f>
        <v>XN Chuối LP3</v>
      </c>
      <c r="W704" s="559" t="str">
        <f>IFERROR(VLOOKUP(V704,'NS QUẢN LÝ CG'!$A$4:$D$36,2,0),"")</f>
        <v>Lê Cao Nghị</v>
      </c>
      <c r="X704" s="559" t="str">
        <f>IFERROR(VLOOKUP(V704,'NS QUẢN LÝ CG'!$A$4:$D$36,4,0),"")</f>
        <v>Lô 2 LP3</v>
      </c>
      <c r="Y704" s="559" t="str">
        <f>IFERROR(VLOOKUP(V704,'NS QUẢN LÝ CG'!$A$4:$C$36,3,0),"")</f>
        <v>0977423100</v>
      </c>
      <c r="Z704" s="523" t="str">
        <f>IFERROR(VLOOKUP(M704,'02. MM-KLH'!$B$6:$T$823,3,0),"")</f>
        <v>A24-CLT-001</v>
      </c>
      <c r="AA704" s="559" t="str">
        <f t="shared" si="48"/>
        <v>LP</v>
      </c>
      <c r="AB704" s="523"/>
      <c r="AC704" s="523"/>
    </row>
    <row r="705">
      <c r="A705" s="523"/>
      <c r="B705" s="612" t="str">
        <f>IFERROR(VLOOKUP(M705,'02. MM-KLH'!$B$6:$T$823,6,0),"")</f>
        <v>Xe clethon</v>
      </c>
      <c r="C705" s="566">
        <v>1.0</v>
      </c>
      <c r="D705" s="613" t="str">
        <f>IFERROR(VLOOKUP(M705,'02. MM-KLH'!$B$6:$T$823,16,0),"")</f>
        <v>TF150NL-PR2</v>
      </c>
      <c r="E705" s="561" t="s">
        <v>4158</v>
      </c>
      <c r="F705" s="613"/>
      <c r="G705" s="613"/>
      <c r="H705" s="613" t="str">
        <f>IFERROR(VLOOKUP(M705,'02. MM-KLH'!$B$6:$T$823,17,0),"")</f>
        <v>15HP</v>
      </c>
      <c r="I705" s="614">
        <f>IFERROR(VLOOKUP(M705,'02. MM-KLH'!$B$6:$U$823,20,0),"")</f>
        <v>0.5</v>
      </c>
      <c r="J705" s="612" t="str">
        <f>IFERROR(VLOOKUP(M705,'02. MM-KLH'!$B$6:$T$823,19,0),"")</f>
        <v>B0516M</v>
      </c>
      <c r="K705" s="612">
        <f>IFERROR(VLOOKUP(M705,'02. MM-KLH'!$B$6:$T$823,18,0),"")</f>
        <v>203064</v>
      </c>
      <c r="L705" s="613" t="str">
        <f>IFERROR(VLOOKUP(M705,'02. MM-KLH'!$B$6:$T$823,4,0),"")</f>
        <v/>
      </c>
      <c r="M705" s="488" t="s">
        <v>1499</v>
      </c>
      <c r="N705" s="615">
        <f>IFERROR(VLOOKUP(M705,'02. MM-KLH'!$B$6:$T$823,15,0),"")</f>
        <v>2022</v>
      </c>
      <c r="O705" s="616" t="str">
        <f>IFERROR(VLOOKUP(M705,'02. MM-KLH'!$B$6:$T$823,9,0),"")</f>
        <v>24/07/2025</v>
      </c>
      <c r="P705" s="613"/>
      <c r="Q705" s="566"/>
      <c r="R705" s="566" t="s">
        <v>4158</v>
      </c>
      <c r="S705" s="613"/>
      <c r="T705" s="613"/>
      <c r="U705" s="559" t="str">
        <f>IFERROR(VLOOKUP(M705,'02. MM-KLH'!$B$6:$T$823,5,0),"")</f>
        <v>MỚI</v>
      </c>
      <c r="V705" s="523" t="str">
        <f>IFERROR(VLOOKUP(M705,'02. MM-KLH'!$B$6:$T$823,8,0),"")</f>
        <v>XN Chuối LP3</v>
      </c>
      <c r="W705" s="559" t="str">
        <f>IFERROR(VLOOKUP(V705,'NS QUẢN LÝ CG'!$A$4:$D$36,2,0),"")</f>
        <v>Lê Cao Nghị</v>
      </c>
      <c r="X705" s="559" t="str">
        <f>IFERROR(VLOOKUP(V705,'NS QUẢN LÝ CG'!$A$4:$D$36,4,0),"")</f>
        <v>Lô 2 LP3</v>
      </c>
      <c r="Y705" s="559" t="str">
        <f>IFERROR(VLOOKUP(V705,'NS QUẢN LÝ CG'!$A$4:$C$36,3,0),"")</f>
        <v>0977423100</v>
      </c>
      <c r="Z705" s="523" t="str">
        <f>IFERROR(VLOOKUP(M705,'02. MM-KLH'!$B$6:$T$823,3,0),"")</f>
        <v>A24-CLT-002</v>
      </c>
      <c r="AA705" s="559" t="str">
        <f t="shared" si="48"/>
        <v>LP</v>
      </c>
      <c r="AB705" s="523"/>
      <c r="AC705" s="523"/>
    </row>
    <row r="706">
      <c r="A706" s="523"/>
      <c r="B706" s="612" t="str">
        <f>IFERROR(VLOOKUP(M706,'02. MM-KLH'!$B$6:$T$823,6,0),"")</f>
        <v>Xe clethon</v>
      </c>
      <c r="C706" s="566">
        <v>1.0</v>
      </c>
      <c r="D706" s="613" t="str">
        <f>IFERROR(VLOOKUP(M706,'02. MM-KLH'!$B$6:$T$823,16,0),"")</f>
        <v>TF150NL-PR2</v>
      </c>
      <c r="E706" s="561" t="s">
        <v>4158</v>
      </c>
      <c r="F706" s="613"/>
      <c r="G706" s="613"/>
      <c r="H706" s="613" t="str">
        <f>IFERROR(VLOOKUP(M706,'02. MM-KLH'!$B$6:$T$823,17,0),"")</f>
        <v>15HP</v>
      </c>
      <c r="I706" s="614">
        <f>IFERROR(VLOOKUP(M706,'02. MM-KLH'!$B$6:$U$823,20,0),"")</f>
        <v>0.5</v>
      </c>
      <c r="J706" s="612" t="str">
        <f>IFERROR(VLOOKUP(M706,'02. MM-KLH'!$B$6:$T$823,19,0),"")</f>
        <v>B0502M</v>
      </c>
      <c r="K706" s="612">
        <f>IFERROR(VLOOKUP(M706,'02. MM-KLH'!$B$6:$T$823,18,0),"")</f>
        <v>203067</v>
      </c>
      <c r="L706" s="613" t="str">
        <f>IFERROR(VLOOKUP(M706,'02. MM-KLH'!$B$6:$T$823,4,0),"")</f>
        <v/>
      </c>
      <c r="M706" s="488" t="s">
        <v>1504</v>
      </c>
      <c r="N706" s="615">
        <f>IFERROR(VLOOKUP(M706,'02. MM-KLH'!$B$6:$T$823,15,0),"")</f>
        <v>2022</v>
      </c>
      <c r="O706" s="616" t="str">
        <f>IFERROR(VLOOKUP(M706,'02. MM-KLH'!$B$6:$T$823,9,0),"")</f>
        <v>24/07/2025</v>
      </c>
      <c r="P706" s="613"/>
      <c r="Q706" s="566"/>
      <c r="R706" s="566" t="s">
        <v>4158</v>
      </c>
      <c r="S706" s="613"/>
      <c r="T706" s="613"/>
      <c r="U706" s="559" t="str">
        <f>IFERROR(VLOOKUP(M706,'02. MM-KLH'!$B$6:$T$823,5,0),"")</f>
        <v>MỚI</v>
      </c>
      <c r="V706" s="523" t="str">
        <f>IFERROR(VLOOKUP(M706,'02. MM-KLH'!$B$6:$T$823,8,0),"")</f>
        <v>XN Chuối LP3</v>
      </c>
      <c r="W706" s="559" t="str">
        <f>IFERROR(VLOOKUP(V706,'NS QUẢN LÝ CG'!$A$4:$D$36,2,0),"")</f>
        <v>Lê Cao Nghị</v>
      </c>
      <c r="X706" s="559" t="str">
        <f>IFERROR(VLOOKUP(V706,'NS QUẢN LÝ CG'!$A$4:$D$36,4,0),"")</f>
        <v>Lô 2 LP3</v>
      </c>
      <c r="Y706" s="559" t="str">
        <f>IFERROR(VLOOKUP(V706,'NS QUẢN LÝ CG'!$A$4:$C$36,3,0),"")</f>
        <v>0977423100</v>
      </c>
      <c r="Z706" s="523" t="str">
        <f>IFERROR(VLOOKUP(M706,'02. MM-KLH'!$B$6:$T$823,3,0),"")</f>
        <v>A24-CLT-003</v>
      </c>
      <c r="AA706" s="559" t="str">
        <f t="shared" si="48"/>
        <v>LP</v>
      </c>
      <c r="AB706" s="523"/>
      <c r="AC706" s="523"/>
    </row>
    <row r="707">
      <c r="A707" s="523"/>
      <c r="B707" s="612" t="str">
        <f>IFERROR(VLOOKUP(M707,'02. MM-KLH'!$B$6:$T$823,6,0),"")</f>
        <v>Xe clethon</v>
      </c>
      <c r="C707" s="566">
        <v>1.0</v>
      </c>
      <c r="D707" s="613" t="str">
        <f>IFERROR(VLOOKUP(M707,'02. MM-KLH'!$B$6:$T$823,16,0),"")</f>
        <v>TF150NL-PR2</v>
      </c>
      <c r="E707" s="561" t="s">
        <v>4158</v>
      </c>
      <c r="F707" s="613"/>
      <c r="G707" s="613"/>
      <c r="H707" s="613" t="str">
        <f>IFERROR(VLOOKUP(M707,'02. MM-KLH'!$B$6:$T$823,17,0),"")</f>
        <v>15HP</v>
      </c>
      <c r="I707" s="614">
        <f>IFERROR(VLOOKUP(M707,'02. MM-KLH'!$B$6:$U$823,20,0),"")</f>
        <v>0.5</v>
      </c>
      <c r="J707" s="612" t="str">
        <f>IFERROR(VLOOKUP(M707,'02. MM-KLH'!$B$6:$T$823,19,0),"")</f>
        <v>B2165L</v>
      </c>
      <c r="K707" s="612">
        <f>IFERROR(VLOOKUP(M707,'02. MM-KLH'!$B$6:$T$823,18,0),"")</f>
        <v>203073</v>
      </c>
      <c r="L707" s="613" t="str">
        <f>IFERROR(VLOOKUP(M707,'02. MM-KLH'!$B$6:$T$823,4,0),"")</f>
        <v/>
      </c>
      <c r="M707" s="488" t="s">
        <v>1508</v>
      </c>
      <c r="N707" s="615">
        <f>IFERROR(VLOOKUP(M707,'02. MM-KLH'!$B$6:$T$823,15,0),"")</f>
        <v>2022</v>
      </c>
      <c r="O707" s="616" t="str">
        <f>IFERROR(VLOOKUP(M707,'02. MM-KLH'!$B$6:$T$823,9,0),"")</f>
        <v>24/07/2025</v>
      </c>
      <c r="P707" s="613"/>
      <c r="Q707" s="566"/>
      <c r="R707" s="566"/>
      <c r="S707" s="566" t="s">
        <v>4158</v>
      </c>
      <c r="T707" s="613"/>
      <c r="U707" s="559" t="str">
        <f>IFERROR(VLOOKUP(M707,'02. MM-KLH'!$B$6:$T$823,5,0),"")</f>
        <v>MỚI</v>
      </c>
      <c r="V707" s="523" t="str">
        <f>IFERROR(VLOOKUP(M707,'02. MM-KLH'!$B$6:$T$823,8,0),"")</f>
        <v>XN Chuối LP3</v>
      </c>
      <c r="W707" s="559" t="str">
        <f>IFERROR(VLOOKUP(V707,'NS QUẢN LÝ CG'!$A$4:$D$36,2,0),"")</f>
        <v>Lê Cao Nghị</v>
      </c>
      <c r="X707" s="559" t="str">
        <f>IFERROR(VLOOKUP(V707,'NS QUẢN LÝ CG'!$A$4:$D$36,4,0),"")</f>
        <v>Lô 2 LP3</v>
      </c>
      <c r="Y707" s="559" t="str">
        <f>IFERROR(VLOOKUP(V707,'NS QUẢN LÝ CG'!$A$4:$C$36,3,0),"")</f>
        <v>0977423100</v>
      </c>
      <c r="Z707" s="523" t="str">
        <f>IFERROR(VLOOKUP(M707,'02. MM-KLH'!$B$6:$T$823,3,0),"")</f>
        <v>A24-CLT-004</v>
      </c>
      <c r="AA707" s="559" t="str">
        <f t="shared" si="48"/>
        <v>LP</v>
      </c>
      <c r="AB707" s="523"/>
      <c r="AC707" s="523"/>
    </row>
    <row r="708">
      <c r="A708" s="523"/>
      <c r="B708" s="612" t="str">
        <f>IFERROR(VLOOKUP(M708,'02. MM-KLH'!$B$6:$T$823,6,0),"")</f>
        <v>Xe clethon</v>
      </c>
      <c r="C708" s="566">
        <v>1.0</v>
      </c>
      <c r="D708" s="613" t="str">
        <f>IFERROR(VLOOKUP(M708,'02. MM-KLH'!$B$6:$T$823,16,0),"")</f>
        <v>TF150NL-PR2</v>
      </c>
      <c r="E708" s="561" t="s">
        <v>4158</v>
      </c>
      <c r="F708" s="613"/>
      <c r="G708" s="613"/>
      <c r="H708" s="613" t="str">
        <f>IFERROR(VLOOKUP(M708,'02. MM-KLH'!$B$6:$T$823,17,0),"")</f>
        <v>15HP</v>
      </c>
      <c r="I708" s="614">
        <f>IFERROR(VLOOKUP(M708,'02. MM-KLH'!$B$6:$U$823,20,0),"")</f>
        <v>0.5</v>
      </c>
      <c r="J708" s="612" t="str">
        <f>IFERROR(VLOOKUP(M708,'02. MM-KLH'!$B$6:$T$823,19,0),"")</f>
        <v>B2103L</v>
      </c>
      <c r="K708" s="612">
        <f>IFERROR(VLOOKUP(M708,'02. MM-KLH'!$B$6:$T$823,18,0),"")</f>
        <v>203077</v>
      </c>
      <c r="L708" s="613" t="str">
        <f>IFERROR(VLOOKUP(M708,'02. MM-KLH'!$B$6:$T$823,4,0),"")</f>
        <v/>
      </c>
      <c r="M708" s="488" t="s">
        <v>1510</v>
      </c>
      <c r="N708" s="615">
        <f>IFERROR(VLOOKUP(M708,'02. MM-KLH'!$B$6:$T$823,15,0),"")</f>
        <v>2022</v>
      </c>
      <c r="O708" s="616" t="str">
        <f>IFERROR(VLOOKUP(M708,'02. MM-KLH'!$B$6:$T$823,9,0),"")</f>
        <v>24/07/2025</v>
      </c>
      <c r="P708" s="613"/>
      <c r="Q708" s="566"/>
      <c r="R708" s="566" t="s">
        <v>4158</v>
      </c>
      <c r="S708" s="613"/>
      <c r="T708" s="613"/>
      <c r="U708" s="559" t="str">
        <f>IFERROR(VLOOKUP(M708,'02. MM-KLH'!$B$6:$T$823,5,0),"")</f>
        <v>MỚI</v>
      </c>
      <c r="V708" s="523" t="str">
        <f>IFERROR(VLOOKUP(M708,'02. MM-KLH'!$B$6:$T$823,8,0),"")</f>
        <v>XN Chuối LP3</v>
      </c>
      <c r="W708" s="559" t="str">
        <f>IFERROR(VLOOKUP(V708,'NS QUẢN LÝ CG'!$A$4:$D$36,2,0),"")</f>
        <v>Lê Cao Nghị</v>
      </c>
      <c r="X708" s="559" t="str">
        <f>IFERROR(VLOOKUP(V708,'NS QUẢN LÝ CG'!$A$4:$D$36,4,0),"")</f>
        <v>Lô 2 LP3</v>
      </c>
      <c r="Y708" s="559" t="str">
        <f>IFERROR(VLOOKUP(V708,'NS QUẢN LÝ CG'!$A$4:$C$36,3,0),"")</f>
        <v>0977423100</v>
      </c>
      <c r="Z708" s="523" t="str">
        <f>IFERROR(VLOOKUP(M708,'02. MM-KLH'!$B$6:$T$823,3,0),"")</f>
        <v>A24-CLT-005</v>
      </c>
      <c r="AA708" s="559" t="str">
        <f t="shared" si="48"/>
        <v>LP</v>
      </c>
      <c r="AB708" s="523"/>
      <c r="AC708" s="523"/>
    </row>
    <row r="709">
      <c r="A709" s="523"/>
      <c r="B709" s="612" t="str">
        <f>IFERROR(VLOOKUP(M709,'02. MM-KLH'!$B$6:$T$823,6,0),"")</f>
        <v>Xe clethon</v>
      </c>
      <c r="C709" s="566">
        <v>1.0</v>
      </c>
      <c r="D709" s="613" t="str">
        <f>IFERROR(VLOOKUP(M709,'02. MM-KLH'!$B$6:$T$823,16,0),"")</f>
        <v/>
      </c>
      <c r="E709" s="561" t="s">
        <v>4158</v>
      </c>
      <c r="F709" s="613"/>
      <c r="G709" s="613"/>
      <c r="H709" s="613" t="str">
        <f>IFERROR(VLOOKUP(M709,'02. MM-KLH'!$B$6:$T$823,17,0),"")</f>
        <v>15HP</v>
      </c>
      <c r="I709" s="614">
        <f>IFERROR(VLOOKUP(M709,'02. MM-KLH'!$B$6:$U$823,20,0),"")</f>
        <v>1</v>
      </c>
      <c r="J709" s="612" t="str">
        <f>IFERROR(VLOOKUP(M709,'02. MM-KLH'!$B$6:$T$823,19,0),"")</f>
        <v>CCN</v>
      </c>
      <c r="K709" s="612" t="str">
        <f>IFERROR(VLOOKUP(M709,'02. MM-KLH'!$B$6:$T$823,18,0),"")</f>
        <v>RT140DI-19080197</v>
      </c>
      <c r="L709" s="613" t="str">
        <f>IFERROR(VLOOKUP(M709,'02. MM-KLH'!$B$6:$T$823,4,0),"")</f>
        <v/>
      </c>
      <c r="M709" s="488" t="s">
        <v>1557</v>
      </c>
      <c r="N709" s="615" t="str">
        <f>IFERROR(VLOOKUP(M709,'02. MM-KLH'!$B$6:$T$823,15,0),"")</f>
        <v/>
      </c>
      <c r="O709" s="616" t="str">
        <f>IFERROR(VLOOKUP(M709,'02. MM-KLH'!$B$6:$T$823,9,0),"")</f>
        <v/>
      </c>
      <c r="P709" s="613"/>
      <c r="Q709" s="566"/>
      <c r="R709" s="566" t="s">
        <v>4158</v>
      </c>
      <c r="S709" s="613"/>
      <c r="T709" s="613"/>
      <c r="U709" s="559" t="str">
        <f>IFERROR(VLOOKUP(M709,'02. MM-KLH'!$B$6:$T$823,5,0),"")</f>
        <v>ĐQSD</v>
      </c>
      <c r="V709" s="523" t="str">
        <f>IFERROR(VLOOKUP(M709,'02. MM-KLH'!$B$6:$T$823,8,0),"")</f>
        <v>Xoài DP</v>
      </c>
      <c r="W709" s="559" t="str">
        <f>IFERROR(VLOOKUP(V709,'NS QUẢN LÝ CG'!$A$4:$D$36,2,0),"")</f>
        <v>Hà Văn Nghĩa</v>
      </c>
      <c r="X709" s="559" t="str">
        <f>IFERROR(VLOOKUP(V709,'NS QUẢN LÝ CG'!$A$4:$D$36,4,0),"")</f>
        <v>Lô 136 XN Xoài</v>
      </c>
      <c r="Y709" s="559" t="str">
        <f>IFERROR(VLOOKUP(V709,'NS QUẢN LÝ CG'!$A$4:$C$36,3,0),"")</f>
        <v>0813564564</v>
      </c>
      <c r="Z709" s="523" t="str">
        <f>IFERROR(VLOOKUP(M709,'02. MM-KLH'!$B$6:$T$823,3,0),"")</f>
        <v/>
      </c>
      <c r="AA709" s="559" t="str">
        <f t="shared" si="48"/>
        <v/>
      </c>
      <c r="AB709" s="523"/>
      <c r="AC709" s="523"/>
    </row>
    <row r="710">
      <c r="A710" s="523"/>
      <c r="B710" s="612" t="str">
        <f>IFERROR(VLOOKUP(M710,'02. MM-KLH'!$B$6:$T$823,6,0),"")</f>
        <v>Xe clethon</v>
      </c>
      <c r="C710" s="566">
        <v>1.0</v>
      </c>
      <c r="D710" s="613" t="str">
        <f>IFERROR(VLOOKUP(M710,'02. MM-KLH'!$B$6:$T$823,16,0),"")</f>
        <v/>
      </c>
      <c r="E710" s="561" t="s">
        <v>4158</v>
      </c>
      <c r="F710" s="613"/>
      <c r="G710" s="613"/>
      <c r="H710" s="613" t="str">
        <f>IFERROR(VLOOKUP(M710,'02. MM-KLH'!$B$6:$T$823,17,0),"")</f>
        <v>15HP</v>
      </c>
      <c r="I710" s="614">
        <f>IFERROR(VLOOKUP(M710,'02. MM-KLH'!$B$6:$U$823,20,0),"")</f>
        <v>1</v>
      </c>
      <c r="J710" s="612" t="str">
        <f>IFERROR(VLOOKUP(M710,'02. MM-KLH'!$B$6:$T$823,19,0),"")</f>
        <v>CCN</v>
      </c>
      <c r="K710" s="612" t="str">
        <f>IFERROR(VLOOKUP(M710,'02. MM-KLH'!$B$6:$T$823,18,0),"")</f>
        <v>RT140DI-19011.978</v>
      </c>
      <c r="L710" s="613" t="str">
        <f>IFERROR(VLOOKUP(M710,'02. MM-KLH'!$B$6:$T$823,4,0),"")</f>
        <v/>
      </c>
      <c r="M710" s="488" t="s">
        <v>1563</v>
      </c>
      <c r="N710" s="615" t="str">
        <f>IFERROR(VLOOKUP(M710,'02. MM-KLH'!$B$6:$T$823,15,0),"")</f>
        <v/>
      </c>
      <c r="O710" s="616" t="str">
        <f>IFERROR(VLOOKUP(M710,'02. MM-KLH'!$B$6:$T$823,9,0),"")</f>
        <v/>
      </c>
      <c r="P710" s="613"/>
      <c r="Q710" s="566"/>
      <c r="R710" s="566" t="s">
        <v>4158</v>
      </c>
      <c r="S710" s="613"/>
      <c r="T710" s="613"/>
      <c r="U710" s="559" t="str">
        <f>IFERROR(VLOOKUP(M710,'02. MM-KLH'!$B$6:$T$823,5,0),"")</f>
        <v>ĐQSD</v>
      </c>
      <c r="V710" s="523" t="str">
        <f>IFERROR(VLOOKUP(M710,'02. MM-KLH'!$B$6:$T$823,8,0),"")</f>
        <v>Xoài DP</v>
      </c>
      <c r="W710" s="559" t="str">
        <f>IFERROR(VLOOKUP(V710,'NS QUẢN LÝ CG'!$A$4:$D$36,2,0),"")</f>
        <v>Hà Văn Nghĩa</v>
      </c>
      <c r="X710" s="559" t="str">
        <f>IFERROR(VLOOKUP(V710,'NS QUẢN LÝ CG'!$A$4:$D$36,4,0),"")</f>
        <v>Lô 136 XN Xoài</v>
      </c>
      <c r="Y710" s="559" t="str">
        <f>IFERROR(VLOOKUP(V710,'NS QUẢN LÝ CG'!$A$4:$C$36,3,0),"")</f>
        <v>0813564564</v>
      </c>
      <c r="Z710" s="523" t="str">
        <f>IFERROR(VLOOKUP(M710,'02. MM-KLH'!$B$6:$T$823,3,0),"")</f>
        <v/>
      </c>
      <c r="AA710" s="559" t="str">
        <f t="shared" si="48"/>
        <v/>
      </c>
      <c r="AB710" s="523"/>
      <c r="AC710" s="523"/>
    </row>
    <row r="711">
      <c r="A711" s="523"/>
      <c r="B711" s="612" t="str">
        <f>IFERROR(VLOOKUP(M711,'02. MM-KLH'!$B$6:$T$823,6,0),"")</f>
        <v>Xe clethon</v>
      </c>
      <c r="C711" s="566">
        <v>1.0</v>
      </c>
      <c r="D711" s="613" t="str">
        <f>IFERROR(VLOOKUP(M711,'02. MM-KLH'!$B$6:$T$823,16,0),"")</f>
        <v/>
      </c>
      <c r="E711" s="561" t="s">
        <v>4158</v>
      </c>
      <c r="F711" s="613"/>
      <c r="G711" s="613"/>
      <c r="H711" s="613" t="str">
        <f>IFERROR(VLOOKUP(M711,'02. MM-KLH'!$B$6:$T$823,17,0),"")</f>
        <v>15HP</v>
      </c>
      <c r="I711" s="614">
        <f>IFERROR(VLOOKUP(M711,'02. MM-KLH'!$B$6:$U$823,20,0),"")</f>
        <v>0.5</v>
      </c>
      <c r="J711" s="612" t="str">
        <f>IFERROR(VLOOKUP(M711,'02. MM-KLH'!$B$6:$T$823,19,0),"")</f>
        <v>CCN</v>
      </c>
      <c r="K711" s="612" t="str">
        <f>IFERROR(VLOOKUP(M711,'02. MM-KLH'!$B$6:$T$823,18,0),"")</f>
        <v/>
      </c>
      <c r="L711" s="613" t="str">
        <f>IFERROR(VLOOKUP(M711,'02. MM-KLH'!$B$6:$T$823,4,0),"")</f>
        <v/>
      </c>
      <c r="M711" s="490" t="s">
        <v>1580</v>
      </c>
      <c r="N711" s="615" t="str">
        <f>IFERROR(VLOOKUP(M711,'02. MM-KLH'!$B$6:$T$823,15,0),"")</f>
        <v/>
      </c>
      <c r="O711" s="616" t="str">
        <f>IFERROR(VLOOKUP(M711,'02. MM-KLH'!$B$6:$T$823,9,0),"")</f>
        <v/>
      </c>
      <c r="P711" s="613"/>
      <c r="Q711" s="566"/>
      <c r="R711" s="566" t="s">
        <v>4158</v>
      </c>
      <c r="S711" s="613"/>
      <c r="T711" s="613"/>
      <c r="U711" s="559" t="str">
        <f>IFERROR(VLOOKUP(M711,'02. MM-KLH'!$B$6:$T$823,5,0),"")</f>
        <v>ĐQSD</v>
      </c>
      <c r="V711" s="523" t="str">
        <f>IFERROR(VLOOKUP(M711,'02. MM-KLH'!$B$6:$T$823,8,0),"")</f>
        <v>BƯỞI AD</v>
      </c>
      <c r="W711" s="559" t="str">
        <f>IFERROR(VLOOKUP(V711,'NS QUẢN LÝ CG'!$A$4:$D$36,2,0),"")</f>
        <v>Huỳnh Đông Giang</v>
      </c>
      <c r="X711" s="559" t="str">
        <f>IFERROR(VLOOKUP(V711,'NS QUẢN LÝ CG'!$A$4:$D$36,4,0),"")</f>
        <v>Lô 132 XN AD</v>
      </c>
      <c r="Y711" s="559" t="str">
        <f>IFERROR(VLOOKUP(V711,'NS QUẢN LÝ CG'!$A$4:$C$36,3,0),"")</f>
        <v>0972283372</v>
      </c>
      <c r="Z711" s="523" t="str">
        <f>IFERROR(VLOOKUP(M711,'02. MM-KLH'!$B$6:$T$823,3,0),"")</f>
        <v>ATT-A22-0242</v>
      </c>
      <c r="AA711" s="559" t="str">
        <f t="shared" si="48"/>
        <v/>
      </c>
      <c r="AB711" s="523"/>
      <c r="AC711" s="523"/>
    </row>
    <row r="712">
      <c r="A712" s="523"/>
      <c r="B712" s="612" t="str">
        <f>IFERROR(VLOOKUP(M712,'02. MM-KLH'!$B$6:$T$823,6,0),"")</f>
        <v>Xe clethon</v>
      </c>
      <c r="C712" s="566">
        <v>1.0</v>
      </c>
      <c r="D712" s="613" t="str">
        <f>IFERROR(VLOOKUP(M712,'02. MM-KLH'!$B$6:$T$823,16,0),"")</f>
        <v/>
      </c>
      <c r="E712" s="561" t="s">
        <v>4158</v>
      </c>
      <c r="F712" s="613"/>
      <c r="G712" s="613"/>
      <c r="H712" s="613" t="str">
        <f>IFERROR(VLOOKUP(M712,'02. MM-KLH'!$B$6:$T$823,17,0),"")</f>
        <v/>
      </c>
      <c r="I712" s="614">
        <f>IFERROR(VLOOKUP(M712,'02. MM-KLH'!$B$6:$U$823,20,0),"")</f>
        <v>0.5</v>
      </c>
      <c r="J712" s="612" t="str">
        <f>IFERROR(VLOOKUP(M712,'02. MM-KLH'!$B$6:$T$823,19,0),"")</f>
        <v>CCN</v>
      </c>
      <c r="K712" s="612" t="str">
        <f>IFERROR(VLOOKUP(M712,'02. MM-KLH'!$B$6:$T$823,18,0),"")</f>
        <v>RT140DI-19011.483</v>
      </c>
      <c r="L712" s="613" t="str">
        <f>IFERROR(VLOOKUP(M712,'02. MM-KLH'!$B$6:$T$823,4,0),"")</f>
        <v/>
      </c>
      <c r="M712" s="490" t="s">
        <v>1627</v>
      </c>
      <c r="N712" s="615" t="str">
        <f>IFERROR(VLOOKUP(M712,'02. MM-KLH'!$B$6:$T$823,15,0),"")</f>
        <v/>
      </c>
      <c r="O712" s="616" t="str">
        <f>IFERROR(VLOOKUP(M712,'02. MM-KLH'!$B$6:$T$823,9,0),"")</f>
        <v/>
      </c>
      <c r="P712" s="613"/>
      <c r="Q712" s="566"/>
      <c r="R712" s="566" t="s">
        <v>4158</v>
      </c>
      <c r="S712" s="613"/>
      <c r="T712" s="613"/>
      <c r="U712" s="559" t="str">
        <f>IFERROR(VLOOKUP(M712,'02. MM-KLH'!$B$6:$T$823,5,0),"")</f>
        <v>ĐQSD</v>
      </c>
      <c r="V712" s="523" t="str">
        <f>IFERROR(VLOOKUP(M712,'02. MM-KLH'!$B$6:$T$823,8,0),"")</f>
        <v>XOÀI AD</v>
      </c>
      <c r="W712" s="559" t="str">
        <f>IFERROR(VLOOKUP(V712,'NS QUẢN LÝ CG'!$A$4:$D$36,2,0),"")</f>
        <v>Huỳnh Đông Giang</v>
      </c>
      <c r="X712" s="559" t="str">
        <f>IFERROR(VLOOKUP(V712,'NS QUẢN LÝ CG'!$A$4:$D$36,4,0),"")</f>
        <v>Lô 132 XN AD</v>
      </c>
      <c r="Y712" s="559" t="str">
        <f>IFERROR(VLOOKUP(V712,'NS QUẢN LÝ CG'!$A$4:$C$36,3,0),"")</f>
        <v>0972283372</v>
      </c>
      <c r="Z712" s="523" t="str">
        <f>IFERROR(VLOOKUP(M712,'02. MM-KLH'!$B$6:$T$823,3,0),"")</f>
        <v>ATT-A22-0242</v>
      </c>
      <c r="AA712" s="559" t="str">
        <f t="shared" si="48"/>
        <v/>
      </c>
      <c r="AB712" s="523"/>
      <c r="AC712" s="523"/>
    </row>
    <row r="713">
      <c r="A713" s="523"/>
      <c r="B713" s="612" t="str">
        <f>IFERROR(VLOOKUP(M713,'02. MM-KLH'!$B$6:$T$823,6,0),"")</f>
        <v>Xe clethon</v>
      </c>
      <c r="C713" s="566">
        <v>1.0</v>
      </c>
      <c r="D713" s="613" t="str">
        <f>IFERROR(VLOOKUP(M713,'02. MM-KLH'!$B$6:$T$823,16,0),"")</f>
        <v>TF150N</v>
      </c>
      <c r="E713" s="561" t="s">
        <v>4158</v>
      </c>
      <c r="F713" s="613"/>
      <c r="G713" s="613"/>
      <c r="H713" s="613" t="str">
        <f>IFERROR(VLOOKUP(M713,'02. MM-KLH'!$B$6:$T$823,17,0),"")</f>
        <v>15HP</v>
      </c>
      <c r="I713" s="614">
        <f>IFERROR(VLOOKUP(M713,'02. MM-KLH'!$B$6:$U$823,20,0),"")</f>
        <v>0.5</v>
      </c>
      <c r="J713" s="612" t="str">
        <f>IFERROR(VLOOKUP(M713,'02. MM-KLH'!$B$6:$T$823,19,0),"")</f>
        <v>B2116J</v>
      </c>
      <c r="K713" s="612">
        <f>IFERROR(VLOOKUP(M713,'02. MM-KLH'!$B$6:$T$823,18,0),"")</f>
        <v>203373</v>
      </c>
      <c r="L713" s="613" t="str">
        <f>IFERROR(VLOOKUP(M713,'02. MM-KLH'!$B$6:$T$823,4,0),"")</f>
        <v/>
      </c>
      <c r="M713" s="488" t="s">
        <v>2273</v>
      </c>
      <c r="N713" s="615">
        <f>IFERROR(VLOOKUP(M713,'02. MM-KLH'!$B$6:$T$823,15,0),"")</f>
        <v>2022</v>
      </c>
      <c r="O713" s="616">
        <f>IFERROR(VLOOKUP(M713,'02. MM-KLH'!$B$6:$T$823,9,0),"")</f>
        <v>45606</v>
      </c>
      <c r="P713" s="613"/>
      <c r="Q713" s="566"/>
      <c r="R713" s="566" t="s">
        <v>4158</v>
      </c>
      <c r="S713" s="613"/>
      <c r="T713" s="566" t="s">
        <v>4158</v>
      </c>
      <c r="U713" s="559" t="str">
        <f>IFERROR(VLOOKUP(M713,'02. MM-KLH'!$B$6:$T$823,5,0),"")</f>
        <v>MỚI</v>
      </c>
      <c r="V713" s="523" t="str">
        <f>IFERROR(VLOOKUP(M713,'02. MM-KLH'!$B$6:$T$823,8,0),"")</f>
        <v>XN Bò AD</v>
      </c>
      <c r="W713" s="559" t="str">
        <f>IFERROR(VLOOKUP(V713,'NS QUẢN LÝ CG'!$A$4:$D$36,2,0),"")</f>
        <v>Trần Văn Nam</v>
      </c>
      <c r="X713" s="559" t="str">
        <f>IFERROR(VLOOKUP(V713,'NS QUẢN LÝ CG'!$A$4:$D$36,4,0),"")</f>
        <v>Lô 28 XN Bò</v>
      </c>
      <c r="Y713" s="559" t="str">
        <f>IFERROR(VLOOKUP(V713,'NS QUẢN LÝ CG'!$A$4:$C$36,3,0),"")</f>
        <v>0971993540</v>
      </c>
      <c r="Z713" s="523" t="str">
        <f>IFERROR(VLOOKUP(M713,'02. MM-KLH'!$B$6:$T$823,3,0),"")</f>
        <v>A22-CLT-001</v>
      </c>
      <c r="AA713" s="559" t="str">
        <f t="shared" si="48"/>
        <v>ADM</v>
      </c>
      <c r="AB713" s="523"/>
      <c r="AC713" s="523"/>
    </row>
    <row r="714">
      <c r="A714" s="523"/>
      <c r="B714" s="612" t="str">
        <f>IFERROR(VLOOKUP(M714,'02. MM-KLH'!$B$6:$T$823,6,0),"")</f>
        <v>Xe clethon</v>
      </c>
      <c r="C714" s="566">
        <v>1.0</v>
      </c>
      <c r="D714" s="613" t="str">
        <f>IFERROR(VLOOKUP(M714,'02. MM-KLH'!$B$6:$T$823,16,0),"")</f>
        <v>TF150N</v>
      </c>
      <c r="E714" s="561" t="s">
        <v>4158</v>
      </c>
      <c r="F714" s="613"/>
      <c r="G714" s="613"/>
      <c r="H714" s="613" t="str">
        <f>IFERROR(VLOOKUP(M714,'02. MM-KLH'!$B$6:$T$823,17,0),"")</f>
        <v>15HP</v>
      </c>
      <c r="I714" s="614">
        <f>IFERROR(VLOOKUP(M714,'02. MM-KLH'!$B$6:$U$823,20,0),"")</f>
        <v>0.5</v>
      </c>
      <c r="J714" s="612" t="str">
        <f>IFERROR(VLOOKUP(M714,'02. MM-KLH'!$B$6:$T$823,19,0),"")</f>
        <v>B1779J</v>
      </c>
      <c r="K714" s="612">
        <f>IFERROR(VLOOKUP(M714,'02. MM-KLH'!$B$6:$T$823,18,0),"")</f>
        <v>203356</v>
      </c>
      <c r="L714" s="613" t="str">
        <f>IFERROR(VLOOKUP(M714,'02. MM-KLH'!$B$6:$T$823,4,0),"")</f>
        <v/>
      </c>
      <c r="M714" s="488" t="s">
        <v>2277</v>
      </c>
      <c r="N714" s="615">
        <f>IFERROR(VLOOKUP(M714,'02. MM-KLH'!$B$6:$T$823,15,0),"")</f>
        <v>2022</v>
      </c>
      <c r="O714" s="616">
        <f>IFERROR(VLOOKUP(M714,'02. MM-KLH'!$B$6:$T$823,9,0),"")</f>
        <v>45606</v>
      </c>
      <c r="P714" s="613"/>
      <c r="Q714" s="566"/>
      <c r="R714" s="566" t="s">
        <v>4158</v>
      </c>
      <c r="S714" s="613"/>
      <c r="T714" s="613"/>
      <c r="U714" s="559" t="str">
        <f>IFERROR(VLOOKUP(M714,'02. MM-KLH'!$B$6:$T$823,5,0),"")</f>
        <v>MỚI</v>
      </c>
      <c r="V714" s="523" t="str">
        <f>IFERROR(VLOOKUP(M714,'02. MM-KLH'!$B$6:$T$823,8,0),"")</f>
        <v>XN Bò AD</v>
      </c>
      <c r="W714" s="559" t="str">
        <f>IFERROR(VLOOKUP(V714,'NS QUẢN LÝ CG'!$A$4:$D$36,2,0),"")</f>
        <v>Trần Văn Nam</v>
      </c>
      <c r="X714" s="559" t="str">
        <f>IFERROR(VLOOKUP(V714,'NS QUẢN LÝ CG'!$A$4:$D$36,4,0),"")</f>
        <v>Lô 28 XN Bò</v>
      </c>
      <c r="Y714" s="559" t="str">
        <f>IFERROR(VLOOKUP(V714,'NS QUẢN LÝ CG'!$A$4:$C$36,3,0),"")</f>
        <v>0971993540</v>
      </c>
      <c r="Z714" s="523" t="str">
        <f>IFERROR(VLOOKUP(M714,'02. MM-KLH'!$B$6:$T$823,3,0),"")</f>
        <v>A22-CLT-002</v>
      </c>
      <c r="AA714" s="559" t="str">
        <f t="shared" si="48"/>
        <v>ADM</v>
      </c>
      <c r="AB714" s="523"/>
      <c r="AC714" s="523"/>
    </row>
    <row r="715">
      <c r="A715" s="523"/>
      <c r="B715" s="612" t="str">
        <f>IFERROR(VLOOKUP(M715,'02. MM-KLH'!$B$6:$T$823,6,0),"")</f>
        <v>Xe clethon</v>
      </c>
      <c r="C715" s="566">
        <v>1.0</v>
      </c>
      <c r="D715" s="613" t="str">
        <f>IFERROR(VLOOKUP(M715,'02. MM-KLH'!$B$6:$T$823,16,0),"")</f>
        <v>TF150N</v>
      </c>
      <c r="E715" s="561" t="s">
        <v>4158</v>
      </c>
      <c r="F715" s="613"/>
      <c r="G715" s="613"/>
      <c r="H715" s="613" t="str">
        <f>IFERROR(VLOOKUP(M715,'02. MM-KLH'!$B$6:$T$823,17,0),"")</f>
        <v>15HP</v>
      </c>
      <c r="I715" s="614">
        <f>IFERROR(VLOOKUP(M715,'02. MM-KLH'!$B$6:$U$823,20,0),"")</f>
        <v>0.5</v>
      </c>
      <c r="J715" s="612" t="str">
        <f>IFERROR(VLOOKUP(M715,'02. MM-KLH'!$B$6:$T$823,19,0),"")</f>
        <v>C1205A</v>
      </c>
      <c r="K715" s="612">
        <f>IFERROR(VLOOKUP(M715,'02. MM-KLH'!$B$6:$T$823,18,0),"")</f>
        <v>202927</v>
      </c>
      <c r="L715" s="613" t="str">
        <f>IFERROR(VLOOKUP(M715,'02. MM-KLH'!$B$6:$T$823,4,0),"")</f>
        <v/>
      </c>
      <c r="M715" s="488" t="s">
        <v>2280</v>
      </c>
      <c r="N715" s="615">
        <f>IFERROR(VLOOKUP(M715,'02. MM-KLH'!$B$6:$T$823,15,0),"")</f>
        <v>2022</v>
      </c>
      <c r="O715" s="616">
        <f>IFERROR(VLOOKUP(M715,'02. MM-KLH'!$B$6:$T$823,9,0),"")</f>
        <v>45393</v>
      </c>
      <c r="P715" s="613"/>
      <c r="Q715" s="566"/>
      <c r="R715" s="613"/>
      <c r="S715" s="566" t="s">
        <v>4158</v>
      </c>
      <c r="T715" s="613"/>
      <c r="U715" s="559" t="str">
        <f>IFERROR(VLOOKUP(M715,'02. MM-KLH'!$B$6:$T$823,5,0),"")</f>
        <v>MỚI</v>
      </c>
      <c r="V715" s="523" t="str">
        <f>IFERROR(VLOOKUP(M715,'02. MM-KLH'!$B$6:$T$823,8,0),"")</f>
        <v>XN Bò AD</v>
      </c>
      <c r="W715" s="559" t="str">
        <f>IFERROR(VLOOKUP(V715,'NS QUẢN LÝ CG'!$A$4:$D$36,2,0),"")</f>
        <v>Trần Văn Nam</v>
      </c>
      <c r="X715" s="559" t="str">
        <f>IFERROR(VLOOKUP(V715,'NS QUẢN LÝ CG'!$A$4:$D$36,4,0),"")</f>
        <v>Lô 28 XN Bò</v>
      </c>
      <c r="Y715" s="559" t="str">
        <f>IFERROR(VLOOKUP(V715,'NS QUẢN LÝ CG'!$A$4:$C$36,3,0),"")</f>
        <v>0971993540</v>
      </c>
      <c r="Z715" s="523" t="str">
        <f>IFERROR(VLOOKUP(M715,'02. MM-KLH'!$B$6:$T$823,3,0),"")</f>
        <v>A22-CLT-003</v>
      </c>
      <c r="AA715" s="559" t="str">
        <f t="shared" si="48"/>
        <v>ADM</v>
      </c>
      <c r="AB715" s="523"/>
      <c r="AC715" s="523"/>
    </row>
    <row r="716">
      <c r="A716" s="523"/>
      <c r="B716" s="612" t="str">
        <f>IFERROR(VLOOKUP(M716,'02. MM-KLH'!$B$6:$T$823,6,0),"")</f>
        <v>Xe clethon</v>
      </c>
      <c r="C716" s="566">
        <v>1.0</v>
      </c>
      <c r="D716" s="613" t="str">
        <f>IFERROR(VLOOKUP(M716,'02. MM-KLH'!$B$6:$T$823,16,0),"")</f>
        <v>TF150N</v>
      </c>
      <c r="E716" s="561" t="s">
        <v>4158</v>
      </c>
      <c r="F716" s="613"/>
      <c r="G716" s="613"/>
      <c r="H716" s="613" t="str">
        <f>IFERROR(VLOOKUP(M716,'02. MM-KLH'!$B$6:$T$823,17,0),"")</f>
        <v>15HP</v>
      </c>
      <c r="I716" s="614">
        <f>IFERROR(VLOOKUP(M716,'02. MM-KLH'!$B$6:$U$823,20,0),"")</f>
        <v>0.5</v>
      </c>
      <c r="J716" s="612" t="str">
        <f>IFERROR(VLOOKUP(M716,'02. MM-KLH'!$B$6:$T$823,19,0),"")</f>
        <v>C1498A</v>
      </c>
      <c r="K716" s="612">
        <f>IFERROR(VLOOKUP(M716,'02. MM-KLH'!$B$6:$T$823,18,0),"")</f>
        <v>202929</v>
      </c>
      <c r="L716" s="613" t="str">
        <f>IFERROR(VLOOKUP(M716,'02. MM-KLH'!$B$6:$T$823,4,0),"")</f>
        <v/>
      </c>
      <c r="M716" s="488" t="s">
        <v>2283</v>
      </c>
      <c r="N716" s="615">
        <f>IFERROR(VLOOKUP(M716,'02. MM-KLH'!$B$6:$T$823,15,0),"")</f>
        <v>2022</v>
      </c>
      <c r="O716" s="616">
        <f>IFERROR(VLOOKUP(M716,'02. MM-KLH'!$B$6:$T$823,9,0),"")</f>
        <v>45393</v>
      </c>
      <c r="P716" s="613"/>
      <c r="Q716" s="566"/>
      <c r="R716" s="613"/>
      <c r="S716" s="566" t="s">
        <v>4158</v>
      </c>
      <c r="T716" s="613"/>
      <c r="U716" s="559" t="str">
        <f>IFERROR(VLOOKUP(M716,'02. MM-KLH'!$B$6:$T$823,5,0),"")</f>
        <v>MỚI</v>
      </c>
      <c r="V716" s="523" t="str">
        <f>IFERROR(VLOOKUP(M716,'02. MM-KLH'!$B$6:$T$823,8,0),"")</f>
        <v>XN Bò AD</v>
      </c>
      <c r="W716" s="559" t="str">
        <f>IFERROR(VLOOKUP(V716,'NS QUẢN LÝ CG'!$A$4:$D$36,2,0),"")</f>
        <v>Trần Văn Nam</v>
      </c>
      <c r="X716" s="559" t="str">
        <f>IFERROR(VLOOKUP(V716,'NS QUẢN LÝ CG'!$A$4:$D$36,4,0),"")</f>
        <v>Lô 28 XN Bò</v>
      </c>
      <c r="Y716" s="559" t="str">
        <f>IFERROR(VLOOKUP(V716,'NS QUẢN LÝ CG'!$A$4:$C$36,3,0),"")</f>
        <v>0971993540</v>
      </c>
      <c r="Z716" s="523" t="str">
        <f>IFERROR(VLOOKUP(M716,'02. MM-KLH'!$B$6:$T$823,3,0),"")</f>
        <v>A22-CLT-004</v>
      </c>
      <c r="AA716" s="559" t="str">
        <f t="shared" si="48"/>
        <v>ADM</v>
      </c>
      <c r="AB716" s="523"/>
      <c r="AC716" s="523"/>
    </row>
    <row r="717">
      <c r="A717" s="523"/>
      <c r="B717" s="612" t="str">
        <f>IFERROR(VLOOKUP(M717,'02. MM-KLH'!$B$6:$T$823,6,0),"")</f>
        <v>Xe clethon</v>
      </c>
      <c r="C717" s="566">
        <v>1.0</v>
      </c>
      <c r="D717" s="613" t="str">
        <f>IFERROR(VLOOKUP(M717,'02. MM-KLH'!$B$6:$T$823,16,0),"")</f>
        <v>TF150N</v>
      </c>
      <c r="E717" s="561" t="s">
        <v>4158</v>
      </c>
      <c r="F717" s="613"/>
      <c r="G717" s="613"/>
      <c r="H717" s="613" t="str">
        <f>IFERROR(VLOOKUP(M717,'02. MM-KLH'!$B$6:$T$823,17,0),"")</f>
        <v>15HP</v>
      </c>
      <c r="I717" s="614">
        <f>IFERROR(VLOOKUP(M717,'02. MM-KLH'!$B$6:$U$823,20,0),"")</f>
        <v>0.5</v>
      </c>
      <c r="J717" s="612" t="str">
        <f>IFERROR(VLOOKUP(M717,'02. MM-KLH'!$B$6:$T$823,19,0),"")</f>
        <v>C1503A</v>
      </c>
      <c r="K717" s="612">
        <f>IFERROR(VLOOKUP(M717,'02. MM-KLH'!$B$6:$T$823,18,0),"")</f>
        <v>203359</v>
      </c>
      <c r="L717" s="613" t="str">
        <f>IFERROR(VLOOKUP(M717,'02. MM-KLH'!$B$6:$T$823,4,0),"")</f>
        <v/>
      </c>
      <c r="M717" s="488" t="s">
        <v>2286</v>
      </c>
      <c r="N717" s="615">
        <f>IFERROR(VLOOKUP(M717,'02. MM-KLH'!$B$6:$T$823,15,0),"")</f>
        <v>2022</v>
      </c>
      <c r="O717" s="616">
        <f>IFERROR(VLOOKUP(M717,'02. MM-KLH'!$B$6:$T$823,9,0),"")</f>
        <v>45393</v>
      </c>
      <c r="P717" s="613"/>
      <c r="Q717" s="566"/>
      <c r="R717" s="613"/>
      <c r="S717" s="566" t="s">
        <v>4158</v>
      </c>
      <c r="T717" s="613"/>
      <c r="U717" s="559" t="str">
        <f>IFERROR(VLOOKUP(M717,'02. MM-KLH'!$B$6:$T$823,5,0),"")</f>
        <v>MỚI</v>
      </c>
      <c r="V717" s="523" t="str">
        <f>IFERROR(VLOOKUP(M717,'02. MM-KLH'!$B$6:$T$823,8,0),"")</f>
        <v>XN Bò AD</v>
      </c>
      <c r="W717" s="559" t="str">
        <f>IFERROR(VLOOKUP(V717,'NS QUẢN LÝ CG'!$A$4:$D$36,2,0),"")</f>
        <v>Trần Văn Nam</v>
      </c>
      <c r="X717" s="559" t="str">
        <f>IFERROR(VLOOKUP(V717,'NS QUẢN LÝ CG'!$A$4:$D$36,4,0),"")</f>
        <v>Lô 28 XN Bò</v>
      </c>
      <c r="Y717" s="559" t="str">
        <f>IFERROR(VLOOKUP(V717,'NS QUẢN LÝ CG'!$A$4:$C$36,3,0),"")</f>
        <v>0971993540</v>
      </c>
      <c r="Z717" s="523" t="str">
        <f>IFERROR(VLOOKUP(M717,'02. MM-KLH'!$B$6:$T$823,3,0),"")</f>
        <v>A22-CLT-005</v>
      </c>
      <c r="AA717" s="559" t="str">
        <f t="shared" si="48"/>
        <v>ADM</v>
      </c>
      <c r="AB717" s="523"/>
      <c r="AC717" s="523"/>
    </row>
    <row r="718">
      <c r="A718" s="523"/>
      <c r="B718" s="612" t="str">
        <f>IFERROR(VLOOKUP(M718,'02. MM-KLH'!$B$6:$T$823,6,0),"")</f>
        <v/>
      </c>
      <c r="C718" s="566"/>
      <c r="D718" s="613" t="str">
        <f>IFERROR(VLOOKUP(M718,'02. MM-KLH'!$B$6:$T$823,16,0),"")</f>
        <v/>
      </c>
      <c r="E718" s="613"/>
      <c r="F718" s="613"/>
      <c r="G718" s="613"/>
      <c r="H718" s="613" t="str">
        <f>IFERROR(VLOOKUP(M718,'02. MM-KLH'!$B$6:$T$823,17,0),"")</f>
        <v/>
      </c>
      <c r="I718" s="614" t="str">
        <f>IFERROR(VLOOKUP(M718,'02. MM-KLH'!$B$6:$U$823,20,0),"")</f>
        <v/>
      </c>
      <c r="J718" s="612" t="str">
        <f>IFERROR(VLOOKUP(M718,'02. MM-KLH'!$B$6:$T$823,19,0),"")</f>
        <v/>
      </c>
      <c r="K718" s="612" t="str">
        <f>IFERROR(VLOOKUP(M718,'02. MM-KLH'!$B$6:$T$823,18,0),"")</f>
        <v/>
      </c>
      <c r="L718" s="613" t="str">
        <f>IFERROR(VLOOKUP(M718,'02. MM-KLH'!$B$6:$T$823,4,0),"")</f>
        <v/>
      </c>
      <c r="M718" s="488"/>
      <c r="N718" s="615" t="str">
        <f>IFERROR(VLOOKUP(M718,'02. MM-KLH'!$B$6:$T$823,15,0),"")</f>
        <v/>
      </c>
      <c r="O718" s="616" t="str">
        <f>IFERROR(VLOOKUP(M718,'02. MM-KLH'!$B$6:$T$823,9,0),"")</f>
        <v/>
      </c>
      <c r="P718" s="613"/>
      <c r="Q718" s="613"/>
      <c r="R718" s="613"/>
      <c r="S718" s="613"/>
      <c r="T718" s="613"/>
      <c r="U718" s="559" t="str">
        <f>IFERROR(VLOOKUP(M718,'02. MM-KLH'!$B$6:$T$823,5,0),"")</f>
        <v/>
      </c>
      <c r="V718" s="523" t="str">
        <f>IFERROR(VLOOKUP(M718,'02. MM-KLH'!$B$6:$T$823,8,0),"")</f>
        <v/>
      </c>
      <c r="W718" s="559" t="str">
        <f>IFERROR(VLOOKUP(V718,'NS QUẢN LÝ CG'!$A$4:$D$36,2,0),"")</f>
        <v/>
      </c>
      <c r="X718" s="559" t="str">
        <f>IFERROR(VLOOKUP(V718,'NS QUẢN LÝ CG'!$A$4:$D$36,4,0),"")</f>
        <v/>
      </c>
      <c r="Y718" s="613"/>
      <c r="Z718" s="523" t="str">
        <f>IFERROR(VLOOKUP(M718,'02. MM-KLH'!$B$6:$T$823,3,0),"")</f>
        <v/>
      </c>
      <c r="AA718" s="613"/>
      <c r="AB718" s="523"/>
      <c r="AC718" s="523"/>
    </row>
    <row r="719">
      <c r="A719" s="523"/>
      <c r="B719" s="612" t="str">
        <f>IFERROR(VLOOKUP(M719,'02. MM-KLH'!$B$6:$T$823,6,0),"")</f>
        <v/>
      </c>
      <c r="C719" s="566"/>
      <c r="D719" s="613" t="str">
        <f>IFERROR(VLOOKUP(M719,'02. MM-KLH'!$B$6:$T$823,16,0),"")</f>
        <v/>
      </c>
      <c r="E719" s="613"/>
      <c r="F719" s="613"/>
      <c r="G719" s="613"/>
      <c r="H719" s="613" t="str">
        <f>IFERROR(VLOOKUP(M719,'02. MM-KLH'!$B$6:$T$823,17,0),"")</f>
        <v/>
      </c>
      <c r="I719" s="614" t="str">
        <f>IFERROR(VLOOKUP(M719,'02. MM-KLH'!$B$6:$U$823,20,0),"")</f>
        <v/>
      </c>
      <c r="J719" s="612" t="str">
        <f>IFERROR(VLOOKUP(M719,'02. MM-KLH'!$B$6:$T$823,19,0),"")</f>
        <v/>
      </c>
      <c r="K719" s="612" t="str">
        <f>IFERROR(VLOOKUP(M719,'02. MM-KLH'!$B$6:$T$823,18,0),"")</f>
        <v/>
      </c>
      <c r="L719" s="613" t="str">
        <f>IFERROR(VLOOKUP(M719,'02. MM-KLH'!$B$6:$T$823,4,0),"")</f>
        <v/>
      </c>
      <c r="M719" s="488"/>
      <c r="N719" s="615" t="str">
        <f>IFERROR(VLOOKUP(M719,'02. MM-KLH'!$B$6:$T$823,15,0),"")</f>
        <v/>
      </c>
      <c r="O719" s="616" t="str">
        <f>IFERROR(VLOOKUP(M719,'02. MM-KLH'!$B$6:$T$823,9,0),"")</f>
        <v/>
      </c>
      <c r="P719" s="613"/>
      <c r="Q719" s="613"/>
      <c r="R719" s="613"/>
      <c r="S719" s="613"/>
      <c r="T719" s="613"/>
      <c r="U719" s="613" t="str">
        <f>IFERROR(VLOOKUP(M719,'02. MM-KLH'!$B$6:$T$823,2,0),"")</f>
        <v/>
      </c>
      <c r="V719" s="523" t="str">
        <f>IFERROR(VLOOKUP(M719,'02. MM-KLH'!$B$6:$T$823,8,0),"")</f>
        <v/>
      </c>
      <c r="W719" s="559" t="str">
        <f>IFERROR(VLOOKUP(V719,'NS QUẢN LÝ CG'!$A$4:$D$36,2,0),"")</f>
        <v/>
      </c>
      <c r="X719" s="559" t="str">
        <f>IFERROR(VLOOKUP(V719,'NS QUẢN LÝ CG'!$A$4:$D$36,4,0),"")</f>
        <v/>
      </c>
      <c r="Y719" s="613"/>
      <c r="Z719" s="523" t="str">
        <f>IFERROR(VLOOKUP(M719,'02. MM-KLH'!$B$6:$T$823,3,0),"")</f>
        <v/>
      </c>
      <c r="AA719" s="613"/>
      <c r="AB719" s="523"/>
      <c r="AC719" s="523"/>
    </row>
    <row r="720">
      <c r="A720" s="870" t="s">
        <v>7198</v>
      </c>
      <c r="B720" s="30"/>
      <c r="C720" s="537">
        <f>COUNTA(B721:B743)</f>
        <v>21</v>
      </c>
      <c r="D720" s="538"/>
      <c r="E720" s="538"/>
      <c r="F720" s="538"/>
      <c r="G720" s="538"/>
      <c r="H720" s="539"/>
      <c r="I720" s="539"/>
      <c r="J720" s="540"/>
      <c r="K720" s="540"/>
      <c r="L720" s="538"/>
      <c r="M720" s="753"/>
      <c r="N720" s="538"/>
      <c r="O720" s="541"/>
      <c r="P720" s="538"/>
      <c r="Q720" s="538"/>
      <c r="R720" s="538"/>
      <c r="S720" s="538"/>
      <c r="T720" s="538"/>
      <c r="U720" s="538"/>
      <c r="V720" s="539"/>
      <c r="W720" s="538"/>
      <c r="X720" s="538"/>
      <c r="Y720" s="538"/>
      <c r="Z720" s="539"/>
      <c r="AA720" s="538"/>
      <c r="AB720" s="539"/>
      <c r="AC720" s="754"/>
    </row>
    <row r="721">
      <c r="A721" s="523"/>
      <c r="B721" s="612" t="str">
        <f>IFERROR(VLOOKUP(M721,'02. MM-KLH'!$B$6:$T$823,6,0),"")</f>
        <v>Xe công vụ Mazda BT50</v>
      </c>
      <c r="C721" s="566">
        <v>1.0</v>
      </c>
      <c r="D721" s="613" t="str">
        <f>IFERROR(VLOOKUP(M721,'02. MM-KLH'!$B$6:$T$823,16,0),"")</f>
        <v>BT50</v>
      </c>
      <c r="E721" s="561" t="s">
        <v>4158</v>
      </c>
      <c r="F721" s="613"/>
      <c r="G721" s="613"/>
      <c r="H721" s="613" t="str">
        <f>IFERROR(VLOOKUP(M721,'02. MM-KLH'!$B$6:$T$823,17,0),"")</f>
        <v>148HP</v>
      </c>
      <c r="I721" s="614" t="str">
        <f>IFERROR(VLOOKUP(M721,'02. MM-KLH'!$B$6:$U$823,20,0),"")</f>
        <v/>
      </c>
      <c r="J721" s="612" t="str">
        <f>IFERROR(VLOOKUP(M721,'02. MM-KLH'!$B$6:$T$823,19,0),"")</f>
        <v>P5AT2644238</v>
      </c>
      <c r="K721" s="612" t="str">
        <f>IFERROR(VLOOKUP(M721,'02. MM-KLH'!$B$6:$T$823,18,0),"")</f>
        <v>MM7UR4DF4KW852868</v>
      </c>
      <c r="L721" s="613" t="str">
        <f>IFERROR(VLOOKUP(M721,'02. MM-KLH'!$B$6:$T$823,4,0),"")</f>
        <v>51D-480.22</v>
      </c>
      <c r="M721" s="488" t="s">
        <v>2661</v>
      </c>
      <c r="N721" s="615">
        <f>IFERROR(VLOOKUP(M721,'02. MM-KLH'!$B$6:$T$823,15,0),"")</f>
        <v>2018</v>
      </c>
      <c r="O721" s="616" t="str">
        <f>IFERROR(VLOOKUP(M721,'02. MM-KLH'!$B$6:$T$823,9,0),"")</f>
        <v/>
      </c>
      <c r="P721" s="613"/>
      <c r="Q721" s="613"/>
      <c r="R721" s="566" t="s">
        <v>4158</v>
      </c>
      <c r="S721" s="613"/>
      <c r="T721" s="613"/>
      <c r="U721" s="559" t="str">
        <f>IFERROR(VLOOKUP(M721,'02. MM-KLH'!$B$6:$T$823,5,0),"")</f>
        <v>ĐQSD</v>
      </c>
      <c r="V721" s="523" t="str">
        <f>IFERROR(VLOOKUP(M721,'02. MM-KLH'!$B$6:$T$823,8,0),"")</f>
        <v>HÀNH CHÍNH KLH</v>
      </c>
      <c r="W721" s="559" t="str">
        <f>IFERROR(VLOOKUP(V721,'NS QUẢN LÝ CG'!$A$4:$D$36,2,0),"")</f>
        <v>Lê Trần Hoàng Minh</v>
      </c>
      <c r="X721" s="559" t="str">
        <f>IFERROR(VLOOKUP(V721,'NS QUẢN LÝ CG'!$A$4:$D$36,4,0),"")</f>
        <v>Văn Phòng 94</v>
      </c>
      <c r="Y721" s="559" t="str">
        <f>IFERROR(VLOOKUP(V721,'NS QUẢN LÝ CG'!$A$4:$C$36,3,0),"")</f>
        <v>0965509539</v>
      </c>
      <c r="Z721" s="523" t="str">
        <f>IFERROR(VLOOKUP(M721,'02. MM-KLH'!$B$6:$T$823,3,0),"")</f>
        <v/>
      </c>
      <c r="AA721" s="559" t="str">
        <f t="shared" ref="AA721:AA742" si="49">SWITCH(LEFT(Z721,3),"A22","ADM","A23","DP","A24","LP","")</f>
        <v/>
      </c>
      <c r="AB721" s="523"/>
      <c r="AC721" s="523"/>
    </row>
    <row r="722">
      <c r="A722" s="523"/>
      <c r="B722" s="612" t="str">
        <f>IFERROR(VLOOKUP(M722,'02. MM-KLH'!$B$6:$T$823,6,0),"")</f>
        <v>Xe công vụ Mazda BT50</v>
      </c>
      <c r="C722" s="566">
        <v>1.0</v>
      </c>
      <c r="D722" s="613" t="str">
        <f>IFERROR(VLOOKUP(M722,'02. MM-KLH'!$B$6:$T$823,16,0),"")</f>
        <v>BT50</v>
      </c>
      <c r="E722" s="561" t="s">
        <v>4158</v>
      </c>
      <c r="F722" s="613"/>
      <c r="G722" s="613"/>
      <c r="H722" s="613" t="str">
        <f>IFERROR(VLOOKUP(M722,'02. MM-KLH'!$B$6:$T$823,17,0),"")</f>
        <v>148HP</v>
      </c>
      <c r="I722" s="614" t="str">
        <f>IFERROR(VLOOKUP(M722,'02. MM-KLH'!$B$6:$U$823,20,0),"")</f>
        <v/>
      </c>
      <c r="J722" s="612" t="str">
        <f>IFERROR(VLOOKUP(M722,'02. MM-KLH'!$B$6:$T$823,19,0),"")</f>
        <v>P5AT2656720</v>
      </c>
      <c r="K722" s="612" t="str">
        <f>IFERROR(VLOOKUP(M722,'02. MM-KLH'!$B$6:$T$823,18,0),"")</f>
        <v>MM7UR4DFXKW861641</v>
      </c>
      <c r="L722" s="613" t="str">
        <f>IFERROR(VLOOKUP(M722,'02. MM-KLH'!$B$6:$T$823,4,0),"")</f>
        <v>51D-482.19</v>
      </c>
      <c r="M722" s="488" t="s">
        <v>2672</v>
      </c>
      <c r="N722" s="615">
        <f>IFERROR(VLOOKUP(M722,'02. MM-KLH'!$B$6:$T$823,15,0),"")</f>
        <v>2018</v>
      </c>
      <c r="O722" s="616" t="str">
        <f>IFERROR(VLOOKUP(M722,'02. MM-KLH'!$B$6:$T$823,9,0),"")</f>
        <v/>
      </c>
      <c r="P722" s="613"/>
      <c r="Q722" s="613"/>
      <c r="R722" s="566" t="s">
        <v>4158</v>
      </c>
      <c r="S722" s="613"/>
      <c r="T722" s="613"/>
      <c r="U722" s="559" t="str">
        <f>IFERROR(VLOOKUP(M722,'02. MM-KLH'!$B$6:$T$823,5,0),"")</f>
        <v>ĐQSD</v>
      </c>
      <c r="V722" s="523" t="str">
        <f>IFERROR(VLOOKUP(M722,'02. MM-KLH'!$B$6:$T$823,8,0),"")</f>
        <v>HÀNH CHÍNH KLH</v>
      </c>
      <c r="W722" s="559" t="str">
        <f>IFERROR(VLOOKUP(V722,'NS QUẢN LÝ CG'!$A$4:$D$36,2,0),"")</f>
        <v>Lê Trần Hoàng Minh</v>
      </c>
      <c r="X722" s="559" t="str">
        <f>IFERROR(VLOOKUP(V722,'NS QUẢN LÝ CG'!$A$4:$D$36,4,0),"")</f>
        <v>Văn Phòng 94</v>
      </c>
      <c r="Y722" s="559" t="str">
        <f>IFERROR(VLOOKUP(V722,'NS QUẢN LÝ CG'!$A$4:$C$36,3,0),"")</f>
        <v>0965509539</v>
      </c>
      <c r="Z722" s="523" t="str">
        <f>IFERROR(VLOOKUP(M722,'02. MM-KLH'!$B$6:$T$823,3,0),"")</f>
        <v/>
      </c>
      <c r="AA722" s="559" t="str">
        <f t="shared" si="49"/>
        <v/>
      </c>
      <c r="AB722" s="523"/>
      <c r="AC722" s="523"/>
    </row>
    <row r="723">
      <c r="A723" s="523"/>
      <c r="B723" s="612" t="str">
        <f>IFERROR(VLOOKUP(M723,'02. MM-KLH'!$B$6:$T$823,6,0),"")</f>
        <v>Xe công vụ Mazda BT50</v>
      </c>
      <c r="C723" s="566">
        <v>1.0</v>
      </c>
      <c r="D723" s="613" t="str">
        <f>IFERROR(VLOOKUP(M723,'02. MM-KLH'!$B$6:$T$823,16,0),"")</f>
        <v>BT50</v>
      </c>
      <c r="E723" s="561" t="s">
        <v>4158</v>
      </c>
      <c r="F723" s="613"/>
      <c r="G723" s="613"/>
      <c r="H723" s="613" t="str">
        <f>IFERROR(VLOOKUP(M723,'02. MM-KLH'!$B$6:$T$823,17,0),"")</f>
        <v>148HP</v>
      </c>
      <c r="I723" s="614" t="str">
        <f>IFERROR(VLOOKUP(M723,'02. MM-KLH'!$B$6:$U$823,20,0),"")</f>
        <v/>
      </c>
      <c r="J723" s="612" t="str">
        <f>IFERROR(VLOOKUP(M723,'02. MM-KLH'!$B$6:$T$823,19,0),"")</f>
        <v/>
      </c>
      <c r="K723" s="612" t="str">
        <f>IFERROR(VLOOKUP(M723,'02. MM-KLH'!$B$6:$T$823,18,0),"")</f>
        <v/>
      </c>
      <c r="L723" s="613" t="str">
        <f>IFERROR(VLOOKUP(M723,'02. MM-KLH'!$B$6:$T$823,4,0),"")</f>
        <v>51D-617.64</v>
      </c>
      <c r="M723" s="488" t="s">
        <v>2677</v>
      </c>
      <c r="N723" s="615">
        <f>IFERROR(VLOOKUP(M723,'02. MM-KLH'!$B$6:$T$823,15,0),"")</f>
        <v>2018</v>
      </c>
      <c r="O723" s="616" t="str">
        <f>IFERROR(VLOOKUP(M723,'02. MM-KLH'!$B$6:$T$823,9,0),"")</f>
        <v/>
      </c>
      <c r="P723" s="613"/>
      <c r="Q723" s="613"/>
      <c r="R723" s="566" t="s">
        <v>4158</v>
      </c>
      <c r="S723" s="613"/>
      <c r="T723" s="613"/>
      <c r="U723" s="559" t="str">
        <f>IFERROR(VLOOKUP(M723,'02. MM-KLH'!$B$6:$T$823,5,0),"")</f>
        <v>ĐQSD</v>
      </c>
      <c r="V723" s="523" t="str">
        <f>IFERROR(VLOOKUP(M723,'02. MM-KLH'!$B$6:$T$823,8,0),"")</f>
        <v>HÀNH CHÍNH KLH</v>
      </c>
      <c r="W723" s="559" t="str">
        <f>IFERROR(VLOOKUP(V723,'NS QUẢN LÝ CG'!$A$4:$D$36,2,0),"")</f>
        <v>Lê Trần Hoàng Minh</v>
      </c>
      <c r="X723" s="559" t="str">
        <f>IFERROR(VLOOKUP(V723,'NS QUẢN LÝ CG'!$A$4:$D$36,4,0),"")</f>
        <v>Văn Phòng 94</v>
      </c>
      <c r="Y723" s="559" t="str">
        <f>IFERROR(VLOOKUP(V723,'NS QUẢN LÝ CG'!$A$4:$C$36,3,0),"")</f>
        <v>0965509539</v>
      </c>
      <c r="Z723" s="523" t="str">
        <f>IFERROR(VLOOKUP(M723,'02. MM-KLH'!$B$6:$T$823,3,0),"")</f>
        <v/>
      </c>
      <c r="AA723" s="559" t="str">
        <f t="shared" si="49"/>
        <v/>
      </c>
      <c r="AB723" s="523"/>
      <c r="AC723" s="523"/>
    </row>
    <row r="724">
      <c r="A724" s="523"/>
      <c r="B724" s="612" t="str">
        <f>IFERROR(VLOOKUP(M724,'02. MM-KLH'!$B$6:$T$823,6,0),"")</f>
        <v>Xe công vụ Mazda BT50</v>
      </c>
      <c r="C724" s="566">
        <v>1.0</v>
      </c>
      <c r="D724" s="613" t="str">
        <f>IFERROR(VLOOKUP(M724,'02. MM-KLH'!$B$6:$T$823,16,0),"")</f>
        <v>BT50</v>
      </c>
      <c r="E724" s="561" t="s">
        <v>4158</v>
      </c>
      <c r="F724" s="613"/>
      <c r="G724" s="613"/>
      <c r="H724" s="613" t="str">
        <f>IFERROR(VLOOKUP(M724,'02. MM-KLH'!$B$6:$T$823,17,0),"")</f>
        <v>148HP</v>
      </c>
      <c r="I724" s="614" t="str">
        <f>IFERROR(VLOOKUP(M724,'02. MM-KLH'!$B$6:$U$823,20,0),"")</f>
        <v/>
      </c>
      <c r="J724" s="612" t="str">
        <f>IFERROR(VLOOKUP(M724,'02. MM-KLH'!$B$6:$T$823,19,0),"")</f>
        <v>P5AT2648320</v>
      </c>
      <c r="K724" s="612" t="str">
        <f>IFERROR(VLOOKUP(M724,'02. MM-KLH'!$B$6:$T$823,18,0),"")</f>
        <v>MM7UR4DF1KW855663</v>
      </c>
      <c r="L724" s="613" t="str">
        <f>IFERROR(VLOOKUP(M724,'02. MM-KLH'!$B$6:$T$823,4,0),"")</f>
        <v>51D-607.44</v>
      </c>
      <c r="M724" s="488" t="s">
        <v>2681</v>
      </c>
      <c r="N724" s="615">
        <f>IFERROR(VLOOKUP(M724,'02. MM-KLH'!$B$6:$T$823,15,0),"")</f>
        <v>2018</v>
      </c>
      <c r="O724" s="616" t="str">
        <f>IFERROR(VLOOKUP(M724,'02. MM-KLH'!$B$6:$T$823,9,0),"")</f>
        <v/>
      </c>
      <c r="P724" s="613"/>
      <c r="Q724" s="613"/>
      <c r="R724" s="566" t="s">
        <v>4158</v>
      </c>
      <c r="S724" s="613"/>
      <c r="T724" s="613"/>
      <c r="U724" s="559" t="str">
        <f>IFERROR(VLOOKUP(M724,'02. MM-KLH'!$B$6:$T$823,5,0),"")</f>
        <v>ĐQSD</v>
      </c>
      <c r="V724" s="523" t="str">
        <f>IFERROR(VLOOKUP(M724,'02. MM-KLH'!$B$6:$T$823,8,0),"")</f>
        <v>HÀNH CHÍNH KLH</v>
      </c>
      <c r="W724" s="559" t="str">
        <f>IFERROR(VLOOKUP(V724,'NS QUẢN LÝ CG'!$A$4:$D$36,2,0),"")</f>
        <v>Lê Trần Hoàng Minh</v>
      </c>
      <c r="X724" s="559" t="str">
        <f>IFERROR(VLOOKUP(V724,'NS QUẢN LÝ CG'!$A$4:$D$36,4,0),"")</f>
        <v>Văn Phòng 94</v>
      </c>
      <c r="Y724" s="559" t="str">
        <f>IFERROR(VLOOKUP(V724,'NS QUẢN LÝ CG'!$A$4:$C$36,3,0),"")</f>
        <v>0965509539</v>
      </c>
      <c r="Z724" s="523" t="str">
        <f>IFERROR(VLOOKUP(M724,'02. MM-KLH'!$B$6:$T$823,3,0),"")</f>
        <v/>
      </c>
      <c r="AA724" s="559" t="str">
        <f t="shared" si="49"/>
        <v/>
      </c>
      <c r="AB724" s="523"/>
      <c r="AC724" s="523"/>
    </row>
    <row r="725">
      <c r="A725" s="523"/>
      <c r="B725" s="612" t="str">
        <f>IFERROR(VLOOKUP(M725,'02. MM-KLH'!$B$6:$T$823,6,0),"")</f>
        <v>Xe công vụ Mazda BT50</v>
      </c>
      <c r="C725" s="566">
        <v>1.0</v>
      </c>
      <c r="D725" s="613" t="str">
        <f>IFERROR(VLOOKUP(M725,'02. MM-KLH'!$B$6:$T$823,16,0),"")</f>
        <v>BT50</v>
      </c>
      <c r="E725" s="561" t="s">
        <v>4158</v>
      </c>
      <c r="F725" s="613"/>
      <c r="G725" s="613"/>
      <c r="H725" s="613" t="str">
        <f>IFERROR(VLOOKUP(M725,'02. MM-KLH'!$B$6:$T$823,17,0),"")</f>
        <v>148HP</v>
      </c>
      <c r="I725" s="614" t="str">
        <f>IFERROR(VLOOKUP(M725,'02. MM-KLH'!$B$6:$U$823,20,0),"")</f>
        <v/>
      </c>
      <c r="J725" s="612" t="str">
        <f>IFERROR(VLOOKUP(M725,'02. MM-KLH'!$B$6:$T$823,19,0),"")</f>
        <v>P5AT2523639</v>
      </c>
      <c r="K725" s="612" t="str">
        <f>IFERROR(VLOOKUP(M725,'02. MM-KLH'!$B$6:$T$823,18,0),"")</f>
        <v>MM7UR4DF5JW777547</v>
      </c>
      <c r="L725" s="613" t="str">
        <f>IFERROR(VLOOKUP(M725,'02. MM-KLH'!$B$6:$T$823,4,0),"")</f>
        <v>51D-609.04</v>
      </c>
      <c r="M725" s="488" t="s">
        <v>2686</v>
      </c>
      <c r="N725" s="615">
        <f>IFERROR(VLOOKUP(M725,'02. MM-KLH'!$B$6:$T$823,15,0),"")</f>
        <v>2017</v>
      </c>
      <c r="O725" s="616" t="str">
        <f>IFERROR(VLOOKUP(M725,'02. MM-KLH'!$B$6:$T$823,9,0),"")</f>
        <v/>
      </c>
      <c r="P725" s="613"/>
      <c r="Q725" s="613"/>
      <c r="R725" s="566" t="s">
        <v>4158</v>
      </c>
      <c r="S725" s="613"/>
      <c r="T725" s="613"/>
      <c r="U725" s="559" t="str">
        <f>IFERROR(VLOOKUP(M725,'02. MM-KLH'!$B$6:$T$823,5,0),"")</f>
        <v>ĐQSD</v>
      </c>
      <c r="V725" s="523" t="str">
        <f>IFERROR(VLOOKUP(M725,'02. MM-KLH'!$B$6:$T$823,8,0),"")</f>
        <v>HÀNH CHÍNH KLH</v>
      </c>
      <c r="W725" s="559" t="str">
        <f>IFERROR(VLOOKUP(V725,'NS QUẢN LÝ CG'!$A$4:$D$36,2,0),"")</f>
        <v>Lê Trần Hoàng Minh</v>
      </c>
      <c r="X725" s="559" t="str">
        <f>IFERROR(VLOOKUP(V725,'NS QUẢN LÝ CG'!$A$4:$D$36,4,0),"")</f>
        <v>Văn Phòng 94</v>
      </c>
      <c r="Y725" s="559" t="str">
        <f>IFERROR(VLOOKUP(V725,'NS QUẢN LÝ CG'!$A$4:$C$36,3,0),"")</f>
        <v>0965509539</v>
      </c>
      <c r="Z725" s="523" t="str">
        <f>IFERROR(VLOOKUP(M725,'02. MM-KLH'!$B$6:$T$823,3,0),"")</f>
        <v/>
      </c>
      <c r="AA725" s="559" t="str">
        <f t="shared" si="49"/>
        <v/>
      </c>
      <c r="AB725" s="523"/>
      <c r="AC725" s="523"/>
    </row>
    <row r="726">
      <c r="A726" s="523"/>
      <c r="B726" s="612" t="str">
        <f>IFERROR(VLOOKUP(M726,'02. MM-KLH'!$B$6:$T$823,6,0),"")</f>
        <v>Xe công vụ Ford Everest</v>
      </c>
      <c r="C726" s="566">
        <v>1.0</v>
      </c>
      <c r="D726" s="613" t="str">
        <f>IFERROR(VLOOKUP(M726,'02. MM-KLH'!$B$6:$T$823,16,0),"")</f>
        <v>EVEREST</v>
      </c>
      <c r="E726" s="561" t="s">
        <v>4158</v>
      </c>
      <c r="F726" s="613"/>
      <c r="G726" s="613"/>
      <c r="H726" s="613" t="str">
        <f>IFERROR(VLOOKUP(M726,'02. MM-KLH'!$B$6:$T$823,17,0),"")</f>
        <v>141HP</v>
      </c>
      <c r="I726" s="614" t="str">
        <f>IFERROR(VLOOKUP(M726,'02. MM-KLH'!$B$6:$U$823,20,0),"")</f>
        <v/>
      </c>
      <c r="J726" s="612" t="str">
        <f>IFERROR(VLOOKUP(M726,'02. MM-KLH'!$B$6:$T$823,19,0),"")</f>
        <v/>
      </c>
      <c r="K726" s="612" t="str">
        <f>IFERROR(VLOOKUP(M726,'02. MM-KLH'!$B$6:$T$823,18,0),"")</f>
        <v/>
      </c>
      <c r="L726" s="613" t="str">
        <f>IFERROR(VLOOKUP(M726,'02. MM-KLH'!$B$6:$T$823,4,0),"")</f>
        <v>51A-812.37</v>
      </c>
      <c r="M726" s="488" t="s">
        <v>2692</v>
      </c>
      <c r="N726" s="615">
        <f>IFERROR(VLOOKUP(M726,'02. MM-KLH'!$B$6:$T$823,15,0),"")</f>
        <v>2014</v>
      </c>
      <c r="O726" s="616" t="str">
        <f>IFERROR(VLOOKUP(M726,'02. MM-KLH'!$B$6:$T$823,9,0),"")</f>
        <v/>
      </c>
      <c r="P726" s="613"/>
      <c r="Q726" s="613"/>
      <c r="R726" s="566" t="s">
        <v>4158</v>
      </c>
      <c r="S726" s="613"/>
      <c r="T726" s="613"/>
      <c r="U726" s="559" t="str">
        <f>IFERROR(VLOOKUP(M726,'02. MM-KLH'!$B$6:$T$823,5,0),"")</f>
        <v>ĐQSD</v>
      </c>
      <c r="V726" s="523" t="str">
        <f>IFERROR(VLOOKUP(M726,'02. MM-KLH'!$B$6:$T$823,8,0),"")</f>
        <v>HÀNH CHÍNH KLH</v>
      </c>
      <c r="W726" s="559" t="str">
        <f>IFERROR(VLOOKUP(V726,'NS QUẢN LÝ CG'!$A$4:$D$36,2,0),"")</f>
        <v>Lê Trần Hoàng Minh</v>
      </c>
      <c r="X726" s="559" t="str">
        <f>IFERROR(VLOOKUP(V726,'NS QUẢN LÝ CG'!$A$4:$D$36,4,0),"")</f>
        <v>Văn Phòng 94</v>
      </c>
      <c r="Y726" s="559" t="str">
        <f>IFERROR(VLOOKUP(V726,'NS QUẢN LÝ CG'!$A$4:$C$36,3,0),"")</f>
        <v>0965509539</v>
      </c>
      <c r="Z726" s="523" t="str">
        <f>IFERROR(VLOOKUP(M726,'02. MM-KLH'!$B$6:$T$823,3,0),"")</f>
        <v/>
      </c>
      <c r="AA726" s="559" t="str">
        <f t="shared" si="49"/>
        <v/>
      </c>
      <c r="AB726" s="523"/>
      <c r="AC726" s="523"/>
    </row>
    <row r="727">
      <c r="A727" s="523"/>
      <c r="B727" s="612" t="str">
        <f>IFERROR(VLOOKUP(M727,'02. MM-KLH'!$B$6:$T$823,6,0),"")</f>
        <v>Xe công vụ Mazda BT50</v>
      </c>
      <c r="C727" s="566">
        <v>1.0</v>
      </c>
      <c r="D727" s="613" t="str">
        <f>IFERROR(VLOOKUP(M727,'02. MM-KLH'!$B$6:$T$823,16,0),"")</f>
        <v>BT50</v>
      </c>
      <c r="E727" s="561" t="s">
        <v>4158</v>
      </c>
      <c r="F727" s="613"/>
      <c r="G727" s="613"/>
      <c r="H727" s="613" t="str">
        <f>IFERROR(VLOOKUP(M727,'02. MM-KLH'!$B$6:$T$823,17,0),"")</f>
        <v>148HP</v>
      </c>
      <c r="I727" s="614" t="str">
        <f>IFERROR(VLOOKUP(M727,'02. MM-KLH'!$B$6:$U$823,20,0),"")</f>
        <v/>
      </c>
      <c r="J727" s="612" t="str">
        <f>IFERROR(VLOOKUP(M727,'02. MM-KLH'!$B$6:$T$823,19,0),"")</f>
        <v>P4AT2742432</v>
      </c>
      <c r="K727" s="612" t="str">
        <f>IFERROR(VLOOKUP(M727,'02. MM-KLH'!$B$6:$T$823,18,0),"")</f>
        <v>MM7UR4DD2K936329</v>
      </c>
      <c r="L727" s="613" t="str">
        <f>IFERROR(VLOOKUP(M727,'02. MM-KLH'!$B$6:$T$823,4,0),"")</f>
        <v>51D-634.18</v>
      </c>
      <c r="M727" s="488" t="s">
        <v>2700</v>
      </c>
      <c r="N727" s="615">
        <f>IFERROR(VLOOKUP(M727,'02. MM-KLH'!$B$6:$T$823,15,0),"")</f>
        <v>2018</v>
      </c>
      <c r="O727" s="616" t="str">
        <f>IFERROR(VLOOKUP(M727,'02. MM-KLH'!$B$6:$T$823,9,0),"")</f>
        <v/>
      </c>
      <c r="P727" s="613"/>
      <c r="Q727" s="613"/>
      <c r="R727" s="566" t="s">
        <v>4158</v>
      </c>
      <c r="S727" s="613"/>
      <c r="T727" s="613"/>
      <c r="U727" s="559" t="str">
        <f>IFERROR(VLOOKUP(M727,'02. MM-KLH'!$B$6:$T$823,5,0),"")</f>
        <v>ĐQSD</v>
      </c>
      <c r="V727" s="523" t="str">
        <f>IFERROR(VLOOKUP(M727,'02. MM-KLH'!$B$6:$T$823,8,0),"")</f>
        <v>HÀNH CHÍNH KLH</v>
      </c>
      <c r="W727" s="559" t="str">
        <f>IFERROR(VLOOKUP(V727,'NS QUẢN LÝ CG'!$A$4:$D$36,2,0),"")</f>
        <v>Lê Trần Hoàng Minh</v>
      </c>
      <c r="X727" s="559" t="str">
        <f>IFERROR(VLOOKUP(V727,'NS QUẢN LÝ CG'!$A$4:$D$36,4,0),"")</f>
        <v>Văn Phòng 94</v>
      </c>
      <c r="Y727" s="559" t="str">
        <f>IFERROR(VLOOKUP(V727,'NS QUẢN LÝ CG'!$A$4:$C$36,3,0),"")</f>
        <v>0965509539</v>
      </c>
      <c r="Z727" s="523" t="str">
        <f>IFERROR(VLOOKUP(M727,'02. MM-KLH'!$B$6:$T$823,3,0),"")</f>
        <v/>
      </c>
      <c r="AA727" s="559" t="str">
        <f t="shared" si="49"/>
        <v/>
      </c>
      <c r="AB727" s="523"/>
      <c r="AC727" s="523"/>
    </row>
    <row r="728">
      <c r="A728" s="523"/>
      <c r="B728" s="612" t="str">
        <f>IFERROR(VLOOKUP(M728,'02. MM-KLH'!$B$6:$T$823,6,0),"")</f>
        <v>Xe công vụ Kia Sedona</v>
      </c>
      <c r="C728" s="566">
        <v>1.0</v>
      </c>
      <c r="D728" s="613" t="str">
        <f>IFERROR(VLOOKUP(M728,'02. MM-KLH'!$B$6:$T$823,16,0),"")</f>
        <v>SEDONA</v>
      </c>
      <c r="E728" s="561" t="s">
        <v>4158</v>
      </c>
      <c r="F728" s="613"/>
      <c r="G728" s="613"/>
      <c r="H728" s="613" t="str">
        <f>IFERROR(VLOOKUP(M728,'02. MM-KLH'!$B$6:$T$823,17,0),"")</f>
        <v>266HP</v>
      </c>
      <c r="I728" s="614" t="str">
        <f>IFERROR(VLOOKUP(M728,'02. MM-KLH'!$B$6:$U$823,20,0),"")</f>
        <v/>
      </c>
      <c r="J728" s="612" t="str">
        <f>IFERROR(VLOOKUP(M728,'02. MM-KLH'!$B$6:$T$823,19,0),"")</f>
        <v>G6DFJS807887</v>
      </c>
      <c r="K728" s="612" t="str">
        <f>IFERROR(VLOOKUP(M728,'02. MM-KLH'!$B$6:$T$823,18,0),"")</f>
        <v>RNYYK51A6JC142077</v>
      </c>
      <c r="L728" s="613" t="str">
        <f>IFERROR(VLOOKUP(M728,'02. MM-KLH'!$B$6:$T$823,4,0),"")</f>
        <v>51H-257.33</v>
      </c>
      <c r="M728" s="488" t="s">
        <v>2705</v>
      </c>
      <c r="N728" s="615">
        <f>IFERROR(VLOOKUP(M728,'02. MM-KLH'!$B$6:$T$823,15,0),"")</f>
        <v>2019</v>
      </c>
      <c r="O728" s="616" t="str">
        <f>IFERROR(VLOOKUP(M728,'02. MM-KLH'!$B$6:$T$823,9,0),"")</f>
        <v/>
      </c>
      <c r="P728" s="613"/>
      <c r="Q728" s="613"/>
      <c r="R728" s="566" t="s">
        <v>4158</v>
      </c>
      <c r="S728" s="613"/>
      <c r="T728" s="613"/>
      <c r="U728" s="559" t="str">
        <f>IFERROR(VLOOKUP(M728,'02. MM-KLH'!$B$6:$T$823,5,0),"")</f>
        <v>ĐQSD</v>
      </c>
      <c r="V728" s="523" t="str">
        <f>IFERROR(VLOOKUP(M728,'02. MM-KLH'!$B$6:$T$823,8,0),"")</f>
        <v>HÀNH CHÍNH KLH</v>
      </c>
      <c r="W728" s="559" t="str">
        <f>IFERROR(VLOOKUP(V728,'NS QUẢN LÝ CG'!$A$4:$D$36,2,0),"")</f>
        <v>Lê Trần Hoàng Minh</v>
      </c>
      <c r="X728" s="559" t="str">
        <f>IFERROR(VLOOKUP(V728,'NS QUẢN LÝ CG'!$A$4:$D$36,4,0),"")</f>
        <v>Văn Phòng 94</v>
      </c>
      <c r="Y728" s="559" t="str">
        <f>IFERROR(VLOOKUP(V728,'NS QUẢN LÝ CG'!$A$4:$C$36,3,0),"")</f>
        <v>0965509539</v>
      </c>
      <c r="Z728" s="523" t="str">
        <f>IFERROR(VLOOKUP(M728,'02. MM-KLH'!$B$6:$T$823,3,0),"")</f>
        <v/>
      </c>
      <c r="AA728" s="559" t="str">
        <f t="shared" si="49"/>
        <v/>
      </c>
      <c r="AB728" s="523"/>
      <c r="AC728" s="523"/>
    </row>
    <row r="729">
      <c r="A729" s="523"/>
      <c r="B729" s="612" t="str">
        <f>IFERROR(VLOOKUP(M729,'02. MM-KLH'!$B$6:$T$823,6,0),"")</f>
        <v>Xe công vụ Toyota Land Cruiser</v>
      </c>
      <c r="C729" s="566">
        <v>1.0</v>
      </c>
      <c r="D729" s="613" t="str">
        <f>IFERROR(VLOOKUP(M729,'02. MM-KLH'!$B$6:$T$823,16,0),"")</f>
        <v>CRUISER</v>
      </c>
      <c r="E729" s="561" t="s">
        <v>4158</v>
      </c>
      <c r="F729" s="613"/>
      <c r="G729" s="613"/>
      <c r="H729" s="613" t="str">
        <f>IFERROR(VLOOKUP(M729,'02. MM-KLH'!$B$6:$T$823,17,0),"")</f>
        <v>161HP</v>
      </c>
      <c r="I729" s="614" t="str">
        <f>IFERROR(VLOOKUP(M729,'02. MM-KLH'!$B$6:$U$823,20,0),"")</f>
        <v/>
      </c>
      <c r="J729" s="612" t="str">
        <f>IFERROR(VLOOKUP(M729,'02. MM-KLH'!$B$6:$T$823,19,0),"")</f>
        <v>1GR8968561</v>
      </c>
      <c r="K729" s="612" t="str">
        <f>IFERROR(VLOOKUP(M729,'02. MM-KLH'!$B$6:$T$823,18,0),"")</f>
        <v>JTMHU09JX95018220</v>
      </c>
      <c r="L729" s="613" t="str">
        <f>IFERROR(VLOOKUP(M729,'02. MM-KLH'!$B$6:$T$823,4,0),"")</f>
        <v>2B-3789</v>
      </c>
      <c r="M729" s="488" t="s">
        <v>2712</v>
      </c>
      <c r="N729" s="615">
        <f>IFERROR(VLOOKUP(M729,'02. MM-KLH'!$B$6:$T$823,15,0),"")</f>
        <v>2009</v>
      </c>
      <c r="O729" s="616" t="str">
        <f>IFERROR(VLOOKUP(M729,'02. MM-KLH'!$B$6:$T$823,9,0),"")</f>
        <v/>
      </c>
      <c r="P729" s="613"/>
      <c r="Q729" s="613"/>
      <c r="R729" s="566" t="s">
        <v>4158</v>
      </c>
      <c r="S729" s="613"/>
      <c r="T729" s="613"/>
      <c r="U729" s="559" t="str">
        <f>IFERROR(VLOOKUP(M729,'02. MM-KLH'!$B$6:$T$823,5,0),"")</f>
        <v>ĐQSD</v>
      </c>
      <c r="V729" s="523" t="str">
        <f>IFERROR(VLOOKUP(M729,'02. MM-KLH'!$B$6:$T$823,8,0),"")</f>
        <v>HÀNH CHÍNH KLH</v>
      </c>
      <c r="W729" s="559" t="str">
        <f>IFERROR(VLOOKUP(V729,'NS QUẢN LÝ CG'!$A$4:$D$36,2,0),"")</f>
        <v>Lê Trần Hoàng Minh</v>
      </c>
      <c r="X729" s="559" t="str">
        <f>IFERROR(VLOOKUP(V729,'NS QUẢN LÝ CG'!$A$4:$D$36,4,0),"")</f>
        <v>Văn Phòng 94</v>
      </c>
      <c r="Y729" s="559" t="str">
        <f>IFERROR(VLOOKUP(V729,'NS QUẢN LÝ CG'!$A$4:$C$36,3,0),"")</f>
        <v>0965509539</v>
      </c>
      <c r="Z729" s="523" t="str">
        <f>IFERROR(VLOOKUP(M729,'02. MM-KLH'!$B$6:$T$823,3,0),"")</f>
        <v/>
      </c>
      <c r="AA729" s="559" t="str">
        <f t="shared" si="49"/>
        <v/>
      </c>
      <c r="AB729" s="523"/>
      <c r="AC729" s="523"/>
    </row>
    <row r="730">
      <c r="A730" s="523"/>
      <c r="B730" s="612" t="str">
        <f>IFERROR(VLOOKUP(M730,'02. MM-KLH'!$B$6:$T$823,6,0),"")</f>
        <v>Xe công vụ Toyota Hilux</v>
      </c>
      <c r="C730" s="566">
        <v>1.0</v>
      </c>
      <c r="D730" s="613" t="str">
        <f>IFERROR(VLOOKUP(M730,'02. MM-KLH'!$B$6:$T$823,16,0),"")</f>
        <v>HILLUX</v>
      </c>
      <c r="E730" s="561" t="s">
        <v>4158</v>
      </c>
      <c r="F730" s="613"/>
      <c r="G730" s="613"/>
      <c r="H730" s="613" t="str">
        <f>IFERROR(VLOOKUP(M730,'02. MM-KLH'!$B$6:$T$823,17,0),"")</f>
        <v>148HP</v>
      </c>
      <c r="I730" s="614" t="str">
        <f>IFERROR(VLOOKUP(M730,'02. MM-KLH'!$B$6:$U$823,20,0),"")</f>
        <v/>
      </c>
      <c r="J730" s="612" t="str">
        <f>IFERROR(VLOOKUP(M730,'02. MM-KLH'!$B$6:$T$823,19,0),"")</f>
        <v>1KDU299927</v>
      </c>
      <c r="K730" s="612" t="str">
        <f>IFERROR(VLOOKUP(M730,'02. MM-KLH'!$B$6:$T$823,18,0),"")</f>
        <v>MROFZ29G101692700</v>
      </c>
      <c r="L730" s="613" t="str">
        <f>IFERROR(VLOOKUP(M730,'02. MM-KLH'!$B$6:$T$823,4,0),"")</f>
        <v>81C-04260</v>
      </c>
      <c r="M730" s="488" t="s">
        <v>2722</v>
      </c>
      <c r="N730" s="615">
        <f>IFERROR(VLOOKUP(M730,'02. MM-KLH'!$B$6:$T$823,15,0),"")</f>
        <v>2013</v>
      </c>
      <c r="O730" s="616" t="str">
        <f>IFERROR(VLOOKUP(M730,'02. MM-KLH'!$B$6:$T$823,9,0),"")</f>
        <v/>
      </c>
      <c r="P730" s="613"/>
      <c r="Q730" s="613"/>
      <c r="R730" s="566" t="s">
        <v>4158</v>
      </c>
      <c r="S730" s="613"/>
      <c r="T730" s="613"/>
      <c r="U730" s="559" t="str">
        <f>IFERROR(VLOOKUP(M730,'02. MM-KLH'!$B$6:$T$823,5,0),"")</f>
        <v>ĐQSD</v>
      </c>
      <c r="V730" s="523" t="str">
        <f>IFERROR(VLOOKUP(M730,'02. MM-KLH'!$B$6:$T$823,8,0),"")</f>
        <v>HÀNH CHÍNH KLH</v>
      </c>
      <c r="W730" s="559" t="str">
        <f>IFERROR(VLOOKUP(V730,'NS QUẢN LÝ CG'!$A$4:$D$36,2,0),"")</f>
        <v>Lê Trần Hoàng Minh</v>
      </c>
      <c r="X730" s="559" t="str">
        <f>IFERROR(VLOOKUP(V730,'NS QUẢN LÝ CG'!$A$4:$D$36,4,0),"")</f>
        <v>Văn Phòng 94</v>
      </c>
      <c r="Y730" s="559" t="str">
        <f>IFERROR(VLOOKUP(V730,'NS QUẢN LÝ CG'!$A$4:$C$36,3,0),"")</f>
        <v>0965509539</v>
      </c>
      <c r="Z730" s="523" t="str">
        <f>IFERROR(VLOOKUP(M730,'02. MM-KLH'!$B$6:$T$823,3,0),"")</f>
        <v/>
      </c>
      <c r="AA730" s="559" t="str">
        <f t="shared" si="49"/>
        <v/>
      </c>
      <c r="AB730" s="523"/>
      <c r="AC730" s="523"/>
    </row>
    <row r="731">
      <c r="A731" s="523"/>
      <c r="B731" s="612" t="str">
        <f>IFERROR(VLOOKUP(M731,'02. MM-KLH'!$B$6:$T$823,6,0),"")</f>
        <v>Xe công vụ Mazda CX8</v>
      </c>
      <c r="C731" s="566">
        <v>1.0</v>
      </c>
      <c r="D731" s="613" t="str">
        <f>IFERROR(VLOOKUP(M731,'02. MM-KLH'!$B$6:$T$823,16,0),"")</f>
        <v>CX8</v>
      </c>
      <c r="E731" s="561" t="s">
        <v>4158</v>
      </c>
      <c r="F731" s="613"/>
      <c r="G731" s="613"/>
      <c r="H731" s="613" t="str">
        <f>IFERROR(VLOOKUP(M731,'02. MM-KLH'!$B$6:$T$823,17,0),"")</f>
        <v>188HP</v>
      </c>
      <c r="I731" s="614" t="str">
        <f>IFERROR(VLOOKUP(M731,'02. MM-KLH'!$B$6:$U$823,20,0),"")</f>
        <v/>
      </c>
      <c r="J731" s="612" t="str">
        <f>IFERROR(VLOOKUP(M731,'02. MM-KLH'!$B$6:$T$823,19,0),"")</f>
        <v>PY31030035</v>
      </c>
      <c r="K731" s="612" t="str">
        <f>IFERROR(VLOOKUP(M731,'02. MM-KLH'!$B$6:$T$823,18,0),"")</f>
        <v>RN2K35346KM018796</v>
      </c>
      <c r="L731" s="613" t="str">
        <f>IFERROR(VLOOKUP(M731,'02. MM-KLH'!$B$6:$T$823,4,0),"")</f>
        <v>92A -338.08</v>
      </c>
      <c r="M731" s="488" t="s">
        <v>2730</v>
      </c>
      <c r="N731" s="615">
        <f>IFERROR(VLOOKUP(M731,'02. MM-KLH'!$B$6:$T$823,15,0),"")</f>
        <v>2019</v>
      </c>
      <c r="O731" s="616" t="str">
        <f>IFERROR(VLOOKUP(M731,'02. MM-KLH'!$B$6:$T$823,9,0),"")</f>
        <v/>
      </c>
      <c r="P731" s="613"/>
      <c r="Q731" s="613"/>
      <c r="R731" s="566" t="s">
        <v>4158</v>
      </c>
      <c r="S731" s="613"/>
      <c r="T731" s="613"/>
      <c r="U731" s="559" t="str">
        <f>IFERROR(VLOOKUP(M731,'02. MM-KLH'!$B$6:$T$823,5,0),"")</f>
        <v>ĐQSD</v>
      </c>
      <c r="V731" s="523" t="str">
        <f>IFERROR(VLOOKUP(M731,'02. MM-KLH'!$B$6:$T$823,8,0),"")</f>
        <v>HÀNH CHÍNH KLH</v>
      </c>
      <c r="W731" s="559" t="str">
        <f>IFERROR(VLOOKUP(V731,'NS QUẢN LÝ CG'!$A$4:$D$36,2,0),"")</f>
        <v>Lê Trần Hoàng Minh</v>
      </c>
      <c r="X731" s="559" t="str">
        <f>IFERROR(VLOOKUP(V731,'NS QUẢN LÝ CG'!$A$4:$D$36,4,0),"")</f>
        <v>Văn Phòng 94</v>
      </c>
      <c r="Y731" s="559" t="str">
        <f>IFERROR(VLOOKUP(V731,'NS QUẢN LÝ CG'!$A$4:$C$36,3,0),"")</f>
        <v>0965509539</v>
      </c>
      <c r="Z731" s="523" t="str">
        <f>IFERROR(VLOOKUP(M731,'02. MM-KLH'!$B$6:$T$823,3,0),"")</f>
        <v/>
      </c>
      <c r="AA731" s="559" t="str">
        <f t="shared" si="49"/>
        <v/>
      </c>
      <c r="AB731" s="523"/>
      <c r="AC731" s="523"/>
    </row>
    <row r="732">
      <c r="A732" s="523"/>
      <c r="B732" s="612" t="str">
        <f>IFERROR(VLOOKUP(M732,'02. MM-KLH'!$B$6:$T$823,6,0),"")</f>
        <v>Xe cấp cứu Hyundai Starex</v>
      </c>
      <c r="C732" s="566">
        <v>1.0</v>
      </c>
      <c r="D732" s="613" t="str">
        <f>IFERROR(VLOOKUP(M732,'02. MM-KLH'!$B$6:$T$823,16,0),"")</f>
        <v>STAREX</v>
      </c>
      <c r="E732" s="561" t="s">
        <v>4158</v>
      </c>
      <c r="F732" s="613"/>
      <c r="G732" s="613"/>
      <c r="H732" s="613" t="str">
        <f>IFERROR(VLOOKUP(M732,'02. MM-KLH'!$B$6:$T$823,17,0),"")</f>
        <v>100HP</v>
      </c>
      <c r="I732" s="614" t="str">
        <f>IFERROR(VLOOKUP(M732,'02. MM-KLH'!$B$6:$U$823,20,0),"")</f>
        <v/>
      </c>
      <c r="J732" s="612" t="str">
        <f>IFERROR(VLOOKUP(M732,'02. MM-KLH'!$B$6:$T$823,19,0),"")</f>
        <v/>
      </c>
      <c r="K732" s="612" t="str">
        <f>IFERROR(VLOOKUP(M732,'02. MM-KLH'!$B$6:$T$823,18,0),"")</f>
        <v/>
      </c>
      <c r="L732" s="613" t="str">
        <f>IFERROR(VLOOKUP(M732,'02. MM-KLH'!$B$6:$T$823,4,0),"")</f>
        <v>2A-0522</v>
      </c>
      <c r="M732" s="488" t="s">
        <v>2738</v>
      </c>
      <c r="N732" s="615">
        <f>IFERROR(VLOOKUP(M732,'02. MM-KLH'!$B$6:$T$823,15,0),"")</f>
        <v>2016</v>
      </c>
      <c r="O732" s="616" t="str">
        <f>IFERROR(VLOOKUP(M732,'02. MM-KLH'!$B$6:$T$823,9,0),"")</f>
        <v/>
      </c>
      <c r="P732" s="613"/>
      <c r="Q732" s="613"/>
      <c r="R732" s="566" t="s">
        <v>4158</v>
      </c>
      <c r="S732" s="613"/>
      <c r="T732" s="613"/>
      <c r="U732" s="559" t="str">
        <f>IFERROR(VLOOKUP(M732,'02. MM-KLH'!$B$6:$T$823,5,0),"")</f>
        <v>ĐQSD</v>
      </c>
      <c r="V732" s="523" t="str">
        <f>IFERROR(VLOOKUP(M732,'02. MM-KLH'!$B$6:$T$823,8,0),"")</f>
        <v>HÀNH CHÍNH KLH</v>
      </c>
      <c r="W732" s="559" t="str">
        <f>IFERROR(VLOOKUP(V732,'NS QUẢN LÝ CG'!$A$4:$D$36,2,0),"")</f>
        <v>Lê Trần Hoàng Minh</v>
      </c>
      <c r="X732" s="559" t="str">
        <f>IFERROR(VLOOKUP(V732,'NS QUẢN LÝ CG'!$A$4:$D$36,4,0),"")</f>
        <v>Văn Phòng 94</v>
      </c>
      <c r="Y732" s="559" t="str">
        <f>IFERROR(VLOOKUP(V732,'NS QUẢN LÝ CG'!$A$4:$C$36,3,0),"")</f>
        <v>0965509539</v>
      </c>
      <c r="Z732" s="523" t="str">
        <f>IFERROR(VLOOKUP(M732,'02. MM-KLH'!$B$6:$T$823,3,0),"")</f>
        <v/>
      </c>
      <c r="AA732" s="559" t="str">
        <f t="shared" si="49"/>
        <v/>
      </c>
      <c r="AB732" s="523"/>
      <c r="AC732" s="523"/>
    </row>
    <row r="733">
      <c r="A733" s="523"/>
      <c r="B733" s="612" t="str">
        <f>IFERROR(VLOOKUP(M733,'02. MM-KLH'!$B$6:$T$823,6,0),"")</f>
        <v>Xe công vụ Ford Everest</v>
      </c>
      <c r="C733" s="566">
        <v>1.0</v>
      </c>
      <c r="D733" s="613" t="str">
        <f>IFERROR(VLOOKUP(M733,'02. MM-KLH'!$B$6:$T$823,16,0),"")</f>
        <v>EVEREST</v>
      </c>
      <c r="E733" s="561" t="s">
        <v>4158</v>
      </c>
      <c r="F733" s="613"/>
      <c r="G733" s="613"/>
      <c r="H733" s="613" t="str">
        <f>IFERROR(VLOOKUP(M733,'02. MM-KLH'!$B$6:$T$823,17,0),"")</f>
        <v>141HP</v>
      </c>
      <c r="I733" s="614" t="str">
        <f>IFERROR(VLOOKUP(M733,'02. MM-KLH'!$B$6:$U$823,20,0),"")</f>
        <v/>
      </c>
      <c r="J733" s="612" t="str">
        <f>IFERROR(VLOOKUP(M733,'02. MM-KLH'!$B$6:$T$823,19,0),"")</f>
        <v>YNWQRLY00046</v>
      </c>
      <c r="K733" s="612" t="str">
        <f>IFERROR(VLOOKUP(M733,'02. MM-KLH'!$B$6:$T$823,18,0),"")</f>
        <v>PV5XWER8RLY00766</v>
      </c>
      <c r="L733" s="613" t="str">
        <f>IFERROR(VLOOKUP(M733,'02. MM-KLH'!$B$6:$T$823,4,0),"")</f>
        <v>2B-6868</v>
      </c>
      <c r="M733" s="488" t="s">
        <v>2743</v>
      </c>
      <c r="N733" s="615">
        <f>IFERROR(VLOOKUP(M733,'02. MM-KLH'!$B$6:$T$823,15,0),"")</f>
        <v>2024</v>
      </c>
      <c r="O733" s="616" t="str">
        <f>IFERROR(VLOOKUP(M733,'02. MM-KLH'!$B$6:$T$823,9,0),"")</f>
        <v/>
      </c>
      <c r="P733" s="613"/>
      <c r="Q733" s="613"/>
      <c r="R733" s="566" t="s">
        <v>4158</v>
      </c>
      <c r="S733" s="613"/>
      <c r="T733" s="613"/>
      <c r="U733" s="559" t="str">
        <f>IFERROR(VLOOKUP(M733,'02. MM-KLH'!$B$6:$T$823,5,0),"")</f>
        <v>ĐQSD</v>
      </c>
      <c r="V733" s="523" t="str">
        <f>IFERROR(VLOOKUP(M733,'02. MM-KLH'!$B$6:$T$823,8,0),"")</f>
        <v>HÀNH CHÍNH KLH</v>
      </c>
      <c r="W733" s="559" t="str">
        <f>IFERROR(VLOOKUP(V733,'NS QUẢN LÝ CG'!$A$4:$D$36,2,0),"")</f>
        <v>Lê Trần Hoàng Minh</v>
      </c>
      <c r="X733" s="559" t="str">
        <f>IFERROR(VLOOKUP(V733,'NS QUẢN LÝ CG'!$A$4:$D$36,4,0),"")</f>
        <v>Văn Phòng 94</v>
      </c>
      <c r="Y733" s="559" t="str">
        <f>IFERROR(VLOOKUP(V733,'NS QUẢN LÝ CG'!$A$4:$C$36,3,0),"")</f>
        <v>0965509539</v>
      </c>
      <c r="Z733" s="523" t="str">
        <f>IFERROR(VLOOKUP(M733,'02. MM-KLH'!$B$6:$T$823,3,0),"")</f>
        <v/>
      </c>
      <c r="AA733" s="559" t="str">
        <f t="shared" si="49"/>
        <v/>
      </c>
      <c r="AB733" s="523"/>
      <c r="AC733" s="523"/>
    </row>
    <row r="734">
      <c r="A734" s="523"/>
      <c r="B734" s="612" t="str">
        <f>IFERROR(VLOOKUP(M734,'02. MM-KLH'!$B$6:$T$823,6,0),"")</f>
        <v>Xe công vụ Mazda BT50</v>
      </c>
      <c r="C734" s="566">
        <v>1.0</v>
      </c>
      <c r="D734" s="613" t="str">
        <f>IFERROR(VLOOKUP(M734,'02. MM-KLH'!$B$6:$T$823,16,0),"")</f>
        <v>BT50</v>
      </c>
      <c r="E734" s="561" t="s">
        <v>4158</v>
      </c>
      <c r="F734" s="613"/>
      <c r="G734" s="613"/>
      <c r="H734" s="613" t="str">
        <f>IFERROR(VLOOKUP(M734,'02. MM-KLH'!$B$6:$T$823,17,0),"")</f>
        <v>148HP</v>
      </c>
      <c r="I734" s="614" t="str">
        <f>IFERROR(VLOOKUP(M734,'02. MM-KLH'!$B$6:$U$823,20,0),"")</f>
        <v/>
      </c>
      <c r="J734" s="612" t="str">
        <f>IFERROR(VLOOKUP(M734,'02. MM-KLH'!$B$6:$T$823,19,0),"")</f>
        <v>P5AT2707088</v>
      </c>
      <c r="K734" s="612" t="str">
        <f>IFERROR(VLOOKUP(M734,'02. MM-KLH'!$B$6:$T$823,18,0),"")</f>
        <v>MM7UR4DF9KW903331</v>
      </c>
      <c r="L734" s="613" t="str">
        <f>IFERROR(VLOOKUP(M734,'02. MM-KLH'!$B$6:$T$823,4,0),"")</f>
        <v>51D-62994</v>
      </c>
      <c r="M734" s="488" t="s">
        <v>2749</v>
      </c>
      <c r="N734" s="615">
        <f>IFERROR(VLOOKUP(M734,'02. MM-KLH'!$B$6:$T$823,15,0),"")</f>
        <v>2018</v>
      </c>
      <c r="O734" s="616" t="str">
        <f>IFERROR(VLOOKUP(M734,'02. MM-KLH'!$B$6:$T$823,9,0),"")</f>
        <v/>
      </c>
      <c r="P734" s="613"/>
      <c r="Q734" s="613"/>
      <c r="R734" s="566" t="s">
        <v>4158</v>
      </c>
      <c r="S734" s="613"/>
      <c r="T734" s="613"/>
      <c r="U734" s="559" t="str">
        <f>IFERROR(VLOOKUP(M734,'02. MM-KLH'!$B$6:$T$823,5,0),"")</f>
        <v>ĐQSD</v>
      </c>
      <c r="V734" s="523" t="str">
        <f>IFERROR(VLOOKUP(M734,'02. MM-KLH'!$B$6:$T$823,8,0),"")</f>
        <v>HÀNH CHÍNH KLH</v>
      </c>
      <c r="W734" s="559" t="str">
        <f>IFERROR(VLOOKUP(V734,'NS QUẢN LÝ CG'!$A$4:$D$36,2,0),"")</f>
        <v>Lê Trần Hoàng Minh</v>
      </c>
      <c r="X734" s="559" t="str">
        <f>IFERROR(VLOOKUP(V734,'NS QUẢN LÝ CG'!$A$4:$D$36,4,0),"")</f>
        <v>Văn Phòng 94</v>
      </c>
      <c r="Y734" s="559" t="str">
        <f>IFERROR(VLOOKUP(V734,'NS QUẢN LÝ CG'!$A$4:$C$36,3,0),"")</f>
        <v>0965509539</v>
      </c>
      <c r="Z734" s="523" t="str">
        <f>IFERROR(VLOOKUP(M734,'02. MM-KLH'!$B$6:$T$823,3,0),"")</f>
        <v/>
      </c>
      <c r="AA734" s="559" t="str">
        <f t="shared" si="49"/>
        <v/>
      </c>
      <c r="AB734" s="523"/>
      <c r="AC734" s="523"/>
    </row>
    <row r="735">
      <c r="A735" s="523"/>
      <c r="B735" s="612" t="str">
        <f>IFERROR(VLOOKUP(M735,'02. MM-KLH'!$B$6:$T$823,6,0),"")</f>
        <v>Xe bus</v>
      </c>
      <c r="C735" s="566">
        <v>1.0</v>
      </c>
      <c r="D735" s="613" t="str">
        <f>IFERROR(VLOOKUP(M735,'02. MM-KLH'!$B$6:$T$823,16,0),"")</f>
        <v/>
      </c>
      <c r="E735" s="561" t="s">
        <v>4158</v>
      </c>
      <c r="F735" s="613"/>
      <c r="G735" s="613"/>
      <c r="H735" s="613" t="str">
        <f>IFERROR(VLOOKUP(M735,'02. MM-KLH'!$B$6:$T$823,17,0),"")</f>
        <v/>
      </c>
      <c r="I735" s="614">
        <f>IFERROR(VLOOKUP(M735,'02. MM-KLH'!$B$6:$U$823,20,0),"")</f>
        <v>8</v>
      </c>
      <c r="J735" s="612" t="str">
        <f>IFERROR(VLOOKUP(M735,'02. MM-KLH'!$B$6:$T$823,19,0),"")</f>
        <v/>
      </c>
      <c r="K735" s="612" t="str">
        <f>IFERROR(VLOOKUP(M735,'02. MM-KLH'!$B$6:$T$823,18,0),"")</f>
        <v/>
      </c>
      <c r="L735" s="613" t="str">
        <f>IFERROR(VLOOKUP(M735,'02. MM-KLH'!$B$6:$T$823,4,0),"")</f>
        <v>92B-00858</v>
      </c>
      <c r="M735" s="488" t="s">
        <v>2754</v>
      </c>
      <c r="N735" s="615" t="str">
        <f>IFERROR(VLOOKUP(M735,'02. MM-KLH'!$B$6:$T$823,15,0),"")</f>
        <v/>
      </c>
      <c r="O735" s="616" t="str">
        <f>IFERROR(VLOOKUP(M735,'02. MM-KLH'!$B$6:$T$823,9,0),"")</f>
        <v/>
      </c>
      <c r="P735" s="613"/>
      <c r="Q735" s="613"/>
      <c r="R735" s="566" t="s">
        <v>4158</v>
      </c>
      <c r="S735" s="613"/>
      <c r="T735" s="613"/>
      <c r="U735" s="559" t="str">
        <f>IFERROR(VLOOKUP(M735,'02. MM-KLH'!$B$6:$T$823,5,0),"")</f>
        <v>ĐQSD</v>
      </c>
      <c r="V735" s="523" t="str">
        <f>IFERROR(VLOOKUP(M735,'02. MM-KLH'!$B$6:$T$823,8,0),"")</f>
        <v>HÀNH CHÍNH KLH</v>
      </c>
      <c r="W735" s="559" t="str">
        <f>IFERROR(VLOOKUP(V735,'NS QUẢN LÝ CG'!$A$4:$D$36,2,0),"")</f>
        <v>Lê Trần Hoàng Minh</v>
      </c>
      <c r="X735" s="559" t="str">
        <f>IFERROR(VLOOKUP(V735,'NS QUẢN LÝ CG'!$A$4:$D$36,4,0),"")</f>
        <v>Văn Phòng 94</v>
      </c>
      <c r="Y735" s="559" t="str">
        <f>IFERROR(VLOOKUP(V735,'NS QUẢN LÝ CG'!$A$4:$C$36,3,0),"")</f>
        <v>0965509539</v>
      </c>
      <c r="Z735" s="523" t="str">
        <f>IFERROR(VLOOKUP(M735,'02. MM-KLH'!$B$6:$T$823,3,0),"")</f>
        <v/>
      </c>
      <c r="AA735" s="559" t="str">
        <f t="shared" si="49"/>
        <v/>
      </c>
      <c r="AB735" s="523"/>
      <c r="AC735" s="523"/>
    </row>
    <row r="736">
      <c r="A736" s="523"/>
      <c r="B736" s="612" t="str">
        <f>IFERROR(VLOOKUP(M736,'02. MM-KLH'!$B$6:$T$823,6,0),"")</f>
        <v>Xe tải đông lạnh K200</v>
      </c>
      <c r="C736" s="566">
        <v>1.0</v>
      </c>
      <c r="D736" s="613" t="str">
        <f>IFERROR(VLOOKUP(M736,'02. MM-KLH'!$B$6:$T$823,16,0),"")</f>
        <v>K200</v>
      </c>
      <c r="E736" s="561" t="s">
        <v>4158</v>
      </c>
      <c r="F736" s="613"/>
      <c r="G736" s="613"/>
      <c r="H736" s="613" t="str">
        <f>IFERROR(VLOOKUP(M736,'02. MM-KLH'!$B$6:$T$823,17,0),"")</f>
        <v>130HP</v>
      </c>
      <c r="I736" s="614">
        <f>IFERROR(VLOOKUP(M736,'02. MM-KLH'!$B$6:$U$823,20,0),"")</f>
        <v>2.9</v>
      </c>
      <c r="J736" s="612" t="str">
        <f>IFERROR(VLOOKUP(M736,'02. MM-KLH'!$B$6:$T$823,19,0),"")</f>
        <v>RD577729D4CB</v>
      </c>
      <c r="K736" s="612" t="str">
        <f>IFERROR(VLOOKUP(M736,'02. MM-KLH'!$B$6:$T$823,18,0),"")</f>
        <v>RNHA39KHERT094672</v>
      </c>
      <c r="L736" s="613" t="str">
        <f>IFERROR(VLOOKUP(M736,'02. MM-KLH'!$B$6:$T$823,4,0),"")</f>
        <v>2A-0091</v>
      </c>
      <c r="M736" s="488" t="s">
        <v>2758</v>
      </c>
      <c r="N736" s="615">
        <f>IFERROR(VLOOKUP(M736,'02. MM-KLH'!$B$6:$T$823,15,0),"")</f>
        <v>2024</v>
      </c>
      <c r="O736" s="616">
        <f>IFERROR(VLOOKUP(M736,'02. MM-KLH'!$B$6:$T$823,9,0),"")</f>
        <v>45452</v>
      </c>
      <c r="P736" s="613"/>
      <c r="Q736" s="613"/>
      <c r="R736" s="566" t="s">
        <v>4158</v>
      </c>
      <c r="S736" s="613"/>
      <c r="T736" s="613"/>
      <c r="U736" s="559" t="str">
        <f>IFERROR(VLOOKUP(M736,'02. MM-KLH'!$B$6:$T$823,5,0),"")</f>
        <v>MỚI</v>
      </c>
      <c r="V736" s="523" t="str">
        <f>IFERROR(VLOOKUP(M736,'02. MM-KLH'!$B$6:$T$823,8,0),"")</f>
        <v>HÀNH CHÍNH KLH</v>
      </c>
      <c r="W736" s="559" t="str">
        <f>IFERROR(VLOOKUP(V736,'NS QUẢN LÝ CG'!$A$4:$D$36,2,0),"")</f>
        <v>Lê Trần Hoàng Minh</v>
      </c>
      <c r="X736" s="559" t="str">
        <f>IFERROR(VLOOKUP(V736,'NS QUẢN LÝ CG'!$A$4:$D$36,4,0),"")</f>
        <v>Văn Phòng 94</v>
      </c>
      <c r="Y736" s="559" t="str">
        <f>IFERROR(VLOOKUP(V736,'NS QUẢN LÝ CG'!$A$4:$C$36,3,0),"")</f>
        <v>0965509539</v>
      </c>
      <c r="Z736" s="523" t="str">
        <f>IFERROR(VLOOKUP(M736,'02. MM-KLH'!$B$6:$T$823,3,0),"")</f>
        <v>A23-TĐL-001</v>
      </c>
      <c r="AA736" s="559" t="str">
        <f t="shared" si="49"/>
        <v>DP</v>
      </c>
      <c r="AB736" s="523"/>
      <c r="AC736" s="523"/>
    </row>
    <row r="737">
      <c r="A737" s="523"/>
      <c r="B737" s="612" t="str">
        <f>IFERROR(VLOOKUP(M737,'02. MM-KLH'!$B$6:$T$823,6,0),"")</f>
        <v>Xe tải đông lạnh K200</v>
      </c>
      <c r="C737" s="566">
        <v>1.0</v>
      </c>
      <c r="D737" s="613" t="str">
        <f>IFERROR(VLOOKUP(M737,'02. MM-KLH'!$B$6:$T$823,16,0),"")</f>
        <v>K200</v>
      </c>
      <c r="E737" s="561" t="s">
        <v>4158</v>
      </c>
      <c r="F737" s="613"/>
      <c r="G737" s="613"/>
      <c r="H737" s="613" t="str">
        <f>IFERROR(VLOOKUP(M737,'02. MM-KLH'!$B$6:$T$823,17,0),"")</f>
        <v>130HP</v>
      </c>
      <c r="I737" s="614">
        <f>IFERROR(VLOOKUP(M737,'02. MM-KLH'!$B$6:$U$823,20,0),"")</f>
        <v>2.9</v>
      </c>
      <c r="J737" s="612" t="str">
        <f>IFERROR(VLOOKUP(M737,'02. MM-KLH'!$B$6:$T$823,19,0),"")</f>
        <v>RD577733D4CB</v>
      </c>
      <c r="K737" s="612" t="str">
        <f>IFERROR(VLOOKUP(M737,'02. MM-KLH'!$B$6:$T$823,18,0),"")</f>
        <v>RNHA39KHERT094673</v>
      </c>
      <c r="L737" s="613" t="str">
        <f>IFERROR(VLOOKUP(M737,'02. MM-KLH'!$B$6:$T$823,4,0),"")</f>
        <v>2A-0046</v>
      </c>
      <c r="M737" s="488" t="s">
        <v>2765</v>
      </c>
      <c r="N737" s="615">
        <f>IFERROR(VLOOKUP(M737,'02. MM-KLH'!$B$6:$T$823,15,0),"")</f>
        <v>2024</v>
      </c>
      <c r="O737" s="616">
        <f>IFERROR(VLOOKUP(M737,'02. MM-KLH'!$B$6:$T$823,9,0),"")</f>
        <v>45452</v>
      </c>
      <c r="P737" s="613"/>
      <c r="Q737" s="613"/>
      <c r="R737" s="566" t="s">
        <v>4158</v>
      </c>
      <c r="S737" s="613"/>
      <c r="T737" s="613"/>
      <c r="U737" s="559" t="str">
        <f>IFERROR(VLOOKUP(M737,'02. MM-KLH'!$B$6:$T$823,5,0),"")</f>
        <v>MỚI</v>
      </c>
      <c r="V737" s="523" t="str">
        <f>IFERROR(VLOOKUP(M737,'02. MM-KLH'!$B$6:$T$823,8,0),"")</f>
        <v>HÀNH CHÍNH KLH</v>
      </c>
      <c r="W737" s="559" t="str">
        <f>IFERROR(VLOOKUP(V737,'NS QUẢN LÝ CG'!$A$4:$D$36,2,0),"")</f>
        <v>Lê Trần Hoàng Minh</v>
      </c>
      <c r="X737" s="559" t="str">
        <f>IFERROR(VLOOKUP(V737,'NS QUẢN LÝ CG'!$A$4:$D$36,4,0),"")</f>
        <v>Văn Phòng 94</v>
      </c>
      <c r="Y737" s="559" t="str">
        <f>IFERROR(VLOOKUP(V737,'NS QUẢN LÝ CG'!$A$4:$C$36,3,0),"")</f>
        <v>0965509539</v>
      </c>
      <c r="Z737" s="523" t="str">
        <f>IFERROR(VLOOKUP(M737,'02. MM-KLH'!$B$6:$T$823,3,0),"")</f>
        <v>A23-TĐL-002</v>
      </c>
      <c r="AA737" s="559" t="str">
        <f t="shared" si="49"/>
        <v>DP</v>
      </c>
      <c r="AB737" s="523"/>
      <c r="AC737" s="523"/>
    </row>
    <row r="738">
      <c r="A738" s="523"/>
      <c r="B738" s="612" t="str">
        <f>IFERROR(VLOOKUP(M738,'02. MM-KLH'!$B$6:$T$823,6,0),"")</f>
        <v>Xe tải đông lạnh K200</v>
      </c>
      <c r="C738" s="566">
        <v>1.0</v>
      </c>
      <c r="D738" s="613" t="str">
        <f>IFERROR(VLOOKUP(M738,'02. MM-KLH'!$B$6:$T$823,16,0),"")</f>
        <v>K200</v>
      </c>
      <c r="E738" s="561" t="s">
        <v>4158</v>
      </c>
      <c r="F738" s="613"/>
      <c r="G738" s="613"/>
      <c r="H738" s="613" t="str">
        <f>IFERROR(VLOOKUP(M738,'02. MM-KLH'!$B$6:$T$823,17,0),"")</f>
        <v>130HP</v>
      </c>
      <c r="I738" s="614">
        <f>IFERROR(VLOOKUP(M738,'02. MM-KLH'!$B$6:$U$823,20,0),"")</f>
        <v>2.9</v>
      </c>
      <c r="J738" s="612" t="str">
        <f>IFERROR(VLOOKUP(M738,'02. MM-KLH'!$B$6:$T$823,19,0),"")</f>
        <v>RD577734D4CB</v>
      </c>
      <c r="K738" s="612" t="str">
        <f>IFERROR(VLOOKUP(M738,'02. MM-KLH'!$B$6:$T$823,18,0),"")</f>
        <v>RNHA39KHERT094674</v>
      </c>
      <c r="L738" s="613" t="str">
        <f>IFERROR(VLOOKUP(M738,'02. MM-KLH'!$B$6:$T$823,4,0),"")</f>
        <v>2A-0109</v>
      </c>
      <c r="M738" s="488" t="s">
        <v>2770</v>
      </c>
      <c r="N738" s="615">
        <f>IFERROR(VLOOKUP(M738,'02. MM-KLH'!$B$6:$T$823,15,0),"")</f>
        <v>2024</v>
      </c>
      <c r="O738" s="616">
        <f>IFERROR(VLOOKUP(M738,'02. MM-KLH'!$B$6:$T$823,9,0),"")</f>
        <v>45452</v>
      </c>
      <c r="P738" s="613"/>
      <c r="Q738" s="613"/>
      <c r="R738" s="566" t="s">
        <v>4158</v>
      </c>
      <c r="S738" s="613"/>
      <c r="T738" s="613"/>
      <c r="U738" s="559" t="str">
        <f>IFERROR(VLOOKUP(M738,'02. MM-KLH'!$B$6:$T$823,5,0),"")</f>
        <v>MỚI</v>
      </c>
      <c r="V738" s="523" t="str">
        <f>IFERROR(VLOOKUP(M738,'02. MM-KLH'!$B$6:$T$823,8,0),"")</f>
        <v>HÀNH CHÍNH KLH</v>
      </c>
      <c r="W738" s="559" t="str">
        <f>IFERROR(VLOOKUP(V738,'NS QUẢN LÝ CG'!$A$4:$D$36,2,0),"")</f>
        <v>Lê Trần Hoàng Minh</v>
      </c>
      <c r="X738" s="559" t="str">
        <f>IFERROR(VLOOKUP(V738,'NS QUẢN LÝ CG'!$A$4:$D$36,4,0),"")</f>
        <v>Văn Phòng 94</v>
      </c>
      <c r="Y738" s="559" t="str">
        <f>IFERROR(VLOOKUP(V738,'NS QUẢN LÝ CG'!$A$4:$C$36,3,0),"")</f>
        <v>0965509539</v>
      </c>
      <c r="Z738" s="523" t="str">
        <f>IFERROR(VLOOKUP(M738,'02. MM-KLH'!$B$6:$T$823,3,0),"")</f>
        <v>A23-TĐL-003</v>
      </c>
      <c r="AA738" s="559" t="str">
        <f t="shared" si="49"/>
        <v>DP</v>
      </c>
      <c r="AB738" s="523"/>
      <c r="AC738" s="523"/>
    </row>
    <row r="739">
      <c r="A739" s="523"/>
      <c r="B739" s="612" t="str">
        <f>IFERROR(VLOOKUP(M739,'02. MM-KLH'!$B$6:$T$823,6,0),"")</f>
        <v>Xe chở rác K250B</v>
      </c>
      <c r="C739" s="566">
        <v>1.0</v>
      </c>
      <c r="D739" s="613" t="str">
        <f>IFERROR(VLOOKUP(M739,'02. MM-KLH'!$B$6:$T$823,16,0),"")</f>
        <v>K250B</v>
      </c>
      <c r="E739" s="561" t="s">
        <v>4158</v>
      </c>
      <c r="F739" s="613"/>
      <c r="G739" s="613"/>
      <c r="H739" s="613" t="str">
        <f>IFERROR(VLOOKUP(M739,'02. MM-KLH'!$B$6:$T$823,17,0),"")</f>
        <v>130HP</v>
      </c>
      <c r="I739" s="614" t="str">
        <f>IFERROR(VLOOKUP(M739,'02. MM-KLH'!$B$6:$U$823,20,0),"")</f>
        <v/>
      </c>
      <c r="J739" s="612" t="str">
        <f>IFERROR(VLOOKUP(M739,'02. MM-KLH'!$B$6:$T$823,19,0),"")</f>
        <v>LD527221D4CB</v>
      </c>
      <c r="K739" s="612" t="str">
        <f>IFERROR(VLOOKUP(M739,'02. MM-KLH'!$B$6:$T$823,18,0),"")</f>
        <v>RNHA49KHEPT069328</v>
      </c>
      <c r="L739" s="613" t="str">
        <f>IFERROR(VLOOKUP(M739,'02. MM-KLH'!$B$6:$T$823,4,0),"")</f>
        <v/>
      </c>
      <c r="M739" s="488" t="s">
        <v>2775</v>
      </c>
      <c r="N739" s="615">
        <f>IFERROR(VLOOKUP(M739,'02. MM-KLH'!$B$6:$T$823,15,0),"")</f>
        <v>2023</v>
      </c>
      <c r="O739" s="616">
        <f>IFERROR(VLOOKUP(M739,'02. MM-KLH'!$B$6:$T$823,9,0),"")</f>
        <v>45452</v>
      </c>
      <c r="P739" s="613"/>
      <c r="Q739" s="613"/>
      <c r="R739" s="566" t="s">
        <v>4158</v>
      </c>
      <c r="S739" s="613"/>
      <c r="T739" s="613"/>
      <c r="U739" s="559" t="str">
        <f>IFERROR(VLOOKUP(M739,'02. MM-KLH'!$B$6:$T$823,5,0),"")</f>
        <v>MỚI</v>
      </c>
      <c r="V739" s="523" t="str">
        <f>IFERROR(VLOOKUP(M739,'02. MM-KLH'!$B$6:$T$823,8,0),"")</f>
        <v>HÀNH CHÍNH KLH</v>
      </c>
      <c r="W739" s="559" t="str">
        <f>IFERROR(VLOOKUP(V739,'NS QUẢN LÝ CG'!$A$4:$D$36,2,0),"")</f>
        <v>Lê Trần Hoàng Minh</v>
      </c>
      <c r="X739" s="559" t="str">
        <f>IFERROR(VLOOKUP(V739,'NS QUẢN LÝ CG'!$A$4:$D$36,4,0),"")</f>
        <v>Văn Phòng 94</v>
      </c>
      <c r="Y739" s="559" t="str">
        <f>IFERROR(VLOOKUP(V739,'NS QUẢN LÝ CG'!$A$4:$C$36,3,0),"")</f>
        <v>0965509539</v>
      </c>
      <c r="Z739" s="523" t="str">
        <f>IFERROR(VLOOKUP(M739,'02. MM-KLH'!$B$6:$T$823,3,0),"")</f>
        <v>A23-XCR-001</v>
      </c>
      <c r="AA739" s="559" t="str">
        <f t="shared" si="49"/>
        <v>DP</v>
      </c>
      <c r="AB739" s="523"/>
      <c r="AC739" s="523"/>
    </row>
    <row r="740">
      <c r="A740" s="523"/>
      <c r="B740" s="612" t="str">
        <f>IFERROR(VLOOKUP(M740,'02. MM-KLH'!$B$6:$T$823,6,0),"")</f>
        <v>Xe tải thùng FD140</v>
      </c>
      <c r="C740" s="566">
        <v>1.0</v>
      </c>
      <c r="D740" s="613" t="str">
        <f>IFERROR(VLOOKUP(M740,'02. MM-KLH'!$B$6:$T$823,16,0),"")</f>
        <v>FD140</v>
      </c>
      <c r="E740" s="561" t="s">
        <v>4158</v>
      </c>
      <c r="F740" s="613"/>
      <c r="G740" s="613"/>
      <c r="H740" s="613" t="str">
        <f>IFERROR(VLOOKUP(M740,'02. MM-KLH'!$B$6:$T$823,17,0),"")</f>
        <v>140HP</v>
      </c>
      <c r="I740" s="614">
        <f>IFERROR(VLOOKUP(M740,'02. MM-KLH'!$B$6:$U$823,20,0),"")</f>
        <v>0.3</v>
      </c>
      <c r="J740" s="612" t="str">
        <f>IFERROR(VLOOKUP(M740,'02. MM-KLH'!$B$6:$T$823,19,0),"")</f>
        <v>CCN</v>
      </c>
      <c r="K740" s="612">
        <f>IFERROR(VLOOKUP(M740,'02. MM-KLH'!$B$6:$T$823,18,0),"")</f>
        <v>49596</v>
      </c>
      <c r="L740" s="613" t="str">
        <f>IFERROR(VLOOKUP(M740,'02. MM-KLH'!$B$6:$T$823,4,0),"")</f>
        <v/>
      </c>
      <c r="M740" s="488" t="s">
        <v>2787</v>
      </c>
      <c r="N740" s="615">
        <f>IFERROR(VLOOKUP(M740,'02. MM-KLH'!$B$6:$T$823,15,0),"")</f>
        <v>2021</v>
      </c>
      <c r="O740" s="616">
        <f>IFERROR(VLOOKUP(M740,'02. MM-KLH'!$B$6:$T$823,9,0),"")</f>
        <v>44570</v>
      </c>
      <c r="P740" s="613"/>
      <c r="Q740" s="613"/>
      <c r="R740" s="566" t="s">
        <v>4158</v>
      </c>
      <c r="S740" s="613"/>
      <c r="T740" s="613"/>
      <c r="U740" s="559" t="str">
        <f>IFERROR(VLOOKUP(M740,'02. MM-KLH'!$B$6:$T$823,5,0),"")</f>
        <v>ĐQSD</v>
      </c>
      <c r="V740" s="523" t="str">
        <f>IFERROR(VLOOKUP(M740,'02. MM-KLH'!$B$6:$T$823,8,0),"")</f>
        <v>HÀNH CHÍNH KLH</v>
      </c>
      <c r="W740" s="559" t="str">
        <f>IFERROR(VLOOKUP(V740,'NS QUẢN LÝ CG'!$A$4:$D$36,2,0),"")</f>
        <v>Lê Trần Hoàng Minh</v>
      </c>
      <c r="X740" s="559" t="str">
        <f>IFERROR(VLOOKUP(V740,'NS QUẢN LÝ CG'!$A$4:$D$36,4,0),"")</f>
        <v>Văn Phòng 94</v>
      </c>
      <c r="Y740" s="559" t="str">
        <f>IFERROR(VLOOKUP(V740,'NS QUẢN LÝ CG'!$A$4:$C$36,3,0),"")</f>
        <v>0965509539</v>
      </c>
      <c r="Z740" s="523" t="str">
        <f>IFERROR(VLOOKUP(M740,'02. MM-KLH'!$B$6:$T$823,3,0),"")</f>
        <v>ATM-A23-0053</v>
      </c>
      <c r="AA740" s="559" t="str">
        <f t="shared" si="49"/>
        <v/>
      </c>
      <c r="AB740" s="523"/>
      <c r="AC740" s="523"/>
    </row>
    <row r="741">
      <c r="A741" s="523"/>
      <c r="B741" s="612" t="str">
        <f>IFERROR(VLOOKUP(M741,'02. MM-KLH'!$B$6:$T$823,6,0),"")</f>
        <v>Xe công vụ 81C-04285</v>
      </c>
      <c r="C741" s="566">
        <v>1.0</v>
      </c>
      <c r="D741" s="613" t="str">
        <f>IFERROR(VLOOKUP(M741,'02. MM-KLH'!$B$6:$T$823,16,0),"")</f>
        <v/>
      </c>
      <c r="E741" s="561" t="s">
        <v>4158</v>
      </c>
      <c r="F741" s="613"/>
      <c r="G741" s="613"/>
      <c r="H741" s="613" t="str">
        <f>IFERROR(VLOOKUP(M741,'02. MM-KLH'!$B$6:$T$823,17,0),"")</f>
        <v/>
      </c>
      <c r="I741" s="614" t="str">
        <f>IFERROR(VLOOKUP(M741,'02. MM-KLH'!$B$6:$U$823,20,0),"")</f>
        <v/>
      </c>
      <c r="J741" s="612" t="str">
        <f>IFERROR(VLOOKUP(M741,'02. MM-KLH'!$B$6:$T$823,19,0),"")</f>
        <v/>
      </c>
      <c r="K741" s="612" t="str">
        <f>IFERROR(VLOOKUP(M741,'02. MM-KLH'!$B$6:$T$823,18,0),"")</f>
        <v/>
      </c>
      <c r="L741" s="613" t="str">
        <f>IFERROR(VLOOKUP(M741,'02. MM-KLH'!$B$6:$T$823,4,0),"")</f>
        <v>81C-04285</v>
      </c>
      <c r="M741" s="488" t="s">
        <v>2804</v>
      </c>
      <c r="N741" s="615" t="str">
        <f>IFERROR(VLOOKUP(M741,'02. MM-KLH'!$B$6:$T$823,15,0),"")</f>
        <v/>
      </c>
      <c r="O741" s="616" t="str">
        <f>IFERROR(VLOOKUP(M741,'02. MM-KLH'!$B$6:$T$823,9,0),"")</f>
        <v>Đã qua sử dụng</v>
      </c>
      <c r="P741" s="613"/>
      <c r="Q741" s="613"/>
      <c r="R741" s="566" t="s">
        <v>4158</v>
      </c>
      <c r="S741" s="613"/>
      <c r="T741" s="613"/>
      <c r="U741" s="559" t="str">
        <f>IFERROR(VLOOKUP(M741,'02. MM-KLH'!$B$6:$T$823,5,0),"")</f>
        <v>ĐQSD</v>
      </c>
      <c r="V741" s="523" t="str">
        <f>IFERROR(VLOOKUP(M741,'02. MM-KLH'!$B$6:$T$823,8,0),"")</f>
        <v>Thadicons A&amp;I</v>
      </c>
      <c r="W741" s="559" t="str">
        <f>IFERROR(VLOOKUP(V741,'NS QUẢN LÝ CG'!$A$4:$D$36,2,0),"")</f>
        <v/>
      </c>
      <c r="X741" s="559" t="str">
        <f>IFERROR(VLOOKUP(V741,'NS QUẢN LÝ CG'!$A$4:$D$36,4,0),"")</f>
        <v/>
      </c>
      <c r="Y741" s="559" t="str">
        <f>IFERROR(VLOOKUP(V741,'NS QUẢN LÝ CG'!$A$4:$C$36,3,0),"")</f>
        <v/>
      </c>
      <c r="Z741" s="523" t="str">
        <f>IFERROR(VLOOKUP(M741,'02. MM-KLH'!$B$6:$T$823,3,0),"")</f>
        <v>-</v>
      </c>
      <c r="AA741" s="559" t="str">
        <f t="shared" si="49"/>
        <v/>
      </c>
      <c r="AB741" s="523"/>
      <c r="AC741" s="523"/>
    </row>
    <row r="742">
      <c r="A742" s="523"/>
      <c r="B742" s="612" t="str">
        <f>IFERROR(VLOOKUP(M742,'02. MM-KLH'!$B$6:$T$823,6,0),"")</f>
        <v/>
      </c>
      <c r="C742" s="566"/>
      <c r="D742" s="613" t="str">
        <f>IFERROR(VLOOKUP(M742,'02. MM-KLH'!$B$6:$T$823,16,0),"")</f>
        <v/>
      </c>
      <c r="E742" s="613"/>
      <c r="F742" s="613"/>
      <c r="G742" s="613"/>
      <c r="H742" s="613" t="str">
        <f>IFERROR(VLOOKUP(M742,'02. MM-KLH'!$B$6:$T$823,17,0),"")</f>
        <v/>
      </c>
      <c r="I742" s="614" t="str">
        <f>IFERROR(VLOOKUP(M742,'02. MM-KLH'!$B$6:$U$823,20,0),"")</f>
        <v/>
      </c>
      <c r="J742" s="612" t="str">
        <f>IFERROR(VLOOKUP(M742,'02. MM-KLH'!$B$6:$T$823,19,0),"")</f>
        <v/>
      </c>
      <c r="K742" s="612" t="str">
        <f>IFERROR(VLOOKUP(M742,'02. MM-KLH'!$B$6:$T$823,18,0),"")</f>
        <v/>
      </c>
      <c r="L742" s="613" t="str">
        <f>IFERROR(VLOOKUP(M742,'02. MM-KLH'!$B$6:$T$823,4,0),"")</f>
        <v/>
      </c>
      <c r="M742" s="488"/>
      <c r="N742" s="615" t="str">
        <f>IFERROR(VLOOKUP(M742,'02. MM-KLH'!$B$6:$T$823,15,0),"")</f>
        <v/>
      </c>
      <c r="O742" s="616" t="str">
        <f>IFERROR(VLOOKUP(M742,'02. MM-KLH'!$B$6:$T$823,9,0),"")</f>
        <v/>
      </c>
      <c r="P742" s="613"/>
      <c r="Q742" s="613"/>
      <c r="R742" s="613"/>
      <c r="S742" s="613"/>
      <c r="T742" s="613"/>
      <c r="U742" s="559" t="str">
        <f>IFERROR(VLOOKUP(M742,'02. MM-KLH'!$B$6:$T$823,5,0),"")</f>
        <v/>
      </c>
      <c r="V742" s="523" t="str">
        <f>IFERROR(VLOOKUP(M742,'02. MM-KLH'!$B$6:$T$823,8,0),"")</f>
        <v/>
      </c>
      <c r="W742" s="559" t="str">
        <f>IFERROR(VLOOKUP(V742,'NS QUẢN LÝ CG'!$A$4:$D$36,2,0),"")</f>
        <v/>
      </c>
      <c r="X742" s="559" t="str">
        <f>IFERROR(VLOOKUP(V742,'NS QUẢN LÝ CG'!$A$4:$D$36,4,0),"")</f>
        <v/>
      </c>
      <c r="Y742" s="613"/>
      <c r="Z742" s="523" t="str">
        <f>IFERROR(VLOOKUP(M742,'02. MM-KLH'!$B$6:$T$823,3,0),"")</f>
        <v/>
      </c>
      <c r="AA742" s="559" t="str">
        <f t="shared" si="49"/>
        <v/>
      </c>
      <c r="AB742" s="523"/>
      <c r="AC742" s="523"/>
    </row>
    <row r="743">
      <c r="A743" s="523"/>
      <c r="B743" s="612" t="str">
        <f>IFERROR(VLOOKUP(M743,'02. MM-KLH'!$B$6:$T$823,6,0),"")</f>
        <v/>
      </c>
      <c r="C743" s="566"/>
      <c r="D743" s="613" t="str">
        <f>IFERROR(VLOOKUP(M743,'02. MM-KLH'!$B$6:$T$823,16,0),"")</f>
        <v/>
      </c>
      <c r="E743" s="613"/>
      <c r="F743" s="613"/>
      <c r="G743" s="613"/>
      <c r="H743" s="613" t="str">
        <f>IFERROR(VLOOKUP(M743,'02. MM-KLH'!$B$6:$T$823,17,0),"")</f>
        <v/>
      </c>
      <c r="I743" s="614" t="str">
        <f>IFERROR(VLOOKUP(M743,'02. MM-KLH'!$B$6:$U$823,20,0),"")</f>
        <v/>
      </c>
      <c r="J743" s="612" t="str">
        <f>IFERROR(VLOOKUP(M743,'02. MM-KLH'!$B$6:$T$823,19,0),"")</f>
        <v/>
      </c>
      <c r="K743" s="612" t="str">
        <f>IFERROR(VLOOKUP(M743,'02. MM-KLH'!$B$6:$T$823,18,0),"")</f>
        <v/>
      </c>
      <c r="L743" s="613" t="str">
        <f>IFERROR(VLOOKUP(M743,'02. MM-KLH'!$B$6:$T$823,4,0),"")</f>
        <v/>
      </c>
      <c r="M743" s="488"/>
      <c r="N743" s="615" t="str">
        <f>IFERROR(VLOOKUP(M743,'02. MM-KLH'!$B$6:$T$823,15,0),"")</f>
        <v/>
      </c>
      <c r="O743" s="616" t="str">
        <f>IFERROR(VLOOKUP(M743,'02. MM-KLH'!$B$6:$T$823,9,0),"")</f>
        <v/>
      </c>
      <c r="P743" s="613"/>
      <c r="Q743" s="613"/>
      <c r="R743" s="613"/>
      <c r="S743" s="613"/>
      <c r="T743" s="613"/>
      <c r="U743" s="613" t="str">
        <f>IFERROR(VLOOKUP(M743,'02. MM-KLH'!$B$6:$T$823,2,0),"")</f>
        <v/>
      </c>
      <c r="V743" s="523" t="str">
        <f>IFERROR(VLOOKUP(M743,'02. MM-KLH'!$B$6:$T$823,8,0),"")</f>
        <v/>
      </c>
      <c r="W743" s="559" t="str">
        <f>IFERROR(VLOOKUP(V743,'NS QUẢN LÝ CG'!$A$4:$D$36,2,0),"")</f>
        <v/>
      </c>
      <c r="X743" s="559" t="str">
        <f>IFERROR(VLOOKUP(V743,'NS QUẢN LÝ CG'!$A$4:$D$36,4,0),"")</f>
        <v/>
      </c>
      <c r="Y743" s="613"/>
      <c r="Z743" s="523" t="str">
        <f>IFERROR(VLOOKUP(M743,'02. MM-KLH'!$B$6:$T$823,3,0),"")</f>
        <v/>
      </c>
      <c r="AA743" s="613"/>
      <c r="AB743" s="523"/>
      <c r="AC743" s="523"/>
    </row>
    <row r="744">
      <c r="A744" s="870" t="s">
        <v>7634</v>
      </c>
      <c r="B744" s="30"/>
      <c r="C744" s="537">
        <f>COUNTA(B745:B790)</f>
        <v>44</v>
      </c>
      <c r="D744" s="538"/>
      <c r="E744" s="538"/>
      <c r="F744" s="538"/>
      <c r="G744" s="538"/>
      <c r="H744" s="539"/>
      <c r="I744" s="539"/>
      <c r="J744" s="540"/>
      <c r="K744" s="540"/>
      <c r="L744" s="538"/>
      <c r="M744" s="753"/>
      <c r="N744" s="538"/>
      <c r="O744" s="541"/>
      <c r="P744" s="538"/>
      <c r="Q744" s="538"/>
      <c r="R744" s="538"/>
      <c r="S744" s="538"/>
      <c r="T744" s="538"/>
      <c r="U744" s="538"/>
      <c r="V744" s="539"/>
      <c r="W744" s="538"/>
      <c r="X744" s="538"/>
      <c r="Y744" s="538"/>
      <c r="Z744" s="539"/>
      <c r="AA744" s="538"/>
      <c r="AB744" s="539"/>
      <c r="AC744" s="754"/>
    </row>
    <row r="745" ht="15.75" customHeight="1">
      <c r="A745" s="532"/>
      <c r="B745" s="986" t="str">
        <f>IFERROR(VLOOKUP(M745,'02. MM-KLH'!$B$6:$T$823,6,0),"")</f>
        <v>Máy thu hoạch cỏ Ruzi</v>
      </c>
      <c r="C745" s="566">
        <v>1.0</v>
      </c>
      <c r="D745" s="692" t="str">
        <f>IFERROR(VLOOKUP(M745,'02. MM-KLH'!$B$6:$T$823,16,0),"")</f>
        <v>GX35T</v>
      </c>
      <c r="E745" s="692"/>
      <c r="F745" s="561" t="s">
        <v>4158</v>
      </c>
      <c r="G745" s="692"/>
      <c r="H745" s="692" t="str">
        <f>IFERROR(VLOOKUP(M745,'02. MM-KLH'!$B$6:$T$823,17,0),"")</f>
        <v>1.34HP</v>
      </c>
      <c r="I745" s="987" t="str">
        <f>IFERROR(VLOOKUP(M745,'02. MM-KLH'!$B$6:$U$823,20,0),"")</f>
        <v/>
      </c>
      <c r="J745" s="986" t="str">
        <f>IFERROR(VLOOKUP(M745,'02. MM-KLH'!$B$6:$T$823,19,0),"")</f>
        <v>CCN</v>
      </c>
      <c r="K745" s="986" t="str">
        <f>IFERROR(VLOOKUP(M745,'02. MM-KLH'!$B$6:$T$823,18,0),"")</f>
        <v>CCN</v>
      </c>
      <c r="L745" s="692" t="str">
        <f>IFERROR(VLOOKUP(M745,'02. MM-KLH'!$B$6:$T$823,4,0),"")</f>
        <v/>
      </c>
      <c r="M745" s="488" t="s">
        <v>2336</v>
      </c>
      <c r="N745" s="988">
        <f>IFERROR(VLOOKUP(M745,'02. MM-KLH'!$B$6:$T$823,15,0),"")</f>
        <v>2025</v>
      </c>
      <c r="O745" s="989">
        <f>IFERROR(VLOOKUP(M745,'02. MM-KLH'!$B$6:$T$823,9,0),"")</f>
        <v>45669</v>
      </c>
      <c r="P745" s="692"/>
      <c r="Q745" s="692"/>
      <c r="R745" s="566" t="s">
        <v>4158</v>
      </c>
      <c r="S745" s="692"/>
      <c r="T745" s="692"/>
      <c r="U745" s="559" t="str">
        <f>IFERROR(VLOOKUP(M745,'02. MM-KLH'!$B$6:$T$823,5,0),"")</f>
        <v>MỚI</v>
      </c>
      <c r="V745" s="532" t="str">
        <f>IFERROR(VLOOKUP(M745,'02. MM-KLH'!$B$6:$T$823,8,0),"")</f>
        <v>XN Bò AD</v>
      </c>
      <c r="W745" s="559" t="str">
        <f>IFERROR(VLOOKUP(V745,'NS QUẢN LÝ CG'!$A$4:$D$36,2,0),"")</f>
        <v>Trần Văn Nam</v>
      </c>
      <c r="X745" s="559" t="str">
        <f>IFERROR(VLOOKUP(V745,'NS QUẢN LÝ CG'!$A$4:$D$36,4,0),"")</f>
        <v>Lô 28 XN Bò</v>
      </c>
      <c r="Y745" s="559" t="str">
        <f>IFERROR(VLOOKUP(V745,'NS QUẢN LÝ CG'!$A$4:$C$36,3,0),"")</f>
        <v>0971993540</v>
      </c>
      <c r="Z745" s="532" t="str">
        <f>IFERROR(VLOOKUP(M745,'02. MM-KLH'!$B$6:$T$823,3,0),"")</f>
        <v>A22-CRZ-001</v>
      </c>
      <c r="AA745" s="559" t="str">
        <f t="shared" ref="AA745:AA790" si="50">SWITCH(LEFT(Z745,3),"A22","ADM","A23","DP","A24","LP","")</f>
        <v>ADM</v>
      </c>
      <c r="AB745" s="532"/>
      <c r="AC745" s="532"/>
    </row>
    <row r="746" ht="15.75" customHeight="1">
      <c r="A746" s="532"/>
      <c r="B746" s="986" t="str">
        <f>IFERROR(VLOOKUP(M746,'02. MM-KLH'!$B$6:$T$823,6,0),"")</f>
        <v>Máy thu hoạch cỏ Ruzi</v>
      </c>
      <c r="C746" s="566">
        <v>1.0</v>
      </c>
      <c r="D746" s="692" t="str">
        <f>IFERROR(VLOOKUP(M746,'02. MM-KLH'!$B$6:$T$823,16,0),"")</f>
        <v>GX35T</v>
      </c>
      <c r="E746" s="692"/>
      <c r="F746" s="561" t="s">
        <v>4158</v>
      </c>
      <c r="G746" s="692"/>
      <c r="H746" s="692" t="str">
        <f>IFERROR(VLOOKUP(M746,'02. MM-KLH'!$B$6:$T$823,17,0),"")</f>
        <v>1.34HP</v>
      </c>
      <c r="I746" s="987" t="str">
        <f>IFERROR(VLOOKUP(M746,'02. MM-KLH'!$B$6:$U$823,20,0),"")</f>
        <v/>
      </c>
      <c r="J746" s="986" t="str">
        <f>IFERROR(VLOOKUP(M746,'02. MM-KLH'!$B$6:$T$823,19,0),"")</f>
        <v>CCN</v>
      </c>
      <c r="K746" s="986" t="str">
        <f>IFERROR(VLOOKUP(M746,'02. MM-KLH'!$B$6:$T$823,18,0),"")</f>
        <v>CCN</v>
      </c>
      <c r="L746" s="692" t="str">
        <f>IFERROR(VLOOKUP(M746,'02. MM-KLH'!$B$6:$T$823,4,0),"")</f>
        <v/>
      </c>
      <c r="M746" s="488" t="s">
        <v>2342</v>
      </c>
      <c r="N746" s="988">
        <f>IFERROR(VLOOKUP(M746,'02. MM-KLH'!$B$6:$T$823,15,0),"")</f>
        <v>2025</v>
      </c>
      <c r="O746" s="989">
        <f>IFERROR(VLOOKUP(M746,'02. MM-KLH'!$B$6:$T$823,9,0),"")</f>
        <v>45669</v>
      </c>
      <c r="P746" s="692"/>
      <c r="Q746" s="692"/>
      <c r="R746" s="566" t="s">
        <v>4158</v>
      </c>
      <c r="S746" s="692"/>
      <c r="T746" s="692"/>
      <c r="U746" s="559" t="str">
        <f>IFERROR(VLOOKUP(M746,'02. MM-KLH'!$B$6:$T$823,5,0),"")</f>
        <v>MỚI</v>
      </c>
      <c r="V746" s="532" t="str">
        <f>IFERROR(VLOOKUP(M746,'02. MM-KLH'!$B$6:$T$823,8,0),"")</f>
        <v>XN Bò AD</v>
      </c>
      <c r="W746" s="559" t="str">
        <f>IFERROR(VLOOKUP(V746,'NS QUẢN LÝ CG'!$A$4:$D$36,2,0),"")</f>
        <v>Trần Văn Nam</v>
      </c>
      <c r="X746" s="559" t="str">
        <f>IFERROR(VLOOKUP(V746,'NS QUẢN LÝ CG'!$A$4:$D$36,4,0),"")</f>
        <v>Lô 28 XN Bò</v>
      </c>
      <c r="Y746" s="559" t="str">
        <f>IFERROR(VLOOKUP(V746,'NS QUẢN LÝ CG'!$A$4:$C$36,3,0),"")</f>
        <v>0971993540</v>
      </c>
      <c r="Z746" s="532" t="str">
        <f>IFERROR(VLOOKUP(M746,'02. MM-KLH'!$B$6:$T$823,3,0),"")</f>
        <v>A22-CRZ-001</v>
      </c>
      <c r="AA746" s="559" t="str">
        <f t="shared" si="50"/>
        <v>ADM</v>
      </c>
      <c r="AB746" s="532"/>
      <c r="AC746" s="532"/>
    </row>
    <row r="747" ht="15.75" customHeight="1">
      <c r="A747" s="532"/>
      <c r="B747" s="986" t="str">
        <f>IFERROR(VLOOKUP(M747,'02. MM-KLH'!$B$6:$T$823,6,0),"")</f>
        <v>Máy thu hoạch cỏ Ruzi</v>
      </c>
      <c r="C747" s="566">
        <v>1.0</v>
      </c>
      <c r="D747" s="692" t="str">
        <f>IFERROR(VLOOKUP(M747,'02. MM-KLH'!$B$6:$T$823,16,0),"")</f>
        <v>GX35T</v>
      </c>
      <c r="E747" s="692"/>
      <c r="F747" s="561" t="s">
        <v>4158</v>
      </c>
      <c r="G747" s="692"/>
      <c r="H747" s="692" t="str">
        <f>IFERROR(VLOOKUP(M747,'02. MM-KLH'!$B$6:$T$823,17,0),"")</f>
        <v>1.34HP</v>
      </c>
      <c r="I747" s="987" t="str">
        <f>IFERROR(VLOOKUP(M747,'02. MM-KLH'!$B$6:$U$823,20,0),"")</f>
        <v/>
      </c>
      <c r="J747" s="986" t="str">
        <f>IFERROR(VLOOKUP(M747,'02. MM-KLH'!$B$6:$T$823,19,0),"")</f>
        <v>CCN</v>
      </c>
      <c r="K747" s="986" t="str">
        <f>IFERROR(VLOOKUP(M747,'02. MM-KLH'!$B$6:$T$823,18,0),"")</f>
        <v>CCN</v>
      </c>
      <c r="L747" s="692" t="str">
        <f>IFERROR(VLOOKUP(M747,'02. MM-KLH'!$B$6:$T$823,4,0),"")</f>
        <v/>
      </c>
      <c r="M747" s="488" t="s">
        <v>2343</v>
      </c>
      <c r="N747" s="988">
        <f>IFERROR(VLOOKUP(M747,'02. MM-KLH'!$B$6:$T$823,15,0),"")</f>
        <v>2025</v>
      </c>
      <c r="O747" s="989">
        <f>IFERROR(VLOOKUP(M747,'02. MM-KLH'!$B$6:$T$823,9,0),"")</f>
        <v>45669</v>
      </c>
      <c r="P747" s="692"/>
      <c r="Q747" s="692"/>
      <c r="R747" s="566" t="s">
        <v>4158</v>
      </c>
      <c r="S747" s="692"/>
      <c r="T747" s="692"/>
      <c r="U747" s="559" t="str">
        <f>IFERROR(VLOOKUP(M747,'02. MM-KLH'!$B$6:$T$823,5,0),"")</f>
        <v>MỚI</v>
      </c>
      <c r="V747" s="532" t="str">
        <f>IFERROR(VLOOKUP(M747,'02. MM-KLH'!$B$6:$T$823,8,0),"")</f>
        <v>XN Bò AD</v>
      </c>
      <c r="W747" s="559" t="str">
        <f>IFERROR(VLOOKUP(V747,'NS QUẢN LÝ CG'!$A$4:$D$36,2,0),"")</f>
        <v>Trần Văn Nam</v>
      </c>
      <c r="X747" s="559" t="str">
        <f>IFERROR(VLOOKUP(V747,'NS QUẢN LÝ CG'!$A$4:$D$36,4,0),"")</f>
        <v>Lô 28 XN Bò</v>
      </c>
      <c r="Y747" s="559" t="str">
        <f>IFERROR(VLOOKUP(V747,'NS QUẢN LÝ CG'!$A$4:$C$36,3,0),"")</f>
        <v>0971993540</v>
      </c>
      <c r="Z747" s="532" t="str">
        <f>IFERROR(VLOOKUP(M747,'02. MM-KLH'!$B$6:$T$823,3,0),"")</f>
        <v>A22-CRZ-001</v>
      </c>
      <c r="AA747" s="559" t="str">
        <f t="shared" si="50"/>
        <v>ADM</v>
      </c>
      <c r="AB747" s="532"/>
      <c r="AC747" s="532"/>
    </row>
    <row r="748" ht="15.75" customHeight="1">
      <c r="A748" s="532"/>
      <c r="B748" s="986" t="str">
        <f>IFERROR(VLOOKUP(M748,'02. MM-KLH'!$B$6:$T$823,6,0),"")</f>
        <v>Máy thu hoạch cỏ Ruzi</v>
      </c>
      <c r="C748" s="566">
        <v>1.0</v>
      </c>
      <c r="D748" s="692" t="str">
        <f>IFERROR(VLOOKUP(M748,'02. MM-KLH'!$B$6:$T$823,16,0),"")</f>
        <v>GX35T</v>
      </c>
      <c r="E748" s="692"/>
      <c r="F748" s="561" t="s">
        <v>4158</v>
      </c>
      <c r="G748" s="692"/>
      <c r="H748" s="692" t="str">
        <f>IFERROR(VLOOKUP(M748,'02. MM-KLH'!$B$6:$T$823,17,0),"")</f>
        <v>1.34HP</v>
      </c>
      <c r="I748" s="987" t="str">
        <f>IFERROR(VLOOKUP(M748,'02. MM-KLH'!$B$6:$U$823,20,0),"")</f>
        <v/>
      </c>
      <c r="J748" s="986" t="str">
        <f>IFERROR(VLOOKUP(M748,'02. MM-KLH'!$B$6:$T$823,19,0),"")</f>
        <v>CCN</v>
      </c>
      <c r="K748" s="986" t="str">
        <f>IFERROR(VLOOKUP(M748,'02. MM-KLH'!$B$6:$T$823,18,0),"")</f>
        <v>CCN</v>
      </c>
      <c r="L748" s="692" t="str">
        <f>IFERROR(VLOOKUP(M748,'02. MM-KLH'!$B$6:$T$823,4,0),"")</f>
        <v/>
      </c>
      <c r="M748" s="488" t="s">
        <v>2344</v>
      </c>
      <c r="N748" s="988">
        <f>IFERROR(VLOOKUP(M748,'02. MM-KLH'!$B$6:$T$823,15,0),"")</f>
        <v>2025</v>
      </c>
      <c r="O748" s="989">
        <f>IFERROR(VLOOKUP(M748,'02. MM-KLH'!$B$6:$T$823,9,0),"")</f>
        <v>45669</v>
      </c>
      <c r="P748" s="692"/>
      <c r="Q748" s="692"/>
      <c r="R748" s="566" t="s">
        <v>4158</v>
      </c>
      <c r="S748" s="692"/>
      <c r="T748" s="692"/>
      <c r="U748" s="559" t="str">
        <f>IFERROR(VLOOKUP(M748,'02. MM-KLH'!$B$6:$T$823,5,0),"")</f>
        <v>MỚI</v>
      </c>
      <c r="V748" s="532" t="str">
        <f>IFERROR(VLOOKUP(M748,'02. MM-KLH'!$B$6:$T$823,8,0),"")</f>
        <v>XN Bò AD</v>
      </c>
      <c r="W748" s="559" t="str">
        <f>IFERROR(VLOOKUP(V748,'NS QUẢN LÝ CG'!$A$4:$D$36,2,0),"")</f>
        <v>Trần Văn Nam</v>
      </c>
      <c r="X748" s="559" t="str">
        <f>IFERROR(VLOOKUP(V748,'NS QUẢN LÝ CG'!$A$4:$D$36,4,0),"")</f>
        <v>Lô 28 XN Bò</v>
      </c>
      <c r="Y748" s="559" t="str">
        <f>IFERROR(VLOOKUP(V748,'NS QUẢN LÝ CG'!$A$4:$C$36,3,0),"")</f>
        <v>0971993540</v>
      </c>
      <c r="Z748" s="532" t="str">
        <f>IFERROR(VLOOKUP(M748,'02. MM-KLH'!$B$6:$T$823,3,0),"")</f>
        <v>A22-CRZ-001</v>
      </c>
      <c r="AA748" s="559" t="str">
        <f t="shared" si="50"/>
        <v>ADM</v>
      </c>
      <c r="AB748" s="532"/>
      <c r="AC748" s="532"/>
    </row>
    <row r="749" ht="15.75" customHeight="1">
      <c r="A749" s="532"/>
      <c r="B749" s="986" t="str">
        <f>IFERROR(VLOOKUP(M749,'02. MM-KLH'!$B$6:$T$823,6,0),"")</f>
        <v>Máy thu hoạch cỏ Ruzi</v>
      </c>
      <c r="C749" s="566">
        <v>1.0</v>
      </c>
      <c r="D749" s="692" t="str">
        <f>IFERROR(VLOOKUP(M749,'02. MM-KLH'!$B$6:$T$823,16,0),"")</f>
        <v>GX35T</v>
      </c>
      <c r="E749" s="692"/>
      <c r="F749" s="561" t="s">
        <v>4158</v>
      </c>
      <c r="G749" s="692"/>
      <c r="H749" s="692" t="str">
        <f>IFERROR(VLOOKUP(M749,'02. MM-KLH'!$B$6:$T$823,17,0),"")</f>
        <v>1.34HP</v>
      </c>
      <c r="I749" s="987" t="str">
        <f>IFERROR(VLOOKUP(M749,'02. MM-KLH'!$B$6:$U$823,20,0),"")</f>
        <v/>
      </c>
      <c r="J749" s="986" t="str">
        <f>IFERROR(VLOOKUP(M749,'02. MM-KLH'!$B$6:$T$823,19,0),"")</f>
        <v>CCN</v>
      </c>
      <c r="K749" s="986" t="str">
        <f>IFERROR(VLOOKUP(M749,'02. MM-KLH'!$B$6:$T$823,18,0),"")</f>
        <v>CCN</v>
      </c>
      <c r="L749" s="692" t="str">
        <f>IFERROR(VLOOKUP(M749,'02. MM-KLH'!$B$6:$T$823,4,0),"")</f>
        <v/>
      </c>
      <c r="M749" s="488" t="s">
        <v>2345</v>
      </c>
      <c r="N749" s="988">
        <f>IFERROR(VLOOKUP(M749,'02. MM-KLH'!$B$6:$T$823,15,0),"")</f>
        <v>2025</v>
      </c>
      <c r="O749" s="989">
        <f>IFERROR(VLOOKUP(M749,'02. MM-KLH'!$B$6:$T$823,9,0),"")</f>
        <v>45669</v>
      </c>
      <c r="P749" s="692"/>
      <c r="Q749" s="692"/>
      <c r="R749" s="566" t="s">
        <v>4158</v>
      </c>
      <c r="S749" s="692"/>
      <c r="T749" s="692"/>
      <c r="U749" s="559" t="str">
        <f>IFERROR(VLOOKUP(M749,'02. MM-KLH'!$B$6:$T$823,5,0),"")</f>
        <v>MỚI</v>
      </c>
      <c r="V749" s="532" t="str">
        <f>IFERROR(VLOOKUP(M749,'02. MM-KLH'!$B$6:$T$823,8,0),"")</f>
        <v>XN Bò AD</v>
      </c>
      <c r="W749" s="559" t="str">
        <f>IFERROR(VLOOKUP(V749,'NS QUẢN LÝ CG'!$A$4:$D$36,2,0),"")</f>
        <v>Trần Văn Nam</v>
      </c>
      <c r="X749" s="559" t="str">
        <f>IFERROR(VLOOKUP(V749,'NS QUẢN LÝ CG'!$A$4:$D$36,4,0),"")</f>
        <v>Lô 28 XN Bò</v>
      </c>
      <c r="Y749" s="559" t="str">
        <f>IFERROR(VLOOKUP(V749,'NS QUẢN LÝ CG'!$A$4:$C$36,3,0),"")</f>
        <v>0971993540</v>
      </c>
      <c r="Z749" s="532" t="str">
        <f>IFERROR(VLOOKUP(M749,'02. MM-KLH'!$B$6:$T$823,3,0),"")</f>
        <v>A22-CRZ-001</v>
      </c>
      <c r="AA749" s="559" t="str">
        <f t="shared" si="50"/>
        <v>ADM</v>
      </c>
      <c r="AB749" s="532"/>
      <c r="AC749" s="532"/>
    </row>
    <row r="750" ht="15.75" customHeight="1">
      <c r="A750" s="532"/>
      <c r="B750" s="986" t="str">
        <f>IFERROR(VLOOKUP(M750,'02. MM-KLH'!$B$6:$T$823,6,0),"")</f>
        <v>Máy cắt cỏ mini Yanmar</v>
      </c>
      <c r="C750" s="566">
        <v>1.0</v>
      </c>
      <c r="D750" s="692" t="str">
        <f>IFERROR(VLOOKUP(M750,'02. MM-KLH'!$B$6:$T$823,16,0),"")</f>
        <v>L100N6FJ1P1AAFT</v>
      </c>
      <c r="E750" s="561" t="s">
        <v>4158</v>
      </c>
      <c r="F750" s="692"/>
      <c r="G750" s="692"/>
      <c r="H750" s="692" t="str">
        <f>IFERROR(VLOOKUP(M750,'02. MM-KLH'!$B$6:$T$823,17,0),"")</f>
        <v>10HP</v>
      </c>
      <c r="I750" s="987">
        <f>IFERROR(VLOOKUP(M750,'02. MM-KLH'!$B$6:$U$823,20,0),"")</f>
        <v>0.5</v>
      </c>
      <c r="J750" s="986" t="str">
        <f>IFERROR(VLOOKUP(M750,'02. MM-KLH'!$B$6:$T$823,19,0),"")</f>
        <v>SF6637</v>
      </c>
      <c r="K750" s="986" t="str">
        <f>IFERROR(VLOOKUP(M750,'02. MM-KLH'!$B$6:$T$823,18,0),"")</f>
        <v>A001010284</v>
      </c>
      <c r="L750" s="692" t="str">
        <f>IFERROR(VLOOKUP(M750,'02. MM-KLH'!$B$6:$T$823,4,0),"")</f>
        <v/>
      </c>
      <c r="M750" s="490" t="s">
        <v>964</v>
      </c>
      <c r="N750" s="988" t="str">
        <f>IFERROR(VLOOKUP(M750,'02. MM-KLH'!$B$6:$T$823,15,0),"")</f>
        <v/>
      </c>
      <c r="O750" s="989" t="str">
        <f>IFERROR(VLOOKUP(M750,'02. MM-KLH'!$B$6:$T$823,9,0),"")</f>
        <v>30/07/2024</v>
      </c>
      <c r="P750" s="692"/>
      <c r="Q750" s="692"/>
      <c r="R750" s="566" t="s">
        <v>4158</v>
      </c>
      <c r="S750" s="692"/>
      <c r="T750" s="692"/>
      <c r="U750" s="559" t="str">
        <f>IFERROR(VLOOKUP(M750,'02. MM-KLH'!$B$6:$T$823,5,0),"")</f>
        <v>MỚI (ĐQSD)</v>
      </c>
      <c r="V750" s="532" t="str">
        <f>IFERROR(VLOOKUP(M750,'02. MM-KLH'!$B$6:$T$823,8,0),"")</f>
        <v>XN Chuối DP1</v>
      </c>
      <c r="W750" s="559" t="str">
        <f>IFERROR(VLOOKUP(V750,'NS QUẢN LÝ CG'!$A$4:$D$36,2,0),"")</f>
        <v>Thái Cao Lưu</v>
      </c>
      <c r="X750" s="559" t="str">
        <f>IFERROR(VLOOKUP(V750,'NS QUẢN LÝ CG'!$A$4:$D$36,4,0),"")</f>
        <v>Lô 21 DP1</v>
      </c>
      <c r="Y750" s="559" t="str">
        <f>IFERROR(VLOOKUP(V750,'NS QUẢN LÝ CG'!$A$4:$C$36,3,0),"")</f>
        <v>0387783316</v>
      </c>
      <c r="Z750" s="532" t="str">
        <f>IFERROR(VLOOKUP(M750,'02. MM-KLH'!$B$6:$T$823,3,0),"")</f>
        <v>A23-CCM-001</v>
      </c>
      <c r="AA750" s="559" t="str">
        <f t="shared" si="50"/>
        <v>DP</v>
      </c>
      <c r="AB750" s="532"/>
      <c r="AC750" s="532"/>
    </row>
    <row r="751" ht="15.75" customHeight="1">
      <c r="A751" s="532"/>
      <c r="B751" s="986" t="str">
        <f>IFERROR(VLOOKUP(M751,'02. MM-KLH'!$B$6:$T$823,6,0),"")</f>
        <v>Máy cắt cỏ đĩa quay 7.5HP</v>
      </c>
      <c r="C751" s="566">
        <v>1.0</v>
      </c>
      <c r="D751" s="692" t="str">
        <f>IFERROR(VLOOKUP(M751,'02. MM-KLH'!$B$6:$T$823,16,0),"")</f>
        <v>YANMAR YC750</v>
      </c>
      <c r="E751" s="561" t="s">
        <v>4158</v>
      </c>
      <c r="F751" s="692"/>
      <c r="G751" s="692"/>
      <c r="H751" s="692" t="str">
        <f>IFERROR(VLOOKUP(M751,'02. MM-KLH'!$B$6:$T$823,17,0),"")</f>
        <v>7.5HP</v>
      </c>
      <c r="I751" s="987">
        <f>IFERROR(VLOOKUP(M751,'02. MM-KLH'!$B$6:$U$823,20,0),"")</f>
        <v>2.3</v>
      </c>
      <c r="J751" s="986">
        <f>IFERROR(VLOOKUP(M751,'02. MM-KLH'!$B$6:$T$823,19,0),"")</f>
        <v>13422</v>
      </c>
      <c r="K751" s="986">
        <f>IFERROR(VLOOKUP(M751,'02. MM-KLH'!$B$6:$T$823,18,0),"")</f>
        <v>31252</v>
      </c>
      <c r="L751" s="692" t="str">
        <f>IFERROR(VLOOKUP(M751,'02. MM-KLH'!$B$6:$T$823,4,0),"")</f>
        <v/>
      </c>
      <c r="M751" s="488" t="s">
        <v>1513</v>
      </c>
      <c r="N751" s="988" t="str">
        <f>IFERROR(VLOOKUP(M751,'02. MM-KLH'!$B$6:$T$823,15,0),"")</f>
        <v/>
      </c>
      <c r="O751" s="989" t="str">
        <f>IFERROR(VLOOKUP(M751,'02. MM-KLH'!$B$6:$T$823,9,0),"")</f>
        <v>15/11/2024</v>
      </c>
      <c r="P751" s="692"/>
      <c r="Q751" s="692"/>
      <c r="R751" s="566" t="s">
        <v>4158</v>
      </c>
      <c r="S751" s="463" t="s">
        <v>4158</v>
      </c>
      <c r="T751" s="692"/>
      <c r="U751" s="559" t="str">
        <f>IFERROR(VLOOKUP(M751,'02. MM-KLH'!$B$6:$T$823,5,0),"")</f>
        <v>MỚI (ĐQSD)</v>
      </c>
      <c r="V751" s="532" t="str">
        <f>IFERROR(VLOOKUP(M751,'02. MM-KLH'!$B$6:$T$823,8,0),"")</f>
        <v>XN Chuối LP3</v>
      </c>
      <c r="W751" s="559" t="str">
        <f>IFERROR(VLOOKUP(V751,'NS QUẢN LÝ CG'!$A$4:$D$36,2,0),"")</f>
        <v>Lê Cao Nghị</v>
      </c>
      <c r="X751" s="559" t="str">
        <f>IFERROR(VLOOKUP(V751,'NS QUẢN LÝ CG'!$A$4:$D$36,4,0),"")</f>
        <v>Lô 2 LP3</v>
      </c>
      <c r="Y751" s="559" t="str">
        <f>IFERROR(VLOOKUP(V751,'NS QUẢN LÝ CG'!$A$4:$C$36,3,0),"")</f>
        <v>0977423100</v>
      </c>
      <c r="Z751" s="532" t="str">
        <f>IFERROR(VLOOKUP(M751,'02. MM-KLH'!$B$6:$T$823,3,0),"")</f>
        <v>A24-MĐQ-001</v>
      </c>
      <c r="AA751" s="559" t="str">
        <f t="shared" si="50"/>
        <v>LP</v>
      </c>
      <c r="AB751" s="532"/>
      <c r="AC751" s="532"/>
    </row>
    <row r="752" ht="15.75" customHeight="1">
      <c r="A752" s="532"/>
      <c r="B752" s="986" t="str">
        <f>IFERROR(VLOOKUP(M752,'02. MM-KLH'!$B$6:$T$823,6,0),"")</f>
        <v>Máy cắt cỏ mini Yanmar</v>
      </c>
      <c r="C752" s="566">
        <v>1.0</v>
      </c>
      <c r="D752" s="692" t="str">
        <f>IFERROR(VLOOKUP(M752,'02. MM-KLH'!$B$6:$T$823,16,0),"")</f>
        <v>L100N6FJ1P1AAFT</v>
      </c>
      <c r="E752" s="561" t="s">
        <v>4158</v>
      </c>
      <c r="F752" s="692"/>
      <c r="G752" s="692"/>
      <c r="H752" s="692" t="str">
        <f>IFERROR(VLOOKUP(M752,'02. MM-KLH'!$B$6:$T$823,17,0),"")</f>
        <v>10HP</v>
      </c>
      <c r="I752" s="987">
        <f>IFERROR(VLOOKUP(M752,'02. MM-KLH'!$B$6:$U$823,20,0),"")</f>
        <v>0.5</v>
      </c>
      <c r="J752" s="986" t="str">
        <f>IFERROR(VLOOKUP(M752,'02. MM-KLH'!$B$6:$T$823,19,0),"")</f>
        <v>SF6665</v>
      </c>
      <c r="K752" s="986" t="str">
        <f>IFERROR(VLOOKUP(M752,'02. MM-KLH'!$B$6:$T$823,18,0),"")</f>
        <v>A001010279</v>
      </c>
      <c r="L752" s="692" t="str">
        <f>IFERROR(VLOOKUP(M752,'02. MM-KLH'!$B$6:$T$823,4,0),"")</f>
        <v/>
      </c>
      <c r="M752" s="488" t="s">
        <v>1631</v>
      </c>
      <c r="N752" s="988" t="str">
        <f>IFERROR(VLOOKUP(M752,'02. MM-KLH'!$B$6:$T$823,15,0),"")</f>
        <v/>
      </c>
      <c r="O752" s="989" t="str">
        <f>IFERROR(VLOOKUP(M752,'02. MM-KLH'!$B$6:$T$823,9,0),"")</f>
        <v>30/07/2024</v>
      </c>
      <c r="P752" s="692"/>
      <c r="Q752" s="692"/>
      <c r="R752" s="566" t="s">
        <v>4158</v>
      </c>
      <c r="S752" s="692"/>
      <c r="T752" s="692"/>
      <c r="U752" s="559" t="str">
        <f>IFERROR(VLOOKUP(M752,'02. MM-KLH'!$B$6:$T$823,5,0),"")</f>
        <v>ĐQSD</v>
      </c>
      <c r="V752" s="532" t="str">
        <f>IFERROR(VLOOKUP(M752,'02. MM-KLH'!$B$6:$T$823,8,0),"")</f>
        <v>XOÀI AD</v>
      </c>
      <c r="W752" s="559" t="str">
        <f>IFERROR(VLOOKUP(V752,'NS QUẢN LÝ CG'!$A$4:$D$36,2,0),"")</f>
        <v>Huỳnh Đông Giang</v>
      </c>
      <c r="X752" s="559" t="str">
        <f>IFERROR(VLOOKUP(V752,'NS QUẢN LÝ CG'!$A$4:$D$36,4,0),"")</f>
        <v>Lô 132 XN AD</v>
      </c>
      <c r="Y752" s="559" t="str">
        <f>IFERROR(VLOOKUP(V752,'NS QUẢN LÝ CG'!$A$4:$C$36,3,0),"")</f>
        <v>0972283372</v>
      </c>
      <c r="Z752" s="532" t="str">
        <f>IFERROR(VLOOKUP(M752,'02. MM-KLH'!$B$6:$T$823,3,0),"")</f>
        <v/>
      </c>
      <c r="AA752" s="559" t="str">
        <f t="shared" si="50"/>
        <v/>
      </c>
      <c r="AB752" s="532"/>
      <c r="AC752" s="532"/>
    </row>
    <row r="753" ht="15.75" customHeight="1">
      <c r="A753" s="532"/>
      <c r="B753" s="986" t="str">
        <f>IFERROR(VLOOKUP(M753,'02. MM-KLH'!$B$6:$T$823,6,0),"")</f>
        <v>Máy cắt cỏ đĩa quay 8HP</v>
      </c>
      <c r="C753" s="566">
        <v>1.0</v>
      </c>
      <c r="D753" s="692" t="str">
        <f>IFERROR(VLOOKUP(M753,'02. MM-KLH'!$B$6:$T$823,16,0),"")</f>
        <v>GX240</v>
      </c>
      <c r="E753" s="561" t="s">
        <v>4158</v>
      </c>
      <c r="F753" s="692"/>
      <c r="G753" s="692"/>
      <c r="H753" s="692" t="str">
        <f>IFERROR(VLOOKUP(M753,'02. MM-KLH'!$B$6:$T$823,17,0),"")</f>
        <v>8HP</v>
      </c>
      <c r="I753" s="987">
        <f>IFERROR(VLOOKUP(M753,'02. MM-KLH'!$B$6:$U$823,20,0),"")</f>
        <v>2.3</v>
      </c>
      <c r="J753" s="986">
        <f>IFERROR(VLOOKUP(M753,'02. MM-KLH'!$B$6:$T$823,19,0),"")</f>
        <v>4418343</v>
      </c>
      <c r="K753" s="986" t="str">
        <f>IFERROR(VLOOKUP(M753,'02. MM-KLH'!$B$6:$T$823,18,0),"")</f>
        <v>CCN</v>
      </c>
      <c r="L753" s="692" t="str">
        <f>IFERROR(VLOOKUP(M753,'02. MM-KLH'!$B$6:$T$823,4,0),"")</f>
        <v/>
      </c>
      <c r="M753" s="488" t="s">
        <v>1091</v>
      </c>
      <c r="N753" s="988" t="str">
        <f>IFERROR(VLOOKUP(M753,'02. MM-KLH'!$B$6:$T$823,15,0),"")</f>
        <v/>
      </c>
      <c r="O753" s="989" t="str">
        <f>IFERROR(VLOOKUP(M753,'02. MM-KLH'!$B$6:$T$823,9,0),"")</f>
        <v>23/01/2025</v>
      </c>
      <c r="P753" s="692"/>
      <c r="Q753" s="692"/>
      <c r="R753" s="566" t="s">
        <v>4158</v>
      </c>
      <c r="S753" s="692"/>
      <c r="T753" s="692"/>
      <c r="U753" s="559" t="str">
        <f>IFERROR(VLOOKUP(M753,'02. MM-KLH'!$B$6:$T$823,5,0),"")</f>
        <v> MỚI</v>
      </c>
      <c r="V753" s="532" t="str">
        <f>IFERROR(VLOOKUP(M753,'02. MM-KLH'!$B$6:$T$823,8,0),"")</f>
        <v>XN Chuối DP2</v>
      </c>
      <c r="W753" s="559" t="str">
        <f>IFERROR(VLOOKUP(V753,'NS QUẢN LÝ CG'!$A$4:$D$36,2,0),"")</f>
        <v>Huỳnh Quang Viên</v>
      </c>
      <c r="X753" s="559" t="str">
        <f>IFERROR(VLOOKUP(V753,'NS QUẢN LÝ CG'!$A$4:$D$36,4,0),"")</f>
        <v>Lô 15.6 DP2</v>
      </c>
      <c r="Y753" s="559" t="str">
        <f>IFERROR(VLOOKUP(V753,'NS QUẢN LÝ CG'!$A$4:$C$36,3,0),"")</f>
        <v>0977623379</v>
      </c>
      <c r="Z753" s="532" t="str">
        <f>IFERROR(VLOOKUP(M753,'02. MM-KLH'!$B$6:$T$823,3,0),"")</f>
        <v>A23-MĐQ-003</v>
      </c>
      <c r="AA753" s="559" t="str">
        <f t="shared" si="50"/>
        <v>DP</v>
      </c>
      <c r="AB753" s="532"/>
      <c r="AC753" s="532"/>
    </row>
    <row r="754" ht="15.75" customHeight="1">
      <c r="A754" s="532"/>
      <c r="B754" s="986" t="str">
        <f>IFERROR(VLOOKUP(M754,'02. MM-KLH'!$B$6:$T$823,6,0),"")</f>
        <v>Máy cắt cỏ đĩa quay 8HP</v>
      </c>
      <c r="C754" s="566">
        <v>1.0</v>
      </c>
      <c r="D754" s="692" t="str">
        <f>IFERROR(VLOOKUP(M754,'02. MM-KLH'!$B$6:$T$823,16,0),"")</f>
        <v>YG8</v>
      </c>
      <c r="E754" s="561" t="s">
        <v>4158</v>
      </c>
      <c r="F754" s="692"/>
      <c r="G754" s="692"/>
      <c r="H754" s="692" t="str">
        <f>IFERROR(VLOOKUP(M754,'02. MM-KLH'!$B$6:$T$823,17,0),"")</f>
        <v>8HP</v>
      </c>
      <c r="I754" s="987">
        <f>IFERROR(VLOOKUP(M754,'02. MM-KLH'!$B$6:$U$823,20,0),"")</f>
        <v>2.3</v>
      </c>
      <c r="J754" s="986">
        <f>IFERROR(VLOOKUP(M754,'02. MM-KLH'!$B$6:$T$823,19,0),"")</f>
        <v>20189</v>
      </c>
      <c r="K754" s="986">
        <f>IFERROR(VLOOKUP(M754,'02. MM-KLH'!$B$6:$T$823,18,0),"")</f>
        <v>871668</v>
      </c>
      <c r="L754" s="692" t="str">
        <f>IFERROR(VLOOKUP(M754,'02. MM-KLH'!$B$6:$T$823,4,0),"")</f>
        <v/>
      </c>
      <c r="M754" s="488" t="s">
        <v>1095</v>
      </c>
      <c r="N754" s="988" t="str">
        <f>IFERROR(VLOOKUP(M754,'02. MM-KLH'!$B$6:$T$823,15,0),"")</f>
        <v/>
      </c>
      <c r="O754" s="989" t="str">
        <f>IFERROR(VLOOKUP(M754,'02. MM-KLH'!$B$6:$T$823,9,0),"")</f>
        <v>23/01/2025</v>
      </c>
      <c r="P754" s="692"/>
      <c r="Q754" s="692"/>
      <c r="R754" s="566" t="s">
        <v>4158</v>
      </c>
      <c r="S754" s="692"/>
      <c r="T754" s="692"/>
      <c r="U754" s="559" t="str">
        <f>IFERROR(VLOOKUP(M754,'02. MM-KLH'!$B$6:$T$823,5,0),"")</f>
        <v> MỚI</v>
      </c>
      <c r="V754" s="532" t="str">
        <f>IFERROR(VLOOKUP(M754,'02. MM-KLH'!$B$6:$T$823,8,0),"")</f>
        <v>XN Chuối DP2</v>
      </c>
      <c r="W754" s="559" t="str">
        <f>IFERROR(VLOOKUP(V754,'NS QUẢN LÝ CG'!$A$4:$D$36,2,0),"")</f>
        <v>Huỳnh Quang Viên</v>
      </c>
      <c r="X754" s="559" t="str">
        <f>IFERROR(VLOOKUP(V754,'NS QUẢN LÝ CG'!$A$4:$D$36,4,0),"")</f>
        <v>Lô 15.6 DP2</v>
      </c>
      <c r="Y754" s="559" t="str">
        <f>IFERROR(VLOOKUP(V754,'NS QUẢN LÝ CG'!$A$4:$C$36,3,0),"")</f>
        <v>0977623379</v>
      </c>
      <c r="Z754" s="532" t="str">
        <f>IFERROR(VLOOKUP(M754,'02. MM-KLH'!$B$6:$T$823,3,0),"")</f>
        <v>A23-MĐQ-004</v>
      </c>
      <c r="AA754" s="559" t="str">
        <f t="shared" si="50"/>
        <v>DP</v>
      </c>
      <c r="AB754" s="532"/>
      <c r="AC754" s="532"/>
    </row>
    <row r="755" ht="15.75" customHeight="1">
      <c r="A755" s="532"/>
      <c r="B755" s="986" t="str">
        <f>IFERROR(VLOOKUP(M755,'02. MM-KLH'!$B$6:$T$823,6,0),"")</f>
        <v>Máy cắt cỏ đĩa quay 8HP</v>
      </c>
      <c r="C755" s="566">
        <v>1.0</v>
      </c>
      <c r="D755" s="692" t="str">
        <f>IFERROR(VLOOKUP(M755,'02. MM-KLH'!$B$6:$T$823,16,0),"")</f>
        <v>MR910</v>
      </c>
      <c r="E755" s="561" t="s">
        <v>4158</v>
      </c>
      <c r="F755" s="692"/>
      <c r="G755" s="692"/>
      <c r="H755" s="692" t="str">
        <f>IFERROR(VLOOKUP(M755,'02. MM-KLH'!$B$6:$T$823,17,0),"")</f>
        <v>8HP</v>
      </c>
      <c r="I755" s="987">
        <f>IFERROR(VLOOKUP(M755,'02. MM-KLH'!$B$6:$U$823,20,0),"")</f>
        <v>2.3</v>
      </c>
      <c r="J755" s="986">
        <f>IFERROR(VLOOKUP(M755,'02. MM-KLH'!$B$6:$T$823,19,0),"")</f>
        <v>12168</v>
      </c>
      <c r="K755" s="986" t="str">
        <f>IFERROR(VLOOKUP(M755,'02. MM-KLH'!$B$6:$T$823,18,0),"")</f>
        <v>G910217678</v>
      </c>
      <c r="L755" s="692" t="str">
        <f>IFERROR(VLOOKUP(M755,'02. MM-KLH'!$B$6:$T$823,4,0),"")</f>
        <v/>
      </c>
      <c r="M755" s="488" t="s">
        <v>1209</v>
      </c>
      <c r="N755" s="988" t="str">
        <f>IFERROR(VLOOKUP(M755,'02. MM-KLH'!$B$6:$T$823,15,0),"")</f>
        <v/>
      </c>
      <c r="O755" s="989" t="str">
        <f>IFERROR(VLOOKUP(M755,'02. MM-KLH'!$B$6:$T$823,9,0),"")</f>
        <v>23/01/2025</v>
      </c>
      <c r="P755" s="692"/>
      <c r="Q755" s="692"/>
      <c r="R755" s="566" t="s">
        <v>4158</v>
      </c>
      <c r="S755" s="692"/>
      <c r="T755" s="692"/>
      <c r="U755" s="559" t="str">
        <f>IFERROR(VLOOKUP(M755,'02. MM-KLH'!$B$6:$T$823,5,0),"")</f>
        <v>MỚI</v>
      </c>
      <c r="V755" s="532" t="str">
        <f>IFERROR(VLOOKUP(M755,'02. MM-KLH'!$B$6:$T$823,8,0),"")</f>
        <v>XN Chuối DP3</v>
      </c>
      <c r="W755" s="559" t="str">
        <f>IFERROR(VLOOKUP(V755,'NS QUẢN LÝ CG'!$A$4:$D$36,2,0),"")</f>
        <v>Thạch Ngọc Vững</v>
      </c>
      <c r="X755" s="559" t="str">
        <f>IFERROR(VLOOKUP(V755,'NS QUẢN LÝ CG'!$A$4:$D$36,4,0),"")</f>
        <v>Lô 28 DP3</v>
      </c>
      <c r="Y755" s="559" t="str">
        <f>IFERROR(VLOOKUP(V755,'NS QUẢN LÝ CG'!$A$4:$C$36,3,0),"")</f>
        <v>0975905267</v>
      </c>
      <c r="Z755" s="532" t="str">
        <f>IFERROR(VLOOKUP(M755,'02. MM-KLH'!$B$6:$T$823,3,0),"")</f>
        <v>A23-MĐQ-002</v>
      </c>
      <c r="AA755" s="559" t="str">
        <f t="shared" si="50"/>
        <v>DP</v>
      </c>
      <c r="AB755" s="532"/>
      <c r="AC755" s="532"/>
    </row>
    <row r="756" ht="15.75" customHeight="1">
      <c r="A756" s="532"/>
      <c r="B756" s="986" t="str">
        <f>IFERROR(VLOOKUP(M756,'02. MM-KLH'!$B$6:$T$823,6,0),"")</f>
        <v>Máy cắt cỏ đĩa quay 8HP</v>
      </c>
      <c r="C756" s="566">
        <v>1.0</v>
      </c>
      <c r="D756" s="692" t="str">
        <f>IFERROR(VLOOKUP(M756,'02. MM-KLH'!$B$6:$T$823,16,0),"")</f>
        <v>KC80F</v>
      </c>
      <c r="E756" s="561" t="s">
        <v>4158</v>
      </c>
      <c r="F756" s="692"/>
      <c r="G756" s="692"/>
      <c r="H756" s="692" t="str">
        <f>IFERROR(VLOOKUP(M756,'02. MM-KLH'!$B$6:$T$823,17,0),"")</f>
        <v>8HP</v>
      </c>
      <c r="I756" s="987">
        <f>IFERROR(VLOOKUP(M756,'02. MM-KLH'!$B$6:$U$823,20,0),"")</f>
        <v>2.3</v>
      </c>
      <c r="J756" s="986" t="str">
        <f>IFERROR(VLOOKUP(M756,'02. MM-KLH'!$B$6:$T$823,19,0),"")</f>
        <v>FE250G003323</v>
      </c>
      <c r="K756" s="986">
        <f>IFERROR(VLOOKUP(M756,'02. MM-KLH'!$B$6:$T$823,18,0),"")</f>
        <v>341</v>
      </c>
      <c r="L756" s="692" t="str">
        <f>IFERROR(VLOOKUP(M756,'02. MM-KLH'!$B$6:$T$823,4,0),"")</f>
        <v/>
      </c>
      <c r="M756" s="488" t="s">
        <v>973</v>
      </c>
      <c r="N756" s="988" t="str">
        <f>IFERROR(VLOOKUP(M756,'02. MM-KLH'!$B$6:$T$823,15,0),"")</f>
        <v/>
      </c>
      <c r="O756" s="989" t="str">
        <f>IFERROR(VLOOKUP(M756,'02. MM-KLH'!$B$6:$T$823,9,0),"")</f>
        <v>23/01/2025</v>
      </c>
      <c r="P756" s="692"/>
      <c r="Q756" s="692"/>
      <c r="R756" s="566" t="s">
        <v>4158</v>
      </c>
      <c r="S756" s="692"/>
      <c r="T756" s="692"/>
      <c r="U756" s="559" t="str">
        <f>IFERROR(VLOOKUP(M756,'02. MM-KLH'!$B$6:$T$823,5,0),"")</f>
        <v>MỚI (ĐQSD)</v>
      </c>
      <c r="V756" s="532" t="str">
        <f>IFERROR(VLOOKUP(M756,'02. MM-KLH'!$B$6:$T$823,8,0),"")</f>
        <v>XN Chuối DP1</v>
      </c>
      <c r="W756" s="559" t="str">
        <f>IFERROR(VLOOKUP(V756,'NS QUẢN LÝ CG'!$A$4:$D$36,2,0),"")</f>
        <v>Thái Cao Lưu</v>
      </c>
      <c r="X756" s="559" t="str">
        <f>IFERROR(VLOOKUP(V756,'NS QUẢN LÝ CG'!$A$4:$D$36,4,0),"")</f>
        <v>Lô 21 DP1</v>
      </c>
      <c r="Y756" s="559" t="str">
        <f>IFERROR(VLOOKUP(V756,'NS QUẢN LÝ CG'!$A$4:$C$36,3,0),"")</f>
        <v>0387783316</v>
      </c>
      <c r="Z756" s="532" t="str">
        <f>IFERROR(VLOOKUP(M756,'02. MM-KLH'!$B$6:$T$823,3,0),"")</f>
        <v>A23-MĐQ-001</v>
      </c>
      <c r="AA756" s="559" t="str">
        <f t="shared" si="50"/>
        <v>DP</v>
      </c>
      <c r="AB756" s="532"/>
      <c r="AC756" s="532"/>
    </row>
    <row r="757" ht="15.75" customHeight="1">
      <c r="A757" s="532"/>
      <c r="B757" s="986" t="str">
        <f>IFERROR(VLOOKUP(M757,'02. MM-KLH'!$B$6:$T$823,6,0),"")</f>
        <v>Máy cắt cỏ trục băm đa năng</v>
      </c>
      <c r="C757" s="566">
        <v>1.0</v>
      </c>
      <c r="D757" s="692" t="str">
        <f>IFERROR(VLOOKUP(M757,'02. MM-KLH'!$B$6:$T$823,16,0),"")</f>
        <v>TL662</v>
      </c>
      <c r="E757" s="692"/>
      <c r="F757" s="561" t="s">
        <v>4158</v>
      </c>
      <c r="G757" s="692"/>
      <c r="H757" s="692" t="str">
        <f>IFERROR(VLOOKUP(M757,'02. MM-KLH'!$B$6:$T$823,17,0),"")</f>
        <v>10HP</v>
      </c>
      <c r="I757" s="987">
        <f>IFERROR(VLOOKUP(M757,'02. MM-KLH'!$B$6:$U$823,20,0),"")</f>
        <v>1.8</v>
      </c>
      <c r="J757" s="986" t="str">
        <f>IFERROR(VLOOKUP(M757,'02. MM-KLH'!$B$6:$T$823,19,0),"")</f>
        <v>GT1000B0042104CD</v>
      </c>
      <c r="K757" s="986" t="str">
        <f>IFERROR(VLOOKUP(M757,'02. MM-KLH'!$B$6:$T$823,18,0),"")</f>
        <v>TL20250601409</v>
      </c>
      <c r="L757" s="692" t="str">
        <f>IFERROR(VLOOKUP(M757,'02. MM-KLH'!$B$6:$T$823,4,0),"")</f>
        <v/>
      </c>
      <c r="M757" s="488" t="s">
        <v>1363</v>
      </c>
      <c r="N757" s="988">
        <f>IFERROR(VLOOKUP(M757,'02. MM-KLH'!$B$6:$T$823,15,0),"")</f>
        <v>2025</v>
      </c>
      <c r="O757" s="989" t="str">
        <f>IFERROR(VLOOKUP(M757,'02. MM-KLH'!$B$6:$T$823,9,0),"")</f>
        <v>25/06/2025</v>
      </c>
      <c r="P757" s="692"/>
      <c r="Q757" s="692"/>
      <c r="R757" s="566" t="s">
        <v>4158</v>
      </c>
      <c r="S757" s="692"/>
      <c r="T757" s="692"/>
      <c r="U757" s="559" t="str">
        <f>IFERROR(VLOOKUP(M757,'02. MM-KLH'!$B$6:$T$823,5,0),"")</f>
        <v>MỚI</v>
      </c>
      <c r="V757" s="532" t="str">
        <f>IFERROR(VLOOKUP(M757,'02. MM-KLH'!$B$6:$T$823,8,0),"")</f>
        <v>XN Chuối LP1</v>
      </c>
      <c r="W757" s="559" t="str">
        <f>IFERROR(VLOOKUP(V757,'NS QUẢN LÝ CG'!$A$4:$D$36,2,0),"")</f>
        <v>Nguyễn Ngọc Nhân</v>
      </c>
      <c r="X757" s="559" t="str">
        <f>IFERROR(VLOOKUP(V757,'NS QUẢN LÝ CG'!$A$4:$D$36,4,0),"")</f>
        <v>Lô 7 LP1</v>
      </c>
      <c r="Y757" s="559" t="str">
        <f>IFERROR(VLOOKUP(V757,'NS QUẢN LÝ CG'!$A$4:$C$36,3,0),"")</f>
        <v>0979578112</v>
      </c>
      <c r="Z757" s="532" t="str">
        <f>IFERROR(VLOOKUP(M757,'02. MM-KLH'!$B$6:$T$823,3,0),"")</f>
        <v>A24-CCD-001</v>
      </c>
      <c r="AA757" s="559" t="str">
        <f t="shared" si="50"/>
        <v>LP</v>
      </c>
      <c r="AB757" s="532"/>
      <c r="AC757" s="532"/>
    </row>
    <row r="758" ht="15.75" customHeight="1">
      <c r="A758" s="532"/>
      <c r="B758" s="986" t="str">
        <f>IFERROR(VLOOKUP(M758,'02. MM-KLH'!$B$6:$T$823,6,0),"")</f>
        <v>Máy cắt cỏ trục băm đa năng</v>
      </c>
      <c r="C758" s="566">
        <v>1.0</v>
      </c>
      <c r="D758" s="692" t="str">
        <f>IFERROR(VLOOKUP(M758,'02. MM-KLH'!$B$6:$T$823,16,0),"")</f>
        <v>TL662</v>
      </c>
      <c r="E758" s="692"/>
      <c r="F758" s="561" t="s">
        <v>4158</v>
      </c>
      <c r="G758" s="692"/>
      <c r="H758" s="692" t="str">
        <f>IFERROR(VLOOKUP(M758,'02. MM-KLH'!$B$6:$T$823,17,0),"")</f>
        <v>10HP</v>
      </c>
      <c r="I758" s="987">
        <f>IFERROR(VLOOKUP(M758,'02. MM-KLH'!$B$6:$U$823,20,0),"")</f>
        <v>1.8</v>
      </c>
      <c r="J758" s="986" t="str">
        <f>IFERROR(VLOOKUP(M758,'02. MM-KLH'!$B$6:$T$823,19,0),"")</f>
        <v>GT1000B0042103CD</v>
      </c>
      <c r="K758" s="986" t="str">
        <f>IFERROR(VLOOKUP(M758,'02. MM-KLH'!$B$6:$T$823,18,0),"")</f>
        <v>TL202506014011</v>
      </c>
      <c r="L758" s="692" t="str">
        <f>IFERROR(VLOOKUP(M758,'02. MM-KLH'!$B$6:$T$823,4,0),"")</f>
        <v/>
      </c>
      <c r="M758" s="488" t="s">
        <v>1367</v>
      </c>
      <c r="N758" s="988">
        <f>IFERROR(VLOOKUP(M758,'02. MM-KLH'!$B$6:$T$823,15,0),"")</f>
        <v>2025</v>
      </c>
      <c r="O758" s="989" t="str">
        <f>IFERROR(VLOOKUP(M758,'02. MM-KLH'!$B$6:$T$823,9,0),"")</f>
        <v>25/06/2025</v>
      </c>
      <c r="P758" s="692"/>
      <c r="Q758" s="692"/>
      <c r="R758" s="566" t="s">
        <v>4158</v>
      </c>
      <c r="S758" s="692"/>
      <c r="T758" s="692"/>
      <c r="U758" s="559" t="str">
        <f>IFERROR(VLOOKUP(M758,'02. MM-KLH'!$B$6:$T$823,5,0),"")</f>
        <v>MỚI</v>
      </c>
      <c r="V758" s="532" t="str">
        <f>IFERROR(VLOOKUP(M758,'02. MM-KLH'!$B$6:$T$823,8,0),"")</f>
        <v>XN Chuối LP1</v>
      </c>
      <c r="W758" s="559" t="str">
        <f>IFERROR(VLOOKUP(V758,'NS QUẢN LÝ CG'!$A$4:$D$36,2,0),"")</f>
        <v>Nguyễn Ngọc Nhân</v>
      </c>
      <c r="X758" s="559" t="str">
        <f>IFERROR(VLOOKUP(V758,'NS QUẢN LÝ CG'!$A$4:$D$36,4,0),"")</f>
        <v>Lô 7 LP1</v>
      </c>
      <c r="Y758" s="559" t="str">
        <f>IFERROR(VLOOKUP(V758,'NS QUẢN LÝ CG'!$A$4:$C$36,3,0),"")</f>
        <v>0979578112</v>
      </c>
      <c r="Z758" s="532" t="str">
        <f>IFERROR(VLOOKUP(M758,'02. MM-KLH'!$B$6:$T$823,3,0),"")</f>
        <v>A24-CCD-002</v>
      </c>
      <c r="AA758" s="559" t="str">
        <f t="shared" si="50"/>
        <v>LP</v>
      </c>
      <c r="AB758" s="532"/>
      <c r="AC758" s="532"/>
    </row>
    <row r="759" ht="15.75" customHeight="1">
      <c r="A759" s="532"/>
      <c r="B759" s="986" t="str">
        <f>IFERROR(VLOOKUP(M759,'02. MM-KLH'!$B$6:$T$823,6,0),"")</f>
        <v>Máy cắt cỏ trục băm đa năng</v>
      </c>
      <c r="C759" s="566">
        <v>1.0</v>
      </c>
      <c r="D759" s="692" t="str">
        <f>IFERROR(VLOOKUP(M759,'02. MM-KLH'!$B$6:$T$823,16,0),"")</f>
        <v>TL662</v>
      </c>
      <c r="E759" s="692"/>
      <c r="F759" s="561" t="s">
        <v>4158</v>
      </c>
      <c r="G759" s="692"/>
      <c r="H759" s="692" t="str">
        <f>IFERROR(VLOOKUP(M759,'02. MM-KLH'!$B$6:$T$823,17,0),"")</f>
        <v>10HP</v>
      </c>
      <c r="I759" s="987">
        <f>IFERROR(VLOOKUP(M759,'02. MM-KLH'!$B$6:$U$823,20,0),"")</f>
        <v>1.8</v>
      </c>
      <c r="J759" s="986" t="str">
        <f>IFERROR(VLOOKUP(M759,'02. MM-KLH'!$B$6:$T$823,19,0),"")</f>
        <v>GT1000B0042104CD</v>
      </c>
      <c r="K759" s="986" t="str">
        <f>IFERROR(VLOOKUP(M759,'02. MM-KLH'!$B$6:$T$823,18,0),"")</f>
        <v>TL202506014013</v>
      </c>
      <c r="L759" s="692" t="str">
        <f>IFERROR(VLOOKUP(M759,'02. MM-KLH'!$B$6:$T$823,4,0),"")</f>
        <v/>
      </c>
      <c r="M759" s="488" t="s">
        <v>1371</v>
      </c>
      <c r="N759" s="988">
        <f>IFERROR(VLOOKUP(M759,'02. MM-KLH'!$B$6:$T$823,15,0),"")</f>
        <v>2025</v>
      </c>
      <c r="O759" s="989" t="str">
        <f>IFERROR(VLOOKUP(M759,'02. MM-KLH'!$B$6:$T$823,9,0),"")</f>
        <v>25/06/2025</v>
      </c>
      <c r="P759" s="692"/>
      <c r="Q759" s="692"/>
      <c r="R759" s="566" t="s">
        <v>4158</v>
      </c>
      <c r="S759" s="692"/>
      <c r="T759" s="692"/>
      <c r="U759" s="559" t="str">
        <f>IFERROR(VLOOKUP(M759,'02. MM-KLH'!$B$6:$T$823,5,0),"")</f>
        <v>MỚI</v>
      </c>
      <c r="V759" s="532" t="str">
        <f>IFERROR(VLOOKUP(M759,'02. MM-KLH'!$B$6:$T$823,8,0),"")</f>
        <v>XN Chuối LP1</v>
      </c>
      <c r="W759" s="559" t="str">
        <f>IFERROR(VLOOKUP(V759,'NS QUẢN LÝ CG'!$A$4:$D$36,2,0),"")</f>
        <v>Nguyễn Ngọc Nhân</v>
      </c>
      <c r="X759" s="559" t="str">
        <f>IFERROR(VLOOKUP(V759,'NS QUẢN LÝ CG'!$A$4:$D$36,4,0),"")</f>
        <v>Lô 7 LP1</v>
      </c>
      <c r="Y759" s="559" t="str">
        <f>IFERROR(VLOOKUP(V759,'NS QUẢN LÝ CG'!$A$4:$C$36,3,0),"")</f>
        <v>0979578112</v>
      </c>
      <c r="Z759" s="532" t="str">
        <f>IFERROR(VLOOKUP(M759,'02. MM-KLH'!$B$6:$T$823,3,0),"")</f>
        <v>A24-CCD-003</v>
      </c>
      <c r="AA759" s="559" t="str">
        <f t="shared" si="50"/>
        <v>LP</v>
      </c>
      <c r="AB759" s="532"/>
      <c r="AC759" s="532"/>
    </row>
    <row r="760" ht="15.75" customHeight="1">
      <c r="A760" s="532"/>
      <c r="B760" s="986" t="str">
        <f>IFERROR(VLOOKUP(M760,'02. MM-KLH'!$B$6:$T$823,6,0),"")</f>
        <v>Máy cắt cỏ trục băm đa năng</v>
      </c>
      <c r="C760" s="566">
        <v>1.0</v>
      </c>
      <c r="D760" s="692" t="str">
        <f>IFERROR(VLOOKUP(M760,'02. MM-KLH'!$B$6:$T$823,16,0),"")</f>
        <v>TL662</v>
      </c>
      <c r="E760" s="692"/>
      <c r="F760" s="561" t="s">
        <v>4158</v>
      </c>
      <c r="G760" s="692"/>
      <c r="H760" s="692" t="str">
        <f>IFERROR(VLOOKUP(M760,'02. MM-KLH'!$B$6:$T$823,17,0),"")</f>
        <v>10HP</v>
      </c>
      <c r="I760" s="987">
        <f>IFERROR(VLOOKUP(M760,'02. MM-KLH'!$B$6:$U$823,20,0),"")</f>
        <v>1.8</v>
      </c>
      <c r="J760" s="986" t="str">
        <f>IFERROR(VLOOKUP(M760,'02. MM-KLH'!$B$6:$T$823,19,0),"")</f>
        <v>GT1000B0042096CD</v>
      </c>
      <c r="K760" s="986" t="str">
        <f>IFERROR(VLOOKUP(M760,'02. MM-KLH'!$B$6:$T$823,18,0),"")</f>
        <v>TL202506014014</v>
      </c>
      <c r="L760" s="692" t="str">
        <f>IFERROR(VLOOKUP(M760,'02. MM-KLH'!$B$6:$T$823,4,0),"")</f>
        <v/>
      </c>
      <c r="M760" s="488" t="s">
        <v>1375</v>
      </c>
      <c r="N760" s="988">
        <f>IFERROR(VLOOKUP(M760,'02. MM-KLH'!$B$6:$T$823,15,0),"")</f>
        <v>2025</v>
      </c>
      <c r="O760" s="989" t="str">
        <f>IFERROR(VLOOKUP(M760,'02. MM-KLH'!$B$6:$T$823,9,0),"")</f>
        <v>25/06/2025</v>
      </c>
      <c r="P760" s="692"/>
      <c r="Q760" s="692"/>
      <c r="R760" s="566" t="s">
        <v>4158</v>
      </c>
      <c r="S760" s="692"/>
      <c r="T760" s="692"/>
      <c r="U760" s="559" t="str">
        <f>IFERROR(VLOOKUP(M760,'02. MM-KLH'!$B$6:$T$823,5,0),"")</f>
        <v>MỚI</v>
      </c>
      <c r="V760" s="532" t="str">
        <f>IFERROR(VLOOKUP(M760,'02. MM-KLH'!$B$6:$T$823,8,0),"")</f>
        <v>XN Chuối LP1</v>
      </c>
      <c r="W760" s="559" t="str">
        <f>IFERROR(VLOOKUP(V760,'NS QUẢN LÝ CG'!$A$4:$D$36,2,0),"")</f>
        <v>Nguyễn Ngọc Nhân</v>
      </c>
      <c r="X760" s="559" t="str">
        <f>IFERROR(VLOOKUP(V760,'NS QUẢN LÝ CG'!$A$4:$D$36,4,0),"")</f>
        <v>Lô 7 LP1</v>
      </c>
      <c r="Y760" s="559" t="str">
        <f>IFERROR(VLOOKUP(V760,'NS QUẢN LÝ CG'!$A$4:$C$36,3,0),"")</f>
        <v>0979578112</v>
      </c>
      <c r="Z760" s="532" t="str">
        <f>IFERROR(VLOOKUP(M760,'02. MM-KLH'!$B$6:$T$823,3,0),"")</f>
        <v>A24-CCD-004</v>
      </c>
      <c r="AA760" s="559" t="str">
        <f t="shared" si="50"/>
        <v>LP</v>
      </c>
      <c r="AB760" s="532"/>
      <c r="AC760" s="532"/>
    </row>
    <row r="761" ht="15.75" customHeight="1">
      <c r="A761" s="532"/>
      <c r="B761" s="986" t="str">
        <f>IFERROR(VLOOKUP(M761,'02. MM-KLH'!$B$6:$T$823,6,0),"")</f>
        <v>Máy cắt cỏ trục băm đa năng</v>
      </c>
      <c r="C761" s="566">
        <v>1.0</v>
      </c>
      <c r="D761" s="692" t="str">
        <f>IFERROR(VLOOKUP(M761,'02. MM-KLH'!$B$6:$T$823,16,0),"")</f>
        <v>TL662</v>
      </c>
      <c r="E761" s="692"/>
      <c r="F761" s="561" t="s">
        <v>4158</v>
      </c>
      <c r="G761" s="692"/>
      <c r="H761" s="692" t="str">
        <f>IFERROR(VLOOKUP(M761,'02. MM-KLH'!$B$6:$T$823,17,0),"")</f>
        <v>10HP</v>
      </c>
      <c r="I761" s="987">
        <f>IFERROR(VLOOKUP(M761,'02. MM-KLH'!$B$6:$U$823,20,0),"")</f>
        <v>1.8</v>
      </c>
      <c r="J761" s="986" t="str">
        <f>IFERROR(VLOOKUP(M761,'02. MM-KLH'!$B$6:$T$823,19,0),"")</f>
        <v>GT1000B0042100CD</v>
      </c>
      <c r="K761" s="986" t="str">
        <f>IFERROR(VLOOKUP(M761,'02. MM-KLH'!$B$6:$T$823,18,0),"")</f>
        <v>TL20250601406</v>
      </c>
      <c r="L761" s="692" t="str">
        <f>IFERROR(VLOOKUP(M761,'02. MM-KLH'!$B$6:$T$823,4,0),"")</f>
        <v/>
      </c>
      <c r="M761" s="488" t="s">
        <v>1526</v>
      </c>
      <c r="N761" s="988">
        <f>IFERROR(VLOOKUP(M761,'02. MM-KLH'!$B$6:$T$823,15,0),"")</f>
        <v>2025</v>
      </c>
      <c r="O761" s="989" t="str">
        <f>IFERROR(VLOOKUP(M761,'02. MM-KLH'!$B$6:$T$823,9,0),"")</f>
        <v>25/06/2025</v>
      </c>
      <c r="P761" s="692"/>
      <c r="Q761" s="692"/>
      <c r="R761" s="463" t="s">
        <v>4158</v>
      </c>
      <c r="S761" s="692"/>
      <c r="T761" s="692"/>
      <c r="U761" s="559" t="str">
        <f>IFERROR(VLOOKUP(M761,'02. MM-KLH'!$B$6:$T$823,5,0),"")</f>
        <v>MỚI</v>
      </c>
      <c r="V761" s="532" t="str">
        <f>IFERROR(VLOOKUP(M761,'02. MM-KLH'!$B$6:$T$823,8,0),"")</f>
        <v>XN Chuối LP3</v>
      </c>
      <c r="W761" s="559" t="str">
        <f>IFERROR(VLOOKUP(V761,'NS QUẢN LÝ CG'!$A$4:$D$36,2,0),"")</f>
        <v>Lê Cao Nghị</v>
      </c>
      <c r="X761" s="559" t="str">
        <f>IFERROR(VLOOKUP(V761,'NS QUẢN LÝ CG'!$A$4:$D$36,4,0),"")</f>
        <v>Lô 2 LP3</v>
      </c>
      <c r="Y761" s="559" t="str">
        <f>IFERROR(VLOOKUP(V761,'NS QUẢN LÝ CG'!$A$4:$C$36,3,0),"")</f>
        <v>0977423100</v>
      </c>
      <c r="Z761" s="532" t="str">
        <f>IFERROR(VLOOKUP(M761,'02. MM-KLH'!$B$6:$T$823,3,0),"")</f>
        <v>A24-CCD-005</v>
      </c>
      <c r="AA761" s="559" t="str">
        <f t="shared" si="50"/>
        <v>LP</v>
      </c>
      <c r="AB761" s="532"/>
      <c r="AC761" s="532"/>
    </row>
    <row r="762" ht="15.75" customHeight="1">
      <c r="A762" s="532"/>
      <c r="B762" s="986" t="str">
        <f>IFERROR(VLOOKUP(M762,'02. MM-KLH'!$B$6:$T$823,6,0),"")</f>
        <v>Máy cắt cỏ trục băm đa năng</v>
      </c>
      <c r="C762" s="566">
        <v>1.0</v>
      </c>
      <c r="D762" s="692" t="str">
        <f>IFERROR(VLOOKUP(M762,'02. MM-KLH'!$B$6:$T$823,16,0),"")</f>
        <v>TL662</v>
      </c>
      <c r="E762" s="692"/>
      <c r="F762" s="561" t="s">
        <v>4158</v>
      </c>
      <c r="G762" s="692"/>
      <c r="H762" s="692" t="str">
        <f>IFERROR(VLOOKUP(M762,'02. MM-KLH'!$B$6:$T$823,17,0),"")</f>
        <v>10HP</v>
      </c>
      <c r="I762" s="987">
        <f>IFERROR(VLOOKUP(M762,'02. MM-KLH'!$B$6:$U$823,20,0),"")</f>
        <v>1.8</v>
      </c>
      <c r="J762" s="986" t="str">
        <f>IFERROR(VLOOKUP(M762,'02. MM-KLH'!$B$6:$T$823,19,0),"")</f>
        <v>GT1000B0037706CC</v>
      </c>
      <c r="K762" s="986" t="str">
        <f>IFERROR(VLOOKUP(M762,'02. MM-KLH'!$B$6:$T$823,18,0),"")</f>
        <v>TL202506014010</v>
      </c>
      <c r="L762" s="692" t="str">
        <f>IFERROR(VLOOKUP(M762,'02. MM-KLH'!$B$6:$T$823,4,0),"")</f>
        <v/>
      </c>
      <c r="M762" s="488" t="s">
        <v>1530</v>
      </c>
      <c r="N762" s="988">
        <f>IFERROR(VLOOKUP(M762,'02. MM-KLH'!$B$6:$T$823,15,0),"")</f>
        <v>2025</v>
      </c>
      <c r="O762" s="989" t="str">
        <f>IFERROR(VLOOKUP(M762,'02. MM-KLH'!$B$6:$T$823,9,0),"")</f>
        <v>25/06/2025</v>
      </c>
      <c r="P762" s="692"/>
      <c r="Q762" s="692"/>
      <c r="R762" s="463" t="s">
        <v>4158</v>
      </c>
      <c r="S762" s="692"/>
      <c r="T762" s="692"/>
      <c r="U762" s="559" t="str">
        <f>IFERROR(VLOOKUP(M762,'02. MM-KLH'!$B$6:$T$823,5,0),"")</f>
        <v>MỚI</v>
      </c>
      <c r="V762" s="532" t="str">
        <f>IFERROR(VLOOKUP(M762,'02. MM-KLH'!$B$6:$T$823,8,0),"")</f>
        <v>XN Chuối LP3</v>
      </c>
      <c r="W762" s="559" t="str">
        <f>IFERROR(VLOOKUP(V762,'NS QUẢN LÝ CG'!$A$4:$D$36,2,0),"")</f>
        <v>Lê Cao Nghị</v>
      </c>
      <c r="X762" s="559" t="str">
        <f>IFERROR(VLOOKUP(V762,'NS QUẢN LÝ CG'!$A$4:$D$36,4,0),"")</f>
        <v>Lô 2 LP3</v>
      </c>
      <c r="Y762" s="559" t="str">
        <f>IFERROR(VLOOKUP(V762,'NS QUẢN LÝ CG'!$A$4:$C$36,3,0),"")</f>
        <v>0977423100</v>
      </c>
      <c r="Z762" s="532" t="str">
        <f>IFERROR(VLOOKUP(M762,'02. MM-KLH'!$B$6:$T$823,3,0),"")</f>
        <v>A24-CCD-006</v>
      </c>
      <c r="AA762" s="559" t="str">
        <f t="shared" si="50"/>
        <v>LP</v>
      </c>
      <c r="AB762" s="532"/>
      <c r="AC762" s="532"/>
    </row>
    <row r="763" ht="15.75" customHeight="1">
      <c r="A763" s="532"/>
      <c r="B763" s="986" t="str">
        <f>IFERROR(VLOOKUP(M763,'02. MM-KLH'!$B$6:$T$823,6,0),"")</f>
        <v>Máy cắt cỏ trục băm đa năng</v>
      </c>
      <c r="C763" s="566">
        <v>1.0</v>
      </c>
      <c r="D763" s="692" t="str">
        <f>IFERROR(VLOOKUP(M763,'02. MM-KLH'!$B$6:$T$823,16,0),"")</f>
        <v>TL662</v>
      </c>
      <c r="E763" s="692"/>
      <c r="F763" s="561" t="s">
        <v>4158</v>
      </c>
      <c r="G763" s="692"/>
      <c r="H763" s="692" t="str">
        <f>IFERROR(VLOOKUP(M763,'02. MM-KLH'!$B$6:$T$823,17,0),"")</f>
        <v>10HP</v>
      </c>
      <c r="I763" s="987">
        <f>IFERROR(VLOOKUP(M763,'02. MM-KLH'!$B$6:$U$823,20,0),"")</f>
        <v>1.8</v>
      </c>
      <c r="J763" s="986" t="str">
        <f>IFERROR(VLOOKUP(M763,'02. MM-KLH'!$B$6:$T$823,19,0),"")</f>
        <v>GT1000B0042101CD</v>
      </c>
      <c r="K763" s="986" t="str">
        <f>IFERROR(VLOOKUP(M763,'02. MM-KLH'!$B$6:$T$823,18,0),"")</f>
        <v>TL202506014012</v>
      </c>
      <c r="L763" s="692" t="str">
        <f>IFERROR(VLOOKUP(M763,'02. MM-KLH'!$B$6:$T$823,4,0),"")</f>
        <v/>
      </c>
      <c r="M763" s="488" t="s">
        <v>1534</v>
      </c>
      <c r="N763" s="988">
        <f>IFERROR(VLOOKUP(M763,'02. MM-KLH'!$B$6:$T$823,15,0),"")</f>
        <v>2025</v>
      </c>
      <c r="O763" s="989" t="str">
        <f>IFERROR(VLOOKUP(M763,'02. MM-KLH'!$B$6:$T$823,9,0),"")</f>
        <v>25/06/2025</v>
      </c>
      <c r="P763" s="692"/>
      <c r="Q763" s="692"/>
      <c r="R763" s="692"/>
      <c r="S763" s="463" t="s">
        <v>4158</v>
      </c>
      <c r="T763" s="692"/>
      <c r="U763" s="559" t="str">
        <f>IFERROR(VLOOKUP(M763,'02. MM-KLH'!$B$6:$T$823,5,0),"")</f>
        <v>MỚI</v>
      </c>
      <c r="V763" s="532" t="str">
        <f>IFERROR(VLOOKUP(M763,'02. MM-KLH'!$B$6:$T$823,8,0),"")</f>
        <v>XN Chuối LP3</v>
      </c>
      <c r="W763" s="559" t="str">
        <f>IFERROR(VLOOKUP(V763,'NS QUẢN LÝ CG'!$A$4:$D$36,2,0),"")</f>
        <v>Lê Cao Nghị</v>
      </c>
      <c r="X763" s="559" t="str">
        <f>IFERROR(VLOOKUP(V763,'NS QUẢN LÝ CG'!$A$4:$D$36,4,0),"")</f>
        <v>Lô 2 LP3</v>
      </c>
      <c r="Y763" s="559" t="str">
        <f>IFERROR(VLOOKUP(V763,'NS QUẢN LÝ CG'!$A$4:$C$36,3,0),"")</f>
        <v>0977423100</v>
      </c>
      <c r="Z763" s="532" t="str">
        <f>IFERROR(VLOOKUP(M763,'02. MM-KLH'!$B$6:$T$823,3,0),"")</f>
        <v>A24-CCD-007</v>
      </c>
      <c r="AA763" s="559" t="str">
        <f t="shared" si="50"/>
        <v>LP</v>
      </c>
      <c r="AB763" s="532"/>
      <c r="AC763" s="532"/>
    </row>
    <row r="764" ht="15.75" customHeight="1">
      <c r="A764" s="532"/>
      <c r="B764" s="986" t="str">
        <f>IFERROR(VLOOKUP(M764,'02. MM-KLH'!$B$6:$T$823,6,0),"")</f>
        <v>Máy cắt cỏ trục băm đa năng</v>
      </c>
      <c r="C764" s="566">
        <v>1.0</v>
      </c>
      <c r="D764" s="692" t="str">
        <f>IFERROR(VLOOKUP(M764,'02. MM-KLH'!$B$6:$T$823,16,0),"")</f>
        <v>TL662</v>
      </c>
      <c r="E764" s="692"/>
      <c r="F764" s="561" t="s">
        <v>4158</v>
      </c>
      <c r="G764" s="692"/>
      <c r="H764" s="692" t="str">
        <f>IFERROR(VLOOKUP(M764,'02. MM-KLH'!$B$6:$T$823,17,0),"")</f>
        <v>10HP</v>
      </c>
      <c r="I764" s="987">
        <f>IFERROR(VLOOKUP(M764,'02. MM-KLH'!$B$6:$U$823,20,0),"")</f>
        <v>1.8</v>
      </c>
      <c r="J764" s="986" t="str">
        <f>IFERROR(VLOOKUP(M764,'02. MM-KLH'!$B$6:$T$823,19,0),"")</f>
        <v>GT1000B0042102CD</v>
      </c>
      <c r="K764" s="986" t="str">
        <f>IFERROR(VLOOKUP(M764,'02. MM-KLH'!$B$6:$T$823,18,0),"")</f>
        <v>TL202506014016</v>
      </c>
      <c r="L764" s="692" t="str">
        <f>IFERROR(VLOOKUP(M764,'02. MM-KLH'!$B$6:$T$823,4,0),"")</f>
        <v/>
      </c>
      <c r="M764" s="488" t="s">
        <v>1538</v>
      </c>
      <c r="N764" s="988">
        <f>IFERROR(VLOOKUP(M764,'02. MM-KLH'!$B$6:$T$823,15,0),"")</f>
        <v>2025</v>
      </c>
      <c r="O764" s="989" t="str">
        <f>IFERROR(VLOOKUP(M764,'02. MM-KLH'!$B$6:$T$823,9,0),"")</f>
        <v>25/06/2025</v>
      </c>
      <c r="P764" s="692"/>
      <c r="Q764" s="692"/>
      <c r="R764" s="692"/>
      <c r="S764" s="463" t="s">
        <v>4158</v>
      </c>
      <c r="T764" s="692"/>
      <c r="U764" s="559" t="str">
        <f>IFERROR(VLOOKUP(M764,'02. MM-KLH'!$B$6:$T$823,5,0),"")</f>
        <v>MỚI</v>
      </c>
      <c r="V764" s="532" t="str">
        <f>IFERROR(VLOOKUP(M764,'02. MM-KLH'!$B$6:$T$823,8,0),"")</f>
        <v>XN Chuối LP3</v>
      </c>
      <c r="W764" s="559" t="str">
        <f>IFERROR(VLOOKUP(V764,'NS QUẢN LÝ CG'!$A$4:$D$36,2,0),"")</f>
        <v>Lê Cao Nghị</v>
      </c>
      <c r="X764" s="559" t="str">
        <f>IFERROR(VLOOKUP(V764,'NS QUẢN LÝ CG'!$A$4:$D$36,4,0),"")</f>
        <v>Lô 2 LP3</v>
      </c>
      <c r="Y764" s="559" t="str">
        <f>IFERROR(VLOOKUP(V764,'NS QUẢN LÝ CG'!$A$4:$C$36,3,0),"")</f>
        <v>0977423100</v>
      </c>
      <c r="Z764" s="532" t="str">
        <f>IFERROR(VLOOKUP(M764,'02. MM-KLH'!$B$6:$T$823,3,0),"")</f>
        <v>A24-CCD-008</v>
      </c>
      <c r="AA764" s="559" t="str">
        <f t="shared" si="50"/>
        <v>LP</v>
      </c>
      <c r="AB764" s="532"/>
      <c r="AC764" s="532"/>
    </row>
    <row r="765" ht="15.75" customHeight="1">
      <c r="A765" s="532"/>
      <c r="B765" s="986" t="str">
        <f>IFERROR(VLOOKUP(M765,'02. MM-KLH'!$B$6:$T$823,6,0),"")</f>
        <v>Máy cắt cỏ trục băm đa năng</v>
      </c>
      <c r="C765" s="566">
        <v>1.0</v>
      </c>
      <c r="D765" s="692" t="str">
        <f>IFERROR(VLOOKUP(M765,'02. MM-KLH'!$B$6:$T$823,16,0),"")</f>
        <v>TL662</v>
      </c>
      <c r="E765" s="692"/>
      <c r="F765" s="561" t="s">
        <v>4158</v>
      </c>
      <c r="G765" s="692"/>
      <c r="H765" s="692" t="str">
        <f>IFERROR(VLOOKUP(M765,'02. MM-KLH'!$B$6:$T$823,17,0),"")</f>
        <v>10HP</v>
      </c>
      <c r="I765" s="987">
        <f>IFERROR(VLOOKUP(M765,'02. MM-KLH'!$B$6:$U$823,20,0),"")</f>
        <v>1.8</v>
      </c>
      <c r="J765" s="986" t="str">
        <f>IFERROR(VLOOKUP(M765,'02. MM-KLH'!$B$6:$T$823,19,0),"")</f>
        <v>GT1000B0042098CD</v>
      </c>
      <c r="K765" s="986" t="str">
        <f>IFERROR(VLOOKUP(M765,'02. MM-KLH'!$B$6:$T$823,18,0),"")</f>
        <v>TL20250601401</v>
      </c>
      <c r="L765" s="692" t="str">
        <f>IFERROR(VLOOKUP(M765,'02. MM-KLH'!$B$6:$T$823,4,0),"")</f>
        <v/>
      </c>
      <c r="M765" s="488" t="s">
        <v>983</v>
      </c>
      <c r="N765" s="988">
        <f>IFERROR(VLOOKUP(M765,'02. MM-KLH'!$B$6:$T$823,15,0),"")</f>
        <v>2025</v>
      </c>
      <c r="O765" s="989" t="str">
        <f>IFERROR(VLOOKUP(M765,'02. MM-KLH'!$B$6:$T$823,9,0),"")</f>
        <v>25/06/2025</v>
      </c>
      <c r="P765" s="692"/>
      <c r="Q765" s="692"/>
      <c r="R765" s="692"/>
      <c r="S765" s="463" t="s">
        <v>4158</v>
      </c>
      <c r="T765" s="692"/>
      <c r="U765" s="559" t="str">
        <f>IFERROR(VLOOKUP(M765,'02. MM-KLH'!$B$6:$T$823,5,0),"")</f>
        <v>MỚI</v>
      </c>
      <c r="V765" s="532" t="str">
        <f>IFERROR(VLOOKUP(M765,'02. MM-KLH'!$B$6:$T$823,8,0),"")</f>
        <v>XN Chuối DP1</v>
      </c>
      <c r="W765" s="559" t="str">
        <f>IFERROR(VLOOKUP(V765,'NS QUẢN LÝ CG'!$A$4:$D$36,2,0),"")</f>
        <v>Thái Cao Lưu</v>
      </c>
      <c r="X765" s="559" t="str">
        <f>IFERROR(VLOOKUP(V765,'NS QUẢN LÝ CG'!$A$4:$D$36,4,0),"")</f>
        <v>Lô 21 DP1</v>
      </c>
      <c r="Y765" s="559" t="str">
        <f>IFERROR(VLOOKUP(V765,'NS QUẢN LÝ CG'!$A$4:$C$36,3,0),"")</f>
        <v>0387783316</v>
      </c>
      <c r="Z765" s="532" t="str">
        <f>IFERROR(VLOOKUP(M765,'02. MM-KLH'!$B$6:$T$823,3,0),"")</f>
        <v>A23-CCD-001</v>
      </c>
      <c r="AA765" s="559" t="str">
        <f t="shared" si="50"/>
        <v>DP</v>
      </c>
      <c r="AB765" s="532"/>
      <c r="AC765" s="532"/>
    </row>
    <row r="766" ht="15.75" customHeight="1">
      <c r="A766" s="532"/>
      <c r="B766" s="986" t="str">
        <f>IFERROR(VLOOKUP(M766,'02. MM-KLH'!$B$6:$T$823,6,0),"")</f>
        <v>Máy cắt cỏ trục băm đa năng</v>
      </c>
      <c r="C766" s="566">
        <v>1.0</v>
      </c>
      <c r="D766" s="692" t="str">
        <f>IFERROR(VLOOKUP(M766,'02. MM-KLH'!$B$6:$T$823,16,0),"")</f>
        <v>TL662</v>
      </c>
      <c r="E766" s="692"/>
      <c r="F766" s="561" t="s">
        <v>4158</v>
      </c>
      <c r="G766" s="692"/>
      <c r="H766" s="692" t="str">
        <f>IFERROR(VLOOKUP(M766,'02. MM-KLH'!$B$6:$T$823,17,0),"")</f>
        <v>10HP</v>
      </c>
      <c r="I766" s="987">
        <f>IFERROR(VLOOKUP(M766,'02. MM-KLH'!$B$6:$U$823,20,0),"")</f>
        <v>1.8</v>
      </c>
      <c r="J766" s="986" t="str">
        <f>IFERROR(VLOOKUP(M766,'02. MM-KLH'!$B$6:$T$823,19,0),"")</f>
        <v>GT1000B0042097CD</v>
      </c>
      <c r="K766" s="986" t="str">
        <f>IFERROR(VLOOKUP(M766,'02. MM-KLH'!$B$6:$T$823,18,0),"")</f>
        <v>TL20250601402</v>
      </c>
      <c r="L766" s="692" t="str">
        <f>IFERROR(VLOOKUP(M766,'02. MM-KLH'!$B$6:$T$823,4,0),"")</f>
        <v/>
      </c>
      <c r="M766" s="488" t="s">
        <v>991</v>
      </c>
      <c r="N766" s="988">
        <f>IFERROR(VLOOKUP(M766,'02. MM-KLH'!$B$6:$T$823,15,0),"")</f>
        <v>2025</v>
      </c>
      <c r="O766" s="989" t="str">
        <f>IFERROR(VLOOKUP(M766,'02. MM-KLH'!$B$6:$T$823,9,0),"")</f>
        <v>25/06/2025</v>
      </c>
      <c r="P766" s="692"/>
      <c r="Q766" s="692"/>
      <c r="R766" s="692"/>
      <c r="S766" s="463" t="s">
        <v>4158</v>
      </c>
      <c r="T766" s="692"/>
      <c r="U766" s="559" t="str">
        <f>IFERROR(VLOOKUP(M766,'02. MM-KLH'!$B$6:$T$823,5,0),"")</f>
        <v>MỚI</v>
      </c>
      <c r="V766" s="532" t="str">
        <f>IFERROR(VLOOKUP(M766,'02. MM-KLH'!$B$6:$T$823,8,0),"")</f>
        <v>XN Chuối DP1</v>
      </c>
      <c r="W766" s="559" t="str">
        <f>IFERROR(VLOOKUP(V766,'NS QUẢN LÝ CG'!$A$4:$D$36,2,0),"")</f>
        <v>Thái Cao Lưu</v>
      </c>
      <c r="X766" s="559" t="str">
        <f>IFERROR(VLOOKUP(V766,'NS QUẢN LÝ CG'!$A$4:$D$36,4,0),"")</f>
        <v>Lô 21 DP1</v>
      </c>
      <c r="Y766" s="559" t="str">
        <f>IFERROR(VLOOKUP(V766,'NS QUẢN LÝ CG'!$A$4:$C$36,3,0),"")</f>
        <v>0387783316</v>
      </c>
      <c r="Z766" s="532" t="str">
        <f>IFERROR(VLOOKUP(M766,'02. MM-KLH'!$B$6:$T$823,3,0),"")</f>
        <v>A23-CCD-002</v>
      </c>
      <c r="AA766" s="559" t="str">
        <f t="shared" si="50"/>
        <v>DP</v>
      </c>
      <c r="AB766" s="532"/>
      <c r="AC766" s="532"/>
    </row>
    <row r="767" ht="15.75" customHeight="1">
      <c r="A767" s="532"/>
      <c r="B767" s="986" t="str">
        <f>IFERROR(VLOOKUP(M767,'02. MM-KLH'!$B$6:$T$823,6,0),"")</f>
        <v>Máy cắt cỏ trục băm đa năng</v>
      </c>
      <c r="C767" s="566">
        <v>1.0</v>
      </c>
      <c r="D767" s="692" t="str">
        <f>IFERROR(VLOOKUP(M767,'02. MM-KLH'!$B$6:$T$823,16,0),"")</f>
        <v>TL662</v>
      </c>
      <c r="E767" s="692"/>
      <c r="F767" s="561" t="s">
        <v>4158</v>
      </c>
      <c r="G767" s="692"/>
      <c r="H767" s="692" t="str">
        <f>IFERROR(VLOOKUP(M767,'02. MM-KLH'!$B$6:$T$823,17,0),"")</f>
        <v>10HP</v>
      </c>
      <c r="I767" s="987">
        <f>IFERROR(VLOOKUP(M767,'02. MM-KLH'!$B$6:$U$823,20,0),"")</f>
        <v>1.8</v>
      </c>
      <c r="J767" s="986" t="str">
        <f>IFERROR(VLOOKUP(M767,'02. MM-KLH'!$B$6:$T$823,19,0),"")</f>
        <v>GT1000B0042095CD</v>
      </c>
      <c r="K767" s="986" t="str">
        <f>IFERROR(VLOOKUP(M767,'02. MM-KLH'!$B$6:$T$823,18,0),"")</f>
        <v>TL20250601407</v>
      </c>
      <c r="L767" s="692" t="str">
        <f>IFERROR(VLOOKUP(M767,'02. MM-KLH'!$B$6:$T$823,4,0),"")</f>
        <v/>
      </c>
      <c r="M767" s="488" t="s">
        <v>995</v>
      </c>
      <c r="N767" s="988">
        <f>IFERROR(VLOOKUP(M767,'02. MM-KLH'!$B$6:$T$823,15,0),"")</f>
        <v>2025</v>
      </c>
      <c r="O767" s="989" t="str">
        <f>IFERROR(VLOOKUP(M767,'02. MM-KLH'!$B$6:$T$823,9,0),"")</f>
        <v>25/06/2025</v>
      </c>
      <c r="P767" s="692"/>
      <c r="Q767" s="692"/>
      <c r="R767" s="692"/>
      <c r="S767" s="463" t="s">
        <v>4158</v>
      </c>
      <c r="T767" s="692"/>
      <c r="U767" s="559" t="str">
        <f>IFERROR(VLOOKUP(M767,'02. MM-KLH'!$B$6:$T$823,5,0),"")</f>
        <v>MỚI</v>
      </c>
      <c r="V767" s="532" t="str">
        <f>IFERROR(VLOOKUP(M767,'02. MM-KLH'!$B$6:$T$823,8,0),"")</f>
        <v>XN Chuối DP1</v>
      </c>
      <c r="W767" s="559" t="str">
        <f>IFERROR(VLOOKUP(V767,'NS QUẢN LÝ CG'!$A$4:$D$36,2,0),"")</f>
        <v>Thái Cao Lưu</v>
      </c>
      <c r="X767" s="559" t="str">
        <f>IFERROR(VLOOKUP(V767,'NS QUẢN LÝ CG'!$A$4:$D$36,4,0),"")</f>
        <v>Lô 21 DP1</v>
      </c>
      <c r="Y767" s="559" t="str">
        <f>IFERROR(VLOOKUP(V767,'NS QUẢN LÝ CG'!$A$4:$C$36,3,0),"")</f>
        <v>0387783316</v>
      </c>
      <c r="Z767" s="532" t="str">
        <f>IFERROR(VLOOKUP(M767,'02. MM-KLH'!$B$6:$T$823,3,0),"")</f>
        <v>A23-CCD-003</v>
      </c>
      <c r="AA767" s="559" t="str">
        <f t="shared" si="50"/>
        <v>DP</v>
      </c>
      <c r="AB767" s="532"/>
      <c r="AC767" s="532"/>
    </row>
    <row r="768" ht="15.75" customHeight="1">
      <c r="A768" s="532"/>
      <c r="B768" s="986" t="str">
        <f>IFERROR(VLOOKUP(M768,'02. MM-KLH'!$B$6:$T$823,6,0),"")</f>
        <v>Máy cắt cỏ trục băm đa năng</v>
      </c>
      <c r="C768" s="566">
        <v>1.0</v>
      </c>
      <c r="D768" s="692" t="str">
        <f>IFERROR(VLOOKUP(M768,'02. MM-KLH'!$B$6:$T$823,16,0),"")</f>
        <v>TL662</v>
      </c>
      <c r="E768" s="692"/>
      <c r="F768" s="561" t="s">
        <v>4158</v>
      </c>
      <c r="G768" s="692"/>
      <c r="H768" s="692" t="str">
        <f>IFERROR(VLOOKUP(M768,'02. MM-KLH'!$B$6:$T$823,17,0),"")</f>
        <v>10HP</v>
      </c>
      <c r="I768" s="987">
        <f>IFERROR(VLOOKUP(M768,'02. MM-KLH'!$B$6:$U$823,20,0),"")</f>
        <v>1.8</v>
      </c>
      <c r="J768" s="986" t="str">
        <f>IFERROR(VLOOKUP(M768,'02. MM-KLH'!$B$6:$T$823,19,0),"")</f>
        <v>GT1000B0042141CD</v>
      </c>
      <c r="K768" s="986" t="str">
        <f>IFERROR(VLOOKUP(M768,'02. MM-KLH'!$B$6:$T$823,18,0),"")</f>
        <v>TL20250601408</v>
      </c>
      <c r="L768" s="692" t="str">
        <f>IFERROR(VLOOKUP(M768,'02. MM-KLH'!$B$6:$T$823,4,0),"")</f>
        <v/>
      </c>
      <c r="M768" s="488" t="s">
        <v>999</v>
      </c>
      <c r="N768" s="988">
        <f>IFERROR(VLOOKUP(M768,'02. MM-KLH'!$B$6:$T$823,15,0),"")</f>
        <v>2025</v>
      </c>
      <c r="O768" s="989" t="str">
        <f>IFERROR(VLOOKUP(M768,'02. MM-KLH'!$B$6:$T$823,9,0),"")</f>
        <v>25/06/2025</v>
      </c>
      <c r="P768" s="692"/>
      <c r="Q768" s="692"/>
      <c r="R768" s="692"/>
      <c r="S768" s="463" t="s">
        <v>4158</v>
      </c>
      <c r="T768" s="692"/>
      <c r="U768" s="559" t="str">
        <f>IFERROR(VLOOKUP(M768,'02. MM-KLH'!$B$6:$T$823,5,0),"")</f>
        <v>MỚI</v>
      </c>
      <c r="V768" s="532" t="str">
        <f>IFERROR(VLOOKUP(M768,'02. MM-KLH'!$B$6:$T$823,8,0),"")</f>
        <v>XN Chuối DP1</v>
      </c>
      <c r="W768" s="559" t="str">
        <f>IFERROR(VLOOKUP(V768,'NS QUẢN LÝ CG'!$A$4:$D$36,2,0),"")</f>
        <v>Thái Cao Lưu</v>
      </c>
      <c r="X768" s="559" t="str">
        <f>IFERROR(VLOOKUP(V768,'NS QUẢN LÝ CG'!$A$4:$D$36,4,0),"")</f>
        <v>Lô 21 DP1</v>
      </c>
      <c r="Y768" s="559" t="str">
        <f>IFERROR(VLOOKUP(V768,'NS QUẢN LÝ CG'!$A$4:$C$36,3,0),"")</f>
        <v>0387783316</v>
      </c>
      <c r="Z768" s="532" t="str">
        <f>IFERROR(VLOOKUP(M768,'02. MM-KLH'!$B$6:$T$823,3,0),"")</f>
        <v>A23-CCD-004</v>
      </c>
      <c r="AA768" s="559" t="str">
        <f t="shared" si="50"/>
        <v>DP</v>
      </c>
      <c r="AB768" s="532"/>
      <c r="AC768" s="532"/>
    </row>
    <row r="769" ht="15.75" customHeight="1">
      <c r="A769" s="532"/>
      <c r="B769" s="986" t="str">
        <f>IFERROR(VLOOKUP(M769,'02. MM-KLH'!$B$6:$T$823,6,0),"")</f>
        <v>Máy cắt cỏ trục băm đa năng</v>
      </c>
      <c r="C769" s="566">
        <v>1.0</v>
      </c>
      <c r="D769" s="692" t="str">
        <f>IFERROR(VLOOKUP(M769,'02. MM-KLH'!$B$6:$T$823,16,0),"")</f>
        <v>TL662</v>
      </c>
      <c r="E769" s="692"/>
      <c r="F769" s="561" t="s">
        <v>4158</v>
      </c>
      <c r="G769" s="692"/>
      <c r="H769" s="692" t="str">
        <f>IFERROR(VLOOKUP(M769,'02. MM-KLH'!$B$6:$T$823,17,0),"")</f>
        <v>10HP</v>
      </c>
      <c r="I769" s="987">
        <f>IFERROR(VLOOKUP(M769,'02. MM-KLH'!$B$6:$U$823,20,0),"")</f>
        <v>1.8</v>
      </c>
      <c r="J769" s="986" t="str">
        <f>IFERROR(VLOOKUP(M769,'02. MM-KLH'!$B$6:$T$823,19,0),"")</f>
        <v>GT1000B0042094CD</v>
      </c>
      <c r="K769" s="986" t="str">
        <f>IFERROR(VLOOKUP(M769,'02. MM-KLH'!$B$6:$T$823,18,0),"")</f>
        <v>TL20250601404</v>
      </c>
      <c r="L769" s="692" t="str">
        <f>IFERROR(VLOOKUP(M769,'02. MM-KLH'!$B$6:$T$823,4,0),"")</f>
        <v/>
      </c>
      <c r="M769" s="488" t="s">
        <v>1098</v>
      </c>
      <c r="N769" s="988">
        <f>IFERROR(VLOOKUP(M769,'02. MM-KLH'!$B$6:$T$823,15,0),"")</f>
        <v>2025</v>
      </c>
      <c r="O769" s="989" t="str">
        <f>IFERROR(VLOOKUP(M769,'02. MM-KLH'!$B$6:$T$823,9,0),"")</f>
        <v>25/06/2025</v>
      </c>
      <c r="P769" s="692"/>
      <c r="Q769" s="692"/>
      <c r="R769" s="692"/>
      <c r="S769" s="463" t="s">
        <v>4158</v>
      </c>
      <c r="T769" s="692"/>
      <c r="U769" s="559" t="str">
        <f>IFERROR(VLOOKUP(M769,'02. MM-KLH'!$B$6:$T$823,5,0),"")</f>
        <v> MỚI</v>
      </c>
      <c r="V769" s="532" t="str">
        <f>IFERROR(VLOOKUP(M769,'02. MM-KLH'!$B$6:$T$823,8,0),"")</f>
        <v>XN Chuối DP2</v>
      </c>
      <c r="W769" s="559" t="str">
        <f>IFERROR(VLOOKUP(V769,'NS QUẢN LÝ CG'!$A$4:$D$36,2,0),"")</f>
        <v>Huỳnh Quang Viên</v>
      </c>
      <c r="X769" s="559" t="str">
        <f>IFERROR(VLOOKUP(V769,'NS QUẢN LÝ CG'!$A$4:$D$36,4,0),"")</f>
        <v>Lô 15.6 DP2</v>
      </c>
      <c r="Y769" s="559" t="str">
        <f>IFERROR(VLOOKUP(V769,'NS QUẢN LÝ CG'!$A$4:$C$36,3,0),"")</f>
        <v>0977623379</v>
      </c>
      <c r="Z769" s="532" t="str">
        <f>IFERROR(VLOOKUP(M769,'02. MM-KLH'!$B$6:$T$823,3,0),"")</f>
        <v>A23-CCD-005</v>
      </c>
      <c r="AA769" s="559" t="str">
        <f t="shared" si="50"/>
        <v>DP</v>
      </c>
      <c r="AB769" s="532"/>
      <c r="AC769" s="532"/>
    </row>
    <row r="770" ht="15.75" customHeight="1">
      <c r="A770" s="532"/>
      <c r="B770" s="986" t="str">
        <f>IFERROR(VLOOKUP(M770,'02. MM-KLH'!$B$6:$T$823,6,0),"")</f>
        <v>Máy cắt cỏ trục băm đa năng</v>
      </c>
      <c r="C770" s="566">
        <v>1.0</v>
      </c>
      <c r="D770" s="692" t="str">
        <f>IFERROR(VLOOKUP(M770,'02. MM-KLH'!$B$6:$T$823,16,0),"")</f>
        <v>TL662</v>
      </c>
      <c r="E770" s="692"/>
      <c r="F770" s="561" t="s">
        <v>4158</v>
      </c>
      <c r="G770" s="692"/>
      <c r="H770" s="692" t="str">
        <f>IFERROR(VLOOKUP(M770,'02. MM-KLH'!$B$6:$T$823,17,0),"")</f>
        <v>10HP</v>
      </c>
      <c r="I770" s="987">
        <f>IFERROR(VLOOKUP(M770,'02. MM-KLH'!$B$6:$U$823,20,0),"")</f>
        <v>1.8</v>
      </c>
      <c r="J770" s="986" t="str">
        <f>IFERROR(VLOOKUP(M770,'02. MM-KLH'!$B$6:$T$823,19,0),"")</f>
        <v>GT1000B0042109CD</v>
      </c>
      <c r="K770" s="986" t="str">
        <f>IFERROR(VLOOKUP(M770,'02. MM-KLH'!$B$6:$T$823,18,0),"")</f>
        <v>TL202506014015</v>
      </c>
      <c r="L770" s="692" t="str">
        <f>IFERROR(VLOOKUP(M770,'02. MM-KLH'!$B$6:$T$823,4,0),"")</f>
        <v/>
      </c>
      <c r="M770" s="488" t="s">
        <v>1103</v>
      </c>
      <c r="N770" s="988">
        <f>IFERROR(VLOOKUP(M770,'02. MM-KLH'!$B$6:$T$823,15,0),"")</f>
        <v>2025</v>
      </c>
      <c r="O770" s="989" t="str">
        <f>IFERROR(VLOOKUP(M770,'02. MM-KLH'!$B$6:$T$823,9,0),"")</f>
        <v>25/06/2025</v>
      </c>
      <c r="P770" s="692"/>
      <c r="Q770" s="692"/>
      <c r="R770" s="692"/>
      <c r="S770" s="463" t="s">
        <v>4158</v>
      </c>
      <c r="T770" s="692"/>
      <c r="U770" s="559" t="str">
        <f>IFERROR(VLOOKUP(M770,'02. MM-KLH'!$B$6:$T$823,5,0),"")</f>
        <v> MỚI</v>
      </c>
      <c r="V770" s="532" t="str">
        <f>IFERROR(VLOOKUP(M770,'02. MM-KLH'!$B$6:$T$823,8,0),"")</f>
        <v>XN Chuối DP2</v>
      </c>
      <c r="W770" s="559" t="str">
        <f>IFERROR(VLOOKUP(V770,'NS QUẢN LÝ CG'!$A$4:$D$36,2,0),"")</f>
        <v>Huỳnh Quang Viên</v>
      </c>
      <c r="X770" s="559" t="str">
        <f>IFERROR(VLOOKUP(V770,'NS QUẢN LÝ CG'!$A$4:$D$36,4,0),"")</f>
        <v>Lô 15.6 DP2</v>
      </c>
      <c r="Y770" s="559" t="str">
        <f>IFERROR(VLOOKUP(V770,'NS QUẢN LÝ CG'!$A$4:$C$36,3,0),"")</f>
        <v>0977623379</v>
      </c>
      <c r="Z770" s="532" t="str">
        <f>IFERROR(VLOOKUP(M770,'02. MM-KLH'!$B$6:$T$823,3,0),"")</f>
        <v>A23-CCD-006</v>
      </c>
      <c r="AA770" s="559" t="str">
        <f t="shared" si="50"/>
        <v>DP</v>
      </c>
      <c r="AB770" s="532"/>
      <c r="AC770" s="532"/>
    </row>
    <row r="771" ht="15.75" customHeight="1">
      <c r="A771" s="532"/>
      <c r="B771" s="986" t="str">
        <f>IFERROR(VLOOKUP(M771,'02. MM-KLH'!$B$6:$T$823,6,0),"")</f>
        <v>Máy cắt cỏ trục băm đa năng</v>
      </c>
      <c r="C771" s="566">
        <v>1.0</v>
      </c>
      <c r="D771" s="692" t="str">
        <f>IFERROR(VLOOKUP(M771,'02. MM-KLH'!$B$6:$T$823,16,0),"")</f>
        <v>TL662</v>
      </c>
      <c r="E771" s="692"/>
      <c r="F771" s="561" t="s">
        <v>4158</v>
      </c>
      <c r="G771" s="692"/>
      <c r="H771" s="692" t="str">
        <f>IFERROR(VLOOKUP(M771,'02. MM-KLH'!$B$6:$T$823,17,0),"")</f>
        <v>10HP</v>
      </c>
      <c r="I771" s="987">
        <f>IFERROR(VLOOKUP(M771,'02. MM-KLH'!$B$6:$U$823,20,0),"")</f>
        <v>1.8</v>
      </c>
      <c r="J771" s="986" t="str">
        <f>IFERROR(VLOOKUP(M771,'02. MM-KLH'!$B$6:$T$823,19,0),"")</f>
        <v>GT1000B0042099CD</v>
      </c>
      <c r="K771" s="986" t="str">
        <f>IFERROR(VLOOKUP(M771,'02. MM-KLH'!$B$6:$T$823,18,0),"")</f>
        <v>TL202506014017</v>
      </c>
      <c r="L771" s="692" t="str">
        <f>IFERROR(VLOOKUP(M771,'02. MM-KLH'!$B$6:$T$823,4,0),"")</f>
        <v/>
      </c>
      <c r="M771" s="488" t="s">
        <v>1107</v>
      </c>
      <c r="N771" s="988">
        <f>IFERROR(VLOOKUP(M771,'02. MM-KLH'!$B$6:$T$823,15,0),"")</f>
        <v>2025</v>
      </c>
      <c r="O771" s="989" t="str">
        <f>IFERROR(VLOOKUP(M771,'02. MM-KLH'!$B$6:$T$823,9,0),"")</f>
        <v>25/06/2025</v>
      </c>
      <c r="P771" s="692"/>
      <c r="Q771" s="692"/>
      <c r="R771" s="692"/>
      <c r="S771" s="463" t="s">
        <v>4158</v>
      </c>
      <c r="T771" s="692"/>
      <c r="U771" s="559" t="str">
        <f>IFERROR(VLOOKUP(M771,'02. MM-KLH'!$B$6:$T$823,5,0),"")</f>
        <v> MỚI</v>
      </c>
      <c r="V771" s="532" t="str">
        <f>IFERROR(VLOOKUP(M771,'02. MM-KLH'!$B$6:$T$823,8,0),"")</f>
        <v>XN Chuối DP2</v>
      </c>
      <c r="W771" s="559" t="str">
        <f>IFERROR(VLOOKUP(V771,'NS QUẢN LÝ CG'!$A$4:$D$36,2,0),"")</f>
        <v>Huỳnh Quang Viên</v>
      </c>
      <c r="X771" s="559" t="str">
        <f>IFERROR(VLOOKUP(V771,'NS QUẢN LÝ CG'!$A$4:$D$36,4,0),"")</f>
        <v>Lô 15.6 DP2</v>
      </c>
      <c r="Y771" s="559" t="str">
        <f>IFERROR(VLOOKUP(V771,'NS QUẢN LÝ CG'!$A$4:$C$36,3,0),"")</f>
        <v>0977623379</v>
      </c>
      <c r="Z771" s="532" t="str">
        <f>IFERROR(VLOOKUP(M771,'02. MM-KLH'!$B$6:$T$823,3,0),"")</f>
        <v>A23-CCD-007</v>
      </c>
      <c r="AA771" s="559" t="str">
        <f t="shared" si="50"/>
        <v>DP</v>
      </c>
      <c r="AB771" s="532"/>
      <c r="AC771" s="532"/>
    </row>
    <row r="772" ht="15.75" customHeight="1">
      <c r="A772" s="532"/>
      <c r="B772" s="986" t="str">
        <f>IFERROR(VLOOKUP(M772,'02. MM-KLH'!$B$6:$T$823,6,0),"")</f>
        <v>Máy cắt cỏ trục băm đa năng</v>
      </c>
      <c r="C772" s="566">
        <v>1.0</v>
      </c>
      <c r="D772" s="692" t="str">
        <f>IFERROR(VLOOKUP(M772,'02. MM-KLH'!$B$6:$T$823,16,0),"")</f>
        <v>TL662</v>
      </c>
      <c r="E772" s="692"/>
      <c r="F772" s="561" t="s">
        <v>4158</v>
      </c>
      <c r="G772" s="692"/>
      <c r="H772" s="692" t="str">
        <f>IFERROR(VLOOKUP(M772,'02. MM-KLH'!$B$6:$T$823,17,0),"")</f>
        <v>10HP</v>
      </c>
      <c r="I772" s="987">
        <f>IFERROR(VLOOKUP(M772,'02. MM-KLH'!$B$6:$U$823,20,0),"")</f>
        <v>1.8</v>
      </c>
      <c r="J772" s="986" t="str">
        <f>IFERROR(VLOOKUP(M772,'02. MM-KLH'!$B$6:$T$823,19,0),"")</f>
        <v>GT1000B0042092CD</v>
      </c>
      <c r="K772" s="986" t="str">
        <f>IFERROR(VLOOKUP(M772,'02. MM-KLH'!$B$6:$T$823,18,0),"")</f>
        <v>TL202506014020</v>
      </c>
      <c r="L772" s="692" t="str">
        <f>IFERROR(VLOOKUP(M772,'02. MM-KLH'!$B$6:$T$823,4,0),"")</f>
        <v/>
      </c>
      <c r="M772" s="488" t="s">
        <v>1111</v>
      </c>
      <c r="N772" s="988">
        <f>IFERROR(VLOOKUP(M772,'02. MM-KLH'!$B$6:$T$823,15,0),"")</f>
        <v>2025</v>
      </c>
      <c r="O772" s="989" t="str">
        <f>IFERROR(VLOOKUP(M772,'02. MM-KLH'!$B$6:$T$823,9,0),"")</f>
        <v>25/06/2025</v>
      </c>
      <c r="P772" s="692"/>
      <c r="Q772" s="692"/>
      <c r="R772" s="692"/>
      <c r="S772" s="463" t="s">
        <v>4158</v>
      </c>
      <c r="T772" s="692"/>
      <c r="U772" s="559" t="str">
        <f>IFERROR(VLOOKUP(M772,'02. MM-KLH'!$B$6:$T$823,5,0),"")</f>
        <v> MỚI</v>
      </c>
      <c r="V772" s="532" t="str">
        <f>IFERROR(VLOOKUP(M772,'02. MM-KLH'!$B$6:$T$823,8,0),"")</f>
        <v>XN Chuối DP2</v>
      </c>
      <c r="W772" s="559" t="str">
        <f>IFERROR(VLOOKUP(V772,'NS QUẢN LÝ CG'!$A$4:$D$36,2,0),"")</f>
        <v>Huỳnh Quang Viên</v>
      </c>
      <c r="X772" s="559" t="str">
        <f>IFERROR(VLOOKUP(V772,'NS QUẢN LÝ CG'!$A$4:$D$36,4,0),"")</f>
        <v>Lô 15.6 DP2</v>
      </c>
      <c r="Y772" s="559" t="str">
        <f>IFERROR(VLOOKUP(V772,'NS QUẢN LÝ CG'!$A$4:$C$36,3,0),"")</f>
        <v>0977623379</v>
      </c>
      <c r="Z772" s="532" t="str">
        <f>IFERROR(VLOOKUP(M772,'02. MM-KLH'!$B$6:$T$823,3,0),"")</f>
        <v>A23-CCD-008</v>
      </c>
      <c r="AA772" s="559" t="str">
        <f t="shared" si="50"/>
        <v>DP</v>
      </c>
      <c r="AB772" s="532"/>
      <c r="AC772" s="532"/>
    </row>
    <row r="773" ht="15.75" customHeight="1">
      <c r="A773" s="532"/>
      <c r="B773" s="986" t="str">
        <f>IFERROR(VLOOKUP(M773,'02. MM-KLH'!$B$6:$T$823,6,0),"")</f>
        <v>Máy cắt cỏ trục băm đa năng</v>
      </c>
      <c r="C773" s="566">
        <v>1.0</v>
      </c>
      <c r="D773" s="692" t="str">
        <f>IFERROR(VLOOKUP(M773,'02. MM-KLH'!$B$6:$T$823,16,0),"")</f>
        <v>TL662</v>
      </c>
      <c r="E773" s="692"/>
      <c r="F773" s="561" t="s">
        <v>4158</v>
      </c>
      <c r="G773" s="692"/>
      <c r="H773" s="692" t="str">
        <f>IFERROR(VLOOKUP(M773,'02. MM-KLH'!$B$6:$T$823,17,0),"")</f>
        <v>10HP</v>
      </c>
      <c r="I773" s="987">
        <f>IFERROR(VLOOKUP(M773,'02. MM-KLH'!$B$6:$U$823,20,0),"")</f>
        <v>1.8</v>
      </c>
      <c r="J773" s="986" t="str">
        <f>IFERROR(VLOOKUP(M773,'02. MM-KLH'!$B$6:$T$823,19,0),"")</f>
        <v>GT1000B0037703CC</v>
      </c>
      <c r="K773" s="986" t="str">
        <f>IFERROR(VLOOKUP(M773,'02. MM-KLH'!$B$6:$T$823,18,0),"")</f>
        <v>TL20250601403</v>
      </c>
      <c r="L773" s="692" t="str">
        <f>IFERROR(VLOOKUP(M773,'02. MM-KLH'!$B$6:$T$823,4,0),"")</f>
        <v/>
      </c>
      <c r="M773" s="488" t="s">
        <v>1215</v>
      </c>
      <c r="N773" s="988">
        <f>IFERROR(VLOOKUP(M773,'02. MM-KLH'!$B$6:$T$823,15,0),"")</f>
        <v>2025</v>
      </c>
      <c r="O773" s="989" t="str">
        <f>IFERROR(VLOOKUP(M773,'02. MM-KLH'!$B$6:$T$823,9,0),"")</f>
        <v>25/06/2025</v>
      </c>
      <c r="P773" s="692"/>
      <c r="Q773" s="692"/>
      <c r="R773" s="692"/>
      <c r="S773" s="463" t="s">
        <v>4158</v>
      </c>
      <c r="T773" s="692"/>
      <c r="U773" s="559" t="str">
        <f>IFERROR(VLOOKUP(M773,'02. MM-KLH'!$B$6:$T$823,5,0),"")</f>
        <v>MỚI</v>
      </c>
      <c r="V773" s="532" t="str">
        <f>IFERROR(VLOOKUP(M773,'02. MM-KLH'!$B$6:$T$823,8,0),"")</f>
        <v>XN Chuối DP3</v>
      </c>
      <c r="W773" s="559" t="str">
        <f>IFERROR(VLOOKUP(V773,'NS QUẢN LÝ CG'!$A$4:$D$36,2,0),"")</f>
        <v>Thạch Ngọc Vững</v>
      </c>
      <c r="X773" s="559" t="str">
        <f>IFERROR(VLOOKUP(V773,'NS QUẢN LÝ CG'!$A$4:$D$36,4,0),"")</f>
        <v>Lô 28 DP3</v>
      </c>
      <c r="Y773" s="559" t="str">
        <f>IFERROR(VLOOKUP(V773,'NS QUẢN LÝ CG'!$A$4:$C$36,3,0),"")</f>
        <v>0975905267</v>
      </c>
      <c r="Z773" s="532" t="str">
        <f>IFERROR(VLOOKUP(M773,'02. MM-KLH'!$B$6:$T$823,3,0),"")</f>
        <v>A23-CCD-009</v>
      </c>
      <c r="AA773" s="559" t="str">
        <f t="shared" si="50"/>
        <v>DP</v>
      </c>
      <c r="AB773" s="532"/>
      <c r="AC773" s="532"/>
    </row>
    <row r="774" ht="15.75" customHeight="1">
      <c r="A774" s="532"/>
      <c r="B774" s="986" t="str">
        <f>IFERROR(VLOOKUP(M774,'02. MM-KLH'!$B$6:$T$823,6,0),"")</f>
        <v>Máy cắt cỏ trục băm đa năng</v>
      </c>
      <c r="C774" s="566">
        <v>1.0</v>
      </c>
      <c r="D774" s="692" t="str">
        <f>IFERROR(VLOOKUP(M774,'02. MM-KLH'!$B$6:$T$823,16,0),"")</f>
        <v>TL662</v>
      </c>
      <c r="E774" s="692"/>
      <c r="F774" s="561" t="s">
        <v>4158</v>
      </c>
      <c r="G774" s="692"/>
      <c r="H774" s="692" t="str">
        <f>IFERROR(VLOOKUP(M774,'02. MM-KLH'!$B$6:$T$823,17,0),"")</f>
        <v>10HP</v>
      </c>
      <c r="I774" s="987">
        <f>IFERROR(VLOOKUP(M774,'02. MM-KLH'!$B$6:$U$823,20,0),"")</f>
        <v>1.8</v>
      </c>
      <c r="J774" s="986" t="str">
        <f>IFERROR(VLOOKUP(M774,'02. MM-KLH'!$B$6:$T$823,19,0),"")</f>
        <v>GT1000B0042145CD</v>
      </c>
      <c r="K774" s="986" t="str">
        <f>IFERROR(VLOOKUP(M774,'02. MM-KLH'!$B$6:$T$823,18,0),"")</f>
        <v>TL20250601405</v>
      </c>
      <c r="L774" s="692" t="str">
        <f>IFERROR(VLOOKUP(M774,'02. MM-KLH'!$B$6:$T$823,4,0),"")</f>
        <v/>
      </c>
      <c r="M774" s="488" t="s">
        <v>1219</v>
      </c>
      <c r="N774" s="988">
        <f>IFERROR(VLOOKUP(M774,'02. MM-KLH'!$B$6:$T$823,15,0),"")</f>
        <v>2025</v>
      </c>
      <c r="O774" s="989" t="str">
        <f>IFERROR(VLOOKUP(M774,'02. MM-KLH'!$B$6:$T$823,9,0),"")</f>
        <v>25/06/2025</v>
      </c>
      <c r="P774" s="692"/>
      <c r="Q774" s="692"/>
      <c r="R774" s="463" t="s">
        <v>4158</v>
      </c>
      <c r="S774" s="692"/>
      <c r="T774" s="692"/>
      <c r="U774" s="559" t="str">
        <f>IFERROR(VLOOKUP(M774,'02. MM-KLH'!$B$6:$T$823,5,0),"")</f>
        <v>MỚI</v>
      </c>
      <c r="V774" s="532" t="str">
        <f>IFERROR(VLOOKUP(M774,'02. MM-KLH'!$B$6:$T$823,8,0),"")</f>
        <v>XN Chuối DP3</v>
      </c>
      <c r="W774" s="559" t="str">
        <f>IFERROR(VLOOKUP(V774,'NS QUẢN LÝ CG'!$A$4:$D$36,2,0),"")</f>
        <v>Thạch Ngọc Vững</v>
      </c>
      <c r="X774" s="559" t="str">
        <f>IFERROR(VLOOKUP(V774,'NS QUẢN LÝ CG'!$A$4:$D$36,4,0),"")</f>
        <v>Lô 28 DP3</v>
      </c>
      <c r="Y774" s="559" t="str">
        <f>IFERROR(VLOOKUP(V774,'NS QUẢN LÝ CG'!$A$4:$C$36,3,0),"")</f>
        <v>0975905267</v>
      </c>
      <c r="Z774" s="532" t="str">
        <f>IFERROR(VLOOKUP(M774,'02. MM-KLH'!$B$6:$T$823,3,0),"")</f>
        <v>A23-CCD-010</v>
      </c>
      <c r="AA774" s="559" t="str">
        <f t="shared" si="50"/>
        <v>DP</v>
      </c>
      <c r="AB774" s="532"/>
      <c r="AC774" s="532"/>
    </row>
    <row r="775" ht="15.75" customHeight="1">
      <c r="A775" s="532"/>
      <c r="B775" s="986" t="str">
        <f>IFERROR(VLOOKUP(M775,'02. MM-KLH'!$B$6:$T$823,6,0),"")</f>
        <v>Máy cắt cỏ trục băm đa năng</v>
      </c>
      <c r="C775" s="566">
        <v>1.0</v>
      </c>
      <c r="D775" s="692" t="str">
        <f>IFERROR(VLOOKUP(M775,'02. MM-KLH'!$B$6:$T$823,16,0),"")</f>
        <v>TL662</v>
      </c>
      <c r="E775" s="692"/>
      <c r="F775" s="561" t="s">
        <v>4158</v>
      </c>
      <c r="G775" s="692"/>
      <c r="H775" s="692" t="str">
        <f>IFERROR(VLOOKUP(M775,'02. MM-KLH'!$B$6:$T$823,17,0),"")</f>
        <v>10HP</v>
      </c>
      <c r="I775" s="987">
        <f>IFERROR(VLOOKUP(M775,'02. MM-KLH'!$B$6:$U$823,20,0),"")</f>
        <v>1.8</v>
      </c>
      <c r="J775" s="986" t="str">
        <f>IFERROR(VLOOKUP(M775,'02. MM-KLH'!$B$6:$T$823,19,0),"")</f>
        <v>GT1000B0012093CD</v>
      </c>
      <c r="K775" s="986" t="str">
        <f>IFERROR(VLOOKUP(M775,'02. MM-KLH'!$B$6:$T$823,18,0),"")</f>
        <v>TL202506014018</v>
      </c>
      <c r="L775" s="692" t="str">
        <f>IFERROR(VLOOKUP(M775,'02. MM-KLH'!$B$6:$T$823,4,0),"")</f>
        <v/>
      </c>
      <c r="M775" s="488" t="s">
        <v>1223</v>
      </c>
      <c r="N775" s="988">
        <f>IFERROR(VLOOKUP(M775,'02. MM-KLH'!$B$6:$T$823,15,0),"")</f>
        <v>2025</v>
      </c>
      <c r="O775" s="989" t="str">
        <f>IFERROR(VLOOKUP(M775,'02. MM-KLH'!$B$6:$T$823,9,0),"")</f>
        <v>25/06/2025</v>
      </c>
      <c r="P775" s="692"/>
      <c r="Q775" s="692"/>
      <c r="R775" s="463" t="s">
        <v>4158</v>
      </c>
      <c r="S775" s="692"/>
      <c r="T775" s="692"/>
      <c r="U775" s="559" t="str">
        <f>IFERROR(VLOOKUP(M775,'02. MM-KLH'!$B$6:$T$823,5,0),"")</f>
        <v>MỚI</v>
      </c>
      <c r="V775" s="532" t="str">
        <f>IFERROR(VLOOKUP(M775,'02. MM-KLH'!$B$6:$T$823,8,0),"")</f>
        <v>XN Chuối DP3</v>
      </c>
      <c r="W775" s="559" t="str">
        <f>IFERROR(VLOOKUP(V775,'NS QUẢN LÝ CG'!$A$4:$D$36,2,0),"")</f>
        <v>Thạch Ngọc Vững</v>
      </c>
      <c r="X775" s="559" t="str">
        <f>IFERROR(VLOOKUP(V775,'NS QUẢN LÝ CG'!$A$4:$D$36,4,0),"")</f>
        <v>Lô 28 DP3</v>
      </c>
      <c r="Y775" s="559" t="str">
        <f>IFERROR(VLOOKUP(V775,'NS QUẢN LÝ CG'!$A$4:$C$36,3,0),"")</f>
        <v>0975905267</v>
      </c>
      <c r="Z775" s="532" t="str">
        <f>IFERROR(VLOOKUP(M775,'02. MM-KLH'!$B$6:$T$823,3,0),"")</f>
        <v>A23-CCD-011</v>
      </c>
      <c r="AA775" s="559" t="str">
        <f t="shared" si="50"/>
        <v>DP</v>
      </c>
      <c r="AB775" s="532"/>
      <c r="AC775" s="532"/>
    </row>
    <row r="776" ht="15.75" customHeight="1">
      <c r="A776" s="532"/>
      <c r="B776" s="986" t="str">
        <f>IFERROR(VLOOKUP(M776,'02. MM-KLH'!$B$6:$T$823,6,0),"")</f>
        <v>Máy cắt cỏ trục băm đa năng</v>
      </c>
      <c r="C776" s="566">
        <v>1.0</v>
      </c>
      <c r="D776" s="692" t="str">
        <f>IFERROR(VLOOKUP(M776,'02. MM-KLH'!$B$6:$T$823,16,0),"")</f>
        <v>TL662</v>
      </c>
      <c r="E776" s="692"/>
      <c r="F776" s="561" t="s">
        <v>4158</v>
      </c>
      <c r="G776" s="692"/>
      <c r="H776" s="692" t="str">
        <f>IFERROR(VLOOKUP(M776,'02. MM-KLH'!$B$6:$T$823,17,0),"")</f>
        <v>10HP</v>
      </c>
      <c r="I776" s="987">
        <f>IFERROR(VLOOKUP(M776,'02. MM-KLH'!$B$6:$U$823,20,0),"")</f>
        <v>1.8</v>
      </c>
      <c r="J776" s="986" t="str">
        <f>IFERROR(VLOOKUP(M776,'02. MM-KLH'!$B$6:$T$823,19,0),"")</f>
        <v>GT1000B0042106CD</v>
      </c>
      <c r="K776" s="986" t="str">
        <f>IFERROR(VLOOKUP(M776,'02. MM-KLH'!$B$6:$T$823,18,0),"")</f>
        <v>TL202506014019</v>
      </c>
      <c r="L776" s="692" t="str">
        <f>IFERROR(VLOOKUP(M776,'02. MM-KLH'!$B$6:$T$823,4,0),"")</f>
        <v/>
      </c>
      <c r="M776" s="488" t="s">
        <v>1227</v>
      </c>
      <c r="N776" s="988">
        <f>IFERROR(VLOOKUP(M776,'02. MM-KLH'!$B$6:$T$823,15,0),"")</f>
        <v>2025</v>
      </c>
      <c r="O776" s="989" t="str">
        <f>IFERROR(VLOOKUP(M776,'02. MM-KLH'!$B$6:$T$823,9,0),"")</f>
        <v>25/06/2025</v>
      </c>
      <c r="P776" s="692"/>
      <c r="Q776" s="692"/>
      <c r="R776" s="463" t="s">
        <v>4158</v>
      </c>
      <c r="S776" s="692"/>
      <c r="T776" s="692"/>
      <c r="U776" s="559" t="str">
        <f>IFERROR(VLOOKUP(M776,'02. MM-KLH'!$B$6:$T$823,5,0),"")</f>
        <v>MỚI</v>
      </c>
      <c r="V776" s="532" t="str">
        <f>IFERROR(VLOOKUP(M776,'02. MM-KLH'!$B$6:$T$823,8,0),"")</f>
        <v>XN Chuối DP3</v>
      </c>
      <c r="W776" s="559" t="str">
        <f>IFERROR(VLOOKUP(V776,'NS QUẢN LÝ CG'!$A$4:$D$36,2,0),"")</f>
        <v>Thạch Ngọc Vững</v>
      </c>
      <c r="X776" s="559" t="str">
        <f>IFERROR(VLOOKUP(V776,'NS QUẢN LÝ CG'!$A$4:$D$36,4,0),"")</f>
        <v>Lô 28 DP3</v>
      </c>
      <c r="Y776" s="559" t="str">
        <f>IFERROR(VLOOKUP(V776,'NS QUẢN LÝ CG'!$A$4:$C$36,3,0),"")</f>
        <v>0975905267</v>
      </c>
      <c r="Z776" s="532" t="str">
        <f>IFERROR(VLOOKUP(M776,'02. MM-KLH'!$B$6:$T$823,3,0),"")</f>
        <v>A23-CCD-012</v>
      </c>
      <c r="AA776" s="559" t="str">
        <f t="shared" si="50"/>
        <v>DP</v>
      </c>
      <c r="AB776" s="532"/>
      <c r="AC776" s="532"/>
    </row>
    <row r="777" ht="15.75" customHeight="1">
      <c r="A777" s="532"/>
      <c r="B777" s="986" t="str">
        <f>IFERROR(VLOOKUP(M777,'02. MM-KLH'!$B$6:$T$823,6,0),"")</f>
        <v>Máy cắt cỏ trục băm đa năng</v>
      </c>
      <c r="C777" s="566">
        <v>1.0</v>
      </c>
      <c r="D777" s="692" t="str">
        <f>IFERROR(VLOOKUP(M777,'02. MM-KLH'!$B$6:$T$823,16,0),"")</f>
        <v>TL663</v>
      </c>
      <c r="E777" s="692"/>
      <c r="F777" s="561" t="s">
        <v>4158</v>
      </c>
      <c r="G777" s="692"/>
      <c r="H777" s="692" t="str">
        <f>IFERROR(VLOOKUP(M777,'02. MM-KLH'!$B$6:$T$823,17,0),"")</f>
        <v>10HP</v>
      </c>
      <c r="I777" s="987">
        <f>IFERROR(VLOOKUP(M777,'02. MM-KLH'!$B$6:$U$823,20,0),"")</f>
        <v>1.8</v>
      </c>
      <c r="J777" s="986" t="str">
        <f>IFERROR(VLOOKUP(M777,'02. MM-KLH'!$B$6:$T$823,19,0),"")</f>
        <v/>
      </c>
      <c r="K777" s="986" t="str">
        <f>IFERROR(VLOOKUP(M777,'02. MM-KLH'!$B$6:$T$823,18,0),"")</f>
        <v>TL20250901606
</v>
      </c>
      <c r="L777" s="692" t="str">
        <f>IFERROR(VLOOKUP(M777,'02. MM-KLH'!$B$6:$T$823,4,0),"")</f>
        <v/>
      </c>
      <c r="M777" s="488" t="s">
        <v>1231</v>
      </c>
      <c r="N777" s="988">
        <f>IFERROR(VLOOKUP(M777,'02. MM-KLH'!$B$6:$T$823,15,0),"")</f>
        <v>2025</v>
      </c>
      <c r="O777" s="989" t="str">
        <f>IFERROR(VLOOKUP(M777,'02. MM-KLH'!$B$6:$T$823,9,0),"")</f>
        <v>13/03/2026</v>
      </c>
      <c r="P777" s="692"/>
      <c r="Q777" s="692"/>
      <c r="R777" s="463" t="s">
        <v>4158</v>
      </c>
      <c r="S777" s="692"/>
      <c r="T777" s="692"/>
      <c r="U777" s="559" t="str">
        <f>IFERROR(VLOOKUP(M777,'02. MM-KLH'!$B$6:$T$823,5,0),"")</f>
        <v>MỚI</v>
      </c>
      <c r="V777" s="532" t="str">
        <f>IFERROR(VLOOKUP(M777,'02. MM-KLH'!$B$6:$T$823,8,0),"")</f>
        <v>XN Chuối DP3</v>
      </c>
      <c r="W777" s="559" t="str">
        <f>IFERROR(VLOOKUP(V777,'NS QUẢN LÝ CG'!$A$4:$D$36,2,0),"")</f>
        <v>Thạch Ngọc Vững</v>
      </c>
      <c r="X777" s="559" t="str">
        <f>IFERROR(VLOOKUP(V777,'NS QUẢN LÝ CG'!$A$4:$D$36,4,0),"")</f>
        <v>Lô 28 DP3</v>
      </c>
      <c r="Y777" s="559" t="str">
        <f>IFERROR(VLOOKUP(V777,'NS QUẢN LÝ CG'!$A$4:$C$36,3,0),"")</f>
        <v>0975905267</v>
      </c>
      <c r="Z777" s="532" t="str">
        <f>IFERROR(VLOOKUP(M777,'02. MM-KLH'!$B$6:$T$823,3,0),"")</f>
        <v/>
      </c>
      <c r="AA777" s="559" t="str">
        <f t="shared" si="50"/>
        <v/>
      </c>
      <c r="AB777" s="532"/>
      <c r="AC777" s="532"/>
    </row>
    <row r="778" ht="15.75" customHeight="1">
      <c r="A778" s="532"/>
      <c r="B778" s="986" t="str">
        <f>IFERROR(VLOOKUP(M778,'02. MM-KLH'!$B$6:$T$823,6,0),"")</f>
        <v>Máy cắt cỏ trục băm đa năng</v>
      </c>
      <c r="C778" s="566">
        <v>1.0</v>
      </c>
      <c r="D778" s="692" t="str">
        <f>IFERROR(VLOOKUP(M778,'02. MM-KLH'!$B$6:$T$823,16,0),"")</f>
        <v>TL663</v>
      </c>
      <c r="E778" s="692"/>
      <c r="F778" s="561" t="s">
        <v>4158</v>
      </c>
      <c r="G778" s="692"/>
      <c r="H778" s="692" t="str">
        <f>IFERROR(VLOOKUP(M778,'02. MM-KLH'!$B$6:$T$823,17,0),"")</f>
        <v>10HP</v>
      </c>
      <c r="I778" s="987">
        <f>IFERROR(VLOOKUP(M778,'02. MM-KLH'!$B$6:$U$823,20,0),"")</f>
        <v>1.8</v>
      </c>
      <c r="J778" s="986" t="str">
        <f>IFERROR(VLOOKUP(M778,'02. MM-KLH'!$B$6:$T$823,19,0),"")</f>
        <v/>
      </c>
      <c r="K778" s="986" t="str">
        <f>IFERROR(VLOOKUP(M778,'02. MM-KLH'!$B$6:$T$823,18,0),"")</f>
        <v>TL202501201501</v>
      </c>
      <c r="L778" s="692" t="str">
        <f>IFERROR(VLOOKUP(M778,'02. MM-KLH'!$B$6:$T$823,4,0),"")</f>
        <v/>
      </c>
      <c r="M778" s="488" t="s">
        <v>1237</v>
      </c>
      <c r="N778" s="988">
        <f>IFERROR(VLOOKUP(M778,'02. MM-KLH'!$B$6:$T$823,15,0),"")</f>
        <v>2025</v>
      </c>
      <c r="O778" s="989" t="str">
        <f>IFERROR(VLOOKUP(M778,'02. MM-KLH'!$B$6:$T$823,9,0),"")</f>
        <v>13/03/2026</v>
      </c>
      <c r="P778" s="692"/>
      <c r="Q778" s="692"/>
      <c r="R778" s="463" t="s">
        <v>4158</v>
      </c>
      <c r="S778" s="692"/>
      <c r="T778" s="692"/>
      <c r="U778" s="559" t="str">
        <f>IFERROR(VLOOKUP(M778,'02. MM-KLH'!$B$6:$T$823,5,0),"")</f>
        <v>MỚI</v>
      </c>
      <c r="V778" s="532" t="str">
        <f>IFERROR(VLOOKUP(M778,'02. MM-KLH'!$B$6:$T$823,8,0),"")</f>
        <v>XN Chuối DP3</v>
      </c>
      <c r="W778" s="559" t="str">
        <f>IFERROR(VLOOKUP(V778,'NS QUẢN LÝ CG'!$A$4:$D$36,2,0),"")</f>
        <v>Thạch Ngọc Vững</v>
      </c>
      <c r="X778" s="559" t="str">
        <f>IFERROR(VLOOKUP(V778,'NS QUẢN LÝ CG'!$A$4:$D$36,4,0),"")</f>
        <v>Lô 28 DP3</v>
      </c>
      <c r="Y778" s="559" t="str">
        <f>IFERROR(VLOOKUP(V778,'NS QUẢN LÝ CG'!$A$4:$C$36,3,0),"")</f>
        <v>0975905267</v>
      </c>
      <c r="Z778" s="532" t="str">
        <f>IFERROR(VLOOKUP(M778,'02. MM-KLH'!$B$6:$T$823,3,0),"")</f>
        <v/>
      </c>
      <c r="AA778" s="559" t="str">
        <f t="shared" si="50"/>
        <v/>
      </c>
      <c r="AB778" s="532"/>
      <c r="AC778" s="532"/>
    </row>
    <row r="779" ht="15.75" customHeight="1">
      <c r="A779" s="532"/>
      <c r="B779" s="986" t="str">
        <f>IFERROR(VLOOKUP(M779,'02. MM-KLH'!$B$6:$T$823,6,0),"")</f>
        <v>Máy xới đất 7.5HP</v>
      </c>
      <c r="C779" s="566">
        <v>1.0</v>
      </c>
      <c r="D779" s="692" t="str">
        <f>IFERROR(VLOOKUP(M779,'02. MM-KLH'!$B$6:$T$823,16,0),"")</f>
        <v>SR1Z-75</v>
      </c>
      <c r="E779" s="561" t="s">
        <v>4158</v>
      </c>
      <c r="F779" s="692"/>
      <c r="G779" s="692"/>
      <c r="H779" s="692" t="str">
        <f>IFERROR(VLOOKUP(M779,'02. MM-KLH'!$B$6:$T$823,17,0),"")</f>
        <v>7.5HP</v>
      </c>
      <c r="I779" s="987" t="str">
        <f>IFERROR(VLOOKUP(M779,'02. MM-KLH'!$B$6:$U$823,20,0),"")</f>
        <v/>
      </c>
      <c r="J779" s="986" t="str">
        <f>IFERROR(VLOOKUP(M779,'02. MM-KLH'!$B$6:$T$823,19,0),"")</f>
        <v>00E534AT0852</v>
      </c>
      <c r="K779" s="986">
        <f>IFERROR(VLOOKUP(M779,'02. MM-KLH'!$B$6:$T$823,18,0),"")</f>
        <v>2505401193</v>
      </c>
      <c r="L779" s="692" t="str">
        <f>IFERROR(VLOOKUP(M779,'02. MM-KLH'!$B$6:$T$823,4,0),"")</f>
        <v/>
      </c>
      <c r="M779" s="488" t="s">
        <v>1239</v>
      </c>
      <c r="N779" s="988">
        <f>IFERROR(VLOOKUP(M779,'02. MM-KLH'!$B$6:$T$823,15,0),"")</f>
        <v>2025</v>
      </c>
      <c r="O779" s="989" t="str">
        <f>IFERROR(VLOOKUP(M779,'02. MM-KLH'!$B$6:$T$823,9,0),"")</f>
        <v>13/03/2026</v>
      </c>
      <c r="P779" s="692"/>
      <c r="Q779" s="692"/>
      <c r="R779" s="463" t="s">
        <v>4158</v>
      </c>
      <c r="S779" s="692"/>
      <c r="T779" s="692"/>
      <c r="U779" s="559" t="str">
        <f>IFERROR(VLOOKUP(M779,'02. MM-KLH'!$B$6:$T$823,5,0),"")</f>
        <v>MỚI</v>
      </c>
      <c r="V779" s="532" t="str">
        <f>IFERROR(VLOOKUP(M779,'02. MM-KLH'!$B$6:$T$823,8,0),"")</f>
        <v>XN Chuối DP3</v>
      </c>
      <c r="W779" s="559" t="str">
        <f>IFERROR(VLOOKUP(V779,'NS QUẢN LÝ CG'!$A$4:$D$36,2,0),"")</f>
        <v>Thạch Ngọc Vững</v>
      </c>
      <c r="X779" s="559" t="str">
        <f>IFERROR(VLOOKUP(V779,'NS QUẢN LÝ CG'!$A$4:$D$36,4,0),"")</f>
        <v>Lô 28 DP3</v>
      </c>
      <c r="Y779" s="559" t="str">
        <f>IFERROR(VLOOKUP(V779,'NS QUẢN LÝ CG'!$A$4:$C$36,3,0),"")</f>
        <v>0975905267</v>
      </c>
      <c r="Z779" s="532" t="str">
        <f>IFERROR(VLOOKUP(M779,'02. MM-KLH'!$B$6:$T$823,3,0),"")</f>
        <v/>
      </c>
      <c r="AA779" s="559" t="str">
        <f t="shared" si="50"/>
        <v/>
      </c>
      <c r="AB779" s="532"/>
      <c r="AC779" s="532"/>
    </row>
    <row r="780" ht="15.75" customHeight="1">
      <c r="A780" s="532"/>
      <c r="B780" s="986" t="str">
        <f>IFERROR(VLOOKUP(M780,'02. MM-KLH'!$B$6:$T$823,6,0),"")</f>
        <v>Máy xới đất 7.5HP</v>
      </c>
      <c r="C780" s="566">
        <v>1.0</v>
      </c>
      <c r="D780" s="692" t="str">
        <f>IFERROR(VLOOKUP(M780,'02. MM-KLH'!$B$6:$T$823,16,0),"")</f>
        <v>SR1Z-75</v>
      </c>
      <c r="E780" s="561" t="s">
        <v>4158</v>
      </c>
      <c r="F780" s="692"/>
      <c r="G780" s="692"/>
      <c r="H780" s="692" t="str">
        <f>IFERROR(VLOOKUP(M780,'02. MM-KLH'!$B$6:$T$823,17,0),"")</f>
        <v>7.5HP</v>
      </c>
      <c r="I780" s="987" t="str">
        <f>IFERROR(VLOOKUP(M780,'02. MM-KLH'!$B$6:$U$823,20,0),"")</f>
        <v/>
      </c>
      <c r="J780" s="986" t="str">
        <f>IFERROR(VLOOKUP(M780,'02. MM-KLH'!$B$6:$T$823,19,0),"")</f>
        <v>00E534AT0827</v>
      </c>
      <c r="K780" s="986">
        <f>IFERROR(VLOOKUP(M780,'02. MM-KLH'!$B$6:$T$823,18,0),"")</f>
        <v>2505401175</v>
      </c>
      <c r="L780" s="692" t="str">
        <f>IFERROR(VLOOKUP(M780,'02. MM-KLH'!$B$6:$T$823,4,0),"")</f>
        <v/>
      </c>
      <c r="M780" s="488" t="s">
        <v>1245</v>
      </c>
      <c r="N780" s="988">
        <f>IFERROR(VLOOKUP(M780,'02. MM-KLH'!$B$6:$T$823,15,0),"")</f>
        <v>2025</v>
      </c>
      <c r="O780" s="989" t="str">
        <f>IFERROR(VLOOKUP(M780,'02. MM-KLH'!$B$6:$T$823,9,0),"")</f>
        <v>13/03/2026</v>
      </c>
      <c r="P780" s="692"/>
      <c r="Q780" s="692"/>
      <c r="R780" s="463"/>
      <c r="S780" s="463" t="s">
        <v>4158</v>
      </c>
      <c r="T780" s="692"/>
      <c r="U780" s="559" t="str">
        <f>IFERROR(VLOOKUP(M780,'02. MM-KLH'!$B$6:$T$823,5,0),"")</f>
        <v>MỚI</v>
      </c>
      <c r="V780" s="532" t="str">
        <f>IFERROR(VLOOKUP(M780,'02. MM-KLH'!$B$6:$T$823,8,0),"")</f>
        <v>XN Chuối DP3</v>
      </c>
      <c r="W780" s="559" t="str">
        <f>IFERROR(VLOOKUP(V780,'NS QUẢN LÝ CG'!$A$4:$D$36,2,0),"")</f>
        <v>Thạch Ngọc Vững</v>
      </c>
      <c r="X780" s="559" t="str">
        <f>IFERROR(VLOOKUP(V780,'NS QUẢN LÝ CG'!$A$4:$D$36,4,0),"")</f>
        <v>Lô 28 DP3</v>
      </c>
      <c r="Y780" s="559" t="str">
        <f>IFERROR(VLOOKUP(V780,'NS QUẢN LÝ CG'!$A$4:$C$36,3,0),"")</f>
        <v>0975905267</v>
      </c>
      <c r="Z780" s="532" t="str">
        <f>IFERROR(VLOOKUP(M780,'02. MM-KLH'!$B$6:$T$823,3,0),"")</f>
        <v/>
      </c>
      <c r="AA780" s="559" t="str">
        <f t="shared" si="50"/>
        <v/>
      </c>
      <c r="AB780" s="532"/>
      <c r="AC780" s="532"/>
    </row>
    <row r="781" ht="15.75" customHeight="1">
      <c r="A781" s="532"/>
      <c r="B781" s="986" t="str">
        <f>IFERROR(VLOOKUP(M781,'02. MM-KLH'!$B$6:$T$823,6,0),"")</f>
        <v>Xe máy</v>
      </c>
      <c r="C781" s="566">
        <v>1.0</v>
      </c>
      <c r="D781" s="692" t="str">
        <f>IFERROR(VLOOKUP(M781,'02. MM-KLH'!$B$6:$T$823,16,0),"")</f>
        <v>WAVE A</v>
      </c>
      <c r="E781" s="692"/>
      <c r="F781" s="561" t="s">
        <v>4158</v>
      </c>
      <c r="G781" s="692"/>
      <c r="H781" s="692" t="str">
        <f>IFERROR(VLOOKUP(M781,'02. MM-KLH'!$B$6:$T$823,17,0),"")</f>
        <v>110CC</v>
      </c>
      <c r="I781" s="987" t="str">
        <f>IFERROR(VLOOKUP(M781,'02. MM-KLH'!$B$6:$U$823,20,0),"")</f>
        <v/>
      </c>
      <c r="J781" s="986" t="str">
        <f>IFERROR(VLOOKUP(M781,'02. MM-KLH'!$B$6:$T$823,19,0),"")</f>
        <v>JA39E-1004932</v>
      </c>
      <c r="K781" s="986" t="str">
        <f>IFERROR(VLOOKUP(M781,'02. MM-KLH'!$B$6:$T$823,18,0),"")</f>
        <v>RLHJA3912KY147682</v>
      </c>
      <c r="L781" s="692" t="str">
        <f>IFERROR(VLOOKUP(M781,'02. MM-KLH'!$B$6:$T$823,4,0),"")</f>
        <v/>
      </c>
      <c r="M781" s="488" t="s">
        <v>2843</v>
      </c>
      <c r="N781" s="988" t="str">
        <f>IFERROR(VLOOKUP(M781,'02. MM-KLH'!$B$6:$T$823,15,0),"")</f>
        <v/>
      </c>
      <c r="O781" s="989">
        <f>IFERROR(VLOOKUP(M781,'02. MM-KLH'!$B$6:$T$823,9,0),"")</f>
        <v>45058</v>
      </c>
      <c r="P781" s="692"/>
      <c r="Q781" s="692"/>
      <c r="R781" s="463"/>
      <c r="S781" s="463" t="s">
        <v>4158</v>
      </c>
      <c r="T781" s="692"/>
      <c r="U781" s="559" t="str">
        <f>IFERROR(VLOOKUP(M781,'02. MM-KLH'!$B$6:$T$823,5,0),"")</f>
        <v>ĐQSD</v>
      </c>
      <c r="V781" s="532" t="str">
        <f>IFERROR(VLOOKUP(M781,'02. MM-KLH'!$B$6:$T$823,8,0),"")</f>
        <v>BAN CG-CK &amp; SXCN</v>
      </c>
      <c r="W781" s="559" t="str">
        <f>IFERROR(VLOOKUP(V781,'NS QUẢN LÝ CG'!$A$4:$D$36,2,0),"")</f>
        <v/>
      </c>
      <c r="X781" s="559" t="str">
        <f>IFERROR(VLOOKUP(V781,'NS QUẢN LÝ CG'!$A$4:$D$36,4,0),"")</f>
        <v/>
      </c>
      <c r="Y781" s="559" t="str">
        <f>IFERROR(VLOOKUP(V781,'NS QUẢN LÝ CG'!$A$4:$C$36,3,0),"")</f>
        <v/>
      </c>
      <c r="Z781" s="532" t="str">
        <f>IFERROR(VLOOKUP(M781,'02. MM-KLH'!$B$6:$T$823,3,0),"")</f>
        <v>A22-XMA-001</v>
      </c>
      <c r="AA781" s="559" t="str">
        <f t="shared" si="50"/>
        <v>ADM</v>
      </c>
      <c r="AB781" s="532"/>
      <c r="AC781" s="532"/>
    </row>
    <row r="782" ht="15.75" customHeight="1">
      <c r="A782" s="532"/>
      <c r="B782" s="986" t="str">
        <f>IFERROR(VLOOKUP(M782,'02. MM-KLH'!$B$6:$T$823,6,0),"")</f>
        <v>Xe máy</v>
      </c>
      <c r="C782" s="566">
        <v>1.0</v>
      </c>
      <c r="D782" s="692" t="str">
        <f>IFERROR(VLOOKUP(M782,'02. MM-KLH'!$B$6:$T$823,16,0),"")</f>
        <v>WAVE A</v>
      </c>
      <c r="E782" s="692"/>
      <c r="F782" s="561" t="s">
        <v>4158</v>
      </c>
      <c r="G782" s="692"/>
      <c r="H782" s="692" t="str">
        <f>IFERROR(VLOOKUP(M782,'02. MM-KLH'!$B$6:$T$823,17,0),"")</f>
        <v>110CC</v>
      </c>
      <c r="I782" s="987" t="str">
        <f>IFERROR(VLOOKUP(M782,'02. MM-KLH'!$B$6:$U$823,20,0),"")</f>
        <v/>
      </c>
      <c r="J782" s="986" t="str">
        <f>IFERROR(VLOOKUP(M782,'02. MM-KLH'!$B$6:$T$823,19,0),"")</f>
        <v>JA39E-1038313</v>
      </c>
      <c r="K782" s="986" t="str">
        <f>IFERROR(VLOOKUP(M782,'02. MM-KLH'!$B$6:$T$823,18,0),"")</f>
        <v>RLHJAG912KY180667</v>
      </c>
      <c r="L782" s="692" t="str">
        <f>IFERROR(VLOOKUP(M782,'02. MM-KLH'!$B$6:$T$823,4,0),"")</f>
        <v/>
      </c>
      <c r="M782" s="488" t="s">
        <v>2851</v>
      </c>
      <c r="N782" s="988" t="str">
        <f>IFERROR(VLOOKUP(M782,'02. MM-KLH'!$B$6:$T$823,15,0),"")</f>
        <v/>
      </c>
      <c r="O782" s="989" t="str">
        <f>IFERROR(VLOOKUP(M782,'02. MM-KLH'!$B$6:$T$823,9,0),"")</f>
        <v/>
      </c>
      <c r="P782" s="692"/>
      <c r="Q782" s="692"/>
      <c r="R782" s="463" t="s">
        <v>4158</v>
      </c>
      <c r="S782" s="692"/>
      <c r="T782" s="692"/>
      <c r="U782" s="559" t="str">
        <f>IFERROR(VLOOKUP(M782,'02. MM-KLH'!$B$6:$T$823,5,0),"")</f>
        <v>ĐQSD</v>
      </c>
      <c r="V782" s="532" t="str">
        <f>IFERROR(VLOOKUP(M782,'02. MM-KLH'!$B$6:$T$823,8,0),"")</f>
        <v>BAN CG-CK &amp; SXCN</v>
      </c>
      <c r="W782" s="559" t="str">
        <f>IFERROR(VLOOKUP(V782,'NS QUẢN LÝ CG'!$A$4:$D$36,2,0),"")</f>
        <v/>
      </c>
      <c r="X782" s="559" t="str">
        <f>IFERROR(VLOOKUP(V782,'NS QUẢN LÝ CG'!$A$4:$D$36,4,0),"")</f>
        <v/>
      </c>
      <c r="Y782" s="559" t="str">
        <f>IFERROR(VLOOKUP(V782,'NS QUẢN LÝ CG'!$A$4:$C$36,3,0),"")</f>
        <v/>
      </c>
      <c r="Z782" s="532" t="str">
        <f>IFERROR(VLOOKUP(M782,'02. MM-KLH'!$B$6:$T$823,3,0),"")</f>
        <v>A22-XMA-002</v>
      </c>
      <c r="AA782" s="559" t="str">
        <f t="shared" si="50"/>
        <v>ADM</v>
      </c>
      <c r="AB782" s="532"/>
      <c r="AC782" s="532"/>
    </row>
    <row r="783" ht="15.75" customHeight="1">
      <c r="A783" s="532"/>
      <c r="B783" s="986" t="str">
        <f>IFERROR(VLOOKUP(M783,'02. MM-KLH'!$B$6:$T$823,6,0),"")</f>
        <v>Xe máy</v>
      </c>
      <c r="C783" s="566">
        <v>1.0</v>
      </c>
      <c r="D783" s="692" t="str">
        <f>IFERROR(VLOOKUP(M783,'02. MM-KLH'!$B$6:$T$823,16,0),"")</f>
        <v>WAVE A</v>
      </c>
      <c r="E783" s="692"/>
      <c r="F783" s="561" t="s">
        <v>4158</v>
      </c>
      <c r="G783" s="692"/>
      <c r="H783" s="692" t="str">
        <f>IFERROR(VLOOKUP(M783,'02. MM-KLH'!$B$6:$T$823,17,0),"")</f>
        <v>110CC</v>
      </c>
      <c r="I783" s="987" t="str">
        <f>IFERROR(VLOOKUP(M783,'02. MM-KLH'!$B$6:$U$823,20,0),"")</f>
        <v/>
      </c>
      <c r="J783" s="986" t="str">
        <f>IFERROR(VLOOKUP(M783,'02. MM-KLH'!$B$6:$T$823,19,0),"")</f>
        <v>JA39E-0414593</v>
      </c>
      <c r="K783" s="986" t="str">
        <f>IFERROR(VLOOKUP(M783,'02. MM-KLH'!$B$6:$T$823,18,0),"")</f>
        <v>CCN</v>
      </c>
      <c r="L783" s="692" t="str">
        <f>IFERROR(VLOOKUP(M783,'02. MM-KLH'!$B$6:$T$823,4,0),"")</f>
        <v/>
      </c>
      <c r="M783" s="488" t="s">
        <v>2855</v>
      </c>
      <c r="N783" s="988" t="str">
        <f>IFERROR(VLOOKUP(M783,'02. MM-KLH'!$B$6:$T$823,15,0),"")</f>
        <v/>
      </c>
      <c r="O783" s="989" t="str">
        <f>IFERROR(VLOOKUP(M783,'02. MM-KLH'!$B$6:$T$823,9,0),"")</f>
        <v/>
      </c>
      <c r="P783" s="692"/>
      <c r="Q783" s="692"/>
      <c r="R783" s="463" t="s">
        <v>4158</v>
      </c>
      <c r="S783" s="692"/>
      <c r="T783" s="692"/>
      <c r="U783" s="559" t="str">
        <f>IFERROR(VLOOKUP(M783,'02. MM-KLH'!$B$6:$T$823,5,0),"")</f>
        <v>ĐQSD</v>
      </c>
      <c r="V783" s="532" t="str">
        <f>IFERROR(VLOOKUP(M783,'02. MM-KLH'!$B$6:$T$823,8,0),"")</f>
        <v>BAN CG-CK &amp; SXCN</v>
      </c>
      <c r="W783" s="559" t="str">
        <f>IFERROR(VLOOKUP(V783,'NS QUẢN LÝ CG'!$A$4:$D$36,2,0),"")</f>
        <v/>
      </c>
      <c r="X783" s="559" t="str">
        <f>IFERROR(VLOOKUP(V783,'NS QUẢN LÝ CG'!$A$4:$D$36,4,0),"")</f>
        <v/>
      </c>
      <c r="Y783" s="559" t="str">
        <f>IFERROR(VLOOKUP(V783,'NS QUẢN LÝ CG'!$A$4:$C$36,3,0),"")</f>
        <v/>
      </c>
      <c r="Z783" s="532" t="str">
        <f>IFERROR(VLOOKUP(M783,'02. MM-KLH'!$B$6:$T$823,3,0),"")</f>
        <v>A22-XMA-003</v>
      </c>
      <c r="AA783" s="559" t="str">
        <f t="shared" si="50"/>
        <v>ADM</v>
      </c>
      <c r="AB783" s="532"/>
      <c r="AC783" s="532"/>
    </row>
    <row r="784" ht="15.75" customHeight="1">
      <c r="A784" s="532"/>
      <c r="B784" s="986" t="str">
        <f>IFERROR(VLOOKUP(M784,'02. MM-KLH'!$B$6:$T$823,6,0),"")</f>
        <v>Xe máy</v>
      </c>
      <c r="C784" s="566">
        <v>1.0</v>
      </c>
      <c r="D784" s="692" t="str">
        <f>IFERROR(VLOOKUP(M784,'02. MM-KLH'!$B$6:$T$823,16,0),"")</f>
        <v>WAVE A</v>
      </c>
      <c r="E784" s="692"/>
      <c r="F784" s="561" t="s">
        <v>4158</v>
      </c>
      <c r="G784" s="692"/>
      <c r="H784" s="692" t="str">
        <f>IFERROR(VLOOKUP(M784,'02. MM-KLH'!$B$6:$T$823,17,0),"")</f>
        <v>110CC</v>
      </c>
      <c r="I784" s="987" t="str">
        <f>IFERROR(VLOOKUP(M784,'02. MM-KLH'!$B$6:$U$823,20,0),"")</f>
        <v/>
      </c>
      <c r="J784" s="986" t="str">
        <f>IFERROR(VLOOKUP(M784,'02. MM-KLH'!$B$6:$T$823,19,0),"")</f>
        <v>JA39E-1190180</v>
      </c>
      <c r="K784" s="986" t="str">
        <f>IFERROR(VLOOKUP(M784,'02. MM-KLH'!$B$6:$T$823,18,0),"")</f>
        <v>RLHJA3914KY-216158</v>
      </c>
      <c r="L784" s="692" t="str">
        <f>IFERROR(VLOOKUP(M784,'02. MM-KLH'!$B$6:$T$823,4,0),"")</f>
        <v/>
      </c>
      <c r="M784" s="488" t="s">
        <v>2859</v>
      </c>
      <c r="N784" s="988" t="str">
        <f>IFERROR(VLOOKUP(M784,'02. MM-KLH'!$B$6:$T$823,15,0),"")</f>
        <v/>
      </c>
      <c r="O784" s="989">
        <f>IFERROR(VLOOKUP(M784,'02. MM-KLH'!$B$6:$T$823,9,0),"")</f>
        <v>45841</v>
      </c>
      <c r="P784" s="692"/>
      <c r="Q784" s="692"/>
      <c r="R784" s="463" t="s">
        <v>4158</v>
      </c>
      <c r="S784" s="692"/>
      <c r="T784" s="692"/>
      <c r="U784" s="559" t="str">
        <f>IFERROR(VLOOKUP(M784,'02. MM-KLH'!$B$6:$T$823,5,0),"")</f>
        <v>ĐQSD</v>
      </c>
      <c r="V784" s="532" t="str">
        <f>IFERROR(VLOOKUP(M784,'02. MM-KLH'!$B$6:$T$823,8,0),"")</f>
        <v>BAN CG-CK &amp; SXCN</v>
      </c>
      <c r="W784" s="559" t="str">
        <f>IFERROR(VLOOKUP(V784,'NS QUẢN LÝ CG'!$A$4:$D$36,2,0),"")</f>
        <v/>
      </c>
      <c r="X784" s="559" t="str">
        <f>IFERROR(VLOOKUP(V784,'NS QUẢN LÝ CG'!$A$4:$D$36,4,0),"")</f>
        <v/>
      </c>
      <c r="Y784" s="559" t="str">
        <f>IFERROR(VLOOKUP(V784,'NS QUẢN LÝ CG'!$A$4:$C$36,3,0),"")</f>
        <v/>
      </c>
      <c r="Z784" s="532" t="str">
        <f>IFERROR(VLOOKUP(M784,'02. MM-KLH'!$B$6:$T$823,3,0),"")</f>
        <v>TOL-A22-0795</v>
      </c>
      <c r="AA784" s="559" t="str">
        <f t="shared" si="50"/>
        <v/>
      </c>
      <c r="AB784" s="532"/>
      <c r="AC784" s="532"/>
    </row>
    <row r="785" ht="15.75" customHeight="1">
      <c r="A785" s="532"/>
      <c r="B785" s="986" t="str">
        <f>IFERROR(VLOOKUP(M785,'02. MM-KLH'!$B$6:$T$823,6,0),"")</f>
        <v>Xe tải Libero</v>
      </c>
      <c r="C785" s="566">
        <v>1.0</v>
      </c>
      <c r="D785" s="692" t="str">
        <f>IFERROR(VLOOKUP(M785,'02. MM-KLH'!$B$6:$T$823,16,0),"")</f>
        <v/>
      </c>
      <c r="E785" s="561" t="s">
        <v>4158</v>
      </c>
      <c r="F785" s="692"/>
      <c r="G785" s="692"/>
      <c r="H785" s="692" t="str">
        <f>IFERROR(VLOOKUP(M785,'02. MM-KLH'!$B$6:$T$823,17,0),"")</f>
        <v/>
      </c>
      <c r="I785" s="987" t="str">
        <f>IFERROR(VLOOKUP(M785,'02. MM-KLH'!$B$6:$U$823,20,0),"")</f>
        <v/>
      </c>
      <c r="J785" s="986" t="str">
        <f>IFERROR(VLOOKUP(M785,'02. MM-KLH'!$B$6:$T$823,19,0),"")</f>
        <v>CCN</v>
      </c>
      <c r="K785" s="986" t="str">
        <f>IFERROR(VLOOKUP(M785,'02. MM-KLH'!$B$6:$T$823,18,0),"")</f>
        <v>KMFYKS7HP3U039257</v>
      </c>
      <c r="L785" s="692" t="str">
        <f>IFERROR(VLOOKUP(M785,'02. MM-KLH'!$B$6:$T$823,4,0),"")</f>
        <v>2A-4453</v>
      </c>
      <c r="M785" s="488" t="s">
        <v>2865</v>
      </c>
      <c r="N785" s="988" t="str">
        <f>IFERROR(VLOOKUP(M785,'02. MM-KLH'!$B$6:$T$823,15,0),"")</f>
        <v/>
      </c>
      <c r="O785" s="989" t="str">
        <f>IFERROR(VLOOKUP(M785,'02. MM-KLH'!$B$6:$T$823,9,0),"")</f>
        <v/>
      </c>
      <c r="P785" s="692"/>
      <c r="Q785" s="692"/>
      <c r="R785" s="463" t="s">
        <v>4158</v>
      </c>
      <c r="S785" s="692"/>
      <c r="T785" s="692"/>
      <c r="U785" s="559" t="str">
        <f>IFERROR(VLOOKUP(M785,'02. MM-KLH'!$B$6:$T$823,5,0),"")</f>
        <v>ĐQSD</v>
      </c>
      <c r="V785" s="532" t="str">
        <f>IFERROR(VLOOKUP(M785,'02. MM-KLH'!$B$6:$T$823,8,0),"")</f>
        <v>BAN CG-CK &amp; SXCN</v>
      </c>
      <c r="W785" s="559" t="str">
        <f>IFERROR(VLOOKUP(V785,'NS QUẢN LÝ CG'!$A$4:$D$36,2,0),"")</f>
        <v/>
      </c>
      <c r="X785" s="559" t="str">
        <f>IFERROR(VLOOKUP(V785,'NS QUẢN LÝ CG'!$A$4:$D$36,4,0),"")</f>
        <v/>
      </c>
      <c r="Y785" s="559" t="str">
        <f>IFERROR(VLOOKUP(V785,'NS QUẢN LÝ CG'!$A$4:$C$36,3,0),"")</f>
        <v/>
      </c>
      <c r="Z785" s="532" t="str">
        <f>IFERROR(VLOOKUP(M785,'02. MM-KLH'!$B$6:$T$823,3,0),"")</f>
        <v>A22-LBR-001</v>
      </c>
      <c r="AA785" s="559" t="str">
        <f t="shared" si="50"/>
        <v>ADM</v>
      </c>
      <c r="AB785" s="532"/>
      <c r="AC785" s="532"/>
    </row>
    <row r="786" ht="15.75" customHeight="1">
      <c r="A786" s="532"/>
      <c r="B786" s="986" t="str">
        <f>IFERROR(VLOOKUP(M786,'02. MM-KLH'!$B$6:$T$823,6,0),"")</f>
        <v>Xe tải Libero</v>
      </c>
      <c r="C786" s="566">
        <v>1.0</v>
      </c>
      <c r="D786" s="692" t="str">
        <f>IFERROR(VLOOKUP(M786,'02. MM-KLH'!$B$6:$T$823,16,0),"")</f>
        <v/>
      </c>
      <c r="E786" s="561" t="s">
        <v>4158</v>
      </c>
      <c r="F786" s="692"/>
      <c r="G786" s="692"/>
      <c r="H786" s="692" t="str">
        <f>IFERROR(VLOOKUP(M786,'02. MM-KLH'!$B$6:$T$823,17,0),"")</f>
        <v/>
      </c>
      <c r="I786" s="987" t="str">
        <f>IFERROR(VLOOKUP(M786,'02. MM-KLH'!$B$6:$U$823,20,0),"")</f>
        <v/>
      </c>
      <c r="J786" s="986" t="str">
        <f>IFERROR(VLOOKUP(M786,'02. MM-KLH'!$B$6:$T$823,19,0),"")</f>
        <v/>
      </c>
      <c r="K786" s="986" t="str">
        <f>IFERROR(VLOOKUP(M786,'02. MM-KLH'!$B$6:$T$823,18,0),"")</f>
        <v/>
      </c>
      <c r="L786" s="692" t="str">
        <f>IFERROR(VLOOKUP(M786,'02. MM-KLH'!$B$6:$T$823,4,0),"")</f>
        <v>2A-0834</v>
      </c>
      <c r="M786" s="488" t="s">
        <v>2870</v>
      </c>
      <c r="N786" s="988" t="str">
        <f>IFERROR(VLOOKUP(M786,'02. MM-KLH'!$B$6:$T$823,15,0),"")</f>
        <v/>
      </c>
      <c r="O786" s="989">
        <f>IFERROR(VLOOKUP(M786,'02. MM-KLH'!$B$6:$T$823,9,0),"")</f>
        <v>45636</v>
      </c>
      <c r="P786" s="692"/>
      <c r="Q786" s="692"/>
      <c r="R786" s="463" t="s">
        <v>4158</v>
      </c>
      <c r="S786" s="692"/>
      <c r="T786" s="692"/>
      <c r="U786" s="559" t="str">
        <f>IFERROR(VLOOKUP(M786,'02. MM-KLH'!$B$6:$T$823,5,0),"")</f>
        <v>ĐQSD</v>
      </c>
      <c r="V786" s="532" t="str">
        <f>IFERROR(VLOOKUP(M786,'02. MM-KLH'!$B$6:$T$823,8,0),"")</f>
        <v>BAN CG-CK &amp; SXCN</v>
      </c>
      <c r="W786" s="559" t="str">
        <f>IFERROR(VLOOKUP(V786,'NS QUẢN LÝ CG'!$A$4:$D$36,2,0),"")</f>
        <v/>
      </c>
      <c r="X786" s="559" t="str">
        <f>IFERROR(VLOOKUP(V786,'NS QUẢN LÝ CG'!$A$4:$D$36,4,0),"")</f>
        <v/>
      </c>
      <c r="Y786" s="559" t="str">
        <f>IFERROR(VLOOKUP(V786,'NS QUẢN LÝ CG'!$A$4:$C$36,3,0),"")</f>
        <v/>
      </c>
      <c r="Z786" s="532" t="str">
        <f>IFERROR(VLOOKUP(M786,'02. MM-KLH'!$B$6:$T$823,3,0),"")</f>
        <v>A22-LBR-002</v>
      </c>
      <c r="AA786" s="559" t="str">
        <f t="shared" si="50"/>
        <v>ADM</v>
      </c>
      <c r="AB786" s="532"/>
      <c r="AC786" s="532"/>
    </row>
    <row r="787" ht="15.75" customHeight="1">
      <c r="A787" s="532"/>
      <c r="B787" s="986" t="str">
        <f>IFERROR(VLOOKUP(M787,'02. MM-KLH'!$B$6:$T$823,6,0),"")</f>
        <v>Xe tải Libero</v>
      </c>
      <c r="C787" s="566">
        <v>1.0</v>
      </c>
      <c r="D787" s="692" t="str">
        <f>IFERROR(VLOOKUP(M787,'02. MM-KLH'!$B$6:$T$823,16,0),"")</f>
        <v/>
      </c>
      <c r="E787" s="561" t="s">
        <v>4158</v>
      </c>
      <c r="F787" s="692"/>
      <c r="G787" s="692"/>
      <c r="H787" s="692" t="str">
        <f>IFERROR(VLOOKUP(M787,'02. MM-KLH'!$B$6:$T$823,17,0),"")</f>
        <v/>
      </c>
      <c r="I787" s="987" t="str">
        <f>IFERROR(VLOOKUP(M787,'02. MM-KLH'!$B$6:$U$823,20,0),"")</f>
        <v/>
      </c>
      <c r="J787" s="986" t="str">
        <f>IFERROR(VLOOKUP(M787,'02. MM-KLH'!$B$6:$T$823,19,0),"")</f>
        <v>D4BHY032368</v>
      </c>
      <c r="K787" s="986" t="str">
        <f>IFERROR(VLOOKUP(M787,'02. MM-KLH'!$B$6:$T$823,18,0),"")</f>
        <v>KMFYKS7HPYU0116</v>
      </c>
      <c r="L787" s="692" t="str">
        <f>IFERROR(VLOOKUP(M787,'02. MM-KLH'!$B$6:$T$823,4,0),"")</f>
        <v>2A-0239</v>
      </c>
      <c r="M787" s="488" t="s">
        <v>751</v>
      </c>
      <c r="N787" s="988" t="str">
        <f>IFERROR(VLOOKUP(M787,'02. MM-KLH'!$B$6:$T$823,15,0),"")</f>
        <v/>
      </c>
      <c r="O787" s="989" t="str">
        <f>IFERROR(VLOOKUP(M787,'02. MM-KLH'!$B$6:$T$823,9,0),"")</f>
        <v/>
      </c>
      <c r="P787" s="692"/>
      <c r="Q787" s="692"/>
      <c r="R787" s="463"/>
      <c r="S787" s="463" t="s">
        <v>4158</v>
      </c>
      <c r="T787" s="692"/>
      <c r="U787" s="559" t="str">
        <f>IFERROR(VLOOKUP(M787,'02. MM-KLH'!$B$6:$T$823,5,0),"")</f>
        <v>ĐQSD</v>
      </c>
      <c r="V787" s="532" t="str">
        <f>IFERROR(VLOOKUP(M787,'02. MM-KLH'!$B$6:$T$823,8,0),"")</f>
        <v>CGLĐ DP</v>
      </c>
      <c r="W787" s="559" t="str">
        <f>IFERROR(VLOOKUP(V787,'NS QUẢN LÝ CG'!$A$4:$D$36,2,0),"")</f>
        <v>Nguyễn Tấn Triều</v>
      </c>
      <c r="X787" s="559" t="str">
        <f>IFERROR(VLOOKUP(V787,'NS QUẢN LÝ CG'!$A$4:$D$36,4,0),"")</f>
        <v>Lô 85 DP4</v>
      </c>
      <c r="Y787" s="559" t="str">
        <f>IFERROR(VLOOKUP(V787,'NS QUẢN LÝ CG'!$A$4:$C$36,3,0),"")</f>
        <v>05974160290</v>
      </c>
      <c r="Z787" s="532" t="str">
        <f>IFERROR(VLOOKUP(M787,'02. MM-KLH'!$B$6:$T$823,3,0),"")</f>
        <v>ATT-A23-0020</v>
      </c>
      <c r="AA787" s="559" t="str">
        <f t="shared" si="50"/>
        <v/>
      </c>
      <c r="AB787" s="532"/>
      <c r="AC787" s="532"/>
    </row>
    <row r="788" ht="15.75" customHeight="1">
      <c r="A788" s="532"/>
      <c r="B788" s="986" t="str">
        <f>IFERROR(VLOOKUP(M788,'02. MM-KLH'!$B$6:$T$823,6,0),"")</f>
        <v>Máy xới đất</v>
      </c>
      <c r="C788" s="566">
        <v>1.0</v>
      </c>
      <c r="D788" s="692" t="str">
        <f>IFERROR(VLOOKUP(M788,'02. MM-KLH'!$B$6:$T$823,16,0),"")</f>
        <v>RT165S</v>
      </c>
      <c r="E788" s="561" t="s">
        <v>4158</v>
      </c>
      <c r="F788" s="692"/>
      <c r="G788" s="692"/>
      <c r="H788" s="692" t="str">
        <f>IFERROR(VLOOKUP(M788,'02. MM-KLH'!$B$6:$T$823,17,0),"")</f>
        <v>16.5HP</v>
      </c>
      <c r="I788" s="987" t="str">
        <f>IFERROR(VLOOKUP(M788,'02. MM-KLH'!$B$6:$U$823,20,0),"")</f>
        <v/>
      </c>
      <c r="J788" s="986" t="str">
        <f>IFERROR(VLOOKUP(M788,'02. MM-KLH'!$B$6:$T$823,19,0),"")</f>
        <v>RT165-23C01014</v>
      </c>
      <c r="K788" s="986" t="str">
        <f>IFERROR(VLOOKUP(M788,'02. MM-KLH'!$B$6:$T$823,18,0),"")</f>
        <v>CCN</v>
      </c>
      <c r="L788" s="692" t="str">
        <f>IFERROR(VLOOKUP(M788,'02. MM-KLH'!$B$6:$T$823,4,0),"")</f>
        <v/>
      </c>
      <c r="M788" s="488" t="s">
        <v>1355</v>
      </c>
      <c r="N788" s="988">
        <f>IFERROR(VLOOKUP(M788,'02. MM-KLH'!$B$6:$T$823,15,0),"")</f>
        <v>2022</v>
      </c>
      <c r="O788" s="989">
        <f>IFERROR(VLOOKUP(M788,'02. MM-KLH'!$B$6:$T$823,9,0),"")</f>
        <v>45181</v>
      </c>
      <c r="P788" s="692"/>
      <c r="Q788" s="692"/>
      <c r="R788" s="463"/>
      <c r="S788" s="692"/>
      <c r="T788" s="463" t="s">
        <v>4158</v>
      </c>
      <c r="U788" s="559" t="str">
        <f>IFERROR(VLOOKUP(M788,'02. MM-KLH'!$B$6:$T$823,5,0),"")</f>
        <v>MỚI (ĐQSD)</v>
      </c>
      <c r="V788" s="532" t="str">
        <f>IFERROR(VLOOKUP(M788,'02. MM-KLH'!$B$6:$T$823,8,0),"")</f>
        <v>XN Chuối LP1</v>
      </c>
      <c r="W788" s="559" t="str">
        <f>IFERROR(VLOOKUP(V788,'NS QUẢN LÝ CG'!$A$4:$D$36,2,0),"")</f>
        <v>Nguyễn Ngọc Nhân</v>
      </c>
      <c r="X788" s="559" t="str">
        <f>IFERROR(VLOOKUP(V788,'NS QUẢN LÝ CG'!$A$4:$D$36,4,0),"")</f>
        <v>Lô 7 LP1</v>
      </c>
      <c r="Y788" s="559" t="str">
        <f>IFERROR(VLOOKUP(V788,'NS QUẢN LÝ CG'!$A$4:$C$36,3,0),"")</f>
        <v>0979578112</v>
      </c>
      <c r="Z788" s="532" t="str">
        <f>IFERROR(VLOOKUP(M788,'02. MM-KLH'!$B$6:$T$823,3,0),"")</f>
        <v/>
      </c>
      <c r="AA788" s="559" t="str">
        <f t="shared" si="50"/>
        <v/>
      </c>
      <c r="AB788" s="532"/>
      <c r="AC788" s="532"/>
    </row>
    <row r="789">
      <c r="A789" s="523"/>
      <c r="B789" s="612" t="str">
        <f>IFERROR(VLOOKUP(M789,'02. MM-KLH'!$B$6:$T$823,6,0),"")</f>
        <v/>
      </c>
      <c r="C789" s="566"/>
      <c r="D789" s="613" t="str">
        <f>IFERROR(VLOOKUP(M789,'02. MM-KLH'!$B$6:$T$823,16,0),"")</f>
        <v/>
      </c>
      <c r="E789" s="613"/>
      <c r="F789" s="613"/>
      <c r="G789" s="613"/>
      <c r="H789" s="613" t="str">
        <f>IFERROR(VLOOKUP(M789,'02. MM-KLH'!$B$6:$T$823,17,0),"")</f>
        <v/>
      </c>
      <c r="I789" s="614" t="str">
        <f>IFERROR(VLOOKUP(M789,'02. MM-KLH'!$B$6:$U$823,20,0),"")</f>
        <v/>
      </c>
      <c r="J789" s="612" t="str">
        <f>IFERROR(VLOOKUP(M789,'02. MM-KLH'!$B$6:$T$823,19,0),"")</f>
        <v/>
      </c>
      <c r="K789" s="612" t="str">
        <f>IFERROR(VLOOKUP(M789,'02. MM-KLH'!$B$6:$T$823,18,0),"")</f>
        <v/>
      </c>
      <c r="L789" s="613" t="str">
        <f>IFERROR(VLOOKUP(M789,'02. MM-KLH'!$B$6:$T$823,4,0),"")</f>
        <v/>
      </c>
      <c r="M789" s="488"/>
      <c r="N789" s="615" t="str">
        <f>IFERROR(VLOOKUP(M789,'02. MM-KLH'!$B$6:$T$823,15,0),"")</f>
        <v/>
      </c>
      <c r="O789" s="616" t="str">
        <f>IFERROR(VLOOKUP(M789,'02. MM-KLH'!$B$6:$T$823,9,0),"")</f>
        <v/>
      </c>
      <c r="P789" s="613"/>
      <c r="Q789" s="613"/>
      <c r="R789" s="613"/>
      <c r="S789" s="613"/>
      <c r="T789" s="613"/>
      <c r="U789" s="559" t="str">
        <f>IFERROR(VLOOKUP(M789,'02. MM-KLH'!$B$6:$T$823,5,0),"")</f>
        <v/>
      </c>
      <c r="V789" s="523" t="str">
        <f>IFERROR(VLOOKUP(M789,'02. MM-KLH'!$B$6:$T$823,8,0),"")</f>
        <v/>
      </c>
      <c r="W789" s="559" t="str">
        <f>IFERROR(VLOOKUP(V789,'NS QUẢN LÝ CG'!$A$4:$D$36,2,0),"")</f>
        <v/>
      </c>
      <c r="X789" s="559" t="str">
        <f>IFERROR(VLOOKUP(V789,'NS QUẢN LÝ CG'!$A$4:$D$36,4,0),"")</f>
        <v/>
      </c>
      <c r="Y789" s="613"/>
      <c r="Z789" s="523" t="str">
        <f>IFERROR(VLOOKUP(M789,'02. MM-KLH'!$B$6:$T$823,3,0),"")</f>
        <v/>
      </c>
      <c r="AA789" s="559" t="str">
        <f t="shared" si="50"/>
        <v/>
      </c>
      <c r="AB789" s="523"/>
      <c r="AC789" s="523"/>
    </row>
    <row r="790">
      <c r="A790" s="523"/>
      <c r="B790" s="612" t="str">
        <f>IFERROR(VLOOKUP(M790,'02. MM-KLH'!$B$6:$T$823,6,0),"")</f>
        <v/>
      </c>
      <c r="C790" s="566"/>
      <c r="D790" s="613" t="str">
        <f>IFERROR(VLOOKUP(M790,'02. MM-KLH'!$B$6:$T$823,16,0),"")</f>
        <v/>
      </c>
      <c r="E790" s="613"/>
      <c r="F790" s="613"/>
      <c r="G790" s="613"/>
      <c r="H790" s="613" t="str">
        <f>IFERROR(VLOOKUP(M790,'02. MM-KLH'!$B$6:$T$823,17,0),"")</f>
        <v/>
      </c>
      <c r="I790" s="614" t="str">
        <f>IFERROR(VLOOKUP(M790,'02. MM-KLH'!$B$6:$U$823,20,0),"")</f>
        <v/>
      </c>
      <c r="J790" s="612" t="str">
        <f>IFERROR(VLOOKUP(M790,'02. MM-KLH'!$B$6:$T$823,19,0),"")</f>
        <v/>
      </c>
      <c r="K790" s="612" t="str">
        <f>IFERROR(VLOOKUP(M790,'02. MM-KLH'!$B$6:$T$823,18,0),"")</f>
        <v/>
      </c>
      <c r="L790" s="613" t="str">
        <f>IFERROR(VLOOKUP(M790,'02. MM-KLH'!$B$6:$T$823,4,0),"")</f>
        <v/>
      </c>
      <c r="M790" s="488"/>
      <c r="N790" s="615" t="str">
        <f>IFERROR(VLOOKUP(M790,'02. MM-KLH'!$B$6:$T$823,15,0),"")</f>
        <v/>
      </c>
      <c r="O790" s="616" t="str">
        <f>IFERROR(VLOOKUP(M790,'02. MM-KLH'!$B$6:$T$823,9,0),"")</f>
        <v/>
      </c>
      <c r="P790" s="613"/>
      <c r="Q790" s="613"/>
      <c r="R790" s="613"/>
      <c r="S790" s="613"/>
      <c r="T790" s="613"/>
      <c r="U790" s="559" t="str">
        <f>IFERROR(VLOOKUP(M790,'02. MM-KLH'!$B$6:$T$823,5,0),"")</f>
        <v/>
      </c>
      <c r="V790" s="523" t="str">
        <f>IFERROR(VLOOKUP(M790,'02. MM-KLH'!$B$6:$T$823,8,0),"")</f>
        <v/>
      </c>
      <c r="W790" s="559" t="str">
        <f>IFERROR(VLOOKUP(V790,'NS QUẢN LÝ CG'!$A$4:$D$36,2,0),"")</f>
        <v/>
      </c>
      <c r="X790" s="559" t="str">
        <f>IFERROR(VLOOKUP(V790,'NS QUẢN LÝ CG'!$A$4:$D$36,4,0),"")</f>
        <v/>
      </c>
      <c r="Y790" s="613"/>
      <c r="Z790" s="523" t="str">
        <f>IFERROR(VLOOKUP(M790,'02. MM-KLH'!$B$6:$T$823,3,0),"")</f>
        <v/>
      </c>
      <c r="AA790" s="559" t="str">
        <f t="shared" si="50"/>
        <v/>
      </c>
      <c r="AB790" s="523"/>
      <c r="AC790" s="523"/>
    </row>
    <row r="791">
      <c r="A791" s="523"/>
      <c r="B791" s="612" t="str">
        <f>IFERROR(VLOOKUP(M791,'02. MM-KLH'!$B$6:$T$823,6,0),"")</f>
        <v/>
      </c>
      <c r="C791" s="566"/>
      <c r="D791" s="613" t="str">
        <f>IFERROR(VLOOKUP(M791,'02. MM-KLH'!$B$6:$T$823,16,0),"")</f>
        <v/>
      </c>
      <c r="E791" s="613"/>
      <c r="F791" s="613"/>
      <c r="G791" s="613"/>
      <c r="H791" s="613" t="str">
        <f>IFERROR(VLOOKUP(M791,'02. MM-KLH'!$B$6:$T$823,17,0),"")</f>
        <v/>
      </c>
      <c r="I791" s="614" t="str">
        <f>IFERROR(VLOOKUP(M791,'02. MM-KLH'!$B$6:$U$823,20,0),"")</f>
        <v/>
      </c>
      <c r="J791" s="612" t="str">
        <f>IFERROR(VLOOKUP(M791,'02. MM-KLH'!$B$6:$T$823,19,0),"")</f>
        <v/>
      </c>
      <c r="K791" s="612" t="str">
        <f>IFERROR(VLOOKUP(M791,'02. MM-KLH'!$B$6:$T$823,18,0),"")</f>
        <v/>
      </c>
      <c r="L791" s="613" t="str">
        <f>IFERROR(VLOOKUP(M791,'02. MM-KLH'!$B$6:$T$823,4,0),"")</f>
        <v/>
      </c>
      <c r="M791" s="488"/>
      <c r="N791" s="615" t="str">
        <f>IFERROR(VLOOKUP(M791,'02. MM-KLH'!$B$6:$T$823,15,0),"")</f>
        <v/>
      </c>
      <c r="O791" s="616" t="str">
        <f>IFERROR(VLOOKUP(M791,'02. MM-KLH'!$B$6:$T$823,9,0),"")</f>
        <v/>
      </c>
      <c r="P791" s="613"/>
      <c r="Q791" s="613"/>
      <c r="R791" s="613"/>
      <c r="S791" s="613"/>
      <c r="T791" s="613"/>
      <c r="U791" s="613" t="str">
        <f>IFERROR(VLOOKUP(M791,'02. MM-KLH'!$B$6:$T$823,2,0),"")</f>
        <v/>
      </c>
      <c r="V791" s="523" t="str">
        <f>IFERROR(VLOOKUP(M791,'02. MM-KLH'!$B$6:$T$823,8,0),"")</f>
        <v/>
      </c>
      <c r="W791" s="559" t="str">
        <f>IFERROR(VLOOKUP(V791,'NS QUẢN LÝ CG'!$A$4:$D$36,2,0),"")</f>
        <v/>
      </c>
      <c r="X791" s="559" t="str">
        <f>IFERROR(VLOOKUP(V791,'NS QUẢN LÝ CG'!$A$4:$D$36,4,0),"")</f>
        <v/>
      </c>
      <c r="Y791" s="613"/>
      <c r="Z791" s="523" t="str">
        <f>IFERROR(VLOOKUP(M791,'02. MM-KLH'!$B$6:$T$823,3,0),"")</f>
        <v/>
      </c>
      <c r="AA791" s="613"/>
      <c r="AB791" s="523"/>
      <c r="AC791" s="523"/>
    </row>
    <row r="792">
      <c r="A792" s="523"/>
      <c r="B792" s="612" t="str">
        <f>IFERROR(VLOOKUP(M792,'02. MM-KLH'!$B$6:$T$823,6,0),"")</f>
        <v/>
      </c>
      <c r="C792" s="566"/>
      <c r="D792" s="613" t="str">
        <f>IFERROR(VLOOKUP(M792,'02. MM-KLH'!$B$6:$T$823,16,0),"")</f>
        <v/>
      </c>
      <c r="E792" s="613"/>
      <c r="F792" s="613"/>
      <c r="G792" s="613"/>
      <c r="H792" s="613" t="str">
        <f>IFERROR(VLOOKUP(M792,'02. MM-KLH'!$B$6:$T$823,17,0),"")</f>
        <v/>
      </c>
      <c r="I792" s="614" t="str">
        <f>IFERROR(VLOOKUP(M792,'02. MM-KLH'!$B$6:$U$823,20,0),"")</f>
        <v/>
      </c>
      <c r="J792" s="612" t="str">
        <f>IFERROR(VLOOKUP(M792,'02. MM-KLH'!$B$6:$T$823,19,0),"")</f>
        <v/>
      </c>
      <c r="K792" s="612" t="str">
        <f>IFERROR(VLOOKUP(M792,'02. MM-KLH'!$B$6:$T$823,18,0),"")</f>
        <v/>
      </c>
      <c r="L792" s="613" t="str">
        <f>IFERROR(VLOOKUP(M792,'02. MM-KLH'!$B$6:$T$823,4,0),"")</f>
        <v/>
      </c>
      <c r="M792" s="488"/>
      <c r="N792" s="615" t="str">
        <f>IFERROR(VLOOKUP(M792,'02. MM-KLH'!$B$6:$T$823,15,0),"")</f>
        <v/>
      </c>
      <c r="O792" s="616" t="str">
        <f>IFERROR(VLOOKUP(M792,'02. MM-KLH'!$B$6:$T$823,9,0),"")</f>
        <v/>
      </c>
      <c r="P792" s="613"/>
      <c r="Q792" s="613"/>
      <c r="R792" s="613"/>
      <c r="S792" s="613"/>
      <c r="T792" s="613"/>
      <c r="U792" s="613" t="str">
        <f>IFERROR(VLOOKUP(M792,'02. MM-KLH'!$B$6:$T$823,2,0),"")</f>
        <v/>
      </c>
      <c r="V792" s="523" t="str">
        <f>IFERROR(VLOOKUP(M792,'02. MM-KLH'!$B$6:$T$823,8,0),"")</f>
        <v/>
      </c>
      <c r="W792" s="559" t="str">
        <f>IFERROR(VLOOKUP(V792,'NS QUẢN LÝ CG'!$A$4:$D$36,2,0),"")</f>
        <v/>
      </c>
      <c r="X792" s="559" t="str">
        <f>IFERROR(VLOOKUP(V792,'NS QUẢN LÝ CG'!$A$4:$D$36,4,0),"")</f>
        <v/>
      </c>
      <c r="Y792" s="613"/>
      <c r="Z792" s="523" t="str">
        <f>IFERROR(VLOOKUP(M792,'02. MM-KLH'!$B$6:$T$823,3,0),"")</f>
        <v/>
      </c>
      <c r="AA792" s="613"/>
      <c r="AB792" s="523"/>
      <c r="AC792" s="523"/>
    </row>
    <row r="793">
      <c r="A793" s="523"/>
      <c r="B793" s="612" t="str">
        <f>IFERROR(VLOOKUP(M793,'02. MM-KLH'!$B$6:$T$823,6,0),"")</f>
        <v/>
      </c>
      <c r="C793" s="566"/>
      <c r="D793" s="613" t="str">
        <f>IFERROR(VLOOKUP(M793,'02. MM-KLH'!$B$6:$T$823,16,0),"")</f>
        <v/>
      </c>
      <c r="E793" s="613"/>
      <c r="F793" s="613"/>
      <c r="G793" s="613"/>
      <c r="H793" s="613" t="str">
        <f>IFERROR(VLOOKUP(M793,'02. MM-KLH'!$B$6:$T$823,17,0),"")</f>
        <v/>
      </c>
      <c r="I793" s="614" t="str">
        <f>IFERROR(VLOOKUP(M793,'02. MM-KLH'!$B$6:$U$823,20,0),"")</f>
        <v/>
      </c>
      <c r="J793" s="612" t="str">
        <f>IFERROR(VLOOKUP(M793,'02. MM-KLH'!$B$6:$T$823,19,0),"")</f>
        <v/>
      </c>
      <c r="K793" s="612" t="str">
        <f>IFERROR(VLOOKUP(M793,'02. MM-KLH'!$B$6:$T$823,18,0),"")</f>
        <v/>
      </c>
      <c r="L793" s="613" t="str">
        <f>IFERROR(VLOOKUP(M793,'02. MM-KLH'!$B$6:$T$823,4,0),"")</f>
        <v/>
      </c>
      <c r="M793" s="488"/>
      <c r="N793" s="615" t="str">
        <f>IFERROR(VLOOKUP(M793,'02. MM-KLH'!$B$6:$T$823,15,0),"")</f>
        <v/>
      </c>
      <c r="O793" s="616" t="str">
        <f>IFERROR(VLOOKUP(M793,'02. MM-KLH'!$B$6:$T$823,9,0),"")</f>
        <v/>
      </c>
      <c r="P793" s="613"/>
      <c r="Q793" s="613"/>
      <c r="R793" s="613"/>
      <c r="S793" s="613"/>
      <c r="T793" s="613"/>
      <c r="U793" s="613" t="str">
        <f>IFERROR(VLOOKUP(M793,'02. MM-KLH'!$B$6:$T$823,2,0),"")</f>
        <v/>
      </c>
      <c r="V793" s="523" t="str">
        <f>IFERROR(VLOOKUP(M793,'02. MM-KLH'!$B$6:$T$823,8,0),"")</f>
        <v/>
      </c>
      <c r="W793" s="559" t="str">
        <f>IFERROR(VLOOKUP(V793,'NS QUẢN LÝ CG'!$A$4:$D$36,2,0),"")</f>
        <v/>
      </c>
      <c r="X793" s="559" t="str">
        <f>IFERROR(VLOOKUP(V793,'NS QUẢN LÝ CG'!$A$4:$D$36,4,0),"")</f>
        <v/>
      </c>
      <c r="Y793" s="613"/>
      <c r="Z793" s="523" t="str">
        <f>IFERROR(VLOOKUP(M793,'02. MM-KLH'!$B$6:$T$823,3,0),"")</f>
        <v/>
      </c>
      <c r="AA793" s="613"/>
      <c r="AB793" s="523"/>
      <c r="AC793" s="523"/>
    </row>
    <row r="794">
      <c r="A794" s="523"/>
      <c r="B794" s="612" t="str">
        <f>IFERROR(VLOOKUP(M794,'02. MM-KLH'!$B$6:$T$823,6,0),"")</f>
        <v/>
      </c>
      <c r="C794" s="566"/>
      <c r="D794" s="613" t="str">
        <f>IFERROR(VLOOKUP(M794,'02. MM-KLH'!$B$6:$T$823,16,0),"")</f>
        <v/>
      </c>
      <c r="E794" s="613"/>
      <c r="F794" s="613"/>
      <c r="G794" s="613"/>
      <c r="H794" s="613" t="str">
        <f>IFERROR(VLOOKUP(M794,'02. MM-KLH'!$B$6:$T$823,17,0),"")</f>
        <v/>
      </c>
      <c r="I794" s="614" t="str">
        <f>IFERROR(VLOOKUP(M794,'02. MM-KLH'!$B$6:$U$823,20,0),"")</f>
        <v/>
      </c>
      <c r="J794" s="612" t="str">
        <f>IFERROR(VLOOKUP(M794,'02. MM-KLH'!$B$6:$T$823,19,0),"")</f>
        <v/>
      </c>
      <c r="K794" s="612" t="str">
        <f>IFERROR(VLOOKUP(M794,'02. MM-KLH'!$B$6:$T$823,18,0),"")</f>
        <v/>
      </c>
      <c r="L794" s="613" t="str">
        <f>IFERROR(VLOOKUP(M794,'02. MM-KLH'!$B$6:$T$823,4,0),"")</f>
        <v/>
      </c>
      <c r="M794" s="488"/>
      <c r="N794" s="615" t="str">
        <f>IFERROR(VLOOKUP(M794,'02. MM-KLH'!$B$6:$T$823,15,0),"")</f>
        <v/>
      </c>
      <c r="O794" s="616" t="str">
        <f>IFERROR(VLOOKUP(M794,'02. MM-KLH'!$B$6:$T$823,9,0),"")</f>
        <v/>
      </c>
      <c r="P794" s="613"/>
      <c r="Q794" s="613"/>
      <c r="R794" s="613"/>
      <c r="S794" s="613"/>
      <c r="T794" s="613"/>
      <c r="U794" s="613" t="str">
        <f>IFERROR(VLOOKUP(M794,'02. MM-KLH'!$B$6:$T$823,2,0),"")</f>
        <v/>
      </c>
      <c r="V794" s="523" t="str">
        <f>IFERROR(VLOOKUP(M794,'02. MM-KLH'!$B$6:$T$823,8,0),"")</f>
        <v/>
      </c>
      <c r="W794" s="559" t="str">
        <f>IFERROR(VLOOKUP(V794,'NS QUẢN LÝ CG'!$A$4:$D$36,2,0),"")</f>
        <v/>
      </c>
      <c r="X794" s="559" t="str">
        <f>IFERROR(VLOOKUP(V794,'NS QUẢN LÝ CG'!$A$4:$D$36,4,0),"")</f>
        <v/>
      </c>
      <c r="Y794" s="613"/>
      <c r="Z794" s="523" t="str">
        <f>IFERROR(VLOOKUP(M794,'02. MM-KLH'!$B$6:$T$823,3,0),"")</f>
        <v/>
      </c>
      <c r="AA794" s="613"/>
      <c r="AB794" s="523"/>
      <c r="AC794" s="523"/>
    </row>
    <row r="795">
      <c r="A795" s="523"/>
      <c r="B795" s="612" t="str">
        <f>IFERROR(VLOOKUP(M795,'02. MM-KLH'!$B$6:$T$823,6,0),"")</f>
        <v/>
      </c>
      <c r="C795" s="566"/>
      <c r="D795" s="613" t="str">
        <f>IFERROR(VLOOKUP(M795,'02. MM-KLH'!$B$6:$T$823,16,0),"")</f>
        <v/>
      </c>
      <c r="E795" s="613"/>
      <c r="F795" s="613"/>
      <c r="G795" s="613"/>
      <c r="H795" s="613" t="str">
        <f>IFERROR(VLOOKUP(M795,'02. MM-KLH'!$B$6:$T$823,17,0),"")</f>
        <v/>
      </c>
      <c r="I795" s="614" t="str">
        <f>IFERROR(VLOOKUP(M795,'02. MM-KLH'!$B$6:$U$823,20,0),"")</f>
        <v/>
      </c>
      <c r="J795" s="612" t="str">
        <f>IFERROR(VLOOKUP(M795,'02. MM-KLH'!$B$6:$T$823,19,0),"")</f>
        <v/>
      </c>
      <c r="K795" s="612" t="str">
        <f>IFERROR(VLOOKUP(M795,'02. MM-KLH'!$B$6:$T$823,18,0),"")</f>
        <v/>
      </c>
      <c r="L795" s="613" t="str">
        <f>IFERROR(VLOOKUP(M795,'02. MM-KLH'!$B$6:$T$823,4,0),"")</f>
        <v/>
      </c>
      <c r="M795" s="488"/>
      <c r="N795" s="615" t="str">
        <f>IFERROR(VLOOKUP(M795,'02. MM-KLH'!$B$6:$T$823,15,0),"")</f>
        <v/>
      </c>
      <c r="O795" s="616" t="str">
        <f>IFERROR(VLOOKUP(M795,'02. MM-KLH'!$B$6:$T$823,9,0),"")</f>
        <v/>
      </c>
      <c r="P795" s="613"/>
      <c r="Q795" s="613"/>
      <c r="R795" s="613"/>
      <c r="S795" s="613"/>
      <c r="T795" s="613"/>
      <c r="U795" s="613" t="str">
        <f>IFERROR(VLOOKUP(M795,'02. MM-KLH'!$B$6:$T$823,2,0),"")</f>
        <v/>
      </c>
      <c r="V795" s="523" t="str">
        <f>IFERROR(VLOOKUP(M795,'02. MM-KLH'!$B$6:$T$823,8,0),"")</f>
        <v/>
      </c>
      <c r="W795" s="559" t="str">
        <f>IFERROR(VLOOKUP(V795,'NS QUẢN LÝ CG'!$A$4:$D$36,2,0),"")</f>
        <v/>
      </c>
      <c r="X795" s="559" t="str">
        <f>IFERROR(VLOOKUP(V795,'NS QUẢN LÝ CG'!$A$4:$D$36,4,0),"")</f>
        <v/>
      </c>
      <c r="Y795" s="613"/>
      <c r="Z795" s="523" t="str">
        <f>IFERROR(VLOOKUP(M795,'02. MM-KLH'!$B$6:$T$823,3,0),"")</f>
        <v/>
      </c>
      <c r="AA795" s="613"/>
      <c r="AB795" s="523"/>
      <c r="AC795" s="523"/>
    </row>
    <row r="796">
      <c r="A796" s="523"/>
      <c r="B796" s="612" t="str">
        <f>IFERROR(VLOOKUP(M796,'02. MM-KLH'!$B$6:$T$823,6,0),"")</f>
        <v/>
      </c>
      <c r="C796" s="566"/>
      <c r="D796" s="613" t="str">
        <f>IFERROR(VLOOKUP(M796,'02. MM-KLH'!$B$6:$T$823,16,0),"")</f>
        <v/>
      </c>
      <c r="E796" s="613"/>
      <c r="F796" s="613"/>
      <c r="G796" s="613"/>
      <c r="H796" s="613" t="str">
        <f>IFERROR(VLOOKUP(M796,'02. MM-KLH'!$B$6:$T$823,17,0),"")</f>
        <v/>
      </c>
      <c r="I796" s="614" t="str">
        <f>IFERROR(VLOOKUP(M796,'02. MM-KLH'!$B$6:$U$823,20,0),"")</f>
        <v/>
      </c>
      <c r="J796" s="612" t="str">
        <f>IFERROR(VLOOKUP(M796,'02. MM-KLH'!$B$6:$T$823,19,0),"")</f>
        <v/>
      </c>
      <c r="K796" s="612" t="str">
        <f>IFERROR(VLOOKUP(M796,'02. MM-KLH'!$B$6:$T$823,18,0),"")</f>
        <v/>
      </c>
      <c r="L796" s="613" t="str">
        <f>IFERROR(VLOOKUP(M796,'02. MM-KLH'!$B$6:$T$823,4,0),"")</f>
        <v/>
      </c>
      <c r="M796" s="488"/>
      <c r="N796" s="615" t="str">
        <f>IFERROR(VLOOKUP(M796,'02. MM-KLH'!$B$6:$T$823,15,0),"")</f>
        <v/>
      </c>
      <c r="O796" s="616" t="str">
        <f>IFERROR(VLOOKUP(M796,'02. MM-KLH'!$B$6:$T$823,9,0),"")</f>
        <v/>
      </c>
      <c r="P796" s="613"/>
      <c r="Q796" s="613"/>
      <c r="R796" s="613"/>
      <c r="S796" s="613"/>
      <c r="T796" s="613"/>
      <c r="U796" s="613" t="str">
        <f>IFERROR(VLOOKUP(M796,'02. MM-KLH'!$B$6:$T$823,2,0),"")</f>
        <v/>
      </c>
      <c r="V796" s="523" t="str">
        <f>IFERROR(VLOOKUP(M796,'02. MM-KLH'!$B$6:$T$823,8,0),"")</f>
        <v/>
      </c>
      <c r="W796" s="559" t="str">
        <f>IFERROR(VLOOKUP(V796,'NS QUẢN LÝ CG'!$A$4:$D$36,2,0),"")</f>
        <v/>
      </c>
      <c r="X796" s="559" t="str">
        <f>IFERROR(VLOOKUP(V796,'NS QUẢN LÝ CG'!$A$4:$D$36,4,0),"")</f>
        <v/>
      </c>
      <c r="Y796" s="613"/>
      <c r="Z796" s="523" t="str">
        <f>IFERROR(VLOOKUP(M796,'02. MM-KLH'!$B$6:$T$823,3,0),"")</f>
        <v/>
      </c>
      <c r="AA796" s="613"/>
      <c r="AB796" s="523"/>
      <c r="AC796" s="523"/>
    </row>
    <row r="797">
      <c r="A797" s="523"/>
      <c r="B797" s="612" t="str">
        <f>IFERROR(VLOOKUP(M797,'02. MM-KLH'!$B$6:$T$823,6,0),"")</f>
        <v/>
      </c>
      <c r="C797" s="566"/>
      <c r="D797" s="613" t="str">
        <f>IFERROR(VLOOKUP(M797,'02. MM-KLH'!$B$6:$T$823,16,0),"")</f>
        <v/>
      </c>
      <c r="E797" s="613"/>
      <c r="F797" s="613"/>
      <c r="G797" s="613"/>
      <c r="H797" s="613" t="str">
        <f>IFERROR(VLOOKUP(M797,'02. MM-KLH'!$B$6:$T$823,17,0),"")</f>
        <v/>
      </c>
      <c r="I797" s="614" t="str">
        <f>IFERROR(VLOOKUP(M797,'02. MM-KLH'!$B$6:$U$823,20,0),"")</f>
        <v/>
      </c>
      <c r="J797" s="612" t="str">
        <f>IFERROR(VLOOKUP(M797,'02. MM-KLH'!$B$6:$T$823,19,0),"")</f>
        <v/>
      </c>
      <c r="K797" s="612" t="str">
        <f>IFERROR(VLOOKUP(M797,'02. MM-KLH'!$B$6:$T$823,18,0),"")</f>
        <v/>
      </c>
      <c r="L797" s="613" t="str">
        <f>IFERROR(VLOOKUP(M797,'02. MM-KLH'!$B$6:$T$823,4,0),"")</f>
        <v/>
      </c>
      <c r="M797" s="488"/>
      <c r="N797" s="615" t="str">
        <f>IFERROR(VLOOKUP(M797,'02. MM-KLH'!$B$6:$T$823,15,0),"")</f>
        <v/>
      </c>
      <c r="O797" s="616" t="str">
        <f>IFERROR(VLOOKUP(M797,'02. MM-KLH'!$B$6:$T$823,9,0),"")</f>
        <v/>
      </c>
      <c r="P797" s="613"/>
      <c r="Q797" s="613"/>
      <c r="R797" s="613"/>
      <c r="S797" s="613"/>
      <c r="T797" s="613"/>
      <c r="U797" s="613" t="str">
        <f>IFERROR(VLOOKUP(M797,'02. MM-KLH'!$B$6:$T$823,2,0),"")</f>
        <v/>
      </c>
      <c r="V797" s="523" t="str">
        <f>IFERROR(VLOOKUP(M797,'02. MM-KLH'!$B$6:$T$823,8,0),"")</f>
        <v/>
      </c>
      <c r="W797" s="559" t="str">
        <f>IFERROR(VLOOKUP(V797,'NS QUẢN LÝ CG'!$A$4:$D$36,2,0),"")</f>
        <v/>
      </c>
      <c r="X797" s="559" t="str">
        <f>IFERROR(VLOOKUP(V797,'NS QUẢN LÝ CG'!$A$4:$D$36,4,0),"")</f>
        <v/>
      </c>
      <c r="Y797" s="613"/>
      <c r="Z797" s="523" t="str">
        <f>IFERROR(VLOOKUP(M797,'02. MM-KLH'!$B$6:$T$823,3,0),"")</f>
        <v/>
      </c>
      <c r="AA797" s="613"/>
      <c r="AB797" s="523"/>
      <c r="AC797" s="523"/>
    </row>
    <row r="798">
      <c r="A798" s="523"/>
      <c r="B798" s="612" t="str">
        <f>IFERROR(VLOOKUP(M798,'02. MM-KLH'!$B$6:$T$823,6,0),"")</f>
        <v/>
      </c>
      <c r="C798" s="566"/>
      <c r="D798" s="613" t="str">
        <f>IFERROR(VLOOKUP(M798,'02. MM-KLH'!$B$6:$T$823,16,0),"")</f>
        <v/>
      </c>
      <c r="E798" s="613"/>
      <c r="F798" s="613"/>
      <c r="G798" s="613"/>
      <c r="H798" s="613" t="str">
        <f>IFERROR(VLOOKUP(M798,'02. MM-KLH'!$B$6:$T$823,17,0),"")</f>
        <v/>
      </c>
      <c r="I798" s="614" t="str">
        <f>IFERROR(VLOOKUP(M798,'02. MM-KLH'!$B$6:$U$823,20,0),"")</f>
        <v/>
      </c>
      <c r="J798" s="612" t="str">
        <f>IFERROR(VLOOKUP(M798,'02. MM-KLH'!$B$6:$T$823,19,0),"")</f>
        <v/>
      </c>
      <c r="K798" s="612" t="str">
        <f>IFERROR(VLOOKUP(M798,'02. MM-KLH'!$B$6:$T$823,18,0),"")</f>
        <v/>
      </c>
      <c r="L798" s="613" t="str">
        <f>IFERROR(VLOOKUP(M798,'02. MM-KLH'!$B$6:$T$823,4,0),"")</f>
        <v/>
      </c>
      <c r="M798" s="488"/>
      <c r="N798" s="615" t="str">
        <f>IFERROR(VLOOKUP(M798,'02. MM-KLH'!$B$6:$T$823,15,0),"")</f>
        <v/>
      </c>
      <c r="O798" s="616" t="str">
        <f>IFERROR(VLOOKUP(M798,'02. MM-KLH'!$B$6:$T$823,9,0),"")</f>
        <v/>
      </c>
      <c r="P798" s="613"/>
      <c r="Q798" s="613"/>
      <c r="R798" s="613"/>
      <c r="S798" s="613"/>
      <c r="T798" s="613"/>
      <c r="U798" s="613" t="str">
        <f>IFERROR(VLOOKUP(M798,'02. MM-KLH'!$B$6:$T$823,2,0),"")</f>
        <v/>
      </c>
      <c r="V798" s="523" t="str">
        <f>IFERROR(VLOOKUP(M798,'02. MM-KLH'!$B$6:$T$823,8,0),"")</f>
        <v/>
      </c>
      <c r="W798" s="613"/>
      <c r="X798" s="613"/>
      <c r="Y798" s="613"/>
      <c r="Z798" s="523" t="str">
        <f>IFERROR(VLOOKUP(M798,'02. MM-KLH'!$B$6:$T$823,3,0),"")</f>
        <v/>
      </c>
      <c r="AA798" s="613"/>
      <c r="AB798" s="523"/>
      <c r="AC798" s="523"/>
    </row>
    <row r="799">
      <c r="A799" s="523"/>
      <c r="B799" s="612" t="str">
        <f>IFERROR(VLOOKUP(M799,'02. MM-KLH'!$B$6:$T$823,6,0),"")</f>
        <v/>
      </c>
      <c r="C799" s="566"/>
      <c r="D799" s="613" t="str">
        <f>IFERROR(VLOOKUP(M799,'02. MM-KLH'!$B$6:$T$823,16,0),"")</f>
        <v/>
      </c>
      <c r="E799" s="613"/>
      <c r="F799" s="613"/>
      <c r="G799" s="613"/>
      <c r="H799" s="613" t="str">
        <f>IFERROR(VLOOKUP(M799,'02. MM-KLH'!$B$6:$T$823,17,0),"")</f>
        <v/>
      </c>
      <c r="I799" s="614" t="str">
        <f>IFERROR(VLOOKUP(M799,'02. MM-KLH'!$B$6:$U$823,20,0),"")</f>
        <v/>
      </c>
      <c r="J799" s="612" t="str">
        <f>IFERROR(VLOOKUP(M799,'02. MM-KLH'!$B$6:$T$823,19,0),"")</f>
        <v/>
      </c>
      <c r="K799" s="612" t="str">
        <f>IFERROR(VLOOKUP(M799,'02. MM-KLH'!$B$6:$T$823,18,0),"")</f>
        <v/>
      </c>
      <c r="L799" s="613" t="str">
        <f>IFERROR(VLOOKUP(M799,'02. MM-KLH'!$B$6:$T$823,4,0),"")</f>
        <v/>
      </c>
      <c r="M799" s="488"/>
      <c r="N799" s="615" t="str">
        <f>IFERROR(VLOOKUP(M799,'02. MM-KLH'!$B$6:$T$823,15,0),"")</f>
        <v/>
      </c>
      <c r="O799" s="616" t="str">
        <f>IFERROR(VLOOKUP(M799,'02. MM-KLH'!$B$6:$T$823,9,0),"")</f>
        <v/>
      </c>
      <c r="P799" s="613"/>
      <c r="Q799" s="613"/>
      <c r="R799" s="613"/>
      <c r="S799" s="613"/>
      <c r="T799" s="613"/>
      <c r="U799" s="613" t="str">
        <f>IFERROR(VLOOKUP(M799,'02. MM-KLH'!$B$6:$T$823,2,0),"")</f>
        <v/>
      </c>
      <c r="V799" s="523" t="str">
        <f>IFERROR(VLOOKUP(M799,'02. MM-KLH'!$B$6:$T$823,8,0),"")</f>
        <v/>
      </c>
      <c r="W799" s="613"/>
      <c r="X799" s="613"/>
      <c r="Y799" s="613"/>
      <c r="Z799" s="523" t="str">
        <f>IFERROR(VLOOKUP(M799,'02. MM-KLH'!$B$6:$T$823,3,0),"")</f>
        <v/>
      </c>
      <c r="AA799" s="613"/>
      <c r="AB799" s="523"/>
      <c r="AC799" s="523"/>
    </row>
    <row r="800">
      <c r="A800" s="523"/>
      <c r="B800" s="612" t="str">
        <f>IFERROR(VLOOKUP(M800,'02. MM-KLH'!$B$6:$T$823,6,0),"")</f>
        <v/>
      </c>
      <c r="C800" s="566"/>
      <c r="D800" s="613" t="str">
        <f>IFERROR(VLOOKUP(M800,'02. MM-KLH'!$B$6:$T$823,16,0),"")</f>
        <v/>
      </c>
      <c r="E800" s="613"/>
      <c r="F800" s="613"/>
      <c r="G800" s="613"/>
      <c r="H800" s="613" t="str">
        <f>IFERROR(VLOOKUP(M800,'02. MM-KLH'!$B$6:$T$823,17,0),"")</f>
        <v/>
      </c>
      <c r="I800" s="614" t="str">
        <f>IFERROR(VLOOKUP(M800,'02. MM-KLH'!$B$6:$U$823,20,0),"")</f>
        <v/>
      </c>
      <c r="J800" s="612" t="str">
        <f>IFERROR(VLOOKUP(M800,'02. MM-KLH'!$B$6:$T$823,19,0),"")</f>
        <v/>
      </c>
      <c r="K800" s="612" t="str">
        <f>IFERROR(VLOOKUP(M800,'02. MM-KLH'!$B$6:$T$823,18,0),"")</f>
        <v/>
      </c>
      <c r="L800" s="613" t="str">
        <f>IFERROR(VLOOKUP(M800,'02. MM-KLH'!$B$6:$T$823,4,0),"")</f>
        <v/>
      </c>
      <c r="M800" s="488"/>
      <c r="N800" s="615" t="str">
        <f>IFERROR(VLOOKUP(M800,'02. MM-KLH'!$B$6:$T$823,15,0),"")</f>
        <v/>
      </c>
      <c r="O800" s="616" t="str">
        <f>IFERROR(VLOOKUP(M800,'02. MM-KLH'!$B$6:$T$823,9,0),"")</f>
        <v/>
      </c>
      <c r="P800" s="613"/>
      <c r="Q800" s="613"/>
      <c r="R800" s="613"/>
      <c r="S800" s="613"/>
      <c r="T800" s="613"/>
      <c r="U800" s="613" t="str">
        <f>IFERROR(VLOOKUP(M800,'02. MM-KLH'!$B$6:$T$823,2,0),"")</f>
        <v/>
      </c>
      <c r="V800" s="523" t="str">
        <f>IFERROR(VLOOKUP(M800,'02. MM-KLH'!$B$6:$T$823,8,0),"")</f>
        <v/>
      </c>
      <c r="W800" s="613"/>
      <c r="X800" s="613"/>
      <c r="Y800" s="613"/>
      <c r="Z800" s="523" t="str">
        <f>IFERROR(VLOOKUP(M800,'02. MM-KLH'!$B$6:$T$823,3,0),"")</f>
        <v/>
      </c>
      <c r="AA800" s="613"/>
      <c r="AB800" s="523"/>
      <c r="AC800" s="523"/>
    </row>
    <row r="801">
      <c r="A801" s="523"/>
      <c r="B801" s="612" t="str">
        <f>IFERROR(VLOOKUP(M801,'02. MM-KLH'!$B$6:$T$823,6,0),"")</f>
        <v/>
      </c>
      <c r="C801" s="566"/>
      <c r="D801" s="613" t="str">
        <f>IFERROR(VLOOKUP(M801,'02. MM-KLH'!$B$6:$T$823,16,0),"")</f>
        <v/>
      </c>
      <c r="E801" s="613"/>
      <c r="F801" s="613"/>
      <c r="G801" s="613"/>
      <c r="H801" s="613" t="str">
        <f>IFERROR(VLOOKUP(M801,'02. MM-KLH'!$B$6:$T$823,17,0),"")</f>
        <v/>
      </c>
      <c r="I801" s="614" t="str">
        <f>IFERROR(VLOOKUP(M801,'02. MM-KLH'!$B$6:$U$823,20,0),"")</f>
        <v/>
      </c>
      <c r="J801" s="612" t="str">
        <f>IFERROR(VLOOKUP(M801,'02. MM-KLH'!$B$6:$T$823,19,0),"")</f>
        <v/>
      </c>
      <c r="K801" s="612" t="str">
        <f>IFERROR(VLOOKUP(M801,'02. MM-KLH'!$B$6:$T$823,18,0),"")</f>
        <v/>
      </c>
      <c r="L801" s="613" t="str">
        <f>IFERROR(VLOOKUP(M801,'02. MM-KLH'!$B$6:$T$823,4,0),"")</f>
        <v/>
      </c>
      <c r="M801" s="488"/>
      <c r="N801" s="615" t="str">
        <f>IFERROR(VLOOKUP(M801,'02. MM-KLH'!$B$6:$T$823,15,0),"")</f>
        <v/>
      </c>
      <c r="O801" s="616" t="str">
        <f>IFERROR(VLOOKUP(M801,'02. MM-KLH'!$B$6:$T$823,9,0),"")</f>
        <v/>
      </c>
      <c r="P801" s="613"/>
      <c r="Q801" s="613"/>
      <c r="R801" s="613"/>
      <c r="S801" s="613"/>
      <c r="T801" s="613"/>
      <c r="U801" s="613" t="str">
        <f>IFERROR(VLOOKUP(M801,'02. MM-KLH'!$B$6:$T$823,2,0),"")</f>
        <v/>
      </c>
      <c r="V801" s="523" t="str">
        <f>IFERROR(VLOOKUP(M801,'02. MM-KLH'!$B$6:$T$823,8,0),"")</f>
        <v/>
      </c>
      <c r="W801" s="613"/>
      <c r="X801" s="613"/>
      <c r="Y801" s="613"/>
      <c r="Z801" s="523" t="str">
        <f>IFERROR(VLOOKUP(M801,'02. MM-KLH'!$B$6:$T$823,3,0),"")</f>
        <v/>
      </c>
      <c r="AA801" s="613"/>
      <c r="AB801" s="523"/>
      <c r="AC801" s="523"/>
    </row>
    <row r="802">
      <c r="A802" s="523"/>
      <c r="B802" s="612" t="str">
        <f>IFERROR(VLOOKUP(M802,'02. MM-KLH'!$B$6:$T$823,6,0),"")</f>
        <v/>
      </c>
      <c r="C802" s="566"/>
      <c r="D802" s="613" t="str">
        <f>IFERROR(VLOOKUP(M802,'02. MM-KLH'!$B$6:$T$823,16,0),"")</f>
        <v/>
      </c>
      <c r="E802" s="613"/>
      <c r="F802" s="613"/>
      <c r="G802" s="613"/>
      <c r="H802" s="613" t="str">
        <f>IFERROR(VLOOKUP(M802,'02. MM-KLH'!$B$6:$T$823,17,0),"")</f>
        <v/>
      </c>
      <c r="I802" s="614" t="str">
        <f>IFERROR(VLOOKUP(M802,'02. MM-KLH'!$B$6:$U$823,20,0),"")</f>
        <v/>
      </c>
      <c r="J802" s="612" t="str">
        <f>IFERROR(VLOOKUP(M802,'02. MM-KLH'!$B$6:$T$823,19,0),"")</f>
        <v/>
      </c>
      <c r="K802" s="612" t="str">
        <f>IFERROR(VLOOKUP(M802,'02. MM-KLH'!$B$6:$T$823,18,0),"")</f>
        <v/>
      </c>
      <c r="L802" s="613" t="str">
        <f>IFERROR(VLOOKUP(M802,'02. MM-KLH'!$B$6:$T$823,4,0),"")</f>
        <v/>
      </c>
      <c r="M802" s="488"/>
      <c r="N802" s="615" t="str">
        <f>IFERROR(VLOOKUP(M802,'02. MM-KLH'!$B$6:$T$823,15,0),"")</f>
        <v/>
      </c>
      <c r="O802" s="616" t="str">
        <f>IFERROR(VLOOKUP(M802,'02. MM-KLH'!$B$6:$T$823,9,0),"")</f>
        <v/>
      </c>
      <c r="P802" s="613"/>
      <c r="Q802" s="613"/>
      <c r="R802" s="613"/>
      <c r="S802" s="613"/>
      <c r="T802" s="613"/>
      <c r="U802" s="613" t="str">
        <f>IFERROR(VLOOKUP(M802,'02. MM-KLH'!$B$6:$T$823,2,0),"")</f>
        <v/>
      </c>
      <c r="V802" s="523" t="str">
        <f>IFERROR(VLOOKUP(M802,'02. MM-KLH'!$B$6:$T$823,8,0),"")</f>
        <v/>
      </c>
      <c r="W802" s="613"/>
      <c r="X802" s="613"/>
      <c r="Y802" s="613"/>
      <c r="Z802" s="523" t="str">
        <f>IFERROR(VLOOKUP(M802,'02. MM-KLH'!$B$6:$T$823,3,0),"")</f>
        <v/>
      </c>
      <c r="AA802" s="613"/>
      <c r="AB802" s="523"/>
      <c r="AC802" s="523"/>
    </row>
    <row r="803">
      <c r="A803" s="523"/>
      <c r="B803" s="612" t="str">
        <f>IFERROR(VLOOKUP(M803,'02. MM-KLH'!$B$6:$T$823,6,0),"")</f>
        <v/>
      </c>
      <c r="C803" s="566"/>
      <c r="D803" s="613" t="str">
        <f>IFERROR(VLOOKUP(M803,'02. MM-KLH'!$B$6:$T$823,16,0),"")</f>
        <v/>
      </c>
      <c r="E803" s="613"/>
      <c r="F803" s="613"/>
      <c r="G803" s="613"/>
      <c r="H803" s="613" t="str">
        <f>IFERROR(VLOOKUP(M803,'02. MM-KLH'!$B$6:$T$823,17,0),"")</f>
        <v/>
      </c>
      <c r="I803" s="614" t="str">
        <f>IFERROR(VLOOKUP(M803,'02. MM-KLH'!$B$6:$U$823,20,0),"")</f>
        <v/>
      </c>
      <c r="J803" s="612" t="str">
        <f>IFERROR(VLOOKUP(M803,'02. MM-KLH'!$B$6:$T$823,19,0),"")</f>
        <v/>
      </c>
      <c r="K803" s="612" t="str">
        <f>IFERROR(VLOOKUP(M803,'02. MM-KLH'!$B$6:$T$823,18,0),"")</f>
        <v/>
      </c>
      <c r="L803" s="613" t="str">
        <f>IFERROR(VLOOKUP(M803,'02. MM-KLH'!$B$6:$T$823,4,0),"")</f>
        <v/>
      </c>
      <c r="M803" s="488"/>
      <c r="N803" s="615" t="str">
        <f>IFERROR(VLOOKUP(M803,'02. MM-KLH'!$B$6:$T$823,15,0),"")</f>
        <v/>
      </c>
      <c r="O803" s="616" t="str">
        <f>IFERROR(VLOOKUP(M803,'02. MM-KLH'!$B$6:$T$823,9,0),"")</f>
        <v/>
      </c>
      <c r="P803" s="613"/>
      <c r="Q803" s="613"/>
      <c r="R803" s="613"/>
      <c r="S803" s="613"/>
      <c r="T803" s="613"/>
      <c r="U803" s="613" t="str">
        <f>IFERROR(VLOOKUP(M803,'02. MM-KLH'!$B$6:$T$823,2,0),"")</f>
        <v/>
      </c>
      <c r="V803" s="523" t="str">
        <f>IFERROR(VLOOKUP(M803,'02. MM-KLH'!$B$6:$T$823,8,0),"")</f>
        <v/>
      </c>
      <c r="W803" s="613"/>
      <c r="X803" s="613"/>
      <c r="Y803" s="613"/>
      <c r="Z803" s="523" t="str">
        <f>IFERROR(VLOOKUP(M803,'02. MM-KLH'!$B$6:$T$823,3,0),"")</f>
        <v/>
      </c>
      <c r="AA803" s="613"/>
      <c r="AB803" s="523"/>
      <c r="AC803" s="523"/>
    </row>
    <row r="804">
      <c r="A804" s="523"/>
      <c r="B804" s="612" t="str">
        <f>IFERROR(VLOOKUP(M804,'02. MM-KLH'!$B$6:$T$823,6,0),"")</f>
        <v/>
      </c>
      <c r="C804" s="566"/>
      <c r="D804" s="613" t="str">
        <f>IFERROR(VLOOKUP(M804,'02. MM-KLH'!$B$6:$T$823,16,0),"")</f>
        <v/>
      </c>
      <c r="E804" s="613"/>
      <c r="F804" s="613"/>
      <c r="G804" s="613"/>
      <c r="H804" s="613" t="str">
        <f>IFERROR(VLOOKUP(M804,'02. MM-KLH'!$B$6:$T$823,17,0),"")</f>
        <v/>
      </c>
      <c r="I804" s="614" t="str">
        <f>IFERROR(VLOOKUP(M804,'02. MM-KLH'!$B$6:$U$823,20,0),"")</f>
        <v/>
      </c>
      <c r="J804" s="612" t="str">
        <f>IFERROR(VLOOKUP(M804,'02. MM-KLH'!$B$6:$T$823,19,0),"")</f>
        <v/>
      </c>
      <c r="K804" s="612" t="str">
        <f>IFERROR(VLOOKUP(M804,'02. MM-KLH'!$B$6:$T$823,18,0),"")</f>
        <v/>
      </c>
      <c r="L804" s="613" t="str">
        <f>IFERROR(VLOOKUP(M804,'02. MM-KLH'!$B$6:$T$823,4,0),"")</f>
        <v/>
      </c>
      <c r="M804" s="488"/>
      <c r="N804" s="615" t="str">
        <f>IFERROR(VLOOKUP(M804,'02. MM-KLH'!$B$6:$T$823,15,0),"")</f>
        <v/>
      </c>
      <c r="O804" s="616" t="str">
        <f>IFERROR(VLOOKUP(M804,'02. MM-KLH'!$B$6:$T$823,9,0),"")</f>
        <v/>
      </c>
      <c r="P804" s="613"/>
      <c r="Q804" s="613"/>
      <c r="R804" s="613"/>
      <c r="S804" s="613"/>
      <c r="T804" s="613"/>
      <c r="U804" s="613" t="str">
        <f>IFERROR(VLOOKUP(M804,'02. MM-KLH'!$B$6:$T$823,2,0),"")</f>
        <v/>
      </c>
      <c r="V804" s="523" t="str">
        <f>IFERROR(VLOOKUP(M804,'02. MM-KLH'!$B$6:$T$823,8,0),"")</f>
        <v/>
      </c>
      <c r="W804" s="613"/>
      <c r="X804" s="613"/>
      <c r="Y804" s="613"/>
      <c r="Z804" s="523" t="str">
        <f>IFERROR(VLOOKUP(M804,'02. MM-KLH'!$B$6:$T$823,3,0),"")</f>
        <v/>
      </c>
      <c r="AA804" s="613"/>
      <c r="AB804" s="523"/>
      <c r="AC804" s="523"/>
    </row>
    <row r="805">
      <c r="A805" s="523"/>
      <c r="B805" s="612" t="str">
        <f>IFERROR(VLOOKUP(M805,'02. MM-KLH'!$B$6:$T$823,6,0),"")</f>
        <v/>
      </c>
      <c r="C805" s="566"/>
      <c r="D805" s="613" t="str">
        <f>IFERROR(VLOOKUP(M805,'02. MM-KLH'!$B$6:$T$823,16,0),"")</f>
        <v/>
      </c>
      <c r="E805" s="613"/>
      <c r="F805" s="613"/>
      <c r="G805" s="613"/>
      <c r="H805" s="613" t="str">
        <f>IFERROR(VLOOKUP(M805,'02. MM-KLH'!$B$6:$T$823,17,0),"")</f>
        <v/>
      </c>
      <c r="I805" s="614" t="str">
        <f>IFERROR(VLOOKUP(M805,'02. MM-KLH'!$B$6:$U$823,20,0),"")</f>
        <v/>
      </c>
      <c r="J805" s="612" t="str">
        <f>IFERROR(VLOOKUP(M805,'02. MM-KLH'!$B$6:$T$823,19,0),"")</f>
        <v/>
      </c>
      <c r="K805" s="612" t="str">
        <f>IFERROR(VLOOKUP(M805,'02. MM-KLH'!$B$6:$T$823,18,0),"")</f>
        <v/>
      </c>
      <c r="L805" s="613" t="str">
        <f>IFERROR(VLOOKUP(M805,'02. MM-KLH'!$B$6:$T$823,4,0),"")</f>
        <v/>
      </c>
      <c r="M805" s="488"/>
      <c r="N805" s="615" t="str">
        <f>IFERROR(VLOOKUP(M805,'02. MM-KLH'!$B$6:$T$823,15,0),"")</f>
        <v/>
      </c>
      <c r="O805" s="616" t="str">
        <f>IFERROR(VLOOKUP(M805,'02. MM-KLH'!$B$6:$T$823,9,0),"")</f>
        <v/>
      </c>
      <c r="P805" s="613"/>
      <c r="Q805" s="613"/>
      <c r="R805" s="613"/>
      <c r="S805" s="613"/>
      <c r="T805" s="613"/>
      <c r="U805" s="613" t="str">
        <f>IFERROR(VLOOKUP(M805,'02. MM-KLH'!$B$6:$T$823,2,0),"")</f>
        <v/>
      </c>
      <c r="V805" s="523" t="str">
        <f>IFERROR(VLOOKUP(M805,'02. MM-KLH'!$B$6:$T$823,8,0),"")</f>
        <v/>
      </c>
      <c r="W805" s="613"/>
      <c r="X805" s="613"/>
      <c r="Y805" s="613"/>
      <c r="Z805" s="523" t="str">
        <f>IFERROR(VLOOKUP(M805,'02. MM-KLH'!$B$6:$T$823,3,0),"")</f>
        <v/>
      </c>
      <c r="AA805" s="613"/>
      <c r="AB805" s="523"/>
      <c r="AC805" s="523"/>
    </row>
    <row r="806">
      <c r="A806" s="523"/>
      <c r="B806" s="612" t="str">
        <f>IFERROR(VLOOKUP(M806,'02. MM-KLH'!$B$6:$T$823,6,0),"")</f>
        <v/>
      </c>
      <c r="C806" s="566"/>
      <c r="D806" s="613" t="str">
        <f>IFERROR(VLOOKUP(M806,'02. MM-KLH'!$B$6:$T$823,16,0),"")</f>
        <v/>
      </c>
      <c r="E806" s="613"/>
      <c r="F806" s="613"/>
      <c r="G806" s="613"/>
      <c r="H806" s="613" t="str">
        <f>IFERROR(VLOOKUP(M806,'02. MM-KLH'!$B$6:$T$823,17,0),"")</f>
        <v/>
      </c>
      <c r="I806" s="614" t="str">
        <f>IFERROR(VLOOKUP(M806,'02. MM-KLH'!$B$6:$U$823,20,0),"")</f>
        <v/>
      </c>
      <c r="J806" s="612" t="str">
        <f>IFERROR(VLOOKUP(M806,'02. MM-KLH'!$B$6:$T$823,19,0),"")</f>
        <v/>
      </c>
      <c r="K806" s="612" t="str">
        <f>IFERROR(VLOOKUP(M806,'02. MM-KLH'!$B$6:$T$823,18,0),"")</f>
        <v/>
      </c>
      <c r="L806" s="613" t="str">
        <f>IFERROR(VLOOKUP(M806,'02. MM-KLH'!$B$6:$T$823,4,0),"")</f>
        <v/>
      </c>
      <c r="M806" s="488"/>
      <c r="N806" s="615" t="str">
        <f>IFERROR(VLOOKUP(M806,'02. MM-KLH'!$B$6:$T$823,15,0),"")</f>
        <v/>
      </c>
      <c r="O806" s="616" t="str">
        <f>IFERROR(VLOOKUP(M806,'02. MM-KLH'!$B$6:$T$823,9,0),"")</f>
        <v/>
      </c>
      <c r="P806" s="613"/>
      <c r="Q806" s="613"/>
      <c r="R806" s="613"/>
      <c r="S806" s="613"/>
      <c r="T806" s="613"/>
      <c r="U806" s="613" t="str">
        <f>IFERROR(VLOOKUP(M806,'02. MM-KLH'!$B$6:$T$823,2,0),"")</f>
        <v/>
      </c>
      <c r="V806" s="523" t="str">
        <f>IFERROR(VLOOKUP(M806,'02. MM-KLH'!$B$6:$T$823,8,0),"")</f>
        <v/>
      </c>
      <c r="W806" s="613"/>
      <c r="X806" s="613"/>
      <c r="Y806" s="613"/>
      <c r="Z806" s="523" t="str">
        <f>IFERROR(VLOOKUP(M806,'02. MM-KLH'!$B$6:$T$823,3,0),"")</f>
        <v/>
      </c>
      <c r="AA806" s="613"/>
      <c r="AB806" s="523"/>
      <c r="AC806" s="523"/>
    </row>
    <row r="807">
      <c r="A807" s="523"/>
      <c r="B807" s="612" t="str">
        <f>IFERROR(VLOOKUP(M807,'02. MM-KLH'!$B$6:$T$823,6,0),"")</f>
        <v/>
      </c>
      <c r="C807" s="566"/>
      <c r="D807" s="613" t="str">
        <f>IFERROR(VLOOKUP(M807,'02. MM-KLH'!$B$6:$T$823,16,0),"")</f>
        <v/>
      </c>
      <c r="E807" s="613"/>
      <c r="F807" s="613"/>
      <c r="G807" s="613"/>
      <c r="H807" s="613" t="str">
        <f>IFERROR(VLOOKUP(M807,'02. MM-KLH'!$B$6:$T$823,17,0),"")</f>
        <v/>
      </c>
      <c r="I807" s="614" t="str">
        <f>IFERROR(VLOOKUP(M807,'02. MM-KLH'!$B$6:$U$823,20,0),"")</f>
        <v/>
      </c>
      <c r="J807" s="612" t="str">
        <f>IFERROR(VLOOKUP(M807,'02. MM-KLH'!$B$6:$T$823,19,0),"")</f>
        <v/>
      </c>
      <c r="K807" s="612" t="str">
        <f>IFERROR(VLOOKUP(M807,'02. MM-KLH'!$B$6:$T$823,18,0),"")</f>
        <v/>
      </c>
      <c r="L807" s="613" t="str">
        <f>IFERROR(VLOOKUP(M807,'02. MM-KLH'!$B$6:$T$823,4,0),"")</f>
        <v/>
      </c>
      <c r="M807" s="488"/>
      <c r="N807" s="615" t="str">
        <f>IFERROR(VLOOKUP(M807,'02. MM-KLH'!$B$6:$T$823,15,0),"")</f>
        <v/>
      </c>
      <c r="O807" s="616" t="str">
        <f>IFERROR(VLOOKUP(M807,'02. MM-KLH'!$B$6:$T$823,9,0),"")</f>
        <v/>
      </c>
      <c r="P807" s="613"/>
      <c r="Q807" s="613"/>
      <c r="R807" s="613"/>
      <c r="S807" s="613"/>
      <c r="T807" s="613"/>
      <c r="U807" s="613" t="str">
        <f>IFERROR(VLOOKUP(M807,'02. MM-KLH'!$B$6:$T$823,2,0),"")</f>
        <v/>
      </c>
      <c r="V807" s="523" t="str">
        <f>IFERROR(VLOOKUP(M807,'02. MM-KLH'!$B$6:$T$823,8,0),"")</f>
        <v/>
      </c>
      <c r="W807" s="613"/>
      <c r="X807" s="613"/>
      <c r="Y807" s="613"/>
      <c r="Z807" s="523" t="str">
        <f>IFERROR(VLOOKUP(M807,'02. MM-KLH'!$B$6:$T$823,3,0),"")</f>
        <v/>
      </c>
      <c r="AA807" s="613"/>
      <c r="AB807" s="523"/>
      <c r="AC807" s="523"/>
    </row>
    <row r="808">
      <c r="A808" s="523"/>
      <c r="B808" s="612" t="str">
        <f>IFERROR(VLOOKUP(M808,'02. MM-KLH'!$B$6:$T$823,6,0),"")</f>
        <v/>
      </c>
      <c r="C808" s="566"/>
      <c r="D808" s="613" t="str">
        <f>IFERROR(VLOOKUP(M808,'02. MM-KLH'!$B$6:$T$823,16,0),"")</f>
        <v/>
      </c>
      <c r="E808" s="613"/>
      <c r="F808" s="613"/>
      <c r="G808" s="613"/>
      <c r="H808" s="613" t="str">
        <f>IFERROR(VLOOKUP(M808,'02. MM-KLH'!$B$6:$T$823,17,0),"")</f>
        <v/>
      </c>
      <c r="I808" s="614" t="str">
        <f>IFERROR(VLOOKUP(M808,'02. MM-KLH'!$B$6:$U$823,20,0),"")</f>
        <v/>
      </c>
      <c r="J808" s="612" t="str">
        <f>IFERROR(VLOOKUP(M808,'02. MM-KLH'!$B$6:$T$823,19,0),"")</f>
        <v/>
      </c>
      <c r="K808" s="612" t="str">
        <f>IFERROR(VLOOKUP(M808,'02. MM-KLH'!$B$6:$T$823,18,0),"")</f>
        <v/>
      </c>
      <c r="L808" s="613" t="str">
        <f>IFERROR(VLOOKUP(M808,'02. MM-KLH'!$B$6:$T$823,4,0),"")</f>
        <v/>
      </c>
      <c r="M808" s="488"/>
      <c r="N808" s="615" t="str">
        <f>IFERROR(VLOOKUP(M808,'02. MM-KLH'!$B$6:$T$823,15,0),"")</f>
        <v/>
      </c>
      <c r="O808" s="616" t="str">
        <f>IFERROR(VLOOKUP(M808,'02. MM-KLH'!$B$6:$T$823,9,0),"")</f>
        <v/>
      </c>
      <c r="P808" s="613"/>
      <c r="Q808" s="613"/>
      <c r="R808" s="613"/>
      <c r="S808" s="613"/>
      <c r="T808" s="613"/>
      <c r="U808" s="613" t="str">
        <f>IFERROR(VLOOKUP(M808,'02. MM-KLH'!$B$6:$T$823,2,0),"")</f>
        <v/>
      </c>
      <c r="V808" s="523" t="str">
        <f>IFERROR(VLOOKUP(M808,'02. MM-KLH'!$B$6:$T$823,8,0),"")</f>
        <v/>
      </c>
      <c r="W808" s="613"/>
      <c r="X808" s="613"/>
      <c r="Y808" s="613"/>
      <c r="Z808" s="523" t="str">
        <f>IFERROR(VLOOKUP(M808,'02. MM-KLH'!$B$6:$T$823,3,0),"")</f>
        <v/>
      </c>
      <c r="AA808" s="613"/>
      <c r="AB808" s="523"/>
      <c r="AC808" s="523"/>
    </row>
    <row r="809">
      <c r="A809" s="523"/>
      <c r="B809" s="612" t="str">
        <f>IFERROR(VLOOKUP(M809,'02. MM-KLH'!$B$6:$T$823,6,0),"")</f>
        <v/>
      </c>
      <c r="C809" s="566"/>
      <c r="D809" s="613" t="str">
        <f>IFERROR(VLOOKUP(M809,'02. MM-KLH'!$B$6:$T$823,16,0),"")</f>
        <v/>
      </c>
      <c r="E809" s="613"/>
      <c r="F809" s="613"/>
      <c r="G809" s="613"/>
      <c r="H809" s="613" t="str">
        <f>IFERROR(VLOOKUP(M809,'02. MM-KLH'!$B$6:$T$823,17,0),"")</f>
        <v/>
      </c>
      <c r="I809" s="614" t="str">
        <f>IFERROR(VLOOKUP(M809,'02. MM-KLH'!$B$6:$U$823,20,0),"")</f>
        <v/>
      </c>
      <c r="J809" s="612" t="str">
        <f>IFERROR(VLOOKUP(M809,'02. MM-KLH'!$B$6:$T$823,19,0),"")</f>
        <v/>
      </c>
      <c r="K809" s="612" t="str">
        <f>IFERROR(VLOOKUP(M809,'02. MM-KLH'!$B$6:$T$823,18,0),"")</f>
        <v/>
      </c>
      <c r="L809" s="613" t="str">
        <f>IFERROR(VLOOKUP(M809,'02. MM-KLH'!$B$6:$T$823,4,0),"")</f>
        <v/>
      </c>
      <c r="M809" s="488"/>
      <c r="N809" s="615" t="str">
        <f>IFERROR(VLOOKUP(M809,'02. MM-KLH'!$B$6:$T$823,15,0),"")</f>
        <v/>
      </c>
      <c r="O809" s="616" t="str">
        <f>IFERROR(VLOOKUP(M809,'02. MM-KLH'!$B$6:$T$823,9,0),"")</f>
        <v/>
      </c>
      <c r="P809" s="613"/>
      <c r="Q809" s="613"/>
      <c r="R809" s="613"/>
      <c r="S809" s="613"/>
      <c r="T809" s="613"/>
      <c r="U809" s="613" t="str">
        <f>IFERROR(VLOOKUP(M809,'02. MM-KLH'!$B$6:$T$823,2,0),"")</f>
        <v/>
      </c>
      <c r="V809" s="523" t="str">
        <f>IFERROR(VLOOKUP(M809,'02. MM-KLH'!$B$6:$T$823,8,0),"")</f>
        <v/>
      </c>
      <c r="W809" s="613"/>
      <c r="X809" s="613"/>
      <c r="Y809" s="613"/>
      <c r="Z809" s="523" t="str">
        <f>IFERROR(VLOOKUP(M809,'02. MM-KLH'!$B$6:$T$823,3,0),"")</f>
        <v/>
      </c>
      <c r="AA809" s="613"/>
      <c r="AB809" s="523"/>
      <c r="AC809" s="523"/>
    </row>
    <row r="810">
      <c r="A810" s="523"/>
      <c r="B810" s="612" t="str">
        <f>IFERROR(VLOOKUP(M810,'02. MM-KLH'!$B$6:$T$823,6,0),"")</f>
        <v/>
      </c>
      <c r="C810" s="566"/>
      <c r="D810" s="613" t="str">
        <f>IFERROR(VLOOKUP(M810,'02. MM-KLH'!$B$6:$T$823,16,0),"")</f>
        <v/>
      </c>
      <c r="E810" s="613"/>
      <c r="F810" s="613"/>
      <c r="G810" s="613"/>
      <c r="H810" s="613" t="str">
        <f>IFERROR(VLOOKUP(M810,'02. MM-KLH'!$B$6:$T$823,17,0),"")</f>
        <v/>
      </c>
      <c r="I810" s="614" t="str">
        <f>IFERROR(VLOOKUP(M810,'02. MM-KLH'!$B$6:$U$823,20,0),"")</f>
        <v/>
      </c>
      <c r="J810" s="612" t="str">
        <f>IFERROR(VLOOKUP(M810,'02. MM-KLH'!$B$6:$T$823,19,0),"")</f>
        <v/>
      </c>
      <c r="K810" s="612" t="str">
        <f>IFERROR(VLOOKUP(M810,'02. MM-KLH'!$B$6:$T$823,18,0),"")</f>
        <v/>
      </c>
      <c r="L810" s="613" t="str">
        <f>IFERROR(VLOOKUP(M810,'02. MM-KLH'!$B$6:$T$823,4,0),"")</f>
        <v/>
      </c>
      <c r="M810" s="488"/>
      <c r="N810" s="615" t="str">
        <f>IFERROR(VLOOKUP(M810,'02. MM-KLH'!$B$6:$T$823,15,0),"")</f>
        <v/>
      </c>
      <c r="O810" s="616" t="str">
        <f>IFERROR(VLOOKUP(M810,'02. MM-KLH'!$B$6:$T$823,9,0),"")</f>
        <v/>
      </c>
      <c r="P810" s="613"/>
      <c r="Q810" s="613"/>
      <c r="R810" s="613"/>
      <c r="S810" s="613"/>
      <c r="T810" s="613"/>
      <c r="U810" s="613" t="str">
        <f>IFERROR(VLOOKUP(M810,'02. MM-KLH'!$B$6:$T$823,2,0),"")</f>
        <v/>
      </c>
      <c r="V810" s="523" t="str">
        <f>IFERROR(VLOOKUP(M810,'02. MM-KLH'!$B$6:$T$823,8,0),"")</f>
        <v/>
      </c>
      <c r="W810" s="613"/>
      <c r="X810" s="613"/>
      <c r="Y810" s="613"/>
      <c r="Z810" s="523" t="str">
        <f>IFERROR(VLOOKUP(M810,'02. MM-KLH'!$B$6:$T$823,3,0),"")</f>
        <v/>
      </c>
      <c r="AA810" s="613"/>
      <c r="AB810" s="523"/>
      <c r="AC810" s="523"/>
    </row>
    <row r="811">
      <c r="A811" s="523"/>
      <c r="B811" s="612" t="str">
        <f>IFERROR(VLOOKUP(M811,'02. MM-KLH'!$B$6:$T$823,6,0),"")</f>
        <v/>
      </c>
      <c r="C811" s="566"/>
      <c r="D811" s="613" t="str">
        <f>IFERROR(VLOOKUP(M811,'02. MM-KLH'!$B$6:$T$823,16,0),"")</f>
        <v/>
      </c>
      <c r="E811" s="613"/>
      <c r="F811" s="613"/>
      <c r="G811" s="613"/>
      <c r="H811" s="613" t="str">
        <f>IFERROR(VLOOKUP(M811,'02. MM-KLH'!$B$6:$T$823,17,0),"")</f>
        <v/>
      </c>
      <c r="I811" s="614" t="str">
        <f>IFERROR(VLOOKUP(M811,'02. MM-KLH'!$B$6:$U$823,20,0),"")</f>
        <v/>
      </c>
      <c r="J811" s="612" t="str">
        <f>IFERROR(VLOOKUP(M811,'02. MM-KLH'!$B$6:$T$823,19,0),"")</f>
        <v/>
      </c>
      <c r="K811" s="612" t="str">
        <f>IFERROR(VLOOKUP(M811,'02. MM-KLH'!$B$6:$T$823,18,0),"")</f>
        <v/>
      </c>
      <c r="L811" s="613" t="str">
        <f>IFERROR(VLOOKUP(M811,'02. MM-KLH'!$B$6:$T$823,4,0),"")</f>
        <v/>
      </c>
      <c r="M811" s="488"/>
      <c r="N811" s="615" t="str">
        <f>IFERROR(VLOOKUP(M811,'02. MM-KLH'!$B$6:$T$823,15,0),"")</f>
        <v/>
      </c>
      <c r="O811" s="616" t="str">
        <f>IFERROR(VLOOKUP(M811,'02. MM-KLH'!$B$6:$T$823,9,0),"")</f>
        <v/>
      </c>
      <c r="P811" s="613"/>
      <c r="Q811" s="613"/>
      <c r="R811" s="613"/>
      <c r="S811" s="613"/>
      <c r="T811" s="613"/>
      <c r="U811" s="613" t="str">
        <f>IFERROR(VLOOKUP(M811,'02. MM-KLH'!$B$6:$T$823,2,0),"")</f>
        <v/>
      </c>
      <c r="V811" s="523" t="str">
        <f>IFERROR(VLOOKUP(M811,'02. MM-KLH'!$B$6:$T$823,8,0),"")</f>
        <v/>
      </c>
      <c r="W811" s="613"/>
      <c r="X811" s="613"/>
      <c r="Y811" s="613"/>
      <c r="Z811" s="523" t="str">
        <f>IFERROR(VLOOKUP(M811,'02. MM-KLH'!$B$6:$T$823,3,0),"")</f>
        <v/>
      </c>
      <c r="AA811" s="613"/>
      <c r="AB811" s="523"/>
      <c r="AC811" s="523"/>
    </row>
    <row r="812">
      <c r="A812" s="523"/>
      <c r="B812" s="612" t="str">
        <f>IFERROR(VLOOKUP(M812,'02. MM-KLH'!$B$6:$T$823,6,0),"")</f>
        <v/>
      </c>
      <c r="C812" s="566"/>
      <c r="D812" s="613" t="str">
        <f>IFERROR(VLOOKUP(M812,'02. MM-KLH'!$B$6:$T$823,16,0),"")</f>
        <v/>
      </c>
      <c r="E812" s="613"/>
      <c r="F812" s="613"/>
      <c r="G812" s="613"/>
      <c r="H812" s="613" t="str">
        <f>IFERROR(VLOOKUP(M812,'02. MM-KLH'!$B$6:$T$823,17,0),"")</f>
        <v/>
      </c>
      <c r="I812" s="614" t="str">
        <f>IFERROR(VLOOKUP(M812,'02. MM-KLH'!$B$6:$U$823,20,0),"")</f>
        <v/>
      </c>
      <c r="J812" s="612" t="str">
        <f>IFERROR(VLOOKUP(M812,'02. MM-KLH'!$B$6:$T$823,19,0),"")</f>
        <v/>
      </c>
      <c r="K812" s="612" t="str">
        <f>IFERROR(VLOOKUP(M812,'02. MM-KLH'!$B$6:$T$823,18,0),"")</f>
        <v/>
      </c>
      <c r="L812" s="613" t="str">
        <f>IFERROR(VLOOKUP(M812,'02. MM-KLH'!$B$6:$T$823,4,0),"")</f>
        <v/>
      </c>
      <c r="M812" s="488"/>
      <c r="N812" s="615" t="str">
        <f>IFERROR(VLOOKUP(M812,'02. MM-KLH'!$B$6:$T$823,15,0),"")</f>
        <v/>
      </c>
      <c r="O812" s="616" t="str">
        <f>IFERROR(VLOOKUP(M812,'02. MM-KLH'!$B$6:$T$823,9,0),"")</f>
        <v/>
      </c>
      <c r="P812" s="613"/>
      <c r="Q812" s="613"/>
      <c r="R812" s="613"/>
      <c r="S812" s="613"/>
      <c r="T812" s="613"/>
      <c r="U812" s="613" t="str">
        <f>IFERROR(VLOOKUP(M812,'02. MM-KLH'!$B$6:$T$823,2,0),"")</f>
        <v/>
      </c>
      <c r="V812" s="523" t="str">
        <f>IFERROR(VLOOKUP(M812,'02. MM-KLH'!$B$6:$T$823,8,0),"")</f>
        <v/>
      </c>
      <c r="W812" s="613"/>
      <c r="X812" s="613"/>
      <c r="Y812" s="613"/>
      <c r="Z812" s="523" t="str">
        <f>IFERROR(VLOOKUP(M812,'02. MM-KLH'!$B$6:$T$823,3,0),"")</f>
        <v/>
      </c>
      <c r="AA812" s="613"/>
      <c r="AB812" s="523"/>
      <c r="AC812" s="523"/>
    </row>
    <row r="813">
      <c r="A813" s="523"/>
      <c r="B813" s="612" t="str">
        <f>IFERROR(VLOOKUP(M813,'02. MM-KLH'!$B$6:$T$823,6,0),"")</f>
        <v/>
      </c>
      <c r="C813" s="566"/>
      <c r="D813" s="613" t="str">
        <f>IFERROR(VLOOKUP(M813,'02. MM-KLH'!$B$6:$T$823,16,0),"")</f>
        <v/>
      </c>
      <c r="E813" s="613"/>
      <c r="F813" s="613"/>
      <c r="G813" s="613"/>
      <c r="H813" s="613" t="str">
        <f>IFERROR(VLOOKUP(M813,'02. MM-KLH'!$B$6:$T$823,17,0),"")</f>
        <v/>
      </c>
      <c r="I813" s="614" t="str">
        <f>IFERROR(VLOOKUP(M813,'02. MM-KLH'!$B$6:$U$823,20,0),"")</f>
        <v/>
      </c>
      <c r="J813" s="612" t="str">
        <f>IFERROR(VLOOKUP(M813,'02. MM-KLH'!$B$6:$T$823,19,0),"")</f>
        <v/>
      </c>
      <c r="K813" s="612" t="str">
        <f>IFERROR(VLOOKUP(M813,'02. MM-KLH'!$B$6:$T$823,18,0),"")</f>
        <v/>
      </c>
      <c r="L813" s="613" t="str">
        <f>IFERROR(VLOOKUP(M813,'02. MM-KLH'!$B$6:$T$823,4,0),"")</f>
        <v/>
      </c>
      <c r="M813" s="488"/>
      <c r="N813" s="615" t="str">
        <f>IFERROR(VLOOKUP(M813,'02. MM-KLH'!$B$6:$T$823,15,0),"")</f>
        <v/>
      </c>
      <c r="O813" s="616" t="str">
        <f>IFERROR(VLOOKUP(M813,'02. MM-KLH'!$B$6:$T$823,9,0),"")</f>
        <v/>
      </c>
      <c r="P813" s="613"/>
      <c r="Q813" s="613"/>
      <c r="R813" s="613"/>
      <c r="S813" s="613"/>
      <c r="T813" s="613"/>
      <c r="U813" s="613" t="str">
        <f>IFERROR(VLOOKUP(M813,'02. MM-KLH'!$B$6:$T$823,2,0),"")</f>
        <v/>
      </c>
      <c r="V813" s="523" t="str">
        <f>IFERROR(VLOOKUP(M813,'02. MM-KLH'!$B$6:$T$823,8,0),"")</f>
        <v/>
      </c>
      <c r="W813" s="613"/>
      <c r="X813" s="613"/>
      <c r="Y813" s="613"/>
      <c r="Z813" s="523" t="str">
        <f>IFERROR(VLOOKUP(M813,'02. MM-KLH'!$B$6:$T$823,3,0),"")</f>
        <v/>
      </c>
      <c r="AA813" s="613"/>
      <c r="AB813" s="523"/>
      <c r="AC813" s="523"/>
    </row>
    <row r="814">
      <c r="A814" s="523"/>
      <c r="B814" s="612" t="str">
        <f>IFERROR(VLOOKUP(M814,'02. MM-KLH'!$B$6:$T$823,6,0),"")</f>
        <v/>
      </c>
      <c r="C814" s="566"/>
      <c r="D814" s="613" t="str">
        <f>IFERROR(VLOOKUP(M814,'02. MM-KLH'!$B$6:$T$823,16,0),"")</f>
        <v/>
      </c>
      <c r="E814" s="613"/>
      <c r="F814" s="613"/>
      <c r="G814" s="613"/>
      <c r="H814" s="613" t="str">
        <f>IFERROR(VLOOKUP(M814,'02. MM-KLH'!$B$6:$T$823,17,0),"")</f>
        <v/>
      </c>
      <c r="I814" s="614" t="str">
        <f>IFERROR(VLOOKUP(M814,'02. MM-KLH'!$B$6:$U$823,20,0),"")</f>
        <v/>
      </c>
      <c r="J814" s="612" t="str">
        <f>IFERROR(VLOOKUP(M814,'02. MM-KLH'!$B$6:$T$823,19,0),"")</f>
        <v/>
      </c>
      <c r="K814" s="612" t="str">
        <f>IFERROR(VLOOKUP(M814,'02. MM-KLH'!$B$6:$T$823,18,0),"")</f>
        <v/>
      </c>
      <c r="L814" s="613" t="str">
        <f>IFERROR(VLOOKUP(M814,'02. MM-KLH'!$B$6:$T$823,4,0),"")</f>
        <v/>
      </c>
      <c r="M814" s="488"/>
      <c r="N814" s="615" t="str">
        <f>IFERROR(VLOOKUP(M814,'02. MM-KLH'!$B$6:$T$823,15,0),"")</f>
        <v/>
      </c>
      <c r="O814" s="616" t="str">
        <f>IFERROR(VLOOKUP(M814,'02. MM-KLH'!$B$6:$T$823,9,0),"")</f>
        <v/>
      </c>
      <c r="P814" s="613"/>
      <c r="Q814" s="613"/>
      <c r="R814" s="613"/>
      <c r="S814" s="613"/>
      <c r="T814" s="613"/>
      <c r="U814" s="613" t="str">
        <f>IFERROR(VLOOKUP(M814,'02. MM-KLH'!$B$6:$T$823,2,0),"")</f>
        <v/>
      </c>
      <c r="V814" s="523" t="str">
        <f>IFERROR(VLOOKUP(M814,'02. MM-KLH'!$B$6:$T$823,8,0),"")</f>
        <v/>
      </c>
      <c r="W814" s="613"/>
      <c r="X814" s="613"/>
      <c r="Y814" s="613"/>
      <c r="Z814" s="523" t="str">
        <f>IFERROR(VLOOKUP(M814,'02. MM-KLH'!$B$6:$T$823,3,0),"")</f>
        <v/>
      </c>
      <c r="AA814" s="613"/>
      <c r="AB814" s="523"/>
      <c r="AC814" s="523"/>
    </row>
    <row r="815">
      <c r="A815" s="523"/>
      <c r="B815" s="612" t="str">
        <f>IFERROR(VLOOKUP(M815,'02. MM-KLH'!$B$6:$T$823,6,0),"")</f>
        <v/>
      </c>
      <c r="C815" s="566"/>
      <c r="D815" s="613" t="str">
        <f>IFERROR(VLOOKUP(M815,'02. MM-KLH'!$B$6:$T$823,16,0),"")</f>
        <v/>
      </c>
      <c r="E815" s="613"/>
      <c r="F815" s="613"/>
      <c r="G815" s="613"/>
      <c r="H815" s="613" t="str">
        <f>IFERROR(VLOOKUP(M815,'02. MM-KLH'!$B$6:$T$823,17,0),"")</f>
        <v/>
      </c>
      <c r="I815" s="614" t="str">
        <f>IFERROR(VLOOKUP(M815,'02. MM-KLH'!$B$6:$U$823,20,0),"")</f>
        <v/>
      </c>
      <c r="J815" s="612" t="str">
        <f>IFERROR(VLOOKUP(M815,'02. MM-KLH'!$B$6:$T$823,19,0),"")</f>
        <v/>
      </c>
      <c r="K815" s="612" t="str">
        <f>IFERROR(VLOOKUP(M815,'02. MM-KLH'!$B$6:$T$823,18,0),"")</f>
        <v/>
      </c>
      <c r="L815" s="613" t="str">
        <f>IFERROR(VLOOKUP(M815,'02. MM-KLH'!$B$6:$T$823,4,0),"")</f>
        <v/>
      </c>
      <c r="M815" s="488"/>
      <c r="N815" s="615" t="str">
        <f>IFERROR(VLOOKUP(M815,'02. MM-KLH'!$B$6:$T$823,15,0),"")</f>
        <v/>
      </c>
      <c r="O815" s="616" t="str">
        <f>IFERROR(VLOOKUP(M815,'02. MM-KLH'!$B$6:$T$823,9,0),"")</f>
        <v/>
      </c>
      <c r="P815" s="613"/>
      <c r="Q815" s="613"/>
      <c r="R815" s="613"/>
      <c r="S815" s="613"/>
      <c r="T815" s="613"/>
      <c r="U815" s="613" t="str">
        <f>IFERROR(VLOOKUP(M815,'02. MM-KLH'!$B$6:$T$823,2,0),"")</f>
        <v/>
      </c>
      <c r="V815" s="523" t="str">
        <f>IFERROR(VLOOKUP(M815,'02. MM-KLH'!$B$6:$T$823,8,0),"")</f>
        <v/>
      </c>
      <c r="W815" s="613"/>
      <c r="X815" s="613"/>
      <c r="Y815" s="613"/>
      <c r="Z815" s="523" t="str">
        <f>IFERROR(VLOOKUP(M815,'02. MM-KLH'!$B$6:$T$823,3,0),"")</f>
        <v/>
      </c>
      <c r="AA815" s="613"/>
      <c r="AB815" s="523"/>
      <c r="AC815" s="523"/>
    </row>
    <row r="816">
      <c r="A816" s="523"/>
      <c r="B816" s="612" t="str">
        <f>IFERROR(VLOOKUP(M816,'02. MM-KLH'!$B$6:$T$823,6,0),"")</f>
        <v/>
      </c>
      <c r="C816" s="566"/>
      <c r="D816" s="613" t="str">
        <f>IFERROR(VLOOKUP(M816,'02. MM-KLH'!$B$6:$T$823,16,0),"")</f>
        <v/>
      </c>
      <c r="E816" s="613"/>
      <c r="F816" s="613"/>
      <c r="G816" s="613"/>
      <c r="H816" s="613" t="str">
        <f>IFERROR(VLOOKUP(M816,'02. MM-KLH'!$B$6:$T$823,17,0),"")</f>
        <v/>
      </c>
      <c r="I816" s="614" t="str">
        <f>IFERROR(VLOOKUP(M816,'02. MM-KLH'!$B$6:$U$823,20,0),"")</f>
        <v/>
      </c>
      <c r="J816" s="612" t="str">
        <f>IFERROR(VLOOKUP(M816,'02. MM-KLH'!$B$6:$T$823,19,0),"")</f>
        <v/>
      </c>
      <c r="K816" s="612" t="str">
        <f>IFERROR(VLOOKUP(M816,'02. MM-KLH'!$B$6:$T$823,18,0),"")</f>
        <v/>
      </c>
      <c r="L816" s="613" t="str">
        <f>IFERROR(VLOOKUP(M816,'02. MM-KLH'!$B$6:$T$823,4,0),"")</f>
        <v/>
      </c>
      <c r="M816" s="488"/>
      <c r="N816" s="615" t="str">
        <f>IFERROR(VLOOKUP(M816,'02. MM-KLH'!$B$6:$T$823,15,0),"")</f>
        <v/>
      </c>
      <c r="O816" s="616" t="str">
        <f>IFERROR(VLOOKUP(M816,'02. MM-KLH'!$B$6:$T$823,9,0),"")</f>
        <v/>
      </c>
      <c r="P816" s="613"/>
      <c r="Q816" s="613"/>
      <c r="R816" s="613"/>
      <c r="S816" s="613"/>
      <c r="T816" s="613"/>
      <c r="U816" s="613" t="str">
        <f>IFERROR(VLOOKUP(M816,'02. MM-KLH'!$B$6:$T$823,2,0),"")</f>
        <v/>
      </c>
      <c r="V816" s="523" t="str">
        <f>IFERROR(VLOOKUP(M816,'02. MM-KLH'!$B$6:$T$823,8,0),"")</f>
        <v/>
      </c>
      <c r="W816" s="613"/>
      <c r="X816" s="613"/>
      <c r="Y816" s="613"/>
      <c r="Z816" s="523" t="str">
        <f>IFERROR(VLOOKUP(M816,'02. MM-KLH'!$B$6:$T$823,3,0),"")</f>
        <v/>
      </c>
      <c r="AA816" s="613"/>
      <c r="AB816" s="523"/>
      <c r="AC816" s="523"/>
    </row>
    <row r="817">
      <c r="A817" s="523"/>
      <c r="B817" s="612" t="str">
        <f>IFERROR(VLOOKUP(M817,'02. MM-KLH'!$B$6:$T$823,6,0),"")</f>
        <v/>
      </c>
      <c r="C817" s="566"/>
      <c r="D817" s="613" t="str">
        <f>IFERROR(VLOOKUP(M817,'02. MM-KLH'!$B$6:$T$823,16,0),"")</f>
        <v/>
      </c>
      <c r="E817" s="613"/>
      <c r="F817" s="613"/>
      <c r="G817" s="613"/>
      <c r="H817" s="613" t="str">
        <f>IFERROR(VLOOKUP(M817,'02. MM-KLH'!$B$6:$T$823,17,0),"")</f>
        <v/>
      </c>
      <c r="I817" s="614" t="str">
        <f>IFERROR(VLOOKUP(M817,'02. MM-KLH'!$B$6:$U$823,20,0),"")</f>
        <v/>
      </c>
      <c r="J817" s="612" t="str">
        <f>IFERROR(VLOOKUP(M817,'02. MM-KLH'!$B$6:$T$823,19,0),"")</f>
        <v/>
      </c>
      <c r="K817" s="612" t="str">
        <f>IFERROR(VLOOKUP(M817,'02. MM-KLH'!$B$6:$T$823,18,0),"")</f>
        <v/>
      </c>
      <c r="L817" s="613" t="str">
        <f>IFERROR(VLOOKUP(M817,'02. MM-KLH'!$B$6:$T$823,4,0),"")</f>
        <v/>
      </c>
      <c r="M817" s="488"/>
      <c r="N817" s="615" t="str">
        <f>IFERROR(VLOOKUP(M817,'02. MM-KLH'!$B$6:$T$823,15,0),"")</f>
        <v/>
      </c>
      <c r="O817" s="616" t="str">
        <f>IFERROR(VLOOKUP(M817,'02. MM-KLH'!$B$6:$T$823,9,0),"")</f>
        <v/>
      </c>
      <c r="P817" s="613"/>
      <c r="Q817" s="613"/>
      <c r="R817" s="613"/>
      <c r="S817" s="613"/>
      <c r="T817" s="613"/>
      <c r="U817" s="613" t="str">
        <f>IFERROR(VLOOKUP(M817,'02. MM-KLH'!$B$6:$T$823,2,0),"")</f>
        <v/>
      </c>
      <c r="V817" s="523" t="str">
        <f>IFERROR(VLOOKUP(M817,'02. MM-KLH'!$B$6:$T$823,8,0),"")</f>
        <v/>
      </c>
      <c r="W817" s="613"/>
      <c r="X817" s="613"/>
      <c r="Y817" s="613"/>
      <c r="Z817" s="523" t="str">
        <f>IFERROR(VLOOKUP(M817,'02. MM-KLH'!$B$6:$T$823,3,0),"")</f>
        <v/>
      </c>
      <c r="AA817" s="613"/>
      <c r="AB817" s="523"/>
      <c r="AC817" s="523"/>
    </row>
    <row r="818">
      <c r="A818" s="523"/>
      <c r="B818" s="612" t="str">
        <f>IFERROR(VLOOKUP(M818,'02. MM-KLH'!$B$6:$T$823,6,0),"")</f>
        <v/>
      </c>
      <c r="C818" s="566"/>
      <c r="D818" s="613" t="str">
        <f>IFERROR(VLOOKUP(M818,'02. MM-KLH'!$B$6:$T$823,16,0),"")</f>
        <v/>
      </c>
      <c r="E818" s="613"/>
      <c r="F818" s="613"/>
      <c r="G818" s="613"/>
      <c r="H818" s="613" t="str">
        <f>IFERROR(VLOOKUP(M818,'02. MM-KLH'!$B$6:$T$823,17,0),"")</f>
        <v/>
      </c>
      <c r="I818" s="614" t="str">
        <f>IFERROR(VLOOKUP(M818,'02. MM-KLH'!$B$6:$U$823,20,0),"")</f>
        <v/>
      </c>
      <c r="J818" s="612" t="str">
        <f>IFERROR(VLOOKUP(M818,'02. MM-KLH'!$B$6:$T$823,19,0),"")</f>
        <v/>
      </c>
      <c r="K818" s="612" t="str">
        <f>IFERROR(VLOOKUP(M818,'02. MM-KLH'!$B$6:$T$823,18,0),"")</f>
        <v/>
      </c>
      <c r="L818" s="613" t="str">
        <f>IFERROR(VLOOKUP(M818,'02. MM-KLH'!$B$6:$T$823,4,0),"")</f>
        <v/>
      </c>
      <c r="M818" s="488"/>
      <c r="N818" s="615" t="str">
        <f>IFERROR(VLOOKUP(M818,'02. MM-KLH'!$B$6:$T$823,15,0),"")</f>
        <v/>
      </c>
      <c r="O818" s="616" t="str">
        <f>IFERROR(VLOOKUP(M818,'02. MM-KLH'!$B$6:$T$823,9,0),"")</f>
        <v/>
      </c>
      <c r="P818" s="613"/>
      <c r="Q818" s="613"/>
      <c r="R818" s="613"/>
      <c r="S818" s="613"/>
      <c r="T818" s="613"/>
      <c r="U818" s="613" t="str">
        <f>IFERROR(VLOOKUP(M818,'02. MM-KLH'!$B$6:$T$823,2,0),"")</f>
        <v/>
      </c>
      <c r="V818" s="523" t="str">
        <f>IFERROR(VLOOKUP(M818,'02. MM-KLH'!$B$6:$T$823,8,0),"")</f>
        <v/>
      </c>
      <c r="W818" s="613"/>
      <c r="X818" s="613"/>
      <c r="Y818" s="613"/>
      <c r="Z818" s="523" t="str">
        <f>IFERROR(VLOOKUP(M818,'02. MM-KLH'!$B$6:$T$823,3,0),"")</f>
        <v/>
      </c>
      <c r="AA818" s="613"/>
      <c r="AB818" s="523"/>
      <c r="AC818" s="523"/>
    </row>
    <row r="819">
      <c r="A819" s="523"/>
      <c r="B819" s="612" t="str">
        <f>IFERROR(VLOOKUP(M819,'02. MM-KLH'!$B$6:$T$823,6,0),"")</f>
        <v/>
      </c>
      <c r="C819" s="566"/>
      <c r="D819" s="613" t="str">
        <f>IFERROR(VLOOKUP(M819,'02. MM-KLH'!$B$6:$T$823,16,0),"")</f>
        <v/>
      </c>
      <c r="E819" s="613"/>
      <c r="F819" s="613"/>
      <c r="G819" s="613"/>
      <c r="H819" s="613" t="str">
        <f>IFERROR(VLOOKUP(M819,'02. MM-KLH'!$B$6:$T$823,17,0),"")</f>
        <v/>
      </c>
      <c r="I819" s="614" t="str">
        <f>IFERROR(VLOOKUP(M819,'02. MM-KLH'!$B$6:$U$823,20,0),"")</f>
        <v/>
      </c>
      <c r="J819" s="612" t="str">
        <f>IFERROR(VLOOKUP(M819,'02. MM-KLH'!$B$6:$T$823,19,0),"")</f>
        <v/>
      </c>
      <c r="K819" s="612" t="str">
        <f>IFERROR(VLOOKUP(M819,'02. MM-KLH'!$B$6:$T$823,18,0),"")</f>
        <v/>
      </c>
      <c r="L819" s="613" t="str">
        <f>IFERROR(VLOOKUP(M819,'02. MM-KLH'!$B$6:$T$823,4,0),"")</f>
        <v/>
      </c>
      <c r="M819" s="488"/>
      <c r="N819" s="615" t="str">
        <f>IFERROR(VLOOKUP(M819,'02. MM-KLH'!$B$6:$T$823,15,0),"")</f>
        <v/>
      </c>
      <c r="O819" s="616" t="str">
        <f>IFERROR(VLOOKUP(M819,'02. MM-KLH'!$B$6:$T$823,9,0),"")</f>
        <v/>
      </c>
      <c r="P819" s="613"/>
      <c r="Q819" s="613"/>
      <c r="R819" s="613"/>
      <c r="S819" s="613"/>
      <c r="T819" s="613"/>
      <c r="U819" s="613" t="str">
        <f>IFERROR(VLOOKUP(M819,'02. MM-KLH'!$B$6:$T$823,2,0),"")</f>
        <v/>
      </c>
      <c r="V819" s="523" t="str">
        <f>IFERROR(VLOOKUP(M819,'02. MM-KLH'!$B$6:$T$823,8,0),"")</f>
        <v/>
      </c>
      <c r="W819" s="613"/>
      <c r="X819" s="613"/>
      <c r="Y819" s="613"/>
      <c r="Z819" s="523" t="str">
        <f>IFERROR(VLOOKUP(M819,'02. MM-KLH'!$B$6:$T$823,3,0),"")</f>
        <v/>
      </c>
      <c r="AA819" s="613"/>
      <c r="AB819" s="523"/>
      <c r="AC819" s="523"/>
    </row>
    <row r="820">
      <c r="A820" s="523"/>
      <c r="B820" s="612" t="str">
        <f>IFERROR(VLOOKUP(M820,'02. MM-KLH'!$B$6:$T$823,6,0),"")</f>
        <v/>
      </c>
      <c r="C820" s="566"/>
      <c r="D820" s="613" t="str">
        <f>IFERROR(VLOOKUP(M820,'02. MM-KLH'!$B$6:$T$823,16,0),"")</f>
        <v/>
      </c>
      <c r="E820" s="613"/>
      <c r="F820" s="613"/>
      <c r="G820" s="613"/>
      <c r="H820" s="613" t="str">
        <f>IFERROR(VLOOKUP(M820,'02. MM-KLH'!$B$6:$T$823,17,0),"")</f>
        <v/>
      </c>
      <c r="I820" s="614" t="str">
        <f>IFERROR(VLOOKUP(M820,'02. MM-KLH'!$B$6:$U$823,20,0),"")</f>
        <v/>
      </c>
      <c r="J820" s="612" t="str">
        <f>IFERROR(VLOOKUP(M820,'02. MM-KLH'!$B$6:$T$823,19,0),"")</f>
        <v/>
      </c>
      <c r="K820" s="612" t="str">
        <f>IFERROR(VLOOKUP(M820,'02. MM-KLH'!$B$6:$T$823,18,0),"")</f>
        <v/>
      </c>
      <c r="L820" s="613" t="str">
        <f>IFERROR(VLOOKUP(M820,'02. MM-KLH'!$B$6:$T$823,4,0),"")</f>
        <v/>
      </c>
      <c r="M820" s="488"/>
      <c r="N820" s="615" t="str">
        <f>IFERROR(VLOOKUP(M820,'02. MM-KLH'!$B$6:$T$823,15,0),"")</f>
        <v/>
      </c>
      <c r="O820" s="616" t="str">
        <f>IFERROR(VLOOKUP(M820,'02. MM-KLH'!$B$6:$T$823,9,0),"")</f>
        <v/>
      </c>
      <c r="P820" s="613"/>
      <c r="Q820" s="613"/>
      <c r="R820" s="613"/>
      <c r="S820" s="613"/>
      <c r="T820" s="613"/>
      <c r="U820" s="613" t="str">
        <f>IFERROR(VLOOKUP(M820,'02. MM-KLH'!$B$6:$T$823,2,0),"")</f>
        <v/>
      </c>
      <c r="V820" s="523" t="str">
        <f>IFERROR(VLOOKUP(M820,'02. MM-KLH'!$B$6:$T$823,8,0),"")</f>
        <v/>
      </c>
      <c r="W820" s="613"/>
      <c r="X820" s="613"/>
      <c r="Y820" s="613"/>
      <c r="Z820" s="523" t="str">
        <f>IFERROR(VLOOKUP(M820,'02. MM-KLH'!$B$6:$T$823,3,0),"")</f>
        <v/>
      </c>
      <c r="AA820" s="613"/>
      <c r="AB820" s="523"/>
      <c r="AC820" s="523"/>
    </row>
    <row r="821">
      <c r="A821" s="523"/>
      <c r="B821" s="612" t="str">
        <f>IFERROR(VLOOKUP(M821,'02. MM-KLH'!$B$6:$T$823,6,0),"")</f>
        <v/>
      </c>
      <c r="C821" s="566"/>
      <c r="D821" s="613" t="str">
        <f>IFERROR(VLOOKUP(M821,'02. MM-KLH'!$B$6:$T$823,16,0),"")</f>
        <v/>
      </c>
      <c r="E821" s="613"/>
      <c r="F821" s="613"/>
      <c r="G821" s="613"/>
      <c r="H821" s="613" t="str">
        <f>IFERROR(VLOOKUP(M821,'02. MM-KLH'!$B$6:$T$823,17,0),"")</f>
        <v/>
      </c>
      <c r="I821" s="614" t="str">
        <f>IFERROR(VLOOKUP(M821,'02. MM-KLH'!$B$6:$U$823,20,0),"")</f>
        <v/>
      </c>
      <c r="J821" s="612" t="str">
        <f>IFERROR(VLOOKUP(M821,'02. MM-KLH'!$B$6:$T$823,19,0),"")</f>
        <v/>
      </c>
      <c r="K821" s="612" t="str">
        <f>IFERROR(VLOOKUP(M821,'02. MM-KLH'!$B$6:$T$823,18,0),"")</f>
        <v/>
      </c>
      <c r="L821" s="613" t="str">
        <f>IFERROR(VLOOKUP(M821,'02. MM-KLH'!$B$6:$T$823,4,0),"")</f>
        <v/>
      </c>
      <c r="M821" s="488"/>
      <c r="N821" s="615" t="str">
        <f>IFERROR(VLOOKUP(M821,'02. MM-KLH'!$B$6:$T$823,15,0),"")</f>
        <v/>
      </c>
      <c r="O821" s="616" t="str">
        <f>IFERROR(VLOOKUP(M821,'02. MM-KLH'!$B$6:$T$823,9,0),"")</f>
        <v/>
      </c>
      <c r="P821" s="613"/>
      <c r="Q821" s="613"/>
      <c r="R821" s="613"/>
      <c r="S821" s="613"/>
      <c r="T821" s="613"/>
      <c r="U821" s="613" t="str">
        <f>IFERROR(VLOOKUP(M821,'02. MM-KLH'!$B$6:$T$823,2,0),"")</f>
        <v/>
      </c>
      <c r="V821" s="523" t="str">
        <f>IFERROR(VLOOKUP(M821,'02. MM-KLH'!$B$6:$T$823,8,0),"")</f>
        <v/>
      </c>
      <c r="W821" s="613"/>
      <c r="X821" s="613"/>
      <c r="Y821" s="613"/>
      <c r="Z821" s="523" t="str">
        <f>IFERROR(VLOOKUP(M821,'02. MM-KLH'!$B$6:$T$823,3,0),"")</f>
        <v/>
      </c>
      <c r="AA821" s="613"/>
      <c r="AB821" s="523"/>
      <c r="AC821" s="523"/>
    </row>
    <row r="822">
      <c r="A822" s="523"/>
      <c r="B822" s="612" t="str">
        <f>IFERROR(VLOOKUP(M822,'02. MM-KLH'!$B$6:$T$823,6,0),"")</f>
        <v/>
      </c>
      <c r="C822" s="566"/>
      <c r="D822" s="613" t="str">
        <f>IFERROR(VLOOKUP(M822,'02. MM-KLH'!$B$6:$T$823,16,0),"")</f>
        <v/>
      </c>
      <c r="E822" s="613"/>
      <c r="F822" s="613"/>
      <c r="G822" s="613"/>
      <c r="H822" s="613" t="str">
        <f>IFERROR(VLOOKUP(M822,'02. MM-KLH'!$B$6:$T$823,17,0),"")</f>
        <v/>
      </c>
      <c r="I822" s="614" t="str">
        <f>IFERROR(VLOOKUP(M822,'02. MM-KLH'!$B$6:$U$823,20,0),"")</f>
        <v/>
      </c>
      <c r="J822" s="612" t="str">
        <f>IFERROR(VLOOKUP(M822,'02. MM-KLH'!$B$6:$T$823,19,0),"")</f>
        <v/>
      </c>
      <c r="K822" s="612" t="str">
        <f>IFERROR(VLOOKUP(M822,'02. MM-KLH'!$B$6:$T$823,18,0),"")</f>
        <v/>
      </c>
      <c r="L822" s="613" t="str">
        <f>IFERROR(VLOOKUP(M822,'02. MM-KLH'!$B$6:$T$823,4,0),"")</f>
        <v/>
      </c>
      <c r="M822" s="488"/>
      <c r="N822" s="615" t="str">
        <f>IFERROR(VLOOKUP(M822,'02. MM-KLH'!$B$6:$T$823,15,0),"")</f>
        <v/>
      </c>
      <c r="O822" s="616" t="str">
        <f>IFERROR(VLOOKUP(M822,'02. MM-KLH'!$B$6:$T$823,9,0),"")</f>
        <v/>
      </c>
      <c r="P822" s="613"/>
      <c r="Q822" s="613"/>
      <c r="R822" s="613"/>
      <c r="S822" s="613"/>
      <c r="T822" s="613"/>
      <c r="U822" s="613" t="str">
        <f>IFERROR(VLOOKUP(M822,'02. MM-KLH'!$B$6:$T$823,2,0),"")</f>
        <v/>
      </c>
      <c r="V822" s="523" t="str">
        <f>IFERROR(VLOOKUP(M822,'02. MM-KLH'!$B$6:$T$823,8,0),"")</f>
        <v/>
      </c>
      <c r="W822" s="613"/>
      <c r="X822" s="613"/>
      <c r="Y822" s="613"/>
      <c r="Z822" s="523" t="str">
        <f>IFERROR(VLOOKUP(M822,'02. MM-KLH'!$B$6:$T$823,3,0),"")</f>
        <v/>
      </c>
      <c r="AA822" s="613"/>
      <c r="AB822" s="523"/>
      <c r="AC822" s="523"/>
    </row>
    <row r="823">
      <c r="A823" s="523"/>
      <c r="B823" s="612" t="str">
        <f>IFERROR(VLOOKUP(M823,'02. MM-KLH'!$B$6:$T$823,6,0),"")</f>
        <v/>
      </c>
      <c r="C823" s="566"/>
      <c r="D823" s="613" t="str">
        <f>IFERROR(VLOOKUP(M823,'02. MM-KLH'!$B$6:$T$823,16,0),"")</f>
        <v/>
      </c>
      <c r="E823" s="613"/>
      <c r="F823" s="613"/>
      <c r="G823" s="613"/>
      <c r="H823" s="613" t="str">
        <f>IFERROR(VLOOKUP(M823,'02. MM-KLH'!$B$6:$T$823,17,0),"")</f>
        <v/>
      </c>
      <c r="I823" s="614" t="str">
        <f>IFERROR(VLOOKUP(M823,'02. MM-KLH'!$B$6:$U$823,20,0),"")</f>
        <v/>
      </c>
      <c r="J823" s="612" t="str">
        <f>IFERROR(VLOOKUP(M823,'02. MM-KLH'!$B$6:$T$823,19,0),"")</f>
        <v/>
      </c>
      <c r="K823" s="612" t="str">
        <f>IFERROR(VLOOKUP(M823,'02. MM-KLH'!$B$6:$T$823,18,0),"")</f>
        <v/>
      </c>
      <c r="L823" s="613" t="str">
        <f>IFERROR(VLOOKUP(M823,'02. MM-KLH'!$B$6:$T$823,4,0),"")</f>
        <v/>
      </c>
      <c r="M823" s="488"/>
      <c r="N823" s="615" t="str">
        <f>IFERROR(VLOOKUP(M823,'02. MM-KLH'!$B$6:$T$823,15,0),"")</f>
        <v/>
      </c>
      <c r="O823" s="616" t="str">
        <f>IFERROR(VLOOKUP(M823,'02. MM-KLH'!$B$6:$T$823,9,0),"")</f>
        <v/>
      </c>
      <c r="P823" s="613"/>
      <c r="Q823" s="613"/>
      <c r="R823" s="613"/>
      <c r="S823" s="613"/>
      <c r="T823" s="613"/>
      <c r="U823" s="613" t="str">
        <f>IFERROR(VLOOKUP(M823,'02. MM-KLH'!$B$6:$T$823,2,0),"")</f>
        <v/>
      </c>
      <c r="V823" s="523" t="str">
        <f>IFERROR(VLOOKUP(M823,'02. MM-KLH'!$B$6:$T$823,8,0),"")</f>
        <v/>
      </c>
      <c r="W823" s="613"/>
      <c r="X823" s="613"/>
      <c r="Y823" s="613"/>
      <c r="Z823" s="523" t="str">
        <f>IFERROR(VLOOKUP(M823,'02. MM-KLH'!$B$6:$T$823,3,0),"")</f>
        <v/>
      </c>
      <c r="AA823" s="613"/>
      <c r="AB823" s="523"/>
      <c r="AC823" s="523"/>
    </row>
    <row r="824">
      <c r="A824" s="523"/>
      <c r="B824" s="612" t="str">
        <f>IFERROR(VLOOKUP(M824,'02. MM-KLH'!$B$6:$T$823,6,0),"")</f>
        <v/>
      </c>
      <c r="C824" s="566"/>
      <c r="D824" s="613" t="str">
        <f>IFERROR(VLOOKUP(M824,'02. MM-KLH'!$B$6:$T$823,16,0),"")</f>
        <v/>
      </c>
      <c r="E824" s="613"/>
      <c r="F824" s="613"/>
      <c r="G824" s="613"/>
      <c r="H824" s="613" t="str">
        <f>IFERROR(VLOOKUP(M824,'02. MM-KLH'!$B$6:$T$823,17,0),"")</f>
        <v/>
      </c>
      <c r="I824" s="614" t="str">
        <f>IFERROR(VLOOKUP(M824,'02. MM-KLH'!$B$6:$U$823,20,0),"")</f>
        <v/>
      </c>
      <c r="J824" s="612" t="str">
        <f>IFERROR(VLOOKUP(M824,'02. MM-KLH'!$B$6:$T$823,19,0),"")</f>
        <v/>
      </c>
      <c r="K824" s="612" t="str">
        <f>IFERROR(VLOOKUP(M824,'02. MM-KLH'!$B$6:$T$823,18,0),"")</f>
        <v/>
      </c>
      <c r="L824" s="613" t="str">
        <f>IFERROR(VLOOKUP(M824,'02. MM-KLH'!$B$6:$T$823,4,0),"")</f>
        <v/>
      </c>
      <c r="M824" s="488"/>
      <c r="N824" s="615" t="str">
        <f>IFERROR(VLOOKUP(M824,'02. MM-KLH'!$B$6:$T$823,15,0),"")</f>
        <v/>
      </c>
      <c r="O824" s="616" t="str">
        <f>IFERROR(VLOOKUP(M824,'02. MM-KLH'!$B$6:$T$823,9,0),"")</f>
        <v/>
      </c>
      <c r="P824" s="613"/>
      <c r="Q824" s="613"/>
      <c r="R824" s="613"/>
      <c r="S824" s="613"/>
      <c r="T824" s="613"/>
      <c r="U824" s="613" t="str">
        <f>IFERROR(VLOOKUP(M824,'02. MM-KLH'!$B$6:$T$823,2,0),"")</f>
        <v/>
      </c>
      <c r="V824" s="523" t="str">
        <f>IFERROR(VLOOKUP(M824,'02. MM-KLH'!$B$6:$T$823,8,0),"")</f>
        <v/>
      </c>
      <c r="W824" s="613"/>
      <c r="X824" s="613"/>
      <c r="Y824" s="613"/>
      <c r="Z824" s="523" t="str">
        <f>IFERROR(VLOOKUP(M824,'02. MM-KLH'!$B$6:$T$823,3,0),"")</f>
        <v/>
      </c>
      <c r="AA824" s="613"/>
      <c r="AB824" s="523"/>
      <c r="AC824" s="523"/>
    </row>
    <row r="825">
      <c r="A825" s="523"/>
      <c r="B825" s="612" t="str">
        <f>IFERROR(VLOOKUP(M825,'02. MM-KLH'!$B$6:$T$823,6,0),"")</f>
        <v/>
      </c>
      <c r="C825" s="566"/>
      <c r="D825" s="613" t="str">
        <f>IFERROR(VLOOKUP(M825,'02. MM-KLH'!$B$6:$T$823,16,0),"")</f>
        <v/>
      </c>
      <c r="E825" s="613"/>
      <c r="F825" s="613"/>
      <c r="G825" s="613"/>
      <c r="H825" s="613" t="str">
        <f>IFERROR(VLOOKUP(M825,'02. MM-KLH'!$B$6:$T$823,17,0),"")</f>
        <v/>
      </c>
      <c r="I825" s="614" t="str">
        <f>IFERROR(VLOOKUP(M825,'02. MM-KLH'!$B$6:$U$823,20,0),"")</f>
        <v/>
      </c>
      <c r="J825" s="612" t="str">
        <f>IFERROR(VLOOKUP(M825,'02. MM-KLH'!$B$6:$T$823,19,0),"")</f>
        <v/>
      </c>
      <c r="K825" s="612" t="str">
        <f>IFERROR(VLOOKUP(M825,'02. MM-KLH'!$B$6:$T$823,18,0),"")</f>
        <v/>
      </c>
      <c r="L825" s="613" t="str">
        <f>IFERROR(VLOOKUP(M825,'02. MM-KLH'!$B$6:$T$823,4,0),"")</f>
        <v/>
      </c>
      <c r="M825" s="488"/>
      <c r="N825" s="615" t="str">
        <f>IFERROR(VLOOKUP(M825,'02. MM-KLH'!$B$6:$T$823,15,0),"")</f>
        <v/>
      </c>
      <c r="O825" s="616" t="str">
        <f>IFERROR(VLOOKUP(M825,'02. MM-KLH'!$B$6:$T$823,9,0),"")</f>
        <v/>
      </c>
      <c r="P825" s="613"/>
      <c r="Q825" s="613"/>
      <c r="R825" s="613"/>
      <c r="S825" s="613"/>
      <c r="T825" s="613"/>
      <c r="U825" s="613" t="str">
        <f>IFERROR(VLOOKUP(M825,'02. MM-KLH'!$B$6:$T$823,2,0),"")</f>
        <v/>
      </c>
      <c r="V825" s="523" t="str">
        <f>IFERROR(VLOOKUP(M825,'02. MM-KLH'!$B$6:$T$823,8,0),"")</f>
        <v/>
      </c>
      <c r="W825" s="613"/>
      <c r="X825" s="613"/>
      <c r="Y825" s="613"/>
      <c r="Z825" s="523" t="str">
        <f>IFERROR(VLOOKUP(M825,'02. MM-KLH'!$B$6:$T$823,3,0),"")</f>
        <v/>
      </c>
      <c r="AA825" s="613"/>
      <c r="AB825" s="523"/>
      <c r="AC825" s="523"/>
    </row>
    <row r="826">
      <c r="A826" s="523"/>
      <c r="B826" s="612" t="str">
        <f>IFERROR(VLOOKUP(M826,'02. MM-KLH'!$B$6:$T$823,6,0),"")</f>
        <v/>
      </c>
      <c r="C826" s="566"/>
      <c r="D826" s="613" t="str">
        <f>IFERROR(VLOOKUP(M826,'02. MM-KLH'!$B$6:$T$823,16,0),"")</f>
        <v/>
      </c>
      <c r="E826" s="613"/>
      <c r="F826" s="613"/>
      <c r="G826" s="613"/>
      <c r="H826" s="613" t="str">
        <f>IFERROR(VLOOKUP(M826,'02. MM-KLH'!$B$6:$T$823,17,0),"")</f>
        <v/>
      </c>
      <c r="I826" s="614" t="str">
        <f>IFERROR(VLOOKUP(M826,'02. MM-KLH'!$B$6:$U$823,20,0),"")</f>
        <v/>
      </c>
      <c r="J826" s="612" t="str">
        <f>IFERROR(VLOOKUP(M826,'02. MM-KLH'!$B$6:$T$823,19,0),"")</f>
        <v/>
      </c>
      <c r="K826" s="612" t="str">
        <f>IFERROR(VLOOKUP(M826,'02. MM-KLH'!$B$6:$T$823,18,0),"")</f>
        <v/>
      </c>
      <c r="L826" s="613" t="str">
        <f>IFERROR(VLOOKUP(M826,'02. MM-KLH'!$B$6:$T$823,4,0),"")</f>
        <v/>
      </c>
      <c r="M826" s="488"/>
      <c r="N826" s="615" t="str">
        <f>IFERROR(VLOOKUP(M826,'02. MM-KLH'!$B$6:$T$823,15,0),"")</f>
        <v/>
      </c>
      <c r="O826" s="616" t="str">
        <f>IFERROR(VLOOKUP(M826,'02. MM-KLH'!$B$6:$T$823,9,0),"")</f>
        <v/>
      </c>
      <c r="P826" s="613"/>
      <c r="Q826" s="613"/>
      <c r="R826" s="613"/>
      <c r="S826" s="613"/>
      <c r="T826" s="613"/>
      <c r="U826" s="613" t="str">
        <f>IFERROR(VLOOKUP(M826,'02. MM-KLH'!$B$6:$T$823,2,0),"")</f>
        <v/>
      </c>
      <c r="V826" s="523" t="str">
        <f>IFERROR(VLOOKUP(M826,'02. MM-KLH'!$B$6:$T$823,8,0),"")</f>
        <v/>
      </c>
      <c r="W826" s="613"/>
      <c r="X826" s="613"/>
      <c r="Y826" s="613"/>
      <c r="Z826" s="523" t="str">
        <f>IFERROR(VLOOKUP(M826,'02. MM-KLH'!$B$6:$T$823,3,0),"")</f>
        <v/>
      </c>
      <c r="AA826" s="613"/>
      <c r="AB826" s="523"/>
      <c r="AC826" s="523"/>
    </row>
    <row r="827">
      <c r="A827" s="523"/>
      <c r="B827" s="612" t="str">
        <f>IFERROR(VLOOKUP(M827,'02. MM-KLH'!$B$6:$T$823,6,0),"")</f>
        <v/>
      </c>
      <c r="C827" s="566"/>
      <c r="D827" s="613" t="str">
        <f>IFERROR(VLOOKUP(M827,'02. MM-KLH'!$B$6:$T$823,16,0),"")</f>
        <v/>
      </c>
      <c r="E827" s="613"/>
      <c r="F827" s="613"/>
      <c r="G827" s="613"/>
      <c r="H827" s="613" t="str">
        <f>IFERROR(VLOOKUP(M827,'02. MM-KLH'!$B$6:$T$823,17,0),"")</f>
        <v/>
      </c>
      <c r="I827" s="614" t="str">
        <f>IFERROR(VLOOKUP(M827,'02. MM-KLH'!$B$6:$U$823,20,0),"")</f>
        <v/>
      </c>
      <c r="J827" s="612" t="str">
        <f>IFERROR(VLOOKUP(M827,'02. MM-KLH'!$B$6:$T$823,19,0),"")</f>
        <v/>
      </c>
      <c r="K827" s="612" t="str">
        <f>IFERROR(VLOOKUP(M827,'02. MM-KLH'!$B$6:$T$823,18,0),"")</f>
        <v/>
      </c>
      <c r="L827" s="613" t="str">
        <f>IFERROR(VLOOKUP(M827,'02. MM-KLH'!$B$6:$T$823,4,0),"")</f>
        <v/>
      </c>
      <c r="M827" s="488"/>
      <c r="N827" s="615" t="str">
        <f>IFERROR(VLOOKUP(M827,'02. MM-KLH'!$B$6:$T$823,15,0),"")</f>
        <v/>
      </c>
      <c r="O827" s="616" t="str">
        <f>IFERROR(VLOOKUP(M827,'02. MM-KLH'!$B$6:$T$823,9,0),"")</f>
        <v/>
      </c>
      <c r="P827" s="613"/>
      <c r="Q827" s="613"/>
      <c r="R827" s="613"/>
      <c r="S827" s="613"/>
      <c r="T827" s="613"/>
      <c r="U827" s="613" t="str">
        <f>IFERROR(VLOOKUP(M827,'02. MM-KLH'!$B$6:$T$823,2,0),"")</f>
        <v/>
      </c>
      <c r="V827" s="523" t="str">
        <f>IFERROR(VLOOKUP(M827,'02. MM-KLH'!$B$6:$T$823,8,0),"")</f>
        <v/>
      </c>
      <c r="W827" s="613"/>
      <c r="X827" s="613"/>
      <c r="Y827" s="613"/>
      <c r="Z827" s="523" t="str">
        <f>IFERROR(VLOOKUP(M827,'02. MM-KLH'!$B$6:$T$823,3,0),"")</f>
        <v/>
      </c>
      <c r="AA827" s="613"/>
      <c r="AB827" s="523"/>
      <c r="AC827" s="523"/>
    </row>
    <row r="828">
      <c r="A828" s="523"/>
      <c r="B828" s="612" t="str">
        <f>IFERROR(VLOOKUP(M828,'02. MM-KLH'!$B$6:$T$823,6,0),"")</f>
        <v/>
      </c>
      <c r="C828" s="566"/>
      <c r="D828" s="613" t="str">
        <f>IFERROR(VLOOKUP(M828,'02. MM-KLH'!$B$6:$T$823,16,0),"")</f>
        <v/>
      </c>
      <c r="E828" s="613"/>
      <c r="F828" s="613"/>
      <c r="G828" s="613"/>
      <c r="H828" s="613" t="str">
        <f>IFERROR(VLOOKUP(M828,'02. MM-KLH'!$B$6:$T$823,17,0),"")</f>
        <v/>
      </c>
      <c r="I828" s="614" t="str">
        <f>IFERROR(VLOOKUP(M828,'02. MM-KLH'!$B$6:$U$823,20,0),"")</f>
        <v/>
      </c>
      <c r="J828" s="612" t="str">
        <f>IFERROR(VLOOKUP(M828,'02. MM-KLH'!$B$6:$T$823,19,0),"")</f>
        <v/>
      </c>
      <c r="K828" s="612" t="str">
        <f>IFERROR(VLOOKUP(M828,'02. MM-KLH'!$B$6:$T$823,18,0),"")</f>
        <v/>
      </c>
      <c r="L828" s="613" t="str">
        <f>IFERROR(VLOOKUP(M828,'02. MM-KLH'!$B$6:$T$823,4,0),"")</f>
        <v/>
      </c>
      <c r="M828" s="488"/>
      <c r="N828" s="615" t="str">
        <f>IFERROR(VLOOKUP(M828,'02. MM-KLH'!$B$6:$T$823,15,0),"")</f>
        <v/>
      </c>
      <c r="O828" s="616" t="str">
        <f>IFERROR(VLOOKUP(M828,'02. MM-KLH'!$B$6:$T$823,9,0),"")</f>
        <v/>
      </c>
      <c r="P828" s="613"/>
      <c r="Q828" s="613"/>
      <c r="R828" s="613"/>
      <c r="S828" s="613"/>
      <c r="T828" s="613"/>
      <c r="U828" s="613" t="str">
        <f>IFERROR(VLOOKUP(M828,'02. MM-KLH'!$B$6:$T$823,2,0),"")</f>
        <v/>
      </c>
      <c r="V828" s="523" t="str">
        <f>IFERROR(VLOOKUP(M828,'02. MM-KLH'!$B$6:$T$823,8,0),"")</f>
        <v/>
      </c>
      <c r="W828" s="613"/>
      <c r="X828" s="613"/>
      <c r="Y828" s="613"/>
      <c r="Z828" s="523" t="str">
        <f>IFERROR(VLOOKUP(M828,'02. MM-KLH'!$B$6:$T$823,3,0),"")</f>
        <v/>
      </c>
      <c r="AA828" s="613"/>
      <c r="AB828" s="523"/>
      <c r="AC828" s="523"/>
    </row>
    <row r="829">
      <c r="A829" s="523"/>
      <c r="B829" s="612" t="str">
        <f>IFERROR(VLOOKUP(M829,'02. MM-KLH'!$B$6:$T$823,6,0),"")</f>
        <v/>
      </c>
      <c r="C829" s="566"/>
      <c r="D829" s="613" t="str">
        <f>IFERROR(VLOOKUP(M829,'02. MM-KLH'!$B$6:$T$823,16,0),"")</f>
        <v/>
      </c>
      <c r="E829" s="613"/>
      <c r="F829" s="613"/>
      <c r="G829" s="613"/>
      <c r="H829" s="613" t="str">
        <f>IFERROR(VLOOKUP(M829,'02. MM-KLH'!$B$6:$T$823,17,0),"")</f>
        <v/>
      </c>
      <c r="I829" s="614" t="str">
        <f>IFERROR(VLOOKUP(M829,'02. MM-KLH'!$B$6:$U$823,20,0),"")</f>
        <v/>
      </c>
      <c r="J829" s="612" t="str">
        <f>IFERROR(VLOOKUP(M829,'02. MM-KLH'!$B$6:$T$823,19,0),"")</f>
        <v/>
      </c>
      <c r="K829" s="612" t="str">
        <f>IFERROR(VLOOKUP(M829,'02. MM-KLH'!$B$6:$T$823,18,0),"")</f>
        <v/>
      </c>
      <c r="L829" s="613" t="str">
        <f>IFERROR(VLOOKUP(M829,'02. MM-KLH'!$B$6:$T$823,4,0),"")</f>
        <v/>
      </c>
      <c r="M829" s="488"/>
      <c r="N829" s="615" t="str">
        <f>IFERROR(VLOOKUP(M829,'02. MM-KLH'!$B$6:$T$823,15,0),"")</f>
        <v/>
      </c>
      <c r="O829" s="616" t="str">
        <f>IFERROR(VLOOKUP(M829,'02. MM-KLH'!$B$6:$T$823,9,0),"")</f>
        <v/>
      </c>
      <c r="P829" s="613"/>
      <c r="Q829" s="613"/>
      <c r="R829" s="613"/>
      <c r="S829" s="613"/>
      <c r="T829" s="613"/>
      <c r="U829" s="613" t="str">
        <f>IFERROR(VLOOKUP(M829,'02. MM-KLH'!$B$6:$T$823,2,0),"")</f>
        <v/>
      </c>
      <c r="V829" s="523" t="str">
        <f>IFERROR(VLOOKUP(M829,'02. MM-KLH'!$B$6:$T$823,8,0),"")</f>
        <v/>
      </c>
      <c r="W829" s="613"/>
      <c r="X829" s="613"/>
      <c r="Y829" s="613"/>
      <c r="Z829" s="523" t="str">
        <f>IFERROR(VLOOKUP(M829,'02. MM-KLH'!$B$6:$T$823,3,0),"")</f>
        <v/>
      </c>
      <c r="AA829" s="613"/>
      <c r="AB829" s="523"/>
      <c r="AC829" s="523"/>
    </row>
    <row r="830">
      <c r="A830" s="523"/>
      <c r="B830" s="612" t="str">
        <f>IFERROR(VLOOKUP(M830,'02. MM-KLH'!$B$6:$T$823,6,0),"")</f>
        <v/>
      </c>
      <c r="C830" s="566"/>
      <c r="D830" s="613" t="str">
        <f>IFERROR(VLOOKUP(M830,'02. MM-KLH'!$B$6:$T$823,16,0),"")</f>
        <v/>
      </c>
      <c r="E830" s="613"/>
      <c r="F830" s="613"/>
      <c r="G830" s="613"/>
      <c r="H830" s="613" t="str">
        <f>IFERROR(VLOOKUP(M830,'02. MM-KLH'!$B$6:$T$823,17,0),"")</f>
        <v/>
      </c>
      <c r="I830" s="614" t="str">
        <f>IFERROR(VLOOKUP(M830,'02. MM-KLH'!$B$6:$U$823,20,0),"")</f>
        <v/>
      </c>
      <c r="J830" s="612" t="str">
        <f>IFERROR(VLOOKUP(M830,'02. MM-KLH'!$B$6:$T$823,19,0),"")</f>
        <v/>
      </c>
      <c r="K830" s="612" t="str">
        <f>IFERROR(VLOOKUP(M830,'02. MM-KLH'!$B$6:$T$823,18,0),"")</f>
        <v/>
      </c>
      <c r="L830" s="613" t="str">
        <f>IFERROR(VLOOKUP(M830,'02. MM-KLH'!$B$6:$T$823,4,0),"")</f>
        <v/>
      </c>
      <c r="M830" s="488"/>
      <c r="N830" s="615" t="str">
        <f>IFERROR(VLOOKUP(M830,'02. MM-KLH'!$B$6:$T$823,15,0),"")</f>
        <v/>
      </c>
      <c r="O830" s="616" t="str">
        <f>IFERROR(VLOOKUP(M830,'02. MM-KLH'!$B$6:$T$823,9,0),"")</f>
        <v/>
      </c>
      <c r="P830" s="613"/>
      <c r="Q830" s="613"/>
      <c r="R830" s="613"/>
      <c r="S830" s="613"/>
      <c r="T830" s="613"/>
      <c r="U830" s="613" t="str">
        <f>IFERROR(VLOOKUP(M830,'02. MM-KLH'!$B$6:$T$823,2,0),"")</f>
        <v/>
      </c>
      <c r="V830" s="523" t="str">
        <f>IFERROR(VLOOKUP(M830,'02. MM-KLH'!$B$6:$T$823,8,0),"")</f>
        <v/>
      </c>
      <c r="W830" s="613"/>
      <c r="X830" s="613"/>
      <c r="Y830" s="613"/>
      <c r="Z830" s="523" t="str">
        <f>IFERROR(VLOOKUP(M830,'02. MM-KLH'!$B$6:$T$823,3,0),"")</f>
        <v/>
      </c>
      <c r="AA830" s="613"/>
      <c r="AB830" s="523"/>
      <c r="AC830" s="523"/>
    </row>
    <row r="831">
      <c r="A831" s="523"/>
      <c r="B831" s="612" t="str">
        <f>IFERROR(VLOOKUP(M831,'02. MM-KLH'!$B$6:$T$823,6,0),"")</f>
        <v/>
      </c>
      <c r="C831" s="566"/>
      <c r="D831" s="613" t="str">
        <f>IFERROR(VLOOKUP(M831,'02. MM-KLH'!$B$6:$T$823,16,0),"")</f>
        <v/>
      </c>
      <c r="E831" s="613"/>
      <c r="F831" s="613"/>
      <c r="G831" s="613"/>
      <c r="H831" s="613" t="str">
        <f>IFERROR(VLOOKUP(M831,'02. MM-KLH'!$B$6:$T$823,17,0),"")</f>
        <v/>
      </c>
      <c r="I831" s="614" t="str">
        <f>IFERROR(VLOOKUP(M831,'02. MM-KLH'!$B$6:$U$823,20,0),"")</f>
        <v/>
      </c>
      <c r="J831" s="612" t="str">
        <f>IFERROR(VLOOKUP(M831,'02. MM-KLH'!$B$6:$T$823,19,0),"")</f>
        <v/>
      </c>
      <c r="K831" s="612" t="str">
        <f>IFERROR(VLOOKUP(M831,'02. MM-KLH'!$B$6:$T$823,18,0),"")</f>
        <v/>
      </c>
      <c r="L831" s="613" t="str">
        <f>IFERROR(VLOOKUP(M831,'02. MM-KLH'!$B$6:$T$823,4,0),"")</f>
        <v/>
      </c>
      <c r="M831" s="488"/>
      <c r="N831" s="615" t="str">
        <f>IFERROR(VLOOKUP(M831,'02. MM-KLH'!$B$6:$T$823,15,0),"")</f>
        <v/>
      </c>
      <c r="O831" s="616" t="str">
        <f>IFERROR(VLOOKUP(M831,'02. MM-KLH'!$B$6:$T$823,9,0),"")</f>
        <v/>
      </c>
      <c r="P831" s="613"/>
      <c r="Q831" s="613"/>
      <c r="R831" s="613"/>
      <c r="S831" s="613"/>
      <c r="T831" s="613"/>
      <c r="U831" s="613" t="str">
        <f>IFERROR(VLOOKUP(M831,'02. MM-KLH'!$B$6:$T$823,2,0),"")</f>
        <v/>
      </c>
      <c r="V831" s="523" t="str">
        <f>IFERROR(VLOOKUP(M831,'02. MM-KLH'!$B$6:$T$823,8,0),"")</f>
        <v/>
      </c>
      <c r="W831" s="613"/>
      <c r="X831" s="613"/>
      <c r="Y831" s="613"/>
      <c r="Z831" s="523" t="str">
        <f>IFERROR(VLOOKUP(M831,'02. MM-KLH'!$B$6:$T$823,3,0),"")</f>
        <v/>
      </c>
      <c r="AA831" s="613"/>
      <c r="AB831" s="523"/>
      <c r="AC831" s="523"/>
    </row>
    <row r="832">
      <c r="A832" s="523"/>
      <c r="B832" s="612" t="str">
        <f>IFERROR(VLOOKUP(M832,'02. MM-KLH'!$B$6:$T$823,6,0),"")</f>
        <v/>
      </c>
      <c r="C832" s="566"/>
      <c r="D832" s="613" t="str">
        <f>IFERROR(VLOOKUP(M832,'02. MM-KLH'!$B$6:$T$823,16,0),"")</f>
        <v/>
      </c>
      <c r="E832" s="613"/>
      <c r="F832" s="613"/>
      <c r="G832" s="613"/>
      <c r="H832" s="613" t="str">
        <f>IFERROR(VLOOKUP(M832,'02. MM-KLH'!$B$6:$T$823,17,0),"")</f>
        <v/>
      </c>
      <c r="I832" s="614" t="str">
        <f>IFERROR(VLOOKUP(M832,'02. MM-KLH'!$B$6:$U$823,20,0),"")</f>
        <v/>
      </c>
      <c r="J832" s="612" t="str">
        <f>IFERROR(VLOOKUP(M832,'02. MM-KLH'!$B$6:$T$823,19,0),"")</f>
        <v/>
      </c>
      <c r="K832" s="612" t="str">
        <f>IFERROR(VLOOKUP(M832,'02. MM-KLH'!$B$6:$T$823,18,0),"")</f>
        <v/>
      </c>
      <c r="L832" s="613" t="str">
        <f>IFERROR(VLOOKUP(M832,'02. MM-KLH'!$B$6:$T$823,4,0),"")</f>
        <v/>
      </c>
      <c r="M832" s="488"/>
      <c r="N832" s="615" t="str">
        <f>IFERROR(VLOOKUP(M832,'02. MM-KLH'!$B$6:$T$823,15,0),"")</f>
        <v/>
      </c>
      <c r="O832" s="616" t="str">
        <f>IFERROR(VLOOKUP(M832,'02. MM-KLH'!$B$6:$T$823,9,0),"")</f>
        <v/>
      </c>
      <c r="P832" s="613"/>
      <c r="Q832" s="613"/>
      <c r="R832" s="613"/>
      <c r="S832" s="613"/>
      <c r="T832" s="613"/>
      <c r="U832" s="613" t="str">
        <f>IFERROR(VLOOKUP(M832,'02. MM-KLH'!$B$6:$T$823,2,0),"")</f>
        <v/>
      </c>
      <c r="V832" s="523" t="str">
        <f>IFERROR(VLOOKUP(M832,'02. MM-KLH'!$B$6:$T$823,8,0),"")</f>
        <v/>
      </c>
      <c r="W832" s="613"/>
      <c r="X832" s="613"/>
      <c r="Y832" s="613"/>
      <c r="Z832" s="523" t="str">
        <f>IFERROR(VLOOKUP(M832,'02. MM-KLH'!$B$6:$T$823,3,0),"")</f>
        <v/>
      </c>
      <c r="AA832" s="613"/>
      <c r="AB832" s="523"/>
      <c r="AC832" s="523"/>
    </row>
    <row r="833">
      <c r="A833" s="523"/>
      <c r="B833" s="612" t="str">
        <f>IFERROR(VLOOKUP(M833,'02. MM-KLH'!$B$6:$T$823,6,0),"")</f>
        <v/>
      </c>
      <c r="C833" s="566"/>
      <c r="D833" s="613" t="str">
        <f>IFERROR(VLOOKUP(M833,'02. MM-KLH'!$B$6:$T$823,16,0),"")</f>
        <v/>
      </c>
      <c r="E833" s="613"/>
      <c r="F833" s="613"/>
      <c r="G833" s="613"/>
      <c r="H833" s="613" t="str">
        <f>IFERROR(VLOOKUP(M833,'02. MM-KLH'!$B$6:$T$823,17,0),"")</f>
        <v/>
      </c>
      <c r="I833" s="614" t="str">
        <f>IFERROR(VLOOKUP(M833,'02. MM-KLH'!$B$6:$U$823,20,0),"")</f>
        <v/>
      </c>
      <c r="J833" s="612" t="str">
        <f>IFERROR(VLOOKUP(M833,'02. MM-KLH'!$B$6:$T$823,19,0),"")</f>
        <v/>
      </c>
      <c r="K833" s="612" t="str">
        <f>IFERROR(VLOOKUP(M833,'02. MM-KLH'!$B$6:$T$823,18,0),"")</f>
        <v/>
      </c>
      <c r="L833" s="613" t="str">
        <f>IFERROR(VLOOKUP(M833,'02. MM-KLH'!$B$6:$T$823,4,0),"")</f>
        <v/>
      </c>
      <c r="M833" s="488"/>
      <c r="N833" s="615" t="str">
        <f>IFERROR(VLOOKUP(M833,'02. MM-KLH'!$B$6:$T$823,15,0),"")</f>
        <v/>
      </c>
      <c r="O833" s="616" t="str">
        <f>IFERROR(VLOOKUP(M833,'02. MM-KLH'!$B$6:$T$823,9,0),"")</f>
        <v/>
      </c>
      <c r="P833" s="613"/>
      <c r="Q833" s="613"/>
      <c r="R833" s="613"/>
      <c r="S833" s="613"/>
      <c r="T833" s="613"/>
      <c r="U833" s="613" t="str">
        <f>IFERROR(VLOOKUP(M833,'02. MM-KLH'!$B$6:$T$823,2,0),"")</f>
        <v/>
      </c>
      <c r="V833" s="523" t="str">
        <f>IFERROR(VLOOKUP(M833,'02. MM-KLH'!$B$6:$T$823,8,0),"")</f>
        <v/>
      </c>
      <c r="W833" s="613"/>
      <c r="X833" s="613"/>
      <c r="Y833" s="613"/>
      <c r="Z833" s="523" t="str">
        <f>IFERROR(VLOOKUP(M833,'02. MM-KLH'!$B$6:$T$823,3,0),"")</f>
        <v/>
      </c>
      <c r="AA833" s="613"/>
      <c r="AB833" s="523"/>
      <c r="AC833" s="523"/>
    </row>
    <row r="834">
      <c r="A834" s="523"/>
      <c r="B834" s="612" t="str">
        <f>IFERROR(VLOOKUP(M834,'02. MM-KLH'!$B$6:$T$823,6,0),"")</f>
        <v/>
      </c>
      <c r="C834" s="566"/>
      <c r="D834" s="613" t="str">
        <f>IFERROR(VLOOKUP(M834,'02. MM-KLH'!$B$6:$T$823,16,0),"")</f>
        <v/>
      </c>
      <c r="E834" s="613"/>
      <c r="F834" s="613"/>
      <c r="G834" s="613"/>
      <c r="H834" s="613" t="str">
        <f>IFERROR(VLOOKUP(M834,'02. MM-KLH'!$B$6:$T$823,17,0),"")</f>
        <v/>
      </c>
      <c r="I834" s="614" t="str">
        <f>IFERROR(VLOOKUP(M834,'02. MM-KLH'!$B$6:$U$823,20,0),"")</f>
        <v/>
      </c>
      <c r="J834" s="612" t="str">
        <f>IFERROR(VLOOKUP(M834,'02. MM-KLH'!$B$6:$T$823,19,0),"")</f>
        <v/>
      </c>
      <c r="K834" s="612" t="str">
        <f>IFERROR(VLOOKUP(M834,'02. MM-KLH'!$B$6:$T$823,18,0),"")</f>
        <v/>
      </c>
      <c r="L834" s="613" t="str">
        <f>IFERROR(VLOOKUP(M834,'02. MM-KLH'!$B$6:$T$823,4,0),"")</f>
        <v/>
      </c>
      <c r="M834" s="488"/>
      <c r="N834" s="615" t="str">
        <f>IFERROR(VLOOKUP(M834,'02. MM-KLH'!$B$6:$T$823,15,0),"")</f>
        <v/>
      </c>
      <c r="O834" s="616" t="str">
        <f>IFERROR(VLOOKUP(M834,'02. MM-KLH'!$B$6:$T$823,9,0),"")</f>
        <v/>
      </c>
      <c r="P834" s="613"/>
      <c r="Q834" s="613"/>
      <c r="R834" s="613"/>
      <c r="S834" s="613"/>
      <c r="T834" s="613"/>
      <c r="U834" s="613" t="str">
        <f>IFERROR(VLOOKUP(M834,'02. MM-KLH'!$B$6:$T$823,2,0),"")</f>
        <v/>
      </c>
      <c r="V834" s="523" t="str">
        <f>IFERROR(VLOOKUP(M834,'02. MM-KLH'!$B$6:$T$823,8,0),"")</f>
        <v/>
      </c>
      <c r="W834" s="613"/>
      <c r="X834" s="613"/>
      <c r="Y834" s="613"/>
      <c r="Z834" s="523" t="str">
        <f>IFERROR(VLOOKUP(M834,'02. MM-KLH'!$B$6:$T$823,3,0),"")</f>
        <v/>
      </c>
      <c r="AA834" s="613"/>
      <c r="AB834" s="523"/>
      <c r="AC834" s="523"/>
    </row>
    <row r="835">
      <c r="A835" s="523"/>
      <c r="B835" s="612" t="str">
        <f>IFERROR(VLOOKUP(M835,'02. MM-KLH'!$B$6:$T$823,6,0),"")</f>
        <v/>
      </c>
      <c r="C835" s="566"/>
      <c r="D835" s="613" t="str">
        <f>IFERROR(VLOOKUP(M835,'02. MM-KLH'!$B$6:$T$823,16,0),"")</f>
        <v/>
      </c>
      <c r="E835" s="613"/>
      <c r="F835" s="613"/>
      <c r="G835" s="613"/>
      <c r="H835" s="613" t="str">
        <f>IFERROR(VLOOKUP(M835,'02. MM-KLH'!$B$6:$T$823,17,0),"")</f>
        <v/>
      </c>
      <c r="I835" s="614" t="str">
        <f>IFERROR(VLOOKUP(M835,'02. MM-KLH'!$B$6:$U$823,20,0),"")</f>
        <v/>
      </c>
      <c r="J835" s="612" t="str">
        <f>IFERROR(VLOOKUP(M835,'02. MM-KLH'!$B$6:$T$823,19,0),"")</f>
        <v/>
      </c>
      <c r="K835" s="612" t="str">
        <f>IFERROR(VLOOKUP(M835,'02. MM-KLH'!$B$6:$T$823,18,0),"")</f>
        <v/>
      </c>
      <c r="L835" s="613" t="str">
        <f>IFERROR(VLOOKUP(M835,'02. MM-KLH'!$B$6:$T$823,4,0),"")</f>
        <v/>
      </c>
      <c r="M835" s="488"/>
      <c r="N835" s="615" t="str">
        <f>IFERROR(VLOOKUP(M835,'02. MM-KLH'!$B$6:$T$823,15,0),"")</f>
        <v/>
      </c>
      <c r="O835" s="616" t="str">
        <f>IFERROR(VLOOKUP(M835,'02. MM-KLH'!$B$6:$T$823,9,0),"")</f>
        <v/>
      </c>
      <c r="P835" s="613"/>
      <c r="Q835" s="613"/>
      <c r="R835" s="613"/>
      <c r="S835" s="613"/>
      <c r="T835" s="613"/>
      <c r="U835" s="613" t="str">
        <f>IFERROR(VLOOKUP(M835,'02. MM-KLH'!$B$6:$T$823,2,0),"")</f>
        <v/>
      </c>
      <c r="V835" s="523" t="str">
        <f>IFERROR(VLOOKUP(M835,'02. MM-KLH'!$B$6:$T$823,8,0),"")</f>
        <v/>
      </c>
      <c r="W835" s="613"/>
      <c r="X835" s="613"/>
      <c r="Y835" s="613"/>
      <c r="Z835" s="523" t="str">
        <f>IFERROR(VLOOKUP(M835,'02. MM-KLH'!$B$6:$T$823,3,0),"")</f>
        <v/>
      </c>
      <c r="AA835" s="613"/>
      <c r="AB835" s="523"/>
      <c r="AC835" s="523"/>
    </row>
    <row r="836">
      <c r="A836" s="523"/>
      <c r="B836" s="612" t="str">
        <f>IFERROR(VLOOKUP(M836,'02. MM-KLH'!$B$6:$T$823,6,0),"")</f>
        <v/>
      </c>
      <c r="C836" s="566"/>
      <c r="D836" s="613" t="str">
        <f>IFERROR(VLOOKUP(M836,'02. MM-KLH'!$B$6:$T$823,16,0),"")</f>
        <v/>
      </c>
      <c r="E836" s="613"/>
      <c r="F836" s="613"/>
      <c r="G836" s="613"/>
      <c r="H836" s="613" t="str">
        <f>IFERROR(VLOOKUP(M836,'02. MM-KLH'!$B$6:$T$823,17,0),"")</f>
        <v/>
      </c>
      <c r="I836" s="614" t="str">
        <f>IFERROR(VLOOKUP(M836,'02. MM-KLH'!$B$6:$U$823,20,0),"")</f>
        <v/>
      </c>
      <c r="J836" s="612" t="str">
        <f>IFERROR(VLOOKUP(M836,'02. MM-KLH'!$B$6:$T$823,19,0),"")</f>
        <v/>
      </c>
      <c r="K836" s="612" t="str">
        <f>IFERROR(VLOOKUP(M836,'02. MM-KLH'!$B$6:$T$823,18,0),"")</f>
        <v/>
      </c>
      <c r="L836" s="613" t="str">
        <f>IFERROR(VLOOKUP(M836,'02. MM-KLH'!$B$6:$T$823,4,0),"")</f>
        <v/>
      </c>
      <c r="M836" s="488"/>
      <c r="N836" s="615" t="str">
        <f>IFERROR(VLOOKUP(M836,'02. MM-KLH'!$B$6:$T$823,15,0),"")</f>
        <v/>
      </c>
      <c r="O836" s="616" t="str">
        <f>IFERROR(VLOOKUP(M836,'02. MM-KLH'!$B$6:$T$823,9,0),"")</f>
        <v/>
      </c>
      <c r="P836" s="613"/>
      <c r="Q836" s="613"/>
      <c r="R836" s="613"/>
      <c r="S836" s="613"/>
      <c r="T836" s="613"/>
      <c r="U836" s="613" t="str">
        <f>IFERROR(VLOOKUP(M836,'02. MM-KLH'!$B$6:$T$823,2,0),"")</f>
        <v/>
      </c>
      <c r="V836" s="523" t="str">
        <f>IFERROR(VLOOKUP(M836,'02. MM-KLH'!$B$6:$T$823,8,0),"")</f>
        <v/>
      </c>
      <c r="W836" s="613"/>
      <c r="X836" s="613"/>
      <c r="Y836" s="613"/>
      <c r="Z836" s="523" t="str">
        <f>IFERROR(VLOOKUP(M836,'02. MM-KLH'!$B$6:$T$823,3,0),"")</f>
        <v/>
      </c>
      <c r="AA836" s="613"/>
      <c r="AB836" s="523"/>
      <c r="AC836" s="523"/>
    </row>
    <row r="837">
      <c r="A837" s="523"/>
      <c r="B837" s="612" t="str">
        <f>IFERROR(VLOOKUP(M837,'02. MM-KLH'!$B$6:$T$823,6,0),"")</f>
        <v/>
      </c>
      <c r="C837" s="566"/>
      <c r="D837" s="613" t="str">
        <f>IFERROR(VLOOKUP(M837,'02. MM-KLH'!$B$6:$T$823,16,0),"")</f>
        <v/>
      </c>
      <c r="E837" s="613"/>
      <c r="F837" s="613"/>
      <c r="G837" s="613"/>
      <c r="H837" s="613" t="str">
        <f>IFERROR(VLOOKUP(M837,'02. MM-KLH'!$B$6:$T$823,17,0),"")</f>
        <v/>
      </c>
      <c r="I837" s="614" t="str">
        <f>IFERROR(VLOOKUP(M837,'02. MM-KLH'!$B$6:$U$823,20,0),"")</f>
        <v/>
      </c>
      <c r="J837" s="612" t="str">
        <f>IFERROR(VLOOKUP(M837,'02. MM-KLH'!$B$6:$T$823,19,0),"")</f>
        <v/>
      </c>
      <c r="K837" s="612" t="str">
        <f>IFERROR(VLOOKUP(M837,'02. MM-KLH'!$B$6:$T$823,18,0),"")</f>
        <v/>
      </c>
      <c r="L837" s="613" t="str">
        <f>IFERROR(VLOOKUP(M837,'02. MM-KLH'!$B$6:$T$823,4,0),"")</f>
        <v/>
      </c>
      <c r="M837" s="488"/>
      <c r="N837" s="615" t="str">
        <f>IFERROR(VLOOKUP(M837,'02. MM-KLH'!$B$6:$T$823,15,0),"")</f>
        <v/>
      </c>
      <c r="O837" s="616" t="str">
        <f>IFERROR(VLOOKUP(M837,'02. MM-KLH'!$B$6:$T$823,9,0),"")</f>
        <v/>
      </c>
      <c r="P837" s="613"/>
      <c r="Q837" s="613"/>
      <c r="R837" s="613"/>
      <c r="S837" s="613"/>
      <c r="T837" s="613"/>
      <c r="U837" s="613" t="str">
        <f>IFERROR(VLOOKUP(M837,'02. MM-KLH'!$B$6:$T$823,2,0),"")</f>
        <v/>
      </c>
      <c r="V837" s="523" t="str">
        <f>IFERROR(VLOOKUP(M837,'02. MM-KLH'!$B$6:$T$823,8,0),"")</f>
        <v/>
      </c>
      <c r="W837" s="613"/>
      <c r="X837" s="613"/>
      <c r="Y837" s="613"/>
      <c r="Z837" s="523" t="str">
        <f>IFERROR(VLOOKUP(M837,'02. MM-KLH'!$B$6:$T$823,3,0),"")</f>
        <v/>
      </c>
      <c r="AA837" s="613"/>
      <c r="AB837" s="523"/>
      <c r="AC837" s="523"/>
    </row>
    <row r="838">
      <c r="A838" s="523"/>
      <c r="B838" s="612" t="str">
        <f>IFERROR(VLOOKUP(M838,'02. MM-KLH'!$B$6:$T$823,6,0),"")</f>
        <v/>
      </c>
      <c r="C838" s="566"/>
      <c r="D838" s="613" t="str">
        <f>IFERROR(VLOOKUP(M838,'02. MM-KLH'!$B$6:$T$823,16,0),"")</f>
        <v/>
      </c>
      <c r="E838" s="613"/>
      <c r="F838" s="613"/>
      <c r="G838" s="613"/>
      <c r="H838" s="613" t="str">
        <f>IFERROR(VLOOKUP(M838,'02. MM-KLH'!$B$6:$T$823,17,0),"")</f>
        <v/>
      </c>
      <c r="I838" s="614" t="str">
        <f>IFERROR(VLOOKUP(M838,'02. MM-KLH'!$B$6:$U$823,20,0),"")</f>
        <v/>
      </c>
      <c r="J838" s="612" t="str">
        <f>IFERROR(VLOOKUP(M838,'02. MM-KLH'!$B$6:$T$823,19,0),"")</f>
        <v/>
      </c>
      <c r="K838" s="612" t="str">
        <f>IFERROR(VLOOKUP(M838,'02. MM-KLH'!$B$6:$T$823,18,0),"")</f>
        <v/>
      </c>
      <c r="L838" s="613" t="str">
        <f>IFERROR(VLOOKUP(M838,'02. MM-KLH'!$B$6:$T$823,4,0),"")</f>
        <v/>
      </c>
      <c r="M838" s="488"/>
      <c r="N838" s="615" t="str">
        <f>IFERROR(VLOOKUP(M838,'02. MM-KLH'!$B$6:$T$823,15,0),"")</f>
        <v/>
      </c>
      <c r="O838" s="616" t="str">
        <f>IFERROR(VLOOKUP(M838,'02. MM-KLH'!$B$6:$T$823,9,0),"")</f>
        <v/>
      </c>
      <c r="P838" s="613"/>
      <c r="Q838" s="613"/>
      <c r="R838" s="613"/>
      <c r="S838" s="613"/>
      <c r="T838" s="613"/>
      <c r="U838" s="613" t="str">
        <f>IFERROR(VLOOKUP(M838,'02. MM-KLH'!$B$6:$T$823,2,0),"")</f>
        <v/>
      </c>
      <c r="V838" s="523" t="str">
        <f>IFERROR(VLOOKUP(M838,'02. MM-KLH'!$B$6:$T$823,8,0),"")</f>
        <v/>
      </c>
      <c r="W838" s="613"/>
      <c r="X838" s="613"/>
      <c r="Y838" s="613"/>
      <c r="Z838" s="523" t="str">
        <f>IFERROR(VLOOKUP(M838,'02. MM-KLH'!$B$6:$T$823,3,0),"")</f>
        <v/>
      </c>
      <c r="AA838" s="613"/>
      <c r="AB838" s="523"/>
      <c r="AC838" s="523"/>
    </row>
    <row r="839">
      <c r="A839" s="523"/>
      <c r="B839" s="612" t="str">
        <f>IFERROR(VLOOKUP(M839,'02. MM-KLH'!$B$6:$T$823,6,0),"")</f>
        <v/>
      </c>
      <c r="C839" s="566"/>
      <c r="D839" s="613" t="str">
        <f>IFERROR(VLOOKUP(M839,'02. MM-KLH'!$B$6:$T$823,16,0),"")</f>
        <v/>
      </c>
      <c r="E839" s="613"/>
      <c r="F839" s="613"/>
      <c r="G839" s="613"/>
      <c r="H839" s="613" t="str">
        <f>IFERROR(VLOOKUP(M839,'02. MM-KLH'!$B$6:$T$823,17,0),"")</f>
        <v/>
      </c>
      <c r="I839" s="614" t="str">
        <f>IFERROR(VLOOKUP(M839,'02. MM-KLH'!$B$6:$U$823,20,0),"")</f>
        <v/>
      </c>
      <c r="J839" s="612" t="str">
        <f>IFERROR(VLOOKUP(M839,'02. MM-KLH'!$B$6:$T$823,19,0),"")</f>
        <v/>
      </c>
      <c r="K839" s="612" t="str">
        <f>IFERROR(VLOOKUP(M839,'02. MM-KLH'!$B$6:$T$823,18,0),"")</f>
        <v/>
      </c>
      <c r="L839" s="613" t="str">
        <f>IFERROR(VLOOKUP(M839,'02. MM-KLH'!$B$6:$T$823,4,0),"")</f>
        <v/>
      </c>
      <c r="M839" s="488"/>
      <c r="N839" s="615" t="str">
        <f>IFERROR(VLOOKUP(M839,'02. MM-KLH'!$B$6:$T$823,15,0),"")</f>
        <v/>
      </c>
      <c r="O839" s="616" t="str">
        <f>IFERROR(VLOOKUP(M839,'02. MM-KLH'!$B$6:$T$823,9,0),"")</f>
        <v/>
      </c>
      <c r="P839" s="613"/>
      <c r="Q839" s="613"/>
      <c r="R839" s="613"/>
      <c r="S839" s="613"/>
      <c r="T839" s="613"/>
      <c r="U839" s="613" t="str">
        <f>IFERROR(VLOOKUP(M839,'02. MM-KLH'!$B$6:$T$823,2,0),"")</f>
        <v/>
      </c>
      <c r="V839" s="523" t="str">
        <f>IFERROR(VLOOKUP(M839,'02. MM-KLH'!$B$6:$T$823,8,0),"")</f>
        <v/>
      </c>
      <c r="W839" s="613"/>
      <c r="X839" s="613"/>
      <c r="Y839" s="613"/>
      <c r="Z839" s="523" t="str">
        <f>IFERROR(VLOOKUP(M839,'02. MM-KLH'!$B$6:$T$823,3,0),"")</f>
        <v/>
      </c>
      <c r="AA839" s="613"/>
      <c r="AB839" s="523"/>
      <c r="AC839" s="523"/>
    </row>
    <row r="840">
      <c r="A840" s="523"/>
      <c r="B840" s="612" t="str">
        <f>IFERROR(VLOOKUP(M840,'02. MM-KLH'!$B$6:$T$823,6,0),"")</f>
        <v/>
      </c>
      <c r="C840" s="566"/>
      <c r="D840" s="613" t="str">
        <f>IFERROR(VLOOKUP(M840,'02. MM-KLH'!$B$6:$T$823,16,0),"")</f>
        <v/>
      </c>
      <c r="E840" s="613"/>
      <c r="F840" s="613"/>
      <c r="G840" s="613"/>
      <c r="H840" s="613" t="str">
        <f>IFERROR(VLOOKUP(M840,'02. MM-KLH'!$B$6:$T$823,17,0),"")</f>
        <v/>
      </c>
      <c r="I840" s="614" t="str">
        <f>IFERROR(VLOOKUP(M840,'02. MM-KLH'!$B$6:$U$823,20,0),"")</f>
        <v/>
      </c>
      <c r="J840" s="612" t="str">
        <f>IFERROR(VLOOKUP(M840,'02. MM-KLH'!$B$6:$T$823,19,0),"")</f>
        <v/>
      </c>
      <c r="K840" s="612" t="str">
        <f>IFERROR(VLOOKUP(M840,'02. MM-KLH'!$B$6:$T$823,18,0),"")</f>
        <v/>
      </c>
      <c r="L840" s="613" t="str">
        <f>IFERROR(VLOOKUP(M840,'02. MM-KLH'!$B$6:$T$823,4,0),"")</f>
        <v/>
      </c>
      <c r="M840" s="488"/>
      <c r="N840" s="615" t="str">
        <f>IFERROR(VLOOKUP(M840,'02. MM-KLH'!$B$6:$T$823,15,0),"")</f>
        <v/>
      </c>
      <c r="O840" s="616" t="str">
        <f>IFERROR(VLOOKUP(M840,'02. MM-KLH'!$B$6:$T$823,9,0),"")</f>
        <v/>
      </c>
      <c r="P840" s="613"/>
      <c r="Q840" s="613"/>
      <c r="R840" s="613"/>
      <c r="S840" s="613"/>
      <c r="T840" s="613"/>
      <c r="U840" s="613" t="str">
        <f>IFERROR(VLOOKUP(M840,'02. MM-KLH'!$B$6:$T$823,2,0),"")</f>
        <v/>
      </c>
      <c r="V840" s="523" t="str">
        <f>IFERROR(VLOOKUP(M840,'02. MM-KLH'!$B$6:$T$823,8,0),"")</f>
        <v/>
      </c>
      <c r="W840" s="613"/>
      <c r="X840" s="613"/>
      <c r="Y840" s="613"/>
      <c r="Z840" s="523" t="str">
        <f>IFERROR(VLOOKUP(M840,'02. MM-KLH'!$B$6:$T$823,3,0),"")</f>
        <v/>
      </c>
      <c r="AA840" s="613"/>
      <c r="AB840" s="523"/>
      <c r="AC840" s="523"/>
    </row>
    <row r="841">
      <c r="A841" s="523"/>
      <c r="B841" s="612" t="str">
        <f>IFERROR(VLOOKUP(M841,'02. MM-KLH'!$B$6:$T$823,6,0),"")</f>
        <v/>
      </c>
      <c r="C841" s="566"/>
      <c r="D841" s="613" t="str">
        <f>IFERROR(VLOOKUP(M841,'02. MM-KLH'!$B$6:$T$823,16,0),"")</f>
        <v/>
      </c>
      <c r="E841" s="613"/>
      <c r="F841" s="613"/>
      <c r="G841" s="613"/>
      <c r="H841" s="613" t="str">
        <f>IFERROR(VLOOKUP(M841,'02. MM-KLH'!$B$6:$T$823,17,0),"")</f>
        <v/>
      </c>
      <c r="I841" s="614" t="str">
        <f>IFERROR(VLOOKUP(M841,'02. MM-KLH'!$B$6:$U$823,20,0),"")</f>
        <v/>
      </c>
      <c r="J841" s="612" t="str">
        <f>IFERROR(VLOOKUP(M841,'02. MM-KLH'!$B$6:$T$823,19,0),"")</f>
        <v/>
      </c>
      <c r="K841" s="612" t="str">
        <f>IFERROR(VLOOKUP(M841,'02. MM-KLH'!$B$6:$T$823,18,0),"")</f>
        <v/>
      </c>
      <c r="L841" s="613" t="str">
        <f>IFERROR(VLOOKUP(M841,'02. MM-KLH'!$B$6:$T$823,4,0),"")</f>
        <v/>
      </c>
      <c r="M841" s="488"/>
      <c r="N841" s="615" t="str">
        <f>IFERROR(VLOOKUP(M841,'02. MM-KLH'!$B$6:$T$823,15,0),"")</f>
        <v/>
      </c>
      <c r="O841" s="616" t="str">
        <f>IFERROR(VLOOKUP(M841,'02. MM-KLH'!$B$6:$T$823,9,0),"")</f>
        <v/>
      </c>
      <c r="P841" s="613"/>
      <c r="Q841" s="613"/>
      <c r="R841" s="613"/>
      <c r="S841" s="613"/>
      <c r="T841" s="613"/>
      <c r="U841" s="613" t="str">
        <f>IFERROR(VLOOKUP(M841,'02. MM-KLH'!$B$6:$T$823,2,0),"")</f>
        <v/>
      </c>
      <c r="V841" s="523" t="str">
        <f>IFERROR(VLOOKUP(M841,'02. MM-KLH'!$B$6:$T$823,8,0),"")</f>
        <v/>
      </c>
      <c r="W841" s="613"/>
      <c r="X841" s="613"/>
      <c r="Y841" s="613"/>
      <c r="Z841" s="523" t="str">
        <f>IFERROR(VLOOKUP(M841,'02. MM-KLH'!$B$6:$T$823,3,0),"")</f>
        <v/>
      </c>
      <c r="AA841" s="613"/>
      <c r="AB841" s="523"/>
      <c r="AC841" s="523"/>
    </row>
    <row r="842">
      <c r="A842" s="523"/>
      <c r="B842" s="612" t="str">
        <f>IFERROR(VLOOKUP(M842,'02. MM-KLH'!$B$6:$T$823,6,0),"")</f>
        <v/>
      </c>
      <c r="C842" s="566"/>
      <c r="D842" s="613" t="str">
        <f>IFERROR(VLOOKUP(M842,'02. MM-KLH'!$B$6:$T$823,16,0),"")</f>
        <v/>
      </c>
      <c r="E842" s="613"/>
      <c r="F842" s="613"/>
      <c r="G842" s="613"/>
      <c r="H842" s="613" t="str">
        <f>IFERROR(VLOOKUP(M842,'02. MM-KLH'!$B$6:$T$823,17,0),"")</f>
        <v/>
      </c>
      <c r="I842" s="614" t="str">
        <f>IFERROR(VLOOKUP(M842,'02. MM-KLH'!$B$6:$U$823,20,0),"")</f>
        <v/>
      </c>
      <c r="J842" s="612" t="str">
        <f>IFERROR(VLOOKUP(M842,'02. MM-KLH'!$B$6:$T$823,19,0),"")</f>
        <v/>
      </c>
      <c r="K842" s="612" t="str">
        <f>IFERROR(VLOOKUP(M842,'02. MM-KLH'!$B$6:$T$823,18,0),"")</f>
        <v/>
      </c>
      <c r="L842" s="613" t="str">
        <f>IFERROR(VLOOKUP(M842,'02. MM-KLH'!$B$6:$T$823,4,0),"")</f>
        <v/>
      </c>
      <c r="M842" s="488"/>
      <c r="N842" s="615" t="str">
        <f>IFERROR(VLOOKUP(M842,'02. MM-KLH'!$B$6:$T$823,15,0),"")</f>
        <v/>
      </c>
      <c r="O842" s="616" t="str">
        <f>IFERROR(VLOOKUP(M842,'02. MM-KLH'!$B$6:$T$823,9,0),"")</f>
        <v/>
      </c>
      <c r="P842" s="613"/>
      <c r="Q842" s="613"/>
      <c r="R842" s="613"/>
      <c r="S842" s="613"/>
      <c r="T842" s="613"/>
      <c r="U842" s="613" t="str">
        <f>IFERROR(VLOOKUP(M842,'02. MM-KLH'!$B$6:$T$823,2,0),"")</f>
        <v/>
      </c>
      <c r="V842" s="523" t="str">
        <f>IFERROR(VLOOKUP(M842,'02. MM-KLH'!$B$6:$T$823,8,0),"")</f>
        <v/>
      </c>
      <c r="W842" s="613"/>
      <c r="X842" s="613"/>
      <c r="Y842" s="613"/>
      <c r="Z842" s="523" t="str">
        <f>IFERROR(VLOOKUP(M842,'02. MM-KLH'!$B$6:$T$823,3,0),"")</f>
        <v/>
      </c>
      <c r="AA842" s="613"/>
      <c r="AB842" s="523"/>
      <c r="AC842" s="523"/>
    </row>
    <row r="843">
      <c r="A843" s="523"/>
      <c r="B843" s="612" t="str">
        <f>IFERROR(VLOOKUP(M843,'02. MM-KLH'!$B$6:$T$823,6,0),"")</f>
        <v/>
      </c>
      <c r="C843" s="566"/>
      <c r="D843" s="613" t="str">
        <f>IFERROR(VLOOKUP(M843,'02. MM-KLH'!$B$6:$T$823,16,0),"")</f>
        <v/>
      </c>
      <c r="E843" s="613"/>
      <c r="F843" s="613"/>
      <c r="G843" s="613"/>
      <c r="H843" s="613" t="str">
        <f>IFERROR(VLOOKUP(M843,'02. MM-KLH'!$B$6:$T$823,17,0),"")</f>
        <v/>
      </c>
      <c r="I843" s="614" t="str">
        <f>IFERROR(VLOOKUP(M843,'02. MM-KLH'!$B$6:$U$823,20,0),"")</f>
        <v/>
      </c>
      <c r="J843" s="612" t="str">
        <f>IFERROR(VLOOKUP(M843,'02. MM-KLH'!$B$6:$T$823,19,0),"")</f>
        <v/>
      </c>
      <c r="K843" s="612" t="str">
        <f>IFERROR(VLOOKUP(M843,'02. MM-KLH'!$B$6:$T$823,18,0),"")</f>
        <v/>
      </c>
      <c r="L843" s="613" t="str">
        <f>IFERROR(VLOOKUP(M843,'02. MM-KLH'!$B$6:$T$823,4,0),"")</f>
        <v/>
      </c>
      <c r="M843" s="488"/>
      <c r="N843" s="615" t="str">
        <f>IFERROR(VLOOKUP(M843,'02. MM-KLH'!$B$6:$T$823,15,0),"")</f>
        <v/>
      </c>
      <c r="O843" s="616" t="str">
        <f>IFERROR(VLOOKUP(M843,'02. MM-KLH'!$B$6:$T$823,9,0),"")</f>
        <v/>
      </c>
      <c r="P843" s="613"/>
      <c r="Q843" s="613"/>
      <c r="R843" s="613"/>
      <c r="S843" s="613"/>
      <c r="T843" s="613"/>
      <c r="U843" s="613" t="str">
        <f>IFERROR(VLOOKUP(M843,'02. MM-KLH'!$B$6:$T$823,2,0),"")</f>
        <v/>
      </c>
      <c r="V843" s="523" t="str">
        <f>IFERROR(VLOOKUP(M843,'02. MM-KLH'!$B$6:$T$823,8,0),"")</f>
        <v/>
      </c>
      <c r="W843" s="613"/>
      <c r="X843" s="613"/>
      <c r="Y843" s="613"/>
      <c r="Z843" s="523" t="str">
        <f>IFERROR(VLOOKUP(M843,'02. MM-KLH'!$B$6:$T$823,3,0),"")</f>
        <v/>
      </c>
      <c r="AA843" s="613"/>
      <c r="AB843" s="523"/>
      <c r="AC843" s="523"/>
    </row>
    <row r="844">
      <c r="A844" s="523"/>
      <c r="B844" s="612" t="str">
        <f>IFERROR(VLOOKUP(M844,'02. MM-KLH'!$B$6:$T$823,6,0),"")</f>
        <v/>
      </c>
      <c r="C844" s="566"/>
      <c r="D844" s="613" t="str">
        <f>IFERROR(VLOOKUP(M844,'02. MM-KLH'!$B$6:$T$823,16,0),"")</f>
        <v/>
      </c>
      <c r="E844" s="613"/>
      <c r="F844" s="613"/>
      <c r="G844" s="613"/>
      <c r="H844" s="613" t="str">
        <f>IFERROR(VLOOKUP(M844,'02. MM-KLH'!$B$6:$T$823,17,0),"")</f>
        <v/>
      </c>
      <c r="I844" s="614" t="str">
        <f>IFERROR(VLOOKUP(M844,'02. MM-KLH'!$B$6:$U$823,20,0),"")</f>
        <v/>
      </c>
      <c r="J844" s="612" t="str">
        <f>IFERROR(VLOOKUP(M844,'02. MM-KLH'!$B$6:$T$823,19,0),"")</f>
        <v/>
      </c>
      <c r="K844" s="612" t="str">
        <f>IFERROR(VLOOKUP(M844,'02. MM-KLH'!$B$6:$T$823,18,0),"")</f>
        <v/>
      </c>
      <c r="L844" s="613" t="str">
        <f>IFERROR(VLOOKUP(M844,'02. MM-KLH'!$B$6:$T$823,4,0),"")</f>
        <v/>
      </c>
      <c r="M844" s="488"/>
      <c r="N844" s="615" t="str">
        <f>IFERROR(VLOOKUP(M844,'02. MM-KLH'!$B$6:$T$823,15,0),"")</f>
        <v/>
      </c>
      <c r="O844" s="616" t="str">
        <f>IFERROR(VLOOKUP(M844,'02. MM-KLH'!$B$6:$T$823,9,0),"")</f>
        <v/>
      </c>
      <c r="P844" s="613"/>
      <c r="Q844" s="613"/>
      <c r="R844" s="613"/>
      <c r="S844" s="613"/>
      <c r="T844" s="613"/>
      <c r="U844" s="613" t="str">
        <f>IFERROR(VLOOKUP(M844,'02. MM-KLH'!$B$6:$T$823,2,0),"")</f>
        <v/>
      </c>
      <c r="V844" s="523" t="str">
        <f>IFERROR(VLOOKUP(M844,'02. MM-KLH'!$B$6:$T$823,8,0),"")</f>
        <v/>
      </c>
      <c r="W844" s="613"/>
      <c r="X844" s="613"/>
      <c r="Y844" s="613"/>
      <c r="Z844" s="523" t="str">
        <f>IFERROR(VLOOKUP(M844,'02. MM-KLH'!$B$6:$T$823,3,0),"")</f>
        <v/>
      </c>
      <c r="AA844" s="613"/>
      <c r="AB844" s="523"/>
      <c r="AC844" s="523"/>
    </row>
    <row r="845">
      <c r="A845" s="523"/>
      <c r="B845" s="612" t="str">
        <f>IFERROR(VLOOKUP(M845,'02. MM-KLH'!$B$6:$T$823,6,0),"")</f>
        <v/>
      </c>
      <c r="C845" s="566"/>
      <c r="D845" s="613" t="str">
        <f>IFERROR(VLOOKUP(M845,'02. MM-KLH'!$B$6:$T$823,16,0),"")</f>
        <v/>
      </c>
      <c r="E845" s="613"/>
      <c r="F845" s="613"/>
      <c r="G845" s="613"/>
      <c r="H845" s="613" t="str">
        <f>IFERROR(VLOOKUP(M845,'02. MM-KLH'!$B$6:$T$823,17,0),"")</f>
        <v/>
      </c>
      <c r="I845" s="614" t="str">
        <f>IFERROR(VLOOKUP(M845,'02. MM-KLH'!$B$6:$U$823,20,0),"")</f>
        <v/>
      </c>
      <c r="J845" s="612" t="str">
        <f>IFERROR(VLOOKUP(M845,'02. MM-KLH'!$B$6:$T$823,19,0),"")</f>
        <v/>
      </c>
      <c r="K845" s="612" t="str">
        <f>IFERROR(VLOOKUP(M845,'02. MM-KLH'!$B$6:$T$823,18,0),"")</f>
        <v/>
      </c>
      <c r="L845" s="613" t="str">
        <f>IFERROR(VLOOKUP(M845,'02. MM-KLH'!$B$6:$T$823,4,0),"")</f>
        <v/>
      </c>
      <c r="M845" s="488"/>
      <c r="N845" s="615" t="str">
        <f>IFERROR(VLOOKUP(M845,'02. MM-KLH'!$B$6:$T$823,15,0),"")</f>
        <v/>
      </c>
      <c r="O845" s="616" t="str">
        <f>IFERROR(VLOOKUP(M845,'02. MM-KLH'!$B$6:$T$823,9,0),"")</f>
        <v/>
      </c>
      <c r="P845" s="613"/>
      <c r="Q845" s="613"/>
      <c r="R845" s="613"/>
      <c r="S845" s="613"/>
      <c r="T845" s="613"/>
      <c r="U845" s="613" t="str">
        <f>IFERROR(VLOOKUP(M845,'02. MM-KLH'!$B$6:$T$823,2,0),"")</f>
        <v/>
      </c>
      <c r="V845" s="523" t="str">
        <f>IFERROR(VLOOKUP(M845,'02. MM-KLH'!$B$6:$T$823,8,0),"")</f>
        <v/>
      </c>
      <c r="W845" s="613"/>
      <c r="X845" s="613"/>
      <c r="Y845" s="613"/>
      <c r="Z845" s="523" t="str">
        <f>IFERROR(VLOOKUP(M845,'02. MM-KLH'!$B$6:$T$823,3,0),"")</f>
        <v/>
      </c>
      <c r="AA845" s="613"/>
      <c r="AB845" s="523"/>
      <c r="AC845" s="523"/>
    </row>
    <row r="846">
      <c r="A846" s="523"/>
      <c r="B846" s="612" t="str">
        <f>IFERROR(VLOOKUP(M846,'02. MM-KLH'!$B$6:$T$823,6,0),"")</f>
        <v/>
      </c>
      <c r="C846" s="566"/>
      <c r="D846" s="613" t="str">
        <f>IFERROR(VLOOKUP(M846,'02. MM-KLH'!$B$6:$T$823,16,0),"")</f>
        <v/>
      </c>
      <c r="E846" s="613"/>
      <c r="F846" s="613"/>
      <c r="G846" s="613"/>
      <c r="H846" s="613" t="str">
        <f>IFERROR(VLOOKUP(M846,'02. MM-KLH'!$B$6:$T$823,17,0),"")</f>
        <v/>
      </c>
      <c r="I846" s="614" t="str">
        <f>IFERROR(VLOOKUP(M846,'02. MM-KLH'!$B$6:$U$823,20,0),"")</f>
        <v/>
      </c>
      <c r="J846" s="612" t="str">
        <f>IFERROR(VLOOKUP(M846,'02. MM-KLH'!$B$6:$T$823,19,0),"")</f>
        <v/>
      </c>
      <c r="K846" s="612" t="str">
        <f>IFERROR(VLOOKUP(M846,'02. MM-KLH'!$B$6:$T$823,18,0),"")</f>
        <v/>
      </c>
      <c r="L846" s="613" t="str">
        <f>IFERROR(VLOOKUP(M846,'02. MM-KLH'!$B$6:$T$823,4,0),"")</f>
        <v/>
      </c>
      <c r="M846" s="488"/>
      <c r="N846" s="615" t="str">
        <f>IFERROR(VLOOKUP(M846,'02. MM-KLH'!$B$6:$T$823,15,0),"")</f>
        <v/>
      </c>
      <c r="O846" s="616" t="str">
        <f>IFERROR(VLOOKUP(M846,'02. MM-KLH'!$B$6:$T$823,9,0),"")</f>
        <v/>
      </c>
      <c r="P846" s="613"/>
      <c r="Q846" s="613"/>
      <c r="R846" s="613"/>
      <c r="S846" s="613"/>
      <c r="T846" s="613"/>
      <c r="U846" s="613" t="str">
        <f>IFERROR(VLOOKUP(M846,'02. MM-KLH'!$B$6:$T$823,2,0),"")</f>
        <v/>
      </c>
      <c r="V846" s="523" t="str">
        <f>IFERROR(VLOOKUP(M846,'02. MM-KLH'!$B$6:$T$823,8,0),"")</f>
        <v/>
      </c>
      <c r="W846" s="613"/>
      <c r="X846" s="613"/>
      <c r="Y846" s="613"/>
      <c r="Z846" s="523" t="str">
        <f>IFERROR(VLOOKUP(M846,'02. MM-KLH'!$B$6:$T$823,3,0),"")</f>
        <v/>
      </c>
      <c r="AA846" s="613"/>
      <c r="AB846" s="523"/>
      <c r="AC846" s="523"/>
    </row>
    <row r="847">
      <c r="A847" s="523"/>
      <c r="B847" s="612" t="str">
        <f>IFERROR(VLOOKUP(M847,'02. MM-KLH'!$B$6:$T$823,6,0),"")</f>
        <v/>
      </c>
      <c r="C847" s="566"/>
      <c r="D847" s="613" t="str">
        <f>IFERROR(VLOOKUP(M847,'02. MM-KLH'!$B$6:$T$823,16,0),"")</f>
        <v/>
      </c>
      <c r="E847" s="613"/>
      <c r="F847" s="613"/>
      <c r="G847" s="613"/>
      <c r="H847" s="613" t="str">
        <f>IFERROR(VLOOKUP(M847,'02. MM-KLH'!$B$6:$T$823,17,0),"")</f>
        <v/>
      </c>
      <c r="I847" s="614" t="str">
        <f>IFERROR(VLOOKUP(M847,'02. MM-KLH'!$B$6:$U$823,20,0),"")</f>
        <v/>
      </c>
      <c r="J847" s="612" t="str">
        <f>IFERROR(VLOOKUP(M847,'02. MM-KLH'!$B$6:$T$823,19,0),"")</f>
        <v/>
      </c>
      <c r="K847" s="612" t="str">
        <f>IFERROR(VLOOKUP(M847,'02. MM-KLH'!$B$6:$T$823,18,0),"")</f>
        <v/>
      </c>
      <c r="L847" s="613" t="str">
        <f>IFERROR(VLOOKUP(M847,'02. MM-KLH'!$B$6:$T$823,4,0),"")</f>
        <v/>
      </c>
      <c r="M847" s="488"/>
      <c r="N847" s="615" t="str">
        <f>IFERROR(VLOOKUP(M847,'02. MM-KLH'!$B$6:$T$823,15,0),"")</f>
        <v/>
      </c>
      <c r="O847" s="616" t="str">
        <f>IFERROR(VLOOKUP(M847,'02. MM-KLH'!$B$6:$T$823,9,0),"")</f>
        <v/>
      </c>
      <c r="P847" s="613"/>
      <c r="Q847" s="613"/>
      <c r="R847" s="613"/>
      <c r="S847" s="613"/>
      <c r="T847" s="613"/>
      <c r="U847" s="613" t="str">
        <f>IFERROR(VLOOKUP(M847,'02. MM-KLH'!$B$6:$T$823,2,0),"")</f>
        <v/>
      </c>
      <c r="V847" s="523" t="str">
        <f>IFERROR(VLOOKUP(M847,'02. MM-KLH'!$B$6:$T$823,8,0),"")</f>
        <v/>
      </c>
      <c r="W847" s="613"/>
      <c r="X847" s="613"/>
      <c r="Y847" s="613"/>
      <c r="Z847" s="523" t="str">
        <f>IFERROR(VLOOKUP(M847,'02. MM-KLH'!$B$6:$T$823,3,0),"")</f>
        <v/>
      </c>
      <c r="AA847" s="613"/>
      <c r="AB847" s="523"/>
      <c r="AC847" s="523"/>
    </row>
    <row r="848">
      <c r="A848" s="523"/>
      <c r="B848" s="612" t="str">
        <f>IFERROR(VLOOKUP(M848,'02. MM-KLH'!$B$6:$T$823,6,0),"")</f>
        <v/>
      </c>
      <c r="C848" s="566"/>
      <c r="D848" s="613" t="str">
        <f>IFERROR(VLOOKUP(M848,'02. MM-KLH'!$B$6:$T$823,16,0),"")</f>
        <v/>
      </c>
      <c r="E848" s="613"/>
      <c r="F848" s="613"/>
      <c r="G848" s="613"/>
      <c r="H848" s="613" t="str">
        <f>IFERROR(VLOOKUP(M848,'02. MM-KLH'!$B$6:$T$823,17,0),"")</f>
        <v/>
      </c>
      <c r="I848" s="614" t="str">
        <f>IFERROR(VLOOKUP(M848,'02. MM-KLH'!$B$6:$U$823,20,0),"")</f>
        <v/>
      </c>
      <c r="J848" s="612" t="str">
        <f>IFERROR(VLOOKUP(M848,'02. MM-KLH'!$B$6:$T$823,19,0),"")</f>
        <v/>
      </c>
      <c r="K848" s="612" t="str">
        <f>IFERROR(VLOOKUP(M848,'02. MM-KLH'!$B$6:$T$823,18,0),"")</f>
        <v/>
      </c>
      <c r="L848" s="613" t="str">
        <f>IFERROR(VLOOKUP(M848,'02. MM-KLH'!$B$6:$T$823,4,0),"")</f>
        <v/>
      </c>
      <c r="M848" s="488"/>
      <c r="N848" s="615" t="str">
        <f>IFERROR(VLOOKUP(M848,'02. MM-KLH'!$B$6:$T$823,15,0),"")</f>
        <v/>
      </c>
      <c r="O848" s="616" t="str">
        <f>IFERROR(VLOOKUP(M848,'02. MM-KLH'!$B$6:$T$823,9,0),"")</f>
        <v/>
      </c>
      <c r="P848" s="613"/>
      <c r="Q848" s="613"/>
      <c r="R848" s="613"/>
      <c r="S848" s="613"/>
      <c r="T848" s="613"/>
      <c r="U848" s="613" t="str">
        <f>IFERROR(VLOOKUP(M848,'02. MM-KLH'!$B$6:$T$823,2,0),"")</f>
        <v/>
      </c>
      <c r="V848" s="523" t="str">
        <f>IFERROR(VLOOKUP(M848,'02. MM-KLH'!$B$6:$T$823,8,0),"")</f>
        <v/>
      </c>
      <c r="W848" s="613"/>
      <c r="X848" s="613"/>
      <c r="Y848" s="613"/>
      <c r="Z848" s="523" t="str">
        <f>IFERROR(VLOOKUP(M848,'02. MM-KLH'!$B$6:$T$823,3,0),"")</f>
        <v/>
      </c>
      <c r="AA848" s="613"/>
      <c r="AB848" s="523"/>
      <c r="AC848" s="523"/>
    </row>
    <row r="849">
      <c r="A849" s="523"/>
      <c r="B849" s="612" t="str">
        <f>IFERROR(VLOOKUP(M849,'02. MM-KLH'!$B$6:$T$823,6,0),"")</f>
        <v/>
      </c>
      <c r="C849" s="566"/>
      <c r="D849" s="613" t="str">
        <f>IFERROR(VLOOKUP(M849,'02. MM-KLH'!$B$6:$T$823,16,0),"")</f>
        <v/>
      </c>
      <c r="E849" s="613"/>
      <c r="F849" s="613"/>
      <c r="G849" s="613"/>
      <c r="H849" s="613" t="str">
        <f>IFERROR(VLOOKUP(M849,'02. MM-KLH'!$B$6:$T$823,17,0),"")</f>
        <v/>
      </c>
      <c r="I849" s="614" t="str">
        <f>IFERROR(VLOOKUP(M849,'02. MM-KLH'!$B$6:$U$823,20,0),"")</f>
        <v/>
      </c>
      <c r="J849" s="612" t="str">
        <f>IFERROR(VLOOKUP(M849,'02. MM-KLH'!$B$6:$T$823,19,0),"")</f>
        <v/>
      </c>
      <c r="K849" s="612" t="str">
        <f>IFERROR(VLOOKUP(M849,'02. MM-KLH'!$B$6:$T$823,18,0),"")</f>
        <v/>
      </c>
      <c r="L849" s="613" t="str">
        <f>IFERROR(VLOOKUP(M849,'02. MM-KLH'!$B$6:$T$823,4,0),"")</f>
        <v/>
      </c>
      <c r="M849" s="488"/>
      <c r="N849" s="615" t="str">
        <f>IFERROR(VLOOKUP(M849,'02. MM-KLH'!$B$6:$T$823,15,0),"")</f>
        <v/>
      </c>
      <c r="O849" s="616" t="str">
        <f>IFERROR(VLOOKUP(M849,'02. MM-KLH'!$B$6:$T$823,9,0),"")</f>
        <v/>
      </c>
      <c r="P849" s="613"/>
      <c r="Q849" s="613"/>
      <c r="R849" s="613"/>
      <c r="S849" s="613"/>
      <c r="T849" s="613"/>
      <c r="U849" s="613" t="str">
        <f>IFERROR(VLOOKUP(M849,'02. MM-KLH'!$B$6:$T$823,2,0),"")</f>
        <v/>
      </c>
      <c r="V849" s="523" t="str">
        <f>IFERROR(VLOOKUP(M849,'02. MM-KLH'!$B$6:$T$823,8,0),"")</f>
        <v/>
      </c>
      <c r="W849" s="613"/>
      <c r="X849" s="613"/>
      <c r="Y849" s="613"/>
      <c r="Z849" s="523" t="str">
        <f>IFERROR(VLOOKUP(M849,'02. MM-KLH'!$B$6:$T$823,3,0),"")</f>
        <v/>
      </c>
      <c r="AA849" s="613"/>
      <c r="AB849" s="523"/>
      <c r="AC849" s="523"/>
    </row>
    <row r="850">
      <c r="A850" s="523"/>
      <c r="B850" s="612" t="str">
        <f>IFERROR(VLOOKUP(M850,'02. MM-KLH'!$B$6:$T$823,6,0),"")</f>
        <v/>
      </c>
      <c r="C850" s="566"/>
      <c r="D850" s="613" t="str">
        <f>IFERROR(VLOOKUP(M850,'02. MM-KLH'!$B$6:$T$823,16,0),"")</f>
        <v/>
      </c>
      <c r="E850" s="613"/>
      <c r="F850" s="613"/>
      <c r="G850" s="613"/>
      <c r="H850" s="613" t="str">
        <f>IFERROR(VLOOKUP(M850,'02. MM-KLH'!$B$6:$T$823,17,0),"")</f>
        <v/>
      </c>
      <c r="I850" s="614" t="str">
        <f>IFERROR(VLOOKUP(M850,'02. MM-KLH'!$B$6:$U$823,20,0),"")</f>
        <v/>
      </c>
      <c r="J850" s="612" t="str">
        <f>IFERROR(VLOOKUP(M850,'02. MM-KLH'!$B$6:$T$823,19,0),"")</f>
        <v/>
      </c>
      <c r="K850" s="612" t="str">
        <f>IFERROR(VLOOKUP(M850,'02. MM-KLH'!$B$6:$T$823,18,0),"")</f>
        <v/>
      </c>
      <c r="L850" s="613" t="str">
        <f>IFERROR(VLOOKUP(M850,'02. MM-KLH'!$B$6:$T$823,4,0),"")</f>
        <v/>
      </c>
      <c r="M850" s="488"/>
      <c r="N850" s="615" t="str">
        <f>IFERROR(VLOOKUP(M850,'02. MM-KLH'!$B$6:$T$823,15,0),"")</f>
        <v/>
      </c>
      <c r="O850" s="616" t="str">
        <f>IFERROR(VLOOKUP(M850,'02. MM-KLH'!$B$6:$T$823,9,0),"")</f>
        <v/>
      </c>
      <c r="P850" s="613"/>
      <c r="Q850" s="613"/>
      <c r="R850" s="613"/>
      <c r="S850" s="613"/>
      <c r="T850" s="613"/>
      <c r="U850" s="613" t="str">
        <f>IFERROR(VLOOKUP(M850,'02. MM-KLH'!$B$6:$T$823,2,0),"")</f>
        <v/>
      </c>
      <c r="V850" s="523" t="str">
        <f>IFERROR(VLOOKUP(M850,'02. MM-KLH'!$B$6:$T$823,8,0),"")</f>
        <v/>
      </c>
      <c r="W850" s="613"/>
      <c r="X850" s="613"/>
      <c r="Y850" s="613"/>
      <c r="Z850" s="523" t="str">
        <f>IFERROR(VLOOKUP(M850,'02. MM-KLH'!$B$6:$T$823,3,0),"")</f>
        <v/>
      </c>
      <c r="AA850" s="613"/>
      <c r="AB850" s="523"/>
      <c r="AC850" s="523"/>
    </row>
    <row r="851">
      <c r="A851" s="523"/>
      <c r="B851" s="612" t="str">
        <f>IFERROR(VLOOKUP(M851,'02. MM-KLH'!$B$6:$T$823,6,0),"")</f>
        <v/>
      </c>
      <c r="C851" s="566"/>
      <c r="D851" s="613" t="str">
        <f>IFERROR(VLOOKUP(M851,'02. MM-KLH'!$B$6:$T$823,16,0),"")</f>
        <v/>
      </c>
      <c r="E851" s="613"/>
      <c r="F851" s="613"/>
      <c r="G851" s="613"/>
      <c r="H851" s="613" t="str">
        <f>IFERROR(VLOOKUP(M851,'02. MM-KLH'!$B$6:$T$823,17,0),"")</f>
        <v/>
      </c>
      <c r="I851" s="614" t="str">
        <f>IFERROR(VLOOKUP(M851,'02. MM-KLH'!$B$6:$U$823,20,0),"")</f>
        <v/>
      </c>
      <c r="J851" s="612" t="str">
        <f>IFERROR(VLOOKUP(M851,'02. MM-KLH'!$B$6:$T$823,19,0),"")</f>
        <v/>
      </c>
      <c r="K851" s="612" t="str">
        <f>IFERROR(VLOOKUP(M851,'02. MM-KLH'!$B$6:$T$823,18,0),"")</f>
        <v/>
      </c>
      <c r="L851" s="613" t="str">
        <f>IFERROR(VLOOKUP(M851,'02. MM-KLH'!$B$6:$T$823,4,0),"")</f>
        <v/>
      </c>
      <c r="M851" s="488"/>
      <c r="N851" s="615" t="str">
        <f>IFERROR(VLOOKUP(M851,'02. MM-KLH'!$B$6:$T$823,15,0),"")</f>
        <v/>
      </c>
      <c r="O851" s="616" t="str">
        <f>IFERROR(VLOOKUP(M851,'02. MM-KLH'!$B$6:$T$823,9,0),"")</f>
        <v/>
      </c>
      <c r="P851" s="613"/>
      <c r="Q851" s="613"/>
      <c r="R851" s="613"/>
      <c r="S851" s="613"/>
      <c r="T851" s="613"/>
      <c r="U851" s="613" t="str">
        <f>IFERROR(VLOOKUP(M851,'02. MM-KLH'!$B$6:$T$823,2,0),"")</f>
        <v/>
      </c>
      <c r="V851" s="523" t="str">
        <f>IFERROR(VLOOKUP(M851,'02. MM-KLH'!$B$6:$T$823,8,0),"")</f>
        <v/>
      </c>
      <c r="W851" s="613"/>
      <c r="X851" s="613"/>
      <c r="Y851" s="613"/>
      <c r="Z851" s="523" t="str">
        <f>IFERROR(VLOOKUP(M851,'02. MM-KLH'!$B$6:$T$823,3,0),"")</f>
        <v/>
      </c>
      <c r="AA851" s="613"/>
      <c r="AB851" s="523"/>
      <c r="AC851" s="523"/>
    </row>
    <row r="852">
      <c r="A852" s="523"/>
      <c r="B852" s="612" t="str">
        <f>IFERROR(VLOOKUP(M852,'02. MM-KLH'!$B$6:$T$823,6,0),"")</f>
        <v/>
      </c>
      <c r="C852" s="566"/>
      <c r="D852" s="613" t="str">
        <f>IFERROR(VLOOKUP(M852,'02. MM-KLH'!$B$6:$T$823,16,0),"")</f>
        <v/>
      </c>
      <c r="E852" s="613"/>
      <c r="F852" s="613"/>
      <c r="G852" s="613"/>
      <c r="H852" s="613" t="str">
        <f>IFERROR(VLOOKUP(M852,'02. MM-KLH'!$B$6:$T$823,17,0),"")</f>
        <v/>
      </c>
      <c r="I852" s="614" t="str">
        <f>IFERROR(VLOOKUP(M852,'02. MM-KLH'!$B$6:$U$823,20,0),"")</f>
        <v/>
      </c>
      <c r="J852" s="612" t="str">
        <f>IFERROR(VLOOKUP(M852,'02. MM-KLH'!$B$6:$T$823,19,0),"")</f>
        <v/>
      </c>
      <c r="K852" s="612" t="str">
        <f>IFERROR(VLOOKUP(M852,'02. MM-KLH'!$B$6:$T$823,18,0),"")</f>
        <v/>
      </c>
      <c r="L852" s="613" t="str">
        <f>IFERROR(VLOOKUP(M852,'02. MM-KLH'!$B$6:$T$823,4,0),"")</f>
        <v/>
      </c>
      <c r="M852" s="488"/>
      <c r="N852" s="615" t="str">
        <f>IFERROR(VLOOKUP(M852,'02. MM-KLH'!$B$6:$T$823,15,0),"")</f>
        <v/>
      </c>
      <c r="O852" s="616" t="str">
        <f>IFERROR(VLOOKUP(M852,'02. MM-KLH'!$B$6:$T$823,9,0),"")</f>
        <v/>
      </c>
      <c r="P852" s="613"/>
      <c r="Q852" s="613"/>
      <c r="R852" s="613"/>
      <c r="S852" s="613"/>
      <c r="T852" s="613"/>
      <c r="U852" s="613" t="str">
        <f>IFERROR(VLOOKUP(M852,'02. MM-KLH'!$B$6:$T$823,2,0),"")</f>
        <v/>
      </c>
      <c r="V852" s="523" t="str">
        <f>IFERROR(VLOOKUP(M852,'02. MM-KLH'!$B$6:$T$823,8,0),"")</f>
        <v/>
      </c>
      <c r="W852" s="613"/>
      <c r="X852" s="613"/>
      <c r="Y852" s="613"/>
      <c r="Z852" s="523" t="str">
        <f>IFERROR(VLOOKUP(M852,'02. MM-KLH'!$B$6:$T$823,3,0),"")</f>
        <v/>
      </c>
      <c r="AA852" s="613"/>
      <c r="AB852" s="523"/>
      <c r="AC852" s="523"/>
    </row>
    <row r="853">
      <c r="A853" s="523"/>
      <c r="B853" s="612" t="str">
        <f>IFERROR(VLOOKUP(M853,'02. MM-KLH'!$B$6:$T$823,6,0),"")</f>
        <v/>
      </c>
      <c r="C853" s="566"/>
      <c r="D853" s="613" t="str">
        <f>IFERROR(VLOOKUP(M853,'02. MM-KLH'!$B$6:$T$823,16,0),"")</f>
        <v/>
      </c>
      <c r="E853" s="613"/>
      <c r="F853" s="613"/>
      <c r="G853" s="613"/>
      <c r="H853" s="613" t="str">
        <f>IFERROR(VLOOKUP(M853,'02. MM-KLH'!$B$6:$T$823,17,0),"")</f>
        <v/>
      </c>
      <c r="I853" s="614" t="str">
        <f>IFERROR(VLOOKUP(M853,'02. MM-KLH'!$B$6:$U$823,20,0),"")</f>
        <v/>
      </c>
      <c r="J853" s="612" t="str">
        <f>IFERROR(VLOOKUP(M853,'02. MM-KLH'!$B$6:$T$823,19,0),"")</f>
        <v/>
      </c>
      <c r="K853" s="612" t="str">
        <f>IFERROR(VLOOKUP(M853,'02. MM-KLH'!$B$6:$T$823,18,0),"")</f>
        <v/>
      </c>
      <c r="L853" s="613" t="str">
        <f>IFERROR(VLOOKUP(M853,'02. MM-KLH'!$B$6:$T$823,4,0),"")</f>
        <v/>
      </c>
      <c r="M853" s="488"/>
      <c r="N853" s="615" t="str">
        <f>IFERROR(VLOOKUP(M853,'02. MM-KLH'!$B$6:$T$823,15,0),"")</f>
        <v/>
      </c>
      <c r="O853" s="616" t="str">
        <f>IFERROR(VLOOKUP(M853,'02. MM-KLH'!$B$6:$T$823,9,0),"")</f>
        <v/>
      </c>
      <c r="P853" s="613"/>
      <c r="Q853" s="613"/>
      <c r="R853" s="613"/>
      <c r="S853" s="613"/>
      <c r="T853" s="613"/>
      <c r="U853" s="613" t="str">
        <f>IFERROR(VLOOKUP(M853,'02. MM-KLH'!$B$6:$T$823,2,0),"")</f>
        <v/>
      </c>
      <c r="V853" s="523" t="str">
        <f>IFERROR(VLOOKUP(M853,'02. MM-KLH'!$B$6:$T$823,8,0),"")</f>
        <v/>
      </c>
      <c r="W853" s="613"/>
      <c r="X853" s="613"/>
      <c r="Y853" s="613"/>
      <c r="Z853" s="523" t="str">
        <f>IFERROR(VLOOKUP(M853,'02. MM-KLH'!$B$6:$T$823,3,0),"")</f>
        <v/>
      </c>
      <c r="AA853" s="613"/>
      <c r="AB853" s="523"/>
      <c r="AC853" s="523"/>
    </row>
    <row r="854">
      <c r="A854" s="523"/>
      <c r="B854" s="612" t="str">
        <f>IFERROR(VLOOKUP(M854,'02. MM-KLH'!$B$6:$T$823,6,0),"")</f>
        <v/>
      </c>
      <c r="C854" s="566"/>
      <c r="D854" s="613" t="str">
        <f>IFERROR(VLOOKUP(M854,'02. MM-KLH'!$B$6:$T$823,16,0),"")</f>
        <v/>
      </c>
      <c r="E854" s="613"/>
      <c r="F854" s="613"/>
      <c r="G854" s="613"/>
      <c r="H854" s="613" t="str">
        <f>IFERROR(VLOOKUP(M854,'02. MM-KLH'!$B$6:$T$823,17,0),"")</f>
        <v/>
      </c>
      <c r="I854" s="614" t="str">
        <f>IFERROR(VLOOKUP(M854,'02. MM-KLH'!$B$6:$U$823,20,0),"")</f>
        <v/>
      </c>
      <c r="J854" s="612" t="str">
        <f>IFERROR(VLOOKUP(M854,'02. MM-KLH'!$B$6:$T$823,19,0),"")</f>
        <v/>
      </c>
      <c r="K854" s="612" t="str">
        <f>IFERROR(VLOOKUP(M854,'02. MM-KLH'!$B$6:$T$823,18,0),"")</f>
        <v/>
      </c>
      <c r="L854" s="613" t="str">
        <f>IFERROR(VLOOKUP(M854,'02. MM-KLH'!$B$6:$T$823,4,0),"")</f>
        <v/>
      </c>
      <c r="M854" s="488"/>
      <c r="N854" s="615" t="str">
        <f>IFERROR(VLOOKUP(M854,'02. MM-KLH'!$B$6:$T$823,15,0),"")</f>
        <v/>
      </c>
      <c r="O854" s="616" t="str">
        <f>IFERROR(VLOOKUP(M854,'02. MM-KLH'!$B$6:$T$823,9,0),"")</f>
        <v/>
      </c>
      <c r="P854" s="613"/>
      <c r="Q854" s="613"/>
      <c r="R854" s="613"/>
      <c r="S854" s="613"/>
      <c r="T854" s="613"/>
      <c r="U854" s="613" t="str">
        <f>IFERROR(VLOOKUP(M854,'02. MM-KLH'!$B$6:$T$823,2,0),"")</f>
        <v/>
      </c>
      <c r="V854" s="523" t="str">
        <f>IFERROR(VLOOKUP(M854,'02. MM-KLH'!$B$6:$T$823,8,0),"")</f>
        <v/>
      </c>
      <c r="W854" s="613"/>
      <c r="X854" s="613"/>
      <c r="Y854" s="613"/>
      <c r="Z854" s="523" t="str">
        <f>IFERROR(VLOOKUP(M854,'02. MM-KLH'!$B$6:$T$823,3,0),"")</f>
        <v/>
      </c>
      <c r="AA854" s="613"/>
      <c r="AB854" s="523"/>
      <c r="AC854" s="523"/>
    </row>
    <row r="855">
      <c r="A855" s="523"/>
      <c r="B855" s="612" t="str">
        <f>IFERROR(VLOOKUP(M855,'02. MM-KLH'!$B$6:$T$823,6,0),"")</f>
        <v/>
      </c>
      <c r="C855" s="566"/>
      <c r="D855" s="613" t="str">
        <f>IFERROR(VLOOKUP(M855,'02. MM-KLH'!$B$6:$T$823,16,0),"")</f>
        <v/>
      </c>
      <c r="E855" s="613"/>
      <c r="F855" s="613"/>
      <c r="G855" s="613"/>
      <c r="H855" s="613" t="str">
        <f>IFERROR(VLOOKUP(M855,'02. MM-KLH'!$B$6:$T$823,17,0),"")</f>
        <v/>
      </c>
      <c r="I855" s="614" t="str">
        <f>IFERROR(VLOOKUP(M855,'02. MM-KLH'!$B$6:$U$823,20,0),"")</f>
        <v/>
      </c>
      <c r="J855" s="612" t="str">
        <f>IFERROR(VLOOKUP(M855,'02. MM-KLH'!$B$6:$T$823,19,0),"")</f>
        <v/>
      </c>
      <c r="K855" s="612" t="str">
        <f>IFERROR(VLOOKUP(M855,'02. MM-KLH'!$B$6:$T$823,18,0),"")</f>
        <v/>
      </c>
      <c r="L855" s="613" t="str">
        <f>IFERROR(VLOOKUP(M855,'02. MM-KLH'!$B$6:$T$823,4,0),"")</f>
        <v/>
      </c>
      <c r="M855" s="488"/>
      <c r="N855" s="615" t="str">
        <f>IFERROR(VLOOKUP(M855,'02. MM-KLH'!$B$6:$T$823,15,0),"")</f>
        <v/>
      </c>
      <c r="O855" s="616" t="str">
        <f>IFERROR(VLOOKUP(M855,'02. MM-KLH'!$B$6:$T$823,9,0),"")</f>
        <v/>
      </c>
      <c r="P855" s="613"/>
      <c r="Q855" s="613"/>
      <c r="R855" s="613"/>
      <c r="S855" s="613"/>
      <c r="T855" s="613"/>
      <c r="U855" s="613" t="str">
        <f>IFERROR(VLOOKUP(M855,'02. MM-KLH'!$B$6:$T$823,2,0),"")</f>
        <v/>
      </c>
      <c r="V855" s="523" t="str">
        <f>IFERROR(VLOOKUP(M855,'02. MM-KLH'!$B$6:$T$823,8,0),"")</f>
        <v/>
      </c>
      <c r="W855" s="613"/>
      <c r="X855" s="613"/>
      <c r="Y855" s="613"/>
      <c r="Z855" s="523" t="str">
        <f>IFERROR(VLOOKUP(M855,'02. MM-KLH'!$B$6:$T$823,3,0),"")</f>
        <v/>
      </c>
      <c r="AA855" s="613"/>
      <c r="AB855" s="523"/>
      <c r="AC855" s="523"/>
    </row>
    <row r="856">
      <c r="A856" s="523"/>
      <c r="B856" s="612" t="str">
        <f>IFERROR(VLOOKUP(M856,'02. MM-KLH'!$B$6:$T$823,6,0),"")</f>
        <v/>
      </c>
      <c r="C856" s="566"/>
      <c r="D856" s="613" t="str">
        <f>IFERROR(VLOOKUP(M856,'02. MM-KLH'!$B$6:$T$823,16,0),"")</f>
        <v/>
      </c>
      <c r="E856" s="613"/>
      <c r="F856" s="613"/>
      <c r="G856" s="613"/>
      <c r="H856" s="613" t="str">
        <f>IFERROR(VLOOKUP(M856,'02. MM-KLH'!$B$6:$T$823,17,0),"")</f>
        <v/>
      </c>
      <c r="I856" s="614" t="str">
        <f>IFERROR(VLOOKUP(M856,'02. MM-KLH'!$B$6:$U$823,20,0),"")</f>
        <v/>
      </c>
      <c r="J856" s="612" t="str">
        <f>IFERROR(VLOOKUP(M856,'02. MM-KLH'!$B$6:$T$823,19,0),"")</f>
        <v/>
      </c>
      <c r="K856" s="612" t="str">
        <f>IFERROR(VLOOKUP(M856,'02. MM-KLH'!$B$6:$T$823,18,0),"")</f>
        <v/>
      </c>
      <c r="L856" s="613" t="str">
        <f>IFERROR(VLOOKUP(M856,'02. MM-KLH'!$B$6:$T$823,4,0),"")</f>
        <v/>
      </c>
      <c r="M856" s="488"/>
      <c r="N856" s="615" t="str">
        <f>IFERROR(VLOOKUP(M856,'02. MM-KLH'!$B$6:$T$823,15,0),"")</f>
        <v/>
      </c>
      <c r="O856" s="616" t="str">
        <f>IFERROR(VLOOKUP(M856,'02. MM-KLH'!$B$6:$T$823,9,0),"")</f>
        <v/>
      </c>
      <c r="P856" s="613"/>
      <c r="Q856" s="613"/>
      <c r="R856" s="613"/>
      <c r="S856" s="613"/>
      <c r="T856" s="613"/>
      <c r="U856" s="613" t="str">
        <f>IFERROR(VLOOKUP(M856,'02. MM-KLH'!$B$6:$T$823,2,0),"")</f>
        <v/>
      </c>
      <c r="V856" s="523" t="str">
        <f>IFERROR(VLOOKUP(M856,'02. MM-KLH'!$B$6:$T$823,8,0),"")</f>
        <v/>
      </c>
      <c r="W856" s="613"/>
      <c r="X856" s="613"/>
      <c r="Y856" s="613"/>
      <c r="Z856" s="523" t="str">
        <f>IFERROR(VLOOKUP(M856,'02. MM-KLH'!$B$6:$T$823,3,0),"")</f>
        <v/>
      </c>
      <c r="AA856" s="613"/>
      <c r="AB856" s="523"/>
      <c r="AC856" s="523"/>
    </row>
    <row r="857">
      <c r="A857" s="523"/>
      <c r="B857" s="612" t="str">
        <f>IFERROR(VLOOKUP(M857,'02. MM-KLH'!$B$6:$T$823,6,0),"")</f>
        <v/>
      </c>
      <c r="C857" s="566"/>
      <c r="D857" s="613" t="str">
        <f>IFERROR(VLOOKUP(M857,'02. MM-KLH'!$B$6:$T$823,16,0),"")</f>
        <v/>
      </c>
      <c r="E857" s="613"/>
      <c r="F857" s="613"/>
      <c r="G857" s="613"/>
      <c r="H857" s="613" t="str">
        <f>IFERROR(VLOOKUP(M857,'02. MM-KLH'!$B$6:$T$823,17,0),"")</f>
        <v/>
      </c>
      <c r="I857" s="614" t="str">
        <f>IFERROR(VLOOKUP(M857,'02. MM-KLH'!$B$6:$U$823,20,0),"")</f>
        <v/>
      </c>
      <c r="J857" s="612" t="str">
        <f>IFERROR(VLOOKUP(M857,'02. MM-KLH'!$B$6:$T$823,19,0),"")</f>
        <v/>
      </c>
      <c r="K857" s="612" t="str">
        <f>IFERROR(VLOOKUP(M857,'02. MM-KLH'!$B$6:$T$823,18,0),"")</f>
        <v/>
      </c>
      <c r="L857" s="613" t="str">
        <f>IFERROR(VLOOKUP(M857,'02. MM-KLH'!$B$6:$T$823,4,0),"")</f>
        <v/>
      </c>
      <c r="M857" s="488"/>
      <c r="N857" s="615" t="str">
        <f>IFERROR(VLOOKUP(M857,'02. MM-KLH'!$B$6:$T$823,15,0),"")</f>
        <v/>
      </c>
      <c r="O857" s="616" t="str">
        <f>IFERROR(VLOOKUP(M857,'02. MM-KLH'!$B$6:$T$823,9,0),"")</f>
        <v/>
      </c>
      <c r="P857" s="613"/>
      <c r="Q857" s="613"/>
      <c r="R857" s="613"/>
      <c r="S857" s="613"/>
      <c r="T857" s="613"/>
      <c r="U857" s="613" t="str">
        <f>IFERROR(VLOOKUP(M857,'02. MM-KLH'!$B$6:$T$823,2,0),"")</f>
        <v/>
      </c>
      <c r="V857" s="523" t="str">
        <f>IFERROR(VLOOKUP(M857,'02. MM-KLH'!$B$6:$T$823,8,0),"")</f>
        <v/>
      </c>
      <c r="W857" s="613"/>
      <c r="X857" s="613"/>
      <c r="Y857" s="613"/>
      <c r="Z857" s="523" t="str">
        <f>IFERROR(VLOOKUP(M857,'02. MM-KLH'!$B$6:$T$823,3,0),"")</f>
        <v/>
      </c>
      <c r="AA857" s="613"/>
      <c r="AB857" s="523"/>
      <c r="AC857" s="523"/>
    </row>
    <row r="858">
      <c r="A858" s="523"/>
      <c r="B858" s="612" t="str">
        <f>IFERROR(VLOOKUP(M858,'02. MM-KLH'!$B$6:$T$823,6,0),"")</f>
        <v/>
      </c>
      <c r="C858" s="566"/>
      <c r="D858" s="613" t="str">
        <f>IFERROR(VLOOKUP(M858,'02. MM-KLH'!$B$6:$T$823,16,0),"")</f>
        <v/>
      </c>
      <c r="E858" s="613"/>
      <c r="F858" s="613"/>
      <c r="G858" s="613"/>
      <c r="H858" s="613" t="str">
        <f>IFERROR(VLOOKUP(M858,'02. MM-KLH'!$B$6:$T$823,17,0),"")</f>
        <v/>
      </c>
      <c r="I858" s="614" t="str">
        <f>IFERROR(VLOOKUP(M858,'02. MM-KLH'!$B$6:$U$823,20,0),"")</f>
        <v/>
      </c>
      <c r="J858" s="612" t="str">
        <f>IFERROR(VLOOKUP(M858,'02. MM-KLH'!$B$6:$T$823,19,0),"")</f>
        <v/>
      </c>
      <c r="K858" s="612" t="str">
        <f>IFERROR(VLOOKUP(M858,'02. MM-KLH'!$B$6:$T$823,18,0),"")</f>
        <v/>
      </c>
      <c r="L858" s="613" t="str">
        <f>IFERROR(VLOOKUP(M858,'02. MM-KLH'!$B$6:$T$823,4,0),"")</f>
        <v/>
      </c>
      <c r="M858" s="488"/>
      <c r="N858" s="615" t="str">
        <f>IFERROR(VLOOKUP(M858,'02. MM-KLH'!$B$6:$T$823,15,0),"")</f>
        <v/>
      </c>
      <c r="O858" s="616" t="str">
        <f>IFERROR(VLOOKUP(M858,'02. MM-KLH'!$B$6:$T$823,9,0),"")</f>
        <v/>
      </c>
      <c r="P858" s="613"/>
      <c r="Q858" s="613"/>
      <c r="R858" s="613"/>
      <c r="S858" s="613"/>
      <c r="T858" s="613"/>
      <c r="U858" s="613" t="str">
        <f>IFERROR(VLOOKUP(M858,'02. MM-KLH'!$B$6:$T$823,2,0),"")</f>
        <v/>
      </c>
      <c r="V858" s="523" t="str">
        <f>IFERROR(VLOOKUP(M858,'02. MM-KLH'!$B$6:$T$823,8,0),"")</f>
        <v/>
      </c>
      <c r="W858" s="613"/>
      <c r="X858" s="613"/>
      <c r="Y858" s="613"/>
      <c r="Z858" s="523" t="str">
        <f>IFERROR(VLOOKUP(M858,'02. MM-KLH'!$B$6:$T$823,3,0),"")</f>
        <v/>
      </c>
      <c r="AA858" s="613"/>
      <c r="AB858" s="523"/>
      <c r="AC858" s="523"/>
    </row>
    <row r="859">
      <c r="A859" s="523"/>
      <c r="B859" s="612" t="str">
        <f>IFERROR(VLOOKUP(M859,'02. MM-KLH'!$B$6:$T$823,6,0),"")</f>
        <v/>
      </c>
      <c r="C859" s="566"/>
      <c r="D859" s="613" t="str">
        <f>IFERROR(VLOOKUP(M859,'02. MM-KLH'!$B$6:$T$823,16,0),"")</f>
        <v/>
      </c>
      <c r="E859" s="613"/>
      <c r="F859" s="613"/>
      <c r="G859" s="613"/>
      <c r="H859" s="613" t="str">
        <f>IFERROR(VLOOKUP(M859,'02. MM-KLH'!$B$6:$T$823,17,0),"")</f>
        <v/>
      </c>
      <c r="I859" s="614" t="str">
        <f>IFERROR(VLOOKUP(M859,'02. MM-KLH'!$B$6:$U$823,20,0),"")</f>
        <v/>
      </c>
      <c r="J859" s="612" t="str">
        <f>IFERROR(VLOOKUP(M859,'02. MM-KLH'!$B$6:$T$823,19,0),"")</f>
        <v/>
      </c>
      <c r="K859" s="612" t="str">
        <f>IFERROR(VLOOKUP(M859,'02. MM-KLH'!$B$6:$T$823,18,0),"")</f>
        <v/>
      </c>
      <c r="L859" s="613" t="str">
        <f>IFERROR(VLOOKUP(M859,'02. MM-KLH'!$B$6:$T$823,4,0),"")</f>
        <v/>
      </c>
      <c r="M859" s="488"/>
      <c r="N859" s="615" t="str">
        <f>IFERROR(VLOOKUP(M859,'02. MM-KLH'!$B$6:$T$823,15,0),"")</f>
        <v/>
      </c>
      <c r="O859" s="616" t="str">
        <f>IFERROR(VLOOKUP(M859,'02. MM-KLH'!$B$6:$T$823,9,0),"")</f>
        <v/>
      </c>
      <c r="P859" s="613"/>
      <c r="Q859" s="613"/>
      <c r="R859" s="613"/>
      <c r="S859" s="613"/>
      <c r="T859" s="613"/>
      <c r="U859" s="613" t="str">
        <f>IFERROR(VLOOKUP(M859,'02. MM-KLH'!$B$6:$T$823,2,0),"")</f>
        <v/>
      </c>
      <c r="V859" s="523" t="str">
        <f>IFERROR(VLOOKUP(M859,'02. MM-KLH'!$B$6:$T$823,8,0),"")</f>
        <v/>
      </c>
      <c r="W859" s="613"/>
      <c r="X859" s="613"/>
      <c r="Y859" s="613"/>
      <c r="Z859" s="523" t="str">
        <f>IFERROR(VLOOKUP(M859,'02. MM-KLH'!$B$6:$T$823,3,0),"")</f>
        <v/>
      </c>
      <c r="AA859" s="613"/>
      <c r="AB859" s="523"/>
      <c r="AC859" s="523"/>
    </row>
    <row r="860">
      <c r="A860" s="523"/>
      <c r="B860" s="612" t="str">
        <f>IFERROR(VLOOKUP(M860,'02. MM-KLH'!$B$6:$T$823,6,0),"")</f>
        <v/>
      </c>
      <c r="C860" s="566"/>
      <c r="D860" s="613" t="str">
        <f>IFERROR(VLOOKUP(M860,'02. MM-KLH'!$B$6:$T$823,16,0),"")</f>
        <v/>
      </c>
      <c r="E860" s="613"/>
      <c r="F860" s="613"/>
      <c r="G860" s="613"/>
      <c r="H860" s="613" t="str">
        <f>IFERROR(VLOOKUP(M860,'02. MM-KLH'!$B$6:$T$823,17,0),"")</f>
        <v/>
      </c>
      <c r="I860" s="614" t="str">
        <f>IFERROR(VLOOKUP(M860,'02. MM-KLH'!$B$6:$U$823,20,0),"")</f>
        <v/>
      </c>
      <c r="J860" s="612" t="str">
        <f>IFERROR(VLOOKUP(M860,'02. MM-KLH'!$B$6:$T$823,19,0),"")</f>
        <v/>
      </c>
      <c r="K860" s="612" t="str">
        <f>IFERROR(VLOOKUP(M860,'02. MM-KLH'!$B$6:$T$823,18,0),"")</f>
        <v/>
      </c>
      <c r="L860" s="613" t="str">
        <f>IFERROR(VLOOKUP(M860,'02. MM-KLH'!$B$6:$T$823,4,0),"")</f>
        <v/>
      </c>
      <c r="M860" s="488"/>
      <c r="N860" s="615" t="str">
        <f>IFERROR(VLOOKUP(M860,'02. MM-KLH'!$B$6:$T$823,15,0),"")</f>
        <v/>
      </c>
      <c r="O860" s="616" t="str">
        <f>IFERROR(VLOOKUP(M860,'02. MM-KLH'!$B$6:$T$823,9,0),"")</f>
        <v/>
      </c>
      <c r="P860" s="613"/>
      <c r="Q860" s="613"/>
      <c r="R860" s="613"/>
      <c r="S860" s="613"/>
      <c r="T860" s="613"/>
      <c r="U860" s="613" t="str">
        <f>IFERROR(VLOOKUP(M860,'02. MM-KLH'!$B$6:$T$823,2,0),"")</f>
        <v/>
      </c>
      <c r="V860" s="523" t="str">
        <f>IFERROR(VLOOKUP(M860,'02. MM-KLH'!$B$6:$T$823,8,0),"")</f>
        <v/>
      </c>
      <c r="W860" s="613"/>
      <c r="X860" s="613"/>
      <c r="Y860" s="613"/>
      <c r="Z860" s="523" t="str">
        <f>IFERROR(VLOOKUP(M860,'02. MM-KLH'!$B$6:$T$823,3,0),"")</f>
        <v/>
      </c>
      <c r="AA860" s="613"/>
      <c r="AB860" s="523"/>
      <c r="AC860" s="523"/>
    </row>
    <row r="861">
      <c r="A861" s="523"/>
      <c r="B861" s="612" t="str">
        <f>IFERROR(VLOOKUP(M861,'02. MM-KLH'!$B$6:$T$823,6,0),"")</f>
        <v/>
      </c>
      <c r="C861" s="566"/>
      <c r="D861" s="613" t="str">
        <f>IFERROR(VLOOKUP(M861,'02. MM-KLH'!$B$6:$T$823,16,0),"")</f>
        <v/>
      </c>
      <c r="E861" s="613"/>
      <c r="F861" s="613"/>
      <c r="G861" s="613"/>
      <c r="H861" s="613" t="str">
        <f>IFERROR(VLOOKUP(M861,'02. MM-KLH'!$B$6:$T$823,17,0),"")</f>
        <v/>
      </c>
      <c r="I861" s="614" t="str">
        <f>IFERROR(VLOOKUP(M861,'02. MM-KLH'!$B$6:$U$823,20,0),"")</f>
        <v/>
      </c>
      <c r="J861" s="612" t="str">
        <f>IFERROR(VLOOKUP(M861,'02. MM-KLH'!$B$6:$T$823,19,0),"")</f>
        <v/>
      </c>
      <c r="K861" s="612" t="str">
        <f>IFERROR(VLOOKUP(M861,'02. MM-KLH'!$B$6:$T$823,18,0),"")</f>
        <v/>
      </c>
      <c r="L861" s="613" t="str">
        <f>IFERROR(VLOOKUP(M861,'02. MM-KLH'!$B$6:$T$823,4,0),"")</f>
        <v/>
      </c>
      <c r="M861" s="488"/>
      <c r="N861" s="615" t="str">
        <f>IFERROR(VLOOKUP(M861,'02. MM-KLH'!$B$6:$T$823,15,0),"")</f>
        <v/>
      </c>
      <c r="O861" s="616" t="str">
        <f>IFERROR(VLOOKUP(M861,'02. MM-KLH'!$B$6:$T$823,9,0),"")</f>
        <v/>
      </c>
      <c r="P861" s="613"/>
      <c r="Q861" s="613"/>
      <c r="R861" s="613"/>
      <c r="S861" s="613"/>
      <c r="T861" s="613"/>
      <c r="U861" s="613" t="str">
        <f>IFERROR(VLOOKUP(M861,'02. MM-KLH'!$B$6:$T$823,2,0),"")</f>
        <v/>
      </c>
      <c r="V861" s="523" t="str">
        <f>IFERROR(VLOOKUP(M861,'02. MM-KLH'!$B$6:$T$823,8,0),"")</f>
        <v/>
      </c>
      <c r="W861" s="613"/>
      <c r="X861" s="613"/>
      <c r="Y861" s="613"/>
      <c r="Z861" s="523" t="str">
        <f>IFERROR(VLOOKUP(M861,'02. MM-KLH'!$B$6:$T$823,3,0),"")</f>
        <v/>
      </c>
      <c r="AA861" s="613"/>
      <c r="AB861" s="523"/>
      <c r="AC861" s="523"/>
    </row>
    <row r="862">
      <c r="A862" s="613"/>
      <c r="B862" s="612"/>
      <c r="C862" s="613"/>
      <c r="D862" s="613"/>
      <c r="E862" s="613"/>
      <c r="F862" s="613"/>
      <c r="G862" s="613"/>
      <c r="H862" s="613"/>
      <c r="I862" s="523"/>
      <c r="J862" s="612"/>
      <c r="K862" s="612"/>
      <c r="L862" s="613"/>
      <c r="M862" s="613"/>
      <c r="N862" s="613"/>
      <c r="O862" s="616"/>
      <c r="P862" s="613"/>
      <c r="Q862" s="613"/>
      <c r="R862" s="613"/>
      <c r="S862" s="613"/>
      <c r="T862" s="613"/>
      <c r="U862" s="613"/>
      <c r="V862" s="523"/>
      <c r="W862" s="613"/>
      <c r="X862" s="613"/>
      <c r="Y862" s="613"/>
      <c r="Z862" s="523"/>
      <c r="AA862" s="613"/>
      <c r="AB862" s="523"/>
      <c r="AC862" s="523"/>
    </row>
    <row r="863">
      <c r="A863" s="613"/>
      <c r="B863" s="612"/>
      <c r="C863" s="613"/>
      <c r="D863" s="613"/>
      <c r="E863" s="613"/>
      <c r="F863" s="613"/>
      <c r="G863" s="613"/>
      <c r="H863" s="613"/>
      <c r="I863" s="523"/>
      <c r="J863" s="612"/>
      <c r="K863" s="612"/>
      <c r="L863" s="613"/>
      <c r="M863" s="613"/>
      <c r="N863" s="613"/>
      <c r="O863" s="616"/>
      <c r="P863" s="613"/>
      <c r="Q863" s="613"/>
      <c r="R863" s="613"/>
      <c r="S863" s="613"/>
      <c r="T863" s="613"/>
      <c r="U863" s="613"/>
      <c r="V863" s="523"/>
      <c r="W863" s="613"/>
      <c r="X863" s="613"/>
      <c r="Y863" s="613"/>
      <c r="Z863" s="523"/>
      <c r="AA863" s="613"/>
      <c r="AB863" s="523"/>
      <c r="AC863" s="523"/>
    </row>
    <row r="864">
      <c r="A864" s="613"/>
      <c r="B864" s="612"/>
      <c r="C864" s="613"/>
      <c r="D864" s="613"/>
      <c r="E864" s="613"/>
      <c r="F864" s="613"/>
      <c r="G864" s="613"/>
      <c r="H864" s="613"/>
      <c r="I864" s="523"/>
      <c r="J864" s="612"/>
      <c r="K864" s="612"/>
      <c r="L864" s="613"/>
      <c r="M864" s="613"/>
      <c r="N864" s="613"/>
      <c r="O864" s="616"/>
      <c r="P864" s="613"/>
      <c r="Q864" s="613"/>
      <c r="R864" s="613"/>
      <c r="S864" s="613"/>
      <c r="T864" s="613"/>
      <c r="U864" s="613"/>
      <c r="V864" s="523"/>
      <c r="W864" s="613"/>
      <c r="X864" s="613"/>
      <c r="Y864" s="613"/>
      <c r="Z864" s="523"/>
      <c r="AA864" s="613"/>
      <c r="AB864" s="523"/>
      <c r="AC864" s="523"/>
    </row>
    <row r="865">
      <c r="A865" s="613"/>
      <c r="B865" s="612"/>
      <c r="C865" s="613"/>
      <c r="D865" s="613"/>
      <c r="E865" s="613"/>
      <c r="F865" s="613"/>
      <c r="G865" s="613"/>
      <c r="H865" s="613"/>
      <c r="I865" s="523"/>
      <c r="J865" s="612"/>
      <c r="K865" s="612"/>
      <c r="L865" s="613"/>
      <c r="M865" s="613"/>
      <c r="N865" s="613"/>
      <c r="O865" s="616"/>
      <c r="P865" s="613"/>
      <c r="Q865" s="613"/>
      <c r="R865" s="613"/>
      <c r="S865" s="613"/>
      <c r="T865" s="613"/>
      <c r="U865" s="613"/>
      <c r="V865" s="523"/>
      <c r="W865" s="613"/>
      <c r="X865" s="613"/>
      <c r="Y865" s="613"/>
      <c r="Z865" s="523"/>
      <c r="AA865" s="613"/>
      <c r="AB865" s="523"/>
      <c r="AC865" s="523"/>
    </row>
    <row r="866">
      <c r="A866" s="613"/>
      <c r="B866" s="612"/>
      <c r="C866" s="613"/>
      <c r="D866" s="613"/>
      <c r="E866" s="613"/>
      <c r="F866" s="613"/>
      <c r="G866" s="613"/>
      <c r="H866" s="613"/>
      <c r="I866" s="523"/>
      <c r="J866" s="612"/>
      <c r="K866" s="612"/>
      <c r="L866" s="613"/>
      <c r="M866" s="613"/>
      <c r="N866" s="613"/>
      <c r="O866" s="616"/>
      <c r="P866" s="613"/>
      <c r="Q866" s="613"/>
      <c r="R866" s="613"/>
      <c r="S866" s="613"/>
      <c r="T866" s="613"/>
      <c r="U866" s="613"/>
      <c r="V866" s="523"/>
      <c r="W866" s="613"/>
      <c r="X866" s="613"/>
      <c r="Y866" s="613"/>
      <c r="Z866" s="523"/>
      <c r="AA866" s="613"/>
      <c r="AB866" s="523"/>
      <c r="AC866" s="523"/>
    </row>
    <row r="867">
      <c r="A867" s="613"/>
      <c r="B867" s="612"/>
      <c r="C867" s="613"/>
      <c r="D867" s="613"/>
      <c r="E867" s="613"/>
      <c r="F867" s="613"/>
      <c r="G867" s="613"/>
      <c r="H867" s="613"/>
      <c r="I867" s="523"/>
      <c r="J867" s="612"/>
      <c r="K867" s="612"/>
      <c r="L867" s="613"/>
      <c r="M867" s="613"/>
      <c r="N867" s="613"/>
      <c r="O867" s="616"/>
      <c r="P867" s="613"/>
      <c r="Q867" s="613"/>
      <c r="R867" s="613"/>
      <c r="S867" s="613"/>
      <c r="T867" s="613"/>
      <c r="U867" s="613"/>
      <c r="V867" s="523"/>
      <c r="W867" s="613"/>
      <c r="X867" s="613"/>
      <c r="Y867" s="613"/>
      <c r="Z867" s="523"/>
      <c r="AA867" s="613"/>
      <c r="AB867" s="523"/>
      <c r="AC867" s="523"/>
    </row>
    <row r="868">
      <c r="A868" s="613"/>
      <c r="B868" s="612"/>
      <c r="C868" s="613"/>
      <c r="D868" s="613"/>
      <c r="E868" s="613"/>
      <c r="F868" s="613"/>
      <c r="G868" s="613"/>
      <c r="H868" s="613"/>
      <c r="I868" s="523"/>
      <c r="J868" s="612"/>
      <c r="K868" s="612"/>
      <c r="L868" s="613"/>
      <c r="M868" s="613"/>
      <c r="N868" s="613"/>
      <c r="O868" s="616"/>
      <c r="P868" s="613"/>
      <c r="Q868" s="613"/>
      <c r="R868" s="613"/>
      <c r="S868" s="613"/>
      <c r="T868" s="613"/>
      <c r="U868" s="613"/>
      <c r="V868" s="523"/>
      <c r="W868" s="613"/>
      <c r="X868" s="613"/>
      <c r="Y868" s="613"/>
      <c r="Z868" s="523"/>
      <c r="AA868" s="613"/>
      <c r="AB868" s="523"/>
      <c r="AC868" s="523"/>
    </row>
    <row r="869">
      <c r="A869" s="613"/>
      <c r="B869" s="612"/>
      <c r="C869" s="613"/>
      <c r="D869" s="613"/>
      <c r="E869" s="613"/>
      <c r="F869" s="613"/>
      <c r="G869" s="613"/>
      <c r="H869" s="613"/>
      <c r="I869" s="523"/>
      <c r="J869" s="612"/>
      <c r="K869" s="612"/>
      <c r="L869" s="613"/>
      <c r="M869" s="613"/>
      <c r="N869" s="613"/>
      <c r="O869" s="616"/>
      <c r="P869" s="613"/>
      <c r="Q869" s="613"/>
      <c r="R869" s="613"/>
      <c r="S869" s="613"/>
      <c r="T869" s="613"/>
      <c r="U869" s="613"/>
      <c r="V869" s="523"/>
      <c r="W869" s="613"/>
      <c r="X869" s="613"/>
      <c r="Y869" s="613"/>
      <c r="Z869" s="523"/>
      <c r="AA869" s="613"/>
      <c r="AB869" s="523"/>
      <c r="AC869" s="523"/>
    </row>
    <row r="870">
      <c r="A870" s="613"/>
      <c r="B870" s="612"/>
      <c r="C870" s="613"/>
      <c r="D870" s="613"/>
      <c r="E870" s="613"/>
      <c r="F870" s="613"/>
      <c r="G870" s="613"/>
      <c r="H870" s="613"/>
      <c r="I870" s="523"/>
      <c r="J870" s="612"/>
      <c r="K870" s="612"/>
      <c r="L870" s="613"/>
      <c r="M870" s="613"/>
      <c r="N870" s="613"/>
      <c r="O870" s="616"/>
      <c r="P870" s="613"/>
      <c r="Q870" s="613"/>
      <c r="R870" s="613"/>
      <c r="S870" s="613"/>
      <c r="T870" s="613"/>
      <c r="U870" s="613"/>
      <c r="V870" s="523"/>
      <c r="W870" s="613"/>
      <c r="X870" s="613"/>
      <c r="Y870" s="613"/>
      <c r="Z870" s="523"/>
      <c r="AA870" s="613"/>
      <c r="AB870" s="523"/>
      <c r="AC870" s="523"/>
    </row>
    <row r="871">
      <c r="A871" s="613"/>
      <c r="B871" s="612"/>
      <c r="C871" s="613"/>
      <c r="D871" s="613"/>
      <c r="E871" s="613"/>
      <c r="F871" s="613"/>
      <c r="G871" s="613"/>
      <c r="H871" s="613"/>
      <c r="I871" s="523"/>
      <c r="J871" s="612"/>
      <c r="K871" s="612"/>
      <c r="L871" s="613"/>
      <c r="M871" s="613"/>
      <c r="N871" s="613"/>
      <c r="O871" s="616"/>
      <c r="P871" s="613"/>
      <c r="Q871" s="613"/>
      <c r="R871" s="613"/>
      <c r="S871" s="613"/>
      <c r="T871" s="613"/>
      <c r="U871" s="613"/>
      <c r="V871" s="523"/>
      <c r="W871" s="613"/>
      <c r="X871" s="613"/>
      <c r="Y871" s="613"/>
      <c r="Z871" s="523"/>
      <c r="AA871" s="613"/>
      <c r="AB871" s="523"/>
      <c r="AC871" s="523"/>
    </row>
    <row r="872">
      <c r="A872" s="613"/>
      <c r="B872" s="612"/>
      <c r="C872" s="613"/>
      <c r="D872" s="613"/>
      <c r="E872" s="613"/>
      <c r="F872" s="613"/>
      <c r="G872" s="613"/>
      <c r="H872" s="613"/>
      <c r="I872" s="523"/>
      <c r="J872" s="612"/>
      <c r="K872" s="612"/>
      <c r="L872" s="613"/>
      <c r="M872" s="613"/>
      <c r="N872" s="613"/>
      <c r="O872" s="616"/>
      <c r="P872" s="613"/>
      <c r="Q872" s="613"/>
      <c r="R872" s="613"/>
      <c r="S872" s="613"/>
      <c r="T872" s="613"/>
      <c r="U872" s="613"/>
      <c r="V872" s="523"/>
      <c r="W872" s="613"/>
      <c r="X872" s="613"/>
      <c r="Y872" s="613"/>
      <c r="Z872" s="523"/>
      <c r="AA872" s="613"/>
      <c r="AB872" s="523"/>
      <c r="AC872" s="523"/>
    </row>
    <row r="873">
      <c r="A873" s="613"/>
      <c r="B873" s="612"/>
      <c r="C873" s="613"/>
      <c r="D873" s="613"/>
      <c r="E873" s="613"/>
      <c r="F873" s="613"/>
      <c r="G873" s="613"/>
      <c r="H873" s="613"/>
      <c r="I873" s="523"/>
      <c r="J873" s="612"/>
      <c r="K873" s="612"/>
      <c r="L873" s="613"/>
      <c r="M873" s="613"/>
      <c r="N873" s="613"/>
      <c r="O873" s="616"/>
      <c r="P873" s="613"/>
      <c r="Q873" s="613"/>
      <c r="R873" s="613"/>
      <c r="S873" s="613"/>
      <c r="T873" s="613"/>
      <c r="U873" s="613"/>
      <c r="V873" s="523"/>
      <c r="W873" s="613"/>
      <c r="X873" s="613"/>
      <c r="Y873" s="613"/>
      <c r="Z873" s="523"/>
      <c r="AA873" s="613"/>
      <c r="AB873" s="523"/>
      <c r="AC873" s="523"/>
    </row>
    <row r="874">
      <c r="A874" s="613"/>
      <c r="B874" s="612"/>
      <c r="C874" s="613"/>
      <c r="D874" s="613"/>
      <c r="E874" s="613"/>
      <c r="F874" s="613"/>
      <c r="G874" s="613"/>
      <c r="H874" s="613"/>
      <c r="I874" s="523"/>
      <c r="J874" s="612"/>
      <c r="K874" s="612"/>
      <c r="L874" s="613"/>
      <c r="M874" s="613"/>
      <c r="N874" s="613"/>
      <c r="O874" s="616"/>
      <c r="P874" s="613"/>
      <c r="Q874" s="613"/>
      <c r="R874" s="613"/>
      <c r="S874" s="613"/>
      <c r="T874" s="613"/>
      <c r="U874" s="613"/>
      <c r="V874" s="523"/>
      <c r="W874" s="613"/>
      <c r="X874" s="613"/>
      <c r="Y874" s="613"/>
      <c r="Z874" s="523"/>
      <c r="AA874" s="613"/>
      <c r="AB874" s="523"/>
      <c r="AC874" s="523"/>
    </row>
    <row r="875">
      <c r="A875" s="613"/>
      <c r="B875" s="612"/>
      <c r="C875" s="613"/>
      <c r="D875" s="613"/>
      <c r="E875" s="613"/>
      <c r="F875" s="613"/>
      <c r="G875" s="613"/>
      <c r="H875" s="613"/>
      <c r="I875" s="523"/>
      <c r="J875" s="612"/>
      <c r="K875" s="612"/>
      <c r="L875" s="613"/>
      <c r="M875" s="613"/>
      <c r="N875" s="613"/>
      <c r="O875" s="616"/>
      <c r="P875" s="613"/>
      <c r="Q875" s="613"/>
      <c r="R875" s="613"/>
      <c r="S875" s="613"/>
      <c r="T875" s="613"/>
      <c r="U875" s="613"/>
      <c r="V875" s="523"/>
      <c r="W875" s="613"/>
      <c r="X875" s="613"/>
      <c r="Y875" s="613"/>
      <c r="Z875" s="523"/>
      <c r="AA875" s="613"/>
      <c r="AB875" s="523"/>
      <c r="AC875" s="523"/>
    </row>
    <row r="876">
      <c r="A876" s="613"/>
      <c r="B876" s="612"/>
      <c r="C876" s="613"/>
      <c r="D876" s="613"/>
      <c r="E876" s="613"/>
      <c r="F876" s="613"/>
      <c r="G876" s="613"/>
      <c r="H876" s="613"/>
      <c r="I876" s="523"/>
      <c r="J876" s="612"/>
      <c r="K876" s="612"/>
      <c r="L876" s="613"/>
      <c r="M876" s="613"/>
      <c r="N876" s="613"/>
      <c r="O876" s="616"/>
      <c r="P876" s="613"/>
      <c r="Q876" s="613"/>
      <c r="R876" s="613"/>
      <c r="S876" s="613"/>
      <c r="T876" s="613"/>
      <c r="U876" s="613"/>
      <c r="V876" s="523"/>
      <c r="W876" s="613"/>
      <c r="X876" s="613"/>
      <c r="Y876" s="613"/>
      <c r="Z876" s="523"/>
      <c r="AA876" s="613"/>
      <c r="AB876" s="523"/>
      <c r="AC876" s="523"/>
    </row>
    <row r="877">
      <c r="A877" s="613"/>
      <c r="B877" s="612"/>
      <c r="C877" s="613"/>
      <c r="D877" s="613"/>
      <c r="E877" s="613"/>
      <c r="F877" s="613"/>
      <c r="G877" s="613"/>
      <c r="H877" s="613"/>
      <c r="I877" s="523"/>
      <c r="J877" s="612"/>
      <c r="K877" s="612"/>
      <c r="L877" s="613"/>
      <c r="M877" s="613"/>
      <c r="N877" s="613"/>
      <c r="O877" s="616"/>
      <c r="P877" s="613"/>
      <c r="Q877" s="613"/>
      <c r="R877" s="613"/>
      <c r="S877" s="613"/>
      <c r="T877" s="613"/>
      <c r="U877" s="613"/>
      <c r="V877" s="523"/>
      <c r="W877" s="613"/>
      <c r="X877" s="613"/>
      <c r="Y877" s="613"/>
      <c r="Z877" s="523"/>
      <c r="AA877" s="613"/>
      <c r="AB877" s="523"/>
      <c r="AC877" s="523"/>
    </row>
    <row r="878">
      <c r="A878" s="613"/>
      <c r="B878" s="612"/>
      <c r="C878" s="613"/>
      <c r="D878" s="613"/>
      <c r="E878" s="613"/>
      <c r="F878" s="613"/>
      <c r="G878" s="613"/>
      <c r="H878" s="613"/>
      <c r="I878" s="523"/>
      <c r="J878" s="612"/>
      <c r="K878" s="612"/>
      <c r="L878" s="613"/>
      <c r="M878" s="613"/>
      <c r="N878" s="613"/>
      <c r="O878" s="616"/>
      <c r="P878" s="613"/>
      <c r="Q878" s="613"/>
      <c r="R878" s="613"/>
      <c r="S878" s="613"/>
      <c r="T878" s="613"/>
      <c r="U878" s="613"/>
      <c r="V878" s="523"/>
      <c r="W878" s="613"/>
      <c r="X878" s="613"/>
      <c r="Y878" s="613"/>
      <c r="Z878" s="523"/>
      <c r="AA878" s="613"/>
      <c r="AB878" s="523"/>
      <c r="AC878" s="523"/>
    </row>
    <row r="879">
      <c r="A879" s="613"/>
      <c r="B879" s="612"/>
      <c r="C879" s="613"/>
      <c r="D879" s="613"/>
      <c r="E879" s="613"/>
      <c r="F879" s="613"/>
      <c r="G879" s="613"/>
      <c r="H879" s="613"/>
      <c r="I879" s="523"/>
      <c r="J879" s="612"/>
      <c r="K879" s="612"/>
      <c r="L879" s="613"/>
      <c r="M879" s="613"/>
      <c r="N879" s="613"/>
      <c r="O879" s="616"/>
      <c r="P879" s="613"/>
      <c r="Q879" s="613"/>
      <c r="R879" s="613"/>
      <c r="S879" s="613"/>
      <c r="T879" s="613"/>
      <c r="U879" s="613"/>
      <c r="V879" s="523"/>
      <c r="W879" s="613"/>
      <c r="X879" s="613"/>
      <c r="Y879" s="613"/>
      <c r="Z879" s="523"/>
      <c r="AA879" s="613"/>
      <c r="AB879" s="523"/>
      <c r="AC879" s="523"/>
    </row>
    <row r="880">
      <c r="A880" s="613"/>
      <c r="B880" s="612"/>
      <c r="C880" s="613"/>
      <c r="D880" s="613"/>
      <c r="E880" s="613"/>
      <c r="F880" s="613"/>
      <c r="G880" s="613"/>
      <c r="H880" s="613"/>
      <c r="I880" s="523"/>
      <c r="J880" s="612"/>
      <c r="K880" s="612"/>
      <c r="L880" s="613"/>
      <c r="M880" s="613"/>
      <c r="N880" s="613"/>
      <c r="O880" s="616"/>
      <c r="P880" s="613"/>
      <c r="Q880" s="613"/>
      <c r="R880" s="613"/>
      <c r="S880" s="613"/>
      <c r="T880" s="613"/>
      <c r="U880" s="613"/>
      <c r="V880" s="523"/>
      <c r="W880" s="613"/>
      <c r="X880" s="613"/>
      <c r="Y880" s="613"/>
      <c r="Z880" s="523"/>
      <c r="AA880" s="613"/>
      <c r="AB880" s="523"/>
      <c r="AC880" s="523"/>
    </row>
    <row r="881">
      <c r="A881" s="613"/>
      <c r="B881" s="612"/>
      <c r="C881" s="613"/>
      <c r="D881" s="613"/>
      <c r="E881" s="613"/>
      <c r="F881" s="613"/>
      <c r="G881" s="613"/>
      <c r="H881" s="613"/>
      <c r="I881" s="523"/>
      <c r="J881" s="612"/>
      <c r="K881" s="612"/>
      <c r="L881" s="613"/>
      <c r="M881" s="613"/>
      <c r="N881" s="613"/>
      <c r="O881" s="616"/>
      <c r="P881" s="613"/>
      <c r="Q881" s="613"/>
      <c r="R881" s="613"/>
      <c r="S881" s="613"/>
      <c r="T881" s="613"/>
      <c r="U881" s="613"/>
      <c r="V881" s="523"/>
      <c r="W881" s="613"/>
      <c r="X881" s="613"/>
      <c r="Y881" s="613"/>
      <c r="Z881" s="523"/>
      <c r="AA881" s="613"/>
      <c r="AB881" s="523"/>
      <c r="AC881" s="523"/>
    </row>
    <row r="882">
      <c r="A882" s="613"/>
      <c r="B882" s="612"/>
      <c r="C882" s="613"/>
      <c r="D882" s="613"/>
      <c r="E882" s="613"/>
      <c r="F882" s="613"/>
      <c r="G882" s="613"/>
      <c r="H882" s="613"/>
      <c r="I882" s="523"/>
      <c r="J882" s="612"/>
      <c r="K882" s="612"/>
      <c r="L882" s="613"/>
      <c r="M882" s="613"/>
      <c r="N882" s="613"/>
      <c r="O882" s="616"/>
      <c r="P882" s="613"/>
      <c r="Q882" s="613"/>
      <c r="R882" s="613"/>
      <c r="S882" s="613"/>
      <c r="T882" s="613"/>
      <c r="U882" s="613"/>
      <c r="V882" s="523"/>
      <c r="W882" s="613"/>
      <c r="X882" s="613"/>
      <c r="Y882" s="613"/>
      <c r="Z882" s="523"/>
      <c r="AA882" s="613"/>
      <c r="AB882" s="523"/>
      <c r="AC882" s="523"/>
    </row>
    <row r="883">
      <c r="A883" s="613"/>
      <c r="B883" s="612"/>
      <c r="C883" s="613"/>
      <c r="D883" s="613"/>
      <c r="E883" s="613"/>
      <c r="F883" s="613"/>
      <c r="G883" s="613"/>
      <c r="H883" s="613"/>
      <c r="I883" s="523"/>
      <c r="J883" s="612"/>
      <c r="K883" s="612"/>
      <c r="L883" s="613"/>
      <c r="M883" s="613"/>
      <c r="N883" s="613"/>
      <c r="O883" s="616"/>
      <c r="P883" s="613"/>
      <c r="Q883" s="613"/>
      <c r="R883" s="613"/>
      <c r="S883" s="613"/>
      <c r="T883" s="613"/>
      <c r="U883" s="613"/>
      <c r="V883" s="523"/>
      <c r="W883" s="613"/>
      <c r="X883" s="613"/>
      <c r="Y883" s="613"/>
      <c r="Z883" s="523"/>
      <c r="AA883" s="613"/>
      <c r="AB883" s="523"/>
      <c r="AC883" s="523"/>
    </row>
    <row r="884">
      <c r="A884" s="613"/>
      <c r="B884" s="612"/>
      <c r="C884" s="613"/>
      <c r="D884" s="613"/>
      <c r="E884" s="613"/>
      <c r="F884" s="613"/>
      <c r="G884" s="613"/>
      <c r="H884" s="613"/>
      <c r="I884" s="523"/>
      <c r="J884" s="612"/>
      <c r="K884" s="612"/>
      <c r="L884" s="613"/>
      <c r="M884" s="613"/>
      <c r="N884" s="613"/>
      <c r="O884" s="616"/>
      <c r="P884" s="613"/>
      <c r="Q884" s="613"/>
      <c r="R884" s="613"/>
      <c r="S884" s="613"/>
      <c r="T884" s="613"/>
      <c r="U884" s="613"/>
      <c r="V884" s="523"/>
      <c r="W884" s="613"/>
      <c r="X884" s="613"/>
      <c r="Y884" s="613"/>
      <c r="Z884" s="523"/>
      <c r="AA884" s="613"/>
      <c r="AB884" s="523"/>
      <c r="AC884" s="523"/>
    </row>
    <row r="885">
      <c r="A885" s="613"/>
      <c r="B885" s="612"/>
      <c r="C885" s="613"/>
      <c r="D885" s="613"/>
      <c r="E885" s="613"/>
      <c r="F885" s="613"/>
      <c r="G885" s="613"/>
      <c r="H885" s="613"/>
      <c r="I885" s="523"/>
      <c r="J885" s="612"/>
      <c r="K885" s="612"/>
      <c r="L885" s="613"/>
      <c r="M885" s="613"/>
      <c r="N885" s="613"/>
      <c r="O885" s="616"/>
      <c r="P885" s="613"/>
      <c r="Q885" s="613"/>
      <c r="R885" s="613"/>
      <c r="S885" s="613"/>
      <c r="T885" s="613"/>
      <c r="U885" s="613"/>
      <c r="V885" s="523"/>
      <c r="W885" s="613"/>
      <c r="X885" s="613"/>
      <c r="Y885" s="613"/>
      <c r="Z885" s="523"/>
      <c r="AA885" s="613"/>
      <c r="AB885" s="523"/>
      <c r="AC885" s="523"/>
    </row>
    <row r="886">
      <c r="A886" s="613"/>
      <c r="B886" s="612"/>
      <c r="C886" s="613"/>
      <c r="D886" s="613"/>
      <c r="E886" s="613"/>
      <c r="F886" s="613"/>
      <c r="G886" s="613"/>
      <c r="H886" s="613"/>
      <c r="I886" s="523"/>
      <c r="J886" s="612"/>
      <c r="K886" s="612"/>
      <c r="L886" s="613"/>
      <c r="M886" s="613"/>
      <c r="N886" s="613"/>
      <c r="O886" s="616"/>
      <c r="P886" s="613"/>
      <c r="Q886" s="613"/>
      <c r="R886" s="613"/>
      <c r="S886" s="613"/>
      <c r="T886" s="613"/>
      <c r="U886" s="613"/>
      <c r="V886" s="523"/>
      <c r="W886" s="613"/>
      <c r="X886" s="613"/>
      <c r="Y886" s="613"/>
      <c r="Z886" s="523"/>
      <c r="AA886" s="613"/>
      <c r="AB886" s="523"/>
      <c r="AC886" s="523"/>
    </row>
    <row r="887">
      <c r="A887" s="613"/>
      <c r="B887" s="612"/>
      <c r="C887" s="613"/>
      <c r="D887" s="613"/>
      <c r="E887" s="613"/>
      <c r="F887" s="613"/>
      <c r="G887" s="613"/>
      <c r="H887" s="613"/>
      <c r="I887" s="523"/>
      <c r="J887" s="612"/>
      <c r="K887" s="612"/>
      <c r="L887" s="613"/>
      <c r="M887" s="613"/>
      <c r="N887" s="613"/>
      <c r="O887" s="616"/>
      <c r="P887" s="613"/>
      <c r="Q887" s="613"/>
      <c r="R887" s="613"/>
      <c r="S887" s="613"/>
      <c r="T887" s="613"/>
      <c r="U887" s="613"/>
      <c r="V887" s="523"/>
      <c r="W887" s="613"/>
      <c r="X887" s="613"/>
      <c r="Y887" s="613"/>
      <c r="Z887" s="523"/>
      <c r="AA887" s="613"/>
      <c r="AB887" s="523"/>
      <c r="AC887" s="523"/>
    </row>
    <row r="888">
      <c r="A888" s="613"/>
      <c r="B888" s="612"/>
      <c r="C888" s="613"/>
      <c r="D888" s="613"/>
      <c r="E888" s="613"/>
      <c r="F888" s="613"/>
      <c r="G888" s="613"/>
      <c r="H888" s="613"/>
      <c r="I888" s="523"/>
      <c r="J888" s="612"/>
      <c r="K888" s="612"/>
      <c r="L888" s="613"/>
      <c r="M888" s="613"/>
      <c r="N888" s="613"/>
      <c r="O888" s="616"/>
      <c r="P888" s="613"/>
      <c r="Q888" s="613"/>
      <c r="R888" s="613"/>
      <c r="S888" s="613"/>
      <c r="T888" s="613"/>
      <c r="U888" s="613"/>
      <c r="V888" s="523"/>
      <c r="W888" s="613"/>
      <c r="X888" s="613"/>
      <c r="Y888" s="613"/>
      <c r="Z888" s="523"/>
      <c r="AA888" s="613"/>
      <c r="AB888" s="523"/>
      <c r="AC888" s="523"/>
    </row>
    <row r="889">
      <c r="A889" s="613"/>
      <c r="B889" s="612"/>
      <c r="C889" s="613"/>
      <c r="D889" s="613"/>
      <c r="E889" s="613"/>
      <c r="F889" s="613"/>
      <c r="G889" s="613"/>
      <c r="H889" s="613"/>
      <c r="I889" s="523"/>
      <c r="J889" s="612"/>
      <c r="K889" s="612"/>
      <c r="L889" s="613"/>
      <c r="M889" s="613"/>
      <c r="N889" s="613"/>
      <c r="O889" s="616"/>
      <c r="P889" s="613"/>
      <c r="Q889" s="613"/>
      <c r="R889" s="613"/>
      <c r="S889" s="613"/>
      <c r="T889" s="613"/>
      <c r="U889" s="613"/>
      <c r="V889" s="523"/>
      <c r="W889" s="613"/>
      <c r="X889" s="613"/>
      <c r="Y889" s="613"/>
      <c r="Z889" s="523"/>
      <c r="AA889" s="613"/>
      <c r="AB889" s="523"/>
      <c r="AC889" s="523"/>
    </row>
    <row r="890">
      <c r="A890" s="613"/>
      <c r="B890" s="612"/>
      <c r="C890" s="613"/>
      <c r="D890" s="613"/>
      <c r="E890" s="613"/>
      <c r="F890" s="613"/>
      <c r="G890" s="613"/>
      <c r="H890" s="613"/>
      <c r="I890" s="523"/>
      <c r="J890" s="612"/>
      <c r="K890" s="612"/>
      <c r="L890" s="613"/>
      <c r="M890" s="613"/>
      <c r="N890" s="613"/>
      <c r="O890" s="616"/>
      <c r="P890" s="613"/>
      <c r="Q890" s="613"/>
      <c r="R890" s="613"/>
      <c r="S890" s="613"/>
      <c r="T890" s="613"/>
      <c r="U890" s="613"/>
      <c r="V890" s="523"/>
      <c r="W890" s="613"/>
      <c r="X890" s="613"/>
      <c r="Y890" s="613"/>
      <c r="Z890" s="523"/>
      <c r="AA890" s="613"/>
      <c r="AB890" s="523"/>
      <c r="AC890" s="523"/>
    </row>
    <row r="891">
      <c r="A891" s="613"/>
      <c r="B891" s="612"/>
      <c r="C891" s="613"/>
      <c r="D891" s="613"/>
      <c r="E891" s="613"/>
      <c r="F891" s="613"/>
      <c r="G891" s="613"/>
      <c r="H891" s="613"/>
      <c r="I891" s="523"/>
      <c r="J891" s="612"/>
      <c r="K891" s="612"/>
      <c r="L891" s="613"/>
      <c r="M891" s="613"/>
      <c r="N891" s="613"/>
      <c r="O891" s="616"/>
      <c r="P891" s="613"/>
      <c r="Q891" s="613"/>
      <c r="R891" s="613"/>
      <c r="S891" s="613"/>
      <c r="T891" s="613"/>
      <c r="U891" s="613"/>
      <c r="V891" s="523"/>
      <c r="W891" s="613"/>
      <c r="X891" s="613"/>
      <c r="Y891" s="613"/>
      <c r="Z891" s="523"/>
      <c r="AA891" s="613"/>
      <c r="AB891" s="523"/>
      <c r="AC891" s="523"/>
    </row>
    <row r="892">
      <c r="A892" s="613"/>
      <c r="B892" s="612"/>
      <c r="C892" s="613"/>
      <c r="D892" s="613"/>
      <c r="E892" s="613"/>
      <c r="F892" s="613"/>
      <c r="G892" s="613"/>
      <c r="H892" s="613"/>
      <c r="I892" s="523"/>
      <c r="J892" s="612"/>
      <c r="K892" s="612"/>
      <c r="L892" s="613"/>
      <c r="M892" s="613"/>
      <c r="N892" s="613"/>
      <c r="O892" s="616"/>
      <c r="P892" s="613"/>
      <c r="Q892" s="613"/>
      <c r="R892" s="613"/>
      <c r="S892" s="613"/>
      <c r="T892" s="613"/>
      <c r="U892" s="613"/>
      <c r="V892" s="523"/>
      <c r="W892" s="613"/>
      <c r="X892" s="613"/>
      <c r="Y892" s="613"/>
      <c r="Z892" s="523"/>
      <c r="AA892" s="613"/>
      <c r="AB892" s="523"/>
      <c r="AC892" s="523"/>
    </row>
    <row r="893">
      <c r="A893" s="613"/>
      <c r="B893" s="612"/>
      <c r="C893" s="613"/>
      <c r="D893" s="613"/>
      <c r="E893" s="613"/>
      <c r="F893" s="613"/>
      <c r="G893" s="613"/>
      <c r="H893" s="613"/>
      <c r="I893" s="523"/>
      <c r="J893" s="612"/>
      <c r="K893" s="612"/>
      <c r="L893" s="613"/>
      <c r="M893" s="613"/>
      <c r="N893" s="613"/>
      <c r="O893" s="616"/>
      <c r="P893" s="613"/>
      <c r="Q893" s="613"/>
      <c r="R893" s="613"/>
      <c r="S893" s="613"/>
      <c r="T893" s="613"/>
      <c r="U893" s="613"/>
      <c r="V893" s="523"/>
      <c r="W893" s="613"/>
      <c r="X893" s="613"/>
      <c r="Y893" s="613"/>
      <c r="Z893" s="523"/>
      <c r="AA893" s="613"/>
      <c r="AB893" s="523"/>
      <c r="AC893" s="523"/>
    </row>
    <row r="894">
      <c r="A894" s="613"/>
      <c r="B894" s="612"/>
      <c r="C894" s="613"/>
      <c r="D894" s="613"/>
      <c r="E894" s="613"/>
      <c r="F894" s="613"/>
      <c r="G894" s="613"/>
      <c r="H894" s="613"/>
      <c r="I894" s="523"/>
      <c r="J894" s="612"/>
      <c r="K894" s="612"/>
      <c r="L894" s="613"/>
      <c r="M894" s="613"/>
      <c r="N894" s="613"/>
      <c r="O894" s="616"/>
      <c r="P894" s="613"/>
      <c r="Q894" s="613"/>
      <c r="R894" s="613"/>
      <c r="S894" s="613"/>
      <c r="T894" s="613"/>
      <c r="U894" s="613"/>
      <c r="V894" s="523"/>
      <c r="W894" s="613"/>
      <c r="X894" s="613"/>
      <c r="Y894" s="613"/>
      <c r="Z894" s="523"/>
      <c r="AA894" s="613"/>
      <c r="AB894" s="523"/>
      <c r="AC894" s="523"/>
    </row>
    <row r="895">
      <c r="A895" s="613"/>
      <c r="B895" s="612"/>
      <c r="C895" s="613"/>
      <c r="D895" s="613"/>
      <c r="E895" s="613"/>
      <c r="F895" s="613"/>
      <c r="G895" s="613"/>
      <c r="H895" s="613"/>
      <c r="I895" s="523"/>
      <c r="J895" s="612"/>
      <c r="K895" s="612"/>
      <c r="L895" s="613"/>
      <c r="M895" s="613"/>
      <c r="N895" s="613"/>
      <c r="O895" s="616"/>
      <c r="P895" s="613"/>
      <c r="Q895" s="613"/>
      <c r="R895" s="613"/>
      <c r="S895" s="613"/>
      <c r="T895" s="613"/>
      <c r="U895" s="613"/>
      <c r="V895" s="523"/>
      <c r="W895" s="613"/>
      <c r="X895" s="613"/>
      <c r="Y895" s="613"/>
      <c r="Z895" s="523"/>
      <c r="AA895" s="613"/>
      <c r="AB895" s="523"/>
      <c r="AC895" s="523"/>
    </row>
    <row r="896">
      <c r="A896" s="613"/>
      <c r="B896" s="612"/>
      <c r="C896" s="613"/>
      <c r="D896" s="613"/>
      <c r="E896" s="613"/>
      <c r="F896" s="613"/>
      <c r="G896" s="613"/>
      <c r="H896" s="613"/>
      <c r="I896" s="523"/>
      <c r="J896" s="612"/>
      <c r="K896" s="612"/>
      <c r="L896" s="613"/>
      <c r="M896" s="613"/>
      <c r="N896" s="613"/>
      <c r="O896" s="616"/>
      <c r="P896" s="613"/>
      <c r="Q896" s="613"/>
      <c r="R896" s="613"/>
      <c r="S896" s="613"/>
      <c r="T896" s="613"/>
      <c r="U896" s="613"/>
      <c r="V896" s="523"/>
      <c r="W896" s="613"/>
      <c r="X896" s="613"/>
      <c r="Y896" s="613"/>
      <c r="Z896" s="523"/>
      <c r="AA896" s="613"/>
      <c r="AB896" s="523"/>
      <c r="AC896" s="523"/>
    </row>
    <row r="897">
      <c r="A897" s="613"/>
      <c r="B897" s="612"/>
      <c r="C897" s="613"/>
      <c r="D897" s="613"/>
      <c r="E897" s="613"/>
      <c r="F897" s="613"/>
      <c r="G897" s="613"/>
      <c r="H897" s="613"/>
      <c r="I897" s="523"/>
      <c r="J897" s="612"/>
      <c r="K897" s="612"/>
      <c r="L897" s="613"/>
      <c r="M897" s="613"/>
      <c r="N897" s="613"/>
      <c r="O897" s="616"/>
      <c r="P897" s="613"/>
      <c r="Q897" s="613"/>
      <c r="R897" s="613"/>
      <c r="S897" s="613"/>
      <c r="T897" s="613"/>
      <c r="U897" s="613"/>
      <c r="V897" s="523"/>
      <c r="W897" s="613"/>
      <c r="X897" s="613"/>
      <c r="Y897" s="613"/>
      <c r="Z897" s="523"/>
      <c r="AA897" s="613"/>
      <c r="AB897" s="523"/>
      <c r="AC897" s="523"/>
    </row>
    <row r="898">
      <c r="A898" s="613"/>
      <c r="B898" s="612"/>
      <c r="C898" s="613"/>
      <c r="D898" s="613"/>
      <c r="E898" s="613"/>
      <c r="F898" s="613"/>
      <c r="G898" s="613"/>
      <c r="H898" s="613"/>
      <c r="I898" s="523"/>
      <c r="J898" s="612"/>
      <c r="K898" s="612"/>
      <c r="L898" s="613"/>
      <c r="M898" s="613"/>
      <c r="N898" s="613"/>
      <c r="O898" s="616"/>
      <c r="P898" s="613"/>
      <c r="Q898" s="613"/>
      <c r="R898" s="613"/>
      <c r="S898" s="613"/>
      <c r="T898" s="613"/>
      <c r="U898" s="613"/>
      <c r="V898" s="523"/>
      <c r="W898" s="613"/>
      <c r="X898" s="613"/>
      <c r="Y898" s="613"/>
      <c r="Z898" s="523"/>
      <c r="AA898" s="613"/>
      <c r="AB898" s="523"/>
      <c r="AC898" s="523"/>
    </row>
    <row r="899">
      <c r="A899" s="613"/>
      <c r="B899" s="612"/>
      <c r="C899" s="613"/>
      <c r="D899" s="613"/>
      <c r="E899" s="613"/>
      <c r="F899" s="613"/>
      <c r="G899" s="613"/>
      <c r="H899" s="613"/>
      <c r="I899" s="523"/>
      <c r="J899" s="612"/>
      <c r="K899" s="612"/>
      <c r="L899" s="613"/>
      <c r="M899" s="613"/>
      <c r="N899" s="613"/>
      <c r="O899" s="616"/>
      <c r="P899" s="613"/>
      <c r="Q899" s="613"/>
      <c r="R899" s="613"/>
      <c r="S899" s="613"/>
      <c r="T899" s="613"/>
      <c r="U899" s="613"/>
      <c r="V899" s="523"/>
      <c r="W899" s="613"/>
      <c r="X899" s="613"/>
      <c r="Y899" s="613"/>
      <c r="Z899" s="523"/>
      <c r="AA899" s="613"/>
      <c r="AB899" s="523"/>
      <c r="AC899" s="523"/>
    </row>
    <row r="900">
      <c r="A900" s="613"/>
      <c r="B900" s="612"/>
      <c r="C900" s="613"/>
      <c r="D900" s="613"/>
      <c r="E900" s="613"/>
      <c r="F900" s="613"/>
      <c r="G900" s="613"/>
      <c r="H900" s="613"/>
      <c r="I900" s="523"/>
      <c r="J900" s="612"/>
      <c r="K900" s="612"/>
      <c r="L900" s="613"/>
      <c r="M900" s="613"/>
      <c r="N900" s="613"/>
      <c r="O900" s="616"/>
      <c r="P900" s="613"/>
      <c r="Q900" s="613"/>
      <c r="R900" s="613"/>
      <c r="S900" s="613"/>
      <c r="T900" s="613"/>
      <c r="U900" s="613"/>
      <c r="V900" s="523"/>
      <c r="W900" s="613"/>
      <c r="X900" s="613"/>
      <c r="Y900" s="613"/>
      <c r="Z900" s="523"/>
      <c r="AA900" s="613"/>
      <c r="AB900" s="523"/>
      <c r="AC900" s="523"/>
    </row>
    <row r="901">
      <c r="A901" s="613"/>
      <c r="B901" s="612"/>
      <c r="C901" s="613"/>
      <c r="D901" s="613"/>
      <c r="E901" s="613"/>
      <c r="F901" s="613"/>
      <c r="G901" s="613"/>
      <c r="H901" s="613"/>
      <c r="I901" s="523"/>
      <c r="J901" s="612"/>
      <c r="K901" s="612"/>
      <c r="L901" s="613"/>
      <c r="M901" s="613"/>
      <c r="N901" s="613"/>
      <c r="O901" s="616"/>
      <c r="P901" s="613"/>
      <c r="Q901" s="613"/>
      <c r="R901" s="613"/>
      <c r="S901" s="613"/>
      <c r="T901" s="613"/>
      <c r="U901" s="613"/>
      <c r="V901" s="523"/>
      <c r="W901" s="613"/>
      <c r="X901" s="613"/>
      <c r="Y901" s="613"/>
      <c r="Z901" s="523"/>
      <c r="AA901" s="613"/>
      <c r="AB901" s="523"/>
      <c r="AC901" s="523"/>
    </row>
    <row r="902">
      <c r="A902" s="613"/>
      <c r="B902" s="612"/>
      <c r="C902" s="613"/>
      <c r="D902" s="613"/>
      <c r="E902" s="613"/>
      <c r="F902" s="613"/>
      <c r="G902" s="613"/>
      <c r="H902" s="613"/>
      <c r="I902" s="523"/>
      <c r="J902" s="612"/>
      <c r="K902" s="612"/>
      <c r="L902" s="613"/>
      <c r="M902" s="613"/>
      <c r="N902" s="613"/>
      <c r="O902" s="616"/>
      <c r="P902" s="613"/>
      <c r="Q902" s="613"/>
      <c r="R902" s="613"/>
      <c r="S902" s="613"/>
      <c r="T902" s="613"/>
      <c r="U902" s="613"/>
      <c r="V902" s="523"/>
      <c r="W902" s="613"/>
      <c r="X902" s="613"/>
      <c r="Y902" s="613"/>
      <c r="Z902" s="523"/>
      <c r="AA902" s="613"/>
      <c r="AB902" s="523"/>
      <c r="AC902" s="523"/>
    </row>
    <row r="903">
      <c r="A903" s="613"/>
      <c r="B903" s="612"/>
      <c r="C903" s="613"/>
      <c r="D903" s="613"/>
      <c r="E903" s="613"/>
      <c r="F903" s="613"/>
      <c r="G903" s="613"/>
      <c r="H903" s="613"/>
      <c r="I903" s="523"/>
      <c r="J903" s="612"/>
      <c r="K903" s="612"/>
      <c r="L903" s="613"/>
      <c r="M903" s="613"/>
      <c r="N903" s="613"/>
      <c r="O903" s="616"/>
      <c r="P903" s="613"/>
      <c r="Q903" s="613"/>
      <c r="R903" s="613"/>
      <c r="S903" s="613"/>
      <c r="T903" s="613"/>
      <c r="U903" s="613"/>
      <c r="V903" s="523"/>
      <c r="W903" s="613"/>
      <c r="X903" s="613"/>
      <c r="Y903" s="613"/>
      <c r="Z903" s="523"/>
      <c r="AA903" s="613"/>
      <c r="AB903" s="523"/>
      <c r="AC903" s="523"/>
    </row>
    <row r="904">
      <c r="A904" s="613"/>
      <c r="B904" s="612"/>
      <c r="C904" s="613"/>
      <c r="D904" s="613"/>
      <c r="E904" s="613"/>
      <c r="F904" s="613"/>
      <c r="G904" s="613"/>
      <c r="H904" s="613"/>
      <c r="I904" s="523"/>
      <c r="J904" s="612"/>
      <c r="K904" s="612"/>
      <c r="L904" s="613"/>
      <c r="M904" s="613"/>
      <c r="N904" s="613"/>
      <c r="O904" s="616"/>
      <c r="P904" s="613"/>
      <c r="Q904" s="613"/>
      <c r="R904" s="613"/>
      <c r="S904" s="613"/>
      <c r="T904" s="613"/>
      <c r="U904" s="613"/>
      <c r="V904" s="523"/>
      <c r="W904" s="613"/>
      <c r="X904" s="613"/>
      <c r="Y904" s="613"/>
      <c r="Z904" s="523"/>
      <c r="AA904" s="613"/>
      <c r="AB904" s="523"/>
      <c r="AC904" s="523"/>
    </row>
    <row r="905">
      <c r="A905" s="613"/>
      <c r="B905" s="612"/>
      <c r="C905" s="613"/>
      <c r="D905" s="613"/>
      <c r="E905" s="613"/>
      <c r="F905" s="613"/>
      <c r="G905" s="613"/>
      <c r="H905" s="613"/>
      <c r="I905" s="523"/>
      <c r="J905" s="612"/>
      <c r="K905" s="612"/>
      <c r="L905" s="613"/>
      <c r="M905" s="613"/>
      <c r="N905" s="613"/>
      <c r="O905" s="616"/>
      <c r="P905" s="613"/>
      <c r="Q905" s="613"/>
      <c r="R905" s="613"/>
      <c r="S905" s="613"/>
      <c r="T905" s="613"/>
      <c r="U905" s="613"/>
      <c r="V905" s="523"/>
      <c r="W905" s="613"/>
      <c r="X905" s="613"/>
      <c r="Y905" s="613"/>
      <c r="Z905" s="523"/>
      <c r="AA905" s="613"/>
      <c r="AB905" s="523"/>
      <c r="AC905" s="523"/>
    </row>
    <row r="906">
      <c r="A906" s="613"/>
      <c r="B906" s="612"/>
      <c r="C906" s="613"/>
      <c r="D906" s="613"/>
      <c r="E906" s="613"/>
      <c r="F906" s="613"/>
      <c r="G906" s="613"/>
      <c r="H906" s="613"/>
      <c r="I906" s="523"/>
      <c r="J906" s="612"/>
      <c r="K906" s="612"/>
      <c r="L906" s="613"/>
      <c r="M906" s="613"/>
      <c r="N906" s="613"/>
      <c r="O906" s="616"/>
      <c r="P906" s="613"/>
      <c r="Q906" s="613"/>
      <c r="R906" s="613"/>
      <c r="S906" s="613"/>
      <c r="T906" s="613"/>
      <c r="U906" s="613"/>
      <c r="V906" s="523"/>
      <c r="W906" s="613"/>
      <c r="X906" s="613"/>
      <c r="Y906" s="613"/>
      <c r="Z906" s="523"/>
      <c r="AA906" s="613"/>
      <c r="AB906" s="523"/>
      <c r="AC906" s="523"/>
    </row>
    <row r="907">
      <c r="A907" s="613"/>
      <c r="B907" s="612"/>
      <c r="C907" s="613"/>
      <c r="D907" s="613"/>
      <c r="E907" s="613"/>
      <c r="F907" s="613"/>
      <c r="G907" s="613"/>
      <c r="H907" s="613"/>
      <c r="I907" s="523"/>
      <c r="J907" s="612"/>
      <c r="K907" s="612"/>
      <c r="L907" s="613"/>
      <c r="M907" s="613"/>
      <c r="N907" s="613"/>
      <c r="O907" s="616"/>
      <c r="P907" s="613"/>
      <c r="Q907" s="613"/>
      <c r="R907" s="613"/>
      <c r="S907" s="613"/>
      <c r="T907" s="613"/>
      <c r="U907" s="613"/>
      <c r="V907" s="523"/>
      <c r="W907" s="613"/>
      <c r="X907" s="613"/>
      <c r="Y907" s="613"/>
      <c r="Z907" s="523"/>
      <c r="AA907" s="613"/>
      <c r="AB907" s="523"/>
      <c r="AC907" s="523"/>
    </row>
    <row r="908">
      <c r="A908" s="613"/>
      <c r="B908" s="612"/>
      <c r="C908" s="613"/>
      <c r="D908" s="613"/>
      <c r="E908" s="613"/>
      <c r="F908" s="613"/>
      <c r="G908" s="613"/>
      <c r="H908" s="613"/>
      <c r="I908" s="523"/>
      <c r="J908" s="612"/>
      <c r="K908" s="612"/>
      <c r="L908" s="613"/>
      <c r="M908" s="613"/>
      <c r="N908" s="613"/>
      <c r="O908" s="616"/>
      <c r="P908" s="613"/>
      <c r="Q908" s="613"/>
      <c r="R908" s="613"/>
      <c r="S908" s="613"/>
      <c r="T908" s="613"/>
      <c r="U908" s="613"/>
      <c r="V908" s="523"/>
      <c r="W908" s="613"/>
      <c r="X908" s="613"/>
      <c r="Y908" s="613"/>
      <c r="Z908" s="523"/>
      <c r="AA908" s="613"/>
      <c r="AB908" s="523"/>
      <c r="AC908" s="523"/>
    </row>
    <row r="909">
      <c r="A909" s="613"/>
      <c r="B909" s="612"/>
      <c r="C909" s="613"/>
      <c r="D909" s="613"/>
      <c r="E909" s="613"/>
      <c r="F909" s="613"/>
      <c r="G909" s="613"/>
      <c r="H909" s="613"/>
      <c r="I909" s="523"/>
      <c r="J909" s="612"/>
      <c r="K909" s="612"/>
      <c r="L909" s="613"/>
      <c r="M909" s="613"/>
      <c r="N909" s="613"/>
      <c r="O909" s="616"/>
      <c r="P909" s="613"/>
      <c r="Q909" s="613"/>
      <c r="R909" s="613"/>
      <c r="S909" s="613"/>
      <c r="T909" s="613"/>
      <c r="U909" s="613"/>
      <c r="V909" s="523"/>
      <c r="W909" s="613"/>
      <c r="X909" s="613"/>
      <c r="Y909" s="613"/>
      <c r="Z909" s="523"/>
      <c r="AA909" s="613"/>
      <c r="AB909" s="523"/>
      <c r="AC909" s="523"/>
    </row>
    <row r="910">
      <c r="A910" s="613"/>
      <c r="B910" s="612"/>
      <c r="C910" s="613"/>
      <c r="D910" s="613"/>
      <c r="E910" s="613"/>
      <c r="F910" s="613"/>
      <c r="G910" s="613"/>
      <c r="H910" s="613"/>
      <c r="I910" s="523"/>
      <c r="J910" s="612"/>
      <c r="K910" s="612"/>
      <c r="L910" s="613"/>
      <c r="M910" s="613"/>
      <c r="N910" s="613"/>
      <c r="O910" s="616"/>
      <c r="P910" s="613"/>
      <c r="Q910" s="613"/>
      <c r="R910" s="613"/>
      <c r="S910" s="613"/>
      <c r="T910" s="613"/>
      <c r="U910" s="613"/>
      <c r="V910" s="523"/>
      <c r="W910" s="613"/>
      <c r="X910" s="613"/>
      <c r="Y910" s="613"/>
      <c r="Z910" s="523"/>
      <c r="AA910" s="613"/>
      <c r="AB910" s="523"/>
      <c r="AC910" s="523"/>
    </row>
    <row r="911">
      <c r="A911" s="613"/>
      <c r="B911" s="612"/>
      <c r="C911" s="613"/>
      <c r="D911" s="613"/>
      <c r="E911" s="613"/>
      <c r="F911" s="613"/>
      <c r="G911" s="613"/>
      <c r="H911" s="613"/>
      <c r="I911" s="523"/>
      <c r="J911" s="612"/>
      <c r="K911" s="612"/>
      <c r="L911" s="613"/>
      <c r="M911" s="613"/>
      <c r="N911" s="613"/>
      <c r="O911" s="616"/>
      <c r="P911" s="613"/>
      <c r="Q911" s="613"/>
      <c r="R911" s="613"/>
      <c r="S911" s="613"/>
      <c r="T911" s="613"/>
      <c r="U911" s="613"/>
      <c r="V911" s="523"/>
      <c r="W911" s="613"/>
      <c r="X911" s="613"/>
      <c r="Y911" s="613"/>
      <c r="Z911" s="523"/>
      <c r="AA911" s="613"/>
      <c r="AB911" s="523"/>
      <c r="AC911" s="523"/>
    </row>
    <row r="912">
      <c r="A912" s="613"/>
      <c r="B912" s="612"/>
      <c r="C912" s="613"/>
      <c r="D912" s="613"/>
      <c r="E912" s="613"/>
      <c r="F912" s="613"/>
      <c r="G912" s="613"/>
      <c r="H912" s="613"/>
      <c r="I912" s="523"/>
      <c r="J912" s="612"/>
      <c r="K912" s="612"/>
      <c r="L912" s="613"/>
      <c r="M912" s="613"/>
      <c r="N912" s="613"/>
      <c r="O912" s="616"/>
      <c r="P912" s="613"/>
      <c r="Q912" s="613"/>
      <c r="R912" s="613"/>
      <c r="S912" s="613"/>
      <c r="T912" s="613"/>
      <c r="U912" s="613"/>
      <c r="V912" s="523"/>
      <c r="W912" s="613"/>
      <c r="X912" s="613"/>
      <c r="Y912" s="613"/>
      <c r="Z912" s="523"/>
      <c r="AA912" s="613"/>
      <c r="AB912" s="523"/>
      <c r="AC912" s="523"/>
    </row>
    <row r="913">
      <c r="A913" s="613"/>
      <c r="B913" s="612"/>
      <c r="C913" s="613"/>
      <c r="D913" s="613"/>
      <c r="E913" s="613"/>
      <c r="F913" s="613"/>
      <c r="G913" s="613"/>
      <c r="H913" s="613"/>
      <c r="I913" s="523"/>
      <c r="J913" s="612"/>
      <c r="K913" s="612"/>
      <c r="L913" s="613"/>
      <c r="M913" s="613"/>
      <c r="N913" s="613"/>
      <c r="O913" s="616"/>
      <c r="P913" s="613"/>
      <c r="Q913" s="613"/>
      <c r="R913" s="613"/>
      <c r="S913" s="613"/>
      <c r="T913" s="613"/>
      <c r="U913" s="613"/>
      <c r="V913" s="523"/>
      <c r="W913" s="613"/>
      <c r="X913" s="613"/>
      <c r="Y913" s="613"/>
      <c r="Z913" s="523"/>
      <c r="AA913" s="613"/>
      <c r="AB913" s="523"/>
      <c r="AC913" s="523"/>
    </row>
    <row r="914">
      <c r="A914" s="613"/>
      <c r="B914" s="612"/>
      <c r="C914" s="613"/>
      <c r="D914" s="613"/>
      <c r="E914" s="613"/>
      <c r="F914" s="613"/>
      <c r="G914" s="613"/>
      <c r="H914" s="613"/>
      <c r="I914" s="523"/>
      <c r="J914" s="612"/>
      <c r="K914" s="612"/>
      <c r="L914" s="613"/>
      <c r="M914" s="613"/>
      <c r="N914" s="613"/>
      <c r="O914" s="616"/>
      <c r="P914" s="613"/>
      <c r="Q914" s="613"/>
      <c r="R914" s="613"/>
      <c r="S914" s="613"/>
      <c r="T914" s="613"/>
      <c r="U914" s="613"/>
      <c r="V914" s="523"/>
      <c r="W914" s="613"/>
      <c r="X914" s="613"/>
      <c r="Y914" s="613"/>
      <c r="Z914" s="523"/>
      <c r="AA914" s="613"/>
      <c r="AB914" s="523"/>
      <c r="AC914" s="523"/>
    </row>
    <row r="915">
      <c r="A915" s="613"/>
      <c r="B915" s="612"/>
      <c r="C915" s="613"/>
      <c r="D915" s="613"/>
      <c r="E915" s="613"/>
      <c r="F915" s="613"/>
      <c r="G915" s="613"/>
      <c r="H915" s="613"/>
      <c r="I915" s="523"/>
      <c r="J915" s="612"/>
      <c r="K915" s="612"/>
      <c r="L915" s="613"/>
      <c r="M915" s="613"/>
      <c r="N915" s="613"/>
      <c r="O915" s="616"/>
      <c r="P915" s="613"/>
      <c r="Q915" s="613"/>
      <c r="R915" s="613"/>
      <c r="S915" s="613"/>
      <c r="T915" s="613"/>
      <c r="U915" s="613"/>
      <c r="V915" s="523"/>
      <c r="W915" s="613"/>
      <c r="X915" s="613"/>
      <c r="Y915" s="613"/>
      <c r="Z915" s="523"/>
      <c r="AA915" s="613"/>
      <c r="AB915" s="523"/>
      <c r="AC915" s="523"/>
    </row>
    <row r="916">
      <c r="A916" s="613"/>
      <c r="B916" s="612"/>
      <c r="C916" s="613"/>
      <c r="D916" s="613"/>
      <c r="E916" s="613"/>
      <c r="F916" s="613"/>
      <c r="G916" s="613"/>
      <c r="H916" s="613"/>
      <c r="I916" s="523"/>
      <c r="J916" s="612"/>
      <c r="K916" s="612"/>
      <c r="L916" s="613"/>
      <c r="M916" s="613"/>
      <c r="N916" s="613"/>
      <c r="O916" s="616"/>
      <c r="P916" s="613"/>
      <c r="Q916" s="613"/>
      <c r="R916" s="613"/>
      <c r="S916" s="613"/>
      <c r="T916" s="613"/>
      <c r="U916" s="613"/>
      <c r="V916" s="523"/>
      <c r="W916" s="613"/>
      <c r="X916" s="613"/>
      <c r="Y916" s="613"/>
      <c r="Z916" s="523"/>
      <c r="AA916" s="613"/>
      <c r="AB916" s="523"/>
      <c r="AC916" s="523"/>
    </row>
    <row r="917">
      <c r="A917" s="613"/>
      <c r="B917" s="612"/>
      <c r="C917" s="613"/>
      <c r="D917" s="613"/>
      <c r="E917" s="613"/>
      <c r="F917" s="613"/>
      <c r="G917" s="613"/>
      <c r="H917" s="613"/>
      <c r="I917" s="523"/>
      <c r="J917" s="612"/>
      <c r="K917" s="612"/>
      <c r="L917" s="613"/>
      <c r="M917" s="613"/>
      <c r="N917" s="613"/>
      <c r="O917" s="616"/>
      <c r="P917" s="613"/>
      <c r="Q917" s="613"/>
      <c r="R917" s="613"/>
      <c r="S917" s="613"/>
      <c r="T917" s="613"/>
      <c r="U917" s="613"/>
      <c r="V917" s="523"/>
      <c r="W917" s="613"/>
      <c r="X917" s="613"/>
      <c r="Y917" s="613"/>
      <c r="Z917" s="523"/>
      <c r="AA917" s="613"/>
      <c r="AB917" s="523"/>
      <c r="AC917" s="523"/>
    </row>
    <row r="918">
      <c r="A918" s="613"/>
      <c r="B918" s="612"/>
      <c r="C918" s="613"/>
      <c r="D918" s="613"/>
      <c r="E918" s="613"/>
      <c r="F918" s="613"/>
      <c r="G918" s="613"/>
      <c r="H918" s="613"/>
      <c r="I918" s="523"/>
      <c r="J918" s="612"/>
      <c r="K918" s="612"/>
      <c r="L918" s="613"/>
      <c r="M918" s="613"/>
      <c r="N918" s="613"/>
      <c r="O918" s="616"/>
      <c r="P918" s="613"/>
      <c r="Q918" s="613"/>
      <c r="R918" s="613"/>
      <c r="S918" s="613"/>
      <c r="T918" s="613"/>
      <c r="U918" s="613"/>
      <c r="V918" s="523"/>
      <c r="W918" s="613"/>
      <c r="X918" s="613"/>
      <c r="Y918" s="613"/>
      <c r="Z918" s="523"/>
      <c r="AA918" s="613"/>
      <c r="AB918" s="523"/>
      <c r="AC918" s="523"/>
    </row>
    <row r="919">
      <c r="A919" s="613"/>
      <c r="B919" s="612"/>
      <c r="C919" s="613"/>
      <c r="D919" s="613"/>
      <c r="E919" s="613"/>
      <c r="F919" s="613"/>
      <c r="G919" s="613"/>
      <c r="H919" s="613"/>
      <c r="I919" s="523"/>
      <c r="J919" s="612"/>
      <c r="K919" s="612"/>
      <c r="L919" s="613"/>
      <c r="M919" s="613"/>
      <c r="N919" s="613"/>
      <c r="O919" s="616"/>
      <c r="P919" s="613"/>
      <c r="Q919" s="613"/>
      <c r="R919" s="613"/>
      <c r="S919" s="613"/>
      <c r="T919" s="613"/>
      <c r="U919" s="613"/>
      <c r="V919" s="523"/>
      <c r="W919" s="613"/>
      <c r="X919" s="613"/>
      <c r="Y919" s="613"/>
      <c r="Z919" s="523"/>
      <c r="AA919" s="613"/>
      <c r="AB919" s="523"/>
      <c r="AC919" s="523"/>
    </row>
    <row r="920">
      <c r="A920" s="613"/>
      <c r="B920" s="612"/>
      <c r="C920" s="613"/>
      <c r="D920" s="613"/>
      <c r="E920" s="613"/>
      <c r="F920" s="613"/>
      <c r="G920" s="613"/>
      <c r="H920" s="613"/>
      <c r="I920" s="523"/>
      <c r="J920" s="612"/>
      <c r="K920" s="612"/>
      <c r="L920" s="613"/>
      <c r="M920" s="613"/>
      <c r="N920" s="613"/>
      <c r="O920" s="616"/>
      <c r="P920" s="613"/>
      <c r="Q920" s="613"/>
      <c r="R920" s="613"/>
      <c r="S920" s="613"/>
      <c r="T920" s="613"/>
      <c r="U920" s="613"/>
      <c r="V920" s="523"/>
      <c r="W920" s="613"/>
      <c r="X920" s="613"/>
      <c r="Y920" s="613"/>
      <c r="Z920" s="523"/>
      <c r="AA920" s="613"/>
      <c r="AB920" s="523"/>
      <c r="AC920" s="523"/>
    </row>
    <row r="921">
      <c r="A921" s="613"/>
      <c r="B921" s="612"/>
      <c r="C921" s="613"/>
      <c r="D921" s="613"/>
      <c r="E921" s="613"/>
      <c r="F921" s="613"/>
      <c r="G921" s="613"/>
      <c r="H921" s="613"/>
      <c r="I921" s="523"/>
      <c r="J921" s="612"/>
      <c r="K921" s="612"/>
      <c r="L921" s="613"/>
      <c r="M921" s="613"/>
      <c r="N921" s="613"/>
      <c r="O921" s="616"/>
      <c r="P921" s="613"/>
      <c r="Q921" s="613"/>
      <c r="R921" s="613"/>
      <c r="S921" s="613"/>
      <c r="T921" s="613"/>
      <c r="U921" s="613"/>
      <c r="V921" s="523"/>
      <c r="W921" s="613"/>
      <c r="X921" s="613"/>
      <c r="Y921" s="613"/>
      <c r="Z921" s="523"/>
      <c r="AA921" s="613"/>
      <c r="AB921" s="523"/>
      <c r="AC921" s="523"/>
    </row>
    <row r="922">
      <c r="A922" s="613"/>
      <c r="B922" s="612"/>
      <c r="C922" s="613"/>
      <c r="D922" s="613"/>
      <c r="E922" s="613"/>
      <c r="F922" s="613"/>
      <c r="G922" s="613"/>
      <c r="H922" s="613"/>
      <c r="I922" s="523"/>
      <c r="J922" s="612"/>
      <c r="K922" s="612"/>
      <c r="L922" s="613"/>
      <c r="M922" s="613"/>
      <c r="N922" s="613"/>
      <c r="O922" s="616"/>
      <c r="P922" s="613"/>
      <c r="Q922" s="613"/>
      <c r="R922" s="613"/>
      <c r="S922" s="613"/>
      <c r="T922" s="613"/>
      <c r="U922" s="613"/>
      <c r="V922" s="523"/>
      <c r="W922" s="613"/>
      <c r="X922" s="613"/>
      <c r="Y922" s="613"/>
      <c r="Z922" s="523"/>
      <c r="AA922" s="613"/>
      <c r="AB922" s="523"/>
      <c r="AC922" s="523"/>
    </row>
    <row r="923">
      <c r="A923" s="613"/>
      <c r="B923" s="612"/>
      <c r="C923" s="613"/>
      <c r="D923" s="613"/>
      <c r="E923" s="613"/>
      <c r="F923" s="613"/>
      <c r="G923" s="613"/>
      <c r="H923" s="613"/>
      <c r="I923" s="523"/>
      <c r="J923" s="612"/>
      <c r="K923" s="612"/>
      <c r="L923" s="613"/>
      <c r="M923" s="613"/>
      <c r="N923" s="613"/>
      <c r="O923" s="616"/>
      <c r="P923" s="613"/>
      <c r="Q923" s="613"/>
      <c r="R923" s="613"/>
      <c r="S923" s="613"/>
      <c r="T923" s="613"/>
      <c r="U923" s="613"/>
      <c r="V923" s="523"/>
      <c r="W923" s="613"/>
      <c r="X923" s="613"/>
      <c r="Y923" s="613"/>
      <c r="Z923" s="523"/>
      <c r="AA923" s="613"/>
      <c r="AB923" s="523"/>
      <c r="AC923" s="523"/>
    </row>
    <row r="924">
      <c r="A924" s="613"/>
      <c r="B924" s="612"/>
      <c r="C924" s="613"/>
      <c r="D924" s="613"/>
      <c r="E924" s="613"/>
      <c r="F924" s="613"/>
      <c r="G924" s="613"/>
      <c r="H924" s="613"/>
      <c r="I924" s="523"/>
      <c r="J924" s="612"/>
      <c r="K924" s="612"/>
      <c r="L924" s="613"/>
      <c r="M924" s="613"/>
      <c r="N924" s="613"/>
      <c r="O924" s="616"/>
      <c r="P924" s="613"/>
      <c r="Q924" s="613"/>
      <c r="R924" s="613"/>
      <c r="S924" s="613"/>
      <c r="T924" s="613"/>
      <c r="U924" s="613"/>
      <c r="V924" s="523"/>
      <c r="W924" s="613"/>
      <c r="X924" s="613"/>
      <c r="Y924" s="613"/>
      <c r="Z924" s="523"/>
      <c r="AA924" s="613"/>
      <c r="AB924" s="523"/>
      <c r="AC924" s="523"/>
    </row>
    <row r="925">
      <c r="A925" s="613"/>
      <c r="B925" s="612"/>
      <c r="C925" s="613"/>
      <c r="D925" s="613"/>
      <c r="E925" s="613"/>
      <c r="F925" s="613"/>
      <c r="G925" s="613"/>
      <c r="H925" s="613"/>
      <c r="I925" s="523"/>
      <c r="J925" s="612"/>
      <c r="K925" s="612"/>
      <c r="L925" s="613"/>
      <c r="M925" s="613"/>
      <c r="N925" s="613"/>
      <c r="O925" s="616"/>
      <c r="P925" s="613"/>
      <c r="Q925" s="613"/>
      <c r="R925" s="613"/>
      <c r="S925" s="613"/>
      <c r="T925" s="613"/>
      <c r="U925" s="613"/>
      <c r="V925" s="523"/>
      <c r="W925" s="613"/>
      <c r="X925" s="613"/>
      <c r="Y925" s="613"/>
      <c r="Z925" s="523"/>
      <c r="AA925" s="613"/>
      <c r="AB925" s="523"/>
      <c r="AC925" s="523"/>
    </row>
    <row r="926">
      <c r="A926" s="613"/>
      <c r="B926" s="612"/>
      <c r="C926" s="613"/>
      <c r="D926" s="613"/>
      <c r="E926" s="613"/>
      <c r="F926" s="613"/>
      <c r="G926" s="613"/>
      <c r="H926" s="613"/>
      <c r="I926" s="523"/>
      <c r="J926" s="612"/>
      <c r="K926" s="612"/>
      <c r="L926" s="613"/>
      <c r="M926" s="613"/>
      <c r="N926" s="613"/>
      <c r="O926" s="616"/>
      <c r="P926" s="613"/>
      <c r="Q926" s="613"/>
      <c r="R926" s="613"/>
      <c r="S926" s="613"/>
      <c r="T926" s="613"/>
      <c r="U926" s="613"/>
      <c r="V926" s="523"/>
      <c r="W926" s="613"/>
      <c r="X926" s="613"/>
      <c r="Y926" s="613"/>
      <c r="Z926" s="523"/>
      <c r="AA926" s="613"/>
      <c r="AB926" s="523"/>
      <c r="AC926" s="523"/>
    </row>
    <row r="927">
      <c r="A927" s="613"/>
      <c r="B927" s="612"/>
      <c r="C927" s="613"/>
      <c r="D927" s="613"/>
      <c r="E927" s="613"/>
      <c r="F927" s="613"/>
      <c r="G927" s="613"/>
      <c r="H927" s="613"/>
      <c r="I927" s="523"/>
      <c r="J927" s="612"/>
      <c r="K927" s="612"/>
      <c r="L927" s="613"/>
      <c r="M927" s="613"/>
      <c r="N927" s="613"/>
      <c r="O927" s="616"/>
      <c r="P927" s="613"/>
      <c r="Q927" s="613"/>
      <c r="R927" s="613"/>
      <c r="S927" s="613"/>
      <c r="T927" s="613"/>
      <c r="U927" s="613"/>
      <c r="V927" s="523"/>
      <c r="W927" s="613"/>
      <c r="X927" s="613"/>
      <c r="Y927" s="613"/>
      <c r="Z927" s="523"/>
      <c r="AA927" s="613"/>
      <c r="AB927" s="523"/>
      <c r="AC927" s="523"/>
    </row>
    <row r="928">
      <c r="A928" s="613"/>
      <c r="B928" s="612"/>
      <c r="C928" s="613"/>
      <c r="D928" s="613"/>
      <c r="E928" s="613"/>
      <c r="F928" s="613"/>
      <c r="G928" s="613"/>
      <c r="H928" s="613"/>
      <c r="I928" s="523"/>
      <c r="J928" s="612"/>
      <c r="K928" s="612"/>
      <c r="L928" s="613"/>
      <c r="M928" s="613"/>
      <c r="N928" s="613"/>
      <c r="O928" s="616"/>
      <c r="P928" s="613"/>
      <c r="Q928" s="613"/>
      <c r="R928" s="613"/>
      <c r="S928" s="613"/>
      <c r="T928" s="613"/>
      <c r="U928" s="613"/>
      <c r="V928" s="523"/>
      <c r="W928" s="613"/>
      <c r="X928" s="613"/>
      <c r="Y928" s="613"/>
      <c r="Z928" s="523"/>
      <c r="AA928" s="613"/>
      <c r="AB928" s="523"/>
      <c r="AC928" s="523"/>
    </row>
    <row r="929">
      <c r="A929" s="613"/>
      <c r="B929" s="612"/>
      <c r="C929" s="613"/>
      <c r="D929" s="613"/>
      <c r="E929" s="613"/>
      <c r="F929" s="613"/>
      <c r="G929" s="613"/>
      <c r="H929" s="613"/>
      <c r="I929" s="523"/>
      <c r="J929" s="612"/>
      <c r="K929" s="612"/>
      <c r="L929" s="613"/>
      <c r="M929" s="613"/>
      <c r="N929" s="613"/>
      <c r="O929" s="616"/>
      <c r="P929" s="613"/>
      <c r="Q929" s="613"/>
      <c r="R929" s="613"/>
      <c r="S929" s="613"/>
      <c r="T929" s="613"/>
      <c r="U929" s="613"/>
      <c r="V929" s="523"/>
      <c r="W929" s="613"/>
      <c r="X929" s="613"/>
      <c r="Y929" s="613"/>
      <c r="Z929" s="523"/>
      <c r="AA929" s="613"/>
      <c r="AB929" s="523"/>
      <c r="AC929" s="523"/>
    </row>
    <row r="930">
      <c r="A930" s="613"/>
      <c r="B930" s="612"/>
      <c r="C930" s="613"/>
      <c r="D930" s="613"/>
      <c r="E930" s="613"/>
      <c r="F930" s="613"/>
      <c r="G930" s="613"/>
      <c r="H930" s="613"/>
      <c r="I930" s="523"/>
      <c r="J930" s="612"/>
      <c r="K930" s="612"/>
      <c r="L930" s="613"/>
      <c r="M930" s="613"/>
      <c r="N930" s="613"/>
      <c r="O930" s="616"/>
      <c r="P930" s="613"/>
      <c r="Q930" s="613"/>
      <c r="R930" s="613"/>
      <c r="S930" s="613"/>
      <c r="T930" s="613"/>
      <c r="U930" s="613"/>
      <c r="V930" s="523"/>
      <c r="W930" s="613"/>
      <c r="X930" s="613"/>
      <c r="Y930" s="613"/>
      <c r="Z930" s="523"/>
      <c r="AA930" s="613"/>
      <c r="AB930" s="523"/>
      <c r="AC930" s="523"/>
    </row>
    <row r="931">
      <c r="A931" s="613"/>
      <c r="B931" s="612"/>
      <c r="C931" s="613"/>
      <c r="D931" s="613"/>
      <c r="E931" s="613"/>
      <c r="F931" s="613"/>
      <c r="G931" s="613"/>
      <c r="H931" s="613"/>
      <c r="I931" s="523"/>
      <c r="J931" s="612"/>
      <c r="K931" s="612"/>
      <c r="L931" s="613"/>
      <c r="M931" s="613"/>
      <c r="N931" s="613"/>
      <c r="O931" s="616"/>
      <c r="P931" s="613"/>
      <c r="Q931" s="613"/>
      <c r="R931" s="613"/>
      <c r="S931" s="613"/>
      <c r="T931" s="613"/>
      <c r="U931" s="613"/>
      <c r="V931" s="523"/>
      <c r="W931" s="613"/>
      <c r="X931" s="613"/>
      <c r="Y931" s="613"/>
      <c r="Z931" s="523"/>
      <c r="AA931" s="613"/>
      <c r="AB931" s="523"/>
      <c r="AC931" s="523"/>
    </row>
    <row r="932">
      <c r="A932" s="613"/>
      <c r="B932" s="612"/>
      <c r="C932" s="613"/>
      <c r="D932" s="613"/>
      <c r="E932" s="613"/>
      <c r="F932" s="613"/>
      <c r="G932" s="613"/>
      <c r="H932" s="613"/>
      <c r="I932" s="523"/>
      <c r="J932" s="612"/>
      <c r="K932" s="612"/>
      <c r="L932" s="613"/>
      <c r="M932" s="613"/>
      <c r="N932" s="613"/>
      <c r="O932" s="616"/>
      <c r="P932" s="613"/>
      <c r="Q932" s="613"/>
      <c r="R932" s="613"/>
      <c r="S932" s="613"/>
      <c r="T932" s="613"/>
      <c r="U932" s="613"/>
      <c r="V932" s="523"/>
      <c r="W932" s="613"/>
      <c r="X932" s="613"/>
      <c r="Y932" s="613"/>
      <c r="Z932" s="523"/>
      <c r="AA932" s="613"/>
      <c r="AB932" s="523"/>
      <c r="AC932" s="523"/>
    </row>
    <row r="933">
      <c r="A933" s="613"/>
      <c r="B933" s="612"/>
      <c r="C933" s="613"/>
      <c r="D933" s="613"/>
      <c r="E933" s="613"/>
      <c r="F933" s="613"/>
      <c r="G933" s="613"/>
      <c r="H933" s="613"/>
      <c r="I933" s="523"/>
      <c r="J933" s="612"/>
      <c r="K933" s="612"/>
      <c r="L933" s="613"/>
      <c r="M933" s="613"/>
      <c r="N933" s="613"/>
      <c r="O933" s="616"/>
      <c r="P933" s="613"/>
      <c r="Q933" s="613"/>
      <c r="R933" s="613"/>
      <c r="S933" s="613"/>
      <c r="T933" s="613"/>
      <c r="U933" s="613"/>
      <c r="V933" s="523"/>
      <c r="W933" s="613"/>
      <c r="X933" s="613"/>
      <c r="Y933" s="613"/>
      <c r="Z933" s="523"/>
      <c r="AA933" s="613"/>
      <c r="AB933" s="523"/>
      <c r="AC933" s="523"/>
    </row>
    <row r="934">
      <c r="A934" s="613"/>
      <c r="B934" s="612"/>
      <c r="C934" s="613"/>
      <c r="D934" s="613"/>
      <c r="E934" s="613"/>
      <c r="F934" s="613"/>
      <c r="G934" s="613"/>
      <c r="H934" s="613"/>
      <c r="I934" s="523"/>
      <c r="J934" s="612"/>
      <c r="K934" s="612"/>
      <c r="L934" s="613"/>
      <c r="M934" s="613"/>
      <c r="N934" s="613"/>
      <c r="O934" s="616"/>
      <c r="P934" s="613"/>
      <c r="Q934" s="613"/>
      <c r="R934" s="613"/>
      <c r="S934" s="613"/>
      <c r="T934" s="613"/>
      <c r="U934" s="613"/>
      <c r="V934" s="523"/>
      <c r="W934" s="613"/>
      <c r="X934" s="613"/>
      <c r="Y934" s="613"/>
      <c r="Z934" s="523"/>
      <c r="AA934" s="613"/>
      <c r="AB934" s="523"/>
      <c r="AC934" s="523"/>
    </row>
    <row r="935">
      <c r="A935" s="613"/>
      <c r="B935" s="612"/>
      <c r="C935" s="613"/>
      <c r="D935" s="613"/>
      <c r="E935" s="613"/>
      <c r="F935" s="613"/>
      <c r="G935" s="613"/>
      <c r="H935" s="613"/>
      <c r="I935" s="523"/>
      <c r="J935" s="612"/>
      <c r="K935" s="612"/>
      <c r="L935" s="613"/>
      <c r="M935" s="613"/>
      <c r="N935" s="613"/>
      <c r="O935" s="616"/>
      <c r="P935" s="613"/>
      <c r="Q935" s="613"/>
      <c r="R935" s="613"/>
      <c r="S935" s="613"/>
      <c r="T935" s="613"/>
      <c r="U935" s="613"/>
      <c r="V935" s="523"/>
      <c r="W935" s="613"/>
      <c r="X935" s="613"/>
      <c r="Y935" s="613"/>
      <c r="Z935" s="523"/>
      <c r="AA935" s="613"/>
      <c r="AB935" s="523"/>
      <c r="AC935" s="523"/>
    </row>
    <row r="936">
      <c r="A936" s="613"/>
      <c r="B936" s="612"/>
      <c r="C936" s="613"/>
      <c r="D936" s="613"/>
      <c r="E936" s="613"/>
      <c r="F936" s="613"/>
      <c r="G936" s="613"/>
      <c r="H936" s="613"/>
      <c r="I936" s="523"/>
      <c r="J936" s="612"/>
      <c r="K936" s="612"/>
      <c r="L936" s="613"/>
      <c r="M936" s="613"/>
      <c r="N936" s="613"/>
      <c r="O936" s="616"/>
      <c r="P936" s="613"/>
      <c r="Q936" s="613"/>
      <c r="R936" s="613"/>
      <c r="S936" s="613"/>
      <c r="T936" s="613"/>
      <c r="U936" s="613"/>
      <c r="V936" s="523"/>
      <c r="W936" s="613"/>
      <c r="X936" s="613"/>
      <c r="Y936" s="613"/>
      <c r="Z936" s="523"/>
      <c r="AA936" s="613"/>
      <c r="AB936" s="523"/>
      <c r="AC936" s="523"/>
    </row>
    <row r="937">
      <c r="A937" s="613"/>
      <c r="B937" s="612"/>
      <c r="C937" s="613"/>
      <c r="D937" s="613"/>
      <c r="E937" s="613"/>
      <c r="F937" s="613"/>
      <c r="G937" s="613"/>
      <c r="H937" s="613"/>
      <c r="I937" s="523"/>
      <c r="J937" s="612"/>
      <c r="K937" s="612"/>
      <c r="L937" s="613"/>
      <c r="M937" s="613"/>
      <c r="N937" s="613"/>
      <c r="O937" s="616"/>
      <c r="P937" s="613"/>
      <c r="Q937" s="613"/>
      <c r="R937" s="613"/>
      <c r="S937" s="613"/>
      <c r="T937" s="613"/>
      <c r="U937" s="613"/>
      <c r="V937" s="523"/>
      <c r="W937" s="613"/>
      <c r="X937" s="613"/>
      <c r="Y937" s="613"/>
      <c r="Z937" s="523"/>
      <c r="AA937" s="613"/>
      <c r="AB937" s="523"/>
      <c r="AC937" s="523"/>
    </row>
    <row r="938">
      <c r="A938" s="613"/>
      <c r="B938" s="612"/>
      <c r="C938" s="613"/>
      <c r="D938" s="613"/>
      <c r="E938" s="613"/>
      <c r="F938" s="613"/>
      <c r="G938" s="613"/>
      <c r="H938" s="613"/>
      <c r="I938" s="523"/>
      <c r="J938" s="612"/>
      <c r="K938" s="612"/>
      <c r="L938" s="613"/>
      <c r="M938" s="613"/>
      <c r="N938" s="613"/>
      <c r="O938" s="616"/>
      <c r="P938" s="613"/>
      <c r="Q938" s="613"/>
      <c r="R938" s="613"/>
      <c r="S938" s="613"/>
      <c r="T938" s="613"/>
      <c r="U938" s="613"/>
      <c r="V938" s="523"/>
      <c r="W938" s="613"/>
      <c r="X938" s="613"/>
      <c r="Y938" s="613"/>
      <c r="Z938" s="523"/>
      <c r="AA938" s="613"/>
      <c r="AB938" s="523"/>
      <c r="AC938" s="523"/>
    </row>
    <row r="939">
      <c r="A939" s="613"/>
      <c r="B939" s="612"/>
      <c r="C939" s="613"/>
      <c r="D939" s="613"/>
      <c r="E939" s="613"/>
      <c r="F939" s="613"/>
      <c r="G939" s="613"/>
      <c r="H939" s="613"/>
      <c r="I939" s="523"/>
      <c r="J939" s="612"/>
      <c r="K939" s="612"/>
      <c r="L939" s="613"/>
      <c r="M939" s="613"/>
      <c r="N939" s="613"/>
      <c r="O939" s="616"/>
      <c r="P939" s="613"/>
      <c r="Q939" s="613"/>
      <c r="R939" s="613"/>
      <c r="S939" s="613"/>
      <c r="T939" s="613"/>
      <c r="U939" s="613"/>
      <c r="V939" s="523"/>
      <c r="W939" s="613"/>
      <c r="X939" s="613"/>
      <c r="Y939" s="613"/>
      <c r="Z939" s="523"/>
      <c r="AA939" s="613"/>
      <c r="AB939" s="523"/>
      <c r="AC939" s="523"/>
    </row>
    <row r="940">
      <c r="A940" s="613"/>
      <c r="B940" s="612"/>
      <c r="C940" s="613"/>
      <c r="D940" s="613"/>
      <c r="E940" s="613"/>
      <c r="F940" s="613"/>
      <c r="G940" s="613"/>
      <c r="H940" s="613"/>
      <c r="I940" s="523"/>
      <c r="J940" s="612"/>
      <c r="K940" s="612"/>
      <c r="L940" s="613"/>
      <c r="M940" s="613"/>
      <c r="N940" s="613"/>
      <c r="O940" s="616"/>
      <c r="P940" s="613"/>
      <c r="Q940" s="613"/>
      <c r="R940" s="613"/>
      <c r="S940" s="613"/>
      <c r="T940" s="613"/>
      <c r="U940" s="613"/>
      <c r="V940" s="523"/>
      <c r="W940" s="613"/>
      <c r="X940" s="613"/>
      <c r="Y940" s="613"/>
      <c r="Z940" s="523"/>
      <c r="AA940" s="613"/>
      <c r="AB940" s="523"/>
      <c r="AC940" s="523"/>
    </row>
    <row r="941">
      <c r="A941" s="613"/>
      <c r="B941" s="612"/>
      <c r="C941" s="613"/>
      <c r="D941" s="613"/>
      <c r="E941" s="613"/>
      <c r="F941" s="613"/>
      <c r="G941" s="613"/>
      <c r="H941" s="613"/>
      <c r="I941" s="523"/>
      <c r="J941" s="612"/>
      <c r="K941" s="612"/>
      <c r="L941" s="613"/>
      <c r="M941" s="613"/>
      <c r="N941" s="613"/>
      <c r="O941" s="616"/>
      <c r="P941" s="613"/>
      <c r="Q941" s="613"/>
      <c r="R941" s="613"/>
      <c r="S941" s="613"/>
      <c r="T941" s="613"/>
      <c r="U941" s="613"/>
      <c r="V941" s="523"/>
      <c r="W941" s="613"/>
      <c r="X941" s="613"/>
      <c r="Y941" s="613"/>
      <c r="Z941" s="523"/>
      <c r="AA941" s="613"/>
      <c r="AB941" s="523"/>
      <c r="AC941" s="523"/>
    </row>
    <row r="942">
      <c r="A942" s="613"/>
      <c r="B942" s="612"/>
      <c r="C942" s="613"/>
      <c r="D942" s="613"/>
      <c r="E942" s="613"/>
      <c r="F942" s="613"/>
      <c r="G942" s="613"/>
      <c r="H942" s="613"/>
      <c r="I942" s="523"/>
      <c r="J942" s="612"/>
      <c r="K942" s="612"/>
      <c r="L942" s="613"/>
      <c r="M942" s="613"/>
      <c r="N942" s="613"/>
      <c r="O942" s="616"/>
      <c r="P942" s="613"/>
      <c r="Q942" s="613"/>
      <c r="R942" s="613"/>
      <c r="S942" s="613"/>
      <c r="T942" s="613"/>
      <c r="U942" s="613"/>
      <c r="V942" s="523"/>
      <c r="W942" s="613"/>
      <c r="X942" s="613"/>
      <c r="Y942" s="613"/>
      <c r="Z942" s="523"/>
      <c r="AA942" s="613"/>
      <c r="AB942" s="523"/>
      <c r="AC942" s="523"/>
    </row>
    <row r="943">
      <c r="A943" s="613"/>
      <c r="B943" s="612"/>
      <c r="C943" s="613"/>
      <c r="D943" s="613"/>
      <c r="E943" s="613"/>
      <c r="F943" s="613"/>
      <c r="G943" s="613"/>
      <c r="H943" s="613"/>
      <c r="I943" s="523"/>
      <c r="J943" s="612"/>
      <c r="K943" s="612"/>
      <c r="L943" s="613"/>
      <c r="M943" s="613"/>
      <c r="N943" s="613"/>
      <c r="O943" s="616"/>
      <c r="P943" s="613"/>
      <c r="Q943" s="613"/>
      <c r="R943" s="613"/>
      <c r="S943" s="613"/>
      <c r="T943" s="613"/>
      <c r="U943" s="613"/>
      <c r="V943" s="523"/>
      <c r="W943" s="613"/>
      <c r="X943" s="613"/>
      <c r="Y943" s="613"/>
      <c r="Z943" s="523"/>
      <c r="AA943" s="613"/>
      <c r="AB943" s="523"/>
      <c r="AC943" s="523"/>
    </row>
    <row r="944">
      <c r="A944" s="613"/>
      <c r="B944" s="612"/>
      <c r="C944" s="613"/>
      <c r="D944" s="613"/>
      <c r="E944" s="613"/>
      <c r="F944" s="613"/>
      <c r="G944" s="613"/>
      <c r="H944" s="613"/>
      <c r="I944" s="523"/>
      <c r="J944" s="612"/>
      <c r="K944" s="612"/>
      <c r="L944" s="613"/>
      <c r="M944" s="613"/>
      <c r="N944" s="613"/>
      <c r="O944" s="616"/>
      <c r="P944" s="613"/>
      <c r="Q944" s="613"/>
      <c r="R944" s="613"/>
      <c r="S944" s="613"/>
      <c r="T944" s="613"/>
      <c r="U944" s="613"/>
      <c r="V944" s="523"/>
      <c r="W944" s="613"/>
      <c r="X944" s="613"/>
      <c r="Y944" s="613"/>
      <c r="Z944" s="523"/>
      <c r="AA944" s="613"/>
      <c r="AB944" s="523"/>
      <c r="AC944" s="523"/>
    </row>
    <row r="945">
      <c r="A945" s="613"/>
      <c r="B945" s="612"/>
      <c r="C945" s="613"/>
      <c r="D945" s="613"/>
      <c r="E945" s="613"/>
      <c r="F945" s="613"/>
      <c r="G945" s="613"/>
      <c r="H945" s="613"/>
      <c r="I945" s="523"/>
      <c r="J945" s="612"/>
      <c r="K945" s="612"/>
      <c r="L945" s="613"/>
      <c r="M945" s="613"/>
      <c r="N945" s="613"/>
      <c r="O945" s="616"/>
      <c r="P945" s="613"/>
      <c r="Q945" s="613"/>
      <c r="R945" s="613"/>
      <c r="S945" s="613"/>
      <c r="T945" s="613"/>
      <c r="U945" s="613"/>
      <c r="V945" s="523"/>
      <c r="W945" s="613"/>
      <c r="X945" s="613"/>
      <c r="Y945" s="613"/>
      <c r="Z945" s="523"/>
      <c r="AA945" s="613"/>
      <c r="AB945" s="523"/>
      <c r="AC945" s="523"/>
    </row>
    <row r="946">
      <c r="A946" s="613"/>
      <c r="B946" s="612"/>
      <c r="C946" s="613"/>
      <c r="D946" s="613"/>
      <c r="E946" s="613"/>
      <c r="F946" s="613"/>
      <c r="G946" s="613"/>
      <c r="H946" s="613"/>
      <c r="I946" s="523"/>
      <c r="J946" s="612"/>
      <c r="K946" s="612"/>
      <c r="L946" s="613"/>
      <c r="M946" s="613"/>
      <c r="N946" s="613"/>
      <c r="O946" s="616"/>
      <c r="P946" s="613"/>
      <c r="Q946" s="613"/>
      <c r="R946" s="613"/>
      <c r="S946" s="613"/>
      <c r="T946" s="613"/>
      <c r="U946" s="613"/>
      <c r="V946" s="523"/>
      <c r="W946" s="613"/>
      <c r="X946" s="613"/>
      <c r="Y946" s="613"/>
      <c r="Z946" s="523"/>
      <c r="AA946" s="613"/>
      <c r="AB946" s="523"/>
      <c r="AC946" s="523"/>
    </row>
    <row r="947">
      <c r="A947" s="613"/>
      <c r="B947" s="612"/>
      <c r="C947" s="613"/>
      <c r="D947" s="613"/>
      <c r="E947" s="613"/>
      <c r="F947" s="613"/>
      <c r="G947" s="613"/>
      <c r="H947" s="613"/>
      <c r="I947" s="523"/>
      <c r="J947" s="612"/>
      <c r="K947" s="612"/>
      <c r="L947" s="613"/>
      <c r="M947" s="613"/>
      <c r="N947" s="613"/>
      <c r="O947" s="616"/>
      <c r="P947" s="613"/>
      <c r="Q947" s="613"/>
      <c r="R947" s="613"/>
      <c r="S947" s="613"/>
      <c r="T947" s="613"/>
      <c r="U947" s="613"/>
      <c r="V947" s="523"/>
      <c r="W947" s="613"/>
      <c r="X947" s="613"/>
      <c r="Y947" s="613"/>
      <c r="Z947" s="523"/>
      <c r="AA947" s="613"/>
      <c r="AB947" s="523"/>
      <c r="AC947" s="523"/>
    </row>
    <row r="948">
      <c r="A948" s="613"/>
      <c r="B948" s="612"/>
      <c r="C948" s="613"/>
      <c r="D948" s="613"/>
      <c r="E948" s="613"/>
      <c r="F948" s="613"/>
      <c r="G948" s="613"/>
      <c r="H948" s="613"/>
      <c r="I948" s="523"/>
      <c r="J948" s="612"/>
      <c r="K948" s="612"/>
      <c r="L948" s="613"/>
      <c r="M948" s="613"/>
      <c r="N948" s="613"/>
      <c r="O948" s="616"/>
      <c r="P948" s="613"/>
      <c r="Q948" s="613"/>
      <c r="R948" s="613"/>
      <c r="S948" s="613"/>
      <c r="T948" s="613"/>
      <c r="U948" s="613"/>
      <c r="V948" s="523"/>
      <c r="W948" s="613"/>
      <c r="X948" s="613"/>
      <c r="Y948" s="613"/>
      <c r="Z948" s="523"/>
      <c r="AA948" s="613"/>
      <c r="AB948" s="523"/>
      <c r="AC948" s="523"/>
    </row>
    <row r="949">
      <c r="A949" s="613"/>
      <c r="B949" s="612"/>
      <c r="C949" s="613"/>
      <c r="D949" s="613"/>
      <c r="E949" s="613"/>
      <c r="F949" s="613"/>
      <c r="G949" s="613"/>
      <c r="H949" s="613"/>
      <c r="I949" s="523"/>
      <c r="J949" s="612"/>
      <c r="K949" s="612"/>
      <c r="L949" s="613"/>
      <c r="M949" s="613"/>
      <c r="N949" s="613"/>
      <c r="O949" s="616"/>
      <c r="P949" s="613"/>
      <c r="Q949" s="613"/>
      <c r="R949" s="613"/>
      <c r="S949" s="613"/>
      <c r="T949" s="613"/>
      <c r="U949" s="613"/>
      <c r="V949" s="523"/>
      <c r="W949" s="613"/>
      <c r="X949" s="613"/>
      <c r="Y949" s="613"/>
      <c r="Z949" s="523"/>
      <c r="AA949" s="613"/>
      <c r="AB949" s="523"/>
      <c r="AC949" s="523"/>
    </row>
    <row r="950">
      <c r="A950" s="613"/>
      <c r="B950" s="612"/>
      <c r="C950" s="613"/>
      <c r="D950" s="613"/>
      <c r="E950" s="613"/>
      <c r="F950" s="613"/>
      <c r="G950" s="613"/>
      <c r="H950" s="613"/>
      <c r="I950" s="523"/>
      <c r="J950" s="612"/>
      <c r="K950" s="612"/>
      <c r="L950" s="613"/>
      <c r="M950" s="613"/>
      <c r="N950" s="613"/>
      <c r="O950" s="616"/>
      <c r="P950" s="613"/>
      <c r="Q950" s="613"/>
      <c r="R950" s="613"/>
      <c r="S950" s="613"/>
      <c r="T950" s="613"/>
      <c r="U950" s="613"/>
      <c r="V950" s="523"/>
      <c r="W950" s="613"/>
      <c r="X950" s="613"/>
      <c r="Y950" s="613"/>
      <c r="Z950" s="523"/>
      <c r="AA950" s="613"/>
      <c r="AB950" s="523"/>
      <c r="AC950" s="523"/>
    </row>
    <row r="951">
      <c r="A951" s="613"/>
      <c r="B951" s="612"/>
      <c r="C951" s="613"/>
      <c r="D951" s="613"/>
      <c r="E951" s="613"/>
      <c r="F951" s="613"/>
      <c r="G951" s="613"/>
      <c r="H951" s="613"/>
      <c r="I951" s="523"/>
      <c r="J951" s="612"/>
      <c r="K951" s="612"/>
      <c r="L951" s="613"/>
      <c r="M951" s="613"/>
      <c r="N951" s="613"/>
      <c r="O951" s="616"/>
      <c r="P951" s="613"/>
      <c r="Q951" s="613"/>
      <c r="R951" s="613"/>
      <c r="S951" s="613"/>
      <c r="T951" s="613"/>
      <c r="U951" s="613"/>
      <c r="V951" s="523"/>
      <c r="W951" s="613"/>
      <c r="X951" s="613"/>
      <c r="Y951" s="613"/>
      <c r="Z951" s="523"/>
      <c r="AA951" s="613"/>
      <c r="AB951" s="523"/>
      <c r="AC951" s="523"/>
    </row>
    <row r="952">
      <c r="A952" s="613"/>
      <c r="B952" s="612"/>
      <c r="C952" s="613"/>
      <c r="D952" s="613"/>
      <c r="E952" s="613"/>
      <c r="F952" s="613"/>
      <c r="G952" s="613"/>
      <c r="H952" s="613"/>
      <c r="I952" s="523"/>
      <c r="J952" s="612"/>
      <c r="K952" s="612"/>
      <c r="L952" s="613"/>
      <c r="M952" s="613"/>
      <c r="N952" s="613"/>
      <c r="O952" s="616"/>
      <c r="P952" s="613"/>
      <c r="Q952" s="613"/>
      <c r="R952" s="613"/>
      <c r="S952" s="613"/>
      <c r="T952" s="613"/>
      <c r="U952" s="613"/>
      <c r="V952" s="523"/>
      <c r="W952" s="613"/>
      <c r="X952" s="613"/>
      <c r="Y952" s="613"/>
      <c r="Z952" s="523"/>
      <c r="AA952" s="613"/>
      <c r="AB952" s="523"/>
      <c r="AC952" s="523"/>
    </row>
    <row r="953">
      <c r="A953" s="613"/>
      <c r="B953" s="612"/>
      <c r="C953" s="613"/>
      <c r="D953" s="613"/>
      <c r="E953" s="613"/>
      <c r="F953" s="613"/>
      <c r="G953" s="613"/>
      <c r="H953" s="613"/>
      <c r="I953" s="523"/>
      <c r="J953" s="612"/>
      <c r="K953" s="612"/>
      <c r="L953" s="613"/>
      <c r="M953" s="613"/>
      <c r="N953" s="613"/>
      <c r="O953" s="616"/>
      <c r="P953" s="613"/>
      <c r="Q953" s="613"/>
      <c r="R953" s="613"/>
      <c r="S953" s="613"/>
      <c r="T953" s="613"/>
      <c r="U953" s="613"/>
      <c r="V953" s="523"/>
      <c r="W953" s="613"/>
      <c r="X953" s="613"/>
      <c r="Y953" s="613"/>
      <c r="Z953" s="523"/>
      <c r="AA953" s="613"/>
      <c r="AB953" s="523"/>
      <c r="AC953" s="523"/>
    </row>
    <row r="954">
      <c r="A954" s="613"/>
      <c r="B954" s="612"/>
      <c r="C954" s="613"/>
      <c r="D954" s="613"/>
      <c r="E954" s="613"/>
      <c r="F954" s="613"/>
      <c r="G954" s="613"/>
      <c r="H954" s="613"/>
      <c r="I954" s="523"/>
      <c r="J954" s="612"/>
      <c r="K954" s="612"/>
      <c r="L954" s="613"/>
      <c r="M954" s="613"/>
      <c r="N954" s="613"/>
      <c r="O954" s="616"/>
      <c r="P954" s="613"/>
      <c r="Q954" s="613"/>
      <c r="R954" s="613"/>
      <c r="S954" s="613"/>
      <c r="T954" s="613"/>
      <c r="U954" s="613"/>
      <c r="V954" s="523"/>
      <c r="W954" s="613"/>
      <c r="X954" s="613"/>
      <c r="Y954" s="613"/>
      <c r="Z954" s="523"/>
      <c r="AA954" s="613"/>
      <c r="AB954" s="523"/>
      <c r="AC954" s="523"/>
    </row>
    <row r="955">
      <c r="A955" s="613"/>
      <c r="B955" s="612"/>
      <c r="C955" s="613"/>
      <c r="D955" s="613"/>
      <c r="E955" s="613"/>
      <c r="F955" s="613"/>
      <c r="G955" s="613"/>
      <c r="H955" s="613"/>
      <c r="I955" s="523"/>
      <c r="J955" s="612"/>
      <c r="K955" s="612"/>
      <c r="L955" s="613"/>
      <c r="M955" s="613"/>
      <c r="N955" s="613"/>
      <c r="O955" s="616"/>
      <c r="P955" s="613"/>
      <c r="Q955" s="613"/>
      <c r="R955" s="613"/>
      <c r="S955" s="613"/>
      <c r="T955" s="613"/>
      <c r="U955" s="613"/>
      <c r="V955" s="523"/>
      <c r="W955" s="613"/>
      <c r="X955" s="613"/>
      <c r="Y955" s="613"/>
      <c r="Z955" s="523"/>
      <c r="AA955" s="613"/>
      <c r="AB955" s="523"/>
      <c r="AC955" s="523"/>
    </row>
    <row r="956">
      <c r="A956" s="613"/>
      <c r="B956" s="612"/>
      <c r="C956" s="613"/>
      <c r="D956" s="613"/>
      <c r="E956" s="613"/>
      <c r="F956" s="613"/>
      <c r="G956" s="613"/>
      <c r="H956" s="613"/>
      <c r="I956" s="523"/>
      <c r="J956" s="612"/>
      <c r="K956" s="612"/>
      <c r="L956" s="613"/>
      <c r="M956" s="613"/>
      <c r="N956" s="613"/>
      <c r="O956" s="616"/>
      <c r="P956" s="613"/>
      <c r="Q956" s="613"/>
      <c r="R956" s="613"/>
      <c r="S956" s="613"/>
      <c r="T956" s="613"/>
      <c r="U956" s="613"/>
      <c r="V956" s="523"/>
      <c r="W956" s="613"/>
      <c r="X956" s="613"/>
      <c r="Y956" s="613"/>
      <c r="Z956" s="523"/>
      <c r="AA956" s="613"/>
      <c r="AB956" s="523"/>
      <c r="AC956" s="523"/>
    </row>
    <row r="957">
      <c r="A957" s="613"/>
      <c r="B957" s="612"/>
      <c r="C957" s="613"/>
      <c r="D957" s="613"/>
      <c r="E957" s="613"/>
      <c r="F957" s="613"/>
      <c r="G957" s="613"/>
      <c r="H957" s="613"/>
      <c r="I957" s="523"/>
      <c r="J957" s="612"/>
      <c r="K957" s="612"/>
      <c r="L957" s="613"/>
      <c r="M957" s="613"/>
      <c r="N957" s="613"/>
      <c r="O957" s="616"/>
      <c r="P957" s="613"/>
      <c r="Q957" s="613"/>
      <c r="R957" s="613"/>
      <c r="S957" s="613"/>
      <c r="T957" s="613"/>
      <c r="U957" s="613"/>
      <c r="V957" s="523"/>
      <c r="W957" s="613"/>
      <c r="X957" s="613"/>
      <c r="Y957" s="613"/>
      <c r="Z957" s="523"/>
      <c r="AA957" s="613"/>
      <c r="AB957" s="523"/>
      <c r="AC957" s="523"/>
    </row>
    <row r="958">
      <c r="A958" s="613"/>
      <c r="B958" s="612"/>
      <c r="C958" s="613"/>
      <c r="D958" s="613"/>
      <c r="E958" s="613"/>
      <c r="F958" s="613"/>
      <c r="G958" s="613"/>
      <c r="H958" s="613"/>
      <c r="I958" s="523"/>
      <c r="J958" s="612"/>
      <c r="K958" s="612"/>
      <c r="L958" s="613"/>
      <c r="M958" s="613"/>
      <c r="N958" s="613"/>
      <c r="O958" s="616"/>
      <c r="P958" s="613"/>
      <c r="Q958" s="613"/>
      <c r="R958" s="613"/>
      <c r="S958" s="613"/>
      <c r="T958" s="613"/>
      <c r="U958" s="613"/>
      <c r="V958" s="523"/>
      <c r="W958" s="613"/>
      <c r="X958" s="613"/>
      <c r="Y958" s="613"/>
      <c r="Z958" s="523"/>
      <c r="AA958" s="613"/>
      <c r="AB958" s="523"/>
      <c r="AC958" s="523"/>
    </row>
    <row r="959">
      <c r="A959" s="613"/>
      <c r="B959" s="612"/>
      <c r="C959" s="613"/>
      <c r="D959" s="613"/>
      <c r="E959" s="613"/>
      <c r="F959" s="613"/>
      <c r="G959" s="613"/>
      <c r="H959" s="613"/>
      <c r="I959" s="523"/>
      <c r="J959" s="612"/>
      <c r="K959" s="612"/>
      <c r="L959" s="613"/>
      <c r="M959" s="613"/>
      <c r="N959" s="613"/>
      <c r="O959" s="616"/>
      <c r="P959" s="613"/>
      <c r="Q959" s="613"/>
      <c r="R959" s="613"/>
      <c r="S959" s="613"/>
      <c r="T959" s="613"/>
      <c r="U959" s="613"/>
      <c r="V959" s="523"/>
      <c r="W959" s="613"/>
      <c r="X959" s="613"/>
      <c r="Y959" s="613"/>
      <c r="Z959" s="523"/>
      <c r="AA959" s="613"/>
      <c r="AB959" s="523"/>
      <c r="AC959" s="523"/>
    </row>
    <row r="960">
      <c r="A960" s="613"/>
      <c r="B960" s="612"/>
      <c r="C960" s="613"/>
      <c r="D960" s="613"/>
      <c r="E960" s="613"/>
      <c r="F960" s="613"/>
      <c r="G960" s="613"/>
      <c r="H960" s="613"/>
      <c r="I960" s="523"/>
      <c r="J960" s="612"/>
      <c r="K960" s="612"/>
      <c r="L960" s="613"/>
      <c r="M960" s="613"/>
      <c r="N960" s="613"/>
      <c r="O960" s="616"/>
      <c r="P960" s="613"/>
      <c r="Q960" s="613"/>
      <c r="R960" s="613"/>
      <c r="S960" s="613"/>
      <c r="T960" s="613"/>
      <c r="U960" s="613"/>
      <c r="V960" s="523"/>
      <c r="W960" s="613"/>
      <c r="X960" s="613"/>
      <c r="Y960" s="613"/>
      <c r="Z960" s="523"/>
      <c r="AA960" s="613"/>
      <c r="AB960" s="523"/>
      <c r="AC960" s="523"/>
    </row>
    <row r="961">
      <c r="A961" s="613"/>
      <c r="B961" s="612"/>
      <c r="C961" s="613"/>
      <c r="D961" s="613"/>
      <c r="E961" s="613"/>
      <c r="F961" s="613"/>
      <c r="G961" s="613"/>
      <c r="H961" s="613"/>
      <c r="I961" s="523"/>
      <c r="J961" s="612"/>
      <c r="K961" s="612"/>
      <c r="L961" s="613"/>
      <c r="M961" s="613"/>
      <c r="N961" s="613"/>
      <c r="O961" s="616"/>
      <c r="P961" s="613"/>
      <c r="Q961" s="613"/>
      <c r="R961" s="613"/>
      <c r="S961" s="613"/>
      <c r="T961" s="613"/>
      <c r="U961" s="613"/>
      <c r="V961" s="523"/>
      <c r="W961" s="613"/>
      <c r="X961" s="613"/>
      <c r="Y961" s="613"/>
      <c r="Z961" s="523"/>
      <c r="AA961" s="613"/>
      <c r="AB961" s="523"/>
      <c r="AC961" s="523"/>
    </row>
    <row r="962">
      <c r="A962" s="613"/>
      <c r="B962" s="612"/>
      <c r="C962" s="613"/>
      <c r="D962" s="613"/>
      <c r="E962" s="613"/>
      <c r="F962" s="613"/>
      <c r="G962" s="613"/>
      <c r="H962" s="613"/>
      <c r="I962" s="523"/>
      <c r="J962" s="612"/>
      <c r="K962" s="612"/>
      <c r="L962" s="613"/>
      <c r="M962" s="613"/>
      <c r="N962" s="613"/>
      <c r="O962" s="616"/>
      <c r="P962" s="613"/>
      <c r="Q962" s="613"/>
      <c r="R962" s="613"/>
      <c r="S962" s="613"/>
      <c r="T962" s="613"/>
      <c r="U962" s="613"/>
      <c r="V962" s="523"/>
      <c r="W962" s="613"/>
      <c r="X962" s="613"/>
      <c r="Y962" s="613"/>
      <c r="Z962" s="523"/>
      <c r="AA962" s="613"/>
      <c r="AB962" s="523"/>
      <c r="AC962" s="523"/>
    </row>
    <row r="963">
      <c r="A963" s="613"/>
      <c r="B963" s="612"/>
      <c r="C963" s="613"/>
      <c r="D963" s="613"/>
      <c r="E963" s="613"/>
      <c r="F963" s="613"/>
      <c r="G963" s="613"/>
      <c r="H963" s="613"/>
      <c r="I963" s="523"/>
      <c r="J963" s="612"/>
      <c r="K963" s="612"/>
      <c r="L963" s="613"/>
      <c r="M963" s="613"/>
      <c r="N963" s="613"/>
      <c r="O963" s="616"/>
      <c r="P963" s="613"/>
      <c r="Q963" s="613"/>
      <c r="R963" s="613"/>
      <c r="S963" s="613"/>
      <c r="T963" s="613"/>
      <c r="U963" s="613"/>
      <c r="V963" s="523"/>
      <c r="W963" s="613"/>
      <c r="X963" s="613"/>
      <c r="Y963" s="613"/>
      <c r="Z963" s="523"/>
      <c r="AA963" s="613"/>
      <c r="AB963" s="523"/>
      <c r="AC963" s="523"/>
    </row>
    <row r="964">
      <c r="A964" s="613"/>
      <c r="B964" s="612"/>
      <c r="C964" s="613"/>
      <c r="D964" s="613"/>
      <c r="E964" s="613"/>
      <c r="F964" s="613"/>
      <c r="G964" s="613"/>
      <c r="H964" s="613"/>
      <c r="I964" s="523"/>
      <c r="J964" s="612"/>
      <c r="K964" s="612"/>
      <c r="L964" s="613"/>
      <c r="M964" s="613"/>
      <c r="N964" s="613"/>
      <c r="O964" s="616"/>
      <c r="P964" s="613"/>
      <c r="Q964" s="613"/>
      <c r="R964" s="613"/>
      <c r="S964" s="613"/>
      <c r="T964" s="613"/>
      <c r="U964" s="613"/>
      <c r="V964" s="523"/>
      <c r="W964" s="613"/>
      <c r="X964" s="613"/>
      <c r="Y964" s="613"/>
      <c r="Z964" s="523"/>
      <c r="AA964" s="613"/>
      <c r="AB964" s="523"/>
      <c r="AC964" s="523"/>
    </row>
    <row r="965">
      <c r="A965" s="613"/>
      <c r="B965" s="612"/>
      <c r="C965" s="613"/>
      <c r="D965" s="613"/>
      <c r="E965" s="613"/>
      <c r="F965" s="613"/>
      <c r="G965" s="613"/>
      <c r="H965" s="613"/>
      <c r="I965" s="523"/>
      <c r="J965" s="612"/>
      <c r="K965" s="612"/>
      <c r="L965" s="613"/>
      <c r="M965" s="613"/>
      <c r="N965" s="613"/>
      <c r="O965" s="616"/>
      <c r="P965" s="613"/>
      <c r="Q965" s="613"/>
      <c r="R965" s="613"/>
      <c r="S965" s="613"/>
      <c r="T965" s="613"/>
      <c r="U965" s="613"/>
      <c r="V965" s="523"/>
      <c r="W965" s="613"/>
      <c r="X965" s="613"/>
      <c r="Y965" s="613"/>
      <c r="Z965" s="523"/>
      <c r="AA965" s="613"/>
      <c r="AB965" s="523"/>
      <c r="AC965" s="523"/>
    </row>
    <row r="966">
      <c r="A966" s="613"/>
      <c r="B966" s="612"/>
      <c r="C966" s="613"/>
      <c r="D966" s="613"/>
      <c r="E966" s="613"/>
      <c r="F966" s="613"/>
      <c r="G966" s="613"/>
      <c r="H966" s="613"/>
      <c r="I966" s="523"/>
      <c r="J966" s="612"/>
      <c r="K966" s="612"/>
      <c r="L966" s="613"/>
      <c r="M966" s="613"/>
      <c r="N966" s="613"/>
      <c r="O966" s="616"/>
      <c r="P966" s="613"/>
      <c r="Q966" s="613"/>
      <c r="R966" s="613"/>
      <c r="S966" s="613"/>
      <c r="T966" s="613"/>
      <c r="U966" s="613"/>
      <c r="V966" s="523"/>
      <c r="W966" s="613"/>
      <c r="X966" s="613"/>
      <c r="Y966" s="613"/>
      <c r="Z966" s="523"/>
      <c r="AA966" s="613"/>
      <c r="AB966" s="523"/>
      <c r="AC966" s="523"/>
    </row>
    <row r="967">
      <c r="A967" s="613"/>
      <c r="B967" s="612"/>
      <c r="C967" s="613"/>
      <c r="D967" s="613"/>
      <c r="E967" s="613"/>
      <c r="F967" s="613"/>
      <c r="G967" s="613"/>
      <c r="H967" s="613"/>
      <c r="I967" s="523"/>
      <c r="J967" s="612"/>
      <c r="K967" s="612"/>
      <c r="L967" s="613"/>
      <c r="M967" s="613"/>
      <c r="N967" s="613"/>
      <c r="O967" s="616"/>
      <c r="P967" s="613"/>
      <c r="Q967" s="613"/>
      <c r="R967" s="613"/>
      <c r="S967" s="613"/>
      <c r="T967" s="613"/>
      <c r="U967" s="613"/>
      <c r="V967" s="523"/>
      <c r="W967" s="613"/>
      <c r="X967" s="613"/>
      <c r="Y967" s="613"/>
      <c r="Z967" s="523"/>
      <c r="AA967" s="613"/>
      <c r="AB967" s="523"/>
      <c r="AC967" s="523"/>
    </row>
    <row r="968">
      <c r="A968" s="613"/>
      <c r="B968" s="612"/>
      <c r="C968" s="613"/>
      <c r="D968" s="613"/>
      <c r="E968" s="613"/>
      <c r="F968" s="613"/>
      <c r="G968" s="613"/>
      <c r="H968" s="613"/>
      <c r="I968" s="523"/>
      <c r="J968" s="612"/>
      <c r="K968" s="612"/>
      <c r="L968" s="613"/>
      <c r="M968" s="613"/>
      <c r="N968" s="613"/>
      <c r="O968" s="616"/>
      <c r="P968" s="613"/>
      <c r="Q968" s="613"/>
      <c r="R968" s="613"/>
      <c r="S968" s="613"/>
      <c r="T968" s="613"/>
      <c r="U968" s="613"/>
      <c r="V968" s="523"/>
      <c r="W968" s="613"/>
      <c r="X968" s="613"/>
      <c r="Y968" s="613"/>
      <c r="Z968" s="523"/>
      <c r="AA968" s="613"/>
      <c r="AB968" s="523"/>
      <c r="AC968" s="523"/>
    </row>
    <row r="969">
      <c r="A969" s="613"/>
      <c r="B969" s="612"/>
      <c r="C969" s="613"/>
      <c r="D969" s="613"/>
      <c r="E969" s="613"/>
      <c r="F969" s="613"/>
      <c r="G969" s="613"/>
      <c r="H969" s="613"/>
      <c r="I969" s="523"/>
      <c r="J969" s="612"/>
      <c r="K969" s="612"/>
      <c r="L969" s="613"/>
      <c r="M969" s="613"/>
      <c r="N969" s="613"/>
      <c r="O969" s="616"/>
      <c r="P969" s="613"/>
      <c r="Q969" s="613"/>
      <c r="R969" s="613"/>
      <c r="S969" s="613"/>
      <c r="T969" s="613"/>
      <c r="U969" s="613"/>
      <c r="V969" s="523"/>
      <c r="W969" s="613"/>
      <c r="X969" s="613"/>
      <c r="Y969" s="613"/>
      <c r="Z969" s="523"/>
      <c r="AA969" s="613"/>
      <c r="AB969" s="523"/>
      <c r="AC969" s="523"/>
    </row>
    <row r="970">
      <c r="A970" s="613"/>
      <c r="B970" s="612"/>
      <c r="C970" s="613"/>
      <c r="D970" s="613"/>
      <c r="E970" s="613"/>
      <c r="F970" s="613"/>
      <c r="G970" s="613"/>
      <c r="H970" s="613"/>
      <c r="I970" s="523"/>
      <c r="J970" s="612"/>
      <c r="K970" s="612"/>
      <c r="L970" s="613"/>
      <c r="M970" s="613"/>
      <c r="N970" s="613"/>
      <c r="O970" s="616"/>
      <c r="P970" s="613"/>
      <c r="Q970" s="613"/>
      <c r="R970" s="613"/>
      <c r="S970" s="613"/>
      <c r="T970" s="613"/>
      <c r="U970" s="613"/>
      <c r="V970" s="523"/>
      <c r="W970" s="613"/>
      <c r="X970" s="613"/>
      <c r="Y970" s="613"/>
      <c r="Z970" s="523"/>
      <c r="AA970" s="613"/>
      <c r="AB970" s="523"/>
      <c r="AC970" s="523"/>
    </row>
    <row r="971">
      <c r="A971" s="613"/>
      <c r="B971" s="612"/>
      <c r="C971" s="613"/>
      <c r="D971" s="613"/>
      <c r="E971" s="613"/>
      <c r="F971" s="613"/>
      <c r="G971" s="613"/>
      <c r="H971" s="613"/>
      <c r="I971" s="523"/>
      <c r="J971" s="612"/>
      <c r="K971" s="612"/>
      <c r="L971" s="613"/>
      <c r="M971" s="613"/>
      <c r="N971" s="613"/>
      <c r="O971" s="616"/>
      <c r="P971" s="613"/>
      <c r="Q971" s="613"/>
      <c r="R971" s="613"/>
      <c r="S971" s="613"/>
      <c r="T971" s="613"/>
      <c r="U971" s="613"/>
      <c r="V971" s="523"/>
      <c r="W971" s="613"/>
      <c r="X971" s="613"/>
      <c r="Y971" s="613"/>
      <c r="Z971" s="523"/>
      <c r="AA971" s="613"/>
      <c r="AB971" s="523"/>
      <c r="AC971" s="523"/>
    </row>
    <row r="972">
      <c r="A972" s="613"/>
      <c r="B972" s="612"/>
      <c r="C972" s="613"/>
      <c r="D972" s="613"/>
      <c r="E972" s="613"/>
      <c r="F972" s="613"/>
      <c r="G972" s="613"/>
      <c r="H972" s="613"/>
      <c r="I972" s="523"/>
      <c r="J972" s="612"/>
      <c r="K972" s="612"/>
      <c r="L972" s="613"/>
      <c r="M972" s="613"/>
      <c r="N972" s="613"/>
      <c r="O972" s="616"/>
      <c r="P972" s="613"/>
      <c r="Q972" s="613"/>
      <c r="R972" s="613"/>
      <c r="S972" s="613"/>
      <c r="T972" s="613"/>
      <c r="U972" s="613"/>
      <c r="V972" s="523"/>
      <c r="W972" s="613"/>
      <c r="X972" s="613"/>
      <c r="Y972" s="613"/>
      <c r="Z972" s="523"/>
      <c r="AA972" s="613"/>
      <c r="AB972" s="523"/>
      <c r="AC972" s="523"/>
    </row>
    <row r="973">
      <c r="A973" s="613"/>
      <c r="B973" s="612"/>
      <c r="C973" s="613"/>
      <c r="D973" s="613"/>
      <c r="E973" s="613"/>
      <c r="F973" s="613"/>
      <c r="G973" s="613"/>
      <c r="H973" s="613"/>
      <c r="I973" s="523"/>
      <c r="J973" s="612"/>
      <c r="K973" s="612"/>
      <c r="L973" s="613"/>
      <c r="M973" s="613"/>
      <c r="N973" s="613"/>
      <c r="O973" s="616"/>
      <c r="P973" s="613"/>
      <c r="Q973" s="613"/>
      <c r="R973" s="613"/>
      <c r="S973" s="613"/>
      <c r="T973" s="613"/>
      <c r="U973" s="613"/>
      <c r="V973" s="523"/>
      <c r="W973" s="613"/>
      <c r="X973" s="613"/>
      <c r="Y973" s="613"/>
      <c r="Z973" s="523"/>
      <c r="AA973" s="613"/>
      <c r="AB973" s="523"/>
      <c r="AC973" s="523"/>
    </row>
    <row r="974">
      <c r="A974" s="613"/>
      <c r="B974" s="612"/>
      <c r="C974" s="613"/>
      <c r="D974" s="613"/>
      <c r="E974" s="613"/>
      <c r="F974" s="613"/>
      <c r="G974" s="613"/>
      <c r="H974" s="613"/>
      <c r="I974" s="523"/>
      <c r="J974" s="612"/>
      <c r="K974" s="612"/>
      <c r="L974" s="613"/>
      <c r="M974" s="613"/>
      <c r="N974" s="613"/>
      <c r="O974" s="616"/>
      <c r="P974" s="613"/>
      <c r="Q974" s="613"/>
      <c r="R974" s="613"/>
      <c r="S974" s="613"/>
      <c r="T974" s="613"/>
      <c r="U974" s="613"/>
      <c r="V974" s="523"/>
      <c r="W974" s="613"/>
      <c r="X974" s="613"/>
      <c r="Y974" s="613"/>
      <c r="Z974" s="523"/>
      <c r="AA974" s="613"/>
      <c r="AB974" s="523"/>
      <c r="AC974" s="523"/>
    </row>
    <row r="975">
      <c r="A975" s="613"/>
      <c r="B975" s="612"/>
      <c r="C975" s="613"/>
      <c r="D975" s="613"/>
      <c r="E975" s="613"/>
      <c r="F975" s="613"/>
      <c r="G975" s="613"/>
      <c r="H975" s="613"/>
      <c r="I975" s="523"/>
      <c r="J975" s="612"/>
      <c r="K975" s="612"/>
      <c r="L975" s="613"/>
      <c r="M975" s="613"/>
      <c r="N975" s="613"/>
      <c r="O975" s="616"/>
      <c r="P975" s="613"/>
      <c r="Q975" s="613"/>
      <c r="R975" s="613"/>
      <c r="S975" s="613"/>
      <c r="T975" s="613"/>
      <c r="U975" s="613"/>
      <c r="V975" s="523"/>
      <c r="W975" s="613"/>
      <c r="X975" s="613"/>
      <c r="Y975" s="613"/>
      <c r="Z975" s="523"/>
      <c r="AA975" s="613"/>
      <c r="AB975" s="523"/>
      <c r="AC975" s="523"/>
    </row>
    <row r="976">
      <c r="A976" s="613"/>
      <c r="B976" s="612"/>
      <c r="C976" s="613"/>
      <c r="D976" s="613"/>
      <c r="E976" s="613"/>
      <c r="F976" s="613"/>
      <c r="G976" s="613"/>
      <c r="H976" s="613"/>
      <c r="I976" s="523"/>
      <c r="J976" s="612"/>
      <c r="K976" s="612"/>
      <c r="L976" s="613"/>
      <c r="M976" s="613"/>
      <c r="N976" s="613"/>
      <c r="O976" s="616"/>
      <c r="P976" s="613"/>
      <c r="Q976" s="613"/>
      <c r="R976" s="613"/>
      <c r="S976" s="613"/>
      <c r="T976" s="613"/>
      <c r="U976" s="613"/>
      <c r="V976" s="523"/>
      <c r="W976" s="613"/>
      <c r="X976" s="613"/>
      <c r="Y976" s="613"/>
      <c r="Z976" s="523"/>
      <c r="AA976" s="613"/>
      <c r="AB976" s="523"/>
      <c r="AC976" s="523"/>
    </row>
    <row r="977">
      <c r="A977" s="613"/>
      <c r="B977" s="612"/>
      <c r="C977" s="613"/>
      <c r="D977" s="613"/>
      <c r="E977" s="613"/>
      <c r="F977" s="613"/>
      <c r="G977" s="613"/>
      <c r="H977" s="613"/>
      <c r="I977" s="523"/>
      <c r="J977" s="612"/>
      <c r="K977" s="612"/>
      <c r="L977" s="613"/>
      <c r="M977" s="613"/>
      <c r="N977" s="613"/>
      <c r="O977" s="616"/>
      <c r="P977" s="613"/>
      <c r="Q977" s="613"/>
      <c r="R977" s="613"/>
      <c r="S977" s="613"/>
      <c r="T977" s="613"/>
      <c r="U977" s="613"/>
      <c r="V977" s="523"/>
      <c r="W977" s="613"/>
      <c r="X977" s="613"/>
      <c r="Y977" s="613"/>
      <c r="Z977" s="523"/>
      <c r="AA977" s="613"/>
      <c r="AB977" s="523"/>
      <c r="AC977" s="523"/>
    </row>
    <row r="978">
      <c r="A978" s="613"/>
      <c r="B978" s="612"/>
      <c r="C978" s="613"/>
      <c r="D978" s="613"/>
      <c r="E978" s="613"/>
      <c r="F978" s="613"/>
      <c r="G978" s="613"/>
      <c r="H978" s="613"/>
      <c r="I978" s="523"/>
      <c r="J978" s="612"/>
      <c r="K978" s="612"/>
      <c r="L978" s="613"/>
      <c r="M978" s="613"/>
      <c r="N978" s="613"/>
      <c r="O978" s="616"/>
      <c r="P978" s="613"/>
      <c r="Q978" s="613"/>
      <c r="R978" s="613"/>
      <c r="S978" s="613"/>
      <c r="T978" s="613"/>
      <c r="U978" s="613"/>
      <c r="V978" s="523"/>
      <c r="W978" s="613"/>
      <c r="X978" s="613"/>
      <c r="Y978" s="613"/>
      <c r="Z978" s="523"/>
      <c r="AA978" s="613"/>
      <c r="AB978" s="523"/>
      <c r="AC978" s="523"/>
    </row>
    <row r="979">
      <c r="A979" s="613"/>
      <c r="B979" s="612"/>
      <c r="C979" s="613"/>
      <c r="D979" s="613"/>
      <c r="E979" s="613"/>
      <c r="F979" s="613"/>
      <c r="G979" s="613"/>
      <c r="H979" s="613"/>
      <c r="I979" s="523"/>
      <c r="J979" s="612"/>
      <c r="K979" s="612"/>
      <c r="L979" s="613"/>
      <c r="M979" s="613"/>
      <c r="N979" s="613"/>
      <c r="O979" s="616"/>
      <c r="P979" s="613"/>
      <c r="Q979" s="613"/>
      <c r="R979" s="613"/>
      <c r="S979" s="613"/>
      <c r="T979" s="613"/>
      <c r="U979" s="613"/>
      <c r="V979" s="523"/>
      <c r="W979" s="613"/>
      <c r="X979" s="613"/>
      <c r="Y979" s="613"/>
      <c r="Z979" s="523"/>
      <c r="AA979" s="613"/>
      <c r="AB979" s="523"/>
      <c r="AC979" s="523"/>
    </row>
    <row r="980">
      <c r="A980" s="613"/>
      <c r="B980" s="612"/>
      <c r="C980" s="613"/>
      <c r="D980" s="613"/>
      <c r="E980" s="613"/>
      <c r="F980" s="613"/>
      <c r="G980" s="613"/>
      <c r="H980" s="613"/>
      <c r="I980" s="523"/>
      <c r="J980" s="612"/>
      <c r="K980" s="612"/>
      <c r="L980" s="613"/>
      <c r="M980" s="613"/>
      <c r="N980" s="613"/>
      <c r="O980" s="616"/>
      <c r="P980" s="613"/>
      <c r="Q980" s="613"/>
      <c r="R980" s="613"/>
      <c r="S980" s="613"/>
      <c r="T980" s="613"/>
      <c r="U980" s="613"/>
      <c r="V980" s="523"/>
      <c r="W980" s="613"/>
      <c r="X980" s="613"/>
      <c r="Y980" s="613"/>
      <c r="Z980" s="523"/>
      <c r="AA980" s="613"/>
      <c r="AB980" s="523"/>
      <c r="AC980" s="523"/>
    </row>
    <row r="981">
      <c r="A981" s="613"/>
      <c r="B981" s="612"/>
      <c r="C981" s="613"/>
      <c r="D981" s="613"/>
      <c r="E981" s="613"/>
      <c r="F981" s="613"/>
      <c r="G981" s="613"/>
      <c r="H981" s="613"/>
      <c r="I981" s="523"/>
      <c r="J981" s="612"/>
      <c r="K981" s="612"/>
      <c r="L981" s="613"/>
      <c r="M981" s="613"/>
      <c r="N981" s="613"/>
      <c r="O981" s="616"/>
      <c r="P981" s="613"/>
      <c r="Q981" s="613"/>
      <c r="R981" s="613"/>
      <c r="S981" s="613"/>
      <c r="T981" s="613"/>
      <c r="U981" s="613"/>
      <c r="V981" s="523"/>
      <c r="W981" s="613"/>
      <c r="X981" s="613"/>
      <c r="Y981" s="613"/>
      <c r="Z981" s="523"/>
      <c r="AA981" s="613"/>
      <c r="AB981" s="523"/>
      <c r="AC981" s="523"/>
    </row>
    <row r="982">
      <c r="A982" s="613"/>
      <c r="B982" s="612"/>
      <c r="C982" s="613"/>
      <c r="D982" s="613"/>
      <c r="E982" s="613"/>
      <c r="F982" s="613"/>
      <c r="G982" s="613"/>
      <c r="H982" s="613"/>
      <c r="I982" s="523"/>
      <c r="J982" s="612"/>
      <c r="K982" s="612"/>
      <c r="L982" s="613"/>
      <c r="M982" s="613"/>
      <c r="N982" s="613"/>
      <c r="O982" s="616"/>
      <c r="P982" s="613"/>
      <c r="Q982" s="613"/>
      <c r="R982" s="613"/>
      <c r="S982" s="613"/>
      <c r="T982" s="613"/>
      <c r="U982" s="613"/>
      <c r="V982" s="523"/>
      <c r="W982" s="613"/>
      <c r="X982" s="613"/>
      <c r="Y982" s="613"/>
      <c r="Z982" s="523"/>
      <c r="AA982" s="613"/>
      <c r="AB982" s="523"/>
      <c r="AC982" s="523"/>
    </row>
    <row r="983">
      <c r="A983" s="613"/>
      <c r="B983" s="612"/>
      <c r="C983" s="613"/>
      <c r="D983" s="613"/>
      <c r="E983" s="613"/>
      <c r="F983" s="613"/>
      <c r="G983" s="613"/>
      <c r="H983" s="613"/>
      <c r="I983" s="523"/>
      <c r="J983" s="612"/>
      <c r="K983" s="612"/>
      <c r="L983" s="613"/>
      <c r="M983" s="613"/>
      <c r="N983" s="613"/>
      <c r="O983" s="616"/>
      <c r="P983" s="613"/>
      <c r="Q983" s="613"/>
      <c r="R983" s="613"/>
      <c r="S983" s="613"/>
      <c r="T983" s="613"/>
      <c r="U983" s="613"/>
      <c r="V983" s="523"/>
      <c r="W983" s="613"/>
      <c r="X983" s="613"/>
      <c r="Y983" s="613"/>
      <c r="Z983" s="523"/>
      <c r="AA983" s="613"/>
      <c r="AB983" s="523"/>
      <c r="AC983" s="523"/>
    </row>
    <row r="984">
      <c r="A984" s="613"/>
      <c r="B984" s="612"/>
      <c r="C984" s="613"/>
      <c r="D984" s="613"/>
      <c r="E984" s="613"/>
      <c r="F984" s="613"/>
      <c r="G984" s="613"/>
      <c r="H984" s="613"/>
      <c r="I984" s="523"/>
      <c r="J984" s="612"/>
      <c r="K984" s="612"/>
      <c r="L984" s="613"/>
      <c r="M984" s="613"/>
      <c r="N984" s="613"/>
      <c r="O984" s="616"/>
      <c r="P984" s="613"/>
      <c r="Q984" s="613"/>
      <c r="R984" s="613"/>
      <c r="S984" s="613"/>
      <c r="T984" s="613"/>
      <c r="U984" s="613"/>
      <c r="V984" s="523"/>
      <c r="W984" s="613"/>
      <c r="X984" s="613"/>
      <c r="Y984" s="613"/>
      <c r="Z984" s="523"/>
      <c r="AA984" s="613"/>
      <c r="AB984" s="523"/>
      <c r="AC984" s="523"/>
    </row>
    <row r="985">
      <c r="A985" s="613"/>
      <c r="B985" s="612"/>
      <c r="C985" s="613"/>
      <c r="D985" s="613"/>
      <c r="E985" s="613"/>
      <c r="F985" s="613"/>
      <c r="G985" s="613"/>
      <c r="H985" s="613"/>
      <c r="I985" s="523"/>
      <c r="J985" s="612"/>
      <c r="K985" s="612"/>
      <c r="L985" s="613"/>
      <c r="M985" s="613"/>
      <c r="N985" s="613"/>
      <c r="O985" s="616"/>
      <c r="P985" s="613"/>
      <c r="Q985" s="613"/>
      <c r="R985" s="613"/>
      <c r="S985" s="613"/>
      <c r="T985" s="613"/>
      <c r="U985" s="613"/>
      <c r="V985" s="523"/>
      <c r="W985" s="613"/>
      <c r="X985" s="613"/>
      <c r="Y985" s="613"/>
      <c r="Z985" s="523"/>
      <c r="AA985" s="613"/>
      <c r="AB985" s="523"/>
      <c r="AC985" s="523"/>
    </row>
    <row r="986">
      <c r="A986" s="613"/>
      <c r="B986" s="612"/>
      <c r="C986" s="613"/>
      <c r="D986" s="613"/>
      <c r="E986" s="613"/>
      <c r="F986" s="613"/>
      <c r="G986" s="613"/>
      <c r="H986" s="613"/>
      <c r="I986" s="523"/>
      <c r="J986" s="612"/>
      <c r="K986" s="612"/>
      <c r="L986" s="613"/>
      <c r="M986" s="613"/>
      <c r="N986" s="613"/>
      <c r="O986" s="616"/>
      <c r="P986" s="613"/>
      <c r="Q986" s="613"/>
      <c r="R986" s="613"/>
      <c r="S986" s="613"/>
      <c r="T986" s="613"/>
      <c r="U986" s="613"/>
      <c r="V986" s="523"/>
      <c r="W986" s="613"/>
      <c r="X986" s="613"/>
      <c r="Y986" s="613"/>
      <c r="Z986" s="523"/>
      <c r="AA986" s="613"/>
      <c r="AB986" s="523"/>
      <c r="AC986" s="523"/>
    </row>
    <row r="987">
      <c r="A987" s="613"/>
      <c r="B987" s="612"/>
      <c r="C987" s="613"/>
      <c r="D987" s="613"/>
      <c r="E987" s="613"/>
      <c r="F987" s="613"/>
      <c r="G987" s="613"/>
      <c r="H987" s="613"/>
      <c r="I987" s="523"/>
      <c r="J987" s="612"/>
      <c r="K987" s="612"/>
      <c r="L987" s="613"/>
      <c r="M987" s="613"/>
      <c r="N987" s="613"/>
      <c r="O987" s="616"/>
      <c r="P987" s="613"/>
      <c r="Q987" s="613"/>
      <c r="R987" s="613"/>
      <c r="S987" s="613"/>
      <c r="T987" s="613"/>
      <c r="U987" s="613"/>
      <c r="V987" s="523"/>
      <c r="W987" s="613"/>
      <c r="X987" s="613"/>
      <c r="Y987" s="613"/>
      <c r="Z987" s="523"/>
      <c r="AA987" s="613"/>
      <c r="AB987" s="523"/>
      <c r="AC987" s="523"/>
    </row>
    <row r="988">
      <c r="A988" s="613"/>
      <c r="B988" s="612"/>
      <c r="C988" s="613"/>
      <c r="D988" s="613"/>
      <c r="E988" s="613"/>
      <c r="F988" s="613"/>
      <c r="G988" s="613"/>
      <c r="H988" s="613"/>
      <c r="I988" s="523"/>
      <c r="J988" s="612"/>
      <c r="K988" s="612"/>
      <c r="L988" s="613"/>
      <c r="M988" s="613"/>
      <c r="N988" s="613"/>
      <c r="O988" s="616"/>
      <c r="P988" s="613"/>
      <c r="Q988" s="613"/>
      <c r="R988" s="613"/>
      <c r="S988" s="613"/>
      <c r="T988" s="613"/>
      <c r="U988" s="613"/>
      <c r="V988" s="523"/>
      <c r="W988" s="613"/>
      <c r="X988" s="613"/>
      <c r="Y988" s="613"/>
      <c r="Z988" s="523"/>
      <c r="AA988" s="613"/>
      <c r="AB988" s="523"/>
      <c r="AC988" s="523"/>
    </row>
    <row r="989">
      <c r="A989" s="613"/>
      <c r="B989" s="612"/>
      <c r="C989" s="613"/>
      <c r="D989" s="613"/>
      <c r="E989" s="613"/>
      <c r="F989" s="613"/>
      <c r="G989" s="613"/>
      <c r="H989" s="613"/>
      <c r="I989" s="523"/>
      <c r="J989" s="612"/>
      <c r="K989" s="612"/>
      <c r="L989" s="613"/>
      <c r="M989" s="613"/>
      <c r="N989" s="613"/>
      <c r="O989" s="616"/>
      <c r="P989" s="613"/>
      <c r="Q989" s="613"/>
      <c r="R989" s="613"/>
      <c r="S989" s="613"/>
      <c r="T989" s="613"/>
      <c r="U989" s="613"/>
      <c r="V989" s="523"/>
      <c r="W989" s="613"/>
      <c r="X989" s="613"/>
      <c r="Y989" s="613"/>
      <c r="Z989" s="523"/>
      <c r="AA989" s="613"/>
      <c r="AB989" s="523"/>
      <c r="AC989" s="523"/>
    </row>
    <row r="990">
      <c r="A990" s="613"/>
      <c r="B990" s="612"/>
      <c r="C990" s="613"/>
      <c r="D990" s="613"/>
      <c r="E990" s="613"/>
      <c r="F990" s="613"/>
      <c r="G990" s="613"/>
      <c r="H990" s="613"/>
      <c r="I990" s="523"/>
      <c r="J990" s="612"/>
      <c r="K990" s="612"/>
      <c r="L990" s="613"/>
      <c r="M990" s="613"/>
      <c r="N990" s="613"/>
      <c r="O990" s="616"/>
      <c r="P990" s="613"/>
      <c r="Q990" s="613"/>
      <c r="R990" s="613"/>
      <c r="S990" s="613"/>
      <c r="T990" s="613"/>
      <c r="U990" s="613"/>
      <c r="V990" s="523"/>
      <c r="W990" s="613"/>
      <c r="X990" s="613"/>
      <c r="Y990" s="613"/>
      <c r="Z990" s="523"/>
      <c r="AA990" s="613"/>
      <c r="AB990" s="523"/>
      <c r="AC990" s="523"/>
    </row>
    <row r="991">
      <c r="A991" s="613"/>
      <c r="B991" s="612"/>
      <c r="C991" s="613"/>
      <c r="D991" s="613"/>
      <c r="E991" s="613"/>
      <c r="F991" s="613"/>
      <c r="G991" s="613"/>
      <c r="H991" s="613"/>
      <c r="I991" s="523"/>
      <c r="J991" s="612"/>
      <c r="K991" s="612"/>
      <c r="L991" s="613"/>
      <c r="M991" s="613"/>
      <c r="N991" s="613"/>
      <c r="O991" s="616"/>
      <c r="P991" s="613"/>
      <c r="Q991" s="613"/>
      <c r="R991" s="613"/>
      <c r="S991" s="613"/>
      <c r="T991" s="613"/>
      <c r="U991" s="613"/>
      <c r="V991" s="523"/>
      <c r="W991" s="613"/>
      <c r="X991" s="613"/>
      <c r="Y991" s="613"/>
      <c r="Z991" s="523"/>
      <c r="AA991" s="613"/>
      <c r="AB991" s="523"/>
      <c r="AC991" s="523"/>
    </row>
    <row r="992">
      <c r="A992" s="613"/>
      <c r="B992" s="612"/>
      <c r="C992" s="613"/>
      <c r="D992" s="613"/>
      <c r="E992" s="613"/>
      <c r="F992" s="613"/>
      <c r="G992" s="613"/>
      <c r="H992" s="613"/>
      <c r="I992" s="523"/>
      <c r="J992" s="612"/>
      <c r="K992" s="612"/>
      <c r="L992" s="613"/>
      <c r="M992" s="613"/>
      <c r="N992" s="613"/>
      <c r="O992" s="616"/>
      <c r="P992" s="613"/>
      <c r="Q992" s="613"/>
      <c r="R992" s="613"/>
      <c r="S992" s="613"/>
      <c r="T992" s="613"/>
      <c r="U992" s="613"/>
      <c r="V992" s="523"/>
      <c r="W992" s="613"/>
      <c r="X992" s="613"/>
      <c r="Y992" s="613"/>
      <c r="Z992" s="523"/>
      <c r="AA992" s="613"/>
      <c r="AB992" s="523"/>
      <c r="AC992" s="523"/>
    </row>
    <row r="993">
      <c r="A993" s="613"/>
      <c r="B993" s="612"/>
      <c r="C993" s="613"/>
      <c r="D993" s="613"/>
      <c r="E993" s="613"/>
      <c r="F993" s="613"/>
      <c r="G993" s="613"/>
      <c r="H993" s="613"/>
      <c r="I993" s="523"/>
      <c r="J993" s="612"/>
      <c r="K993" s="612"/>
      <c r="L993" s="613"/>
      <c r="M993" s="613"/>
      <c r="N993" s="613"/>
      <c r="O993" s="616"/>
      <c r="P993" s="613"/>
      <c r="Q993" s="613"/>
      <c r="R993" s="613"/>
      <c r="S993" s="613"/>
      <c r="T993" s="613"/>
      <c r="U993" s="613"/>
      <c r="V993" s="523"/>
      <c r="W993" s="613"/>
      <c r="X993" s="613"/>
      <c r="Y993" s="613"/>
      <c r="Z993" s="523"/>
      <c r="AA993" s="613"/>
      <c r="AB993" s="523"/>
      <c r="AC993" s="523"/>
    </row>
    <row r="994">
      <c r="A994" s="613"/>
      <c r="B994" s="612"/>
      <c r="C994" s="613"/>
      <c r="D994" s="613"/>
      <c r="E994" s="613"/>
      <c r="F994" s="613"/>
      <c r="G994" s="613"/>
      <c r="H994" s="613"/>
      <c r="I994" s="523"/>
      <c r="J994" s="612"/>
      <c r="K994" s="612"/>
      <c r="L994" s="613"/>
      <c r="M994" s="613"/>
      <c r="N994" s="613"/>
      <c r="O994" s="616"/>
      <c r="P994" s="613"/>
      <c r="Q994" s="613"/>
      <c r="R994" s="613"/>
      <c r="S994" s="613"/>
      <c r="T994" s="613"/>
      <c r="U994" s="613"/>
      <c r="V994" s="523"/>
      <c r="W994" s="613"/>
      <c r="X994" s="613"/>
      <c r="Y994" s="613"/>
      <c r="Z994" s="523"/>
      <c r="AA994" s="613"/>
      <c r="AB994" s="523"/>
      <c r="AC994" s="523"/>
    </row>
    <row r="995">
      <c r="A995" s="613"/>
      <c r="B995" s="612"/>
      <c r="C995" s="613"/>
      <c r="D995" s="613"/>
      <c r="E995" s="613"/>
      <c r="F995" s="613"/>
      <c r="G995" s="613"/>
      <c r="H995" s="613"/>
      <c r="I995" s="523"/>
      <c r="J995" s="612"/>
      <c r="K995" s="612"/>
      <c r="L995" s="613"/>
      <c r="M995" s="613"/>
      <c r="N995" s="613"/>
      <c r="O995" s="616"/>
      <c r="P995" s="613"/>
      <c r="Q995" s="613"/>
      <c r="R995" s="613"/>
      <c r="S995" s="613"/>
      <c r="T995" s="613"/>
      <c r="U995" s="613"/>
      <c r="V995" s="523"/>
      <c r="W995" s="613"/>
      <c r="X995" s="613"/>
      <c r="Y995" s="613"/>
      <c r="Z995" s="523"/>
      <c r="AA995" s="613"/>
      <c r="AB995" s="523"/>
      <c r="AC995" s="523"/>
    </row>
    <row r="996">
      <c r="A996" s="613"/>
      <c r="B996" s="612"/>
      <c r="C996" s="613"/>
      <c r="D996" s="613"/>
      <c r="E996" s="613"/>
      <c r="F996" s="613"/>
      <c r="G996" s="613"/>
      <c r="H996" s="613"/>
      <c r="I996" s="523"/>
      <c r="J996" s="612"/>
      <c r="K996" s="612"/>
      <c r="L996" s="613"/>
      <c r="M996" s="613"/>
      <c r="N996" s="613"/>
      <c r="O996" s="616"/>
      <c r="P996" s="613"/>
      <c r="Q996" s="613"/>
      <c r="R996" s="613"/>
      <c r="S996" s="613"/>
      <c r="T996" s="613"/>
      <c r="U996" s="613"/>
      <c r="V996" s="523"/>
      <c r="W996" s="613"/>
      <c r="X996" s="613"/>
      <c r="Y996" s="613"/>
      <c r="Z996" s="523"/>
      <c r="AA996" s="613"/>
      <c r="AB996" s="523"/>
      <c r="AC996" s="523"/>
    </row>
    <row r="997">
      <c r="A997" s="613"/>
      <c r="B997" s="612"/>
      <c r="C997" s="613"/>
      <c r="D997" s="613"/>
      <c r="E997" s="613"/>
      <c r="F997" s="613"/>
      <c r="G997" s="613"/>
      <c r="H997" s="613"/>
      <c r="I997" s="523"/>
      <c r="J997" s="612"/>
      <c r="K997" s="612"/>
      <c r="L997" s="613"/>
      <c r="M997" s="613"/>
      <c r="N997" s="613"/>
      <c r="O997" s="616"/>
      <c r="P997" s="613"/>
      <c r="Q997" s="613"/>
      <c r="R997" s="613"/>
      <c r="S997" s="613"/>
      <c r="T997" s="613"/>
      <c r="U997" s="613"/>
      <c r="V997" s="523"/>
      <c r="W997" s="613"/>
      <c r="X997" s="613"/>
      <c r="Y997" s="613"/>
      <c r="Z997" s="523"/>
      <c r="AA997" s="613"/>
      <c r="AB997" s="523"/>
      <c r="AC997" s="523"/>
    </row>
    <row r="998">
      <c r="A998" s="613"/>
      <c r="B998" s="612"/>
      <c r="C998" s="613"/>
      <c r="D998" s="613"/>
      <c r="E998" s="613"/>
      <c r="F998" s="613"/>
      <c r="G998" s="613"/>
      <c r="H998" s="613"/>
      <c r="I998" s="523"/>
      <c r="J998" s="612"/>
      <c r="K998" s="612"/>
      <c r="L998" s="613"/>
      <c r="M998" s="613"/>
      <c r="N998" s="613"/>
      <c r="O998" s="616"/>
      <c r="P998" s="613"/>
      <c r="Q998" s="613"/>
      <c r="R998" s="613"/>
      <c r="S998" s="613"/>
      <c r="T998" s="613"/>
      <c r="U998" s="613"/>
      <c r="V998" s="523"/>
      <c r="W998" s="613"/>
      <c r="X998" s="613"/>
      <c r="Y998" s="613"/>
      <c r="Z998" s="523"/>
      <c r="AA998" s="613"/>
      <c r="AB998" s="523"/>
      <c r="AC998" s="523"/>
    </row>
    <row r="999">
      <c r="A999" s="613"/>
      <c r="B999" s="612"/>
      <c r="C999" s="613"/>
      <c r="D999" s="613"/>
      <c r="E999" s="613"/>
      <c r="F999" s="613"/>
      <c r="G999" s="613"/>
      <c r="H999" s="613"/>
      <c r="I999" s="523"/>
      <c r="J999" s="612"/>
      <c r="K999" s="612"/>
      <c r="L999" s="613"/>
      <c r="M999" s="613"/>
      <c r="N999" s="613"/>
      <c r="O999" s="616"/>
      <c r="P999" s="613"/>
      <c r="Q999" s="613"/>
      <c r="R999" s="613"/>
      <c r="S999" s="613"/>
      <c r="T999" s="613"/>
      <c r="U999" s="613"/>
      <c r="V999" s="523"/>
      <c r="W999" s="613"/>
      <c r="X999" s="613"/>
      <c r="Y999" s="613"/>
      <c r="Z999" s="523"/>
      <c r="AA999" s="613"/>
      <c r="AB999" s="523"/>
      <c r="AC999" s="523"/>
    </row>
    <row r="1000">
      <c r="A1000" s="613"/>
      <c r="B1000" s="612"/>
      <c r="C1000" s="613"/>
      <c r="D1000" s="613"/>
      <c r="E1000" s="613"/>
      <c r="F1000" s="613"/>
      <c r="G1000" s="613"/>
      <c r="H1000" s="613"/>
      <c r="I1000" s="523"/>
      <c r="J1000" s="612"/>
      <c r="K1000" s="612"/>
      <c r="L1000" s="613"/>
      <c r="M1000" s="613"/>
      <c r="N1000" s="613"/>
      <c r="O1000" s="616"/>
      <c r="P1000" s="613"/>
      <c r="Q1000" s="613"/>
      <c r="R1000" s="613"/>
      <c r="S1000" s="613"/>
      <c r="T1000" s="613"/>
      <c r="U1000" s="613"/>
      <c r="V1000" s="523"/>
      <c r="W1000" s="613"/>
      <c r="X1000" s="613"/>
      <c r="Y1000" s="613"/>
      <c r="Z1000" s="523"/>
      <c r="AA1000" s="613"/>
      <c r="AB1000" s="523"/>
      <c r="AC1000" s="523"/>
    </row>
    <row r="1001">
      <c r="A1001" s="613"/>
      <c r="B1001" s="612"/>
      <c r="C1001" s="613"/>
      <c r="D1001" s="613"/>
      <c r="E1001" s="613"/>
      <c r="F1001" s="613"/>
      <c r="G1001" s="613"/>
      <c r="H1001" s="613"/>
      <c r="I1001" s="523"/>
      <c r="J1001" s="612"/>
      <c r="K1001" s="612"/>
      <c r="L1001" s="613"/>
      <c r="M1001" s="613"/>
      <c r="N1001" s="613"/>
      <c r="O1001" s="616"/>
      <c r="P1001" s="613"/>
      <c r="Q1001" s="613"/>
      <c r="R1001" s="613"/>
      <c r="S1001" s="613"/>
      <c r="T1001" s="613"/>
      <c r="U1001" s="613"/>
      <c r="V1001" s="523"/>
      <c r="W1001" s="613"/>
      <c r="X1001" s="613"/>
      <c r="Y1001" s="613"/>
      <c r="Z1001" s="523"/>
      <c r="AA1001" s="613"/>
      <c r="AB1001" s="523"/>
      <c r="AC1001" s="523"/>
    </row>
    <row r="1002">
      <c r="A1002" s="613"/>
      <c r="B1002" s="612"/>
      <c r="C1002" s="613"/>
      <c r="D1002" s="613"/>
      <c r="E1002" s="613"/>
      <c r="F1002" s="613"/>
      <c r="G1002" s="613"/>
      <c r="H1002" s="613"/>
      <c r="I1002" s="523"/>
      <c r="J1002" s="612"/>
      <c r="K1002" s="612"/>
      <c r="L1002" s="613"/>
      <c r="M1002" s="613"/>
      <c r="N1002" s="613"/>
      <c r="O1002" s="616"/>
      <c r="P1002" s="613"/>
      <c r="Q1002" s="613"/>
      <c r="R1002" s="613"/>
      <c r="S1002" s="613"/>
      <c r="T1002" s="613"/>
      <c r="U1002" s="613"/>
      <c r="V1002" s="523"/>
      <c r="W1002" s="613"/>
      <c r="X1002" s="613"/>
      <c r="Y1002" s="613"/>
      <c r="Z1002" s="523"/>
      <c r="AA1002" s="613"/>
      <c r="AB1002" s="523"/>
      <c r="AC1002" s="523"/>
    </row>
    <row r="1003">
      <c r="A1003" s="613"/>
      <c r="B1003" s="612"/>
      <c r="C1003" s="613"/>
      <c r="D1003" s="613"/>
      <c r="E1003" s="613"/>
      <c r="F1003" s="613"/>
      <c r="G1003" s="613"/>
      <c r="H1003" s="613"/>
      <c r="I1003" s="523"/>
      <c r="J1003" s="612"/>
      <c r="K1003" s="612"/>
      <c r="L1003" s="613"/>
      <c r="M1003" s="613"/>
      <c r="N1003" s="613"/>
      <c r="O1003" s="616"/>
      <c r="P1003" s="613"/>
      <c r="Q1003" s="613"/>
      <c r="R1003" s="613"/>
      <c r="S1003" s="613"/>
      <c r="T1003" s="613"/>
      <c r="U1003" s="613"/>
      <c r="V1003" s="523"/>
      <c r="W1003" s="613"/>
      <c r="X1003" s="613"/>
      <c r="Y1003" s="613"/>
      <c r="Z1003" s="523"/>
      <c r="AA1003" s="613"/>
      <c r="AB1003" s="523"/>
      <c r="AC1003" s="523"/>
    </row>
    <row r="1004">
      <c r="A1004" s="613"/>
      <c r="B1004" s="612"/>
      <c r="C1004" s="613"/>
      <c r="D1004" s="613"/>
      <c r="E1004" s="613"/>
      <c r="F1004" s="613"/>
      <c r="G1004" s="613"/>
      <c r="H1004" s="613"/>
      <c r="I1004" s="523"/>
      <c r="J1004" s="612"/>
      <c r="K1004" s="612"/>
      <c r="L1004" s="613"/>
      <c r="M1004" s="613"/>
      <c r="N1004" s="613"/>
      <c r="O1004" s="616"/>
      <c r="P1004" s="613"/>
      <c r="Q1004" s="613"/>
      <c r="R1004" s="613"/>
      <c r="S1004" s="613"/>
      <c r="T1004" s="613"/>
      <c r="U1004" s="613"/>
      <c r="V1004" s="523"/>
      <c r="W1004" s="613"/>
      <c r="X1004" s="613"/>
      <c r="Y1004" s="613"/>
      <c r="Z1004" s="523"/>
      <c r="AA1004" s="613"/>
      <c r="AB1004" s="523"/>
      <c r="AC1004" s="523"/>
    </row>
    <row r="1005">
      <c r="A1005" s="613"/>
      <c r="B1005" s="612"/>
      <c r="C1005" s="613"/>
      <c r="D1005" s="613"/>
      <c r="E1005" s="613"/>
      <c r="F1005" s="613"/>
      <c r="G1005" s="613"/>
      <c r="H1005" s="613"/>
      <c r="I1005" s="523"/>
      <c r="J1005" s="612"/>
      <c r="K1005" s="612"/>
      <c r="L1005" s="613"/>
      <c r="M1005" s="613"/>
      <c r="N1005" s="613"/>
      <c r="O1005" s="616"/>
      <c r="P1005" s="613"/>
      <c r="Q1005" s="613"/>
      <c r="R1005" s="613"/>
      <c r="S1005" s="613"/>
      <c r="T1005" s="613"/>
      <c r="U1005" s="613"/>
      <c r="V1005" s="523"/>
      <c r="W1005" s="613"/>
      <c r="X1005" s="613"/>
      <c r="Y1005" s="613"/>
      <c r="Z1005" s="523"/>
      <c r="AA1005" s="613"/>
      <c r="AB1005" s="523"/>
      <c r="AC1005" s="523"/>
    </row>
    <row r="1006">
      <c r="A1006" s="613"/>
      <c r="B1006" s="612"/>
      <c r="C1006" s="613"/>
      <c r="D1006" s="613"/>
      <c r="E1006" s="613"/>
      <c r="F1006" s="613"/>
      <c r="G1006" s="613"/>
      <c r="H1006" s="613"/>
      <c r="I1006" s="523"/>
      <c r="J1006" s="612"/>
      <c r="K1006" s="612"/>
      <c r="L1006" s="613"/>
      <c r="M1006" s="613"/>
      <c r="N1006" s="613"/>
      <c r="O1006" s="616"/>
      <c r="P1006" s="613"/>
      <c r="Q1006" s="613"/>
      <c r="R1006" s="613"/>
      <c r="S1006" s="613"/>
      <c r="T1006" s="613"/>
      <c r="U1006" s="613"/>
      <c r="V1006" s="523"/>
      <c r="W1006" s="613"/>
      <c r="X1006" s="613"/>
      <c r="Y1006" s="613"/>
      <c r="Z1006" s="523"/>
      <c r="AA1006" s="613"/>
      <c r="AB1006" s="523"/>
      <c r="AC1006" s="523"/>
    </row>
    <row r="1007">
      <c r="A1007" s="613"/>
      <c r="B1007" s="612"/>
      <c r="C1007" s="613"/>
      <c r="D1007" s="613"/>
      <c r="E1007" s="613"/>
      <c r="F1007" s="613"/>
      <c r="G1007" s="613"/>
      <c r="H1007" s="613"/>
      <c r="I1007" s="523"/>
      <c r="J1007" s="612"/>
      <c r="K1007" s="612"/>
      <c r="L1007" s="613"/>
      <c r="M1007" s="613"/>
      <c r="N1007" s="613"/>
      <c r="O1007" s="616"/>
      <c r="P1007" s="613"/>
      <c r="Q1007" s="613"/>
      <c r="R1007" s="613"/>
      <c r="S1007" s="613"/>
      <c r="T1007" s="613"/>
      <c r="U1007" s="613"/>
      <c r="V1007" s="523"/>
      <c r="W1007" s="613"/>
      <c r="X1007" s="613"/>
      <c r="Y1007" s="613"/>
      <c r="Z1007" s="523"/>
      <c r="AA1007" s="613"/>
      <c r="AB1007" s="523"/>
      <c r="AC1007" s="523"/>
    </row>
    <row r="1008">
      <c r="A1008" s="613"/>
      <c r="B1008" s="612"/>
      <c r="C1008" s="613"/>
      <c r="D1008" s="613"/>
      <c r="E1008" s="613"/>
      <c r="F1008" s="613"/>
      <c r="G1008" s="613"/>
      <c r="H1008" s="613"/>
      <c r="I1008" s="523"/>
      <c r="J1008" s="612"/>
      <c r="K1008" s="612"/>
      <c r="L1008" s="613"/>
      <c r="M1008" s="613"/>
      <c r="N1008" s="613"/>
      <c r="O1008" s="616"/>
      <c r="P1008" s="613"/>
      <c r="Q1008" s="613"/>
      <c r="R1008" s="613"/>
      <c r="S1008" s="613"/>
      <c r="T1008" s="613"/>
      <c r="U1008" s="613"/>
      <c r="V1008" s="523"/>
      <c r="W1008" s="613"/>
      <c r="X1008" s="613"/>
      <c r="Y1008" s="613"/>
      <c r="Z1008" s="523"/>
      <c r="AA1008" s="613"/>
      <c r="AB1008" s="523"/>
      <c r="AC1008" s="523"/>
    </row>
    <row r="1009">
      <c r="A1009" s="613"/>
      <c r="B1009" s="612"/>
      <c r="C1009" s="613"/>
      <c r="D1009" s="613"/>
      <c r="E1009" s="613"/>
      <c r="F1009" s="613"/>
      <c r="G1009" s="613"/>
      <c r="H1009" s="613"/>
      <c r="I1009" s="523"/>
      <c r="J1009" s="612"/>
      <c r="K1009" s="612"/>
      <c r="L1009" s="613"/>
      <c r="M1009" s="613"/>
      <c r="N1009" s="613"/>
      <c r="O1009" s="616"/>
      <c r="P1009" s="613"/>
      <c r="Q1009" s="613"/>
      <c r="R1009" s="613"/>
      <c r="S1009" s="613"/>
      <c r="T1009" s="613"/>
      <c r="U1009" s="613"/>
      <c r="V1009" s="523"/>
      <c r="W1009" s="613"/>
      <c r="X1009" s="613"/>
      <c r="Y1009" s="613"/>
      <c r="Z1009" s="523"/>
      <c r="AA1009" s="613"/>
      <c r="AB1009" s="523"/>
      <c r="AC1009" s="523"/>
    </row>
    <row r="1010">
      <c r="A1010" s="613"/>
      <c r="B1010" s="612"/>
      <c r="C1010" s="613"/>
      <c r="D1010" s="613"/>
      <c r="E1010" s="613"/>
      <c r="F1010" s="613"/>
      <c r="G1010" s="613"/>
      <c r="H1010" s="613"/>
      <c r="I1010" s="523"/>
      <c r="J1010" s="612"/>
      <c r="K1010" s="612"/>
      <c r="L1010" s="613"/>
      <c r="M1010" s="613"/>
      <c r="N1010" s="613"/>
      <c r="O1010" s="616"/>
      <c r="P1010" s="613"/>
      <c r="Q1010" s="613"/>
      <c r="R1010" s="613"/>
      <c r="S1010" s="613"/>
      <c r="T1010" s="613"/>
      <c r="U1010" s="613"/>
      <c r="V1010" s="523"/>
      <c r="W1010" s="613"/>
      <c r="X1010" s="613"/>
      <c r="Y1010" s="613"/>
      <c r="Z1010" s="523"/>
      <c r="AA1010" s="613"/>
      <c r="AB1010" s="523"/>
      <c r="AC1010" s="523"/>
    </row>
    <row r="1011">
      <c r="A1011" s="613"/>
      <c r="B1011" s="612"/>
      <c r="C1011" s="613"/>
      <c r="D1011" s="613"/>
      <c r="E1011" s="613"/>
      <c r="F1011" s="613"/>
      <c r="G1011" s="613"/>
      <c r="H1011" s="613"/>
      <c r="I1011" s="523"/>
      <c r="J1011" s="612"/>
      <c r="K1011" s="612"/>
      <c r="L1011" s="613"/>
      <c r="M1011" s="613"/>
      <c r="N1011" s="613"/>
      <c r="O1011" s="616"/>
      <c r="P1011" s="613"/>
      <c r="Q1011" s="613"/>
      <c r="R1011" s="613"/>
      <c r="S1011" s="613"/>
      <c r="T1011" s="613"/>
      <c r="U1011" s="613"/>
      <c r="V1011" s="523"/>
      <c r="W1011" s="613"/>
      <c r="X1011" s="613"/>
      <c r="Y1011" s="613"/>
      <c r="Z1011" s="523"/>
      <c r="AA1011" s="613"/>
      <c r="AB1011" s="523"/>
      <c r="AC1011" s="523"/>
    </row>
    <row r="1012">
      <c r="A1012" s="613"/>
      <c r="B1012" s="612"/>
      <c r="C1012" s="613"/>
      <c r="D1012" s="613"/>
      <c r="E1012" s="613"/>
      <c r="F1012" s="613"/>
      <c r="G1012" s="613"/>
      <c r="H1012" s="613"/>
      <c r="I1012" s="523"/>
      <c r="J1012" s="612"/>
      <c r="K1012" s="612"/>
      <c r="L1012" s="613"/>
      <c r="M1012" s="613"/>
      <c r="N1012" s="613"/>
      <c r="O1012" s="616"/>
      <c r="P1012" s="613"/>
      <c r="Q1012" s="613"/>
      <c r="R1012" s="613"/>
      <c r="S1012" s="613"/>
      <c r="T1012" s="613"/>
      <c r="U1012" s="613"/>
      <c r="V1012" s="523"/>
      <c r="W1012" s="613"/>
      <c r="X1012" s="613"/>
      <c r="Y1012" s="613"/>
      <c r="Z1012" s="523"/>
      <c r="AA1012" s="613"/>
      <c r="AB1012" s="523"/>
      <c r="AC1012" s="523"/>
    </row>
    <row r="1013">
      <c r="A1013" s="613"/>
      <c r="B1013" s="612"/>
      <c r="C1013" s="613"/>
      <c r="D1013" s="613"/>
      <c r="E1013" s="613"/>
      <c r="F1013" s="613"/>
      <c r="G1013" s="613"/>
      <c r="H1013" s="613"/>
      <c r="I1013" s="523"/>
      <c r="J1013" s="612"/>
      <c r="K1013" s="612"/>
      <c r="L1013" s="613"/>
      <c r="M1013" s="613"/>
      <c r="N1013" s="613"/>
      <c r="O1013" s="616"/>
      <c r="P1013" s="613"/>
      <c r="Q1013" s="613"/>
      <c r="R1013" s="613"/>
      <c r="S1013" s="613"/>
      <c r="T1013" s="613"/>
      <c r="U1013" s="613"/>
      <c r="V1013" s="523"/>
      <c r="W1013" s="613"/>
      <c r="X1013" s="613"/>
      <c r="Y1013" s="613"/>
      <c r="Z1013" s="523"/>
      <c r="AA1013" s="613"/>
      <c r="AB1013" s="523"/>
      <c r="AC1013" s="523"/>
    </row>
    <row r="1014">
      <c r="A1014" s="613"/>
      <c r="B1014" s="612"/>
      <c r="C1014" s="613"/>
      <c r="D1014" s="613"/>
      <c r="E1014" s="613"/>
      <c r="F1014" s="613"/>
      <c r="G1014" s="613"/>
      <c r="H1014" s="613"/>
      <c r="I1014" s="523"/>
      <c r="J1014" s="612"/>
      <c r="K1014" s="612"/>
      <c r="L1014" s="613"/>
      <c r="M1014" s="613"/>
      <c r="N1014" s="613"/>
      <c r="O1014" s="616"/>
      <c r="P1014" s="613"/>
      <c r="Q1014" s="613"/>
      <c r="R1014" s="613"/>
      <c r="S1014" s="613"/>
      <c r="T1014" s="613"/>
      <c r="U1014" s="613"/>
      <c r="V1014" s="523"/>
      <c r="W1014" s="613"/>
      <c r="X1014" s="613"/>
      <c r="Y1014" s="613"/>
      <c r="Z1014" s="523"/>
      <c r="AA1014" s="613"/>
      <c r="AB1014" s="523"/>
      <c r="AC1014" s="523"/>
    </row>
    <row r="1015">
      <c r="A1015" s="613"/>
      <c r="B1015" s="612"/>
      <c r="C1015" s="613"/>
      <c r="D1015" s="613"/>
      <c r="E1015" s="613"/>
      <c r="F1015" s="613"/>
      <c r="G1015" s="613"/>
      <c r="H1015" s="613"/>
      <c r="I1015" s="523"/>
      <c r="J1015" s="612"/>
      <c r="K1015" s="612"/>
      <c r="L1015" s="613"/>
      <c r="M1015" s="613"/>
      <c r="N1015" s="613"/>
      <c r="O1015" s="616"/>
      <c r="P1015" s="613"/>
      <c r="Q1015" s="613"/>
      <c r="R1015" s="613"/>
      <c r="S1015" s="613"/>
      <c r="T1015" s="613"/>
      <c r="U1015" s="613"/>
      <c r="V1015" s="523"/>
      <c r="W1015" s="613"/>
      <c r="X1015" s="613"/>
      <c r="Y1015" s="613"/>
      <c r="Z1015" s="523"/>
      <c r="AA1015" s="613"/>
      <c r="AB1015" s="523"/>
      <c r="AC1015" s="523"/>
    </row>
    <row r="1016">
      <c r="A1016" s="613"/>
      <c r="B1016" s="612"/>
      <c r="C1016" s="613"/>
      <c r="D1016" s="613"/>
      <c r="E1016" s="613"/>
      <c r="F1016" s="613"/>
      <c r="G1016" s="613"/>
      <c r="H1016" s="613"/>
      <c r="I1016" s="523"/>
      <c r="J1016" s="612"/>
      <c r="K1016" s="612"/>
      <c r="L1016" s="613"/>
      <c r="M1016" s="613"/>
      <c r="N1016" s="613"/>
      <c r="O1016" s="616"/>
      <c r="P1016" s="613"/>
      <c r="Q1016" s="613"/>
      <c r="R1016" s="613"/>
      <c r="S1016" s="613"/>
      <c r="T1016" s="613"/>
      <c r="U1016" s="613"/>
      <c r="V1016" s="523"/>
      <c r="W1016" s="613"/>
      <c r="X1016" s="613"/>
      <c r="Y1016" s="613"/>
      <c r="Z1016" s="523"/>
      <c r="AA1016" s="613"/>
      <c r="AB1016" s="523"/>
      <c r="AC1016" s="523"/>
    </row>
    <row r="1017">
      <c r="A1017" s="613"/>
      <c r="B1017" s="612"/>
      <c r="C1017" s="613"/>
      <c r="D1017" s="613"/>
      <c r="E1017" s="613"/>
      <c r="F1017" s="613"/>
      <c r="G1017" s="613"/>
      <c r="H1017" s="613"/>
      <c r="I1017" s="523"/>
      <c r="J1017" s="612"/>
      <c r="K1017" s="612"/>
      <c r="L1017" s="613"/>
      <c r="M1017" s="613"/>
      <c r="N1017" s="613"/>
      <c r="O1017" s="616"/>
      <c r="P1017" s="613"/>
      <c r="Q1017" s="613"/>
      <c r="R1017" s="613"/>
      <c r="S1017" s="613"/>
      <c r="T1017" s="613"/>
      <c r="U1017" s="613"/>
      <c r="V1017" s="523"/>
      <c r="W1017" s="613"/>
      <c r="X1017" s="613"/>
      <c r="Y1017" s="613"/>
      <c r="Z1017" s="523"/>
      <c r="AA1017" s="613"/>
      <c r="AB1017" s="523"/>
      <c r="AC1017" s="523"/>
    </row>
    <row r="1018">
      <c r="A1018" s="613"/>
      <c r="B1018" s="612"/>
      <c r="C1018" s="613"/>
      <c r="D1018" s="613"/>
      <c r="E1018" s="613"/>
      <c r="F1018" s="613"/>
      <c r="G1018" s="613"/>
      <c r="H1018" s="613"/>
      <c r="I1018" s="523"/>
      <c r="J1018" s="612"/>
      <c r="K1018" s="612"/>
      <c r="L1018" s="613"/>
      <c r="M1018" s="613"/>
      <c r="N1018" s="613"/>
      <c r="O1018" s="616"/>
      <c r="P1018" s="613"/>
      <c r="Q1018" s="613"/>
      <c r="R1018" s="613"/>
      <c r="S1018" s="613"/>
      <c r="T1018" s="613"/>
      <c r="U1018" s="613"/>
      <c r="V1018" s="523"/>
      <c r="W1018" s="613"/>
      <c r="X1018" s="613"/>
      <c r="Y1018" s="613"/>
      <c r="Z1018" s="523"/>
      <c r="AA1018" s="613"/>
      <c r="AB1018" s="523"/>
      <c r="AC1018" s="523"/>
    </row>
    <row r="1019">
      <c r="A1019" s="613"/>
      <c r="B1019" s="612"/>
      <c r="C1019" s="613"/>
      <c r="D1019" s="613"/>
      <c r="E1019" s="613"/>
      <c r="F1019" s="613"/>
      <c r="G1019" s="613"/>
      <c r="H1019" s="613"/>
      <c r="I1019" s="523"/>
      <c r="J1019" s="612"/>
      <c r="K1019" s="612"/>
      <c r="L1019" s="613"/>
      <c r="M1019" s="613"/>
      <c r="N1019" s="613"/>
      <c r="O1019" s="616"/>
      <c r="P1019" s="613"/>
      <c r="Q1019" s="613"/>
      <c r="R1019" s="613"/>
      <c r="S1019" s="613"/>
      <c r="T1019" s="613"/>
      <c r="U1019" s="613"/>
      <c r="V1019" s="523"/>
      <c r="W1019" s="613"/>
      <c r="X1019" s="613"/>
      <c r="Y1019" s="613"/>
      <c r="Z1019" s="523"/>
      <c r="AA1019" s="613"/>
      <c r="AB1019" s="523"/>
      <c r="AC1019" s="523"/>
    </row>
    <row r="1020">
      <c r="A1020" s="613"/>
      <c r="B1020" s="612"/>
      <c r="C1020" s="613"/>
      <c r="D1020" s="613"/>
      <c r="E1020" s="613"/>
      <c r="F1020" s="613"/>
      <c r="G1020" s="613"/>
      <c r="H1020" s="613"/>
      <c r="I1020" s="523"/>
      <c r="J1020" s="612"/>
      <c r="K1020" s="612"/>
      <c r="L1020" s="613"/>
      <c r="M1020" s="613"/>
      <c r="N1020" s="613"/>
      <c r="O1020" s="616"/>
      <c r="P1020" s="613"/>
      <c r="Q1020" s="613"/>
      <c r="R1020" s="613"/>
      <c r="S1020" s="613"/>
      <c r="T1020" s="613"/>
      <c r="U1020" s="613"/>
      <c r="V1020" s="523"/>
      <c r="W1020" s="613"/>
      <c r="X1020" s="613"/>
      <c r="Y1020" s="613"/>
      <c r="Z1020" s="523"/>
      <c r="AA1020" s="613"/>
      <c r="AB1020" s="523"/>
      <c r="AC1020" s="523"/>
    </row>
    <row r="1021">
      <c r="A1021" s="613"/>
      <c r="B1021" s="612"/>
      <c r="C1021" s="613"/>
      <c r="D1021" s="613"/>
      <c r="E1021" s="613"/>
      <c r="F1021" s="613"/>
      <c r="G1021" s="613"/>
      <c r="H1021" s="613"/>
      <c r="I1021" s="523"/>
      <c r="J1021" s="612"/>
      <c r="K1021" s="612"/>
      <c r="L1021" s="613"/>
      <c r="M1021" s="613"/>
      <c r="N1021" s="613"/>
      <c r="O1021" s="616"/>
      <c r="P1021" s="613"/>
      <c r="Q1021" s="613"/>
      <c r="R1021" s="613"/>
      <c r="S1021" s="613"/>
      <c r="T1021" s="613"/>
      <c r="U1021" s="613"/>
      <c r="V1021" s="523"/>
      <c r="W1021" s="613"/>
      <c r="X1021" s="613"/>
      <c r="Y1021" s="613"/>
      <c r="Z1021" s="523"/>
      <c r="AA1021" s="613"/>
      <c r="AB1021" s="523"/>
      <c r="AC1021" s="523"/>
    </row>
    <row r="1022">
      <c r="A1022" s="613"/>
      <c r="B1022" s="612"/>
      <c r="C1022" s="613"/>
      <c r="D1022" s="613"/>
      <c r="E1022" s="613"/>
      <c r="F1022" s="613"/>
      <c r="G1022" s="613"/>
      <c r="H1022" s="613"/>
      <c r="I1022" s="523"/>
      <c r="J1022" s="612"/>
      <c r="K1022" s="612"/>
      <c r="L1022" s="613"/>
      <c r="M1022" s="613"/>
      <c r="N1022" s="613"/>
      <c r="O1022" s="616"/>
      <c r="P1022" s="613"/>
      <c r="Q1022" s="613"/>
      <c r="R1022" s="613"/>
      <c r="S1022" s="613"/>
      <c r="T1022" s="613"/>
      <c r="U1022" s="613"/>
      <c r="V1022" s="523"/>
      <c r="W1022" s="613"/>
      <c r="X1022" s="613"/>
      <c r="Y1022" s="613"/>
      <c r="Z1022" s="523"/>
      <c r="AA1022" s="613"/>
      <c r="AB1022" s="523"/>
      <c r="AC1022" s="523"/>
    </row>
    <row r="1023">
      <c r="A1023" s="613"/>
      <c r="B1023" s="612"/>
      <c r="C1023" s="613"/>
      <c r="D1023" s="613"/>
      <c r="E1023" s="613"/>
      <c r="F1023" s="613"/>
      <c r="G1023" s="613"/>
      <c r="H1023" s="613"/>
      <c r="I1023" s="523"/>
      <c r="J1023" s="612"/>
      <c r="K1023" s="612"/>
      <c r="L1023" s="613"/>
      <c r="M1023" s="613"/>
      <c r="N1023" s="613"/>
      <c r="O1023" s="616"/>
      <c r="P1023" s="613"/>
      <c r="Q1023" s="613"/>
      <c r="R1023" s="613"/>
      <c r="S1023" s="613"/>
      <c r="T1023" s="613"/>
      <c r="U1023" s="613"/>
      <c r="V1023" s="523"/>
      <c r="W1023" s="613"/>
      <c r="X1023" s="613"/>
      <c r="Y1023" s="613"/>
      <c r="Z1023" s="523"/>
      <c r="AA1023" s="613"/>
      <c r="AB1023" s="523"/>
      <c r="AC1023" s="523"/>
    </row>
    <row r="1024">
      <c r="A1024" s="613"/>
      <c r="B1024" s="612"/>
      <c r="C1024" s="613"/>
      <c r="D1024" s="613"/>
      <c r="E1024" s="613"/>
      <c r="F1024" s="613"/>
      <c r="G1024" s="613"/>
      <c r="H1024" s="613"/>
      <c r="I1024" s="523"/>
      <c r="J1024" s="612"/>
      <c r="K1024" s="612"/>
      <c r="L1024" s="613"/>
      <c r="M1024" s="613"/>
      <c r="N1024" s="613"/>
      <c r="O1024" s="616"/>
      <c r="P1024" s="613"/>
      <c r="Q1024" s="613"/>
      <c r="R1024" s="613"/>
      <c r="S1024" s="613"/>
      <c r="T1024" s="613"/>
      <c r="U1024" s="613"/>
      <c r="V1024" s="523"/>
      <c r="W1024" s="613"/>
      <c r="X1024" s="613"/>
      <c r="Y1024" s="613"/>
      <c r="Z1024" s="523"/>
      <c r="AA1024" s="613"/>
      <c r="AB1024" s="523"/>
      <c r="AC1024" s="523"/>
    </row>
    <row r="1025">
      <c r="A1025" s="613"/>
      <c r="B1025" s="612"/>
      <c r="C1025" s="613"/>
      <c r="D1025" s="613"/>
      <c r="E1025" s="613"/>
      <c r="F1025" s="613"/>
      <c r="G1025" s="613"/>
      <c r="H1025" s="613"/>
      <c r="I1025" s="523"/>
      <c r="J1025" s="612"/>
      <c r="K1025" s="612"/>
      <c r="L1025" s="613"/>
      <c r="M1025" s="613"/>
      <c r="N1025" s="613"/>
      <c r="O1025" s="616"/>
      <c r="P1025" s="613"/>
      <c r="Q1025" s="613"/>
      <c r="R1025" s="613"/>
      <c r="S1025" s="613"/>
      <c r="T1025" s="613"/>
      <c r="U1025" s="613"/>
      <c r="V1025" s="523"/>
      <c r="W1025" s="613"/>
      <c r="X1025" s="613"/>
      <c r="Y1025" s="613"/>
      <c r="Z1025" s="523"/>
      <c r="AA1025" s="613"/>
      <c r="AB1025" s="523"/>
      <c r="AC1025" s="523"/>
    </row>
    <row r="1026">
      <c r="A1026" s="613"/>
      <c r="B1026" s="612"/>
      <c r="C1026" s="613"/>
      <c r="D1026" s="613"/>
      <c r="E1026" s="613"/>
      <c r="F1026" s="613"/>
      <c r="G1026" s="613"/>
      <c r="H1026" s="613"/>
      <c r="I1026" s="523"/>
      <c r="J1026" s="612"/>
      <c r="K1026" s="612"/>
      <c r="L1026" s="613"/>
      <c r="M1026" s="613"/>
      <c r="N1026" s="613"/>
      <c r="O1026" s="616"/>
      <c r="P1026" s="613"/>
      <c r="Q1026" s="613"/>
      <c r="R1026" s="613"/>
      <c r="S1026" s="613"/>
      <c r="T1026" s="613"/>
      <c r="U1026" s="613"/>
      <c r="V1026" s="523"/>
      <c r="W1026" s="613"/>
      <c r="X1026" s="613"/>
      <c r="Y1026" s="613"/>
      <c r="Z1026" s="523"/>
      <c r="AA1026" s="613"/>
      <c r="AB1026" s="523"/>
      <c r="AC1026" s="523"/>
    </row>
    <row r="1027">
      <c r="A1027" s="613"/>
      <c r="B1027" s="612"/>
      <c r="C1027" s="613"/>
      <c r="D1027" s="613"/>
      <c r="E1027" s="613"/>
      <c r="F1027" s="613"/>
      <c r="G1027" s="613"/>
      <c r="H1027" s="613"/>
      <c r="I1027" s="523"/>
      <c r="J1027" s="612"/>
      <c r="K1027" s="612"/>
      <c r="L1027" s="613"/>
      <c r="M1027" s="613"/>
      <c r="N1027" s="613"/>
      <c r="O1027" s="616"/>
      <c r="P1027" s="613"/>
      <c r="Q1027" s="613"/>
      <c r="R1027" s="613"/>
      <c r="S1027" s="613"/>
      <c r="T1027" s="613"/>
      <c r="U1027" s="613"/>
      <c r="V1027" s="523"/>
      <c r="W1027" s="613"/>
      <c r="X1027" s="613"/>
      <c r="Y1027" s="613"/>
      <c r="Z1027" s="523"/>
      <c r="AA1027" s="613"/>
      <c r="AB1027" s="523"/>
      <c r="AC1027" s="523"/>
    </row>
    <row r="1028">
      <c r="A1028" s="613"/>
      <c r="B1028" s="612"/>
      <c r="C1028" s="613"/>
      <c r="D1028" s="613"/>
      <c r="E1028" s="613"/>
      <c r="F1028" s="613"/>
      <c r="G1028" s="613"/>
      <c r="H1028" s="613"/>
      <c r="I1028" s="523"/>
      <c r="J1028" s="612"/>
      <c r="K1028" s="612"/>
      <c r="L1028" s="613"/>
      <c r="M1028" s="613"/>
      <c r="N1028" s="613"/>
      <c r="O1028" s="616"/>
      <c r="P1028" s="613"/>
      <c r="Q1028" s="613"/>
      <c r="R1028" s="613"/>
      <c r="S1028" s="613"/>
      <c r="T1028" s="613"/>
      <c r="U1028" s="613"/>
      <c r="V1028" s="523"/>
      <c r="W1028" s="613"/>
      <c r="X1028" s="613"/>
      <c r="Y1028" s="613"/>
      <c r="Z1028" s="523"/>
      <c r="AA1028" s="613"/>
      <c r="AB1028" s="523"/>
      <c r="AC1028" s="523"/>
    </row>
    <row r="1029">
      <c r="A1029" s="613"/>
      <c r="B1029" s="612"/>
      <c r="C1029" s="613"/>
      <c r="D1029" s="613"/>
      <c r="E1029" s="613"/>
      <c r="F1029" s="613"/>
      <c r="G1029" s="613"/>
      <c r="H1029" s="613"/>
      <c r="I1029" s="523"/>
      <c r="J1029" s="612"/>
      <c r="K1029" s="612"/>
      <c r="L1029" s="613"/>
      <c r="M1029" s="613"/>
      <c r="N1029" s="613"/>
      <c r="O1029" s="616"/>
      <c r="P1029" s="613"/>
      <c r="Q1029" s="613"/>
      <c r="R1029" s="613"/>
      <c r="S1029" s="613"/>
      <c r="T1029" s="613"/>
      <c r="U1029" s="613"/>
      <c r="V1029" s="523"/>
      <c r="W1029" s="613"/>
      <c r="X1029" s="613"/>
      <c r="Y1029" s="613"/>
      <c r="Z1029" s="523"/>
      <c r="AA1029" s="613"/>
      <c r="AB1029" s="523"/>
      <c r="AC1029" s="523"/>
    </row>
    <row r="1030">
      <c r="A1030" s="613"/>
      <c r="B1030" s="612"/>
      <c r="C1030" s="613"/>
      <c r="D1030" s="613"/>
      <c r="E1030" s="613"/>
      <c r="F1030" s="613"/>
      <c r="G1030" s="613"/>
      <c r="H1030" s="613"/>
      <c r="I1030" s="523"/>
      <c r="J1030" s="612"/>
      <c r="K1030" s="612"/>
      <c r="L1030" s="613"/>
      <c r="M1030" s="613"/>
      <c r="N1030" s="613"/>
      <c r="O1030" s="616"/>
      <c r="P1030" s="613"/>
      <c r="Q1030" s="613"/>
      <c r="R1030" s="613"/>
      <c r="S1030" s="613"/>
      <c r="T1030" s="613"/>
      <c r="U1030" s="613"/>
      <c r="V1030" s="523"/>
      <c r="W1030" s="613"/>
      <c r="X1030" s="613"/>
      <c r="Y1030" s="613"/>
      <c r="Z1030" s="523"/>
      <c r="AA1030" s="613"/>
      <c r="AB1030" s="523"/>
      <c r="AC1030" s="523"/>
    </row>
    <row r="1031">
      <c r="A1031" s="613"/>
      <c r="B1031" s="612"/>
      <c r="C1031" s="613"/>
      <c r="D1031" s="613"/>
      <c r="E1031" s="613"/>
      <c r="F1031" s="613"/>
      <c r="G1031" s="613"/>
      <c r="H1031" s="613"/>
      <c r="I1031" s="523"/>
      <c r="J1031" s="612"/>
      <c r="K1031" s="612"/>
      <c r="L1031" s="613"/>
      <c r="M1031" s="613"/>
      <c r="N1031" s="613"/>
      <c r="O1031" s="616"/>
      <c r="P1031" s="613"/>
      <c r="Q1031" s="613"/>
      <c r="R1031" s="613"/>
      <c r="S1031" s="613"/>
      <c r="T1031" s="613"/>
      <c r="U1031" s="613"/>
      <c r="V1031" s="523"/>
      <c r="W1031" s="613"/>
      <c r="X1031" s="613"/>
      <c r="Y1031" s="613"/>
      <c r="Z1031" s="523"/>
      <c r="AA1031" s="613"/>
      <c r="AB1031" s="523"/>
      <c r="AC1031" s="523"/>
    </row>
    <row r="1032">
      <c r="A1032" s="613"/>
      <c r="B1032" s="612"/>
      <c r="C1032" s="613"/>
      <c r="D1032" s="613"/>
      <c r="E1032" s="613"/>
      <c r="F1032" s="613"/>
      <c r="G1032" s="613"/>
      <c r="H1032" s="613"/>
      <c r="I1032" s="523"/>
      <c r="J1032" s="612"/>
      <c r="K1032" s="612"/>
      <c r="L1032" s="613"/>
      <c r="M1032" s="613"/>
      <c r="N1032" s="613"/>
      <c r="O1032" s="616"/>
      <c r="P1032" s="613"/>
      <c r="Q1032" s="613"/>
      <c r="R1032" s="613"/>
      <c r="S1032" s="613"/>
      <c r="T1032" s="613"/>
      <c r="U1032" s="613"/>
      <c r="V1032" s="523"/>
      <c r="W1032" s="613"/>
      <c r="X1032" s="613"/>
      <c r="Y1032" s="613"/>
      <c r="Z1032" s="523"/>
      <c r="AA1032" s="613"/>
      <c r="AB1032" s="523"/>
      <c r="AC1032" s="523"/>
    </row>
    <row r="1033">
      <c r="A1033" s="613"/>
      <c r="B1033" s="612"/>
      <c r="C1033" s="613"/>
      <c r="D1033" s="613"/>
      <c r="E1033" s="613"/>
      <c r="F1033" s="613"/>
      <c r="G1033" s="613"/>
      <c r="H1033" s="613"/>
      <c r="I1033" s="523"/>
      <c r="J1033" s="612"/>
      <c r="K1033" s="612"/>
      <c r="L1033" s="613"/>
      <c r="M1033" s="613"/>
      <c r="N1033" s="613"/>
      <c r="O1033" s="616"/>
      <c r="P1033" s="613"/>
      <c r="Q1033" s="613"/>
      <c r="R1033" s="613"/>
      <c r="S1033" s="613"/>
      <c r="T1033" s="613"/>
      <c r="U1033" s="613"/>
      <c r="V1033" s="523"/>
      <c r="W1033" s="613"/>
      <c r="X1033" s="613"/>
      <c r="Y1033" s="613"/>
      <c r="Z1033" s="523"/>
      <c r="AA1033" s="613"/>
      <c r="AB1033" s="523"/>
      <c r="AC1033" s="523"/>
    </row>
    <row r="1034">
      <c r="A1034" s="613"/>
      <c r="B1034" s="612"/>
      <c r="C1034" s="613"/>
      <c r="D1034" s="613"/>
      <c r="E1034" s="613"/>
      <c r="F1034" s="613"/>
      <c r="G1034" s="613"/>
      <c r="H1034" s="613"/>
      <c r="I1034" s="523"/>
      <c r="J1034" s="612"/>
      <c r="K1034" s="612"/>
      <c r="L1034" s="613"/>
      <c r="M1034" s="613"/>
      <c r="N1034" s="613"/>
      <c r="O1034" s="616"/>
      <c r="P1034" s="613"/>
      <c r="Q1034" s="613"/>
      <c r="R1034" s="613"/>
      <c r="S1034" s="613"/>
      <c r="T1034" s="613"/>
      <c r="U1034" s="613"/>
      <c r="V1034" s="523"/>
      <c r="W1034" s="613"/>
      <c r="X1034" s="613"/>
      <c r="Y1034" s="613"/>
      <c r="Z1034" s="523"/>
      <c r="AA1034" s="613"/>
      <c r="AB1034" s="523"/>
      <c r="AC1034" s="523"/>
    </row>
    <row r="1035">
      <c r="A1035" s="613"/>
      <c r="B1035" s="612"/>
      <c r="C1035" s="613"/>
      <c r="D1035" s="613"/>
      <c r="E1035" s="613"/>
      <c r="F1035" s="613"/>
      <c r="G1035" s="613"/>
      <c r="H1035" s="613"/>
      <c r="I1035" s="523"/>
      <c r="J1035" s="612"/>
      <c r="K1035" s="612"/>
      <c r="L1035" s="613"/>
      <c r="M1035" s="613"/>
      <c r="N1035" s="613"/>
      <c r="O1035" s="616"/>
      <c r="P1035" s="613"/>
      <c r="Q1035" s="613"/>
      <c r="R1035" s="613"/>
      <c r="S1035" s="613"/>
      <c r="T1035" s="613"/>
      <c r="U1035" s="613"/>
      <c r="V1035" s="523"/>
      <c r="W1035" s="613"/>
      <c r="X1035" s="613"/>
      <c r="Y1035" s="613"/>
      <c r="Z1035" s="523"/>
      <c r="AA1035" s="613"/>
      <c r="AB1035" s="523"/>
      <c r="AC1035" s="523"/>
    </row>
    <row r="1036">
      <c r="A1036" s="613"/>
      <c r="B1036" s="612"/>
      <c r="C1036" s="613"/>
      <c r="D1036" s="613"/>
      <c r="E1036" s="613"/>
      <c r="F1036" s="613"/>
      <c r="G1036" s="613"/>
      <c r="H1036" s="613"/>
      <c r="I1036" s="523"/>
      <c r="J1036" s="612"/>
      <c r="K1036" s="612"/>
      <c r="L1036" s="613"/>
      <c r="M1036" s="613"/>
      <c r="N1036" s="613"/>
      <c r="O1036" s="616"/>
      <c r="P1036" s="613"/>
      <c r="Q1036" s="613"/>
      <c r="R1036" s="613"/>
      <c r="S1036" s="613"/>
      <c r="T1036" s="613"/>
      <c r="U1036" s="613"/>
      <c r="V1036" s="523"/>
      <c r="W1036" s="613"/>
      <c r="X1036" s="613"/>
      <c r="Y1036" s="613"/>
      <c r="Z1036" s="523"/>
      <c r="AA1036" s="613"/>
      <c r="AB1036" s="523"/>
      <c r="AC1036" s="523"/>
    </row>
    <row r="1037">
      <c r="A1037" s="613"/>
      <c r="B1037" s="612"/>
      <c r="C1037" s="613"/>
      <c r="D1037" s="613"/>
      <c r="E1037" s="613"/>
      <c r="F1037" s="613"/>
      <c r="G1037" s="613"/>
      <c r="H1037" s="613"/>
      <c r="I1037" s="523"/>
      <c r="J1037" s="612"/>
      <c r="K1037" s="612"/>
      <c r="L1037" s="613"/>
      <c r="M1037" s="613"/>
      <c r="N1037" s="613"/>
      <c r="O1037" s="616"/>
      <c r="P1037" s="613"/>
      <c r="Q1037" s="613"/>
      <c r="R1037" s="613"/>
      <c r="S1037" s="613"/>
      <c r="T1037" s="613"/>
      <c r="U1037" s="613"/>
      <c r="V1037" s="523"/>
      <c r="W1037" s="613"/>
      <c r="X1037" s="613"/>
      <c r="Y1037" s="613"/>
      <c r="Z1037" s="523"/>
      <c r="AA1037" s="613"/>
      <c r="AB1037" s="523"/>
      <c r="AC1037" s="523"/>
    </row>
    <row r="1038">
      <c r="A1038" s="613"/>
      <c r="B1038" s="612"/>
      <c r="C1038" s="613"/>
      <c r="D1038" s="613"/>
      <c r="E1038" s="613"/>
      <c r="F1038" s="613"/>
      <c r="G1038" s="613"/>
      <c r="H1038" s="613"/>
      <c r="I1038" s="523"/>
      <c r="J1038" s="612"/>
      <c r="K1038" s="612"/>
      <c r="L1038" s="613"/>
      <c r="M1038" s="613"/>
      <c r="N1038" s="613"/>
      <c r="O1038" s="616"/>
      <c r="P1038" s="613"/>
      <c r="Q1038" s="613"/>
      <c r="R1038" s="613"/>
      <c r="S1038" s="613"/>
      <c r="T1038" s="613"/>
      <c r="U1038" s="613"/>
      <c r="V1038" s="523"/>
      <c r="W1038" s="613"/>
      <c r="X1038" s="613"/>
      <c r="Y1038" s="613"/>
      <c r="Z1038" s="523"/>
      <c r="AA1038" s="613"/>
      <c r="AB1038" s="523"/>
      <c r="AC1038" s="523"/>
    </row>
    <row r="1039">
      <c r="A1039" s="613"/>
      <c r="B1039" s="612"/>
      <c r="C1039" s="613"/>
      <c r="D1039" s="613"/>
      <c r="E1039" s="613"/>
      <c r="F1039" s="613"/>
      <c r="G1039" s="613"/>
      <c r="H1039" s="613"/>
      <c r="I1039" s="523"/>
      <c r="J1039" s="612"/>
      <c r="K1039" s="612"/>
      <c r="L1039" s="613"/>
      <c r="M1039" s="613"/>
      <c r="N1039" s="613"/>
      <c r="O1039" s="616"/>
      <c r="P1039" s="613"/>
      <c r="Q1039" s="613"/>
      <c r="R1039" s="613"/>
      <c r="S1039" s="613"/>
      <c r="T1039" s="613"/>
      <c r="U1039" s="613"/>
      <c r="V1039" s="523"/>
      <c r="W1039" s="613"/>
      <c r="X1039" s="613"/>
      <c r="Y1039" s="613"/>
      <c r="Z1039" s="523"/>
      <c r="AA1039" s="613"/>
      <c r="AB1039" s="523"/>
      <c r="AC1039" s="523"/>
    </row>
    <row r="1040">
      <c r="A1040" s="613"/>
      <c r="B1040" s="612"/>
      <c r="C1040" s="613"/>
      <c r="D1040" s="613"/>
      <c r="E1040" s="613"/>
      <c r="F1040" s="613"/>
      <c r="G1040" s="613"/>
      <c r="H1040" s="613"/>
      <c r="I1040" s="523"/>
      <c r="J1040" s="612"/>
      <c r="K1040" s="612"/>
      <c r="L1040" s="613"/>
      <c r="M1040" s="613"/>
      <c r="N1040" s="613"/>
      <c r="O1040" s="616"/>
      <c r="P1040" s="613"/>
      <c r="Q1040" s="613"/>
      <c r="R1040" s="613"/>
      <c r="S1040" s="613"/>
      <c r="T1040" s="613"/>
      <c r="U1040" s="613"/>
      <c r="V1040" s="523"/>
      <c r="W1040" s="613"/>
      <c r="X1040" s="613"/>
      <c r="Y1040" s="613"/>
      <c r="Z1040" s="523"/>
      <c r="AA1040" s="613"/>
      <c r="AB1040" s="523"/>
      <c r="AC1040" s="523"/>
    </row>
    <row r="1041">
      <c r="A1041" s="613"/>
      <c r="B1041" s="612"/>
      <c r="C1041" s="613"/>
      <c r="D1041" s="613"/>
      <c r="E1041" s="613"/>
      <c r="F1041" s="613"/>
      <c r="G1041" s="613"/>
      <c r="H1041" s="613"/>
      <c r="I1041" s="523"/>
      <c r="J1041" s="612"/>
      <c r="K1041" s="612"/>
      <c r="L1041" s="613"/>
      <c r="M1041" s="613"/>
      <c r="N1041" s="613"/>
      <c r="O1041" s="616"/>
      <c r="P1041" s="613"/>
      <c r="Q1041" s="613"/>
      <c r="R1041" s="613"/>
      <c r="S1041" s="613"/>
      <c r="T1041" s="613"/>
      <c r="U1041" s="613"/>
      <c r="V1041" s="523"/>
      <c r="W1041" s="613"/>
      <c r="X1041" s="613"/>
      <c r="Y1041" s="613"/>
      <c r="Z1041" s="523"/>
      <c r="AA1041" s="613"/>
      <c r="AB1041" s="523"/>
      <c r="AC1041" s="523"/>
    </row>
    <row r="1042">
      <c r="A1042" s="613"/>
      <c r="B1042" s="612"/>
      <c r="C1042" s="613"/>
      <c r="D1042" s="613"/>
      <c r="E1042" s="613"/>
      <c r="F1042" s="613"/>
      <c r="G1042" s="613"/>
      <c r="H1042" s="613"/>
      <c r="I1042" s="523"/>
      <c r="J1042" s="612"/>
      <c r="K1042" s="612"/>
      <c r="L1042" s="613"/>
      <c r="M1042" s="613"/>
      <c r="N1042" s="613"/>
      <c r="O1042" s="616"/>
      <c r="P1042" s="613"/>
      <c r="Q1042" s="613"/>
      <c r="R1042" s="613"/>
      <c r="S1042" s="613"/>
      <c r="T1042" s="613"/>
      <c r="U1042" s="613"/>
      <c r="V1042" s="523"/>
      <c r="W1042" s="613"/>
      <c r="X1042" s="613"/>
      <c r="Y1042" s="613"/>
      <c r="Z1042" s="523"/>
      <c r="AA1042" s="613"/>
      <c r="AB1042" s="523"/>
      <c r="AC1042" s="523"/>
    </row>
    <row r="1043">
      <c r="A1043" s="613"/>
      <c r="B1043" s="612"/>
      <c r="C1043" s="613"/>
      <c r="D1043" s="613"/>
      <c r="E1043" s="613"/>
      <c r="F1043" s="613"/>
      <c r="G1043" s="613"/>
      <c r="H1043" s="613"/>
      <c r="I1043" s="523"/>
      <c r="J1043" s="612"/>
      <c r="K1043" s="612"/>
      <c r="L1043" s="613"/>
      <c r="M1043" s="613"/>
      <c r="N1043" s="613"/>
      <c r="O1043" s="616"/>
      <c r="P1043" s="613"/>
      <c r="Q1043" s="613"/>
      <c r="R1043" s="613"/>
      <c r="S1043" s="613"/>
      <c r="T1043" s="613"/>
      <c r="U1043" s="613"/>
      <c r="V1043" s="523"/>
      <c r="W1043" s="613"/>
      <c r="X1043" s="613"/>
      <c r="Y1043" s="613"/>
      <c r="Z1043" s="523"/>
      <c r="AA1043" s="613"/>
      <c r="AB1043" s="523"/>
      <c r="AC1043" s="523"/>
    </row>
    <row r="1044">
      <c r="A1044" s="613"/>
      <c r="B1044" s="612"/>
      <c r="C1044" s="613"/>
      <c r="D1044" s="613"/>
      <c r="E1044" s="613"/>
      <c r="F1044" s="613"/>
      <c r="G1044" s="613"/>
      <c r="H1044" s="613"/>
      <c r="I1044" s="523"/>
      <c r="J1044" s="612"/>
      <c r="K1044" s="612"/>
      <c r="L1044" s="613"/>
      <c r="M1044" s="613"/>
      <c r="N1044" s="613"/>
      <c r="O1044" s="616"/>
      <c r="P1044" s="613"/>
      <c r="Q1044" s="613"/>
      <c r="R1044" s="613"/>
      <c r="S1044" s="613"/>
      <c r="T1044" s="613"/>
      <c r="U1044" s="613"/>
      <c r="V1044" s="523"/>
      <c r="W1044" s="613"/>
      <c r="X1044" s="613"/>
      <c r="Y1044" s="613"/>
      <c r="Z1044" s="523"/>
      <c r="AA1044" s="613"/>
      <c r="AB1044" s="523"/>
      <c r="AC1044" s="523"/>
    </row>
    <row r="1045">
      <c r="A1045" s="613"/>
      <c r="B1045" s="612"/>
      <c r="C1045" s="613"/>
      <c r="D1045" s="613"/>
      <c r="E1045" s="613"/>
      <c r="F1045" s="613"/>
      <c r="G1045" s="613"/>
      <c r="H1045" s="613"/>
      <c r="I1045" s="523"/>
      <c r="J1045" s="612"/>
      <c r="K1045" s="612"/>
      <c r="L1045" s="613"/>
      <c r="M1045" s="613"/>
      <c r="N1045" s="613"/>
      <c r="O1045" s="616"/>
      <c r="P1045" s="613"/>
      <c r="Q1045" s="613"/>
      <c r="R1045" s="613"/>
      <c r="S1045" s="613"/>
      <c r="T1045" s="613"/>
      <c r="U1045" s="613"/>
      <c r="V1045" s="523"/>
      <c r="W1045" s="613"/>
      <c r="X1045" s="613"/>
      <c r="Y1045" s="613"/>
      <c r="Z1045" s="523"/>
      <c r="AA1045" s="613"/>
      <c r="AB1045" s="523"/>
      <c r="AC1045" s="523"/>
    </row>
    <row r="1046">
      <c r="A1046" s="613"/>
      <c r="B1046" s="612"/>
      <c r="C1046" s="613"/>
      <c r="D1046" s="613"/>
      <c r="E1046" s="613"/>
      <c r="F1046" s="613"/>
      <c r="G1046" s="613"/>
      <c r="H1046" s="613"/>
      <c r="I1046" s="523"/>
      <c r="J1046" s="612"/>
      <c r="K1046" s="612"/>
      <c r="L1046" s="613"/>
      <c r="M1046" s="613"/>
      <c r="N1046" s="613"/>
      <c r="O1046" s="616"/>
      <c r="P1046" s="613"/>
      <c r="Q1046" s="613"/>
      <c r="R1046" s="613"/>
      <c r="S1046" s="613"/>
      <c r="T1046" s="613"/>
      <c r="U1046" s="613"/>
      <c r="V1046" s="523"/>
      <c r="W1046" s="613"/>
      <c r="X1046" s="613"/>
      <c r="Y1046" s="613"/>
      <c r="Z1046" s="523"/>
      <c r="AA1046" s="613"/>
      <c r="AB1046" s="523"/>
      <c r="AC1046" s="523"/>
    </row>
    <row r="1047">
      <c r="A1047" s="613"/>
      <c r="B1047" s="612"/>
      <c r="C1047" s="613"/>
      <c r="D1047" s="613"/>
      <c r="E1047" s="613"/>
      <c r="F1047" s="613"/>
      <c r="G1047" s="613"/>
      <c r="H1047" s="613"/>
      <c r="I1047" s="523"/>
      <c r="J1047" s="612"/>
      <c r="K1047" s="612"/>
      <c r="L1047" s="613"/>
      <c r="M1047" s="613"/>
      <c r="N1047" s="613"/>
      <c r="O1047" s="616"/>
      <c r="P1047" s="613"/>
      <c r="Q1047" s="613"/>
      <c r="R1047" s="613"/>
      <c r="S1047" s="613"/>
      <c r="T1047" s="613"/>
      <c r="U1047" s="613"/>
      <c r="V1047" s="523"/>
      <c r="W1047" s="613"/>
      <c r="X1047" s="613"/>
      <c r="Y1047" s="613"/>
      <c r="Z1047" s="523"/>
      <c r="AA1047" s="613"/>
      <c r="AB1047" s="523"/>
      <c r="AC1047" s="523"/>
    </row>
    <row r="1048">
      <c r="A1048" s="613"/>
      <c r="B1048" s="612"/>
      <c r="C1048" s="613"/>
      <c r="D1048" s="613"/>
      <c r="E1048" s="613"/>
      <c r="F1048" s="613"/>
      <c r="G1048" s="613"/>
      <c r="H1048" s="613"/>
      <c r="I1048" s="523"/>
      <c r="J1048" s="612"/>
      <c r="K1048" s="612"/>
      <c r="L1048" s="613"/>
      <c r="M1048" s="613"/>
      <c r="N1048" s="613"/>
      <c r="O1048" s="616"/>
      <c r="P1048" s="613"/>
      <c r="Q1048" s="613"/>
      <c r="R1048" s="613"/>
      <c r="S1048" s="613"/>
      <c r="T1048" s="613"/>
      <c r="U1048" s="613"/>
      <c r="V1048" s="523"/>
      <c r="W1048" s="613"/>
      <c r="X1048" s="613"/>
      <c r="Y1048" s="613"/>
      <c r="Z1048" s="523"/>
      <c r="AA1048" s="613"/>
      <c r="AB1048" s="523"/>
      <c r="AC1048" s="523"/>
    </row>
    <row r="1049">
      <c r="A1049" s="613"/>
      <c r="B1049" s="612"/>
      <c r="C1049" s="613"/>
      <c r="D1049" s="613"/>
      <c r="E1049" s="613"/>
      <c r="F1049" s="613"/>
      <c r="G1049" s="613"/>
      <c r="H1049" s="613"/>
      <c r="I1049" s="523"/>
      <c r="J1049" s="612"/>
      <c r="K1049" s="612"/>
      <c r="L1049" s="613"/>
      <c r="M1049" s="613"/>
      <c r="N1049" s="613"/>
      <c r="O1049" s="616"/>
      <c r="P1049" s="613"/>
      <c r="Q1049" s="613"/>
      <c r="R1049" s="613"/>
      <c r="S1049" s="613"/>
      <c r="T1049" s="613"/>
      <c r="U1049" s="613"/>
      <c r="V1049" s="523"/>
      <c r="W1049" s="613"/>
      <c r="X1049" s="613"/>
      <c r="Y1049" s="613"/>
      <c r="Z1049" s="523"/>
      <c r="AA1049" s="613"/>
      <c r="AB1049" s="523"/>
      <c r="AC1049" s="523"/>
    </row>
    <row r="1050">
      <c r="A1050" s="613"/>
      <c r="B1050" s="612"/>
      <c r="C1050" s="613"/>
      <c r="D1050" s="613"/>
      <c r="E1050" s="613"/>
      <c r="F1050" s="613"/>
      <c r="G1050" s="613"/>
      <c r="H1050" s="613"/>
      <c r="I1050" s="523"/>
      <c r="J1050" s="612"/>
      <c r="K1050" s="612"/>
      <c r="L1050" s="613"/>
      <c r="M1050" s="613"/>
      <c r="N1050" s="613"/>
      <c r="O1050" s="616"/>
      <c r="P1050" s="613"/>
      <c r="Q1050" s="613"/>
      <c r="R1050" s="613"/>
      <c r="S1050" s="613"/>
      <c r="T1050" s="613"/>
      <c r="U1050" s="613"/>
      <c r="V1050" s="523"/>
      <c r="W1050" s="613"/>
      <c r="X1050" s="613"/>
      <c r="Y1050" s="613"/>
      <c r="Z1050" s="523"/>
      <c r="AA1050" s="613"/>
      <c r="AB1050" s="523"/>
      <c r="AC1050" s="523"/>
    </row>
    <row r="1051">
      <c r="A1051" s="613"/>
      <c r="B1051" s="612"/>
      <c r="C1051" s="613"/>
      <c r="D1051" s="613"/>
      <c r="E1051" s="613"/>
      <c r="F1051" s="613"/>
      <c r="G1051" s="613"/>
      <c r="H1051" s="613"/>
      <c r="I1051" s="523"/>
      <c r="J1051" s="612"/>
      <c r="K1051" s="612"/>
      <c r="L1051" s="613"/>
      <c r="M1051" s="613"/>
      <c r="N1051" s="613"/>
      <c r="O1051" s="616"/>
      <c r="P1051" s="613"/>
      <c r="Q1051" s="613"/>
      <c r="R1051" s="613"/>
      <c r="S1051" s="613"/>
      <c r="T1051" s="613"/>
      <c r="U1051" s="613"/>
      <c r="V1051" s="523"/>
      <c r="W1051" s="613"/>
      <c r="X1051" s="613"/>
      <c r="Y1051" s="613"/>
      <c r="Z1051" s="523"/>
      <c r="AA1051" s="613"/>
      <c r="AB1051" s="523"/>
      <c r="AC1051" s="523"/>
    </row>
    <row r="1052">
      <c r="A1052" s="613"/>
      <c r="B1052" s="612"/>
      <c r="C1052" s="613"/>
      <c r="D1052" s="613"/>
      <c r="E1052" s="613"/>
      <c r="F1052" s="613"/>
      <c r="G1052" s="613"/>
      <c r="H1052" s="613"/>
      <c r="I1052" s="523"/>
      <c r="J1052" s="612"/>
      <c r="K1052" s="612"/>
      <c r="L1052" s="613"/>
      <c r="M1052" s="613"/>
      <c r="N1052" s="613"/>
      <c r="O1052" s="616"/>
      <c r="P1052" s="613"/>
      <c r="Q1052" s="613"/>
      <c r="R1052" s="613"/>
      <c r="S1052" s="613"/>
      <c r="T1052" s="613"/>
      <c r="U1052" s="613"/>
      <c r="V1052" s="523"/>
      <c r="W1052" s="613"/>
      <c r="X1052" s="613"/>
      <c r="Y1052" s="613"/>
      <c r="Z1052" s="523"/>
      <c r="AA1052" s="613"/>
      <c r="AB1052" s="523"/>
      <c r="AC1052" s="523"/>
    </row>
    <row r="1053">
      <c r="A1053" s="613"/>
      <c r="B1053" s="612"/>
      <c r="C1053" s="613"/>
      <c r="D1053" s="613"/>
      <c r="E1053" s="613"/>
      <c r="F1053" s="613"/>
      <c r="G1053" s="613"/>
      <c r="H1053" s="613"/>
      <c r="I1053" s="523"/>
      <c r="J1053" s="612"/>
      <c r="K1053" s="612"/>
      <c r="L1053" s="613"/>
      <c r="M1053" s="613"/>
      <c r="N1053" s="613"/>
      <c r="O1053" s="616"/>
      <c r="P1053" s="613"/>
      <c r="Q1053" s="613"/>
      <c r="R1053" s="613"/>
      <c r="S1053" s="613"/>
      <c r="T1053" s="613"/>
      <c r="U1053" s="613"/>
      <c r="V1053" s="523"/>
      <c r="W1053" s="613"/>
      <c r="X1053" s="613"/>
      <c r="Y1053" s="613"/>
      <c r="Z1053" s="523"/>
      <c r="AA1053" s="613"/>
      <c r="AB1053" s="523"/>
      <c r="AC1053" s="523"/>
    </row>
    <row r="1054">
      <c r="A1054" s="613"/>
      <c r="B1054" s="612"/>
      <c r="C1054" s="613"/>
      <c r="D1054" s="613"/>
      <c r="E1054" s="613"/>
      <c r="F1054" s="613"/>
      <c r="G1054" s="613"/>
      <c r="H1054" s="613"/>
      <c r="I1054" s="523"/>
      <c r="J1054" s="612"/>
      <c r="K1054" s="612"/>
      <c r="L1054" s="613"/>
      <c r="M1054" s="613"/>
      <c r="N1054" s="613"/>
      <c r="O1054" s="616"/>
      <c r="P1054" s="613"/>
      <c r="Q1054" s="613"/>
      <c r="R1054" s="613"/>
      <c r="S1054" s="613"/>
      <c r="T1054" s="613"/>
      <c r="U1054" s="613"/>
      <c r="V1054" s="523"/>
      <c r="W1054" s="613"/>
      <c r="X1054" s="613"/>
      <c r="Y1054" s="613"/>
      <c r="Z1054" s="523"/>
      <c r="AA1054" s="613"/>
      <c r="AB1054" s="523"/>
      <c r="AC1054" s="523"/>
    </row>
    <row r="1055">
      <c r="A1055" s="613"/>
      <c r="B1055" s="612"/>
      <c r="C1055" s="613"/>
      <c r="D1055" s="613"/>
      <c r="E1055" s="613"/>
      <c r="F1055" s="613"/>
      <c r="G1055" s="613"/>
      <c r="H1055" s="613"/>
      <c r="I1055" s="523"/>
      <c r="J1055" s="612"/>
      <c r="K1055" s="612"/>
      <c r="L1055" s="613"/>
      <c r="M1055" s="613"/>
      <c r="N1055" s="613"/>
      <c r="O1055" s="616"/>
      <c r="P1055" s="613"/>
      <c r="Q1055" s="613"/>
      <c r="R1055" s="613"/>
      <c r="S1055" s="613"/>
      <c r="T1055" s="613"/>
      <c r="U1055" s="613"/>
      <c r="V1055" s="523"/>
      <c r="W1055" s="613"/>
      <c r="X1055" s="613"/>
      <c r="Y1055" s="613"/>
      <c r="Z1055" s="523"/>
      <c r="AA1055" s="613"/>
      <c r="AB1055" s="523"/>
      <c r="AC1055" s="523"/>
    </row>
    <row r="1056">
      <c r="A1056" s="613"/>
      <c r="B1056" s="612"/>
      <c r="C1056" s="613"/>
      <c r="D1056" s="613"/>
      <c r="E1056" s="613"/>
      <c r="F1056" s="613"/>
      <c r="G1056" s="613"/>
      <c r="H1056" s="613"/>
      <c r="I1056" s="523"/>
      <c r="J1056" s="612"/>
      <c r="K1056" s="612"/>
      <c r="L1056" s="613"/>
      <c r="M1056" s="613"/>
      <c r="N1056" s="613"/>
      <c r="O1056" s="616"/>
      <c r="P1056" s="613"/>
      <c r="Q1056" s="613"/>
      <c r="R1056" s="613"/>
      <c r="S1056" s="613"/>
      <c r="T1056" s="613"/>
      <c r="U1056" s="613"/>
      <c r="V1056" s="523"/>
      <c r="W1056" s="613"/>
      <c r="X1056" s="613"/>
      <c r="Y1056" s="613"/>
      <c r="Z1056" s="523"/>
      <c r="AA1056" s="613"/>
      <c r="AB1056" s="523"/>
      <c r="AC1056" s="523"/>
    </row>
    <row r="1057">
      <c r="A1057" s="613"/>
      <c r="B1057" s="612"/>
      <c r="C1057" s="613"/>
      <c r="D1057" s="613"/>
      <c r="E1057" s="613"/>
      <c r="F1057" s="613"/>
      <c r="G1057" s="613"/>
      <c r="H1057" s="613"/>
      <c r="I1057" s="523"/>
      <c r="J1057" s="612"/>
      <c r="K1057" s="612"/>
      <c r="L1057" s="613"/>
      <c r="M1057" s="613"/>
      <c r="N1057" s="613"/>
      <c r="O1057" s="616"/>
      <c r="P1057" s="613"/>
      <c r="Q1057" s="613"/>
      <c r="R1057" s="613"/>
      <c r="S1057" s="613"/>
      <c r="T1057" s="613"/>
      <c r="U1057" s="613"/>
      <c r="V1057" s="523"/>
      <c r="W1057" s="613"/>
      <c r="X1057" s="613"/>
      <c r="Y1057" s="613"/>
      <c r="Z1057" s="523"/>
      <c r="AA1057" s="613"/>
      <c r="AB1057" s="523"/>
      <c r="AC1057" s="523"/>
    </row>
    <row r="1058">
      <c r="A1058" s="613"/>
      <c r="B1058" s="612"/>
      <c r="C1058" s="613"/>
      <c r="D1058" s="613"/>
      <c r="E1058" s="613"/>
      <c r="F1058" s="613"/>
      <c r="G1058" s="613"/>
      <c r="H1058" s="613"/>
      <c r="I1058" s="523"/>
      <c r="J1058" s="612"/>
      <c r="K1058" s="612"/>
      <c r="L1058" s="613"/>
      <c r="M1058" s="613"/>
      <c r="N1058" s="613"/>
      <c r="O1058" s="616"/>
      <c r="P1058" s="613"/>
      <c r="Q1058" s="613"/>
      <c r="R1058" s="613"/>
      <c r="S1058" s="613"/>
      <c r="T1058" s="613"/>
      <c r="U1058" s="613"/>
      <c r="V1058" s="523"/>
      <c r="W1058" s="613"/>
      <c r="X1058" s="613"/>
      <c r="Y1058" s="613"/>
      <c r="Z1058" s="523"/>
      <c r="AA1058" s="613"/>
      <c r="AB1058" s="523"/>
      <c r="AC1058" s="523"/>
    </row>
    <row r="1059">
      <c r="A1059" s="613"/>
      <c r="B1059" s="612"/>
      <c r="C1059" s="613"/>
      <c r="D1059" s="613"/>
      <c r="E1059" s="613"/>
      <c r="F1059" s="613"/>
      <c r="G1059" s="613"/>
      <c r="H1059" s="613"/>
      <c r="I1059" s="523"/>
      <c r="J1059" s="612"/>
      <c r="K1059" s="612"/>
      <c r="L1059" s="613"/>
      <c r="M1059" s="613"/>
      <c r="N1059" s="613"/>
      <c r="O1059" s="616"/>
      <c r="P1059" s="613"/>
      <c r="Q1059" s="613"/>
      <c r="R1059" s="613"/>
      <c r="S1059" s="613"/>
      <c r="T1059" s="613"/>
      <c r="U1059" s="613"/>
      <c r="V1059" s="523"/>
      <c r="W1059" s="613"/>
      <c r="X1059" s="613"/>
      <c r="Y1059" s="613"/>
      <c r="Z1059" s="523"/>
      <c r="AA1059" s="613"/>
      <c r="AB1059" s="523"/>
      <c r="AC1059" s="523"/>
    </row>
    <row r="1060">
      <c r="A1060" s="613"/>
      <c r="B1060" s="612"/>
      <c r="C1060" s="613"/>
      <c r="D1060" s="613"/>
      <c r="E1060" s="613"/>
      <c r="F1060" s="613"/>
      <c r="G1060" s="613"/>
      <c r="H1060" s="613"/>
      <c r="I1060" s="523"/>
      <c r="J1060" s="612"/>
      <c r="K1060" s="612"/>
      <c r="L1060" s="613"/>
      <c r="M1060" s="613"/>
      <c r="N1060" s="613"/>
      <c r="O1060" s="616"/>
      <c r="P1060" s="613"/>
      <c r="Q1060" s="613"/>
      <c r="R1060" s="613"/>
      <c r="S1060" s="613"/>
      <c r="T1060" s="613"/>
      <c r="U1060" s="613"/>
      <c r="V1060" s="523"/>
      <c r="W1060" s="613"/>
      <c r="X1060" s="613"/>
      <c r="Y1060" s="613"/>
      <c r="Z1060" s="523"/>
      <c r="AA1060" s="613"/>
      <c r="AB1060" s="523"/>
      <c r="AC1060" s="523"/>
    </row>
    <row r="1061">
      <c r="A1061" s="613"/>
      <c r="B1061" s="612"/>
      <c r="C1061" s="613"/>
      <c r="D1061" s="613"/>
      <c r="E1061" s="613"/>
      <c r="F1061" s="613"/>
      <c r="G1061" s="613"/>
      <c r="H1061" s="613"/>
      <c r="I1061" s="523"/>
      <c r="J1061" s="612"/>
      <c r="K1061" s="612"/>
      <c r="L1061" s="613"/>
      <c r="M1061" s="613"/>
      <c r="N1061" s="613"/>
      <c r="O1061" s="616"/>
      <c r="P1061" s="613"/>
      <c r="Q1061" s="613"/>
      <c r="R1061" s="613"/>
      <c r="S1061" s="613"/>
      <c r="T1061" s="613"/>
      <c r="U1061" s="613"/>
      <c r="V1061" s="523"/>
      <c r="W1061" s="613"/>
      <c r="X1061" s="613"/>
      <c r="Y1061" s="613"/>
      <c r="Z1061" s="523"/>
      <c r="AA1061" s="613"/>
      <c r="AB1061" s="523"/>
      <c r="AC1061" s="523"/>
    </row>
    <row r="1062">
      <c r="A1062" s="613"/>
      <c r="B1062" s="612"/>
      <c r="C1062" s="613"/>
      <c r="D1062" s="613"/>
      <c r="E1062" s="613"/>
      <c r="F1062" s="613"/>
      <c r="G1062" s="613"/>
      <c r="H1062" s="613"/>
      <c r="I1062" s="523"/>
      <c r="J1062" s="612"/>
      <c r="K1062" s="612"/>
      <c r="L1062" s="613"/>
      <c r="M1062" s="613"/>
      <c r="N1062" s="613"/>
      <c r="O1062" s="616"/>
      <c r="P1062" s="613"/>
      <c r="Q1062" s="613"/>
      <c r="R1062" s="613"/>
      <c r="S1062" s="613"/>
      <c r="T1062" s="613"/>
      <c r="U1062" s="613"/>
      <c r="V1062" s="523"/>
      <c r="W1062" s="613"/>
      <c r="X1062" s="613"/>
      <c r="Y1062" s="613"/>
      <c r="Z1062" s="523"/>
      <c r="AA1062" s="613"/>
      <c r="AB1062" s="523"/>
      <c r="AC1062" s="523"/>
    </row>
    <row r="1063">
      <c r="A1063" s="613"/>
      <c r="B1063" s="612"/>
      <c r="C1063" s="613"/>
      <c r="D1063" s="613"/>
      <c r="E1063" s="613"/>
      <c r="F1063" s="613"/>
      <c r="G1063" s="613"/>
      <c r="H1063" s="613"/>
      <c r="I1063" s="523"/>
      <c r="J1063" s="612"/>
      <c r="K1063" s="612"/>
      <c r="L1063" s="613"/>
      <c r="M1063" s="613"/>
      <c r="N1063" s="613"/>
      <c r="O1063" s="616"/>
      <c r="P1063" s="613"/>
      <c r="Q1063" s="613"/>
      <c r="R1063" s="613"/>
      <c r="S1063" s="613"/>
      <c r="T1063" s="613"/>
      <c r="U1063" s="613"/>
      <c r="V1063" s="523"/>
      <c r="W1063" s="613"/>
      <c r="X1063" s="613"/>
      <c r="Y1063" s="613"/>
      <c r="Z1063" s="523"/>
      <c r="AA1063" s="613"/>
      <c r="AB1063" s="523"/>
      <c r="AC1063" s="523"/>
    </row>
    <row r="1064">
      <c r="A1064" s="613"/>
      <c r="B1064" s="612"/>
      <c r="C1064" s="613"/>
      <c r="D1064" s="613"/>
      <c r="E1064" s="613"/>
      <c r="F1064" s="613"/>
      <c r="G1064" s="613"/>
      <c r="H1064" s="613"/>
      <c r="I1064" s="523"/>
      <c r="J1064" s="612"/>
      <c r="K1064" s="612"/>
      <c r="L1064" s="613"/>
      <c r="M1064" s="613"/>
      <c r="N1064" s="613"/>
      <c r="O1064" s="616"/>
      <c r="P1064" s="613"/>
      <c r="Q1064" s="613"/>
      <c r="R1064" s="613"/>
      <c r="S1064" s="613"/>
      <c r="T1064" s="613"/>
      <c r="U1064" s="613"/>
      <c r="V1064" s="523"/>
      <c r="W1064" s="613"/>
      <c r="X1064" s="613"/>
      <c r="Y1064" s="613"/>
      <c r="Z1064" s="523"/>
      <c r="AA1064" s="613"/>
      <c r="AB1064" s="523"/>
      <c r="AC1064" s="523"/>
    </row>
    <row r="1065">
      <c r="A1065" s="613"/>
      <c r="B1065" s="612"/>
      <c r="C1065" s="613"/>
      <c r="D1065" s="613"/>
      <c r="E1065" s="613"/>
      <c r="F1065" s="613"/>
      <c r="G1065" s="613"/>
      <c r="H1065" s="613"/>
      <c r="I1065" s="523"/>
      <c r="J1065" s="612"/>
      <c r="K1065" s="612"/>
      <c r="L1065" s="613"/>
      <c r="M1065" s="613"/>
      <c r="N1065" s="613"/>
      <c r="O1065" s="616"/>
      <c r="P1065" s="613"/>
      <c r="Q1065" s="613"/>
      <c r="R1065" s="613"/>
      <c r="S1065" s="613"/>
      <c r="T1065" s="613"/>
      <c r="U1065" s="613"/>
      <c r="V1065" s="523"/>
      <c r="W1065" s="613"/>
      <c r="X1065" s="613"/>
      <c r="Y1065" s="613"/>
      <c r="Z1065" s="523"/>
      <c r="AA1065" s="613"/>
      <c r="AB1065" s="523"/>
      <c r="AC1065" s="523"/>
    </row>
    <row r="1066">
      <c r="A1066" s="613"/>
      <c r="B1066" s="612"/>
      <c r="C1066" s="613"/>
      <c r="D1066" s="613"/>
      <c r="E1066" s="613"/>
      <c r="F1066" s="613"/>
      <c r="G1066" s="613"/>
      <c r="H1066" s="613"/>
      <c r="I1066" s="523"/>
      <c r="J1066" s="612"/>
      <c r="K1066" s="612"/>
      <c r="L1066" s="613"/>
      <c r="M1066" s="613"/>
      <c r="N1066" s="613"/>
      <c r="O1066" s="616"/>
      <c r="P1066" s="613"/>
      <c r="Q1066" s="613"/>
      <c r="R1066" s="613"/>
      <c r="S1066" s="613"/>
      <c r="T1066" s="613"/>
      <c r="U1066" s="613"/>
      <c r="V1066" s="523"/>
      <c r="W1066" s="613"/>
      <c r="X1066" s="613"/>
      <c r="Y1066" s="613"/>
      <c r="Z1066" s="523"/>
      <c r="AA1066" s="613"/>
      <c r="AB1066" s="523"/>
      <c r="AC1066" s="523"/>
    </row>
    <row r="1067">
      <c r="A1067" s="613"/>
      <c r="B1067" s="612"/>
      <c r="C1067" s="613"/>
      <c r="D1067" s="613"/>
      <c r="E1067" s="613"/>
      <c r="F1067" s="613"/>
      <c r="G1067" s="613"/>
      <c r="H1067" s="613"/>
      <c r="I1067" s="523"/>
      <c r="J1067" s="612"/>
      <c r="K1067" s="612"/>
      <c r="L1067" s="613"/>
      <c r="M1067" s="613"/>
      <c r="N1067" s="613"/>
      <c r="O1067" s="616"/>
      <c r="P1067" s="613"/>
      <c r="Q1067" s="613"/>
      <c r="R1067" s="613"/>
      <c r="S1067" s="613"/>
      <c r="T1067" s="613"/>
      <c r="U1067" s="613"/>
      <c r="V1067" s="523"/>
      <c r="W1067" s="613"/>
      <c r="X1067" s="613"/>
      <c r="Y1067" s="613"/>
      <c r="Z1067" s="523"/>
      <c r="AA1067" s="613"/>
      <c r="AB1067" s="523"/>
      <c r="AC1067" s="523"/>
    </row>
    <row r="1068">
      <c r="A1068" s="613"/>
      <c r="B1068" s="612"/>
      <c r="C1068" s="613"/>
      <c r="D1068" s="613"/>
      <c r="E1068" s="613"/>
      <c r="F1068" s="613"/>
      <c r="G1068" s="613"/>
      <c r="H1068" s="613"/>
      <c r="I1068" s="523"/>
      <c r="J1068" s="612"/>
      <c r="K1068" s="612"/>
      <c r="L1068" s="613"/>
      <c r="M1068" s="613"/>
      <c r="N1068" s="613"/>
      <c r="O1068" s="616"/>
      <c r="P1068" s="613"/>
      <c r="Q1068" s="613"/>
      <c r="R1068" s="613"/>
      <c r="S1068" s="613"/>
      <c r="T1068" s="613"/>
      <c r="U1068" s="613"/>
      <c r="V1068" s="523"/>
      <c r="W1068" s="613"/>
      <c r="X1068" s="613"/>
      <c r="Y1068" s="613"/>
      <c r="Z1068" s="523"/>
      <c r="AA1068" s="613"/>
      <c r="AB1068" s="523"/>
      <c r="AC1068" s="523"/>
    </row>
    <row r="1069">
      <c r="A1069" s="613"/>
      <c r="B1069" s="612"/>
      <c r="C1069" s="613"/>
      <c r="D1069" s="613"/>
      <c r="E1069" s="613"/>
      <c r="F1069" s="613"/>
      <c r="G1069" s="613"/>
      <c r="H1069" s="613"/>
      <c r="I1069" s="523"/>
      <c r="J1069" s="612"/>
      <c r="K1069" s="612"/>
      <c r="L1069" s="613"/>
      <c r="M1069" s="613"/>
      <c r="N1069" s="613"/>
      <c r="O1069" s="616"/>
      <c r="P1069" s="613"/>
      <c r="Q1069" s="613"/>
      <c r="R1069" s="613"/>
      <c r="S1069" s="613"/>
      <c r="T1069" s="613"/>
      <c r="U1069" s="613"/>
      <c r="V1069" s="523"/>
      <c r="W1069" s="613"/>
      <c r="X1069" s="613"/>
      <c r="Y1069" s="613"/>
      <c r="Z1069" s="523"/>
      <c r="AA1069" s="613"/>
      <c r="AB1069" s="523"/>
      <c r="AC1069" s="523"/>
    </row>
    <row r="1070">
      <c r="A1070" s="613"/>
      <c r="B1070" s="612"/>
      <c r="C1070" s="613"/>
      <c r="D1070" s="613"/>
      <c r="E1070" s="613"/>
      <c r="F1070" s="613"/>
      <c r="G1070" s="613"/>
      <c r="H1070" s="613"/>
      <c r="I1070" s="523"/>
      <c r="J1070" s="612"/>
      <c r="K1070" s="612"/>
      <c r="L1070" s="613"/>
      <c r="M1070" s="613"/>
      <c r="N1070" s="613"/>
      <c r="O1070" s="616"/>
      <c r="P1070" s="613"/>
      <c r="Q1070" s="613"/>
      <c r="R1070" s="613"/>
      <c r="S1070" s="613"/>
      <c r="T1070" s="613"/>
      <c r="U1070" s="613"/>
      <c r="V1070" s="523"/>
      <c r="W1070" s="613"/>
      <c r="X1070" s="613"/>
      <c r="Y1070" s="613"/>
      <c r="Z1070" s="523"/>
      <c r="AA1070" s="613"/>
      <c r="AB1070" s="523"/>
      <c r="AC1070" s="523"/>
    </row>
    <row r="1071">
      <c r="A1071" s="613"/>
      <c r="B1071" s="612"/>
      <c r="C1071" s="613"/>
      <c r="D1071" s="613"/>
      <c r="E1071" s="613"/>
      <c r="F1071" s="613"/>
      <c r="G1071" s="613"/>
      <c r="H1071" s="613"/>
      <c r="I1071" s="523"/>
      <c r="J1071" s="612"/>
      <c r="K1071" s="612"/>
      <c r="L1071" s="613"/>
      <c r="M1071" s="613"/>
      <c r="N1071" s="613"/>
      <c r="O1071" s="616"/>
      <c r="P1071" s="613"/>
      <c r="Q1071" s="613"/>
      <c r="R1071" s="613"/>
      <c r="S1071" s="613"/>
      <c r="T1071" s="613"/>
      <c r="U1071" s="613"/>
      <c r="V1071" s="523"/>
      <c r="W1071" s="613"/>
      <c r="X1071" s="613"/>
      <c r="Y1071" s="613"/>
      <c r="Z1071" s="523"/>
      <c r="AA1071" s="613"/>
      <c r="AB1071" s="523"/>
      <c r="AC1071" s="523"/>
    </row>
    <row r="1072">
      <c r="A1072" s="613"/>
      <c r="B1072" s="612"/>
      <c r="C1072" s="613"/>
      <c r="D1072" s="613"/>
      <c r="E1072" s="613"/>
      <c r="F1072" s="613"/>
      <c r="G1072" s="613"/>
      <c r="H1072" s="613"/>
      <c r="I1072" s="523"/>
      <c r="J1072" s="612"/>
      <c r="K1072" s="612"/>
      <c r="L1072" s="613"/>
      <c r="M1072" s="613"/>
      <c r="N1072" s="613"/>
      <c r="O1072" s="616"/>
      <c r="P1072" s="613"/>
      <c r="Q1072" s="613"/>
      <c r="R1072" s="613"/>
      <c r="S1072" s="613"/>
      <c r="T1072" s="613"/>
      <c r="U1072" s="613"/>
      <c r="V1072" s="523"/>
      <c r="W1072" s="613"/>
      <c r="X1072" s="613"/>
      <c r="Y1072" s="613"/>
      <c r="Z1072" s="523"/>
      <c r="AA1072" s="613"/>
      <c r="AB1072" s="523"/>
      <c r="AC1072" s="523"/>
    </row>
    <row r="1073">
      <c r="A1073" s="613"/>
      <c r="B1073" s="612"/>
      <c r="C1073" s="613"/>
      <c r="D1073" s="613"/>
      <c r="E1073" s="613"/>
      <c r="F1073" s="613"/>
      <c r="G1073" s="613"/>
      <c r="H1073" s="613"/>
      <c r="I1073" s="523"/>
      <c r="J1073" s="612"/>
      <c r="K1073" s="612"/>
      <c r="L1073" s="613"/>
      <c r="M1073" s="613"/>
      <c r="N1073" s="613"/>
      <c r="O1073" s="616"/>
      <c r="P1073" s="613"/>
      <c r="Q1073" s="613"/>
      <c r="R1073" s="613"/>
      <c r="S1073" s="613"/>
      <c r="T1073" s="613"/>
      <c r="U1073" s="613"/>
      <c r="V1073" s="523"/>
      <c r="W1073" s="613"/>
      <c r="X1073" s="613"/>
      <c r="Y1073" s="613"/>
      <c r="Z1073" s="523"/>
      <c r="AA1073" s="613"/>
      <c r="AB1073" s="523"/>
      <c r="AC1073" s="523"/>
    </row>
    <row r="1074">
      <c r="A1074" s="613"/>
      <c r="B1074" s="612"/>
      <c r="C1074" s="613"/>
      <c r="D1074" s="613"/>
      <c r="E1074" s="613"/>
      <c r="F1074" s="613"/>
      <c r="G1074" s="613"/>
      <c r="H1074" s="613"/>
      <c r="I1074" s="523"/>
      <c r="J1074" s="612"/>
      <c r="K1074" s="612"/>
      <c r="L1074" s="613"/>
      <c r="M1074" s="613"/>
      <c r="N1074" s="613"/>
      <c r="O1074" s="616"/>
      <c r="P1074" s="613"/>
      <c r="Q1074" s="613"/>
      <c r="R1074" s="613"/>
      <c r="S1074" s="613"/>
      <c r="T1074" s="613"/>
      <c r="U1074" s="613"/>
      <c r="V1074" s="523"/>
      <c r="W1074" s="613"/>
      <c r="X1074" s="613"/>
      <c r="Y1074" s="613"/>
      <c r="Z1074" s="523"/>
      <c r="AA1074" s="613"/>
      <c r="AB1074" s="523"/>
      <c r="AC1074" s="523"/>
    </row>
    <row r="1075">
      <c r="A1075" s="613"/>
      <c r="B1075" s="612"/>
      <c r="C1075" s="613"/>
      <c r="D1075" s="613"/>
      <c r="E1075" s="613"/>
      <c r="F1075" s="613"/>
      <c r="G1075" s="613"/>
      <c r="H1075" s="613"/>
      <c r="I1075" s="523"/>
      <c r="J1075" s="612"/>
      <c r="K1075" s="612"/>
      <c r="L1075" s="613"/>
      <c r="M1075" s="613"/>
      <c r="N1075" s="613"/>
      <c r="O1075" s="616"/>
      <c r="P1075" s="613"/>
      <c r="Q1075" s="613"/>
      <c r="R1075" s="613"/>
      <c r="S1075" s="613"/>
      <c r="T1075" s="613"/>
      <c r="U1075" s="613"/>
      <c r="V1075" s="523"/>
      <c r="W1075" s="613"/>
      <c r="X1075" s="613"/>
      <c r="Y1075" s="613"/>
      <c r="Z1075" s="523"/>
      <c r="AA1075" s="613"/>
      <c r="AB1075" s="523"/>
      <c r="AC1075" s="523"/>
    </row>
    <row r="1076">
      <c r="A1076" s="613"/>
      <c r="B1076" s="612"/>
      <c r="C1076" s="613"/>
      <c r="D1076" s="613"/>
      <c r="E1076" s="613"/>
      <c r="F1076" s="613"/>
      <c r="G1076" s="613"/>
      <c r="H1076" s="613"/>
      <c r="I1076" s="523"/>
      <c r="J1076" s="612"/>
      <c r="K1076" s="612"/>
      <c r="L1076" s="613"/>
      <c r="M1076" s="613"/>
      <c r="N1076" s="613"/>
      <c r="O1076" s="616"/>
      <c r="P1076" s="613"/>
      <c r="Q1076" s="613"/>
      <c r="R1076" s="613"/>
      <c r="S1076" s="613"/>
      <c r="T1076" s="613"/>
      <c r="U1076" s="613"/>
      <c r="V1076" s="523"/>
      <c r="W1076" s="613"/>
      <c r="X1076" s="613"/>
      <c r="Y1076" s="613"/>
      <c r="Z1076" s="523"/>
      <c r="AA1076" s="613"/>
      <c r="AB1076" s="523"/>
      <c r="AC1076" s="523"/>
    </row>
    <row r="1077">
      <c r="A1077" s="613"/>
      <c r="B1077" s="612"/>
      <c r="C1077" s="613"/>
      <c r="D1077" s="613"/>
      <c r="E1077" s="613"/>
      <c r="F1077" s="613"/>
      <c r="G1077" s="613"/>
      <c r="H1077" s="613"/>
      <c r="I1077" s="523"/>
      <c r="J1077" s="612"/>
      <c r="K1077" s="612"/>
      <c r="L1077" s="613"/>
      <c r="M1077" s="613"/>
      <c r="N1077" s="613"/>
      <c r="O1077" s="616"/>
      <c r="P1077" s="613"/>
      <c r="Q1077" s="613"/>
      <c r="R1077" s="613"/>
      <c r="S1077" s="613"/>
      <c r="T1077" s="613"/>
      <c r="U1077" s="613"/>
      <c r="V1077" s="523"/>
      <c r="W1077" s="613"/>
      <c r="X1077" s="613"/>
      <c r="Y1077" s="613"/>
      <c r="Z1077" s="523"/>
      <c r="AA1077" s="613"/>
      <c r="AB1077" s="523"/>
      <c r="AC1077" s="523"/>
    </row>
    <row r="1078">
      <c r="A1078" s="613"/>
      <c r="B1078" s="612"/>
      <c r="C1078" s="613"/>
      <c r="D1078" s="613"/>
      <c r="E1078" s="613"/>
      <c r="F1078" s="613"/>
      <c r="G1078" s="613"/>
      <c r="H1078" s="613"/>
      <c r="I1078" s="523"/>
      <c r="J1078" s="612"/>
      <c r="K1078" s="612"/>
      <c r="L1078" s="613"/>
      <c r="M1078" s="613"/>
      <c r="N1078" s="613"/>
      <c r="O1078" s="616"/>
      <c r="P1078" s="613"/>
      <c r="Q1078" s="613"/>
      <c r="R1078" s="613"/>
      <c r="S1078" s="613"/>
      <c r="T1078" s="613"/>
      <c r="U1078" s="613"/>
      <c r="V1078" s="523"/>
      <c r="W1078" s="613"/>
      <c r="X1078" s="613"/>
      <c r="Y1078" s="613"/>
      <c r="Z1078" s="523"/>
      <c r="AA1078" s="613"/>
      <c r="AB1078" s="523"/>
      <c r="AC1078" s="523"/>
    </row>
    <row r="1079">
      <c r="A1079" s="613"/>
      <c r="B1079" s="612"/>
      <c r="C1079" s="613"/>
      <c r="D1079" s="613"/>
      <c r="E1079" s="613"/>
      <c r="F1079" s="613"/>
      <c r="G1079" s="613"/>
      <c r="H1079" s="613"/>
      <c r="I1079" s="523"/>
      <c r="J1079" s="612"/>
      <c r="K1079" s="612"/>
      <c r="L1079" s="613"/>
      <c r="M1079" s="613"/>
      <c r="N1079" s="613"/>
      <c r="O1079" s="616"/>
      <c r="P1079" s="613"/>
      <c r="Q1079" s="613"/>
      <c r="R1079" s="613"/>
      <c r="S1079" s="613"/>
      <c r="T1079" s="613"/>
      <c r="U1079" s="613"/>
      <c r="V1079" s="523"/>
      <c r="W1079" s="613"/>
      <c r="X1079" s="613"/>
      <c r="Y1079" s="613"/>
      <c r="Z1079" s="523"/>
      <c r="AA1079" s="613"/>
      <c r="AB1079" s="523"/>
      <c r="AC1079" s="523"/>
    </row>
    <row r="1080">
      <c r="A1080" s="613"/>
      <c r="B1080" s="612"/>
      <c r="C1080" s="613"/>
      <c r="D1080" s="613"/>
      <c r="E1080" s="613"/>
      <c r="F1080" s="613"/>
      <c r="G1080" s="613"/>
      <c r="H1080" s="613"/>
      <c r="I1080" s="523"/>
      <c r="J1080" s="612"/>
      <c r="K1080" s="612"/>
      <c r="L1080" s="613"/>
      <c r="M1080" s="613"/>
      <c r="N1080" s="613"/>
      <c r="O1080" s="616"/>
      <c r="P1080" s="613"/>
      <c r="Q1080" s="613"/>
      <c r="R1080" s="613"/>
      <c r="S1080" s="613"/>
      <c r="T1080" s="613"/>
      <c r="U1080" s="613"/>
      <c r="V1080" s="523"/>
      <c r="W1080" s="613"/>
      <c r="X1080" s="613"/>
      <c r="Y1080" s="613"/>
      <c r="Z1080" s="523"/>
      <c r="AA1080" s="613"/>
      <c r="AB1080" s="523"/>
      <c r="AC1080" s="523"/>
    </row>
    <row r="1081">
      <c r="A1081" s="613"/>
      <c r="B1081" s="612"/>
      <c r="C1081" s="613"/>
      <c r="D1081" s="613"/>
      <c r="E1081" s="613"/>
      <c r="F1081" s="613"/>
      <c r="G1081" s="613"/>
      <c r="H1081" s="613"/>
      <c r="I1081" s="523"/>
      <c r="J1081" s="612"/>
      <c r="K1081" s="612"/>
      <c r="L1081" s="613"/>
      <c r="M1081" s="613"/>
      <c r="N1081" s="613"/>
      <c r="O1081" s="616"/>
      <c r="P1081" s="613"/>
      <c r="Q1081" s="613"/>
      <c r="R1081" s="613"/>
      <c r="S1081" s="613"/>
      <c r="T1081" s="613"/>
      <c r="U1081" s="613"/>
      <c r="V1081" s="523"/>
      <c r="W1081" s="613"/>
      <c r="X1081" s="613"/>
      <c r="Y1081" s="613"/>
      <c r="Z1081" s="523"/>
      <c r="AA1081" s="613"/>
      <c r="AB1081" s="523"/>
      <c r="AC1081" s="523"/>
    </row>
    <row r="1082">
      <c r="A1082" s="613"/>
      <c r="B1082" s="612"/>
      <c r="C1082" s="613"/>
      <c r="D1082" s="613"/>
      <c r="E1082" s="613"/>
      <c r="F1082" s="613"/>
      <c r="G1082" s="613"/>
      <c r="H1082" s="613"/>
      <c r="I1082" s="523"/>
      <c r="J1082" s="612"/>
      <c r="K1082" s="612"/>
      <c r="L1082" s="613"/>
      <c r="M1082" s="613"/>
      <c r="N1082" s="613"/>
      <c r="O1082" s="616"/>
      <c r="P1082" s="613"/>
      <c r="Q1082" s="613"/>
      <c r="R1082" s="613"/>
      <c r="S1082" s="613"/>
      <c r="T1082" s="613"/>
      <c r="U1082" s="613"/>
      <c r="V1082" s="523"/>
      <c r="W1082" s="613"/>
      <c r="X1082" s="613"/>
      <c r="Y1082" s="613"/>
      <c r="Z1082" s="523"/>
      <c r="AA1082" s="613"/>
      <c r="AB1082" s="523"/>
      <c r="AC1082" s="523"/>
    </row>
    <row r="1083">
      <c r="A1083" s="613"/>
      <c r="B1083" s="612"/>
      <c r="C1083" s="613"/>
      <c r="D1083" s="613"/>
      <c r="E1083" s="613"/>
      <c r="F1083" s="613"/>
      <c r="G1083" s="613"/>
      <c r="H1083" s="613"/>
      <c r="I1083" s="523"/>
      <c r="J1083" s="612"/>
      <c r="K1083" s="612"/>
      <c r="L1083" s="613"/>
      <c r="M1083" s="613"/>
      <c r="N1083" s="613"/>
      <c r="O1083" s="616"/>
      <c r="P1083" s="613"/>
      <c r="Q1083" s="613"/>
      <c r="R1083" s="613"/>
      <c r="S1083" s="613"/>
      <c r="T1083" s="613"/>
      <c r="U1083" s="613"/>
      <c r="V1083" s="523"/>
      <c r="W1083" s="613"/>
      <c r="X1083" s="613"/>
      <c r="Y1083" s="613"/>
      <c r="Z1083" s="523"/>
      <c r="AA1083" s="613"/>
      <c r="AB1083" s="523"/>
      <c r="AC1083" s="523"/>
    </row>
    <row r="1084">
      <c r="A1084" s="613"/>
      <c r="B1084" s="612"/>
      <c r="C1084" s="613"/>
      <c r="D1084" s="613"/>
      <c r="E1084" s="613"/>
      <c r="F1084" s="613"/>
      <c r="G1084" s="613"/>
      <c r="H1084" s="613"/>
      <c r="I1084" s="523"/>
      <c r="J1084" s="612"/>
      <c r="K1084" s="612"/>
      <c r="L1084" s="613"/>
      <c r="M1084" s="613"/>
      <c r="N1084" s="613"/>
      <c r="O1084" s="616"/>
      <c r="P1084" s="613"/>
      <c r="Q1084" s="613"/>
      <c r="R1084" s="613"/>
      <c r="S1084" s="613"/>
      <c r="T1084" s="613"/>
      <c r="U1084" s="613"/>
      <c r="V1084" s="523"/>
      <c r="W1084" s="613"/>
      <c r="X1084" s="613"/>
      <c r="Y1084" s="613"/>
      <c r="Z1084" s="523"/>
      <c r="AA1084" s="613"/>
      <c r="AB1084" s="523"/>
      <c r="AC1084" s="523"/>
    </row>
    <row r="1085">
      <c r="A1085" s="613"/>
      <c r="B1085" s="612"/>
      <c r="C1085" s="613"/>
      <c r="D1085" s="613"/>
      <c r="E1085" s="613"/>
      <c r="F1085" s="613"/>
      <c r="G1085" s="613"/>
      <c r="H1085" s="613"/>
      <c r="I1085" s="523"/>
      <c r="J1085" s="612"/>
      <c r="K1085" s="612"/>
      <c r="L1085" s="613"/>
      <c r="M1085" s="613"/>
      <c r="N1085" s="613"/>
      <c r="O1085" s="616"/>
      <c r="P1085" s="613"/>
      <c r="Q1085" s="613"/>
      <c r="R1085" s="613"/>
      <c r="S1085" s="613"/>
      <c r="T1085" s="613"/>
      <c r="U1085" s="613"/>
      <c r="V1085" s="523"/>
      <c r="W1085" s="613"/>
      <c r="X1085" s="613"/>
      <c r="Y1085" s="613"/>
      <c r="Z1085" s="523"/>
      <c r="AA1085" s="613"/>
      <c r="AB1085" s="523"/>
      <c r="AC1085" s="523"/>
    </row>
    <row r="1086">
      <c r="A1086" s="613"/>
      <c r="B1086" s="612"/>
      <c r="C1086" s="613"/>
      <c r="D1086" s="613"/>
      <c r="E1086" s="613"/>
      <c r="F1086" s="613"/>
      <c r="G1086" s="613"/>
      <c r="H1086" s="613"/>
      <c r="I1086" s="523"/>
      <c r="J1086" s="612"/>
      <c r="K1086" s="612"/>
      <c r="L1086" s="613"/>
      <c r="M1086" s="613"/>
      <c r="N1086" s="613"/>
      <c r="O1086" s="616"/>
      <c r="P1086" s="613"/>
      <c r="Q1086" s="613"/>
      <c r="R1086" s="613"/>
      <c r="S1086" s="613"/>
      <c r="T1086" s="613"/>
      <c r="U1086" s="613"/>
      <c r="V1086" s="523"/>
      <c r="W1086" s="613"/>
      <c r="X1086" s="613"/>
      <c r="Y1086" s="613"/>
      <c r="Z1086" s="523"/>
      <c r="AA1086" s="613"/>
      <c r="AB1086" s="523"/>
      <c r="AC1086" s="523"/>
    </row>
    <row r="1087">
      <c r="A1087" s="613"/>
      <c r="B1087" s="612"/>
      <c r="C1087" s="613"/>
      <c r="D1087" s="613"/>
      <c r="E1087" s="613"/>
      <c r="F1087" s="613"/>
      <c r="G1087" s="613"/>
      <c r="H1087" s="613"/>
      <c r="I1087" s="523"/>
      <c r="J1087" s="612"/>
      <c r="K1087" s="612"/>
      <c r="L1087" s="613"/>
      <c r="M1087" s="613"/>
      <c r="N1087" s="613"/>
      <c r="O1087" s="616"/>
      <c r="P1087" s="613"/>
      <c r="Q1087" s="613"/>
      <c r="R1087" s="613"/>
      <c r="S1087" s="613"/>
      <c r="T1087" s="613"/>
      <c r="U1087" s="613"/>
      <c r="V1087" s="523"/>
      <c r="W1087" s="613"/>
      <c r="X1087" s="613"/>
      <c r="Y1087" s="613"/>
      <c r="Z1087" s="523"/>
      <c r="AA1087" s="613"/>
      <c r="AB1087" s="523"/>
      <c r="AC1087" s="523"/>
    </row>
    <row r="1088">
      <c r="A1088" s="613"/>
      <c r="B1088" s="612"/>
      <c r="C1088" s="613"/>
      <c r="D1088" s="613"/>
      <c r="E1088" s="613"/>
      <c r="F1088" s="613"/>
      <c r="G1088" s="613"/>
      <c r="H1088" s="613"/>
      <c r="I1088" s="523"/>
      <c r="J1088" s="612"/>
      <c r="K1088" s="612"/>
      <c r="L1088" s="613"/>
      <c r="M1088" s="613"/>
      <c r="N1088" s="613"/>
      <c r="O1088" s="616"/>
      <c r="P1088" s="613"/>
      <c r="Q1088" s="613"/>
      <c r="R1088" s="613"/>
      <c r="S1088" s="613"/>
      <c r="T1088" s="613"/>
      <c r="U1088" s="613"/>
      <c r="V1088" s="523"/>
      <c r="W1088" s="613"/>
      <c r="X1088" s="613"/>
      <c r="Y1088" s="613"/>
      <c r="Z1088" s="523"/>
      <c r="AA1088" s="613"/>
      <c r="AB1088" s="523"/>
      <c r="AC1088" s="523"/>
    </row>
    <row r="1089">
      <c r="A1089" s="613"/>
      <c r="B1089" s="612"/>
      <c r="C1089" s="613"/>
      <c r="D1089" s="613"/>
      <c r="E1089" s="613"/>
      <c r="F1089" s="613"/>
      <c r="G1089" s="613"/>
      <c r="H1089" s="613"/>
      <c r="I1089" s="523"/>
      <c r="J1089" s="612"/>
      <c r="K1089" s="612"/>
      <c r="L1089" s="613"/>
      <c r="M1089" s="613"/>
      <c r="N1089" s="613"/>
      <c r="O1089" s="616"/>
      <c r="P1089" s="613"/>
      <c r="Q1089" s="613"/>
      <c r="R1089" s="613"/>
      <c r="S1089" s="613"/>
      <c r="T1089" s="613"/>
      <c r="U1089" s="613"/>
      <c r="V1089" s="523"/>
      <c r="W1089" s="613"/>
      <c r="X1089" s="613"/>
      <c r="Y1089" s="613"/>
      <c r="Z1089" s="523"/>
      <c r="AA1089" s="613"/>
      <c r="AB1089" s="523"/>
      <c r="AC1089" s="523"/>
    </row>
    <row r="1090">
      <c r="A1090" s="613"/>
      <c r="B1090" s="612"/>
      <c r="C1090" s="613"/>
      <c r="D1090" s="613"/>
      <c r="E1090" s="613"/>
      <c r="F1090" s="613"/>
      <c r="G1090" s="613"/>
      <c r="H1090" s="613"/>
      <c r="I1090" s="523"/>
      <c r="J1090" s="612"/>
      <c r="K1090" s="612"/>
      <c r="L1090" s="613"/>
      <c r="M1090" s="613"/>
      <c r="N1090" s="613"/>
      <c r="O1090" s="616"/>
      <c r="P1090" s="613"/>
      <c r="Q1090" s="613"/>
      <c r="R1090" s="613"/>
      <c r="S1090" s="613"/>
      <c r="T1090" s="613"/>
      <c r="U1090" s="613"/>
      <c r="V1090" s="523"/>
      <c r="W1090" s="613"/>
      <c r="X1090" s="613"/>
      <c r="Y1090" s="613"/>
      <c r="Z1090" s="523"/>
      <c r="AA1090" s="613"/>
      <c r="AB1090" s="523"/>
      <c r="AC1090" s="523"/>
    </row>
    <row r="1091">
      <c r="A1091" s="613"/>
      <c r="B1091" s="612"/>
      <c r="C1091" s="613"/>
      <c r="D1091" s="613"/>
      <c r="E1091" s="613"/>
      <c r="F1091" s="613"/>
      <c r="G1091" s="613"/>
      <c r="H1091" s="613"/>
      <c r="I1091" s="523"/>
      <c r="J1091" s="612"/>
      <c r="K1091" s="612"/>
      <c r="L1091" s="613"/>
      <c r="M1091" s="613"/>
      <c r="N1091" s="613"/>
      <c r="O1091" s="616"/>
      <c r="P1091" s="613"/>
      <c r="Q1091" s="613"/>
      <c r="R1091" s="613"/>
      <c r="S1091" s="613"/>
      <c r="T1091" s="613"/>
      <c r="U1091" s="613"/>
      <c r="V1091" s="523"/>
      <c r="W1091" s="613"/>
      <c r="X1091" s="613"/>
      <c r="Y1091" s="613"/>
      <c r="Z1091" s="523"/>
      <c r="AA1091" s="613"/>
      <c r="AB1091" s="523"/>
      <c r="AC1091" s="523"/>
    </row>
    <row r="1092">
      <c r="A1092" s="613"/>
      <c r="B1092" s="612"/>
      <c r="C1092" s="613"/>
      <c r="D1092" s="613"/>
      <c r="E1092" s="613"/>
      <c r="F1092" s="613"/>
      <c r="G1092" s="613"/>
      <c r="H1092" s="613"/>
      <c r="I1092" s="523"/>
      <c r="J1092" s="612"/>
      <c r="K1092" s="612"/>
      <c r="L1092" s="613"/>
      <c r="M1092" s="613"/>
      <c r="N1092" s="613"/>
      <c r="O1092" s="616"/>
      <c r="P1092" s="613"/>
      <c r="Q1092" s="613"/>
      <c r="R1092" s="613"/>
      <c r="S1092" s="613"/>
      <c r="T1092" s="613"/>
      <c r="U1092" s="613"/>
      <c r="V1092" s="523"/>
      <c r="W1092" s="613"/>
      <c r="X1092" s="613"/>
      <c r="Y1092" s="613"/>
      <c r="Z1092" s="523"/>
      <c r="AA1092" s="613"/>
      <c r="AB1092" s="523"/>
      <c r="AC1092" s="523"/>
    </row>
    <row r="1093">
      <c r="A1093" s="613"/>
      <c r="B1093" s="612"/>
      <c r="C1093" s="613"/>
      <c r="D1093" s="613"/>
      <c r="E1093" s="613"/>
      <c r="F1093" s="613"/>
      <c r="G1093" s="613"/>
      <c r="H1093" s="613"/>
      <c r="I1093" s="523"/>
      <c r="J1093" s="612"/>
      <c r="K1093" s="612"/>
      <c r="L1093" s="613"/>
      <c r="M1093" s="613"/>
      <c r="N1093" s="613"/>
      <c r="O1093" s="616"/>
      <c r="P1093" s="613"/>
      <c r="Q1093" s="613"/>
      <c r="R1093" s="613"/>
      <c r="S1093" s="613"/>
      <c r="T1093" s="613"/>
      <c r="U1093" s="613"/>
      <c r="V1093" s="523"/>
      <c r="W1093" s="613"/>
      <c r="X1093" s="613"/>
      <c r="Y1093" s="613"/>
      <c r="Z1093" s="523"/>
      <c r="AA1093" s="613"/>
      <c r="AB1093" s="523"/>
      <c r="AC1093" s="523"/>
    </row>
    <row r="1094">
      <c r="A1094" s="613"/>
      <c r="B1094" s="612"/>
      <c r="C1094" s="613"/>
      <c r="D1094" s="613"/>
      <c r="E1094" s="613"/>
      <c r="F1094" s="613"/>
      <c r="G1094" s="613"/>
      <c r="H1094" s="613"/>
      <c r="I1094" s="523"/>
      <c r="J1094" s="612"/>
      <c r="K1094" s="612"/>
      <c r="L1094" s="613"/>
      <c r="M1094" s="613"/>
      <c r="N1094" s="613"/>
      <c r="O1094" s="616"/>
      <c r="P1094" s="613"/>
      <c r="Q1094" s="613"/>
      <c r="R1094" s="613"/>
      <c r="S1094" s="613"/>
      <c r="T1094" s="613"/>
      <c r="U1094" s="613"/>
      <c r="V1094" s="523"/>
      <c r="W1094" s="613"/>
      <c r="X1094" s="613"/>
      <c r="Y1094" s="613"/>
      <c r="Z1094" s="523"/>
      <c r="AA1094" s="613"/>
      <c r="AB1094" s="523"/>
      <c r="AC1094" s="523"/>
    </row>
    <row r="1095">
      <c r="A1095" s="613"/>
      <c r="B1095" s="612"/>
      <c r="C1095" s="613"/>
      <c r="D1095" s="613"/>
      <c r="E1095" s="613"/>
      <c r="F1095" s="613"/>
      <c r="G1095" s="613"/>
      <c r="H1095" s="613"/>
      <c r="I1095" s="523"/>
      <c r="J1095" s="612"/>
      <c r="K1095" s="612"/>
      <c r="L1095" s="613"/>
      <c r="M1095" s="613"/>
      <c r="N1095" s="613"/>
      <c r="O1095" s="616"/>
      <c r="P1095" s="613"/>
      <c r="Q1095" s="613"/>
      <c r="R1095" s="613"/>
      <c r="S1095" s="613"/>
      <c r="T1095" s="613"/>
      <c r="U1095" s="613"/>
      <c r="V1095" s="523"/>
      <c r="W1095" s="613"/>
      <c r="X1095" s="613"/>
      <c r="Y1095" s="613"/>
      <c r="Z1095" s="523"/>
      <c r="AA1095" s="613"/>
      <c r="AB1095" s="523"/>
      <c r="AC1095" s="523"/>
    </row>
    <row r="1096">
      <c r="A1096" s="613"/>
      <c r="B1096" s="612"/>
      <c r="C1096" s="613"/>
      <c r="D1096" s="613"/>
      <c r="E1096" s="613"/>
      <c r="F1096" s="613"/>
      <c r="G1096" s="613"/>
      <c r="H1096" s="613"/>
      <c r="I1096" s="523"/>
      <c r="J1096" s="612"/>
      <c r="K1096" s="612"/>
      <c r="L1096" s="613"/>
      <c r="M1096" s="613"/>
      <c r="N1096" s="613"/>
      <c r="O1096" s="616"/>
      <c r="P1096" s="613"/>
      <c r="Q1096" s="613"/>
      <c r="R1096" s="613"/>
      <c r="S1096" s="613"/>
      <c r="T1096" s="613"/>
      <c r="U1096" s="613"/>
      <c r="V1096" s="523"/>
      <c r="W1096" s="613"/>
      <c r="X1096" s="613"/>
      <c r="Y1096" s="613"/>
      <c r="Z1096" s="523"/>
      <c r="AA1096" s="613"/>
      <c r="AB1096" s="523"/>
      <c r="AC1096" s="523"/>
    </row>
    <row r="1097">
      <c r="A1097" s="613"/>
      <c r="B1097" s="612"/>
      <c r="C1097" s="613"/>
      <c r="D1097" s="613"/>
      <c r="E1097" s="613"/>
      <c r="F1097" s="613"/>
      <c r="G1097" s="613"/>
      <c r="H1097" s="613"/>
      <c r="I1097" s="523"/>
      <c r="J1097" s="612"/>
      <c r="K1097" s="612"/>
      <c r="L1097" s="613"/>
      <c r="M1097" s="613"/>
      <c r="N1097" s="613"/>
      <c r="O1097" s="616"/>
      <c r="P1097" s="613"/>
      <c r="Q1097" s="613"/>
      <c r="R1097" s="613"/>
      <c r="S1097" s="613"/>
      <c r="T1097" s="613"/>
      <c r="U1097" s="613"/>
      <c r="V1097" s="523"/>
      <c r="W1097" s="613"/>
      <c r="X1097" s="613"/>
      <c r="Y1097" s="613"/>
      <c r="Z1097" s="523"/>
      <c r="AA1097" s="613"/>
      <c r="AB1097" s="523"/>
      <c r="AC1097" s="523"/>
    </row>
    <row r="1098">
      <c r="A1098" s="613"/>
      <c r="B1098" s="612"/>
      <c r="C1098" s="613"/>
      <c r="D1098" s="613"/>
      <c r="E1098" s="613"/>
      <c r="F1098" s="613"/>
      <c r="G1098" s="613"/>
      <c r="H1098" s="613"/>
      <c r="I1098" s="523"/>
      <c r="J1098" s="612"/>
      <c r="K1098" s="612"/>
      <c r="L1098" s="613"/>
      <c r="M1098" s="613"/>
      <c r="N1098" s="613"/>
      <c r="O1098" s="616"/>
      <c r="P1098" s="613"/>
      <c r="Q1098" s="613"/>
      <c r="R1098" s="613"/>
      <c r="S1098" s="613"/>
      <c r="T1098" s="613"/>
      <c r="U1098" s="613"/>
      <c r="V1098" s="523"/>
      <c r="W1098" s="613"/>
      <c r="X1098" s="613"/>
      <c r="Y1098" s="613"/>
      <c r="Z1098" s="523"/>
      <c r="AA1098" s="613"/>
      <c r="AB1098" s="523"/>
      <c r="AC1098" s="523"/>
    </row>
    <row r="1099">
      <c r="A1099" s="613"/>
      <c r="B1099" s="612"/>
      <c r="C1099" s="613"/>
      <c r="D1099" s="613"/>
      <c r="E1099" s="613"/>
      <c r="F1099" s="613"/>
      <c r="G1099" s="613"/>
      <c r="H1099" s="613"/>
      <c r="I1099" s="523"/>
      <c r="J1099" s="612"/>
      <c r="K1099" s="612"/>
      <c r="L1099" s="613"/>
      <c r="M1099" s="613"/>
      <c r="N1099" s="613"/>
      <c r="O1099" s="616"/>
      <c r="P1099" s="613"/>
      <c r="Q1099" s="613"/>
      <c r="R1099" s="613"/>
      <c r="S1099" s="613"/>
      <c r="T1099" s="613"/>
      <c r="U1099" s="613"/>
      <c r="V1099" s="523"/>
      <c r="W1099" s="613"/>
      <c r="X1099" s="613"/>
      <c r="Y1099" s="613"/>
      <c r="Z1099" s="523"/>
      <c r="AA1099" s="613"/>
      <c r="AB1099" s="523"/>
      <c r="AC1099" s="523"/>
    </row>
    <row r="1100">
      <c r="A1100" s="613"/>
      <c r="B1100" s="612"/>
      <c r="C1100" s="613"/>
      <c r="D1100" s="613"/>
      <c r="E1100" s="613"/>
      <c r="F1100" s="613"/>
      <c r="G1100" s="613"/>
      <c r="H1100" s="613"/>
      <c r="I1100" s="523"/>
      <c r="J1100" s="612"/>
      <c r="K1100" s="612"/>
      <c r="L1100" s="613"/>
      <c r="M1100" s="613"/>
      <c r="N1100" s="613"/>
      <c r="O1100" s="616"/>
      <c r="P1100" s="613"/>
      <c r="Q1100" s="613"/>
      <c r="R1100" s="613"/>
      <c r="S1100" s="613"/>
      <c r="T1100" s="613"/>
      <c r="U1100" s="613"/>
      <c r="V1100" s="523"/>
      <c r="W1100" s="613"/>
      <c r="X1100" s="613"/>
      <c r="Y1100" s="613"/>
      <c r="Z1100" s="523"/>
      <c r="AA1100" s="613"/>
      <c r="AB1100" s="523"/>
      <c r="AC1100" s="523"/>
    </row>
    <row r="1101">
      <c r="A1101" s="613"/>
      <c r="B1101" s="612"/>
      <c r="C1101" s="613"/>
      <c r="D1101" s="613"/>
      <c r="E1101" s="613"/>
      <c r="F1101" s="613"/>
      <c r="G1101" s="613"/>
      <c r="H1101" s="613"/>
      <c r="I1101" s="523"/>
      <c r="J1101" s="612"/>
      <c r="K1101" s="612"/>
      <c r="L1101" s="613"/>
      <c r="M1101" s="613"/>
      <c r="N1101" s="613"/>
      <c r="O1101" s="616"/>
      <c r="P1101" s="613"/>
      <c r="Q1101" s="613"/>
      <c r="R1101" s="613"/>
      <c r="S1101" s="613"/>
      <c r="T1101" s="613"/>
      <c r="U1101" s="613"/>
      <c r="V1101" s="523"/>
      <c r="W1101" s="613"/>
      <c r="X1101" s="613"/>
      <c r="Y1101" s="613"/>
      <c r="Z1101" s="523"/>
      <c r="AA1101" s="613"/>
      <c r="AB1101" s="523"/>
      <c r="AC1101" s="523"/>
    </row>
    <row r="1102">
      <c r="A1102" s="613"/>
      <c r="B1102" s="612"/>
      <c r="C1102" s="613"/>
      <c r="D1102" s="613"/>
      <c r="E1102" s="613"/>
      <c r="F1102" s="613"/>
      <c r="G1102" s="613"/>
      <c r="H1102" s="613"/>
      <c r="I1102" s="523"/>
      <c r="J1102" s="612"/>
      <c r="K1102" s="612"/>
      <c r="L1102" s="613"/>
      <c r="M1102" s="613"/>
      <c r="N1102" s="613"/>
      <c r="O1102" s="616"/>
      <c r="P1102" s="613"/>
      <c r="Q1102" s="613"/>
      <c r="R1102" s="613"/>
      <c r="S1102" s="613"/>
      <c r="T1102" s="613"/>
      <c r="U1102" s="613"/>
      <c r="V1102" s="523"/>
      <c r="W1102" s="613"/>
      <c r="X1102" s="613"/>
      <c r="Y1102" s="613"/>
      <c r="Z1102" s="523"/>
      <c r="AA1102" s="613"/>
      <c r="AB1102" s="523"/>
      <c r="AC1102" s="523"/>
    </row>
    <row r="1103">
      <c r="A1103" s="613"/>
      <c r="B1103" s="612"/>
      <c r="C1103" s="613"/>
      <c r="D1103" s="613"/>
      <c r="E1103" s="613"/>
      <c r="F1103" s="613"/>
      <c r="G1103" s="613"/>
      <c r="H1103" s="613"/>
      <c r="I1103" s="523"/>
      <c r="J1103" s="612"/>
      <c r="K1103" s="612"/>
      <c r="L1103" s="613"/>
      <c r="M1103" s="613"/>
      <c r="N1103" s="613"/>
      <c r="O1103" s="616"/>
      <c r="P1103" s="613"/>
      <c r="Q1103" s="613"/>
      <c r="R1103" s="613"/>
      <c r="S1103" s="613"/>
      <c r="T1103" s="613"/>
      <c r="U1103" s="613"/>
      <c r="V1103" s="523"/>
      <c r="W1103" s="613"/>
      <c r="X1103" s="613"/>
      <c r="Y1103" s="613"/>
      <c r="Z1103" s="523"/>
      <c r="AA1103" s="613"/>
      <c r="AB1103" s="523"/>
      <c r="AC1103" s="523"/>
    </row>
    <row r="1104">
      <c r="A1104" s="613"/>
      <c r="B1104" s="612"/>
      <c r="C1104" s="613"/>
      <c r="D1104" s="613"/>
      <c r="E1104" s="613"/>
      <c r="F1104" s="613"/>
      <c r="G1104" s="613"/>
      <c r="H1104" s="613"/>
      <c r="I1104" s="523"/>
      <c r="J1104" s="612"/>
      <c r="K1104" s="612"/>
      <c r="L1104" s="613"/>
      <c r="M1104" s="613"/>
      <c r="N1104" s="613"/>
      <c r="O1104" s="616"/>
      <c r="P1104" s="613"/>
      <c r="Q1104" s="613"/>
      <c r="R1104" s="613"/>
      <c r="S1104" s="613"/>
      <c r="T1104" s="613"/>
      <c r="U1104" s="613"/>
      <c r="V1104" s="523"/>
      <c r="W1104" s="613"/>
      <c r="X1104" s="613"/>
      <c r="Y1104" s="613"/>
      <c r="Z1104" s="523"/>
      <c r="AA1104" s="613"/>
      <c r="AB1104" s="523"/>
      <c r="AC1104" s="523"/>
    </row>
    <row r="1105">
      <c r="A1105" s="613"/>
      <c r="B1105" s="612"/>
      <c r="C1105" s="613"/>
      <c r="D1105" s="613"/>
      <c r="E1105" s="613"/>
      <c r="F1105" s="613"/>
      <c r="G1105" s="613"/>
      <c r="H1105" s="613"/>
      <c r="I1105" s="523"/>
      <c r="J1105" s="612"/>
      <c r="K1105" s="612"/>
      <c r="L1105" s="613"/>
      <c r="M1105" s="613"/>
      <c r="N1105" s="613"/>
      <c r="O1105" s="616"/>
      <c r="P1105" s="613"/>
      <c r="Q1105" s="613"/>
      <c r="R1105" s="613"/>
      <c r="S1105" s="613"/>
      <c r="T1105" s="613"/>
      <c r="U1105" s="613"/>
      <c r="V1105" s="523"/>
      <c r="W1105" s="613"/>
      <c r="X1105" s="613"/>
      <c r="Y1105" s="613"/>
      <c r="Z1105" s="523"/>
      <c r="AA1105" s="613"/>
      <c r="AB1105" s="523"/>
      <c r="AC1105" s="523"/>
    </row>
    <row r="1106">
      <c r="A1106" s="613"/>
      <c r="B1106" s="612"/>
      <c r="C1106" s="613"/>
      <c r="D1106" s="613"/>
      <c r="E1106" s="613"/>
      <c r="F1106" s="613"/>
      <c r="G1106" s="613"/>
      <c r="H1106" s="613"/>
      <c r="I1106" s="523"/>
      <c r="J1106" s="612"/>
      <c r="K1106" s="612"/>
      <c r="L1106" s="613"/>
      <c r="M1106" s="613"/>
      <c r="N1106" s="613"/>
      <c r="O1106" s="616"/>
      <c r="P1106" s="613"/>
      <c r="Q1106" s="613"/>
      <c r="R1106" s="613"/>
      <c r="S1106" s="613"/>
      <c r="T1106" s="613"/>
      <c r="U1106" s="613"/>
      <c r="V1106" s="523"/>
      <c r="W1106" s="613"/>
      <c r="X1106" s="613"/>
      <c r="Y1106" s="613"/>
      <c r="Z1106" s="523"/>
      <c r="AA1106" s="613"/>
      <c r="AB1106" s="523"/>
      <c r="AC1106" s="523"/>
    </row>
    <row r="1107">
      <c r="A1107" s="613"/>
      <c r="B1107" s="612"/>
      <c r="C1107" s="613"/>
      <c r="D1107" s="613"/>
      <c r="E1107" s="613"/>
      <c r="F1107" s="613"/>
      <c r="G1107" s="613"/>
      <c r="H1107" s="613"/>
      <c r="I1107" s="523"/>
      <c r="J1107" s="612"/>
      <c r="K1107" s="612"/>
      <c r="L1107" s="613"/>
      <c r="M1107" s="613"/>
      <c r="N1107" s="613"/>
      <c r="O1107" s="616"/>
      <c r="P1107" s="613"/>
      <c r="Q1107" s="613"/>
      <c r="R1107" s="613"/>
      <c r="S1107" s="613"/>
      <c r="T1107" s="613"/>
      <c r="U1107" s="613"/>
      <c r="V1107" s="523"/>
      <c r="W1107" s="613"/>
      <c r="X1107" s="613"/>
      <c r="Y1107" s="613"/>
      <c r="Z1107" s="523"/>
      <c r="AA1107" s="613"/>
      <c r="AB1107" s="523"/>
      <c r="AC1107" s="523"/>
    </row>
    <row r="1108">
      <c r="A1108" s="613"/>
      <c r="B1108" s="612"/>
      <c r="C1108" s="613"/>
      <c r="D1108" s="613"/>
      <c r="E1108" s="613"/>
      <c r="F1108" s="613"/>
      <c r="G1108" s="613"/>
      <c r="H1108" s="613"/>
      <c r="I1108" s="523"/>
      <c r="J1108" s="612"/>
      <c r="K1108" s="612"/>
      <c r="L1108" s="613"/>
      <c r="M1108" s="613"/>
      <c r="N1108" s="613"/>
      <c r="O1108" s="616"/>
      <c r="P1108" s="613"/>
      <c r="Q1108" s="613"/>
      <c r="R1108" s="613"/>
      <c r="S1108" s="613"/>
      <c r="T1108" s="613"/>
      <c r="U1108" s="613"/>
      <c r="V1108" s="523"/>
      <c r="W1108" s="613"/>
      <c r="X1108" s="613"/>
      <c r="Y1108" s="613"/>
      <c r="Z1108" s="523"/>
      <c r="AA1108" s="613"/>
      <c r="AB1108" s="523"/>
      <c r="AC1108" s="523"/>
    </row>
    <row r="1109">
      <c r="A1109" s="613"/>
      <c r="B1109" s="612"/>
      <c r="C1109" s="613"/>
      <c r="D1109" s="613"/>
      <c r="E1109" s="613"/>
      <c r="F1109" s="613"/>
      <c r="G1109" s="613"/>
      <c r="H1109" s="613"/>
      <c r="I1109" s="523"/>
      <c r="J1109" s="612"/>
      <c r="K1109" s="612"/>
      <c r="L1109" s="613"/>
      <c r="M1109" s="613"/>
      <c r="N1109" s="613"/>
      <c r="O1109" s="616"/>
      <c r="P1109" s="613"/>
      <c r="Q1109" s="613"/>
      <c r="R1109" s="613"/>
      <c r="S1109" s="613"/>
      <c r="T1109" s="613"/>
      <c r="U1109" s="613"/>
      <c r="V1109" s="523"/>
      <c r="W1109" s="613"/>
      <c r="X1109" s="613"/>
      <c r="Y1109" s="613"/>
      <c r="Z1109" s="523"/>
      <c r="AA1109" s="613"/>
      <c r="AB1109" s="523"/>
      <c r="AC1109" s="523"/>
    </row>
    <row r="1110">
      <c r="A1110" s="613"/>
      <c r="B1110" s="612"/>
      <c r="C1110" s="613"/>
      <c r="D1110" s="613"/>
      <c r="E1110" s="613"/>
      <c r="F1110" s="613"/>
      <c r="G1110" s="613"/>
      <c r="H1110" s="613"/>
      <c r="I1110" s="523"/>
      <c r="J1110" s="612"/>
      <c r="K1110" s="612"/>
      <c r="L1110" s="613"/>
      <c r="M1110" s="613"/>
      <c r="N1110" s="613"/>
      <c r="O1110" s="616"/>
      <c r="P1110" s="613"/>
      <c r="Q1110" s="613"/>
      <c r="R1110" s="613"/>
      <c r="S1110" s="613"/>
      <c r="T1110" s="613"/>
      <c r="U1110" s="613"/>
      <c r="V1110" s="523"/>
      <c r="W1110" s="613"/>
      <c r="X1110" s="613"/>
      <c r="Y1110" s="613"/>
      <c r="Z1110" s="523"/>
      <c r="AA1110" s="613"/>
      <c r="AB1110" s="523"/>
      <c r="AC1110" s="523"/>
    </row>
    <row r="1111">
      <c r="A1111" s="613"/>
      <c r="B1111" s="612"/>
      <c r="C1111" s="613"/>
      <c r="D1111" s="613"/>
      <c r="E1111" s="613"/>
      <c r="F1111" s="613"/>
      <c r="G1111" s="613"/>
      <c r="H1111" s="613"/>
      <c r="I1111" s="523"/>
      <c r="J1111" s="612"/>
      <c r="K1111" s="612"/>
      <c r="L1111" s="613"/>
      <c r="M1111" s="613"/>
      <c r="N1111" s="613"/>
      <c r="O1111" s="616"/>
      <c r="P1111" s="613"/>
      <c r="Q1111" s="613"/>
      <c r="R1111" s="613"/>
      <c r="S1111" s="613"/>
      <c r="T1111" s="613"/>
      <c r="U1111" s="613"/>
      <c r="V1111" s="523"/>
      <c r="W1111" s="613"/>
      <c r="X1111" s="613"/>
      <c r="Y1111" s="613"/>
      <c r="Z1111" s="523"/>
      <c r="AA1111" s="613"/>
      <c r="AB1111" s="523"/>
      <c r="AC1111" s="523"/>
    </row>
    <row r="1112">
      <c r="A1112" s="613"/>
      <c r="B1112" s="612"/>
      <c r="C1112" s="613"/>
      <c r="D1112" s="613"/>
      <c r="E1112" s="613"/>
      <c r="F1112" s="613"/>
      <c r="G1112" s="613"/>
      <c r="H1112" s="613"/>
      <c r="I1112" s="523"/>
      <c r="J1112" s="612"/>
      <c r="K1112" s="612"/>
      <c r="L1112" s="613"/>
      <c r="M1112" s="613"/>
      <c r="N1112" s="613"/>
      <c r="O1112" s="616"/>
      <c r="P1112" s="613"/>
      <c r="Q1112" s="613"/>
      <c r="R1112" s="613"/>
      <c r="S1112" s="613"/>
      <c r="T1112" s="613"/>
      <c r="U1112" s="613"/>
      <c r="V1112" s="523"/>
      <c r="W1112" s="613"/>
      <c r="X1112" s="613"/>
      <c r="Y1112" s="613"/>
      <c r="Z1112" s="523"/>
      <c r="AA1112" s="613"/>
      <c r="AB1112" s="523"/>
      <c r="AC1112" s="523"/>
    </row>
    <row r="1113">
      <c r="A1113" s="613"/>
      <c r="B1113" s="612"/>
      <c r="C1113" s="613"/>
      <c r="D1113" s="613"/>
      <c r="E1113" s="613"/>
      <c r="F1113" s="613"/>
      <c r="G1113" s="613"/>
      <c r="H1113" s="613"/>
      <c r="I1113" s="523"/>
      <c r="J1113" s="612"/>
      <c r="K1113" s="612"/>
      <c r="L1113" s="613"/>
      <c r="M1113" s="613"/>
      <c r="N1113" s="613"/>
      <c r="O1113" s="616"/>
      <c r="P1113" s="613"/>
      <c r="Q1113" s="613"/>
      <c r="R1113" s="613"/>
      <c r="S1113" s="613"/>
      <c r="T1113" s="613"/>
      <c r="U1113" s="613"/>
      <c r="V1113" s="523"/>
      <c r="W1113" s="613"/>
      <c r="X1113" s="613"/>
      <c r="Y1113" s="613"/>
      <c r="Z1113" s="523"/>
      <c r="AA1113" s="613"/>
      <c r="AB1113" s="523"/>
      <c r="AC1113" s="523"/>
    </row>
    <row r="1114">
      <c r="A1114" s="613"/>
      <c r="B1114" s="612"/>
      <c r="C1114" s="613"/>
      <c r="D1114" s="613"/>
      <c r="E1114" s="613"/>
      <c r="F1114" s="613"/>
      <c r="G1114" s="613"/>
      <c r="H1114" s="613"/>
      <c r="I1114" s="523"/>
      <c r="J1114" s="612"/>
      <c r="K1114" s="612"/>
      <c r="L1114" s="613"/>
      <c r="M1114" s="613"/>
      <c r="N1114" s="613"/>
      <c r="O1114" s="616"/>
      <c r="P1114" s="613"/>
      <c r="Q1114" s="613"/>
      <c r="R1114" s="613"/>
      <c r="S1114" s="613"/>
      <c r="T1114" s="613"/>
      <c r="U1114" s="613"/>
      <c r="V1114" s="523"/>
      <c r="W1114" s="613"/>
      <c r="X1114" s="613"/>
      <c r="Y1114" s="613"/>
      <c r="Z1114" s="523"/>
      <c r="AA1114" s="613"/>
      <c r="AB1114" s="523"/>
      <c r="AC1114" s="523"/>
    </row>
    <row r="1115">
      <c r="A1115" s="613"/>
      <c r="B1115" s="612"/>
      <c r="C1115" s="613"/>
      <c r="D1115" s="613"/>
      <c r="E1115" s="613"/>
      <c r="F1115" s="613"/>
      <c r="G1115" s="613"/>
      <c r="H1115" s="613"/>
      <c r="I1115" s="523"/>
      <c r="J1115" s="612"/>
      <c r="K1115" s="612"/>
      <c r="L1115" s="613"/>
      <c r="M1115" s="613"/>
      <c r="N1115" s="613"/>
      <c r="O1115" s="616"/>
      <c r="P1115" s="613"/>
      <c r="Q1115" s="613"/>
      <c r="R1115" s="613"/>
      <c r="S1115" s="613"/>
      <c r="T1115" s="613"/>
      <c r="U1115" s="613"/>
      <c r="V1115" s="523"/>
      <c r="W1115" s="613"/>
      <c r="X1115" s="613"/>
      <c r="Y1115" s="613"/>
      <c r="Z1115" s="523"/>
      <c r="AA1115" s="613"/>
      <c r="AB1115" s="523"/>
      <c r="AC1115" s="523"/>
    </row>
    <row r="1116">
      <c r="A1116" s="613"/>
      <c r="B1116" s="612"/>
      <c r="C1116" s="613"/>
      <c r="D1116" s="613"/>
      <c r="E1116" s="613"/>
      <c r="F1116" s="613"/>
      <c r="G1116" s="613"/>
      <c r="H1116" s="613"/>
      <c r="I1116" s="523"/>
      <c r="J1116" s="612"/>
      <c r="K1116" s="612"/>
      <c r="L1116" s="613"/>
      <c r="M1116" s="613"/>
      <c r="N1116" s="613"/>
      <c r="O1116" s="616"/>
      <c r="P1116" s="613"/>
      <c r="Q1116" s="613"/>
      <c r="R1116" s="613"/>
      <c r="S1116" s="613"/>
      <c r="T1116" s="613"/>
      <c r="U1116" s="613"/>
      <c r="V1116" s="523"/>
      <c r="W1116" s="613"/>
      <c r="X1116" s="613"/>
      <c r="Y1116" s="613"/>
      <c r="Z1116" s="523"/>
      <c r="AA1116" s="613"/>
      <c r="AB1116" s="523"/>
      <c r="AC1116" s="523"/>
    </row>
    <row r="1117">
      <c r="A1117" s="613"/>
      <c r="B1117" s="612"/>
      <c r="C1117" s="613"/>
      <c r="D1117" s="613"/>
      <c r="E1117" s="613"/>
      <c r="F1117" s="613"/>
      <c r="G1117" s="613"/>
      <c r="H1117" s="613"/>
      <c r="I1117" s="523"/>
      <c r="J1117" s="612"/>
      <c r="K1117" s="612"/>
      <c r="L1117" s="613"/>
      <c r="M1117" s="613"/>
      <c r="N1117" s="613"/>
      <c r="O1117" s="616"/>
      <c r="P1117" s="613"/>
      <c r="Q1117" s="613"/>
      <c r="R1117" s="613"/>
      <c r="S1117" s="613"/>
      <c r="T1117" s="613"/>
      <c r="U1117" s="613"/>
      <c r="V1117" s="523"/>
      <c r="W1117" s="613"/>
      <c r="X1117" s="613"/>
      <c r="Y1117" s="613"/>
      <c r="Z1117" s="523"/>
      <c r="AA1117" s="613"/>
      <c r="AB1117" s="523"/>
      <c r="AC1117" s="523"/>
    </row>
    <row r="1118">
      <c r="A1118" s="613"/>
      <c r="B1118" s="612"/>
      <c r="C1118" s="613"/>
      <c r="D1118" s="613"/>
      <c r="E1118" s="613"/>
      <c r="F1118" s="613"/>
      <c r="G1118" s="613"/>
      <c r="H1118" s="613"/>
      <c r="I1118" s="523"/>
      <c r="J1118" s="612"/>
      <c r="K1118" s="612"/>
      <c r="L1118" s="613"/>
      <c r="M1118" s="613"/>
      <c r="N1118" s="613"/>
      <c r="O1118" s="616"/>
      <c r="P1118" s="613"/>
      <c r="Q1118" s="613"/>
      <c r="R1118" s="613"/>
      <c r="S1118" s="613"/>
      <c r="T1118" s="613"/>
      <c r="U1118" s="613"/>
      <c r="V1118" s="523"/>
      <c r="W1118" s="613"/>
      <c r="X1118" s="613"/>
      <c r="Y1118" s="613"/>
      <c r="Z1118" s="523"/>
      <c r="AA1118" s="613"/>
      <c r="AB1118" s="523"/>
      <c r="AC1118" s="523"/>
    </row>
    <row r="1119">
      <c r="A1119" s="613"/>
      <c r="B1119" s="612"/>
      <c r="C1119" s="613"/>
      <c r="D1119" s="613"/>
      <c r="E1119" s="613"/>
      <c r="F1119" s="613"/>
      <c r="G1119" s="613"/>
      <c r="H1119" s="613"/>
      <c r="I1119" s="523"/>
      <c r="J1119" s="612"/>
      <c r="K1119" s="612"/>
      <c r="L1119" s="613"/>
      <c r="M1119" s="613"/>
      <c r="N1119" s="613"/>
      <c r="O1119" s="616"/>
      <c r="P1119" s="613"/>
      <c r="Q1119" s="613"/>
      <c r="R1119" s="613"/>
      <c r="S1119" s="613"/>
      <c r="T1119" s="613"/>
      <c r="U1119" s="613"/>
      <c r="V1119" s="523"/>
      <c r="W1119" s="613"/>
      <c r="X1119" s="613"/>
      <c r="Y1119" s="613"/>
      <c r="Z1119" s="523"/>
      <c r="AA1119" s="613"/>
      <c r="AB1119" s="523"/>
      <c r="AC1119" s="523"/>
    </row>
    <row r="1120">
      <c r="A1120" s="613"/>
      <c r="B1120" s="612"/>
      <c r="C1120" s="613"/>
      <c r="D1120" s="613"/>
      <c r="E1120" s="613"/>
      <c r="F1120" s="613"/>
      <c r="G1120" s="613"/>
      <c r="H1120" s="613"/>
      <c r="I1120" s="523"/>
      <c r="J1120" s="612"/>
      <c r="K1120" s="612"/>
      <c r="L1120" s="613"/>
      <c r="M1120" s="613"/>
      <c r="N1120" s="613"/>
      <c r="O1120" s="616"/>
      <c r="P1120" s="613"/>
      <c r="Q1120" s="613"/>
      <c r="R1120" s="613"/>
      <c r="S1120" s="613"/>
      <c r="T1120" s="613"/>
      <c r="U1120" s="613"/>
      <c r="V1120" s="523"/>
      <c r="W1120" s="613"/>
      <c r="X1120" s="613"/>
      <c r="Y1120" s="613"/>
      <c r="Z1120" s="523"/>
      <c r="AA1120" s="613"/>
      <c r="AB1120" s="523"/>
      <c r="AC1120" s="523"/>
    </row>
    <row r="1121">
      <c r="A1121" s="613"/>
      <c r="B1121" s="612"/>
      <c r="C1121" s="613"/>
      <c r="D1121" s="613"/>
      <c r="E1121" s="613"/>
      <c r="F1121" s="613"/>
      <c r="G1121" s="613"/>
      <c r="H1121" s="613"/>
      <c r="I1121" s="523"/>
      <c r="J1121" s="612"/>
      <c r="K1121" s="612"/>
      <c r="L1121" s="613"/>
      <c r="M1121" s="613"/>
      <c r="N1121" s="613"/>
      <c r="O1121" s="616"/>
      <c r="P1121" s="613"/>
      <c r="Q1121" s="613"/>
      <c r="R1121" s="613"/>
      <c r="S1121" s="613"/>
      <c r="T1121" s="613"/>
      <c r="U1121" s="613"/>
      <c r="V1121" s="523"/>
      <c r="W1121" s="613"/>
      <c r="X1121" s="613"/>
      <c r="Y1121" s="613"/>
      <c r="Z1121" s="523"/>
      <c r="AA1121" s="613"/>
      <c r="AB1121" s="523"/>
      <c r="AC1121" s="523"/>
    </row>
    <row r="1122">
      <c r="A1122" s="613"/>
      <c r="B1122" s="612"/>
      <c r="C1122" s="613"/>
      <c r="D1122" s="613"/>
      <c r="E1122" s="613"/>
      <c r="F1122" s="613"/>
      <c r="G1122" s="613"/>
      <c r="H1122" s="613"/>
      <c r="I1122" s="523"/>
      <c r="J1122" s="612"/>
      <c r="K1122" s="612"/>
      <c r="L1122" s="613"/>
      <c r="M1122" s="613"/>
      <c r="N1122" s="613"/>
      <c r="O1122" s="616"/>
      <c r="P1122" s="613"/>
      <c r="Q1122" s="613"/>
      <c r="R1122" s="613"/>
      <c r="S1122" s="613"/>
      <c r="T1122" s="613"/>
      <c r="U1122" s="613"/>
      <c r="V1122" s="523"/>
      <c r="W1122" s="613"/>
      <c r="X1122" s="613"/>
      <c r="Y1122" s="613"/>
      <c r="Z1122" s="523"/>
      <c r="AA1122" s="613"/>
      <c r="AB1122" s="523"/>
      <c r="AC1122" s="523"/>
    </row>
    <row r="1123">
      <c r="A1123" s="613"/>
      <c r="B1123" s="612"/>
      <c r="C1123" s="613"/>
      <c r="D1123" s="613"/>
      <c r="E1123" s="613"/>
      <c r="F1123" s="613"/>
      <c r="G1123" s="613"/>
      <c r="H1123" s="613"/>
      <c r="I1123" s="523"/>
      <c r="J1123" s="612"/>
      <c r="K1123" s="612"/>
      <c r="L1123" s="613"/>
      <c r="M1123" s="613"/>
      <c r="N1123" s="613"/>
      <c r="O1123" s="616"/>
      <c r="P1123" s="613"/>
      <c r="Q1123" s="613"/>
      <c r="R1123" s="613"/>
      <c r="S1123" s="613"/>
      <c r="T1123" s="613"/>
      <c r="U1123" s="613"/>
      <c r="V1123" s="523"/>
      <c r="W1123" s="613"/>
      <c r="X1123" s="613"/>
      <c r="Y1123" s="613"/>
      <c r="Z1123" s="523"/>
      <c r="AA1123" s="613"/>
      <c r="AB1123" s="523"/>
      <c r="AC1123" s="523"/>
    </row>
    <row r="1124">
      <c r="A1124" s="613"/>
      <c r="B1124" s="612"/>
      <c r="C1124" s="613"/>
      <c r="D1124" s="613"/>
      <c r="E1124" s="613"/>
      <c r="F1124" s="613"/>
      <c r="G1124" s="613"/>
      <c r="H1124" s="613"/>
      <c r="I1124" s="523"/>
      <c r="J1124" s="612"/>
      <c r="K1124" s="612"/>
      <c r="L1124" s="613"/>
      <c r="M1124" s="613"/>
      <c r="N1124" s="613"/>
      <c r="O1124" s="616"/>
      <c r="P1124" s="613"/>
      <c r="Q1124" s="613"/>
      <c r="R1124" s="613"/>
      <c r="S1124" s="613"/>
      <c r="T1124" s="613"/>
      <c r="U1124" s="613"/>
      <c r="V1124" s="523"/>
      <c r="W1124" s="613"/>
      <c r="X1124" s="613"/>
      <c r="Y1124" s="613"/>
      <c r="Z1124" s="523"/>
      <c r="AA1124" s="613"/>
      <c r="AB1124" s="523"/>
      <c r="AC1124" s="523"/>
    </row>
    <row r="1125">
      <c r="A1125" s="613"/>
      <c r="B1125" s="612"/>
      <c r="C1125" s="613"/>
      <c r="D1125" s="613"/>
      <c r="E1125" s="613"/>
      <c r="F1125" s="613"/>
      <c r="G1125" s="613"/>
      <c r="H1125" s="613"/>
      <c r="I1125" s="523"/>
      <c r="J1125" s="612"/>
      <c r="K1125" s="612"/>
      <c r="L1125" s="613"/>
      <c r="M1125" s="613"/>
      <c r="N1125" s="613"/>
      <c r="O1125" s="616"/>
      <c r="P1125" s="613"/>
      <c r="Q1125" s="613"/>
      <c r="R1125" s="613"/>
      <c r="S1125" s="613"/>
      <c r="T1125" s="613"/>
      <c r="U1125" s="613"/>
      <c r="V1125" s="523"/>
      <c r="W1125" s="613"/>
      <c r="X1125" s="613"/>
      <c r="Y1125" s="613"/>
      <c r="Z1125" s="523"/>
      <c r="AA1125" s="613"/>
      <c r="AB1125" s="523"/>
      <c r="AC1125" s="523"/>
    </row>
    <row r="1126">
      <c r="A1126" s="613"/>
      <c r="B1126" s="612"/>
      <c r="C1126" s="613"/>
      <c r="D1126" s="613"/>
      <c r="E1126" s="613"/>
      <c r="F1126" s="613"/>
      <c r="G1126" s="613"/>
      <c r="H1126" s="613"/>
      <c r="I1126" s="523"/>
      <c r="J1126" s="612"/>
      <c r="K1126" s="612"/>
      <c r="L1126" s="613"/>
      <c r="M1126" s="613"/>
      <c r="N1126" s="613"/>
      <c r="O1126" s="616"/>
      <c r="P1126" s="613"/>
      <c r="Q1126" s="613"/>
      <c r="R1126" s="613"/>
      <c r="S1126" s="613"/>
      <c r="T1126" s="613"/>
      <c r="U1126" s="613"/>
      <c r="V1126" s="523"/>
      <c r="W1126" s="613"/>
      <c r="X1126" s="613"/>
      <c r="Y1126" s="613"/>
      <c r="Z1126" s="523"/>
      <c r="AA1126" s="613"/>
      <c r="AB1126" s="523"/>
      <c r="AC1126" s="523"/>
    </row>
    <row r="1127">
      <c r="A1127" s="613"/>
      <c r="B1127" s="612"/>
      <c r="C1127" s="613"/>
      <c r="D1127" s="613"/>
      <c r="E1127" s="613"/>
      <c r="F1127" s="613"/>
      <c r="G1127" s="613"/>
      <c r="H1127" s="613"/>
      <c r="I1127" s="523"/>
      <c r="J1127" s="612"/>
      <c r="K1127" s="612"/>
      <c r="L1127" s="613"/>
      <c r="M1127" s="613"/>
      <c r="N1127" s="613"/>
      <c r="O1127" s="616"/>
      <c r="P1127" s="613"/>
      <c r="Q1127" s="613"/>
      <c r="R1127" s="613"/>
      <c r="S1127" s="613"/>
      <c r="T1127" s="613"/>
      <c r="U1127" s="613"/>
      <c r="V1127" s="523"/>
      <c r="W1127" s="613"/>
      <c r="X1127" s="613"/>
      <c r="Y1127" s="613"/>
      <c r="Z1127" s="523"/>
      <c r="AA1127" s="613"/>
      <c r="AB1127" s="523"/>
      <c r="AC1127" s="523"/>
    </row>
    <row r="1128">
      <c r="A1128" s="613"/>
      <c r="B1128" s="612"/>
      <c r="C1128" s="613"/>
      <c r="D1128" s="613"/>
      <c r="E1128" s="613"/>
      <c r="F1128" s="613"/>
      <c r="G1128" s="613"/>
      <c r="H1128" s="613"/>
      <c r="I1128" s="523"/>
      <c r="J1128" s="612"/>
      <c r="K1128" s="612"/>
      <c r="L1128" s="613"/>
      <c r="M1128" s="613"/>
      <c r="N1128" s="613"/>
      <c r="O1128" s="616"/>
      <c r="P1128" s="613"/>
      <c r="Q1128" s="613"/>
      <c r="R1128" s="613"/>
      <c r="S1128" s="613"/>
      <c r="T1128" s="613"/>
      <c r="U1128" s="613"/>
      <c r="V1128" s="523"/>
      <c r="W1128" s="613"/>
      <c r="X1128" s="613"/>
      <c r="Y1128" s="613"/>
      <c r="Z1128" s="523"/>
      <c r="AA1128" s="613"/>
      <c r="AB1128" s="523"/>
      <c r="AC1128" s="523"/>
    </row>
    <row r="1129">
      <c r="A1129" s="613"/>
      <c r="B1129" s="612"/>
      <c r="C1129" s="613"/>
      <c r="D1129" s="613"/>
      <c r="E1129" s="613"/>
      <c r="F1129" s="613"/>
      <c r="G1129" s="613"/>
      <c r="H1129" s="613"/>
      <c r="I1129" s="523"/>
      <c r="J1129" s="612"/>
      <c r="K1129" s="612"/>
      <c r="L1129" s="613"/>
      <c r="M1129" s="613"/>
      <c r="N1129" s="613"/>
      <c r="O1129" s="616"/>
      <c r="P1129" s="613"/>
      <c r="Q1129" s="613"/>
      <c r="R1129" s="613"/>
      <c r="S1129" s="613"/>
      <c r="T1129" s="613"/>
      <c r="U1129" s="613"/>
      <c r="V1129" s="523"/>
      <c r="W1129" s="613"/>
      <c r="X1129" s="613"/>
      <c r="Y1129" s="613"/>
      <c r="Z1129" s="523"/>
      <c r="AA1129" s="613"/>
      <c r="AB1129" s="523"/>
      <c r="AC1129" s="523"/>
    </row>
    <row r="1130">
      <c r="A1130" s="613"/>
      <c r="B1130" s="612"/>
      <c r="C1130" s="613"/>
      <c r="D1130" s="613"/>
      <c r="E1130" s="613"/>
      <c r="F1130" s="613"/>
      <c r="G1130" s="613"/>
      <c r="H1130" s="613"/>
      <c r="I1130" s="523"/>
      <c r="J1130" s="612"/>
      <c r="K1130" s="612"/>
      <c r="L1130" s="613"/>
      <c r="M1130" s="613"/>
      <c r="N1130" s="613"/>
      <c r="O1130" s="616"/>
      <c r="P1130" s="613"/>
      <c r="Q1130" s="613"/>
      <c r="R1130" s="613"/>
      <c r="S1130" s="613"/>
      <c r="T1130" s="613"/>
      <c r="U1130" s="613"/>
      <c r="V1130" s="523"/>
      <c r="W1130" s="613"/>
      <c r="X1130" s="613"/>
      <c r="Y1130" s="613"/>
      <c r="Z1130" s="523"/>
      <c r="AA1130" s="613"/>
      <c r="AB1130" s="523"/>
      <c r="AC1130" s="523"/>
    </row>
    <row r="1131">
      <c r="A1131" s="613"/>
      <c r="B1131" s="612"/>
      <c r="C1131" s="613"/>
      <c r="D1131" s="613"/>
      <c r="E1131" s="613"/>
      <c r="F1131" s="613"/>
      <c r="G1131" s="613"/>
      <c r="H1131" s="613"/>
      <c r="I1131" s="523"/>
      <c r="J1131" s="612"/>
      <c r="K1131" s="612"/>
      <c r="L1131" s="613"/>
      <c r="M1131" s="613"/>
      <c r="N1131" s="613"/>
      <c r="O1131" s="616"/>
      <c r="P1131" s="613"/>
      <c r="Q1131" s="613"/>
      <c r="R1131" s="613"/>
      <c r="S1131" s="613"/>
      <c r="T1131" s="613"/>
      <c r="U1131" s="613"/>
      <c r="V1131" s="523"/>
      <c r="W1131" s="613"/>
      <c r="X1131" s="613"/>
      <c r="Y1131" s="613"/>
      <c r="Z1131" s="523"/>
      <c r="AA1131" s="613"/>
      <c r="AB1131" s="523"/>
      <c r="AC1131" s="523"/>
    </row>
    <row r="1132">
      <c r="A1132" s="613"/>
      <c r="B1132" s="612"/>
      <c r="C1132" s="613"/>
      <c r="D1132" s="613"/>
      <c r="E1132" s="613"/>
      <c r="F1132" s="613"/>
      <c r="G1132" s="613"/>
      <c r="H1132" s="613"/>
      <c r="I1132" s="523"/>
      <c r="J1132" s="612"/>
      <c r="K1132" s="612"/>
      <c r="L1132" s="613"/>
      <c r="M1132" s="613"/>
      <c r="N1132" s="613"/>
      <c r="O1132" s="616"/>
      <c r="P1132" s="613"/>
      <c r="Q1132" s="613"/>
      <c r="R1132" s="613"/>
      <c r="S1132" s="613"/>
      <c r="T1132" s="613"/>
      <c r="U1132" s="613"/>
      <c r="V1132" s="523"/>
      <c r="W1132" s="613"/>
      <c r="X1132" s="613"/>
      <c r="Y1132" s="613"/>
      <c r="Z1132" s="523"/>
      <c r="AA1132" s="613"/>
      <c r="AB1132" s="523"/>
      <c r="AC1132" s="523"/>
    </row>
    <row r="1133">
      <c r="A1133" s="613"/>
      <c r="B1133" s="612"/>
      <c r="C1133" s="613"/>
      <c r="D1133" s="613"/>
      <c r="E1133" s="613"/>
      <c r="F1133" s="613"/>
      <c r="G1133" s="613"/>
      <c r="H1133" s="613"/>
      <c r="I1133" s="523"/>
      <c r="J1133" s="612"/>
      <c r="K1133" s="612"/>
      <c r="L1133" s="613"/>
      <c r="M1133" s="613"/>
      <c r="N1133" s="613"/>
      <c r="O1133" s="616"/>
      <c r="P1133" s="613"/>
      <c r="Q1133" s="613"/>
      <c r="R1133" s="613"/>
      <c r="S1133" s="613"/>
      <c r="T1133" s="613"/>
      <c r="U1133" s="613"/>
      <c r="V1133" s="523"/>
      <c r="W1133" s="613"/>
      <c r="X1133" s="613"/>
      <c r="Y1133" s="613"/>
      <c r="Z1133" s="523"/>
      <c r="AA1133" s="613"/>
      <c r="AB1133" s="523"/>
      <c r="AC1133" s="523"/>
    </row>
    <row r="1134">
      <c r="A1134" s="613"/>
      <c r="B1134" s="612"/>
      <c r="C1134" s="613"/>
      <c r="D1134" s="613"/>
      <c r="E1134" s="613"/>
      <c r="F1134" s="613"/>
      <c r="G1134" s="613"/>
      <c r="H1134" s="613"/>
      <c r="I1134" s="523"/>
      <c r="J1134" s="612"/>
      <c r="K1134" s="612"/>
      <c r="L1134" s="613"/>
      <c r="M1134" s="613"/>
      <c r="N1134" s="613"/>
      <c r="O1134" s="616"/>
      <c r="P1134" s="613"/>
      <c r="Q1134" s="613"/>
      <c r="R1134" s="613"/>
      <c r="S1134" s="613"/>
      <c r="T1134" s="613"/>
      <c r="U1134" s="613"/>
      <c r="V1134" s="523"/>
      <c r="W1134" s="613"/>
      <c r="X1134" s="613"/>
      <c r="Y1134" s="613"/>
      <c r="Z1134" s="523"/>
      <c r="AA1134" s="613"/>
      <c r="AB1134" s="523"/>
      <c r="AC1134" s="523"/>
    </row>
    <row r="1135">
      <c r="A1135" s="613"/>
      <c r="B1135" s="612"/>
      <c r="C1135" s="613"/>
      <c r="D1135" s="613"/>
      <c r="E1135" s="613"/>
      <c r="F1135" s="613"/>
      <c r="G1135" s="613"/>
      <c r="H1135" s="613"/>
      <c r="I1135" s="523"/>
      <c r="J1135" s="612"/>
      <c r="K1135" s="612"/>
      <c r="L1135" s="613"/>
      <c r="M1135" s="613"/>
      <c r="N1135" s="613"/>
      <c r="O1135" s="616"/>
      <c r="P1135" s="613"/>
      <c r="Q1135" s="613"/>
      <c r="R1135" s="613"/>
      <c r="S1135" s="613"/>
      <c r="T1135" s="613"/>
      <c r="U1135" s="613"/>
      <c r="V1135" s="523"/>
      <c r="W1135" s="613"/>
      <c r="X1135" s="613"/>
      <c r="Y1135" s="613"/>
      <c r="Z1135" s="523"/>
      <c r="AA1135" s="613"/>
      <c r="AB1135" s="523"/>
      <c r="AC1135" s="523"/>
    </row>
    <row r="1136">
      <c r="A1136" s="613"/>
      <c r="B1136" s="612"/>
      <c r="C1136" s="613"/>
      <c r="D1136" s="613"/>
      <c r="E1136" s="613"/>
      <c r="F1136" s="613"/>
      <c r="G1136" s="613"/>
      <c r="H1136" s="613"/>
      <c r="I1136" s="523"/>
      <c r="J1136" s="612"/>
      <c r="K1136" s="612"/>
      <c r="L1136" s="613"/>
      <c r="M1136" s="613"/>
      <c r="N1136" s="613"/>
      <c r="O1136" s="616"/>
      <c r="P1136" s="613"/>
      <c r="Q1136" s="613"/>
      <c r="R1136" s="613"/>
      <c r="S1136" s="613"/>
      <c r="T1136" s="613"/>
      <c r="U1136" s="613"/>
      <c r="V1136" s="523"/>
      <c r="W1136" s="613"/>
      <c r="X1136" s="613"/>
      <c r="Y1136" s="613"/>
      <c r="Z1136" s="523"/>
      <c r="AA1136" s="613"/>
      <c r="AB1136" s="523"/>
      <c r="AC1136" s="523"/>
    </row>
    <row r="1137">
      <c r="A1137" s="613"/>
      <c r="B1137" s="612"/>
      <c r="C1137" s="613"/>
      <c r="D1137" s="613"/>
      <c r="E1137" s="613"/>
      <c r="F1137" s="613"/>
      <c r="G1137" s="613"/>
      <c r="H1137" s="613"/>
      <c r="I1137" s="523"/>
      <c r="J1137" s="612"/>
      <c r="K1137" s="612"/>
      <c r="L1137" s="613"/>
      <c r="M1137" s="613"/>
      <c r="N1137" s="613"/>
      <c r="O1137" s="616"/>
      <c r="P1137" s="613"/>
      <c r="Q1137" s="613"/>
      <c r="R1137" s="613"/>
      <c r="S1137" s="613"/>
      <c r="T1137" s="613"/>
      <c r="U1137" s="613"/>
      <c r="V1137" s="523"/>
      <c r="W1137" s="613"/>
      <c r="X1137" s="613"/>
      <c r="Y1137" s="613"/>
      <c r="Z1137" s="523"/>
      <c r="AA1137" s="613"/>
      <c r="AB1137" s="523"/>
      <c r="AC1137" s="523"/>
    </row>
    <row r="1138">
      <c r="A1138" s="613"/>
      <c r="B1138" s="612"/>
      <c r="C1138" s="613"/>
      <c r="D1138" s="613"/>
      <c r="E1138" s="613"/>
      <c r="F1138" s="613"/>
      <c r="G1138" s="613"/>
      <c r="H1138" s="613"/>
      <c r="I1138" s="523"/>
      <c r="J1138" s="612"/>
      <c r="K1138" s="612"/>
      <c r="L1138" s="613"/>
      <c r="M1138" s="613"/>
      <c r="N1138" s="613"/>
      <c r="O1138" s="616"/>
      <c r="P1138" s="613"/>
      <c r="Q1138" s="613"/>
      <c r="R1138" s="613"/>
      <c r="S1138" s="613"/>
      <c r="T1138" s="613"/>
      <c r="U1138" s="613"/>
      <c r="V1138" s="523"/>
      <c r="W1138" s="613"/>
      <c r="X1138" s="613"/>
      <c r="Y1138" s="613"/>
      <c r="Z1138" s="523"/>
      <c r="AA1138" s="613"/>
      <c r="AB1138" s="523"/>
      <c r="AC1138" s="523"/>
    </row>
    <row r="1139">
      <c r="A1139" s="613"/>
      <c r="B1139" s="612"/>
      <c r="C1139" s="613"/>
      <c r="D1139" s="613"/>
      <c r="E1139" s="613"/>
      <c r="F1139" s="613"/>
      <c r="G1139" s="613"/>
      <c r="H1139" s="613"/>
      <c r="I1139" s="523"/>
      <c r="J1139" s="612"/>
      <c r="K1139" s="612"/>
      <c r="L1139" s="613"/>
      <c r="M1139" s="613"/>
      <c r="N1139" s="613"/>
      <c r="O1139" s="616"/>
      <c r="P1139" s="613"/>
      <c r="Q1139" s="613"/>
      <c r="R1139" s="613"/>
      <c r="S1139" s="613"/>
      <c r="T1139" s="613"/>
      <c r="U1139" s="613"/>
      <c r="V1139" s="523"/>
      <c r="W1139" s="613"/>
      <c r="X1139" s="613"/>
      <c r="Y1139" s="613"/>
      <c r="Z1139" s="523"/>
      <c r="AA1139" s="613"/>
      <c r="AB1139" s="523"/>
      <c r="AC1139" s="523"/>
    </row>
    <row r="1140">
      <c r="A1140" s="613"/>
      <c r="B1140" s="612"/>
      <c r="C1140" s="613"/>
      <c r="D1140" s="613"/>
      <c r="E1140" s="613"/>
      <c r="F1140" s="613"/>
      <c r="G1140" s="613"/>
      <c r="H1140" s="613"/>
      <c r="I1140" s="523"/>
      <c r="J1140" s="612"/>
      <c r="K1140" s="612"/>
      <c r="L1140" s="613"/>
      <c r="M1140" s="613"/>
      <c r="N1140" s="613"/>
      <c r="O1140" s="616"/>
      <c r="P1140" s="613"/>
      <c r="Q1140" s="613"/>
      <c r="R1140" s="613"/>
      <c r="S1140" s="613"/>
      <c r="T1140" s="613"/>
      <c r="U1140" s="613"/>
      <c r="V1140" s="523"/>
      <c r="W1140" s="613"/>
      <c r="X1140" s="613"/>
      <c r="Y1140" s="613"/>
      <c r="Z1140" s="523"/>
      <c r="AA1140" s="613"/>
      <c r="AB1140" s="523"/>
      <c r="AC1140" s="523"/>
    </row>
    <row r="1141">
      <c r="A1141" s="613"/>
      <c r="B1141" s="612"/>
      <c r="C1141" s="613"/>
      <c r="D1141" s="613"/>
      <c r="E1141" s="613"/>
      <c r="F1141" s="613"/>
      <c r="G1141" s="613"/>
      <c r="H1141" s="613"/>
      <c r="I1141" s="523"/>
      <c r="J1141" s="612"/>
      <c r="K1141" s="612"/>
      <c r="L1141" s="613"/>
      <c r="M1141" s="613"/>
      <c r="N1141" s="613"/>
      <c r="O1141" s="616"/>
      <c r="P1141" s="613"/>
      <c r="Q1141" s="613"/>
      <c r="R1141" s="613"/>
      <c r="S1141" s="613"/>
      <c r="T1141" s="613"/>
      <c r="U1141" s="613"/>
      <c r="V1141" s="523"/>
      <c r="W1141" s="613"/>
      <c r="X1141" s="613"/>
      <c r="Y1141" s="613"/>
      <c r="Z1141" s="523"/>
      <c r="AA1141" s="613"/>
      <c r="AB1141" s="523"/>
      <c r="AC1141" s="523"/>
    </row>
    <row r="1142">
      <c r="A1142" s="613"/>
      <c r="B1142" s="612"/>
      <c r="C1142" s="613"/>
      <c r="D1142" s="613"/>
      <c r="E1142" s="613"/>
      <c r="F1142" s="613"/>
      <c r="G1142" s="613"/>
      <c r="H1142" s="613"/>
      <c r="I1142" s="523"/>
      <c r="J1142" s="612"/>
      <c r="K1142" s="612"/>
      <c r="L1142" s="613"/>
      <c r="M1142" s="613"/>
      <c r="N1142" s="613"/>
      <c r="O1142" s="616"/>
      <c r="P1142" s="613"/>
      <c r="Q1142" s="613"/>
      <c r="R1142" s="613"/>
      <c r="S1142" s="613"/>
      <c r="T1142" s="613"/>
      <c r="U1142" s="613"/>
      <c r="V1142" s="523"/>
      <c r="W1142" s="613"/>
      <c r="X1142" s="613"/>
      <c r="Y1142" s="613"/>
      <c r="Z1142" s="523"/>
      <c r="AA1142" s="613"/>
      <c r="AB1142" s="523"/>
      <c r="AC1142" s="523"/>
    </row>
    <row r="1143">
      <c r="A1143" s="613"/>
      <c r="B1143" s="612"/>
      <c r="C1143" s="613"/>
      <c r="D1143" s="613"/>
      <c r="E1143" s="613"/>
      <c r="F1143" s="613"/>
      <c r="G1143" s="613"/>
      <c r="H1143" s="613"/>
      <c r="I1143" s="523"/>
      <c r="J1143" s="612"/>
      <c r="K1143" s="612"/>
      <c r="L1143" s="613"/>
      <c r="M1143" s="613"/>
      <c r="N1143" s="613"/>
      <c r="O1143" s="616"/>
      <c r="P1143" s="613"/>
      <c r="Q1143" s="613"/>
      <c r="R1143" s="613"/>
      <c r="S1143" s="613"/>
      <c r="T1143" s="613"/>
      <c r="U1143" s="613"/>
      <c r="V1143" s="523"/>
      <c r="W1143" s="613"/>
      <c r="X1143" s="613"/>
      <c r="Y1143" s="613"/>
      <c r="Z1143" s="523"/>
      <c r="AA1143" s="613"/>
      <c r="AB1143" s="523"/>
      <c r="AC1143" s="523"/>
    </row>
    <row r="1144">
      <c r="A1144" s="613"/>
      <c r="B1144" s="612"/>
      <c r="C1144" s="613"/>
      <c r="D1144" s="613"/>
      <c r="E1144" s="613"/>
      <c r="F1144" s="613"/>
      <c r="G1144" s="613"/>
      <c r="H1144" s="613"/>
      <c r="I1144" s="523"/>
      <c r="J1144" s="612"/>
      <c r="K1144" s="612"/>
      <c r="L1144" s="613"/>
      <c r="M1144" s="613"/>
      <c r="N1144" s="613"/>
      <c r="O1144" s="616"/>
      <c r="P1144" s="613"/>
      <c r="Q1144" s="613"/>
      <c r="R1144" s="613"/>
      <c r="S1144" s="613"/>
      <c r="T1144" s="613"/>
      <c r="U1144" s="613"/>
      <c r="V1144" s="523"/>
      <c r="W1144" s="613"/>
      <c r="X1144" s="613"/>
      <c r="Y1144" s="613"/>
      <c r="Z1144" s="523"/>
      <c r="AA1144" s="613"/>
      <c r="AB1144" s="523"/>
      <c r="AC1144" s="523"/>
    </row>
    <row r="1145">
      <c r="A1145" s="613"/>
      <c r="B1145" s="612"/>
      <c r="C1145" s="613"/>
      <c r="D1145" s="613"/>
      <c r="E1145" s="613"/>
      <c r="F1145" s="613"/>
      <c r="G1145" s="613"/>
      <c r="H1145" s="613"/>
      <c r="I1145" s="523"/>
      <c r="J1145" s="612"/>
      <c r="K1145" s="612"/>
      <c r="L1145" s="613"/>
      <c r="M1145" s="613"/>
      <c r="N1145" s="613"/>
      <c r="O1145" s="616"/>
      <c r="P1145" s="613"/>
      <c r="Q1145" s="613"/>
      <c r="R1145" s="613"/>
      <c r="S1145" s="613"/>
      <c r="T1145" s="613"/>
      <c r="U1145" s="613"/>
      <c r="V1145" s="523"/>
      <c r="W1145" s="613"/>
      <c r="X1145" s="613"/>
      <c r="Y1145" s="613"/>
      <c r="Z1145" s="523"/>
      <c r="AA1145" s="613"/>
      <c r="AB1145" s="523"/>
      <c r="AC1145" s="523"/>
    </row>
    <row r="1146">
      <c r="A1146" s="613"/>
      <c r="B1146" s="612"/>
      <c r="C1146" s="613"/>
      <c r="D1146" s="613"/>
      <c r="E1146" s="613"/>
      <c r="F1146" s="613"/>
      <c r="G1146" s="613"/>
      <c r="H1146" s="613"/>
      <c r="I1146" s="523"/>
      <c r="J1146" s="612"/>
      <c r="K1146" s="612"/>
      <c r="L1146" s="613"/>
      <c r="M1146" s="613"/>
      <c r="N1146" s="613"/>
      <c r="O1146" s="616"/>
      <c r="P1146" s="613"/>
      <c r="Q1146" s="613"/>
      <c r="R1146" s="613"/>
      <c r="S1146" s="613"/>
      <c r="T1146" s="613"/>
      <c r="U1146" s="613"/>
      <c r="V1146" s="523"/>
      <c r="W1146" s="613"/>
      <c r="X1146" s="613"/>
      <c r="Y1146" s="613"/>
      <c r="Z1146" s="523"/>
      <c r="AA1146" s="613"/>
      <c r="AB1146" s="523"/>
      <c r="AC1146" s="523"/>
    </row>
    <row r="1147">
      <c r="A1147" s="613"/>
      <c r="B1147" s="612"/>
      <c r="C1147" s="613"/>
      <c r="D1147" s="613"/>
      <c r="E1147" s="613"/>
      <c r="F1147" s="613"/>
      <c r="G1147" s="613"/>
      <c r="H1147" s="613"/>
      <c r="I1147" s="523"/>
      <c r="J1147" s="612"/>
      <c r="K1147" s="612"/>
      <c r="L1147" s="613"/>
      <c r="M1147" s="613"/>
      <c r="N1147" s="613"/>
      <c r="O1147" s="616"/>
      <c r="P1147" s="613"/>
      <c r="Q1147" s="613"/>
      <c r="R1147" s="613"/>
      <c r="S1147" s="613"/>
      <c r="T1147" s="613"/>
      <c r="U1147" s="613"/>
      <c r="V1147" s="523"/>
      <c r="W1147" s="613"/>
      <c r="X1147" s="613"/>
      <c r="Y1147" s="613"/>
      <c r="Z1147" s="523"/>
      <c r="AA1147" s="613"/>
      <c r="AB1147" s="523"/>
      <c r="AC1147" s="523"/>
    </row>
    <row r="1148">
      <c r="A1148" s="613"/>
      <c r="B1148" s="612"/>
      <c r="C1148" s="613"/>
      <c r="D1148" s="613"/>
      <c r="E1148" s="613"/>
      <c r="F1148" s="613"/>
      <c r="G1148" s="613"/>
      <c r="H1148" s="613"/>
      <c r="I1148" s="523"/>
      <c r="J1148" s="612"/>
      <c r="K1148" s="612"/>
      <c r="L1148" s="613"/>
      <c r="M1148" s="613"/>
      <c r="N1148" s="613"/>
      <c r="O1148" s="616"/>
      <c r="P1148" s="613"/>
      <c r="Q1148" s="613"/>
      <c r="R1148" s="613"/>
      <c r="S1148" s="613"/>
      <c r="T1148" s="613"/>
      <c r="U1148" s="613"/>
      <c r="V1148" s="523"/>
      <c r="W1148" s="613"/>
      <c r="X1148" s="613"/>
      <c r="Y1148" s="613"/>
      <c r="Z1148" s="523"/>
      <c r="AA1148" s="613"/>
      <c r="AB1148" s="523"/>
      <c r="AC1148" s="523"/>
    </row>
    <row r="1149">
      <c r="A1149" s="613"/>
      <c r="B1149" s="612"/>
      <c r="C1149" s="613"/>
      <c r="D1149" s="613"/>
      <c r="E1149" s="613"/>
      <c r="F1149" s="613"/>
      <c r="G1149" s="613"/>
      <c r="H1149" s="613"/>
      <c r="I1149" s="523"/>
      <c r="J1149" s="612"/>
      <c r="K1149" s="612"/>
      <c r="L1149" s="613"/>
      <c r="M1149" s="613"/>
      <c r="N1149" s="613"/>
      <c r="O1149" s="616"/>
      <c r="P1149" s="613"/>
      <c r="Q1149" s="613"/>
      <c r="R1149" s="613"/>
      <c r="S1149" s="613"/>
      <c r="T1149" s="613"/>
      <c r="U1149" s="613"/>
      <c r="V1149" s="523"/>
      <c r="W1149" s="613"/>
      <c r="X1149" s="613"/>
      <c r="Y1149" s="613"/>
      <c r="Z1149" s="523"/>
      <c r="AA1149" s="613"/>
      <c r="AB1149" s="523"/>
      <c r="AC1149" s="523"/>
    </row>
    <row r="1150">
      <c r="A1150" s="613"/>
      <c r="B1150" s="612"/>
      <c r="C1150" s="613"/>
      <c r="D1150" s="613"/>
      <c r="E1150" s="613"/>
      <c r="F1150" s="613"/>
      <c r="G1150" s="613"/>
      <c r="H1150" s="613"/>
      <c r="I1150" s="523"/>
      <c r="J1150" s="612"/>
      <c r="K1150" s="612"/>
      <c r="L1150" s="613"/>
      <c r="M1150" s="613"/>
      <c r="N1150" s="613"/>
      <c r="O1150" s="616"/>
      <c r="P1150" s="613"/>
      <c r="Q1150" s="613"/>
      <c r="R1150" s="613"/>
      <c r="S1150" s="613"/>
      <c r="T1150" s="613"/>
      <c r="U1150" s="613"/>
      <c r="V1150" s="523"/>
      <c r="W1150" s="613"/>
      <c r="X1150" s="613"/>
      <c r="Y1150" s="613"/>
      <c r="Z1150" s="523"/>
      <c r="AA1150" s="613"/>
      <c r="AB1150" s="523"/>
      <c r="AC1150" s="523"/>
    </row>
    <row r="1151">
      <c r="A1151" s="613"/>
      <c r="B1151" s="612"/>
      <c r="C1151" s="613"/>
      <c r="D1151" s="613"/>
      <c r="E1151" s="613"/>
      <c r="F1151" s="613"/>
      <c r="G1151" s="613"/>
      <c r="H1151" s="613"/>
      <c r="I1151" s="523"/>
      <c r="J1151" s="612"/>
      <c r="K1151" s="612"/>
      <c r="L1151" s="613"/>
      <c r="M1151" s="613"/>
      <c r="N1151" s="613"/>
      <c r="O1151" s="616"/>
      <c r="P1151" s="613"/>
      <c r="Q1151" s="613"/>
      <c r="R1151" s="613"/>
      <c r="S1151" s="613"/>
      <c r="T1151" s="613"/>
      <c r="U1151" s="613"/>
      <c r="V1151" s="523"/>
      <c r="W1151" s="613"/>
      <c r="X1151" s="613"/>
      <c r="Y1151" s="613"/>
      <c r="Z1151" s="523"/>
      <c r="AA1151" s="613"/>
      <c r="AB1151" s="523"/>
      <c r="AC1151" s="523"/>
    </row>
    <row r="1152">
      <c r="A1152" s="613"/>
      <c r="B1152" s="612"/>
      <c r="C1152" s="613"/>
      <c r="D1152" s="613"/>
      <c r="E1152" s="613"/>
      <c r="F1152" s="613"/>
      <c r="G1152" s="613"/>
      <c r="H1152" s="613"/>
      <c r="I1152" s="523"/>
      <c r="J1152" s="612"/>
      <c r="K1152" s="612"/>
      <c r="L1152" s="613"/>
      <c r="M1152" s="613"/>
      <c r="N1152" s="613"/>
      <c r="O1152" s="616"/>
      <c r="P1152" s="613"/>
      <c r="Q1152" s="613"/>
      <c r="R1152" s="613"/>
      <c r="S1152" s="613"/>
      <c r="T1152" s="613"/>
      <c r="U1152" s="613"/>
      <c r="V1152" s="523"/>
      <c r="W1152" s="613"/>
      <c r="X1152" s="613"/>
      <c r="Y1152" s="613"/>
      <c r="Z1152" s="523"/>
      <c r="AA1152" s="613"/>
      <c r="AB1152" s="523"/>
      <c r="AC1152" s="523"/>
    </row>
    <row r="1153">
      <c r="A1153" s="613"/>
      <c r="B1153" s="612"/>
      <c r="C1153" s="613"/>
      <c r="D1153" s="613"/>
      <c r="E1153" s="613"/>
      <c r="F1153" s="613"/>
      <c r="G1153" s="613"/>
      <c r="H1153" s="613"/>
      <c r="I1153" s="523"/>
      <c r="J1153" s="612"/>
      <c r="K1153" s="612"/>
      <c r="L1153" s="613"/>
      <c r="M1153" s="613"/>
      <c r="N1153" s="613"/>
      <c r="O1153" s="616"/>
      <c r="P1153" s="613"/>
      <c r="Q1153" s="613"/>
      <c r="R1153" s="613"/>
      <c r="S1153" s="613"/>
      <c r="T1153" s="613"/>
      <c r="U1153" s="613"/>
      <c r="V1153" s="523"/>
      <c r="W1153" s="613"/>
      <c r="X1153" s="613"/>
      <c r="Y1153" s="613"/>
      <c r="Z1153" s="523"/>
      <c r="AA1153" s="613"/>
      <c r="AB1153" s="523"/>
      <c r="AC1153" s="523"/>
    </row>
    <row r="1154">
      <c r="A1154" s="613"/>
      <c r="B1154" s="612"/>
      <c r="C1154" s="613"/>
      <c r="D1154" s="613"/>
      <c r="E1154" s="613"/>
      <c r="F1154" s="613"/>
      <c r="G1154" s="613"/>
      <c r="H1154" s="613"/>
      <c r="I1154" s="523"/>
      <c r="J1154" s="612"/>
      <c r="K1154" s="612"/>
      <c r="L1154" s="613"/>
      <c r="M1154" s="613"/>
      <c r="N1154" s="613"/>
      <c r="O1154" s="616"/>
      <c r="P1154" s="613"/>
      <c r="Q1154" s="613"/>
      <c r="R1154" s="613"/>
      <c r="S1154" s="613"/>
      <c r="T1154" s="613"/>
      <c r="U1154" s="613"/>
      <c r="V1154" s="523"/>
      <c r="W1154" s="613"/>
      <c r="X1154" s="613"/>
      <c r="Y1154" s="613"/>
      <c r="Z1154" s="523"/>
      <c r="AA1154" s="613"/>
      <c r="AB1154" s="523"/>
      <c r="AC1154" s="523"/>
    </row>
    <row r="1155">
      <c r="A1155" s="613"/>
      <c r="B1155" s="612"/>
      <c r="C1155" s="613"/>
      <c r="D1155" s="613"/>
      <c r="E1155" s="613"/>
      <c r="F1155" s="613"/>
      <c r="G1155" s="613"/>
      <c r="H1155" s="613"/>
      <c r="I1155" s="523"/>
      <c r="J1155" s="612"/>
      <c r="K1155" s="612"/>
      <c r="L1155" s="613"/>
      <c r="M1155" s="613"/>
      <c r="N1155" s="613"/>
      <c r="O1155" s="616"/>
      <c r="P1155" s="613"/>
      <c r="Q1155" s="613"/>
      <c r="R1155" s="613"/>
      <c r="S1155" s="613"/>
      <c r="T1155" s="613"/>
      <c r="U1155" s="613"/>
      <c r="V1155" s="523"/>
      <c r="W1155" s="613"/>
      <c r="X1155" s="613"/>
      <c r="Y1155" s="613"/>
      <c r="Z1155" s="523"/>
      <c r="AA1155" s="613"/>
      <c r="AB1155" s="523"/>
      <c r="AC1155" s="523"/>
    </row>
    <row r="1156">
      <c r="A1156" s="613"/>
      <c r="B1156" s="612"/>
      <c r="C1156" s="613"/>
      <c r="D1156" s="613"/>
      <c r="E1156" s="613"/>
      <c r="F1156" s="613"/>
      <c r="G1156" s="613"/>
      <c r="H1156" s="613"/>
      <c r="I1156" s="523"/>
      <c r="J1156" s="612"/>
      <c r="K1156" s="612"/>
      <c r="L1156" s="613"/>
      <c r="M1156" s="613"/>
      <c r="N1156" s="613"/>
      <c r="O1156" s="616"/>
      <c r="P1156" s="613"/>
      <c r="Q1156" s="613"/>
      <c r="R1156" s="613"/>
      <c r="S1156" s="613"/>
      <c r="T1156" s="613"/>
      <c r="U1156" s="613"/>
      <c r="V1156" s="523"/>
      <c r="W1156" s="613"/>
      <c r="X1156" s="613"/>
      <c r="Y1156" s="613"/>
      <c r="Z1156" s="523"/>
      <c r="AA1156" s="613"/>
      <c r="AB1156" s="523"/>
      <c r="AC1156" s="523"/>
    </row>
    <row r="1157">
      <c r="A1157" s="613"/>
      <c r="B1157" s="612"/>
      <c r="C1157" s="613"/>
      <c r="D1157" s="613"/>
      <c r="E1157" s="613"/>
      <c r="F1157" s="613"/>
      <c r="G1157" s="613"/>
      <c r="H1157" s="613"/>
      <c r="I1157" s="523"/>
      <c r="J1157" s="612"/>
      <c r="K1157" s="612"/>
      <c r="L1157" s="613"/>
      <c r="M1157" s="613"/>
      <c r="N1157" s="613"/>
      <c r="O1157" s="616"/>
      <c r="P1157" s="613"/>
      <c r="Q1157" s="613"/>
      <c r="R1157" s="613"/>
      <c r="S1157" s="613"/>
      <c r="T1157" s="613"/>
      <c r="U1157" s="613"/>
      <c r="V1157" s="523"/>
      <c r="W1157" s="613"/>
      <c r="X1157" s="613"/>
      <c r="Y1157" s="613"/>
      <c r="Z1157" s="523"/>
      <c r="AA1157" s="613"/>
      <c r="AB1157" s="523"/>
      <c r="AC1157" s="523"/>
    </row>
    <row r="1158">
      <c r="A1158" s="613"/>
      <c r="B1158" s="612"/>
      <c r="C1158" s="613"/>
      <c r="D1158" s="613"/>
      <c r="E1158" s="613"/>
      <c r="F1158" s="613"/>
      <c r="G1158" s="613"/>
      <c r="H1158" s="613"/>
      <c r="I1158" s="523"/>
      <c r="J1158" s="612"/>
      <c r="K1158" s="612"/>
      <c r="L1158" s="613"/>
      <c r="M1158" s="613"/>
      <c r="N1158" s="613"/>
      <c r="O1158" s="616"/>
      <c r="P1158" s="613"/>
      <c r="Q1158" s="613"/>
      <c r="R1158" s="613"/>
      <c r="S1158" s="613"/>
      <c r="T1158" s="613"/>
      <c r="U1158" s="613"/>
      <c r="V1158" s="523"/>
      <c r="W1158" s="613"/>
      <c r="X1158" s="613"/>
      <c r="Y1158" s="613"/>
      <c r="Z1158" s="523"/>
      <c r="AA1158" s="613"/>
      <c r="AB1158" s="523"/>
      <c r="AC1158" s="523"/>
    </row>
    <row r="1159">
      <c r="A1159" s="613"/>
      <c r="B1159" s="612"/>
      <c r="C1159" s="613"/>
      <c r="D1159" s="613"/>
      <c r="E1159" s="613"/>
      <c r="F1159" s="613"/>
      <c r="G1159" s="613"/>
      <c r="H1159" s="613"/>
      <c r="I1159" s="523"/>
      <c r="J1159" s="612"/>
      <c r="K1159" s="612"/>
      <c r="L1159" s="613"/>
      <c r="M1159" s="613"/>
      <c r="N1159" s="613"/>
      <c r="O1159" s="616"/>
      <c r="P1159" s="613"/>
      <c r="Q1159" s="613"/>
      <c r="R1159" s="613"/>
      <c r="S1159" s="613"/>
      <c r="T1159" s="613"/>
      <c r="U1159" s="613"/>
      <c r="V1159" s="523"/>
      <c r="W1159" s="613"/>
      <c r="X1159" s="613"/>
      <c r="Y1159" s="613"/>
      <c r="Z1159" s="523"/>
      <c r="AA1159" s="613"/>
      <c r="AB1159" s="523"/>
      <c r="AC1159" s="523"/>
    </row>
    <row r="1160">
      <c r="A1160" s="613"/>
      <c r="B1160" s="612"/>
      <c r="C1160" s="613"/>
      <c r="D1160" s="613"/>
      <c r="E1160" s="613"/>
      <c r="F1160" s="613"/>
      <c r="G1160" s="613"/>
      <c r="H1160" s="613"/>
      <c r="I1160" s="523"/>
      <c r="J1160" s="612"/>
      <c r="K1160" s="612"/>
      <c r="L1160" s="613"/>
      <c r="M1160" s="613"/>
      <c r="N1160" s="613"/>
      <c r="O1160" s="616"/>
      <c r="P1160" s="613"/>
      <c r="Q1160" s="613"/>
      <c r="R1160" s="613"/>
      <c r="S1160" s="613"/>
      <c r="T1160" s="613"/>
      <c r="U1160" s="613"/>
      <c r="V1160" s="523"/>
      <c r="W1160" s="613"/>
      <c r="X1160" s="613"/>
      <c r="Y1160" s="613"/>
      <c r="Z1160" s="523"/>
      <c r="AA1160" s="613"/>
      <c r="AB1160" s="523"/>
      <c r="AC1160" s="523"/>
    </row>
    <row r="1161">
      <c r="A1161" s="613"/>
      <c r="B1161" s="612"/>
      <c r="C1161" s="613"/>
      <c r="D1161" s="613"/>
      <c r="E1161" s="613"/>
      <c r="F1161" s="613"/>
      <c r="G1161" s="613"/>
      <c r="H1161" s="613"/>
      <c r="I1161" s="523"/>
      <c r="J1161" s="612"/>
      <c r="K1161" s="612"/>
      <c r="L1161" s="613"/>
      <c r="M1161" s="613"/>
      <c r="N1161" s="613"/>
      <c r="O1161" s="616"/>
      <c r="P1161" s="613"/>
      <c r="Q1161" s="613"/>
      <c r="R1161" s="613"/>
      <c r="S1161" s="613"/>
      <c r="T1161" s="613"/>
      <c r="U1161" s="613"/>
      <c r="V1161" s="523"/>
      <c r="W1161" s="613"/>
      <c r="X1161" s="613"/>
      <c r="Y1161" s="613"/>
      <c r="Z1161" s="523"/>
      <c r="AA1161" s="613"/>
      <c r="AB1161" s="523"/>
      <c r="AC1161" s="523"/>
    </row>
    <row r="1162">
      <c r="A1162" s="613"/>
      <c r="B1162" s="612"/>
      <c r="C1162" s="613"/>
      <c r="D1162" s="613"/>
      <c r="E1162" s="613"/>
      <c r="F1162" s="613"/>
      <c r="G1162" s="613"/>
      <c r="H1162" s="613"/>
      <c r="I1162" s="523"/>
      <c r="J1162" s="612"/>
      <c r="K1162" s="612"/>
      <c r="L1162" s="613"/>
      <c r="M1162" s="613"/>
      <c r="N1162" s="613"/>
      <c r="O1162" s="616"/>
      <c r="P1162" s="613"/>
      <c r="Q1162" s="613"/>
      <c r="R1162" s="613"/>
      <c r="S1162" s="613"/>
      <c r="T1162" s="613"/>
      <c r="U1162" s="613"/>
      <c r="V1162" s="523"/>
      <c r="W1162" s="613"/>
      <c r="X1162" s="613"/>
      <c r="Y1162" s="613"/>
      <c r="Z1162" s="523"/>
      <c r="AA1162" s="613"/>
      <c r="AB1162" s="523"/>
      <c r="AC1162" s="523"/>
    </row>
    <row r="1163">
      <c r="A1163" s="613"/>
      <c r="B1163" s="612"/>
      <c r="C1163" s="613"/>
      <c r="D1163" s="613"/>
      <c r="E1163" s="613"/>
      <c r="F1163" s="613"/>
      <c r="G1163" s="613"/>
      <c r="H1163" s="613"/>
      <c r="I1163" s="523"/>
      <c r="J1163" s="612"/>
      <c r="K1163" s="612"/>
      <c r="L1163" s="613"/>
      <c r="M1163" s="613"/>
      <c r="N1163" s="613"/>
      <c r="O1163" s="616"/>
      <c r="P1163" s="613"/>
      <c r="Q1163" s="613"/>
      <c r="R1163" s="613"/>
      <c r="S1163" s="613"/>
      <c r="T1163" s="613"/>
      <c r="U1163" s="613"/>
      <c r="V1163" s="523"/>
      <c r="W1163" s="613"/>
      <c r="X1163" s="613"/>
      <c r="Y1163" s="613"/>
      <c r="Z1163" s="523"/>
      <c r="AA1163" s="613"/>
      <c r="AB1163" s="523"/>
      <c r="AC1163" s="523"/>
    </row>
    <row r="1164">
      <c r="A1164" s="613"/>
      <c r="B1164" s="612"/>
      <c r="C1164" s="613"/>
      <c r="D1164" s="613"/>
      <c r="E1164" s="613"/>
      <c r="F1164" s="613"/>
      <c r="G1164" s="613"/>
      <c r="H1164" s="613"/>
      <c r="I1164" s="523"/>
      <c r="J1164" s="612"/>
      <c r="K1164" s="612"/>
      <c r="L1164" s="613"/>
      <c r="M1164" s="613"/>
      <c r="N1164" s="613"/>
      <c r="O1164" s="616"/>
      <c r="P1164" s="613"/>
      <c r="Q1164" s="613"/>
      <c r="R1164" s="613"/>
      <c r="S1164" s="613"/>
      <c r="T1164" s="613"/>
      <c r="U1164" s="613"/>
      <c r="V1164" s="523"/>
      <c r="W1164" s="613"/>
      <c r="X1164" s="613"/>
      <c r="Y1164" s="613"/>
      <c r="Z1164" s="523"/>
      <c r="AA1164" s="613"/>
      <c r="AB1164" s="523"/>
      <c r="AC1164" s="523"/>
    </row>
    <row r="1165">
      <c r="A1165" s="613"/>
      <c r="B1165" s="612"/>
      <c r="C1165" s="613"/>
      <c r="D1165" s="613"/>
      <c r="E1165" s="613"/>
      <c r="F1165" s="613"/>
      <c r="G1165" s="613"/>
      <c r="H1165" s="613"/>
      <c r="I1165" s="523"/>
      <c r="J1165" s="612"/>
      <c r="K1165" s="612"/>
      <c r="L1165" s="613"/>
      <c r="M1165" s="613"/>
      <c r="N1165" s="613"/>
      <c r="O1165" s="616"/>
      <c r="P1165" s="613"/>
      <c r="Q1165" s="613"/>
      <c r="R1165" s="613"/>
      <c r="S1165" s="613"/>
      <c r="T1165" s="613"/>
      <c r="U1165" s="613"/>
      <c r="V1165" s="523"/>
      <c r="W1165" s="613"/>
      <c r="X1165" s="613"/>
      <c r="Y1165" s="613"/>
      <c r="Z1165" s="523"/>
      <c r="AA1165" s="613"/>
      <c r="AB1165" s="523"/>
      <c r="AC1165" s="523"/>
    </row>
    <row r="1166">
      <c r="A1166" s="613"/>
      <c r="B1166" s="612"/>
      <c r="C1166" s="613"/>
      <c r="D1166" s="613"/>
      <c r="E1166" s="613"/>
      <c r="F1166" s="613"/>
      <c r="G1166" s="613"/>
      <c r="H1166" s="613"/>
      <c r="I1166" s="523"/>
      <c r="J1166" s="612"/>
      <c r="K1166" s="612"/>
      <c r="L1166" s="613"/>
      <c r="M1166" s="613"/>
      <c r="N1166" s="613"/>
      <c r="O1166" s="616"/>
      <c r="P1166" s="613"/>
      <c r="Q1166" s="613"/>
      <c r="R1166" s="613"/>
      <c r="S1166" s="613"/>
      <c r="T1166" s="613"/>
      <c r="U1166" s="613"/>
      <c r="V1166" s="523"/>
      <c r="W1166" s="613"/>
      <c r="X1166" s="613"/>
      <c r="Y1166" s="613"/>
      <c r="Z1166" s="523"/>
      <c r="AA1166" s="613"/>
      <c r="AB1166" s="523"/>
      <c r="AC1166" s="523"/>
    </row>
    <row r="1167">
      <c r="A1167" s="613"/>
      <c r="B1167" s="612"/>
      <c r="C1167" s="613"/>
      <c r="D1167" s="613"/>
      <c r="E1167" s="613"/>
      <c r="F1167" s="613"/>
      <c r="G1167" s="613"/>
      <c r="H1167" s="613"/>
      <c r="I1167" s="523"/>
      <c r="J1167" s="612"/>
      <c r="K1167" s="612"/>
      <c r="L1167" s="613"/>
      <c r="M1167" s="613"/>
      <c r="N1167" s="613"/>
      <c r="O1167" s="616"/>
      <c r="P1167" s="613"/>
      <c r="Q1167" s="613"/>
      <c r="R1167" s="613"/>
      <c r="S1167" s="613"/>
      <c r="T1167" s="613"/>
      <c r="U1167" s="613"/>
      <c r="V1167" s="523"/>
      <c r="W1167" s="613"/>
      <c r="X1167" s="613"/>
      <c r="Y1167" s="613"/>
      <c r="Z1167" s="523"/>
      <c r="AA1167" s="613"/>
      <c r="AB1167" s="523"/>
      <c r="AC1167" s="523"/>
    </row>
    <row r="1168">
      <c r="A1168" s="613"/>
      <c r="B1168" s="612"/>
      <c r="C1168" s="613"/>
      <c r="D1168" s="613"/>
      <c r="E1168" s="613"/>
      <c r="F1168" s="613"/>
      <c r="G1168" s="613"/>
      <c r="H1168" s="613"/>
      <c r="I1168" s="523"/>
      <c r="J1168" s="612"/>
      <c r="K1168" s="612"/>
      <c r="L1168" s="613"/>
      <c r="M1168" s="613"/>
      <c r="N1168" s="613"/>
      <c r="O1168" s="616"/>
      <c r="P1168" s="613"/>
      <c r="Q1168" s="613"/>
      <c r="R1168" s="613"/>
      <c r="S1168" s="613"/>
      <c r="T1168" s="613"/>
      <c r="U1168" s="613"/>
      <c r="V1168" s="523"/>
      <c r="W1168" s="613"/>
      <c r="X1168" s="613"/>
      <c r="Y1168" s="613"/>
      <c r="Z1168" s="523"/>
      <c r="AA1168" s="613"/>
      <c r="AB1168" s="523"/>
      <c r="AC1168" s="523"/>
    </row>
    <row r="1169">
      <c r="A1169" s="613"/>
      <c r="B1169" s="612"/>
      <c r="C1169" s="613"/>
      <c r="D1169" s="613"/>
      <c r="E1169" s="613"/>
      <c r="F1169" s="613"/>
      <c r="G1169" s="613"/>
      <c r="H1169" s="613"/>
      <c r="I1169" s="523"/>
      <c r="J1169" s="612"/>
      <c r="K1169" s="612"/>
      <c r="L1169" s="613"/>
      <c r="M1169" s="613"/>
      <c r="N1169" s="613"/>
      <c r="O1169" s="616"/>
      <c r="P1169" s="613"/>
      <c r="Q1169" s="613"/>
      <c r="R1169" s="613"/>
      <c r="S1169" s="613"/>
      <c r="T1169" s="613"/>
      <c r="U1169" s="613"/>
      <c r="V1169" s="523"/>
      <c r="W1169" s="613"/>
      <c r="X1169" s="613"/>
      <c r="Y1169" s="613"/>
      <c r="Z1169" s="523"/>
      <c r="AA1169" s="613"/>
      <c r="AB1169" s="523"/>
      <c r="AC1169" s="523"/>
    </row>
    <row r="1170">
      <c r="A1170" s="613"/>
      <c r="B1170" s="612"/>
      <c r="C1170" s="613"/>
      <c r="D1170" s="613"/>
      <c r="E1170" s="613"/>
      <c r="F1170" s="613"/>
      <c r="G1170" s="613"/>
      <c r="H1170" s="613"/>
      <c r="I1170" s="523"/>
      <c r="J1170" s="612"/>
      <c r="K1170" s="612"/>
      <c r="L1170" s="613"/>
      <c r="M1170" s="613"/>
      <c r="N1170" s="613"/>
      <c r="O1170" s="616"/>
      <c r="P1170" s="613"/>
      <c r="Q1170" s="613"/>
      <c r="R1170" s="613"/>
      <c r="S1170" s="613"/>
      <c r="T1170" s="613"/>
      <c r="U1170" s="613"/>
      <c r="V1170" s="523"/>
      <c r="W1170" s="613"/>
      <c r="X1170" s="613"/>
      <c r="Y1170" s="613"/>
      <c r="Z1170" s="523"/>
      <c r="AA1170" s="613"/>
      <c r="AB1170" s="523"/>
      <c r="AC1170" s="523"/>
    </row>
    <row r="1171">
      <c r="A1171" s="613"/>
      <c r="B1171" s="612"/>
      <c r="C1171" s="613"/>
      <c r="D1171" s="613"/>
      <c r="E1171" s="613"/>
      <c r="F1171" s="613"/>
      <c r="G1171" s="613"/>
      <c r="H1171" s="613"/>
      <c r="I1171" s="523"/>
      <c r="J1171" s="612"/>
      <c r="K1171" s="612"/>
      <c r="L1171" s="613"/>
      <c r="M1171" s="613"/>
      <c r="N1171" s="613"/>
      <c r="O1171" s="616"/>
      <c r="P1171" s="613"/>
      <c r="Q1171" s="613"/>
      <c r="R1171" s="613"/>
      <c r="S1171" s="613"/>
      <c r="T1171" s="613"/>
      <c r="U1171" s="613"/>
      <c r="V1171" s="523"/>
      <c r="W1171" s="613"/>
      <c r="X1171" s="613"/>
      <c r="Y1171" s="613"/>
      <c r="Z1171" s="523"/>
      <c r="AA1171" s="613"/>
      <c r="AB1171" s="523"/>
      <c r="AC1171" s="523"/>
    </row>
    <row r="1172">
      <c r="A1172" s="613"/>
      <c r="B1172" s="612"/>
      <c r="C1172" s="613"/>
      <c r="D1172" s="613"/>
      <c r="E1172" s="613"/>
      <c r="F1172" s="613"/>
      <c r="G1172" s="613"/>
      <c r="H1172" s="613"/>
      <c r="I1172" s="523"/>
      <c r="J1172" s="612"/>
      <c r="K1172" s="612"/>
      <c r="L1172" s="613"/>
      <c r="M1172" s="613"/>
      <c r="N1172" s="613"/>
      <c r="O1172" s="616"/>
      <c r="P1172" s="613"/>
      <c r="Q1172" s="613"/>
      <c r="R1172" s="613"/>
      <c r="S1172" s="613"/>
      <c r="T1172" s="613"/>
      <c r="U1172" s="613"/>
      <c r="V1172" s="523"/>
      <c r="W1172" s="613"/>
      <c r="X1172" s="613"/>
      <c r="Y1172" s="613"/>
      <c r="Z1172" s="523"/>
      <c r="AA1172" s="613"/>
      <c r="AB1172" s="523"/>
      <c r="AC1172" s="523"/>
    </row>
    <row r="1173">
      <c r="A1173" s="613"/>
      <c r="B1173" s="612"/>
      <c r="C1173" s="613"/>
      <c r="D1173" s="613"/>
      <c r="E1173" s="613"/>
      <c r="F1173" s="613"/>
      <c r="G1173" s="613"/>
      <c r="H1173" s="613"/>
      <c r="I1173" s="523"/>
      <c r="J1173" s="612"/>
      <c r="K1173" s="612"/>
      <c r="L1173" s="613"/>
      <c r="M1173" s="613"/>
      <c r="N1173" s="613"/>
      <c r="O1173" s="616"/>
      <c r="P1173" s="613"/>
      <c r="Q1173" s="613"/>
      <c r="R1173" s="613"/>
      <c r="S1173" s="613"/>
      <c r="T1173" s="613"/>
      <c r="U1173" s="613"/>
      <c r="V1173" s="523"/>
      <c r="W1173" s="613"/>
      <c r="X1173" s="613"/>
      <c r="Y1173" s="613"/>
      <c r="Z1173" s="523"/>
      <c r="AA1173" s="613"/>
      <c r="AB1173" s="523"/>
      <c r="AC1173" s="523"/>
    </row>
    <row r="1174">
      <c r="A1174" s="613"/>
      <c r="B1174" s="612"/>
      <c r="C1174" s="613"/>
      <c r="D1174" s="613"/>
      <c r="E1174" s="613"/>
      <c r="F1174" s="613"/>
      <c r="G1174" s="613"/>
      <c r="H1174" s="613"/>
      <c r="I1174" s="523"/>
      <c r="J1174" s="612"/>
      <c r="K1174" s="612"/>
      <c r="L1174" s="613"/>
      <c r="M1174" s="613"/>
      <c r="N1174" s="613"/>
      <c r="O1174" s="616"/>
      <c r="P1174" s="613"/>
      <c r="Q1174" s="613"/>
      <c r="R1174" s="613"/>
      <c r="S1174" s="613"/>
      <c r="T1174" s="613"/>
      <c r="U1174" s="613"/>
      <c r="V1174" s="523"/>
      <c r="W1174" s="613"/>
      <c r="X1174" s="613"/>
      <c r="Y1174" s="613"/>
      <c r="Z1174" s="523"/>
      <c r="AA1174" s="613"/>
      <c r="AB1174" s="523"/>
      <c r="AC1174" s="523"/>
    </row>
    <row r="1175">
      <c r="A1175" s="613"/>
      <c r="B1175" s="612"/>
      <c r="C1175" s="613"/>
      <c r="D1175" s="613"/>
      <c r="E1175" s="613"/>
      <c r="F1175" s="613"/>
      <c r="G1175" s="613"/>
      <c r="H1175" s="613"/>
      <c r="I1175" s="523"/>
      <c r="J1175" s="612"/>
      <c r="K1175" s="612"/>
      <c r="L1175" s="613"/>
      <c r="M1175" s="613"/>
      <c r="N1175" s="613"/>
      <c r="O1175" s="616"/>
      <c r="P1175" s="613"/>
      <c r="Q1175" s="613"/>
      <c r="R1175" s="613"/>
      <c r="S1175" s="613"/>
      <c r="T1175" s="613"/>
      <c r="U1175" s="613"/>
      <c r="V1175" s="523"/>
      <c r="W1175" s="613"/>
      <c r="X1175" s="613"/>
      <c r="Y1175" s="613"/>
      <c r="Z1175" s="523"/>
      <c r="AA1175" s="613"/>
      <c r="AB1175" s="523"/>
      <c r="AC1175" s="523"/>
    </row>
    <row r="1176">
      <c r="A1176" s="613"/>
      <c r="B1176" s="612"/>
      <c r="C1176" s="613"/>
      <c r="D1176" s="613"/>
      <c r="E1176" s="613"/>
      <c r="F1176" s="613"/>
      <c r="G1176" s="613"/>
      <c r="H1176" s="613"/>
      <c r="I1176" s="523"/>
      <c r="J1176" s="612"/>
      <c r="K1176" s="612"/>
      <c r="L1176" s="613"/>
      <c r="M1176" s="613"/>
      <c r="N1176" s="613"/>
      <c r="O1176" s="616"/>
      <c r="P1176" s="613"/>
      <c r="Q1176" s="613"/>
      <c r="R1176" s="613"/>
      <c r="S1176" s="613"/>
      <c r="T1176" s="613"/>
      <c r="U1176" s="613"/>
      <c r="V1176" s="523"/>
      <c r="W1176" s="613"/>
      <c r="X1176" s="613"/>
      <c r="Y1176" s="613"/>
      <c r="Z1176" s="523"/>
      <c r="AA1176" s="613"/>
      <c r="AB1176" s="523"/>
      <c r="AC1176" s="523"/>
    </row>
    <row r="1177">
      <c r="A1177" s="613"/>
      <c r="B1177" s="612"/>
      <c r="C1177" s="613"/>
      <c r="D1177" s="613"/>
      <c r="E1177" s="613"/>
      <c r="F1177" s="613"/>
      <c r="G1177" s="613"/>
      <c r="H1177" s="613"/>
      <c r="I1177" s="523"/>
      <c r="J1177" s="612"/>
      <c r="K1177" s="612"/>
      <c r="L1177" s="613"/>
      <c r="M1177" s="613"/>
      <c r="N1177" s="613"/>
      <c r="O1177" s="616"/>
      <c r="P1177" s="613"/>
      <c r="Q1177" s="613"/>
      <c r="R1177" s="613"/>
      <c r="S1177" s="613"/>
      <c r="T1177" s="613"/>
      <c r="U1177" s="613"/>
      <c r="V1177" s="523"/>
      <c r="W1177" s="613"/>
      <c r="X1177" s="613"/>
      <c r="Y1177" s="613"/>
      <c r="Z1177" s="523"/>
      <c r="AA1177" s="613"/>
      <c r="AB1177" s="523"/>
      <c r="AC1177" s="523"/>
    </row>
    <row r="1178">
      <c r="A1178" s="613"/>
      <c r="B1178" s="612"/>
      <c r="C1178" s="613"/>
      <c r="D1178" s="613"/>
      <c r="E1178" s="613"/>
      <c r="F1178" s="613"/>
      <c r="G1178" s="613"/>
      <c r="H1178" s="613"/>
      <c r="I1178" s="523"/>
      <c r="J1178" s="612"/>
      <c r="K1178" s="612"/>
      <c r="L1178" s="613"/>
      <c r="M1178" s="613"/>
      <c r="N1178" s="613"/>
      <c r="O1178" s="616"/>
      <c r="P1178" s="613"/>
      <c r="Q1178" s="613"/>
      <c r="R1178" s="613"/>
      <c r="S1178" s="613"/>
      <c r="T1178" s="613"/>
      <c r="U1178" s="613"/>
      <c r="V1178" s="523"/>
      <c r="W1178" s="613"/>
      <c r="X1178" s="613"/>
      <c r="Y1178" s="613"/>
      <c r="Z1178" s="523"/>
      <c r="AA1178" s="613"/>
      <c r="AB1178" s="523"/>
      <c r="AC1178" s="523"/>
    </row>
    <row r="1179">
      <c r="A1179" s="613"/>
      <c r="B1179" s="612"/>
      <c r="C1179" s="613"/>
      <c r="D1179" s="613"/>
      <c r="E1179" s="613"/>
      <c r="F1179" s="613"/>
      <c r="G1179" s="613"/>
      <c r="H1179" s="613"/>
      <c r="I1179" s="523"/>
      <c r="J1179" s="612"/>
      <c r="K1179" s="612"/>
      <c r="L1179" s="613"/>
      <c r="M1179" s="613"/>
      <c r="N1179" s="613"/>
      <c r="O1179" s="616"/>
      <c r="P1179" s="613"/>
      <c r="Q1179" s="613"/>
      <c r="R1179" s="613"/>
      <c r="S1179" s="613"/>
      <c r="T1179" s="613"/>
      <c r="U1179" s="613"/>
      <c r="V1179" s="523"/>
      <c r="W1179" s="613"/>
      <c r="X1179" s="613"/>
      <c r="Y1179" s="613"/>
      <c r="Z1179" s="523"/>
      <c r="AA1179" s="613"/>
      <c r="AB1179" s="523"/>
      <c r="AC1179" s="523"/>
    </row>
    <row r="1180">
      <c r="A1180" s="613"/>
      <c r="B1180" s="612"/>
      <c r="C1180" s="613"/>
      <c r="D1180" s="613"/>
      <c r="E1180" s="613"/>
      <c r="F1180" s="613"/>
      <c r="G1180" s="613"/>
      <c r="H1180" s="613"/>
      <c r="I1180" s="523"/>
      <c r="J1180" s="612"/>
      <c r="K1180" s="612"/>
      <c r="L1180" s="613"/>
      <c r="M1180" s="613"/>
      <c r="N1180" s="613"/>
      <c r="O1180" s="616"/>
      <c r="P1180" s="613"/>
      <c r="Q1180" s="613"/>
      <c r="R1180" s="613"/>
      <c r="S1180" s="613"/>
      <c r="T1180" s="613"/>
      <c r="U1180" s="613"/>
      <c r="V1180" s="523"/>
      <c r="W1180" s="613"/>
      <c r="X1180" s="613"/>
      <c r="Y1180" s="613"/>
      <c r="Z1180" s="523"/>
      <c r="AA1180" s="613"/>
      <c r="AB1180" s="523"/>
      <c r="AC1180" s="523"/>
    </row>
    <row r="1181">
      <c r="A1181" s="613"/>
      <c r="B1181" s="612"/>
      <c r="C1181" s="613"/>
      <c r="D1181" s="613"/>
      <c r="E1181" s="613"/>
      <c r="F1181" s="613"/>
      <c r="G1181" s="613"/>
      <c r="H1181" s="613"/>
      <c r="I1181" s="523"/>
      <c r="J1181" s="612"/>
      <c r="K1181" s="612"/>
      <c r="L1181" s="613"/>
      <c r="M1181" s="613"/>
      <c r="N1181" s="613"/>
      <c r="O1181" s="616"/>
      <c r="P1181" s="613"/>
      <c r="Q1181" s="613"/>
      <c r="R1181" s="613"/>
      <c r="S1181" s="613"/>
      <c r="T1181" s="613"/>
      <c r="U1181" s="613"/>
      <c r="V1181" s="523"/>
      <c r="W1181" s="613"/>
      <c r="X1181" s="613"/>
      <c r="Y1181" s="613"/>
      <c r="Z1181" s="523"/>
      <c r="AA1181" s="613"/>
      <c r="AB1181" s="523"/>
      <c r="AC1181" s="523"/>
    </row>
    <row r="1182">
      <c r="A1182" s="613"/>
      <c r="B1182" s="612"/>
      <c r="C1182" s="613"/>
      <c r="D1182" s="613"/>
      <c r="E1182" s="613"/>
      <c r="F1182" s="613"/>
      <c r="G1182" s="613"/>
      <c r="H1182" s="613"/>
      <c r="I1182" s="523"/>
      <c r="J1182" s="612"/>
      <c r="K1182" s="612"/>
      <c r="L1182" s="613"/>
      <c r="M1182" s="613"/>
      <c r="N1182" s="613"/>
      <c r="O1182" s="616"/>
      <c r="P1182" s="613"/>
      <c r="Q1182" s="613"/>
      <c r="R1182" s="613"/>
      <c r="S1182" s="613"/>
      <c r="T1182" s="613"/>
      <c r="U1182" s="613"/>
      <c r="V1182" s="523"/>
      <c r="W1182" s="613"/>
      <c r="X1182" s="613"/>
      <c r="Y1182" s="613"/>
      <c r="Z1182" s="523"/>
      <c r="AA1182" s="613"/>
      <c r="AB1182" s="523"/>
      <c r="AC1182" s="523"/>
    </row>
    <row r="1183">
      <c r="A1183" s="613"/>
      <c r="B1183" s="612"/>
      <c r="C1183" s="613"/>
      <c r="D1183" s="613"/>
      <c r="E1183" s="613"/>
      <c r="F1183" s="613"/>
      <c r="G1183" s="613"/>
      <c r="H1183" s="613"/>
      <c r="I1183" s="523"/>
      <c r="J1183" s="612"/>
      <c r="K1183" s="612"/>
      <c r="L1183" s="613"/>
      <c r="M1183" s="613"/>
      <c r="N1183" s="613"/>
      <c r="O1183" s="616"/>
      <c r="P1183" s="613"/>
      <c r="Q1183" s="613"/>
      <c r="R1183" s="613"/>
      <c r="S1183" s="613"/>
      <c r="T1183" s="613"/>
      <c r="U1183" s="613"/>
      <c r="V1183" s="523"/>
      <c r="W1183" s="613"/>
      <c r="X1183" s="613"/>
      <c r="Y1183" s="613"/>
      <c r="Z1183" s="523"/>
      <c r="AA1183" s="613"/>
      <c r="AB1183" s="523"/>
      <c r="AC1183" s="523"/>
    </row>
    <row r="1184">
      <c r="A1184" s="613"/>
      <c r="B1184" s="612"/>
      <c r="C1184" s="613"/>
      <c r="D1184" s="613"/>
      <c r="E1184" s="613"/>
      <c r="F1184" s="613"/>
      <c r="G1184" s="613"/>
      <c r="H1184" s="613"/>
      <c r="I1184" s="523"/>
      <c r="J1184" s="612"/>
      <c r="K1184" s="612"/>
      <c r="L1184" s="613"/>
      <c r="M1184" s="613"/>
      <c r="N1184" s="613"/>
      <c r="O1184" s="616"/>
      <c r="P1184" s="613"/>
      <c r="Q1184" s="613"/>
      <c r="R1184" s="613"/>
      <c r="S1184" s="613"/>
      <c r="T1184" s="613"/>
      <c r="U1184" s="613"/>
      <c r="V1184" s="523"/>
      <c r="W1184" s="613"/>
      <c r="X1184" s="613"/>
      <c r="Y1184" s="613"/>
      <c r="Z1184" s="523"/>
      <c r="AA1184" s="613"/>
      <c r="AB1184" s="523"/>
      <c r="AC1184" s="523"/>
    </row>
    <row r="1185">
      <c r="A1185" s="613"/>
      <c r="B1185" s="612"/>
      <c r="C1185" s="613"/>
      <c r="D1185" s="613"/>
      <c r="E1185" s="613"/>
      <c r="F1185" s="613"/>
      <c r="G1185" s="613"/>
      <c r="H1185" s="613"/>
      <c r="I1185" s="523"/>
      <c r="J1185" s="612"/>
      <c r="K1185" s="612"/>
      <c r="L1185" s="613"/>
      <c r="M1185" s="613"/>
      <c r="N1185" s="613"/>
      <c r="O1185" s="616"/>
      <c r="P1185" s="613"/>
      <c r="Q1185" s="613"/>
      <c r="R1185" s="613"/>
      <c r="S1185" s="613"/>
      <c r="T1185" s="613"/>
      <c r="U1185" s="613"/>
      <c r="V1185" s="523"/>
      <c r="W1185" s="613"/>
      <c r="X1185" s="613"/>
      <c r="Y1185" s="613"/>
      <c r="Z1185" s="523"/>
      <c r="AA1185" s="613"/>
      <c r="AB1185" s="523"/>
      <c r="AC1185" s="523"/>
    </row>
    <row r="1186">
      <c r="A1186" s="613"/>
      <c r="B1186" s="612"/>
      <c r="C1186" s="613"/>
      <c r="D1186" s="613"/>
      <c r="E1186" s="613"/>
      <c r="F1186" s="613"/>
      <c r="G1186" s="613"/>
      <c r="H1186" s="613"/>
      <c r="I1186" s="523"/>
      <c r="J1186" s="612"/>
      <c r="K1186" s="612"/>
      <c r="L1186" s="613"/>
      <c r="M1186" s="613"/>
      <c r="N1186" s="613"/>
      <c r="O1186" s="616"/>
      <c r="P1186" s="613"/>
      <c r="Q1186" s="613"/>
      <c r="R1186" s="613"/>
      <c r="S1186" s="613"/>
      <c r="T1186" s="613"/>
      <c r="U1186" s="613"/>
      <c r="V1186" s="523"/>
      <c r="W1186" s="613"/>
      <c r="X1186" s="613"/>
      <c r="Y1186" s="613"/>
      <c r="Z1186" s="523"/>
      <c r="AA1186" s="613"/>
      <c r="AB1186" s="523"/>
      <c r="AC1186" s="523"/>
    </row>
    <row r="1187">
      <c r="A1187" s="613"/>
      <c r="B1187" s="612"/>
      <c r="C1187" s="613"/>
      <c r="D1187" s="613"/>
      <c r="E1187" s="613"/>
      <c r="F1187" s="613"/>
      <c r="G1187" s="613"/>
      <c r="H1187" s="613"/>
      <c r="I1187" s="523"/>
      <c r="J1187" s="612"/>
      <c r="K1187" s="612"/>
      <c r="L1187" s="613"/>
      <c r="M1187" s="613"/>
      <c r="N1187" s="613"/>
      <c r="O1187" s="616"/>
      <c r="P1187" s="613"/>
      <c r="Q1187" s="613"/>
      <c r="R1187" s="613"/>
      <c r="S1187" s="613"/>
      <c r="T1187" s="613"/>
      <c r="U1187" s="613"/>
      <c r="V1187" s="523"/>
      <c r="W1187" s="613"/>
      <c r="X1187" s="613"/>
      <c r="Y1187" s="613"/>
      <c r="Z1187" s="523"/>
      <c r="AA1187" s="613"/>
      <c r="AB1187" s="523"/>
      <c r="AC1187" s="523"/>
    </row>
    <row r="1188">
      <c r="A1188" s="613"/>
      <c r="B1188" s="612"/>
      <c r="C1188" s="613"/>
      <c r="D1188" s="613"/>
      <c r="E1188" s="613"/>
      <c r="F1188" s="613"/>
      <c r="G1188" s="613"/>
      <c r="H1188" s="613"/>
      <c r="I1188" s="523"/>
      <c r="J1188" s="612"/>
      <c r="K1188" s="612"/>
      <c r="L1188" s="613"/>
      <c r="M1188" s="613"/>
      <c r="N1188" s="613"/>
      <c r="O1188" s="616"/>
      <c r="P1188" s="613"/>
      <c r="Q1188" s="613"/>
      <c r="R1188" s="613"/>
      <c r="S1188" s="613"/>
      <c r="T1188" s="613"/>
      <c r="U1188" s="613"/>
      <c r="V1188" s="523"/>
      <c r="W1188" s="613"/>
      <c r="X1188" s="613"/>
      <c r="Y1188" s="613"/>
      <c r="Z1188" s="523"/>
      <c r="AA1188" s="613"/>
      <c r="AB1188" s="523"/>
      <c r="AC1188" s="523"/>
    </row>
    <row r="1189">
      <c r="A1189" s="613"/>
      <c r="B1189" s="612"/>
      <c r="C1189" s="613"/>
      <c r="D1189" s="613"/>
      <c r="E1189" s="613"/>
      <c r="F1189" s="613"/>
      <c r="G1189" s="613"/>
      <c r="H1189" s="613"/>
      <c r="I1189" s="523"/>
      <c r="J1189" s="612"/>
      <c r="K1189" s="612"/>
      <c r="L1189" s="613"/>
      <c r="M1189" s="613"/>
      <c r="N1189" s="613"/>
      <c r="O1189" s="616"/>
      <c r="P1189" s="613"/>
      <c r="Q1189" s="613"/>
      <c r="R1189" s="613"/>
      <c r="S1189" s="613"/>
      <c r="T1189" s="613"/>
      <c r="U1189" s="613"/>
      <c r="V1189" s="523"/>
      <c r="W1189" s="613"/>
      <c r="X1189" s="613"/>
      <c r="Y1189" s="613"/>
      <c r="Z1189" s="523"/>
      <c r="AA1189" s="613"/>
      <c r="AB1189" s="523"/>
      <c r="AC1189" s="523"/>
    </row>
    <row r="1190">
      <c r="A1190" s="613"/>
      <c r="B1190" s="612"/>
      <c r="C1190" s="613"/>
      <c r="D1190" s="613"/>
      <c r="E1190" s="613"/>
      <c r="F1190" s="613"/>
      <c r="G1190" s="613"/>
      <c r="H1190" s="613"/>
      <c r="I1190" s="523"/>
      <c r="J1190" s="612"/>
      <c r="K1190" s="612"/>
      <c r="L1190" s="613"/>
      <c r="M1190" s="613"/>
      <c r="N1190" s="613"/>
      <c r="O1190" s="616"/>
      <c r="P1190" s="613"/>
      <c r="Q1190" s="613"/>
      <c r="R1190" s="613"/>
      <c r="S1190" s="613"/>
      <c r="T1190" s="613"/>
      <c r="U1190" s="613"/>
      <c r="V1190" s="523"/>
      <c r="W1190" s="613"/>
      <c r="X1190" s="613"/>
      <c r="Y1190" s="613"/>
      <c r="Z1190" s="523"/>
      <c r="AA1190" s="613"/>
      <c r="AB1190" s="523"/>
      <c r="AC1190" s="523"/>
    </row>
    <row r="1191">
      <c r="A1191" s="613"/>
      <c r="B1191" s="612"/>
      <c r="C1191" s="613"/>
      <c r="D1191" s="613"/>
      <c r="E1191" s="613"/>
      <c r="F1191" s="613"/>
      <c r="G1191" s="613"/>
      <c r="H1191" s="613"/>
      <c r="I1191" s="523"/>
      <c r="J1191" s="612"/>
      <c r="K1191" s="612"/>
      <c r="L1191" s="613"/>
      <c r="M1191" s="613"/>
      <c r="N1191" s="613"/>
      <c r="O1191" s="616"/>
      <c r="P1191" s="613"/>
      <c r="Q1191" s="613"/>
      <c r="R1191" s="613"/>
      <c r="S1191" s="613"/>
      <c r="T1191" s="613"/>
      <c r="U1191" s="613"/>
      <c r="V1191" s="523"/>
      <c r="W1191" s="613"/>
      <c r="X1191" s="613"/>
      <c r="Y1191" s="613"/>
      <c r="Z1191" s="523"/>
      <c r="AA1191" s="613"/>
      <c r="AB1191" s="523"/>
      <c r="AC1191" s="523"/>
    </row>
    <row r="1192">
      <c r="A1192" s="613"/>
      <c r="B1192" s="612"/>
      <c r="C1192" s="613"/>
      <c r="D1192" s="613"/>
      <c r="E1192" s="613"/>
      <c r="F1192" s="613"/>
      <c r="G1192" s="613"/>
      <c r="H1192" s="613"/>
      <c r="I1192" s="523"/>
      <c r="J1192" s="612"/>
      <c r="K1192" s="612"/>
      <c r="L1192" s="613"/>
      <c r="M1192" s="613"/>
      <c r="N1192" s="613"/>
      <c r="O1192" s="616"/>
      <c r="P1192" s="613"/>
      <c r="Q1192" s="613"/>
      <c r="R1192" s="613"/>
      <c r="S1192" s="613"/>
      <c r="T1192" s="613"/>
      <c r="U1192" s="613"/>
      <c r="V1192" s="523"/>
      <c r="W1192" s="613"/>
      <c r="X1192" s="613"/>
      <c r="Y1192" s="613"/>
      <c r="Z1192" s="523"/>
      <c r="AA1192" s="613"/>
      <c r="AB1192" s="523"/>
      <c r="AC1192" s="523"/>
    </row>
    <row r="1193">
      <c r="A1193" s="613"/>
      <c r="B1193" s="612"/>
      <c r="C1193" s="613"/>
      <c r="D1193" s="613"/>
      <c r="E1193" s="613"/>
      <c r="F1193" s="613"/>
      <c r="G1193" s="613"/>
      <c r="H1193" s="613"/>
      <c r="I1193" s="523"/>
      <c r="J1193" s="612"/>
      <c r="K1193" s="612"/>
      <c r="L1193" s="613"/>
      <c r="M1193" s="613"/>
      <c r="N1193" s="613"/>
      <c r="O1193" s="616"/>
      <c r="P1193" s="613"/>
      <c r="Q1193" s="613"/>
      <c r="R1193" s="613"/>
      <c r="S1193" s="613"/>
      <c r="T1193" s="613"/>
      <c r="U1193" s="613"/>
      <c r="V1193" s="523"/>
      <c r="W1193" s="613"/>
      <c r="X1193" s="613"/>
      <c r="Y1193" s="613"/>
      <c r="Z1193" s="523"/>
      <c r="AA1193" s="613"/>
      <c r="AB1193" s="523"/>
      <c r="AC1193" s="523"/>
    </row>
    <row r="1194">
      <c r="A1194" s="613"/>
      <c r="B1194" s="612"/>
      <c r="C1194" s="613"/>
      <c r="D1194" s="613"/>
      <c r="E1194" s="613"/>
      <c r="F1194" s="613"/>
      <c r="G1194" s="613"/>
      <c r="H1194" s="613"/>
      <c r="I1194" s="523"/>
      <c r="J1194" s="612"/>
      <c r="K1194" s="612"/>
      <c r="L1194" s="613"/>
      <c r="M1194" s="613"/>
      <c r="N1194" s="613"/>
      <c r="O1194" s="616"/>
      <c r="P1194" s="613"/>
      <c r="Q1194" s="613"/>
      <c r="R1194" s="613"/>
      <c r="S1194" s="613"/>
      <c r="T1194" s="613"/>
      <c r="U1194" s="613"/>
      <c r="V1194" s="523"/>
      <c r="W1194" s="613"/>
      <c r="X1194" s="613"/>
      <c r="Y1194" s="613"/>
      <c r="Z1194" s="523"/>
      <c r="AA1194" s="613"/>
      <c r="AB1194" s="523"/>
      <c r="AC1194" s="523"/>
    </row>
    <row r="1195">
      <c r="A1195" s="613"/>
      <c r="B1195" s="612"/>
      <c r="C1195" s="613"/>
      <c r="D1195" s="613"/>
      <c r="E1195" s="613"/>
      <c r="F1195" s="613"/>
      <c r="G1195" s="613"/>
      <c r="H1195" s="613"/>
      <c r="I1195" s="523"/>
      <c r="J1195" s="612"/>
      <c r="K1195" s="612"/>
      <c r="L1195" s="613"/>
      <c r="M1195" s="613"/>
      <c r="N1195" s="613"/>
      <c r="O1195" s="616"/>
      <c r="P1195" s="613"/>
      <c r="Q1195" s="613"/>
      <c r="R1195" s="613"/>
      <c r="S1195" s="613"/>
      <c r="T1195" s="613"/>
      <c r="U1195" s="613"/>
      <c r="V1195" s="523"/>
      <c r="W1195" s="613"/>
      <c r="X1195" s="613"/>
      <c r="Y1195" s="613"/>
      <c r="Z1195" s="523"/>
      <c r="AA1195" s="613"/>
      <c r="AB1195" s="523"/>
      <c r="AC1195" s="523"/>
    </row>
    <row r="1196">
      <c r="A1196" s="613"/>
      <c r="B1196" s="612"/>
      <c r="C1196" s="613"/>
      <c r="D1196" s="613"/>
      <c r="E1196" s="613"/>
      <c r="F1196" s="613"/>
      <c r="G1196" s="613"/>
      <c r="H1196" s="613"/>
      <c r="I1196" s="523"/>
      <c r="J1196" s="612"/>
      <c r="K1196" s="612"/>
      <c r="L1196" s="613"/>
      <c r="M1196" s="613"/>
      <c r="N1196" s="613"/>
      <c r="O1196" s="616"/>
      <c r="P1196" s="613"/>
      <c r="Q1196" s="613"/>
      <c r="R1196" s="613"/>
      <c r="S1196" s="613"/>
      <c r="T1196" s="613"/>
      <c r="U1196" s="613"/>
      <c r="V1196" s="523"/>
      <c r="W1196" s="613"/>
      <c r="X1196" s="613"/>
      <c r="Y1196" s="613"/>
      <c r="Z1196" s="523"/>
      <c r="AA1196" s="613"/>
      <c r="AB1196" s="523"/>
      <c r="AC1196" s="523"/>
    </row>
    <row r="1197">
      <c r="A1197" s="613"/>
      <c r="B1197" s="612"/>
      <c r="C1197" s="613"/>
      <c r="D1197" s="613"/>
      <c r="E1197" s="613"/>
      <c r="F1197" s="613"/>
      <c r="G1197" s="613"/>
      <c r="H1197" s="613"/>
      <c r="I1197" s="523"/>
      <c r="J1197" s="612"/>
      <c r="K1197" s="612"/>
      <c r="L1197" s="613"/>
      <c r="M1197" s="613"/>
      <c r="N1197" s="613"/>
      <c r="O1197" s="616"/>
      <c r="P1197" s="613"/>
      <c r="Q1197" s="613"/>
      <c r="R1197" s="613"/>
      <c r="S1197" s="613"/>
      <c r="T1197" s="613"/>
      <c r="U1197" s="613"/>
      <c r="V1197" s="523"/>
      <c r="W1197" s="613"/>
      <c r="X1197" s="613"/>
      <c r="Y1197" s="613"/>
      <c r="Z1197" s="523"/>
      <c r="AA1197" s="613"/>
      <c r="AB1197" s="523"/>
      <c r="AC1197" s="523"/>
    </row>
    <row r="1198">
      <c r="A1198" s="613"/>
      <c r="B1198" s="612"/>
      <c r="C1198" s="613"/>
      <c r="D1198" s="613"/>
      <c r="E1198" s="613"/>
      <c r="F1198" s="613"/>
      <c r="G1198" s="613"/>
      <c r="H1198" s="613"/>
      <c r="I1198" s="523"/>
      <c r="J1198" s="612"/>
      <c r="K1198" s="612"/>
      <c r="L1198" s="613"/>
      <c r="M1198" s="613"/>
      <c r="N1198" s="613"/>
      <c r="O1198" s="616"/>
      <c r="P1198" s="613"/>
      <c r="Q1198" s="613"/>
      <c r="R1198" s="613"/>
      <c r="S1198" s="613"/>
      <c r="T1198" s="613"/>
      <c r="U1198" s="613"/>
      <c r="V1198" s="523"/>
      <c r="W1198" s="613"/>
      <c r="X1198" s="613"/>
      <c r="Y1198" s="613"/>
      <c r="Z1198" s="523"/>
      <c r="AA1198" s="613"/>
      <c r="AB1198" s="523"/>
      <c r="AC1198" s="523"/>
    </row>
    <row r="1199">
      <c r="A1199" s="613"/>
      <c r="B1199" s="612"/>
      <c r="C1199" s="613"/>
      <c r="D1199" s="613"/>
      <c r="E1199" s="613"/>
      <c r="F1199" s="613"/>
      <c r="G1199" s="613"/>
      <c r="H1199" s="613"/>
      <c r="I1199" s="523"/>
      <c r="J1199" s="612"/>
      <c r="K1199" s="612"/>
      <c r="L1199" s="613"/>
      <c r="M1199" s="613"/>
      <c r="N1199" s="613"/>
      <c r="O1199" s="616"/>
      <c r="P1199" s="613"/>
      <c r="Q1199" s="613"/>
      <c r="R1199" s="613"/>
      <c r="S1199" s="613"/>
      <c r="T1199" s="613"/>
      <c r="U1199" s="613"/>
      <c r="V1199" s="523"/>
      <c r="W1199" s="613"/>
      <c r="X1199" s="613"/>
      <c r="Y1199" s="613"/>
      <c r="Z1199" s="523"/>
      <c r="AA1199" s="613"/>
      <c r="AB1199" s="523"/>
      <c r="AC1199" s="523"/>
    </row>
    <row r="1200">
      <c r="A1200" s="613"/>
      <c r="B1200" s="612"/>
      <c r="C1200" s="613"/>
      <c r="D1200" s="613"/>
      <c r="E1200" s="613"/>
      <c r="F1200" s="613"/>
      <c r="G1200" s="613"/>
      <c r="H1200" s="613"/>
      <c r="I1200" s="523"/>
      <c r="J1200" s="612"/>
      <c r="K1200" s="612"/>
      <c r="L1200" s="613"/>
      <c r="M1200" s="613"/>
      <c r="N1200" s="613"/>
      <c r="O1200" s="616"/>
      <c r="P1200" s="613"/>
      <c r="Q1200" s="613"/>
      <c r="R1200" s="613"/>
      <c r="S1200" s="613"/>
      <c r="T1200" s="613"/>
      <c r="U1200" s="613"/>
      <c r="V1200" s="523"/>
      <c r="W1200" s="613"/>
      <c r="X1200" s="613"/>
      <c r="Y1200" s="613"/>
      <c r="Z1200" s="523"/>
      <c r="AA1200" s="613"/>
      <c r="AB1200" s="523"/>
      <c r="AC1200" s="523"/>
    </row>
    <row r="1201">
      <c r="A1201" s="613"/>
      <c r="B1201" s="612"/>
      <c r="C1201" s="613"/>
      <c r="D1201" s="613"/>
      <c r="E1201" s="613"/>
      <c r="F1201" s="613"/>
      <c r="G1201" s="613"/>
      <c r="H1201" s="613"/>
      <c r="I1201" s="523"/>
      <c r="J1201" s="612"/>
      <c r="K1201" s="612"/>
      <c r="L1201" s="613"/>
      <c r="M1201" s="613"/>
      <c r="N1201" s="613"/>
      <c r="O1201" s="616"/>
      <c r="P1201" s="613"/>
      <c r="Q1201" s="613"/>
      <c r="R1201" s="613"/>
      <c r="S1201" s="613"/>
      <c r="T1201" s="613"/>
      <c r="U1201" s="613"/>
      <c r="V1201" s="523"/>
      <c r="W1201" s="613"/>
      <c r="X1201" s="613"/>
      <c r="Y1201" s="613"/>
      <c r="Z1201" s="523"/>
      <c r="AA1201" s="613"/>
      <c r="AB1201" s="523"/>
      <c r="AC1201" s="523"/>
    </row>
    <row r="1202">
      <c r="A1202" s="613"/>
      <c r="B1202" s="612"/>
      <c r="C1202" s="613"/>
      <c r="D1202" s="613"/>
      <c r="E1202" s="613"/>
      <c r="F1202" s="613"/>
      <c r="G1202" s="613"/>
      <c r="H1202" s="613"/>
      <c r="I1202" s="523"/>
      <c r="J1202" s="612"/>
      <c r="K1202" s="612"/>
      <c r="L1202" s="613"/>
      <c r="M1202" s="613"/>
      <c r="N1202" s="613"/>
      <c r="O1202" s="616"/>
      <c r="P1202" s="613"/>
      <c r="Q1202" s="613"/>
      <c r="R1202" s="613"/>
      <c r="S1202" s="613"/>
      <c r="T1202" s="613"/>
      <c r="U1202" s="613"/>
      <c r="V1202" s="523"/>
      <c r="W1202" s="613"/>
      <c r="X1202" s="613"/>
      <c r="Y1202" s="613"/>
      <c r="Z1202" s="523"/>
      <c r="AA1202" s="613"/>
      <c r="AB1202" s="523"/>
      <c r="AC1202" s="523"/>
    </row>
    <row r="1203">
      <c r="A1203" s="613"/>
      <c r="B1203" s="612"/>
      <c r="C1203" s="613"/>
      <c r="D1203" s="613"/>
      <c r="E1203" s="613"/>
      <c r="F1203" s="613"/>
      <c r="G1203" s="613"/>
      <c r="H1203" s="613"/>
      <c r="I1203" s="523"/>
      <c r="J1203" s="612"/>
      <c r="K1203" s="612"/>
      <c r="L1203" s="613"/>
      <c r="M1203" s="613"/>
      <c r="N1203" s="613"/>
      <c r="O1203" s="616"/>
      <c r="P1203" s="613"/>
      <c r="Q1203" s="613"/>
      <c r="R1203" s="613"/>
      <c r="S1203" s="613"/>
      <c r="T1203" s="613"/>
      <c r="U1203" s="613"/>
      <c r="V1203" s="523"/>
      <c r="W1203" s="613"/>
      <c r="X1203" s="613"/>
      <c r="Y1203" s="613"/>
      <c r="Z1203" s="523"/>
      <c r="AA1203" s="613"/>
      <c r="AB1203" s="523"/>
      <c r="AC1203" s="523"/>
    </row>
    <row r="1204">
      <c r="A1204" s="613"/>
      <c r="B1204" s="612"/>
      <c r="C1204" s="613"/>
      <c r="D1204" s="613"/>
      <c r="E1204" s="613"/>
      <c r="F1204" s="613"/>
      <c r="G1204" s="613"/>
      <c r="H1204" s="613"/>
      <c r="I1204" s="523"/>
      <c r="J1204" s="612"/>
      <c r="K1204" s="612"/>
      <c r="L1204" s="613"/>
      <c r="M1204" s="613"/>
      <c r="N1204" s="613"/>
      <c r="O1204" s="616"/>
      <c r="P1204" s="613"/>
      <c r="Q1204" s="613"/>
      <c r="R1204" s="613"/>
      <c r="S1204" s="613"/>
      <c r="T1204" s="613"/>
      <c r="U1204" s="613"/>
      <c r="V1204" s="523"/>
      <c r="W1204" s="613"/>
      <c r="X1204" s="613"/>
      <c r="Y1204" s="613"/>
      <c r="Z1204" s="523"/>
      <c r="AA1204" s="613"/>
      <c r="AB1204" s="523"/>
      <c r="AC1204" s="523"/>
    </row>
    <row r="1205">
      <c r="A1205" s="613"/>
      <c r="B1205" s="612"/>
      <c r="C1205" s="613"/>
      <c r="D1205" s="613"/>
      <c r="E1205" s="613"/>
      <c r="F1205" s="613"/>
      <c r="G1205" s="613"/>
      <c r="H1205" s="613"/>
      <c r="I1205" s="523"/>
      <c r="J1205" s="612"/>
      <c r="K1205" s="612"/>
      <c r="L1205" s="613"/>
      <c r="M1205" s="613"/>
      <c r="N1205" s="613"/>
      <c r="O1205" s="616"/>
      <c r="P1205" s="613"/>
      <c r="Q1205" s="613"/>
      <c r="R1205" s="613"/>
      <c r="S1205" s="613"/>
      <c r="T1205" s="613"/>
      <c r="U1205" s="613"/>
      <c r="V1205" s="523"/>
      <c r="W1205" s="613"/>
      <c r="X1205" s="613"/>
      <c r="Y1205" s="613"/>
      <c r="Z1205" s="523"/>
      <c r="AA1205" s="613"/>
      <c r="AB1205" s="523"/>
      <c r="AC1205" s="523"/>
    </row>
    <row r="1206">
      <c r="A1206" s="613"/>
      <c r="B1206" s="612"/>
      <c r="C1206" s="613"/>
      <c r="D1206" s="613"/>
      <c r="E1206" s="613"/>
      <c r="F1206" s="613"/>
      <c r="G1206" s="613"/>
      <c r="H1206" s="613"/>
      <c r="I1206" s="523"/>
      <c r="J1206" s="612"/>
      <c r="K1206" s="612"/>
      <c r="L1206" s="613"/>
      <c r="M1206" s="613"/>
      <c r="N1206" s="613"/>
      <c r="O1206" s="616"/>
      <c r="P1206" s="613"/>
      <c r="Q1206" s="613"/>
      <c r="R1206" s="613"/>
      <c r="S1206" s="613"/>
      <c r="T1206" s="613"/>
      <c r="U1206" s="613"/>
      <c r="V1206" s="523"/>
      <c r="W1206" s="613"/>
      <c r="X1206" s="613"/>
      <c r="Y1206" s="613"/>
      <c r="Z1206" s="523"/>
      <c r="AA1206" s="613"/>
      <c r="AB1206" s="523"/>
      <c r="AC1206" s="523"/>
    </row>
    <row r="1207">
      <c r="A1207" s="613"/>
      <c r="B1207" s="612"/>
      <c r="C1207" s="613"/>
      <c r="D1207" s="613"/>
      <c r="E1207" s="613"/>
      <c r="F1207" s="613"/>
      <c r="G1207" s="613"/>
      <c r="H1207" s="613"/>
      <c r="I1207" s="523"/>
      <c r="J1207" s="612"/>
      <c r="K1207" s="612"/>
      <c r="L1207" s="613"/>
      <c r="M1207" s="613"/>
      <c r="N1207" s="613"/>
      <c r="O1207" s="616"/>
      <c r="P1207" s="613"/>
      <c r="Q1207" s="613"/>
      <c r="R1207" s="613"/>
      <c r="S1207" s="613"/>
      <c r="T1207" s="613"/>
      <c r="U1207" s="613"/>
      <c r="V1207" s="523"/>
      <c r="W1207" s="613"/>
      <c r="X1207" s="613"/>
      <c r="Y1207" s="613"/>
      <c r="Z1207" s="523"/>
      <c r="AA1207" s="613"/>
      <c r="AB1207" s="523"/>
      <c r="AC1207" s="523"/>
    </row>
    <row r="1208">
      <c r="A1208" s="613"/>
      <c r="B1208" s="612"/>
      <c r="C1208" s="613"/>
      <c r="D1208" s="613"/>
      <c r="E1208" s="613"/>
      <c r="F1208" s="613"/>
      <c r="G1208" s="613"/>
      <c r="H1208" s="613"/>
      <c r="I1208" s="523"/>
      <c r="J1208" s="612"/>
      <c r="K1208" s="612"/>
      <c r="L1208" s="613"/>
      <c r="M1208" s="613"/>
      <c r="N1208" s="613"/>
      <c r="O1208" s="616"/>
      <c r="P1208" s="613"/>
      <c r="Q1208" s="613"/>
      <c r="R1208" s="613"/>
      <c r="S1208" s="613"/>
      <c r="T1208" s="613"/>
      <c r="U1208" s="613"/>
      <c r="V1208" s="523"/>
      <c r="W1208" s="613"/>
      <c r="X1208" s="613"/>
      <c r="Y1208" s="613"/>
      <c r="Z1208" s="523"/>
      <c r="AA1208" s="613"/>
      <c r="AB1208" s="523"/>
      <c r="AC1208" s="523"/>
    </row>
    <row r="1209">
      <c r="A1209" s="613"/>
      <c r="B1209" s="612"/>
      <c r="C1209" s="613"/>
      <c r="D1209" s="613"/>
      <c r="E1209" s="613"/>
      <c r="F1209" s="613"/>
      <c r="G1209" s="613"/>
      <c r="H1209" s="613"/>
      <c r="I1209" s="523"/>
      <c r="J1209" s="612"/>
      <c r="K1209" s="612"/>
      <c r="L1209" s="613"/>
      <c r="M1209" s="613"/>
      <c r="N1209" s="613"/>
      <c r="O1209" s="616"/>
      <c r="P1209" s="613"/>
      <c r="Q1209" s="613"/>
      <c r="R1209" s="613"/>
      <c r="S1209" s="613"/>
      <c r="T1209" s="613"/>
      <c r="U1209" s="613"/>
      <c r="V1209" s="523"/>
      <c r="W1209" s="613"/>
      <c r="X1209" s="613"/>
      <c r="Y1209" s="613"/>
      <c r="Z1209" s="523"/>
      <c r="AA1209" s="613"/>
      <c r="AB1209" s="523"/>
      <c r="AC1209" s="523"/>
    </row>
    <row r="1210">
      <c r="A1210" s="613"/>
      <c r="B1210" s="612"/>
      <c r="C1210" s="613"/>
      <c r="D1210" s="613"/>
      <c r="E1210" s="613"/>
      <c r="F1210" s="613"/>
      <c r="G1210" s="613"/>
      <c r="H1210" s="613"/>
      <c r="I1210" s="523"/>
      <c r="J1210" s="612"/>
      <c r="K1210" s="612"/>
      <c r="L1210" s="613"/>
      <c r="M1210" s="613"/>
      <c r="N1210" s="613"/>
      <c r="O1210" s="616"/>
      <c r="P1210" s="613"/>
      <c r="Q1210" s="613"/>
      <c r="R1210" s="613"/>
      <c r="S1210" s="613"/>
      <c r="T1210" s="613"/>
      <c r="U1210" s="613"/>
      <c r="V1210" s="523"/>
      <c r="W1210" s="613"/>
      <c r="X1210" s="613"/>
      <c r="Y1210" s="613"/>
      <c r="Z1210" s="523"/>
      <c r="AA1210" s="613"/>
      <c r="AB1210" s="523"/>
      <c r="AC1210" s="523"/>
    </row>
    <row r="1211">
      <c r="A1211" s="613"/>
      <c r="B1211" s="612"/>
      <c r="C1211" s="613"/>
      <c r="D1211" s="613"/>
      <c r="E1211" s="613"/>
      <c r="F1211" s="613"/>
      <c r="G1211" s="613"/>
      <c r="H1211" s="613"/>
      <c r="I1211" s="523"/>
      <c r="J1211" s="612"/>
      <c r="K1211" s="612"/>
      <c r="L1211" s="613"/>
      <c r="M1211" s="613"/>
      <c r="N1211" s="613"/>
      <c r="O1211" s="616"/>
      <c r="P1211" s="613"/>
      <c r="Q1211" s="613"/>
      <c r="R1211" s="613"/>
      <c r="S1211" s="613"/>
      <c r="T1211" s="613"/>
      <c r="U1211" s="613"/>
      <c r="V1211" s="523"/>
      <c r="W1211" s="613"/>
      <c r="X1211" s="613"/>
      <c r="Y1211" s="613"/>
      <c r="Z1211" s="523"/>
      <c r="AA1211" s="613"/>
      <c r="AB1211" s="523"/>
      <c r="AC1211" s="523"/>
    </row>
    <row r="1212">
      <c r="A1212" s="613"/>
      <c r="B1212" s="612"/>
      <c r="C1212" s="613"/>
      <c r="D1212" s="613"/>
      <c r="E1212" s="613"/>
      <c r="F1212" s="613"/>
      <c r="G1212" s="613"/>
      <c r="H1212" s="613"/>
      <c r="I1212" s="523"/>
      <c r="J1212" s="612"/>
      <c r="K1212" s="612"/>
      <c r="L1212" s="613"/>
      <c r="M1212" s="613"/>
      <c r="N1212" s="613"/>
      <c r="O1212" s="616"/>
      <c r="P1212" s="613"/>
      <c r="Q1212" s="613"/>
      <c r="R1212" s="613"/>
      <c r="S1212" s="613"/>
      <c r="T1212" s="613"/>
      <c r="U1212" s="613"/>
      <c r="V1212" s="523"/>
      <c r="W1212" s="613"/>
      <c r="X1212" s="613"/>
      <c r="Y1212" s="613"/>
      <c r="Z1212" s="523"/>
      <c r="AA1212" s="613"/>
      <c r="AB1212" s="523"/>
      <c r="AC1212" s="523"/>
    </row>
    <row r="1213">
      <c r="A1213" s="613"/>
      <c r="B1213" s="612"/>
      <c r="C1213" s="613"/>
      <c r="D1213" s="613"/>
      <c r="E1213" s="613"/>
      <c r="F1213" s="613"/>
      <c r="G1213" s="613"/>
      <c r="H1213" s="613"/>
      <c r="I1213" s="523"/>
      <c r="J1213" s="612"/>
      <c r="K1213" s="612"/>
      <c r="L1213" s="613"/>
      <c r="M1213" s="613"/>
      <c r="N1213" s="613"/>
      <c r="O1213" s="616"/>
      <c r="P1213" s="613"/>
      <c r="Q1213" s="613"/>
      <c r="R1213" s="613"/>
      <c r="S1213" s="613"/>
      <c r="T1213" s="613"/>
      <c r="U1213" s="613"/>
      <c r="V1213" s="523"/>
      <c r="W1213" s="613"/>
      <c r="X1213" s="613"/>
      <c r="Y1213" s="613"/>
      <c r="Z1213" s="523"/>
      <c r="AA1213" s="613"/>
      <c r="AB1213" s="523"/>
      <c r="AC1213" s="523"/>
    </row>
    <row r="1214">
      <c r="A1214" s="613"/>
      <c r="B1214" s="612"/>
      <c r="C1214" s="613"/>
      <c r="D1214" s="613"/>
      <c r="E1214" s="613"/>
      <c r="F1214" s="613"/>
      <c r="G1214" s="613"/>
      <c r="H1214" s="613"/>
      <c r="I1214" s="523"/>
      <c r="J1214" s="612"/>
      <c r="K1214" s="612"/>
      <c r="L1214" s="613"/>
      <c r="M1214" s="613"/>
      <c r="N1214" s="613"/>
      <c r="O1214" s="616"/>
      <c r="P1214" s="613"/>
      <c r="Q1214" s="613"/>
      <c r="R1214" s="613"/>
      <c r="S1214" s="613"/>
      <c r="T1214" s="613"/>
      <c r="U1214" s="613"/>
      <c r="V1214" s="523"/>
      <c r="W1214" s="613"/>
      <c r="X1214" s="613"/>
      <c r="Y1214" s="613"/>
      <c r="Z1214" s="523"/>
      <c r="AA1214" s="613"/>
      <c r="AB1214" s="523"/>
      <c r="AC1214" s="523"/>
    </row>
    <row r="1215">
      <c r="A1215" s="613"/>
      <c r="B1215" s="612"/>
      <c r="C1215" s="613"/>
      <c r="D1215" s="613"/>
      <c r="E1215" s="613"/>
      <c r="F1215" s="613"/>
      <c r="G1215" s="613"/>
      <c r="H1215" s="613"/>
      <c r="I1215" s="523"/>
      <c r="J1215" s="612"/>
      <c r="K1215" s="612"/>
      <c r="L1215" s="613"/>
      <c r="M1215" s="613"/>
      <c r="N1215" s="613"/>
      <c r="O1215" s="616"/>
      <c r="P1215" s="613"/>
      <c r="Q1215" s="613"/>
      <c r="R1215" s="613"/>
      <c r="S1215" s="613"/>
      <c r="T1215" s="613"/>
      <c r="U1215" s="613"/>
      <c r="V1215" s="523"/>
      <c r="W1215" s="613"/>
      <c r="X1215" s="613"/>
      <c r="Y1215" s="613"/>
      <c r="Z1215" s="523"/>
      <c r="AA1215" s="613"/>
      <c r="AB1215" s="523"/>
      <c r="AC1215" s="523"/>
    </row>
    <row r="1216">
      <c r="A1216" s="613"/>
      <c r="B1216" s="612"/>
      <c r="C1216" s="613"/>
      <c r="D1216" s="613"/>
      <c r="E1216" s="613"/>
      <c r="F1216" s="613"/>
      <c r="G1216" s="613"/>
      <c r="H1216" s="613"/>
      <c r="I1216" s="523"/>
      <c r="J1216" s="612"/>
      <c r="K1216" s="612"/>
      <c r="L1216" s="613"/>
      <c r="M1216" s="613"/>
      <c r="N1216" s="613"/>
      <c r="O1216" s="616"/>
      <c r="P1216" s="613"/>
      <c r="Q1216" s="613"/>
      <c r="R1216" s="613"/>
      <c r="S1216" s="613"/>
      <c r="T1216" s="613"/>
      <c r="U1216" s="613"/>
      <c r="V1216" s="523"/>
      <c r="W1216" s="613"/>
      <c r="X1216" s="613"/>
      <c r="Y1216" s="613"/>
      <c r="Z1216" s="523"/>
      <c r="AA1216" s="613"/>
      <c r="AB1216" s="523"/>
      <c r="AC1216" s="523"/>
    </row>
    <row r="1217">
      <c r="A1217" s="613"/>
      <c r="B1217" s="612"/>
      <c r="C1217" s="613"/>
      <c r="D1217" s="613"/>
      <c r="E1217" s="613"/>
      <c r="F1217" s="613"/>
      <c r="G1217" s="613"/>
      <c r="H1217" s="613"/>
      <c r="I1217" s="523"/>
      <c r="J1217" s="612"/>
      <c r="K1217" s="612"/>
      <c r="L1217" s="613"/>
      <c r="M1217" s="613"/>
      <c r="N1217" s="613"/>
      <c r="O1217" s="616"/>
      <c r="P1217" s="613"/>
      <c r="Q1217" s="613"/>
      <c r="R1217" s="613"/>
      <c r="S1217" s="613"/>
      <c r="T1217" s="613"/>
      <c r="U1217" s="613"/>
      <c r="V1217" s="523"/>
      <c r="W1217" s="613"/>
      <c r="X1217" s="613"/>
      <c r="Y1217" s="613"/>
      <c r="Z1217" s="523"/>
      <c r="AA1217" s="613"/>
      <c r="AB1217" s="523"/>
      <c r="AC1217" s="523"/>
    </row>
    <row r="1218">
      <c r="A1218" s="613"/>
      <c r="B1218" s="612"/>
      <c r="C1218" s="613"/>
      <c r="D1218" s="613"/>
      <c r="E1218" s="613"/>
      <c r="F1218" s="613"/>
      <c r="G1218" s="613"/>
      <c r="H1218" s="613"/>
      <c r="I1218" s="523"/>
      <c r="J1218" s="612"/>
      <c r="K1218" s="612"/>
      <c r="L1218" s="613"/>
      <c r="M1218" s="613"/>
      <c r="N1218" s="613"/>
      <c r="O1218" s="616"/>
      <c r="P1218" s="613"/>
      <c r="Q1218" s="613"/>
      <c r="R1218" s="613"/>
      <c r="S1218" s="613"/>
      <c r="T1218" s="613"/>
      <c r="U1218" s="613"/>
      <c r="V1218" s="523"/>
      <c r="W1218" s="613"/>
      <c r="X1218" s="613"/>
      <c r="Y1218" s="613"/>
      <c r="Z1218" s="523"/>
      <c r="AA1218" s="613"/>
      <c r="AB1218" s="523"/>
      <c r="AC1218" s="523"/>
    </row>
    <row r="1219">
      <c r="A1219" s="613"/>
      <c r="B1219" s="612"/>
      <c r="C1219" s="613"/>
      <c r="D1219" s="613"/>
      <c r="E1219" s="613"/>
      <c r="F1219" s="613"/>
      <c r="G1219" s="613"/>
      <c r="H1219" s="613"/>
      <c r="I1219" s="523"/>
      <c r="J1219" s="612"/>
      <c r="K1219" s="612"/>
      <c r="L1219" s="613"/>
      <c r="M1219" s="613"/>
      <c r="N1219" s="613"/>
      <c r="O1219" s="616"/>
      <c r="P1219" s="613"/>
      <c r="Q1219" s="613"/>
      <c r="R1219" s="613"/>
      <c r="S1219" s="613"/>
      <c r="T1219" s="613"/>
      <c r="U1219" s="613"/>
      <c r="V1219" s="523"/>
      <c r="W1219" s="613"/>
      <c r="X1219" s="613"/>
      <c r="Y1219" s="613"/>
      <c r="Z1219" s="523"/>
      <c r="AA1219" s="613"/>
      <c r="AB1219" s="523"/>
      <c r="AC1219" s="523"/>
    </row>
    <row r="1220">
      <c r="A1220" s="613"/>
      <c r="B1220" s="612"/>
      <c r="C1220" s="613"/>
      <c r="D1220" s="613"/>
      <c r="E1220" s="613"/>
      <c r="F1220" s="613"/>
      <c r="G1220" s="613"/>
      <c r="H1220" s="613"/>
      <c r="I1220" s="523"/>
      <c r="J1220" s="612"/>
      <c r="K1220" s="612"/>
      <c r="L1220" s="613"/>
      <c r="M1220" s="613"/>
      <c r="N1220" s="613"/>
      <c r="O1220" s="616"/>
      <c r="P1220" s="613"/>
      <c r="Q1220" s="613"/>
      <c r="R1220" s="613"/>
      <c r="S1220" s="613"/>
      <c r="T1220" s="613"/>
      <c r="U1220" s="613"/>
      <c r="V1220" s="523"/>
      <c r="W1220" s="613"/>
      <c r="X1220" s="613"/>
      <c r="Y1220" s="613"/>
      <c r="Z1220" s="523"/>
      <c r="AA1220" s="613"/>
      <c r="AB1220" s="523"/>
      <c r="AC1220" s="523"/>
    </row>
    <row r="1221">
      <c r="A1221" s="613"/>
      <c r="B1221" s="612"/>
      <c r="C1221" s="613"/>
      <c r="D1221" s="613"/>
      <c r="E1221" s="613"/>
      <c r="F1221" s="613"/>
      <c r="G1221" s="613"/>
      <c r="H1221" s="613"/>
      <c r="I1221" s="523"/>
      <c r="J1221" s="612"/>
      <c r="K1221" s="612"/>
      <c r="L1221" s="613"/>
      <c r="M1221" s="613"/>
      <c r="N1221" s="613"/>
      <c r="O1221" s="616"/>
      <c r="P1221" s="613"/>
      <c r="Q1221" s="613"/>
      <c r="R1221" s="613"/>
      <c r="S1221" s="613"/>
      <c r="T1221" s="613"/>
      <c r="U1221" s="613"/>
      <c r="V1221" s="523"/>
      <c r="W1221" s="613"/>
      <c r="X1221" s="613"/>
      <c r="Y1221" s="613"/>
      <c r="Z1221" s="523"/>
      <c r="AA1221" s="613"/>
      <c r="AB1221" s="523"/>
      <c r="AC1221" s="523"/>
    </row>
    <row r="1222">
      <c r="A1222" s="613"/>
      <c r="B1222" s="612"/>
      <c r="C1222" s="613"/>
      <c r="D1222" s="613"/>
      <c r="E1222" s="613"/>
      <c r="F1222" s="613"/>
      <c r="G1222" s="613"/>
      <c r="H1222" s="613"/>
      <c r="I1222" s="523"/>
      <c r="J1222" s="612"/>
      <c r="K1222" s="612"/>
      <c r="L1222" s="613"/>
      <c r="M1222" s="613"/>
      <c r="N1222" s="613"/>
      <c r="O1222" s="616"/>
      <c r="P1222" s="613"/>
      <c r="Q1222" s="613"/>
      <c r="R1222" s="613"/>
      <c r="S1222" s="613"/>
      <c r="T1222" s="613"/>
      <c r="U1222" s="613"/>
      <c r="V1222" s="523"/>
      <c r="W1222" s="613"/>
      <c r="X1222" s="613"/>
      <c r="Y1222" s="613"/>
      <c r="Z1222" s="523"/>
      <c r="AA1222" s="613"/>
      <c r="AB1222" s="523"/>
      <c r="AC1222" s="523"/>
    </row>
    <row r="1223">
      <c r="A1223" s="613"/>
      <c r="B1223" s="612"/>
      <c r="C1223" s="613"/>
      <c r="D1223" s="613"/>
      <c r="E1223" s="613"/>
      <c r="F1223" s="613"/>
      <c r="G1223" s="613"/>
      <c r="H1223" s="613"/>
      <c r="I1223" s="523"/>
      <c r="J1223" s="612"/>
      <c r="K1223" s="612"/>
      <c r="L1223" s="613"/>
      <c r="M1223" s="613"/>
      <c r="N1223" s="613"/>
      <c r="O1223" s="616"/>
      <c r="P1223" s="613"/>
      <c r="Q1223" s="613"/>
      <c r="R1223" s="613"/>
      <c r="S1223" s="613"/>
      <c r="T1223" s="613"/>
      <c r="U1223" s="613"/>
      <c r="V1223" s="523"/>
      <c r="W1223" s="613"/>
      <c r="X1223" s="613"/>
      <c r="Y1223" s="613"/>
      <c r="Z1223" s="523"/>
      <c r="AA1223" s="613"/>
      <c r="AB1223" s="523"/>
      <c r="AC1223" s="523"/>
    </row>
    <row r="1224">
      <c r="A1224" s="613"/>
      <c r="B1224" s="612"/>
      <c r="C1224" s="613"/>
      <c r="D1224" s="613"/>
      <c r="E1224" s="613"/>
      <c r="F1224" s="613"/>
      <c r="G1224" s="613"/>
      <c r="H1224" s="613"/>
      <c r="I1224" s="523"/>
      <c r="J1224" s="612"/>
      <c r="K1224" s="612"/>
      <c r="L1224" s="613"/>
      <c r="M1224" s="613"/>
      <c r="N1224" s="613"/>
      <c r="O1224" s="616"/>
      <c r="P1224" s="613"/>
      <c r="Q1224" s="613"/>
      <c r="R1224" s="613"/>
      <c r="S1224" s="613"/>
      <c r="T1224" s="613"/>
      <c r="U1224" s="613"/>
      <c r="V1224" s="523"/>
      <c r="W1224" s="613"/>
      <c r="X1224" s="613"/>
      <c r="Y1224" s="613"/>
      <c r="Z1224" s="523"/>
      <c r="AA1224" s="613"/>
      <c r="AB1224" s="523"/>
      <c r="AC1224" s="523"/>
    </row>
    <row r="1225">
      <c r="A1225" s="613"/>
      <c r="B1225" s="612"/>
      <c r="C1225" s="613"/>
      <c r="D1225" s="613"/>
      <c r="E1225" s="613"/>
      <c r="F1225" s="613"/>
      <c r="G1225" s="613"/>
      <c r="H1225" s="613"/>
      <c r="I1225" s="523"/>
      <c r="J1225" s="612"/>
      <c r="K1225" s="612"/>
      <c r="L1225" s="613"/>
      <c r="M1225" s="613"/>
      <c r="N1225" s="613"/>
      <c r="O1225" s="616"/>
      <c r="P1225" s="613"/>
      <c r="Q1225" s="613"/>
      <c r="R1225" s="613"/>
      <c r="S1225" s="613"/>
      <c r="T1225" s="613"/>
      <c r="U1225" s="613"/>
      <c r="V1225" s="523"/>
      <c r="W1225" s="613"/>
      <c r="X1225" s="613"/>
      <c r="Y1225" s="613"/>
      <c r="Z1225" s="523"/>
      <c r="AA1225" s="613"/>
      <c r="AB1225" s="523"/>
      <c r="AC1225" s="523"/>
    </row>
    <row r="1226">
      <c r="A1226" s="613"/>
      <c r="B1226" s="612"/>
      <c r="C1226" s="613"/>
      <c r="D1226" s="613"/>
      <c r="E1226" s="613"/>
      <c r="F1226" s="613"/>
      <c r="G1226" s="613"/>
      <c r="H1226" s="613"/>
      <c r="I1226" s="523"/>
      <c r="J1226" s="612"/>
      <c r="K1226" s="612"/>
      <c r="L1226" s="613"/>
      <c r="M1226" s="613"/>
      <c r="N1226" s="613"/>
      <c r="O1226" s="616"/>
      <c r="P1226" s="613"/>
      <c r="Q1226" s="613"/>
      <c r="R1226" s="613"/>
      <c r="S1226" s="613"/>
      <c r="T1226" s="613"/>
      <c r="U1226" s="613"/>
      <c r="V1226" s="523"/>
      <c r="W1226" s="613"/>
      <c r="X1226" s="613"/>
      <c r="Y1226" s="613"/>
      <c r="Z1226" s="523"/>
      <c r="AA1226" s="613"/>
      <c r="AB1226" s="523"/>
      <c r="AC1226" s="523"/>
    </row>
    <row r="1227">
      <c r="A1227" s="613"/>
      <c r="B1227" s="612"/>
      <c r="C1227" s="613"/>
      <c r="D1227" s="613"/>
      <c r="E1227" s="613"/>
      <c r="F1227" s="613"/>
      <c r="G1227" s="613"/>
      <c r="H1227" s="613"/>
      <c r="I1227" s="523"/>
      <c r="J1227" s="612"/>
      <c r="K1227" s="612"/>
      <c r="L1227" s="613"/>
      <c r="M1227" s="613"/>
      <c r="N1227" s="613"/>
      <c r="O1227" s="616"/>
      <c r="P1227" s="613"/>
      <c r="Q1227" s="613"/>
      <c r="R1227" s="613"/>
      <c r="S1227" s="613"/>
      <c r="T1227" s="613"/>
      <c r="U1227" s="613"/>
      <c r="V1227" s="523"/>
      <c r="W1227" s="613"/>
      <c r="X1227" s="613"/>
      <c r="Y1227" s="613"/>
      <c r="Z1227" s="523"/>
      <c r="AA1227" s="613"/>
      <c r="AB1227" s="523"/>
      <c r="AC1227" s="523"/>
    </row>
    <row r="1228">
      <c r="A1228" s="613"/>
      <c r="B1228" s="612"/>
      <c r="C1228" s="613"/>
      <c r="D1228" s="613"/>
      <c r="E1228" s="613"/>
      <c r="F1228" s="613"/>
      <c r="G1228" s="613"/>
      <c r="H1228" s="613"/>
      <c r="I1228" s="523"/>
      <c r="J1228" s="612"/>
      <c r="K1228" s="612"/>
      <c r="L1228" s="613"/>
      <c r="M1228" s="613"/>
      <c r="N1228" s="613"/>
      <c r="O1228" s="616"/>
      <c r="P1228" s="613"/>
      <c r="Q1228" s="613"/>
      <c r="R1228" s="613"/>
      <c r="S1228" s="613"/>
      <c r="T1228" s="613"/>
      <c r="U1228" s="613"/>
      <c r="V1228" s="523"/>
      <c r="W1228" s="613"/>
      <c r="X1228" s="613"/>
      <c r="Y1228" s="613"/>
      <c r="Z1228" s="523"/>
      <c r="AA1228" s="613"/>
      <c r="AB1228" s="523"/>
      <c r="AC1228" s="523"/>
    </row>
    <row r="1229">
      <c r="A1229" s="613"/>
      <c r="B1229" s="612"/>
      <c r="C1229" s="613"/>
      <c r="D1229" s="613"/>
      <c r="E1229" s="613"/>
      <c r="F1229" s="613"/>
      <c r="G1229" s="613"/>
      <c r="H1229" s="613"/>
      <c r="I1229" s="523"/>
      <c r="J1229" s="612"/>
      <c r="K1229" s="612"/>
      <c r="L1229" s="613"/>
      <c r="M1229" s="613"/>
      <c r="N1229" s="613"/>
      <c r="O1229" s="616"/>
      <c r="P1229" s="613"/>
      <c r="Q1229" s="613"/>
      <c r="R1229" s="613"/>
      <c r="S1229" s="613"/>
      <c r="T1229" s="613"/>
      <c r="U1229" s="613"/>
      <c r="V1229" s="523"/>
      <c r="W1229" s="613"/>
      <c r="X1229" s="613"/>
      <c r="Y1229" s="613"/>
      <c r="Z1229" s="523"/>
      <c r="AA1229" s="613"/>
      <c r="AB1229" s="523"/>
      <c r="AC1229" s="523"/>
    </row>
    <row r="1230">
      <c r="A1230" s="613"/>
      <c r="B1230" s="612"/>
      <c r="C1230" s="613"/>
      <c r="D1230" s="613"/>
      <c r="E1230" s="613"/>
      <c r="F1230" s="613"/>
      <c r="G1230" s="613"/>
      <c r="H1230" s="613"/>
      <c r="I1230" s="523"/>
      <c r="J1230" s="612"/>
      <c r="K1230" s="612"/>
      <c r="L1230" s="613"/>
      <c r="M1230" s="613"/>
      <c r="N1230" s="613"/>
      <c r="O1230" s="616"/>
      <c r="P1230" s="613"/>
      <c r="Q1230" s="613"/>
      <c r="R1230" s="613"/>
      <c r="S1230" s="613"/>
      <c r="T1230" s="613"/>
      <c r="U1230" s="613"/>
      <c r="V1230" s="523"/>
      <c r="W1230" s="613"/>
      <c r="X1230" s="613"/>
      <c r="Y1230" s="613"/>
      <c r="Z1230" s="523"/>
      <c r="AA1230" s="613"/>
      <c r="AB1230" s="523"/>
      <c r="AC1230" s="523"/>
    </row>
    <row r="1231">
      <c r="A1231" s="613"/>
      <c r="B1231" s="612"/>
      <c r="C1231" s="613"/>
      <c r="D1231" s="613"/>
      <c r="E1231" s="613"/>
      <c r="F1231" s="613"/>
      <c r="G1231" s="613"/>
      <c r="H1231" s="613"/>
      <c r="I1231" s="523"/>
      <c r="J1231" s="612"/>
      <c r="K1231" s="612"/>
      <c r="L1231" s="613"/>
      <c r="M1231" s="613"/>
      <c r="N1231" s="613"/>
      <c r="O1231" s="616"/>
      <c r="P1231" s="613"/>
      <c r="Q1231" s="613"/>
      <c r="R1231" s="613"/>
      <c r="S1231" s="613"/>
      <c r="T1231" s="613"/>
      <c r="U1231" s="613"/>
      <c r="V1231" s="523"/>
      <c r="W1231" s="613"/>
      <c r="X1231" s="613"/>
      <c r="Y1231" s="613"/>
      <c r="Z1231" s="523"/>
      <c r="AA1231" s="613"/>
      <c r="AB1231" s="523"/>
      <c r="AC1231" s="523"/>
    </row>
    <row r="1232">
      <c r="A1232" s="613"/>
      <c r="B1232" s="612"/>
      <c r="C1232" s="613"/>
      <c r="D1232" s="613"/>
      <c r="E1232" s="613"/>
      <c r="F1232" s="613"/>
      <c r="G1232" s="613"/>
      <c r="H1232" s="613"/>
      <c r="I1232" s="523"/>
      <c r="J1232" s="612"/>
      <c r="K1232" s="612"/>
      <c r="L1232" s="613"/>
      <c r="M1232" s="613"/>
      <c r="N1232" s="613"/>
      <c r="O1232" s="616"/>
      <c r="P1232" s="613"/>
      <c r="Q1232" s="613"/>
      <c r="R1232" s="613"/>
      <c r="S1232" s="613"/>
      <c r="T1232" s="613"/>
      <c r="U1232" s="613"/>
      <c r="V1232" s="523"/>
      <c r="W1232" s="613"/>
      <c r="X1232" s="613"/>
      <c r="Y1232" s="613"/>
      <c r="Z1232" s="523"/>
      <c r="AA1232" s="613"/>
      <c r="AB1232" s="523"/>
      <c r="AC1232" s="523"/>
    </row>
    <row r="1233">
      <c r="A1233" s="613"/>
      <c r="B1233" s="612"/>
      <c r="C1233" s="613"/>
      <c r="D1233" s="613"/>
      <c r="E1233" s="613"/>
      <c r="F1233" s="613"/>
      <c r="G1233" s="613"/>
      <c r="H1233" s="613"/>
      <c r="I1233" s="523"/>
      <c r="J1233" s="612"/>
      <c r="K1233" s="612"/>
      <c r="L1233" s="613"/>
      <c r="M1233" s="613"/>
      <c r="N1233" s="613"/>
      <c r="O1233" s="616"/>
      <c r="P1233" s="613"/>
      <c r="Q1233" s="613"/>
      <c r="R1233" s="613"/>
      <c r="S1233" s="613"/>
      <c r="T1233" s="613"/>
      <c r="U1233" s="613"/>
      <c r="V1233" s="523"/>
      <c r="W1233" s="613"/>
      <c r="X1233" s="613"/>
      <c r="Y1233" s="613"/>
      <c r="Z1233" s="523"/>
      <c r="AA1233" s="613"/>
      <c r="AB1233" s="523"/>
      <c r="AC1233" s="523"/>
    </row>
    <row r="1234">
      <c r="A1234" s="613"/>
      <c r="B1234" s="612"/>
      <c r="C1234" s="613"/>
      <c r="D1234" s="613"/>
      <c r="E1234" s="613"/>
      <c r="F1234" s="613"/>
      <c r="G1234" s="613"/>
      <c r="H1234" s="613"/>
      <c r="I1234" s="523"/>
      <c r="J1234" s="612"/>
      <c r="K1234" s="612"/>
      <c r="L1234" s="613"/>
      <c r="M1234" s="613"/>
      <c r="N1234" s="613"/>
      <c r="O1234" s="616"/>
      <c r="P1234" s="613"/>
      <c r="Q1234" s="613"/>
      <c r="R1234" s="613"/>
      <c r="S1234" s="613"/>
      <c r="T1234" s="613"/>
      <c r="U1234" s="613"/>
      <c r="V1234" s="523"/>
      <c r="W1234" s="613"/>
      <c r="X1234" s="613"/>
      <c r="Y1234" s="613"/>
      <c r="Z1234" s="523"/>
      <c r="AA1234" s="613"/>
      <c r="AB1234" s="523"/>
      <c r="AC1234" s="523"/>
    </row>
    <row r="1235">
      <c r="A1235" s="613"/>
      <c r="B1235" s="612"/>
      <c r="C1235" s="613"/>
      <c r="D1235" s="613"/>
      <c r="E1235" s="613"/>
      <c r="F1235" s="613"/>
      <c r="G1235" s="613"/>
      <c r="H1235" s="613"/>
      <c r="I1235" s="523"/>
      <c r="J1235" s="612"/>
      <c r="K1235" s="612"/>
      <c r="L1235" s="613"/>
      <c r="M1235" s="613"/>
      <c r="N1235" s="613"/>
      <c r="O1235" s="616"/>
      <c r="P1235" s="613"/>
      <c r="Q1235" s="613"/>
      <c r="R1235" s="613"/>
      <c r="S1235" s="613"/>
      <c r="T1235" s="613"/>
      <c r="U1235" s="613"/>
      <c r="V1235" s="523"/>
      <c r="W1235" s="613"/>
      <c r="X1235" s="613"/>
      <c r="Y1235" s="613"/>
      <c r="Z1235" s="523"/>
      <c r="AA1235" s="613"/>
      <c r="AB1235" s="523"/>
      <c r="AC1235" s="523"/>
    </row>
    <row r="1236">
      <c r="A1236" s="613"/>
      <c r="B1236" s="612"/>
      <c r="C1236" s="613"/>
      <c r="D1236" s="613"/>
      <c r="E1236" s="613"/>
      <c r="F1236" s="613"/>
      <c r="G1236" s="613"/>
      <c r="H1236" s="613"/>
      <c r="I1236" s="523"/>
      <c r="J1236" s="612"/>
      <c r="K1236" s="612"/>
      <c r="L1236" s="613"/>
      <c r="M1236" s="613"/>
      <c r="N1236" s="613"/>
      <c r="O1236" s="616"/>
      <c r="P1236" s="613"/>
      <c r="Q1236" s="613"/>
      <c r="R1236" s="613"/>
      <c r="S1236" s="613"/>
      <c r="T1236" s="613"/>
      <c r="U1236" s="613"/>
      <c r="V1236" s="523"/>
      <c r="W1236" s="613"/>
      <c r="X1236" s="613"/>
      <c r="Y1236" s="613"/>
      <c r="Z1236" s="523"/>
      <c r="AA1236" s="613"/>
      <c r="AB1236" s="523"/>
      <c r="AC1236" s="523"/>
    </row>
    <row r="1237">
      <c r="A1237" s="613"/>
      <c r="B1237" s="612"/>
      <c r="C1237" s="613"/>
      <c r="D1237" s="613"/>
      <c r="E1237" s="613"/>
      <c r="F1237" s="613"/>
      <c r="G1237" s="613"/>
      <c r="H1237" s="613"/>
      <c r="I1237" s="523"/>
      <c r="J1237" s="612"/>
      <c r="K1237" s="612"/>
      <c r="L1237" s="613"/>
      <c r="M1237" s="613"/>
      <c r="N1237" s="613"/>
      <c r="O1237" s="616"/>
      <c r="P1237" s="613"/>
      <c r="Q1237" s="613"/>
      <c r="R1237" s="613"/>
      <c r="S1237" s="613"/>
      <c r="T1237" s="613"/>
      <c r="U1237" s="613"/>
      <c r="V1237" s="523"/>
      <c r="W1237" s="613"/>
      <c r="X1237" s="613"/>
      <c r="Y1237" s="613"/>
      <c r="Z1237" s="523"/>
      <c r="AA1237" s="613"/>
      <c r="AB1237" s="523"/>
      <c r="AC1237" s="523"/>
    </row>
    <row r="1238">
      <c r="A1238" s="613"/>
      <c r="B1238" s="612"/>
      <c r="C1238" s="613"/>
      <c r="D1238" s="613"/>
      <c r="E1238" s="613"/>
      <c r="F1238" s="613"/>
      <c r="G1238" s="613"/>
      <c r="H1238" s="613"/>
      <c r="I1238" s="523"/>
      <c r="J1238" s="612"/>
      <c r="K1238" s="612"/>
      <c r="L1238" s="613"/>
      <c r="M1238" s="613"/>
      <c r="N1238" s="613"/>
      <c r="O1238" s="616"/>
      <c r="P1238" s="613"/>
      <c r="Q1238" s="613"/>
      <c r="R1238" s="613"/>
      <c r="S1238" s="613"/>
      <c r="T1238" s="613"/>
      <c r="U1238" s="613"/>
      <c r="V1238" s="523"/>
      <c r="W1238" s="613"/>
      <c r="X1238" s="613"/>
      <c r="Y1238" s="613"/>
      <c r="Z1238" s="523"/>
      <c r="AA1238" s="613"/>
      <c r="AB1238" s="523"/>
      <c r="AC1238" s="523"/>
    </row>
    <row r="1239">
      <c r="A1239" s="613"/>
      <c r="B1239" s="612"/>
      <c r="C1239" s="613"/>
      <c r="D1239" s="613"/>
      <c r="E1239" s="613"/>
      <c r="F1239" s="613"/>
      <c r="G1239" s="613"/>
      <c r="H1239" s="613"/>
      <c r="I1239" s="523"/>
      <c r="J1239" s="612"/>
      <c r="K1239" s="612"/>
      <c r="L1239" s="613"/>
      <c r="M1239" s="613"/>
      <c r="N1239" s="613"/>
      <c r="O1239" s="616"/>
      <c r="P1239" s="613"/>
      <c r="Q1239" s="613"/>
      <c r="R1239" s="613"/>
      <c r="S1239" s="613"/>
      <c r="T1239" s="613"/>
      <c r="U1239" s="613"/>
      <c r="V1239" s="523"/>
      <c r="W1239" s="613"/>
      <c r="X1239" s="613"/>
      <c r="Y1239" s="613"/>
      <c r="Z1239" s="523"/>
      <c r="AA1239" s="613"/>
      <c r="AB1239" s="523"/>
      <c r="AC1239" s="523"/>
    </row>
    <row r="1240">
      <c r="A1240" s="613"/>
      <c r="B1240" s="612"/>
      <c r="C1240" s="613"/>
      <c r="D1240" s="613"/>
      <c r="E1240" s="613"/>
      <c r="F1240" s="613"/>
      <c r="G1240" s="613"/>
      <c r="H1240" s="613"/>
      <c r="I1240" s="523"/>
      <c r="J1240" s="612"/>
      <c r="K1240" s="612"/>
      <c r="L1240" s="613"/>
      <c r="M1240" s="613"/>
      <c r="N1240" s="613"/>
      <c r="O1240" s="616"/>
      <c r="P1240" s="613"/>
      <c r="Q1240" s="613"/>
      <c r="R1240" s="613"/>
      <c r="S1240" s="613"/>
      <c r="T1240" s="613"/>
      <c r="U1240" s="613"/>
      <c r="V1240" s="523"/>
      <c r="W1240" s="613"/>
      <c r="X1240" s="613"/>
      <c r="Y1240" s="613"/>
      <c r="Z1240" s="523"/>
      <c r="AA1240" s="613"/>
      <c r="AB1240" s="523"/>
      <c r="AC1240" s="523"/>
    </row>
    <row r="1241">
      <c r="A1241" s="613"/>
      <c r="B1241" s="612"/>
      <c r="C1241" s="613"/>
      <c r="D1241" s="613"/>
      <c r="E1241" s="613"/>
      <c r="F1241" s="613"/>
      <c r="G1241" s="613"/>
      <c r="H1241" s="613"/>
      <c r="I1241" s="523"/>
      <c r="J1241" s="612"/>
      <c r="K1241" s="612"/>
      <c r="L1241" s="613"/>
      <c r="M1241" s="613"/>
      <c r="N1241" s="613"/>
      <c r="O1241" s="616"/>
      <c r="P1241" s="613"/>
      <c r="Q1241" s="613"/>
      <c r="R1241" s="613"/>
      <c r="S1241" s="613"/>
      <c r="T1241" s="613"/>
      <c r="U1241" s="613"/>
      <c r="V1241" s="523"/>
      <c r="W1241" s="613"/>
      <c r="X1241" s="613"/>
      <c r="Y1241" s="613"/>
      <c r="Z1241" s="523"/>
      <c r="AA1241" s="613"/>
      <c r="AB1241" s="523"/>
      <c r="AC1241" s="523"/>
    </row>
    <row r="1242">
      <c r="A1242" s="613"/>
      <c r="B1242" s="612"/>
      <c r="C1242" s="613"/>
      <c r="D1242" s="613"/>
      <c r="E1242" s="613"/>
      <c r="F1242" s="613"/>
      <c r="G1242" s="613"/>
      <c r="H1242" s="613"/>
      <c r="I1242" s="523"/>
      <c r="J1242" s="612"/>
      <c r="K1242" s="612"/>
      <c r="L1242" s="613"/>
      <c r="M1242" s="613"/>
      <c r="N1242" s="613"/>
      <c r="O1242" s="616"/>
      <c r="P1242" s="613"/>
      <c r="Q1242" s="613"/>
      <c r="R1242" s="613"/>
      <c r="S1242" s="613"/>
      <c r="T1242" s="613"/>
      <c r="U1242" s="613"/>
      <c r="V1242" s="523"/>
      <c r="W1242" s="613"/>
      <c r="X1242" s="613"/>
      <c r="Y1242" s="613"/>
      <c r="Z1242" s="523"/>
      <c r="AA1242" s="613"/>
      <c r="AB1242" s="523"/>
      <c r="AC1242" s="523"/>
    </row>
    <row r="1243">
      <c r="A1243" s="613"/>
      <c r="B1243" s="612"/>
      <c r="C1243" s="613"/>
      <c r="D1243" s="613"/>
      <c r="E1243" s="613"/>
      <c r="F1243" s="613"/>
      <c r="G1243" s="613"/>
      <c r="H1243" s="613"/>
      <c r="I1243" s="523"/>
      <c r="J1243" s="612"/>
      <c r="K1243" s="612"/>
      <c r="L1243" s="613"/>
      <c r="M1243" s="613"/>
      <c r="N1243" s="613"/>
      <c r="O1243" s="616"/>
      <c r="P1243" s="613"/>
      <c r="Q1243" s="613"/>
      <c r="R1243" s="613"/>
      <c r="S1243" s="613"/>
      <c r="T1243" s="613"/>
      <c r="U1243" s="613"/>
      <c r="V1243" s="523"/>
      <c r="W1243" s="613"/>
      <c r="X1243" s="613"/>
      <c r="Y1243" s="613"/>
      <c r="Z1243" s="523"/>
      <c r="AA1243" s="613"/>
      <c r="AB1243" s="523"/>
      <c r="AC1243" s="523"/>
    </row>
    <row r="1244">
      <c r="A1244" s="613"/>
      <c r="B1244" s="612"/>
      <c r="C1244" s="613"/>
      <c r="D1244" s="613"/>
      <c r="E1244" s="613"/>
      <c r="F1244" s="613"/>
      <c r="G1244" s="613"/>
      <c r="H1244" s="613"/>
      <c r="I1244" s="523"/>
      <c r="J1244" s="612"/>
      <c r="K1244" s="612"/>
      <c r="L1244" s="613"/>
      <c r="M1244" s="613"/>
      <c r="N1244" s="613"/>
      <c r="O1244" s="616"/>
      <c r="P1244" s="613"/>
      <c r="Q1244" s="613"/>
      <c r="R1244" s="613"/>
      <c r="S1244" s="613"/>
      <c r="T1244" s="613"/>
      <c r="U1244" s="613"/>
      <c r="V1244" s="523"/>
      <c r="W1244" s="613"/>
      <c r="X1244" s="613"/>
      <c r="Y1244" s="613"/>
      <c r="Z1244" s="523"/>
      <c r="AA1244" s="613"/>
      <c r="AB1244" s="523"/>
      <c r="AC1244" s="523"/>
    </row>
    <row r="1245">
      <c r="A1245" s="613"/>
      <c r="B1245" s="612"/>
      <c r="C1245" s="613"/>
      <c r="D1245" s="613"/>
      <c r="E1245" s="613"/>
      <c r="F1245" s="613"/>
      <c r="G1245" s="613"/>
      <c r="H1245" s="613"/>
      <c r="I1245" s="523"/>
      <c r="J1245" s="612"/>
      <c r="K1245" s="612"/>
      <c r="L1245" s="613"/>
      <c r="M1245" s="613"/>
      <c r="N1245" s="613"/>
      <c r="O1245" s="616"/>
      <c r="P1245" s="613"/>
      <c r="Q1245" s="613"/>
      <c r="R1245" s="613"/>
      <c r="S1245" s="613"/>
      <c r="T1245" s="613"/>
      <c r="U1245" s="613"/>
      <c r="V1245" s="523"/>
      <c r="W1245" s="613"/>
      <c r="X1245" s="613"/>
      <c r="Y1245" s="613"/>
      <c r="Z1245" s="523"/>
      <c r="AA1245" s="613"/>
      <c r="AB1245" s="523"/>
      <c r="AC1245" s="523"/>
    </row>
    <row r="1246">
      <c r="A1246" s="613"/>
      <c r="B1246" s="612"/>
      <c r="C1246" s="613"/>
      <c r="D1246" s="613"/>
      <c r="E1246" s="613"/>
      <c r="F1246" s="613"/>
      <c r="G1246" s="613"/>
      <c r="H1246" s="613"/>
      <c r="I1246" s="523"/>
      <c r="J1246" s="612"/>
      <c r="K1246" s="612"/>
      <c r="L1246" s="613"/>
      <c r="M1246" s="613"/>
      <c r="N1246" s="613"/>
      <c r="O1246" s="616"/>
      <c r="P1246" s="613"/>
      <c r="Q1246" s="613"/>
      <c r="R1246" s="613"/>
      <c r="S1246" s="613"/>
      <c r="T1246" s="613"/>
      <c r="U1246" s="613"/>
      <c r="V1246" s="523"/>
      <c r="W1246" s="613"/>
      <c r="X1246" s="613"/>
      <c r="Y1246" s="613"/>
      <c r="Z1246" s="523"/>
      <c r="AA1246" s="613"/>
      <c r="AB1246" s="523"/>
      <c r="AC1246" s="523"/>
    </row>
    <row r="1247">
      <c r="A1247" s="613"/>
      <c r="B1247" s="612"/>
      <c r="C1247" s="613"/>
      <c r="D1247" s="613"/>
      <c r="E1247" s="613"/>
      <c r="F1247" s="613"/>
      <c r="G1247" s="613"/>
      <c r="H1247" s="613"/>
      <c r="I1247" s="523"/>
      <c r="J1247" s="612"/>
      <c r="K1247" s="612"/>
      <c r="L1247" s="613"/>
      <c r="M1247" s="613"/>
      <c r="N1247" s="613"/>
      <c r="O1247" s="616"/>
      <c r="P1247" s="613"/>
      <c r="Q1247" s="613"/>
      <c r="R1247" s="613"/>
      <c r="S1247" s="613"/>
      <c r="T1247" s="613"/>
      <c r="U1247" s="613"/>
      <c r="V1247" s="523"/>
      <c r="W1247" s="613"/>
      <c r="X1247" s="613"/>
      <c r="Y1247" s="613"/>
      <c r="Z1247" s="523"/>
      <c r="AA1247" s="613"/>
      <c r="AB1247" s="523"/>
      <c r="AC1247" s="523"/>
    </row>
    <row r="1248">
      <c r="A1248" s="613"/>
      <c r="B1248" s="612"/>
      <c r="C1248" s="613"/>
      <c r="D1248" s="613"/>
      <c r="E1248" s="613"/>
      <c r="F1248" s="613"/>
      <c r="G1248" s="613"/>
      <c r="H1248" s="613"/>
      <c r="I1248" s="523"/>
      <c r="J1248" s="612"/>
      <c r="K1248" s="612"/>
      <c r="L1248" s="613"/>
      <c r="M1248" s="613"/>
      <c r="N1248" s="613"/>
      <c r="O1248" s="616"/>
      <c r="P1248" s="613"/>
      <c r="Q1248" s="613"/>
      <c r="R1248" s="613"/>
      <c r="S1248" s="613"/>
      <c r="T1248" s="613"/>
      <c r="U1248" s="613"/>
      <c r="V1248" s="523"/>
      <c r="W1248" s="613"/>
      <c r="X1248" s="613"/>
      <c r="Y1248" s="613"/>
      <c r="Z1248" s="523"/>
      <c r="AA1248" s="613"/>
      <c r="AB1248" s="523"/>
      <c r="AC1248" s="523"/>
    </row>
    <row r="1249">
      <c r="A1249" s="613"/>
      <c r="B1249" s="612"/>
      <c r="C1249" s="613"/>
      <c r="D1249" s="613"/>
      <c r="E1249" s="613"/>
      <c r="F1249" s="613"/>
      <c r="G1249" s="613"/>
      <c r="H1249" s="613"/>
      <c r="I1249" s="523"/>
      <c r="J1249" s="612"/>
      <c r="K1249" s="612"/>
      <c r="L1249" s="613"/>
      <c r="M1249" s="613"/>
      <c r="N1249" s="613"/>
      <c r="O1249" s="616"/>
      <c r="P1249" s="613"/>
      <c r="Q1249" s="613"/>
      <c r="R1249" s="613"/>
      <c r="S1249" s="613"/>
      <c r="T1249" s="613"/>
      <c r="U1249" s="613"/>
      <c r="V1249" s="523"/>
      <c r="W1249" s="613"/>
      <c r="X1249" s="613"/>
      <c r="Y1249" s="613"/>
      <c r="Z1249" s="523"/>
      <c r="AA1249" s="613"/>
      <c r="AB1249" s="523"/>
      <c r="AC1249" s="523"/>
    </row>
    <row r="1250">
      <c r="A1250" s="613"/>
      <c r="B1250" s="612"/>
      <c r="C1250" s="613"/>
      <c r="D1250" s="613"/>
      <c r="E1250" s="613"/>
      <c r="F1250" s="613"/>
      <c r="G1250" s="613"/>
      <c r="H1250" s="613"/>
      <c r="I1250" s="523"/>
      <c r="J1250" s="612"/>
      <c r="K1250" s="612"/>
      <c r="L1250" s="613"/>
      <c r="M1250" s="613"/>
      <c r="N1250" s="613"/>
      <c r="O1250" s="616"/>
      <c r="P1250" s="613"/>
      <c r="Q1250" s="613"/>
      <c r="R1250" s="613"/>
      <c r="S1250" s="613"/>
      <c r="T1250" s="613"/>
      <c r="U1250" s="613"/>
      <c r="V1250" s="523"/>
      <c r="W1250" s="613"/>
      <c r="X1250" s="613"/>
      <c r="Y1250" s="613"/>
      <c r="Z1250" s="523"/>
      <c r="AA1250" s="613"/>
      <c r="AB1250" s="523"/>
      <c r="AC1250" s="523"/>
    </row>
    <row r="1251">
      <c r="A1251" s="613"/>
      <c r="B1251" s="612"/>
      <c r="C1251" s="613"/>
      <c r="D1251" s="613"/>
      <c r="E1251" s="613"/>
      <c r="F1251" s="613"/>
      <c r="G1251" s="613"/>
      <c r="H1251" s="613"/>
      <c r="I1251" s="523"/>
      <c r="J1251" s="612"/>
      <c r="K1251" s="612"/>
      <c r="L1251" s="613"/>
      <c r="M1251" s="613"/>
      <c r="N1251" s="613"/>
      <c r="O1251" s="616"/>
      <c r="P1251" s="613"/>
      <c r="Q1251" s="613"/>
      <c r="R1251" s="613"/>
      <c r="S1251" s="613"/>
      <c r="T1251" s="613"/>
      <c r="U1251" s="613"/>
      <c r="V1251" s="523"/>
      <c r="W1251" s="613"/>
      <c r="X1251" s="613"/>
      <c r="Y1251" s="613"/>
      <c r="Z1251" s="523"/>
      <c r="AA1251" s="613"/>
      <c r="AB1251" s="523"/>
      <c r="AC1251" s="523"/>
    </row>
    <row r="1252">
      <c r="A1252" s="613"/>
      <c r="B1252" s="612"/>
      <c r="C1252" s="613"/>
      <c r="D1252" s="613"/>
      <c r="E1252" s="613"/>
      <c r="F1252" s="613"/>
      <c r="G1252" s="613"/>
      <c r="H1252" s="613"/>
      <c r="I1252" s="523"/>
      <c r="J1252" s="612"/>
      <c r="K1252" s="612"/>
      <c r="L1252" s="613"/>
      <c r="M1252" s="613"/>
      <c r="N1252" s="613"/>
      <c r="O1252" s="616"/>
      <c r="P1252" s="613"/>
      <c r="Q1252" s="613"/>
      <c r="R1252" s="613"/>
      <c r="S1252" s="613"/>
      <c r="T1252" s="613"/>
      <c r="U1252" s="613"/>
      <c r="V1252" s="523"/>
      <c r="W1252" s="613"/>
      <c r="X1252" s="613"/>
      <c r="Y1252" s="613"/>
      <c r="Z1252" s="523"/>
      <c r="AA1252" s="613"/>
      <c r="AB1252" s="523"/>
      <c r="AC1252" s="523"/>
    </row>
    <row r="1253">
      <c r="A1253" s="613"/>
      <c r="B1253" s="612"/>
      <c r="C1253" s="613"/>
      <c r="D1253" s="613"/>
      <c r="E1253" s="613"/>
      <c r="F1253" s="613"/>
      <c r="G1253" s="613"/>
      <c r="H1253" s="613"/>
      <c r="I1253" s="523"/>
      <c r="J1253" s="612"/>
      <c r="K1253" s="612"/>
      <c r="L1253" s="613"/>
      <c r="M1253" s="613"/>
      <c r="N1253" s="613"/>
      <c r="O1253" s="616"/>
      <c r="P1253" s="613"/>
      <c r="Q1253" s="613"/>
      <c r="R1253" s="613"/>
      <c r="S1253" s="613"/>
      <c r="T1253" s="613"/>
      <c r="U1253" s="613"/>
      <c r="V1253" s="523"/>
      <c r="W1253" s="613"/>
      <c r="X1253" s="613"/>
      <c r="Y1253" s="613"/>
      <c r="Z1253" s="523"/>
      <c r="AA1253" s="613"/>
      <c r="AB1253" s="523"/>
      <c r="AC1253" s="523"/>
    </row>
    <row r="1254">
      <c r="A1254" s="613"/>
      <c r="B1254" s="612"/>
      <c r="C1254" s="613"/>
      <c r="D1254" s="613"/>
      <c r="E1254" s="613"/>
      <c r="F1254" s="613"/>
      <c r="G1254" s="613"/>
      <c r="H1254" s="613"/>
      <c r="I1254" s="523"/>
      <c r="J1254" s="612"/>
      <c r="K1254" s="612"/>
      <c r="L1254" s="613"/>
      <c r="M1254" s="613"/>
      <c r="N1254" s="613"/>
      <c r="O1254" s="616"/>
      <c r="P1254" s="613"/>
      <c r="Q1254" s="613"/>
      <c r="R1254" s="613"/>
      <c r="S1254" s="613"/>
      <c r="T1254" s="613"/>
      <c r="U1254" s="613"/>
      <c r="V1254" s="523"/>
      <c r="W1254" s="613"/>
      <c r="X1254" s="613"/>
      <c r="Y1254" s="613"/>
      <c r="Z1254" s="523"/>
      <c r="AA1254" s="613"/>
      <c r="AB1254" s="523"/>
      <c r="AC1254" s="523"/>
    </row>
    <row r="1255">
      <c r="A1255" s="613"/>
      <c r="B1255" s="612"/>
      <c r="C1255" s="613"/>
      <c r="D1255" s="613"/>
      <c r="E1255" s="613"/>
      <c r="F1255" s="613"/>
      <c r="G1255" s="613"/>
      <c r="H1255" s="613"/>
      <c r="I1255" s="523"/>
      <c r="J1255" s="612"/>
      <c r="K1255" s="612"/>
      <c r="L1255" s="613"/>
      <c r="M1255" s="613"/>
      <c r="N1255" s="613"/>
      <c r="O1255" s="616"/>
      <c r="P1255" s="613"/>
      <c r="Q1255" s="613"/>
      <c r="R1255" s="613"/>
      <c r="S1255" s="613"/>
      <c r="T1255" s="613"/>
      <c r="U1255" s="613"/>
      <c r="V1255" s="523"/>
      <c r="W1255" s="613"/>
      <c r="X1255" s="613"/>
      <c r="Y1255" s="613"/>
      <c r="Z1255" s="523"/>
      <c r="AA1255" s="613"/>
      <c r="AB1255" s="523"/>
      <c r="AC1255" s="523"/>
    </row>
    <row r="1256">
      <c r="A1256" s="613"/>
      <c r="B1256" s="612"/>
      <c r="C1256" s="613"/>
      <c r="D1256" s="613"/>
      <c r="E1256" s="613"/>
      <c r="F1256" s="613"/>
      <c r="G1256" s="613"/>
      <c r="H1256" s="613"/>
      <c r="I1256" s="523"/>
      <c r="J1256" s="612"/>
      <c r="K1256" s="612"/>
      <c r="L1256" s="613"/>
      <c r="M1256" s="613"/>
      <c r="N1256" s="613"/>
      <c r="O1256" s="616"/>
      <c r="P1256" s="613"/>
      <c r="Q1256" s="613"/>
      <c r="R1256" s="613"/>
      <c r="S1256" s="613"/>
      <c r="T1256" s="613"/>
      <c r="U1256" s="613"/>
      <c r="V1256" s="523"/>
      <c r="W1256" s="613"/>
      <c r="X1256" s="613"/>
      <c r="Y1256" s="613"/>
      <c r="Z1256" s="523"/>
      <c r="AA1256" s="613"/>
      <c r="AB1256" s="523"/>
      <c r="AC1256" s="523"/>
    </row>
    <row r="1257">
      <c r="A1257" s="613"/>
      <c r="B1257" s="612"/>
      <c r="C1257" s="613"/>
      <c r="D1257" s="613"/>
      <c r="E1257" s="613"/>
      <c r="F1257" s="613"/>
      <c r="G1257" s="613"/>
      <c r="H1257" s="613"/>
      <c r="I1257" s="523"/>
      <c r="J1257" s="612"/>
      <c r="K1257" s="612"/>
      <c r="L1257" s="613"/>
      <c r="M1257" s="613"/>
      <c r="N1257" s="613"/>
      <c r="O1257" s="616"/>
      <c r="P1257" s="613"/>
      <c r="Q1257" s="613"/>
      <c r="R1257" s="613"/>
      <c r="S1257" s="613"/>
      <c r="T1257" s="613"/>
      <c r="U1257" s="613"/>
      <c r="V1257" s="523"/>
      <c r="W1257" s="613"/>
      <c r="X1257" s="613"/>
      <c r="Y1257" s="613"/>
      <c r="Z1257" s="523"/>
      <c r="AA1257" s="613"/>
      <c r="AB1257" s="523"/>
      <c r="AC1257" s="523"/>
    </row>
    <row r="1258">
      <c r="A1258" s="613"/>
      <c r="B1258" s="612"/>
      <c r="C1258" s="613"/>
      <c r="D1258" s="613"/>
      <c r="E1258" s="613"/>
      <c r="F1258" s="613"/>
      <c r="G1258" s="613"/>
      <c r="H1258" s="613"/>
      <c r="I1258" s="523"/>
      <c r="J1258" s="612"/>
      <c r="K1258" s="612"/>
      <c r="L1258" s="613"/>
      <c r="M1258" s="613"/>
      <c r="N1258" s="613"/>
      <c r="O1258" s="616"/>
      <c r="P1258" s="613"/>
      <c r="Q1258" s="613"/>
      <c r="R1258" s="613"/>
      <c r="S1258" s="613"/>
      <c r="T1258" s="613"/>
      <c r="U1258" s="613"/>
      <c r="V1258" s="523"/>
      <c r="W1258" s="613"/>
      <c r="X1258" s="613"/>
      <c r="Y1258" s="613"/>
      <c r="Z1258" s="523"/>
      <c r="AA1258" s="613"/>
      <c r="AB1258" s="523"/>
      <c r="AC1258" s="523"/>
    </row>
    <row r="1259">
      <c r="A1259" s="613"/>
      <c r="B1259" s="612"/>
      <c r="C1259" s="613"/>
      <c r="D1259" s="613"/>
      <c r="E1259" s="613"/>
      <c r="F1259" s="613"/>
      <c r="G1259" s="613"/>
      <c r="H1259" s="613"/>
      <c r="I1259" s="523"/>
      <c r="J1259" s="612"/>
      <c r="K1259" s="612"/>
      <c r="L1259" s="613"/>
      <c r="M1259" s="613"/>
      <c r="N1259" s="613"/>
      <c r="O1259" s="616"/>
      <c r="P1259" s="613"/>
      <c r="Q1259" s="613"/>
      <c r="R1259" s="613"/>
      <c r="S1259" s="613"/>
      <c r="T1259" s="613"/>
      <c r="U1259" s="613"/>
      <c r="V1259" s="523"/>
      <c r="W1259" s="613"/>
      <c r="X1259" s="613"/>
      <c r="Y1259" s="613"/>
      <c r="Z1259" s="523"/>
      <c r="AA1259" s="613"/>
      <c r="AB1259" s="523"/>
      <c r="AC1259" s="523"/>
    </row>
    <row r="1260">
      <c r="A1260" s="613"/>
      <c r="B1260" s="612"/>
      <c r="C1260" s="613"/>
      <c r="D1260" s="613"/>
      <c r="E1260" s="613"/>
      <c r="F1260" s="613"/>
      <c r="G1260" s="613"/>
      <c r="H1260" s="613"/>
      <c r="I1260" s="523"/>
      <c r="J1260" s="612"/>
      <c r="K1260" s="612"/>
      <c r="L1260" s="613"/>
      <c r="M1260" s="613"/>
      <c r="N1260" s="613"/>
      <c r="O1260" s="616"/>
      <c r="P1260" s="613"/>
      <c r="Q1260" s="613"/>
      <c r="R1260" s="613"/>
      <c r="S1260" s="613"/>
      <c r="T1260" s="613"/>
      <c r="U1260" s="613"/>
      <c r="V1260" s="523"/>
      <c r="W1260" s="613"/>
      <c r="X1260" s="613"/>
      <c r="Y1260" s="613"/>
      <c r="Z1260" s="523"/>
      <c r="AA1260" s="613"/>
      <c r="AB1260" s="523"/>
      <c r="AC1260" s="523"/>
    </row>
    <row r="1261">
      <c r="A1261" s="613"/>
      <c r="B1261" s="612"/>
      <c r="C1261" s="613"/>
      <c r="D1261" s="613"/>
      <c r="E1261" s="613"/>
      <c r="F1261" s="613"/>
      <c r="G1261" s="613"/>
      <c r="H1261" s="613"/>
      <c r="I1261" s="523"/>
      <c r="J1261" s="612"/>
      <c r="K1261" s="612"/>
      <c r="L1261" s="613"/>
      <c r="M1261" s="613"/>
      <c r="N1261" s="613"/>
      <c r="O1261" s="616"/>
      <c r="P1261" s="613"/>
      <c r="Q1261" s="613"/>
      <c r="R1261" s="613"/>
      <c r="S1261" s="613"/>
      <c r="T1261" s="613"/>
      <c r="U1261" s="613"/>
      <c r="V1261" s="523"/>
      <c r="W1261" s="613"/>
      <c r="X1261" s="613"/>
      <c r="Y1261" s="613"/>
      <c r="Z1261" s="523"/>
      <c r="AA1261" s="613"/>
      <c r="AB1261" s="523"/>
      <c r="AC1261" s="523"/>
    </row>
    <row r="1262">
      <c r="A1262" s="613"/>
      <c r="B1262" s="612"/>
      <c r="C1262" s="613"/>
      <c r="D1262" s="613"/>
      <c r="E1262" s="613"/>
      <c r="F1262" s="613"/>
      <c r="G1262" s="613"/>
      <c r="H1262" s="613"/>
      <c r="I1262" s="523"/>
      <c r="J1262" s="612"/>
      <c r="K1262" s="612"/>
      <c r="L1262" s="613"/>
      <c r="M1262" s="613"/>
      <c r="N1262" s="613"/>
      <c r="O1262" s="616"/>
      <c r="P1262" s="613"/>
      <c r="Q1262" s="613"/>
      <c r="R1262" s="613"/>
      <c r="S1262" s="613"/>
      <c r="T1262" s="613"/>
      <c r="U1262" s="613"/>
      <c r="V1262" s="523"/>
      <c r="W1262" s="613"/>
      <c r="X1262" s="613"/>
      <c r="Y1262" s="613"/>
      <c r="Z1262" s="523"/>
      <c r="AA1262" s="613"/>
      <c r="AB1262" s="523"/>
      <c r="AC1262" s="523"/>
    </row>
    <row r="1263">
      <c r="A1263" s="613"/>
      <c r="B1263" s="612"/>
      <c r="C1263" s="613"/>
      <c r="D1263" s="613"/>
      <c r="E1263" s="613"/>
      <c r="F1263" s="613"/>
      <c r="G1263" s="613"/>
      <c r="H1263" s="613"/>
      <c r="I1263" s="523"/>
      <c r="J1263" s="612"/>
      <c r="K1263" s="612"/>
      <c r="L1263" s="613"/>
      <c r="M1263" s="613"/>
      <c r="N1263" s="613"/>
      <c r="O1263" s="616"/>
      <c r="P1263" s="613"/>
      <c r="Q1263" s="613"/>
      <c r="R1263" s="613"/>
      <c r="S1263" s="613"/>
      <c r="T1263" s="613"/>
      <c r="U1263" s="613"/>
      <c r="V1263" s="523"/>
      <c r="W1263" s="613"/>
      <c r="X1263" s="613"/>
      <c r="Y1263" s="613"/>
      <c r="Z1263" s="523"/>
      <c r="AA1263" s="613"/>
      <c r="AB1263" s="523"/>
      <c r="AC1263" s="523"/>
    </row>
    <row r="1264">
      <c r="A1264" s="613"/>
      <c r="B1264" s="612"/>
      <c r="C1264" s="613"/>
      <c r="D1264" s="613"/>
      <c r="E1264" s="613"/>
      <c r="F1264" s="613"/>
      <c r="G1264" s="613"/>
      <c r="H1264" s="613"/>
      <c r="I1264" s="523"/>
      <c r="J1264" s="612"/>
      <c r="K1264" s="612"/>
      <c r="L1264" s="613"/>
      <c r="M1264" s="613"/>
      <c r="N1264" s="613"/>
      <c r="O1264" s="616"/>
      <c r="P1264" s="613"/>
      <c r="Q1264" s="613"/>
      <c r="R1264" s="613"/>
      <c r="S1264" s="613"/>
      <c r="T1264" s="613"/>
      <c r="U1264" s="613"/>
      <c r="V1264" s="523"/>
      <c r="W1264" s="613"/>
      <c r="X1264" s="613"/>
      <c r="Y1264" s="613"/>
      <c r="Z1264" s="523"/>
      <c r="AA1264" s="613"/>
      <c r="AB1264" s="523"/>
      <c r="AC1264" s="523"/>
    </row>
    <row r="1265">
      <c r="A1265" s="613"/>
      <c r="B1265" s="612"/>
      <c r="C1265" s="613"/>
      <c r="D1265" s="613"/>
      <c r="E1265" s="613"/>
      <c r="F1265" s="613"/>
      <c r="G1265" s="613"/>
      <c r="H1265" s="613"/>
      <c r="I1265" s="523"/>
      <c r="J1265" s="612"/>
      <c r="K1265" s="612"/>
      <c r="L1265" s="613"/>
      <c r="M1265" s="613"/>
      <c r="N1265" s="613"/>
      <c r="O1265" s="616"/>
      <c r="P1265" s="613"/>
      <c r="Q1265" s="613"/>
      <c r="R1265" s="613"/>
      <c r="S1265" s="613"/>
      <c r="T1265" s="613"/>
      <c r="U1265" s="613"/>
      <c r="V1265" s="523"/>
      <c r="W1265" s="613"/>
      <c r="X1265" s="613"/>
      <c r="Y1265" s="613"/>
      <c r="Z1265" s="523"/>
      <c r="AA1265" s="613"/>
      <c r="AB1265" s="523"/>
      <c r="AC1265" s="523"/>
    </row>
    <row r="1266">
      <c r="A1266" s="613"/>
      <c r="B1266" s="612"/>
      <c r="C1266" s="613"/>
      <c r="D1266" s="613"/>
      <c r="E1266" s="613"/>
      <c r="F1266" s="613"/>
      <c r="G1266" s="613"/>
      <c r="H1266" s="613"/>
      <c r="I1266" s="523"/>
      <c r="J1266" s="612"/>
      <c r="K1266" s="612"/>
      <c r="L1266" s="613"/>
      <c r="M1266" s="613"/>
      <c r="N1266" s="613"/>
      <c r="O1266" s="616"/>
      <c r="P1266" s="613"/>
      <c r="Q1266" s="613"/>
      <c r="R1266" s="613"/>
      <c r="S1266" s="613"/>
      <c r="T1266" s="613"/>
      <c r="U1266" s="613"/>
      <c r="V1266" s="523"/>
      <c r="W1266" s="613"/>
      <c r="X1266" s="613"/>
      <c r="Y1266" s="613"/>
      <c r="Z1266" s="523"/>
      <c r="AA1266" s="613"/>
      <c r="AB1266" s="523"/>
      <c r="AC1266" s="523"/>
    </row>
    <row r="1267">
      <c r="A1267" s="613"/>
      <c r="B1267" s="612"/>
      <c r="C1267" s="613"/>
      <c r="D1267" s="613"/>
      <c r="E1267" s="613"/>
      <c r="F1267" s="613"/>
      <c r="G1267" s="613"/>
      <c r="H1267" s="613"/>
      <c r="I1267" s="523"/>
      <c r="J1267" s="612"/>
      <c r="K1267" s="612"/>
      <c r="L1267" s="613"/>
      <c r="M1267" s="613"/>
      <c r="N1267" s="613"/>
      <c r="O1267" s="616"/>
      <c r="P1267" s="613"/>
      <c r="Q1267" s="613"/>
      <c r="R1267" s="613"/>
      <c r="S1267" s="613"/>
      <c r="T1267" s="613"/>
      <c r="U1267" s="613"/>
      <c r="V1267" s="523"/>
      <c r="W1267" s="613"/>
      <c r="X1267" s="613"/>
      <c r="Y1267" s="613"/>
      <c r="Z1267" s="523"/>
      <c r="AA1267" s="613"/>
      <c r="AB1267" s="523"/>
      <c r="AC1267" s="523"/>
    </row>
    <row r="1268">
      <c r="A1268" s="613"/>
      <c r="B1268" s="612"/>
      <c r="C1268" s="613"/>
      <c r="D1268" s="613"/>
      <c r="E1268" s="613"/>
      <c r="F1268" s="613"/>
      <c r="G1268" s="613"/>
      <c r="H1268" s="613"/>
      <c r="I1268" s="523"/>
      <c r="J1268" s="612"/>
      <c r="K1268" s="612"/>
      <c r="L1268" s="613"/>
      <c r="M1268" s="613"/>
      <c r="N1268" s="613"/>
      <c r="O1268" s="616"/>
      <c r="P1268" s="613"/>
      <c r="Q1268" s="613"/>
      <c r="R1268" s="613"/>
      <c r="S1268" s="613"/>
      <c r="T1268" s="613"/>
      <c r="U1268" s="613"/>
      <c r="V1268" s="523"/>
      <c r="W1268" s="613"/>
      <c r="X1268" s="613"/>
      <c r="Y1268" s="613"/>
      <c r="Z1268" s="523"/>
      <c r="AA1268" s="613"/>
      <c r="AB1268" s="523"/>
      <c r="AC1268" s="523"/>
    </row>
    <row r="1269">
      <c r="A1269" s="613"/>
      <c r="B1269" s="612"/>
      <c r="C1269" s="613"/>
      <c r="D1269" s="613"/>
      <c r="E1269" s="613"/>
      <c r="F1269" s="613"/>
      <c r="G1269" s="613"/>
      <c r="H1269" s="613"/>
      <c r="I1269" s="523"/>
      <c r="J1269" s="612"/>
      <c r="K1269" s="612"/>
      <c r="L1269" s="613"/>
      <c r="M1269" s="613"/>
      <c r="N1269" s="613"/>
      <c r="O1269" s="616"/>
      <c r="P1269" s="613"/>
      <c r="Q1269" s="613"/>
      <c r="R1269" s="613"/>
      <c r="S1269" s="613"/>
      <c r="T1269" s="613"/>
      <c r="U1269" s="613"/>
      <c r="V1269" s="523"/>
      <c r="W1269" s="613"/>
      <c r="X1269" s="613"/>
      <c r="Y1269" s="613"/>
      <c r="Z1269" s="523"/>
      <c r="AA1269" s="613"/>
      <c r="AB1269" s="523"/>
      <c r="AC1269" s="523"/>
    </row>
    <row r="1270">
      <c r="A1270" s="613"/>
      <c r="B1270" s="612"/>
      <c r="C1270" s="613"/>
      <c r="D1270" s="613"/>
      <c r="E1270" s="613"/>
      <c r="F1270" s="613"/>
      <c r="G1270" s="613"/>
      <c r="H1270" s="613"/>
      <c r="I1270" s="523"/>
      <c r="J1270" s="612"/>
      <c r="K1270" s="612"/>
      <c r="L1270" s="613"/>
      <c r="M1270" s="613"/>
      <c r="N1270" s="613"/>
      <c r="O1270" s="616"/>
      <c r="P1270" s="613"/>
      <c r="Q1270" s="613"/>
      <c r="R1270" s="613"/>
      <c r="S1270" s="613"/>
      <c r="T1270" s="613"/>
      <c r="U1270" s="613"/>
      <c r="V1270" s="523"/>
      <c r="W1270" s="613"/>
      <c r="X1270" s="613"/>
      <c r="Y1270" s="613"/>
      <c r="Z1270" s="523"/>
      <c r="AA1270" s="613"/>
      <c r="AB1270" s="523"/>
      <c r="AC1270" s="523"/>
    </row>
    <row r="1271">
      <c r="A1271" s="613"/>
      <c r="B1271" s="612"/>
      <c r="C1271" s="613"/>
      <c r="D1271" s="613"/>
      <c r="E1271" s="613"/>
      <c r="F1271" s="613"/>
      <c r="G1271" s="613"/>
      <c r="H1271" s="613"/>
      <c r="I1271" s="523"/>
      <c r="J1271" s="612"/>
      <c r="K1271" s="612"/>
      <c r="L1271" s="613"/>
      <c r="M1271" s="613"/>
      <c r="N1271" s="613"/>
      <c r="O1271" s="616"/>
      <c r="P1271" s="613"/>
      <c r="Q1271" s="613"/>
      <c r="R1271" s="613"/>
      <c r="S1271" s="613"/>
      <c r="T1271" s="613"/>
      <c r="U1271" s="613"/>
      <c r="V1271" s="523"/>
      <c r="W1271" s="613"/>
      <c r="X1271" s="613"/>
      <c r="Y1271" s="613"/>
      <c r="Z1271" s="523"/>
      <c r="AA1271" s="613"/>
      <c r="AB1271" s="523"/>
      <c r="AC1271" s="523"/>
    </row>
    <row r="1272">
      <c r="A1272" s="613"/>
      <c r="B1272" s="612"/>
      <c r="C1272" s="613"/>
      <c r="D1272" s="613"/>
      <c r="E1272" s="613"/>
      <c r="F1272" s="613"/>
      <c r="G1272" s="613"/>
      <c r="H1272" s="613"/>
      <c r="I1272" s="523"/>
      <c r="J1272" s="612"/>
      <c r="K1272" s="612"/>
      <c r="L1272" s="613"/>
      <c r="M1272" s="613"/>
      <c r="N1272" s="613"/>
      <c r="O1272" s="616"/>
      <c r="P1272" s="613"/>
      <c r="Q1272" s="613"/>
      <c r="R1272" s="613"/>
      <c r="S1272" s="613"/>
      <c r="T1272" s="613"/>
      <c r="U1272" s="613"/>
      <c r="V1272" s="523"/>
      <c r="W1272" s="613"/>
      <c r="X1272" s="613"/>
      <c r="Y1272" s="613"/>
      <c r="Z1272" s="523"/>
      <c r="AA1272" s="613"/>
      <c r="AB1272" s="523"/>
      <c r="AC1272" s="523"/>
    </row>
    <row r="1273">
      <c r="A1273" s="613"/>
      <c r="B1273" s="612"/>
      <c r="C1273" s="613"/>
      <c r="D1273" s="613"/>
      <c r="E1273" s="613"/>
      <c r="F1273" s="613"/>
      <c r="G1273" s="613"/>
      <c r="H1273" s="613"/>
      <c r="I1273" s="523"/>
      <c r="J1273" s="612"/>
      <c r="K1273" s="612"/>
      <c r="L1273" s="613"/>
      <c r="M1273" s="613"/>
      <c r="N1273" s="613"/>
      <c r="O1273" s="616"/>
      <c r="P1273" s="613"/>
      <c r="Q1273" s="613"/>
      <c r="R1273" s="613"/>
      <c r="S1273" s="613"/>
      <c r="T1273" s="613"/>
      <c r="U1273" s="613"/>
      <c r="V1273" s="523"/>
      <c r="W1273" s="613"/>
      <c r="X1273" s="613"/>
      <c r="Y1273" s="613"/>
      <c r="Z1273" s="523"/>
      <c r="AA1273" s="613"/>
      <c r="AB1273" s="523"/>
      <c r="AC1273" s="523"/>
    </row>
    <row r="1274">
      <c r="A1274" s="613"/>
      <c r="B1274" s="612"/>
      <c r="C1274" s="613"/>
      <c r="D1274" s="613"/>
      <c r="E1274" s="613"/>
      <c r="F1274" s="613"/>
      <c r="G1274" s="613"/>
      <c r="H1274" s="613"/>
      <c r="I1274" s="523"/>
      <c r="J1274" s="612"/>
      <c r="K1274" s="612"/>
      <c r="L1274" s="613"/>
      <c r="M1274" s="613"/>
      <c r="N1274" s="613"/>
      <c r="O1274" s="616"/>
      <c r="P1274" s="613"/>
      <c r="Q1274" s="613"/>
      <c r="R1274" s="613"/>
      <c r="S1274" s="613"/>
      <c r="T1274" s="613"/>
      <c r="U1274" s="613"/>
      <c r="V1274" s="523"/>
      <c r="W1274" s="613"/>
      <c r="X1274" s="613"/>
      <c r="Y1274" s="613"/>
      <c r="Z1274" s="523"/>
      <c r="AA1274" s="613"/>
      <c r="AB1274" s="523"/>
      <c r="AC1274" s="523"/>
    </row>
    <row r="1275">
      <c r="A1275" s="613"/>
      <c r="B1275" s="612"/>
      <c r="C1275" s="613"/>
      <c r="D1275" s="613"/>
      <c r="E1275" s="613"/>
      <c r="F1275" s="613"/>
      <c r="G1275" s="613"/>
      <c r="H1275" s="613"/>
      <c r="I1275" s="523"/>
      <c r="J1275" s="612"/>
      <c r="K1275" s="612"/>
      <c r="L1275" s="613"/>
      <c r="M1275" s="613"/>
      <c r="N1275" s="613"/>
      <c r="O1275" s="616"/>
      <c r="P1275" s="613"/>
      <c r="Q1275" s="613"/>
      <c r="R1275" s="613"/>
      <c r="S1275" s="613"/>
      <c r="T1275" s="613"/>
      <c r="U1275" s="613"/>
      <c r="V1275" s="523"/>
      <c r="W1275" s="613"/>
      <c r="X1275" s="613"/>
      <c r="Y1275" s="613"/>
      <c r="Z1275" s="523"/>
      <c r="AA1275" s="613"/>
      <c r="AB1275" s="523"/>
      <c r="AC1275" s="523"/>
    </row>
    <row r="1276">
      <c r="A1276" s="613"/>
      <c r="B1276" s="612"/>
      <c r="C1276" s="613"/>
      <c r="D1276" s="613"/>
      <c r="E1276" s="613"/>
      <c r="F1276" s="613"/>
      <c r="G1276" s="613"/>
      <c r="H1276" s="613"/>
      <c r="I1276" s="523"/>
      <c r="J1276" s="612"/>
      <c r="K1276" s="612"/>
      <c r="L1276" s="613"/>
      <c r="M1276" s="613"/>
      <c r="N1276" s="613"/>
      <c r="O1276" s="616"/>
      <c r="P1276" s="613"/>
      <c r="Q1276" s="613"/>
      <c r="R1276" s="613"/>
      <c r="S1276" s="613"/>
      <c r="T1276" s="613"/>
      <c r="U1276" s="613"/>
      <c r="V1276" s="523"/>
      <c r="W1276" s="613"/>
      <c r="X1276" s="613"/>
      <c r="Y1276" s="613"/>
      <c r="Z1276" s="523"/>
      <c r="AA1276" s="613"/>
      <c r="AB1276" s="523"/>
      <c r="AC1276" s="523"/>
    </row>
    <row r="1277">
      <c r="A1277" s="613"/>
      <c r="B1277" s="612"/>
      <c r="C1277" s="613"/>
      <c r="D1277" s="613"/>
      <c r="E1277" s="613"/>
      <c r="F1277" s="613"/>
      <c r="G1277" s="613"/>
      <c r="H1277" s="613"/>
      <c r="I1277" s="523"/>
      <c r="J1277" s="612"/>
      <c r="K1277" s="612"/>
      <c r="L1277" s="613"/>
      <c r="M1277" s="613"/>
      <c r="N1277" s="613"/>
      <c r="O1277" s="616"/>
      <c r="P1277" s="613"/>
      <c r="Q1277" s="613"/>
      <c r="R1277" s="613"/>
      <c r="S1277" s="613"/>
      <c r="T1277" s="613"/>
      <c r="U1277" s="613"/>
      <c r="V1277" s="523"/>
      <c r="W1277" s="613"/>
      <c r="X1277" s="613"/>
      <c r="Y1277" s="613"/>
      <c r="Z1277" s="523"/>
      <c r="AA1277" s="613"/>
      <c r="AB1277" s="523"/>
      <c r="AC1277" s="523"/>
    </row>
    <row r="1278">
      <c r="A1278" s="613"/>
      <c r="B1278" s="612"/>
      <c r="C1278" s="613"/>
      <c r="D1278" s="613"/>
      <c r="E1278" s="613"/>
      <c r="F1278" s="613"/>
      <c r="G1278" s="613"/>
      <c r="H1278" s="613"/>
      <c r="I1278" s="523"/>
      <c r="J1278" s="612"/>
      <c r="K1278" s="612"/>
      <c r="L1278" s="613"/>
      <c r="M1278" s="613"/>
      <c r="N1278" s="613"/>
      <c r="O1278" s="616"/>
      <c r="P1278" s="613"/>
      <c r="Q1278" s="613"/>
      <c r="R1278" s="613"/>
      <c r="S1278" s="613"/>
      <c r="T1278" s="613"/>
      <c r="U1278" s="613"/>
      <c r="V1278" s="523"/>
      <c r="W1278" s="613"/>
      <c r="X1278" s="613"/>
      <c r="Y1278" s="613"/>
      <c r="Z1278" s="523"/>
      <c r="AA1278" s="613"/>
      <c r="AB1278" s="523"/>
      <c r="AC1278" s="523"/>
    </row>
    <row r="1279">
      <c r="A1279" s="613"/>
      <c r="B1279" s="612"/>
      <c r="C1279" s="613"/>
      <c r="D1279" s="613"/>
      <c r="E1279" s="613"/>
      <c r="F1279" s="613"/>
      <c r="G1279" s="613"/>
      <c r="H1279" s="613"/>
      <c r="I1279" s="523"/>
      <c r="J1279" s="612"/>
      <c r="K1279" s="612"/>
      <c r="L1279" s="613"/>
      <c r="M1279" s="613"/>
      <c r="N1279" s="613"/>
      <c r="O1279" s="616"/>
      <c r="P1279" s="613"/>
      <c r="Q1279" s="613"/>
      <c r="R1279" s="613"/>
      <c r="S1279" s="613"/>
      <c r="T1279" s="613"/>
      <c r="U1279" s="613"/>
      <c r="V1279" s="523"/>
      <c r="W1279" s="613"/>
      <c r="X1279" s="613"/>
      <c r="Y1279" s="613"/>
      <c r="Z1279" s="523"/>
      <c r="AA1279" s="613"/>
      <c r="AB1279" s="523"/>
      <c r="AC1279" s="523"/>
    </row>
    <row r="1280">
      <c r="A1280" s="613"/>
      <c r="B1280" s="612"/>
      <c r="C1280" s="613"/>
      <c r="D1280" s="613"/>
      <c r="E1280" s="613"/>
      <c r="F1280" s="613"/>
      <c r="G1280" s="613"/>
      <c r="H1280" s="613"/>
      <c r="I1280" s="523"/>
      <c r="J1280" s="612"/>
      <c r="K1280" s="612"/>
      <c r="L1280" s="613"/>
      <c r="M1280" s="613"/>
      <c r="N1280" s="613"/>
      <c r="O1280" s="616"/>
      <c r="P1280" s="613"/>
      <c r="Q1280" s="613"/>
      <c r="R1280" s="613"/>
      <c r="S1280" s="613"/>
      <c r="T1280" s="613"/>
      <c r="U1280" s="613"/>
      <c r="V1280" s="523"/>
      <c r="W1280" s="613"/>
      <c r="X1280" s="613"/>
      <c r="Y1280" s="613"/>
      <c r="Z1280" s="523"/>
      <c r="AA1280" s="613"/>
      <c r="AB1280" s="523"/>
      <c r="AC1280" s="523"/>
    </row>
    <row r="1281">
      <c r="A1281" s="613"/>
      <c r="B1281" s="612"/>
      <c r="C1281" s="613"/>
      <c r="D1281" s="613"/>
      <c r="E1281" s="613"/>
      <c r="F1281" s="613"/>
      <c r="G1281" s="613"/>
      <c r="H1281" s="613"/>
      <c r="I1281" s="523"/>
      <c r="J1281" s="612"/>
      <c r="K1281" s="612"/>
      <c r="L1281" s="613"/>
      <c r="M1281" s="613"/>
      <c r="N1281" s="613"/>
      <c r="O1281" s="616"/>
      <c r="P1281" s="613"/>
      <c r="Q1281" s="613"/>
      <c r="R1281" s="613"/>
      <c r="S1281" s="613"/>
      <c r="T1281" s="613"/>
      <c r="U1281" s="613"/>
      <c r="V1281" s="523"/>
      <c r="W1281" s="613"/>
      <c r="X1281" s="613"/>
      <c r="Y1281" s="613"/>
      <c r="Z1281" s="523"/>
      <c r="AA1281" s="613"/>
      <c r="AB1281" s="523"/>
      <c r="AC1281" s="523"/>
    </row>
    <row r="1282">
      <c r="A1282" s="613"/>
      <c r="B1282" s="612"/>
      <c r="C1282" s="613"/>
      <c r="D1282" s="613"/>
      <c r="E1282" s="613"/>
      <c r="F1282" s="613"/>
      <c r="G1282" s="613"/>
      <c r="H1282" s="613"/>
      <c r="I1282" s="523"/>
      <c r="J1282" s="612"/>
      <c r="K1282" s="612"/>
      <c r="L1282" s="613"/>
      <c r="M1282" s="613"/>
      <c r="N1282" s="613"/>
      <c r="O1282" s="616"/>
      <c r="P1282" s="613"/>
      <c r="Q1282" s="613"/>
      <c r="R1282" s="613"/>
      <c r="S1282" s="613"/>
      <c r="T1282" s="613"/>
      <c r="U1282" s="613"/>
      <c r="V1282" s="523"/>
      <c r="W1282" s="613"/>
      <c r="X1282" s="613"/>
      <c r="Y1282" s="613"/>
      <c r="Z1282" s="523"/>
      <c r="AA1282" s="613"/>
      <c r="AB1282" s="523"/>
      <c r="AC1282" s="523"/>
    </row>
    <row r="1283">
      <c r="A1283" s="613"/>
      <c r="B1283" s="612"/>
      <c r="C1283" s="613"/>
      <c r="D1283" s="613"/>
      <c r="E1283" s="613"/>
      <c r="F1283" s="613"/>
      <c r="G1283" s="613"/>
      <c r="H1283" s="613"/>
      <c r="I1283" s="523"/>
      <c r="J1283" s="612"/>
      <c r="K1283" s="612"/>
      <c r="L1283" s="613"/>
      <c r="M1283" s="613"/>
      <c r="N1283" s="613"/>
      <c r="O1283" s="616"/>
      <c r="P1283" s="613"/>
      <c r="Q1283" s="613"/>
      <c r="R1283" s="613"/>
      <c r="S1283" s="613"/>
      <c r="T1283" s="613"/>
      <c r="U1283" s="613"/>
      <c r="V1283" s="523"/>
      <c r="W1283" s="613"/>
      <c r="X1283" s="613"/>
      <c r="Y1283" s="613"/>
      <c r="Z1283" s="523"/>
      <c r="AA1283" s="613"/>
      <c r="AB1283" s="523"/>
      <c r="AC1283" s="523"/>
    </row>
    <row r="1284">
      <c r="A1284" s="613"/>
      <c r="B1284" s="612"/>
      <c r="C1284" s="613"/>
      <c r="D1284" s="613"/>
      <c r="E1284" s="613"/>
      <c r="F1284" s="613"/>
      <c r="G1284" s="613"/>
      <c r="H1284" s="613"/>
      <c r="I1284" s="523"/>
      <c r="J1284" s="612"/>
      <c r="K1284" s="612"/>
      <c r="L1284" s="613"/>
      <c r="M1284" s="613"/>
      <c r="N1284" s="613"/>
      <c r="O1284" s="616"/>
      <c r="P1284" s="613"/>
      <c r="Q1284" s="613"/>
      <c r="R1284" s="613"/>
      <c r="S1284" s="613"/>
      <c r="T1284" s="613"/>
      <c r="U1284" s="613"/>
      <c r="V1284" s="523"/>
      <c r="W1284" s="613"/>
      <c r="X1284" s="613"/>
      <c r="Y1284" s="613"/>
      <c r="Z1284" s="523"/>
      <c r="AA1284" s="613"/>
      <c r="AB1284" s="523"/>
      <c r="AC1284" s="523"/>
    </row>
    <row r="1285">
      <c r="A1285" s="613"/>
      <c r="B1285" s="612"/>
      <c r="C1285" s="613"/>
      <c r="D1285" s="613"/>
      <c r="E1285" s="613"/>
      <c r="F1285" s="613"/>
      <c r="G1285" s="613"/>
      <c r="H1285" s="613"/>
      <c r="I1285" s="523"/>
      <c r="J1285" s="612"/>
      <c r="K1285" s="612"/>
      <c r="L1285" s="613"/>
      <c r="M1285" s="613"/>
      <c r="N1285" s="613"/>
      <c r="O1285" s="616"/>
      <c r="P1285" s="613"/>
      <c r="Q1285" s="613"/>
      <c r="R1285" s="613"/>
      <c r="S1285" s="613"/>
      <c r="T1285" s="613"/>
      <c r="U1285" s="613"/>
      <c r="V1285" s="523"/>
      <c r="W1285" s="613"/>
      <c r="X1285" s="613"/>
      <c r="Y1285" s="613"/>
      <c r="Z1285" s="523"/>
      <c r="AA1285" s="613"/>
      <c r="AB1285" s="523"/>
      <c r="AC1285" s="523"/>
    </row>
    <row r="1286">
      <c r="A1286" s="613"/>
      <c r="B1286" s="612"/>
      <c r="C1286" s="613"/>
      <c r="D1286" s="613"/>
      <c r="E1286" s="613"/>
      <c r="F1286" s="613"/>
      <c r="G1286" s="613"/>
      <c r="H1286" s="613"/>
      <c r="I1286" s="523"/>
      <c r="J1286" s="612"/>
      <c r="K1286" s="612"/>
      <c r="L1286" s="613"/>
      <c r="M1286" s="613"/>
      <c r="N1286" s="613"/>
      <c r="O1286" s="616"/>
      <c r="P1286" s="613"/>
      <c r="Q1286" s="613"/>
      <c r="R1286" s="613"/>
      <c r="S1286" s="613"/>
      <c r="T1286" s="613"/>
      <c r="U1286" s="613"/>
      <c r="V1286" s="523"/>
      <c r="W1286" s="613"/>
      <c r="X1286" s="613"/>
      <c r="Y1286" s="613"/>
      <c r="Z1286" s="523"/>
      <c r="AA1286" s="613"/>
      <c r="AB1286" s="523"/>
      <c r="AC1286" s="523"/>
    </row>
    <row r="1287">
      <c r="A1287" s="613"/>
      <c r="B1287" s="612"/>
      <c r="C1287" s="613"/>
      <c r="D1287" s="613"/>
      <c r="E1287" s="613"/>
      <c r="F1287" s="613"/>
      <c r="G1287" s="613"/>
      <c r="H1287" s="613"/>
      <c r="I1287" s="523"/>
      <c r="J1287" s="612"/>
      <c r="K1287" s="612"/>
      <c r="L1287" s="613"/>
      <c r="M1287" s="613"/>
      <c r="N1287" s="613"/>
      <c r="O1287" s="616"/>
      <c r="P1287" s="613"/>
      <c r="Q1287" s="613"/>
      <c r="R1287" s="613"/>
      <c r="S1287" s="613"/>
      <c r="T1287" s="613"/>
      <c r="U1287" s="613"/>
      <c r="V1287" s="523"/>
      <c r="W1287" s="613"/>
      <c r="X1287" s="613"/>
      <c r="Y1287" s="613"/>
      <c r="Z1287" s="523"/>
      <c r="AA1287" s="613"/>
      <c r="AB1287" s="523"/>
      <c r="AC1287" s="523"/>
    </row>
    <row r="1288">
      <c r="A1288" s="613"/>
      <c r="B1288" s="612"/>
      <c r="C1288" s="613"/>
      <c r="D1288" s="613"/>
      <c r="E1288" s="613"/>
      <c r="F1288" s="613"/>
      <c r="G1288" s="613"/>
      <c r="H1288" s="613"/>
      <c r="I1288" s="523"/>
      <c r="J1288" s="612"/>
      <c r="K1288" s="612"/>
      <c r="L1288" s="613"/>
      <c r="M1288" s="613"/>
      <c r="N1288" s="613"/>
      <c r="O1288" s="616"/>
      <c r="P1288" s="613"/>
      <c r="Q1288" s="613"/>
      <c r="R1288" s="613"/>
      <c r="S1288" s="613"/>
      <c r="T1288" s="613"/>
      <c r="U1288" s="613"/>
      <c r="V1288" s="523"/>
      <c r="W1288" s="613"/>
      <c r="X1288" s="613"/>
      <c r="Y1288" s="613"/>
      <c r="Z1288" s="523"/>
      <c r="AA1288" s="613"/>
      <c r="AB1288" s="523"/>
      <c r="AC1288" s="523"/>
    </row>
    <row r="1289">
      <c r="A1289" s="613"/>
      <c r="B1289" s="612"/>
      <c r="C1289" s="613"/>
      <c r="D1289" s="613"/>
      <c r="E1289" s="613"/>
      <c r="F1289" s="613"/>
      <c r="G1289" s="613"/>
      <c r="H1289" s="613"/>
      <c r="I1289" s="523"/>
      <c r="J1289" s="612"/>
      <c r="K1289" s="612"/>
      <c r="L1289" s="613"/>
      <c r="M1289" s="613"/>
      <c r="N1289" s="613"/>
      <c r="O1289" s="616"/>
      <c r="P1289" s="613"/>
      <c r="Q1289" s="613"/>
      <c r="R1289" s="613"/>
      <c r="S1289" s="613"/>
      <c r="T1289" s="613"/>
      <c r="U1289" s="613"/>
      <c r="V1289" s="523"/>
      <c r="W1289" s="613"/>
      <c r="X1289" s="613"/>
      <c r="Y1289" s="613"/>
      <c r="Z1289" s="523"/>
      <c r="AA1289" s="613"/>
      <c r="AB1289" s="523"/>
      <c r="AC1289" s="523"/>
    </row>
    <row r="1290">
      <c r="A1290" s="613"/>
      <c r="B1290" s="612"/>
      <c r="C1290" s="613"/>
      <c r="D1290" s="613"/>
      <c r="E1290" s="613"/>
      <c r="F1290" s="613"/>
      <c r="G1290" s="613"/>
      <c r="H1290" s="613"/>
      <c r="I1290" s="523"/>
      <c r="J1290" s="612"/>
      <c r="K1290" s="612"/>
      <c r="L1290" s="613"/>
      <c r="M1290" s="613"/>
      <c r="N1290" s="613"/>
      <c r="O1290" s="616"/>
      <c r="P1290" s="613"/>
      <c r="Q1290" s="613"/>
      <c r="R1290" s="613"/>
      <c r="S1290" s="613"/>
      <c r="T1290" s="613"/>
      <c r="U1290" s="613"/>
      <c r="V1290" s="523"/>
      <c r="W1290" s="613"/>
      <c r="X1290" s="613"/>
      <c r="Y1290" s="613"/>
      <c r="Z1290" s="523"/>
      <c r="AA1290" s="613"/>
      <c r="AB1290" s="523"/>
      <c r="AC1290" s="523"/>
    </row>
    <row r="1291">
      <c r="A1291" s="613"/>
      <c r="B1291" s="612"/>
      <c r="C1291" s="613"/>
      <c r="D1291" s="613"/>
      <c r="E1291" s="613"/>
      <c r="F1291" s="613"/>
      <c r="G1291" s="613"/>
      <c r="H1291" s="613"/>
      <c r="I1291" s="523"/>
      <c r="J1291" s="612"/>
      <c r="K1291" s="612"/>
      <c r="L1291" s="613"/>
      <c r="M1291" s="613"/>
      <c r="N1291" s="613"/>
      <c r="O1291" s="616"/>
      <c r="P1291" s="613"/>
      <c r="Q1291" s="613"/>
      <c r="R1291" s="613"/>
      <c r="S1291" s="613"/>
      <c r="T1291" s="613"/>
      <c r="U1291" s="613"/>
      <c r="V1291" s="523"/>
      <c r="W1291" s="613"/>
      <c r="X1291" s="613"/>
      <c r="Y1291" s="613"/>
      <c r="Z1291" s="523"/>
      <c r="AA1291" s="613"/>
      <c r="AB1291" s="523"/>
      <c r="AC1291" s="523"/>
    </row>
    <row r="1292">
      <c r="A1292" s="613"/>
      <c r="B1292" s="612"/>
      <c r="C1292" s="613"/>
      <c r="D1292" s="613"/>
      <c r="E1292" s="613"/>
      <c r="F1292" s="613"/>
      <c r="G1292" s="613"/>
      <c r="H1292" s="613"/>
      <c r="I1292" s="523"/>
      <c r="J1292" s="612"/>
      <c r="K1292" s="612"/>
      <c r="L1292" s="613"/>
      <c r="M1292" s="613"/>
      <c r="N1292" s="613"/>
      <c r="O1292" s="616"/>
      <c r="P1292" s="613"/>
      <c r="Q1292" s="613"/>
      <c r="R1292" s="613"/>
      <c r="S1292" s="613"/>
      <c r="T1292" s="613"/>
      <c r="U1292" s="613"/>
      <c r="V1292" s="523"/>
      <c r="W1292" s="613"/>
      <c r="X1292" s="613"/>
      <c r="Y1292" s="613"/>
      <c r="Z1292" s="523"/>
      <c r="AA1292" s="613"/>
      <c r="AB1292" s="523"/>
      <c r="AC1292" s="523"/>
    </row>
    <row r="1293">
      <c r="A1293" s="613"/>
      <c r="B1293" s="612"/>
      <c r="C1293" s="613"/>
      <c r="D1293" s="613"/>
      <c r="E1293" s="613"/>
      <c r="F1293" s="613"/>
      <c r="G1293" s="613"/>
      <c r="H1293" s="613"/>
      <c r="I1293" s="523"/>
      <c r="J1293" s="612"/>
      <c r="K1293" s="612"/>
      <c r="L1293" s="613"/>
      <c r="M1293" s="613"/>
      <c r="N1293" s="613"/>
      <c r="O1293" s="616"/>
      <c r="P1293" s="613"/>
      <c r="Q1293" s="613"/>
      <c r="R1293" s="613"/>
      <c r="S1293" s="613"/>
      <c r="T1293" s="613"/>
      <c r="U1293" s="613"/>
      <c r="V1293" s="523"/>
      <c r="W1293" s="613"/>
      <c r="X1293" s="613"/>
      <c r="Y1293" s="613"/>
      <c r="Z1293" s="523"/>
      <c r="AA1293" s="613"/>
      <c r="AB1293" s="523"/>
      <c r="AC1293" s="523"/>
    </row>
    <row r="1294">
      <c r="A1294" s="613"/>
      <c r="B1294" s="612"/>
      <c r="C1294" s="613"/>
      <c r="D1294" s="613"/>
      <c r="E1294" s="613"/>
      <c r="F1294" s="613"/>
      <c r="G1294" s="613"/>
      <c r="H1294" s="613"/>
      <c r="I1294" s="523"/>
      <c r="J1294" s="612"/>
      <c r="K1294" s="612"/>
      <c r="L1294" s="613"/>
      <c r="M1294" s="613"/>
      <c r="N1294" s="613"/>
      <c r="O1294" s="616"/>
      <c r="P1294" s="613"/>
      <c r="Q1294" s="613"/>
      <c r="R1294" s="613"/>
      <c r="S1294" s="613"/>
      <c r="T1294" s="613"/>
      <c r="U1294" s="613"/>
      <c r="V1294" s="523"/>
      <c r="W1294" s="613"/>
      <c r="X1294" s="613"/>
      <c r="Y1294" s="613"/>
      <c r="Z1294" s="523"/>
      <c r="AA1294" s="613"/>
      <c r="AB1294" s="523"/>
      <c r="AC1294" s="523"/>
    </row>
    <row r="1295">
      <c r="A1295" s="613"/>
      <c r="B1295" s="612"/>
      <c r="C1295" s="613"/>
      <c r="D1295" s="613"/>
      <c r="E1295" s="613"/>
      <c r="F1295" s="613"/>
      <c r="G1295" s="613"/>
      <c r="H1295" s="613"/>
      <c r="I1295" s="523"/>
      <c r="J1295" s="612"/>
      <c r="K1295" s="612"/>
      <c r="L1295" s="613"/>
      <c r="M1295" s="613"/>
      <c r="N1295" s="613"/>
      <c r="O1295" s="616"/>
      <c r="P1295" s="613"/>
      <c r="Q1295" s="613"/>
      <c r="R1295" s="613"/>
      <c r="S1295" s="613"/>
      <c r="T1295" s="613"/>
      <c r="U1295" s="613"/>
      <c r="V1295" s="523"/>
      <c r="W1295" s="613"/>
      <c r="X1295" s="613"/>
      <c r="Y1295" s="613"/>
      <c r="Z1295" s="523"/>
      <c r="AA1295" s="613"/>
      <c r="AB1295" s="523"/>
      <c r="AC1295" s="523"/>
    </row>
    <row r="1296">
      <c r="A1296" s="613"/>
      <c r="B1296" s="612"/>
      <c r="C1296" s="613"/>
      <c r="D1296" s="613"/>
      <c r="E1296" s="613"/>
      <c r="F1296" s="613"/>
      <c r="G1296" s="613"/>
      <c r="H1296" s="613"/>
      <c r="I1296" s="523"/>
      <c r="J1296" s="612"/>
      <c r="K1296" s="612"/>
      <c r="L1296" s="613"/>
      <c r="M1296" s="613"/>
      <c r="N1296" s="613"/>
      <c r="O1296" s="616"/>
      <c r="P1296" s="613"/>
      <c r="Q1296" s="613"/>
      <c r="R1296" s="613"/>
      <c r="S1296" s="613"/>
      <c r="T1296" s="613"/>
      <c r="U1296" s="613"/>
      <c r="V1296" s="523"/>
      <c r="W1296" s="613"/>
      <c r="X1296" s="613"/>
      <c r="Y1296" s="613"/>
      <c r="Z1296" s="523"/>
      <c r="AA1296" s="613"/>
      <c r="AB1296" s="523"/>
      <c r="AC1296" s="523"/>
    </row>
    <row r="1297">
      <c r="A1297" s="613"/>
      <c r="B1297" s="612"/>
      <c r="C1297" s="613"/>
      <c r="D1297" s="613"/>
      <c r="E1297" s="613"/>
      <c r="F1297" s="613"/>
      <c r="G1297" s="613"/>
      <c r="H1297" s="613"/>
      <c r="I1297" s="523"/>
      <c r="J1297" s="612"/>
      <c r="K1297" s="612"/>
      <c r="L1297" s="613"/>
      <c r="M1297" s="613"/>
      <c r="N1297" s="613"/>
      <c r="O1297" s="616"/>
      <c r="P1297" s="613"/>
      <c r="Q1297" s="613"/>
      <c r="R1297" s="613"/>
      <c r="S1297" s="613"/>
      <c r="T1297" s="613"/>
      <c r="U1297" s="613"/>
      <c r="V1297" s="523"/>
      <c r="W1297" s="613"/>
      <c r="X1297" s="613"/>
      <c r="Y1297" s="613"/>
      <c r="Z1297" s="523"/>
      <c r="AA1297" s="613"/>
      <c r="AB1297" s="523"/>
      <c r="AC1297" s="523"/>
    </row>
    <row r="1298">
      <c r="A1298" s="613"/>
      <c r="B1298" s="612"/>
      <c r="C1298" s="613"/>
      <c r="D1298" s="613"/>
      <c r="E1298" s="613"/>
      <c r="F1298" s="613"/>
      <c r="G1298" s="613"/>
      <c r="H1298" s="613"/>
      <c r="I1298" s="523"/>
      <c r="J1298" s="612"/>
      <c r="K1298" s="612"/>
      <c r="L1298" s="613"/>
      <c r="M1298" s="613"/>
      <c r="N1298" s="613"/>
      <c r="O1298" s="616"/>
      <c r="P1298" s="613"/>
      <c r="Q1298" s="613"/>
      <c r="R1298" s="613"/>
      <c r="S1298" s="613"/>
      <c r="T1298" s="613"/>
      <c r="U1298" s="613"/>
      <c r="V1298" s="523"/>
      <c r="W1298" s="613"/>
      <c r="X1298" s="613"/>
      <c r="Y1298" s="613"/>
      <c r="Z1298" s="523"/>
      <c r="AA1298" s="613"/>
      <c r="AB1298" s="523"/>
      <c r="AC1298" s="523"/>
    </row>
    <row r="1299">
      <c r="A1299" s="613"/>
      <c r="B1299" s="612"/>
      <c r="C1299" s="613"/>
      <c r="D1299" s="613"/>
      <c r="E1299" s="613"/>
      <c r="F1299" s="613"/>
      <c r="G1299" s="613"/>
      <c r="H1299" s="613"/>
      <c r="I1299" s="523"/>
      <c r="J1299" s="612"/>
      <c r="K1299" s="612"/>
      <c r="L1299" s="613"/>
      <c r="M1299" s="613"/>
      <c r="N1299" s="613"/>
      <c r="O1299" s="616"/>
      <c r="P1299" s="613"/>
      <c r="Q1299" s="613"/>
      <c r="R1299" s="613"/>
      <c r="S1299" s="613"/>
      <c r="T1299" s="613"/>
      <c r="U1299" s="613"/>
      <c r="V1299" s="523"/>
      <c r="W1299" s="613"/>
      <c r="X1299" s="613"/>
      <c r="Y1299" s="613"/>
      <c r="Z1299" s="523"/>
      <c r="AA1299" s="613"/>
      <c r="AB1299" s="523"/>
      <c r="AC1299" s="523"/>
    </row>
    <row r="1300">
      <c r="A1300" s="613"/>
      <c r="B1300" s="612"/>
      <c r="C1300" s="613"/>
      <c r="D1300" s="613"/>
      <c r="E1300" s="613"/>
      <c r="F1300" s="613"/>
      <c r="G1300" s="613"/>
      <c r="H1300" s="613"/>
      <c r="I1300" s="523"/>
      <c r="J1300" s="612"/>
      <c r="K1300" s="612"/>
      <c r="L1300" s="613"/>
      <c r="M1300" s="613"/>
      <c r="N1300" s="613"/>
      <c r="O1300" s="616"/>
      <c r="P1300" s="613"/>
      <c r="Q1300" s="613"/>
      <c r="R1300" s="613"/>
      <c r="S1300" s="613"/>
      <c r="T1300" s="613"/>
      <c r="U1300" s="613"/>
      <c r="V1300" s="523"/>
      <c r="W1300" s="613"/>
      <c r="X1300" s="613"/>
      <c r="Y1300" s="613"/>
      <c r="Z1300" s="523"/>
      <c r="AA1300" s="613"/>
      <c r="AB1300" s="523"/>
      <c r="AC1300" s="523"/>
    </row>
    <row r="1301">
      <c r="A1301" s="613"/>
      <c r="B1301" s="612"/>
      <c r="C1301" s="613"/>
      <c r="D1301" s="613"/>
      <c r="E1301" s="613"/>
      <c r="F1301" s="613"/>
      <c r="G1301" s="613"/>
      <c r="H1301" s="613"/>
      <c r="I1301" s="523"/>
      <c r="J1301" s="612"/>
      <c r="K1301" s="612"/>
      <c r="L1301" s="613"/>
      <c r="M1301" s="613"/>
      <c r="N1301" s="613"/>
      <c r="O1301" s="616"/>
      <c r="P1301" s="613"/>
      <c r="Q1301" s="613"/>
      <c r="R1301" s="613"/>
      <c r="S1301" s="613"/>
      <c r="T1301" s="613"/>
      <c r="U1301" s="613"/>
      <c r="V1301" s="523"/>
      <c r="W1301" s="613"/>
      <c r="X1301" s="613"/>
      <c r="Y1301" s="613"/>
      <c r="Z1301" s="523"/>
      <c r="AA1301" s="613"/>
      <c r="AB1301" s="523"/>
      <c r="AC1301" s="523"/>
    </row>
    <row r="1302">
      <c r="A1302" s="613"/>
      <c r="B1302" s="612"/>
      <c r="C1302" s="613"/>
      <c r="D1302" s="613"/>
      <c r="E1302" s="613"/>
      <c r="F1302" s="613"/>
      <c r="G1302" s="613"/>
      <c r="H1302" s="613"/>
      <c r="I1302" s="523"/>
      <c r="J1302" s="612"/>
      <c r="K1302" s="612"/>
      <c r="L1302" s="613"/>
      <c r="M1302" s="613"/>
      <c r="N1302" s="613"/>
      <c r="O1302" s="616"/>
      <c r="P1302" s="613"/>
      <c r="Q1302" s="613"/>
      <c r="R1302" s="613"/>
      <c r="S1302" s="613"/>
      <c r="T1302" s="613"/>
      <c r="U1302" s="613"/>
      <c r="V1302" s="523"/>
      <c r="W1302" s="613"/>
      <c r="X1302" s="613"/>
      <c r="Y1302" s="613"/>
      <c r="Z1302" s="523"/>
      <c r="AA1302" s="613"/>
      <c r="AB1302" s="523"/>
      <c r="AC1302" s="523"/>
    </row>
    <row r="1303">
      <c r="A1303" s="613"/>
      <c r="B1303" s="612"/>
      <c r="C1303" s="613"/>
      <c r="D1303" s="613"/>
      <c r="E1303" s="613"/>
      <c r="F1303" s="613"/>
      <c r="G1303" s="613"/>
      <c r="H1303" s="613"/>
      <c r="I1303" s="523"/>
      <c r="J1303" s="612"/>
      <c r="K1303" s="612"/>
      <c r="L1303" s="613"/>
      <c r="M1303" s="613"/>
      <c r="N1303" s="613"/>
      <c r="O1303" s="616"/>
      <c r="P1303" s="613"/>
      <c r="Q1303" s="613"/>
      <c r="R1303" s="613"/>
      <c r="S1303" s="613"/>
      <c r="T1303" s="613"/>
      <c r="U1303" s="613"/>
      <c r="V1303" s="523"/>
      <c r="W1303" s="613"/>
      <c r="X1303" s="613"/>
      <c r="Y1303" s="613"/>
      <c r="Z1303" s="523"/>
      <c r="AA1303" s="613"/>
      <c r="AB1303" s="523"/>
      <c r="AC1303" s="523"/>
    </row>
    <row r="1304">
      <c r="A1304" s="613"/>
      <c r="B1304" s="612"/>
      <c r="C1304" s="613"/>
      <c r="D1304" s="613"/>
      <c r="E1304" s="613"/>
      <c r="F1304" s="613"/>
      <c r="G1304" s="613"/>
      <c r="H1304" s="613"/>
      <c r="I1304" s="523"/>
      <c r="J1304" s="612"/>
      <c r="K1304" s="612"/>
      <c r="L1304" s="613"/>
      <c r="M1304" s="613"/>
      <c r="N1304" s="613"/>
      <c r="O1304" s="616"/>
      <c r="P1304" s="613"/>
      <c r="Q1304" s="613"/>
      <c r="R1304" s="613"/>
      <c r="S1304" s="613"/>
      <c r="T1304" s="613"/>
      <c r="U1304" s="613"/>
      <c r="V1304" s="523"/>
      <c r="W1304" s="613"/>
      <c r="X1304" s="613"/>
      <c r="Y1304" s="613"/>
      <c r="Z1304" s="523"/>
      <c r="AA1304" s="613"/>
      <c r="AB1304" s="523"/>
      <c r="AC1304" s="523"/>
    </row>
    <row r="1305">
      <c r="A1305" s="613"/>
      <c r="B1305" s="612"/>
      <c r="C1305" s="613"/>
      <c r="D1305" s="613"/>
      <c r="E1305" s="613"/>
      <c r="F1305" s="613"/>
      <c r="G1305" s="613"/>
      <c r="H1305" s="613"/>
      <c r="I1305" s="523"/>
      <c r="J1305" s="612"/>
      <c r="K1305" s="612"/>
      <c r="L1305" s="613"/>
      <c r="M1305" s="613"/>
      <c r="N1305" s="613"/>
      <c r="O1305" s="616"/>
      <c r="P1305" s="613"/>
      <c r="Q1305" s="613"/>
      <c r="R1305" s="613"/>
      <c r="S1305" s="613"/>
      <c r="T1305" s="613"/>
      <c r="U1305" s="613"/>
      <c r="V1305" s="523"/>
      <c r="W1305" s="613"/>
      <c r="X1305" s="613"/>
      <c r="Y1305" s="613"/>
      <c r="Z1305" s="523"/>
      <c r="AA1305" s="613"/>
      <c r="AB1305" s="523"/>
      <c r="AC1305" s="523"/>
    </row>
    <row r="1306">
      <c r="A1306" s="613"/>
      <c r="B1306" s="612"/>
      <c r="C1306" s="613"/>
      <c r="D1306" s="613"/>
      <c r="E1306" s="613"/>
      <c r="F1306" s="613"/>
      <c r="G1306" s="613"/>
      <c r="H1306" s="613"/>
      <c r="I1306" s="523"/>
      <c r="J1306" s="612"/>
      <c r="K1306" s="612"/>
      <c r="L1306" s="613"/>
      <c r="M1306" s="613"/>
      <c r="N1306" s="613"/>
      <c r="O1306" s="616"/>
      <c r="P1306" s="613"/>
      <c r="Q1306" s="613"/>
      <c r="R1306" s="613"/>
      <c r="S1306" s="613"/>
      <c r="T1306" s="613"/>
      <c r="U1306" s="613"/>
      <c r="V1306" s="523"/>
      <c r="W1306" s="613"/>
      <c r="X1306" s="613"/>
      <c r="Y1306" s="613"/>
      <c r="Z1306" s="523"/>
      <c r="AA1306" s="613"/>
      <c r="AB1306" s="523"/>
      <c r="AC1306" s="523"/>
    </row>
    <row r="1307">
      <c r="A1307" s="613"/>
      <c r="B1307" s="612"/>
      <c r="C1307" s="613"/>
      <c r="D1307" s="613"/>
      <c r="E1307" s="613"/>
      <c r="F1307" s="613"/>
      <c r="G1307" s="613"/>
      <c r="H1307" s="613"/>
      <c r="I1307" s="523"/>
      <c r="J1307" s="612"/>
      <c r="K1307" s="612"/>
      <c r="L1307" s="613"/>
      <c r="M1307" s="613"/>
      <c r="N1307" s="613"/>
      <c r="O1307" s="616"/>
      <c r="P1307" s="613"/>
      <c r="Q1307" s="613"/>
      <c r="R1307" s="613"/>
      <c r="S1307" s="613"/>
      <c r="T1307" s="613"/>
      <c r="U1307" s="613"/>
      <c r="V1307" s="523"/>
      <c r="W1307" s="613"/>
      <c r="X1307" s="613"/>
      <c r="Y1307" s="613"/>
      <c r="Z1307" s="523"/>
      <c r="AA1307" s="613"/>
      <c r="AB1307" s="523"/>
      <c r="AC1307" s="523"/>
    </row>
    <row r="1308">
      <c r="A1308" s="613"/>
      <c r="B1308" s="612"/>
      <c r="C1308" s="613"/>
      <c r="D1308" s="613"/>
      <c r="E1308" s="613"/>
      <c r="F1308" s="613"/>
      <c r="G1308" s="613"/>
      <c r="H1308" s="613"/>
      <c r="I1308" s="523"/>
      <c r="J1308" s="612"/>
      <c r="K1308" s="612"/>
      <c r="L1308" s="613"/>
      <c r="M1308" s="613"/>
      <c r="N1308" s="613"/>
      <c r="O1308" s="616"/>
      <c r="P1308" s="613"/>
      <c r="Q1308" s="613"/>
      <c r="R1308" s="613"/>
      <c r="S1308" s="613"/>
      <c r="T1308" s="613"/>
      <c r="U1308" s="613"/>
      <c r="V1308" s="523"/>
      <c r="W1308" s="613"/>
      <c r="X1308" s="613"/>
      <c r="Y1308" s="613"/>
      <c r="Z1308" s="523"/>
      <c r="AA1308" s="613"/>
      <c r="AB1308" s="523"/>
      <c r="AC1308" s="523"/>
    </row>
    <row r="1309">
      <c r="A1309" s="613"/>
      <c r="B1309" s="612"/>
      <c r="C1309" s="613"/>
      <c r="D1309" s="613"/>
      <c r="E1309" s="613"/>
      <c r="F1309" s="613"/>
      <c r="G1309" s="613"/>
      <c r="H1309" s="613"/>
      <c r="I1309" s="523"/>
      <c r="J1309" s="612"/>
      <c r="K1309" s="612"/>
      <c r="L1309" s="613"/>
      <c r="M1309" s="613"/>
      <c r="N1309" s="613"/>
      <c r="O1309" s="616"/>
      <c r="P1309" s="613"/>
      <c r="Q1309" s="613"/>
      <c r="R1309" s="613"/>
      <c r="S1309" s="613"/>
      <c r="T1309" s="613"/>
      <c r="U1309" s="613"/>
      <c r="V1309" s="523"/>
      <c r="W1309" s="613"/>
      <c r="X1309" s="613"/>
      <c r="Y1309" s="613"/>
      <c r="Z1309" s="523"/>
      <c r="AA1309" s="613"/>
      <c r="AB1309" s="523"/>
      <c r="AC1309" s="523"/>
    </row>
    <row r="1310">
      <c r="A1310" s="613"/>
      <c r="B1310" s="612"/>
      <c r="C1310" s="613"/>
      <c r="D1310" s="613"/>
      <c r="E1310" s="613"/>
      <c r="F1310" s="613"/>
      <c r="G1310" s="613"/>
      <c r="H1310" s="613"/>
      <c r="I1310" s="523"/>
      <c r="J1310" s="612"/>
      <c r="K1310" s="612"/>
      <c r="L1310" s="613"/>
      <c r="M1310" s="613"/>
      <c r="N1310" s="613"/>
      <c r="O1310" s="616"/>
      <c r="P1310" s="613"/>
      <c r="Q1310" s="613"/>
      <c r="R1310" s="613"/>
      <c r="S1310" s="613"/>
      <c r="T1310" s="613"/>
      <c r="U1310" s="613"/>
      <c r="V1310" s="523"/>
      <c r="W1310" s="613"/>
      <c r="X1310" s="613"/>
      <c r="Y1310" s="613"/>
      <c r="Z1310" s="523"/>
      <c r="AA1310" s="613"/>
      <c r="AB1310" s="523"/>
      <c r="AC1310" s="523"/>
    </row>
    <row r="1311">
      <c r="A1311" s="613"/>
      <c r="B1311" s="612"/>
      <c r="C1311" s="613"/>
      <c r="D1311" s="613"/>
      <c r="E1311" s="613"/>
      <c r="F1311" s="613"/>
      <c r="G1311" s="613"/>
      <c r="H1311" s="613"/>
      <c r="I1311" s="523"/>
      <c r="J1311" s="612"/>
      <c r="K1311" s="612"/>
      <c r="L1311" s="613"/>
      <c r="M1311" s="613"/>
      <c r="N1311" s="613"/>
      <c r="O1311" s="616"/>
      <c r="P1311" s="613"/>
      <c r="Q1311" s="613"/>
      <c r="R1311" s="613"/>
      <c r="S1311" s="613"/>
      <c r="T1311" s="613"/>
      <c r="U1311" s="613"/>
      <c r="V1311" s="523"/>
      <c r="W1311" s="613"/>
      <c r="X1311" s="613"/>
      <c r="Y1311" s="613"/>
      <c r="Z1311" s="523"/>
      <c r="AA1311" s="613"/>
      <c r="AB1311" s="523"/>
      <c r="AC1311" s="523"/>
    </row>
    <row r="1312">
      <c r="A1312" s="613"/>
      <c r="B1312" s="612"/>
      <c r="C1312" s="613"/>
      <c r="D1312" s="613"/>
      <c r="E1312" s="613"/>
      <c r="F1312" s="613"/>
      <c r="G1312" s="613"/>
      <c r="H1312" s="613"/>
      <c r="I1312" s="523"/>
      <c r="J1312" s="612"/>
      <c r="K1312" s="612"/>
      <c r="L1312" s="613"/>
      <c r="M1312" s="613"/>
      <c r="N1312" s="613"/>
      <c r="O1312" s="616"/>
      <c r="P1312" s="613"/>
      <c r="Q1312" s="613"/>
      <c r="R1312" s="613"/>
      <c r="S1312" s="613"/>
      <c r="T1312" s="613"/>
      <c r="U1312" s="613"/>
      <c r="V1312" s="523"/>
      <c r="W1312" s="613"/>
      <c r="X1312" s="613"/>
      <c r="Y1312" s="613"/>
      <c r="Z1312" s="523"/>
      <c r="AA1312" s="613"/>
      <c r="AB1312" s="523"/>
      <c r="AC1312" s="523"/>
    </row>
    <row r="1313">
      <c r="A1313" s="613"/>
      <c r="B1313" s="612"/>
      <c r="C1313" s="613"/>
      <c r="D1313" s="613"/>
      <c r="E1313" s="613"/>
      <c r="F1313" s="613"/>
      <c r="G1313" s="613"/>
      <c r="H1313" s="613"/>
      <c r="I1313" s="523"/>
      <c r="J1313" s="612"/>
      <c r="K1313" s="612"/>
      <c r="L1313" s="613"/>
      <c r="M1313" s="613"/>
      <c r="N1313" s="613"/>
      <c r="O1313" s="616"/>
      <c r="P1313" s="613"/>
      <c r="Q1313" s="613"/>
      <c r="R1313" s="613"/>
      <c r="S1313" s="613"/>
      <c r="T1313" s="613"/>
      <c r="U1313" s="613"/>
      <c r="V1313" s="523"/>
      <c r="W1313" s="613"/>
      <c r="X1313" s="613"/>
      <c r="Y1313" s="613"/>
      <c r="Z1313" s="523"/>
      <c r="AA1313" s="613"/>
      <c r="AB1313" s="523"/>
      <c r="AC1313" s="523"/>
    </row>
    <row r="1314">
      <c r="A1314" s="613"/>
      <c r="B1314" s="612"/>
      <c r="C1314" s="613"/>
      <c r="D1314" s="613"/>
      <c r="E1314" s="613"/>
      <c r="F1314" s="613"/>
      <c r="G1314" s="613"/>
      <c r="H1314" s="613"/>
      <c r="I1314" s="523"/>
      <c r="J1314" s="612"/>
      <c r="K1314" s="612"/>
      <c r="L1314" s="613"/>
      <c r="M1314" s="613"/>
      <c r="N1314" s="613"/>
      <c r="O1314" s="616"/>
      <c r="P1314" s="613"/>
      <c r="Q1314" s="613"/>
      <c r="R1314" s="613"/>
      <c r="S1314" s="613"/>
      <c r="T1314" s="613"/>
      <c r="U1314" s="613"/>
      <c r="V1314" s="523"/>
      <c r="W1314" s="613"/>
      <c r="X1314" s="613"/>
      <c r="Y1314" s="613"/>
      <c r="Z1314" s="523"/>
      <c r="AA1314" s="613"/>
      <c r="AB1314" s="523"/>
      <c r="AC1314" s="523"/>
    </row>
    <row r="1315">
      <c r="A1315" s="613"/>
      <c r="B1315" s="612"/>
      <c r="C1315" s="613"/>
      <c r="D1315" s="613"/>
      <c r="E1315" s="613"/>
      <c r="F1315" s="613"/>
      <c r="G1315" s="613"/>
      <c r="H1315" s="613"/>
      <c r="I1315" s="523"/>
      <c r="J1315" s="612"/>
      <c r="K1315" s="612"/>
      <c r="L1315" s="613"/>
      <c r="M1315" s="613"/>
      <c r="N1315" s="613"/>
      <c r="O1315" s="616"/>
      <c r="P1315" s="613"/>
      <c r="Q1315" s="613"/>
      <c r="R1315" s="613"/>
      <c r="S1315" s="613"/>
      <c r="T1315" s="613"/>
      <c r="U1315" s="613"/>
      <c r="V1315" s="523"/>
      <c r="W1315" s="613"/>
      <c r="X1315" s="613"/>
      <c r="Y1315" s="613"/>
      <c r="Z1315" s="523"/>
      <c r="AA1315" s="613"/>
      <c r="AB1315" s="523"/>
      <c r="AC1315" s="523"/>
    </row>
    <row r="1316">
      <c r="A1316" s="613"/>
      <c r="B1316" s="612"/>
      <c r="C1316" s="613"/>
      <c r="D1316" s="613"/>
      <c r="E1316" s="613"/>
      <c r="F1316" s="613"/>
      <c r="G1316" s="613"/>
      <c r="H1316" s="613"/>
      <c r="I1316" s="523"/>
      <c r="J1316" s="612"/>
      <c r="K1316" s="612"/>
      <c r="L1316" s="613"/>
      <c r="M1316" s="613"/>
      <c r="N1316" s="613"/>
      <c r="O1316" s="616"/>
      <c r="P1316" s="613"/>
      <c r="Q1316" s="613"/>
      <c r="R1316" s="613"/>
      <c r="S1316" s="613"/>
      <c r="T1316" s="613"/>
      <c r="U1316" s="613"/>
      <c r="V1316" s="523"/>
      <c r="W1316" s="613"/>
      <c r="X1316" s="613"/>
      <c r="Y1316" s="613"/>
      <c r="Z1316" s="523"/>
      <c r="AA1316" s="613"/>
      <c r="AB1316" s="523"/>
      <c r="AC1316" s="523"/>
    </row>
    <row r="1317">
      <c r="A1317" s="613"/>
      <c r="B1317" s="612"/>
      <c r="C1317" s="613"/>
      <c r="D1317" s="613"/>
      <c r="E1317" s="613"/>
      <c r="F1317" s="613"/>
      <c r="G1317" s="613"/>
      <c r="H1317" s="613"/>
      <c r="I1317" s="523"/>
      <c r="J1317" s="612"/>
      <c r="K1317" s="612"/>
      <c r="L1317" s="613"/>
      <c r="M1317" s="613"/>
      <c r="N1317" s="613"/>
      <c r="O1317" s="616"/>
      <c r="P1317" s="613"/>
      <c r="Q1317" s="613"/>
      <c r="R1317" s="613"/>
      <c r="S1317" s="613"/>
      <c r="T1317" s="613"/>
      <c r="U1317" s="613"/>
      <c r="V1317" s="523"/>
      <c r="W1317" s="613"/>
      <c r="X1317" s="613"/>
      <c r="Y1317" s="613"/>
      <c r="Z1317" s="523"/>
      <c r="AA1317" s="613"/>
      <c r="AB1317" s="523"/>
      <c r="AC1317" s="523"/>
    </row>
    <row r="1318">
      <c r="A1318" s="613"/>
      <c r="B1318" s="612"/>
      <c r="C1318" s="613"/>
      <c r="D1318" s="613"/>
      <c r="E1318" s="613"/>
      <c r="F1318" s="613"/>
      <c r="G1318" s="613"/>
      <c r="H1318" s="613"/>
      <c r="I1318" s="523"/>
      <c r="J1318" s="612"/>
      <c r="K1318" s="612"/>
      <c r="L1318" s="613"/>
      <c r="M1318" s="613"/>
      <c r="N1318" s="613"/>
      <c r="O1318" s="616"/>
      <c r="P1318" s="613"/>
      <c r="Q1318" s="613"/>
      <c r="R1318" s="613"/>
      <c r="S1318" s="613"/>
      <c r="T1318" s="613"/>
      <c r="U1318" s="613"/>
      <c r="V1318" s="523"/>
      <c r="W1318" s="613"/>
      <c r="X1318" s="613"/>
      <c r="Y1318" s="613"/>
      <c r="Z1318" s="523"/>
      <c r="AA1318" s="613"/>
      <c r="AB1318" s="523"/>
      <c r="AC1318" s="523"/>
    </row>
    <row r="1319">
      <c r="A1319" s="613"/>
      <c r="B1319" s="612"/>
      <c r="C1319" s="613"/>
      <c r="D1319" s="613"/>
      <c r="E1319" s="613"/>
      <c r="F1319" s="613"/>
      <c r="G1319" s="613"/>
      <c r="H1319" s="613"/>
      <c r="I1319" s="523"/>
      <c r="J1319" s="612"/>
      <c r="K1319" s="612"/>
      <c r="L1319" s="613"/>
      <c r="M1319" s="613"/>
      <c r="N1319" s="613"/>
      <c r="O1319" s="616"/>
      <c r="P1319" s="613"/>
      <c r="Q1319" s="613"/>
      <c r="R1319" s="613"/>
      <c r="S1319" s="613"/>
      <c r="T1319" s="613"/>
      <c r="U1319" s="613"/>
      <c r="V1319" s="523"/>
      <c r="W1319" s="613"/>
      <c r="X1319" s="613"/>
      <c r="Y1319" s="613"/>
      <c r="Z1319" s="523"/>
      <c r="AA1319" s="613"/>
      <c r="AB1319" s="523"/>
      <c r="AC1319" s="523"/>
    </row>
    <row r="1320">
      <c r="A1320" s="613"/>
      <c r="B1320" s="612"/>
      <c r="C1320" s="613"/>
      <c r="D1320" s="613"/>
      <c r="E1320" s="613"/>
      <c r="F1320" s="613"/>
      <c r="G1320" s="613"/>
      <c r="H1320" s="613"/>
      <c r="I1320" s="523"/>
      <c r="J1320" s="612"/>
      <c r="K1320" s="612"/>
      <c r="L1320" s="613"/>
      <c r="M1320" s="613"/>
      <c r="N1320" s="613"/>
      <c r="O1320" s="616"/>
      <c r="P1320" s="613"/>
      <c r="Q1320" s="613"/>
      <c r="R1320" s="613"/>
      <c r="S1320" s="613"/>
      <c r="T1320" s="613"/>
      <c r="U1320" s="613"/>
      <c r="V1320" s="523"/>
      <c r="W1320" s="613"/>
      <c r="X1320" s="613"/>
      <c r="Y1320" s="613"/>
      <c r="Z1320" s="523"/>
      <c r="AA1320" s="613"/>
      <c r="AB1320" s="523"/>
      <c r="AC1320" s="523"/>
    </row>
    <row r="1321">
      <c r="A1321" s="613"/>
      <c r="B1321" s="612"/>
      <c r="C1321" s="613"/>
      <c r="D1321" s="613"/>
      <c r="E1321" s="613"/>
      <c r="F1321" s="613"/>
      <c r="G1321" s="613"/>
      <c r="H1321" s="613"/>
      <c r="I1321" s="523"/>
      <c r="J1321" s="612"/>
      <c r="K1321" s="612"/>
      <c r="L1321" s="613"/>
      <c r="M1321" s="613"/>
      <c r="N1321" s="613"/>
      <c r="O1321" s="616"/>
      <c r="P1321" s="613"/>
      <c r="Q1321" s="613"/>
      <c r="R1321" s="613"/>
      <c r="S1321" s="613"/>
      <c r="T1321" s="613"/>
      <c r="U1321" s="613"/>
      <c r="V1321" s="523"/>
      <c r="W1321" s="613"/>
      <c r="X1321" s="613"/>
      <c r="Y1321" s="613"/>
      <c r="Z1321" s="523"/>
      <c r="AA1321" s="613"/>
      <c r="AB1321" s="523"/>
      <c r="AC1321" s="523"/>
    </row>
    <row r="1322">
      <c r="A1322" s="613"/>
      <c r="B1322" s="612"/>
      <c r="C1322" s="613"/>
      <c r="D1322" s="613"/>
      <c r="E1322" s="613"/>
      <c r="F1322" s="613"/>
      <c r="G1322" s="613"/>
      <c r="H1322" s="613"/>
      <c r="I1322" s="523"/>
      <c r="J1322" s="612"/>
      <c r="K1322" s="612"/>
      <c r="L1322" s="613"/>
      <c r="M1322" s="613"/>
      <c r="N1322" s="613"/>
      <c r="O1322" s="616"/>
      <c r="P1322" s="613"/>
      <c r="Q1322" s="613"/>
      <c r="R1322" s="613"/>
      <c r="S1322" s="613"/>
      <c r="T1322" s="613"/>
      <c r="U1322" s="613"/>
      <c r="V1322" s="523"/>
      <c r="W1322" s="613"/>
      <c r="X1322" s="613"/>
      <c r="Y1322" s="613"/>
      <c r="Z1322" s="523"/>
      <c r="AA1322" s="613"/>
      <c r="AB1322" s="523"/>
      <c r="AC1322" s="523"/>
    </row>
    <row r="1323">
      <c r="A1323" s="613"/>
      <c r="B1323" s="612"/>
      <c r="C1323" s="613"/>
      <c r="D1323" s="613"/>
      <c r="E1323" s="613"/>
      <c r="F1323" s="613"/>
      <c r="G1323" s="613"/>
      <c r="H1323" s="613"/>
      <c r="I1323" s="523"/>
      <c r="J1323" s="612"/>
      <c r="K1323" s="612"/>
      <c r="L1323" s="613"/>
      <c r="M1323" s="613"/>
      <c r="N1323" s="613"/>
      <c r="O1323" s="616"/>
      <c r="P1323" s="613"/>
      <c r="Q1323" s="613"/>
      <c r="R1323" s="613"/>
      <c r="S1323" s="613"/>
      <c r="T1323" s="613"/>
      <c r="U1323" s="613"/>
      <c r="V1323" s="523"/>
      <c r="W1323" s="613"/>
      <c r="X1323" s="613"/>
      <c r="Y1323" s="613"/>
      <c r="Z1323" s="523"/>
      <c r="AA1323" s="613"/>
      <c r="AB1323" s="523"/>
      <c r="AC1323" s="523"/>
    </row>
    <row r="1324">
      <c r="A1324" s="613"/>
      <c r="B1324" s="612"/>
      <c r="C1324" s="613"/>
      <c r="D1324" s="613"/>
      <c r="E1324" s="613"/>
      <c r="F1324" s="613"/>
      <c r="G1324" s="613"/>
      <c r="H1324" s="613"/>
      <c r="I1324" s="523"/>
      <c r="J1324" s="612"/>
      <c r="K1324" s="612"/>
      <c r="L1324" s="613"/>
      <c r="M1324" s="613"/>
      <c r="N1324" s="613"/>
      <c r="O1324" s="616"/>
      <c r="P1324" s="613"/>
      <c r="Q1324" s="613"/>
      <c r="R1324" s="613"/>
      <c r="S1324" s="613"/>
      <c r="T1324" s="613"/>
      <c r="U1324" s="613"/>
      <c r="V1324" s="523"/>
      <c r="W1324" s="613"/>
      <c r="X1324" s="613"/>
      <c r="Y1324" s="613"/>
      <c r="Z1324" s="523"/>
      <c r="AA1324" s="613"/>
      <c r="AB1324" s="523"/>
      <c r="AC1324" s="523"/>
    </row>
    <row r="1325">
      <c r="A1325" s="613"/>
      <c r="B1325" s="612"/>
      <c r="C1325" s="613"/>
      <c r="D1325" s="613"/>
      <c r="E1325" s="613"/>
      <c r="F1325" s="613"/>
      <c r="G1325" s="613"/>
      <c r="H1325" s="613"/>
      <c r="I1325" s="523"/>
      <c r="J1325" s="612"/>
      <c r="K1325" s="612"/>
      <c r="L1325" s="613"/>
      <c r="M1325" s="613"/>
      <c r="N1325" s="613"/>
      <c r="O1325" s="616"/>
      <c r="P1325" s="613"/>
      <c r="Q1325" s="613"/>
      <c r="R1325" s="613"/>
      <c r="S1325" s="613"/>
      <c r="T1325" s="613"/>
      <c r="U1325" s="613"/>
      <c r="V1325" s="523"/>
      <c r="W1325" s="613"/>
      <c r="X1325" s="613"/>
      <c r="Y1325" s="613"/>
      <c r="Z1325" s="523"/>
      <c r="AA1325" s="613"/>
      <c r="AB1325" s="523"/>
      <c r="AC1325" s="523"/>
    </row>
    <row r="1326">
      <c r="A1326" s="613"/>
      <c r="B1326" s="612"/>
      <c r="C1326" s="613"/>
      <c r="D1326" s="613"/>
      <c r="E1326" s="613"/>
      <c r="F1326" s="613"/>
      <c r="G1326" s="613"/>
      <c r="H1326" s="613"/>
      <c r="I1326" s="523"/>
      <c r="J1326" s="612"/>
      <c r="K1326" s="612"/>
      <c r="L1326" s="613"/>
      <c r="M1326" s="613"/>
      <c r="N1326" s="613"/>
      <c r="O1326" s="616"/>
      <c r="P1326" s="613"/>
      <c r="Q1326" s="613"/>
      <c r="R1326" s="613"/>
      <c r="S1326" s="613"/>
      <c r="T1326" s="613"/>
      <c r="U1326" s="613"/>
      <c r="V1326" s="523"/>
      <c r="W1326" s="613"/>
      <c r="X1326" s="613"/>
      <c r="Y1326" s="613"/>
      <c r="Z1326" s="523"/>
      <c r="AA1326" s="613"/>
      <c r="AB1326" s="523"/>
      <c r="AC1326" s="523"/>
    </row>
    <row r="1327">
      <c r="A1327" s="613"/>
      <c r="B1327" s="612"/>
      <c r="C1327" s="613"/>
      <c r="D1327" s="613"/>
      <c r="E1327" s="613"/>
      <c r="F1327" s="613"/>
      <c r="G1327" s="613"/>
      <c r="H1327" s="613"/>
      <c r="I1327" s="523"/>
      <c r="J1327" s="612"/>
      <c r="K1327" s="612"/>
      <c r="L1327" s="613"/>
      <c r="M1327" s="613"/>
      <c r="N1327" s="613"/>
      <c r="O1327" s="616"/>
      <c r="P1327" s="613"/>
      <c r="Q1327" s="613"/>
      <c r="R1327" s="613"/>
      <c r="S1327" s="613"/>
      <c r="T1327" s="613"/>
      <c r="U1327" s="613"/>
      <c r="V1327" s="523"/>
      <c r="W1327" s="613"/>
      <c r="X1327" s="613"/>
      <c r="Y1327" s="613"/>
      <c r="Z1327" s="523"/>
      <c r="AA1327" s="613"/>
      <c r="AB1327" s="523"/>
      <c r="AC1327" s="523"/>
    </row>
    <row r="1328">
      <c r="A1328" s="613"/>
      <c r="B1328" s="612"/>
      <c r="C1328" s="613"/>
      <c r="D1328" s="613"/>
      <c r="E1328" s="613"/>
      <c r="F1328" s="613"/>
      <c r="G1328" s="613"/>
      <c r="H1328" s="613"/>
      <c r="I1328" s="523"/>
      <c r="J1328" s="612"/>
      <c r="K1328" s="612"/>
      <c r="L1328" s="613"/>
      <c r="M1328" s="613"/>
      <c r="N1328" s="613"/>
      <c r="O1328" s="616"/>
      <c r="P1328" s="613"/>
      <c r="Q1328" s="613"/>
      <c r="R1328" s="613"/>
      <c r="S1328" s="613"/>
      <c r="T1328" s="613"/>
      <c r="U1328" s="613"/>
      <c r="V1328" s="523"/>
      <c r="W1328" s="613"/>
      <c r="X1328" s="613"/>
      <c r="Y1328" s="613"/>
      <c r="Z1328" s="523"/>
      <c r="AA1328" s="613"/>
      <c r="AB1328" s="523"/>
      <c r="AC1328" s="523"/>
    </row>
    <row r="1329">
      <c r="A1329" s="613"/>
      <c r="B1329" s="612"/>
      <c r="C1329" s="613"/>
      <c r="D1329" s="613"/>
      <c r="E1329" s="613"/>
      <c r="F1329" s="613"/>
      <c r="G1329" s="613"/>
      <c r="H1329" s="613"/>
      <c r="I1329" s="523"/>
      <c r="J1329" s="612"/>
      <c r="K1329" s="612"/>
      <c r="L1329" s="613"/>
      <c r="M1329" s="613"/>
      <c r="N1329" s="613"/>
      <c r="O1329" s="616"/>
      <c r="P1329" s="613"/>
      <c r="Q1329" s="613"/>
      <c r="R1329" s="613"/>
      <c r="S1329" s="613"/>
      <c r="T1329" s="613"/>
      <c r="U1329" s="613"/>
      <c r="V1329" s="523"/>
      <c r="W1329" s="613"/>
      <c r="X1329" s="613"/>
      <c r="Y1329" s="613"/>
      <c r="Z1329" s="523"/>
      <c r="AA1329" s="613"/>
      <c r="AB1329" s="523"/>
      <c r="AC1329" s="523"/>
    </row>
    <row r="1330">
      <c r="A1330" s="613"/>
      <c r="B1330" s="612"/>
      <c r="C1330" s="613"/>
      <c r="D1330" s="613"/>
      <c r="E1330" s="613"/>
      <c r="F1330" s="613"/>
      <c r="G1330" s="613"/>
      <c r="H1330" s="613"/>
      <c r="I1330" s="523"/>
      <c r="J1330" s="612"/>
      <c r="K1330" s="612"/>
      <c r="L1330" s="613"/>
      <c r="M1330" s="613"/>
      <c r="N1330" s="613"/>
      <c r="O1330" s="616"/>
      <c r="P1330" s="613"/>
      <c r="Q1330" s="613"/>
      <c r="R1330" s="613"/>
      <c r="S1330" s="613"/>
      <c r="T1330" s="613"/>
      <c r="U1330" s="613"/>
      <c r="V1330" s="523"/>
      <c r="W1330" s="613"/>
      <c r="X1330" s="613"/>
      <c r="Y1330" s="613"/>
      <c r="Z1330" s="523"/>
      <c r="AA1330" s="613"/>
      <c r="AB1330" s="523"/>
      <c r="AC1330" s="523"/>
    </row>
    <row r="1331">
      <c r="A1331" s="613"/>
      <c r="B1331" s="612"/>
      <c r="C1331" s="613"/>
      <c r="D1331" s="613"/>
      <c r="E1331" s="613"/>
      <c r="F1331" s="613"/>
      <c r="G1331" s="613"/>
      <c r="H1331" s="613"/>
      <c r="I1331" s="523"/>
      <c r="J1331" s="612"/>
      <c r="K1331" s="612"/>
      <c r="L1331" s="613"/>
      <c r="M1331" s="613"/>
      <c r="N1331" s="613"/>
      <c r="O1331" s="616"/>
      <c r="P1331" s="613"/>
      <c r="Q1331" s="613"/>
      <c r="R1331" s="613"/>
      <c r="S1331" s="613"/>
      <c r="T1331" s="613"/>
      <c r="U1331" s="613"/>
      <c r="V1331" s="523"/>
      <c r="W1331" s="613"/>
      <c r="X1331" s="613"/>
      <c r="Y1331" s="613"/>
      <c r="Z1331" s="523"/>
      <c r="AA1331" s="613"/>
      <c r="AB1331" s="523"/>
      <c r="AC1331" s="523"/>
    </row>
    <row r="1332">
      <c r="A1332" s="613"/>
      <c r="B1332" s="612"/>
      <c r="C1332" s="613"/>
      <c r="D1332" s="613"/>
      <c r="E1332" s="613"/>
      <c r="F1332" s="613"/>
      <c r="G1332" s="613"/>
      <c r="H1332" s="613"/>
      <c r="I1332" s="523"/>
      <c r="J1332" s="612"/>
      <c r="K1332" s="612"/>
      <c r="L1332" s="613"/>
      <c r="M1332" s="613"/>
      <c r="N1332" s="613"/>
      <c r="O1332" s="616"/>
      <c r="P1332" s="613"/>
      <c r="Q1332" s="613"/>
      <c r="R1332" s="613"/>
      <c r="S1332" s="613"/>
      <c r="T1332" s="613"/>
      <c r="U1332" s="613"/>
      <c r="V1332" s="523"/>
      <c r="W1332" s="613"/>
      <c r="X1332" s="613"/>
      <c r="Y1332" s="613"/>
      <c r="Z1332" s="523"/>
      <c r="AA1332" s="613"/>
      <c r="AB1332" s="523"/>
      <c r="AC1332" s="523"/>
    </row>
    <row r="1333">
      <c r="A1333" s="613"/>
      <c r="B1333" s="612"/>
      <c r="C1333" s="613"/>
      <c r="D1333" s="613"/>
      <c r="E1333" s="613"/>
      <c r="F1333" s="613"/>
      <c r="G1333" s="613"/>
      <c r="H1333" s="613"/>
      <c r="I1333" s="523"/>
      <c r="J1333" s="612"/>
      <c r="K1333" s="612"/>
      <c r="L1333" s="613"/>
      <c r="M1333" s="613"/>
      <c r="N1333" s="613"/>
      <c r="O1333" s="616"/>
      <c r="P1333" s="613"/>
      <c r="Q1333" s="613"/>
      <c r="R1333" s="613"/>
      <c r="S1333" s="613"/>
      <c r="T1333" s="613"/>
      <c r="U1333" s="613"/>
      <c r="V1333" s="523"/>
      <c r="W1333" s="613"/>
      <c r="X1333" s="613"/>
      <c r="Y1333" s="613"/>
      <c r="Z1333" s="523"/>
      <c r="AA1333" s="613"/>
      <c r="AB1333" s="523"/>
      <c r="AC1333" s="523"/>
    </row>
    <row r="1334">
      <c r="A1334" s="613"/>
      <c r="B1334" s="612"/>
      <c r="C1334" s="613"/>
      <c r="D1334" s="613"/>
      <c r="E1334" s="613"/>
      <c r="F1334" s="613"/>
      <c r="G1334" s="613"/>
      <c r="H1334" s="613"/>
      <c r="I1334" s="523"/>
      <c r="J1334" s="612"/>
      <c r="K1334" s="612"/>
      <c r="L1334" s="613"/>
      <c r="M1334" s="613"/>
      <c r="N1334" s="613"/>
      <c r="O1334" s="616"/>
      <c r="P1334" s="613"/>
      <c r="Q1334" s="613"/>
      <c r="R1334" s="613"/>
      <c r="S1334" s="613"/>
      <c r="T1334" s="613"/>
      <c r="U1334" s="613"/>
      <c r="V1334" s="523"/>
      <c r="W1334" s="613"/>
      <c r="X1334" s="613"/>
      <c r="Y1334" s="613"/>
      <c r="Z1334" s="523"/>
      <c r="AA1334" s="613"/>
      <c r="AB1334" s="523"/>
      <c r="AC1334" s="523"/>
    </row>
    <row r="1335">
      <c r="A1335" s="613"/>
      <c r="B1335" s="612"/>
      <c r="C1335" s="613"/>
      <c r="D1335" s="613"/>
      <c r="E1335" s="613"/>
      <c r="F1335" s="613"/>
      <c r="G1335" s="613"/>
      <c r="H1335" s="613"/>
      <c r="I1335" s="523"/>
      <c r="J1335" s="612"/>
      <c r="K1335" s="612"/>
      <c r="L1335" s="613"/>
      <c r="M1335" s="613"/>
      <c r="N1335" s="613"/>
      <c r="O1335" s="616"/>
      <c r="P1335" s="613"/>
      <c r="Q1335" s="613"/>
      <c r="R1335" s="613"/>
      <c r="S1335" s="613"/>
      <c r="T1335" s="613"/>
      <c r="U1335" s="613"/>
      <c r="V1335" s="523"/>
      <c r="W1335" s="613"/>
      <c r="X1335" s="613"/>
      <c r="Y1335" s="613"/>
      <c r="Z1335" s="523"/>
      <c r="AA1335" s="613"/>
      <c r="AB1335" s="523"/>
      <c r="AC1335" s="523"/>
    </row>
    <row r="1336">
      <c r="A1336" s="613"/>
      <c r="B1336" s="612"/>
      <c r="C1336" s="613"/>
      <c r="D1336" s="613"/>
      <c r="E1336" s="613"/>
      <c r="F1336" s="613"/>
      <c r="G1336" s="613"/>
      <c r="H1336" s="613"/>
      <c r="I1336" s="523"/>
      <c r="J1336" s="612"/>
      <c r="K1336" s="612"/>
      <c r="L1336" s="613"/>
      <c r="M1336" s="613"/>
      <c r="N1336" s="613"/>
      <c r="O1336" s="616"/>
      <c r="P1336" s="613"/>
      <c r="Q1336" s="613"/>
      <c r="R1336" s="613"/>
      <c r="S1336" s="613"/>
      <c r="T1336" s="613"/>
      <c r="U1336" s="613"/>
      <c r="V1336" s="523"/>
      <c r="W1336" s="613"/>
      <c r="X1336" s="613"/>
      <c r="Y1336" s="613"/>
      <c r="Z1336" s="523"/>
      <c r="AA1336" s="613"/>
      <c r="AB1336" s="523"/>
      <c r="AC1336" s="523"/>
    </row>
    <row r="1337">
      <c r="A1337" s="613"/>
      <c r="B1337" s="612"/>
      <c r="C1337" s="613"/>
      <c r="D1337" s="613"/>
      <c r="E1337" s="613"/>
      <c r="F1337" s="613"/>
      <c r="G1337" s="613"/>
      <c r="H1337" s="613"/>
      <c r="I1337" s="523"/>
      <c r="J1337" s="612"/>
      <c r="K1337" s="612"/>
      <c r="L1337" s="613"/>
      <c r="M1337" s="613"/>
      <c r="N1337" s="613"/>
      <c r="O1337" s="616"/>
      <c r="P1337" s="613"/>
      <c r="Q1337" s="613"/>
      <c r="R1337" s="613"/>
      <c r="S1337" s="613"/>
      <c r="T1337" s="613"/>
      <c r="U1337" s="613"/>
      <c r="V1337" s="523"/>
      <c r="W1337" s="613"/>
      <c r="X1337" s="613"/>
      <c r="Y1337" s="613"/>
      <c r="Z1337" s="523"/>
      <c r="AA1337" s="613"/>
      <c r="AB1337" s="523"/>
      <c r="AC1337" s="523"/>
    </row>
    <row r="1338">
      <c r="A1338" s="613"/>
      <c r="B1338" s="612"/>
      <c r="C1338" s="613"/>
      <c r="D1338" s="613"/>
      <c r="E1338" s="613"/>
      <c r="F1338" s="613"/>
      <c r="G1338" s="613"/>
      <c r="H1338" s="613"/>
      <c r="I1338" s="523"/>
      <c r="J1338" s="612"/>
      <c r="K1338" s="612"/>
      <c r="L1338" s="613"/>
      <c r="M1338" s="613"/>
      <c r="N1338" s="613"/>
      <c r="O1338" s="616"/>
      <c r="P1338" s="613"/>
      <c r="Q1338" s="613"/>
      <c r="R1338" s="613"/>
      <c r="S1338" s="613"/>
      <c r="T1338" s="613"/>
      <c r="U1338" s="613"/>
      <c r="V1338" s="523"/>
      <c r="W1338" s="613"/>
      <c r="X1338" s="613"/>
      <c r="Y1338" s="613"/>
      <c r="Z1338" s="523"/>
      <c r="AA1338" s="613"/>
      <c r="AB1338" s="523"/>
      <c r="AC1338" s="523"/>
    </row>
    <row r="1339">
      <c r="A1339" s="613"/>
      <c r="B1339" s="612"/>
      <c r="C1339" s="613"/>
      <c r="D1339" s="613"/>
      <c r="E1339" s="613"/>
      <c r="F1339" s="613"/>
      <c r="G1339" s="613"/>
      <c r="H1339" s="613"/>
      <c r="I1339" s="523"/>
      <c r="J1339" s="612"/>
      <c r="K1339" s="612"/>
      <c r="L1339" s="613"/>
      <c r="M1339" s="613"/>
      <c r="N1339" s="613"/>
      <c r="O1339" s="616"/>
      <c r="P1339" s="613"/>
      <c r="Q1339" s="613"/>
      <c r="R1339" s="613"/>
      <c r="S1339" s="613"/>
      <c r="T1339" s="613"/>
      <c r="U1339" s="613"/>
      <c r="V1339" s="523"/>
      <c r="W1339" s="613"/>
      <c r="X1339" s="613"/>
      <c r="Y1339" s="613"/>
      <c r="Z1339" s="523"/>
      <c r="AA1339" s="613"/>
      <c r="AB1339" s="523"/>
      <c r="AC1339" s="523"/>
    </row>
    <row r="1340">
      <c r="A1340" s="613"/>
      <c r="B1340" s="612"/>
      <c r="C1340" s="613"/>
      <c r="D1340" s="613"/>
      <c r="E1340" s="613"/>
      <c r="F1340" s="613"/>
      <c r="G1340" s="613"/>
      <c r="H1340" s="613"/>
      <c r="I1340" s="523"/>
      <c r="J1340" s="612"/>
      <c r="K1340" s="612"/>
      <c r="L1340" s="613"/>
      <c r="M1340" s="613"/>
      <c r="N1340" s="613"/>
      <c r="O1340" s="616"/>
      <c r="P1340" s="613"/>
      <c r="Q1340" s="613"/>
      <c r="R1340" s="613"/>
      <c r="S1340" s="613"/>
      <c r="T1340" s="613"/>
      <c r="U1340" s="613"/>
      <c r="V1340" s="523"/>
      <c r="W1340" s="613"/>
      <c r="X1340" s="613"/>
      <c r="Y1340" s="613"/>
      <c r="Z1340" s="523"/>
      <c r="AA1340" s="613"/>
      <c r="AB1340" s="523"/>
      <c r="AC1340" s="523"/>
    </row>
    <row r="1341">
      <c r="A1341" s="613"/>
      <c r="B1341" s="612"/>
      <c r="C1341" s="613"/>
      <c r="D1341" s="613"/>
      <c r="E1341" s="613"/>
      <c r="F1341" s="613"/>
      <c r="G1341" s="613"/>
      <c r="H1341" s="613"/>
      <c r="I1341" s="523"/>
      <c r="J1341" s="612"/>
      <c r="K1341" s="612"/>
      <c r="L1341" s="613"/>
      <c r="M1341" s="613"/>
      <c r="N1341" s="613"/>
      <c r="O1341" s="616"/>
      <c r="P1341" s="613"/>
      <c r="Q1341" s="613"/>
      <c r="R1341" s="613"/>
      <c r="S1341" s="613"/>
      <c r="T1341" s="613"/>
      <c r="U1341" s="613"/>
      <c r="V1341" s="523"/>
      <c r="W1341" s="613"/>
      <c r="X1341" s="613"/>
      <c r="Y1341" s="613"/>
      <c r="Z1341" s="523"/>
      <c r="AA1341" s="613"/>
      <c r="AB1341" s="523"/>
      <c r="AC1341" s="523"/>
    </row>
    <row r="1342">
      <c r="A1342" s="613"/>
      <c r="B1342" s="612"/>
      <c r="C1342" s="613"/>
      <c r="D1342" s="613"/>
      <c r="E1342" s="613"/>
      <c r="F1342" s="613"/>
      <c r="G1342" s="613"/>
      <c r="H1342" s="613"/>
      <c r="I1342" s="523"/>
      <c r="J1342" s="612"/>
      <c r="K1342" s="612"/>
      <c r="L1342" s="613"/>
      <c r="M1342" s="613"/>
      <c r="N1342" s="613"/>
      <c r="O1342" s="616"/>
      <c r="P1342" s="613"/>
      <c r="Q1342" s="613"/>
      <c r="R1342" s="613"/>
      <c r="S1342" s="613"/>
      <c r="T1342" s="613"/>
      <c r="U1342" s="613"/>
      <c r="V1342" s="523"/>
      <c r="W1342" s="613"/>
      <c r="X1342" s="613"/>
      <c r="Y1342" s="613"/>
      <c r="Z1342" s="523"/>
      <c r="AA1342" s="613"/>
      <c r="AB1342" s="523"/>
      <c r="AC1342" s="523"/>
    </row>
    <row r="1343">
      <c r="A1343" s="613"/>
      <c r="B1343" s="612"/>
      <c r="C1343" s="613"/>
      <c r="D1343" s="613"/>
      <c r="E1343" s="613"/>
      <c r="F1343" s="613"/>
      <c r="G1343" s="613"/>
      <c r="H1343" s="613"/>
      <c r="I1343" s="523"/>
      <c r="J1343" s="612"/>
      <c r="K1343" s="612"/>
      <c r="L1343" s="613"/>
      <c r="M1343" s="613"/>
      <c r="N1343" s="613"/>
      <c r="O1343" s="616"/>
      <c r="P1343" s="613"/>
      <c r="Q1343" s="613"/>
      <c r="R1343" s="613"/>
      <c r="S1343" s="613"/>
      <c r="T1343" s="613"/>
      <c r="U1343" s="613"/>
      <c r="V1343" s="523"/>
      <c r="W1343" s="613"/>
      <c r="X1343" s="613"/>
      <c r="Y1343" s="613"/>
      <c r="Z1343" s="523"/>
      <c r="AA1343" s="613"/>
      <c r="AB1343" s="523"/>
      <c r="AC1343" s="523"/>
    </row>
    <row r="1344">
      <c r="A1344" s="613"/>
      <c r="B1344" s="612"/>
      <c r="C1344" s="613"/>
      <c r="D1344" s="613"/>
      <c r="E1344" s="613"/>
      <c r="F1344" s="613"/>
      <c r="G1344" s="613"/>
      <c r="H1344" s="613"/>
      <c r="I1344" s="523"/>
      <c r="J1344" s="612"/>
      <c r="K1344" s="612"/>
      <c r="L1344" s="613"/>
      <c r="M1344" s="613"/>
      <c r="N1344" s="613"/>
      <c r="O1344" s="616"/>
      <c r="P1344" s="613"/>
      <c r="Q1344" s="613"/>
      <c r="R1344" s="613"/>
      <c r="S1344" s="613"/>
      <c r="T1344" s="613"/>
      <c r="U1344" s="613"/>
      <c r="V1344" s="523"/>
      <c r="W1344" s="613"/>
      <c r="X1344" s="613"/>
      <c r="Y1344" s="613"/>
      <c r="Z1344" s="523"/>
      <c r="AA1344" s="613"/>
      <c r="AB1344" s="523"/>
      <c r="AC1344" s="523"/>
    </row>
    <row r="1345">
      <c r="A1345" s="613"/>
      <c r="B1345" s="612"/>
      <c r="C1345" s="613"/>
      <c r="D1345" s="613"/>
      <c r="E1345" s="613"/>
      <c r="F1345" s="613"/>
      <c r="G1345" s="613"/>
      <c r="H1345" s="613"/>
      <c r="I1345" s="523"/>
      <c r="J1345" s="612"/>
      <c r="K1345" s="612"/>
      <c r="L1345" s="613"/>
      <c r="M1345" s="613"/>
      <c r="N1345" s="613"/>
      <c r="O1345" s="616"/>
      <c r="P1345" s="613"/>
      <c r="Q1345" s="613"/>
      <c r="R1345" s="613"/>
      <c r="S1345" s="613"/>
      <c r="T1345" s="613"/>
      <c r="U1345" s="613"/>
      <c r="V1345" s="523"/>
      <c r="W1345" s="613"/>
      <c r="X1345" s="613"/>
      <c r="Y1345" s="613"/>
      <c r="Z1345" s="523"/>
      <c r="AA1345" s="613"/>
      <c r="AB1345" s="523"/>
      <c r="AC1345" s="523"/>
    </row>
    <row r="1346">
      <c r="A1346" s="613"/>
      <c r="B1346" s="612"/>
      <c r="C1346" s="613"/>
      <c r="D1346" s="613"/>
      <c r="E1346" s="613"/>
      <c r="F1346" s="613"/>
      <c r="G1346" s="613"/>
      <c r="H1346" s="613"/>
      <c r="I1346" s="523"/>
      <c r="J1346" s="612"/>
      <c r="K1346" s="612"/>
      <c r="L1346" s="613"/>
      <c r="M1346" s="613"/>
      <c r="N1346" s="613"/>
      <c r="O1346" s="616"/>
      <c r="P1346" s="613"/>
      <c r="Q1346" s="613"/>
      <c r="R1346" s="613"/>
      <c r="S1346" s="613"/>
      <c r="T1346" s="613"/>
      <c r="U1346" s="613"/>
      <c r="V1346" s="523"/>
      <c r="W1346" s="613"/>
      <c r="X1346" s="613"/>
      <c r="Y1346" s="613"/>
      <c r="Z1346" s="523"/>
      <c r="AA1346" s="613"/>
      <c r="AB1346" s="523"/>
      <c r="AC1346" s="523"/>
    </row>
    <row r="1347">
      <c r="A1347" s="613"/>
      <c r="B1347" s="612"/>
      <c r="C1347" s="613"/>
      <c r="D1347" s="613"/>
      <c r="E1347" s="613"/>
      <c r="F1347" s="613"/>
      <c r="G1347" s="613"/>
      <c r="H1347" s="613"/>
      <c r="I1347" s="523"/>
      <c r="J1347" s="612"/>
      <c r="K1347" s="612"/>
      <c r="L1347" s="613"/>
      <c r="M1347" s="613"/>
      <c r="N1347" s="613"/>
      <c r="O1347" s="616"/>
      <c r="P1347" s="613"/>
      <c r="Q1347" s="613"/>
      <c r="R1347" s="613"/>
      <c r="S1347" s="613"/>
      <c r="T1347" s="613"/>
      <c r="U1347" s="613"/>
      <c r="V1347" s="523"/>
      <c r="W1347" s="613"/>
      <c r="X1347" s="613"/>
      <c r="Y1347" s="613"/>
      <c r="Z1347" s="523"/>
      <c r="AA1347" s="613"/>
      <c r="AB1347" s="523"/>
      <c r="AC1347" s="523"/>
    </row>
    <row r="1348">
      <c r="A1348" s="613"/>
      <c r="B1348" s="612"/>
      <c r="C1348" s="613"/>
      <c r="D1348" s="613"/>
      <c r="E1348" s="613"/>
      <c r="F1348" s="613"/>
      <c r="G1348" s="613"/>
      <c r="H1348" s="613"/>
      <c r="I1348" s="523"/>
      <c r="J1348" s="612"/>
      <c r="K1348" s="612"/>
      <c r="L1348" s="613"/>
      <c r="M1348" s="613"/>
      <c r="N1348" s="613"/>
      <c r="O1348" s="616"/>
      <c r="P1348" s="613"/>
      <c r="Q1348" s="613"/>
      <c r="R1348" s="613"/>
      <c r="S1348" s="613"/>
      <c r="T1348" s="613"/>
      <c r="U1348" s="613"/>
      <c r="V1348" s="523"/>
      <c r="W1348" s="613"/>
      <c r="X1348" s="613"/>
      <c r="Y1348" s="613"/>
      <c r="Z1348" s="523"/>
      <c r="AA1348" s="613"/>
      <c r="AB1348" s="523"/>
      <c r="AC1348" s="523"/>
    </row>
    <row r="1349">
      <c r="A1349" s="613"/>
      <c r="B1349" s="612"/>
      <c r="C1349" s="613"/>
      <c r="D1349" s="613"/>
      <c r="E1349" s="613"/>
      <c r="F1349" s="613"/>
      <c r="G1349" s="613"/>
      <c r="H1349" s="613"/>
      <c r="I1349" s="523"/>
      <c r="J1349" s="612"/>
      <c r="K1349" s="612"/>
      <c r="L1349" s="613"/>
      <c r="M1349" s="613"/>
      <c r="N1349" s="613"/>
      <c r="O1349" s="616"/>
      <c r="P1349" s="613"/>
      <c r="Q1349" s="613"/>
      <c r="R1349" s="613"/>
      <c r="S1349" s="613"/>
      <c r="T1349" s="613"/>
      <c r="U1349" s="613"/>
      <c r="V1349" s="523"/>
      <c r="W1349" s="613"/>
      <c r="X1349" s="613"/>
      <c r="Y1349" s="613"/>
      <c r="Z1349" s="523"/>
      <c r="AA1349" s="613"/>
      <c r="AB1349" s="523"/>
      <c r="AC1349" s="523"/>
    </row>
    <row r="1350">
      <c r="A1350" s="613"/>
      <c r="B1350" s="612"/>
      <c r="C1350" s="613"/>
      <c r="D1350" s="613"/>
      <c r="E1350" s="613"/>
      <c r="F1350" s="613"/>
      <c r="G1350" s="613"/>
      <c r="H1350" s="613"/>
      <c r="I1350" s="523"/>
      <c r="J1350" s="612"/>
      <c r="K1350" s="612"/>
      <c r="L1350" s="613"/>
      <c r="M1350" s="613"/>
      <c r="N1350" s="613"/>
      <c r="O1350" s="616"/>
      <c r="P1350" s="613"/>
      <c r="Q1350" s="613"/>
      <c r="R1350" s="613"/>
      <c r="S1350" s="613"/>
      <c r="T1350" s="613"/>
      <c r="U1350" s="613"/>
      <c r="V1350" s="523"/>
      <c r="W1350" s="613"/>
      <c r="X1350" s="613"/>
      <c r="Y1350" s="613"/>
      <c r="Z1350" s="523"/>
      <c r="AA1350" s="613"/>
      <c r="AB1350" s="523"/>
      <c r="AC1350" s="523"/>
    </row>
    <row r="1351">
      <c r="A1351" s="613"/>
      <c r="B1351" s="612"/>
      <c r="C1351" s="613"/>
      <c r="D1351" s="613"/>
      <c r="E1351" s="613"/>
      <c r="F1351" s="613"/>
      <c r="G1351" s="613"/>
      <c r="H1351" s="613"/>
      <c r="I1351" s="523"/>
      <c r="J1351" s="612"/>
      <c r="K1351" s="612"/>
      <c r="L1351" s="613"/>
      <c r="M1351" s="613"/>
      <c r="N1351" s="613"/>
      <c r="O1351" s="616"/>
      <c r="P1351" s="613"/>
      <c r="Q1351" s="613"/>
      <c r="R1351" s="613"/>
      <c r="S1351" s="613"/>
      <c r="T1351" s="613"/>
      <c r="U1351" s="613"/>
      <c r="V1351" s="523"/>
      <c r="W1351" s="613"/>
      <c r="X1351" s="613"/>
      <c r="Y1351" s="613"/>
      <c r="Z1351" s="523"/>
      <c r="AA1351" s="613"/>
      <c r="AB1351" s="523"/>
      <c r="AC1351" s="523"/>
    </row>
    <row r="1352">
      <c r="A1352" s="613"/>
      <c r="B1352" s="612"/>
      <c r="C1352" s="613"/>
      <c r="D1352" s="613"/>
      <c r="E1352" s="613"/>
      <c r="F1352" s="613"/>
      <c r="G1352" s="613"/>
      <c r="H1352" s="613"/>
      <c r="I1352" s="523"/>
      <c r="J1352" s="612"/>
      <c r="K1352" s="612"/>
      <c r="L1352" s="613"/>
      <c r="M1352" s="613"/>
      <c r="N1352" s="613"/>
      <c r="O1352" s="616"/>
      <c r="P1352" s="613"/>
      <c r="Q1352" s="613"/>
      <c r="R1352" s="613"/>
      <c r="S1352" s="613"/>
      <c r="T1352" s="613"/>
      <c r="U1352" s="613"/>
      <c r="V1352" s="523"/>
      <c r="W1352" s="613"/>
      <c r="X1352" s="613"/>
      <c r="Y1352" s="613"/>
      <c r="Z1352" s="523"/>
      <c r="AA1352" s="613"/>
      <c r="AB1352" s="523"/>
      <c r="AC1352" s="523"/>
    </row>
    <row r="1353">
      <c r="A1353" s="613"/>
      <c r="B1353" s="612"/>
      <c r="C1353" s="613"/>
      <c r="D1353" s="613"/>
      <c r="E1353" s="613"/>
      <c r="F1353" s="613"/>
      <c r="G1353" s="613"/>
      <c r="H1353" s="613"/>
      <c r="I1353" s="523"/>
      <c r="J1353" s="612"/>
      <c r="K1353" s="612"/>
      <c r="L1353" s="613"/>
      <c r="M1353" s="613"/>
      <c r="N1353" s="613"/>
      <c r="O1353" s="616"/>
      <c r="P1353" s="613"/>
      <c r="Q1353" s="613"/>
      <c r="R1353" s="613"/>
      <c r="S1353" s="613"/>
      <c r="T1353" s="613"/>
      <c r="U1353" s="613"/>
      <c r="V1353" s="523"/>
      <c r="W1353" s="613"/>
      <c r="X1353" s="613"/>
      <c r="Y1353" s="613"/>
      <c r="Z1353" s="523"/>
      <c r="AA1353" s="613"/>
      <c r="AB1353" s="523"/>
      <c r="AC1353" s="523"/>
    </row>
    <row r="1354">
      <c r="A1354" s="613"/>
      <c r="B1354" s="612"/>
      <c r="C1354" s="613"/>
      <c r="D1354" s="613"/>
      <c r="E1354" s="613"/>
      <c r="F1354" s="613"/>
      <c r="G1354" s="613"/>
      <c r="H1354" s="613"/>
      <c r="I1354" s="523"/>
      <c r="J1354" s="612"/>
      <c r="K1354" s="612"/>
      <c r="L1354" s="613"/>
      <c r="M1354" s="613"/>
      <c r="N1354" s="613"/>
      <c r="O1354" s="616"/>
      <c r="P1354" s="613"/>
      <c r="Q1354" s="613"/>
      <c r="R1354" s="613"/>
      <c r="S1354" s="613"/>
      <c r="T1354" s="613"/>
      <c r="U1354" s="613"/>
      <c r="V1354" s="523"/>
      <c r="W1354" s="613"/>
      <c r="X1354" s="613"/>
      <c r="Y1354" s="613"/>
      <c r="Z1354" s="523"/>
      <c r="AA1354" s="613"/>
      <c r="AB1354" s="523"/>
      <c r="AC1354" s="523"/>
    </row>
    <row r="1355">
      <c r="A1355" s="613"/>
      <c r="B1355" s="612"/>
      <c r="C1355" s="613"/>
      <c r="D1355" s="613"/>
      <c r="E1355" s="613"/>
      <c r="F1355" s="613"/>
      <c r="G1355" s="613"/>
      <c r="H1355" s="613"/>
      <c r="I1355" s="523"/>
      <c r="J1355" s="612"/>
      <c r="K1355" s="612"/>
      <c r="L1355" s="613"/>
      <c r="M1355" s="613"/>
      <c r="N1355" s="613"/>
      <c r="O1355" s="616"/>
      <c r="P1355" s="613"/>
      <c r="Q1355" s="613"/>
      <c r="R1355" s="613"/>
      <c r="S1355" s="613"/>
      <c r="T1355" s="613"/>
      <c r="U1355" s="613"/>
      <c r="V1355" s="523"/>
      <c r="W1355" s="613"/>
      <c r="X1355" s="613"/>
      <c r="Y1355" s="613"/>
      <c r="Z1355" s="523"/>
      <c r="AA1355" s="613"/>
      <c r="AB1355" s="523"/>
      <c r="AC1355" s="523"/>
    </row>
    <row r="1356">
      <c r="A1356" s="613"/>
      <c r="B1356" s="612"/>
      <c r="C1356" s="613"/>
      <c r="D1356" s="613"/>
      <c r="E1356" s="613"/>
      <c r="F1356" s="613"/>
      <c r="G1356" s="613"/>
      <c r="H1356" s="613"/>
      <c r="I1356" s="523"/>
      <c r="J1356" s="612"/>
      <c r="K1356" s="612"/>
      <c r="L1356" s="613"/>
      <c r="M1356" s="613"/>
      <c r="N1356" s="613"/>
      <c r="O1356" s="616"/>
      <c r="P1356" s="613"/>
      <c r="Q1356" s="613"/>
      <c r="R1356" s="613"/>
      <c r="S1356" s="613"/>
      <c r="T1356" s="613"/>
      <c r="U1356" s="613"/>
      <c r="V1356" s="523"/>
      <c r="W1356" s="613"/>
      <c r="X1356" s="613"/>
      <c r="Y1356" s="613"/>
      <c r="Z1356" s="523"/>
      <c r="AA1356" s="613"/>
      <c r="AB1356" s="523"/>
      <c r="AC1356" s="523"/>
    </row>
    <row r="1357">
      <c r="A1357" s="613"/>
      <c r="B1357" s="612"/>
      <c r="C1357" s="613"/>
      <c r="D1357" s="613"/>
      <c r="E1357" s="613"/>
      <c r="F1357" s="613"/>
      <c r="G1357" s="613"/>
      <c r="H1357" s="613"/>
      <c r="I1357" s="523"/>
      <c r="J1357" s="612"/>
      <c r="K1357" s="612"/>
      <c r="L1357" s="613"/>
      <c r="M1357" s="613"/>
      <c r="N1357" s="613"/>
      <c r="O1357" s="616"/>
      <c r="P1357" s="613"/>
      <c r="Q1357" s="613"/>
      <c r="R1357" s="613"/>
      <c r="S1357" s="613"/>
      <c r="T1357" s="613"/>
      <c r="U1357" s="613"/>
      <c r="V1357" s="523"/>
      <c r="W1357" s="613"/>
      <c r="X1357" s="613"/>
      <c r="Y1357" s="613"/>
      <c r="Z1357" s="523"/>
      <c r="AA1357" s="613"/>
      <c r="AB1357" s="523"/>
      <c r="AC1357" s="523"/>
    </row>
    <row r="1358">
      <c r="A1358" s="613"/>
      <c r="B1358" s="612"/>
      <c r="C1358" s="613"/>
      <c r="D1358" s="613"/>
      <c r="E1358" s="613"/>
      <c r="F1358" s="613"/>
      <c r="G1358" s="613"/>
      <c r="H1358" s="613"/>
      <c r="I1358" s="523"/>
      <c r="J1358" s="612"/>
      <c r="K1358" s="612"/>
      <c r="L1358" s="613"/>
      <c r="M1358" s="613"/>
      <c r="N1358" s="613"/>
      <c r="O1358" s="616"/>
      <c r="P1358" s="613"/>
      <c r="Q1358" s="613"/>
      <c r="R1358" s="613"/>
      <c r="S1358" s="613"/>
      <c r="T1358" s="613"/>
      <c r="U1358" s="613"/>
      <c r="V1358" s="523"/>
      <c r="W1358" s="613"/>
      <c r="X1358" s="613"/>
      <c r="Y1358" s="613"/>
      <c r="Z1358" s="523"/>
      <c r="AA1358" s="613"/>
      <c r="AB1358" s="523"/>
      <c r="AC1358" s="523"/>
    </row>
    <row r="1359">
      <c r="A1359" s="613"/>
      <c r="B1359" s="612"/>
      <c r="C1359" s="613"/>
      <c r="D1359" s="613"/>
      <c r="E1359" s="613"/>
      <c r="F1359" s="613"/>
      <c r="G1359" s="613"/>
      <c r="H1359" s="613"/>
      <c r="I1359" s="523"/>
      <c r="J1359" s="612"/>
      <c r="K1359" s="612"/>
      <c r="L1359" s="613"/>
      <c r="M1359" s="613"/>
      <c r="N1359" s="613"/>
      <c r="O1359" s="616"/>
      <c r="P1359" s="613"/>
      <c r="Q1359" s="613"/>
      <c r="R1359" s="613"/>
      <c r="S1359" s="613"/>
      <c r="T1359" s="613"/>
      <c r="U1359" s="613"/>
      <c r="V1359" s="523"/>
      <c r="W1359" s="613"/>
      <c r="X1359" s="613"/>
      <c r="Y1359" s="613"/>
      <c r="Z1359" s="523"/>
      <c r="AA1359" s="613"/>
      <c r="AB1359" s="523"/>
      <c r="AC1359" s="523"/>
    </row>
    <row r="1360">
      <c r="A1360" s="613"/>
      <c r="B1360" s="612"/>
      <c r="C1360" s="613"/>
      <c r="D1360" s="613"/>
      <c r="E1360" s="613"/>
      <c r="F1360" s="613"/>
      <c r="G1360" s="613"/>
      <c r="H1360" s="613"/>
      <c r="I1360" s="523"/>
      <c r="J1360" s="612"/>
      <c r="K1360" s="612"/>
      <c r="L1360" s="613"/>
      <c r="M1360" s="613"/>
      <c r="N1360" s="613"/>
      <c r="O1360" s="616"/>
      <c r="P1360" s="613"/>
      <c r="Q1360" s="613"/>
      <c r="R1360" s="613"/>
      <c r="S1360" s="613"/>
      <c r="T1360" s="613"/>
      <c r="U1360" s="613"/>
      <c r="V1360" s="523"/>
      <c r="W1360" s="613"/>
      <c r="X1360" s="613"/>
      <c r="Y1360" s="613"/>
      <c r="Z1360" s="523"/>
      <c r="AA1360" s="613"/>
      <c r="AB1360" s="523"/>
      <c r="AC1360" s="523"/>
    </row>
    <row r="1361">
      <c r="A1361" s="613"/>
      <c r="B1361" s="612"/>
      <c r="C1361" s="613"/>
      <c r="D1361" s="613"/>
      <c r="E1361" s="613"/>
      <c r="F1361" s="613"/>
      <c r="G1361" s="613"/>
      <c r="H1361" s="613"/>
      <c r="I1361" s="523"/>
      <c r="J1361" s="612"/>
      <c r="K1361" s="612"/>
      <c r="L1361" s="613"/>
      <c r="M1361" s="613"/>
      <c r="N1361" s="613"/>
      <c r="O1361" s="616"/>
      <c r="P1361" s="613"/>
      <c r="Q1361" s="613"/>
      <c r="R1361" s="613"/>
      <c r="S1361" s="613"/>
      <c r="T1361" s="613"/>
      <c r="U1361" s="613"/>
      <c r="V1361" s="523"/>
      <c r="W1361" s="613"/>
      <c r="X1361" s="613"/>
      <c r="Y1361" s="613"/>
      <c r="Z1361" s="523"/>
      <c r="AA1361" s="613"/>
      <c r="AB1361" s="523"/>
      <c r="AC1361" s="523"/>
    </row>
    <row r="1362">
      <c r="A1362" s="613"/>
      <c r="B1362" s="612"/>
      <c r="C1362" s="613"/>
      <c r="D1362" s="613"/>
      <c r="E1362" s="613"/>
      <c r="F1362" s="613"/>
      <c r="G1362" s="613"/>
      <c r="H1362" s="613"/>
      <c r="I1362" s="523"/>
      <c r="J1362" s="612"/>
      <c r="K1362" s="612"/>
      <c r="L1362" s="613"/>
      <c r="M1362" s="613"/>
      <c r="N1362" s="613"/>
      <c r="O1362" s="616"/>
      <c r="P1362" s="613"/>
      <c r="Q1362" s="613"/>
      <c r="R1362" s="613"/>
      <c r="S1362" s="613"/>
      <c r="T1362" s="613"/>
      <c r="U1362" s="613"/>
      <c r="V1362" s="523"/>
      <c r="W1362" s="613"/>
      <c r="X1362" s="613"/>
      <c r="Y1362" s="613"/>
      <c r="Z1362" s="523"/>
      <c r="AA1362" s="613"/>
      <c r="AB1362" s="523"/>
      <c r="AC1362" s="523"/>
    </row>
    <row r="1363">
      <c r="A1363" s="613"/>
      <c r="B1363" s="612"/>
      <c r="C1363" s="613"/>
      <c r="D1363" s="613"/>
      <c r="E1363" s="613"/>
      <c r="F1363" s="613"/>
      <c r="G1363" s="613"/>
      <c r="H1363" s="613"/>
      <c r="I1363" s="523"/>
      <c r="J1363" s="612"/>
      <c r="K1363" s="612"/>
      <c r="L1363" s="613"/>
      <c r="M1363" s="613"/>
      <c r="N1363" s="613"/>
      <c r="O1363" s="616"/>
      <c r="P1363" s="613"/>
      <c r="Q1363" s="613"/>
      <c r="R1363" s="613"/>
      <c r="S1363" s="613"/>
      <c r="T1363" s="613"/>
      <c r="U1363" s="613"/>
      <c r="V1363" s="523"/>
      <c r="W1363" s="613"/>
      <c r="X1363" s="613"/>
      <c r="Y1363" s="613"/>
      <c r="Z1363" s="523"/>
      <c r="AA1363" s="613"/>
      <c r="AB1363" s="523"/>
      <c r="AC1363" s="523"/>
    </row>
    <row r="1364">
      <c r="A1364" s="613"/>
      <c r="B1364" s="612"/>
      <c r="C1364" s="613"/>
      <c r="D1364" s="613"/>
      <c r="E1364" s="613"/>
      <c r="F1364" s="613"/>
      <c r="G1364" s="613"/>
      <c r="H1364" s="613"/>
      <c r="I1364" s="523"/>
      <c r="J1364" s="612"/>
      <c r="K1364" s="612"/>
      <c r="L1364" s="613"/>
      <c r="M1364" s="613"/>
      <c r="N1364" s="613"/>
      <c r="O1364" s="616"/>
      <c r="P1364" s="613"/>
      <c r="Q1364" s="613"/>
      <c r="R1364" s="613"/>
      <c r="S1364" s="613"/>
      <c r="T1364" s="613"/>
      <c r="U1364" s="613"/>
      <c r="V1364" s="523"/>
      <c r="W1364" s="613"/>
      <c r="X1364" s="613"/>
      <c r="Y1364" s="613"/>
      <c r="Z1364" s="523"/>
      <c r="AA1364" s="613"/>
      <c r="AB1364" s="523"/>
      <c r="AC1364" s="523"/>
    </row>
    <row r="1365">
      <c r="A1365" s="613"/>
      <c r="B1365" s="612"/>
      <c r="C1365" s="613"/>
      <c r="D1365" s="613"/>
      <c r="E1365" s="613"/>
      <c r="F1365" s="613"/>
      <c r="G1365" s="613"/>
      <c r="H1365" s="613"/>
      <c r="I1365" s="523"/>
      <c r="J1365" s="612"/>
      <c r="K1365" s="612"/>
      <c r="L1365" s="613"/>
      <c r="M1365" s="613"/>
      <c r="N1365" s="613"/>
      <c r="O1365" s="616"/>
      <c r="P1365" s="613"/>
      <c r="Q1365" s="613"/>
      <c r="R1365" s="613"/>
      <c r="S1365" s="613"/>
      <c r="T1365" s="613"/>
      <c r="U1365" s="613"/>
      <c r="V1365" s="523"/>
      <c r="W1365" s="613"/>
      <c r="X1365" s="613"/>
      <c r="Y1365" s="613"/>
      <c r="Z1365" s="523"/>
      <c r="AA1365" s="613"/>
      <c r="AB1365" s="523"/>
      <c r="AC1365" s="523"/>
    </row>
    <row r="1366">
      <c r="A1366" s="613"/>
      <c r="B1366" s="612"/>
      <c r="C1366" s="613"/>
      <c r="D1366" s="613"/>
      <c r="E1366" s="613"/>
      <c r="F1366" s="613"/>
      <c r="G1366" s="613"/>
      <c r="H1366" s="613"/>
      <c r="I1366" s="523"/>
      <c r="J1366" s="612"/>
      <c r="K1366" s="612"/>
      <c r="L1366" s="613"/>
      <c r="M1366" s="613"/>
      <c r="N1366" s="613"/>
      <c r="O1366" s="616"/>
      <c r="P1366" s="613"/>
      <c r="Q1366" s="613"/>
      <c r="R1366" s="613"/>
      <c r="S1366" s="613"/>
      <c r="T1366" s="613"/>
      <c r="U1366" s="613"/>
      <c r="V1366" s="523"/>
      <c r="W1366" s="613"/>
      <c r="X1366" s="613"/>
      <c r="Y1366" s="613"/>
      <c r="Z1366" s="523"/>
      <c r="AA1366" s="613"/>
      <c r="AB1366" s="523"/>
      <c r="AC1366" s="523"/>
    </row>
    <row r="1367">
      <c r="A1367" s="613"/>
      <c r="B1367" s="612"/>
      <c r="C1367" s="613"/>
      <c r="D1367" s="613"/>
      <c r="E1367" s="613"/>
      <c r="F1367" s="613"/>
      <c r="G1367" s="613"/>
      <c r="H1367" s="613"/>
      <c r="I1367" s="523"/>
      <c r="J1367" s="612"/>
      <c r="K1367" s="612"/>
      <c r="L1367" s="613"/>
      <c r="M1367" s="613"/>
      <c r="N1367" s="613"/>
      <c r="O1367" s="616"/>
      <c r="P1367" s="613"/>
      <c r="Q1367" s="613"/>
      <c r="R1367" s="613"/>
      <c r="S1367" s="613"/>
      <c r="T1367" s="613"/>
      <c r="U1367" s="613"/>
      <c r="V1367" s="523"/>
      <c r="W1367" s="613"/>
      <c r="X1367" s="613"/>
      <c r="Y1367" s="613"/>
      <c r="Z1367" s="523"/>
      <c r="AA1367" s="613"/>
      <c r="AB1367" s="523"/>
      <c r="AC1367" s="523"/>
    </row>
    <row r="1368">
      <c r="A1368" s="613"/>
      <c r="B1368" s="612"/>
      <c r="C1368" s="613"/>
      <c r="D1368" s="613"/>
      <c r="E1368" s="613"/>
      <c r="F1368" s="613"/>
      <c r="G1368" s="613"/>
      <c r="H1368" s="613"/>
      <c r="I1368" s="523"/>
      <c r="J1368" s="612"/>
      <c r="K1368" s="612"/>
      <c r="L1368" s="613"/>
      <c r="M1368" s="613"/>
      <c r="N1368" s="613"/>
      <c r="O1368" s="616"/>
      <c r="P1368" s="613"/>
      <c r="Q1368" s="613"/>
      <c r="R1368" s="613"/>
      <c r="S1368" s="613"/>
      <c r="T1368" s="613"/>
      <c r="U1368" s="613"/>
      <c r="V1368" s="523"/>
      <c r="W1368" s="613"/>
      <c r="X1368" s="613"/>
      <c r="Y1368" s="613"/>
      <c r="Z1368" s="523"/>
      <c r="AA1368" s="613"/>
      <c r="AB1368" s="523"/>
      <c r="AC1368" s="523"/>
    </row>
    <row r="1369">
      <c r="A1369" s="613"/>
      <c r="B1369" s="612"/>
      <c r="C1369" s="613"/>
      <c r="D1369" s="613"/>
      <c r="E1369" s="613"/>
      <c r="F1369" s="613"/>
      <c r="G1369" s="613"/>
      <c r="H1369" s="613"/>
      <c r="I1369" s="523"/>
      <c r="J1369" s="612"/>
      <c r="K1369" s="612"/>
      <c r="L1369" s="613"/>
      <c r="M1369" s="613"/>
      <c r="N1369" s="613"/>
      <c r="O1369" s="616"/>
      <c r="P1369" s="613"/>
      <c r="Q1369" s="613"/>
      <c r="R1369" s="613"/>
      <c r="S1369" s="613"/>
      <c r="T1369" s="613"/>
      <c r="U1369" s="613"/>
      <c r="V1369" s="523"/>
      <c r="W1369" s="613"/>
      <c r="X1369" s="613"/>
      <c r="Y1369" s="613"/>
      <c r="Z1369" s="523"/>
      <c r="AA1369" s="613"/>
      <c r="AB1369" s="523"/>
      <c r="AC1369" s="523"/>
    </row>
    <row r="1370">
      <c r="A1370" s="613"/>
      <c r="B1370" s="612"/>
      <c r="C1370" s="613"/>
      <c r="D1370" s="613"/>
      <c r="E1370" s="613"/>
      <c r="F1370" s="613"/>
      <c r="G1370" s="613"/>
      <c r="H1370" s="613"/>
      <c r="I1370" s="523"/>
      <c r="J1370" s="612"/>
      <c r="K1370" s="612"/>
      <c r="L1370" s="613"/>
      <c r="M1370" s="613"/>
      <c r="N1370" s="613"/>
      <c r="O1370" s="616"/>
      <c r="P1370" s="613"/>
      <c r="Q1370" s="613"/>
      <c r="R1370" s="613"/>
      <c r="S1370" s="613"/>
      <c r="T1370" s="613"/>
      <c r="U1370" s="613"/>
      <c r="V1370" s="523"/>
      <c r="W1370" s="613"/>
      <c r="X1370" s="613"/>
      <c r="Y1370" s="613"/>
      <c r="Z1370" s="523"/>
      <c r="AA1370" s="613"/>
      <c r="AB1370" s="523"/>
      <c r="AC1370" s="523"/>
    </row>
    <row r="1371">
      <c r="A1371" s="613"/>
      <c r="B1371" s="612"/>
      <c r="C1371" s="613"/>
      <c r="D1371" s="613"/>
      <c r="E1371" s="613"/>
      <c r="F1371" s="613"/>
      <c r="G1371" s="613"/>
      <c r="H1371" s="613"/>
      <c r="I1371" s="523"/>
      <c r="J1371" s="612"/>
      <c r="K1371" s="612"/>
      <c r="L1371" s="613"/>
      <c r="M1371" s="613"/>
      <c r="N1371" s="613"/>
      <c r="O1371" s="616"/>
      <c r="P1371" s="613"/>
      <c r="Q1371" s="613"/>
      <c r="R1371" s="613"/>
      <c r="S1371" s="613"/>
      <c r="T1371" s="613"/>
      <c r="U1371" s="613"/>
      <c r="V1371" s="523"/>
      <c r="W1371" s="613"/>
      <c r="X1371" s="613"/>
      <c r="Y1371" s="613"/>
      <c r="Z1371" s="523"/>
      <c r="AA1371" s="613"/>
      <c r="AB1371" s="523"/>
      <c r="AC1371" s="523"/>
    </row>
    <row r="1372">
      <c r="A1372" s="613"/>
      <c r="B1372" s="612"/>
      <c r="C1372" s="613"/>
      <c r="D1372" s="613"/>
      <c r="E1372" s="613"/>
      <c r="F1372" s="613"/>
      <c r="G1372" s="613"/>
      <c r="H1372" s="613"/>
      <c r="I1372" s="523"/>
      <c r="J1372" s="612"/>
      <c r="K1372" s="612"/>
      <c r="L1372" s="613"/>
      <c r="M1372" s="613"/>
      <c r="N1372" s="613"/>
      <c r="O1372" s="616"/>
      <c r="P1372" s="613"/>
      <c r="Q1372" s="613"/>
      <c r="R1372" s="613"/>
      <c r="S1372" s="613"/>
      <c r="T1372" s="613"/>
      <c r="U1372" s="613"/>
      <c r="V1372" s="523"/>
      <c r="W1372" s="613"/>
      <c r="X1372" s="613"/>
      <c r="Y1372" s="613"/>
      <c r="Z1372" s="523"/>
      <c r="AA1372" s="613"/>
      <c r="AB1372" s="523"/>
      <c r="AC1372" s="523"/>
    </row>
    <row r="1373">
      <c r="A1373" s="613"/>
      <c r="B1373" s="612"/>
      <c r="C1373" s="613"/>
      <c r="D1373" s="613"/>
      <c r="E1373" s="613"/>
      <c r="F1373" s="613"/>
      <c r="G1373" s="613"/>
      <c r="H1373" s="613"/>
      <c r="I1373" s="523"/>
      <c r="J1373" s="612"/>
      <c r="K1373" s="612"/>
      <c r="L1373" s="613"/>
      <c r="M1373" s="613"/>
      <c r="N1373" s="613"/>
      <c r="O1373" s="616"/>
      <c r="P1373" s="613"/>
      <c r="Q1373" s="613"/>
      <c r="R1373" s="613"/>
      <c r="S1373" s="613"/>
      <c r="T1373" s="613"/>
      <c r="U1373" s="613"/>
      <c r="V1373" s="523"/>
      <c r="W1373" s="613"/>
      <c r="X1373" s="613"/>
      <c r="Y1373" s="613"/>
      <c r="Z1373" s="523"/>
      <c r="AA1373" s="613"/>
      <c r="AB1373" s="523"/>
      <c r="AC1373" s="523"/>
    </row>
    <row r="1374">
      <c r="A1374" s="613"/>
      <c r="B1374" s="612"/>
      <c r="C1374" s="613"/>
      <c r="D1374" s="613"/>
      <c r="E1374" s="613"/>
      <c r="F1374" s="613"/>
      <c r="G1374" s="613"/>
      <c r="H1374" s="613"/>
      <c r="I1374" s="523"/>
      <c r="J1374" s="612"/>
      <c r="K1374" s="612"/>
      <c r="L1374" s="613"/>
      <c r="M1374" s="613"/>
      <c r="N1374" s="613"/>
      <c r="O1374" s="616"/>
      <c r="P1374" s="613"/>
      <c r="Q1374" s="613"/>
      <c r="R1374" s="613"/>
      <c r="S1374" s="613"/>
      <c r="T1374" s="613"/>
      <c r="U1374" s="613"/>
      <c r="V1374" s="523"/>
      <c r="W1374" s="613"/>
      <c r="X1374" s="613"/>
      <c r="Y1374" s="613"/>
      <c r="Z1374" s="523"/>
      <c r="AA1374" s="613"/>
      <c r="AB1374" s="523"/>
      <c r="AC1374" s="523"/>
    </row>
    <row r="1375">
      <c r="A1375" s="613"/>
      <c r="B1375" s="612"/>
      <c r="C1375" s="613"/>
      <c r="D1375" s="613"/>
      <c r="E1375" s="613"/>
      <c r="F1375" s="613"/>
      <c r="G1375" s="613"/>
      <c r="H1375" s="613"/>
      <c r="I1375" s="523"/>
      <c r="J1375" s="612"/>
      <c r="K1375" s="612"/>
      <c r="L1375" s="613"/>
      <c r="M1375" s="613"/>
      <c r="N1375" s="613"/>
      <c r="O1375" s="616"/>
      <c r="P1375" s="613"/>
      <c r="Q1375" s="613"/>
      <c r="R1375" s="613"/>
      <c r="S1375" s="613"/>
      <c r="T1375" s="613"/>
      <c r="U1375" s="613"/>
      <c r="V1375" s="523"/>
      <c r="W1375" s="613"/>
      <c r="X1375" s="613"/>
      <c r="Y1375" s="613"/>
      <c r="Z1375" s="523"/>
      <c r="AA1375" s="613"/>
      <c r="AB1375" s="523"/>
      <c r="AC1375" s="523"/>
    </row>
    <row r="1376">
      <c r="A1376" s="613"/>
      <c r="B1376" s="612"/>
      <c r="C1376" s="613"/>
      <c r="D1376" s="613"/>
      <c r="E1376" s="613"/>
      <c r="F1376" s="613"/>
      <c r="G1376" s="613"/>
      <c r="H1376" s="613"/>
      <c r="I1376" s="523"/>
      <c r="J1376" s="612"/>
      <c r="K1376" s="612"/>
      <c r="L1376" s="613"/>
      <c r="M1376" s="613"/>
      <c r="N1376" s="613"/>
      <c r="O1376" s="616"/>
      <c r="P1376" s="613"/>
      <c r="Q1376" s="613"/>
      <c r="R1376" s="613"/>
      <c r="S1376" s="613"/>
      <c r="T1376" s="613"/>
      <c r="U1376" s="613"/>
      <c r="V1376" s="523"/>
      <c r="W1376" s="613"/>
      <c r="X1376" s="613"/>
      <c r="Y1376" s="613"/>
      <c r="Z1376" s="523"/>
      <c r="AA1376" s="613"/>
      <c r="AB1376" s="523"/>
      <c r="AC1376" s="523"/>
    </row>
    <row r="1377">
      <c r="A1377" s="613"/>
      <c r="B1377" s="612"/>
      <c r="C1377" s="613"/>
      <c r="D1377" s="613"/>
      <c r="E1377" s="613"/>
      <c r="F1377" s="613"/>
      <c r="G1377" s="613"/>
      <c r="H1377" s="613"/>
      <c r="I1377" s="523"/>
      <c r="J1377" s="612"/>
      <c r="K1377" s="612"/>
      <c r="L1377" s="613"/>
      <c r="M1377" s="613"/>
      <c r="N1377" s="613"/>
      <c r="O1377" s="616"/>
      <c r="P1377" s="613"/>
      <c r="Q1377" s="613"/>
      <c r="R1377" s="613"/>
      <c r="S1377" s="613"/>
      <c r="T1377" s="613"/>
      <c r="U1377" s="613"/>
      <c r="V1377" s="523"/>
      <c r="W1377" s="613"/>
      <c r="X1377" s="613"/>
      <c r="Y1377" s="613"/>
      <c r="Z1377" s="523"/>
      <c r="AA1377" s="613"/>
      <c r="AB1377" s="523"/>
      <c r="AC1377" s="523"/>
    </row>
    <row r="1378">
      <c r="A1378" s="613"/>
      <c r="B1378" s="612"/>
      <c r="C1378" s="613"/>
      <c r="D1378" s="613"/>
      <c r="E1378" s="613"/>
      <c r="F1378" s="613"/>
      <c r="G1378" s="613"/>
      <c r="H1378" s="613"/>
      <c r="I1378" s="523"/>
      <c r="J1378" s="612"/>
      <c r="K1378" s="612"/>
      <c r="L1378" s="613"/>
      <c r="M1378" s="613"/>
      <c r="N1378" s="613"/>
      <c r="O1378" s="616"/>
      <c r="P1378" s="613"/>
      <c r="Q1378" s="613"/>
      <c r="R1378" s="613"/>
      <c r="S1378" s="613"/>
      <c r="T1378" s="613"/>
      <c r="U1378" s="613"/>
      <c r="V1378" s="523"/>
      <c r="W1378" s="613"/>
      <c r="X1378" s="613"/>
      <c r="Y1378" s="613"/>
      <c r="Z1378" s="523"/>
      <c r="AA1378" s="613"/>
      <c r="AB1378" s="523"/>
      <c r="AC1378" s="523"/>
    </row>
    <row r="1379">
      <c r="A1379" s="613"/>
      <c r="B1379" s="612"/>
      <c r="C1379" s="613"/>
      <c r="D1379" s="613"/>
      <c r="E1379" s="613"/>
      <c r="F1379" s="613"/>
      <c r="G1379" s="613"/>
      <c r="H1379" s="613"/>
      <c r="I1379" s="523"/>
      <c r="J1379" s="612"/>
      <c r="K1379" s="612"/>
      <c r="L1379" s="613"/>
      <c r="M1379" s="613"/>
      <c r="N1379" s="613"/>
      <c r="O1379" s="616"/>
      <c r="P1379" s="613"/>
      <c r="Q1379" s="613"/>
      <c r="R1379" s="613"/>
      <c r="S1379" s="613"/>
      <c r="T1379" s="613"/>
      <c r="U1379" s="613"/>
      <c r="V1379" s="523"/>
      <c r="W1379" s="613"/>
      <c r="X1379" s="613"/>
      <c r="Y1379" s="613"/>
      <c r="Z1379" s="523"/>
      <c r="AA1379" s="613"/>
      <c r="AB1379" s="523"/>
      <c r="AC1379" s="523"/>
    </row>
    <row r="1380">
      <c r="A1380" s="613"/>
      <c r="B1380" s="612"/>
      <c r="C1380" s="613"/>
      <c r="D1380" s="613"/>
      <c r="E1380" s="613"/>
      <c r="F1380" s="613"/>
      <c r="G1380" s="613"/>
      <c r="H1380" s="613"/>
      <c r="I1380" s="523"/>
      <c r="J1380" s="612"/>
      <c r="K1380" s="612"/>
      <c r="L1380" s="613"/>
      <c r="M1380" s="613"/>
      <c r="N1380" s="613"/>
      <c r="O1380" s="616"/>
      <c r="P1380" s="613"/>
      <c r="Q1380" s="613"/>
      <c r="R1380" s="613"/>
      <c r="S1380" s="613"/>
      <c r="T1380" s="613"/>
      <c r="U1380" s="613"/>
      <c r="V1380" s="523"/>
      <c r="W1380" s="613"/>
      <c r="X1380" s="613"/>
      <c r="Y1380" s="613"/>
      <c r="Z1380" s="523"/>
      <c r="AA1380" s="613"/>
      <c r="AB1380" s="523"/>
      <c r="AC1380" s="523"/>
    </row>
    <row r="1381">
      <c r="A1381" s="613"/>
      <c r="B1381" s="612"/>
      <c r="C1381" s="613"/>
      <c r="D1381" s="613"/>
      <c r="E1381" s="613"/>
      <c r="F1381" s="613"/>
      <c r="G1381" s="613"/>
      <c r="H1381" s="613"/>
      <c r="I1381" s="523"/>
      <c r="J1381" s="612"/>
      <c r="K1381" s="612"/>
      <c r="L1381" s="613"/>
      <c r="M1381" s="613"/>
      <c r="N1381" s="613"/>
      <c r="O1381" s="616"/>
      <c r="P1381" s="613"/>
      <c r="Q1381" s="613"/>
      <c r="R1381" s="613"/>
      <c r="S1381" s="613"/>
      <c r="T1381" s="613"/>
      <c r="U1381" s="613"/>
      <c r="V1381" s="523"/>
      <c r="W1381" s="613"/>
      <c r="X1381" s="613"/>
      <c r="Y1381" s="613"/>
      <c r="Z1381" s="523"/>
      <c r="AA1381" s="613"/>
      <c r="AB1381" s="523"/>
      <c r="AC1381" s="523"/>
    </row>
    <row r="1382">
      <c r="A1382" s="613"/>
      <c r="B1382" s="612"/>
      <c r="C1382" s="613"/>
      <c r="D1382" s="613"/>
      <c r="E1382" s="613"/>
      <c r="F1382" s="613"/>
      <c r="G1382" s="613"/>
      <c r="H1382" s="613"/>
      <c r="I1382" s="523"/>
      <c r="J1382" s="612"/>
      <c r="K1382" s="612"/>
      <c r="L1382" s="613"/>
      <c r="M1382" s="613"/>
      <c r="N1382" s="613"/>
      <c r="O1382" s="616"/>
      <c r="P1382" s="613"/>
      <c r="Q1382" s="613"/>
      <c r="R1382" s="613"/>
      <c r="S1382" s="613"/>
      <c r="T1382" s="613"/>
      <c r="U1382" s="613"/>
      <c r="V1382" s="523"/>
      <c r="W1382" s="613"/>
      <c r="X1382" s="613"/>
      <c r="Y1382" s="613"/>
      <c r="Z1382" s="523"/>
      <c r="AA1382" s="613"/>
      <c r="AB1382" s="523"/>
      <c r="AC1382" s="523"/>
    </row>
    <row r="1383">
      <c r="A1383" s="613"/>
      <c r="B1383" s="612"/>
      <c r="C1383" s="613"/>
      <c r="D1383" s="613"/>
      <c r="E1383" s="613"/>
      <c r="F1383" s="613"/>
      <c r="G1383" s="613"/>
      <c r="H1383" s="613"/>
      <c r="I1383" s="523"/>
      <c r="J1383" s="612"/>
      <c r="K1383" s="612"/>
      <c r="L1383" s="613"/>
      <c r="M1383" s="613"/>
      <c r="N1383" s="613"/>
      <c r="O1383" s="616"/>
      <c r="P1383" s="613"/>
      <c r="Q1383" s="613"/>
      <c r="R1383" s="613"/>
      <c r="S1383" s="613"/>
      <c r="T1383" s="613"/>
      <c r="U1383" s="613"/>
      <c r="V1383" s="523"/>
      <c r="W1383" s="613"/>
      <c r="X1383" s="613"/>
      <c r="Y1383" s="613"/>
      <c r="Z1383" s="523"/>
      <c r="AA1383" s="613"/>
      <c r="AB1383" s="523"/>
      <c r="AC1383" s="523"/>
    </row>
    <row r="1384">
      <c r="A1384" s="613"/>
      <c r="B1384" s="612"/>
      <c r="C1384" s="613"/>
      <c r="D1384" s="613"/>
      <c r="E1384" s="613"/>
      <c r="F1384" s="613"/>
      <c r="G1384" s="613"/>
      <c r="H1384" s="613"/>
      <c r="I1384" s="523"/>
      <c r="J1384" s="612"/>
      <c r="K1384" s="612"/>
      <c r="L1384" s="613"/>
      <c r="M1384" s="613"/>
      <c r="N1384" s="613"/>
      <c r="O1384" s="616"/>
      <c r="P1384" s="613"/>
      <c r="Q1384" s="613"/>
      <c r="R1384" s="613"/>
      <c r="S1384" s="613"/>
      <c r="T1384" s="613"/>
      <c r="U1384" s="613"/>
      <c r="V1384" s="523"/>
      <c r="W1384" s="613"/>
      <c r="X1384" s="613"/>
      <c r="Y1384" s="613"/>
      <c r="Z1384" s="523"/>
      <c r="AA1384" s="613"/>
      <c r="AB1384" s="523"/>
      <c r="AC1384" s="523"/>
    </row>
    <row r="1385">
      <c r="A1385" s="613"/>
      <c r="B1385" s="612"/>
      <c r="C1385" s="613"/>
      <c r="D1385" s="613"/>
      <c r="E1385" s="613"/>
      <c r="F1385" s="613"/>
      <c r="G1385" s="613"/>
      <c r="H1385" s="613"/>
      <c r="I1385" s="523"/>
      <c r="J1385" s="612"/>
      <c r="K1385" s="612"/>
      <c r="L1385" s="613"/>
      <c r="M1385" s="613"/>
      <c r="N1385" s="613"/>
      <c r="O1385" s="616"/>
      <c r="P1385" s="613"/>
      <c r="Q1385" s="613"/>
      <c r="R1385" s="613"/>
      <c r="S1385" s="613"/>
      <c r="T1385" s="613"/>
      <c r="U1385" s="613"/>
      <c r="V1385" s="523"/>
      <c r="W1385" s="613"/>
      <c r="X1385" s="613"/>
      <c r="Y1385" s="613"/>
      <c r="Z1385" s="523"/>
      <c r="AA1385" s="613"/>
      <c r="AB1385" s="523"/>
      <c r="AC1385" s="523"/>
    </row>
    <row r="1386">
      <c r="A1386" s="613"/>
      <c r="B1386" s="612"/>
      <c r="C1386" s="613"/>
      <c r="D1386" s="613"/>
      <c r="E1386" s="613"/>
      <c r="F1386" s="613"/>
      <c r="G1386" s="613"/>
      <c r="H1386" s="613"/>
      <c r="I1386" s="523"/>
      <c r="J1386" s="612"/>
      <c r="K1386" s="612"/>
      <c r="L1386" s="613"/>
      <c r="M1386" s="613"/>
      <c r="N1386" s="613"/>
      <c r="O1386" s="616"/>
      <c r="P1386" s="613"/>
      <c r="Q1386" s="613"/>
      <c r="R1386" s="613"/>
      <c r="S1386" s="613"/>
      <c r="T1386" s="613"/>
      <c r="U1386" s="613"/>
      <c r="V1386" s="523"/>
      <c r="W1386" s="613"/>
      <c r="X1386" s="613"/>
      <c r="Y1386" s="613"/>
      <c r="Z1386" s="523"/>
      <c r="AA1386" s="613"/>
      <c r="AB1386" s="523"/>
      <c r="AC1386" s="523"/>
    </row>
    <row r="1387">
      <c r="A1387" s="613"/>
      <c r="B1387" s="612"/>
      <c r="C1387" s="613"/>
      <c r="D1387" s="613"/>
      <c r="E1387" s="613"/>
      <c r="F1387" s="613"/>
      <c r="G1387" s="613"/>
      <c r="H1387" s="613"/>
      <c r="I1387" s="523"/>
      <c r="J1387" s="612"/>
      <c r="K1387" s="612"/>
      <c r="L1387" s="613"/>
      <c r="M1387" s="613"/>
      <c r="N1387" s="613"/>
      <c r="O1387" s="616"/>
      <c r="P1387" s="613"/>
      <c r="Q1387" s="613"/>
      <c r="R1387" s="613"/>
      <c r="S1387" s="613"/>
      <c r="T1387" s="613"/>
      <c r="U1387" s="613"/>
      <c r="V1387" s="523"/>
      <c r="W1387" s="613"/>
      <c r="X1387" s="613"/>
      <c r="Y1387" s="613"/>
      <c r="Z1387" s="523"/>
      <c r="AA1387" s="613"/>
      <c r="AB1387" s="523"/>
      <c r="AC1387" s="523"/>
    </row>
    <row r="1388">
      <c r="A1388" s="613"/>
      <c r="B1388" s="612"/>
      <c r="C1388" s="613"/>
      <c r="D1388" s="613"/>
      <c r="E1388" s="613"/>
      <c r="F1388" s="613"/>
      <c r="G1388" s="613"/>
      <c r="H1388" s="613"/>
      <c r="I1388" s="523"/>
      <c r="J1388" s="612"/>
      <c r="K1388" s="612"/>
      <c r="L1388" s="613"/>
      <c r="M1388" s="613"/>
      <c r="N1388" s="613"/>
      <c r="O1388" s="616"/>
      <c r="P1388" s="613"/>
      <c r="Q1388" s="613"/>
      <c r="R1388" s="613"/>
      <c r="S1388" s="613"/>
      <c r="T1388" s="613"/>
      <c r="U1388" s="613"/>
      <c r="V1388" s="523"/>
      <c r="W1388" s="613"/>
      <c r="X1388" s="613"/>
      <c r="Y1388" s="613"/>
      <c r="Z1388" s="523"/>
      <c r="AA1388" s="613"/>
      <c r="AB1388" s="523"/>
      <c r="AC1388" s="523"/>
    </row>
    <row r="1389">
      <c r="A1389" s="613"/>
      <c r="B1389" s="612"/>
      <c r="C1389" s="613"/>
      <c r="D1389" s="613"/>
      <c r="E1389" s="613"/>
      <c r="F1389" s="613"/>
      <c r="G1389" s="613"/>
      <c r="H1389" s="613"/>
      <c r="I1389" s="523"/>
      <c r="J1389" s="612"/>
      <c r="K1389" s="612"/>
      <c r="L1389" s="613"/>
      <c r="M1389" s="613"/>
      <c r="N1389" s="613"/>
      <c r="O1389" s="616"/>
      <c r="P1389" s="613"/>
      <c r="Q1389" s="613"/>
      <c r="R1389" s="613"/>
      <c r="S1389" s="613"/>
      <c r="T1389" s="613"/>
      <c r="U1389" s="613"/>
      <c r="V1389" s="523"/>
      <c r="W1389" s="613"/>
      <c r="X1389" s="613"/>
      <c r="Y1389" s="613"/>
      <c r="Z1389" s="523"/>
      <c r="AA1389" s="613"/>
      <c r="AB1389" s="523"/>
      <c r="AC1389" s="523"/>
    </row>
    <row r="1390">
      <c r="A1390" s="613"/>
      <c r="B1390" s="612"/>
      <c r="C1390" s="613"/>
      <c r="D1390" s="613"/>
      <c r="E1390" s="613"/>
      <c r="F1390" s="613"/>
      <c r="G1390" s="613"/>
      <c r="H1390" s="613"/>
      <c r="I1390" s="523"/>
      <c r="J1390" s="612"/>
      <c r="K1390" s="612"/>
      <c r="L1390" s="613"/>
      <c r="M1390" s="613"/>
      <c r="N1390" s="613"/>
      <c r="O1390" s="616"/>
      <c r="P1390" s="613"/>
      <c r="Q1390" s="613"/>
      <c r="R1390" s="613"/>
      <c r="S1390" s="613"/>
      <c r="T1390" s="613"/>
      <c r="U1390" s="613"/>
      <c r="V1390" s="523"/>
      <c r="W1390" s="613"/>
      <c r="X1390" s="613"/>
      <c r="Y1390" s="613"/>
      <c r="Z1390" s="523"/>
      <c r="AA1390" s="613"/>
      <c r="AB1390" s="523"/>
      <c r="AC1390" s="523"/>
    </row>
    <row r="1391">
      <c r="A1391" s="613"/>
      <c r="B1391" s="612"/>
      <c r="C1391" s="613"/>
      <c r="D1391" s="613"/>
      <c r="E1391" s="613"/>
      <c r="F1391" s="613"/>
      <c r="G1391" s="613"/>
      <c r="H1391" s="613"/>
      <c r="I1391" s="523"/>
      <c r="J1391" s="612"/>
      <c r="K1391" s="612"/>
      <c r="L1391" s="613"/>
      <c r="M1391" s="613"/>
      <c r="N1391" s="613"/>
      <c r="O1391" s="616"/>
      <c r="P1391" s="613"/>
      <c r="Q1391" s="613"/>
      <c r="R1391" s="613"/>
      <c r="S1391" s="613"/>
      <c r="T1391" s="613"/>
      <c r="U1391" s="613"/>
      <c r="V1391" s="523"/>
      <c r="W1391" s="613"/>
      <c r="X1391" s="613"/>
      <c r="Y1391" s="613"/>
      <c r="Z1391" s="523"/>
      <c r="AA1391" s="613"/>
      <c r="AB1391" s="523"/>
      <c r="AC1391" s="523"/>
    </row>
    <row r="1392">
      <c r="A1392" s="613"/>
      <c r="B1392" s="612"/>
      <c r="C1392" s="613"/>
      <c r="D1392" s="613"/>
      <c r="E1392" s="613"/>
      <c r="F1392" s="613"/>
      <c r="G1392" s="613"/>
      <c r="H1392" s="613"/>
      <c r="I1392" s="523"/>
      <c r="J1392" s="612"/>
      <c r="K1392" s="612"/>
      <c r="L1392" s="613"/>
      <c r="M1392" s="613"/>
      <c r="N1392" s="613"/>
      <c r="O1392" s="616"/>
      <c r="P1392" s="613"/>
      <c r="Q1392" s="613"/>
      <c r="R1392" s="613"/>
      <c r="S1392" s="613"/>
      <c r="T1392" s="613"/>
      <c r="U1392" s="613"/>
      <c r="V1392" s="523"/>
      <c r="W1392" s="613"/>
      <c r="X1392" s="613"/>
      <c r="Y1392" s="613"/>
      <c r="Z1392" s="523"/>
      <c r="AA1392" s="613"/>
      <c r="AB1392" s="523"/>
      <c r="AC1392" s="523"/>
    </row>
    <row r="1393">
      <c r="A1393" s="613"/>
      <c r="B1393" s="612"/>
      <c r="C1393" s="613"/>
      <c r="D1393" s="613"/>
      <c r="E1393" s="613"/>
      <c r="F1393" s="613"/>
      <c r="G1393" s="613"/>
      <c r="H1393" s="613"/>
      <c r="I1393" s="523"/>
      <c r="J1393" s="612"/>
      <c r="K1393" s="612"/>
      <c r="L1393" s="613"/>
      <c r="M1393" s="613"/>
      <c r="N1393" s="613"/>
      <c r="O1393" s="616"/>
      <c r="P1393" s="613"/>
      <c r="Q1393" s="613"/>
      <c r="R1393" s="613"/>
      <c r="S1393" s="613"/>
      <c r="T1393" s="613"/>
      <c r="U1393" s="613"/>
      <c r="V1393" s="523"/>
      <c r="W1393" s="613"/>
      <c r="X1393" s="613"/>
      <c r="Y1393" s="613"/>
      <c r="Z1393" s="523"/>
      <c r="AA1393" s="613"/>
      <c r="AB1393" s="523"/>
      <c r="AC1393" s="523"/>
    </row>
    <row r="1394">
      <c r="A1394" s="613"/>
      <c r="B1394" s="612"/>
      <c r="C1394" s="613"/>
      <c r="D1394" s="613"/>
      <c r="E1394" s="613"/>
      <c r="F1394" s="613"/>
      <c r="G1394" s="613"/>
      <c r="H1394" s="613"/>
      <c r="I1394" s="523"/>
      <c r="J1394" s="612"/>
      <c r="K1394" s="612"/>
      <c r="L1394" s="613"/>
      <c r="M1394" s="613"/>
      <c r="N1394" s="613"/>
      <c r="O1394" s="616"/>
      <c r="P1394" s="613"/>
      <c r="Q1394" s="613"/>
      <c r="R1394" s="613"/>
      <c r="S1394" s="613"/>
      <c r="T1394" s="613"/>
      <c r="U1394" s="613"/>
      <c r="V1394" s="523"/>
      <c r="W1394" s="613"/>
      <c r="X1394" s="613"/>
      <c r="Y1394" s="613"/>
      <c r="Z1394" s="523"/>
      <c r="AA1394" s="613"/>
      <c r="AB1394" s="523"/>
      <c r="AC1394" s="523"/>
    </row>
    <row r="1395">
      <c r="A1395" s="613"/>
      <c r="B1395" s="612"/>
      <c r="C1395" s="613"/>
      <c r="D1395" s="613"/>
      <c r="E1395" s="613"/>
      <c r="F1395" s="613"/>
      <c r="G1395" s="613"/>
      <c r="H1395" s="613"/>
      <c r="I1395" s="523"/>
      <c r="J1395" s="612"/>
      <c r="K1395" s="612"/>
      <c r="L1395" s="613"/>
      <c r="M1395" s="613"/>
      <c r="N1395" s="613"/>
      <c r="O1395" s="616"/>
      <c r="P1395" s="613"/>
      <c r="Q1395" s="613"/>
      <c r="R1395" s="613"/>
      <c r="S1395" s="613"/>
      <c r="T1395" s="613"/>
      <c r="U1395" s="613"/>
      <c r="V1395" s="523"/>
      <c r="W1395" s="613"/>
      <c r="X1395" s="613"/>
      <c r="Y1395" s="613"/>
      <c r="Z1395" s="523"/>
      <c r="AA1395" s="613"/>
      <c r="AB1395" s="523"/>
      <c r="AC1395" s="523"/>
    </row>
    <row r="1396">
      <c r="A1396" s="613"/>
      <c r="B1396" s="612"/>
      <c r="C1396" s="613"/>
      <c r="D1396" s="613"/>
      <c r="E1396" s="613"/>
      <c r="F1396" s="613"/>
      <c r="G1396" s="613"/>
      <c r="H1396" s="613"/>
      <c r="I1396" s="523"/>
      <c r="J1396" s="612"/>
      <c r="K1396" s="612"/>
      <c r="L1396" s="613"/>
      <c r="M1396" s="613"/>
      <c r="N1396" s="613"/>
      <c r="O1396" s="616"/>
      <c r="P1396" s="613"/>
      <c r="Q1396" s="613"/>
      <c r="R1396" s="613"/>
      <c r="S1396" s="613"/>
      <c r="T1396" s="613"/>
      <c r="U1396" s="613"/>
      <c r="V1396" s="523"/>
      <c r="W1396" s="613"/>
      <c r="X1396" s="613"/>
      <c r="Y1396" s="613"/>
      <c r="Z1396" s="523"/>
      <c r="AA1396" s="613"/>
      <c r="AB1396" s="523"/>
      <c r="AC1396" s="523"/>
    </row>
    <row r="1397">
      <c r="A1397" s="613"/>
      <c r="B1397" s="612"/>
      <c r="C1397" s="613"/>
      <c r="D1397" s="613"/>
      <c r="E1397" s="613"/>
      <c r="F1397" s="613"/>
      <c r="G1397" s="613"/>
      <c r="H1397" s="613"/>
      <c r="I1397" s="523"/>
      <c r="J1397" s="612"/>
      <c r="K1397" s="612"/>
      <c r="L1397" s="613"/>
      <c r="M1397" s="613"/>
      <c r="N1397" s="613"/>
      <c r="O1397" s="616"/>
      <c r="P1397" s="613"/>
      <c r="Q1397" s="613"/>
      <c r="R1397" s="613"/>
      <c r="S1397" s="613"/>
      <c r="T1397" s="613"/>
      <c r="U1397" s="613"/>
      <c r="V1397" s="523"/>
      <c r="W1397" s="613"/>
      <c r="X1397" s="613"/>
      <c r="Y1397" s="613"/>
      <c r="Z1397" s="523"/>
      <c r="AA1397" s="613"/>
      <c r="AB1397" s="523"/>
      <c r="AC1397" s="523"/>
    </row>
    <row r="1398">
      <c r="A1398" s="613"/>
      <c r="B1398" s="612"/>
      <c r="C1398" s="613"/>
      <c r="D1398" s="613"/>
      <c r="E1398" s="613"/>
      <c r="F1398" s="613"/>
      <c r="G1398" s="613"/>
      <c r="H1398" s="613"/>
      <c r="I1398" s="523"/>
      <c r="J1398" s="612"/>
      <c r="K1398" s="612"/>
      <c r="L1398" s="613"/>
      <c r="M1398" s="613"/>
      <c r="N1398" s="613"/>
      <c r="O1398" s="616"/>
      <c r="P1398" s="613"/>
      <c r="Q1398" s="613"/>
      <c r="R1398" s="613"/>
      <c r="S1398" s="613"/>
      <c r="T1398" s="613"/>
      <c r="U1398" s="613"/>
      <c r="V1398" s="523"/>
      <c r="W1398" s="613"/>
      <c r="X1398" s="613"/>
      <c r="Y1398" s="613"/>
      <c r="Z1398" s="523"/>
      <c r="AA1398" s="613"/>
      <c r="AB1398" s="523"/>
      <c r="AC1398" s="523"/>
    </row>
    <row r="1399">
      <c r="A1399" s="613"/>
      <c r="B1399" s="612"/>
      <c r="C1399" s="613"/>
      <c r="D1399" s="613"/>
      <c r="E1399" s="613"/>
      <c r="F1399" s="613"/>
      <c r="G1399" s="613"/>
      <c r="H1399" s="613"/>
      <c r="I1399" s="523"/>
      <c r="J1399" s="612"/>
      <c r="K1399" s="612"/>
      <c r="L1399" s="613"/>
      <c r="M1399" s="613"/>
      <c r="N1399" s="613"/>
      <c r="O1399" s="616"/>
      <c r="P1399" s="613"/>
      <c r="Q1399" s="613"/>
      <c r="R1399" s="613"/>
      <c r="S1399" s="613"/>
      <c r="T1399" s="613"/>
      <c r="U1399" s="613"/>
      <c r="V1399" s="523"/>
      <c r="W1399" s="613"/>
      <c r="X1399" s="613"/>
      <c r="Y1399" s="613"/>
      <c r="Z1399" s="523"/>
      <c r="AA1399" s="613"/>
      <c r="AB1399" s="523"/>
      <c r="AC1399" s="523"/>
    </row>
    <row r="1400">
      <c r="A1400" s="613"/>
      <c r="B1400" s="612"/>
      <c r="C1400" s="613"/>
      <c r="D1400" s="613"/>
      <c r="E1400" s="613"/>
      <c r="F1400" s="613"/>
      <c r="G1400" s="613"/>
      <c r="H1400" s="613"/>
      <c r="I1400" s="523"/>
      <c r="J1400" s="612"/>
      <c r="K1400" s="612"/>
      <c r="L1400" s="613"/>
      <c r="M1400" s="613"/>
      <c r="N1400" s="613"/>
      <c r="O1400" s="616"/>
      <c r="P1400" s="613"/>
      <c r="Q1400" s="613"/>
      <c r="R1400" s="613"/>
      <c r="S1400" s="613"/>
      <c r="T1400" s="613"/>
      <c r="U1400" s="613"/>
      <c r="V1400" s="523"/>
      <c r="W1400" s="613"/>
      <c r="X1400" s="613"/>
      <c r="Y1400" s="613"/>
      <c r="Z1400" s="523"/>
      <c r="AA1400" s="613"/>
      <c r="AB1400" s="523"/>
      <c r="AC1400" s="523"/>
    </row>
    <row r="1401">
      <c r="A1401" s="613"/>
      <c r="B1401" s="612"/>
      <c r="C1401" s="613"/>
      <c r="D1401" s="613"/>
      <c r="E1401" s="613"/>
      <c r="F1401" s="613"/>
      <c r="G1401" s="613"/>
      <c r="H1401" s="613"/>
      <c r="I1401" s="523"/>
      <c r="J1401" s="612"/>
      <c r="K1401" s="612"/>
      <c r="L1401" s="613"/>
      <c r="M1401" s="613"/>
      <c r="N1401" s="613"/>
      <c r="O1401" s="616"/>
      <c r="P1401" s="613"/>
      <c r="Q1401" s="613"/>
      <c r="R1401" s="613"/>
      <c r="S1401" s="613"/>
      <c r="T1401" s="613"/>
      <c r="U1401" s="613"/>
      <c r="V1401" s="523"/>
      <c r="W1401" s="613"/>
      <c r="X1401" s="613"/>
      <c r="Y1401" s="613"/>
      <c r="Z1401" s="523"/>
      <c r="AA1401" s="613"/>
      <c r="AB1401" s="523"/>
      <c r="AC1401" s="523"/>
    </row>
    <row r="1402">
      <c r="A1402" s="613"/>
      <c r="B1402" s="612"/>
      <c r="C1402" s="613"/>
      <c r="D1402" s="613"/>
      <c r="E1402" s="613"/>
      <c r="F1402" s="613"/>
      <c r="G1402" s="613"/>
      <c r="H1402" s="613"/>
      <c r="I1402" s="523"/>
      <c r="J1402" s="612"/>
      <c r="K1402" s="612"/>
      <c r="L1402" s="613"/>
      <c r="M1402" s="613"/>
      <c r="N1402" s="613"/>
      <c r="O1402" s="616"/>
      <c r="P1402" s="613"/>
      <c r="Q1402" s="613"/>
      <c r="R1402" s="613"/>
      <c r="S1402" s="613"/>
      <c r="T1402" s="613"/>
      <c r="U1402" s="613"/>
      <c r="V1402" s="523"/>
      <c r="W1402" s="613"/>
      <c r="X1402" s="613"/>
      <c r="Y1402" s="613"/>
      <c r="Z1402" s="523"/>
      <c r="AA1402" s="613"/>
      <c r="AB1402" s="523"/>
      <c r="AC1402" s="523"/>
    </row>
    <row r="1403">
      <c r="A1403" s="613"/>
      <c r="B1403" s="612"/>
      <c r="C1403" s="613"/>
      <c r="D1403" s="613"/>
      <c r="E1403" s="613"/>
      <c r="F1403" s="613"/>
      <c r="G1403" s="613"/>
      <c r="H1403" s="613"/>
      <c r="I1403" s="523"/>
      <c r="J1403" s="612"/>
      <c r="K1403" s="612"/>
      <c r="L1403" s="613"/>
      <c r="M1403" s="613"/>
      <c r="N1403" s="613"/>
      <c r="O1403" s="616"/>
      <c r="P1403" s="613"/>
      <c r="Q1403" s="613"/>
      <c r="R1403" s="613"/>
      <c r="S1403" s="613"/>
      <c r="T1403" s="613"/>
      <c r="U1403" s="613"/>
      <c r="V1403" s="523"/>
      <c r="W1403" s="613"/>
      <c r="X1403" s="613"/>
      <c r="Y1403" s="613"/>
      <c r="Z1403" s="523"/>
      <c r="AA1403" s="613"/>
      <c r="AB1403" s="523"/>
      <c r="AC1403" s="523"/>
    </row>
    <row r="1404">
      <c r="A1404" s="613"/>
      <c r="B1404" s="612"/>
      <c r="C1404" s="613"/>
      <c r="D1404" s="613"/>
      <c r="E1404" s="613"/>
      <c r="F1404" s="613"/>
      <c r="G1404" s="613"/>
      <c r="H1404" s="613"/>
      <c r="I1404" s="523"/>
      <c r="J1404" s="612"/>
      <c r="K1404" s="612"/>
      <c r="L1404" s="613"/>
      <c r="M1404" s="613"/>
      <c r="N1404" s="613"/>
      <c r="O1404" s="616"/>
      <c r="P1404" s="613"/>
      <c r="Q1404" s="613"/>
      <c r="R1404" s="613"/>
      <c r="S1404" s="613"/>
      <c r="T1404" s="613"/>
      <c r="U1404" s="613"/>
      <c r="V1404" s="523"/>
      <c r="W1404" s="613"/>
      <c r="X1404" s="613"/>
      <c r="Y1404" s="613"/>
      <c r="Z1404" s="523"/>
      <c r="AA1404" s="613"/>
      <c r="AB1404" s="523"/>
      <c r="AC1404" s="523"/>
    </row>
    <row r="1405">
      <c r="A1405" s="613"/>
      <c r="B1405" s="612"/>
      <c r="C1405" s="613"/>
      <c r="D1405" s="613"/>
      <c r="E1405" s="613"/>
      <c r="F1405" s="613"/>
      <c r="G1405" s="613"/>
      <c r="H1405" s="613"/>
      <c r="I1405" s="523"/>
      <c r="J1405" s="612"/>
      <c r="K1405" s="612"/>
      <c r="L1405" s="613"/>
      <c r="M1405" s="613"/>
      <c r="N1405" s="613"/>
      <c r="O1405" s="616"/>
      <c r="P1405" s="613"/>
      <c r="Q1405" s="613"/>
      <c r="R1405" s="613"/>
      <c r="S1405" s="613"/>
      <c r="T1405" s="613"/>
      <c r="U1405" s="613"/>
      <c r="V1405" s="523"/>
      <c r="W1405" s="613"/>
      <c r="X1405" s="613"/>
      <c r="Y1405" s="613"/>
      <c r="Z1405" s="523"/>
      <c r="AA1405" s="613"/>
      <c r="AB1405" s="523"/>
      <c r="AC1405" s="523"/>
    </row>
    <row r="1406">
      <c r="A1406" s="613"/>
      <c r="B1406" s="612"/>
      <c r="C1406" s="613"/>
      <c r="D1406" s="613"/>
      <c r="E1406" s="613"/>
      <c r="F1406" s="613"/>
      <c r="G1406" s="613"/>
      <c r="H1406" s="613"/>
      <c r="I1406" s="523"/>
      <c r="J1406" s="612"/>
      <c r="K1406" s="612"/>
      <c r="L1406" s="613"/>
      <c r="M1406" s="613"/>
      <c r="N1406" s="613"/>
      <c r="O1406" s="616"/>
      <c r="P1406" s="613"/>
      <c r="Q1406" s="613"/>
      <c r="R1406" s="613"/>
      <c r="S1406" s="613"/>
      <c r="T1406" s="613"/>
      <c r="U1406" s="613"/>
      <c r="V1406" s="523"/>
      <c r="W1406" s="613"/>
      <c r="X1406" s="613"/>
      <c r="Y1406" s="613"/>
      <c r="Z1406" s="523"/>
      <c r="AA1406" s="613"/>
      <c r="AB1406" s="523"/>
      <c r="AC1406" s="523"/>
    </row>
    <row r="1407">
      <c r="A1407" s="613"/>
      <c r="B1407" s="612"/>
      <c r="C1407" s="613"/>
      <c r="D1407" s="613"/>
      <c r="E1407" s="613"/>
      <c r="F1407" s="613"/>
      <c r="G1407" s="613"/>
      <c r="H1407" s="613"/>
      <c r="I1407" s="523"/>
      <c r="J1407" s="612"/>
      <c r="K1407" s="612"/>
      <c r="L1407" s="613"/>
      <c r="M1407" s="613"/>
      <c r="N1407" s="613"/>
      <c r="O1407" s="616"/>
      <c r="P1407" s="613"/>
      <c r="Q1407" s="613"/>
      <c r="R1407" s="613"/>
      <c r="S1407" s="613"/>
      <c r="T1407" s="613"/>
      <c r="U1407" s="613"/>
      <c r="V1407" s="523"/>
      <c r="W1407" s="613"/>
      <c r="X1407" s="613"/>
      <c r="Y1407" s="613"/>
      <c r="Z1407" s="523"/>
      <c r="AA1407" s="613"/>
      <c r="AB1407" s="523"/>
      <c r="AC1407" s="523"/>
    </row>
    <row r="1408">
      <c r="A1408" s="613"/>
      <c r="B1408" s="612"/>
      <c r="C1408" s="613"/>
      <c r="D1408" s="613"/>
      <c r="E1408" s="613"/>
      <c r="F1408" s="613"/>
      <c r="G1408" s="613"/>
      <c r="H1408" s="613"/>
      <c r="I1408" s="523"/>
      <c r="J1408" s="612"/>
      <c r="K1408" s="612"/>
      <c r="L1408" s="613"/>
      <c r="M1408" s="613"/>
      <c r="N1408" s="613"/>
      <c r="O1408" s="616"/>
      <c r="P1408" s="613"/>
      <c r="Q1408" s="613"/>
      <c r="R1408" s="613"/>
      <c r="S1408" s="613"/>
      <c r="T1408" s="613"/>
      <c r="U1408" s="613"/>
      <c r="V1408" s="523"/>
      <c r="W1408" s="613"/>
      <c r="X1408" s="613"/>
      <c r="Y1408" s="613"/>
      <c r="Z1408" s="523"/>
      <c r="AA1408" s="613"/>
      <c r="AB1408" s="523"/>
      <c r="AC1408" s="523"/>
    </row>
    <row r="1409">
      <c r="A1409" s="613"/>
      <c r="B1409" s="612"/>
      <c r="C1409" s="613"/>
      <c r="D1409" s="613"/>
      <c r="E1409" s="613"/>
      <c r="F1409" s="613"/>
      <c r="G1409" s="613"/>
      <c r="H1409" s="613"/>
      <c r="I1409" s="523"/>
      <c r="J1409" s="612"/>
      <c r="K1409" s="612"/>
      <c r="L1409" s="613"/>
      <c r="M1409" s="613"/>
      <c r="N1409" s="613"/>
      <c r="O1409" s="616"/>
      <c r="P1409" s="613"/>
      <c r="Q1409" s="613"/>
      <c r="R1409" s="613"/>
      <c r="S1409" s="613"/>
      <c r="T1409" s="613"/>
      <c r="U1409" s="613"/>
      <c r="V1409" s="523"/>
      <c r="W1409" s="613"/>
      <c r="X1409" s="613"/>
      <c r="Y1409" s="613"/>
      <c r="Z1409" s="523"/>
      <c r="AA1409" s="613"/>
      <c r="AB1409" s="523"/>
      <c r="AC1409" s="523"/>
    </row>
    <row r="1410">
      <c r="A1410" s="613"/>
      <c r="B1410" s="612"/>
      <c r="C1410" s="613"/>
      <c r="D1410" s="613"/>
      <c r="E1410" s="613"/>
      <c r="F1410" s="613"/>
      <c r="G1410" s="613"/>
      <c r="H1410" s="613"/>
      <c r="I1410" s="523"/>
      <c r="J1410" s="612"/>
      <c r="K1410" s="612"/>
      <c r="L1410" s="613"/>
      <c r="M1410" s="613"/>
      <c r="N1410" s="613"/>
      <c r="O1410" s="616"/>
      <c r="P1410" s="613"/>
      <c r="Q1410" s="613"/>
      <c r="R1410" s="613"/>
      <c r="S1410" s="613"/>
      <c r="T1410" s="613"/>
      <c r="U1410" s="613"/>
      <c r="V1410" s="523"/>
      <c r="W1410" s="613"/>
      <c r="X1410" s="613"/>
      <c r="Y1410" s="613"/>
      <c r="Z1410" s="523"/>
      <c r="AA1410" s="613"/>
      <c r="AB1410" s="523"/>
      <c r="AC1410" s="523"/>
    </row>
    <row r="1411">
      <c r="A1411" s="613"/>
      <c r="B1411" s="612"/>
      <c r="C1411" s="613"/>
      <c r="D1411" s="613"/>
      <c r="E1411" s="613"/>
      <c r="F1411" s="613"/>
      <c r="G1411" s="613"/>
      <c r="H1411" s="613"/>
      <c r="I1411" s="523"/>
      <c r="J1411" s="612"/>
      <c r="K1411" s="612"/>
      <c r="L1411" s="613"/>
      <c r="M1411" s="613"/>
      <c r="N1411" s="613"/>
      <c r="O1411" s="616"/>
      <c r="P1411" s="613"/>
      <c r="Q1411" s="613"/>
      <c r="R1411" s="613"/>
      <c r="S1411" s="613"/>
      <c r="T1411" s="613"/>
      <c r="U1411" s="613"/>
      <c r="V1411" s="523"/>
      <c r="W1411" s="613"/>
      <c r="X1411" s="613"/>
      <c r="Y1411" s="613"/>
      <c r="Z1411" s="523"/>
      <c r="AA1411" s="613"/>
      <c r="AB1411" s="523"/>
      <c r="AC1411" s="523"/>
    </row>
    <row r="1412">
      <c r="A1412" s="613"/>
      <c r="B1412" s="612"/>
      <c r="C1412" s="613"/>
      <c r="D1412" s="613"/>
      <c r="E1412" s="613"/>
      <c r="F1412" s="613"/>
      <c r="G1412" s="613"/>
      <c r="H1412" s="613"/>
      <c r="I1412" s="523"/>
      <c r="J1412" s="612"/>
      <c r="K1412" s="612"/>
      <c r="L1412" s="613"/>
      <c r="M1412" s="613"/>
      <c r="N1412" s="613"/>
      <c r="O1412" s="616"/>
      <c r="P1412" s="613"/>
      <c r="Q1412" s="613"/>
      <c r="R1412" s="613"/>
      <c r="S1412" s="613"/>
      <c r="T1412" s="613"/>
      <c r="U1412" s="613"/>
      <c r="V1412" s="523"/>
      <c r="W1412" s="613"/>
      <c r="X1412" s="613"/>
      <c r="Y1412" s="613"/>
      <c r="Z1412" s="523"/>
      <c r="AA1412" s="613"/>
      <c r="AB1412" s="523"/>
      <c r="AC1412" s="523"/>
    </row>
    <row r="1413">
      <c r="A1413" s="613"/>
      <c r="B1413" s="612"/>
      <c r="C1413" s="613"/>
      <c r="D1413" s="613"/>
      <c r="E1413" s="613"/>
      <c r="F1413" s="613"/>
      <c r="G1413" s="613"/>
      <c r="H1413" s="613"/>
      <c r="I1413" s="523"/>
      <c r="J1413" s="612"/>
      <c r="K1413" s="612"/>
      <c r="L1413" s="613"/>
      <c r="M1413" s="613"/>
      <c r="N1413" s="613"/>
      <c r="O1413" s="616"/>
      <c r="P1413" s="613"/>
      <c r="Q1413" s="613"/>
      <c r="R1413" s="613"/>
      <c r="S1413" s="613"/>
      <c r="T1413" s="613"/>
      <c r="U1413" s="613"/>
      <c r="V1413" s="523"/>
      <c r="W1413" s="613"/>
      <c r="X1413" s="613"/>
      <c r="Y1413" s="613"/>
      <c r="Z1413" s="523"/>
      <c r="AA1413" s="613"/>
      <c r="AB1413" s="523"/>
      <c r="AC1413" s="523"/>
    </row>
    <row r="1414">
      <c r="A1414" s="613"/>
      <c r="B1414" s="612"/>
      <c r="C1414" s="613"/>
      <c r="D1414" s="613"/>
      <c r="E1414" s="613"/>
      <c r="F1414" s="613"/>
      <c r="G1414" s="613"/>
      <c r="H1414" s="613"/>
      <c r="I1414" s="523"/>
      <c r="J1414" s="612"/>
      <c r="K1414" s="612"/>
      <c r="L1414" s="613"/>
      <c r="M1414" s="613"/>
      <c r="N1414" s="613"/>
      <c r="O1414" s="616"/>
      <c r="P1414" s="613"/>
      <c r="Q1414" s="613"/>
      <c r="R1414" s="613"/>
      <c r="S1414" s="613"/>
      <c r="T1414" s="613"/>
      <c r="U1414" s="613"/>
      <c r="V1414" s="523"/>
      <c r="W1414" s="613"/>
      <c r="X1414" s="613"/>
      <c r="Y1414" s="613"/>
      <c r="Z1414" s="523"/>
      <c r="AA1414" s="613"/>
      <c r="AB1414" s="523"/>
      <c r="AC1414" s="523"/>
    </row>
    <row r="1415">
      <c r="A1415" s="613"/>
      <c r="B1415" s="612"/>
      <c r="C1415" s="613"/>
      <c r="D1415" s="613"/>
      <c r="E1415" s="613"/>
      <c r="F1415" s="613"/>
      <c r="G1415" s="613"/>
      <c r="H1415" s="613"/>
      <c r="I1415" s="523"/>
      <c r="J1415" s="612"/>
      <c r="K1415" s="612"/>
      <c r="L1415" s="613"/>
      <c r="M1415" s="613"/>
      <c r="N1415" s="613"/>
      <c r="O1415" s="616"/>
      <c r="P1415" s="613"/>
      <c r="Q1415" s="613"/>
      <c r="R1415" s="613"/>
      <c r="S1415" s="613"/>
      <c r="T1415" s="613"/>
      <c r="U1415" s="613"/>
      <c r="V1415" s="523"/>
      <c r="W1415" s="613"/>
      <c r="X1415" s="613"/>
      <c r="Y1415" s="613"/>
      <c r="Z1415" s="523"/>
      <c r="AA1415" s="613"/>
      <c r="AB1415" s="523"/>
      <c r="AC1415" s="523"/>
    </row>
    <row r="1416">
      <c r="A1416" s="613"/>
      <c r="B1416" s="612"/>
      <c r="C1416" s="613"/>
      <c r="D1416" s="613"/>
      <c r="E1416" s="613"/>
      <c r="F1416" s="613"/>
      <c r="G1416" s="613"/>
      <c r="H1416" s="613"/>
      <c r="I1416" s="523"/>
      <c r="J1416" s="612"/>
      <c r="K1416" s="612"/>
      <c r="L1416" s="613"/>
      <c r="M1416" s="613"/>
      <c r="N1416" s="613"/>
      <c r="O1416" s="616"/>
      <c r="P1416" s="613"/>
      <c r="Q1416" s="613"/>
      <c r="R1416" s="613"/>
      <c r="S1416" s="613"/>
      <c r="T1416" s="613"/>
      <c r="U1416" s="613"/>
      <c r="V1416" s="523"/>
      <c r="W1416" s="613"/>
      <c r="X1416" s="613"/>
      <c r="Y1416" s="613"/>
      <c r="Z1416" s="523"/>
      <c r="AA1416" s="613"/>
      <c r="AB1416" s="523"/>
      <c r="AC1416" s="523"/>
    </row>
    <row r="1417">
      <c r="A1417" s="613"/>
      <c r="B1417" s="612"/>
      <c r="C1417" s="613"/>
      <c r="D1417" s="613"/>
      <c r="E1417" s="613"/>
      <c r="F1417" s="613"/>
      <c r="G1417" s="613"/>
      <c r="H1417" s="613"/>
      <c r="I1417" s="523"/>
      <c r="J1417" s="612"/>
      <c r="K1417" s="612"/>
      <c r="L1417" s="613"/>
      <c r="M1417" s="613"/>
      <c r="N1417" s="613"/>
      <c r="O1417" s="616"/>
      <c r="P1417" s="613"/>
      <c r="Q1417" s="613"/>
      <c r="R1417" s="613"/>
      <c r="S1417" s="613"/>
      <c r="T1417" s="613"/>
      <c r="U1417" s="613"/>
      <c r="V1417" s="523"/>
      <c r="W1417" s="613"/>
      <c r="X1417" s="613"/>
      <c r="Y1417" s="613"/>
      <c r="Z1417" s="523"/>
      <c r="AA1417" s="613"/>
      <c r="AB1417" s="523"/>
      <c r="AC1417" s="523"/>
    </row>
    <row r="1418">
      <c r="A1418" s="613"/>
      <c r="B1418" s="612"/>
      <c r="C1418" s="613"/>
      <c r="D1418" s="613"/>
      <c r="E1418" s="613"/>
      <c r="F1418" s="613"/>
      <c r="G1418" s="613"/>
      <c r="H1418" s="613"/>
      <c r="I1418" s="523"/>
      <c r="J1418" s="612"/>
      <c r="K1418" s="612"/>
      <c r="L1418" s="613"/>
      <c r="M1418" s="613"/>
      <c r="N1418" s="613"/>
      <c r="O1418" s="616"/>
      <c r="P1418" s="613"/>
      <c r="Q1418" s="613"/>
      <c r="R1418" s="613"/>
      <c r="S1418" s="613"/>
      <c r="T1418" s="613"/>
      <c r="U1418" s="613"/>
      <c r="V1418" s="523"/>
      <c r="W1418" s="613"/>
      <c r="X1418" s="613"/>
      <c r="Y1418" s="613"/>
      <c r="Z1418" s="523"/>
      <c r="AA1418" s="613"/>
      <c r="AB1418" s="523"/>
      <c r="AC1418" s="523"/>
    </row>
    <row r="1419">
      <c r="A1419" s="613"/>
      <c r="B1419" s="612"/>
      <c r="C1419" s="613"/>
      <c r="D1419" s="613"/>
      <c r="E1419" s="613"/>
      <c r="F1419" s="613"/>
      <c r="G1419" s="613"/>
      <c r="H1419" s="613"/>
      <c r="I1419" s="523"/>
      <c r="J1419" s="612"/>
      <c r="K1419" s="612"/>
      <c r="L1419" s="613"/>
      <c r="M1419" s="613"/>
      <c r="N1419" s="613"/>
      <c r="O1419" s="616"/>
      <c r="P1419" s="613"/>
      <c r="Q1419" s="613"/>
      <c r="R1419" s="613"/>
      <c r="S1419" s="613"/>
      <c r="T1419" s="613"/>
      <c r="U1419" s="613"/>
      <c r="V1419" s="523"/>
      <c r="W1419" s="613"/>
      <c r="X1419" s="613"/>
      <c r="Y1419" s="613"/>
      <c r="Z1419" s="523"/>
      <c r="AA1419" s="613"/>
      <c r="AB1419" s="523"/>
      <c r="AC1419" s="523"/>
    </row>
    <row r="1420">
      <c r="A1420" s="613"/>
      <c r="B1420" s="612"/>
      <c r="C1420" s="613"/>
      <c r="D1420" s="613"/>
      <c r="E1420" s="613"/>
      <c r="F1420" s="613"/>
      <c r="G1420" s="613"/>
      <c r="H1420" s="613"/>
      <c r="I1420" s="523"/>
      <c r="J1420" s="612"/>
      <c r="K1420" s="612"/>
      <c r="L1420" s="613"/>
      <c r="M1420" s="613"/>
      <c r="N1420" s="613"/>
      <c r="O1420" s="616"/>
      <c r="P1420" s="613"/>
      <c r="Q1420" s="613"/>
      <c r="R1420" s="613"/>
      <c r="S1420" s="613"/>
      <c r="T1420" s="613"/>
      <c r="U1420" s="613"/>
      <c r="V1420" s="523"/>
      <c r="W1420" s="613"/>
      <c r="X1420" s="613"/>
      <c r="Y1420" s="613"/>
      <c r="Z1420" s="523"/>
      <c r="AA1420" s="613"/>
      <c r="AB1420" s="523"/>
      <c r="AC1420" s="523"/>
    </row>
    <row r="1421">
      <c r="A1421" s="613"/>
      <c r="B1421" s="612"/>
      <c r="C1421" s="613"/>
      <c r="D1421" s="613"/>
      <c r="E1421" s="613"/>
      <c r="F1421" s="613"/>
      <c r="G1421" s="613"/>
      <c r="H1421" s="613"/>
      <c r="I1421" s="523"/>
      <c r="J1421" s="612"/>
      <c r="K1421" s="612"/>
      <c r="L1421" s="613"/>
      <c r="M1421" s="613"/>
      <c r="N1421" s="613"/>
      <c r="O1421" s="616"/>
      <c r="P1421" s="613"/>
      <c r="Q1421" s="613"/>
      <c r="R1421" s="613"/>
      <c r="S1421" s="613"/>
      <c r="T1421" s="613"/>
      <c r="U1421" s="613"/>
      <c r="V1421" s="523"/>
      <c r="W1421" s="613"/>
      <c r="X1421" s="613"/>
      <c r="Y1421" s="613"/>
      <c r="Z1421" s="523"/>
      <c r="AA1421" s="613"/>
      <c r="AB1421" s="523"/>
      <c r="AC1421" s="523"/>
    </row>
    <row r="1422">
      <c r="A1422" s="613"/>
      <c r="B1422" s="612"/>
      <c r="C1422" s="613"/>
      <c r="D1422" s="613"/>
      <c r="E1422" s="613"/>
      <c r="F1422" s="613"/>
      <c r="G1422" s="613"/>
      <c r="H1422" s="613"/>
      <c r="I1422" s="523"/>
      <c r="J1422" s="612"/>
      <c r="K1422" s="612"/>
      <c r="L1422" s="613"/>
      <c r="M1422" s="613"/>
      <c r="N1422" s="613"/>
      <c r="O1422" s="616"/>
      <c r="P1422" s="613"/>
      <c r="Q1422" s="613"/>
      <c r="R1422" s="613"/>
      <c r="S1422" s="613"/>
      <c r="T1422" s="613"/>
      <c r="U1422" s="613"/>
      <c r="V1422" s="523"/>
      <c r="W1422" s="613"/>
      <c r="X1422" s="613"/>
      <c r="Y1422" s="613"/>
      <c r="Z1422" s="523"/>
      <c r="AA1422" s="613"/>
      <c r="AB1422" s="523"/>
      <c r="AC1422" s="523"/>
    </row>
    <row r="1423">
      <c r="A1423" s="613"/>
      <c r="B1423" s="612"/>
      <c r="C1423" s="613"/>
      <c r="D1423" s="613"/>
      <c r="E1423" s="613"/>
      <c r="F1423" s="613"/>
      <c r="G1423" s="613"/>
      <c r="H1423" s="613"/>
      <c r="I1423" s="523"/>
      <c r="J1423" s="612"/>
      <c r="K1423" s="612"/>
      <c r="L1423" s="613"/>
      <c r="M1423" s="613"/>
      <c r="N1423" s="613"/>
      <c r="O1423" s="616"/>
      <c r="P1423" s="613"/>
      <c r="Q1423" s="613"/>
      <c r="R1423" s="613"/>
      <c r="S1423" s="613"/>
      <c r="T1423" s="613"/>
      <c r="U1423" s="613"/>
      <c r="V1423" s="523"/>
      <c r="W1423" s="613"/>
      <c r="X1423" s="613"/>
      <c r="Y1423" s="613"/>
      <c r="Z1423" s="523"/>
      <c r="AA1423" s="613"/>
      <c r="AB1423" s="523"/>
      <c r="AC1423" s="523"/>
    </row>
    <row r="1424">
      <c r="A1424" s="613"/>
      <c r="B1424" s="612"/>
      <c r="C1424" s="613"/>
      <c r="D1424" s="613"/>
      <c r="E1424" s="613"/>
      <c r="F1424" s="613"/>
      <c r="G1424" s="613"/>
      <c r="H1424" s="613"/>
      <c r="I1424" s="523"/>
      <c r="J1424" s="612"/>
      <c r="K1424" s="612"/>
      <c r="L1424" s="613"/>
      <c r="M1424" s="613"/>
      <c r="N1424" s="613"/>
      <c r="O1424" s="616"/>
      <c r="P1424" s="613"/>
      <c r="Q1424" s="613"/>
      <c r="R1424" s="613"/>
      <c r="S1424" s="613"/>
      <c r="T1424" s="613"/>
      <c r="U1424" s="613"/>
      <c r="V1424" s="523"/>
      <c r="W1424" s="613"/>
      <c r="X1424" s="613"/>
      <c r="Y1424" s="613"/>
      <c r="Z1424" s="523"/>
      <c r="AA1424" s="613"/>
      <c r="AB1424" s="523"/>
      <c r="AC1424" s="523"/>
    </row>
    <row r="1425">
      <c r="A1425" s="613"/>
      <c r="B1425" s="612"/>
      <c r="C1425" s="613"/>
      <c r="D1425" s="613"/>
      <c r="E1425" s="613"/>
      <c r="F1425" s="613"/>
      <c r="G1425" s="613"/>
      <c r="H1425" s="613"/>
      <c r="I1425" s="523"/>
      <c r="J1425" s="612"/>
      <c r="K1425" s="612"/>
      <c r="L1425" s="613"/>
      <c r="M1425" s="613"/>
      <c r="N1425" s="613"/>
      <c r="O1425" s="616"/>
      <c r="P1425" s="613"/>
      <c r="Q1425" s="613"/>
      <c r="R1425" s="613"/>
      <c r="S1425" s="613"/>
      <c r="T1425" s="613"/>
      <c r="U1425" s="613"/>
      <c r="V1425" s="523"/>
      <c r="W1425" s="613"/>
      <c r="X1425" s="613"/>
      <c r="Y1425" s="613"/>
      <c r="Z1425" s="523"/>
      <c r="AA1425" s="613"/>
      <c r="AB1425" s="523"/>
      <c r="AC1425" s="523"/>
    </row>
    <row r="1426">
      <c r="A1426" s="613"/>
      <c r="B1426" s="612"/>
      <c r="C1426" s="613"/>
      <c r="D1426" s="613"/>
      <c r="E1426" s="613"/>
      <c r="F1426" s="613"/>
      <c r="G1426" s="613"/>
      <c r="H1426" s="613"/>
      <c r="I1426" s="523"/>
      <c r="J1426" s="612"/>
      <c r="K1426" s="612"/>
      <c r="L1426" s="613"/>
      <c r="M1426" s="613"/>
      <c r="N1426" s="613"/>
      <c r="O1426" s="616"/>
      <c r="P1426" s="613"/>
      <c r="Q1426" s="613"/>
      <c r="R1426" s="613"/>
      <c r="S1426" s="613"/>
      <c r="T1426" s="613"/>
      <c r="U1426" s="613"/>
      <c r="V1426" s="523"/>
      <c r="W1426" s="613"/>
      <c r="X1426" s="613"/>
      <c r="Y1426" s="613"/>
      <c r="Z1426" s="523"/>
      <c r="AA1426" s="613"/>
      <c r="AB1426" s="523"/>
      <c r="AC1426" s="523"/>
    </row>
    <row r="1427">
      <c r="A1427" s="613"/>
      <c r="B1427" s="612"/>
      <c r="C1427" s="613"/>
      <c r="D1427" s="613"/>
      <c r="E1427" s="613"/>
      <c r="F1427" s="613"/>
      <c r="G1427" s="613"/>
      <c r="H1427" s="613"/>
      <c r="I1427" s="523"/>
      <c r="J1427" s="612"/>
      <c r="K1427" s="612"/>
      <c r="L1427" s="613"/>
      <c r="M1427" s="613"/>
      <c r="N1427" s="613"/>
      <c r="O1427" s="616"/>
      <c r="P1427" s="613"/>
      <c r="Q1427" s="613"/>
      <c r="R1427" s="613"/>
      <c r="S1427" s="613"/>
      <c r="T1427" s="613"/>
      <c r="U1427" s="613"/>
      <c r="V1427" s="523"/>
      <c r="W1427" s="613"/>
      <c r="X1427" s="613"/>
      <c r="Y1427" s="613"/>
      <c r="Z1427" s="523"/>
      <c r="AA1427" s="613"/>
      <c r="AB1427" s="523"/>
      <c r="AC1427" s="523"/>
    </row>
    <row r="1428">
      <c r="A1428" s="613"/>
      <c r="B1428" s="612"/>
      <c r="C1428" s="613"/>
      <c r="D1428" s="613"/>
      <c r="E1428" s="613"/>
      <c r="F1428" s="613"/>
      <c r="G1428" s="613"/>
      <c r="H1428" s="613"/>
      <c r="I1428" s="523"/>
      <c r="J1428" s="612"/>
      <c r="K1428" s="612"/>
      <c r="L1428" s="613"/>
      <c r="M1428" s="613"/>
      <c r="N1428" s="613"/>
      <c r="O1428" s="616"/>
      <c r="P1428" s="613"/>
      <c r="Q1428" s="613"/>
      <c r="R1428" s="613"/>
      <c r="S1428" s="613"/>
      <c r="T1428" s="613"/>
      <c r="U1428" s="613"/>
      <c r="V1428" s="523"/>
      <c r="W1428" s="613"/>
      <c r="X1428" s="613"/>
      <c r="Y1428" s="613"/>
      <c r="Z1428" s="523"/>
      <c r="AA1428" s="613"/>
      <c r="AB1428" s="523"/>
      <c r="AC1428" s="523"/>
    </row>
    <row r="1429">
      <c r="A1429" s="613"/>
      <c r="B1429" s="612"/>
      <c r="C1429" s="613"/>
      <c r="D1429" s="613"/>
      <c r="E1429" s="613"/>
      <c r="F1429" s="613"/>
      <c r="G1429" s="613"/>
      <c r="H1429" s="613"/>
      <c r="I1429" s="523"/>
      <c r="J1429" s="612"/>
      <c r="K1429" s="612"/>
      <c r="L1429" s="613"/>
      <c r="M1429" s="613"/>
      <c r="N1429" s="613"/>
      <c r="O1429" s="616"/>
      <c r="P1429" s="613"/>
      <c r="Q1429" s="613"/>
      <c r="R1429" s="613"/>
      <c r="S1429" s="613"/>
      <c r="T1429" s="613"/>
      <c r="U1429" s="613"/>
      <c r="V1429" s="523"/>
      <c r="W1429" s="613"/>
      <c r="X1429" s="613"/>
      <c r="Y1429" s="613"/>
      <c r="Z1429" s="523"/>
      <c r="AA1429" s="613"/>
      <c r="AB1429" s="523"/>
      <c r="AC1429" s="523"/>
    </row>
    <row r="1430">
      <c r="A1430" s="613"/>
      <c r="B1430" s="612"/>
      <c r="C1430" s="613"/>
      <c r="D1430" s="613"/>
      <c r="E1430" s="613"/>
      <c r="F1430" s="613"/>
      <c r="G1430" s="613"/>
      <c r="H1430" s="613"/>
      <c r="I1430" s="523"/>
      <c r="J1430" s="612"/>
      <c r="K1430" s="612"/>
      <c r="L1430" s="613"/>
      <c r="M1430" s="613"/>
      <c r="N1430" s="613"/>
      <c r="O1430" s="616"/>
      <c r="P1430" s="613"/>
      <c r="Q1430" s="613"/>
      <c r="R1430" s="613"/>
      <c r="S1430" s="613"/>
      <c r="T1430" s="613"/>
      <c r="U1430" s="613"/>
      <c r="V1430" s="523"/>
      <c r="W1430" s="613"/>
      <c r="X1430" s="613"/>
      <c r="Y1430" s="613"/>
      <c r="Z1430" s="523"/>
      <c r="AA1430" s="613"/>
      <c r="AB1430" s="523"/>
      <c r="AC1430" s="523"/>
    </row>
    <row r="1431">
      <c r="A1431" s="613"/>
      <c r="B1431" s="612"/>
      <c r="C1431" s="613"/>
      <c r="D1431" s="613"/>
      <c r="E1431" s="613"/>
      <c r="F1431" s="613"/>
      <c r="G1431" s="613"/>
      <c r="H1431" s="613"/>
      <c r="I1431" s="523"/>
      <c r="J1431" s="612"/>
      <c r="K1431" s="612"/>
      <c r="L1431" s="613"/>
      <c r="M1431" s="613"/>
      <c r="N1431" s="613"/>
      <c r="O1431" s="616"/>
      <c r="P1431" s="613"/>
      <c r="Q1431" s="613"/>
      <c r="R1431" s="613"/>
      <c r="S1431" s="613"/>
      <c r="T1431" s="613"/>
      <c r="U1431" s="613"/>
      <c r="V1431" s="523"/>
      <c r="W1431" s="613"/>
      <c r="X1431" s="613"/>
      <c r="Y1431" s="613"/>
      <c r="Z1431" s="523"/>
      <c r="AA1431" s="613"/>
      <c r="AB1431" s="523"/>
      <c r="AC1431" s="523"/>
    </row>
    <row r="1432">
      <c r="A1432" s="613"/>
      <c r="B1432" s="612"/>
      <c r="C1432" s="613"/>
      <c r="D1432" s="613"/>
      <c r="E1432" s="613"/>
      <c r="F1432" s="613"/>
      <c r="G1432" s="613"/>
      <c r="H1432" s="613"/>
      <c r="I1432" s="523"/>
      <c r="J1432" s="612"/>
      <c r="K1432" s="612"/>
      <c r="L1432" s="613"/>
      <c r="M1432" s="613"/>
      <c r="N1432" s="613"/>
      <c r="O1432" s="616"/>
      <c r="P1432" s="613"/>
      <c r="Q1432" s="613"/>
      <c r="R1432" s="613"/>
      <c r="S1432" s="613"/>
      <c r="T1432" s="613"/>
      <c r="U1432" s="613"/>
      <c r="V1432" s="523"/>
      <c r="W1432" s="613"/>
      <c r="X1432" s="613"/>
      <c r="Y1432" s="613"/>
      <c r="Z1432" s="523"/>
      <c r="AA1432" s="613"/>
      <c r="AB1432" s="523"/>
      <c r="AC1432" s="523"/>
    </row>
    <row r="1433">
      <c r="A1433" s="613"/>
      <c r="B1433" s="612"/>
      <c r="C1433" s="613"/>
      <c r="D1433" s="613"/>
      <c r="E1433" s="613"/>
      <c r="F1433" s="613"/>
      <c r="G1433" s="613"/>
      <c r="H1433" s="613"/>
      <c r="I1433" s="523"/>
      <c r="J1433" s="612"/>
      <c r="K1433" s="612"/>
      <c r="L1433" s="613"/>
      <c r="M1433" s="613"/>
      <c r="N1433" s="613"/>
      <c r="O1433" s="616"/>
      <c r="P1433" s="613"/>
      <c r="Q1433" s="613"/>
      <c r="R1433" s="613"/>
      <c r="S1433" s="613"/>
      <c r="T1433" s="613"/>
      <c r="U1433" s="613"/>
      <c r="V1433" s="523"/>
      <c r="W1433" s="613"/>
      <c r="X1433" s="613"/>
      <c r="Y1433" s="613"/>
      <c r="Z1433" s="523"/>
      <c r="AA1433" s="613"/>
      <c r="AB1433" s="523"/>
      <c r="AC1433" s="523"/>
    </row>
    <row r="1434">
      <c r="A1434" s="613"/>
      <c r="B1434" s="612"/>
      <c r="C1434" s="613"/>
      <c r="D1434" s="613"/>
      <c r="E1434" s="613"/>
      <c r="F1434" s="613"/>
      <c r="G1434" s="613"/>
      <c r="H1434" s="613"/>
      <c r="I1434" s="523"/>
      <c r="J1434" s="612"/>
      <c r="K1434" s="612"/>
      <c r="L1434" s="613"/>
      <c r="M1434" s="613"/>
      <c r="N1434" s="613"/>
      <c r="O1434" s="616"/>
      <c r="P1434" s="613"/>
      <c r="Q1434" s="613"/>
      <c r="R1434" s="613"/>
      <c r="S1434" s="613"/>
      <c r="T1434" s="613"/>
      <c r="U1434" s="613"/>
      <c r="V1434" s="523"/>
      <c r="W1434" s="613"/>
      <c r="X1434" s="613"/>
      <c r="Y1434" s="613"/>
      <c r="Z1434" s="523"/>
      <c r="AA1434" s="613"/>
      <c r="AB1434" s="523"/>
      <c r="AC1434" s="523"/>
    </row>
    <row r="1435">
      <c r="A1435" s="613"/>
      <c r="B1435" s="612"/>
      <c r="C1435" s="613"/>
      <c r="D1435" s="613"/>
      <c r="E1435" s="613"/>
      <c r="F1435" s="613"/>
      <c r="G1435" s="613"/>
      <c r="H1435" s="613"/>
      <c r="I1435" s="523"/>
      <c r="J1435" s="612"/>
      <c r="K1435" s="612"/>
      <c r="L1435" s="613"/>
      <c r="M1435" s="613"/>
      <c r="N1435" s="613"/>
      <c r="O1435" s="616"/>
      <c r="P1435" s="613"/>
      <c r="Q1435" s="613"/>
      <c r="R1435" s="613"/>
      <c r="S1435" s="613"/>
      <c r="T1435" s="613"/>
      <c r="U1435" s="613"/>
      <c r="V1435" s="523"/>
      <c r="W1435" s="613"/>
      <c r="X1435" s="613"/>
      <c r="Y1435" s="613"/>
      <c r="Z1435" s="523"/>
      <c r="AA1435" s="613"/>
      <c r="AB1435" s="523"/>
      <c r="AC1435" s="523"/>
    </row>
    <row r="1436">
      <c r="A1436" s="613"/>
      <c r="B1436" s="612"/>
      <c r="C1436" s="613"/>
      <c r="D1436" s="613"/>
      <c r="E1436" s="613"/>
      <c r="F1436" s="613"/>
      <c r="G1436" s="613"/>
      <c r="H1436" s="613"/>
      <c r="I1436" s="523"/>
      <c r="J1436" s="612"/>
      <c r="K1436" s="612"/>
      <c r="L1436" s="613"/>
      <c r="M1436" s="613"/>
      <c r="N1436" s="613"/>
      <c r="O1436" s="616"/>
      <c r="P1436" s="613"/>
      <c r="Q1436" s="613"/>
      <c r="R1436" s="613"/>
      <c r="S1436" s="613"/>
      <c r="T1436" s="613"/>
      <c r="U1436" s="613"/>
      <c r="V1436" s="523"/>
      <c r="W1436" s="613"/>
      <c r="X1436" s="613"/>
      <c r="Y1436" s="613"/>
      <c r="Z1436" s="523"/>
      <c r="AA1436" s="613"/>
      <c r="AB1436" s="523"/>
      <c r="AC1436" s="523"/>
    </row>
    <row r="1437">
      <c r="A1437" s="613"/>
      <c r="B1437" s="612"/>
      <c r="C1437" s="613"/>
      <c r="D1437" s="613"/>
      <c r="E1437" s="613"/>
      <c r="F1437" s="613"/>
      <c r="G1437" s="613"/>
      <c r="H1437" s="613"/>
      <c r="I1437" s="523"/>
      <c r="J1437" s="612"/>
      <c r="K1437" s="612"/>
      <c r="L1437" s="613"/>
      <c r="M1437" s="613"/>
      <c r="N1437" s="613"/>
      <c r="O1437" s="616"/>
      <c r="P1437" s="613"/>
      <c r="Q1437" s="613"/>
      <c r="R1437" s="613"/>
      <c r="S1437" s="613"/>
      <c r="T1437" s="613"/>
      <c r="U1437" s="613"/>
      <c r="V1437" s="523"/>
      <c r="W1437" s="613"/>
      <c r="X1437" s="613"/>
      <c r="Y1437" s="613"/>
      <c r="Z1437" s="523"/>
      <c r="AA1437" s="613"/>
      <c r="AB1437" s="523"/>
      <c r="AC1437" s="523"/>
    </row>
    <row r="1438">
      <c r="A1438" s="613"/>
      <c r="B1438" s="612"/>
      <c r="C1438" s="613"/>
      <c r="D1438" s="613"/>
      <c r="E1438" s="613"/>
      <c r="F1438" s="613"/>
      <c r="G1438" s="613"/>
      <c r="H1438" s="613"/>
      <c r="I1438" s="523"/>
      <c r="J1438" s="612"/>
      <c r="K1438" s="612"/>
      <c r="L1438" s="613"/>
      <c r="M1438" s="613"/>
      <c r="N1438" s="613"/>
      <c r="O1438" s="616"/>
      <c r="P1438" s="613"/>
      <c r="Q1438" s="613"/>
      <c r="R1438" s="613"/>
      <c r="S1438" s="613"/>
      <c r="T1438" s="613"/>
      <c r="U1438" s="613"/>
      <c r="V1438" s="523"/>
      <c r="W1438" s="613"/>
      <c r="X1438" s="613"/>
      <c r="Y1438" s="613"/>
      <c r="Z1438" s="523"/>
      <c r="AA1438" s="613"/>
      <c r="AB1438" s="523"/>
      <c r="AC1438" s="523"/>
    </row>
    <row r="1439">
      <c r="A1439" s="613"/>
      <c r="B1439" s="612"/>
      <c r="C1439" s="613"/>
      <c r="D1439" s="613"/>
      <c r="E1439" s="613"/>
      <c r="F1439" s="613"/>
      <c r="G1439" s="613"/>
      <c r="H1439" s="613"/>
      <c r="I1439" s="523"/>
      <c r="J1439" s="612"/>
      <c r="K1439" s="612"/>
      <c r="L1439" s="613"/>
      <c r="M1439" s="613"/>
      <c r="N1439" s="613"/>
      <c r="O1439" s="616"/>
      <c r="P1439" s="613"/>
      <c r="Q1439" s="613"/>
      <c r="R1439" s="613"/>
      <c r="S1439" s="613"/>
      <c r="T1439" s="613"/>
      <c r="U1439" s="613"/>
      <c r="V1439" s="523"/>
      <c r="W1439" s="613"/>
      <c r="X1439" s="613"/>
      <c r="Y1439" s="613"/>
      <c r="Z1439" s="523"/>
      <c r="AA1439" s="613"/>
      <c r="AB1439" s="523"/>
      <c r="AC1439" s="523"/>
    </row>
    <row r="1440">
      <c r="A1440" s="613"/>
      <c r="B1440" s="612"/>
      <c r="C1440" s="613"/>
      <c r="D1440" s="613"/>
      <c r="E1440" s="613"/>
      <c r="F1440" s="613"/>
      <c r="G1440" s="613"/>
      <c r="H1440" s="613"/>
      <c r="I1440" s="523"/>
      <c r="J1440" s="612"/>
      <c r="K1440" s="612"/>
      <c r="L1440" s="613"/>
      <c r="M1440" s="613"/>
      <c r="N1440" s="613"/>
      <c r="O1440" s="616"/>
      <c r="P1440" s="613"/>
      <c r="Q1440" s="613"/>
      <c r="R1440" s="613"/>
      <c r="S1440" s="613"/>
      <c r="T1440" s="613"/>
      <c r="U1440" s="613"/>
      <c r="V1440" s="523"/>
      <c r="W1440" s="613"/>
      <c r="X1440" s="613"/>
      <c r="Y1440" s="613"/>
      <c r="Z1440" s="523"/>
      <c r="AA1440" s="613"/>
      <c r="AB1440" s="523"/>
      <c r="AC1440" s="523"/>
    </row>
    <row r="1441">
      <c r="A1441" s="613"/>
      <c r="B1441" s="612"/>
      <c r="C1441" s="613"/>
      <c r="D1441" s="613"/>
      <c r="E1441" s="613"/>
      <c r="F1441" s="613"/>
      <c r="G1441" s="613"/>
      <c r="H1441" s="613"/>
      <c r="I1441" s="523"/>
      <c r="J1441" s="612"/>
      <c r="K1441" s="612"/>
      <c r="L1441" s="613"/>
      <c r="M1441" s="613"/>
      <c r="N1441" s="613"/>
      <c r="O1441" s="616"/>
      <c r="P1441" s="613"/>
      <c r="Q1441" s="613"/>
      <c r="R1441" s="613"/>
      <c r="S1441" s="613"/>
      <c r="T1441" s="613"/>
      <c r="U1441" s="613"/>
      <c r="V1441" s="523"/>
      <c r="W1441" s="613"/>
      <c r="X1441" s="613"/>
      <c r="Y1441" s="613"/>
      <c r="Z1441" s="523"/>
      <c r="AA1441" s="613"/>
      <c r="AB1441" s="523"/>
      <c r="AC1441" s="523"/>
    </row>
    <row r="1442">
      <c r="A1442" s="613"/>
      <c r="B1442" s="612"/>
      <c r="C1442" s="613"/>
      <c r="D1442" s="613"/>
      <c r="E1442" s="613"/>
      <c r="F1442" s="613"/>
      <c r="G1442" s="613"/>
      <c r="H1442" s="613"/>
      <c r="I1442" s="523"/>
      <c r="J1442" s="612"/>
      <c r="K1442" s="612"/>
      <c r="L1442" s="613"/>
      <c r="M1442" s="613"/>
      <c r="N1442" s="613"/>
      <c r="O1442" s="616"/>
      <c r="P1442" s="613"/>
      <c r="Q1442" s="613"/>
      <c r="R1442" s="613"/>
      <c r="S1442" s="613"/>
      <c r="T1442" s="613"/>
      <c r="U1442" s="613"/>
      <c r="V1442" s="523"/>
      <c r="W1442" s="613"/>
      <c r="X1442" s="613"/>
      <c r="Y1442" s="613"/>
      <c r="Z1442" s="523"/>
      <c r="AA1442" s="613"/>
      <c r="AB1442" s="523"/>
      <c r="AC1442" s="523"/>
    </row>
    <row r="1443">
      <c r="A1443" s="613"/>
      <c r="B1443" s="612"/>
      <c r="C1443" s="613"/>
      <c r="D1443" s="613"/>
      <c r="E1443" s="613"/>
      <c r="F1443" s="613"/>
      <c r="G1443" s="613"/>
      <c r="H1443" s="613"/>
      <c r="I1443" s="523"/>
      <c r="J1443" s="612"/>
      <c r="K1443" s="612"/>
      <c r="L1443" s="613"/>
      <c r="M1443" s="613"/>
      <c r="N1443" s="613"/>
      <c r="O1443" s="616"/>
      <c r="P1443" s="613"/>
      <c r="Q1443" s="613"/>
      <c r="R1443" s="613"/>
      <c r="S1443" s="613"/>
      <c r="T1443" s="613"/>
      <c r="U1443" s="613"/>
      <c r="V1443" s="523"/>
      <c r="W1443" s="613"/>
      <c r="X1443" s="613"/>
      <c r="Y1443" s="613"/>
      <c r="Z1443" s="523"/>
      <c r="AA1443" s="613"/>
      <c r="AB1443" s="523"/>
      <c r="AC1443" s="523"/>
    </row>
    <row r="1444">
      <c r="A1444" s="613"/>
      <c r="B1444" s="612"/>
      <c r="C1444" s="613"/>
      <c r="D1444" s="613"/>
      <c r="E1444" s="613"/>
      <c r="F1444" s="613"/>
      <c r="G1444" s="613"/>
      <c r="H1444" s="613"/>
      <c r="I1444" s="523"/>
      <c r="J1444" s="612"/>
      <c r="K1444" s="612"/>
      <c r="L1444" s="613"/>
      <c r="M1444" s="613"/>
      <c r="N1444" s="613"/>
      <c r="O1444" s="616"/>
      <c r="P1444" s="613"/>
      <c r="Q1444" s="613"/>
      <c r="R1444" s="613"/>
      <c r="S1444" s="613"/>
      <c r="T1444" s="613"/>
      <c r="U1444" s="613"/>
      <c r="V1444" s="523"/>
      <c r="W1444" s="613"/>
      <c r="X1444" s="613"/>
      <c r="Y1444" s="613"/>
      <c r="Z1444" s="523"/>
      <c r="AA1444" s="613"/>
      <c r="AB1444" s="523"/>
      <c r="AC1444" s="523"/>
    </row>
    <row r="1445">
      <c r="A1445" s="613"/>
      <c r="B1445" s="612"/>
      <c r="C1445" s="613"/>
      <c r="D1445" s="613"/>
      <c r="E1445" s="613"/>
      <c r="F1445" s="613"/>
      <c r="G1445" s="613"/>
      <c r="H1445" s="613"/>
      <c r="I1445" s="523"/>
      <c r="J1445" s="612"/>
      <c r="K1445" s="612"/>
      <c r="L1445" s="613"/>
      <c r="M1445" s="613"/>
      <c r="N1445" s="613"/>
      <c r="O1445" s="616"/>
      <c r="P1445" s="613"/>
      <c r="Q1445" s="613"/>
      <c r="R1445" s="613"/>
      <c r="S1445" s="613"/>
      <c r="T1445" s="613"/>
      <c r="U1445" s="613"/>
      <c r="V1445" s="523"/>
      <c r="W1445" s="613"/>
      <c r="X1445" s="613"/>
      <c r="Y1445" s="613"/>
      <c r="Z1445" s="523"/>
      <c r="AA1445" s="613"/>
      <c r="AB1445" s="523"/>
      <c r="AC1445" s="523"/>
    </row>
    <row r="1446">
      <c r="A1446" s="613"/>
      <c r="B1446" s="612"/>
      <c r="C1446" s="613"/>
      <c r="D1446" s="613"/>
      <c r="E1446" s="613"/>
      <c r="F1446" s="613"/>
      <c r="G1446" s="613"/>
      <c r="H1446" s="613"/>
      <c r="I1446" s="523"/>
      <c r="J1446" s="612"/>
      <c r="K1446" s="612"/>
      <c r="L1446" s="613"/>
      <c r="M1446" s="613"/>
      <c r="N1446" s="613"/>
      <c r="O1446" s="616"/>
      <c r="P1446" s="613"/>
      <c r="Q1446" s="613"/>
      <c r="R1446" s="613"/>
      <c r="S1446" s="613"/>
      <c r="T1446" s="613"/>
      <c r="U1446" s="613"/>
      <c r="V1446" s="523"/>
      <c r="W1446" s="613"/>
      <c r="X1446" s="613"/>
      <c r="Y1446" s="613"/>
      <c r="Z1446" s="523"/>
      <c r="AA1446" s="613"/>
      <c r="AB1446" s="523"/>
      <c r="AC1446" s="523"/>
    </row>
    <row r="1447">
      <c r="A1447" s="613"/>
      <c r="B1447" s="612"/>
      <c r="C1447" s="613"/>
      <c r="D1447" s="613"/>
      <c r="E1447" s="613"/>
      <c r="F1447" s="613"/>
      <c r="G1447" s="613"/>
      <c r="H1447" s="613"/>
      <c r="I1447" s="523"/>
      <c r="J1447" s="612"/>
      <c r="K1447" s="612"/>
      <c r="L1447" s="613"/>
      <c r="M1447" s="613"/>
      <c r="N1447" s="613"/>
      <c r="O1447" s="616"/>
      <c r="P1447" s="613"/>
      <c r="Q1447" s="613"/>
      <c r="R1447" s="613"/>
      <c r="S1447" s="613"/>
      <c r="T1447" s="613"/>
      <c r="U1447" s="613"/>
      <c r="V1447" s="523"/>
      <c r="W1447" s="613"/>
      <c r="X1447" s="613"/>
      <c r="Y1447" s="613"/>
      <c r="Z1447" s="523"/>
      <c r="AA1447" s="613"/>
      <c r="AB1447" s="523"/>
      <c r="AC1447" s="523"/>
    </row>
    <row r="1448">
      <c r="A1448" s="613"/>
      <c r="B1448" s="612"/>
      <c r="C1448" s="613"/>
      <c r="D1448" s="613"/>
      <c r="E1448" s="613"/>
      <c r="F1448" s="613"/>
      <c r="G1448" s="613"/>
      <c r="H1448" s="613"/>
      <c r="I1448" s="523"/>
      <c r="J1448" s="612"/>
      <c r="K1448" s="612"/>
      <c r="L1448" s="613"/>
      <c r="M1448" s="613"/>
      <c r="N1448" s="613"/>
      <c r="O1448" s="616"/>
      <c r="P1448" s="613"/>
      <c r="Q1448" s="613"/>
      <c r="R1448" s="613"/>
      <c r="S1448" s="613"/>
      <c r="T1448" s="613"/>
      <c r="U1448" s="613"/>
      <c r="V1448" s="523"/>
      <c r="W1448" s="613"/>
      <c r="X1448" s="613"/>
      <c r="Y1448" s="613"/>
      <c r="Z1448" s="523"/>
      <c r="AA1448" s="613"/>
      <c r="AB1448" s="523"/>
      <c r="AC1448" s="523"/>
    </row>
    <row r="1449">
      <c r="A1449" s="613"/>
      <c r="B1449" s="612"/>
      <c r="C1449" s="613"/>
      <c r="D1449" s="613"/>
      <c r="E1449" s="613"/>
      <c r="F1449" s="613"/>
      <c r="G1449" s="613"/>
      <c r="H1449" s="613"/>
      <c r="I1449" s="523"/>
      <c r="J1449" s="612"/>
      <c r="K1449" s="612"/>
      <c r="L1449" s="613"/>
      <c r="M1449" s="613"/>
      <c r="N1449" s="613"/>
      <c r="O1449" s="616"/>
      <c r="P1449" s="613"/>
      <c r="Q1449" s="613"/>
      <c r="R1449" s="613"/>
      <c r="S1449" s="613"/>
      <c r="T1449" s="613"/>
      <c r="U1449" s="613"/>
      <c r="V1449" s="523"/>
      <c r="W1449" s="613"/>
      <c r="X1449" s="613"/>
      <c r="Y1449" s="613"/>
      <c r="Z1449" s="523"/>
      <c r="AA1449" s="613"/>
      <c r="AB1449" s="523"/>
      <c r="AC1449" s="523"/>
    </row>
    <row r="1450">
      <c r="A1450" s="613"/>
      <c r="B1450" s="612"/>
      <c r="C1450" s="613"/>
      <c r="D1450" s="613"/>
      <c r="E1450" s="613"/>
      <c r="F1450" s="613"/>
      <c r="G1450" s="613"/>
      <c r="H1450" s="613"/>
      <c r="I1450" s="523"/>
      <c r="J1450" s="612"/>
      <c r="K1450" s="612"/>
      <c r="L1450" s="613"/>
      <c r="M1450" s="613"/>
      <c r="N1450" s="613"/>
      <c r="O1450" s="616"/>
      <c r="P1450" s="613"/>
      <c r="Q1450" s="613"/>
      <c r="R1450" s="613"/>
      <c r="S1450" s="613"/>
      <c r="T1450" s="613"/>
      <c r="U1450" s="613"/>
      <c r="V1450" s="523"/>
      <c r="W1450" s="613"/>
      <c r="X1450" s="613"/>
      <c r="Y1450" s="613"/>
      <c r="Z1450" s="523"/>
      <c r="AA1450" s="613"/>
      <c r="AB1450" s="523"/>
      <c r="AC1450" s="523"/>
    </row>
    <row r="1451">
      <c r="A1451" s="613"/>
      <c r="B1451" s="612"/>
      <c r="C1451" s="613"/>
      <c r="D1451" s="613"/>
      <c r="E1451" s="613"/>
      <c r="F1451" s="613"/>
      <c r="G1451" s="613"/>
      <c r="H1451" s="613"/>
      <c r="I1451" s="523"/>
      <c r="J1451" s="612"/>
      <c r="K1451" s="612"/>
      <c r="L1451" s="613"/>
      <c r="M1451" s="613"/>
      <c r="N1451" s="613"/>
      <c r="O1451" s="616"/>
      <c r="P1451" s="613"/>
      <c r="Q1451" s="613"/>
      <c r="R1451" s="613"/>
      <c r="S1451" s="613"/>
      <c r="T1451" s="613"/>
      <c r="U1451" s="613"/>
      <c r="V1451" s="523"/>
      <c r="W1451" s="613"/>
      <c r="X1451" s="613"/>
      <c r="Y1451" s="613"/>
      <c r="Z1451" s="523"/>
      <c r="AA1451" s="613"/>
      <c r="AB1451" s="523"/>
      <c r="AC1451" s="523"/>
    </row>
    <row r="1452">
      <c r="A1452" s="613"/>
      <c r="B1452" s="612"/>
      <c r="C1452" s="613"/>
      <c r="D1452" s="613"/>
      <c r="E1452" s="613"/>
      <c r="F1452" s="613"/>
      <c r="G1452" s="613"/>
      <c r="H1452" s="613"/>
      <c r="I1452" s="523"/>
      <c r="J1452" s="612"/>
      <c r="K1452" s="612"/>
      <c r="L1452" s="613"/>
      <c r="M1452" s="613"/>
      <c r="N1452" s="613"/>
      <c r="O1452" s="616"/>
      <c r="P1452" s="613"/>
      <c r="Q1452" s="613"/>
      <c r="R1452" s="613"/>
      <c r="S1452" s="613"/>
      <c r="T1452" s="613"/>
      <c r="U1452" s="613"/>
      <c r="V1452" s="523"/>
      <c r="W1452" s="613"/>
      <c r="X1452" s="613"/>
      <c r="Y1452" s="613"/>
      <c r="Z1452" s="523"/>
      <c r="AA1452" s="613"/>
      <c r="AB1452" s="523"/>
      <c r="AC1452" s="523"/>
    </row>
    <row r="1453">
      <c r="A1453" s="613"/>
      <c r="B1453" s="612"/>
      <c r="C1453" s="613"/>
      <c r="D1453" s="613"/>
      <c r="E1453" s="613"/>
      <c r="F1453" s="613"/>
      <c r="G1453" s="613"/>
      <c r="H1453" s="613"/>
      <c r="I1453" s="523"/>
      <c r="J1453" s="612"/>
      <c r="K1453" s="612"/>
      <c r="L1453" s="613"/>
      <c r="M1453" s="613"/>
      <c r="N1453" s="613"/>
      <c r="O1453" s="616"/>
      <c r="P1453" s="613"/>
      <c r="Q1453" s="613"/>
      <c r="R1453" s="613"/>
      <c r="S1453" s="613"/>
      <c r="T1453" s="613"/>
      <c r="U1453" s="613"/>
      <c r="V1453" s="523"/>
      <c r="W1453" s="613"/>
      <c r="X1453" s="613"/>
      <c r="Y1453" s="613"/>
      <c r="Z1453" s="523"/>
      <c r="AA1453" s="613"/>
      <c r="AB1453" s="523"/>
      <c r="AC1453" s="523"/>
    </row>
    <row r="1454">
      <c r="A1454" s="613"/>
      <c r="B1454" s="612"/>
      <c r="C1454" s="613"/>
      <c r="D1454" s="613"/>
      <c r="E1454" s="613"/>
      <c r="F1454" s="613"/>
      <c r="G1454" s="613"/>
      <c r="H1454" s="613"/>
      <c r="I1454" s="523"/>
      <c r="J1454" s="612"/>
      <c r="K1454" s="612"/>
      <c r="L1454" s="613"/>
      <c r="M1454" s="613"/>
      <c r="N1454" s="613"/>
      <c r="O1454" s="616"/>
      <c r="P1454" s="613"/>
      <c r="Q1454" s="613"/>
      <c r="R1454" s="613"/>
      <c r="S1454" s="613"/>
      <c r="T1454" s="613"/>
      <c r="U1454" s="613"/>
      <c r="V1454" s="523"/>
      <c r="W1454" s="613"/>
      <c r="X1454" s="613"/>
      <c r="Y1454" s="613"/>
      <c r="Z1454" s="523"/>
      <c r="AA1454" s="613"/>
      <c r="AB1454" s="523"/>
      <c r="AC1454" s="523"/>
    </row>
    <row r="1455">
      <c r="A1455" s="613"/>
      <c r="B1455" s="612"/>
      <c r="C1455" s="613"/>
      <c r="D1455" s="613"/>
      <c r="E1455" s="613"/>
      <c r="F1455" s="613"/>
      <c r="G1455" s="613"/>
      <c r="H1455" s="613"/>
      <c r="I1455" s="523"/>
      <c r="J1455" s="612"/>
      <c r="K1455" s="612"/>
      <c r="L1455" s="613"/>
      <c r="M1455" s="613"/>
      <c r="N1455" s="613"/>
      <c r="O1455" s="616"/>
      <c r="P1455" s="613"/>
      <c r="Q1455" s="613"/>
      <c r="R1455" s="613"/>
      <c r="S1455" s="613"/>
      <c r="T1455" s="613"/>
      <c r="U1455" s="613"/>
      <c r="V1455" s="523"/>
      <c r="W1455" s="613"/>
      <c r="X1455" s="613"/>
      <c r="Y1455" s="613"/>
      <c r="Z1455" s="523"/>
      <c r="AA1455" s="613"/>
      <c r="AB1455" s="523"/>
      <c r="AC1455" s="523"/>
    </row>
    <row r="1456">
      <c r="A1456" s="613"/>
      <c r="B1456" s="612"/>
      <c r="C1456" s="613"/>
      <c r="D1456" s="613"/>
      <c r="E1456" s="613"/>
      <c r="F1456" s="613"/>
      <c r="G1456" s="613"/>
      <c r="H1456" s="613"/>
      <c r="I1456" s="523"/>
      <c r="J1456" s="612"/>
      <c r="K1456" s="612"/>
      <c r="L1456" s="613"/>
      <c r="M1456" s="613"/>
      <c r="N1456" s="613"/>
      <c r="O1456" s="616"/>
      <c r="P1456" s="613"/>
      <c r="Q1456" s="613"/>
      <c r="R1456" s="613"/>
      <c r="S1456" s="613"/>
      <c r="T1456" s="613"/>
      <c r="U1456" s="613"/>
      <c r="V1456" s="523"/>
      <c r="W1456" s="613"/>
      <c r="X1456" s="613"/>
      <c r="Y1456" s="613"/>
      <c r="Z1456" s="523"/>
      <c r="AA1456" s="613"/>
      <c r="AB1456" s="523"/>
      <c r="AC1456" s="523"/>
    </row>
    <row r="1457">
      <c r="A1457" s="613"/>
      <c r="B1457" s="612"/>
      <c r="C1457" s="613"/>
      <c r="D1457" s="613"/>
      <c r="E1457" s="613"/>
      <c r="F1457" s="613"/>
      <c r="G1457" s="613"/>
      <c r="H1457" s="613"/>
      <c r="I1457" s="523"/>
      <c r="J1457" s="612"/>
      <c r="K1457" s="612"/>
      <c r="L1457" s="613"/>
      <c r="M1457" s="613"/>
      <c r="N1457" s="613"/>
      <c r="O1457" s="616"/>
      <c r="P1457" s="613"/>
      <c r="Q1457" s="613"/>
      <c r="R1457" s="613"/>
      <c r="S1457" s="613"/>
      <c r="T1457" s="613"/>
      <c r="U1457" s="613"/>
      <c r="V1457" s="523"/>
      <c r="W1457" s="613"/>
      <c r="X1457" s="613"/>
      <c r="Y1457" s="613"/>
      <c r="Z1457" s="523"/>
      <c r="AA1457" s="613"/>
      <c r="AB1457" s="523"/>
      <c r="AC1457" s="523"/>
    </row>
    <row r="1458">
      <c r="A1458" s="613"/>
      <c r="B1458" s="612"/>
      <c r="C1458" s="613"/>
      <c r="D1458" s="613"/>
      <c r="E1458" s="613"/>
      <c r="F1458" s="613"/>
      <c r="G1458" s="613"/>
      <c r="H1458" s="613"/>
      <c r="I1458" s="523"/>
      <c r="J1458" s="612"/>
      <c r="K1458" s="612"/>
      <c r="L1458" s="613"/>
      <c r="M1458" s="613"/>
      <c r="N1458" s="613"/>
      <c r="O1458" s="616"/>
      <c r="P1458" s="613"/>
      <c r="Q1458" s="613"/>
      <c r="R1458" s="613"/>
      <c r="S1458" s="613"/>
      <c r="T1458" s="613"/>
      <c r="U1458" s="613"/>
      <c r="V1458" s="523"/>
      <c r="W1458" s="613"/>
      <c r="X1458" s="613"/>
      <c r="Y1458" s="613"/>
      <c r="Z1458" s="523"/>
      <c r="AA1458" s="613"/>
      <c r="AB1458" s="523"/>
      <c r="AC1458" s="523"/>
    </row>
    <row r="1459">
      <c r="A1459" s="613"/>
      <c r="B1459" s="612"/>
      <c r="C1459" s="613"/>
      <c r="D1459" s="613"/>
      <c r="E1459" s="613"/>
      <c r="F1459" s="613"/>
      <c r="G1459" s="613"/>
      <c r="H1459" s="613"/>
      <c r="I1459" s="523"/>
      <c r="J1459" s="612"/>
      <c r="K1459" s="612"/>
      <c r="L1459" s="613"/>
      <c r="M1459" s="613"/>
      <c r="N1459" s="613"/>
      <c r="O1459" s="616"/>
      <c r="P1459" s="613"/>
      <c r="Q1459" s="613"/>
      <c r="R1459" s="613"/>
      <c r="S1459" s="613"/>
      <c r="T1459" s="613"/>
      <c r="U1459" s="613"/>
      <c r="V1459" s="523"/>
      <c r="W1459" s="613"/>
      <c r="X1459" s="613"/>
      <c r="Y1459" s="613"/>
      <c r="Z1459" s="523"/>
      <c r="AA1459" s="613"/>
      <c r="AB1459" s="523"/>
      <c r="AC1459" s="523"/>
    </row>
    <row r="1460">
      <c r="A1460" s="613"/>
      <c r="B1460" s="612"/>
      <c r="C1460" s="613"/>
      <c r="D1460" s="613"/>
      <c r="E1460" s="613"/>
      <c r="F1460" s="613"/>
      <c r="G1460" s="613"/>
      <c r="H1460" s="613"/>
      <c r="I1460" s="523"/>
      <c r="J1460" s="612"/>
      <c r="K1460" s="612"/>
      <c r="L1460" s="613"/>
      <c r="M1460" s="613"/>
      <c r="N1460" s="613"/>
      <c r="O1460" s="616"/>
      <c r="P1460" s="613"/>
      <c r="Q1460" s="613"/>
      <c r="R1460" s="613"/>
      <c r="S1460" s="613"/>
      <c r="T1460" s="613"/>
      <c r="U1460" s="613"/>
      <c r="V1460" s="523"/>
      <c r="W1460" s="613"/>
      <c r="X1460" s="613"/>
      <c r="Y1460" s="613"/>
      <c r="Z1460" s="523"/>
      <c r="AA1460" s="613"/>
      <c r="AB1460" s="523"/>
      <c r="AC1460" s="523"/>
    </row>
    <row r="1461">
      <c r="A1461" s="613"/>
      <c r="B1461" s="612"/>
      <c r="C1461" s="613"/>
      <c r="D1461" s="613"/>
      <c r="E1461" s="613"/>
      <c r="F1461" s="613"/>
      <c r="G1461" s="613"/>
      <c r="H1461" s="613"/>
      <c r="I1461" s="523"/>
      <c r="J1461" s="612"/>
      <c r="K1461" s="612"/>
      <c r="L1461" s="613"/>
      <c r="M1461" s="613"/>
      <c r="N1461" s="613"/>
      <c r="O1461" s="616"/>
      <c r="P1461" s="613"/>
      <c r="Q1461" s="613"/>
      <c r="R1461" s="613"/>
      <c r="S1461" s="613"/>
      <c r="T1461" s="613"/>
      <c r="U1461" s="613"/>
      <c r="V1461" s="523"/>
      <c r="W1461" s="613"/>
      <c r="X1461" s="613"/>
      <c r="Y1461" s="613"/>
      <c r="Z1461" s="523"/>
      <c r="AA1461" s="613"/>
      <c r="AB1461" s="523"/>
      <c r="AC1461" s="523"/>
    </row>
    <row r="1462">
      <c r="A1462" s="613"/>
      <c r="B1462" s="612"/>
      <c r="C1462" s="613"/>
      <c r="D1462" s="613"/>
      <c r="E1462" s="613"/>
      <c r="F1462" s="613"/>
      <c r="G1462" s="613"/>
      <c r="H1462" s="613"/>
      <c r="I1462" s="523"/>
      <c r="J1462" s="612"/>
      <c r="K1462" s="612"/>
      <c r="L1462" s="613"/>
      <c r="M1462" s="613"/>
      <c r="N1462" s="613"/>
      <c r="O1462" s="616"/>
      <c r="P1462" s="613"/>
      <c r="Q1462" s="613"/>
      <c r="R1462" s="613"/>
      <c r="S1462" s="613"/>
      <c r="T1462" s="613"/>
      <c r="U1462" s="613"/>
      <c r="V1462" s="523"/>
      <c r="W1462" s="613"/>
      <c r="X1462" s="613"/>
      <c r="Y1462" s="613"/>
      <c r="Z1462" s="523"/>
      <c r="AA1462" s="613"/>
      <c r="AB1462" s="523"/>
      <c r="AC1462" s="523"/>
    </row>
    <row r="1463">
      <c r="A1463" s="613"/>
      <c r="B1463" s="612"/>
      <c r="C1463" s="613"/>
      <c r="D1463" s="613"/>
      <c r="E1463" s="613"/>
      <c r="F1463" s="613"/>
      <c r="G1463" s="613"/>
      <c r="H1463" s="613"/>
      <c r="I1463" s="523"/>
      <c r="J1463" s="612"/>
      <c r="K1463" s="612"/>
      <c r="L1463" s="613"/>
      <c r="M1463" s="613"/>
      <c r="N1463" s="613"/>
      <c r="O1463" s="616"/>
      <c r="P1463" s="613"/>
      <c r="Q1463" s="613"/>
      <c r="R1463" s="613"/>
      <c r="S1463" s="613"/>
      <c r="T1463" s="613"/>
      <c r="U1463" s="613"/>
      <c r="V1463" s="523"/>
      <c r="W1463" s="613"/>
      <c r="X1463" s="613"/>
      <c r="Y1463" s="613"/>
      <c r="Z1463" s="523"/>
      <c r="AA1463" s="613"/>
      <c r="AB1463" s="523"/>
      <c r="AC1463" s="523"/>
    </row>
    <row r="1464">
      <c r="A1464" s="613"/>
      <c r="B1464" s="612"/>
      <c r="C1464" s="613"/>
      <c r="D1464" s="613"/>
      <c r="E1464" s="613"/>
      <c r="F1464" s="613"/>
      <c r="G1464" s="613"/>
      <c r="H1464" s="613"/>
      <c r="I1464" s="523"/>
      <c r="J1464" s="612"/>
      <c r="K1464" s="612"/>
      <c r="L1464" s="613"/>
      <c r="M1464" s="613"/>
      <c r="N1464" s="613"/>
      <c r="O1464" s="616"/>
      <c r="P1464" s="613"/>
      <c r="Q1464" s="613"/>
      <c r="R1464" s="613"/>
      <c r="S1464" s="613"/>
      <c r="T1464" s="613"/>
      <c r="U1464" s="613"/>
      <c r="V1464" s="523"/>
      <c r="W1464" s="613"/>
      <c r="X1464" s="613"/>
      <c r="Y1464" s="613"/>
      <c r="Z1464" s="523"/>
      <c r="AA1464" s="613"/>
      <c r="AB1464" s="523"/>
      <c r="AC1464" s="523"/>
    </row>
    <row r="1465">
      <c r="A1465" s="613"/>
      <c r="B1465" s="612"/>
      <c r="C1465" s="613"/>
      <c r="D1465" s="613"/>
      <c r="E1465" s="613"/>
      <c r="F1465" s="613"/>
      <c r="G1465" s="613"/>
      <c r="H1465" s="613"/>
      <c r="I1465" s="523"/>
      <c r="J1465" s="612"/>
      <c r="K1465" s="612"/>
      <c r="L1465" s="613"/>
      <c r="M1465" s="613"/>
      <c r="N1465" s="613"/>
      <c r="O1465" s="616"/>
      <c r="P1465" s="613"/>
      <c r="Q1465" s="613"/>
      <c r="R1465" s="613"/>
      <c r="S1465" s="613"/>
      <c r="T1465" s="613"/>
      <c r="U1465" s="613"/>
      <c r="V1465" s="523"/>
      <c r="W1465" s="613"/>
      <c r="X1465" s="613"/>
      <c r="Y1465" s="613"/>
      <c r="Z1465" s="523"/>
      <c r="AA1465" s="613"/>
      <c r="AB1465" s="523"/>
      <c r="AC1465" s="523"/>
    </row>
    <row r="1466">
      <c r="A1466" s="613"/>
      <c r="B1466" s="612"/>
      <c r="C1466" s="613"/>
      <c r="D1466" s="613"/>
      <c r="E1466" s="613"/>
      <c r="F1466" s="613"/>
      <c r="G1466" s="613"/>
      <c r="H1466" s="613"/>
      <c r="I1466" s="523"/>
      <c r="J1466" s="612"/>
      <c r="K1466" s="612"/>
      <c r="L1466" s="613"/>
      <c r="M1466" s="613"/>
      <c r="N1466" s="613"/>
      <c r="O1466" s="616"/>
      <c r="P1466" s="613"/>
      <c r="Q1466" s="613"/>
      <c r="R1466" s="613"/>
      <c r="S1466" s="613"/>
      <c r="T1466" s="613"/>
      <c r="U1466" s="613"/>
      <c r="V1466" s="523"/>
      <c r="W1466" s="613"/>
      <c r="X1466" s="613"/>
      <c r="Y1466" s="613"/>
      <c r="Z1466" s="523"/>
      <c r="AA1466" s="613"/>
      <c r="AB1466" s="523"/>
      <c r="AC1466" s="523"/>
    </row>
    <row r="1467">
      <c r="A1467" s="613"/>
      <c r="B1467" s="612"/>
      <c r="C1467" s="613"/>
      <c r="D1467" s="613"/>
      <c r="E1467" s="613"/>
      <c r="F1467" s="613"/>
      <c r="G1467" s="613"/>
      <c r="H1467" s="613"/>
      <c r="I1467" s="523"/>
      <c r="J1467" s="612"/>
      <c r="K1467" s="612"/>
      <c r="L1467" s="613"/>
      <c r="M1467" s="613"/>
      <c r="N1467" s="613"/>
      <c r="O1467" s="616"/>
      <c r="P1467" s="613"/>
      <c r="Q1467" s="613"/>
      <c r="R1467" s="613"/>
      <c r="S1467" s="613"/>
      <c r="T1467" s="613"/>
      <c r="U1467" s="613"/>
      <c r="V1467" s="523"/>
      <c r="W1467" s="613"/>
      <c r="X1467" s="613"/>
      <c r="Y1467" s="613"/>
      <c r="Z1467" s="523"/>
      <c r="AA1467" s="613"/>
      <c r="AB1467" s="523"/>
      <c r="AC1467" s="523"/>
    </row>
    <row r="1468">
      <c r="A1468" s="613"/>
      <c r="B1468" s="612"/>
      <c r="C1468" s="613"/>
      <c r="D1468" s="613"/>
      <c r="E1468" s="613"/>
      <c r="F1468" s="613"/>
      <c r="G1468" s="613"/>
      <c r="H1468" s="613"/>
      <c r="I1468" s="523"/>
      <c r="J1468" s="612"/>
      <c r="K1468" s="612"/>
      <c r="L1468" s="613"/>
      <c r="M1468" s="613"/>
      <c r="N1468" s="613"/>
      <c r="O1468" s="616"/>
      <c r="P1468" s="613"/>
      <c r="Q1468" s="613"/>
      <c r="R1468" s="613"/>
      <c r="S1468" s="613"/>
      <c r="T1468" s="613"/>
      <c r="U1468" s="613"/>
      <c r="V1468" s="523"/>
      <c r="W1468" s="613"/>
      <c r="X1468" s="613"/>
      <c r="Y1468" s="613"/>
      <c r="Z1468" s="523"/>
      <c r="AA1468" s="613"/>
      <c r="AB1468" s="523"/>
      <c r="AC1468" s="523"/>
    </row>
    <row r="1469">
      <c r="A1469" s="613"/>
      <c r="B1469" s="612"/>
      <c r="C1469" s="613"/>
      <c r="D1469" s="613"/>
      <c r="E1469" s="613"/>
      <c r="F1469" s="613"/>
      <c r="G1469" s="613"/>
      <c r="H1469" s="613"/>
      <c r="I1469" s="523"/>
      <c r="J1469" s="612"/>
      <c r="K1469" s="612"/>
      <c r="L1469" s="613"/>
      <c r="M1469" s="613"/>
      <c r="N1469" s="613"/>
      <c r="O1469" s="616"/>
      <c r="P1469" s="613"/>
      <c r="Q1469" s="613"/>
      <c r="R1469" s="613"/>
      <c r="S1469" s="613"/>
      <c r="T1469" s="613"/>
      <c r="U1469" s="613"/>
      <c r="V1469" s="523"/>
      <c r="W1469" s="613"/>
      <c r="X1469" s="613"/>
      <c r="Y1469" s="613"/>
      <c r="Z1469" s="523"/>
      <c r="AA1469" s="613"/>
      <c r="AB1469" s="523"/>
      <c r="AC1469" s="523"/>
    </row>
    <row r="1470">
      <c r="A1470" s="613"/>
      <c r="B1470" s="612"/>
      <c r="C1470" s="613"/>
      <c r="D1470" s="613"/>
      <c r="E1470" s="613"/>
      <c r="F1470" s="613"/>
      <c r="G1470" s="613"/>
      <c r="H1470" s="613"/>
      <c r="I1470" s="523"/>
      <c r="J1470" s="612"/>
      <c r="K1470" s="612"/>
      <c r="L1470" s="613"/>
      <c r="M1470" s="613"/>
      <c r="N1470" s="613"/>
      <c r="O1470" s="616"/>
      <c r="P1470" s="613"/>
      <c r="Q1470" s="613"/>
      <c r="R1470" s="613"/>
      <c r="S1470" s="613"/>
      <c r="T1470" s="613"/>
      <c r="U1470" s="613"/>
      <c r="V1470" s="523"/>
      <c r="W1470" s="613"/>
      <c r="X1470" s="613"/>
      <c r="Y1470" s="613"/>
      <c r="Z1470" s="523"/>
      <c r="AA1470" s="613"/>
      <c r="AB1470" s="523"/>
      <c r="AC1470" s="523"/>
    </row>
    <row r="1471">
      <c r="A1471" s="613"/>
      <c r="B1471" s="612"/>
      <c r="C1471" s="613"/>
      <c r="D1471" s="613"/>
      <c r="E1471" s="613"/>
      <c r="F1471" s="613"/>
      <c r="G1471" s="613"/>
      <c r="H1471" s="613"/>
      <c r="I1471" s="523"/>
      <c r="J1471" s="612"/>
      <c r="K1471" s="612"/>
      <c r="L1471" s="613"/>
      <c r="M1471" s="613"/>
      <c r="N1471" s="613"/>
      <c r="O1471" s="616"/>
      <c r="P1471" s="613"/>
      <c r="Q1471" s="613"/>
      <c r="R1471" s="613"/>
      <c r="S1471" s="613"/>
      <c r="T1471" s="613"/>
      <c r="U1471" s="613"/>
      <c r="V1471" s="523"/>
      <c r="W1471" s="613"/>
      <c r="X1471" s="613"/>
      <c r="Y1471" s="613"/>
      <c r="Z1471" s="523"/>
      <c r="AA1471" s="613"/>
      <c r="AB1471" s="523"/>
      <c r="AC1471" s="523"/>
    </row>
    <row r="1472">
      <c r="A1472" s="613"/>
      <c r="B1472" s="612"/>
      <c r="C1472" s="613"/>
      <c r="D1472" s="613"/>
      <c r="E1472" s="613"/>
      <c r="F1472" s="613"/>
      <c r="G1472" s="613"/>
      <c r="H1472" s="613"/>
      <c r="I1472" s="523"/>
      <c r="J1472" s="612"/>
      <c r="K1472" s="612"/>
      <c r="L1472" s="613"/>
      <c r="M1472" s="613"/>
      <c r="N1472" s="613"/>
      <c r="O1472" s="616"/>
      <c r="P1472" s="613"/>
      <c r="Q1472" s="613"/>
      <c r="R1472" s="613"/>
      <c r="S1472" s="613"/>
      <c r="T1472" s="613"/>
      <c r="U1472" s="613"/>
      <c r="V1472" s="523"/>
      <c r="W1472" s="613"/>
      <c r="X1472" s="613"/>
      <c r="Y1472" s="613"/>
      <c r="Z1472" s="523"/>
      <c r="AA1472" s="613"/>
      <c r="AB1472" s="523"/>
      <c r="AC1472" s="523"/>
    </row>
    <row r="1473">
      <c r="A1473" s="613"/>
      <c r="B1473" s="612"/>
      <c r="C1473" s="613"/>
      <c r="D1473" s="613"/>
      <c r="E1473" s="613"/>
      <c r="F1473" s="613"/>
      <c r="G1473" s="613"/>
      <c r="H1473" s="613"/>
      <c r="I1473" s="523"/>
      <c r="J1473" s="612"/>
      <c r="K1473" s="612"/>
      <c r="L1473" s="613"/>
      <c r="M1473" s="613"/>
      <c r="N1473" s="613"/>
      <c r="O1473" s="616"/>
      <c r="P1473" s="613"/>
      <c r="Q1473" s="613"/>
      <c r="R1473" s="613"/>
      <c r="S1473" s="613"/>
      <c r="T1473" s="613"/>
      <c r="U1473" s="613"/>
      <c r="V1473" s="523"/>
      <c r="W1473" s="613"/>
      <c r="X1473" s="613"/>
      <c r="Y1473" s="613"/>
      <c r="Z1473" s="523"/>
      <c r="AA1473" s="613"/>
      <c r="AB1473" s="523"/>
      <c r="AC1473" s="523"/>
    </row>
    <row r="1474">
      <c r="A1474" s="613"/>
      <c r="B1474" s="612"/>
      <c r="C1474" s="613"/>
      <c r="D1474" s="613"/>
      <c r="E1474" s="613"/>
      <c r="F1474" s="613"/>
      <c r="G1474" s="613"/>
      <c r="H1474" s="613"/>
      <c r="I1474" s="523"/>
      <c r="J1474" s="612"/>
      <c r="K1474" s="612"/>
      <c r="L1474" s="613"/>
      <c r="M1474" s="613"/>
      <c r="N1474" s="613"/>
      <c r="O1474" s="616"/>
      <c r="P1474" s="613"/>
      <c r="Q1474" s="613"/>
      <c r="R1474" s="613"/>
      <c r="S1474" s="613"/>
      <c r="T1474" s="613"/>
      <c r="U1474" s="613"/>
      <c r="V1474" s="523"/>
      <c r="W1474" s="613"/>
      <c r="X1474" s="613"/>
      <c r="Y1474" s="613"/>
      <c r="Z1474" s="523"/>
      <c r="AA1474" s="613"/>
      <c r="AB1474" s="523"/>
      <c r="AC1474" s="523"/>
    </row>
    <row r="1475">
      <c r="A1475" s="613"/>
      <c r="B1475" s="612"/>
      <c r="C1475" s="613"/>
      <c r="D1475" s="613"/>
      <c r="E1475" s="613"/>
      <c r="F1475" s="613"/>
      <c r="G1475" s="613"/>
      <c r="H1475" s="613"/>
      <c r="I1475" s="523"/>
      <c r="J1475" s="612"/>
      <c r="K1475" s="612"/>
      <c r="L1475" s="613"/>
      <c r="M1475" s="613"/>
      <c r="N1475" s="613"/>
      <c r="O1475" s="616"/>
      <c r="P1475" s="613"/>
      <c r="Q1475" s="613"/>
      <c r="R1475" s="613"/>
      <c r="S1475" s="613"/>
      <c r="T1475" s="613"/>
      <c r="U1475" s="613"/>
      <c r="V1475" s="523"/>
      <c r="W1475" s="613"/>
      <c r="X1475" s="613"/>
      <c r="Y1475" s="613"/>
      <c r="Z1475" s="523"/>
      <c r="AA1475" s="613"/>
      <c r="AB1475" s="523"/>
      <c r="AC1475" s="523"/>
    </row>
    <row r="1476">
      <c r="A1476" s="613"/>
      <c r="B1476" s="612"/>
      <c r="C1476" s="613"/>
      <c r="D1476" s="613"/>
      <c r="E1476" s="613"/>
      <c r="F1476" s="613"/>
      <c r="G1476" s="613"/>
      <c r="H1476" s="613"/>
      <c r="I1476" s="523"/>
      <c r="J1476" s="612"/>
      <c r="K1476" s="612"/>
      <c r="L1476" s="613"/>
      <c r="M1476" s="613"/>
      <c r="N1476" s="613"/>
      <c r="O1476" s="616"/>
      <c r="P1476" s="613"/>
      <c r="Q1476" s="613"/>
      <c r="R1476" s="613"/>
      <c r="S1476" s="613"/>
      <c r="T1476" s="613"/>
      <c r="U1476" s="613"/>
      <c r="V1476" s="523"/>
      <c r="W1476" s="613"/>
      <c r="X1476" s="613"/>
      <c r="Y1476" s="613"/>
      <c r="Z1476" s="523"/>
      <c r="AA1476" s="613"/>
      <c r="AB1476" s="523"/>
      <c r="AC1476" s="523"/>
    </row>
    <row r="1477">
      <c r="A1477" s="613"/>
      <c r="B1477" s="612"/>
      <c r="C1477" s="613"/>
      <c r="D1477" s="613"/>
      <c r="E1477" s="613"/>
      <c r="F1477" s="613"/>
      <c r="G1477" s="613"/>
      <c r="H1477" s="613"/>
      <c r="I1477" s="523"/>
      <c r="J1477" s="612"/>
      <c r="K1477" s="612"/>
      <c r="L1477" s="613"/>
      <c r="M1477" s="613"/>
      <c r="N1477" s="613"/>
      <c r="O1477" s="616"/>
      <c r="P1477" s="613"/>
      <c r="Q1477" s="613"/>
      <c r="R1477" s="613"/>
      <c r="S1477" s="613"/>
      <c r="T1477" s="613"/>
      <c r="U1477" s="613"/>
      <c r="V1477" s="523"/>
      <c r="W1477" s="613"/>
      <c r="X1477" s="613"/>
      <c r="Y1477" s="613"/>
      <c r="Z1477" s="523"/>
      <c r="AA1477" s="613"/>
      <c r="AB1477" s="523"/>
      <c r="AC1477" s="523"/>
    </row>
    <row r="1478">
      <c r="A1478" s="613"/>
      <c r="B1478" s="612"/>
      <c r="C1478" s="613"/>
      <c r="D1478" s="613"/>
      <c r="E1478" s="613"/>
      <c r="F1478" s="613"/>
      <c r="G1478" s="613"/>
      <c r="H1478" s="613"/>
      <c r="I1478" s="523"/>
      <c r="J1478" s="612"/>
      <c r="K1478" s="612"/>
      <c r="L1478" s="613"/>
      <c r="M1478" s="613"/>
      <c r="N1478" s="613"/>
      <c r="O1478" s="616"/>
      <c r="P1478" s="613"/>
      <c r="Q1478" s="613"/>
      <c r="R1478" s="613"/>
      <c r="S1478" s="613"/>
      <c r="T1478" s="613"/>
      <c r="U1478" s="613"/>
      <c r="V1478" s="523"/>
      <c r="W1478" s="613"/>
      <c r="X1478" s="613"/>
      <c r="Y1478" s="613"/>
      <c r="Z1478" s="523"/>
      <c r="AA1478" s="613"/>
      <c r="AB1478" s="523"/>
      <c r="AC1478" s="523"/>
    </row>
    <row r="1479">
      <c r="A1479" s="613"/>
      <c r="B1479" s="612"/>
      <c r="C1479" s="613"/>
      <c r="D1479" s="613"/>
      <c r="E1479" s="613"/>
      <c r="F1479" s="613"/>
      <c r="G1479" s="613"/>
      <c r="H1479" s="613"/>
      <c r="I1479" s="523"/>
      <c r="J1479" s="612"/>
      <c r="K1479" s="612"/>
      <c r="L1479" s="613"/>
      <c r="M1479" s="613"/>
      <c r="N1479" s="613"/>
      <c r="O1479" s="616"/>
      <c r="P1479" s="613"/>
      <c r="Q1479" s="613"/>
      <c r="R1479" s="613"/>
      <c r="S1479" s="613"/>
      <c r="T1479" s="613"/>
      <c r="U1479" s="613"/>
      <c r="V1479" s="523"/>
      <c r="W1479" s="613"/>
      <c r="X1479" s="613"/>
      <c r="Y1479" s="613"/>
      <c r="Z1479" s="523"/>
      <c r="AA1479" s="613"/>
      <c r="AB1479" s="523"/>
      <c r="AC1479" s="523"/>
    </row>
    <row r="1480">
      <c r="A1480" s="613"/>
      <c r="B1480" s="612"/>
      <c r="C1480" s="613"/>
      <c r="D1480" s="613"/>
      <c r="E1480" s="613"/>
      <c r="F1480" s="613"/>
      <c r="G1480" s="613"/>
      <c r="H1480" s="613"/>
      <c r="I1480" s="523"/>
      <c r="J1480" s="612"/>
      <c r="K1480" s="612"/>
      <c r="L1480" s="613"/>
      <c r="M1480" s="613"/>
      <c r="N1480" s="613"/>
      <c r="O1480" s="616"/>
      <c r="P1480" s="613"/>
      <c r="Q1480" s="613"/>
      <c r="R1480" s="613"/>
      <c r="S1480" s="613"/>
      <c r="T1480" s="613"/>
      <c r="U1480" s="613"/>
      <c r="V1480" s="523"/>
      <c r="W1480" s="613"/>
      <c r="X1480" s="613"/>
      <c r="Y1480" s="613"/>
      <c r="Z1480" s="523"/>
      <c r="AA1480" s="613"/>
      <c r="AB1480" s="523"/>
      <c r="AC1480" s="523"/>
    </row>
    <row r="1481">
      <c r="A1481" s="613"/>
      <c r="B1481" s="612"/>
      <c r="C1481" s="613"/>
      <c r="D1481" s="613"/>
      <c r="E1481" s="613"/>
      <c r="F1481" s="613"/>
      <c r="G1481" s="613"/>
      <c r="H1481" s="613"/>
      <c r="I1481" s="523"/>
      <c r="J1481" s="612"/>
      <c r="K1481" s="612"/>
      <c r="L1481" s="613"/>
      <c r="M1481" s="613"/>
      <c r="N1481" s="613"/>
      <c r="O1481" s="616"/>
      <c r="P1481" s="613"/>
      <c r="Q1481" s="613"/>
      <c r="R1481" s="613"/>
      <c r="S1481" s="613"/>
      <c r="T1481" s="613"/>
      <c r="U1481" s="613"/>
      <c r="V1481" s="523"/>
      <c r="W1481" s="613"/>
      <c r="X1481" s="613"/>
      <c r="Y1481" s="613"/>
      <c r="Z1481" s="523"/>
      <c r="AA1481" s="613"/>
      <c r="AB1481" s="523"/>
      <c r="AC1481" s="523"/>
    </row>
    <row r="1482">
      <c r="A1482" s="613"/>
      <c r="B1482" s="612"/>
      <c r="C1482" s="613"/>
      <c r="D1482" s="613"/>
      <c r="E1482" s="613"/>
      <c r="F1482" s="613"/>
      <c r="G1482" s="613"/>
      <c r="H1482" s="613"/>
      <c r="I1482" s="523"/>
      <c r="J1482" s="612"/>
      <c r="K1482" s="612"/>
      <c r="L1482" s="613"/>
      <c r="M1482" s="613"/>
      <c r="N1482" s="613"/>
      <c r="O1482" s="616"/>
      <c r="P1482" s="613"/>
      <c r="Q1482" s="613"/>
      <c r="R1482" s="613"/>
      <c r="S1482" s="613"/>
      <c r="T1482" s="613"/>
      <c r="U1482" s="613"/>
      <c r="V1482" s="523"/>
      <c r="W1482" s="613"/>
      <c r="X1482" s="613"/>
      <c r="Y1482" s="613"/>
      <c r="Z1482" s="523"/>
      <c r="AA1482" s="613"/>
      <c r="AB1482" s="523"/>
      <c r="AC1482" s="523"/>
    </row>
    <row r="1483">
      <c r="A1483" s="613"/>
      <c r="B1483" s="612"/>
      <c r="C1483" s="613"/>
      <c r="D1483" s="613"/>
      <c r="E1483" s="613"/>
      <c r="F1483" s="613"/>
      <c r="G1483" s="613"/>
      <c r="H1483" s="613"/>
      <c r="I1483" s="523"/>
      <c r="J1483" s="612"/>
      <c r="K1483" s="612"/>
      <c r="L1483" s="613"/>
      <c r="M1483" s="613"/>
      <c r="N1483" s="613"/>
      <c r="O1483" s="616"/>
      <c r="P1483" s="613"/>
      <c r="Q1483" s="613"/>
      <c r="R1483" s="613"/>
      <c r="S1483" s="613"/>
      <c r="T1483" s="613"/>
      <c r="U1483" s="613"/>
      <c r="V1483" s="523"/>
      <c r="W1483" s="613"/>
      <c r="X1483" s="613"/>
      <c r="Y1483" s="613"/>
      <c r="Z1483" s="523"/>
      <c r="AA1483" s="613"/>
      <c r="AB1483" s="523"/>
      <c r="AC1483" s="523"/>
    </row>
    <row r="1484">
      <c r="A1484" s="613"/>
      <c r="B1484" s="612"/>
      <c r="C1484" s="613"/>
      <c r="D1484" s="613"/>
      <c r="E1484" s="613"/>
      <c r="F1484" s="613"/>
      <c r="G1484" s="613"/>
      <c r="H1484" s="613"/>
      <c r="I1484" s="523"/>
      <c r="J1484" s="612"/>
      <c r="K1484" s="612"/>
      <c r="L1484" s="613"/>
      <c r="M1484" s="613"/>
      <c r="N1484" s="613"/>
      <c r="O1484" s="616"/>
      <c r="P1484" s="613"/>
      <c r="Q1484" s="613"/>
      <c r="R1484" s="613"/>
      <c r="S1484" s="613"/>
      <c r="T1484" s="613"/>
      <c r="U1484" s="613"/>
      <c r="V1484" s="523"/>
      <c r="W1484" s="613"/>
      <c r="X1484" s="613"/>
      <c r="Y1484" s="613"/>
      <c r="Z1484" s="523"/>
      <c r="AA1484" s="613"/>
      <c r="AB1484" s="523"/>
      <c r="AC1484" s="523"/>
    </row>
    <row r="1485">
      <c r="A1485" s="613"/>
      <c r="B1485" s="612"/>
      <c r="C1485" s="613"/>
      <c r="D1485" s="613"/>
      <c r="E1485" s="613"/>
      <c r="F1485" s="613"/>
      <c r="G1485" s="613"/>
      <c r="H1485" s="613"/>
      <c r="I1485" s="523"/>
      <c r="J1485" s="612"/>
      <c r="K1485" s="612"/>
      <c r="L1485" s="613"/>
      <c r="M1485" s="613"/>
      <c r="N1485" s="613"/>
      <c r="O1485" s="616"/>
      <c r="P1485" s="613"/>
      <c r="Q1485" s="613"/>
      <c r="R1485" s="613"/>
      <c r="S1485" s="613"/>
      <c r="T1485" s="613"/>
      <c r="U1485" s="613"/>
      <c r="V1485" s="523"/>
      <c r="W1485" s="613"/>
      <c r="X1485" s="613"/>
      <c r="Y1485" s="613"/>
      <c r="Z1485" s="523"/>
      <c r="AA1485" s="613"/>
      <c r="AB1485" s="523"/>
      <c r="AC1485" s="523"/>
    </row>
    <row r="1486">
      <c r="A1486" s="613"/>
      <c r="B1486" s="612"/>
      <c r="C1486" s="613"/>
      <c r="D1486" s="613"/>
      <c r="E1486" s="613"/>
      <c r="F1486" s="613"/>
      <c r="G1486" s="613"/>
      <c r="H1486" s="613"/>
      <c r="I1486" s="523"/>
      <c r="J1486" s="612"/>
      <c r="K1486" s="612"/>
      <c r="L1486" s="613"/>
      <c r="M1486" s="613"/>
      <c r="N1486" s="613"/>
      <c r="O1486" s="616"/>
      <c r="P1486" s="613"/>
      <c r="Q1486" s="613"/>
      <c r="R1486" s="613"/>
      <c r="S1486" s="613"/>
      <c r="T1486" s="613"/>
      <c r="U1486" s="613"/>
      <c r="V1486" s="523"/>
      <c r="W1486" s="613"/>
      <c r="X1486" s="613"/>
      <c r="Y1486" s="613"/>
      <c r="Z1486" s="523"/>
      <c r="AA1486" s="613"/>
      <c r="AB1486" s="523"/>
      <c r="AC1486" s="523"/>
    </row>
    <row r="1487">
      <c r="A1487" s="613"/>
      <c r="B1487" s="612"/>
      <c r="C1487" s="613"/>
      <c r="D1487" s="613"/>
      <c r="E1487" s="613"/>
      <c r="F1487" s="613"/>
      <c r="G1487" s="613"/>
      <c r="H1487" s="613"/>
      <c r="I1487" s="523"/>
      <c r="J1487" s="612"/>
      <c r="K1487" s="612"/>
      <c r="L1487" s="613"/>
      <c r="M1487" s="613"/>
      <c r="N1487" s="613"/>
      <c r="O1487" s="616"/>
      <c r="P1487" s="613"/>
      <c r="Q1487" s="613"/>
      <c r="R1487" s="613"/>
      <c r="S1487" s="613"/>
      <c r="T1487" s="613"/>
      <c r="U1487" s="613"/>
      <c r="V1487" s="523"/>
      <c r="W1487" s="613"/>
      <c r="X1487" s="613"/>
      <c r="Y1487" s="613"/>
      <c r="Z1487" s="523"/>
      <c r="AA1487" s="613"/>
      <c r="AB1487" s="523"/>
      <c r="AC1487" s="523"/>
    </row>
    <row r="1488">
      <c r="A1488" s="613"/>
      <c r="B1488" s="612"/>
      <c r="C1488" s="613"/>
      <c r="D1488" s="613"/>
      <c r="E1488" s="613"/>
      <c r="F1488" s="613"/>
      <c r="G1488" s="613"/>
      <c r="H1488" s="613"/>
      <c r="I1488" s="523"/>
      <c r="J1488" s="612"/>
      <c r="K1488" s="612"/>
      <c r="L1488" s="613"/>
      <c r="M1488" s="613"/>
      <c r="N1488" s="613"/>
      <c r="O1488" s="616"/>
      <c r="P1488" s="613"/>
      <c r="Q1488" s="613"/>
      <c r="R1488" s="613"/>
      <c r="S1488" s="613"/>
      <c r="T1488" s="613"/>
      <c r="U1488" s="613"/>
      <c r="V1488" s="523"/>
      <c r="W1488" s="613"/>
      <c r="X1488" s="613"/>
      <c r="Y1488" s="613"/>
      <c r="Z1488" s="523"/>
      <c r="AA1488" s="613"/>
      <c r="AB1488" s="523"/>
      <c r="AC1488" s="523"/>
    </row>
    <row r="1489">
      <c r="A1489" s="613"/>
      <c r="B1489" s="612"/>
      <c r="C1489" s="613"/>
      <c r="D1489" s="613"/>
      <c r="E1489" s="613"/>
      <c r="F1489" s="613"/>
      <c r="G1489" s="613"/>
      <c r="H1489" s="613"/>
      <c r="I1489" s="523"/>
      <c r="J1489" s="612"/>
      <c r="K1489" s="612"/>
      <c r="L1489" s="613"/>
      <c r="M1489" s="613"/>
      <c r="N1489" s="613"/>
      <c r="O1489" s="616"/>
      <c r="P1489" s="613"/>
      <c r="Q1489" s="613"/>
      <c r="R1489" s="613"/>
      <c r="S1489" s="613"/>
      <c r="T1489" s="613"/>
      <c r="U1489" s="613"/>
      <c r="V1489" s="523"/>
      <c r="W1489" s="613"/>
      <c r="X1489" s="613"/>
      <c r="Y1489" s="613"/>
      <c r="Z1489" s="523"/>
      <c r="AA1489" s="613"/>
      <c r="AB1489" s="523"/>
      <c r="AC1489" s="523"/>
    </row>
    <row r="1490">
      <c r="A1490" s="613"/>
      <c r="B1490" s="612"/>
      <c r="C1490" s="613"/>
      <c r="D1490" s="613"/>
      <c r="E1490" s="613"/>
      <c r="F1490" s="613"/>
      <c r="G1490" s="613"/>
      <c r="H1490" s="613"/>
      <c r="I1490" s="523"/>
      <c r="J1490" s="612"/>
      <c r="K1490" s="612"/>
      <c r="L1490" s="613"/>
      <c r="M1490" s="613"/>
      <c r="N1490" s="613"/>
      <c r="O1490" s="616"/>
      <c r="P1490" s="613"/>
      <c r="Q1490" s="613"/>
      <c r="R1490" s="613"/>
      <c r="S1490" s="613"/>
      <c r="T1490" s="613"/>
      <c r="U1490" s="613"/>
      <c r="V1490" s="523"/>
      <c r="W1490" s="613"/>
      <c r="X1490" s="613"/>
      <c r="Y1490" s="613"/>
      <c r="Z1490" s="523"/>
      <c r="AA1490" s="613"/>
      <c r="AB1490" s="523"/>
      <c r="AC1490" s="523"/>
    </row>
    <row r="1491">
      <c r="A1491" s="613"/>
      <c r="B1491" s="612"/>
      <c r="C1491" s="613"/>
      <c r="D1491" s="613"/>
      <c r="E1491" s="613"/>
      <c r="F1491" s="613"/>
      <c r="G1491" s="613"/>
      <c r="H1491" s="613"/>
      <c r="I1491" s="523"/>
      <c r="J1491" s="612"/>
      <c r="K1491" s="612"/>
      <c r="L1491" s="613"/>
      <c r="M1491" s="613"/>
      <c r="N1491" s="613"/>
      <c r="O1491" s="616"/>
      <c r="P1491" s="613"/>
      <c r="Q1491" s="613"/>
      <c r="R1491" s="613"/>
      <c r="S1491" s="613"/>
      <c r="T1491" s="613"/>
      <c r="U1491" s="613"/>
      <c r="V1491" s="523"/>
      <c r="W1491" s="613"/>
      <c r="X1491" s="613"/>
      <c r="Y1491" s="613"/>
      <c r="Z1491" s="523"/>
      <c r="AA1491" s="613"/>
      <c r="AB1491" s="523"/>
      <c r="AC1491" s="523"/>
    </row>
    <row r="1492">
      <c r="A1492" s="613"/>
      <c r="B1492" s="612"/>
      <c r="C1492" s="613"/>
      <c r="D1492" s="613"/>
      <c r="E1492" s="613"/>
      <c r="F1492" s="613"/>
      <c r="G1492" s="613"/>
      <c r="H1492" s="613"/>
      <c r="I1492" s="523"/>
      <c r="J1492" s="612"/>
      <c r="K1492" s="612"/>
      <c r="L1492" s="613"/>
      <c r="M1492" s="613"/>
      <c r="N1492" s="613"/>
      <c r="O1492" s="616"/>
      <c r="P1492" s="613"/>
      <c r="Q1492" s="613"/>
      <c r="R1492" s="613"/>
      <c r="S1492" s="613"/>
      <c r="T1492" s="613"/>
      <c r="U1492" s="613"/>
      <c r="V1492" s="523"/>
      <c r="W1492" s="613"/>
      <c r="X1492" s="613"/>
      <c r="Y1492" s="613"/>
      <c r="Z1492" s="523"/>
      <c r="AA1492" s="613"/>
      <c r="AB1492" s="523"/>
      <c r="AC1492" s="523"/>
    </row>
    <row r="1493">
      <c r="A1493" s="613"/>
      <c r="B1493" s="612"/>
      <c r="C1493" s="613"/>
      <c r="D1493" s="613"/>
      <c r="E1493" s="613"/>
      <c r="F1493" s="613"/>
      <c r="G1493" s="613"/>
      <c r="H1493" s="613"/>
      <c r="I1493" s="523"/>
      <c r="J1493" s="612"/>
      <c r="K1493" s="612"/>
      <c r="L1493" s="613"/>
      <c r="M1493" s="613"/>
      <c r="N1493" s="613"/>
      <c r="O1493" s="616"/>
      <c r="P1493" s="613"/>
      <c r="Q1493" s="613"/>
      <c r="R1493" s="613"/>
      <c r="S1493" s="613"/>
      <c r="T1493" s="613"/>
      <c r="U1493" s="613"/>
      <c r="V1493" s="523"/>
      <c r="W1493" s="613"/>
      <c r="X1493" s="613"/>
      <c r="Y1493" s="613"/>
      <c r="Z1493" s="523"/>
      <c r="AA1493" s="613"/>
      <c r="AB1493" s="523"/>
      <c r="AC1493" s="523"/>
    </row>
    <row r="1494">
      <c r="A1494" s="613"/>
      <c r="B1494" s="612"/>
      <c r="C1494" s="613"/>
      <c r="D1494" s="613"/>
      <c r="E1494" s="613"/>
      <c r="F1494" s="613"/>
      <c r="G1494" s="613"/>
      <c r="H1494" s="613"/>
      <c r="I1494" s="523"/>
      <c r="J1494" s="612"/>
      <c r="K1494" s="612"/>
      <c r="L1494" s="613"/>
      <c r="M1494" s="613"/>
      <c r="N1494" s="613"/>
      <c r="O1494" s="616"/>
      <c r="P1494" s="613"/>
      <c r="Q1494" s="613"/>
      <c r="R1494" s="613"/>
      <c r="S1494" s="613"/>
      <c r="T1494" s="613"/>
      <c r="U1494" s="613"/>
      <c r="V1494" s="523"/>
      <c r="W1494" s="613"/>
      <c r="X1494" s="613"/>
      <c r="Y1494" s="613"/>
      <c r="Z1494" s="523"/>
      <c r="AA1494" s="613"/>
      <c r="AB1494" s="523"/>
      <c r="AC1494" s="523"/>
    </row>
    <row r="1495">
      <c r="A1495" s="613"/>
      <c r="B1495" s="612"/>
      <c r="C1495" s="613"/>
      <c r="D1495" s="613"/>
      <c r="E1495" s="613"/>
      <c r="F1495" s="613"/>
      <c r="G1495" s="613"/>
      <c r="H1495" s="613"/>
      <c r="I1495" s="523"/>
      <c r="J1495" s="612"/>
      <c r="K1495" s="612"/>
      <c r="L1495" s="613"/>
      <c r="M1495" s="613"/>
      <c r="N1495" s="613"/>
      <c r="O1495" s="616"/>
      <c r="P1495" s="613"/>
      <c r="Q1495" s="613"/>
      <c r="R1495" s="613"/>
      <c r="S1495" s="613"/>
      <c r="T1495" s="613"/>
      <c r="U1495" s="613"/>
      <c r="V1495" s="523"/>
      <c r="W1495" s="613"/>
      <c r="X1495" s="613"/>
      <c r="Y1495" s="613"/>
      <c r="Z1495" s="523"/>
      <c r="AA1495" s="613"/>
      <c r="AB1495" s="523"/>
      <c r="AC1495" s="523"/>
    </row>
    <row r="1496">
      <c r="A1496" s="613"/>
      <c r="B1496" s="612"/>
      <c r="C1496" s="613"/>
      <c r="D1496" s="613"/>
      <c r="E1496" s="613"/>
      <c r="F1496" s="613"/>
      <c r="G1496" s="613"/>
      <c r="H1496" s="613"/>
      <c r="I1496" s="523"/>
      <c r="J1496" s="612"/>
      <c r="K1496" s="612"/>
      <c r="L1496" s="613"/>
      <c r="M1496" s="613"/>
      <c r="N1496" s="613"/>
      <c r="O1496" s="616"/>
      <c r="P1496" s="613"/>
      <c r="Q1496" s="613"/>
      <c r="R1496" s="613"/>
      <c r="S1496" s="613"/>
      <c r="T1496" s="613"/>
      <c r="U1496" s="613"/>
      <c r="V1496" s="523"/>
      <c r="W1496" s="613"/>
      <c r="X1496" s="613"/>
      <c r="Y1496" s="613"/>
      <c r="Z1496" s="523"/>
      <c r="AA1496" s="613"/>
      <c r="AB1496" s="523"/>
      <c r="AC1496" s="523"/>
    </row>
    <row r="1497">
      <c r="A1497" s="613"/>
      <c r="B1497" s="612"/>
      <c r="C1497" s="613"/>
      <c r="D1497" s="613"/>
      <c r="E1497" s="613"/>
      <c r="F1497" s="613"/>
      <c r="G1497" s="613"/>
      <c r="H1497" s="613"/>
      <c r="I1497" s="523"/>
      <c r="J1497" s="612"/>
      <c r="K1497" s="612"/>
      <c r="L1497" s="613"/>
      <c r="M1497" s="613"/>
      <c r="N1497" s="613"/>
      <c r="O1497" s="616"/>
      <c r="P1497" s="613"/>
      <c r="Q1497" s="613"/>
      <c r="R1497" s="613"/>
      <c r="S1497" s="613"/>
      <c r="T1497" s="613"/>
      <c r="U1497" s="613"/>
      <c r="V1497" s="523"/>
      <c r="W1497" s="613"/>
      <c r="X1497" s="613"/>
      <c r="Y1497" s="613"/>
      <c r="Z1497" s="523"/>
      <c r="AA1497" s="613"/>
      <c r="AB1497" s="523"/>
      <c r="AC1497" s="523"/>
    </row>
    <row r="1498">
      <c r="A1498" s="613"/>
      <c r="B1498" s="612"/>
      <c r="C1498" s="613"/>
      <c r="D1498" s="613"/>
      <c r="E1498" s="613"/>
      <c r="F1498" s="613"/>
      <c r="G1498" s="613"/>
      <c r="H1498" s="613"/>
      <c r="I1498" s="523"/>
      <c r="J1498" s="612"/>
      <c r="K1498" s="612"/>
      <c r="L1498" s="613"/>
      <c r="M1498" s="613"/>
      <c r="N1498" s="613"/>
      <c r="O1498" s="616"/>
      <c r="P1498" s="613"/>
      <c r="Q1498" s="613"/>
      <c r="R1498" s="613"/>
      <c r="S1498" s="613"/>
      <c r="T1498" s="613"/>
      <c r="U1498" s="613"/>
      <c r="V1498" s="523"/>
      <c r="W1498" s="613"/>
      <c r="X1498" s="613"/>
      <c r="Y1498" s="613"/>
      <c r="Z1498" s="523"/>
      <c r="AA1498" s="613"/>
      <c r="AB1498" s="523"/>
      <c r="AC1498" s="523"/>
    </row>
    <row r="1499">
      <c r="A1499" s="613"/>
      <c r="B1499" s="612"/>
      <c r="C1499" s="613"/>
      <c r="D1499" s="613"/>
      <c r="E1499" s="613"/>
      <c r="F1499" s="613"/>
      <c r="G1499" s="613"/>
      <c r="H1499" s="613"/>
      <c r="I1499" s="523"/>
      <c r="J1499" s="612"/>
      <c r="K1499" s="612"/>
      <c r="L1499" s="613"/>
      <c r="M1499" s="613"/>
      <c r="N1499" s="613"/>
      <c r="O1499" s="616"/>
      <c r="P1499" s="613"/>
      <c r="Q1499" s="613"/>
      <c r="R1499" s="613"/>
      <c r="S1499" s="613"/>
      <c r="T1499" s="613"/>
      <c r="U1499" s="613"/>
      <c r="V1499" s="523"/>
      <c r="W1499" s="613"/>
      <c r="X1499" s="613"/>
      <c r="Y1499" s="613"/>
      <c r="Z1499" s="523"/>
      <c r="AA1499" s="613"/>
      <c r="AB1499" s="523"/>
      <c r="AC1499" s="523"/>
    </row>
    <row r="1500">
      <c r="A1500" s="613"/>
      <c r="B1500" s="612"/>
      <c r="C1500" s="613"/>
      <c r="D1500" s="613"/>
      <c r="E1500" s="613"/>
      <c r="F1500" s="613"/>
      <c r="G1500" s="613"/>
      <c r="H1500" s="613"/>
      <c r="I1500" s="523"/>
      <c r="J1500" s="612"/>
      <c r="K1500" s="612"/>
      <c r="L1500" s="613"/>
      <c r="M1500" s="613"/>
      <c r="N1500" s="613"/>
      <c r="O1500" s="616"/>
      <c r="P1500" s="613"/>
      <c r="Q1500" s="613"/>
      <c r="R1500" s="613"/>
      <c r="S1500" s="613"/>
      <c r="T1500" s="613"/>
      <c r="U1500" s="613"/>
      <c r="V1500" s="523"/>
      <c r="W1500" s="613"/>
      <c r="X1500" s="613"/>
      <c r="Y1500" s="613"/>
      <c r="Z1500" s="523"/>
      <c r="AA1500" s="613"/>
      <c r="AB1500" s="523"/>
      <c r="AC1500" s="523"/>
    </row>
    <row r="1501">
      <c r="A1501" s="613"/>
      <c r="B1501" s="612"/>
      <c r="C1501" s="613"/>
      <c r="D1501" s="613"/>
      <c r="E1501" s="613"/>
      <c r="F1501" s="613"/>
      <c r="G1501" s="613"/>
      <c r="H1501" s="613"/>
      <c r="I1501" s="523"/>
      <c r="J1501" s="612"/>
      <c r="K1501" s="612"/>
      <c r="L1501" s="613"/>
      <c r="M1501" s="613"/>
      <c r="N1501" s="613"/>
      <c r="O1501" s="616"/>
      <c r="P1501" s="613"/>
      <c r="Q1501" s="613"/>
      <c r="R1501" s="613"/>
      <c r="S1501" s="613"/>
      <c r="T1501" s="613"/>
      <c r="U1501" s="613"/>
      <c r="V1501" s="523"/>
      <c r="W1501" s="613"/>
      <c r="X1501" s="613"/>
      <c r="Y1501" s="613"/>
      <c r="Z1501" s="523"/>
      <c r="AA1501" s="613"/>
      <c r="AB1501" s="523"/>
      <c r="AC1501" s="523"/>
    </row>
    <row r="1502">
      <c r="A1502" s="613"/>
      <c r="B1502" s="612"/>
      <c r="C1502" s="613"/>
      <c r="D1502" s="613"/>
      <c r="E1502" s="613"/>
      <c r="F1502" s="613"/>
      <c r="G1502" s="613"/>
      <c r="H1502" s="613"/>
      <c r="I1502" s="523"/>
      <c r="J1502" s="612"/>
      <c r="K1502" s="612"/>
      <c r="L1502" s="613"/>
      <c r="M1502" s="613"/>
      <c r="N1502" s="613"/>
      <c r="O1502" s="616"/>
      <c r="P1502" s="613"/>
      <c r="Q1502" s="613"/>
      <c r="R1502" s="613"/>
      <c r="S1502" s="613"/>
      <c r="T1502" s="613"/>
      <c r="U1502" s="613"/>
      <c r="V1502" s="523"/>
      <c r="W1502" s="613"/>
      <c r="X1502" s="613"/>
      <c r="Y1502" s="613"/>
      <c r="Z1502" s="523"/>
      <c r="AA1502" s="613"/>
      <c r="AB1502" s="523"/>
      <c r="AC1502" s="523"/>
    </row>
    <row r="1503">
      <c r="A1503" s="613"/>
      <c r="B1503" s="612"/>
      <c r="C1503" s="613"/>
      <c r="D1503" s="613"/>
      <c r="E1503" s="613"/>
      <c r="F1503" s="613"/>
      <c r="G1503" s="613"/>
      <c r="H1503" s="613"/>
      <c r="I1503" s="523"/>
      <c r="J1503" s="612"/>
      <c r="K1503" s="612"/>
      <c r="L1503" s="613"/>
      <c r="M1503" s="613"/>
      <c r="N1503" s="613"/>
      <c r="O1503" s="616"/>
      <c r="P1503" s="613"/>
      <c r="Q1503" s="613"/>
      <c r="R1503" s="613"/>
      <c r="S1503" s="613"/>
      <c r="T1503" s="613"/>
      <c r="U1503" s="613"/>
      <c r="V1503" s="523"/>
      <c r="W1503" s="613"/>
      <c r="X1503" s="613"/>
      <c r="Y1503" s="613"/>
      <c r="Z1503" s="523"/>
      <c r="AA1503" s="613"/>
      <c r="AB1503" s="523"/>
      <c r="AC1503" s="523"/>
    </row>
    <row r="1504">
      <c r="A1504" s="613"/>
      <c r="B1504" s="612"/>
      <c r="C1504" s="613"/>
      <c r="D1504" s="613"/>
      <c r="E1504" s="613"/>
      <c r="F1504" s="613"/>
      <c r="G1504" s="613"/>
      <c r="H1504" s="613"/>
      <c r="I1504" s="523"/>
      <c r="J1504" s="612"/>
      <c r="K1504" s="612"/>
      <c r="L1504" s="613"/>
      <c r="M1504" s="613"/>
      <c r="N1504" s="613"/>
      <c r="O1504" s="616"/>
      <c r="P1504" s="613"/>
      <c r="Q1504" s="613"/>
      <c r="R1504" s="613"/>
      <c r="S1504" s="613"/>
      <c r="T1504" s="613"/>
      <c r="U1504" s="613"/>
      <c r="V1504" s="523"/>
      <c r="W1504" s="613"/>
      <c r="X1504" s="613"/>
      <c r="Y1504" s="613"/>
      <c r="Z1504" s="523"/>
      <c r="AA1504" s="613"/>
      <c r="AB1504" s="523"/>
      <c r="AC1504" s="523"/>
    </row>
    <row r="1505">
      <c r="A1505" s="613"/>
      <c r="B1505" s="612"/>
      <c r="C1505" s="613"/>
      <c r="D1505" s="613"/>
      <c r="E1505" s="613"/>
      <c r="F1505" s="613"/>
      <c r="G1505" s="613"/>
      <c r="H1505" s="613"/>
      <c r="I1505" s="523"/>
      <c r="J1505" s="612"/>
      <c r="K1505" s="612"/>
      <c r="L1505" s="613"/>
      <c r="M1505" s="613"/>
      <c r="N1505" s="613"/>
      <c r="O1505" s="616"/>
      <c r="P1505" s="613"/>
      <c r="Q1505" s="613"/>
      <c r="R1505" s="613"/>
      <c r="S1505" s="613"/>
      <c r="T1505" s="613"/>
      <c r="U1505" s="613"/>
      <c r="V1505" s="523"/>
      <c r="W1505" s="613"/>
      <c r="X1505" s="613"/>
      <c r="Y1505" s="613"/>
      <c r="Z1505" s="523"/>
      <c r="AA1505" s="613"/>
      <c r="AB1505" s="523"/>
      <c r="AC1505" s="523"/>
    </row>
    <row r="1506">
      <c r="A1506" s="613"/>
      <c r="B1506" s="612"/>
      <c r="C1506" s="613"/>
      <c r="D1506" s="613"/>
      <c r="E1506" s="613"/>
      <c r="F1506" s="613"/>
      <c r="G1506" s="613"/>
      <c r="H1506" s="613"/>
      <c r="I1506" s="523"/>
      <c r="J1506" s="612"/>
      <c r="K1506" s="612"/>
      <c r="L1506" s="613"/>
      <c r="M1506" s="613"/>
      <c r="N1506" s="613"/>
      <c r="O1506" s="616"/>
      <c r="P1506" s="613"/>
      <c r="Q1506" s="613"/>
      <c r="R1506" s="613"/>
      <c r="S1506" s="613"/>
      <c r="T1506" s="613"/>
      <c r="U1506" s="613"/>
      <c r="V1506" s="523"/>
      <c r="W1506" s="613"/>
      <c r="X1506" s="613"/>
      <c r="Y1506" s="613"/>
      <c r="Z1506" s="523"/>
      <c r="AA1506" s="613"/>
      <c r="AB1506" s="523"/>
      <c r="AC1506" s="523"/>
    </row>
    <row r="1507">
      <c r="A1507" s="613"/>
      <c r="B1507" s="612"/>
      <c r="C1507" s="613"/>
      <c r="D1507" s="613"/>
      <c r="E1507" s="613"/>
      <c r="F1507" s="613"/>
      <c r="G1507" s="613"/>
      <c r="H1507" s="613"/>
      <c r="I1507" s="523"/>
      <c r="J1507" s="612"/>
      <c r="K1507" s="612"/>
      <c r="L1507" s="613"/>
      <c r="M1507" s="613"/>
      <c r="N1507" s="613"/>
      <c r="O1507" s="616"/>
      <c r="P1507" s="613"/>
      <c r="Q1507" s="613"/>
      <c r="R1507" s="613"/>
      <c r="S1507" s="613"/>
      <c r="T1507" s="613"/>
      <c r="U1507" s="613"/>
      <c r="V1507" s="523"/>
      <c r="W1507" s="613"/>
      <c r="X1507" s="613"/>
      <c r="Y1507" s="613"/>
      <c r="Z1507" s="523"/>
      <c r="AA1507" s="613"/>
      <c r="AB1507" s="523"/>
      <c r="AC1507" s="523"/>
    </row>
    <row r="1508">
      <c r="A1508" s="613"/>
      <c r="B1508" s="612"/>
      <c r="C1508" s="613"/>
      <c r="D1508" s="613"/>
      <c r="E1508" s="613"/>
      <c r="F1508" s="613"/>
      <c r="G1508" s="613"/>
      <c r="H1508" s="613"/>
      <c r="I1508" s="523"/>
      <c r="J1508" s="612"/>
      <c r="K1508" s="612"/>
      <c r="L1508" s="613"/>
      <c r="M1508" s="613"/>
      <c r="N1508" s="613"/>
      <c r="O1508" s="616"/>
      <c r="P1508" s="613"/>
      <c r="Q1508" s="613"/>
      <c r="R1508" s="613"/>
      <c r="S1508" s="613"/>
      <c r="T1508" s="613"/>
      <c r="U1508" s="613"/>
      <c r="V1508" s="523"/>
      <c r="W1508" s="613"/>
      <c r="X1508" s="613"/>
      <c r="Y1508" s="613"/>
      <c r="Z1508" s="523"/>
      <c r="AA1508" s="613"/>
      <c r="AB1508" s="523"/>
      <c r="AC1508" s="523"/>
    </row>
    <row r="1509">
      <c r="A1509" s="613"/>
      <c r="B1509" s="612"/>
      <c r="C1509" s="613"/>
      <c r="D1509" s="613"/>
      <c r="E1509" s="613"/>
      <c r="F1509" s="613"/>
      <c r="G1509" s="613"/>
      <c r="H1509" s="613"/>
      <c r="I1509" s="523"/>
      <c r="J1509" s="612"/>
      <c r="K1509" s="612"/>
      <c r="L1509" s="613"/>
      <c r="M1509" s="613"/>
      <c r="N1509" s="613"/>
      <c r="O1509" s="616"/>
      <c r="P1509" s="613"/>
      <c r="Q1509" s="613"/>
      <c r="R1509" s="613"/>
      <c r="S1509" s="613"/>
      <c r="T1509" s="613"/>
      <c r="U1509" s="613"/>
      <c r="V1509" s="523"/>
      <c r="W1509" s="613"/>
      <c r="X1509" s="613"/>
      <c r="Y1509" s="613"/>
      <c r="Z1509" s="523"/>
      <c r="AA1509" s="613"/>
      <c r="AB1509" s="523"/>
      <c r="AC1509" s="523"/>
    </row>
    <row r="1510">
      <c r="A1510" s="613"/>
      <c r="B1510" s="612"/>
      <c r="C1510" s="613"/>
      <c r="D1510" s="613"/>
      <c r="E1510" s="613"/>
      <c r="F1510" s="613"/>
      <c r="G1510" s="613"/>
      <c r="H1510" s="613"/>
      <c r="I1510" s="523"/>
      <c r="J1510" s="612"/>
      <c r="K1510" s="612"/>
      <c r="L1510" s="613"/>
      <c r="M1510" s="613"/>
      <c r="N1510" s="613"/>
      <c r="O1510" s="616"/>
      <c r="P1510" s="613"/>
      <c r="Q1510" s="613"/>
      <c r="R1510" s="613"/>
      <c r="S1510" s="613"/>
      <c r="T1510" s="613"/>
      <c r="U1510" s="613"/>
      <c r="V1510" s="523"/>
      <c r="W1510" s="613"/>
      <c r="X1510" s="613"/>
      <c r="Y1510" s="613"/>
      <c r="Z1510" s="523"/>
      <c r="AA1510" s="613"/>
      <c r="AB1510" s="523"/>
      <c r="AC1510" s="523"/>
    </row>
    <row r="1511">
      <c r="A1511" s="613"/>
      <c r="B1511" s="612"/>
      <c r="C1511" s="613"/>
      <c r="D1511" s="613"/>
      <c r="E1511" s="613"/>
      <c r="F1511" s="613"/>
      <c r="G1511" s="613"/>
      <c r="H1511" s="613"/>
      <c r="I1511" s="523"/>
      <c r="J1511" s="612"/>
      <c r="K1511" s="612"/>
      <c r="L1511" s="613"/>
      <c r="M1511" s="613"/>
      <c r="N1511" s="613"/>
      <c r="O1511" s="616"/>
      <c r="P1511" s="613"/>
      <c r="Q1511" s="613"/>
      <c r="R1511" s="613"/>
      <c r="S1511" s="613"/>
      <c r="T1511" s="613"/>
      <c r="U1511" s="613"/>
      <c r="V1511" s="523"/>
      <c r="W1511" s="613"/>
      <c r="X1511" s="613"/>
      <c r="Y1511" s="613"/>
      <c r="Z1511" s="523"/>
      <c r="AA1511" s="613"/>
      <c r="AB1511" s="523"/>
      <c r="AC1511" s="523"/>
    </row>
    <row r="1512">
      <c r="A1512" s="613"/>
      <c r="B1512" s="612"/>
      <c r="C1512" s="613"/>
      <c r="D1512" s="613"/>
      <c r="E1512" s="613"/>
      <c r="F1512" s="613"/>
      <c r="G1512" s="613"/>
      <c r="H1512" s="613"/>
      <c r="I1512" s="523"/>
      <c r="J1512" s="612"/>
      <c r="K1512" s="612"/>
      <c r="L1512" s="613"/>
      <c r="M1512" s="613"/>
      <c r="N1512" s="613"/>
      <c r="O1512" s="616"/>
      <c r="P1512" s="613"/>
      <c r="Q1512" s="613"/>
      <c r="R1512" s="613"/>
      <c r="S1512" s="613"/>
      <c r="T1512" s="613"/>
      <c r="U1512" s="613"/>
      <c r="V1512" s="523"/>
      <c r="W1512" s="613"/>
      <c r="X1512" s="613"/>
      <c r="Y1512" s="613"/>
      <c r="Z1512" s="523"/>
      <c r="AA1512" s="613"/>
      <c r="AB1512" s="523"/>
      <c r="AC1512" s="523"/>
    </row>
    <row r="1513">
      <c r="A1513" s="613"/>
      <c r="B1513" s="612"/>
      <c r="C1513" s="613"/>
      <c r="D1513" s="613"/>
      <c r="E1513" s="613"/>
      <c r="F1513" s="613"/>
      <c r="G1513" s="613"/>
      <c r="H1513" s="613"/>
      <c r="I1513" s="523"/>
      <c r="J1513" s="612"/>
      <c r="K1513" s="612"/>
      <c r="L1513" s="613"/>
      <c r="M1513" s="613"/>
      <c r="N1513" s="613"/>
      <c r="O1513" s="616"/>
      <c r="P1513" s="613"/>
      <c r="Q1513" s="613"/>
      <c r="R1513" s="613"/>
      <c r="S1513" s="613"/>
      <c r="T1513" s="613"/>
      <c r="U1513" s="613"/>
      <c r="V1513" s="523"/>
      <c r="W1513" s="613"/>
      <c r="X1513" s="613"/>
      <c r="Y1513" s="613"/>
      <c r="Z1513" s="523"/>
      <c r="AA1513" s="613"/>
      <c r="AB1513" s="523"/>
      <c r="AC1513" s="523"/>
    </row>
    <row r="1514">
      <c r="A1514" s="613"/>
      <c r="B1514" s="612"/>
      <c r="C1514" s="613"/>
      <c r="D1514" s="613"/>
      <c r="E1514" s="613"/>
      <c r="F1514" s="613"/>
      <c r="G1514" s="613"/>
      <c r="H1514" s="613"/>
      <c r="I1514" s="523"/>
      <c r="J1514" s="612"/>
      <c r="K1514" s="612"/>
      <c r="L1514" s="613"/>
      <c r="M1514" s="613"/>
      <c r="N1514" s="613"/>
      <c r="O1514" s="616"/>
      <c r="P1514" s="613"/>
      <c r="Q1514" s="613"/>
      <c r="R1514" s="613"/>
      <c r="S1514" s="613"/>
      <c r="T1514" s="613"/>
      <c r="U1514" s="613"/>
      <c r="V1514" s="523"/>
      <c r="W1514" s="613"/>
      <c r="X1514" s="613"/>
      <c r="Y1514" s="613"/>
      <c r="Z1514" s="523"/>
      <c r="AA1514" s="613"/>
      <c r="AB1514" s="523"/>
      <c r="AC1514" s="523"/>
    </row>
    <row r="1515">
      <c r="A1515" s="613"/>
      <c r="B1515" s="612"/>
      <c r="C1515" s="613"/>
      <c r="D1515" s="613"/>
      <c r="E1515" s="613"/>
      <c r="F1515" s="613"/>
      <c r="G1515" s="613"/>
      <c r="H1515" s="613"/>
      <c r="I1515" s="523"/>
      <c r="J1515" s="612"/>
      <c r="K1515" s="612"/>
      <c r="L1515" s="613"/>
      <c r="M1515" s="613"/>
      <c r="N1515" s="613"/>
      <c r="O1515" s="616"/>
      <c r="P1515" s="613"/>
      <c r="Q1515" s="613"/>
      <c r="R1515" s="613"/>
      <c r="S1515" s="613"/>
      <c r="T1515" s="613"/>
      <c r="U1515" s="613"/>
      <c r="V1515" s="523"/>
      <c r="W1515" s="613"/>
      <c r="X1515" s="613"/>
      <c r="Y1515" s="613"/>
      <c r="Z1515" s="523"/>
      <c r="AA1515" s="613"/>
      <c r="AB1515" s="523"/>
      <c r="AC1515" s="523"/>
    </row>
    <row r="1516">
      <c r="A1516" s="613"/>
      <c r="B1516" s="612"/>
      <c r="C1516" s="613"/>
      <c r="D1516" s="613"/>
      <c r="E1516" s="613"/>
      <c r="F1516" s="613"/>
      <c r="G1516" s="613"/>
      <c r="H1516" s="613"/>
      <c r="I1516" s="523"/>
      <c r="J1516" s="612"/>
      <c r="K1516" s="612"/>
      <c r="L1516" s="613"/>
      <c r="M1516" s="613"/>
      <c r="N1516" s="613"/>
      <c r="O1516" s="616"/>
      <c r="P1516" s="613"/>
      <c r="Q1516" s="613"/>
      <c r="R1516" s="613"/>
      <c r="S1516" s="613"/>
      <c r="T1516" s="613"/>
      <c r="U1516" s="613"/>
      <c r="V1516" s="523"/>
      <c r="W1516" s="613"/>
      <c r="X1516" s="613"/>
      <c r="Y1516" s="613"/>
      <c r="Z1516" s="523"/>
      <c r="AA1516" s="613"/>
      <c r="AB1516" s="523"/>
      <c r="AC1516" s="523"/>
    </row>
    <row r="1517">
      <c r="A1517" s="613"/>
      <c r="B1517" s="612"/>
      <c r="C1517" s="613"/>
      <c r="D1517" s="613"/>
      <c r="E1517" s="613"/>
      <c r="F1517" s="613"/>
      <c r="G1517" s="613"/>
      <c r="H1517" s="613"/>
      <c r="I1517" s="523"/>
      <c r="J1517" s="612"/>
      <c r="K1517" s="612"/>
      <c r="L1517" s="613"/>
      <c r="M1517" s="613"/>
      <c r="N1517" s="613"/>
      <c r="O1517" s="616"/>
      <c r="P1517" s="613"/>
      <c r="Q1517" s="613"/>
      <c r="R1517" s="613"/>
      <c r="S1517" s="613"/>
      <c r="T1517" s="613"/>
      <c r="U1517" s="613"/>
      <c r="V1517" s="523"/>
      <c r="W1517" s="613"/>
      <c r="X1517" s="613"/>
      <c r="Y1517" s="613"/>
      <c r="Z1517" s="523"/>
      <c r="AA1517" s="613"/>
      <c r="AB1517" s="523"/>
      <c r="AC1517" s="523"/>
    </row>
    <row r="1518">
      <c r="A1518" s="613"/>
      <c r="B1518" s="612"/>
      <c r="C1518" s="613"/>
      <c r="D1518" s="613"/>
      <c r="E1518" s="613"/>
      <c r="F1518" s="613"/>
      <c r="G1518" s="613"/>
      <c r="H1518" s="613"/>
      <c r="I1518" s="523"/>
      <c r="J1518" s="612"/>
      <c r="K1518" s="612"/>
      <c r="L1518" s="613"/>
      <c r="M1518" s="613"/>
      <c r="N1518" s="613"/>
      <c r="O1518" s="616"/>
      <c r="P1518" s="613"/>
      <c r="Q1518" s="613"/>
      <c r="R1518" s="613"/>
      <c r="S1518" s="613"/>
      <c r="T1518" s="613"/>
      <c r="U1518" s="613"/>
      <c r="V1518" s="523"/>
      <c r="W1518" s="613"/>
      <c r="X1518" s="613"/>
      <c r="Y1518" s="613"/>
      <c r="Z1518" s="523"/>
      <c r="AA1518" s="613"/>
      <c r="AB1518" s="523"/>
      <c r="AC1518" s="523"/>
    </row>
    <row r="1519">
      <c r="A1519" s="613"/>
      <c r="B1519" s="612"/>
      <c r="C1519" s="613"/>
      <c r="D1519" s="613"/>
      <c r="E1519" s="613"/>
      <c r="F1519" s="613"/>
      <c r="G1519" s="613"/>
      <c r="H1519" s="613"/>
      <c r="I1519" s="523"/>
      <c r="J1519" s="612"/>
      <c r="K1519" s="612"/>
      <c r="L1519" s="613"/>
      <c r="M1519" s="613"/>
      <c r="N1519" s="613"/>
      <c r="O1519" s="616"/>
      <c r="P1519" s="613"/>
      <c r="Q1519" s="613"/>
      <c r="R1519" s="613"/>
      <c r="S1519" s="613"/>
      <c r="T1519" s="613"/>
      <c r="U1519" s="613"/>
      <c r="V1519" s="523"/>
      <c r="W1519" s="613"/>
      <c r="X1519" s="613"/>
      <c r="Y1519" s="613"/>
      <c r="Z1519" s="523"/>
      <c r="AA1519" s="613"/>
      <c r="AB1519" s="523"/>
      <c r="AC1519" s="523"/>
    </row>
    <row r="1520">
      <c r="A1520" s="613"/>
      <c r="B1520" s="612"/>
      <c r="C1520" s="613"/>
      <c r="D1520" s="613"/>
      <c r="E1520" s="613"/>
      <c r="F1520" s="613"/>
      <c r="G1520" s="613"/>
      <c r="H1520" s="613"/>
      <c r="I1520" s="523"/>
      <c r="J1520" s="612"/>
      <c r="K1520" s="612"/>
      <c r="L1520" s="613"/>
      <c r="M1520" s="613"/>
      <c r="N1520" s="613"/>
      <c r="O1520" s="616"/>
      <c r="P1520" s="613"/>
      <c r="Q1520" s="613"/>
      <c r="R1520" s="613"/>
      <c r="S1520" s="613"/>
      <c r="T1520" s="613"/>
      <c r="U1520" s="613"/>
      <c r="V1520" s="523"/>
      <c r="W1520" s="613"/>
      <c r="X1520" s="613"/>
      <c r="Y1520" s="613"/>
      <c r="Z1520" s="523"/>
      <c r="AA1520" s="613"/>
      <c r="AB1520" s="523"/>
      <c r="AC1520" s="523"/>
    </row>
    <row r="1521">
      <c r="A1521" s="613"/>
      <c r="B1521" s="612"/>
      <c r="C1521" s="613"/>
      <c r="D1521" s="613"/>
      <c r="E1521" s="613"/>
      <c r="F1521" s="613"/>
      <c r="G1521" s="613"/>
      <c r="H1521" s="613"/>
      <c r="I1521" s="523"/>
      <c r="J1521" s="612"/>
      <c r="K1521" s="612"/>
      <c r="L1521" s="613"/>
      <c r="M1521" s="613"/>
      <c r="N1521" s="613"/>
      <c r="O1521" s="616"/>
      <c r="P1521" s="613"/>
      <c r="Q1521" s="613"/>
      <c r="R1521" s="613"/>
      <c r="S1521" s="613"/>
      <c r="T1521" s="613"/>
      <c r="U1521" s="613"/>
      <c r="V1521" s="523"/>
      <c r="W1521" s="613"/>
      <c r="X1521" s="613"/>
      <c r="Y1521" s="613"/>
      <c r="Z1521" s="523"/>
      <c r="AA1521" s="613"/>
      <c r="AB1521" s="523"/>
      <c r="AC1521" s="523"/>
    </row>
    <row r="1522">
      <c r="A1522" s="613"/>
      <c r="B1522" s="612"/>
      <c r="C1522" s="613"/>
      <c r="D1522" s="613"/>
      <c r="E1522" s="613"/>
      <c r="F1522" s="613"/>
      <c r="G1522" s="613"/>
      <c r="H1522" s="613"/>
      <c r="I1522" s="523"/>
      <c r="J1522" s="612"/>
      <c r="K1522" s="612"/>
      <c r="L1522" s="613"/>
      <c r="M1522" s="613"/>
      <c r="N1522" s="613"/>
      <c r="O1522" s="616"/>
      <c r="P1522" s="613"/>
      <c r="Q1522" s="613"/>
      <c r="R1522" s="613"/>
      <c r="S1522" s="613"/>
      <c r="T1522" s="613"/>
      <c r="U1522" s="613"/>
      <c r="V1522" s="523"/>
      <c r="W1522" s="613"/>
      <c r="X1522" s="613"/>
      <c r="Y1522" s="613"/>
      <c r="Z1522" s="523"/>
      <c r="AA1522" s="613"/>
      <c r="AB1522" s="523"/>
      <c r="AC1522" s="523"/>
    </row>
    <row r="1523">
      <c r="A1523" s="613"/>
      <c r="B1523" s="612"/>
      <c r="C1523" s="613"/>
      <c r="D1523" s="613"/>
      <c r="E1523" s="613"/>
      <c r="F1523" s="613"/>
      <c r="G1523" s="613"/>
      <c r="H1523" s="613"/>
      <c r="I1523" s="523"/>
      <c r="J1523" s="612"/>
      <c r="K1523" s="612"/>
      <c r="L1523" s="613"/>
      <c r="M1523" s="613"/>
      <c r="N1523" s="613"/>
      <c r="O1523" s="616"/>
      <c r="P1523" s="613"/>
      <c r="Q1523" s="613"/>
      <c r="R1523" s="613"/>
      <c r="S1523" s="613"/>
      <c r="T1523" s="613"/>
      <c r="U1523" s="613"/>
      <c r="V1523" s="523"/>
      <c r="W1523" s="613"/>
      <c r="X1523" s="613"/>
      <c r="Y1523" s="613"/>
      <c r="Z1523" s="523"/>
      <c r="AA1523" s="613"/>
      <c r="AB1523" s="523"/>
      <c r="AC1523" s="523"/>
    </row>
    <row r="1524">
      <c r="A1524" s="613"/>
      <c r="B1524" s="612"/>
      <c r="C1524" s="613"/>
      <c r="D1524" s="613"/>
      <c r="E1524" s="613"/>
      <c r="F1524" s="613"/>
      <c r="G1524" s="613"/>
      <c r="H1524" s="613"/>
      <c r="I1524" s="523"/>
      <c r="J1524" s="612"/>
      <c r="K1524" s="612"/>
      <c r="L1524" s="613"/>
      <c r="M1524" s="613"/>
      <c r="N1524" s="613"/>
      <c r="O1524" s="616"/>
      <c r="P1524" s="613"/>
      <c r="Q1524" s="613"/>
      <c r="R1524" s="613"/>
      <c r="S1524" s="613"/>
      <c r="T1524" s="613"/>
      <c r="U1524" s="613"/>
      <c r="V1524" s="523"/>
      <c r="W1524" s="613"/>
      <c r="X1524" s="613"/>
      <c r="Y1524" s="613"/>
      <c r="Z1524" s="523"/>
      <c r="AA1524" s="613"/>
      <c r="AB1524" s="523"/>
      <c r="AC1524" s="523"/>
    </row>
    <row r="1525">
      <c r="A1525" s="613"/>
      <c r="B1525" s="612"/>
      <c r="C1525" s="613"/>
      <c r="D1525" s="613"/>
      <c r="E1525" s="613"/>
      <c r="F1525" s="613"/>
      <c r="G1525" s="613"/>
      <c r="H1525" s="613"/>
      <c r="I1525" s="523"/>
      <c r="J1525" s="612"/>
      <c r="K1525" s="612"/>
      <c r="L1525" s="613"/>
      <c r="M1525" s="613"/>
      <c r="N1525" s="613"/>
      <c r="O1525" s="616"/>
      <c r="P1525" s="613"/>
      <c r="Q1525" s="613"/>
      <c r="R1525" s="613"/>
      <c r="S1525" s="613"/>
      <c r="T1525" s="613"/>
      <c r="U1525" s="613"/>
      <c r="V1525" s="523"/>
      <c r="W1525" s="613"/>
      <c r="X1525" s="613"/>
      <c r="Y1525" s="613"/>
      <c r="Z1525" s="523"/>
      <c r="AA1525" s="613"/>
      <c r="AB1525" s="523"/>
      <c r="AC1525" s="523"/>
    </row>
    <row r="1526">
      <c r="A1526" s="613"/>
      <c r="B1526" s="612"/>
      <c r="C1526" s="613"/>
      <c r="D1526" s="613"/>
      <c r="E1526" s="613"/>
      <c r="F1526" s="613"/>
      <c r="G1526" s="613"/>
      <c r="H1526" s="613"/>
      <c r="I1526" s="523"/>
      <c r="J1526" s="612"/>
      <c r="K1526" s="612"/>
      <c r="L1526" s="613"/>
      <c r="M1526" s="613"/>
      <c r="N1526" s="613"/>
      <c r="O1526" s="616"/>
      <c r="P1526" s="613"/>
      <c r="Q1526" s="613"/>
      <c r="R1526" s="613"/>
      <c r="S1526" s="613"/>
      <c r="T1526" s="613"/>
      <c r="U1526" s="613"/>
      <c r="V1526" s="523"/>
      <c r="W1526" s="613"/>
      <c r="X1526" s="613"/>
      <c r="Y1526" s="613"/>
      <c r="Z1526" s="523"/>
      <c r="AA1526" s="613"/>
      <c r="AB1526" s="523"/>
      <c r="AC1526" s="523"/>
    </row>
    <row r="1527">
      <c r="A1527" s="613"/>
      <c r="B1527" s="612"/>
      <c r="C1527" s="613"/>
      <c r="D1527" s="613"/>
      <c r="E1527" s="613"/>
      <c r="F1527" s="613"/>
      <c r="G1527" s="613"/>
      <c r="H1527" s="613"/>
      <c r="I1527" s="523"/>
      <c r="J1527" s="612"/>
      <c r="K1527" s="612"/>
      <c r="L1527" s="613"/>
      <c r="M1527" s="613"/>
      <c r="N1527" s="613"/>
      <c r="O1527" s="616"/>
      <c r="P1527" s="613"/>
      <c r="Q1527" s="613"/>
      <c r="R1527" s="613"/>
      <c r="S1527" s="613"/>
      <c r="T1527" s="613"/>
      <c r="U1527" s="613"/>
      <c r="V1527" s="523"/>
      <c r="W1527" s="613"/>
      <c r="X1527" s="613"/>
      <c r="Y1527" s="613"/>
      <c r="Z1527" s="523"/>
      <c r="AA1527" s="613"/>
      <c r="AB1527" s="523"/>
      <c r="AC1527" s="523"/>
    </row>
    <row r="1528">
      <c r="A1528" s="613"/>
      <c r="B1528" s="612"/>
      <c r="C1528" s="613"/>
      <c r="D1528" s="613"/>
      <c r="E1528" s="613"/>
      <c r="F1528" s="613"/>
      <c r="G1528" s="613"/>
      <c r="H1528" s="613"/>
      <c r="I1528" s="523"/>
      <c r="J1528" s="612"/>
      <c r="K1528" s="612"/>
      <c r="L1528" s="613"/>
      <c r="M1528" s="613"/>
      <c r="N1528" s="613"/>
      <c r="O1528" s="616"/>
      <c r="P1528" s="613"/>
      <c r="Q1528" s="613"/>
      <c r="R1528" s="613"/>
      <c r="S1528" s="613"/>
      <c r="T1528" s="613"/>
      <c r="U1528" s="613"/>
      <c r="V1528" s="523"/>
      <c r="W1528" s="613"/>
      <c r="X1528" s="613"/>
      <c r="Y1528" s="613"/>
      <c r="Z1528" s="523"/>
      <c r="AA1528" s="613"/>
      <c r="AB1528" s="523"/>
      <c r="AC1528" s="523"/>
    </row>
    <row r="1529">
      <c r="A1529" s="613"/>
      <c r="B1529" s="612"/>
      <c r="C1529" s="613"/>
      <c r="D1529" s="613"/>
      <c r="E1529" s="613"/>
      <c r="F1529" s="613"/>
      <c r="G1529" s="613"/>
      <c r="H1529" s="613"/>
      <c r="I1529" s="523"/>
      <c r="J1529" s="612"/>
      <c r="K1529" s="612"/>
      <c r="L1529" s="613"/>
      <c r="M1529" s="613"/>
      <c r="N1529" s="613"/>
      <c r="O1529" s="616"/>
      <c r="P1529" s="613"/>
      <c r="Q1529" s="613"/>
      <c r="R1529" s="613"/>
      <c r="S1529" s="613"/>
      <c r="T1529" s="613"/>
      <c r="U1529" s="613"/>
      <c r="V1529" s="523"/>
      <c r="W1529" s="613"/>
      <c r="X1529" s="613"/>
      <c r="Y1529" s="613"/>
      <c r="Z1529" s="523"/>
      <c r="AA1529" s="613"/>
      <c r="AB1529" s="523"/>
      <c r="AC1529" s="523"/>
    </row>
    <row r="1530">
      <c r="A1530" s="613"/>
      <c r="B1530" s="612"/>
      <c r="C1530" s="613"/>
      <c r="D1530" s="613"/>
      <c r="E1530" s="613"/>
      <c r="F1530" s="613"/>
      <c r="G1530" s="613"/>
      <c r="H1530" s="613"/>
      <c r="I1530" s="523"/>
      <c r="J1530" s="612"/>
      <c r="K1530" s="612"/>
      <c r="L1530" s="613"/>
      <c r="M1530" s="613"/>
      <c r="N1530" s="613"/>
      <c r="O1530" s="616"/>
      <c r="P1530" s="613"/>
      <c r="Q1530" s="613"/>
      <c r="R1530" s="613"/>
      <c r="S1530" s="613"/>
      <c r="T1530" s="613"/>
      <c r="U1530" s="613"/>
      <c r="V1530" s="523"/>
      <c r="W1530" s="613"/>
      <c r="X1530" s="613"/>
      <c r="Y1530" s="613"/>
      <c r="Z1530" s="523"/>
      <c r="AA1530" s="613"/>
      <c r="AB1530" s="523"/>
      <c r="AC1530" s="523"/>
    </row>
    <row r="1531">
      <c r="A1531" s="613"/>
      <c r="B1531" s="612"/>
      <c r="C1531" s="613"/>
      <c r="D1531" s="613"/>
      <c r="E1531" s="613"/>
      <c r="F1531" s="613"/>
      <c r="G1531" s="613"/>
      <c r="H1531" s="613"/>
      <c r="I1531" s="523"/>
      <c r="J1531" s="612"/>
      <c r="K1531" s="612"/>
      <c r="L1531" s="613"/>
      <c r="M1531" s="613"/>
      <c r="N1531" s="613"/>
      <c r="O1531" s="616"/>
      <c r="P1531" s="613"/>
      <c r="Q1531" s="613"/>
      <c r="R1531" s="613"/>
      <c r="S1531" s="613"/>
      <c r="T1531" s="613"/>
      <c r="U1531" s="613"/>
      <c r="V1531" s="523"/>
      <c r="W1531" s="613"/>
      <c r="X1531" s="613"/>
      <c r="Y1531" s="613"/>
      <c r="Z1531" s="523"/>
      <c r="AA1531" s="613"/>
      <c r="AB1531" s="523"/>
      <c r="AC1531" s="523"/>
    </row>
    <row r="1532">
      <c r="A1532" s="613"/>
      <c r="B1532" s="612"/>
      <c r="C1532" s="613"/>
      <c r="D1532" s="613"/>
      <c r="E1532" s="613"/>
      <c r="F1532" s="613"/>
      <c r="G1532" s="613"/>
      <c r="H1532" s="613"/>
      <c r="I1532" s="523"/>
      <c r="J1532" s="612"/>
      <c r="K1532" s="612"/>
      <c r="L1532" s="613"/>
      <c r="M1532" s="613"/>
      <c r="N1532" s="613"/>
      <c r="O1532" s="616"/>
      <c r="P1532" s="613"/>
      <c r="Q1532" s="613"/>
      <c r="R1532" s="613"/>
      <c r="S1532" s="613"/>
      <c r="T1532" s="613"/>
      <c r="U1532" s="613"/>
      <c r="V1532" s="523"/>
      <c r="W1532" s="613"/>
      <c r="X1532" s="613"/>
      <c r="Y1532" s="613"/>
      <c r="Z1532" s="523"/>
      <c r="AA1532" s="613"/>
      <c r="AB1532" s="523"/>
      <c r="AC1532" s="523"/>
    </row>
    <row r="1533">
      <c r="A1533" s="613"/>
      <c r="B1533" s="612"/>
      <c r="C1533" s="613"/>
      <c r="D1533" s="613"/>
      <c r="E1533" s="613"/>
      <c r="F1533" s="613"/>
      <c r="G1533" s="613"/>
      <c r="H1533" s="613"/>
      <c r="I1533" s="523"/>
      <c r="J1533" s="612"/>
      <c r="K1533" s="612"/>
      <c r="L1533" s="613"/>
      <c r="M1533" s="613"/>
      <c r="N1533" s="613"/>
      <c r="O1533" s="616"/>
      <c r="P1533" s="613"/>
      <c r="Q1533" s="613"/>
      <c r="R1533" s="613"/>
      <c r="S1533" s="613"/>
      <c r="T1533" s="613"/>
      <c r="U1533" s="613"/>
      <c r="V1533" s="523"/>
      <c r="W1533" s="613"/>
      <c r="X1533" s="613"/>
      <c r="Y1533" s="613"/>
      <c r="Z1533" s="523"/>
      <c r="AA1533" s="613"/>
      <c r="AB1533" s="523"/>
      <c r="AC1533" s="523"/>
    </row>
    <row r="1534">
      <c r="A1534" s="613"/>
      <c r="B1534" s="612"/>
      <c r="C1534" s="613"/>
      <c r="D1534" s="613"/>
      <c r="E1534" s="613"/>
      <c r="F1534" s="613"/>
      <c r="G1534" s="613"/>
      <c r="H1534" s="613"/>
      <c r="I1534" s="523"/>
      <c r="J1534" s="612"/>
      <c r="K1534" s="612"/>
      <c r="L1534" s="613"/>
      <c r="M1534" s="613"/>
      <c r="N1534" s="613"/>
      <c r="O1534" s="616"/>
      <c r="P1534" s="613"/>
      <c r="Q1534" s="613"/>
      <c r="R1534" s="613"/>
      <c r="S1534" s="613"/>
      <c r="T1534" s="613"/>
      <c r="U1534" s="613"/>
      <c r="V1534" s="523"/>
      <c r="W1534" s="613"/>
      <c r="X1534" s="613"/>
      <c r="Y1534" s="613"/>
      <c r="Z1534" s="523"/>
      <c r="AA1534" s="613"/>
      <c r="AB1534" s="523"/>
      <c r="AC1534" s="523"/>
    </row>
    <row r="1535">
      <c r="A1535" s="613"/>
      <c r="B1535" s="612"/>
      <c r="C1535" s="613"/>
      <c r="D1535" s="613"/>
      <c r="E1535" s="613"/>
      <c r="F1535" s="613"/>
      <c r="G1535" s="613"/>
      <c r="H1535" s="613"/>
      <c r="I1535" s="523"/>
      <c r="J1535" s="612"/>
      <c r="K1535" s="612"/>
      <c r="L1535" s="613"/>
      <c r="M1535" s="613"/>
      <c r="N1535" s="613"/>
      <c r="O1535" s="616"/>
      <c r="P1535" s="613"/>
      <c r="Q1535" s="613"/>
      <c r="R1535" s="613"/>
      <c r="S1535" s="613"/>
      <c r="T1535" s="613"/>
      <c r="U1535" s="613"/>
      <c r="V1535" s="523"/>
      <c r="W1535" s="613"/>
      <c r="X1535" s="613"/>
      <c r="Y1535" s="613"/>
      <c r="Z1535" s="523"/>
      <c r="AA1535" s="613"/>
      <c r="AB1535" s="523"/>
      <c r="AC1535" s="523"/>
    </row>
    <row r="1536">
      <c r="A1536" s="613"/>
      <c r="B1536" s="612"/>
      <c r="C1536" s="613"/>
      <c r="D1536" s="613"/>
      <c r="E1536" s="613"/>
      <c r="F1536" s="613"/>
      <c r="G1536" s="613"/>
      <c r="H1536" s="613"/>
      <c r="I1536" s="523"/>
      <c r="J1536" s="612"/>
      <c r="K1536" s="612"/>
      <c r="L1536" s="613"/>
      <c r="M1536" s="613"/>
      <c r="N1536" s="613"/>
      <c r="O1536" s="616"/>
      <c r="P1536" s="613"/>
      <c r="Q1536" s="613"/>
      <c r="R1536" s="613"/>
      <c r="S1536" s="613"/>
      <c r="T1536" s="613"/>
      <c r="U1536" s="613"/>
      <c r="V1536" s="523"/>
      <c r="W1536" s="613"/>
      <c r="X1536" s="613"/>
      <c r="Y1536" s="613"/>
      <c r="Z1536" s="523"/>
      <c r="AA1536" s="613"/>
      <c r="AB1536" s="523"/>
      <c r="AC1536" s="523"/>
    </row>
    <row r="1537">
      <c r="A1537" s="613"/>
      <c r="B1537" s="612"/>
      <c r="C1537" s="613"/>
      <c r="D1537" s="613"/>
      <c r="E1537" s="613"/>
      <c r="F1537" s="613"/>
      <c r="G1537" s="613"/>
      <c r="H1537" s="613"/>
      <c r="I1537" s="523"/>
      <c r="J1537" s="612"/>
      <c r="K1537" s="612"/>
      <c r="L1537" s="613"/>
      <c r="M1537" s="613"/>
      <c r="N1537" s="613"/>
      <c r="O1537" s="616"/>
      <c r="P1537" s="613"/>
      <c r="Q1537" s="613"/>
      <c r="R1537" s="613"/>
      <c r="S1537" s="613"/>
      <c r="T1537" s="613"/>
      <c r="U1537" s="613"/>
      <c r="V1537" s="523"/>
      <c r="W1537" s="613"/>
      <c r="X1537" s="613"/>
      <c r="Y1537" s="613"/>
      <c r="Z1537" s="523"/>
      <c r="AA1537" s="613"/>
      <c r="AB1537" s="523"/>
      <c r="AC1537" s="523"/>
    </row>
    <row r="1538">
      <c r="A1538" s="613"/>
      <c r="B1538" s="612"/>
      <c r="C1538" s="613"/>
      <c r="D1538" s="613"/>
      <c r="E1538" s="613"/>
      <c r="F1538" s="613"/>
      <c r="G1538" s="613"/>
      <c r="H1538" s="613"/>
      <c r="I1538" s="523"/>
      <c r="J1538" s="612"/>
      <c r="K1538" s="612"/>
      <c r="L1538" s="613"/>
      <c r="M1538" s="613"/>
      <c r="N1538" s="613"/>
      <c r="O1538" s="616"/>
      <c r="P1538" s="613"/>
      <c r="Q1538" s="613"/>
      <c r="R1538" s="613"/>
      <c r="S1538" s="613"/>
      <c r="T1538" s="613"/>
      <c r="U1538" s="613"/>
      <c r="V1538" s="523"/>
      <c r="W1538" s="613"/>
      <c r="X1538" s="613"/>
      <c r="Y1538" s="613"/>
      <c r="Z1538" s="523"/>
      <c r="AA1538" s="613"/>
      <c r="AB1538" s="523"/>
      <c r="AC1538" s="523"/>
    </row>
    <row r="1539">
      <c r="A1539" s="613"/>
      <c r="B1539" s="612"/>
      <c r="C1539" s="613"/>
      <c r="D1539" s="613"/>
      <c r="E1539" s="613"/>
      <c r="F1539" s="613"/>
      <c r="G1539" s="613"/>
      <c r="H1539" s="613"/>
      <c r="I1539" s="523"/>
      <c r="J1539" s="612"/>
      <c r="K1539" s="612"/>
      <c r="L1539" s="613"/>
      <c r="M1539" s="613"/>
      <c r="N1539" s="613"/>
      <c r="O1539" s="616"/>
      <c r="P1539" s="613"/>
      <c r="Q1539" s="613"/>
      <c r="R1539" s="613"/>
      <c r="S1539" s="613"/>
      <c r="T1539" s="613"/>
      <c r="U1539" s="613"/>
      <c r="V1539" s="523"/>
      <c r="W1539" s="613"/>
      <c r="X1539" s="613"/>
      <c r="Y1539" s="613"/>
      <c r="Z1539" s="523"/>
      <c r="AA1539" s="613"/>
      <c r="AB1539" s="523"/>
      <c r="AC1539" s="523"/>
    </row>
    <row r="1540">
      <c r="A1540" s="613"/>
      <c r="B1540" s="612"/>
      <c r="C1540" s="613"/>
      <c r="D1540" s="613"/>
      <c r="E1540" s="613"/>
      <c r="F1540" s="613"/>
      <c r="G1540" s="613"/>
      <c r="H1540" s="613"/>
      <c r="I1540" s="523"/>
      <c r="J1540" s="612"/>
      <c r="K1540" s="612"/>
      <c r="L1540" s="613"/>
      <c r="M1540" s="613"/>
      <c r="N1540" s="613"/>
      <c r="O1540" s="616"/>
      <c r="P1540" s="613"/>
      <c r="Q1540" s="613"/>
      <c r="R1540" s="613"/>
      <c r="S1540" s="613"/>
      <c r="T1540" s="613"/>
      <c r="U1540" s="613"/>
      <c r="V1540" s="523"/>
      <c r="W1540" s="613"/>
      <c r="X1540" s="613"/>
      <c r="Y1540" s="613"/>
      <c r="Z1540" s="523"/>
      <c r="AA1540" s="613"/>
      <c r="AB1540" s="523"/>
      <c r="AC1540" s="523"/>
    </row>
    <row r="1541">
      <c r="A1541" s="613"/>
      <c r="B1541" s="612"/>
      <c r="C1541" s="613"/>
      <c r="D1541" s="613"/>
      <c r="E1541" s="613"/>
      <c r="F1541" s="613"/>
      <c r="G1541" s="613"/>
      <c r="H1541" s="613"/>
      <c r="I1541" s="523"/>
      <c r="J1541" s="612"/>
      <c r="K1541" s="612"/>
      <c r="L1541" s="613"/>
      <c r="M1541" s="613"/>
      <c r="N1541" s="613"/>
      <c r="O1541" s="616"/>
      <c r="P1541" s="613"/>
      <c r="Q1541" s="613"/>
      <c r="R1541" s="613"/>
      <c r="S1541" s="613"/>
      <c r="T1541" s="613"/>
      <c r="U1541" s="613"/>
      <c r="V1541" s="523"/>
      <c r="W1541" s="613"/>
      <c r="X1541" s="613"/>
      <c r="Y1541" s="613"/>
      <c r="Z1541" s="523"/>
      <c r="AA1541" s="613"/>
      <c r="AB1541" s="523"/>
      <c r="AC1541" s="523"/>
    </row>
    <row r="1542">
      <c r="A1542" s="613"/>
      <c r="B1542" s="612"/>
      <c r="C1542" s="613"/>
      <c r="D1542" s="613"/>
      <c r="E1542" s="613"/>
      <c r="F1542" s="613"/>
      <c r="G1542" s="613"/>
      <c r="H1542" s="613"/>
      <c r="I1542" s="523"/>
      <c r="J1542" s="612"/>
      <c r="K1542" s="612"/>
      <c r="L1542" s="613"/>
      <c r="M1542" s="613"/>
      <c r="N1542" s="613"/>
      <c r="O1542" s="616"/>
      <c r="P1542" s="613"/>
      <c r="Q1542" s="613"/>
      <c r="R1542" s="613"/>
      <c r="S1542" s="613"/>
      <c r="T1542" s="613"/>
      <c r="U1542" s="613"/>
      <c r="V1542" s="523"/>
      <c r="W1542" s="613"/>
      <c r="X1542" s="613"/>
      <c r="Y1542" s="613"/>
      <c r="Z1542" s="523"/>
      <c r="AA1542" s="613"/>
      <c r="AB1542" s="523"/>
      <c r="AC1542" s="523"/>
    </row>
    <row r="1543">
      <c r="A1543" s="613"/>
      <c r="B1543" s="612"/>
      <c r="C1543" s="613"/>
      <c r="D1543" s="613"/>
      <c r="E1543" s="613"/>
      <c r="F1543" s="613"/>
      <c r="G1543" s="613"/>
      <c r="H1543" s="613"/>
      <c r="I1543" s="523"/>
      <c r="J1543" s="612"/>
      <c r="K1543" s="612"/>
      <c r="L1543" s="613"/>
      <c r="M1543" s="613"/>
      <c r="N1543" s="613"/>
      <c r="O1543" s="616"/>
      <c r="P1543" s="613"/>
      <c r="Q1543" s="613"/>
      <c r="R1543" s="613"/>
      <c r="S1543" s="613"/>
      <c r="T1543" s="613"/>
      <c r="U1543" s="613"/>
      <c r="V1543" s="523"/>
      <c r="W1543" s="613"/>
      <c r="X1543" s="613"/>
      <c r="Y1543" s="613"/>
      <c r="Z1543" s="523"/>
      <c r="AA1543" s="613"/>
      <c r="AB1543" s="523"/>
      <c r="AC1543" s="523"/>
    </row>
    <row r="1544">
      <c r="A1544" s="613"/>
      <c r="B1544" s="612"/>
      <c r="C1544" s="613"/>
      <c r="D1544" s="613"/>
      <c r="E1544" s="613"/>
      <c r="F1544" s="613"/>
      <c r="G1544" s="613"/>
      <c r="H1544" s="613"/>
      <c r="I1544" s="523"/>
      <c r="J1544" s="612"/>
      <c r="K1544" s="612"/>
      <c r="L1544" s="613"/>
      <c r="M1544" s="613"/>
      <c r="N1544" s="613"/>
      <c r="O1544" s="616"/>
      <c r="P1544" s="613"/>
      <c r="Q1544" s="613"/>
      <c r="R1544" s="613"/>
      <c r="S1544" s="613"/>
      <c r="T1544" s="613"/>
      <c r="U1544" s="613"/>
      <c r="V1544" s="523"/>
      <c r="W1544" s="613"/>
      <c r="X1544" s="613"/>
      <c r="Y1544" s="613"/>
      <c r="Z1544" s="523"/>
      <c r="AA1544" s="613"/>
      <c r="AB1544" s="523"/>
      <c r="AC1544" s="523"/>
    </row>
    <row r="1545">
      <c r="A1545" s="613"/>
      <c r="B1545" s="612"/>
      <c r="C1545" s="613"/>
      <c r="D1545" s="613"/>
      <c r="E1545" s="613"/>
      <c r="F1545" s="613"/>
      <c r="G1545" s="613"/>
      <c r="H1545" s="613"/>
      <c r="I1545" s="523"/>
      <c r="J1545" s="612"/>
      <c r="K1545" s="612"/>
      <c r="L1545" s="613"/>
      <c r="M1545" s="613"/>
      <c r="N1545" s="613"/>
      <c r="O1545" s="616"/>
      <c r="P1545" s="613"/>
      <c r="Q1545" s="613"/>
      <c r="R1545" s="613"/>
      <c r="S1545" s="613"/>
      <c r="T1545" s="613"/>
      <c r="U1545" s="613"/>
      <c r="V1545" s="523"/>
      <c r="W1545" s="613"/>
      <c r="X1545" s="613"/>
      <c r="Y1545" s="613"/>
      <c r="Z1545" s="523"/>
      <c r="AA1545" s="613"/>
      <c r="AB1545" s="523"/>
      <c r="AC1545" s="523"/>
    </row>
    <row r="1546">
      <c r="A1546" s="613"/>
      <c r="B1546" s="612"/>
      <c r="C1546" s="613"/>
      <c r="D1546" s="613"/>
      <c r="E1546" s="613"/>
      <c r="F1546" s="613"/>
      <c r="G1546" s="613"/>
      <c r="H1546" s="613"/>
      <c r="I1546" s="523"/>
      <c r="J1546" s="612"/>
      <c r="K1546" s="612"/>
      <c r="L1546" s="613"/>
      <c r="M1546" s="613"/>
      <c r="N1546" s="613"/>
      <c r="O1546" s="616"/>
      <c r="P1546" s="613"/>
      <c r="Q1546" s="613"/>
      <c r="R1546" s="613"/>
      <c r="S1546" s="613"/>
      <c r="T1546" s="613"/>
      <c r="U1546" s="613"/>
      <c r="V1546" s="523"/>
      <c r="W1546" s="613"/>
      <c r="X1546" s="613"/>
      <c r="Y1546" s="613"/>
      <c r="Z1546" s="523"/>
      <c r="AA1546" s="613"/>
      <c r="AB1546" s="523"/>
      <c r="AC1546" s="523"/>
    </row>
    <row r="1547">
      <c r="A1547" s="613"/>
      <c r="B1547" s="612"/>
      <c r="C1547" s="613"/>
      <c r="D1547" s="613"/>
      <c r="E1547" s="613"/>
      <c r="F1547" s="613"/>
      <c r="G1547" s="613"/>
      <c r="H1547" s="613"/>
      <c r="I1547" s="523"/>
      <c r="J1547" s="612"/>
      <c r="K1547" s="612"/>
      <c r="L1547" s="613"/>
      <c r="M1547" s="613"/>
      <c r="N1547" s="613"/>
      <c r="O1547" s="616"/>
      <c r="P1547" s="613"/>
      <c r="Q1547" s="613"/>
      <c r="R1547" s="613"/>
      <c r="S1547" s="613"/>
      <c r="T1547" s="613"/>
      <c r="U1547" s="613"/>
      <c r="V1547" s="523"/>
      <c r="W1547" s="613"/>
      <c r="X1547" s="613"/>
      <c r="Y1547" s="613"/>
      <c r="Z1547" s="523"/>
      <c r="AA1547" s="613"/>
      <c r="AB1547" s="523"/>
      <c r="AC1547" s="523"/>
    </row>
    <row r="1548">
      <c r="A1548" s="613"/>
      <c r="B1548" s="612"/>
      <c r="C1548" s="613"/>
      <c r="D1548" s="613"/>
      <c r="E1548" s="613"/>
      <c r="F1548" s="613"/>
      <c r="G1548" s="613"/>
      <c r="H1548" s="613"/>
      <c r="I1548" s="523"/>
      <c r="J1548" s="612"/>
      <c r="K1548" s="612"/>
      <c r="L1548" s="613"/>
      <c r="M1548" s="613"/>
      <c r="N1548" s="613"/>
      <c r="O1548" s="616"/>
      <c r="P1548" s="613"/>
      <c r="Q1548" s="613"/>
      <c r="R1548" s="613"/>
      <c r="S1548" s="613"/>
      <c r="T1548" s="613"/>
      <c r="U1548" s="613"/>
      <c r="V1548" s="523"/>
      <c r="W1548" s="613"/>
      <c r="X1548" s="613"/>
      <c r="Y1548" s="613"/>
      <c r="Z1548" s="523"/>
      <c r="AA1548" s="613"/>
      <c r="AB1548" s="523"/>
      <c r="AC1548" s="523"/>
    </row>
    <row r="1549">
      <c r="A1549" s="613"/>
      <c r="B1549" s="612"/>
      <c r="C1549" s="613"/>
      <c r="D1549" s="613"/>
      <c r="E1549" s="613"/>
      <c r="F1549" s="613"/>
      <c r="G1549" s="613"/>
      <c r="H1549" s="613"/>
      <c r="I1549" s="523"/>
      <c r="J1549" s="612"/>
      <c r="K1549" s="612"/>
      <c r="L1549" s="613"/>
      <c r="M1549" s="613"/>
      <c r="N1549" s="613"/>
      <c r="O1549" s="616"/>
      <c r="P1549" s="613"/>
      <c r="Q1549" s="613"/>
      <c r="R1549" s="613"/>
      <c r="S1549" s="613"/>
      <c r="T1549" s="613"/>
      <c r="U1549" s="613"/>
      <c r="V1549" s="523"/>
      <c r="W1549" s="613"/>
      <c r="X1549" s="613"/>
      <c r="Y1549" s="613"/>
      <c r="Z1549" s="523"/>
      <c r="AA1549" s="613"/>
      <c r="AB1549" s="523"/>
      <c r="AC1549" s="523"/>
    </row>
    <row r="1550">
      <c r="A1550" s="613"/>
      <c r="B1550" s="612"/>
      <c r="C1550" s="613"/>
      <c r="D1550" s="613"/>
      <c r="E1550" s="613"/>
      <c r="F1550" s="613"/>
      <c r="G1550" s="613"/>
      <c r="H1550" s="613"/>
      <c r="I1550" s="523"/>
      <c r="J1550" s="612"/>
      <c r="K1550" s="612"/>
      <c r="L1550" s="613"/>
      <c r="M1550" s="613"/>
      <c r="N1550" s="613"/>
      <c r="O1550" s="616"/>
      <c r="P1550" s="613"/>
      <c r="Q1550" s="613"/>
      <c r="R1550" s="613"/>
      <c r="S1550" s="613"/>
      <c r="T1550" s="613"/>
      <c r="U1550" s="613"/>
      <c r="V1550" s="523"/>
      <c r="W1550" s="613"/>
      <c r="X1550" s="613"/>
      <c r="Y1550" s="613"/>
      <c r="Z1550" s="523"/>
      <c r="AA1550" s="613"/>
      <c r="AB1550" s="523"/>
      <c r="AC1550" s="523"/>
    </row>
    <row r="1551">
      <c r="A1551" s="613"/>
      <c r="B1551" s="612"/>
      <c r="C1551" s="613"/>
      <c r="D1551" s="613"/>
      <c r="E1551" s="613"/>
      <c r="F1551" s="613"/>
      <c r="G1551" s="613"/>
      <c r="H1551" s="613"/>
      <c r="I1551" s="523"/>
      <c r="J1551" s="612"/>
      <c r="K1551" s="612"/>
      <c r="L1551" s="613"/>
      <c r="M1551" s="613"/>
      <c r="N1551" s="613"/>
      <c r="O1551" s="616"/>
      <c r="P1551" s="613"/>
      <c r="Q1551" s="613"/>
      <c r="R1551" s="613"/>
      <c r="S1551" s="613"/>
      <c r="T1551" s="613"/>
      <c r="U1551" s="613"/>
      <c r="V1551" s="523"/>
      <c r="W1551" s="613"/>
      <c r="X1551" s="613"/>
      <c r="Y1551" s="613"/>
      <c r="Z1551" s="523"/>
      <c r="AA1551" s="613"/>
      <c r="AB1551" s="523"/>
      <c r="AC1551" s="523"/>
    </row>
    <row r="1552">
      <c r="A1552" s="613"/>
      <c r="B1552" s="612"/>
      <c r="C1552" s="613"/>
      <c r="D1552" s="613"/>
      <c r="E1552" s="613"/>
      <c r="F1552" s="613"/>
      <c r="G1552" s="613"/>
      <c r="H1552" s="613"/>
      <c r="I1552" s="523"/>
      <c r="J1552" s="612"/>
      <c r="K1552" s="612"/>
      <c r="L1552" s="613"/>
      <c r="M1552" s="613"/>
      <c r="N1552" s="613"/>
      <c r="O1552" s="616"/>
      <c r="P1552" s="613"/>
      <c r="Q1552" s="613"/>
      <c r="R1552" s="613"/>
      <c r="S1552" s="613"/>
      <c r="T1552" s="613"/>
      <c r="U1552" s="613"/>
      <c r="V1552" s="523"/>
      <c r="W1552" s="613"/>
      <c r="X1552" s="613"/>
      <c r="Y1552" s="613"/>
      <c r="Z1552" s="523"/>
      <c r="AA1552" s="613"/>
      <c r="AB1552" s="523"/>
      <c r="AC1552" s="523"/>
    </row>
    <row r="1553">
      <c r="A1553" s="613"/>
      <c r="B1553" s="612"/>
      <c r="C1553" s="613"/>
      <c r="D1553" s="613"/>
      <c r="E1553" s="613"/>
      <c r="F1553" s="613"/>
      <c r="G1553" s="613"/>
      <c r="H1553" s="613"/>
      <c r="I1553" s="523"/>
      <c r="J1553" s="612"/>
      <c r="K1553" s="612"/>
      <c r="L1553" s="613"/>
      <c r="M1553" s="613"/>
      <c r="N1553" s="613"/>
      <c r="O1553" s="616"/>
      <c r="P1553" s="613"/>
      <c r="Q1553" s="613"/>
      <c r="R1553" s="613"/>
      <c r="S1553" s="613"/>
      <c r="T1553" s="613"/>
      <c r="U1553" s="613"/>
      <c r="V1553" s="523"/>
      <c r="W1553" s="613"/>
      <c r="X1553" s="613"/>
      <c r="Y1553" s="613"/>
      <c r="Z1553" s="523"/>
      <c r="AA1553" s="613"/>
      <c r="AB1553" s="523"/>
      <c r="AC1553" s="523"/>
    </row>
    <row r="1554">
      <c r="A1554" s="613"/>
      <c r="B1554" s="612"/>
      <c r="C1554" s="613"/>
      <c r="D1554" s="613"/>
      <c r="E1554" s="613"/>
      <c r="F1554" s="613"/>
      <c r="G1554" s="613"/>
      <c r="H1554" s="613"/>
      <c r="I1554" s="523"/>
      <c r="J1554" s="612"/>
      <c r="K1554" s="612"/>
      <c r="L1554" s="613"/>
      <c r="M1554" s="613"/>
      <c r="N1554" s="613"/>
      <c r="O1554" s="616"/>
      <c r="P1554" s="613"/>
      <c r="Q1554" s="613"/>
      <c r="R1554" s="613"/>
      <c r="S1554" s="613"/>
      <c r="T1554" s="613"/>
      <c r="U1554" s="613"/>
      <c r="V1554" s="523"/>
      <c r="W1554" s="613"/>
      <c r="X1554" s="613"/>
      <c r="Y1554" s="613"/>
      <c r="Z1554" s="523"/>
      <c r="AA1554" s="613"/>
      <c r="AB1554" s="523"/>
      <c r="AC1554" s="523"/>
    </row>
    <row r="1555">
      <c r="A1555" s="613"/>
      <c r="B1555" s="612"/>
      <c r="C1555" s="613"/>
      <c r="D1555" s="613"/>
      <c r="E1555" s="613"/>
      <c r="F1555" s="613"/>
      <c r="G1555" s="613"/>
      <c r="H1555" s="613"/>
      <c r="I1555" s="523"/>
      <c r="J1555" s="612"/>
      <c r="K1555" s="612"/>
      <c r="L1555" s="613"/>
      <c r="M1555" s="613"/>
      <c r="N1555" s="613"/>
      <c r="O1555" s="616"/>
      <c r="P1555" s="613"/>
      <c r="Q1555" s="613"/>
      <c r="R1555" s="613"/>
      <c r="S1555" s="613"/>
      <c r="T1555" s="613"/>
      <c r="U1555" s="613"/>
      <c r="V1555" s="523"/>
      <c r="W1555" s="613"/>
      <c r="X1555" s="613"/>
      <c r="Y1555" s="613"/>
      <c r="Z1555" s="523"/>
      <c r="AA1555" s="613"/>
      <c r="AB1555" s="523"/>
      <c r="AC1555" s="523"/>
    </row>
    <row r="1556">
      <c r="A1556" s="613"/>
      <c r="B1556" s="612"/>
      <c r="C1556" s="613"/>
      <c r="D1556" s="613"/>
      <c r="E1556" s="613"/>
      <c r="F1556" s="613"/>
      <c r="G1556" s="613"/>
      <c r="H1556" s="613"/>
      <c r="I1556" s="523"/>
      <c r="J1556" s="612"/>
      <c r="K1556" s="612"/>
      <c r="L1556" s="613"/>
      <c r="M1556" s="613"/>
      <c r="N1556" s="613"/>
      <c r="O1556" s="616"/>
      <c r="P1556" s="613"/>
      <c r="Q1556" s="613"/>
      <c r="R1556" s="613"/>
      <c r="S1556" s="613"/>
      <c r="T1556" s="613"/>
      <c r="U1556" s="613"/>
      <c r="V1556" s="523"/>
      <c r="W1556" s="613"/>
      <c r="X1556" s="613"/>
      <c r="Y1556" s="613"/>
      <c r="Z1556" s="523"/>
      <c r="AA1556" s="613"/>
      <c r="AB1556" s="523"/>
      <c r="AC1556" s="523"/>
    </row>
    <row r="1557">
      <c r="A1557" s="613"/>
      <c r="B1557" s="612"/>
      <c r="C1557" s="613"/>
      <c r="D1557" s="613"/>
      <c r="E1557" s="613"/>
      <c r="F1557" s="613"/>
      <c r="G1557" s="613"/>
      <c r="H1557" s="613"/>
      <c r="I1557" s="523"/>
      <c r="J1557" s="612"/>
      <c r="K1557" s="612"/>
      <c r="L1557" s="613"/>
      <c r="M1557" s="613"/>
      <c r="N1557" s="613"/>
      <c r="O1557" s="616"/>
      <c r="P1557" s="613"/>
      <c r="Q1557" s="613"/>
      <c r="R1557" s="613"/>
      <c r="S1557" s="613"/>
      <c r="T1557" s="613"/>
      <c r="U1557" s="613"/>
      <c r="V1557" s="523"/>
      <c r="W1557" s="613"/>
      <c r="X1557" s="613"/>
      <c r="Y1557" s="613"/>
      <c r="Z1557" s="523"/>
      <c r="AA1557" s="613"/>
      <c r="AB1557" s="523"/>
      <c r="AC1557" s="523"/>
    </row>
    <row r="1558">
      <c r="A1558" s="613"/>
      <c r="B1558" s="612"/>
      <c r="C1558" s="613"/>
      <c r="D1558" s="613"/>
      <c r="E1558" s="613"/>
      <c r="F1558" s="613"/>
      <c r="G1558" s="613"/>
      <c r="H1558" s="613"/>
      <c r="I1558" s="523"/>
      <c r="J1558" s="612"/>
      <c r="K1558" s="612"/>
      <c r="L1558" s="613"/>
      <c r="M1558" s="613"/>
      <c r="N1558" s="613"/>
      <c r="O1558" s="616"/>
      <c r="P1558" s="613"/>
      <c r="Q1558" s="613"/>
      <c r="R1558" s="613"/>
      <c r="S1558" s="613"/>
      <c r="T1558" s="613"/>
      <c r="U1558" s="613"/>
      <c r="V1558" s="523"/>
      <c r="W1558" s="613"/>
      <c r="X1558" s="613"/>
      <c r="Y1558" s="613"/>
      <c r="Z1558" s="523"/>
      <c r="AA1558" s="613"/>
      <c r="AB1558" s="523"/>
      <c r="AC1558" s="523"/>
    </row>
    <row r="1559">
      <c r="A1559" s="613"/>
      <c r="B1559" s="612"/>
      <c r="C1559" s="613"/>
      <c r="D1559" s="613"/>
      <c r="E1559" s="613"/>
      <c r="F1559" s="613"/>
      <c r="G1559" s="613"/>
      <c r="H1559" s="613"/>
      <c r="I1559" s="523"/>
      <c r="J1559" s="612"/>
      <c r="K1559" s="612"/>
      <c r="L1559" s="613"/>
      <c r="M1559" s="613"/>
      <c r="N1559" s="613"/>
      <c r="O1559" s="616"/>
      <c r="P1559" s="613"/>
      <c r="Q1559" s="613"/>
      <c r="R1559" s="613"/>
      <c r="S1559" s="613"/>
      <c r="T1559" s="613"/>
      <c r="U1559" s="613"/>
      <c r="V1559" s="523"/>
      <c r="W1559" s="613"/>
      <c r="X1559" s="613"/>
      <c r="Y1559" s="613"/>
      <c r="Z1559" s="523"/>
      <c r="AA1559" s="613"/>
      <c r="AB1559" s="523"/>
      <c r="AC1559" s="523"/>
    </row>
    <row r="1560">
      <c r="A1560" s="613"/>
      <c r="B1560" s="612"/>
      <c r="C1560" s="613"/>
      <c r="D1560" s="613"/>
      <c r="E1560" s="613"/>
      <c r="F1560" s="613"/>
      <c r="G1560" s="613"/>
      <c r="H1560" s="613"/>
      <c r="I1560" s="523"/>
      <c r="J1560" s="612"/>
      <c r="K1560" s="612"/>
      <c r="L1560" s="613"/>
      <c r="M1560" s="613"/>
      <c r="N1560" s="613"/>
      <c r="O1560" s="616"/>
      <c r="P1560" s="613"/>
      <c r="Q1560" s="613"/>
      <c r="R1560" s="613"/>
      <c r="S1560" s="613"/>
      <c r="T1560" s="613"/>
      <c r="U1560" s="613"/>
      <c r="V1560" s="523"/>
      <c r="W1560" s="613"/>
      <c r="X1560" s="613"/>
      <c r="Y1560" s="613"/>
      <c r="Z1560" s="523"/>
      <c r="AA1560" s="613"/>
      <c r="AB1560" s="523"/>
      <c r="AC1560" s="523"/>
    </row>
    <row r="1561">
      <c r="A1561" s="613"/>
      <c r="B1561" s="612"/>
      <c r="C1561" s="613"/>
      <c r="D1561" s="613"/>
      <c r="E1561" s="613"/>
      <c r="F1561" s="613"/>
      <c r="G1561" s="613"/>
      <c r="H1561" s="613"/>
      <c r="I1561" s="523"/>
      <c r="J1561" s="612"/>
      <c r="K1561" s="612"/>
      <c r="L1561" s="613"/>
      <c r="M1561" s="613"/>
      <c r="N1561" s="613"/>
      <c r="O1561" s="616"/>
      <c r="P1561" s="613"/>
      <c r="Q1561" s="613"/>
      <c r="R1561" s="613"/>
      <c r="S1561" s="613"/>
      <c r="T1561" s="613"/>
      <c r="U1561" s="613"/>
      <c r="V1561" s="523"/>
      <c r="W1561" s="613"/>
      <c r="X1561" s="613"/>
      <c r="Y1561" s="613"/>
      <c r="Z1561" s="523"/>
      <c r="AA1561" s="613"/>
      <c r="AB1561" s="523"/>
      <c r="AC1561" s="523"/>
    </row>
    <row r="1562">
      <c r="A1562" s="613"/>
      <c r="B1562" s="612"/>
      <c r="C1562" s="613"/>
      <c r="D1562" s="613"/>
      <c r="E1562" s="613"/>
      <c r="F1562" s="613"/>
      <c r="G1562" s="613"/>
      <c r="H1562" s="613"/>
      <c r="I1562" s="523"/>
      <c r="J1562" s="612"/>
      <c r="K1562" s="612"/>
      <c r="L1562" s="613"/>
      <c r="M1562" s="613"/>
      <c r="N1562" s="613"/>
      <c r="O1562" s="616"/>
      <c r="P1562" s="613"/>
      <c r="Q1562" s="613"/>
      <c r="R1562" s="613"/>
      <c r="S1562" s="613"/>
      <c r="T1562" s="613"/>
      <c r="U1562" s="613"/>
      <c r="V1562" s="523"/>
      <c r="W1562" s="613"/>
      <c r="X1562" s="613"/>
      <c r="Y1562" s="613"/>
      <c r="Z1562" s="523"/>
      <c r="AA1562" s="613"/>
      <c r="AB1562" s="523"/>
      <c r="AC1562" s="523"/>
    </row>
    <row r="1563">
      <c r="A1563" s="613"/>
      <c r="B1563" s="612"/>
      <c r="C1563" s="613"/>
      <c r="D1563" s="613"/>
      <c r="E1563" s="613"/>
      <c r="F1563" s="613"/>
      <c r="G1563" s="613"/>
      <c r="H1563" s="613"/>
      <c r="I1563" s="523"/>
      <c r="J1563" s="612"/>
      <c r="K1563" s="612"/>
      <c r="L1563" s="613"/>
      <c r="M1563" s="613"/>
      <c r="N1563" s="613"/>
      <c r="O1563" s="616"/>
      <c r="P1563" s="613"/>
      <c r="Q1563" s="613"/>
      <c r="R1563" s="613"/>
      <c r="S1563" s="613"/>
      <c r="T1563" s="613"/>
      <c r="U1563" s="613"/>
      <c r="V1563" s="523"/>
      <c r="W1563" s="613"/>
      <c r="X1563" s="613"/>
      <c r="Y1563" s="613"/>
      <c r="Z1563" s="523"/>
      <c r="AA1563" s="613"/>
      <c r="AB1563" s="523"/>
      <c r="AC1563" s="523"/>
    </row>
    <row r="1564">
      <c r="A1564" s="613"/>
      <c r="B1564" s="612"/>
      <c r="C1564" s="613"/>
      <c r="D1564" s="613"/>
      <c r="E1564" s="613"/>
      <c r="F1564" s="613"/>
      <c r="G1564" s="613"/>
      <c r="H1564" s="613"/>
      <c r="I1564" s="523"/>
      <c r="J1564" s="612"/>
      <c r="K1564" s="612"/>
      <c r="L1564" s="613"/>
      <c r="M1564" s="613"/>
      <c r="N1564" s="613"/>
      <c r="O1564" s="616"/>
      <c r="P1564" s="613"/>
      <c r="Q1564" s="613"/>
      <c r="R1564" s="613"/>
      <c r="S1564" s="613"/>
      <c r="T1564" s="613"/>
      <c r="U1564" s="613"/>
      <c r="V1564" s="523"/>
      <c r="W1564" s="613"/>
      <c r="X1564" s="613"/>
      <c r="Y1564" s="613"/>
      <c r="Z1564" s="523"/>
      <c r="AA1564" s="613"/>
      <c r="AB1564" s="523"/>
      <c r="AC1564" s="523"/>
    </row>
    <row r="1565">
      <c r="A1565" s="613"/>
      <c r="B1565" s="612"/>
      <c r="C1565" s="613"/>
      <c r="D1565" s="613"/>
      <c r="E1565" s="613"/>
      <c r="F1565" s="613"/>
      <c r="G1565" s="613"/>
      <c r="H1565" s="613"/>
      <c r="I1565" s="523"/>
      <c r="J1565" s="612"/>
      <c r="K1565" s="612"/>
      <c r="L1565" s="613"/>
      <c r="M1565" s="613"/>
      <c r="N1565" s="613"/>
      <c r="O1565" s="616"/>
      <c r="P1565" s="613"/>
      <c r="Q1565" s="613"/>
      <c r="R1565" s="613"/>
      <c r="S1565" s="613"/>
      <c r="T1565" s="613"/>
      <c r="U1565" s="613"/>
      <c r="V1565" s="523"/>
      <c r="W1565" s="613"/>
      <c r="X1565" s="613"/>
      <c r="Y1565" s="613"/>
      <c r="Z1565" s="523"/>
      <c r="AA1565" s="613"/>
      <c r="AB1565" s="523"/>
      <c r="AC1565" s="523"/>
    </row>
    <row r="1566">
      <c r="A1566" s="613"/>
      <c r="B1566" s="612"/>
      <c r="C1566" s="613"/>
      <c r="D1566" s="613"/>
      <c r="E1566" s="613"/>
      <c r="F1566" s="613"/>
      <c r="G1566" s="613"/>
      <c r="H1566" s="613"/>
      <c r="I1566" s="523"/>
      <c r="J1566" s="612"/>
      <c r="K1566" s="612"/>
      <c r="L1566" s="613"/>
      <c r="M1566" s="613"/>
      <c r="N1566" s="613"/>
      <c r="O1566" s="616"/>
      <c r="P1566" s="613"/>
      <c r="Q1566" s="613"/>
      <c r="R1566" s="613"/>
      <c r="S1566" s="613"/>
      <c r="T1566" s="613"/>
      <c r="U1566" s="613"/>
      <c r="V1566" s="523"/>
      <c r="W1566" s="613"/>
      <c r="X1566" s="613"/>
      <c r="Y1566" s="613"/>
      <c r="Z1566" s="523"/>
      <c r="AA1566" s="613"/>
      <c r="AB1566" s="523"/>
      <c r="AC1566" s="523"/>
    </row>
    <row r="1567">
      <c r="A1567" s="613"/>
      <c r="B1567" s="612"/>
      <c r="C1567" s="613"/>
      <c r="D1567" s="613"/>
      <c r="E1567" s="613"/>
      <c r="F1567" s="613"/>
      <c r="G1567" s="613"/>
      <c r="H1567" s="613"/>
      <c r="I1567" s="523"/>
      <c r="J1567" s="612"/>
      <c r="K1567" s="612"/>
      <c r="L1567" s="613"/>
      <c r="M1567" s="613"/>
      <c r="N1567" s="613"/>
      <c r="O1567" s="616"/>
      <c r="P1567" s="613"/>
      <c r="Q1567" s="613"/>
      <c r="R1567" s="613"/>
      <c r="S1567" s="613"/>
      <c r="T1567" s="613"/>
      <c r="U1567" s="613"/>
      <c r="V1567" s="523"/>
      <c r="W1567" s="613"/>
      <c r="X1567" s="613"/>
      <c r="Y1567" s="613"/>
      <c r="Z1567" s="523"/>
      <c r="AA1567" s="613"/>
      <c r="AB1567" s="523"/>
      <c r="AC1567" s="523"/>
    </row>
    <row r="1568">
      <c r="A1568" s="613"/>
      <c r="B1568" s="612"/>
      <c r="C1568" s="613"/>
      <c r="D1568" s="613"/>
      <c r="E1568" s="613"/>
      <c r="F1568" s="613"/>
      <c r="G1568" s="613"/>
      <c r="H1568" s="613"/>
      <c r="I1568" s="523"/>
      <c r="J1568" s="612"/>
      <c r="K1568" s="612"/>
      <c r="L1568" s="613"/>
      <c r="M1568" s="613"/>
      <c r="N1568" s="613"/>
      <c r="O1568" s="616"/>
      <c r="P1568" s="613"/>
      <c r="Q1568" s="613"/>
      <c r="R1568" s="613"/>
      <c r="S1568" s="613"/>
      <c r="T1568" s="613"/>
      <c r="U1568" s="613"/>
      <c r="V1568" s="523"/>
      <c r="W1568" s="613"/>
      <c r="X1568" s="613"/>
      <c r="Y1568" s="613"/>
      <c r="Z1568" s="523"/>
      <c r="AA1568" s="613"/>
      <c r="AB1568" s="523"/>
      <c r="AC1568" s="523"/>
    </row>
    <row r="1569">
      <c r="A1569" s="613"/>
      <c r="B1569" s="612"/>
      <c r="C1569" s="613"/>
      <c r="D1569" s="613"/>
      <c r="E1569" s="613"/>
      <c r="F1569" s="613"/>
      <c r="G1569" s="613"/>
      <c r="H1569" s="613"/>
      <c r="I1569" s="523"/>
      <c r="J1569" s="612"/>
      <c r="K1569" s="612"/>
      <c r="L1569" s="613"/>
      <c r="M1569" s="613"/>
      <c r="N1569" s="613"/>
      <c r="O1569" s="616"/>
      <c r="P1569" s="613"/>
      <c r="Q1569" s="613"/>
      <c r="R1569" s="613"/>
      <c r="S1569" s="613"/>
      <c r="T1569" s="613"/>
      <c r="U1569" s="613"/>
      <c r="V1569" s="523"/>
      <c r="W1569" s="613"/>
      <c r="X1569" s="613"/>
      <c r="Y1569" s="613"/>
      <c r="Z1569" s="523"/>
      <c r="AA1569" s="613"/>
      <c r="AB1569" s="523"/>
      <c r="AC1569" s="523"/>
    </row>
    <row r="1570">
      <c r="A1570" s="613"/>
      <c r="B1570" s="612"/>
      <c r="C1570" s="613"/>
      <c r="D1570" s="613"/>
      <c r="E1570" s="613"/>
      <c r="F1570" s="613"/>
      <c r="G1570" s="613"/>
      <c r="H1570" s="613"/>
      <c r="I1570" s="523"/>
      <c r="J1570" s="612"/>
      <c r="K1570" s="612"/>
      <c r="L1570" s="613"/>
      <c r="M1570" s="613"/>
      <c r="N1570" s="613"/>
      <c r="O1570" s="616"/>
      <c r="P1570" s="613"/>
      <c r="Q1570" s="613"/>
      <c r="R1570" s="613"/>
      <c r="S1570" s="613"/>
      <c r="T1570" s="613"/>
      <c r="U1570" s="613"/>
      <c r="V1570" s="523"/>
      <c r="W1570" s="613"/>
      <c r="X1570" s="613"/>
      <c r="Y1570" s="613"/>
      <c r="Z1570" s="523"/>
      <c r="AA1570" s="613"/>
      <c r="AB1570" s="523"/>
      <c r="AC1570" s="523"/>
    </row>
    <row r="1571">
      <c r="A1571" s="613"/>
      <c r="B1571" s="612"/>
      <c r="C1571" s="613"/>
      <c r="D1571" s="613"/>
      <c r="E1571" s="613"/>
      <c r="F1571" s="613"/>
      <c r="G1571" s="613"/>
      <c r="H1571" s="613"/>
      <c r="I1571" s="523"/>
      <c r="J1571" s="612"/>
      <c r="K1571" s="612"/>
      <c r="L1571" s="613"/>
      <c r="M1571" s="613"/>
      <c r="N1571" s="613"/>
      <c r="O1571" s="616"/>
      <c r="P1571" s="613"/>
      <c r="Q1571" s="613"/>
      <c r="R1571" s="613"/>
      <c r="S1571" s="613"/>
      <c r="T1571" s="613"/>
      <c r="U1571" s="613"/>
      <c r="V1571" s="523"/>
      <c r="W1571" s="613"/>
      <c r="X1571" s="613"/>
      <c r="Y1571" s="613"/>
      <c r="Z1571" s="523"/>
      <c r="AA1571" s="613"/>
      <c r="AB1571" s="523"/>
      <c r="AC1571" s="523"/>
    </row>
  </sheetData>
  <mergeCells count="25">
    <mergeCell ref="R2:T2"/>
    <mergeCell ref="V2:Y2"/>
    <mergeCell ref="Z2:Z3"/>
    <mergeCell ref="AA2:AA3"/>
    <mergeCell ref="AB2:AB3"/>
    <mergeCell ref="L2:L3"/>
    <mergeCell ref="M2:M3"/>
    <mergeCell ref="N2:N3"/>
    <mergeCell ref="O2:O3"/>
    <mergeCell ref="P2:P3"/>
    <mergeCell ref="Q2:Q3"/>
    <mergeCell ref="U2:U3"/>
    <mergeCell ref="A4:B4"/>
    <mergeCell ref="A177:B177"/>
    <mergeCell ref="A354:B354"/>
    <mergeCell ref="A541:B541"/>
    <mergeCell ref="A720:B720"/>
    <mergeCell ref="A744:B744"/>
    <mergeCell ref="A1:D1"/>
    <mergeCell ref="A2:A3"/>
    <mergeCell ref="B2:B3"/>
    <mergeCell ref="C2:C3"/>
    <mergeCell ref="D2:D3"/>
    <mergeCell ref="E2:J2"/>
    <mergeCell ref="K2:K3"/>
  </mergeCells>
  <conditionalFormatting sqref="M6:M82 M84:M102 M104:M121 M123:M131 M133:M176 M179:M327 M329:M354 M356:M436 M438:M471 M473:M497 M499:M514 M516:M541 M543:M593 M595:M625 M627:M641 M643:M647 M649:M661 M663:M670 M672:M674 M676:M687 M689:M861">
    <cfRule type="expression" dxfId="0" priority="1">
      <formula>countif(M:M,M6)&gt;1</formula>
    </cfRule>
  </conditionalFormatting>
  <conditionalFormatting sqref="M6:M82 M84:M102 M104:M121 M123:M131 M133:M176 M179:M327 M329:M354 M356:M436 M438:M471 M473:M497 M499:M514 M516:M541 M543:M593 M595:M625 M627:M641 M643:M647 M649:M661 M663:M670 M672:M674 M676:M687 M689:M861">
    <cfRule type="expression" dxfId="4" priority="2">
      <formula>$K6="Hư hỏng"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Row="1"/>
  <cols>
    <col customWidth="1" min="1" max="1" width="8.88"/>
    <col customWidth="1" min="2" max="2" width="37.25"/>
    <col customWidth="1" min="3" max="3" width="38.25"/>
    <col customWidth="1" min="4" max="4" width="15.63"/>
    <col customWidth="1" min="8" max="8" width="18.63"/>
    <col customWidth="1" min="9" max="9" width="14.75"/>
    <col customWidth="1" min="10" max="10" width="18.38"/>
    <col customWidth="1" min="15" max="17" width="18.25"/>
    <col customWidth="1" min="18" max="19" width="22.25"/>
    <col customWidth="1" min="20" max="20" width="17.13"/>
    <col customWidth="1" min="21" max="21" width="22.25"/>
  </cols>
  <sheetData>
    <row r="1" ht="24.75" customHeight="1">
      <c r="A1" s="667" t="s">
        <v>5758</v>
      </c>
      <c r="B1" s="23"/>
      <c r="C1" s="23"/>
      <c r="D1" s="668"/>
      <c r="E1" s="668"/>
      <c r="F1" s="668"/>
      <c r="G1" s="668"/>
      <c r="H1" s="669"/>
      <c r="I1" s="668"/>
      <c r="J1" s="670"/>
      <c r="K1" s="668"/>
      <c r="L1" s="668"/>
      <c r="M1" s="668"/>
      <c r="N1" s="670"/>
      <c r="O1" s="670"/>
      <c r="P1" s="670"/>
      <c r="Q1" s="670"/>
      <c r="R1" s="670"/>
      <c r="S1" s="670"/>
      <c r="T1" s="670"/>
      <c r="U1" s="671"/>
    </row>
    <row r="2" ht="25.5" customHeight="1">
      <c r="A2" s="672" t="s">
        <v>15</v>
      </c>
      <c r="B2" s="672" t="s">
        <v>5760</v>
      </c>
      <c r="C2" s="672" t="s">
        <v>5761</v>
      </c>
      <c r="D2" s="672" t="s">
        <v>5762</v>
      </c>
      <c r="E2" s="673" t="s">
        <v>5763</v>
      </c>
      <c r="F2" s="23"/>
      <c r="G2" s="23"/>
      <c r="H2" s="672" t="s">
        <v>5764</v>
      </c>
      <c r="I2" s="674" t="s">
        <v>5765</v>
      </c>
      <c r="J2" s="672" t="s">
        <v>4094</v>
      </c>
      <c r="K2" s="673" t="s">
        <v>4102</v>
      </c>
      <c r="L2" s="23"/>
      <c r="M2" s="30"/>
      <c r="N2" s="674" t="s">
        <v>4103</v>
      </c>
      <c r="O2" s="675" t="s">
        <v>4106</v>
      </c>
      <c r="P2" s="23"/>
      <c r="Q2" s="23"/>
      <c r="R2" s="30"/>
      <c r="S2" s="676" t="s">
        <v>4109</v>
      </c>
      <c r="T2" s="677" t="s">
        <v>5766</v>
      </c>
      <c r="U2" s="678" t="s">
        <v>4112</v>
      </c>
    </row>
    <row r="3" ht="25.5" customHeight="1">
      <c r="A3" s="58"/>
      <c r="B3" s="58"/>
      <c r="C3" s="58"/>
      <c r="D3" s="58"/>
      <c r="E3" s="679" t="s">
        <v>4113</v>
      </c>
      <c r="F3" s="679" t="s">
        <v>4114</v>
      </c>
      <c r="G3" s="679" t="s">
        <v>4115</v>
      </c>
      <c r="H3" s="58"/>
      <c r="I3" s="58"/>
      <c r="J3" s="58"/>
      <c r="K3" s="679" t="s">
        <v>4122</v>
      </c>
      <c r="L3" s="679" t="s">
        <v>4124</v>
      </c>
      <c r="M3" s="679" t="s">
        <v>4125</v>
      </c>
      <c r="N3" s="58"/>
      <c r="O3" s="680" t="s">
        <v>5767</v>
      </c>
      <c r="P3" s="680" t="s">
        <v>4126</v>
      </c>
      <c r="Q3" s="680" t="s">
        <v>5768</v>
      </c>
      <c r="R3" s="680" t="s">
        <v>5769</v>
      </c>
      <c r="S3" s="58"/>
      <c r="T3" s="681"/>
      <c r="U3" s="681"/>
    </row>
    <row r="4">
      <c r="A4" s="682" t="s">
        <v>5770</v>
      </c>
      <c r="B4" s="23"/>
      <c r="C4" s="30"/>
      <c r="D4" s="683"/>
      <c r="E4" s="683"/>
      <c r="F4" s="683"/>
      <c r="G4" s="683"/>
      <c r="H4" s="683"/>
      <c r="I4" s="683"/>
      <c r="J4" s="684"/>
      <c r="K4" s="683"/>
      <c r="L4" s="683"/>
      <c r="M4" s="683"/>
      <c r="N4" s="684"/>
      <c r="O4" s="684"/>
      <c r="P4" s="684"/>
      <c r="Q4" s="684"/>
      <c r="R4" s="684"/>
      <c r="S4" s="684"/>
      <c r="T4" s="685"/>
      <c r="U4" s="685"/>
    </row>
    <row r="5">
      <c r="A5" s="686" t="s">
        <v>5771</v>
      </c>
      <c r="B5" s="23"/>
      <c r="C5" s="30"/>
      <c r="D5" s="687">
        <f>SUM(D6:D45)</f>
        <v>38</v>
      </c>
      <c r="E5" s="688"/>
      <c r="F5" s="688"/>
      <c r="G5" s="688"/>
      <c r="H5" s="688"/>
      <c r="I5" s="688"/>
      <c r="J5" s="689"/>
      <c r="K5" s="688"/>
      <c r="L5" s="688"/>
      <c r="M5" s="688"/>
      <c r="N5" s="689"/>
      <c r="O5" s="689"/>
      <c r="P5" s="689"/>
      <c r="Q5" s="689"/>
      <c r="R5" s="689"/>
      <c r="S5" s="689"/>
      <c r="T5" s="690"/>
      <c r="U5" s="690"/>
    </row>
    <row r="6">
      <c r="A6" s="691">
        <v>1.0</v>
      </c>
      <c r="B6" s="691" t="s">
        <v>5772</v>
      </c>
      <c r="C6" s="532" t="str">
        <f>IFERROR(VLOOKUP(J6,'03. THIẾT BỊ'!$B$1:$U$836,5,0),"")</f>
        <v>Thiết bị phun vôi/rải vô cơ</v>
      </c>
      <c r="D6" s="463">
        <v>1.0</v>
      </c>
      <c r="E6" s="692"/>
      <c r="F6" s="692"/>
      <c r="G6" s="692"/>
      <c r="H6" s="692">
        <f>IFERROR(VLOOKUP(J6,'03. THIẾT BỊ'!$B$1:$U$836,19,0),"")</f>
        <v>3.8</v>
      </c>
      <c r="I6" s="463" t="str">
        <f>IFERROR(VLOOKUP(J6,'03. THIẾT BỊ'!$B$1:$U$836,20,0),"")</f>
        <v>8 Ha/8h</v>
      </c>
      <c r="J6" s="464" t="s">
        <v>3596</v>
      </c>
      <c r="K6" s="463"/>
      <c r="L6" s="692"/>
      <c r="M6" s="463" t="s">
        <v>4158</v>
      </c>
      <c r="N6" s="692" t="str">
        <f>IFERROR(VLOOKUP(J6,'03. THIẾT BỊ'!$B$1:$U$836,4,0),"")</f>
        <v>ĐQSD</v>
      </c>
      <c r="O6" s="692" t="str">
        <f>IFERROR(VLOOKUP(J6,'03. THIẾT BỊ'!$B$1:$U$836,7,0),"")</f>
        <v>CGLĐ DP</v>
      </c>
      <c r="P6" s="559" t="str">
        <f>IFERROR(VLOOKUP(O6,'NS QUẢN LÝ CG'!$A$4:$D$36,2,0),"")</f>
        <v>Nguyễn Tấn Triều</v>
      </c>
      <c r="Q6" s="559" t="str">
        <f>IFERROR(VLOOKUP(O6,'NS QUẢN LÝ CG'!$A$4:$D$36,4,0),"")</f>
        <v>Lô 85 DP4</v>
      </c>
      <c r="R6" s="559" t="str">
        <f>IFERROR(VLOOKUP(O6,'NS QUẢN LÝ CG'!$A$4:$C$36,3,0),"")</f>
        <v>05974160290</v>
      </c>
      <c r="S6" s="532" t="str">
        <f>IFERROR(VLOOKUP(J6,'03. THIẾT BỊ'!$B$1:$S$836,3,0),"")</f>
        <v>A23-RVO-001</v>
      </c>
      <c r="T6" s="693" t="str">
        <f t="shared" ref="T6:T43" si="1">SWITCH(LEFT(S6,3),"A22","ADM","A23","DP","A24","LP","")</f>
        <v>DP</v>
      </c>
      <c r="U6" s="693"/>
    </row>
    <row r="7">
      <c r="A7" s="694"/>
      <c r="B7" s="694"/>
      <c r="C7" s="532" t="str">
        <f>IFERROR(VLOOKUP(J7,'03. THIẾT BỊ'!$B$1:$U$836,5,0),"")</f>
        <v>Thiết bị phun vôi/rải vô cơ</v>
      </c>
      <c r="D7" s="463">
        <v>1.0</v>
      </c>
      <c r="E7" s="692"/>
      <c r="F7" s="692"/>
      <c r="G7" s="692"/>
      <c r="H7" s="692">
        <f>IFERROR(VLOOKUP(J7,'03. THIẾT BỊ'!$B$1:$U$836,19,0),"")</f>
        <v>3.8</v>
      </c>
      <c r="I7" s="463" t="str">
        <f>IFERROR(VLOOKUP(J7,'03. THIẾT BỊ'!$B$1:$U$836,20,0),"")</f>
        <v>8 Ha/8h</v>
      </c>
      <c r="J7" s="464" t="s">
        <v>3601</v>
      </c>
      <c r="K7" s="463" t="s">
        <v>4158</v>
      </c>
      <c r="L7" s="692"/>
      <c r="M7" s="692"/>
      <c r="N7" s="692" t="str">
        <f>IFERROR(VLOOKUP(J7,'03. THIẾT BỊ'!$B$1:$U$836,4,0),"")</f>
        <v>MUA MỚI</v>
      </c>
      <c r="O7" s="692" t="str">
        <f>IFERROR(VLOOKUP(J7,'03. THIẾT BỊ'!$B$1:$U$836,7,0),"")</f>
        <v>CGLĐ DP</v>
      </c>
      <c r="P7" s="559" t="str">
        <f>IFERROR(VLOOKUP(O7,'NS QUẢN LÝ CG'!$A$4:$D$36,2,0),"")</f>
        <v>Nguyễn Tấn Triều</v>
      </c>
      <c r="Q7" s="559" t="str">
        <f>IFERROR(VLOOKUP(O7,'NS QUẢN LÝ CG'!$A$4:$D$36,4,0),"")</f>
        <v>Lô 85 DP4</v>
      </c>
      <c r="R7" s="559" t="str">
        <f>IFERROR(VLOOKUP(O7,'NS QUẢN LÝ CG'!$A$4:$C$36,3,0),"")</f>
        <v>05974160290</v>
      </c>
      <c r="S7" s="532" t="str">
        <f>IFERROR(VLOOKUP(J7,'03. THIẾT BỊ'!$B$1:$S$836,3,0),"")</f>
        <v>A23-RVO-005</v>
      </c>
      <c r="T7" s="693" t="str">
        <f t="shared" si="1"/>
        <v>DP</v>
      </c>
      <c r="U7" s="693"/>
    </row>
    <row r="8">
      <c r="A8" s="694"/>
      <c r="B8" s="694"/>
      <c r="C8" s="532" t="str">
        <f>IFERROR(VLOOKUP(J8,'03. THIẾT BỊ'!$B$1:$U$836,5,0),"")</f>
        <v>Thiết bị phun vôi/rải vô cơ</v>
      </c>
      <c r="D8" s="463">
        <v>1.0</v>
      </c>
      <c r="E8" s="692"/>
      <c r="F8" s="692"/>
      <c r="G8" s="692"/>
      <c r="H8" s="692">
        <f>IFERROR(VLOOKUP(J8,'03. THIẾT BỊ'!$B$1:$U$836,19,0),"")</f>
        <v>3.8</v>
      </c>
      <c r="I8" s="463" t="str">
        <f>IFERROR(VLOOKUP(J8,'03. THIẾT BỊ'!$B$1:$U$836,20,0),"")</f>
        <v>8 Ha/8h</v>
      </c>
      <c r="J8" s="464" t="s">
        <v>3773</v>
      </c>
      <c r="K8" s="463"/>
      <c r="L8" s="692"/>
      <c r="M8" s="463" t="s">
        <v>4158</v>
      </c>
      <c r="N8" s="692" t="str">
        <f>IFERROR(VLOOKUP(J8,'03. THIẾT BỊ'!$B$1:$U$836,4,0),"")</f>
        <v>ĐQSD</v>
      </c>
      <c r="O8" s="692" t="str">
        <f>IFERROR(VLOOKUP(J8,'03. THIẾT BỊ'!$B$1:$U$836,7,0),"")</f>
        <v>CGLĐ LP</v>
      </c>
      <c r="P8" s="559" t="str">
        <f>IFERROR(VLOOKUP(O8,'NS QUẢN LÝ CG'!$A$4:$D$36,2,0),"")</f>
        <v>Nguyễn Tấn Triều</v>
      </c>
      <c r="Q8" s="559" t="str">
        <f>IFERROR(VLOOKUP(O8,'NS QUẢN LÝ CG'!$A$4:$D$36,4,0),"")</f>
        <v>LP3.5-LP3</v>
      </c>
      <c r="R8" s="559" t="str">
        <f>IFERROR(VLOOKUP(O8,'NS QUẢN LÝ CG'!$A$4:$C$36,3,0),"")</f>
        <v>05974160290</v>
      </c>
      <c r="S8" s="532" t="str">
        <f>IFERROR(VLOOKUP(J8,'03. THIẾT BỊ'!$B$1:$S$836,3,0),"")</f>
        <v>A24-RVO-003</v>
      </c>
      <c r="T8" s="693" t="str">
        <f t="shared" si="1"/>
        <v>LP</v>
      </c>
      <c r="U8" s="693"/>
    </row>
    <row r="9">
      <c r="A9" s="58"/>
      <c r="B9" s="58"/>
      <c r="C9" s="532" t="str">
        <f>IFERROR(VLOOKUP(J9,'03. THIẾT BỊ'!$B$1:$U$836,5,0),"")</f>
        <v>Thiết bị phun vôi/rải vô cơ</v>
      </c>
      <c r="D9" s="463">
        <v>1.0</v>
      </c>
      <c r="E9" s="692"/>
      <c r="F9" s="692"/>
      <c r="G9" s="692"/>
      <c r="H9" s="692">
        <f>IFERROR(VLOOKUP(J9,'03. THIẾT BỊ'!$B$1:$U$836,19,0),"")</f>
        <v>3.8</v>
      </c>
      <c r="I9" s="463" t="str">
        <f>IFERROR(VLOOKUP(J9,'03. THIẾT BỊ'!$B$1:$U$836,20,0),"")</f>
        <v>8 Ha/8h</v>
      </c>
      <c r="J9" s="464" t="s">
        <v>3776</v>
      </c>
      <c r="K9" s="463" t="s">
        <v>4158</v>
      </c>
      <c r="L9" s="692"/>
      <c r="M9" s="692"/>
      <c r="N9" s="692" t="str">
        <f>IFERROR(VLOOKUP(J9,'03. THIẾT BỊ'!$B$1:$U$836,4,0),"")</f>
        <v>MUA MỚI</v>
      </c>
      <c r="O9" s="692" t="str">
        <f>IFERROR(VLOOKUP(J9,'03. THIẾT BỊ'!$B$1:$U$836,7,0),"")</f>
        <v>CGLĐ LP</v>
      </c>
      <c r="P9" s="559" t="str">
        <f>IFERROR(VLOOKUP(O9,'NS QUẢN LÝ CG'!$A$4:$D$36,2,0),"")</f>
        <v>Nguyễn Tấn Triều</v>
      </c>
      <c r="Q9" s="559" t="str">
        <f>IFERROR(VLOOKUP(O9,'NS QUẢN LÝ CG'!$A$4:$D$36,4,0),"")</f>
        <v>LP3.5-LP3</v>
      </c>
      <c r="R9" s="559" t="str">
        <f>IFERROR(VLOOKUP(O9,'NS QUẢN LÝ CG'!$A$4:$C$36,3,0),"")</f>
        <v>05974160290</v>
      </c>
      <c r="S9" s="532" t="str">
        <f>IFERROR(VLOOKUP(J9,'03. THIẾT BỊ'!$B$1:$S$836,3,0),"")</f>
        <v>A23-RVO-006</v>
      </c>
      <c r="T9" s="693" t="str">
        <f t="shared" si="1"/>
        <v>DP</v>
      </c>
      <c r="U9" s="693"/>
    </row>
    <row r="10">
      <c r="A10" s="691">
        <v>2.0</v>
      </c>
      <c r="B10" s="691" t="s">
        <v>5773</v>
      </c>
      <c r="C10" s="532" t="str">
        <f>IFERROR(VLOOKUP(J10,'03. THIẾT BỊ'!$B$1:$U$836,5,0),"")</f>
        <v>Thiết bị cày ngầm 3 trụ</v>
      </c>
      <c r="D10" s="463">
        <v>1.0</v>
      </c>
      <c r="E10" s="692"/>
      <c r="F10" s="692"/>
      <c r="G10" s="692"/>
      <c r="H10" s="692">
        <f>IFERROR(VLOOKUP(J10,'03. THIẾT BỊ'!$B$1:$U$836,19,0),"")</f>
        <v>13</v>
      </c>
      <c r="I10" s="463" t="str">
        <f>IFERROR(VLOOKUP(J10,'03. THIẾT BỊ'!$B$1:$U$836,20,0),"")</f>
        <v>4.1 ha/8h</v>
      </c>
      <c r="J10" s="464" t="s">
        <v>3576</v>
      </c>
      <c r="K10" s="463"/>
      <c r="L10" s="463" t="s">
        <v>4158</v>
      </c>
      <c r="M10" s="692"/>
      <c r="N10" s="692" t="str">
        <f>IFERROR(VLOOKUP(J10,'03. THIẾT BỊ'!$B$1:$U$836,4,0),"")</f>
        <v>ĐQSD</v>
      </c>
      <c r="O10" s="692" t="str">
        <f>IFERROR(VLOOKUP(J10,'03. THIẾT BỊ'!$B$1:$U$836,7,0),"")</f>
        <v>CGLĐ DP</v>
      </c>
      <c r="P10" s="559" t="str">
        <f>IFERROR(VLOOKUP(O10,'NS QUẢN LÝ CG'!$A$4:$D$36,2,0),"")</f>
        <v>Nguyễn Tấn Triều</v>
      </c>
      <c r="Q10" s="559" t="str">
        <f>IFERROR(VLOOKUP(O10,'NS QUẢN LÝ CG'!$A$4:$D$36,4,0),"")</f>
        <v>Lô 85 DP4</v>
      </c>
      <c r="R10" s="559" t="str">
        <f>IFERROR(VLOOKUP(O10,'NS QUẢN LÝ CG'!$A$4:$C$36,3,0),"")</f>
        <v>05974160290</v>
      </c>
      <c r="S10" s="532" t="str">
        <f>IFERROR(VLOOKUP(J10,'03. THIẾT BỊ'!$B$1:$S$836,3,0),"")</f>
        <v>A23-CNA-001</v>
      </c>
      <c r="T10" s="693" t="str">
        <f t="shared" si="1"/>
        <v>DP</v>
      </c>
      <c r="U10" s="693"/>
    </row>
    <row r="11">
      <c r="A11" s="694"/>
      <c r="B11" s="694"/>
      <c r="C11" s="532" t="str">
        <f>IFERROR(VLOOKUP(J11,'03. THIẾT BỊ'!$B$1:$U$836,5,0),"")</f>
        <v>Thiết bị cày ngầm 3 trụ</v>
      </c>
      <c r="D11" s="463">
        <v>1.0</v>
      </c>
      <c r="E11" s="692"/>
      <c r="F11" s="692"/>
      <c r="G11" s="692"/>
      <c r="H11" s="692">
        <f>IFERROR(VLOOKUP(J11,'03. THIẾT BỊ'!$B$1:$U$836,19,0),"")</f>
        <v>13</v>
      </c>
      <c r="I11" s="463" t="str">
        <f>IFERROR(VLOOKUP(J11,'03. THIẾT BỊ'!$B$1:$U$836,20,0),"")</f>
        <v>4.1 ha/8h</v>
      </c>
      <c r="J11" s="464" t="s">
        <v>3579</v>
      </c>
      <c r="K11" s="463" t="s">
        <v>4158</v>
      </c>
      <c r="L11" s="692"/>
      <c r="M11" s="692"/>
      <c r="N11" s="692" t="str">
        <f>IFERROR(VLOOKUP(J11,'03. THIẾT BỊ'!$B$1:$U$836,4,0),"")</f>
        <v>ĐQSD</v>
      </c>
      <c r="O11" s="692" t="str">
        <f>IFERROR(VLOOKUP(J11,'03. THIẾT BỊ'!$B$1:$U$836,7,0),"")</f>
        <v>CGLĐ DP</v>
      </c>
      <c r="P11" s="559" t="str">
        <f>IFERROR(VLOOKUP(O11,'NS QUẢN LÝ CG'!$A$4:$D$36,2,0),"")</f>
        <v>Nguyễn Tấn Triều</v>
      </c>
      <c r="Q11" s="559" t="str">
        <f>IFERROR(VLOOKUP(O11,'NS QUẢN LÝ CG'!$A$4:$D$36,4,0),"")</f>
        <v>Lô 85 DP4</v>
      </c>
      <c r="R11" s="559" t="str">
        <f>IFERROR(VLOOKUP(O11,'NS QUẢN LÝ CG'!$A$4:$C$36,3,0),"")</f>
        <v>05974160290</v>
      </c>
      <c r="S11" s="532" t="str">
        <f>IFERROR(VLOOKUP(J11,'03. THIẾT BỊ'!$B$1:$S$836,3,0),"")</f>
        <v>A23-CNA-005</v>
      </c>
      <c r="T11" s="693" t="str">
        <f t="shared" si="1"/>
        <v>DP</v>
      </c>
      <c r="U11" s="693"/>
    </row>
    <row r="12">
      <c r="A12" s="694"/>
      <c r="B12" s="694"/>
      <c r="C12" s="532" t="str">
        <f>IFERROR(VLOOKUP(J12,'03. THIẾT BỊ'!$B$1:$U$836,5,0),"")</f>
        <v>Thiết bị cày ngầm 3 trụ</v>
      </c>
      <c r="D12" s="463">
        <v>1.0</v>
      </c>
      <c r="E12" s="692"/>
      <c r="F12" s="692"/>
      <c r="G12" s="692"/>
      <c r="H12" s="692">
        <f>IFERROR(VLOOKUP(J12,'03. THIẾT BỊ'!$B$1:$U$836,19,0),"")</f>
        <v>13</v>
      </c>
      <c r="I12" s="463" t="str">
        <f>IFERROR(VLOOKUP(J12,'03. THIẾT BỊ'!$B$1:$U$836,20,0),"")</f>
        <v>4.1 ha/8h</v>
      </c>
      <c r="J12" s="464" t="s">
        <v>3765</v>
      </c>
      <c r="K12" s="463"/>
      <c r="L12" s="692"/>
      <c r="M12" s="463" t="s">
        <v>4158</v>
      </c>
      <c r="N12" s="692" t="str">
        <f>IFERROR(VLOOKUP(J12,'03. THIẾT BỊ'!$B$1:$U$836,4,0),"")</f>
        <v>ĐQSD</v>
      </c>
      <c r="O12" s="692" t="str">
        <f>IFERROR(VLOOKUP(J12,'03. THIẾT BỊ'!$B$1:$U$836,7,0),"")</f>
        <v>CGLĐ LP</v>
      </c>
      <c r="P12" s="559" t="str">
        <f>IFERROR(VLOOKUP(O12,'NS QUẢN LÝ CG'!$A$4:$D$36,2,0),"")</f>
        <v>Nguyễn Tấn Triều</v>
      </c>
      <c r="Q12" s="559" t="str">
        <f>IFERROR(VLOOKUP(O12,'NS QUẢN LÝ CG'!$A$4:$D$36,4,0),"")</f>
        <v>LP3.5-LP3</v>
      </c>
      <c r="R12" s="559" t="str">
        <f>IFERROR(VLOOKUP(O12,'NS QUẢN LÝ CG'!$A$4:$C$36,3,0),"")</f>
        <v>05974160290</v>
      </c>
      <c r="S12" s="532" t="str">
        <f>IFERROR(VLOOKUP(J12,'03. THIẾT BỊ'!$B$1:$S$836,3,0),"")</f>
        <v>A24-CNA-002</v>
      </c>
      <c r="T12" s="693" t="str">
        <f t="shared" si="1"/>
        <v>LP</v>
      </c>
      <c r="U12" s="693"/>
    </row>
    <row r="13">
      <c r="A13" s="694"/>
      <c r="B13" s="694"/>
      <c r="C13" s="532" t="str">
        <f>IFERROR(VLOOKUP(J13,'03. THIẾT BỊ'!$B$1:$U$836,5,0),"")</f>
        <v>Thiết bị cày ngầm 3 trụ</v>
      </c>
      <c r="D13" s="463">
        <v>1.0</v>
      </c>
      <c r="E13" s="692"/>
      <c r="F13" s="692"/>
      <c r="G13" s="692"/>
      <c r="H13" s="692">
        <f>IFERROR(VLOOKUP(J13,'03. THIẾT BỊ'!$B$1:$U$836,19,0),"")</f>
        <v>13</v>
      </c>
      <c r="I13" s="463" t="str">
        <f>IFERROR(VLOOKUP(J13,'03. THIẾT BỊ'!$B$1:$U$836,20,0),"")</f>
        <v>4.1 ha/8h</v>
      </c>
      <c r="J13" s="464" t="s">
        <v>3784</v>
      </c>
      <c r="K13" s="463" t="s">
        <v>4158</v>
      </c>
      <c r="L13" s="692"/>
      <c r="M13" s="692"/>
      <c r="N13" s="692" t="str">
        <f>IFERROR(VLOOKUP(J13,'03. THIẾT BỊ'!$B$1:$U$836,4,0),"")</f>
        <v>ĐQSD</v>
      </c>
      <c r="O13" s="692" t="str">
        <f>IFERROR(VLOOKUP(J13,'03. THIẾT BỊ'!$B$1:$U$836,7,0),"")</f>
        <v>CGLĐ LP</v>
      </c>
      <c r="P13" s="559" t="str">
        <f>IFERROR(VLOOKUP(O13,'NS QUẢN LÝ CG'!$A$4:$D$36,2,0),"")</f>
        <v>Nguyễn Tấn Triều</v>
      </c>
      <c r="Q13" s="559" t="str">
        <f>IFERROR(VLOOKUP(O13,'NS QUẢN LÝ CG'!$A$4:$D$36,4,0),"")</f>
        <v>LP3.5-LP3</v>
      </c>
      <c r="R13" s="559" t="str">
        <f>IFERROR(VLOOKUP(O13,'NS QUẢN LÝ CG'!$A$4:$C$36,3,0),"")</f>
        <v>05974160290</v>
      </c>
      <c r="S13" s="532" t="str">
        <f>IFERROR(VLOOKUP(J13,'03. THIẾT BỊ'!$B$1:$S$836,3,0),"")</f>
        <v>A24-CNA-004</v>
      </c>
      <c r="T13" s="693" t="str">
        <f t="shared" si="1"/>
        <v>LP</v>
      </c>
      <c r="U13" s="693"/>
    </row>
    <row r="14">
      <c r="A14" s="694"/>
      <c r="B14" s="694"/>
      <c r="C14" s="532" t="str">
        <f>IFERROR(VLOOKUP(J14,'03. THIẾT BỊ'!$B$1:$U$836,5,0),"")</f>
        <v>Thiết bị cày ngầm 3 trụ</v>
      </c>
      <c r="D14" s="463">
        <v>1.0</v>
      </c>
      <c r="E14" s="692"/>
      <c r="F14" s="692"/>
      <c r="G14" s="692"/>
      <c r="H14" s="692">
        <f>IFERROR(VLOOKUP(J14,'03. THIẾT BỊ'!$B$1:$U$836,19,0),"")</f>
        <v>13</v>
      </c>
      <c r="I14" s="463" t="str">
        <f>IFERROR(VLOOKUP(J14,'03. THIẾT BỊ'!$B$1:$U$836,20,0),"")</f>
        <v>4.1 ha/8h</v>
      </c>
      <c r="J14" s="464" t="s">
        <v>3788</v>
      </c>
      <c r="K14" s="463" t="s">
        <v>4158</v>
      </c>
      <c r="L14" s="692"/>
      <c r="M14" s="692"/>
      <c r="N14" s="692" t="str">
        <f>IFERROR(VLOOKUP(J14,'03. THIẾT BỊ'!$B$1:$U$836,4,0),"")</f>
        <v>ĐQSD</v>
      </c>
      <c r="O14" s="692" t="str">
        <f>IFERROR(VLOOKUP(J14,'03. THIẾT BỊ'!$B$1:$U$836,7,0),"")</f>
        <v>CGLĐ LP</v>
      </c>
      <c r="P14" s="559" t="str">
        <f>IFERROR(VLOOKUP(O14,'NS QUẢN LÝ CG'!$A$4:$D$36,2,0),"")</f>
        <v>Nguyễn Tấn Triều</v>
      </c>
      <c r="Q14" s="559" t="str">
        <f>IFERROR(VLOOKUP(O14,'NS QUẢN LÝ CG'!$A$4:$D$36,4,0),"")</f>
        <v>LP3.5-LP3</v>
      </c>
      <c r="R14" s="559" t="str">
        <f>IFERROR(VLOOKUP(O14,'NS QUẢN LÝ CG'!$A$4:$C$36,3,0),"")</f>
        <v>05974160290</v>
      </c>
      <c r="S14" s="532" t="str">
        <f>IFERROR(VLOOKUP(J14,'03. THIẾT BỊ'!$B$1:$S$836,3,0),"")</f>
        <v>A24-CNA-006</v>
      </c>
      <c r="T14" s="693" t="str">
        <f t="shared" si="1"/>
        <v>LP</v>
      </c>
      <c r="U14" s="693"/>
    </row>
    <row r="15">
      <c r="A15" s="58"/>
      <c r="B15" s="58"/>
      <c r="C15" s="532" t="str">
        <f>IFERROR(VLOOKUP(J15,'03. THIẾT BỊ'!$B$1:$U$836,5,0),"")</f>
        <v>Thiết bị cày ngầm 3 trụ</v>
      </c>
      <c r="D15" s="463">
        <v>1.0</v>
      </c>
      <c r="E15" s="692"/>
      <c r="F15" s="692"/>
      <c r="G15" s="692"/>
      <c r="H15" s="692">
        <f>IFERROR(VLOOKUP(J15,'03. THIẾT BỊ'!$B$1:$U$836,19,0),"")</f>
        <v>13</v>
      </c>
      <c r="I15" s="463" t="str">
        <f>IFERROR(VLOOKUP(J15,'03. THIẾT BỊ'!$B$1:$U$836,20,0),"")</f>
        <v>4.1 ha/8h</v>
      </c>
      <c r="J15" s="464" t="s">
        <v>3790</v>
      </c>
      <c r="K15" s="463" t="s">
        <v>4158</v>
      </c>
      <c r="L15" s="692"/>
      <c r="M15" s="692"/>
      <c r="N15" s="692" t="str">
        <f>IFERROR(VLOOKUP(J15,'03. THIẾT BỊ'!$B$1:$U$836,4,0),"")</f>
        <v>ĐQSD</v>
      </c>
      <c r="O15" s="692" t="str">
        <f>IFERROR(VLOOKUP(J15,'03. THIẾT BỊ'!$B$1:$U$836,7,0),"")</f>
        <v>CGLĐ LP</v>
      </c>
      <c r="P15" s="559" t="str">
        <f>IFERROR(VLOOKUP(O15,'NS QUẢN LÝ CG'!$A$4:$D$36,2,0),"")</f>
        <v>Nguyễn Tấn Triều</v>
      </c>
      <c r="Q15" s="559" t="str">
        <f>IFERROR(VLOOKUP(O15,'NS QUẢN LÝ CG'!$A$4:$D$36,4,0),"")</f>
        <v>LP3.5-LP3</v>
      </c>
      <c r="R15" s="559" t="str">
        <f>IFERROR(VLOOKUP(O15,'NS QUẢN LÝ CG'!$A$4:$C$36,3,0),"")</f>
        <v>05974160290</v>
      </c>
      <c r="S15" s="532" t="str">
        <f>IFERROR(VLOOKUP(J15,'03. THIẾT BỊ'!$B$1:$S$836,3,0),"")</f>
        <v>A24-CNA-007</v>
      </c>
      <c r="T15" s="693" t="str">
        <f t="shared" si="1"/>
        <v>LP</v>
      </c>
      <c r="U15" s="693"/>
    </row>
    <row r="16">
      <c r="A16" s="691">
        <v>3.0</v>
      </c>
      <c r="B16" s="691" t="s">
        <v>5774</v>
      </c>
      <c r="C16" s="532" t="str">
        <f>IFERROR(VLOOKUP(J16,'03. THIẾT BỊ'!$B$1:$U$836,5,0),"")</f>
        <v>Thiết bị bừa 7 chảo</v>
      </c>
      <c r="D16" s="463">
        <v>1.0</v>
      </c>
      <c r="E16" s="692"/>
      <c r="F16" s="692"/>
      <c r="G16" s="692"/>
      <c r="H16" s="692">
        <f>IFERROR(VLOOKUP(J16,'03. THIẾT BỊ'!$B$1:$U$836,19,0),"")</f>
        <v>9.5</v>
      </c>
      <c r="I16" s="463" t="str">
        <f>IFERROR(VLOOKUP(J16,'03. THIẾT BỊ'!$B$1:$U$836,20,0),"")</f>
        <v>6.5 ha/8h</v>
      </c>
      <c r="J16" s="464" t="s">
        <v>3534</v>
      </c>
      <c r="K16" s="463" t="s">
        <v>4158</v>
      </c>
      <c r="L16" s="692"/>
      <c r="M16" s="692"/>
      <c r="N16" s="692" t="str">
        <f>IFERROR(VLOOKUP(J16,'03. THIẾT BỊ'!$B$1:$U$836,4,0),"")</f>
        <v>ĐQSD</v>
      </c>
      <c r="O16" s="692" t="str">
        <f>IFERROR(VLOOKUP(J16,'03. THIẾT BỊ'!$B$1:$U$836,7,0),"")</f>
        <v>CGLĐ DP</v>
      </c>
      <c r="P16" s="559" t="str">
        <f>IFERROR(VLOOKUP(O16,'NS QUẢN LÝ CG'!$A$4:$D$36,2,0),"")</f>
        <v>Nguyễn Tấn Triều</v>
      </c>
      <c r="Q16" s="559" t="str">
        <f>IFERROR(VLOOKUP(O16,'NS QUẢN LÝ CG'!$A$4:$D$36,4,0),"")</f>
        <v>Lô 85 DP4</v>
      </c>
      <c r="R16" s="559" t="str">
        <f>IFERROR(VLOOKUP(O16,'NS QUẢN LÝ CG'!$A$4:$C$36,3,0),"")</f>
        <v>05974160290</v>
      </c>
      <c r="S16" s="532" t="str">
        <f>IFERROR(VLOOKUP(J16,'03. THIẾT BỊ'!$B$1:$S$836,3,0),"")</f>
        <v>A23-BUA-001</v>
      </c>
      <c r="T16" s="693" t="str">
        <f t="shared" si="1"/>
        <v>DP</v>
      </c>
      <c r="U16" s="693"/>
    </row>
    <row r="17">
      <c r="A17" s="694"/>
      <c r="B17" s="694"/>
      <c r="C17" s="532" t="str">
        <f>IFERROR(VLOOKUP(J17,'03. THIẾT BỊ'!$B$1:$U$836,5,0),"")</f>
        <v>Thiết bị bừa 7 chảo</v>
      </c>
      <c r="D17" s="463">
        <v>1.0</v>
      </c>
      <c r="E17" s="692"/>
      <c r="F17" s="692"/>
      <c r="G17" s="692"/>
      <c r="H17" s="692">
        <f>IFERROR(VLOOKUP(J17,'03. THIẾT BỊ'!$B$1:$U$836,19,0),"")</f>
        <v>9.5</v>
      </c>
      <c r="I17" s="463" t="str">
        <f>IFERROR(VLOOKUP(J17,'03. THIẾT BỊ'!$B$1:$U$836,20,0),"")</f>
        <v>6.5 ha/8h</v>
      </c>
      <c r="J17" s="464" t="s">
        <v>3540</v>
      </c>
      <c r="K17" s="463"/>
      <c r="L17" s="463" t="s">
        <v>4158</v>
      </c>
      <c r="M17" s="692"/>
      <c r="N17" s="692" t="str">
        <f>IFERROR(VLOOKUP(J17,'03. THIẾT BỊ'!$B$1:$U$836,4,0),"")</f>
        <v>ĐQSD</v>
      </c>
      <c r="O17" s="692" t="str">
        <f>IFERROR(VLOOKUP(J17,'03. THIẾT BỊ'!$B$1:$U$836,7,0),"")</f>
        <v>CGLĐ DP</v>
      </c>
      <c r="P17" s="559" t="str">
        <f>IFERROR(VLOOKUP(O17,'NS QUẢN LÝ CG'!$A$4:$D$36,2,0),"")</f>
        <v>Nguyễn Tấn Triều</v>
      </c>
      <c r="Q17" s="559" t="str">
        <f>IFERROR(VLOOKUP(O17,'NS QUẢN LÝ CG'!$A$4:$D$36,4,0),"")</f>
        <v>Lô 85 DP4</v>
      </c>
      <c r="R17" s="559" t="str">
        <f>IFERROR(VLOOKUP(O17,'NS QUẢN LÝ CG'!$A$4:$C$36,3,0),"")</f>
        <v>05974160290</v>
      </c>
      <c r="S17" s="532" t="str">
        <f>IFERROR(VLOOKUP(J17,'03. THIẾT BỊ'!$B$1:$S$836,3,0),"")</f>
        <v>A23-BUA-002</v>
      </c>
      <c r="T17" s="693" t="str">
        <f t="shared" si="1"/>
        <v>DP</v>
      </c>
      <c r="U17" s="693"/>
    </row>
    <row r="18">
      <c r="A18" s="694"/>
      <c r="B18" s="694"/>
      <c r="C18" s="532" t="str">
        <f>IFERROR(VLOOKUP(J18,'03. THIẾT BỊ'!$B$1:$U$836,5,0),"")</f>
        <v>Thiết bị bừa 7 chảo</v>
      </c>
      <c r="D18" s="463">
        <v>1.0</v>
      </c>
      <c r="E18" s="692"/>
      <c r="F18" s="692"/>
      <c r="G18" s="692"/>
      <c r="H18" s="692">
        <f>IFERROR(VLOOKUP(J18,'03. THIẾT BỊ'!$B$1:$U$836,19,0),"")</f>
        <v>9.5</v>
      </c>
      <c r="I18" s="463" t="str">
        <f>IFERROR(VLOOKUP(J18,'03. THIẾT BỊ'!$B$1:$U$836,20,0),"")</f>
        <v>6.5 ha/8h</v>
      </c>
      <c r="J18" s="464" t="s">
        <v>3543</v>
      </c>
      <c r="K18" s="463" t="s">
        <v>4158</v>
      </c>
      <c r="L18" s="692"/>
      <c r="M18" s="692"/>
      <c r="N18" s="692" t="str">
        <f>IFERROR(VLOOKUP(J18,'03. THIẾT BỊ'!$B$1:$U$836,4,0),"")</f>
        <v>MUA MỚI</v>
      </c>
      <c r="O18" s="692" t="str">
        <f>IFERROR(VLOOKUP(J18,'03. THIẾT BỊ'!$B$1:$U$836,7,0),"")</f>
        <v>CGLĐ DP</v>
      </c>
      <c r="P18" s="559" t="str">
        <f>IFERROR(VLOOKUP(O18,'NS QUẢN LÝ CG'!$A$4:$D$36,2,0),"")</f>
        <v>Nguyễn Tấn Triều</v>
      </c>
      <c r="Q18" s="559" t="str">
        <f>IFERROR(VLOOKUP(O18,'NS QUẢN LÝ CG'!$A$4:$D$36,4,0),"")</f>
        <v>Lô 85 DP4</v>
      </c>
      <c r="R18" s="559" t="str">
        <f>IFERROR(VLOOKUP(O18,'NS QUẢN LÝ CG'!$A$4:$C$36,3,0),"")</f>
        <v>05974160290</v>
      </c>
      <c r="S18" s="532" t="str">
        <f>IFERROR(VLOOKUP(J18,'03. THIẾT BỊ'!$B$1:$S$836,3,0),"")</f>
        <v>A23-BUA-017</v>
      </c>
      <c r="T18" s="693" t="str">
        <f t="shared" si="1"/>
        <v>DP</v>
      </c>
      <c r="U18" s="693"/>
    </row>
    <row r="19">
      <c r="A19" s="58"/>
      <c r="B19" s="58"/>
      <c r="C19" s="532" t="str">
        <f>IFERROR(VLOOKUP(J19,'03. THIẾT BỊ'!$B$1:$U$836,5,0),"")</f>
        <v>Thiết bị úp luống 6 chảo đôi</v>
      </c>
      <c r="D19" s="463">
        <v>1.0</v>
      </c>
      <c r="E19" s="692"/>
      <c r="F19" s="692"/>
      <c r="G19" s="692"/>
      <c r="H19" s="692">
        <f>IFERROR(VLOOKUP(J19,'03. THIẾT BỊ'!$B$1:$U$836,19,0),"")</f>
        <v>9.5</v>
      </c>
      <c r="I19" s="463" t="str">
        <f>IFERROR(VLOOKUP(J19,'03. THIẾT BỊ'!$B$1:$U$836,20,0),"")</f>
        <v>6.5 ha/8h</v>
      </c>
      <c r="J19" s="464" t="s">
        <v>3805</v>
      </c>
      <c r="K19" s="463" t="s">
        <v>4158</v>
      </c>
      <c r="L19" s="692"/>
      <c r="M19" s="692"/>
      <c r="N19" s="692" t="str">
        <f>IFERROR(VLOOKUP(J19,'03. THIẾT BỊ'!$B$1:$U$836,4,0),"")</f>
        <v>MUA MỚI</v>
      </c>
      <c r="O19" s="692" t="str">
        <f>IFERROR(VLOOKUP(J19,'03. THIẾT BỊ'!$B$1:$U$836,7,0),"")</f>
        <v>CGLĐ LP</v>
      </c>
      <c r="P19" s="559" t="str">
        <f>IFERROR(VLOOKUP(O19,'NS QUẢN LÝ CG'!$A$4:$D$36,2,0),"")</f>
        <v>Nguyễn Tấn Triều</v>
      </c>
      <c r="Q19" s="559" t="str">
        <f>IFERROR(VLOOKUP(O19,'NS QUẢN LÝ CG'!$A$4:$D$36,4,0),"")</f>
        <v>LP3.5-LP3</v>
      </c>
      <c r="R19" s="559" t="str">
        <f>IFERROR(VLOOKUP(O19,'NS QUẢN LÝ CG'!$A$4:$C$36,3,0),"")</f>
        <v>05974160290</v>
      </c>
      <c r="S19" s="532" t="str">
        <f>IFERROR(VLOOKUP(J19,'03. THIẾT BỊ'!$B$1:$S$836,3,0),"")</f>
        <v>A24-DUL-001</v>
      </c>
      <c r="T19" s="693" t="str">
        <f t="shared" si="1"/>
        <v>LP</v>
      </c>
      <c r="U19" s="693"/>
    </row>
    <row r="20">
      <c r="A20" s="691">
        <v>4.0</v>
      </c>
      <c r="B20" s="691" t="s">
        <v>5777</v>
      </c>
      <c r="C20" s="532" t="str">
        <f>IFERROR(VLOOKUP(J20,'03. THIẾT BỊ'!$B$1:$U$836,5,0),"")</f>
        <v>Thiết bị xới đất 2.2m</v>
      </c>
      <c r="D20" s="463">
        <v>1.0</v>
      </c>
      <c r="E20" s="692"/>
      <c r="F20" s="692"/>
      <c r="G20" s="692"/>
      <c r="H20" s="692">
        <f>IFERROR(VLOOKUP(J20,'03. THIẾT BỊ'!$B$1:$U$836,19,0),"")</f>
        <v>6</v>
      </c>
      <c r="I20" s="463" t="str">
        <f>IFERROR(VLOOKUP(J20,'03. THIẾT BỊ'!$B$1:$U$836,20,0),"")</f>
        <v>6.5 ha/8h</v>
      </c>
      <c r="J20" s="464" t="s">
        <v>3555</v>
      </c>
      <c r="K20" s="463"/>
      <c r="L20" s="463" t="s">
        <v>4158</v>
      </c>
      <c r="M20" s="692"/>
      <c r="N20" s="692" t="str">
        <f>IFERROR(VLOOKUP(J20,'03. THIẾT BỊ'!$B$1:$U$836,4,0),"")</f>
        <v>ĐQSD</v>
      </c>
      <c r="O20" s="692" t="str">
        <f>IFERROR(VLOOKUP(J20,'03. THIẾT BỊ'!$B$1:$U$836,7,0),"")</f>
        <v>CGLĐ DP</v>
      </c>
      <c r="P20" s="559" t="str">
        <f>IFERROR(VLOOKUP(O20,'NS QUẢN LÝ CG'!$A$4:$D$36,2,0),"")</f>
        <v>Nguyễn Tấn Triều</v>
      </c>
      <c r="Q20" s="559" t="str">
        <f>IFERROR(VLOOKUP(O20,'NS QUẢN LÝ CG'!$A$4:$D$36,4,0),"")</f>
        <v>Lô 85 DP4</v>
      </c>
      <c r="R20" s="559" t="str">
        <f>IFERROR(VLOOKUP(O20,'NS QUẢN LÝ CG'!$A$4:$C$36,3,0),"")</f>
        <v>05974160290</v>
      </c>
      <c r="S20" s="532" t="str">
        <f>IFERROR(VLOOKUP(J20,'03. THIẾT BỊ'!$B$1:$S$836,3,0),"")</f>
        <v>A23-XOI-001</v>
      </c>
      <c r="T20" s="693" t="str">
        <f t="shared" si="1"/>
        <v>DP</v>
      </c>
      <c r="U20" s="693"/>
    </row>
    <row r="21">
      <c r="A21" s="694"/>
      <c r="B21" s="694"/>
      <c r="C21" s="532" t="str">
        <f>IFERROR(VLOOKUP(J21,'03. THIẾT BỊ'!$B$1:$U$836,5,0),"")</f>
        <v>Thiết bị xới đất 2.2m</v>
      </c>
      <c r="D21" s="463">
        <v>1.0</v>
      </c>
      <c r="E21" s="692"/>
      <c r="F21" s="692"/>
      <c r="G21" s="692"/>
      <c r="H21" s="692">
        <f>IFERROR(VLOOKUP(J21,'03. THIẾT BỊ'!$B$1:$U$836,19,0),"")</f>
        <v>6</v>
      </c>
      <c r="I21" s="463" t="str">
        <f>IFERROR(VLOOKUP(J21,'03. THIẾT BỊ'!$B$1:$U$836,20,0),"")</f>
        <v>6.5 ha/8h</v>
      </c>
      <c r="J21" s="464" t="s">
        <v>3560</v>
      </c>
      <c r="K21" s="463"/>
      <c r="L21" s="463" t="s">
        <v>4158</v>
      </c>
      <c r="M21" s="692"/>
      <c r="N21" s="692" t="str">
        <f>IFERROR(VLOOKUP(J21,'03. THIẾT BỊ'!$B$1:$U$836,4,0),"")</f>
        <v>ĐQSD</v>
      </c>
      <c r="O21" s="692" t="str">
        <f>IFERROR(VLOOKUP(J21,'03. THIẾT BỊ'!$B$1:$U$836,7,0),"")</f>
        <v>CGLĐ DP</v>
      </c>
      <c r="P21" s="559" t="str">
        <f>IFERROR(VLOOKUP(O21,'NS QUẢN LÝ CG'!$A$4:$D$36,2,0),"")</f>
        <v>Nguyễn Tấn Triều</v>
      </c>
      <c r="Q21" s="559" t="str">
        <f>IFERROR(VLOOKUP(O21,'NS QUẢN LÝ CG'!$A$4:$D$36,4,0),"")</f>
        <v>Lô 85 DP4</v>
      </c>
      <c r="R21" s="559" t="str">
        <f>IFERROR(VLOOKUP(O21,'NS QUẢN LÝ CG'!$A$4:$C$36,3,0),"")</f>
        <v>05974160290</v>
      </c>
      <c r="S21" s="532" t="str">
        <f>IFERROR(VLOOKUP(J21,'03. THIẾT BỊ'!$B$1:$S$836,3,0),"")</f>
        <v>A23-XOI-002</v>
      </c>
      <c r="T21" s="693" t="str">
        <f t="shared" si="1"/>
        <v>DP</v>
      </c>
      <c r="U21" s="693"/>
    </row>
    <row r="22">
      <c r="A22" s="694"/>
      <c r="B22" s="694"/>
      <c r="C22" s="532" t="str">
        <f>IFERROR(VLOOKUP(J22,'03. THIẾT BỊ'!$B$1:$U$836,5,0),"")</f>
        <v>Thiết bị xới đất 2.2m</v>
      </c>
      <c r="D22" s="463">
        <v>1.0</v>
      </c>
      <c r="E22" s="692"/>
      <c r="F22" s="692"/>
      <c r="G22" s="692"/>
      <c r="H22" s="692">
        <f>IFERROR(VLOOKUP(J22,'03. THIẾT BỊ'!$B$1:$U$836,19,0),"")</f>
        <v>6</v>
      </c>
      <c r="I22" s="463" t="str">
        <f>IFERROR(VLOOKUP(J22,'03. THIẾT BỊ'!$B$1:$U$836,20,0),"")</f>
        <v>6.5 ha/8h</v>
      </c>
      <c r="J22" s="464" t="s">
        <v>3653</v>
      </c>
      <c r="K22" s="463"/>
      <c r="L22" s="463" t="s">
        <v>4158</v>
      </c>
      <c r="M22" s="692"/>
      <c r="N22" s="692" t="str">
        <f>IFERROR(VLOOKUP(J22,'03. THIẾT BỊ'!$B$1:$U$836,4,0),"")</f>
        <v>ĐQSD</v>
      </c>
      <c r="O22" s="692" t="str">
        <f>IFERROR(VLOOKUP(J22,'03. THIẾT BỊ'!$B$1:$U$836,7,0),"")</f>
        <v>CGLĐ DP</v>
      </c>
      <c r="P22" s="559" t="str">
        <f>IFERROR(VLOOKUP(O22,'NS QUẢN LÝ CG'!$A$4:$D$36,2,0),"")</f>
        <v>Nguyễn Tấn Triều</v>
      </c>
      <c r="Q22" s="559" t="str">
        <f>IFERROR(VLOOKUP(O22,'NS QUẢN LÝ CG'!$A$4:$D$36,4,0),"")</f>
        <v>Lô 85 DP4</v>
      </c>
      <c r="R22" s="559" t="str">
        <f>IFERROR(VLOOKUP(O22,'NS QUẢN LÝ CG'!$A$4:$C$36,3,0),"")</f>
        <v>05974160290</v>
      </c>
      <c r="S22" s="532" t="str">
        <f>IFERROR(VLOOKUP(J22,'03. THIẾT BỊ'!$B$1:$S$836,3,0),"")</f>
        <v>A22-XOI-007</v>
      </c>
      <c r="T22" s="693" t="str">
        <f t="shared" si="1"/>
        <v>ADM</v>
      </c>
      <c r="U22" s="693"/>
    </row>
    <row r="23">
      <c r="A23" s="694"/>
      <c r="B23" s="694"/>
      <c r="C23" s="532" t="str">
        <f>IFERROR(VLOOKUP(J23,'03. THIẾT BỊ'!$B$1:$U$836,5,0),"")</f>
        <v>Thiết bị xới đất 2.2m</v>
      </c>
      <c r="D23" s="463">
        <v>1.0</v>
      </c>
      <c r="E23" s="692"/>
      <c r="F23" s="692"/>
      <c r="G23" s="692"/>
      <c r="H23" s="692">
        <f>IFERROR(VLOOKUP(J23,'03. THIẾT BỊ'!$B$1:$U$836,19,0),"")</f>
        <v>6</v>
      </c>
      <c r="I23" s="463" t="str">
        <f>IFERROR(VLOOKUP(J23,'03. THIẾT BỊ'!$B$1:$U$836,20,0),"")</f>
        <v>6.5 ha/8h</v>
      </c>
      <c r="J23" s="464" t="s">
        <v>3658</v>
      </c>
      <c r="K23" s="463" t="s">
        <v>4158</v>
      </c>
      <c r="L23" s="692"/>
      <c r="M23" s="692"/>
      <c r="N23" s="692" t="str">
        <f>IFERROR(VLOOKUP(J23,'03. THIẾT BỊ'!$B$1:$U$836,4,0),"")</f>
        <v>MUA MỚI</v>
      </c>
      <c r="O23" s="692" t="str">
        <f>IFERROR(VLOOKUP(J23,'03. THIẾT BỊ'!$B$1:$U$836,7,0),"")</f>
        <v>CGLĐ DP</v>
      </c>
      <c r="P23" s="559" t="str">
        <f>IFERROR(VLOOKUP(O23,'NS QUẢN LÝ CG'!$A$4:$D$36,2,0),"")</f>
        <v>Nguyễn Tấn Triều</v>
      </c>
      <c r="Q23" s="559" t="str">
        <f>IFERROR(VLOOKUP(O23,'NS QUẢN LÝ CG'!$A$4:$D$36,4,0),"")</f>
        <v>Lô 85 DP4</v>
      </c>
      <c r="R23" s="559" t="str">
        <f>IFERROR(VLOOKUP(O23,'NS QUẢN LÝ CG'!$A$4:$C$36,3,0),"")</f>
        <v>05974160290</v>
      </c>
      <c r="S23" s="532" t="str">
        <f>IFERROR(VLOOKUP(J23,'03. THIẾT BỊ'!$B$1:$S$836,3,0),"")</f>
        <v>A23-XOI-009</v>
      </c>
      <c r="T23" s="693" t="str">
        <f t="shared" si="1"/>
        <v>DP</v>
      </c>
      <c r="U23" s="693"/>
    </row>
    <row r="24">
      <c r="A24" s="694"/>
      <c r="B24" s="694"/>
      <c r="C24" s="532" t="str">
        <f>IFERROR(VLOOKUP(J24,'03. THIẾT BỊ'!$B$1:$U$836,5,0),"")</f>
        <v>Thiết bị xới đất 2.2m</v>
      </c>
      <c r="D24" s="463">
        <v>1.0</v>
      </c>
      <c r="E24" s="692"/>
      <c r="F24" s="692"/>
      <c r="G24" s="692"/>
      <c r="H24" s="692">
        <f>IFERROR(VLOOKUP(J24,'03. THIẾT BỊ'!$B$1:$U$836,19,0),"")</f>
        <v>6</v>
      </c>
      <c r="I24" s="463" t="str">
        <f>IFERROR(VLOOKUP(J24,'03. THIẾT BỊ'!$B$1:$U$836,20,0),"")</f>
        <v>6.5 ha/8h</v>
      </c>
      <c r="J24" s="464" t="s">
        <v>3758</v>
      </c>
      <c r="K24" s="463"/>
      <c r="L24" s="463" t="s">
        <v>4158</v>
      </c>
      <c r="M24" s="692"/>
      <c r="N24" s="692" t="str">
        <f>IFERROR(VLOOKUP(J24,'03. THIẾT BỊ'!$B$1:$U$836,4,0),"")</f>
        <v>ĐQSD</v>
      </c>
      <c r="O24" s="692" t="str">
        <f>IFERROR(VLOOKUP(J24,'03. THIẾT BỊ'!$B$1:$U$836,7,0),"")</f>
        <v>CGLĐ LP</v>
      </c>
      <c r="P24" s="559" t="str">
        <f>IFERROR(VLOOKUP(O24,'NS QUẢN LÝ CG'!$A$4:$D$36,2,0),"")</f>
        <v>Nguyễn Tấn Triều</v>
      </c>
      <c r="Q24" s="559" t="str">
        <f>IFERROR(VLOOKUP(O24,'NS QUẢN LÝ CG'!$A$4:$D$36,4,0),"")</f>
        <v>LP3.5-LP3</v>
      </c>
      <c r="R24" s="559" t="str">
        <f>IFERROR(VLOOKUP(O24,'NS QUẢN LÝ CG'!$A$4:$C$36,3,0),"")</f>
        <v>05974160290</v>
      </c>
      <c r="S24" s="532" t="str">
        <f>IFERROR(VLOOKUP(J24,'03. THIẾT BỊ'!$B$1:$S$836,3,0),"")</f>
        <v>A24-XOI-004</v>
      </c>
      <c r="T24" s="693" t="str">
        <f t="shared" si="1"/>
        <v>LP</v>
      </c>
      <c r="U24" s="693"/>
    </row>
    <row r="25">
      <c r="A25" s="694"/>
      <c r="B25" s="694"/>
      <c r="C25" s="532" t="str">
        <f>IFERROR(VLOOKUP(J25,'03. THIẾT BỊ'!$B$1:$U$836,5,0),"")</f>
        <v>Thiết bị xới đất 2.2m</v>
      </c>
      <c r="D25" s="463">
        <v>1.0</v>
      </c>
      <c r="E25" s="692"/>
      <c r="F25" s="692"/>
      <c r="G25" s="692"/>
      <c r="H25" s="692">
        <f>IFERROR(VLOOKUP(J25,'03. THIẾT BỊ'!$B$1:$U$836,19,0),"")</f>
        <v>6</v>
      </c>
      <c r="I25" s="463" t="str">
        <f>IFERROR(VLOOKUP(J25,'03. THIẾT BỊ'!$B$1:$U$836,20,0),"")</f>
        <v>6.5 ha/8h</v>
      </c>
      <c r="J25" s="464" t="s">
        <v>3779</v>
      </c>
      <c r="K25" s="463" t="s">
        <v>4158</v>
      </c>
      <c r="L25" s="463"/>
      <c r="M25" s="692"/>
      <c r="N25" s="692" t="str">
        <f>IFERROR(VLOOKUP(J25,'03. THIẾT BỊ'!$B$1:$U$836,4,0),"")</f>
        <v>ĐQSD</v>
      </c>
      <c r="O25" s="692" t="str">
        <f>IFERROR(VLOOKUP(J25,'03. THIẾT BỊ'!$B$1:$U$836,7,0),"")</f>
        <v>CGLĐ LP</v>
      </c>
      <c r="P25" s="559" t="str">
        <f>IFERROR(VLOOKUP(O25,'NS QUẢN LÝ CG'!$A$4:$D$36,2,0),"")</f>
        <v>Nguyễn Tấn Triều</v>
      </c>
      <c r="Q25" s="559" t="str">
        <f>IFERROR(VLOOKUP(O25,'NS QUẢN LÝ CG'!$A$4:$D$36,4,0),"")</f>
        <v>LP3.5-LP3</v>
      </c>
      <c r="R25" s="559" t="str">
        <f>IFERROR(VLOOKUP(O25,'NS QUẢN LÝ CG'!$A$4:$C$36,3,0),"")</f>
        <v>05974160290</v>
      </c>
      <c r="S25" s="532" t="str">
        <f>IFERROR(VLOOKUP(J25,'03. THIẾT BỊ'!$B$1:$S$836,3,0),"")</f>
        <v>A24-XOI-003</v>
      </c>
      <c r="T25" s="693" t="str">
        <f t="shared" si="1"/>
        <v>LP</v>
      </c>
      <c r="U25" s="693"/>
    </row>
    <row r="26">
      <c r="A26" s="58"/>
      <c r="B26" s="58"/>
      <c r="C26" s="532" t="str">
        <f>IFERROR(VLOOKUP(J26,'03. THIẾT BỊ'!$B$1:$U$836,5,0),"")</f>
        <v>Thiết bị xới đất 2.2m</v>
      </c>
      <c r="D26" s="463">
        <v>1.0</v>
      </c>
      <c r="E26" s="692"/>
      <c r="F26" s="692"/>
      <c r="G26" s="692"/>
      <c r="H26" s="692">
        <f>IFERROR(VLOOKUP(J26,'03. THIẾT BỊ'!$B$1:$U$836,19,0),"")</f>
        <v>6</v>
      </c>
      <c r="I26" s="463" t="str">
        <f>IFERROR(VLOOKUP(J26,'03. THIẾT BỊ'!$B$1:$U$836,20,0),"")</f>
        <v>6.5 ha/8h</v>
      </c>
      <c r="J26" s="464" t="s">
        <v>3782</v>
      </c>
      <c r="K26" s="463" t="s">
        <v>4158</v>
      </c>
      <c r="L26" s="692"/>
      <c r="M26" s="692"/>
      <c r="N26" s="692" t="str">
        <f>IFERROR(VLOOKUP(J26,'03. THIẾT BỊ'!$B$1:$U$836,4,0),"")</f>
        <v>MUA MỚI</v>
      </c>
      <c r="O26" s="692" t="str">
        <f>IFERROR(VLOOKUP(J26,'03. THIẾT BỊ'!$B$1:$U$836,7,0),"")</f>
        <v>CGLĐ LP</v>
      </c>
      <c r="P26" s="559" t="str">
        <f>IFERROR(VLOOKUP(O26,'NS QUẢN LÝ CG'!$A$4:$D$36,2,0),"")</f>
        <v>Nguyễn Tấn Triều</v>
      </c>
      <c r="Q26" s="559" t="str">
        <f>IFERROR(VLOOKUP(O26,'NS QUẢN LÝ CG'!$A$4:$D$36,4,0),"")</f>
        <v>LP3.5-LP3</v>
      </c>
      <c r="R26" s="559" t="str">
        <f>IFERROR(VLOOKUP(O26,'NS QUẢN LÝ CG'!$A$4:$C$36,3,0),"")</f>
        <v>05974160290</v>
      </c>
      <c r="S26" s="532" t="str">
        <f>IFERROR(VLOOKUP(J26,'03. THIẾT BỊ'!$B$1:$S$836,3,0),"")</f>
        <v>A24-XOI-009</v>
      </c>
      <c r="T26" s="693" t="str">
        <f t="shared" si="1"/>
        <v>LP</v>
      </c>
      <c r="U26" s="693"/>
    </row>
    <row r="27">
      <c r="A27" s="691">
        <v>5.0</v>
      </c>
      <c r="B27" s="691" t="s">
        <v>5783</v>
      </c>
      <c r="C27" s="532" t="str">
        <f>IFERROR(VLOOKUP(J27,'03. THIẾT BỊ'!$B$1:$U$836,5,0),"")</f>
        <v>Thiết bị tạo rãnh ống tưới</v>
      </c>
      <c r="D27" s="463">
        <v>1.0</v>
      </c>
      <c r="E27" s="692"/>
      <c r="F27" s="692"/>
      <c r="G27" s="692"/>
      <c r="H27" s="692">
        <f>IFERROR(VLOOKUP(J27,'03. THIẾT BỊ'!$B$1:$U$836,19,0),"")</f>
        <v>14</v>
      </c>
      <c r="I27" s="463" t="str">
        <f>IFERROR(VLOOKUP(J27,'03. THIẾT BỊ'!$B$1:$U$836,20,0),"")</f>
        <v>1.2 km/8h</v>
      </c>
      <c r="J27" s="464" t="s">
        <v>3665</v>
      </c>
      <c r="K27" s="463" t="s">
        <v>4158</v>
      </c>
      <c r="L27" s="692"/>
      <c r="M27" s="692"/>
      <c r="N27" s="692" t="str">
        <f>IFERROR(VLOOKUP(J27,'03. THIẾT BỊ'!$B$1:$U$836,4,0),"")</f>
        <v>ĐQSD</v>
      </c>
      <c r="O27" s="692" t="str">
        <f>IFERROR(VLOOKUP(J27,'03. THIẾT BỊ'!$B$1:$U$836,7,0),"")</f>
        <v>CGLĐ DP</v>
      </c>
      <c r="P27" s="559" t="str">
        <f>IFERROR(VLOOKUP(O27,'NS QUẢN LÝ CG'!$A$4:$D$36,2,0),"")</f>
        <v>Nguyễn Tấn Triều</v>
      </c>
      <c r="Q27" s="559" t="str">
        <f>IFERROR(VLOOKUP(O27,'NS QUẢN LÝ CG'!$A$4:$D$36,4,0),"")</f>
        <v>Lô 85 DP4</v>
      </c>
      <c r="R27" s="559" t="str">
        <f>IFERROR(VLOOKUP(O27,'NS QUẢN LÝ CG'!$A$4:$C$36,3,0),"")</f>
        <v>05974160290</v>
      </c>
      <c r="S27" s="532" t="str">
        <f>IFERROR(VLOOKUP(J27,'03. THIẾT BỊ'!$B$1:$S$836,3,0),"")</f>
        <v>A23-DTR-001</v>
      </c>
      <c r="T27" s="693" t="str">
        <f t="shared" si="1"/>
        <v>DP</v>
      </c>
      <c r="U27" s="693"/>
    </row>
    <row r="28">
      <c r="A28" s="694"/>
      <c r="B28" s="694"/>
      <c r="C28" s="532" t="str">
        <f>IFERROR(VLOOKUP(J28,'03. THIẾT BỊ'!$B$1:$U$836,5,0),"")</f>
        <v>Thiết bị tạo rãnh ống tưới</v>
      </c>
      <c r="D28" s="463">
        <v>1.0</v>
      </c>
      <c r="E28" s="692"/>
      <c r="F28" s="692"/>
      <c r="G28" s="692"/>
      <c r="H28" s="692">
        <f>IFERROR(VLOOKUP(J28,'03. THIẾT BỊ'!$B$1:$U$836,19,0),"")</f>
        <v>14</v>
      </c>
      <c r="I28" s="463" t="str">
        <f>IFERROR(VLOOKUP(J28,'03. THIẾT BỊ'!$B$1:$U$836,20,0),"")</f>
        <v>1.2 km/8h</v>
      </c>
      <c r="J28" s="464" t="s">
        <v>3671</v>
      </c>
      <c r="K28" s="463"/>
      <c r="L28" s="463" t="s">
        <v>4158</v>
      </c>
      <c r="M28" s="692"/>
      <c r="N28" s="692" t="str">
        <f>IFERROR(VLOOKUP(J28,'03. THIẾT BỊ'!$B$1:$U$836,4,0),"")</f>
        <v>ĐQSD</v>
      </c>
      <c r="O28" s="692" t="str">
        <f>IFERROR(VLOOKUP(J28,'03. THIẾT BỊ'!$B$1:$U$836,7,0),"")</f>
        <v>CGLĐ DP</v>
      </c>
      <c r="P28" s="559" t="str">
        <f>IFERROR(VLOOKUP(O28,'NS QUẢN LÝ CG'!$A$4:$D$36,2,0),"")</f>
        <v>Nguyễn Tấn Triều</v>
      </c>
      <c r="Q28" s="559" t="str">
        <f>IFERROR(VLOOKUP(O28,'NS QUẢN LÝ CG'!$A$4:$D$36,4,0),"")</f>
        <v>Lô 85 DP4</v>
      </c>
      <c r="R28" s="559" t="str">
        <f>IFERROR(VLOOKUP(O28,'NS QUẢN LÝ CG'!$A$4:$C$36,3,0),"")</f>
        <v>05974160290</v>
      </c>
      <c r="S28" s="532" t="str">
        <f>IFERROR(VLOOKUP(J28,'03. THIẾT BỊ'!$B$1:$S$836,3,0),"")</f>
        <v>A23-DTR-002</v>
      </c>
      <c r="T28" s="693" t="str">
        <f t="shared" si="1"/>
        <v>DP</v>
      </c>
      <c r="U28" s="693"/>
    </row>
    <row r="29">
      <c r="A29" s="694"/>
      <c r="B29" s="694"/>
      <c r="C29" s="532" t="str">
        <f>IFERROR(VLOOKUP(J29,'03. THIẾT BỊ'!$B$1:$U$836,5,0),"")</f>
        <v>Thiết bị tạo rãnh ống tưới</v>
      </c>
      <c r="D29" s="463">
        <v>1.0</v>
      </c>
      <c r="E29" s="692"/>
      <c r="F29" s="692"/>
      <c r="G29" s="692"/>
      <c r="H29" s="692">
        <f>IFERROR(VLOOKUP(J29,'03. THIẾT BỊ'!$B$1:$U$836,19,0),"")</f>
        <v>14</v>
      </c>
      <c r="I29" s="463" t="str">
        <f>IFERROR(VLOOKUP(J29,'03. THIẾT BỊ'!$B$1:$U$836,20,0),"")</f>
        <v>1.2 km/8h</v>
      </c>
      <c r="J29" s="464" t="s">
        <v>3676</v>
      </c>
      <c r="K29" s="463"/>
      <c r="L29" s="463" t="s">
        <v>4158</v>
      </c>
      <c r="M29" s="692"/>
      <c r="N29" s="692" t="str">
        <f>IFERROR(VLOOKUP(J29,'03. THIẾT BỊ'!$B$1:$U$836,4,0),"")</f>
        <v>ĐQSD</v>
      </c>
      <c r="O29" s="692" t="str">
        <f>IFERROR(VLOOKUP(J29,'03. THIẾT BỊ'!$B$1:$U$836,7,0),"")</f>
        <v>CGLĐ DP</v>
      </c>
      <c r="P29" s="559" t="str">
        <f>IFERROR(VLOOKUP(O29,'NS QUẢN LÝ CG'!$A$4:$D$36,2,0),"")</f>
        <v>Nguyễn Tấn Triều</v>
      </c>
      <c r="Q29" s="559" t="str">
        <f>IFERROR(VLOOKUP(O29,'NS QUẢN LÝ CG'!$A$4:$D$36,4,0),"")</f>
        <v>Lô 85 DP4</v>
      </c>
      <c r="R29" s="559" t="str">
        <f>IFERROR(VLOOKUP(O29,'NS QUẢN LÝ CG'!$A$4:$C$36,3,0),"")</f>
        <v>05974160290</v>
      </c>
      <c r="S29" s="532" t="str">
        <f>IFERROR(VLOOKUP(J29,'03. THIẾT BỊ'!$B$1:$S$836,3,0),"")</f>
        <v>A23-DTR-003</v>
      </c>
      <c r="T29" s="693" t="str">
        <f t="shared" si="1"/>
        <v>DP</v>
      </c>
      <c r="U29" s="693"/>
    </row>
    <row r="30">
      <c r="A30" s="694"/>
      <c r="B30" s="694"/>
      <c r="C30" s="532" t="str">
        <f>IFERROR(VLOOKUP(J30,'03. THIẾT BỊ'!$B$1:$U$836,5,0),"")</f>
        <v>Thiết bị tạo rãnh ống tưới</v>
      </c>
      <c r="D30" s="463">
        <v>1.0</v>
      </c>
      <c r="E30" s="692"/>
      <c r="F30" s="692"/>
      <c r="G30" s="692"/>
      <c r="H30" s="692">
        <f>IFERROR(VLOOKUP(J30,'03. THIẾT BỊ'!$B$1:$U$836,19,0),"")</f>
        <v>14</v>
      </c>
      <c r="I30" s="463" t="str">
        <f>IFERROR(VLOOKUP(J30,'03. THIẾT BỊ'!$B$1:$U$836,20,0),"")</f>
        <v>1.2 km/8h</v>
      </c>
      <c r="J30" s="464" t="s">
        <v>3818</v>
      </c>
      <c r="K30" s="463"/>
      <c r="L30" s="463" t="s">
        <v>4158</v>
      </c>
      <c r="M30" s="692"/>
      <c r="N30" s="692" t="str">
        <f>IFERROR(VLOOKUP(J30,'03. THIẾT BỊ'!$B$1:$U$836,4,0),"")</f>
        <v>ĐQSD</v>
      </c>
      <c r="O30" s="692" t="str">
        <f>IFERROR(VLOOKUP(J30,'03. THIẾT BỊ'!$B$1:$U$836,7,0),"")</f>
        <v>CGLĐ LP</v>
      </c>
      <c r="P30" s="559" t="str">
        <f>IFERROR(VLOOKUP(O30,'NS QUẢN LÝ CG'!$A$4:$D$36,2,0),"")</f>
        <v>Nguyễn Tấn Triều</v>
      </c>
      <c r="Q30" s="559" t="str">
        <f>IFERROR(VLOOKUP(O30,'NS QUẢN LÝ CG'!$A$4:$D$36,4,0),"")</f>
        <v>LP3.5-LP3</v>
      </c>
      <c r="R30" s="559" t="str">
        <f>IFERROR(VLOOKUP(O30,'NS QUẢN LÝ CG'!$A$4:$C$36,3,0),"")</f>
        <v>05974160290</v>
      </c>
      <c r="S30" s="532" t="str">
        <f>IFERROR(VLOOKUP(J30,'03. THIẾT BỊ'!$B$1:$S$836,3,0),"")</f>
        <v>A24-DTR-001</v>
      </c>
      <c r="T30" s="693" t="str">
        <f t="shared" si="1"/>
        <v>LP</v>
      </c>
      <c r="U30" s="693"/>
    </row>
    <row r="31">
      <c r="A31" s="58"/>
      <c r="B31" s="58"/>
      <c r="C31" s="532" t="str">
        <f>IFERROR(VLOOKUP(J31,'03. THIẾT BỊ'!$B$1:$U$836,5,0),"")</f>
        <v>Thiết bị tạo rãnh ống tưới</v>
      </c>
      <c r="D31" s="463">
        <v>1.0</v>
      </c>
      <c r="E31" s="692"/>
      <c r="F31" s="692"/>
      <c r="G31" s="692"/>
      <c r="H31" s="692">
        <f>IFERROR(VLOOKUP(J31,'03. THIẾT BỊ'!$B$1:$U$836,19,0),"")</f>
        <v>14</v>
      </c>
      <c r="I31" s="463" t="str">
        <f>IFERROR(VLOOKUP(J31,'03. THIẾT BỊ'!$B$1:$U$836,20,0),"")</f>
        <v>1.2 km/8h</v>
      </c>
      <c r="J31" s="464" t="s">
        <v>3822</v>
      </c>
      <c r="K31" s="463"/>
      <c r="L31" s="463" t="s">
        <v>4158</v>
      </c>
      <c r="M31" s="692"/>
      <c r="N31" s="692" t="str">
        <f>IFERROR(VLOOKUP(J31,'03. THIẾT BỊ'!$B$1:$U$836,4,0),"")</f>
        <v>ĐQSD</v>
      </c>
      <c r="O31" s="692" t="str">
        <f>IFERROR(VLOOKUP(J31,'03. THIẾT BỊ'!$B$1:$U$836,7,0),"")</f>
        <v>CGLĐ LP</v>
      </c>
      <c r="P31" s="559" t="str">
        <f>IFERROR(VLOOKUP(O31,'NS QUẢN LÝ CG'!$A$4:$D$36,2,0),"")</f>
        <v>Nguyễn Tấn Triều</v>
      </c>
      <c r="Q31" s="559" t="str">
        <f>IFERROR(VLOOKUP(O31,'NS QUẢN LÝ CG'!$A$4:$D$36,4,0),"")</f>
        <v>LP3.5-LP3</v>
      </c>
      <c r="R31" s="559" t="str">
        <f>IFERROR(VLOOKUP(O31,'NS QUẢN LÝ CG'!$A$4:$C$36,3,0),"")</f>
        <v>05974160290</v>
      </c>
      <c r="S31" s="532" t="str">
        <f>IFERROR(VLOOKUP(J31,'03. THIẾT BỊ'!$B$1:$S$836,3,0),"")</f>
        <v>A24-DTR-002</v>
      </c>
      <c r="T31" s="693" t="str">
        <f t="shared" si="1"/>
        <v>LP</v>
      </c>
      <c r="U31" s="693"/>
    </row>
    <row r="32">
      <c r="A32" s="691">
        <v>6.0</v>
      </c>
      <c r="B32" s="691" t="s">
        <v>5789</v>
      </c>
      <c r="C32" s="532" t="str">
        <f>IFERROR(VLOOKUP(J32,'03. THIẾT BỊ'!$B$1:$U$836,5,0),"")</f>
        <v>Dàn rải phân (10m3)</v>
      </c>
      <c r="D32" s="463">
        <v>1.0</v>
      </c>
      <c r="E32" s="692"/>
      <c r="F32" s="692"/>
      <c r="G32" s="692"/>
      <c r="H32" s="692">
        <f>IFERROR(VLOOKUP(J32,'03. THIẾT BỊ'!$B$1:$U$836,19,0),"")</f>
        <v>3.5</v>
      </c>
      <c r="I32" s="463" t="str">
        <f>IFERROR(VLOOKUP(J32,'03. THIẾT BỊ'!$B$1:$U$836,20,0),"")</f>
        <v>3.1 ha/8h</v>
      </c>
      <c r="J32" s="464" t="s">
        <v>3706</v>
      </c>
      <c r="K32" s="463" t="s">
        <v>4158</v>
      </c>
      <c r="L32" s="692"/>
      <c r="M32" s="692"/>
      <c r="N32" s="692" t="str">
        <f>IFERROR(VLOOKUP(J32,'03. THIẾT BỊ'!$B$1:$U$836,4,0),"")</f>
        <v>MUA MỚI</v>
      </c>
      <c r="O32" s="692" t="str">
        <f>IFERROR(VLOOKUP(J32,'03. THIẾT BỊ'!$B$1:$U$836,7,0),"")</f>
        <v>CGLĐ DP</v>
      </c>
      <c r="P32" s="559" t="str">
        <f>IFERROR(VLOOKUP(O32,'NS QUẢN LÝ CG'!$A$4:$D$36,2,0),"")</f>
        <v>Nguyễn Tấn Triều</v>
      </c>
      <c r="Q32" s="559" t="str">
        <f>IFERROR(VLOOKUP(O32,'NS QUẢN LÝ CG'!$A$4:$D$36,4,0),"")</f>
        <v>Lô 85 DP4</v>
      </c>
      <c r="R32" s="559" t="str">
        <f>IFERROR(VLOOKUP(O32,'NS QUẢN LÝ CG'!$A$4:$C$36,3,0),"")</f>
        <v>05974160290</v>
      </c>
      <c r="S32" s="532" t="str">
        <f>IFERROR(VLOOKUP(J32,'03. THIẾT BỊ'!$B$1:$S$836,3,0),"")</f>
        <v>A22-DRP-001</v>
      </c>
      <c r="T32" s="693" t="str">
        <f t="shared" si="1"/>
        <v>ADM</v>
      </c>
      <c r="U32" s="693"/>
    </row>
    <row r="33">
      <c r="A33" s="694"/>
      <c r="B33" s="694"/>
      <c r="C33" s="532" t="str">
        <f>IFERROR(VLOOKUP(J33,'03. THIẾT BỊ'!$B$1:$U$836,5,0),"")</f>
        <v>Dàn rải phân (10m3)</v>
      </c>
      <c r="D33" s="463">
        <v>1.0</v>
      </c>
      <c r="E33" s="692"/>
      <c r="F33" s="692"/>
      <c r="G33" s="692"/>
      <c r="H33" s="692">
        <f>IFERROR(VLOOKUP(J33,'03. THIẾT BỊ'!$B$1:$U$836,19,0),"")</f>
        <v>3.5</v>
      </c>
      <c r="I33" s="463" t="str">
        <f>IFERROR(VLOOKUP(J33,'03. THIẾT BỊ'!$B$1:$U$836,20,0),"")</f>
        <v>3.1 ha/8h</v>
      </c>
      <c r="J33" s="464" t="s">
        <v>3713</v>
      </c>
      <c r="K33" s="463" t="s">
        <v>4158</v>
      </c>
      <c r="L33" s="692"/>
      <c r="M33" s="692"/>
      <c r="N33" s="692" t="str">
        <f>IFERROR(VLOOKUP(J33,'03. THIẾT BỊ'!$B$1:$U$836,4,0),"")</f>
        <v>MUA MỚI</v>
      </c>
      <c r="O33" s="692" t="str">
        <f>IFERROR(VLOOKUP(J33,'03. THIẾT BỊ'!$B$1:$U$836,7,0),"")</f>
        <v>CGLĐ DP</v>
      </c>
      <c r="P33" s="559" t="str">
        <f>IFERROR(VLOOKUP(O33,'NS QUẢN LÝ CG'!$A$4:$D$36,2,0),"")</f>
        <v>Nguyễn Tấn Triều</v>
      </c>
      <c r="Q33" s="559" t="str">
        <f>IFERROR(VLOOKUP(O33,'NS QUẢN LÝ CG'!$A$4:$D$36,4,0),"")</f>
        <v>Lô 85 DP4</v>
      </c>
      <c r="R33" s="559" t="str">
        <f>IFERROR(VLOOKUP(O33,'NS QUẢN LÝ CG'!$A$4:$C$36,3,0),"")</f>
        <v>05974160290</v>
      </c>
      <c r="S33" s="532" t="str">
        <f>IFERROR(VLOOKUP(J33,'03. THIẾT BỊ'!$B$1:$S$836,3,0),"")</f>
        <v>A24-DRP-004</v>
      </c>
      <c r="T33" s="693" t="str">
        <f t="shared" si="1"/>
        <v>LP</v>
      </c>
      <c r="U33" s="693"/>
    </row>
    <row r="34">
      <c r="A34" s="694"/>
      <c r="B34" s="694"/>
      <c r="C34" s="532" t="str">
        <f>IFERROR(VLOOKUP(J34,'03. THIẾT BỊ'!$B$1:$U$836,5,0),"")</f>
        <v>Dàn rải phân (10m3)</v>
      </c>
      <c r="D34" s="463">
        <v>1.0</v>
      </c>
      <c r="E34" s="692"/>
      <c r="F34" s="692"/>
      <c r="G34" s="692"/>
      <c r="H34" s="692">
        <f>IFERROR(VLOOKUP(J34,'03. THIẾT BỊ'!$B$1:$U$836,19,0),"")</f>
        <v>3.5</v>
      </c>
      <c r="I34" s="463" t="str">
        <f>IFERROR(VLOOKUP(J34,'03. THIẾT BỊ'!$B$1:$U$836,20,0),"")</f>
        <v>3.1 ha/8h</v>
      </c>
      <c r="J34" s="464" t="s">
        <v>3717</v>
      </c>
      <c r="K34" s="463" t="s">
        <v>4158</v>
      </c>
      <c r="L34" s="692"/>
      <c r="M34" s="692"/>
      <c r="N34" s="692" t="str">
        <f>IFERROR(VLOOKUP(J34,'03. THIẾT BỊ'!$B$1:$U$836,4,0),"")</f>
        <v>MUA MỚI</v>
      </c>
      <c r="O34" s="692" t="str">
        <f>IFERROR(VLOOKUP(J34,'03. THIẾT BỊ'!$B$1:$U$836,7,0),"")</f>
        <v>CGLĐ DP</v>
      </c>
      <c r="P34" s="559" t="str">
        <f>IFERROR(VLOOKUP(O34,'NS QUẢN LÝ CG'!$A$4:$D$36,2,0),"")</f>
        <v>Nguyễn Tấn Triều</v>
      </c>
      <c r="Q34" s="559" t="str">
        <f>IFERROR(VLOOKUP(O34,'NS QUẢN LÝ CG'!$A$4:$D$36,4,0),"")</f>
        <v>Lô 85 DP4</v>
      </c>
      <c r="R34" s="559" t="str">
        <f>IFERROR(VLOOKUP(O34,'NS QUẢN LÝ CG'!$A$4:$C$36,3,0),"")</f>
        <v>05974160290</v>
      </c>
      <c r="S34" s="532" t="str">
        <f>IFERROR(VLOOKUP(J34,'03. THIẾT BỊ'!$B$1:$S$836,3,0),"")</f>
        <v>A23-DRP-005</v>
      </c>
      <c r="T34" s="693" t="str">
        <f t="shared" si="1"/>
        <v>DP</v>
      </c>
      <c r="U34" s="693"/>
    </row>
    <row r="35">
      <c r="A35" s="694"/>
      <c r="B35" s="694"/>
      <c r="C35" s="532" t="str">
        <f>IFERROR(VLOOKUP(J35,'03. THIẾT BỊ'!$B$1:$U$836,5,0),"")</f>
        <v>Dàn rải phân (10m3)</v>
      </c>
      <c r="D35" s="463">
        <v>1.0</v>
      </c>
      <c r="E35" s="692"/>
      <c r="F35" s="692"/>
      <c r="G35" s="692"/>
      <c r="H35" s="692">
        <f>IFERROR(VLOOKUP(J35,'03. THIẾT BỊ'!$B$1:$U$836,19,0),"")</f>
        <v>3.5</v>
      </c>
      <c r="I35" s="463" t="str">
        <f>IFERROR(VLOOKUP(J35,'03. THIẾT BỊ'!$B$1:$U$836,20,0),"")</f>
        <v>3.1 ha/8h</v>
      </c>
      <c r="J35" s="464" t="s">
        <v>3720</v>
      </c>
      <c r="K35" s="463" t="s">
        <v>4158</v>
      </c>
      <c r="L35" s="692"/>
      <c r="M35" s="692"/>
      <c r="N35" s="692" t="str">
        <f>IFERROR(VLOOKUP(J35,'03. THIẾT BỊ'!$B$1:$U$836,4,0),"")</f>
        <v>MUA MỚI</v>
      </c>
      <c r="O35" s="692" t="str">
        <f>IFERROR(VLOOKUP(J35,'03. THIẾT BỊ'!$B$1:$U$836,7,0),"")</f>
        <v>CGLĐ DP</v>
      </c>
      <c r="P35" s="559" t="str">
        <f>IFERROR(VLOOKUP(O35,'NS QUẢN LÝ CG'!$A$4:$D$36,2,0),"")</f>
        <v>Nguyễn Tấn Triều</v>
      </c>
      <c r="Q35" s="559" t="str">
        <f>IFERROR(VLOOKUP(O35,'NS QUẢN LÝ CG'!$A$4:$D$36,4,0),"")</f>
        <v>Lô 85 DP4</v>
      </c>
      <c r="R35" s="559" t="str">
        <f>IFERROR(VLOOKUP(O35,'NS QUẢN LÝ CG'!$A$4:$C$36,3,0),"")</f>
        <v>05974160290</v>
      </c>
      <c r="S35" s="532" t="str">
        <f>IFERROR(VLOOKUP(J35,'03. THIẾT BỊ'!$B$1:$S$836,3,0),"")</f>
        <v>A22-DRP-0.03</v>
      </c>
      <c r="T35" s="693" t="str">
        <f t="shared" si="1"/>
        <v>ADM</v>
      </c>
      <c r="U35" s="693"/>
    </row>
    <row r="36">
      <c r="A36" s="58"/>
      <c r="B36" s="58"/>
      <c r="C36" s="532" t="str">
        <f>IFERROR(VLOOKUP(J36,'03. THIẾT BỊ'!$B$1:$U$836,5,0),"")</f>
        <v>Dàn rải phân (10m3)</v>
      </c>
      <c r="D36" s="463">
        <v>1.0</v>
      </c>
      <c r="E36" s="692"/>
      <c r="F36" s="692"/>
      <c r="G36" s="692"/>
      <c r="H36" s="692">
        <f>IFERROR(VLOOKUP(J36,'03. THIẾT BỊ'!$B$1:$U$836,19,0),"")</f>
        <v>3.5</v>
      </c>
      <c r="I36" s="463" t="str">
        <f>IFERROR(VLOOKUP(J36,'03. THIẾT BỊ'!$B$1:$U$836,20,0),"")</f>
        <v>3.1 ha/8h</v>
      </c>
      <c r="J36" s="464" t="s">
        <v>3834</v>
      </c>
      <c r="K36" s="463" t="s">
        <v>4158</v>
      </c>
      <c r="L36" s="692"/>
      <c r="M36" s="692"/>
      <c r="N36" s="692" t="str">
        <f>IFERROR(VLOOKUP(J36,'03. THIẾT BỊ'!$B$1:$U$836,4,0),"")</f>
        <v>ĐQSD</v>
      </c>
      <c r="O36" s="692" t="str">
        <f>IFERROR(VLOOKUP(J36,'03. THIẾT BỊ'!$B$1:$U$836,7,0),"")</f>
        <v>CGLĐ LP</v>
      </c>
      <c r="P36" s="559" t="str">
        <f>IFERROR(VLOOKUP(O36,'NS QUẢN LÝ CG'!$A$4:$D$36,2,0),"")</f>
        <v>Nguyễn Tấn Triều</v>
      </c>
      <c r="Q36" s="559" t="str">
        <f>IFERROR(VLOOKUP(O36,'NS QUẢN LÝ CG'!$A$4:$D$36,4,0),"")</f>
        <v>LP3.5-LP3</v>
      </c>
      <c r="R36" s="559" t="str">
        <f>IFERROR(VLOOKUP(O36,'NS QUẢN LÝ CG'!$A$4:$C$36,3,0),"")</f>
        <v>05974160290</v>
      </c>
      <c r="S36" s="532" t="str">
        <f>IFERROR(VLOOKUP(J36,'03. THIẾT BỊ'!$B$1:$S$836,3,0),"")</f>
        <v>A24-DRP-003</v>
      </c>
      <c r="T36" s="693" t="str">
        <f t="shared" si="1"/>
        <v>LP</v>
      </c>
      <c r="U36" s="693"/>
    </row>
    <row r="37">
      <c r="A37" s="691">
        <v>7.0</v>
      </c>
      <c r="B37" s="691" t="s">
        <v>5790</v>
      </c>
      <c r="C37" s="532" t="str">
        <f>IFERROR(VLOOKUP(J37,'03. THIẾT BỊ'!$B$1:$U$836,5,0),"")</f>
        <v>Thiết bị rạch luống trồng chuối</v>
      </c>
      <c r="D37" s="463">
        <v>1.0</v>
      </c>
      <c r="E37" s="692"/>
      <c r="F37" s="692"/>
      <c r="G37" s="692"/>
      <c r="H37" s="692">
        <f>IFERROR(VLOOKUP(J37,'03. THIẾT BỊ'!$B$1:$U$836,19,0),"")</f>
        <v>6.5</v>
      </c>
      <c r="I37" s="463" t="str">
        <f>IFERROR(VLOOKUP(J37,'03. THIẾT BỊ'!$B$1:$U$836,20,0),"")</f>
        <v>4 ha/8h</v>
      </c>
      <c r="J37" s="464" t="s">
        <v>3686</v>
      </c>
      <c r="K37" s="463"/>
      <c r="L37" s="692"/>
      <c r="M37" s="463" t="s">
        <v>4158</v>
      </c>
      <c r="N37" s="692" t="str">
        <f>IFERROR(VLOOKUP(J37,'03. THIẾT BỊ'!$B$1:$U$836,4,0),"")</f>
        <v>ĐQSD</v>
      </c>
      <c r="O37" s="692" t="str">
        <f>IFERROR(VLOOKUP(J37,'03. THIẾT BỊ'!$B$1:$U$836,7,0),"")</f>
        <v>CGLĐ DP</v>
      </c>
      <c r="P37" s="559" t="str">
        <f>IFERROR(VLOOKUP(O37,'NS QUẢN LÝ CG'!$A$4:$D$36,2,0),"")</f>
        <v>Nguyễn Tấn Triều</v>
      </c>
      <c r="Q37" s="559" t="str">
        <f>IFERROR(VLOOKUP(O37,'NS QUẢN LÝ CG'!$A$4:$D$36,4,0),"")</f>
        <v>Lô 85 DP4</v>
      </c>
      <c r="R37" s="559" t="str">
        <f>IFERROR(VLOOKUP(O37,'NS QUẢN LÝ CG'!$A$4:$C$36,3,0),"")</f>
        <v>05974160290</v>
      </c>
      <c r="S37" s="532" t="str">
        <f>IFERROR(VLOOKUP(J37,'03. THIẾT BỊ'!$B$1:$S$836,3,0),"")</f>
        <v>A23-RTC-001</v>
      </c>
      <c r="T37" s="693" t="str">
        <f t="shared" si="1"/>
        <v>DP</v>
      </c>
      <c r="U37" s="693"/>
    </row>
    <row r="38">
      <c r="A38" s="694"/>
      <c r="B38" s="694"/>
      <c r="C38" s="532" t="str">
        <f>IFERROR(VLOOKUP(J38,'03. THIẾT BỊ'!$B$1:$U$836,5,0),"")</f>
        <v>Thiết bị rạch luống trồng chuối</v>
      </c>
      <c r="D38" s="463">
        <v>1.0</v>
      </c>
      <c r="E38" s="692"/>
      <c r="F38" s="692"/>
      <c r="G38" s="692"/>
      <c r="H38" s="692">
        <f>IFERROR(VLOOKUP(J38,'03. THIẾT BỊ'!$B$1:$U$836,19,0),"")</f>
        <v>6.5</v>
      </c>
      <c r="I38" s="463" t="str">
        <f>IFERROR(VLOOKUP(J38,'03. THIẾT BỊ'!$B$1:$U$836,20,0),"")</f>
        <v>4 ha/8h</v>
      </c>
      <c r="J38" s="464" t="s">
        <v>3691</v>
      </c>
      <c r="K38" s="463"/>
      <c r="L38" s="692"/>
      <c r="M38" s="463" t="s">
        <v>4158</v>
      </c>
      <c r="N38" s="692" t="str">
        <f>IFERROR(VLOOKUP(J38,'03. THIẾT BỊ'!$B$1:$U$836,4,0),"")</f>
        <v>ĐQSD</v>
      </c>
      <c r="O38" s="692" t="str">
        <f>IFERROR(VLOOKUP(J38,'03. THIẾT BỊ'!$B$1:$U$836,7,0),"")</f>
        <v>CGLĐ DP</v>
      </c>
      <c r="P38" s="559" t="str">
        <f>IFERROR(VLOOKUP(O38,'NS QUẢN LÝ CG'!$A$4:$D$36,2,0),"")</f>
        <v>Nguyễn Tấn Triều</v>
      </c>
      <c r="Q38" s="559" t="str">
        <f>IFERROR(VLOOKUP(O38,'NS QUẢN LÝ CG'!$A$4:$D$36,4,0),"")</f>
        <v>Lô 85 DP4</v>
      </c>
      <c r="R38" s="559" t="str">
        <f>IFERROR(VLOOKUP(O38,'NS QUẢN LÝ CG'!$A$4:$C$36,3,0),"")</f>
        <v>05974160290</v>
      </c>
      <c r="S38" s="532" t="str">
        <f>IFERROR(VLOOKUP(J38,'03. THIẾT BỊ'!$B$1:$S$836,3,0),"")</f>
        <v>A23-RTC-002</v>
      </c>
      <c r="T38" s="693" t="str">
        <f t="shared" si="1"/>
        <v>DP</v>
      </c>
      <c r="U38" s="693"/>
    </row>
    <row r="39">
      <c r="A39" s="694"/>
      <c r="B39" s="694"/>
      <c r="C39" s="532" t="str">
        <f>IFERROR(VLOOKUP(J39,'03. THIẾT BỊ'!$B$1:$U$836,5,0),"")</f>
        <v>Thiết bị rạch luống trồng chuối</v>
      </c>
      <c r="D39" s="463">
        <v>1.0</v>
      </c>
      <c r="E39" s="692"/>
      <c r="F39" s="692"/>
      <c r="G39" s="692"/>
      <c r="H39" s="692">
        <f>IFERROR(VLOOKUP(J39,'03. THIẾT BỊ'!$B$1:$U$836,19,0),"")</f>
        <v>6.5</v>
      </c>
      <c r="I39" s="463" t="str">
        <f>IFERROR(VLOOKUP(J39,'03. THIẾT BỊ'!$B$1:$U$836,20,0),"")</f>
        <v>4 ha/8h</v>
      </c>
      <c r="J39" s="464" t="s">
        <v>3694</v>
      </c>
      <c r="K39" s="463"/>
      <c r="L39" s="692"/>
      <c r="M39" s="463" t="s">
        <v>4158</v>
      </c>
      <c r="N39" s="692" t="str">
        <f>IFERROR(VLOOKUP(J39,'03. THIẾT BỊ'!$B$1:$U$836,4,0),"")</f>
        <v>ĐQSD</v>
      </c>
      <c r="O39" s="692" t="str">
        <f>IFERROR(VLOOKUP(J39,'03. THIẾT BỊ'!$B$1:$U$836,7,0),"")</f>
        <v>CGLĐ DP</v>
      </c>
      <c r="P39" s="559" t="str">
        <f>IFERROR(VLOOKUP(O39,'NS QUẢN LÝ CG'!$A$4:$D$36,2,0),"")</f>
        <v>Nguyễn Tấn Triều</v>
      </c>
      <c r="Q39" s="559" t="str">
        <f>IFERROR(VLOOKUP(O39,'NS QUẢN LÝ CG'!$A$4:$D$36,4,0),"")</f>
        <v>Lô 85 DP4</v>
      </c>
      <c r="R39" s="559" t="str">
        <f>IFERROR(VLOOKUP(O39,'NS QUẢN LÝ CG'!$A$4:$C$36,3,0),"")</f>
        <v>05974160290</v>
      </c>
      <c r="S39" s="532" t="str">
        <f>IFERROR(VLOOKUP(J39,'03. THIẾT BỊ'!$B$1:$S$836,3,0),"")</f>
        <v/>
      </c>
      <c r="T39" s="693" t="str">
        <f t="shared" si="1"/>
        <v/>
      </c>
      <c r="U39" s="693"/>
    </row>
    <row r="40">
      <c r="A40" s="694"/>
      <c r="B40" s="694"/>
      <c r="C40" s="532" t="str">
        <f>IFERROR(VLOOKUP(J40,'03. THIẾT BỊ'!$B$1:$U$836,5,0),"")</f>
        <v>Thiết bị rạch luống trồng chuối</v>
      </c>
      <c r="D40" s="463">
        <v>1.0</v>
      </c>
      <c r="E40" s="692"/>
      <c r="F40" s="692"/>
      <c r="G40" s="692"/>
      <c r="H40" s="692">
        <f>IFERROR(VLOOKUP(J40,'03. THIẾT BỊ'!$B$1:$U$836,19,0),"")</f>
        <v>6.5</v>
      </c>
      <c r="I40" s="463" t="str">
        <f>IFERROR(VLOOKUP(J40,'03. THIẾT BỊ'!$B$1:$U$836,20,0),"")</f>
        <v>4 ha/8h</v>
      </c>
      <c r="J40" s="464" t="s">
        <v>3697</v>
      </c>
      <c r="K40" s="463" t="s">
        <v>4158</v>
      </c>
      <c r="L40" s="692"/>
      <c r="M40" s="463"/>
      <c r="N40" s="692" t="str">
        <f>IFERROR(VLOOKUP(J40,'03. THIẾT BỊ'!$B$1:$U$836,4,0),"")</f>
        <v>ĐQSD</v>
      </c>
      <c r="O40" s="692" t="str">
        <f>IFERROR(VLOOKUP(J40,'03. THIẾT BỊ'!$B$1:$U$836,7,0),"")</f>
        <v>CGLĐ DP</v>
      </c>
      <c r="P40" s="559" t="str">
        <f>IFERROR(VLOOKUP(O40,'NS QUẢN LÝ CG'!$A$4:$D$36,2,0),"")</f>
        <v>Nguyễn Tấn Triều</v>
      </c>
      <c r="Q40" s="559" t="str">
        <f>IFERROR(VLOOKUP(O40,'NS QUẢN LÝ CG'!$A$4:$D$36,4,0),"")</f>
        <v>Lô 85 DP4</v>
      </c>
      <c r="R40" s="559" t="str">
        <f>IFERROR(VLOOKUP(O40,'NS QUẢN LÝ CG'!$A$4:$C$36,3,0),"")</f>
        <v>05974160290</v>
      </c>
      <c r="S40" s="532" t="str">
        <f>IFERROR(VLOOKUP(J40,'03. THIẾT BỊ'!$B$1:$S$836,3,0),"")</f>
        <v/>
      </c>
      <c r="T40" s="693" t="str">
        <f t="shared" si="1"/>
        <v/>
      </c>
      <c r="U40" s="693"/>
    </row>
    <row r="41">
      <c r="A41" s="694"/>
      <c r="B41" s="694"/>
      <c r="C41" s="532" t="str">
        <f>IFERROR(VLOOKUP(J41,'03. THIẾT BỊ'!$B$1:$U$836,5,0),"")</f>
        <v>Thiết bị rạch luống trồng chuối</v>
      </c>
      <c r="D41" s="463">
        <v>1.0</v>
      </c>
      <c r="E41" s="692"/>
      <c r="F41" s="692"/>
      <c r="G41" s="692"/>
      <c r="H41" s="692">
        <f>IFERROR(VLOOKUP(J41,'03. THIẾT BỊ'!$B$1:$U$836,19,0),"")</f>
        <v>6.5</v>
      </c>
      <c r="I41" s="463" t="str">
        <f>IFERROR(VLOOKUP(J41,'03. THIẾT BỊ'!$B$1:$U$836,20,0),"")</f>
        <v>4 ha/8h</v>
      </c>
      <c r="J41" s="464" t="s">
        <v>3698</v>
      </c>
      <c r="K41" s="463" t="s">
        <v>4158</v>
      </c>
      <c r="L41" s="692"/>
      <c r="M41" s="692"/>
      <c r="N41" s="692" t="str">
        <f>IFERROR(VLOOKUP(J41,'03. THIẾT BỊ'!$B$1:$U$836,4,0),"")</f>
        <v>ĐQSD</v>
      </c>
      <c r="O41" s="692" t="str">
        <f>IFERROR(VLOOKUP(J41,'03. THIẾT BỊ'!$B$1:$U$836,7,0),"")</f>
        <v>CGLĐ DP</v>
      </c>
      <c r="P41" s="559" t="str">
        <f>IFERROR(VLOOKUP(O41,'NS QUẢN LÝ CG'!$A$4:$D$36,2,0),"")</f>
        <v>Nguyễn Tấn Triều</v>
      </c>
      <c r="Q41" s="559" t="str">
        <f>IFERROR(VLOOKUP(O41,'NS QUẢN LÝ CG'!$A$4:$D$36,4,0),"")</f>
        <v>Lô 85 DP4</v>
      </c>
      <c r="R41" s="559" t="str">
        <f>IFERROR(VLOOKUP(O41,'NS QUẢN LÝ CG'!$A$4:$C$36,3,0),"")</f>
        <v>05974160290</v>
      </c>
      <c r="S41" s="532" t="str">
        <f>IFERROR(VLOOKUP(J41,'03. THIẾT BỊ'!$B$1:$S$836,3,0),"")</f>
        <v/>
      </c>
      <c r="T41" s="693" t="str">
        <f t="shared" si="1"/>
        <v/>
      </c>
      <c r="U41" s="693"/>
    </row>
    <row r="42">
      <c r="A42" s="694"/>
      <c r="B42" s="694"/>
      <c r="C42" s="532" t="str">
        <f>IFERROR(VLOOKUP(J42,'03. THIẾT BỊ'!$B$1:$U$836,5,0),"")</f>
        <v>Thiết bị rạch luống trồng chuối</v>
      </c>
      <c r="D42" s="463">
        <v>1.0</v>
      </c>
      <c r="E42" s="692"/>
      <c r="F42" s="692"/>
      <c r="G42" s="692"/>
      <c r="H42" s="692">
        <f>IFERROR(VLOOKUP(J42,'03. THIẾT BỊ'!$B$1:$U$836,19,0),"")</f>
        <v>6.5</v>
      </c>
      <c r="I42" s="463" t="str">
        <f>IFERROR(VLOOKUP(J42,'03. THIẾT BỊ'!$B$1:$U$836,20,0),"")</f>
        <v>4 ha/8h</v>
      </c>
      <c r="J42" s="464" t="s">
        <v>3699</v>
      </c>
      <c r="K42" s="463" t="s">
        <v>4158</v>
      </c>
      <c r="L42" s="692"/>
      <c r="M42" s="692"/>
      <c r="N42" s="692" t="str">
        <f>IFERROR(VLOOKUP(J42,'03. THIẾT BỊ'!$B$1:$U$836,4,0),"")</f>
        <v>ĐQSD</v>
      </c>
      <c r="O42" s="692" t="str">
        <f>IFERROR(VLOOKUP(J42,'03. THIẾT BỊ'!$B$1:$U$836,7,0),"")</f>
        <v>CGLĐ DP</v>
      </c>
      <c r="P42" s="559" t="str">
        <f>IFERROR(VLOOKUP(O42,'NS QUẢN LÝ CG'!$A$4:$D$36,2,0),"")</f>
        <v>Nguyễn Tấn Triều</v>
      </c>
      <c r="Q42" s="559" t="str">
        <f>IFERROR(VLOOKUP(O42,'NS QUẢN LÝ CG'!$A$4:$D$36,4,0),"")</f>
        <v>Lô 85 DP4</v>
      </c>
      <c r="R42" s="559" t="str">
        <f>IFERROR(VLOOKUP(O42,'NS QUẢN LÝ CG'!$A$4:$C$36,3,0),"")</f>
        <v>05974160290</v>
      </c>
      <c r="S42" s="532" t="str">
        <f>IFERROR(VLOOKUP(J42,'03. THIẾT BỊ'!$B$1:$S$836,3,0),"")</f>
        <v/>
      </c>
      <c r="T42" s="693" t="str">
        <f t="shared" si="1"/>
        <v/>
      </c>
      <c r="U42" s="693"/>
    </row>
    <row r="43">
      <c r="A43" s="58"/>
      <c r="B43" s="58"/>
      <c r="C43" s="532" t="str">
        <f>IFERROR(VLOOKUP(J43,'03. THIẾT BỊ'!$B$1:$U$836,5,0),"")</f>
        <v>Thiết bị rạch luống trồng chuối</v>
      </c>
      <c r="D43" s="463">
        <v>1.0</v>
      </c>
      <c r="E43" s="692"/>
      <c r="F43" s="692"/>
      <c r="G43" s="692"/>
      <c r="H43" s="692">
        <f>IFERROR(VLOOKUP(J43,'03. THIẾT BỊ'!$B$1:$U$836,19,0),"")</f>
        <v>6.5</v>
      </c>
      <c r="I43" s="463" t="str">
        <f>IFERROR(VLOOKUP(J43,'03. THIẾT BỊ'!$B$1:$U$836,20,0),"")</f>
        <v>4 ha/8h</v>
      </c>
      <c r="J43" s="464" t="s">
        <v>3831</v>
      </c>
      <c r="K43" s="463" t="s">
        <v>4158</v>
      </c>
      <c r="L43" s="692"/>
      <c r="M43" s="692"/>
      <c r="N43" s="692" t="str">
        <f>IFERROR(VLOOKUP(J43,'03. THIẾT BỊ'!$B$1:$U$836,4,0),"")</f>
        <v>ĐQSD</v>
      </c>
      <c r="O43" s="692" t="str">
        <f>IFERROR(VLOOKUP(J43,'03. THIẾT BỊ'!$B$1:$U$836,7,0),"")</f>
        <v>CGLĐ LP</v>
      </c>
      <c r="P43" s="559" t="str">
        <f>IFERROR(VLOOKUP(O43,'NS QUẢN LÝ CG'!$A$4:$D$36,2,0),"")</f>
        <v>Nguyễn Tấn Triều</v>
      </c>
      <c r="Q43" s="559" t="str">
        <f>IFERROR(VLOOKUP(O43,'NS QUẢN LÝ CG'!$A$4:$D$36,4,0),"")</f>
        <v>LP3.5-LP3</v>
      </c>
      <c r="R43" s="559" t="str">
        <f>IFERROR(VLOOKUP(O43,'NS QUẢN LÝ CG'!$A$4:$C$36,3,0),"")</f>
        <v>05974160290</v>
      </c>
      <c r="S43" s="532" t="str">
        <f>IFERROR(VLOOKUP(J43,'03. THIẾT BỊ'!$B$1:$S$836,3,0),"")</f>
        <v>A24-RTC-001</v>
      </c>
      <c r="T43" s="693" t="str">
        <f t="shared" si="1"/>
        <v>LP</v>
      </c>
      <c r="U43" s="693"/>
    </row>
    <row r="44">
      <c r="A44" s="692" t="str">
        <f>IFERROR(VLOOKUP(B333,'03. THIẾT BỊ'!$B$1:$S$836,7,0),"")</f>
        <v/>
      </c>
      <c r="B44" s="464" t="s">
        <v>172</v>
      </c>
      <c r="C44" s="532" t="str">
        <f>IFERROR(VLOOKUP(J44,'03. THIẾT BỊ'!$B$1:$U$836,5,0),"")</f>
        <v/>
      </c>
      <c r="D44" s="463"/>
      <c r="E44" s="692"/>
      <c r="F44" s="692"/>
      <c r="G44" s="692"/>
      <c r="H44" s="692" t="str">
        <f>IFERROR(VLOOKUP(J44,'03. THIẾT BỊ'!$B$1:$U$836,19,0),"")</f>
        <v/>
      </c>
      <c r="I44" s="463" t="str">
        <f>IFERROR(VLOOKUP(J44,'03. THIẾT BỊ'!$B$1:$U$836,20,0),"")</f>
        <v/>
      </c>
      <c r="J44" s="464"/>
      <c r="K44" s="463"/>
      <c r="L44" s="692"/>
      <c r="M44" s="692"/>
      <c r="N44" s="692" t="str">
        <f>IFERROR(VLOOKUP(J44,'03. THIẾT BỊ'!$B$1:$U$836,4,0),"")</f>
        <v/>
      </c>
      <c r="O44" s="692" t="str">
        <f>IFERROR(VLOOKUP(J44,'03. THIẾT BỊ'!$B$1:$U$836,7,0),"")</f>
        <v/>
      </c>
      <c r="P44" s="532"/>
      <c r="Q44" s="532"/>
      <c r="R44" s="532"/>
      <c r="S44" s="532" t="str">
        <f>IFERROR(VLOOKUP(J44,'03. THIẾT BỊ'!$B$1:$S$836,3,0),"")</f>
        <v/>
      </c>
      <c r="T44" s="693"/>
      <c r="U44" s="693"/>
    </row>
    <row r="45">
      <c r="A45" s="692" t="str">
        <f>IFERROR(VLOOKUP(#REF!,'03. THIẾT BỊ'!$B$1:$S$836,7,0),"")</f>
        <v/>
      </c>
      <c r="B45" s="464"/>
      <c r="C45" s="532" t="str">
        <f>IFERROR(VLOOKUP(J45,'03. THIẾT BỊ'!$B$1:$U$836,5,0),"")</f>
        <v/>
      </c>
      <c r="D45" s="463"/>
      <c r="E45" s="692"/>
      <c r="F45" s="692"/>
      <c r="G45" s="692"/>
      <c r="H45" s="692" t="str">
        <f>IFERROR(VLOOKUP(J45,'03. THIẾT BỊ'!$B$1:$U$836,19,0),"")</f>
        <v/>
      </c>
      <c r="I45" s="463" t="str">
        <f>IFERROR(VLOOKUP(J45,'03. THIẾT BỊ'!$B$1:$U$836,20,0),"")</f>
        <v/>
      </c>
      <c r="J45" s="464"/>
      <c r="K45" s="463"/>
      <c r="L45" s="692"/>
      <c r="M45" s="692"/>
      <c r="N45" s="692" t="str">
        <f>IFERROR(VLOOKUP(J45,'03. THIẾT BỊ'!$B$1:$U$836,4,0),"")</f>
        <v/>
      </c>
      <c r="O45" s="692" t="str">
        <f>IFERROR(VLOOKUP(J45,'03. THIẾT BỊ'!$B$1:$U$836,7,0),"")</f>
        <v/>
      </c>
      <c r="P45" s="532"/>
      <c r="Q45" s="532"/>
      <c r="R45" s="532"/>
      <c r="S45" s="532" t="str">
        <f>IFERROR(VLOOKUP(J45,'03. THIẾT BỊ'!$B$1:$S$836,3,0),"")</f>
        <v/>
      </c>
      <c r="T45" s="693"/>
      <c r="U45" s="693"/>
    </row>
    <row r="46" hidden="1">
      <c r="A46" s="692" t="str">
        <f>IFERROR(VLOOKUP(#REF!,'03. THIẾT BỊ'!$B$1:$S$836,7,0),"")</f>
        <v/>
      </c>
      <c r="B46" s="464"/>
      <c r="C46" s="532" t="str">
        <f>IFERROR(VLOOKUP(J46,'03. THIẾT BỊ'!$B$1:$U$836,5,0),"")</f>
        <v/>
      </c>
      <c r="D46" s="463"/>
      <c r="E46" s="692"/>
      <c r="F46" s="692"/>
      <c r="G46" s="692"/>
      <c r="H46" s="692" t="str">
        <f>IFERROR(VLOOKUP(J46,'03. THIẾT BỊ'!$B$1:$U$836,19,0),"")</f>
        <v/>
      </c>
      <c r="I46" s="463" t="str">
        <f>IFERROR(VLOOKUP(J46,'03. THIẾT BỊ'!$B$1:$U$836,20,0),"")</f>
        <v/>
      </c>
      <c r="J46" s="464"/>
      <c r="K46" s="463"/>
      <c r="L46" s="692"/>
      <c r="M46" s="692"/>
      <c r="N46" s="692" t="str">
        <f>IFERROR(VLOOKUP(J46,'03. THIẾT BỊ'!$B$1:$U$836,4,0),"")</f>
        <v/>
      </c>
      <c r="O46" s="692" t="str">
        <f>IFERROR(VLOOKUP(J46,'03. THIẾT BỊ'!$B$1:$U$836,7,0),"")</f>
        <v/>
      </c>
      <c r="P46" s="532"/>
      <c r="Q46" s="532"/>
      <c r="R46" s="532"/>
      <c r="S46" s="532" t="str">
        <f>IFERROR(VLOOKUP(J46,'03. THIẾT BỊ'!$B$1:$S$836,3,0),"")</f>
        <v/>
      </c>
      <c r="T46" s="693"/>
      <c r="U46" s="693"/>
    </row>
    <row r="47" hidden="1">
      <c r="A47" s="692" t="str">
        <f>IFERROR(VLOOKUP(#REF!,'03. THIẾT BỊ'!$B$1:$S$836,7,0),"")</f>
        <v/>
      </c>
      <c r="B47" s="464"/>
      <c r="C47" s="532" t="str">
        <f>IFERROR(VLOOKUP(J47,'03. THIẾT BỊ'!$B$1:$U$836,5,0),"")</f>
        <v/>
      </c>
      <c r="D47" s="463"/>
      <c r="E47" s="692"/>
      <c r="F47" s="692"/>
      <c r="G47" s="692"/>
      <c r="H47" s="692" t="str">
        <f>IFERROR(VLOOKUP(J47,'03. THIẾT BỊ'!$B$1:$U$836,19,0),"")</f>
        <v/>
      </c>
      <c r="I47" s="463" t="str">
        <f>IFERROR(VLOOKUP(J47,'03. THIẾT BỊ'!$B$1:$U$836,20,0),"")</f>
        <v/>
      </c>
      <c r="J47" s="464"/>
      <c r="K47" s="463"/>
      <c r="L47" s="692"/>
      <c r="M47" s="692"/>
      <c r="N47" s="692" t="str">
        <f>IFERROR(VLOOKUP(J47,'03. THIẾT BỊ'!$B$1:$U$836,4,0),"")</f>
        <v/>
      </c>
      <c r="O47" s="692" t="str">
        <f>IFERROR(VLOOKUP(J47,'03. THIẾT BỊ'!$B$1:$U$836,7,0),"")</f>
        <v/>
      </c>
      <c r="P47" s="532"/>
      <c r="Q47" s="532"/>
      <c r="R47" s="532"/>
      <c r="S47" s="532" t="str">
        <f>IFERROR(VLOOKUP(J47,'03. THIẾT BỊ'!$B$1:$S$836,3,0),"")</f>
        <v/>
      </c>
      <c r="T47" s="693"/>
      <c r="U47" s="693"/>
    </row>
    <row r="48" hidden="1">
      <c r="A48" s="692" t="str">
        <f>IFERROR(VLOOKUP(B334,'03. THIẾT BỊ'!$B$1:$S$836,7,0),"")</f>
        <v/>
      </c>
      <c r="B48" s="464"/>
      <c r="C48" s="532" t="str">
        <f>IFERROR(VLOOKUP(J48,'03. THIẾT BỊ'!$B$1:$U$836,5,0),"")</f>
        <v/>
      </c>
      <c r="D48" s="463"/>
      <c r="E48" s="692"/>
      <c r="F48" s="692"/>
      <c r="G48" s="692"/>
      <c r="H48" s="692" t="str">
        <f>IFERROR(VLOOKUP(J48,'03. THIẾT BỊ'!$B$1:$U$836,19,0),"")</f>
        <v/>
      </c>
      <c r="I48" s="463" t="str">
        <f>IFERROR(VLOOKUP(J48,'03. THIẾT BỊ'!$B$1:$U$836,20,0),"")</f>
        <v/>
      </c>
      <c r="J48" s="464"/>
      <c r="K48" s="463"/>
      <c r="L48" s="692"/>
      <c r="M48" s="692"/>
      <c r="N48" s="692" t="str">
        <f>IFERROR(VLOOKUP(J48,'03. THIẾT BỊ'!$B$1:$U$836,4,0),"")</f>
        <v/>
      </c>
      <c r="O48" s="692" t="str">
        <f>IFERROR(VLOOKUP(J48,'03. THIẾT BỊ'!$B$1:$U$836,7,0),"")</f>
        <v/>
      </c>
      <c r="P48" s="532"/>
      <c r="Q48" s="532"/>
      <c r="R48" s="532"/>
      <c r="S48" s="532" t="str">
        <f>IFERROR(VLOOKUP(J48,'03. THIẾT BỊ'!$B$1:$S$836,3,0),"")</f>
        <v/>
      </c>
      <c r="T48" s="693"/>
      <c r="U48" s="693"/>
    </row>
    <row r="49" hidden="1">
      <c r="A49" s="692" t="str">
        <f>IFERROR(VLOOKUP(#REF!,'03. THIẾT BỊ'!$B$1:$S$836,7,0),"")</f>
        <v/>
      </c>
      <c r="B49" s="464"/>
      <c r="C49" s="532" t="str">
        <f>IFERROR(VLOOKUP(J49,'03. THIẾT BỊ'!$B$1:$U$836,5,0),"")</f>
        <v/>
      </c>
      <c r="D49" s="463"/>
      <c r="E49" s="692"/>
      <c r="F49" s="692"/>
      <c r="G49" s="692"/>
      <c r="H49" s="692" t="str">
        <f>IFERROR(VLOOKUP(J49,'03. THIẾT BỊ'!$B$1:$U$836,19,0),"")</f>
        <v/>
      </c>
      <c r="I49" s="463" t="str">
        <f>IFERROR(VLOOKUP(J49,'03. THIẾT BỊ'!$B$1:$U$836,20,0),"")</f>
        <v/>
      </c>
      <c r="J49" s="464"/>
      <c r="K49" s="463"/>
      <c r="L49" s="692"/>
      <c r="M49" s="692"/>
      <c r="N49" s="692" t="str">
        <f>IFERROR(VLOOKUP(J49,'03. THIẾT BỊ'!$B$1:$U$836,4,0),"")</f>
        <v/>
      </c>
      <c r="O49" s="692" t="str">
        <f>IFERROR(VLOOKUP(J49,'03. THIẾT BỊ'!$B$1:$U$836,7,0),"")</f>
        <v/>
      </c>
      <c r="P49" s="532"/>
      <c r="Q49" s="532"/>
      <c r="R49" s="532"/>
      <c r="S49" s="532" t="str">
        <f>IFERROR(VLOOKUP(J49,'03. THIẾT BỊ'!$B$1:$S$836,3,0),"")</f>
        <v/>
      </c>
      <c r="T49" s="693"/>
      <c r="U49" s="693"/>
    </row>
    <row r="50" hidden="1">
      <c r="A50" s="692" t="str">
        <f>IFERROR(VLOOKUP(#REF!,'03. THIẾT BỊ'!$B$1:$S$836,7,0),"")</f>
        <v/>
      </c>
      <c r="B50" s="464"/>
      <c r="C50" s="532" t="str">
        <f>IFERROR(VLOOKUP(J50,'03. THIẾT BỊ'!$B$1:$U$836,5,0),"")</f>
        <v/>
      </c>
      <c r="D50" s="463"/>
      <c r="E50" s="692"/>
      <c r="F50" s="692"/>
      <c r="G50" s="692"/>
      <c r="H50" s="692" t="str">
        <f>IFERROR(VLOOKUP(J50,'03. THIẾT BỊ'!$B$1:$U$836,19,0),"")</f>
        <v/>
      </c>
      <c r="I50" s="463" t="str">
        <f>IFERROR(VLOOKUP(J50,'03. THIẾT BỊ'!$B$1:$U$836,20,0),"")</f>
        <v/>
      </c>
      <c r="J50" s="464"/>
      <c r="K50" s="463"/>
      <c r="L50" s="692"/>
      <c r="M50" s="692"/>
      <c r="N50" s="692" t="str">
        <f>IFERROR(VLOOKUP(J50,'03. THIẾT BỊ'!$B$1:$U$836,4,0),"")</f>
        <v/>
      </c>
      <c r="O50" s="692" t="str">
        <f>IFERROR(VLOOKUP(J50,'03. THIẾT BỊ'!$B$1:$U$836,7,0),"")</f>
        <v/>
      </c>
      <c r="P50" s="532"/>
      <c r="Q50" s="532"/>
      <c r="R50" s="532"/>
      <c r="S50" s="532" t="str">
        <f>IFERROR(VLOOKUP(J50,'03. THIẾT BỊ'!$B$1:$S$836,3,0),"")</f>
        <v/>
      </c>
      <c r="T50" s="693"/>
      <c r="U50" s="693"/>
    </row>
    <row r="51" hidden="1">
      <c r="A51" s="692" t="str">
        <f>IFERROR(VLOOKUP(B346,'03. THIẾT BỊ'!$B$1:$S$836,7,0),"")</f>
        <v/>
      </c>
      <c r="B51" s="464"/>
      <c r="C51" s="532" t="str">
        <f>IFERROR(VLOOKUP(J51,'03. THIẾT BỊ'!$B$1:$U$836,5,0),"")</f>
        <v/>
      </c>
      <c r="D51" s="463"/>
      <c r="E51" s="692"/>
      <c r="F51" s="692"/>
      <c r="G51" s="692"/>
      <c r="H51" s="692" t="str">
        <f>IFERROR(VLOOKUP(J51,'03. THIẾT BỊ'!$B$1:$U$836,19,0),"")</f>
        <v/>
      </c>
      <c r="I51" s="463" t="str">
        <f>IFERROR(VLOOKUP(J51,'03. THIẾT BỊ'!$B$1:$U$836,20,0),"")</f>
        <v/>
      </c>
      <c r="J51" s="464"/>
      <c r="K51" s="463"/>
      <c r="L51" s="692"/>
      <c r="M51" s="692"/>
      <c r="N51" s="692" t="str">
        <f>IFERROR(VLOOKUP(J51,'03. THIẾT BỊ'!$B$1:$U$836,4,0),"")</f>
        <v/>
      </c>
      <c r="O51" s="692" t="str">
        <f>IFERROR(VLOOKUP(J51,'03. THIẾT BỊ'!$B$1:$U$836,7,0),"")</f>
        <v/>
      </c>
      <c r="P51" s="532"/>
      <c r="Q51" s="532"/>
      <c r="R51" s="532"/>
      <c r="S51" s="532" t="str">
        <f>IFERROR(VLOOKUP(J51,'03. THIẾT BỊ'!$B$1:$S$836,3,0),"")</f>
        <v/>
      </c>
      <c r="T51" s="693"/>
      <c r="U51" s="693"/>
    </row>
    <row r="52" hidden="1">
      <c r="A52" s="692" t="str">
        <f>IFERROR(VLOOKUP(#REF!,'03. THIẾT BỊ'!$B$1:$S$836,7,0),"")</f>
        <v/>
      </c>
      <c r="B52" s="464"/>
      <c r="C52" s="532" t="str">
        <f>IFERROR(VLOOKUP(J52,'03. THIẾT BỊ'!$B$1:$U$836,5,0),"")</f>
        <v/>
      </c>
      <c r="D52" s="463"/>
      <c r="E52" s="692"/>
      <c r="F52" s="692"/>
      <c r="G52" s="692"/>
      <c r="H52" s="692" t="str">
        <f>IFERROR(VLOOKUP(J52,'03. THIẾT BỊ'!$B$1:$U$836,19,0),"")</f>
        <v/>
      </c>
      <c r="I52" s="463" t="str">
        <f>IFERROR(VLOOKUP(J52,'03. THIẾT BỊ'!$B$1:$U$836,20,0),"")</f>
        <v/>
      </c>
      <c r="J52" s="464"/>
      <c r="K52" s="463"/>
      <c r="L52" s="692"/>
      <c r="M52" s="692"/>
      <c r="N52" s="692" t="str">
        <f>IFERROR(VLOOKUP(J52,'03. THIẾT BỊ'!$B$1:$U$836,4,0),"")</f>
        <v/>
      </c>
      <c r="O52" s="692" t="str">
        <f>IFERROR(VLOOKUP(J52,'03. THIẾT BỊ'!$B$1:$U$836,7,0),"")</f>
        <v/>
      </c>
      <c r="P52" s="532"/>
      <c r="Q52" s="532"/>
      <c r="R52" s="532"/>
      <c r="S52" s="532" t="str">
        <f>IFERROR(VLOOKUP(J52,'03. THIẾT BỊ'!$B$1:$S$836,3,0),"")</f>
        <v/>
      </c>
      <c r="T52" s="693"/>
      <c r="U52" s="693"/>
    </row>
    <row r="53" hidden="1">
      <c r="A53" s="692" t="str">
        <f>IFERROR(VLOOKUP(#REF!,'03. THIẾT BỊ'!$B$1:$S$836,7,0),"")</f>
        <v/>
      </c>
      <c r="B53" s="464"/>
      <c r="C53" s="532" t="str">
        <f>IFERROR(VLOOKUP(J53,'03. THIẾT BỊ'!$B$1:$U$836,5,0),"")</f>
        <v/>
      </c>
      <c r="D53" s="463"/>
      <c r="E53" s="692"/>
      <c r="F53" s="692"/>
      <c r="G53" s="692"/>
      <c r="H53" s="692" t="str">
        <f>IFERROR(VLOOKUP(J53,'03. THIẾT BỊ'!$B$1:$U$836,19,0),"")</f>
        <v/>
      </c>
      <c r="I53" s="463" t="str">
        <f>IFERROR(VLOOKUP(J53,'03. THIẾT BỊ'!$B$1:$U$836,20,0),"")</f>
        <v/>
      </c>
      <c r="J53" s="464"/>
      <c r="K53" s="463"/>
      <c r="L53" s="692"/>
      <c r="M53" s="692"/>
      <c r="N53" s="692" t="str">
        <f>IFERROR(VLOOKUP(J53,'03. THIẾT BỊ'!$B$1:$U$836,4,0),"")</f>
        <v/>
      </c>
      <c r="O53" s="692" t="str">
        <f>IFERROR(VLOOKUP(J53,'03. THIẾT BỊ'!$B$1:$U$836,7,0),"")</f>
        <v/>
      </c>
      <c r="P53" s="532"/>
      <c r="Q53" s="532"/>
      <c r="R53" s="532"/>
      <c r="S53" s="532" t="str">
        <f>IFERROR(VLOOKUP(J53,'03. THIẾT BỊ'!$B$1:$S$836,3,0),"")</f>
        <v/>
      </c>
      <c r="T53" s="693"/>
      <c r="U53" s="693"/>
    </row>
    <row r="54" hidden="1">
      <c r="A54" s="692" t="str">
        <f>IFERROR(VLOOKUP(#REF!,'03. THIẾT BỊ'!$B$1:$S$836,7,0),"")</f>
        <v/>
      </c>
      <c r="B54" s="464"/>
      <c r="C54" s="532" t="str">
        <f>IFERROR(VLOOKUP(J54,'03. THIẾT BỊ'!$B$1:$U$836,5,0),"")</f>
        <v/>
      </c>
      <c r="D54" s="463"/>
      <c r="E54" s="692"/>
      <c r="F54" s="692"/>
      <c r="G54" s="692"/>
      <c r="H54" s="692" t="str">
        <f>IFERROR(VLOOKUP(J54,'03. THIẾT BỊ'!$B$1:$U$836,19,0),"")</f>
        <v/>
      </c>
      <c r="I54" s="463" t="str">
        <f>IFERROR(VLOOKUP(J54,'03. THIẾT BỊ'!$B$1:$U$836,20,0),"")</f>
        <v/>
      </c>
      <c r="J54" s="464"/>
      <c r="K54" s="463"/>
      <c r="L54" s="692"/>
      <c r="M54" s="692"/>
      <c r="N54" s="692" t="str">
        <f>IFERROR(VLOOKUP(J54,'03. THIẾT BỊ'!$B$1:$U$836,4,0),"")</f>
        <v/>
      </c>
      <c r="O54" s="692" t="str">
        <f>IFERROR(VLOOKUP(J54,'03. THIẾT BỊ'!$B$1:$U$836,7,0),"")</f>
        <v/>
      </c>
      <c r="P54" s="532"/>
      <c r="Q54" s="532"/>
      <c r="R54" s="532"/>
      <c r="S54" s="532" t="str">
        <f>IFERROR(VLOOKUP(J54,'03. THIẾT BỊ'!$B$1:$S$836,3,0),"")</f>
        <v/>
      </c>
      <c r="T54" s="693"/>
      <c r="U54" s="693"/>
    </row>
    <row r="55" hidden="1">
      <c r="A55" s="692" t="str">
        <f>IFERROR(VLOOKUP(#REF!,'03. THIẾT BỊ'!$B$1:$S$836,7,0),"")</f>
        <v/>
      </c>
      <c r="B55" s="464"/>
      <c r="C55" s="532" t="str">
        <f>IFERROR(VLOOKUP(J55,'03. THIẾT BỊ'!$B$1:$U$836,5,0),"")</f>
        <v/>
      </c>
      <c r="D55" s="463"/>
      <c r="E55" s="692"/>
      <c r="F55" s="692"/>
      <c r="G55" s="692"/>
      <c r="H55" s="692" t="str">
        <f>IFERROR(VLOOKUP(J55,'03. THIẾT BỊ'!$B$1:$U$836,19,0),"")</f>
        <v/>
      </c>
      <c r="I55" s="463" t="str">
        <f>IFERROR(VLOOKUP(J55,'03. THIẾT BỊ'!$B$1:$U$836,20,0),"")</f>
        <v/>
      </c>
      <c r="J55" s="464"/>
      <c r="K55" s="463"/>
      <c r="L55" s="692"/>
      <c r="M55" s="692"/>
      <c r="N55" s="692" t="str">
        <f>IFERROR(VLOOKUP(J55,'03. THIẾT BỊ'!$B$1:$U$836,4,0),"")</f>
        <v/>
      </c>
      <c r="O55" s="692" t="str">
        <f>IFERROR(VLOOKUP(J55,'03. THIẾT BỊ'!$B$1:$U$836,7,0),"")</f>
        <v/>
      </c>
      <c r="P55" s="532"/>
      <c r="Q55" s="532"/>
      <c r="R55" s="532"/>
      <c r="S55" s="532" t="str">
        <f>IFERROR(VLOOKUP(J55,'03. THIẾT BỊ'!$B$1:$S$836,3,0),"")</f>
        <v/>
      </c>
      <c r="T55" s="693"/>
      <c r="U55" s="693"/>
    </row>
    <row r="56" hidden="1">
      <c r="A56" s="692" t="str">
        <f>IFERROR(VLOOKUP(#REF!,'03. THIẾT BỊ'!$B$1:$S$836,7,0),"")</f>
        <v/>
      </c>
      <c r="B56" s="464"/>
      <c r="C56" s="532" t="str">
        <f>IFERROR(VLOOKUP(J56,'03. THIẾT BỊ'!$B$1:$U$836,5,0),"")</f>
        <v/>
      </c>
      <c r="D56" s="463"/>
      <c r="E56" s="692"/>
      <c r="F56" s="692"/>
      <c r="G56" s="692"/>
      <c r="H56" s="692" t="str">
        <f>IFERROR(VLOOKUP(J56,'03. THIẾT BỊ'!$B$1:$U$836,19,0),"")</f>
        <v/>
      </c>
      <c r="I56" s="463" t="str">
        <f>IFERROR(VLOOKUP(J56,'03. THIẾT BỊ'!$B$1:$U$836,20,0),"")</f>
        <v/>
      </c>
      <c r="J56" s="464"/>
      <c r="K56" s="463"/>
      <c r="L56" s="692"/>
      <c r="M56" s="692"/>
      <c r="N56" s="692" t="str">
        <f>IFERROR(VLOOKUP(J56,'03. THIẾT BỊ'!$B$1:$U$836,4,0),"")</f>
        <v/>
      </c>
      <c r="O56" s="692" t="str">
        <f>IFERROR(VLOOKUP(J56,'03. THIẾT BỊ'!$B$1:$U$836,7,0),"")</f>
        <v/>
      </c>
      <c r="P56" s="532"/>
      <c r="Q56" s="532"/>
      <c r="R56" s="532"/>
      <c r="S56" s="532" t="str">
        <f>IFERROR(VLOOKUP(J56,'03. THIẾT BỊ'!$B$1:$S$836,3,0),"")</f>
        <v/>
      </c>
      <c r="T56" s="693"/>
      <c r="U56" s="693"/>
    </row>
    <row r="57" hidden="1">
      <c r="A57" s="692" t="str">
        <f>IFERROR(VLOOKUP(B362,'03. THIẾT BỊ'!$B$1:$S$836,7,0),"")</f>
        <v/>
      </c>
      <c r="B57" s="464"/>
      <c r="C57" s="532" t="str">
        <f>IFERROR(VLOOKUP(J57,'03. THIẾT BỊ'!$B$1:$U$836,5,0),"")</f>
        <v/>
      </c>
      <c r="D57" s="463"/>
      <c r="E57" s="692"/>
      <c r="F57" s="692"/>
      <c r="G57" s="692"/>
      <c r="H57" s="692" t="str">
        <f>IFERROR(VLOOKUP(J57,'03. THIẾT BỊ'!$B$1:$U$836,19,0),"")</f>
        <v/>
      </c>
      <c r="I57" s="463" t="str">
        <f>IFERROR(VLOOKUP(J57,'03. THIẾT BỊ'!$B$1:$U$836,20,0),"")</f>
        <v/>
      </c>
      <c r="J57" s="464"/>
      <c r="K57" s="463"/>
      <c r="L57" s="692"/>
      <c r="M57" s="692"/>
      <c r="N57" s="692" t="str">
        <f>IFERROR(VLOOKUP(J57,'03. THIẾT BỊ'!$B$1:$U$836,4,0),"")</f>
        <v/>
      </c>
      <c r="O57" s="692" t="str">
        <f>IFERROR(VLOOKUP(J57,'03. THIẾT BỊ'!$B$1:$U$836,7,0),"")</f>
        <v/>
      </c>
      <c r="P57" s="532"/>
      <c r="Q57" s="532"/>
      <c r="R57" s="532"/>
      <c r="S57" s="532" t="str">
        <f>IFERROR(VLOOKUP(J57,'03. THIẾT BỊ'!$B$1:$S$836,3,0),"")</f>
        <v/>
      </c>
      <c r="T57" s="693"/>
      <c r="U57" s="693"/>
    </row>
    <row r="58" hidden="1">
      <c r="A58" s="692" t="str">
        <f>IFERROR(VLOOKUP(B363,'03. THIẾT BỊ'!$B$1:$S$836,7,0),"")</f>
        <v/>
      </c>
      <c r="B58" s="464"/>
      <c r="C58" s="532" t="str">
        <f>IFERROR(VLOOKUP(J58,'03. THIẾT BỊ'!$B$1:$U$836,5,0),"")</f>
        <v/>
      </c>
      <c r="D58" s="463"/>
      <c r="E58" s="692"/>
      <c r="F58" s="692"/>
      <c r="G58" s="692"/>
      <c r="H58" s="692" t="str">
        <f>IFERROR(VLOOKUP(J58,'03. THIẾT BỊ'!$B$1:$U$836,19,0),"")</f>
        <v/>
      </c>
      <c r="I58" s="463" t="str">
        <f>IFERROR(VLOOKUP(J58,'03. THIẾT BỊ'!$B$1:$U$836,20,0),"")</f>
        <v/>
      </c>
      <c r="J58" s="464"/>
      <c r="K58" s="463"/>
      <c r="L58" s="692"/>
      <c r="M58" s="692"/>
      <c r="N58" s="692" t="str">
        <f>IFERROR(VLOOKUP(J58,'03. THIẾT BỊ'!$B$1:$U$836,4,0),"")</f>
        <v/>
      </c>
      <c r="O58" s="692" t="str">
        <f>IFERROR(VLOOKUP(J58,'03. THIẾT BỊ'!$B$1:$U$836,7,0),"")</f>
        <v/>
      </c>
      <c r="P58" s="532"/>
      <c r="Q58" s="532"/>
      <c r="R58" s="532"/>
      <c r="S58" s="532" t="str">
        <f>IFERROR(VLOOKUP(J58,'03. THIẾT BỊ'!$B$1:$S$836,3,0),"")</f>
        <v/>
      </c>
      <c r="T58" s="693"/>
      <c r="U58" s="693"/>
    </row>
    <row r="59" hidden="1">
      <c r="A59" s="692" t="str">
        <f>IFERROR(VLOOKUP(B364,'03. THIẾT BỊ'!$B$1:$S$836,7,0),"")</f>
        <v/>
      </c>
      <c r="B59" s="464"/>
      <c r="C59" s="532" t="str">
        <f>IFERROR(VLOOKUP(J59,'03. THIẾT BỊ'!$B$1:$U$836,5,0),"")</f>
        <v/>
      </c>
      <c r="D59" s="463"/>
      <c r="E59" s="692"/>
      <c r="F59" s="692"/>
      <c r="G59" s="692"/>
      <c r="H59" s="692" t="str">
        <f>IFERROR(VLOOKUP(J59,'03. THIẾT BỊ'!$B$1:$U$836,19,0),"")</f>
        <v/>
      </c>
      <c r="I59" s="463" t="str">
        <f>IFERROR(VLOOKUP(J59,'03. THIẾT BỊ'!$B$1:$U$836,20,0),"")</f>
        <v/>
      </c>
      <c r="J59" s="464"/>
      <c r="K59" s="463"/>
      <c r="L59" s="692"/>
      <c r="M59" s="692"/>
      <c r="N59" s="692" t="str">
        <f>IFERROR(VLOOKUP(J59,'03. THIẾT BỊ'!$B$1:$U$836,4,0),"")</f>
        <v/>
      </c>
      <c r="O59" s="692" t="str">
        <f>IFERROR(VLOOKUP(J59,'03. THIẾT BỊ'!$B$1:$U$836,7,0),"")</f>
        <v/>
      </c>
      <c r="P59" s="532"/>
      <c r="Q59" s="532"/>
      <c r="R59" s="532"/>
      <c r="S59" s="532" t="str">
        <f>IFERROR(VLOOKUP(J59,'03. THIẾT BỊ'!$B$1:$S$836,3,0),"")</f>
        <v/>
      </c>
      <c r="T59" s="693"/>
      <c r="U59" s="693"/>
    </row>
    <row r="60" hidden="1">
      <c r="A60" s="692" t="str">
        <f>IFERROR(VLOOKUP(B365,'03. THIẾT BỊ'!$B$1:$S$836,7,0),"")</f>
        <v/>
      </c>
      <c r="B60" s="464"/>
      <c r="C60" s="532" t="str">
        <f>IFERROR(VLOOKUP(J60,'03. THIẾT BỊ'!$B$1:$U$836,5,0),"")</f>
        <v/>
      </c>
      <c r="D60" s="463"/>
      <c r="E60" s="692"/>
      <c r="F60" s="692"/>
      <c r="G60" s="692"/>
      <c r="H60" s="692" t="str">
        <f>IFERROR(VLOOKUP(J60,'03. THIẾT BỊ'!$B$1:$U$836,19,0),"")</f>
        <v/>
      </c>
      <c r="I60" s="463" t="str">
        <f>IFERROR(VLOOKUP(J60,'03. THIẾT BỊ'!$B$1:$U$836,20,0),"")</f>
        <v/>
      </c>
      <c r="J60" s="464"/>
      <c r="K60" s="463"/>
      <c r="L60" s="692"/>
      <c r="M60" s="692"/>
      <c r="N60" s="692" t="str">
        <f>IFERROR(VLOOKUP(J60,'03. THIẾT BỊ'!$B$1:$U$836,4,0),"")</f>
        <v/>
      </c>
      <c r="O60" s="692" t="str">
        <f>IFERROR(VLOOKUP(J60,'03. THIẾT BỊ'!$B$1:$U$836,7,0),"")</f>
        <v/>
      </c>
      <c r="P60" s="532"/>
      <c r="Q60" s="532"/>
      <c r="R60" s="532"/>
      <c r="S60" s="532" t="str">
        <f>IFERROR(VLOOKUP(J60,'03. THIẾT BỊ'!$B$1:$S$836,3,0),"")</f>
        <v/>
      </c>
      <c r="T60" s="693"/>
      <c r="U60" s="693"/>
    </row>
    <row r="61" hidden="1">
      <c r="A61" s="692" t="str">
        <f>IFERROR(VLOOKUP(B366,'03. THIẾT BỊ'!$B$1:$S$836,7,0),"")</f>
        <v/>
      </c>
      <c r="B61" s="464"/>
      <c r="C61" s="532" t="str">
        <f>IFERROR(VLOOKUP(J61,'03. THIẾT BỊ'!$B$1:$U$836,5,0),"")</f>
        <v/>
      </c>
      <c r="D61" s="463"/>
      <c r="E61" s="692"/>
      <c r="F61" s="692"/>
      <c r="G61" s="692"/>
      <c r="H61" s="692" t="str">
        <f>IFERROR(VLOOKUP(J61,'03. THIẾT BỊ'!$B$1:$U$836,19,0),"")</f>
        <v/>
      </c>
      <c r="I61" s="463" t="str">
        <f>IFERROR(VLOOKUP(J61,'03. THIẾT BỊ'!$B$1:$U$836,20,0),"")</f>
        <v/>
      </c>
      <c r="J61" s="464"/>
      <c r="K61" s="463"/>
      <c r="L61" s="692"/>
      <c r="M61" s="692"/>
      <c r="N61" s="692" t="str">
        <f>IFERROR(VLOOKUP(J61,'03. THIẾT BỊ'!$B$1:$U$836,4,0),"")</f>
        <v/>
      </c>
      <c r="O61" s="692" t="str">
        <f>IFERROR(VLOOKUP(J61,'03. THIẾT BỊ'!$B$1:$U$836,7,0),"")</f>
        <v/>
      </c>
      <c r="P61" s="532"/>
      <c r="Q61" s="532"/>
      <c r="R61" s="532"/>
      <c r="S61" s="532" t="str">
        <f>IFERROR(VLOOKUP(J61,'03. THIẾT BỊ'!$B$1:$S$836,3,0),"")</f>
        <v/>
      </c>
      <c r="T61" s="693"/>
      <c r="U61" s="693"/>
    </row>
    <row r="62" hidden="1">
      <c r="A62" s="692" t="str">
        <f>IFERROR(VLOOKUP(B367,'03. THIẾT BỊ'!$B$1:$S$836,7,0),"")</f>
        <v/>
      </c>
      <c r="B62" s="464"/>
      <c r="C62" s="532" t="str">
        <f>IFERROR(VLOOKUP(J62,'03. THIẾT BỊ'!$B$1:$U$836,5,0),"")</f>
        <v/>
      </c>
      <c r="D62" s="463"/>
      <c r="E62" s="692"/>
      <c r="F62" s="692"/>
      <c r="G62" s="692"/>
      <c r="H62" s="692" t="str">
        <f>IFERROR(VLOOKUP(J62,'03. THIẾT BỊ'!$B$1:$U$836,19,0),"")</f>
        <v/>
      </c>
      <c r="I62" s="463" t="str">
        <f>IFERROR(VLOOKUP(J62,'03. THIẾT BỊ'!$B$1:$U$836,20,0),"")</f>
        <v/>
      </c>
      <c r="J62" s="464"/>
      <c r="K62" s="463"/>
      <c r="L62" s="692"/>
      <c r="M62" s="692"/>
      <c r="N62" s="692" t="str">
        <f>IFERROR(VLOOKUP(J62,'03. THIẾT BỊ'!$B$1:$U$836,4,0),"")</f>
        <v/>
      </c>
      <c r="O62" s="692" t="str">
        <f>IFERROR(VLOOKUP(J62,'03. THIẾT BỊ'!$B$1:$U$836,7,0),"")</f>
        <v/>
      </c>
      <c r="P62" s="532"/>
      <c r="Q62" s="532"/>
      <c r="R62" s="532"/>
      <c r="S62" s="532" t="str">
        <f>IFERROR(VLOOKUP(J62,'03. THIẾT BỊ'!$B$1:$S$836,3,0),"")</f>
        <v/>
      </c>
      <c r="T62" s="693"/>
      <c r="U62" s="693"/>
    </row>
    <row r="63" hidden="1">
      <c r="A63" s="692" t="str">
        <f>IFERROR(VLOOKUP(B368,'03. THIẾT BỊ'!$B$1:$S$836,7,0),"")</f>
        <v/>
      </c>
      <c r="B63" s="464"/>
      <c r="C63" s="532" t="str">
        <f>IFERROR(VLOOKUP(J63,'03. THIẾT BỊ'!$B$1:$U$836,5,0),"")</f>
        <v/>
      </c>
      <c r="D63" s="463"/>
      <c r="E63" s="692"/>
      <c r="F63" s="692"/>
      <c r="G63" s="692"/>
      <c r="H63" s="692" t="str">
        <f>IFERROR(VLOOKUP(J63,'03. THIẾT BỊ'!$B$1:$U$836,19,0),"")</f>
        <v/>
      </c>
      <c r="I63" s="463" t="str">
        <f>IFERROR(VLOOKUP(J63,'03. THIẾT BỊ'!$B$1:$U$836,20,0),"")</f>
        <v/>
      </c>
      <c r="J63" s="464"/>
      <c r="K63" s="463"/>
      <c r="L63" s="692"/>
      <c r="M63" s="692"/>
      <c r="N63" s="692" t="str">
        <f>IFERROR(VLOOKUP(J63,'03. THIẾT BỊ'!$B$1:$U$836,4,0),"")</f>
        <v/>
      </c>
      <c r="O63" s="692" t="str">
        <f>IFERROR(VLOOKUP(J63,'03. THIẾT BỊ'!$B$1:$U$836,7,0),"")</f>
        <v/>
      </c>
      <c r="P63" s="532"/>
      <c r="Q63" s="532"/>
      <c r="R63" s="532"/>
      <c r="S63" s="532" t="str">
        <f>IFERROR(VLOOKUP(J63,'03. THIẾT BỊ'!$B$1:$S$836,3,0),"")</f>
        <v/>
      </c>
      <c r="T63" s="693"/>
      <c r="U63" s="693"/>
    </row>
    <row r="64" hidden="1">
      <c r="A64" s="692" t="str">
        <f>IFERROR(VLOOKUP(B369,'03. THIẾT BỊ'!$B$1:$S$836,7,0),"")</f>
        <v/>
      </c>
      <c r="B64" s="464"/>
      <c r="C64" s="532" t="str">
        <f>IFERROR(VLOOKUP(J64,'03. THIẾT BỊ'!$B$1:$U$836,5,0),"")</f>
        <v/>
      </c>
      <c r="D64" s="463"/>
      <c r="E64" s="692"/>
      <c r="F64" s="692"/>
      <c r="G64" s="692"/>
      <c r="H64" s="692" t="str">
        <f>IFERROR(VLOOKUP(J64,'03. THIẾT BỊ'!$B$1:$U$836,19,0),"")</f>
        <v/>
      </c>
      <c r="I64" s="463" t="str">
        <f>IFERROR(VLOOKUP(J64,'03. THIẾT BỊ'!$B$1:$U$836,20,0),"")</f>
        <v/>
      </c>
      <c r="J64" s="464"/>
      <c r="K64" s="463"/>
      <c r="L64" s="692"/>
      <c r="M64" s="692"/>
      <c r="N64" s="692" t="str">
        <f>IFERROR(VLOOKUP(J64,'03. THIẾT BỊ'!$B$1:$U$836,4,0),"")</f>
        <v/>
      </c>
      <c r="O64" s="692" t="str">
        <f>IFERROR(VLOOKUP(J64,'03. THIẾT BỊ'!$B$1:$U$836,7,0),"")</f>
        <v/>
      </c>
      <c r="P64" s="532"/>
      <c r="Q64" s="532"/>
      <c r="R64" s="532"/>
      <c r="S64" s="532" t="str">
        <f>IFERROR(VLOOKUP(J64,'03. THIẾT BỊ'!$B$1:$S$836,3,0),"")</f>
        <v/>
      </c>
      <c r="T64" s="693"/>
      <c r="U64" s="693"/>
    </row>
    <row r="65" hidden="1">
      <c r="A65" s="692" t="str">
        <f>IFERROR(VLOOKUP(B370,'03. THIẾT BỊ'!$B$1:$S$836,7,0),"")</f>
        <v/>
      </c>
      <c r="B65" s="464"/>
      <c r="C65" s="532" t="str">
        <f>IFERROR(VLOOKUP(J65,'03. THIẾT BỊ'!$B$1:$U$836,5,0),"")</f>
        <v/>
      </c>
      <c r="D65" s="463"/>
      <c r="E65" s="692"/>
      <c r="F65" s="692"/>
      <c r="G65" s="692"/>
      <c r="H65" s="692" t="str">
        <f>IFERROR(VLOOKUP(J65,'03. THIẾT BỊ'!$B$1:$U$836,19,0),"")</f>
        <v/>
      </c>
      <c r="I65" s="463" t="str">
        <f>IFERROR(VLOOKUP(J65,'03. THIẾT BỊ'!$B$1:$U$836,20,0),"")</f>
        <v/>
      </c>
      <c r="J65" s="464"/>
      <c r="K65" s="463"/>
      <c r="L65" s="692"/>
      <c r="M65" s="692"/>
      <c r="N65" s="692" t="str">
        <f>IFERROR(VLOOKUP(J65,'03. THIẾT BỊ'!$B$1:$U$836,4,0),"")</f>
        <v/>
      </c>
      <c r="O65" s="692" t="str">
        <f>IFERROR(VLOOKUP(J65,'03. THIẾT BỊ'!$B$1:$U$836,7,0),"")</f>
        <v/>
      </c>
      <c r="P65" s="532"/>
      <c r="Q65" s="532"/>
      <c r="R65" s="532"/>
      <c r="S65" s="532" t="str">
        <f>IFERROR(VLOOKUP(J65,'03. THIẾT BỊ'!$B$1:$S$836,3,0),"")</f>
        <v/>
      </c>
      <c r="T65" s="693"/>
      <c r="U65" s="693"/>
    </row>
    <row r="66" hidden="1">
      <c r="A66" s="692" t="str">
        <f>IFERROR(VLOOKUP(B371,'03. THIẾT BỊ'!$B$1:$S$836,7,0),"")</f>
        <v/>
      </c>
      <c r="B66" s="464"/>
      <c r="C66" s="532" t="str">
        <f>IFERROR(VLOOKUP(J66,'03. THIẾT BỊ'!$B$1:$U$836,5,0),"")</f>
        <v/>
      </c>
      <c r="D66" s="463"/>
      <c r="E66" s="692"/>
      <c r="F66" s="692"/>
      <c r="G66" s="692"/>
      <c r="H66" s="692" t="str">
        <f>IFERROR(VLOOKUP(J66,'03. THIẾT BỊ'!$B$1:$U$836,19,0),"")</f>
        <v/>
      </c>
      <c r="I66" s="463" t="str">
        <f>IFERROR(VLOOKUP(J66,'03. THIẾT BỊ'!$B$1:$U$836,20,0),"")</f>
        <v/>
      </c>
      <c r="J66" s="464"/>
      <c r="K66" s="463"/>
      <c r="L66" s="692"/>
      <c r="M66" s="692"/>
      <c r="N66" s="692" t="str">
        <f>IFERROR(VLOOKUP(J66,'03. THIẾT BỊ'!$B$1:$U$836,4,0),"")</f>
        <v/>
      </c>
      <c r="O66" s="692" t="str">
        <f>IFERROR(VLOOKUP(J66,'03. THIẾT BỊ'!$B$1:$U$836,7,0),"")</f>
        <v/>
      </c>
      <c r="P66" s="532"/>
      <c r="Q66" s="532"/>
      <c r="R66" s="532"/>
      <c r="S66" s="532" t="str">
        <f>IFERROR(VLOOKUP(J66,'03. THIẾT BỊ'!$B$1:$S$836,3,0),"")</f>
        <v/>
      </c>
      <c r="T66" s="693"/>
      <c r="U66" s="693"/>
    </row>
    <row r="67" hidden="1">
      <c r="A67" s="692" t="str">
        <f>IFERROR(VLOOKUP(B372,'03. THIẾT BỊ'!$B$1:$S$836,7,0),"")</f>
        <v/>
      </c>
      <c r="B67" s="464"/>
      <c r="C67" s="532" t="str">
        <f>IFERROR(VLOOKUP(J67,'03. THIẾT BỊ'!$B$1:$U$836,5,0),"")</f>
        <v/>
      </c>
      <c r="D67" s="463"/>
      <c r="E67" s="692"/>
      <c r="F67" s="692"/>
      <c r="G67" s="692"/>
      <c r="H67" s="692" t="str">
        <f>IFERROR(VLOOKUP(J67,'03. THIẾT BỊ'!$B$1:$U$836,19,0),"")</f>
        <v/>
      </c>
      <c r="I67" s="463" t="str">
        <f>IFERROR(VLOOKUP(J67,'03. THIẾT BỊ'!$B$1:$U$836,20,0),"")</f>
        <v/>
      </c>
      <c r="J67" s="464"/>
      <c r="K67" s="463"/>
      <c r="L67" s="692"/>
      <c r="M67" s="692"/>
      <c r="N67" s="692" t="str">
        <f>IFERROR(VLOOKUP(J67,'03. THIẾT BỊ'!$B$1:$U$836,4,0),"")</f>
        <v/>
      </c>
      <c r="O67" s="692" t="str">
        <f>IFERROR(VLOOKUP(J67,'03. THIẾT BỊ'!$B$1:$U$836,7,0),"")</f>
        <v/>
      </c>
      <c r="P67" s="532"/>
      <c r="Q67" s="532"/>
      <c r="R67" s="532"/>
      <c r="S67" s="532" t="str">
        <f>IFERROR(VLOOKUP(J67,'03. THIẾT BỊ'!$B$1:$S$836,3,0),"")</f>
        <v/>
      </c>
      <c r="T67" s="693"/>
      <c r="U67" s="693"/>
    </row>
    <row r="68" hidden="1">
      <c r="A68" s="692" t="str">
        <f>IFERROR(VLOOKUP(B373,'03. THIẾT BỊ'!$B$1:$S$836,7,0),"")</f>
        <v/>
      </c>
      <c r="B68" s="464"/>
      <c r="C68" s="532" t="str">
        <f>IFERROR(VLOOKUP(J68,'03. THIẾT BỊ'!$B$1:$U$836,5,0),"")</f>
        <v/>
      </c>
      <c r="D68" s="463"/>
      <c r="E68" s="692"/>
      <c r="F68" s="692"/>
      <c r="G68" s="692"/>
      <c r="H68" s="692" t="str">
        <f>IFERROR(VLOOKUP(J68,'03. THIẾT BỊ'!$B$1:$U$836,19,0),"")</f>
        <v/>
      </c>
      <c r="I68" s="463" t="str">
        <f>IFERROR(VLOOKUP(J68,'03. THIẾT BỊ'!$B$1:$U$836,20,0),"")</f>
        <v/>
      </c>
      <c r="J68" s="464"/>
      <c r="K68" s="463"/>
      <c r="L68" s="692"/>
      <c r="M68" s="692"/>
      <c r="N68" s="692" t="str">
        <f>IFERROR(VLOOKUP(J68,'03. THIẾT BỊ'!$B$1:$U$836,4,0),"")</f>
        <v/>
      </c>
      <c r="O68" s="692" t="str">
        <f>IFERROR(VLOOKUP(J68,'03. THIẾT BỊ'!$B$1:$U$836,7,0),"")</f>
        <v/>
      </c>
      <c r="P68" s="532"/>
      <c r="Q68" s="532"/>
      <c r="R68" s="532"/>
      <c r="S68" s="532" t="str">
        <f>IFERROR(VLOOKUP(J68,'03. THIẾT BỊ'!$B$1:$S$836,3,0),"")</f>
        <v/>
      </c>
      <c r="T68" s="693"/>
      <c r="U68" s="693"/>
    </row>
    <row r="69" hidden="1">
      <c r="A69" s="692" t="str">
        <f>IFERROR(VLOOKUP(B374,'03. THIẾT BỊ'!$B$1:$S$836,7,0),"")</f>
        <v/>
      </c>
      <c r="B69" s="464"/>
      <c r="C69" s="532" t="str">
        <f>IFERROR(VLOOKUP(J69,'03. THIẾT BỊ'!$B$1:$U$836,5,0),"")</f>
        <v/>
      </c>
      <c r="D69" s="463"/>
      <c r="E69" s="692"/>
      <c r="F69" s="692"/>
      <c r="G69" s="692"/>
      <c r="H69" s="692" t="str">
        <f>IFERROR(VLOOKUP(J69,'03. THIẾT BỊ'!$B$1:$U$836,19,0),"")</f>
        <v/>
      </c>
      <c r="I69" s="463" t="str">
        <f>IFERROR(VLOOKUP(J69,'03. THIẾT BỊ'!$B$1:$U$836,20,0),"")</f>
        <v/>
      </c>
      <c r="J69" s="464"/>
      <c r="K69" s="463"/>
      <c r="L69" s="692"/>
      <c r="M69" s="692"/>
      <c r="N69" s="692" t="str">
        <f>IFERROR(VLOOKUP(J69,'03. THIẾT BỊ'!$B$1:$U$836,4,0),"")</f>
        <v/>
      </c>
      <c r="O69" s="692" t="str">
        <f>IFERROR(VLOOKUP(J69,'03. THIẾT BỊ'!$B$1:$U$836,7,0),"")</f>
        <v/>
      </c>
      <c r="P69" s="532"/>
      <c r="Q69" s="532"/>
      <c r="R69" s="532"/>
      <c r="S69" s="532" t="str">
        <f>IFERROR(VLOOKUP(J69,'03. THIẾT BỊ'!$B$1:$S$836,3,0),"")</f>
        <v/>
      </c>
      <c r="T69" s="693"/>
      <c r="U69" s="693"/>
    </row>
    <row r="70" hidden="1">
      <c r="A70" s="692" t="str">
        <f>IFERROR(VLOOKUP(B375,'03. THIẾT BỊ'!$B$1:$S$836,7,0),"")</f>
        <v/>
      </c>
      <c r="B70" s="464"/>
      <c r="C70" s="532" t="str">
        <f>IFERROR(VLOOKUP(J70,'03. THIẾT BỊ'!$B$1:$U$836,5,0),"")</f>
        <v/>
      </c>
      <c r="D70" s="463"/>
      <c r="E70" s="692"/>
      <c r="F70" s="692"/>
      <c r="G70" s="692"/>
      <c r="H70" s="692" t="str">
        <f>IFERROR(VLOOKUP(J70,'03. THIẾT BỊ'!$B$1:$U$836,19,0),"")</f>
        <v/>
      </c>
      <c r="I70" s="463" t="str">
        <f>IFERROR(VLOOKUP(J70,'03. THIẾT BỊ'!$B$1:$U$836,20,0),"")</f>
        <v/>
      </c>
      <c r="J70" s="464"/>
      <c r="K70" s="463"/>
      <c r="L70" s="692"/>
      <c r="M70" s="692"/>
      <c r="N70" s="692" t="str">
        <f>IFERROR(VLOOKUP(J70,'03. THIẾT BỊ'!$B$1:$U$836,4,0),"")</f>
        <v/>
      </c>
      <c r="O70" s="692" t="str">
        <f>IFERROR(VLOOKUP(J70,'03. THIẾT BỊ'!$B$1:$U$836,7,0),"")</f>
        <v/>
      </c>
      <c r="P70" s="532"/>
      <c r="Q70" s="532"/>
      <c r="R70" s="532"/>
      <c r="S70" s="532" t="str">
        <f>IFERROR(VLOOKUP(J70,'03. THIẾT BỊ'!$B$1:$S$836,3,0),"")</f>
        <v/>
      </c>
      <c r="T70" s="693"/>
      <c r="U70" s="693"/>
    </row>
    <row r="71" hidden="1">
      <c r="A71" s="692" t="str">
        <f>IFERROR(VLOOKUP(B376,'03. THIẾT BỊ'!$B$1:$S$836,7,0),"")</f>
        <v/>
      </c>
      <c r="B71" s="464"/>
      <c r="C71" s="532" t="str">
        <f>IFERROR(VLOOKUP(J71,'03. THIẾT BỊ'!$B$1:$U$836,5,0),"")</f>
        <v/>
      </c>
      <c r="D71" s="463"/>
      <c r="E71" s="692"/>
      <c r="F71" s="692"/>
      <c r="G71" s="692"/>
      <c r="H71" s="692" t="str">
        <f>IFERROR(VLOOKUP(J71,'03. THIẾT BỊ'!$B$1:$U$836,19,0),"")</f>
        <v/>
      </c>
      <c r="I71" s="463" t="str">
        <f>IFERROR(VLOOKUP(J71,'03. THIẾT BỊ'!$B$1:$U$836,20,0),"")</f>
        <v/>
      </c>
      <c r="J71" s="464"/>
      <c r="K71" s="463"/>
      <c r="L71" s="692"/>
      <c r="M71" s="692"/>
      <c r="N71" s="692" t="str">
        <f>IFERROR(VLOOKUP(J71,'03. THIẾT BỊ'!$B$1:$U$836,4,0),"")</f>
        <v/>
      </c>
      <c r="O71" s="692" t="str">
        <f>IFERROR(VLOOKUP(J71,'03. THIẾT BỊ'!$B$1:$U$836,7,0),"")</f>
        <v/>
      </c>
      <c r="P71" s="532"/>
      <c r="Q71" s="532"/>
      <c r="R71" s="532"/>
      <c r="S71" s="532" t="str">
        <f>IFERROR(VLOOKUP(J71,'03. THIẾT BỊ'!$B$1:$S$836,3,0),"")</f>
        <v/>
      </c>
      <c r="T71" s="693"/>
      <c r="U71" s="693"/>
    </row>
    <row r="72" hidden="1">
      <c r="A72" s="692" t="str">
        <f>IFERROR(VLOOKUP(B377,'03. THIẾT BỊ'!$B$1:$S$836,7,0),"")</f>
        <v/>
      </c>
      <c r="B72" s="464"/>
      <c r="C72" s="532" t="str">
        <f>IFERROR(VLOOKUP(J72,'03. THIẾT BỊ'!$B$1:$U$836,5,0),"")</f>
        <v/>
      </c>
      <c r="D72" s="463"/>
      <c r="E72" s="692"/>
      <c r="F72" s="692"/>
      <c r="G72" s="692"/>
      <c r="H72" s="692" t="str">
        <f>IFERROR(VLOOKUP(J72,'03. THIẾT BỊ'!$B$1:$U$836,19,0),"")</f>
        <v/>
      </c>
      <c r="I72" s="463" t="str">
        <f>IFERROR(VLOOKUP(J72,'03. THIẾT BỊ'!$B$1:$U$836,20,0),"")</f>
        <v/>
      </c>
      <c r="J72" s="464"/>
      <c r="K72" s="463"/>
      <c r="L72" s="692"/>
      <c r="M72" s="692"/>
      <c r="N72" s="692" t="str">
        <f>IFERROR(VLOOKUP(J72,'03. THIẾT BỊ'!$B$1:$U$836,4,0),"")</f>
        <v/>
      </c>
      <c r="O72" s="692" t="str">
        <f>IFERROR(VLOOKUP(J72,'03. THIẾT BỊ'!$B$1:$U$836,7,0),"")</f>
        <v/>
      </c>
      <c r="P72" s="532"/>
      <c r="Q72" s="532"/>
      <c r="R72" s="532"/>
      <c r="S72" s="532" t="str">
        <f>IFERROR(VLOOKUP(J72,'03. THIẾT BỊ'!$B$1:$S$836,3,0),"")</f>
        <v/>
      </c>
      <c r="T72" s="693"/>
      <c r="U72" s="693"/>
    </row>
    <row r="73" hidden="1">
      <c r="A73" s="692" t="str">
        <f>IFERROR(VLOOKUP(B378,'03. THIẾT BỊ'!$B$1:$S$836,7,0),"")</f>
        <v/>
      </c>
      <c r="B73" s="464"/>
      <c r="C73" s="532" t="str">
        <f>IFERROR(VLOOKUP(J73,'03. THIẾT BỊ'!$B$1:$U$836,5,0),"")</f>
        <v/>
      </c>
      <c r="D73" s="463"/>
      <c r="E73" s="692"/>
      <c r="F73" s="692"/>
      <c r="G73" s="692"/>
      <c r="H73" s="692" t="str">
        <f>IFERROR(VLOOKUP(J73,'03. THIẾT BỊ'!$B$1:$U$836,19,0),"")</f>
        <v/>
      </c>
      <c r="I73" s="463" t="str">
        <f>IFERROR(VLOOKUP(J73,'03. THIẾT BỊ'!$B$1:$U$836,20,0),"")</f>
        <v/>
      </c>
      <c r="J73" s="464"/>
      <c r="K73" s="463"/>
      <c r="L73" s="692"/>
      <c r="M73" s="692"/>
      <c r="N73" s="692" t="str">
        <f>IFERROR(VLOOKUP(J73,'03. THIẾT BỊ'!$B$1:$U$836,4,0),"")</f>
        <v/>
      </c>
      <c r="O73" s="692" t="str">
        <f>IFERROR(VLOOKUP(J73,'03. THIẾT BỊ'!$B$1:$U$836,7,0),"")</f>
        <v/>
      </c>
      <c r="P73" s="532"/>
      <c r="Q73" s="532"/>
      <c r="R73" s="532"/>
      <c r="S73" s="532" t="str">
        <f>IFERROR(VLOOKUP(J73,'03. THIẾT BỊ'!$B$1:$S$836,3,0),"")</f>
        <v/>
      </c>
      <c r="T73" s="693"/>
      <c r="U73" s="693"/>
    </row>
    <row r="74" hidden="1">
      <c r="A74" s="692" t="str">
        <f>IFERROR(VLOOKUP(B379,'03. THIẾT BỊ'!$B$1:$S$836,7,0),"")</f>
        <v/>
      </c>
      <c r="B74" s="464"/>
      <c r="C74" s="532" t="str">
        <f>IFERROR(VLOOKUP(J74,'03. THIẾT BỊ'!$B$1:$U$836,5,0),"")</f>
        <v/>
      </c>
      <c r="D74" s="463"/>
      <c r="E74" s="692"/>
      <c r="F74" s="692"/>
      <c r="G74" s="692"/>
      <c r="H74" s="692" t="str">
        <f>IFERROR(VLOOKUP(J74,'03. THIẾT BỊ'!$B$1:$U$836,19,0),"")</f>
        <v/>
      </c>
      <c r="I74" s="463" t="str">
        <f>IFERROR(VLOOKUP(J74,'03. THIẾT BỊ'!$B$1:$U$836,20,0),"")</f>
        <v/>
      </c>
      <c r="J74" s="464"/>
      <c r="K74" s="463"/>
      <c r="L74" s="692"/>
      <c r="M74" s="692"/>
      <c r="N74" s="692" t="str">
        <f>IFERROR(VLOOKUP(J74,'03. THIẾT BỊ'!$B$1:$U$836,4,0),"")</f>
        <v/>
      </c>
      <c r="O74" s="692" t="str">
        <f>IFERROR(VLOOKUP(J74,'03. THIẾT BỊ'!$B$1:$U$836,7,0),"")</f>
        <v/>
      </c>
      <c r="P74" s="532"/>
      <c r="Q74" s="532"/>
      <c r="R74" s="532"/>
      <c r="S74" s="532" t="str">
        <f>IFERROR(VLOOKUP(J74,'03. THIẾT BỊ'!$B$1:$S$836,3,0),"")</f>
        <v/>
      </c>
      <c r="T74" s="693"/>
      <c r="U74" s="693"/>
    </row>
    <row r="75" hidden="1">
      <c r="A75" s="692" t="str">
        <f>IFERROR(VLOOKUP(B380,'03. THIẾT BỊ'!$B$1:$S$836,7,0),"")</f>
        <v/>
      </c>
      <c r="B75" s="464"/>
      <c r="C75" s="532" t="str">
        <f>IFERROR(VLOOKUP(J75,'03. THIẾT BỊ'!$B$1:$U$836,5,0),"")</f>
        <v/>
      </c>
      <c r="D75" s="463"/>
      <c r="E75" s="692"/>
      <c r="F75" s="692"/>
      <c r="G75" s="692"/>
      <c r="H75" s="692" t="str">
        <f>IFERROR(VLOOKUP(J75,'03. THIẾT BỊ'!$B$1:$U$836,19,0),"")</f>
        <v/>
      </c>
      <c r="I75" s="463" t="str">
        <f>IFERROR(VLOOKUP(J75,'03. THIẾT BỊ'!$B$1:$U$836,20,0),"")</f>
        <v/>
      </c>
      <c r="J75" s="464"/>
      <c r="K75" s="463"/>
      <c r="L75" s="692"/>
      <c r="M75" s="692"/>
      <c r="N75" s="692" t="str">
        <f>IFERROR(VLOOKUP(J75,'03. THIẾT BỊ'!$B$1:$U$836,4,0),"")</f>
        <v/>
      </c>
      <c r="O75" s="692" t="str">
        <f>IFERROR(VLOOKUP(J75,'03. THIẾT BỊ'!$B$1:$U$836,7,0),"")</f>
        <v/>
      </c>
      <c r="P75" s="532"/>
      <c r="Q75" s="532"/>
      <c r="R75" s="532"/>
      <c r="S75" s="532" t="str">
        <f>IFERROR(VLOOKUP(J75,'03. THIẾT BỊ'!$B$1:$S$836,3,0),"")</f>
        <v/>
      </c>
      <c r="T75" s="693"/>
      <c r="U75" s="693"/>
    </row>
    <row r="76" hidden="1">
      <c r="A76" s="692" t="str">
        <f>IFERROR(VLOOKUP(B381,'03. THIẾT BỊ'!$B$1:$S$836,7,0),"")</f>
        <v/>
      </c>
      <c r="B76" s="464"/>
      <c r="C76" s="532" t="str">
        <f>IFERROR(VLOOKUP(J76,'03. THIẾT BỊ'!$B$1:$U$836,5,0),"")</f>
        <v/>
      </c>
      <c r="D76" s="463"/>
      <c r="E76" s="692"/>
      <c r="F76" s="692"/>
      <c r="G76" s="692"/>
      <c r="H76" s="692" t="str">
        <f>IFERROR(VLOOKUP(J76,'03. THIẾT BỊ'!$B$1:$U$836,19,0),"")</f>
        <v/>
      </c>
      <c r="I76" s="463" t="str">
        <f>IFERROR(VLOOKUP(J76,'03. THIẾT BỊ'!$B$1:$U$836,20,0),"")</f>
        <v/>
      </c>
      <c r="J76" s="464"/>
      <c r="K76" s="463"/>
      <c r="L76" s="692"/>
      <c r="M76" s="692"/>
      <c r="N76" s="692" t="str">
        <f>IFERROR(VLOOKUP(J76,'03. THIẾT BỊ'!$B$1:$U$836,4,0),"")</f>
        <v/>
      </c>
      <c r="O76" s="692" t="str">
        <f>IFERROR(VLOOKUP(J76,'03. THIẾT BỊ'!$B$1:$U$836,7,0),"")</f>
        <v/>
      </c>
      <c r="P76" s="532"/>
      <c r="Q76" s="532"/>
      <c r="R76" s="532"/>
      <c r="S76" s="532" t="str">
        <f>IFERROR(VLOOKUP(J76,'03. THIẾT BỊ'!$B$1:$S$836,3,0),"")</f>
        <v/>
      </c>
      <c r="T76" s="693"/>
      <c r="U76" s="693"/>
    </row>
    <row r="77" hidden="1">
      <c r="A77" s="692" t="str">
        <f>IFERROR(VLOOKUP(#REF!,'03. THIẾT BỊ'!$B$1:$S$836,7,0),"")</f>
        <v/>
      </c>
      <c r="B77" s="464"/>
      <c r="C77" s="532" t="str">
        <f>IFERROR(VLOOKUP(J77,'03. THIẾT BỊ'!$B$1:$U$836,5,0),"")</f>
        <v/>
      </c>
      <c r="D77" s="463"/>
      <c r="E77" s="692"/>
      <c r="F77" s="692"/>
      <c r="G77" s="692"/>
      <c r="H77" s="692" t="str">
        <f>IFERROR(VLOOKUP(J77,'03. THIẾT BỊ'!$B$1:$U$836,19,0),"")</f>
        <v/>
      </c>
      <c r="I77" s="463" t="str">
        <f>IFERROR(VLOOKUP(J77,'03. THIẾT BỊ'!$B$1:$U$836,20,0),"")</f>
        <v/>
      </c>
      <c r="J77" s="464"/>
      <c r="K77" s="463"/>
      <c r="L77" s="692"/>
      <c r="M77" s="692"/>
      <c r="N77" s="692" t="str">
        <f>IFERROR(VLOOKUP(J77,'03. THIẾT BỊ'!$B$1:$U$836,4,0),"")</f>
        <v/>
      </c>
      <c r="O77" s="692" t="str">
        <f>IFERROR(VLOOKUP(J77,'03. THIẾT BỊ'!$B$1:$U$836,7,0),"")</f>
        <v/>
      </c>
      <c r="P77" s="532"/>
      <c r="Q77" s="532"/>
      <c r="R77" s="532"/>
      <c r="S77" s="532" t="str">
        <f>IFERROR(VLOOKUP(J77,'03. THIẾT BỊ'!$B$1:$S$836,3,0),"")</f>
        <v/>
      </c>
      <c r="T77" s="693"/>
      <c r="U77" s="693"/>
    </row>
    <row r="78" hidden="1">
      <c r="A78" s="692" t="str">
        <f>IFERROR(VLOOKUP(B382,'03. THIẾT BỊ'!$B$1:$S$836,7,0),"")</f>
        <v/>
      </c>
      <c r="B78" s="464"/>
      <c r="C78" s="532" t="str">
        <f>IFERROR(VLOOKUP(J78,'03. THIẾT BỊ'!$B$1:$U$836,5,0),"")</f>
        <v/>
      </c>
      <c r="D78" s="463"/>
      <c r="E78" s="692"/>
      <c r="F78" s="692"/>
      <c r="G78" s="692"/>
      <c r="H78" s="692" t="str">
        <f>IFERROR(VLOOKUP(J78,'03. THIẾT BỊ'!$B$1:$U$836,19,0),"")</f>
        <v/>
      </c>
      <c r="I78" s="463" t="str">
        <f>IFERROR(VLOOKUP(J78,'03. THIẾT BỊ'!$B$1:$U$836,20,0),"")</f>
        <v/>
      </c>
      <c r="J78" s="464"/>
      <c r="K78" s="463"/>
      <c r="L78" s="692"/>
      <c r="M78" s="692"/>
      <c r="N78" s="692" t="str">
        <f>IFERROR(VLOOKUP(J78,'03. THIẾT BỊ'!$B$1:$U$836,4,0),"")</f>
        <v/>
      </c>
      <c r="O78" s="692" t="str">
        <f>IFERROR(VLOOKUP(J78,'03. THIẾT BỊ'!$B$1:$U$836,7,0),"")</f>
        <v/>
      </c>
      <c r="P78" s="532"/>
      <c r="Q78" s="532"/>
      <c r="R78" s="532"/>
      <c r="S78" s="532" t="str">
        <f>IFERROR(VLOOKUP(J78,'03. THIẾT BỊ'!$B$1:$S$836,3,0),"")</f>
        <v/>
      </c>
      <c r="T78" s="693"/>
      <c r="U78" s="693"/>
    </row>
    <row r="79">
      <c r="A79" s="707" t="s">
        <v>5805</v>
      </c>
      <c r="B79" s="23"/>
      <c r="C79" s="30"/>
      <c r="D79" s="687">
        <f>SUM(D80:D105)</f>
        <v>267</v>
      </c>
      <c r="E79" s="688"/>
      <c r="F79" s="688"/>
      <c r="G79" s="688"/>
      <c r="H79" s="688"/>
      <c r="I79" s="688"/>
      <c r="J79" s="689"/>
      <c r="K79" s="688"/>
      <c r="L79" s="688"/>
      <c r="M79" s="688"/>
      <c r="N79" s="689"/>
      <c r="O79" s="689"/>
      <c r="P79" s="689"/>
      <c r="Q79" s="689"/>
      <c r="R79" s="689"/>
      <c r="S79" s="689"/>
      <c r="T79" s="690"/>
      <c r="U79" s="690"/>
    </row>
    <row r="80">
      <c r="A80" s="692"/>
      <c r="B80" s="708" t="s">
        <v>5806</v>
      </c>
      <c r="C80" s="532" t="str">
        <f>IFERROR(VLOOKUP(J80,'03. THIẾT BỊ'!$B$1:$U$836,5,0),"")</f>
        <v>Máy phun thuốc RELOAD 7045</v>
      </c>
      <c r="D80" s="463">
        <v>1.0</v>
      </c>
      <c r="E80" s="692"/>
      <c r="F80" s="463" t="s">
        <v>4158</v>
      </c>
      <c r="G80" s="692"/>
      <c r="H80" s="692">
        <f>IFERROR(VLOOKUP(J80,'03. THIẾT BỊ'!$B$1:$U$836,19,0),"")</f>
        <v>1.2</v>
      </c>
      <c r="I80" s="463" t="str">
        <f>IFERROR(VLOOKUP(J80,'03. THIẾT BỊ'!$B$1:$U$836,20,0),"")</f>
        <v/>
      </c>
      <c r="J80" s="464" t="s">
        <v>4052</v>
      </c>
      <c r="K80" s="463" t="s">
        <v>4158</v>
      </c>
      <c r="L80" s="692"/>
      <c r="M80" s="692"/>
      <c r="N80" s="692" t="str">
        <f>IFERROR(VLOOKUP(J80,'03. THIẾT BỊ'!$B$1:$U$836,4,0),"")</f>
        <v>MUA MỚI</v>
      </c>
      <c r="O80" s="692" t="str">
        <f>IFERROR(VLOOKUP(J80,'03. THIẾT BỊ'!$B$1:$U$836,7,0),"")</f>
        <v>XN Chuối DP1</v>
      </c>
      <c r="P80" s="559" t="str">
        <f>IFERROR(VLOOKUP(O80,'NS QUẢN LÝ CG'!$A$4:$D$36,2,0),"")</f>
        <v>Thái Cao Lưu</v>
      </c>
      <c r="Q80" s="559" t="str">
        <f>IFERROR(VLOOKUP(O80,'NS QUẢN LÝ CG'!$A$4:$D$36,4,0),"")</f>
        <v>Lô 21 DP1</v>
      </c>
      <c r="R80" s="559" t="str">
        <f>IFERROR(VLOOKUP(O80,'NS QUẢN LÝ CG'!$A$4:$C$36,3,0),"")</f>
        <v>0387783316</v>
      </c>
      <c r="S80" s="532" t="str">
        <f>IFERROR(VLOOKUP(J80,'03. THIẾT BỊ'!$B$1:$S$836,3,0),"")</f>
        <v/>
      </c>
      <c r="T80" s="693" t="str">
        <f t="shared" ref="T80:T100" si="2">SWITCH(LEFT(S80,3),"A22","ADM","A23","DP","A24","LP","")</f>
        <v/>
      </c>
      <c r="U80" s="693"/>
    </row>
    <row r="81">
      <c r="A81" s="692"/>
      <c r="B81" s="694"/>
      <c r="C81" s="532" t="str">
        <f>IFERROR(VLOOKUP(J81,'03. THIẾT BỊ'!$B$1:$U$836,5,0),"")</f>
        <v>Máy phun thuốc RELOAD 7045</v>
      </c>
      <c r="D81" s="463">
        <v>1.0</v>
      </c>
      <c r="E81" s="692"/>
      <c r="F81" s="463" t="s">
        <v>4158</v>
      </c>
      <c r="G81" s="692"/>
      <c r="H81" s="692">
        <f>IFERROR(VLOOKUP(J81,'03. THIẾT BỊ'!$B$1:$U$836,19,0),"")</f>
        <v>1.2</v>
      </c>
      <c r="I81" s="463" t="str">
        <f>IFERROR(VLOOKUP(J81,'03. THIẾT BỊ'!$B$1:$U$836,20,0),"")</f>
        <v/>
      </c>
      <c r="J81" s="464" t="s">
        <v>4057</v>
      </c>
      <c r="K81" s="463" t="s">
        <v>4158</v>
      </c>
      <c r="L81" s="692"/>
      <c r="M81" s="692"/>
      <c r="N81" s="692" t="str">
        <f>IFERROR(VLOOKUP(J81,'03. THIẾT BỊ'!$B$1:$U$836,4,0),"")</f>
        <v>MUA MỚI</v>
      </c>
      <c r="O81" s="692" t="str">
        <f>IFERROR(VLOOKUP(J81,'03. THIẾT BỊ'!$B$1:$U$836,7,0),"")</f>
        <v>XN Chuối DP1</v>
      </c>
      <c r="P81" s="559" t="str">
        <f>IFERROR(VLOOKUP(O81,'NS QUẢN LÝ CG'!$A$4:$D$36,2,0),"")</f>
        <v>Thái Cao Lưu</v>
      </c>
      <c r="Q81" s="559" t="str">
        <f>IFERROR(VLOOKUP(O81,'NS QUẢN LÝ CG'!$A$4:$D$36,4,0),"")</f>
        <v>Lô 21 DP1</v>
      </c>
      <c r="R81" s="559" t="str">
        <f>IFERROR(VLOOKUP(O81,'NS QUẢN LÝ CG'!$A$4:$C$36,3,0),"")</f>
        <v>0387783316</v>
      </c>
      <c r="S81" s="532" t="str">
        <f>IFERROR(VLOOKUP(J81,'03. THIẾT BỊ'!$B$1:$S$836,3,0),"")</f>
        <v/>
      </c>
      <c r="T81" s="693" t="str">
        <f t="shared" si="2"/>
        <v/>
      </c>
      <c r="U81" s="693"/>
    </row>
    <row r="82">
      <c r="A82" s="692"/>
      <c r="B82" s="694"/>
      <c r="C82" s="532" t="str">
        <f>IFERROR(VLOOKUP(J82,'03. THIẾT BỊ'!$B$1:$U$836,5,0),"")</f>
        <v>Máy phun thuốc RELOAD 7045</v>
      </c>
      <c r="D82" s="463">
        <v>1.0</v>
      </c>
      <c r="E82" s="692"/>
      <c r="F82" s="463" t="s">
        <v>4158</v>
      </c>
      <c r="G82" s="692"/>
      <c r="H82" s="692">
        <f>IFERROR(VLOOKUP(J82,'03. THIẾT BỊ'!$B$1:$U$836,19,0),"")</f>
        <v>1.2</v>
      </c>
      <c r="I82" s="463" t="str">
        <f>IFERROR(VLOOKUP(J82,'03. THIẾT BỊ'!$B$1:$U$836,20,0),"")</f>
        <v/>
      </c>
      <c r="J82" s="464" t="s">
        <v>4059</v>
      </c>
      <c r="K82" s="463" t="s">
        <v>4158</v>
      </c>
      <c r="L82" s="692"/>
      <c r="M82" s="692"/>
      <c r="N82" s="692" t="str">
        <f>IFERROR(VLOOKUP(J82,'03. THIẾT BỊ'!$B$1:$U$836,4,0),"")</f>
        <v>MUA MỚI</v>
      </c>
      <c r="O82" s="692" t="str">
        <f>IFERROR(VLOOKUP(J82,'03. THIẾT BỊ'!$B$1:$U$836,7,0),"")</f>
        <v>XN Chuối DP1</v>
      </c>
      <c r="P82" s="559" t="str">
        <f>IFERROR(VLOOKUP(O82,'NS QUẢN LÝ CG'!$A$4:$D$36,2,0),"")</f>
        <v>Thái Cao Lưu</v>
      </c>
      <c r="Q82" s="559" t="str">
        <f>IFERROR(VLOOKUP(O82,'NS QUẢN LÝ CG'!$A$4:$D$36,4,0),"")</f>
        <v>Lô 21 DP1</v>
      </c>
      <c r="R82" s="559" t="str">
        <f>IFERROR(VLOOKUP(O82,'NS QUẢN LÝ CG'!$A$4:$C$36,3,0),"")</f>
        <v>0387783316</v>
      </c>
      <c r="S82" s="532" t="str">
        <f>IFERROR(VLOOKUP(J82,'03. THIẾT BỊ'!$B$1:$S$836,3,0),"")</f>
        <v/>
      </c>
      <c r="T82" s="693" t="str">
        <f t="shared" si="2"/>
        <v/>
      </c>
      <c r="U82" s="693"/>
    </row>
    <row r="83">
      <c r="A83" s="692"/>
      <c r="B83" s="694"/>
      <c r="C83" s="532" t="str">
        <f>IFERROR(VLOOKUP(J83,'03. THIẾT BỊ'!$B$1:$U$836,5,0),"")</f>
        <v>Máy phun thuốc RELOAD 7045</v>
      </c>
      <c r="D83" s="463">
        <v>1.0</v>
      </c>
      <c r="E83" s="692"/>
      <c r="F83" s="463" t="s">
        <v>4158</v>
      </c>
      <c r="G83" s="692"/>
      <c r="H83" s="692">
        <f>IFERROR(VLOOKUP(J83,'03. THIẾT BỊ'!$B$1:$U$836,19,0),"")</f>
        <v>1.2</v>
      </c>
      <c r="I83" s="463" t="str">
        <f>IFERROR(VLOOKUP(J83,'03. THIẾT BỊ'!$B$1:$U$836,20,0),"")</f>
        <v/>
      </c>
      <c r="J83" s="464" t="s">
        <v>4061</v>
      </c>
      <c r="K83" s="463" t="s">
        <v>4158</v>
      </c>
      <c r="L83" s="692"/>
      <c r="M83" s="692"/>
      <c r="N83" s="692" t="str">
        <f>IFERROR(VLOOKUP(J83,'03. THIẾT BỊ'!$B$1:$U$836,4,0),"")</f>
        <v>MUA MỚI</v>
      </c>
      <c r="O83" s="692" t="str">
        <f>IFERROR(VLOOKUP(J83,'03. THIẾT BỊ'!$B$1:$U$836,7,0),"")</f>
        <v>XN Chuối DP1</v>
      </c>
      <c r="P83" s="559" t="str">
        <f>IFERROR(VLOOKUP(O83,'NS QUẢN LÝ CG'!$A$4:$D$36,2,0),"")</f>
        <v>Thái Cao Lưu</v>
      </c>
      <c r="Q83" s="559" t="str">
        <f>IFERROR(VLOOKUP(O83,'NS QUẢN LÝ CG'!$A$4:$D$36,4,0),"")</f>
        <v>Lô 21 DP1</v>
      </c>
      <c r="R83" s="559" t="str">
        <f>IFERROR(VLOOKUP(O83,'NS QUẢN LÝ CG'!$A$4:$C$36,3,0),"")</f>
        <v>0387783316</v>
      </c>
      <c r="S83" s="532" t="str">
        <f>IFERROR(VLOOKUP(J83,'03. THIẾT BỊ'!$B$1:$S$836,3,0),"")</f>
        <v/>
      </c>
      <c r="T83" s="693" t="str">
        <f t="shared" si="2"/>
        <v/>
      </c>
      <c r="U83" s="693"/>
    </row>
    <row r="84">
      <c r="A84" s="692"/>
      <c r="B84" s="694"/>
      <c r="C84" s="532" t="str">
        <f>IFERROR(VLOOKUP(J84,'03. THIẾT BỊ'!$B$1:$U$836,5,0),"")</f>
        <v>Máy phun thuốc RELOAD 7045</v>
      </c>
      <c r="D84" s="463">
        <v>1.0</v>
      </c>
      <c r="E84" s="692"/>
      <c r="F84" s="463" t="s">
        <v>4158</v>
      </c>
      <c r="G84" s="692"/>
      <c r="H84" s="692">
        <f>IFERROR(VLOOKUP(J84,'03. THIẾT BỊ'!$B$1:$U$836,19,0),"")</f>
        <v>1.2</v>
      </c>
      <c r="I84" s="463" t="str">
        <f>IFERROR(VLOOKUP(J84,'03. THIẾT BỊ'!$B$1:$U$836,20,0),"")</f>
        <v/>
      </c>
      <c r="J84" s="464" t="s">
        <v>4276</v>
      </c>
      <c r="K84" s="463" t="s">
        <v>4158</v>
      </c>
      <c r="L84" s="692"/>
      <c r="M84" s="692"/>
      <c r="N84" s="692" t="str">
        <f>IFERROR(VLOOKUP(J84,'03. THIẾT BỊ'!$B$1:$U$836,4,0),"")</f>
        <v>MUA MỚI</v>
      </c>
      <c r="O84" s="692" t="str">
        <f>IFERROR(VLOOKUP(J84,'03. THIẾT BỊ'!$B$1:$U$836,7,0),"")</f>
        <v>XN Chuối DP3</v>
      </c>
      <c r="P84" s="559" t="str">
        <f>IFERROR(VLOOKUP(O84,'NS QUẢN LÝ CG'!$A$4:$D$36,2,0),"")</f>
        <v>Thạch Ngọc Vững</v>
      </c>
      <c r="Q84" s="559" t="str">
        <f>IFERROR(VLOOKUP(O84,'NS QUẢN LÝ CG'!$A$4:$D$36,4,0),"")</f>
        <v>Lô 28 DP3</v>
      </c>
      <c r="R84" s="559" t="str">
        <f>IFERROR(VLOOKUP(O84,'NS QUẢN LÝ CG'!$A$4:$C$36,3,0),"")</f>
        <v>0975905267</v>
      </c>
      <c r="S84" s="532" t="str">
        <f>IFERROR(VLOOKUP(J84,'03. THIẾT BỊ'!$B$1:$S$836,3,0),"")</f>
        <v/>
      </c>
      <c r="T84" s="693" t="str">
        <f t="shared" si="2"/>
        <v/>
      </c>
      <c r="U84" s="693"/>
    </row>
    <row r="85">
      <c r="A85" s="692"/>
      <c r="B85" s="694"/>
      <c r="C85" s="532" t="str">
        <f>IFERROR(VLOOKUP(J85,'03. THIẾT BỊ'!$B$1:$U$836,5,0),"")</f>
        <v>Máy phun thuốc RELOAD 7045</v>
      </c>
      <c r="D85" s="463">
        <v>1.0</v>
      </c>
      <c r="E85" s="692"/>
      <c r="F85" s="463" t="s">
        <v>4158</v>
      </c>
      <c r="G85" s="692"/>
      <c r="H85" s="692">
        <f>IFERROR(VLOOKUP(J85,'03. THIẾT BỊ'!$B$1:$U$836,19,0),"")</f>
        <v>1.2</v>
      </c>
      <c r="I85" s="463" t="str">
        <f>IFERROR(VLOOKUP(J85,'03. THIẾT BỊ'!$B$1:$U$836,20,0),"")</f>
        <v/>
      </c>
      <c r="J85" s="464" t="s">
        <v>4278</v>
      </c>
      <c r="K85" s="463" t="s">
        <v>4158</v>
      </c>
      <c r="L85" s="692"/>
      <c r="M85" s="692"/>
      <c r="N85" s="692" t="str">
        <f>IFERROR(VLOOKUP(J85,'03. THIẾT BỊ'!$B$1:$U$836,4,0),"")</f>
        <v>MUA MỚI</v>
      </c>
      <c r="O85" s="692" t="str">
        <f>IFERROR(VLOOKUP(J85,'03. THIẾT BỊ'!$B$1:$U$836,7,0),"")</f>
        <v>XN Chuối DP3</v>
      </c>
      <c r="P85" s="559" t="str">
        <f>IFERROR(VLOOKUP(O85,'NS QUẢN LÝ CG'!$A$4:$D$36,2,0),"")</f>
        <v>Thạch Ngọc Vững</v>
      </c>
      <c r="Q85" s="559" t="str">
        <f>IFERROR(VLOOKUP(O85,'NS QUẢN LÝ CG'!$A$4:$D$36,4,0),"")</f>
        <v>Lô 28 DP3</v>
      </c>
      <c r="R85" s="559" t="str">
        <f>IFERROR(VLOOKUP(O85,'NS QUẢN LÝ CG'!$A$4:$C$36,3,0),"")</f>
        <v>0975905267</v>
      </c>
      <c r="S85" s="532" t="str">
        <f>IFERROR(VLOOKUP(J85,'03. THIẾT BỊ'!$B$1:$S$836,3,0),"")</f>
        <v/>
      </c>
      <c r="T85" s="693" t="str">
        <f t="shared" si="2"/>
        <v/>
      </c>
      <c r="U85" s="693"/>
    </row>
    <row r="86">
      <c r="A86" s="692"/>
      <c r="B86" s="694"/>
      <c r="C86" s="532" t="str">
        <f>IFERROR(VLOOKUP(J86,'03. THIẾT BỊ'!$B$1:$U$836,5,0),"")</f>
        <v>Máy phun thuốc RELOAD 7045</v>
      </c>
      <c r="D86" s="463">
        <v>1.0</v>
      </c>
      <c r="E86" s="692"/>
      <c r="F86" s="463" t="s">
        <v>4158</v>
      </c>
      <c r="G86" s="692"/>
      <c r="H86" s="692">
        <f>IFERROR(VLOOKUP(J86,'03. THIẾT BỊ'!$B$1:$U$836,19,0),"")</f>
        <v>1.2</v>
      </c>
      <c r="I86" s="463" t="str">
        <f>IFERROR(VLOOKUP(J86,'03. THIẾT BỊ'!$B$1:$U$836,20,0),"")</f>
        <v/>
      </c>
      <c r="J86" s="464" t="s">
        <v>4281</v>
      </c>
      <c r="K86" s="463" t="s">
        <v>4158</v>
      </c>
      <c r="L86" s="692"/>
      <c r="M86" s="692"/>
      <c r="N86" s="692" t="str">
        <f>IFERROR(VLOOKUP(J86,'03. THIẾT BỊ'!$B$1:$U$836,4,0),"")</f>
        <v>MUA MỚI</v>
      </c>
      <c r="O86" s="692" t="str">
        <f>IFERROR(VLOOKUP(J86,'03. THIẾT BỊ'!$B$1:$U$836,7,0),"")</f>
        <v>XN Chuối DP3</v>
      </c>
      <c r="P86" s="559" t="str">
        <f>IFERROR(VLOOKUP(O86,'NS QUẢN LÝ CG'!$A$4:$D$36,2,0),"")</f>
        <v>Thạch Ngọc Vững</v>
      </c>
      <c r="Q86" s="559" t="str">
        <f>IFERROR(VLOOKUP(O86,'NS QUẢN LÝ CG'!$A$4:$D$36,4,0),"")</f>
        <v>Lô 28 DP3</v>
      </c>
      <c r="R86" s="559" t="str">
        <f>IFERROR(VLOOKUP(O86,'NS QUẢN LÝ CG'!$A$4:$C$36,3,0),"")</f>
        <v>0975905267</v>
      </c>
      <c r="S86" s="532" t="str">
        <f>IFERROR(VLOOKUP(J86,'03. THIẾT BỊ'!$B$1:$S$836,3,0),"")</f>
        <v/>
      </c>
      <c r="T86" s="693" t="str">
        <f t="shared" si="2"/>
        <v/>
      </c>
      <c r="U86" s="693"/>
    </row>
    <row r="87">
      <c r="A87" s="692"/>
      <c r="B87" s="694"/>
      <c r="C87" s="532" t="str">
        <f>IFERROR(VLOOKUP(J87,'03. THIẾT BỊ'!$B$1:$U$836,5,0),"")</f>
        <v>Máy phun thuốc RELOAD 7045</v>
      </c>
      <c r="D87" s="463">
        <v>1.0</v>
      </c>
      <c r="E87" s="692"/>
      <c r="F87" s="463" t="s">
        <v>4158</v>
      </c>
      <c r="G87" s="692"/>
      <c r="H87" s="692">
        <f>IFERROR(VLOOKUP(J87,'03. THIẾT BỊ'!$B$1:$U$836,19,0),"")</f>
        <v>1.2</v>
      </c>
      <c r="I87" s="463" t="str">
        <f>IFERROR(VLOOKUP(J87,'03. THIẾT BỊ'!$B$1:$U$836,20,0),"")</f>
        <v/>
      </c>
      <c r="J87" s="464" t="s">
        <v>4283</v>
      </c>
      <c r="K87" s="463" t="s">
        <v>4158</v>
      </c>
      <c r="L87" s="692"/>
      <c r="M87" s="692"/>
      <c r="N87" s="692" t="str">
        <f>IFERROR(VLOOKUP(J87,'03. THIẾT BỊ'!$B$1:$U$836,4,0),"")</f>
        <v>MUA MỚI</v>
      </c>
      <c r="O87" s="692" t="str">
        <f>IFERROR(VLOOKUP(J87,'03. THIẾT BỊ'!$B$1:$U$836,7,0),"")</f>
        <v>XN Chuối DP3</v>
      </c>
      <c r="P87" s="559" t="str">
        <f>IFERROR(VLOOKUP(O87,'NS QUẢN LÝ CG'!$A$4:$D$36,2,0),"")</f>
        <v>Thạch Ngọc Vững</v>
      </c>
      <c r="Q87" s="559" t="str">
        <f>IFERROR(VLOOKUP(O87,'NS QUẢN LÝ CG'!$A$4:$D$36,4,0),"")</f>
        <v>Lô 28 DP3</v>
      </c>
      <c r="R87" s="559" t="str">
        <f>IFERROR(VLOOKUP(O87,'NS QUẢN LÝ CG'!$A$4:$C$36,3,0),"")</f>
        <v>0975905267</v>
      </c>
      <c r="S87" s="532" t="str">
        <f>IFERROR(VLOOKUP(J87,'03. THIẾT BỊ'!$B$1:$S$836,3,0),"")</f>
        <v/>
      </c>
      <c r="T87" s="693" t="str">
        <f t="shared" si="2"/>
        <v/>
      </c>
      <c r="U87" s="693"/>
    </row>
    <row r="88">
      <c r="A88" s="692"/>
      <c r="B88" s="694"/>
      <c r="C88" s="532" t="str">
        <f>IFERROR(VLOOKUP(J88,'03. THIẾT BỊ'!$B$1:$U$836,5,0),"")</f>
        <v>Máy phun thuốc RELOAD 7045</v>
      </c>
      <c r="D88" s="463">
        <v>1.0</v>
      </c>
      <c r="E88" s="692"/>
      <c r="F88" s="463" t="s">
        <v>4158</v>
      </c>
      <c r="G88" s="692"/>
      <c r="H88" s="692">
        <f>IFERROR(VLOOKUP(J88,'03. THIẾT BỊ'!$B$1:$U$836,19,0),"")</f>
        <v>1.2</v>
      </c>
      <c r="I88" s="463" t="str">
        <f>IFERROR(VLOOKUP(J88,'03. THIẾT BỊ'!$B$1:$U$836,20,0),"")</f>
        <v/>
      </c>
      <c r="J88" s="464" t="s">
        <v>4285</v>
      </c>
      <c r="K88" s="463" t="s">
        <v>4158</v>
      </c>
      <c r="L88" s="692"/>
      <c r="M88" s="692"/>
      <c r="N88" s="692" t="str">
        <f>IFERROR(VLOOKUP(J88,'03. THIẾT BỊ'!$B$1:$U$836,4,0),"")</f>
        <v>MUA MỚI</v>
      </c>
      <c r="O88" s="692" t="str">
        <f>IFERROR(VLOOKUP(J88,'03. THIẾT BỊ'!$B$1:$U$836,7,0),"")</f>
        <v>XN Chuối DP3</v>
      </c>
      <c r="P88" s="559" t="str">
        <f>IFERROR(VLOOKUP(O88,'NS QUẢN LÝ CG'!$A$4:$D$36,2,0),"")</f>
        <v>Thạch Ngọc Vững</v>
      </c>
      <c r="Q88" s="559" t="str">
        <f>IFERROR(VLOOKUP(O88,'NS QUẢN LÝ CG'!$A$4:$D$36,4,0),"")</f>
        <v>Lô 28 DP3</v>
      </c>
      <c r="R88" s="559" t="str">
        <f>IFERROR(VLOOKUP(O88,'NS QUẢN LÝ CG'!$A$4:$C$36,3,0),"")</f>
        <v>0975905267</v>
      </c>
      <c r="S88" s="532" t="str">
        <f>IFERROR(VLOOKUP(J88,'03. THIẾT BỊ'!$B$1:$S$836,3,0),"")</f>
        <v/>
      </c>
      <c r="T88" s="693" t="str">
        <f t="shared" si="2"/>
        <v/>
      </c>
      <c r="U88" s="693"/>
    </row>
    <row r="89">
      <c r="A89" s="692"/>
      <c r="B89" s="694"/>
      <c r="C89" s="532" t="str">
        <f>IFERROR(VLOOKUP(J89,'03. THIẾT BỊ'!$B$1:$U$836,5,0),"")</f>
        <v>Máy phun thuốc RELOAD 7045</v>
      </c>
      <c r="D89" s="463">
        <v>1.0</v>
      </c>
      <c r="E89" s="692"/>
      <c r="F89" s="463" t="s">
        <v>4158</v>
      </c>
      <c r="G89" s="692"/>
      <c r="H89" s="692">
        <f>IFERROR(VLOOKUP(J89,'03. THIẾT BỊ'!$B$1:$U$836,19,0),"")</f>
        <v>1.2</v>
      </c>
      <c r="I89" s="463" t="str">
        <f>IFERROR(VLOOKUP(J89,'03. THIẾT BỊ'!$B$1:$U$836,20,0),"")</f>
        <v/>
      </c>
      <c r="J89" s="464" t="s">
        <v>4564</v>
      </c>
      <c r="K89" s="463" t="s">
        <v>4158</v>
      </c>
      <c r="L89" s="692"/>
      <c r="M89" s="692"/>
      <c r="N89" s="692" t="str">
        <f>IFERROR(VLOOKUP(J89,'03. THIẾT BỊ'!$B$1:$U$836,4,0),"")</f>
        <v>MUA MỚI</v>
      </c>
      <c r="O89" s="692" t="str">
        <f>IFERROR(VLOOKUP(J89,'03. THIẾT BỊ'!$B$1:$U$836,7,0),"")</f>
        <v>XN Chuối LP1</v>
      </c>
      <c r="P89" s="559" t="str">
        <f>IFERROR(VLOOKUP(O89,'NS QUẢN LÝ CG'!$A$4:$D$36,2,0),"")</f>
        <v>Nguyễn Ngọc Nhân</v>
      </c>
      <c r="Q89" s="559" t="str">
        <f>IFERROR(VLOOKUP(O89,'NS QUẢN LÝ CG'!$A$4:$D$36,4,0),"")</f>
        <v>Lô 7 LP1</v>
      </c>
      <c r="R89" s="559" t="str">
        <f>IFERROR(VLOOKUP(O89,'NS QUẢN LÝ CG'!$A$4:$C$36,3,0),"")</f>
        <v>0979578112</v>
      </c>
      <c r="S89" s="532" t="str">
        <f>IFERROR(VLOOKUP(J89,'03. THIẾT BỊ'!$B$1:$S$836,3,0),"")</f>
        <v/>
      </c>
      <c r="T89" s="693" t="str">
        <f t="shared" si="2"/>
        <v/>
      </c>
      <c r="U89" s="693"/>
    </row>
    <row r="90">
      <c r="A90" s="692"/>
      <c r="B90" s="694"/>
      <c r="C90" s="532" t="str">
        <f>IFERROR(VLOOKUP(J90,'03. THIẾT BỊ'!$B$1:$U$836,5,0),"")</f>
        <v>Máy phun thuốc RELOAD 7045</v>
      </c>
      <c r="D90" s="463">
        <v>1.0</v>
      </c>
      <c r="E90" s="692"/>
      <c r="F90" s="463" t="s">
        <v>4158</v>
      </c>
      <c r="G90" s="692"/>
      <c r="H90" s="692">
        <f>IFERROR(VLOOKUP(J90,'03. THIẾT BỊ'!$B$1:$U$836,19,0),"")</f>
        <v>1.2</v>
      </c>
      <c r="I90" s="463" t="str">
        <f>IFERROR(VLOOKUP(J90,'03. THIẾT BỊ'!$B$1:$U$836,20,0),"")</f>
        <v/>
      </c>
      <c r="J90" s="464" t="s">
        <v>4566</v>
      </c>
      <c r="K90" s="463" t="s">
        <v>4158</v>
      </c>
      <c r="L90" s="692"/>
      <c r="M90" s="692"/>
      <c r="N90" s="692" t="str">
        <f>IFERROR(VLOOKUP(J90,'03. THIẾT BỊ'!$B$1:$U$836,4,0),"")</f>
        <v>MUA MỚI</v>
      </c>
      <c r="O90" s="692" t="str">
        <f>IFERROR(VLOOKUP(J90,'03. THIẾT BỊ'!$B$1:$U$836,7,0),"")</f>
        <v>XN Chuối LP1</v>
      </c>
      <c r="P90" s="559" t="str">
        <f>IFERROR(VLOOKUP(O90,'NS QUẢN LÝ CG'!$A$4:$D$36,2,0),"")</f>
        <v>Nguyễn Ngọc Nhân</v>
      </c>
      <c r="Q90" s="559" t="str">
        <f>IFERROR(VLOOKUP(O90,'NS QUẢN LÝ CG'!$A$4:$D$36,4,0),"")</f>
        <v>Lô 7 LP1</v>
      </c>
      <c r="R90" s="559" t="str">
        <f>IFERROR(VLOOKUP(O90,'NS QUẢN LÝ CG'!$A$4:$C$36,3,0),"")</f>
        <v>0979578112</v>
      </c>
      <c r="S90" s="532" t="str">
        <f>IFERROR(VLOOKUP(J90,'03. THIẾT BỊ'!$B$1:$S$836,3,0),"")</f>
        <v/>
      </c>
      <c r="T90" s="693" t="str">
        <f t="shared" si="2"/>
        <v/>
      </c>
      <c r="U90" s="693"/>
    </row>
    <row r="91">
      <c r="A91" s="692"/>
      <c r="B91" s="694"/>
      <c r="C91" s="532" t="str">
        <f>IFERROR(VLOOKUP(J91,'03. THIẾT BỊ'!$B$1:$U$836,5,0),"")</f>
        <v>Máy phun thuốc RELOAD 7045</v>
      </c>
      <c r="D91" s="463">
        <v>1.0</v>
      </c>
      <c r="E91" s="692"/>
      <c r="F91" s="463" t="s">
        <v>4158</v>
      </c>
      <c r="G91" s="692"/>
      <c r="H91" s="692">
        <f>IFERROR(VLOOKUP(J91,'03. THIẾT BỊ'!$B$1:$U$836,19,0),"")</f>
        <v>1.2</v>
      </c>
      <c r="I91" s="463" t="str">
        <f>IFERROR(VLOOKUP(J91,'03. THIẾT BỊ'!$B$1:$U$836,20,0),"")</f>
        <v/>
      </c>
      <c r="J91" s="464" t="s">
        <v>4569</v>
      </c>
      <c r="K91" s="463" t="s">
        <v>4158</v>
      </c>
      <c r="L91" s="692"/>
      <c r="M91" s="692"/>
      <c r="N91" s="692" t="str">
        <f>IFERROR(VLOOKUP(J91,'03. THIẾT BỊ'!$B$1:$U$836,4,0),"")</f>
        <v>MUA MỚI</v>
      </c>
      <c r="O91" s="692" t="str">
        <f>IFERROR(VLOOKUP(J91,'03. THIẾT BỊ'!$B$1:$U$836,7,0),"")</f>
        <v>XN Chuối LP1</v>
      </c>
      <c r="P91" s="559" t="str">
        <f>IFERROR(VLOOKUP(O91,'NS QUẢN LÝ CG'!$A$4:$D$36,2,0),"")</f>
        <v>Nguyễn Ngọc Nhân</v>
      </c>
      <c r="Q91" s="559" t="str">
        <f>IFERROR(VLOOKUP(O91,'NS QUẢN LÝ CG'!$A$4:$D$36,4,0),"")</f>
        <v>Lô 7 LP1</v>
      </c>
      <c r="R91" s="559" t="str">
        <f>IFERROR(VLOOKUP(O91,'NS QUẢN LÝ CG'!$A$4:$C$36,3,0),"")</f>
        <v>0979578112</v>
      </c>
      <c r="S91" s="532" t="str">
        <f>IFERROR(VLOOKUP(J91,'03. THIẾT BỊ'!$B$1:$S$836,3,0),"")</f>
        <v/>
      </c>
      <c r="T91" s="693" t="str">
        <f t="shared" si="2"/>
        <v/>
      </c>
      <c r="U91" s="693"/>
    </row>
    <row r="92">
      <c r="A92" s="692"/>
      <c r="B92" s="694"/>
      <c r="C92" s="532" t="str">
        <f>IFERROR(VLOOKUP(J92,'03. THIẾT BỊ'!$B$1:$U$836,5,0),"")</f>
        <v>Máy phun thuốc RELOAD 7045</v>
      </c>
      <c r="D92" s="463">
        <v>1.0</v>
      </c>
      <c r="E92" s="692"/>
      <c r="F92" s="463" t="s">
        <v>4158</v>
      </c>
      <c r="G92" s="692"/>
      <c r="H92" s="692">
        <f>IFERROR(VLOOKUP(J92,'03. THIẾT BỊ'!$B$1:$U$836,19,0),"")</f>
        <v>1.2</v>
      </c>
      <c r="I92" s="463" t="str">
        <f>IFERROR(VLOOKUP(J92,'03. THIẾT BỊ'!$B$1:$U$836,20,0),"")</f>
        <v/>
      </c>
      <c r="J92" s="464" t="s">
        <v>4571</v>
      </c>
      <c r="K92" s="463" t="s">
        <v>4158</v>
      </c>
      <c r="L92" s="692"/>
      <c r="M92" s="692"/>
      <c r="N92" s="692" t="str">
        <f>IFERROR(VLOOKUP(J92,'03. THIẾT BỊ'!$B$1:$U$836,4,0),"")</f>
        <v>MUA MỚI</v>
      </c>
      <c r="O92" s="692" t="str">
        <f>IFERROR(VLOOKUP(J92,'03. THIẾT BỊ'!$B$1:$U$836,7,0),"")</f>
        <v>XN Chuối LP1</v>
      </c>
      <c r="P92" s="559" t="str">
        <f>IFERROR(VLOOKUP(O92,'NS QUẢN LÝ CG'!$A$4:$D$36,2,0),"")</f>
        <v>Nguyễn Ngọc Nhân</v>
      </c>
      <c r="Q92" s="559" t="str">
        <f>IFERROR(VLOOKUP(O92,'NS QUẢN LÝ CG'!$A$4:$D$36,4,0),"")</f>
        <v>Lô 7 LP1</v>
      </c>
      <c r="R92" s="559" t="str">
        <f>IFERROR(VLOOKUP(O92,'NS QUẢN LÝ CG'!$A$4:$C$36,3,0),"")</f>
        <v>0979578112</v>
      </c>
      <c r="S92" s="532" t="str">
        <f>IFERROR(VLOOKUP(J92,'03. THIẾT BỊ'!$B$1:$S$836,3,0),"")</f>
        <v/>
      </c>
      <c r="T92" s="693" t="str">
        <f t="shared" si="2"/>
        <v/>
      </c>
      <c r="U92" s="693"/>
    </row>
    <row r="93">
      <c r="A93" s="692"/>
      <c r="B93" s="694"/>
      <c r="C93" s="532" t="str">
        <f>IFERROR(VLOOKUP(J93,'03. THIẾT BỊ'!$B$1:$U$836,5,0),"")</f>
        <v>Máy phun thuốc RELOAD 7045</v>
      </c>
      <c r="D93" s="463">
        <v>1.0</v>
      </c>
      <c r="E93" s="692"/>
      <c r="F93" s="463" t="s">
        <v>4158</v>
      </c>
      <c r="G93" s="692"/>
      <c r="H93" s="463">
        <v>1.2</v>
      </c>
      <c r="I93" s="463" t="str">
        <f>IFERROR(VLOOKUP(J93,'03. THIẾT BỊ'!$B$1:$U$836,20,0),"")</f>
        <v/>
      </c>
      <c r="J93" s="464" t="s">
        <v>4776</v>
      </c>
      <c r="K93" s="463" t="s">
        <v>4158</v>
      </c>
      <c r="L93" s="692"/>
      <c r="M93" s="692"/>
      <c r="N93" s="692" t="str">
        <f>IFERROR(VLOOKUP(J93,'03. THIẾT BỊ'!$B$1:$U$836,4,0),"")</f>
        <v>MUA MỚI</v>
      </c>
      <c r="O93" s="692" t="str">
        <f>IFERROR(VLOOKUP(J93,'03. THIẾT BỊ'!$B$1:$U$836,7,0),"")</f>
        <v>XN Chuối LP3</v>
      </c>
      <c r="P93" s="559" t="str">
        <f>IFERROR(VLOOKUP(O93,'NS QUẢN LÝ CG'!$A$4:$D$36,2,0),"")</f>
        <v>Lê Cao Nghị</v>
      </c>
      <c r="Q93" s="559" t="str">
        <f>IFERROR(VLOOKUP(O93,'NS QUẢN LÝ CG'!$A$4:$D$36,4,0),"")</f>
        <v>Lô 2 LP3</v>
      </c>
      <c r="R93" s="559" t="str">
        <f>IFERROR(VLOOKUP(O93,'NS QUẢN LÝ CG'!$A$4:$C$36,3,0),"")</f>
        <v>0977423100</v>
      </c>
      <c r="S93" s="532" t="str">
        <f>IFERROR(VLOOKUP(J93,'03. THIẾT BỊ'!$B$1:$S$836,3,0),"")</f>
        <v/>
      </c>
      <c r="T93" s="693" t="str">
        <f t="shared" si="2"/>
        <v/>
      </c>
      <c r="U93" s="693"/>
    </row>
    <row r="94">
      <c r="A94" s="692"/>
      <c r="B94" s="58"/>
      <c r="C94" s="532" t="str">
        <f>IFERROR(VLOOKUP(J94,'03. THIẾT BỊ'!$B$1:$U$836,5,0),"")</f>
        <v>Máy phun thuốc RELOAD 7045</v>
      </c>
      <c r="D94" s="463">
        <v>1.0</v>
      </c>
      <c r="E94" s="692"/>
      <c r="F94" s="463" t="s">
        <v>4158</v>
      </c>
      <c r="G94" s="692"/>
      <c r="H94" s="463">
        <v>1.2</v>
      </c>
      <c r="I94" s="463" t="str">
        <f>IFERROR(VLOOKUP(J94,'03. THIẾT BỊ'!$B$1:$U$836,20,0),"")</f>
        <v/>
      </c>
      <c r="J94" s="464" t="s">
        <v>4778</v>
      </c>
      <c r="K94" s="463" t="s">
        <v>4158</v>
      </c>
      <c r="L94" s="692"/>
      <c r="M94" s="692"/>
      <c r="N94" s="692" t="str">
        <f>IFERROR(VLOOKUP(J94,'03. THIẾT BỊ'!$B$1:$U$836,4,0),"")</f>
        <v>MUA MỚI</v>
      </c>
      <c r="O94" s="692" t="str">
        <f>IFERROR(VLOOKUP(J94,'03. THIẾT BỊ'!$B$1:$U$836,7,0),"")</f>
        <v>XN Chuối LP3</v>
      </c>
      <c r="P94" s="559" t="str">
        <f>IFERROR(VLOOKUP(O94,'NS QUẢN LÝ CG'!$A$4:$D$36,2,0),"")</f>
        <v>Lê Cao Nghị</v>
      </c>
      <c r="Q94" s="559" t="str">
        <f>IFERROR(VLOOKUP(O94,'NS QUẢN LÝ CG'!$A$4:$D$36,4,0),"")</f>
        <v>Lô 2 LP3</v>
      </c>
      <c r="R94" s="559" t="str">
        <f>IFERROR(VLOOKUP(O94,'NS QUẢN LÝ CG'!$A$4:$C$36,3,0),"")</f>
        <v>0977423100</v>
      </c>
      <c r="S94" s="532" t="str">
        <f>IFERROR(VLOOKUP(J94,'03. THIẾT BỊ'!$B$1:$S$836,3,0),"")</f>
        <v/>
      </c>
      <c r="T94" s="693" t="str">
        <f t="shared" si="2"/>
        <v/>
      </c>
      <c r="U94" s="693"/>
    </row>
    <row r="95">
      <c r="A95" s="692"/>
      <c r="B95" s="708" t="s">
        <v>5814</v>
      </c>
      <c r="C95" s="532" t="str">
        <f>IFERROR(VLOOKUP(J95,'03. THIẾT BỊ'!$B$1:$U$836,5,0),"")</f>
        <v>Súng phun thuốc Hansung</v>
      </c>
      <c r="D95" s="463">
        <v>1.0</v>
      </c>
      <c r="E95" s="463" t="s">
        <v>4158</v>
      </c>
      <c r="F95" s="692"/>
      <c r="G95" s="692"/>
      <c r="H95" s="692">
        <f>IFERROR(VLOOKUP(J95,'03. THIẾT BỊ'!$B$1:$U$836,19,0),"")</f>
        <v>8.47</v>
      </c>
      <c r="I95" s="463" t="str">
        <f>IFERROR(VLOOKUP(J95,'03. THIẾT BỊ'!$B$1:$U$836,20,0),"")</f>
        <v/>
      </c>
      <c r="J95" s="464" t="s">
        <v>3916</v>
      </c>
      <c r="K95" s="463"/>
      <c r="L95" s="463" t="s">
        <v>4158</v>
      </c>
      <c r="M95" s="692"/>
      <c r="N95" s="692" t="str">
        <f>IFERROR(VLOOKUP(J95,'03. THIẾT BỊ'!$B$1:$U$836,4,0),"")</f>
        <v>ĐQSD</v>
      </c>
      <c r="O95" s="692" t="str">
        <f>IFERROR(VLOOKUP(J95,'03. THIẾT BỊ'!$B$1:$U$836,7,0),"")</f>
        <v>XN Chuối DP1</v>
      </c>
      <c r="P95" s="559" t="str">
        <f>IFERROR(VLOOKUP(O95,'NS QUẢN LÝ CG'!$A$4:$D$36,2,0),"")</f>
        <v>Thái Cao Lưu</v>
      </c>
      <c r="Q95" s="559" t="str">
        <f>IFERROR(VLOOKUP(O95,'NS QUẢN LÝ CG'!$A$4:$D$36,4,0),"")</f>
        <v>Lô 21 DP1</v>
      </c>
      <c r="R95" s="559" t="str">
        <f>IFERROR(VLOOKUP(O95,'NS QUẢN LÝ CG'!$A$4:$C$36,3,0),"")</f>
        <v>0387783316</v>
      </c>
      <c r="S95" s="532" t="str">
        <f>IFERROR(VLOOKUP(J95,'03. THIẾT BỊ'!$B$1:$S$836,3,0),"")</f>
        <v>A23-SPT-001</v>
      </c>
      <c r="T95" s="693" t="str">
        <f t="shared" si="2"/>
        <v>DP</v>
      </c>
      <c r="U95" s="693"/>
    </row>
    <row r="96">
      <c r="A96" s="692"/>
      <c r="B96" s="694"/>
      <c r="C96" s="532" t="str">
        <f>IFERROR(VLOOKUP(J96,'03. THIẾT BỊ'!$B$1:$U$836,5,0),"")</f>
        <v>Súng phun thuốc Hansung</v>
      </c>
      <c r="D96" s="463">
        <v>1.0</v>
      </c>
      <c r="E96" s="463" t="s">
        <v>4158</v>
      </c>
      <c r="F96" s="692"/>
      <c r="G96" s="692"/>
      <c r="H96" s="692">
        <f>IFERROR(VLOOKUP(J96,'03. THIẾT BỊ'!$B$1:$U$836,19,0),"")</f>
        <v>8.47</v>
      </c>
      <c r="I96" s="463" t="str">
        <f>IFERROR(VLOOKUP(J96,'03. THIẾT BỊ'!$B$1:$U$836,20,0),"")</f>
        <v/>
      </c>
      <c r="J96" s="464" t="s">
        <v>4087</v>
      </c>
      <c r="K96" s="463"/>
      <c r="L96" s="463" t="s">
        <v>4158</v>
      </c>
      <c r="M96" s="692"/>
      <c r="N96" s="692" t="str">
        <f>IFERROR(VLOOKUP(J96,'03. THIẾT BỊ'!$B$1:$U$836,4,0),"")</f>
        <v>ĐQSD</v>
      </c>
      <c r="O96" s="692" t="str">
        <f>IFERROR(VLOOKUP(J96,'03. THIẾT BỊ'!$B$1:$U$836,7,0),"")</f>
        <v>XN Chuối DP2</v>
      </c>
      <c r="P96" s="559" t="str">
        <f>IFERROR(VLOOKUP(O96,'NS QUẢN LÝ CG'!$A$4:$D$36,2,0),"")</f>
        <v>Huỳnh Quang Viên</v>
      </c>
      <c r="Q96" s="559" t="str">
        <f>IFERROR(VLOOKUP(O96,'NS QUẢN LÝ CG'!$A$4:$D$36,4,0),"")</f>
        <v>Lô 15.6 DP2</v>
      </c>
      <c r="R96" s="559" t="str">
        <f>IFERROR(VLOOKUP(O96,'NS QUẢN LÝ CG'!$A$4:$C$36,3,0),"")</f>
        <v>0977623379</v>
      </c>
      <c r="S96" s="532" t="str">
        <f>IFERROR(VLOOKUP(J96,'03. THIẾT BỊ'!$B$1:$S$836,3,0),"")</f>
        <v>A23-SPT-002</v>
      </c>
      <c r="T96" s="693" t="str">
        <f t="shared" si="2"/>
        <v>DP</v>
      </c>
      <c r="U96" s="693"/>
    </row>
    <row r="97">
      <c r="A97" s="692"/>
      <c r="B97" s="694"/>
      <c r="C97" s="532" t="str">
        <f>IFERROR(VLOOKUP(J97,'03. THIẾT BỊ'!$B$1:$U$836,5,0),"")</f>
        <v>Súng phun thuốc Hansung</v>
      </c>
      <c r="D97" s="463">
        <v>1.0</v>
      </c>
      <c r="E97" s="463" t="s">
        <v>4158</v>
      </c>
      <c r="F97" s="692"/>
      <c r="G97" s="692"/>
      <c r="H97" s="692">
        <f>IFERROR(VLOOKUP(J97,'03. THIẾT BỊ'!$B$1:$U$836,19,0),"")</f>
        <v>8.47</v>
      </c>
      <c r="I97" s="463" t="str">
        <f>IFERROR(VLOOKUP(J97,'03. THIẾT BỊ'!$B$1:$U$836,20,0),"")</f>
        <v/>
      </c>
      <c r="J97" s="464" t="s">
        <v>4289</v>
      </c>
      <c r="K97" s="463" t="s">
        <v>4158</v>
      </c>
      <c r="L97" s="692"/>
      <c r="M97" s="692"/>
      <c r="N97" s="692" t="str">
        <f>IFERROR(VLOOKUP(J97,'03. THIẾT BỊ'!$B$1:$U$836,4,0),"")</f>
        <v>ĐQSD</v>
      </c>
      <c r="O97" s="692" t="str">
        <f>IFERROR(VLOOKUP(J97,'03. THIẾT BỊ'!$B$1:$U$836,7,0),"")</f>
        <v>XN Chuối DP3</v>
      </c>
      <c r="P97" s="559" t="str">
        <f>IFERROR(VLOOKUP(O97,'NS QUẢN LÝ CG'!$A$4:$D$36,2,0),"")</f>
        <v>Thạch Ngọc Vững</v>
      </c>
      <c r="Q97" s="559" t="str">
        <f>IFERROR(VLOOKUP(O97,'NS QUẢN LÝ CG'!$A$4:$D$36,4,0),"")</f>
        <v>Lô 28 DP3</v>
      </c>
      <c r="R97" s="559" t="str">
        <f>IFERROR(VLOOKUP(O97,'NS QUẢN LÝ CG'!$A$4:$C$36,3,0),"")</f>
        <v>0975905267</v>
      </c>
      <c r="S97" s="532" t="str">
        <f>IFERROR(VLOOKUP(J97,'03. THIẾT BỊ'!$B$1:$S$836,3,0),"")</f>
        <v>A23-SPT-001</v>
      </c>
      <c r="T97" s="693" t="str">
        <f t="shared" si="2"/>
        <v>DP</v>
      </c>
      <c r="U97" s="693"/>
    </row>
    <row r="98">
      <c r="A98" s="692"/>
      <c r="B98" s="694"/>
      <c r="C98" s="532" t="str">
        <f>IFERROR(VLOOKUP(J98,'03. THIẾT BỊ'!$B$1:$U$836,5,0),"")</f>
        <v>Súng phun thuốc Hansung</v>
      </c>
      <c r="D98" s="463">
        <v>1.0</v>
      </c>
      <c r="E98" s="463" t="s">
        <v>4158</v>
      </c>
      <c r="F98" s="692"/>
      <c r="G98" s="692"/>
      <c r="H98" s="692">
        <f>IFERROR(VLOOKUP(J98,'03. THIẾT BỊ'!$B$1:$U$836,19,0),"")</f>
        <v>8.47</v>
      </c>
      <c r="I98" s="463" t="str">
        <f>IFERROR(VLOOKUP(J98,'03. THIẾT BỊ'!$B$1:$U$836,20,0),"")</f>
        <v/>
      </c>
      <c r="J98" s="464" t="s">
        <v>4541</v>
      </c>
      <c r="K98" s="463"/>
      <c r="L98" s="463" t="s">
        <v>4158</v>
      </c>
      <c r="M98" s="692"/>
      <c r="N98" s="692" t="str">
        <f>IFERROR(VLOOKUP(J98,'03. THIẾT BỊ'!$B$1:$U$836,4,0),"")</f>
        <v>ĐQSD</v>
      </c>
      <c r="O98" s="692" t="str">
        <f>IFERROR(VLOOKUP(J98,'03. THIẾT BỊ'!$B$1:$U$836,7,0),"")</f>
        <v>XN Chuối LP1</v>
      </c>
      <c r="P98" s="559" t="str">
        <f>IFERROR(VLOOKUP(O98,'NS QUẢN LÝ CG'!$A$4:$D$36,2,0),"")</f>
        <v>Nguyễn Ngọc Nhân</v>
      </c>
      <c r="Q98" s="559" t="str">
        <f>IFERROR(VLOOKUP(O98,'NS QUẢN LÝ CG'!$A$4:$D$36,4,0),"")</f>
        <v>Lô 7 LP1</v>
      </c>
      <c r="R98" s="559" t="str">
        <f>IFERROR(VLOOKUP(O98,'NS QUẢN LÝ CG'!$A$4:$C$36,3,0),"")</f>
        <v>0979578112</v>
      </c>
      <c r="S98" s="532" t="str">
        <f>IFERROR(VLOOKUP(J98,'03. THIẾT BỊ'!$B$1:$S$836,3,0),"")</f>
        <v>A24-SPT-001</v>
      </c>
      <c r="T98" s="693" t="str">
        <f t="shared" si="2"/>
        <v>LP</v>
      </c>
      <c r="U98" s="693"/>
    </row>
    <row r="99">
      <c r="A99" s="692"/>
      <c r="B99" s="694"/>
      <c r="C99" s="532" t="str">
        <f>IFERROR(VLOOKUP(J99,'03. THIẾT BỊ'!$B$1:$U$836,5,0),"")</f>
        <v>Súng phun thuốc Hansung</v>
      </c>
      <c r="D99" s="463">
        <v>1.0</v>
      </c>
      <c r="E99" s="463" t="s">
        <v>4158</v>
      </c>
      <c r="F99" s="692"/>
      <c r="G99" s="692"/>
      <c r="H99" s="692">
        <f>IFERROR(VLOOKUP(J99,'03. THIẾT BỊ'!$B$1:$U$836,19,0),"")</f>
        <v>8.47</v>
      </c>
      <c r="I99" s="463" t="str">
        <f>IFERROR(VLOOKUP(J99,'03. THIẾT BỊ'!$B$1:$U$836,20,0),"")</f>
        <v/>
      </c>
      <c r="J99" s="464" t="s">
        <v>4635</v>
      </c>
      <c r="K99" s="463"/>
      <c r="L99" s="463" t="s">
        <v>4158</v>
      </c>
      <c r="M99" s="692"/>
      <c r="N99" s="692" t="str">
        <f>IFERROR(VLOOKUP(J99,'03. THIẾT BỊ'!$B$1:$U$836,4,0),"")</f>
        <v>ĐQSD</v>
      </c>
      <c r="O99" s="692" t="str">
        <f>IFERROR(VLOOKUP(J99,'03. THIẾT BỊ'!$B$1:$U$836,7,0),"")</f>
        <v>XN Chuối LP3</v>
      </c>
      <c r="P99" s="559" t="str">
        <f>IFERROR(VLOOKUP(O99,'NS QUẢN LÝ CG'!$A$4:$D$36,2,0),"")</f>
        <v>Lê Cao Nghị</v>
      </c>
      <c r="Q99" s="559" t="str">
        <f>IFERROR(VLOOKUP(O99,'NS QUẢN LÝ CG'!$A$4:$D$36,4,0),"")</f>
        <v>Lô 2 LP3</v>
      </c>
      <c r="R99" s="559" t="str">
        <f>IFERROR(VLOOKUP(O99,'NS QUẢN LÝ CG'!$A$4:$C$36,3,0),"")</f>
        <v>0977423100</v>
      </c>
      <c r="S99" s="532" t="str">
        <f>IFERROR(VLOOKUP(J99,'03. THIẾT BỊ'!$B$1:$S$836,3,0),"")</f>
        <v>A24-SPT-001</v>
      </c>
      <c r="T99" s="693" t="str">
        <f t="shared" si="2"/>
        <v>LP</v>
      </c>
      <c r="U99" s="693"/>
    </row>
    <row r="100">
      <c r="A100" s="692"/>
      <c r="B100" s="58"/>
      <c r="C100" s="532" t="str">
        <f>IFERROR(VLOOKUP(J100,'03. THIẾT BỊ'!$B$1:$U$836,5,0),"")</f>
        <v>Súng phun thuốc Hansung</v>
      </c>
      <c r="D100" s="463">
        <v>1.0</v>
      </c>
      <c r="E100" s="463" t="s">
        <v>4158</v>
      </c>
      <c r="F100" s="692"/>
      <c r="G100" s="692"/>
      <c r="H100" s="692">
        <f>IFERROR(VLOOKUP(J100,'03. THIẾT BỊ'!$B$1:$U$836,19,0),"")</f>
        <v>8.47</v>
      </c>
      <c r="I100" s="463" t="str">
        <f>IFERROR(VLOOKUP(J100,'03. THIẾT BỊ'!$B$1:$U$836,20,0),"")</f>
        <v/>
      </c>
      <c r="J100" s="464" t="s">
        <v>4638</v>
      </c>
      <c r="K100" s="463" t="s">
        <v>4158</v>
      </c>
      <c r="L100" s="692"/>
      <c r="M100" s="692"/>
      <c r="N100" s="692" t="str">
        <f>IFERROR(VLOOKUP(J100,'03. THIẾT BỊ'!$B$1:$U$836,4,0),"")</f>
        <v>ĐQSD</v>
      </c>
      <c r="O100" s="692" t="str">
        <f>IFERROR(VLOOKUP(J100,'03. THIẾT BỊ'!$B$1:$U$836,7,0),"")</f>
        <v>XN Chuối LP3</v>
      </c>
      <c r="P100" s="559" t="str">
        <f>IFERROR(VLOOKUP(O100,'NS QUẢN LÝ CG'!$A$4:$D$36,2,0),"")</f>
        <v>Lê Cao Nghị</v>
      </c>
      <c r="Q100" s="559" t="str">
        <f>IFERROR(VLOOKUP(O100,'NS QUẢN LÝ CG'!$A$4:$D$36,4,0),"")</f>
        <v>Lô 2 LP3</v>
      </c>
      <c r="R100" s="559" t="str">
        <f>IFERROR(VLOOKUP(O100,'NS QUẢN LÝ CG'!$A$4:$C$36,3,0),"")</f>
        <v>0977423100</v>
      </c>
      <c r="S100" s="532" t="str">
        <f>IFERROR(VLOOKUP(J100,'03. THIẾT BỊ'!$B$1:$S$836,3,0),"")</f>
        <v>A22-SPT-002</v>
      </c>
      <c r="T100" s="693" t="str">
        <f t="shared" si="2"/>
        <v>ADM</v>
      </c>
      <c r="U100" s="693"/>
    </row>
    <row r="101">
      <c r="A101" s="692"/>
      <c r="B101" s="708" t="s">
        <v>5821</v>
      </c>
      <c r="C101" s="464" t="s">
        <v>5822</v>
      </c>
      <c r="D101" s="463">
        <v>91.0</v>
      </c>
      <c r="E101" s="692"/>
      <c r="F101" s="463" t="s">
        <v>4158</v>
      </c>
      <c r="G101" s="692"/>
      <c r="H101" s="463">
        <v>0.5</v>
      </c>
      <c r="I101" s="463" t="str">
        <f>IFERROR(VLOOKUP(J101,'03. THIẾT BỊ'!$B$1:$U$836,20,0),"")</f>
        <v/>
      </c>
      <c r="J101" s="464"/>
      <c r="K101" s="463" t="s">
        <v>4158</v>
      </c>
      <c r="L101" s="692"/>
      <c r="M101" s="692"/>
      <c r="N101" s="692" t="str">
        <f>IFERROR(VLOOKUP(J101,'03. THIẾT BỊ'!$B$1:$U$836,4,0),"")</f>
        <v/>
      </c>
      <c r="O101" s="692" t="str">
        <f>IFERROR(VLOOKUP(J101,'03. THIẾT BỊ'!$B$1:$U$836,7,0),"")</f>
        <v/>
      </c>
      <c r="P101" s="532"/>
      <c r="Q101" s="532"/>
      <c r="R101" s="532"/>
      <c r="S101" s="532" t="str">
        <f>IFERROR(VLOOKUP(J101,'03. THIẾT BỊ'!$B$1:$S$836,3,0),"")</f>
        <v/>
      </c>
      <c r="T101" s="693"/>
      <c r="U101" s="693"/>
    </row>
    <row r="102">
      <c r="A102" s="692"/>
      <c r="B102" s="58"/>
      <c r="C102" s="464" t="s">
        <v>5823</v>
      </c>
      <c r="D102" s="463">
        <v>155.0</v>
      </c>
      <c r="E102" s="692"/>
      <c r="F102" s="463" t="s">
        <v>4158</v>
      </c>
      <c r="G102" s="692"/>
      <c r="H102" s="463">
        <v>0.5</v>
      </c>
      <c r="I102" s="463" t="s">
        <v>5824</v>
      </c>
      <c r="J102" s="464"/>
      <c r="K102" s="463" t="s">
        <v>4158</v>
      </c>
      <c r="L102" s="692"/>
      <c r="M102" s="692"/>
      <c r="N102" s="692" t="str">
        <f>IFERROR(VLOOKUP(J102,'03. THIẾT BỊ'!$B$1:$U$836,4,0),"")</f>
        <v/>
      </c>
      <c r="O102" s="692" t="str">
        <f>IFERROR(VLOOKUP(J102,'03. THIẾT BỊ'!$B$1:$U$836,7,0),"")</f>
        <v/>
      </c>
      <c r="P102" s="532"/>
      <c r="Q102" s="532"/>
      <c r="R102" s="532"/>
      <c r="S102" s="532" t="str">
        <f>IFERROR(VLOOKUP(J102,'03. THIẾT BỊ'!$B$1:$S$836,3,0),"")</f>
        <v/>
      </c>
      <c r="T102" s="693"/>
      <c r="U102" s="693"/>
    </row>
    <row r="103">
      <c r="A103" s="692"/>
      <c r="B103" s="464" t="s">
        <v>172</v>
      </c>
      <c r="C103" s="532" t="str">
        <f>IFERROR(VLOOKUP(J103,'03. THIẾT BỊ'!$B$1:$U$836,5,0),"")</f>
        <v/>
      </c>
      <c r="D103" s="463"/>
      <c r="E103" s="692"/>
      <c r="F103" s="692"/>
      <c r="G103" s="692"/>
      <c r="H103" s="463">
        <v>1.0</v>
      </c>
      <c r="I103" s="463" t="s">
        <v>5824</v>
      </c>
      <c r="J103" s="464"/>
      <c r="K103" s="463"/>
      <c r="L103" s="692"/>
      <c r="M103" s="692"/>
      <c r="N103" s="692" t="str">
        <f>IFERROR(VLOOKUP(J103,'03. THIẾT BỊ'!$B$1:$U$836,4,0),"")</f>
        <v/>
      </c>
      <c r="O103" s="692" t="str">
        <f>IFERROR(VLOOKUP(J103,'03. THIẾT BỊ'!$B$1:$U$836,7,0),"")</f>
        <v/>
      </c>
      <c r="P103" s="532"/>
      <c r="Q103" s="532"/>
      <c r="R103" s="532"/>
      <c r="S103" s="532" t="str">
        <f>IFERROR(VLOOKUP(J103,'03. THIẾT BỊ'!$B$1:$S$836,3,0),"")</f>
        <v/>
      </c>
      <c r="T103" s="693"/>
      <c r="U103" s="693"/>
    </row>
    <row r="104">
      <c r="A104" s="692"/>
      <c r="B104" s="464" t="s">
        <v>172</v>
      </c>
      <c r="C104" s="532" t="str">
        <f>IFERROR(VLOOKUP(J104,'03. THIẾT BỊ'!$B$1:$U$836,5,0),"")</f>
        <v/>
      </c>
      <c r="D104" s="463"/>
      <c r="E104" s="692"/>
      <c r="F104" s="692"/>
      <c r="G104" s="692"/>
      <c r="H104" s="692" t="str">
        <f>IFERROR(VLOOKUP(J104,'03. THIẾT BỊ'!$B$1:$U$836,19,0),"")</f>
        <v/>
      </c>
      <c r="I104" s="463" t="str">
        <f>IFERROR(VLOOKUP(J104,'03. THIẾT BỊ'!$B$1:$U$836,20,0),"")</f>
        <v/>
      </c>
      <c r="J104" s="464"/>
      <c r="K104" s="463"/>
      <c r="L104" s="692"/>
      <c r="M104" s="692"/>
      <c r="N104" s="692" t="str">
        <f>IFERROR(VLOOKUP(J104,'03. THIẾT BỊ'!$B$1:$U$836,4,0),"")</f>
        <v/>
      </c>
      <c r="O104" s="692" t="str">
        <f>IFERROR(VLOOKUP(J104,'03. THIẾT BỊ'!$B$1:$U$836,7,0),"")</f>
        <v/>
      </c>
      <c r="P104" s="532"/>
      <c r="Q104" s="532"/>
      <c r="R104" s="532"/>
      <c r="S104" s="532" t="str">
        <f>IFERROR(VLOOKUP(J104,'03. THIẾT BỊ'!$B$1:$S$836,3,0),"")</f>
        <v/>
      </c>
      <c r="T104" s="693"/>
      <c r="U104" s="693"/>
    </row>
    <row r="105">
      <c r="A105" s="692"/>
      <c r="B105" s="464" t="s">
        <v>172</v>
      </c>
      <c r="C105" s="532" t="str">
        <f>IFERROR(VLOOKUP(J105,'03. THIẾT BỊ'!$B$1:$U$836,5,0),"")</f>
        <v/>
      </c>
      <c r="D105" s="463"/>
      <c r="E105" s="692"/>
      <c r="F105" s="692"/>
      <c r="G105" s="692"/>
      <c r="H105" s="692" t="str">
        <f>IFERROR(VLOOKUP(J105,'03. THIẾT BỊ'!$B$1:$U$836,19,0),"")</f>
        <v/>
      </c>
      <c r="I105" s="463" t="str">
        <f>IFERROR(VLOOKUP(J105,'03. THIẾT BỊ'!$B$1:$U$836,20,0),"")</f>
        <v/>
      </c>
      <c r="J105" s="464"/>
      <c r="K105" s="463"/>
      <c r="L105" s="692"/>
      <c r="M105" s="692"/>
      <c r="N105" s="692" t="str">
        <f>IFERROR(VLOOKUP(J105,'03. THIẾT BỊ'!$B$1:$U$836,4,0),"")</f>
        <v/>
      </c>
      <c r="O105" s="692" t="str">
        <f>IFERROR(VLOOKUP(J105,'03. THIẾT BỊ'!$B$1:$U$836,7,0),"")</f>
        <v/>
      </c>
      <c r="P105" s="532"/>
      <c r="Q105" s="532"/>
      <c r="R105" s="532"/>
      <c r="S105" s="532" t="str">
        <f>IFERROR(VLOOKUP(J105,'03. THIẾT BỊ'!$B$1:$S$836,3,0),"")</f>
        <v/>
      </c>
      <c r="T105" s="693"/>
      <c r="U105" s="693"/>
    </row>
    <row r="106">
      <c r="A106" s="707" t="s">
        <v>5825</v>
      </c>
      <c r="B106" s="23"/>
      <c r="C106" s="30"/>
      <c r="D106" s="687">
        <f>SUM(D107:D108)</f>
        <v>669</v>
      </c>
      <c r="E106" s="688"/>
      <c r="F106" s="688"/>
      <c r="G106" s="688"/>
      <c r="H106" s="688"/>
      <c r="I106" s="688"/>
      <c r="J106" s="689"/>
      <c r="K106" s="688"/>
      <c r="L106" s="688"/>
      <c r="M106" s="688"/>
      <c r="N106" s="689"/>
      <c r="O106" s="689"/>
      <c r="P106" s="689"/>
      <c r="Q106" s="689"/>
      <c r="R106" s="689"/>
      <c r="S106" s="689"/>
      <c r="T106" s="690"/>
      <c r="U106" s="690"/>
    </row>
    <row r="107">
      <c r="A107" s="691">
        <v>1.0</v>
      </c>
      <c r="B107" s="720" t="s">
        <v>5826</v>
      </c>
      <c r="C107" s="464" t="s">
        <v>5827</v>
      </c>
      <c r="D107" s="692">
        <f>226+83</f>
        <v>309</v>
      </c>
      <c r="E107" s="692"/>
      <c r="F107" s="692"/>
      <c r="G107" s="692"/>
      <c r="H107" s="692"/>
      <c r="I107" s="463" t="s">
        <v>5828</v>
      </c>
      <c r="J107" s="532"/>
      <c r="K107" s="463" t="s">
        <v>4158</v>
      </c>
      <c r="L107" s="692"/>
      <c r="M107" s="692"/>
      <c r="N107" s="532"/>
      <c r="O107" s="532"/>
      <c r="P107" s="532"/>
      <c r="Q107" s="532"/>
      <c r="R107" s="532"/>
      <c r="S107" s="532"/>
      <c r="T107" s="693"/>
      <c r="U107" s="693"/>
    </row>
    <row r="108">
      <c r="A108" s="58"/>
      <c r="B108" s="58"/>
      <c r="C108" s="464" t="s">
        <v>5829</v>
      </c>
      <c r="D108" s="692">
        <f>257+103</f>
        <v>360</v>
      </c>
      <c r="E108" s="692"/>
      <c r="F108" s="692"/>
      <c r="G108" s="692"/>
      <c r="H108" s="692"/>
      <c r="I108" s="463" t="s">
        <v>5828</v>
      </c>
      <c r="J108" s="532"/>
      <c r="K108" s="463" t="s">
        <v>4158</v>
      </c>
      <c r="L108" s="692"/>
      <c r="M108" s="692"/>
      <c r="N108" s="532"/>
      <c r="O108" s="532"/>
      <c r="P108" s="532"/>
      <c r="Q108" s="532"/>
      <c r="R108" s="532"/>
      <c r="S108" s="532"/>
      <c r="T108" s="693"/>
      <c r="U108" s="693"/>
    </row>
    <row r="109">
      <c r="A109" s="692"/>
      <c r="B109" s="532"/>
      <c r="C109" s="532"/>
      <c r="D109" s="692"/>
      <c r="E109" s="692"/>
      <c r="F109" s="692"/>
      <c r="G109" s="692"/>
      <c r="H109" s="692"/>
      <c r="I109" s="692"/>
      <c r="J109" s="532"/>
      <c r="K109" s="692"/>
      <c r="L109" s="692"/>
      <c r="M109" s="692"/>
      <c r="N109" s="532"/>
      <c r="O109" s="532"/>
      <c r="P109" s="532"/>
      <c r="Q109" s="532"/>
      <c r="R109" s="532"/>
      <c r="S109" s="532"/>
      <c r="T109" s="693"/>
      <c r="U109" s="693"/>
    </row>
    <row r="110">
      <c r="A110" s="692"/>
      <c r="B110" s="532"/>
      <c r="C110" s="532"/>
      <c r="D110" s="692"/>
      <c r="E110" s="692"/>
      <c r="F110" s="692"/>
      <c r="G110" s="692"/>
      <c r="H110" s="692"/>
      <c r="I110" s="692"/>
      <c r="J110" s="532"/>
      <c r="K110" s="692"/>
      <c r="L110" s="692"/>
      <c r="M110" s="692"/>
      <c r="N110" s="532"/>
      <c r="O110" s="532"/>
      <c r="P110" s="532"/>
      <c r="Q110" s="532"/>
      <c r="R110" s="532"/>
      <c r="S110" s="532"/>
      <c r="T110" s="693"/>
      <c r="U110" s="693"/>
    </row>
    <row r="111">
      <c r="A111" s="692"/>
      <c r="B111" s="721"/>
      <c r="C111" s="532"/>
      <c r="D111" s="692"/>
      <c r="E111" s="692"/>
      <c r="F111" s="692"/>
      <c r="G111" s="692"/>
      <c r="H111" s="692"/>
      <c r="I111" s="692"/>
      <c r="J111" s="532"/>
      <c r="K111" s="692"/>
      <c r="L111" s="692"/>
      <c r="M111" s="692"/>
      <c r="N111" s="532"/>
      <c r="O111" s="532"/>
      <c r="P111" s="532"/>
      <c r="Q111" s="532"/>
      <c r="R111" s="532"/>
      <c r="S111" s="532"/>
      <c r="T111" s="693"/>
      <c r="U111" s="693"/>
    </row>
    <row r="112">
      <c r="A112" s="686" t="s">
        <v>5831</v>
      </c>
      <c r="B112" s="23"/>
      <c r="C112" s="30"/>
      <c r="D112" s="687">
        <f>SUM(D113:D191)</f>
        <v>73</v>
      </c>
      <c r="E112" s="688"/>
      <c r="F112" s="688"/>
      <c r="G112" s="688"/>
      <c r="H112" s="688"/>
      <c r="I112" s="688"/>
      <c r="J112" s="689"/>
      <c r="K112" s="688"/>
      <c r="L112" s="688"/>
      <c r="M112" s="688"/>
      <c r="N112" s="689"/>
      <c r="O112" s="689"/>
      <c r="P112" s="689"/>
      <c r="Q112" s="689"/>
      <c r="R112" s="689"/>
      <c r="S112" s="689"/>
      <c r="T112" s="690"/>
      <c r="U112" s="690"/>
    </row>
    <row r="113">
      <c r="A113" s="692"/>
      <c r="B113" s="722" t="s">
        <v>5832</v>
      </c>
      <c r="C113" s="532" t="str">
        <f>IFERROR(VLOOKUP(J113,'03. THIẾT BỊ'!$B$1:$U$836,5,0),"")</f>
        <v>Máy kéo chuối (Xăng)</v>
      </c>
      <c r="D113" s="463">
        <v>1.0</v>
      </c>
      <c r="E113" s="692"/>
      <c r="F113" s="463" t="s">
        <v>4158</v>
      </c>
      <c r="G113" s="692"/>
      <c r="H113" s="692">
        <f>IFERROR(VLOOKUP(J113,'03. THIẾT BỊ'!$B$1:$U$836,19,0),"")</f>
        <v>0.56</v>
      </c>
      <c r="I113" s="463" t="str">
        <f>IFERROR(VLOOKUP(J113,'03. THIẾT BỊ'!$B$1:$U$836,20,0),"")</f>
        <v>400 buồng/8h</v>
      </c>
      <c r="J113" s="464" t="s">
        <v>3987</v>
      </c>
      <c r="K113" s="463"/>
      <c r="L113" s="463" t="s">
        <v>4158</v>
      </c>
      <c r="M113" s="692"/>
      <c r="N113" s="692" t="str">
        <f>IFERROR(VLOOKUP(J113,'03. THIẾT BỊ'!$B$1:$U$836,4,0),"")</f>
        <v>ĐQSD</v>
      </c>
      <c r="O113" s="692" t="str">
        <f>IFERROR(VLOOKUP(J113,'03. THIẾT BỊ'!$B$1:$U$836,7,0),"")</f>
        <v>XN Chuối DP1</v>
      </c>
      <c r="P113" s="559" t="str">
        <f>IFERROR(VLOOKUP(O113,'NS QUẢN LÝ CG'!$A$4:$D$36,2,0),"")</f>
        <v>Thái Cao Lưu</v>
      </c>
      <c r="Q113" s="559" t="str">
        <f>IFERROR(VLOOKUP(O113,'NS QUẢN LÝ CG'!$A$4:$D$36,4,0),"")</f>
        <v>Lô 21 DP1</v>
      </c>
      <c r="R113" s="559" t="str">
        <f>IFERROR(VLOOKUP(O113,'NS QUẢN LÝ CG'!$A$4:$C$36,3,0),"")</f>
        <v>0387783316</v>
      </c>
      <c r="S113" s="532" t="str">
        <f>IFERROR(VLOOKUP(J113,'03. THIẾT BỊ'!$B$1:$S$836,3,0),"")</f>
        <v>A23-MKC-004</v>
      </c>
      <c r="T113" s="693" t="str">
        <f t="shared" ref="T113:T184" si="3">SWITCH(LEFT(S113,3),"A22","ADM","A23","DP","A24","LP","")</f>
        <v>DP</v>
      </c>
      <c r="U113" s="693"/>
    </row>
    <row r="114">
      <c r="A114" s="692"/>
      <c r="B114" s="694"/>
      <c r="C114" s="532" t="str">
        <f>IFERROR(VLOOKUP(J114,'03. THIẾT BỊ'!$B$1:$U$836,5,0),"")</f>
        <v>Máy kéo chuối (Xăng)</v>
      </c>
      <c r="D114" s="463">
        <v>1.0</v>
      </c>
      <c r="E114" s="692"/>
      <c r="F114" s="463" t="s">
        <v>4158</v>
      </c>
      <c r="G114" s="692"/>
      <c r="H114" s="692">
        <f>IFERROR(VLOOKUP(J114,'03. THIẾT BỊ'!$B$1:$U$836,19,0),"")</f>
        <v>0.56</v>
      </c>
      <c r="I114" s="463" t="str">
        <f>IFERROR(VLOOKUP(J114,'03. THIẾT BỊ'!$B$1:$U$836,20,0),"")</f>
        <v>400 buồng/8h</v>
      </c>
      <c r="J114" s="464" t="s">
        <v>3993</v>
      </c>
      <c r="K114" s="463"/>
      <c r="L114" s="463" t="s">
        <v>4158</v>
      </c>
      <c r="M114" s="692"/>
      <c r="N114" s="692" t="str">
        <f>IFERROR(VLOOKUP(J114,'03. THIẾT BỊ'!$B$1:$U$836,4,0),"")</f>
        <v>ĐQSD</v>
      </c>
      <c r="O114" s="692" t="str">
        <f>IFERROR(VLOOKUP(J114,'03. THIẾT BỊ'!$B$1:$U$836,7,0),"")</f>
        <v>XN Chuối DP1</v>
      </c>
      <c r="P114" s="559" t="str">
        <f>IFERROR(VLOOKUP(O114,'NS QUẢN LÝ CG'!$A$4:$D$36,2,0),"")</f>
        <v>Thái Cao Lưu</v>
      </c>
      <c r="Q114" s="559" t="str">
        <f>IFERROR(VLOOKUP(O114,'NS QUẢN LÝ CG'!$A$4:$D$36,4,0),"")</f>
        <v>Lô 21 DP1</v>
      </c>
      <c r="R114" s="559" t="str">
        <f>IFERROR(VLOOKUP(O114,'NS QUẢN LÝ CG'!$A$4:$C$36,3,0),"")</f>
        <v>0387783316</v>
      </c>
      <c r="S114" s="532" t="str">
        <f>IFERROR(VLOOKUP(J114,'03. THIẾT BỊ'!$B$1:$S$836,3,0),"")</f>
        <v>A23-MKC-005</v>
      </c>
      <c r="T114" s="693" t="str">
        <f t="shared" si="3"/>
        <v>DP</v>
      </c>
      <c r="U114" s="693"/>
    </row>
    <row r="115">
      <c r="A115" s="692"/>
      <c r="B115" s="694"/>
      <c r="C115" s="532" t="str">
        <f>IFERROR(VLOOKUP(J115,'03. THIẾT BỊ'!$B$1:$U$836,5,0),"")</f>
        <v>Máy kéo chuối (Xăng)</v>
      </c>
      <c r="D115" s="463">
        <v>1.0</v>
      </c>
      <c r="E115" s="692"/>
      <c r="F115" s="463" t="s">
        <v>4158</v>
      </c>
      <c r="G115" s="692"/>
      <c r="H115" s="692">
        <f>IFERROR(VLOOKUP(J115,'03. THIẾT BỊ'!$B$1:$U$836,19,0),"")</f>
        <v>0.56</v>
      </c>
      <c r="I115" s="463" t="str">
        <f>IFERROR(VLOOKUP(J115,'03. THIẾT BỊ'!$B$1:$U$836,20,0),"")</f>
        <v>400 buồng/8h</v>
      </c>
      <c r="J115" s="464" t="s">
        <v>3995</v>
      </c>
      <c r="K115" s="463"/>
      <c r="L115" s="463" t="s">
        <v>4158</v>
      </c>
      <c r="M115" s="692"/>
      <c r="N115" s="692" t="str">
        <f>IFERROR(VLOOKUP(J115,'03. THIẾT BỊ'!$B$1:$U$836,4,0),"")</f>
        <v>ĐQSD</v>
      </c>
      <c r="O115" s="692" t="str">
        <f>IFERROR(VLOOKUP(J115,'03. THIẾT BỊ'!$B$1:$U$836,7,0),"")</f>
        <v>XN Chuối DP1</v>
      </c>
      <c r="P115" s="559" t="str">
        <f>IFERROR(VLOOKUP(O115,'NS QUẢN LÝ CG'!$A$4:$D$36,2,0),"")</f>
        <v>Thái Cao Lưu</v>
      </c>
      <c r="Q115" s="559" t="str">
        <f>IFERROR(VLOOKUP(O115,'NS QUẢN LÝ CG'!$A$4:$D$36,4,0),"")</f>
        <v>Lô 21 DP1</v>
      </c>
      <c r="R115" s="559" t="str">
        <f>IFERROR(VLOOKUP(O115,'NS QUẢN LÝ CG'!$A$4:$C$36,3,0),"")</f>
        <v>0387783316</v>
      </c>
      <c r="S115" s="532" t="str">
        <f>IFERROR(VLOOKUP(J115,'03. THIẾT BỊ'!$B$1:$S$836,3,0),"")</f>
        <v>A23-MKC-007</v>
      </c>
      <c r="T115" s="693" t="str">
        <f t="shared" si="3"/>
        <v>DP</v>
      </c>
      <c r="U115" s="693"/>
    </row>
    <row r="116">
      <c r="A116" s="692"/>
      <c r="B116" s="694"/>
      <c r="C116" s="532" t="str">
        <f>IFERROR(VLOOKUP(J116,'03. THIẾT BỊ'!$B$1:$U$836,5,0),"")</f>
        <v>Máy kéo chuối (Xăng)</v>
      </c>
      <c r="D116" s="463">
        <v>1.0</v>
      </c>
      <c r="E116" s="692"/>
      <c r="F116" s="463" t="s">
        <v>4158</v>
      </c>
      <c r="G116" s="692"/>
      <c r="H116" s="692">
        <f>IFERROR(VLOOKUP(J116,'03. THIẾT BỊ'!$B$1:$U$836,19,0),"")</f>
        <v>0.56</v>
      </c>
      <c r="I116" s="463" t="str">
        <f>IFERROR(VLOOKUP(J116,'03. THIẾT BỊ'!$B$1:$U$836,20,0),"")</f>
        <v>400 buồng/8h</v>
      </c>
      <c r="J116" s="464" t="s">
        <v>3999</v>
      </c>
      <c r="K116" s="463"/>
      <c r="L116" s="463" t="s">
        <v>4158</v>
      </c>
      <c r="M116" s="692"/>
      <c r="N116" s="692" t="str">
        <f>IFERROR(VLOOKUP(J116,'03. THIẾT BỊ'!$B$1:$U$836,4,0),"")</f>
        <v>ĐQSD</v>
      </c>
      <c r="O116" s="692" t="str">
        <f>IFERROR(VLOOKUP(J116,'03. THIẾT BỊ'!$B$1:$U$836,7,0),"")</f>
        <v>XN Chuối DP1</v>
      </c>
      <c r="P116" s="559" t="str">
        <f>IFERROR(VLOOKUP(O116,'NS QUẢN LÝ CG'!$A$4:$D$36,2,0),"")</f>
        <v>Thái Cao Lưu</v>
      </c>
      <c r="Q116" s="559" t="str">
        <f>IFERROR(VLOOKUP(O116,'NS QUẢN LÝ CG'!$A$4:$D$36,4,0),"")</f>
        <v>Lô 21 DP1</v>
      </c>
      <c r="R116" s="559" t="str">
        <f>IFERROR(VLOOKUP(O116,'NS QUẢN LÝ CG'!$A$4:$C$36,3,0),"")</f>
        <v>0387783316</v>
      </c>
      <c r="S116" s="532" t="str">
        <f>IFERROR(VLOOKUP(J116,'03. THIẾT BỊ'!$B$1:$S$836,3,0),"")</f>
        <v>A23-MKC-008</v>
      </c>
      <c r="T116" s="693" t="str">
        <f t="shared" si="3"/>
        <v>DP</v>
      </c>
      <c r="U116" s="693"/>
    </row>
    <row r="117">
      <c r="A117" s="692"/>
      <c r="B117" s="694"/>
      <c r="C117" s="532" t="str">
        <f>IFERROR(VLOOKUP(J117,'03. THIẾT BỊ'!$B$1:$U$836,5,0),"")</f>
        <v>Máy kéo chuối (Xăng)</v>
      </c>
      <c r="D117" s="463">
        <v>1.0</v>
      </c>
      <c r="E117" s="692"/>
      <c r="F117" s="463" t="s">
        <v>4158</v>
      </c>
      <c r="G117" s="692"/>
      <c r="H117" s="692">
        <f>IFERROR(VLOOKUP(J117,'03. THIẾT BỊ'!$B$1:$U$836,19,0),"")</f>
        <v>0.56</v>
      </c>
      <c r="I117" s="463" t="str">
        <f>IFERROR(VLOOKUP(J117,'03. THIẾT BỊ'!$B$1:$U$836,20,0),"")</f>
        <v>400 buồng/8h</v>
      </c>
      <c r="J117" s="464" t="s">
        <v>4002</v>
      </c>
      <c r="K117" s="463" t="s">
        <v>4158</v>
      </c>
      <c r="L117" s="692"/>
      <c r="M117" s="692"/>
      <c r="N117" s="692" t="str">
        <f>IFERROR(VLOOKUP(J117,'03. THIẾT BỊ'!$B$1:$U$836,4,0),"")</f>
        <v>ĐQSD</v>
      </c>
      <c r="O117" s="692" t="str">
        <f>IFERROR(VLOOKUP(J117,'03. THIẾT BỊ'!$B$1:$U$836,7,0),"")</f>
        <v>XN Chuối DP1</v>
      </c>
      <c r="P117" s="559" t="str">
        <f>IFERROR(VLOOKUP(O117,'NS QUẢN LÝ CG'!$A$4:$D$36,2,0),"")</f>
        <v>Thái Cao Lưu</v>
      </c>
      <c r="Q117" s="559" t="str">
        <f>IFERROR(VLOOKUP(O117,'NS QUẢN LÝ CG'!$A$4:$D$36,4,0),"")</f>
        <v>Lô 21 DP1</v>
      </c>
      <c r="R117" s="559" t="str">
        <f>IFERROR(VLOOKUP(O117,'NS QUẢN LÝ CG'!$A$4:$C$36,3,0),"")</f>
        <v>0387783316</v>
      </c>
      <c r="S117" s="532" t="str">
        <f>IFERROR(VLOOKUP(J117,'03. THIẾT BỊ'!$B$1:$S$836,3,0),"")</f>
        <v>A23-MKC-014</v>
      </c>
      <c r="T117" s="693" t="str">
        <f t="shared" si="3"/>
        <v>DP</v>
      </c>
      <c r="U117" s="693"/>
    </row>
    <row r="118">
      <c r="A118" s="692"/>
      <c r="B118" s="694"/>
      <c r="C118" s="532" t="str">
        <f>IFERROR(VLOOKUP(J118,'03. THIẾT BỊ'!$B$1:$U$836,5,0),"")</f>
        <v>Máy kéo chuối (Xăng)</v>
      </c>
      <c r="D118" s="463">
        <v>1.0</v>
      </c>
      <c r="E118" s="692"/>
      <c r="F118" s="463" t="s">
        <v>4158</v>
      </c>
      <c r="G118" s="692"/>
      <c r="H118" s="692">
        <f>IFERROR(VLOOKUP(J118,'03. THIẾT BỊ'!$B$1:$U$836,19,0),"")</f>
        <v>0.56</v>
      </c>
      <c r="I118" s="463" t="str">
        <f>IFERROR(VLOOKUP(J118,'03. THIẾT BỊ'!$B$1:$U$836,20,0),"")</f>
        <v>400 buồng/8h</v>
      </c>
      <c r="J118" s="464" t="s">
        <v>4005</v>
      </c>
      <c r="K118" s="463" t="s">
        <v>4158</v>
      </c>
      <c r="L118" s="692"/>
      <c r="M118" s="692"/>
      <c r="N118" s="692" t="str">
        <f>IFERROR(VLOOKUP(J118,'03. THIẾT BỊ'!$B$1:$U$836,4,0),"")</f>
        <v>ĐQSD</v>
      </c>
      <c r="O118" s="692" t="str">
        <f>IFERROR(VLOOKUP(J118,'03. THIẾT BỊ'!$B$1:$U$836,7,0),"")</f>
        <v>XN Chuối DP1</v>
      </c>
      <c r="P118" s="559" t="str">
        <f>IFERROR(VLOOKUP(O118,'NS QUẢN LÝ CG'!$A$4:$D$36,2,0),"")</f>
        <v>Thái Cao Lưu</v>
      </c>
      <c r="Q118" s="559" t="str">
        <f>IFERROR(VLOOKUP(O118,'NS QUẢN LÝ CG'!$A$4:$D$36,4,0),"")</f>
        <v>Lô 21 DP1</v>
      </c>
      <c r="R118" s="559" t="str">
        <f>IFERROR(VLOOKUP(O118,'NS QUẢN LÝ CG'!$A$4:$C$36,3,0),"")</f>
        <v>0387783316</v>
      </c>
      <c r="S118" s="532" t="str">
        <f>IFERROR(VLOOKUP(J118,'03. THIẾT BỊ'!$B$1:$S$836,3,0),"")</f>
        <v>A23-MKC-015</v>
      </c>
      <c r="T118" s="693" t="str">
        <f t="shared" si="3"/>
        <v>DP</v>
      </c>
      <c r="U118" s="693"/>
    </row>
    <row r="119">
      <c r="A119" s="692"/>
      <c r="B119" s="694"/>
      <c r="C119" s="532" t="str">
        <f>IFERROR(VLOOKUP(J119,'03. THIẾT BỊ'!$B$1:$U$836,5,0),"")</f>
        <v>Máy kéo chuối (Xăng)</v>
      </c>
      <c r="D119" s="463">
        <v>1.0</v>
      </c>
      <c r="E119" s="692"/>
      <c r="F119" s="463" t="s">
        <v>4158</v>
      </c>
      <c r="G119" s="692"/>
      <c r="H119" s="692">
        <f>IFERROR(VLOOKUP(J119,'03. THIẾT BỊ'!$B$1:$U$836,19,0),"")</f>
        <v>0.56</v>
      </c>
      <c r="I119" s="463" t="str">
        <f>IFERROR(VLOOKUP(J119,'03. THIẾT BỊ'!$B$1:$U$836,20,0),"")</f>
        <v>400 buồng/8h</v>
      </c>
      <c r="J119" s="464" t="s">
        <v>4008</v>
      </c>
      <c r="K119" s="463" t="s">
        <v>4158</v>
      </c>
      <c r="L119" s="692"/>
      <c r="M119" s="692"/>
      <c r="N119" s="692" t="str">
        <f>IFERROR(VLOOKUP(J119,'03. THIẾT BỊ'!$B$1:$U$836,4,0),"")</f>
        <v>ĐQSD</v>
      </c>
      <c r="O119" s="692" t="str">
        <f>IFERROR(VLOOKUP(J119,'03. THIẾT BỊ'!$B$1:$U$836,7,0),"")</f>
        <v>XN Chuối DP1</v>
      </c>
      <c r="P119" s="559" t="str">
        <f>IFERROR(VLOOKUP(O119,'NS QUẢN LÝ CG'!$A$4:$D$36,2,0),"")</f>
        <v>Thái Cao Lưu</v>
      </c>
      <c r="Q119" s="559" t="str">
        <f>IFERROR(VLOOKUP(O119,'NS QUẢN LÝ CG'!$A$4:$D$36,4,0),"")</f>
        <v>Lô 21 DP1</v>
      </c>
      <c r="R119" s="559" t="str">
        <f>IFERROR(VLOOKUP(O119,'NS QUẢN LÝ CG'!$A$4:$C$36,3,0),"")</f>
        <v>0387783316</v>
      </c>
      <c r="S119" s="532" t="str">
        <f>IFERROR(VLOOKUP(J119,'03. THIẾT BỊ'!$B$1:$S$836,3,0),"")</f>
        <v>A23-MKC-018</v>
      </c>
      <c r="T119" s="693" t="str">
        <f t="shared" si="3"/>
        <v>DP</v>
      </c>
      <c r="U119" s="693"/>
    </row>
    <row r="120">
      <c r="A120" s="692"/>
      <c r="B120" s="694"/>
      <c r="C120" s="532" t="str">
        <f>IFERROR(VLOOKUP(J120,'03. THIẾT BỊ'!$B$1:$U$836,5,0),"")</f>
        <v>Máy kéo chuối (Xăng)</v>
      </c>
      <c r="D120" s="463">
        <v>1.0</v>
      </c>
      <c r="E120" s="692"/>
      <c r="F120" s="463" t="s">
        <v>4158</v>
      </c>
      <c r="G120" s="692"/>
      <c r="H120" s="692">
        <f>IFERROR(VLOOKUP(J120,'03. THIẾT BỊ'!$B$1:$U$836,19,0),"")</f>
        <v>0.56</v>
      </c>
      <c r="I120" s="463" t="str">
        <f>IFERROR(VLOOKUP(J120,'03. THIẾT BỊ'!$B$1:$U$836,20,0),"")</f>
        <v>400 buồng/8h</v>
      </c>
      <c r="J120" s="464" t="s">
        <v>4010</v>
      </c>
      <c r="K120" s="463" t="s">
        <v>4158</v>
      </c>
      <c r="L120" s="692"/>
      <c r="M120" s="692"/>
      <c r="N120" s="692" t="str">
        <f>IFERROR(VLOOKUP(J120,'03. THIẾT BỊ'!$B$1:$U$836,4,0),"")</f>
        <v>ĐQSD</v>
      </c>
      <c r="O120" s="692" t="str">
        <f>IFERROR(VLOOKUP(J120,'03. THIẾT BỊ'!$B$1:$U$836,7,0),"")</f>
        <v>XN Chuối DP1</v>
      </c>
      <c r="P120" s="559" t="str">
        <f>IFERROR(VLOOKUP(O120,'NS QUẢN LÝ CG'!$A$4:$D$36,2,0),"")</f>
        <v>Thái Cao Lưu</v>
      </c>
      <c r="Q120" s="559" t="str">
        <f>IFERROR(VLOOKUP(O120,'NS QUẢN LÝ CG'!$A$4:$D$36,4,0),"")</f>
        <v>Lô 21 DP1</v>
      </c>
      <c r="R120" s="559" t="str">
        <f>IFERROR(VLOOKUP(O120,'NS QUẢN LÝ CG'!$A$4:$C$36,3,0),"")</f>
        <v>0387783316</v>
      </c>
      <c r="S120" s="532" t="str">
        <f>IFERROR(VLOOKUP(J120,'03. THIẾT BỊ'!$B$1:$S$836,3,0),"")</f>
        <v>A23-MKC-019</v>
      </c>
      <c r="T120" s="693" t="str">
        <f t="shared" si="3"/>
        <v>DP</v>
      </c>
      <c r="U120" s="693"/>
    </row>
    <row r="121">
      <c r="A121" s="692"/>
      <c r="B121" s="694"/>
      <c r="C121" s="532" t="str">
        <f>IFERROR(VLOOKUP(J121,'03. THIẾT BỊ'!$B$1:$U$836,5,0),"")</f>
        <v>Máy kéo chuối (Xăng)</v>
      </c>
      <c r="D121" s="463">
        <v>1.0</v>
      </c>
      <c r="E121" s="692"/>
      <c r="F121" s="463" t="s">
        <v>4158</v>
      </c>
      <c r="G121" s="692"/>
      <c r="H121" s="692">
        <f>IFERROR(VLOOKUP(J121,'03. THIẾT BỊ'!$B$1:$U$836,19,0),"")</f>
        <v>0.56</v>
      </c>
      <c r="I121" s="463" t="str">
        <f>IFERROR(VLOOKUP(J121,'03. THIẾT BỊ'!$B$1:$U$836,20,0),"")</f>
        <v>400 buồng/8h</v>
      </c>
      <c r="J121" s="464" t="s">
        <v>4015</v>
      </c>
      <c r="K121" s="463" t="s">
        <v>4158</v>
      </c>
      <c r="L121" s="692"/>
      <c r="M121" s="692"/>
      <c r="N121" s="692" t="str">
        <f>IFERROR(VLOOKUP(J121,'03. THIẾT BỊ'!$B$1:$U$836,4,0),"")</f>
        <v>ĐQSD</v>
      </c>
      <c r="O121" s="692" t="str">
        <f>IFERROR(VLOOKUP(J121,'03. THIẾT BỊ'!$B$1:$U$836,7,0),"")</f>
        <v>XN Chuối DP1</v>
      </c>
      <c r="P121" s="559" t="str">
        <f>IFERROR(VLOOKUP(O121,'NS QUẢN LÝ CG'!$A$4:$D$36,2,0),"")</f>
        <v>Thái Cao Lưu</v>
      </c>
      <c r="Q121" s="559" t="str">
        <f>IFERROR(VLOOKUP(O121,'NS QUẢN LÝ CG'!$A$4:$D$36,4,0),"")</f>
        <v>Lô 21 DP1</v>
      </c>
      <c r="R121" s="559" t="str">
        <f>IFERROR(VLOOKUP(O121,'NS QUẢN LÝ CG'!$A$4:$C$36,3,0),"")</f>
        <v>0387783316</v>
      </c>
      <c r="S121" s="532" t="str">
        <f>IFERROR(VLOOKUP(J121,'03. THIẾT BỊ'!$B$1:$S$836,3,0),"")</f>
        <v>A23-MKC-022</v>
      </c>
      <c r="T121" s="693" t="str">
        <f t="shared" si="3"/>
        <v>DP</v>
      </c>
      <c r="U121" s="693"/>
    </row>
    <row r="122">
      <c r="A122" s="692"/>
      <c r="B122" s="694"/>
      <c r="C122" s="532" t="str">
        <f>IFERROR(VLOOKUP(J122,'03. THIẾT BỊ'!$B$1:$U$836,5,0),"")</f>
        <v>Máy kéo chuối (Xăng)</v>
      </c>
      <c r="D122" s="463">
        <v>1.0</v>
      </c>
      <c r="E122" s="692"/>
      <c r="F122" s="463" t="s">
        <v>4158</v>
      </c>
      <c r="G122" s="692"/>
      <c r="H122" s="692">
        <f>IFERROR(VLOOKUP(J122,'03. THIẾT BỊ'!$B$1:$U$836,19,0),"")</f>
        <v>0.56</v>
      </c>
      <c r="I122" s="463" t="str">
        <f>IFERROR(VLOOKUP(J122,'03. THIẾT BỊ'!$B$1:$U$836,20,0),"")</f>
        <v>400 buồng/8h</v>
      </c>
      <c r="J122" s="464" t="s">
        <v>4018</v>
      </c>
      <c r="K122" s="463" t="s">
        <v>4158</v>
      </c>
      <c r="L122" s="692"/>
      <c r="M122" s="692"/>
      <c r="N122" s="692" t="str">
        <f>IFERROR(VLOOKUP(J122,'03. THIẾT BỊ'!$B$1:$U$836,4,0),"")</f>
        <v>ĐQSD</v>
      </c>
      <c r="O122" s="692" t="str">
        <f>IFERROR(VLOOKUP(J122,'03. THIẾT BỊ'!$B$1:$U$836,7,0),"")</f>
        <v>XN Chuối DP1</v>
      </c>
      <c r="P122" s="559" t="str">
        <f>IFERROR(VLOOKUP(O122,'NS QUẢN LÝ CG'!$A$4:$D$36,2,0),"")</f>
        <v>Thái Cao Lưu</v>
      </c>
      <c r="Q122" s="559" t="str">
        <f>IFERROR(VLOOKUP(O122,'NS QUẢN LÝ CG'!$A$4:$D$36,4,0),"")</f>
        <v>Lô 21 DP1</v>
      </c>
      <c r="R122" s="559" t="str">
        <f>IFERROR(VLOOKUP(O122,'NS QUẢN LÝ CG'!$A$4:$C$36,3,0),"")</f>
        <v>0387783316</v>
      </c>
      <c r="S122" s="532" t="str">
        <f>IFERROR(VLOOKUP(J122,'03. THIẾT BỊ'!$B$1:$S$836,3,0),"")</f>
        <v>A23-MKC-026</v>
      </c>
      <c r="T122" s="693" t="str">
        <f t="shared" si="3"/>
        <v>DP</v>
      </c>
      <c r="U122" s="693"/>
    </row>
    <row r="123">
      <c r="A123" s="692"/>
      <c r="B123" s="694"/>
      <c r="C123" s="532" t="str">
        <f>IFERROR(VLOOKUP(J123,'03. THIẾT BỊ'!$B$1:$U$836,5,0),"")</f>
        <v>Máy kéo chuối (Xăng)</v>
      </c>
      <c r="D123" s="463">
        <v>1.0</v>
      </c>
      <c r="E123" s="692"/>
      <c r="F123" s="463" t="s">
        <v>4158</v>
      </c>
      <c r="G123" s="692"/>
      <c r="H123" s="692">
        <f>IFERROR(VLOOKUP(J123,'03. THIẾT BỊ'!$B$1:$U$836,19,0),"")</f>
        <v>0.56</v>
      </c>
      <c r="I123" s="463" t="str">
        <f>IFERROR(VLOOKUP(J123,'03. THIẾT BỊ'!$B$1:$U$836,20,0),"")</f>
        <v>400 buồng/8h</v>
      </c>
      <c r="J123" s="464" t="s">
        <v>4022</v>
      </c>
      <c r="K123" s="463" t="s">
        <v>4158</v>
      </c>
      <c r="L123" s="692"/>
      <c r="M123" s="692"/>
      <c r="N123" s="692" t="str">
        <f>IFERROR(VLOOKUP(J123,'03. THIẾT BỊ'!$B$1:$U$836,4,0),"")</f>
        <v>ĐQSD</v>
      </c>
      <c r="O123" s="692" t="str">
        <f>IFERROR(VLOOKUP(J123,'03. THIẾT BỊ'!$B$1:$U$836,7,0),"")</f>
        <v>XN Chuối DP1</v>
      </c>
      <c r="P123" s="559" t="str">
        <f>IFERROR(VLOOKUP(O123,'NS QUẢN LÝ CG'!$A$4:$D$36,2,0),"")</f>
        <v>Thái Cao Lưu</v>
      </c>
      <c r="Q123" s="559" t="str">
        <f>IFERROR(VLOOKUP(O123,'NS QUẢN LÝ CG'!$A$4:$D$36,4,0),"")</f>
        <v>Lô 21 DP1</v>
      </c>
      <c r="R123" s="559" t="str">
        <f>IFERROR(VLOOKUP(O123,'NS QUẢN LÝ CG'!$A$4:$C$36,3,0),"")</f>
        <v>0387783316</v>
      </c>
      <c r="S123" s="532" t="str">
        <f>IFERROR(VLOOKUP(J123,'03. THIẾT BỊ'!$B$1:$S$836,3,0),"")</f>
        <v>A23-MKC-028</v>
      </c>
      <c r="T123" s="693" t="str">
        <f t="shared" si="3"/>
        <v>DP</v>
      </c>
      <c r="U123" s="693"/>
    </row>
    <row r="124">
      <c r="A124" s="692"/>
      <c r="B124" s="694"/>
      <c r="C124" s="532" t="str">
        <f>IFERROR(VLOOKUP(J124,'03. THIẾT BỊ'!$B$1:$U$836,5,0),"")</f>
        <v>Máy kéo chuối (Xăng)</v>
      </c>
      <c r="D124" s="463">
        <v>1.0</v>
      </c>
      <c r="E124" s="692"/>
      <c r="F124" s="463" t="s">
        <v>4158</v>
      </c>
      <c r="G124" s="692"/>
      <c r="H124" s="692">
        <f>IFERROR(VLOOKUP(J124,'03. THIẾT BỊ'!$B$1:$U$836,19,0),"")</f>
        <v>0.56</v>
      </c>
      <c r="I124" s="463" t="str">
        <f>IFERROR(VLOOKUP(J124,'03. THIẾT BỊ'!$B$1:$U$836,20,0),"")</f>
        <v>400 buồng/8h</v>
      </c>
      <c r="J124" s="464" t="s">
        <v>4026</v>
      </c>
      <c r="K124" s="463"/>
      <c r="L124" s="463" t="s">
        <v>4158</v>
      </c>
      <c r="M124" s="692"/>
      <c r="N124" s="692" t="str">
        <f>IFERROR(VLOOKUP(J124,'03. THIẾT BỊ'!$B$1:$U$836,4,0),"")</f>
        <v>ĐQSD</v>
      </c>
      <c r="O124" s="692" t="str">
        <f>IFERROR(VLOOKUP(J124,'03. THIẾT BỊ'!$B$1:$U$836,7,0),"")</f>
        <v>XN Chuối DP1</v>
      </c>
      <c r="P124" s="559" t="str">
        <f>IFERROR(VLOOKUP(O124,'NS QUẢN LÝ CG'!$A$4:$D$36,2,0),"")</f>
        <v>Thái Cao Lưu</v>
      </c>
      <c r="Q124" s="559" t="str">
        <f>IFERROR(VLOOKUP(O124,'NS QUẢN LÝ CG'!$A$4:$D$36,4,0),"")</f>
        <v>Lô 21 DP1</v>
      </c>
      <c r="R124" s="559" t="str">
        <f>IFERROR(VLOOKUP(O124,'NS QUẢN LÝ CG'!$A$4:$C$36,3,0),"")</f>
        <v>0387783316</v>
      </c>
      <c r="S124" s="532" t="str">
        <f>IFERROR(VLOOKUP(J124,'03. THIẾT BỊ'!$B$1:$S$836,3,0),"")</f>
        <v>A23-MKC-030</v>
      </c>
      <c r="T124" s="693" t="str">
        <f t="shared" si="3"/>
        <v>DP</v>
      </c>
      <c r="U124" s="693"/>
    </row>
    <row r="125">
      <c r="A125" s="692"/>
      <c r="B125" s="694"/>
      <c r="C125" s="532" t="str">
        <f>IFERROR(VLOOKUP(J125,'03. THIẾT BỊ'!$B$1:$U$836,5,0),"")</f>
        <v>Máy kéo chuối (Xăng)</v>
      </c>
      <c r="D125" s="463">
        <v>1.0</v>
      </c>
      <c r="E125" s="692"/>
      <c r="F125" s="463" t="s">
        <v>4158</v>
      </c>
      <c r="G125" s="692"/>
      <c r="H125" s="692">
        <f>IFERROR(VLOOKUP(J125,'03. THIẾT BỊ'!$B$1:$U$836,19,0),"")</f>
        <v>0.56</v>
      </c>
      <c r="I125" s="463" t="str">
        <f>IFERROR(VLOOKUP(J125,'03. THIẾT BỊ'!$B$1:$U$836,20,0),"")</f>
        <v>400 buồng/8h</v>
      </c>
      <c r="J125" s="464" t="s">
        <v>4030</v>
      </c>
      <c r="K125" s="463"/>
      <c r="L125" s="463" t="s">
        <v>4158</v>
      </c>
      <c r="M125" s="692"/>
      <c r="N125" s="692" t="str">
        <f>IFERROR(VLOOKUP(J125,'03. THIẾT BỊ'!$B$1:$U$836,4,0),"")</f>
        <v>ĐQSD</v>
      </c>
      <c r="O125" s="692" t="str">
        <f>IFERROR(VLOOKUP(J125,'03. THIẾT BỊ'!$B$1:$U$836,7,0),"")</f>
        <v>XN Chuối DP1</v>
      </c>
      <c r="P125" s="559" t="str">
        <f>IFERROR(VLOOKUP(O125,'NS QUẢN LÝ CG'!$A$4:$D$36,2,0),"")</f>
        <v>Thái Cao Lưu</v>
      </c>
      <c r="Q125" s="559" t="str">
        <f>IFERROR(VLOOKUP(O125,'NS QUẢN LÝ CG'!$A$4:$D$36,4,0),"")</f>
        <v>Lô 21 DP1</v>
      </c>
      <c r="R125" s="559" t="str">
        <f>IFERROR(VLOOKUP(O125,'NS QUẢN LÝ CG'!$A$4:$C$36,3,0),"")</f>
        <v>0387783316</v>
      </c>
      <c r="S125" s="532" t="str">
        <f>IFERROR(VLOOKUP(J125,'03. THIẾT BỊ'!$B$1:$S$836,3,0),"")</f>
        <v>A23-MKC-034</v>
      </c>
      <c r="T125" s="693" t="str">
        <f t="shared" si="3"/>
        <v>DP</v>
      </c>
      <c r="U125" s="693"/>
    </row>
    <row r="126">
      <c r="A126" s="692"/>
      <c r="B126" s="694"/>
      <c r="C126" s="532" t="str">
        <f>IFERROR(VLOOKUP(J126,'03. THIẾT BỊ'!$B$1:$U$836,5,0),"")</f>
        <v>Máy kéo chuối (Xăng)</v>
      </c>
      <c r="D126" s="463">
        <v>1.0</v>
      </c>
      <c r="E126" s="692"/>
      <c r="F126" s="463" t="s">
        <v>4158</v>
      </c>
      <c r="G126" s="692"/>
      <c r="H126" s="692">
        <f>IFERROR(VLOOKUP(J126,'03. THIẾT BỊ'!$B$1:$U$836,19,0),"")</f>
        <v>0.56</v>
      </c>
      <c r="I126" s="463" t="str">
        <f>IFERROR(VLOOKUP(J126,'03. THIẾT BỊ'!$B$1:$U$836,20,0),"")</f>
        <v>400 buồng/8h</v>
      </c>
      <c r="J126" s="464" t="s">
        <v>4033</v>
      </c>
      <c r="K126" s="463" t="s">
        <v>4158</v>
      </c>
      <c r="L126" s="692"/>
      <c r="M126" s="692"/>
      <c r="N126" s="692" t="str">
        <f>IFERROR(VLOOKUP(J126,'03. THIẾT BỊ'!$B$1:$U$836,4,0),"")</f>
        <v>ĐQSD</v>
      </c>
      <c r="O126" s="692" t="str">
        <f>IFERROR(VLOOKUP(J126,'03. THIẾT BỊ'!$B$1:$U$836,7,0),"")</f>
        <v>XN Chuối DP1</v>
      </c>
      <c r="P126" s="559" t="str">
        <f>IFERROR(VLOOKUP(O126,'NS QUẢN LÝ CG'!$A$4:$D$36,2,0),"")</f>
        <v>Thái Cao Lưu</v>
      </c>
      <c r="Q126" s="559" t="str">
        <f>IFERROR(VLOOKUP(O126,'NS QUẢN LÝ CG'!$A$4:$D$36,4,0),"")</f>
        <v>Lô 21 DP1</v>
      </c>
      <c r="R126" s="559" t="str">
        <f>IFERROR(VLOOKUP(O126,'NS QUẢN LÝ CG'!$A$4:$C$36,3,0),"")</f>
        <v>0387783316</v>
      </c>
      <c r="S126" s="532" t="str">
        <f>IFERROR(VLOOKUP(J126,'03. THIẾT BỊ'!$B$1:$S$836,3,0),"")</f>
        <v>A23-MKC-040</v>
      </c>
      <c r="T126" s="693" t="str">
        <f t="shared" si="3"/>
        <v>DP</v>
      </c>
      <c r="U126" s="693"/>
    </row>
    <row r="127">
      <c r="A127" s="692"/>
      <c r="B127" s="694"/>
      <c r="C127" s="532" t="str">
        <f>IFERROR(VLOOKUP(J127,'03. THIẾT BỊ'!$B$1:$U$836,5,0),"")</f>
        <v>Máy kéo chuối (Xăng)</v>
      </c>
      <c r="D127" s="463">
        <v>1.0</v>
      </c>
      <c r="E127" s="692"/>
      <c r="F127" s="463" t="s">
        <v>4158</v>
      </c>
      <c r="G127" s="692"/>
      <c r="H127" s="692">
        <f>IFERROR(VLOOKUP(J127,'03. THIẾT BỊ'!$B$1:$U$836,19,0),"")</f>
        <v>0.56</v>
      </c>
      <c r="I127" s="463" t="str">
        <f>IFERROR(VLOOKUP(J127,'03. THIẾT BỊ'!$B$1:$U$836,20,0),"")</f>
        <v>400 buồng/8h</v>
      </c>
      <c r="J127" s="464" t="s">
        <v>4207</v>
      </c>
      <c r="K127" s="463"/>
      <c r="L127" s="463" t="s">
        <v>4158</v>
      </c>
      <c r="M127" s="692"/>
      <c r="N127" s="692" t="str">
        <f>IFERROR(VLOOKUP(J127,'03. THIẾT BỊ'!$B$1:$U$836,4,0),"")</f>
        <v>ĐQSD</v>
      </c>
      <c r="O127" s="692" t="str">
        <f>IFERROR(VLOOKUP(J127,'03. THIẾT BỊ'!$B$1:$U$836,7,0),"")</f>
        <v>XN Chuối DP2</v>
      </c>
      <c r="P127" s="559" t="str">
        <f>IFERROR(VLOOKUP(O127,'NS QUẢN LÝ CG'!$A$4:$D$36,2,0),"")</f>
        <v>Huỳnh Quang Viên</v>
      </c>
      <c r="Q127" s="559" t="str">
        <f>IFERROR(VLOOKUP(O127,'NS QUẢN LÝ CG'!$A$4:$D$36,4,0),"")</f>
        <v>Lô 15.6 DP2</v>
      </c>
      <c r="R127" s="559" t="str">
        <f>IFERROR(VLOOKUP(O127,'NS QUẢN LÝ CG'!$A$4:$C$36,3,0),"")</f>
        <v>0977623379</v>
      </c>
      <c r="S127" s="532" t="str">
        <f>IFERROR(VLOOKUP(J127,'03. THIẾT BỊ'!$B$1:$S$836,3,0),"")</f>
        <v>A23-MKC-001</v>
      </c>
      <c r="T127" s="693" t="str">
        <f t="shared" si="3"/>
        <v>DP</v>
      </c>
      <c r="U127" s="693"/>
    </row>
    <row r="128">
      <c r="A128" s="692"/>
      <c r="B128" s="694"/>
      <c r="C128" s="532" t="str">
        <f>IFERROR(VLOOKUP(J128,'03. THIẾT BỊ'!$B$1:$U$836,5,0),"")</f>
        <v>Máy kéo chuối (Xăng)</v>
      </c>
      <c r="D128" s="463">
        <v>1.0</v>
      </c>
      <c r="E128" s="692"/>
      <c r="F128" s="463" t="s">
        <v>4158</v>
      </c>
      <c r="G128" s="692"/>
      <c r="H128" s="692">
        <f>IFERROR(VLOOKUP(J128,'03. THIẾT BỊ'!$B$1:$U$836,19,0),"")</f>
        <v>0.56</v>
      </c>
      <c r="I128" s="463" t="str">
        <f>IFERROR(VLOOKUP(J128,'03. THIẾT BỊ'!$B$1:$U$836,20,0),"")</f>
        <v>400 buồng/8h</v>
      </c>
      <c r="J128" s="464" t="s">
        <v>4211</v>
      </c>
      <c r="K128" s="463"/>
      <c r="L128" s="463" t="s">
        <v>4158</v>
      </c>
      <c r="M128" s="692"/>
      <c r="N128" s="692" t="str">
        <f>IFERROR(VLOOKUP(J128,'03. THIẾT BỊ'!$B$1:$U$836,4,0),"")</f>
        <v>ĐQSD</v>
      </c>
      <c r="O128" s="692" t="str">
        <f>IFERROR(VLOOKUP(J128,'03. THIẾT BỊ'!$B$1:$U$836,7,0),"")</f>
        <v>XN Chuối DP2</v>
      </c>
      <c r="P128" s="559" t="str">
        <f>IFERROR(VLOOKUP(O128,'NS QUẢN LÝ CG'!$A$4:$D$36,2,0),"")</f>
        <v>Huỳnh Quang Viên</v>
      </c>
      <c r="Q128" s="559" t="str">
        <f>IFERROR(VLOOKUP(O128,'NS QUẢN LÝ CG'!$A$4:$D$36,4,0),"")</f>
        <v>Lô 15.6 DP2</v>
      </c>
      <c r="R128" s="559" t="str">
        <f>IFERROR(VLOOKUP(O128,'NS QUẢN LÝ CG'!$A$4:$C$36,3,0),"")</f>
        <v>0977623379</v>
      </c>
      <c r="S128" s="532" t="str">
        <f>IFERROR(VLOOKUP(J128,'03. THIẾT BỊ'!$B$1:$S$836,3,0),"")</f>
        <v>A23-MKC-003</v>
      </c>
      <c r="T128" s="693" t="str">
        <f t="shared" si="3"/>
        <v>DP</v>
      </c>
      <c r="U128" s="693"/>
    </row>
    <row r="129">
      <c r="A129" s="692"/>
      <c r="B129" s="694"/>
      <c r="C129" s="532" t="str">
        <f>IFERROR(VLOOKUP(J129,'03. THIẾT BỊ'!$B$1:$U$836,5,0),"")</f>
        <v>Máy kéo chuối (Xăng)</v>
      </c>
      <c r="D129" s="463">
        <v>1.0</v>
      </c>
      <c r="E129" s="692"/>
      <c r="F129" s="463" t="s">
        <v>4158</v>
      </c>
      <c r="G129" s="692"/>
      <c r="H129" s="692">
        <f>IFERROR(VLOOKUP(J129,'03. THIẾT BỊ'!$B$1:$U$836,19,0),"")</f>
        <v>0.56</v>
      </c>
      <c r="I129" s="463" t="str">
        <f>IFERROR(VLOOKUP(J129,'03. THIẾT BỊ'!$B$1:$U$836,20,0),"")</f>
        <v>400 buồng/8h</v>
      </c>
      <c r="J129" s="464" t="s">
        <v>4216</v>
      </c>
      <c r="K129" s="463"/>
      <c r="L129" s="463" t="s">
        <v>4158</v>
      </c>
      <c r="M129" s="692"/>
      <c r="N129" s="692" t="str">
        <f>IFERROR(VLOOKUP(J129,'03. THIẾT BỊ'!$B$1:$U$836,4,0),"")</f>
        <v>ĐQSD</v>
      </c>
      <c r="O129" s="692" t="str">
        <f>IFERROR(VLOOKUP(J129,'03. THIẾT BỊ'!$B$1:$U$836,7,0),"")</f>
        <v>XN Chuối DP2</v>
      </c>
      <c r="P129" s="559" t="str">
        <f>IFERROR(VLOOKUP(O129,'NS QUẢN LÝ CG'!$A$4:$D$36,2,0),"")</f>
        <v>Huỳnh Quang Viên</v>
      </c>
      <c r="Q129" s="559" t="str">
        <f>IFERROR(VLOOKUP(O129,'NS QUẢN LÝ CG'!$A$4:$D$36,4,0),"")</f>
        <v>Lô 15.6 DP2</v>
      </c>
      <c r="R129" s="559" t="str">
        <f>IFERROR(VLOOKUP(O129,'NS QUẢN LÝ CG'!$A$4:$C$36,3,0),"")</f>
        <v>0977623379</v>
      </c>
      <c r="S129" s="532" t="str">
        <f>IFERROR(VLOOKUP(J129,'03. THIẾT BỊ'!$B$1:$S$836,3,0),"")</f>
        <v>A23-MKC-009</v>
      </c>
      <c r="T129" s="693" t="str">
        <f t="shared" si="3"/>
        <v>DP</v>
      </c>
      <c r="U129" s="693"/>
    </row>
    <row r="130">
      <c r="A130" s="692"/>
      <c r="B130" s="694"/>
      <c r="C130" s="532" t="str">
        <f>IFERROR(VLOOKUP(J130,'03. THIẾT BỊ'!$B$1:$U$836,5,0),"")</f>
        <v>Máy kéo chuối (Xăng)</v>
      </c>
      <c r="D130" s="463">
        <v>1.0</v>
      </c>
      <c r="E130" s="692"/>
      <c r="F130" s="463" t="s">
        <v>4158</v>
      </c>
      <c r="G130" s="692"/>
      <c r="H130" s="692">
        <f>IFERROR(VLOOKUP(J130,'03. THIẾT BỊ'!$B$1:$U$836,19,0),"")</f>
        <v>0.56</v>
      </c>
      <c r="I130" s="463" t="str">
        <f>IFERROR(VLOOKUP(J130,'03. THIẾT BỊ'!$B$1:$U$836,20,0),"")</f>
        <v>400 buồng/8h</v>
      </c>
      <c r="J130" s="464" t="s">
        <v>4220</v>
      </c>
      <c r="K130" s="463" t="s">
        <v>4158</v>
      </c>
      <c r="L130" s="692"/>
      <c r="M130" s="692"/>
      <c r="N130" s="692" t="str">
        <f>IFERROR(VLOOKUP(J130,'03. THIẾT BỊ'!$B$1:$U$836,4,0),"")</f>
        <v>ĐQSD</v>
      </c>
      <c r="O130" s="692" t="str">
        <f>IFERROR(VLOOKUP(J130,'03. THIẾT BỊ'!$B$1:$U$836,7,0),"")</f>
        <v>XN Chuối DP2</v>
      </c>
      <c r="P130" s="559" t="str">
        <f>IFERROR(VLOOKUP(O130,'NS QUẢN LÝ CG'!$A$4:$D$36,2,0),"")</f>
        <v>Huỳnh Quang Viên</v>
      </c>
      <c r="Q130" s="559" t="str">
        <f>IFERROR(VLOOKUP(O130,'NS QUẢN LÝ CG'!$A$4:$D$36,4,0),"")</f>
        <v>Lô 15.6 DP2</v>
      </c>
      <c r="R130" s="559" t="str">
        <f>IFERROR(VLOOKUP(O130,'NS QUẢN LÝ CG'!$A$4:$C$36,3,0),"")</f>
        <v>0977623379</v>
      </c>
      <c r="S130" s="532" t="str">
        <f>IFERROR(VLOOKUP(J130,'03. THIẾT BỊ'!$B$1:$S$836,3,0),"")</f>
        <v>A23-MKC-010</v>
      </c>
      <c r="T130" s="693" t="str">
        <f t="shared" si="3"/>
        <v>DP</v>
      </c>
      <c r="U130" s="693"/>
    </row>
    <row r="131">
      <c r="A131" s="692"/>
      <c r="B131" s="694"/>
      <c r="C131" s="532" t="str">
        <f>IFERROR(VLOOKUP(J131,'03. THIẾT BỊ'!$B$1:$U$836,5,0),"")</f>
        <v>Máy kéo chuối (Xăng)</v>
      </c>
      <c r="D131" s="463">
        <v>1.0</v>
      </c>
      <c r="E131" s="692"/>
      <c r="F131" s="463" t="s">
        <v>4158</v>
      </c>
      <c r="G131" s="692"/>
      <c r="H131" s="692">
        <f>IFERROR(VLOOKUP(J131,'03. THIẾT BỊ'!$B$1:$U$836,19,0),"")</f>
        <v>0.56</v>
      </c>
      <c r="I131" s="463" t="str">
        <f>IFERROR(VLOOKUP(J131,'03. THIẾT BỊ'!$B$1:$U$836,20,0),"")</f>
        <v>400 buồng/8h</v>
      </c>
      <c r="J131" s="464" t="s">
        <v>4224</v>
      </c>
      <c r="K131" s="463" t="s">
        <v>4158</v>
      </c>
      <c r="L131" s="692"/>
      <c r="M131" s="692"/>
      <c r="N131" s="692" t="str">
        <f>IFERROR(VLOOKUP(J131,'03. THIẾT BỊ'!$B$1:$U$836,4,0),"")</f>
        <v>ĐQSD</v>
      </c>
      <c r="O131" s="692" t="str">
        <f>IFERROR(VLOOKUP(J131,'03. THIẾT BỊ'!$B$1:$U$836,7,0),"")</f>
        <v>XN Chuối DP2</v>
      </c>
      <c r="P131" s="559" t="str">
        <f>IFERROR(VLOOKUP(O131,'NS QUẢN LÝ CG'!$A$4:$D$36,2,0),"")</f>
        <v>Huỳnh Quang Viên</v>
      </c>
      <c r="Q131" s="559" t="str">
        <f>IFERROR(VLOOKUP(O131,'NS QUẢN LÝ CG'!$A$4:$D$36,4,0),"")</f>
        <v>Lô 15.6 DP2</v>
      </c>
      <c r="R131" s="559" t="str">
        <f>IFERROR(VLOOKUP(O131,'NS QUẢN LÝ CG'!$A$4:$C$36,3,0),"")</f>
        <v>0977623379</v>
      </c>
      <c r="S131" s="532" t="str">
        <f>IFERROR(VLOOKUP(J131,'03. THIẾT BỊ'!$B$1:$S$836,3,0),"")</f>
        <v>A23-MKC-024</v>
      </c>
      <c r="T131" s="693" t="str">
        <f t="shared" si="3"/>
        <v>DP</v>
      </c>
      <c r="U131" s="693"/>
    </row>
    <row r="132">
      <c r="A132" s="692"/>
      <c r="B132" s="694"/>
      <c r="C132" s="532" t="str">
        <f>IFERROR(VLOOKUP(J132,'03. THIẾT BỊ'!$B$1:$U$836,5,0),"")</f>
        <v>Máy kéo chuối (Xăng)</v>
      </c>
      <c r="D132" s="463">
        <v>1.0</v>
      </c>
      <c r="E132" s="692"/>
      <c r="F132" s="463" t="s">
        <v>4158</v>
      </c>
      <c r="G132" s="692"/>
      <c r="H132" s="692">
        <f>IFERROR(VLOOKUP(J132,'03. THIẾT BỊ'!$B$1:$U$836,19,0),"")</f>
        <v>0.56</v>
      </c>
      <c r="I132" s="463" t="str">
        <f>IFERROR(VLOOKUP(J132,'03. THIẾT BỊ'!$B$1:$U$836,20,0),"")</f>
        <v>400 buồng/8h</v>
      </c>
      <c r="J132" s="464" t="s">
        <v>4228</v>
      </c>
      <c r="K132" s="463" t="s">
        <v>4158</v>
      </c>
      <c r="L132" s="692"/>
      <c r="M132" s="692"/>
      <c r="N132" s="692" t="str">
        <f>IFERROR(VLOOKUP(J132,'03. THIẾT BỊ'!$B$1:$U$836,4,0),"")</f>
        <v>ĐQSD</v>
      </c>
      <c r="O132" s="692" t="str">
        <f>IFERROR(VLOOKUP(J132,'03. THIẾT BỊ'!$B$1:$U$836,7,0),"")</f>
        <v>XN Chuối DP2</v>
      </c>
      <c r="P132" s="559" t="str">
        <f>IFERROR(VLOOKUP(O132,'NS QUẢN LÝ CG'!$A$4:$D$36,2,0),"")</f>
        <v>Huỳnh Quang Viên</v>
      </c>
      <c r="Q132" s="559" t="str">
        <f>IFERROR(VLOOKUP(O132,'NS QUẢN LÝ CG'!$A$4:$D$36,4,0),"")</f>
        <v>Lô 15.6 DP2</v>
      </c>
      <c r="R132" s="559" t="str">
        <f>IFERROR(VLOOKUP(O132,'NS QUẢN LÝ CG'!$A$4:$C$36,3,0),"")</f>
        <v>0977623379</v>
      </c>
      <c r="S132" s="532" t="str">
        <f>IFERROR(VLOOKUP(J132,'03. THIẾT BỊ'!$B$1:$S$836,3,0),"")</f>
        <v>A23-MKC-025</v>
      </c>
      <c r="T132" s="693" t="str">
        <f t="shared" si="3"/>
        <v>DP</v>
      </c>
      <c r="U132" s="693"/>
    </row>
    <row r="133">
      <c r="A133" s="692"/>
      <c r="B133" s="694"/>
      <c r="C133" s="532" t="str">
        <f>IFERROR(VLOOKUP(J133,'03. THIẾT BỊ'!$B$1:$U$836,5,0),"")</f>
        <v>Máy kéo chuối (Xăng)</v>
      </c>
      <c r="D133" s="463">
        <v>1.0</v>
      </c>
      <c r="E133" s="692"/>
      <c r="F133" s="463" t="s">
        <v>4158</v>
      </c>
      <c r="G133" s="692"/>
      <c r="H133" s="692">
        <f>IFERROR(VLOOKUP(J133,'03. THIẾT BỊ'!$B$1:$U$836,19,0),"")</f>
        <v>0.56</v>
      </c>
      <c r="I133" s="463" t="str">
        <f>IFERROR(VLOOKUP(J133,'03. THIẾT BỊ'!$B$1:$U$836,20,0),"")</f>
        <v>400 buồng/8h</v>
      </c>
      <c r="J133" s="464" t="s">
        <v>4231</v>
      </c>
      <c r="K133" s="463"/>
      <c r="L133" s="463" t="s">
        <v>4158</v>
      </c>
      <c r="M133" s="692"/>
      <c r="N133" s="692" t="str">
        <f>IFERROR(VLOOKUP(J133,'03. THIẾT BỊ'!$B$1:$U$836,4,0),"")</f>
        <v>ĐQSD</v>
      </c>
      <c r="O133" s="692" t="str">
        <f>IFERROR(VLOOKUP(J133,'03. THIẾT BỊ'!$B$1:$U$836,7,0),"")</f>
        <v>XN Chuối DP2</v>
      </c>
      <c r="P133" s="559" t="str">
        <f>IFERROR(VLOOKUP(O133,'NS QUẢN LÝ CG'!$A$4:$D$36,2,0),"")</f>
        <v>Huỳnh Quang Viên</v>
      </c>
      <c r="Q133" s="559" t="str">
        <f>IFERROR(VLOOKUP(O133,'NS QUẢN LÝ CG'!$A$4:$D$36,4,0),"")</f>
        <v>Lô 15.6 DP2</v>
      </c>
      <c r="R133" s="559" t="str">
        <f>IFERROR(VLOOKUP(O133,'NS QUẢN LÝ CG'!$A$4:$C$36,3,0),"")</f>
        <v>0977623379</v>
      </c>
      <c r="S133" s="532" t="str">
        <f>IFERROR(VLOOKUP(J133,'03. THIẾT BỊ'!$B$1:$S$836,3,0),"")</f>
        <v>A23-MKC-032</v>
      </c>
      <c r="T133" s="693" t="str">
        <f t="shared" si="3"/>
        <v>DP</v>
      </c>
      <c r="U133" s="693"/>
    </row>
    <row r="134">
      <c r="A134" s="692"/>
      <c r="B134" s="694"/>
      <c r="C134" s="532" t="str">
        <f>IFERROR(VLOOKUP(J134,'03. THIẾT BỊ'!$B$1:$U$836,5,0),"")</f>
        <v>Máy kéo chuối (Xăng)</v>
      </c>
      <c r="D134" s="463">
        <v>1.0</v>
      </c>
      <c r="E134" s="692"/>
      <c r="F134" s="463" t="s">
        <v>4158</v>
      </c>
      <c r="G134" s="692"/>
      <c r="H134" s="692">
        <f>IFERROR(VLOOKUP(J134,'03. THIẾT BỊ'!$B$1:$U$836,19,0),"")</f>
        <v>0.56</v>
      </c>
      <c r="I134" s="463" t="str">
        <f>IFERROR(VLOOKUP(J134,'03. THIẾT BỊ'!$B$1:$U$836,20,0),"")</f>
        <v>400 buồng/8h</v>
      </c>
      <c r="J134" s="464" t="s">
        <v>4235</v>
      </c>
      <c r="K134" s="463"/>
      <c r="L134" s="463" t="s">
        <v>4158</v>
      </c>
      <c r="M134" s="692"/>
      <c r="N134" s="692" t="str">
        <f>IFERROR(VLOOKUP(J134,'03. THIẾT BỊ'!$B$1:$U$836,4,0),"")</f>
        <v>ĐQSD</v>
      </c>
      <c r="O134" s="692" t="str">
        <f>IFERROR(VLOOKUP(J134,'03. THIẾT BỊ'!$B$1:$U$836,7,0),"")</f>
        <v>XN Chuối DP2</v>
      </c>
      <c r="P134" s="559" t="str">
        <f>IFERROR(VLOOKUP(O134,'NS QUẢN LÝ CG'!$A$4:$D$36,2,0),"")</f>
        <v>Huỳnh Quang Viên</v>
      </c>
      <c r="Q134" s="559" t="str">
        <f>IFERROR(VLOOKUP(O134,'NS QUẢN LÝ CG'!$A$4:$D$36,4,0),"")</f>
        <v>Lô 15.6 DP2</v>
      </c>
      <c r="R134" s="559" t="str">
        <f>IFERROR(VLOOKUP(O134,'NS QUẢN LÝ CG'!$A$4:$C$36,3,0),"")</f>
        <v>0977623379</v>
      </c>
      <c r="S134" s="532" t="str">
        <f>IFERROR(VLOOKUP(J134,'03. THIẾT BỊ'!$B$1:$S$836,3,0),"")</f>
        <v>A23-MKC-036</v>
      </c>
      <c r="T134" s="693" t="str">
        <f t="shared" si="3"/>
        <v>DP</v>
      </c>
      <c r="U134" s="693"/>
    </row>
    <row r="135">
      <c r="A135" s="692"/>
      <c r="B135" s="694"/>
      <c r="C135" s="532" t="str">
        <f>IFERROR(VLOOKUP(J135,'03. THIẾT BỊ'!$B$1:$U$836,5,0),"")</f>
        <v>Máy kéo chuối (Xăng)</v>
      </c>
      <c r="D135" s="463">
        <v>1.0</v>
      </c>
      <c r="E135" s="692"/>
      <c r="F135" s="463" t="s">
        <v>4158</v>
      </c>
      <c r="G135" s="692"/>
      <c r="H135" s="692">
        <f>IFERROR(VLOOKUP(J135,'03. THIẾT BỊ'!$B$1:$U$836,19,0),"")</f>
        <v>0.56</v>
      </c>
      <c r="I135" s="463" t="str">
        <f>IFERROR(VLOOKUP(J135,'03. THIẾT BỊ'!$B$1:$U$836,20,0),"")</f>
        <v>400 buồng/8h</v>
      </c>
      <c r="J135" s="464" t="s">
        <v>4238</v>
      </c>
      <c r="K135" s="463" t="s">
        <v>4158</v>
      </c>
      <c r="L135" s="692"/>
      <c r="M135" s="692"/>
      <c r="N135" s="692" t="str">
        <f>IFERROR(VLOOKUP(J135,'03. THIẾT BỊ'!$B$1:$U$836,4,0),"")</f>
        <v>ĐQSD</v>
      </c>
      <c r="O135" s="692" t="str">
        <f>IFERROR(VLOOKUP(J135,'03. THIẾT BỊ'!$B$1:$U$836,7,0),"")</f>
        <v>XN Chuối DP2</v>
      </c>
      <c r="P135" s="559" t="str">
        <f>IFERROR(VLOOKUP(O135,'NS QUẢN LÝ CG'!$A$4:$D$36,2,0),"")</f>
        <v>Huỳnh Quang Viên</v>
      </c>
      <c r="Q135" s="559" t="str">
        <f>IFERROR(VLOOKUP(O135,'NS QUẢN LÝ CG'!$A$4:$D$36,4,0),"")</f>
        <v>Lô 15.6 DP2</v>
      </c>
      <c r="R135" s="559" t="str">
        <f>IFERROR(VLOOKUP(O135,'NS QUẢN LÝ CG'!$A$4:$C$36,3,0),"")</f>
        <v>0977623379</v>
      </c>
      <c r="S135" s="532" t="str">
        <f>IFERROR(VLOOKUP(J135,'03. THIẾT BỊ'!$B$1:$S$836,3,0),"")</f>
        <v>A23-MKC-037</v>
      </c>
      <c r="T135" s="693" t="str">
        <f t="shared" si="3"/>
        <v>DP</v>
      </c>
      <c r="U135" s="693"/>
    </row>
    <row r="136">
      <c r="A136" s="692"/>
      <c r="B136" s="694"/>
      <c r="C136" s="532" t="str">
        <f>IFERROR(VLOOKUP(J136,'03. THIẾT BỊ'!$B$1:$U$836,5,0),"")</f>
        <v>Máy kéo chuối (Xăng)</v>
      </c>
      <c r="D136" s="463">
        <v>1.0</v>
      </c>
      <c r="E136" s="692"/>
      <c r="F136" s="463" t="s">
        <v>4158</v>
      </c>
      <c r="G136" s="692"/>
      <c r="H136" s="692">
        <f>IFERROR(VLOOKUP(J136,'03. THIẾT BỊ'!$B$1:$U$836,19,0),"")</f>
        <v>0.56</v>
      </c>
      <c r="I136" s="463" t="str">
        <f>IFERROR(VLOOKUP(J136,'03. THIẾT BỊ'!$B$1:$U$836,20,0),"")</f>
        <v>400 buồng/8h</v>
      </c>
      <c r="J136" s="464" t="s">
        <v>4243</v>
      </c>
      <c r="K136" s="463" t="s">
        <v>4158</v>
      </c>
      <c r="L136" s="692"/>
      <c r="M136" s="692"/>
      <c r="N136" s="692" t="str">
        <f>IFERROR(VLOOKUP(J136,'03. THIẾT BỊ'!$B$1:$U$836,4,0),"")</f>
        <v>ĐQSD</v>
      </c>
      <c r="O136" s="692" t="str">
        <f>IFERROR(VLOOKUP(J136,'03. THIẾT BỊ'!$B$1:$U$836,7,0),"")</f>
        <v>XN Chuối DP2</v>
      </c>
      <c r="P136" s="559" t="str">
        <f>IFERROR(VLOOKUP(O136,'NS QUẢN LÝ CG'!$A$4:$D$36,2,0),"")</f>
        <v>Huỳnh Quang Viên</v>
      </c>
      <c r="Q136" s="559" t="str">
        <f>IFERROR(VLOOKUP(O136,'NS QUẢN LÝ CG'!$A$4:$D$36,4,0),"")</f>
        <v>Lô 15.6 DP2</v>
      </c>
      <c r="R136" s="559" t="str">
        <f>IFERROR(VLOOKUP(O136,'NS QUẢN LÝ CG'!$A$4:$C$36,3,0),"")</f>
        <v>0977623379</v>
      </c>
      <c r="S136" s="532" t="str">
        <f>IFERROR(VLOOKUP(J136,'03. THIẾT BỊ'!$B$1:$S$836,3,0),"")</f>
        <v>A23-MKC-038</v>
      </c>
      <c r="T136" s="693" t="str">
        <f t="shared" si="3"/>
        <v>DP</v>
      </c>
      <c r="U136" s="693"/>
    </row>
    <row r="137">
      <c r="A137" s="692"/>
      <c r="B137" s="694"/>
      <c r="C137" s="532" t="str">
        <f>IFERROR(VLOOKUP(J137,'03. THIẾT BỊ'!$B$1:$U$836,5,0),"")</f>
        <v>Máy kéo chuối (Xăng)</v>
      </c>
      <c r="D137" s="463">
        <v>1.0</v>
      </c>
      <c r="E137" s="692"/>
      <c r="F137" s="463" t="s">
        <v>4158</v>
      </c>
      <c r="G137" s="692"/>
      <c r="H137" s="692">
        <f>IFERROR(VLOOKUP(J137,'03. THIẾT BỊ'!$B$1:$U$836,19,0),"")</f>
        <v>0.56</v>
      </c>
      <c r="I137" s="463" t="str">
        <f>IFERROR(VLOOKUP(J137,'03. THIẾT BỊ'!$B$1:$U$836,20,0),"")</f>
        <v>400 buồng/8h</v>
      </c>
      <c r="J137" s="464" t="s">
        <v>4246</v>
      </c>
      <c r="K137" s="463" t="s">
        <v>4158</v>
      </c>
      <c r="L137" s="692"/>
      <c r="M137" s="692"/>
      <c r="N137" s="692" t="str">
        <f>IFERROR(VLOOKUP(J137,'03. THIẾT BỊ'!$B$1:$U$836,4,0),"")</f>
        <v>ĐQSD</v>
      </c>
      <c r="O137" s="692" t="str">
        <f>IFERROR(VLOOKUP(J137,'03. THIẾT BỊ'!$B$1:$U$836,7,0),"")</f>
        <v>XN Chuối DP2</v>
      </c>
      <c r="P137" s="559" t="str">
        <f>IFERROR(VLOOKUP(O137,'NS QUẢN LÝ CG'!$A$4:$D$36,2,0),"")</f>
        <v>Huỳnh Quang Viên</v>
      </c>
      <c r="Q137" s="559" t="str">
        <f>IFERROR(VLOOKUP(O137,'NS QUẢN LÝ CG'!$A$4:$D$36,4,0),"")</f>
        <v>Lô 15.6 DP2</v>
      </c>
      <c r="R137" s="559" t="str">
        <f>IFERROR(VLOOKUP(O137,'NS QUẢN LÝ CG'!$A$4:$C$36,3,0),"")</f>
        <v>0977623379</v>
      </c>
      <c r="S137" s="532" t="str">
        <f>IFERROR(VLOOKUP(J137,'03. THIẾT BỊ'!$B$1:$S$836,3,0),"")</f>
        <v>A23-MKC-039</v>
      </c>
      <c r="T137" s="693" t="str">
        <f t="shared" si="3"/>
        <v>DP</v>
      </c>
      <c r="U137" s="693"/>
    </row>
    <row r="138">
      <c r="A138" s="692"/>
      <c r="B138" s="694"/>
      <c r="C138" s="532" t="str">
        <f>IFERROR(VLOOKUP(J138,'03. THIẾT BỊ'!$B$1:$U$836,5,0),"")</f>
        <v>Máy kéo chuối (Xăng)</v>
      </c>
      <c r="D138" s="463">
        <v>1.0</v>
      </c>
      <c r="E138" s="692"/>
      <c r="F138" s="463" t="s">
        <v>4158</v>
      </c>
      <c r="G138" s="692"/>
      <c r="H138" s="692">
        <f>IFERROR(VLOOKUP(J138,'03. THIẾT BỊ'!$B$1:$U$836,19,0),"")</f>
        <v>0.56</v>
      </c>
      <c r="I138" s="463" t="str">
        <f>IFERROR(VLOOKUP(J138,'03. THIẾT BỊ'!$B$1:$U$836,20,0),"")</f>
        <v>400 buồng/8h</v>
      </c>
      <c r="J138" s="464" t="s">
        <v>4249</v>
      </c>
      <c r="K138" s="463" t="s">
        <v>4158</v>
      </c>
      <c r="L138" s="692"/>
      <c r="M138" s="692"/>
      <c r="N138" s="692" t="str">
        <f>IFERROR(VLOOKUP(J138,'03. THIẾT BỊ'!$B$1:$U$836,4,0),"")</f>
        <v>ĐQSD</v>
      </c>
      <c r="O138" s="692" t="str">
        <f>IFERROR(VLOOKUP(J138,'03. THIẾT BỊ'!$B$1:$U$836,7,0),"")</f>
        <v>XN Chuối DP2</v>
      </c>
      <c r="P138" s="559" t="str">
        <f>IFERROR(VLOOKUP(O138,'NS QUẢN LÝ CG'!$A$4:$D$36,2,0),"")</f>
        <v>Huỳnh Quang Viên</v>
      </c>
      <c r="Q138" s="559" t="str">
        <f>IFERROR(VLOOKUP(O138,'NS QUẢN LÝ CG'!$A$4:$D$36,4,0),"")</f>
        <v>Lô 15.6 DP2</v>
      </c>
      <c r="R138" s="559" t="str">
        <f>IFERROR(VLOOKUP(O138,'NS QUẢN LÝ CG'!$A$4:$C$36,3,0),"")</f>
        <v>0977623379</v>
      </c>
      <c r="S138" s="532" t="str">
        <f>IFERROR(VLOOKUP(J138,'03. THIẾT BỊ'!$B$1:$S$836,3,0),"")</f>
        <v>A23-MKC-043</v>
      </c>
      <c r="T138" s="693" t="str">
        <f t="shared" si="3"/>
        <v>DP</v>
      </c>
      <c r="U138" s="693"/>
    </row>
    <row r="139">
      <c r="A139" s="692"/>
      <c r="B139" s="694"/>
      <c r="C139" s="532" t="str">
        <f>IFERROR(VLOOKUP(J139,'03. THIẾT BỊ'!$B$1:$U$836,5,0),"")</f>
        <v>Máy kéo chuối (Xăng)</v>
      </c>
      <c r="D139" s="463">
        <v>1.0</v>
      </c>
      <c r="E139" s="692"/>
      <c r="F139" s="463" t="s">
        <v>4158</v>
      </c>
      <c r="G139" s="692"/>
      <c r="H139" s="692">
        <f>IFERROR(VLOOKUP(J139,'03. THIẾT BỊ'!$B$1:$U$836,19,0),"")</f>
        <v>0.56</v>
      </c>
      <c r="I139" s="463" t="str">
        <f>IFERROR(VLOOKUP(J139,'03. THIẾT BỊ'!$B$1:$U$836,20,0),"")</f>
        <v>400 buồng/8h</v>
      </c>
      <c r="J139" s="464" t="s">
        <v>4251</v>
      </c>
      <c r="K139" s="463" t="s">
        <v>4158</v>
      </c>
      <c r="L139" s="692"/>
      <c r="M139" s="692"/>
      <c r="N139" s="692" t="str">
        <f>IFERROR(VLOOKUP(J139,'03. THIẾT BỊ'!$B$1:$U$836,4,0),"")</f>
        <v>ĐQSD</v>
      </c>
      <c r="O139" s="692" t="str">
        <f>IFERROR(VLOOKUP(J139,'03. THIẾT BỊ'!$B$1:$U$836,7,0),"")</f>
        <v>XN Chuối DP2</v>
      </c>
      <c r="P139" s="559" t="str">
        <f>IFERROR(VLOOKUP(O139,'NS QUẢN LÝ CG'!$A$4:$D$36,2,0),"")</f>
        <v>Huỳnh Quang Viên</v>
      </c>
      <c r="Q139" s="559" t="str">
        <f>IFERROR(VLOOKUP(O139,'NS QUẢN LÝ CG'!$A$4:$D$36,4,0),"")</f>
        <v>Lô 15.6 DP2</v>
      </c>
      <c r="R139" s="559" t="str">
        <f>IFERROR(VLOOKUP(O139,'NS QUẢN LÝ CG'!$A$4:$C$36,3,0),"")</f>
        <v>0977623379</v>
      </c>
      <c r="S139" s="532" t="str">
        <f>IFERROR(VLOOKUP(J139,'03. THIẾT BỊ'!$B$1:$S$836,3,0),"")</f>
        <v>A23-MKC-046</v>
      </c>
      <c r="T139" s="693" t="str">
        <f t="shared" si="3"/>
        <v>DP</v>
      </c>
      <c r="U139" s="693"/>
    </row>
    <row r="140">
      <c r="A140" s="692"/>
      <c r="B140" s="694"/>
      <c r="C140" s="532" t="str">
        <f>IFERROR(VLOOKUP(J140,'03. THIẾT BỊ'!$B$1:$U$836,5,0),"")</f>
        <v>Máy kéo chuối (Xăng)</v>
      </c>
      <c r="D140" s="463">
        <v>1.0</v>
      </c>
      <c r="E140" s="692"/>
      <c r="F140" s="463" t="s">
        <v>4158</v>
      </c>
      <c r="G140" s="692"/>
      <c r="H140" s="692">
        <f>IFERROR(VLOOKUP(J140,'03. THIẾT BỊ'!$B$1:$U$836,19,0),"")</f>
        <v>0.56</v>
      </c>
      <c r="I140" s="463" t="str">
        <f>IFERROR(VLOOKUP(J140,'03. THIẾT BỊ'!$B$1:$U$836,20,0),"")</f>
        <v>400 buồng/8h</v>
      </c>
      <c r="J140" s="464" t="s">
        <v>4354</v>
      </c>
      <c r="K140" s="463"/>
      <c r="L140" s="692"/>
      <c r="M140" s="463" t="s">
        <v>4158</v>
      </c>
      <c r="N140" s="692" t="str">
        <f>IFERROR(VLOOKUP(J140,'03. THIẾT BỊ'!$B$1:$U$836,4,0),"")</f>
        <v>ĐQSD</v>
      </c>
      <c r="O140" s="692" t="str">
        <f>IFERROR(VLOOKUP(J140,'03. THIẾT BỊ'!$B$1:$U$836,7,0),"")</f>
        <v>XN Chuối DP3</v>
      </c>
      <c r="P140" s="559" t="str">
        <f>IFERROR(VLOOKUP(O140,'NS QUẢN LÝ CG'!$A$4:$D$36,2,0),"")</f>
        <v>Thạch Ngọc Vững</v>
      </c>
      <c r="Q140" s="559" t="str">
        <f>IFERROR(VLOOKUP(O140,'NS QUẢN LÝ CG'!$A$4:$D$36,4,0),"")</f>
        <v>Lô 28 DP3</v>
      </c>
      <c r="R140" s="559" t="str">
        <f>IFERROR(VLOOKUP(O140,'NS QUẢN LÝ CG'!$A$4:$C$36,3,0),"")</f>
        <v>0975905267</v>
      </c>
      <c r="S140" s="532" t="str">
        <f>IFERROR(VLOOKUP(J140,'03. THIẾT BỊ'!$B$1:$S$836,3,0),"")</f>
        <v>A23-MKC-006</v>
      </c>
      <c r="T140" s="693" t="str">
        <f t="shared" si="3"/>
        <v>DP</v>
      </c>
      <c r="U140" s="693"/>
    </row>
    <row r="141">
      <c r="A141" s="692"/>
      <c r="B141" s="694"/>
      <c r="C141" s="532" t="str">
        <f>IFERROR(VLOOKUP(J141,'03. THIẾT BỊ'!$B$1:$U$836,5,0),"")</f>
        <v>Máy kéo chuối (Xăng)</v>
      </c>
      <c r="D141" s="463">
        <v>1.0</v>
      </c>
      <c r="E141" s="692"/>
      <c r="F141" s="463" t="s">
        <v>4158</v>
      </c>
      <c r="G141" s="692"/>
      <c r="H141" s="692">
        <f>IFERROR(VLOOKUP(J141,'03. THIẾT BỊ'!$B$1:$U$836,19,0),"")</f>
        <v>0.56</v>
      </c>
      <c r="I141" s="463" t="str">
        <f>IFERROR(VLOOKUP(J141,'03. THIẾT BỊ'!$B$1:$U$836,20,0),"")</f>
        <v>400 buồng/8h</v>
      </c>
      <c r="J141" s="464" t="s">
        <v>4357</v>
      </c>
      <c r="K141" s="463"/>
      <c r="L141" s="692"/>
      <c r="M141" s="463" t="s">
        <v>4158</v>
      </c>
      <c r="N141" s="692" t="str">
        <f>IFERROR(VLOOKUP(J141,'03. THIẾT BỊ'!$B$1:$U$836,4,0),"")</f>
        <v>ĐQSD</v>
      </c>
      <c r="O141" s="692" t="str">
        <f>IFERROR(VLOOKUP(J141,'03. THIẾT BỊ'!$B$1:$U$836,7,0),"")</f>
        <v>XN Chuối DP3</v>
      </c>
      <c r="P141" s="559" t="str">
        <f>IFERROR(VLOOKUP(O141,'NS QUẢN LÝ CG'!$A$4:$D$36,2,0),"")</f>
        <v>Thạch Ngọc Vững</v>
      </c>
      <c r="Q141" s="559" t="str">
        <f>IFERROR(VLOOKUP(O141,'NS QUẢN LÝ CG'!$A$4:$D$36,4,0),"")</f>
        <v>Lô 28 DP3</v>
      </c>
      <c r="R141" s="559" t="str">
        <f>IFERROR(VLOOKUP(O141,'NS QUẢN LÝ CG'!$A$4:$C$36,3,0),"")</f>
        <v>0975905267</v>
      </c>
      <c r="S141" s="532" t="str">
        <f>IFERROR(VLOOKUP(J141,'03. THIẾT BỊ'!$B$1:$S$836,3,0),"")</f>
        <v>A23-MKC-013</v>
      </c>
      <c r="T141" s="693" t="str">
        <f t="shared" si="3"/>
        <v>DP</v>
      </c>
      <c r="U141" s="693"/>
    </row>
    <row r="142">
      <c r="A142" s="692"/>
      <c r="B142" s="694"/>
      <c r="C142" s="532" t="str">
        <f>IFERROR(VLOOKUP(J142,'03. THIẾT BỊ'!$B$1:$U$836,5,0),"")</f>
        <v>Máy kéo chuối (Xăng)</v>
      </c>
      <c r="D142" s="463">
        <v>1.0</v>
      </c>
      <c r="E142" s="692"/>
      <c r="F142" s="463" t="s">
        <v>4158</v>
      </c>
      <c r="G142" s="692"/>
      <c r="H142" s="692">
        <f>IFERROR(VLOOKUP(J142,'03. THIẾT BỊ'!$B$1:$U$836,19,0),"")</f>
        <v>0.56</v>
      </c>
      <c r="I142" s="463" t="str">
        <f>IFERROR(VLOOKUP(J142,'03. THIẾT BỊ'!$B$1:$U$836,20,0),"")</f>
        <v>400 buồng/8h</v>
      </c>
      <c r="J142" s="464" t="s">
        <v>4359</v>
      </c>
      <c r="K142" s="463"/>
      <c r="L142" s="692"/>
      <c r="M142" s="463" t="s">
        <v>4158</v>
      </c>
      <c r="N142" s="692" t="str">
        <f>IFERROR(VLOOKUP(J142,'03. THIẾT BỊ'!$B$1:$U$836,4,0),"")</f>
        <v>ĐQSD</v>
      </c>
      <c r="O142" s="692" t="str">
        <f>IFERROR(VLOOKUP(J142,'03. THIẾT BỊ'!$B$1:$U$836,7,0),"")</f>
        <v>XN Chuối DP3</v>
      </c>
      <c r="P142" s="559" t="str">
        <f>IFERROR(VLOOKUP(O142,'NS QUẢN LÝ CG'!$A$4:$D$36,2,0),"")</f>
        <v>Thạch Ngọc Vững</v>
      </c>
      <c r="Q142" s="559" t="str">
        <f>IFERROR(VLOOKUP(O142,'NS QUẢN LÝ CG'!$A$4:$D$36,4,0),"")</f>
        <v>Lô 28 DP3</v>
      </c>
      <c r="R142" s="559" t="str">
        <f>IFERROR(VLOOKUP(O142,'NS QUẢN LÝ CG'!$A$4:$C$36,3,0),"")</f>
        <v>0975905267</v>
      </c>
      <c r="S142" s="532" t="str">
        <f>IFERROR(VLOOKUP(J142,'03. THIẾT BỊ'!$B$1:$S$836,3,0),"")</f>
        <v>A23-MKC-012</v>
      </c>
      <c r="T142" s="693" t="str">
        <f t="shared" si="3"/>
        <v>DP</v>
      </c>
      <c r="U142" s="693"/>
    </row>
    <row r="143">
      <c r="A143" s="692"/>
      <c r="B143" s="694"/>
      <c r="C143" s="532" t="str">
        <f>IFERROR(VLOOKUP(J143,'03. THIẾT BỊ'!$B$1:$U$836,5,0),"")</f>
        <v>Máy kéo chuối (Xăng)</v>
      </c>
      <c r="D143" s="463">
        <v>1.0</v>
      </c>
      <c r="E143" s="692"/>
      <c r="F143" s="463" t="s">
        <v>4158</v>
      </c>
      <c r="G143" s="692"/>
      <c r="H143" s="692">
        <f>IFERROR(VLOOKUP(J143,'03. THIẾT BỊ'!$B$1:$U$836,19,0),"")</f>
        <v>0.56</v>
      </c>
      <c r="I143" s="463" t="str">
        <f>IFERROR(VLOOKUP(J143,'03. THIẾT BỊ'!$B$1:$U$836,20,0),"")</f>
        <v>400 buồng/8h</v>
      </c>
      <c r="J143" s="464" t="s">
        <v>4361</v>
      </c>
      <c r="K143" s="463"/>
      <c r="L143" s="463" t="s">
        <v>4158</v>
      </c>
      <c r="M143" s="692"/>
      <c r="N143" s="692" t="str">
        <f>IFERROR(VLOOKUP(J143,'03. THIẾT BỊ'!$B$1:$U$836,4,0),"")</f>
        <v>ĐQSD</v>
      </c>
      <c r="O143" s="692" t="str">
        <f>IFERROR(VLOOKUP(J143,'03. THIẾT BỊ'!$B$1:$U$836,7,0),"")</f>
        <v>XN Chuối DP3</v>
      </c>
      <c r="P143" s="559" t="str">
        <f>IFERROR(VLOOKUP(O143,'NS QUẢN LÝ CG'!$A$4:$D$36,2,0),"")</f>
        <v>Thạch Ngọc Vững</v>
      </c>
      <c r="Q143" s="559" t="str">
        <f>IFERROR(VLOOKUP(O143,'NS QUẢN LÝ CG'!$A$4:$D$36,4,0),"")</f>
        <v>Lô 28 DP3</v>
      </c>
      <c r="R143" s="559" t="str">
        <f>IFERROR(VLOOKUP(O143,'NS QUẢN LÝ CG'!$A$4:$C$36,3,0),"")</f>
        <v>0975905267</v>
      </c>
      <c r="S143" s="532" t="str">
        <f>IFERROR(VLOOKUP(J143,'03. THIẾT BỊ'!$B$1:$S$836,3,0),"")</f>
        <v>A23-MKC-016</v>
      </c>
      <c r="T143" s="693" t="str">
        <f t="shared" si="3"/>
        <v>DP</v>
      </c>
      <c r="U143" s="693"/>
    </row>
    <row r="144">
      <c r="A144" s="692"/>
      <c r="B144" s="694"/>
      <c r="C144" s="532" t="str">
        <f>IFERROR(VLOOKUP(J144,'03. THIẾT BỊ'!$B$1:$U$836,5,0),"")</f>
        <v>Máy kéo chuối (Xăng)</v>
      </c>
      <c r="D144" s="463">
        <v>1.0</v>
      </c>
      <c r="E144" s="692"/>
      <c r="F144" s="463" t="s">
        <v>4158</v>
      </c>
      <c r="G144" s="692"/>
      <c r="H144" s="692">
        <f>IFERROR(VLOOKUP(J144,'03. THIẾT BỊ'!$B$1:$U$836,19,0),"")</f>
        <v>0.56</v>
      </c>
      <c r="I144" s="463" t="str">
        <f>IFERROR(VLOOKUP(J144,'03. THIẾT BỊ'!$B$1:$U$836,20,0),"")</f>
        <v>400 buồng/8h</v>
      </c>
      <c r="J144" s="464" t="s">
        <v>4364</v>
      </c>
      <c r="K144" s="463"/>
      <c r="L144" s="463" t="s">
        <v>4158</v>
      </c>
      <c r="M144" s="692"/>
      <c r="N144" s="692" t="str">
        <f>IFERROR(VLOOKUP(J144,'03. THIẾT BỊ'!$B$1:$U$836,4,0),"")</f>
        <v>ĐQSD</v>
      </c>
      <c r="O144" s="692" t="str">
        <f>IFERROR(VLOOKUP(J144,'03. THIẾT BỊ'!$B$1:$U$836,7,0),"")</f>
        <v>XN Chuối DP3</v>
      </c>
      <c r="P144" s="559" t="str">
        <f>IFERROR(VLOOKUP(O144,'NS QUẢN LÝ CG'!$A$4:$D$36,2,0),"")</f>
        <v>Thạch Ngọc Vững</v>
      </c>
      <c r="Q144" s="559" t="str">
        <f>IFERROR(VLOOKUP(O144,'NS QUẢN LÝ CG'!$A$4:$D$36,4,0),"")</f>
        <v>Lô 28 DP3</v>
      </c>
      <c r="R144" s="559" t="str">
        <f>IFERROR(VLOOKUP(O144,'NS QUẢN LÝ CG'!$A$4:$C$36,3,0),"")</f>
        <v>0975905267</v>
      </c>
      <c r="S144" s="532" t="str">
        <f>IFERROR(VLOOKUP(J144,'03. THIẾT BỊ'!$B$1:$S$836,3,0),"")</f>
        <v>A23-MKC-017</v>
      </c>
      <c r="T144" s="693" t="str">
        <f t="shared" si="3"/>
        <v>DP</v>
      </c>
      <c r="U144" s="693"/>
    </row>
    <row r="145">
      <c r="A145" s="692"/>
      <c r="B145" s="694"/>
      <c r="C145" s="532" t="str">
        <f>IFERROR(VLOOKUP(J145,'03. THIẾT BỊ'!$B$1:$U$836,5,0),"")</f>
        <v>Máy kéo chuối (Xăng)</v>
      </c>
      <c r="D145" s="463">
        <v>1.0</v>
      </c>
      <c r="E145" s="692"/>
      <c r="F145" s="463" t="s">
        <v>4158</v>
      </c>
      <c r="G145" s="692"/>
      <c r="H145" s="692">
        <f>IFERROR(VLOOKUP(J145,'03. THIẾT BỊ'!$B$1:$U$836,19,0),"")</f>
        <v>0.56</v>
      </c>
      <c r="I145" s="463" t="str">
        <f>IFERROR(VLOOKUP(J145,'03. THIẾT BỊ'!$B$1:$U$836,20,0),"")</f>
        <v>400 buồng/8h</v>
      </c>
      <c r="J145" s="464" t="s">
        <v>4367</v>
      </c>
      <c r="K145" s="463"/>
      <c r="L145" s="463" t="s">
        <v>4158</v>
      </c>
      <c r="M145" s="692"/>
      <c r="N145" s="692" t="str">
        <f>IFERROR(VLOOKUP(J145,'03. THIẾT BỊ'!$B$1:$U$836,4,0),"")</f>
        <v>ĐQSD</v>
      </c>
      <c r="O145" s="692" t="str">
        <f>IFERROR(VLOOKUP(J145,'03. THIẾT BỊ'!$B$1:$U$836,7,0),"")</f>
        <v>XN Chuối DP3</v>
      </c>
      <c r="P145" s="559" t="str">
        <f>IFERROR(VLOOKUP(O145,'NS QUẢN LÝ CG'!$A$4:$D$36,2,0),"")</f>
        <v>Thạch Ngọc Vững</v>
      </c>
      <c r="Q145" s="559" t="str">
        <f>IFERROR(VLOOKUP(O145,'NS QUẢN LÝ CG'!$A$4:$D$36,4,0),"")</f>
        <v>Lô 28 DP3</v>
      </c>
      <c r="R145" s="559" t="str">
        <f>IFERROR(VLOOKUP(O145,'NS QUẢN LÝ CG'!$A$4:$C$36,3,0),"")</f>
        <v>0975905267</v>
      </c>
      <c r="S145" s="532" t="str">
        <f>IFERROR(VLOOKUP(J145,'03. THIẾT BỊ'!$B$1:$S$836,3,0),"")</f>
        <v>A23-MKC-020</v>
      </c>
      <c r="T145" s="693" t="str">
        <f t="shared" si="3"/>
        <v>DP</v>
      </c>
      <c r="U145" s="693"/>
    </row>
    <row r="146">
      <c r="A146" s="692"/>
      <c r="B146" s="694"/>
      <c r="C146" s="532" t="str">
        <f>IFERROR(VLOOKUP(J146,'03. THIẾT BỊ'!$B$1:$U$836,5,0),"")</f>
        <v>Máy kéo chuối (Xăng)</v>
      </c>
      <c r="D146" s="463">
        <v>1.0</v>
      </c>
      <c r="E146" s="692"/>
      <c r="F146" s="463" t="s">
        <v>4158</v>
      </c>
      <c r="G146" s="692"/>
      <c r="H146" s="692">
        <f>IFERROR(VLOOKUP(J146,'03. THIẾT BỊ'!$B$1:$U$836,19,0),"")</f>
        <v>0.56</v>
      </c>
      <c r="I146" s="463" t="str">
        <f>IFERROR(VLOOKUP(J146,'03. THIẾT BỊ'!$B$1:$U$836,20,0),"")</f>
        <v>400 buồng/8h</v>
      </c>
      <c r="J146" s="464" t="s">
        <v>4369</v>
      </c>
      <c r="K146" s="463" t="s">
        <v>4158</v>
      </c>
      <c r="L146" s="692"/>
      <c r="M146" s="692"/>
      <c r="N146" s="692" t="str">
        <f>IFERROR(VLOOKUP(J146,'03. THIẾT BỊ'!$B$1:$U$836,4,0),"")</f>
        <v>ĐQSD</v>
      </c>
      <c r="O146" s="692" t="str">
        <f>IFERROR(VLOOKUP(J146,'03. THIẾT BỊ'!$B$1:$U$836,7,0),"")</f>
        <v>XN Chuối DP3</v>
      </c>
      <c r="P146" s="559" t="str">
        <f>IFERROR(VLOOKUP(O146,'NS QUẢN LÝ CG'!$A$4:$D$36,2,0),"")</f>
        <v>Thạch Ngọc Vững</v>
      </c>
      <c r="Q146" s="559" t="str">
        <f>IFERROR(VLOOKUP(O146,'NS QUẢN LÝ CG'!$A$4:$D$36,4,0),"")</f>
        <v>Lô 28 DP3</v>
      </c>
      <c r="R146" s="559" t="str">
        <f>IFERROR(VLOOKUP(O146,'NS QUẢN LÝ CG'!$A$4:$C$36,3,0),"")</f>
        <v>0975905267</v>
      </c>
      <c r="S146" s="532" t="str">
        <f>IFERROR(VLOOKUP(J146,'03. THIẾT BỊ'!$B$1:$S$836,3,0),"")</f>
        <v>A23-MKC-021</v>
      </c>
      <c r="T146" s="693" t="str">
        <f t="shared" si="3"/>
        <v>DP</v>
      </c>
      <c r="U146" s="693"/>
    </row>
    <row r="147">
      <c r="A147" s="692"/>
      <c r="B147" s="694"/>
      <c r="C147" s="532" t="str">
        <f>IFERROR(VLOOKUP(J147,'03. THIẾT BỊ'!$B$1:$U$836,5,0),"")</f>
        <v>Máy kéo chuối (Điện)</v>
      </c>
      <c r="D147" s="463">
        <v>1.0</v>
      </c>
      <c r="E147" s="692"/>
      <c r="F147" s="692"/>
      <c r="G147" s="463" t="s">
        <v>4158</v>
      </c>
      <c r="H147" s="692" t="str">
        <f>IFERROR(VLOOKUP(J147,'03. THIẾT BỊ'!$B$1:$U$836,19,0),"")</f>
        <v/>
      </c>
      <c r="I147" s="463" t="str">
        <f>IFERROR(VLOOKUP(J147,'03. THIẾT BỊ'!$B$1:$U$836,20,0),"")</f>
        <v>400 buồng/8h</v>
      </c>
      <c r="J147" s="464" t="s">
        <v>4373</v>
      </c>
      <c r="K147" s="463" t="s">
        <v>4158</v>
      </c>
      <c r="L147" s="692"/>
      <c r="M147" s="692"/>
      <c r="N147" s="692" t="str">
        <f>IFERROR(VLOOKUP(J147,'03. THIẾT BỊ'!$B$1:$U$836,4,0),"")</f>
        <v>MUA MỚI</v>
      </c>
      <c r="O147" s="692" t="str">
        <f>IFERROR(VLOOKUP(J147,'03. THIẾT BỊ'!$B$1:$U$836,7,0),"")</f>
        <v>XN Chuối DP3</v>
      </c>
      <c r="P147" s="559" t="str">
        <f>IFERROR(VLOOKUP(O147,'NS QUẢN LÝ CG'!$A$4:$D$36,2,0),"")</f>
        <v>Thạch Ngọc Vững</v>
      </c>
      <c r="Q147" s="559" t="str">
        <f>IFERROR(VLOOKUP(O147,'NS QUẢN LÝ CG'!$A$4:$D$36,4,0),"")</f>
        <v>Lô 28 DP3</v>
      </c>
      <c r="R147" s="559" t="str">
        <f>IFERROR(VLOOKUP(O147,'NS QUẢN LÝ CG'!$A$4:$C$36,3,0),"")</f>
        <v>0975905267</v>
      </c>
      <c r="S147" s="532" t="str">
        <f>IFERROR(VLOOKUP(J147,'03. THIẾT BỊ'!$B$1:$S$836,3,0),"")</f>
        <v>A23-MKC-027</v>
      </c>
      <c r="T147" s="693" t="str">
        <f t="shared" si="3"/>
        <v>DP</v>
      </c>
      <c r="U147" s="693"/>
    </row>
    <row r="148">
      <c r="A148" s="692"/>
      <c r="B148" s="694"/>
      <c r="C148" s="532" t="str">
        <f>IFERROR(VLOOKUP(J148,'03. THIẾT BỊ'!$B$1:$U$836,5,0),"")</f>
        <v>Máy kéo chuối (Xăng)</v>
      </c>
      <c r="D148" s="463">
        <v>1.0</v>
      </c>
      <c r="E148" s="692"/>
      <c r="F148" s="463" t="s">
        <v>4158</v>
      </c>
      <c r="G148" s="692"/>
      <c r="H148" s="692">
        <f>IFERROR(VLOOKUP(J148,'03. THIẾT BỊ'!$B$1:$U$836,19,0),"")</f>
        <v>0.56</v>
      </c>
      <c r="I148" s="463" t="str">
        <f>IFERROR(VLOOKUP(J148,'03. THIẾT BỊ'!$B$1:$U$836,20,0),"")</f>
        <v>400 buồng/8h</v>
      </c>
      <c r="J148" s="464" t="s">
        <v>4378</v>
      </c>
      <c r="K148" s="463" t="s">
        <v>4158</v>
      </c>
      <c r="L148" s="692"/>
      <c r="M148" s="692"/>
      <c r="N148" s="692" t="str">
        <f>IFERROR(VLOOKUP(J148,'03. THIẾT BỊ'!$B$1:$U$836,4,0),"")</f>
        <v>ĐQSD</v>
      </c>
      <c r="O148" s="692" t="str">
        <f>IFERROR(VLOOKUP(J148,'03. THIẾT BỊ'!$B$1:$U$836,7,0),"")</f>
        <v>XN Chuối DP3</v>
      </c>
      <c r="P148" s="559" t="str">
        <f>IFERROR(VLOOKUP(O148,'NS QUẢN LÝ CG'!$A$4:$D$36,2,0),"")</f>
        <v>Thạch Ngọc Vững</v>
      </c>
      <c r="Q148" s="559" t="str">
        <f>IFERROR(VLOOKUP(O148,'NS QUẢN LÝ CG'!$A$4:$D$36,4,0),"")</f>
        <v>Lô 28 DP3</v>
      </c>
      <c r="R148" s="559" t="str">
        <f>IFERROR(VLOOKUP(O148,'NS QUẢN LÝ CG'!$A$4:$C$36,3,0),"")</f>
        <v>0975905267</v>
      </c>
      <c r="S148" s="532" t="str">
        <f>IFERROR(VLOOKUP(J148,'03. THIẾT BỊ'!$B$1:$S$836,3,0),"")</f>
        <v>A23-MKC-023</v>
      </c>
      <c r="T148" s="693" t="str">
        <f t="shared" si="3"/>
        <v>DP</v>
      </c>
      <c r="U148" s="693"/>
    </row>
    <row r="149">
      <c r="A149" s="692"/>
      <c r="B149" s="694"/>
      <c r="C149" s="532" t="str">
        <f>IFERROR(VLOOKUP(J149,'03. THIẾT BỊ'!$B$1:$U$836,5,0),"")</f>
        <v>Máy kéo chuối (Xăng)</v>
      </c>
      <c r="D149" s="463">
        <v>1.0</v>
      </c>
      <c r="E149" s="692"/>
      <c r="F149" s="463" t="s">
        <v>4158</v>
      </c>
      <c r="G149" s="692"/>
      <c r="H149" s="692">
        <f>IFERROR(VLOOKUP(J149,'03. THIẾT BỊ'!$B$1:$U$836,19,0),"")</f>
        <v>0.56</v>
      </c>
      <c r="I149" s="463" t="str">
        <f>IFERROR(VLOOKUP(J149,'03. THIẾT BỊ'!$B$1:$U$836,20,0),"")</f>
        <v>400 buồng/8h</v>
      </c>
      <c r="J149" s="464" t="s">
        <v>4381</v>
      </c>
      <c r="K149" s="463" t="s">
        <v>4158</v>
      </c>
      <c r="L149" s="692"/>
      <c r="M149" s="692"/>
      <c r="N149" s="692" t="str">
        <f>IFERROR(VLOOKUP(J149,'03. THIẾT BỊ'!$B$1:$U$836,4,0),"")</f>
        <v>ĐQSD</v>
      </c>
      <c r="O149" s="692" t="str">
        <f>IFERROR(VLOOKUP(J149,'03. THIẾT BỊ'!$B$1:$U$836,7,0),"")</f>
        <v>XN Chuối DP3</v>
      </c>
      <c r="P149" s="559" t="str">
        <f>IFERROR(VLOOKUP(O149,'NS QUẢN LÝ CG'!$A$4:$D$36,2,0),"")</f>
        <v>Thạch Ngọc Vững</v>
      </c>
      <c r="Q149" s="559" t="str">
        <f>IFERROR(VLOOKUP(O149,'NS QUẢN LÝ CG'!$A$4:$D$36,4,0),"")</f>
        <v>Lô 28 DP3</v>
      </c>
      <c r="R149" s="559" t="str">
        <f>IFERROR(VLOOKUP(O149,'NS QUẢN LÝ CG'!$A$4:$C$36,3,0),"")</f>
        <v>0975905267</v>
      </c>
      <c r="S149" s="532" t="str">
        <f>IFERROR(VLOOKUP(J149,'03. THIẾT BỊ'!$B$1:$S$836,3,0),"")</f>
        <v>A23-MKC-029</v>
      </c>
      <c r="T149" s="693" t="str">
        <f t="shared" si="3"/>
        <v>DP</v>
      </c>
      <c r="U149" s="693"/>
    </row>
    <row r="150">
      <c r="A150" s="692"/>
      <c r="B150" s="694"/>
      <c r="C150" s="532" t="str">
        <f>IFERROR(VLOOKUP(J150,'03. THIẾT BỊ'!$B$1:$U$836,5,0),"")</f>
        <v>Máy kéo chuối (Xăng)</v>
      </c>
      <c r="D150" s="463">
        <v>1.0</v>
      </c>
      <c r="E150" s="692"/>
      <c r="F150" s="463" t="s">
        <v>4158</v>
      </c>
      <c r="G150" s="692"/>
      <c r="H150" s="692">
        <f>IFERROR(VLOOKUP(J150,'03. THIẾT BỊ'!$B$1:$U$836,19,0),"")</f>
        <v>0.56</v>
      </c>
      <c r="I150" s="463" t="str">
        <f>IFERROR(VLOOKUP(J150,'03. THIẾT BỊ'!$B$1:$U$836,20,0),"")</f>
        <v>400 buồng/8h</v>
      </c>
      <c r="J150" s="464" t="s">
        <v>4385</v>
      </c>
      <c r="K150" s="463" t="s">
        <v>4158</v>
      </c>
      <c r="L150" s="692"/>
      <c r="M150" s="692"/>
      <c r="N150" s="692" t="str">
        <f>IFERROR(VLOOKUP(J150,'03. THIẾT BỊ'!$B$1:$U$836,4,0),"")</f>
        <v>ĐQSD</v>
      </c>
      <c r="O150" s="692" t="str">
        <f>IFERROR(VLOOKUP(J150,'03. THIẾT BỊ'!$B$1:$U$836,7,0),"")</f>
        <v>XN Chuối DP3</v>
      </c>
      <c r="P150" s="559" t="str">
        <f>IFERROR(VLOOKUP(O150,'NS QUẢN LÝ CG'!$A$4:$D$36,2,0),"")</f>
        <v>Thạch Ngọc Vững</v>
      </c>
      <c r="Q150" s="559" t="str">
        <f>IFERROR(VLOOKUP(O150,'NS QUẢN LÝ CG'!$A$4:$D$36,4,0),"")</f>
        <v>Lô 28 DP3</v>
      </c>
      <c r="R150" s="559" t="str">
        <f>IFERROR(VLOOKUP(O150,'NS QUẢN LÝ CG'!$A$4:$C$36,3,0),"")</f>
        <v>0975905267</v>
      </c>
      <c r="S150" s="532" t="str">
        <f>IFERROR(VLOOKUP(J150,'03. THIẾT BỊ'!$B$1:$S$836,3,0),"")</f>
        <v>A23-MKC-031</v>
      </c>
      <c r="T150" s="693" t="str">
        <f t="shared" si="3"/>
        <v>DP</v>
      </c>
      <c r="U150" s="693"/>
    </row>
    <row r="151">
      <c r="A151" s="692"/>
      <c r="B151" s="694"/>
      <c r="C151" s="532" t="str">
        <f>IFERROR(VLOOKUP(J151,'03. THIẾT BỊ'!$B$1:$U$836,5,0),"")</f>
        <v>Máy kéo chuối (Xăng)</v>
      </c>
      <c r="D151" s="463">
        <v>1.0</v>
      </c>
      <c r="E151" s="692"/>
      <c r="F151" s="463" t="s">
        <v>4158</v>
      </c>
      <c r="G151" s="692"/>
      <c r="H151" s="692">
        <f>IFERROR(VLOOKUP(J151,'03. THIẾT BỊ'!$B$1:$U$836,19,0),"")</f>
        <v>0.56</v>
      </c>
      <c r="I151" s="463" t="str">
        <f>IFERROR(VLOOKUP(J151,'03. THIẾT BỊ'!$B$1:$U$836,20,0),"")</f>
        <v>400 buồng/8h</v>
      </c>
      <c r="J151" s="464" t="s">
        <v>4388</v>
      </c>
      <c r="K151" s="463" t="s">
        <v>4158</v>
      </c>
      <c r="L151" s="692"/>
      <c r="M151" s="692"/>
      <c r="N151" s="692" t="str">
        <f>IFERROR(VLOOKUP(J151,'03. THIẾT BỊ'!$B$1:$U$836,4,0),"")</f>
        <v>ĐQSD</v>
      </c>
      <c r="O151" s="692" t="str">
        <f>IFERROR(VLOOKUP(J151,'03. THIẾT BỊ'!$B$1:$U$836,7,0),"")</f>
        <v>XN Chuối DP3</v>
      </c>
      <c r="P151" s="559" t="str">
        <f>IFERROR(VLOOKUP(O151,'NS QUẢN LÝ CG'!$A$4:$D$36,2,0),"")</f>
        <v>Thạch Ngọc Vững</v>
      </c>
      <c r="Q151" s="559" t="str">
        <f>IFERROR(VLOOKUP(O151,'NS QUẢN LÝ CG'!$A$4:$D$36,4,0),"")</f>
        <v>Lô 28 DP3</v>
      </c>
      <c r="R151" s="559" t="str">
        <f>IFERROR(VLOOKUP(O151,'NS QUẢN LÝ CG'!$A$4:$C$36,3,0),"")</f>
        <v>0975905267</v>
      </c>
      <c r="S151" s="532" t="str">
        <f>IFERROR(VLOOKUP(J151,'03. THIẾT BỊ'!$B$1:$S$836,3,0),"")</f>
        <v>A23-MKC-033</v>
      </c>
      <c r="T151" s="693" t="str">
        <f t="shared" si="3"/>
        <v>DP</v>
      </c>
      <c r="U151" s="693"/>
    </row>
    <row r="152">
      <c r="A152" s="692"/>
      <c r="B152" s="694"/>
      <c r="C152" s="532" t="str">
        <f>IFERROR(VLOOKUP(J152,'03. THIẾT BỊ'!$B$1:$U$836,5,0),"")</f>
        <v>Máy kéo chuối (Xăng)</v>
      </c>
      <c r="D152" s="463">
        <v>1.0</v>
      </c>
      <c r="E152" s="692"/>
      <c r="F152" s="463" t="s">
        <v>4158</v>
      </c>
      <c r="G152" s="692"/>
      <c r="H152" s="692">
        <f>IFERROR(VLOOKUP(J152,'03. THIẾT BỊ'!$B$1:$U$836,19,0),"")</f>
        <v>0.56</v>
      </c>
      <c r="I152" s="463" t="str">
        <f>IFERROR(VLOOKUP(J152,'03. THIẾT BỊ'!$B$1:$U$836,20,0),"")</f>
        <v>400 buồng/8h</v>
      </c>
      <c r="J152" s="464" t="s">
        <v>4391</v>
      </c>
      <c r="K152" s="463" t="s">
        <v>4158</v>
      </c>
      <c r="L152" s="692"/>
      <c r="M152" s="692"/>
      <c r="N152" s="692" t="str">
        <f>IFERROR(VLOOKUP(J152,'03. THIẾT BỊ'!$B$1:$U$836,4,0),"")</f>
        <v>ĐQSD</v>
      </c>
      <c r="O152" s="692" t="str">
        <f>IFERROR(VLOOKUP(J152,'03. THIẾT BỊ'!$B$1:$U$836,7,0),"")</f>
        <v>XN Chuối DP3</v>
      </c>
      <c r="P152" s="559" t="str">
        <f>IFERROR(VLOOKUP(O152,'NS QUẢN LÝ CG'!$A$4:$D$36,2,0),"")</f>
        <v>Thạch Ngọc Vững</v>
      </c>
      <c r="Q152" s="559" t="str">
        <f>IFERROR(VLOOKUP(O152,'NS QUẢN LÝ CG'!$A$4:$D$36,4,0),"")</f>
        <v>Lô 28 DP3</v>
      </c>
      <c r="R152" s="559" t="str">
        <f>IFERROR(VLOOKUP(O152,'NS QUẢN LÝ CG'!$A$4:$C$36,3,0),"")</f>
        <v>0975905267</v>
      </c>
      <c r="S152" s="532" t="str">
        <f>IFERROR(VLOOKUP(J152,'03. THIẾT BỊ'!$B$1:$S$836,3,0),"")</f>
        <v>A23-MKC-035</v>
      </c>
      <c r="T152" s="693" t="str">
        <f t="shared" si="3"/>
        <v>DP</v>
      </c>
      <c r="U152" s="693"/>
    </row>
    <row r="153">
      <c r="A153" s="692"/>
      <c r="B153" s="694"/>
      <c r="C153" s="532" t="str">
        <f>IFERROR(VLOOKUP(J153,'03. THIẾT BỊ'!$B$1:$U$836,5,0),"")</f>
        <v>Máy kéo chuối (Xăng)</v>
      </c>
      <c r="D153" s="463">
        <v>1.0</v>
      </c>
      <c r="E153" s="692"/>
      <c r="F153" s="463" t="s">
        <v>4158</v>
      </c>
      <c r="G153" s="692"/>
      <c r="H153" s="692">
        <f>IFERROR(VLOOKUP(J153,'03. THIẾT BỊ'!$B$1:$U$836,19,0),"")</f>
        <v>0.56</v>
      </c>
      <c r="I153" s="463" t="str">
        <f>IFERROR(VLOOKUP(J153,'03. THIẾT BỊ'!$B$1:$U$836,20,0),"")</f>
        <v>400 buồng/8h</v>
      </c>
      <c r="J153" s="464" t="s">
        <v>4394</v>
      </c>
      <c r="K153" s="463"/>
      <c r="L153" s="463" t="s">
        <v>4158</v>
      </c>
      <c r="M153" s="692"/>
      <c r="N153" s="692" t="str">
        <f>IFERROR(VLOOKUP(J153,'03. THIẾT BỊ'!$B$1:$U$836,4,0),"")</f>
        <v>ĐQSD</v>
      </c>
      <c r="O153" s="692" t="str">
        <f>IFERROR(VLOOKUP(J153,'03. THIẾT BỊ'!$B$1:$U$836,7,0),"")</f>
        <v>XN Chuối DP3</v>
      </c>
      <c r="P153" s="559" t="str">
        <f>IFERROR(VLOOKUP(O153,'NS QUẢN LÝ CG'!$A$4:$D$36,2,0),"")</f>
        <v>Thạch Ngọc Vững</v>
      </c>
      <c r="Q153" s="559" t="str">
        <f>IFERROR(VLOOKUP(O153,'NS QUẢN LÝ CG'!$A$4:$D$36,4,0),"")</f>
        <v>Lô 28 DP3</v>
      </c>
      <c r="R153" s="559" t="str">
        <f>IFERROR(VLOOKUP(O153,'NS QUẢN LÝ CG'!$A$4:$C$36,3,0),"")</f>
        <v>0975905267</v>
      </c>
      <c r="S153" s="532" t="str">
        <f>IFERROR(VLOOKUP(J153,'03. THIẾT BỊ'!$B$1:$S$836,3,0),"")</f>
        <v>A23-MKC-041</v>
      </c>
      <c r="T153" s="693" t="str">
        <f t="shared" si="3"/>
        <v>DP</v>
      </c>
      <c r="U153" s="693"/>
    </row>
    <row r="154">
      <c r="A154" s="692"/>
      <c r="B154" s="694"/>
      <c r="C154" s="532" t="str">
        <f>IFERROR(VLOOKUP(J154,'03. THIẾT BỊ'!$B$1:$U$836,5,0),"")</f>
        <v>Máy kéo chuối (Xăng)</v>
      </c>
      <c r="D154" s="463">
        <v>1.0</v>
      </c>
      <c r="E154" s="692"/>
      <c r="F154" s="463" t="s">
        <v>4158</v>
      </c>
      <c r="G154" s="692"/>
      <c r="H154" s="692">
        <f>IFERROR(VLOOKUP(J154,'03. THIẾT BỊ'!$B$1:$U$836,19,0),"")</f>
        <v>0.56</v>
      </c>
      <c r="I154" s="463" t="str">
        <f>IFERROR(VLOOKUP(J154,'03. THIẾT BỊ'!$B$1:$U$836,20,0),"")</f>
        <v>400 buồng/8h</v>
      </c>
      <c r="J154" s="464" t="s">
        <v>4398</v>
      </c>
      <c r="K154" s="463"/>
      <c r="L154" s="463" t="s">
        <v>4158</v>
      </c>
      <c r="M154" s="692"/>
      <c r="N154" s="692" t="str">
        <f>IFERROR(VLOOKUP(J154,'03. THIẾT BỊ'!$B$1:$U$836,4,0),"")</f>
        <v>ĐQSD</v>
      </c>
      <c r="O154" s="692" t="str">
        <f>IFERROR(VLOOKUP(J154,'03. THIẾT BỊ'!$B$1:$U$836,7,0),"")</f>
        <v>XN Chuối DP3</v>
      </c>
      <c r="P154" s="559" t="str">
        <f>IFERROR(VLOOKUP(O154,'NS QUẢN LÝ CG'!$A$4:$D$36,2,0),"")</f>
        <v>Thạch Ngọc Vững</v>
      </c>
      <c r="Q154" s="559" t="str">
        <f>IFERROR(VLOOKUP(O154,'NS QUẢN LÝ CG'!$A$4:$D$36,4,0),"")</f>
        <v>Lô 28 DP3</v>
      </c>
      <c r="R154" s="559" t="str">
        <f>IFERROR(VLOOKUP(O154,'NS QUẢN LÝ CG'!$A$4:$C$36,3,0),"")</f>
        <v>0975905267</v>
      </c>
      <c r="S154" s="532" t="str">
        <f>IFERROR(VLOOKUP(J154,'03. THIẾT BỊ'!$B$1:$S$836,3,0),"")</f>
        <v>A23-MKC-044</v>
      </c>
      <c r="T154" s="693" t="str">
        <f t="shared" si="3"/>
        <v>DP</v>
      </c>
      <c r="U154" s="693"/>
    </row>
    <row r="155">
      <c r="A155" s="692"/>
      <c r="B155" s="694"/>
      <c r="C155" s="532" t="str">
        <f>IFERROR(VLOOKUP(J155,'03. THIẾT BỊ'!$B$1:$U$836,5,0),"")</f>
        <v>Máy kéo chuối (Xăng)</v>
      </c>
      <c r="D155" s="463">
        <v>1.0</v>
      </c>
      <c r="E155" s="692"/>
      <c r="F155" s="463" t="s">
        <v>4158</v>
      </c>
      <c r="G155" s="692"/>
      <c r="H155" s="692">
        <f>IFERROR(VLOOKUP(J155,'03. THIẾT BỊ'!$B$1:$U$836,19,0),"")</f>
        <v>0.56</v>
      </c>
      <c r="I155" s="463" t="str">
        <f>IFERROR(VLOOKUP(J155,'03. THIẾT BỊ'!$B$1:$U$836,20,0),"")</f>
        <v>400 buồng/8h</v>
      </c>
      <c r="J155" s="464" t="s">
        <v>4400</v>
      </c>
      <c r="K155" s="463" t="s">
        <v>4158</v>
      </c>
      <c r="L155" s="692"/>
      <c r="M155" s="692"/>
      <c r="N155" s="692" t="str">
        <f>IFERROR(VLOOKUP(J155,'03. THIẾT BỊ'!$B$1:$U$836,4,0),"")</f>
        <v>ĐQSD</v>
      </c>
      <c r="O155" s="692" t="str">
        <f>IFERROR(VLOOKUP(J155,'03. THIẾT BỊ'!$B$1:$U$836,7,0),"")</f>
        <v>XN Chuối DP3</v>
      </c>
      <c r="P155" s="559" t="str">
        <f>IFERROR(VLOOKUP(O155,'NS QUẢN LÝ CG'!$A$4:$D$36,2,0),"")</f>
        <v>Thạch Ngọc Vững</v>
      </c>
      <c r="Q155" s="559" t="str">
        <f>IFERROR(VLOOKUP(O155,'NS QUẢN LÝ CG'!$A$4:$D$36,4,0),"")</f>
        <v>Lô 28 DP3</v>
      </c>
      <c r="R155" s="559" t="str">
        <f>IFERROR(VLOOKUP(O155,'NS QUẢN LÝ CG'!$A$4:$C$36,3,0),"")</f>
        <v>0975905267</v>
      </c>
      <c r="S155" s="532" t="str">
        <f>IFERROR(VLOOKUP(J155,'03. THIẾT BỊ'!$B$1:$S$836,3,0),"")</f>
        <v>A23-MKC-045</v>
      </c>
      <c r="T155" s="693" t="str">
        <f t="shared" si="3"/>
        <v>DP</v>
      </c>
      <c r="U155" s="693"/>
    </row>
    <row r="156">
      <c r="A156" s="692"/>
      <c r="B156" s="694"/>
      <c r="C156" s="532" t="str">
        <f>IFERROR(VLOOKUP(J156,'03. THIẾT BỊ'!$B$1:$U$836,5,0),"")</f>
        <v>Máy kéo chuối (Xăng)</v>
      </c>
      <c r="D156" s="463">
        <v>1.0</v>
      </c>
      <c r="E156" s="692"/>
      <c r="F156" s="463" t="s">
        <v>4158</v>
      </c>
      <c r="G156" s="692"/>
      <c r="H156" s="692">
        <f>IFERROR(VLOOKUP(J156,'03. THIẾT BỊ'!$B$1:$U$836,19,0),"")</f>
        <v>0.56</v>
      </c>
      <c r="I156" s="463" t="str">
        <f>IFERROR(VLOOKUP(J156,'03. THIẾT BỊ'!$B$1:$U$836,20,0),"")</f>
        <v>400 buồng/8h</v>
      </c>
      <c r="J156" s="464" t="s">
        <v>4500</v>
      </c>
      <c r="K156" s="463"/>
      <c r="L156" s="692"/>
      <c r="M156" s="463" t="s">
        <v>4158</v>
      </c>
      <c r="N156" s="692" t="str">
        <f>IFERROR(VLOOKUP(J156,'03. THIẾT BỊ'!$B$1:$U$836,4,0),"")</f>
        <v>ĐQSD</v>
      </c>
      <c r="O156" s="692" t="str">
        <f>IFERROR(VLOOKUP(J156,'03. THIẾT BỊ'!$B$1:$U$836,7,0),"")</f>
        <v>XN Chuối LP1</v>
      </c>
      <c r="P156" s="559" t="str">
        <f>IFERROR(VLOOKUP(O156,'NS QUẢN LÝ CG'!$A$4:$D$36,2,0),"")</f>
        <v>Nguyễn Ngọc Nhân</v>
      </c>
      <c r="Q156" s="559" t="str">
        <f>IFERROR(VLOOKUP(O156,'NS QUẢN LÝ CG'!$A$4:$D$36,4,0),"")</f>
        <v>Lô 7 LP1</v>
      </c>
      <c r="R156" s="559" t="str">
        <f>IFERROR(VLOOKUP(O156,'NS QUẢN LÝ CG'!$A$4:$C$36,3,0),"")</f>
        <v>0979578112</v>
      </c>
      <c r="S156" s="532" t="str">
        <f>IFERROR(VLOOKUP(J156,'03. THIẾT BỊ'!$B$1:$S$836,3,0),"")</f>
        <v>A24-MKC-004</v>
      </c>
      <c r="T156" s="693" t="str">
        <f t="shared" si="3"/>
        <v>LP</v>
      </c>
      <c r="U156" s="693"/>
    </row>
    <row r="157">
      <c r="A157" s="692"/>
      <c r="B157" s="694"/>
      <c r="C157" s="532" t="str">
        <f>IFERROR(VLOOKUP(J157,'03. THIẾT BỊ'!$B$1:$U$836,5,0),"")</f>
        <v>Máy kéo chuối (Xăng)</v>
      </c>
      <c r="D157" s="463">
        <v>1.0</v>
      </c>
      <c r="E157" s="692"/>
      <c r="F157" s="463" t="s">
        <v>4158</v>
      </c>
      <c r="G157" s="692"/>
      <c r="H157" s="692">
        <f>IFERROR(VLOOKUP(J157,'03. THIẾT BỊ'!$B$1:$U$836,19,0),"")</f>
        <v>0.56</v>
      </c>
      <c r="I157" s="463" t="str">
        <f>IFERROR(VLOOKUP(J157,'03. THIẾT BỊ'!$B$1:$U$836,20,0),"")</f>
        <v>400 buồng/8h</v>
      </c>
      <c r="J157" s="464" t="s">
        <v>4505</v>
      </c>
      <c r="K157" s="463"/>
      <c r="L157" s="692"/>
      <c r="M157" s="463" t="s">
        <v>4158</v>
      </c>
      <c r="N157" s="692" t="str">
        <f>IFERROR(VLOOKUP(J157,'03. THIẾT BỊ'!$B$1:$U$836,4,0),"")</f>
        <v>ĐQSD</v>
      </c>
      <c r="O157" s="692" t="str">
        <f>IFERROR(VLOOKUP(J157,'03. THIẾT BỊ'!$B$1:$U$836,7,0),"")</f>
        <v>XN Chuối LP1</v>
      </c>
      <c r="P157" s="559" t="str">
        <f>IFERROR(VLOOKUP(O157,'NS QUẢN LÝ CG'!$A$4:$D$36,2,0),"")</f>
        <v>Nguyễn Ngọc Nhân</v>
      </c>
      <c r="Q157" s="559" t="str">
        <f>IFERROR(VLOOKUP(O157,'NS QUẢN LÝ CG'!$A$4:$D$36,4,0),"")</f>
        <v>Lô 7 LP1</v>
      </c>
      <c r="R157" s="559" t="str">
        <f>IFERROR(VLOOKUP(O157,'NS QUẢN LÝ CG'!$A$4:$C$36,3,0),"")</f>
        <v>0979578112</v>
      </c>
      <c r="S157" s="532" t="str">
        <f>IFERROR(VLOOKUP(J157,'03. THIẾT BỊ'!$B$1:$S$836,3,0),"")</f>
        <v>A24-MKC-007</v>
      </c>
      <c r="T157" s="693" t="str">
        <f t="shared" si="3"/>
        <v>LP</v>
      </c>
      <c r="U157" s="693"/>
    </row>
    <row r="158">
      <c r="A158" s="692"/>
      <c r="B158" s="694"/>
      <c r="C158" s="532" t="str">
        <f>IFERROR(VLOOKUP(J158,'03. THIẾT BỊ'!$B$1:$U$836,5,0),"")</f>
        <v>Máy kéo chuối (Xăng)</v>
      </c>
      <c r="D158" s="463">
        <v>1.0</v>
      </c>
      <c r="E158" s="692"/>
      <c r="F158" s="463" t="s">
        <v>4158</v>
      </c>
      <c r="G158" s="692"/>
      <c r="H158" s="692">
        <f>IFERROR(VLOOKUP(J158,'03. THIẾT BỊ'!$B$1:$U$836,19,0),"")</f>
        <v>0.56</v>
      </c>
      <c r="I158" s="463" t="str">
        <f>IFERROR(VLOOKUP(J158,'03. THIẾT BỊ'!$B$1:$U$836,20,0),"")</f>
        <v>400 buồng/8h</v>
      </c>
      <c r="J158" s="464" t="s">
        <v>4508</v>
      </c>
      <c r="K158" s="463"/>
      <c r="L158" s="692"/>
      <c r="M158" s="463" t="s">
        <v>4158</v>
      </c>
      <c r="N158" s="692" t="str">
        <f>IFERROR(VLOOKUP(J158,'03. THIẾT BỊ'!$B$1:$U$836,4,0),"")</f>
        <v>ĐQSD</v>
      </c>
      <c r="O158" s="692" t="str">
        <f>IFERROR(VLOOKUP(J158,'03. THIẾT BỊ'!$B$1:$U$836,7,0),"")</f>
        <v>XN Chuối LP1</v>
      </c>
      <c r="P158" s="559" t="str">
        <f>IFERROR(VLOOKUP(O158,'NS QUẢN LÝ CG'!$A$4:$D$36,2,0),"")</f>
        <v>Nguyễn Ngọc Nhân</v>
      </c>
      <c r="Q158" s="559" t="str">
        <f>IFERROR(VLOOKUP(O158,'NS QUẢN LÝ CG'!$A$4:$D$36,4,0),"")</f>
        <v>Lô 7 LP1</v>
      </c>
      <c r="R158" s="559" t="str">
        <f>IFERROR(VLOOKUP(O158,'NS QUẢN LÝ CG'!$A$4:$C$36,3,0),"")</f>
        <v>0979578112</v>
      </c>
      <c r="S158" s="532" t="str">
        <f>IFERROR(VLOOKUP(J158,'03. THIẾT BỊ'!$B$1:$S$836,3,0),"")</f>
        <v>A24-MKC-010</v>
      </c>
      <c r="T158" s="693" t="str">
        <f t="shared" si="3"/>
        <v>LP</v>
      </c>
      <c r="U158" s="693"/>
    </row>
    <row r="159">
      <c r="A159" s="692"/>
      <c r="B159" s="694"/>
      <c r="C159" s="532" t="str">
        <f>IFERROR(VLOOKUP(J159,'03. THIẾT BỊ'!$B$1:$U$836,5,0),"")</f>
        <v>Máy kéo chuối (Xăng)</v>
      </c>
      <c r="D159" s="463">
        <v>1.0</v>
      </c>
      <c r="E159" s="692"/>
      <c r="F159" s="463" t="s">
        <v>4158</v>
      </c>
      <c r="G159" s="692"/>
      <c r="H159" s="692">
        <f>IFERROR(VLOOKUP(J159,'03. THIẾT BỊ'!$B$1:$U$836,19,0),"")</f>
        <v>0.56</v>
      </c>
      <c r="I159" s="463" t="str">
        <f>IFERROR(VLOOKUP(J159,'03. THIẾT BỊ'!$B$1:$U$836,20,0),"")</f>
        <v>400 buồng/8h</v>
      </c>
      <c r="J159" s="464" t="s">
        <v>4510</v>
      </c>
      <c r="K159" s="463"/>
      <c r="L159" s="692"/>
      <c r="M159" s="463" t="s">
        <v>4158</v>
      </c>
      <c r="N159" s="692" t="str">
        <f>IFERROR(VLOOKUP(J159,'03. THIẾT BỊ'!$B$1:$U$836,4,0),"")</f>
        <v>ĐQSD</v>
      </c>
      <c r="O159" s="692" t="str">
        <f>IFERROR(VLOOKUP(J159,'03. THIẾT BỊ'!$B$1:$U$836,7,0),"")</f>
        <v>XN Chuối LP1</v>
      </c>
      <c r="P159" s="559" t="str">
        <f>IFERROR(VLOOKUP(O159,'NS QUẢN LÝ CG'!$A$4:$D$36,2,0),"")</f>
        <v>Nguyễn Ngọc Nhân</v>
      </c>
      <c r="Q159" s="559" t="str">
        <f>IFERROR(VLOOKUP(O159,'NS QUẢN LÝ CG'!$A$4:$D$36,4,0),"")</f>
        <v>Lô 7 LP1</v>
      </c>
      <c r="R159" s="559" t="str">
        <f>IFERROR(VLOOKUP(O159,'NS QUẢN LÝ CG'!$A$4:$C$36,3,0),"")</f>
        <v>0979578112</v>
      </c>
      <c r="S159" s="532" t="str">
        <f>IFERROR(VLOOKUP(J159,'03. THIẾT BỊ'!$B$1:$S$836,3,0),"")</f>
        <v>A24-MKC-012</v>
      </c>
      <c r="T159" s="693" t="str">
        <f t="shared" si="3"/>
        <v>LP</v>
      </c>
      <c r="U159" s="693"/>
    </row>
    <row r="160">
      <c r="A160" s="692"/>
      <c r="B160" s="694"/>
      <c r="C160" s="532" t="str">
        <f>IFERROR(VLOOKUP(J160,'03. THIẾT BỊ'!$B$1:$U$836,5,0),"")</f>
        <v>Máy kéo chuối (Xăng)</v>
      </c>
      <c r="D160" s="463">
        <v>1.0</v>
      </c>
      <c r="E160" s="692"/>
      <c r="F160" s="463" t="s">
        <v>4158</v>
      </c>
      <c r="G160" s="692"/>
      <c r="H160" s="692">
        <f>IFERROR(VLOOKUP(J160,'03. THIẾT BỊ'!$B$1:$U$836,19,0),"")</f>
        <v>0.56</v>
      </c>
      <c r="I160" s="463" t="str">
        <f>IFERROR(VLOOKUP(J160,'03. THIẾT BỊ'!$B$1:$U$836,20,0),"")</f>
        <v>400 buồng/8h</v>
      </c>
      <c r="J160" s="464" t="s">
        <v>4513</v>
      </c>
      <c r="K160" s="463"/>
      <c r="L160" s="463" t="s">
        <v>4158</v>
      </c>
      <c r="M160" s="692"/>
      <c r="N160" s="692" t="str">
        <f>IFERROR(VLOOKUP(J160,'03. THIẾT BỊ'!$B$1:$U$836,4,0),"")</f>
        <v>ĐQSD</v>
      </c>
      <c r="O160" s="692" t="str">
        <f>IFERROR(VLOOKUP(J160,'03. THIẾT BỊ'!$B$1:$U$836,7,0),"")</f>
        <v>XN Chuối LP1</v>
      </c>
      <c r="P160" s="559" t="str">
        <f>IFERROR(VLOOKUP(O160,'NS QUẢN LÝ CG'!$A$4:$D$36,2,0),"")</f>
        <v>Nguyễn Ngọc Nhân</v>
      </c>
      <c r="Q160" s="559" t="str">
        <f>IFERROR(VLOOKUP(O160,'NS QUẢN LÝ CG'!$A$4:$D$36,4,0),"")</f>
        <v>Lô 7 LP1</v>
      </c>
      <c r="R160" s="559" t="str">
        <f>IFERROR(VLOOKUP(O160,'NS QUẢN LÝ CG'!$A$4:$C$36,3,0),"")</f>
        <v>0979578112</v>
      </c>
      <c r="S160" s="532" t="str">
        <f>IFERROR(VLOOKUP(J160,'03. THIẾT BỊ'!$B$1:$S$836,3,0),"")</f>
        <v>A24-MKC-013</v>
      </c>
      <c r="T160" s="693" t="str">
        <f t="shared" si="3"/>
        <v>LP</v>
      </c>
      <c r="U160" s="693"/>
    </row>
    <row r="161">
      <c r="A161" s="692"/>
      <c r="B161" s="694"/>
      <c r="C161" s="532" t="str">
        <f>IFERROR(VLOOKUP(J161,'03. THIẾT BỊ'!$B$1:$U$836,5,0),"")</f>
        <v>Máy kéo chuối (Xăng)</v>
      </c>
      <c r="D161" s="463">
        <v>1.0</v>
      </c>
      <c r="E161" s="692"/>
      <c r="F161" s="463" t="s">
        <v>4158</v>
      </c>
      <c r="G161" s="692"/>
      <c r="H161" s="692">
        <f>IFERROR(VLOOKUP(J161,'03. THIẾT BỊ'!$B$1:$U$836,19,0),"")</f>
        <v>0.56</v>
      </c>
      <c r="I161" s="463" t="str">
        <f>IFERROR(VLOOKUP(J161,'03. THIẾT BỊ'!$B$1:$U$836,20,0),"")</f>
        <v>400 buồng/8h</v>
      </c>
      <c r="J161" s="464" t="s">
        <v>4515</v>
      </c>
      <c r="K161" s="463"/>
      <c r="L161" s="463" t="s">
        <v>4158</v>
      </c>
      <c r="M161" s="692"/>
      <c r="N161" s="692" t="str">
        <f>IFERROR(VLOOKUP(J161,'03. THIẾT BỊ'!$B$1:$U$836,4,0),"")</f>
        <v>ĐQSD</v>
      </c>
      <c r="O161" s="692" t="str">
        <f>IFERROR(VLOOKUP(J161,'03. THIẾT BỊ'!$B$1:$U$836,7,0),"")</f>
        <v>XN Chuối LP1</v>
      </c>
      <c r="P161" s="559" t="str">
        <f>IFERROR(VLOOKUP(O161,'NS QUẢN LÝ CG'!$A$4:$D$36,2,0),"")</f>
        <v>Nguyễn Ngọc Nhân</v>
      </c>
      <c r="Q161" s="559" t="str">
        <f>IFERROR(VLOOKUP(O161,'NS QUẢN LÝ CG'!$A$4:$D$36,4,0),"")</f>
        <v>Lô 7 LP1</v>
      </c>
      <c r="R161" s="559" t="str">
        <f>IFERROR(VLOOKUP(O161,'NS QUẢN LÝ CG'!$A$4:$C$36,3,0),"")</f>
        <v>0979578112</v>
      </c>
      <c r="S161" s="532" t="str">
        <f>IFERROR(VLOOKUP(J161,'03. THIẾT BỊ'!$B$1:$S$836,3,0),"")</f>
        <v>A24-MKC-014</v>
      </c>
      <c r="T161" s="693" t="str">
        <f t="shared" si="3"/>
        <v>LP</v>
      </c>
      <c r="U161" s="693"/>
    </row>
    <row r="162">
      <c r="A162" s="692"/>
      <c r="B162" s="694"/>
      <c r="C162" s="532" t="str">
        <f>IFERROR(VLOOKUP(J162,'03. THIẾT BỊ'!$B$1:$U$836,5,0),"")</f>
        <v>Máy kéo chuối (Xăng)</v>
      </c>
      <c r="D162" s="463">
        <v>1.0</v>
      </c>
      <c r="E162" s="692"/>
      <c r="F162" s="463" t="s">
        <v>4158</v>
      </c>
      <c r="G162" s="692"/>
      <c r="H162" s="692">
        <f>IFERROR(VLOOKUP(J162,'03. THIẾT BỊ'!$B$1:$U$836,19,0),"")</f>
        <v>0.56</v>
      </c>
      <c r="I162" s="463" t="str">
        <f>IFERROR(VLOOKUP(J162,'03. THIẾT BỊ'!$B$1:$U$836,20,0),"")</f>
        <v>400 buồng/8h</v>
      </c>
      <c r="J162" s="464" t="s">
        <v>4518</v>
      </c>
      <c r="K162" s="463" t="s">
        <v>4158</v>
      </c>
      <c r="L162" s="692"/>
      <c r="M162" s="692"/>
      <c r="N162" s="692" t="str">
        <f>IFERROR(VLOOKUP(J162,'03. THIẾT BỊ'!$B$1:$U$836,4,0),"")</f>
        <v>ĐQSD</v>
      </c>
      <c r="O162" s="692" t="str">
        <f>IFERROR(VLOOKUP(J162,'03. THIẾT BỊ'!$B$1:$U$836,7,0),"")</f>
        <v>XN Chuối LP1</v>
      </c>
      <c r="P162" s="559" t="str">
        <f>IFERROR(VLOOKUP(O162,'NS QUẢN LÝ CG'!$A$4:$D$36,2,0),"")</f>
        <v>Nguyễn Ngọc Nhân</v>
      </c>
      <c r="Q162" s="559" t="str">
        <f>IFERROR(VLOOKUP(O162,'NS QUẢN LÝ CG'!$A$4:$D$36,4,0),"")</f>
        <v>Lô 7 LP1</v>
      </c>
      <c r="R162" s="559" t="str">
        <f>IFERROR(VLOOKUP(O162,'NS QUẢN LÝ CG'!$A$4:$C$36,3,0),"")</f>
        <v>0979578112</v>
      </c>
      <c r="S162" s="532" t="str">
        <f>IFERROR(VLOOKUP(J162,'03. THIẾT BỊ'!$B$1:$S$836,3,0),"")</f>
        <v>A24-MKC-016</v>
      </c>
      <c r="T162" s="693" t="str">
        <f t="shared" si="3"/>
        <v>LP</v>
      </c>
      <c r="U162" s="693"/>
    </row>
    <row r="163">
      <c r="A163" s="692"/>
      <c r="B163" s="694"/>
      <c r="C163" s="532" t="str">
        <f>IFERROR(VLOOKUP(J163,'03. THIẾT BỊ'!$B$1:$U$836,5,0),"")</f>
        <v>Máy kéo chuối (Xăng)</v>
      </c>
      <c r="D163" s="463">
        <v>1.0</v>
      </c>
      <c r="E163" s="692"/>
      <c r="F163" s="463" t="s">
        <v>4158</v>
      </c>
      <c r="G163" s="692"/>
      <c r="H163" s="692">
        <f>IFERROR(VLOOKUP(J163,'03. THIẾT BỊ'!$B$1:$U$836,19,0),"")</f>
        <v>0.56</v>
      </c>
      <c r="I163" s="463" t="str">
        <f>IFERROR(VLOOKUP(J163,'03. THIẾT BỊ'!$B$1:$U$836,20,0),"")</f>
        <v>400 buồng/8h</v>
      </c>
      <c r="J163" s="464" t="s">
        <v>4521</v>
      </c>
      <c r="K163" s="463" t="s">
        <v>4158</v>
      </c>
      <c r="L163" s="692"/>
      <c r="M163" s="692"/>
      <c r="N163" s="692" t="str">
        <f>IFERROR(VLOOKUP(J163,'03. THIẾT BỊ'!$B$1:$U$836,4,0),"")</f>
        <v>ĐQSD</v>
      </c>
      <c r="O163" s="692" t="str">
        <f>IFERROR(VLOOKUP(J163,'03. THIẾT BỊ'!$B$1:$U$836,7,0),"")</f>
        <v>XN Chuối LP1</v>
      </c>
      <c r="P163" s="559" t="str">
        <f>IFERROR(VLOOKUP(O163,'NS QUẢN LÝ CG'!$A$4:$D$36,2,0),"")</f>
        <v>Nguyễn Ngọc Nhân</v>
      </c>
      <c r="Q163" s="559" t="str">
        <f>IFERROR(VLOOKUP(O163,'NS QUẢN LÝ CG'!$A$4:$D$36,4,0),"")</f>
        <v>Lô 7 LP1</v>
      </c>
      <c r="R163" s="559" t="str">
        <f>IFERROR(VLOOKUP(O163,'NS QUẢN LÝ CG'!$A$4:$C$36,3,0),"")</f>
        <v>0979578112</v>
      </c>
      <c r="S163" s="532" t="str">
        <f>IFERROR(VLOOKUP(J163,'03. THIẾT BỊ'!$B$1:$S$836,3,0),"")</f>
        <v>A23-MKC-022</v>
      </c>
      <c r="T163" s="693" t="str">
        <f t="shared" si="3"/>
        <v>DP</v>
      </c>
      <c r="U163" s="693"/>
    </row>
    <row r="164">
      <c r="A164" s="692"/>
      <c r="B164" s="694"/>
      <c r="C164" s="532" t="str">
        <f>IFERROR(VLOOKUP(J164,'03. THIẾT BỊ'!$B$1:$U$836,5,0),"")</f>
        <v>Máy kéo chuối (Xăng)</v>
      </c>
      <c r="D164" s="463">
        <v>1.0</v>
      </c>
      <c r="E164" s="692"/>
      <c r="F164" s="463" t="s">
        <v>4158</v>
      </c>
      <c r="G164" s="692"/>
      <c r="H164" s="692">
        <f>IFERROR(VLOOKUP(J164,'03. THIẾT BỊ'!$B$1:$U$836,19,0),"")</f>
        <v>0.56</v>
      </c>
      <c r="I164" s="463" t="str">
        <f>IFERROR(VLOOKUP(J164,'03. THIẾT BỊ'!$B$1:$U$836,20,0),"")</f>
        <v>400 buồng/8h</v>
      </c>
      <c r="J164" s="464" t="s">
        <v>4523</v>
      </c>
      <c r="K164" s="463" t="s">
        <v>4158</v>
      </c>
      <c r="L164" s="692"/>
      <c r="M164" s="692"/>
      <c r="N164" s="692" t="str">
        <f>IFERROR(VLOOKUP(J164,'03. THIẾT BỊ'!$B$1:$U$836,4,0),"")</f>
        <v>ĐQSD</v>
      </c>
      <c r="O164" s="692" t="str">
        <f>IFERROR(VLOOKUP(J164,'03. THIẾT BỊ'!$B$1:$U$836,7,0),"")</f>
        <v>XN Chuối LP1</v>
      </c>
      <c r="P164" s="559" t="str">
        <f>IFERROR(VLOOKUP(O164,'NS QUẢN LÝ CG'!$A$4:$D$36,2,0),"")</f>
        <v>Nguyễn Ngọc Nhân</v>
      </c>
      <c r="Q164" s="559" t="str">
        <f>IFERROR(VLOOKUP(O164,'NS QUẢN LÝ CG'!$A$4:$D$36,4,0),"")</f>
        <v>Lô 7 LP1</v>
      </c>
      <c r="R164" s="559" t="str">
        <f>IFERROR(VLOOKUP(O164,'NS QUẢN LÝ CG'!$A$4:$C$36,3,0),"")</f>
        <v>0979578112</v>
      </c>
      <c r="S164" s="532" t="str">
        <f>IFERROR(VLOOKUP(J164,'03. THIẾT BỊ'!$B$1:$S$836,3,0),"")</f>
        <v>A24-MKC-019</v>
      </c>
      <c r="T164" s="693" t="str">
        <f t="shared" si="3"/>
        <v>LP</v>
      </c>
      <c r="U164" s="693"/>
    </row>
    <row r="165">
      <c r="A165" s="692"/>
      <c r="B165" s="694"/>
      <c r="C165" s="532" t="str">
        <f>IFERROR(VLOOKUP(J165,'03. THIẾT BỊ'!$B$1:$U$836,5,0),"")</f>
        <v>Máy kéo chuối (Xăng)</v>
      </c>
      <c r="D165" s="463">
        <v>1.0</v>
      </c>
      <c r="E165" s="692"/>
      <c r="F165" s="463" t="s">
        <v>4158</v>
      </c>
      <c r="G165" s="692"/>
      <c r="H165" s="692">
        <f>IFERROR(VLOOKUP(J165,'03. THIẾT BỊ'!$B$1:$U$836,19,0),"")</f>
        <v>0.56</v>
      </c>
      <c r="I165" s="463" t="str">
        <f>IFERROR(VLOOKUP(J165,'03. THIẾT BỊ'!$B$1:$U$836,20,0),"")</f>
        <v>400 buồng/8h</v>
      </c>
      <c r="J165" s="464" t="s">
        <v>4528</v>
      </c>
      <c r="K165" s="463" t="s">
        <v>4158</v>
      </c>
      <c r="L165" s="692"/>
      <c r="M165" s="692"/>
      <c r="N165" s="692" t="str">
        <f>IFERROR(VLOOKUP(J165,'03. THIẾT BỊ'!$B$1:$U$836,4,0),"")</f>
        <v>ĐQSD</v>
      </c>
      <c r="O165" s="692" t="str">
        <f>IFERROR(VLOOKUP(J165,'03. THIẾT BỊ'!$B$1:$U$836,7,0),"")</f>
        <v>XN Chuối LP1</v>
      </c>
      <c r="P165" s="559" t="str">
        <f>IFERROR(VLOOKUP(O165,'NS QUẢN LÝ CG'!$A$4:$D$36,2,0),"")</f>
        <v>Nguyễn Ngọc Nhân</v>
      </c>
      <c r="Q165" s="559" t="str">
        <f>IFERROR(VLOOKUP(O165,'NS QUẢN LÝ CG'!$A$4:$D$36,4,0),"")</f>
        <v>Lô 7 LP1</v>
      </c>
      <c r="R165" s="559" t="str">
        <f>IFERROR(VLOOKUP(O165,'NS QUẢN LÝ CG'!$A$4:$C$36,3,0),"")</f>
        <v>0979578112</v>
      </c>
      <c r="S165" s="532" t="str">
        <f>IFERROR(VLOOKUP(J165,'03. THIẾT BỊ'!$B$1:$S$836,3,0),"")</f>
        <v>A24-MKC-020</v>
      </c>
      <c r="T165" s="693" t="str">
        <f t="shared" si="3"/>
        <v>LP</v>
      </c>
      <c r="U165" s="693"/>
    </row>
    <row r="166">
      <c r="A166" s="692"/>
      <c r="B166" s="694"/>
      <c r="C166" s="532" t="str">
        <f>IFERROR(VLOOKUP(J166,'03. THIẾT BỊ'!$B$1:$U$836,5,0),"")</f>
        <v>Máy kéo chuối (Xăng)</v>
      </c>
      <c r="D166" s="463">
        <v>1.0</v>
      </c>
      <c r="E166" s="692"/>
      <c r="F166" s="463" t="s">
        <v>4158</v>
      </c>
      <c r="G166" s="692"/>
      <c r="H166" s="692">
        <f>IFERROR(VLOOKUP(J166,'03. THIẾT BỊ'!$B$1:$U$836,19,0),"")</f>
        <v>0.56</v>
      </c>
      <c r="I166" s="463" t="str">
        <f>IFERROR(VLOOKUP(J166,'03. THIẾT BỊ'!$B$1:$U$836,20,0),"")</f>
        <v>400 buồng/8h</v>
      </c>
      <c r="J166" s="464" t="s">
        <v>4532</v>
      </c>
      <c r="K166" s="463" t="s">
        <v>4158</v>
      </c>
      <c r="L166" s="692"/>
      <c r="M166" s="692"/>
      <c r="N166" s="692" t="str">
        <f>IFERROR(VLOOKUP(J166,'03. THIẾT BỊ'!$B$1:$U$836,4,0),"")</f>
        <v>ĐQSD</v>
      </c>
      <c r="O166" s="692" t="str">
        <f>IFERROR(VLOOKUP(J166,'03. THIẾT BỊ'!$B$1:$U$836,7,0),"")</f>
        <v>XN Chuối LP1</v>
      </c>
      <c r="P166" s="559" t="str">
        <f>IFERROR(VLOOKUP(O166,'NS QUẢN LÝ CG'!$A$4:$D$36,2,0),"")</f>
        <v>Nguyễn Ngọc Nhân</v>
      </c>
      <c r="Q166" s="559" t="str">
        <f>IFERROR(VLOOKUP(O166,'NS QUẢN LÝ CG'!$A$4:$D$36,4,0),"")</f>
        <v>Lô 7 LP1</v>
      </c>
      <c r="R166" s="559" t="str">
        <f>IFERROR(VLOOKUP(O166,'NS QUẢN LÝ CG'!$A$4:$C$36,3,0),"")</f>
        <v>0979578112</v>
      </c>
      <c r="S166" s="532" t="str">
        <f>IFERROR(VLOOKUP(J166,'03. THIẾT BỊ'!$B$1:$S$836,3,0),"")</f>
        <v>A24-MKC-021</v>
      </c>
      <c r="T166" s="693" t="str">
        <f t="shared" si="3"/>
        <v>LP</v>
      </c>
      <c r="U166" s="693"/>
    </row>
    <row r="167">
      <c r="A167" s="692"/>
      <c r="B167" s="694"/>
      <c r="C167" s="532" t="str">
        <f>IFERROR(VLOOKUP(J167,'03. THIẾT BỊ'!$B$1:$U$836,5,0),"")</f>
        <v>Máy kéo chuối (Xăng)</v>
      </c>
      <c r="D167" s="463">
        <v>1.0</v>
      </c>
      <c r="E167" s="692"/>
      <c r="F167" s="463" t="s">
        <v>4158</v>
      </c>
      <c r="G167" s="692"/>
      <c r="H167" s="692">
        <f>IFERROR(VLOOKUP(J167,'03. THIẾT BỊ'!$B$1:$U$836,19,0),"")</f>
        <v>0.56</v>
      </c>
      <c r="I167" s="463" t="str">
        <f>IFERROR(VLOOKUP(J167,'03. THIẾT BỊ'!$B$1:$U$836,20,0),"")</f>
        <v>400 buồng/8h</v>
      </c>
      <c r="J167" s="464" t="s">
        <v>4535</v>
      </c>
      <c r="K167" s="463" t="s">
        <v>4158</v>
      </c>
      <c r="L167" s="692"/>
      <c r="M167" s="692"/>
      <c r="N167" s="692" t="str">
        <f>IFERROR(VLOOKUP(J167,'03. THIẾT BỊ'!$B$1:$U$836,4,0),"")</f>
        <v>ĐQSD</v>
      </c>
      <c r="O167" s="692" t="str">
        <f>IFERROR(VLOOKUP(J167,'03. THIẾT BỊ'!$B$1:$U$836,7,0),"")</f>
        <v>XN Chuối LP1</v>
      </c>
      <c r="P167" s="559" t="str">
        <f>IFERROR(VLOOKUP(O167,'NS QUẢN LÝ CG'!$A$4:$D$36,2,0),"")</f>
        <v>Nguyễn Ngọc Nhân</v>
      </c>
      <c r="Q167" s="559" t="str">
        <f>IFERROR(VLOOKUP(O167,'NS QUẢN LÝ CG'!$A$4:$D$36,4,0),"")</f>
        <v>Lô 7 LP1</v>
      </c>
      <c r="R167" s="559" t="str">
        <f>IFERROR(VLOOKUP(O167,'NS QUẢN LÝ CG'!$A$4:$C$36,3,0),"")</f>
        <v>0979578112</v>
      </c>
      <c r="S167" s="532" t="str">
        <f>IFERROR(VLOOKUP(J167,'03. THIẾT BỊ'!$B$1:$S$836,3,0),"")</f>
        <v>A24-MKC-026</v>
      </c>
      <c r="T167" s="693" t="str">
        <f t="shared" si="3"/>
        <v>LP</v>
      </c>
      <c r="U167" s="693"/>
    </row>
    <row r="168">
      <c r="A168" s="692"/>
      <c r="B168" s="694"/>
      <c r="C168" s="532" t="str">
        <f>IFERROR(VLOOKUP(J168,'03. THIẾT BỊ'!$B$1:$U$836,5,0),"")</f>
        <v>Máy kéo chuối (Xăng)</v>
      </c>
      <c r="D168" s="463">
        <v>1.0</v>
      </c>
      <c r="E168" s="692"/>
      <c r="F168" s="463" t="s">
        <v>4158</v>
      </c>
      <c r="G168" s="692"/>
      <c r="H168" s="692">
        <f>IFERROR(VLOOKUP(J168,'03. THIẾT BỊ'!$B$1:$U$836,19,0),"")</f>
        <v>0.56</v>
      </c>
      <c r="I168" s="463" t="str">
        <f>IFERROR(VLOOKUP(J168,'03. THIẾT BỊ'!$B$1:$U$836,20,0),"")</f>
        <v>400 buồng/8h</v>
      </c>
      <c r="J168" s="464" t="s">
        <v>4538</v>
      </c>
      <c r="K168" s="463" t="s">
        <v>4158</v>
      </c>
      <c r="L168" s="692"/>
      <c r="M168" s="692"/>
      <c r="N168" s="692" t="str">
        <f>IFERROR(VLOOKUP(J168,'03. THIẾT BỊ'!$B$1:$U$836,4,0),"")</f>
        <v>ĐQSD</v>
      </c>
      <c r="O168" s="692" t="str">
        <f>IFERROR(VLOOKUP(J168,'03. THIẾT BỊ'!$B$1:$U$836,7,0),"")</f>
        <v>XN Chuối LP1</v>
      </c>
      <c r="P168" s="559" t="str">
        <f>IFERROR(VLOOKUP(O168,'NS QUẢN LÝ CG'!$A$4:$D$36,2,0),"")</f>
        <v>Nguyễn Ngọc Nhân</v>
      </c>
      <c r="Q168" s="559" t="str">
        <f>IFERROR(VLOOKUP(O168,'NS QUẢN LÝ CG'!$A$4:$D$36,4,0),"")</f>
        <v>Lô 7 LP1</v>
      </c>
      <c r="R168" s="559" t="str">
        <f>IFERROR(VLOOKUP(O168,'NS QUẢN LÝ CG'!$A$4:$C$36,3,0),"")</f>
        <v>0979578112</v>
      </c>
      <c r="S168" s="532" t="str">
        <f>IFERROR(VLOOKUP(J168,'03. THIẾT BỊ'!$B$1:$S$836,3,0),"")</f>
        <v>A24-MKC-027</v>
      </c>
      <c r="T168" s="693" t="str">
        <f t="shared" si="3"/>
        <v>LP</v>
      </c>
      <c r="U168" s="693"/>
    </row>
    <row r="169">
      <c r="A169" s="692"/>
      <c r="B169" s="694"/>
      <c r="C169" s="532" t="str">
        <f>IFERROR(VLOOKUP(J169,'03. THIẾT BỊ'!$B$1:$U$836,5,0),"")</f>
        <v>Máy kéo chuối (Xăng)</v>
      </c>
      <c r="D169" s="463">
        <v>1.0</v>
      </c>
      <c r="E169" s="692"/>
      <c r="F169" s="463" t="s">
        <v>4158</v>
      </c>
      <c r="G169" s="692"/>
      <c r="H169" s="692">
        <f>IFERROR(VLOOKUP(J169,'03. THIẾT BỊ'!$B$1:$U$836,19,0),"")</f>
        <v>0.56</v>
      </c>
      <c r="I169" s="463" t="str">
        <f>IFERROR(VLOOKUP(J169,'03. THIẾT BỊ'!$B$1:$U$836,20,0),"")</f>
        <v>400 buồng/8h</v>
      </c>
      <c r="J169" s="464" t="s">
        <v>4685</v>
      </c>
      <c r="K169" s="463"/>
      <c r="L169" s="692"/>
      <c r="M169" s="463" t="s">
        <v>4158</v>
      </c>
      <c r="N169" s="692" t="str">
        <f>IFERROR(VLOOKUP(J169,'03. THIẾT BỊ'!$B$1:$U$836,4,0),"")</f>
        <v>ĐQSD</v>
      </c>
      <c r="O169" s="692" t="str">
        <f>IFERROR(VLOOKUP(J169,'03. THIẾT BỊ'!$B$1:$U$836,7,0),"")</f>
        <v>XN Chuối LP3</v>
      </c>
      <c r="P169" s="559" t="str">
        <f>IFERROR(VLOOKUP(O169,'NS QUẢN LÝ CG'!$A$4:$D$36,2,0),"")</f>
        <v>Lê Cao Nghị</v>
      </c>
      <c r="Q169" s="559" t="str">
        <f>IFERROR(VLOOKUP(O169,'NS QUẢN LÝ CG'!$A$4:$D$36,4,0),"")</f>
        <v>Lô 2 LP3</v>
      </c>
      <c r="R169" s="559" t="str">
        <f>IFERROR(VLOOKUP(O169,'NS QUẢN LÝ CG'!$A$4:$C$36,3,0),"")</f>
        <v>0977423100</v>
      </c>
      <c r="S169" s="532" t="str">
        <f>IFERROR(VLOOKUP(J169,'03. THIẾT BỊ'!$B$1:$S$836,3,0),"")</f>
        <v>A24-MKC-001</v>
      </c>
      <c r="T169" s="693" t="str">
        <f t="shared" si="3"/>
        <v>LP</v>
      </c>
      <c r="U169" s="693"/>
    </row>
    <row r="170">
      <c r="A170" s="692"/>
      <c r="B170" s="694"/>
      <c r="C170" s="532" t="str">
        <f>IFERROR(VLOOKUP(J170,'03. THIẾT BỊ'!$B$1:$U$836,5,0),"")</f>
        <v>Máy kéo chuối (Xăng)</v>
      </c>
      <c r="D170" s="463">
        <v>1.0</v>
      </c>
      <c r="E170" s="692"/>
      <c r="F170" s="463" t="s">
        <v>4158</v>
      </c>
      <c r="G170" s="692"/>
      <c r="H170" s="692">
        <f>IFERROR(VLOOKUP(J170,'03. THIẾT BỊ'!$B$1:$U$836,19,0),"")</f>
        <v>0.56</v>
      </c>
      <c r="I170" s="463" t="str">
        <f>IFERROR(VLOOKUP(J170,'03. THIẾT BỊ'!$B$1:$U$836,20,0),"")</f>
        <v>400 buồng/8h</v>
      </c>
      <c r="J170" s="464" t="s">
        <v>4689</v>
      </c>
      <c r="K170" s="463"/>
      <c r="L170" s="692"/>
      <c r="M170" s="463" t="s">
        <v>4158</v>
      </c>
      <c r="N170" s="692" t="str">
        <f>IFERROR(VLOOKUP(J170,'03. THIẾT BỊ'!$B$1:$U$836,4,0),"")</f>
        <v>ĐQSD</v>
      </c>
      <c r="O170" s="692" t="str">
        <f>IFERROR(VLOOKUP(J170,'03. THIẾT BỊ'!$B$1:$U$836,7,0),"")</f>
        <v>XN Chuối LP3</v>
      </c>
      <c r="P170" s="559" t="str">
        <f>IFERROR(VLOOKUP(O170,'NS QUẢN LÝ CG'!$A$4:$D$36,2,0),"")</f>
        <v>Lê Cao Nghị</v>
      </c>
      <c r="Q170" s="559" t="str">
        <f>IFERROR(VLOOKUP(O170,'NS QUẢN LÝ CG'!$A$4:$D$36,4,0),"")</f>
        <v>Lô 2 LP3</v>
      </c>
      <c r="R170" s="559" t="str">
        <f>IFERROR(VLOOKUP(O170,'NS QUẢN LÝ CG'!$A$4:$C$36,3,0),"")</f>
        <v>0977423100</v>
      </c>
      <c r="S170" s="532" t="str">
        <f>IFERROR(VLOOKUP(J170,'03. THIẾT BỊ'!$B$1:$S$836,3,0),"")</f>
        <v>A24-MKC-002</v>
      </c>
      <c r="T170" s="693" t="str">
        <f t="shared" si="3"/>
        <v>LP</v>
      </c>
      <c r="U170" s="693"/>
    </row>
    <row r="171">
      <c r="A171" s="692"/>
      <c r="B171" s="694"/>
      <c r="C171" s="532" t="str">
        <f>IFERROR(VLOOKUP(J171,'03. THIẾT BỊ'!$B$1:$U$836,5,0),"")</f>
        <v>Máy kéo chuối (Xăng)</v>
      </c>
      <c r="D171" s="463">
        <v>1.0</v>
      </c>
      <c r="E171" s="692"/>
      <c r="F171" s="463" t="s">
        <v>4158</v>
      </c>
      <c r="G171" s="692"/>
      <c r="H171" s="692">
        <f>IFERROR(VLOOKUP(J171,'03. THIẾT BỊ'!$B$1:$U$836,19,0),"")</f>
        <v>0.56</v>
      </c>
      <c r="I171" s="463" t="str">
        <f>IFERROR(VLOOKUP(J171,'03. THIẾT BỊ'!$B$1:$U$836,20,0),"")</f>
        <v>400 buồng/8h</v>
      </c>
      <c r="J171" s="464" t="s">
        <v>4694</v>
      </c>
      <c r="K171" s="463"/>
      <c r="L171" s="692"/>
      <c r="M171" s="463" t="s">
        <v>4158</v>
      </c>
      <c r="N171" s="692" t="str">
        <f>IFERROR(VLOOKUP(J171,'03. THIẾT BỊ'!$B$1:$U$836,4,0),"")</f>
        <v>ĐQSD</v>
      </c>
      <c r="O171" s="692" t="str">
        <f>IFERROR(VLOOKUP(J171,'03. THIẾT BỊ'!$B$1:$U$836,7,0),"")</f>
        <v>XN Chuối LP3</v>
      </c>
      <c r="P171" s="559" t="str">
        <f>IFERROR(VLOOKUP(O171,'NS QUẢN LÝ CG'!$A$4:$D$36,2,0),"")</f>
        <v>Lê Cao Nghị</v>
      </c>
      <c r="Q171" s="559" t="str">
        <f>IFERROR(VLOOKUP(O171,'NS QUẢN LÝ CG'!$A$4:$D$36,4,0),"")</f>
        <v>Lô 2 LP3</v>
      </c>
      <c r="R171" s="559" t="str">
        <f>IFERROR(VLOOKUP(O171,'NS QUẢN LÝ CG'!$A$4:$C$36,3,0),"")</f>
        <v>0977423100</v>
      </c>
      <c r="S171" s="532" t="str">
        <f>IFERROR(VLOOKUP(J171,'03. THIẾT BỊ'!$B$1:$S$836,3,0),"")</f>
        <v>A24-MKC-003</v>
      </c>
      <c r="T171" s="693" t="str">
        <f t="shared" si="3"/>
        <v>LP</v>
      </c>
      <c r="U171" s="693"/>
    </row>
    <row r="172">
      <c r="A172" s="692"/>
      <c r="B172" s="694"/>
      <c r="C172" s="532" t="str">
        <f>IFERROR(VLOOKUP(J172,'03. THIẾT BỊ'!$B$1:$U$836,5,0),"")</f>
        <v>Máy kéo chuối (Xăng)</v>
      </c>
      <c r="D172" s="463">
        <v>1.0</v>
      </c>
      <c r="E172" s="692"/>
      <c r="F172" s="463" t="s">
        <v>4158</v>
      </c>
      <c r="G172" s="692"/>
      <c r="H172" s="692">
        <f>IFERROR(VLOOKUP(J172,'03. THIẾT BỊ'!$B$1:$U$836,19,0),"")</f>
        <v>0.56</v>
      </c>
      <c r="I172" s="463" t="str">
        <f>IFERROR(VLOOKUP(J172,'03. THIẾT BỊ'!$B$1:$U$836,20,0),"")</f>
        <v>400 buồng/8h</v>
      </c>
      <c r="J172" s="464" t="s">
        <v>4697</v>
      </c>
      <c r="K172" s="463"/>
      <c r="L172" s="692"/>
      <c r="M172" s="463" t="s">
        <v>4158</v>
      </c>
      <c r="N172" s="692" t="str">
        <f>IFERROR(VLOOKUP(J172,'03. THIẾT BỊ'!$B$1:$U$836,4,0),"")</f>
        <v>ĐQSD</v>
      </c>
      <c r="O172" s="692" t="str">
        <f>IFERROR(VLOOKUP(J172,'03. THIẾT BỊ'!$B$1:$U$836,7,0),"")</f>
        <v>XN Chuối LP3</v>
      </c>
      <c r="P172" s="559" t="str">
        <f>IFERROR(VLOOKUP(O172,'NS QUẢN LÝ CG'!$A$4:$D$36,2,0),"")</f>
        <v>Lê Cao Nghị</v>
      </c>
      <c r="Q172" s="559" t="str">
        <f>IFERROR(VLOOKUP(O172,'NS QUẢN LÝ CG'!$A$4:$D$36,4,0),"")</f>
        <v>Lô 2 LP3</v>
      </c>
      <c r="R172" s="559" t="str">
        <f>IFERROR(VLOOKUP(O172,'NS QUẢN LÝ CG'!$A$4:$C$36,3,0),"")</f>
        <v>0977423100</v>
      </c>
      <c r="S172" s="532" t="str">
        <f>IFERROR(VLOOKUP(J172,'03. THIẾT BỊ'!$B$1:$S$836,3,0),"")</f>
        <v>A24-MKC-004</v>
      </c>
      <c r="T172" s="693" t="str">
        <f t="shared" si="3"/>
        <v>LP</v>
      </c>
      <c r="U172" s="693"/>
    </row>
    <row r="173">
      <c r="A173" s="692"/>
      <c r="B173" s="694"/>
      <c r="C173" s="532" t="str">
        <f>IFERROR(VLOOKUP(J173,'03. THIẾT BỊ'!$B$1:$U$836,5,0),"")</f>
        <v>Máy kéo chuối (Xăng)</v>
      </c>
      <c r="D173" s="463">
        <v>1.0</v>
      </c>
      <c r="E173" s="692"/>
      <c r="F173" s="463" t="s">
        <v>4158</v>
      </c>
      <c r="G173" s="692"/>
      <c r="H173" s="692">
        <f>IFERROR(VLOOKUP(J173,'03. THIẾT BỊ'!$B$1:$U$836,19,0),"")</f>
        <v>0.56</v>
      </c>
      <c r="I173" s="463" t="str">
        <f>IFERROR(VLOOKUP(J173,'03. THIẾT BỊ'!$B$1:$U$836,20,0),"")</f>
        <v>400 buồng/8h</v>
      </c>
      <c r="J173" s="464" t="s">
        <v>4701</v>
      </c>
      <c r="K173" s="463" t="s">
        <v>4158</v>
      </c>
      <c r="L173" s="692"/>
      <c r="M173" s="692"/>
      <c r="N173" s="692" t="str">
        <f>IFERROR(VLOOKUP(J173,'03. THIẾT BỊ'!$B$1:$U$836,4,0),"")</f>
        <v>ĐQSD</v>
      </c>
      <c r="O173" s="692" t="str">
        <f>IFERROR(VLOOKUP(J173,'03. THIẾT BỊ'!$B$1:$U$836,7,0),"")</f>
        <v>XN Chuối LP3</v>
      </c>
      <c r="P173" s="559" t="str">
        <f>IFERROR(VLOOKUP(O173,'NS QUẢN LÝ CG'!$A$4:$D$36,2,0),"")</f>
        <v>Lê Cao Nghị</v>
      </c>
      <c r="Q173" s="559" t="str">
        <f>IFERROR(VLOOKUP(O173,'NS QUẢN LÝ CG'!$A$4:$D$36,4,0),"")</f>
        <v>Lô 2 LP3</v>
      </c>
      <c r="R173" s="559" t="str">
        <f>IFERROR(VLOOKUP(O173,'NS QUẢN LÝ CG'!$A$4:$C$36,3,0),"")</f>
        <v>0977423100</v>
      </c>
      <c r="S173" s="532" t="str">
        <f>IFERROR(VLOOKUP(J173,'03. THIẾT BỊ'!$B$1:$S$836,3,0),"")</f>
        <v>A24-MKC-005</v>
      </c>
      <c r="T173" s="693" t="str">
        <f t="shared" si="3"/>
        <v>LP</v>
      </c>
      <c r="U173" s="693"/>
    </row>
    <row r="174">
      <c r="A174" s="692"/>
      <c r="B174" s="694"/>
      <c r="C174" s="532" t="str">
        <f>IFERROR(VLOOKUP(J174,'03. THIẾT BỊ'!$B$1:$U$836,5,0),"")</f>
        <v>Máy kéo chuối (Xăng)</v>
      </c>
      <c r="D174" s="463">
        <v>1.0</v>
      </c>
      <c r="E174" s="692"/>
      <c r="F174" s="463" t="s">
        <v>4158</v>
      </c>
      <c r="G174" s="692"/>
      <c r="H174" s="692">
        <f>IFERROR(VLOOKUP(J174,'03. THIẾT BỊ'!$B$1:$U$836,19,0),"")</f>
        <v>0.56</v>
      </c>
      <c r="I174" s="463" t="str">
        <f>IFERROR(VLOOKUP(J174,'03. THIẾT BỊ'!$B$1:$U$836,20,0),"")</f>
        <v>400 buồng/8h</v>
      </c>
      <c r="J174" s="464" t="s">
        <v>4708</v>
      </c>
      <c r="K174" s="463" t="s">
        <v>4158</v>
      </c>
      <c r="L174" s="692"/>
      <c r="M174" s="692"/>
      <c r="N174" s="692" t="str">
        <f>IFERROR(VLOOKUP(J174,'03. THIẾT BỊ'!$B$1:$U$836,4,0),"")</f>
        <v>ĐQSD</v>
      </c>
      <c r="O174" s="692" t="str">
        <f>IFERROR(VLOOKUP(J174,'03. THIẾT BỊ'!$B$1:$U$836,7,0),"")</f>
        <v>XN Chuối LP3</v>
      </c>
      <c r="P174" s="559" t="str">
        <f>IFERROR(VLOOKUP(O174,'NS QUẢN LÝ CG'!$A$4:$D$36,2,0),"")</f>
        <v>Lê Cao Nghị</v>
      </c>
      <c r="Q174" s="559" t="str">
        <f>IFERROR(VLOOKUP(O174,'NS QUẢN LÝ CG'!$A$4:$D$36,4,0),"")</f>
        <v>Lô 2 LP3</v>
      </c>
      <c r="R174" s="559" t="str">
        <f>IFERROR(VLOOKUP(O174,'NS QUẢN LÝ CG'!$A$4:$C$36,3,0),"")</f>
        <v>0977423100</v>
      </c>
      <c r="S174" s="532" t="str">
        <f>IFERROR(VLOOKUP(J174,'03. THIẾT BỊ'!$B$1:$S$836,3,0),"")</f>
        <v>A24-MKC-006</v>
      </c>
      <c r="T174" s="693" t="str">
        <f t="shared" si="3"/>
        <v>LP</v>
      </c>
      <c r="U174" s="693"/>
    </row>
    <row r="175">
      <c r="A175" s="692"/>
      <c r="B175" s="694"/>
      <c r="C175" s="532" t="str">
        <f>IFERROR(VLOOKUP(J175,'03. THIẾT BỊ'!$B$1:$U$836,5,0),"")</f>
        <v>Máy kéo chuối (Xăng)</v>
      </c>
      <c r="D175" s="463">
        <v>1.0</v>
      </c>
      <c r="E175" s="692"/>
      <c r="F175" s="463" t="s">
        <v>4158</v>
      </c>
      <c r="G175" s="692"/>
      <c r="H175" s="692">
        <f>IFERROR(VLOOKUP(J175,'03. THIẾT BỊ'!$B$1:$U$836,19,0),"")</f>
        <v>0.56</v>
      </c>
      <c r="I175" s="463" t="str">
        <f>IFERROR(VLOOKUP(J175,'03. THIẾT BỊ'!$B$1:$U$836,20,0),"")</f>
        <v>400 buồng/8h</v>
      </c>
      <c r="J175" s="464" t="s">
        <v>4711</v>
      </c>
      <c r="K175" s="463" t="s">
        <v>4158</v>
      </c>
      <c r="L175" s="692"/>
      <c r="M175" s="692"/>
      <c r="N175" s="692" t="str">
        <f>IFERROR(VLOOKUP(J175,'03. THIẾT BỊ'!$B$1:$U$836,4,0),"")</f>
        <v>ĐQSD</v>
      </c>
      <c r="O175" s="692" t="str">
        <f>IFERROR(VLOOKUP(J175,'03. THIẾT BỊ'!$B$1:$U$836,7,0),"")</f>
        <v>XN Chuối LP3</v>
      </c>
      <c r="P175" s="559" t="str">
        <f>IFERROR(VLOOKUP(O175,'NS QUẢN LÝ CG'!$A$4:$D$36,2,0),"")</f>
        <v>Lê Cao Nghị</v>
      </c>
      <c r="Q175" s="559" t="str">
        <f>IFERROR(VLOOKUP(O175,'NS QUẢN LÝ CG'!$A$4:$D$36,4,0),"")</f>
        <v>Lô 2 LP3</v>
      </c>
      <c r="R175" s="559" t="str">
        <f>IFERROR(VLOOKUP(O175,'NS QUẢN LÝ CG'!$A$4:$C$36,3,0),"")</f>
        <v>0977423100</v>
      </c>
      <c r="S175" s="532" t="str">
        <f>IFERROR(VLOOKUP(J175,'03. THIẾT BỊ'!$B$1:$S$836,3,0),"")</f>
        <v>A24-MKC-009</v>
      </c>
      <c r="T175" s="693" t="str">
        <f t="shared" si="3"/>
        <v>LP</v>
      </c>
      <c r="U175" s="693"/>
    </row>
    <row r="176">
      <c r="A176" s="692"/>
      <c r="B176" s="694"/>
      <c r="C176" s="532" t="str">
        <f>IFERROR(VLOOKUP(J176,'03. THIẾT BỊ'!$B$1:$U$836,5,0),"")</f>
        <v>Máy kéo chuối (Xăng)</v>
      </c>
      <c r="D176" s="463">
        <v>1.0</v>
      </c>
      <c r="E176" s="692"/>
      <c r="F176" s="463" t="s">
        <v>4158</v>
      </c>
      <c r="G176" s="692"/>
      <c r="H176" s="692">
        <f>IFERROR(VLOOKUP(J176,'03. THIẾT BỊ'!$B$1:$U$836,19,0),"")</f>
        <v>0.56</v>
      </c>
      <c r="I176" s="463" t="str">
        <f>IFERROR(VLOOKUP(J176,'03. THIẾT BỊ'!$B$1:$U$836,20,0),"")</f>
        <v>400 buồng/8h</v>
      </c>
      <c r="J176" s="464" t="s">
        <v>4714</v>
      </c>
      <c r="K176" s="463" t="s">
        <v>4158</v>
      </c>
      <c r="L176" s="692"/>
      <c r="M176" s="692"/>
      <c r="N176" s="692" t="str">
        <f>IFERROR(VLOOKUP(J176,'03. THIẾT BỊ'!$B$1:$U$836,4,0),"")</f>
        <v>ĐQSD</v>
      </c>
      <c r="O176" s="692" t="str">
        <f>IFERROR(VLOOKUP(J176,'03. THIẾT BỊ'!$B$1:$U$836,7,0),"")</f>
        <v>XN Chuối LP3</v>
      </c>
      <c r="P176" s="559" t="str">
        <f>IFERROR(VLOOKUP(O176,'NS QUẢN LÝ CG'!$A$4:$D$36,2,0),"")</f>
        <v>Lê Cao Nghị</v>
      </c>
      <c r="Q176" s="559" t="str">
        <f>IFERROR(VLOOKUP(O176,'NS QUẢN LÝ CG'!$A$4:$D$36,4,0),"")</f>
        <v>Lô 2 LP3</v>
      </c>
      <c r="R176" s="559" t="str">
        <f>IFERROR(VLOOKUP(O176,'NS QUẢN LÝ CG'!$A$4:$C$36,3,0),"")</f>
        <v>0977423100</v>
      </c>
      <c r="S176" s="532" t="str">
        <f>IFERROR(VLOOKUP(J176,'03. THIẾT BỊ'!$B$1:$S$836,3,0),"")</f>
        <v>A24-MKC-008</v>
      </c>
      <c r="T176" s="693" t="str">
        <f t="shared" si="3"/>
        <v>LP</v>
      </c>
      <c r="U176" s="693"/>
    </row>
    <row r="177">
      <c r="A177" s="692"/>
      <c r="B177" s="694"/>
      <c r="C177" s="532" t="str">
        <f>IFERROR(VLOOKUP(J177,'03. THIẾT BỊ'!$B$1:$U$836,5,0),"")</f>
        <v>Máy kéo chuối (Xăng)</v>
      </c>
      <c r="D177" s="463">
        <v>1.0</v>
      </c>
      <c r="E177" s="692"/>
      <c r="F177" s="463" t="s">
        <v>4158</v>
      </c>
      <c r="G177" s="692"/>
      <c r="H177" s="692">
        <f>IFERROR(VLOOKUP(J177,'03. THIẾT BỊ'!$B$1:$U$836,19,0),"")</f>
        <v>0.56</v>
      </c>
      <c r="I177" s="463" t="str">
        <f>IFERROR(VLOOKUP(J177,'03. THIẾT BỊ'!$B$1:$U$836,20,0),"")</f>
        <v>400 buồng/8h</v>
      </c>
      <c r="J177" s="464" t="s">
        <v>4716</v>
      </c>
      <c r="K177" s="463" t="s">
        <v>4158</v>
      </c>
      <c r="L177" s="692"/>
      <c r="M177" s="692"/>
      <c r="N177" s="692" t="str">
        <f>IFERROR(VLOOKUP(J177,'03. THIẾT BỊ'!$B$1:$U$836,4,0),"")</f>
        <v>ĐQSD</v>
      </c>
      <c r="O177" s="692" t="str">
        <f>IFERROR(VLOOKUP(J177,'03. THIẾT BỊ'!$B$1:$U$836,7,0),"")</f>
        <v>XN Chuối LP3</v>
      </c>
      <c r="P177" s="559" t="str">
        <f>IFERROR(VLOOKUP(O177,'NS QUẢN LÝ CG'!$A$4:$D$36,2,0),"")</f>
        <v>Lê Cao Nghị</v>
      </c>
      <c r="Q177" s="559" t="str">
        <f>IFERROR(VLOOKUP(O177,'NS QUẢN LÝ CG'!$A$4:$D$36,4,0),"")</f>
        <v>Lô 2 LP3</v>
      </c>
      <c r="R177" s="559" t="str">
        <f>IFERROR(VLOOKUP(O177,'NS QUẢN LÝ CG'!$A$4:$C$36,3,0),"")</f>
        <v>0977423100</v>
      </c>
      <c r="S177" s="532" t="str">
        <f>IFERROR(VLOOKUP(J177,'03. THIẾT BỊ'!$B$1:$S$836,3,0),"")</f>
        <v>A24-MKC-011</v>
      </c>
      <c r="T177" s="693" t="str">
        <f t="shared" si="3"/>
        <v>LP</v>
      </c>
      <c r="U177" s="693"/>
    </row>
    <row r="178">
      <c r="A178" s="692"/>
      <c r="B178" s="694"/>
      <c r="C178" s="532" t="str">
        <f>IFERROR(VLOOKUP(J178,'03. THIẾT BỊ'!$B$1:$U$836,5,0),"")</f>
        <v>Máy kéo chuối (Xăng)</v>
      </c>
      <c r="D178" s="463">
        <v>1.0</v>
      </c>
      <c r="E178" s="692"/>
      <c r="F178" s="463" t="s">
        <v>4158</v>
      </c>
      <c r="G178" s="692"/>
      <c r="H178" s="692">
        <f>IFERROR(VLOOKUP(J178,'03. THIẾT BỊ'!$B$1:$U$836,19,0),"")</f>
        <v>0.56</v>
      </c>
      <c r="I178" s="463" t="str">
        <f>IFERROR(VLOOKUP(J178,'03. THIẾT BỊ'!$B$1:$U$836,20,0),"")</f>
        <v>400 buồng/8h</v>
      </c>
      <c r="J178" s="464" t="s">
        <v>4719</v>
      </c>
      <c r="K178" s="463"/>
      <c r="L178" s="463" t="s">
        <v>4158</v>
      </c>
      <c r="M178" s="692"/>
      <c r="N178" s="692" t="str">
        <f>IFERROR(VLOOKUP(J178,'03. THIẾT BỊ'!$B$1:$U$836,4,0),"")</f>
        <v>ĐQSD</v>
      </c>
      <c r="O178" s="692" t="str">
        <f>IFERROR(VLOOKUP(J178,'03. THIẾT BỊ'!$B$1:$U$836,7,0),"")</f>
        <v>XN Chuối LP3</v>
      </c>
      <c r="P178" s="559" t="str">
        <f>IFERROR(VLOOKUP(O178,'NS QUẢN LÝ CG'!$A$4:$D$36,2,0),"")</f>
        <v>Lê Cao Nghị</v>
      </c>
      <c r="Q178" s="559" t="str">
        <f>IFERROR(VLOOKUP(O178,'NS QUẢN LÝ CG'!$A$4:$D$36,4,0),"")</f>
        <v>Lô 2 LP3</v>
      </c>
      <c r="R178" s="559" t="str">
        <f>IFERROR(VLOOKUP(O178,'NS QUẢN LÝ CG'!$A$4:$C$36,3,0),"")</f>
        <v>0977423100</v>
      </c>
      <c r="S178" s="532" t="str">
        <f>IFERROR(VLOOKUP(J178,'03. THIẾT BỊ'!$B$1:$S$836,3,0),"")</f>
        <v>A24-MKC-015</v>
      </c>
      <c r="T178" s="693" t="str">
        <f t="shared" si="3"/>
        <v>LP</v>
      </c>
      <c r="U178" s="693"/>
    </row>
    <row r="179">
      <c r="A179" s="692"/>
      <c r="B179" s="694"/>
      <c r="C179" s="532" t="str">
        <f>IFERROR(VLOOKUP(J179,'03. THIẾT BỊ'!$B$1:$U$836,5,0),"")</f>
        <v>Máy kéo chuối (Xăng)</v>
      </c>
      <c r="D179" s="463">
        <v>1.0</v>
      </c>
      <c r="E179" s="692"/>
      <c r="F179" s="463" t="s">
        <v>4158</v>
      </c>
      <c r="G179" s="692"/>
      <c r="H179" s="692">
        <f>IFERROR(VLOOKUP(J179,'03. THIẾT BỊ'!$B$1:$U$836,19,0),"")</f>
        <v>0.56</v>
      </c>
      <c r="I179" s="463" t="str">
        <f>IFERROR(VLOOKUP(J179,'03. THIẾT BỊ'!$B$1:$U$836,20,0),"")</f>
        <v>400 buồng/8h</v>
      </c>
      <c r="J179" s="464" t="s">
        <v>4723</v>
      </c>
      <c r="K179" s="463"/>
      <c r="L179" s="463" t="s">
        <v>4158</v>
      </c>
      <c r="M179" s="692"/>
      <c r="N179" s="692" t="str">
        <f>IFERROR(VLOOKUP(J179,'03. THIẾT BỊ'!$B$1:$U$836,4,0),"")</f>
        <v>ĐQSD</v>
      </c>
      <c r="O179" s="692" t="str">
        <f>IFERROR(VLOOKUP(J179,'03. THIẾT BỊ'!$B$1:$U$836,7,0),"")</f>
        <v>XN Chuối LP3</v>
      </c>
      <c r="P179" s="559" t="str">
        <f>IFERROR(VLOOKUP(O179,'NS QUẢN LÝ CG'!$A$4:$D$36,2,0),"")</f>
        <v>Lê Cao Nghị</v>
      </c>
      <c r="Q179" s="559" t="str">
        <f>IFERROR(VLOOKUP(O179,'NS QUẢN LÝ CG'!$A$4:$D$36,4,0),"")</f>
        <v>Lô 2 LP3</v>
      </c>
      <c r="R179" s="559" t="str">
        <f>IFERROR(VLOOKUP(O179,'NS QUẢN LÝ CG'!$A$4:$C$36,3,0),"")</f>
        <v>0977423100</v>
      </c>
      <c r="S179" s="532" t="str">
        <f>IFERROR(VLOOKUP(J179,'03. THIẾT BỊ'!$B$1:$S$836,3,0),"")</f>
        <v>A24-MKC-017</v>
      </c>
      <c r="T179" s="693" t="str">
        <f t="shared" si="3"/>
        <v>LP</v>
      </c>
      <c r="U179" s="693"/>
    </row>
    <row r="180">
      <c r="A180" s="692"/>
      <c r="B180" s="694"/>
      <c r="C180" s="532" t="str">
        <f>IFERROR(VLOOKUP(J180,'03. THIẾT BỊ'!$B$1:$U$836,5,0),"")</f>
        <v>Máy kéo chuối (Điện)</v>
      </c>
      <c r="D180" s="463">
        <v>1.0</v>
      </c>
      <c r="E180" s="692"/>
      <c r="F180" s="463"/>
      <c r="G180" s="463" t="s">
        <v>4158</v>
      </c>
      <c r="H180" s="692" t="str">
        <f>IFERROR(VLOOKUP(J180,'03. THIẾT BỊ'!$B$1:$U$836,19,0),"")</f>
        <v/>
      </c>
      <c r="I180" s="463" t="str">
        <f>IFERROR(VLOOKUP(J180,'03. THIẾT BỊ'!$B$1:$U$836,20,0),"")</f>
        <v>400 buồng/8h</v>
      </c>
      <c r="J180" s="464" t="s">
        <v>4726</v>
      </c>
      <c r="K180" s="463" t="s">
        <v>4158</v>
      </c>
      <c r="L180" s="692"/>
      <c r="M180" s="692"/>
      <c r="N180" s="692" t="str">
        <f>IFERROR(VLOOKUP(J180,'03. THIẾT BỊ'!$B$1:$U$836,4,0),"")</f>
        <v>ĐQSD</v>
      </c>
      <c r="O180" s="692" t="str">
        <f>IFERROR(VLOOKUP(J180,'03. THIẾT BỊ'!$B$1:$U$836,7,0),"")</f>
        <v>XN Chuối LP3</v>
      </c>
      <c r="P180" s="559" t="str">
        <f>IFERROR(VLOOKUP(O180,'NS QUẢN LÝ CG'!$A$4:$D$36,2,0),"")</f>
        <v>Lê Cao Nghị</v>
      </c>
      <c r="Q180" s="559" t="str">
        <f>IFERROR(VLOOKUP(O180,'NS QUẢN LÝ CG'!$A$4:$D$36,4,0),"")</f>
        <v>Lô 2 LP3</v>
      </c>
      <c r="R180" s="559" t="str">
        <f>IFERROR(VLOOKUP(O180,'NS QUẢN LÝ CG'!$A$4:$C$36,3,0),"")</f>
        <v>0977423100</v>
      </c>
      <c r="S180" s="532" t="str">
        <f>IFERROR(VLOOKUP(J180,'03. THIẾT BỊ'!$B$1:$S$836,3,0),"")</f>
        <v>A24-MKC-018</v>
      </c>
      <c r="T180" s="693" t="str">
        <f t="shared" si="3"/>
        <v>LP</v>
      </c>
      <c r="U180" s="693"/>
    </row>
    <row r="181">
      <c r="A181" s="692"/>
      <c r="B181" s="694"/>
      <c r="C181" s="532" t="str">
        <f>IFERROR(VLOOKUP(J181,'03. THIẾT BỊ'!$B$1:$U$836,5,0),"")</f>
        <v>Máy kéo chuối (Xăng)</v>
      </c>
      <c r="D181" s="463">
        <v>1.0</v>
      </c>
      <c r="E181" s="692"/>
      <c r="F181" s="463" t="s">
        <v>4158</v>
      </c>
      <c r="G181" s="692"/>
      <c r="H181" s="692">
        <f>IFERROR(VLOOKUP(J181,'03. THIẾT BỊ'!$B$1:$U$836,19,0),"")</f>
        <v>0.56</v>
      </c>
      <c r="I181" s="463" t="str">
        <f>IFERROR(VLOOKUP(J181,'03. THIẾT BỊ'!$B$1:$U$836,20,0),"")</f>
        <v>400 buồng/8h</v>
      </c>
      <c r="J181" s="464" t="s">
        <v>4730</v>
      </c>
      <c r="K181" s="463" t="s">
        <v>4158</v>
      </c>
      <c r="L181" s="692"/>
      <c r="M181" s="692"/>
      <c r="N181" s="692" t="str">
        <f>IFERROR(VLOOKUP(J181,'03. THIẾT BỊ'!$B$1:$U$836,4,0),"")</f>
        <v>ĐQSD</v>
      </c>
      <c r="O181" s="692" t="str">
        <f>IFERROR(VLOOKUP(J181,'03. THIẾT BỊ'!$B$1:$U$836,7,0),"")</f>
        <v>XN Chuối LP3</v>
      </c>
      <c r="P181" s="559" t="str">
        <f>IFERROR(VLOOKUP(O181,'NS QUẢN LÝ CG'!$A$4:$D$36,2,0),"")</f>
        <v>Lê Cao Nghị</v>
      </c>
      <c r="Q181" s="559" t="str">
        <f>IFERROR(VLOOKUP(O181,'NS QUẢN LÝ CG'!$A$4:$D$36,4,0),"")</f>
        <v>Lô 2 LP3</v>
      </c>
      <c r="R181" s="559" t="str">
        <f>IFERROR(VLOOKUP(O181,'NS QUẢN LÝ CG'!$A$4:$C$36,3,0),"")</f>
        <v>0977423100</v>
      </c>
      <c r="S181" s="532" t="str">
        <f>IFERROR(VLOOKUP(J181,'03. THIẾT BỊ'!$B$1:$S$836,3,0),"")</f>
        <v>A24-MKC-022</v>
      </c>
      <c r="T181" s="693" t="str">
        <f t="shared" si="3"/>
        <v>LP</v>
      </c>
      <c r="U181" s="693"/>
    </row>
    <row r="182">
      <c r="A182" s="692"/>
      <c r="B182" s="694"/>
      <c r="C182" s="532" t="str">
        <f>IFERROR(VLOOKUP(J182,'03. THIẾT BỊ'!$B$1:$U$836,5,0),"")</f>
        <v>Máy kéo chuối (Xăng)</v>
      </c>
      <c r="D182" s="463">
        <v>1.0</v>
      </c>
      <c r="E182" s="692"/>
      <c r="F182" s="463" t="s">
        <v>4158</v>
      </c>
      <c r="G182" s="692"/>
      <c r="H182" s="692">
        <f>IFERROR(VLOOKUP(J182,'03. THIẾT BỊ'!$B$1:$U$836,19,0),"")</f>
        <v>0.56</v>
      </c>
      <c r="I182" s="463" t="str">
        <f>IFERROR(VLOOKUP(J182,'03. THIẾT BỊ'!$B$1:$U$836,20,0),"")</f>
        <v>400 buồng/8h</v>
      </c>
      <c r="J182" s="464" t="s">
        <v>4733</v>
      </c>
      <c r="K182" s="463" t="s">
        <v>4158</v>
      </c>
      <c r="L182" s="692"/>
      <c r="M182" s="692"/>
      <c r="N182" s="692" t="str">
        <f>IFERROR(VLOOKUP(J182,'03. THIẾT BỊ'!$B$1:$U$836,4,0),"")</f>
        <v>ĐQSD</v>
      </c>
      <c r="O182" s="692" t="str">
        <f>IFERROR(VLOOKUP(J182,'03. THIẾT BỊ'!$B$1:$U$836,7,0),"")</f>
        <v>XN Chuối LP3</v>
      </c>
      <c r="P182" s="559" t="str">
        <f>IFERROR(VLOOKUP(O182,'NS QUẢN LÝ CG'!$A$4:$D$36,2,0),"")</f>
        <v>Lê Cao Nghị</v>
      </c>
      <c r="Q182" s="559" t="str">
        <f>IFERROR(VLOOKUP(O182,'NS QUẢN LÝ CG'!$A$4:$D$36,4,0),"")</f>
        <v>Lô 2 LP3</v>
      </c>
      <c r="R182" s="559" t="str">
        <f>IFERROR(VLOOKUP(O182,'NS QUẢN LÝ CG'!$A$4:$C$36,3,0),"")</f>
        <v>0977423100</v>
      </c>
      <c r="S182" s="532" t="str">
        <f>IFERROR(VLOOKUP(J182,'03. THIẾT BỊ'!$B$1:$S$836,3,0),"")</f>
        <v>A24-MKC-023</v>
      </c>
      <c r="T182" s="693" t="str">
        <f t="shared" si="3"/>
        <v>LP</v>
      </c>
      <c r="U182" s="693"/>
    </row>
    <row r="183">
      <c r="A183" s="692"/>
      <c r="B183" s="694"/>
      <c r="C183" s="532" t="str">
        <f>IFERROR(VLOOKUP(J183,'03. THIẾT BỊ'!$B$1:$U$836,5,0),"")</f>
        <v>Máy kéo chuối (Xăng)</v>
      </c>
      <c r="D183" s="463">
        <v>1.0</v>
      </c>
      <c r="E183" s="692"/>
      <c r="F183" s="463" t="s">
        <v>4158</v>
      </c>
      <c r="G183" s="692"/>
      <c r="H183" s="692">
        <f>IFERROR(VLOOKUP(J183,'03. THIẾT BỊ'!$B$1:$U$836,19,0),"")</f>
        <v>0.56</v>
      </c>
      <c r="I183" s="463" t="str">
        <f>IFERROR(VLOOKUP(J183,'03. THIẾT BỊ'!$B$1:$U$836,20,0),"")</f>
        <v>400 buồng/8h</v>
      </c>
      <c r="J183" s="464" t="s">
        <v>4736</v>
      </c>
      <c r="K183" s="463" t="s">
        <v>4158</v>
      </c>
      <c r="L183" s="692"/>
      <c r="M183" s="692"/>
      <c r="N183" s="692" t="str">
        <f>IFERROR(VLOOKUP(J183,'03. THIẾT BỊ'!$B$1:$U$836,4,0),"")</f>
        <v>ĐQSD</v>
      </c>
      <c r="O183" s="692" t="str">
        <f>IFERROR(VLOOKUP(J183,'03. THIẾT BỊ'!$B$1:$U$836,7,0),"")</f>
        <v>XN Chuối LP3</v>
      </c>
      <c r="P183" s="559" t="str">
        <f>IFERROR(VLOOKUP(O183,'NS QUẢN LÝ CG'!$A$4:$D$36,2,0),"")</f>
        <v>Lê Cao Nghị</v>
      </c>
      <c r="Q183" s="559" t="str">
        <f>IFERROR(VLOOKUP(O183,'NS QUẢN LÝ CG'!$A$4:$D$36,4,0),"")</f>
        <v>Lô 2 LP3</v>
      </c>
      <c r="R183" s="559" t="str">
        <f>IFERROR(VLOOKUP(O183,'NS QUẢN LÝ CG'!$A$4:$C$36,3,0),"")</f>
        <v>0977423100</v>
      </c>
      <c r="S183" s="532" t="str">
        <f>IFERROR(VLOOKUP(J183,'03. THIẾT BỊ'!$B$1:$S$836,3,0),"")</f>
        <v>A24-MKC-025</v>
      </c>
      <c r="T183" s="693" t="str">
        <f t="shared" si="3"/>
        <v>LP</v>
      </c>
      <c r="U183" s="693"/>
    </row>
    <row r="184">
      <c r="A184" s="692"/>
      <c r="B184" s="58"/>
      <c r="C184" s="532" t="str">
        <f>IFERROR(VLOOKUP(J184,'03. THIẾT BỊ'!$B$1:$U$836,5,0),"")</f>
        <v>Máy kéo chuối (Xăng)</v>
      </c>
      <c r="D184" s="463">
        <v>1.0</v>
      </c>
      <c r="E184" s="692"/>
      <c r="F184" s="463" t="s">
        <v>4158</v>
      </c>
      <c r="G184" s="692"/>
      <c r="H184" s="692">
        <f>IFERROR(VLOOKUP(J184,'03. THIẾT BỊ'!$B$1:$U$836,19,0),"")</f>
        <v>0.56</v>
      </c>
      <c r="I184" s="463" t="str">
        <f>IFERROR(VLOOKUP(J184,'03. THIẾT BỊ'!$B$1:$U$836,20,0),"")</f>
        <v>400 buồng/8h</v>
      </c>
      <c r="J184" s="464" t="s">
        <v>4740</v>
      </c>
      <c r="K184" s="463" t="s">
        <v>4158</v>
      </c>
      <c r="L184" s="692"/>
      <c r="M184" s="692"/>
      <c r="N184" s="692" t="str">
        <f>IFERROR(VLOOKUP(J184,'03. THIẾT BỊ'!$B$1:$U$836,4,0),"")</f>
        <v>ĐQSD</v>
      </c>
      <c r="O184" s="692" t="str">
        <f>IFERROR(VLOOKUP(J184,'03. THIẾT BỊ'!$B$1:$U$836,7,0),"")</f>
        <v>XN Chuối LP3</v>
      </c>
      <c r="P184" s="559" t="str">
        <f>IFERROR(VLOOKUP(O184,'NS QUẢN LÝ CG'!$A$4:$D$36,2,0),"")</f>
        <v>Lê Cao Nghị</v>
      </c>
      <c r="Q184" s="559" t="str">
        <f>IFERROR(VLOOKUP(O184,'NS QUẢN LÝ CG'!$A$4:$D$36,4,0),"")</f>
        <v>Lô 2 LP3</v>
      </c>
      <c r="R184" s="559" t="str">
        <f>IFERROR(VLOOKUP(O184,'NS QUẢN LÝ CG'!$A$4:$C$36,3,0),"")</f>
        <v>0977423100</v>
      </c>
      <c r="S184" s="532" t="str">
        <f>IFERROR(VLOOKUP(J184,'03. THIẾT BỊ'!$B$1:$S$836,3,0),"")</f>
        <v>A24-MKC-028</v>
      </c>
      <c r="T184" s="693" t="str">
        <f t="shared" si="3"/>
        <v>LP</v>
      </c>
      <c r="U184" s="693"/>
    </row>
    <row r="185">
      <c r="A185" s="692"/>
      <c r="B185" s="728"/>
      <c r="C185" s="532" t="str">
        <f>IFERROR(VLOOKUP(J185,'03. THIẾT BỊ'!$B$1:$U$836,5,0),"")</f>
        <v>Máy kéo chuối (Điện)</v>
      </c>
      <c r="D185" s="463">
        <v>1.0</v>
      </c>
      <c r="E185" s="692"/>
      <c r="F185" s="692"/>
      <c r="G185" s="463" t="s">
        <v>4158</v>
      </c>
      <c r="H185" s="692" t="str">
        <f>IFERROR(VLOOKUP(J185,'03. THIẾT BỊ'!$B$1:$U$836,19,0),"")</f>
        <v/>
      </c>
      <c r="I185" s="463" t="str">
        <f>IFERROR(VLOOKUP(J185,'03. THIẾT BỊ'!$B$1:$U$836,20,0),"")</f>
        <v/>
      </c>
      <c r="J185" s="464" t="s">
        <v>4743</v>
      </c>
      <c r="K185" s="463"/>
      <c r="L185" s="692"/>
      <c r="M185" s="692"/>
      <c r="N185" s="692" t="str">
        <f>IFERROR(VLOOKUP(J185,'03. THIẾT BỊ'!$B$1:$U$836,4,0),"")</f>
        <v>ĐQSD</v>
      </c>
      <c r="O185" s="692" t="str">
        <f>IFERROR(VLOOKUP(J185,'03. THIẾT BỊ'!$B$1:$U$836,7,0),"")</f>
        <v>XN Chuối LP3</v>
      </c>
      <c r="P185" s="532"/>
      <c r="Q185" s="532"/>
      <c r="R185" s="532"/>
      <c r="S185" s="532" t="str">
        <f>IFERROR(VLOOKUP(J185,'03. THIẾT BỊ'!$B$1:$S$836,3,0),"")</f>
        <v/>
      </c>
      <c r="T185" s="693"/>
      <c r="U185" s="693"/>
    </row>
    <row r="186" hidden="1">
      <c r="A186" s="692"/>
      <c r="B186" s="728"/>
      <c r="C186" s="532" t="str">
        <f>IFERROR(VLOOKUP(J186,'03. THIẾT BỊ'!$B$1:$U$836,5,0),"")</f>
        <v/>
      </c>
      <c r="D186" s="463"/>
      <c r="E186" s="692"/>
      <c r="F186" s="692"/>
      <c r="G186" s="692"/>
      <c r="H186" s="692" t="str">
        <f>IFERROR(VLOOKUP(J186,'03. THIẾT BỊ'!$B$1:$U$836,19,0),"")</f>
        <v/>
      </c>
      <c r="I186" s="463" t="str">
        <f>IFERROR(VLOOKUP(J186,'03. THIẾT BỊ'!$B$1:$U$836,20,0),"")</f>
        <v/>
      </c>
      <c r="J186" s="464"/>
      <c r="K186" s="463"/>
      <c r="L186" s="692"/>
      <c r="M186" s="692"/>
      <c r="N186" s="692" t="str">
        <f>IFERROR(VLOOKUP(J186,'03. THIẾT BỊ'!$B$1:$U$836,4,0),"")</f>
        <v/>
      </c>
      <c r="O186" s="692" t="str">
        <f>IFERROR(VLOOKUP(J186,'03. THIẾT BỊ'!$B$1:$U$836,7,0),"")</f>
        <v/>
      </c>
      <c r="P186" s="532"/>
      <c r="Q186" s="532"/>
      <c r="R186" s="532"/>
      <c r="S186" s="532" t="str">
        <f>IFERROR(VLOOKUP(J186,'03. THIẾT BỊ'!$B$1:$S$836,3,0),"")</f>
        <v/>
      </c>
      <c r="T186" s="693"/>
      <c r="U186" s="693"/>
    </row>
    <row r="187" hidden="1">
      <c r="A187" s="692"/>
      <c r="B187" s="728"/>
      <c r="C187" s="532" t="str">
        <f>IFERROR(VLOOKUP(J187,'03. THIẾT BỊ'!$B$1:$U$836,5,0),"")</f>
        <v/>
      </c>
      <c r="D187" s="463"/>
      <c r="E187" s="692"/>
      <c r="F187" s="692"/>
      <c r="G187" s="692"/>
      <c r="H187" s="692" t="str">
        <f>IFERROR(VLOOKUP(J187,'03. THIẾT BỊ'!$B$1:$U$836,19,0),"")</f>
        <v/>
      </c>
      <c r="I187" s="463" t="str">
        <f>IFERROR(VLOOKUP(J187,'03. THIẾT BỊ'!$B$1:$U$836,20,0),"")</f>
        <v/>
      </c>
      <c r="J187" s="464"/>
      <c r="K187" s="463"/>
      <c r="L187" s="692"/>
      <c r="M187" s="692"/>
      <c r="N187" s="692" t="str">
        <f>IFERROR(VLOOKUP(J187,'03. THIẾT BỊ'!$B$1:$U$836,4,0),"")</f>
        <v/>
      </c>
      <c r="O187" s="692" t="str">
        <f>IFERROR(VLOOKUP(J187,'03. THIẾT BỊ'!$B$1:$U$836,7,0),"")</f>
        <v/>
      </c>
      <c r="P187" s="532"/>
      <c r="Q187" s="532"/>
      <c r="R187" s="532"/>
      <c r="S187" s="532" t="str">
        <f>IFERROR(VLOOKUP(J187,'03. THIẾT BỊ'!$B$1:$S$836,3,0),"")</f>
        <v/>
      </c>
      <c r="T187" s="693"/>
      <c r="U187" s="693"/>
    </row>
    <row r="188" hidden="1">
      <c r="A188" s="692"/>
      <c r="B188" s="728"/>
      <c r="C188" s="532" t="str">
        <f>IFERROR(VLOOKUP(J188,'03. THIẾT BỊ'!$B$1:$U$836,5,0),"")</f>
        <v/>
      </c>
      <c r="D188" s="463"/>
      <c r="E188" s="692"/>
      <c r="F188" s="692"/>
      <c r="G188" s="692"/>
      <c r="H188" s="692" t="str">
        <f>IFERROR(VLOOKUP(J188,'03. THIẾT BỊ'!$B$1:$U$836,19,0),"")</f>
        <v/>
      </c>
      <c r="I188" s="463" t="str">
        <f>IFERROR(VLOOKUP(J188,'03. THIẾT BỊ'!$B$1:$U$836,20,0),"")</f>
        <v/>
      </c>
      <c r="J188" s="464"/>
      <c r="K188" s="463"/>
      <c r="L188" s="692"/>
      <c r="M188" s="692"/>
      <c r="N188" s="692" t="str">
        <f>IFERROR(VLOOKUP(J188,'03. THIẾT BỊ'!$B$1:$U$836,4,0),"")</f>
        <v/>
      </c>
      <c r="O188" s="692" t="str">
        <f>IFERROR(VLOOKUP(J188,'03. THIẾT BỊ'!$B$1:$U$836,7,0),"")</f>
        <v/>
      </c>
      <c r="P188" s="532"/>
      <c r="Q188" s="532"/>
      <c r="R188" s="532"/>
      <c r="S188" s="532" t="str">
        <f>IFERROR(VLOOKUP(J188,'03. THIẾT BỊ'!$B$1:$S$836,3,0),"")</f>
        <v/>
      </c>
      <c r="T188" s="693"/>
      <c r="U188" s="693"/>
    </row>
    <row r="189" hidden="1">
      <c r="A189" s="692"/>
      <c r="B189" s="728"/>
      <c r="C189" s="532" t="str">
        <f>IFERROR(VLOOKUP(J189,'03. THIẾT BỊ'!$B$1:$U$836,5,0),"")</f>
        <v/>
      </c>
      <c r="D189" s="463"/>
      <c r="E189" s="692"/>
      <c r="F189" s="692"/>
      <c r="G189" s="692"/>
      <c r="H189" s="692" t="str">
        <f>IFERROR(VLOOKUP(J189,'03. THIẾT BỊ'!$B$1:$U$836,19,0),"")</f>
        <v/>
      </c>
      <c r="I189" s="463" t="str">
        <f>IFERROR(VLOOKUP(J189,'03. THIẾT BỊ'!$B$1:$U$836,20,0),"")</f>
        <v/>
      </c>
      <c r="J189" s="464"/>
      <c r="K189" s="463"/>
      <c r="L189" s="692"/>
      <c r="M189" s="692"/>
      <c r="N189" s="692" t="str">
        <f>IFERROR(VLOOKUP(J189,'03. THIẾT BỊ'!$B$1:$U$836,4,0),"")</f>
        <v/>
      </c>
      <c r="O189" s="692" t="str">
        <f>IFERROR(VLOOKUP(J189,'03. THIẾT BỊ'!$B$1:$U$836,7,0),"")</f>
        <v/>
      </c>
      <c r="P189" s="532"/>
      <c r="Q189" s="532"/>
      <c r="R189" s="532"/>
      <c r="S189" s="532" t="str">
        <f>IFERROR(VLOOKUP(J189,'03. THIẾT BỊ'!$B$1:$S$836,3,0),"")</f>
        <v/>
      </c>
      <c r="T189" s="693"/>
      <c r="U189" s="693"/>
    </row>
    <row r="190" hidden="1">
      <c r="A190" s="692"/>
      <c r="B190" s="728"/>
      <c r="C190" s="532" t="str">
        <f>IFERROR(VLOOKUP(J190,'03. THIẾT BỊ'!$B$1:$U$836,5,0),"")</f>
        <v/>
      </c>
      <c r="D190" s="463"/>
      <c r="E190" s="692"/>
      <c r="F190" s="692"/>
      <c r="G190" s="692"/>
      <c r="H190" s="692" t="str">
        <f>IFERROR(VLOOKUP(J190,'03. THIẾT BỊ'!$B$1:$U$836,19,0),"")</f>
        <v/>
      </c>
      <c r="I190" s="463" t="str">
        <f>IFERROR(VLOOKUP(J190,'03. THIẾT BỊ'!$B$1:$U$836,20,0),"")</f>
        <v/>
      </c>
      <c r="J190" s="464"/>
      <c r="K190" s="463"/>
      <c r="L190" s="692"/>
      <c r="M190" s="692"/>
      <c r="N190" s="692" t="str">
        <f>IFERROR(VLOOKUP(J190,'03. THIẾT BỊ'!$B$1:$U$836,4,0),"")</f>
        <v/>
      </c>
      <c r="O190" s="692" t="str">
        <f>IFERROR(VLOOKUP(J190,'03. THIẾT BỊ'!$B$1:$U$836,7,0),"")</f>
        <v/>
      </c>
      <c r="P190" s="532"/>
      <c r="Q190" s="532"/>
      <c r="R190" s="532"/>
      <c r="S190" s="532" t="str">
        <f>IFERROR(VLOOKUP(J190,'03. THIẾT BỊ'!$B$1:$S$836,3,0),"")</f>
        <v/>
      </c>
      <c r="T190" s="693"/>
      <c r="U190" s="693"/>
    </row>
    <row r="191" hidden="1">
      <c r="A191" s="692"/>
      <c r="B191" s="728"/>
      <c r="C191" s="532" t="str">
        <f>IFERROR(VLOOKUP(J191,'03. THIẾT BỊ'!$B$1:$U$836,5,0),"")</f>
        <v/>
      </c>
      <c r="D191" s="463"/>
      <c r="E191" s="692"/>
      <c r="F191" s="692"/>
      <c r="G191" s="692"/>
      <c r="H191" s="692" t="str">
        <f>IFERROR(VLOOKUP(J191,'03. THIẾT BỊ'!$B$1:$U$836,19,0),"")</f>
        <v/>
      </c>
      <c r="I191" s="463" t="str">
        <f>IFERROR(VLOOKUP(J191,'03. THIẾT BỊ'!$B$1:$U$836,20,0),"")</f>
        <v/>
      </c>
      <c r="J191" s="464"/>
      <c r="K191" s="463"/>
      <c r="L191" s="692"/>
      <c r="M191" s="692"/>
      <c r="N191" s="692" t="str">
        <f>IFERROR(VLOOKUP(J191,'03. THIẾT BỊ'!$B$1:$U$836,4,0),"")</f>
        <v/>
      </c>
      <c r="O191" s="692" t="str">
        <f>IFERROR(VLOOKUP(J191,'03. THIẾT BỊ'!$B$1:$U$836,7,0),"")</f>
        <v/>
      </c>
      <c r="P191" s="532"/>
      <c r="Q191" s="532"/>
      <c r="R191" s="532"/>
      <c r="S191" s="532" t="str">
        <f>IFERROR(VLOOKUP(J191,'03. THIẾT BỊ'!$B$1:$S$836,3,0),"")</f>
        <v/>
      </c>
      <c r="T191" s="693"/>
      <c r="U191" s="693"/>
    </row>
    <row r="192" ht="25.5" customHeight="1">
      <c r="A192" s="692"/>
      <c r="B192" s="532"/>
      <c r="C192" s="464" t="s">
        <v>5860</v>
      </c>
      <c r="D192" s="463">
        <v>7353.0</v>
      </c>
      <c r="E192" s="692"/>
      <c r="F192" s="692"/>
      <c r="G192" s="692"/>
      <c r="H192" s="692"/>
      <c r="I192" s="692"/>
      <c r="J192" s="532"/>
      <c r="K192" s="692"/>
      <c r="L192" s="692"/>
      <c r="M192" s="692"/>
      <c r="N192" s="532"/>
      <c r="O192" s="532"/>
      <c r="P192" s="532"/>
      <c r="Q192" s="532"/>
      <c r="R192" s="532"/>
      <c r="S192" s="532"/>
      <c r="T192" s="693"/>
      <c r="U192" s="693"/>
    </row>
    <row r="193">
      <c r="A193" s="682" t="s">
        <v>5861</v>
      </c>
      <c r="B193" s="23"/>
      <c r="C193" s="30"/>
      <c r="D193" s="683"/>
      <c r="E193" s="729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30"/>
    </row>
    <row r="194">
      <c r="A194" s="730" t="s">
        <v>5862</v>
      </c>
      <c r="B194" s="23"/>
      <c r="C194" s="30"/>
      <c r="D194" s="731"/>
      <c r="E194" s="731"/>
      <c r="F194" s="731"/>
      <c r="G194" s="731"/>
      <c r="H194" s="731"/>
      <c r="I194" s="731"/>
      <c r="J194" s="732"/>
      <c r="K194" s="733"/>
      <c r="L194" s="734"/>
      <c r="M194" s="731"/>
      <c r="N194" s="735"/>
      <c r="O194" s="735"/>
      <c r="P194" s="735"/>
      <c r="Q194" s="735"/>
      <c r="R194" s="735"/>
      <c r="S194" s="735"/>
      <c r="T194" s="736"/>
      <c r="U194" s="736"/>
    </row>
    <row r="195">
      <c r="A195" s="686" t="s">
        <v>5863</v>
      </c>
      <c r="B195" s="23"/>
      <c r="C195" s="30"/>
      <c r="D195" s="687">
        <f>SUM(D196:D215)</f>
        <v>18</v>
      </c>
      <c r="E195" s="688"/>
      <c r="F195" s="688"/>
      <c r="G195" s="688"/>
      <c r="H195" s="688"/>
      <c r="I195" s="688"/>
      <c r="J195" s="689"/>
      <c r="K195" s="688"/>
      <c r="L195" s="688"/>
      <c r="M195" s="688"/>
      <c r="N195" s="689"/>
      <c r="O195" s="737"/>
      <c r="P195" s="689"/>
      <c r="Q195" s="689"/>
      <c r="R195" s="689"/>
      <c r="S195" s="689"/>
      <c r="T195" s="690"/>
      <c r="U195" s="690"/>
    </row>
    <row r="196">
      <c r="A196" s="692"/>
      <c r="B196" s="738" t="s">
        <v>5865</v>
      </c>
      <c r="C196" s="532" t="str">
        <f>IFERROR(VLOOKUP(J196,'03. THIẾT BỊ'!$B$1:$U$836,5,0),"")</f>
        <v>Thiết Bị Cày 3 Chảo</v>
      </c>
      <c r="D196" s="463">
        <v>1.0</v>
      </c>
      <c r="E196" s="692"/>
      <c r="F196" s="692"/>
      <c r="G196" s="692"/>
      <c r="H196" s="692" t="str">
        <f>IFERROR(VLOOKUP(J196,'03. THIẾT BỊ'!$B$1:$U$836,19,0),"")</f>
        <v/>
      </c>
      <c r="I196" s="463" t="str">
        <f>IFERROR(VLOOKUP(J196,'03. THIẾT BỊ'!$B$1:$U$836,20,0),"")</f>
        <v/>
      </c>
      <c r="J196" s="464" t="s">
        <v>3842</v>
      </c>
      <c r="K196" s="463"/>
      <c r="L196" s="463" t="s">
        <v>4158</v>
      </c>
      <c r="M196" s="692"/>
      <c r="N196" s="692" t="str">
        <f>IFERROR(VLOOKUP(J196,'03. THIẾT BỊ'!$B$1:$U$836,4,0),"")</f>
        <v>ĐQSD</v>
      </c>
      <c r="O196" s="692" t="str">
        <f>IFERROR(VLOOKUP(J196,'03. THIẾT BỊ'!$B$1:$U$836,7,0),"")</f>
        <v>XN Bò AD</v>
      </c>
      <c r="P196" s="559" t="str">
        <f>IFERROR(VLOOKUP(O196,'NS QUẢN LÝ CG'!$A$4:$D$36,2,0),"")</f>
        <v>Trần Văn Nam</v>
      </c>
      <c r="Q196" s="559" t="str">
        <f>IFERROR(VLOOKUP(O196,'NS QUẢN LÝ CG'!$A$4:$D$36,4,0),"")</f>
        <v>Lô 28 XN Bò</v>
      </c>
      <c r="R196" s="559" t="str">
        <f>IFERROR(VLOOKUP(O196,'NS QUẢN LÝ CG'!$A$4:$C$36,3,0),"")</f>
        <v>0971993540</v>
      </c>
      <c r="S196" s="532" t="str">
        <f>IFERROR(VLOOKUP(J196,'03. THIẾT BỊ'!$B$1:$S$836,3,0),"")</f>
        <v>A22-CCH-009</v>
      </c>
      <c r="T196" s="693" t="str">
        <f t="shared" ref="T196:T213" si="4">SWITCH(LEFT(S196,3),"A22","ADM","A23","DP","A24","LP","")</f>
        <v>ADM</v>
      </c>
      <c r="U196" s="693"/>
    </row>
    <row r="197">
      <c r="A197" s="692"/>
      <c r="B197" s="694"/>
      <c r="C197" s="532" t="str">
        <f>IFERROR(VLOOKUP(J197,'03. THIẾT BỊ'!$B$1:$U$836,5,0),"")</f>
        <v>Thiết bị bừa 7 chảo</v>
      </c>
      <c r="D197" s="463">
        <v>1.0</v>
      </c>
      <c r="E197" s="692"/>
      <c r="F197" s="692"/>
      <c r="G197" s="692"/>
      <c r="H197" s="692" t="str">
        <f>IFERROR(VLOOKUP(J197,'03. THIẾT BỊ'!$B$1:$U$836,19,0),"")</f>
        <v/>
      </c>
      <c r="I197" s="463" t="str">
        <f>IFERROR(VLOOKUP(J197,'03. THIẾT BỊ'!$B$1:$U$836,20,0),"")</f>
        <v/>
      </c>
      <c r="J197" s="464" t="s">
        <v>3747</v>
      </c>
      <c r="K197" s="463" t="s">
        <v>4158</v>
      </c>
      <c r="L197" s="692"/>
      <c r="M197" s="692"/>
      <c r="N197" s="692" t="str">
        <f>IFERROR(VLOOKUP(J197,'03. THIẾT BỊ'!$B$1:$U$836,4,0),"")</f>
        <v>ĐQSD</v>
      </c>
      <c r="O197" s="692" t="str">
        <f>IFERROR(VLOOKUP(J197,'03. THIẾT BỊ'!$B$1:$U$836,7,0),"")</f>
        <v>XN Bò AD</v>
      </c>
      <c r="P197" s="559" t="str">
        <f>IFERROR(VLOOKUP(O197,'NS QUẢN LÝ CG'!$A$4:$D$36,2,0),"")</f>
        <v>Trần Văn Nam</v>
      </c>
      <c r="Q197" s="559" t="str">
        <f>IFERROR(VLOOKUP(O197,'NS QUẢN LÝ CG'!$A$4:$D$36,4,0),"")</f>
        <v>Lô 28 XN Bò</v>
      </c>
      <c r="R197" s="559" t="str">
        <f>IFERROR(VLOOKUP(O197,'NS QUẢN LÝ CG'!$A$4:$C$36,3,0),"")</f>
        <v>0971993540</v>
      </c>
      <c r="S197" s="532" t="str">
        <f>IFERROR(VLOOKUP(J197,'03. THIẾT BỊ'!$B$1:$S$836,3,0),"")</f>
        <v>A22-BUA-010</v>
      </c>
      <c r="T197" s="693" t="str">
        <f t="shared" si="4"/>
        <v>ADM</v>
      </c>
      <c r="U197" s="693"/>
    </row>
    <row r="198">
      <c r="A198" s="692"/>
      <c r="B198" s="694"/>
      <c r="C198" s="532" t="str">
        <f>IFERROR(VLOOKUP(J198,'03. THIẾT BỊ'!$B$1:$U$836,5,0),"")</f>
        <v>Thiết bị bừa 8 chảo</v>
      </c>
      <c r="D198" s="463">
        <v>1.0</v>
      </c>
      <c r="E198" s="692"/>
      <c r="F198" s="692"/>
      <c r="G198" s="692"/>
      <c r="H198" s="692" t="str">
        <f>IFERROR(VLOOKUP(J198,'03. THIẾT BỊ'!$B$1:$U$836,19,0),"")</f>
        <v/>
      </c>
      <c r="I198" s="463" t="str">
        <f>IFERROR(VLOOKUP(J198,'03. THIẾT BỊ'!$B$1:$U$836,20,0),"")</f>
        <v/>
      </c>
      <c r="J198" s="464" t="s">
        <v>3847</v>
      </c>
      <c r="K198" s="463"/>
      <c r="L198" s="692"/>
      <c r="M198" s="463" t="s">
        <v>4158</v>
      </c>
      <c r="N198" s="692" t="str">
        <f>IFERROR(VLOOKUP(J198,'03. THIẾT BỊ'!$B$1:$U$836,4,0),"")</f>
        <v>ĐQSD</v>
      </c>
      <c r="O198" s="692" t="str">
        <f>IFERROR(VLOOKUP(J198,'03. THIẾT BỊ'!$B$1:$U$836,7,0),"")</f>
        <v>XN Bò AD</v>
      </c>
      <c r="P198" s="559" t="str">
        <f>IFERROR(VLOOKUP(O198,'NS QUẢN LÝ CG'!$A$4:$D$36,2,0),"")</f>
        <v>Trần Văn Nam</v>
      </c>
      <c r="Q198" s="559" t="str">
        <f>IFERROR(VLOOKUP(O198,'NS QUẢN LÝ CG'!$A$4:$D$36,4,0),"")</f>
        <v>Lô 28 XN Bò</v>
      </c>
      <c r="R198" s="559" t="str">
        <f>IFERROR(VLOOKUP(O198,'NS QUẢN LÝ CG'!$A$4:$C$36,3,0),"")</f>
        <v>0971993540</v>
      </c>
      <c r="S198" s="532" t="str">
        <f>IFERROR(VLOOKUP(J198,'03. THIẾT BỊ'!$B$1:$S$836,3,0),"")</f>
        <v>A22-BUA-008</v>
      </c>
      <c r="T198" s="693" t="str">
        <f t="shared" si="4"/>
        <v>ADM</v>
      </c>
      <c r="U198" s="693"/>
    </row>
    <row r="199">
      <c r="A199" s="692"/>
      <c r="B199" s="694"/>
      <c r="C199" s="532" t="str">
        <f>IFERROR(VLOOKUP(J199,'03. THIẾT BỊ'!$B$1:$U$836,5,0),"")</f>
        <v>Thiết bị bừa 8 chảo</v>
      </c>
      <c r="D199" s="463">
        <v>1.0</v>
      </c>
      <c r="E199" s="692"/>
      <c r="F199" s="692"/>
      <c r="G199" s="692"/>
      <c r="H199" s="692" t="str">
        <f>IFERROR(VLOOKUP(J199,'03. THIẾT BỊ'!$B$1:$U$836,19,0),"")</f>
        <v/>
      </c>
      <c r="I199" s="463" t="str">
        <f>IFERROR(VLOOKUP(J199,'03. THIẾT BỊ'!$B$1:$U$836,20,0),"")</f>
        <v/>
      </c>
      <c r="J199" s="464" t="s">
        <v>3751</v>
      </c>
      <c r="K199" s="463" t="s">
        <v>4158</v>
      </c>
      <c r="L199" s="692"/>
      <c r="M199" s="692"/>
      <c r="N199" s="692" t="str">
        <f>IFERROR(VLOOKUP(J199,'03. THIẾT BỊ'!$B$1:$U$836,4,0),"")</f>
        <v>ĐQSD</v>
      </c>
      <c r="O199" s="692" t="str">
        <f>IFERROR(VLOOKUP(J199,'03. THIẾT BỊ'!$B$1:$U$836,7,0),"")</f>
        <v>XN Bò AD</v>
      </c>
      <c r="P199" s="559" t="str">
        <f>IFERROR(VLOOKUP(O199,'NS QUẢN LÝ CG'!$A$4:$D$36,2,0),"")</f>
        <v>Trần Văn Nam</v>
      </c>
      <c r="Q199" s="559" t="str">
        <f>IFERROR(VLOOKUP(O199,'NS QUẢN LÝ CG'!$A$4:$D$36,4,0),"")</f>
        <v>Lô 28 XN Bò</v>
      </c>
      <c r="R199" s="559" t="str">
        <f>IFERROR(VLOOKUP(O199,'NS QUẢN LÝ CG'!$A$4:$C$36,3,0),"")</f>
        <v>0971993540</v>
      </c>
      <c r="S199" s="532" t="str">
        <f>IFERROR(VLOOKUP(J199,'03. THIẾT BỊ'!$B$1:$S$836,3,0),"")</f>
        <v>A22-BUA-009</v>
      </c>
      <c r="T199" s="693" t="str">
        <f t="shared" si="4"/>
        <v>ADM</v>
      </c>
      <c r="U199" s="693"/>
    </row>
    <row r="200">
      <c r="A200" s="692"/>
      <c r="B200" s="694"/>
      <c r="C200" s="532" t="str">
        <f>IFERROR(VLOOKUP(J200,'03. THIẾT BỊ'!$B$1:$U$836,5,0),"")</f>
        <v>Thiết bị bừa 24 chảo</v>
      </c>
      <c r="D200" s="463">
        <v>1.0</v>
      </c>
      <c r="E200" s="692"/>
      <c r="F200" s="692"/>
      <c r="G200" s="692"/>
      <c r="H200" s="692" t="str">
        <f>IFERROR(VLOOKUP(J200,'03. THIẾT BỊ'!$B$1:$U$836,19,0),"")</f>
        <v/>
      </c>
      <c r="I200" s="463" t="str">
        <f>IFERROR(VLOOKUP(J200,'03. THIẾT BỊ'!$B$1:$U$836,20,0),"")</f>
        <v/>
      </c>
      <c r="J200" s="464" t="s">
        <v>5297</v>
      </c>
      <c r="K200" s="463" t="s">
        <v>4158</v>
      </c>
      <c r="L200" s="692"/>
      <c r="M200" s="692"/>
      <c r="N200" s="692" t="str">
        <f>IFERROR(VLOOKUP(J200,'03. THIẾT BỊ'!$B$1:$U$836,4,0),"")</f>
        <v>MUA MỚI</v>
      </c>
      <c r="O200" s="692" t="str">
        <f>IFERROR(VLOOKUP(J200,'03. THIẾT BỊ'!$B$1:$U$836,7,0),"")</f>
        <v>XN Bò AD</v>
      </c>
      <c r="P200" s="559" t="str">
        <f>IFERROR(VLOOKUP(O200,'NS QUẢN LÝ CG'!$A$4:$D$36,2,0),"")</f>
        <v>Trần Văn Nam</v>
      </c>
      <c r="Q200" s="559" t="str">
        <f>IFERROR(VLOOKUP(O200,'NS QUẢN LÝ CG'!$A$4:$D$36,4,0),"")</f>
        <v>Lô 28 XN Bò</v>
      </c>
      <c r="R200" s="559" t="str">
        <f>IFERROR(VLOOKUP(O200,'NS QUẢN LÝ CG'!$A$4:$C$36,3,0),"")</f>
        <v>0971993540</v>
      </c>
      <c r="S200" s="532" t="str">
        <f>IFERROR(VLOOKUP(J200,'03. THIẾT BỊ'!$B$1:$S$836,3,0),"")</f>
        <v>A22-BUA-002</v>
      </c>
      <c r="T200" s="693" t="str">
        <f t="shared" si="4"/>
        <v>ADM</v>
      </c>
      <c r="U200" s="693"/>
    </row>
    <row r="201">
      <c r="A201" s="692"/>
      <c r="B201" s="694"/>
      <c r="C201" s="532" t="str">
        <f>IFERROR(VLOOKUP(J201,'03. THIẾT BỊ'!$B$1:$U$836,5,0),"")</f>
        <v>Thiết bị bừa 24 chảo</v>
      </c>
      <c r="D201" s="463">
        <v>1.0</v>
      </c>
      <c r="E201" s="692"/>
      <c r="F201" s="692"/>
      <c r="G201" s="692"/>
      <c r="H201" s="692" t="str">
        <f>IFERROR(VLOOKUP(J201,'03. THIẾT BỊ'!$B$1:$U$836,19,0),"")</f>
        <v/>
      </c>
      <c r="I201" s="463" t="str">
        <f>IFERROR(VLOOKUP(J201,'03. THIẾT BỊ'!$B$1:$U$836,20,0),"")</f>
        <v/>
      </c>
      <c r="J201" s="464" t="s">
        <v>5300</v>
      </c>
      <c r="K201" s="463" t="s">
        <v>4158</v>
      </c>
      <c r="L201" s="692"/>
      <c r="M201" s="692"/>
      <c r="N201" s="692" t="str">
        <f>IFERROR(VLOOKUP(J201,'03. THIẾT BỊ'!$B$1:$U$836,4,0),"")</f>
        <v>MUA MỚI</v>
      </c>
      <c r="O201" s="692" t="str">
        <f>IFERROR(VLOOKUP(J201,'03. THIẾT BỊ'!$B$1:$U$836,7,0),"")</f>
        <v>XN Bò AD</v>
      </c>
      <c r="P201" s="559" t="str">
        <f>IFERROR(VLOOKUP(O201,'NS QUẢN LÝ CG'!$A$4:$D$36,2,0),"")</f>
        <v>Trần Văn Nam</v>
      </c>
      <c r="Q201" s="559" t="str">
        <f>IFERROR(VLOOKUP(O201,'NS QUẢN LÝ CG'!$A$4:$D$36,4,0),"")</f>
        <v>Lô 28 XN Bò</v>
      </c>
      <c r="R201" s="559" t="str">
        <f>IFERROR(VLOOKUP(O201,'NS QUẢN LÝ CG'!$A$4:$C$36,3,0),"")</f>
        <v>0971993540</v>
      </c>
      <c r="S201" s="532" t="str">
        <f>IFERROR(VLOOKUP(J201,'03. THIẾT BỊ'!$B$1:$S$836,3,0),"")</f>
        <v>A22-BUA-003</v>
      </c>
      <c r="T201" s="693" t="str">
        <f t="shared" si="4"/>
        <v>ADM</v>
      </c>
      <c r="U201" s="693"/>
    </row>
    <row r="202">
      <c r="A202" s="692"/>
      <c r="B202" s="694"/>
      <c r="C202" s="532" t="str">
        <f>IFERROR(VLOOKUP(J202,'03. THIẾT BỊ'!$B$1:$U$836,5,0),"")</f>
        <v>Thiết bị bừa 32 chảo</v>
      </c>
      <c r="D202" s="463">
        <v>1.0</v>
      </c>
      <c r="E202" s="692"/>
      <c r="F202" s="692"/>
      <c r="G202" s="692"/>
      <c r="H202" s="692" t="str">
        <f>IFERROR(VLOOKUP(J202,'03. THIẾT BỊ'!$B$1:$U$836,19,0),"")</f>
        <v/>
      </c>
      <c r="I202" s="463" t="str">
        <f>IFERROR(VLOOKUP(J202,'03. THIẾT BỊ'!$B$1:$U$836,20,0),"")</f>
        <v/>
      </c>
      <c r="J202" s="464" t="s">
        <v>5293</v>
      </c>
      <c r="K202" s="463"/>
      <c r="L202" s="463" t="s">
        <v>4158</v>
      </c>
      <c r="M202" s="692"/>
      <c r="N202" s="692" t="str">
        <f>IFERROR(VLOOKUP(J202,'03. THIẾT BỊ'!$B$1:$U$836,4,0),"")</f>
        <v>MUA MỚI</v>
      </c>
      <c r="O202" s="692" t="str">
        <f>IFERROR(VLOOKUP(J202,'03. THIẾT BỊ'!$B$1:$U$836,7,0),"")</f>
        <v>XN Bò AD</v>
      </c>
      <c r="P202" s="559" t="str">
        <f>IFERROR(VLOOKUP(O202,'NS QUẢN LÝ CG'!$A$4:$D$36,2,0),"")</f>
        <v>Trần Văn Nam</v>
      </c>
      <c r="Q202" s="559" t="str">
        <f>IFERROR(VLOOKUP(O202,'NS QUẢN LÝ CG'!$A$4:$D$36,4,0),"")</f>
        <v>Lô 28 XN Bò</v>
      </c>
      <c r="R202" s="559" t="str">
        <f>IFERROR(VLOOKUP(O202,'NS QUẢN LÝ CG'!$A$4:$C$36,3,0),"")</f>
        <v>0971993540</v>
      </c>
      <c r="S202" s="532" t="str">
        <f>IFERROR(VLOOKUP(J202,'03. THIẾT BỊ'!$B$1:$S$836,3,0),"")</f>
        <v>A22-BUA-001</v>
      </c>
      <c r="T202" s="693" t="str">
        <f t="shared" si="4"/>
        <v>ADM</v>
      </c>
      <c r="U202" s="693"/>
    </row>
    <row r="203">
      <c r="A203" s="692"/>
      <c r="B203" s="694"/>
      <c r="C203" s="532" t="str">
        <f>IFERROR(VLOOKUP(J203,'03. THIẾT BỊ'!$B$1:$U$836,5,0),"")</f>
        <v>Thiết bị bừa 32 chảo</v>
      </c>
      <c r="D203" s="463">
        <v>1.0</v>
      </c>
      <c r="E203" s="692"/>
      <c r="F203" s="692"/>
      <c r="G203" s="692"/>
      <c r="H203" s="692" t="str">
        <f>IFERROR(VLOOKUP(J203,'03. THIẾT BỊ'!$B$1:$U$836,19,0),"")</f>
        <v/>
      </c>
      <c r="I203" s="463" t="str">
        <f>IFERROR(VLOOKUP(J203,'03. THIẾT BỊ'!$B$1:$U$836,20,0),"")</f>
        <v/>
      </c>
      <c r="J203" s="464" t="s">
        <v>5302</v>
      </c>
      <c r="K203" s="463"/>
      <c r="L203" s="463" t="s">
        <v>4158</v>
      </c>
      <c r="M203" s="692"/>
      <c r="N203" s="692" t="str">
        <f>IFERROR(VLOOKUP(J203,'03. THIẾT BỊ'!$B$1:$U$836,4,0),"")</f>
        <v>MUA MỚI</v>
      </c>
      <c r="O203" s="692" t="str">
        <f>IFERROR(VLOOKUP(J203,'03. THIẾT BỊ'!$B$1:$U$836,7,0),"")</f>
        <v>XN Bò AD</v>
      </c>
      <c r="P203" s="559" t="str">
        <f>IFERROR(VLOOKUP(O203,'NS QUẢN LÝ CG'!$A$4:$D$36,2,0),"")</f>
        <v>Trần Văn Nam</v>
      </c>
      <c r="Q203" s="559" t="str">
        <f>IFERROR(VLOOKUP(O203,'NS QUẢN LÝ CG'!$A$4:$D$36,4,0),"")</f>
        <v>Lô 28 XN Bò</v>
      </c>
      <c r="R203" s="559" t="str">
        <f>IFERROR(VLOOKUP(O203,'NS QUẢN LÝ CG'!$A$4:$C$36,3,0),"")</f>
        <v>0971993540</v>
      </c>
      <c r="S203" s="532" t="str">
        <f>IFERROR(VLOOKUP(J203,'03. THIẾT BỊ'!$B$1:$S$836,3,0),"")</f>
        <v>A22-BUA-004</v>
      </c>
      <c r="T203" s="693" t="str">
        <f t="shared" si="4"/>
        <v>ADM</v>
      </c>
      <c r="U203" s="693"/>
    </row>
    <row r="204">
      <c r="A204" s="692"/>
      <c r="B204" s="694"/>
      <c r="C204" s="532" t="str">
        <f>IFERROR(VLOOKUP(J204,'03. THIẾT BỊ'!$B$1:$U$836,5,0),"")</f>
        <v>Thiết bị rạch luống trồng cỏ (6 hàng)</v>
      </c>
      <c r="D204" s="463">
        <v>1.0</v>
      </c>
      <c r="E204" s="692"/>
      <c r="F204" s="692"/>
      <c r="G204" s="692"/>
      <c r="H204" s="692" t="str">
        <f>IFERROR(VLOOKUP(J204,'03. THIẾT BỊ'!$B$1:$U$836,19,0),"")</f>
        <v/>
      </c>
      <c r="I204" s="463" t="str">
        <f>IFERROR(VLOOKUP(J204,'03. THIẾT BỊ'!$B$1:$U$836,20,0),"")</f>
        <v/>
      </c>
      <c r="J204" s="464" t="s">
        <v>5437</v>
      </c>
      <c r="K204" s="463" t="s">
        <v>4158</v>
      </c>
      <c r="L204" s="692"/>
      <c r="M204" s="692"/>
      <c r="N204" s="692" t="str">
        <f>IFERROR(VLOOKUP(J204,'03. THIẾT BỊ'!$B$1:$U$836,4,0),"")</f>
        <v>ĐQSD</v>
      </c>
      <c r="O204" s="692" t="str">
        <f>IFERROR(VLOOKUP(J204,'03. THIẾT BỊ'!$B$1:$U$836,7,0),"")</f>
        <v>XN Bò AD</v>
      </c>
      <c r="P204" s="559" t="str">
        <f>IFERROR(VLOOKUP(O204,'NS QUẢN LÝ CG'!$A$4:$D$36,2,0),"")</f>
        <v>Trần Văn Nam</v>
      </c>
      <c r="Q204" s="559" t="str">
        <f>IFERROR(VLOOKUP(O204,'NS QUẢN LÝ CG'!$A$4:$D$36,4,0),"")</f>
        <v>Lô 28 XN Bò</v>
      </c>
      <c r="R204" s="559" t="str">
        <f>IFERROR(VLOOKUP(O204,'NS QUẢN LÝ CG'!$A$4:$C$36,3,0),"")</f>
        <v>0971993540</v>
      </c>
      <c r="S204" s="532" t="str">
        <f>IFERROR(VLOOKUP(J204,'03. THIẾT BỊ'!$B$1:$S$836,3,0),"")</f>
        <v>A22-RLT-001</v>
      </c>
      <c r="T204" s="693" t="str">
        <f t="shared" si="4"/>
        <v>ADM</v>
      </c>
      <c r="U204" s="693"/>
    </row>
    <row r="205">
      <c r="A205" s="692"/>
      <c r="B205" s="694"/>
      <c r="C205" s="532" t="str">
        <f>IFERROR(VLOOKUP(J205,'03. THIẾT BỊ'!$B$1:$U$836,5,0),"")</f>
        <v>Thiết bị rạch luống trồng cỏ (4 hàng)</v>
      </c>
      <c r="D205" s="463">
        <v>1.0</v>
      </c>
      <c r="E205" s="692"/>
      <c r="F205" s="692"/>
      <c r="G205" s="692"/>
      <c r="H205" s="692" t="str">
        <f>IFERROR(VLOOKUP(J205,'03. THIẾT BỊ'!$B$1:$U$836,19,0),"")</f>
        <v/>
      </c>
      <c r="I205" s="463" t="str">
        <f>IFERROR(VLOOKUP(J205,'03. THIẾT BỊ'!$B$1:$U$836,20,0),"")</f>
        <v/>
      </c>
      <c r="J205" s="464" t="s">
        <v>5442</v>
      </c>
      <c r="K205" s="463" t="s">
        <v>4158</v>
      </c>
      <c r="L205" s="692"/>
      <c r="M205" s="692"/>
      <c r="N205" s="692" t="str">
        <f>IFERROR(VLOOKUP(J205,'03. THIẾT BỊ'!$B$1:$U$836,4,0),"")</f>
        <v>ĐQSD</v>
      </c>
      <c r="O205" s="692" t="str">
        <f>IFERROR(VLOOKUP(J205,'03. THIẾT BỊ'!$B$1:$U$836,7,0),"")</f>
        <v>XN Bò AD</v>
      </c>
      <c r="P205" s="559" t="str">
        <f>IFERROR(VLOOKUP(O205,'NS QUẢN LÝ CG'!$A$4:$D$36,2,0),"")</f>
        <v>Trần Văn Nam</v>
      </c>
      <c r="Q205" s="559" t="str">
        <f>IFERROR(VLOOKUP(O205,'NS QUẢN LÝ CG'!$A$4:$D$36,4,0),"")</f>
        <v>Lô 28 XN Bò</v>
      </c>
      <c r="R205" s="559" t="str">
        <f>IFERROR(VLOOKUP(O205,'NS QUẢN LÝ CG'!$A$4:$C$36,3,0),"")</f>
        <v>0971993540</v>
      </c>
      <c r="S205" s="532" t="str">
        <f>IFERROR(VLOOKUP(J205,'03. THIẾT BỊ'!$B$1:$S$836,3,0),"")</f>
        <v>A22-RLT-002</v>
      </c>
      <c r="T205" s="693" t="str">
        <f t="shared" si="4"/>
        <v>ADM</v>
      </c>
      <c r="U205" s="693"/>
    </row>
    <row r="206">
      <c r="A206" s="692"/>
      <c r="B206" s="694"/>
      <c r="C206" s="532" t="str">
        <f>IFERROR(VLOOKUP(J206,'03. THIẾT BỊ'!$B$1:$U$836,5,0),"")</f>
        <v>Thiết bị rạch luống trồng cỏ (4 hàng)</v>
      </c>
      <c r="D206" s="463">
        <v>1.0</v>
      </c>
      <c r="E206" s="692"/>
      <c r="F206" s="692"/>
      <c r="G206" s="692"/>
      <c r="H206" s="692" t="str">
        <f>IFERROR(VLOOKUP(J206,'03. THIẾT BỊ'!$B$1:$U$836,19,0),"")</f>
        <v/>
      </c>
      <c r="I206" s="463" t="str">
        <f>IFERROR(VLOOKUP(J206,'03. THIẾT BỊ'!$B$1:$U$836,20,0),"")</f>
        <v/>
      </c>
      <c r="J206" s="464" t="s">
        <v>5446</v>
      </c>
      <c r="K206" s="463" t="s">
        <v>4158</v>
      </c>
      <c r="L206" s="692"/>
      <c r="M206" s="692"/>
      <c r="N206" s="692" t="str">
        <f>IFERROR(VLOOKUP(J206,'03. THIẾT BỊ'!$B$1:$U$836,4,0),"")</f>
        <v>ĐQSD</v>
      </c>
      <c r="O206" s="692" t="str">
        <f>IFERROR(VLOOKUP(J206,'03. THIẾT BỊ'!$B$1:$U$836,7,0),"")</f>
        <v>XN Bò AD</v>
      </c>
      <c r="P206" s="559" t="str">
        <f>IFERROR(VLOOKUP(O206,'NS QUẢN LÝ CG'!$A$4:$D$36,2,0),"")</f>
        <v>Trần Văn Nam</v>
      </c>
      <c r="Q206" s="559" t="str">
        <f>IFERROR(VLOOKUP(O206,'NS QUẢN LÝ CG'!$A$4:$D$36,4,0),"")</f>
        <v>Lô 28 XN Bò</v>
      </c>
      <c r="R206" s="559" t="str">
        <f>IFERROR(VLOOKUP(O206,'NS QUẢN LÝ CG'!$A$4:$C$36,3,0),"")</f>
        <v>0971993540</v>
      </c>
      <c r="S206" s="532" t="str">
        <f>IFERROR(VLOOKUP(J206,'03. THIẾT BỊ'!$B$1:$S$836,3,0),"")</f>
        <v>A22-RLT-003</v>
      </c>
      <c r="T206" s="693" t="str">
        <f t="shared" si="4"/>
        <v>ADM</v>
      </c>
      <c r="U206" s="693"/>
    </row>
    <row r="207">
      <c r="A207" s="692"/>
      <c r="B207" s="694"/>
      <c r="C207" s="532" t="str">
        <f>IFERROR(VLOOKUP(J207,'03. THIẾT BỊ'!$B$1:$U$836,5,0),"")</f>
        <v>Thiết bị rạch luống trồng cỏ (4 hàng)</v>
      </c>
      <c r="D207" s="463">
        <v>1.0</v>
      </c>
      <c r="E207" s="692"/>
      <c r="F207" s="692"/>
      <c r="G207" s="692"/>
      <c r="H207" s="692" t="str">
        <f>IFERROR(VLOOKUP(J207,'03. THIẾT BỊ'!$B$1:$U$836,19,0),"")</f>
        <v/>
      </c>
      <c r="I207" s="463" t="str">
        <f>IFERROR(VLOOKUP(J207,'03. THIẾT BỊ'!$B$1:$U$836,20,0),"")</f>
        <v/>
      </c>
      <c r="J207" s="464" t="s">
        <v>5449</v>
      </c>
      <c r="K207" s="463" t="s">
        <v>4158</v>
      </c>
      <c r="L207" s="692"/>
      <c r="M207" s="692"/>
      <c r="N207" s="692" t="str">
        <f>IFERROR(VLOOKUP(J207,'03. THIẾT BỊ'!$B$1:$U$836,4,0),"")</f>
        <v>ĐQSD</v>
      </c>
      <c r="O207" s="692" t="str">
        <f>IFERROR(VLOOKUP(J207,'03. THIẾT BỊ'!$B$1:$U$836,7,0),"")</f>
        <v>XN Bò AD</v>
      </c>
      <c r="P207" s="559" t="str">
        <f>IFERROR(VLOOKUP(O207,'NS QUẢN LÝ CG'!$A$4:$D$36,2,0),"")</f>
        <v>Trần Văn Nam</v>
      </c>
      <c r="Q207" s="559" t="str">
        <f>IFERROR(VLOOKUP(O207,'NS QUẢN LÝ CG'!$A$4:$D$36,4,0),"")</f>
        <v>Lô 28 XN Bò</v>
      </c>
      <c r="R207" s="559" t="str">
        <f>IFERROR(VLOOKUP(O207,'NS QUẢN LÝ CG'!$A$4:$C$36,3,0),"")</f>
        <v>0971993540</v>
      </c>
      <c r="S207" s="532" t="str">
        <f>IFERROR(VLOOKUP(J207,'03. THIẾT BỊ'!$B$1:$S$836,3,0),"")</f>
        <v>A22-RLT-004</v>
      </c>
      <c r="T207" s="693" t="str">
        <f t="shared" si="4"/>
        <v>ADM</v>
      </c>
      <c r="U207" s="693"/>
    </row>
    <row r="208">
      <c r="A208" s="692"/>
      <c r="B208" s="694"/>
      <c r="C208" s="532" t="str">
        <f>IFERROR(VLOOKUP(J208,'03. THIẾT BỊ'!$B$1:$U$836,5,0),"")</f>
        <v>Thiết bị gieo hạt cỏ</v>
      </c>
      <c r="D208" s="463">
        <v>1.0</v>
      </c>
      <c r="E208" s="692"/>
      <c r="F208" s="692"/>
      <c r="G208" s="692"/>
      <c r="H208" s="692" t="str">
        <f>IFERROR(VLOOKUP(J208,'03. THIẾT BỊ'!$B$1:$U$836,19,0),"")</f>
        <v/>
      </c>
      <c r="I208" s="463" t="str">
        <f>IFERROR(VLOOKUP(J208,'03. THIẾT BỊ'!$B$1:$U$836,20,0),"")</f>
        <v/>
      </c>
      <c r="J208" s="464" t="s">
        <v>5486</v>
      </c>
      <c r="K208" s="463" t="s">
        <v>4158</v>
      </c>
      <c r="L208" s="692"/>
      <c r="M208" s="692"/>
      <c r="N208" s="692" t="str">
        <f>IFERROR(VLOOKUP(J208,'03. THIẾT BỊ'!$B$1:$U$836,4,0),"")</f>
        <v>MUA MỚI</v>
      </c>
      <c r="O208" s="692" t="str">
        <f>IFERROR(VLOOKUP(J208,'03. THIẾT BỊ'!$B$1:$U$836,7,0),"")</f>
        <v>XN Bò AD</v>
      </c>
      <c r="P208" s="559" t="str">
        <f>IFERROR(VLOOKUP(O208,'NS QUẢN LÝ CG'!$A$4:$D$36,2,0),"")</f>
        <v>Trần Văn Nam</v>
      </c>
      <c r="Q208" s="559" t="str">
        <f>IFERROR(VLOOKUP(O208,'NS QUẢN LÝ CG'!$A$4:$D$36,4,0),"")</f>
        <v>Lô 28 XN Bò</v>
      </c>
      <c r="R208" s="559" t="str">
        <f>IFERROR(VLOOKUP(O208,'NS QUẢN LÝ CG'!$A$4:$C$36,3,0),"")</f>
        <v>0971993540</v>
      </c>
      <c r="S208" s="532" t="str">
        <f>IFERROR(VLOOKUP(J208,'03. THIẾT BỊ'!$B$1:$S$836,3,0),"")</f>
        <v>A22-GHC-001</v>
      </c>
      <c r="T208" s="693" t="str">
        <f t="shared" si="4"/>
        <v>ADM</v>
      </c>
      <c r="U208" s="693"/>
    </row>
    <row r="209">
      <c r="A209" s="692"/>
      <c r="B209" s="694"/>
      <c r="C209" s="532" t="str">
        <f>IFERROR(VLOOKUP(J209,'03. THIẾT BỊ'!$B$1:$U$836,5,0),"")</f>
        <v>Thiết bị gieo hạt cỏ</v>
      </c>
      <c r="D209" s="463">
        <v>1.0</v>
      </c>
      <c r="E209" s="692"/>
      <c r="F209" s="692"/>
      <c r="G209" s="692"/>
      <c r="H209" s="692" t="str">
        <f>IFERROR(VLOOKUP(J209,'03. THIẾT BỊ'!$B$1:$U$836,19,0),"")</f>
        <v/>
      </c>
      <c r="I209" s="463" t="str">
        <f>IFERROR(VLOOKUP(J209,'03. THIẾT BỊ'!$B$1:$U$836,20,0),"")</f>
        <v/>
      </c>
      <c r="J209" s="464" t="s">
        <v>5497</v>
      </c>
      <c r="K209" s="463" t="s">
        <v>4158</v>
      </c>
      <c r="L209" s="692"/>
      <c r="M209" s="692"/>
      <c r="N209" s="692" t="str">
        <f>IFERROR(VLOOKUP(J209,'03. THIẾT BỊ'!$B$1:$U$836,4,0),"")</f>
        <v>ĐQSD</v>
      </c>
      <c r="O209" s="692" t="str">
        <f>IFERROR(VLOOKUP(J209,'03. THIẾT BỊ'!$B$1:$U$836,7,0),"")</f>
        <v>XN Bò AD</v>
      </c>
      <c r="P209" s="559" t="str">
        <f>IFERROR(VLOOKUP(O209,'NS QUẢN LÝ CG'!$A$4:$D$36,2,0),"")</f>
        <v>Trần Văn Nam</v>
      </c>
      <c r="Q209" s="559" t="str">
        <f>IFERROR(VLOOKUP(O209,'NS QUẢN LÝ CG'!$A$4:$D$36,4,0),"")</f>
        <v>Lô 28 XN Bò</v>
      </c>
      <c r="R209" s="559" t="str">
        <f>IFERROR(VLOOKUP(O209,'NS QUẢN LÝ CG'!$A$4:$C$36,3,0),"")</f>
        <v>0971993540</v>
      </c>
      <c r="S209" s="532" t="str">
        <f>IFERROR(VLOOKUP(J209,'03. THIẾT BỊ'!$B$1:$S$836,3,0),"")</f>
        <v>A22-GHC-002</v>
      </c>
      <c r="T209" s="693" t="str">
        <f t="shared" si="4"/>
        <v>ADM</v>
      </c>
      <c r="U209" s="693"/>
    </row>
    <row r="210">
      <c r="A210" s="692"/>
      <c r="B210" s="694"/>
      <c r="C210" s="532" t="str">
        <f>IFERROR(VLOOKUP(J210,'03. THIẾT BỊ'!$B$1:$U$836,5,0),"")</f>
        <v>Thiết bị tỉa bắp</v>
      </c>
      <c r="D210" s="463">
        <v>1.0</v>
      </c>
      <c r="E210" s="692"/>
      <c r="F210" s="692"/>
      <c r="G210" s="692"/>
      <c r="H210" s="692" t="str">
        <f>IFERROR(VLOOKUP(J210,'03. THIẾT BỊ'!$B$1:$U$836,19,0),"")</f>
        <v/>
      </c>
      <c r="I210" s="463" t="str">
        <f>IFERROR(VLOOKUP(J210,'03. THIẾT BỊ'!$B$1:$U$836,20,0),"")</f>
        <v/>
      </c>
      <c r="J210" s="464" t="s">
        <v>5221</v>
      </c>
      <c r="K210" s="463" t="s">
        <v>4158</v>
      </c>
      <c r="L210" s="692"/>
      <c r="M210" s="692"/>
      <c r="N210" s="692" t="str">
        <f>IFERROR(VLOOKUP(J210,'03. THIẾT BỊ'!$B$1:$U$836,4,0),"")</f>
        <v>ĐQSD</v>
      </c>
      <c r="O210" s="692" t="str">
        <f>IFERROR(VLOOKUP(J210,'03. THIẾT BỊ'!$B$1:$U$836,7,0),"")</f>
        <v>XN Bò AD</v>
      </c>
      <c r="P210" s="559" t="str">
        <f>IFERROR(VLOOKUP(O210,'NS QUẢN LÝ CG'!$A$4:$D$36,2,0),"")</f>
        <v>Trần Văn Nam</v>
      </c>
      <c r="Q210" s="559" t="str">
        <f>IFERROR(VLOOKUP(O210,'NS QUẢN LÝ CG'!$A$4:$D$36,4,0),"")</f>
        <v>Lô 28 XN Bò</v>
      </c>
      <c r="R210" s="559" t="str">
        <f>IFERROR(VLOOKUP(O210,'NS QUẢN LÝ CG'!$A$4:$C$36,3,0),"")</f>
        <v>0971993540</v>
      </c>
      <c r="S210" s="532" t="str">
        <f>IFERROR(VLOOKUP(J210,'03. THIẾT BỊ'!$B$1:$S$836,3,0),"")</f>
        <v>A22-GTB-001</v>
      </c>
      <c r="T210" s="693" t="str">
        <f t="shared" si="4"/>
        <v>ADM</v>
      </c>
      <c r="U210" s="693"/>
    </row>
    <row r="211">
      <c r="A211" s="692"/>
      <c r="B211" s="694"/>
      <c r="C211" s="532" t="str">
        <f>IFERROR(VLOOKUP(J211,'03. THIẾT BỊ'!$B$1:$U$836,5,0),"")</f>
        <v>Thiết bị tỉa bắp</v>
      </c>
      <c r="D211" s="463">
        <v>1.0</v>
      </c>
      <c r="E211" s="692"/>
      <c r="F211" s="692"/>
      <c r="G211" s="692"/>
      <c r="H211" s="692" t="str">
        <f>IFERROR(VLOOKUP(J211,'03. THIẾT BỊ'!$B$1:$U$836,19,0),"")</f>
        <v/>
      </c>
      <c r="I211" s="463" t="str">
        <f>IFERROR(VLOOKUP(J211,'03. THIẾT BỊ'!$B$1:$U$836,20,0),"")</f>
        <v/>
      </c>
      <c r="J211" s="464" t="s">
        <v>5224</v>
      </c>
      <c r="K211" s="463" t="s">
        <v>4158</v>
      </c>
      <c r="L211" s="692"/>
      <c r="M211" s="692"/>
      <c r="N211" s="692" t="str">
        <f>IFERROR(VLOOKUP(J211,'03. THIẾT BỊ'!$B$1:$U$836,4,0),"")</f>
        <v>ĐQSD</v>
      </c>
      <c r="O211" s="692" t="str">
        <f>IFERROR(VLOOKUP(J211,'03. THIẾT BỊ'!$B$1:$U$836,7,0),"")</f>
        <v>XN Bò AD</v>
      </c>
      <c r="P211" s="559" t="str">
        <f>IFERROR(VLOOKUP(O211,'NS QUẢN LÝ CG'!$A$4:$D$36,2,0),"")</f>
        <v>Trần Văn Nam</v>
      </c>
      <c r="Q211" s="559" t="str">
        <f>IFERROR(VLOOKUP(O211,'NS QUẢN LÝ CG'!$A$4:$D$36,4,0),"")</f>
        <v>Lô 28 XN Bò</v>
      </c>
      <c r="R211" s="559" t="str">
        <f>IFERROR(VLOOKUP(O211,'NS QUẢN LÝ CG'!$A$4:$C$36,3,0),"")</f>
        <v>0971993540</v>
      </c>
      <c r="S211" s="532" t="str">
        <f>IFERROR(VLOOKUP(J211,'03. THIẾT BỊ'!$B$1:$S$836,3,0),"")</f>
        <v>A22-GTB-002</v>
      </c>
      <c r="T211" s="693" t="str">
        <f t="shared" si="4"/>
        <v>ADM</v>
      </c>
      <c r="U211" s="693"/>
    </row>
    <row r="212">
      <c r="A212" s="692"/>
      <c r="B212" s="694"/>
      <c r="C212" s="532" t="str">
        <f>IFERROR(VLOOKUP(J212,'03. THIẾT BỊ'!$B$1:$U$836,5,0),"")</f>
        <v>Thiết bị trồng bắp</v>
      </c>
      <c r="D212" s="463">
        <v>1.0</v>
      </c>
      <c r="E212" s="692"/>
      <c r="F212" s="692"/>
      <c r="G212" s="692"/>
      <c r="H212" s="692" t="str">
        <f>IFERROR(VLOOKUP(J212,'03. THIẾT BỊ'!$B$1:$U$836,19,0),"")</f>
        <v/>
      </c>
      <c r="I212" s="463" t="str">
        <f>IFERROR(VLOOKUP(J212,'03. THIẾT BỊ'!$B$1:$U$836,20,0),"")</f>
        <v/>
      </c>
      <c r="J212" s="464" t="s">
        <v>5323</v>
      </c>
      <c r="K212" s="463"/>
      <c r="L212" s="692"/>
      <c r="M212" s="692"/>
      <c r="N212" s="692" t="str">
        <f>IFERROR(VLOOKUP(J212,'03. THIẾT BỊ'!$B$1:$U$836,4,0),"")</f>
        <v>ĐQSD</v>
      </c>
      <c r="O212" s="692" t="str">
        <f>IFERROR(VLOOKUP(J212,'03. THIẾT BỊ'!$B$1:$U$836,7,0),"")</f>
        <v>XN Bò AD</v>
      </c>
      <c r="P212" s="559" t="str">
        <f>IFERROR(VLOOKUP(O212,'NS QUẢN LÝ CG'!$A$4:$D$36,2,0),"")</f>
        <v>Trần Văn Nam</v>
      </c>
      <c r="Q212" s="559" t="str">
        <f>IFERROR(VLOOKUP(O212,'NS QUẢN LÝ CG'!$A$4:$D$36,4,0),"")</f>
        <v>Lô 28 XN Bò</v>
      </c>
      <c r="R212" s="559" t="str">
        <f>IFERROR(VLOOKUP(O212,'NS QUẢN LÝ CG'!$A$4:$C$36,3,0),"")</f>
        <v>0971993540</v>
      </c>
      <c r="S212" s="532" t="str">
        <f>IFERROR(VLOOKUP(J212,'03. THIẾT BỊ'!$B$1:$S$836,3,0),"")</f>
        <v>A22-TBT-001</v>
      </c>
      <c r="T212" s="693" t="str">
        <f t="shared" si="4"/>
        <v>ADM</v>
      </c>
      <c r="U212" s="693"/>
    </row>
    <row r="213">
      <c r="A213" s="692"/>
      <c r="B213" s="58"/>
      <c r="C213" s="532" t="str">
        <f>IFERROR(VLOOKUP(J213,'03. THIẾT BỊ'!$B$1:$U$836,5,0),"")</f>
        <v>Thiết bị ra hom cỏ giống</v>
      </c>
      <c r="D213" s="463">
        <v>1.0</v>
      </c>
      <c r="E213" s="692"/>
      <c r="F213" s="692"/>
      <c r="G213" s="692"/>
      <c r="H213" s="692" t="str">
        <f>IFERROR(VLOOKUP(J213,'03. THIẾT BỊ'!$B$1:$U$836,19,0),"")</f>
        <v/>
      </c>
      <c r="I213" s="463" t="str">
        <f>IFERROR(VLOOKUP(J213,'03. THIẾT BỊ'!$B$1:$U$836,20,0),"")</f>
        <v/>
      </c>
      <c r="J213" s="464" t="s">
        <v>5508</v>
      </c>
      <c r="K213" s="463"/>
      <c r="L213" s="692"/>
      <c r="M213" s="692"/>
      <c r="N213" s="692" t="str">
        <f>IFERROR(VLOOKUP(J213,'03. THIẾT BỊ'!$B$1:$U$836,4,0),"")</f>
        <v>ĐQSD</v>
      </c>
      <c r="O213" s="692" t="str">
        <f>IFERROR(VLOOKUP(J213,'03. THIẾT BỊ'!$B$1:$U$836,7,0),"")</f>
        <v>XN Bò AD</v>
      </c>
      <c r="P213" s="559" t="str">
        <f>IFERROR(VLOOKUP(O213,'NS QUẢN LÝ CG'!$A$4:$D$36,2,0),"")</f>
        <v>Trần Văn Nam</v>
      </c>
      <c r="Q213" s="559" t="str">
        <f>IFERROR(VLOOKUP(O213,'NS QUẢN LÝ CG'!$A$4:$D$36,4,0),"")</f>
        <v>Lô 28 XN Bò</v>
      </c>
      <c r="R213" s="559" t="str">
        <f>IFERROR(VLOOKUP(O213,'NS QUẢN LÝ CG'!$A$4:$C$36,3,0),"")</f>
        <v>0971993540</v>
      </c>
      <c r="S213" s="532" t="str">
        <f>IFERROR(VLOOKUP(J213,'03. THIẾT BỊ'!$B$1:$S$836,3,0),"")</f>
        <v>A22-RHC-001</v>
      </c>
      <c r="T213" s="693" t="str">
        <f t="shared" si="4"/>
        <v>ADM</v>
      </c>
      <c r="U213" s="693"/>
    </row>
    <row r="214">
      <c r="A214" s="692"/>
      <c r="B214" s="728"/>
      <c r="C214" s="532" t="str">
        <f>IFERROR(VLOOKUP(J214,'03. THIẾT BỊ'!$B$1:$U$836,5,0),"")</f>
        <v/>
      </c>
      <c r="D214" s="463"/>
      <c r="E214" s="692"/>
      <c r="F214" s="692"/>
      <c r="G214" s="692"/>
      <c r="H214" s="692" t="str">
        <f>IFERROR(VLOOKUP(J214,'03. THIẾT BỊ'!$B$1:$U$836,19,0),"")</f>
        <v/>
      </c>
      <c r="I214" s="463" t="str">
        <f>IFERROR(VLOOKUP(J214,'03. THIẾT BỊ'!$B$1:$U$836,20,0),"")</f>
        <v/>
      </c>
      <c r="J214" s="464"/>
      <c r="K214" s="463"/>
      <c r="L214" s="692"/>
      <c r="M214" s="692"/>
      <c r="N214" s="692" t="str">
        <f>IFERROR(VLOOKUP(J214,'03. THIẾT BỊ'!$B$1:$U$836,4,0),"")</f>
        <v/>
      </c>
      <c r="O214" s="692" t="str">
        <f>IFERROR(VLOOKUP(J214,'03. THIẾT BỊ'!$B$1:$U$836,7,0),"")</f>
        <v/>
      </c>
      <c r="P214" s="532"/>
      <c r="Q214" s="532"/>
      <c r="R214" s="532"/>
      <c r="S214" s="532" t="str">
        <f>IFERROR(VLOOKUP(J214,'03. THIẾT BỊ'!$B$1:$S$836,3,0),"")</f>
        <v/>
      </c>
      <c r="T214" s="693"/>
      <c r="U214" s="693"/>
    </row>
    <row r="215">
      <c r="A215" s="692"/>
      <c r="B215" s="728"/>
      <c r="C215" s="532" t="str">
        <f>IFERROR(VLOOKUP(J215,'03. THIẾT BỊ'!$B$1:$U$836,5,0),"")</f>
        <v/>
      </c>
      <c r="D215" s="463"/>
      <c r="E215" s="692"/>
      <c r="F215" s="692"/>
      <c r="G215" s="692"/>
      <c r="H215" s="692" t="str">
        <f>IFERROR(VLOOKUP(J215,'03. THIẾT BỊ'!$B$1:$U$836,19,0),"")</f>
        <v/>
      </c>
      <c r="I215" s="463" t="str">
        <f>IFERROR(VLOOKUP(J215,'03. THIẾT BỊ'!$B$1:$U$836,20,0),"")</f>
        <v/>
      </c>
      <c r="J215" s="464"/>
      <c r="K215" s="463"/>
      <c r="L215" s="692"/>
      <c r="M215" s="692"/>
      <c r="N215" s="692" t="str">
        <f>IFERROR(VLOOKUP(J215,'03. THIẾT BỊ'!$B$1:$U$836,4,0),"")</f>
        <v/>
      </c>
      <c r="O215" s="692" t="str">
        <f>IFERROR(VLOOKUP(J215,'03. THIẾT BỊ'!$B$1:$U$836,7,0),"")</f>
        <v/>
      </c>
      <c r="P215" s="532"/>
      <c r="Q215" s="532"/>
      <c r="R215" s="532"/>
      <c r="S215" s="532" t="str">
        <f>IFERROR(VLOOKUP(J215,'03. THIẾT BỊ'!$B$1:$S$836,3,0),"")</f>
        <v/>
      </c>
      <c r="T215" s="693"/>
      <c r="U215" s="693"/>
    </row>
    <row r="216">
      <c r="A216" s="739" t="s">
        <v>5877</v>
      </c>
      <c r="B216" s="23"/>
      <c r="C216" s="30"/>
      <c r="D216" s="687">
        <f>SUM(D217:D273)</f>
        <v>55</v>
      </c>
      <c r="E216" s="688"/>
      <c r="F216" s="688"/>
      <c r="G216" s="688"/>
      <c r="H216" s="688"/>
      <c r="I216" s="688"/>
      <c r="J216" s="689"/>
      <c r="K216" s="688"/>
      <c r="L216" s="688"/>
      <c r="M216" s="688"/>
      <c r="N216" s="689"/>
      <c r="O216" s="737"/>
      <c r="P216" s="689"/>
      <c r="Q216" s="689"/>
      <c r="R216" s="689"/>
      <c r="S216" s="689"/>
      <c r="T216" s="690"/>
      <c r="U216" s="690"/>
    </row>
    <row r="217">
      <c r="A217" s="692"/>
      <c r="B217" s="738" t="s">
        <v>5879</v>
      </c>
      <c r="C217" s="532" t="str">
        <f>IFERROR(VLOOKUP(J217,'03. THIẾT BỊ'!$B$1:$U$836,5,0),"")</f>
        <v>Thiết bị phay cỏ 1.5m</v>
      </c>
      <c r="D217" s="463">
        <v>1.0</v>
      </c>
      <c r="E217" s="692"/>
      <c r="F217" s="692"/>
      <c r="G217" s="692"/>
      <c r="H217" s="692">
        <f>IFERROR(VLOOKUP(J217,'03. THIẾT BỊ'!$B$1:$U$836,19,0),"")</f>
        <v>6.14</v>
      </c>
      <c r="I217" s="463" t="str">
        <f>IFERROR(VLOOKUP(J217,'03. THIẾT BỊ'!$B$1:$U$836,20,0),"")</f>
        <v>3.2 ha/8h</v>
      </c>
      <c r="J217" s="464" t="s">
        <v>5344</v>
      </c>
      <c r="K217" s="740" t="s">
        <v>4158</v>
      </c>
      <c r="L217" s="741"/>
      <c r="M217" s="741"/>
      <c r="N217" s="692" t="str">
        <f>IFERROR(VLOOKUP(J217,'03. THIẾT BỊ'!$B$1:$U$836,4,0),"")</f>
        <v>ĐQSD</v>
      </c>
      <c r="O217" s="692" t="str">
        <f>IFERROR(VLOOKUP(J217,'03. THIẾT BỊ'!$B$1:$U$836,7,0),"")</f>
        <v>XN Bò AD</v>
      </c>
      <c r="P217" s="559" t="str">
        <f>IFERROR(VLOOKUP(O217,'NS QUẢN LÝ CG'!$A$4:$D$36,2,0),"")</f>
        <v>Trần Văn Nam</v>
      </c>
      <c r="Q217" s="559" t="str">
        <f>IFERROR(VLOOKUP(O217,'NS QUẢN LÝ CG'!$A$4:$D$36,4,0),"")</f>
        <v>Lô 28 XN Bò</v>
      </c>
      <c r="R217" s="559" t="str">
        <f>IFERROR(VLOOKUP(O217,'NS QUẢN LÝ CG'!$A$4:$C$36,3,0),"")</f>
        <v>0971993540</v>
      </c>
      <c r="S217" s="532" t="str">
        <f>IFERROR(VLOOKUP(J217,'03. THIẾT BỊ'!$B$1:$S$836,3,0),"")</f>
        <v>A22-DPC-003</v>
      </c>
      <c r="T217" s="693" t="str">
        <f t="shared" ref="T217:T271" si="5">SWITCH(LEFT(S217,3),"A22","ADM","A23","DP","A24","LP","")</f>
        <v>ADM</v>
      </c>
      <c r="U217" s="693"/>
    </row>
    <row r="218">
      <c r="A218" s="692"/>
      <c r="B218" s="694"/>
      <c r="C218" s="532" t="str">
        <f>IFERROR(VLOOKUP(J218,'03. THIẾT BỊ'!$B$1:$U$836,5,0),"")</f>
        <v>Thiết bị phay cỏ 1.5m</v>
      </c>
      <c r="D218" s="463">
        <v>1.0</v>
      </c>
      <c r="E218" s="692"/>
      <c r="F218" s="692"/>
      <c r="G218" s="692"/>
      <c r="H218" s="692">
        <f>IFERROR(VLOOKUP(J218,'03. THIẾT BỊ'!$B$1:$U$836,19,0),"")</f>
        <v>6.14</v>
      </c>
      <c r="I218" s="463" t="str">
        <f>IFERROR(VLOOKUP(J218,'03. THIẾT BỊ'!$B$1:$U$836,20,0),"")</f>
        <v>3.2 ha/8h</v>
      </c>
      <c r="J218" s="464" t="s">
        <v>5348</v>
      </c>
      <c r="K218" s="740" t="s">
        <v>4158</v>
      </c>
      <c r="L218" s="744"/>
      <c r="M218" s="744"/>
      <c r="N218" s="692" t="str">
        <f>IFERROR(VLOOKUP(J218,'03. THIẾT BỊ'!$B$1:$U$836,4,0),"")</f>
        <v>ĐQSD</v>
      </c>
      <c r="O218" s="692" t="str">
        <f>IFERROR(VLOOKUP(J218,'03. THIẾT BỊ'!$B$1:$U$836,7,0),"")</f>
        <v>XN Bò AD</v>
      </c>
      <c r="P218" s="559" t="str">
        <f>IFERROR(VLOOKUP(O218,'NS QUẢN LÝ CG'!$A$4:$D$36,2,0),"")</f>
        <v>Trần Văn Nam</v>
      </c>
      <c r="Q218" s="559" t="str">
        <f>IFERROR(VLOOKUP(O218,'NS QUẢN LÝ CG'!$A$4:$D$36,4,0),"")</f>
        <v>Lô 28 XN Bò</v>
      </c>
      <c r="R218" s="559" t="str">
        <f>IFERROR(VLOOKUP(O218,'NS QUẢN LÝ CG'!$A$4:$C$36,3,0),"")</f>
        <v>0971993540</v>
      </c>
      <c r="S218" s="532" t="str">
        <f>IFERROR(VLOOKUP(J218,'03. THIẾT BỊ'!$B$1:$S$836,3,0),"")</f>
        <v>A22-DPC-004</v>
      </c>
      <c r="T218" s="693" t="str">
        <f t="shared" si="5"/>
        <v>ADM</v>
      </c>
      <c r="U218" s="693"/>
    </row>
    <row r="219">
      <c r="A219" s="692"/>
      <c r="B219" s="694"/>
      <c r="C219" s="532" t="str">
        <f>IFERROR(VLOOKUP(J219,'03. THIẾT BỊ'!$B$1:$U$836,5,0),"")</f>
        <v>Thiết bị phay cỏ 1.5m</v>
      </c>
      <c r="D219" s="463">
        <v>1.0</v>
      </c>
      <c r="E219" s="692"/>
      <c r="F219" s="692"/>
      <c r="G219" s="692"/>
      <c r="H219" s="692">
        <f>IFERROR(VLOOKUP(J219,'03. THIẾT BỊ'!$B$1:$U$836,19,0),"")</f>
        <v>6.14</v>
      </c>
      <c r="I219" s="463" t="str">
        <f>IFERROR(VLOOKUP(J219,'03. THIẾT BỊ'!$B$1:$U$836,20,0),"")</f>
        <v>3.2 ha/8h</v>
      </c>
      <c r="J219" s="464" t="s">
        <v>5352</v>
      </c>
      <c r="K219" s="740" t="s">
        <v>4158</v>
      </c>
      <c r="L219" s="744"/>
      <c r="M219" s="744"/>
      <c r="N219" s="692" t="str">
        <f>IFERROR(VLOOKUP(J219,'03. THIẾT BỊ'!$B$1:$U$836,4,0),"")</f>
        <v>ĐQSD</v>
      </c>
      <c r="O219" s="692" t="str">
        <f>IFERROR(VLOOKUP(J219,'03. THIẾT BỊ'!$B$1:$U$836,7,0),"")</f>
        <v>XN Bò AD</v>
      </c>
      <c r="P219" s="559" t="str">
        <f>IFERROR(VLOOKUP(O219,'NS QUẢN LÝ CG'!$A$4:$D$36,2,0),"")</f>
        <v>Trần Văn Nam</v>
      </c>
      <c r="Q219" s="559" t="str">
        <f>IFERROR(VLOOKUP(O219,'NS QUẢN LÝ CG'!$A$4:$D$36,4,0),"")</f>
        <v>Lô 28 XN Bò</v>
      </c>
      <c r="R219" s="559" t="str">
        <f>IFERROR(VLOOKUP(O219,'NS QUẢN LÝ CG'!$A$4:$C$36,3,0),"")</f>
        <v>0971993540</v>
      </c>
      <c r="S219" s="532" t="str">
        <f>IFERROR(VLOOKUP(J219,'03. THIẾT BỊ'!$B$1:$S$836,3,0),"")</f>
        <v>A22-DPC-005</v>
      </c>
      <c r="T219" s="693" t="str">
        <f t="shared" si="5"/>
        <v>ADM</v>
      </c>
      <c r="U219" s="693"/>
    </row>
    <row r="220">
      <c r="A220" s="692"/>
      <c r="B220" s="694"/>
      <c r="C220" s="532" t="str">
        <f>IFERROR(VLOOKUP(J220,'03. THIẾT BỊ'!$B$1:$U$836,5,0),"")</f>
        <v>Thiết bị phay cỏ 1.5m</v>
      </c>
      <c r="D220" s="463">
        <v>1.0</v>
      </c>
      <c r="E220" s="692"/>
      <c r="F220" s="692"/>
      <c r="G220" s="692"/>
      <c r="H220" s="692">
        <f>IFERROR(VLOOKUP(J220,'03. THIẾT BỊ'!$B$1:$U$836,19,0),"")</f>
        <v>6.14</v>
      </c>
      <c r="I220" s="463" t="str">
        <f>IFERROR(VLOOKUP(J220,'03. THIẾT BỊ'!$B$1:$U$836,20,0),"")</f>
        <v>3.2 ha/8h</v>
      </c>
      <c r="J220" s="464" t="s">
        <v>5355</v>
      </c>
      <c r="K220" s="740" t="s">
        <v>4158</v>
      </c>
      <c r="L220" s="744"/>
      <c r="M220" s="744"/>
      <c r="N220" s="692" t="str">
        <f>IFERROR(VLOOKUP(J220,'03. THIẾT BỊ'!$B$1:$U$836,4,0),"")</f>
        <v>ĐQSD</v>
      </c>
      <c r="O220" s="692" t="str">
        <f>IFERROR(VLOOKUP(J220,'03. THIẾT BỊ'!$B$1:$U$836,7,0),"")</f>
        <v>XN Bò AD</v>
      </c>
      <c r="P220" s="559" t="str">
        <f>IFERROR(VLOOKUP(O220,'NS QUẢN LÝ CG'!$A$4:$D$36,2,0),"")</f>
        <v>Trần Văn Nam</v>
      </c>
      <c r="Q220" s="559" t="str">
        <f>IFERROR(VLOOKUP(O220,'NS QUẢN LÝ CG'!$A$4:$D$36,4,0),"")</f>
        <v>Lô 28 XN Bò</v>
      </c>
      <c r="R220" s="559" t="str">
        <f>IFERROR(VLOOKUP(O220,'NS QUẢN LÝ CG'!$A$4:$C$36,3,0),"")</f>
        <v>0971993540</v>
      </c>
      <c r="S220" s="532" t="str">
        <f>IFERROR(VLOOKUP(J220,'03. THIẾT BỊ'!$B$1:$S$836,3,0),"")</f>
        <v>A22-DPC-006</v>
      </c>
      <c r="T220" s="693" t="str">
        <f t="shared" si="5"/>
        <v>ADM</v>
      </c>
      <c r="U220" s="693"/>
    </row>
    <row r="221">
      <c r="A221" s="692"/>
      <c r="B221" s="694"/>
      <c r="C221" s="532" t="str">
        <f>IFERROR(VLOOKUP(J221,'03. THIẾT BỊ'!$B$1:$U$836,5,0),"")</f>
        <v>Thiết bị tề gốc cỏ 3.5m</v>
      </c>
      <c r="D221" s="463">
        <v>1.0</v>
      </c>
      <c r="E221" s="692"/>
      <c r="F221" s="692"/>
      <c r="G221" s="692"/>
      <c r="H221" s="692" t="str">
        <f>IFERROR(VLOOKUP(J221,'03. THIẾT BỊ'!$B$1:$U$836,19,0),"")</f>
        <v/>
      </c>
      <c r="I221" s="463" t="str">
        <f>IFERROR(VLOOKUP(J221,'03. THIẾT BỊ'!$B$1:$U$836,20,0),"")</f>
        <v/>
      </c>
      <c r="J221" s="464" t="s">
        <v>5547</v>
      </c>
      <c r="K221" s="740" t="s">
        <v>4158</v>
      </c>
      <c r="L221" s="744"/>
      <c r="M221" s="744"/>
      <c r="N221" s="692" t="str">
        <f>IFERROR(VLOOKUP(J221,'03. THIẾT BỊ'!$B$1:$U$836,4,0),"")</f>
        <v>MUA MỚI</v>
      </c>
      <c r="O221" s="692" t="str">
        <f>IFERROR(VLOOKUP(J221,'03. THIẾT BỊ'!$B$1:$U$836,7,0),"")</f>
        <v>XN Bò AD</v>
      </c>
      <c r="P221" s="559" t="str">
        <f>IFERROR(VLOOKUP(O221,'NS QUẢN LÝ CG'!$A$4:$D$36,2,0),"")</f>
        <v>Trần Văn Nam</v>
      </c>
      <c r="Q221" s="559" t="str">
        <f>IFERROR(VLOOKUP(O221,'NS QUẢN LÝ CG'!$A$4:$D$36,4,0),"")</f>
        <v>Lô 28 XN Bò</v>
      </c>
      <c r="R221" s="559" t="str">
        <f>IFERROR(VLOOKUP(O221,'NS QUẢN LÝ CG'!$A$4:$C$36,3,0),"")</f>
        <v>0971993540</v>
      </c>
      <c r="S221" s="532" t="str">
        <f>IFERROR(VLOOKUP(J221,'03. THIẾT BỊ'!$B$1:$S$836,3,0),"")</f>
        <v>A22-TGC-001</v>
      </c>
      <c r="T221" s="693" t="str">
        <f t="shared" si="5"/>
        <v>ADM</v>
      </c>
      <c r="U221" s="693"/>
    </row>
    <row r="222">
      <c r="A222" s="692"/>
      <c r="B222" s="694"/>
      <c r="C222" s="532" t="str">
        <f>IFERROR(VLOOKUP(J222,'03. THIẾT BỊ'!$B$1:$U$836,5,0),"")</f>
        <v>Thiết bị phay cỏ 1.5m</v>
      </c>
      <c r="D222" s="463">
        <v>1.0</v>
      </c>
      <c r="E222" s="692"/>
      <c r="F222" s="692"/>
      <c r="G222" s="692"/>
      <c r="H222" s="692">
        <f>IFERROR(VLOOKUP(J222,'03. THIẾT BỊ'!$B$1:$U$836,19,0),"")</f>
        <v>6.14</v>
      </c>
      <c r="I222" s="463" t="str">
        <f>IFERROR(VLOOKUP(J222,'03. THIẾT BỊ'!$B$1:$U$836,20,0),"")</f>
        <v>3.2 ha/8h</v>
      </c>
      <c r="J222" s="464" t="s">
        <v>5358</v>
      </c>
      <c r="K222" s="740" t="s">
        <v>4158</v>
      </c>
      <c r="L222" s="744"/>
      <c r="M222" s="744"/>
      <c r="N222" s="692" t="str">
        <f>IFERROR(VLOOKUP(J222,'03. THIẾT BỊ'!$B$1:$U$836,4,0),"")</f>
        <v>ĐQSD</v>
      </c>
      <c r="O222" s="692" t="str">
        <f>IFERROR(VLOOKUP(J222,'03. THIẾT BỊ'!$B$1:$U$836,7,0),"")</f>
        <v>XN Bò AD</v>
      </c>
      <c r="P222" s="559" t="str">
        <f>IFERROR(VLOOKUP(O222,'NS QUẢN LÝ CG'!$A$4:$D$36,2,0),"")</f>
        <v>Trần Văn Nam</v>
      </c>
      <c r="Q222" s="559" t="str">
        <f>IFERROR(VLOOKUP(O222,'NS QUẢN LÝ CG'!$A$4:$D$36,4,0),"")</f>
        <v>Lô 28 XN Bò</v>
      </c>
      <c r="R222" s="559" t="str">
        <f>IFERROR(VLOOKUP(O222,'NS QUẢN LÝ CG'!$A$4:$C$36,3,0),"")</f>
        <v>0971993540</v>
      </c>
      <c r="S222" s="532" t="str">
        <f>IFERROR(VLOOKUP(J222,'03. THIẾT BỊ'!$B$1:$S$836,3,0),"")</f>
        <v>A22-DPC-007</v>
      </c>
      <c r="T222" s="693" t="str">
        <f t="shared" si="5"/>
        <v>ADM</v>
      </c>
      <c r="U222" s="693"/>
    </row>
    <row r="223">
      <c r="A223" s="692"/>
      <c r="B223" s="694"/>
      <c r="C223" s="532" t="str">
        <f>IFERROR(VLOOKUP(J223,'03. THIẾT BỊ'!$B$1:$U$836,5,0),"")</f>
        <v>Thiết bị phay cỏ 1.5m</v>
      </c>
      <c r="D223" s="463">
        <v>1.0</v>
      </c>
      <c r="E223" s="692"/>
      <c r="F223" s="692"/>
      <c r="G223" s="692"/>
      <c r="H223" s="692">
        <f>IFERROR(VLOOKUP(J223,'03. THIẾT BỊ'!$B$1:$U$836,19,0),"")</f>
        <v>6.14</v>
      </c>
      <c r="I223" s="463" t="str">
        <f>IFERROR(VLOOKUP(J223,'03. THIẾT BỊ'!$B$1:$U$836,20,0),"")</f>
        <v>3.2 ha/8h</v>
      </c>
      <c r="J223" s="464" t="s">
        <v>5361</v>
      </c>
      <c r="K223" s="740" t="s">
        <v>4158</v>
      </c>
      <c r="L223" s="744"/>
      <c r="M223" s="744"/>
      <c r="N223" s="692" t="str">
        <f>IFERROR(VLOOKUP(J223,'03. THIẾT BỊ'!$B$1:$U$836,4,0),"")</f>
        <v>ĐQSD</v>
      </c>
      <c r="O223" s="692" t="str">
        <f>IFERROR(VLOOKUP(J223,'03. THIẾT BỊ'!$B$1:$U$836,7,0),"")</f>
        <v>XN Bò AD</v>
      </c>
      <c r="P223" s="559" t="str">
        <f>IFERROR(VLOOKUP(O223,'NS QUẢN LÝ CG'!$A$4:$D$36,2,0),"")</f>
        <v>Trần Văn Nam</v>
      </c>
      <c r="Q223" s="559" t="str">
        <f>IFERROR(VLOOKUP(O223,'NS QUẢN LÝ CG'!$A$4:$D$36,4,0),"")</f>
        <v>Lô 28 XN Bò</v>
      </c>
      <c r="R223" s="559" t="str">
        <f>IFERROR(VLOOKUP(O223,'NS QUẢN LÝ CG'!$A$4:$C$36,3,0),"")</f>
        <v>0971993540</v>
      </c>
      <c r="S223" s="532" t="str">
        <f>IFERROR(VLOOKUP(J223,'03. THIẾT BỊ'!$B$1:$S$836,3,0),"")</f>
        <v>A22-DPC-008</v>
      </c>
      <c r="T223" s="693" t="str">
        <f t="shared" si="5"/>
        <v>ADM</v>
      </c>
      <c r="U223" s="693"/>
    </row>
    <row r="224">
      <c r="A224" s="692"/>
      <c r="B224" s="694"/>
      <c r="C224" s="532" t="str">
        <f>IFERROR(VLOOKUP(J224,'03. THIẾT BỊ'!$B$1:$U$836,5,0),"")</f>
        <v>Thiết bị phay cỏ 1.5m</v>
      </c>
      <c r="D224" s="463">
        <v>1.0</v>
      </c>
      <c r="E224" s="692"/>
      <c r="F224" s="692"/>
      <c r="G224" s="692"/>
      <c r="H224" s="692">
        <f>IFERROR(VLOOKUP(J224,'03. THIẾT BỊ'!$B$1:$U$836,19,0),"")</f>
        <v>6.14</v>
      </c>
      <c r="I224" s="463" t="str">
        <f>IFERROR(VLOOKUP(J224,'03. THIẾT BỊ'!$B$1:$U$836,20,0),"")</f>
        <v>3.2 ha/8h</v>
      </c>
      <c r="J224" s="464" t="s">
        <v>5364</v>
      </c>
      <c r="K224" s="745"/>
      <c r="L224" s="746" t="s">
        <v>4158</v>
      </c>
      <c r="M224" s="744"/>
      <c r="N224" s="692" t="str">
        <f>IFERROR(VLOOKUP(J224,'03. THIẾT BỊ'!$B$1:$U$836,4,0),"")</f>
        <v>ĐQSD</v>
      </c>
      <c r="O224" s="692" t="str">
        <f>IFERROR(VLOOKUP(J224,'03. THIẾT BỊ'!$B$1:$U$836,7,0),"")</f>
        <v>XN Bò AD</v>
      </c>
      <c r="P224" s="559" t="str">
        <f>IFERROR(VLOOKUP(O224,'NS QUẢN LÝ CG'!$A$4:$D$36,2,0),"")</f>
        <v>Trần Văn Nam</v>
      </c>
      <c r="Q224" s="559" t="str">
        <f>IFERROR(VLOOKUP(O224,'NS QUẢN LÝ CG'!$A$4:$D$36,4,0),"")</f>
        <v>Lô 28 XN Bò</v>
      </c>
      <c r="R224" s="559" t="str">
        <f>IFERROR(VLOOKUP(O224,'NS QUẢN LÝ CG'!$A$4:$C$36,3,0),"")</f>
        <v>0971993540</v>
      </c>
      <c r="S224" s="532" t="str">
        <f>IFERROR(VLOOKUP(J224,'03. THIẾT BỊ'!$B$1:$S$836,3,0),"")</f>
        <v>A22-DPC-009</v>
      </c>
      <c r="T224" s="693" t="str">
        <f t="shared" si="5"/>
        <v>ADM</v>
      </c>
      <c r="U224" s="693"/>
    </row>
    <row r="225">
      <c r="A225" s="692"/>
      <c r="B225" s="694"/>
      <c r="C225" s="532" t="str">
        <f>IFERROR(VLOOKUP(J225,'03. THIẾT BỊ'!$B$1:$U$836,5,0),"")</f>
        <v>Thiết bị phay cỏ 1.5m</v>
      </c>
      <c r="D225" s="463">
        <v>1.0</v>
      </c>
      <c r="E225" s="692"/>
      <c r="F225" s="692"/>
      <c r="G225" s="692"/>
      <c r="H225" s="692">
        <f>IFERROR(VLOOKUP(J225,'03. THIẾT BỊ'!$B$1:$U$836,19,0),"")</f>
        <v>6.14</v>
      </c>
      <c r="I225" s="463" t="str">
        <f>IFERROR(VLOOKUP(J225,'03. THIẾT BỊ'!$B$1:$U$836,20,0),"")</f>
        <v>3.2 ha/8h</v>
      </c>
      <c r="J225" s="464" t="s">
        <v>5366</v>
      </c>
      <c r="K225" s="740" t="s">
        <v>4158</v>
      </c>
      <c r="L225" s="744"/>
      <c r="M225" s="744"/>
      <c r="N225" s="692" t="str">
        <f>IFERROR(VLOOKUP(J225,'03. THIẾT BỊ'!$B$1:$U$836,4,0),"")</f>
        <v>ĐQSD</v>
      </c>
      <c r="O225" s="692" t="str">
        <f>IFERROR(VLOOKUP(J225,'03. THIẾT BỊ'!$B$1:$U$836,7,0),"")</f>
        <v>XN Bò AD</v>
      </c>
      <c r="P225" s="559" t="str">
        <f>IFERROR(VLOOKUP(O225,'NS QUẢN LÝ CG'!$A$4:$D$36,2,0),"")</f>
        <v>Trần Văn Nam</v>
      </c>
      <c r="Q225" s="559" t="str">
        <f>IFERROR(VLOOKUP(O225,'NS QUẢN LÝ CG'!$A$4:$D$36,4,0),"")</f>
        <v>Lô 28 XN Bò</v>
      </c>
      <c r="R225" s="559" t="str">
        <f>IFERROR(VLOOKUP(O225,'NS QUẢN LÝ CG'!$A$4:$C$36,3,0),"")</f>
        <v>0971993540</v>
      </c>
      <c r="S225" s="532" t="str">
        <f>IFERROR(VLOOKUP(J225,'03. THIẾT BỊ'!$B$1:$S$836,3,0),"")</f>
        <v>A22-DPC-010</v>
      </c>
      <c r="T225" s="693" t="str">
        <f t="shared" si="5"/>
        <v>ADM</v>
      </c>
      <c r="U225" s="693"/>
    </row>
    <row r="226">
      <c r="A226" s="692"/>
      <c r="B226" s="694"/>
      <c r="C226" s="532" t="str">
        <f>IFERROR(VLOOKUP(J226,'03. THIẾT BỊ'!$B$1:$U$836,5,0),"")</f>
        <v>Rơ mooc thùng</v>
      </c>
      <c r="D226" s="463">
        <v>1.0</v>
      </c>
      <c r="E226" s="692"/>
      <c r="F226" s="692"/>
      <c r="G226" s="692"/>
      <c r="H226" s="692" t="str">
        <f>IFERROR(VLOOKUP(J226,'03. THIẾT BỊ'!$B$1:$U$836,19,0),"")</f>
        <v/>
      </c>
      <c r="I226" s="463" t="str">
        <f>IFERROR(VLOOKUP(J226,'03. THIẾT BỊ'!$B$1:$U$836,20,0),"")</f>
        <v/>
      </c>
      <c r="J226" s="464" t="s">
        <v>5074</v>
      </c>
      <c r="K226" s="740" t="s">
        <v>4158</v>
      </c>
      <c r="L226" s="744"/>
      <c r="M226" s="744"/>
      <c r="N226" s="692" t="str">
        <f>IFERROR(VLOOKUP(J226,'03. THIẾT BỊ'!$B$1:$U$836,4,0),"")</f>
        <v>ĐQSD</v>
      </c>
      <c r="O226" s="692" t="str">
        <f>IFERROR(VLOOKUP(J226,'03. THIẾT BỊ'!$B$1:$U$836,7,0),"")</f>
        <v>XN Bò AD</v>
      </c>
      <c r="P226" s="559" t="str">
        <f>IFERROR(VLOOKUP(O226,'NS QUẢN LÝ CG'!$A$4:$D$36,2,0),"")</f>
        <v>Trần Văn Nam</v>
      </c>
      <c r="Q226" s="559" t="str">
        <f>IFERROR(VLOOKUP(O226,'NS QUẢN LÝ CG'!$A$4:$D$36,4,0),"")</f>
        <v>Lô 28 XN Bò</v>
      </c>
      <c r="R226" s="559" t="str">
        <f>IFERROR(VLOOKUP(O226,'NS QUẢN LÝ CG'!$A$4:$C$36,3,0),"")</f>
        <v>0971993540</v>
      </c>
      <c r="S226" s="532" t="str">
        <f>IFERROR(VLOOKUP(J226,'03. THIẾT BỊ'!$B$1:$S$836,3,0),"")</f>
        <v/>
      </c>
      <c r="T226" s="693" t="str">
        <f t="shared" si="5"/>
        <v/>
      </c>
      <c r="U226" s="693"/>
    </row>
    <row r="227">
      <c r="A227" s="692"/>
      <c r="B227" s="694"/>
      <c r="C227" s="532" t="str">
        <f>IFERROR(VLOOKUP(J227,'03. THIẾT BỊ'!$B$1:$U$836,5,0),"")</f>
        <v>Rơ mooc thùng</v>
      </c>
      <c r="D227" s="463">
        <v>1.0</v>
      </c>
      <c r="E227" s="692"/>
      <c r="F227" s="692"/>
      <c r="G227" s="692"/>
      <c r="H227" s="692" t="str">
        <f>IFERROR(VLOOKUP(J227,'03. THIẾT BỊ'!$B$1:$U$836,19,0),"")</f>
        <v/>
      </c>
      <c r="I227" s="463" t="str">
        <f>IFERROR(VLOOKUP(J227,'03. THIẾT BỊ'!$B$1:$U$836,20,0),"")</f>
        <v/>
      </c>
      <c r="J227" s="464" t="s">
        <v>5078</v>
      </c>
      <c r="K227" s="745"/>
      <c r="L227" s="741"/>
      <c r="M227" s="746" t="s">
        <v>4158</v>
      </c>
      <c r="N227" s="692" t="str">
        <f>IFERROR(VLOOKUP(J227,'03. THIẾT BỊ'!$B$1:$U$836,4,0),"")</f>
        <v>ĐQSD</v>
      </c>
      <c r="O227" s="692" t="str">
        <f>IFERROR(VLOOKUP(J227,'03. THIẾT BỊ'!$B$1:$U$836,7,0),"")</f>
        <v>XN Bò AD</v>
      </c>
      <c r="P227" s="559" t="str">
        <f>IFERROR(VLOOKUP(O227,'NS QUẢN LÝ CG'!$A$4:$D$36,2,0),"")</f>
        <v>Trần Văn Nam</v>
      </c>
      <c r="Q227" s="559" t="str">
        <f>IFERROR(VLOOKUP(O227,'NS QUẢN LÝ CG'!$A$4:$D$36,4,0),"")</f>
        <v>Lô 28 XN Bò</v>
      </c>
      <c r="R227" s="559" t="str">
        <f>IFERROR(VLOOKUP(O227,'NS QUẢN LÝ CG'!$A$4:$C$36,3,0),"")</f>
        <v>0971993540</v>
      </c>
      <c r="S227" s="532" t="str">
        <f>IFERROR(VLOOKUP(J227,'03. THIẾT BỊ'!$B$1:$S$836,3,0),"")</f>
        <v/>
      </c>
      <c r="T227" s="693" t="str">
        <f t="shared" si="5"/>
        <v/>
      </c>
      <c r="U227" s="693"/>
    </row>
    <row r="228">
      <c r="A228" s="692"/>
      <c r="B228" s="694"/>
      <c r="C228" s="532" t="str">
        <f>IFERROR(VLOOKUP(J228,'03. THIẾT BỊ'!$B$1:$U$836,5,0),"")</f>
        <v>Rơ mooc thùng</v>
      </c>
      <c r="D228" s="463">
        <v>1.0</v>
      </c>
      <c r="E228" s="692"/>
      <c r="F228" s="692"/>
      <c r="G228" s="692"/>
      <c r="H228" s="692" t="str">
        <f>IFERROR(VLOOKUP(J228,'03. THIẾT BỊ'!$B$1:$U$836,19,0),"")</f>
        <v/>
      </c>
      <c r="I228" s="463" t="str">
        <f>IFERROR(VLOOKUP(J228,'03. THIẾT BỊ'!$B$1:$U$836,20,0),"")</f>
        <v/>
      </c>
      <c r="J228" s="464" t="s">
        <v>5079</v>
      </c>
      <c r="K228" s="745"/>
      <c r="L228" s="741"/>
      <c r="M228" s="746" t="s">
        <v>4158</v>
      </c>
      <c r="N228" s="692" t="str">
        <f>IFERROR(VLOOKUP(J228,'03. THIẾT BỊ'!$B$1:$U$836,4,0),"")</f>
        <v>ĐQSD</v>
      </c>
      <c r="O228" s="692" t="str">
        <f>IFERROR(VLOOKUP(J228,'03. THIẾT BỊ'!$B$1:$U$836,7,0),"")</f>
        <v>XN Bò AD</v>
      </c>
      <c r="P228" s="559" t="str">
        <f>IFERROR(VLOOKUP(O228,'NS QUẢN LÝ CG'!$A$4:$D$36,2,0),"")</f>
        <v>Trần Văn Nam</v>
      </c>
      <c r="Q228" s="559" t="str">
        <f>IFERROR(VLOOKUP(O228,'NS QUẢN LÝ CG'!$A$4:$D$36,4,0),"")</f>
        <v>Lô 28 XN Bò</v>
      </c>
      <c r="R228" s="559" t="str">
        <f>IFERROR(VLOOKUP(O228,'NS QUẢN LÝ CG'!$A$4:$C$36,3,0),"")</f>
        <v>0971993540</v>
      </c>
      <c r="S228" s="532" t="str">
        <f>IFERROR(VLOOKUP(J228,'03. THIẾT BỊ'!$B$1:$S$836,3,0),"")</f>
        <v/>
      </c>
      <c r="T228" s="693" t="str">
        <f t="shared" si="5"/>
        <v/>
      </c>
      <c r="U228" s="693"/>
    </row>
    <row r="229">
      <c r="A229" s="692"/>
      <c r="B229" s="694"/>
      <c r="C229" s="532" t="str">
        <f>IFERROR(VLOOKUP(J229,'03. THIẾT BỊ'!$B$1:$U$836,5,0),"")</f>
        <v>Rơ mooc thùng</v>
      </c>
      <c r="D229" s="463">
        <v>1.0</v>
      </c>
      <c r="E229" s="692"/>
      <c r="F229" s="692"/>
      <c r="G229" s="692"/>
      <c r="H229" s="692" t="str">
        <f>IFERROR(VLOOKUP(J229,'03. THIẾT BỊ'!$B$1:$U$836,19,0),"")</f>
        <v/>
      </c>
      <c r="I229" s="463" t="str">
        <f>IFERROR(VLOOKUP(J229,'03. THIẾT BỊ'!$B$1:$U$836,20,0),"")</f>
        <v/>
      </c>
      <c r="J229" s="464" t="s">
        <v>5080</v>
      </c>
      <c r="K229" s="740" t="s">
        <v>4158</v>
      </c>
      <c r="L229" s="744"/>
      <c r="M229" s="744"/>
      <c r="N229" s="692" t="str">
        <f>IFERROR(VLOOKUP(J229,'03. THIẾT BỊ'!$B$1:$U$836,4,0),"")</f>
        <v>ĐQSD</v>
      </c>
      <c r="O229" s="692" t="str">
        <f>IFERROR(VLOOKUP(J229,'03. THIẾT BỊ'!$B$1:$U$836,7,0),"")</f>
        <v>XN Bò AD</v>
      </c>
      <c r="P229" s="559" t="str">
        <f>IFERROR(VLOOKUP(O229,'NS QUẢN LÝ CG'!$A$4:$D$36,2,0),"")</f>
        <v>Trần Văn Nam</v>
      </c>
      <c r="Q229" s="559" t="str">
        <f>IFERROR(VLOOKUP(O229,'NS QUẢN LÝ CG'!$A$4:$D$36,4,0),"")</f>
        <v>Lô 28 XN Bò</v>
      </c>
      <c r="R229" s="559" t="str">
        <f>IFERROR(VLOOKUP(O229,'NS QUẢN LÝ CG'!$A$4:$C$36,3,0),"")</f>
        <v>0971993540</v>
      </c>
      <c r="S229" s="532" t="str">
        <f>IFERROR(VLOOKUP(J229,'03. THIẾT BỊ'!$B$1:$S$836,3,0),"")</f>
        <v/>
      </c>
      <c r="T229" s="693" t="str">
        <f t="shared" si="5"/>
        <v/>
      </c>
      <c r="U229" s="693"/>
    </row>
    <row r="230">
      <c r="A230" s="692"/>
      <c r="B230" s="694"/>
      <c r="C230" s="532" t="str">
        <f>IFERROR(VLOOKUP(J230,'03. THIẾT BỊ'!$B$1:$U$836,5,0),"")</f>
        <v>Rơ mooc đi cùng shibaura</v>
      </c>
      <c r="D230" s="463">
        <v>1.0</v>
      </c>
      <c r="E230" s="692"/>
      <c r="F230" s="692"/>
      <c r="G230" s="692"/>
      <c r="H230" s="692" t="str">
        <f>IFERROR(VLOOKUP(J230,'03. THIẾT BỊ'!$B$1:$U$836,19,0),"")</f>
        <v/>
      </c>
      <c r="I230" s="463" t="str">
        <f>IFERROR(VLOOKUP(J230,'03. THIẾT BỊ'!$B$1:$U$836,20,0),"")</f>
        <v/>
      </c>
      <c r="J230" s="464" t="s">
        <v>5081</v>
      </c>
      <c r="K230" s="740" t="s">
        <v>4158</v>
      </c>
      <c r="L230" s="744"/>
      <c r="M230" s="744"/>
      <c r="N230" s="692" t="str">
        <f>IFERROR(VLOOKUP(J230,'03. THIẾT BỊ'!$B$1:$U$836,4,0),"")</f>
        <v>ĐQSD</v>
      </c>
      <c r="O230" s="692" t="str">
        <f>IFERROR(VLOOKUP(J230,'03. THIẾT BỊ'!$B$1:$U$836,7,0),"")</f>
        <v>XN Bò AD</v>
      </c>
      <c r="P230" s="559" t="str">
        <f>IFERROR(VLOOKUP(O230,'NS QUẢN LÝ CG'!$A$4:$D$36,2,0),"")</f>
        <v>Trần Văn Nam</v>
      </c>
      <c r="Q230" s="559" t="str">
        <f>IFERROR(VLOOKUP(O230,'NS QUẢN LÝ CG'!$A$4:$D$36,4,0),"")</f>
        <v>Lô 28 XN Bò</v>
      </c>
      <c r="R230" s="559" t="str">
        <f>IFERROR(VLOOKUP(O230,'NS QUẢN LÝ CG'!$A$4:$C$36,3,0),"")</f>
        <v>0971993540</v>
      </c>
      <c r="S230" s="532" t="str">
        <f>IFERROR(VLOOKUP(J230,'03. THIẾT BỊ'!$B$1:$S$836,3,0),"")</f>
        <v/>
      </c>
      <c r="T230" s="693" t="str">
        <f t="shared" si="5"/>
        <v/>
      </c>
      <c r="U230" s="693"/>
    </row>
    <row r="231">
      <c r="A231" s="692"/>
      <c r="B231" s="694"/>
      <c r="C231" s="532" t="str">
        <f>IFERROR(VLOOKUP(J231,'03. THIẾT BỊ'!$B$1:$U$836,5,0),"")</f>
        <v>Rơ mooc vận chuyển M.đào 03</v>
      </c>
      <c r="D231" s="463">
        <v>1.0</v>
      </c>
      <c r="E231" s="692"/>
      <c r="F231" s="692"/>
      <c r="G231" s="692"/>
      <c r="H231" s="692" t="str">
        <f>IFERROR(VLOOKUP(J231,'03. THIẾT BỊ'!$B$1:$U$836,19,0),"")</f>
        <v/>
      </c>
      <c r="I231" s="463" t="str">
        <f>IFERROR(VLOOKUP(J231,'03. THIẾT BỊ'!$B$1:$U$836,20,0),"")</f>
        <v/>
      </c>
      <c r="J231" s="464" t="s">
        <v>5110</v>
      </c>
      <c r="K231" s="740" t="s">
        <v>4158</v>
      </c>
      <c r="L231" s="744"/>
      <c r="M231" s="744"/>
      <c r="N231" s="692" t="str">
        <f>IFERROR(VLOOKUP(J231,'03. THIẾT BỊ'!$B$1:$U$836,4,0),"")</f>
        <v>ĐQSD</v>
      </c>
      <c r="O231" s="692" t="str">
        <f>IFERROR(VLOOKUP(J231,'03. THIẾT BỊ'!$B$1:$U$836,7,0),"")</f>
        <v>XN Bò AD</v>
      </c>
      <c r="P231" s="559" t="str">
        <f>IFERROR(VLOOKUP(O231,'NS QUẢN LÝ CG'!$A$4:$D$36,2,0),"")</f>
        <v>Trần Văn Nam</v>
      </c>
      <c r="Q231" s="559" t="str">
        <f>IFERROR(VLOOKUP(O231,'NS QUẢN LÝ CG'!$A$4:$D$36,4,0),"")</f>
        <v>Lô 28 XN Bò</v>
      </c>
      <c r="R231" s="559" t="str">
        <f>IFERROR(VLOOKUP(O231,'NS QUẢN LÝ CG'!$A$4:$C$36,3,0),"")</f>
        <v>0971993540</v>
      </c>
      <c r="S231" s="532" t="str">
        <f>IFERROR(VLOOKUP(J231,'03. THIẾT BỊ'!$B$1:$S$836,3,0),"")</f>
        <v>A22-RMD-001</v>
      </c>
      <c r="T231" s="693" t="str">
        <f t="shared" si="5"/>
        <v>ADM</v>
      </c>
      <c r="U231" s="693"/>
    </row>
    <row r="232">
      <c r="A232" s="692"/>
      <c r="B232" s="694"/>
      <c r="C232" s="532" t="str">
        <f>IFERROR(VLOOKUP(J232,'03. THIẾT BỊ'!$B$1:$U$836,5,0),"")</f>
        <v>Rơ mooc thùng ben</v>
      </c>
      <c r="D232" s="463">
        <v>1.0</v>
      </c>
      <c r="E232" s="692"/>
      <c r="F232" s="692"/>
      <c r="G232" s="692"/>
      <c r="H232" s="692" t="str">
        <f>IFERROR(VLOOKUP(J232,'03. THIẾT BỊ'!$B$1:$U$836,19,0),"")</f>
        <v/>
      </c>
      <c r="I232" s="463" t="str">
        <f>IFERROR(VLOOKUP(J232,'03. THIẾT BỊ'!$B$1:$U$836,20,0),"")</f>
        <v/>
      </c>
      <c r="J232" s="464" t="s">
        <v>5092</v>
      </c>
      <c r="K232" s="740" t="s">
        <v>4158</v>
      </c>
      <c r="L232" s="744"/>
      <c r="M232" s="744"/>
      <c r="N232" s="692" t="str">
        <f>IFERROR(VLOOKUP(J232,'03. THIẾT BỊ'!$B$1:$U$836,4,0),"")</f>
        <v>ĐQSD</v>
      </c>
      <c r="O232" s="692" t="str">
        <f>IFERROR(VLOOKUP(J232,'03. THIẾT BỊ'!$B$1:$U$836,7,0),"")</f>
        <v>XN Bò AD</v>
      </c>
      <c r="P232" s="559" t="str">
        <f>IFERROR(VLOOKUP(O232,'NS QUẢN LÝ CG'!$A$4:$D$36,2,0),"")</f>
        <v>Trần Văn Nam</v>
      </c>
      <c r="Q232" s="559" t="str">
        <f>IFERROR(VLOOKUP(O232,'NS QUẢN LÝ CG'!$A$4:$D$36,4,0),"")</f>
        <v>Lô 28 XN Bò</v>
      </c>
      <c r="R232" s="559" t="str">
        <f>IFERROR(VLOOKUP(O232,'NS QUẢN LÝ CG'!$A$4:$C$36,3,0),"")</f>
        <v>0971993540</v>
      </c>
      <c r="S232" s="532" t="str">
        <f>IFERROR(VLOOKUP(J232,'03. THIẾT BỊ'!$B$1:$S$836,3,0),"")</f>
        <v>A22-RMB-001</v>
      </c>
      <c r="T232" s="693" t="str">
        <f t="shared" si="5"/>
        <v>ADM</v>
      </c>
      <c r="U232" s="693"/>
    </row>
    <row r="233">
      <c r="A233" s="692"/>
      <c r="B233" s="694"/>
      <c r="C233" s="532" t="str">
        <f>IFERROR(VLOOKUP(J233,'03. THIẾT BỊ'!$B$1:$U$836,5,0),"")</f>
        <v>Rơ mooc thùng ben</v>
      </c>
      <c r="D233" s="463">
        <v>1.0</v>
      </c>
      <c r="E233" s="692"/>
      <c r="F233" s="692"/>
      <c r="G233" s="692"/>
      <c r="H233" s="692" t="str">
        <f>IFERROR(VLOOKUP(J233,'03. THIẾT BỊ'!$B$1:$U$836,19,0),"")</f>
        <v/>
      </c>
      <c r="I233" s="463" t="str">
        <f>IFERROR(VLOOKUP(J233,'03. THIẾT BỊ'!$B$1:$U$836,20,0),"")</f>
        <v/>
      </c>
      <c r="J233" s="464" t="s">
        <v>5095</v>
      </c>
      <c r="K233" s="740" t="s">
        <v>4158</v>
      </c>
      <c r="L233" s="744"/>
      <c r="M233" s="744"/>
      <c r="N233" s="692" t="str">
        <f>IFERROR(VLOOKUP(J233,'03. THIẾT BỊ'!$B$1:$U$836,4,0),"")</f>
        <v>ĐQSD</v>
      </c>
      <c r="O233" s="692" t="str">
        <f>IFERROR(VLOOKUP(J233,'03. THIẾT BỊ'!$B$1:$U$836,7,0),"")</f>
        <v>XN Bò AD</v>
      </c>
      <c r="P233" s="559" t="str">
        <f>IFERROR(VLOOKUP(O233,'NS QUẢN LÝ CG'!$A$4:$D$36,2,0),"")</f>
        <v>Trần Văn Nam</v>
      </c>
      <c r="Q233" s="559" t="str">
        <f>IFERROR(VLOOKUP(O233,'NS QUẢN LÝ CG'!$A$4:$D$36,4,0),"")</f>
        <v>Lô 28 XN Bò</v>
      </c>
      <c r="R233" s="559" t="str">
        <f>IFERROR(VLOOKUP(O233,'NS QUẢN LÝ CG'!$A$4:$C$36,3,0),"")</f>
        <v>0971993540</v>
      </c>
      <c r="S233" s="532" t="str">
        <f>IFERROR(VLOOKUP(J233,'03. THIẾT BỊ'!$B$1:$S$836,3,0),"")</f>
        <v>A22-RMB-002</v>
      </c>
      <c r="T233" s="693" t="str">
        <f t="shared" si="5"/>
        <v>ADM</v>
      </c>
      <c r="U233" s="693"/>
    </row>
    <row r="234">
      <c r="A234" s="692"/>
      <c r="B234" s="694"/>
      <c r="C234" s="532" t="str">
        <f>IFERROR(VLOOKUP(J234,'03. THIẾT BỊ'!$B$1:$U$836,5,0),"")</f>
        <v>Rơ mooc lưới</v>
      </c>
      <c r="D234" s="463">
        <v>1.0</v>
      </c>
      <c r="E234" s="692"/>
      <c r="F234" s="692"/>
      <c r="G234" s="692"/>
      <c r="H234" s="692" t="str">
        <f>IFERROR(VLOOKUP(J234,'03. THIẾT BỊ'!$B$1:$U$836,19,0),"")</f>
        <v/>
      </c>
      <c r="I234" s="463" t="str">
        <f>IFERROR(VLOOKUP(J234,'03. THIẾT BỊ'!$B$1:$U$836,20,0),"")</f>
        <v/>
      </c>
      <c r="J234" s="464" t="s">
        <v>5098</v>
      </c>
      <c r="K234" s="745"/>
      <c r="L234" s="741"/>
      <c r="M234" s="746" t="s">
        <v>4158</v>
      </c>
      <c r="N234" s="692" t="str">
        <f>IFERROR(VLOOKUP(J234,'03. THIẾT BỊ'!$B$1:$U$836,4,0),"")</f>
        <v>ĐQSD</v>
      </c>
      <c r="O234" s="692" t="str">
        <f>IFERROR(VLOOKUP(J234,'03. THIẾT BỊ'!$B$1:$U$836,7,0),"")</f>
        <v>XN Bò AD</v>
      </c>
      <c r="P234" s="559" t="str">
        <f>IFERROR(VLOOKUP(O234,'NS QUẢN LÝ CG'!$A$4:$D$36,2,0),"")</f>
        <v>Trần Văn Nam</v>
      </c>
      <c r="Q234" s="559" t="str">
        <f>IFERROR(VLOOKUP(O234,'NS QUẢN LÝ CG'!$A$4:$D$36,4,0),"")</f>
        <v>Lô 28 XN Bò</v>
      </c>
      <c r="R234" s="559" t="str">
        <f>IFERROR(VLOOKUP(O234,'NS QUẢN LÝ CG'!$A$4:$C$36,3,0),"")</f>
        <v>0971993540</v>
      </c>
      <c r="S234" s="532" t="str">
        <f>IFERROR(VLOOKUP(J234,'03. THIẾT BỊ'!$B$1:$S$836,3,0),"")</f>
        <v/>
      </c>
      <c r="T234" s="693" t="str">
        <f t="shared" si="5"/>
        <v/>
      </c>
      <c r="U234" s="693"/>
    </row>
    <row r="235">
      <c r="A235" s="692"/>
      <c r="B235" s="694"/>
      <c r="C235" s="532" t="str">
        <f>IFERROR(VLOOKUP(J235,'03. THIẾT BỊ'!$B$1:$U$836,5,0),"")</f>
        <v>Rơ mooc lưới</v>
      </c>
      <c r="D235" s="463">
        <v>1.0</v>
      </c>
      <c r="E235" s="692"/>
      <c r="F235" s="692"/>
      <c r="G235" s="692"/>
      <c r="H235" s="692" t="str">
        <f>IFERROR(VLOOKUP(J235,'03. THIẾT BỊ'!$B$1:$U$836,19,0),"")</f>
        <v/>
      </c>
      <c r="I235" s="463" t="str">
        <f>IFERROR(VLOOKUP(J235,'03. THIẾT BỊ'!$B$1:$U$836,20,0),"")</f>
        <v/>
      </c>
      <c r="J235" s="464" t="s">
        <v>5099</v>
      </c>
      <c r="K235" s="745"/>
      <c r="L235" s="741"/>
      <c r="M235" s="746" t="s">
        <v>4158</v>
      </c>
      <c r="N235" s="692" t="str">
        <f>IFERROR(VLOOKUP(J235,'03. THIẾT BỊ'!$B$1:$U$836,4,0),"")</f>
        <v>ĐQSD</v>
      </c>
      <c r="O235" s="692" t="str">
        <f>IFERROR(VLOOKUP(J235,'03. THIẾT BỊ'!$B$1:$U$836,7,0),"")</f>
        <v>XN Bò AD</v>
      </c>
      <c r="P235" s="559" t="str">
        <f>IFERROR(VLOOKUP(O235,'NS QUẢN LÝ CG'!$A$4:$D$36,2,0),"")</f>
        <v>Trần Văn Nam</v>
      </c>
      <c r="Q235" s="559" t="str">
        <f>IFERROR(VLOOKUP(O235,'NS QUẢN LÝ CG'!$A$4:$D$36,4,0),"")</f>
        <v>Lô 28 XN Bò</v>
      </c>
      <c r="R235" s="559" t="str">
        <f>IFERROR(VLOOKUP(O235,'NS QUẢN LÝ CG'!$A$4:$C$36,3,0),"")</f>
        <v>0971993540</v>
      </c>
      <c r="S235" s="532" t="str">
        <f>IFERROR(VLOOKUP(J235,'03. THIẾT BỊ'!$B$1:$S$836,3,0),"")</f>
        <v/>
      </c>
      <c r="T235" s="693" t="str">
        <f t="shared" si="5"/>
        <v/>
      </c>
      <c r="U235" s="693"/>
    </row>
    <row r="236">
      <c r="A236" s="692"/>
      <c r="B236" s="694"/>
      <c r="C236" s="532" t="str">
        <f>IFERROR(VLOOKUP(J236,'03. THIẾT BỊ'!$B$1:$U$836,5,0),"")</f>
        <v>Rơ mooc lưới</v>
      </c>
      <c r="D236" s="463">
        <v>1.0</v>
      </c>
      <c r="E236" s="692"/>
      <c r="F236" s="692"/>
      <c r="G236" s="692"/>
      <c r="H236" s="692" t="str">
        <f>IFERROR(VLOOKUP(J236,'03. THIẾT BỊ'!$B$1:$U$836,19,0),"")</f>
        <v/>
      </c>
      <c r="I236" s="463" t="str">
        <f>IFERROR(VLOOKUP(J236,'03. THIẾT BỊ'!$B$1:$U$836,20,0),"")</f>
        <v/>
      </c>
      <c r="J236" s="464" t="s">
        <v>5100</v>
      </c>
      <c r="K236" s="745"/>
      <c r="L236" s="741"/>
      <c r="M236" s="746" t="s">
        <v>4158</v>
      </c>
      <c r="N236" s="692" t="str">
        <f>IFERROR(VLOOKUP(J236,'03. THIẾT BỊ'!$B$1:$U$836,4,0),"")</f>
        <v>ĐQSD</v>
      </c>
      <c r="O236" s="692" t="str">
        <f>IFERROR(VLOOKUP(J236,'03. THIẾT BỊ'!$B$1:$U$836,7,0),"")</f>
        <v>XN Bò AD</v>
      </c>
      <c r="P236" s="559" t="str">
        <f>IFERROR(VLOOKUP(O236,'NS QUẢN LÝ CG'!$A$4:$D$36,2,0),"")</f>
        <v>Trần Văn Nam</v>
      </c>
      <c r="Q236" s="559" t="str">
        <f>IFERROR(VLOOKUP(O236,'NS QUẢN LÝ CG'!$A$4:$D$36,4,0),"")</f>
        <v>Lô 28 XN Bò</v>
      </c>
      <c r="R236" s="559" t="str">
        <f>IFERROR(VLOOKUP(O236,'NS QUẢN LÝ CG'!$A$4:$C$36,3,0),"")</f>
        <v>0971993540</v>
      </c>
      <c r="S236" s="532" t="str">
        <f>IFERROR(VLOOKUP(J236,'03. THIẾT BỊ'!$B$1:$S$836,3,0),"")</f>
        <v/>
      </c>
      <c r="T236" s="693" t="str">
        <f t="shared" si="5"/>
        <v/>
      </c>
      <c r="U236" s="693"/>
    </row>
    <row r="237">
      <c r="A237" s="692"/>
      <c r="B237" s="694"/>
      <c r="C237" s="532" t="str">
        <f>IFERROR(VLOOKUP(J237,'03. THIẾT BỊ'!$B$1:$U$836,5,0),"")</f>
        <v>Rơ mooc lưới</v>
      </c>
      <c r="D237" s="463">
        <v>1.0</v>
      </c>
      <c r="E237" s="692"/>
      <c r="F237" s="692"/>
      <c r="G237" s="692"/>
      <c r="H237" s="692" t="str">
        <f>IFERROR(VLOOKUP(J237,'03. THIẾT BỊ'!$B$1:$U$836,19,0),"")</f>
        <v/>
      </c>
      <c r="I237" s="463" t="str">
        <f>IFERROR(VLOOKUP(J237,'03. THIẾT BỊ'!$B$1:$U$836,20,0),"")</f>
        <v/>
      </c>
      <c r="J237" s="464" t="s">
        <v>5101</v>
      </c>
      <c r="K237" s="745"/>
      <c r="L237" s="741"/>
      <c r="M237" s="746" t="s">
        <v>4158</v>
      </c>
      <c r="N237" s="692" t="str">
        <f>IFERROR(VLOOKUP(J237,'03. THIẾT BỊ'!$B$1:$U$836,4,0),"")</f>
        <v>ĐQSD</v>
      </c>
      <c r="O237" s="692" t="str">
        <f>IFERROR(VLOOKUP(J237,'03. THIẾT BỊ'!$B$1:$U$836,7,0),"")</f>
        <v>XN Bò AD</v>
      </c>
      <c r="P237" s="559" t="str">
        <f>IFERROR(VLOOKUP(O237,'NS QUẢN LÝ CG'!$A$4:$D$36,2,0),"")</f>
        <v>Trần Văn Nam</v>
      </c>
      <c r="Q237" s="559" t="str">
        <f>IFERROR(VLOOKUP(O237,'NS QUẢN LÝ CG'!$A$4:$D$36,4,0),"")</f>
        <v>Lô 28 XN Bò</v>
      </c>
      <c r="R237" s="559" t="str">
        <f>IFERROR(VLOOKUP(O237,'NS QUẢN LÝ CG'!$A$4:$C$36,3,0),"")</f>
        <v>0971993540</v>
      </c>
      <c r="S237" s="532" t="str">
        <f>IFERROR(VLOOKUP(J237,'03. THIẾT BỊ'!$B$1:$S$836,3,0),"")</f>
        <v/>
      </c>
      <c r="T237" s="693" t="str">
        <f t="shared" si="5"/>
        <v/>
      </c>
      <c r="U237" s="693"/>
    </row>
    <row r="238">
      <c r="A238" s="692"/>
      <c r="B238" s="694"/>
      <c r="C238" s="532" t="str">
        <f>IFERROR(VLOOKUP(J238,'03. THIẾT BỊ'!$B$1:$U$836,5,0),"")</f>
        <v>Rơ mooc clethon</v>
      </c>
      <c r="D238" s="463">
        <v>1.0</v>
      </c>
      <c r="E238" s="692"/>
      <c r="F238" s="692"/>
      <c r="G238" s="692"/>
      <c r="H238" s="692" t="str">
        <f>IFERROR(VLOOKUP(J238,'03. THIẾT BỊ'!$B$1:$U$836,19,0),"")</f>
        <v/>
      </c>
      <c r="I238" s="463" t="str">
        <f>IFERROR(VLOOKUP(J238,'03. THIẾT BỊ'!$B$1:$U$836,20,0),"")</f>
        <v/>
      </c>
      <c r="J238" s="464" t="s">
        <v>5375</v>
      </c>
      <c r="K238" s="740" t="s">
        <v>4158</v>
      </c>
      <c r="L238" s="744"/>
      <c r="M238" s="744"/>
      <c r="N238" s="692" t="str">
        <f>IFERROR(VLOOKUP(J238,'03. THIẾT BỊ'!$B$1:$U$836,4,0),"")</f>
        <v>ĐQSD</v>
      </c>
      <c r="O238" s="692" t="str">
        <f>IFERROR(VLOOKUP(J238,'03. THIẾT BỊ'!$B$1:$U$836,7,0),"")</f>
        <v>XN Bò AD</v>
      </c>
      <c r="P238" s="559" t="str">
        <f>IFERROR(VLOOKUP(O238,'NS QUẢN LÝ CG'!$A$4:$D$36,2,0),"")</f>
        <v>Trần Văn Nam</v>
      </c>
      <c r="Q238" s="559" t="str">
        <f>IFERROR(VLOOKUP(O238,'NS QUẢN LÝ CG'!$A$4:$D$36,4,0),"")</f>
        <v>Lô 28 XN Bò</v>
      </c>
      <c r="R238" s="559" t="str">
        <f>IFERROR(VLOOKUP(O238,'NS QUẢN LÝ CG'!$A$4:$C$36,3,0),"")</f>
        <v>0971993540</v>
      </c>
      <c r="S238" s="532" t="str">
        <f>IFERROR(VLOOKUP(J238,'03. THIẾT BỊ'!$B$1:$S$836,3,0),"")</f>
        <v>A22-MCL-001</v>
      </c>
      <c r="T238" s="693" t="str">
        <f t="shared" si="5"/>
        <v>ADM</v>
      </c>
      <c r="U238" s="693"/>
    </row>
    <row r="239">
      <c r="A239" s="692"/>
      <c r="B239" s="694"/>
      <c r="C239" s="532" t="str">
        <f>IFERROR(VLOOKUP(J239,'03. THIẾT BỊ'!$B$1:$U$836,5,0),"")</f>
        <v>Rơ mooc clethon</v>
      </c>
      <c r="D239" s="463">
        <v>1.0</v>
      </c>
      <c r="E239" s="692"/>
      <c r="F239" s="692"/>
      <c r="G239" s="692"/>
      <c r="H239" s="692" t="str">
        <f>IFERROR(VLOOKUP(J239,'03. THIẾT BỊ'!$B$1:$U$836,19,0),"")</f>
        <v/>
      </c>
      <c r="I239" s="463" t="str">
        <f>IFERROR(VLOOKUP(J239,'03. THIẾT BỊ'!$B$1:$U$836,20,0),"")</f>
        <v/>
      </c>
      <c r="J239" s="464" t="s">
        <v>5379</v>
      </c>
      <c r="K239" s="740" t="s">
        <v>4158</v>
      </c>
      <c r="L239" s="744"/>
      <c r="M239" s="744"/>
      <c r="N239" s="692" t="str">
        <f>IFERROR(VLOOKUP(J239,'03. THIẾT BỊ'!$B$1:$U$836,4,0),"")</f>
        <v>ĐQSD</v>
      </c>
      <c r="O239" s="692" t="str">
        <f>IFERROR(VLOOKUP(J239,'03. THIẾT BỊ'!$B$1:$U$836,7,0),"")</f>
        <v>XN Bò AD</v>
      </c>
      <c r="P239" s="559" t="str">
        <f>IFERROR(VLOOKUP(O239,'NS QUẢN LÝ CG'!$A$4:$D$36,2,0),"")</f>
        <v>Trần Văn Nam</v>
      </c>
      <c r="Q239" s="559" t="str">
        <f>IFERROR(VLOOKUP(O239,'NS QUẢN LÝ CG'!$A$4:$D$36,4,0),"")</f>
        <v>Lô 28 XN Bò</v>
      </c>
      <c r="R239" s="559" t="str">
        <f>IFERROR(VLOOKUP(O239,'NS QUẢN LÝ CG'!$A$4:$C$36,3,0),"")</f>
        <v>0971993540</v>
      </c>
      <c r="S239" s="532" t="str">
        <f>IFERROR(VLOOKUP(J239,'03. THIẾT BỊ'!$B$1:$S$836,3,0),"")</f>
        <v>A22-MCL-002</v>
      </c>
      <c r="T239" s="693" t="str">
        <f t="shared" si="5"/>
        <v>ADM</v>
      </c>
      <c r="U239" s="693"/>
    </row>
    <row r="240">
      <c r="A240" s="692"/>
      <c r="B240" s="694"/>
      <c r="C240" s="532" t="str">
        <f>IFERROR(VLOOKUP(J240,'03. THIẾT BỊ'!$B$1:$U$836,5,0),"")</f>
        <v>Thiết bị rạch hàng bón phân vô cơ (6 hàng)</v>
      </c>
      <c r="D240" s="463">
        <v>1.0</v>
      </c>
      <c r="E240" s="692"/>
      <c r="F240" s="692"/>
      <c r="G240" s="692"/>
      <c r="H240" s="692" t="str">
        <f>IFERROR(VLOOKUP(J240,'03. THIẾT BỊ'!$B$1:$U$836,19,0),"")</f>
        <v/>
      </c>
      <c r="I240" s="463" t="str">
        <f>IFERROR(VLOOKUP(J240,'03. THIẾT BỊ'!$B$1:$U$836,20,0),"")</f>
        <v/>
      </c>
      <c r="J240" s="464" t="s">
        <v>5503</v>
      </c>
      <c r="K240" s="740" t="s">
        <v>4158</v>
      </c>
      <c r="L240" s="744"/>
      <c r="M240" s="744"/>
      <c r="N240" s="692" t="str">
        <f>IFERROR(VLOOKUP(J240,'03. THIẾT BỊ'!$B$1:$U$836,4,0),"")</f>
        <v>MUA MỚI</v>
      </c>
      <c r="O240" s="692" t="str">
        <f>IFERROR(VLOOKUP(J240,'03. THIẾT BỊ'!$B$1:$U$836,7,0),"")</f>
        <v>XN Bò AD</v>
      </c>
      <c r="P240" s="559" t="str">
        <f>IFERROR(VLOOKUP(O240,'NS QUẢN LÝ CG'!$A$4:$D$36,2,0),"")</f>
        <v>Trần Văn Nam</v>
      </c>
      <c r="Q240" s="559" t="str">
        <f>IFERROR(VLOOKUP(O240,'NS QUẢN LÝ CG'!$A$4:$D$36,4,0),"")</f>
        <v>Lô 28 XN Bò</v>
      </c>
      <c r="R240" s="559" t="str">
        <f>IFERROR(VLOOKUP(O240,'NS QUẢN LÝ CG'!$A$4:$C$36,3,0),"")</f>
        <v>0971993540</v>
      </c>
      <c r="S240" s="532" t="str">
        <f>IFERROR(VLOOKUP(J240,'03. THIẾT BỊ'!$B$1:$S$836,3,0),"")</f>
        <v>A22-RBP-001</v>
      </c>
      <c r="T240" s="693" t="str">
        <f t="shared" si="5"/>
        <v>ADM</v>
      </c>
      <c r="U240" s="693"/>
    </row>
    <row r="241">
      <c r="A241" s="692"/>
      <c r="B241" s="694"/>
      <c r="C241" s="532" t="str">
        <f>IFERROR(VLOOKUP(J241,'03. THIẾT BỊ'!$B$1:$U$836,5,0),"")</f>
        <v>Thiết bị rạch hàng bón phân vô cơ (6 hàng)</v>
      </c>
      <c r="D241" s="463">
        <v>1.0</v>
      </c>
      <c r="E241" s="692"/>
      <c r="F241" s="692"/>
      <c r="G241" s="692"/>
      <c r="H241" s="692" t="str">
        <f>IFERROR(VLOOKUP(J241,'03. THIẾT BỊ'!$B$1:$U$836,19,0),"")</f>
        <v/>
      </c>
      <c r="I241" s="463" t="str">
        <f>IFERROR(VLOOKUP(J241,'03. THIẾT BỊ'!$B$1:$U$836,20,0),"")</f>
        <v/>
      </c>
      <c r="J241" s="464" t="s">
        <v>5506</v>
      </c>
      <c r="K241" s="740" t="s">
        <v>4158</v>
      </c>
      <c r="L241" s="744"/>
      <c r="M241" s="744"/>
      <c r="N241" s="692" t="str">
        <f>IFERROR(VLOOKUP(J241,'03. THIẾT BỊ'!$B$1:$U$836,4,0),"")</f>
        <v>MUA MỚI</v>
      </c>
      <c r="O241" s="692" t="str">
        <f>IFERROR(VLOOKUP(J241,'03. THIẾT BỊ'!$B$1:$U$836,7,0),"")</f>
        <v>XN Bò AD</v>
      </c>
      <c r="P241" s="559" t="str">
        <f>IFERROR(VLOOKUP(O241,'NS QUẢN LÝ CG'!$A$4:$D$36,2,0),"")</f>
        <v>Trần Văn Nam</v>
      </c>
      <c r="Q241" s="559" t="str">
        <f>IFERROR(VLOOKUP(O241,'NS QUẢN LÝ CG'!$A$4:$D$36,4,0),"")</f>
        <v>Lô 28 XN Bò</v>
      </c>
      <c r="R241" s="559" t="str">
        <f>IFERROR(VLOOKUP(O241,'NS QUẢN LÝ CG'!$A$4:$C$36,3,0),"")</f>
        <v>0971993540</v>
      </c>
      <c r="S241" s="532" t="str">
        <f>IFERROR(VLOOKUP(J241,'03. THIẾT BỊ'!$B$1:$S$836,3,0),"")</f>
        <v>A22-RBP-002</v>
      </c>
      <c r="T241" s="693" t="str">
        <f t="shared" si="5"/>
        <v>ADM</v>
      </c>
      <c r="U241" s="693"/>
    </row>
    <row r="242">
      <c r="A242" s="692"/>
      <c r="B242" s="694"/>
      <c r="C242" s="532" t="str">
        <f>IFERROR(VLOOKUP(J242,'03. THIẾT BỊ'!$B$1:$U$836,5,0),"")</f>
        <v>Thiết bị rải phân chuồng</v>
      </c>
      <c r="D242" s="463">
        <v>1.0</v>
      </c>
      <c r="E242" s="692"/>
      <c r="F242" s="692"/>
      <c r="G242" s="692"/>
      <c r="H242" s="692" t="str">
        <f>IFERROR(VLOOKUP(J242,'03. THIẾT BỊ'!$B$1:$U$836,19,0),"")</f>
        <v/>
      </c>
      <c r="I242" s="463" t="str">
        <f>IFERROR(VLOOKUP(J242,'03. THIẾT BỊ'!$B$1:$U$836,20,0),"")</f>
        <v/>
      </c>
      <c r="J242" s="464" t="s">
        <v>5184</v>
      </c>
      <c r="K242" s="740" t="s">
        <v>4158</v>
      </c>
      <c r="L242" s="744"/>
      <c r="M242" s="744"/>
      <c r="N242" s="692" t="str">
        <f>IFERROR(VLOOKUP(J242,'03. THIẾT BỊ'!$B$1:$U$836,4,0),"")</f>
        <v>ĐQSD</v>
      </c>
      <c r="O242" s="692" t="str">
        <f>IFERROR(VLOOKUP(J242,'03. THIẾT BỊ'!$B$1:$U$836,7,0),"")</f>
        <v>XN Bò AD</v>
      </c>
      <c r="P242" s="559" t="str">
        <f>IFERROR(VLOOKUP(O242,'NS QUẢN LÝ CG'!$A$4:$D$36,2,0),"")</f>
        <v>Trần Văn Nam</v>
      </c>
      <c r="Q242" s="559" t="str">
        <f>IFERROR(VLOOKUP(O242,'NS QUẢN LÝ CG'!$A$4:$D$36,4,0),"")</f>
        <v>Lô 28 XN Bò</v>
      </c>
      <c r="R242" s="559" t="str">
        <f>IFERROR(VLOOKUP(O242,'NS QUẢN LÝ CG'!$A$4:$C$36,3,0),"")</f>
        <v>0971993540</v>
      </c>
      <c r="S242" s="532" t="str">
        <f>IFERROR(VLOOKUP(J242,'03. THIẾT BỊ'!$B$1:$S$836,3,0),"")</f>
        <v>A22-MRP-001</v>
      </c>
      <c r="T242" s="693" t="str">
        <f t="shared" si="5"/>
        <v>ADM</v>
      </c>
      <c r="U242" s="693"/>
    </row>
    <row r="243">
      <c r="A243" s="692"/>
      <c r="B243" s="694"/>
      <c r="C243" s="532" t="str">
        <f>IFERROR(VLOOKUP(J243,'03. THIẾT BỊ'!$B$1:$U$836,5,0),"")</f>
        <v>Thiết bị rãi phân hữu cơ</v>
      </c>
      <c r="D243" s="463">
        <v>1.0</v>
      </c>
      <c r="E243" s="692"/>
      <c r="F243" s="692"/>
      <c r="G243" s="692"/>
      <c r="H243" s="692" t="str">
        <f>IFERROR(VLOOKUP(J243,'03. THIẾT BỊ'!$B$1:$U$836,19,0),"")</f>
        <v/>
      </c>
      <c r="I243" s="463" t="str">
        <f>IFERROR(VLOOKUP(J243,'03. THIẾT BỊ'!$B$1:$U$836,20,0),"")</f>
        <v/>
      </c>
      <c r="J243" s="464" t="s">
        <v>5416</v>
      </c>
      <c r="K243" s="740" t="s">
        <v>4158</v>
      </c>
      <c r="L243" s="744"/>
      <c r="M243" s="744"/>
      <c r="N243" s="692" t="str">
        <f>IFERROR(VLOOKUP(J243,'03. THIẾT BỊ'!$B$1:$U$836,4,0),"")</f>
        <v>ĐQSD</v>
      </c>
      <c r="O243" s="692" t="str">
        <f>IFERROR(VLOOKUP(J243,'03. THIẾT BỊ'!$B$1:$U$836,7,0),"")</f>
        <v>XN Bò AD</v>
      </c>
      <c r="P243" s="559" t="str">
        <f>IFERROR(VLOOKUP(O243,'NS QUẢN LÝ CG'!$A$4:$D$36,2,0),"")</f>
        <v>Trần Văn Nam</v>
      </c>
      <c r="Q243" s="559" t="str">
        <f>IFERROR(VLOOKUP(O243,'NS QUẢN LÝ CG'!$A$4:$D$36,4,0),"")</f>
        <v>Lô 28 XN Bò</v>
      </c>
      <c r="R243" s="559" t="str">
        <f>IFERROR(VLOOKUP(O243,'NS QUẢN LÝ CG'!$A$4:$C$36,3,0),"")</f>
        <v>0971993540</v>
      </c>
      <c r="S243" s="532" t="str">
        <f>IFERROR(VLOOKUP(J243,'03. THIẾT BỊ'!$B$1:$S$836,3,0),"")</f>
        <v>A22-TBR-001</v>
      </c>
      <c r="T243" s="693" t="str">
        <f t="shared" si="5"/>
        <v>ADM</v>
      </c>
      <c r="U243" s="693"/>
    </row>
    <row r="244">
      <c r="A244" s="692"/>
      <c r="B244" s="694"/>
      <c r="C244" s="532" t="str">
        <f>IFERROR(VLOOKUP(J244,'03. THIẾT BỊ'!$B$1:$U$836,5,0),"")</f>
        <v>Thiết bị tung phân hữu cơ</v>
      </c>
      <c r="D244" s="463">
        <v>1.0</v>
      </c>
      <c r="E244" s="692"/>
      <c r="F244" s="692"/>
      <c r="G244" s="692"/>
      <c r="H244" s="692" t="str">
        <f>IFERROR(VLOOKUP(J244,'03. THIẾT BỊ'!$B$1:$U$836,19,0),"")</f>
        <v/>
      </c>
      <c r="I244" s="463" t="str">
        <f>IFERROR(VLOOKUP(J244,'03. THIẾT BỊ'!$B$1:$U$836,20,0),"")</f>
        <v/>
      </c>
      <c r="J244" s="464" t="s">
        <v>5308</v>
      </c>
      <c r="K244" s="740" t="s">
        <v>4158</v>
      </c>
      <c r="L244" s="744"/>
      <c r="M244" s="744"/>
      <c r="N244" s="692" t="str">
        <f>IFERROR(VLOOKUP(J244,'03. THIẾT BỊ'!$B$1:$U$836,4,0),"")</f>
        <v>MUA MỚI</v>
      </c>
      <c r="O244" s="692" t="str">
        <f>IFERROR(VLOOKUP(J244,'03. THIẾT BỊ'!$B$1:$U$836,7,0),"")</f>
        <v>XN Bò AD</v>
      </c>
      <c r="P244" s="559" t="str">
        <f>IFERROR(VLOOKUP(O244,'NS QUẢN LÝ CG'!$A$4:$D$36,2,0),"")</f>
        <v>Trần Văn Nam</v>
      </c>
      <c r="Q244" s="559" t="str">
        <f>IFERROR(VLOOKUP(O244,'NS QUẢN LÝ CG'!$A$4:$D$36,4,0),"")</f>
        <v>Lô 28 XN Bò</v>
      </c>
      <c r="R244" s="559" t="str">
        <f>IFERROR(VLOOKUP(O244,'NS QUẢN LÝ CG'!$A$4:$C$36,3,0),"")</f>
        <v>0971993540</v>
      </c>
      <c r="S244" s="532" t="str">
        <f>IFERROR(VLOOKUP(J244,'03. THIẾT BỊ'!$B$1:$S$836,3,0),"")</f>
        <v>A22-DTP-002</v>
      </c>
      <c r="T244" s="693" t="str">
        <f t="shared" si="5"/>
        <v>ADM</v>
      </c>
      <c r="U244" s="693"/>
    </row>
    <row r="245">
      <c r="A245" s="692"/>
      <c r="B245" s="694"/>
      <c r="C245" s="532" t="str">
        <f>IFERROR(VLOOKUP(J245,'03. THIẾT BỊ'!$B$1:$U$836,5,0),"")</f>
        <v>Thiết bị tung phân hữu cơ</v>
      </c>
      <c r="D245" s="463">
        <v>1.0</v>
      </c>
      <c r="E245" s="692"/>
      <c r="F245" s="692"/>
      <c r="G245" s="692"/>
      <c r="H245" s="692" t="str">
        <f>IFERROR(VLOOKUP(J245,'03. THIẾT BỊ'!$B$1:$U$836,19,0),"")</f>
        <v/>
      </c>
      <c r="I245" s="463" t="str">
        <f>IFERROR(VLOOKUP(J245,'03. THIẾT BỊ'!$B$1:$U$836,20,0),"")</f>
        <v/>
      </c>
      <c r="J245" s="464" t="s">
        <v>5305</v>
      </c>
      <c r="K245" s="740" t="s">
        <v>4158</v>
      </c>
      <c r="L245" s="744"/>
      <c r="M245" s="744"/>
      <c r="N245" s="692" t="str">
        <f>IFERROR(VLOOKUP(J245,'03. THIẾT BỊ'!$B$1:$U$836,4,0),"")</f>
        <v>MUA MỚI</v>
      </c>
      <c r="O245" s="692" t="str">
        <f>IFERROR(VLOOKUP(J245,'03. THIẾT BỊ'!$B$1:$U$836,7,0),"")</f>
        <v>XN Bò AD</v>
      </c>
      <c r="P245" s="559" t="str">
        <f>IFERROR(VLOOKUP(O245,'NS QUẢN LÝ CG'!$A$4:$D$36,2,0),"")</f>
        <v>Trần Văn Nam</v>
      </c>
      <c r="Q245" s="559" t="str">
        <f>IFERROR(VLOOKUP(O245,'NS QUẢN LÝ CG'!$A$4:$D$36,4,0),"")</f>
        <v>Lô 28 XN Bò</v>
      </c>
      <c r="R245" s="559" t="str">
        <f>IFERROR(VLOOKUP(O245,'NS QUẢN LÝ CG'!$A$4:$C$36,3,0),"")</f>
        <v>0971993540</v>
      </c>
      <c r="S245" s="532" t="str">
        <f>IFERROR(VLOOKUP(J245,'03. THIẾT BỊ'!$B$1:$S$836,3,0),"")</f>
        <v>A22-DTP-001</v>
      </c>
      <c r="T245" s="693" t="str">
        <f t="shared" si="5"/>
        <v>ADM</v>
      </c>
      <c r="U245" s="693"/>
    </row>
    <row r="246">
      <c r="A246" s="692"/>
      <c r="B246" s="694"/>
      <c r="C246" s="532" t="str">
        <f>IFERROR(VLOOKUP(J246,'03. THIẾT BỊ'!$B$1:$U$836,5,0),"")</f>
        <v>Rải phân chuồng</v>
      </c>
      <c r="D246" s="463">
        <v>1.0</v>
      </c>
      <c r="E246" s="692"/>
      <c r="F246" s="692"/>
      <c r="G246" s="692"/>
      <c r="H246" s="692" t="str">
        <f>IFERROR(VLOOKUP(J246,'03. THIẾT BỊ'!$B$1:$U$836,19,0),"")</f>
        <v/>
      </c>
      <c r="I246" s="463" t="str">
        <f>IFERROR(VLOOKUP(J246,'03. THIẾT BỊ'!$B$1:$U$836,20,0),"")</f>
        <v/>
      </c>
      <c r="J246" s="464" t="s">
        <v>5202</v>
      </c>
      <c r="K246" s="745"/>
      <c r="L246" s="746" t="s">
        <v>4158</v>
      </c>
      <c r="M246" s="744"/>
      <c r="N246" s="692" t="str">
        <f>IFERROR(VLOOKUP(J246,'03. THIẾT BỊ'!$B$1:$U$836,4,0),"")</f>
        <v>ĐQSD</v>
      </c>
      <c r="O246" s="692" t="str">
        <f>IFERROR(VLOOKUP(J246,'03. THIẾT BỊ'!$B$1:$U$836,7,0),"")</f>
        <v>XN Bò AD</v>
      </c>
      <c r="P246" s="559" t="str">
        <f>IFERROR(VLOOKUP(O246,'NS QUẢN LÝ CG'!$A$4:$D$36,2,0),"")</f>
        <v>Trần Văn Nam</v>
      </c>
      <c r="Q246" s="559" t="str">
        <f>IFERROR(VLOOKUP(O246,'NS QUẢN LÝ CG'!$A$4:$D$36,4,0),"")</f>
        <v>Lô 28 XN Bò</v>
      </c>
      <c r="R246" s="559" t="str">
        <f>IFERROR(VLOOKUP(O246,'NS QUẢN LÝ CG'!$A$4:$C$36,3,0),"")</f>
        <v>0971993540</v>
      </c>
      <c r="S246" s="532" t="str">
        <f>IFERROR(VLOOKUP(J246,'03. THIẾT BỊ'!$B$1:$S$836,3,0),"")</f>
        <v>A22-RPC-001</v>
      </c>
      <c r="T246" s="693" t="str">
        <f t="shared" si="5"/>
        <v>ADM</v>
      </c>
      <c r="U246" s="693"/>
    </row>
    <row r="247">
      <c r="A247" s="692"/>
      <c r="B247" s="694"/>
      <c r="C247" s="532" t="str">
        <f>IFERROR(VLOOKUP(J247,'03. THIẾT BỊ'!$B$1:$U$836,5,0),"")</f>
        <v>Thiết bị rải phân hữu cơ 4 hàng</v>
      </c>
      <c r="D247" s="463">
        <v>1.0</v>
      </c>
      <c r="E247" s="692"/>
      <c r="F247" s="692"/>
      <c r="G247" s="692"/>
      <c r="H247" s="692" t="str">
        <f>IFERROR(VLOOKUP(J247,'03. THIẾT BỊ'!$B$1:$U$836,19,0),"")</f>
        <v/>
      </c>
      <c r="I247" s="463" t="str">
        <f>IFERROR(VLOOKUP(J247,'03. THIẾT BỊ'!$B$1:$U$836,20,0),"")</f>
        <v/>
      </c>
      <c r="J247" s="464" t="s">
        <v>5422</v>
      </c>
      <c r="K247" s="740" t="s">
        <v>4158</v>
      </c>
      <c r="L247" s="744"/>
      <c r="M247" s="744"/>
      <c r="N247" s="692" t="str">
        <f>IFERROR(VLOOKUP(J247,'03. THIẾT BỊ'!$B$1:$U$836,4,0),"")</f>
        <v>ĐQSD</v>
      </c>
      <c r="O247" s="692" t="str">
        <f>IFERROR(VLOOKUP(J247,'03. THIẾT BỊ'!$B$1:$U$836,7,0),"")</f>
        <v>XN Bò AD</v>
      </c>
      <c r="P247" s="559" t="str">
        <f>IFERROR(VLOOKUP(O247,'NS QUẢN LÝ CG'!$A$4:$D$36,2,0),"")</f>
        <v>Trần Văn Nam</v>
      </c>
      <c r="Q247" s="559" t="str">
        <f>IFERROR(VLOOKUP(O247,'NS QUẢN LÝ CG'!$A$4:$D$36,4,0),"")</f>
        <v>Lô 28 XN Bò</v>
      </c>
      <c r="R247" s="559" t="str">
        <f>IFERROR(VLOOKUP(O247,'NS QUẢN LÝ CG'!$A$4:$C$36,3,0),"")</f>
        <v>0971993540</v>
      </c>
      <c r="S247" s="532" t="str">
        <f>IFERROR(VLOOKUP(J247,'03. THIẾT BỊ'!$B$1:$S$836,3,0),"")</f>
        <v>A22-RP4-001</v>
      </c>
      <c r="T247" s="693" t="str">
        <f t="shared" si="5"/>
        <v>ADM</v>
      </c>
      <c r="U247" s="693"/>
    </row>
    <row r="248">
      <c r="A248" s="692"/>
      <c r="B248" s="694"/>
      <c r="C248" s="532" t="str">
        <f>IFERROR(VLOOKUP(J248,'03. THIẾT BỊ'!$B$1:$U$836,5,0),"")</f>
        <v>Thiết bị rải phân hữu cơ 4 hàng</v>
      </c>
      <c r="D248" s="463">
        <v>1.0</v>
      </c>
      <c r="E248" s="692"/>
      <c r="F248" s="692"/>
      <c r="G248" s="692"/>
      <c r="H248" s="692" t="str">
        <f>IFERROR(VLOOKUP(J248,'03. THIẾT BỊ'!$B$1:$U$836,19,0),"")</f>
        <v/>
      </c>
      <c r="I248" s="463" t="str">
        <f>IFERROR(VLOOKUP(J248,'03. THIẾT BỊ'!$B$1:$U$836,20,0),"")</f>
        <v/>
      </c>
      <c r="J248" s="464" t="s">
        <v>5430</v>
      </c>
      <c r="K248" s="740" t="s">
        <v>4158</v>
      </c>
      <c r="L248" s="744"/>
      <c r="M248" s="744"/>
      <c r="N248" s="692" t="str">
        <f>IFERROR(VLOOKUP(J248,'03. THIẾT BỊ'!$B$1:$U$836,4,0),"")</f>
        <v>ĐQSD</v>
      </c>
      <c r="O248" s="692" t="str">
        <f>IFERROR(VLOOKUP(J248,'03. THIẾT BỊ'!$B$1:$U$836,7,0),"")</f>
        <v>XN Bò AD</v>
      </c>
      <c r="P248" s="559" t="str">
        <f>IFERROR(VLOOKUP(O248,'NS QUẢN LÝ CG'!$A$4:$D$36,2,0),"")</f>
        <v>Trần Văn Nam</v>
      </c>
      <c r="Q248" s="559" t="str">
        <f>IFERROR(VLOOKUP(O248,'NS QUẢN LÝ CG'!$A$4:$D$36,4,0),"")</f>
        <v>Lô 28 XN Bò</v>
      </c>
      <c r="R248" s="559" t="str">
        <f>IFERROR(VLOOKUP(O248,'NS QUẢN LÝ CG'!$A$4:$C$36,3,0),"")</f>
        <v>0971993540</v>
      </c>
      <c r="S248" s="532" t="str">
        <f>IFERROR(VLOOKUP(J248,'03. THIẾT BỊ'!$B$1:$S$836,3,0),"")</f>
        <v>A22-RP4-002</v>
      </c>
      <c r="T248" s="693" t="str">
        <f t="shared" si="5"/>
        <v>ADM</v>
      </c>
      <c r="U248" s="693"/>
    </row>
    <row r="249">
      <c r="A249" s="692"/>
      <c r="B249" s="694"/>
      <c r="C249" s="532" t="str">
        <f>IFERROR(VLOOKUP(J249,'03. THIẾT BỊ'!$B$1:$U$836,5,0),"")</f>
        <v>Thiết bị rạch - tung phân cỏ chăn thả</v>
      </c>
      <c r="D249" s="463">
        <v>1.0</v>
      </c>
      <c r="E249" s="692"/>
      <c r="F249" s="692"/>
      <c r="G249" s="692"/>
      <c r="H249" s="692" t="str">
        <f>IFERROR(VLOOKUP(J249,'03. THIẾT BỊ'!$B$1:$U$836,19,0),"")</f>
        <v/>
      </c>
      <c r="I249" s="463" t="str">
        <f>IFERROR(VLOOKUP(J249,'03. THIẾT BỊ'!$B$1:$U$836,20,0),"")</f>
        <v/>
      </c>
      <c r="J249" s="464" t="s">
        <v>5523</v>
      </c>
      <c r="K249" s="740" t="s">
        <v>4158</v>
      </c>
      <c r="L249" s="744"/>
      <c r="M249" s="744"/>
      <c r="N249" s="692" t="str">
        <f>IFERROR(VLOOKUP(J249,'03. THIẾT BỊ'!$B$1:$U$836,4,0),"")</f>
        <v>ĐQSD</v>
      </c>
      <c r="O249" s="692" t="str">
        <f>IFERROR(VLOOKUP(J249,'03. THIẾT BỊ'!$B$1:$U$836,7,0),"")</f>
        <v>XN Bò AD</v>
      </c>
      <c r="P249" s="559" t="str">
        <f>IFERROR(VLOOKUP(O249,'NS QUẢN LÝ CG'!$A$4:$D$36,2,0),"")</f>
        <v>Trần Văn Nam</v>
      </c>
      <c r="Q249" s="559" t="str">
        <f>IFERROR(VLOOKUP(O249,'NS QUẢN LÝ CG'!$A$4:$D$36,4,0),"")</f>
        <v>Lô 28 XN Bò</v>
      </c>
      <c r="R249" s="559" t="str">
        <f>IFERROR(VLOOKUP(O249,'NS QUẢN LÝ CG'!$A$4:$C$36,3,0),"")</f>
        <v>0971993540</v>
      </c>
      <c r="S249" s="532" t="str">
        <f>IFERROR(VLOOKUP(J249,'03. THIẾT BỊ'!$B$1:$S$836,3,0),"")</f>
        <v>A22-DRC-001</v>
      </c>
      <c r="T249" s="693" t="str">
        <f t="shared" si="5"/>
        <v>ADM</v>
      </c>
      <c r="U249" s="693"/>
    </row>
    <row r="250">
      <c r="A250" s="692"/>
      <c r="B250" s="694"/>
      <c r="C250" s="532" t="str">
        <f>IFERROR(VLOOKUP(J250,'03. THIẾT BỊ'!$B$1:$U$836,5,0),"")</f>
        <v>Thiết bị rạch - tung phân cỏ chăn thả</v>
      </c>
      <c r="D250" s="463">
        <v>1.0</v>
      </c>
      <c r="E250" s="692"/>
      <c r="F250" s="692"/>
      <c r="G250" s="692"/>
      <c r="H250" s="692" t="str">
        <f>IFERROR(VLOOKUP(J250,'03. THIẾT BỊ'!$B$1:$U$836,19,0),"")</f>
        <v/>
      </c>
      <c r="I250" s="463" t="str">
        <f>IFERROR(VLOOKUP(J250,'03. THIẾT BỊ'!$B$1:$U$836,20,0),"")</f>
        <v/>
      </c>
      <c r="J250" s="464" t="s">
        <v>5528</v>
      </c>
      <c r="K250" s="740" t="s">
        <v>4158</v>
      </c>
      <c r="L250" s="744"/>
      <c r="M250" s="744"/>
      <c r="N250" s="692" t="str">
        <f>IFERROR(VLOOKUP(J250,'03. THIẾT BỊ'!$B$1:$U$836,4,0),"")</f>
        <v>ĐQSD</v>
      </c>
      <c r="O250" s="692" t="str">
        <f>IFERROR(VLOOKUP(J250,'03. THIẾT BỊ'!$B$1:$U$836,7,0),"")</f>
        <v>XN Bò AD</v>
      </c>
      <c r="P250" s="559" t="str">
        <f>IFERROR(VLOOKUP(O250,'NS QUẢN LÝ CG'!$A$4:$D$36,2,0),"")</f>
        <v>Trần Văn Nam</v>
      </c>
      <c r="Q250" s="559" t="str">
        <f>IFERROR(VLOOKUP(O250,'NS QUẢN LÝ CG'!$A$4:$D$36,4,0),"")</f>
        <v>Lô 28 XN Bò</v>
      </c>
      <c r="R250" s="559" t="str">
        <f>IFERROR(VLOOKUP(O250,'NS QUẢN LÝ CG'!$A$4:$C$36,3,0),"")</f>
        <v>0971993540</v>
      </c>
      <c r="S250" s="532" t="str">
        <f>IFERROR(VLOOKUP(J250,'03. THIẾT BỊ'!$B$1:$S$836,3,0),"")</f>
        <v>A22-DRC-002</v>
      </c>
      <c r="T250" s="693" t="str">
        <f t="shared" si="5"/>
        <v>ADM</v>
      </c>
      <c r="U250" s="693"/>
    </row>
    <row r="251">
      <c r="A251" s="692"/>
      <c r="B251" s="694"/>
      <c r="C251" s="532" t="str">
        <f>IFERROR(VLOOKUP(J251,'03. THIẾT BỊ'!$B$1:$U$836,5,0),"")</f>
        <v>Thiết bị rạch - tung phân cỏ chăn thả</v>
      </c>
      <c r="D251" s="463">
        <v>1.0</v>
      </c>
      <c r="E251" s="692"/>
      <c r="F251" s="692"/>
      <c r="G251" s="692"/>
      <c r="H251" s="692" t="str">
        <f>IFERROR(VLOOKUP(J251,'03. THIẾT BỊ'!$B$1:$U$836,19,0),"")</f>
        <v/>
      </c>
      <c r="I251" s="463" t="str">
        <f>IFERROR(VLOOKUP(J251,'03. THIẾT BỊ'!$B$1:$U$836,20,0),"")</f>
        <v/>
      </c>
      <c r="J251" s="464" t="s">
        <v>5533</v>
      </c>
      <c r="K251" s="740" t="s">
        <v>4158</v>
      </c>
      <c r="L251" s="744"/>
      <c r="M251" s="744"/>
      <c r="N251" s="692" t="str">
        <f>IFERROR(VLOOKUP(J251,'03. THIẾT BỊ'!$B$1:$U$836,4,0),"")</f>
        <v>ĐQSD</v>
      </c>
      <c r="O251" s="692" t="str">
        <f>IFERROR(VLOOKUP(J251,'03. THIẾT BỊ'!$B$1:$U$836,7,0),"")</f>
        <v>XN Bò AD</v>
      </c>
      <c r="P251" s="559" t="str">
        <f>IFERROR(VLOOKUP(O251,'NS QUẢN LÝ CG'!$A$4:$D$36,2,0),"")</f>
        <v>Trần Văn Nam</v>
      </c>
      <c r="Q251" s="559" t="str">
        <f>IFERROR(VLOOKUP(O251,'NS QUẢN LÝ CG'!$A$4:$D$36,4,0),"")</f>
        <v>Lô 28 XN Bò</v>
      </c>
      <c r="R251" s="559" t="str">
        <f>IFERROR(VLOOKUP(O251,'NS QUẢN LÝ CG'!$A$4:$C$36,3,0),"")</f>
        <v>0971993540</v>
      </c>
      <c r="S251" s="532" t="str">
        <f>IFERROR(VLOOKUP(J251,'03. THIẾT BỊ'!$B$1:$S$836,3,0),"")</f>
        <v>A22-DRC-003</v>
      </c>
      <c r="T251" s="693" t="str">
        <f t="shared" si="5"/>
        <v>ADM</v>
      </c>
      <c r="U251" s="693"/>
    </row>
    <row r="252">
      <c r="A252" s="692"/>
      <c r="B252" s="694"/>
      <c r="C252" s="532" t="str">
        <f>IFERROR(VLOOKUP(J252,'03. THIẾT BỊ'!$B$1:$U$836,5,0),"")</f>
        <v>Thiết bị rạch - tung phân cỏ chăn thả</v>
      </c>
      <c r="D252" s="463">
        <v>1.0</v>
      </c>
      <c r="E252" s="692"/>
      <c r="F252" s="692"/>
      <c r="G252" s="692"/>
      <c r="H252" s="692" t="str">
        <f>IFERROR(VLOOKUP(J252,'03. THIẾT BỊ'!$B$1:$U$836,19,0),"")</f>
        <v/>
      </c>
      <c r="I252" s="463" t="str">
        <f>IFERROR(VLOOKUP(J252,'03. THIẾT BỊ'!$B$1:$U$836,20,0),"")</f>
        <v/>
      </c>
      <c r="J252" s="464" t="s">
        <v>5535</v>
      </c>
      <c r="K252" s="740" t="s">
        <v>4158</v>
      </c>
      <c r="L252" s="744"/>
      <c r="M252" s="744"/>
      <c r="N252" s="692" t="str">
        <f>IFERROR(VLOOKUP(J252,'03. THIẾT BỊ'!$B$1:$U$836,4,0),"")</f>
        <v>ĐQSD</v>
      </c>
      <c r="O252" s="692" t="str">
        <f>IFERROR(VLOOKUP(J252,'03. THIẾT BỊ'!$B$1:$U$836,7,0),"")</f>
        <v>XN Bò AD</v>
      </c>
      <c r="P252" s="559" t="str">
        <f>IFERROR(VLOOKUP(O252,'NS QUẢN LÝ CG'!$A$4:$D$36,2,0),"")</f>
        <v>Trần Văn Nam</v>
      </c>
      <c r="Q252" s="559" t="str">
        <f>IFERROR(VLOOKUP(O252,'NS QUẢN LÝ CG'!$A$4:$D$36,4,0),"")</f>
        <v>Lô 28 XN Bò</v>
      </c>
      <c r="R252" s="559" t="str">
        <f>IFERROR(VLOOKUP(O252,'NS QUẢN LÝ CG'!$A$4:$C$36,3,0),"")</f>
        <v>0971993540</v>
      </c>
      <c r="S252" s="532" t="str">
        <f>IFERROR(VLOOKUP(J252,'03. THIẾT BỊ'!$B$1:$S$836,3,0),"")</f>
        <v>A22-DRC-004</v>
      </c>
      <c r="T252" s="693" t="str">
        <f t="shared" si="5"/>
        <v>ADM</v>
      </c>
      <c r="U252" s="693"/>
    </row>
    <row r="253">
      <c r="A253" s="692"/>
      <c r="B253" s="694"/>
      <c r="C253" s="532" t="str">
        <f>IFERROR(VLOOKUP(J253,'03. THIẾT BỊ'!$B$1:$U$836,5,0),"")</f>
        <v>Thiết bị rạch - tung phân cỏ chăn thả</v>
      </c>
      <c r="D253" s="463">
        <v>1.0</v>
      </c>
      <c r="E253" s="692"/>
      <c r="F253" s="692"/>
      <c r="G253" s="692"/>
      <c r="H253" s="692" t="str">
        <f>IFERROR(VLOOKUP(J253,'03. THIẾT BỊ'!$B$1:$U$836,19,0),"")</f>
        <v/>
      </c>
      <c r="I253" s="463" t="str">
        <f>IFERROR(VLOOKUP(J253,'03. THIẾT BỊ'!$B$1:$U$836,20,0),"")</f>
        <v/>
      </c>
      <c r="J253" s="464" t="s">
        <v>5538</v>
      </c>
      <c r="K253" s="740" t="s">
        <v>4158</v>
      </c>
      <c r="L253" s="744"/>
      <c r="M253" s="744"/>
      <c r="N253" s="692" t="str">
        <f>IFERROR(VLOOKUP(J253,'03. THIẾT BỊ'!$B$1:$U$836,4,0),"")</f>
        <v>ĐQSD</v>
      </c>
      <c r="O253" s="692" t="str">
        <f>IFERROR(VLOOKUP(J253,'03. THIẾT BỊ'!$B$1:$U$836,7,0),"")</f>
        <v>XN Bò AD</v>
      </c>
      <c r="P253" s="559" t="str">
        <f>IFERROR(VLOOKUP(O253,'NS QUẢN LÝ CG'!$A$4:$D$36,2,0),"")</f>
        <v>Trần Văn Nam</v>
      </c>
      <c r="Q253" s="559" t="str">
        <f>IFERROR(VLOOKUP(O253,'NS QUẢN LÝ CG'!$A$4:$D$36,4,0),"")</f>
        <v>Lô 28 XN Bò</v>
      </c>
      <c r="R253" s="559" t="str">
        <f>IFERROR(VLOOKUP(O253,'NS QUẢN LÝ CG'!$A$4:$C$36,3,0),"")</f>
        <v>0971993540</v>
      </c>
      <c r="S253" s="532" t="str">
        <f>IFERROR(VLOOKUP(J253,'03. THIẾT BỊ'!$B$1:$S$836,3,0),"")</f>
        <v>A22-DRC-005</v>
      </c>
      <c r="T253" s="693" t="str">
        <f t="shared" si="5"/>
        <v>ADM</v>
      </c>
      <c r="U253" s="693"/>
    </row>
    <row r="254">
      <c r="A254" s="692"/>
      <c r="B254" s="694"/>
      <c r="C254" s="532" t="str">
        <f>IFERROR(VLOOKUP(J254,'03. THIẾT BỊ'!$B$1:$U$836,5,0),"")</f>
        <v>Thiết bị rạch - rải phân cỏ tập trung</v>
      </c>
      <c r="D254" s="463">
        <v>1.0</v>
      </c>
      <c r="E254" s="692"/>
      <c r="F254" s="692"/>
      <c r="G254" s="692"/>
      <c r="H254" s="692" t="str">
        <f>IFERROR(VLOOKUP(J254,'03. THIẾT BỊ'!$B$1:$U$836,19,0),"")</f>
        <v/>
      </c>
      <c r="I254" s="463" t="str">
        <f>IFERROR(VLOOKUP(J254,'03. THIẾT BỊ'!$B$1:$U$836,20,0),"")</f>
        <v/>
      </c>
      <c r="J254" s="464" t="s">
        <v>5540</v>
      </c>
      <c r="K254" s="740" t="s">
        <v>4158</v>
      </c>
      <c r="L254" s="744"/>
      <c r="M254" s="744"/>
      <c r="N254" s="692" t="str">
        <f>IFERROR(VLOOKUP(J254,'03. THIẾT BỊ'!$B$1:$U$836,4,0),"")</f>
        <v>ĐQSD</v>
      </c>
      <c r="O254" s="692" t="str">
        <f>IFERROR(VLOOKUP(J254,'03. THIẾT BỊ'!$B$1:$U$836,7,0),"")</f>
        <v>XN Bò AD</v>
      </c>
      <c r="P254" s="559" t="str">
        <f>IFERROR(VLOOKUP(O254,'NS QUẢN LÝ CG'!$A$4:$D$36,2,0),"")</f>
        <v>Trần Văn Nam</v>
      </c>
      <c r="Q254" s="559" t="str">
        <f>IFERROR(VLOOKUP(O254,'NS QUẢN LÝ CG'!$A$4:$D$36,4,0),"")</f>
        <v>Lô 28 XN Bò</v>
      </c>
      <c r="R254" s="559" t="str">
        <f>IFERROR(VLOOKUP(O254,'NS QUẢN LÝ CG'!$A$4:$C$36,3,0),"")</f>
        <v>0971993540</v>
      </c>
      <c r="S254" s="532" t="str">
        <f>IFERROR(VLOOKUP(J254,'03. THIẾT BỊ'!$B$1:$S$836,3,0),"")</f>
        <v>A22-RRP-001</v>
      </c>
      <c r="T254" s="693" t="str">
        <f t="shared" si="5"/>
        <v>ADM</v>
      </c>
      <c r="U254" s="693"/>
    </row>
    <row r="255">
      <c r="A255" s="692"/>
      <c r="B255" s="694"/>
      <c r="C255" s="532" t="str">
        <f>IFERROR(VLOOKUP(J255,'03. THIẾT BỊ'!$B$1:$U$836,5,0),"")</f>
        <v>Thiết bị rạch - rải phân cỏ tập trung</v>
      </c>
      <c r="D255" s="463">
        <v>1.0</v>
      </c>
      <c r="E255" s="692"/>
      <c r="F255" s="692"/>
      <c r="G255" s="692"/>
      <c r="H255" s="692" t="str">
        <f>IFERROR(VLOOKUP(J255,'03. THIẾT BỊ'!$B$1:$U$836,19,0),"")</f>
        <v/>
      </c>
      <c r="I255" s="463" t="str">
        <f>IFERROR(VLOOKUP(J255,'03. THIẾT BỊ'!$B$1:$U$836,20,0),"")</f>
        <v/>
      </c>
      <c r="J255" s="464" t="s">
        <v>5545</v>
      </c>
      <c r="K255" s="740" t="s">
        <v>4158</v>
      </c>
      <c r="L255" s="744"/>
      <c r="M255" s="744"/>
      <c r="N255" s="692" t="str">
        <f>IFERROR(VLOOKUP(J255,'03. THIẾT BỊ'!$B$1:$U$836,4,0),"")</f>
        <v>ĐQSD</v>
      </c>
      <c r="O255" s="692" t="str">
        <f>IFERROR(VLOOKUP(J255,'03. THIẾT BỊ'!$B$1:$U$836,7,0),"")</f>
        <v>XN Bò AD</v>
      </c>
      <c r="P255" s="559" t="str">
        <f>IFERROR(VLOOKUP(O255,'NS QUẢN LÝ CG'!$A$4:$D$36,2,0),"")</f>
        <v>Trần Văn Nam</v>
      </c>
      <c r="Q255" s="559" t="str">
        <f>IFERROR(VLOOKUP(O255,'NS QUẢN LÝ CG'!$A$4:$D$36,4,0),"")</f>
        <v>Lô 28 XN Bò</v>
      </c>
      <c r="R255" s="559" t="str">
        <f>IFERROR(VLOOKUP(O255,'NS QUẢN LÝ CG'!$A$4:$C$36,3,0),"")</f>
        <v>0971993540</v>
      </c>
      <c r="S255" s="532" t="str">
        <f>IFERROR(VLOOKUP(J255,'03. THIẾT BỊ'!$B$1:$S$836,3,0),"")</f>
        <v>A22-RRP-002</v>
      </c>
      <c r="T255" s="693" t="str">
        <f t="shared" si="5"/>
        <v>ADM</v>
      </c>
      <c r="U255" s="693"/>
    </row>
    <row r="256">
      <c r="A256" s="692"/>
      <c r="B256" s="694"/>
      <c r="C256" s="532" t="str">
        <f>IFERROR(VLOOKUP(J256,'03. THIẾT BỊ'!$B$1:$U$836,5,0),"")</f>
        <v>Dàn rải phân (10m3)</v>
      </c>
      <c r="D256" s="463">
        <v>1.0</v>
      </c>
      <c r="E256" s="692"/>
      <c r="F256" s="692"/>
      <c r="G256" s="692"/>
      <c r="H256" s="692" t="str">
        <f>IFERROR(VLOOKUP(J256,'03. THIẾT BỊ'!$B$1:$U$836,19,0),"")</f>
        <v/>
      </c>
      <c r="I256" s="463" t="str">
        <f>IFERROR(VLOOKUP(J256,'03. THIẾT BỊ'!$B$1:$U$836,20,0),"")</f>
        <v/>
      </c>
      <c r="J256" s="464" t="s">
        <v>5315</v>
      </c>
      <c r="K256" s="740" t="s">
        <v>4158</v>
      </c>
      <c r="L256" s="744"/>
      <c r="M256" s="744"/>
      <c r="N256" s="692" t="str">
        <f>IFERROR(VLOOKUP(J256,'03. THIẾT BỊ'!$B$1:$U$836,4,0),"")</f>
        <v>MUA MỚI</v>
      </c>
      <c r="O256" s="692" t="str">
        <f>IFERROR(VLOOKUP(J256,'03. THIẾT BỊ'!$B$1:$U$836,7,0),"")</f>
        <v>XN Bò AD</v>
      </c>
      <c r="P256" s="559" t="str">
        <f>IFERROR(VLOOKUP(O256,'NS QUẢN LÝ CG'!$A$4:$D$36,2,0),"")</f>
        <v>Trần Văn Nam</v>
      </c>
      <c r="Q256" s="559" t="str">
        <f>IFERROR(VLOOKUP(O256,'NS QUẢN LÝ CG'!$A$4:$D$36,4,0),"")</f>
        <v>Lô 28 XN Bò</v>
      </c>
      <c r="R256" s="559" t="str">
        <f>IFERROR(VLOOKUP(O256,'NS QUẢN LÝ CG'!$A$4:$C$36,3,0),"")</f>
        <v>0971993540</v>
      </c>
      <c r="S256" s="532" t="str">
        <f>IFERROR(VLOOKUP(J256,'03. THIẾT BỊ'!$B$1:$S$836,3,0),"")</f>
        <v>A24-DRP-003</v>
      </c>
      <c r="T256" s="693" t="str">
        <f t="shared" si="5"/>
        <v>LP</v>
      </c>
      <c r="U256" s="693"/>
    </row>
    <row r="257">
      <c r="A257" s="692"/>
      <c r="B257" s="694"/>
      <c r="C257" s="532" t="str">
        <f>IFERROR(VLOOKUP(J257,'03. THIẾT BỊ'!$B$1:$U$836,5,0),"")</f>
        <v>Dàn rải phân (10m3)</v>
      </c>
      <c r="D257" s="463">
        <v>1.0</v>
      </c>
      <c r="E257" s="692"/>
      <c r="F257" s="692"/>
      <c r="G257" s="692"/>
      <c r="H257" s="692" t="str">
        <f>IFERROR(VLOOKUP(J257,'03. THIẾT BỊ'!$B$1:$U$836,19,0),"")</f>
        <v/>
      </c>
      <c r="I257" s="463" t="str">
        <f>IFERROR(VLOOKUP(J257,'03. THIẾT BỊ'!$B$1:$U$836,20,0),"")</f>
        <v/>
      </c>
      <c r="J257" s="464" t="s">
        <v>3881</v>
      </c>
      <c r="K257" s="740" t="s">
        <v>4158</v>
      </c>
      <c r="L257" s="744"/>
      <c r="M257" s="744"/>
      <c r="N257" s="692" t="str">
        <f>IFERROR(VLOOKUP(J257,'03. THIẾT BỊ'!$B$1:$U$836,4,0),"")</f>
        <v>MUA MỚI</v>
      </c>
      <c r="O257" s="692" t="str">
        <f>IFERROR(VLOOKUP(J257,'03. THIẾT BỊ'!$B$1:$U$836,7,0),"")</f>
        <v>XN Bò AD</v>
      </c>
      <c r="P257" s="559" t="str">
        <f>IFERROR(VLOOKUP(O257,'NS QUẢN LÝ CG'!$A$4:$D$36,2,0),"")</f>
        <v>Trần Văn Nam</v>
      </c>
      <c r="Q257" s="559" t="str">
        <f>IFERROR(VLOOKUP(O257,'NS QUẢN LÝ CG'!$A$4:$D$36,4,0),"")</f>
        <v>Lô 28 XN Bò</v>
      </c>
      <c r="R257" s="559" t="str">
        <f>IFERROR(VLOOKUP(O257,'NS QUẢN LÝ CG'!$A$4:$C$36,3,0),"")</f>
        <v>0971993540</v>
      </c>
      <c r="S257" s="532" t="str">
        <f>IFERROR(VLOOKUP(J257,'03. THIẾT BỊ'!$B$1:$S$836,3,0),"")</f>
        <v>A22-DRP-002</v>
      </c>
      <c r="T257" s="693" t="str">
        <f t="shared" si="5"/>
        <v>ADM</v>
      </c>
      <c r="U257" s="693"/>
    </row>
    <row r="258">
      <c r="A258" s="692"/>
      <c r="B258" s="694"/>
      <c r="C258" s="532" t="str">
        <f>IFERROR(VLOOKUP(J258,'03. THIẾT BỊ'!$B$1:$U$836,5,0),"")</f>
        <v>Thiết bị phun vôi/rải vô cơ</v>
      </c>
      <c r="D258" s="463">
        <v>1.0</v>
      </c>
      <c r="E258" s="692"/>
      <c r="F258" s="692"/>
      <c r="G258" s="692"/>
      <c r="H258" s="692" t="str">
        <f>IFERROR(VLOOKUP(J258,'03. THIẾT BỊ'!$B$1:$U$836,19,0),"")</f>
        <v/>
      </c>
      <c r="I258" s="463" t="str">
        <f>IFERROR(VLOOKUP(J258,'03. THIẾT BỊ'!$B$1:$U$836,20,0),"")</f>
        <v/>
      </c>
      <c r="J258" s="464" t="s">
        <v>5187</v>
      </c>
      <c r="K258" s="745"/>
      <c r="L258" s="741"/>
      <c r="M258" s="746" t="s">
        <v>4158</v>
      </c>
      <c r="N258" s="692" t="str">
        <f>IFERROR(VLOOKUP(J258,'03. THIẾT BỊ'!$B$1:$U$836,4,0),"")</f>
        <v>ĐQSD</v>
      </c>
      <c r="O258" s="692" t="str">
        <f>IFERROR(VLOOKUP(J258,'03. THIẾT BỊ'!$B$1:$U$836,7,0),"")</f>
        <v>XN Bò AD</v>
      </c>
      <c r="P258" s="559" t="str">
        <f>IFERROR(VLOOKUP(O258,'NS QUẢN LÝ CG'!$A$4:$D$36,2,0),"")</f>
        <v>Trần Văn Nam</v>
      </c>
      <c r="Q258" s="559" t="str">
        <f>IFERROR(VLOOKUP(O258,'NS QUẢN LÝ CG'!$A$4:$D$36,4,0),"")</f>
        <v>Lô 28 XN Bò</v>
      </c>
      <c r="R258" s="559" t="str">
        <f>IFERROR(VLOOKUP(O258,'NS QUẢN LÝ CG'!$A$4:$C$36,3,0),"")</f>
        <v>0971993540</v>
      </c>
      <c r="S258" s="532" t="str">
        <f>IFERROR(VLOOKUP(J258,'03. THIẾT BỊ'!$B$1:$S$836,3,0),"")</f>
        <v>A22-RVO-001</v>
      </c>
      <c r="T258" s="693" t="str">
        <f t="shared" si="5"/>
        <v>ADM</v>
      </c>
      <c r="U258" s="693"/>
    </row>
    <row r="259">
      <c r="A259" s="692"/>
      <c r="B259" s="694"/>
      <c r="C259" s="532" t="str">
        <f>IFERROR(VLOOKUP(J259,'03. THIẾT BỊ'!$B$1:$U$836,5,0),"")</f>
        <v>Thiết bị phun vôi/rải vô cơ</v>
      </c>
      <c r="D259" s="463">
        <v>1.0</v>
      </c>
      <c r="E259" s="692"/>
      <c r="F259" s="692"/>
      <c r="G259" s="692"/>
      <c r="H259" s="692" t="str">
        <f>IFERROR(VLOOKUP(J259,'03. THIẾT BỊ'!$B$1:$U$836,19,0),"")</f>
        <v/>
      </c>
      <c r="I259" s="463" t="str">
        <f>IFERROR(VLOOKUP(J259,'03. THIẾT BỊ'!$B$1:$U$836,20,0),"")</f>
        <v/>
      </c>
      <c r="J259" s="464" t="s">
        <v>5189</v>
      </c>
      <c r="K259" s="745"/>
      <c r="L259" s="741"/>
      <c r="M259" s="746" t="s">
        <v>4158</v>
      </c>
      <c r="N259" s="692" t="str">
        <f>IFERROR(VLOOKUP(J259,'03. THIẾT BỊ'!$B$1:$U$836,4,0),"")</f>
        <v>MUA MỚI</v>
      </c>
      <c r="O259" s="692" t="str">
        <f>IFERROR(VLOOKUP(J259,'03. THIẾT BỊ'!$B$1:$U$836,7,0),"")</f>
        <v>XN Bò AD</v>
      </c>
      <c r="P259" s="559" t="str">
        <f>IFERROR(VLOOKUP(O259,'NS QUẢN LÝ CG'!$A$4:$D$36,2,0),"")</f>
        <v>Trần Văn Nam</v>
      </c>
      <c r="Q259" s="559" t="str">
        <f>IFERROR(VLOOKUP(O259,'NS QUẢN LÝ CG'!$A$4:$D$36,4,0),"")</f>
        <v>Lô 28 XN Bò</v>
      </c>
      <c r="R259" s="559" t="str">
        <f>IFERROR(VLOOKUP(O259,'NS QUẢN LÝ CG'!$A$4:$C$36,3,0),"")</f>
        <v>0971993540</v>
      </c>
      <c r="S259" s="532" t="str">
        <f>IFERROR(VLOOKUP(J259,'03. THIẾT BỊ'!$B$1:$S$836,3,0),"")</f>
        <v>A22-RVO-002</v>
      </c>
      <c r="T259" s="693" t="str">
        <f t="shared" si="5"/>
        <v>ADM</v>
      </c>
      <c r="U259" s="693"/>
    </row>
    <row r="260">
      <c r="A260" s="692"/>
      <c r="B260" s="694"/>
      <c r="C260" s="532" t="str">
        <f>IFERROR(VLOOKUP(J260,'03. THIẾT BỊ'!$B$1:$U$836,5,0),"")</f>
        <v>Thiết bị phun vôi/rải vô cơ</v>
      </c>
      <c r="D260" s="463">
        <v>1.0</v>
      </c>
      <c r="E260" s="692"/>
      <c r="F260" s="692"/>
      <c r="G260" s="692"/>
      <c r="H260" s="692" t="str">
        <f>IFERROR(VLOOKUP(J260,'03. THIẾT BỊ'!$B$1:$U$836,19,0),"")</f>
        <v/>
      </c>
      <c r="I260" s="463" t="str">
        <f>IFERROR(VLOOKUP(J260,'03. THIẾT BỊ'!$B$1:$U$836,20,0),"")</f>
        <v/>
      </c>
      <c r="J260" s="464" t="s">
        <v>5191</v>
      </c>
      <c r="K260" s="740" t="s">
        <v>4158</v>
      </c>
      <c r="L260" s="744"/>
      <c r="M260" s="744"/>
      <c r="N260" s="692" t="str">
        <f>IFERROR(VLOOKUP(J260,'03. THIẾT BỊ'!$B$1:$U$836,4,0),"")</f>
        <v>MUA MỚI</v>
      </c>
      <c r="O260" s="692" t="str">
        <f>IFERROR(VLOOKUP(J260,'03. THIẾT BỊ'!$B$1:$U$836,7,0),"")</f>
        <v>XN Bò AD</v>
      </c>
      <c r="P260" s="559" t="str">
        <f>IFERROR(VLOOKUP(O260,'NS QUẢN LÝ CG'!$A$4:$D$36,2,0),"")</f>
        <v>Trần Văn Nam</v>
      </c>
      <c r="Q260" s="559" t="str">
        <f>IFERROR(VLOOKUP(O260,'NS QUẢN LÝ CG'!$A$4:$D$36,4,0),"")</f>
        <v>Lô 28 XN Bò</v>
      </c>
      <c r="R260" s="559" t="str">
        <f>IFERROR(VLOOKUP(O260,'NS QUẢN LÝ CG'!$A$4:$C$36,3,0),"")</f>
        <v>0971993540</v>
      </c>
      <c r="S260" s="532" t="str">
        <f>IFERROR(VLOOKUP(J260,'03. THIẾT BỊ'!$B$1:$S$836,3,0),"")</f>
        <v>A22-RVO-003</v>
      </c>
      <c r="T260" s="693" t="str">
        <f t="shared" si="5"/>
        <v>ADM</v>
      </c>
      <c r="U260" s="693"/>
    </row>
    <row r="261">
      <c r="A261" s="692"/>
      <c r="B261" s="694"/>
      <c r="C261" s="532" t="str">
        <f>IFERROR(VLOOKUP(J261,'03. THIẾT BỊ'!$B$1:$U$836,5,0),"")</f>
        <v>Cắt cỏ gốc</v>
      </c>
      <c r="D261" s="463">
        <v>1.0</v>
      </c>
      <c r="E261" s="692"/>
      <c r="F261" s="692"/>
      <c r="G261" s="692"/>
      <c r="H261" s="692" t="str">
        <f>IFERROR(VLOOKUP(J261,'03. THIẾT BỊ'!$B$1:$U$836,19,0),"")</f>
        <v/>
      </c>
      <c r="I261" s="463" t="str">
        <f>IFERROR(VLOOKUP(J261,'03. THIẾT BỊ'!$B$1:$U$836,20,0),"")</f>
        <v/>
      </c>
      <c r="J261" s="464" t="s">
        <v>5213</v>
      </c>
      <c r="K261" s="745"/>
      <c r="L261" s="746" t="s">
        <v>4158</v>
      </c>
      <c r="M261" s="744"/>
      <c r="N261" s="692" t="str">
        <f>IFERROR(VLOOKUP(J261,'03. THIẾT BỊ'!$B$1:$U$836,4,0),"")</f>
        <v>ĐQSD</v>
      </c>
      <c r="O261" s="692" t="str">
        <f>IFERROR(VLOOKUP(J261,'03. THIẾT BỊ'!$B$1:$U$836,7,0),"")</f>
        <v>XN Bò AD</v>
      </c>
      <c r="P261" s="559" t="str">
        <f>IFERROR(VLOOKUP(O261,'NS QUẢN LÝ CG'!$A$4:$D$36,2,0),"")</f>
        <v>Trần Văn Nam</v>
      </c>
      <c r="Q261" s="559" t="str">
        <f>IFERROR(VLOOKUP(O261,'NS QUẢN LÝ CG'!$A$4:$D$36,4,0),"")</f>
        <v>Lô 28 XN Bò</v>
      </c>
      <c r="R261" s="559" t="str">
        <f>IFERROR(VLOOKUP(O261,'NS QUẢN LÝ CG'!$A$4:$C$36,3,0),"")</f>
        <v>0971993540</v>
      </c>
      <c r="S261" s="532" t="str">
        <f>IFERROR(VLOOKUP(J261,'03. THIẾT BỊ'!$B$1:$S$836,3,0),"")</f>
        <v>A22-CCG-001</v>
      </c>
      <c r="T261" s="693" t="str">
        <f t="shared" si="5"/>
        <v>ADM</v>
      </c>
      <c r="U261" s="693"/>
    </row>
    <row r="262">
      <c r="A262" s="692"/>
      <c r="B262" s="694"/>
      <c r="C262" s="532" t="str">
        <f>IFERROR(VLOOKUP(J262,'03. THIẾT BỊ'!$B$1:$U$836,5,0),"")</f>
        <v>Thiết bị xới cỏ</v>
      </c>
      <c r="D262" s="463">
        <v>1.0</v>
      </c>
      <c r="E262" s="692"/>
      <c r="F262" s="692"/>
      <c r="G262" s="692"/>
      <c r="H262" s="692" t="str">
        <f>IFERROR(VLOOKUP(J262,'03. THIẾT BỊ'!$B$1:$U$836,19,0),"")</f>
        <v/>
      </c>
      <c r="I262" s="463" t="str">
        <f>IFERROR(VLOOKUP(J262,'03. THIẾT BỊ'!$B$1:$U$836,20,0),"")</f>
        <v/>
      </c>
      <c r="J262" s="464" t="s">
        <v>5381</v>
      </c>
      <c r="K262" s="745"/>
      <c r="L262" s="746" t="s">
        <v>4158</v>
      </c>
      <c r="M262" s="744"/>
      <c r="N262" s="692" t="str">
        <f>IFERROR(VLOOKUP(J262,'03. THIẾT BỊ'!$B$1:$U$836,4,0),"")</f>
        <v>ĐQSD</v>
      </c>
      <c r="O262" s="692" t="str">
        <f>IFERROR(VLOOKUP(J262,'03. THIẾT BỊ'!$B$1:$U$836,7,0),"")</f>
        <v>XN Bò AD</v>
      </c>
      <c r="P262" s="559" t="str">
        <f>IFERROR(VLOOKUP(O262,'NS QUẢN LÝ CG'!$A$4:$D$36,2,0),"")</f>
        <v>Trần Văn Nam</v>
      </c>
      <c r="Q262" s="559" t="str">
        <f>IFERROR(VLOOKUP(O262,'NS QUẢN LÝ CG'!$A$4:$D$36,4,0),"")</f>
        <v>Lô 28 XN Bò</v>
      </c>
      <c r="R262" s="559" t="str">
        <f>IFERROR(VLOOKUP(O262,'NS QUẢN LÝ CG'!$A$4:$C$36,3,0),"")</f>
        <v>0971993540</v>
      </c>
      <c r="S262" s="532" t="str">
        <f>IFERROR(VLOOKUP(J262,'03. THIẾT BỊ'!$B$1:$S$836,3,0),"")</f>
        <v>A22-DXC-001</v>
      </c>
      <c r="T262" s="693" t="str">
        <f t="shared" si="5"/>
        <v>ADM</v>
      </c>
      <c r="U262" s="693"/>
    </row>
    <row r="263">
      <c r="A263" s="692"/>
      <c r="B263" s="694"/>
      <c r="C263" s="532" t="str">
        <f>IFERROR(VLOOKUP(J263,'03. THIẾT BỊ'!$B$1:$U$836,5,0),"")</f>
        <v>Thiết bị cào xới váng</v>
      </c>
      <c r="D263" s="463">
        <v>1.0</v>
      </c>
      <c r="E263" s="692"/>
      <c r="F263" s="692"/>
      <c r="G263" s="692"/>
      <c r="H263" s="692" t="str">
        <f>IFERROR(VLOOKUP(J263,'03. THIẾT BỊ'!$B$1:$U$836,19,0),"")</f>
        <v/>
      </c>
      <c r="I263" s="463" t="str">
        <f>IFERROR(VLOOKUP(J263,'03. THIẾT BỊ'!$B$1:$U$836,20,0),"")</f>
        <v/>
      </c>
      <c r="J263" s="464" t="s">
        <v>5512</v>
      </c>
      <c r="K263" s="740" t="s">
        <v>4158</v>
      </c>
      <c r="L263" s="744"/>
      <c r="M263" s="744"/>
      <c r="N263" s="692" t="str">
        <f>IFERROR(VLOOKUP(J263,'03. THIẾT BỊ'!$B$1:$U$836,4,0),"")</f>
        <v>ĐQSD</v>
      </c>
      <c r="O263" s="692" t="str">
        <f>IFERROR(VLOOKUP(J263,'03. THIẾT BỊ'!$B$1:$U$836,7,0),"")</f>
        <v>XN Bò AD</v>
      </c>
      <c r="P263" s="559" t="str">
        <f>IFERROR(VLOOKUP(O263,'NS QUẢN LÝ CG'!$A$4:$D$36,2,0),"")</f>
        <v>Trần Văn Nam</v>
      </c>
      <c r="Q263" s="559" t="str">
        <f>IFERROR(VLOOKUP(O263,'NS QUẢN LÝ CG'!$A$4:$D$36,4,0),"")</f>
        <v>Lô 28 XN Bò</v>
      </c>
      <c r="R263" s="559" t="str">
        <f>IFERROR(VLOOKUP(O263,'NS QUẢN LÝ CG'!$A$4:$C$36,3,0),"")</f>
        <v>0971993540</v>
      </c>
      <c r="S263" s="532" t="str">
        <f>IFERROR(VLOOKUP(J263,'03. THIẾT BỊ'!$B$1:$S$836,3,0),"")</f>
        <v>A22-CXV-001</v>
      </c>
      <c r="T263" s="693" t="str">
        <f t="shared" si="5"/>
        <v>ADM</v>
      </c>
      <c r="U263" s="693"/>
    </row>
    <row r="264">
      <c r="A264" s="692"/>
      <c r="B264" s="694"/>
      <c r="C264" s="532" t="str">
        <f>IFERROR(VLOOKUP(J264,'03. THIẾT BỊ'!$B$1:$U$836,5,0),"")</f>
        <v>Thiết bị cào xới váng</v>
      </c>
      <c r="D264" s="463">
        <v>1.0</v>
      </c>
      <c r="E264" s="692"/>
      <c r="F264" s="692"/>
      <c r="G264" s="692"/>
      <c r="H264" s="692" t="str">
        <f>IFERROR(VLOOKUP(J264,'03. THIẾT BỊ'!$B$1:$U$836,19,0),"")</f>
        <v/>
      </c>
      <c r="I264" s="463" t="str">
        <f>IFERROR(VLOOKUP(J264,'03. THIẾT BỊ'!$B$1:$U$836,20,0),"")</f>
        <v/>
      </c>
      <c r="J264" s="464" t="s">
        <v>5518</v>
      </c>
      <c r="K264" s="740" t="s">
        <v>4158</v>
      </c>
      <c r="L264" s="744"/>
      <c r="M264" s="744"/>
      <c r="N264" s="692" t="str">
        <f>IFERROR(VLOOKUP(J264,'03. THIẾT BỊ'!$B$1:$U$836,4,0),"")</f>
        <v>ĐQSD</v>
      </c>
      <c r="O264" s="692" t="str">
        <f>IFERROR(VLOOKUP(J264,'03. THIẾT BỊ'!$B$1:$U$836,7,0),"")</f>
        <v>XN Bò AD</v>
      </c>
      <c r="P264" s="559" t="str">
        <f>IFERROR(VLOOKUP(O264,'NS QUẢN LÝ CG'!$A$4:$D$36,2,0),"")</f>
        <v>Trần Văn Nam</v>
      </c>
      <c r="Q264" s="559" t="str">
        <f>IFERROR(VLOOKUP(O264,'NS QUẢN LÝ CG'!$A$4:$D$36,4,0),"")</f>
        <v>Lô 28 XN Bò</v>
      </c>
      <c r="R264" s="559" t="str">
        <f>IFERROR(VLOOKUP(O264,'NS QUẢN LÝ CG'!$A$4:$C$36,3,0),"")</f>
        <v>0971993540</v>
      </c>
      <c r="S264" s="532" t="str">
        <f>IFERROR(VLOOKUP(J264,'03. THIẾT BỊ'!$B$1:$S$836,3,0),"")</f>
        <v>A22-CXV-002</v>
      </c>
      <c r="T264" s="693" t="str">
        <f t="shared" si="5"/>
        <v>ADM</v>
      </c>
      <c r="U264" s="693"/>
    </row>
    <row r="265">
      <c r="A265" s="692"/>
      <c r="B265" s="694"/>
      <c r="C265" s="532" t="str">
        <f>IFERROR(VLOOKUP(J265,'03. THIẾT BỊ'!$B$1:$U$836,5,0),"")</f>
        <v>Thiết bị phay cỏ (2 luống)</v>
      </c>
      <c r="D265" s="463">
        <v>1.0</v>
      </c>
      <c r="E265" s="692"/>
      <c r="F265" s="692"/>
      <c r="G265" s="692"/>
      <c r="H265" s="692">
        <f>IFERROR(VLOOKUP(J265,'03. THIẾT BỊ'!$B$1:$U$836,19,0),"")</f>
        <v>6.14</v>
      </c>
      <c r="I265" s="463" t="str">
        <f>IFERROR(VLOOKUP(J265,'03. THIẾT BỊ'!$B$1:$U$836,20,0),"")</f>
        <v>3.2 ha/8h</v>
      </c>
      <c r="J265" s="464" t="s">
        <v>5337</v>
      </c>
      <c r="K265" s="740" t="s">
        <v>4158</v>
      </c>
      <c r="L265" s="744"/>
      <c r="M265" s="744"/>
      <c r="N265" s="692" t="str">
        <f>IFERROR(VLOOKUP(J265,'03. THIẾT BỊ'!$B$1:$U$836,4,0),"")</f>
        <v>ĐQSD</v>
      </c>
      <c r="O265" s="692" t="str">
        <f>IFERROR(VLOOKUP(J265,'03. THIẾT BỊ'!$B$1:$U$836,7,0),"")</f>
        <v>XN Bò AD</v>
      </c>
      <c r="P265" s="559" t="str">
        <f>IFERROR(VLOOKUP(O265,'NS QUẢN LÝ CG'!$A$4:$D$36,2,0),"")</f>
        <v>Trần Văn Nam</v>
      </c>
      <c r="Q265" s="559" t="str">
        <f>IFERROR(VLOOKUP(O265,'NS QUẢN LÝ CG'!$A$4:$D$36,4,0),"")</f>
        <v>Lô 28 XN Bò</v>
      </c>
      <c r="R265" s="559" t="str">
        <f>IFERROR(VLOOKUP(O265,'NS QUẢN LÝ CG'!$A$4:$C$36,3,0),"")</f>
        <v>0971993540</v>
      </c>
      <c r="S265" s="532" t="str">
        <f>IFERROR(VLOOKUP(J265,'03. THIẾT BỊ'!$B$1:$S$836,3,0),"")</f>
        <v>A22-DPC-002</v>
      </c>
      <c r="T265" s="693" t="str">
        <f t="shared" si="5"/>
        <v>ADM</v>
      </c>
      <c r="U265" s="693"/>
    </row>
    <row r="266">
      <c r="A266" s="692"/>
      <c r="B266" s="694"/>
      <c r="C266" s="532" t="str">
        <f>IFERROR(VLOOKUP(J266,'03. THIẾT BỊ'!$B$1:$U$836,5,0),"")</f>
        <v>Thiết bị phay cỏ 1.5m</v>
      </c>
      <c r="D266" s="463">
        <v>1.0</v>
      </c>
      <c r="E266" s="692"/>
      <c r="F266" s="692"/>
      <c r="G266" s="692"/>
      <c r="H266" s="692">
        <f>IFERROR(VLOOKUP(J266,'03. THIẾT BỊ'!$B$1:$U$836,19,0),"")</f>
        <v>6.14</v>
      </c>
      <c r="I266" s="463" t="str">
        <f>IFERROR(VLOOKUP(J266,'03. THIẾT BỊ'!$B$1:$U$836,20,0),"")</f>
        <v>3.2 ha/8h</v>
      </c>
      <c r="J266" s="464" t="s">
        <v>5332</v>
      </c>
      <c r="K266" s="745"/>
      <c r="L266" s="746" t="s">
        <v>4158</v>
      </c>
      <c r="M266" s="744"/>
      <c r="N266" s="692" t="str">
        <f>IFERROR(VLOOKUP(J266,'03. THIẾT BỊ'!$B$1:$U$836,4,0),"")</f>
        <v>ĐQSD</v>
      </c>
      <c r="O266" s="692" t="str">
        <f>IFERROR(VLOOKUP(J266,'03. THIẾT BỊ'!$B$1:$U$836,7,0),"")</f>
        <v>XN Bò AD</v>
      </c>
      <c r="P266" s="559" t="str">
        <f>IFERROR(VLOOKUP(O266,'NS QUẢN LÝ CG'!$A$4:$D$36,2,0),"")</f>
        <v>Trần Văn Nam</v>
      </c>
      <c r="Q266" s="559" t="str">
        <f>IFERROR(VLOOKUP(O266,'NS QUẢN LÝ CG'!$A$4:$D$36,4,0),"")</f>
        <v>Lô 28 XN Bò</v>
      </c>
      <c r="R266" s="559" t="str">
        <f>IFERROR(VLOOKUP(O266,'NS QUẢN LÝ CG'!$A$4:$C$36,3,0),"")</f>
        <v>0971993540</v>
      </c>
      <c r="S266" s="532" t="str">
        <f>IFERROR(VLOOKUP(J266,'03. THIẾT BỊ'!$B$1:$S$836,3,0),"")</f>
        <v>A22-DPC-001</v>
      </c>
      <c r="T266" s="693" t="str">
        <f t="shared" si="5"/>
        <v>ADM</v>
      </c>
      <c r="U266" s="693"/>
    </row>
    <row r="267">
      <c r="A267" s="692"/>
      <c r="B267" s="694"/>
      <c r="C267" s="532" t="str">
        <f>IFERROR(VLOOKUP(J267,'03. THIẾT BỊ'!$B$1:$U$836,5,0),"")</f>
        <v>Cày rạch luống 4 rãnh</v>
      </c>
      <c r="D267" s="463">
        <v>1.0</v>
      </c>
      <c r="E267" s="692"/>
      <c r="F267" s="692"/>
      <c r="G267" s="692"/>
      <c r="H267" s="692" t="str">
        <f>IFERROR(VLOOKUP(J267,'03. THIẾT BỊ'!$B$1:$U$836,19,0),"")</f>
        <v/>
      </c>
      <c r="I267" s="463" t="str">
        <f>IFERROR(VLOOKUP(J267,'03. THIẾT BỊ'!$B$1:$U$836,20,0),"")</f>
        <v/>
      </c>
      <c r="J267" s="464" t="s">
        <v>5205</v>
      </c>
      <c r="K267" s="745"/>
      <c r="L267" s="741"/>
      <c r="M267" s="746" t="s">
        <v>4158</v>
      </c>
      <c r="N267" s="692" t="str">
        <f>IFERROR(VLOOKUP(J267,'03. THIẾT BỊ'!$B$1:$U$836,4,0),"")</f>
        <v>ĐQSD</v>
      </c>
      <c r="O267" s="692" t="str">
        <f>IFERROR(VLOOKUP(J267,'03. THIẾT BỊ'!$B$1:$U$836,7,0),"")</f>
        <v>XN Bò AD</v>
      </c>
      <c r="P267" s="559" t="str">
        <f>IFERROR(VLOOKUP(O267,'NS QUẢN LÝ CG'!$A$4:$D$36,2,0),"")</f>
        <v>Trần Văn Nam</v>
      </c>
      <c r="Q267" s="559" t="str">
        <f>IFERROR(VLOOKUP(O267,'NS QUẢN LÝ CG'!$A$4:$D$36,4,0),"")</f>
        <v>Lô 28 XN Bò</v>
      </c>
      <c r="R267" s="559" t="str">
        <f>IFERROR(VLOOKUP(O267,'NS QUẢN LÝ CG'!$A$4:$C$36,3,0),"")</f>
        <v>0971993540</v>
      </c>
      <c r="S267" s="532" t="str">
        <f>IFERROR(VLOOKUP(J267,'03. THIẾT BỊ'!$B$1:$S$836,3,0),"")</f>
        <v>A22-CRL-001</v>
      </c>
      <c r="T267" s="693" t="str">
        <f t="shared" si="5"/>
        <v>ADM</v>
      </c>
      <c r="U267" s="693"/>
    </row>
    <row r="268">
      <c r="A268" s="692"/>
      <c r="B268" s="694"/>
      <c r="C268" s="532" t="str">
        <f>IFERROR(VLOOKUP(J268,'03. THIẾT BỊ'!$B$1:$U$836,5,0),"")</f>
        <v>Cày rạch luống 2 rãnh</v>
      </c>
      <c r="D268" s="463">
        <v>1.0</v>
      </c>
      <c r="E268" s="692"/>
      <c r="F268" s="692"/>
      <c r="G268" s="692"/>
      <c r="H268" s="692" t="str">
        <f>IFERROR(VLOOKUP(J268,'03. THIẾT BỊ'!$B$1:$U$836,19,0),"")</f>
        <v/>
      </c>
      <c r="I268" s="463" t="str">
        <f>IFERROR(VLOOKUP(J268,'03. THIẾT BỊ'!$B$1:$U$836,20,0),"")</f>
        <v/>
      </c>
      <c r="J268" s="464" t="s">
        <v>5209</v>
      </c>
      <c r="K268" s="745"/>
      <c r="L268" s="741"/>
      <c r="M268" s="746" t="s">
        <v>4158</v>
      </c>
      <c r="N268" s="692" t="str">
        <f>IFERROR(VLOOKUP(J268,'03. THIẾT BỊ'!$B$1:$U$836,4,0),"")</f>
        <v>ĐQSD</v>
      </c>
      <c r="O268" s="692" t="str">
        <f>IFERROR(VLOOKUP(J268,'03. THIẾT BỊ'!$B$1:$U$836,7,0),"")</f>
        <v>XN Bò AD</v>
      </c>
      <c r="P268" s="559" t="str">
        <f>IFERROR(VLOOKUP(O268,'NS QUẢN LÝ CG'!$A$4:$D$36,2,0),"")</f>
        <v>Trần Văn Nam</v>
      </c>
      <c r="Q268" s="559" t="str">
        <f>IFERROR(VLOOKUP(O268,'NS QUẢN LÝ CG'!$A$4:$D$36,4,0),"")</f>
        <v>Lô 28 XN Bò</v>
      </c>
      <c r="R268" s="559" t="str">
        <f>IFERROR(VLOOKUP(O268,'NS QUẢN LÝ CG'!$A$4:$C$36,3,0),"")</f>
        <v>0971993540</v>
      </c>
      <c r="S268" s="532" t="str">
        <f>IFERROR(VLOOKUP(J268,'03. THIẾT BỊ'!$B$1:$S$836,3,0),"")</f>
        <v>A22-CRL-002</v>
      </c>
      <c r="T268" s="693" t="str">
        <f t="shared" si="5"/>
        <v>ADM</v>
      </c>
      <c r="U268" s="693"/>
    </row>
    <row r="269">
      <c r="A269" s="692"/>
      <c r="B269" s="694"/>
      <c r="C269" s="532" t="str">
        <f>IFERROR(VLOOKUP(J269,'03. THIẾT BỊ'!$B$1:$U$836,5,0),"")</f>
        <v>Thiết bị cày chăm bắp</v>
      </c>
      <c r="D269" s="463">
        <v>1.0</v>
      </c>
      <c r="E269" s="692"/>
      <c r="F269" s="692"/>
      <c r="G269" s="692"/>
      <c r="H269" s="692" t="str">
        <f>IFERROR(VLOOKUP(J269,'03. THIẾT BỊ'!$B$1:$U$836,19,0),"")</f>
        <v/>
      </c>
      <c r="I269" s="463" t="str">
        <f>IFERROR(VLOOKUP(J269,'03. THIẾT BỊ'!$B$1:$U$836,20,0),"")</f>
        <v/>
      </c>
      <c r="J269" s="464" t="s">
        <v>5471</v>
      </c>
      <c r="K269" s="740" t="s">
        <v>4158</v>
      </c>
      <c r="L269" s="744"/>
      <c r="M269" s="744"/>
      <c r="N269" s="692" t="str">
        <f>IFERROR(VLOOKUP(J269,'03. THIẾT BỊ'!$B$1:$U$836,4,0),"")</f>
        <v>ĐQSD</v>
      </c>
      <c r="O269" s="692" t="str">
        <f>IFERROR(VLOOKUP(J269,'03. THIẾT BỊ'!$B$1:$U$836,7,0),"")</f>
        <v>XN Bò AD</v>
      </c>
      <c r="P269" s="559" t="str">
        <f>IFERROR(VLOOKUP(O269,'NS QUẢN LÝ CG'!$A$4:$D$36,2,0),"")</f>
        <v>Trần Văn Nam</v>
      </c>
      <c r="Q269" s="559" t="str">
        <f>IFERROR(VLOOKUP(O269,'NS QUẢN LÝ CG'!$A$4:$D$36,4,0),"")</f>
        <v>Lô 28 XN Bò</v>
      </c>
      <c r="R269" s="559" t="str">
        <f>IFERROR(VLOOKUP(O269,'NS QUẢN LÝ CG'!$A$4:$C$36,3,0),"")</f>
        <v>0971993540</v>
      </c>
      <c r="S269" s="532" t="str">
        <f>IFERROR(VLOOKUP(J269,'03. THIẾT BỊ'!$B$1:$S$836,3,0),"")</f>
        <v>A22-CCB-001</v>
      </c>
      <c r="T269" s="693" t="str">
        <f t="shared" si="5"/>
        <v>ADM</v>
      </c>
      <c r="U269" s="693"/>
    </row>
    <row r="270">
      <c r="A270" s="692"/>
      <c r="B270" s="694"/>
      <c r="C270" s="532" t="str">
        <f>IFERROR(VLOOKUP(J270,'03. THIẾT BỊ'!$B$1:$U$836,5,0),"")</f>
        <v>Thiết bị phun thuốc bắp</v>
      </c>
      <c r="D270" s="463">
        <v>1.0</v>
      </c>
      <c r="E270" s="692"/>
      <c r="F270" s="692"/>
      <c r="G270" s="692"/>
      <c r="H270" s="692" t="str">
        <f>IFERROR(VLOOKUP(J270,'03. THIẾT BỊ'!$B$1:$U$836,19,0),"")</f>
        <v/>
      </c>
      <c r="I270" s="463" t="str">
        <f>IFERROR(VLOOKUP(J270,'03. THIẾT BỊ'!$B$1:$U$836,20,0),"")</f>
        <v/>
      </c>
      <c r="J270" s="464" t="s">
        <v>5477</v>
      </c>
      <c r="K270" s="740" t="s">
        <v>4158</v>
      </c>
      <c r="L270" s="744"/>
      <c r="M270" s="744"/>
      <c r="N270" s="692" t="str">
        <f>IFERROR(VLOOKUP(J270,'03. THIẾT BỊ'!$B$1:$U$836,4,0),"")</f>
        <v>MUA MỚI</v>
      </c>
      <c r="O270" s="692" t="str">
        <f>IFERROR(VLOOKUP(J270,'03. THIẾT BỊ'!$B$1:$U$836,7,0),"")</f>
        <v>XN Bò AD</v>
      </c>
      <c r="P270" s="559" t="str">
        <f>IFERROR(VLOOKUP(O270,'NS QUẢN LÝ CG'!$A$4:$D$36,2,0),"")</f>
        <v>Trần Văn Nam</v>
      </c>
      <c r="Q270" s="559" t="str">
        <f>IFERROR(VLOOKUP(O270,'NS QUẢN LÝ CG'!$A$4:$D$36,4,0),"")</f>
        <v>Lô 28 XN Bò</v>
      </c>
      <c r="R270" s="559" t="str">
        <f>IFERROR(VLOOKUP(O270,'NS QUẢN LÝ CG'!$A$4:$C$36,3,0),"")</f>
        <v>0971993540</v>
      </c>
      <c r="S270" s="532" t="str">
        <f>IFERROR(VLOOKUP(J270,'03. THIẾT BỊ'!$B$1:$S$836,3,0),"")</f>
        <v>A22-PTB-001</v>
      </c>
      <c r="T270" s="693" t="str">
        <f t="shared" si="5"/>
        <v>ADM</v>
      </c>
      <c r="U270" s="693"/>
    </row>
    <row r="271">
      <c r="A271" s="692"/>
      <c r="B271" s="58"/>
      <c r="C271" s="532" t="str">
        <f>IFERROR(VLOOKUP(J271,'03. THIẾT BỊ'!$B$1:$U$836,5,0),"")</f>
        <v>Thiết bị phun thuốc bắp</v>
      </c>
      <c r="D271" s="463">
        <v>1.0</v>
      </c>
      <c r="E271" s="692"/>
      <c r="F271" s="692"/>
      <c r="G271" s="692"/>
      <c r="H271" s="692" t="str">
        <f>IFERROR(VLOOKUP(J271,'03. THIẾT BỊ'!$B$1:$U$836,19,0),"")</f>
        <v/>
      </c>
      <c r="I271" s="463" t="str">
        <f>IFERROR(VLOOKUP(J271,'03. THIẾT BỊ'!$B$1:$U$836,20,0),"")</f>
        <v/>
      </c>
      <c r="J271" s="464" t="s">
        <v>5484</v>
      </c>
      <c r="K271" s="740" t="s">
        <v>4158</v>
      </c>
      <c r="L271" s="744"/>
      <c r="M271" s="744"/>
      <c r="N271" s="692" t="str">
        <f>IFERROR(VLOOKUP(J271,'03. THIẾT BỊ'!$B$1:$U$836,4,0),"")</f>
        <v>MUA MỚI</v>
      </c>
      <c r="O271" s="692" t="str">
        <f>IFERROR(VLOOKUP(J271,'03. THIẾT BỊ'!$B$1:$U$836,7,0),"")</f>
        <v>XN Bò AD</v>
      </c>
      <c r="P271" s="559" t="str">
        <f>IFERROR(VLOOKUP(O271,'NS QUẢN LÝ CG'!$A$4:$D$36,2,0),"")</f>
        <v>Trần Văn Nam</v>
      </c>
      <c r="Q271" s="559" t="str">
        <f>IFERROR(VLOOKUP(O271,'NS QUẢN LÝ CG'!$A$4:$D$36,4,0),"")</f>
        <v>Lô 28 XN Bò</v>
      </c>
      <c r="R271" s="559" t="str">
        <f>IFERROR(VLOOKUP(O271,'NS QUẢN LÝ CG'!$A$4:$C$36,3,0),"")</f>
        <v>0971993540</v>
      </c>
      <c r="S271" s="532" t="str">
        <f>IFERROR(VLOOKUP(J271,'03. THIẾT BỊ'!$B$1:$S$836,3,0),"")</f>
        <v>A22-PTB-002</v>
      </c>
      <c r="T271" s="693" t="str">
        <f t="shared" si="5"/>
        <v>ADM</v>
      </c>
      <c r="U271" s="693"/>
    </row>
    <row r="272">
      <c r="A272" s="692"/>
      <c r="B272" s="728"/>
      <c r="C272" s="532" t="str">
        <f>IFERROR(VLOOKUP(J272,'03. THIẾT BỊ'!$B$1:$U$836,5,0),"")</f>
        <v/>
      </c>
      <c r="D272" s="463"/>
      <c r="E272" s="692"/>
      <c r="F272" s="692"/>
      <c r="G272" s="692"/>
      <c r="H272" s="692" t="str">
        <f>IFERROR(VLOOKUP(J272,'03. THIẾT BỊ'!$B$1:$U$836,19,0),"")</f>
        <v/>
      </c>
      <c r="I272" s="463" t="str">
        <f>IFERROR(VLOOKUP(J272,'03. THIẾT BỊ'!$B$1:$U$836,20,0),"")</f>
        <v/>
      </c>
      <c r="J272" s="464"/>
      <c r="K272" s="463"/>
      <c r="L272" s="692"/>
      <c r="M272" s="692"/>
      <c r="N272" s="692" t="str">
        <f>IFERROR(VLOOKUP(J272,'03. THIẾT BỊ'!$B$1:$U$836,4,0),"")</f>
        <v/>
      </c>
      <c r="O272" s="692" t="str">
        <f>IFERROR(VLOOKUP(J272,'03. THIẾT BỊ'!$B$1:$U$836,7,0),"")</f>
        <v/>
      </c>
      <c r="P272" s="532"/>
      <c r="Q272" s="532"/>
      <c r="R272" s="532"/>
      <c r="S272" s="532" t="str">
        <f>IFERROR(VLOOKUP(J272,'03. THIẾT BỊ'!$B$1:$S$836,3,0),"")</f>
        <v/>
      </c>
      <c r="T272" s="693"/>
      <c r="U272" s="693"/>
    </row>
    <row r="273">
      <c r="A273" s="692"/>
      <c r="B273" s="728"/>
      <c r="C273" s="532" t="str">
        <f>IFERROR(VLOOKUP(J273,'03. THIẾT BỊ'!$B$1:$U$836,5,0),"")</f>
        <v/>
      </c>
      <c r="D273" s="463"/>
      <c r="E273" s="692"/>
      <c r="F273" s="692"/>
      <c r="G273" s="692"/>
      <c r="H273" s="692" t="str">
        <f>IFERROR(VLOOKUP(J273,'03. THIẾT BỊ'!$B$1:$U$836,19,0),"")</f>
        <v/>
      </c>
      <c r="I273" s="463" t="str">
        <f>IFERROR(VLOOKUP(J273,'03. THIẾT BỊ'!$B$1:$U$836,20,0),"")</f>
        <v/>
      </c>
      <c r="J273" s="464"/>
      <c r="K273" s="463"/>
      <c r="L273" s="692"/>
      <c r="M273" s="692"/>
      <c r="N273" s="692" t="str">
        <f>IFERROR(VLOOKUP(J273,'03. THIẾT BỊ'!$B$1:$U$836,4,0),"")</f>
        <v/>
      </c>
      <c r="O273" s="692" t="str">
        <f>IFERROR(VLOOKUP(J273,'03. THIẾT BỊ'!$B$1:$U$836,7,0),"")</f>
        <v/>
      </c>
      <c r="P273" s="532"/>
      <c r="Q273" s="532"/>
      <c r="R273" s="532"/>
      <c r="S273" s="532" t="str">
        <f>IFERROR(VLOOKUP(J273,'03. THIẾT BỊ'!$B$1:$S$836,3,0),"")</f>
        <v/>
      </c>
      <c r="T273" s="693"/>
      <c r="U273" s="693"/>
    </row>
    <row r="274">
      <c r="A274" s="739" t="s">
        <v>5908</v>
      </c>
      <c r="B274" s="23"/>
      <c r="C274" s="30"/>
      <c r="D274" s="687">
        <f>SUM(D275:D301)</f>
        <v>26</v>
      </c>
      <c r="E274" s="688"/>
      <c r="F274" s="688"/>
      <c r="G274" s="688"/>
      <c r="H274" s="688"/>
      <c r="I274" s="688"/>
      <c r="J274" s="689"/>
      <c r="K274" s="688"/>
      <c r="L274" s="688"/>
      <c r="M274" s="688"/>
      <c r="N274" s="689"/>
      <c r="O274" s="737"/>
      <c r="P274" s="689"/>
      <c r="Q274" s="689"/>
      <c r="R274" s="689"/>
      <c r="S274" s="689"/>
      <c r="T274" s="690"/>
      <c r="U274" s="690"/>
    </row>
    <row r="275">
      <c r="A275" s="692"/>
      <c r="B275" s="748" t="s">
        <v>5909</v>
      </c>
      <c r="C275" s="532" t="str">
        <f>IFERROR(VLOOKUP(J275,'03. THIẾT BỊ'!$B$1:$U$836,5,0),"")</f>
        <v>Thiết bị thu hoạch cỏ CHALLENGER II</v>
      </c>
      <c r="D275" s="463">
        <v>1.0</v>
      </c>
      <c r="E275" s="463"/>
      <c r="F275" s="692"/>
      <c r="G275" s="692"/>
      <c r="H275" s="692">
        <f>IFERROR(VLOOKUP(J275,'03. THIẾT BỊ'!$B$1:$U$836,19,0),"")</f>
        <v>10</v>
      </c>
      <c r="I275" s="463" t="str">
        <f>IFERROR(VLOOKUP(J275,'03. THIẾT BỊ'!$B$1:$U$836,20,0),"")</f>
        <v>55 tấn/8h</v>
      </c>
      <c r="J275" s="464" t="s">
        <v>4960</v>
      </c>
      <c r="K275" s="740" t="s">
        <v>4158</v>
      </c>
      <c r="L275" s="744"/>
      <c r="M275" s="744"/>
      <c r="N275" s="692" t="str">
        <f>IFERROR(VLOOKUP(J275,'03. THIẾT BỊ'!$B$1:$U$836,4,0),"")</f>
        <v>MUA MỚI</v>
      </c>
      <c r="O275" s="692" t="str">
        <f>IFERROR(VLOOKUP(J275,'03. THIẾT BỊ'!$B$1:$U$836,7,0),"")</f>
        <v>XN Bò AD</v>
      </c>
      <c r="P275" s="559" t="str">
        <f>IFERROR(VLOOKUP(O275,'NS QUẢN LÝ CG'!$A$4:$D$36,2,0),"")</f>
        <v>Trần Văn Nam</v>
      </c>
      <c r="Q275" s="559" t="str">
        <f>IFERROR(VLOOKUP(O275,'NS QUẢN LÝ CG'!$A$4:$D$36,4,0),"")</f>
        <v>Lô 28 XN Bò</v>
      </c>
      <c r="R275" s="559" t="str">
        <f>IFERROR(VLOOKUP(O275,'NS QUẢN LÝ CG'!$A$4:$C$36,3,0),"")</f>
        <v>0971993540</v>
      </c>
      <c r="S275" s="532" t="str">
        <f>IFERROR(VLOOKUP(J275,'03. THIẾT BỊ'!$B$1:$S$836,3,0),"")</f>
        <v>A22-THC-001</v>
      </c>
      <c r="T275" s="693" t="str">
        <f t="shared" ref="T275:T300" si="6">SWITCH(LEFT(S275,3),"A22","ADM","A23","DP","A24","LP","")</f>
        <v>ADM</v>
      </c>
      <c r="U275" s="693"/>
    </row>
    <row r="276">
      <c r="A276" s="692"/>
      <c r="C276" s="532" t="str">
        <f>IFERROR(VLOOKUP(J276,'03. THIẾT BỊ'!$B$1:$U$836,5,0),"")</f>
        <v>Thiết bị thu hoạch cỏ CHALLENGER II</v>
      </c>
      <c r="D276" s="463">
        <v>1.0</v>
      </c>
      <c r="E276" s="463"/>
      <c r="F276" s="692"/>
      <c r="G276" s="692"/>
      <c r="H276" s="692">
        <f>IFERROR(VLOOKUP(J276,'03. THIẾT BỊ'!$B$1:$U$836,19,0),"")</f>
        <v>10</v>
      </c>
      <c r="I276" s="463" t="str">
        <f>IFERROR(VLOOKUP(J276,'03. THIẾT BỊ'!$B$1:$U$836,20,0),"")</f>
        <v>55 tấn/8h</v>
      </c>
      <c r="J276" s="464" t="s">
        <v>4967</v>
      </c>
      <c r="K276" s="740" t="s">
        <v>4158</v>
      </c>
      <c r="L276" s="744"/>
      <c r="M276" s="744"/>
      <c r="N276" s="692" t="str">
        <f>IFERROR(VLOOKUP(J276,'03. THIẾT BỊ'!$B$1:$U$836,4,0),"")</f>
        <v>MUA MỚI</v>
      </c>
      <c r="O276" s="692" t="str">
        <f>IFERROR(VLOOKUP(J276,'03. THIẾT BỊ'!$B$1:$U$836,7,0),"")</f>
        <v>XN Bò AD</v>
      </c>
      <c r="P276" s="559" t="str">
        <f>IFERROR(VLOOKUP(O276,'NS QUẢN LÝ CG'!$A$4:$D$36,2,0),"")</f>
        <v>Trần Văn Nam</v>
      </c>
      <c r="Q276" s="559" t="str">
        <f>IFERROR(VLOOKUP(O276,'NS QUẢN LÝ CG'!$A$4:$D$36,4,0),"")</f>
        <v>Lô 28 XN Bò</v>
      </c>
      <c r="R276" s="559" t="str">
        <f>IFERROR(VLOOKUP(O276,'NS QUẢN LÝ CG'!$A$4:$C$36,3,0),"")</f>
        <v>0971993540</v>
      </c>
      <c r="S276" s="532" t="str">
        <f>IFERROR(VLOOKUP(J276,'03. THIẾT BỊ'!$B$1:$S$836,3,0),"")</f>
        <v>A22-THC-002</v>
      </c>
      <c r="T276" s="693" t="str">
        <f t="shared" si="6"/>
        <v>ADM</v>
      </c>
      <c r="U276" s="693"/>
    </row>
    <row r="277">
      <c r="A277" s="692"/>
      <c r="C277" s="532" t="str">
        <f>IFERROR(VLOOKUP(J277,'03. THIẾT BỊ'!$B$1:$U$836,5,0),"")</f>
        <v>Thiết bị thu hoạch cỏ CHALLENGER II PLUS</v>
      </c>
      <c r="D277" s="463">
        <v>1.0</v>
      </c>
      <c r="E277" s="463"/>
      <c r="F277" s="692"/>
      <c r="G277" s="692"/>
      <c r="H277" s="692">
        <f>IFERROR(VLOOKUP(J277,'03. THIẾT BỊ'!$B$1:$U$836,19,0),"")</f>
        <v>10</v>
      </c>
      <c r="I277" s="463" t="str">
        <f>IFERROR(VLOOKUP(J277,'03. THIẾT BỊ'!$B$1:$U$836,20,0),"")</f>
        <v>55 tấn/8h</v>
      </c>
      <c r="J277" s="464" t="s">
        <v>4970</v>
      </c>
      <c r="K277" s="740" t="s">
        <v>4158</v>
      </c>
      <c r="L277" s="744"/>
      <c r="M277" s="744"/>
      <c r="N277" s="692" t="str">
        <f>IFERROR(VLOOKUP(J277,'03. THIẾT BỊ'!$B$1:$U$836,4,0),"")</f>
        <v>MUA MỚI</v>
      </c>
      <c r="O277" s="692" t="str">
        <f>IFERROR(VLOOKUP(J277,'03. THIẾT BỊ'!$B$1:$U$836,7,0),"")</f>
        <v>XN Bò AD</v>
      </c>
      <c r="P277" s="559" t="str">
        <f>IFERROR(VLOOKUP(O277,'NS QUẢN LÝ CG'!$A$4:$D$36,2,0),"")</f>
        <v>Trần Văn Nam</v>
      </c>
      <c r="Q277" s="559" t="str">
        <f>IFERROR(VLOOKUP(O277,'NS QUẢN LÝ CG'!$A$4:$D$36,4,0),"")</f>
        <v>Lô 28 XN Bò</v>
      </c>
      <c r="R277" s="559" t="str">
        <f>IFERROR(VLOOKUP(O277,'NS QUẢN LÝ CG'!$A$4:$C$36,3,0),"")</f>
        <v>0971993540</v>
      </c>
      <c r="S277" s="532" t="str">
        <f>IFERROR(VLOOKUP(J277,'03. THIẾT BỊ'!$B$1:$S$836,3,0),"")</f>
        <v>A22-THC-003</v>
      </c>
      <c r="T277" s="693" t="str">
        <f t="shared" si="6"/>
        <v>ADM</v>
      </c>
      <c r="U277" s="693"/>
    </row>
    <row r="278">
      <c r="A278" s="692"/>
      <c r="C278" s="532" t="str">
        <f>IFERROR(VLOOKUP(J278,'03. THIẾT BỊ'!$B$1:$U$836,5,0),"")</f>
        <v>Thiết bị thu hoạch cỏ CHALLENGER II PLUS</v>
      </c>
      <c r="D278" s="463">
        <v>1.0</v>
      </c>
      <c r="E278" s="463"/>
      <c r="F278" s="692"/>
      <c r="G278" s="692"/>
      <c r="H278" s="692">
        <f>IFERROR(VLOOKUP(J278,'03. THIẾT BỊ'!$B$1:$U$836,19,0),"")</f>
        <v>10</v>
      </c>
      <c r="I278" s="463" t="str">
        <f>IFERROR(VLOOKUP(J278,'03. THIẾT BỊ'!$B$1:$U$836,20,0),"")</f>
        <v>55 tấn/8h</v>
      </c>
      <c r="J278" s="464" t="s">
        <v>4976</v>
      </c>
      <c r="K278" s="740" t="s">
        <v>4158</v>
      </c>
      <c r="L278" s="744"/>
      <c r="M278" s="744"/>
      <c r="N278" s="692" t="str">
        <f>IFERROR(VLOOKUP(J278,'03. THIẾT BỊ'!$B$1:$U$836,4,0),"")</f>
        <v>MUA MỚI</v>
      </c>
      <c r="O278" s="692" t="str">
        <f>IFERROR(VLOOKUP(J278,'03. THIẾT BỊ'!$B$1:$U$836,7,0),"")</f>
        <v>XN Bò AD</v>
      </c>
      <c r="P278" s="559" t="str">
        <f>IFERROR(VLOOKUP(O278,'NS QUẢN LÝ CG'!$A$4:$D$36,2,0),"")</f>
        <v>Trần Văn Nam</v>
      </c>
      <c r="Q278" s="559" t="str">
        <f>IFERROR(VLOOKUP(O278,'NS QUẢN LÝ CG'!$A$4:$D$36,4,0),"")</f>
        <v>Lô 28 XN Bò</v>
      </c>
      <c r="R278" s="559" t="str">
        <f>IFERROR(VLOOKUP(O278,'NS QUẢN LÝ CG'!$A$4:$C$36,3,0),"")</f>
        <v>0971993540</v>
      </c>
      <c r="S278" s="532" t="str">
        <f>IFERROR(VLOOKUP(J278,'03. THIẾT BỊ'!$B$1:$S$836,3,0),"")</f>
        <v>A22-THC-004</v>
      </c>
      <c r="T278" s="693" t="str">
        <f t="shared" si="6"/>
        <v>ADM</v>
      </c>
      <c r="U278" s="693"/>
    </row>
    <row r="279">
      <c r="A279" s="692"/>
      <c r="C279" s="532" t="str">
        <f>IFERROR(VLOOKUP(J279,'03. THIẾT BỊ'!$B$1:$U$836,5,0),"")</f>
        <v>Thiết bị thu hoạch cỏ thân mềm Calabria 1800</v>
      </c>
      <c r="D279" s="463">
        <v>1.0</v>
      </c>
      <c r="E279" s="463"/>
      <c r="F279" s="692"/>
      <c r="G279" s="692"/>
      <c r="H279" s="692">
        <f>IFERROR(VLOOKUP(J279,'03. THIẾT BỊ'!$B$1:$U$836,19,0),"")</f>
        <v>10</v>
      </c>
      <c r="I279" s="463" t="str">
        <f>IFERROR(VLOOKUP(J279,'03. THIẾT BỊ'!$B$1:$U$836,20,0),"")</f>
        <v>55 tấn/8h</v>
      </c>
      <c r="J279" s="464" t="s">
        <v>4979</v>
      </c>
      <c r="K279" s="740" t="s">
        <v>4158</v>
      </c>
      <c r="L279" s="744"/>
      <c r="M279" s="744"/>
      <c r="N279" s="692" t="str">
        <f>IFERROR(VLOOKUP(J279,'03. THIẾT BỊ'!$B$1:$U$836,4,0),"")</f>
        <v>MUA MỚI</v>
      </c>
      <c r="O279" s="692" t="str">
        <f>IFERROR(VLOOKUP(J279,'03. THIẾT BỊ'!$B$1:$U$836,7,0),"")</f>
        <v>XN Bò AD</v>
      </c>
      <c r="P279" s="559" t="str">
        <f>IFERROR(VLOOKUP(O279,'NS QUẢN LÝ CG'!$A$4:$D$36,2,0),"")</f>
        <v>Trần Văn Nam</v>
      </c>
      <c r="Q279" s="559" t="str">
        <f>IFERROR(VLOOKUP(O279,'NS QUẢN LÝ CG'!$A$4:$D$36,4,0),"")</f>
        <v>Lô 28 XN Bò</v>
      </c>
      <c r="R279" s="559" t="str">
        <f>IFERROR(VLOOKUP(O279,'NS QUẢN LÝ CG'!$A$4:$C$36,3,0),"")</f>
        <v>0971993540</v>
      </c>
      <c r="S279" s="532" t="str">
        <f>IFERROR(VLOOKUP(J279,'03. THIẾT BỊ'!$B$1:$S$836,3,0),"")</f>
        <v>A22-THC-005</v>
      </c>
      <c r="T279" s="693" t="str">
        <f t="shared" si="6"/>
        <v>ADM</v>
      </c>
      <c r="U279" s="693"/>
    </row>
    <row r="280">
      <c r="A280" s="692"/>
      <c r="C280" s="532" t="str">
        <f>IFERROR(VLOOKUP(J280,'03. THIẾT BỊ'!$B$1:$U$836,5,0),"")</f>
        <v>Thiết bị thu hoạch cỏ CHALLENGER IV</v>
      </c>
      <c r="D280" s="463">
        <v>1.0</v>
      </c>
      <c r="E280" s="463"/>
      <c r="F280" s="692"/>
      <c r="G280" s="692"/>
      <c r="H280" s="692">
        <f>IFERROR(VLOOKUP(J280,'03. THIẾT BỊ'!$B$1:$U$836,19,0),"")</f>
        <v>10</v>
      </c>
      <c r="I280" s="463" t="str">
        <f>IFERROR(VLOOKUP(J280,'03. THIẾT BỊ'!$B$1:$U$836,20,0),"")</f>
        <v>55 tấn/8h</v>
      </c>
      <c r="J280" s="464" t="s">
        <v>4985</v>
      </c>
      <c r="K280" s="740" t="s">
        <v>4158</v>
      </c>
      <c r="L280" s="744"/>
      <c r="M280" s="744"/>
      <c r="N280" s="692" t="str">
        <f>IFERROR(VLOOKUP(J280,'03. THIẾT BỊ'!$B$1:$U$836,4,0),"")</f>
        <v>MUA MỚI</v>
      </c>
      <c r="O280" s="692" t="str">
        <f>IFERROR(VLOOKUP(J280,'03. THIẾT BỊ'!$B$1:$U$836,7,0),"")</f>
        <v>XN Bò AD</v>
      </c>
      <c r="P280" s="559" t="str">
        <f>IFERROR(VLOOKUP(O280,'NS QUẢN LÝ CG'!$A$4:$D$36,2,0),"")</f>
        <v>Trần Văn Nam</v>
      </c>
      <c r="Q280" s="559" t="str">
        <f>IFERROR(VLOOKUP(O280,'NS QUẢN LÝ CG'!$A$4:$D$36,4,0),"")</f>
        <v>Lô 28 XN Bò</v>
      </c>
      <c r="R280" s="559" t="str">
        <f>IFERROR(VLOOKUP(O280,'NS QUẢN LÝ CG'!$A$4:$C$36,3,0),"")</f>
        <v>0971993540</v>
      </c>
      <c r="S280" s="532" t="str">
        <f>IFERROR(VLOOKUP(J280,'03. THIẾT BỊ'!$B$1:$S$836,3,0),"")</f>
        <v>A22-THC-006</v>
      </c>
      <c r="T280" s="693" t="str">
        <f t="shared" si="6"/>
        <v>ADM</v>
      </c>
      <c r="U280" s="693"/>
    </row>
    <row r="281">
      <c r="A281" s="692"/>
      <c r="C281" s="532" t="str">
        <f>IFERROR(VLOOKUP(J281,'03. THIẾT BỊ'!$B$1:$U$836,5,0),"")</f>
        <v>Thiết bị thu hoạch cỏ CHALLENGER IV</v>
      </c>
      <c r="D281" s="463">
        <v>1.0</v>
      </c>
      <c r="E281" s="463"/>
      <c r="F281" s="692"/>
      <c r="G281" s="692"/>
      <c r="H281" s="692">
        <f>IFERROR(VLOOKUP(J281,'03. THIẾT BỊ'!$B$1:$U$836,19,0),"")</f>
        <v>10</v>
      </c>
      <c r="I281" s="463" t="str">
        <f>IFERROR(VLOOKUP(J281,'03. THIẾT BỊ'!$B$1:$U$836,20,0),"")</f>
        <v>55 tấn/8h</v>
      </c>
      <c r="J281" s="464" t="s">
        <v>4991</v>
      </c>
      <c r="K281" s="740" t="s">
        <v>4158</v>
      </c>
      <c r="L281" s="744"/>
      <c r="M281" s="744"/>
      <c r="N281" s="692" t="str">
        <f>IFERROR(VLOOKUP(J281,'03. THIẾT BỊ'!$B$1:$U$836,4,0),"")</f>
        <v>MUA MỚI</v>
      </c>
      <c r="O281" s="692" t="str">
        <f>IFERROR(VLOOKUP(J281,'03. THIẾT BỊ'!$B$1:$U$836,7,0),"")</f>
        <v>XN Bò AD</v>
      </c>
      <c r="P281" s="559" t="str">
        <f>IFERROR(VLOOKUP(O281,'NS QUẢN LÝ CG'!$A$4:$D$36,2,0),"")</f>
        <v>Trần Văn Nam</v>
      </c>
      <c r="Q281" s="559" t="str">
        <f>IFERROR(VLOOKUP(O281,'NS QUẢN LÝ CG'!$A$4:$D$36,4,0),"")</f>
        <v>Lô 28 XN Bò</v>
      </c>
      <c r="R281" s="559" t="str">
        <f>IFERROR(VLOOKUP(O281,'NS QUẢN LÝ CG'!$A$4:$C$36,3,0),"")</f>
        <v>0971993540</v>
      </c>
      <c r="S281" s="532" t="str">
        <f>IFERROR(VLOOKUP(J281,'03. THIẾT BỊ'!$B$1:$S$836,3,0),"")</f>
        <v>A22-THC-007</v>
      </c>
      <c r="T281" s="693" t="str">
        <f t="shared" si="6"/>
        <v>ADM</v>
      </c>
      <c r="U281" s="693"/>
    </row>
    <row r="282">
      <c r="A282" s="692"/>
      <c r="C282" s="532" t="str">
        <f>IFERROR(VLOOKUP(J282,'03. THIẾT BỊ'!$B$1:$U$836,5,0),"")</f>
        <v>Thiết bị thu hoạch cỏ thân mềm Calabria 1800</v>
      </c>
      <c r="D282" s="463">
        <v>1.0</v>
      </c>
      <c r="E282" s="463"/>
      <c r="F282" s="692"/>
      <c r="G282" s="692"/>
      <c r="H282" s="692">
        <f>IFERROR(VLOOKUP(J282,'03. THIẾT BỊ'!$B$1:$U$836,19,0),"")</f>
        <v>10</v>
      </c>
      <c r="I282" s="463" t="str">
        <f>IFERROR(VLOOKUP(J282,'03. THIẾT BỊ'!$B$1:$U$836,20,0),"")</f>
        <v>55 tấn/8h</v>
      </c>
      <c r="J282" s="464" t="s">
        <v>4995</v>
      </c>
      <c r="K282" s="745"/>
      <c r="L282" s="746" t="s">
        <v>4158</v>
      </c>
      <c r="M282" s="744"/>
      <c r="N282" s="692" t="str">
        <f>IFERROR(VLOOKUP(J282,'03. THIẾT BỊ'!$B$1:$U$836,4,0),"")</f>
        <v>MUA MỚI</v>
      </c>
      <c r="O282" s="692" t="str">
        <f>IFERROR(VLOOKUP(J282,'03. THIẾT BỊ'!$B$1:$U$836,7,0),"")</f>
        <v>XN Bò AD</v>
      </c>
      <c r="P282" s="559" t="str">
        <f>IFERROR(VLOOKUP(O282,'NS QUẢN LÝ CG'!$A$4:$D$36,2,0),"")</f>
        <v>Trần Văn Nam</v>
      </c>
      <c r="Q282" s="559" t="str">
        <f>IFERROR(VLOOKUP(O282,'NS QUẢN LÝ CG'!$A$4:$D$36,4,0),"")</f>
        <v>Lô 28 XN Bò</v>
      </c>
      <c r="R282" s="559" t="str">
        <f>IFERROR(VLOOKUP(O282,'NS QUẢN LÝ CG'!$A$4:$C$36,3,0),"")</f>
        <v>0971993540</v>
      </c>
      <c r="S282" s="532" t="str">
        <f>IFERROR(VLOOKUP(J282,'03. THIẾT BỊ'!$B$1:$S$836,3,0),"")</f>
        <v>A22-THC-008</v>
      </c>
      <c r="T282" s="693" t="str">
        <f t="shared" si="6"/>
        <v>ADM</v>
      </c>
      <c r="U282" s="693"/>
    </row>
    <row r="283">
      <c r="A283" s="692"/>
      <c r="C283" s="532" t="str">
        <f>IFERROR(VLOOKUP(J283,'03. THIẾT BỊ'!$B$1:$U$836,5,0),"")</f>
        <v>Thiết bị thu hoạch cỏ thân mềm Calabria 1800</v>
      </c>
      <c r="D283" s="463">
        <v>1.0</v>
      </c>
      <c r="E283" s="463"/>
      <c r="F283" s="692"/>
      <c r="G283" s="692"/>
      <c r="H283" s="692">
        <f>IFERROR(VLOOKUP(J283,'03. THIẾT BỊ'!$B$1:$U$836,19,0),"")</f>
        <v>10</v>
      </c>
      <c r="I283" s="463" t="str">
        <f>IFERROR(VLOOKUP(J283,'03. THIẾT BỊ'!$B$1:$U$836,20,0),"")</f>
        <v>55 tấn/8h</v>
      </c>
      <c r="J283" s="464" t="s">
        <v>4998</v>
      </c>
      <c r="K283" s="740" t="s">
        <v>4158</v>
      </c>
      <c r="L283" s="744"/>
      <c r="M283" s="744"/>
      <c r="N283" s="692" t="str">
        <f>IFERROR(VLOOKUP(J283,'03. THIẾT BỊ'!$B$1:$U$836,4,0),"")</f>
        <v>MUA MỚI</v>
      </c>
      <c r="O283" s="692" t="str">
        <f>IFERROR(VLOOKUP(J283,'03. THIẾT BỊ'!$B$1:$U$836,7,0),"")</f>
        <v>XN Bò AD</v>
      </c>
      <c r="P283" s="559" t="str">
        <f>IFERROR(VLOOKUP(O283,'NS QUẢN LÝ CG'!$A$4:$D$36,2,0),"")</f>
        <v>Trần Văn Nam</v>
      </c>
      <c r="Q283" s="559" t="str">
        <f>IFERROR(VLOOKUP(O283,'NS QUẢN LÝ CG'!$A$4:$D$36,4,0),"")</f>
        <v>Lô 28 XN Bò</v>
      </c>
      <c r="R283" s="559" t="str">
        <f>IFERROR(VLOOKUP(O283,'NS QUẢN LÝ CG'!$A$4:$C$36,3,0),"")</f>
        <v>0971993540</v>
      </c>
      <c r="S283" s="532" t="str">
        <f>IFERROR(VLOOKUP(J283,'03. THIẾT BỊ'!$B$1:$S$836,3,0),"")</f>
        <v>A22-THC-009</v>
      </c>
      <c r="T283" s="693" t="str">
        <f t="shared" si="6"/>
        <v>ADM</v>
      </c>
      <c r="U283" s="693"/>
    </row>
    <row r="284">
      <c r="A284" s="692"/>
      <c r="C284" s="532" t="str">
        <f>IFERROR(VLOOKUP(J284,'03. THIẾT BỊ'!$B$1:$U$836,5,0),"")</f>
        <v>Thiết bị thu hoạch cỏ CHALLENGER IV</v>
      </c>
      <c r="D284" s="463">
        <v>1.0</v>
      </c>
      <c r="E284" s="463"/>
      <c r="F284" s="692"/>
      <c r="G284" s="692"/>
      <c r="H284" s="692">
        <f>IFERROR(VLOOKUP(J284,'03. THIẾT BỊ'!$B$1:$U$836,19,0),"")</f>
        <v>10</v>
      </c>
      <c r="I284" s="463" t="str">
        <f>IFERROR(VLOOKUP(J284,'03. THIẾT BỊ'!$B$1:$U$836,20,0),"")</f>
        <v>55 tấn/8h</v>
      </c>
      <c r="J284" s="464" t="s">
        <v>5001</v>
      </c>
      <c r="K284" s="740" t="s">
        <v>4158</v>
      </c>
      <c r="L284" s="744"/>
      <c r="M284" s="744"/>
      <c r="N284" s="692" t="str">
        <f>IFERROR(VLOOKUP(J284,'03. THIẾT BỊ'!$B$1:$U$836,4,0),"")</f>
        <v>MUA MỚI</v>
      </c>
      <c r="O284" s="692" t="str">
        <f>IFERROR(VLOOKUP(J284,'03. THIẾT BỊ'!$B$1:$U$836,7,0),"")</f>
        <v>XN Bò AD</v>
      </c>
      <c r="P284" s="559" t="str">
        <f>IFERROR(VLOOKUP(O284,'NS QUẢN LÝ CG'!$A$4:$D$36,2,0),"")</f>
        <v>Trần Văn Nam</v>
      </c>
      <c r="Q284" s="559" t="str">
        <f>IFERROR(VLOOKUP(O284,'NS QUẢN LÝ CG'!$A$4:$D$36,4,0),"")</f>
        <v>Lô 28 XN Bò</v>
      </c>
      <c r="R284" s="559" t="str">
        <f>IFERROR(VLOOKUP(O284,'NS QUẢN LÝ CG'!$A$4:$C$36,3,0),"")</f>
        <v>0971993540</v>
      </c>
      <c r="S284" s="532" t="str">
        <f>IFERROR(VLOOKUP(J284,'03. THIẾT BỊ'!$B$1:$S$836,3,0),"")</f>
        <v>A22-THC-010</v>
      </c>
      <c r="T284" s="693" t="str">
        <f t="shared" si="6"/>
        <v>ADM</v>
      </c>
      <c r="U284" s="693"/>
    </row>
    <row r="285">
      <c r="A285" s="692"/>
      <c r="C285" s="532" t="str">
        <f>IFERROR(VLOOKUP(J285,'03. THIẾT BỊ'!$B$1:$U$836,5,0),"")</f>
        <v>Thiết bị thu hoạch cỏ (KLH gia công)</v>
      </c>
      <c r="D285" s="463">
        <v>1.0</v>
      </c>
      <c r="E285" s="463"/>
      <c r="F285" s="692"/>
      <c r="G285" s="692"/>
      <c r="H285" s="692">
        <f>IFERROR(VLOOKUP(J285,'03. THIẾT BỊ'!$B$1:$U$836,19,0),"")</f>
        <v>10</v>
      </c>
      <c r="I285" s="463" t="str">
        <f>IFERROR(VLOOKUP(J285,'03. THIẾT BỊ'!$B$1:$U$836,20,0),"")</f>
        <v>55 tấn/8h</v>
      </c>
      <c r="J285" s="464" t="s">
        <v>5004</v>
      </c>
      <c r="K285" s="740" t="s">
        <v>4158</v>
      </c>
      <c r="L285" s="744"/>
      <c r="M285" s="744"/>
      <c r="N285" s="692" t="str">
        <f>IFERROR(VLOOKUP(J285,'03. THIẾT BỊ'!$B$1:$U$836,4,0),"")</f>
        <v>ĐQSD</v>
      </c>
      <c r="O285" s="692" t="str">
        <f>IFERROR(VLOOKUP(J285,'03. THIẾT BỊ'!$B$1:$U$836,7,0),"")</f>
        <v>XN Bò AD</v>
      </c>
      <c r="P285" s="559" t="str">
        <f>IFERROR(VLOOKUP(O285,'NS QUẢN LÝ CG'!$A$4:$D$36,2,0),"")</f>
        <v>Trần Văn Nam</v>
      </c>
      <c r="Q285" s="559" t="str">
        <f>IFERROR(VLOOKUP(O285,'NS QUẢN LÝ CG'!$A$4:$D$36,4,0),"")</f>
        <v>Lô 28 XN Bò</v>
      </c>
      <c r="R285" s="559" t="str">
        <f>IFERROR(VLOOKUP(O285,'NS QUẢN LÝ CG'!$A$4:$C$36,3,0),"")</f>
        <v>0971993540</v>
      </c>
      <c r="S285" s="532" t="str">
        <f>IFERROR(VLOOKUP(J285,'03. THIẾT BỊ'!$B$1:$S$836,3,0),"")</f>
        <v>A22-THC-011</v>
      </c>
      <c r="T285" s="693" t="str">
        <f t="shared" si="6"/>
        <v>ADM</v>
      </c>
      <c r="U285" s="693"/>
    </row>
    <row r="286">
      <c r="A286" s="692"/>
      <c r="C286" s="532" t="str">
        <f>IFERROR(VLOOKUP(J286,'03. THIẾT BỊ'!$B$1:$U$836,5,0),"")</f>
        <v>Thiết bị thu hoạch cỏ thân mềm Calabria 1800</v>
      </c>
      <c r="D286" s="463">
        <v>1.0</v>
      </c>
      <c r="E286" s="463"/>
      <c r="F286" s="692"/>
      <c r="G286" s="692"/>
      <c r="H286" s="692">
        <f>IFERROR(VLOOKUP(J286,'03. THIẾT BỊ'!$B$1:$U$836,19,0),"")</f>
        <v>10</v>
      </c>
      <c r="I286" s="463" t="str">
        <f>IFERROR(VLOOKUP(J286,'03. THIẾT BỊ'!$B$1:$U$836,20,0),"")</f>
        <v>55 tấn/8h</v>
      </c>
      <c r="J286" s="464" t="s">
        <v>5007</v>
      </c>
      <c r="K286" s="740" t="s">
        <v>4158</v>
      </c>
      <c r="L286" s="744"/>
      <c r="M286" s="744"/>
      <c r="N286" s="692" t="str">
        <f>IFERROR(VLOOKUP(J286,'03. THIẾT BỊ'!$B$1:$U$836,4,0),"")</f>
        <v>MUA MỚI</v>
      </c>
      <c r="O286" s="692" t="str">
        <f>IFERROR(VLOOKUP(J286,'03. THIẾT BỊ'!$B$1:$U$836,7,0),"")</f>
        <v>XN Bò AD</v>
      </c>
      <c r="P286" s="559" t="str">
        <f>IFERROR(VLOOKUP(O286,'NS QUẢN LÝ CG'!$A$4:$D$36,2,0),"")</f>
        <v>Trần Văn Nam</v>
      </c>
      <c r="Q286" s="559" t="str">
        <f>IFERROR(VLOOKUP(O286,'NS QUẢN LÝ CG'!$A$4:$D$36,4,0),"")</f>
        <v>Lô 28 XN Bò</v>
      </c>
      <c r="R286" s="559" t="str">
        <f>IFERROR(VLOOKUP(O286,'NS QUẢN LÝ CG'!$A$4:$C$36,3,0),"")</f>
        <v>0971993540</v>
      </c>
      <c r="S286" s="532" t="str">
        <f>IFERROR(VLOOKUP(J286,'03. THIẾT BỊ'!$B$1:$S$836,3,0),"")</f>
        <v>A22-THC-012</v>
      </c>
      <c r="T286" s="693" t="str">
        <f t="shared" si="6"/>
        <v>ADM</v>
      </c>
      <c r="U286" s="693"/>
    </row>
    <row r="287">
      <c r="A287" s="692"/>
      <c r="C287" s="532" t="str">
        <f>IFERROR(VLOOKUP(J287,'03. THIẾT BỊ'!$B$1:$U$836,5,0),"")</f>
        <v>Thiết bị thu hoạch cỏ thân mềm Calabria 2100</v>
      </c>
      <c r="D287" s="463">
        <v>1.0</v>
      </c>
      <c r="E287" s="463"/>
      <c r="F287" s="692"/>
      <c r="G287" s="692"/>
      <c r="H287" s="692">
        <f>IFERROR(VLOOKUP(J287,'03. THIẾT BỊ'!$B$1:$U$836,19,0),"")</f>
        <v>10</v>
      </c>
      <c r="I287" s="463" t="str">
        <f>IFERROR(VLOOKUP(J287,'03. THIẾT BỊ'!$B$1:$U$836,20,0),"")</f>
        <v>55 tấn/8h</v>
      </c>
      <c r="J287" s="464" t="s">
        <v>5012</v>
      </c>
      <c r="K287" s="740" t="s">
        <v>4158</v>
      </c>
      <c r="L287" s="744"/>
      <c r="M287" s="744"/>
      <c r="N287" s="692" t="str">
        <f>IFERROR(VLOOKUP(J287,'03. THIẾT BỊ'!$B$1:$U$836,4,0),"")</f>
        <v>MUA MỚI</v>
      </c>
      <c r="O287" s="692" t="str">
        <f>IFERROR(VLOOKUP(J287,'03. THIẾT BỊ'!$B$1:$U$836,7,0),"")</f>
        <v>XN Bò AD</v>
      </c>
      <c r="P287" s="559" t="str">
        <f>IFERROR(VLOOKUP(O287,'NS QUẢN LÝ CG'!$A$4:$D$36,2,0),"")</f>
        <v>Trần Văn Nam</v>
      </c>
      <c r="Q287" s="559" t="str">
        <f>IFERROR(VLOOKUP(O287,'NS QUẢN LÝ CG'!$A$4:$D$36,4,0),"")</f>
        <v>Lô 28 XN Bò</v>
      </c>
      <c r="R287" s="559" t="str">
        <f>IFERROR(VLOOKUP(O287,'NS QUẢN LÝ CG'!$A$4:$C$36,3,0),"")</f>
        <v>0971993540</v>
      </c>
      <c r="S287" s="532" t="str">
        <f>IFERROR(VLOOKUP(J287,'03. THIẾT BỊ'!$B$1:$S$836,3,0),"")</f>
        <v>A22-THC-013</v>
      </c>
      <c r="T287" s="693" t="str">
        <f t="shared" si="6"/>
        <v>ADM</v>
      </c>
      <c r="U287" s="693"/>
    </row>
    <row r="288">
      <c r="A288" s="692"/>
      <c r="C288" s="532" t="str">
        <f>IFERROR(VLOOKUP(J288,'03. THIẾT BỊ'!$B$1:$U$836,5,0),"")</f>
        <v>Thiết bị đóng bánh cỏ Balentine</v>
      </c>
      <c r="D288" s="463">
        <v>1.0</v>
      </c>
      <c r="E288" s="463"/>
      <c r="F288" s="692"/>
      <c r="G288" s="692"/>
      <c r="H288" s="692" t="str">
        <f>IFERROR(VLOOKUP(J288,'03. THIẾT BỊ'!$B$1:$U$836,19,0),"")</f>
        <v/>
      </c>
      <c r="I288" s="463" t="str">
        <f>IFERROR(VLOOKUP(J288,'03. THIẾT BỊ'!$B$1:$U$836,20,0),"")</f>
        <v/>
      </c>
      <c r="J288" s="464" t="s">
        <v>5017</v>
      </c>
      <c r="K288" s="740" t="s">
        <v>4158</v>
      </c>
      <c r="L288" s="744"/>
      <c r="M288" s="744"/>
      <c r="N288" s="692" t="str">
        <f>IFERROR(VLOOKUP(J288,'03. THIẾT BỊ'!$B$1:$U$836,4,0),"")</f>
        <v>MUA MỚI</v>
      </c>
      <c r="O288" s="692" t="str">
        <f>IFERROR(VLOOKUP(J288,'03. THIẾT BỊ'!$B$1:$U$836,7,0),"")</f>
        <v>XN Bò AD</v>
      </c>
      <c r="P288" s="559" t="str">
        <f>IFERROR(VLOOKUP(O288,'NS QUẢN LÝ CG'!$A$4:$D$36,2,0),"")</f>
        <v>Trần Văn Nam</v>
      </c>
      <c r="Q288" s="559" t="str">
        <f>IFERROR(VLOOKUP(O288,'NS QUẢN LÝ CG'!$A$4:$D$36,4,0),"")</f>
        <v>Lô 28 XN Bò</v>
      </c>
      <c r="R288" s="559" t="str">
        <f>IFERROR(VLOOKUP(O288,'NS QUẢN LÝ CG'!$A$4:$C$36,3,0),"")</f>
        <v>0971993540</v>
      </c>
      <c r="S288" s="532" t="str">
        <f>IFERROR(VLOOKUP(J288,'03. THIẾT BỊ'!$B$1:$S$836,3,0),"")</f>
        <v>A22-ĐBC-001</v>
      </c>
      <c r="T288" s="693" t="str">
        <f t="shared" si="6"/>
        <v>ADM</v>
      </c>
      <c r="U288" s="693"/>
    </row>
    <row r="289">
      <c r="A289" s="692"/>
      <c r="C289" s="532" t="str">
        <f>IFERROR(VLOOKUP(J289,'03. THIẾT BỊ'!$B$1:$U$836,5,0),"")</f>
        <v>Máy cuộn cỏ (gắn sau máy kéo)</v>
      </c>
      <c r="D289" s="463">
        <v>1.0</v>
      </c>
      <c r="E289" s="463"/>
      <c r="F289" s="692"/>
      <c r="G289" s="692"/>
      <c r="H289" s="692">
        <f>IFERROR(VLOOKUP(J289,'03. THIẾT BỊ'!$B$1:$U$836,19,0),"")</f>
        <v>0.3</v>
      </c>
      <c r="I289" s="463" t="str">
        <f>IFERROR(VLOOKUP(J289,'03. THIẾT BỊ'!$B$1:$U$836,20,0),"")</f>
        <v>52 cuộn/8h</v>
      </c>
      <c r="J289" s="464" t="s">
        <v>5255</v>
      </c>
      <c r="K289" s="745"/>
      <c r="L289" s="746" t="s">
        <v>4158</v>
      </c>
      <c r="M289" s="744"/>
      <c r="N289" s="692" t="str">
        <f>IFERROR(VLOOKUP(J289,'03. THIẾT BỊ'!$B$1:$U$836,4,0),"")</f>
        <v>ĐQSD</v>
      </c>
      <c r="O289" s="692" t="str">
        <f>IFERROR(VLOOKUP(J289,'03. THIẾT BỊ'!$B$1:$U$836,7,0),"")</f>
        <v>XN Bò AD</v>
      </c>
      <c r="P289" s="559" t="str">
        <f>IFERROR(VLOOKUP(O289,'NS QUẢN LÝ CG'!$A$4:$D$36,2,0),"")</f>
        <v>Trần Văn Nam</v>
      </c>
      <c r="Q289" s="559" t="str">
        <f>IFERROR(VLOOKUP(O289,'NS QUẢN LÝ CG'!$A$4:$D$36,4,0),"")</f>
        <v>Lô 28 XN Bò</v>
      </c>
      <c r="R289" s="559" t="str">
        <f>IFERROR(VLOOKUP(O289,'NS QUẢN LÝ CG'!$A$4:$C$36,3,0),"")</f>
        <v>0971993540</v>
      </c>
      <c r="S289" s="532" t="str">
        <f>IFERROR(VLOOKUP(J289,'03. THIẾT BỊ'!$B$1:$S$836,3,0),"")</f>
        <v>ATM-A22-0128</v>
      </c>
      <c r="T289" s="693" t="str">
        <f t="shared" si="6"/>
        <v/>
      </c>
      <c r="U289" s="693"/>
    </row>
    <row r="290">
      <c r="A290" s="692"/>
      <c r="C290" s="532" t="str">
        <f>IFERROR(VLOOKUP(J290,'03. THIẾT BỊ'!$B$1:$U$836,5,0),"")</f>
        <v>Máy cuộn cỏ (gắn sau máy kéo)</v>
      </c>
      <c r="D290" s="463">
        <v>1.0</v>
      </c>
      <c r="E290" s="463"/>
      <c r="F290" s="692"/>
      <c r="G290" s="692"/>
      <c r="H290" s="692">
        <f>IFERROR(VLOOKUP(J290,'03. THIẾT BỊ'!$B$1:$U$836,19,0),"")</f>
        <v>0.3</v>
      </c>
      <c r="I290" s="463" t="str">
        <f>IFERROR(VLOOKUP(J290,'03. THIẾT BỊ'!$B$1:$U$836,20,0),"")</f>
        <v>52 cuộn/8h</v>
      </c>
      <c r="J290" s="464" t="s">
        <v>5260</v>
      </c>
      <c r="K290" s="745"/>
      <c r="L290" s="746" t="s">
        <v>4158</v>
      </c>
      <c r="M290" s="744"/>
      <c r="N290" s="692" t="str">
        <f>IFERROR(VLOOKUP(J290,'03. THIẾT BỊ'!$B$1:$U$836,4,0),"")</f>
        <v>ĐQSD</v>
      </c>
      <c r="O290" s="692" t="str">
        <f>IFERROR(VLOOKUP(J290,'03. THIẾT BỊ'!$B$1:$U$836,7,0),"")</f>
        <v>XN Bò AD</v>
      </c>
      <c r="P290" s="559" t="str">
        <f>IFERROR(VLOOKUP(O290,'NS QUẢN LÝ CG'!$A$4:$D$36,2,0),"")</f>
        <v>Trần Văn Nam</v>
      </c>
      <c r="Q290" s="559" t="str">
        <f>IFERROR(VLOOKUP(O290,'NS QUẢN LÝ CG'!$A$4:$D$36,4,0),"")</f>
        <v>Lô 28 XN Bò</v>
      </c>
      <c r="R290" s="559" t="str">
        <f>IFERROR(VLOOKUP(O290,'NS QUẢN LÝ CG'!$A$4:$C$36,3,0),"")</f>
        <v>0971993540</v>
      </c>
      <c r="S290" s="532" t="str">
        <f>IFERROR(VLOOKUP(J290,'03. THIẾT BỊ'!$B$1:$S$836,3,0),"")</f>
        <v>A22-MCO-002</v>
      </c>
      <c r="T290" s="693" t="str">
        <f t="shared" si="6"/>
        <v>ADM</v>
      </c>
      <c r="U290" s="693"/>
    </row>
    <row r="291">
      <c r="A291" s="692"/>
      <c r="C291" s="532" t="str">
        <f>IFERROR(VLOOKUP(J291,'03. THIẾT BỊ'!$B$1:$U$836,5,0),"")</f>
        <v>Máy cuộn cỏ (gắn sau máy kéo)</v>
      </c>
      <c r="D291" s="463">
        <v>1.0</v>
      </c>
      <c r="E291" s="463"/>
      <c r="F291" s="692"/>
      <c r="G291" s="692"/>
      <c r="H291" s="692">
        <f>IFERROR(VLOOKUP(J291,'03. THIẾT BỊ'!$B$1:$U$836,19,0),"")</f>
        <v>0.3</v>
      </c>
      <c r="I291" s="463" t="str">
        <f>IFERROR(VLOOKUP(J291,'03. THIẾT BỊ'!$B$1:$U$836,20,0),"")</f>
        <v>52 cuộn/8h</v>
      </c>
      <c r="J291" s="464" t="s">
        <v>5262</v>
      </c>
      <c r="K291" s="745"/>
      <c r="L291" s="746" t="s">
        <v>4158</v>
      </c>
      <c r="M291" s="744"/>
      <c r="N291" s="692" t="str">
        <f>IFERROR(VLOOKUP(J291,'03. THIẾT BỊ'!$B$1:$U$836,4,0),"")</f>
        <v>ĐQSD</v>
      </c>
      <c r="O291" s="692" t="str">
        <f>IFERROR(VLOOKUP(J291,'03. THIẾT BỊ'!$B$1:$U$836,7,0),"")</f>
        <v>XN Bò AD</v>
      </c>
      <c r="P291" s="559" t="str">
        <f>IFERROR(VLOOKUP(O291,'NS QUẢN LÝ CG'!$A$4:$D$36,2,0),"")</f>
        <v>Trần Văn Nam</v>
      </c>
      <c r="Q291" s="559" t="str">
        <f>IFERROR(VLOOKUP(O291,'NS QUẢN LÝ CG'!$A$4:$D$36,4,0),"")</f>
        <v>Lô 28 XN Bò</v>
      </c>
      <c r="R291" s="559" t="str">
        <f>IFERROR(VLOOKUP(O291,'NS QUẢN LÝ CG'!$A$4:$C$36,3,0),"")</f>
        <v>0971993540</v>
      </c>
      <c r="S291" s="532" t="str">
        <f>IFERROR(VLOOKUP(J291,'03. THIẾT BỊ'!$B$1:$S$836,3,0),"")</f>
        <v>A22-MCO-003</v>
      </c>
      <c r="T291" s="693" t="str">
        <f t="shared" si="6"/>
        <v>ADM</v>
      </c>
      <c r="U291" s="693"/>
    </row>
    <row r="292">
      <c r="A292" s="692"/>
      <c r="C292" s="532" t="str">
        <f>IFERROR(VLOOKUP(J292,'03. THIẾT BỊ'!$B$1:$U$836,5,0),"")</f>
        <v>Máy cuộn cỏ (gắn sau máy kéo)</v>
      </c>
      <c r="D292" s="463">
        <v>1.0</v>
      </c>
      <c r="E292" s="463"/>
      <c r="F292" s="692"/>
      <c r="G292" s="692"/>
      <c r="H292" s="692">
        <f>IFERROR(VLOOKUP(J292,'03. THIẾT BỊ'!$B$1:$U$836,19,0),"")</f>
        <v>0.3</v>
      </c>
      <c r="I292" s="463" t="str">
        <f>IFERROR(VLOOKUP(J292,'03. THIẾT BỊ'!$B$1:$U$836,20,0),"")</f>
        <v>52 cuộn/8h</v>
      </c>
      <c r="J292" s="464" t="s">
        <v>5264</v>
      </c>
      <c r="K292" s="740" t="s">
        <v>4158</v>
      </c>
      <c r="L292" s="744"/>
      <c r="M292" s="744"/>
      <c r="N292" s="692" t="str">
        <f>IFERROR(VLOOKUP(J292,'03. THIẾT BỊ'!$B$1:$U$836,4,0),"")</f>
        <v>ĐQSD</v>
      </c>
      <c r="O292" s="692" t="str">
        <f>IFERROR(VLOOKUP(J292,'03. THIẾT BỊ'!$B$1:$U$836,7,0),"")</f>
        <v>XN Bò AD</v>
      </c>
      <c r="P292" s="559" t="str">
        <f>IFERROR(VLOOKUP(O292,'NS QUẢN LÝ CG'!$A$4:$D$36,2,0),"")</f>
        <v>Trần Văn Nam</v>
      </c>
      <c r="Q292" s="559" t="str">
        <f>IFERROR(VLOOKUP(O292,'NS QUẢN LÝ CG'!$A$4:$D$36,4,0),"")</f>
        <v>Lô 28 XN Bò</v>
      </c>
      <c r="R292" s="559" t="str">
        <f>IFERROR(VLOOKUP(O292,'NS QUẢN LÝ CG'!$A$4:$C$36,3,0),"")</f>
        <v>0971993540</v>
      </c>
      <c r="S292" s="532" t="str">
        <f>IFERROR(VLOOKUP(J292,'03. THIẾT BỊ'!$B$1:$S$836,3,0),"")</f>
        <v>A22-MCO-004</v>
      </c>
      <c r="T292" s="693" t="str">
        <f t="shared" si="6"/>
        <v>ADM</v>
      </c>
      <c r="U292" s="693"/>
    </row>
    <row r="293">
      <c r="A293" s="692"/>
      <c r="C293" s="532" t="str">
        <f>IFERROR(VLOOKUP(J293,'03. THIẾT BỊ'!$B$1:$U$836,5,0),"")</f>
        <v>Máy cuộn cỏ (gắn sau máy kéo)</v>
      </c>
      <c r="D293" s="463">
        <v>1.0</v>
      </c>
      <c r="E293" s="463"/>
      <c r="F293" s="692"/>
      <c r="G293" s="692"/>
      <c r="H293" s="692">
        <f>IFERROR(VLOOKUP(J293,'03. THIẾT BỊ'!$B$1:$U$836,19,0),"")</f>
        <v>0.3</v>
      </c>
      <c r="I293" s="463" t="str">
        <f>IFERROR(VLOOKUP(J293,'03. THIẾT BỊ'!$B$1:$U$836,20,0),"")</f>
        <v>52 cuộn/8h</v>
      </c>
      <c r="J293" s="464" t="s">
        <v>5267</v>
      </c>
      <c r="K293" s="740" t="s">
        <v>4158</v>
      </c>
      <c r="L293" s="744"/>
      <c r="M293" s="744"/>
      <c r="N293" s="692" t="str">
        <f>IFERROR(VLOOKUP(J293,'03. THIẾT BỊ'!$B$1:$U$836,4,0),"")</f>
        <v>ĐQSD</v>
      </c>
      <c r="O293" s="692" t="str">
        <f>IFERROR(VLOOKUP(J293,'03. THIẾT BỊ'!$B$1:$U$836,7,0),"")</f>
        <v>XN Bò AD</v>
      </c>
      <c r="P293" s="559" t="str">
        <f>IFERROR(VLOOKUP(O293,'NS QUẢN LÝ CG'!$A$4:$D$36,2,0),"")</f>
        <v>Trần Văn Nam</v>
      </c>
      <c r="Q293" s="559" t="str">
        <f>IFERROR(VLOOKUP(O293,'NS QUẢN LÝ CG'!$A$4:$D$36,4,0),"")</f>
        <v>Lô 28 XN Bò</v>
      </c>
      <c r="R293" s="559" t="str">
        <f>IFERROR(VLOOKUP(O293,'NS QUẢN LÝ CG'!$A$4:$C$36,3,0),"")</f>
        <v>0971993540</v>
      </c>
      <c r="S293" s="532" t="str">
        <f>IFERROR(VLOOKUP(J293,'03. THIẾT BỊ'!$B$1:$S$836,3,0),"")</f>
        <v>A22-CT-0194</v>
      </c>
      <c r="T293" s="693" t="str">
        <f t="shared" si="6"/>
        <v>ADM</v>
      </c>
      <c r="U293" s="693"/>
    </row>
    <row r="294">
      <c r="A294" s="692"/>
      <c r="C294" s="532" t="str">
        <f>IFERROR(VLOOKUP(J294,'03. THIẾT BỊ'!$B$1:$U$836,5,0),"")</f>
        <v>Thiết bị cắt cỏ đĩa quay</v>
      </c>
      <c r="D294" s="463">
        <v>1.0</v>
      </c>
      <c r="E294" s="463"/>
      <c r="F294" s="692"/>
      <c r="G294" s="692"/>
      <c r="H294" s="692" t="str">
        <f>IFERROR(VLOOKUP(J294,'03. THIẾT BỊ'!$B$1:$U$836,19,0),"")</f>
        <v/>
      </c>
      <c r="I294" s="463" t="str">
        <f>IFERROR(VLOOKUP(J294,'03. THIẾT BỊ'!$B$1:$U$836,20,0),"")</f>
        <v/>
      </c>
      <c r="J294" s="464" t="s">
        <v>5398</v>
      </c>
      <c r="K294" s="740" t="s">
        <v>4158</v>
      </c>
      <c r="L294" s="744"/>
      <c r="M294" s="744"/>
      <c r="N294" s="692" t="str">
        <f>IFERROR(VLOOKUP(J294,'03. THIẾT BỊ'!$B$1:$U$836,4,0),"")</f>
        <v>ĐQSD</v>
      </c>
      <c r="O294" s="692" t="str">
        <f>IFERROR(VLOOKUP(J294,'03. THIẾT BỊ'!$B$1:$U$836,7,0),"")</f>
        <v>XN Bò AD</v>
      </c>
      <c r="P294" s="559" t="str">
        <f>IFERROR(VLOOKUP(O294,'NS QUẢN LÝ CG'!$A$4:$D$36,2,0),"")</f>
        <v>Trần Văn Nam</v>
      </c>
      <c r="Q294" s="559" t="str">
        <f>IFERROR(VLOOKUP(O294,'NS QUẢN LÝ CG'!$A$4:$D$36,4,0),"")</f>
        <v>Lô 28 XN Bò</v>
      </c>
      <c r="R294" s="559" t="str">
        <f>IFERROR(VLOOKUP(O294,'NS QUẢN LÝ CG'!$A$4:$C$36,3,0),"")</f>
        <v>0971993540</v>
      </c>
      <c r="S294" s="532" t="str">
        <f>IFERROR(VLOOKUP(J294,'03. THIẾT BỊ'!$B$1:$S$836,3,0),"")</f>
        <v>A22-CĐQ-001</v>
      </c>
      <c r="T294" s="693" t="str">
        <f t="shared" si="6"/>
        <v>ADM</v>
      </c>
      <c r="U294" s="693"/>
    </row>
    <row r="295">
      <c r="A295" s="692"/>
      <c r="C295" s="532" t="str">
        <f>IFERROR(VLOOKUP(J295,'03. THIẾT BỊ'!$B$1:$U$836,5,0),"")</f>
        <v>Thiết bị cắt cỏ đĩa quay</v>
      </c>
      <c r="D295" s="463">
        <v>1.0</v>
      </c>
      <c r="E295" s="463"/>
      <c r="F295" s="692"/>
      <c r="G295" s="692"/>
      <c r="H295" s="692" t="str">
        <f>IFERROR(VLOOKUP(J295,'03. THIẾT BỊ'!$B$1:$U$836,19,0),"")</f>
        <v/>
      </c>
      <c r="I295" s="463" t="str">
        <f>IFERROR(VLOOKUP(J295,'03. THIẾT BỊ'!$B$1:$U$836,20,0),"")</f>
        <v/>
      </c>
      <c r="J295" s="464" t="s">
        <v>5404</v>
      </c>
      <c r="K295" s="745"/>
      <c r="L295" s="746" t="s">
        <v>4158</v>
      </c>
      <c r="M295" s="744"/>
      <c r="N295" s="692" t="str">
        <f>IFERROR(VLOOKUP(J295,'03. THIẾT BỊ'!$B$1:$U$836,4,0),"")</f>
        <v>ĐQSD</v>
      </c>
      <c r="O295" s="692" t="str">
        <f>IFERROR(VLOOKUP(J295,'03. THIẾT BỊ'!$B$1:$U$836,7,0),"")</f>
        <v>XN Bò AD</v>
      </c>
      <c r="P295" s="559" t="str">
        <f>IFERROR(VLOOKUP(O295,'NS QUẢN LÝ CG'!$A$4:$D$36,2,0),"")</f>
        <v>Trần Văn Nam</v>
      </c>
      <c r="Q295" s="559" t="str">
        <f>IFERROR(VLOOKUP(O295,'NS QUẢN LÝ CG'!$A$4:$D$36,4,0),"")</f>
        <v>Lô 28 XN Bò</v>
      </c>
      <c r="R295" s="559" t="str">
        <f>IFERROR(VLOOKUP(O295,'NS QUẢN LÝ CG'!$A$4:$C$36,3,0),"")</f>
        <v>0971993540</v>
      </c>
      <c r="S295" s="532" t="str">
        <f>IFERROR(VLOOKUP(J295,'03. THIẾT BỊ'!$B$1:$S$836,3,0),"")</f>
        <v>A22-CĐQ-002</v>
      </c>
      <c r="T295" s="693" t="str">
        <f t="shared" si="6"/>
        <v>ADM</v>
      </c>
      <c r="U295" s="693"/>
    </row>
    <row r="296">
      <c r="A296" s="692"/>
      <c r="C296" s="532" t="str">
        <f>IFERROR(VLOOKUP(J296,'03. THIẾT BỊ'!$B$1:$U$836,5,0),"")</f>
        <v>Thiết bị cắt cỏ đĩa quay</v>
      </c>
      <c r="D296" s="463">
        <v>1.0</v>
      </c>
      <c r="E296" s="463"/>
      <c r="F296" s="692"/>
      <c r="G296" s="692"/>
      <c r="H296" s="692" t="str">
        <f>IFERROR(VLOOKUP(J296,'03. THIẾT BỊ'!$B$1:$U$836,19,0),"")</f>
        <v/>
      </c>
      <c r="I296" s="463" t="str">
        <f>IFERROR(VLOOKUP(J296,'03. THIẾT BỊ'!$B$1:$U$836,20,0),"")</f>
        <v/>
      </c>
      <c r="J296" s="464" t="s">
        <v>5408</v>
      </c>
      <c r="K296" s="745"/>
      <c r="L296" s="746" t="s">
        <v>4158</v>
      </c>
      <c r="M296" s="744"/>
      <c r="N296" s="692" t="str">
        <f>IFERROR(VLOOKUP(J296,'03. THIẾT BỊ'!$B$1:$U$836,4,0),"")</f>
        <v>ĐQSD</v>
      </c>
      <c r="O296" s="692" t="str">
        <f>IFERROR(VLOOKUP(J296,'03. THIẾT BỊ'!$B$1:$U$836,7,0),"")</f>
        <v>XN Bò AD</v>
      </c>
      <c r="P296" s="559" t="str">
        <f>IFERROR(VLOOKUP(O296,'NS QUẢN LÝ CG'!$A$4:$D$36,2,0),"")</f>
        <v>Trần Văn Nam</v>
      </c>
      <c r="Q296" s="559" t="str">
        <f>IFERROR(VLOOKUP(O296,'NS QUẢN LÝ CG'!$A$4:$D$36,4,0),"")</f>
        <v>Lô 28 XN Bò</v>
      </c>
      <c r="R296" s="559" t="str">
        <f>IFERROR(VLOOKUP(O296,'NS QUẢN LÝ CG'!$A$4:$C$36,3,0),"")</f>
        <v>0971993540</v>
      </c>
      <c r="S296" s="532" t="str">
        <f>IFERROR(VLOOKUP(J296,'03. THIẾT BỊ'!$B$1:$S$836,3,0),"")</f>
        <v>A22-CĐQ-003</v>
      </c>
      <c r="T296" s="693" t="str">
        <f t="shared" si="6"/>
        <v>ADM</v>
      </c>
      <c r="U296" s="693"/>
    </row>
    <row r="297">
      <c r="A297" s="692"/>
      <c r="C297" s="532" t="str">
        <f>IFERROR(VLOOKUP(J297,'03. THIẾT BỊ'!$B$1:$U$836,5,0),"")</f>
        <v>Thiết bị cắt cỏ đĩa quay</v>
      </c>
      <c r="D297" s="463">
        <v>1.0</v>
      </c>
      <c r="E297" s="463"/>
      <c r="F297" s="692"/>
      <c r="G297" s="692"/>
      <c r="H297" s="692" t="str">
        <f>IFERROR(VLOOKUP(J297,'03. THIẾT BỊ'!$B$1:$U$836,19,0),"")</f>
        <v/>
      </c>
      <c r="I297" s="463" t="str">
        <f>IFERROR(VLOOKUP(J297,'03. THIẾT BỊ'!$B$1:$U$836,20,0),"")</f>
        <v/>
      </c>
      <c r="J297" s="464" t="s">
        <v>5413</v>
      </c>
      <c r="K297" s="740" t="s">
        <v>4158</v>
      </c>
      <c r="L297" s="744"/>
      <c r="M297" s="744"/>
      <c r="N297" s="692" t="str">
        <f>IFERROR(VLOOKUP(J297,'03. THIẾT BỊ'!$B$1:$U$836,4,0),"")</f>
        <v>ĐQSD</v>
      </c>
      <c r="O297" s="692" t="str">
        <f>IFERROR(VLOOKUP(J297,'03. THIẾT BỊ'!$B$1:$U$836,7,0),"")</f>
        <v>XN Bò AD</v>
      </c>
      <c r="P297" s="559" t="str">
        <f>IFERROR(VLOOKUP(O297,'NS QUẢN LÝ CG'!$A$4:$D$36,2,0),"")</f>
        <v>Trần Văn Nam</v>
      </c>
      <c r="Q297" s="559" t="str">
        <f>IFERROR(VLOOKUP(O297,'NS QUẢN LÝ CG'!$A$4:$D$36,4,0),"")</f>
        <v>Lô 28 XN Bò</v>
      </c>
      <c r="R297" s="559" t="str">
        <f>IFERROR(VLOOKUP(O297,'NS QUẢN LÝ CG'!$A$4:$C$36,3,0),"")</f>
        <v>0971993540</v>
      </c>
      <c r="S297" s="532" t="str">
        <f>IFERROR(VLOOKUP(J297,'03. THIẾT BỊ'!$B$1:$S$836,3,0),"")</f>
        <v>A22-CĐQ-004</v>
      </c>
      <c r="T297" s="693" t="str">
        <f t="shared" si="6"/>
        <v>ADM</v>
      </c>
      <c r="U297" s="693"/>
    </row>
    <row r="298">
      <c r="A298" s="692"/>
      <c r="C298" s="532" t="str">
        <f>IFERROR(VLOOKUP(J298,'03. THIẾT BỊ'!$B$1:$U$836,5,0),"")</f>
        <v>Thiết bị cắt cỏ - Mower</v>
      </c>
      <c r="D298" s="463">
        <v>1.0</v>
      </c>
      <c r="E298" s="463"/>
      <c r="F298" s="692"/>
      <c r="G298" s="692"/>
      <c r="H298" s="692" t="str">
        <f>IFERROR(VLOOKUP(J298,'03. THIẾT BỊ'!$B$1:$U$836,19,0),"")</f>
        <v/>
      </c>
      <c r="I298" s="463" t="str">
        <f>IFERROR(VLOOKUP(J298,'03. THIẾT BỊ'!$B$1:$U$836,20,0),"")</f>
        <v/>
      </c>
      <c r="J298" s="464" t="s">
        <v>5386</v>
      </c>
      <c r="K298" s="745"/>
      <c r="L298" s="746" t="s">
        <v>4158</v>
      </c>
      <c r="M298" s="744"/>
      <c r="N298" s="692" t="str">
        <f>IFERROR(VLOOKUP(J298,'03. THIẾT BỊ'!$B$1:$U$836,4,0),"")</f>
        <v>MUA MỚI</v>
      </c>
      <c r="O298" s="692" t="str">
        <f>IFERROR(VLOOKUP(J298,'03. THIẾT BỊ'!$B$1:$U$836,7,0),"")</f>
        <v>XN Bò AD</v>
      </c>
      <c r="P298" s="559" t="str">
        <f>IFERROR(VLOOKUP(O298,'NS QUẢN LÝ CG'!$A$4:$D$36,2,0),"")</f>
        <v>Trần Văn Nam</v>
      </c>
      <c r="Q298" s="559" t="str">
        <f>IFERROR(VLOOKUP(O298,'NS QUẢN LÝ CG'!$A$4:$D$36,4,0),"")</f>
        <v>Lô 28 XN Bò</v>
      </c>
      <c r="R298" s="559" t="str">
        <f>IFERROR(VLOOKUP(O298,'NS QUẢN LÝ CG'!$A$4:$C$36,3,0),"")</f>
        <v>0971993540</v>
      </c>
      <c r="S298" s="532" t="str">
        <f>IFERROR(VLOOKUP(J298,'03. THIẾT BỊ'!$B$1:$S$836,3,0),"")</f>
        <v>A22-DCC-001</v>
      </c>
      <c r="T298" s="693" t="str">
        <f t="shared" si="6"/>
        <v>ADM</v>
      </c>
      <c r="U298" s="693"/>
    </row>
    <row r="299">
      <c r="A299" s="692"/>
      <c r="C299" s="532" t="str">
        <f>IFERROR(VLOOKUP(J299,'03. THIẾT BỊ'!$B$1:$U$836,5,0),"")</f>
        <v>Thiết bị cắt cỏ - Mower</v>
      </c>
      <c r="D299" s="463">
        <v>1.0</v>
      </c>
      <c r="E299" s="463"/>
      <c r="F299" s="692"/>
      <c r="G299" s="692"/>
      <c r="H299" s="692" t="str">
        <f>IFERROR(VLOOKUP(J299,'03. THIẾT BỊ'!$B$1:$U$836,19,0),"")</f>
        <v/>
      </c>
      <c r="I299" s="463" t="str">
        <f>IFERROR(VLOOKUP(J299,'03. THIẾT BỊ'!$B$1:$U$836,20,0),"")</f>
        <v/>
      </c>
      <c r="J299" s="464" t="s">
        <v>5392</v>
      </c>
      <c r="K299" s="745"/>
      <c r="L299" s="746" t="s">
        <v>4158</v>
      </c>
      <c r="M299" s="744"/>
      <c r="N299" s="692" t="str">
        <f>IFERROR(VLOOKUP(J299,'03. THIẾT BỊ'!$B$1:$U$836,4,0),"")</f>
        <v>MUA MỚI</v>
      </c>
      <c r="O299" s="692" t="str">
        <f>IFERROR(VLOOKUP(J299,'03. THIẾT BỊ'!$B$1:$U$836,7,0),"")</f>
        <v>XN Bò AD</v>
      </c>
      <c r="P299" s="559" t="str">
        <f>IFERROR(VLOOKUP(O299,'NS QUẢN LÝ CG'!$A$4:$D$36,2,0),"")</f>
        <v>Trần Văn Nam</v>
      </c>
      <c r="Q299" s="559" t="str">
        <f>IFERROR(VLOOKUP(O299,'NS QUẢN LÝ CG'!$A$4:$D$36,4,0),"")</f>
        <v>Lô 28 XN Bò</v>
      </c>
      <c r="R299" s="559" t="str">
        <f>IFERROR(VLOOKUP(O299,'NS QUẢN LÝ CG'!$A$4:$C$36,3,0),"")</f>
        <v>0971993540</v>
      </c>
      <c r="S299" s="532" t="str">
        <f>IFERROR(VLOOKUP(J299,'03. THIẾT BỊ'!$B$1:$S$836,3,0),"")</f>
        <v>A22-DCC-002</v>
      </c>
      <c r="T299" s="693" t="str">
        <f t="shared" si="6"/>
        <v>ADM</v>
      </c>
      <c r="U299" s="693"/>
    </row>
    <row r="300">
      <c r="A300" s="692"/>
      <c r="C300" s="532" t="str">
        <f>IFERROR(VLOOKUP(J300,'03. THIẾT BỊ'!$B$1:$U$836,5,0),"")</f>
        <v>SMRM vận chuyển 50M3</v>
      </c>
      <c r="D300" s="463">
        <v>1.0</v>
      </c>
      <c r="E300" s="463"/>
      <c r="F300" s="692"/>
      <c r="G300" s="692"/>
      <c r="H300" s="692" t="str">
        <f>IFERROR(VLOOKUP(J300,'03. THIẾT BỊ'!$B$1:$U$836,19,0),"")</f>
        <v/>
      </c>
      <c r="I300" s="463" t="str">
        <f>IFERROR(VLOOKUP(J300,'03. THIẾT BỊ'!$B$1:$U$836,20,0),"")</f>
        <v/>
      </c>
      <c r="J300" s="464" t="s">
        <v>5117</v>
      </c>
      <c r="K300" s="740" t="s">
        <v>4158</v>
      </c>
      <c r="L300" s="744"/>
      <c r="M300" s="744"/>
      <c r="N300" s="692" t="str">
        <f>IFERROR(VLOOKUP(J300,'03. THIẾT BỊ'!$B$1:$U$836,4,0),"")</f>
        <v>MUA MỚI</v>
      </c>
      <c r="O300" s="692" t="str">
        <f>IFERROR(VLOOKUP(J300,'03. THIẾT BỊ'!$B$1:$U$836,7,0),"")</f>
        <v>XN Bò AD</v>
      </c>
      <c r="P300" s="559" t="str">
        <f>IFERROR(VLOOKUP(O300,'NS QUẢN LÝ CG'!$A$4:$D$36,2,0),"")</f>
        <v>Trần Văn Nam</v>
      </c>
      <c r="Q300" s="559" t="str">
        <f>IFERROR(VLOOKUP(O300,'NS QUẢN LÝ CG'!$A$4:$D$36,4,0),"")</f>
        <v>Lô 28 XN Bò</v>
      </c>
      <c r="R300" s="559" t="str">
        <f>IFERROR(VLOOKUP(O300,'NS QUẢN LÝ CG'!$A$4:$C$36,3,0),"")</f>
        <v>0971993540</v>
      </c>
      <c r="S300" s="532" t="str">
        <f>IFERROR(VLOOKUP(J300,'03. THIẾT BỊ'!$B$1:$S$836,3,0),"")</f>
        <v>A22-SMR-001</v>
      </c>
      <c r="T300" s="693" t="str">
        <f t="shared" si="6"/>
        <v>ADM</v>
      </c>
      <c r="U300" s="693"/>
    </row>
    <row r="301">
      <c r="A301" s="692"/>
      <c r="B301" s="728"/>
      <c r="C301" s="532" t="str">
        <f>IFERROR(VLOOKUP(J301,'03. THIẾT BỊ'!$B$1:$U$836,5,0),"")</f>
        <v/>
      </c>
      <c r="D301" s="463"/>
      <c r="E301" s="692"/>
      <c r="F301" s="692"/>
      <c r="G301" s="692"/>
      <c r="H301" s="692" t="str">
        <f>IFERROR(VLOOKUP(J301,'03. THIẾT BỊ'!$B$1:$U$836,19,0),"")</f>
        <v/>
      </c>
      <c r="I301" s="463" t="str">
        <f>IFERROR(VLOOKUP(J301,'03. THIẾT BỊ'!$B$1:$U$836,20,0),"")</f>
        <v/>
      </c>
      <c r="J301" s="464"/>
      <c r="K301" s="463"/>
      <c r="L301" s="692"/>
      <c r="M301" s="692"/>
      <c r="N301" s="692" t="str">
        <f>IFERROR(VLOOKUP(J301,'03. THIẾT BỊ'!$B$1:$U$836,4,0),"")</f>
        <v/>
      </c>
      <c r="O301" s="692" t="str">
        <f>IFERROR(VLOOKUP(J301,'03. THIẾT BỊ'!$B$1:$U$836,7,0),"")</f>
        <v/>
      </c>
      <c r="P301" s="532"/>
      <c r="Q301" s="532"/>
      <c r="R301" s="532"/>
      <c r="S301" s="532" t="str">
        <f>IFERROR(VLOOKUP(J301,'03. THIẾT BỊ'!$B$1:$S$836,3,0),"")</f>
        <v/>
      </c>
      <c r="T301" s="693"/>
      <c r="U301" s="693"/>
    </row>
    <row r="302">
      <c r="A302" s="730" t="s">
        <v>5924</v>
      </c>
      <c r="B302" s="23"/>
      <c r="C302" s="30"/>
      <c r="D302" s="731"/>
      <c r="E302" s="731"/>
      <c r="F302" s="731"/>
      <c r="G302" s="731"/>
      <c r="H302" s="731"/>
      <c r="I302" s="731"/>
      <c r="J302" s="732"/>
      <c r="K302" s="733"/>
      <c r="L302" s="734"/>
      <c r="M302" s="731"/>
      <c r="N302" s="735"/>
      <c r="O302" s="735"/>
      <c r="P302" s="735"/>
      <c r="Q302" s="735"/>
      <c r="R302" s="735"/>
      <c r="S302" s="735"/>
      <c r="T302" s="736"/>
      <c r="U302" s="736"/>
    </row>
    <row r="303">
      <c r="A303" s="739" t="s">
        <v>5925</v>
      </c>
      <c r="B303" s="23"/>
      <c r="C303" s="30"/>
      <c r="D303" s="687">
        <f>SUM(D304:D313)</f>
        <v>8</v>
      </c>
      <c r="E303" s="688"/>
      <c r="F303" s="688"/>
      <c r="G303" s="688"/>
      <c r="H303" s="688"/>
      <c r="I303" s="688"/>
      <c r="J303" s="689"/>
      <c r="K303" s="688"/>
      <c r="L303" s="688"/>
      <c r="M303" s="688"/>
      <c r="N303" s="689"/>
      <c r="O303" s="737"/>
      <c r="P303" s="689"/>
      <c r="Q303" s="689"/>
      <c r="R303" s="689"/>
      <c r="S303" s="689"/>
      <c r="T303" s="690"/>
      <c r="U303" s="690"/>
    </row>
    <row r="304">
      <c r="A304" s="692"/>
      <c r="B304" s="738" t="s">
        <v>5927</v>
      </c>
      <c r="C304" s="532" t="str">
        <f>IFERROR(VLOOKUP(J304,'03. THIẾT BỊ'!$B$1:$U$836,5,0),"")</f>
        <v>SMRM rải thức ăn TMR 50M3</v>
      </c>
      <c r="D304" s="463">
        <v>1.0</v>
      </c>
      <c r="E304" s="463"/>
      <c r="F304" s="692"/>
      <c r="G304" s="692"/>
      <c r="H304" s="692">
        <f>IFERROR(VLOOKUP(J304,'03. THIẾT BỊ'!$B$1:$U$836,19,0),"")</f>
        <v>5.25</v>
      </c>
      <c r="I304" s="463" t="str">
        <f>IFERROR(VLOOKUP(J304,'03. THIẾT BỊ'!$B$1:$U$836,20,0),"")</f>
        <v>84 tấn/8h</v>
      </c>
      <c r="J304" s="464" t="s">
        <v>5125</v>
      </c>
      <c r="K304" s="740" t="s">
        <v>4158</v>
      </c>
      <c r="L304" s="744"/>
      <c r="M304" s="692"/>
      <c r="N304" s="692" t="str">
        <f>IFERROR(VLOOKUP(J304,'03. THIẾT BỊ'!$B$1:$U$836,4,0),"")</f>
        <v>MUA MỚI</v>
      </c>
      <c r="O304" s="692" t="str">
        <f>IFERROR(VLOOKUP(J304,'03. THIẾT BỊ'!$B$1:$U$836,7,0),"")</f>
        <v>XN Bò AD</v>
      </c>
      <c r="P304" s="559" t="str">
        <f>IFERROR(VLOOKUP(O304,'NS QUẢN LÝ CG'!$A$4:$D$36,2,0),"")</f>
        <v>Trần Văn Nam</v>
      </c>
      <c r="Q304" s="559" t="str">
        <f>IFERROR(VLOOKUP(O304,'NS QUẢN LÝ CG'!$A$4:$D$36,4,0),"")</f>
        <v>Lô 28 XN Bò</v>
      </c>
      <c r="R304" s="559" t="str">
        <f>IFERROR(VLOOKUP(O304,'NS QUẢN LÝ CG'!$A$4:$C$36,3,0),"")</f>
        <v>0971993540</v>
      </c>
      <c r="S304" s="532" t="str">
        <f>IFERROR(VLOOKUP(J304,'03. THIẾT BỊ'!$B$1:$S$836,3,0),"")</f>
        <v>A22-MRT-002</v>
      </c>
      <c r="T304" s="693" t="str">
        <f t="shared" ref="T304:T311" si="7">SWITCH(LEFT(S304,3),"A22","ADM","A23","DP","A24","LP","")</f>
        <v>ADM</v>
      </c>
      <c r="U304" s="693"/>
    </row>
    <row r="305">
      <c r="A305" s="692"/>
      <c r="B305" s="694"/>
      <c r="C305" s="532" t="str">
        <f>IFERROR(VLOOKUP(J305,'03. THIẾT BỊ'!$B$1:$U$836,5,0),"")</f>
        <v>SMRM rải thức ăn TMR 50M3</v>
      </c>
      <c r="D305" s="463">
        <v>1.0</v>
      </c>
      <c r="E305" s="463"/>
      <c r="F305" s="692"/>
      <c r="G305" s="692"/>
      <c r="H305" s="692">
        <f>IFERROR(VLOOKUP(J305,'03. THIẾT BỊ'!$B$1:$U$836,19,0),"")</f>
        <v>5.25</v>
      </c>
      <c r="I305" s="463" t="str">
        <f>IFERROR(VLOOKUP(J305,'03. THIẾT BỊ'!$B$1:$U$836,20,0),"")</f>
        <v>84 tấn/8h</v>
      </c>
      <c r="J305" s="464" t="s">
        <v>5130</v>
      </c>
      <c r="K305" s="740" t="s">
        <v>4158</v>
      </c>
      <c r="L305" s="744"/>
      <c r="M305" s="692"/>
      <c r="N305" s="692" t="str">
        <f>IFERROR(VLOOKUP(J305,'03. THIẾT BỊ'!$B$1:$U$836,4,0),"")</f>
        <v>MUA MỚI</v>
      </c>
      <c r="O305" s="692" t="str">
        <f>IFERROR(VLOOKUP(J305,'03. THIẾT BỊ'!$B$1:$U$836,7,0),"")</f>
        <v>XN Bò AD</v>
      </c>
      <c r="P305" s="559" t="str">
        <f>IFERROR(VLOOKUP(O305,'NS QUẢN LÝ CG'!$A$4:$D$36,2,0),"")</f>
        <v>Trần Văn Nam</v>
      </c>
      <c r="Q305" s="559" t="str">
        <f>IFERROR(VLOOKUP(O305,'NS QUẢN LÝ CG'!$A$4:$D$36,4,0),"")</f>
        <v>Lô 28 XN Bò</v>
      </c>
      <c r="R305" s="559" t="str">
        <f>IFERROR(VLOOKUP(O305,'NS QUẢN LÝ CG'!$A$4:$C$36,3,0),"")</f>
        <v>0971993540</v>
      </c>
      <c r="S305" s="532" t="str">
        <f>IFERROR(VLOOKUP(J305,'03. THIẾT BỊ'!$B$1:$S$836,3,0),"")</f>
        <v>A22-MRT-003</v>
      </c>
      <c r="T305" s="693" t="str">
        <f t="shared" si="7"/>
        <v>ADM</v>
      </c>
      <c r="U305" s="693"/>
    </row>
    <row r="306">
      <c r="A306" s="692"/>
      <c r="B306" s="694"/>
      <c r="C306" s="532" t="str">
        <f>IFERROR(VLOOKUP(J306,'03. THIẾT BỊ'!$B$1:$U$836,5,0),"")</f>
        <v>SMRM rải thức ăn TMR 50M3</v>
      </c>
      <c r="D306" s="463">
        <v>1.0</v>
      </c>
      <c r="E306" s="463"/>
      <c r="F306" s="692"/>
      <c r="G306" s="692"/>
      <c r="H306" s="692">
        <f>IFERROR(VLOOKUP(J306,'03. THIẾT BỊ'!$B$1:$U$836,19,0),"")</f>
        <v>5.25</v>
      </c>
      <c r="I306" s="463" t="str">
        <f>IFERROR(VLOOKUP(J306,'03. THIẾT BỊ'!$B$1:$U$836,20,0),"")</f>
        <v>84 tấn/8h</v>
      </c>
      <c r="J306" s="464" t="s">
        <v>5133</v>
      </c>
      <c r="K306" s="740" t="s">
        <v>4158</v>
      </c>
      <c r="L306" s="744"/>
      <c r="M306" s="692"/>
      <c r="N306" s="692" t="str">
        <f>IFERROR(VLOOKUP(J306,'03. THIẾT BỊ'!$B$1:$U$836,4,0),"")</f>
        <v>MUA MỚI</v>
      </c>
      <c r="O306" s="692" t="str">
        <f>IFERROR(VLOOKUP(J306,'03. THIẾT BỊ'!$B$1:$U$836,7,0),"")</f>
        <v>XN Bò AD</v>
      </c>
      <c r="P306" s="559" t="str">
        <f>IFERROR(VLOOKUP(O306,'NS QUẢN LÝ CG'!$A$4:$D$36,2,0),"")</f>
        <v>Trần Văn Nam</v>
      </c>
      <c r="Q306" s="559" t="str">
        <f>IFERROR(VLOOKUP(O306,'NS QUẢN LÝ CG'!$A$4:$D$36,4,0),"")</f>
        <v>Lô 28 XN Bò</v>
      </c>
      <c r="R306" s="559" t="str">
        <f>IFERROR(VLOOKUP(O306,'NS QUẢN LÝ CG'!$A$4:$C$36,3,0),"")</f>
        <v>0971993540</v>
      </c>
      <c r="S306" s="532" t="str">
        <f>IFERROR(VLOOKUP(J306,'03. THIẾT BỊ'!$B$1:$S$836,3,0),"")</f>
        <v>A22-MRT-004</v>
      </c>
      <c r="T306" s="693" t="str">
        <f t="shared" si="7"/>
        <v>ADM</v>
      </c>
      <c r="U306" s="693"/>
    </row>
    <row r="307">
      <c r="A307" s="692"/>
      <c r="B307" s="694"/>
      <c r="C307" s="532" t="str">
        <f>IFERROR(VLOOKUP(J307,'03. THIẾT BỊ'!$B$1:$U$836,5,0),"")</f>
        <v>SMRM rải thức ăn TMR 50M3</v>
      </c>
      <c r="D307" s="463">
        <v>1.0</v>
      </c>
      <c r="E307" s="463"/>
      <c r="F307" s="692"/>
      <c r="G307" s="692"/>
      <c r="H307" s="692">
        <f>IFERROR(VLOOKUP(J307,'03. THIẾT BỊ'!$B$1:$U$836,19,0),"")</f>
        <v>5.25</v>
      </c>
      <c r="I307" s="463" t="str">
        <f>IFERROR(VLOOKUP(J307,'03. THIẾT BỊ'!$B$1:$U$836,20,0),"")</f>
        <v>84 tấn/8h</v>
      </c>
      <c r="J307" s="464" t="s">
        <v>5136</v>
      </c>
      <c r="K307" s="745"/>
      <c r="L307" s="746" t="s">
        <v>4158</v>
      </c>
      <c r="M307" s="692"/>
      <c r="N307" s="692" t="str">
        <f>IFERROR(VLOOKUP(J307,'03. THIẾT BỊ'!$B$1:$U$836,4,0),"")</f>
        <v>MUA MỚI</v>
      </c>
      <c r="O307" s="692" t="str">
        <f>IFERROR(VLOOKUP(J307,'03. THIẾT BỊ'!$B$1:$U$836,7,0),"")</f>
        <v>XN Bò AD</v>
      </c>
      <c r="P307" s="559" t="str">
        <f>IFERROR(VLOOKUP(O307,'NS QUẢN LÝ CG'!$A$4:$D$36,2,0),"")</f>
        <v>Trần Văn Nam</v>
      </c>
      <c r="Q307" s="559" t="str">
        <f>IFERROR(VLOOKUP(O307,'NS QUẢN LÝ CG'!$A$4:$D$36,4,0),"")</f>
        <v>Lô 28 XN Bò</v>
      </c>
      <c r="R307" s="559" t="str">
        <f>IFERROR(VLOOKUP(O307,'NS QUẢN LÝ CG'!$A$4:$C$36,3,0),"")</f>
        <v>0971993540</v>
      </c>
      <c r="S307" s="532" t="str">
        <f>IFERROR(VLOOKUP(J307,'03. THIẾT BỊ'!$B$1:$S$836,3,0),"")</f>
        <v>A22-MRT-005</v>
      </c>
      <c r="T307" s="693" t="str">
        <f t="shared" si="7"/>
        <v>ADM</v>
      </c>
      <c r="U307" s="693"/>
    </row>
    <row r="308">
      <c r="A308" s="692"/>
      <c r="B308" s="694"/>
      <c r="C308" s="532" t="str">
        <f>IFERROR(VLOOKUP(J308,'03. THIẾT BỊ'!$B$1:$U$836,5,0),"")</f>
        <v>SMRM rải thức ăn TMR 50M3</v>
      </c>
      <c r="D308" s="463">
        <v>1.0</v>
      </c>
      <c r="E308" s="463"/>
      <c r="F308" s="692"/>
      <c r="G308" s="692"/>
      <c r="H308" s="692">
        <f>IFERROR(VLOOKUP(J308,'03. THIẾT BỊ'!$B$1:$U$836,19,0),"")</f>
        <v>5.25</v>
      </c>
      <c r="I308" s="463" t="str">
        <f>IFERROR(VLOOKUP(J308,'03. THIẾT BỊ'!$B$1:$U$836,20,0),"")</f>
        <v>84 tấn/8h</v>
      </c>
      <c r="J308" s="464" t="s">
        <v>5139</v>
      </c>
      <c r="K308" s="745"/>
      <c r="L308" s="746" t="s">
        <v>4158</v>
      </c>
      <c r="M308" s="692"/>
      <c r="N308" s="692" t="str">
        <f>IFERROR(VLOOKUP(J308,'03. THIẾT BỊ'!$B$1:$U$836,4,0),"")</f>
        <v>MUA MỚI</v>
      </c>
      <c r="O308" s="692" t="str">
        <f>IFERROR(VLOOKUP(J308,'03. THIẾT BỊ'!$B$1:$U$836,7,0),"")</f>
        <v>XN Bò AD</v>
      </c>
      <c r="P308" s="559" t="str">
        <f>IFERROR(VLOOKUP(O308,'NS QUẢN LÝ CG'!$A$4:$D$36,2,0),"")</f>
        <v>Trần Văn Nam</v>
      </c>
      <c r="Q308" s="559" t="str">
        <f>IFERROR(VLOOKUP(O308,'NS QUẢN LÝ CG'!$A$4:$D$36,4,0),"")</f>
        <v>Lô 28 XN Bò</v>
      </c>
      <c r="R308" s="559" t="str">
        <f>IFERROR(VLOOKUP(O308,'NS QUẢN LÝ CG'!$A$4:$C$36,3,0),"")</f>
        <v>0971993540</v>
      </c>
      <c r="S308" s="532" t="str">
        <f>IFERROR(VLOOKUP(J308,'03. THIẾT BỊ'!$B$1:$S$836,3,0),"")</f>
        <v>A22-MRT-006</v>
      </c>
      <c r="T308" s="693" t="str">
        <f t="shared" si="7"/>
        <v>ADM</v>
      </c>
      <c r="U308" s="693"/>
    </row>
    <row r="309">
      <c r="A309" s="692"/>
      <c r="B309" s="694"/>
      <c r="C309" s="532" t="str">
        <f>IFERROR(VLOOKUP(J309,'03. THIẾT BỊ'!$B$1:$U$836,5,0),"")</f>
        <v>SMRM rải thức ăn TMR 50M3</v>
      </c>
      <c r="D309" s="463">
        <v>1.0</v>
      </c>
      <c r="E309" s="463"/>
      <c r="F309" s="692"/>
      <c r="G309" s="692"/>
      <c r="H309" s="692">
        <f>IFERROR(VLOOKUP(J309,'03. THIẾT BỊ'!$B$1:$U$836,19,0),"")</f>
        <v>5.25</v>
      </c>
      <c r="I309" s="463" t="str">
        <f>IFERROR(VLOOKUP(J309,'03. THIẾT BỊ'!$B$1:$U$836,20,0),"")</f>
        <v>84 tấn/8h</v>
      </c>
      <c r="J309" s="464" t="s">
        <v>5142</v>
      </c>
      <c r="K309" s="740" t="s">
        <v>4158</v>
      </c>
      <c r="L309" s="744"/>
      <c r="M309" s="692"/>
      <c r="N309" s="692" t="str">
        <f>IFERROR(VLOOKUP(J309,'03. THIẾT BỊ'!$B$1:$U$836,4,0),"")</f>
        <v>MUA MỚI</v>
      </c>
      <c r="O309" s="692" t="str">
        <f>IFERROR(VLOOKUP(J309,'03. THIẾT BỊ'!$B$1:$U$836,7,0),"")</f>
        <v>XN Bò AD</v>
      </c>
      <c r="P309" s="559" t="str">
        <f>IFERROR(VLOOKUP(O309,'NS QUẢN LÝ CG'!$A$4:$D$36,2,0),"")</f>
        <v>Trần Văn Nam</v>
      </c>
      <c r="Q309" s="559" t="str">
        <f>IFERROR(VLOOKUP(O309,'NS QUẢN LÝ CG'!$A$4:$D$36,4,0),"")</f>
        <v>Lô 28 XN Bò</v>
      </c>
      <c r="R309" s="559" t="str">
        <f>IFERROR(VLOOKUP(O309,'NS QUẢN LÝ CG'!$A$4:$C$36,3,0),"")</f>
        <v>0971993540</v>
      </c>
      <c r="S309" s="532" t="str">
        <f>IFERROR(VLOOKUP(J309,'03. THIẾT BỊ'!$B$1:$S$836,3,0),"")</f>
        <v>A22-MRT-007</v>
      </c>
      <c r="T309" s="693" t="str">
        <f t="shared" si="7"/>
        <v>ADM</v>
      </c>
      <c r="U309" s="693"/>
    </row>
    <row r="310">
      <c r="A310" s="692"/>
      <c r="B310" s="694"/>
      <c r="C310" s="532" t="str">
        <f>IFERROR(VLOOKUP(J310,'03. THIẾT BỊ'!$B$1:$U$836,5,0),"")</f>
        <v>SMRM rải thức ăn TMR 50M3</v>
      </c>
      <c r="D310" s="463">
        <v>1.0</v>
      </c>
      <c r="E310" s="463"/>
      <c r="F310" s="692"/>
      <c r="G310" s="692"/>
      <c r="H310" s="692">
        <f>IFERROR(VLOOKUP(J310,'03. THIẾT BỊ'!$B$1:$U$836,19,0),"")</f>
        <v>5.25</v>
      </c>
      <c r="I310" s="463" t="str">
        <f>IFERROR(VLOOKUP(J310,'03. THIẾT BỊ'!$B$1:$U$836,20,0),"")</f>
        <v>84 tấn/8h</v>
      </c>
      <c r="J310" s="464" t="s">
        <v>5145</v>
      </c>
      <c r="K310" s="740" t="s">
        <v>4158</v>
      </c>
      <c r="L310" s="744"/>
      <c r="M310" s="692"/>
      <c r="N310" s="692" t="str">
        <f>IFERROR(VLOOKUP(J310,'03. THIẾT BỊ'!$B$1:$U$836,4,0),"")</f>
        <v>MUA MỚI</v>
      </c>
      <c r="O310" s="692" t="str">
        <f>IFERROR(VLOOKUP(J310,'03. THIẾT BỊ'!$B$1:$U$836,7,0),"")</f>
        <v>XN Bò AD</v>
      </c>
      <c r="P310" s="559" t="str">
        <f>IFERROR(VLOOKUP(O310,'NS QUẢN LÝ CG'!$A$4:$D$36,2,0),"")</f>
        <v>Trần Văn Nam</v>
      </c>
      <c r="Q310" s="559" t="str">
        <f>IFERROR(VLOOKUP(O310,'NS QUẢN LÝ CG'!$A$4:$D$36,4,0),"")</f>
        <v>Lô 28 XN Bò</v>
      </c>
      <c r="R310" s="559" t="str">
        <f>IFERROR(VLOOKUP(O310,'NS QUẢN LÝ CG'!$A$4:$C$36,3,0),"")</f>
        <v>0971993540</v>
      </c>
      <c r="S310" s="532" t="str">
        <f>IFERROR(VLOOKUP(J310,'03. THIẾT BỊ'!$B$1:$S$836,3,0),"")</f>
        <v>A22-MRT-008</v>
      </c>
      <c r="T310" s="693" t="str">
        <f t="shared" si="7"/>
        <v>ADM</v>
      </c>
      <c r="U310" s="693"/>
    </row>
    <row r="311">
      <c r="A311" s="692"/>
      <c r="B311" s="58"/>
      <c r="C311" s="532" t="str">
        <f>IFERROR(VLOOKUP(J311,'03. THIẾT BỊ'!$B$1:$U$836,5,0),"")</f>
        <v>SMRM rải thức ăn TMR 50M3</v>
      </c>
      <c r="D311" s="463">
        <v>1.0</v>
      </c>
      <c r="E311" s="463"/>
      <c r="F311" s="692"/>
      <c r="G311" s="692"/>
      <c r="H311" s="692">
        <f>IFERROR(VLOOKUP(J311,'03. THIẾT BỊ'!$B$1:$U$836,19,0),"")</f>
        <v>5.25</v>
      </c>
      <c r="I311" s="463" t="str">
        <f>IFERROR(VLOOKUP(J311,'03. THIẾT BỊ'!$B$1:$U$836,20,0),"")</f>
        <v>84 tấn/8h</v>
      </c>
      <c r="J311" s="464" t="s">
        <v>5148</v>
      </c>
      <c r="K311" s="463"/>
      <c r="L311" s="692"/>
      <c r="M311" s="692"/>
      <c r="N311" s="692" t="str">
        <f>IFERROR(VLOOKUP(J311,'03. THIẾT BỊ'!$B$1:$U$836,4,0),"")</f>
        <v>MUA MỚI</v>
      </c>
      <c r="O311" s="692" t="str">
        <f>IFERROR(VLOOKUP(J311,'03. THIẾT BỊ'!$B$1:$U$836,7,0),"")</f>
        <v>XN Bò AD</v>
      </c>
      <c r="P311" s="559" t="str">
        <f>IFERROR(VLOOKUP(O311,'NS QUẢN LÝ CG'!$A$4:$D$36,2,0),"")</f>
        <v>Trần Văn Nam</v>
      </c>
      <c r="Q311" s="559" t="str">
        <f>IFERROR(VLOOKUP(O311,'NS QUẢN LÝ CG'!$A$4:$D$36,4,0),"")</f>
        <v>Lô 28 XN Bò</v>
      </c>
      <c r="R311" s="559" t="str">
        <f>IFERROR(VLOOKUP(O311,'NS QUẢN LÝ CG'!$A$4:$C$36,3,0),"")</f>
        <v>0971993540</v>
      </c>
      <c r="S311" s="532" t="str">
        <f>IFERROR(VLOOKUP(J311,'03. THIẾT BỊ'!$B$1:$S$836,3,0),"")</f>
        <v>A22-MRT-009</v>
      </c>
      <c r="T311" s="693" t="str">
        <f t="shared" si="7"/>
        <v>ADM</v>
      </c>
      <c r="U311" s="693"/>
    </row>
    <row r="312">
      <c r="A312" s="692"/>
      <c r="B312" s="728"/>
      <c r="C312" s="532" t="str">
        <f>IFERROR(VLOOKUP(J312,'03. THIẾT BỊ'!$B$1:$U$836,5,0),"")</f>
        <v/>
      </c>
      <c r="D312" s="463"/>
      <c r="E312" s="692"/>
      <c r="F312" s="692"/>
      <c r="G312" s="692"/>
      <c r="H312" s="692" t="str">
        <f>IFERROR(VLOOKUP(J312,'03. THIẾT BỊ'!$B$1:$U$836,19,0),"")</f>
        <v/>
      </c>
      <c r="I312" s="463" t="str">
        <f>IFERROR(VLOOKUP(J312,'03. THIẾT BỊ'!$B$1:$U$836,20,0),"")</f>
        <v/>
      </c>
      <c r="J312" s="464"/>
      <c r="K312" s="463"/>
      <c r="L312" s="692"/>
      <c r="M312" s="692"/>
      <c r="N312" s="692" t="str">
        <f>IFERROR(VLOOKUP(J312,'03. THIẾT BỊ'!$B$1:$U$836,4,0),"")</f>
        <v/>
      </c>
      <c r="O312" s="692" t="str">
        <f>IFERROR(VLOOKUP(J312,'03. THIẾT BỊ'!$B$1:$U$836,7,0),"")</f>
        <v/>
      </c>
      <c r="P312" s="532"/>
      <c r="Q312" s="532"/>
      <c r="R312" s="532"/>
      <c r="S312" s="532" t="str">
        <f>IFERROR(VLOOKUP(J312,'03. THIẾT BỊ'!$B$1:$S$836,3,0),"")</f>
        <v/>
      </c>
      <c r="T312" s="693"/>
      <c r="U312" s="693"/>
    </row>
    <row r="313">
      <c r="A313" s="692"/>
      <c r="B313" s="728"/>
      <c r="C313" s="532" t="str">
        <f>IFERROR(VLOOKUP(J313,'03. THIẾT BỊ'!$B$1:$U$836,5,0),"")</f>
        <v/>
      </c>
      <c r="D313" s="463"/>
      <c r="E313" s="692"/>
      <c r="F313" s="692"/>
      <c r="G313" s="692"/>
      <c r="H313" s="692" t="str">
        <f>IFERROR(VLOOKUP(J313,'03. THIẾT BỊ'!$B$1:$U$836,19,0),"")</f>
        <v/>
      </c>
      <c r="I313" s="463" t="str">
        <f>IFERROR(VLOOKUP(J313,'03. THIẾT BỊ'!$B$1:$U$836,20,0),"")</f>
        <v/>
      </c>
      <c r="J313" s="464"/>
      <c r="K313" s="463"/>
      <c r="L313" s="692"/>
      <c r="M313" s="692"/>
      <c r="N313" s="692" t="str">
        <f>IFERROR(VLOOKUP(J313,'03. THIẾT BỊ'!$B$1:$U$836,4,0),"")</f>
        <v/>
      </c>
      <c r="O313" s="692" t="str">
        <f>IFERROR(VLOOKUP(J313,'03. THIẾT BỊ'!$B$1:$U$836,7,0),"")</f>
        <v/>
      </c>
      <c r="P313" s="532"/>
      <c r="Q313" s="532"/>
      <c r="R313" s="532"/>
      <c r="S313" s="532" t="str">
        <f>IFERROR(VLOOKUP(J313,'03. THIẾT BỊ'!$B$1:$S$836,3,0),"")</f>
        <v/>
      </c>
      <c r="T313" s="693"/>
      <c r="U313" s="693"/>
    </row>
    <row r="314">
      <c r="A314" s="739" t="s">
        <v>5941</v>
      </c>
      <c r="B314" s="23"/>
      <c r="C314" s="30"/>
      <c r="D314" s="687">
        <f>SUM(D315:D324)</f>
        <v>10</v>
      </c>
      <c r="E314" s="688"/>
      <c r="F314" s="688"/>
      <c r="G314" s="688"/>
      <c r="H314" s="688"/>
      <c r="I314" s="688"/>
      <c r="J314" s="689"/>
      <c r="K314" s="688"/>
      <c r="L314" s="688"/>
      <c r="M314" s="688"/>
      <c r="N314" s="689"/>
      <c r="O314" s="737"/>
      <c r="P314" s="689"/>
      <c r="Q314" s="689"/>
      <c r="R314" s="689"/>
      <c r="S314" s="689"/>
      <c r="T314" s="690"/>
      <c r="U314" s="690"/>
    </row>
    <row r="315">
      <c r="A315" s="692"/>
      <c r="B315" s="738" t="s">
        <v>5943</v>
      </c>
      <c r="C315" s="532" t="str">
        <f>IFERROR(VLOOKUP(J315,'03. THIẾT BỊ'!$B$1:$U$836,5,0),"")</f>
        <v>SMRM trung chuyển phân - CĐC 18/23M3</v>
      </c>
      <c r="D315" s="463">
        <v>1.0</v>
      </c>
      <c r="E315" s="463"/>
      <c r="F315" s="692"/>
      <c r="G315" s="692"/>
      <c r="H315" s="692" t="str">
        <f>IFERROR(VLOOKUP(J315,'03. THIẾT BỊ'!$B$1:$U$836,19,0),"")</f>
        <v/>
      </c>
      <c r="I315" s="463" t="str">
        <f>IFERROR(VLOOKUP(J315,'03. THIẾT BỊ'!$B$1:$U$836,20,0),"")</f>
        <v/>
      </c>
      <c r="J315" s="464" t="s">
        <v>5151</v>
      </c>
      <c r="K315" s="757" t="s">
        <v>4158</v>
      </c>
      <c r="L315" s="759"/>
      <c r="M315" s="759"/>
      <c r="N315" s="692" t="str">
        <f>IFERROR(VLOOKUP(J315,'03. THIẾT BỊ'!$B$1:$U$836,4,0),"")</f>
        <v>MUA MỚI</v>
      </c>
      <c r="O315" s="692" t="str">
        <f>IFERROR(VLOOKUP(J315,'03. THIẾT BỊ'!$B$1:$U$836,7,0),"")</f>
        <v>XN Bò AD</v>
      </c>
      <c r="P315" s="559" t="str">
        <f>IFERROR(VLOOKUP(O315,'NS QUẢN LÝ CG'!$A$4:$D$36,2,0),"")</f>
        <v>Trần Văn Nam</v>
      </c>
      <c r="Q315" s="559" t="str">
        <f>IFERROR(VLOOKUP(O315,'NS QUẢN LÝ CG'!$A$4:$D$36,4,0),"")</f>
        <v>Lô 28 XN Bò</v>
      </c>
      <c r="R315" s="559" t="str">
        <f>IFERROR(VLOOKUP(O315,'NS QUẢN LÝ CG'!$A$4:$C$36,3,0),"")</f>
        <v>0971993540</v>
      </c>
      <c r="S315" s="532" t="str">
        <f>IFERROR(VLOOKUP(J315,'03. THIẾT BỊ'!$B$1:$S$836,3,0),"")</f>
        <v>A22-TPC-001</v>
      </c>
      <c r="T315" s="693" t="str">
        <f t="shared" ref="T315:T324" si="8">SWITCH(LEFT(S315,3),"A22","ADM","A23","DP","A24","LP","")</f>
        <v>ADM</v>
      </c>
      <c r="U315" s="693"/>
    </row>
    <row r="316">
      <c r="A316" s="692"/>
      <c r="B316" s="694"/>
      <c r="C316" s="532" t="str">
        <f>IFERROR(VLOOKUP(J316,'03. THIẾT BỊ'!$B$1:$U$836,5,0),"")</f>
        <v>SMRM trung chuyển phân - CĐC 45M3</v>
      </c>
      <c r="D316" s="463">
        <v>1.0</v>
      </c>
      <c r="E316" s="463"/>
      <c r="F316" s="692"/>
      <c r="G316" s="692"/>
      <c r="H316" s="692" t="str">
        <f>IFERROR(VLOOKUP(J316,'03. THIẾT BỊ'!$B$1:$U$836,19,0),"")</f>
        <v/>
      </c>
      <c r="I316" s="463" t="str">
        <f>IFERROR(VLOOKUP(J316,'03. THIẾT BỊ'!$B$1:$U$836,20,0),"")</f>
        <v/>
      </c>
      <c r="J316" s="464" t="s">
        <v>5155</v>
      </c>
      <c r="K316" s="757" t="s">
        <v>4158</v>
      </c>
      <c r="L316" s="759"/>
      <c r="M316" s="759"/>
      <c r="N316" s="692" t="str">
        <f>IFERROR(VLOOKUP(J316,'03. THIẾT BỊ'!$B$1:$U$836,4,0),"")</f>
        <v>MUA MỚI</v>
      </c>
      <c r="O316" s="692" t="str">
        <f>IFERROR(VLOOKUP(J316,'03. THIẾT BỊ'!$B$1:$U$836,7,0),"")</f>
        <v>XN Bò AD</v>
      </c>
      <c r="P316" s="559" t="str">
        <f>IFERROR(VLOOKUP(O316,'NS QUẢN LÝ CG'!$A$4:$D$36,2,0),"")</f>
        <v>Trần Văn Nam</v>
      </c>
      <c r="Q316" s="559" t="str">
        <f>IFERROR(VLOOKUP(O316,'NS QUẢN LÝ CG'!$A$4:$D$36,4,0),"")</f>
        <v>Lô 28 XN Bò</v>
      </c>
      <c r="R316" s="559" t="str">
        <f>IFERROR(VLOOKUP(O316,'NS QUẢN LÝ CG'!$A$4:$C$36,3,0),"")</f>
        <v>0971993540</v>
      </c>
      <c r="S316" s="532" t="str">
        <f>IFERROR(VLOOKUP(J316,'03. THIẾT BỊ'!$B$1:$S$836,3,0),"")</f>
        <v>A22-TPC-002</v>
      </c>
      <c r="T316" s="693" t="str">
        <f t="shared" si="8"/>
        <v>ADM</v>
      </c>
      <c r="U316" s="693"/>
    </row>
    <row r="317">
      <c r="A317" s="692"/>
      <c r="B317" s="694"/>
      <c r="C317" s="532" t="str">
        <f>IFERROR(VLOOKUP(J317,'03. THIẾT BỊ'!$B$1:$U$836,5,0),"")</f>
        <v>SMRM trung chuyển phân - CĐC 45M3</v>
      </c>
      <c r="D317" s="463">
        <v>1.0</v>
      </c>
      <c r="E317" s="463"/>
      <c r="F317" s="692"/>
      <c r="G317" s="692"/>
      <c r="H317" s="692" t="str">
        <f>IFERROR(VLOOKUP(J317,'03. THIẾT BỊ'!$B$1:$U$836,19,0),"")</f>
        <v/>
      </c>
      <c r="I317" s="463" t="str">
        <f>IFERROR(VLOOKUP(J317,'03. THIẾT BỊ'!$B$1:$U$836,20,0),"")</f>
        <v/>
      </c>
      <c r="J317" s="464" t="s">
        <v>5160</v>
      </c>
      <c r="K317" s="757" t="s">
        <v>4158</v>
      </c>
      <c r="L317" s="759"/>
      <c r="M317" s="759"/>
      <c r="N317" s="692" t="str">
        <f>IFERROR(VLOOKUP(J317,'03. THIẾT BỊ'!$B$1:$U$836,4,0),"")</f>
        <v>MUA MỚI</v>
      </c>
      <c r="O317" s="692" t="str">
        <f>IFERROR(VLOOKUP(J317,'03. THIẾT BỊ'!$B$1:$U$836,7,0),"")</f>
        <v>XN Bò AD</v>
      </c>
      <c r="P317" s="559" t="str">
        <f>IFERROR(VLOOKUP(O317,'NS QUẢN LÝ CG'!$A$4:$D$36,2,0),"")</f>
        <v>Trần Văn Nam</v>
      </c>
      <c r="Q317" s="559" t="str">
        <f>IFERROR(VLOOKUP(O317,'NS QUẢN LÝ CG'!$A$4:$D$36,4,0),"")</f>
        <v>Lô 28 XN Bò</v>
      </c>
      <c r="R317" s="559" t="str">
        <f>IFERROR(VLOOKUP(O317,'NS QUẢN LÝ CG'!$A$4:$C$36,3,0),"")</f>
        <v>0971993540</v>
      </c>
      <c r="S317" s="532" t="str">
        <f>IFERROR(VLOOKUP(J317,'03. THIẾT BỊ'!$B$1:$S$836,3,0),"")</f>
        <v>A22-TPC-003</v>
      </c>
      <c r="T317" s="693" t="str">
        <f t="shared" si="8"/>
        <v>ADM</v>
      </c>
      <c r="U317" s="693"/>
    </row>
    <row r="318">
      <c r="A318" s="692"/>
      <c r="B318" s="694"/>
      <c r="C318" s="532" t="str">
        <f>IFERROR(VLOOKUP(J318,'03. THIẾT BỊ'!$B$1:$U$836,5,0),"")</f>
        <v>SMRM trung chuyển phân - CĐC 45M3</v>
      </c>
      <c r="D318" s="463">
        <v>1.0</v>
      </c>
      <c r="E318" s="463"/>
      <c r="F318" s="692"/>
      <c r="G318" s="692"/>
      <c r="H318" s="692" t="str">
        <f>IFERROR(VLOOKUP(J318,'03. THIẾT BỊ'!$B$1:$U$836,19,0),"")</f>
        <v/>
      </c>
      <c r="I318" s="463" t="str">
        <f>IFERROR(VLOOKUP(J318,'03. THIẾT BỊ'!$B$1:$U$836,20,0),"")</f>
        <v/>
      </c>
      <c r="J318" s="464" t="s">
        <v>5163</v>
      </c>
      <c r="K318" s="760"/>
      <c r="L318" s="593" t="s">
        <v>4158</v>
      </c>
      <c r="M318" s="759"/>
      <c r="N318" s="692" t="str">
        <f>IFERROR(VLOOKUP(J318,'03. THIẾT BỊ'!$B$1:$U$836,4,0),"")</f>
        <v>MUA MỚI</v>
      </c>
      <c r="O318" s="692" t="str">
        <f>IFERROR(VLOOKUP(J318,'03. THIẾT BỊ'!$B$1:$U$836,7,0),"")</f>
        <v>XN Bò AD</v>
      </c>
      <c r="P318" s="559" t="str">
        <f>IFERROR(VLOOKUP(O318,'NS QUẢN LÝ CG'!$A$4:$D$36,2,0),"")</f>
        <v>Trần Văn Nam</v>
      </c>
      <c r="Q318" s="559" t="str">
        <f>IFERROR(VLOOKUP(O318,'NS QUẢN LÝ CG'!$A$4:$D$36,4,0),"")</f>
        <v>Lô 28 XN Bò</v>
      </c>
      <c r="R318" s="559" t="str">
        <f>IFERROR(VLOOKUP(O318,'NS QUẢN LÝ CG'!$A$4:$C$36,3,0),"")</f>
        <v>0971993540</v>
      </c>
      <c r="S318" s="532" t="str">
        <f>IFERROR(VLOOKUP(J318,'03. THIẾT BỊ'!$B$1:$S$836,3,0),"")</f>
        <v>A22-TPC-004</v>
      </c>
      <c r="T318" s="693" t="str">
        <f t="shared" si="8"/>
        <v>ADM</v>
      </c>
      <c r="U318" s="693"/>
    </row>
    <row r="319">
      <c r="A319" s="692"/>
      <c r="B319" s="694"/>
      <c r="C319" s="532" t="str">
        <f>IFERROR(VLOOKUP(J319,'03. THIẾT BỊ'!$B$1:$U$836,5,0),"")</f>
        <v>SMRM trung chuyển phân - CĐC 45M3</v>
      </c>
      <c r="D319" s="463">
        <v>1.0</v>
      </c>
      <c r="E319" s="463"/>
      <c r="F319" s="692"/>
      <c r="G319" s="692"/>
      <c r="H319" s="692" t="str">
        <f>IFERROR(VLOOKUP(J319,'03. THIẾT BỊ'!$B$1:$U$836,19,0),"")</f>
        <v/>
      </c>
      <c r="I319" s="463" t="str">
        <f>IFERROR(VLOOKUP(J319,'03. THIẾT BỊ'!$B$1:$U$836,20,0),"")</f>
        <v/>
      </c>
      <c r="J319" s="464" t="s">
        <v>5166</v>
      </c>
      <c r="K319" s="760"/>
      <c r="L319" s="593" t="s">
        <v>4158</v>
      </c>
      <c r="M319" s="759"/>
      <c r="N319" s="692" t="str">
        <f>IFERROR(VLOOKUP(J319,'03. THIẾT BỊ'!$B$1:$U$836,4,0),"")</f>
        <v>MUA MỚI</v>
      </c>
      <c r="O319" s="692" t="str">
        <f>IFERROR(VLOOKUP(J319,'03. THIẾT BỊ'!$B$1:$U$836,7,0),"")</f>
        <v>XN Bò AD</v>
      </c>
      <c r="P319" s="559" t="str">
        <f>IFERROR(VLOOKUP(O319,'NS QUẢN LÝ CG'!$A$4:$D$36,2,0),"")</f>
        <v>Trần Văn Nam</v>
      </c>
      <c r="Q319" s="559" t="str">
        <f>IFERROR(VLOOKUP(O319,'NS QUẢN LÝ CG'!$A$4:$D$36,4,0),"")</f>
        <v>Lô 28 XN Bò</v>
      </c>
      <c r="R319" s="559" t="str">
        <f>IFERROR(VLOOKUP(O319,'NS QUẢN LÝ CG'!$A$4:$C$36,3,0),"")</f>
        <v>0971993540</v>
      </c>
      <c r="S319" s="532" t="str">
        <f>IFERROR(VLOOKUP(J319,'03. THIẾT BỊ'!$B$1:$S$836,3,0),"")</f>
        <v>A22-TPC-005</v>
      </c>
      <c r="T319" s="693" t="str">
        <f t="shared" si="8"/>
        <v>ADM</v>
      </c>
      <c r="U319" s="693"/>
    </row>
    <row r="320">
      <c r="A320" s="692"/>
      <c r="B320" s="694"/>
      <c r="C320" s="532" t="str">
        <f>IFERROR(VLOOKUP(J320,'03. THIẾT BỊ'!$B$1:$U$836,5,0),"")</f>
        <v>SMRM trung chuyển phân - CĐC 45M3</v>
      </c>
      <c r="D320" s="463">
        <v>1.0</v>
      </c>
      <c r="E320" s="463"/>
      <c r="F320" s="692"/>
      <c r="G320" s="692"/>
      <c r="H320" s="692" t="str">
        <f>IFERROR(VLOOKUP(J320,'03. THIẾT BỊ'!$B$1:$U$836,19,0),"")</f>
        <v/>
      </c>
      <c r="I320" s="463" t="str">
        <f>IFERROR(VLOOKUP(J320,'03. THIẾT BỊ'!$B$1:$U$836,20,0),"")</f>
        <v/>
      </c>
      <c r="J320" s="464" t="s">
        <v>5169</v>
      </c>
      <c r="K320" s="757" t="s">
        <v>4158</v>
      </c>
      <c r="L320" s="759"/>
      <c r="M320" s="759"/>
      <c r="N320" s="692" t="str">
        <f>IFERROR(VLOOKUP(J320,'03. THIẾT BỊ'!$B$1:$U$836,4,0),"")</f>
        <v>MUA MỚI</v>
      </c>
      <c r="O320" s="692" t="str">
        <f>IFERROR(VLOOKUP(J320,'03. THIẾT BỊ'!$B$1:$U$836,7,0),"")</f>
        <v>XN Bò AD</v>
      </c>
      <c r="P320" s="559" t="str">
        <f>IFERROR(VLOOKUP(O320,'NS QUẢN LÝ CG'!$A$4:$D$36,2,0),"")</f>
        <v>Trần Văn Nam</v>
      </c>
      <c r="Q320" s="559" t="str">
        <f>IFERROR(VLOOKUP(O320,'NS QUẢN LÝ CG'!$A$4:$D$36,4,0),"")</f>
        <v>Lô 28 XN Bò</v>
      </c>
      <c r="R320" s="559" t="str">
        <f>IFERROR(VLOOKUP(O320,'NS QUẢN LÝ CG'!$A$4:$C$36,3,0),"")</f>
        <v>0971993540</v>
      </c>
      <c r="S320" s="532" t="str">
        <f>IFERROR(VLOOKUP(J320,'03. THIẾT BỊ'!$B$1:$S$836,3,0),"")</f>
        <v>A22-TPC-006</v>
      </c>
      <c r="T320" s="693" t="str">
        <f t="shared" si="8"/>
        <v>ADM</v>
      </c>
      <c r="U320" s="693"/>
    </row>
    <row r="321">
      <c r="A321" s="692"/>
      <c r="B321" s="694"/>
      <c r="C321" s="532" t="str">
        <f>IFERROR(VLOOKUP(J321,'03. THIẾT BỊ'!$B$1:$U$836,5,0),"")</f>
        <v>SMRM trung chuyển phân - CĐC 45M3</v>
      </c>
      <c r="D321" s="463">
        <v>1.0</v>
      </c>
      <c r="E321" s="463"/>
      <c r="F321" s="692"/>
      <c r="G321" s="692"/>
      <c r="H321" s="692" t="str">
        <f>IFERROR(VLOOKUP(J321,'03. THIẾT BỊ'!$B$1:$U$836,19,0),"")</f>
        <v/>
      </c>
      <c r="I321" s="463" t="str">
        <f>IFERROR(VLOOKUP(J321,'03. THIẾT BỊ'!$B$1:$U$836,20,0),"")</f>
        <v/>
      </c>
      <c r="J321" s="464" t="s">
        <v>5172</v>
      </c>
      <c r="K321" s="760"/>
      <c r="L321" s="593" t="s">
        <v>4158</v>
      </c>
      <c r="M321" s="759"/>
      <c r="N321" s="692" t="str">
        <f>IFERROR(VLOOKUP(J321,'03. THIẾT BỊ'!$B$1:$U$836,4,0),"")</f>
        <v>MUA MỚI</v>
      </c>
      <c r="O321" s="692" t="str">
        <f>IFERROR(VLOOKUP(J321,'03. THIẾT BỊ'!$B$1:$U$836,7,0),"")</f>
        <v>XN Bò AD</v>
      </c>
      <c r="P321" s="559" t="str">
        <f>IFERROR(VLOOKUP(O321,'NS QUẢN LÝ CG'!$A$4:$D$36,2,0),"")</f>
        <v>Trần Văn Nam</v>
      </c>
      <c r="Q321" s="559" t="str">
        <f>IFERROR(VLOOKUP(O321,'NS QUẢN LÝ CG'!$A$4:$D$36,4,0),"")</f>
        <v>Lô 28 XN Bò</v>
      </c>
      <c r="R321" s="559" t="str">
        <f>IFERROR(VLOOKUP(O321,'NS QUẢN LÝ CG'!$A$4:$C$36,3,0),"")</f>
        <v>0971993540</v>
      </c>
      <c r="S321" s="532" t="str">
        <f>IFERROR(VLOOKUP(J321,'03. THIẾT BỊ'!$B$1:$S$836,3,0),"")</f>
        <v>A22-TPC-007</v>
      </c>
      <c r="T321" s="693" t="str">
        <f t="shared" si="8"/>
        <v>ADM</v>
      </c>
      <c r="U321" s="693"/>
    </row>
    <row r="322">
      <c r="A322" s="692"/>
      <c r="B322" s="694"/>
      <c r="C322" s="532" t="str">
        <f>IFERROR(VLOOKUP(J322,'03. THIẾT BỊ'!$B$1:$U$836,5,0),"")</f>
        <v>SMRM trung chuyển phân - CĐC 45M3</v>
      </c>
      <c r="D322" s="463">
        <v>1.0</v>
      </c>
      <c r="E322" s="463"/>
      <c r="F322" s="692"/>
      <c r="G322" s="692"/>
      <c r="H322" s="692" t="str">
        <f>IFERROR(VLOOKUP(J322,'03. THIẾT BỊ'!$B$1:$U$836,19,0),"")</f>
        <v/>
      </c>
      <c r="I322" s="463" t="str">
        <f>IFERROR(VLOOKUP(J322,'03. THIẾT BỊ'!$B$1:$U$836,20,0),"")</f>
        <v/>
      </c>
      <c r="J322" s="464" t="s">
        <v>5175</v>
      </c>
      <c r="K322" s="757" t="s">
        <v>4158</v>
      </c>
      <c r="L322" s="759"/>
      <c r="M322" s="759"/>
      <c r="N322" s="692" t="str">
        <f>IFERROR(VLOOKUP(J322,'03. THIẾT BỊ'!$B$1:$U$836,4,0),"")</f>
        <v>MUA MỚI</v>
      </c>
      <c r="O322" s="692" t="str">
        <f>IFERROR(VLOOKUP(J322,'03. THIẾT BỊ'!$B$1:$U$836,7,0),"")</f>
        <v>XN Bò AD</v>
      </c>
      <c r="P322" s="559" t="str">
        <f>IFERROR(VLOOKUP(O322,'NS QUẢN LÝ CG'!$A$4:$D$36,2,0),"")</f>
        <v>Trần Văn Nam</v>
      </c>
      <c r="Q322" s="559" t="str">
        <f>IFERROR(VLOOKUP(O322,'NS QUẢN LÝ CG'!$A$4:$D$36,4,0),"")</f>
        <v>Lô 28 XN Bò</v>
      </c>
      <c r="R322" s="559" t="str">
        <f>IFERROR(VLOOKUP(O322,'NS QUẢN LÝ CG'!$A$4:$C$36,3,0),"")</f>
        <v>0971993540</v>
      </c>
      <c r="S322" s="532" t="str">
        <f>IFERROR(VLOOKUP(J322,'03. THIẾT BỊ'!$B$1:$S$836,3,0),"")</f>
        <v>A22-TPC-008</v>
      </c>
      <c r="T322" s="693" t="str">
        <f t="shared" si="8"/>
        <v>ADM</v>
      </c>
      <c r="U322" s="693"/>
    </row>
    <row r="323">
      <c r="A323" s="692"/>
      <c r="B323" s="694"/>
      <c r="C323" s="532" t="str">
        <f>IFERROR(VLOOKUP(J323,'03. THIẾT BỊ'!$B$1:$U$836,5,0),"")</f>
        <v>SMRM trung chuyển phân - CĐC 45M3</v>
      </c>
      <c r="D323" s="463">
        <v>1.0</v>
      </c>
      <c r="E323" s="463"/>
      <c r="F323" s="692"/>
      <c r="G323" s="692"/>
      <c r="H323" s="692" t="str">
        <f>IFERROR(VLOOKUP(J323,'03. THIẾT BỊ'!$B$1:$U$836,19,0),"")</f>
        <v/>
      </c>
      <c r="I323" s="463" t="str">
        <f>IFERROR(VLOOKUP(J323,'03. THIẾT BỊ'!$B$1:$U$836,20,0),"")</f>
        <v/>
      </c>
      <c r="J323" s="464" t="s">
        <v>5178</v>
      </c>
      <c r="K323" s="757" t="s">
        <v>4158</v>
      </c>
      <c r="L323" s="759"/>
      <c r="M323" s="759"/>
      <c r="N323" s="692" t="str">
        <f>IFERROR(VLOOKUP(J323,'03. THIẾT BỊ'!$B$1:$U$836,4,0),"")</f>
        <v>MUA MỚI</v>
      </c>
      <c r="O323" s="692" t="str">
        <f>IFERROR(VLOOKUP(J323,'03. THIẾT BỊ'!$B$1:$U$836,7,0),"")</f>
        <v>XN Bò AD</v>
      </c>
      <c r="P323" s="559" t="str">
        <f>IFERROR(VLOOKUP(O323,'NS QUẢN LÝ CG'!$A$4:$D$36,2,0),"")</f>
        <v>Trần Văn Nam</v>
      </c>
      <c r="Q323" s="559" t="str">
        <f>IFERROR(VLOOKUP(O323,'NS QUẢN LÝ CG'!$A$4:$D$36,4,0),"")</f>
        <v>Lô 28 XN Bò</v>
      </c>
      <c r="R323" s="559" t="str">
        <f>IFERROR(VLOOKUP(O323,'NS QUẢN LÝ CG'!$A$4:$C$36,3,0),"")</f>
        <v>0971993540</v>
      </c>
      <c r="S323" s="532" t="str">
        <f>IFERROR(VLOOKUP(J323,'03. THIẾT BỊ'!$B$1:$S$836,3,0),"")</f>
        <v>A22-TPC-009</v>
      </c>
      <c r="T323" s="693" t="str">
        <f t="shared" si="8"/>
        <v>ADM</v>
      </c>
      <c r="U323" s="693"/>
    </row>
    <row r="324">
      <c r="A324" s="692"/>
      <c r="B324" s="58"/>
      <c r="C324" s="532" t="str">
        <f>IFERROR(VLOOKUP(J324,'03. THIẾT BỊ'!$B$1:$U$836,5,0),"")</f>
        <v>SMRM trung chuyển phân - CĐC 45M3</v>
      </c>
      <c r="D324" s="463">
        <v>1.0</v>
      </c>
      <c r="E324" s="463"/>
      <c r="F324" s="692"/>
      <c r="G324" s="692"/>
      <c r="H324" s="692" t="str">
        <f>IFERROR(VLOOKUP(J324,'03. THIẾT BỊ'!$B$1:$U$836,19,0),"")</f>
        <v/>
      </c>
      <c r="I324" s="463" t="str">
        <f>IFERROR(VLOOKUP(J324,'03. THIẾT BỊ'!$B$1:$U$836,20,0),"")</f>
        <v/>
      </c>
      <c r="J324" s="464" t="s">
        <v>5181</v>
      </c>
      <c r="K324" s="757" t="s">
        <v>4158</v>
      </c>
      <c r="L324" s="759"/>
      <c r="M324" s="759"/>
      <c r="N324" s="692" t="str">
        <f>IFERROR(VLOOKUP(J324,'03. THIẾT BỊ'!$B$1:$U$836,4,0),"")</f>
        <v>MUA MỚI</v>
      </c>
      <c r="O324" s="692" t="str">
        <f>IFERROR(VLOOKUP(J324,'03. THIẾT BỊ'!$B$1:$U$836,7,0),"")</f>
        <v>XN Bò AD</v>
      </c>
      <c r="P324" s="559" t="str">
        <f>IFERROR(VLOOKUP(O324,'NS QUẢN LÝ CG'!$A$4:$D$36,2,0),"")</f>
        <v>Trần Văn Nam</v>
      </c>
      <c r="Q324" s="559" t="str">
        <f>IFERROR(VLOOKUP(O324,'NS QUẢN LÝ CG'!$A$4:$D$36,4,0),"")</f>
        <v>Lô 28 XN Bò</v>
      </c>
      <c r="R324" s="559" t="str">
        <f>IFERROR(VLOOKUP(O324,'NS QUẢN LÝ CG'!$A$4:$C$36,3,0),"")</f>
        <v>0971993540</v>
      </c>
      <c r="S324" s="532" t="str">
        <f>IFERROR(VLOOKUP(J324,'03. THIẾT BỊ'!$B$1:$S$836,3,0),"")</f>
        <v>A22-TPC-010</v>
      </c>
      <c r="T324" s="693" t="str">
        <f t="shared" si="8"/>
        <v>ADM</v>
      </c>
      <c r="U324" s="693"/>
    </row>
    <row r="325">
      <c r="A325" s="692"/>
      <c r="B325" s="728"/>
      <c r="C325" s="532"/>
      <c r="D325" s="463"/>
      <c r="E325" s="692"/>
      <c r="F325" s="692"/>
      <c r="G325" s="692"/>
      <c r="H325" s="692"/>
      <c r="I325" s="463"/>
      <c r="J325" s="464"/>
      <c r="K325" s="463"/>
      <c r="L325" s="692"/>
      <c r="M325" s="692"/>
      <c r="N325" s="692"/>
      <c r="O325" s="692"/>
      <c r="P325" s="532"/>
      <c r="Q325" s="532"/>
      <c r="R325" s="532"/>
      <c r="S325" s="532"/>
      <c r="T325" s="693"/>
      <c r="U325" s="693"/>
    </row>
    <row r="326">
      <c r="A326" s="692"/>
      <c r="B326" s="728"/>
      <c r="C326" s="532"/>
      <c r="D326" s="463"/>
      <c r="E326" s="692"/>
      <c r="F326" s="692"/>
      <c r="G326" s="692"/>
      <c r="H326" s="692"/>
      <c r="I326" s="463"/>
      <c r="J326" s="464"/>
      <c r="K326" s="463"/>
      <c r="L326" s="692"/>
      <c r="M326" s="692"/>
      <c r="N326" s="692"/>
      <c r="O326" s="692"/>
      <c r="P326" s="532"/>
      <c r="Q326" s="532"/>
      <c r="R326" s="532"/>
      <c r="S326" s="532"/>
      <c r="T326" s="693"/>
      <c r="U326" s="693"/>
    </row>
    <row r="327">
      <c r="A327" s="730" t="s">
        <v>5952</v>
      </c>
      <c r="B327" s="23"/>
      <c r="C327" s="30"/>
      <c r="D327" s="762">
        <f>SUM(D328:D329)</f>
        <v>140</v>
      </c>
      <c r="E327" s="731"/>
      <c r="F327" s="731"/>
      <c r="G327" s="731"/>
      <c r="H327" s="731"/>
      <c r="I327" s="731"/>
      <c r="J327" s="732"/>
      <c r="K327" s="733"/>
      <c r="L327" s="734"/>
      <c r="M327" s="731"/>
      <c r="N327" s="735"/>
      <c r="O327" s="735"/>
      <c r="P327" s="735"/>
      <c r="Q327" s="735"/>
      <c r="R327" s="735"/>
      <c r="S327" s="735"/>
      <c r="T327" s="736"/>
      <c r="U327" s="736"/>
    </row>
    <row r="328">
      <c r="A328" s="692"/>
      <c r="B328" s="728"/>
      <c r="C328" s="464" t="s">
        <v>5954</v>
      </c>
      <c r="D328" s="463">
        <v>9.0</v>
      </c>
      <c r="E328" s="692"/>
      <c r="F328" s="463" t="s">
        <v>4158</v>
      </c>
      <c r="G328" s="692"/>
      <c r="H328" s="463"/>
      <c r="I328" s="463"/>
      <c r="J328" s="464"/>
      <c r="K328" s="463" t="s">
        <v>4158</v>
      </c>
      <c r="L328" s="692"/>
      <c r="M328" s="692"/>
      <c r="N328" s="692"/>
      <c r="O328" s="692"/>
      <c r="P328" s="559" t="str">
        <f>IFERROR(VLOOKUP(O328,'NS QUẢN LÝ CG'!$A$4:$D$36,2,0),"")</f>
        <v/>
      </c>
      <c r="Q328" s="559" t="str">
        <f>IFERROR(VLOOKUP(O328,'NS QUẢN LÝ CG'!$A$4:$D$36,4,0),"")</f>
        <v/>
      </c>
      <c r="R328" s="559" t="str">
        <f>IFERROR(VLOOKUP(O328,'NS QUẢN LÝ CG'!$A$4:$C$36,3,0),"")</f>
        <v/>
      </c>
      <c r="S328" s="532"/>
      <c r="T328" s="693"/>
      <c r="U328" s="693"/>
    </row>
    <row r="329">
      <c r="A329" s="692"/>
      <c r="B329" s="728"/>
      <c r="C329" s="464" t="s">
        <v>5955</v>
      </c>
      <c r="D329" s="463">
        <v>131.0</v>
      </c>
      <c r="E329" s="692"/>
      <c r="F329" s="463" t="s">
        <v>4158</v>
      </c>
      <c r="G329" s="692"/>
      <c r="H329" s="463">
        <v>1.0</v>
      </c>
      <c r="I329" s="463" t="s">
        <v>5824</v>
      </c>
      <c r="J329" s="464"/>
      <c r="K329" s="463" t="s">
        <v>4158</v>
      </c>
      <c r="L329" s="692"/>
      <c r="M329" s="692"/>
      <c r="N329" s="692"/>
      <c r="O329" s="692"/>
      <c r="P329" s="559" t="str">
        <f>IFERROR(VLOOKUP(O329,'NS QUẢN LÝ CG'!$A$4:$D$36,2,0),"")</f>
        <v/>
      </c>
      <c r="Q329" s="559" t="str">
        <f>IFERROR(VLOOKUP(O329,'NS QUẢN LÝ CG'!$A$4:$D$36,4,0),"")</f>
        <v/>
      </c>
      <c r="R329" s="559" t="str">
        <f>IFERROR(VLOOKUP(O329,'NS QUẢN LÝ CG'!$A$4:$C$36,3,0),"")</f>
        <v/>
      </c>
      <c r="S329" s="532"/>
      <c r="T329" s="693"/>
      <c r="U329" s="693"/>
    </row>
    <row r="330">
      <c r="A330" s="692"/>
      <c r="B330" s="728"/>
      <c r="C330" s="532" t="str">
        <f>IFERROR(VLOOKUP(J330,'03. THIẾT BỊ'!$B$1:$U$836,5,0),"")</f>
        <v/>
      </c>
      <c r="D330" s="463"/>
      <c r="E330" s="692"/>
      <c r="F330" s="692"/>
      <c r="G330" s="692"/>
      <c r="H330" s="692" t="str">
        <f>IFERROR(VLOOKUP(J330,'03. THIẾT BỊ'!$B$1:$U$836,19,0),"")</f>
        <v/>
      </c>
      <c r="I330" s="463" t="str">
        <f>IFERROR(VLOOKUP(J330,'03. THIẾT BỊ'!$B$1:$U$836,20,0),"")</f>
        <v/>
      </c>
      <c r="J330" s="464"/>
      <c r="K330" s="463"/>
      <c r="L330" s="692"/>
      <c r="M330" s="692"/>
      <c r="N330" s="692" t="str">
        <f>IFERROR(VLOOKUP(J330,'03. THIẾT BỊ'!$B$1:$U$836,4,0),"")</f>
        <v/>
      </c>
      <c r="O330" s="692" t="str">
        <f>IFERROR(VLOOKUP(J330,'03. THIẾT BỊ'!$B$1:$U$836,7,0),"")</f>
        <v/>
      </c>
      <c r="P330" s="532"/>
      <c r="Q330" s="532"/>
      <c r="R330" s="532"/>
      <c r="S330" s="532" t="str">
        <f>IFERROR(VLOOKUP(J330,'03. THIẾT BỊ'!$B$1:$S$836,3,0),"")</f>
        <v/>
      </c>
      <c r="T330" s="693"/>
      <c r="U330" s="693"/>
    </row>
    <row r="331">
      <c r="A331" s="692"/>
      <c r="B331" s="728"/>
      <c r="C331" s="532" t="str">
        <f>IFERROR(VLOOKUP(J331,'03. THIẾT BỊ'!$B$1:$U$836,5,0),"")</f>
        <v/>
      </c>
      <c r="D331" s="463"/>
      <c r="E331" s="692"/>
      <c r="F331" s="692"/>
      <c r="G331" s="692"/>
      <c r="H331" s="692" t="str">
        <f>IFERROR(VLOOKUP(J331,'03. THIẾT BỊ'!$B$1:$U$836,19,0),"")</f>
        <v/>
      </c>
      <c r="I331" s="463" t="str">
        <f>IFERROR(VLOOKUP(J331,'03. THIẾT BỊ'!$B$1:$U$836,20,0),"")</f>
        <v/>
      </c>
      <c r="J331" s="464"/>
      <c r="K331" s="463"/>
      <c r="L331" s="692"/>
      <c r="M331" s="692"/>
      <c r="N331" s="692" t="str">
        <f>IFERROR(VLOOKUP(J331,'03. THIẾT BỊ'!$B$1:$U$836,4,0),"")</f>
        <v/>
      </c>
      <c r="O331" s="692" t="str">
        <f>IFERROR(VLOOKUP(J331,'03. THIẾT BỊ'!$B$1:$U$836,7,0),"")</f>
        <v/>
      </c>
      <c r="P331" s="532"/>
      <c r="Q331" s="532"/>
      <c r="R331" s="532"/>
      <c r="S331" s="532" t="str">
        <f>IFERROR(VLOOKUP(J331,'03. THIẾT BỊ'!$B$1:$S$836,3,0),"")</f>
        <v/>
      </c>
      <c r="T331" s="693"/>
      <c r="U331" s="693"/>
    </row>
    <row r="332">
      <c r="A332" s="692"/>
      <c r="B332" s="728"/>
      <c r="C332" s="532" t="str">
        <f>IFERROR(VLOOKUP(J332,'03. THIẾT BỊ'!$B$1:$U$836,5,0),"")</f>
        <v/>
      </c>
      <c r="D332" s="463"/>
      <c r="E332" s="692"/>
      <c r="F332" s="692"/>
      <c r="G332" s="692"/>
      <c r="H332" s="692" t="str">
        <f>IFERROR(VLOOKUP(J332,'03. THIẾT BỊ'!$B$1:$U$836,19,0),"")</f>
        <v/>
      </c>
      <c r="I332" s="463" t="str">
        <f>IFERROR(VLOOKUP(J332,'03. THIẾT BỊ'!$B$1:$U$836,20,0),"")</f>
        <v/>
      </c>
      <c r="J332" s="464"/>
      <c r="K332" s="463"/>
      <c r="L332" s="692"/>
      <c r="M332" s="692"/>
      <c r="N332" s="692" t="str">
        <f>IFERROR(VLOOKUP(J332,'03. THIẾT BỊ'!$B$1:$U$836,4,0),"")</f>
        <v/>
      </c>
      <c r="O332" s="692" t="str">
        <f>IFERROR(VLOOKUP(J332,'03. THIẾT BỊ'!$B$1:$U$836,7,0),"")</f>
        <v/>
      </c>
      <c r="P332" s="532"/>
      <c r="Q332" s="532"/>
      <c r="R332" s="532"/>
      <c r="S332" s="532" t="str">
        <f>IFERROR(VLOOKUP(J332,'03. THIẾT BỊ'!$B$1:$S$836,3,0),"")</f>
        <v/>
      </c>
      <c r="T332" s="693"/>
      <c r="U332" s="693"/>
    </row>
    <row r="333">
      <c r="A333" s="682" t="s">
        <v>5956</v>
      </c>
      <c r="B333" s="23"/>
      <c r="C333" s="30"/>
      <c r="D333" s="683"/>
      <c r="E333" s="683"/>
      <c r="F333" s="683"/>
      <c r="G333" s="683"/>
      <c r="H333" s="683"/>
      <c r="I333" s="683"/>
      <c r="J333" s="684"/>
      <c r="K333" s="683"/>
      <c r="L333" s="683"/>
      <c r="M333" s="683"/>
      <c r="N333" s="684"/>
      <c r="O333" s="684"/>
      <c r="P333" s="684"/>
      <c r="Q333" s="684"/>
      <c r="R333" s="684"/>
      <c r="S333" s="684"/>
      <c r="T333" s="685"/>
      <c r="U333" s="685"/>
    </row>
    <row r="334">
      <c r="A334" s="707" t="s">
        <v>5958</v>
      </c>
      <c r="B334" s="23"/>
      <c r="C334" s="30"/>
      <c r="D334" s="687">
        <f>SUM(D335:D345)</f>
        <v>49</v>
      </c>
      <c r="E334" s="688"/>
      <c r="F334" s="688"/>
      <c r="G334" s="688"/>
      <c r="H334" s="688"/>
      <c r="I334" s="688"/>
      <c r="J334" s="689"/>
      <c r="K334" s="688"/>
      <c r="L334" s="688"/>
      <c r="M334" s="688"/>
      <c r="N334" s="689"/>
      <c r="O334" s="689"/>
      <c r="P334" s="689"/>
      <c r="Q334" s="689"/>
      <c r="R334" s="689"/>
      <c r="S334" s="689"/>
      <c r="T334" s="690"/>
      <c r="U334" s="690"/>
    </row>
    <row r="335">
      <c r="A335" s="692"/>
      <c r="B335" s="738" t="s">
        <v>5959</v>
      </c>
      <c r="C335" s="532" t="str">
        <f>IFERROR(VLOOKUP(J335,'03. THIẾT BỊ'!$B$1:$U$836,5,0),"")</f>
        <v>Máy cao áp phun thuốc</v>
      </c>
      <c r="D335" s="463">
        <v>1.0</v>
      </c>
      <c r="E335" s="463"/>
      <c r="F335" s="692"/>
      <c r="G335" s="692"/>
      <c r="H335" s="692" t="str">
        <f>IFERROR(VLOOKUP(J335,'03. THIẾT BỊ'!$B$1:$U$836,19,0),"")</f>
        <v/>
      </c>
      <c r="I335" s="463" t="str">
        <f>IFERROR(VLOOKUP(J335,'03. THIẾT BỊ'!$B$1:$U$836,20,0),"")</f>
        <v/>
      </c>
      <c r="J335" s="464" t="s">
        <v>4883</v>
      </c>
      <c r="K335" s="757" t="s">
        <v>4158</v>
      </c>
      <c r="L335" s="759"/>
      <c r="M335" s="759"/>
      <c r="N335" s="692" t="str">
        <f>IFERROR(VLOOKUP(J335,'03. THIẾT BỊ'!$B$1:$U$836,4,0),"")</f>
        <v>ĐQSD</v>
      </c>
      <c r="O335" s="692" t="str">
        <f>IFERROR(VLOOKUP(J335,'03. THIẾT BỊ'!$B$1:$U$836,7,0),"")</f>
        <v>Xoài AD</v>
      </c>
      <c r="P335" s="559" t="str">
        <f>IFERROR(VLOOKUP(O335,'NS QUẢN LÝ CG'!$A$4:$D$36,2,0),"")</f>
        <v>Huỳnh Đông Giang</v>
      </c>
      <c r="Q335" s="559" t="str">
        <f>IFERROR(VLOOKUP(O335,'NS QUẢN LÝ CG'!$A$4:$D$36,4,0),"")</f>
        <v>Lô 132 XN AD</v>
      </c>
      <c r="R335" s="559" t="str">
        <f>IFERROR(VLOOKUP(O335,'NS QUẢN LÝ CG'!$A$4:$C$36,3,0),"")</f>
        <v>0972283372</v>
      </c>
      <c r="S335" s="532" t="str">
        <f>IFERROR(VLOOKUP(J335,'03. THIẾT BỊ'!$B$1:$S$836,3,0),"")</f>
        <v>A22-MCA-001</v>
      </c>
      <c r="T335" s="693" t="str">
        <f t="shared" ref="T335:T343" si="9">SWITCH(LEFT(S335,3),"A22","ADM","A23","DP","A24","LP","")</f>
        <v>ADM</v>
      </c>
      <c r="U335" s="693"/>
    </row>
    <row r="336">
      <c r="A336" s="692"/>
      <c r="B336" s="694"/>
      <c r="C336" s="532" t="str">
        <f>IFERROR(VLOOKUP(J336,'03. THIẾT BỊ'!$B$1:$U$836,5,0),"")</f>
        <v>Máy cao áp phun thuốc</v>
      </c>
      <c r="D336" s="463">
        <v>1.0</v>
      </c>
      <c r="E336" s="463"/>
      <c r="F336" s="692"/>
      <c r="G336" s="692"/>
      <c r="H336" s="692" t="str">
        <f>IFERROR(VLOOKUP(J336,'03. THIẾT BỊ'!$B$1:$U$836,19,0),"")</f>
        <v/>
      </c>
      <c r="I336" s="463" t="str">
        <f>IFERROR(VLOOKUP(J336,'03. THIẾT BỊ'!$B$1:$U$836,20,0),"")</f>
        <v/>
      </c>
      <c r="J336" s="464" t="s">
        <v>4887</v>
      </c>
      <c r="K336" s="757" t="s">
        <v>4158</v>
      </c>
      <c r="L336" s="759"/>
      <c r="M336" s="759"/>
      <c r="N336" s="692" t="str">
        <f>IFERROR(VLOOKUP(J336,'03. THIẾT BỊ'!$B$1:$U$836,4,0),"")</f>
        <v>ĐQSD</v>
      </c>
      <c r="O336" s="692" t="str">
        <f>IFERROR(VLOOKUP(J336,'03. THIẾT BỊ'!$B$1:$U$836,7,0),"")</f>
        <v>Xoài AD</v>
      </c>
      <c r="P336" s="559" t="str">
        <f>IFERROR(VLOOKUP(O336,'NS QUẢN LÝ CG'!$A$4:$D$36,2,0),"")</f>
        <v>Huỳnh Đông Giang</v>
      </c>
      <c r="Q336" s="559" t="str">
        <f>IFERROR(VLOOKUP(O336,'NS QUẢN LÝ CG'!$A$4:$D$36,4,0),"")</f>
        <v>Lô 132 XN AD</v>
      </c>
      <c r="R336" s="559" t="str">
        <f>IFERROR(VLOOKUP(O336,'NS QUẢN LÝ CG'!$A$4:$C$36,3,0),"")</f>
        <v>0972283372</v>
      </c>
      <c r="S336" s="532" t="str">
        <f>IFERROR(VLOOKUP(J336,'03. THIẾT BỊ'!$B$1:$S$836,3,0),"")</f>
        <v>A22-MCA-002</v>
      </c>
      <c r="T336" s="693" t="str">
        <f t="shared" si="9"/>
        <v>ADM</v>
      </c>
      <c r="U336" s="693"/>
    </row>
    <row r="337">
      <c r="A337" s="692"/>
      <c r="B337" s="694"/>
      <c r="C337" s="532" t="str">
        <f>IFERROR(VLOOKUP(J337,'03. THIẾT BỊ'!$B$1:$U$836,5,0),"")</f>
        <v>Máy cao áp phun thuốc</v>
      </c>
      <c r="D337" s="463">
        <v>1.0</v>
      </c>
      <c r="E337" s="463"/>
      <c r="F337" s="692"/>
      <c r="G337" s="692"/>
      <c r="H337" s="692" t="str">
        <f>IFERROR(VLOOKUP(J337,'03. THIẾT BỊ'!$B$1:$U$836,19,0),"")</f>
        <v/>
      </c>
      <c r="I337" s="463" t="str">
        <f>IFERROR(VLOOKUP(J337,'03. THIẾT BỊ'!$B$1:$U$836,20,0),"")</f>
        <v/>
      </c>
      <c r="J337" s="464" t="s">
        <v>4889</v>
      </c>
      <c r="K337" s="757" t="s">
        <v>4158</v>
      </c>
      <c r="L337" s="759"/>
      <c r="M337" s="759"/>
      <c r="N337" s="692" t="str">
        <f>IFERROR(VLOOKUP(J337,'03. THIẾT BỊ'!$B$1:$U$836,4,0),"")</f>
        <v>ĐQSD</v>
      </c>
      <c r="O337" s="692" t="str">
        <f>IFERROR(VLOOKUP(J337,'03. THIẾT BỊ'!$B$1:$U$836,7,0),"")</f>
        <v>Xoài AD</v>
      </c>
      <c r="P337" s="559" t="str">
        <f>IFERROR(VLOOKUP(O337,'NS QUẢN LÝ CG'!$A$4:$D$36,2,0),"")</f>
        <v>Huỳnh Đông Giang</v>
      </c>
      <c r="Q337" s="559" t="str">
        <f>IFERROR(VLOOKUP(O337,'NS QUẢN LÝ CG'!$A$4:$D$36,4,0),"")</f>
        <v>Lô 132 XN AD</v>
      </c>
      <c r="R337" s="559" t="str">
        <f>IFERROR(VLOOKUP(O337,'NS QUẢN LÝ CG'!$A$4:$C$36,3,0),"")</f>
        <v>0972283372</v>
      </c>
      <c r="S337" s="532" t="str">
        <f>IFERROR(VLOOKUP(J337,'03. THIẾT BỊ'!$B$1:$S$836,3,0),"")</f>
        <v>A22-MCA-003</v>
      </c>
      <c r="T337" s="693" t="str">
        <f t="shared" si="9"/>
        <v>ADM</v>
      </c>
      <c r="U337" s="693"/>
    </row>
    <row r="338">
      <c r="A338" s="692"/>
      <c r="B338" s="694"/>
      <c r="C338" s="532" t="str">
        <f>IFERROR(VLOOKUP(J338,'03. THIẾT BỊ'!$B$1:$U$836,5,0),"")</f>
        <v>Máy cao áp phun thuốc</v>
      </c>
      <c r="D338" s="463">
        <v>1.0</v>
      </c>
      <c r="E338" s="463"/>
      <c r="F338" s="692"/>
      <c r="G338" s="692"/>
      <c r="H338" s="692" t="str">
        <f>IFERROR(VLOOKUP(J338,'03. THIẾT BỊ'!$B$1:$U$836,19,0),"")</f>
        <v/>
      </c>
      <c r="I338" s="463" t="str">
        <f>IFERROR(VLOOKUP(J338,'03. THIẾT BỊ'!$B$1:$U$836,20,0),"")</f>
        <v/>
      </c>
      <c r="J338" s="464" t="s">
        <v>4893</v>
      </c>
      <c r="K338" s="757" t="s">
        <v>4158</v>
      </c>
      <c r="L338" s="759"/>
      <c r="M338" s="759"/>
      <c r="N338" s="692" t="str">
        <f>IFERROR(VLOOKUP(J338,'03. THIẾT BỊ'!$B$1:$U$836,4,0),"")</f>
        <v>ĐQSD</v>
      </c>
      <c r="O338" s="692" t="str">
        <f>IFERROR(VLOOKUP(J338,'03. THIẾT BỊ'!$B$1:$U$836,7,0),"")</f>
        <v>Xoài AD</v>
      </c>
      <c r="P338" s="559" t="str">
        <f>IFERROR(VLOOKUP(O338,'NS QUẢN LÝ CG'!$A$4:$D$36,2,0),"")</f>
        <v>Huỳnh Đông Giang</v>
      </c>
      <c r="Q338" s="559" t="str">
        <f>IFERROR(VLOOKUP(O338,'NS QUẢN LÝ CG'!$A$4:$D$36,4,0),"")</f>
        <v>Lô 132 XN AD</v>
      </c>
      <c r="R338" s="559" t="str">
        <f>IFERROR(VLOOKUP(O338,'NS QUẢN LÝ CG'!$A$4:$C$36,3,0),"")</f>
        <v>0972283372</v>
      </c>
      <c r="S338" s="532" t="str">
        <f>IFERROR(VLOOKUP(J338,'03. THIẾT BỊ'!$B$1:$S$836,3,0),"")</f>
        <v>A22-MCA-004</v>
      </c>
      <c r="T338" s="693" t="str">
        <f t="shared" si="9"/>
        <v>ADM</v>
      </c>
      <c r="U338" s="693"/>
    </row>
    <row r="339">
      <c r="A339" s="692"/>
      <c r="B339" s="694"/>
      <c r="C339" s="532" t="str">
        <f>IFERROR(VLOOKUP(J339,'03. THIẾT BỊ'!$B$1:$U$836,5,0),"")</f>
        <v>Máy cao áp phun thuốc</v>
      </c>
      <c r="D339" s="463">
        <v>1.0</v>
      </c>
      <c r="E339" s="463"/>
      <c r="F339" s="692"/>
      <c r="G339" s="692"/>
      <c r="H339" s="692" t="str">
        <f>IFERROR(VLOOKUP(J339,'03. THIẾT BỊ'!$B$1:$U$836,19,0),"")</f>
        <v/>
      </c>
      <c r="I339" s="463" t="str">
        <f>IFERROR(VLOOKUP(J339,'03. THIẾT BỊ'!$B$1:$U$836,20,0),"")</f>
        <v/>
      </c>
      <c r="J339" s="464" t="s">
        <v>4896</v>
      </c>
      <c r="K339" s="757" t="s">
        <v>4158</v>
      </c>
      <c r="L339" s="759"/>
      <c r="M339" s="759"/>
      <c r="N339" s="692" t="str">
        <f>IFERROR(VLOOKUP(J339,'03. THIẾT BỊ'!$B$1:$U$836,4,0),"")</f>
        <v>ĐQSD</v>
      </c>
      <c r="O339" s="692" t="str">
        <f>IFERROR(VLOOKUP(J339,'03. THIẾT BỊ'!$B$1:$U$836,7,0),"")</f>
        <v>Xoài AD</v>
      </c>
      <c r="P339" s="559" t="str">
        <f>IFERROR(VLOOKUP(O339,'NS QUẢN LÝ CG'!$A$4:$D$36,2,0),"")</f>
        <v>Huỳnh Đông Giang</v>
      </c>
      <c r="Q339" s="559" t="str">
        <f>IFERROR(VLOOKUP(O339,'NS QUẢN LÝ CG'!$A$4:$D$36,4,0),"")</f>
        <v>Lô 132 XN AD</v>
      </c>
      <c r="R339" s="559" t="str">
        <f>IFERROR(VLOOKUP(O339,'NS QUẢN LÝ CG'!$A$4:$C$36,3,0),"")</f>
        <v>0972283372</v>
      </c>
      <c r="S339" s="532" t="str">
        <f>IFERROR(VLOOKUP(J339,'03. THIẾT BỊ'!$B$1:$S$836,3,0),"")</f>
        <v>A22-MCA-005</v>
      </c>
      <c r="T339" s="693" t="str">
        <f t="shared" si="9"/>
        <v>ADM</v>
      </c>
      <c r="U339" s="693"/>
    </row>
    <row r="340">
      <c r="A340" s="692"/>
      <c r="B340" s="694"/>
      <c r="C340" s="532" t="str">
        <f>IFERROR(VLOOKUP(J340,'03. THIẾT BỊ'!$B$1:$U$836,5,0),"")</f>
        <v>Máy cao áp phun thuốc</v>
      </c>
      <c r="D340" s="463">
        <v>1.0</v>
      </c>
      <c r="E340" s="463"/>
      <c r="F340" s="692"/>
      <c r="G340" s="692"/>
      <c r="H340" s="692" t="str">
        <f>IFERROR(VLOOKUP(J340,'03. THIẾT BỊ'!$B$1:$U$836,19,0),"")</f>
        <v/>
      </c>
      <c r="I340" s="463" t="str">
        <f>IFERROR(VLOOKUP(J340,'03. THIẾT BỊ'!$B$1:$U$836,20,0),"")</f>
        <v/>
      </c>
      <c r="J340" s="464" t="s">
        <v>4953</v>
      </c>
      <c r="K340" s="757" t="s">
        <v>4158</v>
      </c>
      <c r="L340" s="759"/>
      <c r="M340" s="759"/>
      <c r="N340" s="692" t="str">
        <f>IFERROR(VLOOKUP(J340,'03. THIẾT BỊ'!$B$1:$U$836,4,0),"")</f>
        <v>ĐQSD</v>
      </c>
      <c r="O340" s="692" t="str">
        <f>IFERROR(VLOOKUP(J340,'03. THIẾT BỊ'!$B$1:$U$836,7,0),"")</f>
        <v>Xoài DP</v>
      </c>
      <c r="P340" s="559" t="str">
        <f>IFERROR(VLOOKUP(O340,'NS QUẢN LÝ CG'!$A$4:$D$36,2,0),"")</f>
        <v>Hà Văn Nghĩa</v>
      </c>
      <c r="Q340" s="559" t="str">
        <f>IFERROR(VLOOKUP(O340,'NS QUẢN LÝ CG'!$A$4:$D$36,4,0),"")</f>
        <v>Lô 136 XN Xoài</v>
      </c>
      <c r="R340" s="559" t="str">
        <f>IFERROR(VLOOKUP(O340,'NS QUẢN LÝ CG'!$A$4:$C$36,3,0),"")</f>
        <v>0813564564</v>
      </c>
      <c r="S340" s="532" t="str">
        <f>IFERROR(VLOOKUP(J340,'03. THIẾT BỊ'!$B$1:$S$836,3,0),"")</f>
        <v>A23-MCA-001</v>
      </c>
      <c r="T340" s="693" t="str">
        <f t="shared" si="9"/>
        <v>DP</v>
      </c>
      <c r="U340" s="693"/>
    </row>
    <row r="341">
      <c r="A341" s="692"/>
      <c r="B341" s="694"/>
      <c r="C341" s="532" t="str">
        <f>IFERROR(VLOOKUP(J341,'03. THIẾT BỊ'!$B$1:$U$836,5,0),"")</f>
        <v>Máy cao áp phun thuốc</v>
      </c>
      <c r="D341" s="463">
        <v>1.0</v>
      </c>
      <c r="E341" s="463"/>
      <c r="F341" s="692"/>
      <c r="G341" s="692"/>
      <c r="H341" s="692" t="str">
        <f>IFERROR(VLOOKUP(J341,'03. THIẾT BỊ'!$B$1:$U$836,19,0),"")</f>
        <v/>
      </c>
      <c r="I341" s="463" t="str">
        <f>IFERROR(VLOOKUP(J341,'03. THIẾT BỊ'!$B$1:$U$836,20,0),"")</f>
        <v/>
      </c>
      <c r="J341" s="464" t="s">
        <v>4954</v>
      </c>
      <c r="K341" s="757" t="s">
        <v>4158</v>
      </c>
      <c r="L341" s="759"/>
      <c r="M341" s="759"/>
      <c r="N341" s="692" t="str">
        <f>IFERROR(VLOOKUP(J341,'03. THIẾT BỊ'!$B$1:$U$836,4,0),"")</f>
        <v>ĐQSD</v>
      </c>
      <c r="O341" s="692" t="str">
        <f>IFERROR(VLOOKUP(J341,'03. THIẾT BỊ'!$B$1:$U$836,7,0),"")</f>
        <v>Xoài DP</v>
      </c>
      <c r="P341" s="559" t="str">
        <f>IFERROR(VLOOKUP(O341,'NS QUẢN LÝ CG'!$A$4:$D$36,2,0),"")</f>
        <v>Hà Văn Nghĩa</v>
      </c>
      <c r="Q341" s="559" t="str">
        <f>IFERROR(VLOOKUP(O341,'NS QUẢN LÝ CG'!$A$4:$D$36,4,0),"")</f>
        <v>Lô 136 XN Xoài</v>
      </c>
      <c r="R341" s="559" t="str">
        <f>IFERROR(VLOOKUP(O341,'NS QUẢN LÝ CG'!$A$4:$C$36,3,0),"")</f>
        <v>0813564564</v>
      </c>
      <c r="S341" s="532" t="str">
        <f>IFERROR(VLOOKUP(J341,'03. THIẾT BỊ'!$B$1:$S$836,3,0),"")</f>
        <v>A23-MCA-002</v>
      </c>
      <c r="T341" s="693" t="str">
        <f t="shared" si="9"/>
        <v>DP</v>
      </c>
      <c r="U341" s="693"/>
    </row>
    <row r="342">
      <c r="A342" s="692"/>
      <c r="B342" s="694"/>
      <c r="C342" s="532" t="str">
        <f>IFERROR(VLOOKUP(J342,'03. THIẾT BỊ'!$B$1:$U$836,5,0),"")</f>
        <v>Máy cao áp phun thuốc</v>
      </c>
      <c r="D342" s="463">
        <v>1.0</v>
      </c>
      <c r="E342" s="463"/>
      <c r="F342" s="692"/>
      <c r="G342" s="692"/>
      <c r="H342" s="692" t="str">
        <f>IFERROR(VLOOKUP(J342,'03. THIẾT BỊ'!$B$1:$U$836,19,0),"")</f>
        <v/>
      </c>
      <c r="I342" s="463" t="str">
        <f>IFERROR(VLOOKUP(J342,'03. THIẾT BỊ'!$B$1:$U$836,20,0),"")</f>
        <v/>
      </c>
      <c r="J342" s="464" t="s">
        <v>4955</v>
      </c>
      <c r="K342" s="757" t="s">
        <v>4158</v>
      </c>
      <c r="L342" s="759"/>
      <c r="M342" s="759"/>
      <c r="N342" s="692" t="str">
        <f>IFERROR(VLOOKUP(J342,'03. THIẾT BỊ'!$B$1:$U$836,4,0),"")</f>
        <v>ĐQSD</v>
      </c>
      <c r="O342" s="692" t="str">
        <f>IFERROR(VLOOKUP(J342,'03. THIẾT BỊ'!$B$1:$U$836,7,0),"")</f>
        <v>Xoài DP</v>
      </c>
      <c r="P342" s="559" t="str">
        <f>IFERROR(VLOOKUP(O342,'NS QUẢN LÝ CG'!$A$4:$D$36,2,0),"")</f>
        <v>Hà Văn Nghĩa</v>
      </c>
      <c r="Q342" s="559" t="str">
        <f>IFERROR(VLOOKUP(O342,'NS QUẢN LÝ CG'!$A$4:$D$36,4,0),"")</f>
        <v>Lô 136 XN Xoài</v>
      </c>
      <c r="R342" s="559" t="str">
        <f>IFERROR(VLOOKUP(O342,'NS QUẢN LÝ CG'!$A$4:$C$36,3,0),"")</f>
        <v>0813564564</v>
      </c>
      <c r="S342" s="532" t="str">
        <f>IFERROR(VLOOKUP(J342,'03. THIẾT BỊ'!$B$1:$S$836,3,0),"")</f>
        <v>A23-MCA-001</v>
      </c>
      <c r="T342" s="693" t="str">
        <f t="shared" si="9"/>
        <v>DP</v>
      </c>
      <c r="U342" s="693"/>
    </row>
    <row r="343">
      <c r="A343" s="692"/>
      <c r="B343" s="58"/>
      <c r="C343" s="532" t="str">
        <f>IFERROR(VLOOKUP(J343,'03. THIẾT BỊ'!$B$1:$U$836,5,0),"")</f>
        <v>Máy cao áp phun thuốc</v>
      </c>
      <c r="D343" s="463">
        <v>1.0</v>
      </c>
      <c r="E343" s="463"/>
      <c r="F343" s="692"/>
      <c r="G343" s="692"/>
      <c r="H343" s="692" t="str">
        <f>IFERROR(VLOOKUP(J343,'03. THIẾT BỊ'!$B$1:$U$836,19,0),"")</f>
        <v/>
      </c>
      <c r="I343" s="463" t="str">
        <f>IFERROR(VLOOKUP(J343,'03. THIẾT BỊ'!$B$1:$U$836,20,0),"")</f>
        <v/>
      </c>
      <c r="J343" s="464" t="s">
        <v>4957</v>
      </c>
      <c r="K343" s="757" t="s">
        <v>4158</v>
      </c>
      <c r="L343" s="759"/>
      <c r="M343" s="759"/>
      <c r="N343" s="692" t="str">
        <f>IFERROR(VLOOKUP(J343,'03. THIẾT BỊ'!$B$1:$U$836,4,0),"")</f>
        <v>ĐQSD</v>
      </c>
      <c r="O343" s="692" t="str">
        <f>IFERROR(VLOOKUP(J343,'03. THIẾT BỊ'!$B$1:$U$836,7,0),"")</f>
        <v>Xoài DP</v>
      </c>
      <c r="P343" s="559" t="str">
        <f>IFERROR(VLOOKUP(O343,'NS QUẢN LÝ CG'!$A$4:$D$36,2,0),"")</f>
        <v>Hà Văn Nghĩa</v>
      </c>
      <c r="Q343" s="559" t="str">
        <f>IFERROR(VLOOKUP(O343,'NS QUẢN LÝ CG'!$A$4:$D$36,4,0),"")</f>
        <v>Lô 136 XN Xoài</v>
      </c>
      <c r="R343" s="559" t="str">
        <f>IFERROR(VLOOKUP(O343,'NS QUẢN LÝ CG'!$A$4:$C$36,3,0),"")</f>
        <v>0813564564</v>
      </c>
      <c r="S343" s="532" t="str">
        <f>IFERROR(VLOOKUP(J343,'03. THIẾT BỊ'!$B$1:$S$836,3,0),"")</f>
        <v>A23-MCA-002</v>
      </c>
      <c r="T343" s="693" t="str">
        <f t="shared" si="9"/>
        <v>DP</v>
      </c>
      <c r="U343" s="693"/>
    </row>
    <row r="344">
      <c r="A344" s="692"/>
      <c r="B344" s="764" t="s">
        <v>5962</v>
      </c>
      <c r="C344" s="464" t="s">
        <v>5822</v>
      </c>
      <c r="D344" s="463">
        <v>40.0</v>
      </c>
      <c r="E344" s="692"/>
      <c r="F344" s="463" t="s">
        <v>4158</v>
      </c>
      <c r="G344" s="692"/>
      <c r="H344" s="692" t="str">
        <f>IFERROR(VLOOKUP(J344,'03. THIẾT BỊ'!$B$1:$U$836,19,0),"")</f>
        <v/>
      </c>
      <c r="I344" s="463" t="str">
        <f>IFERROR(VLOOKUP(J344,'03. THIẾT BỊ'!$B$1:$U$836,20,0),"")</f>
        <v/>
      </c>
      <c r="J344" s="464"/>
      <c r="K344" s="757"/>
      <c r="L344" s="759"/>
      <c r="M344" s="759"/>
      <c r="N344" s="692" t="str">
        <f>IFERROR(VLOOKUP(J344,'03. THIẾT BỊ'!$B$1:$U$836,4,0),"")</f>
        <v/>
      </c>
      <c r="O344" s="692" t="str">
        <f>IFERROR(VLOOKUP(J344,'03. THIẾT BỊ'!$B$1:$U$836,7,0),"")</f>
        <v/>
      </c>
      <c r="P344" s="532"/>
      <c r="Q344" s="532"/>
      <c r="R344" s="532"/>
      <c r="S344" s="532" t="str">
        <f>IFERROR(VLOOKUP(J344,'03. THIẾT BỊ'!$B$1:$S$836,3,0),"")</f>
        <v/>
      </c>
      <c r="T344" s="693"/>
      <c r="U344" s="693"/>
    </row>
    <row r="345">
      <c r="A345" s="692"/>
      <c r="B345" s="728"/>
      <c r="C345" s="532" t="str">
        <f>IFERROR(VLOOKUP(J345,'03. THIẾT BỊ'!$B$1:$U$836,5,0),"")</f>
        <v/>
      </c>
      <c r="D345" s="463"/>
      <c r="E345" s="692"/>
      <c r="F345" s="692"/>
      <c r="G345" s="692"/>
      <c r="H345" s="692" t="str">
        <f>IFERROR(VLOOKUP(J345,'03. THIẾT BỊ'!$B$1:$U$836,19,0),"")</f>
        <v/>
      </c>
      <c r="I345" s="463" t="str">
        <f>IFERROR(VLOOKUP(J345,'03. THIẾT BỊ'!$B$1:$U$836,20,0),"")</f>
        <v/>
      </c>
      <c r="J345" s="464"/>
      <c r="K345" s="757"/>
      <c r="L345" s="759"/>
      <c r="M345" s="759"/>
      <c r="N345" s="692" t="str">
        <f>IFERROR(VLOOKUP(J345,'03. THIẾT BỊ'!$B$1:$U$836,4,0),"")</f>
        <v/>
      </c>
      <c r="O345" s="692" t="str">
        <f>IFERROR(VLOOKUP(J345,'03. THIẾT BỊ'!$B$1:$U$836,7,0),"")</f>
        <v/>
      </c>
      <c r="P345" s="532"/>
      <c r="Q345" s="532"/>
      <c r="R345" s="532"/>
      <c r="S345" s="532" t="str">
        <f>IFERROR(VLOOKUP(J345,'03. THIẾT BỊ'!$B$1:$S$836,3,0),"")</f>
        <v/>
      </c>
      <c r="T345" s="693"/>
      <c r="U345" s="693"/>
    </row>
    <row r="346">
      <c r="A346" s="686" t="s">
        <v>5831</v>
      </c>
      <c r="B346" s="23"/>
      <c r="C346" s="30"/>
      <c r="D346" s="687">
        <f>SUM(D347:D361)</f>
        <v>13</v>
      </c>
      <c r="E346" s="688"/>
      <c r="F346" s="688"/>
      <c r="G346" s="688"/>
      <c r="H346" s="688"/>
      <c r="I346" s="688"/>
      <c r="J346" s="689"/>
      <c r="K346" s="688"/>
      <c r="L346" s="688"/>
      <c r="M346" s="688"/>
      <c r="N346" s="689"/>
      <c r="O346" s="689"/>
      <c r="P346" s="689"/>
      <c r="Q346" s="689"/>
      <c r="R346" s="689"/>
      <c r="S346" s="689"/>
      <c r="T346" s="690"/>
      <c r="U346" s="690"/>
    </row>
    <row r="347">
      <c r="A347" s="692"/>
      <c r="B347" s="738" t="s">
        <v>5964</v>
      </c>
      <c r="C347" s="532" t="str">
        <f>IFERROR(VLOOKUP(J347,'03. THIẾT BỊ'!$B$1:$U$836,5,0),"")</f>
        <v>Rơ mooc lưới</v>
      </c>
      <c r="D347" s="463">
        <v>1.0</v>
      </c>
      <c r="E347" s="463"/>
      <c r="F347" s="692"/>
      <c r="G347" s="692"/>
      <c r="H347" s="692" t="str">
        <f>IFERROR(VLOOKUP(J347,'03. THIẾT BỊ'!$B$1:$U$836,19,0),"")</f>
        <v/>
      </c>
      <c r="I347" s="463" t="str">
        <f>IFERROR(VLOOKUP(J347,'03. THIẾT BỊ'!$B$1:$U$836,20,0),"")</f>
        <v/>
      </c>
      <c r="J347" s="464" t="s">
        <v>4843</v>
      </c>
      <c r="K347" s="757" t="s">
        <v>4158</v>
      </c>
      <c r="L347" s="759"/>
      <c r="M347" s="759"/>
      <c r="N347" s="692" t="str">
        <f>IFERROR(VLOOKUP(J347,'03. THIẾT BỊ'!$B$1:$U$836,4,0),"")</f>
        <v>ĐQSD</v>
      </c>
      <c r="O347" s="692" t="str">
        <f>IFERROR(VLOOKUP(J347,'03. THIẾT BỊ'!$B$1:$U$836,7,0),"")</f>
        <v>Xoài AD</v>
      </c>
      <c r="P347" s="559" t="str">
        <f>IFERROR(VLOOKUP(O347,'NS QUẢN LÝ CG'!$A$4:$D$36,2,0),"")</f>
        <v>Huỳnh Đông Giang</v>
      </c>
      <c r="Q347" s="559" t="str">
        <f>IFERROR(VLOOKUP(O347,'NS QUẢN LÝ CG'!$A$4:$D$36,4,0),"")</f>
        <v>Lô 132 XN AD</v>
      </c>
      <c r="R347" s="559" t="str">
        <f>IFERROR(VLOOKUP(O347,'NS QUẢN LÝ CG'!$A$4:$C$36,3,0),"")</f>
        <v>0972283372</v>
      </c>
      <c r="S347" s="532" t="str">
        <f>IFERROR(VLOOKUP(J347,'03. THIẾT BỊ'!$B$1:$S$836,3,0),"")</f>
        <v>A22-RML-001</v>
      </c>
      <c r="T347" s="693" t="str">
        <f t="shared" ref="T347:T359" si="10">SWITCH(LEFT(S347,3),"A22","ADM","A23","DP","A24","LP","")</f>
        <v>ADM</v>
      </c>
      <c r="U347" s="693"/>
    </row>
    <row r="348">
      <c r="A348" s="692"/>
      <c r="B348" s="694"/>
      <c r="C348" s="532" t="str">
        <f>IFERROR(VLOOKUP(J348,'03. THIẾT BỊ'!$B$1:$U$836,5,0),"")</f>
        <v>Rơ mooc lưới</v>
      </c>
      <c r="D348" s="463">
        <v>1.0</v>
      </c>
      <c r="E348" s="463"/>
      <c r="F348" s="692"/>
      <c r="G348" s="692"/>
      <c r="H348" s="692" t="str">
        <f>IFERROR(VLOOKUP(J348,'03. THIẾT BỊ'!$B$1:$U$836,19,0),"")</f>
        <v/>
      </c>
      <c r="I348" s="463" t="str">
        <f>IFERROR(VLOOKUP(J348,'03. THIẾT BỊ'!$B$1:$U$836,20,0),"")</f>
        <v/>
      </c>
      <c r="J348" s="464" t="s">
        <v>4846</v>
      </c>
      <c r="K348" s="757" t="s">
        <v>4158</v>
      </c>
      <c r="L348" s="759"/>
      <c r="M348" s="759"/>
      <c r="N348" s="692" t="str">
        <f>IFERROR(VLOOKUP(J348,'03. THIẾT BỊ'!$B$1:$U$836,4,0),"")</f>
        <v>ĐQSD</v>
      </c>
      <c r="O348" s="692" t="str">
        <f>IFERROR(VLOOKUP(J348,'03. THIẾT BỊ'!$B$1:$U$836,7,0),"")</f>
        <v>Xoài AD</v>
      </c>
      <c r="P348" s="559" t="str">
        <f>IFERROR(VLOOKUP(O348,'NS QUẢN LÝ CG'!$A$4:$D$36,2,0),"")</f>
        <v>Huỳnh Đông Giang</v>
      </c>
      <c r="Q348" s="559" t="str">
        <f>IFERROR(VLOOKUP(O348,'NS QUẢN LÝ CG'!$A$4:$D$36,4,0),"")</f>
        <v>Lô 132 XN AD</v>
      </c>
      <c r="R348" s="559" t="str">
        <f>IFERROR(VLOOKUP(O348,'NS QUẢN LÝ CG'!$A$4:$C$36,3,0),"")</f>
        <v>0972283372</v>
      </c>
      <c r="S348" s="532" t="str">
        <f>IFERROR(VLOOKUP(J348,'03. THIẾT BỊ'!$B$1:$S$836,3,0),"")</f>
        <v>A22-RML-002</v>
      </c>
      <c r="T348" s="693" t="str">
        <f t="shared" si="10"/>
        <v>ADM</v>
      </c>
      <c r="U348" s="693"/>
    </row>
    <row r="349">
      <c r="A349" s="692"/>
      <c r="B349" s="694"/>
      <c r="C349" s="532" t="str">
        <f>IFERROR(VLOOKUP(J349,'03. THIẾT BỊ'!$B$1:$U$836,5,0),"")</f>
        <v>Rơ mooc lưới</v>
      </c>
      <c r="D349" s="463">
        <v>1.0</v>
      </c>
      <c r="E349" s="463"/>
      <c r="F349" s="692"/>
      <c r="G349" s="692"/>
      <c r="H349" s="692" t="str">
        <f>IFERROR(VLOOKUP(J349,'03. THIẾT BỊ'!$B$1:$U$836,19,0),"")</f>
        <v/>
      </c>
      <c r="I349" s="463" t="str">
        <f>IFERROR(VLOOKUP(J349,'03. THIẾT BỊ'!$B$1:$U$836,20,0),"")</f>
        <v/>
      </c>
      <c r="J349" s="464" t="s">
        <v>4849</v>
      </c>
      <c r="K349" s="757" t="s">
        <v>4158</v>
      </c>
      <c r="L349" s="759"/>
      <c r="M349" s="759"/>
      <c r="N349" s="692" t="str">
        <f>IFERROR(VLOOKUP(J349,'03. THIẾT BỊ'!$B$1:$U$836,4,0),"")</f>
        <v>ĐQSD</v>
      </c>
      <c r="O349" s="692" t="str">
        <f>IFERROR(VLOOKUP(J349,'03. THIẾT BỊ'!$B$1:$U$836,7,0),"")</f>
        <v>Xoài AD</v>
      </c>
      <c r="P349" s="559" t="str">
        <f>IFERROR(VLOOKUP(O349,'NS QUẢN LÝ CG'!$A$4:$D$36,2,0),"")</f>
        <v>Huỳnh Đông Giang</v>
      </c>
      <c r="Q349" s="559" t="str">
        <f>IFERROR(VLOOKUP(O349,'NS QUẢN LÝ CG'!$A$4:$D$36,4,0),"")</f>
        <v>Lô 132 XN AD</v>
      </c>
      <c r="R349" s="559" t="str">
        <f>IFERROR(VLOOKUP(O349,'NS QUẢN LÝ CG'!$A$4:$C$36,3,0),"")</f>
        <v>0972283372</v>
      </c>
      <c r="S349" s="532" t="str">
        <f>IFERROR(VLOOKUP(J349,'03. THIẾT BỊ'!$B$1:$S$836,3,0),"")</f>
        <v>A22-RML-003</v>
      </c>
      <c r="T349" s="693" t="str">
        <f t="shared" si="10"/>
        <v>ADM</v>
      </c>
      <c r="U349" s="693"/>
    </row>
    <row r="350">
      <c r="A350" s="692"/>
      <c r="B350" s="694"/>
      <c r="C350" s="532" t="str">
        <f>IFERROR(VLOOKUP(J350,'03. THIẾT BỊ'!$B$1:$U$836,5,0),"")</f>
        <v>Rơ mooc lưới</v>
      </c>
      <c r="D350" s="463">
        <v>1.0</v>
      </c>
      <c r="E350" s="463"/>
      <c r="F350" s="692"/>
      <c r="G350" s="692"/>
      <c r="H350" s="692" t="str">
        <f>IFERROR(VLOOKUP(J350,'03. THIẾT BỊ'!$B$1:$U$836,19,0),"")</f>
        <v/>
      </c>
      <c r="I350" s="463" t="str">
        <f>IFERROR(VLOOKUP(J350,'03. THIẾT BỊ'!$B$1:$U$836,20,0),"")</f>
        <v/>
      </c>
      <c r="J350" s="464" t="s">
        <v>4854</v>
      </c>
      <c r="K350" s="757" t="s">
        <v>4158</v>
      </c>
      <c r="L350" s="759"/>
      <c r="M350" s="759"/>
      <c r="N350" s="692" t="str">
        <f>IFERROR(VLOOKUP(J350,'03. THIẾT BỊ'!$B$1:$U$836,4,0),"")</f>
        <v>ĐQSD</v>
      </c>
      <c r="O350" s="692" t="str">
        <f>IFERROR(VLOOKUP(J350,'03. THIẾT BỊ'!$B$1:$U$836,7,0),"")</f>
        <v>Xoài AD</v>
      </c>
      <c r="P350" s="559" t="str">
        <f>IFERROR(VLOOKUP(O350,'NS QUẢN LÝ CG'!$A$4:$D$36,2,0),"")</f>
        <v>Huỳnh Đông Giang</v>
      </c>
      <c r="Q350" s="559" t="str">
        <f>IFERROR(VLOOKUP(O350,'NS QUẢN LÝ CG'!$A$4:$D$36,4,0),"")</f>
        <v>Lô 132 XN AD</v>
      </c>
      <c r="R350" s="559" t="str">
        <f>IFERROR(VLOOKUP(O350,'NS QUẢN LÝ CG'!$A$4:$C$36,3,0),"")</f>
        <v>0972283372</v>
      </c>
      <c r="S350" s="532" t="str">
        <f>IFERROR(VLOOKUP(J350,'03. THIẾT BỊ'!$B$1:$S$836,3,0),"")</f>
        <v>A22-RML-004</v>
      </c>
      <c r="T350" s="693" t="str">
        <f t="shared" si="10"/>
        <v>ADM</v>
      </c>
      <c r="U350" s="693"/>
    </row>
    <row r="351">
      <c r="A351" s="692"/>
      <c r="B351" s="694"/>
      <c r="C351" s="532" t="str">
        <f>IFERROR(VLOOKUP(J351,'03. THIẾT BỊ'!$B$1:$U$836,5,0),"")</f>
        <v>Rơ mooc thu hoạch xoài</v>
      </c>
      <c r="D351" s="463">
        <v>1.0</v>
      </c>
      <c r="E351" s="463"/>
      <c r="F351" s="692"/>
      <c r="G351" s="692"/>
      <c r="H351" s="692" t="str">
        <f>IFERROR(VLOOKUP(J351,'03. THIẾT BỊ'!$B$1:$U$836,19,0),"")</f>
        <v/>
      </c>
      <c r="I351" s="463" t="str">
        <f>IFERROR(VLOOKUP(J351,'03. THIẾT BỊ'!$B$1:$U$836,20,0),"")</f>
        <v/>
      </c>
      <c r="J351" s="464" t="s">
        <v>4865</v>
      </c>
      <c r="K351" s="757" t="s">
        <v>4158</v>
      </c>
      <c r="L351" s="759"/>
      <c r="M351" s="759"/>
      <c r="N351" s="692" t="str">
        <f>IFERROR(VLOOKUP(J351,'03. THIẾT BỊ'!$B$1:$U$836,4,0),"")</f>
        <v>ĐQSD</v>
      </c>
      <c r="O351" s="692" t="str">
        <f>IFERROR(VLOOKUP(J351,'03. THIẾT BỊ'!$B$1:$U$836,7,0),"")</f>
        <v>Xoài AD</v>
      </c>
      <c r="P351" s="559" t="str">
        <f>IFERROR(VLOOKUP(O351,'NS QUẢN LÝ CG'!$A$4:$D$36,2,0),"")</f>
        <v>Huỳnh Đông Giang</v>
      </c>
      <c r="Q351" s="559" t="str">
        <f>IFERROR(VLOOKUP(O351,'NS QUẢN LÝ CG'!$A$4:$D$36,4,0),"")</f>
        <v>Lô 132 XN AD</v>
      </c>
      <c r="R351" s="559" t="str">
        <f>IFERROR(VLOOKUP(O351,'NS QUẢN LÝ CG'!$A$4:$C$36,3,0),"")</f>
        <v>0972283372</v>
      </c>
      <c r="S351" s="532" t="str">
        <f>IFERROR(VLOOKUP(J351,'03. THIẾT BỊ'!$B$1:$S$836,3,0),"")</f>
        <v>A22-RMC-001</v>
      </c>
      <c r="T351" s="693" t="str">
        <f t="shared" si="10"/>
        <v>ADM</v>
      </c>
      <c r="U351" s="693"/>
    </row>
    <row r="352">
      <c r="A352" s="692"/>
      <c r="B352" s="694"/>
      <c r="C352" s="532" t="str">
        <f>IFERROR(VLOOKUP(J352,'03. THIẾT BỊ'!$B$1:$U$836,5,0),"")</f>
        <v>Rơ mooc chở bồn phun thuốc</v>
      </c>
      <c r="D352" s="463">
        <v>1.0</v>
      </c>
      <c r="E352" s="463"/>
      <c r="F352" s="692"/>
      <c r="G352" s="692"/>
      <c r="H352" s="692" t="str">
        <f>IFERROR(VLOOKUP(J352,'03. THIẾT BỊ'!$B$1:$U$836,19,0),"")</f>
        <v/>
      </c>
      <c r="I352" s="463" t="str">
        <f>IFERROR(VLOOKUP(J352,'03. THIẾT BỊ'!$B$1:$U$836,20,0),"")</f>
        <v/>
      </c>
      <c r="J352" s="464" t="s">
        <v>4869</v>
      </c>
      <c r="K352" s="757" t="s">
        <v>4158</v>
      </c>
      <c r="L352" s="759"/>
      <c r="M352" s="759"/>
      <c r="N352" s="692" t="str">
        <f>IFERROR(VLOOKUP(J352,'03. THIẾT BỊ'!$B$1:$U$836,4,0),"")</f>
        <v>ĐQSD</v>
      </c>
      <c r="O352" s="692" t="str">
        <f>IFERROR(VLOOKUP(J352,'03. THIẾT BỊ'!$B$1:$U$836,7,0),"")</f>
        <v>Xoài AD</v>
      </c>
      <c r="P352" s="559" t="str">
        <f>IFERROR(VLOOKUP(O352,'NS QUẢN LÝ CG'!$A$4:$D$36,2,0),"")</f>
        <v>Huỳnh Đông Giang</v>
      </c>
      <c r="Q352" s="559" t="str">
        <f>IFERROR(VLOOKUP(O352,'NS QUẢN LÝ CG'!$A$4:$D$36,4,0),"")</f>
        <v>Lô 132 XN AD</v>
      </c>
      <c r="R352" s="559" t="str">
        <f>IFERROR(VLOOKUP(O352,'NS QUẢN LÝ CG'!$A$4:$C$36,3,0),"")</f>
        <v>0972283372</v>
      </c>
      <c r="S352" s="532" t="str">
        <f>IFERROR(VLOOKUP(J352,'03. THIẾT BỊ'!$B$1:$S$836,3,0),"")</f>
        <v>A22-RNB-001</v>
      </c>
      <c r="T352" s="693" t="str">
        <f t="shared" si="10"/>
        <v>ADM</v>
      </c>
      <c r="U352" s="693"/>
    </row>
    <row r="353">
      <c r="A353" s="692"/>
      <c r="B353" s="694"/>
      <c r="C353" s="532" t="str">
        <f>IFERROR(VLOOKUP(J353,'03. THIẾT BỊ'!$B$1:$U$836,5,0),"")</f>
        <v>Rơ mooc chở bồn phun thuốc</v>
      </c>
      <c r="D353" s="463">
        <v>1.0</v>
      </c>
      <c r="E353" s="463"/>
      <c r="F353" s="692"/>
      <c r="G353" s="692"/>
      <c r="H353" s="692" t="str">
        <f>IFERROR(VLOOKUP(J353,'03. THIẾT BỊ'!$B$1:$U$836,19,0),"")</f>
        <v/>
      </c>
      <c r="I353" s="463" t="str">
        <f>IFERROR(VLOOKUP(J353,'03. THIẾT BỊ'!$B$1:$U$836,20,0),"")</f>
        <v/>
      </c>
      <c r="J353" s="464" t="s">
        <v>4873</v>
      </c>
      <c r="K353" s="757" t="s">
        <v>4158</v>
      </c>
      <c r="L353" s="759"/>
      <c r="M353" s="759"/>
      <c r="N353" s="692" t="str">
        <f>IFERROR(VLOOKUP(J353,'03. THIẾT BỊ'!$B$1:$U$836,4,0),"")</f>
        <v>ĐQSD</v>
      </c>
      <c r="O353" s="692" t="str">
        <f>IFERROR(VLOOKUP(J353,'03. THIẾT BỊ'!$B$1:$U$836,7,0),"")</f>
        <v>Xoài AD</v>
      </c>
      <c r="P353" s="559" t="str">
        <f>IFERROR(VLOOKUP(O353,'NS QUẢN LÝ CG'!$A$4:$D$36,2,0),"")</f>
        <v>Huỳnh Đông Giang</v>
      </c>
      <c r="Q353" s="559" t="str">
        <f>IFERROR(VLOOKUP(O353,'NS QUẢN LÝ CG'!$A$4:$D$36,4,0),"")</f>
        <v>Lô 132 XN AD</v>
      </c>
      <c r="R353" s="559" t="str">
        <f>IFERROR(VLOOKUP(O353,'NS QUẢN LÝ CG'!$A$4:$C$36,3,0),"")</f>
        <v>0972283372</v>
      </c>
      <c r="S353" s="532" t="str">
        <f>IFERROR(VLOOKUP(J353,'03. THIẾT BỊ'!$B$1:$S$836,3,0),"")</f>
        <v>A22-RNB-002</v>
      </c>
      <c r="T353" s="693" t="str">
        <f t="shared" si="10"/>
        <v>ADM</v>
      </c>
      <c r="U353" s="693"/>
    </row>
    <row r="354">
      <c r="A354" s="692"/>
      <c r="B354" s="694"/>
      <c r="C354" s="532" t="str">
        <f>IFERROR(VLOOKUP(J354,'03. THIẾT BỊ'!$B$1:$U$836,5,0),"")</f>
        <v>Rơ mooc chở bồn phun thuốc</v>
      </c>
      <c r="D354" s="463">
        <v>1.0</v>
      </c>
      <c r="E354" s="463"/>
      <c r="F354" s="692"/>
      <c r="G354" s="692"/>
      <c r="H354" s="692" t="str">
        <f>IFERROR(VLOOKUP(J354,'03. THIẾT BỊ'!$B$1:$U$836,19,0),"")</f>
        <v/>
      </c>
      <c r="I354" s="463" t="str">
        <f>IFERROR(VLOOKUP(J354,'03. THIẾT BỊ'!$B$1:$U$836,20,0),"")</f>
        <v/>
      </c>
      <c r="J354" s="464" t="s">
        <v>4876</v>
      </c>
      <c r="K354" s="757" t="s">
        <v>4158</v>
      </c>
      <c r="L354" s="759"/>
      <c r="M354" s="759"/>
      <c r="N354" s="692" t="str">
        <f>IFERROR(VLOOKUP(J354,'03. THIẾT BỊ'!$B$1:$U$836,4,0),"")</f>
        <v>ĐQSD</v>
      </c>
      <c r="O354" s="692" t="str">
        <f>IFERROR(VLOOKUP(J354,'03. THIẾT BỊ'!$B$1:$U$836,7,0),"")</f>
        <v>Xoài AD</v>
      </c>
      <c r="P354" s="559" t="str">
        <f>IFERROR(VLOOKUP(O354,'NS QUẢN LÝ CG'!$A$4:$D$36,2,0),"")</f>
        <v>Huỳnh Đông Giang</v>
      </c>
      <c r="Q354" s="559" t="str">
        <f>IFERROR(VLOOKUP(O354,'NS QUẢN LÝ CG'!$A$4:$D$36,4,0),"")</f>
        <v>Lô 132 XN AD</v>
      </c>
      <c r="R354" s="559" t="str">
        <f>IFERROR(VLOOKUP(O354,'NS QUẢN LÝ CG'!$A$4:$C$36,3,0),"")</f>
        <v>0972283372</v>
      </c>
      <c r="S354" s="532" t="str">
        <f>IFERROR(VLOOKUP(J354,'03. THIẾT BỊ'!$B$1:$S$836,3,0),"")</f>
        <v>A22-RNB-003</v>
      </c>
      <c r="T354" s="693" t="str">
        <f t="shared" si="10"/>
        <v>ADM</v>
      </c>
      <c r="U354" s="693"/>
    </row>
    <row r="355">
      <c r="A355" s="692"/>
      <c r="B355" s="694"/>
      <c r="C355" s="532" t="str">
        <f>IFERROR(VLOOKUP(J355,'03. THIẾT BỊ'!$B$1:$U$836,5,0),"")</f>
        <v>Rơ mooc chở bồn phun thuốc</v>
      </c>
      <c r="D355" s="463">
        <v>1.0</v>
      </c>
      <c r="E355" s="463"/>
      <c r="F355" s="692"/>
      <c r="G355" s="692"/>
      <c r="H355" s="692" t="str">
        <f>IFERROR(VLOOKUP(J355,'03. THIẾT BỊ'!$B$1:$U$836,19,0),"")</f>
        <v/>
      </c>
      <c r="I355" s="463" t="str">
        <f>IFERROR(VLOOKUP(J355,'03. THIẾT BỊ'!$B$1:$U$836,20,0),"")</f>
        <v/>
      </c>
      <c r="J355" s="464" t="s">
        <v>4880</v>
      </c>
      <c r="K355" s="757" t="s">
        <v>4158</v>
      </c>
      <c r="L355" s="759"/>
      <c r="M355" s="759"/>
      <c r="N355" s="692" t="str">
        <f>IFERROR(VLOOKUP(J355,'03. THIẾT BỊ'!$B$1:$U$836,4,0),"")</f>
        <v>ĐQSD</v>
      </c>
      <c r="O355" s="692" t="str">
        <f>IFERROR(VLOOKUP(J355,'03. THIẾT BỊ'!$B$1:$U$836,7,0),"")</f>
        <v>Xoài AD</v>
      </c>
      <c r="P355" s="559" t="str">
        <f>IFERROR(VLOOKUP(O355,'NS QUẢN LÝ CG'!$A$4:$D$36,2,0),"")</f>
        <v>Huỳnh Đông Giang</v>
      </c>
      <c r="Q355" s="559" t="str">
        <f>IFERROR(VLOOKUP(O355,'NS QUẢN LÝ CG'!$A$4:$D$36,4,0),"")</f>
        <v>Lô 132 XN AD</v>
      </c>
      <c r="R355" s="559" t="str">
        <f>IFERROR(VLOOKUP(O355,'NS QUẢN LÝ CG'!$A$4:$C$36,3,0),"")</f>
        <v>0972283372</v>
      </c>
      <c r="S355" s="532" t="str">
        <f>IFERROR(VLOOKUP(J355,'03. THIẾT BỊ'!$B$1:$S$836,3,0),"")</f>
        <v>A22-RNB-004</v>
      </c>
      <c r="T355" s="693" t="str">
        <f t="shared" si="10"/>
        <v>ADM</v>
      </c>
      <c r="U355" s="693"/>
    </row>
    <row r="356">
      <c r="A356" s="692"/>
      <c r="B356" s="694"/>
      <c r="C356" s="532" t="str">
        <f>IFERROR(VLOOKUP(J356,'03. THIẾT BỊ'!$B$1:$U$836,5,0),"")</f>
        <v>Thiết bị cày đánh rãnh bón phân</v>
      </c>
      <c r="D356" s="463">
        <v>1.0</v>
      </c>
      <c r="E356" s="463"/>
      <c r="F356" s="692"/>
      <c r="G356" s="692"/>
      <c r="H356" s="692" t="str">
        <f>IFERROR(VLOOKUP(J356,'03. THIẾT BỊ'!$B$1:$U$836,19,0),"")</f>
        <v/>
      </c>
      <c r="I356" s="463" t="str">
        <f>IFERROR(VLOOKUP(J356,'03. THIẾT BỊ'!$B$1:$U$836,20,0),"")</f>
        <v/>
      </c>
      <c r="J356" s="464" t="s">
        <v>4908</v>
      </c>
      <c r="K356" s="757" t="s">
        <v>4158</v>
      </c>
      <c r="L356" s="759"/>
      <c r="M356" s="759"/>
      <c r="N356" s="692" t="str">
        <f>IFERROR(VLOOKUP(J356,'03. THIẾT BỊ'!$B$1:$U$836,4,0),"")</f>
        <v>ĐQSD</v>
      </c>
      <c r="O356" s="692" t="str">
        <f>IFERROR(VLOOKUP(J356,'03. THIẾT BỊ'!$B$1:$U$836,7,0),"")</f>
        <v>Xoài AD</v>
      </c>
      <c r="P356" s="559" t="str">
        <f>IFERROR(VLOOKUP(O356,'NS QUẢN LÝ CG'!$A$4:$D$36,2,0),"")</f>
        <v>Huỳnh Đông Giang</v>
      </c>
      <c r="Q356" s="559" t="str">
        <f>IFERROR(VLOOKUP(O356,'NS QUẢN LÝ CG'!$A$4:$D$36,4,0),"")</f>
        <v>Lô 132 XN AD</v>
      </c>
      <c r="R356" s="559" t="str">
        <f>IFERROR(VLOOKUP(O356,'NS QUẢN LÝ CG'!$A$4:$C$36,3,0),"")</f>
        <v>0972283372</v>
      </c>
      <c r="S356" s="532" t="str">
        <f>IFERROR(VLOOKUP(J356,'03. THIẾT BỊ'!$B$1:$S$836,3,0),"")</f>
        <v>A22-DCR-001</v>
      </c>
      <c r="T356" s="693" t="str">
        <f t="shared" si="10"/>
        <v>ADM</v>
      </c>
      <c r="U356" s="693"/>
    </row>
    <row r="357">
      <c r="A357" s="692"/>
      <c r="B357" s="694"/>
      <c r="C357" s="532" t="str">
        <f>IFERROR(VLOOKUP(J357,'03. THIẾT BỊ'!$B$1:$U$836,5,0),"")</f>
        <v>Rơ mooc lưới ben</v>
      </c>
      <c r="D357" s="463">
        <v>1.0</v>
      </c>
      <c r="E357" s="463"/>
      <c r="F357" s="692"/>
      <c r="G357" s="692"/>
      <c r="H357" s="692" t="str">
        <f>IFERROR(VLOOKUP(J357,'03. THIẾT BỊ'!$B$1:$U$836,19,0),"")</f>
        <v/>
      </c>
      <c r="I357" s="463" t="str">
        <f>IFERROR(VLOOKUP(J357,'03. THIẾT BỊ'!$B$1:$U$836,20,0),"")</f>
        <v/>
      </c>
      <c r="J357" s="464" t="s">
        <v>4920</v>
      </c>
      <c r="K357" s="757" t="s">
        <v>4158</v>
      </c>
      <c r="L357" s="759"/>
      <c r="M357" s="759"/>
      <c r="N357" s="692" t="str">
        <f>IFERROR(VLOOKUP(J357,'03. THIẾT BỊ'!$B$1:$U$836,4,0),"")</f>
        <v>ĐQSD</v>
      </c>
      <c r="O357" s="692" t="str">
        <f>IFERROR(VLOOKUP(J357,'03. THIẾT BỊ'!$B$1:$U$836,7,0),"")</f>
        <v>Xoài AD</v>
      </c>
      <c r="P357" s="559" t="str">
        <f>IFERROR(VLOOKUP(O357,'NS QUẢN LÝ CG'!$A$4:$D$36,2,0),"")</f>
        <v>Huỳnh Đông Giang</v>
      </c>
      <c r="Q357" s="559" t="str">
        <f>IFERROR(VLOOKUP(O357,'NS QUẢN LÝ CG'!$A$4:$D$36,4,0),"")</f>
        <v>Lô 132 XN AD</v>
      </c>
      <c r="R357" s="559" t="str">
        <f>IFERROR(VLOOKUP(O357,'NS QUẢN LÝ CG'!$A$4:$C$36,3,0),"")</f>
        <v>0972283372</v>
      </c>
      <c r="S357" s="532" t="str">
        <f>IFERROR(VLOOKUP(J357,'03. THIẾT BỊ'!$B$1:$S$836,3,0),"")</f>
        <v>A22-MLB-001</v>
      </c>
      <c r="T357" s="693" t="str">
        <f t="shared" si="10"/>
        <v>ADM</v>
      </c>
      <c r="U357" s="693"/>
    </row>
    <row r="358">
      <c r="A358" s="692"/>
      <c r="B358" s="694"/>
      <c r="C358" s="532" t="str">
        <f>IFERROR(VLOOKUP(J358,'03. THIẾT BỊ'!$B$1:$U$836,5,0),"")</f>
        <v>Rơ mooc lưới</v>
      </c>
      <c r="D358" s="463">
        <v>1.0</v>
      </c>
      <c r="E358" s="463"/>
      <c r="F358" s="692"/>
      <c r="G358" s="692"/>
      <c r="H358" s="692" t="str">
        <f>IFERROR(VLOOKUP(J358,'03. THIẾT BỊ'!$B$1:$U$836,19,0),"")</f>
        <v/>
      </c>
      <c r="I358" s="463" t="str">
        <f>IFERROR(VLOOKUP(J358,'03. THIẾT BỊ'!$B$1:$U$836,20,0),"")</f>
        <v/>
      </c>
      <c r="J358" s="464" t="s">
        <v>4946</v>
      </c>
      <c r="K358" s="757" t="s">
        <v>4158</v>
      </c>
      <c r="L358" s="759"/>
      <c r="M358" s="759"/>
      <c r="N358" s="692" t="str">
        <f>IFERROR(VLOOKUP(J358,'03. THIẾT BỊ'!$B$1:$U$836,4,0),"")</f>
        <v>ĐQSD</v>
      </c>
      <c r="O358" s="692" t="str">
        <f>IFERROR(VLOOKUP(J358,'03. THIẾT BỊ'!$B$1:$U$836,7,0),"")</f>
        <v>Xoài DP</v>
      </c>
      <c r="P358" s="559" t="str">
        <f>IFERROR(VLOOKUP(O358,'NS QUẢN LÝ CG'!$A$4:$D$36,2,0),"")</f>
        <v>Hà Văn Nghĩa</v>
      </c>
      <c r="Q358" s="559" t="str">
        <f>IFERROR(VLOOKUP(O358,'NS QUẢN LÝ CG'!$A$4:$D$36,4,0),"")</f>
        <v>Lô 136 XN Xoài</v>
      </c>
      <c r="R358" s="559" t="str">
        <f>IFERROR(VLOOKUP(O358,'NS QUẢN LÝ CG'!$A$4:$C$36,3,0),"")</f>
        <v>0813564564</v>
      </c>
      <c r="S358" s="532" t="str">
        <f>IFERROR(VLOOKUP(J358,'03. THIẾT BỊ'!$B$1:$S$836,3,0),"")</f>
        <v>A23-RML-001</v>
      </c>
      <c r="T358" s="693" t="str">
        <f t="shared" si="10"/>
        <v>DP</v>
      </c>
      <c r="U358" s="693"/>
    </row>
    <row r="359">
      <c r="A359" s="692"/>
      <c r="B359" s="58"/>
      <c r="C359" s="532" t="str">
        <f>IFERROR(VLOOKUP(J359,'03. THIẾT BỊ'!$B$1:$U$836,5,0),"")</f>
        <v>Rơ mooc lưới</v>
      </c>
      <c r="D359" s="463">
        <v>1.0</v>
      </c>
      <c r="E359" s="463"/>
      <c r="F359" s="692"/>
      <c r="G359" s="692"/>
      <c r="H359" s="692" t="str">
        <f>IFERROR(VLOOKUP(J359,'03. THIẾT BỊ'!$B$1:$U$836,19,0),"")</f>
        <v/>
      </c>
      <c r="I359" s="463" t="str">
        <f>IFERROR(VLOOKUP(J359,'03. THIẾT BỊ'!$B$1:$U$836,20,0),"")</f>
        <v/>
      </c>
      <c r="J359" s="464" t="s">
        <v>4950</v>
      </c>
      <c r="K359" s="757" t="s">
        <v>4158</v>
      </c>
      <c r="L359" s="759"/>
      <c r="M359" s="759"/>
      <c r="N359" s="692" t="str">
        <f>IFERROR(VLOOKUP(J359,'03. THIẾT BỊ'!$B$1:$U$836,4,0),"")</f>
        <v>ĐQSD</v>
      </c>
      <c r="O359" s="692" t="str">
        <f>IFERROR(VLOOKUP(J359,'03. THIẾT BỊ'!$B$1:$U$836,7,0),"")</f>
        <v>Xoài DP</v>
      </c>
      <c r="P359" s="559" t="str">
        <f>IFERROR(VLOOKUP(O359,'NS QUẢN LÝ CG'!$A$4:$D$36,2,0),"")</f>
        <v>Hà Văn Nghĩa</v>
      </c>
      <c r="Q359" s="559" t="str">
        <f>IFERROR(VLOOKUP(O359,'NS QUẢN LÝ CG'!$A$4:$D$36,4,0),"")</f>
        <v>Lô 136 XN Xoài</v>
      </c>
      <c r="R359" s="559" t="str">
        <f>IFERROR(VLOOKUP(O359,'NS QUẢN LÝ CG'!$A$4:$C$36,3,0),"")</f>
        <v>0813564564</v>
      </c>
      <c r="S359" s="532" t="str">
        <f>IFERROR(VLOOKUP(J359,'03. THIẾT BỊ'!$B$1:$S$836,3,0),"")</f>
        <v>A23-RML-002</v>
      </c>
      <c r="T359" s="693" t="str">
        <f t="shared" si="10"/>
        <v>DP</v>
      </c>
      <c r="U359" s="693"/>
    </row>
    <row r="360">
      <c r="A360" s="692"/>
      <c r="C360" s="532" t="str">
        <f>IFERROR(VLOOKUP(J360,'03. THIẾT BỊ'!$B$1:$U$836,5,0),"")</f>
        <v/>
      </c>
      <c r="D360" s="463"/>
      <c r="E360" s="692"/>
      <c r="F360" s="692"/>
      <c r="G360" s="692"/>
      <c r="H360" s="692" t="str">
        <f>IFERROR(VLOOKUP(J360,'03. THIẾT BỊ'!$B$1:$U$836,19,0),"")</f>
        <v/>
      </c>
      <c r="I360" s="463" t="str">
        <f>IFERROR(VLOOKUP(J360,'03. THIẾT BỊ'!$B$1:$U$836,20,0),"")</f>
        <v/>
      </c>
      <c r="J360" s="464"/>
      <c r="K360" s="757"/>
      <c r="L360" s="759"/>
      <c r="M360" s="759"/>
      <c r="N360" s="692" t="str">
        <f>IFERROR(VLOOKUP(J360,'03. THIẾT BỊ'!$B$1:$U$836,4,0),"")</f>
        <v/>
      </c>
      <c r="O360" s="692" t="str">
        <f>IFERROR(VLOOKUP(J360,'03. THIẾT BỊ'!$B$1:$U$836,7,0),"")</f>
        <v/>
      </c>
      <c r="P360" s="532"/>
      <c r="Q360" s="532"/>
      <c r="R360" s="532"/>
      <c r="S360" s="532" t="str">
        <f>IFERROR(VLOOKUP(J360,'03. THIẾT BỊ'!$B$1:$S$836,3,0),"")</f>
        <v/>
      </c>
      <c r="T360" s="693"/>
      <c r="U360" s="693"/>
    </row>
    <row r="361">
      <c r="A361" s="692"/>
      <c r="C361" s="532" t="str">
        <f>IFERROR(VLOOKUP(J361,'03. THIẾT BỊ'!$B$1:$U$836,5,0),"")</f>
        <v/>
      </c>
      <c r="D361" s="463"/>
      <c r="E361" s="692"/>
      <c r="F361" s="692"/>
      <c r="G361" s="692"/>
      <c r="H361" s="692" t="str">
        <f>IFERROR(VLOOKUP(J361,'03. THIẾT BỊ'!$B$1:$U$836,19,0),"")</f>
        <v/>
      </c>
      <c r="I361" s="463" t="str">
        <f>IFERROR(VLOOKUP(J361,'03. THIẾT BỊ'!$B$1:$U$836,20,0),"")</f>
        <v/>
      </c>
      <c r="J361" s="464"/>
      <c r="K361" s="757"/>
      <c r="L361" s="759"/>
      <c r="M361" s="759"/>
      <c r="N361" s="692" t="str">
        <f>IFERROR(VLOOKUP(J361,'03. THIẾT BỊ'!$B$1:$U$836,4,0),"")</f>
        <v/>
      </c>
      <c r="O361" s="692" t="str">
        <f>IFERROR(VLOOKUP(J361,'03. THIẾT BỊ'!$B$1:$U$836,7,0),"")</f>
        <v/>
      </c>
      <c r="P361" s="532"/>
      <c r="Q361" s="532"/>
      <c r="R361" s="532"/>
      <c r="S361" s="532" t="str">
        <f>IFERROR(VLOOKUP(J361,'03. THIẾT BỊ'!$B$1:$S$836,3,0),"")</f>
        <v/>
      </c>
      <c r="T361" s="693"/>
      <c r="U361" s="693"/>
    </row>
    <row r="362">
      <c r="A362" s="682" t="s">
        <v>5969</v>
      </c>
      <c r="B362" s="23"/>
      <c r="C362" s="30"/>
      <c r="D362" s="766">
        <f>SUM(D363:D383)</f>
        <v>19</v>
      </c>
      <c r="E362" s="683"/>
      <c r="F362" s="683"/>
      <c r="G362" s="683"/>
      <c r="H362" s="683"/>
      <c r="I362" s="683"/>
      <c r="J362" s="684"/>
      <c r="K362" s="683"/>
      <c r="L362" s="683"/>
      <c r="M362" s="683"/>
      <c r="N362" s="684"/>
      <c r="O362" s="684"/>
      <c r="P362" s="684"/>
      <c r="Q362" s="684"/>
      <c r="R362" s="684"/>
      <c r="S362" s="684"/>
      <c r="T362" s="685"/>
      <c r="U362" s="685"/>
    </row>
    <row r="363">
      <c r="A363" s="692"/>
      <c r="C363" s="532" t="str">
        <f>IFERROR(VLOOKUP(J363,'03. THIẾT BỊ'!$B$1:$U$836,5,0),"")</f>
        <v>SMRM LCD</v>
      </c>
      <c r="D363" s="463">
        <v>1.0</v>
      </c>
      <c r="E363" s="463" t="s">
        <v>4158</v>
      </c>
      <c r="F363" s="692"/>
      <c r="G363" s="692"/>
      <c r="H363" s="692" t="str">
        <f>IFERROR(VLOOKUP(J363,'03. THIẾT BỊ'!$B$1:$U$836,19,0),"")</f>
        <v/>
      </c>
      <c r="I363" s="463" t="str">
        <f>IFERROR(VLOOKUP(J363,'03. THIẾT BỊ'!$B$1:$U$836,20,0),"")</f>
        <v/>
      </c>
      <c r="J363" s="467" t="s">
        <v>5555</v>
      </c>
      <c r="K363" s="757" t="s">
        <v>4158</v>
      </c>
      <c r="L363" s="759"/>
      <c r="M363" s="759"/>
      <c r="N363" s="692" t="str">
        <f>IFERROR(VLOOKUP(J363,'03. THIẾT BỊ'!$B$1:$U$836,4,0),"")</f>
        <v>THUÊ THILOGI</v>
      </c>
      <c r="O363" s="692" t="str">
        <f>IFERROR(VLOOKUP(J363,'03. THIẾT BỊ'!$B$1:$U$836,7,0),"")</f>
        <v>Phòng GNVC</v>
      </c>
      <c r="P363" s="559" t="str">
        <f>IFERROR(VLOOKUP(O363,'NS QUẢN LÝ CG'!$A$4:$D$36,2,0),"")</f>
        <v>Lâm Quốc Cường</v>
      </c>
      <c r="Q363" s="559" t="str">
        <f>IFERROR(VLOOKUP(O363,'NS QUẢN LÝ CG'!$A$4:$D$36,4,0),"")</f>
        <v>Tổng kho KLH</v>
      </c>
      <c r="R363" s="559" t="str">
        <f>IFERROR(VLOOKUP(O363,'NS QUẢN LÝ CG'!$A$4:$C$36,3,0),"")</f>
        <v>0384653979</v>
      </c>
      <c r="S363" s="532" t="str">
        <f>IFERROR(VLOOKUP(J363,'03. THIẾT BỊ'!$B$1:$S$836,3,0),"")</f>
        <v/>
      </c>
      <c r="T363" s="693" t="str">
        <f t="shared" ref="T363:T381" si="11">SWITCH(LEFT(S363,3),"A22","ADM","A23","DP","A24","LP","")</f>
        <v/>
      </c>
      <c r="U363" s="693"/>
    </row>
    <row r="364">
      <c r="A364" s="692"/>
      <c r="C364" s="532" t="str">
        <f>IFERROR(VLOOKUP(J364,'03. THIẾT BỊ'!$B$1:$U$836,5,0),"")</f>
        <v>SMRM LCD</v>
      </c>
      <c r="D364" s="463">
        <v>1.0</v>
      </c>
      <c r="E364" s="463" t="s">
        <v>4158</v>
      </c>
      <c r="F364" s="692"/>
      <c r="G364" s="692"/>
      <c r="H364" s="692" t="str">
        <f>IFERROR(VLOOKUP(J364,'03. THIẾT BỊ'!$B$1:$U$836,19,0),"")</f>
        <v/>
      </c>
      <c r="I364" s="463" t="str">
        <f>IFERROR(VLOOKUP(J364,'03. THIẾT BỊ'!$B$1:$U$836,20,0),"")</f>
        <v/>
      </c>
      <c r="J364" s="467" t="s">
        <v>5560</v>
      </c>
      <c r="K364" s="757" t="s">
        <v>4158</v>
      </c>
      <c r="L364" s="759"/>
      <c r="M364" s="759"/>
      <c r="N364" s="692" t="str">
        <f>IFERROR(VLOOKUP(J364,'03. THIẾT BỊ'!$B$1:$U$836,4,0),"")</f>
        <v>THUÊ THILOGI</v>
      </c>
      <c r="O364" s="692" t="str">
        <f>IFERROR(VLOOKUP(J364,'03. THIẾT BỊ'!$B$1:$U$836,7,0),"")</f>
        <v>Phòng GNVC</v>
      </c>
      <c r="P364" s="559" t="str">
        <f>IFERROR(VLOOKUP(O364,'NS QUẢN LÝ CG'!$A$4:$D$36,2,0),"")</f>
        <v>Lâm Quốc Cường</v>
      </c>
      <c r="Q364" s="559" t="str">
        <f>IFERROR(VLOOKUP(O364,'NS QUẢN LÝ CG'!$A$4:$D$36,4,0),"")</f>
        <v>Tổng kho KLH</v>
      </c>
      <c r="R364" s="559" t="str">
        <f>IFERROR(VLOOKUP(O364,'NS QUẢN LÝ CG'!$A$4:$C$36,3,0),"")</f>
        <v>0384653979</v>
      </c>
      <c r="S364" s="532" t="str">
        <f>IFERROR(VLOOKUP(J364,'03. THIẾT BỊ'!$B$1:$S$836,3,0),"")</f>
        <v/>
      </c>
      <c r="T364" s="693" t="str">
        <f t="shared" si="11"/>
        <v/>
      </c>
      <c r="U364" s="693"/>
    </row>
    <row r="365">
      <c r="A365" s="692"/>
      <c r="C365" s="532" t="str">
        <f>IFERROR(VLOOKUP(J365,'03. THIẾT BỊ'!$B$1:$U$836,5,0),"")</f>
        <v>SMRM LCD</v>
      </c>
      <c r="D365" s="463">
        <v>1.0</v>
      </c>
      <c r="E365" s="463" t="s">
        <v>4158</v>
      </c>
      <c r="F365" s="692"/>
      <c r="G365" s="692"/>
      <c r="H365" s="692" t="str">
        <f>IFERROR(VLOOKUP(J365,'03. THIẾT BỊ'!$B$1:$U$836,19,0),"")</f>
        <v/>
      </c>
      <c r="I365" s="463" t="str">
        <f>IFERROR(VLOOKUP(J365,'03. THIẾT BỊ'!$B$1:$U$836,20,0),"")</f>
        <v/>
      </c>
      <c r="J365" s="467" t="s">
        <v>5564</v>
      </c>
      <c r="K365" s="757" t="s">
        <v>4158</v>
      </c>
      <c r="L365" s="759"/>
      <c r="M365" s="759"/>
      <c r="N365" s="692" t="str">
        <f>IFERROR(VLOOKUP(J365,'03. THIẾT BỊ'!$B$1:$U$836,4,0),"")</f>
        <v>THUÊ THILOGI</v>
      </c>
      <c r="O365" s="692" t="str">
        <f>IFERROR(VLOOKUP(J365,'03. THIẾT BỊ'!$B$1:$U$836,7,0),"")</f>
        <v>Phòng GNVC</v>
      </c>
      <c r="P365" s="559" t="str">
        <f>IFERROR(VLOOKUP(O365,'NS QUẢN LÝ CG'!$A$4:$D$36,2,0),"")</f>
        <v>Lâm Quốc Cường</v>
      </c>
      <c r="Q365" s="559" t="str">
        <f>IFERROR(VLOOKUP(O365,'NS QUẢN LÝ CG'!$A$4:$D$36,4,0),"")</f>
        <v>Tổng kho KLH</v>
      </c>
      <c r="R365" s="559" t="str">
        <f>IFERROR(VLOOKUP(O365,'NS QUẢN LÝ CG'!$A$4:$C$36,3,0),"")</f>
        <v>0384653979</v>
      </c>
      <c r="S365" s="532" t="str">
        <f>IFERROR(VLOOKUP(J365,'03. THIẾT BỊ'!$B$1:$S$836,3,0),"")</f>
        <v/>
      </c>
      <c r="T365" s="693" t="str">
        <f t="shared" si="11"/>
        <v/>
      </c>
      <c r="U365" s="693"/>
    </row>
    <row r="366">
      <c r="A366" s="692"/>
      <c r="C366" s="532" t="str">
        <f>IFERROR(VLOOKUP(J366,'03. THIẾT BỊ'!$B$1:$U$836,5,0),"")</f>
        <v>SMRM LCD</v>
      </c>
      <c r="D366" s="463">
        <v>1.0</v>
      </c>
      <c r="E366" s="463" t="s">
        <v>4158</v>
      </c>
      <c r="F366" s="692"/>
      <c r="G366" s="692"/>
      <c r="H366" s="692" t="str">
        <f>IFERROR(VLOOKUP(J366,'03. THIẾT BỊ'!$B$1:$U$836,19,0),"")</f>
        <v/>
      </c>
      <c r="I366" s="463" t="str">
        <f>IFERROR(VLOOKUP(J366,'03. THIẾT BỊ'!$B$1:$U$836,20,0),"")</f>
        <v/>
      </c>
      <c r="J366" s="467" t="s">
        <v>5567</v>
      </c>
      <c r="K366" s="757" t="s">
        <v>4158</v>
      </c>
      <c r="L366" s="759"/>
      <c r="M366" s="759"/>
      <c r="N366" s="692" t="str">
        <f>IFERROR(VLOOKUP(J366,'03. THIẾT BỊ'!$B$1:$U$836,4,0),"")</f>
        <v>THUÊ THILOGI</v>
      </c>
      <c r="O366" s="692" t="str">
        <f>IFERROR(VLOOKUP(J366,'03. THIẾT BỊ'!$B$1:$U$836,7,0),"")</f>
        <v>Phòng GNVC</v>
      </c>
      <c r="P366" s="559" t="str">
        <f>IFERROR(VLOOKUP(O366,'NS QUẢN LÝ CG'!$A$4:$D$36,2,0),"")</f>
        <v>Lâm Quốc Cường</v>
      </c>
      <c r="Q366" s="559" t="str">
        <f>IFERROR(VLOOKUP(O366,'NS QUẢN LÝ CG'!$A$4:$D$36,4,0),"")</f>
        <v>Tổng kho KLH</v>
      </c>
      <c r="R366" s="559" t="str">
        <f>IFERROR(VLOOKUP(O366,'NS QUẢN LÝ CG'!$A$4:$C$36,3,0),"")</f>
        <v>0384653979</v>
      </c>
      <c r="S366" s="532" t="str">
        <f>IFERROR(VLOOKUP(J366,'03. THIẾT BỊ'!$B$1:$S$836,3,0),"")</f>
        <v/>
      </c>
      <c r="T366" s="693" t="str">
        <f t="shared" si="11"/>
        <v/>
      </c>
      <c r="U366" s="693"/>
    </row>
    <row r="367">
      <c r="A367" s="692"/>
      <c r="C367" s="532" t="str">
        <f>IFERROR(VLOOKUP(J367,'03. THIẾT BỊ'!$B$1:$U$836,5,0),"")</f>
        <v>SMRM LCD</v>
      </c>
      <c r="D367" s="463">
        <v>1.0</v>
      </c>
      <c r="E367" s="463" t="s">
        <v>4158</v>
      </c>
      <c r="F367" s="692"/>
      <c r="G367" s="692"/>
      <c r="H367" s="692" t="str">
        <f>IFERROR(VLOOKUP(J367,'03. THIẾT BỊ'!$B$1:$U$836,19,0),"")</f>
        <v/>
      </c>
      <c r="I367" s="463" t="str">
        <f>IFERROR(VLOOKUP(J367,'03. THIẾT BỊ'!$B$1:$U$836,20,0),"")</f>
        <v/>
      </c>
      <c r="J367" s="467" t="s">
        <v>5570</v>
      </c>
      <c r="K367" s="757" t="s">
        <v>4158</v>
      </c>
      <c r="L367" s="759"/>
      <c r="M367" s="759"/>
      <c r="N367" s="692" t="str">
        <f>IFERROR(VLOOKUP(J367,'03. THIẾT BỊ'!$B$1:$U$836,4,0),"")</f>
        <v>THUÊ THILOGI</v>
      </c>
      <c r="O367" s="692" t="str">
        <f>IFERROR(VLOOKUP(J367,'03. THIẾT BỊ'!$B$1:$U$836,7,0),"")</f>
        <v>Phòng GNVC</v>
      </c>
      <c r="P367" s="559" t="str">
        <f>IFERROR(VLOOKUP(O367,'NS QUẢN LÝ CG'!$A$4:$D$36,2,0),"")</f>
        <v>Lâm Quốc Cường</v>
      </c>
      <c r="Q367" s="559" t="str">
        <f>IFERROR(VLOOKUP(O367,'NS QUẢN LÝ CG'!$A$4:$D$36,4,0),"")</f>
        <v>Tổng kho KLH</v>
      </c>
      <c r="R367" s="559" t="str">
        <f>IFERROR(VLOOKUP(O367,'NS QUẢN LÝ CG'!$A$4:$C$36,3,0),"")</f>
        <v>0384653979</v>
      </c>
      <c r="S367" s="532" t="str">
        <f>IFERROR(VLOOKUP(J367,'03. THIẾT BỊ'!$B$1:$S$836,3,0),"")</f>
        <v/>
      </c>
      <c r="T367" s="693" t="str">
        <f t="shared" si="11"/>
        <v/>
      </c>
      <c r="U367" s="693"/>
    </row>
    <row r="368">
      <c r="A368" s="692"/>
      <c r="C368" s="532" t="str">
        <f>IFERROR(VLOOKUP(J368,'03. THIẾT BỊ'!$B$1:$U$836,5,0),"")</f>
        <v>SMRM LCD</v>
      </c>
      <c r="D368" s="463">
        <v>1.0</v>
      </c>
      <c r="E368" s="463" t="s">
        <v>4158</v>
      </c>
      <c r="F368" s="692"/>
      <c r="G368" s="692"/>
      <c r="H368" s="692" t="str">
        <f>IFERROR(VLOOKUP(J368,'03. THIẾT BỊ'!$B$1:$U$836,19,0),"")</f>
        <v/>
      </c>
      <c r="I368" s="463" t="str">
        <f>IFERROR(VLOOKUP(J368,'03. THIẾT BỊ'!$B$1:$U$836,20,0),"")</f>
        <v/>
      </c>
      <c r="J368" s="467" t="s">
        <v>5573</v>
      </c>
      <c r="K368" s="757" t="s">
        <v>4158</v>
      </c>
      <c r="L368" s="759"/>
      <c r="M368" s="759"/>
      <c r="N368" s="692" t="str">
        <f>IFERROR(VLOOKUP(J368,'03. THIẾT BỊ'!$B$1:$U$836,4,0),"")</f>
        <v>THUÊ THILOGI</v>
      </c>
      <c r="O368" s="692" t="str">
        <f>IFERROR(VLOOKUP(J368,'03. THIẾT BỊ'!$B$1:$U$836,7,0),"")</f>
        <v>Phòng GNVC</v>
      </c>
      <c r="P368" s="559" t="str">
        <f>IFERROR(VLOOKUP(O368,'NS QUẢN LÝ CG'!$A$4:$D$36,2,0),"")</f>
        <v>Lâm Quốc Cường</v>
      </c>
      <c r="Q368" s="559" t="str">
        <f>IFERROR(VLOOKUP(O368,'NS QUẢN LÝ CG'!$A$4:$D$36,4,0),"")</f>
        <v>Tổng kho KLH</v>
      </c>
      <c r="R368" s="559" t="str">
        <f>IFERROR(VLOOKUP(O368,'NS QUẢN LÝ CG'!$A$4:$C$36,3,0),"")</f>
        <v>0384653979</v>
      </c>
      <c r="S368" s="532" t="str">
        <f>IFERROR(VLOOKUP(J368,'03. THIẾT BỊ'!$B$1:$S$836,3,0),"")</f>
        <v/>
      </c>
      <c r="T368" s="693" t="str">
        <f t="shared" si="11"/>
        <v/>
      </c>
      <c r="U368" s="693"/>
    </row>
    <row r="369">
      <c r="A369" s="692"/>
      <c r="C369" s="532" t="str">
        <f>IFERROR(VLOOKUP(J369,'03. THIẾT BỊ'!$B$1:$U$836,5,0),"")</f>
        <v>SMRM LCD</v>
      </c>
      <c r="D369" s="463">
        <v>1.0</v>
      </c>
      <c r="E369" s="463" t="s">
        <v>4158</v>
      </c>
      <c r="F369" s="692"/>
      <c r="G369" s="692"/>
      <c r="H369" s="692" t="str">
        <f>IFERROR(VLOOKUP(J369,'03. THIẾT BỊ'!$B$1:$U$836,19,0),"")</f>
        <v/>
      </c>
      <c r="I369" s="463" t="str">
        <f>IFERROR(VLOOKUP(J369,'03. THIẾT BỊ'!$B$1:$U$836,20,0),"")</f>
        <v/>
      </c>
      <c r="J369" s="467" t="s">
        <v>5576</v>
      </c>
      <c r="K369" s="757" t="s">
        <v>4158</v>
      </c>
      <c r="L369" s="759"/>
      <c r="M369" s="759"/>
      <c r="N369" s="692" t="str">
        <f>IFERROR(VLOOKUP(J369,'03. THIẾT BỊ'!$B$1:$U$836,4,0),"")</f>
        <v>THUÊ THILOGI</v>
      </c>
      <c r="O369" s="692" t="str">
        <f>IFERROR(VLOOKUP(J369,'03. THIẾT BỊ'!$B$1:$U$836,7,0),"")</f>
        <v>Phòng GNVC</v>
      </c>
      <c r="P369" s="559" t="str">
        <f>IFERROR(VLOOKUP(O369,'NS QUẢN LÝ CG'!$A$4:$D$36,2,0),"")</f>
        <v>Lâm Quốc Cường</v>
      </c>
      <c r="Q369" s="559" t="str">
        <f>IFERROR(VLOOKUP(O369,'NS QUẢN LÝ CG'!$A$4:$D$36,4,0),"")</f>
        <v>Tổng kho KLH</v>
      </c>
      <c r="R369" s="559" t="str">
        <f>IFERROR(VLOOKUP(O369,'NS QUẢN LÝ CG'!$A$4:$C$36,3,0),"")</f>
        <v>0384653979</v>
      </c>
      <c r="S369" s="532" t="str">
        <f>IFERROR(VLOOKUP(J369,'03. THIẾT BỊ'!$B$1:$S$836,3,0),"")</f>
        <v/>
      </c>
      <c r="T369" s="693" t="str">
        <f t="shared" si="11"/>
        <v/>
      </c>
      <c r="U369" s="693"/>
    </row>
    <row r="370">
      <c r="A370" s="692"/>
      <c r="C370" s="532" t="str">
        <f>IFERROR(VLOOKUP(J370,'03. THIẾT BỊ'!$B$1:$U$836,5,0),"")</f>
        <v>SMRM xương sàn/mooc OPT</v>
      </c>
      <c r="D370" s="463">
        <v>1.0</v>
      </c>
      <c r="E370" s="463" t="s">
        <v>4158</v>
      </c>
      <c r="F370" s="692"/>
      <c r="G370" s="692"/>
      <c r="H370" s="692" t="str">
        <f>IFERROR(VLOOKUP(J370,'03. THIẾT BỊ'!$B$1:$U$836,19,0),"")</f>
        <v/>
      </c>
      <c r="I370" s="463" t="str">
        <f>IFERROR(VLOOKUP(J370,'03. THIẾT BỊ'!$B$1:$U$836,20,0),"")</f>
        <v/>
      </c>
      <c r="J370" s="467" t="s">
        <v>5579</v>
      </c>
      <c r="K370" s="757" t="s">
        <v>4158</v>
      </c>
      <c r="L370" s="759"/>
      <c r="M370" s="759"/>
      <c r="N370" s="692" t="str">
        <f>IFERROR(VLOOKUP(J370,'03. THIẾT BỊ'!$B$1:$U$836,4,0),"")</f>
        <v>THUÊ THILOGI</v>
      </c>
      <c r="O370" s="692" t="str">
        <f>IFERROR(VLOOKUP(J370,'03. THIẾT BỊ'!$B$1:$U$836,7,0),"")</f>
        <v>Phòng GNVC</v>
      </c>
      <c r="P370" s="559" t="str">
        <f>IFERROR(VLOOKUP(O370,'NS QUẢN LÝ CG'!$A$4:$D$36,2,0),"")</f>
        <v>Lâm Quốc Cường</v>
      </c>
      <c r="Q370" s="559" t="str">
        <f>IFERROR(VLOOKUP(O370,'NS QUẢN LÝ CG'!$A$4:$D$36,4,0),"")</f>
        <v>Tổng kho KLH</v>
      </c>
      <c r="R370" s="559" t="str">
        <f>IFERROR(VLOOKUP(O370,'NS QUẢN LÝ CG'!$A$4:$C$36,3,0),"")</f>
        <v>0384653979</v>
      </c>
      <c r="S370" s="532" t="str">
        <f>IFERROR(VLOOKUP(J370,'03. THIẾT BỊ'!$B$1:$S$836,3,0),"")</f>
        <v/>
      </c>
      <c r="T370" s="693" t="str">
        <f t="shared" si="11"/>
        <v/>
      </c>
      <c r="U370" s="693"/>
    </row>
    <row r="371">
      <c r="A371" s="692"/>
      <c r="C371" s="532" t="str">
        <f>IFERROR(VLOOKUP(J371,'03. THIẾT BỊ'!$B$1:$U$836,5,0),"")</f>
        <v>SMRM xương sàn/mooc OPT</v>
      </c>
      <c r="D371" s="463">
        <v>1.0</v>
      </c>
      <c r="E371" s="463" t="s">
        <v>4158</v>
      </c>
      <c r="F371" s="692"/>
      <c r="G371" s="692"/>
      <c r="H371" s="692" t="str">
        <f>IFERROR(VLOOKUP(J371,'03. THIẾT BỊ'!$B$1:$U$836,19,0),"")</f>
        <v/>
      </c>
      <c r="I371" s="463" t="str">
        <f>IFERROR(VLOOKUP(J371,'03. THIẾT BỊ'!$B$1:$U$836,20,0),"")</f>
        <v/>
      </c>
      <c r="J371" s="467" t="s">
        <v>5584</v>
      </c>
      <c r="K371" s="757" t="s">
        <v>4158</v>
      </c>
      <c r="L371" s="759"/>
      <c r="M371" s="759"/>
      <c r="N371" s="692" t="str">
        <f>IFERROR(VLOOKUP(J371,'03. THIẾT BỊ'!$B$1:$U$836,4,0),"")</f>
        <v>THUÊ THILOGI</v>
      </c>
      <c r="O371" s="692" t="str">
        <f>IFERROR(VLOOKUP(J371,'03. THIẾT BỊ'!$B$1:$U$836,7,0),"")</f>
        <v>Phòng GNVC</v>
      </c>
      <c r="P371" s="559" t="str">
        <f>IFERROR(VLOOKUP(O371,'NS QUẢN LÝ CG'!$A$4:$D$36,2,0),"")</f>
        <v>Lâm Quốc Cường</v>
      </c>
      <c r="Q371" s="559" t="str">
        <f>IFERROR(VLOOKUP(O371,'NS QUẢN LÝ CG'!$A$4:$D$36,4,0),"")</f>
        <v>Tổng kho KLH</v>
      </c>
      <c r="R371" s="559" t="str">
        <f>IFERROR(VLOOKUP(O371,'NS QUẢN LÝ CG'!$A$4:$C$36,3,0),"")</f>
        <v>0384653979</v>
      </c>
      <c r="S371" s="532" t="str">
        <f>IFERROR(VLOOKUP(J371,'03. THIẾT BỊ'!$B$1:$S$836,3,0),"")</f>
        <v/>
      </c>
      <c r="T371" s="693" t="str">
        <f t="shared" si="11"/>
        <v/>
      </c>
      <c r="U371" s="693"/>
    </row>
    <row r="372">
      <c r="A372" s="692"/>
      <c r="C372" s="532" t="str">
        <f>IFERROR(VLOOKUP(J372,'03. THIẾT BỊ'!$B$1:$U$836,5,0),"")</f>
        <v>SMRM LCD</v>
      </c>
      <c r="D372" s="463">
        <v>1.0</v>
      </c>
      <c r="E372" s="463" t="s">
        <v>4158</v>
      </c>
      <c r="F372" s="692"/>
      <c r="G372" s="692"/>
      <c r="H372" s="692" t="str">
        <f>IFERROR(VLOOKUP(J372,'03. THIẾT BỊ'!$B$1:$U$836,19,0),"")</f>
        <v/>
      </c>
      <c r="I372" s="463" t="str">
        <f>IFERROR(VLOOKUP(J372,'03. THIẾT BỊ'!$B$1:$U$836,20,0),"")</f>
        <v/>
      </c>
      <c r="J372" s="467" t="s">
        <v>5588</v>
      </c>
      <c r="K372" s="757" t="s">
        <v>4158</v>
      </c>
      <c r="L372" s="759"/>
      <c r="M372" s="759"/>
      <c r="N372" s="692" t="str">
        <f>IFERROR(VLOOKUP(J372,'03. THIẾT BỊ'!$B$1:$U$836,4,0),"")</f>
        <v>THUÊ THILOGI</v>
      </c>
      <c r="O372" s="692" t="str">
        <f>IFERROR(VLOOKUP(J372,'03. THIẾT BỊ'!$B$1:$U$836,7,0),"")</f>
        <v>Phòng GNVC</v>
      </c>
      <c r="P372" s="559" t="str">
        <f>IFERROR(VLOOKUP(O372,'NS QUẢN LÝ CG'!$A$4:$D$36,2,0),"")</f>
        <v>Lâm Quốc Cường</v>
      </c>
      <c r="Q372" s="559" t="str">
        <f>IFERROR(VLOOKUP(O372,'NS QUẢN LÝ CG'!$A$4:$D$36,4,0),"")</f>
        <v>Tổng kho KLH</v>
      </c>
      <c r="R372" s="559" t="str">
        <f>IFERROR(VLOOKUP(O372,'NS QUẢN LÝ CG'!$A$4:$C$36,3,0),"")</f>
        <v>0384653979</v>
      </c>
      <c r="S372" s="532" t="str">
        <f>IFERROR(VLOOKUP(J372,'03. THIẾT BỊ'!$B$1:$S$836,3,0),"")</f>
        <v/>
      </c>
      <c r="T372" s="693" t="str">
        <f t="shared" si="11"/>
        <v/>
      </c>
      <c r="U372" s="693"/>
    </row>
    <row r="373">
      <c r="A373" s="692"/>
      <c r="C373" s="532" t="str">
        <f>IFERROR(VLOOKUP(J373,'03. THIẾT BỊ'!$B$1:$U$836,5,0),"")</f>
        <v>SMRM xương sàn/mooc OPT</v>
      </c>
      <c r="D373" s="463">
        <v>1.0</v>
      </c>
      <c r="E373" s="463" t="s">
        <v>4158</v>
      </c>
      <c r="F373" s="692"/>
      <c r="G373" s="692"/>
      <c r="H373" s="692" t="str">
        <f>IFERROR(VLOOKUP(J373,'03. THIẾT BỊ'!$B$1:$U$836,19,0),"")</f>
        <v/>
      </c>
      <c r="I373" s="463" t="str">
        <f>IFERROR(VLOOKUP(J373,'03. THIẾT BỊ'!$B$1:$U$836,20,0),"")</f>
        <v/>
      </c>
      <c r="J373" s="467" t="s">
        <v>5591</v>
      </c>
      <c r="K373" s="757" t="s">
        <v>4158</v>
      </c>
      <c r="L373" s="759"/>
      <c r="M373" s="759"/>
      <c r="N373" s="692" t="str">
        <f>IFERROR(VLOOKUP(J373,'03. THIẾT BỊ'!$B$1:$U$836,4,0),"")</f>
        <v>THUÊ THILOGI</v>
      </c>
      <c r="O373" s="692" t="str">
        <f>IFERROR(VLOOKUP(J373,'03. THIẾT BỊ'!$B$1:$U$836,7,0),"")</f>
        <v>Phòng GNVC</v>
      </c>
      <c r="P373" s="559" t="str">
        <f>IFERROR(VLOOKUP(O373,'NS QUẢN LÝ CG'!$A$4:$D$36,2,0),"")</f>
        <v>Lâm Quốc Cường</v>
      </c>
      <c r="Q373" s="559" t="str">
        <f>IFERROR(VLOOKUP(O373,'NS QUẢN LÝ CG'!$A$4:$D$36,4,0),"")</f>
        <v>Tổng kho KLH</v>
      </c>
      <c r="R373" s="559" t="str">
        <f>IFERROR(VLOOKUP(O373,'NS QUẢN LÝ CG'!$A$4:$C$36,3,0),"")</f>
        <v>0384653979</v>
      </c>
      <c r="S373" s="532" t="str">
        <f>IFERROR(VLOOKUP(J373,'03. THIẾT BỊ'!$B$1:$S$836,3,0),"")</f>
        <v/>
      </c>
      <c r="T373" s="693" t="str">
        <f t="shared" si="11"/>
        <v/>
      </c>
      <c r="U373" s="693"/>
    </row>
    <row r="374">
      <c r="A374" s="692"/>
      <c r="C374" s="532" t="str">
        <f>IFERROR(VLOOKUP(J374,'03. THIẾT BỊ'!$B$1:$U$836,5,0),"")</f>
        <v>SMRM xương sàn/mooc OPT</v>
      </c>
      <c r="D374" s="463">
        <v>1.0</v>
      </c>
      <c r="E374" s="463" t="s">
        <v>4158</v>
      </c>
      <c r="F374" s="692"/>
      <c r="G374" s="692"/>
      <c r="H374" s="692" t="str">
        <f>IFERROR(VLOOKUP(J374,'03. THIẾT BỊ'!$B$1:$U$836,19,0),"")</f>
        <v/>
      </c>
      <c r="I374" s="463" t="str">
        <f>IFERROR(VLOOKUP(J374,'03. THIẾT BỊ'!$B$1:$U$836,20,0),"")</f>
        <v/>
      </c>
      <c r="J374" s="464" t="s">
        <v>5594</v>
      </c>
      <c r="K374" s="757" t="s">
        <v>4158</v>
      </c>
      <c r="L374" s="759"/>
      <c r="M374" s="759"/>
      <c r="N374" s="692" t="str">
        <f>IFERROR(VLOOKUP(J374,'03. THIẾT BỊ'!$B$1:$U$836,4,0),"")</f>
        <v>THUÊ THILOGI</v>
      </c>
      <c r="O374" s="692" t="str">
        <f>IFERROR(VLOOKUP(J374,'03. THIẾT BỊ'!$B$1:$U$836,7,0),"")</f>
        <v>Phòng GNVC</v>
      </c>
      <c r="P374" s="559" t="str">
        <f>IFERROR(VLOOKUP(O374,'NS QUẢN LÝ CG'!$A$4:$D$36,2,0),"")</f>
        <v>Lâm Quốc Cường</v>
      </c>
      <c r="Q374" s="559" t="str">
        <f>IFERROR(VLOOKUP(O374,'NS QUẢN LÝ CG'!$A$4:$D$36,4,0),"")</f>
        <v>Tổng kho KLH</v>
      </c>
      <c r="R374" s="559" t="str">
        <f>IFERROR(VLOOKUP(O374,'NS QUẢN LÝ CG'!$A$4:$C$36,3,0),"")</f>
        <v>0384653979</v>
      </c>
      <c r="S374" s="532" t="str">
        <f>IFERROR(VLOOKUP(J374,'03. THIẾT BỊ'!$B$1:$S$836,3,0),"")</f>
        <v/>
      </c>
      <c r="T374" s="693" t="str">
        <f t="shared" si="11"/>
        <v/>
      </c>
      <c r="U374" s="693"/>
    </row>
    <row r="375">
      <c r="A375" s="692"/>
      <c r="C375" s="532" t="str">
        <f>IFERROR(VLOOKUP(J375,'03. THIẾT BỊ'!$B$1:$U$836,5,0),"")</f>
        <v>SMRM xương sàn/mooc OPT</v>
      </c>
      <c r="D375" s="463">
        <v>1.0</v>
      </c>
      <c r="E375" s="463" t="s">
        <v>4158</v>
      </c>
      <c r="F375" s="692"/>
      <c r="G375" s="692"/>
      <c r="H375" s="692" t="str">
        <f>IFERROR(VLOOKUP(J375,'03. THIẾT BỊ'!$B$1:$U$836,19,0),"")</f>
        <v/>
      </c>
      <c r="I375" s="463" t="str">
        <f>IFERROR(VLOOKUP(J375,'03. THIẾT BỊ'!$B$1:$U$836,20,0),"")</f>
        <v/>
      </c>
      <c r="J375" s="464" t="s">
        <v>5598</v>
      </c>
      <c r="K375" s="757" t="s">
        <v>4158</v>
      </c>
      <c r="L375" s="759"/>
      <c r="M375" s="759"/>
      <c r="N375" s="692" t="str">
        <f>IFERROR(VLOOKUP(J375,'03. THIẾT BỊ'!$B$1:$U$836,4,0),"")</f>
        <v>THUÊ THILOGI</v>
      </c>
      <c r="O375" s="692" t="str">
        <f>IFERROR(VLOOKUP(J375,'03. THIẾT BỊ'!$B$1:$U$836,7,0),"")</f>
        <v>Phòng GNVC</v>
      </c>
      <c r="P375" s="559" t="str">
        <f>IFERROR(VLOOKUP(O375,'NS QUẢN LÝ CG'!$A$4:$D$36,2,0),"")</f>
        <v>Lâm Quốc Cường</v>
      </c>
      <c r="Q375" s="559" t="str">
        <f>IFERROR(VLOOKUP(O375,'NS QUẢN LÝ CG'!$A$4:$D$36,4,0),"")</f>
        <v>Tổng kho KLH</v>
      </c>
      <c r="R375" s="559" t="str">
        <f>IFERROR(VLOOKUP(O375,'NS QUẢN LÝ CG'!$A$4:$C$36,3,0),"")</f>
        <v>0384653979</v>
      </c>
      <c r="S375" s="532" t="str">
        <f>IFERROR(VLOOKUP(J375,'03. THIẾT BỊ'!$B$1:$S$836,3,0),"")</f>
        <v/>
      </c>
      <c r="T375" s="693" t="str">
        <f t="shared" si="11"/>
        <v/>
      </c>
      <c r="U375" s="693"/>
    </row>
    <row r="376">
      <c r="A376" s="692"/>
      <c r="C376" s="532" t="str">
        <f>IFERROR(VLOOKUP(J376,'03. THIẾT BỊ'!$B$1:$U$836,5,0),"")</f>
        <v>SMRM xương sàn/mooc OPT</v>
      </c>
      <c r="D376" s="463">
        <v>1.0</v>
      </c>
      <c r="E376" s="463" t="s">
        <v>4158</v>
      </c>
      <c r="F376" s="692"/>
      <c r="G376" s="692"/>
      <c r="H376" s="692" t="str">
        <f>IFERROR(VLOOKUP(J376,'03. THIẾT BỊ'!$B$1:$U$836,19,0),"")</f>
        <v/>
      </c>
      <c r="I376" s="463" t="str">
        <f>IFERROR(VLOOKUP(J376,'03. THIẾT BỊ'!$B$1:$U$836,20,0),"")</f>
        <v/>
      </c>
      <c r="J376" s="464" t="s">
        <v>5601</v>
      </c>
      <c r="K376" s="757" t="s">
        <v>4158</v>
      </c>
      <c r="L376" s="759"/>
      <c r="M376" s="759"/>
      <c r="N376" s="692" t="str">
        <f>IFERROR(VLOOKUP(J376,'03. THIẾT BỊ'!$B$1:$U$836,4,0),"")</f>
        <v>THUÊ THILOGI</v>
      </c>
      <c r="O376" s="692" t="str">
        <f>IFERROR(VLOOKUP(J376,'03. THIẾT BỊ'!$B$1:$U$836,7,0),"")</f>
        <v>Phòng GNVC</v>
      </c>
      <c r="P376" s="559" t="str">
        <f>IFERROR(VLOOKUP(O376,'NS QUẢN LÝ CG'!$A$4:$D$36,2,0),"")</f>
        <v>Lâm Quốc Cường</v>
      </c>
      <c r="Q376" s="559" t="str">
        <f>IFERROR(VLOOKUP(O376,'NS QUẢN LÝ CG'!$A$4:$D$36,4,0),"")</f>
        <v>Tổng kho KLH</v>
      </c>
      <c r="R376" s="559" t="str">
        <f>IFERROR(VLOOKUP(O376,'NS QUẢN LÝ CG'!$A$4:$C$36,3,0),"")</f>
        <v>0384653979</v>
      </c>
      <c r="S376" s="532" t="str">
        <f>IFERROR(VLOOKUP(J376,'03. THIẾT BỊ'!$B$1:$S$836,3,0),"")</f>
        <v/>
      </c>
      <c r="T376" s="693" t="str">
        <f t="shared" si="11"/>
        <v/>
      </c>
      <c r="U376" s="693"/>
    </row>
    <row r="377">
      <c r="A377" s="692"/>
      <c r="C377" s="532" t="str">
        <f>IFERROR(VLOOKUP(J377,'03. THIẾT BỊ'!$B$1:$U$836,5,0),"")</f>
        <v>SMRM LCD</v>
      </c>
      <c r="D377" s="463">
        <v>1.0</v>
      </c>
      <c r="E377" s="463" t="s">
        <v>4158</v>
      </c>
      <c r="F377" s="692"/>
      <c r="G377" s="692"/>
      <c r="H377" s="692" t="str">
        <f>IFERROR(VLOOKUP(J377,'03. THIẾT BỊ'!$B$1:$U$836,19,0),"")</f>
        <v/>
      </c>
      <c r="I377" s="463" t="str">
        <f>IFERROR(VLOOKUP(J377,'03. THIẾT BỊ'!$B$1:$U$836,20,0),"")</f>
        <v/>
      </c>
      <c r="J377" s="464" t="s">
        <v>5604</v>
      </c>
      <c r="K377" s="757" t="s">
        <v>4158</v>
      </c>
      <c r="L377" s="759"/>
      <c r="M377" s="759"/>
      <c r="N377" s="692" t="str">
        <f>IFERROR(VLOOKUP(J377,'03. THIẾT BỊ'!$B$1:$U$836,4,0),"")</f>
        <v>THUÊ THILOGI</v>
      </c>
      <c r="O377" s="692" t="str">
        <f>IFERROR(VLOOKUP(J377,'03. THIẾT BỊ'!$B$1:$U$836,7,0),"")</f>
        <v>Phòng GNVC</v>
      </c>
      <c r="P377" s="559" t="str">
        <f>IFERROR(VLOOKUP(O377,'NS QUẢN LÝ CG'!$A$4:$D$36,2,0),"")</f>
        <v>Lâm Quốc Cường</v>
      </c>
      <c r="Q377" s="559" t="str">
        <f>IFERROR(VLOOKUP(O377,'NS QUẢN LÝ CG'!$A$4:$D$36,4,0),"")</f>
        <v>Tổng kho KLH</v>
      </c>
      <c r="R377" s="559" t="str">
        <f>IFERROR(VLOOKUP(O377,'NS QUẢN LÝ CG'!$A$4:$C$36,3,0),"")</f>
        <v>0384653979</v>
      </c>
      <c r="S377" s="532" t="str">
        <f>IFERROR(VLOOKUP(J377,'03. THIẾT BỊ'!$B$1:$S$836,3,0),"")</f>
        <v/>
      </c>
      <c r="T377" s="693" t="str">
        <f t="shared" si="11"/>
        <v/>
      </c>
      <c r="U377" s="693"/>
    </row>
    <row r="378">
      <c r="A378" s="692"/>
      <c r="C378" s="532" t="str">
        <f>IFERROR(VLOOKUP(J378,'03. THIẾT BỊ'!$B$1:$U$836,5,0),"")</f>
        <v>SMRM LCD</v>
      </c>
      <c r="D378" s="463">
        <v>1.0</v>
      </c>
      <c r="E378" s="463" t="s">
        <v>4158</v>
      </c>
      <c r="F378" s="692"/>
      <c r="G378" s="692"/>
      <c r="H378" s="692" t="str">
        <f>IFERROR(VLOOKUP(J378,'03. THIẾT BỊ'!$B$1:$U$836,19,0),"")</f>
        <v/>
      </c>
      <c r="I378" s="463" t="str">
        <f>IFERROR(VLOOKUP(J378,'03. THIẾT BỊ'!$B$1:$U$836,20,0),"")</f>
        <v/>
      </c>
      <c r="J378" s="464" t="s">
        <v>5607</v>
      </c>
      <c r="K378" s="757" t="s">
        <v>4158</v>
      </c>
      <c r="L378" s="759"/>
      <c r="M378" s="759"/>
      <c r="N378" s="692" t="str">
        <f>IFERROR(VLOOKUP(J378,'03. THIẾT BỊ'!$B$1:$U$836,4,0),"")</f>
        <v>THUÊ THILOGI</v>
      </c>
      <c r="O378" s="692" t="str">
        <f>IFERROR(VLOOKUP(J378,'03. THIẾT BỊ'!$B$1:$U$836,7,0),"")</f>
        <v>Phòng GNVC</v>
      </c>
      <c r="P378" s="559" t="str">
        <f>IFERROR(VLOOKUP(O378,'NS QUẢN LÝ CG'!$A$4:$D$36,2,0),"")</f>
        <v>Lâm Quốc Cường</v>
      </c>
      <c r="Q378" s="559" t="str">
        <f>IFERROR(VLOOKUP(O378,'NS QUẢN LÝ CG'!$A$4:$D$36,4,0),"")</f>
        <v>Tổng kho KLH</v>
      </c>
      <c r="R378" s="559" t="str">
        <f>IFERROR(VLOOKUP(O378,'NS QUẢN LÝ CG'!$A$4:$C$36,3,0),"")</f>
        <v>0384653979</v>
      </c>
      <c r="S378" s="532" t="str">
        <f>IFERROR(VLOOKUP(J378,'03. THIẾT BỊ'!$B$1:$S$836,3,0),"")</f>
        <v/>
      </c>
      <c r="T378" s="693" t="str">
        <f t="shared" si="11"/>
        <v/>
      </c>
      <c r="U378" s="693"/>
    </row>
    <row r="379">
      <c r="A379" s="692"/>
      <c r="C379" s="532" t="str">
        <f>IFERROR(VLOOKUP(J379,'03. THIẾT BỊ'!$B$1:$U$836,5,0),"")</f>
        <v>SMRM LCD</v>
      </c>
      <c r="D379" s="463">
        <v>1.0</v>
      </c>
      <c r="E379" s="463" t="s">
        <v>4158</v>
      </c>
      <c r="F379" s="692"/>
      <c r="G379" s="692"/>
      <c r="H379" s="692" t="str">
        <f>IFERROR(VLOOKUP(J379,'03. THIẾT BỊ'!$B$1:$U$836,19,0),"")</f>
        <v/>
      </c>
      <c r="I379" s="463" t="str">
        <f>IFERROR(VLOOKUP(J379,'03. THIẾT BỊ'!$B$1:$U$836,20,0),"")</f>
        <v/>
      </c>
      <c r="J379" s="464" t="s">
        <v>5610</v>
      </c>
      <c r="K379" s="757" t="s">
        <v>4158</v>
      </c>
      <c r="L379" s="759"/>
      <c r="M379" s="759"/>
      <c r="N379" s="692" t="str">
        <f>IFERROR(VLOOKUP(J379,'03. THIẾT BỊ'!$B$1:$U$836,4,0),"")</f>
        <v>THUÊ THILOGI</v>
      </c>
      <c r="O379" s="692" t="str">
        <f>IFERROR(VLOOKUP(J379,'03. THIẾT BỊ'!$B$1:$U$836,7,0),"")</f>
        <v>Phòng GNVC</v>
      </c>
      <c r="P379" s="559" t="str">
        <f>IFERROR(VLOOKUP(O379,'NS QUẢN LÝ CG'!$A$4:$D$36,2,0),"")</f>
        <v>Lâm Quốc Cường</v>
      </c>
      <c r="Q379" s="559" t="str">
        <f>IFERROR(VLOOKUP(O379,'NS QUẢN LÝ CG'!$A$4:$D$36,4,0),"")</f>
        <v>Tổng kho KLH</v>
      </c>
      <c r="R379" s="559" t="str">
        <f>IFERROR(VLOOKUP(O379,'NS QUẢN LÝ CG'!$A$4:$C$36,3,0),"")</f>
        <v>0384653979</v>
      </c>
      <c r="S379" s="532" t="str">
        <f>IFERROR(VLOOKUP(J379,'03. THIẾT BỊ'!$B$1:$S$836,3,0),"")</f>
        <v/>
      </c>
      <c r="T379" s="693" t="str">
        <f t="shared" si="11"/>
        <v/>
      </c>
      <c r="U379" s="693"/>
    </row>
    <row r="380">
      <c r="A380" s="692"/>
      <c r="C380" s="532" t="str">
        <f>IFERROR(VLOOKUP(J380,'03. THIẾT BỊ'!$B$1:$U$836,5,0),"")</f>
        <v>SMRM xương sàn/mooc OPT</v>
      </c>
      <c r="D380" s="463">
        <v>1.0</v>
      </c>
      <c r="E380" s="463" t="s">
        <v>4158</v>
      </c>
      <c r="F380" s="692"/>
      <c r="G380" s="692"/>
      <c r="H380" s="692" t="str">
        <f>IFERROR(VLOOKUP(J380,'03. THIẾT BỊ'!$B$1:$U$836,19,0),"")</f>
        <v/>
      </c>
      <c r="I380" s="463" t="str">
        <f>IFERROR(VLOOKUP(J380,'03. THIẾT BỊ'!$B$1:$U$836,20,0),"")</f>
        <v/>
      </c>
      <c r="J380" s="464" t="s">
        <v>5614</v>
      </c>
      <c r="K380" s="757" t="s">
        <v>4158</v>
      </c>
      <c r="L380" s="759"/>
      <c r="M380" s="759"/>
      <c r="N380" s="692" t="str">
        <f>IFERROR(VLOOKUP(J380,'03. THIẾT BỊ'!$B$1:$U$836,4,0),"")</f>
        <v>THUÊ THILOGI</v>
      </c>
      <c r="O380" s="692" t="str">
        <f>IFERROR(VLOOKUP(J380,'03. THIẾT BỊ'!$B$1:$U$836,7,0),"")</f>
        <v>Phòng GNVC</v>
      </c>
      <c r="P380" s="559" t="str">
        <f>IFERROR(VLOOKUP(O380,'NS QUẢN LÝ CG'!$A$4:$D$36,2,0),"")</f>
        <v>Lâm Quốc Cường</v>
      </c>
      <c r="Q380" s="559" t="str">
        <f>IFERROR(VLOOKUP(O380,'NS QUẢN LÝ CG'!$A$4:$D$36,4,0),"")</f>
        <v>Tổng kho KLH</v>
      </c>
      <c r="R380" s="559" t="str">
        <f>IFERROR(VLOOKUP(O380,'NS QUẢN LÝ CG'!$A$4:$C$36,3,0),"")</f>
        <v>0384653979</v>
      </c>
      <c r="S380" s="532" t="str">
        <f>IFERROR(VLOOKUP(J380,'03. THIẾT BỊ'!$B$1:$S$836,3,0),"")</f>
        <v/>
      </c>
      <c r="T380" s="693" t="str">
        <f t="shared" si="11"/>
        <v/>
      </c>
      <c r="U380" s="693"/>
    </row>
    <row r="381">
      <c r="A381" s="692"/>
      <c r="C381" s="532" t="str">
        <f>IFERROR(VLOOKUP(J381,'03. THIẾT BỊ'!$B$1:$U$836,5,0),"")</f>
        <v>SMRM LCD</v>
      </c>
      <c r="D381" s="463">
        <v>1.0</v>
      </c>
      <c r="E381" s="463" t="s">
        <v>4158</v>
      </c>
      <c r="F381" s="692"/>
      <c r="G381" s="692"/>
      <c r="H381" s="692" t="str">
        <f>IFERROR(VLOOKUP(J381,'03. THIẾT BỊ'!$B$1:$U$836,19,0),"")</f>
        <v/>
      </c>
      <c r="I381" s="463" t="str">
        <f>IFERROR(VLOOKUP(J381,'03. THIẾT BỊ'!$B$1:$U$836,20,0),"")</f>
        <v/>
      </c>
      <c r="J381" s="464" t="s">
        <v>5607</v>
      </c>
      <c r="K381" s="757" t="s">
        <v>4158</v>
      </c>
      <c r="L381" s="759"/>
      <c r="M381" s="759"/>
      <c r="N381" s="692" t="str">
        <f>IFERROR(VLOOKUP(J381,'03. THIẾT BỊ'!$B$1:$U$836,4,0),"")</f>
        <v>THUÊ THILOGI</v>
      </c>
      <c r="O381" s="692" t="str">
        <f>IFERROR(VLOOKUP(J381,'03. THIẾT BỊ'!$B$1:$U$836,7,0),"")</f>
        <v>Phòng GNVC</v>
      </c>
      <c r="P381" s="559" t="str">
        <f>IFERROR(VLOOKUP(O381,'NS QUẢN LÝ CG'!$A$4:$D$36,2,0),"")</f>
        <v>Lâm Quốc Cường</v>
      </c>
      <c r="Q381" s="559" t="str">
        <f>IFERROR(VLOOKUP(O381,'NS QUẢN LÝ CG'!$A$4:$D$36,4,0),"")</f>
        <v>Tổng kho KLH</v>
      </c>
      <c r="R381" s="559" t="str">
        <f>IFERROR(VLOOKUP(O381,'NS QUẢN LÝ CG'!$A$4:$C$36,3,0),"")</f>
        <v>0384653979</v>
      </c>
      <c r="S381" s="532" t="str">
        <f>IFERROR(VLOOKUP(J381,'03. THIẾT BỊ'!$B$1:$S$836,3,0),"")</f>
        <v/>
      </c>
      <c r="T381" s="693" t="str">
        <f t="shared" si="11"/>
        <v/>
      </c>
      <c r="U381" s="693"/>
    </row>
    <row r="382">
      <c r="A382" s="692"/>
      <c r="C382" s="532" t="str">
        <f>IFERROR(VLOOKUP(J382,'03. THIẾT BỊ'!$B$1:$U$836,5,0),"")</f>
        <v/>
      </c>
      <c r="D382" s="463"/>
      <c r="E382" s="692"/>
      <c r="F382" s="692"/>
      <c r="G382" s="692"/>
      <c r="H382" s="692" t="str">
        <f>IFERROR(VLOOKUP(J382,'03. THIẾT BỊ'!$B$1:$U$836,19,0),"")</f>
        <v/>
      </c>
      <c r="I382" s="463" t="str">
        <f>IFERROR(VLOOKUP(J382,'03. THIẾT BỊ'!$B$1:$U$836,20,0),"")</f>
        <v/>
      </c>
      <c r="J382" s="464"/>
      <c r="K382" s="757"/>
      <c r="L382" s="759"/>
      <c r="M382" s="759"/>
      <c r="N382" s="692" t="str">
        <f>IFERROR(VLOOKUP(J382,'03. THIẾT BỊ'!$B$1:$U$836,4,0),"")</f>
        <v/>
      </c>
      <c r="O382" s="692" t="str">
        <f>IFERROR(VLOOKUP(J382,'03. THIẾT BỊ'!$B$1:$U$836,7,0),"")</f>
        <v/>
      </c>
      <c r="P382" s="532"/>
      <c r="Q382" s="532"/>
      <c r="R382" s="532"/>
      <c r="S382" s="532" t="str">
        <f>IFERROR(VLOOKUP(J382,'03. THIẾT BỊ'!$B$1:$S$836,3,0),"")</f>
        <v/>
      </c>
      <c r="T382" s="693"/>
      <c r="U382" s="693"/>
    </row>
    <row r="383">
      <c r="A383" s="692"/>
      <c r="C383" s="532" t="str">
        <f>IFERROR(VLOOKUP(J383,'03. THIẾT BỊ'!$B$1:$U$836,5,0),"")</f>
        <v/>
      </c>
      <c r="D383" s="463"/>
      <c r="E383" s="692"/>
      <c r="F383" s="692"/>
      <c r="G383" s="692"/>
      <c r="H383" s="692" t="str">
        <f>IFERROR(VLOOKUP(J383,'03. THIẾT BỊ'!$B$1:$U$836,19,0),"")</f>
        <v/>
      </c>
      <c r="I383" s="463" t="str">
        <f>IFERROR(VLOOKUP(J383,'03. THIẾT BỊ'!$B$1:$U$836,20,0),"")</f>
        <v/>
      </c>
      <c r="J383" s="464"/>
      <c r="K383" s="757"/>
      <c r="L383" s="759"/>
      <c r="M383" s="759"/>
      <c r="N383" s="692" t="str">
        <f>IFERROR(VLOOKUP(J383,'03. THIẾT BỊ'!$B$1:$U$836,4,0),"")</f>
        <v/>
      </c>
      <c r="O383" s="692" t="str">
        <f>IFERROR(VLOOKUP(J383,'03. THIẾT BỊ'!$B$1:$U$836,7,0),"")</f>
        <v/>
      </c>
      <c r="P383" s="532"/>
      <c r="Q383" s="532"/>
      <c r="R383" s="532"/>
      <c r="S383" s="532" t="str">
        <f>IFERROR(VLOOKUP(J383,'03. THIẾT BỊ'!$B$1:$S$836,3,0),"")</f>
        <v/>
      </c>
      <c r="T383" s="693"/>
      <c r="U383" s="693"/>
    </row>
    <row r="384">
      <c r="A384" s="692"/>
      <c r="C384" s="532" t="str">
        <f>IFERROR(VLOOKUP(J384,'03. THIẾT BỊ'!$B$1:$U$836,5,0),"")</f>
        <v/>
      </c>
      <c r="D384" s="463"/>
      <c r="E384" s="692"/>
      <c r="F384" s="692"/>
      <c r="G384" s="692"/>
      <c r="H384" s="692" t="str">
        <f>IFERROR(VLOOKUP(J384,'03. THIẾT BỊ'!$B$1:$U$836,19,0),"")</f>
        <v/>
      </c>
      <c r="I384" s="463" t="str">
        <f>IFERROR(VLOOKUP(J384,'03. THIẾT BỊ'!$B$1:$U$836,20,0),"")</f>
        <v/>
      </c>
      <c r="J384" s="464"/>
      <c r="K384" s="757"/>
      <c r="L384" s="759"/>
      <c r="M384" s="759"/>
      <c r="N384" s="692" t="str">
        <f>IFERROR(VLOOKUP(J384,'03. THIẾT BỊ'!$B$1:$U$836,4,0),"")</f>
        <v/>
      </c>
      <c r="O384" s="692" t="str">
        <f>IFERROR(VLOOKUP(J384,'03. THIẾT BỊ'!$B$1:$U$836,7,0),"")</f>
        <v/>
      </c>
      <c r="P384" s="532"/>
      <c r="Q384" s="532"/>
      <c r="R384" s="532"/>
      <c r="S384" s="532" t="str">
        <f>IFERROR(VLOOKUP(J384,'03. THIẾT BỊ'!$B$1:$S$836,3,0),"")</f>
        <v/>
      </c>
      <c r="T384" s="693"/>
      <c r="U384" s="693"/>
    </row>
    <row r="385" hidden="1">
      <c r="A385" s="692"/>
      <c r="C385" s="532" t="str">
        <f>IFERROR(VLOOKUP(J385,'03. THIẾT BỊ'!$B$1:$U$836,5,0),"")</f>
        <v/>
      </c>
      <c r="D385" s="463"/>
      <c r="E385" s="692"/>
      <c r="F385" s="692"/>
      <c r="G385" s="692"/>
      <c r="H385" s="692" t="str">
        <f>IFERROR(VLOOKUP(J385,'03. THIẾT BỊ'!$B$1:$U$836,19,0),"")</f>
        <v/>
      </c>
      <c r="I385" s="463" t="str">
        <f>IFERROR(VLOOKUP(J385,'03. THIẾT BỊ'!$B$1:$U$836,20,0),"")</f>
        <v/>
      </c>
      <c r="J385" s="464"/>
      <c r="K385" s="757"/>
      <c r="L385" s="759"/>
      <c r="M385" s="759"/>
      <c r="N385" s="692" t="str">
        <f>IFERROR(VLOOKUP(J385,'03. THIẾT BỊ'!$B$1:$U$836,4,0),"")</f>
        <v/>
      </c>
      <c r="O385" s="692" t="str">
        <f>IFERROR(VLOOKUP(J385,'03. THIẾT BỊ'!$B$1:$U$836,7,0),"")</f>
        <v/>
      </c>
      <c r="P385" s="532"/>
      <c r="Q385" s="532"/>
      <c r="R385" s="532"/>
      <c r="S385" s="532" t="str">
        <f>IFERROR(VLOOKUP(J385,'03. THIẾT BỊ'!$B$1:$S$836,3,0),"")</f>
        <v/>
      </c>
      <c r="T385" s="693"/>
      <c r="U385" s="693"/>
    </row>
    <row r="386" hidden="1">
      <c r="A386" s="692"/>
      <c r="C386" s="532" t="str">
        <f>IFERROR(VLOOKUP(J386,'03. THIẾT BỊ'!$B$1:$U$836,5,0),"")</f>
        <v/>
      </c>
      <c r="D386" s="463"/>
      <c r="E386" s="692"/>
      <c r="F386" s="692"/>
      <c r="G386" s="692"/>
      <c r="H386" s="692" t="str">
        <f>IFERROR(VLOOKUP(J386,'03. THIẾT BỊ'!$B$1:$U$836,19,0),"")</f>
        <v/>
      </c>
      <c r="I386" s="463" t="str">
        <f>IFERROR(VLOOKUP(J386,'03. THIẾT BỊ'!$B$1:$U$836,20,0),"")</f>
        <v/>
      </c>
      <c r="J386" s="464"/>
      <c r="K386" s="757"/>
      <c r="L386" s="759"/>
      <c r="M386" s="759"/>
      <c r="N386" s="692" t="str">
        <f>IFERROR(VLOOKUP(J386,'03. THIẾT BỊ'!$B$1:$U$836,4,0),"")</f>
        <v/>
      </c>
      <c r="O386" s="692" t="str">
        <f>IFERROR(VLOOKUP(J386,'03. THIẾT BỊ'!$B$1:$U$836,7,0),"")</f>
        <v/>
      </c>
      <c r="P386" s="532"/>
      <c r="Q386" s="532"/>
      <c r="R386" s="532"/>
      <c r="S386" s="532" t="str">
        <f>IFERROR(VLOOKUP(J386,'03. THIẾT BỊ'!$B$1:$S$836,3,0),"")</f>
        <v/>
      </c>
      <c r="T386" s="693"/>
      <c r="U386" s="693"/>
    </row>
    <row r="387" hidden="1">
      <c r="A387" s="692"/>
      <c r="C387" s="532" t="str">
        <f>IFERROR(VLOOKUP(J387,'03. THIẾT BỊ'!$B$1:$U$836,5,0),"")</f>
        <v/>
      </c>
      <c r="D387" s="463"/>
      <c r="E387" s="692"/>
      <c r="F387" s="692"/>
      <c r="G387" s="692"/>
      <c r="H387" s="692" t="str">
        <f>IFERROR(VLOOKUP(J387,'03. THIẾT BỊ'!$B$1:$U$836,19,0),"")</f>
        <v/>
      </c>
      <c r="I387" s="463" t="str">
        <f>IFERROR(VLOOKUP(J387,'03. THIẾT BỊ'!$B$1:$U$836,20,0),"")</f>
        <v/>
      </c>
      <c r="J387" s="464"/>
      <c r="K387" s="757"/>
      <c r="L387" s="759"/>
      <c r="M387" s="759"/>
      <c r="N387" s="692" t="str">
        <f>IFERROR(VLOOKUP(J387,'03. THIẾT BỊ'!$B$1:$U$836,4,0),"")</f>
        <v/>
      </c>
      <c r="O387" s="692" t="str">
        <f>IFERROR(VLOOKUP(J387,'03. THIẾT BỊ'!$B$1:$U$836,7,0),"")</f>
        <v/>
      </c>
      <c r="P387" s="532"/>
      <c r="Q387" s="532"/>
      <c r="R387" s="532"/>
      <c r="S387" s="532" t="str">
        <f>IFERROR(VLOOKUP(J387,'03. THIẾT BỊ'!$B$1:$S$836,3,0),"")</f>
        <v/>
      </c>
      <c r="T387" s="693"/>
      <c r="U387" s="693"/>
    </row>
    <row r="388" hidden="1">
      <c r="A388" s="692"/>
      <c r="C388" s="532" t="str">
        <f>IFERROR(VLOOKUP(J388,'03. THIẾT BỊ'!$B$1:$U$836,5,0),"")</f>
        <v/>
      </c>
      <c r="D388" s="463"/>
      <c r="E388" s="692"/>
      <c r="F388" s="692"/>
      <c r="G388" s="692"/>
      <c r="H388" s="692" t="str">
        <f>IFERROR(VLOOKUP(J388,'03. THIẾT BỊ'!$B$1:$U$836,19,0),"")</f>
        <v/>
      </c>
      <c r="I388" s="463" t="str">
        <f>IFERROR(VLOOKUP(J388,'03. THIẾT BỊ'!$B$1:$U$836,20,0),"")</f>
        <v/>
      </c>
      <c r="J388" s="464"/>
      <c r="K388" s="757"/>
      <c r="L388" s="759"/>
      <c r="M388" s="759"/>
      <c r="N388" s="692" t="str">
        <f>IFERROR(VLOOKUP(J388,'03. THIẾT BỊ'!$B$1:$U$836,4,0),"")</f>
        <v/>
      </c>
      <c r="O388" s="692" t="str">
        <f>IFERROR(VLOOKUP(J388,'03. THIẾT BỊ'!$B$1:$U$836,7,0),"")</f>
        <v/>
      </c>
      <c r="P388" s="532"/>
      <c r="Q388" s="532"/>
      <c r="R388" s="532"/>
      <c r="S388" s="532" t="str">
        <f>IFERROR(VLOOKUP(J388,'03. THIẾT BỊ'!$B$1:$S$836,3,0),"")</f>
        <v/>
      </c>
      <c r="T388" s="693"/>
      <c r="U388" s="693"/>
    </row>
    <row r="389" hidden="1">
      <c r="A389" s="692"/>
      <c r="C389" s="532" t="str">
        <f>IFERROR(VLOOKUP(J389,'03. THIẾT BỊ'!$B$1:$U$836,5,0),"")</f>
        <v/>
      </c>
      <c r="D389" s="463"/>
      <c r="E389" s="692"/>
      <c r="F389" s="692"/>
      <c r="G389" s="692"/>
      <c r="H389" s="692" t="str">
        <f>IFERROR(VLOOKUP(J389,'03. THIẾT BỊ'!$B$1:$U$836,19,0),"")</f>
        <v/>
      </c>
      <c r="I389" s="463" t="str">
        <f>IFERROR(VLOOKUP(J389,'03. THIẾT BỊ'!$B$1:$U$836,20,0),"")</f>
        <v/>
      </c>
      <c r="J389" s="464"/>
      <c r="K389" s="757"/>
      <c r="L389" s="759"/>
      <c r="M389" s="759"/>
      <c r="N389" s="692" t="str">
        <f>IFERROR(VLOOKUP(J389,'03. THIẾT BỊ'!$B$1:$U$836,4,0),"")</f>
        <v/>
      </c>
      <c r="O389" s="692" t="str">
        <f>IFERROR(VLOOKUP(J389,'03. THIẾT BỊ'!$B$1:$U$836,7,0),"")</f>
        <v/>
      </c>
      <c r="P389" s="532"/>
      <c r="Q389" s="532"/>
      <c r="R389" s="532"/>
      <c r="S389" s="532" t="str">
        <f>IFERROR(VLOOKUP(J389,'03. THIẾT BỊ'!$B$1:$S$836,3,0),"")</f>
        <v/>
      </c>
      <c r="T389" s="693"/>
      <c r="U389" s="693"/>
    </row>
    <row r="390" hidden="1">
      <c r="A390" s="692"/>
      <c r="C390" s="532" t="str">
        <f>IFERROR(VLOOKUP(J390,'03. THIẾT BỊ'!$B$1:$U$836,5,0),"")</f>
        <v/>
      </c>
      <c r="D390" s="463"/>
      <c r="E390" s="692"/>
      <c r="F390" s="692"/>
      <c r="G390" s="692"/>
      <c r="H390" s="692" t="str">
        <f>IFERROR(VLOOKUP(J390,'03. THIẾT BỊ'!$B$1:$U$836,19,0),"")</f>
        <v/>
      </c>
      <c r="I390" s="463" t="str">
        <f>IFERROR(VLOOKUP(J390,'03. THIẾT BỊ'!$B$1:$U$836,20,0),"")</f>
        <v/>
      </c>
      <c r="J390" s="464"/>
      <c r="K390" s="757"/>
      <c r="L390" s="759"/>
      <c r="M390" s="759"/>
      <c r="N390" s="692" t="str">
        <f>IFERROR(VLOOKUP(J390,'03. THIẾT BỊ'!$B$1:$U$836,4,0),"")</f>
        <v/>
      </c>
      <c r="O390" s="692" t="str">
        <f>IFERROR(VLOOKUP(J390,'03. THIẾT BỊ'!$B$1:$U$836,7,0),"")</f>
        <v/>
      </c>
      <c r="P390" s="532"/>
      <c r="Q390" s="532"/>
      <c r="R390" s="532"/>
      <c r="S390" s="532" t="str">
        <f>IFERROR(VLOOKUP(J390,'03. THIẾT BỊ'!$B$1:$S$836,3,0),"")</f>
        <v/>
      </c>
      <c r="T390" s="693"/>
      <c r="U390" s="693"/>
    </row>
    <row r="391" hidden="1">
      <c r="A391" s="692"/>
      <c r="C391" s="532" t="str">
        <f>IFERROR(VLOOKUP(J391,'03. THIẾT BỊ'!$B$1:$U$836,5,0),"")</f>
        <v/>
      </c>
      <c r="D391" s="463"/>
      <c r="E391" s="692"/>
      <c r="F391" s="692"/>
      <c r="G391" s="692"/>
      <c r="H391" s="692" t="str">
        <f>IFERROR(VLOOKUP(J391,'03. THIẾT BỊ'!$B$1:$U$836,19,0),"")</f>
        <v/>
      </c>
      <c r="I391" s="463" t="str">
        <f>IFERROR(VLOOKUP(J391,'03. THIẾT BỊ'!$B$1:$U$836,20,0),"")</f>
        <v/>
      </c>
      <c r="J391" s="464"/>
      <c r="K391" s="757"/>
      <c r="L391" s="759"/>
      <c r="M391" s="759"/>
      <c r="N391" s="692" t="str">
        <f>IFERROR(VLOOKUP(J391,'03. THIẾT BỊ'!$B$1:$U$836,4,0),"")</f>
        <v/>
      </c>
      <c r="O391" s="692" t="str">
        <f>IFERROR(VLOOKUP(J391,'03. THIẾT BỊ'!$B$1:$U$836,7,0),"")</f>
        <v/>
      </c>
      <c r="P391" s="532"/>
      <c r="Q391" s="532"/>
      <c r="R391" s="532"/>
      <c r="S391" s="532" t="str">
        <f>IFERROR(VLOOKUP(J391,'03. THIẾT BỊ'!$B$1:$S$836,3,0),"")</f>
        <v/>
      </c>
      <c r="T391" s="693"/>
      <c r="U391" s="693"/>
    </row>
    <row r="392" hidden="1">
      <c r="A392" s="692"/>
      <c r="C392" s="532" t="str">
        <f>IFERROR(VLOOKUP(J392,'03. THIẾT BỊ'!$B$1:$U$836,5,0),"")</f>
        <v/>
      </c>
      <c r="D392" s="463"/>
      <c r="E392" s="692"/>
      <c r="F392" s="692"/>
      <c r="G392" s="692"/>
      <c r="H392" s="692" t="str">
        <f>IFERROR(VLOOKUP(J392,'03. THIẾT BỊ'!$B$1:$U$836,19,0),"")</f>
        <v/>
      </c>
      <c r="I392" s="463" t="str">
        <f>IFERROR(VLOOKUP(J392,'03. THIẾT BỊ'!$B$1:$U$836,20,0),"")</f>
        <v/>
      </c>
      <c r="J392" s="464"/>
      <c r="K392" s="757"/>
      <c r="L392" s="759"/>
      <c r="M392" s="759"/>
      <c r="N392" s="692" t="str">
        <f>IFERROR(VLOOKUP(J392,'03. THIẾT BỊ'!$B$1:$U$836,4,0),"")</f>
        <v/>
      </c>
      <c r="O392" s="692" t="str">
        <f>IFERROR(VLOOKUP(J392,'03. THIẾT BỊ'!$B$1:$U$836,7,0),"")</f>
        <v/>
      </c>
      <c r="P392" s="532"/>
      <c r="Q392" s="532"/>
      <c r="R392" s="532"/>
      <c r="S392" s="532" t="str">
        <f>IFERROR(VLOOKUP(J392,'03. THIẾT BỊ'!$B$1:$S$836,3,0),"")</f>
        <v/>
      </c>
      <c r="T392" s="693"/>
      <c r="U392" s="693"/>
    </row>
    <row r="393" hidden="1">
      <c r="A393" s="692"/>
      <c r="C393" s="532" t="str">
        <f>IFERROR(VLOOKUP(J393,'03. THIẾT BỊ'!$B$1:$U$836,5,0),"")</f>
        <v/>
      </c>
      <c r="D393" s="463"/>
      <c r="E393" s="692"/>
      <c r="F393" s="692"/>
      <c r="G393" s="692"/>
      <c r="H393" s="692" t="str">
        <f>IFERROR(VLOOKUP(J393,'03. THIẾT BỊ'!$B$1:$U$836,19,0),"")</f>
        <v/>
      </c>
      <c r="I393" s="463" t="str">
        <f>IFERROR(VLOOKUP(J393,'03. THIẾT BỊ'!$B$1:$U$836,20,0),"")</f>
        <v/>
      </c>
      <c r="J393" s="464"/>
      <c r="K393" s="757"/>
      <c r="L393" s="759"/>
      <c r="M393" s="759"/>
      <c r="N393" s="692" t="str">
        <f>IFERROR(VLOOKUP(J393,'03. THIẾT BỊ'!$B$1:$U$836,4,0),"")</f>
        <v/>
      </c>
      <c r="O393" s="692" t="str">
        <f>IFERROR(VLOOKUP(J393,'03. THIẾT BỊ'!$B$1:$U$836,7,0),"")</f>
        <v/>
      </c>
      <c r="P393" s="532"/>
      <c r="Q393" s="532"/>
      <c r="R393" s="532"/>
      <c r="S393" s="532" t="str">
        <f>IFERROR(VLOOKUP(J393,'03. THIẾT BỊ'!$B$1:$S$836,3,0),"")</f>
        <v/>
      </c>
      <c r="T393" s="693"/>
      <c r="U393" s="693"/>
    </row>
    <row r="394" hidden="1">
      <c r="A394" s="692"/>
      <c r="C394" s="532" t="str">
        <f>IFERROR(VLOOKUP(J394,'03. THIẾT BỊ'!$B$1:$U$836,5,0),"")</f>
        <v/>
      </c>
      <c r="D394" s="463"/>
      <c r="E394" s="692"/>
      <c r="F394" s="692"/>
      <c r="G394" s="692"/>
      <c r="H394" s="692" t="str">
        <f>IFERROR(VLOOKUP(J394,'03. THIẾT BỊ'!$B$1:$U$836,19,0),"")</f>
        <v/>
      </c>
      <c r="I394" s="463" t="str">
        <f>IFERROR(VLOOKUP(J394,'03. THIẾT BỊ'!$B$1:$U$836,20,0),"")</f>
        <v/>
      </c>
      <c r="J394" s="464"/>
      <c r="K394" s="757"/>
      <c r="L394" s="759"/>
      <c r="M394" s="759"/>
      <c r="N394" s="692" t="str">
        <f>IFERROR(VLOOKUP(J394,'03. THIẾT BỊ'!$B$1:$U$836,4,0),"")</f>
        <v/>
      </c>
      <c r="O394" s="692" t="str">
        <f>IFERROR(VLOOKUP(J394,'03. THIẾT BỊ'!$B$1:$U$836,7,0),"")</f>
        <v/>
      </c>
      <c r="P394" s="532"/>
      <c r="Q394" s="532"/>
      <c r="R394" s="532"/>
      <c r="S394" s="532" t="str">
        <f>IFERROR(VLOOKUP(J394,'03. THIẾT BỊ'!$B$1:$S$836,3,0),"")</f>
        <v/>
      </c>
      <c r="T394" s="693"/>
      <c r="U394" s="693"/>
    </row>
    <row r="395" hidden="1">
      <c r="A395" s="692"/>
      <c r="C395" s="532" t="str">
        <f>IFERROR(VLOOKUP(J395,'03. THIẾT BỊ'!$B$1:$U$836,5,0),"")</f>
        <v/>
      </c>
      <c r="D395" s="463"/>
      <c r="E395" s="692"/>
      <c r="F395" s="692"/>
      <c r="G395" s="692"/>
      <c r="H395" s="692" t="str">
        <f>IFERROR(VLOOKUP(J395,'03. THIẾT BỊ'!$B$1:$U$836,19,0),"")</f>
        <v/>
      </c>
      <c r="I395" s="463" t="str">
        <f>IFERROR(VLOOKUP(J395,'03. THIẾT BỊ'!$B$1:$U$836,20,0),"")</f>
        <v/>
      </c>
      <c r="J395" s="464"/>
      <c r="K395" s="757"/>
      <c r="L395" s="759"/>
      <c r="M395" s="759"/>
      <c r="N395" s="692" t="str">
        <f>IFERROR(VLOOKUP(J395,'03. THIẾT BỊ'!$B$1:$U$836,4,0),"")</f>
        <v/>
      </c>
      <c r="O395" s="692" t="str">
        <f>IFERROR(VLOOKUP(J395,'03. THIẾT BỊ'!$B$1:$U$836,7,0),"")</f>
        <v/>
      </c>
      <c r="P395" s="532"/>
      <c r="Q395" s="532"/>
      <c r="R395" s="532"/>
      <c r="S395" s="532" t="str">
        <f>IFERROR(VLOOKUP(J395,'03. THIẾT BỊ'!$B$1:$S$836,3,0),"")</f>
        <v/>
      </c>
      <c r="T395" s="693"/>
      <c r="U395" s="693"/>
    </row>
    <row r="396" hidden="1">
      <c r="A396" s="692"/>
      <c r="C396" s="532" t="str">
        <f>IFERROR(VLOOKUP(J396,'03. THIẾT BỊ'!$B$1:$U$836,5,0),"")</f>
        <v/>
      </c>
      <c r="D396" s="463"/>
      <c r="E396" s="692"/>
      <c r="F396" s="692"/>
      <c r="G396" s="692"/>
      <c r="H396" s="692" t="str">
        <f>IFERROR(VLOOKUP(J396,'03. THIẾT BỊ'!$B$1:$U$836,19,0),"")</f>
        <v/>
      </c>
      <c r="I396" s="463" t="str">
        <f>IFERROR(VLOOKUP(J396,'03. THIẾT BỊ'!$B$1:$U$836,20,0),"")</f>
        <v/>
      </c>
      <c r="J396" s="464"/>
      <c r="K396" s="757"/>
      <c r="L396" s="759"/>
      <c r="M396" s="759"/>
      <c r="N396" s="692" t="str">
        <f>IFERROR(VLOOKUP(J396,'03. THIẾT BỊ'!$B$1:$U$836,4,0),"")</f>
        <v/>
      </c>
      <c r="O396" s="692" t="str">
        <f>IFERROR(VLOOKUP(J396,'03. THIẾT BỊ'!$B$1:$U$836,7,0),"")</f>
        <v/>
      </c>
      <c r="P396" s="532"/>
      <c r="Q396" s="532"/>
      <c r="R396" s="532"/>
      <c r="S396" s="532" t="str">
        <f>IFERROR(VLOOKUP(J396,'03. THIẾT BỊ'!$B$1:$S$836,3,0),"")</f>
        <v/>
      </c>
      <c r="T396" s="693"/>
      <c r="U396" s="693"/>
    </row>
    <row r="397" hidden="1">
      <c r="A397" s="692"/>
      <c r="C397" s="532" t="str">
        <f>IFERROR(VLOOKUP(J397,'03. THIẾT BỊ'!$B$1:$U$836,5,0),"")</f>
        <v/>
      </c>
      <c r="D397" s="463"/>
      <c r="E397" s="692"/>
      <c r="F397" s="692"/>
      <c r="G397" s="692"/>
      <c r="H397" s="692" t="str">
        <f>IFERROR(VLOOKUP(J397,'03. THIẾT BỊ'!$B$1:$U$836,19,0),"")</f>
        <v/>
      </c>
      <c r="I397" s="463" t="str">
        <f>IFERROR(VLOOKUP(J397,'03. THIẾT BỊ'!$B$1:$U$836,20,0),"")</f>
        <v/>
      </c>
      <c r="J397" s="464"/>
      <c r="K397" s="757"/>
      <c r="L397" s="759"/>
      <c r="M397" s="759"/>
      <c r="N397" s="692" t="str">
        <f>IFERROR(VLOOKUP(J397,'03. THIẾT BỊ'!$B$1:$U$836,4,0),"")</f>
        <v/>
      </c>
      <c r="O397" s="692" t="str">
        <f>IFERROR(VLOOKUP(J397,'03. THIẾT BỊ'!$B$1:$U$836,7,0),"")</f>
        <v/>
      </c>
      <c r="P397" s="532"/>
      <c r="Q397" s="532"/>
      <c r="R397" s="532"/>
      <c r="S397" s="532" t="str">
        <f>IFERROR(VLOOKUP(J397,'03. THIẾT BỊ'!$B$1:$S$836,3,0),"")</f>
        <v/>
      </c>
      <c r="T397" s="693"/>
      <c r="U397" s="693"/>
    </row>
    <row r="398" hidden="1">
      <c r="A398" s="692"/>
      <c r="C398" s="532" t="str">
        <f>IFERROR(VLOOKUP(J398,'03. THIẾT BỊ'!$B$1:$U$836,5,0),"")</f>
        <v/>
      </c>
      <c r="D398" s="463"/>
      <c r="E398" s="692"/>
      <c r="F398" s="692"/>
      <c r="G398" s="692"/>
      <c r="H398" s="692" t="str">
        <f>IFERROR(VLOOKUP(J398,'03. THIẾT BỊ'!$B$1:$U$836,19,0),"")</f>
        <v/>
      </c>
      <c r="I398" s="463" t="str">
        <f>IFERROR(VLOOKUP(J398,'03. THIẾT BỊ'!$B$1:$U$836,20,0),"")</f>
        <v/>
      </c>
      <c r="J398" s="464"/>
      <c r="K398" s="757"/>
      <c r="L398" s="759"/>
      <c r="M398" s="759"/>
      <c r="N398" s="692" t="str">
        <f>IFERROR(VLOOKUP(J398,'03. THIẾT BỊ'!$B$1:$U$836,4,0),"")</f>
        <v/>
      </c>
      <c r="O398" s="692" t="str">
        <f>IFERROR(VLOOKUP(J398,'03. THIẾT BỊ'!$B$1:$U$836,7,0),"")</f>
        <v/>
      </c>
      <c r="P398" s="532"/>
      <c r="Q398" s="532"/>
      <c r="R398" s="532"/>
      <c r="S398" s="532" t="str">
        <f>IFERROR(VLOOKUP(J398,'03. THIẾT BỊ'!$B$1:$S$836,3,0),"")</f>
        <v/>
      </c>
      <c r="T398" s="693"/>
      <c r="U398" s="693"/>
    </row>
    <row r="399" hidden="1">
      <c r="A399" s="692"/>
      <c r="C399" s="532" t="str">
        <f>IFERROR(VLOOKUP(J399,'03. THIẾT BỊ'!$B$1:$U$836,5,0),"")</f>
        <v/>
      </c>
      <c r="D399" s="463"/>
      <c r="E399" s="692"/>
      <c r="F399" s="692"/>
      <c r="G399" s="692"/>
      <c r="H399" s="692" t="str">
        <f>IFERROR(VLOOKUP(J399,'03. THIẾT BỊ'!$B$1:$U$836,19,0),"")</f>
        <v/>
      </c>
      <c r="I399" s="463" t="str">
        <f>IFERROR(VLOOKUP(J399,'03. THIẾT BỊ'!$B$1:$U$836,20,0),"")</f>
        <v/>
      </c>
      <c r="J399" s="464"/>
      <c r="K399" s="757"/>
      <c r="L399" s="759"/>
      <c r="M399" s="759"/>
      <c r="N399" s="692" t="str">
        <f>IFERROR(VLOOKUP(J399,'03. THIẾT BỊ'!$B$1:$U$836,4,0),"")</f>
        <v/>
      </c>
      <c r="O399" s="692" t="str">
        <f>IFERROR(VLOOKUP(J399,'03. THIẾT BỊ'!$B$1:$U$836,7,0),"")</f>
        <v/>
      </c>
      <c r="P399" s="532"/>
      <c r="Q399" s="532"/>
      <c r="R399" s="532"/>
      <c r="S399" s="532" t="str">
        <f>IFERROR(VLOOKUP(J399,'03. THIẾT BỊ'!$B$1:$S$836,3,0),"")</f>
        <v/>
      </c>
      <c r="T399" s="693"/>
      <c r="U399" s="693"/>
    </row>
    <row r="400" hidden="1">
      <c r="A400" s="692"/>
      <c r="C400" s="532" t="str">
        <f>IFERROR(VLOOKUP(J400,'03. THIẾT BỊ'!$B$1:$U$836,5,0),"")</f>
        <v/>
      </c>
      <c r="D400" s="463"/>
      <c r="E400" s="692"/>
      <c r="F400" s="692"/>
      <c r="G400" s="692"/>
      <c r="H400" s="692" t="str">
        <f>IFERROR(VLOOKUP(J400,'03. THIẾT BỊ'!$B$1:$U$836,19,0),"")</f>
        <v/>
      </c>
      <c r="I400" s="463" t="str">
        <f>IFERROR(VLOOKUP(J400,'03. THIẾT BỊ'!$B$1:$U$836,20,0),"")</f>
        <v/>
      </c>
      <c r="J400" s="464"/>
      <c r="K400" s="757"/>
      <c r="L400" s="759"/>
      <c r="M400" s="759"/>
      <c r="N400" s="692" t="str">
        <f>IFERROR(VLOOKUP(J400,'03. THIẾT BỊ'!$B$1:$U$836,4,0),"")</f>
        <v/>
      </c>
      <c r="O400" s="692" t="str">
        <f>IFERROR(VLOOKUP(J400,'03. THIẾT BỊ'!$B$1:$U$836,7,0),"")</f>
        <v/>
      </c>
      <c r="P400" s="532"/>
      <c r="Q400" s="532"/>
      <c r="R400" s="532"/>
      <c r="S400" s="532" t="str">
        <f>IFERROR(VLOOKUP(J400,'03. THIẾT BỊ'!$B$1:$S$836,3,0),"")</f>
        <v/>
      </c>
      <c r="T400" s="693"/>
      <c r="U400" s="693"/>
    </row>
    <row r="401" hidden="1">
      <c r="A401" s="692"/>
      <c r="C401" s="532" t="str">
        <f>IFERROR(VLOOKUP(J401,'03. THIẾT BỊ'!$B$1:$U$836,5,0),"")</f>
        <v/>
      </c>
      <c r="D401" s="463"/>
      <c r="E401" s="692"/>
      <c r="F401" s="692"/>
      <c r="G401" s="692"/>
      <c r="H401" s="692" t="str">
        <f>IFERROR(VLOOKUP(J401,'03. THIẾT BỊ'!$B$1:$U$836,19,0),"")</f>
        <v/>
      </c>
      <c r="I401" s="463" t="str">
        <f>IFERROR(VLOOKUP(J401,'03. THIẾT BỊ'!$B$1:$U$836,20,0),"")</f>
        <v/>
      </c>
      <c r="J401" s="464"/>
      <c r="K401" s="757"/>
      <c r="L401" s="759"/>
      <c r="M401" s="759"/>
      <c r="N401" s="692" t="str">
        <f>IFERROR(VLOOKUP(J401,'03. THIẾT BỊ'!$B$1:$U$836,4,0),"")</f>
        <v/>
      </c>
      <c r="O401" s="692" t="str">
        <f>IFERROR(VLOOKUP(J401,'03. THIẾT BỊ'!$B$1:$U$836,7,0),"")</f>
        <v/>
      </c>
      <c r="P401" s="532"/>
      <c r="Q401" s="532"/>
      <c r="R401" s="532"/>
      <c r="S401" s="532" t="str">
        <f>IFERROR(VLOOKUP(J401,'03. THIẾT BỊ'!$B$1:$S$836,3,0),"")</f>
        <v/>
      </c>
      <c r="T401" s="693"/>
      <c r="U401" s="693"/>
    </row>
    <row r="402" hidden="1">
      <c r="A402" s="692"/>
      <c r="C402" s="532" t="str">
        <f>IFERROR(VLOOKUP(J402,'03. THIẾT BỊ'!$B$1:$U$836,5,0),"")</f>
        <v/>
      </c>
      <c r="D402" s="463"/>
      <c r="E402" s="692"/>
      <c r="F402" s="692"/>
      <c r="G402" s="692"/>
      <c r="H402" s="692" t="str">
        <f>IFERROR(VLOOKUP(J402,'03. THIẾT BỊ'!$B$1:$U$836,19,0),"")</f>
        <v/>
      </c>
      <c r="I402" s="463" t="str">
        <f>IFERROR(VLOOKUP(J402,'03. THIẾT BỊ'!$B$1:$U$836,20,0),"")</f>
        <v/>
      </c>
      <c r="J402" s="464"/>
      <c r="K402" s="757"/>
      <c r="L402" s="759"/>
      <c r="M402" s="759"/>
      <c r="N402" s="692" t="str">
        <f>IFERROR(VLOOKUP(J402,'03. THIẾT BỊ'!$B$1:$U$836,4,0),"")</f>
        <v/>
      </c>
      <c r="O402" s="692" t="str">
        <f>IFERROR(VLOOKUP(J402,'03. THIẾT BỊ'!$B$1:$U$836,7,0),"")</f>
        <v/>
      </c>
      <c r="P402" s="532"/>
      <c r="Q402" s="532"/>
      <c r="R402" s="532"/>
      <c r="S402" s="532" t="str">
        <f>IFERROR(VLOOKUP(J402,'03. THIẾT BỊ'!$B$1:$S$836,3,0),"")</f>
        <v/>
      </c>
      <c r="T402" s="693"/>
      <c r="U402" s="693"/>
    </row>
    <row r="403" hidden="1">
      <c r="A403" s="692"/>
      <c r="C403" s="532" t="str">
        <f>IFERROR(VLOOKUP(J403,'03. THIẾT BỊ'!$B$1:$U$836,5,0),"")</f>
        <v/>
      </c>
      <c r="D403" s="463"/>
      <c r="E403" s="692"/>
      <c r="F403" s="692"/>
      <c r="G403" s="692"/>
      <c r="H403" s="692" t="str">
        <f>IFERROR(VLOOKUP(J403,'03. THIẾT BỊ'!$B$1:$U$836,19,0),"")</f>
        <v/>
      </c>
      <c r="I403" s="463" t="str">
        <f>IFERROR(VLOOKUP(J403,'03. THIẾT BỊ'!$B$1:$U$836,20,0),"")</f>
        <v/>
      </c>
      <c r="J403" s="464"/>
      <c r="K403" s="757"/>
      <c r="L403" s="759"/>
      <c r="M403" s="759"/>
      <c r="N403" s="692" t="str">
        <f>IFERROR(VLOOKUP(J403,'03. THIẾT BỊ'!$B$1:$U$836,4,0),"")</f>
        <v/>
      </c>
      <c r="O403" s="692" t="str">
        <f>IFERROR(VLOOKUP(J403,'03. THIẾT BỊ'!$B$1:$U$836,7,0),"")</f>
        <v/>
      </c>
      <c r="P403" s="532"/>
      <c r="Q403" s="532"/>
      <c r="R403" s="532"/>
      <c r="S403" s="532" t="str">
        <f>IFERROR(VLOOKUP(J403,'03. THIẾT BỊ'!$B$1:$S$836,3,0),"")</f>
        <v/>
      </c>
      <c r="T403" s="693"/>
      <c r="U403" s="693"/>
    </row>
    <row r="404" hidden="1">
      <c r="A404" s="692"/>
      <c r="C404" s="532" t="str">
        <f>IFERROR(VLOOKUP(J404,'03. THIẾT BỊ'!$B$1:$U$836,5,0),"")</f>
        <v/>
      </c>
      <c r="D404" s="463"/>
      <c r="E404" s="692"/>
      <c r="F404" s="692"/>
      <c r="G404" s="692"/>
      <c r="H404" s="692" t="str">
        <f>IFERROR(VLOOKUP(J404,'03. THIẾT BỊ'!$B$1:$U$836,19,0),"")</f>
        <v/>
      </c>
      <c r="I404" s="463" t="str">
        <f>IFERROR(VLOOKUP(J404,'03. THIẾT BỊ'!$B$1:$U$836,20,0),"")</f>
        <v/>
      </c>
      <c r="J404" s="464"/>
      <c r="K404" s="757"/>
      <c r="L404" s="759"/>
      <c r="M404" s="759"/>
      <c r="N404" s="692" t="str">
        <f>IFERROR(VLOOKUP(J404,'03. THIẾT BỊ'!$B$1:$U$836,4,0),"")</f>
        <v/>
      </c>
      <c r="O404" s="692" t="str">
        <f>IFERROR(VLOOKUP(J404,'03. THIẾT BỊ'!$B$1:$U$836,7,0),"")</f>
        <v/>
      </c>
      <c r="P404" s="532"/>
      <c r="Q404" s="532"/>
      <c r="R404" s="532"/>
      <c r="S404" s="532" t="str">
        <f>IFERROR(VLOOKUP(J404,'03. THIẾT BỊ'!$B$1:$S$836,3,0),"")</f>
        <v/>
      </c>
      <c r="T404" s="693"/>
      <c r="U404" s="693"/>
    </row>
    <row r="405" hidden="1">
      <c r="A405" s="692"/>
      <c r="C405" s="532" t="str">
        <f>IFERROR(VLOOKUP(J405,'03. THIẾT BỊ'!$B$1:$U$836,5,0),"")</f>
        <v/>
      </c>
      <c r="D405" s="463"/>
      <c r="E405" s="692"/>
      <c r="F405" s="692"/>
      <c r="G405" s="692"/>
      <c r="H405" s="692" t="str">
        <f>IFERROR(VLOOKUP(J405,'03. THIẾT BỊ'!$B$1:$U$836,19,0),"")</f>
        <v/>
      </c>
      <c r="I405" s="463" t="str">
        <f>IFERROR(VLOOKUP(J405,'03. THIẾT BỊ'!$B$1:$U$836,20,0),"")</f>
        <v/>
      </c>
      <c r="J405" s="464"/>
      <c r="K405" s="757"/>
      <c r="L405" s="759"/>
      <c r="M405" s="759"/>
      <c r="N405" s="692" t="str">
        <f>IFERROR(VLOOKUP(J405,'03. THIẾT BỊ'!$B$1:$U$836,4,0),"")</f>
        <v/>
      </c>
      <c r="O405" s="692" t="str">
        <f>IFERROR(VLOOKUP(J405,'03. THIẾT BỊ'!$B$1:$U$836,7,0),"")</f>
        <v/>
      </c>
      <c r="P405" s="532"/>
      <c r="Q405" s="532"/>
      <c r="R405" s="532"/>
      <c r="S405" s="532" t="str">
        <f>IFERROR(VLOOKUP(J405,'03. THIẾT BỊ'!$B$1:$S$836,3,0),"")</f>
        <v/>
      </c>
      <c r="T405" s="693"/>
      <c r="U405" s="693"/>
    </row>
    <row r="406" hidden="1">
      <c r="A406" s="692"/>
      <c r="C406" s="532" t="str">
        <f>IFERROR(VLOOKUP(J406,'03. THIẾT BỊ'!$B$1:$U$836,5,0),"")</f>
        <v/>
      </c>
      <c r="D406" s="463"/>
      <c r="E406" s="692"/>
      <c r="F406" s="692"/>
      <c r="G406" s="692"/>
      <c r="H406" s="692" t="str">
        <f>IFERROR(VLOOKUP(J406,'03. THIẾT BỊ'!$B$1:$U$836,19,0),"")</f>
        <v/>
      </c>
      <c r="I406" s="463" t="str">
        <f>IFERROR(VLOOKUP(J406,'03. THIẾT BỊ'!$B$1:$U$836,20,0),"")</f>
        <v/>
      </c>
      <c r="J406" s="464"/>
      <c r="K406" s="757"/>
      <c r="L406" s="759"/>
      <c r="M406" s="759"/>
      <c r="N406" s="692" t="str">
        <f>IFERROR(VLOOKUP(J406,'03. THIẾT BỊ'!$B$1:$U$836,4,0),"")</f>
        <v/>
      </c>
      <c r="O406" s="692" t="str">
        <f>IFERROR(VLOOKUP(J406,'03. THIẾT BỊ'!$B$1:$U$836,7,0),"")</f>
        <v/>
      </c>
      <c r="P406" s="532"/>
      <c r="Q406" s="532"/>
      <c r="R406" s="532"/>
      <c r="S406" s="532" t="str">
        <f>IFERROR(VLOOKUP(J406,'03. THIẾT BỊ'!$B$1:$S$836,3,0),"")</f>
        <v/>
      </c>
      <c r="T406" s="693"/>
      <c r="U406" s="693"/>
    </row>
    <row r="407" hidden="1">
      <c r="A407" s="692"/>
      <c r="C407" s="532" t="str">
        <f>IFERROR(VLOOKUP(J407,'03. THIẾT BỊ'!$B$1:$U$836,5,0),"")</f>
        <v/>
      </c>
      <c r="D407" s="463"/>
      <c r="E407" s="692"/>
      <c r="F407" s="692"/>
      <c r="G407" s="692"/>
      <c r="H407" s="692" t="str">
        <f>IFERROR(VLOOKUP(J407,'03. THIẾT BỊ'!$B$1:$U$836,19,0),"")</f>
        <v/>
      </c>
      <c r="I407" s="463" t="str">
        <f>IFERROR(VLOOKUP(J407,'03. THIẾT BỊ'!$B$1:$U$836,20,0),"")</f>
        <v/>
      </c>
      <c r="J407" s="464"/>
      <c r="K407" s="757"/>
      <c r="L407" s="759"/>
      <c r="M407" s="759"/>
      <c r="N407" s="692" t="str">
        <f>IFERROR(VLOOKUP(J407,'03. THIẾT BỊ'!$B$1:$U$836,4,0),"")</f>
        <v/>
      </c>
      <c r="O407" s="692" t="str">
        <f>IFERROR(VLOOKUP(J407,'03. THIẾT BỊ'!$B$1:$U$836,7,0),"")</f>
        <v/>
      </c>
      <c r="P407" s="532"/>
      <c r="Q407" s="532"/>
      <c r="R407" s="532"/>
      <c r="S407" s="532" t="str">
        <f>IFERROR(VLOOKUP(J407,'03. THIẾT BỊ'!$B$1:$S$836,3,0),"")</f>
        <v/>
      </c>
      <c r="T407" s="693"/>
      <c r="U407" s="693"/>
    </row>
    <row r="408" hidden="1">
      <c r="A408" s="692"/>
      <c r="C408" s="532" t="str">
        <f>IFERROR(VLOOKUP(J408,'03. THIẾT BỊ'!$B$1:$U$836,5,0),"")</f>
        <v/>
      </c>
      <c r="D408" s="463"/>
      <c r="E408" s="692"/>
      <c r="F408" s="692"/>
      <c r="G408" s="692"/>
      <c r="H408" s="692" t="str">
        <f>IFERROR(VLOOKUP(J408,'03. THIẾT BỊ'!$B$1:$U$836,19,0),"")</f>
        <v/>
      </c>
      <c r="I408" s="463" t="str">
        <f>IFERROR(VLOOKUP(J408,'03. THIẾT BỊ'!$B$1:$U$836,20,0),"")</f>
        <v/>
      </c>
      <c r="J408" s="464"/>
      <c r="K408" s="757"/>
      <c r="L408" s="759"/>
      <c r="M408" s="759"/>
      <c r="N408" s="692" t="str">
        <f>IFERROR(VLOOKUP(J408,'03. THIẾT BỊ'!$B$1:$U$836,4,0),"")</f>
        <v/>
      </c>
      <c r="O408" s="692" t="str">
        <f>IFERROR(VLOOKUP(J408,'03. THIẾT BỊ'!$B$1:$U$836,7,0),"")</f>
        <v/>
      </c>
      <c r="P408" s="532"/>
      <c r="Q408" s="532"/>
      <c r="R408" s="532"/>
      <c r="S408" s="532" t="str">
        <f>IFERROR(VLOOKUP(J408,'03. THIẾT BỊ'!$B$1:$S$836,3,0),"")</f>
        <v/>
      </c>
      <c r="T408" s="693"/>
      <c r="U408" s="693"/>
    </row>
    <row r="409" hidden="1">
      <c r="A409" s="692"/>
      <c r="C409" s="532" t="str">
        <f>IFERROR(VLOOKUP(J409,'03. THIẾT BỊ'!$B$1:$U$836,5,0),"")</f>
        <v/>
      </c>
      <c r="D409" s="463"/>
      <c r="E409" s="692"/>
      <c r="F409" s="692"/>
      <c r="G409" s="692"/>
      <c r="H409" s="692" t="str">
        <f>IFERROR(VLOOKUP(J409,'03. THIẾT BỊ'!$B$1:$U$836,19,0),"")</f>
        <v/>
      </c>
      <c r="I409" s="463" t="str">
        <f>IFERROR(VLOOKUP(J409,'03. THIẾT BỊ'!$B$1:$U$836,20,0),"")</f>
        <v/>
      </c>
      <c r="J409" s="464"/>
      <c r="K409" s="757"/>
      <c r="L409" s="759"/>
      <c r="M409" s="759"/>
      <c r="N409" s="692" t="str">
        <f>IFERROR(VLOOKUP(J409,'03. THIẾT BỊ'!$B$1:$U$836,4,0),"")</f>
        <v/>
      </c>
      <c r="O409" s="692" t="str">
        <f>IFERROR(VLOOKUP(J409,'03. THIẾT BỊ'!$B$1:$U$836,7,0),"")</f>
        <v/>
      </c>
      <c r="P409" s="532"/>
      <c r="Q409" s="532"/>
      <c r="R409" s="532"/>
      <c r="S409" s="532" t="str">
        <f>IFERROR(VLOOKUP(J409,'03. THIẾT BỊ'!$B$1:$S$836,3,0),"")</f>
        <v/>
      </c>
      <c r="T409" s="693"/>
      <c r="U409" s="693"/>
    </row>
    <row r="410" hidden="1">
      <c r="A410" s="692"/>
      <c r="C410" s="532" t="str">
        <f>IFERROR(VLOOKUP(J410,'03. THIẾT BỊ'!$B$1:$U$836,5,0),"")</f>
        <v/>
      </c>
      <c r="D410" s="463"/>
      <c r="E410" s="692"/>
      <c r="F410" s="692"/>
      <c r="G410" s="692"/>
      <c r="H410" s="692" t="str">
        <f>IFERROR(VLOOKUP(J410,'03. THIẾT BỊ'!$B$1:$U$836,19,0),"")</f>
        <v/>
      </c>
      <c r="I410" s="463" t="str">
        <f>IFERROR(VLOOKUP(J410,'03. THIẾT BỊ'!$B$1:$U$836,20,0),"")</f>
        <v/>
      </c>
      <c r="J410" s="464"/>
      <c r="K410" s="757"/>
      <c r="L410" s="759"/>
      <c r="M410" s="759"/>
      <c r="N410" s="692" t="str">
        <f>IFERROR(VLOOKUP(J410,'03. THIẾT BỊ'!$B$1:$U$836,4,0),"")</f>
        <v/>
      </c>
      <c r="O410" s="692" t="str">
        <f>IFERROR(VLOOKUP(J410,'03. THIẾT BỊ'!$B$1:$U$836,7,0),"")</f>
        <v/>
      </c>
      <c r="P410" s="532"/>
      <c r="Q410" s="532"/>
      <c r="R410" s="532"/>
      <c r="S410" s="532" t="str">
        <f>IFERROR(VLOOKUP(J410,'03. THIẾT BỊ'!$B$1:$S$836,3,0),"")</f>
        <v/>
      </c>
      <c r="T410" s="693"/>
      <c r="U410" s="693"/>
    </row>
    <row r="411" hidden="1">
      <c r="A411" s="692"/>
      <c r="C411" s="532" t="str">
        <f>IFERROR(VLOOKUP(J411,'03. THIẾT BỊ'!$B$1:$U$836,5,0),"")</f>
        <v/>
      </c>
      <c r="D411" s="463"/>
      <c r="E411" s="692"/>
      <c r="F411" s="692"/>
      <c r="G411" s="692"/>
      <c r="H411" s="692" t="str">
        <f>IFERROR(VLOOKUP(J411,'03. THIẾT BỊ'!$B$1:$U$836,19,0),"")</f>
        <v/>
      </c>
      <c r="I411" s="463" t="str">
        <f>IFERROR(VLOOKUP(J411,'03. THIẾT BỊ'!$B$1:$U$836,20,0),"")</f>
        <v/>
      </c>
      <c r="J411" s="464"/>
      <c r="K411" s="757"/>
      <c r="L411" s="759"/>
      <c r="M411" s="759"/>
      <c r="N411" s="692" t="str">
        <f>IFERROR(VLOOKUP(J411,'03. THIẾT BỊ'!$B$1:$U$836,4,0),"")</f>
        <v/>
      </c>
      <c r="O411" s="692" t="str">
        <f>IFERROR(VLOOKUP(J411,'03. THIẾT BỊ'!$B$1:$U$836,7,0),"")</f>
        <v/>
      </c>
      <c r="P411" s="532"/>
      <c r="Q411" s="532"/>
      <c r="R411" s="532"/>
      <c r="S411" s="532" t="str">
        <f>IFERROR(VLOOKUP(J411,'03. THIẾT BỊ'!$B$1:$S$836,3,0),"")</f>
        <v/>
      </c>
      <c r="T411" s="693"/>
      <c r="U411" s="693"/>
    </row>
    <row r="412" hidden="1">
      <c r="A412" s="692"/>
      <c r="C412" s="532" t="str">
        <f>IFERROR(VLOOKUP(J412,'03. THIẾT BỊ'!$B$1:$U$836,5,0),"")</f>
        <v/>
      </c>
      <c r="D412" s="463"/>
      <c r="E412" s="692"/>
      <c r="F412" s="692"/>
      <c r="G412" s="692"/>
      <c r="H412" s="692" t="str">
        <f>IFERROR(VLOOKUP(J412,'03. THIẾT BỊ'!$B$1:$U$836,19,0),"")</f>
        <v/>
      </c>
      <c r="I412" s="463" t="str">
        <f>IFERROR(VLOOKUP(J412,'03. THIẾT BỊ'!$B$1:$U$836,20,0),"")</f>
        <v/>
      </c>
      <c r="J412" s="464"/>
      <c r="K412" s="757"/>
      <c r="L412" s="759"/>
      <c r="M412" s="759"/>
      <c r="N412" s="692" t="str">
        <f>IFERROR(VLOOKUP(J412,'03. THIẾT BỊ'!$B$1:$U$836,4,0),"")</f>
        <v/>
      </c>
      <c r="O412" s="692" t="str">
        <f>IFERROR(VLOOKUP(J412,'03. THIẾT BỊ'!$B$1:$U$836,7,0),"")</f>
        <v/>
      </c>
      <c r="P412" s="532"/>
      <c r="Q412" s="532"/>
      <c r="R412" s="532"/>
      <c r="S412" s="532" t="str">
        <f>IFERROR(VLOOKUP(J412,'03. THIẾT BỊ'!$B$1:$S$836,3,0),"")</f>
        <v/>
      </c>
      <c r="T412" s="693"/>
      <c r="U412" s="693"/>
    </row>
    <row r="413" hidden="1">
      <c r="A413" s="692"/>
      <c r="C413" s="532" t="str">
        <f>IFERROR(VLOOKUP(J413,'03. THIẾT BỊ'!$B$1:$U$836,5,0),"")</f>
        <v/>
      </c>
      <c r="D413" s="463"/>
      <c r="E413" s="692"/>
      <c r="F413" s="692"/>
      <c r="G413" s="692"/>
      <c r="H413" s="692" t="str">
        <f>IFERROR(VLOOKUP(J413,'03. THIẾT BỊ'!$B$1:$U$836,19,0),"")</f>
        <v/>
      </c>
      <c r="I413" s="463" t="str">
        <f>IFERROR(VLOOKUP(J413,'03. THIẾT BỊ'!$B$1:$U$836,20,0),"")</f>
        <v/>
      </c>
      <c r="J413" s="464"/>
      <c r="K413" s="757"/>
      <c r="L413" s="759"/>
      <c r="M413" s="759"/>
      <c r="N413" s="692" t="str">
        <f>IFERROR(VLOOKUP(J413,'03. THIẾT BỊ'!$B$1:$U$836,4,0),"")</f>
        <v/>
      </c>
      <c r="O413" s="692" t="str">
        <f>IFERROR(VLOOKUP(J413,'03. THIẾT BỊ'!$B$1:$U$836,7,0),"")</f>
        <v/>
      </c>
      <c r="P413" s="532"/>
      <c r="Q413" s="532"/>
      <c r="R413" s="532"/>
      <c r="S413" s="532" t="str">
        <f>IFERROR(VLOOKUP(J413,'03. THIẾT BỊ'!$B$1:$S$836,3,0),"")</f>
        <v/>
      </c>
      <c r="T413" s="693"/>
      <c r="U413" s="693"/>
    </row>
    <row r="414" hidden="1">
      <c r="A414" s="692"/>
      <c r="C414" s="532" t="str">
        <f>IFERROR(VLOOKUP(J414,'03. THIẾT BỊ'!$B$1:$U$836,5,0),"")</f>
        <v/>
      </c>
      <c r="D414" s="463"/>
      <c r="E414" s="692"/>
      <c r="F414" s="692"/>
      <c r="G414" s="692"/>
      <c r="H414" s="692" t="str">
        <f>IFERROR(VLOOKUP(J414,'03. THIẾT BỊ'!$B$1:$U$836,19,0),"")</f>
        <v/>
      </c>
      <c r="I414" s="463" t="str">
        <f>IFERROR(VLOOKUP(J414,'03. THIẾT BỊ'!$B$1:$U$836,20,0),"")</f>
        <v/>
      </c>
      <c r="J414" s="464"/>
      <c r="K414" s="757"/>
      <c r="L414" s="759"/>
      <c r="M414" s="759"/>
      <c r="N414" s="692" t="str">
        <f>IFERROR(VLOOKUP(J414,'03. THIẾT BỊ'!$B$1:$U$836,4,0),"")</f>
        <v/>
      </c>
      <c r="O414" s="692" t="str">
        <f>IFERROR(VLOOKUP(J414,'03. THIẾT BỊ'!$B$1:$U$836,7,0),"")</f>
        <v/>
      </c>
      <c r="P414" s="532"/>
      <c r="Q414" s="532"/>
      <c r="R414" s="532"/>
      <c r="S414" s="532" t="str">
        <f>IFERROR(VLOOKUP(J414,'03. THIẾT BỊ'!$B$1:$S$836,3,0),"")</f>
        <v/>
      </c>
      <c r="T414" s="693"/>
      <c r="U414" s="693"/>
    </row>
    <row r="415" hidden="1">
      <c r="A415" s="692"/>
      <c r="C415" s="532" t="str">
        <f>IFERROR(VLOOKUP(J415,'03. THIẾT BỊ'!$B$1:$U$836,5,0),"")</f>
        <v/>
      </c>
      <c r="D415" s="463"/>
      <c r="E415" s="692"/>
      <c r="F415" s="692"/>
      <c r="G415" s="692"/>
      <c r="H415" s="692" t="str">
        <f>IFERROR(VLOOKUP(J415,'03. THIẾT BỊ'!$B$1:$U$836,19,0),"")</f>
        <v/>
      </c>
      <c r="I415" s="463" t="str">
        <f>IFERROR(VLOOKUP(J415,'03. THIẾT BỊ'!$B$1:$U$836,20,0),"")</f>
        <v/>
      </c>
      <c r="J415" s="464"/>
      <c r="K415" s="757"/>
      <c r="L415" s="759"/>
      <c r="M415" s="759"/>
      <c r="N415" s="692" t="str">
        <f>IFERROR(VLOOKUP(J415,'03. THIẾT BỊ'!$B$1:$U$836,4,0),"")</f>
        <v/>
      </c>
      <c r="O415" s="692" t="str">
        <f>IFERROR(VLOOKUP(J415,'03. THIẾT BỊ'!$B$1:$U$836,7,0),"")</f>
        <v/>
      </c>
      <c r="P415" s="532"/>
      <c r="Q415" s="532"/>
      <c r="R415" s="532"/>
      <c r="S415" s="532" t="str">
        <f>IFERROR(VLOOKUP(J415,'03. THIẾT BỊ'!$B$1:$S$836,3,0),"")</f>
        <v/>
      </c>
      <c r="T415" s="693"/>
      <c r="U415" s="693"/>
    </row>
    <row r="416" hidden="1">
      <c r="A416" s="692"/>
      <c r="C416" s="532" t="str">
        <f>IFERROR(VLOOKUP(J416,'03. THIẾT BỊ'!$B$1:$U$836,5,0),"")</f>
        <v/>
      </c>
      <c r="D416" s="463"/>
      <c r="E416" s="692"/>
      <c r="F416" s="692"/>
      <c r="G416" s="692"/>
      <c r="H416" s="692" t="str">
        <f>IFERROR(VLOOKUP(J416,'03. THIẾT BỊ'!$B$1:$U$836,19,0),"")</f>
        <v/>
      </c>
      <c r="I416" s="463" t="str">
        <f>IFERROR(VLOOKUP(J416,'03. THIẾT BỊ'!$B$1:$U$836,20,0),"")</f>
        <v/>
      </c>
      <c r="J416" s="464"/>
      <c r="K416" s="757"/>
      <c r="L416" s="759"/>
      <c r="M416" s="759"/>
      <c r="N416" s="692" t="str">
        <f>IFERROR(VLOOKUP(J416,'03. THIẾT BỊ'!$B$1:$U$836,4,0),"")</f>
        <v/>
      </c>
      <c r="O416" s="692" t="str">
        <f>IFERROR(VLOOKUP(J416,'03. THIẾT BỊ'!$B$1:$U$836,7,0),"")</f>
        <v/>
      </c>
      <c r="P416" s="532"/>
      <c r="Q416" s="532"/>
      <c r="R416" s="532"/>
      <c r="S416" s="532" t="str">
        <f>IFERROR(VLOOKUP(J416,'03. THIẾT BỊ'!$B$1:$S$836,3,0),"")</f>
        <v/>
      </c>
      <c r="T416" s="693"/>
      <c r="U416" s="693"/>
    </row>
    <row r="417" hidden="1">
      <c r="A417" s="692"/>
      <c r="C417" s="532" t="str">
        <f>IFERROR(VLOOKUP(J417,'03. THIẾT BỊ'!$B$1:$U$836,5,0),"")</f>
        <v/>
      </c>
      <c r="D417" s="463"/>
      <c r="E417" s="692"/>
      <c r="F417" s="692"/>
      <c r="G417" s="692"/>
      <c r="H417" s="692" t="str">
        <f>IFERROR(VLOOKUP(J417,'03. THIẾT BỊ'!$B$1:$U$836,19,0),"")</f>
        <v/>
      </c>
      <c r="I417" s="463" t="str">
        <f>IFERROR(VLOOKUP(J417,'03. THIẾT BỊ'!$B$1:$U$836,20,0),"")</f>
        <v/>
      </c>
      <c r="J417" s="464"/>
      <c r="K417" s="757"/>
      <c r="L417" s="759"/>
      <c r="M417" s="759"/>
      <c r="N417" s="692" t="str">
        <f>IFERROR(VLOOKUP(J417,'03. THIẾT BỊ'!$B$1:$U$836,4,0),"")</f>
        <v/>
      </c>
      <c r="O417" s="692" t="str">
        <f>IFERROR(VLOOKUP(J417,'03. THIẾT BỊ'!$B$1:$U$836,7,0),"")</f>
        <v/>
      </c>
      <c r="P417" s="532"/>
      <c r="Q417" s="532"/>
      <c r="R417" s="532"/>
      <c r="S417" s="532" t="str">
        <f>IFERROR(VLOOKUP(J417,'03. THIẾT BỊ'!$B$1:$S$836,3,0),"")</f>
        <v/>
      </c>
      <c r="T417" s="693"/>
      <c r="U417" s="693"/>
    </row>
    <row r="418" hidden="1">
      <c r="A418" s="692"/>
      <c r="C418" s="532" t="str">
        <f>IFERROR(VLOOKUP(J418,'03. THIẾT BỊ'!$B$1:$U$836,5,0),"")</f>
        <v/>
      </c>
      <c r="D418" s="463"/>
      <c r="E418" s="692"/>
      <c r="F418" s="692"/>
      <c r="G418" s="692"/>
      <c r="H418" s="692" t="str">
        <f>IFERROR(VLOOKUP(J418,'03. THIẾT BỊ'!$B$1:$U$836,19,0),"")</f>
        <v/>
      </c>
      <c r="I418" s="463" t="str">
        <f>IFERROR(VLOOKUP(J418,'03. THIẾT BỊ'!$B$1:$U$836,20,0),"")</f>
        <v/>
      </c>
      <c r="J418" s="464"/>
      <c r="K418" s="757"/>
      <c r="L418" s="759"/>
      <c r="M418" s="759"/>
      <c r="N418" s="692" t="str">
        <f>IFERROR(VLOOKUP(J418,'03. THIẾT BỊ'!$B$1:$U$836,4,0),"")</f>
        <v/>
      </c>
      <c r="O418" s="692" t="str">
        <f>IFERROR(VLOOKUP(J418,'03. THIẾT BỊ'!$B$1:$U$836,7,0),"")</f>
        <v/>
      </c>
      <c r="P418" s="532"/>
      <c r="Q418" s="532"/>
      <c r="R418" s="532"/>
      <c r="S418" s="532" t="str">
        <f>IFERROR(VLOOKUP(J418,'03. THIẾT BỊ'!$B$1:$S$836,3,0),"")</f>
        <v/>
      </c>
      <c r="T418" s="693"/>
      <c r="U418" s="693"/>
    </row>
    <row r="419" hidden="1">
      <c r="A419" s="692"/>
      <c r="C419" s="532" t="str">
        <f>IFERROR(VLOOKUP(J419,'03. THIẾT BỊ'!$B$1:$U$836,5,0),"")</f>
        <v/>
      </c>
      <c r="D419" s="463"/>
      <c r="E419" s="692"/>
      <c r="F419" s="692"/>
      <c r="G419" s="692"/>
      <c r="H419" s="692" t="str">
        <f>IFERROR(VLOOKUP(J419,'03. THIẾT BỊ'!$B$1:$U$836,19,0),"")</f>
        <v/>
      </c>
      <c r="I419" s="463" t="str">
        <f>IFERROR(VLOOKUP(J419,'03. THIẾT BỊ'!$B$1:$U$836,20,0),"")</f>
        <v/>
      </c>
      <c r="J419" s="464"/>
      <c r="K419" s="757"/>
      <c r="L419" s="759"/>
      <c r="M419" s="759"/>
      <c r="N419" s="692" t="str">
        <f>IFERROR(VLOOKUP(J419,'03. THIẾT BỊ'!$B$1:$U$836,4,0),"")</f>
        <v/>
      </c>
      <c r="O419" s="692" t="str">
        <f>IFERROR(VLOOKUP(J419,'03. THIẾT BỊ'!$B$1:$U$836,7,0),"")</f>
        <v/>
      </c>
      <c r="P419" s="532"/>
      <c r="Q419" s="532"/>
      <c r="R419" s="532"/>
      <c r="S419" s="532" t="str">
        <f>IFERROR(VLOOKUP(J419,'03. THIẾT BỊ'!$B$1:$S$836,3,0),"")</f>
        <v/>
      </c>
      <c r="T419" s="693"/>
      <c r="U419" s="693"/>
    </row>
    <row r="420" hidden="1">
      <c r="A420" s="692"/>
      <c r="C420" s="532" t="str">
        <f>IFERROR(VLOOKUP(J420,'03. THIẾT BỊ'!$B$1:$U$836,5,0),"")</f>
        <v/>
      </c>
      <c r="D420" s="463"/>
      <c r="E420" s="692"/>
      <c r="F420" s="692"/>
      <c r="G420" s="692"/>
      <c r="H420" s="692" t="str">
        <f>IFERROR(VLOOKUP(J420,'03. THIẾT BỊ'!$B$1:$U$836,19,0),"")</f>
        <v/>
      </c>
      <c r="I420" s="463" t="str">
        <f>IFERROR(VLOOKUP(J420,'03. THIẾT BỊ'!$B$1:$U$836,20,0),"")</f>
        <v/>
      </c>
      <c r="J420" s="464"/>
      <c r="K420" s="757"/>
      <c r="L420" s="759"/>
      <c r="M420" s="759"/>
      <c r="N420" s="692" t="str">
        <f>IFERROR(VLOOKUP(J420,'03. THIẾT BỊ'!$B$1:$U$836,4,0),"")</f>
        <v/>
      </c>
      <c r="O420" s="692" t="str">
        <f>IFERROR(VLOOKUP(J420,'03. THIẾT BỊ'!$B$1:$U$836,7,0),"")</f>
        <v/>
      </c>
      <c r="P420" s="532"/>
      <c r="Q420" s="532"/>
      <c r="R420" s="532"/>
      <c r="S420" s="532" t="str">
        <f>IFERROR(VLOOKUP(J420,'03. THIẾT BỊ'!$B$1:$S$836,3,0),"")</f>
        <v/>
      </c>
      <c r="T420" s="693"/>
      <c r="U420" s="693"/>
    </row>
    <row r="421" hidden="1">
      <c r="A421" s="692"/>
      <c r="C421" s="532" t="str">
        <f>IFERROR(VLOOKUP(J421,'03. THIẾT BỊ'!$B$1:$U$836,5,0),"")</f>
        <v/>
      </c>
      <c r="D421" s="463"/>
      <c r="E421" s="692"/>
      <c r="F421" s="692"/>
      <c r="G421" s="692"/>
      <c r="H421" s="692" t="str">
        <f>IFERROR(VLOOKUP(J421,'03. THIẾT BỊ'!$B$1:$U$836,19,0),"")</f>
        <v/>
      </c>
      <c r="I421" s="463" t="str">
        <f>IFERROR(VLOOKUP(J421,'03. THIẾT BỊ'!$B$1:$U$836,20,0),"")</f>
        <v/>
      </c>
      <c r="J421" s="464"/>
      <c r="K421" s="757"/>
      <c r="L421" s="759"/>
      <c r="M421" s="759"/>
      <c r="N421" s="692" t="str">
        <f>IFERROR(VLOOKUP(J421,'03. THIẾT BỊ'!$B$1:$U$836,4,0),"")</f>
        <v/>
      </c>
      <c r="O421" s="692" t="str">
        <f>IFERROR(VLOOKUP(J421,'03. THIẾT BỊ'!$B$1:$U$836,7,0),"")</f>
        <v/>
      </c>
      <c r="P421" s="532"/>
      <c r="Q421" s="532"/>
      <c r="R421" s="532"/>
      <c r="S421" s="532" t="str">
        <f>IFERROR(VLOOKUP(J421,'03. THIẾT BỊ'!$B$1:$S$836,3,0),"")</f>
        <v/>
      </c>
      <c r="T421" s="693"/>
      <c r="U421" s="693"/>
    </row>
    <row r="422" hidden="1">
      <c r="A422" s="692"/>
      <c r="C422" s="532" t="str">
        <f>IFERROR(VLOOKUP(J422,'03. THIẾT BỊ'!$B$1:$U$836,5,0),"")</f>
        <v/>
      </c>
      <c r="D422" s="463"/>
      <c r="E422" s="692"/>
      <c r="F422" s="692"/>
      <c r="G422" s="692"/>
      <c r="H422" s="692" t="str">
        <f>IFERROR(VLOOKUP(J422,'03. THIẾT BỊ'!$B$1:$U$836,19,0),"")</f>
        <v/>
      </c>
      <c r="I422" s="463" t="str">
        <f>IFERROR(VLOOKUP(J422,'03. THIẾT BỊ'!$B$1:$U$836,20,0),"")</f>
        <v/>
      </c>
      <c r="J422" s="464"/>
      <c r="K422" s="757"/>
      <c r="L422" s="759"/>
      <c r="M422" s="759"/>
      <c r="N422" s="692" t="str">
        <f>IFERROR(VLOOKUP(J422,'03. THIẾT BỊ'!$B$1:$U$836,4,0),"")</f>
        <v/>
      </c>
      <c r="O422" s="692" t="str">
        <f>IFERROR(VLOOKUP(J422,'03. THIẾT BỊ'!$B$1:$U$836,7,0),"")</f>
        <v/>
      </c>
      <c r="P422" s="532"/>
      <c r="Q422" s="532"/>
      <c r="R422" s="532"/>
      <c r="S422" s="532" t="str">
        <f>IFERROR(VLOOKUP(J422,'03. THIẾT BỊ'!$B$1:$S$836,3,0),"")</f>
        <v/>
      </c>
      <c r="T422" s="693"/>
      <c r="U422" s="693"/>
    </row>
    <row r="423" hidden="1">
      <c r="A423" s="692"/>
      <c r="C423" s="532" t="str">
        <f>IFERROR(VLOOKUP(J423,'03. THIẾT BỊ'!$B$1:$U$836,5,0),"")</f>
        <v/>
      </c>
      <c r="D423" s="463"/>
      <c r="E423" s="692"/>
      <c r="F423" s="692"/>
      <c r="G423" s="692"/>
      <c r="H423" s="692" t="str">
        <f>IFERROR(VLOOKUP(J423,'03. THIẾT BỊ'!$B$1:$U$836,19,0),"")</f>
        <v/>
      </c>
      <c r="I423" s="463" t="str">
        <f>IFERROR(VLOOKUP(J423,'03. THIẾT BỊ'!$B$1:$U$836,20,0),"")</f>
        <v/>
      </c>
      <c r="J423" s="464"/>
      <c r="K423" s="757"/>
      <c r="L423" s="759"/>
      <c r="M423" s="759"/>
      <c r="N423" s="692" t="str">
        <f>IFERROR(VLOOKUP(J423,'03. THIẾT BỊ'!$B$1:$U$836,4,0),"")</f>
        <v/>
      </c>
      <c r="O423" s="692" t="str">
        <f>IFERROR(VLOOKUP(J423,'03. THIẾT BỊ'!$B$1:$U$836,7,0),"")</f>
        <v/>
      </c>
      <c r="P423" s="532"/>
      <c r="Q423" s="532"/>
      <c r="R423" s="532"/>
      <c r="S423" s="532" t="str">
        <f>IFERROR(VLOOKUP(J423,'03. THIẾT BỊ'!$B$1:$S$836,3,0),"")</f>
        <v/>
      </c>
      <c r="T423" s="693"/>
      <c r="U423" s="693"/>
    </row>
    <row r="424" hidden="1">
      <c r="A424" s="692"/>
      <c r="C424" s="532" t="str">
        <f>IFERROR(VLOOKUP(J424,'03. THIẾT BỊ'!$B$1:$U$836,5,0),"")</f>
        <v/>
      </c>
      <c r="D424" s="463"/>
      <c r="E424" s="692"/>
      <c r="F424" s="692"/>
      <c r="G424" s="692"/>
      <c r="H424" s="692" t="str">
        <f>IFERROR(VLOOKUP(J424,'03. THIẾT BỊ'!$B$1:$U$836,19,0),"")</f>
        <v/>
      </c>
      <c r="I424" s="463" t="str">
        <f>IFERROR(VLOOKUP(J424,'03. THIẾT BỊ'!$B$1:$U$836,20,0),"")</f>
        <v/>
      </c>
      <c r="J424" s="464"/>
      <c r="K424" s="757"/>
      <c r="L424" s="759"/>
      <c r="M424" s="759"/>
      <c r="N424" s="692" t="str">
        <f>IFERROR(VLOOKUP(J424,'03. THIẾT BỊ'!$B$1:$U$836,4,0),"")</f>
        <v/>
      </c>
      <c r="O424" s="692" t="str">
        <f>IFERROR(VLOOKUP(J424,'03. THIẾT BỊ'!$B$1:$U$836,7,0),"")</f>
        <v/>
      </c>
      <c r="P424" s="532"/>
      <c r="Q424" s="532"/>
      <c r="R424" s="532"/>
      <c r="S424" s="532" t="str">
        <f>IFERROR(VLOOKUP(J424,'03. THIẾT BỊ'!$B$1:$S$836,3,0),"")</f>
        <v/>
      </c>
      <c r="T424" s="693"/>
      <c r="U424" s="693"/>
    </row>
    <row r="425" hidden="1">
      <c r="A425" s="692"/>
      <c r="C425" s="532" t="str">
        <f>IFERROR(VLOOKUP(J425,'03. THIẾT BỊ'!$B$1:$U$836,5,0),"")</f>
        <v/>
      </c>
      <c r="D425" s="463"/>
      <c r="E425" s="692"/>
      <c r="F425" s="692"/>
      <c r="G425" s="692"/>
      <c r="H425" s="692" t="str">
        <f>IFERROR(VLOOKUP(J425,'03. THIẾT BỊ'!$B$1:$U$836,19,0),"")</f>
        <v/>
      </c>
      <c r="I425" s="463" t="str">
        <f>IFERROR(VLOOKUP(J425,'03. THIẾT BỊ'!$B$1:$U$836,20,0),"")</f>
        <v/>
      </c>
      <c r="J425" s="464"/>
      <c r="K425" s="757"/>
      <c r="L425" s="759"/>
      <c r="M425" s="759"/>
      <c r="N425" s="692" t="str">
        <f>IFERROR(VLOOKUP(J425,'03. THIẾT BỊ'!$B$1:$U$836,4,0),"")</f>
        <v/>
      </c>
      <c r="O425" s="692" t="str">
        <f>IFERROR(VLOOKUP(J425,'03. THIẾT BỊ'!$B$1:$U$836,7,0),"")</f>
        <v/>
      </c>
      <c r="P425" s="532"/>
      <c r="Q425" s="532"/>
      <c r="R425" s="532"/>
      <c r="S425" s="532" t="str">
        <f>IFERROR(VLOOKUP(J425,'03. THIẾT BỊ'!$B$1:$S$836,3,0),"")</f>
        <v/>
      </c>
      <c r="T425" s="693"/>
      <c r="U425" s="693"/>
    </row>
    <row r="426" hidden="1">
      <c r="A426" s="692"/>
      <c r="C426" s="532" t="str">
        <f>IFERROR(VLOOKUP(J426,'03. THIẾT BỊ'!$B$1:$U$836,5,0),"")</f>
        <v/>
      </c>
      <c r="D426" s="463"/>
      <c r="E426" s="692"/>
      <c r="F426" s="692"/>
      <c r="G426" s="692"/>
      <c r="H426" s="692" t="str">
        <f>IFERROR(VLOOKUP(J426,'03. THIẾT BỊ'!$B$1:$U$836,19,0),"")</f>
        <v/>
      </c>
      <c r="I426" s="463" t="str">
        <f>IFERROR(VLOOKUP(J426,'03. THIẾT BỊ'!$B$1:$U$836,20,0),"")</f>
        <v/>
      </c>
      <c r="J426" s="464"/>
      <c r="K426" s="757"/>
      <c r="L426" s="759"/>
      <c r="M426" s="759"/>
      <c r="N426" s="692" t="str">
        <f>IFERROR(VLOOKUP(J426,'03. THIẾT BỊ'!$B$1:$U$836,4,0),"")</f>
        <v/>
      </c>
      <c r="O426" s="692" t="str">
        <f>IFERROR(VLOOKUP(J426,'03. THIẾT BỊ'!$B$1:$U$836,7,0),"")</f>
        <v/>
      </c>
      <c r="P426" s="532"/>
      <c r="Q426" s="532"/>
      <c r="R426" s="532"/>
      <c r="S426" s="532" t="str">
        <f>IFERROR(VLOOKUP(J426,'03. THIẾT BỊ'!$B$1:$S$836,3,0),"")</f>
        <v/>
      </c>
      <c r="T426" s="693"/>
      <c r="U426" s="693"/>
    </row>
    <row r="427" hidden="1">
      <c r="A427" s="692"/>
      <c r="C427" s="532" t="str">
        <f>IFERROR(VLOOKUP(J427,'03. THIẾT BỊ'!$B$1:$U$836,5,0),"")</f>
        <v/>
      </c>
      <c r="D427" s="463"/>
      <c r="E427" s="692"/>
      <c r="F427" s="692"/>
      <c r="G427" s="692"/>
      <c r="H427" s="692" t="str">
        <f>IFERROR(VLOOKUP(J427,'03. THIẾT BỊ'!$B$1:$U$836,19,0),"")</f>
        <v/>
      </c>
      <c r="I427" s="463" t="str">
        <f>IFERROR(VLOOKUP(J427,'03. THIẾT BỊ'!$B$1:$U$836,20,0),"")</f>
        <v/>
      </c>
      <c r="J427" s="464"/>
      <c r="K427" s="757"/>
      <c r="L427" s="759"/>
      <c r="M427" s="759"/>
      <c r="N427" s="692" t="str">
        <f>IFERROR(VLOOKUP(J427,'03. THIẾT BỊ'!$B$1:$U$836,4,0),"")</f>
        <v/>
      </c>
      <c r="O427" s="692" t="str">
        <f>IFERROR(VLOOKUP(J427,'03. THIẾT BỊ'!$B$1:$U$836,7,0),"")</f>
        <v/>
      </c>
      <c r="P427" s="532"/>
      <c r="Q427" s="532"/>
      <c r="R427" s="532"/>
      <c r="S427" s="532" t="str">
        <f>IFERROR(VLOOKUP(J427,'03. THIẾT BỊ'!$B$1:$S$836,3,0),"")</f>
        <v/>
      </c>
      <c r="T427" s="693"/>
      <c r="U427" s="693"/>
    </row>
    <row r="428" hidden="1">
      <c r="A428" s="692"/>
      <c r="C428" s="532" t="str">
        <f>IFERROR(VLOOKUP(J428,'03. THIẾT BỊ'!$B$1:$U$836,5,0),"")</f>
        <v/>
      </c>
      <c r="D428" s="463"/>
      <c r="E428" s="692"/>
      <c r="F428" s="692"/>
      <c r="G428" s="692"/>
      <c r="H428" s="692" t="str">
        <f>IFERROR(VLOOKUP(J428,'03. THIẾT BỊ'!$B$1:$U$836,19,0),"")</f>
        <v/>
      </c>
      <c r="I428" s="463" t="str">
        <f>IFERROR(VLOOKUP(J428,'03. THIẾT BỊ'!$B$1:$U$836,20,0),"")</f>
        <v/>
      </c>
      <c r="J428" s="464"/>
      <c r="K428" s="757"/>
      <c r="L428" s="759"/>
      <c r="M428" s="759"/>
      <c r="N428" s="692" t="str">
        <f>IFERROR(VLOOKUP(J428,'03. THIẾT BỊ'!$B$1:$U$836,4,0),"")</f>
        <v/>
      </c>
      <c r="O428" s="692" t="str">
        <f>IFERROR(VLOOKUP(J428,'03. THIẾT BỊ'!$B$1:$U$836,7,0),"")</f>
        <v/>
      </c>
      <c r="P428" s="532"/>
      <c r="Q428" s="532"/>
      <c r="R428" s="532"/>
      <c r="S428" s="532" t="str">
        <f>IFERROR(VLOOKUP(J428,'03. THIẾT BỊ'!$B$1:$S$836,3,0),"")</f>
        <v/>
      </c>
      <c r="T428" s="693"/>
      <c r="U428" s="693"/>
    </row>
    <row r="429" hidden="1">
      <c r="A429" s="692"/>
      <c r="C429" s="532" t="str">
        <f>IFERROR(VLOOKUP(J429,'03. THIẾT BỊ'!$B$1:$U$836,5,0),"")</f>
        <v/>
      </c>
      <c r="D429" s="463"/>
      <c r="E429" s="692"/>
      <c r="F429" s="692"/>
      <c r="G429" s="692"/>
      <c r="H429" s="692" t="str">
        <f>IFERROR(VLOOKUP(J429,'03. THIẾT BỊ'!$B$1:$U$836,19,0),"")</f>
        <v/>
      </c>
      <c r="I429" s="463" t="str">
        <f>IFERROR(VLOOKUP(J429,'03. THIẾT BỊ'!$B$1:$U$836,20,0),"")</f>
        <v/>
      </c>
      <c r="J429" s="464"/>
      <c r="K429" s="757"/>
      <c r="L429" s="759"/>
      <c r="M429" s="759"/>
      <c r="N429" s="692" t="str">
        <f>IFERROR(VLOOKUP(J429,'03. THIẾT BỊ'!$B$1:$U$836,4,0),"")</f>
        <v/>
      </c>
      <c r="O429" s="692" t="str">
        <f>IFERROR(VLOOKUP(J429,'03. THIẾT BỊ'!$B$1:$U$836,7,0),"")</f>
        <v/>
      </c>
      <c r="P429" s="532"/>
      <c r="Q429" s="532"/>
      <c r="R429" s="532"/>
      <c r="S429" s="532" t="str">
        <f>IFERROR(VLOOKUP(J429,'03. THIẾT BỊ'!$B$1:$S$836,3,0),"")</f>
        <v/>
      </c>
      <c r="T429" s="693"/>
      <c r="U429" s="693"/>
    </row>
    <row r="430" hidden="1">
      <c r="A430" s="692"/>
      <c r="C430" s="532" t="str">
        <f>IFERROR(VLOOKUP(J430,'03. THIẾT BỊ'!$B$1:$U$836,5,0),"")</f>
        <v/>
      </c>
      <c r="D430" s="463"/>
      <c r="E430" s="692"/>
      <c r="F430" s="692"/>
      <c r="G430" s="692"/>
      <c r="H430" s="692" t="str">
        <f>IFERROR(VLOOKUP(J430,'03. THIẾT BỊ'!$B$1:$U$836,19,0),"")</f>
        <v/>
      </c>
      <c r="I430" s="463" t="str">
        <f>IFERROR(VLOOKUP(J430,'03. THIẾT BỊ'!$B$1:$U$836,20,0),"")</f>
        <v/>
      </c>
      <c r="J430" s="464"/>
      <c r="K430" s="757"/>
      <c r="L430" s="759"/>
      <c r="M430" s="759"/>
      <c r="N430" s="692" t="str">
        <f>IFERROR(VLOOKUP(J430,'03. THIẾT BỊ'!$B$1:$U$836,4,0),"")</f>
        <v/>
      </c>
      <c r="O430" s="692" t="str">
        <f>IFERROR(VLOOKUP(J430,'03. THIẾT BỊ'!$B$1:$U$836,7,0),"")</f>
        <v/>
      </c>
      <c r="P430" s="532"/>
      <c r="Q430" s="532"/>
      <c r="R430" s="532"/>
      <c r="S430" s="532" t="str">
        <f>IFERROR(VLOOKUP(J430,'03. THIẾT BỊ'!$B$1:$S$836,3,0),"")</f>
        <v/>
      </c>
      <c r="T430" s="693"/>
      <c r="U430" s="693"/>
    </row>
    <row r="431" hidden="1">
      <c r="A431" s="692"/>
      <c r="C431" s="532" t="str">
        <f>IFERROR(VLOOKUP(J431,'03. THIẾT BỊ'!$B$1:$U$836,5,0),"")</f>
        <v/>
      </c>
      <c r="D431" s="463"/>
      <c r="E431" s="692"/>
      <c r="F431" s="692"/>
      <c r="G431" s="692"/>
      <c r="H431" s="692" t="str">
        <f>IFERROR(VLOOKUP(J431,'03. THIẾT BỊ'!$B$1:$U$836,19,0),"")</f>
        <v/>
      </c>
      <c r="I431" s="463" t="str">
        <f>IFERROR(VLOOKUP(J431,'03. THIẾT BỊ'!$B$1:$U$836,20,0),"")</f>
        <v/>
      </c>
      <c r="J431" s="464"/>
      <c r="K431" s="757"/>
      <c r="L431" s="759"/>
      <c r="M431" s="759"/>
      <c r="N431" s="692" t="str">
        <f>IFERROR(VLOOKUP(J431,'03. THIẾT BỊ'!$B$1:$U$836,4,0),"")</f>
        <v/>
      </c>
      <c r="O431" s="692" t="str">
        <f>IFERROR(VLOOKUP(J431,'03. THIẾT BỊ'!$B$1:$U$836,7,0),"")</f>
        <v/>
      </c>
      <c r="P431" s="532"/>
      <c r="Q431" s="532"/>
      <c r="R431" s="532"/>
      <c r="S431" s="532" t="str">
        <f>IFERROR(VLOOKUP(J431,'03. THIẾT BỊ'!$B$1:$S$836,3,0),"")</f>
        <v/>
      </c>
      <c r="T431" s="693"/>
      <c r="U431" s="693"/>
    </row>
    <row r="432" hidden="1">
      <c r="A432" s="692"/>
      <c r="C432" s="532" t="str">
        <f>IFERROR(VLOOKUP(J432,'03. THIẾT BỊ'!$B$1:$U$836,5,0),"")</f>
        <v/>
      </c>
      <c r="D432" s="463"/>
      <c r="E432" s="692"/>
      <c r="F432" s="692"/>
      <c r="G432" s="692"/>
      <c r="H432" s="692" t="str">
        <f>IFERROR(VLOOKUP(J432,'03. THIẾT BỊ'!$B$1:$U$836,19,0),"")</f>
        <v/>
      </c>
      <c r="I432" s="463" t="str">
        <f>IFERROR(VLOOKUP(J432,'03. THIẾT BỊ'!$B$1:$U$836,20,0),"")</f>
        <v/>
      </c>
      <c r="J432" s="464"/>
      <c r="K432" s="757"/>
      <c r="L432" s="759"/>
      <c r="M432" s="759"/>
      <c r="N432" s="692" t="str">
        <f>IFERROR(VLOOKUP(J432,'03. THIẾT BỊ'!$B$1:$U$836,4,0),"")</f>
        <v/>
      </c>
      <c r="O432" s="692" t="str">
        <f>IFERROR(VLOOKUP(J432,'03. THIẾT BỊ'!$B$1:$U$836,7,0),"")</f>
        <v/>
      </c>
      <c r="P432" s="532"/>
      <c r="Q432" s="532"/>
      <c r="R432" s="532"/>
      <c r="S432" s="532" t="str">
        <f>IFERROR(VLOOKUP(J432,'03. THIẾT BỊ'!$B$1:$S$836,3,0),"")</f>
        <v/>
      </c>
      <c r="T432" s="693"/>
      <c r="U432" s="693"/>
    </row>
    <row r="433" hidden="1">
      <c r="A433" s="692"/>
      <c r="C433" s="532" t="str">
        <f>IFERROR(VLOOKUP(J433,'03. THIẾT BỊ'!$B$1:$U$836,5,0),"")</f>
        <v/>
      </c>
      <c r="D433" s="463"/>
      <c r="E433" s="692"/>
      <c r="F433" s="692"/>
      <c r="G433" s="692"/>
      <c r="H433" s="692" t="str">
        <f>IFERROR(VLOOKUP(J433,'03. THIẾT BỊ'!$B$1:$U$836,19,0),"")</f>
        <v/>
      </c>
      <c r="I433" s="463" t="str">
        <f>IFERROR(VLOOKUP(J433,'03. THIẾT BỊ'!$B$1:$U$836,20,0),"")</f>
        <v/>
      </c>
      <c r="J433" s="464"/>
      <c r="K433" s="757"/>
      <c r="L433" s="759"/>
      <c r="M433" s="759"/>
      <c r="N433" s="692" t="str">
        <f>IFERROR(VLOOKUP(J433,'03. THIẾT BỊ'!$B$1:$U$836,4,0),"")</f>
        <v/>
      </c>
      <c r="O433" s="692" t="str">
        <f>IFERROR(VLOOKUP(J433,'03. THIẾT BỊ'!$B$1:$U$836,7,0),"")</f>
        <v/>
      </c>
      <c r="P433" s="532"/>
      <c r="Q433" s="532"/>
      <c r="R433" s="532"/>
      <c r="S433" s="532" t="str">
        <f>IFERROR(VLOOKUP(J433,'03. THIẾT BỊ'!$B$1:$S$836,3,0),"")</f>
        <v/>
      </c>
      <c r="T433" s="693"/>
      <c r="U433" s="693"/>
    </row>
    <row r="434" hidden="1">
      <c r="A434" s="692"/>
      <c r="C434" s="532" t="str">
        <f>IFERROR(VLOOKUP(J434,'03. THIẾT BỊ'!$B$1:$U$836,5,0),"")</f>
        <v/>
      </c>
      <c r="D434" s="463"/>
      <c r="E434" s="692"/>
      <c r="F434" s="692"/>
      <c r="G434" s="692"/>
      <c r="H434" s="692" t="str">
        <f>IFERROR(VLOOKUP(J434,'03. THIẾT BỊ'!$B$1:$U$836,19,0),"")</f>
        <v/>
      </c>
      <c r="I434" s="463" t="str">
        <f>IFERROR(VLOOKUP(J434,'03. THIẾT BỊ'!$B$1:$U$836,20,0),"")</f>
        <v/>
      </c>
      <c r="J434" s="464"/>
      <c r="K434" s="757"/>
      <c r="L434" s="759"/>
      <c r="M434" s="759"/>
      <c r="N434" s="692" t="str">
        <f>IFERROR(VLOOKUP(J434,'03. THIẾT BỊ'!$B$1:$U$836,4,0),"")</f>
        <v/>
      </c>
      <c r="O434" s="692" t="str">
        <f>IFERROR(VLOOKUP(J434,'03. THIẾT BỊ'!$B$1:$U$836,7,0),"")</f>
        <v/>
      </c>
      <c r="P434" s="532"/>
      <c r="Q434" s="532"/>
      <c r="R434" s="532"/>
      <c r="S434" s="532" t="str">
        <f>IFERROR(VLOOKUP(J434,'03. THIẾT BỊ'!$B$1:$S$836,3,0),"")</f>
        <v/>
      </c>
      <c r="T434" s="693"/>
      <c r="U434" s="693"/>
    </row>
    <row r="435" hidden="1">
      <c r="A435" s="692"/>
      <c r="C435" s="532" t="str">
        <f>IFERROR(VLOOKUP(J435,'03. THIẾT BỊ'!$B$1:$U$836,5,0),"")</f>
        <v/>
      </c>
      <c r="D435" s="463"/>
      <c r="E435" s="692"/>
      <c r="F435" s="692"/>
      <c r="G435" s="692"/>
      <c r="H435" s="692" t="str">
        <f>IFERROR(VLOOKUP(J435,'03. THIẾT BỊ'!$B$1:$U$836,19,0),"")</f>
        <v/>
      </c>
      <c r="I435" s="463" t="str">
        <f>IFERROR(VLOOKUP(J435,'03. THIẾT BỊ'!$B$1:$U$836,20,0),"")</f>
        <v/>
      </c>
      <c r="J435" s="464"/>
      <c r="K435" s="757"/>
      <c r="L435" s="759"/>
      <c r="M435" s="759"/>
      <c r="N435" s="692" t="str">
        <f>IFERROR(VLOOKUP(J435,'03. THIẾT BỊ'!$B$1:$U$836,4,0),"")</f>
        <v/>
      </c>
      <c r="O435" s="692" t="str">
        <f>IFERROR(VLOOKUP(J435,'03. THIẾT BỊ'!$B$1:$U$836,7,0),"")</f>
        <v/>
      </c>
      <c r="P435" s="532"/>
      <c r="Q435" s="532"/>
      <c r="R435" s="532"/>
      <c r="S435" s="532" t="str">
        <f>IFERROR(VLOOKUP(J435,'03. THIẾT BỊ'!$B$1:$S$836,3,0),"")</f>
        <v/>
      </c>
      <c r="T435" s="693"/>
      <c r="U435" s="693"/>
    </row>
    <row r="436" hidden="1">
      <c r="A436" s="692"/>
      <c r="C436" s="532" t="str">
        <f>IFERROR(VLOOKUP(J436,'03. THIẾT BỊ'!$B$1:$U$836,5,0),"")</f>
        <v/>
      </c>
      <c r="D436" s="463"/>
      <c r="E436" s="692"/>
      <c r="F436" s="692"/>
      <c r="G436" s="692"/>
      <c r="H436" s="692" t="str">
        <f>IFERROR(VLOOKUP(J436,'03. THIẾT BỊ'!$B$1:$U$836,19,0),"")</f>
        <v/>
      </c>
      <c r="I436" s="463" t="str">
        <f>IFERROR(VLOOKUP(J436,'03. THIẾT BỊ'!$B$1:$U$836,20,0),"")</f>
        <v/>
      </c>
      <c r="J436" s="464"/>
      <c r="K436" s="757"/>
      <c r="L436" s="759"/>
      <c r="M436" s="759"/>
      <c r="N436" s="692" t="str">
        <f>IFERROR(VLOOKUP(J436,'03. THIẾT BỊ'!$B$1:$U$836,4,0),"")</f>
        <v/>
      </c>
      <c r="O436" s="692" t="str">
        <f>IFERROR(VLOOKUP(J436,'03. THIẾT BỊ'!$B$1:$U$836,7,0),"")</f>
        <v/>
      </c>
      <c r="P436" s="532"/>
      <c r="Q436" s="532"/>
      <c r="R436" s="532"/>
      <c r="S436" s="532" t="str">
        <f>IFERROR(VLOOKUP(J436,'03. THIẾT BỊ'!$B$1:$S$836,3,0),"")</f>
        <v/>
      </c>
      <c r="T436" s="693"/>
      <c r="U436" s="693"/>
    </row>
    <row r="437" hidden="1">
      <c r="A437" s="692"/>
      <c r="C437" s="532" t="str">
        <f>IFERROR(VLOOKUP(J437,'03. THIẾT BỊ'!$B$1:$U$836,5,0),"")</f>
        <v/>
      </c>
      <c r="D437" s="463"/>
      <c r="E437" s="692"/>
      <c r="F437" s="692"/>
      <c r="G437" s="692"/>
      <c r="H437" s="692" t="str">
        <f>IFERROR(VLOOKUP(J437,'03. THIẾT BỊ'!$B$1:$U$836,19,0),"")</f>
        <v/>
      </c>
      <c r="I437" s="463" t="str">
        <f>IFERROR(VLOOKUP(J437,'03. THIẾT BỊ'!$B$1:$U$836,20,0),"")</f>
        <v/>
      </c>
      <c r="J437" s="464"/>
      <c r="K437" s="757"/>
      <c r="L437" s="759"/>
      <c r="M437" s="759"/>
      <c r="N437" s="692" t="str">
        <f>IFERROR(VLOOKUP(J437,'03. THIẾT BỊ'!$B$1:$U$836,4,0),"")</f>
        <v/>
      </c>
      <c r="O437" s="692" t="str">
        <f>IFERROR(VLOOKUP(J437,'03. THIẾT BỊ'!$B$1:$U$836,7,0),"")</f>
        <v/>
      </c>
      <c r="P437" s="532"/>
      <c r="Q437" s="532"/>
      <c r="R437" s="532"/>
      <c r="S437" s="532" t="str">
        <f>IFERROR(VLOOKUP(J437,'03. THIẾT BỊ'!$B$1:$S$836,3,0),"")</f>
        <v/>
      </c>
      <c r="T437" s="693"/>
      <c r="U437" s="693"/>
    </row>
    <row r="438" hidden="1">
      <c r="A438" s="692"/>
      <c r="C438" s="532" t="str">
        <f>IFERROR(VLOOKUP(J438,'03. THIẾT BỊ'!$B$1:$U$836,5,0),"")</f>
        <v/>
      </c>
      <c r="D438" s="463"/>
      <c r="E438" s="692"/>
      <c r="F438" s="692"/>
      <c r="G438" s="692"/>
      <c r="H438" s="692" t="str">
        <f>IFERROR(VLOOKUP(J438,'03. THIẾT BỊ'!$B$1:$U$836,19,0),"")</f>
        <v/>
      </c>
      <c r="I438" s="463" t="str">
        <f>IFERROR(VLOOKUP(J438,'03. THIẾT BỊ'!$B$1:$U$836,20,0),"")</f>
        <v/>
      </c>
      <c r="J438" s="464"/>
      <c r="K438" s="757"/>
      <c r="L438" s="759"/>
      <c r="M438" s="759"/>
      <c r="N438" s="692" t="str">
        <f>IFERROR(VLOOKUP(J438,'03. THIẾT BỊ'!$B$1:$U$836,4,0),"")</f>
        <v/>
      </c>
      <c r="O438" s="692" t="str">
        <f>IFERROR(VLOOKUP(J438,'03. THIẾT BỊ'!$B$1:$U$836,7,0),"")</f>
        <v/>
      </c>
      <c r="P438" s="532"/>
      <c r="Q438" s="532"/>
      <c r="R438" s="532"/>
      <c r="S438" s="532" t="str">
        <f>IFERROR(VLOOKUP(J438,'03. THIẾT BỊ'!$B$1:$S$836,3,0),"")</f>
        <v/>
      </c>
      <c r="T438" s="693"/>
      <c r="U438" s="693"/>
    </row>
    <row r="439" hidden="1">
      <c r="A439" s="692"/>
      <c r="C439" s="532" t="str">
        <f>IFERROR(VLOOKUP(J439,'03. THIẾT BỊ'!$B$1:$U$836,5,0),"")</f>
        <v/>
      </c>
      <c r="D439" s="463"/>
      <c r="E439" s="692"/>
      <c r="F439" s="692"/>
      <c r="G439" s="692"/>
      <c r="H439" s="692" t="str">
        <f>IFERROR(VLOOKUP(J439,'03. THIẾT BỊ'!$B$1:$U$836,19,0),"")</f>
        <v/>
      </c>
      <c r="I439" s="463" t="str">
        <f>IFERROR(VLOOKUP(J439,'03. THIẾT BỊ'!$B$1:$U$836,20,0),"")</f>
        <v/>
      </c>
      <c r="J439" s="464"/>
      <c r="K439" s="757"/>
      <c r="L439" s="759"/>
      <c r="M439" s="759"/>
      <c r="N439" s="692" t="str">
        <f>IFERROR(VLOOKUP(J439,'03. THIẾT BỊ'!$B$1:$U$836,4,0),"")</f>
        <v/>
      </c>
      <c r="O439" s="692" t="str">
        <f>IFERROR(VLOOKUP(J439,'03. THIẾT BỊ'!$B$1:$U$836,7,0),"")</f>
        <v/>
      </c>
      <c r="P439" s="532"/>
      <c r="Q439" s="532"/>
      <c r="R439" s="532"/>
      <c r="S439" s="532" t="str">
        <f>IFERROR(VLOOKUP(J439,'03. THIẾT BỊ'!$B$1:$S$836,3,0),"")</f>
        <v/>
      </c>
      <c r="T439" s="693"/>
      <c r="U439" s="693"/>
    </row>
    <row r="440" hidden="1">
      <c r="A440" s="692"/>
      <c r="C440" s="532" t="str">
        <f>IFERROR(VLOOKUP(J440,'03. THIẾT BỊ'!$B$1:$U$836,5,0),"")</f>
        <v/>
      </c>
      <c r="D440" s="463"/>
      <c r="E440" s="692"/>
      <c r="F440" s="692"/>
      <c r="G440" s="692"/>
      <c r="H440" s="692" t="str">
        <f>IFERROR(VLOOKUP(J440,'03. THIẾT BỊ'!$B$1:$U$836,19,0),"")</f>
        <v/>
      </c>
      <c r="I440" s="463" t="str">
        <f>IFERROR(VLOOKUP(J440,'03. THIẾT BỊ'!$B$1:$U$836,20,0),"")</f>
        <v/>
      </c>
      <c r="J440" s="464"/>
      <c r="K440" s="757"/>
      <c r="L440" s="759"/>
      <c r="M440" s="759"/>
      <c r="N440" s="692" t="str">
        <f>IFERROR(VLOOKUP(J440,'03. THIẾT BỊ'!$B$1:$U$836,4,0),"")</f>
        <v/>
      </c>
      <c r="O440" s="692" t="str">
        <f>IFERROR(VLOOKUP(J440,'03. THIẾT BỊ'!$B$1:$U$836,7,0),"")</f>
        <v/>
      </c>
      <c r="P440" s="532"/>
      <c r="Q440" s="532"/>
      <c r="R440" s="532"/>
      <c r="S440" s="532" t="str">
        <f>IFERROR(VLOOKUP(J440,'03. THIẾT BỊ'!$B$1:$S$836,3,0),"")</f>
        <v/>
      </c>
      <c r="T440" s="693"/>
      <c r="U440" s="693"/>
    </row>
    <row r="441" hidden="1">
      <c r="A441" s="692"/>
      <c r="C441" s="532" t="str">
        <f>IFERROR(VLOOKUP(J441,'03. THIẾT BỊ'!$B$1:$U$836,5,0),"")</f>
        <v/>
      </c>
      <c r="D441" s="463"/>
      <c r="E441" s="692"/>
      <c r="F441" s="692"/>
      <c r="G441" s="692"/>
      <c r="H441" s="692" t="str">
        <f>IFERROR(VLOOKUP(J441,'03. THIẾT BỊ'!$B$1:$U$836,19,0),"")</f>
        <v/>
      </c>
      <c r="I441" s="463" t="str">
        <f>IFERROR(VLOOKUP(J441,'03. THIẾT BỊ'!$B$1:$U$836,20,0),"")</f>
        <v/>
      </c>
      <c r="J441" s="464"/>
      <c r="K441" s="757"/>
      <c r="L441" s="759"/>
      <c r="M441" s="759"/>
      <c r="N441" s="692" t="str">
        <f>IFERROR(VLOOKUP(J441,'03. THIẾT BỊ'!$B$1:$U$836,4,0),"")</f>
        <v/>
      </c>
      <c r="O441" s="692" t="str">
        <f>IFERROR(VLOOKUP(J441,'03. THIẾT BỊ'!$B$1:$U$836,7,0),"")</f>
        <v/>
      </c>
      <c r="P441" s="532"/>
      <c r="Q441" s="532"/>
      <c r="R441" s="532"/>
      <c r="S441" s="532" t="str">
        <f>IFERROR(VLOOKUP(J441,'03. THIẾT BỊ'!$B$1:$S$836,3,0),"")</f>
        <v/>
      </c>
      <c r="T441" s="693"/>
      <c r="U441" s="693"/>
    </row>
    <row r="442" hidden="1">
      <c r="A442" s="692"/>
      <c r="C442" s="532" t="str">
        <f>IFERROR(VLOOKUP(J442,'03. THIẾT BỊ'!$B$1:$U$836,5,0),"")</f>
        <v/>
      </c>
      <c r="D442" s="463"/>
      <c r="E442" s="692"/>
      <c r="F442" s="692"/>
      <c r="G442" s="692"/>
      <c r="H442" s="692" t="str">
        <f>IFERROR(VLOOKUP(J442,'03. THIẾT BỊ'!$B$1:$U$836,19,0),"")</f>
        <v/>
      </c>
      <c r="I442" s="463" t="str">
        <f>IFERROR(VLOOKUP(J442,'03. THIẾT BỊ'!$B$1:$U$836,20,0),"")</f>
        <v/>
      </c>
      <c r="J442" s="464"/>
      <c r="K442" s="757"/>
      <c r="L442" s="759"/>
      <c r="M442" s="759"/>
      <c r="N442" s="692" t="str">
        <f>IFERROR(VLOOKUP(J442,'03. THIẾT BỊ'!$B$1:$U$836,4,0),"")</f>
        <v/>
      </c>
      <c r="O442" s="692" t="str">
        <f>IFERROR(VLOOKUP(J442,'03. THIẾT BỊ'!$B$1:$U$836,7,0),"")</f>
        <v/>
      </c>
      <c r="P442" s="532"/>
      <c r="Q442" s="532"/>
      <c r="R442" s="532"/>
      <c r="S442" s="532" t="str">
        <f>IFERROR(VLOOKUP(J442,'03. THIẾT BỊ'!$B$1:$S$836,3,0),"")</f>
        <v/>
      </c>
      <c r="T442" s="693"/>
      <c r="U442" s="693"/>
    </row>
    <row r="443" hidden="1">
      <c r="A443" s="692"/>
      <c r="C443" s="532" t="str">
        <f>IFERROR(VLOOKUP(J443,'03. THIẾT BỊ'!$B$1:$U$836,5,0),"")</f>
        <v/>
      </c>
      <c r="D443" s="463"/>
      <c r="E443" s="692"/>
      <c r="F443" s="692"/>
      <c r="G443" s="692"/>
      <c r="H443" s="692" t="str">
        <f>IFERROR(VLOOKUP(J443,'03. THIẾT BỊ'!$B$1:$U$836,19,0),"")</f>
        <v/>
      </c>
      <c r="I443" s="463" t="str">
        <f>IFERROR(VLOOKUP(J443,'03. THIẾT BỊ'!$B$1:$U$836,20,0),"")</f>
        <v/>
      </c>
      <c r="J443" s="464"/>
      <c r="K443" s="757"/>
      <c r="L443" s="759"/>
      <c r="M443" s="759"/>
      <c r="N443" s="692" t="str">
        <f>IFERROR(VLOOKUP(J443,'03. THIẾT BỊ'!$B$1:$U$836,4,0),"")</f>
        <v/>
      </c>
      <c r="O443" s="692" t="str">
        <f>IFERROR(VLOOKUP(J443,'03. THIẾT BỊ'!$B$1:$U$836,7,0),"")</f>
        <v/>
      </c>
      <c r="P443" s="532"/>
      <c r="Q443" s="532"/>
      <c r="R443" s="532"/>
      <c r="S443" s="532" t="str">
        <f>IFERROR(VLOOKUP(J443,'03. THIẾT BỊ'!$B$1:$S$836,3,0),"")</f>
        <v/>
      </c>
      <c r="T443" s="693"/>
      <c r="U443" s="693"/>
    </row>
    <row r="444" hidden="1">
      <c r="A444" s="692"/>
      <c r="C444" s="532" t="str">
        <f>IFERROR(VLOOKUP(J444,'03. THIẾT BỊ'!$B$1:$U$836,5,0),"")</f>
        <v/>
      </c>
      <c r="D444" s="463"/>
      <c r="E444" s="692"/>
      <c r="F444" s="692"/>
      <c r="G444" s="692"/>
      <c r="H444" s="692" t="str">
        <f>IFERROR(VLOOKUP(J444,'03. THIẾT BỊ'!$B$1:$U$836,19,0),"")</f>
        <v/>
      </c>
      <c r="I444" s="463" t="str">
        <f>IFERROR(VLOOKUP(J444,'03. THIẾT BỊ'!$B$1:$U$836,20,0),"")</f>
        <v/>
      </c>
      <c r="J444" s="464"/>
      <c r="K444" s="757"/>
      <c r="L444" s="759"/>
      <c r="M444" s="759"/>
      <c r="N444" s="692" t="str">
        <f>IFERROR(VLOOKUP(J444,'03. THIẾT BỊ'!$B$1:$U$836,4,0),"")</f>
        <v/>
      </c>
      <c r="O444" s="692" t="str">
        <f>IFERROR(VLOOKUP(J444,'03. THIẾT BỊ'!$B$1:$U$836,7,0),"")</f>
        <v/>
      </c>
      <c r="P444" s="532"/>
      <c r="Q444" s="532"/>
      <c r="R444" s="532"/>
      <c r="S444" s="532" t="str">
        <f>IFERROR(VLOOKUP(J444,'03. THIẾT BỊ'!$B$1:$S$836,3,0),"")</f>
        <v/>
      </c>
      <c r="T444" s="693"/>
      <c r="U444" s="693"/>
    </row>
    <row r="445" hidden="1">
      <c r="A445" s="692"/>
      <c r="C445" s="532" t="str">
        <f>IFERROR(VLOOKUP(J445,'03. THIẾT BỊ'!$B$1:$U$836,5,0),"")</f>
        <v/>
      </c>
      <c r="D445" s="463"/>
      <c r="E445" s="692"/>
      <c r="F445" s="692"/>
      <c r="G445" s="692"/>
      <c r="H445" s="692" t="str">
        <f>IFERROR(VLOOKUP(J445,'03. THIẾT BỊ'!$B$1:$U$836,19,0),"")</f>
        <v/>
      </c>
      <c r="I445" s="463" t="str">
        <f>IFERROR(VLOOKUP(J445,'03. THIẾT BỊ'!$B$1:$U$836,20,0),"")</f>
        <v/>
      </c>
      <c r="J445" s="464"/>
      <c r="K445" s="757"/>
      <c r="L445" s="759"/>
      <c r="M445" s="759"/>
      <c r="N445" s="692" t="str">
        <f>IFERROR(VLOOKUP(J445,'03. THIẾT BỊ'!$B$1:$U$836,4,0),"")</f>
        <v/>
      </c>
      <c r="O445" s="692" t="str">
        <f>IFERROR(VLOOKUP(J445,'03. THIẾT BỊ'!$B$1:$U$836,7,0),"")</f>
        <v/>
      </c>
      <c r="P445" s="532"/>
      <c r="Q445" s="532"/>
      <c r="R445" s="532"/>
      <c r="S445" s="532" t="str">
        <f>IFERROR(VLOOKUP(J445,'03. THIẾT BỊ'!$B$1:$S$836,3,0),"")</f>
        <v/>
      </c>
      <c r="T445" s="693"/>
      <c r="U445" s="693"/>
    </row>
    <row r="446" hidden="1">
      <c r="A446" s="692"/>
      <c r="C446" s="532" t="str">
        <f>IFERROR(VLOOKUP(J446,'03. THIẾT BỊ'!$B$1:$U$836,5,0),"")</f>
        <v/>
      </c>
      <c r="D446" s="463"/>
      <c r="E446" s="692"/>
      <c r="F446" s="692"/>
      <c r="G446" s="692"/>
      <c r="H446" s="692" t="str">
        <f>IFERROR(VLOOKUP(J446,'03. THIẾT BỊ'!$B$1:$U$836,19,0),"")</f>
        <v/>
      </c>
      <c r="I446" s="463" t="str">
        <f>IFERROR(VLOOKUP(J446,'03. THIẾT BỊ'!$B$1:$U$836,20,0),"")</f>
        <v/>
      </c>
      <c r="J446" s="464"/>
      <c r="K446" s="757"/>
      <c r="L446" s="759"/>
      <c r="M446" s="759"/>
      <c r="N446" s="692" t="str">
        <f>IFERROR(VLOOKUP(J446,'03. THIẾT BỊ'!$B$1:$U$836,4,0),"")</f>
        <v/>
      </c>
      <c r="O446" s="692" t="str">
        <f>IFERROR(VLOOKUP(J446,'03. THIẾT BỊ'!$B$1:$U$836,7,0),"")</f>
        <v/>
      </c>
      <c r="P446" s="532"/>
      <c r="Q446" s="532"/>
      <c r="R446" s="532"/>
      <c r="S446" s="532" t="str">
        <f>IFERROR(VLOOKUP(J446,'03. THIẾT BỊ'!$B$1:$S$836,3,0),"")</f>
        <v/>
      </c>
      <c r="T446" s="693"/>
      <c r="U446" s="693"/>
    </row>
    <row r="447" hidden="1">
      <c r="A447" s="692"/>
      <c r="C447" s="532" t="str">
        <f>IFERROR(VLOOKUP(J447,'03. THIẾT BỊ'!$B$1:$U$836,5,0),"")</f>
        <v/>
      </c>
      <c r="D447" s="463"/>
      <c r="E447" s="692"/>
      <c r="F447" s="692"/>
      <c r="G447" s="692"/>
      <c r="H447" s="692" t="str">
        <f>IFERROR(VLOOKUP(J447,'03. THIẾT BỊ'!$B$1:$U$836,19,0),"")</f>
        <v/>
      </c>
      <c r="I447" s="463" t="str">
        <f>IFERROR(VLOOKUP(J447,'03. THIẾT BỊ'!$B$1:$U$836,20,0),"")</f>
        <v/>
      </c>
      <c r="J447" s="464"/>
      <c r="K447" s="757"/>
      <c r="L447" s="759"/>
      <c r="M447" s="759"/>
      <c r="N447" s="692" t="str">
        <f>IFERROR(VLOOKUP(J447,'03. THIẾT BỊ'!$B$1:$U$836,4,0),"")</f>
        <v/>
      </c>
      <c r="O447" s="692" t="str">
        <f>IFERROR(VLOOKUP(J447,'03. THIẾT BỊ'!$B$1:$U$836,7,0),"")</f>
        <v/>
      </c>
      <c r="P447" s="532"/>
      <c r="Q447" s="532"/>
      <c r="R447" s="532"/>
      <c r="S447" s="532" t="str">
        <f>IFERROR(VLOOKUP(J447,'03. THIẾT BỊ'!$B$1:$S$836,3,0),"")</f>
        <v/>
      </c>
      <c r="T447" s="693"/>
      <c r="U447" s="693"/>
    </row>
    <row r="448" hidden="1">
      <c r="A448" s="692"/>
      <c r="C448" s="532" t="str">
        <f>IFERROR(VLOOKUP(J448,'03. THIẾT BỊ'!$B$1:$U$836,5,0),"")</f>
        <v/>
      </c>
      <c r="D448" s="463"/>
      <c r="E448" s="692"/>
      <c r="F448" s="692"/>
      <c r="G448" s="692"/>
      <c r="H448" s="692" t="str">
        <f>IFERROR(VLOOKUP(J448,'03. THIẾT BỊ'!$B$1:$U$836,19,0),"")</f>
        <v/>
      </c>
      <c r="I448" s="463" t="str">
        <f>IFERROR(VLOOKUP(J448,'03. THIẾT BỊ'!$B$1:$U$836,20,0),"")</f>
        <v/>
      </c>
      <c r="J448" s="464"/>
      <c r="K448" s="757"/>
      <c r="L448" s="759"/>
      <c r="M448" s="759"/>
      <c r="N448" s="692" t="str">
        <f>IFERROR(VLOOKUP(J448,'03. THIẾT BỊ'!$B$1:$U$836,4,0),"")</f>
        <v/>
      </c>
      <c r="O448" s="692" t="str">
        <f>IFERROR(VLOOKUP(J448,'03. THIẾT BỊ'!$B$1:$U$836,7,0),"")</f>
        <v/>
      </c>
      <c r="P448" s="532"/>
      <c r="Q448" s="532"/>
      <c r="R448" s="532"/>
      <c r="S448" s="532" t="str">
        <f>IFERROR(VLOOKUP(J448,'03. THIẾT BỊ'!$B$1:$S$836,3,0),"")</f>
        <v/>
      </c>
      <c r="T448" s="693"/>
      <c r="U448" s="693"/>
    </row>
    <row r="449" hidden="1">
      <c r="A449" s="692"/>
      <c r="C449" s="532" t="str">
        <f>IFERROR(VLOOKUP(J449,'03. THIẾT BỊ'!$B$1:$U$836,5,0),"")</f>
        <v/>
      </c>
      <c r="D449" s="463"/>
      <c r="E449" s="692"/>
      <c r="F449" s="692"/>
      <c r="G449" s="692"/>
      <c r="H449" s="692" t="str">
        <f>IFERROR(VLOOKUP(J449,'03. THIẾT BỊ'!$B$1:$U$836,19,0),"")</f>
        <v/>
      </c>
      <c r="I449" s="463" t="str">
        <f>IFERROR(VLOOKUP(J449,'03. THIẾT BỊ'!$B$1:$U$836,20,0),"")</f>
        <v/>
      </c>
      <c r="J449" s="464"/>
      <c r="K449" s="757"/>
      <c r="L449" s="759"/>
      <c r="M449" s="759"/>
      <c r="N449" s="692" t="str">
        <f>IFERROR(VLOOKUP(J449,'03. THIẾT BỊ'!$B$1:$U$836,4,0),"")</f>
        <v/>
      </c>
      <c r="O449" s="692" t="str">
        <f>IFERROR(VLOOKUP(J449,'03. THIẾT BỊ'!$B$1:$U$836,7,0),"")</f>
        <v/>
      </c>
      <c r="P449" s="532"/>
      <c r="Q449" s="532"/>
      <c r="R449" s="532"/>
      <c r="S449" s="532" t="str">
        <f>IFERROR(VLOOKUP(J449,'03. THIẾT BỊ'!$B$1:$S$836,3,0),"")</f>
        <v/>
      </c>
      <c r="T449" s="693"/>
      <c r="U449" s="693"/>
    </row>
    <row r="450" hidden="1">
      <c r="A450" s="692"/>
      <c r="C450" s="532" t="str">
        <f>IFERROR(VLOOKUP(J450,'03. THIẾT BỊ'!$B$1:$U$836,5,0),"")</f>
        <v/>
      </c>
      <c r="D450" s="463"/>
      <c r="E450" s="692"/>
      <c r="F450" s="692"/>
      <c r="G450" s="692"/>
      <c r="H450" s="692" t="str">
        <f>IFERROR(VLOOKUP(J450,'03. THIẾT BỊ'!$B$1:$U$836,19,0),"")</f>
        <v/>
      </c>
      <c r="I450" s="463" t="str">
        <f>IFERROR(VLOOKUP(J450,'03. THIẾT BỊ'!$B$1:$U$836,20,0),"")</f>
        <v/>
      </c>
      <c r="J450" s="464"/>
      <c r="K450" s="757"/>
      <c r="L450" s="759"/>
      <c r="M450" s="759"/>
      <c r="N450" s="692" t="str">
        <f>IFERROR(VLOOKUP(J450,'03. THIẾT BỊ'!$B$1:$U$836,4,0),"")</f>
        <v/>
      </c>
      <c r="O450" s="692" t="str">
        <f>IFERROR(VLOOKUP(J450,'03. THIẾT BỊ'!$B$1:$U$836,7,0),"")</f>
        <v/>
      </c>
      <c r="P450" s="532"/>
      <c r="Q450" s="532"/>
      <c r="R450" s="532"/>
      <c r="S450" s="532" t="str">
        <f>IFERROR(VLOOKUP(J450,'03. THIẾT BỊ'!$B$1:$S$836,3,0),"")</f>
        <v/>
      </c>
      <c r="T450" s="693"/>
      <c r="U450" s="693"/>
    </row>
    <row r="451" hidden="1">
      <c r="A451" s="692"/>
      <c r="C451" s="532" t="str">
        <f>IFERROR(VLOOKUP(J451,'03. THIẾT BỊ'!$B$1:$U$836,5,0),"")</f>
        <v/>
      </c>
      <c r="D451" s="463"/>
      <c r="E451" s="692"/>
      <c r="F451" s="692"/>
      <c r="G451" s="692"/>
      <c r="H451" s="692" t="str">
        <f>IFERROR(VLOOKUP(J451,'03. THIẾT BỊ'!$B$1:$U$836,19,0),"")</f>
        <v/>
      </c>
      <c r="I451" s="463" t="str">
        <f>IFERROR(VLOOKUP(J451,'03. THIẾT BỊ'!$B$1:$U$836,20,0),"")</f>
        <v/>
      </c>
      <c r="J451" s="464"/>
      <c r="K451" s="757"/>
      <c r="L451" s="759"/>
      <c r="M451" s="759"/>
      <c r="N451" s="692" t="str">
        <f>IFERROR(VLOOKUP(J451,'03. THIẾT BỊ'!$B$1:$U$836,4,0),"")</f>
        <v/>
      </c>
      <c r="O451" s="692" t="str">
        <f>IFERROR(VLOOKUP(J451,'03. THIẾT BỊ'!$B$1:$U$836,7,0),"")</f>
        <v/>
      </c>
      <c r="P451" s="532"/>
      <c r="Q451" s="532"/>
      <c r="R451" s="532"/>
      <c r="S451" s="532" t="str">
        <f>IFERROR(VLOOKUP(J451,'03. THIẾT BỊ'!$B$1:$S$836,3,0),"")</f>
        <v/>
      </c>
      <c r="T451" s="693"/>
      <c r="U451" s="693"/>
    </row>
    <row r="452" hidden="1">
      <c r="A452" s="692"/>
      <c r="C452" s="532" t="str">
        <f>IFERROR(VLOOKUP(J452,'03. THIẾT BỊ'!$B$1:$U$836,5,0),"")</f>
        <v/>
      </c>
      <c r="D452" s="463"/>
      <c r="E452" s="692"/>
      <c r="F452" s="692"/>
      <c r="G452" s="692"/>
      <c r="H452" s="692" t="str">
        <f>IFERROR(VLOOKUP(J452,'03. THIẾT BỊ'!$B$1:$U$836,19,0),"")</f>
        <v/>
      </c>
      <c r="I452" s="463" t="str">
        <f>IFERROR(VLOOKUP(J452,'03. THIẾT BỊ'!$B$1:$U$836,20,0),"")</f>
        <v/>
      </c>
      <c r="J452" s="464"/>
      <c r="K452" s="757"/>
      <c r="L452" s="759"/>
      <c r="M452" s="759"/>
      <c r="N452" s="692" t="str">
        <f>IFERROR(VLOOKUP(J452,'03. THIẾT BỊ'!$B$1:$U$836,4,0),"")</f>
        <v/>
      </c>
      <c r="O452" s="692" t="str">
        <f>IFERROR(VLOOKUP(J452,'03. THIẾT BỊ'!$B$1:$U$836,7,0),"")</f>
        <v/>
      </c>
      <c r="P452" s="532"/>
      <c r="Q452" s="532"/>
      <c r="R452" s="532"/>
      <c r="S452" s="532" t="str">
        <f>IFERROR(VLOOKUP(J452,'03. THIẾT BỊ'!$B$1:$S$836,3,0),"")</f>
        <v/>
      </c>
      <c r="T452" s="693"/>
      <c r="U452" s="693"/>
    </row>
    <row r="453" hidden="1">
      <c r="A453" s="692"/>
      <c r="C453" s="532" t="str">
        <f>IFERROR(VLOOKUP(J453,'03. THIẾT BỊ'!$B$1:$U$836,5,0),"")</f>
        <v/>
      </c>
      <c r="D453" s="463"/>
      <c r="E453" s="692"/>
      <c r="F453" s="692"/>
      <c r="G453" s="692"/>
      <c r="H453" s="692" t="str">
        <f>IFERROR(VLOOKUP(J453,'03. THIẾT BỊ'!$B$1:$U$836,19,0),"")</f>
        <v/>
      </c>
      <c r="I453" s="463" t="str">
        <f>IFERROR(VLOOKUP(J453,'03. THIẾT BỊ'!$B$1:$U$836,20,0),"")</f>
        <v/>
      </c>
      <c r="J453" s="464"/>
      <c r="K453" s="757"/>
      <c r="L453" s="759"/>
      <c r="M453" s="759"/>
      <c r="N453" s="692" t="str">
        <f>IFERROR(VLOOKUP(J453,'03. THIẾT BỊ'!$B$1:$U$836,4,0),"")</f>
        <v/>
      </c>
      <c r="O453" s="692" t="str">
        <f>IFERROR(VLOOKUP(J453,'03. THIẾT BỊ'!$B$1:$U$836,7,0),"")</f>
        <v/>
      </c>
      <c r="P453" s="532"/>
      <c r="Q453" s="532"/>
      <c r="R453" s="532"/>
      <c r="S453" s="532" t="str">
        <f>IFERROR(VLOOKUP(J453,'03. THIẾT BỊ'!$B$1:$S$836,3,0),"")</f>
        <v/>
      </c>
      <c r="T453" s="693"/>
      <c r="U453" s="693"/>
    </row>
    <row r="454" hidden="1">
      <c r="A454" s="692"/>
      <c r="C454" s="532" t="str">
        <f>IFERROR(VLOOKUP(J454,'03. THIẾT BỊ'!$B$1:$U$836,5,0),"")</f>
        <v/>
      </c>
      <c r="D454" s="463"/>
      <c r="E454" s="692"/>
      <c r="F454" s="692"/>
      <c r="G454" s="692"/>
      <c r="H454" s="692" t="str">
        <f>IFERROR(VLOOKUP(J454,'03. THIẾT BỊ'!$B$1:$U$836,19,0),"")</f>
        <v/>
      </c>
      <c r="I454" s="463" t="str">
        <f>IFERROR(VLOOKUP(J454,'03. THIẾT BỊ'!$B$1:$U$836,20,0),"")</f>
        <v/>
      </c>
      <c r="J454" s="464"/>
      <c r="K454" s="757"/>
      <c r="L454" s="759"/>
      <c r="M454" s="759"/>
      <c r="N454" s="692" t="str">
        <f>IFERROR(VLOOKUP(J454,'03. THIẾT BỊ'!$B$1:$U$836,4,0),"")</f>
        <v/>
      </c>
      <c r="O454" s="692" t="str">
        <f>IFERROR(VLOOKUP(J454,'03. THIẾT BỊ'!$B$1:$U$836,7,0),"")</f>
        <v/>
      </c>
      <c r="P454" s="532"/>
      <c r="Q454" s="532"/>
      <c r="R454" s="532"/>
      <c r="S454" s="532" t="str">
        <f>IFERROR(VLOOKUP(J454,'03. THIẾT BỊ'!$B$1:$S$836,3,0),"")</f>
        <v/>
      </c>
      <c r="T454" s="693"/>
      <c r="U454" s="693"/>
    </row>
    <row r="455" hidden="1">
      <c r="A455" s="692"/>
      <c r="C455" s="532" t="str">
        <f>IFERROR(VLOOKUP(J455,'03. THIẾT BỊ'!$B$1:$U$836,5,0),"")</f>
        <v/>
      </c>
      <c r="D455" s="463"/>
      <c r="E455" s="692"/>
      <c r="F455" s="692"/>
      <c r="G455" s="692"/>
      <c r="H455" s="692" t="str">
        <f>IFERROR(VLOOKUP(J455,'03. THIẾT BỊ'!$B$1:$U$836,19,0),"")</f>
        <v/>
      </c>
      <c r="I455" s="463" t="str">
        <f>IFERROR(VLOOKUP(J455,'03. THIẾT BỊ'!$B$1:$U$836,20,0),"")</f>
        <v/>
      </c>
      <c r="J455" s="464"/>
      <c r="K455" s="757"/>
      <c r="L455" s="759"/>
      <c r="M455" s="759"/>
      <c r="N455" s="692" t="str">
        <f>IFERROR(VLOOKUP(J455,'03. THIẾT BỊ'!$B$1:$U$836,4,0),"")</f>
        <v/>
      </c>
      <c r="O455" s="692" t="str">
        <f>IFERROR(VLOOKUP(J455,'03. THIẾT BỊ'!$B$1:$U$836,7,0),"")</f>
        <v/>
      </c>
      <c r="P455" s="532"/>
      <c r="Q455" s="532"/>
      <c r="R455" s="532"/>
      <c r="S455" s="532" t="str">
        <f>IFERROR(VLOOKUP(J455,'03. THIẾT BỊ'!$B$1:$S$836,3,0),"")</f>
        <v/>
      </c>
      <c r="T455" s="693"/>
      <c r="U455" s="693"/>
    </row>
    <row r="456" hidden="1">
      <c r="A456" s="692"/>
      <c r="C456" s="532" t="str">
        <f>IFERROR(VLOOKUP(J456,'03. THIẾT BỊ'!$B$1:$U$836,5,0),"")</f>
        <v/>
      </c>
      <c r="D456" s="463"/>
      <c r="E456" s="692"/>
      <c r="F456" s="692"/>
      <c r="G456" s="692"/>
      <c r="H456" s="692" t="str">
        <f>IFERROR(VLOOKUP(J456,'03. THIẾT BỊ'!$B$1:$U$836,19,0),"")</f>
        <v/>
      </c>
      <c r="I456" s="463" t="str">
        <f>IFERROR(VLOOKUP(J456,'03. THIẾT BỊ'!$B$1:$U$836,20,0),"")</f>
        <v/>
      </c>
      <c r="J456" s="464"/>
      <c r="K456" s="757"/>
      <c r="L456" s="759"/>
      <c r="M456" s="759"/>
      <c r="N456" s="692" t="str">
        <f>IFERROR(VLOOKUP(J456,'03. THIẾT BỊ'!$B$1:$U$836,4,0),"")</f>
        <v/>
      </c>
      <c r="O456" s="692" t="str">
        <f>IFERROR(VLOOKUP(J456,'03. THIẾT BỊ'!$B$1:$U$836,7,0),"")</f>
        <v/>
      </c>
      <c r="P456" s="532"/>
      <c r="Q456" s="532"/>
      <c r="R456" s="532"/>
      <c r="S456" s="532" t="str">
        <f>IFERROR(VLOOKUP(J456,'03. THIẾT BỊ'!$B$1:$S$836,3,0),"")</f>
        <v/>
      </c>
      <c r="T456" s="693"/>
      <c r="U456" s="693"/>
    </row>
    <row r="457" hidden="1">
      <c r="A457" s="692"/>
      <c r="C457" s="532" t="str">
        <f>IFERROR(VLOOKUP(J457,'03. THIẾT BỊ'!$B$1:$U$836,5,0),"")</f>
        <v/>
      </c>
      <c r="D457" s="463"/>
      <c r="E457" s="692"/>
      <c r="F457" s="692"/>
      <c r="G457" s="692"/>
      <c r="H457" s="692" t="str">
        <f>IFERROR(VLOOKUP(J457,'03. THIẾT BỊ'!$B$1:$U$836,19,0),"")</f>
        <v/>
      </c>
      <c r="I457" s="463" t="str">
        <f>IFERROR(VLOOKUP(J457,'03. THIẾT BỊ'!$B$1:$U$836,20,0),"")</f>
        <v/>
      </c>
      <c r="J457" s="464"/>
      <c r="K457" s="757"/>
      <c r="L457" s="759"/>
      <c r="M457" s="759"/>
      <c r="N457" s="692" t="str">
        <f>IFERROR(VLOOKUP(J457,'03. THIẾT BỊ'!$B$1:$U$836,4,0),"")</f>
        <v/>
      </c>
      <c r="O457" s="692" t="str">
        <f>IFERROR(VLOOKUP(J457,'03. THIẾT BỊ'!$B$1:$U$836,7,0),"")</f>
        <v/>
      </c>
      <c r="P457" s="532"/>
      <c r="Q457" s="532"/>
      <c r="R457" s="532"/>
      <c r="S457" s="532" t="str">
        <f>IFERROR(VLOOKUP(J457,'03. THIẾT BỊ'!$B$1:$S$836,3,0),"")</f>
        <v/>
      </c>
      <c r="T457" s="693"/>
      <c r="U457" s="693"/>
    </row>
    <row r="458" hidden="1">
      <c r="A458" s="692"/>
      <c r="C458" s="532" t="str">
        <f>IFERROR(VLOOKUP(J458,'03. THIẾT BỊ'!$B$1:$U$836,5,0),"")</f>
        <v/>
      </c>
      <c r="D458" s="463"/>
      <c r="E458" s="692"/>
      <c r="F458" s="692"/>
      <c r="G458" s="692"/>
      <c r="H458" s="692" t="str">
        <f>IFERROR(VLOOKUP(J458,'03. THIẾT BỊ'!$B$1:$U$836,19,0),"")</f>
        <v/>
      </c>
      <c r="I458" s="463" t="str">
        <f>IFERROR(VLOOKUP(J458,'03. THIẾT BỊ'!$B$1:$U$836,20,0),"")</f>
        <v/>
      </c>
      <c r="J458" s="464"/>
      <c r="K458" s="757"/>
      <c r="L458" s="759"/>
      <c r="M458" s="759"/>
      <c r="N458" s="692" t="str">
        <f>IFERROR(VLOOKUP(J458,'03. THIẾT BỊ'!$B$1:$U$836,4,0),"")</f>
        <v/>
      </c>
      <c r="O458" s="692" t="str">
        <f>IFERROR(VLOOKUP(J458,'03. THIẾT BỊ'!$B$1:$U$836,7,0),"")</f>
        <v/>
      </c>
      <c r="P458" s="532"/>
      <c r="Q458" s="532"/>
      <c r="R458" s="532"/>
      <c r="S458" s="532" t="str">
        <f>IFERROR(VLOOKUP(J458,'03. THIẾT BỊ'!$B$1:$S$836,3,0),"")</f>
        <v/>
      </c>
      <c r="T458" s="693"/>
      <c r="U458" s="693"/>
    </row>
    <row r="459" hidden="1">
      <c r="A459" s="692"/>
      <c r="C459" s="532" t="str">
        <f>IFERROR(VLOOKUP(J459,'03. THIẾT BỊ'!$B$1:$U$836,5,0),"")</f>
        <v/>
      </c>
      <c r="D459" s="463"/>
      <c r="E459" s="692"/>
      <c r="F459" s="692"/>
      <c r="G459" s="692"/>
      <c r="H459" s="692" t="str">
        <f>IFERROR(VLOOKUP(J459,'03. THIẾT BỊ'!$B$1:$U$836,19,0),"")</f>
        <v/>
      </c>
      <c r="I459" s="463" t="str">
        <f>IFERROR(VLOOKUP(J459,'03. THIẾT BỊ'!$B$1:$U$836,20,0),"")</f>
        <v/>
      </c>
      <c r="J459" s="464"/>
      <c r="K459" s="757"/>
      <c r="L459" s="759"/>
      <c r="M459" s="759"/>
      <c r="N459" s="692" t="str">
        <f>IFERROR(VLOOKUP(J459,'03. THIẾT BỊ'!$B$1:$U$836,4,0),"")</f>
        <v/>
      </c>
      <c r="O459" s="692" t="str">
        <f>IFERROR(VLOOKUP(J459,'03. THIẾT BỊ'!$B$1:$U$836,7,0),"")</f>
        <v/>
      </c>
      <c r="P459" s="532"/>
      <c r="Q459" s="532"/>
      <c r="R459" s="532"/>
      <c r="S459" s="532" t="str">
        <f>IFERROR(VLOOKUP(J459,'03. THIẾT BỊ'!$B$1:$S$836,3,0),"")</f>
        <v/>
      </c>
      <c r="T459" s="693"/>
      <c r="U459" s="693"/>
    </row>
    <row r="460" hidden="1">
      <c r="A460" s="692"/>
      <c r="C460" s="532" t="str">
        <f>IFERROR(VLOOKUP(J460,'03. THIẾT BỊ'!$B$1:$U$836,5,0),"")</f>
        <v/>
      </c>
      <c r="D460" s="463"/>
      <c r="E460" s="692"/>
      <c r="F460" s="692"/>
      <c r="G460" s="692"/>
      <c r="H460" s="692" t="str">
        <f>IFERROR(VLOOKUP(J460,'03. THIẾT BỊ'!$B$1:$U$836,19,0),"")</f>
        <v/>
      </c>
      <c r="I460" s="463" t="str">
        <f>IFERROR(VLOOKUP(J460,'03. THIẾT BỊ'!$B$1:$U$836,20,0),"")</f>
        <v/>
      </c>
      <c r="J460" s="464"/>
      <c r="K460" s="757"/>
      <c r="L460" s="759"/>
      <c r="M460" s="759"/>
      <c r="N460" s="692" t="str">
        <f>IFERROR(VLOOKUP(J460,'03. THIẾT BỊ'!$B$1:$U$836,4,0),"")</f>
        <v/>
      </c>
      <c r="O460" s="692" t="str">
        <f>IFERROR(VLOOKUP(J460,'03. THIẾT BỊ'!$B$1:$U$836,7,0),"")</f>
        <v/>
      </c>
      <c r="P460" s="532"/>
      <c r="Q460" s="532"/>
      <c r="R460" s="532"/>
      <c r="S460" s="532" t="str">
        <f>IFERROR(VLOOKUP(J460,'03. THIẾT BỊ'!$B$1:$S$836,3,0),"")</f>
        <v/>
      </c>
      <c r="T460" s="693"/>
      <c r="U460" s="693"/>
    </row>
    <row r="461" hidden="1">
      <c r="A461" s="692"/>
      <c r="C461" s="532" t="str">
        <f>IFERROR(VLOOKUP(J461,'03. THIẾT BỊ'!$B$1:$U$836,5,0),"")</f>
        <v/>
      </c>
      <c r="D461" s="463"/>
      <c r="E461" s="692"/>
      <c r="F461" s="692"/>
      <c r="G461" s="692"/>
      <c r="H461" s="692" t="str">
        <f>IFERROR(VLOOKUP(J461,'03. THIẾT BỊ'!$B$1:$U$836,19,0),"")</f>
        <v/>
      </c>
      <c r="I461" s="463" t="str">
        <f>IFERROR(VLOOKUP(J461,'03. THIẾT BỊ'!$B$1:$U$836,20,0),"")</f>
        <v/>
      </c>
      <c r="J461" s="464"/>
      <c r="K461" s="757"/>
      <c r="L461" s="759"/>
      <c r="M461" s="759"/>
      <c r="N461" s="692" t="str">
        <f>IFERROR(VLOOKUP(J461,'03. THIẾT BỊ'!$B$1:$U$836,4,0),"")</f>
        <v/>
      </c>
      <c r="O461" s="692" t="str">
        <f>IFERROR(VLOOKUP(J461,'03. THIẾT BỊ'!$B$1:$U$836,7,0),"")</f>
        <v/>
      </c>
      <c r="P461" s="532"/>
      <c r="Q461" s="532"/>
      <c r="R461" s="532"/>
      <c r="S461" s="532" t="str">
        <f>IFERROR(VLOOKUP(J461,'03. THIẾT BỊ'!$B$1:$S$836,3,0),"")</f>
        <v/>
      </c>
      <c r="T461" s="693"/>
      <c r="U461" s="693"/>
    </row>
    <row r="462" hidden="1">
      <c r="A462" s="692"/>
      <c r="C462" s="532" t="str">
        <f>IFERROR(VLOOKUP(J462,'03. THIẾT BỊ'!$B$1:$U$836,5,0),"")</f>
        <v/>
      </c>
      <c r="D462" s="463"/>
      <c r="E462" s="692"/>
      <c r="F462" s="692"/>
      <c r="G462" s="692"/>
      <c r="H462" s="692" t="str">
        <f>IFERROR(VLOOKUP(J462,'03. THIẾT BỊ'!$B$1:$U$836,19,0),"")</f>
        <v/>
      </c>
      <c r="I462" s="463" t="str">
        <f>IFERROR(VLOOKUP(J462,'03. THIẾT BỊ'!$B$1:$U$836,20,0),"")</f>
        <v/>
      </c>
      <c r="J462" s="464"/>
      <c r="K462" s="757"/>
      <c r="L462" s="759"/>
      <c r="M462" s="759"/>
      <c r="N462" s="692" t="str">
        <f>IFERROR(VLOOKUP(J462,'03. THIẾT BỊ'!$B$1:$U$836,4,0),"")</f>
        <v/>
      </c>
      <c r="O462" s="692" t="str">
        <f>IFERROR(VLOOKUP(J462,'03. THIẾT BỊ'!$B$1:$U$836,7,0),"")</f>
        <v/>
      </c>
      <c r="P462" s="532"/>
      <c r="Q462" s="532"/>
      <c r="R462" s="532"/>
      <c r="S462" s="532" t="str">
        <f>IFERROR(VLOOKUP(J462,'03. THIẾT BỊ'!$B$1:$S$836,3,0),"")</f>
        <v/>
      </c>
      <c r="T462" s="693"/>
      <c r="U462" s="693"/>
    </row>
    <row r="463" hidden="1">
      <c r="A463" s="692"/>
      <c r="C463" s="532" t="str">
        <f>IFERROR(VLOOKUP(J463,'03. THIẾT BỊ'!$B$1:$U$836,5,0),"")</f>
        <v/>
      </c>
      <c r="D463" s="463"/>
      <c r="E463" s="692"/>
      <c r="F463" s="692"/>
      <c r="G463" s="692"/>
      <c r="H463" s="692" t="str">
        <f>IFERROR(VLOOKUP(J463,'03. THIẾT BỊ'!$B$1:$U$836,19,0),"")</f>
        <v/>
      </c>
      <c r="I463" s="463" t="str">
        <f>IFERROR(VLOOKUP(J463,'03. THIẾT BỊ'!$B$1:$U$836,20,0),"")</f>
        <v/>
      </c>
      <c r="J463" s="464"/>
      <c r="K463" s="757"/>
      <c r="L463" s="759"/>
      <c r="M463" s="759"/>
      <c r="N463" s="692" t="str">
        <f>IFERROR(VLOOKUP(J463,'03. THIẾT BỊ'!$B$1:$U$836,4,0),"")</f>
        <v/>
      </c>
      <c r="O463" s="692" t="str">
        <f>IFERROR(VLOOKUP(J463,'03. THIẾT BỊ'!$B$1:$U$836,7,0),"")</f>
        <v/>
      </c>
      <c r="P463" s="532"/>
      <c r="Q463" s="532"/>
      <c r="R463" s="532"/>
      <c r="S463" s="532" t="str">
        <f>IFERROR(VLOOKUP(J463,'03. THIẾT BỊ'!$B$1:$S$836,3,0),"")</f>
        <v/>
      </c>
      <c r="T463" s="693"/>
      <c r="U463" s="693"/>
    </row>
    <row r="464" hidden="1">
      <c r="A464" s="692"/>
      <c r="C464" s="532" t="str">
        <f>IFERROR(VLOOKUP(J464,'03. THIẾT BỊ'!$B$1:$U$836,5,0),"")</f>
        <v/>
      </c>
      <c r="D464" s="463"/>
      <c r="E464" s="692"/>
      <c r="F464" s="692"/>
      <c r="G464" s="692"/>
      <c r="H464" s="692" t="str">
        <f>IFERROR(VLOOKUP(J464,'03. THIẾT BỊ'!$B$1:$U$836,19,0),"")</f>
        <v/>
      </c>
      <c r="I464" s="463" t="str">
        <f>IFERROR(VLOOKUP(J464,'03. THIẾT BỊ'!$B$1:$U$836,20,0),"")</f>
        <v/>
      </c>
      <c r="J464" s="464"/>
      <c r="K464" s="757"/>
      <c r="L464" s="759"/>
      <c r="M464" s="759"/>
      <c r="N464" s="692" t="str">
        <f>IFERROR(VLOOKUP(J464,'03. THIẾT BỊ'!$B$1:$U$836,4,0),"")</f>
        <v/>
      </c>
      <c r="O464" s="692" t="str">
        <f>IFERROR(VLOOKUP(J464,'03. THIẾT BỊ'!$B$1:$U$836,7,0),"")</f>
        <v/>
      </c>
      <c r="P464" s="532"/>
      <c r="Q464" s="532"/>
      <c r="R464" s="532"/>
      <c r="S464" s="532" t="str">
        <f>IFERROR(VLOOKUP(J464,'03. THIẾT BỊ'!$B$1:$S$836,3,0),"")</f>
        <v/>
      </c>
      <c r="T464" s="693"/>
      <c r="U464" s="693"/>
    </row>
    <row r="465" hidden="1">
      <c r="A465" s="692"/>
      <c r="C465" s="532" t="str">
        <f>IFERROR(VLOOKUP(J465,'03. THIẾT BỊ'!$B$1:$U$836,5,0),"")</f>
        <v/>
      </c>
      <c r="D465" s="463"/>
      <c r="E465" s="692"/>
      <c r="F465" s="692"/>
      <c r="G465" s="692"/>
      <c r="H465" s="692" t="str">
        <f>IFERROR(VLOOKUP(J465,'03. THIẾT BỊ'!$B$1:$U$836,19,0),"")</f>
        <v/>
      </c>
      <c r="I465" s="463" t="str">
        <f>IFERROR(VLOOKUP(J465,'03. THIẾT BỊ'!$B$1:$U$836,20,0),"")</f>
        <v/>
      </c>
      <c r="J465" s="464"/>
      <c r="K465" s="757"/>
      <c r="L465" s="759"/>
      <c r="M465" s="759"/>
      <c r="N465" s="692" t="str">
        <f>IFERROR(VLOOKUP(J465,'03. THIẾT BỊ'!$B$1:$U$836,4,0),"")</f>
        <v/>
      </c>
      <c r="O465" s="692" t="str">
        <f>IFERROR(VLOOKUP(J465,'03. THIẾT BỊ'!$B$1:$U$836,7,0),"")</f>
        <v/>
      </c>
      <c r="P465" s="532"/>
      <c r="Q465" s="532"/>
      <c r="R465" s="532"/>
      <c r="S465" s="532" t="str">
        <f>IFERROR(VLOOKUP(J465,'03. THIẾT BỊ'!$B$1:$S$836,3,0),"")</f>
        <v/>
      </c>
      <c r="T465" s="693"/>
      <c r="U465" s="693"/>
    </row>
    <row r="466" hidden="1">
      <c r="A466" s="692"/>
      <c r="C466" s="532" t="str">
        <f>IFERROR(VLOOKUP(J466,'03. THIẾT BỊ'!$B$1:$U$836,5,0),"")</f>
        <v/>
      </c>
      <c r="D466" s="463"/>
      <c r="E466" s="692"/>
      <c r="F466" s="692"/>
      <c r="G466" s="692"/>
      <c r="H466" s="692" t="str">
        <f>IFERROR(VLOOKUP(J466,'03. THIẾT BỊ'!$B$1:$U$836,19,0),"")</f>
        <v/>
      </c>
      <c r="I466" s="463" t="str">
        <f>IFERROR(VLOOKUP(J466,'03. THIẾT BỊ'!$B$1:$U$836,20,0),"")</f>
        <v/>
      </c>
      <c r="J466" s="464"/>
      <c r="K466" s="757"/>
      <c r="L466" s="759"/>
      <c r="M466" s="759"/>
      <c r="N466" s="692" t="str">
        <f>IFERROR(VLOOKUP(J466,'03. THIẾT BỊ'!$B$1:$U$836,4,0),"")</f>
        <v/>
      </c>
      <c r="O466" s="692" t="str">
        <f>IFERROR(VLOOKUP(J466,'03. THIẾT BỊ'!$B$1:$U$836,7,0),"")</f>
        <v/>
      </c>
      <c r="P466" s="532"/>
      <c r="Q466" s="532"/>
      <c r="R466" s="532"/>
      <c r="S466" s="532" t="str">
        <f>IFERROR(VLOOKUP(J466,'03. THIẾT BỊ'!$B$1:$S$836,3,0),"")</f>
        <v/>
      </c>
      <c r="T466" s="693"/>
      <c r="U466" s="693"/>
    </row>
    <row r="467" hidden="1">
      <c r="A467" s="692"/>
      <c r="C467" s="532" t="str">
        <f>IFERROR(VLOOKUP(J467,'03. THIẾT BỊ'!$B$1:$U$836,5,0),"")</f>
        <v/>
      </c>
      <c r="D467" s="463"/>
      <c r="E467" s="692"/>
      <c r="F467" s="692"/>
      <c r="G467" s="692"/>
      <c r="H467" s="692" t="str">
        <f>IFERROR(VLOOKUP(J467,'03. THIẾT BỊ'!$B$1:$U$836,19,0),"")</f>
        <v/>
      </c>
      <c r="I467" s="463" t="str">
        <f>IFERROR(VLOOKUP(J467,'03. THIẾT BỊ'!$B$1:$U$836,20,0),"")</f>
        <v/>
      </c>
      <c r="J467" s="464"/>
      <c r="K467" s="757"/>
      <c r="L467" s="759"/>
      <c r="M467" s="759"/>
      <c r="N467" s="692" t="str">
        <f>IFERROR(VLOOKUP(J467,'03. THIẾT BỊ'!$B$1:$U$836,4,0),"")</f>
        <v/>
      </c>
      <c r="O467" s="692" t="str">
        <f>IFERROR(VLOOKUP(J467,'03. THIẾT BỊ'!$B$1:$U$836,7,0),"")</f>
        <v/>
      </c>
      <c r="P467" s="532"/>
      <c r="Q467" s="532"/>
      <c r="R467" s="532"/>
      <c r="S467" s="532" t="str">
        <f>IFERROR(VLOOKUP(J467,'03. THIẾT BỊ'!$B$1:$S$836,3,0),"")</f>
        <v/>
      </c>
      <c r="T467" s="693"/>
      <c r="U467" s="693"/>
    </row>
    <row r="468" hidden="1">
      <c r="A468" s="692"/>
      <c r="C468" s="532" t="str">
        <f>IFERROR(VLOOKUP(J468,'03. THIẾT BỊ'!$B$1:$U$836,5,0),"")</f>
        <v/>
      </c>
      <c r="D468" s="463"/>
      <c r="E468" s="692"/>
      <c r="F468" s="692"/>
      <c r="G468" s="692"/>
      <c r="H468" s="692" t="str">
        <f>IFERROR(VLOOKUP(J468,'03. THIẾT BỊ'!$B$1:$U$836,19,0),"")</f>
        <v/>
      </c>
      <c r="I468" s="463" t="str">
        <f>IFERROR(VLOOKUP(J468,'03. THIẾT BỊ'!$B$1:$U$836,20,0),"")</f>
        <v/>
      </c>
      <c r="J468" s="464"/>
      <c r="K468" s="757"/>
      <c r="L468" s="759"/>
      <c r="M468" s="759"/>
      <c r="N468" s="692" t="str">
        <f>IFERROR(VLOOKUP(J468,'03. THIẾT BỊ'!$B$1:$U$836,4,0),"")</f>
        <v/>
      </c>
      <c r="O468" s="692" t="str">
        <f>IFERROR(VLOOKUP(J468,'03. THIẾT BỊ'!$B$1:$U$836,7,0),"")</f>
        <v/>
      </c>
      <c r="P468" s="532"/>
      <c r="Q468" s="532"/>
      <c r="R468" s="532"/>
      <c r="S468" s="532" t="str">
        <f>IFERROR(VLOOKUP(J468,'03. THIẾT BỊ'!$B$1:$S$836,3,0),"")</f>
        <v/>
      </c>
      <c r="T468" s="693"/>
      <c r="U468" s="693"/>
    </row>
    <row r="469" hidden="1">
      <c r="A469" s="692"/>
      <c r="C469" s="532" t="str">
        <f>IFERROR(VLOOKUP(J469,'03. THIẾT BỊ'!$B$1:$U$836,5,0),"")</f>
        <v/>
      </c>
      <c r="D469" s="463"/>
      <c r="E469" s="692"/>
      <c r="F469" s="692"/>
      <c r="G469" s="692"/>
      <c r="H469" s="692" t="str">
        <f>IFERROR(VLOOKUP(J469,'03. THIẾT BỊ'!$B$1:$U$836,19,0),"")</f>
        <v/>
      </c>
      <c r="I469" s="463" t="str">
        <f>IFERROR(VLOOKUP(J469,'03. THIẾT BỊ'!$B$1:$U$836,20,0),"")</f>
        <v/>
      </c>
      <c r="J469" s="464"/>
      <c r="K469" s="757"/>
      <c r="L469" s="759"/>
      <c r="M469" s="759"/>
      <c r="N469" s="692" t="str">
        <f>IFERROR(VLOOKUP(J469,'03. THIẾT BỊ'!$B$1:$U$836,4,0),"")</f>
        <v/>
      </c>
      <c r="O469" s="692" t="str">
        <f>IFERROR(VLOOKUP(J469,'03. THIẾT BỊ'!$B$1:$U$836,7,0),"")</f>
        <v/>
      </c>
      <c r="P469" s="532"/>
      <c r="Q469" s="532"/>
      <c r="R469" s="532"/>
      <c r="S469" s="532" t="str">
        <f>IFERROR(VLOOKUP(J469,'03. THIẾT BỊ'!$B$1:$S$836,3,0),"")</f>
        <v/>
      </c>
      <c r="T469" s="693"/>
      <c r="U469" s="693"/>
    </row>
    <row r="470" hidden="1">
      <c r="A470" s="692"/>
      <c r="C470" s="532" t="str">
        <f>IFERROR(VLOOKUP(J470,'03. THIẾT BỊ'!$B$1:$U$836,5,0),"")</f>
        <v/>
      </c>
      <c r="D470" s="463"/>
      <c r="E470" s="692"/>
      <c r="F470" s="692"/>
      <c r="G470" s="692"/>
      <c r="H470" s="692" t="str">
        <f>IFERROR(VLOOKUP(J470,'03. THIẾT BỊ'!$B$1:$U$836,19,0),"")</f>
        <v/>
      </c>
      <c r="I470" s="463" t="str">
        <f>IFERROR(VLOOKUP(J470,'03. THIẾT BỊ'!$B$1:$U$836,20,0),"")</f>
        <v/>
      </c>
      <c r="J470" s="464"/>
      <c r="K470" s="757"/>
      <c r="L470" s="759"/>
      <c r="M470" s="759"/>
      <c r="N470" s="692" t="str">
        <f>IFERROR(VLOOKUP(J470,'03. THIẾT BỊ'!$B$1:$U$836,4,0),"")</f>
        <v/>
      </c>
      <c r="O470" s="692" t="str">
        <f>IFERROR(VLOOKUP(J470,'03. THIẾT BỊ'!$B$1:$U$836,7,0),"")</f>
        <v/>
      </c>
      <c r="P470" s="532"/>
      <c r="Q470" s="532"/>
      <c r="R470" s="532"/>
      <c r="S470" s="532" t="str">
        <f>IFERROR(VLOOKUP(J470,'03. THIẾT BỊ'!$B$1:$S$836,3,0),"")</f>
        <v/>
      </c>
      <c r="T470" s="693"/>
      <c r="U470" s="693"/>
    </row>
    <row r="471" hidden="1">
      <c r="A471" s="692"/>
      <c r="C471" s="532" t="str">
        <f>IFERROR(VLOOKUP(J471,'03. THIẾT BỊ'!$B$1:$U$836,5,0),"")</f>
        <v/>
      </c>
      <c r="D471" s="463"/>
      <c r="E471" s="692"/>
      <c r="F471" s="692"/>
      <c r="G471" s="692"/>
      <c r="H471" s="692" t="str">
        <f>IFERROR(VLOOKUP(J471,'03. THIẾT BỊ'!$B$1:$U$836,19,0),"")</f>
        <v/>
      </c>
      <c r="I471" s="463" t="str">
        <f>IFERROR(VLOOKUP(J471,'03. THIẾT BỊ'!$B$1:$U$836,20,0),"")</f>
        <v/>
      </c>
      <c r="J471" s="464"/>
      <c r="K471" s="757"/>
      <c r="L471" s="759"/>
      <c r="M471" s="759"/>
      <c r="N471" s="692" t="str">
        <f>IFERROR(VLOOKUP(J471,'03. THIẾT BỊ'!$B$1:$U$836,4,0),"")</f>
        <v/>
      </c>
      <c r="O471" s="692" t="str">
        <f>IFERROR(VLOOKUP(J471,'03. THIẾT BỊ'!$B$1:$U$836,7,0),"")</f>
        <v/>
      </c>
      <c r="P471" s="532"/>
      <c r="Q471" s="532"/>
      <c r="R471" s="532"/>
      <c r="S471" s="532" t="str">
        <f>IFERROR(VLOOKUP(J471,'03. THIẾT BỊ'!$B$1:$S$836,3,0),"")</f>
        <v/>
      </c>
      <c r="T471" s="693"/>
      <c r="U471" s="693"/>
    </row>
    <row r="472" hidden="1">
      <c r="A472" s="692"/>
      <c r="B472" s="532"/>
      <c r="C472" s="532"/>
      <c r="D472" s="692"/>
      <c r="E472" s="692"/>
      <c r="F472" s="692"/>
      <c r="G472" s="692"/>
      <c r="H472" s="692"/>
      <c r="I472" s="692"/>
      <c r="J472" s="532"/>
      <c r="K472" s="692"/>
      <c r="L472" s="692"/>
      <c r="M472" s="692"/>
      <c r="N472" s="532"/>
      <c r="O472" s="532"/>
      <c r="P472" s="532"/>
      <c r="Q472" s="532"/>
      <c r="R472" s="532"/>
      <c r="S472" s="532"/>
      <c r="T472" s="693"/>
      <c r="U472" s="693"/>
    </row>
    <row r="473" hidden="1">
      <c r="A473" s="692"/>
      <c r="B473" s="532"/>
      <c r="C473" s="532"/>
      <c r="D473" s="692"/>
      <c r="E473" s="692"/>
      <c r="F473" s="692"/>
      <c r="G473" s="692"/>
      <c r="H473" s="692"/>
      <c r="I473" s="692"/>
      <c r="J473" s="532"/>
      <c r="K473" s="692"/>
      <c r="L473" s="692"/>
      <c r="M473" s="692"/>
      <c r="N473" s="532"/>
      <c r="O473" s="532"/>
      <c r="P473" s="532"/>
      <c r="Q473" s="532"/>
      <c r="R473" s="532"/>
      <c r="S473" s="532"/>
      <c r="T473" s="693"/>
      <c r="U473" s="693"/>
    </row>
    <row r="474" hidden="1">
      <c r="A474" s="692"/>
      <c r="B474" s="532"/>
      <c r="C474" s="532"/>
      <c r="D474" s="692"/>
      <c r="E474" s="692"/>
      <c r="F474" s="692"/>
      <c r="G474" s="692"/>
      <c r="H474" s="692"/>
      <c r="I474" s="692"/>
      <c r="J474" s="532"/>
      <c r="K474" s="692"/>
      <c r="L474" s="692"/>
      <c r="M474" s="692"/>
      <c r="N474" s="532"/>
      <c r="O474" s="532"/>
      <c r="P474" s="532"/>
      <c r="Q474" s="532"/>
      <c r="R474" s="532"/>
      <c r="S474" s="532"/>
      <c r="T474" s="693"/>
      <c r="U474" s="693"/>
    </row>
    <row r="475" hidden="1">
      <c r="A475" s="692"/>
      <c r="B475" s="532"/>
      <c r="C475" s="532"/>
      <c r="D475" s="692"/>
      <c r="E475" s="692"/>
      <c r="F475" s="692"/>
      <c r="G475" s="692"/>
      <c r="H475" s="692"/>
      <c r="I475" s="692"/>
      <c r="J475" s="532"/>
      <c r="K475" s="692"/>
      <c r="L475" s="692"/>
      <c r="M475" s="692"/>
      <c r="N475" s="532"/>
      <c r="O475" s="532"/>
      <c r="P475" s="532"/>
      <c r="Q475" s="532"/>
      <c r="R475" s="532"/>
      <c r="S475" s="532"/>
      <c r="T475" s="693"/>
      <c r="U475" s="693"/>
    </row>
    <row r="476" hidden="1">
      <c r="A476" s="692"/>
      <c r="B476" s="532"/>
      <c r="C476" s="532"/>
      <c r="D476" s="692"/>
      <c r="E476" s="692"/>
      <c r="F476" s="692"/>
      <c r="G476" s="692"/>
      <c r="H476" s="692"/>
      <c r="I476" s="692"/>
      <c r="J476" s="532"/>
      <c r="K476" s="692"/>
      <c r="L476" s="692"/>
      <c r="M476" s="692"/>
      <c r="N476" s="532"/>
      <c r="O476" s="532"/>
      <c r="P476" s="532"/>
      <c r="Q476" s="532"/>
      <c r="R476" s="532"/>
      <c r="S476" s="532"/>
      <c r="T476" s="693"/>
      <c r="U476" s="693"/>
    </row>
    <row r="477" hidden="1">
      <c r="A477" s="692"/>
      <c r="B477" s="532"/>
      <c r="C477" s="532"/>
      <c r="D477" s="692"/>
      <c r="E477" s="692"/>
      <c r="F477" s="692"/>
      <c r="G477" s="692"/>
      <c r="H477" s="692"/>
      <c r="I477" s="692"/>
      <c r="J477" s="532"/>
      <c r="K477" s="692"/>
      <c r="L477" s="692"/>
      <c r="M477" s="692"/>
      <c r="N477" s="532"/>
      <c r="O477" s="532"/>
      <c r="P477" s="532"/>
      <c r="Q477" s="532"/>
      <c r="R477" s="532"/>
      <c r="S477" s="532"/>
      <c r="T477" s="693"/>
      <c r="U477" s="693"/>
    </row>
    <row r="478" hidden="1">
      <c r="A478" s="692"/>
      <c r="B478" s="532"/>
      <c r="C478" s="532"/>
      <c r="D478" s="692"/>
      <c r="E478" s="692"/>
      <c r="F478" s="692"/>
      <c r="G478" s="692"/>
      <c r="H478" s="692"/>
      <c r="I478" s="692"/>
      <c r="J478" s="532"/>
      <c r="K478" s="692"/>
      <c r="L478" s="692"/>
      <c r="M478" s="692"/>
      <c r="N478" s="532"/>
      <c r="O478" s="532"/>
      <c r="P478" s="532"/>
      <c r="Q478" s="532"/>
      <c r="R478" s="532"/>
      <c r="S478" s="532"/>
      <c r="T478" s="693"/>
      <c r="U478" s="693"/>
    </row>
    <row r="479" hidden="1">
      <c r="A479" s="692"/>
      <c r="B479" s="532"/>
      <c r="C479" s="532"/>
      <c r="D479" s="692"/>
      <c r="E479" s="692"/>
      <c r="F479" s="692"/>
      <c r="G479" s="692"/>
      <c r="H479" s="692"/>
      <c r="I479" s="692"/>
      <c r="J479" s="532"/>
      <c r="K479" s="692"/>
      <c r="L479" s="692"/>
      <c r="M479" s="692"/>
      <c r="N479" s="532"/>
      <c r="O479" s="532"/>
      <c r="P479" s="532"/>
      <c r="Q479" s="532"/>
      <c r="R479" s="532"/>
      <c r="S479" s="532"/>
      <c r="T479" s="693"/>
      <c r="U479" s="693"/>
    </row>
    <row r="480" hidden="1">
      <c r="A480" s="692"/>
      <c r="B480" s="532"/>
      <c r="C480" s="532"/>
      <c r="D480" s="692"/>
      <c r="E480" s="692"/>
      <c r="F480" s="692"/>
      <c r="G480" s="692"/>
      <c r="H480" s="692"/>
      <c r="I480" s="692"/>
      <c r="J480" s="532"/>
      <c r="K480" s="692"/>
      <c r="L480" s="692"/>
      <c r="M480" s="692"/>
      <c r="N480" s="532"/>
      <c r="O480" s="532"/>
      <c r="P480" s="532"/>
      <c r="Q480" s="532"/>
      <c r="R480" s="532"/>
      <c r="S480" s="532"/>
      <c r="T480" s="693"/>
      <c r="U480" s="693"/>
    </row>
    <row r="481" hidden="1">
      <c r="A481" s="692"/>
      <c r="B481" s="532"/>
      <c r="C481" s="532"/>
      <c r="D481" s="692"/>
      <c r="E481" s="692"/>
      <c r="F481" s="692"/>
      <c r="G481" s="692"/>
      <c r="H481" s="692"/>
      <c r="I481" s="692"/>
      <c r="J481" s="532"/>
      <c r="K481" s="692"/>
      <c r="L481" s="692"/>
      <c r="M481" s="692"/>
      <c r="N481" s="532"/>
      <c r="O481" s="532"/>
      <c r="P481" s="532"/>
      <c r="Q481" s="532"/>
      <c r="R481" s="532"/>
      <c r="S481" s="532"/>
      <c r="T481" s="693"/>
      <c r="U481" s="693"/>
    </row>
    <row r="482" hidden="1">
      <c r="A482" s="692"/>
      <c r="B482" s="532"/>
      <c r="C482" s="532"/>
      <c r="D482" s="692"/>
      <c r="E482" s="692"/>
      <c r="F482" s="692"/>
      <c r="G482" s="692"/>
      <c r="H482" s="692"/>
      <c r="I482" s="692"/>
      <c r="J482" s="532"/>
      <c r="K482" s="692"/>
      <c r="L482" s="692"/>
      <c r="M482" s="692"/>
      <c r="N482" s="532"/>
      <c r="O482" s="532"/>
      <c r="P482" s="532"/>
      <c r="Q482" s="532"/>
      <c r="R482" s="532"/>
      <c r="S482" s="532"/>
      <c r="T482" s="693"/>
      <c r="U482" s="693"/>
    </row>
    <row r="483" hidden="1">
      <c r="A483" s="692"/>
      <c r="B483" s="532"/>
      <c r="C483" s="532"/>
      <c r="D483" s="692"/>
      <c r="E483" s="692"/>
      <c r="F483" s="692"/>
      <c r="G483" s="692"/>
      <c r="H483" s="692"/>
      <c r="I483" s="692"/>
      <c r="J483" s="532"/>
      <c r="K483" s="692"/>
      <c r="L483" s="692"/>
      <c r="M483" s="692"/>
      <c r="N483" s="532"/>
      <c r="O483" s="532"/>
      <c r="P483" s="532"/>
      <c r="Q483" s="532"/>
      <c r="R483" s="532"/>
      <c r="S483" s="532"/>
      <c r="T483" s="693"/>
      <c r="U483" s="693"/>
    </row>
    <row r="484" hidden="1">
      <c r="A484" s="692"/>
      <c r="B484" s="532"/>
      <c r="C484" s="532"/>
      <c r="D484" s="692"/>
      <c r="E484" s="692"/>
      <c r="F484" s="692"/>
      <c r="G484" s="692"/>
      <c r="H484" s="692"/>
      <c r="I484" s="692"/>
      <c r="J484" s="532"/>
      <c r="K484" s="692"/>
      <c r="L484" s="692"/>
      <c r="M484" s="692"/>
      <c r="N484" s="532"/>
      <c r="O484" s="532"/>
      <c r="P484" s="532"/>
      <c r="Q484" s="532"/>
      <c r="R484" s="532"/>
      <c r="S484" s="532"/>
      <c r="T484" s="693"/>
      <c r="U484" s="693"/>
    </row>
    <row r="485">
      <c r="A485" s="692"/>
      <c r="B485" s="532"/>
      <c r="C485" s="532"/>
      <c r="D485" s="692"/>
      <c r="E485" s="692"/>
      <c r="F485" s="692"/>
      <c r="G485" s="692"/>
      <c r="H485" s="692"/>
      <c r="I485" s="692"/>
      <c r="J485" s="532"/>
      <c r="K485" s="692"/>
      <c r="L485" s="692"/>
      <c r="M485" s="692"/>
      <c r="N485" s="532"/>
      <c r="O485" s="532"/>
      <c r="P485" s="532"/>
      <c r="Q485" s="532"/>
      <c r="R485" s="532"/>
      <c r="S485" s="532"/>
      <c r="T485" s="693"/>
      <c r="U485" s="693"/>
    </row>
    <row r="486">
      <c r="A486" s="692"/>
      <c r="B486" s="532"/>
      <c r="C486" s="532"/>
      <c r="D486" s="692"/>
      <c r="E486" s="692"/>
      <c r="F486" s="692"/>
      <c r="G486" s="692"/>
      <c r="H486" s="692"/>
      <c r="I486" s="692"/>
      <c r="J486" s="532"/>
      <c r="K486" s="692"/>
      <c r="L486" s="692"/>
      <c r="M486" s="692"/>
      <c r="N486" s="532"/>
      <c r="O486" s="532"/>
      <c r="P486" s="532"/>
      <c r="Q486" s="532"/>
      <c r="R486" s="532"/>
      <c r="S486" s="532"/>
      <c r="T486" s="693"/>
      <c r="U486" s="693"/>
    </row>
    <row r="487">
      <c r="A487" s="692"/>
      <c r="B487" s="532"/>
      <c r="C487" s="532"/>
      <c r="D487" s="692"/>
      <c r="E487" s="692"/>
      <c r="F487" s="692"/>
      <c r="G487" s="692"/>
      <c r="H487" s="692"/>
      <c r="I487" s="692"/>
      <c r="J487" s="532"/>
      <c r="K487" s="692"/>
      <c r="L487" s="692"/>
      <c r="M487" s="692"/>
      <c r="N487" s="532"/>
      <c r="O487" s="532"/>
      <c r="P487" s="532"/>
      <c r="Q487" s="532"/>
      <c r="R487" s="532"/>
      <c r="S487" s="532"/>
      <c r="T487" s="693"/>
      <c r="U487" s="693"/>
    </row>
    <row r="488">
      <c r="A488" s="692"/>
      <c r="B488" s="532"/>
      <c r="C488" s="532"/>
      <c r="D488" s="692"/>
      <c r="E488" s="692"/>
      <c r="F488" s="692"/>
      <c r="G488" s="692"/>
      <c r="H488" s="692"/>
      <c r="I488" s="692"/>
      <c r="J488" s="532"/>
      <c r="K488" s="692"/>
      <c r="L488" s="692"/>
      <c r="M488" s="692"/>
      <c r="N488" s="532"/>
      <c r="O488" s="532"/>
      <c r="P488" s="532"/>
      <c r="Q488" s="532"/>
      <c r="R488" s="532"/>
      <c r="S488" s="532"/>
      <c r="T488" s="693"/>
      <c r="U488" s="693"/>
    </row>
    <row r="489">
      <c r="A489" s="692"/>
      <c r="B489" s="532"/>
      <c r="C489" s="532"/>
      <c r="D489" s="692"/>
      <c r="E489" s="692"/>
      <c r="F489" s="692"/>
      <c r="G489" s="692"/>
      <c r="H489" s="692"/>
      <c r="I489" s="692"/>
      <c r="J489" s="532"/>
      <c r="K489" s="692"/>
      <c r="L489" s="692"/>
      <c r="M489" s="692"/>
      <c r="N489" s="532"/>
      <c r="O489" s="532"/>
      <c r="P489" s="532"/>
      <c r="Q489" s="532"/>
      <c r="R489" s="532"/>
      <c r="S489" s="532"/>
      <c r="T489" s="693"/>
      <c r="U489" s="693"/>
    </row>
    <row r="490">
      <c r="A490" s="692"/>
      <c r="B490" s="532"/>
      <c r="C490" s="532"/>
      <c r="D490" s="692"/>
      <c r="E490" s="692"/>
      <c r="F490" s="692"/>
      <c r="G490" s="692"/>
      <c r="H490" s="692"/>
      <c r="I490" s="692"/>
      <c r="J490" s="532"/>
      <c r="K490" s="692"/>
      <c r="L490" s="692"/>
      <c r="M490" s="692"/>
      <c r="N490" s="532"/>
      <c r="O490" s="532"/>
      <c r="P490" s="532"/>
      <c r="Q490" s="532"/>
      <c r="R490" s="532"/>
      <c r="S490" s="532"/>
      <c r="T490" s="693"/>
      <c r="U490" s="693"/>
    </row>
    <row r="491">
      <c r="A491" s="692"/>
      <c r="B491" s="532"/>
      <c r="C491" s="532"/>
      <c r="D491" s="692"/>
      <c r="E491" s="692"/>
      <c r="F491" s="692"/>
      <c r="G491" s="692"/>
      <c r="H491" s="692"/>
      <c r="I491" s="692"/>
      <c r="J491" s="532"/>
      <c r="K491" s="692"/>
      <c r="L491" s="692"/>
      <c r="M491" s="692"/>
      <c r="N491" s="532"/>
      <c r="O491" s="532"/>
      <c r="P491" s="532"/>
      <c r="Q491" s="532"/>
      <c r="R491" s="532"/>
      <c r="S491" s="532"/>
      <c r="T491" s="693"/>
      <c r="U491" s="693"/>
    </row>
    <row r="492">
      <c r="A492" s="692"/>
      <c r="B492" s="532"/>
      <c r="C492" s="532"/>
      <c r="D492" s="692"/>
      <c r="E492" s="692"/>
      <c r="F492" s="692"/>
      <c r="G492" s="692"/>
      <c r="H492" s="692"/>
      <c r="I492" s="692"/>
      <c r="J492" s="532"/>
      <c r="K492" s="692"/>
      <c r="L492" s="692"/>
      <c r="M492" s="692"/>
      <c r="N492" s="532"/>
      <c r="O492" s="532"/>
      <c r="P492" s="532"/>
      <c r="Q492" s="532"/>
      <c r="R492" s="532"/>
      <c r="S492" s="532"/>
      <c r="T492" s="693"/>
      <c r="U492" s="693"/>
    </row>
    <row r="493">
      <c r="A493" s="692"/>
      <c r="B493" s="532"/>
      <c r="C493" s="532"/>
      <c r="D493" s="692"/>
      <c r="E493" s="692"/>
      <c r="F493" s="692"/>
      <c r="G493" s="692"/>
      <c r="H493" s="692"/>
      <c r="I493" s="692"/>
      <c r="J493" s="532"/>
      <c r="K493" s="692"/>
      <c r="L493" s="692"/>
      <c r="M493" s="692"/>
      <c r="N493" s="532"/>
      <c r="O493" s="532"/>
      <c r="P493" s="532"/>
      <c r="Q493" s="532"/>
      <c r="R493" s="532"/>
      <c r="S493" s="532"/>
      <c r="T493" s="693"/>
      <c r="U493" s="693"/>
    </row>
    <row r="494">
      <c r="A494" s="692"/>
      <c r="B494" s="532"/>
      <c r="C494" s="532"/>
      <c r="D494" s="692"/>
      <c r="E494" s="692"/>
      <c r="F494" s="692"/>
      <c r="G494" s="692"/>
      <c r="H494" s="692"/>
      <c r="I494" s="692"/>
      <c r="J494" s="532"/>
      <c r="K494" s="692"/>
      <c r="L494" s="692"/>
      <c r="M494" s="692"/>
      <c r="N494" s="532"/>
      <c r="O494" s="532"/>
      <c r="P494" s="532"/>
      <c r="Q494" s="532"/>
      <c r="R494" s="532"/>
      <c r="S494" s="532"/>
      <c r="T494" s="693"/>
      <c r="U494" s="693"/>
    </row>
    <row r="495">
      <c r="A495" s="692"/>
      <c r="B495" s="532"/>
      <c r="C495" s="532"/>
      <c r="D495" s="692"/>
      <c r="E495" s="692"/>
      <c r="F495" s="692"/>
      <c r="G495" s="692"/>
      <c r="H495" s="692"/>
      <c r="I495" s="692"/>
      <c r="J495" s="532"/>
      <c r="K495" s="692"/>
      <c r="L495" s="692"/>
      <c r="M495" s="692"/>
      <c r="N495" s="532"/>
      <c r="O495" s="532"/>
      <c r="P495" s="532"/>
      <c r="Q495" s="532"/>
      <c r="R495" s="532"/>
      <c r="S495" s="532"/>
      <c r="T495" s="693"/>
      <c r="U495" s="693"/>
    </row>
    <row r="496">
      <c r="A496" s="692"/>
      <c r="B496" s="532"/>
      <c r="C496" s="532"/>
      <c r="D496" s="692"/>
      <c r="E496" s="692"/>
      <c r="F496" s="692"/>
      <c r="G496" s="692"/>
      <c r="H496" s="692"/>
      <c r="I496" s="692"/>
      <c r="J496" s="532"/>
      <c r="K496" s="692"/>
      <c r="L496" s="692"/>
      <c r="M496" s="692"/>
      <c r="N496" s="532"/>
      <c r="O496" s="532"/>
      <c r="P496" s="532"/>
      <c r="Q496" s="532"/>
      <c r="R496" s="532"/>
      <c r="S496" s="532"/>
      <c r="T496" s="693"/>
      <c r="U496" s="693"/>
    </row>
    <row r="497">
      <c r="A497" s="692"/>
      <c r="B497" s="532"/>
      <c r="C497" s="532"/>
      <c r="D497" s="692"/>
      <c r="E497" s="692"/>
      <c r="F497" s="692"/>
      <c r="G497" s="692"/>
      <c r="H497" s="692"/>
      <c r="I497" s="692"/>
      <c r="J497" s="532"/>
      <c r="K497" s="692"/>
      <c r="L497" s="692"/>
      <c r="M497" s="692"/>
      <c r="N497" s="532"/>
      <c r="O497" s="532"/>
      <c r="P497" s="532"/>
      <c r="Q497" s="532"/>
      <c r="R497" s="532"/>
      <c r="S497" s="532"/>
      <c r="T497" s="693"/>
      <c r="U497" s="693"/>
    </row>
    <row r="498">
      <c r="A498" s="692"/>
      <c r="B498" s="532"/>
      <c r="C498" s="532"/>
      <c r="D498" s="692"/>
      <c r="E498" s="692"/>
      <c r="F498" s="692"/>
      <c r="G498" s="692"/>
      <c r="H498" s="692"/>
      <c r="I498" s="692"/>
      <c r="J498" s="532"/>
      <c r="K498" s="692"/>
      <c r="L498" s="692"/>
      <c r="M498" s="692"/>
      <c r="N498" s="532"/>
      <c r="O498" s="532"/>
      <c r="P498" s="532"/>
      <c r="Q498" s="532"/>
      <c r="R498" s="532"/>
      <c r="S498" s="532"/>
      <c r="T498" s="693"/>
      <c r="U498" s="693"/>
    </row>
    <row r="499">
      <c r="A499" s="692"/>
      <c r="B499" s="532"/>
      <c r="C499" s="532"/>
      <c r="D499" s="692"/>
      <c r="E499" s="692"/>
      <c r="F499" s="692"/>
      <c r="G499" s="692"/>
      <c r="H499" s="692"/>
      <c r="I499" s="692"/>
      <c r="J499" s="532"/>
      <c r="K499" s="692"/>
      <c r="L499" s="692"/>
      <c r="M499" s="692"/>
      <c r="N499" s="532"/>
      <c r="O499" s="532"/>
      <c r="P499" s="532"/>
      <c r="Q499" s="532"/>
      <c r="R499" s="532"/>
      <c r="S499" s="532"/>
      <c r="T499" s="693"/>
      <c r="U499" s="693"/>
    </row>
    <row r="500">
      <c r="A500" s="692"/>
      <c r="B500" s="532"/>
      <c r="C500" s="532"/>
      <c r="D500" s="692"/>
      <c r="E500" s="692"/>
      <c r="F500" s="692"/>
      <c r="G500" s="692"/>
      <c r="H500" s="692"/>
      <c r="I500" s="692"/>
      <c r="J500" s="532"/>
      <c r="K500" s="692"/>
      <c r="L500" s="692"/>
      <c r="M500" s="692"/>
      <c r="N500" s="532"/>
      <c r="O500" s="532"/>
      <c r="P500" s="532"/>
      <c r="Q500" s="532"/>
      <c r="R500" s="532"/>
      <c r="S500" s="532"/>
      <c r="T500" s="693"/>
      <c r="U500" s="693"/>
    </row>
    <row r="501">
      <c r="A501" s="692"/>
      <c r="B501" s="532"/>
      <c r="C501" s="532"/>
      <c r="D501" s="692"/>
      <c r="E501" s="692"/>
      <c r="F501" s="692"/>
      <c r="G501" s="692"/>
      <c r="H501" s="692"/>
      <c r="I501" s="692"/>
      <c r="J501" s="532"/>
      <c r="K501" s="692"/>
      <c r="L501" s="692"/>
      <c r="M501" s="692"/>
      <c r="N501" s="532"/>
      <c r="O501" s="532"/>
      <c r="P501" s="532"/>
      <c r="Q501" s="532"/>
      <c r="R501" s="532"/>
      <c r="S501" s="532"/>
      <c r="T501" s="693"/>
      <c r="U501" s="693"/>
    </row>
    <row r="502">
      <c r="A502" s="692"/>
      <c r="B502" s="532"/>
      <c r="C502" s="532"/>
      <c r="D502" s="692"/>
      <c r="E502" s="692"/>
      <c r="F502" s="692"/>
      <c r="G502" s="692"/>
      <c r="H502" s="692"/>
      <c r="I502" s="692"/>
      <c r="J502" s="532"/>
      <c r="K502" s="692"/>
      <c r="L502" s="692"/>
      <c r="M502" s="692"/>
      <c r="N502" s="532"/>
      <c r="O502" s="532"/>
      <c r="P502" s="532"/>
      <c r="Q502" s="532"/>
      <c r="R502" s="532"/>
      <c r="S502" s="532"/>
      <c r="T502" s="693"/>
      <c r="U502" s="693"/>
    </row>
    <row r="503">
      <c r="A503" s="692"/>
      <c r="B503" s="532"/>
      <c r="C503" s="532"/>
      <c r="D503" s="692"/>
      <c r="E503" s="692"/>
      <c r="F503" s="692"/>
      <c r="G503" s="692"/>
      <c r="H503" s="692"/>
      <c r="I503" s="692"/>
      <c r="J503" s="532"/>
      <c r="K503" s="692"/>
      <c r="L503" s="692"/>
      <c r="M503" s="692"/>
      <c r="N503" s="532"/>
      <c r="O503" s="532"/>
      <c r="P503" s="532"/>
      <c r="Q503" s="532"/>
      <c r="R503" s="532"/>
      <c r="S503" s="532"/>
      <c r="T503" s="693"/>
      <c r="U503" s="693"/>
    </row>
    <row r="504">
      <c r="A504" s="692"/>
      <c r="B504" s="532"/>
      <c r="C504" s="532"/>
      <c r="D504" s="692"/>
      <c r="E504" s="692"/>
      <c r="F504" s="692"/>
      <c r="G504" s="692"/>
      <c r="H504" s="692"/>
      <c r="I504" s="692"/>
      <c r="J504" s="532"/>
      <c r="K504" s="692"/>
      <c r="L504" s="692"/>
      <c r="M504" s="692"/>
      <c r="N504" s="532"/>
      <c r="O504" s="532"/>
      <c r="P504" s="532"/>
      <c r="Q504" s="532"/>
      <c r="R504" s="532"/>
      <c r="S504" s="532"/>
      <c r="T504" s="693"/>
      <c r="U504" s="693"/>
    </row>
    <row r="505">
      <c r="A505" s="692"/>
      <c r="B505" s="532"/>
      <c r="C505" s="532"/>
      <c r="D505" s="692"/>
      <c r="E505" s="692"/>
      <c r="F505" s="692"/>
      <c r="G505" s="692"/>
      <c r="H505" s="692"/>
      <c r="I505" s="692"/>
      <c r="J505" s="532"/>
      <c r="K505" s="692"/>
      <c r="L505" s="692"/>
      <c r="M505" s="692"/>
      <c r="N505" s="532"/>
      <c r="O505" s="532"/>
      <c r="P505" s="532"/>
      <c r="Q505" s="532"/>
      <c r="R505" s="532"/>
      <c r="S505" s="532"/>
      <c r="T505" s="693"/>
      <c r="U505" s="693"/>
    </row>
    <row r="506">
      <c r="A506" s="692"/>
      <c r="B506" s="532"/>
      <c r="C506" s="532"/>
      <c r="D506" s="692"/>
      <c r="E506" s="692"/>
      <c r="F506" s="692"/>
      <c r="G506" s="692"/>
      <c r="H506" s="692"/>
      <c r="I506" s="692"/>
      <c r="J506" s="532"/>
      <c r="K506" s="692"/>
      <c r="L506" s="692"/>
      <c r="M506" s="692"/>
      <c r="N506" s="532"/>
      <c r="O506" s="532"/>
      <c r="P506" s="532"/>
      <c r="Q506" s="532"/>
      <c r="R506" s="532"/>
      <c r="S506" s="532"/>
      <c r="T506" s="693"/>
      <c r="U506" s="693"/>
    </row>
    <row r="507">
      <c r="A507" s="692"/>
      <c r="B507" s="532"/>
      <c r="C507" s="532"/>
      <c r="D507" s="692"/>
      <c r="E507" s="692"/>
      <c r="F507" s="692"/>
      <c r="G507" s="692"/>
      <c r="H507" s="692"/>
      <c r="I507" s="692"/>
      <c r="J507" s="532"/>
      <c r="K507" s="692"/>
      <c r="L507" s="692"/>
      <c r="M507" s="692"/>
      <c r="N507" s="532"/>
      <c r="O507" s="532"/>
      <c r="P507" s="532"/>
      <c r="Q507" s="532"/>
      <c r="R507" s="532"/>
      <c r="S507" s="532"/>
      <c r="T507" s="693"/>
      <c r="U507" s="693"/>
    </row>
    <row r="508">
      <c r="A508" s="692"/>
      <c r="B508" s="532"/>
      <c r="C508" s="532"/>
      <c r="D508" s="692"/>
      <c r="E508" s="692"/>
      <c r="F508" s="692"/>
      <c r="G508" s="692"/>
      <c r="H508" s="692"/>
      <c r="I508" s="692"/>
      <c r="J508" s="532"/>
      <c r="K508" s="692"/>
      <c r="L508" s="692"/>
      <c r="M508" s="692"/>
      <c r="N508" s="532"/>
      <c r="O508" s="532"/>
      <c r="P508" s="532"/>
      <c r="Q508" s="532"/>
      <c r="R508" s="532"/>
      <c r="S508" s="532"/>
      <c r="T508" s="693"/>
      <c r="U508" s="693"/>
    </row>
    <row r="509">
      <c r="A509" s="692"/>
      <c r="B509" s="532"/>
      <c r="C509" s="532"/>
      <c r="D509" s="692"/>
      <c r="E509" s="692"/>
      <c r="F509" s="692"/>
      <c r="G509" s="692"/>
      <c r="H509" s="692"/>
      <c r="I509" s="692"/>
      <c r="J509" s="532"/>
      <c r="K509" s="692"/>
      <c r="L509" s="692"/>
      <c r="M509" s="692"/>
      <c r="N509" s="532"/>
      <c r="O509" s="532"/>
      <c r="P509" s="532"/>
      <c r="Q509" s="532"/>
      <c r="R509" s="532"/>
      <c r="S509" s="532"/>
      <c r="T509" s="693"/>
      <c r="U509" s="693"/>
    </row>
    <row r="510">
      <c r="A510" s="692"/>
      <c r="B510" s="532"/>
      <c r="C510" s="532"/>
      <c r="D510" s="692"/>
      <c r="E510" s="692"/>
      <c r="F510" s="692"/>
      <c r="G510" s="692"/>
      <c r="H510" s="692"/>
      <c r="I510" s="692"/>
      <c r="J510" s="532"/>
      <c r="K510" s="692"/>
      <c r="L510" s="692"/>
      <c r="M510" s="692"/>
      <c r="N510" s="532"/>
      <c r="O510" s="532"/>
      <c r="P510" s="532"/>
      <c r="Q510" s="532"/>
      <c r="R510" s="532"/>
      <c r="S510" s="532"/>
      <c r="T510" s="693"/>
      <c r="U510" s="693"/>
    </row>
    <row r="511">
      <c r="A511" s="692"/>
      <c r="B511" s="532"/>
      <c r="C511" s="532"/>
      <c r="D511" s="692"/>
      <c r="E511" s="692"/>
      <c r="F511" s="692"/>
      <c r="G511" s="692"/>
      <c r="H511" s="692"/>
      <c r="I511" s="692"/>
      <c r="J511" s="532"/>
      <c r="K511" s="692"/>
      <c r="L511" s="692"/>
      <c r="M511" s="692"/>
      <c r="N511" s="532"/>
      <c r="O511" s="532"/>
      <c r="P511" s="532"/>
      <c r="Q511" s="532"/>
      <c r="R511" s="532"/>
      <c r="S511" s="532"/>
      <c r="T511" s="693"/>
      <c r="U511" s="693"/>
    </row>
    <row r="512">
      <c r="A512" s="692"/>
      <c r="B512" s="532"/>
      <c r="C512" s="532"/>
      <c r="D512" s="692"/>
      <c r="E512" s="692"/>
      <c r="F512" s="692"/>
      <c r="G512" s="692"/>
      <c r="H512" s="692"/>
      <c r="I512" s="692"/>
      <c r="J512" s="532"/>
      <c r="K512" s="692"/>
      <c r="L512" s="692"/>
      <c r="M512" s="692"/>
      <c r="N512" s="532"/>
      <c r="O512" s="532"/>
      <c r="P512" s="532"/>
      <c r="Q512" s="532"/>
      <c r="R512" s="532"/>
      <c r="S512" s="532"/>
      <c r="T512" s="693"/>
      <c r="U512" s="693"/>
    </row>
    <row r="513">
      <c r="A513" s="692"/>
      <c r="B513" s="532"/>
      <c r="C513" s="532"/>
      <c r="D513" s="692"/>
      <c r="E513" s="692"/>
      <c r="F513" s="692"/>
      <c r="G513" s="692"/>
      <c r="H513" s="692"/>
      <c r="I513" s="692"/>
      <c r="J513" s="532"/>
      <c r="K513" s="692"/>
      <c r="L513" s="692"/>
      <c r="M513" s="692"/>
      <c r="N513" s="532"/>
      <c r="O513" s="532"/>
      <c r="P513" s="532"/>
      <c r="Q513" s="532"/>
      <c r="R513" s="532"/>
      <c r="S513" s="532"/>
      <c r="T513" s="693"/>
      <c r="U513" s="693"/>
    </row>
    <row r="514">
      <c r="A514" s="692"/>
      <c r="B514" s="532"/>
      <c r="C514" s="532"/>
      <c r="D514" s="692"/>
      <c r="E514" s="692"/>
      <c r="F514" s="692"/>
      <c r="G514" s="692"/>
      <c r="H514" s="692"/>
      <c r="I514" s="692"/>
      <c r="J514" s="532"/>
      <c r="K514" s="692"/>
      <c r="L514" s="692"/>
      <c r="M514" s="692"/>
      <c r="N514" s="532"/>
      <c r="O514" s="532"/>
      <c r="P514" s="532"/>
      <c r="Q514" s="532"/>
      <c r="R514" s="532"/>
      <c r="S514" s="532"/>
      <c r="T514" s="693"/>
      <c r="U514" s="693"/>
    </row>
    <row r="515">
      <c r="A515" s="692"/>
      <c r="B515" s="532"/>
      <c r="C515" s="532"/>
      <c r="D515" s="692"/>
      <c r="E515" s="692"/>
      <c r="F515" s="692"/>
      <c r="G515" s="692"/>
      <c r="H515" s="692"/>
      <c r="I515" s="692"/>
      <c r="J515" s="532"/>
      <c r="K515" s="692"/>
      <c r="L515" s="692"/>
      <c r="M515" s="692"/>
      <c r="N515" s="532"/>
      <c r="O515" s="532"/>
      <c r="P515" s="532"/>
      <c r="Q515" s="532"/>
      <c r="R515" s="532"/>
      <c r="S515" s="532"/>
      <c r="T515" s="693"/>
      <c r="U515" s="693"/>
    </row>
    <row r="516">
      <c r="A516" s="692"/>
      <c r="B516" s="532"/>
      <c r="C516" s="532"/>
      <c r="D516" s="692"/>
      <c r="E516" s="692"/>
      <c r="F516" s="692"/>
      <c r="G516" s="692"/>
      <c r="H516" s="692"/>
      <c r="I516" s="692"/>
      <c r="J516" s="532"/>
      <c r="K516" s="692"/>
      <c r="L516" s="692"/>
      <c r="M516" s="692"/>
      <c r="N516" s="532"/>
      <c r="O516" s="532"/>
      <c r="P516" s="532"/>
      <c r="Q516" s="532"/>
      <c r="R516" s="532"/>
      <c r="S516" s="532"/>
      <c r="T516" s="693"/>
      <c r="U516" s="693"/>
    </row>
    <row r="517">
      <c r="A517" s="692"/>
      <c r="B517" s="532"/>
      <c r="C517" s="532"/>
      <c r="D517" s="692"/>
      <c r="E517" s="692"/>
      <c r="F517" s="692"/>
      <c r="G517" s="692"/>
      <c r="H517" s="692"/>
      <c r="I517" s="692"/>
      <c r="J517" s="532"/>
      <c r="K517" s="692"/>
      <c r="L517" s="692"/>
      <c r="M517" s="692"/>
      <c r="N517" s="532"/>
      <c r="O517" s="532"/>
      <c r="P517" s="532"/>
      <c r="Q517" s="532"/>
      <c r="R517" s="532"/>
      <c r="S517" s="532"/>
      <c r="T517" s="693"/>
      <c r="U517" s="693"/>
    </row>
    <row r="518">
      <c r="A518" s="692"/>
      <c r="B518" s="532"/>
      <c r="C518" s="532"/>
      <c r="D518" s="692"/>
      <c r="E518" s="692"/>
      <c r="F518" s="692"/>
      <c r="G518" s="692"/>
      <c r="H518" s="692"/>
      <c r="I518" s="692"/>
      <c r="J518" s="532"/>
      <c r="K518" s="692"/>
      <c r="L518" s="692"/>
      <c r="M518" s="692"/>
      <c r="N518" s="532"/>
      <c r="O518" s="532"/>
      <c r="P518" s="532"/>
      <c r="Q518" s="532"/>
      <c r="R518" s="532"/>
      <c r="S518" s="532"/>
      <c r="T518" s="693"/>
      <c r="U518" s="693"/>
    </row>
    <row r="519">
      <c r="A519" s="692"/>
      <c r="B519" s="532"/>
      <c r="C519" s="532"/>
      <c r="D519" s="692"/>
      <c r="E519" s="692"/>
      <c r="F519" s="692"/>
      <c r="G519" s="692"/>
      <c r="H519" s="692"/>
      <c r="I519" s="692"/>
      <c r="J519" s="532"/>
      <c r="K519" s="692"/>
      <c r="L519" s="692"/>
      <c r="M519" s="692"/>
      <c r="N519" s="532"/>
      <c r="O519" s="532"/>
      <c r="P519" s="532"/>
      <c r="Q519" s="532"/>
      <c r="R519" s="532"/>
      <c r="S519" s="532"/>
      <c r="T519" s="693"/>
      <c r="U519" s="693"/>
    </row>
    <row r="520">
      <c r="A520" s="692"/>
      <c r="B520" s="532"/>
      <c r="C520" s="532"/>
      <c r="D520" s="692"/>
      <c r="E520" s="692"/>
      <c r="F520" s="692"/>
      <c r="G520" s="692"/>
      <c r="H520" s="692"/>
      <c r="I520" s="692"/>
      <c r="J520" s="532"/>
      <c r="K520" s="692"/>
      <c r="L520" s="692"/>
      <c r="M520" s="692"/>
      <c r="N520" s="532"/>
      <c r="O520" s="532"/>
      <c r="P520" s="532"/>
      <c r="Q520" s="532"/>
      <c r="R520" s="532"/>
      <c r="S520" s="532"/>
      <c r="T520" s="693"/>
      <c r="U520" s="693"/>
    </row>
    <row r="521">
      <c r="A521" s="692"/>
      <c r="B521" s="532"/>
      <c r="C521" s="532"/>
      <c r="D521" s="692"/>
      <c r="E521" s="692"/>
      <c r="F521" s="692"/>
      <c r="G521" s="692"/>
      <c r="H521" s="692"/>
      <c r="I521" s="692"/>
      <c r="J521" s="532"/>
      <c r="K521" s="692"/>
      <c r="L521" s="692"/>
      <c r="M521" s="692"/>
      <c r="N521" s="532"/>
      <c r="O521" s="532"/>
      <c r="P521" s="532"/>
      <c r="Q521" s="532"/>
      <c r="R521" s="532"/>
      <c r="S521" s="532"/>
      <c r="T521" s="693"/>
      <c r="U521" s="693"/>
    </row>
    <row r="522">
      <c r="A522" s="692"/>
      <c r="B522" s="532"/>
      <c r="C522" s="532"/>
      <c r="D522" s="692"/>
      <c r="E522" s="692"/>
      <c r="F522" s="692"/>
      <c r="G522" s="692"/>
      <c r="H522" s="692"/>
      <c r="I522" s="692"/>
      <c r="J522" s="532"/>
      <c r="K522" s="692"/>
      <c r="L522" s="692"/>
      <c r="M522" s="692"/>
      <c r="N522" s="532"/>
      <c r="O522" s="532"/>
      <c r="P522" s="532"/>
      <c r="Q522" s="532"/>
      <c r="R522" s="532"/>
      <c r="S522" s="532"/>
      <c r="T522" s="693"/>
      <c r="U522" s="693"/>
    </row>
    <row r="523">
      <c r="A523" s="692"/>
      <c r="B523" s="532"/>
      <c r="C523" s="532"/>
      <c r="D523" s="692"/>
      <c r="E523" s="692"/>
      <c r="F523" s="692"/>
      <c r="G523" s="692"/>
      <c r="H523" s="692"/>
      <c r="I523" s="692"/>
      <c r="J523" s="532"/>
      <c r="K523" s="692"/>
      <c r="L523" s="692"/>
      <c r="M523" s="692"/>
      <c r="N523" s="532"/>
      <c r="O523" s="532"/>
      <c r="P523" s="532"/>
      <c r="Q523" s="532"/>
      <c r="R523" s="532"/>
      <c r="S523" s="532"/>
      <c r="T523" s="693"/>
      <c r="U523" s="693"/>
    </row>
    <row r="524">
      <c r="A524" s="692"/>
      <c r="B524" s="532"/>
      <c r="C524" s="532"/>
      <c r="D524" s="692"/>
      <c r="E524" s="692"/>
      <c r="F524" s="692"/>
      <c r="G524" s="692"/>
      <c r="H524" s="692"/>
      <c r="I524" s="692"/>
      <c r="J524" s="532"/>
      <c r="K524" s="692"/>
      <c r="L524" s="692"/>
      <c r="M524" s="692"/>
      <c r="N524" s="532"/>
      <c r="O524" s="532"/>
      <c r="P524" s="532"/>
      <c r="Q524" s="532"/>
      <c r="R524" s="532"/>
      <c r="S524" s="532"/>
      <c r="T524" s="693"/>
      <c r="U524" s="693"/>
    </row>
    <row r="525">
      <c r="A525" s="692"/>
      <c r="B525" s="532"/>
      <c r="C525" s="532"/>
      <c r="D525" s="692"/>
      <c r="E525" s="692"/>
      <c r="F525" s="692"/>
      <c r="G525" s="692"/>
      <c r="H525" s="692"/>
      <c r="I525" s="692"/>
      <c r="J525" s="532"/>
      <c r="K525" s="692"/>
      <c r="L525" s="692"/>
      <c r="M525" s="692"/>
      <c r="N525" s="532"/>
      <c r="O525" s="532"/>
      <c r="P525" s="532"/>
      <c r="Q525" s="532"/>
      <c r="R525" s="532"/>
      <c r="S525" s="532"/>
      <c r="T525" s="693"/>
      <c r="U525" s="693"/>
    </row>
    <row r="526">
      <c r="A526" s="692"/>
      <c r="B526" s="532"/>
      <c r="C526" s="532"/>
      <c r="D526" s="692"/>
      <c r="E526" s="692"/>
      <c r="F526" s="692"/>
      <c r="G526" s="692"/>
      <c r="H526" s="692"/>
      <c r="I526" s="692"/>
      <c r="J526" s="532"/>
      <c r="K526" s="692"/>
      <c r="L526" s="692"/>
      <c r="M526" s="692"/>
      <c r="N526" s="532"/>
      <c r="O526" s="532"/>
      <c r="P526" s="532"/>
      <c r="Q526" s="532"/>
      <c r="R526" s="532"/>
      <c r="S526" s="532"/>
      <c r="T526" s="693"/>
      <c r="U526" s="693"/>
    </row>
    <row r="527">
      <c r="A527" s="692"/>
      <c r="B527" s="532"/>
      <c r="C527" s="532"/>
      <c r="D527" s="692"/>
      <c r="E527" s="692"/>
      <c r="F527" s="692"/>
      <c r="G527" s="692"/>
      <c r="H527" s="692"/>
      <c r="I527" s="692"/>
      <c r="J527" s="532"/>
      <c r="K527" s="692"/>
      <c r="L527" s="692"/>
      <c r="M527" s="692"/>
      <c r="N527" s="532"/>
      <c r="O527" s="532"/>
      <c r="P527" s="532"/>
      <c r="Q527" s="532"/>
      <c r="R527" s="532"/>
      <c r="S527" s="532"/>
      <c r="T527" s="693"/>
      <c r="U527" s="693"/>
    </row>
    <row r="528">
      <c r="A528" s="692"/>
      <c r="B528" s="532"/>
      <c r="C528" s="532"/>
      <c r="D528" s="692"/>
      <c r="E528" s="692"/>
      <c r="F528" s="692"/>
      <c r="G528" s="692"/>
      <c r="H528" s="692"/>
      <c r="I528" s="692"/>
      <c r="J528" s="532"/>
      <c r="K528" s="692"/>
      <c r="L528" s="692"/>
      <c r="M528" s="692"/>
      <c r="N528" s="532"/>
      <c r="O528" s="532"/>
      <c r="P528" s="532"/>
      <c r="Q528" s="532"/>
      <c r="R528" s="532"/>
      <c r="S528" s="532"/>
      <c r="T528" s="693"/>
      <c r="U528" s="693"/>
    </row>
    <row r="529">
      <c r="A529" s="692"/>
      <c r="B529" s="532"/>
      <c r="C529" s="532"/>
      <c r="D529" s="692"/>
      <c r="E529" s="692"/>
      <c r="F529" s="692"/>
      <c r="G529" s="692"/>
      <c r="H529" s="692"/>
      <c r="I529" s="692"/>
      <c r="J529" s="532"/>
      <c r="K529" s="692"/>
      <c r="L529" s="692"/>
      <c r="M529" s="692"/>
      <c r="N529" s="532"/>
      <c r="O529" s="532"/>
      <c r="P529" s="532"/>
      <c r="Q529" s="532"/>
      <c r="R529" s="532"/>
      <c r="S529" s="532"/>
      <c r="T529" s="693"/>
      <c r="U529" s="693"/>
    </row>
    <row r="530">
      <c r="A530" s="692"/>
      <c r="B530" s="532"/>
      <c r="C530" s="532"/>
      <c r="D530" s="692"/>
      <c r="E530" s="692"/>
      <c r="F530" s="692"/>
      <c r="G530" s="692"/>
      <c r="H530" s="692"/>
      <c r="I530" s="692"/>
      <c r="J530" s="532"/>
      <c r="K530" s="692"/>
      <c r="L530" s="692"/>
      <c r="M530" s="692"/>
      <c r="N530" s="532"/>
      <c r="O530" s="532"/>
      <c r="P530" s="532"/>
      <c r="Q530" s="532"/>
      <c r="R530" s="532"/>
      <c r="S530" s="532"/>
      <c r="T530" s="693"/>
      <c r="U530" s="693"/>
    </row>
    <row r="531">
      <c r="A531" s="692"/>
      <c r="B531" s="532"/>
      <c r="C531" s="532"/>
      <c r="D531" s="692"/>
      <c r="E531" s="692"/>
      <c r="F531" s="692"/>
      <c r="G531" s="692"/>
      <c r="H531" s="692"/>
      <c r="I531" s="692"/>
      <c r="J531" s="532"/>
      <c r="K531" s="692"/>
      <c r="L531" s="692"/>
      <c r="M531" s="692"/>
      <c r="N531" s="532"/>
      <c r="O531" s="532"/>
      <c r="P531" s="532"/>
      <c r="Q531" s="532"/>
      <c r="R531" s="532"/>
      <c r="S531" s="532"/>
      <c r="T531" s="693"/>
      <c r="U531" s="693"/>
    </row>
    <row r="532">
      <c r="A532" s="692"/>
      <c r="B532" s="532"/>
      <c r="C532" s="532"/>
      <c r="D532" s="692"/>
      <c r="E532" s="692"/>
      <c r="F532" s="692"/>
      <c r="G532" s="692"/>
      <c r="H532" s="692"/>
      <c r="I532" s="692"/>
      <c r="J532" s="532"/>
      <c r="K532" s="692"/>
      <c r="L532" s="692"/>
      <c r="M532" s="692"/>
      <c r="N532" s="532"/>
      <c r="O532" s="532"/>
      <c r="P532" s="532"/>
      <c r="Q532" s="532"/>
      <c r="R532" s="532"/>
      <c r="S532" s="532"/>
      <c r="T532" s="693"/>
      <c r="U532" s="693"/>
    </row>
    <row r="533">
      <c r="A533" s="692"/>
      <c r="B533" s="532"/>
      <c r="C533" s="532"/>
      <c r="D533" s="692"/>
      <c r="E533" s="692"/>
      <c r="F533" s="692"/>
      <c r="G533" s="692"/>
      <c r="H533" s="692"/>
      <c r="I533" s="692"/>
      <c r="J533" s="532"/>
      <c r="K533" s="692"/>
      <c r="L533" s="692"/>
      <c r="M533" s="692"/>
      <c r="N533" s="532"/>
      <c r="O533" s="532"/>
      <c r="P533" s="532"/>
      <c r="Q533" s="532"/>
      <c r="R533" s="532"/>
      <c r="S533" s="532"/>
      <c r="T533" s="693"/>
      <c r="U533" s="693"/>
    </row>
    <row r="534">
      <c r="A534" s="692"/>
      <c r="B534" s="532"/>
      <c r="C534" s="532"/>
      <c r="D534" s="692"/>
      <c r="E534" s="692"/>
      <c r="F534" s="692"/>
      <c r="G534" s="692"/>
      <c r="H534" s="692"/>
      <c r="I534" s="692"/>
      <c r="J534" s="532"/>
      <c r="K534" s="692"/>
      <c r="L534" s="692"/>
      <c r="M534" s="692"/>
      <c r="N534" s="532"/>
      <c r="O534" s="532"/>
      <c r="P534" s="532"/>
      <c r="Q534" s="532"/>
      <c r="R534" s="532"/>
      <c r="S534" s="532"/>
      <c r="T534" s="693"/>
      <c r="U534" s="693"/>
    </row>
    <row r="535">
      <c r="A535" s="692"/>
      <c r="B535" s="532"/>
      <c r="C535" s="532"/>
      <c r="D535" s="692"/>
      <c r="E535" s="692"/>
      <c r="F535" s="692"/>
      <c r="G535" s="692"/>
      <c r="H535" s="692"/>
      <c r="I535" s="692"/>
      <c r="J535" s="532"/>
      <c r="K535" s="692"/>
      <c r="L535" s="692"/>
      <c r="M535" s="692"/>
      <c r="N535" s="532"/>
      <c r="O535" s="532"/>
      <c r="P535" s="532"/>
      <c r="Q535" s="532"/>
      <c r="R535" s="532"/>
      <c r="S535" s="532"/>
      <c r="T535" s="693"/>
      <c r="U535" s="693"/>
    </row>
    <row r="536">
      <c r="A536" s="692"/>
      <c r="B536" s="532"/>
      <c r="C536" s="532"/>
      <c r="D536" s="692"/>
      <c r="E536" s="692"/>
      <c r="F536" s="692"/>
      <c r="G536" s="692"/>
      <c r="H536" s="692"/>
      <c r="I536" s="692"/>
      <c r="J536" s="532"/>
      <c r="K536" s="692"/>
      <c r="L536" s="692"/>
      <c r="M536" s="692"/>
      <c r="N536" s="532"/>
      <c r="O536" s="532"/>
      <c r="P536" s="532"/>
      <c r="Q536" s="532"/>
      <c r="R536" s="532"/>
      <c r="S536" s="532"/>
      <c r="T536" s="693"/>
      <c r="U536" s="693"/>
    </row>
    <row r="537">
      <c r="A537" s="692"/>
      <c r="B537" s="532"/>
      <c r="C537" s="532"/>
      <c r="D537" s="692"/>
      <c r="E537" s="692"/>
      <c r="F537" s="692"/>
      <c r="G537" s="692"/>
      <c r="H537" s="692"/>
      <c r="I537" s="692"/>
      <c r="J537" s="532"/>
      <c r="K537" s="692"/>
      <c r="L537" s="692"/>
      <c r="M537" s="692"/>
      <c r="N537" s="532"/>
      <c r="O537" s="532"/>
      <c r="P537" s="532"/>
      <c r="Q537" s="532"/>
      <c r="R537" s="532"/>
      <c r="S537" s="532"/>
      <c r="T537" s="693"/>
      <c r="U537" s="693"/>
    </row>
    <row r="538">
      <c r="A538" s="692"/>
      <c r="B538" s="532"/>
      <c r="C538" s="532"/>
      <c r="D538" s="692"/>
      <c r="E538" s="692"/>
      <c r="F538" s="692"/>
      <c r="G538" s="692"/>
      <c r="H538" s="692"/>
      <c r="I538" s="692"/>
      <c r="J538" s="532"/>
      <c r="K538" s="692"/>
      <c r="L538" s="692"/>
      <c r="M538" s="692"/>
      <c r="N538" s="532"/>
      <c r="O538" s="532"/>
      <c r="P538" s="532"/>
      <c r="Q538" s="532"/>
      <c r="R538" s="532"/>
      <c r="S538" s="532"/>
      <c r="T538" s="693"/>
      <c r="U538" s="693"/>
    </row>
    <row r="539">
      <c r="A539" s="692"/>
      <c r="B539" s="532"/>
      <c r="C539" s="532"/>
      <c r="D539" s="692"/>
      <c r="E539" s="692"/>
      <c r="F539" s="692"/>
      <c r="G539" s="692"/>
      <c r="H539" s="692"/>
      <c r="I539" s="692"/>
      <c r="J539" s="532"/>
      <c r="K539" s="692"/>
      <c r="L539" s="692"/>
      <c r="M539" s="692"/>
      <c r="N539" s="532"/>
      <c r="O539" s="532"/>
      <c r="P539" s="532"/>
      <c r="Q539" s="532"/>
      <c r="R539" s="532"/>
      <c r="S539" s="532"/>
      <c r="T539" s="693"/>
      <c r="U539" s="693"/>
    </row>
    <row r="540">
      <c r="A540" s="692"/>
      <c r="B540" s="532"/>
      <c r="C540" s="532"/>
      <c r="D540" s="692"/>
      <c r="E540" s="692"/>
      <c r="F540" s="692"/>
      <c r="G540" s="692"/>
      <c r="H540" s="692"/>
      <c r="I540" s="692"/>
      <c r="J540" s="532"/>
      <c r="K540" s="692"/>
      <c r="L540" s="692"/>
      <c r="M540" s="692"/>
      <c r="N540" s="532"/>
      <c r="O540" s="532"/>
      <c r="P540" s="532"/>
      <c r="Q540" s="532"/>
      <c r="R540" s="532"/>
      <c r="S540" s="532"/>
      <c r="T540" s="693"/>
      <c r="U540" s="693"/>
    </row>
    <row r="541">
      <c r="A541" s="692"/>
      <c r="B541" s="532"/>
      <c r="C541" s="532"/>
      <c r="D541" s="692"/>
      <c r="E541" s="692"/>
      <c r="F541" s="692"/>
      <c r="G541" s="692"/>
      <c r="H541" s="692"/>
      <c r="I541" s="692"/>
      <c r="J541" s="532"/>
      <c r="K541" s="692"/>
      <c r="L541" s="692"/>
      <c r="M541" s="692"/>
      <c r="N541" s="532"/>
      <c r="O541" s="532"/>
      <c r="P541" s="532"/>
      <c r="Q541" s="532"/>
      <c r="R541" s="532"/>
      <c r="S541" s="532"/>
      <c r="T541" s="693"/>
      <c r="U541" s="693"/>
    </row>
    <row r="542">
      <c r="A542" s="692"/>
      <c r="B542" s="532"/>
      <c r="C542" s="532"/>
      <c r="D542" s="692"/>
      <c r="E542" s="692"/>
      <c r="F542" s="692"/>
      <c r="G542" s="692"/>
      <c r="H542" s="692"/>
      <c r="I542" s="692"/>
      <c r="J542" s="532"/>
      <c r="K542" s="692"/>
      <c r="L542" s="692"/>
      <c r="M542" s="692"/>
      <c r="N542" s="532"/>
      <c r="O542" s="532"/>
      <c r="P542" s="532"/>
      <c r="Q542" s="532"/>
      <c r="R542" s="532"/>
      <c r="S542" s="532"/>
      <c r="T542" s="693"/>
      <c r="U542" s="693"/>
    </row>
    <row r="543">
      <c r="A543" s="692"/>
      <c r="B543" s="532"/>
      <c r="C543" s="532"/>
      <c r="D543" s="692"/>
      <c r="E543" s="692"/>
      <c r="F543" s="692"/>
      <c r="G543" s="692"/>
      <c r="H543" s="692"/>
      <c r="I543" s="692"/>
      <c r="J543" s="532"/>
      <c r="K543" s="692"/>
      <c r="L543" s="692"/>
      <c r="M543" s="692"/>
      <c r="N543" s="532"/>
      <c r="O543" s="532"/>
      <c r="P543" s="532"/>
      <c r="Q543" s="532"/>
      <c r="R543" s="532"/>
      <c r="S543" s="532"/>
      <c r="T543" s="693"/>
      <c r="U543" s="693"/>
    </row>
    <row r="544">
      <c r="A544" s="692"/>
      <c r="B544" s="532"/>
      <c r="C544" s="532"/>
      <c r="D544" s="692"/>
      <c r="E544" s="692"/>
      <c r="F544" s="692"/>
      <c r="G544" s="692"/>
      <c r="H544" s="692"/>
      <c r="I544" s="692"/>
      <c r="J544" s="532"/>
      <c r="K544" s="692"/>
      <c r="L544" s="692"/>
      <c r="M544" s="692"/>
      <c r="N544" s="532"/>
      <c r="O544" s="532"/>
      <c r="P544" s="532"/>
      <c r="Q544" s="532"/>
      <c r="R544" s="532"/>
      <c r="S544" s="532"/>
      <c r="T544" s="693"/>
      <c r="U544" s="693"/>
    </row>
    <row r="545">
      <c r="A545" s="692"/>
      <c r="B545" s="532"/>
      <c r="C545" s="532"/>
      <c r="D545" s="692"/>
      <c r="E545" s="692"/>
      <c r="F545" s="692"/>
      <c r="G545" s="692"/>
      <c r="H545" s="692"/>
      <c r="I545" s="692"/>
      <c r="J545" s="532"/>
      <c r="K545" s="692"/>
      <c r="L545" s="692"/>
      <c r="M545" s="692"/>
      <c r="N545" s="532"/>
      <c r="O545" s="532"/>
      <c r="P545" s="532"/>
      <c r="Q545" s="532"/>
      <c r="R545" s="532"/>
      <c r="S545" s="532"/>
      <c r="T545" s="693"/>
      <c r="U545" s="693"/>
    </row>
    <row r="546">
      <c r="A546" s="692"/>
      <c r="B546" s="532"/>
      <c r="C546" s="532"/>
      <c r="D546" s="692"/>
      <c r="E546" s="692"/>
      <c r="F546" s="692"/>
      <c r="G546" s="692"/>
      <c r="H546" s="692"/>
      <c r="I546" s="692"/>
      <c r="J546" s="532"/>
      <c r="K546" s="692"/>
      <c r="L546" s="692"/>
      <c r="M546" s="692"/>
      <c r="N546" s="532"/>
      <c r="O546" s="532"/>
      <c r="P546" s="532"/>
      <c r="Q546" s="532"/>
      <c r="R546" s="532"/>
      <c r="S546" s="532"/>
      <c r="T546" s="693"/>
      <c r="U546" s="693"/>
    </row>
    <row r="547">
      <c r="A547" s="692"/>
      <c r="B547" s="532"/>
      <c r="C547" s="532"/>
      <c r="D547" s="692"/>
      <c r="E547" s="692"/>
      <c r="F547" s="692"/>
      <c r="G547" s="692"/>
      <c r="H547" s="692"/>
      <c r="I547" s="692"/>
      <c r="J547" s="532"/>
      <c r="K547" s="692"/>
      <c r="L547" s="692"/>
      <c r="M547" s="692"/>
      <c r="N547" s="532"/>
      <c r="O547" s="532"/>
      <c r="P547" s="532"/>
      <c r="Q547" s="532"/>
      <c r="R547" s="532"/>
      <c r="S547" s="532"/>
      <c r="T547" s="693"/>
      <c r="U547" s="693"/>
    </row>
    <row r="548">
      <c r="A548" s="692"/>
      <c r="B548" s="532"/>
      <c r="C548" s="532"/>
      <c r="D548" s="692"/>
      <c r="E548" s="692"/>
      <c r="F548" s="692"/>
      <c r="G548" s="692"/>
      <c r="H548" s="692"/>
      <c r="I548" s="692"/>
      <c r="J548" s="532"/>
      <c r="K548" s="692"/>
      <c r="L548" s="692"/>
      <c r="M548" s="692"/>
      <c r="N548" s="532"/>
      <c r="O548" s="532"/>
      <c r="P548" s="532"/>
      <c r="Q548" s="532"/>
      <c r="R548" s="532"/>
      <c r="S548" s="532"/>
      <c r="T548" s="693"/>
      <c r="U548" s="693"/>
    </row>
    <row r="549">
      <c r="A549" s="692"/>
      <c r="B549" s="532"/>
      <c r="C549" s="532"/>
      <c r="D549" s="692"/>
      <c r="E549" s="692"/>
      <c r="F549" s="692"/>
      <c r="G549" s="692"/>
      <c r="H549" s="692"/>
      <c r="I549" s="692"/>
      <c r="J549" s="532"/>
      <c r="K549" s="692"/>
      <c r="L549" s="692"/>
      <c r="M549" s="692"/>
      <c r="N549" s="532"/>
      <c r="O549" s="532"/>
      <c r="P549" s="532"/>
      <c r="Q549" s="532"/>
      <c r="R549" s="532"/>
      <c r="S549" s="532"/>
      <c r="T549" s="693"/>
      <c r="U549" s="693"/>
    </row>
    <row r="550">
      <c r="A550" s="692"/>
      <c r="B550" s="532"/>
      <c r="C550" s="532"/>
      <c r="D550" s="692"/>
      <c r="E550" s="692"/>
      <c r="F550" s="692"/>
      <c r="G550" s="692"/>
      <c r="H550" s="692"/>
      <c r="I550" s="692"/>
      <c r="J550" s="532"/>
      <c r="K550" s="692"/>
      <c r="L550" s="692"/>
      <c r="M550" s="692"/>
      <c r="N550" s="532"/>
      <c r="O550" s="532"/>
      <c r="P550" s="532"/>
      <c r="Q550" s="532"/>
      <c r="R550" s="532"/>
      <c r="S550" s="532"/>
      <c r="T550" s="693"/>
      <c r="U550" s="693"/>
    </row>
    <row r="551">
      <c r="A551" s="692"/>
      <c r="B551" s="532"/>
      <c r="C551" s="532"/>
      <c r="D551" s="692"/>
      <c r="E551" s="692"/>
      <c r="F551" s="692"/>
      <c r="G551" s="692"/>
      <c r="H551" s="692"/>
      <c r="I551" s="692"/>
      <c r="J551" s="532"/>
      <c r="K551" s="692"/>
      <c r="L551" s="692"/>
      <c r="M551" s="692"/>
      <c r="N551" s="532"/>
      <c r="O551" s="532"/>
      <c r="P551" s="532"/>
      <c r="Q551" s="532"/>
      <c r="R551" s="532"/>
      <c r="S551" s="532"/>
      <c r="T551" s="693"/>
      <c r="U551" s="693"/>
    </row>
    <row r="552">
      <c r="A552" s="692"/>
      <c r="B552" s="532"/>
      <c r="C552" s="532"/>
      <c r="D552" s="692"/>
      <c r="E552" s="692"/>
      <c r="F552" s="692"/>
      <c r="G552" s="692"/>
      <c r="H552" s="692"/>
      <c r="I552" s="692"/>
      <c r="J552" s="532"/>
      <c r="K552" s="692"/>
      <c r="L552" s="692"/>
      <c r="M552" s="692"/>
      <c r="N552" s="532"/>
      <c r="O552" s="532"/>
      <c r="P552" s="532"/>
      <c r="Q552" s="532"/>
      <c r="R552" s="532"/>
      <c r="S552" s="532"/>
      <c r="T552" s="693"/>
      <c r="U552" s="693"/>
    </row>
    <row r="553">
      <c r="A553" s="692"/>
      <c r="B553" s="532"/>
      <c r="C553" s="532"/>
      <c r="D553" s="692"/>
      <c r="E553" s="692"/>
      <c r="F553" s="692"/>
      <c r="G553" s="692"/>
      <c r="H553" s="692"/>
      <c r="I553" s="692"/>
      <c r="J553" s="532"/>
      <c r="K553" s="692"/>
      <c r="L553" s="692"/>
      <c r="M553" s="692"/>
      <c r="N553" s="532"/>
      <c r="O553" s="532"/>
      <c r="P553" s="532"/>
      <c r="Q553" s="532"/>
      <c r="R553" s="532"/>
      <c r="S553" s="532"/>
      <c r="T553" s="693"/>
      <c r="U553" s="693"/>
    </row>
    <row r="554">
      <c r="A554" s="692"/>
      <c r="B554" s="532"/>
      <c r="C554" s="532"/>
      <c r="D554" s="692"/>
      <c r="E554" s="692"/>
      <c r="F554" s="692"/>
      <c r="G554" s="692"/>
      <c r="H554" s="692"/>
      <c r="I554" s="692"/>
      <c r="J554" s="532"/>
      <c r="K554" s="692"/>
      <c r="L554" s="692"/>
      <c r="M554" s="692"/>
      <c r="N554" s="532"/>
      <c r="O554" s="532"/>
      <c r="P554" s="532"/>
      <c r="Q554" s="532"/>
      <c r="R554" s="532"/>
      <c r="S554" s="532"/>
      <c r="T554" s="693"/>
      <c r="U554" s="693"/>
    </row>
    <row r="555">
      <c r="A555" s="692"/>
      <c r="B555" s="532"/>
      <c r="C555" s="532"/>
      <c r="D555" s="692"/>
      <c r="E555" s="692"/>
      <c r="F555" s="692"/>
      <c r="G555" s="692"/>
      <c r="H555" s="692"/>
      <c r="I555" s="692"/>
      <c r="J555" s="532"/>
      <c r="K555" s="692"/>
      <c r="L555" s="692"/>
      <c r="M555" s="692"/>
      <c r="N555" s="532"/>
      <c r="O555" s="532"/>
      <c r="P555" s="532"/>
      <c r="Q555" s="532"/>
      <c r="R555" s="532"/>
      <c r="S555" s="532"/>
      <c r="T555" s="693"/>
      <c r="U555" s="693"/>
    </row>
    <row r="556">
      <c r="A556" s="692"/>
      <c r="B556" s="532"/>
      <c r="C556" s="532"/>
      <c r="D556" s="692"/>
      <c r="E556" s="692"/>
      <c r="F556" s="692"/>
      <c r="G556" s="692"/>
      <c r="H556" s="692"/>
      <c r="I556" s="692"/>
      <c r="J556" s="532"/>
      <c r="K556" s="692"/>
      <c r="L556" s="692"/>
      <c r="M556" s="692"/>
      <c r="N556" s="532"/>
      <c r="O556" s="532"/>
      <c r="P556" s="532"/>
      <c r="Q556" s="532"/>
      <c r="R556" s="532"/>
      <c r="S556" s="532"/>
      <c r="T556" s="693"/>
      <c r="U556" s="693"/>
    </row>
    <row r="557">
      <c r="A557" s="692"/>
      <c r="B557" s="532"/>
      <c r="C557" s="532"/>
      <c r="D557" s="692"/>
      <c r="E557" s="692"/>
      <c r="F557" s="692"/>
      <c r="G557" s="692"/>
      <c r="H557" s="692"/>
      <c r="I557" s="692"/>
      <c r="J557" s="532"/>
      <c r="K557" s="692"/>
      <c r="L557" s="692"/>
      <c r="M557" s="692"/>
      <c r="N557" s="532"/>
      <c r="O557" s="532"/>
      <c r="P557" s="532"/>
      <c r="Q557" s="532"/>
      <c r="R557" s="532"/>
      <c r="S557" s="532"/>
      <c r="T557" s="693"/>
      <c r="U557" s="693"/>
    </row>
    <row r="558">
      <c r="A558" s="692"/>
      <c r="B558" s="532"/>
      <c r="C558" s="532"/>
      <c r="D558" s="692"/>
      <c r="E558" s="692"/>
      <c r="F558" s="692"/>
      <c r="G558" s="692"/>
      <c r="H558" s="692"/>
      <c r="I558" s="692"/>
      <c r="J558" s="532"/>
      <c r="K558" s="692"/>
      <c r="L558" s="692"/>
      <c r="M558" s="692"/>
      <c r="N558" s="532"/>
      <c r="O558" s="532"/>
      <c r="P558" s="532"/>
      <c r="Q558" s="532"/>
      <c r="R558" s="532"/>
      <c r="S558" s="532"/>
      <c r="T558" s="693"/>
      <c r="U558" s="693"/>
    </row>
    <row r="559">
      <c r="A559" s="692"/>
      <c r="B559" s="532"/>
      <c r="C559" s="532"/>
      <c r="D559" s="692"/>
      <c r="E559" s="692"/>
      <c r="F559" s="692"/>
      <c r="G559" s="692"/>
      <c r="H559" s="692"/>
      <c r="I559" s="692"/>
      <c r="J559" s="532"/>
      <c r="K559" s="692"/>
      <c r="L559" s="692"/>
      <c r="M559" s="692"/>
      <c r="N559" s="532"/>
      <c r="O559" s="532"/>
      <c r="P559" s="532"/>
      <c r="Q559" s="532"/>
      <c r="R559" s="532"/>
      <c r="S559" s="532"/>
      <c r="T559" s="693"/>
      <c r="U559" s="693"/>
    </row>
    <row r="560">
      <c r="A560" s="692"/>
      <c r="B560" s="532"/>
      <c r="C560" s="532"/>
      <c r="D560" s="692"/>
      <c r="E560" s="692"/>
      <c r="F560" s="692"/>
      <c r="G560" s="692"/>
      <c r="H560" s="692"/>
      <c r="I560" s="692"/>
      <c r="J560" s="532"/>
      <c r="K560" s="692"/>
      <c r="L560" s="692"/>
      <c r="M560" s="692"/>
      <c r="N560" s="532"/>
      <c r="O560" s="532"/>
      <c r="P560" s="532"/>
      <c r="Q560" s="532"/>
      <c r="R560" s="532"/>
      <c r="S560" s="532"/>
      <c r="T560" s="693"/>
      <c r="U560" s="693"/>
    </row>
    <row r="561">
      <c r="A561" s="692"/>
      <c r="B561" s="532"/>
      <c r="C561" s="532"/>
      <c r="D561" s="692"/>
      <c r="E561" s="692"/>
      <c r="F561" s="692"/>
      <c r="G561" s="692"/>
      <c r="H561" s="692"/>
      <c r="I561" s="692"/>
      <c r="J561" s="532"/>
      <c r="K561" s="692"/>
      <c r="L561" s="692"/>
      <c r="M561" s="692"/>
      <c r="N561" s="532"/>
      <c r="O561" s="532"/>
      <c r="P561" s="532"/>
      <c r="Q561" s="532"/>
      <c r="R561" s="532"/>
      <c r="S561" s="532"/>
      <c r="T561" s="693"/>
      <c r="U561" s="693"/>
    </row>
    <row r="562">
      <c r="A562" s="692"/>
      <c r="B562" s="532"/>
      <c r="C562" s="532"/>
      <c r="D562" s="692"/>
      <c r="E562" s="692"/>
      <c r="F562" s="692"/>
      <c r="G562" s="692"/>
      <c r="H562" s="692"/>
      <c r="I562" s="692"/>
      <c r="J562" s="532"/>
      <c r="K562" s="692"/>
      <c r="L562" s="692"/>
      <c r="M562" s="692"/>
      <c r="N562" s="532"/>
      <c r="O562" s="532"/>
      <c r="P562" s="532"/>
      <c r="Q562" s="532"/>
      <c r="R562" s="532"/>
      <c r="S562" s="532"/>
      <c r="T562" s="693"/>
      <c r="U562" s="693"/>
    </row>
    <row r="563">
      <c r="A563" s="692"/>
      <c r="B563" s="532"/>
      <c r="C563" s="532"/>
      <c r="D563" s="692"/>
      <c r="E563" s="692"/>
      <c r="F563" s="692"/>
      <c r="G563" s="692"/>
      <c r="H563" s="692"/>
      <c r="I563" s="692"/>
      <c r="J563" s="532"/>
      <c r="K563" s="692"/>
      <c r="L563" s="692"/>
      <c r="M563" s="692"/>
      <c r="N563" s="532"/>
      <c r="O563" s="532"/>
      <c r="P563" s="532"/>
      <c r="Q563" s="532"/>
      <c r="R563" s="532"/>
      <c r="S563" s="532"/>
      <c r="T563" s="693"/>
      <c r="U563" s="693"/>
    </row>
    <row r="564">
      <c r="A564" s="692"/>
      <c r="B564" s="532"/>
      <c r="C564" s="532"/>
      <c r="D564" s="692"/>
      <c r="E564" s="692"/>
      <c r="F564" s="692"/>
      <c r="G564" s="692"/>
      <c r="H564" s="692"/>
      <c r="I564" s="692"/>
      <c r="J564" s="532"/>
      <c r="K564" s="692"/>
      <c r="L564" s="692"/>
      <c r="M564" s="692"/>
      <c r="N564" s="532"/>
      <c r="O564" s="532"/>
      <c r="P564" s="532"/>
      <c r="Q564" s="532"/>
      <c r="R564" s="532"/>
      <c r="S564" s="532"/>
      <c r="T564" s="693"/>
      <c r="U564" s="693"/>
    </row>
    <row r="565">
      <c r="A565" s="692"/>
      <c r="B565" s="532"/>
      <c r="C565" s="532"/>
      <c r="D565" s="692"/>
      <c r="E565" s="692"/>
      <c r="F565" s="692"/>
      <c r="G565" s="692"/>
      <c r="H565" s="692"/>
      <c r="I565" s="692"/>
      <c r="J565" s="532"/>
      <c r="K565" s="692"/>
      <c r="L565" s="692"/>
      <c r="M565" s="692"/>
      <c r="N565" s="532"/>
      <c r="O565" s="532"/>
      <c r="P565" s="532"/>
      <c r="Q565" s="532"/>
      <c r="R565" s="532"/>
      <c r="S565" s="532"/>
      <c r="T565" s="693"/>
      <c r="U565" s="693"/>
    </row>
    <row r="566">
      <c r="A566" s="692"/>
      <c r="B566" s="532"/>
      <c r="C566" s="532"/>
      <c r="D566" s="692"/>
      <c r="E566" s="692"/>
      <c r="F566" s="692"/>
      <c r="G566" s="692"/>
      <c r="H566" s="692"/>
      <c r="I566" s="692"/>
      <c r="J566" s="532"/>
      <c r="K566" s="692"/>
      <c r="L566" s="692"/>
      <c r="M566" s="692"/>
      <c r="N566" s="532"/>
      <c r="O566" s="532"/>
      <c r="P566" s="532"/>
      <c r="Q566" s="532"/>
      <c r="R566" s="532"/>
      <c r="S566" s="532"/>
      <c r="T566" s="693"/>
      <c r="U566" s="693"/>
    </row>
    <row r="567">
      <c r="A567" s="692"/>
      <c r="B567" s="532"/>
      <c r="C567" s="532"/>
      <c r="D567" s="692"/>
      <c r="E567" s="692"/>
      <c r="F567" s="692"/>
      <c r="G567" s="692"/>
      <c r="H567" s="692"/>
      <c r="I567" s="692"/>
      <c r="J567" s="532"/>
      <c r="K567" s="692"/>
      <c r="L567" s="692"/>
      <c r="M567" s="692"/>
      <c r="N567" s="532"/>
      <c r="O567" s="532"/>
      <c r="P567" s="532"/>
      <c r="Q567" s="532"/>
      <c r="R567" s="532"/>
      <c r="S567" s="532"/>
      <c r="T567" s="693"/>
      <c r="U567" s="693"/>
    </row>
    <row r="568">
      <c r="A568" s="692"/>
      <c r="B568" s="532"/>
      <c r="C568" s="532"/>
      <c r="D568" s="692"/>
      <c r="E568" s="692"/>
      <c r="F568" s="692"/>
      <c r="G568" s="692"/>
      <c r="H568" s="692"/>
      <c r="I568" s="692"/>
      <c r="J568" s="532"/>
      <c r="K568" s="692"/>
      <c r="L568" s="692"/>
      <c r="M568" s="692"/>
      <c r="N568" s="532"/>
      <c r="O568" s="532"/>
      <c r="P568" s="532"/>
      <c r="Q568" s="532"/>
      <c r="R568" s="532"/>
      <c r="S568" s="532"/>
      <c r="T568" s="693"/>
      <c r="U568" s="693"/>
    </row>
    <row r="569">
      <c r="A569" s="692"/>
      <c r="B569" s="532"/>
      <c r="C569" s="532"/>
      <c r="D569" s="692"/>
      <c r="E569" s="692"/>
      <c r="F569" s="692"/>
      <c r="G569" s="692"/>
      <c r="H569" s="692"/>
      <c r="I569" s="692"/>
      <c r="J569" s="532"/>
      <c r="K569" s="692"/>
      <c r="L569" s="692"/>
      <c r="M569" s="692"/>
      <c r="N569" s="532"/>
      <c r="O569" s="532"/>
      <c r="P569" s="532"/>
      <c r="Q569" s="532"/>
      <c r="R569" s="532"/>
      <c r="S569" s="532"/>
      <c r="T569" s="693"/>
      <c r="U569" s="693"/>
    </row>
    <row r="570">
      <c r="A570" s="692"/>
      <c r="B570" s="532"/>
      <c r="C570" s="532"/>
      <c r="D570" s="692"/>
      <c r="E570" s="692"/>
      <c r="F570" s="692"/>
      <c r="G570" s="692"/>
      <c r="H570" s="692"/>
      <c r="I570" s="692"/>
      <c r="J570" s="532"/>
      <c r="K570" s="692"/>
      <c r="L570" s="692"/>
      <c r="M570" s="692"/>
      <c r="N570" s="532"/>
      <c r="O570" s="532"/>
      <c r="P570" s="532"/>
      <c r="Q570" s="532"/>
      <c r="R570" s="532"/>
      <c r="S570" s="532"/>
      <c r="T570" s="693"/>
      <c r="U570" s="693"/>
    </row>
    <row r="571">
      <c r="A571" s="692"/>
      <c r="B571" s="532"/>
      <c r="C571" s="532"/>
      <c r="D571" s="692"/>
      <c r="E571" s="692"/>
      <c r="F571" s="692"/>
      <c r="G571" s="692"/>
      <c r="H571" s="692"/>
      <c r="I571" s="692"/>
      <c r="J571" s="532"/>
      <c r="K571" s="692"/>
      <c r="L571" s="692"/>
      <c r="M571" s="692"/>
      <c r="N571" s="532"/>
      <c r="O571" s="532"/>
      <c r="P571" s="532"/>
      <c r="Q571" s="532"/>
      <c r="R571" s="532"/>
      <c r="S571" s="532"/>
      <c r="T571" s="693"/>
      <c r="U571" s="693"/>
    </row>
    <row r="572">
      <c r="A572" s="692"/>
      <c r="B572" s="532"/>
      <c r="C572" s="532"/>
      <c r="D572" s="692"/>
      <c r="E572" s="692"/>
      <c r="F572" s="692"/>
      <c r="G572" s="692"/>
      <c r="H572" s="692"/>
      <c r="I572" s="692"/>
      <c r="J572" s="532"/>
      <c r="K572" s="692"/>
      <c r="L572" s="692"/>
      <c r="M572" s="692"/>
      <c r="N572" s="532"/>
      <c r="O572" s="532"/>
      <c r="P572" s="532"/>
      <c r="Q572" s="532"/>
      <c r="R572" s="532"/>
      <c r="S572" s="532"/>
      <c r="T572" s="693"/>
      <c r="U572" s="693"/>
    </row>
    <row r="573">
      <c r="A573" s="692"/>
      <c r="B573" s="532"/>
      <c r="C573" s="532"/>
      <c r="D573" s="692"/>
      <c r="E573" s="692"/>
      <c r="F573" s="692"/>
      <c r="G573" s="692"/>
      <c r="H573" s="692"/>
      <c r="I573" s="692"/>
      <c r="J573" s="532"/>
      <c r="K573" s="692"/>
      <c r="L573" s="692"/>
      <c r="M573" s="692"/>
      <c r="N573" s="532"/>
      <c r="O573" s="532"/>
      <c r="P573" s="532"/>
      <c r="Q573" s="532"/>
      <c r="R573" s="532"/>
      <c r="S573" s="532"/>
      <c r="T573" s="693"/>
      <c r="U573" s="693"/>
    </row>
    <row r="574">
      <c r="A574" s="692"/>
      <c r="B574" s="532"/>
      <c r="C574" s="532"/>
      <c r="D574" s="692"/>
      <c r="E574" s="692"/>
      <c r="F574" s="692"/>
      <c r="G574" s="692"/>
      <c r="H574" s="692"/>
      <c r="I574" s="692"/>
      <c r="J574" s="532"/>
      <c r="K574" s="692"/>
      <c r="L574" s="692"/>
      <c r="M574" s="692"/>
      <c r="N574" s="532"/>
      <c r="O574" s="532"/>
      <c r="P574" s="532"/>
      <c r="Q574" s="532"/>
      <c r="R574" s="532"/>
      <c r="S574" s="532"/>
      <c r="T574" s="693"/>
      <c r="U574" s="693"/>
    </row>
    <row r="575">
      <c r="A575" s="692"/>
      <c r="B575" s="532"/>
      <c r="C575" s="532"/>
      <c r="D575" s="692"/>
      <c r="E575" s="692"/>
      <c r="F575" s="692"/>
      <c r="G575" s="692"/>
      <c r="H575" s="692"/>
      <c r="I575" s="692"/>
      <c r="J575" s="532"/>
      <c r="K575" s="692"/>
      <c r="L575" s="692"/>
      <c r="M575" s="692"/>
      <c r="N575" s="532"/>
      <c r="O575" s="532"/>
      <c r="P575" s="532"/>
      <c r="Q575" s="532"/>
      <c r="R575" s="532"/>
      <c r="S575" s="532"/>
      <c r="T575" s="693"/>
      <c r="U575" s="693"/>
    </row>
    <row r="576">
      <c r="A576" s="692"/>
      <c r="B576" s="532"/>
      <c r="C576" s="532"/>
      <c r="D576" s="692"/>
      <c r="E576" s="692"/>
      <c r="F576" s="692"/>
      <c r="G576" s="692"/>
      <c r="H576" s="692"/>
      <c r="I576" s="692"/>
      <c r="J576" s="532"/>
      <c r="K576" s="692"/>
      <c r="L576" s="692"/>
      <c r="M576" s="692"/>
      <c r="N576" s="532"/>
      <c r="O576" s="532"/>
      <c r="P576" s="532"/>
      <c r="Q576" s="532"/>
      <c r="R576" s="532"/>
      <c r="S576" s="532"/>
      <c r="T576" s="693"/>
      <c r="U576" s="693"/>
    </row>
    <row r="577">
      <c r="A577" s="692"/>
      <c r="B577" s="532"/>
      <c r="C577" s="532"/>
      <c r="D577" s="692"/>
      <c r="E577" s="692"/>
      <c r="F577" s="692"/>
      <c r="G577" s="692"/>
      <c r="H577" s="692"/>
      <c r="I577" s="692"/>
      <c r="J577" s="532"/>
      <c r="K577" s="692"/>
      <c r="L577" s="692"/>
      <c r="M577" s="692"/>
      <c r="N577" s="532"/>
      <c r="O577" s="532"/>
      <c r="P577" s="532"/>
      <c r="Q577" s="532"/>
      <c r="R577" s="532"/>
      <c r="S577" s="532"/>
      <c r="T577" s="693"/>
      <c r="U577" s="693"/>
    </row>
    <row r="578">
      <c r="A578" s="692"/>
      <c r="B578" s="532"/>
      <c r="C578" s="532"/>
      <c r="D578" s="692"/>
      <c r="E578" s="692"/>
      <c r="F578" s="692"/>
      <c r="G578" s="692"/>
      <c r="H578" s="692"/>
      <c r="I578" s="692"/>
      <c r="J578" s="532"/>
      <c r="K578" s="692"/>
      <c r="L578" s="692"/>
      <c r="M578" s="692"/>
      <c r="N578" s="532"/>
      <c r="O578" s="532"/>
      <c r="P578" s="532"/>
      <c r="Q578" s="532"/>
      <c r="R578" s="532"/>
      <c r="S578" s="532"/>
      <c r="T578" s="693"/>
      <c r="U578" s="693"/>
    </row>
    <row r="579">
      <c r="A579" s="692"/>
      <c r="B579" s="532"/>
      <c r="C579" s="532"/>
      <c r="D579" s="692"/>
      <c r="E579" s="692"/>
      <c r="F579" s="692"/>
      <c r="G579" s="692"/>
      <c r="H579" s="692"/>
      <c r="I579" s="692"/>
      <c r="J579" s="532"/>
      <c r="K579" s="692"/>
      <c r="L579" s="692"/>
      <c r="M579" s="692"/>
      <c r="N579" s="532"/>
      <c r="O579" s="532"/>
      <c r="P579" s="532"/>
      <c r="Q579" s="532"/>
      <c r="R579" s="532"/>
      <c r="S579" s="532"/>
      <c r="T579" s="693"/>
      <c r="U579" s="693"/>
    </row>
    <row r="580">
      <c r="A580" s="692"/>
      <c r="B580" s="532"/>
      <c r="C580" s="532"/>
      <c r="D580" s="692"/>
      <c r="E580" s="692"/>
      <c r="F580" s="692"/>
      <c r="G580" s="692"/>
      <c r="H580" s="692"/>
      <c r="I580" s="692"/>
      <c r="J580" s="532"/>
      <c r="K580" s="692"/>
      <c r="L580" s="692"/>
      <c r="M580" s="692"/>
      <c r="N580" s="532"/>
      <c r="O580" s="532"/>
      <c r="P580" s="532"/>
      <c r="Q580" s="532"/>
      <c r="R580" s="532"/>
      <c r="S580" s="532"/>
      <c r="T580" s="693"/>
      <c r="U580" s="693"/>
    </row>
    <row r="581">
      <c r="A581" s="692"/>
      <c r="B581" s="532"/>
      <c r="C581" s="532"/>
      <c r="D581" s="692"/>
      <c r="E581" s="692"/>
      <c r="F581" s="692"/>
      <c r="G581" s="692"/>
      <c r="H581" s="692"/>
      <c r="I581" s="692"/>
      <c r="J581" s="532"/>
      <c r="K581" s="692"/>
      <c r="L581" s="692"/>
      <c r="M581" s="692"/>
      <c r="N581" s="532"/>
      <c r="O581" s="532"/>
      <c r="P581" s="532"/>
      <c r="Q581" s="532"/>
      <c r="R581" s="532"/>
      <c r="S581" s="532"/>
      <c r="T581" s="693"/>
      <c r="U581" s="693"/>
    </row>
    <row r="582">
      <c r="A582" s="692"/>
      <c r="B582" s="532"/>
      <c r="C582" s="532"/>
      <c r="D582" s="692"/>
      <c r="E582" s="692"/>
      <c r="F582" s="692"/>
      <c r="G582" s="692"/>
      <c r="H582" s="692"/>
      <c r="I582" s="692"/>
      <c r="J582" s="532"/>
      <c r="K582" s="692"/>
      <c r="L582" s="692"/>
      <c r="M582" s="692"/>
      <c r="N582" s="532"/>
      <c r="O582" s="532"/>
      <c r="P582" s="532"/>
      <c r="Q582" s="532"/>
      <c r="R582" s="532"/>
      <c r="S582" s="532"/>
      <c r="T582" s="693"/>
      <c r="U582" s="693"/>
    </row>
    <row r="583">
      <c r="A583" s="692"/>
      <c r="B583" s="532"/>
      <c r="C583" s="532"/>
      <c r="D583" s="692"/>
      <c r="E583" s="692"/>
      <c r="F583" s="692"/>
      <c r="G583" s="692"/>
      <c r="H583" s="692"/>
      <c r="I583" s="692"/>
      <c r="J583" s="532"/>
      <c r="K583" s="692"/>
      <c r="L583" s="692"/>
      <c r="M583" s="692"/>
      <c r="N583" s="532"/>
      <c r="O583" s="532"/>
      <c r="P583" s="532"/>
      <c r="Q583" s="532"/>
      <c r="R583" s="532"/>
      <c r="S583" s="532"/>
      <c r="T583" s="693"/>
      <c r="U583" s="693"/>
    </row>
    <row r="584">
      <c r="A584" s="692"/>
      <c r="B584" s="532"/>
      <c r="C584" s="532"/>
      <c r="D584" s="692"/>
      <c r="E584" s="692"/>
      <c r="F584" s="692"/>
      <c r="G584" s="692"/>
      <c r="H584" s="692"/>
      <c r="I584" s="692"/>
      <c r="J584" s="532"/>
      <c r="K584" s="692"/>
      <c r="L584" s="692"/>
      <c r="M584" s="692"/>
      <c r="N584" s="532"/>
      <c r="O584" s="532"/>
      <c r="P584" s="532"/>
      <c r="Q584" s="532"/>
      <c r="R584" s="532"/>
      <c r="S584" s="532"/>
      <c r="T584" s="693"/>
      <c r="U584" s="693"/>
    </row>
    <row r="585">
      <c r="A585" s="692"/>
      <c r="B585" s="532"/>
      <c r="C585" s="532"/>
      <c r="D585" s="692"/>
      <c r="E585" s="692"/>
      <c r="F585" s="692"/>
      <c r="G585" s="692"/>
      <c r="H585" s="692"/>
      <c r="I585" s="692"/>
      <c r="J585" s="532"/>
      <c r="K585" s="692"/>
      <c r="L585" s="692"/>
      <c r="M585" s="692"/>
      <c r="N585" s="532"/>
      <c r="O585" s="532"/>
      <c r="P585" s="532"/>
      <c r="Q585" s="532"/>
      <c r="R585" s="532"/>
      <c r="S585" s="532"/>
      <c r="T585" s="693"/>
      <c r="U585" s="693"/>
    </row>
    <row r="586">
      <c r="A586" s="692"/>
      <c r="B586" s="532"/>
      <c r="C586" s="532"/>
      <c r="D586" s="692"/>
      <c r="E586" s="692"/>
      <c r="F586" s="692"/>
      <c r="G586" s="692"/>
      <c r="H586" s="692"/>
      <c r="I586" s="692"/>
      <c r="J586" s="532"/>
      <c r="K586" s="692"/>
      <c r="L586" s="692"/>
      <c r="M586" s="692"/>
      <c r="N586" s="532"/>
      <c r="O586" s="532"/>
      <c r="P586" s="532"/>
      <c r="Q586" s="532"/>
      <c r="R586" s="532"/>
      <c r="S586" s="532"/>
      <c r="T586" s="693"/>
      <c r="U586" s="693"/>
    </row>
    <row r="587">
      <c r="A587" s="692"/>
      <c r="B587" s="532"/>
      <c r="C587" s="532"/>
      <c r="D587" s="692"/>
      <c r="E587" s="692"/>
      <c r="F587" s="692"/>
      <c r="G587" s="692"/>
      <c r="H587" s="692"/>
      <c r="I587" s="692"/>
      <c r="J587" s="532"/>
      <c r="K587" s="692"/>
      <c r="L587" s="692"/>
      <c r="M587" s="692"/>
      <c r="N587" s="532"/>
      <c r="O587" s="532"/>
      <c r="P587" s="532"/>
      <c r="Q587" s="532"/>
      <c r="R587" s="532"/>
      <c r="S587" s="532"/>
      <c r="T587" s="693"/>
      <c r="U587" s="693"/>
    </row>
    <row r="588">
      <c r="A588" s="692"/>
      <c r="B588" s="532"/>
      <c r="C588" s="532"/>
      <c r="D588" s="692"/>
      <c r="E588" s="692"/>
      <c r="F588" s="692"/>
      <c r="G588" s="692"/>
      <c r="H588" s="692"/>
      <c r="I588" s="692"/>
      <c r="J588" s="532"/>
      <c r="K588" s="692"/>
      <c r="L588" s="692"/>
      <c r="M588" s="692"/>
      <c r="N588" s="532"/>
      <c r="O588" s="532"/>
      <c r="P588" s="532"/>
      <c r="Q588" s="532"/>
      <c r="R588" s="532"/>
      <c r="S588" s="532"/>
      <c r="T588" s="693"/>
      <c r="U588" s="693"/>
    </row>
    <row r="589">
      <c r="A589" s="692"/>
      <c r="B589" s="532"/>
      <c r="C589" s="532"/>
      <c r="D589" s="692"/>
      <c r="E589" s="692"/>
      <c r="F589" s="692"/>
      <c r="G589" s="692"/>
      <c r="H589" s="692"/>
      <c r="I589" s="692"/>
      <c r="J589" s="532"/>
      <c r="K589" s="692"/>
      <c r="L589" s="692"/>
      <c r="M589" s="692"/>
      <c r="N589" s="532"/>
      <c r="O589" s="532"/>
      <c r="P589" s="532"/>
      <c r="Q589" s="532"/>
      <c r="R589" s="532"/>
      <c r="S589" s="532"/>
      <c r="T589" s="693"/>
      <c r="U589" s="693"/>
    </row>
    <row r="590">
      <c r="A590" s="692"/>
      <c r="B590" s="532"/>
      <c r="C590" s="532"/>
      <c r="D590" s="692"/>
      <c r="E590" s="692"/>
      <c r="F590" s="692"/>
      <c r="G590" s="692"/>
      <c r="H590" s="692"/>
      <c r="I590" s="692"/>
      <c r="J590" s="532"/>
      <c r="K590" s="692"/>
      <c r="L590" s="692"/>
      <c r="M590" s="692"/>
      <c r="N590" s="532"/>
      <c r="O590" s="532"/>
      <c r="P590" s="532"/>
      <c r="Q590" s="532"/>
      <c r="R590" s="532"/>
      <c r="S590" s="532"/>
      <c r="T590" s="693"/>
      <c r="U590" s="693"/>
    </row>
    <row r="591">
      <c r="A591" s="692"/>
      <c r="B591" s="532"/>
      <c r="C591" s="532"/>
      <c r="D591" s="692"/>
      <c r="E591" s="692"/>
      <c r="F591" s="692"/>
      <c r="G591" s="692"/>
      <c r="H591" s="692"/>
      <c r="I591" s="692"/>
      <c r="J591" s="532"/>
      <c r="K591" s="692"/>
      <c r="L591" s="692"/>
      <c r="M591" s="692"/>
      <c r="N591" s="532"/>
      <c r="O591" s="532"/>
      <c r="P591" s="532"/>
      <c r="Q591" s="532"/>
      <c r="R591" s="532"/>
      <c r="S591" s="532"/>
      <c r="T591" s="693"/>
      <c r="U591" s="693"/>
    </row>
    <row r="592">
      <c r="A592" s="692"/>
      <c r="B592" s="532"/>
      <c r="C592" s="532"/>
      <c r="D592" s="692"/>
      <c r="E592" s="692"/>
      <c r="F592" s="692"/>
      <c r="G592" s="692"/>
      <c r="H592" s="692"/>
      <c r="I592" s="692"/>
      <c r="J592" s="532"/>
      <c r="K592" s="692"/>
      <c r="L592" s="692"/>
      <c r="M592" s="692"/>
      <c r="N592" s="532"/>
      <c r="O592" s="532"/>
      <c r="P592" s="532"/>
      <c r="Q592" s="532"/>
      <c r="R592" s="532"/>
      <c r="S592" s="532"/>
      <c r="T592" s="693"/>
      <c r="U592" s="693"/>
    </row>
    <row r="593">
      <c r="A593" s="692"/>
      <c r="B593" s="532"/>
      <c r="C593" s="532"/>
      <c r="D593" s="692"/>
      <c r="E593" s="692"/>
      <c r="F593" s="692"/>
      <c r="G593" s="692"/>
      <c r="H593" s="692"/>
      <c r="I593" s="692"/>
      <c r="J593" s="532"/>
      <c r="K593" s="692"/>
      <c r="L593" s="692"/>
      <c r="M593" s="692"/>
      <c r="N593" s="532"/>
      <c r="O593" s="532"/>
      <c r="P593" s="532"/>
      <c r="Q593" s="532"/>
      <c r="R593" s="532"/>
      <c r="S593" s="532"/>
      <c r="T593" s="693"/>
      <c r="U593" s="693"/>
    </row>
    <row r="594">
      <c r="A594" s="692"/>
      <c r="B594" s="532"/>
      <c r="C594" s="532"/>
      <c r="D594" s="692"/>
      <c r="E594" s="692"/>
      <c r="F594" s="692"/>
      <c r="G594" s="692"/>
      <c r="H594" s="692"/>
      <c r="I594" s="692"/>
      <c r="J594" s="532"/>
      <c r="K594" s="692"/>
      <c r="L594" s="692"/>
      <c r="M594" s="692"/>
      <c r="N594" s="532"/>
      <c r="O594" s="532"/>
      <c r="P594" s="532"/>
      <c r="Q594" s="532"/>
      <c r="R594" s="532"/>
      <c r="S594" s="532"/>
      <c r="T594" s="693"/>
      <c r="U594" s="693"/>
    </row>
    <row r="595">
      <c r="A595" s="692"/>
      <c r="B595" s="532"/>
      <c r="C595" s="532"/>
      <c r="D595" s="692"/>
      <c r="E595" s="692"/>
      <c r="F595" s="692"/>
      <c r="G595" s="692"/>
      <c r="H595" s="692"/>
      <c r="I595" s="692"/>
      <c r="J595" s="532"/>
      <c r="K595" s="692"/>
      <c r="L595" s="692"/>
      <c r="M595" s="692"/>
      <c r="N595" s="532"/>
      <c r="O595" s="532"/>
      <c r="P595" s="532"/>
      <c r="Q595" s="532"/>
      <c r="R595" s="532"/>
      <c r="S595" s="532"/>
      <c r="T595" s="693"/>
      <c r="U595" s="693"/>
    </row>
    <row r="596">
      <c r="A596" s="692"/>
      <c r="B596" s="532"/>
      <c r="C596" s="532"/>
      <c r="D596" s="692"/>
      <c r="E596" s="692"/>
      <c r="F596" s="692"/>
      <c r="G596" s="692"/>
      <c r="H596" s="692"/>
      <c r="I596" s="692"/>
      <c r="J596" s="532"/>
      <c r="K596" s="692"/>
      <c r="L596" s="692"/>
      <c r="M596" s="692"/>
      <c r="N596" s="532"/>
      <c r="O596" s="532"/>
      <c r="P596" s="532"/>
      <c r="Q596" s="532"/>
      <c r="R596" s="532"/>
      <c r="S596" s="532"/>
      <c r="T596" s="693"/>
      <c r="U596" s="693"/>
    </row>
    <row r="597">
      <c r="A597" s="692"/>
      <c r="B597" s="532"/>
      <c r="C597" s="532"/>
      <c r="D597" s="692"/>
      <c r="E597" s="692"/>
      <c r="F597" s="692"/>
      <c r="G597" s="692"/>
      <c r="H597" s="692"/>
      <c r="I597" s="692"/>
      <c r="J597" s="532"/>
      <c r="K597" s="692"/>
      <c r="L597" s="692"/>
      <c r="M597" s="692"/>
      <c r="N597" s="532"/>
      <c r="O597" s="532"/>
      <c r="P597" s="532"/>
      <c r="Q597" s="532"/>
      <c r="R597" s="532"/>
      <c r="S597" s="532"/>
      <c r="T597" s="693"/>
      <c r="U597" s="693"/>
    </row>
    <row r="598">
      <c r="A598" s="692"/>
      <c r="B598" s="532"/>
      <c r="C598" s="532"/>
      <c r="D598" s="692"/>
      <c r="E598" s="692"/>
      <c r="F598" s="692"/>
      <c r="G598" s="692"/>
      <c r="H598" s="692"/>
      <c r="I598" s="692"/>
      <c r="J598" s="532"/>
      <c r="K598" s="692"/>
      <c r="L598" s="692"/>
      <c r="M598" s="692"/>
      <c r="N598" s="532"/>
      <c r="O598" s="532"/>
      <c r="P598" s="532"/>
      <c r="Q598" s="532"/>
      <c r="R598" s="532"/>
      <c r="S598" s="532"/>
      <c r="T598" s="693"/>
      <c r="U598" s="693"/>
    </row>
    <row r="599">
      <c r="A599" s="692"/>
      <c r="B599" s="532"/>
      <c r="C599" s="532"/>
      <c r="D599" s="692"/>
      <c r="E599" s="692"/>
      <c r="F599" s="692"/>
      <c r="G599" s="692"/>
      <c r="H599" s="692"/>
      <c r="I599" s="692"/>
      <c r="J599" s="532"/>
      <c r="K599" s="692"/>
      <c r="L599" s="692"/>
      <c r="M599" s="692"/>
      <c r="N599" s="532"/>
      <c r="O599" s="532"/>
      <c r="P599" s="532"/>
      <c r="Q599" s="532"/>
      <c r="R599" s="532"/>
      <c r="S599" s="532"/>
      <c r="T599" s="693"/>
      <c r="U599" s="693"/>
    </row>
    <row r="600">
      <c r="A600" s="692"/>
      <c r="B600" s="532"/>
      <c r="C600" s="532"/>
      <c r="D600" s="692"/>
      <c r="E600" s="692"/>
      <c r="F600" s="692"/>
      <c r="G600" s="692"/>
      <c r="H600" s="692"/>
      <c r="I600" s="692"/>
      <c r="J600" s="532"/>
      <c r="K600" s="692"/>
      <c r="L600" s="692"/>
      <c r="M600" s="692"/>
      <c r="N600" s="532"/>
      <c r="O600" s="532"/>
      <c r="P600" s="532"/>
      <c r="Q600" s="532"/>
      <c r="R600" s="532"/>
      <c r="S600" s="532"/>
      <c r="T600" s="693"/>
      <c r="U600" s="693"/>
    </row>
    <row r="601">
      <c r="A601" s="692"/>
      <c r="B601" s="532"/>
      <c r="C601" s="532"/>
      <c r="D601" s="692"/>
      <c r="E601" s="692"/>
      <c r="F601" s="692"/>
      <c r="G601" s="692"/>
      <c r="H601" s="692"/>
      <c r="I601" s="692"/>
      <c r="J601" s="532"/>
      <c r="K601" s="692"/>
      <c r="L601" s="692"/>
      <c r="M601" s="692"/>
      <c r="N601" s="532"/>
      <c r="O601" s="532"/>
      <c r="P601" s="532"/>
      <c r="Q601" s="532"/>
      <c r="R601" s="532"/>
      <c r="S601" s="532"/>
      <c r="T601" s="693"/>
      <c r="U601" s="693"/>
    </row>
    <row r="602">
      <c r="A602" s="692"/>
      <c r="B602" s="532"/>
      <c r="C602" s="532"/>
      <c r="D602" s="692"/>
      <c r="E602" s="692"/>
      <c r="F602" s="692"/>
      <c r="G602" s="692"/>
      <c r="H602" s="692"/>
      <c r="I602" s="692"/>
      <c r="J602" s="532"/>
      <c r="K602" s="692"/>
      <c r="L602" s="692"/>
      <c r="M602" s="692"/>
      <c r="N602" s="532"/>
      <c r="O602" s="532"/>
      <c r="P602" s="532"/>
      <c r="Q602" s="532"/>
      <c r="R602" s="532"/>
      <c r="S602" s="532"/>
      <c r="T602" s="693"/>
      <c r="U602" s="693"/>
    </row>
    <row r="603">
      <c r="A603" s="692"/>
      <c r="B603" s="532"/>
      <c r="C603" s="532"/>
      <c r="D603" s="692"/>
      <c r="E603" s="692"/>
      <c r="F603" s="692"/>
      <c r="G603" s="692"/>
      <c r="H603" s="692"/>
      <c r="I603" s="692"/>
      <c r="J603" s="532"/>
      <c r="K603" s="692"/>
      <c r="L603" s="692"/>
      <c r="M603" s="692"/>
      <c r="N603" s="532"/>
      <c r="O603" s="532"/>
      <c r="P603" s="532"/>
      <c r="Q603" s="532"/>
      <c r="R603" s="532"/>
      <c r="S603" s="532"/>
      <c r="T603" s="693"/>
      <c r="U603" s="693"/>
    </row>
    <row r="604">
      <c r="A604" s="692"/>
      <c r="B604" s="532"/>
      <c r="C604" s="532"/>
      <c r="D604" s="692"/>
      <c r="E604" s="692"/>
      <c r="F604" s="692"/>
      <c r="G604" s="692"/>
      <c r="H604" s="692"/>
      <c r="I604" s="692"/>
      <c r="J604" s="532"/>
      <c r="K604" s="692"/>
      <c r="L604" s="692"/>
      <c r="M604" s="692"/>
      <c r="N604" s="532"/>
      <c r="O604" s="532"/>
      <c r="P604" s="532"/>
      <c r="Q604" s="532"/>
      <c r="R604" s="532"/>
      <c r="S604" s="532"/>
      <c r="T604" s="693"/>
      <c r="U604" s="693"/>
    </row>
    <row r="605">
      <c r="A605" s="692"/>
      <c r="B605" s="532"/>
      <c r="C605" s="532"/>
      <c r="D605" s="692"/>
      <c r="E605" s="692"/>
      <c r="F605" s="692"/>
      <c r="G605" s="692"/>
      <c r="H605" s="692"/>
      <c r="I605" s="692"/>
      <c r="J605" s="532"/>
      <c r="K605" s="692"/>
      <c r="L605" s="692"/>
      <c r="M605" s="692"/>
      <c r="N605" s="532"/>
      <c r="O605" s="532"/>
      <c r="P605" s="532"/>
      <c r="Q605" s="532"/>
      <c r="R605" s="532"/>
      <c r="S605" s="532"/>
      <c r="T605" s="693"/>
      <c r="U605" s="693"/>
    </row>
    <row r="606">
      <c r="A606" s="692"/>
      <c r="B606" s="532"/>
      <c r="C606" s="532"/>
      <c r="D606" s="692"/>
      <c r="E606" s="692"/>
      <c r="F606" s="692"/>
      <c r="G606" s="692"/>
      <c r="H606" s="692"/>
      <c r="I606" s="692"/>
      <c r="J606" s="532"/>
      <c r="K606" s="692"/>
      <c r="L606" s="692"/>
      <c r="M606" s="692"/>
      <c r="N606" s="532"/>
      <c r="O606" s="532"/>
      <c r="P606" s="532"/>
      <c r="Q606" s="532"/>
      <c r="R606" s="532"/>
      <c r="S606" s="532"/>
      <c r="T606" s="693"/>
      <c r="U606" s="693"/>
    </row>
    <row r="607">
      <c r="A607" s="692"/>
      <c r="B607" s="532"/>
      <c r="C607" s="532"/>
      <c r="D607" s="692"/>
      <c r="E607" s="692"/>
      <c r="F607" s="692"/>
      <c r="G607" s="692"/>
      <c r="H607" s="692"/>
      <c r="I607" s="692"/>
      <c r="J607" s="532"/>
      <c r="K607" s="692"/>
      <c r="L607" s="692"/>
      <c r="M607" s="692"/>
      <c r="N607" s="532"/>
      <c r="O607" s="532"/>
      <c r="P607" s="532"/>
      <c r="Q607" s="532"/>
      <c r="R607" s="532"/>
      <c r="S607" s="532"/>
      <c r="T607" s="693"/>
      <c r="U607" s="693"/>
    </row>
    <row r="608">
      <c r="A608" s="692"/>
      <c r="B608" s="532"/>
      <c r="C608" s="532"/>
      <c r="D608" s="692"/>
      <c r="E608" s="692"/>
      <c r="F608" s="692"/>
      <c r="G608" s="692"/>
      <c r="H608" s="692"/>
      <c r="I608" s="692"/>
      <c r="J608" s="532"/>
      <c r="K608" s="692"/>
      <c r="L608" s="692"/>
      <c r="M608" s="692"/>
      <c r="N608" s="532"/>
      <c r="O608" s="532"/>
      <c r="P608" s="532"/>
      <c r="Q608" s="532"/>
      <c r="R608" s="532"/>
      <c r="S608" s="532"/>
      <c r="T608" s="693"/>
      <c r="U608" s="693"/>
    </row>
    <row r="609">
      <c r="A609" s="692"/>
      <c r="B609" s="532"/>
      <c r="C609" s="532"/>
      <c r="D609" s="692"/>
      <c r="E609" s="692"/>
      <c r="F609" s="692"/>
      <c r="G609" s="692"/>
      <c r="H609" s="692"/>
      <c r="I609" s="692"/>
      <c r="J609" s="532"/>
      <c r="K609" s="692"/>
      <c r="L609" s="692"/>
      <c r="M609" s="692"/>
      <c r="N609" s="532"/>
      <c r="O609" s="532"/>
      <c r="P609" s="532"/>
      <c r="Q609" s="532"/>
      <c r="R609" s="532"/>
      <c r="S609" s="532"/>
      <c r="T609" s="693"/>
      <c r="U609" s="693"/>
    </row>
    <row r="610">
      <c r="A610" s="692"/>
      <c r="B610" s="532"/>
      <c r="C610" s="532"/>
      <c r="D610" s="692"/>
      <c r="E610" s="692"/>
      <c r="F610" s="692"/>
      <c r="G610" s="692"/>
      <c r="H610" s="692"/>
      <c r="I610" s="692"/>
      <c r="J610" s="532"/>
      <c r="K610" s="692"/>
      <c r="L610" s="692"/>
      <c r="M610" s="692"/>
      <c r="N610" s="532"/>
      <c r="O610" s="532"/>
      <c r="P610" s="532"/>
      <c r="Q610" s="532"/>
      <c r="R610" s="532"/>
      <c r="S610" s="532"/>
      <c r="T610" s="693"/>
      <c r="U610" s="693"/>
    </row>
    <row r="611">
      <c r="A611" s="692"/>
      <c r="B611" s="532"/>
      <c r="C611" s="532"/>
      <c r="D611" s="692"/>
      <c r="E611" s="692"/>
      <c r="F611" s="692"/>
      <c r="G611" s="692"/>
      <c r="H611" s="692"/>
      <c r="I611" s="692"/>
      <c r="J611" s="532"/>
      <c r="K611" s="692"/>
      <c r="L611" s="692"/>
      <c r="M611" s="692"/>
      <c r="N611" s="532"/>
      <c r="O611" s="532"/>
      <c r="P611" s="532"/>
      <c r="Q611" s="532"/>
      <c r="R611" s="532"/>
      <c r="S611" s="532"/>
      <c r="T611" s="693"/>
      <c r="U611" s="693"/>
    </row>
    <row r="612">
      <c r="A612" s="692"/>
      <c r="B612" s="532"/>
      <c r="C612" s="532"/>
      <c r="D612" s="692"/>
      <c r="E612" s="692"/>
      <c r="F612" s="692"/>
      <c r="G612" s="692"/>
      <c r="H612" s="692"/>
      <c r="I612" s="692"/>
      <c r="J612" s="532"/>
      <c r="K612" s="692"/>
      <c r="L612" s="692"/>
      <c r="M612" s="692"/>
      <c r="N612" s="532"/>
      <c r="O612" s="532"/>
      <c r="P612" s="532"/>
      <c r="Q612" s="532"/>
      <c r="R612" s="532"/>
      <c r="S612" s="532"/>
      <c r="T612" s="693"/>
      <c r="U612" s="693"/>
    </row>
    <row r="613">
      <c r="A613" s="692"/>
      <c r="B613" s="532"/>
      <c r="C613" s="532"/>
      <c r="D613" s="692"/>
      <c r="E613" s="692"/>
      <c r="F613" s="692"/>
      <c r="G613" s="692"/>
      <c r="H613" s="692"/>
      <c r="I613" s="692"/>
      <c r="J613" s="532"/>
      <c r="K613" s="692"/>
      <c r="L613" s="692"/>
      <c r="M613" s="692"/>
      <c r="N613" s="532"/>
      <c r="O613" s="532"/>
      <c r="P613" s="532"/>
      <c r="Q613" s="532"/>
      <c r="R613" s="532"/>
      <c r="S613" s="532"/>
      <c r="T613" s="693"/>
      <c r="U613" s="693"/>
    </row>
    <row r="614">
      <c r="A614" s="692"/>
      <c r="B614" s="532"/>
      <c r="C614" s="532"/>
      <c r="D614" s="692"/>
      <c r="E614" s="692"/>
      <c r="F614" s="692"/>
      <c r="G614" s="692"/>
      <c r="H614" s="692"/>
      <c r="I614" s="692"/>
      <c r="J614" s="532"/>
      <c r="K614" s="692"/>
      <c r="L614" s="692"/>
      <c r="M614" s="692"/>
      <c r="N614" s="532"/>
      <c r="O614" s="532"/>
      <c r="P614" s="532"/>
      <c r="Q614" s="532"/>
      <c r="R614" s="532"/>
      <c r="S614" s="532"/>
      <c r="T614" s="693"/>
      <c r="U614" s="693"/>
    </row>
    <row r="615">
      <c r="A615" s="692"/>
      <c r="B615" s="532"/>
      <c r="C615" s="532"/>
      <c r="D615" s="692"/>
      <c r="E615" s="692"/>
      <c r="F615" s="692"/>
      <c r="G615" s="692"/>
      <c r="H615" s="692"/>
      <c r="I615" s="692"/>
      <c r="J615" s="532"/>
      <c r="K615" s="692"/>
      <c r="L615" s="692"/>
      <c r="M615" s="692"/>
      <c r="N615" s="532"/>
      <c r="O615" s="532"/>
      <c r="P615" s="532"/>
      <c r="Q615" s="532"/>
      <c r="R615" s="532"/>
      <c r="S615" s="532"/>
      <c r="T615" s="693"/>
      <c r="U615" s="693"/>
    </row>
    <row r="616">
      <c r="A616" s="692"/>
      <c r="B616" s="532"/>
      <c r="C616" s="532"/>
      <c r="D616" s="692"/>
      <c r="E616" s="692"/>
      <c r="F616" s="692"/>
      <c r="G616" s="692"/>
      <c r="H616" s="692"/>
      <c r="I616" s="692"/>
      <c r="J616" s="532"/>
      <c r="K616" s="692"/>
      <c r="L616" s="692"/>
      <c r="M616" s="692"/>
      <c r="N616" s="532"/>
      <c r="O616" s="532"/>
      <c r="P616" s="532"/>
      <c r="Q616" s="532"/>
      <c r="R616" s="532"/>
      <c r="S616" s="532"/>
      <c r="T616" s="693"/>
      <c r="U616" s="693"/>
    </row>
    <row r="617">
      <c r="A617" s="692"/>
      <c r="B617" s="532"/>
      <c r="C617" s="532"/>
      <c r="D617" s="692"/>
      <c r="E617" s="692"/>
      <c r="F617" s="692"/>
      <c r="G617" s="692"/>
      <c r="H617" s="692"/>
      <c r="I617" s="692"/>
      <c r="J617" s="532"/>
      <c r="K617" s="692"/>
      <c r="L617" s="692"/>
      <c r="M617" s="692"/>
      <c r="N617" s="532"/>
      <c r="O617" s="532"/>
      <c r="P617" s="532"/>
      <c r="Q617" s="532"/>
      <c r="R617" s="532"/>
      <c r="S617" s="532"/>
      <c r="T617" s="693"/>
      <c r="U617" s="693"/>
    </row>
    <row r="618">
      <c r="A618" s="692"/>
      <c r="B618" s="532"/>
      <c r="C618" s="532"/>
      <c r="D618" s="692"/>
      <c r="E618" s="692"/>
      <c r="F618" s="692"/>
      <c r="G618" s="692"/>
      <c r="H618" s="692"/>
      <c r="I618" s="692"/>
      <c r="J618" s="532"/>
      <c r="K618" s="692"/>
      <c r="L618" s="692"/>
      <c r="M618" s="692"/>
      <c r="N618" s="532"/>
      <c r="O618" s="532"/>
      <c r="P618" s="532"/>
      <c r="Q618" s="532"/>
      <c r="R618" s="532"/>
      <c r="S618" s="532"/>
      <c r="T618" s="693"/>
      <c r="U618" s="693"/>
    </row>
    <row r="619">
      <c r="A619" s="692"/>
      <c r="B619" s="532"/>
      <c r="C619" s="532"/>
      <c r="D619" s="692"/>
      <c r="E619" s="692"/>
      <c r="F619" s="692"/>
      <c r="G619" s="692"/>
      <c r="H619" s="692"/>
      <c r="I619" s="692"/>
      <c r="J619" s="532"/>
      <c r="K619" s="692"/>
      <c r="L619" s="692"/>
      <c r="M619" s="692"/>
      <c r="N619" s="532"/>
      <c r="O619" s="532"/>
      <c r="P619" s="532"/>
      <c r="Q619" s="532"/>
      <c r="R619" s="532"/>
      <c r="S619" s="532"/>
      <c r="T619" s="693"/>
      <c r="U619" s="693"/>
    </row>
    <row r="620">
      <c r="A620" s="692"/>
      <c r="B620" s="532"/>
      <c r="C620" s="532"/>
      <c r="D620" s="692"/>
      <c r="E620" s="692"/>
      <c r="F620" s="692"/>
      <c r="G620" s="692"/>
      <c r="H620" s="692"/>
      <c r="I620" s="692"/>
      <c r="J620" s="532"/>
      <c r="K620" s="692"/>
      <c r="L620" s="692"/>
      <c r="M620" s="692"/>
      <c r="N620" s="532"/>
      <c r="O620" s="532"/>
      <c r="P620" s="532"/>
      <c r="Q620" s="532"/>
      <c r="R620" s="532"/>
      <c r="S620" s="532"/>
      <c r="T620" s="693"/>
      <c r="U620" s="693"/>
    </row>
    <row r="621">
      <c r="A621" s="692"/>
      <c r="B621" s="532"/>
      <c r="C621" s="532"/>
      <c r="D621" s="692"/>
      <c r="E621" s="692"/>
      <c r="F621" s="692"/>
      <c r="G621" s="692"/>
      <c r="H621" s="692"/>
      <c r="I621" s="692"/>
      <c r="J621" s="532"/>
      <c r="K621" s="692"/>
      <c r="L621" s="692"/>
      <c r="M621" s="692"/>
      <c r="N621" s="532"/>
      <c r="O621" s="532"/>
      <c r="P621" s="532"/>
      <c r="Q621" s="532"/>
      <c r="R621" s="532"/>
      <c r="S621" s="532"/>
      <c r="T621" s="693"/>
      <c r="U621" s="693"/>
    </row>
    <row r="622">
      <c r="A622" s="692"/>
      <c r="B622" s="532"/>
      <c r="C622" s="532"/>
      <c r="D622" s="692"/>
      <c r="E622" s="692"/>
      <c r="F622" s="692"/>
      <c r="G622" s="692"/>
      <c r="H622" s="692"/>
      <c r="I622" s="692"/>
      <c r="J622" s="532"/>
      <c r="K622" s="692"/>
      <c r="L622" s="692"/>
      <c r="M622" s="692"/>
      <c r="N622" s="532"/>
      <c r="O622" s="532"/>
      <c r="P622" s="532"/>
      <c r="Q622" s="532"/>
      <c r="R622" s="532"/>
      <c r="S622" s="532"/>
      <c r="T622" s="693"/>
      <c r="U622" s="693"/>
    </row>
    <row r="623">
      <c r="A623" s="692"/>
      <c r="B623" s="532"/>
      <c r="C623" s="532"/>
      <c r="D623" s="692"/>
      <c r="E623" s="692"/>
      <c r="F623" s="692"/>
      <c r="G623" s="692"/>
      <c r="H623" s="692"/>
      <c r="I623" s="692"/>
      <c r="J623" s="532"/>
      <c r="K623" s="692"/>
      <c r="L623" s="692"/>
      <c r="M623" s="692"/>
      <c r="N623" s="532"/>
      <c r="O623" s="532"/>
      <c r="P623" s="532"/>
      <c r="Q623" s="532"/>
      <c r="R623" s="532"/>
      <c r="S623" s="532"/>
      <c r="T623" s="693"/>
      <c r="U623" s="693"/>
    </row>
    <row r="624">
      <c r="A624" s="692"/>
      <c r="B624" s="532"/>
      <c r="C624" s="532"/>
      <c r="D624" s="692"/>
      <c r="E624" s="692"/>
      <c r="F624" s="692"/>
      <c r="G624" s="692"/>
      <c r="H624" s="692"/>
      <c r="I624" s="692"/>
      <c r="J624" s="532"/>
      <c r="K624" s="692"/>
      <c r="L624" s="692"/>
      <c r="M624" s="692"/>
      <c r="N624" s="532"/>
      <c r="O624" s="532"/>
      <c r="P624" s="532"/>
      <c r="Q624" s="532"/>
      <c r="R624" s="532"/>
      <c r="S624" s="532"/>
      <c r="T624" s="693"/>
      <c r="U624" s="693"/>
    </row>
    <row r="625">
      <c r="A625" s="692"/>
      <c r="B625" s="532"/>
      <c r="C625" s="532"/>
      <c r="D625" s="692"/>
      <c r="E625" s="692"/>
      <c r="F625" s="692"/>
      <c r="G625" s="692"/>
      <c r="H625" s="692"/>
      <c r="I625" s="692"/>
      <c r="J625" s="532"/>
      <c r="K625" s="692"/>
      <c r="L625" s="692"/>
      <c r="M625" s="692"/>
      <c r="N625" s="532"/>
      <c r="O625" s="532"/>
      <c r="P625" s="532"/>
      <c r="Q625" s="532"/>
      <c r="R625" s="532"/>
      <c r="S625" s="532"/>
      <c r="T625" s="693"/>
      <c r="U625" s="693"/>
    </row>
    <row r="626">
      <c r="A626" s="692"/>
      <c r="B626" s="532"/>
      <c r="C626" s="532"/>
      <c r="D626" s="692"/>
      <c r="E626" s="692"/>
      <c r="F626" s="692"/>
      <c r="G626" s="692"/>
      <c r="H626" s="692"/>
      <c r="I626" s="692"/>
      <c r="J626" s="532"/>
      <c r="K626" s="692"/>
      <c r="L626" s="692"/>
      <c r="M626" s="692"/>
      <c r="N626" s="532"/>
      <c r="O626" s="532"/>
      <c r="P626" s="532"/>
      <c r="Q626" s="532"/>
      <c r="R626" s="532"/>
      <c r="S626" s="532"/>
      <c r="T626" s="693"/>
      <c r="U626" s="693"/>
    </row>
    <row r="627">
      <c r="A627" s="692"/>
      <c r="B627" s="532"/>
      <c r="C627" s="532"/>
      <c r="D627" s="692"/>
      <c r="E627" s="692"/>
      <c r="F627" s="692"/>
      <c r="G627" s="692"/>
      <c r="H627" s="692"/>
      <c r="I627" s="692"/>
      <c r="J627" s="532"/>
      <c r="K627" s="692"/>
      <c r="L627" s="692"/>
      <c r="M627" s="692"/>
      <c r="N627" s="532"/>
      <c r="O627" s="532"/>
      <c r="P627" s="532"/>
      <c r="Q627" s="532"/>
      <c r="R627" s="532"/>
      <c r="S627" s="532"/>
      <c r="T627" s="693"/>
      <c r="U627" s="693"/>
    </row>
    <row r="628">
      <c r="A628" s="692"/>
      <c r="B628" s="532"/>
      <c r="C628" s="532"/>
      <c r="D628" s="692"/>
      <c r="E628" s="692"/>
      <c r="F628" s="692"/>
      <c r="G628" s="692"/>
      <c r="H628" s="692"/>
      <c r="I628" s="692"/>
      <c r="J628" s="532"/>
      <c r="K628" s="692"/>
      <c r="L628" s="692"/>
      <c r="M628" s="692"/>
      <c r="N628" s="532"/>
      <c r="O628" s="532"/>
      <c r="P628" s="532"/>
      <c r="Q628" s="532"/>
      <c r="R628" s="532"/>
      <c r="S628" s="532"/>
      <c r="T628" s="693"/>
      <c r="U628" s="693"/>
    </row>
    <row r="629">
      <c r="A629" s="692"/>
      <c r="B629" s="532"/>
      <c r="C629" s="532"/>
      <c r="D629" s="692"/>
      <c r="E629" s="692"/>
      <c r="F629" s="692"/>
      <c r="G629" s="692"/>
      <c r="H629" s="692"/>
      <c r="I629" s="692"/>
      <c r="J629" s="532"/>
      <c r="K629" s="692"/>
      <c r="L629" s="692"/>
      <c r="M629" s="692"/>
      <c r="N629" s="532"/>
      <c r="O629" s="532"/>
      <c r="P629" s="532"/>
      <c r="Q629" s="532"/>
      <c r="R629" s="532"/>
      <c r="S629" s="532"/>
      <c r="T629" s="693"/>
      <c r="U629" s="693"/>
    </row>
    <row r="630">
      <c r="A630" s="692"/>
      <c r="B630" s="532"/>
      <c r="C630" s="532"/>
      <c r="D630" s="692"/>
      <c r="E630" s="692"/>
      <c r="F630" s="692"/>
      <c r="G630" s="692"/>
      <c r="H630" s="692"/>
      <c r="I630" s="692"/>
      <c r="J630" s="532"/>
      <c r="K630" s="692"/>
      <c r="L630" s="692"/>
      <c r="M630" s="692"/>
      <c r="N630" s="532"/>
      <c r="O630" s="532"/>
      <c r="P630" s="532"/>
      <c r="Q630" s="532"/>
      <c r="R630" s="532"/>
      <c r="S630" s="532"/>
      <c r="T630" s="693"/>
      <c r="U630" s="693"/>
    </row>
    <row r="631">
      <c r="A631" s="692"/>
      <c r="B631" s="532"/>
      <c r="C631" s="532"/>
      <c r="D631" s="692"/>
      <c r="E631" s="692"/>
      <c r="F631" s="692"/>
      <c r="G631" s="692"/>
      <c r="H631" s="692"/>
      <c r="I631" s="692"/>
      <c r="J631" s="532"/>
      <c r="K631" s="692"/>
      <c r="L631" s="692"/>
      <c r="M631" s="692"/>
      <c r="N631" s="532"/>
      <c r="O631" s="532"/>
      <c r="P631" s="532"/>
      <c r="Q631" s="532"/>
      <c r="R631" s="532"/>
      <c r="S631" s="532"/>
      <c r="T631" s="693"/>
      <c r="U631" s="693"/>
    </row>
    <row r="632">
      <c r="A632" s="692"/>
      <c r="B632" s="532"/>
      <c r="C632" s="532"/>
      <c r="D632" s="692"/>
      <c r="E632" s="692"/>
      <c r="F632" s="692"/>
      <c r="G632" s="692"/>
      <c r="H632" s="692"/>
      <c r="I632" s="692"/>
      <c r="J632" s="532"/>
      <c r="K632" s="692"/>
      <c r="L632" s="692"/>
      <c r="M632" s="692"/>
      <c r="N632" s="532"/>
      <c r="O632" s="532"/>
      <c r="P632" s="532"/>
      <c r="Q632" s="532"/>
      <c r="R632" s="532"/>
      <c r="S632" s="532"/>
      <c r="T632" s="693"/>
      <c r="U632" s="693"/>
    </row>
    <row r="633">
      <c r="A633" s="692"/>
      <c r="B633" s="532"/>
      <c r="C633" s="532"/>
      <c r="D633" s="692"/>
      <c r="E633" s="692"/>
      <c r="F633" s="692"/>
      <c r="G633" s="692"/>
      <c r="H633" s="692"/>
      <c r="I633" s="692"/>
      <c r="J633" s="532"/>
      <c r="K633" s="692"/>
      <c r="L633" s="692"/>
      <c r="M633" s="692"/>
      <c r="N633" s="532"/>
      <c r="O633" s="532"/>
      <c r="P633" s="532"/>
      <c r="Q633" s="532"/>
      <c r="R633" s="532"/>
      <c r="S633" s="532"/>
      <c r="T633" s="693"/>
      <c r="U633" s="693"/>
    </row>
    <row r="634">
      <c r="A634" s="692"/>
      <c r="B634" s="532"/>
      <c r="C634" s="532"/>
      <c r="D634" s="692"/>
      <c r="E634" s="692"/>
      <c r="F634" s="692"/>
      <c r="G634" s="692"/>
      <c r="H634" s="692"/>
      <c r="I634" s="692"/>
      <c r="J634" s="532"/>
      <c r="K634" s="692"/>
      <c r="L634" s="692"/>
      <c r="M634" s="692"/>
      <c r="N634" s="532"/>
      <c r="O634" s="532"/>
      <c r="P634" s="532"/>
      <c r="Q634" s="532"/>
      <c r="R634" s="532"/>
      <c r="S634" s="532"/>
      <c r="T634" s="693"/>
      <c r="U634" s="693"/>
    </row>
    <row r="635">
      <c r="A635" s="692"/>
      <c r="B635" s="532"/>
      <c r="C635" s="532"/>
      <c r="D635" s="692"/>
      <c r="E635" s="692"/>
      <c r="F635" s="692"/>
      <c r="G635" s="692"/>
      <c r="H635" s="692"/>
      <c r="I635" s="692"/>
      <c r="J635" s="532"/>
      <c r="K635" s="692"/>
      <c r="L635" s="692"/>
      <c r="M635" s="692"/>
      <c r="N635" s="532"/>
      <c r="O635" s="532"/>
      <c r="P635" s="532"/>
      <c r="Q635" s="532"/>
      <c r="R635" s="532"/>
      <c r="S635" s="532"/>
      <c r="T635" s="693"/>
      <c r="U635" s="693"/>
    </row>
    <row r="636">
      <c r="A636" s="692"/>
      <c r="B636" s="532"/>
      <c r="C636" s="532"/>
      <c r="D636" s="692"/>
      <c r="E636" s="692"/>
      <c r="F636" s="692"/>
      <c r="G636" s="692"/>
      <c r="H636" s="692"/>
      <c r="I636" s="692"/>
      <c r="J636" s="532"/>
      <c r="K636" s="692"/>
      <c r="L636" s="692"/>
      <c r="M636" s="692"/>
      <c r="N636" s="532"/>
      <c r="O636" s="532"/>
      <c r="P636" s="532"/>
      <c r="Q636" s="532"/>
      <c r="R636" s="532"/>
      <c r="S636" s="532"/>
      <c r="T636" s="693"/>
      <c r="U636" s="693"/>
    </row>
    <row r="637">
      <c r="A637" s="692"/>
      <c r="B637" s="532"/>
      <c r="C637" s="532"/>
      <c r="D637" s="692"/>
      <c r="E637" s="692"/>
      <c r="F637" s="692"/>
      <c r="G637" s="692"/>
      <c r="H637" s="692"/>
      <c r="I637" s="692"/>
      <c r="J637" s="532"/>
      <c r="K637" s="692"/>
      <c r="L637" s="692"/>
      <c r="M637" s="692"/>
      <c r="N637" s="532"/>
      <c r="O637" s="532"/>
      <c r="P637" s="532"/>
      <c r="Q637" s="532"/>
      <c r="R637" s="532"/>
      <c r="S637" s="532"/>
      <c r="T637" s="693"/>
      <c r="U637" s="693"/>
    </row>
    <row r="638">
      <c r="A638" s="692"/>
      <c r="B638" s="532"/>
      <c r="C638" s="532"/>
      <c r="D638" s="692"/>
      <c r="E638" s="692"/>
      <c r="F638" s="692"/>
      <c r="G638" s="692"/>
      <c r="H638" s="692"/>
      <c r="I638" s="692"/>
      <c r="J638" s="532"/>
      <c r="K638" s="692"/>
      <c r="L638" s="692"/>
      <c r="M638" s="692"/>
      <c r="N638" s="532"/>
      <c r="O638" s="532"/>
      <c r="P638" s="532"/>
      <c r="Q638" s="532"/>
      <c r="R638" s="532"/>
      <c r="S638" s="532"/>
      <c r="T638" s="693"/>
      <c r="U638" s="693"/>
    </row>
    <row r="639">
      <c r="A639" s="692"/>
      <c r="B639" s="532"/>
      <c r="C639" s="532"/>
      <c r="D639" s="692"/>
      <c r="E639" s="692"/>
      <c r="F639" s="692"/>
      <c r="G639" s="692"/>
      <c r="H639" s="692"/>
      <c r="I639" s="692"/>
      <c r="J639" s="532"/>
      <c r="K639" s="692"/>
      <c r="L639" s="692"/>
      <c r="M639" s="692"/>
      <c r="N639" s="532"/>
      <c r="O639" s="532"/>
      <c r="P639" s="532"/>
      <c r="Q639" s="532"/>
      <c r="R639" s="532"/>
      <c r="S639" s="532"/>
      <c r="T639" s="693"/>
      <c r="U639" s="693"/>
    </row>
    <row r="640">
      <c r="A640" s="692"/>
      <c r="B640" s="532"/>
      <c r="C640" s="532"/>
      <c r="D640" s="692"/>
      <c r="E640" s="692"/>
      <c r="F640" s="692"/>
      <c r="G640" s="692"/>
      <c r="H640" s="692"/>
      <c r="I640" s="692"/>
      <c r="J640" s="532"/>
      <c r="K640" s="692"/>
      <c r="L640" s="692"/>
      <c r="M640" s="692"/>
      <c r="N640" s="532"/>
      <c r="O640" s="532"/>
      <c r="P640" s="532"/>
      <c r="Q640" s="532"/>
      <c r="R640" s="532"/>
      <c r="S640" s="532"/>
      <c r="T640" s="693"/>
      <c r="U640" s="693"/>
    </row>
    <row r="641">
      <c r="A641" s="692"/>
      <c r="B641" s="532"/>
      <c r="C641" s="532"/>
      <c r="D641" s="692"/>
      <c r="E641" s="692"/>
      <c r="F641" s="692"/>
      <c r="G641" s="692"/>
      <c r="H641" s="692"/>
      <c r="I641" s="692"/>
      <c r="J641" s="532"/>
      <c r="K641" s="692"/>
      <c r="L641" s="692"/>
      <c r="M641" s="692"/>
      <c r="N641" s="532"/>
      <c r="O641" s="532"/>
      <c r="P641" s="532"/>
      <c r="Q641" s="532"/>
      <c r="R641" s="532"/>
      <c r="S641" s="532"/>
      <c r="T641" s="693"/>
      <c r="U641" s="693"/>
    </row>
    <row r="642">
      <c r="A642" s="692"/>
      <c r="B642" s="532"/>
      <c r="C642" s="532"/>
      <c r="D642" s="692"/>
      <c r="E642" s="692"/>
      <c r="F642" s="692"/>
      <c r="G642" s="692"/>
      <c r="H642" s="692"/>
      <c r="I642" s="692"/>
      <c r="J642" s="532"/>
      <c r="K642" s="692"/>
      <c r="L642" s="692"/>
      <c r="M642" s="692"/>
      <c r="N642" s="532"/>
      <c r="O642" s="532"/>
      <c r="P642" s="532"/>
      <c r="Q642" s="532"/>
      <c r="R642" s="532"/>
      <c r="S642" s="532"/>
      <c r="T642" s="693"/>
      <c r="U642" s="693"/>
    </row>
    <row r="643">
      <c r="A643" s="692"/>
      <c r="B643" s="532"/>
      <c r="C643" s="532"/>
      <c r="D643" s="692"/>
      <c r="E643" s="692"/>
      <c r="F643" s="692"/>
      <c r="G643" s="692"/>
      <c r="H643" s="692"/>
      <c r="I643" s="692"/>
      <c r="J643" s="532"/>
      <c r="K643" s="692"/>
      <c r="L643" s="692"/>
      <c r="M643" s="692"/>
      <c r="N643" s="532"/>
      <c r="O643" s="532"/>
      <c r="P643" s="532"/>
      <c r="Q643" s="532"/>
      <c r="R643" s="532"/>
      <c r="S643" s="532"/>
      <c r="T643" s="693"/>
      <c r="U643" s="693"/>
    </row>
    <row r="644">
      <c r="A644" s="692"/>
      <c r="B644" s="532"/>
      <c r="C644" s="532"/>
      <c r="D644" s="692"/>
      <c r="E644" s="692"/>
      <c r="F644" s="692"/>
      <c r="G644" s="692"/>
      <c r="H644" s="692"/>
      <c r="I644" s="692"/>
      <c r="J644" s="532"/>
      <c r="K644" s="692"/>
      <c r="L644" s="692"/>
      <c r="M644" s="692"/>
      <c r="N644" s="532"/>
      <c r="O644" s="532"/>
      <c r="P644" s="532"/>
      <c r="Q644" s="532"/>
      <c r="R644" s="532"/>
      <c r="S644" s="532"/>
      <c r="T644" s="693"/>
      <c r="U644" s="693"/>
    </row>
    <row r="645">
      <c r="A645" s="692"/>
      <c r="B645" s="532"/>
      <c r="C645" s="532"/>
      <c r="D645" s="692"/>
      <c r="E645" s="692"/>
      <c r="F645" s="692"/>
      <c r="G645" s="692"/>
      <c r="H645" s="692"/>
      <c r="I645" s="692"/>
      <c r="J645" s="532"/>
      <c r="K645" s="692"/>
      <c r="L645" s="692"/>
      <c r="M645" s="692"/>
      <c r="N645" s="532"/>
      <c r="O645" s="532"/>
      <c r="P645" s="532"/>
      <c r="Q645" s="532"/>
      <c r="R645" s="532"/>
      <c r="S645" s="532"/>
      <c r="T645" s="693"/>
      <c r="U645" s="693"/>
    </row>
    <row r="646">
      <c r="A646" s="692"/>
      <c r="B646" s="532"/>
      <c r="C646" s="532"/>
      <c r="D646" s="692"/>
      <c r="E646" s="692"/>
      <c r="F646" s="692"/>
      <c r="G646" s="692"/>
      <c r="H646" s="692"/>
      <c r="I646" s="692"/>
      <c r="J646" s="532"/>
      <c r="K646" s="692"/>
      <c r="L646" s="692"/>
      <c r="M646" s="692"/>
      <c r="N646" s="532"/>
      <c r="O646" s="532"/>
      <c r="P646" s="532"/>
      <c r="Q646" s="532"/>
      <c r="R646" s="532"/>
      <c r="S646" s="532"/>
      <c r="T646" s="693"/>
      <c r="U646" s="693"/>
    </row>
    <row r="647">
      <c r="A647" s="692"/>
      <c r="B647" s="532"/>
      <c r="C647" s="532"/>
      <c r="D647" s="692"/>
      <c r="E647" s="692"/>
      <c r="F647" s="692"/>
      <c r="G647" s="692"/>
      <c r="H647" s="692"/>
      <c r="I647" s="692"/>
      <c r="J647" s="532"/>
      <c r="K647" s="692"/>
      <c r="L647" s="692"/>
      <c r="M647" s="692"/>
      <c r="N647" s="532"/>
      <c r="O647" s="532"/>
      <c r="P647" s="532"/>
      <c r="Q647" s="532"/>
      <c r="R647" s="532"/>
      <c r="S647" s="532"/>
      <c r="T647" s="693"/>
      <c r="U647" s="693"/>
    </row>
    <row r="648">
      <c r="A648" s="692"/>
      <c r="B648" s="532"/>
      <c r="C648" s="532"/>
      <c r="D648" s="692"/>
      <c r="E648" s="692"/>
      <c r="F648" s="692"/>
      <c r="G648" s="692"/>
      <c r="H648" s="692"/>
      <c r="I648" s="692"/>
      <c r="J648" s="532"/>
      <c r="K648" s="692"/>
      <c r="L648" s="692"/>
      <c r="M648" s="692"/>
      <c r="N648" s="532"/>
      <c r="O648" s="532"/>
      <c r="P648" s="532"/>
      <c r="Q648" s="532"/>
      <c r="R648" s="532"/>
      <c r="S648" s="532"/>
      <c r="T648" s="693"/>
      <c r="U648" s="693"/>
    </row>
    <row r="649">
      <c r="A649" s="692"/>
      <c r="B649" s="532"/>
      <c r="C649" s="532"/>
      <c r="D649" s="692"/>
      <c r="E649" s="692"/>
      <c r="F649" s="692"/>
      <c r="G649" s="692"/>
      <c r="H649" s="692"/>
      <c r="I649" s="692"/>
      <c r="J649" s="532"/>
      <c r="K649" s="692"/>
      <c r="L649" s="692"/>
      <c r="M649" s="692"/>
      <c r="N649" s="532"/>
      <c r="O649" s="532"/>
      <c r="P649" s="532"/>
      <c r="Q649" s="532"/>
      <c r="R649" s="532"/>
      <c r="S649" s="532"/>
      <c r="T649" s="693"/>
      <c r="U649" s="693"/>
    </row>
    <row r="650">
      <c r="A650" s="692"/>
      <c r="B650" s="532"/>
      <c r="C650" s="532"/>
      <c r="D650" s="692"/>
      <c r="E650" s="692"/>
      <c r="F650" s="692"/>
      <c r="G650" s="692"/>
      <c r="H650" s="692"/>
      <c r="I650" s="692"/>
      <c r="J650" s="532"/>
      <c r="K650" s="692"/>
      <c r="L650" s="692"/>
      <c r="M650" s="692"/>
      <c r="N650" s="532"/>
      <c r="O650" s="532"/>
      <c r="P650" s="532"/>
      <c r="Q650" s="532"/>
      <c r="R650" s="532"/>
      <c r="S650" s="532"/>
      <c r="T650" s="693"/>
      <c r="U650" s="693"/>
    </row>
    <row r="651">
      <c r="A651" s="692"/>
      <c r="B651" s="532"/>
      <c r="C651" s="532"/>
      <c r="D651" s="692"/>
      <c r="E651" s="692"/>
      <c r="F651" s="692"/>
      <c r="G651" s="692"/>
      <c r="H651" s="692"/>
      <c r="I651" s="692"/>
      <c r="J651" s="532"/>
      <c r="K651" s="692"/>
      <c r="L651" s="692"/>
      <c r="M651" s="692"/>
      <c r="N651" s="532"/>
      <c r="O651" s="532"/>
      <c r="P651" s="532"/>
      <c r="Q651" s="532"/>
      <c r="R651" s="532"/>
      <c r="S651" s="532"/>
      <c r="T651" s="693"/>
      <c r="U651" s="693"/>
    </row>
    <row r="652">
      <c r="A652" s="692"/>
      <c r="B652" s="532"/>
      <c r="C652" s="532"/>
      <c r="D652" s="692"/>
      <c r="E652" s="692"/>
      <c r="F652" s="692"/>
      <c r="G652" s="692"/>
      <c r="H652" s="692"/>
      <c r="I652" s="692"/>
      <c r="J652" s="532"/>
      <c r="K652" s="692"/>
      <c r="L652" s="692"/>
      <c r="M652" s="692"/>
      <c r="N652" s="532"/>
      <c r="O652" s="532"/>
      <c r="P652" s="532"/>
      <c r="Q652" s="532"/>
      <c r="R652" s="532"/>
      <c r="S652" s="532"/>
      <c r="T652" s="693"/>
      <c r="U652" s="693"/>
    </row>
    <row r="653">
      <c r="A653" s="692"/>
      <c r="B653" s="532"/>
      <c r="C653" s="532"/>
      <c r="D653" s="692"/>
      <c r="E653" s="692"/>
      <c r="F653" s="692"/>
      <c r="G653" s="692"/>
      <c r="H653" s="692"/>
      <c r="I653" s="692"/>
      <c r="J653" s="532"/>
      <c r="K653" s="692"/>
      <c r="L653" s="692"/>
      <c r="M653" s="692"/>
      <c r="N653" s="532"/>
      <c r="O653" s="532"/>
      <c r="P653" s="532"/>
      <c r="Q653" s="532"/>
      <c r="R653" s="532"/>
      <c r="S653" s="532"/>
      <c r="T653" s="693"/>
      <c r="U653" s="693"/>
    </row>
    <row r="654">
      <c r="A654" s="692"/>
      <c r="B654" s="532"/>
      <c r="C654" s="532"/>
      <c r="D654" s="692"/>
      <c r="E654" s="692"/>
      <c r="F654" s="692"/>
      <c r="G654" s="692"/>
      <c r="H654" s="692"/>
      <c r="I654" s="692"/>
      <c r="J654" s="532"/>
      <c r="K654" s="692"/>
      <c r="L654" s="692"/>
      <c r="M654" s="692"/>
      <c r="N654" s="532"/>
      <c r="O654" s="532"/>
      <c r="P654" s="532"/>
      <c r="Q654" s="532"/>
      <c r="R654" s="532"/>
      <c r="S654" s="532"/>
      <c r="T654" s="693"/>
      <c r="U654" s="693"/>
    </row>
    <row r="655">
      <c r="A655" s="692"/>
      <c r="B655" s="532"/>
      <c r="C655" s="532"/>
      <c r="D655" s="692"/>
      <c r="E655" s="692"/>
      <c r="F655" s="692"/>
      <c r="G655" s="692"/>
      <c r="H655" s="692"/>
      <c r="I655" s="692"/>
      <c r="J655" s="532"/>
      <c r="K655" s="692"/>
      <c r="L655" s="692"/>
      <c r="M655" s="692"/>
      <c r="N655" s="532"/>
      <c r="O655" s="532"/>
      <c r="P655" s="532"/>
      <c r="Q655" s="532"/>
      <c r="R655" s="532"/>
      <c r="S655" s="532"/>
      <c r="T655" s="693"/>
      <c r="U655" s="693"/>
    </row>
    <row r="656">
      <c r="A656" s="692"/>
      <c r="B656" s="532"/>
      <c r="C656" s="532"/>
      <c r="D656" s="692"/>
      <c r="E656" s="692"/>
      <c r="F656" s="692"/>
      <c r="G656" s="692"/>
      <c r="H656" s="692"/>
      <c r="I656" s="692"/>
      <c r="J656" s="532"/>
      <c r="K656" s="692"/>
      <c r="L656" s="692"/>
      <c r="M656" s="692"/>
      <c r="N656" s="532"/>
      <c r="O656" s="532"/>
      <c r="P656" s="532"/>
      <c r="Q656" s="532"/>
      <c r="R656" s="532"/>
      <c r="S656" s="532"/>
      <c r="T656" s="693"/>
      <c r="U656" s="693"/>
    </row>
    <row r="657">
      <c r="A657" s="692"/>
      <c r="B657" s="532"/>
      <c r="C657" s="532"/>
      <c r="D657" s="692"/>
      <c r="E657" s="692"/>
      <c r="F657" s="692"/>
      <c r="G657" s="692"/>
      <c r="H657" s="692"/>
      <c r="I657" s="692"/>
      <c r="J657" s="532"/>
      <c r="K657" s="692"/>
      <c r="L657" s="692"/>
      <c r="M657" s="692"/>
      <c r="N657" s="532"/>
      <c r="O657" s="532"/>
      <c r="P657" s="532"/>
      <c r="Q657" s="532"/>
      <c r="R657" s="532"/>
      <c r="S657" s="532"/>
      <c r="T657" s="693"/>
      <c r="U657" s="693"/>
    </row>
    <row r="658">
      <c r="A658" s="692"/>
      <c r="B658" s="532"/>
      <c r="C658" s="532"/>
      <c r="D658" s="692"/>
      <c r="E658" s="692"/>
      <c r="F658" s="692"/>
      <c r="G658" s="692"/>
      <c r="H658" s="692"/>
      <c r="I658" s="692"/>
      <c r="J658" s="532"/>
      <c r="K658" s="692"/>
      <c r="L658" s="692"/>
      <c r="M658" s="692"/>
      <c r="N658" s="532"/>
      <c r="O658" s="532"/>
      <c r="P658" s="532"/>
      <c r="Q658" s="532"/>
      <c r="R658" s="532"/>
      <c r="S658" s="532"/>
      <c r="T658" s="693"/>
      <c r="U658" s="693"/>
    </row>
    <row r="659">
      <c r="A659" s="692"/>
      <c r="B659" s="532"/>
      <c r="C659" s="532"/>
      <c r="D659" s="692"/>
      <c r="E659" s="692"/>
      <c r="F659" s="692"/>
      <c r="G659" s="692"/>
      <c r="H659" s="692"/>
      <c r="I659" s="692"/>
      <c r="J659" s="532"/>
      <c r="K659" s="692"/>
      <c r="L659" s="692"/>
      <c r="M659" s="692"/>
      <c r="N659" s="532"/>
      <c r="O659" s="532"/>
      <c r="P659" s="532"/>
      <c r="Q659" s="532"/>
      <c r="R659" s="532"/>
      <c r="S659" s="532"/>
      <c r="T659" s="693"/>
      <c r="U659" s="693"/>
    </row>
    <row r="660">
      <c r="A660" s="692"/>
      <c r="B660" s="532"/>
      <c r="C660" s="532"/>
      <c r="D660" s="692"/>
      <c r="E660" s="692"/>
      <c r="F660" s="692"/>
      <c r="G660" s="692"/>
      <c r="H660" s="692"/>
      <c r="I660" s="692"/>
      <c r="J660" s="532"/>
      <c r="K660" s="692"/>
      <c r="L660" s="692"/>
      <c r="M660" s="692"/>
      <c r="N660" s="532"/>
      <c r="O660" s="532"/>
      <c r="P660" s="532"/>
      <c r="Q660" s="532"/>
      <c r="R660" s="532"/>
      <c r="S660" s="532"/>
      <c r="T660" s="693"/>
      <c r="U660" s="693"/>
    </row>
    <row r="661">
      <c r="A661" s="692"/>
      <c r="B661" s="532"/>
      <c r="C661" s="532"/>
      <c r="D661" s="692"/>
      <c r="E661" s="692"/>
      <c r="F661" s="692"/>
      <c r="G661" s="692"/>
      <c r="H661" s="692"/>
      <c r="I661" s="692"/>
      <c r="J661" s="532"/>
      <c r="K661" s="692"/>
      <c r="L661" s="692"/>
      <c r="M661" s="692"/>
      <c r="N661" s="532"/>
      <c r="O661" s="532"/>
      <c r="P661" s="532"/>
      <c r="Q661" s="532"/>
      <c r="R661" s="532"/>
      <c r="S661" s="532"/>
      <c r="T661" s="693"/>
      <c r="U661" s="693"/>
    </row>
    <row r="662">
      <c r="A662" s="692"/>
      <c r="B662" s="532"/>
      <c r="C662" s="532"/>
      <c r="D662" s="692"/>
      <c r="E662" s="692"/>
      <c r="F662" s="692"/>
      <c r="G662" s="692"/>
      <c r="H662" s="692"/>
      <c r="I662" s="692"/>
      <c r="J662" s="532"/>
      <c r="K662" s="692"/>
      <c r="L662" s="692"/>
      <c r="M662" s="692"/>
      <c r="N662" s="532"/>
      <c r="O662" s="532"/>
      <c r="P662" s="532"/>
      <c r="Q662" s="532"/>
      <c r="R662" s="532"/>
      <c r="S662" s="532"/>
      <c r="T662" s="693"/>
      <c r="U662" s="693"/>
    </row>
    <row r="663">
      <c r="A663" s="692"/>
      <c r="B663" s="532"/>
      <c r="C663" s="532"/>
      <c r="D663" s="692"/>
      <c r="E663" s="692"/>
      <c r="F663" s="692"/>
      <c r="G663" s="692"/>
      <c r="H663" s="692"/>
      <c r="I663" s="692"/>
      <c r="J663" s="532"/>
      <c r="K663" s="692"/>
      <c r="L663" s="692"/>
      <c r="M663" s="692"/>
      <c r="N663" s="532"/>
      <c r="O663" s="532"/>
      <c r="P663" s="532"/>
      <c r="Q663" s="532"/>
      <c r="R663" s="532"/>
      <c r="S663" s="532"/>
      <c r="T663" s="693"/>
      <c r="U663" s="693"/>
    </row>
    <row r="664">
      <c r="A664" s="692"/>
      <c r="B664" s="532"/>
      <c r="C664" s="532"/>
      <c r="D664" s="692"/>
      <c r="E664" s="692"/>
      <c r="F664" s="692"/>
      <c r="G664" s="692"/>
      <c r="H664" s="692"/>
      <c r="I664" s="692"/>
      <c r="J664" s="532"/>
      <c r="K664" s="692"/>
      <c r="L664" s="692"/>
      <c r="M664" s="692"/>
      <c r="N664" s="532"/>
      <c r="O664" s="532"/>
      <c r="P664" s="532"/>
      <c r="Q664" s="532"/>
      <c r="R664" s="532"/>
      <c r="S664" s="532"/>
      <c r="T664" s="693"/>
      <c r="U664" s="693"/>
    </row>
    <row r="665">
      <c r="A665" s="692"/>
      <c r="B665" s="532"/>
      <c r="C665" s="532"/>
      <c r="D665" s="692"/>
      <c r="E665" s="692"/>
      <c r="F665" s="692"/>
      <c r="G665" s="692"/>
      <c r="H665" s="692"/>
      <c r="I665" s="692"/>
      <c r="J665" s="532"/>
      <c r="K665" s="692"/>
      <c r="L665" s="692"/>
      <c r="M665" s="692"/>
      <c r="N665" s="532"/>
      <c r="O665" s="532"/>
      <c r="P665" s="532"/>
      <c r="Q665" s="532"/>
      <c r="R665" s="532"/>
      <c r="S665" s="532"/>
      <c r="T665" s="693"/>
      <c r="U665" s="693"/>
    </row>
    <row r="666">
      <c r="A666" s="692"/>
      <c r="B666" s="532"/>
      <c r="C666" s="532"/>
      <c r="D666" s="692"/>
      <c r="E666" s="692"/>
      <c r="F666" s="692"/>
      <c r="G666" s="692"/>
      <c r="H666" s="692"/>
      <c r="I666" s="692"/>
      <c r="J666" s="532"/>
      <c r="K666" s="692"/>
      <c r="L666" s="692"/>
      <c r="M666" s="692"/>
      <c r="N666" s="532"/>
      <c r="O666" s="532"/>
      <c r="P666" s="532"/>
      <c r="Q666" s="532"/>
      <c r="R666" s="532"/>
      <c r="S666" s="532"/>
      <c r="T666" s="693"/>
      <c r="U666" s="693"/>
    </row>
    <row r="667">
      <c r="A667" s="692"/>
      <c r="B667" s="532"/>
      <c r="C667" s="532"/>
      <c r="D667" s="692"/>
      <c r="E667" s="692"/>
      <c r="F667" s="692"/>
      <c r="G667" s="692"/>
      <c r="H667" s="692"/>
      <c r="I667" s="692"/>
      <c r="J667" s="532"/>
      <c r="K667" s="692"/>
      <c r="L667" s="692"/>
      <c r="M667" s="692"/>
      <c r="N667" s="532"/>
      <c r="O667" s="532"/>
      <c r="P667" s="532"/>
      <c r="Q667" s="532"/>
      <c r="R667" s="532"/>
      <c r="S667" s="532"/>
      <c r="T667" s="693"/>
      <c r="U667" s="693"/>
    </row>
    <row r="668">
      <c r="A668" s="692"/>
      <c r="B668" s="532"/>
      <c r="C668" s="532"/>
      <c r="D668" s="692"/>
      <c r="E668" s="692"/>
      <c r="F668" s="692"/>
      <c r="G668" s="692"/>
      <c r="H668" s="692"/>
      <c r="I668" s="692"/>
      <c r="J668" s="532"/>
      <c r="K668" s="692"/>
      <c r="L668" s="692"/>
      <c r="M668" s="692"/>
      <c r="N668" s="532"/>
      <c r="O668" s="532"/>
      <c r="P668" s="532"/>
      <c r="Q668" s="532"/>
      <c r="R668" s="532"/>
      <c r="S668" s="532"/>
      <c r="T668" s="693"/>
      <c r="U668" s="693"/>
    </row>
    <row r="669">
      <c r="A669" s="692"/>
      <c r="B669" s="532"/>
      <c r="C669" s="532"/>
      <c r="D669" s="692"/>
      <c r="E669" s="692"/>
      <c r="F669" s="692"/>
      <c r="G669" s="692"/>
      <c r="H669" s="692"/>
      <c r="I669" s="692"/>
      <c r="J669" s="532"/>
      <c r="K669" s="692"/>
      <c r="L669" s="692"/>
      <c r="M669" s="692"/>
      <c r="N669" s="532"/>
      <c r="O669" s="532"/>
      <c r="P669" s="532"/>
      <c r="Q669" s="532"/>
      <c r="R669" s="532"/>
      <c r="S669" s="532"/>
      <c r="T669" s="693"/>
      <c r="U669" s="693"/>
    </row>
    <row r="670">
      <c r="A670" s="692"/>
      <c r="B670" s="532"/>
      <c r="C670" s="532"/>
      <c r="D670" s="692"/>
      <c r="E670" s="692"/>
      <c r="F670" s="692"/>
      <c r="G670" s="692"/>
      <c r="H670" s="692"/>
      <c r="I670" s="692"/>
      <c r="J670" s="532"/>
      <c r="K670" s="692"/>
      <c r="L670" s="692"/>
      <c r="M670" s="692"/>
      <c r="N670" s="532"/>
      <c r="O670" s="532"/>
      <c r="P670" s="532"/>
      <c r="Q670" s="532"/>
      <c r="R670" s="532"/>
      <c r="S670" s="532"/>
      <c r="T670" s="693"/>
      <c r="U670" s="693"/>
    </row>
    <row r="671">
      <c r="A671" s="692"/>
      <c r="B671" s="532"/>
      <c r="C671" s="532"/>
      <c r="D671" s="692"/>
      <c r="E671" s="692"/>
      <c r="F671" s="692"/>
      <c r="G671" s="692"/>
      <c r="H671" s="692"/>
      <c r="I671" s="692"/>
      <c r="J671" s="532"/>
      <c r="K671" s="692"/>
      <c r="L671" s="692"/>
      <c r="M671" s="692"/>
      <c r="N671" s="532"/>
      <c r="O671" s="532"/>
      <c r="P671" s="532"/>
      <c r="Q671" s="532"/>
      <c r="R671" s="532"/>
      <c r="S671" s="532"/>
      <c r="T671" s="693"/>
      <c r="U671" s="693"/>
    </row>
    <row r="672">
      <c r="A672" s="692"/>
      <c r="B672" s="532"/>
      <c r="C672" s="532"/>
      <c r="D672" s="692"/>
      <c r="E672" s="692"/>
      <c r="F672" s="692"/>
      <c r="G672" s="692"/>
      <c r="H672" s="692"/>
      <c r="I672" s="692"/>
      <c r="J672" s="532"/>
      <c r="K672" s="692"/>
      <c r="L672" s="692"/>
      <c r="M672" s="692"/>
      <c r="N672" s="532"/>
      <c r="O672" s="532"/>
      <c r="P672" s="532"/>
      <c r="Q672" s="532"/>
      <c r="R672" s="532"/>
      <c r="S672" s="532"/>
      <c r="T672" s="693"/>
      <c r="U672" s="693"/>
    </row>
    <row r="673">
      <c r="A673" s="692"/>
      <c r="B673" s="532"/>
      <c r="C673" s="532"/>
      <c r="D673" s="692"/>
      <c r="E673" s="692"/>
      <c r="F673" s="692"/>
      <c r="G673" s="692"/>
      <c r="H673" s="692"/>
      <c r="I673" s="692"/>
      <c r="J673" s="532"/>
      <c r="K673" s="692"/>
      <c r="L673" s="692"/>
      <c r="M673" s="692"/>
      <c r="N673" s="532"/>
      <c r="O673" s="532"/>
      <c r="P673" s="532"/>
      <c r="Q673" s="532"/>
      <c r="R673" s="532"/>
      <c r="S673" s="532"/>
      <c r="T673" s="693"/>
      <c r="U673" s="693"/>
    </row>
    <row r="674">
      <c r="A674" s="692"/>
      <c r="B674" s="532"/>
      <c r="C674" s="532"/>
      <c r="D674" s="692"/>
      <c r="E674" s="692"/>
      <c r="F674" s="692"/>
      <c r="G674" s="692"/>
      <c r="H674" s="692"/>
      <c r="I674" s="692"/>
      <c r="J674" s="532"/>
      <c r="K674" s="692"/>
      <c r="L674" s="692"/>
      <c r="M674" s="692"/>
      <c r="N674" s="532"/>
      <c r="O674" s="532"/>
      <c r="P674" s="532"/>
      <c r="Q674" s="532"/>
      <c r="R674" s="532"/>
      <c r="S674" s="532"/>
      <c r="T674" s="693"/>
      <c r="U674" s="693"/>
    </row>
    <row r="675">
      <c r="A675" s="692"/>
      <c r="B675" s="532"/>
      <c r="C675" s="532"/>
      <c r="D675" s="692"/>
      <c r="E675" s="692"/>
      <c r="F675" s="692"/>
      <c r="G675" s="692"/>
      <c r="H675" s="692"/>
      <c r="I675" s="692"/>
      <c r="J675" s="532"/>
      <c r="K675" s="692"/>
      <c r="L675" s="692"/>
      <c r="M675" s="692"/>
      <c r="N675" s="532"/>
      <c r="O675" s="532"/>
      <c r="P675" s="532"/>
      <c r="Q675" s="532"/>
      <c r="R675" s="532"/>
      <c r="S675" s="532"/>
      <c r="T675" s="693"/>
      <c r="U675" s="693"/>
    </row>
    <row r="676">
      <c r="A676" s="692"/>
      <c r="B676" s="532"/>
      <c r="C676" s="532"/>
      <c r="D676" s="692"/>
      <c r="E676" s="692"/>
      <c r="F676" s="692"/>
      <c r="G676" s="692"/>
      <c r="H676" s="692"/>
      <c r="I676" s="692"/>
      <c r="J676" s="532"/>
      <c r="K676" s="692"/>
      <c r="L676" s="692"/>
      <c r="M676" s="692"/>
      <c r="N676" s="532"/>
      <c r="O676" s="532"/>
      <c r="P676" s="532"/>
      <c r="Q676" s="532"/>
      <c r="R676" s="532"/>
      <c r="S676" s="532"/>
      <c r="T676" s="693"/>
      <c r="U676" s="693"/>
    </row>
    <row r="677">
      <c r="A677" s="692"/>
      <c r="B677" s="532"/>
      <c r="C677" s="532"/>
      <c r="D677" s="692"/>
      <c r="E677" s="692"/>
      <c r="F677" s="692"/>
      <c r="G677" s="692"/>
      <c r="H677" s="692"/>
      <c r="I677" s="692"/>
      <c r="J677" s="532"/>
      <c r="K677" s="692"/>
      <c r="L677" s="692"/>
      <c r="M677" s="692"/>
      <c r="N677" s="532"/>
      <c r="O677" s="532"/>
      <c r="P677" s="532"/>
      <c r="Q677" s="532"/>
      <c r="R677" s="532"/>
      <c r="S677" s="532"/>
      <c r="T677" s="693"/>
      <c r="U677" s="693"/>
    </row>
    <row r="678">
      <c r="A678" s="692"/>
      <c r="B678" s="532"/>
      <c r="C678" s="532"/>
      <c r="D678" s="692"/>
      <c r="E678" s="692"/>
      <c r="F678" s="692"/>
      <c r="G678" s="692"/>
      <c r="H678" s="692"/>
      <c r="I678" s="692"/>
      <c r="J678" s="532"/>
      <c r="K678" s="692"/>
      <c r="L678" s="692"/>
      <c r="M678" s="692"/>
      <c r="N678" s="532"/>
      <c r="O678" s="532"/>
      <c r="P678" s="532"/>
      <c r="Q678" s="532"/>
      <c r="R678" s="532"/>
      <c r="S678" s="532"/>
      <c r="T678" s="693"/>
      <c r="U678" s="693"/>
    </row>
    <row r="679">
      <c r="A679" s="692"/>
      <c r="B679" s="532"/>
      <c r="C679" s="532"/>
      <c r="D679" s="692"/>
      <c r="E679" s="692"/>
      <c r="F679" s="692"/>
      <c r="G679" s="692"/>
      <c r="H679" s="692"/>
      <c r="I679" s="692"/>
      <c r="J679" s="532"/>
      <c r="K679" s="692"/>
      <c r="L679" s="692"/>
      <c r="M679" s="692"/>
      <c r="N679" s="532"/>
      <c r="O679" s="532"/>
      <c r="P679" s="532"/>
      <c r="Q679" s="532"/>
      <c r="R679" s="532"/>
      <c r="S679" s="532"/>
      <c r="T679" s="693"/>
      <c r="U679" s="693"/>
    </row>
    <row r="680">
      <c r="A680" s="692"/>
      <c r="B680" s="532"/>
      <c r="C680" s="532"/>
      <c r="D680" s="692"/>
      <c r="E680" s="692"/>
      <c r="F680" s="692"/>
      <c r="G680" s="692"/>
      <c r="H680" s="692"/>
      <c r="I680" s="692"/>
      <c r="J680" s="532"/>
      <c r="K680" s="692"/>
      <c r="L680" s="692"/>
      <c r="M680" s="692"/>
      <c r="N680" s="532"/>
      <c r="O680" s="532"/>
      <c r="P680" s="532"/>
      <c r="Q680" s="532"/>
      <c r="R680" s="532"/>
      <c r="S680" s="532"/>
      <c r="T680" s="693"/>
      <c r="U680" s="693"/>
    </row>
    <row r="681">
      <c r="A681" s="692"/>
      <c r="B681" s="532"/>
      <c r="C681" s="532"/>
      <c r="D681" s="692"/>
      <c r="E681" s="692"/>
      <c r="F681" s="692"/>
      <c r="G681" s="692"/>
      <c r="H681" s="692"/>
      <c r="I681" s="692"/>
      <c r="J681" s="532"/>
      <c r="K681" s="692"/>
      <c r="L681" s="692"/>
      <c r="M681" s="692"/>
      <c r="N681" s="532"/>
      <c r="O681" s="532"/>
      <c r="P681" s="532"/>
      <c r="Q681" s="532"/>
      <c r="R681" s="532"/>
      <c r="S681" s="532"/>
      <c r="T681" s="693"/>
      <c r="U681" s="693"/>
    </row>
    <row r="682">
      <c r="A682" s="692"/>
      <c r="B682" s="532"/>
      <c r="C682" s="532"/>
      <c r="D682" s="692"/>
      <c r="E682" s="692"/>
      <c r="F682" s="692"/>
      <c r="G682" s="692"/>
      <c r="H682" s="692"/>
      <c r="I682" s="692"/>
      <c r="J682" s="532"/>
      <c r="K682" s="692"/>
      <c r="L682" s="692"/>
      <c r="M682" s="692"/>
      <c r="N682" s="532"/>
      <c r="O682" s="532"/>
      <c r="P682" s="532"/>
      <c r="Q682" s="532"/>
      <c r="R682" s="532"/>
      <c r="S682" s="532"/>
      <c r="T682" s="693"/>
      <c r="U682" s="693"/>
    </row>
    <row r="683">
      <c r="A683" s="692"/>
      <c r="B683" s="532"/>
      <c r="C683" s="532"/>
      <c r="D683" s="692"/>
      <c r="E683" s="692"/>
      <c r="F683" s="692"/>
      <c r="G683" s="692"/>
      <c r="H683" s="692"/>
      <c r="I683" s="692"/>
      <c r="J683" s="532"/>
      <c r="K683" s="692"/>
      <c r="L683" s="692"/>
      <c r="M683" s="692"/>
      <c r="N683" s="532"/>
      <c r="O683" s="532"/>
      <c r="P683" s="532"/>
      <c r="Q683" s="532"/>
      <c r="R683" s="532"/>
      <c r="S683" s="532"/>
      <c r="T683" s="693"/>
      <c r="U683" s="693"/>
    </row>
    <row r="684">
      <c r="A684" s="692"/>
      <c r="B684" s="532"/>
      <c r="C684" s="532"/>
      <c r="D684" s="692"/>
      <c r="E684" s="692"/>
      <c r="F684" s="692"/>
      <c r="G684" s="692"/>
      <c r="H684" s="692"/>
      <c r="I684" s="692"/>
      <c r="J684" s="532"/>
      <c r="K684" s="692"/>
      <c r="L684" s="692"/>
      <c r="M684" s="692"/>
      <c r="N684" s="532"/>
      <c r="O684" s="532"/>
      <c r="P684" s="532"/>
      <c r="Q684" s="532"/>
      <c r="R684" s="532"/>
      <c r="S684" s="532"/>
      <c r="T684" s="693"/>
      <c r="U684" s="693"/>
    </row>
    <row r="685">
      <c r="A685" s="692"/>
      <c r="B685" s="532"/>
      <c r="C685" s="532"/>
      <c r="D685" s="692"/>
      <c r="E685" s="692"/>
      <c r="F685" s="692"/>
      <c r="G685" s="692"/>
      <c r="H685" s="692"/>
      <c r="I685" s="692"/>
      <c r="J685" s="532"/>
      <c r="K685" s="692"/>
      <c r="L685" s="692"/>
      <c r="M685" s="692"/>
      <c r="N685" s="532"/>
      <c r="O685" s="532"/>
      <c r="P685" s="532"/>
      <c r="Q685" s="532"/>
      <c r="R685" s="532"/>
      <c r="S685" s="532"/>
      <c r="T685" s="693"/>
      <c r="U685" s="693"/>
    </row>
    <row r="686">
      <c r="A686" s="692"/>
      <c r="B686" s="532"/>
      <c r="C686" s="532"/>
      <c r="D686" s="692"/>
      <c r="E686" s="692"/>
      <c r="F686" s="692"/>
      <c r="G686" s="692"/>
      <c r="H686" s="692"/>
      <c r="I686" s="692"/>
      <c r="J686" s="532"/>
      <c r="K686" s="692"/>
      <c r="L686" s="692"/>
      <c r="M686" s="692"/>
      <c r="N686" s="532"/>
      <c r="O686" s="532"/>
      <c r="P686" s="532"/>
      <c r="Q686" s="532"/>
      <c r="R686" s="532"/>
      <c r="S686" s="532"/>
      <c r="T686" s="693"/>
      <c r="U686" s="693"/>
    </row>
    <row r="687">
      <c r="A687" s="692"/>
      <c r="B687" s="532"/>
      <c r="C687" s="532"/>
      <c r="D687" s="692"/>
      <c r="E687" s="692"/>
      <c r="F687" s="692"/>
      <c r="G687" s="692"/>
      <c r="H687" s="692"/>
      <c r="I687" s="692"/>
      <c r="J687" s="532"/>
      <c r="K687" s="692"/>
      <c r="L687" s="692"/>
      <c r="M687" s="692"/>
      <c r="N687" s="532"/>
      <c r="O687" s="532"/>
      <c r="P687" s="532"/>
      <c r="Q687" s="532"/>
      <c r="R687" s="532"/>
      <c r="S687" s="532"/>
      <c r="T687" s="693"/>
      <c r="U687" s="693"/>
    </row>
    <row r="688">
      <c r="A688" s="692"/>
      <c r="B688" s="532"/>
      <c r="C688" s="532"/>
      <c r="D688" s="692"/>
      <c r="E688" s="692"/>
      <c r="F688" s="692"/>
      <c r="G688" s="692"/>
      <c r="H688" s="692"/>
      <c r="I688" s="692"/>
      <c r="J688" s="532"/>
      <c r="K688" s="692"/>
      <c r="L688" s="692"/>
      <c r="M688" s="692"/>
      <c r="N688" s="532"/>
      <c r="O688" s="532"/>
      <c r="P688" s="532"/>
      <c r="Q688" s="532"/>
      <c r="R688" s="532"/>
      <c r="S688" s="532"/>
      <c r="T688" s="693"/>
      <c r="U688" s="693"/>
    </row>
    <row r="689">
      <c r="A689" s="692"/>
      <c r="B689" s="532"/>
      <c r="C689" s="532"/>
      <c r="D689" s="692"/>
      <c r="E689" s="692"/>
      <c r="F689" s="692"/>
      <c r="G689" s="692"/>
      <c r="H689" s="692"/>
      <c r="I689" s="692"/>
      <c r="J689" s="532"/>
      <c r="K689" s="692"/>
      <c r="L689" s="692"/>
      <c r="M689" s="692"/>
      <c r="N689" s="532"/>
      <c r="O689" s="532"/>
      <c r="P689" s="532"/>
      <c r="Q689" s="532"/>
      <c r="R689" s="532"/>
      <c r="S689" s="532"/>
      <c r="T689" s="693"/>
      <c r="U689" s="693"/>
    </row>
    <row r="690">
      <c r="A690" s="692"/>
      <c r="B690" s="532"/>
      <c r="C690" s="532"/>
      <c r="D690" s="692"/>
      <c r="E690" s="692"/>
      <c r="F690" s="692"/>
      <c r="G690" s="692"/>
      <c r="H690" s="692"/>
      <c r="I690" s="692"/>
      <c r="J690" s="532"/>
      <c r="K690" s="692"/>
      <c r="L690" s="692"/>
      <c r="M690" s="692"/>
      <c r="N690" s="532"/>
      <c r="O690" s="532"/>
      <c r="P690" s="532"/>
      <c r="Q690" s="532"/>
      <c r="R690" s="532"/>
      <c r="S690" s="532"/>
      <c r="T690" s="693"/>
      <c r="U690" s="693"/>
    </row>
    <row r="691">
      <c r="A691" s="692"/>
      <c r="B691" s="532"/>
      <c r="C691" s="532"/>
      <c r="D691" s="692"/>
      <c r="E691" s="692"/>
      <c r="F691" s="692"/>
      <c r="G691" s="692"/>
      <c r="H691" s="692"/>
      <c r="I691" s="692"/>
      <c r="J691" s="532"/>
      <c r="K691" s="692"/>
      <c r="L691" s="692"/>
      <c r="M691" s="692"/>
      <c r="N691" s="532"/>
      <c r="O691" s="532"/>
      <c r="P691" s="532"/>
      <c r="Q691" s="532"/>
      <c r="R691" s="532"/>
      <c r="S691" s="532"/>
      <c r="T691" s="693"/>
      <c r="U691" s="693"/>
    </row>
    <row r="692">
      <c r="A692" s="692"/>
      <c r="B692" s="532"/>
      <c r="C692" s="532"/>
      <c r="D692" s="692"/>
      <c r="E692" s="692"/>
      <c r="F692" s="692"/>
      <c r="G692" s="692"/>
      <c r="H692" s="692"/>
      <c r="I692" s="692"/>
      <c r="J692" s="532"/>
      <c r="K692" s="692"/>
      <c r="L692" s="692"/>
      <c r="M692" s="692"/>
      <c r="N692" s="532"/>
      <c r="O692" s="532"/>
      <c r="P692" s="532"/>
      <c r="Q692" s="532"/>
      <c r="R692" s="532"/>
      <c r="S692" s="532"/>
      <c r="T692" s="693"/>
      <c r="U692" s="693"/>
    </row>
    <row r="693">
      <c r="A693" s="692"/>
      <c r="B693" s="532"/>
      <c r="C693" s="532"/>
      <c r="D693" s="692"/>
      <c r="E693" s="692"/>
      <c r="F693" s="692"/>
      <c r="G693" s="692"/>
      <c r="H693" s="692"/>
      <c r="I693" s="692"/>
      <c r="J693" s="532"/>
      <c r="K693" s="692"/>
      <c r="L693" s="692"/>
      <c r="M693" s="692"/>
      <c r="N693" s="532"/>
      <c r="O693" s="532"/>
      <c r="P693" s="532"/>
      <c r="Q693" s="532"/>
      <c r="R693" s="532"/>
      <c r="S693" s="532"/>
      <c r="T693" s="693"/>
      <c r="U693" s="693"/>
    </row>
    <row r="694">
      <c r="A694" s="692"/>
      <c r="B694" s="532"/>
      <c r="C694" s="532"/>
      <c r="D694" s="692"/>
      <c r="E694" s="692"/>
      <c r="F694" s="692"/>
      <c r="G694" s="692"/>
      <c r="H694" s="692"/>
      <c r="I694" s="692"/>
      <c r="J694" s="532"/>
      <c r="K694" s="692"/>
      <c r="L694" s="692"/>
      <c r="M694" s="692"/>
      <c r="N694" s="532"/>
      <c r="O694" s="532"/>
      <c r="P694" s="532"/>
      <c r="Q694" s="532"/>
      <c r="R694" s="532"/>
      <c r="S694" s="532"/>
      <c r="T694" s="693"/>
      <c r="U694" s="693"/>
    </row>
    <row r="695">
      <c r="A695" s="692"/>
      <c r="B695" s="532"/>
      <c r="C695" s="532"/>
      <c r="D695" s="692"/>
      <c r="E695" s="692"/>
      <c r="F695" s="692"/>
      <c r="G695" s="692"/>
      <c r="H695" s="692"/>
      <c r="I695" s="692"/>
      <c r="J695" s="532"/>
      <c r="K695" s="692"/>
      <c r="L695" s="692"/>
      <c r="M695" s="692"/>
      <c r="N695" s="532"/>
      <c r="O695" s="532"/>
      <c r="P695" s="532"/>
      <c r="Q695" s="532"/>
      <c r="R695" s="532"/>
      <c r="S695" s="532"/>
      <c r="T695" s="693"/>
      <c r="U695" s="693"/>
    </row>
    <row r="696">
      <c r="A696" s="692"/>
      <c r="B696" s="532"/>
      <c r="C696" s="532"/>
      <c r="D696" s="692"/>
      <c r="E696" s="692"/>
      <c r="F696" s="692"/>
      <c r="G696" s="692"/>
      <c r="H696" s="692"/>
      <c r="I696" s="692"/>
      <c r="J696" s="532"/>
      <c r="K696" s="692"/>
      <c r="L696" s="692"/>
      <c r="M696" s="692"/>
      <c r="N696" s="532"/>
      <c r="O696" s="532"/>
      <c r="P696" s="532"/>
      <c r="Q696" s="532"/>
      <c r="R696" s="532"/>
      <c r="S696" s="532"/>
      <c r="T696" s="693"/>
      <c r="U696" s="693"/>
    </row>
    <row r="697">
      <c r="A697" s="692"/>
      <c r="B697" s="532"/>
      <c r="C697" s="532"/>
      <c r="D697" s="692"/>
      <c r="E697" s="692"/>
      <c r="F697" s="692"/>
      <c r="G697" s="692"/>
      <c r="H697" s="692"/>
      <c r="I697" s="692"/>
      <c r="J697" s="532"/>
      <c r="K697" s="692"/>
      <c r="L697" s="692"/>
      <c r="M697" s="692"/>
      <c r="N697" s="532"/>
      <c r="O697" s="532"/>
      <c r="P697" s="532"/>
      <c r="Q697" s="532"/>
      <c r="R697" s="532"/>
      <c r="S697" s="532"/>
      <c r="T697" s="693"/>
      <c r="U697" s="693"/>
    </row>
    <row r="698">
      <c r="A698" s="692"/>
      <c r="B698" s="532"/>
      <c r="C698" s="532"/>
      <c r="D698" s="692"/>
      <c r="E698" s="692"/>
      <c r="F698" s="692"/>
      <c r="G698" s="692"/>
      <c r="H698" s="692"/>
      <c r="I698" s="692"/>
      <c r="J698" s="532"/>
      <c r="K698" s="692"/>
      <c r="L698" s="692"/>
      <c r="M698" s="692"/>
      <c r="N698" s="532"/>
      <c r="O698" s="532"/>
      <c r="P698" s="532"/>
      <c r="Q698" s="532"/>
      <c r="R698" s="532"/>
      <c r="S698" s="532"/>
      <c r="T698" s="693"/>
      <c r="U698" s="693"/>
    </row>
    <row r="699">
      <c r="A699" s="692"/>
      <c r="B699" s="532"/>
      <c r="C699" s="532"/>
      <c r="D699" s="692"/>
      <c r="E699" s="692"/>
      <c r="F699" s="692"/>
      <c r="G699" s="692"/>
      <c r="H699" s="692"/>
      <c r="I699" s="692"/>
      <c r="J699" s="532"/>
      <c r="K699" s="692"/>
      <c r="L699" s="692"/>
      <c r="M699" s="692"/>
      <c r="N699" s="532"/>
      <c r="O699" s="532"/>
      <c r="P699" s="532"/>
      <c r="Q699" s="532"/>
      <c r="R699" s="532"/>
      <c r="S699" s="532"/>
      <c r="T699" s="693"/>
      <c r="U699" s="693"/>
    </row>
    <row r="700">
      <c r="A700" s="692"/>
      <c r="B700" s="532"/>
      <c r="C700" s="532"/>
      <c r="D700" s="692"/>
      <c r="E700" s="692"/>
      <c r="F700" s="692"/>
      <c r="G700" s="692"/>
      <c r="H700" s="692"/>
      <c r="I700" s="692"/>
      <c r="J700" s="532"/>
      <c r="K700" s="692"/>
      <c r="L700" s="692"/>
      <c r="M700" s="692"/>
      <c r="N700" s="532"/>
      <c r="O700" s="532"/>
      <c r="P700" s="532"/>
      <c r="Q700" s="532"/>
      <c r="R700" s="532"/>
      <c r="S700" s="532"/>
      <c r="T700" s="693"/>
      <c r="U700" s="693"/>
    </row>
    <row r="701">
      <c r="A701" s="692"/>
      <c r="B701" s="532"/>
      <c r="C701" s="532"/>
      <c r="D701" s="692"/>
      <c r="E701" s="692"/>
      <c r="F701" s="692"/>
      <c r="G701" s="692"/>
      <c r="H701" s="692"/>
      <c r="I701" s="692"/>
      <c r="J701" s="532"/>
      <c r="K701" s="692"/>
      <c r="L701" s="692"/>
      <c r="M701" s="692"/>
      <c r="N701" s="532"/>
      <c r="O701" s="532"/>
      <c r="P701" s="532"/>
      <c r="Q701" s="532"/>
      <c r="R701" s="532"/>
      <c r="S701" s="532"/>
      <c r="T701" s="693"/>
      <c r="U701" s="693"/>
    </row>
    <row r="702">
      <c r="A702" s="692"/>
      <c r="B702" s="532"/>
      <c r="C702" s="532"/>
      <c r="D702" s="692"/>
      <c r="E702" s="692"/>
      <c r="F702" s="692"/>
      <c r="G702" s="692"/>
      <c r="H702" s="692"/>
      <c r="I702" s="692"/>
      <c r="J702" s="532"/>
      <c r="K702" s="692"/>
      <c r="L702" s="692"/>
      <c r="M702" s="692"/>
      <c r="N702" s="532"/>
      <c r="O702" s="532"/>
      <c r="P702" s="532"/>
      <c r="Q702" s="532"/>
      <c r="R702" s="532"/>
      <c r="S702" s="532"/>
      <c r="T702" s="693"/>
      <c r="U702" s="693"/>
    </row>
    <row r="703">
      <c r="A703" s="692"/>
      <c r="B703" s="532"/>
      <c r="C703" s="532"/>
      <c r="D703" s="692"/>
      <c r="E703" s="692"/>
      <c r="F703" s="692"/>
      <c r="G703" s="692"/>
      <c r="H703" s="692"/>
      <c r="I703" s="692"/>
      <c r="J703" s="532"/>
      <c r="K703" s="692"/>
      <c r="L703" s="692"/>
      <c r="M703" s="692"/>
      <c r="N703" s="532"/>
      <c r="O703" s="532"/>
      <c r="P703" s="532"/>
      <c r="Q703" s="532"/>
      <c r="R703" s="532"/>
      <c r="S703" s="532"/>
      <c r="T703" s="693"/>
      <c r="U703" s="693"/>
    </row>
    <row r="704">
      <c r="A704" s="692"/>
      <c r="B704" s="532"/>
      <c r="C704" s="532"/>
      <c r="D704" s="692"/>
      <c r="E704" s="692"/>
      <c r="F704" s="692"/>
      <c r="G704" s="692"/>
      <c r="H704" s="692"/>
      <c r="I704" s="692"/>
      <c r="J704" s="532"/>
      <c r="K704" s="692"/>
      <c r="L704" s="692"/>
      <c r="M704" s="692"/>
      <c r="N704" s="532"/>
      <c r="O704" s="532"/>
      <c r="P704" s="532"/>
      <c r="Q704" s="532"/>
      <c r="R704" s="532"/>
      <c r="S704" s="532"/>
      <c r="T704" s="693"/>
      <c r="U704" s="693"/>
    </row>
    <row r="705">
      <c r="A705" s="692"/>
      <c r="B705" s="532"/>
      <c r="C705" s="532"/>
      <c r="D705" s="692"/>
      <c r="E705" s="692"/>
      <c r="F705" s="692"/>
      <c r="G705" s="692"/>
      <c r="H705" s="692"/>
      <c r="I705" s="692"/>
      <c r="J705" s="532"/>
      <c r="K705" s="692"/>
      <c r="L705" s="692"/>
      <c r="M705" s="692"/>
      <c r="N705" s="532"/>
      <c r="O705" s="532"/>
      <c r="P705" s="532"/>
      <c r="Q705" s="532"/>
      <c r="R705" s="532"/>
      <c r="S705" s="532"/>
      <c r="T705" s="693"/>
      <c r="U705" s="693"/>
    </row>
    <row r="706">
      <c r="A706" s="692"/>
      <c r="B706" s="532"/>
      <c r="C706" s="532"/>
      <c r="D706" s="692"/>
      <c r="E706" s="692"/>
      <c r="F706" s="692"/>
      <c r="G706" s="692"/>
      <c r="H706" s="692"/>
      <c r="I706" s="692"/>
      <c r="J706" s="532"/>
      <c r="K706" s="692"/>
      <c r="L706" s="692"/>
      <c r="M706" s="692"/>
      <c r="N706" s="532"/>
      <c r="O706" s="532"/>
      <c r="P706" s="532"/>
      <c r="Q706" s="532"/>
      <c r="R706" s="532"/>
      <c r="S706" s="532"/>
      <c r="T706" s="693"/>
      <c r="U706" s="693"/>
    </row>
    <row r="707">
      <c r="A707" s="692"/>
      <c r="B707" s="532"/>
      <c r="C707" s="532"/>
      <c r="D707" s="692"/>
      <c r="E707" s="692"/>
      <c r="F707" s="692"/>
      <c r="G707" s="692"/>
      <c r="H707" s="692"/>
      <c r="I707" s="692"/>
      <c r="J707" s="532"/>
      <c r="K707" s="692"/>
      <c r="L707" s="692"/>
      <c r="M707" s="692"/>
      <c r="N707" s="532"/>
      <c r="O707" s="532"/>
      <c r="P707" s="532"/>
      <c r="Q707" s="532"/>
      <c r="R707" s="532"/>
      <c r="S707" s="532"/>
      <c r="T707" s="693"/>
      <c r="U707" s="693"/>
    </row>
    <row r="708">
      <c r="A708" s="692"/>
      <c r="B708" s="532"/>
      <c r="C708" s="532"/>
      <c r="D708" s="692"/>
      <c r="E708" s="692"/>
      <c r="F708" s="692"/>
      <c r="G708" s="692"/>
      <c r="H708" s="692"/>
      <c r="I708" s="692"/>
      <c r="J708" s="532"/>
      <c r="K708" s="692"/>
      <c r="L708" s="692"/>
      <c r="M708" s="692"/>
      <c r="N708" s="532"/>
      <c r="O708" s="532"/>
      <c r="P708" s="532"/>
      <c r="Q708" s="532"/>
      <c r="R708" s="532"/>
      <c r="S708" s="532"/>
      <c r="T708" s="693"/>
      <c r="U708" s="693"/>
    </row>
    <row r="709">
      <c r="A709" s="692"/>
      <c r="B709" s="532"/>
      <c r="C709" s="532"/>
      <c r="D709" s="692"/>
      <c r="E709" s="692"/>
      <c r="F709" s="692"/>
      <c r="G709" s="692"/>
      <c r="H709" s="692"/>
      <c r="I709" s="692"/>
      <c r="J709" s="532"/>
      <c r="K709" s="692"/>
      <c r="L709" s="692"/>
      <c r="M709" s="692"/>
      <c r="N709" s="532"/>
      <c r="O709" s="532"/>
      <c r="P709" s="532"/>
      <c r="Q709" s="532"/>
      <c r="R709" s="532"/>
      <c r="S709" s="532"/>
      <c r="T709" s="693"/>
      <c r="U709" s="693"/>
    </row>
    <row r="710">
      <c r="A710" s="692"/>
      <c r="B710" s="532"/>
      <c r="C710" s="532"/>
      <c r="D710" s="692"/>
      <c r="E710" s="692"/>
      <c r="F710" s="692"/>
      <c r="G710" s="692"/>
      <c r="H710" s="692"/>
      <c r="I710" s="692"/>
      <c r="J710" s="532"/>
      <c r="K710" s="692"/>
      <c r="L710" s="692"/>
      <c r="M710" s="692"/>
      <c r="N710" s="532"/>
      <c r="O710" s="532"/>
      <c r="P710" s="532"/>
      <c r="Q710" s="532"/>
      <c r="R710" s="532"/>
      <c r="S710" s="532"/>
      <c r="T710" s="693"/>
      <c r="U710" s="693"/>
    </row>
    <row r="711">
      <c r="A711" s="692"/>
      <c r="B711" s="532"/>
      <c r="C711" s="532"/>
      <c r="D711" s="692"/>
      <c r="E711" s="692"/>
      <c r="F711" s="692"/>
      <c r="G711" s="692"/>
      <c r="H711" s="692"/>
      <c r="I711" s="692"/>
      <c r="J711" s="532"/>
      <c r="K711" s="692"/>
      <c r="L711" s="692"/>
      <c r="M711" s="692"/>
      <c r="N711" s="532"/>
      <c r="O711" s="532"/>
      <c r="P711" s="532"/>
      <c r="Q711" s="532"/>
      <c r="R711" s="532"/>
      <c r="S711" s="532"/>
      <c r="T711" s="693"/>
      <c r="U711" s="693"/>
    </row>
    <row r="712">
      <c r="A712" s="692"/>
      <c r="B712" s="532"/>
      <c r="C712" s="532"/>
      <c r="D712" s="692"/>
      <c r="E712" s="692"/>
      <c r="F712" s="692"/>
      <c r="G712" s="692"/>
      <c r="H712" s="692"/>
      <c r="I712" s="692"/>
      <c r="J712" s="532"/>
      <c r="K712" s="692"/>
      <c r="L712" s="692"/>
      <c r="M712" s="692"/>
      <c r="N712" s="532"/>
      <c r="O712" s="532"/>
      <c r="P712" s="532"/>
      <c r="Q712" s="532"/>
      <c r="R712" s="532"/>
      <c r="S712" s="532"/>
      <c r="T712" s="693"/>
      <c r="U712" s="693"/>
    </row>
    <row r="713">
      <c r="A713" s="692"/>
      <c r="B713" s="532"/>
      <c r="C713" s="532"/>
      <c r="D713" s="692"/>
      <c r="E713" s="692"/>
      <c r="F713" s="692"/>
      <c r="G713" s="692"/>
      <c r="H713" s="692"/>
      <c r="I713" s="692"/>
      <c r="J713" s="532"/>
      <c r="K713" s="692"/>
      <c r="L713" s="692"/>
      <c r="M713" s="692"/>
      <c r="N713" s="532"/>
      <c r="O713" s="532"/>
      <c r="P713" s="532"/>
      <c r="Q713" s="532"/>
      <c r="R713" s="532"/>
      <c r="S713" s="532"/>
      <c r="T713" s="693"/>
      <c r="U713" s="693"/>
    </row>
    <row r="714">
      <c r="A714" s="692"/>
      <c r="B714" s="532"/>
      <c r="C714" s="532"/>
      <c r="D714" s="692"/>
      <c r="E714" s="692"/>
      <c r="F714" s="692"/>
      <c r="G714" s="692"/>
      <c r="H714" s="692"/>
      <c r="I714" s="692"/>
      <c r="J714" s="532"/>
      <c r="K714" s="692"/>
      <c r="L714" s="692"/>
      <c r="M714" s="692"/>
      <c r="N714" s="532"/>
      <c r="O714" s="532"/>
      <c r="P714" s="532"/>
      <c r="Q714" s="532"/>
      <c r="R714" s="532"/>
      <c r="S714" s="532"/>
      <c r="T714" s="693"/>
      <c r="U714" s="693"/>
    </row>
    <row r="715">
      <c r="A715" s="692"/>
      <c r="B715" s="532"/>
      <c r="C715" s="532"/>
      <c r="D715" s="692"/>
      <c r="E715" s="692"/>
      <c r="F715" s="692"/>
      <c r="G715" s="692"/>
      <c r="H715" s="692"/>
      <c r="I715" s="692"/>
      <c r="J715" s="532"/>
      <c r="K715" s="692"/>
      <c r="L715" s="692"/>
      <c r="M715" s="692"/>
      <c r="N715" s="532"/>
      <c r="O715" s="532"/>
      <c r="P715" s="532"/>
      <c r="Q715" s="532"/>
      <c r="R715" s="532"/>
      <c r="S715" s="532"/>
      <c r="T715" s="693"/>
      <c r="U715" s="693"/>
    </row>
    <row r="716">
      <c r="A716" s="692"/>
      <c r="B716" s="532"/>
      <c r="C716" s="532"/>
      <c r="D716" s="692"/>
      <c r="E716" s="692"/>
      <c r="F716" s="692"/>
      <c r="G716" s="692"/>
      <c r="H716" s="692"/>
      <c r="I716" s="692"/>
      <c r="J716" s="532"/>
      <c r="K716" s="692"/>
      <c r="L716" s="692"/>
      <c r="M716" s="692"/>
      <c r="N716" s="532"/>
      <c r="O716" s="532"/>
      <c r="P716" s="532"/>
      <c r="Q716" s="532"/>
      <c r="R716" s="532"/>
      <c r="S716" s="532"/>
      <c r="T716" s="693"/>
      <c r="U716" s="693"/>
    </row>
    <row r="717">
      <c r="A717" s="692"/>
      <c r="B717" s="532"/>
      <c r="C717" s="532"/>
      <c r="D717" s="692"/>
      <c r="E717" s="692"/>
      <c r="F717" s="692"/>
      <c r="G717" s="692"/>
      <c r="H717" s="692"/>
      <c r="I717" s="692"/>
      <c r="J717" s="532"/>
      <c r="K717" s="692"/>
      <c r="L717" s="692"/>
      <c r="M717" s="692"/>
      <c r="N717" s="532"/>
      <c r="O717" s="532"/>
      <c r="P717" s="532"/>
      <c r="Q717" s="532"/>
      <c r="R717" s="532"/>
      <c r="S717" s="532"/>
      <c r="T717" s="693"/>
      <c r="U717" s="693"/>
    </row>
    <row r="718">
      <c r="A718" s="692"/>
      <c r="B718" s="532"/>
      <c r="C718" s="532"/>
      <c r="D718" s="692"/>
      <c r="E718" s="692"/>
      <c r="F718" s="692"/>
      <c r="G718" s="692"/>
      <c r="H718" s="692"/>
      <c r="I718" s="692"/>
      <c r="J718" s="532"/>
      <c r="K718" s="692"/>
      <c r="L718" s="692"/>
      <c r="M718" s="692"/>
      <c r="N718" s="532"/>
      <c r="O718" s="532"/>
      <c r="P718" s="532"/>
      <c r="Q718" s="532"/>
      <c r="R718" s="532"/>
      <c r="S718" s="532"/>
      <c r="T718" s="693"/>
      <c r="U718" s="693"/>
    </row>
    <row r="719">
      <c r="A719" s="692"/>
      <c r="B719" s="532"/>
      <c r="C719" s="532"/>
      <c r="D719" s="692"/>
      <c r="E719" s="692"/>
      <c r="F719" s="692"/>
      <c r="G719" s="692"/>
      <c r="H719" s="692"/>
      <c r="I719" s="692"/>
      <c r="J719" s="532"/>
      <c r="K719" s="692"/>
      <c r="L719" s="692"/>
      <c r="M719" s="692"/>
      <c r="N719" s="532"/>
      <c r="O719" s="532"/>
      <c r="P719" s="532"/>
      <c r="Q719" s="532"/>
      <c r="R719" s="532"/>
      <c r="S719" s="532"/>
      <c r="T719" s="693"/>
      <c r="U719" s="693"/>
    </row>
    <row r="720">
      <c r="A720" s="692"/>
      <c r="B720" s="532"/>
      <c r="C720" s="532"/>
      <c r="D720" s="692"/>
      <c r="E720" s="692"/>
      <c r="F720" s="692"/>
      <c r="G720" s="692"/>
      <c r="H720" s="692"/>
      <c r="I720" s="692"/>
      <c r="J720" s="532"/>
      <c r="K720" s="692"/>
      <c r="L720" s="692"/>
      <c r="M720" s="692"/>
      <c r="N720" s="532"/>
      <c r="O720" s="532"/>
      <c r="P720" s="532"/>
      <c r="Q720" s="532"/>
      <c r="R720" s="532"/>
      <c r="S720" s="532"/>
      <c r="T720" s="693"/>
      <c r="U720" s="693"/>
    </row>
    <row r="721">
      <c r="A721" s="692"/>
      <c r="B721" s="532"/>
      <c r="C721" s="532"/>
      <c r="D721" s="692"/>
      <c r="E721" s="692"/>
      <c r="F721" s="692"/>
      <c r="G721" s="692"/>
      <c r="H721" s="692"/>
      <c r="I721" s="692"/>
      <c r="J721" s="532"/>
      <c r="K721" s="692"/>
      <c r="L721" s="692"/>
      <c r="M721" s="692"/>
      <c r="N721" s="532"/>
      <c r="O721" s="532"/>
      <c r="P721" s="532"/>
      <c r="Q721" s="532"/>
      <c r="R721" s="532"/>
      <c r="S721" s="532"/>
      <c r="T721" s="693"/>
      <c r="U721" s="693"/>
    </row>
    <row r="722">
      <c r="A722" s="692"/>
      <c r="B722" s="532"/>
      <c r="C722" s="532"/>
      <c r="D722" s="692"/>
      <c r="E722" s="692"/>
      <c r="F722" s="692"/>
      <c r="G722" s="692"/>
      <c r="H722" s="692"/>
      <c r="I722" s="692"/>
      <c r="J722" s="532"/>
      <c r="K722" s="692"/>
      <c r="L722" s="692"/>
      <c r="M722" s="692"/>
      <c r="N722" s="532"/>
      <c r="O722" s="532"/>
      <c r="P722" s="532"/>
      <c r="Q722" s="532"/>
      <c r="R722" s="532"/>
      <c r="S722" s="532"/>
      <c r="T722" s="693"/>
      <c r="U722" s="693"/>
    </row>
    <row r="723">
      <c r="A723" s="692"/>
      <c r="B723" s="532"/>
      <c r="C723" s="532"/>
      <c r="D723" s="692"/>
      <c r="E723" s="692"/>
      <c r="F723" s="692"/>
      <c r="G723" s="692"/>
      <c r="H723" s="692"/>
      <c r="I723" s="692"/>
      <c r="J723" s="532"/>
      <c r="K723" s="692"/>
      <c r="L723" s="692"/>
      <c r="M723" s="692"/>
      <c r="N723" s="532"/>
      <c r="O723" s="532"/>
      <c r="P723" s="532"/>
      <c r="Q723" s="532"/>
      <c r="R723" s="532"/>
      <c r="S723" s="532"/>
      <c r="T723" s="693"/>
      <c r="U723" s="693"/>
    </row>
    <row r="724">
      <c r="A724" s="692"/>
      <c r="B724" s="532"/>
      <c r="C724" s="532"/>
      <c r="D724" s="692"/>
      <c r="E724" s="692"/>
      <c r="F724" s="692"/>
      <c r="G724" s="692"/>
      <c r="H724" s="692"/>
      <c r="I724" s="692"/>
      <c r="J724" s="532"/>
      <c r="K724" s="692"/>
      <c r="L724" s="692"/>
      <c r="M724" s="692"/>
      <c r="N724" s="532"/>
      <c r="O724" s="532"/>
      <c r="P724" s="532"/>
      <c r="Q724" s="532"/>
      <c r="R724" s="532"/>
      <c r="S724" s="532"/>
      <c r="T724" s="693"/>
      <c r="U724" s="693"/>
    </row>
    <row r="725">
      <c r="A725" s="692"/>
      <c r="B725" s="532"/>
      <c r="C725" s="532"/>
      <c r="D725" s="692"/>
      <c r="E725" s="692"/>
      <c r="F725" s="692"/>
      <c r="G725" s="692"/>
      <c r="H725" s="692"/>
      <c r="I725" s="692"/>
      <c r="J725" s="532"/>
      <c r="K725" s="692"/>
      <c r="L725" s="692"/>
      <c r="M725" s="692"/>
      <c r="N725" s="532"/>
      <c r="O725" s="532"/>
      <c r="P725" s="532"/>
      <c r="Q725" s="532"/>
      <c r="R725" s="532"/>
      <c r="S725" s="532"/>
      <c r="T725" s="693"/>
      <c r="U725" s="693"/>
    </row>
    <row r="726">
      <c r="A726" s="692"/>
      <c r="B726" s="532"/>
      <c r="C726" s="532"/>
      <c r="D726" s="692"/>
      <c r="E726" s="692"/>
      <c r="F726" s="692"/>
      <c r="G726" s="692"/>
      <c r="H726" s="692"/>
      <c r="I726" s="692"/>
      <c r="J726" s="532"/>
      <c r="K726" s="692"/>
      <c r="L726" s="692"/>
      <c r="M726" s="692"/>
      <c r="N726" s="532"/>
      <c r="O726" s="532"/>
      <c r="P726" s="532"/>
      <c r="Q726" s="532"/>
      <c r="R726" s="532"/>
      <c r="S726" s="532"/>
      <c r="T726" s="693"/>
      <c r="U726" s="693"/>
    </row>
    <row r="727">
      <c r="A727" s="692"/>
      <c r="B727" s="532"/>
      <c r="C727" s="532"/>
      <c r="D727" s="692"/>
      <c r="E727" s="692"/>
      <c r="F727" s="692"/>
      <c r="G727" s="692"/>
      <c r="H727" s="692"/>
      <c r="I727" s="692"/>
      <c r="J727" s="532"/>
      <c r="K727" s="692"/>
      <c r="L727" s="692"/>
      <c r="M727" s="692"/>
      <c r="N727" s="532"/>
      <c r="O727" s="532"/>
      <c r="P727" s="532"/>
      <c r="Q727" s="532"/>
      <c r="R727" s="532"/>
      <c r="S727" s="532"/>
      <c r="T727" s="693"/>
      <c r="U727" s="693"/>
    </row>
    <row r="728">
      <c r="A728" s="692"/>
      <c r="B728" s="532"/>
      <c r="C728" s="532"/>
      <c r="D728" s="692"/>
      <c r="E728" s="692"/>
      <c r="F728" s="692"/>
      <c r="G728" s="692"/>
      <c r="H728" s="692"/>
      <c r="I728" s="692"/>
      <c r="J728" s="532"/>
      <c r="K728" s="692"/>
      <c r="L728" s="692"/>
      <c r="M728" s="692"/>
      <c r="N728" s="532"/>
      <c r="O728" s="532"/>
      <c r="P728" s="532"/>
      <c r="Q728" s="532"/>
      <c r="R728" s="532"/>
      <c r="S728" s="532"/>
      <c r="T728" s="693"/>
      <c r="U728" s="693"/>
    </row>
    <row r="729">
      <c r="A729" s="692"/>
      <c r="B729" s="532"/>
      <c r="C729" s="532"/>
      <c r="D729" s="692"/>
      <c r="E729" s="692"/>
      <c r="F729" s="692"/>
      <c r="G729" s="692"/>
      <c r="H729" s="692"/>
      <c r="I729" s="692"/>
      <c r="J729" s="532"/>
      <c r="K729" s="692"/>
      <c r="L729" s="692"/>
      <c r="M729" s="692"/>
      <c r="N729" s="532"/>
      <c r="O729" s="532"/>
      <c r="P729" s="532"/>
      <c r="Q729" s="532"/>
      <c r="R729" s="532"/>
      <c r="S729" s="532"/>
      <c r="T729" s="693"/>
      <c r="U729" s="693"/>
    </row>
    <row r="730">
      <c r="A730" s="692"/>
      <c r="B730" s="532"/>
      <c r="C730" s="532"/>
      <c r="D730" s="692"/>
      <c r="E730" s="692"/>
      <c r="F730" s="692"/>
      <c r="G730" s="692"/>
      <c r="H730" s="692"/>
      <c r="I730" s="692"/>
      <c r="J730" s="532"/>
      <c r="K730" s="692"/>
      <c r="L730" s="692"/>
      <c r="M730" s="692"/>
      <c r="N730" s="532"/>
      <c r="O730" s="532"/>
      <c r="P730" s="532"/>
      <c r="Q730" s="532"/>
      <c r="R730" s="532"/>
      <c r="S730" s="532"/>
      <c r="T730" s="693"/>
      <c r="U730" s="693"/>
    </row>
    <row r="731">
      <c r="A731" s="692"/>
      <c r="B731" s="532"/>
      <c r="C731" s="532"/>
      <c r="D731" s="692"/>
      <c r="E731" s="692"/>
      <c r="F731" s="692"/>
      <c r="G731" s="692"/>
      <c r="H731" s="692"/>
      <c r="I731" s="692"/>
      <c r="J731" s="532"/>
      <c r="K731" s="692"/>
      <c r="L731" s="692"/>
      <c r="M731" s="692"/>
      <c r="N731" s="532"/>
      <c r="O731" s="532"/>
      <c r="P731" s="532"/>
      <c r="Q731" s="532"/>
      <c r="R731" s="532"/>
      <c r="S731" s="532"/>
      <c r="T731" s="693"/>
      <c r="U731" s="693"/>
    </row>
    <row r="732">
      <c r="A732" s="692"/>
      <c r="B732" s="532"/>
      <c r="C732" s="532"/>
      <c r="D732" s="692"/>
      <c r="E732" s="692"/>
      <c r="F732" s="692"/>
      <c r="G732" s="692"/>
      <c r="H732" s="692"/>
      <c r="I732" s="692"/>
      <c r="J732" s="532"/>
      <c r="K732" s="692"/>
      <c r="L732" s="692"/>
      <c r="M732" s="692"/>
      <c r="N732" s="532"/>
      <c r="O732" s="532"/>
      <c r="P732" s="532"/>
      <c r="Q732" s="532"/>
      <c r="R732" s="532"/>
      <c r="S732" s="532"/>
      <c r="T732" s="693"/>
      <c r="U732" s="693"/>
    </row>
    <row r="733">
      <c r="A733" s="692"/>
      <c r="B733" s="532"/>
      <c r="C733" s="532"/>
      <c r="D733" s="692"/>
      <c r="E733" s="692"/>
      <c r="F733" s="692"/>
      <c r="G733" s="692"/>
      <c r="H733" s="692"/>
      <c r="I733" s="692"/>
      <c r="J733" s="532"/>
      <c r="K733" s="692"/>
      <c r="L733" s="692"/>
      <c r="M733" s="692"/>
      <c r="N733" s="532"/>
      <c r="O733" s="532"/>
      <c r="P733" s="532"/>
      <c r="Q733" s="532"/>
      <c r="R733" s="532"/>
      <c r="S733" s="532"/>
      <c r="T733" s="693"/>
      <c r="U733" s="693"/>
    </row>
    <row r="734">
      <c r="A734" s="692"/>
      <c r="B734" s="532"/>
      <c r="C734" s="532"/>
      <c r="D734" s="692"/>
      <c r="E734" s="692"/>
      <c r="F734" s="692"/>
      <c r="G734" s="692"/>
      <c r="H734" s="692"/>
      <c r="I734" s="692"/>
      <c r="J734" s="532"/>
      <c r="K734" s="692"/>
      <c r="L734" s="692"/>
      <c r="M734" s="692"/>
      <c r="N734" s="532"/>
      <c r="O734" s="532"/>
      <c r="P734" s="532"/>
      <c r="Q734" s="532"/>
      <c r="R734" s="532"/>
      <c r="S734" s="532"/>
      <c r="T734" s="693"/>
      <c r="U734" s="693"/>
    </row>
    <row r="735">
      <c r="A735" s="692"/>
      <c r="B735" s="532"/>
      <c r="C735" s="532"/>
      <c r="D735" s="692"/>
      <c r="E735" s="692"/>
      <c r="F735" s="692"/>
      <c r="G735" s="692"/>
      <c r="H735" s="692"/>
      <c r="I735" s="692"/>
      <c r="J735" s="532"/>
      <c r="K735" s="692"/>
      <c r="L735" s="692"/>
      <c r="M735" s="692"/>
      <c r="N735" s="532"/>
      <c r="O735" s="532"/>
      <c r="P735" s="532"/>
      <c r="Q735" s="532"/>
      <c r="R735" s="532"/>
      <c r="S735" s="532"/>
      <c r="T735" s="693"/>
      <c r="U735" s="693"/>
    </row>
    <row r="736">
      <c r="A736" s="692"/>
      <c r="B736" s="532"/>
      <c r="C736" s="532"/>
      <c r="D736" s="692"/>
      <c r="E736" s="692"/>
      <c r="F736" s="692"/>
      <c r="G736" s="692"/>
      <c r="H736" s="692"/>
      <c r="I736" s="692"/>
      <c r="J736" s="532"/>
      <c r="K736" s="692"/>
      <c r="L736" s="692"/>
      <c r="M736" s="692"/>
      <c r="N736" s="532"/>
      <c r="O736" s="532"/>
      <c r="P736" s="532"/>
      <c r="Q736" s="532"/>
      <c r="R736" s="532"/>
      <c r="S736" s="532"/>
      <c r="T736" s="693"/>
      <c r="U736" s="693"/>
    </row>
    <row r="737">
      <c r="A737" s="692"/>
      <c r="B737" s="532"/>
      <c r="C737" s="532"/>
      <c r="D737" s="692"/>
      <c r="E737" s="692"/>
      <c r="F737" s="692"/>
      <c r="G737" s="692"/>
      <c r="H737" s="692"/>
      <c r="I737" s="692"/>
      <c r="J737" s="532"/>
      <c r="K737" s="692"/>
      <c r="L737" s="692"/>
      <c r="M737" s="692"/>
      <c r="N737" s="532"/>
      <c r="O737" s="532"/>
      <c r="P737" s="532"/>
      <c r="Q737" s="532"/>
      <c r="R737" s="532"/>
      <c r="S737" s="532"/>
      <c r="T737" s="693"/>
      <c r="U737" s="693"/>
    </row>
    <row r="738">
      <c r="A738" s="692"/>
      <c r="B738" s="532"/>
      <c r="C738" s="532"/>
      <c r="D738" s="692"/>
      <c r="E738" s="692"/>
      <c r="F738" s="692"/>
      <c r="G738" s="692"/>
      <c r="H738" s="692"/>
      <c r="I738" s="692"/>
      <c r="J738" s="532"/>
      <c r="K738" s="692"/>
      <c r="L738" s="692"/>
      <c r="M738" s="692"/>
      <c r="N738" s="532"/>
      <c r="O738" s="532"/>
      <c r="P738" s="532"/>
      <c r="Q738" s="532"/>
      <c r="R738" s="532"/>
      <c r="S738" s="532"/>
      <c r="T738" s="693"/>
      <c r="U738" s="693"/>
    </row>
    <row r="739">
      <c r="A739" s="692"/>
      <c r="B739" s="532"/>
      <c r="C739" s="532"/>
      <c r="D739" s="692"/>
      <c r="E739" s="692"/>
      <c r="F739" s="692"/>
      <c r="G739" s="692"/>
      <c r="H739" s="692"/>
      <c r="I739" s="692"/>
      <c r="J739" s="532"/>
      <c r="K739" s="692"/>
      <c r="L739" s="692"/>
      <c r="M739" s="692"/>
      <c r="N739" s="532"/>
      <c r="O739" s="532"/>
      <c r="P739" s="532"/>
      <c r="Q739" s="532"/>
      <c r="R739" s="532"/>
      <c r="S739" s="532"/>
      <c r="T739" s="693"/>
      <c r="U739" s="693"/>
    </row>
    <row r="740">
      <c r="A740" s="692"/>
      <c r="B740" s="532"/>
      <c r="C740" s="532"/>
      <c r="D740" s="692"/>
      <c r="E740" s="692"/>
      <c r="F740" s="692"/>
      <c r="G740" s="692"/>
      <c r="H740" s="692"/>
      <c r="I740" s="692"/>
      <c r="J740" s="532"/>
      <c r="K740" s="692"/>
      <c r="L740" s="692"/>
      <c r="M740" s="692"/>
      <c r="N740" s="532"/>
      <c r="O740" s="532"/>
      <c r="P740" s="532"/>
      <c r="Q740" s="532"/>
      <c r="R740" s="532"/>
      <c r="S740" s="532"/>
      <c r="T740" s="693"/>
      <c r="U740" s="693"/>
    </row>
    <row r="741">
      <c r="A741" s="692"/>
      <c r="B741" s="532"/>
      <c r="C741" s="532"/>
      <c r="D741" s="692"/>
      <c r="E741" s="692"/>
      <c r="F741" s="692"/>
      <c r="G741" s="692"/>
      <c r="H741" s="692"/>
      <c r="I741" s="692"/>
      <c r="J741" s="532"/>
      <c r="K741" s="692"/>
      <c r="L741" s="692"/>
      <c r="M741" s="692"/>
      <c r="N741" s="532"/>
      <c r="O741" s="532"/>
      <c r="P741" s="532"/>
      <c r="Q741" s="532"/>
      <c r="R741" s="532"/>
      <c r="S741" s="532"/>
      <c r="T741" s="693"/>
      <c r="U741" s="693"/>
    </row>
    <row r="742">
      <c r="A742" s="692"/>
      <c r="B742" s="532"/>
      <c r="C742" s="532"/>
      <c r="D742" s="692"/>
      <c r="E742" s="692"/>
      <c r="F742" s="692"/>
      <c r="G742" s="692"/>
      <c r="H742" s="692"/>
      <c r="I742" s="692"/>
      <c r="J742" s="532"/>
      <c r="K742" s="692"/>
      <c r="L742" s="692"/>
      <c r="M742" s="692"/>
      <c r="N742" s="532"/>
      <c r="O742" s="532"/>
      <c r="P742" s="532"/>
      <c r="Q742" s="532"/>
      <c r="R742" s="532"/>
      <c r="S742" s="532"/>
      <c r="T742" s="693"/>
      <c r="U742" s="693"/>
    </row>
    <row r="743">
      <c r="A743" s="692"/>
      <c r="B743" s="532"/>
      <c r="C743" s="532"/>
      <c r="D743" s="692"/>
      <c r="E743" s="692"/>
      <c r="F743" s="692"/>
      <c r="G743" s="692"/>
      <c r="H743" s="692"/>
      <c r="I743" s="692"/>
      <c r="J743" s="532"/>
      <c r="K743" s="692"/>
      <c r="L743" s="692"/>
      <c r="M743" s="692"/>
      <c r="N743" s="532"/>
      <c r="O743" s="532"/>
      <c r="P743" s="532"/>
      <c r="Q743" s="532"/>
      <c r="R743" s="532"/>
      <c r="S743" s="532"/>
      <c r="T743" s="693"/>
      <c r="U743" s="693"/>
    </row>
    <row r="744">
      <c r="A744" s="692"/>
      <c r="B744" s="532"/>
      <c r="C744" s="532"/>
      <c r="D744" s="692"/>
      <c r="E744" s="692"/>
      <c r="F744" s="692"/>
      <c r="G744" s="692"/>
      <c r="H744" s="692"/>
      <c r="I744" s="692"/>
      <c r="J744" s="532"/>
      <c r="K744" s="692"/>
      <c r="L744" s="692"/>
      <c r="M744" s="692"/>
      <c r="N744" s="532"/>
      <c r="O744" s="532"/>
      <c r="P744" s="532"/>
      <c r="Q744" s="532"/>
      <c r="R744" s="532"/>
      <c r="S744" s="532"/>
      <c r="T744" s="693"/>
      <c r="U744" s="693"/>
    </row>
    <row r="745">
      <c r="A745" s="692"/>
      <c r="B745" s="532"/>
      <c r="C745" s="532"/>
      <c r="D745" s="692"/>
      <c r="E745" s="692"/>
      <c r="F745" s="692"/>
      <c r="G745" s="692"/>
      <c r="H745" s="692"/>
      <c r="I745" s="692"/>
      <c r="J745" s="532"/>
      <c r="K745" s="692"/>
      <c r="L745" s="692"/>
      <c r="M745" s="692"/>
      <c r="N745" s="532"/>
      <c r="O745" s="532"/>
      <c r="P745" s="532"/>
      <c r="Q745" s="532"/>
      <c r="R745" s="532"/>
      <c r="S745" s="532"/>
      <c r="T745" s="693"/>
      <c r="U745" s="693"/>
    </row>
    <row r="746">
      <c r="A746" s="692"/>
      <c r="B746" s="532"/>
      <c r="C746" s="532"/>
      <c r="D746" s="692"/>
      <c r="E746" s="692"/>
      <c r="F746" s="692"/>
      <c r="G746" s="692"/>
      <c r="H746" s="692"/>
      <c r="I746" s="692"/>
      <c r="J746" s="532"/>
      <c r="K746" s="692"/>
      <c r="L746" s="692"/>
      <c r="M746" s="692"/>
      <c r="N746" s="532"/>
      <c r="O746" s="532"/>
      <c r="P746" s="532"/>
      <c r="Q746" s="532"/>
      <c r="R746" s="532"/>
      <c r="S746" s="532"/>
      <c r="T746" s="693"/>
      <c r="U746" s="693"/>
    </row>
    <row r="747">
      <c r="A747" s="692"/>
      <c r="B747" s="532"/>
      <c r="C747" s="532"/>
      <c r="D747" s="692"/>
      <c r="E747" s="692"/>
      <c r="F747" s="692"/>
      <c r="G747" s="692"/>
      <c r="H747" s="692"/>
      <c r="I747" s="692"/>
      <c r="J747" s="532"/>
      <c r="K747" s="692"/>
      <c r="L747" s="692"/>
      <c r="M747" s="692"/>
      <c r="N747" s="532"/>
      <c r="O747" s="532"/>
      <c r="P747" s="532"/>
      <c r="Q747" s="532"/>
      <c r="R747" s="532"/>
      <c r="S747" s="532"/>
      <c r="T747" s="693"/>
      <c r="U747" s="693"/>
    </row>
    <row r="748">
      <c r="A748" s="692"/>
      <c r="B748" s="532"/>
      <c r="C748" s="532"/>
      <c r="D748" s="692"/>
      <c r="E748" s="692"/>
      <c r="F748" s="692"/>
      <c r="G748" s="692"/>
      <c r="H748" s="692"/>
      <c r="I748" s="692"/>
      <c r="J748" s="532"/>
      <c r="K748" s="692"/>
      <c r="L748" s="692"/>
      <c r="M748" s="692"/>
      <c r="N748" s="532"/>
      <c r="O748" s="532"/>
      <c r="P748" s="532"/>
      <c r="Q748" s="532"/>
      <c r="R748" s="532"/>
      <c r="S748" s="532"/>
      <c r="T748" s="693"/>
      <c r="U748" s="693"/>
    </row>
    <row r="749">
      <c r="A749" s="692"/>
      <c r="B749" s="532"/>
      <c r="C749" s="532"/>
      <c r="D749" s="692"/>
      <c r="E749" s="692"/>
      <c r="F749" s="692"/>
      <c r="G749" s="692"/>
      <c r="H749" s="692"/>
      <c r="I749" s="692"/>
      <c r="J749" s="532"/>
      <c r="K749" s="692"/>
      <c r="L749" s="692"/>
      <c r="M749" s="692"/>
      <c r="N749" s="532"/>
      <c r="O749" s="532"/>
      <c r="P749" s="532"/>
      <c r="Q749" s="532"/>
      <c r="R749" s="532"/>
      <c r="S749" s="532"/>
      <c r="T749" s="693"/>
      <c r="U749" s="693"/>
    </row>
    <row r="750">
      <c r="A750" s="692"/>
      <c r="B750" s="532"/>
      <c r="C750" s="532"/>
      <c r="D750" s="692"/>
      <c r="E750" s="692"/>
      <c r="F750" s="692"/>
      <c r="G750" s="692"/>
      <c r="H750" s="692"/>
      <c r="I750" s="692"/>
      <c r="J750" s="532"/>
      <c r="K750" s="692"/>
      <c r="L750" s="692"/>
      <c r="M750" s="692"/>
      <c r="N750" s="532"/>
      <c r="O750" s="532"/>
      <c r="P750" s="532"/>
      <c r="Q750" s="532"/>
      <c r="R750" s="532"/>
      <c r="S750" s="532"/>
      <c r="T750" s="693"/>
      <c r="U750" s="693"/>
    </row>
    <row r="751">
      <c r="A751" s="692"/>
      <c r="B751" s="532"/>
      <c r="C751" s="532"/>
      <c r="D751" s="692"/>
      <c r="E751" s="692"/>
      <c r="F751" s="692"/>
      <c r="G751" s="692"/>
      <c r="H751" s="692"/>
      <c r="I751" s="692"/>
      <c r="J751" s="532"/>
      <c r="K751" s="692"/>
      <c r="L751" s="692"/>
      <c r="M751" s="692"/>
      <c r="N751" s="532"/>
      <c r="O751" s="532"/>
      <c r="P751" s="532"/>
      <c r="Q751" s="532"/>
      <c r="R751" s="532"/>
      <c r="S751" s="532"/>
      <c r="T751" s="693"/>
      <c r="U751" s="693"/>
    </row>
    <row r="752">
      <c r="A752" s="692"/>
      <c r="B752" s="532"/>
      <c r="C752" s="532"/>
      <c r="D752" s="692"/>
      <c r="E752" s="692"/>
      <c r="F752" s="692"/>
      <c r="G752" s="692"/>
      <c r="H752" s="692"/>
      <c r="I752" s="692"/>
      <c r="J752" s="532"/>
      <c r="K752" s="692"/>
      <c r="L752" s="692"/>
      <c r="M752" s="692"/>
      <c r="N752" s="532"/>
      <c r="O752" s="532"/>
      <c r="P752" s="532"/>
      <c r="Q752" s="532"/>
      <c r="R752" s="532"/>
      <c r="S752" s="532"/>
      <c r="T752" s="693"/>
      <c r="U752" s="693"/>
    </row>
    <row r="753">
      <c r="A753" s="692"/>
      <c r="B753" s="532"/>
      <c r="C753" s="532"/>
      <c r="D753" s="692"/>
      <c r="E753" s="692"/>
      <c r="F753" s="692"/>
      <c r="G753" s="692"/>
      <c r="H753" s="692"/>
      <c r="I753" s="692"/>
      <c r="J753" s="532"/>
      <c r="K753" s="692"/>
      <c r="L753" s="692"/>
      <c r="M753" s="692"/>
      <c r="N753" s="532"/>
      <c r="O753" s="532"/>
      <c r="P753" s="532"/>
      <c r="Q753" s="532"/>
      <c r="R753" s="532"/>
      <c r="S753" s="532"/>
      <c r="T753" s="693"/>
      <c r="U753" s="693"/>
    </row>
    <row r="754">
      <c r="A754" s="692"/>
      <c r="B754" s="532"/>
      <c r="C754" s="532"/>
      <c r="D754" s="692"/>
      <c r="E754" s="692"/>
      <c r="F754" s="692"/>
      <c r="G754" s="692"/>
      <c r="H754" s="692"/>
      <c r="I754" s="692"/>
      <c r="J754" s="532"/>
      <c r="K754" s="692"/>
      <c r="L754" s="692"/>
      <c r="M754" s="692"/>
      <c r="N754" s="532"/>
      <c r="O754" s="532"/>
      <c r="P754" s="532"/>
      <c r="Q754" s="532"/>
      <c r="R754" s="532"/>
      <c r="S754" s="532"/>
      <c r="T754" s="693"/>
      <c r="U754" s="693"/>
    </row>
    <row r="755">
      <c r="A755" s="692"/>
      <c r="B755" s="532"/>
      <c r="C755" s="532"/>
      <c r="D755" s="692"/>
      <c r="E755" s="692"/>
      <c r="F755" s="692"/>
      <c r="G755" s="692"/>
      <c r="H755" s="692"/>
      <c r="I755" s="692"/>
      <c r="J755" s="532"/>
      <c r="K755" s="692"/>
      <c r="L755" s="692"/>
      <c r="M755" s="692"/>
      <c r="N755" s="532"/>
      <c r="O755" s="532"/>
      <c r="P755" s="532"/>
      <c r="Q755" s="532"/>
      <c r="R755" s="532"/>
      <c r="S755" s="532"/>
      <c r="T755" s="693"/>
      <c r="U755" s="693"/>
    </row>
    <row r="756">
      <c r="A756" s="692"/>
      <c r="B756" s="532"/>
      <c r="C756" s="532"/>
      <c r="D756" s="692"/>
      <c r="E756" s="692"/>
      <c r="F756" s="692"/>
      <c r="G756" s="692"/>
      <c r="H756" s="692"/>
      <c r="I756" s="692"/>
      <c r="J756" s="532"/>
      <c r="K756" s="692"/>
      <c r="L756" s="692"/>
      <c r="M756" s="692"/>
      <c r="N756" s="532"/>
      <c r="O756" s="532"/>
      <c r="P756" s="532"/>
      <c r="Q756" s="532"/>
      <c r="R756" s="532"/>
      <c r="S756" s="532"/>
      <c r="T756" s="693"/>
      <c r="U756" s="693"/>
    </row>
    <row r="757">
      <c r="A757" s="692"/>
      <c r="B757" s="532"/>
      <c r="C757" s="532"/>
      <c r="D757" s="692"/>
      <c r="E757" s="692"/>
      <c r="F757" s="692"/>
      <c r="G757" s="692"/>
      <c r="H757" s="692"/>
      <c r="I757" s="692"/>
      <c r="J757" s="532"/>
      <c r="K757" s="692"/>
      <c r="L757" s="692"/>
      <c r="M757" s="692"/>
      <c r="N757" s="532"/>
      <c r="O757" s="532"/>
      <c r="P757" s="532"/>
      <c r="Q757" s="532"/>
      <c r="R757" s="532"/>
      <c r="S757" s="532"/>
      <c r="T757" s="693"/>
      <c r="U757" s="693"/>
    </row>
    <row r="758">
      <c r="A758" s="692"/>
      <c r="B758" s="532"/>
      <c r="C758" s="532"/>
      <c r="D758" s="692"/>
      <c r="E758" s="692"/>
      <c r="F758" s="692"/>
      <c r="G758" s="692"/>
      <c r="H758" s="692"/>
      <c r="I758" s="692"/>
      <c r="J758" s="532"/>
      <c r="K758" s="692"/>
      <c r="L758" s="692"/>
      <c r="M758" s="692"/>
      <c r="N758" s="532"/>
      <c r="O758" s="532"/>
      <c r="P758" s="532"/>
      <c r="Q758" s="532"/>
      <c r="R758" s="532"/>
      <c r="S758" s="532"/>
      <c r="T758" s="693"/>
      <c r="U758" s="693"/>
    </row>
    <row r="759">
      <c r="A759" s="692"/>
      <c r="B759" s="532"/>
      <c r="C759" s="532"/>
      <c r="D759" s="692"/>
      <c r="E759" s="692"/>
      <c r="F759" s="692"/>
      <c r="G759" s="692"/>
      <c r="H759" s="692"/>
      <c r="I759" s="692"/>
      <c r="J759" s="532"/>
      <c r="K759" s="692"/>
      <c r="L759" s="692"/>
      <c r="M759" s="692"/>
      <c r="N759" s="532"/>
      <c r="O759" s="532"/>
      <c r="P759" s="532"/>
      <c r="Q759" s="532"/>
      <c r="R759" s="532"/>
      <c r="S759" s="532"/>
      <c r="T759" s="693"/>
      <c r="U759" s="693"/>
    </row>
    <row r="760">
      <c r="A760" s="692"/>
      <c r="B760" s="532"/>
      <c r="C760" s="532"/>
      <c r="D760" s="692"/>
      <c r="E760" s="692"/>
      <c r="F760" s="692"/>
      <c r="G760" s="692"/>
      <c r="H760" s="692"/>
      <c r="I760" s="692"/>
      <c r="J760" s="532"/>
      <c r="K760" s="692"/>
      <c r="L760" s="692"/>
      <c r="M760" s="692"/>
      <c r="N760" s="532"/>
      <c r="O760" s="532"/>
      <c r="P760" s="532"/>
      <c r="Q760" s="532"/>
      <c r="R760" s="532"/>
      <c r="S760" s="532"/>
      <c r="T760" s="693"/>
      <c r="U760" s="693"/>
    </row>
    <row r="761">
      <c r="A761" s="692"/>
      <c r="B761" s="532"/>
      <c r="C761" s="532"/>
      <c r="D761" s="692"/>
      <c r="E761" s="692"/>
      <c r="F761" s="692"/>
      <c r="G761" s="692"/>
      <c r="H761" s="692"/>
      <c r="I761" s="692"/>
      <c r="J761" s="532"/>
      <c r="K761" s="692"/>
      <c r="L761" s="692"/>
      <c r="M761" s="692"/>
      <c r="N761" s="532"/>
      <c r="O761" s="532"/>
      <c r="P761" s="532"/>
      <c r="Q761" s="532"/>
      <c r="R761" s="532"/>
      <c r="S761" s="532"/>
      <c r="T761" s="693"/>
      <c r="U761" s="693"/>
    </row>
    <row r="762">
      <c r="A762" s="692"/>
      <c r="B762" s="532"/>
      <c r="C762" s="532"/>
      <c r="D762" s="692"/>
      <c r="E762" s="692"/>
      <c r="F762" s="692"/>
      <c r="G762" s="692"/>
      <c r="H762" s="692"/>
      <c r="I762" s="692"/>
      <c r="J762" s="532"/>
      <c r="K762" s="692"/>
      <c r="L762" s="692"/>
      <c r="M762" s="692"/>
      <c r="N762" s="532"/>
      <c r="O762" s="532"/>
      <c r="P762" s="532"/>
      <c r="Q762" s="532"/>
      <c r="R762" s="532"/>
      <c r="S762" s="532"/>
      <c r="T762" s="693"/>
      <c r="U762" s="693"/>
    </row>
    <row r="763">
      <c r="A763" s="692"/>
      <c r="B763" s="532"/>
      <c r="C763" s="532"/>
      <c r="D763" s="692"/>
      <c r="E763" s="692"/>
      <c r="F763" s="692"/>
      <c r="G763" s="692"/>
      <c r="H763" s="692"/>
      <c r="I763" s="692"/>
      <c r="J763" s="532"/>
      <c r="K763" s="692"/>
      <c r="L763" s="692"/>
      <c r="M763" s="692"/>
      <c r="N763" s="532"/>
      <c r="O763" s="532"/>
      <c r="P763" s="532"/>
      <c r="Q763" s="532"/>
      <c r="R763" s="532"/>
      <c r="S763" s="532"/>
      <c r="T763" s="693"/>
      <c r="U763" s="693"/>
    </row>
    <row r="764">
      <c r="A764" s="692"/>
      <c r="B764" s="532"/>
      <c r="C764" s="532"/>
      <c r="D764" s="692"/>
      <c r="E764" s="692"/>
      <c r="F764" s="692"/>
      <c r="G764" s="692"/>
      <c r="H764" s="692"/>
      <c r="I764" s="692"/>
      <c r="J764" s="532"/>
      <c r="K764" s="692"/>
      <c r="L764" s="692"/>
      <c r="M764" s="692"/>
      <c r="N764" s="532"/>
      <c r="O764" s="532"/>
      <c r="P764" s="532"/>
      <c r="Q764" s="532"/>
      <c r="R764" s="532"/>
      <c r="S764" s="532"/>
      <c r="T764" s="693"/>
      <c r="U764" s="693"/>
    </row>
    <row r="765">
      <c r="A765" s="692"/>
      <c r="B765" s="532"/>
      <c r="C765" s="532"/>
      <c r="D765" s="692"/>
      <c r="E765" s="692"/>
      <c r="F765" s="692"/>
      <c r="G765" s="692"/>
      <c r="H765" s="692"/>
      <c r="I765" s="692"/>
      <c r="J765" s="532"/>
      <c r="K765" s="692"/>
      <c r="L765" s="692"/>
      <c r="M765" s="692"/>
      <c r="N765" s="532"/>
      <c r="O765" s="532"/>
      <c r="P765" s="532"/>
      <c r="Q765" s="532"/>
      <c r="R765" s="532"/>
      <c r="S765" s="532"/>
      <c r="T765" s="693"/>
      <c r="U765" s="693"/>
    </row>
    <row r="766">
      <c r="A766" s="692"/>
      <c r="B766" s="532"/>
      <c r="C766" s="532"/>
      <c r="D766" s="692"/>
      <c r="E766" s="692"/>
      <c r="F766" s="692"/>
      <c r="G766" s="692"/>
      <c r="H766" s="692"/>
      <c r="I766" s="692"/>
      <c r="J766" s="532"/>
      <c r="K766" s="692"/>
      <c r="L766" s="692"/>
      <c r="M766" s="692"/>
      <c r="N766" s="532"/>
      <c r="O766" s="532"/>
      <c r="P766" s="532"/>
      <c r="Q766" s="532"/>
      <c r="R766" s="532"/>
      <c r="S766" s="532"/>
      <c r="T766" s="693"/>
      <c r="U766" s="693"/>
    </row>
    <row r="767">
      <c r="A767" s="692"/>
      <c r="B767" s="532"/>
      <c r="C767" s="532"/>
      <c r="D767" s="692"/>
      <c r="E767" s="692"/>
      <c r="F767" s="692"/>
      <c r="G767" s="692"/>
      <c r="H767" s="692"/>
      <c r="I767" s="692"/>
      <c r="J767" s="532"/>
      <c r="K767" s="692"/>
      <c r="L767" s="692"/>
      <c r="M767" s="692"/>
      <c r="N767" s="532"/>
      <c r="O767" s="532"/>
      <c r="P767" s="532"/>
      <c r="Q767" s="532"/>
      <c r="R767" s="532"/>
      <c r="S767" s="532"/>
      <c r="T767" s="693"/>
      <c r="U767" s="693"/>
    </row>
    <row r="768">
      <c r="A768" s="692"/>
      <c r="B768" s="532"/>
      <c r="C768" s="532"/>
      <c r="D768" s="692"/>
      <c r="E768" s="692"/>
      <c r="F768" s="692"/>
      <c r="G768" s="692"/>
      <c r="H768" s="692"/>
      <c r="I768" s="692"/>
      <c r="J768" s="532"/>
      <c r="K768" s="692"/>
      <c r="L768" s="692"/>
      <c r="M768" s="692"/>
      <c r="N768" s="532"/>
      <c r="O768" s="532"/>
      <c r="P768" s="532"/>
      <c r="Q768" s="532"/>
      <c r="R768" s="532"/>
      <c r="S768" s="532"/>
      <c r="T768" s="693"/>
      <c r="U768" s="693"/>
    </row>
    <row r="769">
      <c r="A769" s="692"/>
      <c r="B769" s="532"/>
      <c r="C769" s="532"/>
      <c r="D769" s="692"/>
      <c r="E769" s="692"/>
      <c r="F769" s="692"/>
      <c r="G769" s="692"/>
      <c r="H769" s="692"/>
      <c r="I769" s="692"/>
      <c r="J769" s="532"/>
      <c r="K769" s="692"/>
      <c r="L769" s="692"/>
      <c r="M769" s="692"/>
      <c r="N769" s="532"/>
      <c r="O769" s="532"/>
      <c r="P769" s="532"/>
      <c r="Q769" s="532"/>
      <c r="R769" s="532"/>
      <c r="S769" s="532"/>
      <c r="T769" s="693"/>
      <c r="U769" s="693"/>
    </row>
    <row r="770">
      <c r="A770" s="692"/>
      <c r="B770" s="532"/>
      <c r="C770" s="532"/>
      <c r="D770" s="692"/>
      <c r="E770" s="692"/>
      <c r="F770" s="692"/>
      <c r="G770" s="692"/>
      <c r="H770" s="692"/>
      <c r="I770" s="692"/>
      <c r="J770" s="532"/>
      <c r="K770" s="692"/>
      <c r="L770" s="692"/>
      <c r="M770" s="692"/>
      <c r="N770" s="532"/>
      <c r="O770" s="532"/>
      <c r="P770" s="532"/>
      <c r="Q770" s="532"/>
      <c r="R770" s="532"/>
      <c r="S770" s="532"/>
      <c r="T770" s="693"/>
      <c r="U770" s="693"/>
    </row>
    <row r="771">
      <c r="A771" s="692"/>
      <c r="B771" s="532"/>
      <c r="C771" s="532"/>
      <c r="D771" s="692"/>
      <c r="E771" s="692"/>
      <c r="F771" s="692"/>
      <c r="G771" s="692"/>
      <c r="H771" s="692"/>
      <c r="I771" s="692"/>
      <c r="J771" s="532"/>
      <c r="K771" s="692"/>
      <c r="L771" s="692"/>
      <c r="M771" s="692"/>
      <c r="N771" s="532"/>
      <c r="O771" s="532"/>
      <c r="P771" s="532"/>
      <c r="Q771" s="532"/>
      <c r="R771" s="532"/>
      <c r="S771" s="532"/>
      <c r="T771" s="693"/>
      <c r="U771" s="693"/>
    </row>
    <row r="772">
      <c r="A772" s="692"/>
      <c r="B772" s="532"/>
      <c r="C772" s="532"/>
      <c r="D772" s="692"/>
      <c r="E772" s="692"/>
      <c r="F772" s="692"/>
      <c r="G772" s="692"/>
      <c r="H772" s="692"/>
      <c r="I772" s="692"/>
      <c r="J772" s="532"/>
      <c r="K772" s="692"/>
      <c r="L772" s="692"/>
      <c r="M772" s="692"/>
      <c r="N772" s="532"/>
      <c r="O772" s="532"/>
      <c r="P772" s="532"/>
      <c r="Q772" s="532"/>
      <c r="R772" s="532"/>
      <c r="S772" s="532"/>
      <c r="T772" s="693"/>
      <c r="U772" s="693"/>
    </row>
    <row r="773">
      <c r="A773" s="692"/>
      <c r="B773" s="532"/>
      <c r="C773" s="532"/>
      <c r="D773" s="692"/>
      <c r="E773" s="692"/>
      <c r="F773" s="692"/>
      <c r="G773" s="692"/>
      <c r="H773" s="692"/>
      <c r="I773" s="692"/>
      <c r="J773" s="532"/>
      <c r="K773" s="692"/>
      <c r="L773" s="692"/>
      <c r="M773" s="692"/>
      <c r="N773" s="532"/>
      <c r="O773" s="532"/>
      <c r="P773" s="532"/>
      <c r="Q773" s="532"/>
      <c r="R773" s="532"/>
      <c r="S773" s="532"/>
      <c r="T773" s="693"/>
      <c r="U773" s="693"/>
    </row>
    <row r="774">
      <c r="A774" s="692"/>
      <c r="B774" s="532"/>
      <c r="C774" s="532"/>
      <c r="D774" s="692"/>
      <c r="E774" s="692"/>
      <c r="F774" s="692"/>
      <c r="G774" s="692"/>
      <c r="H774" s="692"/>
      <c r="I774" s="692"/>
      <c r="J774" s="532"/>
      <c r="K774" s="692"/>
      <c r="L774" s="692"/>
      <c r="M774" s="692"/>
      <c r="N774" s="532"/>
      <c r="O774" s="532"/>
      <c r="P774" s="532"/>
      <c r="Q774" s="532"/>
      <c r="R774" s="532"/>
      <c r="S774" s="532"/>
      <c r="T774" s="693"/>
      <c r="U774" s="693"/>
    </row>
    <row r="775">
      <c r="A775" s="692"/>
      <c r="B775" s="532"/>
      <c r="C775" s="532"/>
      <c r="D775" s="692"/>
      <c r="E775" s="692"/>
      <c r="F775" s="692"/>
      <c r="G775" s="692"/>
      <c r="H775" s="692"/>
      <c r="I775" s="692"/>
      <c r="J775" s="532"/>
      <c r="K775" s="692"/>
      <c r="L775" s="692"/>
      <c r="M775" s="692"/>
      <c r="N775" s="532"/>
      <c r="O775" s="532"/>
      <c r="P775" s="532"/>
      <c r="Q775" s="532"/>
      <c r="R775" s="532"/>
      <c r="S775" s="532"/>
      <c r="T775" s="693"/>
      <c r="U775" s="693"/>
    </row>
    <row r="776">
      <c r="A776" s="692"/>
      <c r="B776" s="532"/>
      <c r="C776" s="532"/>
      <c r="D776" s="692"/>
      <c r="E776" s="692"/>
      <c r="F776" s="692"/>
      <c r="G776" s="692"/>
      <c r="H776" s="692"/>
      <c r="I776" s="692"/>
      <c r="J776" s="532"/>
      <c r="K776" s="692"/>
      <c r="L776" s="692"/>
      <c r="M776" s="692"/>
      <c r="N776" s="532"/>
      <c r="O776" s="532"/>
      <c r="P776" s="532"/>
      <c r="Q776" s="532"/>
      <c r="R776" s="532"/>
      <c r="S776" s="532"/>
      <c r="T776" s="693"/>
      <c r="U776" s="693"/>
    </row>
    <row r="777">
      <c r="A777" s="692"/>
      <c r="B777" s="532"/>
      <c r="C777" s="532"/>
      <c r="D777" s="692"/>
      <c r="E777" s="692"/>
      <c r="F777" s="692"/>
      <c r="G777" s="692"/>
      <c r="H777" s="692"/>
      <c r="I777" s="692"/>
      <c r="J777" s="532"/>
      <c r="K777" s="692"/>
      <c r="L777" s="692"/>
      <c r="M777" s="692"/>
      <c r="N777" s="532"/>
      <c r="O777" s="532"/>
      <c r="P777" s="532"/>
      <c r="Q777" s="532"/>
      <c r="R777" s="532"/>
      <c r="S777" s="532"/>
      <c r="T777" s="693"/>
      <c r="U777" s="693"/>
    </row>
    <row r="778">
      <c r="A778" s="692"/>
      <c r="B778" s="532"/>
      <c r="C778" s="532"/>
      <c r="D778" s="692"/>
      <c r="E778" s="692"/>
      <c r="F778" s="692"/>
      <c r="G778" s="692"/>
      <c r="H778" s="692"/>
      <c r="I778" s="692"/>
      <c r="J778" s="532"/>
      <c r="K778" s="692"/>
      <c r="L778" s="692"/>
      <c r="M778" s="692"/>
      <c r="N778" s="532"/>
      <c r="O778" s="532"/>
      <c r="P778" s="532"/>
      <c r="Q778" s="532"/>
      <c r="R778" s="532"/>
      <c r="S778" s="532"/>
      <c r="T778" s="693"/>
      <c r="U778" s="693"/>
    </row>
    <row r="779">
      <c r="A779" s="692"/>
      <c r="B779" s="532"/>
      <c r="C779" s="532"/>
      <c r="D779" s="692"/>
      <c r="E779" s="692"/>
      <c r="F779" s="692"/>
      <c r="G779" s="692"/>
      <c r="H779" s="692"/>
      <c r="I779" s="692"/>
      <c r="J779" s="532"/>
      <c r="K779" s="692"/>
      <c r="L779" s="692"/>
      <c r="M779" s="692"/>
      <c r="N779" s="532"/>
      <c r="O779" s="532"/>
      <c r="P779" s="532"/>
      <c r="Q779" s="532"/>
      <c r="R779" s="532"/>
      <c r="S779" s="532"/>
      <c r="T779" s="693"/>
      <c r="U779" s="693"/>
    </row>
    <row r="780">
      <c r="A780" s="692"/>
      <c r="B780" s="532"/>
      <c r="C780" s="532"/>
      <c r="D780" s="692"/>
      <c r="E780" s="692"/>
      <c r="F780" s="692"/>
      <c r="G780" s="692"/>
      <c r="H780" s="692"/>
      <c r="I780" s="692"/>
      <c r="J780" s="532"/>
      <c r="K780" s="692"/>
      <c r="L780" s="692"/>
      <c r="M780" s="692"/>
      <c r="N780" s="532"/>
      <c r="O780" s="532"/>
      <c r="P780" s="532"/>
      <c r="Q780" s="532"/>
      <c r="R780" s="532"/>
      <c r="S780" s="532"/>
      <c r="T780" s="693"/>
      <c r="U780" s="693"/>
    </row>
    <row r="781">
      <c r="A781" s="692"/>
      <c r="B781" s="532"/>
      <c r="C781" s="532"/>
      <c r="D781" s="692"/>
      <c r="E781" s="692"/>
      <c r="F781" s="692"/>
      <c r="G781" s="692"/>
      <c r="H781" s="692"/>
      <c r="I781" s="692"/>
      <c r="J781" s="532"/>
      <c r="K781" s="692"/>
      <c r="L781" s="692"/>
      <c r="M781" s="692"/>
      <c r="N781" s="532"/>
      <c r="O781" s="532"/>
      <c r="P781" s="532"/>
      <c r="Q781" s="532"/>
      <c r="R781" s="532"/>
      <c r="S781" s="532"/>
      <c r="T781" s="693"/>
      <c r="U781" s="693"/>
    </row>
    <row r="782">
      <c r="A782" s="692"/>
      <c r="B782" s="532"/>
      <c r="C782" s="532"/>
      <c r="D782" s="692"/>
      <c r="E782" s="692"/>
      <c r="F782" s="692"/>
      <c r="G782" s="692"/>
      <c r="H782" s="692"/>
      <c r="I782" s="692"/>
      <c r="J782" s="532"/>
      <c r="K782" s="692"/>
      <c r="L782" s="692"/>
      <c r="M782" s="692"/>
      <c r="N782" s="532"/>
      <c r="O782" s="532"/>
      <c r="P782" s="532"/>
      <c r="Q782" s="532"/>
      <c r="R782" s="532"/>
      <c r="S782" s="532"/>
      <c r="T782" s="693"/>
      <c r="U782" s="693"/>
    </row>
    <row r="783">
      <c r="A783" s="692"/>
      <c r="B783" s="532"/>
      <c r="C783" s="532"/>
      <c r="D783" s="692"/>
      <c r="E783" s="692"/>
      <c r="F783" s="692"/>
      <c r="G783" s="692"/>
      <c r="H783" s="692"/>
      <c r="I783" s="692"/>
      <c r="J783" s="532"/>
      <c r="K783" s="692"/>
      <c r="L783" s="692"/>
      <c r="M783" s="692"/>
      <c r="N783" s="532"/>
      <c r="O783" s="532"/>
      <c r="P783" s="532"/>
      <c r="Q783" s="532"/>
      <c r="R783" s="532"/>
      <c r="S783" s="532"/>
      <c r="T783" s="693"/>
      <c r="U783" s="693"/>
    </row>
    <row r="784">
      <c r="A784" s="692"/>
      <c r="B784" s="532"/>
      <c r="C784" s="532"/>
      <c r="D784" s="692"/>
      <c r="E784" s="692"/>
      <c r="F784" s="692"/>
      <c r="G784" s="692"/>
      <c r="H784" s="692"/>
      <c r="I784" s="692"/>
      <c r="J784" s="532"/>
      <c r="K784" s="692"/>
      <c r="L784" s="692"/>
      <c r="M784" s="692"/>
      <c r="N784" s="532"/>
      <c r="O784" s="532"/>
      <c r="P784" s="532"/>
      <c r="Q784" s="532"/>
      <c r="R784" s="532"/>
      <c r="S784" s="532"/>
      <c r="T784" s="693"/>
      <c r="U784" s="693"/>
    </row>
    <row r="785">
      <c r="A785" s="692"/>
      <c r="B785" s="532"/>
      <c r="C785" s="532"/>
      <c r="D785" s="692"/>
      <c r="E785" s="692"/>
      <c r="F785" s="692"/>
      <c r="G785" s="692"/>
      <c r="H785" s="692"/>
      <c r="I785" s="692"/>
      <c r="J785" s="532"/>
      <c r="K785" s="692"/>
      <c r="L785" s="692"/>
      <c r="M785" s="692"/>
      <c r="N785" s="532"/>
      <c r="O785" s="532"/>
      <c r="P785" s="532"/>
      <c r="Q785" s="532"/>
      <c r="R785" s="532"/>
      <c r="S785" s="532"/>
      <c r="T785" s="693"/>
      <c r="U785" s="693"/>
    </row>
    <row r="786">
      <c r="A786" s="692"/>
      <c r="B786" s="532"/>
      <c r="C786" s="532"/>
      <c r="D786" s="692"/>
      <c r="E786" s="692"/>
      <c r="F786" s="692"/>
      <c r="G786" s="692"/>
      <c r="H786" s="692"/>
      <c r="I786" s="692"/>
      <c r="J786" s="532"/>
      <c r="K786" s="692"/>
      <c r="L786" s="692"/>
      <c r="M786" s="692"/>
      <c r="N786" s="532"/>
      <c r="O786" s="532"/>
      <c r="P786" s="532"/>
      <c r="Q786" s="532"/>
      <c r="R786" s="532"/>
      <c r="S786" s="532"/>
      <c r="T786" s="693"/>
      <c r="U786" s="693"/>
    </row>
    <row r="787">
      <c r="A787" s="692"/>
      <c r="B787" s="532"/>
      <c r="C787" s="532"/>
      <c r="D787" s="692"/>
      <c r="E787" s="692"/>
      <c r="F787" s="692"/>
      <c r="G787" s="692"/>
      <c r="H787" s="692"/>
      <c r="I787" s="692"/>
      <c r="J787" s="532"/>
      <c r="K787" s="692"/>
      <c r="L787" s="692"/>
      <c r="M787" s="692"/>
      <c r="N787" s="532"/>
      <c r="O787" s="532"/>
      <c r="P787" s="532"/>
      <c r="Q787" s="532"/>
      <c r="R787" s="532"/>
      <c r="S787" s="532"/>
      <c r="T787" s="693"/>
      <c r="U787" s="693"/>
    </row>
    <row r="788">
      <c r="A788" s="692"/>
      <c r="B788" s="532"/>
      <c r="C788" s="532"/>
      <c r="D788" s="692"/>
      <c r="E788" s="692"/>
      <c r="F788" s="692"/>
      <c r="G788" s="692"/>
      <c r="H788" s="692"/>
      <c r="I788" s="692"/>
      <c r="J788" s="532"/>
      <c r="K788" s="692"/>
      <c r="L788" s="692"/>
      <c r="M788" s="692"/>
      <c r="N788" s="532"/>
      <c r="O788" s="532"/>
      <c r="P788" s="532"/>
      <c r="Q788" s="532"/>
      <c r="R788" s="532"/>
      <c r="S788" s="532"/>
      <c r="T788" s="693"/>
      <c r="U788" s="693"/>
    </row>
    <row r="789">
      <c r="A789" s="692"/>
      <c r="B789" s="532"/>
      <c r="C789" s="532"/>
      <c r="D789" s="692"/>
      <c r="E789" s="692"/>
      <c r="F789" s="692"/>
      <c r="G789" s="692"/>
      <c r="H789" s="692"/>
      <c r="I789" s="692"/>
      <c r="J789" s="532"/>
      <c r="K789" s="692"/>
      <c r="L789" s="692"/>
      <c r="M789" s="692"/>
      <c r="N789" s="532"/>
      <c r="O789" s="532"/>
      <c r="P789" s="532"/>
      <c r="Q789" s="532"/>
      <c r="R789" s="532"/>
      <c r="S789" s="532"/>
      <c r="T789" s="693"/>
      <c r="U789" s="693"/>
    </row>
    <row r="790">
      <c r="A790" s="692"/>
      <c r="B790" s="532"/>
      <c r="C790" s="532"/>
      <c r="D790" s="692"/>
      <c r="E790" s="692"/>
      <c r="F790" s="692"/>
      <c r="G790" s="692"/>
      <c r="H790" s="692"/>
      <c r="I790" s="692"/>
      <c r="J790" s="532"/>
      <c r="K790" s="692"/>
      <c r="L790" s="692"/>
      <c r="M790" s="692"/>
      <c r="N790" s="532"/>
      <c r="O790" s="532"/>
      <c r="P790" s="532"/>
      <c r="Q790" s="532"/>
      <c r="R790" s="532"/>
      <c r="S790" s="532"/>
      <c r="T790" s="693"/>
      <c r="U790" s="693"/>
    </row>
    <row r="791">
      <c r="A791" s="692"/>
      <c r="B791" s="532"/>
      <c r="C791" s="532"/>
      <c r="D791" s="692"/>
      <c r="E791" s="692"/>
      <c r="F791" s="692"/>
      <c r="G791" s="692"/>
      <c r="H791" s="692"/>
      <c r="I791" s="692"/>
      <c r="J791" s="532"/>
      <c r="K791" s="692"/>
      <c r="L791" s="692"/>
      <c r="M791" s="692"/>
      <c r="N791" s="532"/>
      <c r="O791" s="532"/>
      <c r="P791" s="532"/>
      <c r="Q791" s="532"/>
      <c r="R791" s="532"/>
      <c r="S791" s="532"/>
      <c r="T791" s="693"/>
      <c r="U791" s="693"/>
    </row>
    <row r="792">
      <c r="A792" s="692"/>
      <c r="B792" s="532"/>
      <c r="C792" s="532"/>
      <c r="D792" s="692"/>
      <c r="E792" s="692"/>
      <c r="F792" s="692"/>
      <c r="G792" s="692"/>
      <c r="H792" s="692"/>
      <c r="I792" s="692"/>
      <c r="J792" s="532"/>
      <c r="K792" s="692"/>
      <c r="L792" s="692"/>
      <c r="M792" s="692"/>
      <c r="N792" s="532"/>
      <c r="O792" s="532"/>
      <c r="P792" s="532"/>
      <c r="Q792" s="532"/>
      <c r="R792" s="532"/>
      <c r="S792" s="532"/>
      <c r="T792" s="693"/>
      <c r="U792" s="693"/>
    </row>
    <row r="793">
      <c r="A793" s="692"/>
      <c r="B793" s="532"/>
      <c r="C793" s="532"/>
      <c r="D793" s="692"/>
      <c r="E793" s="692"/>
      <c r="F793" s="692"/>
      <c r="G793" s="692"/>
      <c r="H793" s="692"/>
      <c r="I793" s="692"/>
      <c r="J793" s="532"/>
      <c r="K793" s="692"/>
      <c r="L793" s="692"/>
      <c r="M793" s="692"/>
      <c r="N793" s="532"/>
      <c r="O793" s="532"/>
      <c r="P793" s="532"/>
      <c r="Q793" s="532"/>
      <c r="R793" s="532"/>
      <c r="S793" s="532"/>
      <c r="T793" s="693"/>
      <c r="U793" s="693"/>
    </row>
    <row r="794">
      <c r="A794" s="692"/>
      <c r="B794" s="532"/>
      <c r="C794" s="532"/>
      <c r="D794" s="692"/>
      <c r="E794" s="692"/>
      <c r="F794" s="692"/>
      <c r="G794" s="692"/>
      <c r="H794" s="692"/>
      <c r="I794" s="692"/>
      <c r="J794" s="532"/>
      <c r="K794" s="692"/>
      <c r="L794" s="692"/>
      <c r="M794" s="692"/>
      <c r="N794" s="532"/>
      <c r="O794" s="532"/>
      <c r="P794" s="532"/>
      <c r="Q794" s="532"/>
      <c r="R794" s="532"/>
      <c r="S794" s="532"/>
      <c r="T794" s="693"/>
      <c r="U794" s="693"/>
    </row>
    <row r="795">
      <c r="A795" s="692"/>
      <c r="B795" s="532"/>
      <c r="C795" s="532"/>
      <c r="D795" s="692"/>
      <c r="E795" s="692"/>
      <c r="F795" s="692"/>
      <c r="G795" s="692"/>
      <c r="H795" s="692"/>
      <c r="I795" s="692"/>
      <c r="J795" s="532"/>
      <c r="K795" s="692"/>
      <c r="L795" s="692"/>
      <c r="M795" s="692"/>
      <c r="N795" s="532"/>
      <c r="O795" s="532"/>
      <c r="P795" s="532"/>
      <c r="Q795" s="532"/>
      <c r="R795" s="532"/>
      <c r="S795" s="532"/>
      <c r="T795" s="693"/>
      <c r="U795" s="693"/>
    </row>
    <row r="796">
      <c r="A796" s="692"/>
      <c r="B796" s="532"/>
      <c r="C796" s="532"/>
      <c r="D796" s="692"/>
      <c r="E796" s="692"/>
      <c r="F796" s="692"/>
      <c r="G796" s="692"/>
      <c r="H796" s="692"/>
      <c r="I796" s="692"/>
      <c r="J796" s="532"/>
      <c r="K796" s="692"/>
      <c r="L796" s="692"/>
      <c r="M796" s="692"/>
      <c r="N796" s="532"/>
      <c r="O796" s="532"/>
      <c r="P796" s="532"/>
      <c r="Q796" s="532"/>
      <c r="R796" s="532"/>
      <c r="S796" s="532"/>
      <c r="T796" s="693"/>
      <c r="U796" s="693"/>
    </row>
    <row r="797">
      <c r="A797" s="692"/>
      <c r="B797" s="532"/>
      <c r="C797" s="532"/>
      <c r="D797" s="692"/>
      <c r="E797" s="692"/>
      <c r="F797" s="692"/>
      <c r="G797" s="692"/>
      <c r="H797" s="692"/>
      <c r="I797" s="692"/>
      <c r="J797" s="532"/>
      <c r="K797" s="692"/>
      <c r="L797" s="692"/>
      <c r="M797" s="692"/>
      <c r="N797" s="532"/>
      <c r="O797" s="532"/>
      <c r="P797" s="532"/>
      <c r="Q797" s="532"/>
      <c r="R797" s="532"/>
      <c r="S797" s="532"/>
      <c r="T797" s="693"/>
      <c r="U797" s="693"/>
    </row>
    <row r="798">
      <c r="A798" s="692"/>
      <c r="B798" s="532"/>
      <c r="C798" s="532"/>
      <c r="D798" s="692"/>
      <c r="E798" s="692"/>
      <c r="F798" s="692"/>
      <c r="G798" s="692"/>
      <c r="H798" s="692"/>
      <c r="I798" s="692"/>
      <c r="J798" s="532"/>
      <c r="K798" s="692"/>
      <c r="L798" s="692"/>
      <c r="M798" s="692"/>
      <c r="N798" s="532"/>
      <c r="O798" s="532"/>
      <c r="P798" s="532"/>
      <c r="Q798" s="532"/>
      <c r="R798" s="532"/>
      <c r="S798" s="532"/>
      <c r="T798" s="693"/>
      <c r="U798" s="693"/>
    </row>
    <row r="799">
      <c r="A799" s="692"/>
      <c r="B799" s="532"/>
      <c r="C799" s="532"/>
      <c r="D799" s="692"/>
      <c r="E799" s="692"/>
      <c r="F799" s="692"/>
      <c r="G799" s="692"/>
      <c r="H799" s="692"/>
      <c r="I799" s="692"/>
      <c r="J799" s="532"/>
      <c r="K799" s="692"/>
      <c r="L799" s="692"/>
      <c r="M799" s="692"/>
      <c r="N799" s="532"/>
      <c r="O799" s="532"/>
      <c r="P799" s="532"/>
      <c r="Q799" s="532"/>
      <c r="R799" s="532"/>
      <c r="S799" s="532"/>
      <c r="T799" s="693"/>
      <c r="U799" s="693"/>
    </row>
    <row r="800">
      <c r="A800" s="692"/>
      <c r="B800" s="532"/>
      <c r="C800" s="532"/>
      <c r="D800" s="692"/>
      <c r="E800" s="692"/>
      <c r="F800" s="692"/>
      <c r="G800" s="692"/>
      <c r="H800" s="692"/>
      <c r="I800" s="692"/>
      <c r="J800" s="532"/>
      <c r="K800" s="692"/>
      <c r="L800" s="692"/>
      <c r="M800" s="692"/>
      <c r="N800" s="532"/>
      <c r="O800" s="532"/>
      <c r="P800" s="532"/>
      <c r="Q800" s="532"/>
      <c r="R800" s="532"/>
      <c r="S800" s="532"/>
      <c r="T800" s="693"/>
      <c r="U800" s="693"/>
    </row>
    <row r="801">
      <c r="A801" s="692"/>
      <c r="B801" s="532"/>
      <c r="C801" s="532"/>
      <c r="D801" s="692"/>
      <c r="E801" s="692"/>
      <c r="F801" s="692"/>
      <c r="G801" s="692"/>
      <c r="H801" s="692"/>
      <c r="I801" s="692"/>
      <c r="J801" s="532"/>
      <c r="K801" s="692"/>
      <c r="L801" s="692"/>
      <c r="M801" s="692"/>
      <c r="N801" s="532"/>
      <c r="O801" s="532"/>
      <c r="P801" s="532"/>
      <c r="Q801" s="532"/>
      <c r="R801" s="532"/>
      <c r="S801" s="532"/>
      <c r="T801" s="693"/>
      <c r="U801" s="693"/>
    </row>
    <row r="802">
      <c r="A802" s="692"/>
      <c r="B802" s="532"/>
      <c r="C802" s="532"/>
      <c r="D802" s="692"/>
      <c r="E802" s="692"/>
      <c r="F802" s="692"/>
      <c r="G802" s="692"/>
      <c r="H802" s="692"/>
      <c r="I802" s="692"/>
      <c r="J802" s="532"/>
      <c r="K802" s="692"/>
      <c r="L802" s="692"/>
      <c r="M802" s="692"/>
      <c r="N802" s="532"/>
      <c r="O802" s="532"/>
      <c r="P802" s="532"/>
      <c r="Q802" s="532"/>
      <c r="R802" s="532"/>
      <c r="S802" s="532"/>
      <c r="T802" s="693"/>
      <c r="U802" s="693"/>
    </row>
    <row r="803">
      <c r="A803" s="692"/>
      <c r="B803" s="532"/>
      <c r="C803" s="532"/>
      <c r="D803" s="692"/>
      <c r="E803" s="692"/>
      <c r="F803" s="692"/>
      <c r="G803" s="692"/>
      <c r="H803" s="692"/>
      <c r="I803" s="692"/>
      <c r="J803" s="532"/>
      <c r="K803" s="692"/>
      <c r="L803" s="692"/>
      <c r="M803" s="692"/>
      <c r="N803" s="532"/>
      <c r="O803" s="532"/>
      <c r="P803" s="532"/>
      <c r="Q803" s="532"/>
      <c r="R803" s="532"/>
      <c r="S803" s="532"/>
      <c r="T803" s="693"/>
      <c r="U803" s="693"/>
    </row>
    <row r="804">
      <c r="A804" s="692"/>
      <c r="B804" s="532"/>
      <c r="C804" s="532"/>
      <c r="D804" s="692"/>
      <c r="E804" s="692"/>
      <c r="F804" s="692"/>
      <c r="G804" s="692"/>
      <c r="H804" s="692"/>
      <c r="I804" s="692"/>
      <c r="J804" s="532"/>
      <c r="K804" s="692"/>
      <c r="L804" s="692"/>
      <c r="M804" s="692"/>
      <c r="N804" s="532"/>
      <c r="O804" s="532"/>
      <c r="P804" s="532"/>
      <c r="Q804" s="532"/>
      <c r="R804" s="532"/>
      <c r="S804" s="532"/>
      <c r="T804" s="693"/>
      <c r="U804" s="693"/>
    </row>
    <row r="805">
      <c r="A805" s="692"/>
      <c r="B805" s="532"/>
      <c r="C805" s="532"/>
      <c r="D805" s="692"/>
      <c r="E805" s="692"/>
      <c r="F805" s="692"/>
      <c r="G805" s="692"/>
      <c r="H805" s="692"/>
      <c r="I805" s="692"/>
      <c r="J805" s="532"/>
      <c r="K805" s="692"/>
      <c r="L805" s="692"/>
      <c r="M805" s="692"/>
      <c r="N805" s="532"/>
      <c r="O805" s="532"/>
      <c r="P805" s="532"/>
      <c r="Q805" s="532"/>
      <c r="R805" s="532"/>
      <c r="S805" s="532"/>
      <c r="T805" s="693"/>
      <c r="U805" s="693"/>
    </row>
    <row r="806">
      <c r="A806" s="692"/>
      <c r="B806" s="532"/>
      <c r="C806" s="532"/>
      <c r="D806" s="692"/>
      <c r="E806" s="692"/>
      <c r="F806" s="692"/>
      <c r="G806" s="692"/>
      <c r="H806" s="692"/>
      <c r="I806" s="692"/>
      <c r="J806" s="532"/>
      <c r="K806" s="692"/>
      <c r="L806" s="692"/>
      <c r="M806" s="692"/>
      <c r="N806" s="532"/>
      <c r="O806" s="532"/>
      <c r="P806" s="532"/>
      <c r="Q806" s="532"/>
      <c r="R806" s="532"/>
      <c r="S806" s="532"/>
      <c r="T806" s="693"/>
      <c r="U806" s="693"/>
    </row>
    <row r="807">
      <c r="A807" s="692"/>
      <c r="B807" s="532"/>
      <c r="C807" s="532"/>
      <c r="D807" s="692"/>
      <c r="E807" s="692"/>
      <c r="F807" s="692"/>
      <c r="G807" s="692"/>
      <c r="H807" s="692"/>
      <c r="I807" s="692"/>
      <c r="J807" s="532"/>
      <c r="K807" s="692"/>
      <c r="L807" s="692"/>
      <c r="M807" s="692"/>
      <c r="N807" s="532"/>
      <c r="O807" s="532"/>
      <c r="P807" s="532"/>
      <c r="Q807" s="532"/>
      <c r="R807" s="532"/>
      <c r="S807" s="532"/>
      <c r="T807" s="693"/>
      <c r="U807" s="693"/>
    </row>
    <row r="808">
      <c r="A808" s="692"/>
      <c r="B808" s="532"/>
      <c r="C808" s="532"/>
      <c r="D808" s="692"/>
      <c r="E808" s="692"/>
      <c r="F808" s="692"/>
      <c r="G808" s="692"/>
      <c r="H808" s="692"/>
      <c r="I808" s="692"/>
      <c r="J808" s="532"/>
      <c r="K808" s="692"/>
      <c r="L808" s="692"/>
      <c r="M808" s="692"/>
      <c r="N808" s="532"/>
      <c r="O808" s="532"/>
      <c r="P808" s="532"/>
      <c r="Q808" s="532"/>
      <c r="R808" s="532"/>
      <c r="S808" s="532"/>
      <c r="T808" s="693"/>
      <c r="U808" s="693"/>
    </row>
    <row r="809">
      <c r="A809" s="692"/>
      <c r="B809" s="532"/>
      <c r="C809" s="532"/>
      <c r="D809" s="692"/>
      <c r="E809" s="692"/>
      <c r="F809" s="692"/>
      <c r="G809" s="692"/>
      <c r="H809" s="692"/>
      <c r="I809" s="692"/>
      <c r="J809" s="532"/>
      <c r="K809" s="692"/>
      <c r="L809" s="692"/>
      <c r="M809" s="692"/>
      <c r="N809" s="532"/>
      <c r="O809" s="532"/>
      <c r="P809" s="532"/>
      <c r="Q809" s="532"/>
      <c r="R809" s="532"/>
      <c r="S809" s="532"/>
      <c r="T809" s="693"/>
      <c r="U809" s="693"/>
    </row>
    <row r="810">
      <c r="A810" s="692"/>
      <c r="B810" s="532"/>
      <c r="C810" s="532"/>
      <c r="D810" s="692"/>
      <c r="E810" s="692"/>
      <c r="F810" s="692"/>
      <c r="G810" s="692"/>
      <c r="H810" s="692"/>
      <c r="I810" s="692"/>
      <c r="J810" s="532"/>
      <c r="K810" s="692"/>
      <c r="L810" s="692"/>
      <c r="M810" s="692"/>
      <c r="N810" s="532"/>
      <c r="O810" s="532"/>
      <c r="P810" s="532"/>
      <c r="Q810" s="532"/>
      <c r="R810" s="532"/>
      <c r="S810" s="532"/>
      <c r="T810" s="693"/>
      <c r="U810" s="693"/>
    </row>
    <row r="811">
      <c r="A811" s="692"/>
      <c r="B811" s="532"/>
      <c r="C811" s="532"/>
      <c r="D811" s="692"/>
      <c r="E811" s="692"/>
      <c r="F811" s="692"/>
      <c r="G811" s="692"/>
      <c r="H811" s="692"/>
      <c r="I811" s="692"/>
      <c r="J811" s="532"/>
      <c r="K811" s="692"/>
      <c r="L811" s="692"/>
      <c r="M811" s="692"/>
      <c r="N811" s="532"/>
      <c r="O811" s="532"/>
      <c r="P811" s="532"/>
      <c r="Q811" s="532"/>
      <c r="R811" s="532"/>
      <c r="S811" s="532"/>
      <c r="T811" s="693"/>
      <c r="U811" s="693"/>
    </row>
    <row r="812">
      <c r="A812" s="692"/>
      <c r="B812" s="532"/>
      <c r="C812" s="532"/>
      <c r="D812" s="692"/>
      <c r="E812" s="692"/>
      <c r="F812" s="692"/>
      <c r="G812" s="692"/>
      <c r="H812" s="692"/>
      <c r="I812" s="692"/>
      <c r="J812" s="532"/>
      <c r="K812" s="692"/>
      <c r="L812" s="692"/>
      <c r="M812" s="692"/>
      <c r="N812" s="532"/>
      <c r="O812" s="532"/>
      <c r="P812" s="532"/>
      <c r="Q812" s="532"/>
      <c r="R812" s="532"/>
      <c r="S812" s="532"/>
      <c r="T812" s="693"/>
      <c r="U812" s="693"/>
    </row>
    <row r="813">
      <c r="A813" s="692"/>
      <c r="B813" s="532"/>
      <c r="C813" s="532"/>
      <c r="D813" s="692"/>
      <c r="E813" s="692"/>
      <c r="F813" s="692"/>
      <c r="G813" s="692"/>
      <c r="H813" s="692"/>
      <c r="I813" s="692"/>
      <c r="J813" s="532"/>
      <c r="K813" s="692"/>
      <c r="L813" s="692"/>
      <c r="M813" s="692"/>
      <c r="N813" s="532"/>
      <c r="O813" s="532"/>
      <c r="P813" s="532"/>
      <c r="Q813" s="532"/>
      <c r="R813" s="532"/>
      <c r="S813" s="532"/>
      <c r="T813" s="693"/>
      <c r="U813" s="693"/>
    </row>
    <row r="814">
      <c r="A814" s="692"/>
      <c r="B814" s="532"/>
      <c r="C814" s="532"/>
      <c r="D814" s="692"/>
      <c r="E814" s="692"/>
      <c r="F814" s="692"/>
      <c r="G814" s="692"/>
      <c r="H814" s="692"/>
      <c r="I814" s="692"/>
      <c r="J814" s="532"/>
      <c r="K814" s="692"/>
      <c r="L814" s="692"/>
      <c r="M814" s="692"/>
      <c r="N814" s="532"/>
      <c r="O814" s="532"/>
      <c r="P814" s="532"/>
      <c r="Q814" s="532"/>
      <c r="R814" s="532"/>
      <c r="S814" s="532"/>
      <c r="T814" s="693"/>
      <c r="U814" s="693"/>
    </row>
    <row r="815">
      <c r="A815" s="692"/>
      <c r="B815" s="532"/>
      <c r="C815" s="532"/>
      <c r="D815" s="692"/>
      <c r="E815" s="692"/>
      <c r="F815" s="692"/>
      <c r="G815" s="692"/>
      <c r="H815" s="692"/>
      <c r="I815" s="692"/>
      <c r="J815" s="532"/>
      <c r="K815" s="692"/>
      <c r="L815" s="692"/>
      <c r="M815" s="692"/>
      <c r="N815" s="532"/>
      <c r="O815" s="532"/>
      <c r="P815" s="532"/>
      <c r="Q815" s="532"/>
      <c r="R815" s="532"/>
      <c r="S815" s="532"/>
      <c r="T815" s="693"/>
      <c r="U815" s="693"/>
    </row>
    <row r="816">
      <c r="A816" s="692"/>
      <c r="B816" s="532"/>
      <c r="C816" s="532"/>
      <c r="D816" s="692"/>
      <c r="E816" s="692"/>
      <c r="F816" s="692"/>
      <c r="G816" s="692"/>
      <c r="H816" s="692"/>
      <c r="I816" s="692"/>
      <c r="J816" s="532"/>
      <c r="K816" s="692"/>
      <c r="L816" s="692"/>
      <c r="M816" s="692"/>
      <c r="N816" s="532"/>
      <c r="O816" s="532"/>
      <c r="P816" s="532"/>
      <c r="Q816" s="532"/>
      <c r="R816" s="532"/>
      <c r="S816" s="532"/>
      <c r="T816" s="693"/>
      <c r="U816" s="693"/>
    </row>
    <row r="817">
      <c r="A817" s="692"/>
      <c r="B817" s="532"/>
      <c r="C817" s="532"/>
      <c r="D817" s="692"/>
      <c r="E817" s="692"/>
      <c r="F817" s="692"/>
      <c r="G817" s="692"/>
      <c r="H817" s="692"/>
      <c r="I817" s="692"/>
      <c r="J817" s="532"/>
      <c r="K817" s="692"/>
      <c r="L817" s="692"/>
      <c r="M817" s="692"/>
      <c r="N817" s="532"/>
      <c r="O817" s="532"/>
      <c r="P817" s="532"/>
      <c r="Q817" s="532"/>
      <c r="R817" s="532"/>
      <c r="S817" s="532"/>
      <c r="T817" s="693"/>
      <c r="U817" s="693"/>
    </row>
    <row r="818">
      <c r="A818" s="692"/>
      <c r="B818" s="532"/>
      <c r="C818" s="532"/>
      <c r="D818" s="692"/>
      <c r="E818" s="692"/>
      <c r="F818" s="692"/>
      <c r="G818" s="692"/>
      <c r="H818" s="692"/>
      <c r="I818" s="692"/>
      <c r="J818" s="532"/>
      <c r="K818" s="692"/>
      <c r="L818" s="692"/>
      <c r="M818" s="692"/>
      <c r="N818" s="532"/>
      <c r="O818" s="532"/>
      <c r="P818" s="532"/>
      <c r="Q818" s="532"/>
      <c r="R818" s="532"/>
      <c r="S818" s="532"/>
      <c r="T818" s="693"/>
      <c r="U818" s="693"/>
    </row>
    <row r="819">
      <c r="A819" s="692"/>
      <c r="B819" s="532"/>
      <c r="C819" s="532"/>
      <c r="D819" s="692"/>
      <c r="E819" s="692"/>
      <c r="F819" s="692"/>
      <c r="G819" s="692"/>
      <c r="H819" s="692"/>
      <c r="I819" s="692"/>
      <c r="J819" s="532"/>
      <c r="K819" s="692"/>
      <c r="L819" s="692"/>
      <c r="M819" s="692"/>
      <c r="N819" s="532"/>
      <c r="O819" s="532"/>
      <c r="P819" s="532"/>
      <c r="Q819" s="532"/>
      <c r="R819" s="532"/>
      <c r="S819" s="532"/>
      <c r="T819" s="693"/>
      <c r="U819" s="693"/>
    </row>
    <row r="820">
      <c r="A820" s="692"/>
      <c r="B820" s="532"/>
      <c r="C820" s="532"/>
      <c r="D820" s="692"/>
      <c r="E820" s="692"/>
      <c r="F820" s="692"/>
      <c r="G820" s="692"/>
      <c r="H820" s="692"/>
      <c r="I820" s="692"/>
      <c r="J820" s="532"/>
      <c r="K820" s="692"/>
      <c r="L820" s="692"/>
      <c r="M820" s="692"/>
      <c r="N820" s="532"/>
      <c r="O820" s="532"/>
      <c r="P820" s="532"/>
      <c r="Q820" s="532"/>
      <c r="R820" s="532"/>
      <c r="S820" s="532"/>
      <c r="T820" s="693"/>
      <c r="U820" s="693"/>
    </row>
    <row r="821">
      <c r="A821" s="692"/>
      <c r="B821" s="532"/>
      <c r="C821" s="532"/>
      <c r="D821" s="692"/>
      <c r="E821" s="692"/>
      <c r="F821" s="692"/>
      <c r="G821" s="692"/>
      <c r="H821" s="692"/>
      <c r="I821" s="692"/>
      <c r="J821" s="532"/>
      <c r="K821" s="692"/>
      <c r="L821" s="692"/>
      <c r="M821" s="692"/>
      <c r="N821" s="532"/>
      <c r="O821" s="532"/>
      <c r="P821" s="532"/>
      <c r="Q821" s="532"/>
      <c r="R821" s="532"/>
      <c r="S821" s="532"/>
      <c r="T821" s="693"/>
      <c r="U821" s="693"/>
    </row>
    <row r="822">
      <c r="A822" s="692"/>
      <c r="B822" s="532"/>
      <c r="C822" s="532"/>
      <c r="D822" s="692"/>
      <c r="E822" s="692"/>
      <c r="F822" s="692"/>
      <c r="G822" s="692"/>
      <c r="H822" s="692"/>
      <c r="I822" s="692"/>
      <c r="J822" s="532"/>
      <c r="K822" s="692"/>
      <c r="L822" s="692"/>
      <c r="M822" s="692"/>
      <c r="N822" s="532"/>
      <c r="O822" s="532"/>
      <c r="P822" s="532"/>
      <c r="Q822" s="532"/>
      <c r="R822" s="532"/>
      <c r="S822" s="532"/>
      <c r="T822" s="693"/>
      <c r="U822" s="693"/>
    </row>
    <row r="823">
      <c r="A823" s="692"/>
      <c r="B823" s="532"/>
      <c r="C823" s="532"/>
      <c r="D823" s="692"/>
      <c r="E823" s="692"/>
      <c r="F823" s="692"/>
      <c r="G823" s="692"/>
      <c r="H823" s="692"/>
      <c r="I823" s="692"/>
      <c r="J823" s="532"/>
      <c r="K823" s="692"/>
      <c r="L823" s="692"/>
      <c r="M823" s="692"/>
      <c r="N823" s="532"/>
      <c r="O823" s="532"/>
      <c r="P823" s="532"/>
      <c r="Q823" s="532"/>
      <c r="R823" s="532"/>
      <c r="S823" s="532"/>
      <c r="T823" s="693"/>
      <c r="U823" s="693"/>
    </row>
    <row r="824">
      <c r="A824" s="692"/>
      <c r="B824" s="532"/>
      <c r="C824" s="532"/>
      <c r="D824" s="692"/>
      <c r="E824" s="692"/>
      <c r="F824" s="692"/>
      <c r="G824" s="692"/>
      <c r="H824" s="692"/>
      <c r="I824" s="692"/>
      <c r="J824" s="532"/>
      <c r="K824" s="692"/>
      <c r="L824" s="692"/>
      <c r="M824" s="692"/>
      <c r="N824" s="532"/>
      <c r="O824" s="532"/>
      <c r="P824" s="532"/>
      <c r="Q824" s="532"/>
      <c r="R824" s="532"/>
      <c r="S824" s="532"/>
      <c r="T824" s="693"/>
      <c r="U824" s="693"/>
    </row>
    <row r="825">
      <c r="A825" s="692"/>
      <c r="B825" s="532"/>
      <c r="C825" s="532"/>
      <c r="D825" s="692"/>
      <c r="E825" s="692"/>
      <c r="F825" s="692"/>
      <c r="G825" s="692"/>
      <c r="H825" s="692"/>
      <c r="I825" s="692"/>
      <c r="J825" s="532"/>
      <c r="K825" s="692"/>
      <c r="L825" s="692"/>
      <c r="M825" s="692"/>
      <c r="N825" s="532"/>
      <c r="O825" s="532"/>
      <c r="P825" s="532"/>
      <c r="Q825" s="532"/>
      <c r="R825" s="532"/>
      <c r="S825" s="532"/>
      <c r="T825" s="693"/>
      <c r="U825" s="693"/>
    </row>
    <row r="826">
      <c r="A826" s="692"/>
      <c r="B826" s="532"/>
      <c r="C826" s="532"/>
      <c r="D826" s="692"/>
      <c r="E826" s="692"/>
      <c r="F826" s="692"/>
      <c r="G826" s="692"/>
      <c r="H826" s="692"/>
      <c r="I826" s="692"/>
      <c r="J826" s="532"/>
      <c r="K826" s="692"/>
      <c r="L826" s="692"/>
      <c r="M826" s="692"/>
      <c r="N826" s="532"/>
      <c r="O826" s="532"/>
      <c r="P826" s="532"/>
      <c r="Q826" s="532"/>
      <c r="R826" s="532"/>
      <c r="S826" s="532"/>
      <c r="T826" s="693"/>
      <c r="U826" s="693"/>
    </row>
    <row r="827">
      <c r="A827" s="692"/>
      <c r="B827" s="532"/>
      <c r="C827" s="532"/>
      <c r="D827" s="692"/>
      <c r="E827" s="692"/>
      <c r="F827" s="692"/>
      <c r="G827" s="692"/>
      <c r="H827" s="692"/>
      <c r="I827" s="692"/>
      <c r="J827" s="532"/>
      <c r="K827" s="692"/>
      <c r="L827" s="692"/>
      <c r="M827" s="692"/>
      <c r="N827" s="532"/>
      <c r="O827" s="532"/>
      <c r="P827" s="532"/>
      <c r="Q827" s="532"/>
      <c r="R827" s="532"/>
      <c r="S827" s="532"/>
      <c r="T827" s="693"/>
      <c r="U827" s="693"/>
    </row>
    <row r="828">
      <c r="A828" s="692"/>
      <c r="B828" s="532"/>
      <c r="C828" s="532"/>
      <c r="D828" s="692"/>
      <c r="E828" s="692"/>
      <c r="F828" s="692"/>
      <c r="G828" s="692"/>
      <c r="H828" s="692"/>
      <c r="I828" s="692"/>
      <c r="J828" s="532"/>
      <c r="K828" s="692"/>
      <c r="L828" s="692"/>
      <c r="M828" s="692"/>
      <c r="N828" s="532"/>
      <c r="O828" s="532"/>
      <c r="P828" s="532"/>
      <c r="Q828" s="532"/>
      <c r="R828" s="532"/>
      <c r="S828" s="532"/>
      <c r="T828" s="693"/>
      <c r="U828" s="693"/>
    </row>
    <row r="829">
      <c r="A829" s="692"/>
      <c r="B829" s="532"/>
      <c r="C829" s="532"/>
      <c r="D829" s="692"/>
      <c r="E829" s="692"/>
      <c r="F829" s="692"/>
      <c r="G829" s="692"/>
      <c r="H829" s="692"/>
      <c r="I829" s="692"/>
      <c r="J829" s="532"/>
      <c r="K829" s="692"/>
      <c r="L829" s="692"/>
      <c r="M829" s="692"/>
      <c r="N829" s="532"/>
      <c r="O829" s="532"/>
      <c r="P829" s="532"/>
      <c r="Q829" s="532"/>
      <c r="R829" s="532"/>
      <c r="S829" s="532"/>
      <c r="T829" s="693"/>
      <c r="U829" s="693"/>
    </row>
    <row r="830">
      <c r="A830" s="692"/>
      <c r="B830" s="532"/>
      <c r="C830" s="532"/>
      <c r="D830" s="692"/>
      <c r="E830" s="692"/>
      <c r="F830" s="692"/>
      <c r="G830" s="692"/>
      <c r="H830" s="692"/>
      <c r="I830" s="692"/>
      <c r="J830" s="532"/>
      <c r="K830" s="692"/>
      <c r="L830" s="692"/>
      <c r="M830" s="692"/>
      <c r="N830" s="532"/>
      <c r="O830" s="532"/>
      <c r="P830" s="532"/>
      <c r="Q830" s="532"/>
      <c r="R830" s="532"/>
      <c r="S830" s="532"/>
      <c r="T830" s="693"/>
      <c r="U830" s="693"/>
    </row>
    <row r="831">
      <c r="A831" s="692"/>
      <c r="B831" s="532"/>
      <c r="C831" s="532"/>
      <c r="D831" s="692"/>
      <c r="E831" s="692"/>
      <c r="F831" s="692"/>
      <c r="G831" s="692"/>
      <c r="H831" s="692"/>
      <c r="I831" s="692"/>
      <c r="J831" s="532"/>
      <c r="K831" s="692"/>
      <c r="L831" s="692"/>
      <c r="M831" s="692"/>
      <c r="N831" s="532"/>
      <c r="O831" s="532"/>
      <c r="P831" s="532"/>
      <c r="Q831" s="532"/>
      <c r="R831" s="532"/>
      <c r="S831" s="532"/>
      <c r="T831" s="693"/>
      <c r="U831" s="693"/>
    </row>
    <row r="832">
      <c r="A832" s="692"/>
      <c r="B832" s="532"/>
      <c r="C832" s="532"/>
      <c r="D832" s="692"/>
      <c r="E832" s="692"/>
      <c r="F832" s="692"/>
      <c r="G832" s="692"/>
      <c r="H832" s="692"/>
      <c r="I832" s="692"/>
      <c r="J832" s="532"/>
      <c r="K832" s="692"/>
      <c r="L832" s="692"/>
      <c r="M832" s="692"/>
      <c r="N832" s="532"/>
      <c r="O832" s="532"/>
      <c r="P832" s="532"/>
      <c r="Q832" s="532"/>
      <c r="R832" s="532"/>
      <c r="S832" s="532"/>
      <c r="T832" s="693"/>
      <c r="U832" s="693"/>
    </row>
    <row r="833">
      <c r="A833" s="692"/>
      <c r="B833" s="532"/>
      <c r="C833" s="532"/>
      <c r="D833" s="692"/>
      <c r="E833" s="692"/>
      <c r="F833" s="692"/>
      <c r="G833" s="692"/>
      <c r="H833" s="692"/>
      <c r="I833" s="692"/>
      <c r="J833" s="532"/>
      <c r="K833" s="692"/>
      <c r="L833" s="692"/>
      <c r="M833" s="692"/>
      <c r="N833" s="532"/>
      <c r="O833" s="532"/>
      <c r="P833" s="532"/>
      <c r="Q833" s="532"/>
      <c r="R833" s="532"/>
      <c r="S833" s="532"/>
      <c r="T833" s="693"/>
      <c r="U833" s="693"/>
    </row>
    <row r="834">
      <c r="A834" s="692"/>
      <c r="B834" s="532"/>
      <c r="C834" s="532"/>
      <c r="D834" s="692"/>
      <c r="E834" s="692"/>
      <c r="F834" s="692"/>
      <c r="G834" s="692"/>
      <c r="H834" s="692"/>
      <c r="I834" s="692"/>
      <c r="J834" s="532"/>
      <c r="K834" s="692"/>
      <c r="L834" s="692"/>
      <c r="M834" s="692"/>
      <c r="N834" s="532"/>
      <c r="O834" s="532"/>
      <c r="P834" s="532"/>
      <c r="Q834" s="532"/>
      <c r="R834" s="532"/>
      <c r="S834" s="532"/>
      <c r="T834" s="693"/>
      <c r="U834" s="693"/>
    </row>
    <row r="835">
      <c r="A835" s="692"/>
      <c r="B835" s="532"/>
      <c r="C835" s="532"/>
      <c r="D835" s="692"/>
      <c r="E835" s="692"/>
      <c r="F835" s="692"/>
      <c r="G835" s="692"/>
      <c r="H835" s="692"/>
      <c r="I835" s="692"/>
      <c r="J835" s="532"/>
      <c r="K835" s="692"/>
      <c r="L835" s="692"/>
      <c r="M835" s="692"/>
      <c r="N835" s="532"/>
      <c r="O835" s="532"/>
      <c r="P835" s="532"/>
      <c r="Q835" s="532"/>
      <c r="R835" s="532"/>
      <c r="S835" s="532"/>
      <c r="T835" s="693"/>
      <c r="U835" s="693"/>
    </row>
    <row r="836">
      <c r="A836" s="692"/>
      <c r="B836" s="532"/>
      <c r="C836" s="532"/>
      <c r="D836" s="692"/>
      <c r="E836" s="692"/>
      <c r="F836" s="692"/>
      <c r="G836" s="692"/>
      <c r="H836" s="692"/>
      <c r="I836" s="692"/>
      <c r="J836" s="532"/>
      <c r="K836" s="692"/>
      <c r="L836" s="692"/>
      <c r="M836" s="692"/>
      <c r="N836" s="532"/>
      <c r="O836" s="532"/>
      <c r="P836" s="532"/>
      <c r="Q836" s="532"/>
      <c r="R836" s="532"/>
      <c r="S836" s="532"/>
      <c r="T836" s="693"/>
      <c r="U836" s="693"/>
    </row>
    <row r="837">
      <c r="A837" s="692"/>
      <c r="B837" s="532"/>
      <c r="C837" s="532"/>
      <c r="D837" s="692"/>
      <c r="E837" s="692"/>
      <c r="F837" s="692"/>
      <c r="G837" s="692"/>
      <c r="H837" s="692"/>
      <c r="I837" s="692"/>
      <c r="J837" s="532"/>
      <c r="K837" s="692"/>
      <c r="L837" s="692"/>
      <c r="M837" s="692"/>
      <c r="N837" s="532"/>
      <c r="O837" s="532"/>
      <c r="P837" s="532"/>
      <c r="Q837" s="532"/>
      <c r="R837" s="532"/>
      <c r="S837" s="532"/>
      <c r="T837" s="693"/>
      <c r="U837" s="693"/>
    </row>
    <row r="838">
      <c r="A838" s="692"/>
      <c r="B838" s="532"/>
      <c r="C838" s="532"/>
      <c r="D838" s="692"/>
      <c r="E838" s="692"/>
      <c r="F838" s="692"/>
      <c r="G838" s="692"/>
      <c r="H838" s="692"/>
      <c r="I838" s="692"/>
      <c r="J838" s="532"/>
      <c r="K838" s="692"/>
      <c r="L838" s="692"/>
      <c r="M838" s="692"/>
      <c r="N838" s="532"/>
      <c r="O838" s="532"/>
      <c r="P838" s="532"/>
      <c r="Q838" s="532"/>
      <c r="R838" s="532"/>
      <c r="S838" s="532"/>
      <c r="T838" s="693"/>
      <c r="U838" s="693"/>
    </row>
    <row r="839">
      <c r="A839" s="692"/>
      <c r="B839" s="532"/>
      <c r="C839" s="532"/>
      <c r="D839" s="692"/>
      <c r="E839" s="692"/>
      <c r="F839" s="692"/>
      <c r="G839" s="692"/>
      <c r="H839" s="692"/>
      <c r="I839" s="692"/>
      <c r="J839" s="532"/>
      <c r="K839" s="692"/>
      <c r="L839" s="692"/>
      <c r="M839" s="692"/>
      <c r="N839" s="532"/>
      <c r="O839" s="532"/>
      <c r="P839" s="532"/>
      <c r="Q839" s="532"/>
      <c r="R839" s="532"/>
      <c r="S839" s="532"/>
      <c r="T839" s="693"/>
      <c r="U839" s="693"/>
    </row>
    <row r="840">
      <c r="A840" s="692"/>
      <c r="B840" s="532"/>
      <c r="C840" s="532"/>
      <c r="D840" s="692"/>
      <c r="E840" s="692"/>
      <c r="F840" s="692"/>
      <c r="G840" s="692"/>
      <c r="H840" s="692"/>
      <c r="I840" s="692"/>
      <c r="J840" s="532"/>
      <c r="K840" s="692"/>
      <c r="L840" s="692"/>
      <c r="M840" s="692"/>
      <c r="N840" s="532"/>
      <c r="O840" s="532"/>
      <c r="P840" s="532"/>
      <c r="Q840" s="532"/>
      <c r="R840" s="532"/>
      <c r="S840" s="532"/>
      <c r="T840" s="693"/>
      <c r="U840" s="693"/>
    </row>
    <row r="841">
      <c r="A841" s="692"/>
      <c r="B841" s="532"/>
      <c r="C841" s="532"/>
      <c r="D841" s="692"/>
      <c r="E841" s="692"/>
      <c r="F841" s="692"/>
      <c r="G841" s="692"/>
      <c r="H841" s="692"/>
      <c r="I841" s="692"/>
      <c r="J841" s="532"/>
      <c r="K841" s="692"/>
      <c r="L841" s="692"/>
      <c r="M841" s="692"/>
      <c r="N841" s="532"/>
      <c r="O841" s="532"/>
      <c r="P841" s="532"/>
      <c r="Q841" s="532"/>
      <c r="R841" s="532"/>
      <c r="S841" s="532"/>
      <c r="T841" s="693"/>
      <c r="U841" s="693"/>
    </row>
    <row r="842">
      <c r="A842" s="692"/>
      <c r="B842" s="532"/>
      <c r="C842" s="532"/>
      <c r="D842" s="692"/>
      <c r="E842" s="692"/>
      <c r="F842" s="692"/>
      <c r="G842" s="692"/>
      <c r="H842" s="692"/>
      <c r="I842" s="692"/>
      <c r="J842" s="532"/>
      <c r="K842" s="692"/>
      <c r="L842" s="692"/>
      <c r="M842" s="692"/>
      <c r="N842" s="532"/>
      <c r="O842" s="532"/>
      <c r="P842" s="532"/>
      <c r="Q842" s="532"/>
      <c r="R842" s="532"/>
      <c r="S842" s="532"/>
      <c r="T842" s="693"/>
      <c r="U842" s="693"/>
    </row>
    <row r="843">
      <c r="A843" s="692"/>
      <c r="B843" s="532"/>
      <c r="C843" s="532"/>
      <c r="D843" s="692"/>
      <c r="E843" s="692"/>
      <c r="F843" s="692"/>
      <c r="G843" s="692"/>
      <c r="H843" s="692"/>
      <c r="I843" s="692"/>
      <c r="J843" s="532"/>
      <c r="K843" s="692"/>
      <c r="L843" s="692"/>
      <c r="M843" s="692"/>
      <c r="N843" s="532"/>
      <c r="O843" s="532"/>
      <c r="P843" s="532"/>
      <c r="Q843" s="532"/>
      <c r="R843" s="532"/>
      <c r="S843" s="532"/>
      <c r="T843" s="693"/>
      <c r="U843" s="693"/>
    </row>
    <row r="844">
      <c r="A844" s="692"/>
      <c r="B844" s="532"/>
      <c r="C844" s="532"/>
      <c r="D844" s="692"/>
      <c r="E844" s="692"/>
      <c r="F844" s="692"/>
      <c r="G844" s="692"/>
      <c r="H844" s="692"/>
      <c r="I844" s="692"/>
      <c r="J844" s="532"/>
      <c r="K844" s="692"/>
      <c r="L844" s="692"/>
      <c r="M844" s="692"/>
      <c r="N844" s="532"/>
      <c r="O844" s="532"/>
      <c r="P844" s="532"/>
      <c r="Q844" s="532"/>
      <c r="R844" s="532"/>
      <c r="S844" s="532"/>
      <c r="T844" s="693"/>
      <c r="U844" s="693"/>
    </row>
    <row r="845">
      <c r="A845" s="692"/>
      <c r="B845" s="532"/>
      <c r="C845" s="532"/>
      <c r="D845" s="692"/>
      <c r="E845" s="692"/>
      <c r="F845" s="692"/>
      <c r="G845" s="692"/>
      <c r="H845" s="692"/>
      <c r="I845" s="692"/>
      <c r="J845" s="532"/>
      <c r="K845" s="692"/>
      <c r="L845" s="692"/>
      <c r="M845" s="692"/>
      <c r="N845" s="532"/>
      <c r="O845" s="532"/>
      <c r="P845" s="532"/>
      <c r="Q845" s="532"/>
      <c r="R845" s="532"/>
      <c r="S845" s="532"/>
      <c r="T845" s="693"/>
      <c r="U845" s="693"/>
    </row>
    <row r="846">
      <c r="A846" s="692"/>
      <c r="B846" s="532"/>
      <c r="C846" s="532"/>
      <c r="D846" s="692"/>
      <c r="E846" s="692"/>
      <c r="F846" s="692"/>
      <c r="G846" s="692"/>
      <c r="H846" s="692"/>
      <c r="I846" s="692"/>
      <c r="J846" s="532"/>
      <c r="K846" s="692"/>
      <c r="L846" s="692"/>
      <c r="M846" s="692"/>
      <c r="N846" s="532"/>
      <c r="O846" s="532"/>
      <c r="P846" s="532"/>
      <c r="Q846" s="532"/>
      <c r="R846" s="532"/>
      <c r="S846" s="532"/>
      <c r="T846" s="693"/>
      <c r="U846" s="693"/>
    </row>
    <row r="847">
      <c r="A847" s="692"/>
      <c r="B847" s="532"/>
      <c r="C847" s="532"/>
      <c r="D847" s="692"/>
      <c r="E847" s="692"/>
      <c r="F847" s="692"/>
      <c r="G847" s="692"/>
      <c r="H847" s="692"/>
      <c r="I847" s="692"/>
      <c r="J847" s="532"/>
      <c r="K847" s="692"/>
      <c r="L847" s="692"/>
      <c r="M847" s="692"/>
      <c r="N847" s="532"/>
      <c r="O847" s="532"/>
      <c r="P847" s="532"/>
      <c r="Q847" s="532"/>
      <c r="R847" s="532"/>
      <c r="S847" s="532"/>
      <c r="T847" s="693"/>
      <c r="U847" s="693"/>
    </row>
    <row r="848">
      <c r="A848" s="692"/>
      <c r="B848" s="532"/>
      <c r="C848" s="532"/>
      <c r="D848" s="692"/>
      <c r="E848" s="692"/>
      <c r="F848" s="692"/>
      <c r="G848" s="692"/>
      <c r="H848" s="692"/>
      <c r="I848" s="692"/>
      <c r="J848" s="532"/>
      <c r="K848" s="692"/>
      <c r="L848" s="692"/>
      <c r="M848" s="692"/>
      <c r="N848" s="532"/>
      <c r="O848" s="532"/>
      <c r="P848" s="532"/>
      <c r="Q848" s="532"/>
      <c r="R848" s="532"/>
      <c r="S848" s="532"/>
      <c r="T848" s="693"/>
      <c r="U848" s="693"/>
    </row>
    <row r="849">
      <c r="A849" s="692"/>
      <c r="B849" s="532"/>
      <c r="C849" s="532"/>
      <c r="D849" s="692"/>
      <c r="E849" s="692"/>
      <c r="F849" s="692"/>
      <c r="G849" s="692"/>
      <c r="H849" s="692"/>
      <c r="I849" s="692"/>
      <c r="J849" s="532"/>
      <c r="K849" s="692"/>
      <c r="L849" s="692"/>
      <c r="M849" s="692"/>
      <c r="N849" s="532"/>
      <c r="O849" s="532"/>
      <c r="P849" s="532"/>
      <c r="Q849" s="532"/>
      <c r="R849" s="532"/>
      <c r="S849" s="532"/>
      <c r="T849" s="693"/>
      <c r="U849" s="693"/>
    </row>
    <row r="850">
      <c r="A850" s="692"/>
      <c r="B850" s="532"/>
      <c r="C850" s="532"/>
      <c r="D850" s="692"/>
      <c r="E850" s="692"/>
      <c r="F850" s="692"/>
      <c r="G850" s="692"/>
      <c r="H850" s="692"/>
      <c r="I850" s="692"/>
      <c r="J850" s="532"/>
      <c r="K850" s="692"/>
      <c r="L850" s="692"/>
      <c r="M850" s="692"/>
      <c r="N850" s="532"/>
      <c r="O850" s="532"/>
      <c r="P850" s="532"/>
      <c r="Q850" s="532"/>
      <c r="R850" s="532"/>
      <c r="S850" s="532"/>
      <c r="T850" s="693"/>
      <c r="U850" s="693"/>
    </row>
    <row r="851">
      <c r="A851" s="692"/>
      <c r="B851" s="532"/>
      <c r="C851" s="532"/>
      <c r="D851" s="692"/>
      <c r="E851" s="692"/>
      <c r="F851" s="692"/>
      <c r="G851" s="692"/>
      <c r="H851" s="692"/>
      <c r="I851" s="692"/>
      <c r="J851" s="532"/>
      <c r="K851" s="692"/>
      <c r="L851" s="692"/>
      <c r="M851" s="692"/>
      <c r="N851" s="532"/>
      <c r="O851" s="532"/>
      <c r="P851" s="532"/>
      <c r="Q851" s="532"/>
      <c r="R851" s="532"/>
      <c r="S851" s="532"/>
      <c r="T851" s="693"/>
      <c r="U851" s="693"/>
    </row>
    <row r="852">
      <c r="A852" s="692"/>
      <c r="B852" s="532"/>
      <c r="C852" s="532"/>
      <c r="D852" s="692"/>
      <c r="E852" s="692"/>
      <c r="F852" s="692"/>
      <c r="G852" s="692"/>
      <c r="H852" s="692"/>
      <c r="I852" s="692"/>
      <c r="J852" s="532"/>
      <c r="K852" s="692"/>
      <c r="L852" s="692"/>
      <c r="M852" s="692"/>
      <c r="N852" s="532"/>
      <c r="O852" s="532"/>
      <c r="P852" s="532"/>
      <c r="Q852" s="532"/>
      <c r="R852" s="532"/>
      <c r="S852" s="532"/>
      <c r="T852" s="693"/>
      <c r="U852" s="693"/>
    </row>
    <row r="853">
      <c r="A853" s="692"/>
      <c r="B853" s="532"/>
      <c r="C853" s="532"/>
      <c r="D853" s="692"/>
      <c r="E853" s="692"/>
      <c r="F853" s="692"/>
      <c r="G853" s="692"/>
      <c r="H853" s="692"/>
      <c r="I853" s="692"/>
      <c r="J853" s="532"/>
      <c r="K853" s="692"/>
      <c r="L853" s="692"/>
      <c r="M853" s="692"/>
      <c r="N853" s="532"/>
      <c r="O853" s="532"/>
      <c r="P853" s="532"/>
      <c r="Q853" s="532"/>
      <c r="R853" s="532"/>
      <c r="S853" s="532"/>
      <c r="T853" s="693"/>
      <c r="U853" s="693"/>
    </row>
    <row r="854">
      <c r="A854" s="692"/>
      <c r="B854" s="532"/>
      <c r="C854" s="532"/>
      <c r="D854" s="692"/>
      <c r="E854" s="692"/>
      <c r="F854" s="692"/>
      <c r="G854" s="692"/>
      <c r="H854" s="692"/>
      <c r="I854" s="692"/>
      <c r="J854" s="532"/>
      <c r="K854" s="692"/>
      <c r="L854" s="692"/>
      <c r="M854" s="692"/>
      <c r="N854" s="532"/>
      <c r="O854" s="532"/>
      <c r="P854" s="532"/>
      <c r="Q854" s="532"/>
      <c r="R854" s="532"/>
      <c r="S854" s="532"/>
      <c r="T854" s="693"/>
      <c r="U854" s="693"/>
    </row>
    <row r="855">
      <c r="A855" s="692"/>
      <c r="B855" s="532"/>
      <c r="C855" s="532"/>
      <c r="D855" s="692"/>
      <c r="E855" s="692"/>
      <c r="F855" s="692"/>
      <c r="G855" s="692"/>
      <c r="H855" s="692"/>
      <c r="I855" s="692"/>
      <c r="J855" s="532"/>
      <c r="K855" s="692"/>
      <c r="L855" s="692"/>
      <c r="M855" s="692"/>
      <c r="N855" s="532"/>
      <c r="O855" s="532"/>
      <c r="P855" s="532"/>
      <c r="Q855" s="532"/>
      <c r="R855" s="532"/>
      <c r="S855" s="532"/>
      <c r="T855" s="693"/>
      <c r="U855" s="693"/>
    </row>
    <row r="856">
      <c r="A856" s="692"/>
      <c r="B856" s="532"/>
      <c r="C856" s="532"/>
      <c r="D856" s="692"/>
      <c r="E856" s="692"/>
      <c r="F856" s="692"/>
      <c r="G856" s="692"/>
      <c r="H856" s="692"/>
      <c r="I856" s="692"/>
      <c r="J856" s="532"/>
      <c r="K856" s="692"/>
      <c r="L856" s="692"/>
      <c r="M856" s="692"/>
      <c r="N856" s="532"/>
      <c r="O856" s="532"/>
      <c r="P856" s="532"/>
      <c r="Q856" s="532"/>
      <c r="R856" s="532"/>
      <c r="S856" s="532"/>
      <c r="T856" s="693"/>
      <c r="U856" s="693"/>
    </row>
    <row r="857">
      <c r="A857" s="692"/>
      <c r="B857" s="532"/>
      <c r="C857" s="532"/>
      <c r="D857" s="692"/>
      <c r="E857" s="692"/>
      <c r="F857" s="692"/>
      <c r="G857" s="692"/>
      <c r="H857" s="692"/>
      <c r="I857" s="692"/>
      <c r="J857" s="532"/>
      <c r="K857" s="692"/>
      <c r="L857" s="692"/>
      <c r="M857" s="692"/>
      <c r="N857" s="532"/>
      <c r="O857" s="532"/>
      <c r="P857" s="532"/>
      <c r="Q857" s="532"/>
      <c r="R857" s="532"/>
      <c r="S857" s="532"/>
      <c r="T857" s="693"/>
      <c r="U857" s="693"/>
    </row>
    <row r="858">
      <c r="A858" s="692"/>
      <c r="B858" s="532"/>
      <c r="C858" s="532"/>
      <c r="D858" s="692"/>
      <c r="E858" s="692"/>
      <c r="F858" s="692"/>
      <c r="G858" s="692"/>
      <c r="H858" s="692"/>
      <c r="I858" s="692"/>
      <c r="J858" s="532"/>
      <c r="K858" s="692"/>
      <c r="L858" s="692"/>
      <c r="M858" s="692"/>
      <c r="N858" s="532"/>
      <c r="O858" s="532"/>
      <c r="P858" s="532"/>
      <c r="Q858" s="532"/>
      <c r="R858" s="532"/>
      <c r="S858" s="532"/>
      <c r="T858" s="693"/>
      <c r="U858" s="693"/>
    </row>
    <row r="859">
      <c r="A859" s="692"/>
      <c r="B859" s="532"/>
      <c r="C859" s="532"/>
      <c r="D859" s="692"/>
      <c r="E859" s="692"/>
      <c r="F859" s="692"/>
      <c r="G859" s="692"/>
      <c r="H859" s="692"/>
      <c r="I859" s="692"/>
      <c r="J859" s="532"/>
      <c r="K859" s="692"/>
      <c r="L859" s="692"/>
      <c r="M859" s="692"/>
      <c r="N859" s="532"/>
      <c r="O859" s="532"/>
      <c r="P859" s="532"/>
      <c r="Q859" s="532"/>
      <c r="R859" s="532"/>
      <c r="S859" s="532"/>
      <c r="T859" s="693"/>
      <c r="U859" s="693"/>
    </row>
    <row r="860">
      <c r="A860" s="692"/>
      <c r="B860" s="532"/>
      <c r="C860" s="532"/>
      <c r="D860" s="692"/>
      <c r="E860" s="692"/>
      <c r="F860" s="692"/>
      <c r="G860" s="692"/>
      <c r="H860" s="692"/>
      <c r="I860" s="692"/>
      <c r="J860" s="532"/>
      <c r="K860" s="692"/>
      <c r="L860" s="692"/>
      <c r="M860" s="692"/>
      <c r="N860" s="532"/>
      <c r="O860" s="532"/>
      <c r="P860" s="532"/>
      <c r="Q860" s="532"/>
      <c r="R860" s="532"/>
      <c r="S860" s="532"/>
      <c r="T860" s="693"/>
      <c r="U860" s="693"/>
    </row>
    <row r="861">
      <c r="A861" s="692"/>
      <c r="B861" s="532"/>
      <c r="C861" s="532"/>
      <c r="D861" s="692"/>
      <c r="E861" s="692"/>
      <c r="F861" s="692"/>
      <c r="G861" s="692"/>
      <c r="H861" s="692"/>
      <c r="I861" s="692"/>
      <c r="J861" s="532"/>
      <c r="K861" s="692"/>
      <c r="L861" s="692"/>
      <c r="M861" s="692"/>
      <c r="N861" s="532"/>
      <c r="O861" s="532"/>
      <c r="P861" s="532"/>
      <c r="Q861" s="532"/>
      <c r="R861" s="532"/>
      <c r="S861" s="532"/>
      <c r="T861" s="693"/>
      <c r="U861" s="693"/>
    </row>
    <row r="862">
      <c r="A862" s="692"/>
      <c r="B862" s="532"/>
      <c r="C862" s="532"/>
      <c r="D862" s="692"/>
      <c r="E862" s="692"/>
      <c r="F862" s="692"/>
      <c r="G862" s="692"/>
      <c r="H862" s="692"/>
      <c r="I862" s="692"/>
      <c r="J862" s="532"/>
      <c r="K862" s="692"/>
      <c r="L862" s="692"/>
      <c r="M862" s="692"/>
      <c r="N862" s="532"/>
      <c r="O862" s="532"/>
      <c r="P862" s="532"/>
      <c r="Q862" s="532"/>
      <c r="R862" s="532"/>
      <c r="S862" s="532"/>
      <c r="T862" s="693"/>
      <c r="U862" s="693"/>
    </row>
    <row r="863">
      <c r="A863" s="692"/>
      <c r="B863" s="532"/>
      <c r="C863" s="532"/>
      <c r="D863" s="692"/>
      <c r="E863" s="692"/>
      <c r="F863" s="692"/>
      <c r="G863" s="692"/>
      <c r="H863" s="692"/>
      <c r="I863" s="692"/>
      <c r="J863" s="532"/>
      <c r="K863" s="692"/>
      <c r="L863" s="692"/>
      <c r="M863" s="692"/>
      <c r="N863" s="532"/>
      <c r="O863" s="532"/>
      <c r="P863" s="532"/>
      <c r="Q863" s="532"/>
      <c r="R863" s="532"/>
      <c r="S863" s="532"/>
      <c r="T863" s="693"/>
      <c r="U863" s="693"/>
    </row>
    <row r="864">
      <c r="A864" s="692"/>
      <c r="B864" s="532"/>
      <c r="C864" s="532"/>
      <c r="D864" s="692"/>
      <c r="E864" s="692"/>
      <c r="F864" s="692"/>
      <c r="G864" s="692"/>
      <c r="H864" s="692"/>
      <c r="I864" s="692"/>
      <c r="J864" s="532"/>
      <c r="K864" s="692"/>
      <c r="L864" s="692"/>
      <c r="M864" s="692"/>
      <c r="N864" s="532"/>
      <c r="O864" s="532"/>
      <c r="P864" s="532"/>
      <c r="Q864" s="532"/>
      <c r="R864" s="532"/>
      <c r="S864" s="532"/>
      <c r="T864" s="693"/>
      <c r="U864" s="693"/>
    </row>
    <row r="865">
      <c r="A865" s="692"/>
      <c r="B865" s="532"/>
      <c r="C865" s="532"/>
      <c r="D865" s="692"/>
      <c r="E865" s="692"/>
      <c r="F865" s="692"/>
      <c r="G865" s="692"/>
      <c r="H865" s="692"/>
      <c r="I865" s="692"/>
      <c r="J865" s="532"/>
      <c r="K865" s="692"/>
      <c r="L865" s="692"/>
      <c r="M865" s="692"/>
      <c r="N865" s="532"/>
      <c r="O865" s="532"/>
      <c r="P865" s="532"/>
      <c r="Q865" s="532"/>
      <c r="R865" s="532"/>
      <c r="S865" s="532"/>
      <c r="T865" s="693"/>
      <c r="U865" s="693"/>
    </row>
    <row r="866">
      <c r="A866" s="692"/>
      <c r="B866" s="532"/>
      <c r="C866" s="532"/>
      <c r="D866" s="692"/>
      <c r="E866" s="692"/>
      <c r="F866" s="692"/>
      <c r="G866" s="692"/>
      <c r="H866" s="692"/>
      <c r="I866" s="692"/>
      <c r="J866" s="532"/>
      <c r="K866" s="692"/>
      <c r="L866" s="692"/>
      <c r="M866" s="692"/>
      <c r="N866" s="532"/>
      <c r="O866" s="532"/>
      <c r="P866" s="532"/>
      <c r="Q866" s="532"/>
      <c r="R866" s="532"/>
      <c r="S866" s="532"/>
      <c r="T866" s="693"/>
      <c r="U866" s="693"/>
    </row>
    <row r="867">
      <c r="A867" s="692"/>
      <c r="B867" s="532"/>
      <c r="C867" s="532"/>
      <c r="D867" s="692"/>
      <c r="E867" s="692"/>
      <c r="F867" s="692"/>
      <c r="G867" s="692"/>
      <c r="H867" s="692"/>
      <c r="I867" s="692"/>
      <c r="J867" s="532"/>
      <c r="K867" s="692"/>
      <c r="L867" s="692"/>
      <c r="M867" s="692"/>
      <c r="N867" s="532"/>
      <c r="O867" s="532"/>
      <c r="P867" s="532"/>
      <c r="Q867" s="532"/>
      <c r="R867" s="532"/>
      <c r="S867" s="532"/>
      <c r="T867" s="693"/>
      <c r="U867" s="693"/>
    </row>
    <row r="868">
      <c r="A868" s="692"/>
      <c r="B868" s="532"/>
      <c r="C868" s="532"/>
      <c r="D868" s="692"/>
      <c r="E868" s="692"/>
      <c r="F868" s="692"/>
      <c r="G868" s="692"/>
      <c r="H868" s="692"/>
      <c r="I868" s="692"/>
      <c r="J868" s="532"/>
      <c r="K868" s="692"/>
      <c r="L868" s="692"/>
      <c r="M868" s="692"/>
      <c r="N868" s="532"/>
      <c r="O868" s="532"/>
      <c r="P868" s="532"/>
      <c r="Q868" s="532"/>
      <c r="R868" s="532"/>
      <c r="S868" s="532"/>
      <c r="T868" s="693"/>
      <c r="U868" s="693"/>
    </row>
    <row r="869">
      <c r="A869" s="692"/>
      <c r="B869" s="532"/>
      <c r="C869" s="532"/>
      <c r="D869" s="692"/>
      <c r="E869" s="692"/>
      <c r="F869" s="692"/>
      <c r="G869" s="692"/>
      <c r="H869" s="692"/>
      <c r="I869" s="692"/>
      <c r="J869" s="532"/>
      <c r="K869" s="692"/>
      <c r="L869" s="692"/>
      <c r="M869" s="692"/>
      <c r="N869" s="532"/>
      <c r="O869" s="532"/>
      <c r="P869" s="532"/>
      <c r="Q869" s="532"/>
      <c r="R869" s="532"/>
      <c r="S869" s="532"/>
      <c r="T869" s="693"/>
      <c r="U869" s="693"/>
    </row>
    <row r="870">
      <c r="A870" s="692"/>
      <c r="B870" s="532"/>
      <c r="C870" s="532"/>
      <c r="D870" s="692"/>
      <c r="E870" s="692"/>
      <c r="F870" s="692"/>
      <c r="G870" s="692"/>
      <c r="H870" s="692"/>
      <c r="I870" s="692"/>
      <c r="J870" s="532"/>
      <c r="K870" s="692"/>
      <c r="L870" s="692"/>
      <c r="M870" s="692"/>
      <c r="N870" s="532"/>
      <c r="O870" s="532"/>
      <c r="P870" s="532"/>
      <c r="Q870" s="532"/>
      <c r="R870" s="532"/>
      <c r="S870" s="532"/>
      <c r="T870" s="693"/>
      <c r="U870" s="693"/>
    </row>
    <row r="871">
      <c r="A871" s="692"/>
      <c r="B871" s="532"/>
      <c r="C871" s="532"/>
      <c r="D871" s="692"/>
      <c r="E871" s="692"/>
      <c r="F871" s="692"/>
      <c r="G871" s="692"/>
      <c r="H871" s="692"/>
      <c r="I871" s="692"/>
      <c r="J871" s="532"/>
      <c r="K871" s="692"/>
      <c r="L871" s="692"/>
      <c r="M871" s="692"/>
      <c r="N871" s="532"/>
      <c r="O871" s="532"/>
      <c r="P871" s="532"/>
      <c r="Q871" s="532"/>
      <c r="R871" s="532"/>
      <c r="S871" s="532"/>
      <c r="T871" s="693"/>
      <c r="U871" s="693"/>
    </row>
    <row r="872">
      <c r="A872" s="692"/>
      <c r="B872" s="532"/>
      <c r="C872" s="532"/>
      <c r="D872" s="692"/>
      <c r="E872" s="692"/>
      <c r="F872" s="692"/>
      <c r="G872" s="692"/>
      <c r="H872" s="692"/>
      <c r="I872" s="692"/>
      <c r="J872" s="532"/>
      <c r="K872" s="692"/>
      <c r="L872" s="692"/>
      <c r="M872" s="692"/>
      <c r="N872" s="532"/>
      <c r="O872" s="532"/>
      <c r="P872" s="532"/>
      <c r="Q872" s="532"/>
      <c r="R872" s="532"/>
      <c r="S872" s="532"/>
      <c r="T872" s="693"/>
      <c r="U872" s="693"/>
    </row>
    <row r="873">
      <c r="A873" s="692"/>
      <c r="B873" s="532"/>
      <c r="C873" s="532"/>
      <c r="D873" s="692"/>
      <c r="E873" s="692"/>
      <c r="F873" s="692"/>
      <c r="G873" s="692"/>
      <c r="H873" s="692"/>
      <c r="I873" s="692"/>
      <c r="J873" s="532"/>
      <c r="K873" s="692"/>
      <c r="L873" s="692"/>
      <c r="M873" s="692"/>
      <c r="N873" s="532"/>
      <c r="O873" s="532"/>
      <c r="P873" s="532"/>
      <c r="Q873" s="532"/>
      <c r="R873" s="532"/>
      <c r="S873" s="532"/>
      <c r="T873" s="693"/>
      <c r="U873" s="693"/>
    </row>
    <row r="874">
      <c r="A874" s="692"/>
      <c r="B874" s="532"/>
      <c r="C874" s="532"/>
      <c r="D874" s="692"/>
      <c r="E874" s="692"/>
      <c r="F874" s="692"/>
      <c r="G874" s="692"/>
      <c r="H874" s="692"/>
      <c r="I874" s="692"/>
      <c r="J874" s="532"/>
      <c r="K874" s="692"/>
      <c r="L874" s="692"/>
      <c r="M874" s="692"/>
      <c r="N874" s="532"/>
      <c r="O874" s="532"/>
      <c r="P874" s="532"/>
      <c r="Q874" s="532"/>
      <c r="R874" s="532"/>
      <c r="S874" s="532"/>
      <c r="T874" s="693"/>
      <c r="U874" s="693"/>
    </row>
    <row r="875">
      <c r="A875" s="692"/>
      <c r="B875" s="532"/>
      <c r="C875" s="532"/>
      <c r="D875" s="692"/>
      <c r="E875" s="692"/>
      <c r="F875" s="692"/>
      <c r="G875" s="692"/>
      <c r="H875" s="692"/>
      <c r="I875" s="692"/>
      <c r="J875" s="532"/>
      <c r="K875" s="692"/>
      <c r="L875" s="692"/>
      <c r="M875" s="692"/>
      <c r="N875" s="532"/>
      <c r="O875" s="532"/>
      <c r="P875" s="532"/>
      <c r="Q875" s="532"/>
      <c r="R875" s="532"/>
      <c r="S875" s="532"/>
      <c r="T875" s="693"/>
      <c r="U875" s="693"/>
    </row>
    <row r="876">
      <c r="A876" s="692"/>
      <c r="B876" s="532"/>
      <c r="C876" s="532"/>
      <c r="D876" s="692"/>
      <c r="E876" s="692"/>
      <c r="F876" s="692"/>
      <c r="G876" s="692"/>
      <c r="H876" s="692"/>
      <c r="I876" s="692"/>
      <c r="J876" s="532"/>
      <c r="K876" s="692"/>
      <c r="L876" s="692"/>
      <c r="M876" s="692"/>
      <c r="N876" s="532"/>
      <c r="O876" s="532"/>
      <c r="P876" s="532"/>
      <c r="Q876" s="532"/>
      <c r="R876" s="532"/>
      <c r="S876" s="532"/>
      <c r="T876" s="693"/>
      <c r="U876" s="693"/>
    </row>
    <row r="877">
      <c r="A877" s="692"/>
      <c r="B877" s="532"/>
      <c r="C877" s="532"/>
      <c r="D877" s="692"/>
      <c r="E877" s="692"/>
      <c r="F877" s="692"/>
      <c r="G877" s="692"/>
      <c r="H877" s="692"/>
      <c r="I877" s="692"/>
      <c r="J877" s="532"/>
      <c r="K877" s="692"/>
      <c r="L877" s="692"/>
      <c r="M877" s="692"/>
      <c r="N877" s="532"/>
      <c r="O877" s="532"/>
      <c r="P877" s="532"/>
      <c r="Q877" s="532"/>
      <c r="R877" s="532"/>
      <c r="S877" s="532"/>
      <c r="T877" s="693"/>
      <c r="U877" s="693"/>
    </row>
    <row r="878">
      <c r="A878" s="692"/>
      <c r="B878" s="532"/>
      <c r="C878" s="532"/>
      <c r="D878" s="692"/>
      <c r="E878" s="692"/>
      <c r="F878" s="692"/>
      <c r="G878" s="692"/>
      <c r="H878" s="692"/>
      <c r="I878" s="692"/>
      <c r="J878" s="532"/>
      <c r="K878" s="692"/>
      <c r="L878" s="692"/>
      <c r="M878" s="692"/>
      <c r="N878" s="532"/>
      <c r="O878" s="532"/>
      <c r="P878" s="532"/>
      <c r="Q878" s="532"/>
      <c r="R878" s="532"/>
      <c r="S878" s="532"/>
      <c r="T878" s="693"/>
      <c r="U878" s="693"/>
    </row>
    <row r="879">
      <c r="A879" s="692"/>
      <c r="B879" s="532"/>
      <c r="C879" s="532"/>
      <c r="D879" s="692"/>
      <c r="E879" s="692"/>
      <c r="F879" s="692"/>
      <c r="G879" s="692"/>
      <c r="H879" s="692"/>
      <c r="I879" s="692"/>
      <c r="J879" s="532"/>
      <c r="K879" s="692"/>
      <c r="L879" s="692"/>
      <c r="M879" s="692"/>
      <c r="N879" s="532"/>
      <c r="O879" s="532"/>
      <c r="P879" s="532"/>
      <c r="Q879" s="532"/>
      <c r="R879" s="532"/>
      <c r="S879" s="532"/>
      <c r="T879" s="693"/>
      <c r="U879" s="693"/>
    </row>
    <row r="880">
      <c r="A880" s="692"/>
      <c r="B880" s="532"/>
      <c r="C880" s="532"/>
      <c r="D880" s="692"/>
      <c r="E880" s="692"/>
      <c r="F880" s="692"/>
      <c r="G880" s="692"/>
      <c r="H880" s="692"/>
      <c r="I880" s="692"/>
      <c r="J880" s="532"/>
      <c r="K880" s="692"/>
      <c r="L880" s="692"/>
      <c r="M880" s="692"/>
      <c r="N880" s="532"/>
      <c r="O880" s="532"/>
      <c r="P880" s="532"/>
      <c r="Q880" s="532"/>
      <c r="R880" s="532"/>
      <c r="S880" s="532"/>
      <c r="T880" s="693"/>
      <c r="U880" s="693"/>
    </row>
    <row r="881">
      <c r="A881" s="692"/>
      <c r="B881" s="532"/>
      <c r="C881" s="532"/>
      <c r="D881" s="692"/>
      <c r="E881" s="692"/>
      <c r="F881" s="692"/>
      <c r="G881" s="692"/>
      <c r="H881" s="692"/>
      <c r="I881" s="692"/>
      <c r="J881" s="532"/>
      <c r="K881" s="692"/>
      <c r="L881" s="692"/>
      <c r="M881" s="692"/>
      <c r="N881" s="532"/>
      <c r="O881" s="532"/>
      <c r="P881" s="532"/>
      <c r="Q881" s="532"/>
      <c r="R881" s="532"/>
      <c r="S881" s="532"/>
      <c r="T881" s="693"/>
      <c r="U881" s="693"/>
    </row>
    <row r="882">
      <c r="A882" s="692"/>
      <c r="B882" s="532"/>
      <c r="C882" s="532"/>
      <c r="D882" s="692"/>
      <c r="E882" s="692"/>
      <c r="F882" s="692"/>
      <c r="G882" s="692"/>
      <c r="H882" s="692"/>
      <c r="I882" s="692"/>
      <c r="J882" s="532"/>
      <c r="K882" s="692"/>
      <c r="L882" s="692"/>
      <c r="M882" s="692"/>
      <c r="N882" s="532"/>
      <c r="O882" s="532"/>
      <c r="P882" s="532"/>
      <c r="Q882" s="532"/>
      <c r="R882" s="532"/>
      <c r="S882" s="532"/>
      <c r="T882" s="693"/>
      <c r="U882" s="693"/>
    </row>
    <row r="883">
      <c r="A883" s="692"/>
      <c r="B883" s="532"/>
      <c r="C883" s="532"/>
      <c r="D883" s="692"/>
      <c r="E883" s="692"/>
      <c r="F883" s="692"/>
      <c r="G883" s="692"/>
      <c r="H883" s="692"/>
      <c r="I883" s="692"/>
      <c r="J883" s="532"/>
      <c r="K883" s="692"/>
      <c r="L883" s="692"/>
      <c r="M883" s="692"/>
      <c r="N883" s="532"/>
      <c r="O883" s="532"/>
      <c r="P883" s="532"/>
      <c r="Q883" s="532"/>
      <c r="R883" s="532"/>
      <c r="S883" s="532"/>
      <c r="T883" s="693"/>
      <c r="U883" s="693"/>
    </row>
    <row r="884">
      <c r="A884" s="692"/>
      <c r="B884" s="532"/>
      <c r="C884" s="532"/>
      <c r="D884" s="692"/>
      <c r="E884" s="692"/>
      <c r="F884" s="692"/>
      <c r="G884" s="692"/>
      <c r="H884" s="692"/>
      <c r="I884" s="692"/>
      <c r="J884" s="532"/>
      <c r="K884" s="692"/>
      <c r="L884" s="692"/>
      <c r="M884" s="692"/>
      <c r="N884" s="532"/>
      <c r="O884" s="532"/>
      <c r="P884" s="532"/>
      <c r="Q884" s="532"/>
      <c r="R884" s="532"/>
      <c r="S884" s="532"/>
      <c r="T884" s="693"/>
      <c r="U884" s="693"/>
    </row>
    <row r="885">
      <c r="A885" s="692"/>
      <c r="B885" s="532"/>
      <c r="C885" s="532"/>
      <c r="D885" s="692"/>
      <c r="E885" s="692"/>
      <c r="F885" s="692"/>
      <c r="G885" s="692"/>
      <c r="H885" s="692"/>
      <c r="I885" s="692"/>
      <c r="J885" s="532"/>
      <c r="K885" s="692"/>
      <c r="L885" s="692"/>
      <c r="M885" s="692"/>
      <c r="N885" s="532"/>
      <c r="O885" s="532"/>
      <c r="P885" s="532"/>
      <c r="Q885" s="532"/>
      <c r="R885" s="532"/>
      <c r="S885" s="532"/>
      <c r="T885" s="693"/>
      <c r="U885" s="693"/>
    </row>
    <row r="886">
      <c r="A886" s="692"/>
      <c r="B886" s="532"/>
      <c r="C886" s="532"/>
      <c r="D886" s="692"/>
      <c r="E886" s="692"/>
      <c r="F886" s="692"/>
      <c r="G886" s="692"/>
      <c r="H886" s="692"/>
      <c r="I886" s="692"/>
      <c r="J886" s="532"/>
      <c r="K886" s="692"/>
      <c r="L886" s="692"/>
      <c r="M886" s="692"/>
      <c r="N886" s="532"/>
      <c r="O886" s="532"/>
      <c r="P886" s="532"/>
      <c r="Q886" s="532"/>
      <c r="R886" s="532"/>
      <c r="S886" s="532"/>
      <c r="T886" s="693"/>
      <c r="U886" s="693"/>
    </row>
    <row r="887">
      <c r="A887" s="692"/>
      <c r="B887" s="532"/>
      <c r="C887" s="532"/>
      <c r="D887" s="692"/>
      <c r="E887" s="692"/>
      <c r="F887" s="692"/>
      <c r="G887" s="692"/>
      <c r="H887" s="692"/>
      <c r="I887" s="692"/>
      <c r="J887" s="532"/>
      <c r="K887" s="692"/>
      <c r="L887" s="692"/>
      <c r="M887" s="692"/>
      <c r="N887" s="532"/>
      <c r="O887" s="532"/>
      <c r="P887" s="532"/>
      <c r="Q887" s="532"/>
      <c r="R887" s="532"/>
      <c r="S887" s="532"/>
      <c r="T887" s="693"/>
      <c r="U887" s="693"/>
    </row>
    <row r="888">
      <c r="A888" s="692"/>
      <c r="B888" s="532"/>
      <c r="C888" s="532"/>
      <c r="D888" s="692"/>
      <c r="E888" s="692"/>
      <c r="F888" s="692"/>
      <c r="G888" s="692"/>
      <c r="H888" s="692"/>
      <c r="I888" s="692"/>
      <c r="J888" s="532"/>
      <c r="K888" s="692"/>
      <c r="L888" s="692"/>
      <c r="M888" s="692"/>
      <c r="N888" s="532"/>
      <c r="O888" s="532"/>
      <c r="P888" s="532"/>
      <c r="Q888" s="532"/>
      <c r="R888" s="532"/>
      <c r="S888" s="532"/>
      <c r="T888" s="693"/>
      <c r="U888" s="693"/>
    </row>
    <row r="889">
      <c r="A889" s="692"/>
      <c r="B889" s="532"/>
      <c r="C889" s="532"/>
      <c r="D889" s="692"/>
      <c r="E889" s="692"/>
      <c r="F889" s="692"/>
      <c r="G889" s="692"/>
      <c r="H889" s="692"/>
      <c r="I889" s="692"/>
      <c r="J889" s="532"/>
      <c r="K889" s="692"/>
      <c r="L889" s="692"/>
      <c r="M889" s="692"/>
      <c r="N889" s="532"/>
      <c r="O889" s="532"/>
      <c r="P889" s="532"/>
      <c r="Q889" s="532"/>
      <c r="R889" s="532"/>
      <c r="S889" s="532"/>
      <c r="T889" s="693"/>
      <c r="U889" s="693"/>
    </row>
    <row r="890">
      <c r="A890" s="692"/>
      <c r="B890" s="532"/>
      <c r="C890" s="532"/>
      <c r="D890" s="692"/>
      <c r="E890" s="692"/>
      <c r="F890" s="692"/>
      <c r="G890" s="692"/>
      <c r="H890" s="692"/>
      <c r="I890" s="692"/>
      <c r="J890" s="532"/>
      <c r="K890" s="692"/>
      <c r="L890" s="692"/>
      <c r="M890" s="692"/>
      <c r="N890" s="532"/>
      <c r="O890" s="532"/>
      <c r="P890" s="532"/>
      <c r="Q890" s="532"/>
      <c r="R890" s="532"/>
      <c r="S890" s="532"/>
      <c r="T890" s="693"/>
      <c r="U890" s="693"/>
    </row>
    <row r="891">
      <c r="A891" s="692"/>
      <c r="B891" s="532"/>
      <c r="C891" s="532"/>
      <c r="D891" s="692"/>
      <c r="E891" s="692"/>
      <c r="F891" s="692"/>
      <c r="G891" s="692"/>
      <c r="H891" s="692"/>
      <c r="I891" s="692"/>
      <c r="J891" s="532"/>
      <c r="K891" s="692"/>
      <c r="L891" s="692"/>
      <c r="M891" s="692"/>
      <c r="N891" s="532"/>
      <c r="O891" s="532"/>
      <c r="P891" s="532"/>
      <c r="Q891" s="532"/>
      <c r="R891" s="532"/>
      <c r="S891" s="532"/>
      <c r="T891" s="693"/>
      <c r="U891" s="693"/>
    </row>
    <row r="892">
      <c r="A892" s="692"/>
      <c r="B892" s="532"/>
      <c r="C892" s="532"/>
      <c r="D892" s="692"/>
      <c r="E892" s="692"/>
      <c r="F892" s="692"/>
      <c r="G892" s="692"/>
      <c r="H892" s="692"/>
      <c r="I892" s="692"/>
      <c r="J892" s="532"/>
      <c r="K892" s="692"/>
      <c r="L892" s="692"/>
      <c r="M892" s="692"/>
      <c r="N892" s="532"/>
      <c r="O892" s="532"/>
      <c r="P892" s="532"/>
      <c r="Q892" s="532"/>
      <c r="R892" s="532"/>
      <c r="S892" s="532"/>
      <c r="T892" s="693"/>
      <c r="U892" s="693"/>
    </row>
    <row r="893">
      <c r="A893" s="692"/>
      <c r="B893" s="532"/>
      <c r="C893" s="532"/>
      <c r="D893" s="692"/>
      <c r="E893" s="692"/>
      <c r="F893" s="692"/>
      <c r="G893" s="692"/>
      <c r="H893" s="692"/>
      <c r="I893" s="692"/>
      <c r="J893" s="532"/>
      <c r="K893" s="692"/>
      <c r="L893" s="692"/>
      <c r="M893" s="692"/>
      <c r="N893" s="532"/>
      <c r="O893" s="532"/>
      <c r="P893" s="532"/>
      <c r="Q893" s="532"/>
      <c r="R893" s="532"/>
      <c r="S893" s="532"/>
      <c r="T893" s="693"/>
      <c r="U893" s="693"/>
    </row>
    <row r="894">
      <c r="A894" s="692"/>
      <c r="B894" s="532"/>
      <c r="C894" s="532"/>
      <c r="D894" s="692"/>
      <c r="E894" s="692"/>
      <c r="F894" s="692"/>
      <c r="G894" s="692"/>
      <c r="H894" s="692"/>
      <c r="I894" s="692"/>
      <c r="J894" s="532"/>
      <c r="K894" s="692"/>
      <c r="L894" s="692"/>
      <c r="M894" s="692"/>
      <c r="N894" s="532"/>
      <c r="O894" s="532"/>
      <c r="P894" s="532"/>
      <c r="Q894" s="532"/>
      <c r="R894" s="532"/>
      <c r="S894" s="532"/>
      <c r="T894" s="693"/>
      <c r="U894" s="693"/>
    </row>
    <row r="895">
      <c r="A895" s="692"/>
      <c r="B895" s="532"/>
      <c r="C895" s="532"/>
      <c r="D895" s="692"/>
      <c r="E895" s="692"/>
      <c r="F895" s="692"/>
      <c r="G895" s="692"/>
      <c r="H895" s="692"/>
      <c r="I895" s="692"/>
      <c r="J895" s="532"/>
      <c r="K895" s="692"/>
      <c r="L895" s="692"/>
      <c r="M895" s="692"/>
      <c r="N895" s="532"/>
      <c r="O895" s="532"/>
      <c r="P895" s="532"/>
      <c r="Q895" s="532"/>
      <c r="R895" s="532"/>
      <c r="S895" s="532"/>
      <c r="T895" s="693"/>
      <c r="U895" s="693"/>
    </row>
    <row r="896">
      <c r="A896" s="692"/>
      <c r="B896" s="532"/>
      <c r="C896" s="532"/>
      <c r="D896" s="692"/>
      <c r="E896" s="692"/>
      <c r="F896" s="692"/>
      <c r="G896" s="692"/>
      <c r="H896" s="692"/>
      <c r="I896" s="692"/>
      <c r="J896" s="532"/>
      <c r="K896" s="692"/>
      <c r="L896" s="692"/>
      <c r="M896" s="692"/>
      <c r="N896" s="532"/>
      <c r="O896" s="532"/>
      <c r="P896" s="532"/>
      <c r="Q896" s="532"/>
      <c r="R896" s="532"/>
      <c r="S896" s="532"/>
      <c r="T896" s="693"/>
      <c r="U896" s="693"/>
    </row>
    <row r="897">
      <c r="A897" s="692"/>
      <c r="B897" s="532"/>
      <c r="C897" s="532"/>
      <c r="D897" s="692"/>
      <c r="E897" s="692"/>
      <c r="F897" s="692"/>
      <c r="G897" s="692"/>
      <c r="H897" s="692"/>
      <c r="I897" s="692"/>
      <c r="J897" s="532"/>
      <c r="K897" s="692"/>
      <c r="L897" s="692"/>
      <c r="M897" s="692"/>
      <c r="N897" s="532"/>
      <c r="O897" s="532"/>
      <c r="P897" s="532"/>
      <c r="Q897" s="532"/>
      <c r="R897" s="532"/>
      <c r="S897" s="532"/>
      <c r="T897" s="693"/>
      <c r="U897" s="693"/>
    </row>
    <row r="898">
      <c r="A898" s="692"/>
      <c r="B898" s="532"/>
      <c r="C898" s="532"/>
      <c r="D898" s="692"/>
      <c r="E898" s="692"/>
      <c r="F898" s="692"/>
      <c r="G898" s="692"/>
      <c r="H898" s="692"/>
      <c r="I898" s="692"/>
      <c r="J898" s="532"/>
      <c r="K898" s="692"/>
      <c r="L898" s="692"/>
      <c r="M898" s="692"/>
      <c r="N898" s="532"/>
      <c r="O898" s="532"/>
      <c r="P898" s="532"/>
      <c r="Q898" s="532"/>
      <c r="R898" s="532"/>
      <c r="S898" s="532"/>
      <c r="T898" s="693"/>
      <c r="U898" s="693"/>
    </row>
    <row r="899">
      <c r="A899" s="692"/>
      <c r="B899" s="532"/>
      <c r="C899" s="532"/>
      <c r="D899" s="692"/>
      <c r="E899" s="692"/>
      <c r="F899" s="692"/>
      <c r="G899" s="692"/>
      <c r="H899" s="692"/>
      <c r="I899" s="692"/>
      <c r="J899" s="532"/>
      <c r="K899" s="692"/>
      <c r="L899" s="692"/>
      <c r="M899" s="692"/>
      <c r="N899" s="532"/>
      <c r="O899" s="532"/>
      <c r="P899" s="532"/>
      <c r="Q899" s="532"/>
      <c r="R899" s="532"/>
      <c r="S899" s="532"/>
      <c r="T899" s="693"/>
      <c r="U899" s="693"/>
    </row>
    <row r="900">
      <c r="A900" s="692"/>
      <c r="B900" s="532"/>
      <c r="C900" s="532"/>
      <c r="D900" s="692"/>
      <c r="E900" s="692"/>
      <c r="F900" s="692"/>
      <c r="G900" s="692"/>
      <c r="H900" s="692"/>
      <c r="I900" s="692"/>
      <c r="J900" s="532"/>
      <c r="K900" s="692"/>
      <c r="L900" s="692"/>
      <c r="M900" s="692"/>
      <c r="N900" s="532"/>
      <c r="O900" s="532"/>
      <c r="P900" s="532"/>
      <c r="Q900" s="532"/>
      <c r="R900" s="532"/>
      <c r="S900" s="532"/>
      <c r="T900" s="693"/>
      <c r="U900" s="693"/>
    </row>
    <row r="901">
      <c r="A901" s="692"/>
      <c r="B901" s="532"/>
      <c r="C901" s="532"/>
      <c r="D901" s="692"/>
      <c r="E901" s="692"/>
      <c r="F901" s="692"/>
      <c r="G901" s="692"/>
      <c r="H901" s="692"/>
      <c r="I901" s="692"/>
      <c r="J901" s="532"/>
      <c r="K901" s="692"/>
      <c r="L901" s="692"/>
      <c r="M901" s="692"/>
      <c r="N901" s="532"/>
      <c r="O901" s="532"/>
      <c r="P901" s="532"/>
      <c r="Q901" s="532"/>
      <c r="R901" s="532"/>
      <c r="S901" s="532"/>
      <c r="T901" s="693"/>
      <c r="U901" s="693"/>
    </row>
    <row r="902">
      <c r="A902" s="692"/>
      <c r="B902" s="532"/>
      <c r="C902" s="532"/>
      <c r="D902" s="692"/>
      <c r="E902" s="692"/>
      <c r="F902" s="692"/>
      <c r="G902" s="692"/>
      <c r="H902" s="692"/>
      <c r="I902" s="692"/>
      <c r="J902" s="532"/>
      <c r="K902" s="692"/>
      <c r="L902" s="692"/>
      <c r="M902" s="692"/>
      <c r="N902" s="532"/>
      <c r="O902" s="532"/>
      <c r="P902" s="532"/>
      <c r="Q902" s="532"/>
      <c r="R902" s="532"/>
      <c r="S902" s="532"/>
      <c r="T902" s="693"/>
      <c r="U902" s="693"/>
    </row>
    <row r="903">
      <c r="A903" s="692"/>
      <c r="B903" s="532"/>
      <c r="C903" s="532"/>
      <c r="D903" s="692"/>
      <c r="E903" s="692"/>
      <c r="F903" s="692"/>
      <c r="G903" s="692"/>
      <c r="H903" s="692"/>
      <c r="I903" s="692"/>
      <c r="J903" s="532"/>
      <c r="K903" s="692"/>
      <c r="L903" s="692"/>
      <c r="M903" s="692"/>
      <c r="N903" s="532"/>
      <c r="O903" s="532"/>
      <c r="P903" s="532"/>
      <c r="Q903" s="532"/>
      <c r="R903" s="532"/>
      <c r="S903" s="532"/>
      <c r="T903" s="693"/>
      <c r="U903" s="693"/>
    </row>
    <row r="904">
      <c r="A904" s="692"/>
      <c r="B904" s="532"/>
      <c r="C904" s="532"/>
      <c r="D904" s="692"/>
      <c r="E904" s="692"/>
      <c r="F904" s="692"/>
      <c r="G904" s="692"/>
      <c r="H904" s="692"/>
      <c r="I904" s="692"/>
      <c r="J904" s="532"/>
      <c r="K904" s="692"/>
      <c r="L904" s="692"/>
      <c r="M904" s="692"/>
      <c r="N904" s="532"/>
      <c r="O904" s="532"/>
      <c r="P904" s="532"/>
      <c r="Q904" s="532"/>
      <c r="R904" s="532"/>
      <c r="S904" s="532"/>
      <c r="T904" s="693"/>
      <c r="U904" s="693"/>
    </row>
    <row r="905">
      <c r="A905" s="692"/>
      <c r="B905" s="532"/>
      <c r="C905" s="532"/>
      <c r="D905" s="692"/>
      <c r="E905" s="692"/>
      <c r="F905" s="692"/>
      <c r="G905" s="692"/>
      <c r="H905" s="692"/>
      <c r="I905" s="692"/>
      <c r="J905" s="532"/>
      <c r="K905" s="692"/>
      <c r="L905" s="692"/>
      <c r="M905" s="692"/>
      <c r="N905" s="532"/>
      <c r="O905" s="532"/>
      <c r="P905" s="532"/>
      <c r="Q905" s="532"/>
      <c r="R905" s="532"/>
      <c r="S905" s="532"/>
      <c r="T905" s="693"/>
      <c r="U905" s="693"/>
    </row>
    <row r="906">
      <c r="A906" s="692"/>
      <c r="B906" s="532"/>
      <c r="C906" s="532"/>
      <c r="D906" s="692"/>
      <c r="E906" s="692"/>
      <c r="F906" s="692"/>
      <c r="G906" s="692"/>
      <c r="H906" s="692"/>
      <c r="I906" s="692"/>
      <c r="J906" s="532"/>
      <c r="K906" s="692"/>
      <c r="L906" s="692"/>
      <c r="M906" s="692"/>
      <c r="N906" s="532"/>
      <c r="O906" s="532"/>
      <c r="P906" s="532"/>
      <c r="Q906" s="532"/>
      <c r="R906" s="532"/>
      <c r="S906" s="532"/>
      <c r="T906" s="693"/>
      <c r="U906" s="693"/>
    </row>
    <row r="907">
      <c r="A907" s="692"/>
      <c r="B907" s="532"/>
      <c r="C907" s="532"/>
      <c r="D907" s="692"/>
      <c r="E907" s="692"/>
      <c r="F907" s="692"/>
      <c r="G907" s="692"/>
      <c r="H907" s="692"/>
      <c r="I907" s="692"/>
      <c r="J907" s="532"/>
      <c r="K907" s="692"/>
      <c r="L907" s="692"/>
      <c r="M907" s="692"/>
      <c r="N907" s="532"/>
      <c r="O907" s="532"/>
      <c r="P907" s="532"/>
      <c r="Q907" s="532"/>
      <c r="R907" s="532"/>
      <c r="S907" s="532"/>
      <c r="T907" s="693"/>
      <c r="U907" s="693"/>
    </row>
    <row r="908">
      <c r="A908" s="692"/>
      <c r="B908" s="532"/>
      <c r="C908" s="532"/>
      <c r="D908" s="692"/>
      <c r="E908" s="692"/>
      <c r="F908" s="692"/>
      <c r="G908" s="692"/>
      <c r="H908" s="692"/>
      <c r="I908" s="692"/>
      <c r="J908" s="532"/>
      <c r="K908" s="692"/>
      <c r="L908" s="692"/>
      <c r="M908" s="692"/>
      <c r="N908" s="532"/>
      <c r="O908" s="532"/>
      <c r="P908" s="532"/>
      <c r="Q908" s="532"/>
      <c r="R908" s="532"/>
      <c r="S908" s="532"/>
      <c r="T908" s="693"/>
      <c r="U908" s="693"/>
    </row>
    <row r="909">
      <c r="A909" s="692"/>
      <c r="B909" s="532"/>
      <c r="C909" s="532"/>
      <c r="D909" s="692"/>
      <c r="E909" s="692"/>
      <c r="F909" s="692"/>
      <c r="G909" s="692"/>
      <c r="H909" s="692"/>
      <c r="I909" s="692"/>
      <c r="J909" s="532"/>
      <c r="K909" s="692"/>
      <c r="L909" s="692"/>
      <c r="M909" s="692"/>
      <c r="N909" s="532"/>
      <c r="O909" s="532"/>
      <c r="P909" s="532"/>
      <c r="Q909" s="532"/>
      <c r="R909" s="532"/>
      <c r="S909" s="532"/>
      <c r="T909" s="693"/>
      <c r="U909" s="693"/>
    </row>
    <row r="910">
      <c r="A910" s="692"/>
      <c r="B910" s="532"/>
      <c r="C910" s="532"/>
      <c r="D910" s="692"/>
      <c r="E910" s="692"/>
      <c r="F910" s="692"/>
      <c r="G910" s="692"/>
      <c r="H910" s="692"/>
      <c r="I910" s="692"/>
      <c r="J910" s="532"/>
      <c r="K910" s="692"/>
      <c r="L910" s="692"/>
      <c r="M910" s="692"/>
      <c r="N910" s="532"/>
      <c r="O910" s="532"/>
      <c r="P910" s="532"/>
      <c r="Q910" s="532"/>
      <c r="R910" s="532"/>
      <c r="S910" s="532"/>
      <c r="T910" s="693"/>
      <c r="U910" s="693"/>
    </row>
    <row r="911">
      <c r="A911" s="692"/>
      <c r="B911" s="532"/>
      <c r="C911" s="532"/>
      <c r="D911" s="692"/>
      <c r="E911" s="692"/>
      <c r="F911" s="692"/>
      <c r="G911" s="692"/>
      <c r="H911" s="692"/>
      <c r="I911" s="692"/>
      <c r="J911" s="532"/>
      <c r="K911" s="692"/>
      <c r="L911" s="692"/>
      <c r="M911" s="692"/>
      <c r="N911" s="532"/>
      <c r="O911" s="532"/>
      <c r="P911" s="532"/>
      <c r="Q911" s="532"/>
      <c r="R911" s="532"/>
      <c r="S911" s="532"/>
      <c r="T911" s="693"/>
      <c r="U911" s="693"/>
    </row>
    <row r="912">
      <c r="A912" s="692"/>
      <c r="B912" s="532"/>
      <c r="C912" s="532"/>
      <c r="D912" s="692"/>
      <c r="E912" s="692"/>
      <c r="F912" s="692"/>
      <c r="G912" s="692"/>
      <c r="H912" s="692"/>
      <c r="I912" s="692"/>
      <c r="J912" s="532"/>
      <c r="K912" s="692"/>
      <c r="L912" s="692"/>
      <c r="M912" s="692"/>
      <c r="N912" s="532"/>
      <c r="O912" s="532"/>
      <c r="P912" s="532"/>
      <c r="Q912" s="532"/>
      <c r="R912" s="532"/>
      <c r="S912" s="532"/>
      <c r="T912" s="693"/>
      <c r="U912" s="693"/>
    </row>
    <row r="913">
      <c r="A913" s="692"/>
      <c r="B913" s="532"/>
      <c r="C913" s="532"/>
      <c r="D913" s="692"/>
      <c r="E913" s="692"/>
      <c r="F913" s="692"/>
      <c r="G913" s="692"/>
      <c r="H913" s="692"/>
      <c r="I913" s="692"/>
      <c r="J913" s="532"/>
      <c r="K913" s="692"/>
      <c r="L913" s="692"/>
      <c r="M913" s="692"/>
      <c r="N913" s="532"/>
      <c r="O913" s="532"/>
      <c r="P913" s="532"/>
      <c r="Q913" s="532"/>
      <c r="R913" s="532"/>
      <c r="S913" s="532"/>
      <c r="T913" s="693"/>
      <c r="U913" s="693"/>
    </row>
    <row r="914">
      <c r="A914" s="692"/>
      <c r="B914" s="532"/>
      <c r="C914" s="532"/>
      <c r="D914" s="692"/>
      <c r="E914" s="692"/>
      <c r="F914" s="692"/>
      <c r="G914" s="692"/>
      <c r="H914" s="692"/>
      <c r="I914" s="692"/>
      <c r="J914" s="532"/>
      <c r="K914" s="692"/>
      <c r="L914" s="692"/>
      <c r="M914" s="692"/>
      <c r="N914" s="532"/>
      <c r="O914" s="532"/>
      <c r="P914" s="532"/>
      <c r="Q914" s="532"/>
      <c r="R914" s="532"/>
      <c r="S914" s="532"/>
      <c r="T914" s="693"/>
      <c r="U914" s="693"/>
    </row>
    <row r="915">
      <c r="A915" s="692"/>
      <c r="B915" s="532"/>
      <c r="C915" s="532"/>
      <c r="D915" s="692"/>
      <c r="E915" s="692"/>
      <c r="F915" s="692"/>
      <c r="G915" s="692"/>
      <c r="H915" s="692"/>
      <c r="I915" s="692"/>
      <c r="J915" s="532"/>
      <c r="K915" s="692"/>
      <c r="L915" s="692"/>
      <c r="M915" s="692"/>
      <c r="N915" s="532"/>
      <c r="O915" s="532"/>
      <c r="P915" s="532"/>
      <c r="Q915" s="532"/>
      <c r="R915" s="532"/>
      <c r="S915" s="532"/>
      <c r="T915" s="693"/>
      <c r="U915" s="693"/>
    </row>
    <row r="916">
      <c r="A916" s="692"/>
      <c r="B916" s="532"/>
      <c r="C916" s="532"/>
      <c r="D916" s="692"/>
      <c r="E916" s="692"/>
      <c r="F916" s="692"/>
      <c r="G916" s="692"/>
      <c r="H916" s="692"/>
      <c r="I916" s="692"/>
      <c r="J916" s="532"/>
      <c r="K916" s="692"/>
      <c r="L916" s="692"/>
      <c r="M916" s="692"/>
      <c r="N916" s="532"/>
      <c r="O916" s="532"/>
      <c r="P916" s="532"/>
      <c r="Q916" s="532"/>
      <c r="R916" s="532"/>
      <c r="S916" s="532"/>
      <c r="T916" s="693"/>
      <c r="U916" s="693"/>
    </row>
    <row r="917">
      <c r="A917" s="692"/>
      <c r="B917" s="532"/>
      <c r="C917" s="532"/>
      <c r="D917" s="692"/>
      <c r="E917" s="692"/>
      <c r="F917" s="692"/>
      <c r="G917" s="692"/>
      <c r="H917" s="692"/>
      <c r="I917" s="692"/>
      <c r="J917" s="532"/>
      <c r="K917" s="692"/>
      <c r="L917" s="692"/>
      <c r="M917" s="692"/>
      <c r="N917" s="532"/>
      <c r="O917" s="532"/>
      <c r="P917" s="532"/>
      <c r="Q917" s="532"/>
      <c r="R917" s="532"/>
      <c r="S917" s="532"/>
      <c r="T917" s="693"/>
      <c r="U917" s="693"/>
    </row>
    <row r="918">
      <c r="A918" s="692"/>
      <c r="B918" s="532"/>
      <c r="C918" s="532"/>
      <c r="D918" s="692"/>
      <c r="E918" s="692"/>
      <c r="F918" s="692"/>
      <c r="G918" s="692"/>
      <c r="H918" s="692"/>
      <c r="I918" s="692"/>
      <c r="J918" s="532"/>
      <c r="K918" s="692"/>
      <c r="L918" s="692"/>
      <c r="M918" s="692"/>
      <c r="N918" s="532"/>
      <c r="O918" s="532"/>
      <c r="P918" s="532"/>
      <c r="Q918" s="532"/>
      <c r="R918" s="532"/>
      <c r="S918" s="532"/>
      <c r="T918" s="693"/>
      <c r="U918" s="693"/>
    </row>
    <row r="919">
      <c r="A919" s="692"/>
      <c r="B919" s="532"/>
      <c r="C919" s="532"/>
      <c r="D919" s="692"/>
      <c r="E919" s="692"/>
      <c r="F919" s="692"/>
      <c r="G919" s="692"/>
      <c r="H919" s="692"/>
      <c r="I919" s="692"/>
      <c r="J919" s="532"/>
      <c r="K919" s="692"/>
      <c r="L919" s="692"/>
      <c r="M919" s="692"/>
      <c r="N919" s="532"/>
      <c r="O919" s="532"/>
      <c r="P919" s="532"/>
      <c r="Q919" s="532"/>
      <c r="R919" s="532"/>
      <c r="S919" s="532"/>
      <c r="T919" s="693"/>
      <c r="U919" s="693"/>
    </row>
    <row r="920">
      <c r="A920" s="692"/>
      <c r="B920" s="532"/>
      <c r="C920" s="532"/>
      <c r="D920" s="692"/>
      <c r="E920" s="692"/>
      <c r="F920" s="692"/>
      <c r="G920" s="692"/>
      <c r="H920" s="692"/>
      <c r="I920" s="692"/>
      <c r="J920" s="532"/>
      <c r="K920" s="692"/>
      <c r="L920" s="692"/>
      <c r="M920" s="692"/>
      <c r="N920" s="532"/>
      <c r="O920" s="532"/>
      <c r="P920" s="532"/>
      <c r="Q920" s="532"/>
      <c r="R920" s="532"/>
      <c r="S920" s="532"/>
      <c r="T920" s="693"/>
      <c r="U920" s="693"/>
    </row>
    <row r="921">
      <c r="A921" s="692"/>
      <c r="B921" s="532"/>
      <c r="C921" s="532"/>
      <c r="D921" s="692"/>
      <c r="E921" s="692"/>
      <c r="F921" s="692"/>
      <c r="G921" s="692"/>
      <c r="H921" s="692"/>
      <c r="I921" s="692"/>
      <c r="J921" s="532"/>
      <c r="K921" s="692"/>
      <c r="L921" s="692"/>
      <c r="M921" s="692"/>
      <c r="N921" s="532"/>
      <c r="O921" s="532"/>
      <c r="P921" s="532"/>
      <c r="Q921" s="532"/>
      <c r="R921" s="532"/>
      <c r="S921" s="532"/>
      <c r="T921" s="693"/>
      <c r="U921" s="693"/>
    </row>
    <row r="922">
      <c r="A922" s="692"/>
      <c r="B922" s="532"/>
      <c r="C922" s="532"/>
      <c r="D922" s="692"/>
      <c r="E922" s="692"/>
      <c r="F922" s="692"/>
      <c r="G922" s="692"/>
      <c r="H922" s="692"/>
      <c r="I922" s="692"/>
      <c r="J922" s="532"/>
      <c r="K922" s="692"/>
      <c r="L922" s="692"/>
      <c r="M922" s="692"/>
      <c r="N922" s="532"/>
      <c r="O922" s="532"/>
      <c r="P922" s="532"/>
      <c r="Q922" s="532"/>
      <c r="R922" s="532"/>
      <c r="S922" s="532"/>
      <c r="T922" s="693"/>
      <c r="U922" s="693"/>
    </row>
    <row r="923">
      <c r="A923" s="692"/>
      <c r="B923" s="532"/>
      <c r="C923" s="532"/>
      <c r="D923" s="692"/>
      <c r="E923" s="692"/>
      <c r="F923" s="692"/>
      <c r="G923" s="692"/>
      <c r="H923" s="692"/>
      <c r="I923" s="692"/>
      <c r="J923" s="532"/>
      <c r="K923" s="692"/>
      <c r="L923" s="692"/>
      <c r="M923" s="692"/>
      <c r="N923" s="532"/>
      <c r="O923" s="532"/>
      <c r="P923" s="532"/>
      <c r="Q923" s="532"/>
      <c r="R923" s="532"/>
      <c r="S923" s="532"/>
      <c r="T923" s="693"/>
      <c r="U923" s="693"/>
    </row>
    <row r="924">
      <c r="A924" s="692"/>
      <c r="B924" s="532"/>
      <c r="C924" s="532"/>
      <c r="D924" s="692"/>
      <c r="E924" s="692"/>
      <c r="F924" s="692"/>
      <c r="G924" s="692"/>
      <c r="H924" s="692"/>
      <c r="I924" s="692"/>
      <c r="J924" s="532"/>
      <c r="K924" s="692"/>
      <c r="L924" s="692"/>
      <c r="M924" s="692"/>
      <c r="N924" s="532"/>
      <c r="O924" s="532"/>
      <c r="P924" s="532"/>
      <c r="Q924" s="532"/>
      <c r="R924" s="532"/>
      <c r="S924" s="532"/>
      <c r="T924" s="693"/>
      <c r="U924" s="693"/>
    </row>
    <row r="925">
      <c r="A925" s="692"/>
      <c r="B925" s="532"/>
      <c r="C925" s="532"/>
      <c r="D925" s="692"/>
      <c r="E925" s="692"/>
      <c r="F925" s="692"/>
      <c r="G925" s="692"/>
      <c r="H925" s="692"/>
      <c r="I925" s="692"/>
      <c r="J925" s="532"/>
      <c r="K925" s="692"/>
      <c r="L925" s="692"/>
      <c r="M925" s="692"/>
      <c r="N925" s="532"/>
      <c r="O925" s="532"/>
      <c r="P925" s="532"/>
      <c r="Q925" s="532"/>
      <c r="R925" s="532"/>
      <c r="S925" s="532"/>
      <c r="T925" s="693"/>
      <c r="U925" s="693"/>
    </row>
    <row r="926">
      <c r="A926" s="692"/>
      <c r="B926" s="532"/>
      <c r="C926" s="532"/>
      <c r="D926" s="692"/>
      <c r="E926" s="692"/>
      <c r="F926" s="692"/>
      <c r="G926" s="692"/>
      <c r="H926" s="692"/>
      <c r="I926" s="692"/>
      <c r="J926" s="532"/>
      <c r="K926" s="692"/>
      <c r="L926" s="692"/>
      <c r="M926" s="692"/>
      <c r="N926" s="532"/>
      <c r="O926" s="532"/>
      <c r="P926" s="532"/>
      <c r="Q926" s="532"/>
      <c r="R926" s="532"/>
      <c r="S926" s="532"/>
      <c r="T926" s="693"/>
      <c r="U926" s="693"/>
    </row>
    <row r="927">
      <c r="A927" s="692"/>
      <c r="B927" s="532"/>
      <c r="C927" s="532"/>
      <c r="D927" s="692"/>
      <c r="E927" s="692"/>
      <c r="F927" s="692"/>
      <c r="G927" s="692"/>
      <c r="H927" s="692"/>
      <c r="I927" s="692"/>
      <c r="J927" s="532"/>
      <c r="K927" s="692"/>
      <c r="L927" s="692"/>
      <c r="M927" s="692"/>
      <c r="N927" s="532"/>
      <c r="O927" s="532"/>
      <c r="P927" s="532"/>
      <c r="Q927" s="532"/>
      <c r="R927" s="532"/>
      <c r="S927" s="532"/>
      <c r="T927" s="693"/>
      <c r="U927" s="693"/>
    </row>
    <row r="928">
      <c r="A928" s="692"/>
      <c r="B928" s="532"/>
      <c r="C928" s="532"/>
      <c r="D928" s="692"/>
      <c r="E928" s="692"/>
      <c r="F928" s="692"/>
      <c r="G928" s="692"/>
      <c r="H928" s="692"/>
      <c r="I928" s="692"/>
      <c r="J928" s="532"/>
      <c r="K928" s="692"/>
      <c r="L928" s="692"/>
      <c r="M928" s="692"/>
      <c r="N928" s="532"/>
      <c r="O928" s="532"/>
      <c r="P928" s="532"/>
      <c r="Q928" s="532"/>
      <c r="R928" s="532"/>
      <c r="S928" s="532"/>
      <c r="T928" s="693"/>
      <c r="U928" s="693"/>
    </row>
    <row r="929">
      <c r="A929" s="692"/>
      <c r="B929" s="532"/>
      <c r="C929" s="532"/>
      <c r="D929" s="692"/>
      <c r="E929" s="692"/>
      <c r="F929" s="692"/>
      <c r="G929" s="692"/>
      <c r="H929" s="692"/>
      <c r="I929" s="692"/>
      <c r="J929" s="532"/>
      <c r="K929" s="692"/>
      <c r="L929" s="692"/>
      <c r="M929" s="692"/>
      <c r="N929" s="532"/>
      <c r="O929" s="532"/>
      <c r="P929" s="532"/>
      <c r="Q929" s="532"/>
      <c r="R929" s="532"/>
      <c r="S929" s="532"/>
      <c r="T929" s="693"/>
      <c r="U929" s="693"/>
    </row>
    <row r="930">
      <c r="A930" s="692"/>
      <c r="B930" s="532"/>
      <c r="C930" s="532"/>
      <c r="D930" s="692"/>
      <c r="E930" s="692"/>
      <c r="F930" s="692"/>
      <c r="G930" s="692"/>
      <c r="H930" s="692"/>
      <c r="I930" s="692"/>
      <c r="J930" s="532"/>
      <c r="K930" s="692"/>
      <c r="L930" s="692"/>
      <c r="M930" s="692"/>
      <c r="N930" s="532"/>
      <c r="O930" s="532"/>
      <c r="P930" s="532"/>
      <c r="Q930" s="532"/>
      <c r="R930" s="532"/>
      <c r="S930" s="532"/>
      <c r="T930" s="693"/>
      <c r="U930" s="693"/>
    </row>
    <row r="931">
      <c r="A931" s="692"/>
      <c r="B931" s="532"/>
      <c r="C931" s="532"/>
      <c r="D931" s="692"/>
      <c r="E931" s="692"/>
      <c r="F931" s="692"/>
      <c r="G931" s="692"/>
      <c r="H931" s="692"/>
      <c r="I931" s="692"/>
      <c r="J931" s="532"/>
      <c r="K931" s="692"/>
      <c r="L931" s="692"/>
      <c r="M931" s="692"/>
      <c r="N931" s="532"/>
      <c r="O931" s="532"/>
      <c r="P931" s="532"/>
      <c r="Q931" s="532"/>
      <c r="R931" s="532"/>
      <c r="S931" s="532"/>
      <c r="T931" s="693"/>
      <c r="U931" s="693"/>
    </row>
    <row r="932">
      <c r="A932" s="692"/>
      <c r="B932" s="532"/>
      <c r="C932" s="532"/>
      <c r="D932" s="692"/>
      <c r="E932" s="692"/>
      <c r="F932" s="692"/>
      <c r="G932" s="692"/>
      <c r="H932" s="692"/>
      <c r="I932" s="692"/>
      <c r="J932" s="532"/>
      <c r="K932" s="692"/>
      <c r="L932" s="692"/>
      <c r="M932" s="692"/>
      <c r="N932" s="532"/>
      <c r="O932" s="532"/>
      <c r="P932" s="532"/>
      <c r="Q932" s="532"/>
      <c r="R932" s="532"/>
      <c r="S932" s="532"/>
      <c r="T932" s="693"/>
      <c r="U932" s="693"/>
    </row>
    <row r="933">
      <c r="A933" s="692"/>
      <c r="B933" s="532"/>
      <c r="C933" s="532"/>
      <c r="D933" s="692"/>
      <c r="E933" s="692"/>
      <c r="F933" s="692"/>
      <c r="G933" s="692"/>
      <c r="H933" s="692"/>
      <c r="I933" s="692"/>
      <c r="J933" s="532"/>
      <c r="K933" s="692"/>
      <c r="L933" s="692"/>
      <c r="M933" s="692"/>
      <c r="N933" s="532"/>
      <c r="O933" s="532"/>
      <c r="P933" s="532"/>
      <c r="Q933" s="532"/>
      <c r="R933" s="532"/>
      <c r="S933" s="532"/>
      <c r="T933" s="693"/>
      <c r="U933" s="693"/>
    </row>
    <row r="934">
      <c r="A934" s="692"/>
      <c r="B934" s="532"/>
      <c r="C934" s="532"/>
      <c r="D934" s="692"/>
      <c r="E934" s="692"/>
      <c r="F934" s="692"/>
      <c r="G934" s="692"/>
      <c r="H934" s="692"/>
      <c r="I934" s="692"/>
      <c r="J934" s="532"/>
      <c r="K934" s="692"/>
      <c r="L934" s="692"/>
      <c r="M934" s="692"/>
      <c r="N934" s="532"/>
      <c r="O934" s="532"/>
      <c r="P934" s="532"/>
      <c r="Q934" s="532"/>
      <c r="R934" s="532"/>
      <c r="S934" s="532"/>
      <c r="T934" s="693"/>
      <c r="U934" s="693"/>
    </row>
    <row r="935">
      <c r="A935" s="692"/>
      <c r="B935" s="532"/>
      <c r="C935" s="532"/>
      <c r="D935" s="692"/>
      <c r="E935" s="692"/>
      <c r="F935" s="692"/>
      <c r="G935" s="692"/>
      <c r="H935" s="692"/>
      <c r="I935" s="692"/>
      <c r="J935" s="532"/>
      <c r="K935" s="692"/>
      <c r="L935" s="692"/>
      <c r="M935" s="692"/>
      <c r="N935" s="532"/>
      <c r="O935" s="532"/>
      <c r="P935" s="532"/>
      <c r="Q935" s="532"/>
      <c r="R935" s="532"/>
      <c r="S935" s="532"/>
      <c r="T935" s="693"/>
      <c r="U935" s="693"/>
    </row>
    <row r="936">
      <c r="A936" s="692"/>
      <c r="B936" s="532"/>
      <c r="C936" s="532"/>
      <c r="D936" s="692"/>
      <c r="E936" s="692"/>
      <c r="F936" s="692"/>
      <c r="G936" s="692"/>
      <c r="H936" s="692"/>
      <c r="I936" s="692"/>
      <c r="J936" s="532"/>
      <c r="K936" s="692"/>
      <c r="L936" s="692"/>
      <c r="M936" s="692"/>
      <c r="N936" s="532"/>
      <c r="O936" s="532"/>
      <c r="P936" s="532"/>
      <c r="Q936" s="532"/>
      <c r="R936" s="532"/>
      <c r="S936" s="532"/>
      <c r="T936" s="693"/>
      <c r="U936" s="693"/>
    </row>
    <row r="937">
      <c r="A937" s="692"/>
      <c r="B937" s="532"/>
      <c r="C937" s="532"/>
      <c r="D937" s="692"/>
      <c r="E937" s="692"/>
      <c r="F937" s="692"/>
      <c r="G937" s="692"/>
      <c r="H937" s="692"/>
      <c r="I937" s="692"/>
      <c r="J937" s="532"/>
      <c r="K937" s="692"/>
      <c r="L937" s="692"/>
      <c r="M937" s="692"/>
      <c r="N937" s="532"/>
      <c r="O937" s="532"/>
      <c r="P937" s="532"/>
      <c r="Q937" s="532"/>
      <c r="R937" s="532"/>
      <c r="S937" s="532"/>
      <c r="T937" s="693"/>
      <c r="U937" s="693"/>
    </row>
    <row r="938">
      <c r="A938" s="692"/>
      <c r="B938" s="532"/>
      <c r="C938" s="532"/>
      <c r="D938" s="692"/>
      <c r="E938" s="692"/>
      <c r="F938" s="692"/>
      <c r="G938" s="692"/>
      <c r="H938" s="692"/>
      <c r="I938" s="692"/>
      <c r="J938" s="532"/>
      <c r="K938" s="692"/>
      <c r="L938" s="692"/>
      <c r="M938" s="692"/>
      <c r="N938" s="532"/>
      <c r="O938" s="532"/>
      <c r="P938" s="532"/>
      <c r="Q938" s="532"/>
      <c r="R938" s="532"/>
      <c r="S938" s="532"/>
      <c r="T938" s="693"/>
      <c r="U938" s="693"/>
    </row>
    <row r="939">
      <c r="A939" s="692"/>
      <c r="B939" s="532"/>
      <c r="C939" s="532"/>
      <c r="D939" s="692"/>
      <c r="E939" s="692"/>
      <c r="F939" s="692"/>
      <c r="G939" s="692"/>
      <c r="H939" s="692"/>
      <c r="I939" s="692"/>
      <c r="J939" s="532"/>
      <c r="K939" s="692"/>
      <c r="L939" s="692"/>
      <c r="M939" s="692"/>
      <c r="N939" s="532"/>
      <c r="O939" s="532"/>
      <c r="P939" s="532"/>
      <c r="Q939" s="532"/>
      <c r="R939" s="532"/>
      <c r="S939" s="532"/>
      <c r="T939" s="693"/>
      <c r="U939" s="693"/>
    </row>
    <row r="940">
      <c r="A940" s="692"/>
      <c r="B940" s="532"/>
      <c r="C940" s="532"/>
      <c r="D940" s="692"/>
      <c r="E940" s="692"/>
      <c r="F940" s="692"/>
      <c r="G940" s="692"/>
      <c r="H940" s="692"/>
      <c r="I940" s="692"/>
      <c r="J940" s="532"/>
      <c r="K940" s="692"/>
      <c r="L940" s="692"/>
      <c r="M940" s="692"/>
      <c r="N940" s="532"/>
      <c r="O940" s="532"/>
      <c r="P940" s="532"/>
      <c r="Q940" s="532"/>
      <c r="R940" s="532"/>
      <c r="S940" s="532"/>
      <c r="T940" s="693"/>
      <c r="U940" s="693"/>
    </row>
    <row r="941">
      <c r="A941" s="692"/>
      <c r="B941" s="532"/>
      <c r="C941" s="532"/>
      <c r="D941" s="692"/>
      <c r="E941" s="692"/>
      <c r="F941" s="692"/>
      <c r="G941" s="692"/>
      <c r="H941" s="692"/>
      <c r="I941" s="692"/>
      <c r="J941" s="532"/>
      <c r="K941" s="692"/>
      <c r="L941" s="692"/>
      <c r="M941" s="692"/>
      <c r="N941" s="532"/>
      <c r="O941" s="532"/>
      <c r="P941" s="532"/>
      <c r="Q941" s="532"/>
      <c r="R941" s="532"/>
      <c r="S941" s="532"/>
      <c r="T941" s="693"/>
      <c r="U941" s="693"/>
    </row>
    <row r="942">
      <c r="A942" s="692"/>
      <c r="B942" s="532"/>
      <c r="C942" s="532"/>
      <c r="D942" s="692"/>
      <c r="E942" s="692"/>
      <c r="F942" s="692"/>
      <c r="G942" s="692"/>
      <c r="H942" s="692"/>
      <c r="I942" s="692"/>
      <c r="J942" s="532"/>
      <c r="K942" s="692"/>
      <c r="L942" s="692"/>
      <c r="M942" s="692"/>
      <c r="N942" s="532"/>
      <c r="O942" s="532"/>
      <c r="P942" s="532"/>
      <c r="Q942" s="532"/>
      <c r="R942" s="532"/>
      <c r="S942" s="532"/>
      <c r="T942" s="693"/>
      <c r="U942" s="693"/>
    </row>
    <row r="943">
      <c r="A943" s="692"/>
      <c r="B943" s="532"/>
      <c r="C943" s="532"/>
      <c r="D943" s="692"/>
      <c r="E943" s="692"/>
      <c r="F943" s="692"/>
      <c r="G943" s="692"/>
      <c r="H943" s="692"/>
      <c r="I943" s="692"/>
      <c r="J943" s="532"/>
      <c r="K943" s="692"/>
      <c r="L943" s="692"/>
      <c r="M943" s="692"/>
      <c r="N943" s="532"/>
      <c r="O943" s="532"/>
      <c r="P943" s="532"/>
      <c r="Q943" s="532"/>
      <c r="R943" s="532"/>
      <c r="S943" s="532"/>
      <c r="T943" s="693"/>
      <c r="U943" s="693"/>
    </row>
    <row r="944">
      <c r="A944" s="692"/>
      <c r="B944" s="532"/>
      <c r="C944" s="532"/>
      <c r="D944" s="692"/>
      <c r="E944" s="692"/>
      <c r="F944" s="692"/>
      <c r="G944" s="692"/>
      <c r="H944" s="692"/>
      <c r="I944" s="692"/>
      <c r="J944" s="532"/>
      <c r="K944" s="692"/>
      <c r="L944" s="692"/>
      <c r="M944" s="692"/>
      <c r="N944" s="532"/>
      <c r="O944" s="532"/>
      <c r="P944" s="532"/>
      <c r="Q944" s="532"/>
      <c r="R944" s="532"/>
      <c r="S944" s="532"/>
      <c r="T944" s="693"/>
      <c r="U944" s="693"/>
    </row>
    <row r="945">
      <c r="A945" s="692"/>
      <c r="B945" s="532"/>
      <c r="C945" s="532"/>
      <c r="D945" s="692"/>
      <c r="E945" s="692"/>
      <c r="F945" s="692"/>
      <c r="G945" s="692"/>
      <c r="H945" s="692"/>
      <c r="I945" s="692"/>
      <c r="J945" s="532"/>
      <c r="K945" s="692"/>
      <c r="L945" s="692"/>
      <c r="M945" s="692"/>
      <c r="N945" s="532"/>
      <c r="O945" s="532"/>
      <c r="P945" s="532"/>
      <c r="Q945" s="532"/>
      <c r="R945" s="532"/>
      <c r="S945" s="532"/>
      <c r="T945" s="693"/>
      <c r="U945" s="693"/>
    </row>
    <row r="946">
      <c r="A946" s="692"/>
      <c r="B946" s="532"/>
      <c r="C946" s="532"/>
      <c r="D946" s="692"/>
      <c r="E946" s="692"/>
      <c r="F946" s="692"/>
      <c r="G946" s="692"/>
      <c r="H946" s="692"/>
      <c r="I946" s="692"/>
      <c r="J946" s="532"/>
      <c r="K946" s="692"/>
      <c r="L946" s="692"/>
      <c r="M946" s="692"/>
      <c r="N946" s="532"/>
      <c r="O946" s="532"/>
      <c r="P946" s="532"/>
      <c r="Q946" s="532"/>
      <c r="R946" s="532"/>
      <c r="S946" s="532"/>
      <c r="T946" s="693"/>
      <c r="U946" s="693"/>
    </row>
    <row r="947">
      <c r="A947" s="692"/>
      <c r="B947" s="532"/>
      <c r="C947" s="532"/>
      <c r="D947" s="692"/>
      <c r="E947" s="692"/>
      <c r="F947" s="692"/>
      <c r="G947" s="692"/>
      <c r="H947" s="692"/>
      <c r="I947" s="692"/>
      <c r="J947" s="532"/>
      <c r="K947" s="692"/>
      <c r="L947" s="692"/>
      <c r="M947" s="692"/>
      <c r="N947" s="532"/>
      <c r="O947" s="532"/>
      <c r="P947" s="532"/>
      <c r="Q947" s="532"/>
      <c r="R947" s="532"/>
      <c r="S947" s="532"/>
      <c r="T947" s="693"/>
      <c r="U947" s="693"/>
    </row>
    <row r="948">
      <c r="A948" s="692"/>
      <c r="B948" s="532"/>
      <c r="C948" s="532"/>
      <c r="D948" s="692"/>
      <c r="E948" s="692"/>
      <c r="F948" s="692"/>
      <c r="G948" s="692"/>
      <c r="H948" s="692"/>
      <c r="I948" s="692"/>
      <c r="J948" s="532"/>
      <c r="K948" s="692"/>
      <c r="L948" s="692"/>
      <c r="M948" s="692"/>
      <c r="N948" s="532"/>
      <c r="O948" s="532"/>
      <c r="P948" s="532"/>
      <c r="Q948" s="532"/>
      <c r="R948" s="532"/>
      <c r="S948" s="532"/>
      <c r="T948" s="693"/>
      <c r="U948" s="693"/>
    </row>
    <row r="949">
      <c r="A949" s="692"/>
      <c r="B949" s="532"/>
      <c r="C949" s="532"/>
      <c r="D949" s="692"/>
      <c r="E949" s="692"/>
      <c r="F949" s="692"/>
      <c r="G949" s="692"/>
      <c r="H949" s="692"/>
      <c r="I949" s="692"/>
      <c r="J949" s="532"/>
      <c r="K949" s="692"/>
      <c r="L949" s="692"/>
      <c r="M949" s="692"/>
      <c r="N949" s="532"/>
      <c r="O949" s="532"/>
      <c r="P949" s="532"/>
      <c r="Q949" s="532"/>
      <c r="R949" s="532"/>
      <c r="S949" s="532"/>
      <c r="T949" s="693"/>
      <c r="U949" s="693"/>
    </row>
    <row r="950">
      <c r="A950" s="692"/>
      <c r="B950" s="532"/>
      <c r="C950" s="532"/>
      <c r="D950" s="692"/>
      <c r="E950" s="692"/>
      <c r="F950" s="692"/>
      <c r="G950" s="692"/>
      <c r="H950" s="692"/>
      <c r="I950" s="692"/>
      <c r="J950" s="532"/>
      <c r="K950" s="692"/>
      <c r="L950" s="692"/>
      <c r="M950" s="692"/>
      <c r="N950" s="532"/>
      <c r="O950" s="532"/>
      <c r="P950" s="532"/>
      <c r="Q950" s="532"/>
      <c r="R950" s="532"/>
      <c r="S950" s="532"/>
      <c r="T950" s="693"/>
      <c r="U950" s="693"/>
    </row>
    <row r="951">
      <c r="A951" s="692"/>
      <c r="B951" s="532"/>
      <c r="C951" s="532"/>
      <c r="D951" s="692"/>
      <c r="E951" s="692"/>
      <c r="F951" s="692"/>
      <c r="G951" s="692"/>
      <c r="H951" s="692"/>
      <c r="I951" s="692"/>
      <c r="J951" s="532"/>
      <c r="K951" s="692"/>
      <c r="L951" s="692"/>
      <c r="M951" s="692"/>
      <c r="N951" s="532"/>
      <c r="O951" s="532"/>
      <c r="P951" s="532"/>
      <c r="Q951" s="532"/>
      <c r="R951" s="532"/>
      <c r="S951" s="532"/>
      <c r="T951" s="693"/>
      <c r="U951" s="693"/>
    </row>
    <row r="952">
      <c r="A952" s="692"/>
      <c r="B952" s="532"/>
      <c r="C952" s="532"/>
      <c r="D952" s="692"/>
      <c r="E952" s="692"/>
      <c r="F952" s="692"/>
      <c r="G952" s="692"/>
      <c r="H952" s="692"/>
      <c r="I952" s="692"/>
      <c r="J952" s="532"/>
      <c r="K952" s="692"/>
      <c r="L952" s="692"/>
      <c r="M952" s="692"/>
      <c r="N952" s="532"/>
      <c r="O952" s="532"/>
      <c r="P952" s="532"/>
      <c r="Q952" s="532"/>
      <c r="R952" s="532"/>
      <c r="S952" s="532"/>
      <c r="T952" s="693"/>
      <c r="U952" s="693"/>
    </row>
    <row r="953">
      <c r="A953" s="692"/>
      <c r="B953" s="532"/>
      <c r="C953" s="532"/>
      <c r="D953" s="692"/>
      <c r="E953" s="692"/>
      <c r="F953" s="692"/>
      <c r="G953" s="692"/>
      <c r="H953" s="692"/>
      <c r="I953" s="692"/>
      <c r="J953" s="532"/>
      <c r="K953" s="692"/>
      <c r="L953" s="692"/>
      <c r="M953" s="692"/>
      <c r="N953" s="532"/>
      <c r="O953" s="532"/>
      <c r="P953" s="532"/>
      <c r="Q953" s="532"/>
      <c r="R953" s="532"/>
      <c r="S953" s="532"/>
      <c r="T953" s="693"/>
      <c r="U953" s="693"/>
    </row>
    <row r="954">
      <c r="A954" s="692"/>
      <c r="B954" s="532"/>
      <c r="C954" s="532"/>
      <c r="D954" s="692"/>
      <c r="E954" s="692"/>
      <c r="F954" s="692"/>
      <c r="G954" s="692"/>
      <c r="H954" s="692"/>
      <c r="I954" s="692"/>
      <c r="J954" s="532"/>
      <c r="K954" s="692"/>
      <c r="L954" s="692"/>
      <c r="M954" s="692"/>
      <c r="N954" s="532"/>
      <c r="O954" s="532"/>
      <c r="P954" s="532"/>
      <c r="Q954" s="532"/>
      <c r="R954" s="532"/>
      <c r="S954" s="532"/>
      <c r="T954" s="693"/>
      <c r="U954" s="693"/>
    </row>
    <row r="955">
      <c r="A955" s="692"/>
      <c r="B955" s="532"/>
      <c r="C955" s="532"/>
      <c r="D955" s="692"/>
      <c r="E955" s="692"/>
      <c r="F955" s="692"/>
      <c r="G955" s="692"/>
      <c r="H955" s="692"/>
      <c r="I955" s="692"/>
      <c r="J955" s="532"/>
      <c r="K955" s="692"/>
      <c r="L955" s="692"/>
      <c r="M955" s="692"/>
      <c r="N955" s="532"/>
      <c r="O955" s="532"/>
      <c r="P955" s="532"/>
      <c r="Q955" s="532"/>
      <c r="R955" s="532"/>
      <c r="S955" s="532"/>
      <c r="T955" s="693"/>
      <c r="U955" s="693"/>
    </row>
    <row r="956">
      <c r="A956" s="692"/>
      <c r="B956" s="532"/>
      <c r="C956" s="532"/>
      <c r="D956" s="692"/>
      <c r="E956" s="692"/>
      <c r="F956" s="692"/>
      <c r="G956" s="692"/>
      <c r="H956" s="692"/>
      <c r="I956" s="692"/>
      <c r="J956" s="532"/>
      <c r="K956" s="692"/>
      <c r="L956" s="692"/>
      <c r="M956" s="692"/>
      <c r="N956" s="532"/>
      <c r="O956" s="532"/>
      <c r="P956" s="532"/>
      <c r="Q956" s="532"/>
      <c r="R956" s="532"/>
      <c r="S956" s="532"/>
      <c r="T956" s="693"/>
      <c r="U956" s="693"/>
    </row>
    <row r="957">
      <c r="A957" s="692"/>
      <c r="B957" s="532"/>
      <c r="C957" s="532"/>
      <c r="D957" s="692"/>
      <c r="E957" s="692"/>
      <c r="F957" s="692"/>
      <c r="G957" s="692"/>
      <c r="H957" s="692"/>
      <c r="I957" s="692"/>
      <c r="J957" s="532"/>
      <c r="K957" s="692"/>
      <c r="L957" s="692"/>
      <c r="M957" s="692"/>
      <c r="N957" s="532"/>
      <c r="O957" s="532"/>
      <c r="P957" s="532"/>
      <c r="Q957" s="532"/>
      <c r="R957" s="532"/>
      <c r="S957" s="532"/>
      <c r="T957" s="693"/>
      <c r="U957" s="693"/>
    </row>
    <row r="958">
      <c r="A958" s="692"/>
      <c r="B958" s="532"/>
      <c r="C958" s="532"/>
      <c r="D958" s="692"/>
      <c r="E958" s="692"/>
      <c r="F958" s="692"/>
      <c r="G958" s="692"/>
      <c r="H958" s="692"/>
      <c r="I958" s="692"/>
      <c r="J958" s="532"/>
      <c r="K958" s="692"/>
      <c r="L958" s="692"/>
      <c r="M958" s="692"/>
      <c r="N958" s="532"/>
      <c r="O958" s="532"/>
      <c r="P958" s="532"/>
      <c r="Q958" s="532"/>
      <c r="R958" s="532"/>
      <c r="S958" s="532"/>
      <c r="T958" s="693"/>
      <c r="U958" s="693"/>
    </row>
    <row r="959">
      <c r="A959" s="692"/>
      <c r="B959" s="532"/>
      <c r="C959" s="532"/>
      <c r="D959" s="692"/>
      <c r="E959" s="692"/>
      <c r="F959" s="692"/>
      <c r="G959" s="692"/>
      <c r="H959" s="692"/>
      <c r="I959" s="692"/>
      <c r="J959" s="532"/>
      <c r="K959" s="692"/>
      <c r="L959" s="692"/>
      <c r="M959" s="692"/>
      <c r="N959" s="532"/>
      <c r="O959" s="532"/>
      <c r="P959" s="532"/>
      <c r="Q959" s="532"/>
      <c r="R959" s="532"/>
      <c r="S959" s="532"/>
      <c r="T959" s="693"/>
      <c r="U959" s="693"/>
    </row>
    <row r="960">
      <c r="A960" s="692"/>
      <c r="B960" s="532"/>
      <c r="C960" s="532"/>
      <c r="D960" s="692"/>
      <c r="E960" s="692"/>
      <c r="F960" s="692"/>
      <c r="G960" s="692"/>
      <c r="H960" s="692"/>
      <c r="I960" s="692"/>
      <c r="J960" s="532"/>
      <c r="K960" s="692"/>
      <c r="L960" s="692"/>
      <c r="M960" s="692"/>
      <c r="N960" s="532"/>
      <c r="O960" s="532"/>
      <c r="P960" s="532"/>
      <c r="Q960" s="532"/>
      <c r="R960" s="532"/>
      <c r="S960" s="532"/>
      <c r="T960" s="693"/>
      <c r="U960" s="693"/>
    </row>
    <row r="961">
      <c r="A961" s="692"/>
      <c r="B961" s="532"/>
      <c r="C961" s="532"/>
      <c r="D961" s="692"/>
      <c r="E961" s="692"/>
      <c r="F961" s="692"/>
      <c r="G961" s="692"/>
      <c r="H961" s="692"/>
      <c r="I961" s="692"/>
      <c r="J961" s="532"/>
      <c r="K961" s="692"/>
      <c r="L961" s="692"/>
      <c r="M961" s="692"/>
      <c r="N961" s="532"/>
      <c r="O961" s="532"/>
      <c r="P961" s="532"/>
      <c r="Q961" s="532"/>
      <c r="R961" s="532"/>
      <c r="S961" s="532"/>
      <c r="T961" s="693"/>
      <c r="U961" s="693"/>
    </row>
    <row r="962">
      <c r="A962" s="692"/>
      <c r="B962" s="532"/>
      <c r="C962" s="532"/>
      <c r="D962" s="692"/>
      <c r="E962" s="692"/>
      <c r="F962" s="692"/>
      <c r="G962" s="692"/>
      <c r="H962" s="692"/>
      <c r="I962" s="692"/>
      <c r="J962" s="532"/>
      <c r="K962" s="692"/>
      <c r="L962" s="692"/>
      <c r="M962" s="692"/>
      <c r="N962" s="532"/>
      <c r="O962" s="532"/>
      <c r="P962" s="532"/>
      <c r="Q962" s="532"/>
      <c r="R962" s="532"/>
      <c r="S962" s="532"/>
      <c r="T962" s="693"/>
      <c r="U962" s="693"/>
    </row>
    <row r="963">
      <c r="A963" s="692"/>
      <c r="B963" s="532"/>
      <c r="C963" s="532"/>
      <c r="D963" s="692"/>
      <c r="E963" s="692"/>
      <c r="F963" s="692"/>
      <c r="G963" s="692"/>
      <c r="H963" s="692"/>
      <c r="I963" s="692"/>
      <c r="J963" s="532"/>
      <c r="K963" s="692"/>
      <c r="L963" s="692"/>
      <c r="M963" s="692"/>
      <c r="N963" s="532"/>
      <c r="O963" s="532"/>
      <c r="P963" s="532"/>
      <c r="Q963" s="532"/>
      <c r="R963" s="532"/>
      <c r="S963" s="532"/>
      <c r="T963" s="693"/>
      <c r="U963" s="693"/>
    </row>
    <row r="964">
      <c r="A964" s="692"/>
      <c r="B964" s="532"/>
      <c r="C964" s="532"/>
      <c r="D964" s="692"/>
      <c r="E964" s="692"/>
      <c r="F964" s="692"/>
      <c r="G964" s="692"/>
      <c r="H964" s="692"/>
      <c r="I964" s="692"/>
      <c r="J964" s="532"/>
      <c r="K964" s="692"/>
      <c r="L964" s="692"/>
      <c r="M964" s="692"/>
      <c r="N964" s="532"/>
      <c r="O964" s="532"/>
      <c r="P964" s="532"/>
      <c r="Q964" s="532"/>
      <c r="R964" s="532"/>
      <c r="S964" s="532"/>
      <c r="T964" s="693"/>
      <c r="U964" s="693"/>
    </row>
    <row r="965">
      <c r="A965" s="692"/>
      <c r="B965" s="532"/>
      <c r="C965" s="532"/>
      <c r="D965" s="692"/>
      <c r="E965" s="692"/>
      <c r="F965" s="692"/>
      <c r="G965" s="692"/>
      <c r="H965" s="692"/>
      <c r="I965" s="692"/>
      <c r="J965" s="532"/>
      <c r="K965" s="692"/>
      <c r="L965" s="692"/>
      <c r="M965" s="692"/>
      <c r="N965" s="532"/>
      <c r="O965" s="532"/>
      <c r="P965" s="532"/>
      <c r="Q965" s="532"/>
      <c r="R965" s="532"/>
      <c r="S965" s="532"/>
      <c r="T965" s="693"/>
      <c r="U965" s="693"/>
    </row>
    <row r="966">
      <c r="A966" s="692"/>
      <c r="B966" s="532"/>
      <c r="C966" s="532"/>
      <c r="D966" s="692"/>
      <c r="E966" s="692"/>
      <c r="F966" s="692"/>
      <c r="G966" s="692"/>
      <c r="H966" s="692"/>
      <c r="I966" s="692"/>
      <c r="J966" s="532"/>
      <c r="K966" s="692"/>
      <c r="L966" s="692"/>
      <c r="M966" s="692"/>
      <c r="N966" s="532"/>
      <c r="O966" s="532"/>
      <c r="P966" s="532"/>
      <c r="Q966" s="532"/>
      <c r="R966" s="532"/>
      <c r="S966" s="532"/>
      <c r="T966" s="693"/>
      <c r="U966" s="693"/>
    </row>
    <row r="967">
      <c r="A967" s="692"/>
      <c r="B967" s="532"/>
      <c r="C967" s="532"/>
      <c r="D967" s="692"/>
      <c r="E967" s="692"/>
      <c r="F967" s="692"/>
      <c r="G967" s="692"/>
      <c r="H967" s="692"/>
      <c r="I967" s="692"/>
      <c r="J967" s="532"/>
      <c r="K967" s="692"/>
      <c r="L967" s="692"/>
      <c r="M967" s="692"/>
      <c r="N967" s="532"/>
      <c r="O967" s="532"/>
      <c r="P967" s="532"/>
      <c r="Q967" s="532"/>
      <c r="R967" s="532"/>
      <c r="S967" s="532"/>
      <c r="T967" s="693"/>
      <c r="U967" s="693"/>
    </row>
    <row r="968">
      <c r="A968" s="692"/>
      <c r="B968" s="532"/>
      <c r="C968" s="532"/>
      <c r="D968" s="692"/>
      <c r="E968" s="692"/>
      <c r="F968" s="692"/>
      <c r="G968" s="692"/>
      <c r="H968" s="692"/>
      <c r="I968" s="692"/>
      <c r="J968" s="532"/>
      <c r="K968" s="692"/>
      <c r="L968" s="692"/>
      <c r="M968" s="692"/>
      <c r="N968" s="532"/>
      <c r="O968" s="532"/>
      <c r="P968" s="532"/>
      <c r="Q968" s="532"/>
      <c r="R968" s="532"/>
      <c r="S968" s="532"/>
      <c r="T968" s="693"/>
      <c r="U968" s="693"/>
    </row>
    <row r="969">
      <c r="A969" s="692"/>
      <c r="B969" s="532"/>
      <c r="C969" s="532"/>
      <c r="D969" s="692"/>
      <c r="E969" s="692"/>
      <c r="F969" s="692"/>
      <c r="G969" s="692"/>
      <c r="H969" s="692"/>
      <c r="I969" s="692"/>
      <c r="J969" s="532"/>
      <c r="K969" s="692"/>
      <c r="L969" s="692"/>
      <c r="M969" s="692"/>
      <c r="N969" s="532"/>
      <c r="O969" s="532"/>
      <c r="P969" s="532"/>
      <c r="Q969" s="532"/>
      <c r="R969" s="532"/>
      <c r="S969" s="532"/>
      <c r="T969" s="693"/>
      <c r="U969" s="693"/>
    </row>
    <row r="970">
      <c r="A970" s="692"/>
      <c r="B970" s="532"/>
      <c r="C970" s="532"/>
      <c r="D970" s="692"/>
      <c r="E970" s="692"/>
      <c r="F970" s="692"/>
      <c r="G970" s="692"/>
      <c r="H970" s="692"/>
      <c r="I970" s="692"/>
      <c r="J970" s="532"/>
      <c r="K970" s="692"/>
      <c r="L970" s="692"/>
      <c r="M970" s="692"/>
      <c r="N970" s="532"/>
      <c r="O970" s="532"/>
      <c r="P970" s="532"/>
      <c r="Q970" s="532"/>
      <c r="R970" s="532"/>
      <c r="S970" s="532"/>
      <c r="T970" s="693"/>
      <c r="U970" s="693"/>
    </row>
    <row r="971">
      <c r="A971" s="692"/>
      <c r="B971" s="532"/>
      <c r="C971" s="532"/>
      <c r="D971" s="692"/>
      <c r="E971" s="692"/>
      <c r="F971" s="692"/>
      <c r="G971" s="692"/>
      <c r="H971" s="692"/>
      <c r="I971" s="692"/>
      <c r="J971" s="532"/>
      <c r="K971" s="692"/>
      <c r="L971" s="692"/>
      <c r="M971" s="692"/>
      <c r="N971" s="532"/>
      <c r="O971" s="532"/>
      <c r="P971" s="532"/>
      <c r="Q971" s="532"/>
      <c r="R971" s="532"/>
      <c r="S971" s="532"/>
      <c r="T971" s="693"/>
      <c r="U971" s="693"/>
    </row>
    <row r="972">
      <c r="A972" s="692"/>
      <c r="B972" s="532"/>
      <c r="C972" s="532"/>
      <c r="D972" s="692"/>
      <c r="E972" s="692"/>
      <c r="F972" s="692"/>
      <c r="G972" s="692"/>
      <c r="H972" s="692"/>
      <c r="I972" s="692"/>
      <c r="J972" s="532"/>
      <c r="K972" s="692"/>
      <c r="L972" s="692"/>
      <c r="M972" s="692"/>
      <c r="N972" s="532"/>
      <c r="O972" s="532"/>
      <c r="P972" s="532"/>
      <c r="Q972" s="532"/>
      <c r="R972" s="532"/>
      <c r="S972" s="532"/>
      <c r="T972" s="693"/>
      <c r="U972" s="693"/>
    </row>
    <row r="973">
      <c r="A973" s="692"/>
      <c r="B973" s="532"/>
      <c r="C973" s="532"/>
      <c r="D973" s="692"/>
      <c r="E973" s="692"/>
      <c r="F973" s="692"/>
      <c r="G973" s="692"/>
      <c r="H973" s="692"/>
      <c r="I973" s="692"/>
      <c r="J973" s="532"/>
      <c r="K973" s="692"/>
      <c r="L973" s="692"/>
      <c r="M973" s="692"/>
      <c r="N973" s="532"/>
      <c r="O973" s="532"/>
      <c r="P973" s="532"/>
      <c r="Q973" s="532"/>
      <c r="R973" s="532"/>
      <c r="S973" s="532"/>
      <c r="T973" s="693"/>
      <c r="U973" s="693"/>
    </row>
    <row r="974">
      <c r="A974" s="692"/>
      <c r="B974" s="532"/>
      <c r="C974" s="532"/>
      <c r="D974" s="692"/>
      <c r="E974" s="692"/>
      <c r="F974" s="692"/>
      <c r="G974" s="692"/>
      <c r="H974" s="692"/>
      <c r="I974" s="692"/>
      <c r="J974" s="532"/>
      <c r="K974" s="692"/>
      <c r="L974" s="692"/>
      <c r="M974" s="692"/>
      <c r="N974" s="532"/>
      <c r="O974" s="532"/>
      <c r="P974" s="532"/>
      <c r="Q974" s="532"/>
      <c r="R974" s="532"/>
      <c r="S974" s="532"/>
      <c r="T974" s="693"/>
      <c r="U974" s="693"/>
    </row>
    <row r="975">
      <c r="A975" s="692"/>
      <c r="B975" s="532"/>
      <c r="C975" s="532"/>
      <c r="D975" s="692"/>
      <c r="E975" s="692"/>
      <c r="F975" s="692"/>
      <c r="G975" s="692"/>
      <c r="H975" s="692"/>
      <c r="I975" s="692"/>
      <c r="J975" s="532"/>
      <c r="K975" s="692"/>
      <c r="L975" s="692"/>
      <c r="M975" s="692"/>
      <c r="N975" s="532"/>
      <c r="O975" s="532"/>
      <c r="P975" s="532"/>
      <c r="Q975" s="532"/>
      <c r="R975" s="532"/>
      <c r="S975" s="532"/>
      <c r="T975" s="693"/>
      <c r="U975" s="693"/>
    </row>
    <row r="976">
      <c r="A976" s="692"/>
      <c r="B976" s="532"/>
      <c r="C976" s="532"/>
      <c r="D976" s="692"/>
      <c r="E976" s="692"/>
      <c r="F976" s="692"/>
      <c r="G976" s="692"/>
      <c r="H976" s="692"/>
      <c r="I976" s="692"/>
      <c r="J976" s="532"/>
      <c r="K976" s="692"/>
      <c r="L976" s="692"/>
      <c r="M976" s="692"/>
      <c r="N976" s="532"/>
      <c r="O976" s="532"/>
      <c r="P976" s="532"/>
      <c r="Q976" s="532"/>
      <c r="R976" s="532"/>
      <c r="S976" s="532"/>
      <c r="T976" s="693"/>
      <c r="U976" s="693"/>
    </row>
    <row r="977">
      <c r="A977" s="692"/>
      <c r="B977" s="532"/>
      <c r="C977" s="532"/>
      <c r="D977" s="692"/>
      <c r="E977" s="692"/>
      <c r="F977" s="692"/>
      <c r="G977" s="692"/>
      <c r="H977" s="692"/>
      <c r="I977" s="692"/>
      <c r="J977" s="532"/>
      <c r="K977" s="692"/>
      <c r="L977" s="692"/>
      <c r="M977" s="692"/>
      <c r="N977" s="532"/>
      <c r="O977" s="532"/>
      <c r="P977" s="532"/>
      <c r="Q977" s="532"/>
      <c r="R977" s="532"/>
      <c r="S977" s="532"/>
      <c r="T977" s="693"/>
      <c r="U977" s="693"/>
    </row>
    <row r="978">
      <c r="A978" s="692"/>
      <c r="B978" s="532"/>
      <c r="C978" s="532"/>
      <c r="D978" s="692"/>
      <c r="E978" s="692"/>
      <c r="F978" s="692"/>
      <c r="G978" s="692"/>
      <c r="H978" s="692"/>
      <c r="I978" s="692"/>
      <c r="J978" s="532"/>
      <c r="K978" s="692"/>
      <c r="L978" s="692"/>
      <c r="M978" s="692"/>
      <c r="N978" s="532"/>
      <c r="O978" s="532"/>
      <c r="P978" s="532"/>
      <c r="Q978" s="532"/>
      <c r="R978" s="532"/>
      <c r="S978" s="532"/>
      <c r="T978" s="693"/>
      <c r="U978" s="693"/>
    </row>
    <row r="979">
      <c r="A979" s="692"/>
      <c r="B979" s="532"/>
      <c r="C979" s="532"/>
      <c r="D979" s="692"/>
      <c r="E979" s="692"/>
      <c r="F979" s="692"/>
      <c r="G979" s="692"/>
      <c r="H979" s="692"/>
      <c r="I979" s="692"/>
      <c r="J979" s="532"/>
      <c r="K979" s="692"/>
      <c r="L979" s="692"/>
      <c r="M979" s="692"/>
      <c r="N979" s="532"/>
      <c r="O979" s="532"/>
      <c r="P979" s="532"/>
      <c r="Q979" s="532"/>
      <c r="R979" s="532"/>
      <c r="S979" s="532"/>
      <c r="T979" s="693"/>
      <c r="U979" s="693"/>
    </row>
    <row r="980">
      <c r="A980" s="692"/>
      <c r="B980" s="532"/>
      <c r="C980" s="532"/>
      <c r="D980" s="692"/>
      <c r="E980" s="692"/>
      <c r="F980" s="692"/>
      <c r="G980" s="692"/>
      <c r="H980" s="692"/>
      <c r="I980" s="692"/>
      <c r="J980" s="532"/>
      <c r="K980" s="692"/>
      <c r="L980" s="692"/>
      <c r="M980" s="692"/>
      <c r="N980" s="532"/>
      <c r="O980" s="532"/>
      <c r="P980" s="532"/>
      <c r="Q980" s="532"/>
      <c r="R980" s="532"/>
      <c r="S980" s="532"/>
      <c r="T980" s="693"/>
      <c r="U980" s="693"/>
    </row>
    <row r="981">
      <c r="A981" s="692"/>
      <c r="B981" s="532"/>
      <c r="C981" s="532"/>
      <c r="D981" s="692"/>
      <c r="E981" s="692"/>
      <c r="F981" s="692"/>
      <c r="G981" s="692"/>
      <c r="H981" s="692"/>
      <c r="I981" s="692"/>
      <c r="J981" s="532"/>
      <c r="K981" s="692"/>
      <c r="L981" s="692"/>
      <c r="M981" s="692"/>
      <c r="N981" s="532"/>
      <c r="O981" s="532"/>
      <c r="P981" s="532"/>
      <c r="Q981" s="532"/>
      <c r="R981" s="532"/>
      <c r="S981" s="532"/>
      <c r="T981" s="693"/>
      <c r="U981" s="693"/>
    </row>
    <row r="982">
      <c r="A982" s="692"/>
      <c r="B982" s="532"/>
      <c r="C982" s="532"/>
      <c r="D982" s="692"/>
      <c r="E982" s="692"/>
      <c r="F982" s="692"/>
      <c r="G982" s="692"/>
      <c r="H982" s="692"/>
      <c r="I982" s="692"/>
      <c r="J982" s="532"/>
      <c r="K982" s="692"/>
      <c r="L982" s="692"/>
      <c r="M982" s="692"/>
      <c r="N982" s="532"/>
      <c r="O982" s="532"/>
      <c r="P982" s="532"/>
      <c r="Q982" s="532"/>
      <c r="R982" s="532"/>
      <c r="S982" s="532"/>
      <c r="T982" s="693"/>
      <c r="U982" s="693"/>
    </row>
    <row r="983">
      <c r="A983" s="692"/>
      <c r="B983" s="532"/>
      <c r="C983" s="532"/>
      <c r="D983" s="692"/>
      <c r="E983" s="692"/>
      <c r="F983" s="692"/>
      <c r="G983" s="692"/>
      <c r="H983" s="692"/>
      <c r="I983" s="692"/>
      <c r="J983" s="532"/>
      <c r="K983" s="692"/>
      <c r="L983" s="692"/>
      <c r="M983" s="692"/>
      <c r="N983" s="532"/>
      <c r="O983" s="532"/>
      <c r="P983" s="532"/>
      <c r="Q983" s="532"/>
      <c r="R983" s="532"/>
      <c r="S983" s="532"/>
      <c r="T983" s="693"/>
      <c r="U983" s="693"/>
    </row>
    <row r="984">
      <c r="A984" s="692"/>
      <c r="B984" s="532"/>
      <c r="C984" s="532"/>
      <c r="D984" s="692"/>
      <c r="E984" s="692"/>
      <c r="F984" s="692"/>
      <c r="G984" s="692"/>
      <c r="H984" s="692"/>
      <c r="I984" s="692"/>
      <c r="J984" s="532"/>
      <c r="K984" s="692"/>
      <c r="L984" s="692"/>
      <c r="M984" s="692"/>
      <c r="N984" s="532"/>
      <c r="O984" s="532"/>
      <c r="P984" s="532"/>
      <c r="Q984" s="532"/>
      <c r="R984" s="532"/>
      <c r="S984" s="532"/>
      <c r="T984" s="693"/>
      <c r="U984" s="693"/>
    </row>
    <row r="985">
      <c r="A985" s="692"/>
      <c r="B985" s="532"/>
      <c r="C985" s="532"/>
      <c r="D985" s="692"/>
      <c r="E985" s="692"/>
      <c r="F985" s="692"/>
      <c r="G985" s="692"/>
      <c r="H985" s="692"/>
      <c r="I985" s="692"/>
      <c r="J985" s="532"/>
      <c r="K985" s="692"/>
      <c r="L985" s="692"/>
      <c r="M985" s="692"/>
      <c r="N985" s="532"/>
      <c r="O985" s="532"/>
      <c r="P985" s="532"/>
      <c r="Q985" s="532"/>
      <c r="R985" s="532"/>
      <c r="S985" s="532"/>
      <c r="T985" s="693"/>
      <c r="U985" s="693"/>
    </row>
    <row r="986">
      <c r="A986" s="692"/>
      <c r="B986" s="532"/>
      <c r="C986" s="532"/>
      <c r="D986" s="692"/>
      <c r="E986" s="692"/>
      <c r="F986" s="692"/>
      <c r="G986" s="692"/>
      <c r="H986" s="692"/>
      <c r="I986" s="692"/>
      <c r="J986" s="532"/>
      <c r="K986" s="692"/>
      <c r="L986" s="692"/>
      <c r="M986" s="692"/>
      <c r="N986" s="532"/>
      <c r="O986" s="532"/>
      <c r="P986" s="532"/>
      <c r="Q986" s="532"/>
      <c r="R986" s="532"/>
      <c r="S986" s="532"/>
      <c r="T986" s="693"/>
      <c r="U986" s="693"/>
    </row>
    <row r="987">
      <c r="A987" s="692"/>
      <c r="B987" s="532"/>
      <c r="C987" s="532"/>
      <c r="D987" s="692"/>
      <c r="E987" s="692"/>
      <c r="F987" s="692"/>
      <c r="G987" s="692"/>
      <c r="H987" s="692"/>
      <c r="I987" s="692"/>
      <c r="J987" s="532"/>
      <c r="K987" s="692"/>
      <c r="L987" s="692"/>
      <c r="M987" s="692"/>
      <c r="N987" s="532"/>
      <c r="O987" s="532"/>
      <c r="P987" s="532"/>
      <c r="Q987" s="532"/>
      <c r="R987" s="532"/>
      <c r="S987" s="532"/>
      <c r="T987" s="693"/>
      <c r="U987" s="693"/>
    </row>
    <row r="988">
      <c r="A988" s="692"/>
      <c r="B988" s="532"/>
      <c r="C988" s="532"/>
      <c r="D988" s="692"/>
      <c r="E988" s="692"/>
      <c r="F988" s="692"/>
      <c r="G988" s="692"/>
      <c r="H988" s="692"/>
      <c r="I988" s="692"/>
      <c r="J988" s="532"/>
      <c r="K988" s="692"/>
      <c r="L988" s="692"/>
      <c r="M988" s="692"/>
      <c r="N988" s="532"/>
      <c r="O988" s="532"/>
      <c r="P988" s="532"/>
      <c r="Q988" s="532"/>
      <c r="R988" s="532"/>
      <c r="S988" s="532"/>
      <c r="T988" s="693"/>
      <c r="U988" s="693"/>
    </row>
    <row r="989">
      <c r="A989" s="692"/>
      <c r="B989" s="532"/>
      <c r="C989" s="532"/>
      <c r="D989" s="692"/>
      <c r="E989" s="692"/>
      <c r="F989" s="692"/>
      <c r="G989" s="692"/>
      <c r="H989" s="692"/>
      <c r="I989" s="692"/>
      <c r="J989" s="532"/>
      <c r="K989" s="692"/>
      <c r="L989" s="692"/>
      <c r="M989" s="692"/>
      <c r="N989" s="532"/>
      <c r="O989" s="532"/>
      <c r="P989" s="532"/>
      <c r="Q989" s="532"/>
      <c r="R989" s="532"/>
      <c r="S989" s="532"/>
      <c r="T989" s="693"/>
      <c r="U989" s="693"/>
    </row>
    <row r="990">
      <c r="A990" s="692"/>
      <c r="B990" s="532"/>
      <c r="C990" s="532"/>
      <c r="D990" s="692"/>
      <c r="E990" s="692"/>
      <c r="F990" s="692"/>
      <c r="G990" s="692"/>
      <c r="H990" s="692"/>
      <c r="I990" s="692"/>
      <c r="J990" s="532"/>
      <c r="K990" s="692"/>
      <c r="L990" s="692"/>
      <c r="M990" s="692"/>
      <c r="N990" s="532"/>
      <c r="O990" s="532"/>
      <c r="P990" s="532"/>
      <c r="Q990" s="532"/>
      <c r="R990" s="532"/>
      <c r="S990" s="532"/>
      <c r="T990" s="693"/>
      <c r="U990" s="693"/>
    </row>
    <row r="991">
      <c r="A991" s="692"/>
      <c r="B991" s="532"/>
      <c r="C991" s="532"/>
      <c r="D991" s="692"/>
      <c r="E991" s="692"/>
      <c r="F991" s="692"/>
      <c r="G991" s="692"/>
      <c r="H991" s="692"/>
      <c r="I991" s="692"/>
      <c r="J991" s="532"/>
      <c r="K991" s="692"/>
      <c r="L991" s="692"/>
      <c r="M991" s="692"/>
      <c r="N991" s="532"/>
      <c r="O991" s="532"/>
      <c r="P991" s="532"/>
      <c r="Q991" s="532"/>
      <c r="R991" s="532"/>
      <c r="S991" s="532"/>
      <c r="T991" s="693"/>
      <c r="U991" s="693"/>
    </row>
    <row r="992">
      <c r="A992" s="692"/>
      <c r="B992" s="532"/>
      <c r="C992" s="532"/>
      <c r="D992" s="692"/>
      <c r="E992" s="692"/>
      <c r="F992" s="692"/>
      <c r="G992" s="692"/>
      <c r="H992" s="692"/>
      <c r="I992" s="692"/>
      <c r="J992" s="532"/>
      <c r="K992" s="692"/>
      <c r="L992" s="692"/>
      <c r="M992" s="692"/>
      <c r="N992" s="532"/>
      <c r="O992" s="532"/>
      <c r="P992" s="532"/>
      <c r="Q992" s="532"/>
      <c r="R992" s="532"/>
      <c r="S992" s="532"/>
      <c r="T992" s="693"/>
      <c r="U992" s="693"/>
    </row>
    <row r="993">
      <c r="A993" s="692"/>
      <c r="B993" s="532"/>
      <c r="C993" s="532"/>
      <c r="D993" s="692"/>
      <c r="E993" s="692"/>
      <c r="F993" s="692"/>
      <c r="G993" s="692"/>
      <c r="H993" s="692"/>
      <c r="I993" s="692"/>
      <c r="J993" s="532"/>
      <c r="K993" s="692"/>
      <c r="L993" s="692"/>
      <c r="M993" s="692"/>
      <c r="N993" s="532"/>
      <c r="O993" s="532"/>
      <c r="P993" s="532"/>
      <c r="Q993" s="532"/>
      <c r="R993" s="532"/>
      <c r="S993" s="532"/>
      <c r="T993" s="693"/>
      <c r="U993" s="693"/>
    </row>
    <row r="994">
      <c r="A994" s="692"/>
      <c r="B994" s="532"/>
      <c r="C994" s="532"/>
      <c r="D994" s="692"/>
      <c r="E994" s="692"/>
      <c r="F994" s="692"/>
      <c r="G994" s="692"/>
      <c r="H994" s="692"/>
      <c r="I994" s="692"/>
      <c r="J994" s="532"/>
      <c r="K994" s="692"/>
      <c r="L994" s="692"/>
      <c r="M994" s="692"/>
      <c r="N994" s="532"/>
      <c r="O994" s="532"/>
      <c r="P994" s="532"/>
      <c r="Q994" s="532"/>
      <c r="R994" s="532"/>
      <c r="S994" s="532"/>
      <c r="T994" s="693"/>
      <c r="U994" s="693"/>
    </row>
    <row r="995">
      <c r="A995" s="692"/>
      <c r="B995" s="532"/>
      <c r="C995" s="532"/>
      <c r="D995" s="692"/>
      <c r="E995" s="692"/>
      <c r="F995" s="692"/>
      <c r="G995" s="692"/>
      <c r="H995" s="692"/>
      <c r="I995" s="692"/>
      <c r="J995" s="532"/>
      <c r="K995" s="692"/>
      <c r="L995" s="692"/>
      <c r="M995" s="692"/>
      <c r="N995" s="532"/>
      <c r="O995" s="532"/>
      <c r="P995" s="532"/>
      <c r="Q995" s="532"/>
      <c r="R995" s="532"/>
      <c r="S995" s="532"/>
      <c r="T995" s="693"/>
      <c r="U995" s="693"/>
    </row>
    <row r="996">
      <c r="A996" s="692"/>
      <c r="B996" s="532"/>
      <c r="C996" s="532"/>
      <c r="D996" s="692"/>
      <c r="E996" s="692"/>
      <c r="F996" s="692"/>
      <c r="G996" s="692"/>
      <c r="H996" s="692"/>
      <c r="I996" s="692"/>
      <c r="J996" s="532"/>
      <c r="K996" s="692"/>
      <c r="L996" s="692"/>
      <c r="M996" s="692"/>
      <c r="N996" s="532"/>
      <c r="O996" s="532"/>
      <c r="P996" s="532"/>
      <c r="Q996" s="532"/>
      <c r="R996" s="532"/>
      <c r="S996" s="532"/>
      <c r="T996" s="693"/>
      <c r="U996" s="693"/>
    </row>
    <row r="997">
      <c r="A997" s="692"/>
      <c r="B997" s="532"/>
      <c r="C997" s="532"/>
      <c r="D997" s="692"/>
      <c r="E997" s="692"/>
      <c r="F997" s="692"/>
      <c r="G997" s="692"/>
      <c r="H997" s="692"/>
      <c r="I997" s="692"/>
      <c r="J997" s="532"/>
      <c r="K997" s="692"/>
      <c r="L997" s="692"/>
      <c r="M997" s="692"/>
      <c r="N997" s="532"/>
      <c r="O997" s="532"/>
      <c r="P997" s="532"/>
      <c r="Q997" s="532"/>
      <c r="R997" s="532"/>
      <c r="S997" s="532"/>
      <c r="T997" s="693"/>
      <c r="U997" s="693"/>
    </row>
    <row r="998">
      <c r="A998" s="692"/>
      <c r="B998" s="532"/>
      <c r="C998" s="532"/>
      <c r="D998" s="692"/>
      <c r="E998" s="692"/>
      <c r="F998" s="692"/>
      <c r="G998" s="692"/>
      <c r="H998" s="692"/>
      <c r="I998" s="692"/>
      <c r="J998" s="532"/>
      <c r="K998" s="692"/>
      <c r="L998" s="692"/>
      <c r="M998" s="692"/>
      <c r="N998" s="532"/>
      <c r="O998" s="532"/>
      <c r="P998" s="532"/>
      <c r="Q998" s="532"/>
      <c r="R998" s="532"/>
      <c r="S998" s="532"/>
      <c r="T998" s="693"/>
      <c r="U998" s="693"/>
    </row>
    <row r="999">
      <c r="A999" s="692"/>
      <c r="B999" s="532"/>
      <c r="C999" s="532"/>
      <c r="D999" s="692"/>
      <c r="E999" s="692"/>
      <c r="F999" s="692"/>
      <c r="G999" s="692"/>
      <c r="H999" s="692"/>
      <c r="I999" s="692"/>
      <c r="J999" s="532"/>
      <c r="K999" s="692"/>
      <c r="L999" s="692"/>
      <c r="M999" s="692"/>
      <c r="N999" s="532"/>
      <c r="O999" s="532"/>
      <c r="P999" s="532"/>
      <c r="Q999" s="532"/>
      <c r="R999" s="532"/>
      <c r="S999" s="532"/>
      <c r="T999" s="693"/>
      <c r="U999" s="693"/>
    </row>
    <row r="1000">
      <c r="A1000" s="692"/>
      <c r="B1000" s="532"/>
      <c r="C1000" s="532"/>
      <c r="D1000" s="692"/>
      <c r="E1000" s="692"/>
      <c r="F1000" s="692"/>
      <c r="G1000" s="692"/>
      <c r="H1000" s="692"/>
      <c r="I1000" s="692"/>
      <c r="J1000" s="532"/>
      <c r="K1000" s="692"/>
      <c r="L1000" s="692"/>
      <c r="M1000" s="692"/>
      <c r="N1000" s="532"/>
      <c r="O1000" s="532"/>
      <c r="P1000" s="532"/>
      <c r="Q1000" s="532"/>
      <c r="R1000" s="532"/>
      <c r="S1000" s="532"/>
      <c r="T1000" s="693"/>
      <c r="U1000" s="693"/>
    </row>
    <row r="1001">
      <c r="A1001" s="692"/>
      <c r="B1001" s="532"/>
      <c r="C1001" s="532"/>
      <c r="D1001" s="692"/>
      <c r="E1001" s="692"/>
      <c r="F1001" s="692"/>
      <c r="G1001" s="692"/>
      <c r="H1001" s="692"/>
      <c r="I1001" s="692"/>
      <c r="J1001" s="532"/>
      <c r="K1001" s="692"/>
      <c r="L1001" s="692"/>
      <c r="M1001" s="692"/>
      <c r="N1001" s="532"/>
      <c r="O1001" s="532"/>
      <c r="P1001" s="532"/>
      <c r="Q1001" s="532"/>
      <c r="R1001" s="532"/>
      <c r="S1001" s="532"/>
      <c r="T1001" s="693"/>
      <c r="U1001" s="693"/>
    </row>
    <row r="1002">
      <c r="A1002" s="692"/>
      <c r="B1002" s="532"/>
      <c r="C1002" s="532"/>
      <c r="D1002" s="692"/>
      <c r="E1002" s="692"/>
      <c r="F1002" s="692"/>
      <c r="G1002" s="692"/>
      <c r="H1002" s="692"/>
      <c r="I1002" s="692"/>
      <c r="J1002" s="532"/>
      <c r="K1002" s="692"/>
      <c r="L1002" s="692"/>
      <c r="M1002" s="692"/>
      <c r="N1002" s="532"/>
      <c r="O1002" s="532"/>
      <c r="P1002" s="532"/>
      <c r="Q1002" s="532"/>
      <c r="R1002" s="532"/>
      <c r="S1002" s="532"/>
      <c r="T1002" s="693"/>
      <c r="U1002" s="693"/>
    </row>
    <row r="1003">
      <c r="A1003" s="692"/>
      <c r="B1003" s="532"/>
      <c r="C1003" s="532"/>
      <c r="D1003" s="692"/>
      <c r="E1003" s="692"/>
      <c r="F1003" s="692"/>
      <c r="G1003" s="692"/>
      <c r="H1003" s="692"/>
      <c r="I1003" s="692"/>
      <c r="J1003" s="532"/>
      <c r="K1003" s="692"/>
      <c r="L1003" s="692"/>
      <c r="M1003" s="692"/>
      <c r="N1003" s="532"/>
      <c r="O1003" s="532"/>
      <c r="P1003" s="532"/>
      <c r="Q1003" s="532"/>
      <c r="R1003" s="532"/>
      <c r="S1003" s="532"/>
      <c r="T1003" s="693"/>
      <c r="U1003" s="693"/>
    </row>
    <row r="1004">
      <c r="A1004" s="692"/>
      <c r="B1004" s="532"/>
      <c r="C1004" s="532"/>
      <c r="D1004" s="692"/>
      <c r="E1004" s="692"/>
      <c r="F1004" s="692"/>
      <c r="G1004" s="692"/>
      <c r="H1004" s="692"/>
      <c r="I1004" s="692"/>
      <c r="J1004" s="532"/>
      <c r="K1004" s="692"/>
      <c r="L1004" s="692"/>
      <c r="M1004" s="692"/>
      <c r="N1004" s="532"/>
      <c r="O1004" s="532"/>
      <c r="P1004" s="532"/>
      <c r="Q1004" s="532"/>
      <c r="R1004" s="532"/>
      <c r="S1004" s="532"/>
      <c r="T1004" s="693"/>
      <c r="U1004" s="693"/>
    </row>
    <row r="1005">
      <c r="A1005" s="692"/>
      <c r="B1005" s="532"/>
      <c r="C1005" s="532"/>
      <c r="D1005" s="692"/>
      <c r="E1005" s="692"/>
      <c r="F1005" s="692"/>
      <c r="G1005" s="692"/>
      <c r="H1005" s="692"/>
      <c r="I1005" s="692"/>
      <c r="J1005" s="532"/>
      <c r="K1005" s="692"/>
      <c r="L1005" s="692"/>
      <c r="M1005" s="692"/>
      <c r="N1005" s="532"/>
      <c r="O1005" s="532"/>
      <c r="P1005" s="532"/>
      <c r="Q1005" s="532"/>
      <c r="R1005" s="532"/>
      <c r="S1005" s="532"/>
      <c r="T1005" s="693"/>
      <c r="U1005" s="693"/>
    </row>
    <row r="1006">
      <c r="A1006" s="692"/>
      <c r="B1006" s="532"/>
      <c r="C1006" s="532"/>
      <c r="D1006" s="692"/>
      <c r="E1006" s="692"/>
      <c r="F1006" s="692"/>
      <c r="G1006" s="692"/>
      <c r="H1006" s="692"/>
      <c r="I1006" s="692"/>
      <c r="J1006" s="532"/>
      <c r="K1006" s="692"/>
      <c r="L1006" s="692"/>
      <c r="M1006" s="692"/>
      <c r="N1006" s="532"/>
      <c r="O1006" s="532"/>
      <c r="P1006" s="532"/>
      <c r="Q1006" s="532"/>
      <c r="R1006" s="532"/>
      <c r="S1006" s="532"/>
      <c r="T1006" s="693"/>
      <c r="U1006" s="693"/>
    </row>
    <row r="1007">
      <c r="A1007" s="692"/>
      <c r="B1007" s="532"/>
      <c r="C1007" s="532"/>
      <c r="D1007" s="692"/>
      <c r="E1007" s="692"/>
      <c r="F1007" s="692"/>
      <c r="G1007" s="692"/>
      <c r="H1007" s="692"/>
      <c r="I1007" s="692"/>
      <c r="J1007" s="532"/>
      <c r="K1007" s="692"/>
      <c r="L1007" s="692"/>
      <c r="M1007" s="692"/>
      <c r="N1007" s="532"/>
      <c r="O1007" s="532"/>
      <c r="P1007" s="532"/>
      <c r="Q1007" s="532"/>
      <c r="R1007" s="532"/>
      <c r="S1007" s="532"/>
      <c r="T1007" s="693"/>
      <c r="U1007" s="693"/>
    </row>
    <row r="1008">
      <c r="A1008" s="692"/>
      <c r="B1008" s="532"/>
      <c r="C1008" s="532"/>
      <c r="D1008" s="692"/>
      <c r="E1008" s="692"/>
      <c r="F1008" s="692"/>
      <c r="G1008" s="692"/>
      <c r="H1008" s="692"/>
      <c r="I1008" s="692"/>
      <c r="J1008" s="532"/>
      <c r="K1008" s="692"/>
      <c r="L1008" s="692"/>
      <c r="M1008" s="692"/>
      <c r="N1008" s="532"/>
      <c r="O1008" s="532"/>
      <c r="P1008" s="532"/>
      <c r="Q1008" s="532"/>
      <c r="R1008" s="532"/>
      <c r="S1008" s="532"/>
      <c r="T1008" s="693"/>
      <c r="U1008" s="693"/>
    </row>
    <row r="1009">
      <c r="A1009" s="692"/>
      <c r="B1009" s="532"/>
      <c r="C1009" s="532"/>
      <c r="D1009" s="692"/>
      <c r="E1009" s="692"/>
      <c r="F1009" s="692"/>
      <c r="G1009" s="692"/>
      <c r="H1009" s="692"/>
      <c r="I1009" s="692"/>
      <c r="J1009" s="532"/>
      <c r="K1009" s="692"/>
      <c r="L1009" s="692"/>
      <c r="M1009" s="692"/>
      <c r="N1009" s="532"/>
      <c r="O1009" s="532"/>
      <c r="P1009" s="532"/>
      <c r="Q1009" s="532"/>
      <c r="R1009" s="532"/>
      <c r="S1009" s="532"/>
      <c r="T1009" s="693"/>
      <c r="U1009" s="693"/>
    </row>
    <row r="1010">
      <c r="A1010" s="692"/>
      <c r="B1010" s="532"/>
      <c r="C1010" s="532"/>
      <c r="D1010" s="692"/>
      <c r="E1010" s="692"/>
      <c r="F1010" s="692"/>
      <c r="G1010" s="692"/>
      <c r="H1010" s="692"/>
      <c r="I1010" s="692"/>
      <c r="J1010" s="532"/>
      <c r="K1010" s="692"/>
      <c r="L1010" s="692"/>
      <c r="M1010" s="692"/>
      <c r="N1010" s="532"/>
      <c r="O1010" s="532"/>
      <c r="P1010" s="532"/>
      <c r="Q1010" s="532"/>
      <c r="R1010" s="532"/>
      <c r="S1010" s="532"/>
      <c r="T1010" s="693"/>
      <c r="U1010" s="693"/>
    </row>
    <row r="1011">
      <c r="A1011" s="692"/>
      <c r="B1011" s="532"/>
      <c r="C1011" s="532"/>
      <c r="D1011" s="692"/>
      <c r="E1011" s="692"/>
      <c r="F1011" s="692"/>
      <c r="G1011" s="692"/>
      <c r="H1011" s="692"/>
      <c r="I1011" s="692"/>
      <c r="J1011" s="532"/>
      <c r="K1011" s="692"/>
      <c r="L1011" s="692"/>
      <c r="M1011" s="692"/>
      <c r="N1011" s="532"/>
      <c r="O1011" s="532"/>
      <c r="P1011" s="532"/>
      <c r="Q1011" s="532"/>
      <c r="R1011" s="532"/>
      <c r="S1011" s="532"/>
      <c r="T1011" s="693"/>
      <c r="U1011" s="693"/>
    </row>
    <row r="1012">
      <c r="A1012" s="692"/>
      <c r="B1012" s="532"/>
      <c r="C1012" s="532"/>
      <c r="D1012" s="692"/>
      <c r="E1012" s="692"/>
      <c r="F1012" s="692"/>
      <c r="G1012" s="692"/>
      <c r="H1012" s="692"/>
      <c r="I1012" s="692"/>
      <c r="J1012" s="532"/>
      <c r="K1012" s="692"/>
      <c r="L1012" s="692"/>
      <c r="M1012" s="692"/>
      <c r="N1012" s="532"/>
      <c r="O1012" s="532"/>
      <c r="P1012" s="532"/>
      <c r="Q1012" s="532"/>
      <c r="R1012" s="532"/>
      <c r="S1012" s="532"/>
      <c r="T1012" s="693"/>
      <c r="U1012" s="693"/>
    </row>
    <row r="1013">
      <c r="A1013" s="692"/>
      <c r="B1013" s="532"/>
      <c r="C1013" s="532"/>
      <c r="D1013" s="692"/>
      <c r="E1013" s="692"/>
      <c r="F1013" s="692"/>
      <c r="G1013" s="692"/>
      <c r="H1013" s="692"/>
      <c r="I1013" s="692"/>
      <c r="J1013" s="532"/>
      <c r="K1013" s="692"/>
      <c r="L1013" s="692"/>
      <c r="M1013" s="692"/>
      <c r="N1013" s="532"/>
      <c r="O1013" s="532"/>
      <c r="P1013" s="532"/>
      <c r="Q1013" s="532"/>
      <c r="R1013" s="532"/>
      <c r="S1013" s="532"/>
      <c r="T1013" s="693"/>
      <c r="U1013" s="693"/>
    </row>
    <row r="1014">
      <c r="A1014" s="692"/>
      <c r="B1014" s="532"/>
      <c r="C1014" s="532"/>
      <c r="D1014" s="692"/>
      <c r="E1014" s="692"/>
      <c r="F1014" s="692"/>
      <c r="G1014" s="692"/>
      <c r="H1014" s="692"/>
      <c r="I1014" s="692"/>
      <c r="J1014" s="532"/>
      <c r="K1014" s="692"/>
      <c r="L1014" s="692"/>
      <c r="M1014" s="692"/>
      <c r="N1014" s="532"/>
      <c r="O1014" s="532"/>
      <c r="P1014" s="532"/>
      <c r="Q1014" s="532"/>
      <c r="R1014" s="532"/>
      <c r="S1014" s="532"/>
      <c r="T1014" s="693"/>
      <c r="U1014" s="693"/>
    </row>
    <row r="1015">
      <c r="A1015" s="692"/>
      <c r="B1015" s="532"/>
      <c r="C1015" s="532"/>
      <c r="D1015" s="692"/>
      <c r="E1015" s="692"/>
      <c r="F1015" s="692"/>
      <c r="G1015" s="692"/>
      <c r="H1015" s="692"/>
      <c r="I1015" s="692"/>
      <c r="J1015" s="532"/>
      <c r="K1015" s="692"/>
      <c r="L1015" s="692"/>
      <c r="M1015" s="692"/>
      <c r="N1015" s="532"/>
      <c r="O1015" s="532"/>
      <c r="P1015" s="532"/>
      <c r="Q1015" s="532"/>
      <c r="R1015" s="532"/>
      <c r="S1015" s="532"/>
      <c r="T1015" s="693"/>
      <c r="U1015" s="693"/>
    </row>
    <row r="1016">
      <c r="A1016" s="692"/>
      <c r="B1016" s="532"/>
      <c r="C1016" s="532"/>
      <c r="D1016" s="692"/>
      <c r="E1016" s="692"/>
      <c r="F1016" s="692"/>
      <c r="G1016" s="692"/>
      <c r="H1016" s="692"/>
      <c r="I1016" s="692"/>
      <c r="J1016" s="532"/>
      <c r="K1016" s="692"/>
      <c r="L1016" s="692"/>
      <c r="M1016" s="692"/>
      <c r="N1016" s="532"/>
      <c r="O1016" s="532"/>
      <c r="P1016" s="532"/>
      <c r="Q1016" s="532"/>
      <c r="R1016" s="532"/>
      <c r="S1016" s="532"/>
      <c r="T1016" s="693"/>
      <c r="U1016" s="693"/>
    </row>
    <row r="1017">
      <c r="A1017" s="692"/>
      <c r="B1017" s="532"/>
      <c r="C1017" s="532"/>
      <c r="D1017" s="692"/>
      <c r="E1017" s="692"/>
      <c r="F1017" s="692"/>
      <c r="G1017" s="692"/>
      <c r="H1017" s="692"/>
      <c r="I1017" s="692"/>
      <c r="J1017" s="532"/>
      <c r="K1017" s="692"/>
      <c r="L1017" s="692"/>
      <c r="M1017" s="692"/>
      <c r="N1017" s="532"/>
      <c r="O1017" s="532"/>
      <c r="P1017" s="532"/>
      <c r="Q1017" s="532"/>
      <c r="R1017" s="532"/>
      <c r="S1017" s="532"/>
      <c r="T1017" s="693"/>
      <c r="U1017" s="693"/>
    </row>
    <row r="1018">
      <c r="A1018" s="692"/>
      <c r="B1018" s="532"/>
      <c r="C1018" s="532"/>
      <c r="D1018" s="692"/>
      <c r="E1018" s="692"/>
      <c r="F1018" s="692"/>
      <c r="G1018" s="692"/>
      <c r="H1018" s="692"/>
      <c r="I1018" s="692"/>
      <c r="J1018" s="532"/>
      <c r="K1018" s="692"/>
      <c r="L1018" s="692"/>
      <c r="M1018" s="692"/>
      <c r="N1018" s="532"/>
      <c r="O1018" s="532"/>
      <c r="P1018" s="532"/>
      <c r="Q1018" s="532"/>
      <c r="R1018" s="532"/>
      <c r="S1018" s="532"/>
      <c r="T1018" s="693"/>
      <c r="U1018" s="693"/>
    </row>
    <row r="1019">
      <c r="A1019" s="692"/>
      <c r="B1019" s="532"/>
      <c r="C1019" s="532"/>
      <c r="D1019" s="692"/>
      <c r="E1019" s="692"/>
      <c r="F1019" s="692"/>
      <c r="G1019" s="692"/>
      <c r="H1019" s="692"/>
      <c r="I1019" s="692"/>
      <c r="J1019" s="532"/>
      <c r="K1019" s="692"/>
      <c r="L1019" s="692"/>
      <c r="M1019" s="692"/>
      <c r="N1019" s="532"/>
      <c r="O1019" s="532"/>
      <c r="P1019" s="532"/>
      <c r="Q1019" s="532"/>
      <c r="R1019" s="532"/>
      <c r="S1019" s="532"/>
      <c r="T1019" s="693"/>
      <c r="U1019" s="693"/>
    </row>
    <row r="1020">
      <c r="A1020" s="692"/>
      <c r="B1020" s="532"/>
      <c r="C1020" s="532"/>
      <c r="D1020" s="692"/>
      <c r="E1020" s="692"/>
      <c r="F1020" s="692"/>
      <c r="G1020" s="692"/>
      <c r="H1020" s="692"/>
      <c r="I1020" s="692"/>
      <c r="J1020" s="532"/>
      <c r="K1020" s="692"/>
      <c r="L1020" s="692"/>
      <c r="M1020" s="692"/>
      <c r="N1020" s="532"/>
      <c r="O1020" s="532"/>
      <c r="P1020" s="532"/>
      <c r="Q1020" s="532"/>
      <c r="R1020" s="532"/>
      <c r="S1020" s="532"/>
      <c r="T1020" s="693"/>
      <c r="U1020" s="693"/>
    </row>
    <row r="1021">
      <c r="A1021" s="692"/>
      <c r="B1021" s="532"/>
      <c r="C1021" s="532"/>
      <c r="D1021" s="692"/>
      <c r="E1021" s="692"/>
      <c r="F1021" s="692"/>
      <c r="G1021" s="692"/>
      <c r="H1021" s="692"/>
      <c r="I1021" s="692"/>
      <c r="J1021" s="532"/>
      <c r="K1021" s="692"/>
      <c r="L1021" s="692"/>
      <c r="M1021" s="692"/>
      <c r="N1021" s="532"/>
      <c r="O1021" s="532"/>
      <c r="P1021" s="532"/>
      <c r="Q1021" s="532"/>
      <c r="R1021" s="532"/>
      <c r="S1021" s="532"/>
      <c r="T1021" s="693"/>
      <c r="U1021" s="693"/>
    </row>
    <row r="1022">
      <c r="A1022" s="692"/>
      <c r="B1022" s="532"/>
      <c r="C1022" s="532"/>
      <c r="D1022" s="692"/>
      <c r="E1022" s="692"/>
      <c r="F1022" s="692"/>
      <c r="G1022" s="692"/>
      <c r="H1022" s="692"/>
      <c r="I1022" s="692"/>
      <c r="J1022" s="532"/>
      <c r="K1022" s="692"/>
      <c r="L1022" s="692"/>
      <c r="M1022" s="692"/>
      <c r="N1022" s="532"/>
      <c r="O1022" s="532"/>
      <c r="P1022" s="532"/>
      <c r="Q1022" s="532"/>
      <c r="R1022" s="532"/>
      <c r="S1022" s="532"/>
      <c r="T1022" s="693"/>
      <c r="U1022" s="693"/>
    </row>
    <row r="1023">
      <c r="A1023" s="692"/>
      <c r="B1023" s="532"/>
      <c r="C1023" s="532"/>
      <c r="D1023" s="692"/>
      <c r="E1023" s="692"/>
      <c r="F1023" s="692"/>
      <c r="G1023" s="692"/>
      <c r="H1023" s="692"/>
      <c r="I1023" s="692"/>
      <c r="J1023" s="532"/>
      <c r="K1023" s="692"/>
      <c r="L1023" s="692"/>
      <c r="M1023" s="692"/>
      <c r="N1023" s="532"/>
      <c r="O1023" s="532"/>
      <c r="P1023" s="532"/>
      <c r="Q1023" s="532"/>
      <c r="R1023" s="532"/>
      <c r="S1023" s="532"/>
      <c r="T1023" s="693"/>
      <c r="U1023" s="693"/>
    </row>
    <row r="1024">
      <c r="A1024" s="692"/>
      <c r="B1024" s="532"/>
      <c r="C1024" s="532"/>
      <c r="D1024" s="692"/>
      <c r="E1024" s="692"/>
      <c r="F1024" s="692"/>
      <c r="G1024" s="692"/>
      <c r="H1024" s="692"/>
      <c r="I1024" s="692"/>
      <c r="J1024" s="532"/>
      <c r="K1024" s="692"/>
      <c r="L1024" s="692"/>
      <c r="M1024" s="692"/>
      <c r="N1024" s="532"/>
      <c r="O1024" s="532"/>
      <c r="P1024" s="532"/>
      <c r="Q1024" s="532"/>
      <c r="R1024" s="532"/>
      <c r="S1024" s="532"/>
      <c r="T1024" s="693"/>
      <c r="U1024" s="693"/>
    </row>
    <row r="1025">
      <c r="A1025" s="692"/>
      <c r="B1025" s="532"/>
      <c r="C1025" s="532"/>
      <c r="D1025" s="692"/>
      <c r="E1025" s="692"/>
      <c r="F1025" s="692"/>
      <c r="G1025" s="692"/>
      <c r="H1025" s="692"/>
      <c r="I1025" s="692"/>
      <c r="J1025" s="532"/>
      <c r="K1025" s="692"/>
      <c r="L1025" s="692"/>
      <c r="M1025" s="692"/>
      <c r="N1025" s="532"/>
      <c r="O1025" s="532"/>
      <c r="P1025" s="532"/>
      <c r="Q1025" s="532"/>
      <c r="R1025" s="532"/>
      <c r="S1025" s="532"/>
      <c r="T1025" s="693"/>
      <c r="U1025" s="693"/>
    </row>
    <row r="1026">
      <c r="A1026" s="692"/>
      <c r="B1026" s="532"/>
      <c r="C1026" s="532"/>
      <c r="D1026" s="692"/>
      <c r="E1026" s="692"/>
      <c r="F1026" s="692"/>
      <c r="G1026" s="692"/>
      <c r="H1026" s="692"/>
      <c r="I1026" s="692"/>
      <c r="J1026" s="532"/>
      <c r="K1026" s="692"/>
      <c r="L1026" s="692"/>
      <c r="M1026" s="692"/>
      <c r="N1026" s="532"/>
      <c r="O1026" s="532"/>
      <c r="P1026" s="532"/>
      <c r="Q1026" s="532"/>
      <c r="R1026" s="532"/>
      <c r="S1026" s="532"/>
      <c r="T1026" s="693"/>
      <c r="U1026" s="693"/>
    </row>
    <row r="1027">
      <c r="A1027" s="692"/>
      <c r="B1027" s="532"/>
      <c r="C1027" s="532"/>
      <c r="D1027" s="692"/>
      <c r="E1027" s="692"/>
      <c r="F1027" s="692"/>
      <c r="G1027" s="692"/>
      <c r="H1027" s="692"/>
      <c r="I1027" s="692"/>
      <c r="J1027" s="532"/>
      <c r="K1027" s="692"/>
      <c r="L1027" s="692"/>
      <c r="M1027" s="692"/>
      <c r="N1027" s="532"/>
      <c r="O1027" s="532"/>
      <c r="P1027" s="532"/>
      <c r="Q1027" s="532"/>
      <c r="R1027" s="532"/>
      <c r="S1027" s="532"/>
      <c r="T1027" s="693"/>
      <c r="U1027" s="693"/>
    </row>
    <row r="1028">
      <c r="A1028" s="692"/>
      <c r="B1028" s="532"/>
      <c r="C1028" s="532"/>
      <c r="D1028" s="692"/>
      <c r="E1028" s="692"/>
      <c r="F1028" s="692"/>
      <c r="G1028" s="692"/>
      <c r="H1028" s="692"/>
      <c r="I1028" s="692"/>
      <c r="J1028" s="532"/>
      <c r="K1028" s="692"/>
      <c r="L1028" s="692"/>
      <c r="M1028" s="692"/>
      <c r="N1028" s="532"/>
      <c r="O1028" s="532"/>
      <c r="P1028" s="532"/>
      <c r="Q1028" s="532"/>
      <c r="R1028" s="532"/>
      <c r="S1028" s="532"/>
      <c r="T1028" s="693"/>
      <c r="U1028" s="693"/>
    </row>
    <row r="1029">
      <c r="A1029" s="692"/>
      <c r="B1029" s="532"/>
      <c r="C1029" s="532"/>
      <c r="D1029" s="692"/>
      <c r="E1029" s="692"/>
      <c r="F1029" s="692"/>
      <c r="G1029" s="692"/>
      <c r="H1029" s="692"/>
      <c r="I1029" s="692"/>
      <c r="J1029" s="532"/>
      <c r="K1029" s="692"/>
      <c r="L1029" s="692"/>
      <c r="M1029" s="692"/>
      <c r="N1029" s="532"/>
      <c r="O1029" s="532"/>
      <c r="P1029" s="532"/>
      <c r="Q1029" s="532"/>
      <c r="R1029" s="532"/>
      <c r="S1029" s="532"/>
      <c r="T1029" s="693"/>
      <c r="U1029" s="693"/>
    </row>
    <row r="1030">
      <c r="A1030" s="692"/>
      <c r="B1030" s="532"/>
      <c r="C1030" s="532"/>
      <c r="D1030" s="692"/>
      <c r="E1030" s="692"/>
      <c r="F1030" s="692"/>
      <c r="G1030" s="692"/>
      <c r="H1030" s="692"/>
      <c r="I1030" s="692"/>
      <c r="J1030" s="532"/>
      <c r="K1030" s="692"/>
      <c r="L1030" s="692"/>
      <c r="M1030" s="692"/>
      <c r="N1030" s="532"/>
      <c r="O1030" s="532"/>
      <c r="P1030" s="532"/>
      <c r="Q1030" s="532"/>
      <c r="R1030" s="532"/>
      <c r="S1030" s="532"/>
      <c r="T1030" s="693"/>
      <c r="U1030" s="693"/>
    </row>
    <row r="1031">
      <c r="A1031" s="692"/>
      <c r="B1031" s="532"/>
      <c r="C1031" s="532"/>
      <c r="D1031" s="692"/>
      <c r="E1031" s="692"/>
      <c r="F1031" s="692"/>
      <c r="G1031" s="692"/>
      <c r="H1031" s="692"/>
      <c r="I1031" s="692"/>
      <c r="J1031" s="532"/>
      <c r="K1031" s="692"/>
      <c r="L1031" s="692"/>
      <c r="M1031" s="692"/>
      <c r="N1031" s="532"/>
      <c r="O1031" s="532"/>
      <c r="P1031" s="532"/>
      <c r="Q1031" s="532"/>
      <c r="R1031" s="532"/>
      <c r="S1031" s="532"/>
      <c r="T1031" s="693"/>
      <c r="U1031" s="693"/>
    </row>
    <row r="1032">
      <c r="A1032" s="692"/>
      <c r="B1032" s="532"/>
      <c r="C1032" s="532"/>
      <c r="D1032" s="692"/>
      <c r="E1032" s="692"/>
      <c r="F1032" s="692"/>
      <c r="G1032" s="692"/>
      <c r="H1032" s="692"/>
      <c r="I1032" s="692"/>
      <c r="J1032" s="532"/>
      <c r="K1032" s="692"/>
      <c r="L1032" s="692"/>
      <c r="M1032" s="692"/>
      <c r="N1032" s="532"/>
      <c r="O1032" s="532"/>
      <c r="P1032" s="532"/>
      <c r="Q1032" s="532"/>
      <c r="R1032" s="532"/>
      <c r="S1032" s="532"/>
      <c r="T1032" s="693"/>
      <c r="U1032" s="693"/>
    </row>
    <row r="1033">
      <c r="A1033" s="692"/>
      <c r="B1033" s="532"/>
      <c r="C1033" s="532"/>
      <c r="D1033" s="692"/>
      <c r="E1033" s="692"/>
      <c r="F1033" s="692"/>
      <c r="G1033" s="692"/>
      <c r="H1033" s="692"/>
      <c r="I1033" s="692"/>
      <c r="J1033" s="532"/>
      <c r="K1033" s="692"/>
      <c r="L1033" s="692"/>
      <c r="M1033" s="692"/>
      <c r="N1033" s="532"/>
      <c r="O1033" s="532"/>
      <c r="P1033" s="532"/>
      <c r="Q1033" s="532"/>
      <c r="R1033" s="532"/>
      <c r="S1033" s="532"/>
      <c r="T1033" s="693"/>
      <c r="U1033" s="693"/>
    </row>
    <row r="1034">
      <c r="A1034" s="692"/>
      <c r="B1034" s="532"/>
      <c r="C1034" s="532"/>
      <c r="D1034" s="692"/>
      <c r="E1034" s="692"/>
      <c r="F1034" s="692"/>
      <c r="G1034" s="692"/>
      <c r="H1034" s="692"/>
      <c r="I1034" s="692"/>
      <c r="J1034" s="532"/>
      <c r="K1034" s="692"/>
      <c r="L1034" s="692"/>
      <c r="M1034" s="692"/>
      <c r="N1034" s="532"/>
      <c r="O1034" s="532"/>
      <c r="P1034" s="532"/>
      <c r="Q1034" s="532"/>
      <c r="R1034" s="532"/>
      <c r="S1034" s="532"/>
      <c r="T1034" s="693"/>
      <c r="U1034" s="693"/>
    </row>
    <row r="1035">
      <c r="A1035" s="692"/>
      <c r="B1035" s="532"/>
      <c r="C1035" s="532"/>
      <c r="D1035" s="692"/>
      <c r="E1035" s="692"/>
      <c r="F1035" s="692"/>
      <c r="G1035" s="692"/>
      <c r="H1035" s="692"/>
      <c r="I1035" s="692"/>
      <c r="J1035" s="532"/>
      <c r="K1035" s="692"/>
      <c r="L1035" s="692"/>
      <c r="M1035" s="692"/>
      <c r="N1035" s="532"/>
      <c r="O1035" s="532"/>
      <c r="P1035" s="532"/>
      <c r="Q1035" s="532"/>
      <c r="R1035" s="532"/>
      <c r="S1035" s="532"/>
      <c r="T1035" s="693"/>
      <c r="U1035" s="693"/>
    </row>
    <row r="1036">
      <c r="A1036" s="692"/>
      <c r="B1036" s="532"/>
      <c r="C1036" s="532"/>
      <c r="D1036" s="692"/>
      <c r="E1036" s="692"/>
      <c r="F1036" s="692"/>
      <c r="G1036" s="692"/>
      <c r="H1036" s="692"/>
      <c r="I1036" s="692"/>
      <c r="J1036" s="532"/>
      <c r="K1036" s="692"/>
      <c r="L1036" s="692"/>
      <c r="M1036" s="692"/>
      <c r="N1036" s="532"/>
      <c r="O1036" s="532"/>
      <c r="P1036" s="532"/>
      <c r="Q1036" s="532"/>
      <c r="R1036" s="532"/>
      <c r="S1036" s="532"/>
      <c r="T1036" s="693"/>
      <c r="U1036" s="693"/>
    </row>
    <row r="1037">
      <c r="A1037" s="692"/>
      <c r="B1037" s="532"/>
      <c r="C1037" s="532"/>
      <c r="D1037" s="692"/>
      <c r="E1037" s="692"/>
      <c r="F1037" s="692"/>
      <c r="G1037" s="692"/>
      <c r="H1037" s="692"/>
      <c r="I1037" s="692"/>
      <c r="J1037" s="532"/>
      <c r="K1037" s="692"/>
      <c r="L1037" s="692"/>
      <c r="M1037" s="692"/>
      <c r="N1037" s="532"/>
      <c r="O1037" s="532"/>
      <c r="P1037" s="532"/>
      <c r="Q1037" s="532"/>
      <c r="R1037" s="532"/>
      <c r="S1037" s="532"/>
      <c r="T1037" s="693"/>
      <c r="U1037" s="693"/>
    </row>
    <row r="1038">
      <c r="A1038" s="692"/>
      <c r="B1038" s="532"/>
      <c r="C1038" s="532"/>
      <c r="D1038" s="692"/>
      <c r="E1038" s="692"/>
      <c r="F1038" s="692"/>
      <c r="G1038" s="692"/>
      <c r="H1038" s="692"/>
      <c r="I1038" s="692"/>
      <c r="J1038" s="532"/>
      <c r="K1038" s="692"/>
      <c r="L1038" s="692"/>
      <c r="M1038" s="692"/>
      <c r="N1038" s="532"/>
      <c r="O1038" s="532"/>
      <c r="P1038" s="532"/>
      <c r="Q1038" s="532"/>
      <c r="R1038" s="532"/>
      <c r="S1038" s="532"/>
      <c r="T1038" s="693"/>
      <c r="U1038" s="693"/>
    </row>
    <row r="1039">
      <c r="A1039" s="692"/>
      <c r="B1039" s="532"/>
      <c r="C1039" s="532"/>
      <c r="D1039" s="692"/>
      <c r="E1039" s="692"/>
      <c r="F1039" s="692"/>
      <c r="G1039" s="692"/>
      <c r="H1039" s="692"/>
      <c r="I1039" s="692"/>
      <c r="J1039" s="532"/>
      <c r="K1039" s="692"/>
      <c r="L1039" s="692"/>
      <c r="M1039" s="692"/>
      <c r="N1039" s="532"/>
      <c r="O1039" s="532"/>
      <c r="P1039" s="532"/>
      <c r="Q1039" s="532"/>
      <c r="R1039" s="532"/>
      <c r="S1039" s="532"/>
      <c r="T1039" s="693"/>
      <c r="U1039" s="693"/>
    </row>
    <row r="1040">
      <c r="A1040" s="692"/>
      <c r="B1040" s="532"/>
      <c r="C1040" s="532"/>
      <c r="D1040" s="692"/>
      <c r="E1040" s="692"/>
      <c r="F1040" s="692"/>
      <c r="G1040" s="692"/>
      <c r="H1040" s="692"/>
      <c r="I1040" s="692"/>
      <c r="J1040" s="532"/>
      <c r="K1040" s="692"/>
      <c r="L1040" s="692"/>
      <c r="M1040" s="692"/>
      <c r="N1040" s="532"/>
      <c r="O1040" s="532"/>
      <c r="P1040" s="532"/>
      <c r="Q1040" s="532"/>
      <c r="R1040" s="532"/>
      <c r="S1040" s="532"/>
      <c r="T1040" s="693"/>
      <c r="U1040" s="693"/>
    </row>
    <row r="1041">
      <c r="A1041" s="692"/>
      <c r="B1041" s="532"/>
      <c r="C1041" s="532"/>
      <c r="D1041" s="692"/>
      <c r="E1041" s="692"/>
      <c r="F1041" s="692"/>
      <c r="G1041" s="692"/>
      <c r="H1041" s="692"/>
      <c r="I1041" s="692"/>
      <c r="J1041" s="532"/>
      <c r="K1041" s="692"/>
      <c r="L1041" s="692"/>
      <c r="M1041" s="692"/>
      <c r="N1041" s="532"/>
      <c r="O1041" s="532"/>
      <c r="P1041" s="532"/>
      <c r="Q1041" s="532"/>
      <c r="R1041" s="532"/>
      <c r="S1041" s="532"/>
      <c r="T1041" s="693"/>
      <c r="U1041" s="693"/>
    </row>
    <row r="1042">
      <c r="A1042" s="692"/>
      <c r="B1042" s="532"/>
      <c r="C1042" s="532"/>
      <c r="D1042" s="692"/>
      <c r="E1042" s="692"/>
      <c r="F1042" s="692"/>
      <c r="G1042" s="692"/>
      <c r="H1042" s="692"/>
      <c r="I1042" s="692"/>
      <c r="J1042" s="532"/>
      <c r="K1042" s="692"/>
      <c r="L1042" s="692"/>
      <c r="M1042" s="692"/>
      <c r="N1042" s="532"/>
      <c r="O1042" s="532"/>
      <c r="P1042" s="532"/>
      <c r="Q1042" s="532"/>
      <c r="R1042" s="532"/>
      <c r="S1042" s="532"/>
      <c r="T1042" s="693"/>
      <c r="U1042" s="693"/>
    </row>
    <row r="1043">
      <c r="A1043" s="692"/>
      <c r="B1043" s="532"/>
      <c r="C1043" s="532"/>
      <c r="D1043" s="692"/>
      <c r="E1043" s="692"/>
      <c r="F1043" s="692"/>
      <c r="G1043" s="692"/>
      <c r="H1043" s="692"/>
      <c r="I1043" s="692"/>
      <c r="J1043" s="532"/>
      <c r="K1043" s="692"/>
      <c r="L1043" s="692"/>
      <c r="M1043" s="692"/>
      <c r="N1043" s="532"/>
      <c r="O1043" s="532"/>
      <c r="P1043" s="532"/>
      <c r="Q1043" s="532"/>
      <c r="R1043" s="532"/>
      <c r="S1043" s="532"/>
      <c r="T1043" s="693"/>
      <c r="U1043" s="693"/>
    </row>
    <row r="1044">
      <c r="A1044" s="692"/>
      <c r="B1044" s="532"/>
      <c r="C1044" s="532"/>
      <c r="D1044" s="692"/>
      <c r="E1044" s="692"/>
      <c r="F1044" s="692"/>
      <c r="G1044" s="692"/>
      <c r="H1044" s="692"/>
      <c r="I1044" s="692"/>
      <c r="J1044" s="532"/>
      <c r="K1044" s="692"/>
      <c r="L1044" s="692"/>
      <c r="M1044" s="692"/>
      <c r="N1044" s="532"/>
      <c r="O1044" s="532"/>
      <c r="P1044" s="532"/>
      <c r="Q1044" s="532"/>
      <c r="R1044" s="532"/>
      <c r="S1044" s="532"/>
      <c r="T1044" s="693"/>
      <c r="U1044" s="693"/>
    </row>
    <row r="1045">
      <c r="A1045" s="692"/>
      <c r="B1045" s="532"/>
      <c r="C1045" s="532"/>
      <c r="D1045" s="692"/>
      <c r="E1045" s="692"/>
      <c r="F1045" s="692"/>
      <c r="G1045" s="692"/>
      <c r="H1045" s="692"/>
      <c r="I1045" s="692"/>
      <c r="J1045" s="532"/>
      <c r="K1045" s="692"/>
      <c r="L1045" s="692"/>
      <c r="M1045" s="692"/>
      <c r="N1045" s="532"/>
      <c r="O1045" s="532"/>
      <c r="P1045" s="532"/>
      <c r="Q1045" s="532"/>
      <c r="R1045" s="532"/>
      <c r="S1045" s="532"/>
      <c r="T1045" s="693"/>
      <c r="U1045" s="693"/>
    </row>
    <row r="1046">
      <c r="A1046" s="692"/>
      <c r="B1046" s="532"/>
      <c r="C1046" s="532"/>
      <c r="D1046" s="692"/>
      <c r="E1046" s="692"/>
      <c r="F1046" s="692"/>
      <c r="G1046" s="692"/>
      <c r="H1046" s="692"/>
      <c r="I1046" s="692"/>
      <c r="J1046" s="532"/>
      <c r="K1046" s="692"/>
      <c r="L1046" s="692"/>
      <c r="M1046" s="692"/>
      <c r="N1046" s="532"/>
      <c r="O1046" s="532"/>
      <c r="P1046" s="532"/>
      <c r="Q1046" s="532"/>
      <c r="R1046" s="532"/>
      <c r="S1046" s="532"/>
      <c r="T1046" s="693"/>
      <c r="U1046" s="693"/>
    </row>
    <row r="1047">
      <c r="A1047" s="692"/>
      <c r="B1047" s="532"/>
      <c r="C1047" s="532"/>
      <c r="D1047" s="692"/>
      <c r="E1047" s="692"/>
      <c r="F1047" s="692"/>
      <c r="G1047" s="692"/>
      <c r="H1047" s="692"/>
      <c r="I1047" s="692"/>
      <c r="J1047" s="532"/>
      <c r="K1047" s="692"/>
      <c r="L1047" s="692"/>
      <c r="M1047" s="692"/>
      <c r="N1047" s="532"/>
      <c r="O1047" s="532"/>
      <c r="P1047" s="532"/>
      <c r="Q1047" s="532"/>
      <c r="R1047" s="532"/>
      <c r="S1047" s="532"/>
      <c r="T1047" s="693"/>
      <c r="U1047" s="693"/>
    </row>
    <row r="1048">
      <c r="A1048" s="692"/>
      <c r="B1048" s="532"/>
      <c r="C1048" s="532"/>
      <c r="D1048" s="692"/>
      <c r="E1048" s="692"/>
      <c r="F1048" s="692"/>
      <c r="G1048" s="692"/>
      <c r="H1048" s="692"/>
      <c r="I1048" s="692"/>
      <c r="J1048" s="532"/>
      <c r="K1048" s="692"/>
      <c r="L1048" s="692"/>
      <c r="M1048" s="692"/>
      <c r="N1048" s="532"/>
      <c r="O1048" s="532"/>
      <c r="P1048" s="532"/>
      <c r="Q1048" s="532"/>
      <c r="R1048" s="532"/>
      <c r="S1048" s="532"/>
      <c r="T1048" s="693"/>
      <c r="U1048" s="693"/>
    </row>
    <row r="1049">
      <c r="A1049" s="692"/>
      <c r="B1049" s="532"/>
      <c r="C1049" s="532"/>
      <c r="D1049" s="692"/>
      <c r="E1049" s="692"/>
      <c r="F1049" s="692"/>
      <c r="G1049" s="692"/>
      <c r="H1049" s="692"/>
      <c r="I1049" s="692"/>
      <c r="J1049" s="532"/>
      <c r="K1049" s="692"/>
      <c r="L1049" s="692"/>
      <c r="M1049" s="692"/>
      <c r="N1049" s="532"/>
      <c r="O1049" s="532"/>
      <c r="P1049" s="532"/>
      <c r="Q1049" s="532"/>
      <c r="R1049" s="532"/>
      <c r="S1049" s="532"/>
      <c r="T1049" s="693"/>
      <c r="U1049" s="693"/>
    </row>
    <row r="1050">
      <c r="A1050" s="692"/>
      <c r="B1050" s="532"/>
      <c r="C1050" s="532"/>
      <c r="D1050" s="692"/>
      <c r="E1050" s="692"/>
      <c r="F1050" s="692"/>
      <c r="G1050" s="692"/>
      <c r="H1050" s="692"/>
      <c r="I1050" s="692"/>
      <c r="J1050" s="532"/>
      <c r="K1050" s="692"/>
      <c r="L1050" s="692"/>
      <c r="M1050" s="692"/>
      <c r="N1050" s="532"/>
      <c r="O1050" s="532"/>
      <c r="P1050" s="532"/>
      <c r="Q1050" s="532"/>
      <c r="R1050" s="532"/>
      <c r="S1050" s="532"/>
      <c r="T1050" s="693"/>
      <c r="U1050" s="693"/>
    </row>
    <row r="1051">
      <c r="A1051" s="692"/>
      <c r="B1051" s="532"/>
      <c r="C1051" s="532"/>
      <c r="D1051" s="692"/>
      <c r="E1051" s="692"/>
      <c r="F1051" s="692"/>
      <c r="G1051" s="692"/>
      <c r="H1051" s="692"/>
      <c r="I1051" s="692"/>
      <c r="J1051" s="532"/>
      <c r="K1051" s="692"/>
      <c r="L1051" s="692"/>
      <c r="M1051" s="692"/>
      <c r="N1051" s="532"/>
      <c r="O1051" s="532"/>
      <c r="P1051" s="532"/>
      <c r="Q1051" s="532"/>
      <c r="R1051" s="532"/>
      <c r="S1051" s="532"/>
      <c r="T1051" s="693"/>
      <c r="U1051" s="693"/>
    </row>
    <row r="1052">
      <c r="A1052" s="692"/>
      <c r="B1052" s="532"/>
      <c r="C1052" s="532"/>
      <c r="D1052" s="692"/>
      <c r="E1052" s="692"/>
      <c r="F1052" s="692"/>
      <c r="G1052" s="692"/>
      <c r="H1052" s="692"/>
      <c r="I1052" s="692"/>
      <c r="J1052" s="532"/>
      <c r="K1052" s="692"/>
      <c r="L1052" s="692"/>
      <c r="M1052" s="692"/>
      <c r="N1052" s="532"/>
      <c r="O1052" s="532"/>
      <c r="P1052" s="532"/>
      <c r="Q1052" s="532"/>
      <c r="R1052" s="532"/>
      <c r="S1052" s="532"/>
      <c r="T1052" s="693"/>
      <c r="U1052" s="693"/>
    </row>
    <row r="1053">
      <c r="A1053" s="692"/>
      <c r="B1053" s="532"/>
      <c r="C1053" s="532"/>
      <c r="D1053" s="692"/>
      <c r="E1053" s="692"/>
      <c r="F1053" s="692"/>
      <c r="G1053" s="692"/>
      <c r="H1053" s="692"/>
      <c r="I1053" s="692"/>
      <c r="J1053" s="532"/>
      <c r="K1053" s="692"/>
      <c r="L1053" s="692"/>
      <c r="M1053" s="692"/>
      <c r="N1053" s="532"/>
      <c r="O1053" s="532"/>
      <c r="P1053" s="532"/>
      <c r="Q1053" s="532"/>
      <c r="R1053" s="532"/>
      <c r="S1053" s="532"/>
      <c r="T1053" s="693"/>
      <c r="U1053" s="693"/>
    </row>
    <row r="1054">
      <c r="A1054" s="692"/>
      <c r="B1054" s="532"/>
      <c r="C1054" s="532"/>
      <c r="D1054" s="692"/>
      <c r="E1054" s="692"/>
      <c r="F1054" s="692"/>
      <c r="G1054" s="692"/>
      <c r="H1054" s="692"/>
      <c r="I1054" s="692"/>
      <c r="J1054" s="532"/>
      <c r="K1054" s="692"/>
      <c r="L1054" s="692"/>
      <c r="M1054" s="692"/>
      <c r="N1054" s="532"/>
      <c r="O1054" s="532"/>
      <c r="P1054" s="532"/>
      <c r="Q1054" s="532"/>
      <c r="R1054" s="532"/>
      <c r="S1054" s="532"/>
      <c r="T1054" s="693"/>
      <c r="U1054" s="693"/>
    </row>
    <row r="1055">
      <c r="A1055" s="692"/>
      <c r="B1055" s="532"/>
      <c r="C1055" s="532"/>
      <c r="D1055" s="692"/>
      <c r="E1055" s="692"/>
      <c r="F1055" s="692"/>
      <c r="G1055" s="692"/>
      <c r="H1055" s="692"/>
      <c r="I1055" s="692"/>
      <c r="J1055" s="532"/>
      <c r="K1055" s="692"/>
      <c r="L1055" s="692"/>
      <c r="M1055" s="692"/>
      <c r="N1055" s="532"/>
      <c r="O1055" s="532"/>
      <c r="P1055" s="532"/>
      <c r="Q1055" s="532"/>
      <c r="R1055" s="532"/>
      <c r="S1055" s="532"/>
      <c r="T1055" s="693"/>
      <c r="U1055" s="693"/>
    </row>
    <row r="1056">
      <c r="A1056" s="692"/>
      <c r="B1056" s="532"/>
      <c r="C1056" s="532"/>
      <c r="D1056" s="692"/>
      <c r="E1056" s="692"/>
      <c r="F1056" s="692"/>
      <c r="G1056" s="692"/>
      <c r="H1056" s="692"/>
      <c r="I1056" s="692"/>
      <c r="J1056" s="532"/>
      <c r="K1056" s="692"/>
      <c r="L1056" s="692"/>
      <c r="M1056" s="692"/>
      <c r="N1056" s="532"/>
      <c r="O1056" s="532"/>
      <c r="P1056" s="532"/>
      <c r="Q1056" s="532"/>
      <c r="R1056" s="532"/>
      <c r="S1056" s="532"/>
      <c r="T1056" s="693"/>
      <c r="U1056" s="693"/>
    </row>
    <row r="1057">
      <c r="A1057" s="692"/>
      <c r="B1057" s="532"/>
      <c r="C1057" s="532"/>
      <c r="D1057" s="692"/>
      <c r="E1057" s="692"/>
      <c r="F1057" s="692"/>
      <c r="G1057" s="692"/>
      <c r="H1057" s="692"/>
      <c r="I1057" s="692"/>
      <c r="J1057" s="532"/>
      <c r="K1057" s="692"/>
      <c r="L1057" s="692"/>
      <c r="M1057" s="692"/>
      <c r="N1057" s="532"/>
      <c r="O1057" s="532"/>
      <c r="P1057" s="532"/>
      <c r="Q1057" s="532"/>
      <c r="R1057" s="532"/>
      <c r="S1057" s="532"/>
      <c r="T1057" s="693"/>
      <c r="U1057" s="693"/>
    </row>
    <row r="1058">
      <c r="A1058" s="692"/>
      <c r="B1058" s="532"/>
      <c r="C1058" s="532"/>
      <c r="D1058" s="692"/>
      <c r="E1058" s="692"/>
      <c r="F1058" s="692"/>
      <c r="G1058" s="692"/>
      <c r="H1058" s="692"/>
      <c r="I1058" s="692"/>
      <c r="J1058" s="532"/>
      <c r="K1058" s="692"/>
      <c r="L1058" s="692"/>
      <c r="M1058" s="692"/>
      <c r="N1058" s="532"/>
      <c r="O1058" s="532"/>
      <c r="P1058" s="532"/>
      <c r="Q1058" s="532"/>
      <c r="R1058" s="532"/>
      <c r="S1058" s="532"/>
      <c r="T1058" s="693"/>
      <c r="U1058" s="693"/>
    </row>
    <row r="1059">
      <c r="A1059" s="692"/>
      <c r="B1059" s="532"/>
      <c r="C1059" s="532"/>
      <c r="D1059" s="692"/>
      <c r="E1059" s="692"/>
      <c r="F1059" s="692"/>
      <c r="G1059" s="692"/>
      <c r="H1059" s="692"/>
      <c r="I1059" s="692"/>
      <c r="J1059" s="532"/>
      <c r="K1059" s="692"/>
      <c r="L1059" s="692"/>
      <c r="M1059" s="692"/>
      <c r="N1059" s="532"/>
      <c r="O1059" s="532"/>
      <c r="P1059" s="532"/>
      <c r="Q1059" s="532"/>
      <c r="R1059" s="532"/>
      <c r="S1059" s="532"/>
      <c r="T1059" s="693"/>
      <c r="U1059" s="693"/>
    </row>
    <row r="1060">
      <c r="A1060" s="692"/>
      <c r="B1060" s="532"/>
      <c r="C1060" s="532"/>
      <c r="D1060" s="692"/>
      <c r="E1060" s="692"/>
      <c r="F1060" s="692"/>
      <c r="G1060" s="692"/>
      <c r="H1060" s="692"/>
      <c r="I1060" s="692"/>
      <c r="J1060" s="532"/>
      <c r="K1060" s="692"/>
      <c r="L1060" s="692"/>
      <c r="M1060" s="692"/>
      <c r="N1060" s="532"/>
      <c r="O1060" s="532"/>
      <c r="P1060" s="532"/>
      <c r="Q1060" s="532"/>
      <c r="R1060" s="532"/>
      <c r="S1060" s="532"/>
      <c r="T1060" s="693"/>
      <c r="U1060" s="693"/>
    </row>
    <row r="1061">
      <c r="A1061" s="692"/>
      <c r="B1061" s="532"/>
      <c r="C1061" s="532"/>
      <c r="D1061" s="692"/>
      <c r="E1061" s="692"/>
      <c r="F1061" s="692"/>
      <c r="G1061" s="692"/>
      <c r="H1061" s="692"/>
      <c r="I1061" s="692"/>
      <c r="J1061" s="532"/>
      <c r="K1061" s="692"/>
      <c r="L1061" s="692"/>
      <c r="M1061" s="692"/>
      <c r="N1061" s="532"/>
      <c r="O1061" s="532"/>
      <c r="P1061" s="532"/>
      <c r="Q1061" s="532"/>
      <c r="R1061" s="532"/>
      <c r="S1061" s="532"/>
      <c r="T1061" s="693"/>
      <c r="U1061" s="693"/>
    </row>
    <row r="1062">
      <c r="A1062" s="692"/>
      <c r="B1062" s="532"/>
      <c r="C1062" s="532"/>
      <c r="D1062" s="692"/>
      <c r="E1062" s="692"/>
      <c r="F1062" s="692"/>
      <c r="G1062" s="692"/>
      <c r="H1062" s="692"/>
      <c r="I1062" s="692"/>
      <c r="J1062" s="532"/>
      <c r="K1062" s="692"/>
      <c r="L1062" s="692"/>
      <c r="M1062" s="692"/>
      <c r="N1062" s="532"/>
      <c r="O1062" s="532"/>
      <c r="P1062" s="532"/>
      <c r="Q1062" s="532"/>
      <c r="R1062" s="532"/>
      <c r="S1062" s="532"/>
      <c r="T1062" s="693"/>
      <c r="U1062" s="693"/>
    </row>
    <row r="1063">
      <c r="A1063" s="692"/>
      <c r="B1063" s="532"/>
      <c r="C1063" s="532"/>
      <c r="D1063" s="692"/>
      <c r="E1063" s="692"/>
      <c r="F1063" s="692"/>
      <c r="G1063" s="692"/>
      <c r="H1063" s="692"/>
      <c r="I1063" s="692"/>
      <c r="J1063" s="532"/>
      <c r="K1063" s="692"/>
      <c r="L1063" s="692"/>
      <c r="M1063" s="692"/>
      <c r="N1063" s="532"/>
      <c r="O1063" s="532"/>
      <c r="P1063" s="532"/>
      <c r="Q1063" s="532"/>
      <c r="R1063" s="532"/>
      <c r="S1063" s="532"/>
      <c r="T1063" s="693"/>
      <c r="U1063" s="693"/>
    </row>
    <row r="1064">
      <c r="A1064" s="692"/>
      <c r="B1064" s="532"/>
      <c r="C1064" s="532"/>
      <c r="D1064" s="692"/>
      <c r="E1064" s="692"/>
      <c r="F1064" s="692"/>
      <c r="G1064" s="692"/>
      <c r="H1064" s="692"/>
      <c r="I1064" s="692"/>
      <c r="J1064" s="532"/>
      <c r="K1064" s="692"/>
      <c r="L1064" s="692"/>
      <c r="M1064" s="692"/>
      <c r="N1064" s="532"/>
      <c r="O1064" s="532"/>
      <c r="P1064" s="532"/>
      <c r="Q1064" s="532"/>
      <c r="R1064" s="532"/>
      <c r="S1064" s="532"/>
      <c r="T1064" s="693"/>
      <c r="U1064" s="693"/>
    </row>
    <row r="1065">
      <c r="A1065" s="692"/>
      <c r="B1065" s="532"/>
      <c r="C1065" s="532"/>
      <c r="D1065" s="692"/>
      <c r="E1065" s="692"/>
      <c r="F1065" s="692"/>
      <c r="G1065" s="692"/>
      <c r="H1065" s="692"/>
      <c r="I1065" s="692"/>
      <c r="J1065" s="532"/>
      <c r="K1065" s="692"/>
      <c r="L1065" s="692"/>
      <c r="M1065" s="692"/>
      <c r="N1065" s="532"/>
      <c r="O1065" s="532"/>
      <c r="P1065" s="532"/>
      <c r="Q1065" s="532"/>
      <c r="R1065" s="532"/>
      <c r="S1065" s="532"/>
      <c r="T1065" s="693"/>
      <c r="U1065" s="693"/>
    </row>
    <row r="1066">
      <c r="A1066" s="692"/>
      <c r="B1066" s="532"/>
      <c r="C1066" s="532"/>
      <c r="D1066" s="692"/>
      <c r="E1066" s="692"/>
      <c r="F1066" s="692"/>
      <c r="G1066" s="692"/>
      <c r="H1066" s="692"/>
      <c r="I1066" s="692"/>
      <c r="J1066" s="532"/>
      <c r="K1066" s="692"/>
      <c r="L1066" s="692"/>
      <c r="M1066" s="692"/>
      <c r="N1066" s="532"/>
      <c r="O1066" s="532"/>
      <c r="P1066" s="532"/>
      <c r="Q1066" s="532"/>
      <c r="R1066" s="532"/>
      <c r="S1066" s="532"/>
      <c r="T1066" s="693"/>
      <c r="U1066" s="693"/>
    </row>
    <row r="1067">
      <c r="A1067" s="692"/>
      <c r="B1067" s="532"/>
      <c r="C1067" s="532"/>
      <c r="D1067" s="692"/>
      <c r="E1067" s="692"/>
      <c r="F1067" s="692"/>
      <c r="G1067" s="692"/>
      <c r="H1067" s="692"/>
      <c r="I1067" s="692"/>
      <c r="J1067" s="532"/>
      <c r="K1067" s="692"/>
      <c r="L1067" s="692"/>
      <c r="M1067" s="692"/>
      <c r="N1067" s="532"/>
      <c r="O1067" s="532"/>
      <c r="P1067" s="532"/>
      <c r="Q1067" s="532"/>
      <c r="R1067" s="532"/>
      <c r="S1067" s="532"/>
      <c r="T1067" s="693"/>
      <c r="U1067" s="693"/>
    </row>
    <row r="1068">
      <c r="A1068" s="692"/>
      <c r="B1068" s="532"/>
      <c r="C1068" s="532"/>
      <c r="D1068" s="692"/>
      <c r="E1068" s="692"/>
      <c r="F1068" s="692"/>
      <c r="G1068" s="692"/>
      <c r="H1068" s="692"/>
      <c r="I1068" s="692"/>
      <c r="J1068" s="532"/>
      <c r="K1068" s="692"/>
      <c r="L1068" s="692"/>
      <c r="M1068" s="692"/>
      <c r="N1068" s="532"/>
      <c r="O1068" s="532"/>
      <c r="P1068" s="532"/>
      <c r="Q1068" s="532"/>
      <c r="R1068" s="532"/>
      <c r="S1068" s="532"/>
      <c r="T1068" s="693"/>
      <c r="U1068" s="693"/>
    </row>
    <row r="1069">
      <c r="A1069" s="692"/>
      <c r="B1069" s="532"/>
      <c r="C1069" s="532"/>
      <c r="D1069" s="692"/>
      <c r="E1069" s="692"/>
      <c r="F1069" s="692"/>
      <c r="G1069" s="692"/>
      <c r="H1069" s="692"/>
      <c r="I1069" s="692"/>
      <c r="J1069" s="532"/>
      <c r="K1069" s="692"/>
      <c r="L1069" s="692"/>
      <c r="M1069" s="692"/>
      <c r="N1069" s="532"/>
      <c r="O1069" s="532"/>
      <c r="P1069" s="532"/>
      <c r="Q1069" s="532"/>
      <c r="R1069" s="532"/>
      <c r="S1069" s="532"/>
      <c r="T1069" s="693"/>
      <c r="U1069" s="693"/>
    </row>
    <row r="1070">
      <c r="A1070" s="692"/>
      <c r="B1070" s="532"/>
      <c r="C1070" s="532"/>
      <c r="D1070" s="692"/>
      <c r="E1070" s="692"/>
      <c r="F1070" s="692"/>
      <c r="G1070" s="692"/>
      <c r="H1070" s="692"/>
      <c r="I1070" s="692"/>
      <c r="J1070" s="532"/>
      <c r="K1070" s="692"/>
      <c r="L1070" s="692"/>
      <c r="M1070" s="692"/>
      <c r="N1070" s="532"/>
      <c r="O1070" s="532"/>
      <c r="P1070" s="532"/>
      <c r="Q1070" s="532"/>
      <c r="R1070" s="532"/>
      <c r="S1070" s="532"/>
      <c r="T1070" s="693"/>
      <c r="U1070" s="693"/>
    </row>
    <row r="1071">
      <c r="A1071" s="692"/>
      <c r="B1071" s="532"/>
      <c r="C1071" s="532"/>
      <c r="D1071" s="692"/>
      <c r="E1071" s="692"/>
      <c r="F1071" s="692"/>
      <c r="G1071" s="692"/>
      <c r="H1071" s="692"/>
      <c r="I1071" s="692"/>
      <c r="J1071" s="532"/>
      <c r="K1071" s="692"/>
      <c r="L1071" s="692"/>
      <c r="M1071" s="692"/>
      <c r="N1071" s="532"/>
      <c r="O1071" s="532"/>
      <c r="P1071" s="532"/>
      <c r="Q1071" s="532"/>
      <c r="R1071" s="532"/>
      <c r="S1071" s="532"/>
      <c r="T1071" s="693"/>
      <c r="U1071" s="693"/>
    </row>
    <row r="1072">
      <c r="A1072" s="692"/>
      <c r="B1072" s="532"/>
      <c r="C1072" s="532"/>
      <c r="D1072" s="692"/>
      <c r="E1072" s="692"/>
      <c r="F1072" s="692"/>
      <c r="G1072" s="692"/>
      <c r="H1072" s="692"/>
      <c r="I1072" s="692"/>
      <c r="J1072" s="532"/>
      <c r="K1072" s="692"/>
      <c r="L1072" s="692"/>
      <c r="M1072" s="692"/>
      <c r="N1072" s="532"/>
      <c r="O1072" s="532"/>
      <c r="P1072" s="532"/>
      <c r="Q1072" s="532"/>
      <c r="R1072" s="532"/>
      <c r="S1072" s="532"/>
      <c r="T1072" s="693"/>
      <c r="U1072" s="693"/>
    </row>
    <row r="1073">
      <c r="A1073" s="692"/>
      <c r="B1073" s="532"/>
      <c r="C1073" s="532"/>
      <c r="D1073" s="692"/>
      <c r="E1073" s="692"/>
      <c r="F1073" s="692"/>
      <c r="G1073" s="692"/>
      <c r="H1073" s="692"/>
      <c r="I1073" s="692"/>
      <c r="J1073" s="532"/>
      <c r="K1073" s="692"/>
      <c r="L1073" s="692"/>
      <c r="M1073" s="692"/>
      <c r="N1073" s="532"/>
      <c r="O1073" s="532"/>
      <c r="P1073" s="532"/>
      <c r="Q1073" s="532"/>
      <c r="R1073" s="532"/>
      <c r="S1073" s="532"/>
      <c r="T1073" s="693"/>
      <c r="U1073" s="693"/>
    </row>
    <row r="1074">
      <c r="A1074" s="692"/>
      <c r="B1074" s="532"/>
      <c r="C1074" s="532"/>
      <c r="D1074" s="692"/>
      <c r="E1074" s="692"/>
      <c r="F1074" s="692"/>
      <c r="G1074" s="692"/>
      <c r="H1074" s="692"/>
      <c r="I1074" s="692"/>
      <c r="J1074" s="532"/>
      <c r="K1074" s="692"/>
      <c r="L1074" s="692"/>
      <c r="M1074" s="692"/>
      <c r="N1074" s="532"/>
      <c r="O1074" s="532"/>
      <c r="P1074" s="532"/>
      <c r="Q1074" s="532"/>
      <c r="R1074" s="532"/>
      <c r="S1074" s="532"/>
      <c r="T1074" s="693"/>
      <c r="U1074" s="693"/>
    </row>
    <row r="1075">
      <c r="A1075" s="692"/>
      <c r="B1075" s="532"/>
      <c r="C1075" s="532"/>
      <c r="D1075" s="692"/>
      <c r="E1075" s="692"/>
      <c r="F1075" s="692"/>
      <c r="G1075" s="692"/>
      <c r="H1075" s="692"/>
      <c r="I1075" s="692"/>
      <c r="J1075" s="532"/>
      <c r="K1075" s="692"/>
      <c r="L1075" s="692"/>
      <c r="M1075" s="692"/>
      <c r="N1075" s="532"/>
      <c r="O1075" s="532"/>
      <c r="P1075" s="532"/>
      <c r="Q1075" s="532"/>
      <c r="R1075" s="532"/>
      <c r="S1075" s="532"/>
      <c r="T1075" s="693"/>
      <c r="U1075" s="693"/>
    </row>
    <row r="1076">
      <c r="A1076" s="692"/>
      <c r="B1076" s="532"/>
      <c r="C1076" s="532"/>
      <c r="D1076" s="692"/>
      <c r="E1076" s="692"/>
      <c r="F1076" s="692"/>
      <c r="G1076" s="692"/>
      <c r="H1076" s="692"/>
      <c r="I1076" s="692"/>
      <c r="J1076" s="532"/>
      <c r="K1076" s="692"/>
      <c r="L1076" s="692"/>
      <c r="M1076" s="692"/>
      <c r="N1076" s="532"/>
      <c r="O1076" s="532"/>
      <c r="P1076" s="532"/>
      <c r="Q1076" s="532"/>
      <c r="R1076" s="532"/>
      <c r="S1076" s="532"/>
      <c r="T1076" s="693"/>
      <c r="U1076" s="693"/>
    </row>
    <row r="1077">
      <c r="A1077" s="692"/>
      <c r="B1077" s="532"/>
      <c r="C1077" s="532"/>
      <c r="D1077" s="692"/>
      <c r="E1077" s="692"/>
      <c r="F1077" s="692"/>
      <c r="G1077" s="692"/>
      <c r="H1077" s="692"/>
      <c r="I1077" s="692"/>
      <c r="J1077" s="532"/>
      <c r="K1077" s="692"/>
      <c r="L1077" s="692"/>
      <c r="M1077" s="692"/>
      <c r="N1077" s="532"/>
      <c r="O1077" s="532"/>
      <c r="P1077" s="532"/>
      <c r="Q1077" s="532"/>
      <c r="R1077" s="532"/>
      <c r="S1077" s="532"/>
      <c r="T1077" s="693"/>
      <c r="U1077" s="693"/>
    </row>
    <row r="1078">
      <c r="A1078" s="692"/>
      <c r="B1078" s="532"/>
      <c r="C1078" s="532"/>
      <c r="D1078" s="692"/>
      <c r="E1078" s="692"/>
      <c r="F1078" s="692"/>
      <c r="G1078" s="692"/>
      <c r="H1078" s="692"/>
      <c r="I1078" s="692"/>
      <c r="J1078" s="532"/>
      <c r="K1078" s="692"/>
      <c r="L1078" s="692"/>
      <c r="M1078" s="692"/>
      <c r="N1078" s="532"/>
      <c r="O1078" s="532"/>
      <c r="P1078" s="532"/>
      <c r="Q1078" s="532"/>
      <c r="R1078" s="532"/>
      <c r="S1078" s="532"/>
      <c r="T1078" s="693"/>
      <c r="U1078" s="693"/>
    </row>
    <row r="1079">
      <c r="A1079" s="692"/>
      <c r="B1079" s="532"/>
      <c r="C1079" s="532"/>
      <c r="D1079" s="692"/>
      <c r="E1079" s="692"/>
      <c r="F1079" s="692"/>
      <c r="G1079" s="692"/>
      <c r="H1079" s="692"/>
      <c r="I1079" s="692"/>
      <c r="J1079" s="532"/>
      <c r="K1079" s="692"/>
      <c r="L1079" s="692"/>
      <c r="M1079" s="692"/>
      <c r="N1079" s="532"/>
      <c r="O1079" s="532"/>
      <c r="P1079" s="532"/>
      <c r="Q1079" s="532"/>
      <c r="R1079" s="532"/>
      <c r="S1079" s="532"/>
      <c r="T1079" s="693"/>
      <c r="U1079" s="693"/>
    </row>
    <row r="1080">
      <c r="A1080" s="692"/>
      <c r="B1080" s="532"/>
      <c r="C1080" s="532"/>
      <c r="D1080" s="692"/>
      <c r="E1080" s="692"/>
      <c r="F1080" s="692"/>
      <c r="G1080" s="692"/>
      <c r="H1080" s="692"/>
      <c r="I1080" s="692"/>
      <c r="J1080" s="532"/>
      <c r="K1080" s="692"/>
      <c r="L1080" s="692"/>
      <c r="M1080" s="692"/>
      <c r="N1080" s="532"/>
      <c r="O1080" s="532"/>
      <c r="P1080" s="532"/>
      <c r="Q1080" s="532"/>
      <c r="R1080" s="532"/>
      <c r="S1080" s="532"/>
      <c r="T1080" s="693"/>
      <c r="U1080" s="693"/>
    </row>
    <row r="1081">
      <c r="A1081" s="692"/>
      <c r="B1081" s="532"/>
      <c r="C1081" s="532"/>
      <c r="D1081" s="692"/>
      <c r="E1081" s="692"/>
      <c r="F1081" s="692"/>
      <c r="G1081" s="692"/>
      <c r="H1081" s="692"/>
      <c r="I1081" s="692"/>
      <c r="J1081" s="532"/>
      <c r="K1081" s="692"/>
      <c r="L1081" s="692"/>
      <c r="M1081" s="692"/>
      <c r="N1081" s="532"/>
      <c r="O1081" s="532"/>
      <c r="P1081" s="532"/>
      <c r="Q1081" s="532"/>
      <c r="R1081" s="532"/>
      <c r="S1081" s="532"/>
      <c r="T1081" s="693"/>
      <c r="U1081" s="693"/>
    </row>
    <row r="1082">
      <c r="A1082" s="692"/>
      <c r="B1082" s="532"/>
      <c r="C1082" s="532"/>
      <c r="D1082" s="692"/>
      <c r="E1082" s="692"/>
      <c r="F1082" s="692"/>
      <c r="G1082" s="692"/>
      <c r="H1082" s="692"/>
      <c r="I1082" s="692"/>
      <c r="J1082" s="532"/>
      <c r="K1082" s="692"/>
      <c r="L1082" s="692"/>
      <c r="M1082" s="692"/>
      <c r="N1082" s="532"/>
      <c r="O1082" s="532"/>
      <c r="P1082" s="532"/>
      <c r="Q1082" s="532"/>
      <c r="R1082" s="532"/>
      <c r="S1082" s="532"/>
      <c r="T1082" s="693"/>
      <c r="U1082" s="693"/>
    </row>
    <row r="1083">
      <c r="A1083" s="692"/>
      <c r="B1083" s="532"/>
      <c r="C1083" s="532"/>
      <c r="D1083" s="692"/>
      <c r="E1083" s="692"/>
      <c r="F1083" s="692"/>
      <c r="G1083" s="692"/>
      <c r="H1083" s="692"/>
      <c r="I1083" s="692"/>
      <c r="J1083" s="532"/>
      <c r="K1083" s="692"/>
      <c r="L1083" s="692"/>
      <c r="M1083" s="692"/>
      <c r="N1083" s="532"/>
      <c r="O1083" s="532"/>
      <c r="P1083" s="532"/>
      <c r="Q1083" s="532"/>
      <c r="R1083" s="532"/>
      <c r="S1083" s="532"/>
      <c r="T1083" s="693"/>
      <c r="U1083" s="693"/>
    </row>
    <row r="1084">
      <c r="A1084" s="692"/>
      <c r="B1084" s="532"/>
      <c r="C1084" s="532"/>
      <c r="D1084" s="692"/>
      <c r="E1084" s="692"/>
      <c r="F1084" s="692"/>
      <c r="G1084" s="692"/>
      <c r="H1084" s="692"/>
      <c r="I1084" s="692"/>
      <c r="J1084" s="532"/>
      <c r="K1084" s="692"/>
      <c r="L1084" s="692"/>
      <c r="M1084" s="692"/>
      <c r="N1084" s="532"/>
      <c r="O1084" s="532"/>
      <c r="P1084" s="532"/>
      <c r="Q1084" s="532"/>
      <c r="R1084" s="532"/>
      <c r="S1084" s="532"/>
      <c r="T1084" s="693"/>
      <c r="U1084" s="693"/>
    </row>
    <row r="1085">
      <c r="A1085" s="692"/>
      <c r="B1085" s="532"/>
      <c r="C1085" s="532"/>
      <c r="D1085" s="692"/>
      <c r="E1085" s="692"/>
      <c r="F1085" s="692"/>
      <c r="G1085" s="692"/>
      <c r="H1085" s="692"/>
      <c r="I1085" s="692"/>
      <c r="J1085" s="532"/>
      <c r="K1085" s="692"/>
      <c r="L1085" s="692"/>
      <c r="M1085" s="692"/>
      <c r="N1085" s="532"/>
      <c r="O1085" s="532"/>
      <c r="P1085" s="532"/>
      <c r="Q1085" s="532"/>
      <c r="R1085" s="532"/>
      <c r="S1085" s="532"/>
      <c r="T1085" s="693"/>
      <c r="U1085" s="693"/>
    </row>
    <row r="1086">
      <c r="A1086" s="692"/>
      <c r="B1086" s="532"/>
      <c r="C1086" s="532"/>
      <c r="D1086" s="692"/>
      <c r="E1086" s="692"/>
      <c r="F1086" s="692"/>
      <c r="G1086" s="692"/>
      <c r="H1086" s="692"/>
      <c r="I1086" s="692"/>
      <c r="J1086" s="532"/>
      <c r="K1086" s="692"/>
      <c r="L1086" s="692"/>
      <c r="M1086" s="692"/>
      <c r="N1086" s="532"/>
      <c r="O1086" s="532"/>
      <c r="P1086" s="532"/>
      <c r="Q1086" s="532"/>
      <c r="R1086" s="532"/>
      <c r="S1086" s="532"/>
      <c r="T1086" s="693"/>
      <c r="U1086" s="693"/>
    </row>
    <row r="1087">
      <c r="A1087" s="692"/>
      <c r="B1087" s="532"/>
      <c r="C1087" s="532"/>
      <c r="D1087" s="692"/>
      <c r="E1087" s="692"/>
      <c r="F1087" s="692"/>
      <c r="G1087" s="692"/>
      <c r="H1087" s="692"/>
      <c r="I1087" s="692"/>
      <c r="J1087" s="532"/>
      <c r="K1087" s="692"/>
      <c r="L1087" s="692"/>
      <c r="M1087" s="692"/>
      <c r="N1087" s="532"/>
      <c r="O1087" s="532"/>
      <c r="P1087" s="532"/>
      <c r="Q1087" s="532"/>
      <c r="R1087" s="532"/>
      <c r="S1087" s="532"/>
      <c r="T1087" s="693"/>
      <c r="U1087" s="693"/>
    </row>
    <row r="1088">
      <c r="A1088" s="692"/>
      <c r="B1088" s="532"/>
      <c r="C1088" s="532"/>
      <c r="D1088" s="692"/>
      <c r="E1088" s="692"/>
      <c r="F1088" s="692"/>
      <c r="G1088" s="692"/>
      <c r="H1088" s="692"/>
      <c r="I1088" s="692"/>
      <c r="J1088" s="532"/>
      <c r="K1088" s="692"/>
      <c r="L1088" s="692"/>
      <c r="M1088" s="692"/>
      <c r="N1088" s="532"/>
      <c r="O1088" s="532"/>
      <c r="P1088" s="532"/>
      <c r="Q1088" s="532"/>
      <c r="R1088" s="532"/>
      <c r="S1088" s="532"/>
      <c r="T1088" s="693"/>
      <c r="U1088" s="693"/>
    </row>
    <row r="1089">
      <c r="A1089" s="692"/>
      <c r="B1089" s="532"/>
      <c r="C1089" s="532"/>
      <c r="D1089" s="692"/>
      <c r="E1089" s="692"/>
      <c r="F1089" s="692"/>
      <c r="G1089" s="692"/>
      <c r="H1089" s="692"/>
      <c r="I1089" s="692"/>
      <c r="J1089" s="532"/>
      <c r="K1089" s="692"/>
      <c r="L1089" s="692"/>
      <c r="M1089" s="692"/>
      <c r="N1089" s="532"/>
      <c r="O1089" s="532"/>
      <c r="P1089" s="532"/>
      <c r="Q1089" s="532"/>
      <c r="R1089" s="532"/>
      <c r="S1089" s="532"/>
      <c r="T1089" s="693"/>
      <c r="U1089" s="693"/>
    </row>
    <row r="1090">
      <c r="A1090" s="692"/>
      <c r="B1090" s="532"/>
      <c r="C1090" s="532"/>
      <c r="D1090" s="692"/>
      <c r="E1090" s="692"/>
      <c r="F1090" s="692"/>
      <c r="G1090" s="692"/>
      <c r="H1090" s="692"/>
      <c r="I1090" s="692"/>
      <c r="J1090" s="532"/>
      <c r="K1090" s="692"/>
      <c r="L1090" s="692"/>
      <c r="M1090" s="692"/>
      <c r="N1090" s="532"/>
      <c r="O1090" s="532"/>
      <c r="P1090" s="532"/>
      <c r="Q1090" s="532"/>
      <c r="R1090" s="532"/>
      <c r="S1090" s="532"/>
      <c r="T1090" s="693"/>
      <c r="U1090" s="693"/>
    </row>
    <row r="1091">
      <c r="A1091" s="692"/>
      <c r="B1091" s="532"/>
      <c r="C1091" s="532"/>
      <c r="D1091" s="692"/>
      <c r="E1091" s="692"/>
      <c r="F1091" s="692"/>
      <c r="G1091" s="692"/>
      <c r="H1091" s="692"/>
      <c r="I1091" s="692"/>
      <c r="J1091" s="532"/>
      <c r="K1091" s="692"/>
      <c r="L1091" s="692"/>
      <c r="M1091" s="692"/>
      <c r="N1091" s="532"/>
      <c r="O1091" s="532"/>
      <c r="P1091" s="532"/>
      <c r="Q1091" s="532"/>
      <c r="R1091" s="532"/>
      <c r="S1091" s="532"/>
      <c r="T1091" s="693"/>
      <c r="U1091" s="693"/>
    </row>
    <row r="1092">
      <c r="A1092" s="692"/>
      <c r="B1092" s="532"/>
      <c r="C1092" s="532"/>
      <c r="D1092" s="692"/>
      <c r="E1092" s="692"/>
      <c r="F1092" s="692"/>
      <c r="G1092" s="692"/>
      <c r="H1092" s="692"/>
      <c r="I1092" s="692"/>
      <c r="J1092" s="532"/>
      <c r="K1092" s="692"/>
      <c r="L1092" s="692"/>
      <c r="M1092" s="692"/>
      <c r="N1092" s="532"/>
      <c r="O1092" s="532"/>
      <c r="P1092" s="532"/>
      <c r="Q1092" s="532"/>
      <c r="R1092" s="532"/>
      <c r="S1092" s="532"/>
      <c r="T1092" s="693"/>
      <c r="U1092" s="693"/>
    </row>
    <row r="1093">
      <c r="A1093" s="692"/>
      <c r="B1093" s="532"/>
      <c r="C1093" s="532"/>
      <c r="D1093" s="692"/>
      <c r="E1093" s="692"/>
      <c r="F1093" s="692"/>
      <c r="G1093" s="692"/>
      <c r="H1093" s="692"/>
      <c r="I1093" s="692"/>
      <c r="J1093" s="532"/>
      <c r="K1093" s="692"/>
      <c r="L1093" s="692"/>
      <c r="M1093" s="692"/>
      <c r="N1093" s="532"/>
      <c r="O1093" s="532"/>
      <c r="P1093" s="532"/>
      <c r="Q1093" s="532"/>
      <c r="R1093" s="532"/>
      <c r="S1093" s="532"/>
      <c r="T1093" s="693"/>
      <c r="U1093" s="693"/>
    </row>
    <row r="1094">
      <c r="A1094" s="692"/>
      <c r="B1094" s="532"/>
      <c r="C1094" s="532"/>
      <c r="D1094" s="692"/>
      <c r="E1094" s="692"/>
      <c r="F1094" s="692"/>
      <c r="G1094" s="692"/>
      <c r="H1094" s="692"/>
      <c r="I1094" s="692"/>
      <c r="J1094" s="532"/>
      <c r="K1094" s="692"/>
      <c r="L1094" s="692"/>
      <c r="M1094" s="692"/>
      <c r="N1094" s="532"/>
      <c r="O1094" s="532"/>
      <c r="P1094" s="532"/>
      <c r="Q1094" s="532"/>
      <c r="R1094" s="532"/>
      <c r="S1094" s="532"/>
      <c r="T1094" s="693"/>
      <c r="U1094" s="693"/>
    </row>
    <row r="1095">
      <c r="A1095" s="692"/>
      <c r="B1095" s="532"/>
      <c r="C1095" s="532"/>
      <c r="D1095" s="692"/>
      <c r="E1095" s="692"/>
      <c r="F1095" s="692"/>
      <c r="G1095" s="692"/>
      <c r="H1095" s="692"/>
      <c r="I1095" s="692"/>
      <c r="J1095" s="532"/>
      <c r="K1095" s="692"/>
      <c r="L1095" s="692"/>
      <c r="M1095" s="692"/>
      <c r="N1095" s="532"/>
      <c r="O1095" s="532"/>
      <c r="P1095" s="532"/>
      <c r="Q1095" s="532"/>
      <c r="R1095" s="532"/>
      <c r="S1095" s="532"/>
      <c r="T1095" s="693"/>
      <c r="U1095" s="693"/>
    </row>
    <row r="1096">
      <c r="A1096" s="692"/>
      <c r="B1096" s="532"/>
      <c r="C1096" s="532"/>
      <c r="D1096" s="692"/>
      <c r="E1096" s="692"/>
      <c r="F1096" s="692"/>
      <c r="G1096" s="692"/>
      <c r="H1096" s="692"/>
      <c r="I1096" s="692"/>
      <c r="J1096" s="532"/>
      <c r="K1096" s="692"/>
      <c r="L1096" s="692"/>
      <c r="M1096" s="692"/>
      <c r="N1096" s="532"/>
      <c r="O1096" s="532"/>
      <c r="P1096" s="532"/>
      <c r="Q1096" s="532"/>
      <c r="R1096" s="532"/>
      <c r="S1096" s="532"/>
      <c r="T1096" s="693"/>
      <c r="U1096" s="693"/>
    </row>
    <row r="1097">
      <c r="A1097" s="692"/>
      <c r="B1097" s="532"/>
      <c r="C1097" s="532"/>
      <c r="D1097" s="692"/>
      <c r="E1097" s="692"/>
      <c r="F1097" s="692"/>
      <c r="G1097" s="692"/>
      <c r="H1097" s="692"/>
      <c r="I1097" s="692"/>
      <c r="J1097" s="532"/>
      <c r="K1097" s="692"/>
      <c r="L1097" s="692"/>
      <c r="M1097" s="692"/>
      <c r="N1097" s="532"/>
      <c r="O1097" s="532"/>
      <c r="P1097" s="532"/>
      <c r="Q1097" s="532"/>
      <c r="R1097" s="532"/>
      <c r="S1097" s="532"/>
      <c r="T1097" s="693"/>
      <c r="U1097" s="693"/>
    </row>
    <row r="1098">
      <c r="A1098" s="692"/>
      <c r="B1098" s="532"/>
      <c r="C1098" s="532"/>
      <c r="D1098" s="692"/>
      <c r="E1098" s="692"/>
      <c r="F1098" s="692"/>
      <c r="G1098" s="692"/>
      <c r="H1098" s="692"/>
      <c r="I1098" s="692"/>
      <c r="J1098" s="532"/>
      <c r="K1098" s="692"/>
      <c r="L1098" s="692"/>
      <c r="M1098" s="692"/>
      <c r="N1098" s="532"/>
      <c r="O1098" s="532"/>
      <c r="P1098" s="532"/>
      <c r="Q1098" s="532"/>
      <c r="R1098" s="532"/>
      <c r="S1098" s="532"/>
      <c r="T1098" s="693"/>
      <c r="U1098" s="693"/>
    </row>
    <row r="1099">
      <c r="A1099" s="692"/>
      <c r="B1099" s="532"/>
      <c r="C1099" s="532"/>
      <c r="D1099" s="692"/>
      <c r="E1099" s="692"/>
      <c r="F1099" s="692"/>
      <c r="G1099" s="692"/>
      <c r="H1099" s="692"/>
      <c r="I1099" s="692"/>
      <c r="J1099" s="532"/>
      <c r="K1099" s="692"/>
      <c r="L1099" s="692"/>
      <c r="M1099" s="692"/>
      <c r="N1099" s="532"/>
      <c r="O1099" s="532"/>
      <c r="P1099" s="532"/>
      <c r="Q1099" s="532"/>
      <c r="R1099" s="532"/>
      <c r="S1099" s="532"/>
      <c r="T1099" s="693"/>
      <c r="U1099" s="693"/>
    </row>
    <row r="1100">
      <c r="A1100" s="692"/>
      <c r="B1100" s="532"/>
      <c r="C1100" s="532"/>
      <c r="D1100" s="692"/>
      <c r="E1100" s="692"/>
      <c r="F1100" s="692"/>
      <c r="G1100" s="692"/>
      <c r="H1100" s="692"/>
      <c r="I1100" s="692"/>
      <c r="J1100" s="532"/>
      <c r="K1100" s="692"/>
      <c r="L1100" s="692"/>
      <c r="M1100" s="692"/>
      <c r="N1100" s="532"/>
      <c r="O1100" s="532"/>
      <c r="P1100" s="532"/>
      <c r="Q1100" s="532"/>
      <c r="R1100" s="532"/>
      <c r="S1100" s="532"/>
      <c r="T1100" s="693"/>
      <c r="U1100" s="693"/>
    </row>
    <row r="1101">
      <c r="A1101" s="692"/>
      <c r="B1101" s="532"/>
      <c r="C1101" s="532"/>
      <c r="D1101" s="692"/>
      <c r="E1101" s="692"/>
      <c r="F1101" s="692"/>
      <c r="G1101" s="692"/>
      <c r="H1101" s="692"/>
      <c r="I1101" s="692"/>
      <c r="J1101" s="532"/>
      <c r="K1101" s="692"/>
      <c r="L1101" s="692"/>
      <c r="M1101" s="692"/>
      <c r="N1101" s="532"/>
      <c r="O1101" s="532"/>
      <c r="P1101" s="532"/>
      <c r="Q1101" s="532"/>
      <c r="R1101" s="532"/>
      <c r="S1101" s="532"/>
      <c r="T1101" s="693"/>
      <c r="U1101" s="693"/>
    </row>
    <row r="1102">
      <c r="A1102" s="692"/>
      <c r="B1102" s="532"/>
      <c r="C1102" s="532"/>
      <c r="D1102" s="692"/>
      <c r="E1102" s="692"/>
      <c r="F1102" s="692"/>
      <c r="G1102" s="692"/>
      <c r="H1102" s="692"/>
      <c r="I1102" s="692"/>
      <c r="J1102" s="532"/>
      <c r="K1102" s="692"/>
      <c r="L1102" s="692"/>
      <c r="M1102" s="692"/>
      <c r="N1102" s="532"/>
      <c r="O1102" s="532"/>
      <c r="P1102" s="532"/>
      <c r="Q1102" s="532"/>
      <c r="R1102" s="532"/>
      <c r="S1102" s="532"/>
      <c r="T1102" s="693"/>
      <c r="U1102" s="693"/>
    </row>
    <row r="1103">
      <c r="A1103" s="692"/>
      <c r="B1103" s="532"/>
      <c r="C1103" s="532"/>
      <c r="D1103" s="692"/>
      <c r="E1103" s="692"/>
      <c r="F1103" s="692"/>
      <c r="G1103" s="692"/>
      <c r="H1103" s="692"/>
      <c r="I1103" s="692"/>
      <c r="J1103" s="532"/>
      <c r="K1103" s="692"/>
      <c r="L1103" s="692"/>
      <c r="M1103" s="692"/>
      <c r="N1103" s="532"/>
      <c r="O1103" s="532"/>
      <c r="P1103" s="532"/>
      <c r="Q1103" s="532"/>
      <c r="R1103" s="532"/>
      <c r="S1103" s="532"/>
      <c r="T1103" s="693"/>
      <c r="U1103" s="693"/>
    </row>
    <row r="1104">
      <c r="A1104" s="692"/>
      <c r="B1104" s="532"/>
      <c r="C1104" s="532"/>
      <c r="D1104" s="692"/>
      <c r="E1104" s="692"/>
      <c r="F1104" s="692"/>
      <c r="G1104" s="692"/>
      <c r="H1104" s="692"/>
      <c r="I1104" s="692"/>
      <c r="J1104" s="532"/>
      <c r="K1104" s="692"/>
      <c r="L1104" s="692"/>
      <c r="M1104" s="692"/>
      <c r="N1104" s="532"/>
      <c r="O1104" s="532"/>
      <c r="P1104" s="532"/>
      <c r="Q1104" s="532"/>
      <c r="R1104" s="532"/>
      <c r="S1104" s="532"/>
      <c r="T1104" s="693"/>
      <c r="U1104" s="693"/>
    </row>
    <row r="1105">
      <c r="A1105" s="692"/>
      <c r="B1105" s="532"/>
      <c r="C1105" s="532"/>
      <c r="D1105" s="692"/>
      <c r="E1105" s="692"/>
      <c r="F1105" s="692"/>
      <c r="G1105" s="692"/>
      <c r="H1105" s="692"/>
      <c r="I1105" s="692"/>
      <c r="J1105" s="532"/>
      <c r="K1105" s="692"/>
      <c r="L1105" s="692"/>
      <c r="M1105" s="692"/>
      <c r="N1105" s="532"/>
      <c r="O1105" s="532"/>
      <c r="P1105" s="532"/>
      <c r="Q1105" s="532"/>
      <c r="R1105" s="532"/>
      <c r="S1105" s="532"/>
      <c r="T1105" s="693"/>
      <c r="U1105" s="693"/>
    </row>
    <row r="1106">
      <c r="A1106" s="692"/>
      <c r="B1106" s="532"/>
      <c r="C1106" s="532"/>
      <c r="D1106" s="692"/>
      <c r="E1106" s="692"/>
      <c r="F1106" s="692"/>
      <c r="G1106" s="692"/>
      <c r="H1106" s="692"/>
      <c r="I1106" s="692"/>
      <c r="J1106" s="532"/>
      <c r="K1106" s="692"/>
      <c r="L1106" s="692"/>
      <c r="M1106" s="692"/>
      <c r="N1106" s="532"/>
      <c r="O1106" s="532"/>
      <c r="P1106" s="532"/>
      <c r="Q1106" s="532"/>
      <c r="R1106" s="532"/>
      <c r="S1106" s="532"/>
      <c r="T1106" s="693"/>
      <c r="U1106" s="693"/>
    </row>
    <row r="1107">
      <c r="A1107" s="692"/>
      <c r="B1107" s="532"/>
      <c r="C1107" s="532"/>
      <c r="D1107" s="692"/>
      <c r="E1107" s="692"/>
      <c r="F1107" s="692"/>
      <c r="G1107" s="692"/>
      <c r="H1107" s="692"/>
      <c r="I1107" s="692"/>
      <c r="J1107" s="532"/>
      <c r="K1107" s="692"/>
      <c r="L1107" s="692"/>
      <c r="M1107" s="692"/>
      <c r="N1107" s="532"/>
      <c r="O1107" s="532"/>
      <c r="P1107" s="532"/>
      <c r="Q1107" s="532"/>
      <c r="R1107" s="532"/>
      <c r="S1107" s="532"/>
      <c r="T1107" s="693"/>
      <c r="U1107" s="693"/>
    </row>
    <row r="1108">
      <c r="A1108" s="692"/>
      <c r="B1108" s="532"/>
      <c r="C1108" s="532"/>
      <c r="D1108" s="692"/>
      <c r="E1108" s="692"/>
      <c r="F1108" s="692"/>
      <c r="G1108" s="692"/>
      <c r="H1108" s="692"/>
      <c r="I1108" s="692"/>
      <c r="J1108" s="532"/>
      <c r="K1108" s="692"/>
      <c r="L1108" s="692"/>
      <c r="M1108" s="692"/>
      <c r="N1108" s="532"/>
      <c r="O1108" s="532"/>
      <c r="P1108" s="532"/>
      <c r="Q1108" s="532"/>
      <c r="R1108" s="532"/>
      <c r="S1108" s="532"/>
      <c r="T1108" s="693"/>
      <c r="U1108" s="693"/>
    </row>
    <row r="1109">
      <c r="A1109" s="692"/>
      <c r="B1109" s="532"/>
      <c r="C1109" s="532"/>
      <c r="D1109" s="692"/>
      <c r="E1109" s="692"/>
      <c r="F1109" s="692"/>
      <c r="G1109" s="692"/>
      <c r="H1109" s="692"/>
      <c r="I1109" s="692"/>
      <c r="J1109" s="532"/>
      <c r="K1109" s="692"/>
      <c r="L1109" s="692"/>
      <c r="M1109" s="692"/>
      <c r="N1109" s="532"/>
      <c r="O1109" s="532"/>
      <c r="P1109" s="532"/>
      <c r="Q1109" s="532"/>
      <c r="R1109" s="532"/>
      <c r="S1109" s="532"/>
      <c r="T1109" s="693"/>
      <c r="U1109" s="693"/>
    </row>
    <row r="1110">
      <c r="A1110" s="692"/>
      <c r="B1110" s="532"/>
      <c r="C1110" s="532"/>
      <c r="D1110" s="692"/>
      <c r="E1110" s="692"/>
      <c r="F1110" s="692"/>
      <c r="G1110" s="692"/>
      <c r="H1110" s="692"/>
      <c r="I1110" s="692"/>
      <c r="J1110" s="532"/>
      <c r="K1110" s="692"/>
      <c r="L1110" s="692"/>
      <c r="M1110" s="692"/>
      <c r="N1110" s="532"/>
      <c r="O1110" s="532"/>
      <c r="P1110" s="532"/>
      <c r="Q1110" s="532"/>
      <c r="R1110" s="532"/>
      <c r="S1110" s="532"/>
      <c r="T1110" s="693"/>
      <c r="U1110" s="693"/>
    </row>
    <row r="1111">
      <c r="A1111" s="692"/>
      <c r="B1111" s="532"/>
      <c r="C1111" s="532"/>
      <c r="D1111" s="692"/>
      <c r="E1111" s="692"/>
      <c r="F1111" s="692"/>
      <c r="G1111" s="692"/>
      <c r="H1111" s="692"/>
      <c r="I1111" s="692"/>
      <c r="J1111" s="532"/>
      <c r="K1111" s="692"/>
      <c r="L1111" s="692"/>
      <c r="M1111" s="692"/>
      <c r="N1111" s="532"/>
      <c r="O1111" s="532"/>
      <c r="P1111" s="532"/>
      <c r="Q1111" s="532"/>
      <c r="R1111" s="532"/>
      <c r="S1111" s="532"/>
      <c r="T1111" s="693"/>
      <c r="U1111" s="693"/>
    </row>
    <row r="1112">
      <c r="A1112" s="692"/>
      <c r="B1112" s="532"/>
      <c r="C1112" s="532"/>
      <c r="D1112" s="692"/>
      <c r="E1112" s="692"/>
      <c r="F1112" s="692"/>
      <c r="G1112" s="692"/>
      <c r="H1112" s="692"/>
      <c r="I1112" s="692"/>
      <c r="J1112" s="532"/>
      <c r="K1112" s="692"/>
      <c r="L1112" s="692"/>
      <c r="M1112" s="692"/>
      <c r="N1112" s="532"/>
      <c r="O1112" s="532"/>
      <c r="P1112" s="532"/>
      <c r="Q1112" s="532"/>
      <c r="R1112" s="532"/>
      <c r="S1112" s="532"/>
      <c r="T1112" s="693"/>
      <c r="U1112" s="693"/>
    </row>
    <row r="1113">
      <c r="A1113" s="692"/>
      <c r="B1113" s="532"/>
      <c r="C1113" s="532"/>
      <c r="D1113" s="692"/>
      <c r="E1113" s="692"/>
      <c r="F1113" s="692"/>
      <c r="G1113" s="692"/>
      <c r="H1113" s="692"/>
      <c r="I1113" s="692"/>
      <c r="J1113" s="532"/>
      <c r="K1113" s="692"/>
      <c r="L1113" s="692"/>
      <c r="M1113" s="692"/>
      <c r="N1113" s="532"/>
      <c r="O1113" s="532"/>
      <c r="P1113" s="532"/>
      <c r="Q1113" s="532"/>
      <c r="R1113" s="532"/>
      <c r="S1113" s="532"/>
      <c r="T1113" s="693"/>
      <c r="U1113" s="693"/>
    </row>
    <row r="1114">
      <c r="A1114" s="692"/>
      <c r="B1114" s="532"/>
      <c r="C1114" s="532"/>
      <c r="D1114" s="692"/>
      <c r="E1114" s="692"/>
      <c r="F1114" s="692"/>
      <c r="G1114" s="692"/>
      <c r="H1114" s="692"/>
      <c r="I1114" s="692"/>
      <c r="J1114" s="532"/>
      <c r="K1114" s="692"/>
      <c r="L1114" s="692"/>
      <c r="M1114" s="692"/>
      <c r="N1114" s="532"/>
      <c r="O1114" s="532"/>
      <c r="P1114" s="532"/>
      <c r="Q1114" s="532"/>
      <c r="R1114" s="532"/>
      <c r="S1114" s="532"/>
      <c r="T1114" s="693"/>
      <c r="U1114" s="693"/>
    </row>
    <row r="1115">
      <c r="A1115" s="692"/>
      <c r="B1115" s="532"/>
      <c r="C1115" s="532"/>
      <c r="D1115" s="692"/>
      <c r="E1115" s="692"/>
      <c r="F1115" s="692"/>
      <c r="G1115" s="692"/>
      <c r="H1115" s="692"/>
      <c r="I1115" s="692"/>
      <c r="J1115" s="532"/>
      <c r="K1115" s="692"/>
      <c r="L1115" s="692"/>
      <c r="M1115" s="692"/>
      <c r="N1115" s="532"/>
      <c r="O1115" s="532"/>
      <c r="P1115" s="532"/>
      <c r="Q1115" s="532"/>
      <c r="R1115" s="532"/>
      <c r="S1115" s="532"/>
      <c r="T1115" s="693"/>
      <c r="U1115" s="693"/>
    </row>
    <row r="1116">
      <c r="A1116" s="692"/>
      <c r="B1116" s="532"/>
      <c r="C1116" s="532"/>
      <c r="D1116" s="692"/>
      <c r="E1116" s="692"/>
      <c r="F1116" s="692"/>
      <c r="G1116" s="692"/>
      <c r="H1116" s="692"/>
      <c r="I1116" s="692"/>
      <c r="J1116" s="532"/>
      <c r="K1116" s="692"/>
      <c r="L1116" s="692"/>
      <c r="M1116" s="692"/>
      <c r="N1116" s="532"/>
      <c r="O1116" s="532"/>
      <c r="P1116" s="532"/>
      <c r="Q1116" s="532"/>
      <c r="R1116" s="532"/>
      <c r="S1116" s="532"/>
      <c r="T1116" s="693"/>
      <c r="U1116" s="693"/>
    </row>
    <row r="1117">
      <c r="A1117" s="692"/>
      <c r="B1117" s="532"/>
      <c r="C1117" s="532"/>
      <c r="D1117" s="692"/>
      <c r="E1117" s="692"/>
      <c r="F1117" s="692"/>
      <c r="G1117" s="692"/>
      <c r="H1117" s="692"/>
      <c r="I1117" s="692"/>
      <c r="J1117" s="532"/>
      <c r="K1117" s="692"/>
      <c r="L1117" s="692"/>
      <c r="M1117" s="692"/>
      <c r="N1117" s="532"/>
      <c r="O1117" s="532"/>
      <c r="P1117" s="532"/>
      <c r="Q1117" s="532"/>
      <c r="R1117" s="532"/>
      <c r="S1117" s="532"/>
      <c r="T1117" s="693"/>
      <c r="U1117" s="693"/>
    </row>
    <row r="1118">
      <c r="A1118" s="692"/>
      <c r="B1118" s="532"/>
      <c r="C1118" s="532"/>
      <c r="D1118" s="692"/>
      <c r="E1118" s="692"/>
      <c r="F1118" s="692"/>
      <c r="G1118" s="692"/>
      <c r="H1118" s="692"/>
      <c r="I1118" s="692"/>
      <c r="J1118" s="532"/>
      <c r="K1118" s="692"/>
      <c r="L1118" s="692"/>
      <c r="M1118" s="692"/>
      <c r="N1118" s="532"/>
      <c r="O1118" s="532"/>
      <c r="P1118" s="532"/>
      <c r="Q1118" s="532"/>
      <c r="R1118" s="532"/>
      <c r="S1118" s="532"/>
      <c r="T1118" s="693"/>
      <c r="U1118" s="693"/>
    </row>
    <row r="1119">
      <c r="A1119" s="692"/>
      <c r="B1119" s="532"/>
      <c r="C1119" s="532"/>
      <c r="D1119" s="692"/>
      <c r="E1119" s="692"/>
      <c r="F1119" s="692"/>
      <c r="G1119" s="692"/>
      <c r="H1119" s="692"/>
      <c r="I1119" s="692"/>
      <c r="J1119" s="532"/>
      <c r="K1119" s="692"/>
      <c r="L1119" s="692"/>
      <c r="M1119" s="692"/>
      <c r="N1119" s="532"/>
      <c r="O1119" s="532"/>
      <c r="P1119" s="532"/>
      <c r="Q1119" s="532"/>
      <c r="R1119" s="532"/>
      <c r="S1119" s="532"/>
      <c r="T1119" s="693"/>
      <c r="U1119" s="693"/>
    </row>
    <row r="1120">
      <c r="A1120" s="692"/>
      <c r="B1120" s="532"/>
      <c r="C1120" s="532"/>
      <c r="D1120" s="692"/>
      <c r="E1120" s="692"/>
      <c r="F1120" s="692"/>
      <c r="G1120" s="692"/>
      <c r="H1120" s="692"/>
      <c r="I1120" s="692"/>
      <c r="J1120" s="532"/>
      <c r="K1120" s="692"/>
      <c r="L1120" s="692"/>
      <c r="M1120" s="692"/>
      <c r="N1120" s="532"/>
      <c r="O1120" s="532"/>
      <c r="P1120" s="532"/>
      <c r="Q1120" s="532"/>
      <c r="R1120" s="532"/>
      <c r="S1120" s="532"/>
      <c r="T1120" s="693"/>
      <c r="U1120" s="693"/>
    </row>
    <row r="1121">
      <c r="A1121" s="692"/>
      <c r="B1121" s="532"/>
      <c r="C1121" s="532"/>
      <c r="D1121" s="692"/>
      <c r="E1121" s="692"/>
      <c r="F1121" s="692"/>
      <c r="G1121" s="692"/>
      <c r="H1121" s="692"/>
      <c r="I1121" s="692"/>
      <c r="J1121" s="532"/>
      <c r="K1121" s="692"/>
      <c r="L1121" s="692"/>
      <c r="M1121" s="692"/>
      <c r="N1121" s="532"/>
      <c r="O1121" s="532"/>
      <c r="P1121" s="532"/>
      <c r="Q1121" s="532"/>
      <c r="R1121" s="532"/>
      <c r="S1121" s="532"/>
      <c r="T1121" s="693"/>
      <c r="U1121" s="693"/>
    </row>
    <row r="1122">
      <c r="A1122" s="692"/>
      <c r="B1122" s="532"/>
      <c r="C1122" s="532"/>
      <c r="D1122" s="692"/>
      <c r="E1122" s="692"/>
      <c r="F1122" s="692"/>
      <c r="G1122" s="692"/>
      <c r="H1122" s="692"/>
      <c r="I1122" s="692"/>
      <c r="J1122" s="532"/>
      <c r="K1122" s="692"/>
      <c r="L1122" s="692"/>
      <c r="M1122" s="692"/>
      <c r="N1122" s="532"/>
      <c r="O1122" s="532"/>
      <c r="P1122" s="532"/>
      <c r="Q1122" s="532"/>
      <c r="R1122" s="532"/>
      <c r="S1122" s="532"/>
      <c r="T1122" s="693"/>
      <c r="U1122" s="693"/>
    </row>
    <row r="1123">
      <c r="A1123" s="692"/>
      <c r="B1123" s="532"/>
      <c r="C1123" s="532"/>
      <c r="D1123" s="692"/>
      <c r="E1123" s="692"/>
      <c r="F1123" s="692"/>
      <c r="G1123" s="692"/>
      <c r="H1123" s="692"/>
      <c r="I1123" s="692"/>
      <c r="J1123" s="532"/>
      <c r="K1123" s="692"/>
      <c r="L1123" s="692"/>
      <c r="M1123" s="692"/>
      <c r="N1123" s="532"/>
      <c r="O1123" s="532"/>
      <c r="P1123" s="532"/>
      <c r="Q1123" s="532"/>
      <c r="R1123" s="532"/>
      <c r="S1123" s="532"/>
      <c r="T1123" s="693"/>
      <c r="U1123" s="693"/>
    </row>
    <row r="1124">
      <c r="A1124" s="692"/>
      <c r="B1124" s="532"/>
      <c r="C1124" s="532"/>
      <c r="D1124" s="692"/>
      <c r="E1124" s="692"/>
      <c r="F1124" s="692"/>
      <c r="G1124" s="692"/>
      <c r="H1124" s="692"/>
      <c r="I1124" s="692"/>
      <c r="J1124" s="532"/>
      <c r="K1124" s="692"/>
      <c r="L1124" s="692"/>
      <c r="M1124" s="692"/>
      <c r="N1124" s="532"/>
      <c r="O1124" s="532"/>
      <c r="P1124" s="532"/>
      <c r="Q1124" s="532"/>
      <c r="R1124" s="532"/>
      <c r="S1124" s="532"/>
      <c r="T1124" s="693"/>
      <c r="U1124" s="693"/>
    </row>
    <row r="1125">
      <c r="A1125" s="692"/>
      <c r="B1125" s="532"/>
      <c r="C1125" s="532"/>
      <c r="D1125" s="692"/>
      <c r="E1125" s="692"/>
      <c r="F1125" s="692"/>
      <c r="G1125" s="692"/>
      <c r="H1125" s="692"/>
      <c r="I1125" s="692"/>
      <c r="J1125" s="532"/>
      <c r="K1125" s="692"/>
      <c r="L1125" s="692"/>
      <c r="M1125" s="692"/>
      <c r="N1125" s="532"/>
      <c r="O1125" s="532"/>
      <c r="P1125" s="532"/>
      <c r="Q1125" s="532"/>
      <c r="R1125" s="532"/>
      <c r="S1125" s="532"/>
      <c r="T1125" s="693"/>
      <c r="U1125" s="693"/>
    </row>
    <row r="1126">
      <c r="A1126" s="692"/>
      <c r="B1126" s="532"/>
      <c r="C1126" s="532"/>
      <c r="D1126" s="692"/>
      <c r="E1126" s="692"/>
      <c r="F1126" s="692"/>
      <c r="G1126" s="692"/>
      <c r="H1126" s="692"/>
      <c r="I1126" s="692"/>
      <c r="J1126" s="532"/>
      <c r="K1126" s="692"/>
      <c r="L1126" s="692"/>
      <c r="M1126" s="692"/>
      <c r="N1126" s="532"/>
      <c r="O1126" s="532"/>
      <c r="P1126" s="532"/>
      <c r="Q1126" s="532"/>
      <c r="R1126" s="532"/>
      <c r="S1126" s="532"/>
      <c r="T1126" s="693"/>
      <c r="U1126" s="693"/>
    </row>
    <row r="1127">
      <c r="A1127" s="692"/>
      <c r="B1127" s="532"/>
      <c r="C1127" s="532"/>
      <c r="D1127" s="692"/>
      <c r="E1127" s="692"/>
      <c r="F1127" s="692"/>
      <c r="G1127" s="692"/>
      <c r="H1127" s="692"/>
      <c r="I1127" s="692"/>
      <c r="J1127" s="532"/>
      <c r="K1127" s="692"/>
      <c r="L1127" s="692"/>
      <c r="M1127" s="692"/>
      <c r="N1127" s="532"/>
      <c r="O1127" s="532"/>
      <c r="P1127" s="532"/>
      <c r="Q1127" s="532"/>
      <c r="R1127" s="532"/>
      <c r="S1127" s="532"/>
      <c r="T1127" s="693"/>
      <c r="U1127" s="693"/>
    </row>
    <row r="1128">
      <c r="A1128" s="692"/>
      <c r="B1128" s="532"/>
      <c r="C1128" s="532"/>
      <c r="D1128" s="692"/>
      <c r="E1128" s="692"/>
      <c r="F1128" s="692"/>
      <c r="G1128" s="692"/>
      <c r="H1128" s="692"/>
      <c r="I1128" s="692"/>
      <c r="J1128" s="532"/>
      <c r="K1128" s="692"/>
      <c r="L1128" s="692"/>
      <c r="M1128" s="692"/>
      <c r="N1128" s="532"/>
      <c r="O1128" s="532"/>
      <c r="P1128" s="532"/>
      <c r="Q1128" s="532"/>
      <c r="R1128" s="532"/>
      <c r="S1128" s="532"/>
      <c r="T1128" s="693"/>
      <c r="U1128" s="693"/>
    </row>
    <row r="1129">
      <c r="A1129" s="692"/>
      <c r="B1129" s="532"/>
      <c r="C1129" s="532"/>
      <c r="D1129" s="692"/>
      <c r="E1129" s="692"/>
      <c r="F1129" s="692"/>
      <c r="G1129" s="692"/>
      <c r="H1129" s="692"/>
      <c r="I1129" s="692"/>
      <c r="J1129" s="532"/>
      <c r="K1129" s="692"/>
      <c r="L1129" s="692"/>
      <c r="M1129" s="692"/>
      <c r="N1129" s="532"/>
      <c r="O1129" s="532"/>
      <c r="P1129" s="532"/>
      <c r="Q1129" s="532"/>
      <c r="R1129" s="532"/>
      <c r="S1129" s="532"/>
      <c r="T1129" s="693"/>
      <c r="U1129" s="693"/>
    </row>
    <row r="1130">
      <c r="A1130" s="692"/>
      <c r="B1130" s="532"/>
      <c r="C1130" s="532"/>
      <c r="D1130" s="692"/>
      <c r="E1130" s="692"/>
      <c r="F1130" s="692"/>
      <c r="G1130" s="692"/>
      <c r="H1130" s="692"/>
      <c r="I1130" s="692"/>
      <c r="J1130" s="532"/>
      <c r="K1130" s="692"/>
      <c r="L1130" s="692"/>
      <c r="M1130" s="692"/>
      <c r="N1130" s="532"/>
      <c r="O1130" s="532"/>
      <c r="P1130" s="532"/>
      <c r="Q1130" s="532"/>
      <c r="R1130" s="532"/>
      <c r="S1130" s="532"/>
      <c r="T1130" s="693"/>
      <c r="U1130" s="693"/>
    </row>
    <row r="1131">
      <c r="A1131" s="692"/>
      <c r="B1131" s="532"/>
      <c r="C1131" s="532"/>
      <c r="D1131" s="692"/>
      <c r="E1131" s="692"/>
      <c r="F1131" s="692"/>
      <c r="G1131" s="692"/>
      <c r="H1131" s="692"/>
      <c r="I1131" s="692"/>
      <c r="J1131" s="532"/>
      <c r="K1131" s="692"/>
      <c r="L1131" s="692"/>
      <c r="M1131" s="692"/>
      <c r="N1131" s="532"/>
      <c r="O1131" s="532"/>
      <c r="P1131" s="532"/>
      <c r="Q1131" s="532"/>
      <c r="R1131" s="532"/>
      <c r="S1131" s="532"/>
      <c r="T1131" s="693"/>
      <c r="U1131" s="693"/>
    </row>
    <row r="1132">
      <c r="A1132" s="692"/>
      <c r="B1132" s="532"/>
      <c r="C1132" s="532"/>
      <c r="D1132" s="692"/>
      <c r="E1132" s="692"/>
      <c r="F1132" s="692"/>
      <c r="G1132" s="692"/>
      <c r="H1132" s="692"/>
      <c r="I1132" s="692"/>
      <c r="J1132" s="532"/>
      <c r="K1132" s="692"/>
      <c r="L1132" s="692"/>
      <c r="M1132" s="692"/>
      <c r="N1132" s="532"/>
      <c r="O1132" s="532"/>
      <c r="P1132" s="532"/>
      <c r="Q1132" s="532"/>
      <c r="R1132" s="532"/>
      <c r="S1132" s="532"/>
      <c r="T1132" s="693"/>
      <c r="U1132" s="693"/>
    </row>
    <row r="1133">
      <c r="A1133" s="692"/>
      <c r="B1133" s="532"/>
      <c r="C1133" s="532"/>
      <c r="D1133" s="692"/>
      <c r="E1133" s="692"/>
      <c r="F1133" s="692"/>
      <c r="G1133" s="692"/>
      <c r="H1133" s="692"/>
      <c r="I1133" s="692"/>
      <c r="J1133" s="532"/>
      <c r="K1133" s="692"/>
      <c r="L1133" s="692"/>
      <c r="M1133" s="692"/>
      <c r="N1133" s="532"/>
      <c r="O1133" s="532"/>
      <c r="P1133" s="532"/>
      <c r="Q1133" s="532"/>
      <c r="R1133" s="532"/>
      <c r="S1133" s="532"/>
      <c r="T1133" s="693"/>
      <c r="U1133" s="693"/>
    </row>
    <row r="1134">
      <c r="A1134" s="692"/>
      <c r="B1134" s="532"/>
      <c r="C1134" s="532"/>
      <c r="D1134" s="692"/>
      <c r="E1134" s="692"/>
      <c r="F1134" s="692"/>
      <c r="G1134" s="692"/>
      <c r="H1134" s="692"/>
      <c r="I1134" s="692"/>
      <c r="J1134" s="532"/>
      <c r="K1134" s="692"/>
      <c r="L1134" s="692"/>
      <c r="M1134" s="692"/>
      <c r="N1134" s="532"/>
      <c r="O1134" s="532"/>
      <c r="P1134" s="532"/>
      <c r="Q1134" s="532"/>
      <c r="R1134" s="532"/>
      <c r="S1134" s="532"/>
      <c r="T1134" s="693"/>
      <c r="U1134" s="693"/>
    </row>
    <row r="1135">
      <c r="A1135" s="692"/>
      <c r="B1135" s="532"/>
      <c r="C1135" s="532"/>
      <c r="D1135" s="692"/>
      <c r="E1135" s="692"/>
      <c r="F1135" s="692"/>
      <c r="G1135" s="692"/>
      <c r="H1135" s="692"/>
      <c r="I1135" s="692"/>
      <c r="J1135" s="532"/>
      <c r="K1135" s="692"/>
      <c r="L1135" s="692"/>
      <c r="M1135" s="692"/>
      <c r="N1135" s="532"/>
      <c r="O1135" s="532"/>
      <c r="P1135" s="532"/>
      <c r="Q1135" s="532"/>
      <c r="R1135" s="532"/>
      <c r="S1135" s="532"/>
      <c r="T1135" s="693"/>
      <c r="U1135" s="693"/>
    </row>
    <row r="1136">
      <c r="A1136" s="692"/>
      <c r="B1136" s="532"/>
      <c r="C1136" s="532"/>
      <c r="D1136" s="692"/>
      <c r="E1136" s="692"/>
      <c r="F1136" s="692"/>
      <c r="G1136" s="692"/>
      <c r="H1136" s="692"/>
      <c r="I1136" s="692"/>
      <c r="J1136" s="532"/>
      <c r="K1136" s="692"/>
      <c r="L1136" s="692"/>
      <c r="M1136" s="692"/>
      <c r="N1136" s="532"/>
      <c r="O1136" s="532"/>
      <c r="P1136" s="532"/>
      <c r="Q1136" s="532"/>
      <c r="R1136" s="532"/>
      <c r="S1136" s="532"/>
      <c r="T1136" s="693"/>
      <c r="U1136" s="693"/>
    </row>
    <row r="1137">
      <c r="A1137" s="692"/>
      <c r="B1137" s="532"/>
      <c r="C1137" s="532"/>
      <c r="D1137" s="692"/>
      <c r="E1137" s="692"/>
      <c r="F1137" s="692"/>
      <c r="G1137" s="692"/>
      <c r="H1137" s="692"/>
      <c r="I1137" s="692"/>
      <c r="J1137" s="532"/>
      <c r="K1137" s="692"/>
      <c r="L1137" s="692"/>
      <c r="M1137" s="692"/>
      <c r="N1137" s="532"/>
      <c r="O1137" s="532"/>
      <c r="P1137" s="532"/>
      <c r="Q1137" s="532"/>
      <c r="R1137" s="532"/>
      <c r="S1137" s="532"/>
      <c r="T1137" s="693"/>
      <c r="U1137" s="693"/>
    </row>
    <row r="1138">
      <c r="A1138" s="692"/>
      <c r="B1138" s="532"/>
      <c r="C1138" s="532"/>
      <c r="D1138" s="692"/>
      <c r="E1138" s="692"/>
      <c r="F1138" s="692"/>
      <c r="G1138" s="692"/>
      <c r="H1138" s="692"/>
      <c r="I1138" s="692"/>
      <c r="J1138" s="532"/>
      <c r="K1138" s="692"/>
      <c r="L1138" s="692"/>
      <c r="M1138" s="692"/>
      <c r="N1138" s="532"/>
      <c r="O1138" s="532"/>
      <c r="P1138" s="532"/>
      <c r="Q1138" s="532"/>
      <c r="R1138" s="532"/>
      <c r="S1138" s="532"/>
      <c r="T1138" s="693"/>
      <c r="U1138" s="693"/>
    </row>
    <row r="1139">
      <c r="A1139" s="692"/>
      <c r="B1139" s="532"/>
      <c r="C1139" s="532"/>
      <c r="D1139" s="692"/>
      <c r="E1139" s="692"/>
      <c r="F1139" s="692"/>
      <c r="G1139" s="692"/>
      <c r="H1139" s="692"/>
      <c r="I1139" s="692"/>
      <c r="J1139" s="532"/>
      <c r="K1139" s="692"/>
      <c r="L1139" s="692"/>
      <c r="M1139" s="692"/>
      <c r="N1139" s="532"/>
      <c r="O1139" s="532"/>
      <c r="P1139" s="532"/>
      <c r="Q1139" s="532"/>
      <c r="R1139" s="532"/>
      <c r="S1139" s="532"/>
      <c r="T1139" s="693"/>
      <c r="U1139" s="693"/>
    </row>
    <row r="1140">
      <c r="A1140" s="692"/>
      <c r="B1140" s="532"/>
      <c r="C1140" s="532"/>
      <c r="D1140" s="692"/>
      <c r="E1140" s="692"/>
      <c r="F1140" s="692"/>
      <c r="G1140" s="692"/>
      <c r="H1140" s="692"/>
      <c r="I1140" s="692"/>
      <c r="J1140" s="532"/>
      <c r="K1140" s="692"/>
      <c r="L1140" s="692"/>
      <c r="M1140" s="692"/>
      <c r="N1140" s="532"/>
      <c r="O1140" s="532"/>
      <c r="P1140" s="532"/>
      <c r="Q1140" s="532"/>
      <c r="R1140" s="532"/>
      <c r="S1140" s="532"/>
      <c r="T1140" s="693"/>
      <c r="U1140" s="693"/>
    </row>
    <row r="1141">
      <c r="A1141" s="692"/>
      <c r="B1141" s="532"/>
      <c r="C1141" s="532"/>
      <c r="D1141" s="692"/>
      <c r="E1141" s="692"/>
      <c r="F1141" s="692"/>
      <c r="G1141" s="692"/>
      <c r="H1141" s="692"/>
      <c r="I1141" s="692"/>
      <c r="J1141" s="532"/>
      <c r="K1141" s="692"/>
      <c r="L1141" s="692"/>
      <c r="M1141" s="692"/>
      <c r="N1141" s="532"/>
      <c r="O1141" s="532"/>
      <c r="P1141" s="532"/>
      <c r="Q1141" s="532"/>
      <c r="R1141" s="532"/>
      <c r="S1141" s="532"/>
      <c r="T1141" s="693"/>
      <c r="U1141" s="693"/>
    </row>
    <row r="1142">
      <c r="A1142" s="692"/>
      <c r="B1142" s="532"/>
      <c r="C1142" s="532"/>
      <c r="D1142" s="692"/>
      <c r="E1142" s="692"/>
      <c r="F1142" s="692"/>
      <c r="G1142" s="692"/>
      <c r="H1142" s="692"/>
      <c r="I1142" s="692"/>
      <c r="J1142" s="532"/>
      <c r="K1142" s="692"/>
      <c r="L1142" s="692"/>
      <c r="M1142" s="692"/>
      <c r="N1142" s="532"/>
      <c r="O1142" s="532"/>
      <c r="P1142" s="532"/>
      <c r="Q1142" s="532"/>
      <c r="R1142" s="532"/>
      <c r="S1142" s="532"/>
      <c r="T1142" s="693"/>
      <c r="U1142" s="693"/>
    </row>
    <row r="1143">
      <c r="A1143" s="692"/>
      <c r="B1143" s="532"/>
      <c r="C1143" s="532"/>
      <c r="D1143" s="692"/>
      <c r="E1143" s="692"/>
      <c r="F1143" s="692"/>
      <c r="G1143" s="692"/>
      <c r="H1143" s="692"/>
      <c r="I1143" s="692"/>
      <c r="J1143" s="532"/>
      <c r="K1143" s="692"/>
      <c r="L1143" s="692"/>
      <c r="M1143" s="692"/>
      <c r="N1143" s="532"/>
      <c r="O1143" s="532"/>
      <c r="P1143" s="532"/>
      <c r="Q1143" s="532"/>
      <c r="R1143" s="532"/>
      <c r="S1143" s="532"/>
      <c r="T1143" s="693"/>
      <c r="U1143" s="693"/>
    </row>
    <row r="1144">
      <c r="A1144" s="692"/>
      <c r="B1144" s="532"/>
      <c r="C1144" s="532"/>
      <c r="D1144" s="692"/>
      <c r="E1144" s="692"/>
      <c r="F1144" s="692"/>
      <c r="G1144" s="692"/>
      <c r="H1144" s="692"/>
      <c r="I1144" s="692"/>
      <c r="J1144" s="532"/>
      <c r="K1144" s="692"/>
      <c r="L1144" s="692"/>
      <c r="M1144" s="692"/>
      <c r="N1144" s="532"/>
      <c r="O1144" s="532"/>
      <c r="P1144" s="532"/>
      <c r="Q1144" s="532"/>
      <c r="R1144" s="532"/>
      <c r="S1144" s="532"/>
      <c r="T1144" s="693"/>
      <c r="U1144" s="693"/>
    </row>
    <row r="1145">
      <c r="A1145" s="692"/>
      <c r="B1145" s="532"/>
      <c r="C1145" s="532"/>
      <c r="D1145" s="692"/>
      <c r="E1145" s="692"/>
      <c r="F1145" s="692"/>
      <c r="G1145" s="692"/>
      <c r="H1145" s="692"/>
      <c r="I1145" s="692"/>
      <c r="J1145" s="532"/>
      <c r="K1145" s="692"/>
      <c r="L1145" s="692"/>
      <c r="M1145" s="692"/>
      <c r="N1145" s="532"/>
      <c r="O1145" s="532"/>
      <c r="P1145" s="532"/>
      <c r="Q1145" s="532"/>
      <c r="R1145" s="532"/>
      <c r="S1145" s="532"/>
      <c r="T1145" s="693"/>
      <c r="U1145" s="693"/>
    </row>
    <row r="1146">
      <c r="A1146" s="692"/>
      <c r="B1146" s="532"/>
      <c r="C1146" s="532"/>
      <c r="D1146" s="692"/>
      <c r="E1146" s="692"/>
      <c r="F1146" s="692"/>
      <c r="G1146" s="692"/>
      <c r="H1146" s="692"/>
      <c r="I1146" s="692"/>
      <c r="J1146" s="532"/>
      <c r="K1146" s="692"/>
      <c r="L1146" s="692"/>
      <c r="M1146" s="692"/>
      <c r="N1146" s="532"/>
      <c r="O1146" s="532"/>
      <c r="P1146" s="532"/>
      <c r="Q1146" s="532"/>
      <c r="R1146" s="532"/>
      <c r="S1146" s="532"/>
      <c r="T1146" s="693"/>
      <c r="U1146" s="693"/>
    </row>
    <row r="1147">
      <c r="A1147" s="692"/>
      <c r="B1147" s="532"/>
      <c r="C1147" s="532"/>
      <c r="D1147" s="692"/>
      <c r="E1147" s="692"/>
      <c r="F1147" s="692"/>
      <c r="G1147" s="692"/>
      <c r="H1147" s="692"/>
      <c r="I1147" s="692"/>
      <c r="J1147" s="532"/>
      <c r="K1147" s="692"/>
      <c r="L1147" s="692"/>
      <c r="M1147" s="692"/>
      <c r="N1147" s="532"/>
      <c r="O1147" s="532"/>
      <c r="P1147" s="532"/>
      <c r="Q1147" s="532"/>
      <c r="R1147" s="532"/>
      <c r="S1147" s="532"/>
      <c r="T1147" s="693"/>
      <c r="U1147" s="693"/>
    </row>
    <row r="1148">
      <c r="A1148" s="692"/>
      <c r="B1148" s="532"/>
      <c r="C1148" s="532"/>
      <c r="D1148" s="692"/>
      <c r="E1148" s="692"/>
      <c r="F1148" s="692"/>
      <c r="G1148" s="692"/>
      <c r="H1148" s="692"/>
      <c r="I1148" s="692"/>
      <c r="J1148" s="532"/>
      <c r="K1148" s="692"/>
      <c r="L1148" s="692"/>
      <c r="M1148" s="692"/>
      <c r="N1148" s="532"/>
      <c r="O1148" s="532"/>
      <c r="P1148" s="532"/>
      <c r="Q1148" s="532"/>
      <c r="R1148" s="532"/>
      <c r="S1148" s="532"/>
      <c r="T1148" s="693"/>
      <c r="U1148" s="693"/>
    </row>
    <row r="1149">
      <c r="A1149" s="692"/>
      <c r="B1149" s="532"/>
      <c r="C1149" s="532"/>
      <c r="D1149" s="692"/>
      <c r="E1149" s="692"/>
      <c r="F1149" s="692"/>
      <c r="G1149" s="692"/>
      <c r="H1149" s="692"/>
      <c r="I1149" s="692"/>
      <c r="J1149" s="532"/>
      <c r="K1149" s="692"/>
      <c r="L1149" s="692"/>
      <c r="M1149" s="692"/>
      <c r="N1149" s="532"/>
      <c r="O1149" s="532"/>
      <c r="P1149" s="532"/>
      <c r="Q1149" s="532"/>
      <c r="R1149" s="532"/>
      <c r="S1149" s="532"/>
      <c r="T1149" s="693"/>
      <c r="U1149" s="693"/>
    </row>
    <row r="1150">
      <c r="A1150" s="692"/>
      <c r="B1150" s="532"/>
      <c r="C1150" s="532"/>
      <c r="D1150" s="692"/>
      <c r="E1150" s="692"/>
      <c r="F1150" s="692"/>
      <c r="G1150" s="692"/>
      <c r="H1150" s="692"/>
      <c r="I1150" s="692"/>
      <c r="J1150" s="532"/>
      <c r="K1150" s="692"/>
      <c r="L1150" s="692"/>
      <c r="M1150" s="692"/>
      <c r="N1150" s="532"/>
      <c r="O1150" s="532"/>
      <c r="P1150" s="532"/>
      <c r="Q1150" s="532"/>
      <c r="R1150" s="532"/>
      <c r="S1150" s="532"/>
      <c r="T1150" s="693"/>
      <c r="U1150" s="693"/>
    </row>
    <row r="1151">
      <c r="A1151" s="692"/>
      <c r="B1151" s="532"/>
      <c r="C1151" s="532"/>
      <c r="D1151" s="692"/>
      <c r="E1151" s="692"/>
      <c r="F1151" s="692"/>
      <c r="G1151" s="692"/>
      <c r="H1151" s="692"/>
      <c r="I1151" s="692"/>
      <c r="J1151" s="532"/>
      <c r="K1151" s="692"/>
      <c r="L1151" s="692"/>
      <c r="M1151" s="692"/>
      <c r="N1151" s="532"/>
      <c r="O1151" s="532"/>
      <c r="P1151" s="532"/>
      <c r="Q1151" s="532"/>
      <c r="R1151" s="532"/>
      <c r="S1151" s="532"/>
      <c r="T1151" s="693"/>
      <c r="U1151" s="693"/>
    </row>
    <row r="1152">
      <c r="A1152" s="692"/>
      <c r="B1152" s="532"/>
      <c r="C1152" s="532"/>
      <c r="D1152" s="692"/>
      <c r="E1152" s="692"/>
      <c r="F1152" s="692"/>
      <c r="G1152" s="692"/>
      <c r="H1152" s="692"/>
      <c r="I1152" s="692"/>
      <c r="J1152" s="532"/>
      <c r="K1152" s="692"/>
      <c r="L1152" s="692"/>
      <c r="M1152" s="692"/>
      <c r="N1152" s="532"/>
      <c r="O1152" s="532"/>
      <c r="P1152" s="532"/>
      <c r="Q1152" s="532"/>
      <c r="R1152" s="532"/>
      <c r="S1152" s="532"/>
      <c r="T1152" s="693"/>
      <c r="U1152" s="693"/>
    </row>
    <row r="1153">
      <c r="A1153" s="692"/>
      <c r="B1153" s="532"/>
      <c r="C1153" s="532"/>
      <c r="D1153" s="692"/>
      <c r="E1153" s="692"/>
      <c r="F1153" s="692"/>
      <c r="G1153" s="692"/>
      <c r="H1153" s="692"/>
      <c r="I1153" s="692"/>
      <c r="J1153" s="532"/>
      <c r="K1153" s="692"/>
      <c r="L1153" s="692"/>
      <c r="M1153" s="692"/>
      <c r="N1153" s="532"/>
      <c r="O1153" s="532"/>
      <c r="P1153" s="532"/>
      <c r="Q1153" s="532"/>
      <c r="R1153" s="532"/>
      <c r="S1153" s="532"/>
      <c r="T1153" s="693"/>
      <c r="U1153" s="693"/>
    </row>
    <row r="1154">
      <c r="A1154" s="692"/>
      <c r="B1154" s="532"/>
      <c r="C1154" s="532"/>
      <c r="D1154" s="692"/>
      <c r="E1154" s="692"/>
      <c r="F1154" s="692"/>
      <c r="G1154" s="692"/>
      <c r="H1154" s="692"/>
      <c r="I1154" s="692"/>
      <c r="J1154" s="532"/>
      <c r="K1154" s="692"/>
      <c r="L1154" s="692"/>
      <c r="M1154" s="692"/>
      <c r="N1154" s="532"/>
      <c r="O1154" s="532"/>
      <c r="P1154" s="532"/>
      <c r="Q1154" s="532"/>
      <c r="R1154" s="532"/>
      <c r="S1154" s="532"/>
      <c r="T1154" s="693"/>
      <c r="U1154" s="693"/>
    </row>
    <row r="1155">
      <c r="A1155" s="692"/>
      <c r="B1155" s="532"/>
      <c r="C1155" s="532"/>
      <c r="D1155" s="692"/>
      <c r="E1155" s="692"/>
      <c r="F1155" s="692"/>
      <c r="G1155" s="692"/>
      <c r="H1155" s="692"/>
      <c r="I1155" s="692"/>
      <c r="J1155" s="532"/>
      <c r="K1155" s="692"/>
      <c r="L1155" s="692"/>
      <c r="M1155" s="692"/>
      <c r="N1155" s="532"/>
      <c r="O1155" s="532"/>
      <c r="P1155" s="532"/>
      <c r="Q1155" s="532"/>
      <c r="R1155" s="532"/>
      <c r="S1155" s="532"/>
      <c r="T1155" s="693"/>
      <c r="U1155" s="693"/>
    </row>
    <row r="1156">
      <c r="A1156" s="692"/>
      <c r="B1156" s="532"/>
      <c r="C1156" s="532"/>
      <c r="D1156" s="692"/>
      <c r="E1156" s="692"/>
      <c r="F1156" s="692"/>
      <c r="G1156" s="692"/>
      <c r="H1156" s="692"/>
      <c r="I1156" s="692"/>
      <c r="J1156" s="532"/>
      <c r="K1156" s="692"/>
      <c r="L1156" s="692"/>
      <c r="M1156" s="692"/>
      <c r="N1156" s="532"/>
      <c r="O1156" s="532"/>
      <c r="P1156" s="532"/>
      <c r="Q1156" s="532"/>
      <c r="R1156" s="532"/>
      <c r="S1156" s="532"/>
      <c r="T1156" s="693"/>
      <c r="U1156" s="693"/>
    </row>
    <row r="1157">
      <c r="A1157" s="692"/>
      <c r="B1157" s="532"/>
      <c r="C1157" s="532"/>
      <c r="D1157" s="692"/>
      <c r="E1157" s="692"/>
      <c r="F1157" s="692"/>
      <c r="G1157" s="692"/>
      <c r="H1157" s="692"/>
      <c r="I1157" s="692"/>
      <c r="J1157" s="532"/>
      <c r="K1157" s="692"/>
      <c r="L1157" s="692"/>
      <c r="M1157" s="692"/>
      <c r="N1157" s="532"/>
      <c r="O1157" s="532"/>
      <c r="P1157" s="532"/>
      <c r="Q1157" s="532"/>
      <c r="R1157" s="532"/>
      <c r="S1157" s="532"/>
      <c r="T1157" s="693"/>
      <c r="U1157" s="693"/>
    </row>
    <row r="1158">
      <c r="A1158" s="692"/>
      <c r="B1158" s="532"/>
      <c r="C1158" s="532"/>
      <c r="D1158" s="692"/>
      <c r="E1158" s="692"/>
      <c r="F1158" s="692"/>
      <c r="G1158" s="692"/>
      <c r="H1158" s="692"/>
      <c r="I1158" s="692"/>
      <c r="J1158" s="532"/>
      <c r="K1158" s="692"/>
      <c r="L1158" s="692"/>
      <c r="M1158" s="692"/>
      <c r="N1158" s="532"/>
      <c r="O1158" s="532"/>
      <c r="P1158" s="532"/>
      <c r="Q1158" s="532"/>
      <c r="R1158" s="532"/>
      <c r="S1158" s="532"/>
      <c r="T1158" s="693"/>
      <c r="U1158" s="693"/>
    </row>
    <row r="1159">
      <c r="A1159" s="692"/>
      <c r="B1159" s="532"/>
      <c r="C1159" s="532"/>
      <c r="D1159" s="692"/>
      <c r="E1159" s="692"/>
      <c r="F1159" s="692"/>
      <c r="G1159" s="692"/>
      <c r="H1159" s="692"/>
      <c r="I1159" s="692"/>
      <c r="J1159" s="532"/>
      <c r="K1159" s="692"/>
      <c r="L1159" s="692"/>
      <c r="M1159" s="692"/>
      <c r="N1159" s="532"/>
      <c r="O1159" s="532"/>
      <c r="P1159" s="532"/>
      <c r="Q1159" s="532"/>
      <c r="R1159" s="532"/>
      <c r="S1159" s="532"/>
      <c r="T1159" s="693"/>
      <c r="U1159" s="693"/>
    </row>
    <row r="1160">
      <c r="A1160" s="692"/>
      <c r="B1160" s="532"/>
      <c r="C1160" s="532"/>
      <c r="D1160" s="692"/>
      <c r="E1160" s="692"/>
      <c r="F1160" s="692"/>
      <c r="G1160" s="692"/>
      <c r="H1160" s="692"/>
      <c r="I1160" s="692"/>
      <c r="J1160" s="532"/>
      <c r="K1160" s="692"/>
      <c r="L1160" s="692"/>
      <c r="M1160" s="692"/>
      <c r="N1160" s="532"/>
      <c r="O1160" s="532"/>
      <c r="P1160" s="532"/>
      <c r="Q1160" s="532"/>
      <c r="R1160" s="532"/>
      <c r="S1160" s="532"/>
      <c r="T1160" s="693"/>
      <c r="U1160" s="693"/>
    </row>
    <row r="1161">
      <c r="A1161" s="692"/>
      <c r="B1161" s="532"/>
      <c r="C1161" s="532"/>
      <c r="D1161" s="692"/>
      <c r="E1161" s="692"/>
      <c r="F1161" s="692"/>
      <c r="G1161" s="692"/>
      <c r="H1161" s="692"/>
      <c r="I1161" s="692"/>
      <c r="J1161" s="532"/>
      <c r="K1161" s="692"/>
      <c r="L1161" s="692"/>
      <c r="M1161" s="692"/>
      <c r="N1161" s="532"/>
      <c r="O1161" s="532"/>
      <c r="P1161" s="532"/>
      <c r="Q1161" s="532"/>
      <c r="R1161" s="532"/>
      <c r="S1161" s="532"/>
      <c r="T1161" s="693"/>
      <c r="U1161" s="693"/>
    </row>
    <row r="1162">
      <c r="A1162" s="692"/>
      <c r="B1162" s="532"/>
      <c r="C1162" s="532"/>
      <c r="D1162" s="692"/>
      <c r="E1162" s="692"/>
      <c r="F1162" s="692"/>
      <c r="G1162" s="692"/>
      <c r="H1162" s="692"/>
      <c r="I1162" s="692"/>
      <c r="J1162" s="532"/>
      <c r="K1162" s="692"/>
      <c r="L1162" s="692"/>
      <c r="M1162" s="692"/>
      <c r="N1162" s="532"/>
      <c r="O1162" s="532"/>
      <c r="P1162" s="532"/>
      <c r="Q1162" s="532"/>
      <c r="R1162" s="532"/>
      <c r="S1162" s="532"/>
      <c r="T1162" s="693"/>
      <c r="U1162" s="693"/>
    </row>
    <row r="1163">
      <c r="A1163" s="692"/>
      <c r="B1163" s="532"/>
      <c r="C1163" s="532"/>
      <c r="D1163" s="692"/>
      <c r="E1163" s="692"/>
      <c r="F1163" s="692"/>
      <c r="G1163" s="692"/>
      <c r="H1163" s="692"/>
      <c r="I1163" s="692"/>
      <c r="J1163" s="532"/>
      <c r="K1163" s="692"/>
      <c r="L1163" s="692"/>
      <c r="M1163" s="692"/>
      <c r="N1163" s="532"/>
      <c r="O1163" s="532"/>
      <c r="P1163" s="532"/>
      <c r="Q1163" s="532"/>
      <c r="R1163" s="532"/>
      <c r="S1163" s="532"/>
      <c r="T1163" s="693"/>
      <c r="U1163" s="693"/>
    </row>
    <row r="1164">
      <c r="A1164" s="692"/>
      <c r="B1164" s="532"/>
      <c r="C1164" s="532"/>
      <c r="D1164" s="692"/>
      <c r="E1164" s="692"/>
      <c r="F1164" s="692"/>
      <c r="G1164" s="692"/>
      <c r="H1164" s="692"/>
      <c r="I1164" s="692"/>
      <c r="J1164" s="532"/>
      <c r="K1164" s="692"/>
      <c r="L1164" s="692"/>
      <c r="M1164" s="692"/>
      <c r="N1164" s="532"/>
      <c r="O1164" s="532"/>
      <c r="P1164" s="532"/>
      <c r="Q1164" s="532"/>
      <c r="R1164" s="532"/>
      <c r="S1164" s="532"/>
      <c r="T1164" s="693"/>
      <c r="U1164" s="693"/>
    </row>
    <row r="1165">
      <c r="A1165" s="692"/>
      <c r="B1165" s="532"/>
      <c r="C1165" s="532"/>
      <c r="D1165" s="692"/>
      <c r="E1165" s="692"/>
      <c r="F1165" s="692"/>
      <c r="G1165" s="692"/>
      <c r="H1165" s="692"/>
      <c r="I1165" s="692"/>
      <c r="J1165" s="532"/>
      <c r="K1165" s="692"/>
      <c r="L1165" s="692"/>
      <c r="M1165" s="692"/>
      <c r="N1165" s="532"/>
      <c r="O1165" s="532"/>
      <c r="P1165" s="532"/>
      <c r="Q1165" s="532"/>
      <c r="R1165" s="532"/>
      <c r="S1165" s="532"/>
      <c r="T1165" s="693"/>
      <c r="U1165" s="693"/>
    </row>
    <row r="1166">
      <c r="A1166" s="692"/>
      <c r="B1166" s="532"/>
      <c r="C1166" s="532"/>
      <c r="D1166" s="692"/>
      <c r="E1166" s="692"/>
      <c r="F1166" s="692"/>
      <c r="G1166" s="692"/>
      <c r="H1166" s="692"/>
      <c r="I1166" s="692"/>
      <c r="J1166" s="532"/>
      <c r="K1166" s="692"/>
      <c r="L1166" s="692"/>
      <c r="M1166" s="692"/>
      <c r="N1166" s="532"/>
      <c r="O1166" s="532"/>
      <c r="P1166" s="532"/>
      <c r="Q1166" s="532"/>
      <c r="R1166" s="532"/>
      <c r="S1166" s="532"/>
      <c r="T1166" s="693"/>
      <c r="U1166" s="693"/>
    </row>
    <row r="1167">
      <c r="A1167" s="692"/>
      <c r="B1167" s="532"/>
      <c r="C1167" s="532"/>
      <c r="D1167" s="692"/>
      <c r="E1167" s="692"/>
      <c r="F1167" s="692"/>
      <c r="G1167" s="692"/>
      <c r="H1167" s="692"/>
      <c r="I1167" s="692"/>
      <c r="J1167" s="532"/>
      <c r="K1167" s="692"/>
      <c r="L1167" s="692"/>
      <c r="M1167" s="692"/>
      <c r="N1167" s="532"/>
      <c r="O1167" s="532"/>
      <c r="P1167" s="532"/>
      <c r="Q1167" s="532"/>
      <c r="R1167" s="532"/>
      <c r="S1167" s="532"/>
      <c r="T1167" s="693"/>
      <c r="U1167" s="693"/>
    </row>
    <row r="1168">
      <c r="A1168" s="692"/>
      <c r="B1168" s="532"/>
      <c r="C1168" s="532"/>
      <c r="D1168" s="692"/>
      <c r="E1168" s="692"/>
      <c r="F1168" s="692"/>
      <c r="G1168" s="692"/>
      <c r="H1168" s="692"/>
      <c r="I1168" s="692"/>
      <c r="J1168" s="532"/>
      <c r="K1168" s="692"/>
      <c r="L1168" s="692"/>
      <c r="M1168" s="692"/>
      <c r="N1168" s="532"/>
      <c r="O1168" s="532"/>
      <c r="P1168" s="532"/>
      <c r="Q1168" s="532"/>
      <c r="R1168" s="532"/>
      <c r="S1168" s="532"/>
      <c r="T1168" s="693"/>
      <c r="U1168" s="693"/>
    </row>
    <row r="1169">
      <c r="A1169" s="692"/>
      <c r="B1169" s="532"/>
      <c r="C1169" s="532"/>
      <c r="D1169" s="692"/>
      <c r="E1169" s="692"/>
      <c r="F1169" s="692"/>
      <c r="G1169" s="692"/>
      <c r="H1169" s="692"/>
      <c r="I1169" s="692"/>
      <c r="J1169" s="532"/>
      <c r="K1169" s="692"/>
      <c r="L1169" s="692"/>
      <c r="M1169" s="692"/>
      <c r="N1169" s="532"/>
      <c r="O1169" s="532"/>
      <c r="P1169" s="532"/>
      <c r="Q1169" s="532"/>
      <c r="R1169" s="532"/>
      <c r="S1169" s="532"/>
      <c r="T1169" s="693"/>
      <c r="U1169" s="693"/>
    </row>
    <row r="1170">
      <c r="A1170" s="692"/>
      <c r="B1170" s="532"/>
      <c r="C1170" s="532"/>
      <c r="D1170" s="692"/>
      <c r="E1170" s="692"/>
      <c r="F1170" s="692"/>
      <c r="G1170" s="692"/>
      <c r="H1170" s="692"/>
      <c r="I1170" s="692"/>
      <c r="J1170" s="532"/>
      <c r="K1170" s="692"/>
      <c r="L1170" s="692"/>
      <c r="M1170" s="692"/>
      <c r="N1170" s="532"/>
      <c r="O1170" s="532"/>
      <c r="P1170" s="532"/>
      <c r="Q1170" s="532"/>
      <c r="R1170" s="532"/>
      <c r="S1170" s="532"/>
      <c r="T1170" s="693"/>
      <c r="U1170" s="693"/>
    </row>
    <row r="1171">
      <c r="A1171" s="692"/>
      <c r="B1171" s="532"/>
      <c r="C1171" s="532"/>
      <c r="D1171" s="692"/>
      <c r="E1171" s="692"/>
      <c r="F1171" s="692"/>
      <c r="G1171" s="692"/>
      <c r="H1171" s="692"/>
      <c r="I1171" s="692"/>
      <c r="J1171" s="532"/>
      <c r="K1171" s="692"/>
      <c r="L1171" s="692"/>
      <c r="M1171" s="692"/>
      <c r="N1171" s="532"/>
      <c r="O1171" s="532"/>
      <c r="P1171" s="532"/>
      <c r="Q1171" s="532"/>
      <c r="R1171" s="532"/>
      <c r="S1171" s="532"/>
      <c r="T1171" s="693"/>
      <c r="U1171" s="693"/>
    </row>
    <row r="1172">
      <c r="A1172" s="692"/>
      <c r="B1172" s="532"/>
      <c r="C1172" s="532"/>
      <c r="D1172" s="692"/>
      <c r="E1172" s="692"/>
      <c r="F1172" s="692"/>
      <c r="G1172" s="692"/>
      <c r="H1172" s="692"/>
      <c r="I1172" s="692"/>
      <c r="J1172" s="532"/>
      <c r="K1172" s="692"/>
      <c r="L1172" s="692"/>
      <c r="M1172" s="692"/>
      <c r="N1172" s="532"/>
      <c r="O1172" s="532"/>
      <c r="P1172" s="532"/>
      <c r="Q1172" s="532"/>
      <c r="R1172" s="532"/>
      <c r="S1172" s="532"/>
      <c r="T1172" s="693"/>
      <c r="U1172" s="693"/>
    </row>
    <row r="1173">
      <c r="A1173" s="692"/>
      <c r="B1173" s="532"/>
      <c r="C1173" s="532"/>
      <c r="D1173" s="692"/>
      <c r="E1173" s="692"/>
      <c r="F1173" s="692"/>
      <c r="G1173" s="692"/>
      <c r="H1173" s="692"/>
      <c r="I1173" s="692"/>
      <c r="J1173" s="532"/>
      <c r="K1173" s="692"/>
      <c r="L1173" s="692"/>
      <c r="M1173" s="692"/>
      <c r="N1173" s="532"/>
      <c r="O1173" s="532"/>
      <c r="P1173" s="532"/>
      <c r="Q1173" s="532"/>
      <c r="R1173" s="532"/>
      <c r="S1173" s="532"/>
      <c r="T1173" s="693"/>
      <c r="U1173" s="693"/>
    </row>
    <row r="1174">
      <c r="A1174" s="692"/>
      <c r="B1174" s="532"/>
      <c r="C1174" s="532"/>
      <c r="D1174" s="692"/>
      <c r="E1174" s="692"/>
      <c r="F1174" s="692"/>
      <c r="G1174" s="692"/>
      <c r="H1174" s="692"/>
      <c r="I1174" s="692"/>
      <c r="J1174" s="532"/>
      <c r="K1174" s="692"/>
      <c r="L1174" s="692"/>
      <c r="M1174" s="692"/>
      <c r="N1174" s="532"/>
      <c r="O1174" s="532"/>
      <c r="P1174" s="532"/>
      <c r="Q1174" s="532"/>
      <c r="R1174" s="532"/>
      <c r="S1174" s="532"/>
      <c r="T1174" s="693"/>
      <c r="U1174" s="693"/>
    </row>
    <row r="1175">
      <c r="A1175" s="692"/>
      <c r="B1175" s="532"/>
      <c r="C1175" s="532"/>
      <c r="D1175" s="692"/>
      <c r="E1175" s="692"/>
      <c r="F1175" s="692"/>
      <c r="G1175" s="692"/>
      <c r="H1175" s="692"/>
      <c r="I1175" s="692"/>
      <c r="J1175" s="532"/>
      <c r="K1175" s="692"/>
      <c r="L1175" s="692"/>
      <c r="M1175" s="692"/>
      <c r="N1175" s="532"/>
      <c r="O1175" s="532"/>
      <c r="P1175" s="532"/>
      <c r="Q1175" s="532"/>
      <c r="R1175" s="532"/>
      <c r="S1175" s="532"/>
      <c r="T1175" s="693"/>
      <c r="U1175" s="693"/>
    </row>
    <row r="1176">
      <c r="A1176" s="692"/>
      <c r="B1176" s="532"/>
      <c r="C1176" s="532"/>
      <c r="D1176" s="692"/>
      <c r="E1176" s="692"/>
      <c r="F1176" s="692"/>
      <c r="G1176" s="692"/>
      <c r="H1176" s="692"/>
      <c r="I1176" s="692"/>
      <c r="J1176" s="532"/>
      <c r="K1176" s="692"/>
      <c r="L1176" s="692"/>
      <c r="M1176" s="692"/>
      <c r="N1176" s="532"/>
      <c r="O1176" s="532"/>
      <c r="P1176" s="532"/>
      <c r="Q1176" s="532"/>
      <c r="R1176" s="532"/>
      <c r="S1176" s="532"/>
      <c r="T1176" s="693"/>
      <c r="U1176" s="693"/>
    </row>
    <row r="1177">
      <c r="A1177" s="692"/>
      <c r="B1177" s="532"/>
      <c r="C1177" s="532"/>
      <c r="D1177" s="692"/>
      <c r="E1177" s="692"/>
      <c r="F1177" s="692"/>
      <c r="G1177" s="692"/>
      <c r="H1177" s="692"/>
      <c r="I1177" s="692"/>
      <c r="J1177" s="532"/>
      <c r="K1177" s="692"/>
      <c r="L1177" s="692"/>
      <c r="M1177" s="692"/>
      <c r="N1177" s="532"/>
      <c r="O1177" s="532"/>
      <c r="P1177" s="532"/>
      <c r="Q1177" s="532"/>
      <c r="R1177" s="532"/>
      <c r="S1177" s="532"/>
      <c r="T1177" s="693"/>
      <c r="U1177" s="693"/>
    </row>
    <row r="1178">
      <c r="A1178" s="692"/>
      <c r="B1178" s="532"/>
      <c r="C1178" s="532"/>
      <c r="D1178" s="692"/>
      <c r="E1178" s="692"/>
      <c r="F1178" s="692"/>
      <c r="G1178" s="692"/>
      <c r="H1178" s="692"/>
      <c r="I1178" s="692"/>
      <c r="J1178" s="532"/>
      <c r="K1178" s="692"/>
      <c r="L1178" s="692"/>
      <c r="M1178" s="692"/>
      <c r="N1178" s="532"/>
      <c r="O1178" s="532"/>
      <c r="P1178" s="532"/>
      <c r="Q1178" s="532"/>
      <c r="R1178" s="532"/>
      <c r="S1178" s="532"/>
      <c r="T1178" s="693"/>
      <c r="U1178" s="693"/>
    </row>
    <row r="1179">
      <c r="A1179" s="692"/>
      <c r="B1179" s="532"/>
      <c r="C1179" s="532"/>
      <c r="D1179" s="692"/>
      <c r="E1179" s="692"/>
      <c r="F1179" s="692"/>
      <c r="G1179" s="692"/>
      <c r="H1179" s="692"/>
      <c r="I1179" s="692"/>
      <c r="J1179" s="532"/>
      <c r="K1179" s="692"/>
      <c r="L1179" s="692"/>
      <c r="M1179" s="692"/>
      <c r="N1179" s="532"/>
      <c r="O1179" s="532"/>
      <c r="P1179" s="532"/>
      <c r="Q1179" s="532"/>
      <c r="R1179" s="532"/>
      <c r="S1179" s="532"/>
      <c r="T1179" s="693"/>
      <c r="U1179" s="693"/>
    </row>
    <row r="1180">
      <c r="A1180" s="692"/>
      <c r="B1180" s="532"/>
      <c r="C1180" s="532"/>
      <c r="D1180" s="692"/>
      <c r="E1180" s="692"/>
      <c r="F1180" s="692"/>
      <c r="G1180" s="692"/>
      <c r="H1180" s="692"/>
      <c r="I1180" s="692"/>
      <c r="J1180" s="532"/>
      <c r="K1180" s="692"/>
      <c r="L1180" s="692"/>
      <c r="M1180" s="692"/>
      <c r="N1180" s="532"/>
      <c r="O1180" s="532"/>
      <c r="P1180" s="532"/>
      <c r="Q1180" s="532"/>
      <c r="R1180" s="532"/>
      <c r="S1180" s="532"/>
      <c r="T1180" s="693"/>
      <c r="U1180" s="693"/>
    </row>
    <row r="1181">
      <c r="A1181" s="692"/>
      <c r="B1181" s="532"/>
      <c r="C1181" s="532"/>
      <c r="D1181" s="692"/>
      <c r="E1181" s="692"/>
      <c r="F1181" s="692"/>
      <c r="G1181" s="692"/>
      <c r="H1181" s="692"/>
      <c r="I1181" s="692"/>
      <c r="J1181" s="532"/>
      <c r="K1181" s="692"/>
      <c r="L1181" s="692"/>
      <c r="M1181" s="692"/>
      <c r="N1181" s="532"/>
      <c r="O1181" s="532"/>
      <c r="P1181" s="532"/>
      <c r="Q1181" s="532"/>
      <c r="R1181" s="532"/>
      <c r="S1181" s="532"/>
      <c r="T1181" s="693"/>
      <c r="U1181" s="693"/>
    </row>
    <row r="1182">
      <c r="A1182" s="692"/>
      <c r="B1182" s="532"/>
      <c r="C1182" s="532"/>
      <c r="D1182" s="692"/>
      <c r="E1182" s="692"/>
      <c r="F1182" s="692"/>
      <c r="G1182" s="692"/>
      <c r="H1182" s="692"/>
      <c r="I1182" s="692"/>
      <c r="J1182" s="532"/>
      <c r="K1182" s="692"/>
      <c r="L1182" s="692"/>
      <c r="M1182" s="692"/>
      <c r="N1182" s="532"/>
      <c r="O1182" s="532"/>
      <c r="P1182" s="532"/>
      <c r="Q1182" s="532"/>
      <c r="R1182" s="532"/>
      <c r="S1182" s="532"/>
      <c r="T1182" s="693"/>
      <c r="U1182" s="693"/>
    </row>
    <row r="1183">
      <c r="A1183" s="692"/>
      <c r="B1183" s="532"/>
      <c r="C1183" s="532"/>
      <c r="D1183" s="692"/>
      <c r="E1183" s="692"/>
      <c r="F1183" s="692"/>
      <c r="G1183" s="692"/>
      <c r="H1183" s="692"/>
      <c r="I1183" s="692"/>
      <c r="J1183" s="532"/>
      <c r="K1183" s="692"/>
      <c r="L1183" s="692"/>
      <c r="M1183" s="692"/>
      <c r="N1183" s="532"/>
      <c r="O1183" s="532"/>
      <c r="P1183" s="532"/>
      <c r="Q1183" s="532"/>
      <c r="R1183" s="532"/>
      <c r="S1183" s="532"/>
      <c r="T1183" s="693"/>
      <c r="U1183" s="693"/>
    </row>
    <row r="1184">
      <c r="A1184" s="692"/>
      <c r="B1184" s="532"/>
      <c r="C1184" s="532"/>
      <c r="D1184" s="692"/>
      <c r="E1184" s="692"/>
      <c r="F1184" s="692"/>
      <c r="G1184" s="692"/>
      <c r="H1184" s="692"/>
      <c r="I1184" s="692"/>
      <c r="J1184" s="532"/>
      <c r="K1184" s="692"/>
      <c r="L1184" s="692"/>
      <c r="M1184" s="692"/>
      <c r="N1184" s="532"/>
      <c r="O1184" s="532"/>
      <c r="P1184" s="532"/>
      <c r="Q1184" s="532"/>
      <c r="R1184" s="532"/>
      <c r="S1184" s="532"/>
      <c r="T1184" s="693"/>
      <c r="U1184" s="693"/>
    </row>
    <row r="1185">
      <c r="A1185" s="692"/>
      <c r="B1185" s="532"/>
      <c r="C1185" s="532"/>
      <c r="D1185" s="692"/>
      <c r="E1185" s="692"/>
      <c r="F1185" s="692"/>
      <c r="G1185" s="692"/>
      <c r="H1185" s="692"/>
      <c r="I1185" s="692"/>
      <c r="J1185" s="532"/>
      <c r="K1185" s="692"/>
      <c r="L1185" s="692"/>
      <c r="M1185" s="692"/>
      <c r="N1185" s="532"/>
      <c r="O1185" s="532"/>
      <c r="P1185" s="532"/>
      <c r="Q1185" s="532"/>
      <c r="R1185" s="532"/>
      <c r="S1185" s="532"/>
      <c r="T1185" s="693"/>
      <c r="U1185" s="693"/>
    </row>
    <row r="1186">
      <c r="A1186" s="692"/>
      <c r="B1186" s="532"/>
      <c r="C1186" s="532"/>
      <c r="D1186" s="692"/>
      <c r="E1186" s="692"/>
      <c r="F1186" s="692"/>
      <c r="G1186" s="692"/>
      <c r="H1186" s="692"/>
      <c r="I1186" s="692"/>
      <c r="J1186" s="532"/>
      <c r="K1186" s="692"/>
      <c r="L1186" s="692"/>
      <c r="M1186" s="692"/>
      <c r="N1186" s="532"/>
      <c r="O1186" s="532"/>
      <c r="P1186" s="532"/>
      <c r="Q1186" s="532"/>
      <c r="R1186" s="532"/>
      <c r="S1186" s="532"/>
      <c r="T1186" s="693"/>
      <c r="U1186" s="693"/>
    </row>
    <row r="1187">
      <c r="A1187" s="692"/>
      <c r="B1187" s="532"/>
      <c r="C1187" s="532"/>
      <c r="D1187" s="692"/>
      <c r="E1187" s="692"/>
      <c r="F1187" s="692"/>
      <c r="G1187" s="692"/>
      <c r="H1187" s="692"/>
      <c r="I1187" s="692"/>
      <c r="J1187" s="532"/>
      <c r="K1187" s="692"/>
      <c r="L1187" s="692"/>
      <c r="M1187" s="692"/>
      <c r="N1187" s="532"/>
      <c r="O1187" s="532"/>
      <c r="P1187" s="532"/>
      <c r="Q1187" s="532"/>
      <c r="R1187" s="532"/>
      <c r="S1187" s="532"/>
      <c r="T1187" s="693"/>
      <c r="U1187" s="693"/>
    </row>
    <row r="1188">
      <c r="A1188" s="692"/>
      <c r="B1188" s="532"/>
      <c r="C1188" s="532"/>
      <c r="D1188" s="692"/>
      <c r="E1188" s="692"/>
      <c r="F1188" s="692"/>
      <c r="G1188" s="692"/>
      <c r="H1188" s="692"/>
      <c r="I1188" s="692"/>
      <c r="J1188" s="532"/>
      <c r="K1188" s="692"/>
      <c r="L1188" s="692"/>
      <c r="M1188" s="692"/>
      <c r="N1188" s="532"/>
      <c r="O1188" s="532"/>
      <c r="P1188" s="532"/>
      <c r="Q1188" s="532"/>
      <c r="R1188" s="532"/>
      <c r="S1188" s="532"/>
      <c r="T1188" s="693"/>
      <c r="U1188" s="693"/>
    </row>
    <row r="1189">
      <c r="A1189" s="692"/>
      <c r="B1189" s="532"/>
      <c r="C1189" s="532"/>
      <c r="D1189" s="692"/>
      <c r="E1189" s="692"/>
      <c r="F1189" s="692"/>
      <c r="G1189" s="692"/>
      <c r="H1189" s="692"/>
      <c r="I1189" s="692"/>
      <c r="J1189" s="532"/>
      <c r="K1189" s="692"/>
      <c r="L1189" s="692"/>
      <c r="M1189" s="692"/>
      <c r="N1189" s="532"/>
      <c r="O1189" s="532"/>
      <c r="P1189" s="532"/>
      <c r="Q1189" s="532"/>
      <c r="R1189" s="532"/>
      <c r="S1189" s="532"/>
      <c r="T1189" s="693"/>
      <c r="U1189" s="693"/>
    </row>
    <row r="1190">
      <c r="A1190" s="692"/>
      <c r="B1190" s="532"/>
      <c r="C1190" s="532"/>
      <c r="D1190" s="692"/>
      <c r="E1190" s="692"/>
      <c r="F1190" s="692"/>
      <c r="G1190" s="692"/>
      <c r="H1190" s="692"/>
      <c r="I1190" s="692"/>
      <c r="J1190" s="532"/>
      <c r="K1190" s="692"/>
      <c r="L1190" s="692"/>
      <c r="M1190" s="692"/>
      <c r="N1190" s="532"/>
      <c r="O1190" s="532"/>
      <c r="P1190" s="532"/>
      <c r="Q1190" s="532"/>
      <c r="R1190" s="532"/>
      <c r="S1190" s="532"/>
      <c r="T1190" s="693"/>
      <c r="U1190" s="693"/>
    </row>
    <row r="1191">
      <c r="A1191" s="692"/>
      <c r="B1191" s="532"/>
      <c r="C1191" s="532"/>
      <c r="D1191" s="692"/>
      <c r="E1191" s="692"/>
      <c r="F1191" s="692"/>
      <c r="G1191" s="692"/>
      <c r="H1191" s="692"/>
      <c r="I1191" s="692"/>
      <c r="J1191" s="532"/>
      <c r="K1191" s="692"/>
      <c r="L1191" s="692"/>
      <c r="M1191" s="692"/>
      <c r="N1191" s="532"/>
      <c r="O1191" s="532"/>
      <c r="P1191" s="532"/>
      <c r="Q1191" s="532"/>
      <c r="R1191" s="532"/>
      <c r="S1191" s="532"/>
      <c r="T1191" s="693"/>
      <c r="U1191" s="693"/>
    </row>
    <row r="1192">
      <c r="A1192" s="692"/>
      <c r="B1192" s="532"/>
      <c r="C1192" s="532"/>
      <c r="D1192" s="692"/>
      <c r="E1192" s="692"/>
      <c r="F1192" s="692"/>
      <c r="G1192" s="692"/>
      <c r="H1192" s="692"/>
      <c r="I1192" s="692"/>
      <c r="J1192" s="532"/>
      <c r="K1192" s="692"/>
      <c r="L1192" s="692"/>
      <c r="M1192" s="692"/>
      <c r="N1192" s="532"/>
      <c r="O1192" s="532"/>
      <c r="P1192" s="532"/>
      <c r="Q1192" s="532"/>
      <c r="R1192" s="532"/>
      <c r="S1192" s="532"/>
      <c r="T1192" s="693"/>
      <c r="U1192" s="693"/>
    </row>
    <row r="1193">
      <c r="A1193" s="692"/>
      <c r="B1193" s="532"/>
      <c r="C1193" s="532"/>
      <c r="D1193" s="692"/>
      <c r="E1193" s="692"/>
      <c r="F1193" s="692"/>
      <c r="G1193" s="692"/>
      <c r="H1193" s="692"/>
      <c r="I1193" s="692"/>
      <c r="J1193" s="532"/>
      <c r="K1193" s="692"/>
      <c r="L1193" s="692"/>
      <c r="M1193" s="692"/>
      <c r="N1193" s="532"/>
      <c r="O1193" s="532"/>
      <c r="P1193" s="532"/>
      <c r="Q1193" s="532"/>
      <c r="R1193" s="532"/>
      <c r="S1193" s="532"/>
      <c r="T1193" s="693"/>
      <c r="U1193" s="693"/>
    </row>
    <row r="1194">
      <c r="A1194" s="692"/>
      <c r="B1194" s="532"/>
      <c r="C1194" s="532"/>
      <c r="D1194" s="692"/>
      <c r="E1194" s="692"/>
      <c r="F1194" s="692"/>
      <c r="G1194" s="692"/>
      <c r="H1194" s="692"/>
      <c r="I1194" s="692"/>
      <c r="J1194" s="532"/>
      <c r="K1194" s="692"/>
      <c r="L1194" s="692"/>
      <c r="M1194" s="692"/>
      <c r="N1194" s="532"/>
      <c r="O1194" s="532"/>
      <c r="P1194" s="532"/>
      <c r="Q1194" s="532"/>
      <c r="R1194" s="532"/>
      <c r="S1194" s="532"/>
      <c r="T1194" s="693"/>
      <c r="U1194" s="693"/>
    </row>
    <row r="1195">
      <c r="A1195" s="692"/>
      <c r="B1195" s="532"/>
      <c r="C1195" s="532"/>
      <c r="D1195" s="692"/>
      <c r="E1195" s="692"/>
      <c r="F1195" s="692"/>
      <c r="G1195" s="692"/>
      <c r="H1195" s="692"/>
      <c r="I1195" s="692"/>
      <c r="J1195" s="532"/>
      <c r="K1195" s="692"/>
      <c r="L1195" s="692"/>
      <c r="M1195" s="692"/>
      <c r="N1195" s="532"/>
      <c r="O1195" s="532"/>
      <c r="P1195" s="532"/>
      <c r="Q1195" s="532"/>
      <c r="R1195" s="532"/>
      <c r="S1195" s="532"/>
      <c r="T1195" s="693"/>
      <c r="U1195" s="693"/>
    </row>
    <row r="1196">
      <c r="A1196" s="692"/>
      <c r="B1196" s="532"/>
      <c r="C1196" s="532"/>
      <c r="D1196" s="692"/>
      <c r="E1196" s="692"/>
      <c r="F1196" s="692"/>
      <c r="G1196" s="692"/>
      <c r="H1196" s="692"/>
      <c r="I1196" s="692"/>
      <c r="J1196" s="532"/>
      <c r="K1196" s="692"/>
      <c r="L1196" s="692"/>
      <c r="M1196" s="692"/>
      <c r="N1196" s="532"/>
      <c r="O1196" s="532"/>
      <c r="P1196" s="532"/>
      <c r="Q1196" s="532"/>
      <c r="R1196" s="532"/>
      <c r="S1196" s="532"/>
      <c r="T1196" s="693"/>
      <c r="U1196" s="693"/>
    </row>
    <row r="1197">
      <c r="A1197" s="692"/>
      <c r="B1197" s="532"/>
      <c r="C1197" s="532"/>
      <c r="D1197" s="692"/>
      <c r="E1197" s="692"/>
      <c r="F1197" s="692"/>
      <c r="G1197" s="692"/>
      <c r="H1197" s="692"/>
      <c r="I1197" s="692"/>
      <c r="J1197" s="532"/>
      <c r="K1197" s="692"/>
      <c r="L1197" s="692"/>
      <c r="M1197" s="692"/>
      <c r="N1197" s="532"/>
      <c r="O1197" s="532"/>
      <c r="P1197" s="532"/>
      <c r="Q1197" s="532"/>
      <c r="R1197" s="532"/>
      <c r="S1197" s="532"/>
      <c r="T1197" s="693"/>
      <c r="U1197" s="693"/>
    </row>
    <row r="1198">
      <c r="A1198" s="692"/>
      <c r="B1198" s="532"/>
      <c r="C1198" s="532"/>
      <c r="D1198" s="692"/>
      <c r="E1198" s="692"/>
      <c r="F1198" s="692"/>
      <c r="G1198" s="692"/>
      <c r="H1198" s="692"/>
      <c r="I1198" s="692"/>
      <c r="J1198" s="532"/>
      <c r="K1198" s="692"/>
      <c r="L1198" s="692"/>
      <c r="M1198" s="692"/>
      <c r="N1198" s="532"/>
      <c r="O1198" s="532"/>
      <c r="P1198" s="532"/>
      <c r="Q1198" s="532"/>
      <c r="R1198" s="532"/>
      <c r="S1198" s="532"/>
      <c r="T1198" s="693"/>
      <c r="U1198" s="693"/>
    </row>
    <row r="1199">
      <c r="A1199" s="692"/>
      <c r="B1199" s="532"/>
      <c r="C1199" s="532"/>
      <c r="D1199" s="692"/>
      <c r="E1199" s="692"/>
      <c r="F1199" s="692"/>
      <c r="G1199" s="692"/>
      <c r="H1199" s="692"/>
      <c r="I1199" s="692"/>
      <c r="J1199" s="532"/>
      <c r="K1199" s="692"/>
      <c r="L1199" s="692"/>
      <c r="M1199" s="692"/>
      <c r="N1199" s="532"/>
      <c r="O1199" s="532"/>
      <c r="P1199" s="532"/>
      <c r="Q1199" s="532"/>
      <c r="R1199" s="532"/>
      <c r="S1199" s="532"/>
      <c r="T1199" s="693"/>
      <c r="U1199" s="693"/>
    </row>
    <row r="1200">
      <c r="A1200" s="692"/>
      <c r="B1200" s="532"/>
      <c r="C1200" s="532"/>
      <c r="D1200" s="692"/>
      <c r="E1200" s="692"/>
      <c r="F1200" s="692"/>
      <c r="G1200" s="692"/>
      <c r="H1200" s="692"/>
      <c r="I1200" s="692"/>
      <c r="J1200" s="532"/>
      <c r="K1200" s="692"/>
      <c r="L1200" s="692"/>
      <c r="M1200" s="692"/>
      <c r="N1200" s="532"/>
      <c r="O1200" s="532"/>
      <c r="P1200" s="532"/>
      <c r="Q1200" s="532"/>
      <c r="R1200" s="532"/>
      <c r="S1200" s="532"/>
      <c r="T1200" s="693"/>
      <c r="U1200" s="693"/>
    </row>
    <row r="1201">
      <c r="A1201" s="692"/>
      <c r="B1201" s="532"/>
      <c r="C1201" s="532"/>
      <c r="D1201" s="692"/>
      <c r="E1201" s="692"/>
      <c r="F1201" s="692"/>
      <c r="G1201" s="692"/>
      <c r="H1201" s="692"/>
      <c r="I1201" s="692"/>
      <c r="J1201" s="532"/>
      <c r="K1201" s="692"/>
      <c r="L1201" s="692"/>
      <c r="M1201" s="692"/>
      <c r="N1201" s="532"/>
      <c r="O1201" s="532"/>
      <c r="P1201" s="532"/>
      <c r="Q1201" s="532"/>
      <c r="R1201" s="532"/>
      <c r="S1201" s="532"/>
      <c r="T1201" s="693"/>
      <c r="U1201" s="693"/>
    </row>
    <row r="1202">
      <c r="A1202" s="692"/>
      <c r="B1202" s="532"/>
      <c r="C1202" s="532"/>
      <c r="D1202" s="692"/>
      <c r="E1202" s="692"/>
      <c r="F1202" s="692"/>
      <c r="G1202" s="692"/>
      <c r="H1202" s="692"/>
      <c r="I1202" s="692"/>
      <c r="J1202" s="532"/>
      <c r="K1202" s="692"/>
      <c r="L1202" s="692"/>
      <c r="M1202" s="692"/>
      <c r="N1202" s="532"/>
      <c r="O1202" s="532"/>
      <c r="P1202" s="532"/>
      <c r="Q1202" s="532"/>
      <c r="R1202" s="532"/>
      <c r="S1202" s="532"/>
      <c r="T1202" s="693"/>
      <c r="U1202" s="693"/>
    </row>
    <row r="1203">
      <c r="A1203" s="692"/>
      <c r="B1203" s="532"/>
      <c r="C1203" s="532"/>
      <c r="D1203" s="692"/>
      <c r="E1203" s="692"/>
      <c r="F1203" s="692"/>
      <c r="G1203" s="692"/>
      <c r="H1203" s="692"/>
      <c r="I1203" s="692"/>
      <c r="J1203" s="532"/>
      <c r="K1203" s="692"/>
      <c r="L1203" s="692"/>
      <c r="M1203" s="692"/>
      <c r="N1203" s="532"/>
      <c r="O1203" s="532"/>
      <c r="P1203" s="532"/>
      <c r="Q1203" s="532"/>
      <c r="R1203" s="532"/>
      <c r="S1203" s="532"/>
      <c r="T1203" s="693"/>
      <c r="U1203" s="693"/>
    </row>
    <row r="1204">
      <c r="A1204" s="692"/>
      <c r="B1204" s="532"/>
      <c r="C1204" s="532"/>
      <c r="D1204" s="692"/>
      <c r="E1204" s="692"/>
      <c r="F1204" s="692"/>
      <c r="G1204" s="692"/>
      <c r="H1204" s="692"/>
      <c r="I1204" s="692"/>
      <c r="J1204" s="532"/>
      <c r="K1204" s="692"/>
      <c r="L1204" s="692"/>
      <c r="M1204" s="692"/>
      <c r="N1204" s="532"/>
      <c r="O1204" s="532"/>
      <c r="P1204" s="532"/>
      <c r="Q1204" s="532"/>
      <c r="R1204" s="532"/>
      <c r="S1204" s="532"/>
      <c r="T1204" s="693"/>
      <c r="U1204" s="693"/>
    </row>
    <row r="1205">
      <c r="A1205" s="692"/>
      <c r="B1205" s="532"/>
      <c r="C1205" s="532"/>
      <c r="D1205" s="692"/>
      <c r="E1205" s="692"/>
      <c r="F1205" s="692"/>
      <c r="G1205" s="692"/>
      <c r="H1205" s="692"/>
      <c r="I1205" s="692"/>
      <c r="J1205" s="532"/>
      <c r="K1205" s="692"/>
      <c r="L1205" s="692"/>
      <c r="M1205" s="692"/>
      <c r="N1205" s="532"/>
      <c r="O1205" s="532"/>
      <c r="P1205" s="532"/>
      <c r="Q1205" s="532"/>
      <c r="R1205" s="532"/>
      <c r="S1205" s="532"/>
      <c r="T1205" s="693"/>
      <c r="U1205" s="693"/>
    </row>
    <row r="1206">
      <c r="A1206" s="692"/>
      <c r="B1206" s="532"/>
      <c r="C1206" s="532"/>
      <c r="D1206" s="692"/>
      <c r="E1206" s="692"/>
      <c r="F1206" s="692"/>
      <c r="G1206" s="692"/>
      <c r="H1206" s="692"/>
      <c r="I1206" s="692"/>
      <c r="J1206" s="532"/>
      <c r="K1206" s="692"/>
      <c r="L1206" s="692"/>
      <c r="M1206" s="692"/>
      <c r="N1206" s="532"/>
      <c r="O1206" s="532"/>
      <c r="P1206" s="532"/>
      <c r="Q1206" s="532"/>
      <c r="R1206" s="532"/>
      <c r="S1206" s="532"/>
      <c r="T1206" s="693"/>
      <c r="U1206" s="693"/>
    </row>
    <row r="1207">
      <c r="A1207" s="692"/>
      <c r="B1207" s="532"/>
      <c r="C1207" s="532"/>
      <c r="D1207" s="692"/>
      <c r="E1207" s="692"/>
      <c r="F1207" s="692"/>
      <c r="G1207" s="692"/>
      <c r="H1207" s="692"/>
      <c r="I1207" s="692"/>
      <c r="J1207" s="532"/>
      <c r="K1207" s="692"/>
      <c r="L1207" s="692"/>
      <c r="M1207" s="692"/>
      <c r="N1207" s="532"/>
      <c r="O1207" s="532"/>
      <c r="P1207" s="532"/>
      <c r="Q1207" s="532"/>
      <c r="R1207" s="532"/>
      <c r="S1207" s="532"/>
      <c r="T1207" s="693"/>
      <c r="U1207" s="693"/>
    </row>
    <row r="1208">
      <c r="A1208" s="692"/>
      <c r="B1208" s="532"/>
      <c r="C1208" s="532"/>
      <c r="D1208" s="692"/>
      <c r="E1208" s="692"/>
      <c r="F1208" s="692"/>
      <c r="G1208" s="692"/>
      <c r="H1208" s="692"/>
      <c r="I1208" s="692"/>
      <c r="J1208" s="532"/>
      <c r="K1208" s="692"/>
      <c r="L1208" s="692"/>
      <c r="M1208" s="692"/>
      <c r="N1208" s="532"/>
      <c r="O1208" s="532"/>
      <c r="P1208" s="532"/>
      <c r="Q1208" s="532"/>
      <c r="R1208" s="532"/>
      <c r="S1208" s="532"/>
      <c r="T1208" s="693"/>
      <c r="U1208" s="693"/>
    </row>
    <row r="1209">
      <c r="A1209" s="692"/>
      <c r="B1209" s="532"/>
      <c r="C1209" s="532"/>
      <c r="D1209" s="692"/>
      <c r="E1209" s="692"/>
      <c r="F1209" s="692"/>
      <c r="G1209" s="692"/>
      <c r="H1209" s="692"/>
      <c r="I1209" s="692"/>
      <c r="J1209" s="532"/>
      <c r="K1209" s="692"/>
      <c r="L1209" s="692"/>
      <c r="M1209" s="692"/>
      <c r="N1209" s="532"/>
      <c r="O1209" s="532"/>
      <c r="P1209" s="532"/>
      <c r="Q1209" s="532"/>
      <c r="R1209" s="532"/>
      <c r="S1209" s="532"/>
      <c r="T1209" s="693"/>
      <c r="U1209" s="693"/>
    </row>
    <row r="1210">
      <c r="A1210" s="692"/>
      <c r="B1210" s="532"/>
      <c r="C1210" s="532"/>
      <c r="D1210" s="692"/>
      <c r="E1210" s="692"/>
      <c r="F1210" s="692"/>
      <c r="G1210" s="692"/>
      <c r="H1210" s="692"/>
      <c r="I1210" s="692"/>
      <c r="J1210" s="532"/>
      <c r="K1210" s="692"/>
      <c r="L1210" s="692"/>
      <c r="M1210" s="692"/>
      <c r="N1210" s="532"/>
      <c r="O1210" s="532"/>
      <c r="P1210" s="532"/>
      <c r="Q1210" s="532"/>
      <c r="R1210" s="532"/>
      <c r="S1210" s="532"/>
      <c r="T1210" s="693"/>
      <c r="U1210" s="693"/>
    </row>
    <row r="1211">
      <c r="A1211" s="692"/>
      <c r="B1211" s="532"/>
      <c r="C1211" s="532"/>
      <c r="D1211" s="692"/>
      <c r="E1211" s="692"/>
      <c r="F1211" s="692"/>
      <c r="G1211" s="692"/>
      <c r="H1211" s="692"/>
      <c r="I1211" s="692"/>
      <c r="J1211" s="532"/>
      <c r="K1211" s="692"/>
      <c r="L1211" s="692"/>
      <c r="M1211" s="692"/>
      <c r="N1211" s="532"/>
      <c r="O1211" s="532"/>
      <c r="P1211" s="532"/>
      <c r="Q1211" s="532"/>
      <c r="R1211" s="532"/>
      <c r="S1211" s="532"/>
      <c r="T1211" s="693"/>
      <c r="U1211" s="693"/>
    </row>
    <row r="1212">
      <c r="A1212" s="692"/>
      <c r="B1212" s="532"/>
      <c r="C1212" s="532"/>
      <c r="D1212" s="692"/>
      <c r="E1212" s="692"/>
      <c r="F1212" s="692"/>
      <c r="G1212" s="692"/>
      <c r="H1212" s="692"/>
      <c r="I1212" s="692"/>
      <c r="J1212" s="532"/>
      <c r="K1212" s="692"/>
      <c r="L1212" s="692"/>
      <c r="M1212" s="692"/>
      <c r="N1212" s="532"/>
      <c r="O1212" s="532"/>
      <c r="P1212" s="532"/>
      <c r="Q1212" s="532"/>
      <c r="R1212" s="532"/>
      <c r="S1212" s="532"/>
      <c r="T1212" s="693"/>
      <c r="U1212" s="693"/>
    </row>
    <row r="1213">
      <c r="A1213" s="692"/>
      <c r="B1213" s="532"/>
      <c r="C1213" s="532"/>
      <c r="D1213" s="692"/>
      <c r="E1213" s="692"/>
      <c r="F1213" s="692"/>
      <c r="G1213" s="692"/>
      <c r="H1213" s="692"/>
      <c r="I1213" s="692"/>
      <c r="J1213" s="532"/>
      <c r="K1213" s="692"/>
      <c r="L1213" s="692"/>
      <c r="M1213" s="692"/>
      <c r="N1213" s="532"/>
      <c r="O1213" s="532"/>
      <c r="P1213" s="532"/>
      <c r="Q1213" s="532"/>
      <c r="R1213" s="532"/>
      <c r="S1213" s="532"/>
      <c r="T1213" s="693"/>
      <c r="U1213" s="693"/>
    </row>
    <row r="1214">
      <c r="A1214" s="692"/>
      <c r="B1214" s="532"/>
      <c r="C1214" s="532"/>
      <c r="D1214" s="692"/>
      <c r="E1214" s="692"/>
      <c r="F1214" s="692"/>
      <c r="G1214" s="692"/>
      <c r="H1214" s="692"/>
      <c r="I1214" s="692"/>
      <c r="J1214" s="532"/>
      <c r="K1214" s="692"/>
      <c r="L1214" s="692"/>
      <c r="M1214" s="692"/>
      <c r="N1214" s="532"/>
      <c r="O1214" s="532"/>
      <c r="P1214" s="532"/>
      <c r="Q1214" s="532"/>
      <c r="R1214" s="532"/>
      <c r="S1214" s="532"/>
      <c r="T1214" s="693"/>
      <c r="U1214" s="693"/>
    </row>
    <row r="1215">
      <c r="A1215" s="692"/>
      <c r="B1215" s="532"/>
      <c r="C1215" s="532"/>
      <c r="D1215" s="692"/>
      <c r="E1215" s="692"/>
      <c r="F1215" s="692"/>
      <c r="G1215" s="692"/>
      <c r="H1215" s="692"/>
      <c r="I1215" s="692"/>
      <c r="J1215" s="532"/>
      <c r="K1215" s="692"/>
      <c r="L1215" s="692"/>
      <c r="M1215" s="692"/>
      <c r="N1215" s="532"/>
      <c r="O1215" s="532"/>
      <c r="P1215" s="532"/>
      <c r="Q1215" s="532"/>
      <c r="R1215" s="532"/>
      <c r="S1215" s="532"/>
      <c r="T1215" s="693"/>
      <c r="U1215" s="693"/>
    </row>
    <row r="1216">
      <c r="A1216" s="692"/>
      <c r="B1216" s="532"/>
      <c r="C1216" s="532"/>
      <c r="D1216" s="692"/>
      <c r="E1216" s="692"/>
      <c r="F1216" s="692"/>
      <c r="G1216" s="692"/>
      <c r="H1216" s="692"/>
      <c r="I1216" s="692"/>
      <c r="J1216" s="532"/>
      <c r="K1216" s="692"/>
      <c r="L1216" s="692"/>
      <c r="M1216" s="692"/>
      <c r="N1216" s="532"/>
      <c r="O1216" s="532"/>
      <c r="P1216" s="532"/>
      <c r="Q1216" s="532"/>
      <c r="R1216" s="532"/>
      <c r="S1216" s="532"/>
      <c r="T1216" s="693"/>
      <c r="U1216" s="693"/>
    </row>
    <row r="1217">
      <c r="A1217" s="692"/>
      <c r="B1217" s="532"/>
      <c r="C1217" s="532"/>
      <c r="D1217" s="692"/>
      <c r="E1217" s="692"/>
      <c r="F1217" s="692"/>
      <c r="G1217" s="692"/>
      <c r="H1217" s="692"/>
      <c r="I1217" s="692"/>
      <c r="J1217" s="532"/>
      <c r="K1217" s="692"/>
      <c r="L1217" s="692"/>
      <c r="M1217" s="692"/>
      <c r="N1217" s="532"/>
      <c r="O1217" s="532"/>
      <c r="P1217" s="532"/>
      <c r="Q1217" s="532"/>
      <c r="R1217" s="532"/>
      <c r="S1217" s="532"/>
      <c r="T1217" s="693"/>
      <c r="U1217" s="693"/>
    </row>
    <row r="1218">
      <c r="A1218" s="692"/>
      <c r="B1218" s="532"/>
      <c r="C1218" s="532"/>
      <c r="D1218" s="692"/>
      <c r="E1218" s="692"/>
      <c r="F1218" s="692"/>
      <c r="G1218" s="692"/>
      <c r="H1218" s="692"/>
      <c r="I1218" s="692"/>
      <c r="J1218" s="532"/>
      <c r="K1218" s="692"/>
      <c r="L1218" s="692"/>
      <c r="M1218" s="692"/>
      <c r="N1218" s="532"/>
      <c r="O1218" s="532"/>
      <c r="P1218" s="532"/>
      <c r="Q1218" s="532"/>
      <c r="R1218" s="532"/>
      <c r="S1218" s="532"/>
      <c r="T1218" s="693"/>
      <c r="U1218" s="693"/>
    </row>
    <row r="1219">
      <c r="A1219" s="692"/>
      <c r="B1219" s="532"/>
      <c r="C1219" s="532"/>
      <c r="D1219" s="692"/>
      <c r="E1219" s="692"/>
      <c r="F1219" s="692"/>
      <c r="G1219" s="692"/>
      <c r="H1219" s="692"/>
      <c r="I1219" s="692"/>
      <c r="J1219" s="532"/>
      <c r="K1219" s="692"/>
      <c r="L1219" s="692"/>
      <c r="M1219" s="692"/>
      <c r="N1219" s="532"/>
      <c r="O1219" s="532"/>
      <c r="P1219" s="532"/>
      <c r="Q1219" s="532"/>
      <c r="R1219" s="532"/>
      <c r="S1219" s="532"/>
      <c r="T1219" s="693"/>
      <c r="U1219" s="693"/>
    </row>
    <row r="1220">
      <c r="A1220" s="692"/>
      <c r="B1220" s="532"/>
      <c r="C1220" s="532"/>
      <c r="D1220" s="692"/>
      <c r="E1220" s="692"/>
      <c r="F1220" s="692"/>
      <c r="G1220" s="692"/>
      <c r="H1220" s="692"/>
      <c r="I1220" s="692"/>
      <c r="J1220" s="532"/>
      <c r="K1220" s="692"/>
      <c r="L1220" s="692"/>
      <c r="M1220" s="692"/>
      <c r="N1220" s="532"/>
      <c r="O1220" s="532"/>
      <c r="P1220" s="532"/>
      <c r="Q1220" s="532"/>
      <c r="R1220" s="532"/>
      <c r="S1220" s="532"/>
      <c r="T1220" s="693"/>
      <c r="U1220" s="693"/>
    </row>
    <row r="1221">
      <c r="A1221" s="692"/>
      <c r="B1221" s="532"/>
      <c r="C1221" s="532"/>
      <c r="D1221" s="692"/>
      <c r="E1221" s="692"/>
      <c r="F1221" s="692"/>
      <c r="G1221" s="692"/>
      <c r="H1221" s="692"/>
      <c r="I1221" s="692"/>
      <c r="J1221" s="532"/>
      <c r="K1221" s="692"/>
      <c r="L1221" s="692"/>
      <c r="M1221" s="692"/>
      <c r="N1221" s="532"/>
      <c r="O1221" s="532"/>
      <c r="P1221" s="532"/>
      <c r="Q1221" s="532"/>
      <c r="R1221" s="532"/>
      <c r="S1221" s="532"/>
      <c r="T1221" s="693"/>
      <c r="U1221" s="693"/>
    </row>
    <row r="1222">
      <c r="A1222" s="692"/>
      <c r="B1222" s="532"/>
      <c r="C1222" s="532"/>
      <c r="D1222" s="692"/>
      <c r="E1222" s="692"/>
      <c r="F1222" s="692"/>
      <c r="G1222" s="692"/>
      <c r="H1222" s="692"/>
      <c r="I1222" s="692"/>
      <c r="J1222" s="532"/>
      <c r="K1222" s="692"/>
      <c r="L1222" s="692"/>
      <c r="M1222" s="692"/>
      <c r="N1222" s="532"/>
      <c r="O1222" s="532"/>
      <c r="P1222" s="532"/>
      <c r="Q1222" s="532"/>
      <c r="R1222" s="532"/>
      <c r="S1222" s="532"/>
      <c r="T1222" s="693"/>
      <c r="U1222" s="693"/>
    </row>
    <row r="1223">
      <c r="A1223" s="692"/>
      <c r="B1223" s="532"/>
      <c r="C1223" s="532"/>
      <c r="D1223" s="692"/>
      <c r="E1223" s="692"/>
      <c r="F1223" s="692"/>
      <c r="G1223" s="692"/>
      <c r="H1223" s="692"/>
      <c r="I1223" s="692"/>
      <c r="J1223" s="532"/>
      <c r="K1223" s="692"/>
      <c r="L1223" s="692"/>
      <c r="M1223" s="692"/>
      <c r="N1223" s="532"/>
      <c r="O1223" s="532"/>
      <c r="P1223" s="532"/>
      <c r="Q1223" s="532"/>
      <c r="R1223" s="532"/>
      <c r="S1223" s="532"/>
      <c r="T1223" s="693"/>
      <c r="U1223" s="693"/>
    </row>
    <row r="1224">
      <c r="A1224" s="692"/>
      <c r="B1224" s="532"/>
      <c r="C1224" s="532"/>
      <c r="D1224" s="692"/>
      <c r="E1224" s="692"/>
      <c r="F1224" s="692"/>
      <c r="G1224" s="692"/>
      <c r="H1224" s="692"/>
      <c r="I1224" s="692"/>
      <c r="J1224" s="532"/>
      <c r="K1224" s="692"/>
      <c r="L1224" s="692"/>
      <c r="M1224" s="692"/>
      <c r="N1224" s="532"/>
      <c r="O1224" s="532"/>
      <c r="P1224" s="532"/>
      <c r="Q1224" s="532"/>
      <c r="R1224" s="532"/>
      <c r="S1224" s="532"/>
      <c r="T1224" s="693"/>
      <c r="U1224" s="693"/>
    </row>
    <row r="1225">
      <c r="A1225" s="692"/>
      <c r="B1225" s="532"/>
      <c r="C1225" s="532"/>
      <c r="D1225" s="692"/>
      <c r="E1225" s="692"/>
      <c r="F1225" s="692"/>
      <c r="G1225" s="692"/>
      <c r="H1225" s="692"/>
      <c r="I1225" s="692"/>
      <c r="J1225" s="532"/>
      <c r="K1225" s="692"/>
      <c r="L1225" s="692"/>
      <c r="M1225" s="692"/>
      <c r="N1225" s="532"/>
      <c r="O1225" s="532"/>
      <c r="P1225" s="532"/>
      <c r="Q1225" s="532"/>
      <c r="R1225" s="532"/>
      <c r="S1225" s="532"/>
      <c r="T1225" s="693"/>
      <c r="U1225" s="693"/>
    </row>
    <row r="1226">
      <c r="A1226" s="692"/>
      <c r="B1226" s="532"/>
      <c r="C1226" s="532"/>
      <c r="D1226" s="692"/>
      <c r="E1226" s="692"/>
      <c r="F1226" s="692"/>
      <c r="G1226" s="692"/>
      <c r="H1226" s="692"/>
      <c r="I1226" s="692"/>
      <c r="J1226" s="532"/>
      <c r="K1226" s="692"/>
      <c r="L1226" s="692"/>
      <c r="M1226" s="692"/>
      <c r="N1226" s="532"/>
      <c r="O1226" s="532"/>
      <c r="P1226" s="532"/>
      <c r="Q1226" s="532"/>
      <c r="R1226" s="532"/>
      <c r="S1226" s="532"/>
      <c r="T1226" s="693"/>
      <c r="U1226" s="693"/>
    </row>
    <row r="1227">
      <c r="A1227" s="692"/>
      <c r="B1227" s="532"/>
      <c r="C1227" s="532"/>
      <c r="D1227" s="692"/>
      <c r="E1227" s="692"/>
      <c r="F1227" s="692"/>
      <c r="G1227" s="692"/>
      <c r="H1227" s="692"/>
      <c r="I1227" s="692"/>
      <c r="J1227" s="532"/>
      <c r="K1227" s="692"/>
      <c r="L1227" s="692"/>
      <c r="M1227" s="692"/>
      <c r="N1227" s="532"/>
      <c r="O1227" s="532"/>
      <c r="P1227" s="532"/>
      <c r="Q1227" s="532"/>
      <c r="R1227" s="532"/>
      <c r="S1227" s="532"/>
      <c r="T1227" s="693"/>
      <c r="U1227" s="693"/>
    </row>
    <row r="1228">
      <c r="A1228" s="692"/>
      <c r="B1228" s="532"/>
      <c r="C1228" s="532"/>
      <c r="D1228" s="692"/>
      <c r="E1228" s="692"/>
      <c r="F1228" s="692"/>
      <c r="G1228" s="692"/>
      <c r="H1228" s="692"/>
      <c r="I1228" s="692"/>
      <c r="J1228" s="532"/>
      <c r="K1228" s="692"/>
      <c r="L1228" s="692"/>
      <c r="M1228" s="692"/>
      <c r="N1228" s="532"/>
      <c r="O1228" s="532"/>
      <c r="P1228" s="532"/>
      <c r="Q1228" s="532"/>
      <c r="R1228" s="532"/>
      <c r="S1228" s="532"/>
      <c r="T1228" s="693"/>
      <c r="U1228" s="693"/>
    </row>
    <row r="1229">
      <c r="A1229" s="692"/>
      <c r="B1229" s="532"/>
      <c r="C1229" s="532"/>
      <c r="D1229" s="692"/>
      <c r="E1229" s="692"/>
      <c r="F1229" s="692"/>
      <c r="G1229" s="692"/>
      <c r="H1229" s="692"/>
      <c r="I1229" s="692"/>
      <c r="J1229" s="532"/>
      <c r="K1229" s="692"/>
      <c r="L1229" s="692"/>
      <c r="M1229" s="692"/>
      <c r="N1229" s="532"/>
      <c r="O1229" s="532"/>
      <c r="P1229" s="532"/>
      <c r="Q1229" s="532"/>
      <c r="R1229" s="532"/>
      <c r="S1229" s="532"/>
      <c r="T1229" s="693"/>
      <c r="U1229" s="693"/>
    </row>
    <row r="1230">
      <c r="A1230" s="692"/>
      <c r="B1230" s="532"/>
      <c r="C1230" s="532"/>
      <c r="D1230" s="692"/>
      <c r="E1230" s="692"/>
      <c r="F1230" s="692"/>
      <c r="G1230" s="692"/>
      <c r="H1230" s="692"/>
      <c r="I1230" s="692"/>
      <c r="J1230" s="532"/>
      <c r="K1230" s="692"/>
      <c r="L1230" s="692"/>
      <c r="M1230" s="692"/>
      <c r="N1230" s="532"/>
      <c r="O1230" s="532"/>
      <c r="P1230" s="532"/>
      <c r="Q1230" s="532"/>
      <c r="R1230" s="532"/>
      <c r="S1230" s="532"/>
      <c r="T1230" s="693"/>
      <c r="U1230" s="693"/>
    </row>
    <row r="1231">
      <c r="A1231" s="692"/>
      <c r="B1231" s="532"/>
      <c r="C1231" s="532"/>
      <c r="D1231" s="692"/>
      <c r="E1231" s="692"/>
      <c r="F1231" s="692"/>
      <c r="G1231" s="692"/>
      <c r="H1231" s="692"/>
      <c r="I1231" s="692"/>
      <c r="J1231" s="532"/>
      <c r="K1231" s="692"/>
      <c r="L1231" s="692"/>
      <c r="M1231" s="692"/>
      <c r="N1231" s="532"/>
      <c r="O1231" s="532"/>
      <c r="P1231" s="532"/>
      <c r="Q1231" s="532"/>
      <c r="R1231" s="532"/>
      <c r="S1231" s="532"/>
      <c r="T1231" s="693"/>
      <c r="U1231" s="693"/>
    </row>
    <row r="1232">
      <c r="A1232" s="692"/>
      <c r="B1232" s="532"/>
      <c r="C1232" s="532"/>
      <c r="D1232" s="692"/>
      <c r="E1232" s="692"/>
      <c r="F1232" s="692"/>
      <c r="G1232" s="692"/>
      <c r="H1232" s="692"/>
      <c r="I1232" s="692"/>
      <c r="J1232" s="532"/>
      <c r="K1232" s="692"/>
      <c r="L1232" s="692"/>
      <c r="M1232" s="692"/>
      <c r="N1232" s="532"/>
      <c r="O1232" s="532"/>
      <c r="P1232" s="532"/>
      <c r="Q1232" s="532"/>
      <c r="R1232" s="532"/>
      <c r="S1232" s="532"/>
      <c r="T1232" s="693"/>
      <c r="U1232" s="693"/>
    </row>
    <row r="1233">
      <c r="A1233" s="692"/>
      <c r="B1233" s="532"/>
      <c r="C1233" s="532"/>
      <c r="D1233" s="692"/>
      <c r="E1233" s="692"/>
      <c r="F1233" s="692"/>
      <c r="G1233" s="692"/>
      <c r="H1233" s="692"/>
      <c r="I1233" s="692"/>
      <c r="J1233" s="532"/>
      <c r="K1233" s="692"/>
      <c r="L1233" s="692"/>
      <c r="M1233" s="692"/>
      <c r="N1233" s="532"/>
      <c r="O1233" s="532"/>
      <c r="P1233" s="532"/>
      <c r="Q1233" s="532"/>
      <c r="R1233" s="532"/>
      <c r="S1233" s="532"/>
      <c r="T1233" s="693"/>
      <c r="U1233" s="693"/>
    </row>
    <row r="1234">
      <c r="A1234" s="692"/>
      <c r="B1234" s="532"/>
      <c r="C1234" s="532"/>
      <c r="D1234" s="692"/>
      <c r="E1234" s="692"/>
      <c r="F1234" s="692"/>
      <c r="G1234" s="692"/>
      <c r="H1234" s="692"/>
      <c r="I1234" s="692"/>
      <c r="J1234" s="532"/>
      <c r="K1234" s="692"/>
      <c r="L1234" s="692"/>
      <c r="M1234" s="692"/>
      <c r="N1234" s="532"/>
      <c r="O1234" s="532"/>
      <c r="P1234" s="532"/>
      <c r="Q1234" s="532"/>
      <c r="R1234" s="532"/>
      <c r="S1234" s="532"/>
      <c r="T1234" s="693"/>
      <c r="U1234" s="693"/>
    </row>
    <row r="1235">
      <c r="A1235" s="692"/>
      <c r="B1235" s="532"/>
      <c r="C1235" s="532"/>
      <c r="D1235" s="692"/>
      <c r="E1235" s="692"/>
      <c r="F1235" s="692"/>
      <c r="G1235" s="692"/>
      <c r="H1235" s="692"/>
      <c r="I1235" s="692"/>
      <c r="J1235" s="532"/>
      <c r="K1235" s="692"/>
      <c r="L1235" s="692"/>
      <c r="M1235" s="692"/>
      <c r="N1235" s="532"/>
      <c r="O1235" s="532"/>
      <c r="P1235" s="532"/>
      <c r="Q1235" s="532"/>
      <c r="R1235" s="532"/>
      <c r="S1235" s="532"/>
      <c r="T1235" s="693"/>
      <c r="U1235" s="693"/>
    </row>
    <row r="1236">
      <c r="A1236" s="692"/>
      <c r="B1236" s="532"/>
      <c r="C1236" s="532"/>
      <c r="D1236" s="692"/>
      <c r="E1236" s="692"/>
      <c r="F1236" s="692"/>
      <c r="G1236" s="692"/>
      <c r="H1236" s="692"/>
      <c r="I1236" s="692"/>
      <c r="J1236" s="532"/>
      <c r="K1236" s="692"/>
      <c r="L1236" s="692"/>
      <c r="M1236" s="692"/>
      <c r="N1236" s="532"/>
      <c r="O1236" s="532"/>
      <c r="P1236" s="532"/>
      <c r="Q1236" s="532"/>
      <c r="R1236" s="532"/>
      <c r="S1236" s="532"/>
      <c r="T1236" s="693"/>
      <c r="U1236" s="693"/>
    </row>
    <row r="1237">
      <c r="A1237" s="692"/>
      <c r="B1237" s="532"/>
      <c r="C1237" s="532"/>
      <c r="D1237" s="692"/>
      <c r="E1237" s="692"/>
      <c r="F1237" s="692"/>
      <c r="G1237" s="692"/>
      <c r="H1237" s="692"/>
      <c r="I1237" s="692"/>
      <c r="J1237" s="532"/>
      <c r="K1237" s="692"/>
      <c r="L1237" s="692"/>
      <c r="M1237" s="692"/>
      <c r="N1237" s="532"/>
      <c r="O1237" s="532"/>
      <c r="P1237" s="532"/>
      <c r="Q1237" s="532"/>
      <c r="R1237" s="532"/>
      <c r="S1237" s="532"/>
      <c r="T1237" s="693"/>
      <c r="U1237" s="693"/>
    </row>
    <row r="1238">
      <c r="A1238" s="692"/>
      <c r="B1238" s="532"/>
      <c r="C1238" s="532"/>
      <c r="D1238" s="692"/>
      <c r="E1238" s="692"/>
      <c r="F1238" s="692"/>
      <c r="G1238" s="692"/>
      <c r="H1238" s="692"/>
      <c r="I1238" s="692"/>
      <c r="J1238" s="532"/>
      <c r="K1238" s="692"/>
      <c r="L1238" s="692"/>
      <c r="M1238" s="692"/>
      <c r="N1238" s="532"/>
      <c r="O1238" s="532"/>
      <c r="P1238" s="532"/>
      <c r="Q1238" s="532"/>
      <c r="R1238" s="532"/>
      <c r="S1238" s="532"/>
      <c r="T1238" s="693"/>
      <c r="U1238" s="693"/>
    </row>
    <row r="1239">
      <c r="A1239" s="692"/>
      <c r="B1239" s="532"/>
      <c r="C1239" s="532"/>
      <c r="D1239" s="692"/>
      <c r="E1239" s="692"/>
      <c r="F1239" s="692"/>
      <c r="G1239" s="692"/>
      <c r="H1239" s="692"/>
      <c r="I1239" s="692"/>
      <c r="J1239" s="532"/>
      <c r="K1239" s="692"/>
      <c r="L1239" s="692"/>
      <c r="M1239" s="692"/>
      <c r="N1239" s="532"/>
      <c r="O1239" s="532"/>
      <c r="P1239" s="532"/>
      <c r="Q1239" s="532"/>
      <c r="R1239" s="532"/>
      <c r="S1239" s="532"/>
      <c r="T1239" s="693"/>
      <c r="U1239" s="693"/>
    </row>
    <row r="1240">
      <c r="A1240" s="692"/>
      <c r="B1240" s="532"/>
      <c r="C1240" s="532"/>
      <c r="D1240" s="692"/>
      <c r="E1240" s="692"/>
      <c r="F1240" s="692"/>
      <c r="G1240" s="692"/>
      <c r="H1240" s="692"/>
      <c r="I1240" s="692"/>
      <c r="J1240" s="532"/>
      <c r="K1240" s="692"/>
      <c r="L1240" s="692"/>
      <c r="M1240" s="692"/>
      <c r="N1240" s="532"/>
      <c r="O1240" s="532"/>
      <c r="P1240" s="532"/>
      <c r="Q1240" s="532"/>
      <c r="R1240" s="532"/>
      <c r="S1240" s="532"/>
      <c r="T1240" s="693"/>
      <c r="U1240" s="693"/>
    </row>
    <row r="1241">
      <c r="A1241" s="692"/>
      <c r="B1241" s="532"/>
      <c r="C1241" s="532"/>
      <c r="D1241" s="692"/>
      <c r="E1241" s="692"/>
      <c r="F1241" s="692"/>
      <c r="G1241" s="692"/>
      <c r="H1241" s="692"/>
      <c r="I1241" s="692"/>
      <c r="J1241" s="532"/>
      <c r="K1241" s="692"/>
      <c r="L1241" s="692"/>
      <c r="M1241" s="692"/>
      <c r="N1241" s="532"/>
      <c r="O1241" s="532"/>
      <c r="P1241" s="532"/>
      <c r="Q1241" s="532"/>
      <c r="R1241" s="532"/>
      <c r="S1241" s="532"/>
      <c r="T1241" s="693"/>
      <c r="U1241" s="693"/>
    </row>
    <row r="1242">
      <c r="A1242" s="692"/>
      <c r="B1242" s="532"/>
      <c r="C1242" s="532"/>
      <c r="D1242" s="692"/>
      <c r="E1242" s="692"/>
      <c r="F1242" s="692"/>
      <c r="G1242" s="692"/>
      <c r="H1242" s="692"/>
      <c r="I1242" s="692"/>
      <c r="J1242" s="532"/>
      <c r="K1242" s="692"/>
      <c r="L1242" s="692"/>
      <c r="M1242" s="692"/>
      <c r="N1242" s="532"/>
      <c r="O1242" s="532"/>
      <c r="P1242" s="532"/>
      <c r="Q1242" s="532"/>
      <c r="R1242" s="532"/>
      <c r="S1242" s="532"/>
      <c r="T1242" s="693"/>
      <c r="U1242" s="693"/>
    </row>
    <row r="1243">
      <c r="A1243" s="692"/>
      <c r="B1243" s="532"/>
      <c r="C1243" s="532"/>
      <c r="D1243" s="692"/>
      <c r="E1243" s="692"/>
      <c r="F1243" s="692"/>
      <c r="G1243" s="692"/>
      <c r="H1243" s="692"/>
      <c r="I1243" s="692"/>
      <c r="J1243" s="532"/>
      <c r="K1243" s="692"/>
      <c r="L1243" s="692"/>
      <c r="M1243" s="692"/>
      <c r="N1243" s="532"/>
      <c r="O1243" s="532"/>
      <c r="P1243" s="532"/>
      <c r="Q1243" s="532"/>
      <c r="R1243" s="532"/>
      <c r="S1243" s="532"/>
      <c r="T1243" s="693"/>
      <c r="U1243" s="693"/>
    </row>
    <row r="1244">
      <c r="A1244" s="692"/>
      <c r="B1244" s="532"/>
      <c r="C1244" s="532"/>
      <c r="D1244" s="692"/>
      <c r="E1244" s="692"/>
      <c r="F1244" s="692"/>
      <c r="G1244" s="692"/>
      <c r="H1244" s="692"/>
      <c r="I1244" s="692"/>
      <c r="J1244" s="532"/>
      <c r="K1244" s="692"/>
      <c r="L1244" s="692"/>
      <c r="M1244" s="692"/>
      <c r="N1244" s="532"/>
      <c r="O1244" s="532"/>
      <c r="P1244" s="532"/>
      <c r="Q1244" s="532"/>
      <c r="R1244" s="532"/>
      <c r="S1244" s="532"/>
      <c r="T1244" s="693"/>
      <c r="U1244" s="693"/>
    </row>
    <row r="1245">
      <c r="A1245" s="692"/>
      <c r="B1245" s="532"/>
      <c r="C1245" s="532"/>
      <c r="D1245" s="692"/>
      <c r="E1245" s="692"/>
      <c r="F1245" s="692"/>
      <c r="G1245" s="692"/>
      <c r="H1245" s="692"/>
      <c r="I1245" s="692"/>
      <c r="J1245" s="532"/>
      <c r="K1245" s="692"/>
      <c r="L1245" s="692"/>
      <c r="M1245" s="692"/>
      <c r="N1245" s="532"/>
      <c r="O1245" s="532"/>
      <c r="P1245" s="532"/>
      <c r="Q1245" s="532"/>
      <c r="R1245" s="532"/>
      <c r="S1245" s="532"/>
      <c r="T1245" s="693"/>
      <c r="U1245" s="693"/>
    </row>
    <row r="1246">
      <c r="A1246" s="692"/>
      <c r="B1246" s="532"/>
      <c r="C1246" s="532"/>
      <c r="D1246" s="692"/>
      <c r="E1246" s="692"/>
      <c r="F1246" s="692"/>
      <c r="G1246" s="692"/>
      <c r="H1246" s="692"/>
      <c r="I1246" s="692"/>
      <c r="J1246" s="532"/>
      <c r="K1246" s="692"/>
      <c r="L1246" s="692"/>
      <c r="M1246" s="692"/>
      <c r="N1246" s="532"/>
      <c r="O1246" s="532"/>
      <c r="P1246" s="532"/>
      <c r="Q1246" s="532"/>
      <c r="R1246" s="532"/>
      <c r="S1246" s="532"/>
      <c r="T1246" s="693"/>
      <c r="U1246" s="693"/>
    </row>
    <row r="1247">
      <c r="A1247" s="692"/>
      <c r="B1247" s="532"/>
      <c r="C1247" s="532"/>
      <c r="D1247" s="692"/>
      <c r="E1247" s="692"/>
      <c r="F1247" s="692"/>
      <c r="G1247" s="692"/>
      <c r="H1247" s="692"/>
      <c r="I1247" s="692"/>
      <c r="J1247" s="532"/>
      <c r="K1247" s="692"/>
      <c r="L1247" s="692"/>
      <c r="M1247" s="692"/>
      <c r="N1247" s="532"/>
      <c r="O1247" s="532"/>
      <c r="P1247" s="532"/>
      <c r="Q1247" s="532"/>
      <c r="R1247" s="532"/>
      <c r="S1247" s="532"/>
      <c r="T1247" s="693"/>
      <c r="U1247" s="693"/>
    </row>
    <row r="1248">
      <c r="A1248" s="692"/>
      <c r="B1248" s="532"/>
      <c r="C1248" s="532"/>
      <c r="D1248" s="692"/>
      <c r="E1248" s="692"/>
      <c r="F1248" s="692"/>
      <c r="G1248" s="692"/>
      <c r="H1248" s="692"/>
      <c r="I1248" s="692"/>
      <c r="J1248" s="532"/>
      <c r="K1248" s="692"/>
      <c r="L1248" s="692"/>
      <c r="M1248" s="692"/>
      <c r="N1248" s="532"/>
      <c r="O1248" s="532"/>
      <c r="P1248" s="532"/>
      <c r="Q1248" s="532"/>
      <c r="R1248" s="532"/>
      <c r="S1248" s="532"/>
      <c r="T1248" s="693"/>
      <c r="U1248" s="693"/>
    </row>
    <row r="1249">
      <c r="A1249" s="692"/>
      <c r="B1249" s="532"/>
      <c r="C1249" s="532"/>
      <c r="D1249" s="692"/>
      <c r="E1249" s="692"/>
      <c r="F1249" s="692"/>
      <c r="G1249" s="692"/>
      <c r="H1249" s="692"/>
      <c r="I1249" s="692"/>
      <c r="J1249" s="532"/>
      <c r="K1249" s="692"/>
      <c r="L1249" s="692"/>
      <c r="M1249" s="692"/>
      <c r="N1249" s="532"/>
      <c r="O1249" s="532"/>
      <c r="P1249" s="532"/>
      <c r="Q1249" s="532"/>
      <c r="R1249" s="532"/>
      <c r="S1249" s="532"/>
      <c r="T1249" s="693"/>
      <c r="U1249" s="693"/>
    </row>
    <row r="1250">
      <c r="A1250" s="692"/>
      <c r="B1250" s="532"/>
      <c r="C1250" s="532"/>
      <c r="D1250" s="692"/>
      <c r="E1250" s="692"/>
      <c r="F1250" s="692"/>
      <c r="G1250" s="692"/>
      <c r="H1250" s="692"/>
      <c r="I1250" s="692"/>
      <c r="J1250" s="532"/>
      <c r="K1250" s="692"/>
      <c r="L1250" s="692"/>
      <c r="M1250" s="692"/>
      <c r="N1250" s="532"/>
      <c r="O1250" s="532"/>
      <c r="P1250" s="532"/>
      <c r="Q1250" s="532"/>
      <c r="R1250" s="532"/>
      <c r="S1250" s="532"/>
      <c r="T1250" s="693"/>
      <c r="U1250" s="693"/>
    </row>
    <row r="1251">
      <c r="A1251" s="692"/>
      <c r="B1251" s="532"/>
      <c r="C1251" s="532"/>
      <c r="D1251" s="692"/>
      <c r="E1251" s="692"/>
      <c r="F1251" s="692"/>
      <c r="G1251" s="692"/>
      <c r="H1251" s="692"/>
      <c r="I1251" s="692"/>
      <c r="J1251" s="532"/>
      <c r="K1251" s="692"/>
      <c r="L1251" s="692"/>
      <c r="M1251" s="692"/>
      <c r="N1251" s="532"/>
      <c r="O1251" s="532"/>
      <c r="P1251" s="532"/>
      <c r="Q1251" s="532"/>
      <c r="R1251" s="532"/>
      <c r="S1251" s="532"/>
      <c r="T1251" s="693"/>
      <c r="U1251" s="693"/>
    </row>
    <row r="1252">
      <c r="A1252" s="692"/>
      <c r="B1252" s="532"/>
      <c r="C1252" s="532"/>
      <c r="D1252" s="692"/>
      <c r="E1252" s="692"/>
      <c r="F1252" s="692"/>
      <c r="G1252" s="692"/>
      <c r="H1252" s="692"/>
      <c r="I1252" s="692"/>
      <c r="J1252" s="532"/>
      <c r="K1252" s="692"/>
      <c r="L1252" s="692"/>
      <c r="M1252" s="692"/>
      <c r="N1252" s="532"/>
      <c r="O1252" s="532"/>
      <c r="P1252" s="532"/>
      <c r="Q1252" s="532"/>
      <c r="R1252" s="532"/>
      <c r="S1252" s="532"/>
      <c r="T1252" s="693"/>
      <c r="U1252" s="693"/>
    </row>
    <row r="1253">
      <c r="A1253" s="692"/>
      <c r="B1253" s="532"/>
      <c r="C1253" s="532"/>
      <c r="D1253" s="692"/>
      <c r="E1253" s="692"/>
      <c r="F1253" s="692"/>
      <c r="G1253" s="692"/>
      <c r="H1253" s="692"/>
      <c r="I1253" s="692"/>
      <c r="J1253" s="532"/>
      <c r="K1253" s="692"/>
      <c r="L1253" s="692"/>
      <c r="M1253" s="692"/>
      <c r="N1253" s="532"/>
      <c r="O1253" s="532"/>
      <c r="P1253" s="532"/>
      <c r="Q1253" s="532"/>
      <c r="R1253" s="532"/>
      <c r="S1253" s="532"/>
      <c r="T1253" s="693"/>
      <c r="U1253" s="693"/>
    </row>
    <row r="1254">
      <c r="A1254" s="692"/>
      <c r="B1254" s="532"/>
      <c r="C1254" s="532"/>
      <c r="D1254" s="692"/>
      <c r="E1254" s="692"/>
      <c r="F1254" s="692"/>
      <c r="G1254" s="692"/>
      <c r="H1254" s="692"/>
      <c r="I1254" s="692"/>
      <c r="J1254" s="532"/>
      <c r="K1254" s="692"/>
      <c r="L1254" s="692"/>
      <c r="M1254" s="692"/>
      <c r="N1254" s="532"/>
      <c r="O1254" s="532"/>
      <c r="P1254" s="532"/>
      <c r="Q1254" s="532"/>
      <c r="R1254" s="532"/>
      <c r="S1254" s="532"/>
      <c r="T1254" s="693"/>
      <c r="U1254" s="693"/>
    </row>
    <row r="1255">
      <c r="A1255" s="692"/>
      <c r="B1255" s="532"/>
      <c r="C1255" s="532"/>
      <c r="D1255" s="692"/>
      <c r="E1255" s="692"/>
      <c r="F1255" s="692"/>
      <c r="G1255" s="692"/>
      <c r="H1255" s="692"/>
      <c r="I1255" s="692"/>
      <c r="J1255" s="532"/>
      <c r="K1255" s="692"/>
      <c r="L1255" s="692"/>
      <c r="M1255" s="692"/>
      <c r="N1255" s="532"/>
      <c r="O1255" s="532"/>
      <c r="P1255" s="532"/>
      <c r="Q1255" s="532"/>
      <c r="R1255" s="532"/>
      <c r="S1255" s="532"/>
      <c r="T1255" s="693"/>
      <c r="U1255" s="693"/>
    </row>
    <row r="1256">
      <c r="A1256" s="692"/>
      <c r="B1256" s="532"/>
      <c r="C1256" s="532"/>
      <c r="D1256" s="692"/>
      <c r="E1256" s="692"/>
      <c r="F1256" s="692"/>
      <c r="G1256" s="692"/>
      <c r="H1256" s="692"/>
      <c r="I1256" s="692"/>
      <c r="J1256" s="532"/>
      <c r="K1256" s="692"/>
      <c r="L1256" s="692"/>
      <c r="M1256" s="692"/>
      <c r="N1256" s="532"/>
      <c r="O1256" s="532"/>
      <c r="P1256" s="532"/>
      <c r="Q1256" s="532"/>
      <c r="R1256" s="532"/>
      <c r="S1256" s="532"/>
      <c r="T1256" s="693"/>
      <c r="U1256" s="693"/>
    </row>
    <row r="1257">
      <c r="A1257" s="692"/>
      <c r="B1257" s="532"/>
      <c r="C1257" s="532"/>
      <c r="D1257" s="692"/>
      <c r="E1257" s="692"/>
      <c r="F1257" s="692"/>
      <c r="G1257" s="692"/>
      <c r="H1257" s="692"/>
      <c r="I1257" s="692"/>
      <c r="J1257" s="532"/>
      <c r="K1257" s="692"/>
      <c r="L1257" s="692"/>
      <c r="M1257" s="692"/>
      <c r="N1257" s="532"/>
      <c r="O1257" s="532"/>
      <c r="P1257" s="532"/>
      <c r="Q1257" s="532"/>
      <c r="R1257" s="532"/>
      <c r="S1257" s="532"/>
      <c r="T1257" s="693"/>
      <c r="U1257" s="693"/>
    </row>
    <row r="1258">
      <c r="A1258" s="692"/>
      <c r="B1258" s="532"/>
      <c r="C1258" s="532"/>
      <c r="D1258" s="692"/>
      <c r="E1258" s="692"/>
      <c r="F1258" s="692"/>
      <c r="G1258" s="692"/>
      <c r="H1258" s="692"/>
      <c r="I1258" s="692"/>
      <c r="J1258" s="532"/>
      <c r="K1258" s="692"/>
      <c r="L1258" s="692"/>
      <c r="M1258" s="692"/>
      <c r="N1258" s="532"/>
      <c r="O1258" s="532"/>
      <c r="P1258" s="532"/>
      <c r="Q1258" s="532"/>
      <c r="R1258" s="532"/>
      <c r="S1258" s="532"/>
      <c r="T1258" s="693"/>
      <c r="U1258" s="693"/>
    </row>
    <row r="1259">
      <c r="A1259" s="692"/>
      <c r="B1259" s="532"/>
      <c r="C1259" s="532"/>
      <c r="D1259" s="692"/>
      <c r="E1259" s="692"/>
      <c r="F1259" s="692"/>
      <c r="G1259" s="692"/>
      <c r="H1259" s="692"/>
      <c r="I1259" s="692"/>
      <c r="J1259" s="532"/>
      <c r="K1259" s="692"/>
      <c r="L1259" s="692"/>
      <c r="M1259" s="692"/>
      <c r="N1259" s="532"/>
      <c r="O1259" s="532"/>
      <c r="P1259" s="532"/>
      <c r="Q1259" s="532"/>
      <c r="R1259" s="532"/>
      <c r="S1259" s="532"/>
      <c r="T1259" s="693"/>
      <c r="U1259" s="693"/>
    </row>
    <row r="1260">
      <c r="A1260" s="692"/>
      <c r="B1260" s="532"/>
      <c r="C1260" s="532"/>
      <c r="D1260" s="692"/>
      <c r="E1260" s="692"/>
      <c r="F1260" s="692"/>
      <c r="G1260" s="692"/>
      <c r="H1260" s="692"/>
      <c r="I1260" s="692"/>
      <c r="J1260" s="532"/>
      <c r="K1260" s="692"/>
      <c r="L1260" s="692"/>
      <c r="M1260" s="692"/>
      <c r="N1260" s="532"/>
      <c r="O1260" s="532"/>
      <c r="P1260" s="532"/>
      <c r="Q1260" s="532"/>
      <c r="R1260" s="532"/>
      <c r="S1260" s="532"/>
      <c r="T1260" s="693"/>
      <c r="U1260" s="693"/>
    </row>
    <row r="1261">
      <c r="A1261" s="692"/>
      <c r="B1261" s="532"/>
      <c r="C1261" s="532"/>
      <c r="D1261" s="692"/>
      <c r="E1261" s="692"/>
      <c r="F1261" s="692"/>
      <c r="G1261" s="692"/>
      <c r="H1261" s="692"/>
      <c r="I1261" s="692"/>
      <c r="J1261" s="532"/>
      <c r="K1261" s="692"/>
      <c r="L1261" s="692"/>
      <c r="M1261" s="692"/>
      <c r="N1261" s="532"/>
      <c r="O1261" s="532"/>
      <c r="P1261" s="532"/>
      <c r="Q1261" s="532"/>
      <c r="R1261" s="532"/>
      <c r="S1261" s="532"/>
      <c r="T1261" s="693"/>
      <c r="U1261" s="693"/>
    </row>
    <row r="1262">
      <c r="A1262" s="692"/>
      <c r="B1262" s="532"/>
      <c r="C1262" s="532"/>
      <c r="D1262" s="692"/>
      <c r="E1262" s="692"/>
      <c r="F1262" s="692"/>
      <c r="G1262" s="692"/>
      <c r="H1262" s="692"/>
      <c r="I1262" s="692"/>
      <c r="J1262" s="532"/>
      <c r="K1262" s="692"/>
      <c r="L1262" s="692"/>
      <c r="M1262" s="692"/>
      <c r="N1262" s="532"/>
      <c r="O1262" s="532"/>
      <c r="P1262" s="532"/>
      <c r="Q1262" s="532"/>
      <c r="R1262" s="532"/>
      <c r="S1262" s="532"/>
      <c r="T1262" s="693"/>
      <c r="U1262" s="693"/>
    </row>
    <row r="1263">
      <c r="A1263" s="692"/>
      <c r="B1263" s="532"/>
      <c r="C1263" s="532"/>
      <c r="D1263" s="692"/>
      <c r="E1263" s="692"/>
      <c r="F1263" s="692"/>
      <c r="G1263" s="692"/>
      <c r="H1263" s="692"/>
      <c r="I1263" s="692"/>
      <c r="J1263" s="532"/>
      <c r="K1263" s="692"/>
      <c r="L1263" s="692"/>
      <c r="M1263" s="692"/>
      <c r="N1263" s="532"/>
      <c r="O1263" s="532"/>
      <c r="P1263" s="532"/>
      <c r="Q1263" s="532"/>
      <c r="R1263" s="532"/>
      <c r="S1263" s="532"/>
      <c r="T1263" s="693"/>
      <c r="U1263" s="693"/>
    </row>
    <row r="1264">
      <c r="A1264" s="692"/>
      <c r="B1264" s="532"/>
      <c r="C1264" s="532"/>
      <c r="D1264" s="692"/>
      <c r="E1264" s="692"/>
      <c r="F1264" s="692"/>
      <c r="G1264" s="692"/>
      <c r="H1264" s="692"/>
      <c r="I1264" s="692"/>
      <c r="J1264" s="532"/>
      <c r="K1264" s="692"/>
      <c r="L1264" s="692"/>
      <c r="M1264" s="692"/>
      <c r="N1264" s="532"/>
      <c r="O1264" s="532"/>
      <c r="P1264" s="532"/>
      <c r="Q1264" s="532"/>
      <c r="R1264" s="532"/>
      <c r="S1264" s="532"/>
      <c r="T1264" s="693"/>
      <c r="U1264" s="693"/>
    </row>
    <row r="1265">
      <c r="A1265" s="692"/>
      <c r="B1265" s="532"/>
      <c r="C1265" s="532"/>
      <c r="D1265" s="692"/>
      <c r="E1265" s="692"/>
      <c r="F1265" s="692"/>
      <c r="G1265" s="692"/>
      <c r="H1265" s="692"/>
      <c r="I1265" s="692"/>
      <c r="J1265" s="532"/>
      <c r="K1265" s="692"/>
      <c r="L1265" s="692"/>
      <c r="M1265" s="692"/>
      <c r="N1265" s="532"/>
      <c r="O1265" s="532"/>
      <c r="P1265" s="532"/>
      <c r="Q1265" s="532"/>
      <c r="R1265" s="532"/>
      <c r="S1265" s="532"/>
      <c r="T1265" s="693"/>
      <c r="U1265" s="693"/>
    </row>
    <row r="1266">
      <c r="A1266" s="692"/>
      <c r="B1266" s="532"/>
      <c r="C1266" s="532"/>
      <c r="D1266" s="692"/>
      <c r="E1266" s="692"/>
      <c r="F1266" s="692"/>
      <c r="G1266" s="692"/>
      <c r="H1266" s="692"/>
      <c r="I1266" s="692"/>
      <c r="J1266" s="532"/>
      <c r="K1266" s="692"/>
      <c r="L1266" s="692"/>
      <c r="M1266" s="692"/>
      <c r="N1266" s="532"/>
      <c r="O1266" s="532"/>
      <c r="P1266" s="532"/>
      <c r="Q1266" s="532"/>
      <c r="R1266" s="532"/>
      <c r="S1266" s="532"/>
      <c r="T1266" s="693"/>
      <c r="U1266" s="693"/>
    </row>
    <row r="1267">
      <c r="A1267" s="692"/>
      <c r="B1267" s="532"/>
      <c r="C1267" s="532"/>
      <c r="D1267" s="692"/>
      <c r="E1267" s="692"/>
      <c r="F1267" s="692"/>
      <c r="G1267" s="692"/>
      <c r="H1267" s="692"/>
      <c r="I1267" s="692"/>
      <c r="J1267" s="532"/>
      <c r="K1267" s="692"/>
      <c r="L1267" s="692"/>
      <c r="M1267" s="692"/>
      <c r="N1267" s="532"/>
      <c r="O1267" s="532"/>
      <c r="P1267" s="532"/>
      <c r="Q1267" s="532"/>
      <c r="R1267" s="532"/>
      <c r="S1267" s="532"/>
      <c r="T1267" s="693"/>
      <c r="U1267" s="693"/>
    </row>
    <row r="1268">
      <c r="A1268" s="692"/>
      <c r="B1268" s="532"/>
      <c r="C1268" s="532"/>
      <c r="D1268" s="692"/>
      <c r="E1268" s="692"/>
      <c r="F1268" s="692"/>
      <c r="G1268" s="692"/>
      <c r="H1268" s="692"/>
      <c r="I1268" s="692"/>
      <c r="J1268" s="532"/>
      <c r="K1268" s="692"/>
      <c r="L1268" s="692"/>
      <c r="M1268" s="692"/>
      <c r="N1268" s="532"/>
      <c r="O1268" s="532"/>
      <c r="P1268" s="532"/>
      <c r="Q1268" s="532"/>
      <c r="R1268" s="532"/>
      <c r="S1268" s="532"/>
      <c r="T1268" s="693"/>
      <c r="U1268" s="693"/>
    </row>
    <row r="1269">
      <c r="A1269" s="692"/>
      <c r="B1269" s="532"/>
      <c r="C1269" s="532"/>
      <c r="D1269" s="692"/>
      <c r="E1269" s="692"/>
      <c r="F1269" s="692"/>
      <c r="G1269" s="692"/>
      <c r="H1269" s="692"/>
      <c r="I1269" s="692"/>
      <c r="J1269" s="532"/>
      <c r="K1269" s="692"/>
      <c r="L1269" s="692"/>
      <c r="M1269" s="692"/>
      <c r="N1269" s="532"/>
      <c r="O1269" s="532"/>
      <c r="P1269" s="532"/>
      <c r="Q1269" s="532"/>
      <c r="R1269" s="532"/>
      <c r="S1269" s="532"/>
      <c r="T1269" s="693"/>
      <c r="U1269" s="693"/>
    </row>
    <row r="1270">
      <c r="A1270" s="692"/>
      <c r="B1270" s="532"/>
      <c r="C1270" s="532"/>
      <c r="D1270" s="692"/>
      <c r="E1270" s="692"/>
      <c r="F1270" s="692"/>
      <c r="G1270" s="692"/>
      <c r="H1270" s="692"/>
      <c r="I1270" s="692"/>
      <c r="J1270" s="532"/>
      <c r="K1270" s="692"/>
      <c r="L1270" s="692"/>
      <c r="M1270" s="692"/>
      <c r="N1270" s="532"/>
      <c r="O1270" s="532"/>
      <c r="P1270" s="532"/>
      <c r="Q1270" s="532"/>
      <c r="R1270" s="532"/>
      <c r="S1270" s="532"/>
      <c r="T1270" s="693"/>
      <c r="U1270" s="693"/>
    </row>
    <row r="1271">
      <c r="A1271" s="692"/>
      <c r="B1271" s="532"/>
      <c r="C1271" s="532"/>
      <c r="D1271" s="692"/>
      <c r="E1271" s="692"/>
      <c r="F1271" s="692"/>
      <c r="G1271" s="692"/>
      <c r="H1271" s="692"/>
      <c r="I1271" s="692"/>
      <c r="J1271" s="532"/>
      <c r="K1271" s="692"/>
      <c r="L1271" s="692"/>
      <c r="M1271" s="692"/>
      <c r="N1271" s="532"/>
      <c r="O1271" s="532"/>
      <c r="P1271" s="532"/>
      <c r="Q1271" s="532"/>
      <c r="R1271" s="532"/>
      <c r="S1271" s="532"/>
      <c r="T1271" s="693"/>
      <c r="U1271" s="693"/>
    </row>
    <row r="1272">
      <c r="A1272" s="692"/>
      <c r="B1272" s="532"/>
      <c r="C1272" s="532"/>
      <c r="D1272" s="692"/>
      <c r="E1272" s="692"/>
      <c r="F1272" s="692"/>
      <c r="G1272" s="692"/>
      <c r="H1272" s="692"/>
      <c r="I1272" s="692"/>
      <c r="J1272" s="532"/>
      <c r="K1272" s="692"/>
      <c r="L1272" s="692"/>
      <c r="M1272" s="692"/>
      <c r="N1272" s="532"/>
      <c r="O1272" s="532"/>
      <c r="P1272" s="532"/>
      <c r="Q1272" s="532"/>
      <c r="R1272" s="532"/>
      <c r="S1272" s="532"/>
      <c r="T1272" s="693"/>
      <c r="U1272" s="693"/>
    </row>
    <row r="1273">
      <c r="A1273" s="692"/>
      <c r="B1273" s="532"/>
      <c r="C1273" s="532"/>
      <c r="D1273" s="692"/>
      <c r="E1273" s="692"/>
      <c r="F1273" s="692"/>
      <c r="G1273" s="692"/>
      <c r="H1273" s="692"/>
      <c r="I1273" s="692"/>
      <c r="J1273" s="532"/>
      <c r="K1273" s="692"/>
      <c r="L1273" s="692"/>
      <c r="M1273" s="692"/>
      <c r="N1273" s="532"/>
      <c r="O1273" s="532"/>
      <c r="P1273" s="532"/>
      <c r="Q1273" s="532"/>
      <c r="R1273" s="532"/>
      <c r="S1273" s="532"/>
      <c r="T1273" s="693"/>
      <c r="U1273" s="693"/>
    </row>
    <row r="1274">
      <c r="A1274" s="692"/>
      <c r="B1274" s="532"/>
      <c r="C1274" s="532"/>
      <c r="D1274" s="692"/>
      <c r="E1274" s="692"/>
      <c r="F1274" s="692"/>
      <c r="G1274" s="692"/>
      <c r="H1274" s="692"/>
      <c r="I1274" s="692"/>
      <c r="J1274" s="532"/>
      <c r="K1274" s="692"/>
      <c r="L1274" s="692"/>
      <c r="M1274" s="692"/>
      <c r="N1274" s="532"/>
      <c r="O1274" s="532"/>
      <c r="P1274" s="532"/>
      <c r="Q1274" s="532"/>
      <c r="R1274" s="532"/>
      <c r="S1274" s="532"/>
      <c r="T1274" s="693"/>
      <c r="U1274" s="693"/>
    </row>
    <row r="1275">
      <c r="A1275" s="692"/>
      <c r="B1275" s="532"/>
      <c r="C1275" s="532"/>
      <c r="D1275" s="692"/>
      <c r="E1275" s="692"/>
      <c r="F1275" s="692"/>
      <c r="G1275" s="692"/>
      <c r="H1275" s="692"/>
      <c r="I1275" s="692"/>
      <c r="J1275" s="532"/>
      <c r="K1275" s="692"/>
      <c r="L1275" s="692"/>
      <c r="M1275" s="692"/>
      <c r="N1275" s="532"/>
      <c r="O1275" s="532"/>
      <c r="P1275" s="532"/>
      <c r="Q1275" s="532"/>
      <c r="R1275" s="532"/>
      <c r="S1275" s="532"/>
      <c r="T1275" s="693"/>
      <c r="U1275" s="693"/>
    </row>
    <row r="1276">
      <c r="A1276" s="692"/>
      <c r="B1276" s="532"/>
      <c r="C1276" s="532"/>
      <c r="D1276" s="692"/>
      <c r="E1276" s="692"/>
      <c r="F1276" s="692"/>
      <c r="G1276" s="692"/>
      <c r="H1276" s="692"/>
      <c r="I1276" s="692"/>
      <c r="J1276" s="532"/>
      <c r="K1276" s="692"/>
      <c r="L1276" s="692"/>
      <c r="M1276" s="692"/>
      <c r="N1276" s="532"/>
      <c r="O1276" s="532"/>
      <c r="P1276" s="532"/>
      <c r="Q1276" s="532"/>
      <c r="R1276" s="532"/>
      <c r="S1276" s="532"/>
      <c r="T1276" s="693"/>
      <c r="U1276" s="693"/>
    </row>
    <row r="1277">
      <c r="A1277" s="692"/>
      <c r="B1277" s="532"/>
      <c r="C1277" s="532"/>
      <c r="D1277" s="692"/>
      <c r="E1277" s="692"/>
      <c r="F1277" s="692"/>
      <c r="G1277" s="692"/>
      <c r="H1277" s="692"/>
      <c r="I1277" s="692"/>
      <c r="J1277" s="532"/>
      <c r="K1277" s="692"/>
      <c r="L1277" s="692"/>
      <c r="M1277" s="692"/>
      <c r="N1277" s="532"/>
      <c r="O1277" s="532"/>
      <c r="P1277" s="532"/>
      <c r="Q1277" s="532"/>
      <c r="R1277" s="532"/>
      <c r="S1277" s="532"/>
      <c r="T1277" s="693"/>
      <c r="U1277" s="693"/>
    </row>
    <row r="1278">
      <c r="A1278" s="692"/>
      <c r="B1278" s="532"/>
      <c r="C1278" s="532"/>
      <c r="D1278" s="692"/>
      <c r="E1278" s="692"/>
      <c r="F1278" s="692"/>
      <c r="G1278" s="692"/>
      <c r="H1278" s="692"/>
      <c r="I1278" s="692"/>
      <c r="J1278" s="532"/>
      <c r="K1278" s="692"/>
      <c r="L1278" s="692"/>
      <c r="M1278" s="692"/>
      <c r="N1278" s="532"/>
      <c r="O1278" s="532"/>
      <c r="P1278" s="532"/>
      <c r="Q1278" s="532"/>
      <c r="R1278" s="532"/>
      <c r="S1278" s="532"/>
      <c r="T1278" s="693"/>
      <c r="U1278" s="693"/>
    </row>
    <row r="1279">
      <c r="A1279" s="692"/>
      <c r="B1279" s="532"/>
      <c r="C1279" s="532"/>
      <c r="D1279" s="692"/>
      <c r="E1279" s="692"/>
      <c r="F1279" s="692"/>
      <c r="G1279" s="692"/>
      <c r="H1279" s="692"/>
      <c r="I1279" s="692"/>
      <c r="J1279" s="532"/>
      <c r="K1279" s="692"/>
      <c r="L1279" s="692"/>
      <c r="M1279" s="692"/>
      <c r="N1279" s="532"/>
      <c r="O1279" s="532"/>
      <c r="P1279" s="532"/>
      <c r="Q1279" s="532"/>
      <c r="R1279" s="532"/>
      <c r="S1279" s="532"/>
      <c r="T1279" s="693"/>
      <c r="U1279" s="693"/>
    </row>
    <row r="1280">
      <c r="A1280" s="692"/>
      <c r="B1280" s="532"/>
      <c r="C1280" s="532"/>
      <c r="D1280" s="692"/>
      <c r="E1280" s="692"/>
      <c r="F1280" s="692"/>
      <c r="G1280" s="692"/>
      <c r="H1280" s="692"/>
      <c r="I1280" s="692"/>
      <c r="J1280" s="532"/>
      <c r="K1280" s="692"/>
      <c r="L1280" s="692"/>
      <c r="M1280" s="692"/>
      <c r="N1280" s="532"/>
      <c r="O1280" s="532"/>
      <c r="P1280" s="532"/>
      <c r="Q1280" s="532"/>
      <c r="R1280" s="532"/>
      <c r="S1280" s="532"/>
      <c r="T1280" s="693"/>
      <c r="U1280" s="693"/>
    </row>
    <row r="1281">
      <c r="A1281" s="692"/>
      <c r="B1281" s="532"/>
      <c r="C1281" s="532"/>
      <c r="D1281" s="692"/>
      <c r="E1281" s="692"/>
      <c r="F1281" s="692"/>
      <c r="G1281" s="692"/>
      <c r="H1281" s="692"/>
      <c r="I1281" s="692"/>
      <c r="J1281" s="532"/>
      <c r="K1281" s="692"/>
      <c r="L1281" s="692"/>
      <c r="M1281" s="692"/>
      <c r="N1281" s="532"/>
      <c r="O1281" s="532"/>
      <c r="P1281" s="532"/>
      <c r="Q1281" s="532"/>
      <c r="R1281" s="532"/>
      <c r="S1281" s="532"/>
      <c r="T1281" s="693"/>
      <c r="U1281" s="693"/>
    </row>
    <row r="1282">
      <c r="A1282" s="692"/>
      <c r="B1282" s="532"/>
      <c r="C1282" s="532"/>
      <c r="D1282" s="692"/>
      <c r="E1282" s="692"/>
      <c r="F1282" s="692"/>
      <c r="G1282" s="692"/>
      <c r="H1282" s="692"/>
      <c r="I1282" s="692"/>
      <c r="J1282" s="532"/>
      <c r="K1282" s="692"/>
      <c r="L1282" s="692"/>
      <c r="M1282" s="692"/>
      <c r="N1282" s="532"/>
      <c r="O1282" s="532"/>
      <c r="P1282" s="532"/>
      <c r="Q1282" s="532"/>
      <c r="R1282" s="532"/>
      <c r="S1282" s="532"/>
      <c r="T1282" s="693"/>
      <c r="U1282" s="693"/>
    </row>
    <row r="1283">
      <c r="A1283" s="692"/>
      <c r="B1283" s="532"/>
      <c r="C1283" s="532"/>
      <c r="D1283" s="692"/>
      <c r="E1283" s="692"/>
      <c r="F1283" s="692"/>
      <c r="G1283" s="692"/>
      <c r="H1283" s="692"/>
      <c r="I1283" s="692"/>
      <c r="J1283" s="532"/>
      <c r="K1283" s="692"/>
      <c r="L1283" s="692"/>
      <c r="M1283" s="692"/>
      <c r="N1283" s="532"/>
      <c r="O1283" s="532"/>
      <c r="P1283" s="532"/>
      <c r="Q1283" s="532"/>
      <c r="R1283" s="532"/>
      <c r="S1283" s="532"/>
      <c r="T1283" s="693"/>
      <c r="U1283" s="693"/>
    </row>
    <row r="1284">
      <c r="A1284" s="692"/>
      <c r="B1284" s="532"/>
      <c r="C1284" s="532"/>
      <c r="D1284" s="692"/>
      <c r="E1284" s="692"/>
      <c r="F1284" s="692"/>
      <c r="G1284" s="692"/>
      <c r="H1284" s="692"/>
      <c r="I1284" s="692"/>
      <c r="J1284" s="532"/>
      <c r="K1284" s="692"/>
      <c r="L1284" s="692"/>
      <c r="M1284" s="692"/>
      <c r="N1284" s="532"/>
      <c r="O1284" s="532"/>
      <c r="P1284" s="532"/>
      <c r="Q1284" s="532"/>
      <c r="R1284" s="532"/>
      <c r="S1284" s="532"/>
      <c r="T1284" s="693"/>
      <c r="U1284" s="693"/>
    </row>
    <row r="1285">
      <c r="A1285" s="692"/>
      <c r="B1285" s="532"/>
      <c r="C1285" s="532"/>
      <c r="D1285" s="692"/>
      <c r="E1285" s="692"/>
      <c r="F1285" s="692"/>
      <c r="G1285" s="692"/>
      <c r="H1285" s="692"/>
      <c r="I1285" s="692"/>
      <c r="J1285" s="532"/>
      <c r="K1285" s="692"/>
      <c r="L1285" s="692"/>
      <c r="M1285" s="692"/>
      <c r="N1285" s="532"/>
      <c r="O1285" s="532"/>
      <c r="P1285" s="532"/>
      <c r="Q1285" s="532"/>
      <c r="R1285" s="532"/>
      <c r="S1285" s="532"/>
      <c r="T1285" s="693"/>
      <c r="U1285" s="693"/>
    </row>
    <row r="1286">
      <c r="A1286" s="692"/>
      <c r="B1286" s="532"/>
      <c r="C1286" s="532"/>
      <c r="D1286" s="692"/>
      <c r="E1286" s="692"/>
      <c r="F1286" s="692"/>
      <c r="G1286" s="692"/>
      <c r="H1286" s="692"/>
      <c r="I1286" s="692"/>
      <c r="J1286" s="532"/>
      <c r="K1286" s="692"/>
      <c r="L1286" s="692"/>
      <c r="M1286" s="692"/>
      <c r="N1286" s="532"/>
      <c r="O1286" s="532"/>
      <c r="P1286" s="532"/>
      <c r="Q1286" s="532"/>
      <c r="R1286" s="532"/>
      <c r="S1286" s="532"/>
      <c r="T1286" s="693"/>
      <c r="U1286" s="693"/>
    </row>
    <row r="1287">
      <c r="A1287" s="692"/>
      <c r="B1287" s="532"/>
      <c r="C1287" s="532"/>
      <c r="D1287" s="692"/>
      <c r="E1287" s="692"/>
      <c r="F1287" s="692"/>
      <c r="G1287" s="692"/>
      <c r="H1287" s="692"/>
      <c r="I1287" s="692"/>
      <c r="J1287" s="532"/>
      <c r="K1287" s="692"/>
      <c r="L1287" s="692"/>
      <c r="M1287" s="692"/>
      <c r="N1287" s="532"/>
      <c r="O1287" s="532"/>
      <c r="P1287" s="532"/>
      <c r="Q1287" s="532"/>
      <c r="R1287" s="532"/>
      <c r="S1287" s="532"/>
      <c r="T1287" s="693"/>
      <c r="U1287" s="693"/>
    </row>
    <row r="1288">
      <c r="A1288" s="692"/>
      <c r="B1288" s="532"/>
      <c r="C1288" s="532"/>
      <c r="D1288" s="692"/>
      <c r="E1288" s="692"/>
      <c r="F1288" s="692"/>
      <c r="G1288" s="692"/>
      <c r="H1288" s="692"/>
      <c r="I1288" s="692"/>
      <c r="J1288" s="532"/>
      <c r="K1288" s="692"/>
      <c r="L1288" s="692"/>
      <c r="M1288" s="692"/>
      <c r="N1288" s="532"/>
      <c r="O1288" s="532"/>
      <c r="P1288" s="532"/>
      <c r="Q1288" s="532"/>
      <c r="R1288" s="532"/>
      <c r="S1288" s="532"/>
      <c r="T1288" s="693"/>
      <c r="U1288" s="693"/>
    </row>
    <row r="1289">
      <c r="A1289" s="692"/>
      <c r="B1289" s="532"/>
      <c r="C1289" s="532"/>
      <c r="D1289" s="692"/>
      <c r="E1289" s="692"/>
      <c r="F1289" s="692"/>
      <c r="G1289" s="692"/>
      <c r="H1289" s="692"/>
      <c r="I1289" s="692"/>
      <c r="J1289" s="532"/>
      <c r="K1289" s="692"/>
      <c r="L1289" s="692"/>
      <c r="M1289" s="692"/>
      <c r="N1289" s="532"/>
      <c r="O1289" s="532"/>
      <c r="P1289" s="532"/>
      <c r="Q1289" s="532"/>
      <c r="R1289" s="532"/>
      <c r="S1289" s="532"/>
      <c r="T1289" s="693"/>
      <c r="U1289" s="693"/>
    </row>
    <row r="1290">
      <c r="A1290" s="692"/>
      <c r="B1290" s="532"/>
      <c r="C1290" s="532"/>
      <c r="D1290" s="692"/>
      <c r="E1290" s="692"/>
      <c r="F1290" s="692"/>
      <c r="G1290" s="692"/>
      <c r="H1290" s="692"/>
      <c r="I1290" s="692"/>
      <c r="J1290" s="532"/>
      <c r="K1290" s="692"/>
      <c r="L1290" s="692"/>
      <c r="M1290" s="692"/>
      <c r="N1290" s="532"/>
      <c r="O1290" s="532"/>
      <c r="P1290" s="532"/>
      <c r="Q1290" s="532"/>
      <c r="R1290" s="532"/>
      <c r="S1290" s="532"/>
      <c r="T1290" s="693"/>
      <c r="U1290" s="693"/>
    </row>
    <row r="1291">
      <c r="A1291" s="692"/>
      <c r="B1291" s="532"/>
      <c r="C1291" s="532"/>
      <c r="D1291" s="692"/>
      <c r="E1291" s="692"/>
      <c r="F1291" s="692"/>
      <c r="G1291" s="692"/>
      <c r="H1291" s="692"/>
      <c r="I1291" s="692"/>
      <c r="J1291" s="532"/>
      <c r="K1291" s="692"/>
      <c r="L1291" s="692"/>
      <c r="M1291" s="692"/>
      <c r="N1291" s="532"/>
      <c r="O1291" s="532"/>
      <c r="P1291" s="532"/>
      <c r="Q1291" s="532"/>
      <c r="R1291" s="532"/>
      <c r="S1291" s="532"/>
      <c r="T1291" s="693"/>
      <c r="U1291" s="693"/>
    </row>
    <row r="1292">
      <c r="A1292" s="692"/>
      <c r="B1292" s="532"/>
      <c r="C1292" s="532"/>
      <c r="D1292" s="692"/>
      <c r="E1292" s="692"/>
      <c r="F1292" s="692"/>
      <c r="G1292" s="692"/>
      <c r="H1292" s="692"/>
      <c r="I1292" s="692"/>
      <c r="J1292" s="532"/>
      <c r="K1292" s="692"/>
      <c r="L1292" s="692"/>
      <c r="M1292" s="692"/>
      <c r="N1292" s="532"/>
      <c r="O1292" s="532"/>
      <c r="P1292" s="532"/>
      <c r="Q1292" s="532"/>
      <c r="R1292" s="532"/>
      <c r="S1292" s="532"/>
      <c r="T1292" s="693"/>
      <c r="U1292" s="693"/>
    </row>
    <row r="1293">
      <c r="A1293" s="692"/>
      <c r="B1293" s="532"/>
      <c r="C1293" s="532"/>
      <c r="D1293" s="692"/>
      <c r="E1293" s="692"/>
      <c r="F1293" s="692"/>
      <c r="G1293" s="692"/>
      <c r="H1293" s="692"/>
      <c r="I1293" s="692"/>
      <c r="J1293" s="532"/>
      <c r="K1293" s="692"/>
      <c r="L1293" s="692"/>
      <c r="M1293" s="692"/>
      <c r="N1293" s="532"/>
      <c r="O1293" s="532"/>
      <c r="P1293" s="532"/>
      <c r="Q1293" s="532"/>
      <c r="R1293" s="532"/>
      <c r="S1293" s="532"/>
      <c r="T1293" s="693"/>
      <c r="U1293" s="693"/>
    </row>
    <row r="1294">
      <c r="A1294" s="692"/>
      <c r="B1294" s="532"/>
      <c r="C1294" s="532"/>
      <c r="D1294" s="692"/>
      <c r="E1294" s="692"/>
      <c r="F1294" s="692"/>
      <c r="G1294" s="692"/>
      <c r="H1294" s="692"/>
      <c r="I1294" s="692"/>
      <c r="J1294" s="532"/>
      <c r="K1294" s="692"/>
      <c r="L1294" s="692"/>
      <c r="M1294" s="692"/>
      <c r="N1294" s="532"/>
      <c r="O1294" s="532"/>
      <c r="P1294" s="532"/>
      <c r="Q1294" s="532"/>
      <c r="R1294" s="532"/>
      <c r="S1294" s="532"/>
      <c r="T1294" s="693"/>
      <c r="U1294" s="693"/>
    </row>
    <row r="1295">
      <c r="A1295" s="692"/>
      <c r="B1295" s="532"/>
      <c r="C1295" s="532"/>
      <c r="D1295" s="692"/>
      <c r="E1295" s="692"/>
      <c r="F1295" s="692"/>
      <c r="G1295" s="692"/>
      <c r="H1295" s="692"/>
      <c r="I1295" s="692"/>
      <c r="J1295" s="532"/>
      <c r="K1295" s="692"/>
      <c r="L1295" s="692"/>
      <c r="M1295" s="692"/>
      <c r="N1295" s="532"/>
      <c r="O1295" s="532"/>
      <c r="P1295" s="532"/>
      <c r="Q1295" s="532"/>
      <c r="R1295" s="532"/>
      <c r="S1295" s="532"/>
      <c r="T1295" s="693"/>
      <c r="U1295" s="693"/>
    </row>
    <row r="1296">
      <c r="A1296" s="692"/>
      <c r="B1296" s="532"/>
      <c r="C1296" s="532"/>
      <c r="D1296" s="692"/>
      <c r="E1296" s="692"/>
      <c r="F1296" s="692"/>
      <c r="G1296" s="692"/>
      <c r="H1296" s="692"/>
      <c r="I1296" s="692"/>
      <c r="J1296" s="532"/>
      <c r="K1296" s="692"/>
      <c r="L1296" s="692"/>
      <c r="M1296" s="692"/>
      <c r="N1296" s="532"/>
      <c r="O1296" s="532"/>
      <c r="P1296" s="532"/>
      <c r="Q1296" s="532"/>
      <c r="R1296" s="532"/>
      <c r="S1296" s="532"/>
      <c r="T1296" s="693"/>
      <c r="U1296" s="693"/>
    </row>
    <row r="1297">
      <c r="A1297" s="692"/>
      <c r="B1297" s="532"/>
      <c r="C1297" s="532"/>
      <c r="D1297" s="692"/>
      <c r="E1297" s="692"/>
      <c r="F1297" s="692"/>
      <c r="G1297" s="692"/>
      <c r="H1297" s="692"/>
      <c r="I1297" s="692"/>
      <c r="J1297" s="532"/>
      <c r="K1297" s="692"/>
      <c r="L1297" s="692"/>
      <c r="M1297" s="692"/>
      <c r="N1297" s="532"/>
      <c r="O1297" s="532"/>
      <c r="P1297" s="532"/>
      <c r="Q1297" s="532"/>
      <c r="R1297" s="532"/>
      <c r="S1297" s="532"/>
      <c r="T1297" s="693"/>
      <c r="U1297" s="693"/>
    </row>
    <row r="1298">
      <c r="A1298" s="692"/>
      <c r="B1298" s="532"/>
      <c r="C1298" s="532"/>
      <c r="D1298" s="692"/>
      <c r="E1298" s="692"/>
      <c r="F1298" s="692"/>
      <c r="G1298" s="692"/>
      <c r="H1298" s="692"/>
      <c r="I1298" s="692"/>
      <c r="J1298" s="532"/>
      <c r="K1298" s="692"/>
      <c r="L1298" s="692"/>
      <c r="M1298" s="692"/>
      <c r="N1298" s="532"/>
      <c r="O1298" s="532"/>
      <c r="P1298" s="532"/>
      <c r="Q1298" s="532"/>
      <c r="R1298" s="532"/>
      <c r="S1298" s="532"/>
      <c r="T1298" s="693"/>
      <c r="U1298" s="693"/>
    </row>
    <row r="1299">
      <c r="A1299" s="692"/>
      <c r="B1299" s="532"/>
      <c r="C1299" s="532"/>
      <c r="D1299" s="692"/>
      <c r="E1299" s="692"/>
      <c r="F1299" s="692"/>
      <c r="G1299" s="692"/>
      <c r="H1299" s="692"/>
      <c r="I1299" s="692"/>
      <c r="J1299" s="532"/>
      <c r="K1299" s="692"/>
      <c r="L1299" s="692"/>
      <c r="M1299" s="692"/>
      <c r="N1299" s="532"/>
      <c r="O1299" s="532"/>
      <c r="P1299" s="532"/>
      <c r="Q1299" s="532"/>
      <c r="R1299" s="532"/>
      <c r="S1299" s="532"/>
      <c r="T1299" s="693"/>
      <c r="U1299" s="693"/>
    </row>
    <row r="1300">
      <c r="A1300" s="692"/>
      <c r="B1300" s="532"/>
      <c r="C1300" s="532"/>
      <c r="D1300" s="692"/>
      <c r="E1300" s="692"/>
      <c r="F1300" s="692"/>
      <c r="G1300" s="692"/>
      <c r="H1300" s="692"/>
      <c r="I1300" s="692"/>
      <c r="J1300" s="532"/>
      <c r="K1300" s="692"/>
      <c r="L1300" s="692"/>
      <c r="M1300" s="692"/>
      <c r="N1300" s="532"/>
      <c r="O1300" s="532"/>
      <c r="P1300" s="532"/>
      <c r="Q1300" s="532"/>
      <c r="R1300" s="532"/>
      <c r="S1300" s="532"/>
      <c r="T1300" s="693"/>
      <c r="U1300" s="693"/>
    </row>
    <row r="1301">
      <c r="A1301" s="692"/>
      <c r="B1301" s="532"/>
      <c r="C1301" s="532"/>
      <c r="D1301" s="692"/>
      <c r="E1301" s="692"/>
      <c r="F1301" s="692"/>
      <c r="G1301" s="692"/>
      <c r="H1301" s="692"/>
      <c r="I1301" s="692"/>
      <c r="J1301" s="532"/>
      <c r="K1301" s="692"/>
      <c r="L1301" s="692"/>
      <c r="M1301" s="692"/>
      <c r="N1301" s="532"/>
      <c r="O1301" s="532"/>
      <c r="P1301" s="532"/>
      <c r="Q1301" s="532"/>
      <c r="R1301" s="532"/>
      <c r="S1301" s="532"/>
      <c r="T1301" s="693"/>
      <c r="U1301" s="693"/>
    </row>
    <row r="1302">
      <c r="A1302" s="692"/>
      <c r="B1302" s="532"/>
      <c r="C1302" s="532"/>
      <c r="D1302" s="692"/>
      <c r="E1302" s="692"/>
      <c r="F1302" s="692"/>
      <c r="G1302" s="692"/>
      <c r="H1302" s="692"/>
      <c r="I1302" s="692"/>
      <c r="J1302" s="532"/>
      <c r="K1302" s="692"/>
      <c r="L1302" s="692"/>
      <c r="M1302" s="692"/>
      <c r="N1302" s="532"/>
      <c r="O1302" s="532"/>
      <c r="P1302" s="532"/>
      <c r="Q1302" s="532"/>
      <c r="R1302" s="532"/>
      <c r="S1302" s="532"/>
      <c r="T1302" s="693"/>
      <c r="U1302" s="693"/>
    </row>
    <row r="1303">
      <c r="A1303" s="692"/>
      <c r="B1303" s="532"/>
      <c r="C1303" s="532"/>
      <c r="D1303" s="692"/>
      <c r="E1303" s="692"/>
      <c r="F1303" s="692"/>
      <c r="G1303" s="692"/>
      <c r="H1303" s="692"/>
      <c r="I1303" s="692"/>
      <c r="J1303" s="532"/>
      <c r="K1303" s="692"/>
      <c r="L1303" s="692"/>
      <c r="M1303" s="692"/>
      <c r="N1303" s="532"/>
      <c r="O1303" s="532"/>
      <c r="P1303" s="532"/>
      <c r="Q1303" s="532"/>
      <c r="R1303" s="532"/>
      <c r="S1303" s="532"/>
      <c r="T1303" s="693"/>
      <c r="U1303" s="693"/>
    </row>
    <row r="1304">
      <c r="A1304" s="692"/>
      <c r="B1304" s="532"/>
      <c r="C1304" s="532"/>
      <c r="D1304" s="692"/>
      <c r="E1304" s="692"/>
      <c r="F1304" s="692"/>
      <c r="G1304" s="692"/>
      <c r="H1304" s="692"/>
      <c r="I1304" s="692"/>
      <c r="J1304" s="532"/>
      <c r="K1304" s="692"/>
      <c r="L1304" s="692"/>
      <c r="M1304" s="692"/>
      <c r="N1304" s="532"/>
      <c r="O1304" s="532"/>
      <c r="P1304" s="532"/>
      <c r="Q1304" s="532"/>
      <c r="R1304" s="532"/>
      <c r="S1304" s="532"/>
      <c r="T1304" s="693"/>
      <c r="U1304" s="693"/>
    </row>
    <row r="1305">
      <c r="A1305" s="692"/>
      <c r="B1305" s="532"/>
      <c r="C1305" s="532"/>
      <c r="D1305" s="692"/>
      <c r="E1305" s="692"/>
      <c r="F1305" s="692"/>
      <c r="G1305" s="692"/>
      <c r="H1305" s="692"/>
      <c r="I1305" s="692"/>
      <c r="J1305" s="532"/>
      <c r="K1305" s="692"/>
      <c r="L1305" s="692"/>
      <c r="M1305" s="692"/>
      <c r="N1305" s="532"/>
      <c r="O1305" s="532"/>
      <c r="P1305" s="532"/>
      <c r="Q1305" s="532"/>
      <c r="R1305" s="532"/>
      <c r="S1305" s="532"/>
      <c r="T1305" s="693"/>
      <c r="U1305" s="693"/>
    </row>
    <row r="1306">
      <c r="A1306" s="692"/>
      <c r="B1306" s="532"/>
      <c r="C1306" s="532"/>
      <c r="D1306" s="692"/>
      <c r="E1306" s="692"/>
      <c r="F1306" s="692"/>
      <c r="G1306" s="692"/>
      <c r="H1306" s="692"/>
      <c r="I1306" s="692"/>
      <c r="J1306" s="532"/>
      <c r="K1306" s="692"/>
      <c r="L1306" s="692"/>
      <c r="M1306" s="692"/>
      <c r="N1306" s="532"/>
      <c r="O1306" s="532"/>
      <c r="P1306" s="532"/>
      <c r="Q1306" s="532"/>
      <c r="R1306" s="532"/>
      <c r="S1306" s="532"/>
      <c r="T1306" s="693"/>
      <c r="U1306" s="693"/>
    </row>
    <row r="1307">
      <c r="A1307" s="692"/>
      <c r="B1307" s="532"/>
      <c r="C1307" s="532"/>
      <c r="D1307" s="692"/>
      <c r="E1307" s="692"/>
      <c r="F1307" s="692"/>
      <c r="G1307" s="692"/>
      <c r="H1307" s="692"/>
      <c r="I1307" s="692"/>
      <c r="J1307" s="532"/>
      <c r="K1307" s="692"/>
      <c r="L1307" s="692"/>
      <c r="M1307" s="692"/>
      <c r="N1307" s="532"/>
      <c r="O1307" s="532"/>
      <c r="P1307" s="532"/>
      <c r="Q1307" s="532"/>
      <c r="R1307" s="532"/>
      <c r="S1307" s="532"/>
      <c r="T1307" s="693"/>
      <c r="U1307" s="693"/>
    </row>
    <row r="1308">
      <c r="A1308" s="692"/>
      <c r="B1308" s="532"/>
      <c r="C1308" s="532"/>
      <c r="D1308" s="692"/>
      <c r="E1308" s="692"/>
      <c r="F1308" s="692"/>
      <c r="G1308" s="692"/>
      <c r="H1308" s="692"/>
      <c r="I1308" s="692"/>
      <c r="J1308" s="532"/>
      <c r="K1308" s="692"/>
      <c r="L1308" s="692"/>
      <c r="M1308" s="692"/>
      <c r="N1308" s="532"/>
      <c r="O1308" s="532"/>
      <c r="P1308" s="532"/>
      <c r="Q1308" s="532"/>
      <c r="R1308" s="532"/>
      <c r="S1308" s="532"/>
      <c r="T1308" s="693"/>
      <c r="U1308" s="693"/>
    </row>
    <row r="1309">
      <c r="A1309" s="692"/>
      <c r="B1309" s="532"/>
      <c r="C1309" s="532"/>
      <c r="D1309" s="692"/>
      <c r="E1309" s="692"/>
      <c r="F1309" s="692"/>
      <c r="G1309" s="692"/>
      <c r="H1309" s="692"/>
      <c r="I1309" s="692"/>
      <c r="J1309" s="532"/>
      <c r="K1309" s="692"/>
      <c r="L1309" s="692"/>
      <c r="M1309" s="692"/>
      <c r="N1309" s="532"/>
      <c r="O1309" s="532"/>
      <c r="P1309" s="532"/>
      <c r="Q1309" s="532"/>
      <c r="R1309" s="532"/>
      <c r="S1309" s="532"/>
      <c r="T1309" s="693"/>
      <c r="U1309" s="693"/>
    </row>
    <row r="1310">
      <c r="A1310" s="692"/>
      <c r="B1310" s="532"/>
      <c r="C1310" s="532"/>
      <c r="D1310" s="692"/>
      <c r="E1310" s="692"/>
      <c r="F1310" s="692"/>
      <c r="G1310" s="692"/>
      <c r="H1310" s="692"/>
      <c r="I1310" s="692"/>
      <c r="J1310" s="532"/>
      <c r="K1310" s="692"/>
      <c r="L1310" s="692"/>
      <c r="M1310" s="692"/>
      <c r="N1310" s="532"/>
      <c r="O1310" s="532"/>
      <c r="P1310" s="532"/>
      <c r="Q1310" s="532"/>
      <c r="R1310" s="532"/>
      <c r="S1310" s="532"/>
      <c r="T1310" s="693"/>
      <c r="U1310" s="693"/>
    </row>
  </sheetData>
  <mergeCells count="61">
    <mergeCell ref="B196:B213"/>
    <mergeCell ref="A216:C216"/>
    <mergeCell ref="B217:B271"/>
    <mergeCell ref="A274:C274"/>
    <mergeCell ref="B275:B300"/>
    <mergeCell ref="A302:C302"/>
    <mergeCell ref="A303:C303"/>
    <mergeCell ref="B304:B311"/>
    <mergeCell ref="A314:C314"/>
    <mergeCell ref="B315:B324"/>
    <mergeCell ref="A327:C327"/>
    <mergeCell ref="A333:C333"/>
    <mergeCell ref="A334:C334"/>
    <mergeCell ref="A346:C346"/>
    <mergeCell ref="A362:C362"/>
    <mergeCell ref="I2:I3"/>
    <mergeCell ref="J2:J3"/>
    <mergeCell ref="K2:M2"/>
    <mergeCell ref="N2:N3"/>
    <mergeCell ref="O2:R2"/>
    <mergeCell ref="S2:S3"/>
    <mergeCell ref="T2:T3"/>
    <mergeCell ref="U2:U3"/>
    <mergeCell ref="A1:C1"/>
    <mergeCell ref="A2:A3"/>
    <mergeCell ref="B2:B3"/>
    <mergeCell ref="C2:C3"/>
    <mergeCell ref="D2:D3"/>
    <mergeCell ref="E2:G2"/>
    <mergeCell ref="H2:H3"/>
    <mergeCell ref="A4:C4"/>
    <mergeCell ref="A5:C5"/>
    <mergeCell ref="A6:A9"/>
    <mergeCell ref="B6:B9"/>
    <mergeCell ref="A10:A15"/>
    <mergeCell ref="B10:B15"/>
    <mergeCell ref="B16:B19"/>
    <mergeCell ref="A16:A19"/>
    <mergeCell ref="A20:A26"/>
    <mergeCell ref="B20:B26"/>
    <mergeCell ref="A27:A31"/>
    <mergeCell ref="B27:B31"/>
    <mergeCell ref="A32:A36"/>
    <mergeCell ref="B32:B36"/>
    <mergeCell ref="A107:A108"/>
    <mergeCell ref="B107:B108"/>
    <mergeCell ref="A112:C112"/>
    <mergeCell ref="B113:B184"/>
    <mergeCell ref="A193:C193"/>
    <mergeCell ref="E193:U193"/>
    <mergeCell ref="A194:C194"/>
    <mergeCell ref="A195:C195"/>
    <mergeCell ref="A37:A43"/>
    <mergeCell ref="B37:B43"/>
    <mergeCell ref="A79:C79"/>
    <mergeCell ref="B80:B94"/>
    <mergeCell ref="B95:B100"/>
    <mergeCell ref="B101:B102"/>
    <mergeCell ref="A106:C106"/>
    <mergeCell ref="B335:B343"/>
    <mergeCell ref="B347:B35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 outlineLevelRow="1"/>
  <cols>
    <col customWidth="1" min="1" max="3" width="26.13"/>
    <col customWidth="1" min="4" max="4" width="25.63"/>
  </cols>
  <sheetData>
    <row r="1">
      <c r="A1" s="777"/>
      <c r="B1" s="777"/>
      <c r="C1" s="777"/>
      <c r="D1" s="778"/>
      <c r="E1" s="778"/>
      <c r="F1" s="778"/>
      <c r="G1" s="778"/>
      <c r="H1" s="778"/>
      <c r="I1" s="778"/>
      <c r="J1" s="778"/>
      <c r="K1" s="778"/>
      <c r="L1" s="778"/>
      <c r="M1" s="778"/>
      <c r="N1" s="778"/>
      <c r="O1" s="778"/>
      <c r="P1" s="778"/>
      <c r="Q1" s="778"/>
      <c r="R1" s="778"/>
      <c r="S1" s="778"/>
      <c r="T1" s="778"/>
      <c r="U1" s="778"/>
      <c r="V1" s="778"/>
      <c r="W1" s="778"/>
      <c r="X1" s="778"/>
      <c r="Y1" s="778"/>
      <c r="Z1" s="778"/>
    </row>
    <row r="2">
      <c r="A2" s="777"/>
      <c r="B2" s="777"/>
      <c r="C2" s="777"/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778"/>
      <c r="U2" s="778"/>
      <c r="V2" s="778"/>
      <c r="W2" s="778"/>
      <c r="X2" s="778"/>
      <c r="Y2" s="778"/>
      <c r="Z2" s="778"/>
    </row>
    <row r="3">
      <c r="A3" s="779" t="s">
        <v>6006</v>
      </c>
      <c r="B3" s="779" t="s">
        <v>6007</v>
      </c>
      <c r="C3" s="779" t="s">
        <v>6008</v>
      </c>
      <c r="D3" s="780" t="s">
        <v>4127</v>
      </c>
      <c r="E3" s="778"/>
      <c r="F3" s="778"/>
      <c r="G3" s="778"/>
      <c r="H3" s="778"/>
      <c r="I3" s="778"/>
      <c r="J3" s="778"/>
      <c r="K3" s="778"/>
      <c r="L3" s="778"/>
      <c r="M3" s="778"/>
      <c r="N3" s="778"/>
      <c r="O3" s="778"/>
      <c r="P3" s="778"/>
      <c r="Q3" s="778"/>
      <c r="R3" s="778"/>
      <c r="S3" s="778"/>
      <c r="T3" s="778"/>
      <c r="U3" s="778"/>
      <c r="V3" s="778"/>
      <c r="W3" s="778"/>
      <c r="X3" s="778"/>
      <c r="Y3" s="778"/>
      <c r="Z3" s="778"/>
    </row>
    <row r="4">
      <c r="A4" s="780" t="s">
        <v>46</v>
      </c>
      <c r="B4" s="780" t="s">
        <v>6009</v>
      </c>
      <c r="C4" s="781" t="s">
        <v>6010</v>
      </c>
      <c r="D4" s="780" t="s">
        <v>6011</v>
      </c>
      <c r="E4" s="778"/>
      <c r="F4" s="778"/>
      <c r="G4" s="778"/>
      <c r="H4" s="778"/>
      <c r="I4" s="778"/>
      <c r="J4" s="778"/>
      <c r="K4" s="778"/>
      <c r="L4" s="778"/>
      <c r="M4" s="778"/>
      <c r="N4" s="778"/>
      <c r="O4" s="778"/>
      <c r="P4" s="778"/>
      <c r="Q4" s="778"/>
      <c r="R4" s="778"/>
      <c r="S4" s="778"/>
      <c r="T4" s="778"/>
      <c r="U4" s="778"/>
      <c r="V4" s="778"/>
      <c r="W4" s="778"/>
      <c r="X4" s="778"/>
      <c r="Y4" s="778"/>
      <c r="Z4" s="778"/>
    </row>
    <row r="5">
      <c r="A5" s="780" t="s">
        <v>47</v>
      </c>
      <c r="B5" s="780" t="s">
        <v>6012</v>
      </c>
      <c r="C5" s="781" t="s">
        <v>6013</v>
      </c>
      <c r="D5" s="780" t="s">
        <v>6014</v>
      </c>
      <c r="E5" s="778"/>
      <c r="F5" s="778"/>
      <c r="G5" s="778"/>
      <c r="H5" s="778"/>
      <c r="I5" s="778"/>
      <c r="J5" s="778"/>
      <c r="K5" s="778"/>
      <c r="L5" s="778"/>
      <c r="M5" s="778"/>
      <c r="N5" s="778"/>
      <c r="O5" s="778"/>
      <c r="P5" s="778"/>
      <c r="Q5" s="778"/>
      <c r="R5" s="778"/>
      <c r="S5" s="778"/>
      <c r="T5" s="778"/>
      <c r="U5" s="778"/>
      <c r="V5" s="778"/>
      <c r="W5" s="778"/>
      <c r="X5" s="778"/>
      <c r="Y5" s="778"/>
      <c r="Z5" s="778"/>
    </row>
    <row r="6">
      <c r="A6" s="780" t="s">
        <v>48</v>
      </c>
      <c r="B6" s="780" t="s">
        <v>6015</v>
      </c>
      <c r="C6" s="781" t="s">
        <v>6016</v>
      </c>
      <c r="D6" s="780" t="s">
        <v>6017</v>
      </c>
      <c r="E6" s="778"/>
      <c r="F6" s="778"/>
      <c r="G6" s="778"/>
      <c r="H6" s="778"/>
      <c r="I6" s="778"/>
      <c r="J6" s="778"/>
      <c r="K6" s="778"/>
      <c r="L6" s="778"/>
      <c r="M6" s="778"/>
      <c r="N6" s="778"/>
      <c r="O6" s="778"/>
      <c r="P6" s="778"/>
      <c r="Q6" s="778"/>
      <c r="R6" s="778"/>
      <c r="S6" s="778"/>
      <c r="T6" s="778"/>
      <c r="U6" s="778"/>
      <c r="V6" s="778"/>
      <c r="W6" s="778"/>
      <c r="X6" s="778"/>
      <c r="Y6" s="778"/>
      <c r="Z6" s="778"/>
    </row>
    <row r="7">
      <c r="A7" s="780" t="s">
        <v>6018</v>
      </c>
      <c r="B7" s="782"/>
      <c r="C7" s="782"/>
      <c r="D7" s="782"/>
      <c r="E7" s="778"/>
      <c r="F7" s="778"/>
      <c r="G7" s="778"/>
      <c r="H7" s="778"/>
      <c r="I7" s="778"/>
      <c r="J7" s="778"/>
      <c r="K7" s="778"/>
      <c r="L7" s="778"/>
      <c r="M7" s="778"/>
      <c r="N7" s="778"/>
      <c r="O7" s="778"/>
      <c r="P7" s="778"/>
      <c r="Q7" s="778"/>
      <c r="R7" s="778"/>
      <c r="S7" s="778"/>
      <c r="T7" s="778"/>
      <c r="U7" s="778"/>
      <c r="V7" s="778"/>
      <c r="W7" s="778"/>
      <c r="X7" s="778"/>
      <c r="Y7" s="778"/>
      <c r="Z7" s="778"/>
    </row>
    <row r="8">
      <c r="A8" s="780" t="s">
        <v>57</v>
      </c>
      <c r="B8" s="780" t="s">
        <v>6019</v>
      </c>
      <c r="C8" s="781" t="s">
        <v>6020</v>
      </c>
      <c r="D8" s="780" t="s">
        <v>6021</v>
      </c>
      <c r="E8" s="778"/>
      <c r="F8" s="778"/>
      <c r="G8" s="778"/>
      <c r="H8" s="778"/>
      <c r="I8" s="778"/>
      <c r="J8" s="778"/>
      <c r="K8" s="778"/>
      <c r="L8" s="778"/>
      <c r="M8" s="778"/>
      <c r="N8" s="778"/>
      <c r="O8" s="778"/>
      <c r="P8" s="778"/>
      <c r="Q8" s="778"/>
      <c r="R8" s="778"/>
      <c r="S8" s="778"/>
      <c r="T8" s="778"/>
      <c r="U8" s="778"/>
      <c r="V8" s="778"/>
      <c r="W8" s="778"/>
      <c r="X8" s="778"/>
      <c r="Y8" s="778"/>
      <c r="Z8" s="778"/>
    </row>
    <row r="9">
      <c r="A9" s="780" t="s">
        <v>6022</v>
      </c>
      <c r="B9" s="782"/>
      <c r="C9" s="782"/>
      <c r="D9" s="782"/>
      <c r="E9" s="778"/>
      <c r="F9" s="778"/>
      <c r="G9" s="778"/>
      <c r="H9" s="778"/>
      <c r="I9" s="778"/>
      <c r="J9" s="778"/>
      <c r="K9" s="778"/>
      <c r="L9" s="778"/>
      <c r="M9" s="778"/>
      <c r="N9" s="778"/>
      <c r="O9" s="778"/>
      <c r="P9" s="778"/>
      <c r="Q9" s="778"/>
      <c r="R9" s="778"/>
      <c r="S9" s="778"/>
      <c r="T9" s="778"/>
      <c r="U9" s="778"/>
      <c r="V9" s="778"/>
      <c r="W9" s="778"/>
      <c r="X9" s="778"/>
      <c r="Y9" s="778"/>
      <c r="Z9" s="778"/>
    </row>
    <row r="10">
      <c r="A10" s="780" t="s">
        <v>58</v>
      </c>
      <c r="B10" s="780" t="s">
        <v>6023</v>
      </c>
      <c r="C10" s="781" t="s">
        <v>6024</v>
      </c>
      <c r="D10" s="780" t="s">
        <v>6025</v>
      </c>
      <c r="E10" s="778"/>
      <c r="F10" s="778"/>
      <c r="G10" s="778"/>
      <c r="H10" s="778"/>
      <c r="I10" s="778"/>
      <c r="J10" s="778"/>
      <c r="K10" s="778"/>
      <c r="L10" s="778"/>
      <c r="M10" s="778"/>
      <c r="N10" s="778"/>
      <c r="O10" s="778"/>
      <c r="P10" s="778"/>
      <c r="Q10" s="778"/>
      <c r="R10" s="778"/>
      <c r="S10" s="778"/>
      <c r="T10" s="778"/>
      <c r="U10" s="778"/>
      <c r="V10" s="778"/>
      <c r="W10" s="778"/>
      <c r="X10" s="778"/>
      <c r="Y10" s="778"/>
      <c r="Z10" s="778"/>
    </row>
    <row r="11">
      <c r="A11" s="780" t="s">
        <v>62</v>
      </c>
      <c r="B11" s="780" t="s">
        <v>6026</v>
      </c>
      <c r="C11" s="781" t="s">
        <v>6027</v>
      </c>
      <c r="D11" s="780" t="s">
        <v>6028</v>
      </c>
      <c r="E11" s="778"/>
      <c r="F11" s="778"/>
      <c r="G11" s="778"/>
      <c r="H11" s="778"/>
      <c r="I11" s="778"/>
      <c r="J11" s="778"/>
      <c r="K11" s="778"/>
      <c r="L11" s="778"/>
      <c r="M11" s="778"/>
      <c r="N11" s="778"/>
      <c r="O11" s="778"/>
      <c r="P11" s="778"/>
      <c r="Q11" s="778"/>
      <c r="R11" s="778"/>
      <c r="S11" s="778"/>
      <c r="T11" s="778"/>
      <c r="U11" s="778"/>
      <c r="V11" s="778"/>
      <c r="W11" s="778"/>
      <c r="X11" s="778"/>
      <c r="Y11" s="778"/>
      <c r="Z11" s="778"/>
    </row>
    <row r="12">
      <c r="A12" s="780" t="s">
        <v>6030</v>
      </c>
      <c r="B12" s="780" t="s">
        <v>6031</v>
      </c>
      <c r="C12" s="781" t="s">
        <v>6032</v>
      </c>
      <c r="D12" s="780" t="s">
        <v>6033</v>
      </c>
      <c r="E12" s="778"/>
      <c r="F12" s="778"/>
      <c r="G12" s="778"/>
      <c r="H12" s="778"/>
      <c r="I12" s="778"/>
      <c r="J12" s="778"/>
      <c r="K12" s="778"/>
      <c r="L12" s="778"/>
      <c r="M12" s="778"/>
      <c r="N12" s="778"/>
      <c r="O12" s="778"/>
      <c r="P12" s="778"/>
      <c r="Q12" s="778"/>
      <c r="R12" s="778"/>
      <c r="S12" s="778"/>
      <c r="T12" s="778"/>
      <c r="U12" s="778"/>
      <c r="V12" s="778"/>
      <c r="W12" s="778"/>
      <c r="X12" s="778"/>
      <c r="Y12" s="778"/>
      <c r="Z12" s="778"/>
    </row>
    <row r="13">
      <c r="A13" s="780" t="s">
        <v>45</v>
      </c>
      <c r="B13" s="780" t="s">
        <v>6034</v>
      </c>
      <c r="C13" s="781" t="s">
        <v>6035</v>
      </c>
      <c r="D13" s="780" t="s">
        <v>6036</v>
      </c>
      <c r="E13" s="778"/>
      <c r="F13" s="778"/>
      <c r="G13" s="778"/>
      <c r="H13" s="778"/>
      <c r="I13" s="778"/>
      <c r="J13" s="778"/>
      <c r="K13" s="778"/>
      <c r="L13" s="778"/>
      <c r="M13" s="778"/>
      <c r="N13" s="778"/>
      <c r="O13" s="778"/>
      <c r="P13" s="778"/>
      <c r="Q13" s="778"/>
      <c r="R13" s="778"/>
      <c r="S13" s="778"/>
      <c r="T13" s="778"/>
      <c r="U13" s="778"/>
      <c r="V13" s="778"/>
      <c r="W13" s="778"/>
      <c r="X13" s="778"/>
      <c r="Y13" s="778"/>
      <c r="Z13" s="778"/>
    </row>
    <row r="14">
      <c r="A14" s="780" t="s">
        <v>56</v>
      </c>
      <c r="B14" s="780" t="s">
        <v>6034</v>
      </c>
      <c r="C14" s="781" t="s">
        <v>6035</v>
      </c>
      <c r="D14" s="780" t="s">
        <v>6037</v>
      </c>
      <c r="E14" s="778"/>
      <c r="F14" s="778"/>
      <c r="G14" s="778"/>
      <c r="H14" s="778"/>
      <c r="I14" s="778"/>
      <c r="J14" s="778"/>
      <c r="K14" s="778"/>
      <c r="L14" s="778"/>
      <c r="M14" s="778"/>
      <c r="N14" s="778"/>
      <c r="O14" s="778"/>
      <c r="P14" s="778"/>
      <c r="Q14" s="778"/>
      <c r="R14" s="778"/>
      <c r="S14" s="778"/>
      <c r="T14" s="778"/>
      <c r="U14" s="778"/>
      <c r="V14" s="778"/>
      <c r="W14" s="778"/>
      <c r="X14" s="778"/>
      <c r="Y14" s="778"/>
      <c r="Z14" s="778"/>
    </row>
    <row r="15">
      <c r="A15" s="780" t="s">
        <v>44</v>
      </c>
      <c r="B15" s="780" t="s">
        <v>6038</v>
      </c>
      <c r="C15" s="781" t="s">
        <v>6039</v>
      </c>
      <c r="D15" s="780" t="s">
        <v>6036</v>
      </c>
      <c r="E15" s="778"/>
      <c r="F15" s="778"/>
      <c r="G15" s="778"/>
      <c r="H15" s="778"/>
      <c r="I15" s="778"/>
      <c r="J15" s="778"/>
      <c r="K15" s="778"/>
      <c r="L15" s="778"/>
      <c r="M15" s="778"/>
      <c r="N15" s="778"/>
      <c r="O15" s="778"/>
      <c r="P15" s="778"/>
      <c r="Q15" s="778"/>
      <c r="R15" s="778"/>
      <c r="S15" s="778"/>
      <c r="T15" s="778"/>
      <c r="U15" s="778"/>
      <c r="V15" s="778"/>
      <c r="W15" s="778"/>
      <c r="X15" s="778"/>
      <c r="Y15" s="778"/>
      <c r="Z15" s="778"/>
    </row>
    <row r="16">
      <c r="A16" s="780" t="s">
        <v>55</v>
      </c>
      <c r="B16" s="780" t="s">
        <v>6040</v>
      </c>
      <c r="C16" s="781" t="s">
        <v>6041</v>
      </c>
      <c r="D16" s="780" t="s">
        <v>6042</v>
      </c>
      <c r="E16" s="778"/>
      <c r="F16" s="778"/>
      <c r="G16" s="778"/>
      <c r="H16" s="778"/>
      <c r="I16" s="778"/>
      <c r="J16" s="778"/>
      <c r="K16" s="778"/>
      <c r="L16" s="778"/>
      <c r="M16" s="778"/>
      <c r="N16" s="778"/>
      <c r="O16" s="778"/>
      <c r="P16" s="778"/>
      <c r="Q16" s="778"/>
      <c r="R16" s="778"/>
      <c r="S16" s="778"/>
      <c r="T16" s="778"/>
      <c r="U16" s="778"/>
      <c r="V16" s="778"/>
      <c r="W16" s="778"/>
      <c r="X16" s="778"/>
      <c r="Y16" s="778"/>
      <c r="Z16" s="778"/>
    </row>
    <row r="17">
      <c r="A17" s="780" t="s">
        <v>59</v>
      </c>
      <c r="B17" s="780" t="s">
        <v>6043</v>
      </c>
      <c r="C17" s="781" t="s">
        <v>6044</v>
      </c>
      <c r="D17" s="780" t="s">
        <v>6045</v>
      </c>
      <c r="E17" s="778"/>
      <c r="F17" s="778"/>
      <c r="G17" s="778"/>
      <c r="H17" s="778"/>
      <c r="I17" s="778"/>
      <c r="J17" s="778"/>
      <c r="K17" s="778"/>
      <c r="L17" s="778"/>
      <c r="M17" s="778"/>
      <c r="N17" s="778"/>
      <c r="O17" s="778"/>
      <c r="P17" s="778"/>
      <c r="Q17" s="778"/>
      <c r="R17" s="778"/>
      <c r="S17" s="778"/>
      <c r="T17" s="778"/>
      <c r="U17" s="778"/>
      <c r="V17" s="778"/>
      <c r="W17" s="778"/>
      <c r="X17" s="778"/>
      <c r="Y17" s="778"/>
      <c r="Z17" s="778"/>
    </row>
    <row r="18">
      <c r="A18" s="780" t="s">
        <v>6046</v>
      </c>
      <c r="B18" s="780" t="s">
        <v>6047</v>
      </c>
      <c r="C18" s="781" t="s">
        <v>6048</v>
      </c>
      <c r="D18" s="780" t="s">
        <v>6049</v>
      </c>
      <c r="E18" s="778"/>
      <c r="F18" s="778"/>
      <c r="G18" s="778"/>
      <c r="H18" s="778"/>
      <c r="I18" s="778"/>
      <c r="J18" s="778"/>
      <c r="K18" s="778"/>
      <c r="L18" s="778"/>
      <c r="M18" s="778"/>
      <c r="N18" s="778"/>
      <c r="O18" s="778"/>
      <c r="P18" s="778"/>
      <c r="Q18" s="778"/>
      <c r="R18" s="778"/>
      <c r="S18" s="778"/>
      <c r="T18" s="778"/>
      <c r="U18" s="778"/>
      <c r="V18" s="778"/>
      <c r="W18" s="778"/>
      <c r="X18" s="778"/>
      <c r="Y18" s="778"/>
      <c r="Z18" s="778"/>
    </row>
    <row r="19">
      <c r="A19" s="780" t="s">
        <v>6050</v>
      </c>
      <c r="B19" s="780" t="s">
        <v>6051</v>
      </c>
      <c r="C19" s="781" t="s">
        <v>6052</v>
      </c>
      <c r="D19" s="780" t="s">
        <v>6053</v>
      </c>
      <c r="E19" s="778"/>
      <c r="F19" s="778"/>
      <c r="G19" s="778"/>
      <c r="H19" s="778"/>
      <c r="I19" s="778"/>
      <c r="J19" s="778"/>
      <c r="K19" s="778"/>
      <c r="L19" s="778"/>
      <c r="M19" s="778"/>
      <c r="N19" s="778"/>
      <c r="O19" s="778"/>
      <c r="P19" s="778"/>
      <c r="Q19" s="778"/>
      <c r="R19" s="778"/>
      <c r="S19" s="778"/>
      <c r="T19" s="778"/>
      <c r="U19" s="778"/>
      <c r="V19" s="778"/>
      <c r="W19" s="778"/>
      <c r="X19" s="778"/>
      <c r="Y19" s="778"/>
      <c r="Z19" s="778"/>
    </row>
    <row r="20">
      <c r="A20" s="780" t="s">
        <v>6054</v>
      </c>
      <c r="B20" s="780" t="s">
        <v>6055</v>
      </c>
      <c r="C20" s="781" t="s">
        <v>6056</v>
      </c>
      <c r="D20" s="780" t="s">
        <v>6057</v>
      </c>
      <c r="E20" s="778"/>
      <c r="F20" s="778"/>
      <c r="G20" s="778"/>
      <c r="H20" s="778"/>
      <c r="I20" s="778"/>
      <c r="J20" s="778"/>
      <c r="K20" s="778"/>
      <c r="L20" s="778"/>
      <c r="M20" s="778"/>
      <c r="N20" s="778"/>
      <c r="O20" s="778"/>
      <c r="P20" s="778"/>
      <c r="Q20" s="778"/>
      <c r="R20" s="778"/>
      <c r="S20" s="778"/>
      <c r="T20" s="778"/>
      <c r="U20" s="778"/>
      <c r="V20" s="778"/>
      <c r="W20" s="778"/>
      <c r="X20" s="778"/>
      <c r="Y20" s="778"/>
      <c r="Z20" s="778"/>
    </row>
    <row r="21">
      <c r="A21" s="780" t="s">
        <v>4948</v>
      </c>
      <c r="B21" s="780" t="s">
        <v>6058</v>
      </c>
      <c r="C21" s="781" t="s">
        <v>6059</v>
      </c>
      <c r="D21" s="780" t="s">
        <v>6060</v>
      </c>
      <c r="E21" s="778"/>
      <c r="F21" s="778"/>
      <c r="G21" s="778"/>
      <c r="H21" s="778"/>
      <c r="I21" s="778"/>
      <c r="J21" s="778"/>
      <c r="K21" s="778"/>
      <c r="L21" s="778"/>
      <c r="M21" s="778"/>
      <c r="N21" s="778"/>
      <c r="O21" s="778"/>
      <c r="P21" s="778"/>
      <c r="Q21" s="778"/>
      <c r="R21" s="778"/>
      <c r="S21" s="778"/>
      <c r="T21" s="778"/>
      <c r="U21" s="778"/>
      <c r="V21" s="778"/>
      <c r="W21" s="778"/>
      <c r="X21" s="778"/>
      <c r="Y21" s="778"/>
      <c r="Z21" s="778"/>
    </row>
    <row r="22">
      <c r="A22" s="780" t="s">
        <v>6061</v>
      </c>
      <c r="B22" s="780" t="s">
        <v>6055</v>
      </c>
      <c r="C22" s="781" t="s">
        <v>6056</v>
      </c>
      <c r="D22" s="780" t="s">
        <v>6057</v>
      </c>
      <c r="E22" s="778"/>
      <c r="F22" s="778"/>
      <c r="G22" s="778"/>
      <c r="H22" s="778"/>
      <c r="I22" s="778"/>
      <c r="J22" s="778"/>
      <c r="K22" s="778"/>
      <c r="L22" s="778"/>
      <c r="M22" s="778"/>
      <c r="N22" s="778"/>
      <c r="O22" s="778"/>
      <c r="P22" s="778"/>
      <c r="Q22" s="778"/>
      <c r="R22" s="778"/>
      <c r="S22" s="778"/>
      <c r="T22" s="778"/>
      <c r="U22" s="778"/>
      <c r="V22" s="778"/>
      <c r="W22" s="778"/>
      <c r="X22" s="778"/>
      <c r="Y22" s="778"/>
      <c r="Z22" s="778"/>
    </row>
    <row r="23">
      <c r="A23" s="780" t="s">
        <v>6062</v>
      </c>
      <c r="B23" s="780" t="s">
        <v>6063</v>
      </c>
      <c r="C23" s="781" t="s">
        <v>6064</v>
      </c>
      <c r="D23" s="780" t="s">
        <v>6065</v>
      </c>
      <c r="E23" s="778"/>
      <c r="F23" s="778"/>
      <c r="G23" s="778"/>
      <c r="H23" s="778"/>
      <c r="I23" s="778"/>
      <c r="J23" s="778"/>
      <c r="K23" s="778"/>
      <c r="L23" s="778"/>
      <c r="M23" s="778"/>
      <c r="N23" s="778"/>
      <c r="O23" s="778"/>
      <c r="P23" s="778"/>
      <c r="Q23" s="778"/>
      <c r="R23" s="778"/>
      <c r="S23" s="778"/>
      <c r="T23" s="778"/>
      <c r="U23" s="778"/>
      <c r="V23" s="778"/>
      <c r="W23" s="778"/>
      <c r="X23" s="778"/>
      <c r="Y23" s="778"/>
      <c r="Z23" s="778"/>
    </row>
    <row r="24">
      <c r="A24" s="780" t="s">
        <v>50</v>
      </c>
      <c r="B24" s="782"/>
      <c r="C24" s="782"/>
      <c r="D24" s="782"/>
      <c r="E24" s="778"/>
      <c r="F24" s="778"/>
      <c r="G24" s="778"/>
      <c r="H24" s="778"/>
      <c r="I24" s="778"/>
      <c r="J24" s="778"/>
      <c r="K24" s="778"/>
      <c r="L24" s="778"/>
      <c r="M24" s="778"/>
      <c r="N24" s="778"/>
      <c r="O24" s="778"/>
      <c r="P24" s="778"/>
      <c r="Q24" s="778"/>
      <c r="R24" s="778"/>
      <c r="S24" s="778"/>
      <c r="T24" s="778"/>
      <c r="U24" s="778"/>
      <c r="V24" s="778"/>
      <c r="W24" s="778"/>
      <c r="X24" s="778"/>
      <c r="Y24" s="778"/>
      <c r="Z24" s="778"/>
    </row>
    <row r="25">
      <c r="A25" s="780" t="s">
        <v>6066</v>
      </c>
      <c r="B25" s="780" t="s">
        <v>6067</v>
      </c>
      <c r="C25" s="781" t="s">
        <v>6068</v>
      </c>
      <c r="D25" s="780" t="s">
        <v>6069</v>
      </c>
      <c r="E25" s="778"/>
      <c r="F25" s="778"/>
      <c r="G25" s="778"/>
      <c r="H25" s="778"/>
      <c r="I25" s="778"/>
      <c r="J25" s="778"/>
      <c r="K25" s="778"/>
      <c r="L25" s="778"/>
      <c r="M25" s="778"/>
      <c r="N25" s="778"/>
      <c r="O25" s="778"/>
      <c r="P25" s="778"/>
      <c r="Q25" s="778"/>
      <c r="R25" s="778"/>
      <c r="S25" s="778"/>
      <c r="T25" s="778"/>
      <c r="U25" s="778"/>
      <c r="V25" s="778"/>
      <c r="W25" s="778"/>
      <c r="X25" s="778"/>
      <c r="Y25" s="778"/>
      <c r="Z25" s="778"/>
    </row>
    <row r="26">
      <c r="A26" s="780" t="s">
        <v>2794</v>
      </c>
      <c r="B26" s="782"/>
      <c r="C26" s="782"/>
      <c r="D26" s="782"/>
      <c r="E26" s="778"/>
      <c r="F26" s="778"/>
      <c r="G26" s="778"/>
      <c r="H26" s="778"/>
      <c r="I26" s="778"/>
      <c r="J26" s="778"/>
      <c r="K26" s="778"/>
      <c r="L26" s="778"/>
      <c r="M26" s="778"/>
      <c r="N26" s="778"/>
      <c r="O26" s="778"/>
      <c r="P26" s="778"/>
      <c r="Q26" s="778"/>
      <c r="R26" s="778"/>
      <c r="S26" s="778"/>
      <c r="T26" s="778"/>
      <c r="U26" s="778"/>
      <c r="V26" s="778"/>
      <c r="W26" s="778"/>
      <c r="X26" s="778"/>
      <c r="Y26" s="778"/>
      <c r="Z26" s="778"/>
    </row>
    <row r="27">
      <c r="A27" s="780" t="s">
        <v>2563</v>
      </c>
      <c r="B27" s="782"/>
      <c r="C27" s="782"/>
      <c r="D27" s="782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778"/>
      <c r="V27" s="778"/>
      <c r="W27" s="778"/>
      <c r="X27" s="778"/>
      <c r="Y27" s="778"/>
      <c r="Z27" s="778"/>
    </row>
    <row r="28">
      <c r="A28" s="780" t="s">
        <v>52</v>
      </c>
      <c r="B28" s="780" t="s">
        <v>6070</v>
      </c>
      <c r="C28" s="781" t="s">
        <v>6071</v>
      </c>
      <c r="D28" s="780" t="s">
        <v>6069</v>
      </c>
      <c r="E28" s="778"/>
      <c r="F28" s="778"/>
      <c r="G28" s="778"/>
      <c r="H28" s="778"/>
      <c r="I28" s="778"/>
      <c r="J28" s="778"/>
      <c r="K28" s="778"/>
      <c r="L28" s="778"/>
      <c r="M28" s="778"/>
      <c r="N28" s="778"/>
      <c r="O28" s="778"/>
      <c r="P28" s="778"/>
      <c r="Q28" s="778"/>
      <c r="R28" s="778"/>
      <c r="S28" s="778"/>
      <c r="T28" s="778"/>
      <c r="U28" s="778"/>
      <c r="V28" s="778"/>
      <c r="W28" s="778"/>
      <c r="X28" s="778"/>
      <c r="Y28" s="778"/>
      <c r="Z28" s="778"/>
    </row>
    <row r="29">
      <c r="A29" s="780" t="s">
        <v>51</v>
      </c>
      <c r="B29" s="780" t="s">
        <v>6072</v>
      </c>
      <c r="C29" s="781" t="s">
        <v>6073</v>
      </c>
      <c r="D29" s="780" t="s">
        <v>6074</v>
      </c>
      <c r="E29" s="778"/>
      <c r="F29" s="778"/>
      <c r="G29" s="778"/>
      <c r="H29" s="778"/>
      <c r="I29" s="778"/>
      <c r="J29" s="778"/>
      <c r="K29" s="778"/>
      <c r="L29" s="778"/>
      <c r="M29" s="778"/>
      <c r="N29" s="778"/>
      <c r="O29" s="778"/>
      <c r="P29" s="778"/>
      <c r="Q29" s="778"/>
      <c r="R29" s="778"/>
      <c r="S29" s="778"/>
      <c r="T29" s="778"/>
      <c r="U29" s="778"/>
      <c r="V29" s="778"/>
      <c r="W29" s="778"/>
      <c r="X29" s="778"/>
      <c r="Y29" s="778"/>
      <c r="Z29" s="778"/>
    </row>
    <row r="30">
      <c r="A30" s="780" t="s">
        <v>70</v>
      </c>
      <c r="B30" s="782"/>
      <c r="C30" s="782"/>
      <c r="D30" s="782"/>
      <c r="E30" s="778"/>
      <c r="F30" s="778"/>
      <c r="G30" s="778"/>
      <c r="H30" s="778"/>
      <c r="I30" s="778"/>
      <c r="J30" s="778"/>
      <c r="K30" s="778"/>
      <c r="L30" s="778"/>
      <c r="M30" s="778"/>
      <c r="N30" s="778"/>
      <c r="O30" s="778"/>
      <c r="P30" s="778"/>
      <c r="Q30" s="778"/>
      <c r="R30" s="778"/>
      <c r="S30" s="778"/>
      <c r="T30" s="778"/>
      <c r="U30" s="778"/>
      <c r="V30" s="778"/>
      <c r="W30" s="778"/>
      <c r="X30" s="778"/>
      <c r="Y30" s="778"/>
      <c r="Z30" s="778"/>
    </row>
    <row r="31">
      <c r="A31" s="780"/>
      <c r="B31" s="782"/>
      <c r="C31" s="782"/>
      <c r="D31" s="782"/>
      <c r="E31" s="778"/>
      <c r="F31" s="778"/>
      <c r="G31" s="778"/>
      <c r="H31" s="778"/>
      <c r="I31" s="778"/>
      <c r="J31" s="778"/>
      <c r="K31" s="778"/>
      <c r="L31" s="778"/>
      <c r="M31" s="778"/>
      <c r="N31" s="778"/>
      <c r="O31" s="778"/>
      <c r="P31" s="778"/>
      <c r="Q31" s="778"/>
      <c r="R31" s="778"/>
      <c r="S31" s="778"/>
      <c r="T31" s="778"/>
      <c r="U31" s="778"/>
      <c r="V31" s="778"/>
      <c r="W31" s="778"/>
      <c r="X31" s="778"/>
      <c r="Y31" s="778"/>
      <c r="Z31" s="778"/>
    </row>
    <row r="32">
      <c r="A32" s="780"/>
      <c r="B32" s="782"/>
      <c r="C32" s="782"/>
      <c r="D32" s="782"/>
      <c r="E32" s="778"/>
      <c r="F32" s="778"/>
      <c r="G32" s="778"/>
      <c r="H32" s="778"/>
      <c r="I32" s="778"/>
      <c r="J32" s="778"/>
      <c r="K32" s="778"/>
      <c r="L32" s="778"/>
      <c r="M32" s="778"/>
      <c r="N32" s="778"/>
      <c r="O32" s="778"/>
      <c r="P32" s="778"/>
      <c r="Q32" s="778"/>
      <c r="R32" s="778"/>
      <c r="S32" s="778"/>
      <c r="T32" s="778"/>
      <c r="U32" s="778"/>
      <c r="V32" s="778"/>
      <c r="W32" s="778"/>
      <c r="X32" s="778"/>
      <c r="Y32" s="778"/>
      <c r="Z32" s="778"/>
    </row>
    <row r="33">
      <c r="A33" s="780"/>
      <c r="B33" s="782"/>
      <c r="C33" s="782"/>
      <c r="D33" s="782"/>
      <c r="E33" s="778"/>
      <c r="F33" s="778"/>
      <c r="G33" s="778"/>
      <c r="H33" s="778"/>
      <c r="I33" s="778"/>
      <c r="J33" s="778"/>
      <c r="K33" s="778"/>
      <c r="L33" s="778"/>
      <c r="M33" s="778"/>
      <c r="N33" s="778"/>
      <c r="O33" s="778"/>
      <c r="P33" s="778"/>
      <c r="Q33" s="778"/>
      <c r="R33" s="778"/>
      <c r="S33" s="778"/>
      <c r="T33" s="778"/>
      <c r="U33" s="778"/>
      <c r="V33" s="778"/>
      <c r="W33" s="778"/>
      <c r="X33" s="778"/>
      <c r="Y33" s="778"/>
      <c r="Z33" s="778"/>
    </row>
    <row r="34">
      <c r="A34" s="780"/>
      <c r="B34" s="782"/>
      <c r="C34" s="782"/>
      <c r="D34" s="782"/>
      <c r="E34" s="778"/>
      <c r="F34" s="778"/>
      <c r="G34" s="778"/>
      <c r="H34" s="778"/>
      <c r="I34" s="778"/>
      <c r="J34" s="778"/>
      <c r="K34" s="778"/>
      <c r="L34" s="778"/>
      <c r="M34" s="778"/>
      <c r="N34" s="778"/>
      <c r="O34" s="778"/>
      <c r="P34" s="778"/>
      <c r="Q34" s="778"/>
      <c r="R34" s="778"/>
      <c r="S34" s="778"/>
      <c r="T34" s="778"/>
      <c r="U34" s="778"/>
      <c r="V34" s="778"/>
      <c r="W34" s="778"/>
      <c r="X34" s="778"/>
      <c r="Y34" s="778"/>
      <c r="Z34" s="778"/>
    </row>
    <row r="35">
      <c r="A35" s="780"/>
      <c r="B35" s="782"/>
      <c r="C35" s="782"/>
      <c r="D35" s="782"/>
      <c r="E35" s="778"/>
      <c r="F35" s="778"/>
      <c r="G35" s="778"/>
      <c r="H35" s="778"/>
      <c r="I35" s="778"/>
      <c r="J35" s="778"/>
      <c r="K35" s="778"/>
      <c r="L35" s="778"/>
      <c r="M35" s="778"/>
      <c r="N35" s="778"/>
      <c r="O35" s="778"/>
      <c r="P35" s="778"/>
      <c r="Q35" s="778"/>
      <c r="R35" s="778"/>
      <c r="S35" s="778"/>
      <c r="T35" s="778"/>
      <c r="U35" s="778"/>
      <c r="V35" s="778"/>
      <c r="W35" s="778"/>
      <c r="X35" s="778"/>
      <c r="Y35" s="778"/>
      <c r="Z35" s="778"/>
    </row>
    <row r="36">
      <c r="A36" s="780"/>
      <c r="B36" s="782"/>
      <c r="C36" s="782"/>
      <c r="D36" s="782"/>
      <c r="E36" s="778"/>
      <c r="F36" s="778"/>
      <c r="G36" s="778"/>
      <c r="H36" s="778"/>
      <c r="I36" s="778"/>
      <c r="J36" s="778"/>
      <c r="K36" s="778"/>
      <c r="L36" s="778"/>
      <c r="M36" s="778"/>
      <c r="N36" s="778"/>
      <c r="O36" s="778"/>
      <c r="P36" s="778"/>
      <c r="Q36" s="778"/>
      <c r="R36" s="778"/>
      <c r="S36" s="778"/>
      <c r="T36" s="778"/>
      <c r="U36" s="778"/>
      <c r="V36" s="778"/>
      <c r="W36" s="778"/>
      <c r="X36" s="778"/>
      <c r="Y36" s="778"/>
      <c r="Z36" s="778"/>
    </row>
    <row r="37">
      <c r="A37" s="777"/>
      <c r="B37" s="777"/>
      <c r="C37" s="777"/>
      <c r="D37" s="778"/>
      <c r="E37" s="778"/>
      <c r="F37" s="778"/>
      <c r="G37" s="778"/>
      <c r="H37" s="778"/>
      <c r="I37" s="778"/>
      <c r="J37" s="778"/>
      <c r="K37" s="778"/>
      <c r="L37" s="778"/>
      <c r="M37" s="778"/>
      <c r="N37" s="778"/>
      <c r="O37" s="778"/>
      <c r="P37" s="778"/>
      <c r="Q37" s="778"/>
      <c r="R37" s="778"/>
      <c r="S37" s="778"/>
      <c r="T37" s="778"/>
      <c r="U37" s="778"/>
      <c r="V37" s="778"/>
      <c r="W37" s="778"/>
      <c r="X37" s="778"/>
      <c r="Y37" s="778"/>
      <c r="Z37" s="778"/>
    </row>
    <row r="38">
      <c r="A38" s="777"/>
      <c r="B38" s="777"/>
      <c r="C38" s="777"/>
      <c r="D38" s="778"/>
      <c r="E38" s="778"/>
      <c r="F38" s="778"/>
      <c r="G38" s="778"/>
      <c r="H38" s="778"/>
      <c r="I38" s="778"/>
      <c r="J38" s="778"/>
      <c r="K38" s="778"/>
      <c r="L38" s="778"/>
      <c r="M38" s="778"/>
      <c r="N38" s="778"/>
      <c r="O38" s="778"/>
      <c r="P38" s="778"/>
      <c r="Q38" s="778"/>
      <c r="R38" s="778"/>
      <c r="S38" s="778"/>
      <c r="T38" s="778"/>
      <c r="U38" s="778"/>
      <c r="V38" s="778"/>
      <c r="W38" s="778"/>
      <c r="X38" s="778"/>
      <c r="Y38" s="778"/>
      <c r="Z38" s="778"/>
    </row>
    <row r="39">
      <c r="A39" s="777"/>
      <c r="B39" s="777"/>
      <c r="C39" s="777"/>
      <c r="D39" s="778"/>
      <c r="E39" s="778"/>
      <c r="F39" s="778"/>
      <c r="G39" s="778"/>
      <c r="H39" s="778"/>
      <c r="I39" s="778"/>
      <c r="J39" s="778"/>
      <c r="K39" s="778"/>
      <c r="L39" s="778"/>
      <c r="M39" s="778"/>
      <c r="N39" s="778"/>
      <c r="O39" s="778"/>
      <c r="P39" s="778"/>
      <c r="Q39" s="778"/>
      <c r="R39" s="778"/>
      <c r="S39" s="778"/>
      <c r="T39" s="778"/>
      <c r="U39" s="778"/>
      <c r="V39" s="778"/>
      <c r="W39" s="778"/>
      <c r="X39" s="778"/>
      <c r="Y39" s="778"/>
      <c r="Z39" s="778"/>
    </row>
    <row r="40">
      <c r="A40" s="777"/>
      <c r="B40" s="777"/>
      <c r="C40" s="777"/>
      <c r="D40" s="778"/>
      <c r="E40" s="778"/>
      <c r="F40" s="778"/>
      <c r="G40" s="778"/>
      <c r="H40" s="778"/>
      <c r="I40" s="778"/>
      <c r="J40" s="778"/>
      <c r="K40" s="778"/>
      <c r="L40" s="778"/>
      <c r="M40" s="778"/>
      <c r="N40" s="778"/>
      <c r="O40" s="778"/>
      <c r="P40" s="778"/>
      <c r="Q40" s="778"/>
      <c r="R40" s="778"/>
      <c r="S40" s="778"/>
      <c r="T40" s="778"/>
      <c r="U40" s="778"/>
      <c r="V40" s="778"/>
      <c r="W40" s="778"/>
      <c r="X40" s="778"/>
      <c r="Y40" s="778"/>
      <c r="Z40" s="778"/>
    </row>
    <row r="41">
      <c r="A41" s="777"/>
      <c r="B41" s="777"/>
      <c r="C41" s="777"/>
      <c r="D41" s="778"/>
      <c r="E41" s="778"/>
      <c r="F41" s="778"/>
      <c r="G41" s="778"/>
      <c r="H41" s="778"/>
      <c r="I41" s="778"/>
      <c r="J41" s="778"/>
      <c r="K41" s="778"/>
      <c r="L41" s="778"/>
      <c r="M41" s="778"/>
      <c r="N41" s="778"/>
      <c r="O41" s="778"/>
      <c r="P41" s="778"/>
      <c r="Q41" s="778"/>
      <c r="R41" s="778"/>
      <c r="S41" s="778"/>
      <c r="T41" s="778"/>
      <c r="U41" s="778"/>
      <c r="V41" s="778"/>
      <c r="W41" s="778"/>
      <c r="X41" s="778"/>
      <c r="Y41" s="778"/>
      <c r="Z41" s="778"/>
    </row>
    <row r="42">
      <c r="A42" s="777"/>
      <c r="B42" s="777"/>
      <c r="C42" s="777"/>
      <c r="D42" s="778"/>
      <c r="E42" s="778"/>
      <c r="F42" s="778"/>
      <c r="G42" s="778"/>
      <c r="H42" s="778"/>
      <c r="I42" s="778"/>
      <c r="J42" s="778"/>
      <c r="K42" s="778"/>
      <c r="L42" s="778"/>
      <c r="M42" s="778"/>
      <c r="N42" s="778"/>
      <c r="O42" s="778"/>
      <c r="P42" s="778"/>
      <c r="Q42" s="778"/>
      <c r="R42" s="778"/>
      <c r="S42" s="778"/>
      <c r="T42" s="778"/>
      <c r="U42" s="778"/>
      <c r="V42" s="778"/>
      <c r="W42" s="778"/>
      <c r="X42" s="778"/>
      <c r="Y42" s="778"/>
      <c r="Z42" s="778"/>
    </row>
    <row r="43">
      <c r="A43" s="777"/>
      <c r="B43" s="777"/>
      <c r="C43" s="777"/>
      <c r="D43" s="778"/>
      <c r="E43" s="778"/>
      <c r="F43" s="778"/>
      <c r="G43" s="778"/>
      <c r="H43" s="778"/>
      <c r="I43" s="778"/>
      <c r="J43" s="778"/>
      <c r="K43" s="778"/>
      <c r="L43" s="778"/>
      <c r="M43" s="778"/>
      <c r="N43" s="778"/>
      <c r="O43" s="778"/>
      <c r="P43" s="778"/>
      <c r="Q43" s="778"/>
      <c r="R43" s="778"/>
      <c r="S43" s="778"/>
      <c r="T43" s="778"/>
      <c r="U43" s="778"/>
      <c r="V43" s="778"/>
      <c r="W43" s="778"/>
      <c r="X43" s="778"/>
      <c r="Y43" s="778"/>
      <c r="Z43" s="778"/>
    </row>
    <row r="44">
      <c r="A44" s="777"/>
      <c r="B44" s="777"/>
      <c r="C44" s="777"/>
      <c r="D44" s="778"/>
      <c r="E44" s="778"/>
      <c r="F44" s="778"/>
      <c r="G44" s="778"/>
      <c r="H44" s="778"/>
      <c r="I44" s="778"/>
      <c r="J44" s="778"/>
      <c r="K44" s="778"/>
      <c r="L44" s="778"/>
      <c r="M44" s="778"/>
      <c r="N44" s="778"/>
      <c r="O44" s="778"/>
      <c r="P44" s="778"/>
      <c r="Q44" s="778"/>
      <c r="R44" s="778"/>
      <c r="S44" s="778"/>
      <c r="T44" s="778"/>
      <c r="U44" s="778"/>
      <c r="V44" s="778"/>
      <c r="W44" s="778"/>
      <c r="X44" s="778"/>
      <c r="Y44" s="778"/>
      <c r="Z44" s="778"/>
    </row>
    <row r="45">
      <c r="A45" s="777"/>
      <c r="B45" s="777"/>
      <c r="C45" s="777"/>
      <c r="D45" s="778"/>
      <c r="E45" s="778"/>
      <c r="F45" s="778"/>
      <c r="G45" s="778"/>
      <c r="H45" s="778"/>
      <c r="I45" s="778"/>
      <c r="J45" s="778"/>
      <c r="K45" s="778"/>
      <c r="L45" s="778"/>
      <c r="M45" s="778"/>
      <c r="N45" s="778"/>
      <c r="O45" s="778"/>
      <c r="P45" s="778"/>
      <c r="Q45" s="778"/>
      <c r="R45" s="778"/>
      <c r="S45" s="778"/>
      <c r="T45" s="778"/>
      <c r="U45" s="778"/>
      <c r="V45" s="778"/>
      <c r="W45" s="778"/>
      <c r="X45" s="778"/>
      <c r="Y45" s="778"/>
      <c r="Z45" s="778"/>
    </row>
    <row r="46">
      <c r="A46" s="777"/>
      <c r="B46" s="777"/>
      <c r="C46" s="777"/>
      <c r="D46" s="778"/>
      <c r="E46" s="778"/>
      <c r="F46" s="778"/>
      <c r="G46" s="778"/>
      <c r="H46" s="778"/>
      <c r="I46" s="778"/>
      <c r="J46" s="778"/>
      <c r="K46" s="778"/>
      <c r="L46" s="778"/>
      <c r="M46" s="778"/>
      <c r="N46" s="778"/>
      <c r="O46" s="778"/>
      <c r="P46" s="778"/>
      <c r="Q46" s="778"/>
      <c r="R46" s="778"/>
      <c r="S46" s="778"/>
      <c r="T46" s="778"/>
      <c r="U46" s="778"/>
      <c r="V46" s="778"/>
      <c r="W46" s="778"/>
      <c r="X46" s="778"/>
      <c r="Y46" s="778"/>
      <c r="Z46" s="778"/>
    </row>
    <row r="47">
      <c r="A47" s="777"/>
      <c r="B47" s="777"/>
      <c r="C47" s="777"/>
      <c r="D47" s="778"/>
      <c r="E47" s="778"/>
      <c r="F47" s="778"/>
      <c r="G47" s="778"/>
      <c r="H47" s="778"/>
      <c r="I47" s="778"/>
      <c r="J47" s="778"/>
      <c r="K47" s="778"/>
      <c r="L47" s="778"/>
      <c r="M47" s="778"/>
      <c r="N47" s="778"/>
      <c r="O47" s="778"/>
      <c r="P47" s="778"/>
      <c r="Q47" s="778"/>
      <c r="R47" s="778"/>
      <c r="S47" s="778"/>
      <c r="T47" s="778"/>
      <c r="U47" s="778"/>
      <c r="V47" s="778"/>
      <c r="W47" s="778"/>
      <c r="X47" s="778"/>
      <c r="Y47" s="778"/>
      <c r="Z47" s="778"/>
    </row>
    <row r="48">
      <c r="A48" s="777"/>
      <c r="B48" s="777"/>
      <c r="C48" s="777"/>
      <c r="D48" s="778"/>
      <c r="E48" s="778"/>
      <c r="F48" s="778"/>
      <c r="G48" s="778"/>
      <c r="H48" s="778"/>
      <c r="I48" s="778"/>
      <c r="J48" s="778"/>
      <c r="K48" s="778"/>
      <c r="L48" s="778"/>
      <c r="M48" s="778"/>
      <c r="N48" s="778"/>
      <c r="O48" s="778"/>
      <c r="P48" s="778"/>
      <c r="Q48" s="778"/>
      <c r="R48" s="778"/>
      <c r="S48" s="778"/>
      <c r="T48" s="778"/>
      <c r="U48" s="778"/>
      <c r="V48" s="778"/>
      <c r="W48" s="778"/>
      <c r="X48" s="778"/>
      <c r="Y48" s="778"/>
      <c r="Z48" s="778"/>
    </row>
    <row r="49">
      <c r="A49" s="777"/>
      <c r="B49" s="777"/>
      <c r="C49" s="777"/>
      <c r="D49" s="778"/>
      <c r="E49" s="778"/>
      <c r="F49" s="778"/>
      <c r="G49" s="778"/>
      <c r="H49" s="778"/>
      <c r="I49" s="778"/>
      <c r="J49" s="778"/>
      <c r="K49" s="778"/>
      <c r="L49" s="778"/>
      <c r="M49" s="778"/>
      <c r="N49" s="778"/>
      <c r="O49" s="778"/>
      <c r="P49" s="778"/>
      <c r="Q49" s="778"/>
      <c r="R49" s="778"/>
      <c r="S49" s="778"/>
      <c r="T49" s="778"/>
      <c r="U49" s="778"/>
      <c r="V49" s="778"/>
      <c r="W49" s="778"/>
      <c r="X49" s="778"/>
      <c r="Y49" s="778"/>
      <c r="Z49" s="778"/>
    </row>
    <row r="50">
      <c r="A50" s="777"/>
      <c r="B50" s="777"/>
      <c r="C50" s="777"/>
      <c r="D50" s="778"/>
      <c r="E50" s="778"/>
      <c r="F50" s="778"/>
      <c r="G50" s="778"/>
      <c r="H50" s="778"/>
      <c r="I50" s="778"/>
      <c r="J50" s="778"/>
      <c r="K50" s="778"/>
      <c r="L50" s="778"/>
      <c r="M50" s="778"/>
      <c r="N50" s="778"/>
      <c r="O50" s="778"/>
      <c r="P50" s="778"/>
      <c r="Q50" s="778"/>
      <c r="R50" s="778"/>
      <c r="S50" s="778"/>
      <c r="T50" s="778"/>
      <c r="U50" s="778"/>
      <c r="V50" s="778"/>
      <c r="W50" s="778"/>
      <c r="X50" s="778"/>
      <c r="Y50" s="778"/>
      <c r="Z50" s="778"/>
    </row>
    <row r="51">
      <c r="A51" s="777"/>
      <c r="B51" s="777"/>
      <c r="C51" s="777"/>
      <c r="D51" s="778"/>
      <c r="E51" s="778"/>
      <c r="F51" s="778"/>
      <c r="G51" s="778"/>
      <c r="H51" s="778"/>
      <c r="I51" s="778"/>
      <c r="J51" s="778"/>
      <c r="K51" s="778"/>
      <c r="L51" s="778"/>
      <c r="M51" s="778"/>
      <c r="N51" s="778"/>
      <c r="O51" s="778"/>
      <c r="P51" s="778"/>
      <c r="Q51" s="778"/>
      <c r="R51" s="778"/>
      <c r="S51" s="778"/>
      <c r="T51" s="778"/>
      <c r="U51" s="778"/>
      <c r="V51" s="778"/>
      <c r="W51" s="778"/>
      <c r="X51" s="778"/>
      <c r="Y51" s="778"/>
      <c r="Z51" s="778"/>
    </row>
    <row r="52">
      <c r="A52" s="777"/>
      <c r="B52" s="777"/>
      <c r="C52" s="777"/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778"/>
      <c r="V52" s="778"/>
      <c r="W52" s="778"/>
      <c r="X52" s="778"/>
      <c r="Y52" s="778"/>
      <c r="Z52" s="778"/>
    </row>
    <row r="53">
      <c r="A53" s="777"/>
      <c r="B53" s="777"/>
      <c r="C53" s="777"/>
      <c r="D53" s="778"/>
      <c r="E53" s="778"/>
      <c r="F53" s="778"/>
      <c r="G53" s="778"/>
      <c r="H53" s="778"/>
      <c r="I53" s="778"/>
      <c r="J53" s="778"/>
      <c r="K53" s="778"/>
      <c r="L53" s="778"/>
      <c r="M53" s="778"/>
      <c r="N53" s="778"/>
      <c r="O53" s="778"/>
      <c r="P53" s="778"/>
      <c r="Q53" s="778"/>
      <c r="R53" s="778"/>
      <c r="S53" s="778"/>
      <c r="T53" s="778"/>
      <c r="U53" s="778"/>
      <c r="V53" s="778"/>
      <c r="W53" s="778"/>
      <c r="X53" s="778"/>
      <c r="Y53" s="778"/>
      <c r="Z53" s="778"/>
    </row>
    <row r="54">
      <c r="A54" s="777"/>
      <c r="B54" s="777"/>
      <c r="C54" s="777"/>
      <c r="D54" s="778"/>
      <c r="E54" s="778"/>
      <c r="F54" s="778"/>
      <c r="G54" s="778"/>
      <c r="H54" s="778"/>
      <c r="I54" s="778"/>
      <c r="J54" s="778"/>
      <c r="K54" s="778"/>
      <c r="L54" s="778"/>
      <c r="M54" s="778"/>
      <c r="N54" s="778"/>
      <c r="O54" s="778"/>
      <c r="P54" s="778"/>
      <c r="Q54" s="778"/>
      <c r="R54" s="778"/>
      <c r="S54" s="778"/>
      <c r="T54" s="778"/>
      <c r="U54" s="778"/>
      <c r="V54" s="778"/>
      <c r="W54" s="778"/>
      <c r="X54" s="778"/>
      <c r="Y54" s="778"/>
      <c r="Z54" s="778"/>
    </row>
    <row r="55">
      <c r="A55" s="777"/>
      <c r="B55" s="777"/>
      <c r="C55" s="777"/>
      <c r="D55" s="778"/>
      <c r="E55" s="778"/>
      <c r="F55" s="778"/>
      <c r="G55" s="778"/>
      <c r="H55" s="778"/>
      <c r="I55" s="778"/>
      <c r="J55" s="778"/>
      <c r="K55" s="778"/>
      <c r="L55" s="778"/>
      <c r="M55" s="778"/>
      <c r="N55" s="778"/>
      <c r="O55" s="778"/>
      <c r="P55" s="778"/>
      <c r="Q55" s="778"/>
      <c r="R55" s="778"/>
      <c r="S55" s="778"/>
      <c r="T55" s="778"/>
      <c r="U55" s="778"/>
      <c r="V55" s="778"/>
      <c r="W55" s="778"/>
      <c r="X55" s="778"/>
      <c r="Y55" s="778"/>
      <c r="Z55" s="778"/>
    </row>
    <row r="56">
      <c r="A56" s="777"/>
      <c r="B56" s="777"/>
      <c r="C56" s="777"/>
      <c r="D56" s="778"/>
      <c r="E56" s="778"/>
      <c r="F56" s="778"/>
      <c r="G56" s="778"/>
      <c r="H56" s="778"/>
      <c r="I56" s="778"/>
      <c r="J56" s="778"/>
      <c r="K56" s="778"/>
      <c r="L56" s="778"/>
      <c r="M56" s="778"/>
      <c r="N56" s="778"/>
      <c r="O56" s="778"/>
      <c r="P56" s="778"/>
      <c r="Q56" s="778"/>
      <c r="R56" s="778"/>
      <c r="S56" s="778"/>
      <c r="T56" s="778"/>
      <c r="U56" s="778"/>
      <c r="V56" s="778"/>
      <c r="W56" s="778"/>
      <c r="X56" s="778"/>
      <c r="Y56" s="778"/>
      <c r="Z56" s="778"/>
    </row>
    <row r="57">
      <c r="A57" s="777"/>
      <c r="B57" s="777"/>
      <c r="C57" s="777"/>
      <c r="D57" s="778"/>
      <c r="E57" s="778"/>
      <c r="F57" s="778"/>
      <c r="G57" s="778"/>
      <c r="H57" s="778"/>
      <c r="I57" s="778"/>
      <c r="J57" s="778"/>
      <c r="K57" s="778"/>
      <c r="L57" s="778"/>
      <c r="M57" s="778"/>
      <c r="N57" s="778"/>
      <c r="O57" s="778"/>
      <c r="P57" s="778"/>
      <c r="Q57" s="778"/>
      <c r="R57" s="778"/>
      <c r="S57" s="778"/>
      <c r="T57" s="778"/>
      <c r="U57" s="778"/>
      <c r="V57" s="778"/>
      <c r="W57" s="778"/>
      <c r="X57" s="778"/>
      <c r="Y57" s="778"/>
      <c r="Z57" s="778"/>
    </row>
    <row r="58">
      <c r="A58" s="777"/>
      <c r="B58" s="777"/>
      <c r="C58" s="777"/>
      <c r="D58" s="778"/>
      <c r="E58" s="778"/>
      <c r="F58" s="778"/>
      <c r="G58" s="778"/>
      <c r="H58" s="778"/>
      <c r="I58" s="778"/>
      <c r="J58" s="778"/>
      <c r="K58" s="778"/>
      <c r="L58" s="778"/>
      <c r="M58" s="778"/>
      <c r="N58" s="778"/>
      <c r="O58" s="778"/>
      <c r="P58" s="778"/>
      <c r="Q58" s="778"/>
      <c r="R58" s="778"/>
      <c r="S58" s="778"/>
      <c r="T58" s="778"/>
      <c r="U58" s="778"/>
      <c r="V58" s="778"/>
      <c r="W58" s="778"/>
      <c r="X58" s="778"/>
      <c r="Y58" s="778"/>
      <c r="Z58" s="778"/>
    </row>
    <row r="59">
      <c r="A59" s="777"/>
      <c r="B59" s="777"/>
      <c r="C59" s="777"/>
      <c r="D59" s="778"/>
      <c r="E59" s="778"/>
      <c r="F59" s="778"/>
      <c r="G59" s="778"/>
      <c r="H59" s="778"/>
      <c r="I59" s="778"/>
      <c r="J59" s="778"/>
      <c r="K59" s="778"/>
      <c r="L59" s="778"/>
      <c r="M59" s="778"/>
      <c r="N59" s="778"/>
      <c r="O59" s="778"/>
      <c r="P59" s="778"/>
      <c r="Q59" s="778"/>
      <c r="R59" s="778"/>
      <c r="S59" s="778"/>
      <c r="T59" s="778"/>
      <c r="U59" s="778"/>
      <c r="V59" s="778"/>
      <c r="W59" s="778"/>
      <c r="X59" s="778"/>
      <c r="Y59" s="778"/>
      <c r="Z59" s="778"/>
    </row>
    <row r="60">
      <c r="A60" s="777"/>
      <c r="B60" s="777"/>
      <c r="C60" s="777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  <c r="R60" s="778"/>
      <c r="S60" s="778"/>
      <c r="T60" s="778"/>
      <c r="U60" s="778"/>
      <c r="V60" s="778"/>
      <c r="W60" s="778"/>
      <c r="X60" s="778"/>
      <c r="Y60" s="778"/>
      <c r="Z60" s="778"/>
    </row>
    <row r="61">
      <c r="A61" s="777"/>
      <c r="B61" s="777"/>
      <c r="C61" s="777"/>
      <c r="D61" s="778"/>
      <c r="E61" s="778"/>
      <c r="F61" s="778"/>
      <c r="G61" s="778"/>
      <c r="H61" s="778"/>
      <c r="I61" s="778"/>
      <c r="J61" s="778"/>
      <c r="K61" s="778"/>
      <c r="L61" s="778"/>
      <c r="M61" s="778"/>
      <c r="N61" s="778"/>
      <c r="O61" s="778"/>
      <c r="P61" s="778"/>
      <c r="Q61" s="778"/>
      <c r="R61" s="778"/>
      <c r="S61" s="778"/>
      <c r="T61" s="778"/>
      <c r="U61" s="778"/>
      <c r="V61" s="778"/>
      <c r="W61" s="778"/>
      <c r="X61" s="778"/>
      <c r="Y61" s="778"/>
      <c r="Z61" s="778"/>
    </row>
    <row r="62">
      <c r="A62" s="777"/>
      <c r="B62" s="777"/>
      <c r="C62" s="777"/>
      <c r="D62" s="778"/>
      <c r="E62" s="778"/>
      <c r="F62" s="778"/>
      <c r="G62" s="778"/>
      <c r="H62" s="778"/>
      <c r="I62" s="778"/>
      <c r="J62" s="778"/>
      <c r="K62" s="778"/>
      <c r="L62" s="778"/>
      <c r="M62" s="778"/>
      <c r="N62" s="778"/>
      <c r="O62" s="778"/>
      <c r="P62" s="778"/>
      <c r="Q62" s="778"/>
      <c r="R62" s="778"/>
      <c r="S62" s="778"/>
      <c r="T62" s="778"/>
      <c r="U62" s="778"/>
      <c r="V62" s="778"/>
      <c r="W62" s="778"/>
      <c r="X62" s="778"/>
      <c r="Y62" s="778"/>
      <c r="Z62" s="778"/>
    </row>
    <row r="63">
      <c r="A63" s="777"/>
      <c r="B63" s="777"/>
      <c r="C63" s="777"/>
      <c r="D63" s="778"/>
      <c r="E63" s="778"/>
      <c r="F63" s="778"/>
      <c r="G63" s="778"/>
      <c r="H63" s="778"/>
      <c r="I63" s="778"/>
      <c r="J63" s="778"/>
      <c r="K63" s="778"/>
      <c r="L63" s="778"/>
      <c r="M63" s="778"/>
      <c r="N63" s="778"/>
      <c r="O63" s="778"/>
      <c r="P63" s="778"/>
      <c r="Q63" s="778"/>
      <c r="R63" s="778"/>
      <c r="S63" s="778"/>
      <c r="T63" s="778"/>
      <c r="U63" s="778"/>
      <c r="V63" s="778"/>
      <c r="W63" s="778"/>
      <c r="X63" s="778"/>
      <c r="Y63" s="778"/>
      <c r="Z63" s="778"/>
    </row>
    <row r="64">
      <c r="A64" s="777"/>
      <c r="B64" s="777"/>
      <c r="C64" s="777"/>
      <c r="D64" s="778"/>
      <c r="E64" s="778"/>
      <c r="F64" s="778"/>
      <c r="G64" s="778"/>
      <c r="H64" s="778"/>
      <c r="I64" s="778"/>
      <c r="J64" s="778"/>
      <c r="K64" s="778"/>
      <c r="L64" s="778"/>
      <c r="M64" s="778"/>
      <c r="N64" s="778"/>
      <c r="O64" s="778"/>
      <c r="P64" s="778"/>
      <c r="Q64" s="778"/>
      <c r="R64" s="778"/>
      <c r="S64" s="778"/>
      <c r="T64" s="778"/>
      <c r="U64" s="778"/>
      <c r="V64" s="778"/>
      <c r="W64" s="778"/>
      <c r="X64" s="778"/>
      <c r="Y64" s="778"/>
      <c r="Z64" s="778"/>
    </row>
    <row r="65">
      <c r="A65" s="777"/>
      <c r="B65" s="777"/>
      <c r="C65" s="777"/>
      <c r="D65" s="778"/>
      <c r="E65" s="778"/>
      <c r="F65" s="778"/>
      <c r="G65" s="778"/>
      <c r="H65" s="778"/>
      <c r="I65" s="778"/>
      <c r="J65" s="778"/>
      <c r="K65" s="778"/>
      <c r="L65" s="778"/>
      <c r="M65" s="778"/>
      <c r="N65" s="778"/>
      <c r="O65" s="778"/>
      <c r="P65" s="778"/>
      <c r="Q65" s="778"/>
      <c r="R65" s="778"/>
      <c r="S65" s="778"/>
      <c r="T65" s="778"/>
      <c r="U65" s="778"/>
      <c r="V65" s="778"/>
      <c r="W65" s="778"/>
      <c r="X65" s="778"/>
      <c r="Y65" s="778"/>
      <c r="Z65" s="778"/>
    </row>
    <row r="66">
      <c r="A66" s="777"/>
      <c r="B66" s="777"/>
      <c r="C66" s="777"/>
      <c r="D66" s="778"/>
      <c r="E66" s="778"/>
      <c r="F66" s="778"/>
      <c r="G66" s="778"/>
      <c r="H66" s="778"/>
      <c r="I66" s="778"/>
      <c r="J66" s="778"/>
      <c r="K66" s="778"/>
      <c r="L66" s="778"/>
      <c r="M66" s="778"/>
      <c r="N66" s="778"/>
      <c r="O66" s="778"/>
      <c r="P66" s="778"/>
      <c r="Q66" s="778"/>
      <c r="R66" s="778"/>
      <c r="S66" s="778"/>
      <c r="T66" s="778"/>
      <c r="U66" s="778"/>
      <c r="V66" s="778"/>
      <c r="W66" s="778"/>
      <c r="X66" s="778"/>
      <c r="Y66" s="778"/>
      <c r="Z66" s="778"/>
    </row>
    <row r="67">
      <c r="A67" s="777"/>
      <c r="B67" s="777"/>
      <c r="C67" s="777"/>
      <c r="D67" s="778"/>
      <c r="E67" s="778"/>
      <c r="F67" s="778"/>
      <c r="G67" s="778"/>
      <c r="H67" s="778"/>
      <c r="I67" s="778"/>
      <c r="J67" s="778"/>
      <c r="K67" s="778"/>
      <c r="L67" s="778"/>
      <c r="M67" s="778"/>
      <c r="N67" s="778"/>
      <c r="O67" s="778"/>
      <c r="P67" s="778"/>
      <c r="Q67" s="778"/>
      <c r="R67" s="778"/>
      <c r="S67" s="778"/>
      <c r="T67" s="778"/>
      <c r="U67" s="778"/>
      <c r="V67" s="778"/>
      <c r="W67" s="778"/>
      <c r="X67" s="778"/>
      <c r="Y67" s="778"/>
      <c r="Z67" s="778"/>
    </row>
    <row r="68">
      <c r="A68" s="777"/>
      <c r="B68" s="777"/>
      <c r="C68" s="777"/>
      <c r="D68" s="778"/>
      <c r="E68" s="778"/>
      <c r="F68" s="778"/>
      <c r="G68" s="778"/>
      <c r="H68" s="778"/>
      <c r="I68" s="778"/>
      <c r="J68" s="778"/>
      <c r="K68" s="778"/>
      <c r="L68" s="778"/>
      <c r="M68" s="778"/>
      <c r="N68" s="778"/>
      <c r="O68" s="778"/>
      <c r="P68" s="778"/>
      <c r="Q68" s="778"/>
      <c r="R68" s="778"/>
      <c r="S68" s="778"/>
      <c r="T68" s="778"/>
      <c r="U68" s="778"/>
      <c r="V68" s="778"/>
      <c r="W68" s="778"/>
      <c r="X68" s="778"/>
      <c r="Y68" s="778"/>
      <c r="Z68" s="778"/>
    </row>
    <row r="69">
      <c r="A69" s="777"/>
      <c r="B69" s="777"/>
      <c r="C69" s="777"/>
      <c r="D69" s="778"/>
      <c r="E69" s="778"/>
      <c r="F69" s="778"/>
      <c r="G69" s="778"/>
      <c r="H69" s="778"/>
      <c r="I69" s="778"/>
      <c r="J69" s="778"/>
      <c r="K69" s="778"/>
      <c r="L69" s="778"/>
      <c r="M69" s="778"/>
      <c r="N69" s="778"/>
      <c r="O69" s="778"/>
      <c r="P69" s="778"/>
      <c r="Q69" s="778"/>
      <c r="R69" s="778"/>
      <c r="S69" s="778"/>
      <c r="T69" s="778"/>
      <c r="U69" s="778"/>
      <c r="V69" s="778"/>
      <c r="W69" s="778"/>
      <c r="X69" s="778"/>
      <c r="Y69" s="778"/>
      <c r="Z69" s="778"/>
    </row>
    <row r="70">
      <c r="A70" s="777"/>
      <c r="B70" s="777"/>
      <c r="C70" s="777"/>
      <c r="D70" s="778"/>
      <c r="E70" s="778"/>
      <c r="F70" s="778"/>
      <c r="G70" s="778"/>
      <c r="H70" s="778"/>
      <c r="I70" s="778"/>
      <c r="J70" s="778"/>
      <c r="K70" s="778"/>
      <c r="L70" s="778"/>
      <c r="M70" s="778"/>
      <c r="N70" s="778"/>
      <c r="O70" s="778"/>
      <c r="P70" s="778"/>
      <c r="Q70" s="778"/>
      <c r="R70" s="778"/>
      <c r="S70" s="778"/>
      <c r="T70" s="778"/>
      <c r="U70" s="778"/>
      <c r="V70" s="778"/>
      <c r="W70" s="778"/>
      <c r="X70" s="778"/>
      <c r="Y70" s="778"/>
      <c r="Z70" s="778"/>
    </row>
    <row r="71">
      <c r="A71" s="777"/>
      <c r="B71" s="777"/>
      <c r="C71" s="777"/>
      <c r="D71" s="778"/>
      <c r="E71" s="778"/>
      <c r="F71" s="778"/>
      <c r="G71" s="778"/>
      <c r="H71" s="778"/>
      <c r="I71" s="778"/>
      <c r="J71" s="778"/>
      <c r="K71" s="778"/>
      <c r="L71" s="778"/>
      <c r="M71" s="778"/>
      <c r="N71" s="778"/>
      <c r="O71" s="778"/>
      <c r="P71" s="778"/>
      <c r="Q71" s="778"/>
      <c r="R71" s="778"/>
      <c r="S71" s="778"/>
      <c r="T71" s="778"/>
      <c r="U71" s="778"/>
      <c r="V71" s="778"/>
      <c r="W71" s="778"/>
      <c r="X71" s="778"/>
      <c r="Y71" s="778"/>
      <c r="Z71" s="778"/>
    </row>
    <row r="72">
      <c r="A72" s="777"/>
      <c r="B72" s="777"/>
      <c r="C72" s="777"/>
      <c r="D72" s="778"/>
      <c r="E72" s="778"/>
      <c r="F72" s="778"/>
      <c r="G72" s="778"/>
      <c r="H72" s="778"/>
      <c r="I72" s="778"/>
      <c r="J72" s="778"/>
      <c r="K72" s="778"/>
      <c r="L72" s="778"/>
      <c r="M72" s="778"/>
      <c r="N72" s="778"/>
      <c r="O72" s="778"/>
      <c r="P72" s="778"/>
      <c r="Q72" s="778"/>
      <c r="R72" s="778"/>
      <c r="S72" s="778"/>
      <c r="T72" s="778"/>
      <c r="U72" s="778"/>
      <c r="V72" s="778"/>
      <c r="W72" s="778"/>
      <c r="X72" s="778"/>
      <c r="Y72" s="778"/>
      <c r="Z72" s="778"/>
    </row>
    <row r="73">
      <c r="A73" s="777"/>
      <c r="B73" s="777"/>
      <c r="C73" s="777"/>
      <c r="D73" s="778"/>
      <c r="E73" s="778"/>
      <c r="F73" s="778"/>
      <c r="G73" s="778"/>
      <c r="H73" s="778"/>
      <c r="I73" s="778"/>
      <c r="J73" s="778"/>
      <c r="K73" s="778"/>
      <c r="L73" s="778"/>
      <c r="M73" s="778"/>
      <c r="N73" s="778"/>
      <c r="O73" s="778"/>
      <c r="P73" s="778"/>
      <c r="Q73" s="778"/>
      <c r="R73" s="778"/>
      <c r="S73" s="778"/>
      <c r="T73" s="778"/>
      <c r="U73" s="778"/>
      <c r="V73" s="778"/>
      <c r="W73" s="778"/>
      <c r="X73" s="778"/>
      <c r="Y73" s="778"/>
      <c r="Z73" s="778"/>
    </row>
    <row r="74">
      <c r="A74" s="777"/>
      <c r="B74" s="777"/>
      <c r="C74" s="777"/>
      <c r="D74" s="778"/>
      <c r="E74" s="778"/>
      <c r="F74" s="778"/>
      <c r="G74" s="778"/>
      <c r="H74" s="778"/>
      <c r="I74" s="778"/>
      <c r="J74" s="778"/>
      <c r="K74" s="778"/>
      <c r="L74" s="778"/>
      <c r="M74" s="778"/>
      <c r="N74" s="778"/>
      <c r="O74" s="778"/>
      <c r="P74" s="778"/>
      <c r="Q74" s="778"/>
      <c r="R74" s="778"/>
      <c r="S74" s="778"/>
      <c r="T74" s="778"/>
      <c r="U74" s="778"/>
      <c r="V74" s="778"/>
      <c r="W74" s="778"/>
      <c r="X74" s="778"/>
      <c r="Y74" s="778"/>
      <c r="Z74" s="778"/>
    </row>
    <row r="75">
      <c r="A75" s="777"/>
      <c r="B75" s="777"/>
      <c r="C75" s="777"/>
      <c r="D75" s="778"/>
      <c r="E75" s="778"/>
      <c r="F75" s="778"/>
      <c r="G75" s="778"/>
      <c r="H75" s="778"/>
      <c r="I75" s="778"/>
      <c r="J75" s="778"/>
      <c r="K75" s="778"/>
      <c r="L75" s="778"/>
      <c r="M75" s="778"/>
      <c r="N75" s="778"/>
      <c r="O75" s="778"/>
      <c r="P75" s="778"/>
      <c r="Q75" s="778"/>
      <c r="R75" s="778"/>
      <c r="S75" s="778"/>
      <c r="T75" s="778"/>
      <c r="U75" s="778"/>
      <c r="V75" s="778"/>
      <c r="W75" s="778"/>
      <c r="X75" s="778"/>
      <c r="Y75" s="778"/>
      <c r="Z75" s="778"/>
    </row>
    <row r="76">
      <c r="A76" s="777"/>
      <c r="B76" s="777"/>
      <c r="C76" s="777"/>
      <c r="D76" s="778"/>
      <c r="E76" s="778"/>
      <c r="F76" s="778"/>
      <c r="G76" s="778"/>
      <c r="H76" s="778"/>
      <c r="I76" s="778"/>
      <c r="J76" s="778"/>
      <c r="K76" s="778"/>
      <c r="L76" s="778"/>
      <c r="M76" s="778"/>
      <c r="N76" s="778"/>
      <c r="O76" s="778"/>
      <c r="P76" s="778"/>
      <c r="Q76" s="778"/>
      <c r="R76" s="778"/>
      <c r="S76" s="778"/>
      <c r="T76" s="778"/>
      <c r="U76" s="778"/>
      <c r="V76" s="778"/>
      <c r="W76" s="778"/>
      <c r="X76" s="778"/>
      <c r="Y76" s="778"/>
      <c r="Z76" s="778"/>
    </row>
    <row r="77">
      <c r="A77" s="777"/>
      <c r="B77" s="777"/>
      <c r="C77" s="777"/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778"/>
      <c r="V77" s="778"/>
      <c r="W77" s="778"/>
      <c r="X77" s="778"/>
      <c r="Y77" s="778"/>
      <c r="Z77" s="778"/>
    </row>
    <row r="78">
      <c r="A78" s="777"/>
      <c r="B78" s="777"/>
      <c r="C78" s="777"/>
      <c r="D78" s="778"/>
      <c r="E78" s="778"/>
      <c r="F78" s="778"/>
      <c r="G78" s="778"/>
      <c r="H78" s="778"/>
      <c r="I78" s="778"/>
      <c r="J78" s="778"/>
      <c r="K78" s="778"/>
      <c r="L78" s="778"/>
      <c r="M78" s="778"/>
      <c r="N78" s="778"/>
      <c r="O78" s="778"/>
      <c r="P78" s="778"/>
      <c r="Q78" s="778"/>
      <c r="R78" s="778"/>
      <c r="S78" s="778"/>
      <c r="T78" s="778"/>
      <c r="U78" s="778"/>
      <c r="V78" s="778"/>
      <c r="W78" s="778"/>
      <c r="X78" s="778"/>
      <c r="Y78" s="778"/>
      <c r="Z78" s="778"/>
    </row>
    <row r="79">
      <c r="A79" s="777"/>
      <c r="B79" s="777"/>
      <c r="C79" s="777"/>
      <c r="D79" s="778"/>
      <c r="E79" s="778"/>
      <c r="F79" s="778"/>
      <c r="G79" s="778"/>
      <c r="H79" s="778"/>
      <c r="I79" s="778"/>
      <c r="J79" s="778"/>
      <c r="K79" s="778"/>
      <c r="L79" s="778"/>
      <c r="M79" s="778"/>
      <c r="N79" s="778"/>
      <c r="O79" s="778"/>
      <c r="P79" s="778"/>
      <c r="Q79" s="778"/>
      <c r="R79" s="778"/>
      <c r="S79" s="778"/>
      <c r="T79" s="778"/>
      <c r="U79" s="778"/>
      <c r="V79" s="778"/>
      <c r="W79" s="778"/>
      <c r="X79" s="778"/>
      <c r="Y79" s="778"/>
      <c r="Z79" s="778"/>
    </row>
    <row r="80">
      <c r="A80" s="777"/>
      <c r="B80" s="777"/>
      <c r="C80" s="777"/>
      <c r="D80" s="778"/>
      <c r="E80" s="778"/>
      <c r="F80" s="778"/>
      <c r="G80" s="778"/>
      <c r="H80" s="778"/>
      <c r="I80" s="778"/>
      <c r="J80" s="778"/>
      <c r="K80" s="778"/>
      <c r="L80" s="778"/>
      <c r="M80" s="778"/>
      <c r="N80" s="778"/>
      <c r="O80" s="778"/>
      <c r="P80" s="778"/>
      <c r="Q80" s="778"/>
      <c r="R80" s="778"/>
      <c r="S80" s="778"/>
      <c r="T80" s="778"/>
      <c r="U80" s="778"/>
      <c r="V80" s="778"/>
      <c r="W80" s="778"/>
      <c r="X80" s="778"/>
      <c r="Y80" s="778"/>
      <c r="Z80" s="778"/>
    </row>
    <row r="81">
      <c r="A81" s="777"/>
      <c r="B81" s="777"/>
      <c r="C81" s="777"/>
      <c r="D81" s="778"/>
      <c r="E81" s="778"/>
      <c r="F81" s="778"/>
      <c r="G81" s="778"/>
      <c r="H81" s="778"/>
      <c r="I81" s="778"/>
      <c r="J81" s="778"/>
      <c r="K81" s="778"/>
      <c r="L81" s="778"/>
      <c r="M81" s="778"/>
      <c r="N81" s="778"/>
      <c r="O81" s="778"/>
      <c r="P81" s="778"/>
      <c r="Q81" s="778"/>
      <c r="R81" s="778"/>
      <c r="S81" s="778"/>
      <c r="T81" s="778"/>
      <c r="U81" s="778"/>
      <c r="V81" s="778"/>
      <c r="W81" s="778"/>
      <c r="X81" s="778"/>
      <c r="Y81" s="778"/>
      <c r="Z81" s="778"/>
    </row>
    <row r="82">
      <c r="A82" s="777"/>
      <c r="B82" s="777"/>
      <c r="C82" s="777"/>
      <c r="D82" s="778"/>
      <c r="E82" s="778"/>
      <c r="F82" s="778"/>
      <c r="G82" s="778"/>
      <c r="H82" s="778"/>
      <c r="I82" s="778"/>
      <c r="J82" s="778"/>
      <c r="K82" s="778"/>
      <c r="L82" s="778"/>
      <c r="M82" s="778"/>
      <c r="N82" s="778"/>
      <c r="O82" s="778"/>
      <c r="P82" s="778"/>
      <c r="Q82" s="778"/>
      <c r="R82" s="778"/>
      <c r="S82" s="778"/>
      <c r="T82" s="778"/>
      <c r="U82" s="778"/>
      <c r="V82" s="778"/>
      <c r="W82" s="778"/>
      <c r="X82" s="778"/>
      <c r="Y82" s="778"/>
      <c r="Z82" s="778"/>
    </row>
    <row r="83">
      <c r="A83" s="777"/>
      <c r="B83" s="777"/>
      <c r="C83" s="777"/>
      <c r="D83" s="778"/>
      <c r="E83" s="778"/>
      <c r="F83" s="778"/>
      <c r="G83" s="778"/>
      <c r="H83" s="778"/>
      <c r="I83" s="778"/>
      <c r="J83" s="778"/>
      <c r="K83" s="778"/>
      <c r="L83" s="778"/>
      <c r="M83" s="778"/>
      <c r="N83" s="778"/>
      <c r="O83" s="778"/>
      <c r="P83" s="778"/>
      <c r="Q83" s="778"/>
      <c r="R83" s="778"/>
      <c r="S83" s="778"/>
      <c r="T83" s="778"/>
      <c r="U83" s="778"/>
      <c r="V83" s="778"/>
      <c r="W83" s="778"/>
      <c r="X83" s="778"/>
      <c r="Y83" s="778"/>
      <c r="Z83" s="778"/>
    </row>
    <row r="84">
      <c r="A84" s="777"/>
      <c r="B84" s="777"/>
      <c r="C84" s="777"/>
      <c r="D84" s="778"/>
      <c r="E84" s="778"/>
      <c r="F84" s="778"/>
      <c r="G84" s="778"/>
      <c r="H84" s="778"/>
      <c r="I84" s="778"/>
      <c r="J84" s="778"/>
      <c r="K84" s="778"/>
      <c r="L84" s="778"/>
      <c r="M84" s="778"/>
      <c r="N84" s="778"/>
      <c r="O84" s="778"/>
      <c r="P84" s="778"/>
      <c r="Q84" s="778"/>
      <c r="R84" s="778"/>
      <c r="S84" s="778"/>
      <c r="T84" s="778"/>
      <c r="U84" s="778"/>
      <c r="V84" s="778"/>
      <c r="W84" s="778"/>
      <c r="X84" s="778"/>
      <c r="Y84" s="778"/>
      <c r="Z84" s="778"/>
    </row>
    <row r="85">
      <c r="A85" s="777"/>
      <c r="B85" s="777"/>
      <c r="C85" s="777"/>
      <c r="D85" s="778"/>
      <c r="E85" s="778"/>
      <c r="F85" s="778"/>
      <c r="G85" s="778"/>
      <c r="H85" s="778"/>
      <c r="I85" s="778"/>
      <c r="J85" s="778"/>
      <c r="K85" s="778"/>
      <c r="L85" s="778"/>
      <c r="M85" s="778"/>
      <c r="N85" s="778"/>
      <c r="O85" s="778"/>
      <c r="P85" s="778"/>
      <c r="Q85" s="778"/>
      <c r="R85" s="778"/>
      <c r="S85" s="778"/>
      <c r="T85" s="778"/>
      <c r="U85" s="778"/>
      <c r="V85" s="778"/>
      <c r="W85" s="778"/>
      <c r="X85" s="778"/>
      <c r="Y85" s="778"/>
      <c r="Z85" s="778"/>
    </row>
    <row r="86">
      <c r="A86" s="777"/>
      <c r="B86" s="777"/>
      <c r="C86" s="777"/>
      <c r="D86" s="778"/>
      <c r="E86" s="778"/>
      <c r="F86" s="778"/>
      <c r="G86" s="778"/>
      <c r="H86" s="778"/>
      <c r="I86" s="778"/>
      <c r="J86" s="778"/>
      <c r="K86" s="778"/>
      <c r="L86" s="778"/>
      <c r="M86" s="778"/>
      <c r="N86" s="778"/>
      <c r="O86" s="778"/>
      <c r="P86" s="778"/>
      <c r="Q86" s="778"/>
      <c r="R86" s="778"/>
      <c r="S86" s="778"/>
      <c r="T86" s="778"/>
      <c r="U86" s="778"/>
      <c r="V86" s="778"/>
      <c r="W86" s="778"/>
      <c r="X86" s="778"/>
      <c r="Y86" s="778"/>
      <c r="Z86" s="778"/>
    </row>
    <row r="87">
      <c r="A87" s="777"/>
      <c r="B87" s="777"/>
      <c r="C87" s="777"/>
      <c r="D87" s="778"/>
      <c r="E87" s="778"/>
      <c r="F87" s="778"/>
      <c r="G87" s="778"/>
      <c r="H87" s="778"/>
      <c r="I87" s="778"/>
      <c r="J87" s="778"/>
      <c r="K87" s="778"/>
      <c r="L87" s="778"/>
      <c r="M87" s="778"/>
      <c r="N87" s="778"/>
      <c r="O87" s="778"/>
      <c r="P87" s="778"/>
      <c r="Q87" s="778"/>
      <c r="R87" s="778"/>
      <c r="S87" s="778"/>
      <c r="T87" s="778"/>
      <c r="U87" s="778"/>
      <c r="V87" s="778"/>
      <c r="W87" s="778"/>
      <c r="X87" s="778"/>
      <c r="Y87" s="778"/>
      <c r="Z87" s="778"/>
    </row>
    <row r="88">
      <c r="A88" s="777"/>
      <c r="B88" s="777"/>
      <c r="C88" s="777"/>
      <c r="D88" s="778"/>
      <c r="E88" s="778"/>
      <c r="F88" s="778"/>
      <c r="G88" s="778"/>
      <c r="H88" s="778"/>
      <c r="I88" s="778"/>
      <c r="J88" s="778"/>
      <c r="K88" s="778"/>
      <c r="L88" s="778"/>
      <c r="M88" s="778"/>
      <c r="N88" s="778"/>
      <c r="O88" s="778"/>
      <c r="P88" s="778"/>
      <c r="Q88" s="778"/>
      <c r="R88" s="778"/>
      <c r="S88" s="778"/>
      <c r="T88" s="778"/>
      <c r="U88" s="778"/>
      <c r="V88" s="778"/>
      <c r="W88" s="778"/>
      <c r="X88" s="778"/>
      <c r="Y88" s="778"/>
      <c r="Z88" s="778"/>
    </row>
    <row r="89">
      <c r="A89" s="777"/>
      <c r="B89" s="777"/>
      <c r="C89" s="777"/>
      <c r="D89" s="778"/>
      <c r="E89" s="778"/>
      <c r="F89" s="778"/>
      <c r="G89" s="778"/>
      <c r="H89" s="778"/>
      <c r="I89" s="778"/>
      <c r="J89" s="778"/>
      <c r="K89" s="778"/>
      <c r="L89" s="778"/>
      <c r="M89" s="778"/>
      <c r="N89" s="778"/>
      <c r="O89" s="778"/>
      <c r="P89" s="778"/>
      <c r="Q89" s="778"/>
      <c r="R89" s="778"/>
      <c r="S89" s="778"/>
      <c r="T89" s="778"/>
      <c r="U89" s="778"/>
      <c r="V89" s="778"/>
      <c r="W89" s="778"/>
      <c r="X89" s="778"/>
      <c r="Y89" s="778"/>
      <c r="Z89" s="778"/>
    </row>
    <row r="90">
      <c r="A90" s="777"/>
      <c r="B90" s="777"/>
      <c r="C90" s="777"/>
      <c r="D90" s="778"/>
      <c r="E90" s="778"/>
      <c r="F90" s="778"/>
      <c r="G90" s="778"/>
      <c r="H90" s="778"/>
      <c r="I90" s="778"/>
      <c r="J90" s="778"/>
      <c r="K90" s="778"/>
      <c r="L90" s="778"/>
      <c r="M90" s="778"/>
      <c r="N90" s="778"/>
      <c r="O90" s="778"/>
      <c r="P90" s="778"/>
      <c r="Q90" s="778"/>
      <c r="R90" s="778"/>
      <c r="S90" s="778"/>
      <c r="T90" s="778"/>
      <c r="U90" s="778"/>
      <c r="V90" s="778"/>
      <c r="W90" s="778"/>
      <c r="X90" s="778"/>
      <c r="Y90" s="778"/>
      <c r="Z90" s="778"/>
    </row>
    <row r="91">
      <c r="A91" s="777"/>
      <c r="B91" s="777"/>
      <c r="C91" s="777"/>
      <c r="D91" s="778"/>
      <c r="E91" s="778"/>
      <c r="F91" s="778"/>
      <c r="G91" s="778"/>
      <c r="H91" s="778"/>
      <c r="I91" s="778"/>
      <c r="J91" s="778"/>
      <c r="K91" s="778"/>
      <c r="L91" s="778"/>
      <c r="M91" s="778"/>
      <c r="N91" s="778"/>
      <c r="O91" s="778"/>
      <c r="P91" s="778"/>
      <c r="Q91" s="778"/>
      <c r="R91" s="778"/>
      <c r="S91" s="778"/>
      <c r="T91" s="778"/>
      <c r="U91" s="778"/>
      <c r="V91" s="778"/>
      <c r="W91" s="778"/>
      <c r="X91" s="778"/>
      <c r="Y91" s="778"/>
      <c r="Z91" s="778"/>
    </row>
    <row r="92">
      <c r="A92" s="777"/>
      <c r="B92" s="777"/>
      <c r="C92" s="777"/>
      <c r="D92" s="778"/>
      <c r="E92" s="778"/>
      <c r="F92" s="778"/>
      <c r="G92" s="778"/>
      <c r="H92" s="778"/>
      <c r="I92" s="778"/>
      <c r="J92" s="778"/>
      <c r="K92" s="778"/>
      <c r="L92" s="778"/>
      <c r="M92" s="778"/>
      <c r="N92" s="778"/>
      <c r="O92" s="778"/>
      <c r="P92" s="778"/>
      <c r="Q92" s="778"/>
      <c r="R92" s="778"/>
      <c r="S92" s="778"/>
      <c r="T92" s="778"/>
      <c r="U92" s="778"/>
      <c r="V92" s="778"/>
      <c r="W92" s="778"/>
      <c r="X92" s="778"/>
      <c r="Y92" s="778"/>
      <c r="Z92" s="778"/>
    </row>
    <row r="93">
      <c r="A93" s="777"/>
      <c r="B93" s="777"/>
      <c r="C93" s="777"/>
      <c r="D93" s="778"/>
      <c r="E93" s="778"/>
      <c r="F93" s="778"/>
      <c r="G93" s="778"/>
      <c r="H93" s="778"/>
      <c r="I93" s="778"/>
      <c r="J93" s="778"/>
      <c r="K93" s="778"/>
      <c r="L93" s="778"/>
      <c r="M93" s="778"/>
      <c r="N93" s="778"/>
      <c r="O93" s="778"/>
      <c r="P93" s="778"/>
      <c r="Q93" s="778"/>
      <c r="R93" s="778"/>
      <c r="S93" s="778"/>
      <c r="T93" s="778"/>
      <c r="U93" s="778"/>
      <c r="V93" s="778"/>
      <c r="W93" s="778"/>
      <c r="X93" s="778"/>
      <c r="Y93" s="778"/>
      <c r="Z93" s="778"/>
    </row>
    <row r="94">
      <c r="A94" s="777"/>
      <c r="B94" s="777"/>
      <c r="C94" s="777"/>
      <c r="D94" s="778"/>
      <c r="E94" s="778"/>
      <c r="F94" s="778"/>
      <c r="G94" s="778"/>
      <c r="H94" s="778"/>
      <c r="I94" s="778"/>
      <c r="J94" s="778"/>
      <c r="K94" s="778"/>
      <c r="L94" s="778"/>
      <c r="M94" s="778"/>
      <c r="N94" s="778"/>
      <c r="O94" s="778"/>
      <c r="P94" s="778"/>
      <c r="Q94" s="778"/>
      <c r="R94" s="778"/>
      <c r="S94" s="778"/>
      <c r="T94" s="778"/>
      <c r="U94" s="778"/>
      <c r="V94" s="778"/>
      <c r="W94" s="778"/>
      <c r="X94" s="778"/>
      <c r="Y94" s="778"/>
      <c r="Z94" s="778"/>
    </row>
    <row r="95">
      <c r="A95" s="777"/>
      <c r="B95" s="777"/>
      <c r="C95" s="777"/>
      <c r="D95" s="778"/>
      <c r="E95" s="778"/>
      <c r="F95" s="778"/>
      <c r="G95" s="778"/>
      <c r="H95" s="778"/>
      <c r="I95" s="778"/>
      <c r="J95" s="778"/>
      <c r="K95" s="778"/>
      <c r="L95" s="778"/>
      <c r="M95" s="778"/>
      <c r="N95" s="778"/>
      <c r="O95" s="778"/>
      <c r="P95" s="778"/>
      <c r="Q95" s="778"/>
      <c r="R95" s="778"/>
      <c r="S95" s="778"/>
      <c r="T95" s="778"/>
      <c r="U95" s="778"/>
      <c r="V95" s="778"/>
      <c r="W95" s="778"/>
      <c r="X95" s="778"/>
      <c r="Y95" s="778"/>
      <c r="Z95" s="778"/>
    </row>
    <row r="96">
      <c r="A96" s="777"/>
      <c r="B96" s="777"/>
      <c r="C96" s="777"/>
      <c r="D96" s="778"/>
      <c r="E96" s="778"/>
      <c r="F96" s="778"/>
      <c r="G96" s="778"/>
      <c r="H96" s="778"/>
      <c r="I96" s="778"/>
      <c r="J96" s="778"/>
      <c r="K96" s="778"/>
      <c r="L96" s="778"/>
      <c r="M96" s="778"/>
      <c r="N96" s="778"/>
      <c r="O96" s="778"/>
      <c r="P96" s="778"/>
      <c r="Q96" s="778"/>
      <c r="R96" s="778"/>
      <c r="S96" s="778"/>
      <c r="T96" s="778"/>
      <c r="U96" s="778"/>
      <c r="V96" s="778"/>
      <c r="W96" s="778"/>
      <c r="X96" s="778"/>
      <c r="Y96" s="778"/>
      <c r="Z96" s="778"/>
    </row>
    <row r="97">
      <c r="A97" s="777"/>
      <c r="B97" s="777"/>
      <c r="C97" s="777"/>
      <c r="D97" s="778"/>
      <c r="E97" s="778"/>
      <c r="F97" s="778"/>
      <c r="G97" s="778"/>
      <c r="H97" s="778"/>
      <c r="I97" s="778"/>
      <c r="J97" s="778"/>
      <c r="K97" s="778"/>
      <c r="L97" s="778"/>
      <c r="M97" s="778"/>
      <c r="N97" s="778"/>
      <c r="O97" s="778"/>
      <c r="P97" s="778"/>
      <c r="Q97" s="778"/>
      <c r="R97" s="778"/>
      <c r="S97" s="778"/>
      <c r="T97" s="778"/>
      <c r="U97" s="778"/>
      <c r="V97" s="778"/>
      <c r="W97" s="778"/>
      <c r="X97" s="778"/>
      <c r="Y97" s="778"/>
      <c r="Z97" s="778"/>
    </row>
    <row r="98">
      <c r="A98" s="777"/>
      <c r="B98" s="777"/>
      <c r="C98" s="777"/>
      <c r="D98" s="778"/>
      <c r="E98" s="778"/>
      <c r="F98" s="778"/>
      <c r="G98" s="778"/>
      <c r="H98" s="778"/>
      <c r="I98" s="778"/>
      <c r="J98" s="778"/>
      <c r="K98" s="778"/>
      <c r="L98" s="778"/>
      <c r="M98" s="778"/>
      <c r="N98" s="778"/>
      <c r="O98" s="778"/>
      <c r="P98" s="778"/>
      <c r="Q98" s="778"/>
      <c r="R98" s="778"/>
      <c r="S98" s="778"/>
      <c r="T98" s="778"/>
      <c r="U98" s="778"/>
      <c r="V98" s="778"/>
      <c r="W98" s="778"/>
      <c r="X98" s="778"/>
      <c r="Y98" s="778"/>
      <c r="Z98" s="778"/>
    </row>
    <row r="99">
      <c r="A99" s="777"/>
      <c r="B99" s="777"/>
      <c r="C99" s="777"/>
      <c r="D99" s="778"/>
      <c r="E99" s="778"/>
      <c r="F99" s="778"/>
      <c r="G99" s="778"/>
      <c r="H99" s="778"/>
      <c r="I99" s="778"/>
      <c r="J99" s="778"/>
      <c r="K99" s="778"/>
      <c r="L99" s="778"/>
      <c r="M99" s="778"/>
      <c r="N99" s="778"/>
      <c r="O99" s="778"/>
      <c r="P99" s="778"/>
      <c r="Q99" s="778"/>
      <c r="R99" s="778"/>
      <c r="S99" s="778"/>
      <c r="T99" s="778"/>
      <c r="U99" s="778"/>
      <c r="V99" s="778"/>
      <c r="W99" s="778"/>
      <c r="X99" s="778"/>
      <c r="Y99" s="778"/>
      <c r="Z99" s="778"/>
    </row>
    <row r="100">
      <c r="A100" s="777"/>
      <c r="B100" s="777"/>
      <c r="C100" s="777"/>
      <c r="D100" s="778"/>
      <c r="E100" s="778"/>
      <c r="F100" s="778"/>
      <c r="G100" s="778"/>
      <c r="H100" s="778"/>
      <c r="I100" s="778"/>
      <c r="J100" s="778"/>
      <c r="K100" s="778"/>
      <c r="L100" s="778"/>
      <c r="M100" s="778"/>
      <c r="N100" s="778"/>
      <c r="O100" s="778"/>
      <c r="P100" s="778"/>
      <c r="Q100" s="778"/>
      <c r="R100" s="778"/>
      <c r="S100" s="778"/>
      <c r="T100" s="778"/>
      <c r="U100" s="778"/>
      <c r="V100" s="778"/>
      <c r="W100" s="778"/>
      <c r="X100" s="778"/>
      <c r="Y100" s="778"/>
      <c r="Z100" s="778"/>
    </row>
    <row r="101">
      <c r="A101" s="777"/>
      <c r="B101" s="777"/>
      <c r="C101" s="777"/>
      <c r="D101" s="778"/>
      <c r="E101" s="778"/>
      <c r="F101" s="778"/>
      <c r="G101" s="778"/>
      <c r="H101" s="778"/>
      <c r="I101" s="778"/>
      <c r="J101" s="778"/>
      <c r="K101" s="778"/>
      <c r="L101" s="778"/>
      <c r="M101" s="778"/>
      <c r="N101" s="778"/>
      <c r="O101" s="778"/>
      <c r="P101" s="778"/>
      <c r="Q101" s="778"/>
      <c r="R101" s="778"/>
      <c r="S101" s="778"/>
      <c r="T101" s="778"/>
      <c r="U101" s="778"/>
      <c r="V101" s="778"/>
      <c r="W101" s="778"/>
      <c r="X101" s="778"/>
      <c r="Y101" s="778"/>
      <c r="Z101" s="778"/>
    </row>
    <row r="102">
      <c r="A102" s="777"/>
      <c r="B102" s="777"/>
      <c r="C102" s="777"/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778"/>
      <c r="V102" s="778"/>
      <c r="W102" s="778"/>
      <c r="X102" s="778"/>
      <c r="Y102" s="778"/>
      <c r="Z102" s="778"/>
    </row>
    <row r="103">
      <c r="A103" s="777"/>
      <c r="B103" s="777"/>
      <c r="C103" s="777"/>
      <c r="D103" s="778"/>
      <c r="E103" s="778"/>
      <c r="F103" s="778"/>
      <c r="G103" s="778"/>
      <c r="H103" s="778"/>
      <c r="I103" s="778"/>
      <c r="J103" s="778"/>
      <c r="K103" s="778"/>
      <c r="L103" s="778"/>
      <c r="M103" s="778"/>
      <c r="N103" s="778"/>
      <c r="O103" s="778"/>
      <c r="P103" s="778"/>
      <c r="Q103" s="778"/>
      <c r="R103" s="778"/>
      <c r="S103" s="778"/>
      <c r="T103" s="778"/>
      <c r="U103" s="778"/>
      <c r="V103" s="778"/>
      <c r="W103" s="778"/>
      <c r="X103" s="778"/>
      <c r="Y103" s="778"/>
      <c r="Z103" s="778"/>
    </row>
    <row r="104">
      <c r="A104" s="777"/>
      <c r="B104" s="777"/>
      <c r="C104" s="777"/>
      <c r="D104" s="778"/>
      <c r="E104" s="778"/>
      <c r="F104" s="778"/>
      <c r="G104" s="778"/>
      <c r="H104" s="778"/>
      <c r="I104" s="778"/>
      <c r="J104" s="778"/>
      <c r="K104" s="778"/>
      <c r="L104" s="778"/>
      <c r="M104" s="778"/>
      <c r="N104" s="778"/>
      <c r="O104" s="778"/>
      <c r="P104" s="778"/>
      <c r="Q104" s="778"/>
      <c r="R104" s="778"/>
      <c r="S104" s="778"/>
      <c r="T104" s="778"/>
      <c r="U104" s="778"/>
      <c r="V104" s="778"/>
      <c r="W104" s="778"/>
      <c r="X104" s="778"/>
      <c r="Y104" s="778"/>
      <c r="Z104" s="778"/>
    </row>
    <row r="105">
      <c r="A105" s="777"/>
      <c r="B105" s="777"/>
      <c r="C105" s="777"/>
      <c r="D105" s="778"/>
      <c r="E105" s="778"/>
      <c r="F105" s="778"/>
      <c r="G105" s="778"/>
      <c r="H105" s="778"/>
      <c r="I105" s="778"/>
      <c r="J105" s="778"/>
      <c r="K105" s="778"/>
      <c r="L105" s="778"/>
      <c r="M105" s="778"/>
      <c r="N105" s="778"/>
      <c r="O105" s="778"/>
      <c r="P105" s="778"/>
      <c r="Q105" s="778"/>
      <c r="R105" s="778"/>
      <c r="S105" s="778"/>
      <c r="T105" s="778"/>
      <c r="U105" s="778"/>
      <c r="V105" s="778"/>
      <c r="W105" s="778"/>
      <c r="X105" s="778"/>
      <c r="Y105" s="778"/>
      <c r="Z105" s="778"/>
    </row>
    <row r="106">
      <c r="A106" s="777"/>
      <c r="B106" s="777"/>
      <c r="C106" s="777"/>
      <c r="D106" s="778"/>
      <c r="E106" s="778"/>
      <c r="F106" s="778"/>
      <c r="G106" s="778"/>
      <c r="H106" s="778"/>
      <c r="I106" s="778"/>
      <c r="J106" s="778"/>
      <c r="K106" s="778"/>
      <c r="L106" s="778"/>
      <c r="M106" s="778"/>
      <c r="N106" s="778"/>
      <c r="O106" s="778"/>
      <c r="P106" s="778"/>
      <c r="Q106" s="778"/>
      <c r="R106" s="778"/>
      <c r="S106" s="778"/>
      <c r="T106" s="778"/>
      <c r="U106" s="778"/>
      <c r="V106" s="778"/>
      <c r="W106" s="778"/>
      <c r="X106" s="778"/>
      <c r="Y106" s="778"/>
      <c r="Z106" s="778"/>
    </row>
    <row r="107">
      <c r="A107" s="777"/>
      <c r="B107" s="777"/>
      <c r="C107" s="777"/>
      <c r="D107" s="778"/>
      <c r="E107" s="778"/>
      <c r="F107" s="778"/>
      <c r="G107" s="778"/>
      <c r="H107" s="778"/>
      <c r="I107" s="778"/>
      <c r="J107" s="778"/>
      <c r="K107" s="778"/>
      <c r="L107" s="778"/>
      <c r="M107" s="778"/>
      <c r="N107" s="778"/>
      <c r="O107" s="778"/>
      <c r="P107" s="778"/>
      <c r="Q107" s="778"/>
      <c r="R107" s="778"/>
      <c r="S107" s="778"/>
      <c r="T107" s="778"/>
      <c r="U107" s="778"/>
      <c r="V107" s="778"/>
      <c r="W107" s="778"/>
      <c r="X107" s="778"/>
      <c r="Y107" s="778"/>
      <c r="Z107" s="778"/>
    </row>
    <row r="108">
      <c r="A108" s="777"/>
      <c r="B108" s="777"/>
      <c r="C108" s="777"/>
      <c r="D108" s="778"/>
      <c r="E108" s="778"/>
      <c r="F108" s="778"/>
      <c r="G108" s="778"/>
      <c r="H108" s="778"/>
      <c r="I108" s="778"/>
      <c r="J108" s="778"/>
      <c r="K108" s="778"/>
      <c r="L108" s="778"/>
      <c r="M108" s="778"/>
      <c r="N108" s="778"/>
      <c r="O108" s="778"/>
      <c r="P108" s="778"/>
      <c r="Q108" s="778"/>
      <c r="R108" s="778"/>
      <c r="S108" s="778"/>
      <c r="T108" s="778"/>
      <c r="U108" s="778"/>
      <c r="V108" s="778"/>
      <c r="W108" s="778"/>
      <c r="X108" s="778"/>
      <c r="Y108" s="778"/>
      <c r="Z108" s="778"/>
    </row>
    <row r="109">
      <c r="A109" s="777"/>
      <c r="B109" s="777"/>
      <c r="C109" s="777"/>
      <c r="D109" s="778"/>
      <c r="E109" s="778"/>
      <c r="F109" s="778"/>
      <c r="G109" s="778"/>
      <c r="H109" s="778"/>
      <c r="I109" s="778"/>
      <c r="J109" s="778"/>
      <c r="K109" s="778"/>
      <c r="L109" s="778"/>
      <c r="M109" s="778"/>
      <c r="N109" s="778"/>
      <c r="O109" s="778"/>
      <c r="P109" s="778"/>
      <c r="Q109" s="778"/>
      <c r="R109" s="778"/>
      <c r="S109" s="778"/>
      <c r="T109" s="778"/>
      <c r="U109" s="778"/>
      <c r="V109" s="778"/>
      <c r="W109" s="778"/>
      <c r="X109" s="778"/>
      <c r="Y109" s="778"/>
      <c r="Z109" s="778"/>
    </row>
    <row r="110">
      <c r="A110" s="777"/>
      <c r="B110" s="777"/>
      <c r="C110" s="777"/>
      <c r="D110" s="778"/>
      <c r="E110" s="778"/>
      <c r="F110" s="778"/>
      <c r="G110" s="778"/>
      <c r="H110" s="778"/>
      <c r="I110" s="778"/>
      <c r="J110" s="778"/>
      <c r="K110" s="778"/>
      <c r="L110" s="778"/>
      <c r="M110" s="778"/>
      <c r="N110" s="778"/>
      <c r="O110" s="778"/>
      <c r="P110" s="778"/>
      <c r="Q110" s="778"/>
      <c r="R110" s="778"/>
      <c r="S110" s="778"/>
      <c r="T110" s="778"/>
      <c r="U110" s="778"/>
      <c r="V110" s="778"/>
      <c r="W110" s="778"/>
      <c r="X110" s="778"/>
      <c r="Y110" s="778"/>
      <c r="Z110" s="778"/>
    </row>
    <row r="111">
      <c r="A111" s="777"/>
      <c r="B111" s="777"/>
      <c r="C111" s="777"/>
      <c r="D111" s="778"/>
      <c r="E111" s="778"/>
      <c r="F111" s="778"/>
      <c r="G111" s="778"/>
      <c r="H111" s="778"/>
      <c r="I111" s="778"/>
      <c r="J111" s="778"/>
      <c r="K111" s="778"/>
      <c r="L111" s="778"/>
      <c r="M111" s="778"/>
      <c r="N111" s="778"/>
      <c r="O111" s="778"/>
      <c r="P111" s="778"/>
      <c r="Q111" s="778"/>
      <c r="R111" s="778"/>
      <c r="S111" s="778"/>
      <c r="T111" s="778"/>
      <c r="U111" s="778"/>
      <c r="V111" s="778"/>
      <c r="W111" s="778"/>
      <c r="X111" s="778"/>
      <c r="Y111" s="778"/>
      <c r="Z111" s="778"/>
    </row>
    <row r="112">
      <c r="A112" s="777"/>
      <c r="B112" s="777"/>
      <c r="C112" s="777"/>
      <c r="D112" s="778"/>
      <c r="E112" s="778"/>
      <c r="F112" s="778"/>
      <c r="G112" s="778"/>
      <c r="H112" s="778"/>
      <c r="I112" s="778"/>
      <c r="J112" s="778"/>
      <c r="K112" s="778"/>
      <c r="L112" s="778"/>
      <c r="M112" s="778"/>
      <c r="N112" s="778"/>
      <c r="O112" s="778"/>
      <c r="P112" s="778"/>
      <c r="Q112" s="778"/>
      <c r="R112" s="778"/>
      <c r="S112" s="778"/>
      <c r="T112" s="778"/>
      <c r="U112" s="778"/>
      <c r="V112" s="778"/>
      <c r="W112" s="778"/>
      <c r="X112" s="778"/>
      <c r="Y112" s="778"/>
      <c r="Z112" s="778"/>
    </row>
    <row r="113">
      <c r="A113" s="777"/>
      <c r="B113" s="777"/>
      <c r="C113" s="777"/>
      <c r="D113" s="778"/>
      <c r="E113" s="778"/>
      <c r="F113" s="778"/>
      <c r="G113" s="778"/>
      <c r="H113" s="778"/>
      <c r="I113" s="778"/>
      <c r="J113" s="778"/>
      <c r="K113" s="778"/>
      <c r="L113" s="778"/>
      <c r="M113" s="778"/>
      <c r="N113" s="778"/>
      <c r="O113" s="778"/>
      <c r="P113" s="778"/>
      <c r="Q113" s="778"/>
      <c r="R113" s="778"/>
      <c r="S113" s="778"/>
      <c r="T113" s="778"/>
      <c r="U113" s="778"/>
      <c r="V113" s="778"/>
      <c r="W113" s="778"/>
      <c r="X113" s="778"/>
      <c r="Y113" s="778"/>
      <c r="Z113" s="778"/>
    </row>
    <row r="114">
      <c r="A114" s="777"/>
      <c r="B114" s="777"/>
      <c r="C114" s="777"/>
      <c r="D114" s="778"/>
      <c r="E114" s="778"/>
      <c r="F114" s="778"/>
      <c r="G114" s="778"/>
      <c r="H114" s="778"/>
      <c r="I114" s="778"/>
      <c r="J114" s="778"/>
      <c r="K114" s="778"/>
      <c r="L114" s="778"/>
      <c r="M114" s="778"/>
      <c r="N114" s="778"/>
      <c r="O114" s="778"/>
      <c r="P114" s="778"/>
      <c r="Q114" s="778"/>
      <c r="R114" s="778"/>
      <c r="S114" s="778"/>
      <c r="T114" s="778"/>
      <c r="U114" s="778"/>
      <c r="V114" s="778"/>
      <c r="W114" s="778"/>
      <c r="X114" s="778"/>
      <c r="Y114" s="778"/>
      <c r="Z114" s="778"/>
    </row>
    <row r="115">
      <c r="A115" s="777"/>
      <c r="B115" s="777"/>
      <c r="C115" s="777"/>
      <c r="D115" s="778"/>
      <c r="E115" s="778"/>
      <c r="F115" s="778"/>
      <c r="G115" s="778"/>
      <c r="H115" s="778"/>
      <c r="I115" s="778"/>
      <c r="J115" s="778"/>
      <c r="K115" s="778"/>
      <c r="L115" s="778"/>
      <c r="M115" s="778"/>
      <c r="N115" s="778"/>
      <c r="O115" s="778"/>
      <c r="P115" s="778"/>
      <c r="Q115" s="778"/>
      <c r="R115" s="778"/>
      <c r="S115" s="778"/>
      <c r="T115" s="778"/>
      <c r="U115" s="778"/>
      <c r="V115" s="778"/>
      <c r="W115" s="778"/>
      <c r="X115" s="778"/>
      <c r="Y115" s="778"/>
      <c r="Z115" s="778"/>
    </row>
    <row r="116">
      <c r="A116" s="777"/>
      <c r="B116" s="777"/>
      <c r="C116" s="777"/>
      <c r="D116" s="778"/>
      <c r="E116" s="778"/>
      <c r="F116" s="778"/>
      <c r="G116" s="778"/>
      <c r="H116" s="778"/>
      <c r="I116" s="778"/>
      <c r="J116" s="778"/>
      <c r="K116" s="778"/>
      <c r="L116" s="778"/>
      <c r="M116" s="778"/>
      <c r="N116" s="778"/>
      <c r="O116" s="778"/>
      <c r="P116" s="778"/>
      <c r="Q116" s="778"/>
      <c r="R116" s="778"/>
      <c r="S116" s="778"/>
      <c r="T116" s="778"/>
      <c r="U116" s="778"/>
      <c r="V116" s="778"/>
      <c r="W116" s="778"/>
      <c r="X116" s="778"/>
      <c r="Y116" s="778"/>
      <c r="Z116" s="778"/>
    </row>
    <row r="117">
      <c r="A117" s="777"/>
      <c r="B117" s="777"/>
      <c r="C117" s="777"/>
      <c r="D117" s="778"/>
      <c r="E117" s="778"/>
      <c r="F117" s="778"/>
      <c r="G117" s="778"/>
      <c r="H117" s="778"/>
      <c r="I117" s="778"/>
      <c r="J117" s="778"/>
      <c r="K117" s="778"/>
      <c r="L117" s="778"/>
      <c r="M117" s="778"/>
      <c r="N117" s="778"/>
      <c r="O117" s="778"/>
      <c r="P117" s="778"/>
      <c r="Q117" s="778"/>
      <c r="R117" s="778"/>
      <c r="S117" s="778"/>
      <c r="T117" s="778"/>
      <c r="U117" s="778"/>
      <c r="V117" s="778"/>
      <c r="W117" s="778"/>
      <c r="X117" s="778"/>
      <c r="Y117" s="778"/>
      <c r="Z117" s="778"/>
    </row>
    <row r="118">
      <c r="A118" s="777"/>
      <c r="B118" s="777"/>
      <c r="C118" s="777"/>
      <c r="D118" s="778"/>
      <c r="E118" s="778"/>
      <c r="F118" s="778"/>
      <c r="G118" s="778"/>
      <c r="H118" s="778"/>
      <c r="I118" s="778"/>
      <c r="J118" s="778"/>
      <c r="K118" s="778"/>
      <c r="L118" s="778"/>
      <c r="M118" s="778"/>
      <c r="N118" s="778"/>
      <c r="O118" s="778"/>
      <c r="P118" s="778"/>
      <c r="Q118" s="778"/>
      <c r="R118" s="778"/>
      <c r="S118" s="778"/>
      <c r="T118" s="778"/>
      <c r="U118" s="778"/>
      <c r="V118" s="778"/>
      <c r="W118" s="778"/>
      <c r="X118" s="778"/>
      <c r="Y118" s="778"/>
      <c r="Z118" s="778"/>
    </row>
    <row r="119">
      <c r="A119" s="777"/>
      <c r="B119" s="777"/>
      <c r="C119" s="777"/>
      <c r="D119" s="778"/>
      <c r="E119" s="778"/>
      <c r="F119" s="778"/>
      <c r="G119" s="778"/>
      <c r="H119" s="778"/>
      <c r="I119" s="778"/>
      <c r="J119" s="778"/>
      <c r="K119" s="778"/>
      <c r="L119" s="778"/>
      <c r="M119" s="778"/>
      <c r="N119" s="778"/>
      <c r="O119" s="778"/>
      <c r="P119" s="778"/>
      <c r="Q119" s="778"/>
      <c r="R119" s="778"/>
      <c r="S119" s="778"/>
      <c r="T119" s="778"/>
      <c r="U119" s="778"/>
      <c r="V119" s="778"/>
      <c r="W119" s="778"/>
      <c r="X119" s="778"/>
      <c r="Y119" s="778"/>
      <c r="Z119" s="778"/>
    </row>
    <row r="120">
      <c r="A120" s="777"/>
      <c r="B120" s="777"/>
      <c r="C120" s="777"/>
      <c r="D120" s="778"/>
      <c r="E120" s="778"/>
      <c r="F120" s="778"/>
      <c r="G120" s="778"/>
      <c r="H120" s="778"/>
      <c r="I120" s="778"/>
      <c r="J120" s="778"/>
      <c r="K120" s="778"/>
      <c r="L120" s="778"/>
      <c r="M120" s="778"/>
      <c r="N120" s="778"/>
      <c r="O120" s="778"/>
      <c r="P120" s="778"/>
      <c r="Q120" s="778"/>
      <c r="R120" s="778"/>
      <c r="S120" s="778"/>
      <c r="T120" s="778"/>
      <c r="U120" s="778"/>
      <c r="V120" s="778"/>
      <c r="W120" s="778"/>
      <c r="X120" s="778"/>
      <c r="Y120" s="778"/>
      <c r="Z120" s="778"/>
    </row>
    <row r="121">
      <c r="A121" s="777"/>
      <c r="B121" s="777"/>
      <c r="C121" s="777"/>
      <c r="D121" s="778"/>
      <c r="E121" s="778"/>
      <c r="F121" s="778"/>
      <c r="G121" s="778"/>
      <c r="H121" s="778"/>
      <c r="I121" s="778"/>
      <c r="J121" s="778"/>
      <c r="K121" s="778"/>
      <c r="L121" s="778"/>
      <c r="M121" s="778"/>
      <c r="N121" s="778"/>
      <c r="O121" s="778"/>
      <c r="P121" s="778"/>
      <c r="Q121" s="778"/>
      <c r="R121" s="778"/>
      <c r="S121" s="778"/>
      <c r="T121" s="778"/>
      <c r="U121" s="778"/>
      <c r="V121" s="778"/>
      <c r="W121" s="778"/>
      <c r="X121" s="778"/>
      <c r="Y121" s="778"/>
      <c r="Z121" s="778"/>
    </row>
    <row r="122">
      <c r="A122" s="777"/>
      <c r="B122" s="777"/>
      <c r="C122" s="777"/>
      <c r="D122" s="778"/>
      <c r="E122" s="778"/>
      <c r="F122" s="778"/>
      <c r="G122" s="778"/>
      <c r="H122" s="778"/>
      <c r="I122" s="778"/>
      <c r="J122" s="778"/>
      <c r="K122" s="778"/>
      <c r="L122" s="778"/>
      <c r="M122" s="778"/>
      <c r="N122" s="778"/>
      <c r="O122" s="778"/>
      <c r="P122" s="778"/>
      <c r="Q122" s="778"/>
      <c r="R122" s="778"/>
      <c r="S122" s="778"/>
      <c r="T122" s="778"/>
      <c r="U122" s="778"/>
      <c r="V122" s="778"/>
      <c r="W122" s="778"/>
      <c r="X122" s="778"/>
      <c r="Y122" s="778"/>
      <c r="Z122" s="778"/>
    </row>
    <row r="123">
      <c r="A123" s="777"/>
      <c r="B123" s="777"/>
      <c r="C123" s="777"/>
      <c r="D123" s="778"/>
      <c r="E123" s="778"/>
      <c r="F123" s="778"/>
      <c r="G123" s="778"/>
      <c r="H123" s="778"/>
      <c r="I123" s="778"/>
      <c r="J123" s="778"/>
      <c r="K123" s="778"/>
      <c r="L123" s="778"/>
      <c r="M123" s="778"/>
      <c r="N123" s="778"/>
      <c r="O123" s="778"/>
      <c r="P123" s="778"/>
      <c r="Q123" s="778"/>
      <c r="R123" s="778"/>
      <c r="S123" s="778"/>
      <c r="T123" s="778"/>
      <c r="U123" s="778"/>
      <c r="V123" s="778"/>
      <c r="W123" s="778"/>
      <c r="X123" s="778"/>
      <c r="Y123" s="778"/>
      <c r="Z123" s="778"/>
    </row>
    <row r="124">
      <c r="A124" s="777"/>
      <c r="B124" s="777"/>
      <c r="C124" s="777"/>
      <c r="D124" s="778"/>
      <c r="E124" s="778"/>
      <c r="F124" s="778"/>
      <c r="G124" s="778"/>
      <c r="H124" s="778"/>
      <c r="I124" s="778"/>
      <c r="J124" s="778"/>
      <c r="K124" s="778"/>
      <c r="L124" s="778"/>
      <c r="M124" s="778"/>
      <c r="N124" s="778"/>
      <c r="O124" s="778"/>
      <c r="P124" s="778"/>
      <c r="Q124" s="778"/>
      <c r="R124" s="778"/>
      <c r="S124" s="778"/>
      <c r="T124" s="778"/>
      <c r="U124" s="778"/>
      <c r="V124" s="778"/>
      <c r="W124" s="778"/>
      <c r="X124" s="778"/>
      <c r="Y124" s="778"/>
      <c r="Z124" s="778"/>
    </row>
    <row r="125">
      <c r="A125" s="777"/>
      <c r="B125" s="777"/>
      <c r="C125" s="777"/>
      <c r="D125" s="778"/>
      <c r="E125" s="778"/>
      <c r="F125" s="778"/>
      <c r="G125" s="778"/>
      <c r="H125" s="778"/>
      <c r="I125" s="778"/>
      <c r="J125" s="778"/>
      <c r="K125" s="778"/>
      <c r="L125" s="778"/>
      <c r="M125" s="778"/>
      <c r="N125" s="778"/>
      <c r="O125" s="778"/>
      <c r="P125" s="778"/>
      <c r="Q125" s="778"/>
      <c r="R125" s="778"/>
      <c r="S125" s="778"/>
      <c r="T125" s="778"/>
      <c r="U125" s="778"/>
      <c r="V125" s="778"/>
      <c r="W125" s="778"/>
      <c r="X125" s="778"/>
      <c r="Y125" s="778"/>
      <c r="Z125" s="778"/>
    </row>
    <row r="126">
      <c r="A126" s="777"/>
      <c r="B126" s="777"/>
      <c r="C126" s="777"/>
      <c r="D126" s="778"/>
      <c r="E126" s="778"/>
      <c r="F126" s="778"/>
      <c r="G126" s="778"/>
      <c r="H126" s="778"/>
      <c r="I126" s="778"/>
      <c r="J126" s="778"/>
      <c r="K126" s="778"/>
      <c r="L126" s="778"/>
      <c r="M126" s="778"/>
      <c r="N126" s="778"/>
      <c r="O126" s="778"/>
      <c r="P126" s="778"/>
      <c r="Q126" s="778"/>
      <c r="R126" s="778"/>
      <c r="S126" s="778"/>
      <c r="T126" s="778"/>
      <c r="U126" s="778"/>
      <c r="V126" s="778"/>
      <c r="W126" s="778"/>
      <c r="X126" s="778"/>
      <c r="Y126" s="778"/>
      <c r="Z126" s="778"/>
    </row>
    <row r="127">
      <c r="A127" s="777"/>
      <c r="B127" s="777"/>
      <c r="C127" s="777"/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778"/>
      <c r="V127" s="778"/>
      <c r="W127" s="778"/>
      <c r="X127" s="778"/>
      <c r="Y127" s="778"/>
      <c r="Z127" s="778"/>
    </row>
    <row r="128">
      <c r="A128" s="777"/>
      <c r="B128" s="777"/>
      <c r="C128" s="777"/>
      <c r="D128" s="778"/>
      <c r="E128" s="778"/>
      <c r="F128" s="778"/>
      <c r="G128" s="778"/>
      <c r="H128" s="778"/>
      <c r="I128" s="778"/>
      <c r="J128" s="778"/>
      <c r="K128" s="778"/>
      <c r="L128" s="778"/>
      <c r="M128" s="778"/>
      <c r="N128" s="778"/>
      <c r="O128" s="778"/>
      <c r="P128" s="778"/>
      <c r="Q128" s="778"/>
      <c r="R128" s="778"/>
      <c r="S128" s="778"/>
      <c r="T128" s="778"/>
      <c r="U128" s="778"/>
      <c r="V128" s="778"/>
      <c r="W128" s="778"/>
      <c r="X128" s="778"/>
      <c r="Y128" s="778"/>
      <c r="Z128" s="778"/>
    </row>
    <row r="129">
      <c r="A129" s="777"/>
      <c r="B129" s="777"/>
      <c r="C129" s="777"/>
      <c r="D129" s="778"/>
      <c r="E129" s="778"/>
      <c r="F129" s="778"/>
      <c r="G129" s="778"/>
      <c r="H129" s="778"/>
      <c r="I129" s="778"/>
      <c r="J129" s="778"/>
      <c r="K129" s="778"/>
      <c r="L129" s="778"/>
      <c r="M129" s="778"/>
      <c r="N129" s="778"/>
      <c r="O129" s="778"/>
      <c r="P129" s="778"/>
      <c r="Q129" s="778"/>
      <c r="R129" s="778"/>
      <c r="S129" s="778"/>
      <c r="T129" s="778"/>
      <c r="U129" s="778"/>
      <c r="V129" s="778"/>
      <c r="W129" s="778"/>
      <c r="X129" s="778"/>
      <c r="Y129" s="778"/>
      <c r="Z129" s="778"/>
    </row>
    <row r="130">
      <c r="A130" s="777"/>
      <c r="B130" s="777"/>
      <c r="C130" s="777"/>
      <c r="D130" s="778"/>
      <c r="E130" s="778"/>
      <c r="F130" s="778"/>
      <c r="G130" s="778"/>
      <c r="H130" s="778"/>
      <c r="I130" s="778"/>
      <c r="J130" s="778"/>
      <c r="K130" s="778"/>
      <c r="L130" s="778"/>
      <c r="M130" s="778"/>
      <c r="N130" s="778"/>
      <c r="O130" s="778"/>
      <c r="P130" s="778"/>
      <c r="Q130" s="778"/>
      <c r="R130" s="778"/>
      <c r="S130" s="778"/>
      <c r="T130" s="778"/>
      <c r="U130" s="778"/>
      <c r="V130" s="778"/>
      <c r="W130" s="778"/>
      <c r="X130" s="778"/>
      <c r="Y130" s="778"/>
      <c r="Z130" s="778"/>
    </row>
    <row r="131">
      <c r="A131" s="777"/>
      <c r="B131" s="777"/>
      <c r="C131" s="777"/>
      <c r="D131" s="778"/>
      <c r="E131" s="778"/>
      <c r="F131" s="778"/>
      <c r="G131" s="778"/>
      <c r="H131" s="778"/>
      <c r="I131" s="778"/>
      <c r="J131" s="778"/>
      <c r="K131" s="778"/>
      <c r="L131" s="778"/>
      <c r="M131" s="778"/>
      <c r="N131" s="778"/>
      <c r="O131" s="778"/>
      <c r="P131" s="778"/>
      <c r="Q131" s="778"/>
      <c r="R131" s="778"/>
      <c r="S131" s="778"/>
      <c r="T131" s="778"/>
      <c r="U131" s="778"/>
      <c r="V131" s="778"/>
      <c r="W131" s="778"/>
      <c r="X131" s="778"/>
      <c r="Y131" s="778"/>
      <c r="Z131" s="778"/>
    </row>
    <row r="132">
      <c r="A132" s="777"/>
      <c r="B132" s="777"/>
      <c r="C132" s="777"/>
      <c r="D132" s="778"/>
      <c r="E132" s="778"/>
      <c r="F132" s="778"/>
      <c r="G132" s="778"/>
      <c r="H132" s="778"/>
      <c r="I132" s="778"/>
      <c r="J132" s="778"/>
      <c r="K132" s="778"/>
      <c r="L132" s="778"/>
      <c r="M132" s="778"/>
      <c r="N132" s="778"/>
      <c r="O132" s="778"/>
      <c r="P132" s="778"/>
      <c r="Q132" s="778"/>
      <c r="R132" s="778"/>
      <c r="S132" s="778"/>
      <c r="T132" s="778"/>
      <c r="U132" s="778"/>
      <c r="V132" s="778"/>
      <c r="W132" s="778"/>
      <c r="X132" s="778"/>
      <c r="Y132" s="778"/>
      <c r="Z132" s="778"/>
    </row>
    <row r="133">
      <c r="A133" s="777"/>
      <c r="B133" s="777"/>
      <c r="C133" s="777"/>
      <c r="D133" s="778"/>
      <c r="E133" s="778"/>
      <c r="F133" s="778"/>
      <c r="G133" s="778"/>
      <c r="H133" s="778"/>
      <c r="I133" s="778"/>
      <c r="J133" s="778"/>
      <c r="K133" s="778"/>
      <c r="L133" s="778"/>
      <c r="M133" s="778"/>
      <c r="N133" s="778"/>
      <c r="O133" s="778"/>
      <c r="P133" s="778"/>
      <c r="Q133" s="778"/>
      <c r="R133" s="778"/>
      <c r="S133" s="778"/>
      <c r="T133" s="778"/>
      <c r="U133" s="778"/>
      <c r="V133" s="778"/>
      <c r="W133" s="778"/>
      <c r="X133" s="778"/>
      <c r="Y133" s="778"/>
      <c r="Z133" s="778"/>
    </row>
    <row r="134">
      <c r="A134" s="777"/>
      <c r="B134" s="777"/>
      <c r="C134" s="777"/>
      <c r="D134" s="778"/>
      <c r="E134" s="778"/>
      <c r="F134" s="778"/>
      <c r="G134" s="778"/>
      <c r="H134" s="778"/>
      <c r="I134" s="778"/>
      <c r="J134" s="778"/>
      <c r="K134" s="778"/>
      <c r="L134" s="778"/>
      <c r="M134" s="778"/>
      <c r="N134" s="778"/>
      <c r="O134" s="778"/>
      <c r="P134" s="778"/>
      <c r="Q134" s="778"/>
      <c r="R134" s="778"/>
      <c r="S134" s="778"/>
      <c r="T134" s="778"/>
      <c r="U134" s="778"/>
      <c r="V134" s="778"/>
      <c r="W134" s="778"/>
      <c r="X134" s="778"/>
      <c r="Y134" s="778"/>
      <c r="Z134" s="778"/>
    </row>
    <row r="135">
      <c r="A135" s="777"/>
      <c r="B135" s="777"/>
      <c r="C135" s="777"/>
      <c r="D135" s="778"/>
      <c r="E135" s="778"/>
      <c r="F135" s="778"/>
      <c r="G135" s="778"/>
      <c r="H135" s="778"/>
      <c r="I135" s="778"/>
      <c r="J135" s="778"/>
      <c r="K135" s="778"/>
      <c r="L135" s="778"/>
      <c r="M135" s="778"/>
      <c r="N135" s="778"/>
      <c r="O135" s="778"/>
      <c r="P135" s="778"/>
      <c r="Q135" s="778"/>
      <c r="R135" s="778"/>
      <c r="S135" s="778"/>
      <c r="T135" s="778"/>
      <c r="U135" s="778"/>
      <c r="V135" s="778"/>
      <c r="W135" s="778"/>
      <c r="X135" s="778"/>
      <c r="Y135" s="778"/>
      <c r="Z135" s="778"/>
    </row>
    <row r="136">
      <c r="A136" s="777"/>
      <c r="B136" s="777"/>
      <c r="C136" s="777"/>
      <c r="D136" s="778"/>
      <c r="E136" s="778"/>
      <c r="F136" s="778"/>
      <c r="G136" s="778"/>
      <c r="H136" s="778"/>
      <c r="I136" s="778"/>
      <c r="J136" s="778"/>
      <c r="K136" s="778"/>
      <c r="L136" s="778"/>
      <c r="M136" s="778"/>
      <c r="N136" s="778"/>
      <c r="O136" s="778"/>
      <c r="P136" s="778"/>
      <c r="Q136" s="778"/>
      <c r="R136" s="778"/>
      <c r="S136" s="778"/>
      <c r="T136" s="778"/>
      <c r="U136" s="778"/>
      <c r="V136" s="778"/>
      <c r="W136" s="778"/>
      <c r="X136" s="778"/>
      <c r="Y136" s="778"/>
      <c r="Z136" s="778"/>
    </row>
    <row r="137">
      <c r="A137" s="777"/>
      <c r="B137" s="777"/>
      <c r="C137" s="777"/>
      <c r="D137" s="778"/>
      <c r="E137" s="778"/>
      <c r="F137" s="778"/>
      <c r="G137" s="778"/>
      <c r="H137" s="778"/>
      <c r="I137" s="778"/>
      <c r="J137" s="778"/>
      <c r="K137" s="778"/>
      <c r="L137" s="778"/>
      <c r="M137" s="778"/>
      <c r="N137" s="778"/>
      <c r="O137" s="778"/>
      <c r="P137" s="778"/>
      <c r="Q137" s="778"/>
      <c r="R137" s="778"/>
      <c r="S137" s="778"/>
      <c r="T137" s="778"/>
      <c r="U137" s="778"/>
      <c r="V137" s="778"/>
      <c r="W137" s="778"/>
      <c r="X137" s="778"/>
      <c r="Y137" s="778"/>
      <c r="Z137" s="778"/>
    </row>
    <row r="138">
      <c r="A138" s="777"/>
      <c r="B138" s="777"/>
      <c r="C138" s="777"/>
      <c r="D138" s="778"/>
      <c r="E138" s="778"/>
      <c r="F138" s="778"/>
      <c r="G138" s="778"/>
      <c r="H138" s="778"/>
      <c r="I138" s="778"/>
      <c r="J138" s="778"/>
      <c r="K138" s="778"/>
      <c r="L138" s="778"/>
      <c r="M138" s="778"/>
      <c r="N138" s="778"/>
      <c r="O138" s="778"/>
      <c r="P138" s="778"/>
      <c r="Q138" s="778"/>
      <c r="R138" s="778"/>
      <c r="S138" s="778"/>
      <c r="T138" s="778"/>
      <c r="U138" s="778"/>
      <c r="V138" s="778"/>
      <c r="W138" s="778"/>
      <c r="X138" s="778"/>
      <c r="Y138" s="778"/>
      <c r="Z138" s="778"/>
    </row>
    <row r="139">
      <c r="A139" s="777"/>
      <c r="B139" s="777"/>
      <c r="C139" s="777"/>
      <c r="D139" s="778"/>
      <c r="E139" s="778"/>
      <c r="F139" s="778"/>
      <c r="G139" s="778"/>
      <c r="H139" s="778"/>
      <c r="I139" s="778"/>
      <c r="J139" s="778"/>
      <c r="K139" s="778"/>
      <c r="L139" s="778"/>
      <c r="M139" s="778"/>
      <c r="N139" s="778"/>
      <c r="O139" s="778"/>
      <c r="P139" s="778"/>
      <c r="Q139" s="778"/>
      <c r="R139" s="778"/>
      <c r="S139" s="778"/>
      <c r="T139" s="778"/>
      <c r="U139" s="778"/>
      <c r="V139" s="778"/>
      <c r="W139" s="778"/>
      <c r="X139" s="778"/>
      <c r="Y139" s="778"/>
      <c r="Z139" s="778"/>
    </row>
    <row r="140">
      <c r="A140" s="777"/>
      <c r="B140" s="777"/>
      <c r="C140" s="777"/>
      <c r="D140" s="778"/>
      <c r="E140" s="778"/>
      <c r="F140" s="778"/>
      <c r="G140" s="778"/>
      <c r="H140" s="778"/>
      <c r="I140" s="778"/>
      <c r="J140" s="778"/>
      <c r="K140" s="778"/>
      <c r="L140" s="778"/>
      <c r="M140" s="778"/>
      <c r="N140" s="778"/>
      <c r="O140" s="778"/>
      <c r="P140" s="778"/>
      <c r="Q140" s="778"/>
      <c r="R140" s="778"/>
      <c r="S140" s="778"/>
      <c r="T140" s="778"/>
      <c r="U140" s="778"/>
      <c r="V140" s="778"/>
      <c r="W140" s="778"/>
      <c r="X140" s="778"/>
      <c r="Y140" s="778"/>
      <c r="Z140" s="778"/>
    </row>
    <row r="141">
      <c r="A141" s="777"/>
      <c r="B141" s="777"/>
      <c r="C141" s="777"/>
      <c r="D141" s="778"/>
      <c r="E141" s="778"/>
      <c r="F141" s="778"/>
      <c r="G141" s="778"/>
      <c r="H141" s="778"/>
      <c r="I141" s="778"/>
      <c r="J141" s="778"/>
      <c r="K141" s="778"/>
      <c r="L141" s="778"/>
      <c r="M141" s="778"/>
      <c r="N141" s="778"/>
      <c r="O141" s="778"/>
      <c r="P141" s="778"/>
      <c r="Q141" s="778"/>
      <c r="R141" s="778"/>
      <c r="S141" s="778"/>
      <c r="T141" s="778"/>
      <c r="U141" s="778"/>
      <c r="V141" s="778"/>
      <c r="W141" s="778"/>
      <c r="X141" s="778"/>
      <c r="Y141" s="778"/>
      <c r="Z141" s="778"/>
    </row>
    <row r="142">
      <c r="A142" s="777"/>
      <c r="B142" s="777"/>
      <c r="C142" s="777"/>
      <c r="D142" s="778"/>
      <c r="E142" s="778"/>
      <c r="F142" s="778"/>
      <c r="G142" s="778"/>
      <c r="H142" s="778"/>
      <c r="I142" s="778"/>
      <c r="J142" s="778"/>
      <c r="K142" s="778"/>
      <c r="L142" s="778"/>
      <c r="M142" s="778"/>
      <c r="N142" s="778"/>
      <c r="O142" s="778"/>
      <c r="P142" s="778"/>
      <c r="Q142" s="778"/>
      <c r="R142" s="778"/>
      <c r="S142" s="778"/>
      <c r="T142" s="778"/>
      <c r="U142" s="778"/>
      <c r="V142" s="778"/>
      <c r="W142" s="778"/>
      <c r="X142" s="778"/>
      <c r="Y142" s="778"/>
      <c r="Z142" s="778"/>
    </row>
    <row r="143">
      <c r="A143" s="777"/>
      <c r="B143" s="777"/>
      <c r="C143" s="777"/>
      <c r="D143" s="778"/>
      <c r="E143" s="778"/>
      <c r="F143" s="778"/>
      <c r="G143" s="778"/>
      <c r="H143" s="778"/>
      <c r="I143" s="778"/>
      <c r="J143" s="778"/>
      <c r="K143" s="778"/>
      <c r="L143" s="778"/>
      <c r="M143" s="778"/>
      <c r="N143" s="778"/>
      <c r="O143" s="778"/>
      <c r="P143" s="778"/>
      <c r="Q143" s="778"/>
      <c r="R143" s="778"/>
      <c r="S143" s="778"/>
      <c r="T143" s="778"/>
      <c r="U143" s="778"/>
      <c r="V143" s="778"/>
      <c r="W143" s="778"/>
      <c r="X143" s="778"/>
      <c r="Y143" s="778"/>
      <c r="Z143" s="778"/>
    </row>
    <row r="144">
      <c r="A144" s="777"/>
      <c r="B144" s="777"/>
      <c r="C144" s="777"/>
      <c r="D144" s="778"/>
      <c r="E144" s="778"/>
      <c r="F144" s="778"/>
      <c r="G144" s="778"/>
      <c r="H144" s="778"/>
      <c r="I144" s="778"/>
      <c r="J144" s="778"/>
      <c r="K144" s="778"/>
      <c r="L144" s="778"/>
      <c r="M144" s="778"/>
      <c r="N144" s="778"/>
      <c r="O144" s="778"/>
      <c r="P144" s="778"/>
      <c r="Q144" s="778"/>
      <c r="R144" s="778"/>
      <c r="S144" s="778"/>
      <c r="T144" s="778"/>
      <c r="U144" s="778"/>
      <c r="V144" s="778"/>
      <c r="W144" s="778"/>
      <c r="X144" s="778"/>
      <c r="Y144" s="778"/>
      <c r="Z144" s="778"/>
    </row>
    <row r="145">
      <c r="A145" s="777"/>
      <c r="B145" s="777"/>
      <c r="C145" s="777"/>
      <c r="D145" s="778"/>
      <c r="E145" s="778"/>
      <c r="F145" s="778"/>
      <c r="G145" s="778"/>
      <c r="H145" s="778"/>
      <c r="I145" s="778"/>
      <c r="J145" s="778"/>
      <c r="K145" s="778"/>
      <c r="L145" s="778"/>
      <c r="M145" s="778"/>
      <c r="N145" s="778"/>
      <c r="O145" s="778"/>
      <c r="P145" s="778"/>
      <c r="Q145" s="778"/>
      <c r="R145" s="778"/>
      <c r="S145" s="778"/>
      <c r="T145" s="778"/>
      <c r="U145" s="778"/>
      <c r="V145" s="778"/>
      <c r="W145" s="778"/>
      <c r="X145" s="778"/>
      <c r="Y145" s="778"/>
      <c r="Z145" s="778"/>
    </row>
    <row r="146">
      <c r="A146" s="777"/>
      <c r="B146" s="777"/>
      <c r="C146" s="777"/>
      <c r="D146" s="778"/>
      <c r="E146" s="778"/>
      <c r="F146" s="778"/>
      <c r="G146" s="778"/>
      <c r="H146" s="778"/>
      <c r="I146" s="778"/>
      <c r="J146" s="778"/>
      <c r="K146" s="778"/>
      <c r="L146" s="778"/>
      <c r="M146" s="778"/>
      <c r="N146" s="778"/>
      <c r="O146" s="778"/>
      <c r="P146" s="778"/>
      <c r="Q146" s="778"/>
      <c r="R146" s="778"/>
      <c r="S146" s="778"/>
      <c r="T146" s="778"/>
      <c r="U146" s="778"/>
      <c r="V146" s="778"/>
      <c r="W146" s="778"/>
      <c r="X146" s="778"/>
      <c r="Y146" s="778"/>
      <c r="Z146" s="778"/>
    </row>
    <row r="147">
      <c r="A147" s="777"/>
      <c r="B147" s="777"/>
      <c r="C147" s="777"/>
      <c r="D147" s="778"/>
      <c r="E147" s="778"/>
      <c r="F147" s="778"/>
      <c r="G147" s="778"/>
      <c r="H147" s="778"/>
      <c r="I147" s="778"/>
      <c r="J147" s="778"/>
      <c r="K147" s="778"/>
      <c r="L147" s="778"/>
      <c r="M147" s="778"/>
      <c r="N147" s="778"/>
      <c r="O147" s="778"/>
      <c r="P147" s="778"/>
      <c r="Q147" s="778"/>
      <c r="R147" s="778"/>
      <c r="S147" s="778"/>
      <c r="T147" s="778"/>
      <c r="U147" s="778"/>
      <c r="V147" s="778"/>
      <c r="W147" s="778"/>
      <c r="X147" s="778"/>
      <c r="Y147" s="778"/>
      <c r="Z147" s="778"/>
    </row>
    <row r="148">
      <c r="A148" s="777"/>
      <c r="B148" s="777"/>
      <c r="C148" s="777"/>
      <c r="D148" s="778"/>
      <c r="E148" s="778"/>
      <c r="F148" s="778"/>
      <c r="G148" s="778"/>
      <c r="H148" s="778"/>
      <c r="I148" s="778"/>
      <c r="J148" s="778"/>
      <c r="K148" s="778"/>
      <c r="L148" s="778"/>
      <c r="M148" s="778"/>
      <c r="N148" s="778"/>
      <c r="O148" s="778"/>
      <c r="P148" s="778"/>
      <c r="Q148" s="778"/>
      <c r="R148" s="778"/>
      <c r="S148" s="778"/>
      <c r="T148" s="778"/>
      <c r="U148" s="778"/>
      <c r="V148" s="778"/>
      <c r="W148" s="778"/>
      <c r="X148" s="778"/>
      <c r="Y148" s="778"/>
      <c r="Z148" s="778"/>
    </row>
    <row r="149">
      <c r="A149" s="777"/>
      <c r="B149" s="777"/>
      <c r="C149" s="777"/>
      <c r="D149" s="778"/>
      <c r="E149" s="778"/>
      <c r="F149" s="778"/>
      <c r="G149" s="778"/>
      <c r="H149" s="778"/>
      <c r="I149" s="778"/>
      <c r="J149" s="778"/>
      <c r="K149" s="778"/>
      <c r="L149" s="778"/>
      <c r="M149" s="778"/>
      <c r="N149" s="778"/>
      <c r="O149" s="778"/>
      <c r="P149" s="778"/>
      <c r="Q149" s="778"/>
      <c r="R149" s="778"/>
      <c r="S149" s="778"/>
      <c r="T149" s="778"/>
      <c r="U149" s="778"/>
      <c r="V149" s="778"/>
      <c r="W149" s="778"/>
      <c r="X149" s="778"/>
      <c r="Y149" s="778"/>
      <c r="Z149" s="778"/>
    </row>
    <row r="150">
      <c r="A150" s="777"/>
      <c r="B150" s="777"/>
      <c r="C150" s="777"/>
      <c r="D150" s="778"/>
      <c r="E150" s="778"/>
      <c r="F150" s="778"/>
      <c r="G150" s="778"/>
      <c r="H150" s="778"/>
      <c r="I150" s="778"/>
      <c r="J150" s="778"/>
      <c r="K150" s="778"/>
      <c r="L150" s="778"/>
      <c r="M150" s="778"/>
      <c r="N150" s="778"/>
      <c r="O150" s="778"/>
      <c r="P150" s="778"/>
      <c r="Q150" s="778"/>
      <c r="R150" s="778"/>
      <c r="S150" s="778"/>
      <c r="T150" s="778"/>
      <c r="U150" s="778"/>
      <c r="V150" s="778"/>
      <c r="W150" s="778"/>
      <c r="X150" s="778"/>
      <c r="Y150" s="778"/>
      <c r="Z150" s="778"/>
    </row>
    <row r="151">
      <c r="A151" s="777"/>
      <c r="B151" s="777"/>
      <c r="C151" s="777"/>
      <c r="D151" s="778"/>
      <c r="E151" s="778"/>
      <c r="F151" s="778"/>
      <c r="G151" s="778"/>
      <c r="H151" s="778"/>
      <c r="I151" s="778"/>
      <c r="J151" s="778"/>
      <c r="K151" s="778"/>
      <c r="L151" s="778"/>
      <c r="M151" s="778"/>
      <c r="N151" s="778"/>
      <c r="O151" s="778"/>
      <c r="P151" s="778"/>
      <c r="Q151" s="778"/>
      <c r="R151" s="778"/>
      <c r="S151" s="778"/>
      <c r="T151" s="778"/>
      <c r="U151" s="778"/>
      <c r="V151" s="778"/>
      <c r="W151" s="778"/>
      <c r="X151" s="778"/>
      <c r="Y151" s="778"/>
      <c r="Z151" s="778"/>
    </row>
    <row r="152">
      <c r="A152" s="777"/>
      <c r="B152" s="777"/>
      <c r="C152" s="777"/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778"/>
      <c r="V152" s="778"/>
      <c r="W152" s="778"/>
      <c r="X152" s="778"/>
      <c r="Y152" s="778"/>
      <c r="Z152" s="778"/>
    </row>
    <row r="153">
      <c r="A153" s="777"/>
      <c r="B153" s="777"/>
      <c r="C153" s="777"/>
      <c r="D153" s="778"/>
      <c r="E153" s="778"/>
      <c r="F153" s="778"/>
      <c r="G153" s="778"/>
      <c r="H153" s="778"/>
      <c r="I153" s="778"/>
      <c r="J153" s="778"/>
      <c r="K153" s="778"/>
      <c r="L153" s="778"/>
      <c r="M153" s="778"/>
      <c r="N153" s="778"/>
      <c r="O153" s="778"/>
      <c r="P153" s="778"/>
      <c r="Q153" s="778"/>
      <c r="R153" s="778"/>
      <c r="S153" s="778"/>
      <c r="T153" s="778"/>
      <c r="U153" s="778"/>
      <c r="V153" s="778"/>
      <c r="W153" s="778"/>
      <c r="X153" s="778"/>
      <c r="Y153" s="778"/>
      <c r="Z153" s="778"/>
    </row>
    <row r="154">
      <c r="A154" s="777"/>
      <c r="B154" s="777"/>
      <c r="C154" s="777"/>
      <c r="D154" s="778"/>
      <c r="E154" s="778"/>
      <c r="F154" s="778"/>
      <c r="G154" s="778"/>
      <c r="H154" s="778"/>
      <c r="I154" s="778"/>
      <c r="J154" s="778"/>
      <c r="K154" s="778"/>
      <c r="L154" s="778"/>
      <c r="M154" s="778"/>
      <c r="N154" s="778"/>
      <c r="O154" s="778"/>
      <c r="P154" s="778"/>
      <c r="Q154" s="778"/>
      <c r="R154" s="778"/>
      <c r="S154" s="778"/>
      <c r="T154" s="778"/>
      <c r="U154" s="778"/>
      <c r="V154" s="778"/>
      <c r="W154" s="778"/>
      <c r="X154" s="778"/>
      <c r="Y154" s="778"/>
      <c r="Z154" s="778"/>
    </row>
    <row r="155">
      <c r="A155" s="777"/>
      <c r="B155" s="777"/>
      <c r="C155" s="777"/>
      <c r="D155" s="778"/>
      <c r="E155" s="778"/>
      <c r="F155" s="778"/>
      <c r="G155" s="778"/>
      <c r="H155" s="778"/>
      <c r="I155" s="778"/>
      <c r="J155" s="778"/>
      <c r="K155" s="778"/>
      <c r="L155" s="778"/>
      <c r="M155" s="778"/>
      <c r="N155" s="778"/>
      <c r="O155" s="778"/>
      <c r="P155" s="778"/>
      <c r="Q155" s="778"/>
      <c r="R155" s="778"/>
      <c r="S155" s="778"/>
      <c r="T155" s="778"/>
      <c r="U155" s="778"/>
      <c r="V155" s="778"/>
      <c r="W155" s="778"/>
      <c r="X155" s="778"/>
      <c r="Y155" s="778"/>
      <c r="Z155" s="778"/>
    </row>
    <row r="156">
      <c r="A156" s="777"/>
      <c r="B156" s="777"/>
      <c r="C156" s="777"/>
      <c r="D156" s="778"/>
      <c r="E156" s="778"/>
      <c r="F156" s="778"/>
      <c r="G156" s="778"/>
      <c r="H156" s="778"/>
      <c r="I156" s="778"/>
      <c r="J156" s="778"/>
      <c r="K156" s="778"/>
      <c r="L156" s="778"/>
      <c r="M156" s="778"/>
      <c r="N156" s="778"/>
      <c r="O156" s="778"/>
      <c r="P156" s="778"/>
      <c r="Q156" s="778"/>
      <c r="R156" s="778"/>
      <c r="S156" s="778"/>
      <c r="T156" s="778"/>
      <c r="U156" s="778"/>
      <c r="V156" s="778"/>
      <c r="W156" s="778"/>
      <c r="X156" s="778"/>
      <c r="Y156" s="778"/>
      <c r="Z156" s="778"/>
    </row>
    <row r="157">
      <c r="A157" s="777"/>
      <c r="B157" s="777"/>
      <c r="C157" s="777"/>
      <c r="D157" s="778"/>
      <c r="E157" s="778"/>
      <c r="F157" s="778"/>
      <c r="G157" s="778"/>
      <c r="H157" s="778"/>
      <c r="I157" s="778"/>
      <c r="J157" s="778"/>
      <c r="K157" s="778"/>
      <c r="L157" s="778"/>
      <c r="M157" s="778"/>
      <c r="N157" s="778"/>
      <c r="O157" s="778"/>
      <c r="P157" s="778"/>
      <c r="Q157" s="778"/>
      <c r="R157" s="778"/>
      <c r="S157" s="778"/>
      <c r="T157" s="778"/>
      <c r="U157" s="778"/>
      <c r="V157" s="778"/>
      <c r="W157" s="778"/>
      <c r="X157" s="778"/>
      <c r="Y157" s="778"/>
      <c r="Z157" s="778"/>
    </row>
    <row r="158">
      <c r="A158" s="777"/>
      <c r="B158" s="777"/>
      <c r="C158" s="777"/>
      <c r="D158" s="778"/>
      <c r="E158" s="778"/>
      <c r="F158" s="778"/>
      <c r="G158" s="778"/>
      <c r="H158" s="778"/>
      <c r="I158" s="778"/>
      <c r="J158" s="778"/>
      <c r="K158" s="778"/>
      <c r="L158" s="778"/>
      <c r="M158" s="778"/>
      <c r="N158" s="778"/>
      <c r="O158" s="778"/>
      <c r="P158" s="778"/>
      <c r="Q158" s="778"/>
      <c r="R158" s="778"/>
      <c r="S158" s="778"/>
      <c r="T158" s="778"/>
      <c r="U158" s="778"/>
      <c r="V158" s="778"/>
      <c r="W158" s="778"/>
      <c r="X158" s="778"/>
      <c r="Y158" s="778"/>
      <c r="Z158" s="778"/>
    </row>
    <row r="159">
      <c r="A159" s="777"/>
      <c r="B159" s="777"/>
      <c r="C159" s="777"/>
      <c r="D159" s="778"/>
      <c r="E159" s="778"/>
      <c r="F159" s="778"/>
      <c r="G159" s="778"/>
      <c r="H159" s="778"/>
      <c r="I159" s="778"/>
      <c r="J159" s="778"/>
      <c r="K159" s="778"/>
      <c r="L159" s="778"/>
      <c r="M159" s="778"/>
      <c r="N159" s="778"/>
      <c r="O159" s="778"/>
      <c r="P159" s="778"/>
      <c r="Q159" s="778"/>
      <c r="R159" s="778"/>
      <c r="S159" s="778"/>
      <c r="T159" s="778"/>
      <c r="U159" s="778"/>
      <c r="V159" s="778"/>
      <c r="W159" s="778"/>
      <c r="X159" s="778"/>
      <c r="Y159" s="778"/>
      <c r="Z159" s="778"/>
    </row>
    <row r="160">
      <c r="A160" s="777"/>
      <c r="B160" s="777"/>
      <c r="C160" s="777"/>
      <c r="D160" s="778"/>
      <c r="E160" s="778"/>
      <c r="F160" s="778"/>
      <c r="G160" s="778"/>
      <c r="H160" s="778"/>
      <c r="I160" s="778"/>
      <c r="J160" s="778"/>
      <c r="K160" s="778"/>
      <c r="L160" s="778"/>
      <c r="M160" s="778"/>
      <c r="N160" s="778"/>
      <c r="O160" s="778"/>
      <c r="P160" s="778"/>
      <c r="Q160" s="778"/>
      <c r="R160" s="778"/>
      <c r="S160" s="778"/>
      <c r="T160" s="778"/>
      <c r="U160" s="778"/>
      <c r="V160" s="778"/>
      <c r="W160" s="778"/>
      <c r="X160" s="778"/>
      <c r="Y160" s="778"/>
      <c r="Z160" s="778"/>
    </row>
    <row r="161">
      <c r="A161" s="777"/>
      <c r="B161" s="777"/>
      <c r="C161" s="777"/>
      <c r="D161" s="778"/>
      <c r="E161" s="778"/>
      <c r="F161" s="778"/>
      <c r="G161" s="778"/>
      <c r="H161" s="778"/>
      <c r="I161" s="778"/>
      <c r="J161" s="778"/>
      <c r="K161" s="778"/>
      <c r="L161" s="778"/>
      <c r="M161" s="778"/>
      <c r="N161" s="778"/>
      <c r="O161" s="778"/>
      <c r="P161" s="778"/>
      <c r="Q161" s="778"/>
      <c r="R161" s="778"/>
      <c r="S161" s="778"/>
      <c r="T161" s="778"/>
      <c r="U161" s="778"/>
      <c r="V161" s="778"/>
      <c r="W161" s="778"/>
      <c r="X161" s="778"/>
      <c r="Y161" s="778"/>
      <c r="Z161" s="778"/>
    </row>
    <row r="162">
      <c r="A162" s="777"/>
      <c r="B162" s="777"/>
      <c r="C162" s="777"/>
      <c r="D162" s="778"/>
      <c r="E162" s="778"/>
      <c r="F162" s="778"/>
      <c r="G162" s="778"/>
      <c r="H162" s="778"/>
      <c r="I162" s="778"/>
      <c r="J162" s="778"/>
      <c r="K162" s="778"/>
      <c r="L162" s="778"/>
      <c r="M162" s="778"/>
      <c r="N162" s="778"/>
      <c r="O162" s="778"/>
      <c r="P162" s="778"/>
      <c r="Q162" s="778"/>
      <c r="R162" s="778"/>
      <c r="S162" s="778"/>
      <c r="T162" s="778"/>
      <c r="U162" s="778"/>
      <c r="V162" s="778"/>
      <c r="W162" s="778"/>
      <c r="X162" s="778"/>
      <c r="Y162" s="778"/>
      <c r="Z162" s="778"/>
    </row>
    <row r="163">
      <c r="A163" s="777"/>
      <c r="B163" s="777"/>
      <c r="C163" s="777"/>
      <c r="D163" s="778"/>
      <c r="E163" s="778"/>
      <c r="F163" s="778"/>
      <c r="G163" s="778"/>
      <c r="H163" s="778"/>
      <c r="I163" s="778"/>
      <c r="J163" s="778"/>
      <c r="K163" s="778"/>
      <c r="L163" s="778"/>
      <c r="M163" s="778"/>
      <c r="N163" s="778"/>
      <c r="O163" s="778"/>
      <c r="P163" s="778"/>
      <c r="Q163" s="778"/>
      <c r="R163" s="778"/>
      <c r="S163" s="778"/>
      <c r="T163" s="778"/>
      <c r="U163" s="778"/>
      <c r="V163" s="778"/>
      <c r="W163" s="778"/>
      <c r="X163" s="778"/>
      <c r="Y163" s="778"/>
      <c r="Z163" s="778"/>
    </row>
    <row r="164">
      <c r="A164" s="777"/>
      <c r="B164" s="777"/>
      <c r="C164" s="777"/>
      <c r="D164" s="778"/>
      <c r="E164" s="778"/>
      <c r="F164" s="778"/>
      <c r="G164" s="778"/>
      <c r="H164" s="778"/>
      <c r="I164" s="778"/>
      <c r="J164" s="778"/>
      <c r="K164" s="778"/>
      <c r="L164" s="778"/>
      <c r="M164" s="778"/>
      <c r="N164" s="778"/>
      <c r="O164" s="778"/>
      <c r="P164" s="778"/>
      <c r="Q164" s="778"/>
      <c r="R164" s="778"/>
      <c r="S164" s="778"/>
      <c r="T164" s="778"/>
      <c r="U164" s="778"/>
      <c r="V164" s="778"/>
      <c r="W164" s="778"/>
      <c r="X164" s="778"/>
      <c r="Y164" s="778"/>
      <c r="Z164" s="778"/>
    </row>
    <row r="165">
      <c r="A165" s="777"/>
      <c r="B165" s="777"/>
      <c r="C165" s="777"/>
      <c r="D165" s="778"/>
      <c r="E165" s="778"/>
      <c r="F165" s="778"/>
      <c r="G165" s="778"/>
      <c r="H165" s="778"/>
      <c r="I165" s="778"/>
      <c r="J165" s="778"/>
      <c r="K165" s="778"/>
      <c r="L165" s="778"/>
      <c r="M165" s="778"/>
      <c r="N165" s="778"/>
      <c r="O165" s="778"/>
      <c r="P165" s="778"/>
      <c r="Q165" s="778"/>
      <c r="R165" s="778"/>
      <c r="S165" s="778"/>
      <c r="T165" s="778"/>
      <c r="U165" s="778"/>
      <c r="V165" s="778"/>
      <c r="W165" s="778"/>
      <c r="X165" s="778"/>
      <c r="Y165" s="778"/>
      <c r="Z165" s="778"/>
    </row>
    <row r="166">
      <c r="A166" s="777"/>
      <c r="B166" s="777"/>
      <c r="C166" s="777"/>
      <c r="D166" s="778"/>
      <c r="E166" s="778"/>
      <c r="F166" s="778"/>
      <c r="G166" s="778"/>
      <c r="H166" s="778"/>
      <c r="I166" s="778"/>
      <c r="J166" s="778"/>
      <c r="K166" s="778"/>
      <c r="L166" s="778"/>
      <c r="M166" s="778"/>
      <c r="N166" s="778"/>
      <c r="O166" s="778"/>
      <c r="P166" s="778"/>
      <c r="Q166" s="778"/>
      <c r="R166" s="778"/>
      <c r="S166" s="778"/>
      <c r="T166" s="778"/>
      <c r="U166" s="778"/>
      <c r="V166" s="778"/>
      <c r="W166" s="778"/>
      <c r="X166" s="778"/>
      <c r="Y166" s="778"/>
      <c r="Z166" s="778"/>
    </row>
    <row r="167">
      <c r="A167" s="777"/>
      <c r="B167" s="777"/>
      <c r="C167" s="777"/>
      <c r="D167" s="778"/>
      <c r="E167" s="778"/>
      <c r="F167" s="778"/>
      <c r="G167" s="778"/>
      <c r="H167" s="778"/>
      <c r="I167" s="778"/>
      <c r="J167" s="778"/>
      <c r="K167" s="778"/>
      <c r="L167" s="778"/>
      <c r="M167" s="778"/>
      <c r="N167" s="778"/>
      <c r="O167" s="778"/>
      <c r="P167" s="778"/>
      <c r="Q167" s="778"/>
      <c r="R167" s="778"/>
      <c r="S167" s="778"/>
      <c r="T167" s="778"/>
      <c r="U167" s="778"/>
      <c r="V167" s="778"/>
      <c r="W167" s="778"/>
      <c r="X167" s="778"/>
      <c r="Y167" s="778"/>
      <c r="Z167" s="778"/>
    </row>
    <row r="168">
      <c r="A168" s="777"/>
      <c r="B168" s="777"/>
      <c r="C168" s="777"/>
      <c r="D168" s="778"/>
      <c r="E168" s="778"/>
      <c r="F168" s="778"/>
      <c r="G168" s="778"/>
      <c r="H168" s="778"/>
      <c r="I168" s="778"/>
      <c r="J168" s="778"/>
      <c r="K168" s="778"/>
      <c r="L168" s="778"/>
      <c r="M168" s="778"/>
      <c r="N168" s="778"/>
      <c r="O168" s="778"/>
      <c r="P168" s="778"/>
      <c r="Q168" s="778"/>
      <c r="R168" s="778"/>
      <c r="S168" s="778"/>
      <c r="T168" s="778"/>
      <c r="U168" s="778"/>
      <c r="V168" s="778"/>
      <c r="W168" s="778"/>
      <c r="X168" s="778"/>
      <c r="Y168" s="778"/>
      <c r="Z168" s="778"/>
    </row>
    <row r="169">
      <c r="A169" s="777"/>
      <c r="B169" s="777"/>
      <c r="C169" s="777"/>
      <c r="D169" s="778"/>
      <c r="E169" s="778"/>
      <c r="F169" s="778"/>
      <c r="G169" s="778"/>
      <c r="H169" s="778"/>
      <c r="I169" s="778"/>
      <c r="J169" s="778"/>
      <c r="K169" s="778"/>
      <c r="L169" s="778"/>
      <c r="M169" s="778"/>
      <c r="N169" s="778"/>
      <c r="O169" s="778"/>
      <c r="P169" s="778"/>
      <c r="Q169" s="778"/>
      <c r="R169" s="778"/>
      <c r="S169" s="778"/>
      <c r="T169" s="778"/>
      <c r="U169" s="778"/>
      <c r="V169" s="778"/>
      <c r="W169" s="778"/>
      <c r="X169" s="778"/>
      <c r="Y169" s="778"/>
      <c r="Z169" s="778"/>
    </row>
    <row r="170">
      <c r="A170" s="777"/>
      <c r="B170" s="777"/>
      <c r="C170" s="777"/>
      <c r="D170" s="778"/>
      <c r="E170" s="778"/>
      <c r="F170" s="778"/>
      <c r="G170" s="778"/>
      <c r="H170" s="778"/>
      <c r="I170" s="778"/>
      <c r="J170" s="778"/>
      <c r="K170" s="778"/>
      <c r="L170" s="778"/>
      <c r="M170" s="778"/>
      <c r="N170" s="778"/>
      <c r="O170" s="778"/>
      <c r="P170" s="778"/>
      <c r="Q170" s="778"/>
      <c r="R170" s="778"/>
      <c r="S170" s="778"/>
      <c r="T170" s="778"/>
      <c r="U170" s="778"/>
      <c r="V170" s="778"/>
      <c r="W170" s="778"/>
      <c r="X170" s="778"/>
      <c r="Y170" s="778"/>
      <c r="Z170" s="778"/>
    </row>
    <row r="171">
      <c r="A171" s="777"/>
      <c r="B171" s="777"/>
      <c r="C171" s="777"/>
      <c r="D171" s="778"/>
      <c r="E171" s="778"/>
      <c r="F171" s="778"/>
      <c r="G171" s="778"/>
      <c r="H171" s="778"/>
      <c r="I171" s="778"/>
      <c r="J171" s="778"/>
      <c r="K171" s="778"/>
      <c r="L171" s="778"/>
      <c r="M171" s="778"/>
      <c r="N171" s="778"/>
      <c r="O171" s="778"/>
      <c r="P171" s="778"/>
      <c r="Q171" s="778"/>
      <c r="R171" s="778"/>
      <c r="S171" s="778"/>
      <c r="T171" s="778"/>
      <c r="U171" s="778"/>
      <c r="V171" s="778"/>
      <c r="W171" s="778"/>
      <c r="X171" s="778"/>
      <c r="Y171" s="778"/>
      <c r="Z171" s="778"/>
    </row>
    <row r="172">
      <c r="A172" s="777"/>
      <c r="B172" s="777"/>
      <c r="C172" s="777"/>
      <c r="D172" s="778"/>
      <c r="E172" s="778"/>
      <c r="F172" s="778"/>
      <c r="G172" s="778"/>
      <c r="H172" s="778"/>
      <c r="I172" s="778"/>
      <c r="J172" s="778"/>
      <c r="K172" s="778"/>
      <c r="L172" s="778"/>
      <c r="M172" s="778"/>
      <c r="N172" s="778"/>
      <c r="O172" s="778"/>
      <c r="P172" s="778"/>
      <c r="Q172" s="778"/>
      <c r="R172" s="778"/>
      <c r="S172" s="778"/>
      <c r="T172" s="778"/>
      <c r="U172" s="778"/>
      <c r="V172" s="778"/>
      <c r="W172" s="778"/>
      <c r="X172" s="778"/>
      <c r="Y172" s="778"/>
      <c r="Z172" s="778"/>
    </row>
    <row r="173">
      <c r="A173" s="777"/>
      <c r="B173" s="777"/>
      <c r="C173" s="777"/>
      <c r="D173" s="778"/>
      <c r="E173" s="778"/>
      <c r="F173" s="778"/>
      <c r="G173" s="778"/>
      <c r="H173" s="778"/>
      <c r="I173" s="778"/>
      <c r="J173" s="778"/>
      <c r="K173" s="778"/>
      <c r="L173" s="778"/>
      <c r="M173" s="778"/>
      <c r="N173" s="778"/>
      <c r="O173" s="778"/>
      <c r="P173" s="778"/>
      <c r="Q173" s="778"/>
      <c r="R173" s="778"/>
      <c r="S173" s="778"/>
      <c r="T173" s="778"/>
      <c r="U173" s="778"/>
      <c r="V173" s="778"/>
      <c r="W173" s="778"/>
      <c r="X173" s="778"/>
      <c r="Y173" s="778"/>
      <c r="Z173" s="778"/>
    </row>
    <row r="174">
      <c r="A174" s="777"/>
      <c r="B174" s="777"/>
      <c r="C174" s="777"/>
      <c r="D174" s="778"/>
      <c r="E174" s="778"/>
      <c r="F174" s="778"/>
      <c r="G174" s="778"/>
      <c r="H174" s="778"/>
      <c r="I174" s="778"/>
      <c r="J174" s="778"/>
      <c r="K174" s="778"/>
      <c r="L174" s="778"/>
      <c r="M174" s="778"/>
      <c r="N174" s="778"/>
      <c r="O174" s="778"/>
      <c r="P174" s="778"/>
      <c r="Q174" s="778"/>
      <c r="R174" s="778"/>
      <c r="S174" s="778"/>
      <c r="T174" s="778"/>
      <c r="U174" s="778"/>
      <c r="V174" s="778"/>
      <c r="W174" s="778"/>
      <c r="X174" s="778"/>
      <c r="Y174" s="778"/>
      <c r="Z174" s="778"/>
    </row>
    <row r="175">
      <c r="A175" s="777"/>
      <c r="B175" s="777"/>
      <c r="C175" s="777"/>
      <c r="D175" s="778"/>
      <c r="E175" s="778"/>
      <c r="F175" s="778"/>
      <c r="G175" s="778"/>
      <c r="H175" s="778"/>
      <c r="I175" s="778"/>
      <c r="J175" s="778"/>
      <c r="K175" s="778"/>
      <c r="L175" s="778"/>
      <c r="M175" s="778"/>
      <c r="N175" s="778"/>
      <c r="O175" s="778"/>
      <c r="P175" s="778"/>
      <c r="Q175" s="778"/>
      <c r="R175" s="778"/>
      <c r="S175" s="778"/>
      <c r="T175" s="778"/>
      <c r="U175" s="778"/>
      <c r="V175" s="778"/>
      <c r="W175" s="778"/>
      <c r="X175" s="778"/>
      <c r="Y175" s="778"/>
      <c r="Z175" s="778"/>
    </row>
    <row r="176">
      <c r="A176" s="777"/>
      <c r="B176" s="777"/>
      <c r="C176" s="777"/>
      <c r="D176" s="778"/>
      <c r="E176" s="778"/>
      <c r="F176" s="778"/>
      <c r="G176" s="778"/>
      <c r="H176" s="778"/>
      <c r="I176" s="778"/>
      <c r="J176" s="778"/>
      <c r="K176" s="778"/>
      <c r="L176" s="778"/>
      <c r="M176" s="778"/>
      <c r="N176" s="778"/>
      <c r="O176" s="778"/>
      <c r="P176" s="778"/>
      <c r="Q176" s="778"/>
      <c r="R176" s="778"/>
      <c r="S176" s="778"/>
      <c r="T176" s="778"/>
      <c r="U176" s="778"/>
      <c r="V176" s="778"/>
      <c r="W176" s="778"/>
      <c r="X176" s="778"/>
      <c r="Y176" s="778"/>
      <c r="Z176" s="778"/>
    </row>
    <row r="177">
      <c r="A177" s="777"/>
      <c r="B177" s="777"/>
      <c r="C177" s="777"/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778"/>
      <c r="V177" s="778"/>
      <c r="W177" s="778"/>
      <c r="X177" s="778"/>
      <c r="Y177" s="778"/>
      <c r="Z177" s="778"/>
    </row>
    <row r="178">
      <c r="A178" s="777"/>
      <c r="B178" s="777"/>
      <c r="C178" s="777"/>
      <c r="D178" s="778"/>
      <c r="E178" s="778"/>
      <c r="F178" s="778"/>
      <c r="G178" s="778"/>
      <c r="H178" s="778"/>
      <c r="I178" s="778"/>
      <c r="J178" s="778"/>
      <c r="K178" s="778"/>
      <c r="L178" s="778"/>
      <c r="M178" s="778"/>
      <c r="N178" s="778"/>
      <c r="O178" s="778"/>
      <c r="P178" s="778"/>
      <c r="Q178" s="778"/>
      <c r="R178" s="778"/>
      <c r="S178" s="778"/>
      <c r="T178" s="778"/>
      <c r="U178" s="778"/>
      <c r="V178" s="778"/>
      <c r="W178" s="778"/>
      <c r="X178" s="778"/>
      <c r="Y178" s="778"/>
      <c r="Z178" s="778"/>
    </row>
    <row r="179">
      <c r="A179" s="777"/>
      <c r="B179" s="777"/>
      <c r="C179" s="777"/>
      <c r="D179" s="778"/>
      <c r="E179" s="778"/>
      <c r="F179" s="778"/>
      <c r="G179" s="778"/>
      <c r="H179" s="778"/>
      <c r="I179" s="778"/>
      <c r="J179" s="778"/>
      <c r="K179" s="778"/>
      <c r="L179" s="778"/>
      <c r="M179" s="778"/>
      <c r="N179" s="778"/>
      <c r="O179" s="778"/>
      <c r="P179" s="778"/>
      <c r="Q179" s="778"/>
      <c r="R179" s="778"/>
      <c r="S179" s="778"/>
      <c r="T179" s="778"/>
      <c r="U179" s="778"/>
      <c r="V179" s="778"/>
      <c r="W179" s="778"/>
      <c r="X179" s="778"/>
      <c r="Y179" s="778"/>
      <c r="Z179" s="778"/>
    </row>
    <row r="180">
      <c r="A180" s="777"/>
      <c r="B180" s="777"/>
      <c r="C180" s="777"/>
      <c r="D180" s="778"/>
      <c r="E180" s="778"/>
      <c r="F180" s="778"/>
      <c r="G180" s="778"/>
      <c r="H180" s="778"/>
      <c r="I180" s="778"/>
      <c r="J180" s="778"/>
      <c r="K180" s="778"/>
      <c r="L180" s="778"/>
      <c r="M180" s="778"/>
      <c r="N180" s="778"/>
      <c r="O180" s="778"/>
      <c r="P180" s="778"/>
      <c r="Q180" s="778"/>
      <c r="R180" s="778"/>
      <c r="S180" s="778"/>
      <c r="T180" s="778"/>
      <c r="U180" s="778"/>
      <c r="V180" s="778"/>
      <c r="W180" s="778"/>
      <c r="X180" s="778"/>
      <c r="Y180" s="778"/>
      <c r="Z180" s="778"/>
    </row>
    <row r="181">
      <c r="A181" s="777"/>
      <c r="B181" s="777"/>
      <c r="C181" s="777"/>
      <c r="D181" s="778"/>
      <c r="E181" s="778"/>
      <c r="F181" s="778"/>
      <c r="G181" s="778"/>
      <c r="H181" s="778"/>
      <c r="I181" s="778"/>
      <c r="J181" s="778"/>
      <c r="K181" s="778"/>
      <c r="L181" s="778"/>
      <c r="M181" s="778"/>
      <c r="N181" s="778"/>
      <c r="O181" s="778"/>
      <c r="P181" s="778"/>
      <c r="Q181" s="778"/>
      <c r="R181" s="778"/>
      <c r="S181" s="778"/>
      <c r="T181" s="778"/>
      <c r="U181" s="778"/>
      <c r="V181" s="778"/>
      <c r="W181" s="778"/>
      <c r="X181" s="778"/>
      <c r="Y181" s="778"/>
      <c r="Z181" s="778"/>
    </row>
    <row r="182">
      <c r="A182" s="777"/>
      <c r="B182" s="777"/>
      <c r="C182" s="777"/>
      <c r="D182" s="778"/>
      <c r="E182" s="778"/>
      <c r="F182" s="778"/>
      <c r="G182" s="778"/>
      <c r="H182" s="778"/>
      <c r="I182" s="778"/>
      <c r="J182" s="778"/>
      <c r="K182" s="778"/>
      <c r="L182" s="778"/>
      <c r="M182" s="778"/>
      <c r="N182" s="778"/>
      <c r="O182" s="778"/>
      <c r="P182" s="778"/>
      <c r="Q182" s="778"/>
      <c r="R182" s="778"/>
      <c r="S182" s="778"/>
      <c r="T182" s="778"/>
      <c r="U182" s="778"/>
      <c r="V182" s="778"/>
      <c r="W182" s="778"/>
      <c r="X182" s="778"/>
      <c r="Y182" s="778"/>
      <c r="Z182" s="778"/>
    </row>
    <row r="183">
      <c r="A183" s="777"/>
      <c r="B183" s="777"/>
      <c r="C183" s="777"/>
      <c r="D183" s="778"/>
      <c r="E183" s="778"/>
      <c r="F183" s="778"/>
      <c r="G183" s="778"/>
      <c r="H183" s="778"/>
      <c r="I183" s="778"/>
      <c r="J183" s="778"/>
      <c r="K183" s="778"/>
      <c r="L183" s="778"/>
      <c r="M183" s="778"/>
      <c r="N183" s="778"/>
      <c r="O183" s="778"/>
      <c r="P183" s="778"/>
      <c r="Q183" s="778"/>
      <c r="R183" s="778"/>
      <c r="S183" s="778"/>
      <c r="T183" s="778"/>
      <c r="U183" s="778"/>
      <c r="V183" s="778"/>
      <c r="W183" s="778"/>
      <c r="X183" s="778"/>
      <c r="Y183" s="778"/>
      <c r="Z183" s="778"/>
    </row>
    <row r="184">
      <c r="A184" s="777"/>
      <c r="B184" s="777"/>
      <c r="C184" s="777"/>
      <c r="D184" s="778"/>
      <c r="E184" s="778"/>
      <c r="F184" s="778"/>
      <c r="G184" s="778"/>
      <c r="H184" s="778"/>
      <c r="I184" s="778"/>
      <c r="J184" s="778"/>
      <c r="K184" s="778"/>
      <c r="L184" s="778"/>
      <c r="M184" s="778"/>
      <c r="N184" s="778"/>
      <c r="O184" s="778"/>
      <c r="P184" s="778"/>
      <c r="Q184" s="778"/>
      <c r="R184" s="778"/>
      <c r="S184" s="778"/>
      <c r="T184" s="778"/>
      <c r="U184" s="778"/>
      <c r="V184" s="778"/>
      <c r="W184" s="778"/>
      <c r="X184" s="778"/>
      <c r="Y184" s="778"/>
      <c r="Z184" s="778"/>
    </row>
    <row r="185">
      <c r="A185" s="777"/>
      <c r="B185" s="777"/>
      <c r="C185" s="777"/>
      <c r="D185" s="778"/>
      <c r="E185" s="778"/>
      <c r="F185" s="778"/>
      <c r="G185" s="778"/>
      <c r="H185" s="778"/>
      <c r="I185" s="778"/>
      <c r="J185" s="778"/>
      <c r="K185" s="778"/>
      <c r="L185" s="778"/>
      <c r="M185" s="778"/>
      <c r="N185" s="778"/>
      <c r="O185" s="778"/>
      <c r="P185" s="778"/>
      <c r="Q185" s="778"/>
      <c r="R185" s="778"/>
      <c r="S185" s="778"/>
      <c r="T185" s="778"/>
      <c r="U185" s="778"/>
      <c r="V185" s="778"/>
      <c r="W185" s="778"/>
      <c r="X185" s="778"/>
      <c r="Y185" s="778"/>
      <c r="Z185" s="778"/>
    </row>
    <row r="186">
      <c r="A186" s="777"/>
      <c r="B186" s="777"/>
      <c r="C186" s="777"/>
      <c r="D186" s="778"/>
      <c r="E186" s="778"/>
      <c r="F186" s="778"/>
      <c r="G186" s="778"/>
      <c r="H186" s="778"/>
      <c r="I186" s="778"/>
      <c r="J186" s="778"/>
      <c r="K186" s="778"/>
      <c r="L186" s="778"/>
      <c r="M186" s="778"/>
      <c r="N186" s="778"/>
      <c r="O186" s="778"/>
      <c r="P186" s="778"/>
      <c r="Q186" s="778"/>
      <c r="R186" s="778"/>
      <c r="S186" s="778"/>
      <c r="T186" s="778"/>
      <c r="U186" s="778"/>
      <c r="V186" s="778"/>
      <c r="W186" s="778"/>
      <c r="X186" s="778"/>
      <c r="Y186" s="778"/>
      <c r="Z186" s="778"/>
    </row>
    <row r="187">
      <c r="A187" s="777"/>
      <c r="B187" s="777"/>
      <c r="C187" s="777"/>
      <c r="D187" s="778"/>
      <c r="E187" s="778"/>
      <c r="F187" s="778"/>
      <c r="G187" s="778"/>
      <c r="H187" s="778"/>
      <c r="I187" s="778"/>
      <c r="J187" s="778"/>
      <c r="K187" s="778"/>
      <c r="L187" s="778"/>
      <c r="M187" s="778"/>
      <c r="N187" s="778"/>
      <c r="O187" s="778"/>
      <c r="P187" s="778"/>
      <c r="Q187" s="778"/>
      <c r="R187" s="778"/>
      <c r="S187" s="778"/>
      <c r="T187" s="778"/>
      <c r="U187" s="778"/>
      <c r="V187" s="778"/>
      <c r="W187" s="778"/>
      <c r="X187" s="778"/>
      <c r="Y187" s="778"/>
      <c r="Z187" s="778"/>
    </row>
    <row r="188">
      <c r="A188" s="777"/>
      <c r="B188" s="777"/>
      <c r="C188" s="777"/>
      <c r="D188" s="778"/>
      <c r="E188" s="778"/>
      <c r="F188" s="778"/>
      <c r="G188" s="778"/>
      <c r="H188" s="778"/>
      <c r="I188" s="778"/>
      <c r="J188" s="778"/>
      <c r="K188" s="778"/>
      <c r="L188" s="778"/>
      <c r="M188" s="778"/>
      <c r="N188" s="778"/>
      <c r="O188" s="778"/>
      <c r="P188" s="778"/>
      <c r="Q188" s="778"/>
      <c r="R188" s="778"/>
      <c r="S188" s="778"/>
      <c r="T188" s="778"/>
      <c r="U188" s="778"/>
      <c r="V188" s="778"/>
      <c r="W188" s="778"/>
      <c r="X188" s="778"/>
      <c r="Y188" s="778"/>
      <c r="Z188" s="778"/>
    </row>
    <row r="189">
      <c r="A189" s="777"/>
      <c r="B189" s="777"/>
      <c r="C189" s="777"/>
      <c r="D189" s="778"/>
      <c r="E189" s="778"/>
      <c r="F189" s="778"/>
      <c r="G189" s="778"/>
      <c r="H189" s="778"/>
      <c r="I189" s="778"/>
      <c r="J189" s="778"/>
      <c r="K189" s="778"/>
      <c r="L189" s="778"/>
      <c r="M189" s="778"/>
      <c r="N189" s="778"/>
      <c r="O189" s="778"/>
      <c r="P189" s="778"/>
      <c r="Q189" s="778"/>
      <c r="R189" s="778"/>
      <c r="S189" s="778"/>
      <c r="T189" s="778"/>
      <c r="U189" s="778"/>
      <c r="V189" s="778"/>
      <c r="W189" s="778"/>
      <c r="X189" s="778"/>
      <c r="Y189" s="778"/>
      <c r="Z189" s="778"/>
    </row>
    <row r="190">
      <c r="A190" s="777"/>
      <c r="B190" s="777"/>
      <c r="C190" s="777"/>
      <c r="D190" s="778"/>
      <c r="E190" s="778"/>
      <c r="F190" s="778"/>
      <c r="G190" s="778"/>
      <c r="H190" s="778"/>
      <c r="I190" s="778"/>
      <c r="J190" s="778"/>
      <c r="K190" s="778"/>
      <c r="L190" s="778"/>
      <c r="M190" s="778"/>
      <c r="N190" s="778"/>
      <c r="O190" s="778"/>
      <c r="P190" s="778"/>
      <c r="Q190" s="778"/>
      <c r="R190" s="778"/>
      <c r="S190" s="778"/>
      <c r="T190" s="778"/>
      <c r="U190" s="778"/>
      <c r="V190" s="778"/>
      <c r="W190" s="778"/>
      <c r="X190" s="778"/>
      <c r="Y190" s="778"/>
      <c r="Z190" s="778"/>
    </row>
    <row r="191">
      <c r="A191" s="777"/>
      <c r="B191" s="777"/>
      <c r="C191" s="777"/>
      <c r="D191" s="778"/>
      <c r="E191" s="778"/>
      <c r="F191" s="778"/>
      <c r="G191" s="778"/>
      <c r="H191" s="778"/>
      <c r="I191" s="778"/>
      <c r="J191" s="778"/>
      <c r="K191" s="778"/>
      <c r="L191" s="778"/>
      <c r="M191" s="778"/>
      <c r="N191" s="778"/>
      <c r="O191" s="778"/>
      <c r="P191" s="778"/>
      <c r="Q191" s="778"/>
      <c r="R191" s="778"/>
      <c r="S191" s="778"/>
      <c r="T191" s="778"/>
      <c r="U191" s="778"/>
      <c r="V191" s="778"/>
      <c r="W191" s="778"/>
      <c r="X191" s="778"/>
      <c r="Y191" s="778"/>
      <c r="Z191" s="778"/>
    </row>
    <row r="192">
      <c r="A192" s="777"/>
      <c r="B192" s="777"/>
      <c r="C192" s="777"/>
      <c r="D192" s="778"/>
      <c r="E192" s="778"/>
      <c r="F192" s="778"/>
      <c r="G192" s="778"/>
      <c r="H192" s="778"/>
      <c r="I192" s="778"/>
      <c r="J192" s="778"/>
      <c r="K192" s="778"/>
      <c r="L192" s="778"/>
      <c r="M192" s="778"/>
      <c r="N192" s="778"/>
      <c r="O192" s="778"/>
      <c r="P192" s="778"/>
      <c r="Q192" s="778"/>
      <c r="R192" s="778"/>
      <c r="S192" s="778"/>
      <c r="T192" s="778"/>
      <c r="U192" s="778"/>
      <c r="V192" s="778"/>
      <c r="W192" s="778"/>
      <c r="X192" s="778"/>
      <c r="Y192" s="778"/>
      <c r="Z192" s="778"/>
    </row>
    <row r="193">
      <c r="A193" s="777"/>
      <c r="B193" s="777"/>
      <c r="C193" s="777"/>
      <c r="D193" s="778"/>
      <c r="E193" s="778"/>
      <c r="F193" s="778"/>
      <c r="G193" s="778"/>
      <c r="H193" s="778"/>
      <c r="I193" s="778"/>
      <c r="J193" s="778"/>
      <c r="K193" s="778"/>
      <c r="L193" s="778"/>
      <c r="M193" s="778"/>
      <c r="N193" s="778"/>
      <c r="O193" s="778"/>
      <c r="P193" s="778"/>
      <c r="Q193" s="778"/>
      <c r="R193" s="778"/>
      <c r="S193" s="778"/>
      <c r="T193" s="778"/>
      <c r="U193" s="778"/>
      <c r="V193" s="778"/>
      <c r="W193" s="778"/>
      <c r="X193" s="778"/>
      <c r="Y193" s="778"/>
      <c r="Z193" s="778"/>
    </row>
    <row r="194">
      <c r="A194" s="777"/>
      <c r="B194" s="777"/>
      <c r="C194" s="777"/>
      <c r="D194" s="778"/>
      <c r="E194" s="778"/>
      <c r="F194" s="778"/>
      <c r="G194" s="778"/>
      <c r="H194" s="778"/>
      <c r="I194" s="778"/>
      <c r="J194" s="778"/>
      <c r="K194" s="778"/>
      <c r="L194" s="778"/>
      <c r="M194" s="778"/>
      <c r="N194" s="778"/>
      <c r="O194" s="778"/>
      <c r="P194" s="778"/>
      <c r="Q194" s="778"/>
      <c r="R194" s="778"/>
      <c r="S194" s="778"/>
      <c r="T194" s="778"/>
      <c r="U194" s="778"/>
      <c r="V194" s="778"/>
      <c r="W194" s="778"/>
      <c r="X194" s="778"/>
      <c r="Y194" s="778"/>
      <c r="Z194" s="778"/>
    </row>
    <row r="195">
      <c r="A195" s="777"/>
      <c r="B195" s="777"/>
      <c r="C195" s="777"/>
      <c r="D195" s="778"/>
      <c r="E195" s="778"/>
      <c r="F195" s="778"/>
      <c r="G195" s="778"/>
      <c r="H195" s="778"/>
      <c r="I195" s="778"/>
      <c r="J195" s="778"/>
      <c r="K195" s="778"/>
      <c r="L195" s="778"/>
      <c r="M195" s="778"/>
      <c r="N195" s="778"/>
      <c r="O195" s="778"/>
      <c r="P195" s="778"/>
      <c r="Q195" s="778"/>
      <c r="R195" s="778"/>
      <c r="S195" s="778"/>
      <c r="T195" s="778"/>
      <c r="U195" s="778"/>
      <c r="V195" s="778"/>
      <c r="W195" s="778"/>
      <c r="X195" s="778"/>
      <c r="Y195" s="778"/>
      <c r="Z195" s="778"/>
    </row>
    <row r="196">
      <c r="A196" s="777"/>
      <c r="B196" s="777"/>
      <c r="C196" s="777"/>
      <c r="D196" s="778"/>
      <c r="E196" s="778"/>
      <c r="F196" s="778"/>
      <c r="G196" s="778"/>
      <c r="H196" s="778"/>
      <c r="I196" s="778"/>
      <c r="J196" s="778"/>
      <c r="K196" s="778"/>
      <c r="L196" s="778"/>
      <c r="M196" s="778"/>
      <c r="N196" s="778"/>
      <c r="O196" s="778"/>
      <c r="P196" s="778"/>
      <c r="Q196" s="778"/>
      <c r="R196" s="778"/>
      <c r="S196" s="778"/>
      <c r="T196" s="778"/>
      <c r="U196" s="778"/>
      <c r="V196" s="778"/>
      <c r="W196" s="778"/>
      <c r="X196" s="778"/>
      <c r="Y196" s="778"/>
      <c r="Z196" s="778"/>
    </row>
    <row r="197">
      <c r="A197" s="777"/>
      <c r="B197" s="777"/>
      <c r="C197" s="777"/>
      <c r="D197" s="778"/>
      <c r="E197" s="778"/>
      <c r="F197" s="778"/>
      <c r="G197" s="778"/>
      <c r="H197" s="778"/>
      <c r="I197" s="778"/>
      <c r="J197" s="778"/>
      <c r="K197" s="778"/>
      <c r="L197" s="778"/>
      <c r="M197" s="778"/>
      <c r="N197" s="778"/>
      <c r="O197" s="778"/>
      <c r="P197" s="778"/>
      <c r="Q197" s="778"/>
      <c r="R197" s="778"/>
      <c r="S197" s="778"/>
      <c r="T197" s="778"/>
      <c r="U197" s="778"/>
      <c r="V197" s="778"/>
      <c r="W197" s="778"/>
      <c r="X197" s="778"/>
      <c r="Y197" s="778"/>
      <c r="Z197" s="778"/>
    </row>
    <row r="198">
      <c r="A198" s="777"/>
      <c r="B198" s="777"/>
      <c r="C198" s="777"/>
      <c r="D198" s="778"/>
      <c r="E198" s="778"/>
      <c r="F198" s="778"/>
      <c r="G198" s="778"/>
      <c r="H198" s="778"/>
      <c r="I198" s="778"/>
      <c r="J198" s="778"/>
      <c r="K198" s="778"/>
      <c r="L198" s="778"/>
      <c r="M198" s="778"/>
      <c r="N198" s="778"/>
      <c r="O198" s="778"/>
      <c r="P198" s="778"/>
      <c r="Q198" s="778"/>
      <c r="R198" s="778"/>
      <c r="S198" s="778"/>
      <c r="T198" s="778"/>
      <c r="U198" s="778"/>
      <c r="V198" s="778"/>
      <c r="W198" s="778"/>
      <c r="X198" s="778"/>
      <c r="Y198" s="778"/>
      <c r="Z198" s="778"/>
    </row>
    <row r="199">
      <c r="A199" s="777"/>
      <c r="B199" s="777"/>
      <c r="C199" s="777"/>
      <c r="D199" s="778"/>
      <c r="E199" s="778"/>
      <c r="F199" s="778"/>
      <c r="G199" s="778"/>
      <c r="H199" s="778"/>
      <c r="I199" s="778"/>
      <c r="J199" s="778"/>
      <c r="K199" s="778"/>
      <c r="L199" s="778"/>
      <c r="M199" s="778"/>
      <c r="N199" s="778"/>
      <c r="O199" s="778"/>
      <c r="P199" s="778"/>
      <c r="Q199" s="778"/>
      <c r="R199" s="778"/>
      <c r="S199" s="778"/>
      <c r="T199" s="778"/>
      <c r="U199" s="778"/>
      <c r="V199" s="778"/>
      <c r="W199" s="778"/>
      <c r="X199" s="778"/>
      <c r="Y199" s="778"/>
      <c r="Z199" s="778"/>
    </row>
    <row r="200">
      <c r="A200" s="777"/>
      <c r="B200" s="777"/>
      <c r="C200" s="777"/>
      <c r="D200" s="778"/>
      <c r="E200" s="778"/>
      <c r="F200" s="778"/>
      <c r="G200" s="778"/>
      <c r="H200" s="778"/>
      <c r="I200" s="778"/>
      <c r="J200" s="778"/>
      <c r="K200" s="778"/>
      <c r="L200" s="778"/>
      <c r="M200" s="778"/>
      <c r="N200" s="778"/>
      <c r="O200" s="778"/>
      <c r="P200" s="778"/>
      <c r="Q200" s="778"/>
      <c r="R200" s="778"/>
      <c r="S200" s="778"/>
      <c r="T200" s="778"/>
      <c r="U200" s="778"/>
      <c r="V200" s="778"/>
      <c r="W200" s="778"/>
      <c r="X200" s="778"/>
      <c r="Y200" s="778"/>
      <c r="Z200" s="778"/>
    </row>
    <row r="201">
      <c r="A201" s="777"/>
      <c r="B201" s="777"/>
      <c r="C201" s="777"/>
      <c r="D201" s="778"/>
      <c r="E201" s="778"/>
      <c r="F201" s="778"/>
      <c r="G201" s="778"/>
      <c r="H201" s="778"/>
      <c r="I201" s="778"/>
      <c r="J201" s="778"/>
      <c r="K201" s="778"/>
      <c r="L201" s="778"/>
      <c r="M201" s="778"/>
      <c r="N201" s="778"/>
      <c r="O201" s="778"/>
      <c r="P201" s="778"/>
      <c r="Q201" s="778"/>
      <c r="R201" s="778"/>
      <c r="S201" s="778"/>
      <c r="T201" s="778"/>
      <c r="U201" s="778"/>
      <c r="V201" s="778"/>
      <c r="W201" s="778"/>
      <c r="X201" s="778"/>
      <c r="Y201" s="778"/>
      <c r="Z201" s="778"/>
    </row>
    <row r="202">
      <c r="A202" s="777"/>
      <c r="B202" s="777"/>
      <c r="C202" s="777"/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778"/>
      <c r="V202" s="778"/>
      <c r="W202" s="778"/>
      <c r="X202" s="778"/>
      <c r="Y202" s="778"/>
      <c r="Z202" s="778"/>
    </row>
    <row r="203">
      <c r="A203" s="777"/>
      <c r="B203" s="777"/>
      <c r="C203" s="777"/>
      <c r="D203" s="778"/>
      <c r="E203" s="778"/>
      <c r="F203" s="778"/>
      <c r="G203" s="778"/>
      <c r="H203" s="778"/>
      <c r="I203" s="778"/>
      <c r="J203" s="778"/>
      <c r="K203" s="778"/>
      <c r="L203" s="778"/>
      <c r="M203" s="778"/>
      <c r="N203" s="778"/>
      <c r="O203" s="778"/>
      <c r="P203" s="778"/>
      <c r="Q203" s="778"/>
      <c r="R203" s="778"/>
      <c r="S203" s="778"/>
      <c r="T203" s="778"/>
      <c r="U203" s="778"/>
      <c r="V203" s="778"/>
      <c r="W203" s="778"/>
      <c r="X203" s="778"/>
      <c r="Y203" s="778"/>
      <c r="Z203" s="778"/>
    </row>
    <row r="204">
      <c r="A204" s="777"/>
      <c r="B204" s="777"/>
      <c r="C204" s="777"/>
      <c r="D204" s="778"/>
      <c r="E204" s="778"/>
      <c r="F204" s="778"/>
      <c r="G204" s="778"/>
      <c r="H204" s="778"/>
      <c r="I204" s="778"/>
      <c r="J204" s="778"/>
      <c r="K204" s="778"/>
      <c r="L204" s="778"/>
      <c r="M204" s="778"/>
      <c r="N204" s="778"/>
      <c r="O204" s="778"/>
      <c r="P204" s="778"/>
      <c r="Q204" s="778"/>
      <c r="R204" s="778"/>
      <c r="S204" s="778"/>
      <c r="T204" s="778"/>
      <c r="U204" s="778"/>
      <c r="V204" s="778"/>
      <c r="W204" s="778"/>
      <c r="X204" s="778"/>
      <c r="Y204" s="778"/>
      <c r="Z204" s="778"/>
    </row>
    <row r="205">
      <c r="A205" s="777"/>
      <c r="B205" s="777"/>
      <c r="C205" s="777"/>
      <c r="D205" s="778"/>
      <c r="E205" s="778"/>
      <c r="F205" s="778"/>
      <c r="G205" s="778"/>
      <c r="H205" s="778"/>
      <c r="I205" s="778"/>
      <c r="J205" s="778"/>
      <c r="K205" s="778"/>
      <c r="L205" s="778"/>
      <c r="M205" s="778"/>
      <c r="N205" s="778"/>
      <c r="O205" s="778"/>
      <c r="P205" s="778"/>
      <c r="Q205" s="778"/>
      <c r="R205" s="778"/>
      <c r="S205" s="778"/>
      <c r="T205" s="778"/>
      <c r="U205" s="778"/>
      <c r="V205" s="778"/>
      <c r="W205" s="778"/>
      <c r="X205" s="778"/>
      <c r="Y205" s="778"/>
      <c r="Z205" s="778"/>
    </row>
    <row r="206">
      <c r="A206" s="777"/>
      <c r="B206" s="777"/>
      <c r="C206" s="777"/>
      <c r="D206" s="778"/>
      <c r="E206" s="778"/>
      <c r="F206" s="778"/>
      <c r="G206" s="778"/>
      <c r="H206" s="778"/>
      <c r="I206" s="778"/>
      <c r="J206" s="778"/>
      <c r="K206" s="778"/>
      <c r="L206" s="778"/>
      <c r="M206" s="778"/>
      <c r="N206" s="778"/>
      <c r="O206" s="778"/>
      <c r="P206" s="778"/>
      <c r="Q206" s="778"/>
      <c r="R206" s="778"/>
      <c r="S206" s="778"/>
      <c r="T206" s="778"/>
      <c r="U206" s="778"/>
      <c r="V206" s="778"/>
      <c r="W206" s="778"/>
      <c r="X206" s="778"/>
      <c r="Y206" s="778"/>
      <c r="Z206" s="778"/>
    </row>
    <row r="207">
      <c r="A207" s="777"/>
      <c r="B207" s="777"/>
      <c r="C207" s="777"/>
      <c r="D207" s="778"/>
      <c r="E207" s="778"/>
      <c r="F207" s="778"/>
      <c r="G207" s="778"/>
      <c r="H207" s="778"/>
      <c r="I207" s="778"/>
      <c r="J207" s="778"/>
      <c r="K207" s="778"/>
      <c r="L207" s="778"/>
      <c r="M207" s="778"/>
      <c r="N207" s="778"/>
      <c r="O207" s="778"/>
      <c r="P207" s="778"/>
      <c r="Q207" s="778"/>
      <c r="R207" s="778"/>
      <c r="S207" s="778"/>
      <c r="T207" s="778"/>
      <c r="U207" s="778"/>
      <c r="V207" s="778"/>
      <c r="W207" s="778"/>
      <c r="X207" s="778"/>
      <c r="Y207" s="778"/>
      <c r="Z207" s="778"/>
    </row>
    <row r="208">
      <c r="A208" s="777"/>
      <c r="B208" s="777"/>
      <c r="C208" s="777"/>
      <c r="D208" s="778"/>
      <c r="E208" s="778"/>
      <c r="F208" s="778"/>
      <c r="G208" s="778"/>
      <c r="H208" s="778"/>
      <c r="I208" s="778"/>
      <c r="J208" s="778"/>
      <c r="K208" s="778"/>
      <c r="L208" s="778"/>
      <c r="M208" s="778"/>
      <c r="N208" s="778"/>
      <c r="O208" s="778"/>
      <c r="P208" s="778"/>
      <c r="Q208" s="778"/>
      <c r="R208" s="778"/>
      <c r="S208" s="778"/>
      <c r="T208" s="778"/>
      <c r="U208" s="778"/>
      <c r="V208" s="778"/>
      <c r="W208" s="778"/>
      <c r="X208" s="778"/>
      <c r="Y208" s="778"/>
      <c r="Z208" s="778"/>
    </row>
    <row r="209">
      <c r="A209" s="777"/>
      <c r="B209" s="777"/>
      <c r="C209" s="777"/>
      <c r="D209" s="778"/>
      <c r="E209" s="778"/>
      <c r="F209" s="778"/>
      <c r="G209" s="778"/>
      <c r="H209" s="778"/>
      <c r="I209" s="778"/>
      <c r="J209" s="778"/>
      <c r="K209" s="778"/>
      <c r="L209" s="778"/>
      <c r="M209" s="778"/>
      <c r="N209" s="778"/>
      <c r="O209" s="778"/>
      <c r="P209" s="778"/>
      <c r="Q209" s="778"/>
      <c r="R209" s="778"/>
      <c r="S209" s="778"/>
      <c r="T209" s="778"/>
      <c r="U209" s="778"/>
      <c r="V209" s="778"/>
      <c r="W209" s="778"/>
      <c r="X209" s="778"/>
      <c r="Y209" s="778"/>
      <c r="Z209" s="778"/>
    </row>
    <row r="210">
      <c r="A210" s="777"/>
      <c r="B210" s="777"/>
      <c r="C210" s="777"/>
      <c r="D210" s="778"/>
      <c r="E210" s="778"/>
      <c r="F210" s="778"/>
      <c r="G210" s="778"/>
      <c r="H210" s="778"/>
      <c r="I210" s="778"/>
      <c r="J210" s="778"/>
      <c r="K210" s="778"/>
      <c r="L210" s="778"/>
      <c r="M210" s="778"/>
      <c r="N210" s="778"/>
      <c r="O210" s="778"/>
      <c r="P210" s="778"/>
      <c r="Q210" s="778"/>
      <c r="R210" s="778"/>
      <c r="S210" s="778"/>
      <c r="T210" s="778"/>
      <c r="U210" s="778"/>
      <c r="V210" s="778"/>
      <c r="W210" s="778"/>
      <c r="X210" s="778"/>
      <c r="Y210" s="778"/>
      <c r="Z210" s="778"/>
    </row>
    <row r="211">
      <c r="A211" s="777"/>
      <c r="B211" s="777"/>
      <c r="C211" s="777"/>
      <c r="D211" s="778"/>
      <c r="E211" s="778"/>
      <c r="F211" s="778"/>
      <c r="G211" s="778"/>
      <c r="H211" s="778"/>
      <c r="I211" s="778"/>
      <c r="J211" s="778"/>
      <c r="K211" s="778"/>
      <c r="L211" s="778"/>
      <c r="M211" s="778"/>
      <c r="N211" s="778"/>
      <c r="O211" s="778"/>
      <c r="P211" s="778"/>
      <c r="Q211" s="778"/>
      <c r="R211" s="778"/>
      <c r="S211" s="778"/>
      <c r="T211" s="778"/>
      <c r="U211" s="778"/>
      <c r="V211" s="778"/>
      <c r="W211" s="778"/>
      <c r="X211" s="778"/>
      <c r="Y211" s="778"/>
      <c r="Z211" s="778"/>
    </row>
    <row r="212">
      <c r="A212" s="777"/>
      <c r="B212" s="777"/>
      <c r="C212" s="777"/>
      <c r="D212" s="778"/>
      <c r="E212" s="778"/>
      <c r="F212" s="778"/>
      <c r="G212" s="778"/>
      <c r="H212" s="778"/>
      <c r="I212" s="778"/>
      <c r="J212" s="778"/>
      <c r="K212" s="778"/>
      <c r="L212" s="778"/>
      <c r="M212" s="778"/>
      <c r="N212" s="778"/>
      <c r="O212" s="778"/>
      <c r="P212" s="778"/>
      <c r="Q212" s="778"/>
      <c r="R212" s="778"/>
      <c r="S212" s="778"/>
      <c r="T212" s="778"/>
      <c r="U212" s="778"/>
      <c r="V212" s="778"/>
      <c r="W212" s="778"/>
      <c r="X212" s="778"/>
      <c r="Y212" s="778"/>
      <c r="Z212" s="778"/>
    </row>
    <row r="213">
      <c r="A213" s="777"/>
      <c r="B213" s="777"/>
      <c r="C213" s="777"/>
      <c r="D213" s="778"/>
      <c r="E213" s="778"/>
      <c r="F213" s="778"/>
      <c r="G213" s="778"/>
      <c r="H213" s="778"/>
      <c r="I213" s="778"/>
      <c r="J213" s="778"/>
      <c r="K213" s="778"/>
      <c r="L213" s="778"/>
      <c r="M213" s="778"/>
      <c r="N213" s="778"/>
      <c r="O213" s="778"/>
      <c r="P213" s="778"/>
      <c r="Q213" s="778"/>
      <c r="R213" s="778"/>
      <c r="S213" s="778"/>
      <c r="T213" s="778"/>
      <c r="U213" s="778"/>
      <c r="V213" s="778"/>
      <c r="W213" s="778"/>
      <c r="X213" s="778"/>
      <c r="Y213" s="778"/>
      <c r="Z213" s="778"/>
    </row>
    <row r="214">
      <c r="A214" s="777"/>
      <c r="B214" s="777"/>
      <c r="C214" s="777"/>
      <c r="D214" s="778"/>
      <c r="E214" s="778"/>
      <c r="F214" s="778"/>
      <c r="G214" s="778"/>
      <c r="H214" s="778"/>
      <c r="I214" s="778"/>
      <c r="J214" s="778"/>
      <c r="K214" s="778"/>
      <c r="L214" s="778"/>
      <c r="M214" s="778"/>
      <c r="N214" s="778"/>
      <c r="O214" s="778"/>
      <c r="P214" s="778"/>
      <c r="Q214" s="778"/>
      <c r="R214" s="778"/>
      <c r="S214" s="778"/>
      <c r="T214" s="778"/>
      <c r="U214" s="778"/>
      <c r="V214" s="778"/>
      <c r="W214" s="778"/>
      <c r="X214" s="778"/>
      <c r="Y214" s="778"/>
      <c r="Z214" s="778"/>
    </row>
    <row r="215">
      <c r="A215" s="777"/>
      <c r="B215" s="777"/>
      <c r="C215" s="777"/>
      <c r="D215" s="778"/>
      <c r="E215" s="778"/>
      <c r="F215" s="778"/>
      <c r="G215" s="778"/>
      <c r="H215" s="778"/>
      <c r="I215" s="778"/>
      <c r="J215" s="778"/>
      <c r="K215" s="778"/>
      <c r="L215" s="778"/>
      <c r="M215" s="778"/>
      <c r="N215" s="778"/>
      <c r="O215" s="778"/>
      <c r="P215" s="778"/>
      <c r="Q215" s="778"/>
      <c r="R215" s="778"/>
      <c r="S215" s="778"/>
      <c r="T215" s="778"/>
      <c r="U215" s="778"/>
      <c r="V215" s="778"/>
      <c r="W215" s="778"/>
      <c r="X215" s="778"/>
      <c r="Y215" s="778"/>
      <c r="Z215" s="778"/>
    </row>
    <row r="216">
      <c r="A216" s="777"/>
      <c r="B216" s="777"/>
      <c r="C216" s="777"/>
      <c r="D216" s="778"/>
      <c r="E216" s="778"/>
      <c r="F216" s="778"/>
      <c r="G216" s="778"/>
      <c r="H216" s="778"/>
      <c r="I216" s="778"/>
      <c r="J216" s="778"/>
      <c r="K216" s="778"/>
      <c r="L216" s="778"/>
      <c r="M216" s="778"/>
      <c r="N216" s="778"/>
      <c r="O216" s="778"/>
      <c r="P216" s="778"/>
      <c r="Q216" s="778"/>
      <c r="R216" s="778"/>
      <c r="S216" s="778"/>
      <c r="T216" s="778"/>
      <c r="U216" s="778"/>
      <c r="V216" s="778"/>
      <c r="W216" s="778"/>
      <c r="X216" s="778"/>
      <c r="Y216" s="778"/>
      <c r="Z216" s="778"/>
    </row>
    <row r="217">
      <c r="A217" s="777"/>
      <c r="B217" s="777"/>
      <c r="C217" s="777"/>
      <c r="D217" s="778"/>
      <c r="E217" s="778"/>
      <c r="F217" s="778"/>
      <c r="G217" s="778"/>
      <c r="H217" s="778"/>
      <c r="I217" s="778"/>
      <c r="J217" s="778"/>
      <c r="K217" s="778"/>
      <c r="L217" s="778"/>
      <c r="M217" s="778"/>
      <c r="N217" s="778"/>
      <c r="O217" s="778"/>
      <c r="P217" s="778"/>
      <c r="Q217" s="778"/>
      <c r="R217" s="778"/>
      <c r="S217" s="778"/>
      <c r="T217" s="778"/>
      <c r="U217" s="778"/>
      <c r="V217" s="778"/>
      <c r="W217" s="778"/>
      <c r="X217" s="778"/>
      <c r="Y217" s="778"/>
      <c r="Z217" s="778"/>
    </row>
    <row r="218">
      <c r="A218" s="777"/>
      <c r="B218" s="777"/>
      <c r="C218" s="777"/>
      <c r="D218" s="778"/>
      <c r="E218" s="778"/>
      <c r="F218" s="778"/>
      <c r="G218" s="778"/>
      <c r="H218" s="778"/>
      <c r="I218" s="778"/>
      <c r="J218" s="778"/>
      <c r="K218" s="778"/>
      <c r="L218" s="778"/>
      <c r="M218" s="778"/>
      <c r="N218" s="778"/>
      <c r="O218" s="778"/>
      <c r="P218" s="778"/>
      <c r="Q218" s="778"/>
      <c r="R218" s="778"/>
      <c r="S218" s="778"/>
      <c r="T218" s="778"/>
      <c r="U218" s="778"/>
      <c r="V218" s="778"/>
      <c r="W218" s="778"/>
      <c r="X218" s="778"/>
      <c r="Y218" s="778"/>
      <c r="Z218" s="778"/>
    </row>
    <row r="219">
      <c r="A219" s="777"/>
      <c r="B219" s="777"/>
      <c r="C219" s="777"/>
      <c r="D219" s="778"/>
      <c r="E219" s="778"/>
      <c r="F219" s="778"/>
      <c r="G219" s="778"/>
      <c r="H219" s="778"/>
      <c r="I219" s="778"/>
      <c r="J219" s="778"/>
      <c r="K219" s="778"/>
      <c r="L219" s="778"/>
      <c r="M219" s="778"/>
      <c r="N219" s="778"/>
      <c r="O219" s="778"/>
      <c r="P219" s="778"/>
      <c r="Q219" s="778"/>
      <c r="R219" s="778"/>
      <c r="S219" s="778"/>
      <c r="T219" s="778"/>
      <c r="U219" s="778"/>
      <c r="V219" s="778"/>
      <c r="W219" s="778"/>
      <c r="X219" s="778"/>
      <c r="Y219" s="778"/>
      <c r="Z219" s="778"/>
    </row>
    <row r="220">
      <c r="A220" s="777"/>
      <c r="B220" s="777"/>
      <c r="C220" s="777"/>
      <c r="D220" s="778"/>
      <c r="E220" s="778"/>
      <c r="F220" s="778"/>
      <c r="G220" s="778"/>
      <c r="H220" s="778"/>
      <c r="I220" s="778"/>
      <c r="J220" s="778"/>
      <c r="K220" s="778"/>
      <c r="L220" s="778"/>
      <c r="M220" s="778"/>
      <c r="N220" s="778"/>
      <c r="O220" s="778"/>
      <c r="P220" s="778"/>
      <c r="Q220" s="778"/>
      <c r="R220" s="778"/>
      <c r="S220" s="778"/>
      <c r="T220" s="778"/>
      <c r="U220" s="778"/>
      <c r="V220" s="778"/>
      <c r="W220" s="778"/>
      <c r="X220" s="778"/>
      <c r="Y220" s="778"/>
      <c r="Z220" s="778"/>
    </row>
    <row r="221">
      <c r="A221" s="777"/>
      <c r="B221" s="777"/>
      <c r="C221" s="777"/>
      <c r="D221" s="778"/>
      <c r="E221" s="778"/>
      <c r="F221" s="778"/>
      <c r="G221" s="778"/>
      <c r="H221" s="778"/>
      <c r="I221" s="778"/>
      <c r="J221" s="778"/>
      <c r="K221" s="778"/>
      <c r="L221" s="778"/>
      <c r="M221" s="778"/>
      <c r="N221" s="778"/>
      <c r="O221" s="778"/>
      <c r="P221" s="778"/>
      <c r="Q221" s="778"/>
      <c r="R221" s="778"/>
      <c r="S221" s="778"/>
      <c r="T221" s="778"/>
      <c r="U221" s="778"/>
      <c r="V221" s="778"/>
      <c r="W221" s="778"/>
      <c r="X221" s="778"/>
      <c r="Y221" s="778"/>
      <c r="Z221" s="778"/>
    </row>
    <row r="222">
      <c r="A222" s="777"/>
      <c r="B222" s="777"/>
      <c r="C222" s="777"/>
      <c r="D222" s="778"/>
      <c r="E222" s="778"/>
      <c r="F222" s="778"/>
      <c r="G222" s="778"/>
      <c r="H222" s="778"/>
      <c r="I222" s="778"/>
      <c r="J222" s="778"/>
      <c r="K222" s="778"/>
      <c r="L222" s="778"/>
      <c r="M222" s="778"/>
      <c r="N222" s="778"/>
      <c r="O222" s="778"/>
      <c r="P222" s="778"/>
      <c r="Q222" s="778"/>
      <c r="R222" s="778"/>
      <c r="S222" s="778"/>
      <c r="T222" s="778"/>
      <c r="U222" s="778"/>
      <c r="V222" s="778"/>
      <c r="W222" s="778"/>
      <c r="X222" s="778"/>
      <c r="Y222" s="778"/>
      <c r="Z222" s="778"/>
    </row>
    <row r="223">
      <c r="A223" s="777"/>
      <c r="B223" s="777"/>
      <c r="C223" s="777"/>
      <c r="D223" s="778"/>
      <c r="E223" s="778"/>
      <c r="F223" s="778"/>
      <c r="G223" s="778"/>
      <c r="H223" s="778"/>
      <c r="I223" s="778"/>
      <c r="J223" s="778"/>
      <c r="K223" s="778"/>
      <c r="L223" s="778"/>
      <c r="M223" s="778"/>
      <c r="N223" s="778"/>
      <c r="O223" s="778"/>
      <c r="P223" s="778"/>
      <c r="Q223" s="778"/>
      <c r="R223" s="778"/>
      <c r="S223" s="778"/>
      <c r="T223" s="778"/>
      <c r="U223" s="778"/>
      <c r="V223" s="778"/>
      <c r="W223" s="778"/>
      <c r="X223" s="778"/>
      <c r="Y223" s="778"/>
      <c r="Z223" s="778"/>
    </row>
    <row r="224">
      <c r="A224" s="777"/>
      <c r="B224" s="777"/>
      <c r="C224" s="777"/>
      <c r="D224" s="778"/>
      <c r="E224" s="778"/>
      <c r="F224" s="778"/>
      <c r="G224" s="778"/>
      <c r="H224" s="778"/>
      <c r="I224" s="778"/>
      <c r="J224" s="778"/>
      <c r="K224" s="778"/>
      <c r="L224" s="778"/>
      <c r="M224" s="778"/>
      <c r="N224" s="778"/>
      <c r="O224" s="778"/>
      <c r="P224" s="778"/>
      <c r="Q224" s="778"/>
      <c r="R224" s="778"/>
      <c r="S224" s="778"/>
      <c r="T224" s="778"/>
      <c r="U224" s="778"/>
      <c r="V224" s="778"/>
      <c r="W224" s="778"/>
      <c r="X224" s="778"/>
      <c r="Y224" s="778"/>
      <c r="Z224" s="778"/>
    </row>
    <row r="225">
      <c r="A225" s="777"/>
      <c r="B225" s="777"/>
      <c r="C225" s="777"/>
      <c r="D225" s="778"/>
      <c r="E225" s="778"/>
      <c r="F225" s="778"/>
      <c r="G225" s="778"/>
      <c r="H225" s="778"/>
      <c r="I225" s="778"/>
      <c r="J225" s="778"/>
      <c r="K225" s="778"/>
      <c r="L225" s="778"/>
      <c r="M225" s="778"/>
      <c r="N225" s="778"/>
      <c r="O225" s="778"/>
      <c r="P225" s="778"/>
      <c r="Q225" s="778"/>
      <c r="R225" s="778"/>
      <c r="S225" s="778"/>
      <c r="T225" s="778"/>
      <c r="U225" s="778"/>
      <c r="V225" s="778"/>
      <c r="W225" s="778"/>
      <c r="X225" s="778"/>
      <c r="Y225" s="778"/>
      <c r="Z225" s="778"/>
    </row>
    <row r="226">
      <c r="A226" s="777"/>
      <c r="B226" s="777"/>
      <c r="C226" s="777"/>
      <c r="D226" s="778"/>
      <c r="E226" s="778"/>
      <c r="F226" s="778"/>
      <c r="G226" s="778"/>
      <c r="H226" s="778"/>
      <c r="I226" s="778"/>
      <c r="J226" s="778"/>
      <c r="K226" s="778"/>
      <c r="L226" s="778"/>
      <c r="M226" s="778"/>
      <c r="N226" s="778"/>
      <c r="O226" s="778"/>
      <c r="P226" s="778"/>
      <c r="Q226" s="778"/>
      <c r="R226" s="778"/>
      <c r="S226" s="778"/>
      <c r="T226" s="778"/>
      <c r="U226" s="778"/>
      <c r="V226" s="778"/>
      <c r="W226" s="778"/>
      <c r="X226" s="778"/>
      <c r="Y226" s="778"/>
      <c r="Z226" s="778"/>
    </row>
    <row r="227">
      <c r="A227" s="777"/>
      <c r="B227" s="777"/>
      <c r="C227" s="777"/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778"/>
      <c r="V227" s="778"/>
      <c r="W227" s="778"/>
      <c r="X227" s="778"/>
      <c r="Y227" s="778"/>
      <c r="Z227" s="778"/>
    </row>
    <row r="228">
      <c r="A228" s="777"/>
      <c r="B228" s="777"/>
      <c r="C228" s="777"/>
      <c r="D228" s="778"/>
      <c r="E228" s="778"/>
      <c r="F228" s="778"/>
      <c r="G228" s="778"/>
      <c r="H228" s="778"/>
      <c r="I228" s="778"/>
      <c r="J228" s="778"/>
      <c r="K228" s="778"/>
      <c r="L228" s="778"/>
      <c r="M228" s="778"/>
      <c r="N228" s="778"/>
      <c r="O228" s="778"/>
      <c r="P228" s="778"/>
      <c r="Q228" s="778"/>
      <c r="R228" s="778"/>
      <c r="S228" s="778"/>
      <c r="T228" s="778"/>
      <c r="U228" s="778"/>
      <c r="V228" s="778"/>
      <c r="W228" s="778"/>
      <c r="X228" s="778"/>
      <c r="Y228" s="778"/>
      <c r="Z228" s="778"/>
    </row>
    <row r="229">
      <c r="A229" s="777"/>
      <c r="B229" s="777"/>
      <c r="C229" s="777"/>
      <c r="D229" s="778"/>
      <c r="E229" s="778"/>
      <c r="F229" s="778"/>
      <c r="G229" s="778"/>
      <c r="H229" s="778"/>
      <c r="I229" s="778"/>
      <c r="J229" s="778"/>
      <c r="K229" s="778"/>
      <c r="L229" s="778"/>
      <c r="M229" s="778"/>
      <c r="N229" s="778"/>
      <c r="O229" s="778"/>
      <c r="P229" s="778"/>
      <c r="Q229" s="778"/>
      <c r="R229" s="778"/>
      <c r="S229" s="778"/>
      <c r="T229" s="778"/>
      <c r="U229" s="778"/>
      <c r="V229" s="778"/>
      <c r="W229" s="778"/>
      <c r="X229" s="778"/>
      <c r="Y229" s="778"/>
      <c r="Z229" s="778"/>
    </row>
    <row r="230">
      <c r="A230" s="777"/>
      <c r="B230" s="777"/>
      <c r="C230" s="777"/>
      <c r="D230" s="778"/>
      <c r="E230" s="778"/>
      <c r="F230" s="778"/>
      <c r="G230" s="778"/>
      <c r="H230" s="778"/>
      <c r="I230" s="778"/>
      <c r="J230" s="778"/>
      <c r="K230" s="778"/>
      <c r="L230" s="778"/>
      <c r="M230" s="778"/>
      <c r="N230" s="778"/>
      <c r="O230" s="778"/>
      <c r="P230" s="778"/>
      <c r="Q230" s="778"/>
      <c r="R230" s="778"/>
      <c r="S230" s="778"/>
      <c r="T230" s="778"/>
      <c r="U230" s="778"/>
      <c r="V230" s="778"/>
      <c r="W230" s="778"/>
      <c r="X230" s="778"/>
      <c r="Y230" s="778"/>
      <c r="Z230" s="778"/>
    </row>
    <row r="231">
      <c r="A231" s="777"/>
      <c r="B231" s="777"/>
      <c r="C231" s="777"/>
      <c r="D231" s="778"/>
      <c r="E231" s="778"/>
      <c r="F231" s="778"/>
      <c r="G231" s="778"/>
      <c r="H231" s="778"/>
      <c r="I231" s="778"/>
      <c r="J231" s="778"/>
      <c r="K231" s="778"/>
      <c r="L231" s="778"/>
      <c r="M231" s="778"/>
      <c r="N231" s="778"/>
      <c r="O231" s="778"/>
      <c r="P231" s="778"/>
      <c r="Q231" s="778"/>
      <c r="R231" s="778"/>
      <c r="S231" s="778"/>
      <c r="T231" s="778"/>
      <c r="U231" s="778"/>
      <c r="V231" s="778"/>
      <c r="W231" s="778"/>
      <c r="X231" s="778"/>
      <c r="Y231" s="778"/>
      <c r="Z231" s="778"/>
    </row>
    <row r="232">
      <c r="A232" s="777"/>
      <c r="B232" s="777"/>
      <c r="C232" s="777"/>
      <c r="D232" s="778"/>
      <c r="E232" s="778"/>
      <c r="F232" s="778"/>
      <c r="G232" s="778"/>
      <c r="H232" s="778"/>
      <c r="I232" s="778"/>
      <c r="J232" s="778"/>
      <c r="K232" s="778"/>
      <c r="L232" s="778"/>
      <c r="M232" s="778"/>
      <c r="N232" s="778"/>
      <c r="O232" s="778"/>
      <c r="P232" s="778"/>
      <c r="Q232" s="778"/>
      <c r="R232" s="778"/>
      <c r="S232" s="778"/>
      <c r="T232" s="778"/>
      <c r="U232" s="778"/>
      <c r="V232" s="778"/>
      <c r="W232" s="778"/>
      <c r="X232" s="778"/>
      <c r="Y232" s="778"/>
      <c r="Z232" s="778"/>
    </row>
    <row r="233">
      <c r="A233" s="777"/>
      <c r="B233" s="777"/>
      <c r="C233" s="777"/>
      <c r="D233" s="778"/>
      <c r="E233" s="778"/>
      <c r="F233" s="778"/>
      <c r="G233" s="778"/>
      <c r="H233" s="778"/>
      <c r="I233" s="778"/>
      <c r="J233" s="778"/>
      <c r="K233" s="778"/>
      <c r="L233" s="778"/>
      <c r="M233" s="778"/>
      <c r="N233" s="778"/>
      <c r="O233" s="778"/>
      <c r="P233" s="778"/>
      <c r="Q233" s="778"/>
      <c r="R233" s="778"/>
      <c r="S233" s="778"/>
      <c r="T233" s="778"/>
      <c r="U233" s="778"/>
      <c r="V233" s="778"/>
      <c r="W233" s="778"/>
      <c r="X233" s="778"/>
      <c r="Y233" s="778"/>
      <c r="Z233" s="778"/>
    </row>
    <row r="234">
      <c r="A234" s="777"/>
      <c r="B234" s="777"/>
      <c r="C234" s="777"/>
      <c r="D234" s="778"/>
      <c r="E234" s="778"/>
      <c r="F234" s="778"/>
      <c r="G234" s="778"/>
      <c r="H234" s="778"/>
      <c r="I234" s="778"/>
      <c r="J234" s="778"/>
      <c r="K234" s="778"/>
      <c r="L234" s="778"/>
      <c r="M234" s="778"/>
      <c r="N234" s="778"/>
      <c r="O234" s="778"/>
      <c r="P234" s="778"/>
      <c r="Q234" s="778"/>
      <c r="R234" s="778"/>
      <c r="S234" s="778"/>
      <c r="T234" s="778"/>
      <c r="U234" s="778"/>
      <c r="V234" s="778"/>
      <c r="W234" s="778"/>
      <c r="X234" s="778"/>
      <c r="Y234" s="778"/>
      <c r="Z234" s="778"/>
    </row>
    <row r="235">
      <c r="A235" s="777"/>
      <c r="B235" s="777"/>
      <c r="C235" s="777"/>
      <c r="D235" s="778"/>
      <c r="E235" s="778"/>
      <c r="F235" s="778"/>
      <c r="G235" s="778"/>
      <c r="H235" s="778"/>
      <c r="I235" s="778"/>
      <c r="J235" s="778"/>
      <c r="K235" s="778"/>
      <c r="L235" s="778"/>
      <c r="M235" s="778"/>
      <c r="N235" s="778"/>
      <c r="O235" s="778"/>
      <c r="P235" s="778"/>
      <c r="Q235" s="778"/>
      <c r="R235" s="778"/>
      <c r="S235" s="778"/>
      <c r="T235" s="778"/>
      <c r="U235" s="778"/>
      <c r="V235" s="778"/>
      <c r="W235" s="778"/>
      <c r="X235" s="778"/>
      <c r="Y235" s="778"/>
      <c r="Z235" s="778"/>
    </row>
    <row r="236">
      <c r="A236" s="777"/>
      <c r="B236" s="777"/>
      <c r="C236" s="777"/>
      <c r="D236" s="778"/>
      <c r="E236" s="778"/>
      <c r="F236" s="778"/>
      <c r="G236" s="778"/>
      <c r="H236" s="778"/>
      <c r="I236" s="778"/>
      <c r="J236" s="778"/>
      <c r="K236" s="778"/>
      <c r="L236" s="778"/>
      <c r="M236" s="778"/>
      <c r="N236" s="778"/>
      <c r="O236" s="778"/>
      <c r="P236" s="778"/>
      <c r="Q236" s="778"/>
      <c r="R236" s="778"/>
      <c r="S236" s="778"/>
      <c r="T236" s="778"/>
      <c r="U236" s="778"/>
      <c r="V236" s="778"/>
      <c r="W236" s="778"/>
      <c r="X236" s="778"/>
      <c r="Y236" s="778"/>
      <c r="Z236" s="778"/>
    </row>
    <row r="237">
      <c r="A237" s="777"/>
      <c r="B237" s="777"/>
      <c r="C237" s="777"/>
      <c r="D237" s="778"/>
      <c r="E237" s="778"/>
      <c r="F237" s="778"/>
      <c r="G237" s="778"/>
      <c r="H237" s="778"/>
      <c r="I237" s="778"/>
      <c r="J237" s="778"/>
      <c r="K237" s="778"/>
      <c r="L237" s="778"/>
      <c r="M237" s="778"/>
      <c r="N237" s="778"/>
      <c r="O237" s="778"/>
      <c r="P237" s="778"/>
      <c r="Q237" s="778"/>
      <c r="R237" s="778"/>
      <c r="S237" s="778"/>
      <c r="T237" s="778"/>
      <c r="U237" s="778"/>
      <c r="V237" s="778"/>
      <c r="W237" s="778"/>
      <c r="X237" s="778"/>
      <c r="Y237" s="778"/>
      <c r="Z237" s="778"/>
    </row>
    <row r="238">
      <c r="A238" s="777"/>
      <c r="B238" s="777"/>
      <c r="C238" s="777"/>
      <c r="D238" s="778"/>
      <c r="E238" s="778"/>
      <c r="F238" s="778"/>
      <c r="G238" s="778"/>
      <c r="H238" s="778"/>
      <c r="I238" s="778"/>
      <c r="J238" s="778"/>
      <c r="K238" s="778"/>
      <c r="L238" s="778"/>
      <c r="M238" s="778"/>
      <c r="N238" s="778"/>
      <c r="O238" s="778"/>
      <c r="P238" s="778"/>
      <c r="Q238" s="778"/>
      <c r="R238" s="778"/>
      <c r="S238" s="778"/>
      <c r="T238" s="778"/>
      <c r="U238" s="778"/>
      <c r="V238" s="778"/>
      <c r="W238" s="778"/>
      <c r="X238" s="778"/>
      <c r="Y238" s="778"/>
      <c r="Z238" s="778"/>
    </row>
    <row r="239">
      <c r="A239" s="777"/>
      <c r="B239" s="777"/>
      <c r="C239" s="777"/>
      <c r="D239" s="778"/>
      <c r="E239" s="778"/>
      <c r="F239" s="778"/>
      <c r="G239" s="778"/>
      <c r="H239" s="778"/>
      <c r="I239" s="778"/>
      <c r="J239" s="778"/>
      <c r="K239" s="778"/>
      <c r="L239" s="778"/>
      <c r="M239" s="778"/>
      <c r="N239" s="778"/>
      <c r="O239" s="778"/>
      <c r="P239" s="778"/>
      <c r="Q239" s="778"/>
      <c r="R239" s="778"/>
      <c r="S239" s="778"/>
      <c r="T239" s="778"/>
      <c r="U239" s="778"/>
      <c r="V239" s="778"/>
      <c r="W239" s="778"/>
      <c r="X239" s="778"/>
      <c r="Y239" s="778"/>
      <c r="Z239" s="778"/>
    </row>
    <row r="240">
      <c r="A240" s="777"/>
      <c r="B240" s="777"/>
      <c r="C240" s="777"/>
      <c r="D240" s="778"/>
      <c r="E240" s="778"/>
      <c r="F240" s="778"/>
      <c r="G240" s="778"/>
      <c r="H240" s="778"/>
      <c r="I240" s="778"/>
      <c r="J240" s="778"/>
      <c r="K240" s="778"/>
      <c r="L240" s="778"/>
      <c r="M240" s="778"/>
      <c r="N240" s="778"/>
      <c r="O240" s="778"/>
      <c r="P240" s="778"/>
      <c r="Q240" s="778"/>
      <c r="R240" s="778"/>
      <c r="S240" s="778"/>
      <c r="T240" s="778"/>
      <c r="U240" s="778"/>
      <c r="V240" s="778"/>
      <c r="W240" s="778"/>
      <c r="X240" s="778"/>
      <c r="Y240" s="778"/>
      <c r="Z240" s="778"/>
    </row>
    <row r="241">
      <c r="A241" s="777"/>
      <c r="B241" s="777"/>
      <c r="C241" s="777"/>
      <c r="D241" s="778"/>
      <c r="E241" s="778"/>
      <c r="F241" s="778"/>
      <c r="G241" s="778"/>
      <c r="H241" s="778"/>
      <c r="I241" s="778"/>
      <c r="J241" s="778"/>
      <c r="K241" s="778"/>
      <c r="L241" s="778"/>
      <c r="M241" s="778"/>
      <c r="N241" s="778"/>
      <c r="O241" s="778"/>
      <c r="P241" s="778"/>
      <c r="Q241" s="778"/>
      <c r="R241" s="778"/>
      <c r="S241" s="778"/>
      <c r="T241" s="778"/>
      <c r="U241" s="778"/>
      <c r="V241" s="778"/>
      <c r="W241" s="778"/>
      <c r="X241" s="778"/>
      <c r="Y241" s="778"/>
      <c r="Z241" s="778"/>
    </row>
    <row r="242">
      <c r="A242" s="777"/>
      <c r="B242" s="777"/>
      <c r="C242" s="777"/>
      <c r="D242" s="778"/>
      <c r="E242" s="778"/>
      <c r="F242" s="778"/>
      <c r="G242" s="778"/>
      <c r="H242" s="778"/>
      <c r="I242" s="778"/>
      <c r="J242" s="778"/>
      <c r="K242" s="778"/>
      <c r="L242" s="778"/>
      <c r="M242" s="778"/>
      <c r="N242" s="778"/>
      <c r="O242" s="778"/>
      <c r="P242" s="778"/>
      <c r="Q242" s="778"/>
      <c r="R242" s="778"/>
      <c r="S242" s="778"/>
      <c r="T242" s="778"/>
      <c r="U242" s="778"/>
      <c r="V242" s="778"/>
      <c r="W242" s="778"/>
      <c r="X242" s="778"/>
      <c r="Y242" s="778"/>
      <c r="Z242" s="778"/>
    </row>
    <row r="243">
      <c r="A243" s="777"/>
      <c r="B243" s="777"/>
      <c r="C243" s="777"/>
      <c r="D243" s="778"/>
      <c r="E243" s="778"/>
      <c r="F243" s="778"/>
      <c r="G243" s="778"/>
      <c r="H243" s="778"/>
      <c r="I243" s="778"/>
      <c r="J243" s="778"/>
      <c r="K243" s="778"/>
      <c r="L243" s="778"/>
      <c r="M243" s="778"/>
      <c r="N243" s="778"/>
      <c r="O243" s="778"/>
      <c r="P243" s="778"/>
      <c r="Q243" s="778"/>
      <c r="R243" s="778"/>
      <c r="S243" s="778"/>
      <c r="T243" s="778"/>
      <c r="U243" s="778"/>
      <c r="V243" s="778"/>
      <c r="W243" s="778"/>
      <c r="X243" s="778"/>
      <c r="Y243" s="778"/>
      <c r="Z243" s="778"/>
    </row>
    <row r="244">
      <c r="A244" s="777"/>
      <c r="B244" s="777"/>
      <c r="C244" s="777"/>
      <c r="D244" s="778"/>
      <c r="E244" s="778"/>
      <c r="F244" s="778"/>
      <c r="G244" s="778"/>
      <c r="H244" s="778"/>
      <c r="I244" s="778"/>
      <c r="J244" s="778"/>
      <c r="K244" s="778"/>
      <c r="L244" s="778"/>
      <c r="M244" s="778"/>
      <c r="N244" s="778"/>
      <c r="O244" s="778"/>
      <c r="P244" s="778"/>
      <c r="Q244" s="778"/>
      <c r="R244" s="778"/>
      <c r="S244" s="778"/>
      <c r="T244" s="778"/>
      <c r="U244" s="778"/>
      <c r="V244" s="778"/>
      <c r="W244" s="778"/>
      <c r="X244" s="778"/>
      <c r="Y244" s="778"/>
      <c r="Z244" s="778"/>
    </row>
    <row r="245">
      <c r="A245" s="777"/>
      <c r="B245" s="777"/>
      <c r="C245" s="777"/>
      <c r="D245" s="778"/>
      <c r="E245" s="778"/>
      <c r="F245" s="778"/>
      <c r="G245" s="778"/>
      <c r="H245" s="778"/>
      <c r="I245" s="778"/>
      <c r="J245" s="778"/>
      <c r="K245" s="778"/>
      <c r="L245" s="778"/>
      <c r="M245" s="778"/>
      <c r="N245" s="778"/>
      <c r="O245" s="778"/>
      <c r="P245" s="778"/>
      <c r="Q245" s="778"/>
      <c r="R245" s="778"/>
      <c r="S245" s="778"/>
      <c r="T245" s="778"/>
      <c r="U245" s="778"/>
      <c r="V245" s="778"/>
      <c r="W245" s="778"/>
      <c r="X245" s="778"/>
      <c r="Y245" s="778"/>
      <c r="Z245" s="778"/>
    </row>
    <row r="246">
      <c r="A246" s="777"/>
      <c r="B246" s="777"/>
      <c r="C246" s="777"/>
      <c r="D246" s="778"/>
      <c r="E246" s="778"/>
      <c r="F246" s="778"/>
      <c r="G246" s="778"/>
      <c r="H246" s="778"/>
      <c r="I246" s="778"/>
      <c r="J246" s="778"/>
      <c r="K246" s="778"/>
      <c r="L246" s="778"/>
      <c r="M246" s="778"/>
      <c r="N246" s="778"/>
      <c r="O246" s="778"/>
      <c r="P246" s="778"/>
      <c r="Q246" s="778"/>
      <c r="R246" s="778"/>
      <c r="S246" s="778"/>
      <c r="T246" s="778"/>
      <c r="U246" s="778"/>
      <c r="V246" s="778"/>
      <c r="W246" s="778"/>
      <c r="X246" s="778"/>
      <c r="Y246" s="778"/>
      <c r="Z246" s="778"/>
    </row>
    <row r="247">
      <c r="A247" s="777"/>
      <c r="B247" s="777"/>
      <c r="C247" s="777"/>
      <c r="D247" s="778"/>
      <c r="E247" s="778"/>
      <c r="F247" s="778"/>
      <c r="G247" s="778"/>
      <c r="H247" s="778"/>
      <c r="I247" s="778"/>
      <c r="J247" s="778"/>
      <c r="K247" s="778"/>
      <c r="L247" s="778"/>
      <c r="M247" s="778"/>
      <c r="N247" s="778"/>
      <c r="O247" s="778"/>
      <c r="P247" s="778"/>
      <c r="Q247" s="778"/>
      <c r="R247" s="778"/>
      <c r="S247" s="778"/>
      <c r="T247" s="778"/>
      <c r="U247" s="778"/>
      <c r="V247" s="778"/>
      <c r="W247" s="778"/>
      <c r="X247" s="778"/>
      <c r="Y247" s="778"/>
      <c r="Z247" s="778"/>
    </row>
    <row r="248">
      <c r="A248" s="777"/>
      <c r="B248" s="777"/>
      <c r="C248" s="777"/>
      <c r="D248" s="778"/>
      <c r="E248" s="778"/>
      <c r="F248" s="778"/>
      <c r="G248" s="778"/>
      <c r="H248" s="778"/>
      <c r="I248" s="778"/>
      <c r="J248" s="778"/>
      <c r="K248" s="778"/>
      <c r="L248" s="778"/>
      <c r="M248" s="778"/>
      <c r="N248" s="778"/>
      <c r="O248" s="778"/>
      <c r="P248" s="778"/>
      <c r="Q248" s="778"/>
      <c r="R248" s="778"/>
      <c r="S248" s="778"/>
      <c r="T248" s="778"/>
      <c r="U248" s="778"/>
      <c r="V248" s="778"/>
      <c r="W248" s="778"/>
      <c r="X248" s="778"/>
      <c r="Y248" s="778"/>
      <c r="Z248" s="778"/>
    </row>
    <row r="249">
      <c r="A249" s="777"/>
      <c r="B249" s="777"/>
      <c r="C249" s="777"/>
      <c r="D249" s="778"/>
      <c r="E249" s="778"/>
      <c r="F249" s="778"/>
      <c r="G249" s="778"/>
      <c r="H249" s="778"/>
      <c r="I249" s="778"/>
      <c r="J249" s="778"/>
      <c r="K249" s="778"/>
      <c r="L249" s="778"/>
      <c r="M249" s="778"/>
      <c r="N249" s="778"/>
      <c r="O249" s="778"/>
      <c r="P249" s="778"/>
      <c r="Q249" s="778"/>
      <c r="R249" s="778"/>
      <c r="S249" s="778"/>
      <c r="T249" s="778"/>
      <c r="U249" s="778"/>
      <c r="V249" s="778"/>
      <c r="W249" s="778"/>
      <c r="X249" s="778"/>
      <c r="Y249" s="778"/>
      <c r="Z249" s="778"/>
    </row>
    <row r="250">
      <c r="A250" s="777"/>
      <c r="B250" s="777"/>
      <c r="C250" s="777"/>
      <c r="D250" s="778"/>
      <c r="E250" s="778"/>
      <c r="F250" s="778"/>
      <c r="G250" s="778"/>
      <c r="H250" s="778"/>
      <c r="I250" s="778"/>
      <c r="J250" s="778"/>
      <c r="K250" s="778"/>
      <c r="L250" s="778"/>
      <c r="M250" s="778"/>
      <c r="N250" s="778"/>
      <c r="O250" s="778"/>
      <c r="P250" s="778"/>
      <c r="Q250" s="778"/>
      <c r="R250" s="778"/>
      <c r="S250" s="778"/>
      <c r="T250" s="778"/>
      <c r="U250" s="778"/>
      <c r="V250" s="778"/>
      <c r="W250" s="778"/>
      <c r="X250" s="778"/>
      <c r="Y250" s="778"/>
      <c r="Z250" s="778"/>
    </row>
    <row r="251">
      <c r="A251" s="777"/>
      <c r="B251" s="777"/>
      <c r="C251" s="777"/>
      <c r="D251" s="778"/>
      <c r="E251" s="778"/>
      <c r="F251" s="778"/>
      <c r="G251" s="778"/>
      <c r="H251" s="778"/>
      <c r="I251" s="778"/>
      <c r="J251" s="778"/>
      <c r="K251" s="778"/>
      <c r="L251" s="778"/>
      <c r="M251" s="778"/>
      <c r="N251" s="778"/>
      <c r="O251" s="778"/>
      <c r="P251" s="778"/>
      <c r="Q251" s="778"/>
      <c r="R251" s="778"/>
      <c r="S251" s="778"/>
      <c r="T251" s="778"/>
      <c r="U251" s="778"/>
      <c r="V251" s="778"/>
      <c r="W251" s="778"/>
      <c r="X251" s="778"/>
      <c r="Y251" s="778"/>
      <c r="Z251" s="778"/>
    </row>
    <row r="252">
      <c r="A252" s="777"/>
      <c r="B252" s="777"/>
      <c r="C252" s="777"/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778"/>
      <c r="V252" s="778"/>
      <c r="W252" s="778"/>
      <c r="X252" s="778"/>
      <c r="Y252" s="778"/>
      <c r="Z252" s="778"/>
    </row>
    <row r="253">
      <c r="A253" s="777"/>
      <c r="B253" s="777"/>
      <c r="C253" s="777"/>
      <c r="D253" s="778"/>
      <c r="E253" s="778"/>
      <c r="F253" s="778"/>
      <c r="G253" s="778"/>
      <c r="H253" s="778"/>
      <c r="I253" s="778"/>
      <c r="J253" s="778"/>
      <c r="K253" s="778"/>
      <c r="L253" s="778"/>
      <c r="M253" s="778"/>
      <c r="N253" s="778"/>
      <c r="O253" s="778"/>
      <c r="P253" s="778"/>
      <c r="Q253" s="778"/>
      <c r="R253" s="778"/>
      <c r="S253" s="778"/>
      <c r="T253" s="778"/>
      <c r="U253" s="778"/>
      <c r="V253" s="778"/>
      <c r="W253" s="778"/>
      <c r="X253" s="778"/>
      <c r="Y253" s="778"/>
      <c r="Z253" s="778"/>
    </row>
    <row r="254">
      <c r="A254" s="777"/>
      <c r="B254" s="777"/>
      <c r="C254" s="777"/>
      <c r="D254" s="778"/>
      <c r="E254" s="778"/>
      <c r="F254" s="778"/>
      <c r="G254" s="778"/>
      <c r="H254" s="778"/>
      <c r="I254" s="778"/>
      <c r="J254" s="778"/>
      <c r="K254" s="778"/>
      <c r="L254" s="778"/>
      <c r="M254" s="778"/>
      <c r="N254" s="778"/>
      <c r="O254" s="778"/>
      <c r="P254" s="778"/>
      <c r="Q254" s="778"/>
      <c r="R254" s="778"/>
      <c r="S254" s="778"/>
      <c r="T254" s="778"/>
      <c r="U254" s="778"/>
      <c r="V254" s="778"/>
      <c r="W254" s="778"/>
      <c r="X254" s="778"/>
      <c r="Y254" s="778"/>
      <c r="Z254" s="778"/>
    </row>
    <row r="255">
      <c r="A255" s="777"/>
      <c r="B255" s="777"/>
      <c r="C255" s="777"/>
      <c r="D255" s="778"/>
      <c r="E255" s="778"/>
      <c r="F255" s="778"/>
      <c r="G255" s="778"/>
      <c r="H255" s="778"/>
      <c r="I255" s="778"/>
      <c r="J255" s="778"/>
      <c r="K255" s="778"/>
      <c r="L255" s="778"/>
      <c r="M255" s="778"/>
      <c r="N255" s="778"/>
      <c r="O255" s="778"/>
      <c r="P255" s="778"/>
      <c r="Q255" s="778"/>
      <c r="R255" s="778"/>
      <c r="S255" s="778"/>
      <c r="T255" s="778"/>
      <c r="U255" s="778"/>
      <c r="V255" s="778"/>
      <c r="W255" s="778"/>
      <c r="X255" s="778"/>
      <c r="Y255" s="778"/>
      <c r="Z255" s="778"/>
    </row>
    <row r="256">
      <c r="A256" s="777"/>
      <c r="B256" s="777"/>
      <c r="C256" s="777"/>
      <c r="D256" s="778"/>
      <c r="E256" s="778"/>
      <c r="F256" s="778"/>
      <c r="G256" s="778"/>
      <c r="H256" s="778"/>
      <c r="I256" s="778"/>
      <c r="J256" s="778"/>
      <c r="K256" s="778"/>
      <c r="L256" s="778"/>
      <c r="M256" s="778"/>
      <c r="N256" s="778"/>
      <c r="O256" s="778"/>
      <c r="P256" s="778"/>
      <c r="Q256" s="778"/>
      <c r="R256" s="778"/>
      <c r="S256" s="778"/>
      <c r="T256" s="778"/>
      <c r="U256" s="778"/>
      <c r="V256" s="778"/>
      <c r="W256" s="778"/>
      <c r="X256" s="778"/>
      <c r="Y256" s="778"/>
      <c r="Z256" s="778"/>
    </row>
    <row r="257">
      <c r="A257" s="777"/>
      <c r="B257" s="777"/>
      <c r="C257" s="777"/>
      <c r="D257" s="778"/>
      <c r="E257" s="778"/>
      <c r="F257" s="778"/>
      <c r="G257" s="778"/>
      <c r="H257" s="778"/>
      <c r="I257" s="778"/>
      <c r="J257" s="778"/>
      <c r="K257" s="778"/>
      <c r="L257" s="778"/>
      <c r="M257" s="778"/>
      <c r="N257" s="778"/>
      <c r="O257" s="778"/>
      <c r="P257" s="778"/>
      <c r="Q257" s="778"/>
      <c r="R257" s="778"/>
      <c r="S257" s="778"/>
      <c r="T257" s="778"/>
      <c r="U257" s="778"/>
      <c r="V257" s="778"/>
      <c r="W257" s="778"/>
      <c r="X257" s="778"/>
      <c r="Y257" s="778"/>
      <c r="Z257" s="778"/>
    </row>
    <row r="258">
      <c r="A258" s="777"/>
      <c r="B258" s="777"/>
      <c r="C258" s="777"/>
      <c r="D258" s="778"/>
      <c r="E258" s="778"/>
      <c r="F258" s="778"/>
      <c r="G258" s="778"/>
      <c r="H258" s="778"/>
      <c r="I258" s="778"/>
      <c r="J258" s="778"/>
      <c r="K258" s="778"/>
      <c r="L258" s="778"/>
      <c r="M258" s="778"/>
      <c r="N258" s="778"/>
      <c r="O258" s="778"/>
      <c r="P258" s="778"/>
      <c r="Q258" s="778"/>
      <c r="R258" s="778"/>
      <c r="S258" s="778"/>
      <c r="T258" s="778"/>
      <c r="U258" s="778"/>
      <c r="V258" s="778"/>
      <c r="W258" s="778"/>
      <c r="X258" s="778"/>
      <c r="Y258" s="778"/>
      <c r="Z258" s="778"/>
    </row>
    <row r="259">
      <c r="A259" s="777"/>
      <c r="B259" s="777"/>
      <c r="C259" s="777"/>
      <c r="D259" s="778"/>
      <c r="E259" s="778"/>
      <c r="F259" s="778"/>
      <c r="G259" s="778"/>
      <c r="H259" s="778"/>
      <c r="I259" s="778"/>
      <c r="J259" s="778"/>
      <c r="K259" s="778"/>
      <c r="L259" s="778"/>
      <c r="M259" s="778"/>
      <c r="N259" s="778"/>
      <c r="O259" s="778"/>
      <c r="P259" s="778"/>
      <c r="Q259" s="778"/>
      <c r="R259" s="778"/>
      <c r="S259" s="778"/>
      <c r="T259" s="778"/>
      <c r="U259" s="778"/>
      <c r="V259" s="778"/>
      <c r="W259" s="778"/>
      <c r="X259" s="778"/>
      <c r="Y259" s="778"/>
      <c r="Z259" s="778"/>
    </row>
    <row r="260">
      <c r="A260" s="777"/>
      <c r="B260" s="777"/>
      <c r="C260" s="777"/>
      <c r="D260" s="778"/>
      <c r="E260" s="778"/>
      <c r="F260" s="778"/>
      <c r="G260" s="778"/>
      <c r="H260" s="778"/>
      <c r="I260" s="778"/>
      <c r="J260" s="778"/>
      <c r="K260" s="778"/>
      <c r="L260" s="778"/>
      <c r="M260" s="778"/>
      <c r="N260" s="778"/>
      <c r="O260" s="778"/>
      <c r="P260" s="778"/>
      <c r="Q260" s="778"/>
      <c r="R260" s="778"/>
      <c r="S260" s="778"/>
      <c r="T260" s="778"/>
      <c r="U260" s="778"/>
      <c r="V260" s="778"/>
      <c r="W260" s="778"/>
      <c r="X260" s="778"/>
      <c r="Y260" s="778"/>
      <c r="Z260" s="778"/>
    </row>
    <row r="261">
      <c r="A261" s="777"/>
      <c r="B261" s="777"/>
      <c r="C261" s="777"/>
      <c r="D261" s="778"/>
      <c r="E261" s="778"/>
      <c r="F261" s="778"/>
      <c r="G261" s="778"/>
      <c r="H261" s="778"/>
      <c r="I261" s="778"/>
      <c r="J261" s="778"/>
      <c r="K261" s="778"/>
      <c r="L261" s="778"/>
      <c r="M261" s="778"/>
      <c r="N261" s="778"/>
      <c r="O261" s="778"/>
      <c r="P261" s="778"/>
      <c r="Q261" s="778"/>
      <c r="R261" s="778"/>
      <c r="S261" s="778"/>
      <c r="T261" s="778"/>
      <c r="U261" s="778"/>
      <c r="V261" s="778"/>
      <c r="W261" s="778"/>
      <c r="X261" s="778"/>
      <c r="Y261" s="778"/>
      <c r="Z261" s="778"/>
    </row>
    <row r="262">
      <c r="A262" s="777"/>
      <c r="B262" s="777"/>
      <c r="C262" s="777"/>
      <c r="D262" s="778"/>
      <c r="E262" s="778"/>
      <c r="F262" s="778"/>
      <c r="G262" s="778"/>
      <c r="H262" s="778"/>
      <c r="I262" s="778"/>
      <c r="J262" s="778"/>
      <c r="K262" s="778"/>
      <c r="L262" s="778"/>
      <c r="M262" s="778"/>
      <c r="N262" s="778"/>
      <c r="O262" s="778"/>
      <c r="P262" s="778"/>
      <c r="Q262" s="778"/>
      <c r="R262" s="778"/>
      <c r="S262" s="778"/>
      <c r="T262" s="778"/>
      <c r="U262" s="778"/>
      <c r="V262" s="778"/>
      <c r="W262" s="778"/>
      <c r="X262" s="778"/>
      <c r="Y262" s="778"/>
      <c r="Z262" s="778"/>
    </row>
    <row r="263">
      <c r="A263" s="777"/>
      <c r="B263" s="777"/>
      <c r="C263" s="777"/>
      <c r="D263" s="778"/>
      <c r="E263" s="778"/>
      <c r="F263" s="778"/>
      <c r="G263" s="778"/>
      <c r="H263" s="778"/>
      <c r="I263" s="778"/>
      <c r="J263" s="778"/>
      <c r="K263" s="778"/>
      <c r="L263" s="778"/>
      <c r="M263" s="778"/>
      <c r="N263" s="778"/>
      <c r="O263" s="778"/>
      <c r="P263" s="778"/>
      <c r="Q263" s="778"/>
      <c r="R263" s="778"/>
      <c r="S263" s="778"/>
      <c r="T263" s="778"/>
      <c r="U263" s="778"/>
      <c r="V263" s="778"/>
      <c r="W263" s="778"/>
      <c r="X263" s="778"/>
      <c r="Y263" s="778"/>
      <c r="Z263" s="778"/>
    </row>
    <row r="264">
      <c r="A264" s="777"/>
      <c r="B264" s="777"/>
      <c r="C264" s="777"/>
      <c r="D264" s="778"/>
      <c r="E264" s="778"/>
      <c r="F264" s="778"/>
      <c r="G264" s="778"/>
      <c r="H264" s="778"/>
      <c r="I264" s="778"/>
      <c r="J264" s="778"/>
      <c r="K264" s="778"/>
      <c r="L264" s="778"/>
      <c r="M264" s="778"/>
      <c r="N264" s="778"/>
      <c r="O264" s="778"/>
      <c r="P264" s="778"/>
      <c r="Q264" s="778"/>
      <c r="R264" s="778"/>
      <c r="S264" s="778"/>
      <c r="T264" s="778"/>
      <c r="U264" s="778"/>
      <c r="V264" s="778"/>
      <c r="W264" s="778"/>
      <c r="X264" s="778"/>
      <c r="Y264" s="778"/>
      <c r="Z264" s="778"/>
    </row>
    <row r="265">
      <c r="A265" s="777"/>
      <c r="B265" s="777"/>
      <c r="C265" s="777"/>
      <c r="D265" s="778"/>
      <c r="E265" s="778"/>
      <c r="F265" s="778"/>
      <c r="G265" s="778"/>
      <c r="H265" s="778"/>
      <c r="I265" s="778"/>
      <c r="J265" s="778"/>
      <c r="K265" s="778"/>
      <c r="L265" s="778"/>
      <c r="M265" s="778"/>
      <c r="N265" s="778"/>
      <c r="O265" s="778"/>
      <c r="P265" s="778"/>
      <c r="Q265" s="778"/>
      <c r="R265" s="778"/>
      <c r="S265" s="778"/>
      <c r="T265" s="778"/>
      <c r="U265" s="778"/>
      <c r="V265" s="778"/>
      <c r="W265" s="778"/>
      <c r="X265" s="778"/>
      <c r="Y265" s="778"/>
      <c r="Z265" s="778"/>
    </row>
    <row r="266">
      <c r="A266" s="777"/>
      <c r="B266" s="777"/>
      <c r="C266" s="777"/>
      <c r="D266" s="778"/>
      <c r="E266" s="778"/>
      <c r="F266" s="778"/>
      <c r="G266" s="778"/>
      <c r="H266" s="778"/>
      <c r="I266" s="778"/>
      <c r="J266" s="778"/>
      <c r="K266" s="778"/>
      <c r="L266" s="778"/>
      <c r="M266" s="778"/>
      <c r="N266" s="778"/>
      <c r="O266" s="778"/>
      <c r="P266" s="778"/>
      <c r="Q266" s="778"/>
      <c r="R266" s="778"/>
      <c r="S266" s="778"/>
      <c r="T266" s="778"/>
      <c r="U266" s="778"/>
      <c r="V266" s="778"/>
      <c r="W266" s="778"/>
      <c r="X266" s="778"/>
      <c r="Y266" s="778"/>
      <c r="Z266" s="778"/>
    </row>
    <row r="267">
      <c r="A267" s="777"/>
      <c r="B267" s="777"/>
      <c r="C267" s="777"/>
      <c r="D267" s="778"/>
      <c r="E267" s="778"/>
      <c r="F267" s="778"/>
      <c r="G267" s="778"/>
      <c r="H267" s="778"/>
      <c r="I267" s="778"/>
      <c r="J267" s="778"/>
      <c r="K267" s="778"/>
      <c r="L267" s="778"/>
      <c r="M267" s="778"/>
      <c r="N267" s="778"/>
      <c r="O267" s="778"/>
      <c r="P267" s="778"/>
      <c r="Q267" s="778"/>
      <c r="R267" s="778"/>
      <c r="S267" s="778"/>
      <c r="T267" s="778"/>
      <c r="U267" s="778"/>
      <c r="V267" s="778"/>
      <c r="W267" s="778"/>
      <c r="X267" s="778"/>
      <c r="Y267" s="778"/>
      <c r="Z267" s="778"/>
    </row>
    <row r="268">
      <c r="A268" s="777"/>
      <c r="B268" s="777"/>
      <c r="C268" s="777"/>
      <c r="D268" s="778"/>
      <c r="E268" s="778"/>
      <c r="F268" s="778"/>
      <c r="G268" s="778"/>
      <c r="H268" s="778"/>
      <c r="I268" s="778"/>
      <c r="J268" s="778"/>
      <c r="K268" s="778"/>
      <c r="L268" s="778"/>
      <c r="M268" s="778"/>
      <c r="N268" s="778"/>
      <c r="O268" s="778"/>
      <c r="P268" s="778"/>
      <c r="Q268" s="778"/>
      <c r="R268" s="778"/>
      <c r="S268" s="778"/>
      <c r="T268" s="778"/>
      <c r="U268" s="778"/>
      <c r="V268" s="778"/>
      <c r="W268" s="778"/>
      <c r="X268" s="778"/>
      <c r="Y268" s="778"/>
      <c r="Z268" s="778"/>
    </row>
    <row r="269">
      <c r="A269" s="777"/>
      <c r="B269" s="777"/>
      <c r="C269" s="777"/>
      <c r="D269" s="778"/>
      <c r="E269" s="778"/>
      <c r="F269" s="778"/>
      <c r="G269" s="778"/>
      <c r="H269" s="778"/>
      <c r="I269" s="778"/>
      <c r="J269" s="778"/>
      <c r="K269" s="778"/>
      <c r="L269" s="778"/>
      <c r="M269" s="778"/>
      <c r="N269" s="778"/>
      <c r="O269" s="778"/>
      <c r="P269" s="778"/>
      <c r="Q269" s="778"/>
      <c r="R269" s="778"/>
      <c r="S269" s="778"/>
      <c r="T269" s="778"/>
      <c r="U269" s="778"/>
      <c r="V269" s="778"/>
      <c r="W269" s="778"/>
      <c r="X269" s="778"/>
      <c r="Y269" s="778"/>
      <c r="Z269" s="778"/>
    </row>
    <row r="270">
      <c r="A270" s="777"/>
      <c r="B270" s="777"/>
      <c r="C270" s="777"/>
      <c r="D270" s="778"/>
      <c r="E270" s="778"/>
      <c r="F270" s="778"/>
      <c r="G270" s="778"/>
      <c r="H270" s="778"/>
      <c r="I270" s="778"/>
      <c r="J270" s="778"/>
      <c r="K270" s="778"/>
      <c r="L270" s="778"/>
      <c r="M270" s="778"/>
      <c r="N270" s="778"/>
      <c r="O270" s="778"/>
      <c r="P270" s="778"/>
      <c r="Q270" s="778"/>
      <c r="R270" s="778"/>
      <c r="S270" s="778"/>
      <c r="T270" s="778"/>
      <c r="U270" s="778"/>
      <c r="V270" s="778"/>
      <c r="W270" s="778"/>
      <c r="X270" s="778"/>
      <c r="Y270" s="778"/>
      <c r="Z270" s="778"/>
    </row>
    <row r="271">
      <c r="A271" s="777"/>
      <c r="B271" s="777"/>
      <c r="C271" s="777"/>
      <c r="D271" s="778"/>
      <c r="E271" s="778"/>
      <c r="F271" s="778"/>
      <c r="G271" s="778"/>
      <c r="H271" s="778"/>
      <c r="I271" s="778"/>
      <c r="J271" s="778"/>
      <c r="K271" s="778"/>
      <c r="L271" s="778"/>
      <c r="M271" s="778"/>
      <c r="N271" s="778"/>
      <c r="O271" s="778"/>
      <c r="P271" s="778"/>
      <c r="Q271" s="778"/>
      <c r="R271" s="778"/>
      <c r="S271" s="778"/>
      <c r="T271" s="778"/>
      <c r="U271" s="778"/>
      <c r="V271" s="778"/>
      <c r="W271" s="778"/>
      <c r="X271" s="778"/>
      <c r="Y271" s="778"/>
      <c r="Z271" s="778"/>
    </row>
    <row r="272">
      <c r="A272" s="777"/>
      <c r="B272" s="777"/>
      <c r="C272" s="777"/>
      <c r="D272" s="778"/>
      <c r="E272" s="778"/>
      <c r="F272" s="778"/>
      <c r="G272" s="778"/>
      <c r="H272" s="778"/>
      <c r="I272" s="778"/>
      <c r="J272" s="778"/>
      <c r="K272" s="778"/>
      <c r="L272" s="778"/>
      <c r="M272" s="778"/>
      <c r="N272" s="778"/>
      <c r="O272" s="778"/>
      <c r="P272" s="778"/>
      <c r="Q272" s="778"/>
      <c r="R272" s="778"/>
      <c r="S272" s="778"/>
      <c r="T272" s="778"/>
      <c r="U272" s="778"/>
      <c r="V272" s="778"/>
      <c r="W272" s="778"/>
      <c r="X272" s="778"/>
      <c r="Y272" s="778"/>
      <c r="Z272" s="778"/>
    </row>
    <row r="273">
      <c r="A273" s="777"/>
      <c r="B273" s="777"/>
      <c r="C273" s="777"/>
      <c r="D273" s="778"/>
      <c r="E273" s="778"/>
      <c r="F273" s="778"/>
      <c r="G273" s="778"/>
      <c r="H273" s="778"/>
      <c r="I273" s="778"/>
      <c r="J273" s="778"/>
      <c r="K273" s="778"/>
      <c r="L273" s="778"/>
      <c r="M273" s="778"/>
      <c r="N273" s="778"/>
      <c r="O273" s="778"/>
      <c r="P273" s="778"/>
      <c r="Q273" s="778"/>
      <c r="R273" s="778"/>
      <c r="S273" s="778"/>
      <c r="T273" s="778"/>
      <c r="U273" s="778"/>
      <c r="V273" s="778"/>
      <c r="W273" s="778"/>
      <c r="X273" s="778"/>
      <c r="Y273" s="778"/>
      <c r="Z273" s="778"/>
    </row>
    <row r="274">
      <c r="A274" s="777"/>
      <c r="B274" s="777"/>
      <c r="C274" s="777"/>
      <c r="D274" s="778"/>
      <c r="E274" s="778"/>
      <c r="F274" s="778"/>
      <c r="G274" s="778"/>
      <c r="H274" s="778"/>
      <c r="I274" s="778"/>
      <c r="J274" s="778"/>
      <c r="K274" s="778"/>
      <c r="L274" s="778"/>
      <c r="M274" s="778"/>
      <c r="N274" s="778"/>
      <c r="O274" s="778"/>
      <c r="P274" s="778"/>
      <c r="Q274" s="778"/>
      <c r="R274" s="778"/>
      <c r="S274" s="778"/>
      <c r="T274" s="778"/>
      <c r="U274" s="778"/>
      <c r="V274" s="778"/>
      <c r="W274" s="778"/>
      <c r="X274" s="778"/>
      <c r="Y274" s="778"/>
      <c r="Z274" s="778"/>
    </row>
    <row r="275">
      <c r="A275" s="777"/>
      <c r="B275" s="777"/>
      <c r="C275" s="777"/>
      <c r="D275" s="778"/>
      <c r="E275" s="778"/>
      <c r="F275" s="778"/>
      <c r="G275" s="778"/>
      <c r="H275" s="778"/>
      <c r="I275" s="778"/>
      <c r="J275" s="778"/>
      <c r="K275" s="778"/>
      <c r="L275" s="778"/>
      <c r="M275" s="778"/>
      <c r="N275" s="778"/>
      <c r="O275" s="778"/>
      <c r="P275" s="778"/>
      <c r="Q275" s="778"/>
      <c r="R275" s="778"/>
      <c r="S275" s="778"/>
      <c r="T275" s="778"/>
      <c r="U275" s="778"/>
      <c r="V275" s="778"/>
      <c r="W275" s="778"/>
      <c r="X275" s="778"/>
      <c r="Y275" s="778"/>
      <c r="Z275" s="778"/>
    </row>
    <row r="276">
      <c r="A276" s="777"/>
      <c r="B276" s="777"/>
      <c r="C276" s="777"/>
      <c r="D276" s="778"/>
      <c r="E276" s="778"/>
      <c r="F276" s="778"/>
      <c r="G276" s="778"/>
      <c r="H276" s="778"/>
      <c r="I276" s="778"/>
      <c r="J276" s="778"/>
      <c r="K276" s="778"/>
      <c r="L276" s="778"/>
      <c r="M276" s="778"/>
      <c r="N276" s="778"/>
      <c r="O276" s="778"/>
      <c r="P276" s="778"/>
      <c r="Q276" s="778"/>
      <c r="R276" s="778"/>
      <c r="S276" s="778"/>
      <c r="T276" s="778"/>
      <c r="U276" s="778"/>
      <c r="V276" s="778"/>
      <c r="W276" s="778"/>
      <c r="X276" s="778"/>
      <c r="Y276" s="778"/>
      <c r="Z276" s="778"/>
    </row>
    <row r="277">
      <c r="A277" s="777"/>
      <c r="B277" s="777"/>
      <c r="C277" s="777"/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778"/>
      <c r="V277" s="778"/>
      <c r="W277" s="778"/>
      <c r="X277" s="778"/>
      <c r="Y277" s="778"/>
      <c r="Z277" s="778"/>
    </row>
    <row r="278">
      <c r="A278" s="777"/>
      <c r="B278" s="777"/>
      <c r="C278" s="777"/>
      <c r="D278" s="778"/>
      <c r="E278" s="778"/>
      <c r="F278" s="778"/>
      <c r="G278" s="778"/>
      <c r="H278" s="778"/>
      <c r="I278" s="778"/>
      <c r="J278" s="778"/>
      <c r="K278" s="778"/>
      <c r="L278" s="778"/>
      <c r="M278" s="778"/>
      <c r="N278" s="778"/>
      <c r="O278" s="778"/>
      <c r="P278" s="778"/>
      <c r="Q278" s="778"/>
      <c r="R278" s="778"/>
      <c r="S278" s="778"/>
      <c r="T278" s="778"/>
      <c r="U278" s="778"/>
      <c r="V278" s="778"/>
      <c r="W278" s="778"/>
      <c r="X278" s="778"/>
      <c r="Y278" s="778"/>
      <c r="Z278" s="778"/>
    </row>
    <row r="279">
      <c r="A279" s="777"/>
      <c r="B279" s="777"/>
      <c r="C279" s="777"/>
      <c r="D279" s="778"/>
      <c r="E279" s="778"/>
      <c r="F279" s="778"/>
      <c r="G279" s="778"/>
      <c r="H279" s="778"/>
      <c r="I279" s="778"/>
      <c r="J279" s="778"/>
      <c r="K279" s="778"/>
      <c r="L279" s="778"/>
      <c r="M279" s="778"/>
      <c r="N279" s="778"/>
      <c r="O279" s="778"/>
      <c r="P279" s="778"/>
      <c r="Q279" s="778"/>
      <c r="R279" s="778"/>
      <c r="S279" s="778"/>
      <c r="T279" s="778"/>
      <c r="U279" s="778"/>
      <c r="V279" s="778"/>
      <c r="W279" s="778"/>
      <c r="X279" s="778"/>
      <c r="Y279" s="778"/>
      <c r="Z279" s="778"/>
    </row>
    <row r="280">
      <c r="A280" s="777"/>
      <c r="B280" s="777"/>
      <c r="C280" s="777"/>
      <c r="D280" s="778"/>
      <c r="E280" s="778"/>
      <c r="F280" s="778"/>
      <c r="G280" s="778"/>
      <c r="H280" s="778"/>
      <c r="I280" s="778"/>
      <c r="J280" s="778"/>
      <c r="K280" s="778"/>
      <c r="L280" s="778"/>
      <c r="M280" s="778"/>
      <c r="N280" s="778"/>
      <c r="O280" s="778"/>
      <c r="P280" s="778"/>
      <c r="Q280" s="778"/>
      <c r="R280" s="778"/>
      <c r="S280" s="778"/>
      <c r="T280" s="778"/>
      <c r="U280" s="778"/>
      <c r="V280" s="778"/>
      <c r="W280" s="778"/>
      <c r="X280" s="778"/>
      <c r="Y280" s="778"/>
      <c r="Z280" s="778"/>
    </row>
    <row r="281">
      <c r="A281" s="777"/>
      <c r="B281" s="777"/>
      <c r="C281" s="777"/>
      <c r="D281" s="778"/>
      <c r="E281" s="778"/>
      <c r="F281" s="778"/>
      <c r="G281" s="778"/>
      <c r="H281" s="778"/>
      <c r="I281" s="778"/>
      <c r="J281" s="778"/>
      <c r="K281" s="778"/>
      <c r="L281" s="778"/>
      <c r="M281" s="778"/>
      <c r="N281" s="778"/>
      <c r="O281" s="778"/>
      <c r="P281" s="778"/>
      <c r="Q281" s="778"/>
      <c r="R281" s="778"/>
      <c r="S281" s="778"/>
      <c r="T281" s="778"/>
      <c r="U281" s="778"/>
      <c r="V281" s="778"/>
      <c r="W281" s="778"/>
      <c r="X281" s="778"/>
      <c r="Y281" s="778"/>
      <c r="Z281" s="778"/>
    </row>
    <row r="282">
      <c r="A282" s="777"/>
      <c r="B282" s="777"/>
      <c r="C282" s="777"/>
      <c r="D282" s="778"/>
      <c r="E282" s="778"/>
      <c r="F282" s="778"/>
      <c r="G282" s="778"/>
      <c r="H282" s="778"/>
      <c r="I282" s="778"/>
      <c r="J282" s="778"/>
      <c r="K282" s="778"/>
      <c r="L282" s="778"/>
      <c r="M282" s="778"/>
      <c r="N282" s="778"/>
      <c r="O282" s="778"/>
      <c r="P282" s="778"/>
      <c r="Q282" s="778"/>
      <c r="R282" s="778"/>
      <c r="S282" s="778"/>
      <c r="T282" s="778"/>
      <c r="U282" s="778"/>
      <c r="V282" s="778"/>
      <c r="W282" s="778"/>
      <c r="X282" s="778"/>
      <c r="Y282" s="778"/>
      <c r="Z282" s="778"/>
    </row>
    <row r="283">
      <c r="A283" s="777"/>
      <c r="B283" s="777"/>
      <c r="C283" s="777"/>
      <c r="D283" s="778"/>
      <c r="E283" s="778"/>
      <c r="F283" s="778"/>
      <c r="G283" s="778"/>
      <c r="H283" s="778"/>
      <c r="I283" s="778"/>
      <c r="J283" s="778"/>
      <c r="K283" s="778"/>
      <c r="L283" s="778"/>
      <c r="M283" s="778"/>
      <c r="N283" s="778"/>
      <c r="O283" s="778"/>
      <c r="P283" s="778"/>
      <c r="Q283" s="778"/>
      <c r="R283" s="778"/>
      <c r="S283" s="778"/>
      <c r="T283" s="778"/>
      <c r="U283" s="778"/>
      <c r="V283" s="778"/>
      <c r="W283" s="778"/>
      <c r="X283" s="778"/>
      <c r="Y283" s="778"/>
      <c r="Z283" s="778"/>
    </row>
    <row r="284">
      <c r="A284" s="777"/>
      <c r="B284" s="777"/>
      <c r="C284" s="777"/>
      <c r="D284" s="778"/>
      <c r="E284" s="778"/>
      <c r="F284" s="778"/>
      <c r="G284" s="778"/>
      <c r="H284" s="778"/>
      <c r="I284" s="778"/>
      <c r="J284" s="778"/>
      <c r="K284" s="778"/>
      <c r="L284" s="778"/>
      <c r="M284" s="778"/>
      <c r="N284" s="778"/>
      <c r="O284" s="778"/>
      <c r="P284" s="778"/>
      <c r="Q284" s="778"/>
      <c r="R284" s="778"/>
      <c r="S284" s="778"/>
      <c r="T284" s="778"/>
      <c r="U284" s="778"/>
      <c r="V284" s="778"/>
      <c r="W284" s="778"/>
      <c r="X284" s="778"/>
      <c r="Y284" s="778"/>
      <c r="Z284" s="778"/>
    </row>
    <row r="285">
      <c r="A285" s="777"/>
      <c r="B285" s="777"/>
      <c r="C285" s="777"/>
      <c r="D285" s="778"/>
      <c r="E285" s="778"/>
      <c r="F285" s="778"/>
      <c r="G285" s="778"/>
      <c r="H285" s="778"/>
      <c r="I285" s="778"/>
      <c r="J285" s="778"/>
      <c r="K285" s="778"/>
      <c r="L285" s="778"/>
      <c r="M285" s="778"/>
      <c r="N285" s="778"/>
      <c r="O285" s="778"/>
      <c r="P285" s="778"/>
      <c r="Q285" s="778"/>
      <c r="R285" s="778"/>
      <c r="S285" s="778"/>
      <c r="T285" s="778"/>
      <c r="U285" s="778"/>
      <c r="V285" s="778"/>
      <c r="W285" s="778"/>
      <c r="X285" s="778"/>
      <c r="Y285" s="778"/>
      <c r="Z285" s="778"/>
    </row>
    <row r="286">
      <c r="A286" s="777"/>
      <c r="B286" s="777"/>
      <c r="C286" s="777"/>
      <c r="D286" s="778"/>
      <c r="E286" s="778"/>
      <c r="F286" s="778"/>
      <c r="G286" s="778"/>
      <c r="H286" s="778"/>
      <c r="I286" s="778"/>
      <c r="J286" s="778"/>
      <c r="K286" s="778"/>
      <c r="L286" s="778"/>
      <c r="M286" s="778"/>
      <c r="N286" s="778"/>
      <c r="O286" s="778"/>
      <c r="P286" s="778"/>
      <c r="Q286" s="778"/>
      <c r="R286" s="778"/>
      <c r="S286" s="778"/>
      <c r="T286" s="778"/>
      <c r="U286" s="778"/>
      <c r="V286" s="778"/>
      <c r="W286" s="778"/>
      <c r="X286" s="778"/>
      <c r="Y286" s="778"/>
      <c r="Z286" s="778"/>
    </row>
    <row r="287">
      <c r="A287" s="777"/>
      <c r="B287" s="777"/>
      <c r="C287" s="777"/>
      <c r="D287" s="778"/>
      <c r="E287" s="778"/>
      <c r="F287" s="778"/>
      <c r="G287" s="778"/>
      <c r="H287" s="778"/>
      <c r="I287" s="778"/>
      <c r="J287" s="778"/>
      <c r="K287" s="778"/>
      <c r="L287" s="778"/>
      <c r="M287" s="778"/>
      <c r="N287" s="778"/>
      <c r="O287" s="778"/>
      <c r="P287" s="778"/>
      <c r="Q287" s="778"/>
      <c r="R287" s="778"/>
      <c r="S287" s="778"/>
      <c r="T287" s="778"/>
      <c r="U287" s="778"/>
      <c r="V287" s="778"/>
      <c r="W287" s="778"/>
      <c r="X287" s="778"/>
      <c r="Y287" s="778"/>
      <c r="Z287" s="778"/>
    </row>
    <row r="288">
      <c r="A288" s="777"/>
      <c r="B288" s="777"/>
      <c r="C288" s="777"/>
      <c r="D288" s="778"/>
      <c r="E288" s="778"/>
      <c r="F288" s="778"/>
      <c r="G288" s="778"/>
      <c r="H288" s="778"/>
      <c r="I288" s="778"/>
      <c r="J288" s="778"/>
      <c r="K288" s="778"/>
      <c r="L288" s="778"/>
      <c r="M288" s="778"/>
      <c r="N288" s="778"/>
      <c r="O288" s="778"/>
      <c r="P288" s="778"/>
      <c r="Q288" s="778"/>
      <c r="R288" s="778"/>
      <c r="S288" s="778"/>
      <c r="T288" s="778"/>
      <c r="U288" s="778"/>
      <c r="V288" s="778"/>
      <c r="W288" s="778"/>
      <c r="X288" s="778"/>
      <c r="Y288" s="778"/>
      <c r="Z288" s="778"/>
    </row>
    <row r="289">
      <c r="A289" s="777"/>
      <c r="B289" s="777"/>
      <c r="C289" s="777"/>
      <c r="D289" s="778"/>
      <c r="E289" s="778"/>
      <c r="F289" s="778"/>
      <c r="G289" s="778"/>
      <c r="H289" s="778"/>
      <c r="I289" s="778"/>
      <c r="J289" s="778"/>
      <c r="K289" s="778"/>
      <c r="L289" s="778"/>
      <c r="M289" s="778"/>
      <c r="N289" s="778"/>
      <c r="O289" s="778"/>
      <c r="P289" s="778"/>
      <c r="Q289" s="778"/>
      <c r="R289" s="778"/>
      <c r="S289" s="778"/>
      <c r="T289" s="778"/>
      <c r="U289" s="778"/>
      <c r="V289" s="778"/>
      <c r="W289" s="778"/>
      <c r="X289" s="778"/>
      <c r="Y289" s="778"/>
      <c r="Z289" s="778"/>
    </row>
    <row r="290">
      <c r="A290" s="777"/>
      <c r="B290" s="777"/>
      <c r="C290" s="777"/>
      <c r="D290" s="778"/>
      <c r="E290" s="778"/>
      <c r="F290" s="778"/>
      <c r="G290" s="778"/>
      <c r="H290" s="778"/>
      <c r="I290" s="778"/>
      <c r="J290" s="778"/>
      <c r="K290" s="778"/>
      <c r="L290" s="778"/>
      <c r="M290" s="778"/>
      <c r="N290" s="778"/>
      <c r="O290" s="778"/>
      <c r="P290" s="778"/>
      <c r="Q290" s="778"/>
      <c r="R290" s="778"/>
      <c r="S290" s="778"/>
      <c r="T290" s="778"/>
      <c r="U290" s="778"/>
      <c r="V290" s="778"/>
      <c r="W290" s="778"/>
      <c r="X290" s="778"/>
      <c r="Y290" s="778"/>
      <c r="Z290" s="778"/>
    </row>
    <row r="291">
      <c r="A291" s="777"/>
      <c r="B291" s="777"/>
      <c r="C291" s="777"/>
      <c r="D291" s="778"/>
      <c r="E291" s="778"/>
      <c r="F291" s="778"/>
      <c r="G291" s="778"/>
      <c r="H291" s="778"/>
      <c r="I291" s="778"/>
      <c r="J291" s="778"/>
      <c r="K291" s="778"/>
      <c r="L291" s="778"/>
      <c r="M291" s="778"/>
      <c r="N291" s="778"/>
      <c r="O291" s="778"/>
      <c r="P291" s="778"/>
      <c r="Q291" s="778"/>
      <c r="R291" s="778"/>
      <c r="S291" s="778"/>
      <c r="T291" s="778"/>
      <c r="U291" s="778"/>
      <c r="V291" s="778"/>
      <c r="W291" s="778"/>
      <c r="X291" s="778"/>
      <c r="Y291" s="778"/>
      <c r="Z291" s="778"/>
    </row>
    <row r="292">
      <c r="A292" s="777"/>
      <c r="B292" s="777"/>
      <c r="C292" s="777"/>
      <c r="D292" s="778"/>
      <c r="E292" s="778"/>
      <c r="F292" s="778"/>
      <c r="G292" s="778"/>
      <c r="H292" s="778"/>
      <c r="I292" s="778"/>
      <c r="J292" s="778"/>
      <c r="K292" s="778"/>
      <c r="L292" s="778"/>
      <c r="M292" s="778"/>
      <c r="N292" s="778"/>
      <c r="O292" s="778"/>
      <c r="P292" s="778"/>
      <c r="Q292" s="778"/>
      <c r="R292" s="778"/>
      <c r="S292" s="778"/>
      <c r="T292" s="778"/>
      <c r="U292" s="778"/>
      <c r="V292" s="778"/>
      <c r="W292" s="778"/>
      <c r="X292" s="778"/>
      <c r="Y292" s="778"/>
      <c r="Z292" s="778"/>
    </row>
    <row r="293">
      <c r="A293" s="777"/>
      <c r="B293" s="777"/>
      <c r="C293" s="777"/>
      <c r="D293" s="778"/>
      <c r="E293" s="778"/>
      <c r="F293" s="778"/>
      <c r="G293" s="778"/>
      <c r="H293" s="778"/>
      <c r="I293" s="778"/>
      <c r="J293" s="778"/>
      <c r="K293" s="778"/>
      <c r="L293" s="778"/>
      <c r="M293" s="778"/>
      <c r="N293" s="778"/>
      <c r="O293" s="778"/>
      <c r="P293" s="778"/>
      <c r="Q293" s="778"/>
      <c r="R293" s="778"/>
      <c r="S293" s="778"/>
      <c r="T293" s="778"/>
      <c r="U293" s="778"/>
      <c r="V293" s="778"/>
      <c r="W293" s="778"/>
      <c r="X293" s="778"/>
      <c r="Y293" s="778"/>
      <c r="Z293" s="778"/>
    </row>
    <row r="294">
      <c r="A294" s="777"/>
      <c r="B294" s="777"/>
      <c r="C294" s="777"/>
      <c r="D294" s="778"/>
      <c r="E294" s="778"/>
      <c r="F294" s="778"/>
      <c r="G294" s="778"/>
      <c r="H294" s="778"/>
      <c r="I294" s="778"/>
      <c r="J294" s="778"/>
      <c r="K294" s="778"/>
      <c r="L294" s="778"/>
      <c r="M294" s="778"/>
      <c r="N294" s="778"/>
      <c r="O294" s="778"/>
      <c r="P294" s="778"/>
      <c r="Q294" s="778"/>
      <c r="R294" s="778"/>
      <c r="S294" s="778"/>
      <c r="T294" s="778"/>
      <c r="U294" s="778"/>
      <c r="V294" s="778"/>
      <c r="W294" s="778"/>
      <c r="X294" s="778"/>
      <c r="Y294" s="778"/>
      <c r="Z294" s="778"/>
    </row>
    <row r="295">
      <c r="A295" s="777"/>
      <c r="B295" s="777"/>
      <c r="C295" s="777"/>
      <c r="D295" s="778"/>
      <c r="E295" s="778"/>
      <c r="F295" s="778"/>
      <c r="G295" s="778"/>
      <c r="H295" s="778"/>
      <c r="I295" s="778"/>
      <c r="J295" s="778"/>
      <c r="K295" s="778"/>
      <c r="L295" s="778"/>
      <c r="M295" s="778"/>
      <c r="N295" s="778"/>
      <c r="O295" s="778"/>
      <c r="P295" s="778"/>
      <c r="Q295" s="778"/>
      <c r="R295" s="778"/>
      <c r="S295" s="778"/>
      <c r="T295" s="778"/>
      <c r="U295" s="778"/>
      <c r="V295" s="778"/>
      <c r="W295" s="778"/>
      <c r="X295" s="778"/>
      <c r="Y295" s="778"/>
      <c r="Z295" s="778"/>
    </row>
    <row r="296">
      <c r="A296" s="777"/>
      <c r="B296" s="777"/>
      <c r="C296" s="777"/>
      <c r="D296" s="778"/>
      <c r="E296" s="778"/>
      <c r="F296" s="778"/>
      <c r="G296" s="778"/>
      <c r="H296" s="778"/>
      <c r="I296" s="778"/>
      <c r="J296" s="778"/>
      <c r="K296" s="778"/>
      <c r="L296" s="778"/>
      <c r="M296" s="778"/>
      <c r="N296" s="778"/>
      <c r="O296" s="778"/>
      <c r="P296" s="778"/>
      <c r="Q296" s="778"/>
      <c r="R296" s="778"/>
      <c r="S296" s="778"/>
      <c r="T296" s="778"/>
      <c r="U296" s="778"/>
      <c r="V296" s="778"/>
      <c r="W296" s="778"/>
      <c r="X296" s="778"/>
      <c r="Y296" s="778"/>
      <c r="Z296" s="778"/>
    </row>
    <row r="297">
      <c r="A297" s="777"/>
      <c r="B297" s="777"/>
      <c r="C297" s="777"/>
      <c r="D297" s="778"/>
      <c r="E297" s="778"/>
      <c r="F297" s="778"/>
      <c r="G297" s="778"/>
      <c r="H297" s="778"/>
      <c r="I297" s="778"/>
      <c r="J297" s="778"/>
      <c r="K297" s="778"/>
      <c r="L297" s="778"/>
      <c r="M297" s="778"/>
      <c r="N297" s="778"/>
      <c r="O297" s="778"/>
      <c r="P297" s="778"/>
      <c r="Q297" s="778"/>
      <c r="R297" s="778"/>
      <c r="S297" s="778"/>
      <c r="T297" s="778"/>
      <c r="U297" s="778"/>
      <c r="V297" s="778"/>
      <c r="W297" s="778"/>
      <c r="X297" s="778"/>
      <c r="Y297" s="778"/>
      <c r="Z297" s="778"/>
    </row>
    <row r="298">
      <c r="A298" s="777"/>
      <c r="B298" s="777"/>
      <c r="C298" s="777"/>
      <c r="D298" s="778"/>
      <c r="E298" s="778"/>
      <c r="F298" s="778"/>
      <c r="G298" s="778"/>
      <c r="H298" s="778"/>
      <c r="I298" s="778"/>
      <c r="J298" s="778"/>
      <c r="K298" s="778"/>
      <c r="L298" s="778"/>
      <c r="M298" s="778"/>
      <c r="N298" s="778"/>
      <c r="O298" s="778"/>
      <c r="P298" s="778"/>
      <c r="Q298" s="778"/>
      <c r="R298" s="778"/>
      <c r="S298" s="778"/>
      <c r="T298" s="778"/>
      <c r="U298" s="778"/>
      <c r="V298" s="778"/>
      <c r="W298" s="778"/>
      <c r="X298" s="778"/>
      <c r="Y298" s="778"/>
      <c r="Z298" s="778"/>
    </row>
    <row r="299">
      <c r="A299" s="777"/>
      <c r="B299" s="777"/>
      <c r="C299" s="777"/>
      <c r="D299" s="778"/>
      <c r="E299" s="778"/>
      <c r="F299" s="778"/>
      <c r="G299" s="778"/>
      <c r="H299" s="778"/>
      <c r="I299" s="778"/>
      <c r="J299" s="778"/>
      <c r="K299" s="778"/>
      <c r="L299" s="778"/>
      <c r="M299" s="778"/>
      <c r="N299" s="778"/>
      <c r="O299" s="778"/>
      <c r="P299" s="778"/>
      <c r="Q299" s="778"/>
      <c r="R299" s="778"/>
      <c r="S299" s="778"/>
      <c r="T299" s="778"/>
      <c r="U299" s="778"/>
      <c r="V299" s="778"/>
      <c r="W299" s="778"/>
      <c r="X299" s="778"/>
      <c r="Y299" s="778"/>
      <c r="Z299" s="778"/>
    </row>
    <row r="300">
      <c r="A300" s="777"/>
      <c r="B300" s="777"/>
      <c r="C300" s="777"/>
      <c r="D300" s="778"/>
      <c r="E300" s="778"/>
      <c r="F300" s="778"/>
      <c r="G300" s="778"/>
      <c r="H300" s="778"/>
      <c r="I300" s="778"/>
      <c r="J300" s="778"/>
      <c r="K300" s="778"/>
      <c r="L300" s="778"/>
      <c r="M300" s="778"/>
      <c r="N300" s="778"/>
      <c r="O300" s="778"/>
      <c r="P300" s="778"/>
      <c r="Q300" s="778"/>
      <c r="R300" s="778"/>
      <c r="S300" s="778"/>
      <c r="T300" s="778"/>
      <c r="U300" s="778"/>
      <c r="V300" s="778"/>
      <c r="W300" s="778"/>
      <c r="X300" s="778"/>
      <c r="Y300" s="778"/>
      <c r="Z300" s="778"/>
    </row>
    <row r="301">
      <c r="A301" s="777"/>
      <c r="B301" s="777"/>
      <c r="C301" s="777"/>
      <c r="D301" s="778"/>
      <c r="E301" s="778"/>
      <c r="F301" s="778"/>
      <c r="G301" s="778"/>
      <c r="H301" s="778"/>
      <c r="I301" s="778"/>
      <c r="J301" s="778"/>
      <c r="K301" s="778"/>
      <c r="L301" s="778"/>
      <c r="M301" s="778"/>
      <c r="N301" s="778"/>
      <c r="O301" s="778"/>
      <c r="P301" s="778"/>
      <c r="Q301" s="778"/>
      <c r="R301" s="778"/>
      <c r="S301" s="778"/>
      <c r="T301" s="778"/>
      <c r="U301" s="778"/>
      <c r="V301" s="778"/>
      <c r="W301" s="778"/>
      <c r="X301" s="778"/>
      <c r="Y301" s="778"/>
      <c r="Z301" s="778"/>
    </row>
    <row r="302">
      <c r="A302" s="777"/>
      <c r="B302" s="777"/>
      <c r="C302" s="777"/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778"/>
      <c r="V302" s="778"/>
      <c r="W302" s="778"/>
      <c r="X302" s="778"/>
      <c r="Y302" s="778"/>
      <c r="Z302" s="778"/>
    </row>
    <row r="303">
      <c r="A303" s="777"/>
      <c r="B303" s="777"/>
      <c r="C303" s="777"/>
      <c r="D303" s="778"/>
      <c r="E303" s="778"/>
      <c r="F303" s="778"/>
      <c r="G303" s="778"/>
      <c r="H303" s="778"/>
      <c r="I303" s="778"/>
      <c r="J303" s="778"/>
      <c r="K303" s="778"/>
      <c r="L303" s="778"/>
      <c r="M303" s="778"/>
      <c r="N303" s="778"/>
      <c r="O303" s="778"/>
      <c r="P303" s="778"/>
      <c r="Q303" s="778"/>
      <c r="R303" s="778"/>
      <c r="S303" s="778"/>
      <c r="T303" s="778"/>
      <c r="U303" s="778"/>
      <c r="V303" s="778"/>
      <c r="W303" s="778"/>
      <c r="X303" s="778"/>
      <c r="Y303" s="778"/>
      <c r="Z303" s="778"/>
    </row>
    <row r="304">
      <c r="A304" s="777"/>
      <c r="B304" s="777"/>
      <c r="C304" s="777"/>
      <c r="D304" s="778"/>
      <c r="E304" s="778"/>
      <c r="F304" s="778"/>
      <c r="G304" s="778"/>
      <c r="H304" s="778"/>
      <c r="I304" s="778"/>
      <c r="J304" s="778"/>
      <c r="K304" s="778"/>
      <c r="L304" s="778"/>
      <c r="M304" s="778"/>
      <c r="N304" s="778"/>
      <c r="O304" s="778"/>
      <c r="P304" s="778"/>
      <c r="Q304" s="778"/>
      <c r="R304" s="778"/>
      <c r="S304" s="778"/>
      <c r="T304" s="778"/>
      <c r="U304" s="778"/>
      <c r="V304" s="778"/>
      <c r="W304" s="778"/>
      <c r="X304" s="778"/>
      <c r="Y304" s="778"/>
      <c r="Z304" s="778"/>
    </row>
    <row r="305">
      <c r="A305" s="777"/>
      <c r="B305" s="777"/>
      <c r="C305" s="777"/>
      <c r="D305" s="778"/>
      <c r="E305" s="778"/>
      <c r="F305" s="778"/>
      <c r="G305" s="778"/>
      <c r="H305" s="778"/>
      <c r="I305" s="778"/>
      <c r="J305" s="778"/>
      <c r="K305" s="778"/>
      <c r="L305" s="778"/>
      <c r="M305" s="778"/>
      <c r="N305" s="778"/>
      <c r="O305" s="778"/>
      <c r="P305" s="778"/>
      <c r="Q305" s="778"/>
      <c r="R305" s="778"/>
      <c r="S305" s="778"/>
      <c r="T305" s="778"/>
      <c r="U305" s="778"/>
      <c r="V305" s="778"/>
      <c r="W305" s="778"/>
      <c r="X305" s="778"/>
      <c r="Y305" s="778"/>
      <c r="Z305" s="778"/>
    </row>
    <row r="306">
      <c r="A306" s="777"/>
      <c r="B306" s="777"/>
      <c r="C306" s="777"/>
      <c r="D306" s="778"/>
      <c r="E306" s="778"/>
      <c r="F306" s="778"/>
      <c r="G306" s="778"/>
      <c r="H306" s="778"/>
      <c r="I306" s="778"/>
      <c r="J306" s="778"/>
      <c r="K306" s="778"/>
      <c r="L306" s="778"/>
      <c r="M306" s="778"/>
      <c r="N306" s="778"/>
      <c r="O306" s="778"/>
      <c r="P306" s="778"/>
      <c r="Q306" s="778"/>
      <c r="R306" s="778"/>
      <c r="S306" s="778"/>
      <c r="T306" s="778"/>
      <c r="U306" s="778"/>
      <c r="V306" s="778"/>
      <c r="W306" s="778"/>
      <c r="X306" s="778"/>
      <c r="Y306" s="778"/>
      <c r="Z306" s="778"/>
    </row>
    <row r="307">
      <c r="A307" s="777"/>
      <c r="B307" s="777"/>
      <c r="C307" s="777"/>
      <c r="D307" s="778"/>
      <c r="E307" s="778"/>
      <c r="F307" s="778"/>
      <c r="G307" s="778"/>
      <c r="H307" s="778"/>
      <c r="I307" s="778"/>
      <c r="J307" s="778"/>
      <c r="K307" s="778"/>
      <c r="L307" s="778"/>
      <c r="M307" s="778"/>
      <c r="N307" s="778"/>
      <c r="O307" s="778"/>
      <c r="P307" s="778"/>
      <c r="Q307" s="778"/>
      <c r="R307" s="778"/>
      <c r="S307" s="778"/>
      <c r="T307" s="778"/>
      <c r="U307" s="778"/>
      <c r="V307" s="778"/>
      <c r="W307" s="778"/>
      <c r="X307" s="778"/>
      <c r="Y307" s="778"/>
      <c r="Z307" s="778"/>
    </row>
    <row r="308">
      <c r="A308" s="777"/>
      <c r="B308" s="777"/>
      <c r="C308" s="777"/>
      <c r="D308" s="778"/>
      <c r="E308" s="778"/>
      <c r="F308" s="778"/>
      <c r="G308" s="778"/>
      <c r="H308" s="778"/>
      <c r="I308" s="778"/>
      <c r="J308" s="778"/>
      <c r="K308" s="778"/>
      <c r="L308" s="778"/>
      <c r="M308" s="778"/>
      <c r="N308" s="778"/>
      <c r="O308" s="778"/>
      <c r="P308" s="778"/>
      <c r="Q308" s="778"/>
      <c r="R308" s="778"/>
      <c r="S308" s="778"/>
      <c r="T308" s="778"/>
      <c r="U308" s="778"/>
      <c r="V308" s="778"/>
      <c r="W308" s="778"/>
      <c r="X308" s="778"/>
      <c r="Y308" s="778"/>
      <c r="Z308" s="778"/>
    </row>
    <row r="309">
      <c r="A309" s="777"/>
      <c r="B309" s="777"/>
      <c r="C309" s="777"/>
      <c r="D309" s="778"/>
      <c r="E309" s="778"/>
      <c r="F309" s="778"/>
      <c r="G309" s="778"/>
      <c r="H309" s="778"/>
      <c r="I309" s="778"/>
      <c r="J309" s="778"/>
      <c r="K309" s="778"/>
      <c r="L309" s="778"/>
      <c r="M309" s="778"/>
      <c r="N309" s="778"/>
      <c r="O309" s="778"/>
      <c r="P309" s="778"/>
      <c r="Q309" s="778"/>
      <c r="R309" s="778"/>
      <c r="S309" s="778"/>
      <c r="T309" s="778"/>
      <c r="U309" s="778"/>
      <c r="V309" s="778"/>
      <c r="W309" s="778"/>
      <c r="X309" s="778"/>
      <c r="Y309" s="778"/>
      <c r="Z309" s="778"/>
    </row>
    <row r="310">
      <c r="A310" s="777"/>
      <c r="B310" s="777"/>
      <c r="C310" s="777"/>
      <c r="D310" s="778"/>
      <c r="E310" s="778"/>
      <c r="F310" s="778"/>
      <c r="G310" s="778"/>
      <c r="H310" s="778"/>
      <c r="I310" s="778"/>
      <c r="J310" s="778"/>
      <c r="K310" s="778"/>
      <c r="L310" s="778"/>
      <c r="M310" s="778"/>
      <c r="N310" s="778"/>
      <c r="O310" s="778"/>
      <c r="P310" s="778"/>
      <c r="Q310" s="778"/>
      <c r="R310" s="778"/>
      <c r="S310" s="778"/>
      <c r="T310" s="778"/>
      <c r="U310" s="778"/>
      <c r="V310" s="778"/>
      <c r="W310" s="778"/>
      <c r="X310" s="778"/>
      <c r="Y310" s="778"/>
      <c r="Z310" s="778"/>
    </row>
    <row r="311">
      <c r="A311" s="777"/>
      <c r="B311" s="777"/>
      <c r="C311" s="777"/>
      <c r="D311" s="778"/>
      <c r="E311" s="778"/>
      <c r="F311" s="778"/>
      <c r="G311" s="778"/>
      <c r="H311" s="778"/>
      <c r="I311" s="778"/>
      <c r="J311" s="778"/>
      <c r="K311" s="778"/>
      <c r="L311" s="778"/>
      <c r="M311" s="778"/>
      <c r="N311" s="778"/>
      <c r="O311" s="778"/>
      <c r="P311" s="778"/>
      <c r="Q311" s="778"/>
      <c r="R311" s="778"/>
      <c r="S311" s="778"/>
      <c r="T311" s="778"/>
      <c r="U311" s="778"/>
      <c r="V311" s="778"/>
      <c r="W311" s="778"/>
      <c r="X311" s="778"/>
      <c r="Y311" s="778"/>
      <c r="Z311" s="778"/>
    </row>
    <row r="312">
      <c r="A312" s="777"/>
      <c r="B312" s="777"/>
      <c r="C312" s="777"/>
      <c r="D312" s="778"/>
      <c r="E312" s="778"/>
      <c r="F312" s="778"/>
      <c r="G312" s="778"/>
      <c r="H312" s="778"/>
      <c r="I312" s="778"/>
      <c r="J312" s="778"/>
      <c r="K312" s="778"/>
      <c r="L312" s="778"/>
      <c r="M312" s="778"/>
      <c r="N312" s="778"/>
      <c r="O312" s="778"/>
      <c r="P312" s="778"/>
      <c r="Q312" s="778"/>
      <c r="R312" s="778"/>
      <c r="S312" s="778"/>
      <c r="T312" s="778"/>
      <c r="U312" s="778"/>
      <c r="V312" s="778"/>
      <c r="W312" s="778"/>
      <c r="X312" s="778"/>
      <c r="Y312" s="778"/>
      <c r="Z312" s="778"/>
    </row>
    <row r="313">
      <c r="A313" s="777"/>
      <c r="B313" s="777"/>
      <c r="C313" s="777"/>
      <c r="D313" s="778"/>
      <c r="E313" s="778"/>
      <c r="F313" s="778"/>
      <c r="G313" s="778"/>
      <c r="H313" s="778"/>
      <c r="I313" s="778"/>
      <c r="J313" s="778"/>
      <c r="K313" s="778"/>
      <c r="L313" s="778"/>
      <c r="M313" s="778"/>
      <c r="N313" s="778"/>
      <c r="O313" s="778"/>
      <c r="P313" s="778"/>
      <c r="Q313" s="778"/>
      <c r="R313" s="778"/>
      <c r="S313" s="778"/>
      <c r="T313" s="778"/>
      <c r="U313" s="778"/>
      <c r="V313" s="778"/>
      <c r="W313" s="778"/>
      <c r="X313" s="778"/>
      <c r="Y313" s="778"/>
      <c r="Z313" s="778"/>
    </row>
    <row r="314">
      <c r="A314" s="777"/>
      <c r="B314" s="777"/>
      <c r="C314" s="777"/>
      <c r="D314" s="778"/>
      <c r="E314" s="778"/>
      <c r="F314" s="778"/>
      <c r="G314" s="778"/>
      <c r="H314" s="778"/>
      <c r="I314" s="778"/>
      <c r="J314" s="778"/>
      <c r="K314" s="778"/>
      <c r="L314" s="778"/>
      <c r="M314" s="778"/>
      <c r="N314" s="778"/>
      <c r="O314" s="778"/>
      <c r="P314" s="778"/>
      <c r="Q314" s="778"/>
      <c r="R314" s="778"/>
      <c r="S314" s="778"/>
      <c r="T314" s="778"/>
      <c r="U314" s="778"/>
      <c r="V314" s="778"/>
      <c r="W314" s="778"/>
      <c r="X314" s="778"/>
      <c r="Y314" s="778"/>
      <c r="Z314" s="778"/>
    </row>
    <row r="315">
      <c r="A315" s="777"/>
      <c r="B315" s="777"/>
      <c r="C315" s="777"/>
      <c r="D315" s="778"/>
      <c r="E315" s="778"/>
      <c r="F315" s="778"/>
      <c r="G315" s="778"/>
      <c r="H315" s="778"/>
      <c r="I315" s="778"/>
      <c r="J315" s="778"/>
      <c r="K315" s="778"/>
      <c r="L315" s="778"/>
      <c r="M315" s="778"/>
      <c r="N315" s="778"/>
      <c r="O315" s="778"/>
      <c r="P315" s="778"/>
      <c r="Q315" s="778"/>
      <c r="R315" s="778"/>
      <c r="S315" s="778"/>
      <c r="T315" s="778"/>
      <c r="U315" s="778"/>
      <c r="V315" s="778"/>
      <c r="W315" s="778"/>
      <c r="X315" s="778"/>
      <c r="Y315" s="778"/>
      <c r="Z315" s="778"/>
    </row>
    <row r="316">
      <c r="A316" s="777"/>
      <c r="B316" s="777"/>
      <c r="C316" s="777"/>
      <c r="D316" s="778"/>
      <c r="E316" s="778"/>
      <c r="F316" s="778"/>
      <c r="G316" s="778"/>
      <c r="H316" s="778"/>
      <c r="I316" s="778"/>
      <c r="J316" s="778"/>
      <c r="K316" s="778"/>
      <c r="L316" s="778"/>
      <c r="M316" s="778"/>
      <c r="N316" s="778"/>
      <c r="O316" s="778"/>
      <c r="P316" s="778"/>
      <c r="Q316" s="778"/>
      <c r="R316" s="778"/>
      <c r="S316" s="778"/>
      <c r="T316" s="778"/>
      <c r="U316" s="778"/>
      <c r="V316" s="778"/>
      <c r="W316" s="778"/>
      <c r="X316" s="778"/>
      <c r="Y316" s="778"/>
      <c r="Z316" s="778"/>
    </row>
    <row r="317">
      <c r="A317" s="777"/>
      <c r="B317" s="777"/>
      <c r="C317" s="777"/>
      <c r="D317" s="778"/>
      <c r="E317" s="778"/>
      <c r="F317" s="778"/>
      <c r="G317" s="778"/>
      <c r="H317" s="778"/>
      <c r="I317" s="778"/>
      <c r="J317" s="778"/>
      <c r="K317" s="778"/>
      <c r="L317" s="778"/>
      <c r="M317" s="778"/>
      <c r="N317" s="778"/>
      <c r="O317" s="778"/>
      <c r="P317" s="778"/>
      <c r="Q317" s="778"/>
      <c r="R317" s="778"/>
      <c r="S317" s="778"/>
      <c r="T317" s="778"/>
      <c r="U317" s="778"/>
      <c r="V317" s="778"/>
      <c r="W317" s="778"/>
      <c r="X317" s="778"/>
      <c r="Y317" s="778"/>
      <c r="Z317" s="778"/>
    </row>
    <row r="318">
      <c r="A318" s="777"/>
      <c r="B318" s="777"/>
      <c r="C318" s="777"/>
      <c r="D318" s="778"/>
      <c r="E318" s="778"/>
      <c r="F318" s="778"/>
      <c r="G318" s="778"/>
      <c r="H318" s="778"/>
      <c r="I318" s="778"/>
      <c r="J318" s="778"/>
      <c r="K318" s="778"/>
      <c r="L318" s="778"/>
      <c r="M318" s="778"/>
      <c r="N318" s="778"/>
      <c r="O318" s="778"/>
      <c r="P318" s="778"/>
      <c r="Q318" s="778"/>
      <c r="R318" s="778"/>
      <c r="S318" s="778"/>
      <c r="T318" s="778"/>
      <c r="U318" s="778"/>
      <c r="V318" s="778"/>
      <c r="W318" s="778"/>
      <c r="X318" s="778"/>
      <c r="Y318" s="778"/>
      <c r="Z318" s="778"/>
    </row>
    <row r="319">
      <c r="A319" s="777"/>
      <c r="B319" s="777"/>
      <c r="C319" s="777"/>
      <c r="D319" s="778"/>
      <c r="E319" s="778"/>
      <c r="F319" s="778"/>
      <c r="G319" s="778"/>
      <c r="H319" s="778"/>
      <c r="I319" s="778"/>
      <c r="J319" s="778"/>
      <c r="K319" s="778"/>
      <c r="L319" s="778"/>
      <c r="M319" s="778"/>
      <c r="N319" s="778"/>
      <c r="O319" s="778"/>
      <c r="P319" s="778"/>
      <c r="Q319" s="778"/>
      <c r="R319" s="778"/>
      <c r="S319" s="778"/>
      <c r="T319" s="778"/>
      <c r="U319" s="778"/>
      <c r="V319" s="778"/>
      <c r="W319" s="778"/>
      <c r="X319" s="778"/>
      <c r="Y319" s="778"/>
      <c r="Z319" s="778"/>
    </row>
    <row r="320">
      <c r="A320" s="777"/>
      <c r="B320" s="777"/>
      <c r="C320" s="777"/>
      <c r="D320" s="778"/>
      <c r="E320" s="778"/>
      <c r="F320" s="778"/>
      <c r="G320" s="778"/>
      <c r="H320" s="778"/>
      <c r="I320" s="778"/>
      <c r="J320" s="778"/>
      <c r="K320" s="778"/>
      <c r="L320" s="778"/>
      <c r="M320" s="778"/>
      <c r="N320" s="778"/>
      <c r="O320" s="778"/>
      <c r="P320" s="778"/>
      <c r="Q320" s="778"/>
      <c r="R320" s="778"/>
      <c r="S320" s="778"/>
      <c r="T320" s="778"/>
      <c r="U320" s="778"/>
      <c r="V320" s="778"/>
      <c r="W320" s="778"/>
      <c r="X320" s="778"/>
      <c r="Y320" s="778"/>
      <c r="Z320" s="778"/>
    </row>
    <row r="321">
      <c r="A321" s="777"/>
      <c r="B321" s="777"/>
      <c r="C321" s="777"/>
      <c r="D321" s="778"/>
      <c r="E321" s="778"/>
      <c r="F321" s="778"/>
      <c r="G321" s="778"/>
      <c r="H321" s="778"/>
      <c r="I321" s="778"/>
      <c r="J321" s="778"/>
      <c r="K321" s="778"/>
      <c r="L321" s="778"/>
      <c r="M321" s="778"/>
      <c r="N321" s="778"/>
      <c r="O321" s="778"/>
      <c r="P321" s="778"/>
      <c r="Q321" s="778"/>
      <c r="R321" s="778"/>
      <c r="S321" s="778"/>
      <c r="T321" s="778"/>
      <c r="U321" s="778"/>
      <c r="V321" s="778"/>
      <c r="W321" s="778"/>
      <c r="X321" s="778"/>
      <c r="Y321" s="778"/>
      <c r="Z321" s="778"/>
    </row>
    <row r="322">
      <c r="A322" s="777"/>
      <c r="B322" s="777"/>
      <c r="C322" s="777"/>
      <c r="D322" s="778"/>
      <c r="E322" s="778"/>
      <c r="F322" s="778"/>
      <c r="G322" s="778"/>
      <c r="H322" s="778"/>
      <c r="I322" s="778"/>
      <c r="J322" s="778"/>
      <c r="K322" s="778"/>
      <c r="L322" s="778"/>
      <c r="M322" s="778"/>
      <c r="N322" s="778"/>
      <c r="O322" s="778"/>
      <c r="P322" s="778"/>
      <c r="Q322" s="778"/>
      <c r="R322" s="778"/>
      <c r="S322" s="778"/>
      <c r="T322" s="778"/>
      <c r="U322" s="778"/>
      <c r="V322" s="778"/>
      <c r="W322" s="778"/>
      <c r="X322" s="778"/>
      <c r="Y322" s="778"/>
      <c r="Z322" s="778"/>
    </row>
    <row r="323">
      <c r="A323" s="777"/>
      <c r="B323" s="777"/>
      <c r="C323" s="777"/>
      <c r="D323" s="778"/>
      <c r="E323" s="778"/>
      <c r="F323" s="778"/>
      <c r="G323" s="778"/>
      <c r="H323" s="778"/>
      <c r="I323" s="778"/>
      <c r="J323" s="778"/>
      <c r="K323" s="778"/>
      <c r="L323" s="778"/>
      <c r="M323" s="778"/>
      <c r="N323" s="778"/>
      <c r="O323" s="778"/>
      <c r="P323" s="778"/>
      <c r="Q323" s="778"/>
      <c r="R323" s="778"/>
      <c r="S323" s="778"/>
      <c r="T323" s="778"/>
      <c r="U323" s="778"/>
      <c r="V323" s="778"/>
      <c r="W323" s="778"/>
      <c r="X323" s="778"/>
      <c r="Y323" s="778"/>
      <c r="Z323" s="778"/>
    </row>
    <row r="324">
      <c r="A324" s="777"/>
      <c r="B324" s="777"/>
      <c r="C324" s="777"/>
      <c r="D324" s="778"/>
      <c r="E324" s="778"/>
      <c r="F324" s="778"/>
      <c r="G324" s="778"/>
      <c r="H324" s="778"/>
      <c r="I324" s="778"/>
      <c r="J324" s="778"/>
      <c r="K324" s="778"/>
      <c r="L324" s="778"/>
      <c r="M324" s="778"/>
      <c r="N324" s="778"/>
      <c r="O324" s="778"/>
      <c r="P324" s="778"/>
      <c r="Q324" s="778"/>
      <c r="R324" s="778"/>
      <c r="S324" s="778"/>
      <c r="T324" s="778"/>
      <c r="U324" s="778"/>
      <c r="V324" s="778"/>
      <c r="W324" s="778"/>
      <c r="X324" s="778"/>
      <c r="Y324" s="778"/>
      <c r="Z324" s="778"/>
    </row>
    <row r="325">
      <c r="A325" s="777"/>
      <c r="B325" s="777"/>
      <c r="C325" s="777"/>
      <c r="D325" s="778"/>
      <c r="E325" s="778"/>
      <c r="F325" s="778"/>
      <c r="G325" s="778"/>
      <c r="H325" s="778"/>
      <c r="I325" s="778"/>
      <c r="J325" s="778"/>
      <c r="K325" s="778"/>
      <c r="L325" s="778"/>
      <c r="M325" s="778"/>
      <c r="N325" s="778"/>
      <c r="O325" s="778"/>
      <c r="P325" s="778"/>
      <c r="Q325" s="778"/>
      <c r="R325" s="778"/>
      <c r="S325" s="778"/>
      <c r="T325" s="778"/>
      <c r="U325" s="778"/>
      <c r="V325" s="778"/>
      <c r="W325" s="778"/>
      <c r="X325" s="778"/>
      <c r="Y325" s="778"/>
      <c r="Z325" s="778"/>
    </row>
    <row r="326">
      <c r="A326" s="777"/>
      <c r="B326" s="777"/>
      <c r="C326" s="777"/>
      <c r="D326" s="778"/>
      <c r="E326" s="778"/>
      <c r="F326" s="778"/>
      <c r="G326" s="778"/>
      <c r="H326" s="778"/>
      <c r="I326" s="778"/>
      <c r="J326" s="778"/>
      <c r="K326" s="778"/>
      <c r="L326" s="778"/>
      <c r="M326" s="778"/>
      <c r="N326" s="778"/>
      <c r="O326" s="778"/>
      <c r="P326" s="778"/>
      <c r="Q326" s="778"/>
      <c r="R326" s="778"/>
      <c r="S326" s="778"/>
      <c r="T326" s="778"/>
      <c r="U326" s="778"/>
      <c r="V326" s="778"/>
      <c r="W326" s="778"/>
      <c r="X326" s="778"/>
      <c r="Y326" s="778"/>
      <c r="Z326" s="778"/>
    </row>
    <row r="327">
      <c r="A327" s="777"/>
      <c r="B327" s="777"/>
      <c r="C327" s="777"/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778"/>
      <c r="V327" s="778"/>
      <c r="W327" s="778"/>
      <c r="X327" s="778"/>
      <c r="Y327" s="778"/>
      <c r="Z327" s="778"/>
    </row>
    <row r="328">
      <c r="A328" s="777"/>
      <c r="B328" s="777"/>
      <c r="C328" s="777"/>
      <c r="D328" s="778"/>
      <c r="E328" s="778"/>
      <c r="F328" s="778"/>
      <c r="G328" s="778"/>
      <c r="H328" s="778"/>
      <c r="I328" s="778"/>
      <c r="J328" s="778"/>
      <c r="K328" s="778"/>
      <c r="L328" s="778"/>
      <c r="M328" s="778"/>
      <c r="N328" s="778"/>
      <c r="O328" s="778"/>
      <c r="P328" s="778"/>
      <c r="Q328" s="778"/>
      <c r="R328" s="778"/>
      <c r="S328" s="778"/>
      <c r="T328" s="778"/>
      <c r="U328" s="778"/>
      <c r="V328" s="778"/>
      <c r="W328" s="778"/>
      <c r="X328" s="778"/>
      <c r="Y328" s="778"/>
      <c r="Z328" s="778"/>
    </row>
    <row r="329">
      <c r="A329" s="777"/>
      <c r="B329" s="777"/>
      <c r="C329" s="777"/>
      <c r="D329" s="778"/>
      <c r="E329" s="778"/>
      <c r="F329" s="778"/>
      <c r="G329" s="778"/>
      <c r="H329" s="778"/>
      <c r="I329" s="778"/>
      <c r="J329" s="778"/>
      <c r="K329" s="778"/>
      <c r="L329" s="778"/>
      <c r="M329" s="778"/>
      <c r="N329" s="778"/>
      <c r="O329" s="778"/>
      <c r="P329" s="778"/>
      <c r="Q329" s="778"/>
      <c r="R329" s="778"/>
      <c r="S329" s="778"/>
      <c r="T329" s="778"/>
      <c r="U329" s="778"/>
      <c r="V329" s="778"/>
      <c r="W329" s="778"/>
      <c r="X329" s="778"/>
      <c r="Y329" s="778"/>
      <c r="Z329" s="778"/>
    </row>
    <row r="330">
      <c r="A330" s="777"/>
      <c r="B330" s="777"/>
      <c r="C330" s="777"/>
      <c r="D330" s="778"/>
      <c r="E330" s="778"/>
      <c r="F330" s="778"/>
      <c r="G330" s="778"/>
      <c r="H330" s="778"/>
      <c r="I330" s="778"/>
      <c r="J330" s="778"/>
      <c r="K330" s="778"/>
      <c r="L330" s="778"/>
      <c r="M330" s="778"/>
      <c r="N330" s="778"/>
      <c r="O330" s="778"/>
      <c r="P330" s="778"/>
      <c r="Q330" s="778"/>
      <c r="R330" s="778"/>
      <c r="S330" s="778"/>
      <c r="T330" s="778"/>
      <c r="U330" s="778"/>
      <c r="V330" s="778"/>
      <c r="W330" s="778"/>
      <c r="X330" s="778"/>
      <c r="Y330" s="778"/>
      <c r="Z330" s="778"/>
    </row>
    <row r="331">
      <c r="A331" s="777"/>
      <c r="B331" s="777"/>
      <c r="C331" s="777"/>
      <c r="D331" s="778"/>
      <c r="E331" s="778"/>
      <c r="F331" s="778"/>
      <c r="G331" s="778"/>
      <c r="H331" s="778"/>
      <c r="I331" s="778"/>
      <c r="J331" s="778"/>
      <c r="K331" s="778"/>
      <c r="L331" s="778"/>
      <c r="M331" s="778"/>
      <c r="N331" s="778"/>
      <c r="O331" s="778"/>
      <c r="P331" s="778"/>
      <c r="Q331" s="778"/>
      <c r="R331" s="778"/>
      <c r="S331" s="778"/>
      <c r="T331" s="778"/>
      <c r="U331" s="778"/>
      <c r="V331" s="778"/>
      <c r="W331" s="778"/>
      <c r="X331" s="778"/>
      <c r="Y331" s="778"/>
      <c r="Z331" s="778"/>
    </row>
    <row r="332">
      <c r="A332" s="777"/>
      <c r="B332" s="777"/>
      <c r="C332" s="777"/>
      <c r="D332" s="778"/>
      <c r="E332" s="778"/>
      <c r="F332" s="778"/>
      <c r="G332" s="778"/>
      <c r="H332" s="778"/>
      <c r="I332" s="778"/>
      <c r="J332" s="778"/>
      <c r="K332" s="778"/>
      <c r="L332" s="778"/>
      <c r="M332" s="778"/>
      <c r="N332" s="778"/>
      <c r="O332" s="778"/>
      <c r="P332" s="778"/>
      <c r="Q332" s="778"/>
      <c r="R332" s="778"/>
      <c r="S332" s="778"/>
      <c r="T332" s="778"/>
      <c r="U332" s="778"/>
      <c r="V332" s="778"/>
      <c r="W332" s="778"/>
      <c r="X332" s="778"/>
      <c r="Y332" s="778"/>
      <c r="Z332" s="778"/>
    </row>
    <row r="333">
      <c r="A333" s="777"/>
      <c r="B333" s="777"/>
      <c r="C333" s="777"/>
      <c r="D333" s="778"/>
      <c r="E333" s="778"/>
      <c r="F333" s="778"/>
      <c r="G333" s="778"/>
      <c r="H333" s="778"/>
      <c r="I333" s="778"/>
      <c r="J333" s="778"/>
      <c r="K333" s="778"/>
      <c r="L333" s="778"/>
      <c r="M333" s="778"/>
      <c r="N333" s="778"/>
      <c r="O333" s="778"/>
      <c r="P333" s="778"/>
      <c r="Q333" s="778"/>
      <c r="R333" s="778"/>
      <c r="S333" s="778"/>
      <c r="T333" s="778"/>
      <c r="U333" s="778"/>
      <c r="V333" s="778"/>
      <c r="W333" s="778"/>
      <c r="X333" s="778"/>
      <c r="Y333" s="778"/>
      <c r="Z333" s="778"/>
    </row>
    <row r="334">
      <c r="A334" s="777"/>
      <c r="B334" s="777"/>
      <c r="C334" s="777"/>
      <c r="D334" s="778"/>
      <c r="E334" s="778"/>
      <c r="F334" s="778"/>
      <c r="G334" s="778"/>
      <c r="H334" s="778"/>
      <c r="I334" s="778"/>
      <c r="J334" s="778"/>
      <c r="K334" s="778"/>
      <c r="L334" s="778"/>
      <c r="M334" s="778"/>
      <c r="N334" s="778"/>
      <c r="O334" s="778"/>
      <c r="P334" s="778"/>
      <c r="Q334" s="778"/>
      <c r="R334" s="778"/>
      <c r="S334" s="778"/>
      <c r="T334" s="778"/>
      <c r="U334" s="778"/>
      <c r="V334" s="778"/>
      <c r="W334" s="778"/>
      <c r="X334" s="778"/>
      <c r="Y334" s="778"/>
      <c r="Z334" s="778"/>
    </row>
    <row r="335">
      <c r="A335" s="777"/>
      <c r="B335" s="777"/>
      <c r="C335" s="777"/>
      <c r="D335" s="778"/>
      <c r="E335" s="778"/>
      <c r="F335" s="778"/>
      <c r="G335" s="778"/>
      <c r="H335" s="778"/>
      <c r="I335" s="778"/>
      <c r="J335" s="778"/>
      <c r="K335" s="778"/>
      <c r="L335" s="778"/>
      <c r="M335" s="778"/>
      <c r="N335" s="778"/>
      <c r="O335" s="778"/>
      <c r="P335" s="778"/>
      <c r="Q335" s="778"/>
      <c r="R335" s="778"/>
      <c r="S335" s="778"/>
      <c r="T335" s="778"/>
      <c r="U335" s="778"/>
      <c r="V335" s="778"/>
      <c r="W335" s="778"/>
      <c r="X335" s="778"/>
      <c r="Y335" s="778"/>
      <c r="Z335" s="778"/>
    </row>
    <row r="336">
      <c r="A336" s="777"/>
      <c r="B336" s="777"/>
      <c r="C336" s="777"/>
      <c r="D336" s="778"/>
      <c r="E336" s="778"/>
      <c r="F336" s="778"/>
      <c r="G336" s="778"/>
      <c r="H336" s="778"/>
      <c r="I336" s="778"/>
      <c r="J336" s="778"/>
      <c r="K336" s="778"/>
      <c r="L336" s="778"/>
      <c r="M336" s="778"/>
      <c r="N336" s="778"/>
      <c r="O336" s="778"/>
      <c r="P336" s="778"/>
      <c r="Q336" s="778"/>
      <c r="R336" s="778"/>
      <c r="S336" s="778"/>
      <c r="T336" s="778"/>
      <c r="U336" s="778"/>
      <c r="V336" s="778"/>
      <c r="W336" s="778"/>
      <c r="X336" s="778"/>
      <c r="Y336" s="778"/>
      <c r="Z336" s="778"/>
    </row>
    <row r="337">
      <c r="A337" s="777"/>
      <c r="B337" s="777"/>
      <c r="C337" s="777"/>
      <c r="D337" s="778"/>
      <c r="E337" s="778"/>
      <c r="F337" s="778"/>
      <c r="G337" s="778"/>
      <c r="H337" s="778"/>
      <c r="I337" s="778"/>
      <c r="J337" s="778"/>
      <c r="K337" s="778"/>
      <c r="L337" s="778"/>
      <c r="M337" s="778"/>
      <c r="N337" s="778"/>
      <c r="O337" s="778"/>
      <c r="P337" s="778"/>
      <c r="Q337" s="778"/>
      <c r="R337" s="778"/>
      <c r="S337" s="778"/>
      <c r="T337" s="778"/>
      <c r="U337" s="778"/>
      <c r="V337" s="778"/>
      <c r="W337" s="778"/>
      <c r="X337" s="778"/>
      <c r="Y337" s="778"/>
      <c r="Z337" s="778"/>
    </row>
    <row r="338">
      <c r="A338" s="777"/>
      <c r="B338" s="777"/>
      <c r="C338" s="777"/>
      <c r="D338" s="778"/>
      <c r="E338" s="778"/>
      <c r="F338" s="778"/>
      <c r="G338" s="778"/>
      <c r="H338" s="778"/>
      <c r="I338" s="778"/>
      <c r="J338" s="778"/>
      <c r="K338" s="778"/>
      <c r="L338" s="778"/>
      <c r="M338" s="778"/>
      <c r="N338" s="778"/>
      <c r="O338" s="778"/>
      <c r="P338" s="778"/>
      <c r="Q338" s="778"/>
      <c r="R338" s="778"/>
      <c r="S338" s="778"/>
      <c r="T338" s="778"/>
      <c r="U338" s="778"/>
      <c r="V338" s="778"/>
      <c r="W338" s="778"/>
      <c r="X338" s="778"/>
      <c r="Y338" s="778"/>
      <c r="Z338" s="778"/>
    </row>
    <row r="339">
      <c r="A339" s="777"/>
      <c r="B339" s="777"/>
      <c r="C339" s="777"/>
      <c r="D339" s="778"/>
      <c r="E339" s="778"/>
      <c r="F339" s="778"/>
      <c r="G339" s="778"/>
      <c r="H339" s="778"/>
      <c r="I339" s="778"/>
      <c r="J339" s="778"/>
      <c r="K339" s="778"/>
      <c r="L339" s="778"/>
      <c r="M339" s="778"/>
      <c r="N339" s="778"/>
      <c r="O339" s="778"/>
      <c r="P339" s="778"/>
      <c r="Q339" s="778"/>
      <c r="R339" s="778"/>
      <c r="S339" s="778"/>
      <c r="T339" s="778"/>
      <c r="U339" s="778"/>
      <c r="V339" s="778"/>
      <c r="W339" s="778"/>
      <c r="X339" s="778"/>
      <c r="Y339" s="778"/>
      <c r="Z339" s="778"/>
    </row>
    <row r="340">
      <c r="A340" s="777"/>
      <c r="B340" s="777"/>
      <c r="C340" s="777"/>
      <c r="D340" s="778"/>
      <c r="E340" s="778"/>
      <c r="F340" s="778"/>
      <c r="G340" s="778"/>
      <c r="H340" s="778"/>
      <c r="I340" s="778"/>
      <c r="J340" s="778"/>
      <c r="K340" s="778"/>
      <c r="L340" s="778"/>
      <c r="M340" s="778"/>
      <c r="N340" s="778"/>
      <c r="O340" s="778"/>
      <c r="P340" s="778"/>
      <c r="Q340" s="778"/>
      <c r="R340" s="778"/>
      <c r="S340" s="778"/>
      <c r="T340" s="778"/>
      <c r="U340" s="778"/>
      <c r="V340" s="778"/>
      <c r="W340" s="778"/>
      <c r="X340" s="778"/>
      <c r="Y340" s="778"/>
      <c r="Z340" s="778"/>
    </row>
    <row r="341">
      <c r="A341" s="777"/>
      <c r="B341" s="777"/>
      <c r="C341" s="777"/>
      <c r="D341" s="778"/>
      <c r="E341" s="778"/>
      <c r="F341" s="778"/>
      <c r="G341" s="778"/>
      <c r="H341" s="778"/>
      <c r="I341" s="778"/>
      <c r="J341" s="778"/>
      <c r="K341" s="778"/>
      <c r="L341" s="778"/>
      <c r="M341" s="778"/>
      <c r="N341" s="778"/>
      <c r="O341" s="778"/>
      <c r="P341" s="778"/>
      <c r="Q341" s="778"/>
      <c r="R341" s="778"/>
      <c r="S341" s="778"/>
      <c r="T341" s="778"/>
      <c r="U341" s="778"/>
      <c r="V341" s="778"/>
      <c r="W341" s="778"/>
      <c r="X341" s="778"/>
      <c r="Y341" s="778"/>
      <c r="Z341" s="778"/>
    </row>
    <row r="342">
      <c r="A342" s="777"/>
      <c r="B342" s="777"/>
      <c r="C342" s="777"/>
      <c r="D342" s="778"/>
      <c r="E342" s="778"/>
      <c r="F342" s="778"/>
      <c r="G342" s="778"/>
      <c r="H342" s="778"/>
      <c r="I342" s="778"/>
      <c r="J342" s="778"/>
      <c r="K342" s="778"/>
      <c r="L342" s="778"/>
      <c r="M342" s="778"/>
      <c r="N342" s="778"/>
      <c r="O342" s="778"/>
      <c r="P342" s="778"/>
      <c r="Q342" s="778"/>
      <c r="R342" s="778"/>
      <c r="S342" s="778"/>
      <c r="T342" s="778"/>
      <c r="U342" s="778"/>
      <c r="V342" s="778"/>
      <c r="W342" s="778"/>
      <c r="X342" s="778"/>
      <c r="Y342" s="778"/>
      <c r="Z342" s="778"/>
    </row>
    <row r="343">
      <c r="A343" s="777"/>
      <c r="B343" s="777"/>
      <c r="C343" s="777"/>
      <c r="D343" s="778"/>
      <c r="E343" s="778"/>
      <c r="F343" s="778"/>
      <c r="G343" s="778"/>
      <c r="H343" s="778"/>
      <c r="I343" s="778"/>
      <c r="J343" s="778"/>
      <c r="K343" s="778"/>
      <c r="L343" s="778"/>
      <c r="M343" s="778"/>
      <c r="N343" s="778"/>
      <c r="O343" s="778"/>
      <c r="P343" s="778"/>
      <c r="Q343" s="778"/>
      <c r="R343" s="778"/>
      <c r="S343" s="778"/>
      <c r="T343" s="778"/>
      <c r="U343" s="778"/>
      <c r="V343" s="778"/>
      <c r="W343" s="778"/>
      <c r="X343" s="778"/>
      <c r="Y343" s="778"/>
      <c r="Z343" s="778"/>
    </row>
    <row r="344">
      <c r="A344" s="777"/>
      <c r="B344" s="777"/>
      <c r="C344" s="777"/>
      <c r="D344" s="778"/>
      <c r="E344" s="778"/>
      <c r="F344" s="778"/>
      <c r="G344" s="778"/>
      <c r="H344" s="778"/>
      <c r="I344" s="778"/>
      <c r="J344" s="778"/>
      <c r="K344" s="778"/>
      <c r="L344" s="778"/>
      <c r="M344" s="778"/>
      <c r="N344" s="778"/>
      <c r="O344" s="778"/>
      <c r="P344" s="778"/>
      <c r="Q344" s="778"/>
      <c r="R344" s="778"/>
      <c r="S344" s="778"/>
      <c r="T344" s="778"/>
      <c r="U344" s="778"/>
      <c r="V344" s="778"/>
      <c r="W344" s="778"/>
      <c r="X344" s="778"/>
      <c r="Y344" s="778"/>
      <c r="Z344" s="778"/>
    </row>
    <row r="345">
      <c r="A345" s="777"/>
      <c r="B345" s="777"/>
      <c r="C345" s="777"/>
      <c r="D345" s="778"/>
      <c r="E345" s="778"/>
      <c r="F345" s="778"/>
      <c r="G345" s="778"/>
      <c r="H345" s="778"/>
      <c r="I345" s="778"/>
      <c r="J345" s="778"/>
      <c r="K345" s="778"/>
      <c r="L345" s="778"/>
      <c r="M345" s="778"/>
      <c r="N345" s="778"/>
      <c r="O345" s="778"/>
      <c r="P345" s="778"/>
      <c r="Q345" s="778"/>
      <c r="R345" s="778"/>
      <c r="S345" s="778"/>
      <c r="T345" s="778"/>
      <c r="U345" s="778"/>
      <c r="V345" s="778"/>
      <c r="W345" s="778"/>
      <c r="X345" s="778"/>
      <c r="Y345" s="778"/>
      <c r="Z345" s="778"/>
    </row>
    <row r="346">
      <c r="A346" s="777"/>
      <c r="B346" s="777"/>
      <c r="C346" s="777"/>
      <c r="D346" s="778"/>
      <c r="E346" s="778"/>
      <c r="F346" s="778"/>
      <c r="G346" s="778"/>
      <c r="H346" s="778"/>
      <c r="I346" s="778"/>
      <c r="J346" s="778"/>
      <c r="K346" s="778"/>
      <c r="L346" s="778"/>
      <c r="M346" s="778"/>
      <c r="N346" s="778"/>
      <c r="O346" s="778"/>
      <c r="P346" s="778"/>
      <c r="Q346" s="778"/>
      <c r="R346" s="778"/>
      <c r="S346" s="778"/>
      <c r="T346" s="778"/>
      <c r="U346" s="778"/>
      <c r="V346" s="778"/>
      <c r="W346" s="778"/>
      <c r="X346" s="778"/>
      <c r="Y346" s="778"/>
      <c r="Z346" s="778"/>
    </row>
    <row r="347">
      <c r="A347" s="777"/>
      <c r="B347" s="777"/>
      <c r="C347" s="777"/>
      <c r="D347" s="778"/>
      <c r="E347" s="778"/>
      <c r="F347" s="778"/>
      <c r="G347" s="778"/>
      <c r="H347" s="778"/>
      <c r="I347" s="778"/>
      <c r="J347" s="778"/>
      <c r="K347" s="778"/>
      <c r="L347" s="778"/>
      <c r="M347" s="778"/>
      <c r="N347" s="778"/>
      <c r="O347" s="778"/>
      <c r="P347" s="778"/>
      <c r="Q347" s="778"/>
      <c r="R347" s="778"/>
      <c r="S347" s="778"/>
      <c r="T347" s="778"/>
      <c r="U347" s="778"/>
      <c r="V347" s="778"/>
      <c r="W347" s="778"/>
      <c r="X347" s="778"/>
      <c r="Y347" s="778"/>
      <c r="Z347" s="778"/>
    </row>
    <row r="348">
      <c r="A348" s="777"/>
      <c r="B348" s="777"/>
      <c r="C348" s="777"/>
      <c r="D348" s="778"/>
      <c r="E348" s="778"/>
      <c r="F348" s="778"/>
      <c r="G348" s="778"/>
      <c r="H348" s="778"/>
      <c r="I348" s="778"/>
      <c r="J348" s="778"/>
      <c r="K348" s="778"/>
      <c r="L348" s="778"/>
      <c r="M348" s="778"/>
      <c r="N348" s="778"/>
      <c r="O348" s="778"/>
      <c r="P348" s="778"/>
      <c r="Q348" s="778"/>
      <c r="R348" s="778"/>
      <c r="S348" s="778"/>
      <c r="T348" s="778"/>
      <c r="U348" s="778"/>
      <c r="V348" s="778"/>
      <c r="W348" s="778"/>
      <c r="X348" s="778"/>
      <c r="Y348" s="778"/>
      <c r="Z348" s="778"/>
    </row>
    <row r="349">
      <c r="A349" s="777"/>
      <c r="B349" s="777"/>
      <c r="C349" s="777"/>
      <c r="D349" s="778"/>
      <c r="E349" s="778"/>
      <c r="F349" s="778"/>
      <c r="G349" s="778"/>
      <c r="H349" s="778"/>
      <c r="I349" s="778"/>
      <c r="J349" s="778"/>
      <c r="K349" s="778"/>
      <c r="L349" s="778"/>
      <c r="M349" s="778"/>
      <c r="N349" s="778"/>
      <c r="O349" s="778"/>
      <c r="P349" s="778"/>
      <c r="Q349" s="778"/>
      <c r="R349" s="778"/>
      <c r="S349" s="778"/>
      <c r="T349" s="778"/>
      <c r="U349" s="778"/>
      <c r="V349" s="778"/>
      <c r="W349" s="778"/>
      <c r="X349" s="778"/>
      <c r="Y349" s="778"/>
      <c r="Z349" s="778"/>
    </row>
    <row r="350">
      <c r="A350" s="777"/>
      <c r="B350" s="777"/>
      <c r="C350" s="777"/>
      <c r="D350" s="778"/>
      <c r="E350" s="778"/>
      <c r="F350" s="778"/>
      <c r="G350" s="778"/>
      <c r="H350" s="778"/>
      <c r="I350" s="778"/>
      <c r="J350" s="778"/>
      <c r="K350" s="778"/>
      <c r="L350" s="778"/>
      <c r="M350" s="778"/>
      <c r="N350" s="778"/>
      <c r="O350" s="778"/>
      <c r="P350" s="778"/>
      <c r="Q350" s="778"/>
      <c r="R350" s="778"/>
      <c r="S350" s="778"/>
      <c r="T350" s="778"/>
      <c r="U350" s="778"/>
      <c r="V350" s="778"/>
      <c r="W350" s="778"/>
      <c r="X350" s="778"/>
      <c r="Y350" s="778"/>
      <c r="Z350" s="778"/>
    </row>
    <row r="351">
      <c r="A351" s="777"/>
      <c r="B351" s="777"/>
      <c r="C351" s="777"/>
      <c r="D351" s="778"/>
      <c r="E351" s="778"/>
      <c r="F351" s="778"/>
      <c r="G351" s="778"/>
      <c r="H351" s="778"/>
      <c r="I351" s="778"/>
      <c r="J351" s="778"/>
      <c r="K351" s="778"/>
      <c r="L351" s="778"/>
      <c r="M351" s="778"/>
      <c r="N351" s="778"/>
      <c r="O351" s="778"/>
      <c r="P351" s="778"/>
      <c r="Q351" s="778"/>
      <c r="R351" s="778"/>
      <c r="S351" s="778"/>
      <c r="T351" s="778"/>
      <c r="U351" s="778"/>
      <c r="V351" s="778"/>
      <c r="W351" s="778"/>
      <c r="X351" s="778"/>
      <c r="Y351" s="778"/>
      <c r="Z351" s="778"/>
    </row>
    <row r="352">
      <c r="A352" s="777"/>
      <c r="B352" s="777"/>
      <c r="C352" s="777"/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778"/>
      <c r="V352" s="778"/>
      <c r="W352" s="778"/>
      <c r="X352" s="778"/>
      <c r="Y352" s="778"/>
      <c r="Z352" s="778"/>
    </row>
    <row r="353">
      <c r="A353" s="777"/>
      <c r="B353" s="777"/>
      <c r="C353" s="777"/>
      <c r="D353" s="778"/>
      <c r="E353" s="778"/>
      <c r="F353" s="778"/>
      <c r="G353" s="778"/>
      <c r="H353" s="778"/>
      <c r="I353" s="778"/>
      <c r="J353" s="778"/>
      <c r="K353" s="778"/>
      <c r="L353" s="778"/>
      <c r="M353" s="778"/>
      <c r="N353" s="778"/>
      <c r="O353" s="778"/>
      <c r="P353" s="778"/>
      <c r="Q353" s="778"/>
      <c r="R353" s="778"/>
      <c r="S353" s="778"/>
      <c r="T353" s="778"/>
      <c r="U353" s="778"/>
      <c r="V353" s="778"/>
      <c r="W353" s="778"/>
      <c r="X353" s="778"/>
      <c r="Y353" s="778"/>
      <c r="Z353" s="778"/>
    </row>
    <row r="354">
      <c r="A354" s="777"/>
      <c r="B354" s="777"/>
      <c r="C354" s="777"/>
      <c r="D354" s="778"/>
      <c r="E354" s="778"/>
      <c r="F354" s="778"/>
      <c r="G354" s="778"/>
      <c r="H354" s="778"/>
      <c r="I354" s="778"/>
      <c r="J354" s="778"/>
      <c r="K354" s="778"/>
      <c r="L354" s="778"/>
      <c r="M354" s="778"/>
      <c r="N354" s="778"/>
      <c r="O354" s="778"/>
      <c r="P354" s="778"/>
      <c r="Q354" s="778"/>
      <c r="R354" s="778"/>
      <c r="S354" s="778"/>
      <c r="T354" s="778"/>
      <c r="U354" s="778"/>
      <c r="V354" s="778"/>
      <c r="W354" s="778"/>
      <c r="X354" s="778"/>
      <c r="Y354" s="778"/>
      <c r="Z354" s="778"/>
    </row>
    <row r="355">
      <c r="A355" s="777"/>
      <c r="B355" s="777"/>
      <c r="C355" s="777"/>
      <c r="D355" s="778"/>
      <c r="E355" s="778"/>
      <c r="F355" s="778"/>
      <c r="G355" s="778"/>
      <c r="H355" s="778"/>
      <c r="I355" s="778"/>
      <c r="J355" s="778"/>
      <c r="K355" s="778"/>
      <c r="L355" s="778"/>
      <c r="M355" s="778"/>
      <c r="N355" s="778"/>
      <c r="O355" s="778"/>
      <c r="P355" s="778"/>
      <c r="Q355" s="778"/>
      <c r="R355" s="778"/>
      <c r="S355" s="778"/>
      <c r="T355" s="778"/>
      <c r="U355" s="778"/>
      <c r="V355" s="778"/>
      <c r="W355" s="778"/>
      <c r="X355" s="778"/>
      <c r="Y355" s="778"/>
      <c r="Z355" s="778"/>
    </row>
    <row r="356">
      <c r="A356" s="777"/>
      <c r="B356" s="777"/>
      <c r="C356" s="777"/>
      <c r="D356" s="778"/>
      <c r="E356" s="778"/>
      <c r="F356" s="778"/>
      <c r="G356" s="778"/>
      <c r="H356" s="778"/>
      <c r="I356" s="778"/>
      <c r="J356" s="778"/>
      <c r="K356" s="778"/>
      <c r="L356" s="778"/>
      <c r="M356" s="778"/>
      <c r="N356" s="778"/>
      <c r="O356" s="778"/>
      <c r="P356" s="778"/>
      <c r="Q356" s="778"/>
      <c r="R356" s="778"/>
      <c r="S356" s="778"/>
      <c r="T356" s="778"/>
      <c r="U356" s="778"/>
      <c r="V356" s="778"/>
      <c r="W356" s="778"/>
      <c r="X356" s="778"/>
      <c r="Y356" s="778"/>
      <c r="Z356" s="778"/>
    </row>
    <row r="357">
      <c r="A357" s="777"/>
      <c r="B357" s="777"/>
      <c r="C357" s="777"/>
      <c r="D357" s="778"/>
      <c r="E357" s="778"/>
      <c r="F357" s="778"/>
      <c r="G357" s="778"/>
      <c r="H357" s="778"/>
      <c r="I357" s="778"/>
      <c r="J357" s="778"/>
      <c r="K357" s="778"/>
      <c r="L357" s="778"/>
      <c r="M357" s="778"/>
      <c r="N357" s="778"/>
      <c r="O357" s="778"/>
      <c r="P357" s="778"/>
      <c r="Q357" s="778"/>
      <c r="R357" s="778"/>
      <c r="S357" s="778"/>
      <c r="T357" s="778"/>
      <c r="U357" s="778"/>
      <c r="V357" s="778"/>
      <c r="W357" s="778"/>
      <c r="X357" s="778"/>
      <c r="Y357" s="778"/>
      <c r="Z357" s="778"/>
    </row>
    <row r="358">
      <c r="A358" s="777"/>
      <c r="B358" s="777"/>
      <c r="C358" s="777"/>
      <c r="D358" s="778"/>
      <c r="E358" s="778"/>
      <c r="F358" s="778"/>
      <c r="G358" s="778"/>
      <c r="H358" s="778"/>
      <c r="I358" s="778"/>
      <c r="J358" s="778"/>
      <c r="K358" s="778"/>
      <c r="L358" s="778"/>
      <c r="M358" s="778"/>
      <c r="N358" s="778"/>
      <c r="O358" s="778"/>
      <c r="P358" s="778"/>
      <c r="Q358" s="778"/>
      <c r="R358" s="778"/>
      <c r="S358" s="778"/>
      <c r="T358" s="778"/>
      <c r="U358" s="778"/>
      <c r="V358" s="778"/>
      <c r="W358" s="778"/>
      <c r="X358" s="778"/>
      <c r="Y358" s="778"/>
      <c r="Z358" s="778"/>
    </row>
    <row r="359">
      <c r="A359" s="777"/>
      <c r="B359" s="777"/>
      <c r="C359" s="777"/>
      <c r="D359" s="778"/>
      <c r="E359" s="778"/>
      <c r="F359" s="778"/>
      <c r="G359" s="778"/>
      <c r="H359" s="778"/>
      <c r="I359" s="778"/>
      <c r="J359" s="778"/>
      <c r="K359" s="778"/>
      <c r="L359" s="778"/>
      <c r="M359" s="778"/>
      <c r="N359" s="778"/>
      <c r="O359" s="778"/>
      <c r="P359" s="778"/>
      <c r="Q359" s="778"/>
      <c r="R359" s="778"/>
      <c r="S359" s="778"/>
      <c r="T359" s="778"/>
      <c r="U359" s="778"/>
      <c r="V359" s="778"/>
      <c r="W359" s="778"/>
      <c r="X359" s="778"/>
      <c r="Y359" s="778"/>
      <c r="Z359" s="778"/>
    </row>
    <row r="360">
      <c r="A360" s="777"/>
      <c r="B360" s="777"/>
      <c r="C360" s="777"/>
      <c r="D360" s="778"/>
      <c r="E360" s="778"/>
      <c r="F360" s="778"/>
      <c r="G360" s="778"/>
      <c r="H360" s="778"/>
      <c r="I360" s="778"/>
      <c r="J360" s="778"/>
      <c r="K360" s="778"/>
      <c r="L360" s="778"/>
      <c r="M360" s="778"/>
      <c r="N360" s="778"/>
      <c r="O360" s="778"/>
      <c r="P360" s="778"/>
      <c r="Q360" s="778"/>
      <c r="R360" s="778"/>
      <c r="S360" s="778"/>
      <c r="T360" s="778"/>
      <c r="U360" s="778"/>
      <c r="V360" s="778"/>
      <c r="W360" s="778"/>
      <c r="X360" s="778"/>
      <c r="Y360" s="778"/>
      <c r="Z360" s="778"/>
    </row>
    <row r="361">
      <c r="A361" s="777"/>
      <c r="B361" s="777"/>
      <c r="C361" s="777"/>
      <c r="D361" s="778"/>
      <c r="E361" s="778"/>
      <c r="F361" s="778"/>
      <c r="G361" s="778"/>
      <c r="H361" s="778"/>
      <c r="I361" s="778"/>
      <c r="J361" s="778"/>
      <c r="K361" s="778"/>
      <c r="L361" s="778"/>
      <c r="M361" s="778"/>
      <c r="N361" s="778"/>
      <c r="O361" s="778"/>
      <c r="P361" s="778"/>
      <c r="Q361" s="778"/>
      <c r="R361" s="778"/>
      <c r="S361" s="778"/>
      <c r="T361" s="778"/>
      <c r="U361" s="778"/>
      <c r="V361" s="778"/>
      <c r="W361" s="778"/>
      <c r="X361" s="778"/>
      <c r="Y361" s="778"/>
      <c r="Z361" s="778"/>
    </row>
    <row r="362">
      <c r="A362" s="777"/>
      <c r="B362" s="777"/>
      <c r="C362" s="777"/>
      <c r="D362" s="778"/>
      <c r="E362" s="778"/>
      <c r="F362" s="778"/>
      <c r="G362" s="778"/>
      <c r="H362" s="778"/>
      <c r="I362" s="778"/>
      <c r="J362" s="778"/>
      <c r="K362" s="778"/>
      <c r="L362" s="778"/>
      <c r="M362" s="778"/>
      <c r="N362" s="778"/>
      <c r="O362" s="778"/>
      <c r="P362" s="778"/>
      <c r="Q362" s="778"/>
      <c r="R362" s="778"/>
      <c r="S362" s="778"/>
      <c r="T362" s="778"/>
      <c r="U362" s="778"/>
      <c r="V362" s="778"/>
      <c r="W362" s="778"/>
      <c r="X362" s="778"/>
      <c r="Y362" s="778"/>
      <c r="Z362" s="778"/>
    </row>
    <row r="363">
      <c r="A363" s="777"/>
      <c r="B363" s="777"/>
      <c r="C363" s="777"/>
      <c r="D363" s="778"/>
      <c r="E363" s="778"/>
      <c r="F363" s="778"/>
      <c r="G363" s="778"/>
      <c r="H363" s="778"/>
      <c r="I363" s="778"/>
      <c r="J363" s="778"/>
      <c r="K363" s="778"/>
      <c r="L363" s="778"/>
      <c r="M363" s="778"/>
      <c r="N363" s="778"/>
      <c r="O363" s="778"/>
      <c r="P363" s="778"/>
      <c r="Q363" s="778"/>
      <c r="R363" s="778"/>
      <c r="S363" s="778"/>
      <c r="T363" s="778"/>
      <c r="U363" s="778"/>
      <c r="V363" s="778"/>
      <c r="W363" s="778"/>
      <c r="X363" s="778"/>
      <c r="Y363" s="778"/>
      <c r="Z363" s="778"/>
    </row>
    <row r="364">
      <c r="A364" s="777"/>
      <c r="B364" s="777"/>
      <c r="C364" s="777"/>
      <c r="D364" s="778"/>
      <c r="E364" s="778"/>
      <c r="F364" s="778"/>
      <c r="G364" s="778"/>
      <c r="H364" s="778"/>
      <c r="I364" s="778"/>
      <c r="J364" s="778"/>
      <c r="K364" s="778"/>
      <c r="L364" s="778"/>
      <c r="M364" s="778"/>
      <c r="N364" s="778"/>
      <c r="O364" s="778"/>
      <c r="P364" s="778"/>
      <c r="Q364" s="778"/>
      <c r="R364" s="778"/>
      <c r="S364" s="778"/>
      <c r="T364" s="778"/>
      <c r="U364" s="778"/>
      <c r="V364" s="778"/>
      <c r="W364" s="778"/>
      <c r="X364" s="778"/>
      <c r="Y364" s="778"/>
      <c r="Z364" s="778"/>
    </row>
    <row r="365">
      <c r="A365" s="777"/>
      <c r="B365" s="777"/>
      <c r="C365" s="777"/>
      <c r="D365" s="778"/>
      <c r="E365" s="778"/>
      <c r="F365" s="778"/>
      <c r="G365" s="778"/>
      <c r="H365" s="778"/>
      <c r="I365" s="778"/>
      <c r="J365" s="778"/>
      <c r="K365" s="778"/>
      <c r="L365" s="778"/>
      <c r="M365" s="778"/>
      <c r="N365" s="778"/>
      <c r="O365" s="778"/>
      <c r="P365" s="778"/>
      <c r="Q365" s="778"/>
      <c r="R365" s="778"/>
      <c r="S365" s="778"/>
      <c r="T365" s="778"/>
      <c r="U365" s="778"/>
      <c r="V365" s="778"/>
      <c r="W365" s="778"/>
      <c r="X365" s="778"/>
      <c r="Y365" s="778"/>
      <c r="Z365" s="778"/>
    </row>
    <row r="366">
      <c r="A366" s="777"/>
      <c r="B366" s="777"/>
      <c r="C366" s="777"/>
      <c r="D366" s="778"/>
      <c r="E366" s="778"/>
      <c r="F366" s="778"/>
      <c r="G366" s="778"/>
      <c r="H366" s="778"/>
      <c r="I366" s="778"/>
      <c r="J366" s="778"/>
      <c r="K366" s="778"/>
      <c r="L366" s="778"/>
      <c r="M366" s="778"/>
      <c r="N366" s="778"/>
      <c r="O366" s="778"/>
      <c r="P366" s="778"/>
      <c r="Q366" s="778"/>
      <c r="R366" s="778"/>
      <c r="S366" s="778"/>
      <c r="T366" s="778"/>
      <c r="U366" s="778"/>
      <c r="V366" s="778"/>
      <c r="W366" s="778"/>
      <c r="X366" s="778"/>
      <c r="Y366" s="778"/>
      <c r="Z366" s="778"/>
    </row>
    <row r="367">
      <c r="A367" s="777"/>
      <c r="B367" s="777"/>
      <c r="C367" s="777"/>
      <c r="D367" s="778"/>
      <c r="E367" s="778"/>
      <c r="F367" s="778"/>
      <c r="G367" s="778"/>
      <c r="H367" s="778"/>
      <c r="I367" s="778"/>
      <c r="J367" s="778"/>
      <c r="K367" s="778"/>
      <c r="L367" s="778"/>
      <c r="M367" s="778"/>
      <c r="N367" s="778"/>
      <c r="O367" s="778"/>
      <c r="P367" s="778"/>
      <c r="Q367" s="778"/>
      <c r="R367" s="778"/>
      <c r="S367" s="778"/>
      <c r="T367" s="778"/>
      <c r="U367" s="778"/>
      <c r="V367" s="778"/>
      <c r="W367" s="778"/>
      <c r="X367" s="778"/>
      <c r="Y367" s="778"/>
      <c r="Z367" s="778"/>
    </row>
    <row r="368">
      <c r="A368" s="777"/>
      <c r="B368" s="777"/>
      <c r="C368" s="777"/>
      <c r="D368" s="778"/>
      <c r="E368" s="778"/>
      <c r="F368" s="778"/>
      <c r="G368" s="778"/>
      <c r="H368" s="778"/>
      <c r="I368" s="778"/>
      <c r="J368" s="778"/>
      <c r="K368" s="778"/>
      <c r="L368" s="778"/>
      <c r="M368" s="778"/>
      <c r="N368" s="778"/>
      <c r="O368" s="778"/>
      <c r="P368" s="778"/>
      <c r="Q368" s="778"/>
      <c r="R368" s="778"/>
      <c r="S368" s="778"/>
      <c r="T368" s="778"/>
      <c r="U368" s="778"/>
      <c r="V368" s="778"/>
      <c r="W368" s="778"/>
      <c r="X368" s="778"/>
      <c r="Y368" s="778"/>
      <c r="Z368" s="778"/>
    </row>
    <row r="369">
      <c r="A369" s="777"/>
      <c r="B369" s="777"/>
      <c r="C369" s="777"/>
      <c r="D369" s="778"/>
      <c r="E369" s="778"/>
      <c r="F369" s="778"/>
      <c r="G369" s="778"/>
      <c r="H369" s="778"/>
      <c r="I369" s="778"/>
      <c r="J369" s="778"/>
      <c r="K369" s="778"/>
      <c r="L369" s="778"/>
      <c r="M369" s="778"/>
      <c r="N369" s="778"/>
      <c r="O369" s="778"/>
      <c r="P369" s="778"/>
      <c r="Q369" s="778"/>
      <c r="R369" s="778"/>
      <c r="S369" s="778"/>
      <c r="T369" s="778"/>
      <c r="U369" s="778"/>
      <c r="V369" s="778"/>
      <c r="W369" s="778"/>
      <c r="X369" s="778"/>
      <c r="Y369" s="778"/>
      <c r="Z369" s="778"/>
    </row>
    <row r="370">
      <c r="A370" s="777"/>
      <c r="B370" s="777"/>
      <c r="C370" s="777"/>
      <c r="D370" s="778"/>
      <c r="E370" s="778"/>
      <c r="F370" s="778"/>
      <c r="G370" s="778"/>
      <c r="H370" s="778"/>
      <c r="I370" s="778"/>
      <c r="J370" s="778"/>
      <c r="K370" s="778"/>
      <c r="L370" s="778"/>
      <c r="M370" s="778"/>
      <c r="N370" s="778"/>
      <c r="O370" s="778"/>
      <c r="P370" s="778"/>
      <c r="Q370" s="778"/>
      <c r="R370" s="778"/>
      <c r="S370" s="778"/>
      <c r="T370" s="778"/>
      <c r="U370" s="778"/>
      <c r="V370" s="778"/>
      <c r="W370" s="778"/>
      <c r="X370" s="778"/>
      <c r="Y370" s="778"/>
      <c r="Z370" s="778"/>
    </row>
    <row r="371">
      <c r="A371" s="777"/>
      <c r="B371" s="777"/>
      <c r="C371" s="777"/>
      <c r="D371" s="778"/>
      <c r="E371" s="778"/>
      <c r="F371" s="778"/>
      <c r="G371" s="778"/>
      <c r="H371" s="778"/>
      <c r="I371" s="778"/>
      <c r="J371" s="778"/>
      <c r="K371" s="778"/>
      <c r="L371" s="778"/>
      <c r="M371" s="778"/>
      <c r="N371" s="778"/>
      <c r="O371" s="778"/>
      <c r="P371" s="778"/>
      <c r="Q371" s="778"/>
      <c r="R371" s="778"/>
      <c r="S371" s="778"/>
      <c r="T371" s="778"/>
      <c r="U371" s="778"/>
      <c r="V371" s="778"/>
      <c r="W371" s="778"/>
      <c r="X371" s="778"/>
      <c r="Y371" s="778"/>
      <c r="Z371" s="778"/>
    </row>
    <row r="372">
      <c r="A372" s="777"/>
      <c r="B372" s="777"/>
      <c r="C372" s="777"/>
      <c r="D372" s="778"/>
      <c r="E372" s="778"/>
      <c r="F372" s="778"/>
      <c r="G372" s="778"/>
      <c r="H372" s="778"/>
      <c r="I372" s="778"/>
      <c r="J372" s="778"/>
      <c r="K372" s="778"/>
      <c r="L372" s="778"/>
      <c r="M372" s="778"/>
      <c r="N372" s="778"/>
      <c r="O372" s="778"/>
      <c r="P372" s="778"/>
      <c r="Q372" s="778"/>
      <c r="R372" s="778"/>
      <c r="S372" s="778"/>
      <c r="T372" s="778"/>
      <c r="U372" s="778"/>
      <c r="V372" s="778"/>
      <c r="W372" s="778"/>
      <c r="X372" s="778"/>
      <c r="Y372" s="778"/>
      <c r="Z372" s="778"/>
    </row>
    <row r="373">
      <c r="A373" s="777"/>
      <c r="B373" s="777"/>
      <c r="C373" s="777"/>
      <c r="D373" s="778"/>
      <c r="E373" s="778"/>
      <c r="F373" s="778"/>
      <c r="G373" s="778"/>
      <c r="H373" s="778"/>
      <c r="I373" s="778"/>
      <c r="J373" s="778"/>
      <c r="K373" s="778"/>
      <c r="L373" s="778"/>
      <c r="M373" s="778"/>
      <c r="N373" s="778"/>
      <c r="O373" s="778"/>
      <c r="P373" s="778"/>
      <c r="Q373" s="778"/>
      <c r="R373" s="778"/>
      <c r="S373" s="778"/>
      <c r="T373" s="778"/>
      <c r="U373" s="778"/>
      <c r="V373" s="778"/>
      <c r="W373" s="778"/>
      <c r="X373" s="778"/>
      <c r="Y373" s="778"/>
      <c r="Z373" s="778"/>
    </row>
    <row r="374">
      <c r="A374" s="777"/>
      <c r="B374" s="777"/>
      <c r="C374" s="777"/>
      <c r="D374" s="778"/>
      <c r="E374" s="778"/>
      <c r="F374" s="778"/>
      <c r="G374" s="778"/>
      <c r="H374" s="778"/>
      <c r="I374" s="778"/>
      <c r="J374" s="778"/>
      <c r="K374" s="778"/>
      <c r="L374" s="778"/>
      <c r="M374" s="778"/>
      <c r="N374" s="778"/>
      <c r="O374" s="778"/>
      <c r="P374" s="778"/>
      <c r="Q374" s="778"/>
      <c r="R374" s="778"/>
      <c r="S374" s="778"/>
      <c r="T374" s="778"/>
      <c r="U374" s="778"/>
      <c r="V374" s="778"/>
      <c r="W374" s="778"/>
      <c r="X374" s="778"/>
      <c r="Y374" s="778"/>
      <c r="Z374" s="778"/>
    </row>
    <row r="375">
      <c r="A375" s="777"/>
      <c r="B375" s="777"/>
      <c r="C375" s="777"/>
      <c r="D375" s="778"/>
      <c r="E375" s="778"/>
      <c r="F375" s="778"/>
      <c r="G375" s="778"/>
      <c r="H375" s="778"/>
      <c r="I375" s="778"/>
      <c r="J375" s="778"/>
      <c r="K375" s="778"/>
      <c r="L375" s="778"/>
      <c r="M375" s="778"/>
      <c r="N375" s="778"/>
      <c r="O375" s="778"/>
      <c r="P375" s="778"/>
      <c r="Q375" s="778"/>
      <c r="R375" s="778"/>
      <c r="S375" s="778"/>
      <c r="T375" s="778"/>
      <c r="U375" s="778"/>
      <c r="V375" s="778"/>
      <c r="W375" s="778"/>
      <c r="X375" s="778"/>
      <c r="Y375" s="778"/>
      <c r="Z375" s="778"/>
    </row>
    <row r="376">
      <c r="A376" s="777"/>
      <c r="B376" s="777"/>
      <c r="C376" s="777"/>
      <c r="D376" s="778"/>
      <c r="E376" s="778"/>
      <c r="F376" s="778"/>
      <c r="G376" s="778"/>
      <c r="H376" s="778"/>
      <c r="I376" s="778"/>
      <c r="J376" s="778"/>
      <c r="K376" s="778"/>
      <c r="L376" s="778"/>
      <c r="M376" s="778"/>
      <c r="N376" s="778"/>
      <c r="O376" s="778"/>
      <c r="P376" s="778"/>
      <c r="Q376" s="778"/>
      <c r="R376" s="778"/>
      <c r="S376" s="778"/>
      <c r="T376" s="778"/>
      <c r="U376" s="778"/>
      <c r="V376" s="778"/>
      <c r="W376" s="778"/>
      <c r="X376" s="778"/>
      <c r="Y376" s="778"/>
      <c r="Z376" s="778"/>
    </row>
    <row r="377">
      <c r="A377" s="777"/>
      <c r="B377" s="777"/>
      <c r="C377" s="777"/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778"/>
      <c r="V377" s="778"/>
      <c r="W377" s="778"/>
      <c r="X377" s="778"/>
      <c r="Y377" s="778"/>
      <c r="Z377" s="778"/>
    </row>
    <row r="378">
      <c r="A378" s="777"/>
      <c r="B378" s="777"/>
      <c r="C378" s="777"/>
      <c r="D378" s="778"/>
      <c r="E378" s="778"/>
      <c r="F378" s="778"/>
      <c r="G378" s="778"/>
      <c r="H378" s="778"/>
      <c r="I378" s="778"/>
      <c r="J378" s="778"/>
      <c r="K378" s="778"/>
      <c r="L378" s="778"/>
      <c r="M378" s="778"/>
      <c r="N378" s="778"/>
      <c r="O378" s="778"/>
      <c r="P378" s="778"/>
      <c r="Q378" s="778"/>
      <c r="R378" s="778"/>
      <c r="S378" s="778"/>
      <c r="T378" s="778"/>
      <c r="U378" s="778"/>
      <c r="V378" s="778"/>
      <c r="W378" s="778"/>
      <c r="X378" s="778"/>
      <c r="Y378" s="778"/>
      <c r="Z378" s="778"/>
    </row>
    <row r="379">
      <c r="A379" s="777"/>
      <c r="B379" s="777"/>
      <c r="C379" s="777"/>
      <c r="D379" s="778"/>
      <c r="E379" s="778"/>
      <c r="F379" s="778"/>
      <c r="G379" s="778"/>
      <c r="H379" s="778"/>
      <c r="I379" s="778"/>
      <c r="J379" s="778"/>
      <c r="K379" s="778"/>
      <c r="L379" s="778"/>
      <c r="M379" s="778"/>
      <c r="N379" s="778"/>
      <c r="O379" s="778"/>
      <c r="P379" s="778"/>
      <c r="Q379" s="778"/>
      <c r="R379" s="778"/>
      <c r="S379" s="778"/>
      <c r="T379" s="778"/>
      <c r="U379" s="778"/>
      <c r="V379" s="778"/>
      <c r="W379" s="778"/>
      <c r="X379" s="778"/>
      <c r="Y379" s="778"/>
      <c r="Z379" s="778"/>
    </row>
    <row r="380">
      <c r="A380" s="777"/>
      <c r="B380" s="777"/>
      <c r="C380" s="777"/>
      <c r="D380" s="778"/>
      <c r="E380" s="778"/>
      <c r="F380" s="778"/>
      <c r="G380" s="778"/>
      <c r="H380" s="778"/>
      <c r="I380" s="778"/>
      <c r="J380" s="778"/>
      <c r="K380" s="778"/>
      <c r="L380" s="778"/>
      <c r="M380" s="778"/>
      <c r="N380" s="778"/>
      <c r="O380" s="778"/>
      <c r="P380" s="778"/>
      <c r="Q380" s="778"/>
      <c r="R380" s="778"/>
      <c r="S380" s="778"/>
      <c r="T380" s="778"/>
      <c r="U380" s="778"/>
      <c r="V380" s="778"/>
      <c r="W380" s="778"/>
      <c r="X380" s="778"/>
      <c r="Y380" s="778"/>
      <c r="Z380" s="778"/>
    </row>
    <row r="381">
      <c r="A381" s="777"/>
      <c r="B381" s="777"/>
      <c r="C381" s="777"/>
      <c r="D381" s="778"/>
      <c r="E381" s="778"/>
      <c r="F381" s="778"/>
      <c r="G381" s="778"/>
      <c r="H381" s="778"/>
      <c r="I381" s="778"/>
      <c r="J381" s="778"/>
      <c r="K381" s="778"/>
      <c r="L381" s="778"/>
      <c r="M381" s="778"/>
      <c r="N381" s="778"/>
      <c r="O381" s="778"/>
      <c r="P381" s="778"/>
      <c r="Q381" s="778"/>
      <c r="R381" s="778"/>
      <c r="S381" s="778"/>
      <c r="T381" s="778"/>
      <c r="U381" s="778"/>
      <c r="V381" s="778"/>
      <c r="W381" s="778"/>
      <c r="X381" s="778"/>
      <c r="Y381" s="778"/>
      <c r="Z381" s="778"/>
    </row>
    <row r="382">
      <c r="A382" s="777"/>
      <c r="B382" s="777"/>
      <c r="C382" s="777"/>
      <c r="D382" s="778"/>
      <c r="E382" s="778"/>
      <c r="F382" s="778"/>
      <c r="G382" s="778"/>
      <c r="H382" s="778"/>
      <c r="I382" s="778"/>
      <c r="J382" s="778"/>
      <c r="K382" s="778"/>
      <c r="L382" s="778"/>
      <c r="M382" s="778"/>
      <c r="N382" s="778"/>
      <c r="O382" s="778"/>
      <c r="P382" s="778"/>
      <c r="Q382" s="778"/>
      <c r="R382" s="778"/>
      <c r="S382" s="778"/>
      <c r="T382" s="778"/>
      <c r="U382" s="778"/>
      <c r="V382" s="778"/>
      <c r="W382" s="778"/>
      <c r="X382" s="778"/>
      <c r="Y382" s="778"/>
      <c r="Z382" s="778"/>
    </row>
    <row r="383">
      <c r="A383" s="777"/>
      <c r="B383" s="777"/>
      <c r="C383" s="777"/>
      <c r="D383" s="778"/>
      <c r="E383" s="778"/>
      <c r="F383" s="778"/>
      <c r="G383" s="778"/>
      <c r="H383" s="778"/>
      <c r="I383" s="778"/>
      <c r="J383" s="778"/>
      <c r="K383" s="778"/>
      <c r="L383" s="778"/>
      <c r="M383" s="778"/>
      <c r="N383" s="778"/>
      <c r="O383" s="778"/>
      <c r="P383" s="778"/>
      <c r="Q383" s="778"/>
      <c r="R383" s="778"/>
      <c r="S383" s="778"/>
      <c r="T383" s="778"/>
      <c r="U383" s="778"/>
      <c r="V383" s="778"/>
      <c r="W383" s="778"/>
      <c r="X383" s="778"/>
      <c r="Y383" s="778"/>
      <c r="Z383" s="778"/>
    </row>
    <row r="384">
      <c r="A384" s="777"/>
      <c r="B384" s="777"/>
      <c r="C384" s="777"/>
      <c r="D384" s="778"/>
      <c r="E384" s="778"/>
      <c r="F384" s="778"/>
      <c r="G384" s="778"/>
      <c r="H384" s="778"/>
      <c r="I384" s="778"/>
      <c r="J384" s="778"/>
      <c r="K384" s="778"/>
      <c r="L384" s="778"/>
      <c r="M384" s="778"/>
      <c r="N384" s="778"/>
      <c r="O384" s="778"/>
      <c r="P384" s="778"/>
      <c r="Q384" s="778"/>
      <c r="R384" s="778"/>
      <c r="S384" s="778"/>
      <c r="T384" s="778"/>
      <c r="U384" s="778"/>
      <c r="V384" s="778"/>
      <c r="W384" s="778"/>
      <c r="X384" s="778"/>
      <c r="Y384" s="778"/>
      <c r="Z384" s="778"/>
    </row>
    <row r="385">
      <c r="A385" s="777"/>
      <c r="B385" s="777"/>
      <c r="C385" s="777"/>
      <c r="D385" s="778"/>
      <c r="E385" s="778"/>
      <c r="F385" s="778"/>
      <c r="G385" s="778"/>
      <c r="H385" s="778"/>
      <c r="I385" s="778"/>
      <c r="J385" s="778"/>
      <c r="K385" s="778"/>
      <c r="L385" s="778"/>
      <c r="M385" s="778"/>
      <c r="N385" s="778"/>
      <c r="O385" s="778"/>
      <c r="P385" s="778"/>
      <c r="Q385" s="778"/>
      <c r="R385" s="778"/>
      <c r="S385" s="778"/>
      <c r="T385" s="778"/>
      <c r="U385" s="778"/>
      <c r="V385" s="778"/>
      <c r="W385" s="778"/>
      <c r="X385" s="778"/>
      <c r="Y385" s="778"/>
      <c r="Z385" s="778"/>
    </row>
    <row r="386">
      <c r="A386" s="777"/>
      <c r="B386" s="777"/>
      <c r="C386" s="777"/>
      <c r="D386" s="778"/>
      <c r="E386" s="778"/>
      <c r="F386" s="778"/>
      <c r="G386" s="778"/>
      <c r="H386" s="778"/>
      <c r="I386" s="778"/>
      <c r="J386" s="778"/>
      <c r="K386" s="778"/>
      <c r="L386" s="778"/>
      <c r="M386" s="778"/>
      <c r="N386" s="778"/>
      <c r="O386" s="778"/>
      <c r="P386" s="778"/>
      <c r="Q386" s="778"/>
      <c r="R386" s="778"/>
      <c r="S386" s="778"/>
      <c r="T386" s="778"/>
      <c r="U386" s="778"/>
      <c r="V386" s="778"/>
      <c r="W386" s="778"/>
      <c r="X386" s="778"/>
      <c r="Y386" s="778"/>
      <c r="Z386" s="778"/>
    </row>
    <row r="387">
      <c r="A387" s="777"/>
      <c r="B387" s="777"/>
      <c r="C387" s="777"/>
      <c r="D387" s="778"/>
      <c r="E387" s="778"/>
      <c r="F387" s="778"/>
      <c r="G387" s="778"/>
      <c r="H387" s="778"/>
      <c r="I387" s="778"/>
      <c r="J387" s="778"/>
      <c r="K387" s="778"/>
      <c r="L387" s="778"/>
      <c r="M387" s="778"/>
      <c r="N387" s="778"/>
      <c r="O387" s="778"/>
      <c r="P387" s="778"/>
      <c r="Q387" s="778"/>
      <c r="R387" s="778"/>
      <c r="S387" s="778"/>
      <c r="T387" s="778"/>
      <c r="U387" s="778"/>
      <c r="V387" s="778"/>
      <c r="W387" s="778"/>
      <c r="X387" s="778"/>
      <c r="Y387" s="778"/>
      <c r="Z387" s="778"/>
    </row>
    <row r="388">
      <c r="A388" s="777"/>
      <c r="B388" s="777"/>
      <c r="C388" s="777"/>
      <c r="D388" s="778"/>
      <c r="E388" s="778"/>
      <c r="F388" s="778"/>
      <c r="G388" s="778"/>
      <c r="H388" s="778"/>
      <c r="I388" s="778"/>
      <c r="J388" s="778"/>
      <c r="K388" s="778"/>
      <c r="L388" s="778"/>
      <c r="M388" s="778"/>
      <c r="N388" s="778"/>
      <c r="O388" s="778"/>
      <c r="P388" s="778"/>
      <c r="Q388" s="778"/>
      <c r="R388" s="778"/>
      <c r="S388" s="778"/>
      <c r="T388" s="778"/>
      <c r="U388" s="778"/>
      <c r="V388" s="778"/>
      <c r="W388" s="778"/>
      <c r="X388" s="778"/>
      <c r="Y388" s="778"/>
      <c r="Z388" s="778"/>
    </row>
    <row r="389">
      <c r="A389" s="777"/>
      <c r="B389" s="777"/>
      <c r="C389" s="777"/>
      <c r="D389" s="778"/>
      <c r="E389" s="778"/>
      <c r="F389" s="778"/>
      <c r="G389" s="778"/>
      <c r="H389" s="778"/>
      <c r="I389" s="778"/>
      <c r="J389" s="778"/>
      <c r="K389" s="778"/>
      <c r="L389" s="778"/>
      <c r="M389" s="778"/>
      <c r="N389" s="778"/>
      <c r="O389" s="778"/>
      <c r="P389" s="778"/>
      <c r="Q389" s="778"/>
      <c r="R389" s="778"/>
      <c r="S389" s="778"/>
      <c r="T389" s="778"/>
      <c r="U389" s="778"/>
      <c r="V389" s="778"/>
      <c r="W389" s="778"/>
      <c r="X389" s="778"/>
      <c r="Y389" s="778"/>
      <c r="Z389" s="778"/>
    </row>
    <row r="390">
      <c r="A390" s="777"/>
      <c r="B390" s="777"/>
      <c r="C390" s="777"/>
      <c r="D390" s="778"/>
      <c r="E390" s="778"/>
      <c r="F390" s="778"/>
      <c r="G390" s="778"/>
      <c r="H390" s="778"/>
      <c r="I390" s="778"/>
      <c r="J390" s="778"/>
      <c r="K390" s="778"/>
      <c r="L390" s="778"/>
      <c r="M390" s="778"/>
      <c r="N390" s="778"/>
      <c r="O390" s="778"/>
      <c r="P390" s="778"/>
      <c r="Q390" s="778"/>
      <c r="R390" s="778"/>
      <c r="S390" s="778"/>
      <c r="T390" s="778"/>
      <c r="U390" s="778"/>
      <c r="V390" s="778"/>
      <c r="W390" s="778"/>
      <c r="X390" s="778"/>
      <c r="Y390" s="778"/>
      <c r="Z390" s="778"/>
    </row>
    <row r="391">
      <c r="A391" s="777"/>
      <c r="B391" s="777"/>
      <c r="C391" s="777"/>
      <c r="D391" s="778"/>
      <c r="E391" s="778"/>
      <c r="F391" s="778"/>
      <c r="G391" s="778"/>
      <c r="H391" s="778"/>
      <c r="I391" s="778"/>
      <c r="J391" s="778"/>
      <c r="K391" s="778"/>
      <c r="L391" s="778"/>
      <c r="M391" s="778"/>
      <c r="N391" s="778"/>
      <c r="O391" s="778"/>
      <c r="P391" s="778"/>
      <c r="Q391" s="778"/>
      <c r="R391" s="778"/>
      <c r="S391" s="778"/>
      <c r="T391" s="778"/>
      <c r="U391" s="778"/>
      <c r="V391" s="778"/>
      <c r="W391" s="778"/>
      <c r="X391" s="778"/>
      <c r="Y391" s="778"/>
      <c r="Z391" s="778"/>
    </row>
    <row r="392">
      <c r="A392" s="777"/>
      <c r="B392" s="777"/>
      <c r="C392" s="777"/>
      <c r="D392" s="778"/>
      <c r="E392" s="778"/>
      <c r="F392" s="778"/>
      <c r="G392" s="778"/>
      <c r="H392" s="778"/>
      <c r="I392" s="778"/>
      <c r="J392" s="778"/>
      <c r="K392" s="778"/>
      <c r="L392" s="778"/>
      <c r="M392" s="778"/>
      <c r="N392" s="778"/>
      <c r="O392" s="778"/>
      <c r="P392" s="778"/>
      <c r="Q392" s="778"/>
      <c r="R392" s="778"/>
      <c r="S392" s="778"/>
      <c r="T392" s="778"/>
      <c r="U392" s="778"/>
      <c r="V392" s="778"/>
      <c r="W392" s="778"/>
      <c r="X392" s="778"/>
      <c r="Y392" s="778"/>
      <c r="Z392" s="778"/>
    </row>
    <row r="393">
      <c r="A393" s="777"/>
      <c r="B393" s="777"/>
      <c r="C393" s="777"/>
      <c r="D393" s="778"/>
      <c r="E393" s="778"/>
      <c r="F393" s="778"/>
      <c r="G393" s="778"/>
      <c r="H393" s="778"/>
      <c r="I393" s="778"/>
      <c r="J393" s="778"/>
      <c r="K393" s="778"/>
      <c r="L393" s="778"/>
      <c r="M393" s="778"/>
      <c r="N393" s="778"/>
      <c r="O393" s="778"/>
      <c r="P393" s="778"/>
      <c r="Q393" s="778"/>
      <c r="R393" s="778"/>
      <c r="S393" s="778"/>
      <c r="T393" s="778"/>
      <c r="U393" s="778"/>
      <c r="V393" s="778"/>
      <c r="W393" s="778"/>
      <c r="X393" s="778"/>
      <c r="Y393" s="778"/>
      <c r="Z393" s="778"/>
    </row>
    <row r="394">
      <c r="A394" s="777"/>
      <c r="B394" s="777"/>
      <c r="C394" s="777"/>
      <c r="D394" s="778"/>
      <c r="E394" s="778"/>
      <c r="F394" s="778"/>
      <c r="G394" s="778"/>
      <c r="H394" s="778"/>
      <c r="I394" s="778"/>
      <c r="J394" s="778"/>
      <c r="K394" s="778"/>
      <c r="L394" s="778"/>
      <c r="M394" s="778"/>
      <c r="N394" s="778"/>
      <c r="O394" s="778"/>
      <c r="P394" s="778"/>
      <c r="Q394" s="778"/>
      <c r="R394" s="778"/>
      <c r="S394" s="778"/>
      <c r="T394" s="778"/>
      <c r="U394" s="778"/>
      <c r="V394" s="778"/>
      <c r="W394" s="778"/>
      <c r="X394" s="778"/>
      <c r="Y394" s="778"/>
      <c r="Z394" s="778"/>
    </row>
    <row r="395">
      <c r="A395" s="777"/>
      <c r="B395" s="777"/>
      <c r="C395" s="777"/>
      <c r="D395" s="778"/>
      <c r="E395" s="778"/>
      <c r="F395" s="778"/>
      <c r="G395" s="778"/>
      <c r="H395" s="778"/>
      <c r="I395" s="778"/>
      <c r="J395" s="778"/>
      <c r="K395" s="778"/>
      <c r="L395" s="778"/>
      <c r="M395" s="778"/>
      <c r="N395" s="778"/>
      <c r="O395" s="778"/>
      <c r="P395" s="778"/>
      <c r="Q395" s="778"/>
      <c r="R395" s="778"/>
      <c r="S395" s="778"/>
      <c r="T395" s="778"/>
      <c r="U395" s="778"/>
      <c r="V395" s="778"/>
      <c r="W395" s="778"/>
      <c r="X395" s="778"/>
      <c r="Y395" s="778"/>
      <c r="Z395" s="778"/>
    </row>
    <row r="396">
      <c r="A396" s="777"/>
      <c r="B396" s="777"/>
      <c r="C396" s="777"/>
      <c r="D396" s="778"/>
      <c r="E396" s="778"/>
      <c r="F396" s="778"/>
      <c r="G396" s="778"/>
      <c r="H396" s="778"/>
      <c r="I396" s="778"/>
      <c r="J396" s="778"/>
      <c r="K396" s="778"/>
      <c r="L396" s="778"/>
      <c r="M396" s="778"/>
      <c r="N396" s="778"/>
      <c r="O396" s="778"/>
      <c r="P396" s="778"/>
      <c r="Q396" s="778"/>
      <c r="R396" s="778"/>
      <c r="S396" s="778"/>
      <c r="T396" s="778"/>
      <c r="U396" s="778"/>
      <c r="V396" s="778"/>
      <c r="W396" s="778"/>
      <c r="X396" s="778"/>
      <c r="Y396" s="778"/>
      <c r="Z396" s="778"/>
    </row>
    <row r="397">
      <c r="A397" s="777"/>
      <c r="B397" s="777"/>
      <c r="C397" s="777"/>
      <c r="D397" s="778"/>
      <c r="E397" s="778"/>
      <c r="F397" s="778"/>
      <c r="G397" s="778"/>
      <c r="H397" s="778"/>
      <c r="I397" s="778"/>
      <c r="J397" s="778"/>
      <c r="K397" s="778"/>
      <c r="L397" s="778"/>
      <c r="M397" s="778"/>
      <c r="N397" s="778"/>
      <c r="O397" s="778"/>
      <c r="P397" s="778"/>
      <c r="Q397" s="778"/>
      <c r="R397" s="778"/>
      <c r="S397" s="778"/>
      <c r="T397" s="778"/>
      <c r="U397" s="778"/>
      <c r="V397" s="778"/>
      <c r="W397" s="778"/>
      <c r="X397" s="778"/>
      <c r="Y397" s="778"/>
      <c r="Z397" s="778"/>
    </row>
    <row r="398">
      <c r="A398" s="777"/>
      <c r="B398" s="777"/>
      <c r="C398" s="777"/>
      <c r="D398" s="778"/>
      <c r="E398" s="778"/>
      <c r="F398" s="778"/>
      <c r="G398" s="778"/>
      <c r="H398" s="778"/>
      <c r="I398" s="778"/>
      <c r="J398" s="778"/>
      <c r="K398" s="778"/>
      <c r="L398" s="778"/>
      <c r="M398" s="778"/>
      <c r="N398" s="778"/>
      <c r="O398" s="778"/>
      <c r="P398" s="778"/>
      <c r="Q398" s="778"/>
      <c r="R398" s="778"/>
      <c r="S398" s="778"/>
      <c r="T398" s="778"/>
      <c r="U398" s="778"/>
      <c r="V398" s="778"/>
      <c r="W398" s="778"/>
      <c r="X398" s="778"/>
      <c r="Y398" s="778"/>
      <c r="Z398" s="778"/>
    </row>
    <row r="399">
      <c r="A399" s="777"/>
      <c r="B399" s="777"/>
      <c r="C399" s="777"/>
      <c r="D399" s="778"/>
      <c r="E399" s="778"/>
      <c r="F399" s="778"/>
      <c r="G399" s="778"/>
      <c r="H399" s="778"/>
      <c r="I399" s="778"/>
      <c r="J399" s="778"/>
      <c r="K399" s="778"/>
      <c r="L399" s="778"/>
      <c r="M399" s="778"/>
      <c r="N399" s="778"/>
      <c r="O399" s="778"/>
      <c r="P399" s="778"/>
      <c r="Q399" s="778"/>
      <c r="R399" s="778"/>
      <c r="S399" s="778"/>
      <c r="T399" s="778"/>
      <c r="U399" s="778"/>
      <c r="V399" s="778"/>
      <c r="W399" s="778"/>
      <c r="X399" s="778"/>
      <c r="Y399" s="778"/>
      <c r="Z399" s="778"/>
    </row>
    <row r="400">
      <c r="A400" s="777"/>
      <c r="B400" s="777"/>
      <c r="C400" s="777"/>
      <c r="D400" s="778"/>
      <c r="E400" s="778"/>
      <c r="F400" s="778"/>
      <c r="G400" s="778"/>
      <c r="H400" s="778"/>
      <c r="I400" s="778"/>
      <c r="J400" s="778"/>
      <c r="K400" s="778"/>
      <c r="L400" s="778"/>
      <c r="M400" s="778"/>
      <c r="N400" s="778"/>
      <c r="O400" s="778"/>
      <c r="P400" s="778"/>
      <c r="Q400" s="778"/>
      <c r="R400" s="778"/>
      <c r="S400" s="778"/>
      <c r="T400" s="778"/>
      <c r="U400" s="778"/>
      <c r="V400" s="778"/>
      <c r="W400" s="778"/>
      <c r="X400" s="778"/>
      <c r="Y400" s="778"/>
      <c r="Z400" s="778"/>
    </row>
    <row r="401">
      <c r="A401" s="777"/>
      <c r="B401" s="777"/>
      <c r="C401" s="777"/>
      <c r="D401" s="778"/>
      <c r="E401" s="778"/>
      <c r="F401" s="778"/>
      <c r="G401" s="778"/>
      <c r="H401" s="778"/>
      <c r="I401" s="778"/>
      <c r="J401" s="778"/>
      <c r="K401" s="778"/>
      <c r="L401" s="778"/>
      <c r="M401" s="778"/>
      <c r="N401" s="778"/>
      <c r="O401" s="778"/>
      <c r="P401" s="778"/>
      <c r="Q401" s="778"/>
      <c r="R401" s="778"/>
      <c r="S401" s="778"/>
      <c r="T401" s="778"/>
      <c r="U401" s="778"/>
      <c r="V401" s="778"/>
      <c r="W401" s="778"/>
      <c r="X401" s="778"/>
      <c r="Y401" s="778"/>
      <c r="Z401" s="778"/>
    </row>
    <row r="402">
      <c r="A402" s="777"/>
      <c r="B402" s="777"/>
      <c r="C402" s="777"/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778"/>
      <c r="V402" s="778"/>
      <c r="W402" s="778"/>
      <c r="X402" s="778"/>
      <c r="Y402" s="778"/>
      <c r="Z402" s="778"/>
    </row>
    <row r="403">
      <c r="A403" s="777"/>
      <c r="B403" s="777"/>
      <c r="C403" s="777"/>
      <c r="D403" s="778"/>
      <c r="E403" s="778"/>
      <c r="F403" s="778"/>
      <c r="G403" s="778"/>
      <c r="H403" s="778"/>
      <c r="I403" s="778"/>
      <c r="J403" s="778"/>
      <c r="K403" s="778"/>
      <c r="L403" s="778"/>
      <c r="M403" s="778"/>
      <c r="N403" s="778"/>
      <c r="O403" s="778"/>
      <c r="P403" s="778"/>
      <c r="Q403" s="778"/>
      <c r="R403" s="778"/>
      <c r="S403" s="778"/>
      <c r="T403" s="778"/>
      <c r="U403" s="778"/>
      <c r="V403" s="778"/>
      <c r="W403" s="778"/>
      <c r="X403" s="778"/>
      <c r="Y403" s="778"/>
      <c r="Z403" s="778"/>
    </row>
    <row r="404">
      <c r="A404" s="777"/>
      <c r="B404" s="777"/>
      <c r="C404" s="777"/>
      <c r="D404" s="778"/>
      <c r="E404" s="778"/>
      <c r="F404" s="778"/>
      <c r="G404" s="778"/>
      <c r="H404" s="778"/>
      <c r="I404" s="778"/>
      <c r="J404" s="778"/>
      <c r="K404" s="778"/>
      <c r="L404" s="778"/>
      <c r="M404" s="778"/>
      <c r="N404" s="778"/>
      <c r="O404" s="778"/>
      <c r="P404" s="778"/>
      <c r="Q404" s="778"/>
      <c r="R404" s="778"/>
      <c r="S404" s="778"/>
      <c r="T404" s="778"/>
      <c r="U404" s="778"/>
      <c r="V404" s="778"/>
      <c r="W404" s="778"/>
      <c r="X404" s="778"/>
      <c r="Y404" s="778"/>
      <c r="Z404" s="778"/>
    </row>
    <row r="405">
      <c r="A405" s="777"/>
      <c r="B405" s="777"/>
      <c r="C405" s="777"/>
      <c r="D405" s="778"/>
      <c r="E405" s="778"/>
      <c r="F405" s="778"/>
      <c r="G405" s="778"/>
      <c r="H405" s="778"/>
      <c r="I405" s="778"/>
      <c r="J405" s="778"/>
      <c r="K405" s="778"/>
      <c r="L405" s="778"/>
      <c r="M405" s="778"/>
      <c r="N405" s="778"/>
      <c r="O405" s="778"/>
      <c r="P405" s="778"/>
      <c r="Q405" s="778"/>
      <c r="R405" s="778"/>
      <c r="S405" s="778"/>
      <c r="T405" s="778"/>
      <c r="U405" s="778"/>
      <c r="V405" s="778"/>
      <c r="W405" s="778"/>
      <c r="X405" s="778"/>
      <c r="Y405" s="778"/>
      <c r="Z405" s="778"/>
    </row>
    <row r="406">
      <c r="A406" s="777"/>
      <c r="B406" s="777"/>
      <c r="C406" s="777"/>
      <c r="D406" s="778"/>
      <c r="E406" s="778"/>
      <c r="F406" s="778"/>
      <c r="G406" s="778"/>
      <c r="H406" s="778"/>
      <c r="I406" s="778"/>
      <c r="J406" s="778"/>
      <c r="K406" s="778"/>
      <c r="L406" s="778"/>
      <c r="M406" s="778"/>
      <c r="N406" s="778"/>
      <c r="O406" s="778"/>
      <c r="P406" s="778"/>
      <c r="Q406" s="778"/>
      <c r="R406" s="778"/>
      <c r="S406" s="778"/>
      <c r="T406" s="778"/>
      <c r="U406" s="778"/>
      <c r="V406" s="778"/>
      <c r="W406" s="778"/>
      <c r="X406" s="778"/>
      <c r="Y406" s="778"/>
      <c r="Z406" s="778"/>
    </row>
    <row r="407">
      <c r="A407" s="777"/>
      <c r="B407" s="777"/>
      <c r="C407" s="777"/>
      <c r="D407" s="778"/>
      <c r="E407" s="778"/>
      <c r="F407" s="778"/>
      <c r="G407" s="778"/>
      <c r="H407" s="778"/>
      <c r="I407" s="778"/>
      <c r="J407" s="778"/>
      <c r="K407" s="778"/>
      <c r="L407" s="778"/>
      <c r="M407" s="778"/>
      <c r="N407" s="778"/>
      <c r="O407" s="778"/>
      <c r="P407" s="778"/>
      <c r="Q407" s="778"/>
      <c r="R407" s="778"/>
      <c r="S407" s="778"/>
      <c r="T407" s="778"/>
      <c r="U407" s="778"/>
      <c r="V407" s="778"/>
      <c r="W407" s="778"/>
      <c r="X407" s="778"/>
      <c r="Y407" s="778"/>
      <c r="Z407" s="778"/>
    </row>
    <row r="408">
      <c r="A408" s="777"/>
      <c r="B408" s="777"/>
      <c r="C408" s="777"/>
      <c r="D408" s="778"/>
      <c r="E408" s="778"/>
      <c r="F408" s="778"/>
      <c r="G408" s="778"/>
      <c r="H408" s="778"/>
      <c r="I408" s="778"/>
      <c r="J408" s="778"/>
      <c r="K408" s="778"/>
      <c r="L408" s="778"/>
      <c r="M408" s="778"/>
      <c r="N408" s="778"/>
      <c r="O408" s="778"/>
      <c r="P408" s="778"/>
      <c r="Q408" s="778"/>
      <c r="R408" s="778"/>
      <c r="S408" s="778"/>
      <c r="T408" s="778"/>
      <c r="U408" s="778"/>
      <c r="V408" s="778"/>
      <c r="W408" s="778"/>
      <c r="X408" s="778"/>
      <c r="Y408" s="778"/>
      <c r="Z408" s="778"/>
    </row>
    <row r="409">
      <c r="A409" s="777"/>
      <c r="B409" s="777"/>
      <c r="C409" s="777"/>
      <c r="D409" s="778"/>
      <c r="E409" s="778"/>
      <c r="F409" s="778"/>
      <c r="G409" s="778"/>
      <c r="H409" s="778"/>
      <c r="I409" s="778"/>
      <c r="J409" s="778"/>
      <c r="K409" s="778"/>
      <c r="L409" s="778"/>
      <c r="M409" s="778"/>
      <c r="N409" s="778"/>
      <c r="O409" s="778"/>
      <c r="P409" s="778"/>
      <c r="Q409" s="778"/>
      <c r="R409" s="778"/>
      <c r="S409" s="778"/>
      <c r="T409" s="778"/>
      <c r="U409" s="778"/>
      <c r="V409" s="778"/>
      <c r="W409" s="778"/>
      <c r="X409" s="778"/>
      <c r="Y409" s="778"/>
      <c r="Z409" s="778"/>
    </row>
    <row r="410">
      <c r="A410" s="777"/>
      <c r="B410" s="777"/>
      <c r="C410" s="777"/>
      <c r="D410" s="778"/>
      <c r="E410" s="778"/>
      <c r="F410" s="778"/>
      <c r="G410" s="778"/>
      <c r="H410" s="778"/>
      <c r="I410" s="778"/>
      <c r="J410" s="778"/>
      <c r="K410" s="778"/>
      <c r="L410" s="778"/>
      <c r="M410" s="778"/>
      <c r="N410" s="778"/>
      <c r="O410" s="778"/>
      <c r="P410" s="778"/>
      <c r="Q410" s="778"/>
      <c r="R410" s="778"/>
      <c r="S410" s="778"/>
      <c r="T410" s="778"/>
      <c r="U410" s="778"/>
      <c r="V410" s="778"/>
      <c r="W410" s="778"/>
      <c r="X410" s="778"/>
      <c r="Y410" s="778"/>
      <c r="Z410" s="778"/>
    </row>
    <row r="411">
      <c r="A411" s="777"/>
      <c r="B411" s="777"/>
      <c r="C411" s="777"/>
      <c r="D411" s="778"/>
      <c r="E411" s="778"/>
      <c r="F411" s="778"/>
      <c r="G411" s="778"/>
      <c r="H411" s="778"/>
      <c r="I411" s="778"/>
      <c r="J411" s="778"/>
      <c r="K411" s="778"/>
      <c r="L411" s="778"/>
      <c r="M411" s="778"/>
      <c r="N411" s="778"/>
      <c r="O411" s="778"/>
      <c r="P411" s="778"/>
      <c r="Q411" s="778"/>
      <c r="R411" s="778"/>
      <c r="S411" s="778"/>
      <c r="T411" s="778"/>
      <c r="U411" s="778"/>
      <c r="V411" s="778"/>
      <c r="W411" s="778"/>
      <c r="X411" s="778"/>
      <c r="Y411" s="778"/>
      <c r="Z411" s="778"/>
    </row>
    <row r="412">
      <c r="A412" s="777"/>
      <c r="B412" s="777"/>
      <c r="C412" s="777"/>
      <c r="D412" s="778"/>
      <c r="E412" s="778"/>
      <c r="F412" s="778"/>
      <c r="G412" s="778"/>
      <c r="H412" s="778"/>
      <c r="I412" s="778"/>
      <c r="J412" s="778"/>
      <c r="K412" s="778"/>
      <c r="L412" s="778"/>
      <c r="M412" s="778"/>
      <c r="N412" s="778"/>
      <c r="O412" s="778"/>
      <c r="P412" s="778"/>
      <c r="Q412" s="778"/>
      <c r="R412" s="778"/>
      <c r="S412" s="778"/>
      <c r="T412" s="778"/>
      <c r="U412" s="778"/>
      <c r="V412" s="778"/>
      <c r="W412" s="778"/>
      <c r="X412" s="778"/>
      <c r="Y412" s="778"/>
      <c r="Z412" s="778"/>
    </row>
    <row r="413">
      <c r="A413" s="777"/>
      <c r="B413" s="777"/>
      <c r="C413" s="777"/>
      <c r="D413" s="778"/>
      <c r="E413" s="778"/>
      <c r="F413" s="778"/>
      <c r="G413" s="778"/>
      <c r="H413" s="778"/>
      <c r="I413" s="778"/>
      <c r="J413" s="778"/>
      <c r="K413" s="778"/>
      <c r="L413" s="778"/>
      <c r="M413" s="778"/>
      <c r="N413" s="778"/>
      <c r="O413" s="778"/>
      <c r="P413" s="778"/>
      <c r="Q413" s="778"/>
      <c r="R413" s="778"/>
      <c r="S413" s="778"/>
      <c r="T413" s="778"/>
      <c r="U413" s="778"/>
      <c r="V413" s="778"/>
      <c r="W413" s="778"/>
      <c r="X413" s="778"/>
      <c r="Y413" s="778"/>
      <c r="Z413" s="778"/>
    </row>
    <row r="414">
      <c r="A414" s="777"/>
      <c r="B414" s="777"/>
      <c r="C414" s="777"/>
      <c r="D414" s="778"/>
      <c r="E414" s="778"/>
      <c r="F414" s="778"/>
      <c r="G414" s="778"/>
      <c r="H414" s="778"/>
      <c r="I414" s="778"/>
      <c r="J414" s="778"/>
      <c r="K414" s="778"/>
      <c r="L414" s="778"/>
      <c r="M414" s="778"/>
      <c r="N414" s="778"/>
      <c r="O414" s="778"/>
      <c r="P414" s="778"/>
      <c r="Q414" s="778"/>
      <c r="R414" s="778"/>
      <c r="S414" s="778"/>
      <c r="T414" s="778"/>
      <c r="U414" s="778"/>
      <c r="V414" s="778"/>
      <c r="W414" s="778"/>
      <c r="X414" s="778"/>
      <c r="Y414" s="778"/>
      <c r="Z414" s="778"/>
    </row>
    <row r="415">
      <c r="A415" s="777"/>
      <c r="B415" s="777"/>
      <c r="C415" s="777"/>
      <c r="D415" s="778"/>
      <c r="E415" s="778"/>
      <c r="F415" s="778"/>
      <c r="G415" s="778"/>
      <c r="H415" s="778"/>
      <c r="I415" s="778"/>
      <c r="J415" s="778"/>
      <c r="K415" s="778"/>
      <c r="L415" s="778"/>
      <c r="M415" s="778"/>
      <c r="N415" s="778"/>
      <c r="O415" s="778"/>
      <c r="P415" s="778"/>
      <c r="Q415" s="778"/>
      <c r="R415" s="778"/>
      <c r="S415" s="778"/>
      <c r="T415" s="778"/>
      <c r="U415" s="778"/>
      <c r="V415" s="778"/>
      <c r="W415" s="778"/>
      <c r="X415" s="778"/>
      <c r="Y415" s="778"/>
      <c r="Z415" s="778"/>
    </row>
    <row r="416">
      <c r="A416" s="777"/>
      <c r="B416" s="777"/>
      <c r="C416" s="777"/>
      <c r="D416" s="778"/>
      <c r="E416" s="778"/>
      <c r="F416" s="778"/>
      <c r="G416" s="778"/>
      <c r="H416" s="778"/>
      <c r="I416" s="778"/>
      <c r="J416" s="778"/>
      <c r="K416" s="778"/>
      <c r="L416" s="778"/>
      <c r="M416" s="778"/>
      <c r="N416" s="778"/>
      <c r="O416" s="778"/>
      <c r="P416" s="778"/>
      <c r="Q416" s="778"/>
      <c r="R416" s="778"/>
      <c r="S416" s="778"/>
      <c r="T416" s="778"/>
      <c r="U416" s="778"/>
      <c r="V416" s="778"/>
      <c r="W416" s="778"/>
      <c r="X416" s="778"/>
      <c r="Y416" s="778"/>
      <c r="Z416" s="778"/>
    </row>
    <row r="417">
      <c r="A417" s="777"/>
      <c r="B417" s="777"/>
      <c r="C417" s="777"/>
      <c r="D417" s="778"/>
      <c r="E417" s="778"/>
      <c r="F417" s="778"/>
      <c r="G417" s="778"/>
      <c r="H417" s="778"/>
      <c r="I417" s="778"/>
      <c r="J417" s="778"/>
      <c r="K417" s="778"/>
      <c r="L417" s="778"/>
      <c r="M417" s="778"/>
      <c r="N417" s="778"/>
      <c r="O417" s="778"/>
      <c r="P417" s="778"/>
      <c r="Q417" s="778"/>
      <c r="R417" s="778"/>
      <c r="S417" s="778"/>
      <c r="T417" s="778"/>
      <c r="U417" s="778"/>
      <c r="V417" s="778"/>
      <c r="W417" s="778"/>
      <c r="X417" s="778"/>
      <c r="Y417" s="778"/>
      <c r="Z417" s="778"/>
    </row>
    <row r="418">
      <c r="A418" s="777"/>
      <c r="B418" s="777"/>
      <c r="C418" s="777"/>
      <c r="D418" s="778"/>
      <c r="E418" s="778"/>
      <c r="F418" s="778"/>
      <c r="G418" s="778"/>
      <c r="H418" s="778"/>
      <c r="I418" s="778"/>
      <c r="J418" s="778"/>
      <c r="K418" s="778"/>
      <c r="L418" s="778"/>
      <c r="M418" s="778"/>
      <c r="N418" s="778"/>
      <c r="O418" s="778"/>
      <c r="P418" s="778"/>
      <c r="Q418" s="778"/>
      <c r="R418" s="778"/>
      <c r="S418" s="778"/>
      <c r="T418" s="778"/>
      <c r="U418" s="778"/>
      <c r="V418" s="778"/>
      <c r="W418" s="778"/>
      <c r="X418" s="778"/>
      <c r="Y418" s="778"/>
      <c r="Z418" s="778"/>
    </row>
    <row r="419">
      <c r="A419" s="777"/>
      <c r="B419" s="777"/>
      <c r="C419" s="777"/>
      <c r="D419" s="778"/>
      <c r="E419" s="778"/>
      <c r="F419" s="778"/>
      <c r="G419" s="778"/>
      <c r="H419" s="778"/>
      <c r="I419" s="778"/>
      <c r="J419" s="778"/>
      <c r="K419" s="778"/>
      <c r="L419" s="778"/>
      <c r="M419" s="778"/>
      <c r="N419" s="778"/>
      <c r="O419" s="778"/>
      <c r="P419" s="778"/>
      <c r="Q419" s="778"/>
      <c r="R419" s="778"/>
      <c r="S419" s="778"/>
      <c r="T419" s="778"/>
      <c r="U419" s="778"/>
      <c r="V419" s="778"/>
      <c r="W419" s="778"/>
      <c r="X419" s="778"/>
      <c r="Y419" s="778"/>
      <c r="Z419" s="778"/>
    </row>
    <row r="420">
      <c r="A420" s="777"/>
      <c r="B420" s="777"/>
      <c r="C420" s="777"/>
      <c r="D420" s="778"/>
      <c r="E420" s="778"/>
      <c r="F420" s="778"/>
      <c r="G420" s="778"/>
      <c r="H420" s="778"/>
      <c r="I420" s="778"/>
      <c r="J420" s="778"/>
      <c r="K420" s="778"/>
      <c r="L420" s="778"/>
      <c r="M420" s="778"/>
      <c r="N420" s="778"/>
      <c r="O420" s="778"/>
      <c r="P420" s="778"/>
      <c r="Q420" s="778"/>
      <c r="R420" s="778"/>
      <c r="S420" s="778"/>
      <c r="T420" s="778"/>
      <c r="U420" s="778"/>
      <c r="V420" s="778"/>
      <c r="W420" s="778"/>
      <c r="X420" s="778"/>
      <c r="Y420" s="778"/>
      <c r="Z420" s="778"/>
    </row>
    <row r="421">
      <c r="A421" s="777"/>
      <c r="B421" s="777"/>
      <c r="C421" s="777"/>
      <c r="D421" s="778"/>
      <c r="E421" s="778"/>
      <c r="F421" s="778"/>
      <c r="G421" s="778"/>
      <c r="H421" s="778"/>
      <c r="I421" s="778"/>
      <c r="J421" s="778"/>
      <c r="K421" s="778"/>
      <c r="L421" s="778"/>
      <c r="M421" s="778"/>
      <c r="N421" s="778"/>
      <c r="O421" s="778"/>
      <c r="P421" s="778"/>
      <c r="Q421" s="778"/>
      <c r="R421" s="778"/>
      <c r="S421" s="778"/>
      <c r="T421" s="778"/>
      <c r="U421" s="778"/>
      <c r="V421" s="778"/>
      <c r="W421" s="778"/>
      <c r="X421" s="778"/>
      <c r="Y421" s="778"/>
      <c r="Z421" s="778"/>
    </row>
    <row r="422">
      <c r="A422" s="777"/>
      <c r="B422" s="777"/>
      <c r="C422" s="777"/>
      <c r="D422" s="778"/>
      <c r="E422" s="778"/>
      <c r="F422" s="778"/>
      <c r="G422" s="778"/>
      <c r="H422" s="778"/>
      <c r="I422" s="778"/>
      <c r="J422" s="778"/>
      <c r="K422" s="778"/>
      <c r="L422" s="778"/>
      <c r="M422" s="778"/>
      <c r="N422" s="778"/>
      <c r="O422" s="778"/>
      <c r="P422" s="778"/>
      <c r="Q422" s="778"/>
      <c r="R422" s="778"/>
      <c r="S422" s="778"/>
      <c r="T422" s="778"/>
      <c r="U422" s="778"/>
      <c r="V422" s="778"/>
      <c r="W422" s="778"/>
      <c r="X422" s="778"/>
      <c r="Y422" s="778"/>
      <c r="Z422" s="778"/>
    </row>
    <row r="423">
      <c r="A423" s="777"/>
      <c r="B423" s="777"/>
      <c r="C423" s="777"/>
      <c r="D423" s="778"/>
      <c r="E423" s="778"/>
      <c r="F423" s="778"/>
      <c r="G423" s="778"/>
      <c r="H423" s="778"/>
      <c r="I423" s="778"/>
      <c r="J423" s="778"/>
      <c r="K423" s="778"/>
      <c r="L423" s="778"/>
      <c r="M423" s="778"/>
      <c r="N423" s="778"/>
      <c r="O423" s="778"/>
      <c r="P423" s="778"/>
      <c r="Q423" s="778"/>
      <c r="R423" s="778"/>
      <c r="S423" s="778"/>
      <c r="T423" s="778"/>
      <c r="U423" s="778"/>
      <c r="V423" s="778"/>
      <c r="W423" s="778"/>
      <c r="X423" s="778"/>
      <c r="Y423" s="778"/>
      <c r="Z423" s="778"/>
    </row>
    <row r="424">
      <c r="A424" s="777"/>
      <c r="B424" s="777"/>
      <c r="C424" s="777"/>
      <c r="D424" s="778"/>
      <c r="E424" s="778"/>
      <c r="F424" s="778"/>
      <c r="G424" s="778"/>
      <c r="H424" s="778"/>
      <c r="I424" s="778"/>
      <c r="J424" s="778"/>
      <c r="K424" s="778"/>
      <c r="L424" s="778"/>
      <c r="M424" s="778"/>
      <c r="N424" s="778"/>
      <c r="O424" s="778"/>
      <c r="P424" s="778"/>
      <c r="Q424" s="778"/>
      <c r="R424" s="778"/>
      <c r="S424" s="778"/>
      <c r="T424" s="778"/>
      <c r="U424" s="778"/>
      <c r="V424" s="778"/>
      <c r="W424" s="778"/>
      <c r="X424" s="778"/>
      <c r="Y424" s="778"/>
      <c r="Z424" s="778"/>
    </row>
    <row r="425">
      <c r="A425" s="777"/>
      <c r="B425" s="777"/>
      <c r="C425" s="777"/>
      <c r="D425" s="778"/>
      <c r="E425" s="778"/>
      <c r="F425" s="778"/>
      <c r="G425" s="778"/>
      <c r="H425" s="778"/>
      <c r="I425" s="778"/>
      <c r="J425" s="778"/>
      <c r="K425" s="778"/>
      <c r="L425" s="778"/>
      <c r="M425" s="778"/>
      <c r="N425" s="778"/>
      <c r="O425" s="778"/>
      <c r="P425" s="778"/>
      <c r="Q425" s="778"/>
      <c r="R425" s="778"/>
      <c r="S425" s="778"/>
      <c r="T425" s="778"/>
      <c r="U425" s="778"/>
      <c r="V425" s="778"/>
      <c r="W425" s="778"/>
      <c r="X425" s="778"/>
      <c r="Y425" s="778"/>
      <c r="Z425" s="778"/>
    </row>
    <row r="426">
      <c r="A426" s="777"/>
      <c r="B426" s="777"/>
      <c r="C426" s="777"/>
      <c r="D426" s="778"/>
      <c r="E426" s="778"/>
      <c r="F426" s="778"/>
      <c r="G426" s="778"/>
      <c r="H426" s="778"/>
      <c r="I426" s="778"/>
      <c r="J426" s="778"/>
      <c r="K426" s="778"/>
      <c r="L426" s="778"/>
      <c r="M426" s="778"/>
      <c r="N426" s="778"/>
      <c r="O426" s="778"/>
      <c r="P426" s="778"/>
      <c r="Q426" s="778"/>
      <c r="R426" s="778"/>
      <c r="S426" s="778"/>
      <c r="T426" s="778"/>
      <c r="U426" s="778"/>
      <c r="V426" s="778"/>
      <c r="W426" s="778"/>
      <c r="X426" s="778"/>
      <c r="Y426" s="778"/>
      <c r="Z426" s="778"/>
    </row>
    <row r="427">
      <c r="A427" s="777"/>
      <c r="B427" s="777"/>
      <c r="C427" s="777"/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778"/>
      <c r="V427" s="778"/>
      <c r="W427" s="778"/>
      <c r="X427" s="778"/>
      <c r="Y427" s="778"/>
      <c r="Z427" s="778"/>
    </row>
    <row r="428">
      <c r="A428" s="777"/>
      <c r="B428" s="777"/>
      <c r="C428" s="777"/>
      <c r="D428" s="778"/>
      <c r="E428" s="778"/>
      <c r="F428" s="778"/>
      <c r="G428" s="778"/>
      <c r="H428" s="778"/>
      <c r="I428" s="778"/>
      <c r="J428" s="778"/>
      <c r="K428" s="778"/>
      <c r="L428" s="778"/>
      <c r="M428" s="778"/>
      <c r="N428" s="778"/>
      <c r="O428" s="778"/>
      <c r="P428" s="778"/>
      <c r="Q428" s="778"/>
      <c r="R428" s="778"/>
      <c r="S428" s="778"/>
      <c r="T428" s="778"/>
      <c r="U428" s="778"/>
      <c r="V428" s="778"/>
      <c r="W428" s="778"/>
      <c r="X428" s="778"/>
      <c r="Y428" s="778"/>
      <c r="Z428" s="778"/>
    </row>
    <row r="429">
      <c r="A429" s="777"/>
      <c r="B429" s="777"/>
      <c r="C429" s="777"/>
      <c r="D429" s="778"/>
      <c r="E429" s="778"/>
      <c r="F429" s="778"/>
      <c r="G429" s="778"/>
      <c r="H429" s="778"/>
      <c r="I429" s="778"/>
      <c r="J429" s="778"/>
      <c r="K429" s="778"/>
      <c r="L429" s="778"/>
      <c r="M429" s="778"/>
      <c r="N429" s="778"/>
      <c r="O429" s="778"/>
      <c r="P429" s="778"/>
      <c r="Q429" s="778"/>
      <c r="R429" s="778"/>
      <c r="S429" s="778"/>
      <c r="T429" s="778"/>
      <c r="U429" s="778"/>
      <c r="V429" s="778"/>
      <c r="W429" s="778"/>
      <c r="X429" s="778"/>
      <c r="Y429" s="778"/>
      <c r="Z429" s="778"/>
    </row>
    <row r="430">
      <c r="A430" s="777"/>
      <c r="B430" s="777"/>
      <c r="C430" s="777"/>
      <c r="D430" s="778"/>
      <c r="E430" s="778"/>
      <c r="F430" s="778"/>
      <c r="G430" s="778"/>
      <c r="H430" s="778"/>
      <c r="I430" s="778"/>
      <c r="J430" s="778"/>
      <c r="K430" s="778"/>
      <c r="L430" s="778"/>
      <c r="M430" s="778"/>
      <c r="N430" s="778"/>
      <c r="O430" s="778"/>
      <c r="P430" s="778"/>
      <c r="Q430" s="778"/>
      <c r="R430" s="778"/>
      <c r="S430" s="778"/>
      <c r="T430" s="778"/>
      <c r="U430" s="778"/>
      <c r="V430" s="778"/>
      <c r="W430" s="778"/>
      <c r="X430" s="778"/>
      <c r="Y430" s="778"/>
      <c r="Z430" s="778"/>
    </row>
    <row r="431">
      <c r="A431" s="777"/>
      <c r="B431" s="777"/>
      <c r="C431" s="777"/>
      <c r="D431" s="778"/>
      <c r="E431" s="778"/>
      <c r="F431" s="778"/>
      <c r="G431" s="778"/>
      <c r="H431" s="778"/>
      <c r="I431" s="778"/>
      <c r="J431" s="778"/>
      <c r="K431" s="778"/>
      <c r="L431" s="778"/>
      <c r="M431" s="778"/>
      <c r="N431" s="778"/>
      <c r="O431" s="778"/>
      <c r="P431" s="778"/>
      <c r="Q431" s="778"/>
      <c r="R431" s="778"/>
      <c r="S431" s="778"/>
      <c r="T431" s="778"/>
      <c r="U431" s="778"/>
      <c r="V431" s="778"/>
      <c r="W431" s="778"/>
      <c r="X431" s="778"/>
      <c r="Y431" s="778"/>
      <c r="Z431" s="778"/>
    </row>
    <row r="432">
      <c r="A432" s="777"/>
      <c r="B432" s="777"/>
      <c r="C432" s="777"/>
      <c r="D432" s="778"/>
      <c r="E432" s="778"/>
      <c r="F432" s="778"/>
      <c r="G432" s="778"/>
      <c r="H432" s="778"/>
      <c r="I432" s="778"/>
      <c r="J432" s="778"/>
      <c r="K432" s="778"/>
      <c r="L432" s="778"/>
      <c r="M432" s="778"/>
      <c r="N432" s="778"/>
      <c r="O432" s="778"/>
      <c r="P432" s="778"/>
      <c r="Q432" s="778"/>
      <c r="R432" s="778"/>
      <c r="S432" s="778"/>
      <c r="T432" s="778"/>
      <c r="U432" s="778"/>
      <c r="V432" s="778"/>
      <c r="W432" s="778"/>
      <c r="X432" s="778"/>
      <c r="Y432" s="778"/>
      <c r="Z432" s="778"/>
    </row>
    <row r="433">
      <c r="A433" s="777"/>
      <c r="B433" s="777"/>
      <c r="C433" s="777"/>
      <c r="D433" s="778"/>
      <c r="E433" s="778"/>
      <c r="F433" s="778"/>
      <c r="G433" s="778"/>
      <c r="H433" s="778"/>
      <c r="I433" s="778"/>
      <c r="J433" s="778"/>
      <c r="K433" s="778"/>
      <c r="L433" s="778"/>
      <c r="M433" s="778"/>
      <c r="N433" s="778"/>
      <c r="O433" s="778"/>
      <c r="P433" s="778"/>
      <c r="Q433" s="778"/>
      <c r="R433" s="778"/>
      <c r="S433" s="778"/>
      <c r="T433" s="778"/>
      <c r="U433" s="778"/>
      <c r="V433" s="778"/>
      <c r="W433" s="778"/>
      <c r="X433" s="778"/>
      <c r="Y433" s="778"/>
      <c r="Z433" s="778"/>
    </row>
    <row r="434">
      <c r="A434" s="777"/>
      <c r="B434" s="777"/>
      <c r="C434" s="777"/>
      <c r="D434" s="778"/>
      <c r="E434" s="778"/>
      <c r="F434" s="778"/>
      <c r="G434" s="778"/>
      <c r="H434" s="778"/>
      <c r="I434" s="778"/>
      <c r="J434" s="778"/>
      <c r="K434" s="778"/>
      <c r="L434" s="778"/>
      <c r="M434" s="778"/>
      <c r="N434" s="778"/>
      <c r="O434" s="778"/>
      <c r="P434" s="778"/>
      <c r="Q434" s="778"/>
      <c r="R434" s="778"/>
      <c r="S434" s="778"/>
      <c r="T434" s="778"/>
      <c r="U434" s="778"/>
      <c r="V434" s="778"/>
      <c r="W434" s="778"/>
      <c r="X434" s="778"/>
      <c r="Y434" s="778"/>
      <c r="Z434" s="778"/>
    </row>
    <row r="435">
      <c r="A435" s="777"/>
      <c r="B435" s="777"/>
      <c r="C435" s="777"/>
      <c r="D435" s="778"/>
      <c r="E435" s="778"/>
      <c r="F435" s="778"/>
      <c r="G435" s="778"/>
      <c r="H435" s="778"/>
      <c r="I435" s="778"/>
      <c r="J435" s="778"/>
      <c r="K435" s="778"/>
      <c r="L435" s="778"/>
      <c r="M435" s="778"/>
      <c r="N435" s="778"/>
      <c r="O435" s="778"/>
      <c r="P435" s="778"/>
      <c r="Q435" s="778"/>
      <c r="R435" s="778"/>
      <c r="S435" s="778"/>
      <c r="T435" s="778"/>
      <c r="U435" s="778"/>
      <c r="V435" s="778"/>
      <c r="W435" s="778"/>
      <c r="X435" s="778"/>
      <c r="Y435" s="778"/>
      <c r="Z435" s="778"/>
    </row>
    <row r="436">
      <c r="A436" s="777"/>
      <c r="B436" s="777"/>
      <c r="C436" s="777"/>
      <c r="D436" s="778"/>
      <c r="E436" s="778"/>
      <c r="F436" s="778"/>
      <c r="G436" s="778"/>
      <c r="H436" s="778"/>
      <c r="I436" s="778"/>
      <c r="J436" s="778"/>
      <c r="K436" s="778"/>
      <c r="L436" s="778"/>
      <c r="M436" s="778"/>
      <c r="N436" s="778"/>
      <c r="O436" s="778"/>
      <c r="P436" s="778"/>
      <c r="Q436" s="778"/>
      <c r="R436" s="778"/>
      <c r="S436" s="778"/>
      <c r="T436" s="778"/>
      <c r="U436" s="778"/>
      <c r="V436" s="778"/>
      <c r="W436" s="778"/>
      <c r="X436" s="778"/>
      <c r="Y436" s="778"/>
      <c r="Z436" s="778"/>
    </row>
    <row r="437">
      <c r="A437" s="777"/>
      <c r="B437" s="777"/>
      <c r="C437" s="777"/>
      <c r="D437" s="778"/>
      <c r="E437" s="778"/>
      <c r="F437" s="778"/>
      <c r="G437" s="778"/>
      <c r="H437" s="778"/>
      <c r="I437" s="778"/>
      <c r="J437" s="778"/>
      <c r="K437" s="778"/>
      <c r="L437" s="778"/>
      <c r="M437" s="778"/>
      <c r="N437" s="778"/>
      <c r="O437" s="778"/>
      <c r="P437" s="778"/>
      <c r="Q437" s="778"/>
      <c r="R437" s="778"/>
      <c r="S437" s="778"/>
      <c r="T437" s="778"/>
      <c r="U437" s="778"/>
      <c r="V437" s="778"/>
      <c r="W437" s="778"/>
      <c r="X437" s="778"/>
      <c r="Y437" s="778"/>
      <c r="Z437" s="778"/>
    </row>
    <row r="438">
      <c r="A438" s="777"/>
      <c r="B438" s="777"/>
      <c r="C438" s="777"/>
      <c r="D438" s="778"/>
      <c r="E438" s="778"/>
      <c r="F438" s="778"/>
      <c r="G438" s="778"/>
      <c r="H438" s="778"/>
      <c r="I438" s="778"/>
      <c r="J438" s="778"/>
      <c r="K438" s="778"/>
      <c r="L438" s="778"/>
      <c r="M438" s="778"/>
      <c r="N438" s="778"/>
      <c r="O438" s="778"/>
      <c r="P438" s="778"/>
      <c r="Q438" s="778"/>
      <c r="R438" s="778"/>
      <c r="S438" s="778"/>
      <c r="T438" s="778"/>
      <c r="U438" s="778"/>
      <c r="V438" s="778"/>
      <c r="W438" s="778"/>
      <c r="X438" s="778"/>
      <c r="Y438" s="778"/>
      <c r="Z438" s="778"/>
    </row>
    <row r="439">
      <c r="A439" s="777"/>
      <c r="B439" s="777"/>
      <c r="C439" s="777"/>
      <c r="D439" s="778"/>
      <c r="E439" s="778"/>
      <c r="F439" s="778"/>
      <c r="G439" s="778"/>
      <c r="H439" s="778"/>
      <c r="I439" s="778"/>
      <c r="J439" s="778"/>
      <c r="K439" s="778"/>
      <c r="L439" s="778"/>
      <c r="M439" s="778"/>
      <c r="N439" s="778"/>
      <c r="O439" s="778"/>
      <c r="P439" s="778"/>
      <c r="Q439" s="778"/>
      <c r="R439" s="778"/>
      <c r="S439" s="778"/>
      <c r="T439" s="778"/>
      <c r="U439" s="778"/>
      <c r="V439" s="778"/>
      <c r="W439" s="778"/>
      <c r="X439" s="778"/>
      <c r="Y439" s="778"/>
      <c r="Z439" s="778"/>
    </row>
    <row r="440">
      <c r="A440" s="777"/>
      <c r="B440" s="777"/>
      <c r="C440" s="777"/>
      <c r="D440" s="778"/>
      <c r="E440" s="778"/>
      <c r="F440" s="778"/>
      <c r="G440" s="778"/>
      <c r="H440" s="778"/>
      <c r="I440" s="778"/>
      <c r="J440" s="778"/>
      <c r="K440" s="778"/>
      <c r="L440" s="778"/>
      <c r="M440" s="778"/>
      <c r="N440" s="778"/>
      <c r="O440" s="778"/>
      <c r="P440" s="778"/>
      <c r="Q440" s="778"/>
      <c r="R440" s="778"/>
      <c r="S440" s="778"/>
      <c r="T440" s="778"/>
      <c r="U440" s="778"/>
      <c r="V440" s="778"/>
      <c r="W440" s="778"/>
      <c r="X440" s="778"/>
      <c r="Y440" s="778"/>
      <c r="Z440" s="778"/>
    </row>
    <row r="441">
      <c r="A441" s="777"/>
      <c r="B441" s="777"/>
      <c r="C441" s="777"/>
      <c r="D441" s="778"/>
      <c r="E441" s="778"/>
      <c r="F441" s="778"/>
      <c r="G441" s="778"/>
      <c r="H441" s="778"/>
      <c r="I441" s="778"/>
      <c r="J441" s="778"/>
      <c r="K441" s="778"/>
      <c r="L441" s="778"/>
      <c r="M441" s="778"/>
      <c r="N441" s="778"/>
      <c r="O441" s="778"/>
      <c r="P441" s="778"/>
      <c r="Q441" s="778"/>
      <c r="R441" s="778"/>
      <c r="S441" s="778"/>
      <c r="T441" s="778"/>
      <c r="U441" s="778"/>
      <c r="V441" s="778"/>
      <c r="W441" s="778"/>
      <c r="X441" s="778"/>
      <c r="Y441" s="778"/>
      <c r="Z441" s="778"/>
    </row>
    <row r="442">
      <c r="A442" s="777"/>
      <c r="B442" s="777"/>
      <c r="C442" s="777"/>
      <c r="D442" s="778"/>
      <c r="E442" s="778"/>
      <c r="F442" s="778"/>
      <c r="G442" s="778"/>
      <c r="H442" s="778"/>
      <c r="I442" s="778"/>
      <c r="J442" s="778"/>
      <c r="K442" s="778"/>
      <c r="L442" s="778"/>
      <c r="M442" s="778"/>
      <c r="N442" s="778"/>
      <c r="O442" s="778"/>
      <c r="P442" s="778"/>
      <c r="Q442" s="778"/>
      <c r="R442" s="778"/>
      <c r="S442" s="778"/>
      <c r="T442" s="778"/>
      <c r="U442" s="778"/>
      <c r="V442" s="778"/>
      <c r="W442" s="778"/>
      <c r="X442" s="778"/>
      <c r="Y442" s="778"/>
      <c r="Z442" s="778"/>
    </row>
    <row r="443">
      <c r="A443" s="777"/>
      <c r="B443" s="777"/>
      <c r="C443" s="777"/>
      <c r="D443" s="778"/>
      <c r="E443" s="778"/>
      <c r="F443" s="778"/>
      <c r="G443" s="778"/>
      <c r="H443" s="778"/>
      <c r="I443" s="778"/>
      <c r="J443" s="778"/>
      <c r="K443" s="778"/>
      <c r="L443" s="778"/>
      <c r="M443" s="778"/>
      <c r="N443" s="778"/>
      <c r="O443" s="778"/>
      <c r="P443" s="778"/>
      <c r="Q443" s="778"/>
      <c r="R443" s="778"/>
      <c r="S443" s="778"/>
      <c r="T443" s="778"/>
      <c r="U443" s="778"/>
      <c r="V443" s="778"/>
      <c r="W443" s="778"/>
      <c r="X443" s="778"/>
      <c r="Y443" s="778"/>
      <c r="Z443" s="778"/>
    </row>
    <row r="444">
      <c r="A444" s="777"/>
      <c r="B444" s="777"/>
      <c r="C444" s="777"/>
      <c r="D444" s="778"/>
      <c r="E444" s="778"/>
      <c r="F444" s="778"/>
      <c r="G444" s="778"/>
      <c r="H444" s="778"/>
      <c r="I444" s="778"/>
      <c r="J444" s="778"/>
      <c r="K444" s="778"/>
      <c r="L444" s="778"/>
      <c r="M444" s="778"/>
      <c r="N444" s="778"/>
      <c r="O444" s="778"/>
      <c r="P444" s="778"/>
      <c r="Q444" s="778"/>
      <c r="R444" s="778"/>
      <c r="S444" s="778"/>
      <c r="T444" s="778"/>
      <c r="U444" s="778"/>
      <c r="V444" s="778"/>
      <c r="W444" s="778"/>
      <c r="X444" s="778"/>
      <c r="Y444" s="778"/>
      <c r="Z444" s="778"/>
    </row>
    <row r="445">
      <c r="A445" s="777"/>
      <c r="B445" s="777"/>
      <c r="C445" s="777"/>
      <c r="D445" s="778"/>
      <c r="E445" s="778"/>
      <c r="F445" s="778"/>
      <c r="G445" s="778"/>
      <c r="H445" s="778"/>
      <c r="I445" s="778"/>
      <c r="J445" s="778"/>
      <c r="K445" s="778"/>
      <c r="L445" s="778"/>
      <c r="M445" s="778"/>
      <c r="N445" s="778"/>
      <c r="O445" s="778"/>
      <c r="P445" s="778"/>
      <c r="Q445" s="778"/>
      <c r="R445" s="778"/>
      <c r="S445" s="778"/>
      <c r="T445" s="778"/>
      <c r="U445" s="778"/>
      <c r="V445" s="778"/>
      <c r="W445" s="778"/>
      <c r="X445" s="778"/>
      <c r="Y445" s="778"/>
      <c r="Z445" s="778"/>
    </row>
    <row r="446">
      <c r="A446" s="777"/>
      <c r="B446" s="777"/>
      <c r="C446" s="777"/>
      <c r="D446" s="778"/>
      <c r="E446" s="778"/>
      <c r="F446" s="778"/>
      <c r="G446" s="778"/>
      <c r="H446" s="778"/>
      <c r="I446" s="778"/>
      <c r="J446" s="778"/>
      <c r="K446" s="778"/>
      <c r="L446" s="778"/>
      <c r="M446" s="778"/>
      <c r="N446" s="778"/>
      <c r="O446" s="778"/>
      <c r="P446" s="778"/>
      <c r="Q446" s="778"/>
      <c r="R446" s="778"/>
      <c r="S446" s="778"/>
      <c r="T446" s="778"/>
      <c r="U446" s="778"/>
      <c r="V446" s="778"/>
      <c r="W446" s="778"/>
      <c r="X446" s="778"/>
      <c r="Y446" s="778"/>
      <c r="Z446" s="778"/>
    </row>
    <row r="447">
      <c r="A447" s="777"/>
      <c r="B447" s="777"/>
      <c r="C447" s="777"/>
      <c r="D447" s="778"/>
      <c r="E447" s="778"/>
      <c r="F447" s="778"/>
      <c r="G447" s="778"/>
      <c r="H447" s="778"/>
      <c r="I447" s="778"/>
      <c r="J447" s="778"/>
      <c r="K447" s="778"/>
      <c r="L447" s="778"/>
      <c r="M447" s="778"/>
      <c r="N447" s="778"/>
      <c r="O447" s="778"/>
      <c r="P447" s="778"/>
      <c r="Q447" s="778"/>
      <c r="R447" s="778"/>
      <c r="S447" s="778"/>
      <c r="T447" s="778"/>
      <c r="U447" s="778"/>
      <c r="V447" s="778"/>
      <c r="W447" s="778"/>
      <c r="X447" s="778"/>
      <c r="Y447" s="778"/>
      <c r="Z447" s="778"/>
    </row>
    <row r="448">
      <c r="A448" s="777"/>
      <c r="B448" s="777"/>
      <c r="C448" s="777"/>
      <c r="D448" s="778"/>
      <c r="E448" s="778"/>
      <c r="F448" s="778"/>
      <c r="G448" s="778"/>
      <c r="H448" s="778"/>
      <c r="I448" s="778"/>
      <c r="J448" s="778"/>
      <c r="K448" s="778"/>
      <c r="L448" s="778"/>
      <c r="M448" s="778"/>
      <c r="N448" s="778"/>
      <c r="O448" s="778"/>
      <c r="P448" s="778"/>
      <c r="Q448" s="778"/>
      <c r="R448" s="778"/>
      <c r="S448" s="778"/>
      <c r="T448" s="778"/>
      <c r="U448" s="778"/>
      <c r="V448" s="778"/>
      <c r="W448" s="778"/>
      <c r="X448" s="778"/>
      <c r="Y448" s="778"/>
      <c r="Z448" s="778"/>
    </row>
    <row r="449">
      <c r="A449" s="777"/>
      <c r="B449" s="777"/>
      <c r="C449" s="777"/>
      <c r="D449" s="778"/>
      <c r="E449" s="778"/>
      <c r="F449" s="778"/>
      <c r="G449" s="778"/>
      <c r="H449" s="778"/>
      <c r="I449" s="778"/>
      <c r="J449" s="778"/>
      <c r="K449" s="778"/>
      <c r="L449" s="778"/>
      <c r="M449" s="778"/>
      <c r="N449" s="778"/>
      <c r="O449" s="778"/>
      <c r="P449" s="778"/>
      <c r="Q449" s="778"/>
      <c r="R449" s="778"/>
      <c r="S449" s="778"/>
      <c r="T449" s="778"/>
      <c r="U449" s="778"/>
      <c r="V449" s="778"/>
      <c r="W449" s="778"/>
      <c r="X449" s="778"/>
      <c r="Y449" s="778"/>
      <c r="Z449" s="778"/>
    </row>
    <row r="450">
      <c r="A450" s="777"/>
      <c r="B450" s="777"/>
      <c r="C450" s="777"/>
      <c r="D450" s="778"/>
      <c r="E450" s="778"/>
      <c r="F450" s="778"/>
      <c r="G450" s="778"/>
      <c r="H450" s="778"/>
      <c r="I450" s="778"/>
      <c r="J450" s="778"/>
      <c r="K450" s="778"/>
      <c r="L450" s="778"/>
      <c r="M450" s="778"/>
      <c r="N450" s="778"/>
      <c r="O450" s="778"/>
      <c r="P450" s="778"/>
      <c r="Q450" s="778"/>
      <c r="R450" s="778"/>
      <c r="S450" s="778"/>
      <c r="T450" s="778"/>
      <c r="U450" s="778"/>
      <c r="V450" s="778"/>
      <c r="W450" s="778"/>
      <c r="X450" s="778"/>
      <c r="Y450" s="778"/>
      <c r="Z450" s="778"/>
    </row>
    <row r="451">
      <c r="A451" s="777"/>
      <c r="B451" s="777"/>
      <c r="C451" s="777"/>
      <c r="D451" s="778"/>
      <c r="E451" s="778"/>
      <c r="F451" s="778"/>
      <c r="G451" s="778"/>
      <c r="H451" s="778"/>
      <c r="I451" s="778"/>
      <c r="J451" s="778"/>
      <c r="K451" s="778"/>
      <c r="L451" s="778"/>
      <c r="M451" s="778"/>
      <c r="N451" s="778"/>
      <c r="O451" s="778"/>
      <c r="P451" s="778"/>
      <c r="Q451" s="778"/>
      <c r="R451" s="778"/>
      <c r="S451" s="778"/>
      <c r="T451" s="778"/>
      <c r="U451" s="778"/>
      <c r="V451" s="778"/>
      <c r="W451" s="778"/>
      <c r="X451" s="778"/>
      <c r="Y451" s="778"/>
      <c r="Z451" s="778"/>
    </row>
    <row r="452">
      <c r="A452" s="777"/>
      <c r="B452" s="777"/>
      <c r="C452" s="777"/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778"/>
      <c r="V452" s="778"/>
      <c r="W452" s="778"/>
      <c r="X452" s="778"/>
      <c r="Y452" s="778"/>
      <c r="Z452" s="778"/>
    </row>
    <row r="453">
      <c r="A453" s="777"/>
      <c r="B453" s="777"/>
      <c r="C453" s="777"/>
      <c r="D453" s="778"/>
      <c r="E453" s="778"/>
      <c r="F453" s="778"/>
      <c r="G453" s="778"/>
      <c r="H453" s="778"/>
      <c r="I453" s="778"/>
      <c r="J453" s="778"/>
      <c r="K453" s="778"/>
      <c r="L453" s="778"/>
      <c r="M453" s="778"/>
      <c r="N453" s="778"/>
      <c r="O453" s="778"/>
      <c r="P453" s="778"/>
      <c r="Q453" s="778"/>
      <c r="R453" s="778"/>
      <c r="S453" s="778"/>
      <c r="T453" s="778"/>
      <c r="U453" s="778"/>
      <c r="V453" s="778"/>
      <c r="W453" s="778"/>
      <c r="X453" s="778"/>
      <c r="Y453" s="778"/>
      <c r="Z453" s="778"/>
    </row>
    <row r="454">
      <c r="A454" s="777"/>
      <c r="B454" s="777"/>
      <c r="C454" s="777"/>
      <c r="D454" s="778"/>
      <c r="E454" s="778"/>
      <c r="F454" s="778"/>
      <c r="G454" s="778"/>
      <c r="H454" s="778"/>
      <c r="I454" s="778"/>
      <c r="J454" s="778"/>
      <c r="K454" s="778"/>
      <c r="L454" s="778"/>
      <c r="M454" s="778"/>
      <c r="N454" s="778"/>
      <c r="O454" s="778"/>
      <c r="P454" s="778"/>
      <c r="Q454" s="778"/>
      <c r="R454" s="778"/>
      <c r="S454" s="778"/>
      <c r="T454" s="778"/>
      <c r="U454" s="778"/>
      <c r="V454" s="778"/>
      <c r="W454" s="778"/>
      <c r="X454" s="778"/>
      <c r="Y454" s="778"/>
      <c r="Z454" s="778"/>
    </row>
    <row r="455">
      <c r="A455" s="777"/>
      <c r="B455" s="777"/>
      <c r="C455" s="777"/>
      <c r="D455" s="778"/>
      <c r="E455" s="778"/>
      <c r="F455" s="778"/>
      <c r="G455" s="778"/>
      <c r="H455" s="778"/>
      <c r="I455" s="778"/>
      <c r="J455" s="778"/>
      <c r="K455" s="778"/>
      <c r="L455" s="778"/>
      <c r="M455" s="778"/>
      <c r="N455" s="778"/>
      <c r="O455" s="778"/>
      <c r="P455" s="778"/>
      <c r="Q455" s="778"/>
      <c r="R455" s="778"/>
      <c r="S455" s="778"/>
      <c r="T455" s="778"/>
      <c r="U455" s="778"/>
      <c r="V455" s="778"/>
      <c r="W455" s="778"/>
      <c r="X455" s="778"/>
      <c r="Y455" s="778"/>
      <c r="Z455" s="778"/>
    </row>
    <row r="456">
      <c r="A456" s="777"/>
      <c r="B456" s="777"/>
      <c r="C456" s="777"/>
      <c r="D456" s="778"/>
      <c r="E456" s="778"/>
      <c r="F456" s="778"/>
      <c r="G456" s="778"/>
      <c r="H456" s="778"/>
      <c r="I456" s="778"/>
      <c r="J456" s="778"/>
      <c r="K456" s="778"/>
      <c r="L456" s="778"/>
      <c r="M456" s="778"/>
      <c r="N456" s="778"/>
      <c r="O456" s="778"/>
      <c r="P456" s="778"/>
      <c r="Q456" s="778"/>
      <c r="R456" s="778"/>
      <c r="S456" s="778"/>
      <c r="T456" s="778"/>
      <c r="U456" s="778"/>
      <c r="V456" s="778"/>
      <c r="W456" s="778"/>
      <c r="X456" s="778"/>
      <c r="Y456" s="778"/>
      <c r="Z456" s="778"/>
    </row>
    <row r="457">
      <c r="A457" s="777"/>
      <c r="B457" s="777"/>
      <c r="C457" s="777"/>
      <c r="D457" s="778"/>
      <c r="E457" s="778"/>
      <c r="F457" s="778"/>
      <c r="G457" s="778"/>
      <c r="H457" s="778"/>
      <c r="I457" s="778"/>
      <c r="J457" s="778"/>
      <c r="K457" s="778"/>
      <c r="L457" s="778"/>
      <c r="M457" s="778"/>
      <c r="N457" s="778"/>
      <c r="O457" s="778"/>
      <c r="P457" s="778"/>
      <c r="Q457" s="778"/>
      <c r="R457" s="778"/>
      <c r="S457" s="778"/>
      <c r="T457" s="778"/>
      <c r="U457" s="778"/>
      <c r="V457" s="778"/>
      <c r="W457" s="778"/>
      <c r="X457" s="778"/>
      <c r="Y457" s="778"/>
      <c r="Z457" s="778"/>
    </row>
    <row r="458">
      <c r="A458" s="777"/>
      <c r="B458" s="777"/>
      <c r="C458" s="777"/>
      <c r="D458" s="778"/>
      <c r="E458" s="778"/>
      <c r="F458" s="778"/>
      <c r="G458" s="778"/>
      <c r="H458" s="778"/>
      <c r="I458" s="778"/>
      <c r="J458" s="778"/>
      <c r="K458" s="778"/>
      <c r="L458" s="778"/>
      <c r="M458" s="778"/>
      <c r="N458" s="778"/>
      <c r="O458" s="778"/>
      <c r="P458" s="778"/>
      <c r="Q458" s="778"/>
      <c r="R458" s="778"/>
      <c r="S458" s="778"/>
      <c r="T458" s="778"/>
      <c r="U458" s="778"/>
      <c r="V458" s="778"/>
      <c r="W458" s="778"/>
      <c r="X458" s="778"/>
      <c r="Y458" s="778"/>
      <c r="Z458" s="778"/>
    </row>
    <row r="459">
      <c r="A459" s="777"/>
      <c r="B459" s="777"/>
      <c r="C459" s="777"/>
      <c r="D459" s="778"/>
      <c r="E459" s="778"/>
      <c r="F459" s="778"/>
      <c r="G459" s="778"/>
      <c r="H459" s="778"/>
      <c r="I459" s="778"/>
      <c r="J459" s="778"/>
      <c r="K459" s="778"/>
      <c r="L459" s="778"/>
      <c r="M459" s="778"/>
      <c r="N459" s="778"/>
      <c r="O459" s="778"/>
      <c r="P459" s="778"/>
      <c r="Q459" s="778"/>
      <c r="R459" s="778"/>
      <c r="S459" s="778"/>
      <c r="T459" s="778"/>
      <c r="U459" s="778"/>
      <c r="V459" s="778"/>
      <c r="W459" s="778"/>
      <c r="X459" s="778"/>
      <c r="Y459" s="778"/>
      <c r="Z459" s="778"/>
    </row>
    <row r="460">
      <c r="A460" s="777"/>
      <c r="B460" s="777"/>
      <c r="C460" s="777"/>
      <c r="D460" s="778"/>
      <c r="E460" s="778"/>
      <c r="F460" s="778"/>
      <c r="G460" s="778"/>
      <c r="H460" s="778"/>
      <c r="I460" s="778"/>
      <c r="J460" s="778"/>
      <c r="K460" s="778"/>
      <c r="L460" s="778"/>
      <c r="M460" s="778"/>
      <c r="N460" s="778"/>
      <c r="O460" s="778"/>
      <c r="P460" s="778"/>
      <c r="Q460" s="778"/>
      <c r="R460" s="778"/>
      <c r="S460" s="778"/>
      <c r="T460" s="778"/>
      <c r="U460" s="778"/>
      <c r="V460" s="778"/>
      <c r="W460" s="778"/>
      <c r="X460" s="778"/>
      <c r="Y460" s="778"/>
      <c r="Z460" s="778"/>
    </row>
    <row r="461">
      <c r="A461" s="777"/>
      <c r="B461" s="777"/>
      <c r="C461" s="777"/>
      <c r="D461" s="778"/>
      <c r="E461" s="778"/>
      <c r="F461" s="778"/>
      <c r="G461" s="778"/>
      <c r="H461" s="778"/>
      <c r="I461" s="778"/>
      <c r="J461" s="778"/>
      <c r="K461" s="778"/>
      <c r="L461" s="778"/>
      <c r="M461" s="778"/>
      <c r="N461" s="778"/>
      <c r="O461" s="778"/>
      <c r="P461" s="778"/>
      <c r="Q461" s="778"/>
      <c r="R461" s="778"/>
      <c r="S461" s="778"/>
      <c r="T461" s="778"/>
      <c r="U461" s="778"/>
      <c r="V461" s="778"/>
      <c r="W461" s="778"/>
      <c r="X461" s="778"/>
      <c r="Y461" s="778"/>
      <c r="Z461" s="778"/>
    </row>
    <row r="462">
      <c r="A462" s="777"/>
      <c r="B462" s="777"/>
      <c r="C462" s="777"/>
      <c r="D462" s="778"/>
      <c r="E462" s="778"/>
      <c r="F462" s="778"/>
      <c r="G462" s="778"/>
      <c r="H462" s="778"/>
      <c r="I462" s="778"/>
      <c r="J462" s="778"/>
      <c r="K462" s="778"/>
      <c r="L462" s="778"/>
      <c r="M462" s="778"/>
      <c r="N462" s="778"/>
      <c r="O462" s="778"/>
      <c r="P462" s="778"/>
      <c r="Q462" s="778"/>
      <c r="R462" s="778"/>
      <c r="S462" s="778"/>
      <c r="T462" s="778"/>
      <c r="U462" s="778"/>
      <c r="V462" s="778"/>
      <c r="W462" s="778"/>
      <c r="X462" s="778"/>
      <c r="Y462" s="778"/>
      <c r="Z462" s="778"/>
    </row>
    <row r="463">
      <c r="A463" s="777"/>
      <c r="B463" s="777"/>
      <c r="C463" s="777"/>
      <c r="D463" s="778"/>
      <c r="E463" s="778"/>
      <c r="F463" s="778"/>
      <c r="G463" s="778"/>
      <c r="H463" s="778"/>
      <c r="I463" s="778"/>
      <c r="J463" s="778"/>
      <c r="K463" s="778"/>
      <c r="L463" s="778"/>
      <c r="M463" s="778"/>
      <c r="N463" s="778"/>
      <c r="O463" s="778"/>
      <c r="P463" s="778"/>
      <c r="Q463" s="778"/>
      <c r="R463" s="778"/>
      <c r="S463" s="778"/>
      <c r="T463" s="778"/>
      <c r="U463" s="778"/>
      <c r="V463" s="778"/>
      <c r="W463" s="778"/>
      <c r="X463" s="778"/>
      <c r="Y463" s="778"/>
      <c r="Z463" s="778"/>
    </row>
    <row r="464">
      <c r="A464" s="777"/>
      <c r="B464" s="777"/>
      <c r="C464" s="777"/>
      <c r="D464" s="778"/>
      <c r="E464" s="778"/>
      <c r="F464" s="778"/>
      <c r="G464" s="778"/>
      <c r="H464" s="778"/>
      <c r="I464" s="778"/>
      <c r="J464" s="778"/>
      <c r="K464" s="778"/>
      <c r="L464" s="778"/>
      <c r="M464" s="778"/>
      <c r="N464" s="778"/>
      <c r="O464" s="778"/>
      <c r="P464" s="778"/>
      <c r="Q464" s="778"/>
      <c r="R464" s="778"/>
      <c r="S464" s="778"/>
      <c r="T464" s="778"/>
      <c r="U464" s="778"/>
      <c r="V464" s="778"/>
      <c r="W464" s="778"/>
      <c r="X464" s="778"/>
      <c r="Y464" s="778"/>
      <c r="Z464" s="778"/>
    </row>
    <row r="465">
      <c r="A465" s="777"/>
      <c r="B465" s="777"/>
      <c r="C465" s="777"/>
      <c r="D465" s="778"/>
      <c r="E465" s="778"/>
      <c r="F465" s="778"/>
      <c r="G465" s="778"/>
      <c r="H465" s="778"/>
      <c r="I465" s="778"/>
      <c r="J465" s="778"/>
      <c r="K465" s="778"/>
      <c r="L465" s="778"/>
      <c r="M465" s="778"/>
      <c r="N465" s="778"/>
      <c r="O465" s="778"/>
      <c r="P465" s="778"/>
      <c r="Q465" s="778"/>
      <c r="R465" s="778"/>
      <c r="S465" s="778"/>
      <c r="T465" s="778"/>
      <c r="U465" s="778"/>
      <c r="V465" s="778"/>
      <c r="W465" s="778"/>
      <c r="X465" s="778"/>
      <c r="Y465" s="778"/>
      <c r="Z465" s="778"/>
    </row>
    <row r="466">
      <c r="A466" s="777"/>
      <c r="B466" s="777"/>
      <c r="C466" s="777"/>
      <c r="D466" s="778"/>
      <c r="E466" s="778"/>
      <c r="F466" s="778"/>
      <c r="G466" s="778"/>
      <c r="H466" s="778"/>
      <c r="I466" s="778"/>
      <c r="J466" s="778"/>
      <c r="K466" s="778"/>
      <c r="L466" s="778"/>
      <c r="M466" s="778"/>
      <c r="N466" s="778"/>
      <c r="O466" s="778"/>
      <c r="P466" s="778"/>
      <c r="Q466" s="778"/>
      <c r="R466" s="778"/>
      <c r="S466" s="778"/>
      <c r="T466" s="778"/>
      <c r="U466" s="778"/>
      <c r="V466" s="778"/>
      <c r="W466" s="778"/>
      <c r="X466" s="778"/>
      <c r="Y466" s="778"/>
      <c r="Z466" s="778"/>
    </row>
    <row r="467">
      <c r="A467" s="777"/>
      <c r="B467" s="777"/>
      <c r="C467" s="777"/>
      <c r="D467" s="778"/>
      <c r="E467" s="778"/>
      <c r="F467" s="778"/>
      <c r="G467" s="778"/>
      <c r="H467" s="778"/>
      <c r="I467" s="778"/>
      <c r="J467" s="778"/>
      <c r="K467" s="778"/>
      <c r="L467" s="778"/>
      <c r="M467" s="778"/>
      <c r="N467" s="778"/>
      <c r="O467" s="778"/>
      <c r="P467" s="778"/>
      <c r="Q467" s="778"/>
      <c r="R467" s="778"/>
      <c r="S467" s="778"/>
      <c r="T467" s="778"/>
      <c r="U467" s="778"/>
      <c r="V467" s="778"/>
      <c r="W467" s="778"/>
      <c r="X467" s="778"/>
      <c r="Y467" s="778"/>
      <c r="Z467" s="778"/>
    </row>
    <row r="468">
      <c r="A468" s="777"/>
      <c r="B468" s="777"/>
      <c r="C468" s="777"/>
      <c r="D468" s="778"/>
      <c r="E468" s="778"/>
      <c r="F468" s="778"/>
      <c r="G468" s="778"/>
      <c r="H468" s="778"/>
      <c r="I468" s="778"/>
      <c r="J468" s="778"/>
      <c r="K468" s="778"/>
      <c r="L468" s="778"/>
      <c r="M468" s="778"/>
      <c r="N468" s="778"/>
      <c r="O468" s="778"/>
      <c r="P468" s="778"/>
      <c r="Q468" s="778"/>
      <c r="R468" s="778"/>
      <c r="S468" s="778"/>
      <c r="T468" s="778"/>
      <c r="U468" s="778"/>
      <c r="V468" s="778"/>
      <c r="W468" s="778"/>
      <c r="X468" s="778"/>
      <c r="Y468" s="778"/>
      <c r="Z468" s="778"/>
    </row>
    <row r="469">
      <c r="A469" s="777"/>
      <c r="B469" s="777"/>
      <c r="C469" s="777"/>
      <c r="D469" s="778"/>
      <c r="E469" s="778"/>
      <c r="F469" s="778"/>
      <c r="G469" s="778"/>
      <c r="H469" s="778"/>
      <c r="I469" s="778"/>
      <c r="J469" s="778"/>
      <c r="K469" s="778"/>
      <c r="L469" s="778"/>
      <c r="M469" s="778"/>
      <c r="N469" s="778"/>
      <c r="O469" s="778"/>
      <c r="P469" s="778"/>
      <c r="Q469" s="778"/>
      <c r="R469" s="778"/>
      <c r="S469" s="778"/>
      <c r="T469" s="778"/>
      <c r="U469" s="778"/>
      <c r="V469" s="778"/>
      <c r="W469" s="778"/>
      <c r="X469" s="778"/>
      <c r="Y469" s="778"/>
      <c r="Z469" s="778"/>
    </row>
    <row r="470">
      <c r="A470" s="777"/>
      <c r="B470" s="777"/>
      <c r="C470" s="777"/>
      <c r="D470" s="778"/>
      <c r="E470" s="778"/>
      <c r="F470" s="778"/>
      <c r="G470" s="778"/>
      <c r="H470" s="778"/>
      <c r="I470" s="778"/>
      <c r="J470" s="778"/>
      <c r="K470" s="778"/>
      <c r="L470" s="778"/>
      <c r="M470" s="778"/>
      <c r="N470" s="778"/>
      <c r="O470" s="778"/>
      <c r="P470" s="778"/>
      <c r="Q470" s="778"/>
      <c r="R470" s="778"/>
      <c r="S470" s="778"/>
      <c r="T470" s="778"/>
      <c r="U470" s="778"/>
      <c r="V470" s="778"/>
      <c r="W470" s="778"/>
      <c r="X470" s="778"/>
      <c r="Y470" s="778"/>
      <c r="Z470" s="778"/>
    </row>
    <row r="471">
      <c r="A471" s="777"/>
      <c r="B471" s="777"/>
      <c r="C471" s="777"/>
      <c r="D471" s="778"/>
      <c r="E471" s="778"/>
      <c r="F471" s="778"/>
      <c r="G471" s="778"/>
      <c r="H471" s="778"/>
      <c r="I471" s="778"/>
      <c r="J471" s="778"/>
      <c r="K471" s="778"/>
      <c r="L471" s="778"/>
      <c r="M471" s="778"/>
      <c r="N471" s="778"/>
      <c r="O471" s="778"/>
      <c r="P471" s="778"/>
      <c r="Q471" s="778"/>
      <c r="R471" s="778"/>
      <c r="S471" s="778"/>
      <c r="T471" s="778"/>
      <c r="U471" s="778"/>
      <c r="V471" s="778"/>
      <c r="W471" s="778"/>
      <c r="X471" s="778"/>
      <c r="Y471" s="778"/>
      <c r="Z471" s="778"/>
    </row>
    <row r="472">
      <c r="A472" s="777"/>
      <c r="B472" s="777"/>
      <c r="C472" s="777"/>
      <c r="D472" s="778"/>
      <c r="E472" s="778"/>
      <c r="F472" s="778"/>
      <c r="G472" s="778"/>
      <c r="H472" s="778"/>
      <c r="I472" s="778"/>
      <c r="J472" s="778"/>
      <c r="K472" s="778"/>
      <c r="L472" s="778"/>
      <c r="M472" s="778"/>
      <c r="N472" s="778"/>
      <c r="O472" s="778"/>
      <c r="P472" s="778"/>
      <c r="Q472" s="778"/>
      <c r="R472" s="778"/>
      <c r="S472" s="778"/>
      <c r="T472" s="778"/>
      <c r="U472" s="778"/>
      <c r="V472" s="778"/>
      <c r="W472" s="778"/>
      <c r="X472" s="778"/>
      <c r="Y472" s="778"/>
      <c r="Z472" s="778"/>
    </row>
    <row r="473">
      <c r="A473" s="777"/>
      <c r="B473" s="777"/>
      <c r="C473" s="777"/>
      <c r="D473" s="778"/>
      <c r="E473" s="778"/>
      <c r="F473" s="778"/>
      <c r="G473" s="778"/>
      <c r="H473" s="778"/>
      <c r="I473" s="778"/>
      <c r="J473" s="778"/>
      <c r="K473" s="778"/>
      <c r="L473" s="778"/>
      <c r="M473" s="778"/>
      <c r="N473" s="778"/>
      <c r="O473" s="778"/>
      <c r="P473" s="778"/>
      <c r="Q473" s="778"/>
      <c r="R473" s="778"/>
      <c r="S473" s="778"/>
      <c r="T473" s="778"/>
      <c r="U473" s="778"/>
      <c r="V473" s="778"/>
      <c r="W473" s="778"/>
      <c r="X473" s="778"/>
      <c r="Y473" s="778"/>
      <c r="Z473" s="778"/>
    </row>
    <row r="474">
      <c r="A474" s="777"/>
      <c r="B474" s="777"/>
      <c r="C474" s="777"/>
      <c r="D474" s="778"/>
      <c r="E474" s="778"/>
      <c r="F474" s="778"/>
      <c r="G474" s="778"/>
      <c r="H474" s="778"/>
      <c r="I474" s="778"/>
      <c r="J474" s="778"/>
      <c r="K474" s="778"/>
      <c r="L474" s="778"/>
      <c r="M474" s="778"/>
      <c r="N474" s="778"/>
      <c r="O474" s="778"/>
      <c r="P474" s="778"/>
      <c r="Q474" s="778"/>
      <c r="R474" s="778"/>
      <c r="S474" s="778"/>
      <c r="T474" s="778"/>
      <c r="U474" s="778"/>
      <c r="V474" s="778"/>
      <c r="W474" s="778"/>
      <c r="X474" s="778"/>
      <c r="Y474" s="778"/>
      <c r="Z474" s="778"/>
    </row>
    <row r="475">
      <c r="A475" s="777"/>
      <c r="B475" s="777"/>
      <c r="C475" s="777"/>
      <c r="D475" s="778"/>
      <c r="E475" s="778"/>
      <c r="F475" s="778"/>
      <c r="G475" s="778"/>
      <c r="H475" s="778"/>
      <c r="I475" s="778"/>
      <c r="J475" s="778"/>
      <c r="K475" s="778"/>
      <c r="L475" s="778"/>
      <c r="M475" s="778"/>
      <c r="N475" s="778"/>
      <c r="O475" s="778"/>
      <c r="P475" s="778"/>
      <c r="Q475" s="778"/>
      <c r="R475" s="778"/>
      <c r="S475" s="778"/>
      <c r="T475" s="778"/>
      <c r="U475" s="778"/>
      <c r="V475" s="778"/>
      <c r="W475" s="778"/>
      <c r="X475" s="778"/>
      <c r="Y475" s="778"/>
      <c r="Z475" s="778"/>
    </row>
    <row r="476">
      <c r="A476" s="777"/>
      <c r="B476" s="777"/>
      <c r="C476" s="777"/>
      <c r="D476" s="778"/>
      <c r="E476" s="778"/>
      <c r="F476" s="778"/>
      <c r="G476" s="778"/>
      <c r="H476" s="778"/>
      <c r="I476" s="778"/>
      <c r="J476" s="778"/>
      <c r="K476" s="778"/>
      <c r="L476" s="778"/>
      <c r="M476" s="778"/>
      <c r="N476" s="778"/>
      <c r="O476" s="778"/>
      <c r="P476" s="778"/>
      <c r="Q476" s="778"/>
      <c r="R476" s="778"/>
      <c r="S476" s="778"/>
      <c r="T476" s="778"/>
      <c r="U476" s="778"/>
      <c r="V476" s="778"/>
      <c r="W476" s="778"/>
      <c r="X476" s="778"/>
      <c r="Y476" s="778"/>
      <c r="Z476" s="778"/>
    </row>
    <row r="477">
      <c r="A477" s="777"/>
      <c r="B477" s="777"/>
      <c r="C477" s="777"/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778"/>
      <c r="V477" s="778"/>
      <c r="W477" s="778"/>
      <c r="X477" s="778"/>
      <c r="Y477" s="778"/>
      <c r="Z477" s="778"/>
    </row>
    <row r="478">
      <c r="A478" s="777"/>
      <c r="B478" s="777"/>
      <c r="C478" s="777"/>
      <c r="D478" s="778"/>
      <c r="E478" s="778"/>
      <c r="F478" s="778"/>
      <c r="G478" s="778"/>
      <c r="H478" s="778"/>
      <c r="I478" s="778"/>
      <c r="J478" s="778"/>
      <c r="K478" s="778"/>
      <c r="L478" s="778"/>
      <c r="M478" s="778"/>
      <c r="N478" s="778"/>
      <c r="O478" s="778"/>
      <c r="P478" s="778"/>
      <c r="Q478" s="778"/>
      <c r="R478" s="778"/>
      <c r="S478" s="778"/>
      <c r="T478" s="778"/>
      <c r="U478" s="778"/>
      <c r="V478" s="778"/>
      <c r="W478" s="778"/>
      <c r="X478" s="778"/>
      <c r="Y478" s="778"/>
      <c r="Z478" s="778"/>
    </row>
    <row r="479">
      <c r="A479" s="777"/>
      <c r="B479" s="777"/>
      <c r="C479" s="777"/>
      <c r="D479" s="778"/>
      <c r="E479" s="778"/>
      <c r="F479" s="778"/>
      <c r="G479" s="778"/>
      <c r="H479" s="778"/>
      <c r="I479" s="778"/>
      <c r="J479" s="778"/>
      <c r="K479" s="778"/>
      <c r="L479" s="778"/>
      <c r="M479" s="778"/>
      <c r="N479" s="778"/>
      <c r="O479" s="778"/>
      <c r="P479" s="778"/>
      <c r="Q479" s="778"/>
      <c r="R479" s="778"/>
      <c r="S479" s="778"/>
      <c r="T479" s="778"/>
      <c r="U479" s="778"/>
      <c r="V479" s="778"/>
      <c r="W479" s="778"/>
      <c r="X479" s="778"/>
      <c r="Y479" s="778"/>
      <c r="Z479" s="778"/>
    </row>
    <row r="480">
      <c r="A480" s="777"/>
      <c r="B480" s="777"/>
      <c r="C480" s="777"/>
      <c r="D480" s="778"/>
      <c r="E480" s="778"/>
      <c r="F480" s="778"/>
      <c r="G480" s="778"/>
      <c r="H480" s="778"/>
      <c r="I480" s="778"/>
      <c r="J480" s="778"/>
      <c r="K480" s="778"/>
      <c r="L480" s="778"/>
      <c r="M480" s="778"/>
      <c r="N480" s="778"/>
      <c r="O480" s="778"/>
      <c r="P480" s="778"/>
      <c r="Q480" s="778"/>
      <c r="R480" s="778"/>
      <c r="S480" s="778"/>
      <c r="T480" s="778"/>
      <c r="U480" s="778"/>
      <c r="V480" s="778"/>
      <c r="W480" s="778"/>
      <c r="X480" s="778"/>
      <c r="Y480" s="778"/>
      <c r="Z480" s="778"/>
    </row>
    <row r="481">
      <c r="A481" s="777"/>
      <c r="B481" s="777"/>
      <c r="C481" s="777"/>
      <c r="D481" s="778"/>
      <c r="E481" s="778"/>
      <c r="F481" s="778"/>
      <c r="G481" s="778"/>
      <c r="H481" s="778"/>
      <c r="I481" s="778"/>
      <c r="J481" s="778"/>
      <c r="K481" s="778"/>
      <c r="L481" s="778"/>
      <c r="M481" s="778"/>
      <c r="N481" s="778"/>
      <c r="O481" s="778"/>
      <c r="P481" s="778"/>
      <c r="Q481" s="778"/>
      <c r="R481" s="778"/>
      <c r="S481" s="778"/>
      <c r="T481" s="778"/>
      <c r="U481" s="778"/>
      <c r="V481" s="778"/>
      <c r="W481" s="778"/>
      <c r="X481" s="778"/>
      <c r="Y481" s="778"/>
      <c r="Z481" s="778"/>
    </row>
    <row r="482">
      <c r="A482" s="777"/>
      <c r="B482" s="777"/>
      <c r="C482" s="777"/>
      <c r="D482" s="778"/>
      <c r="E482" s="778"/>
      <c r="F482" s="778"/>
      <c r="G482" s="778"/>
      <c r="H482" s="778"/>
      <c r="I482" s="778"/>
      <c r="J482" s="778"/>
      <c r="K482" s="778"/>
      <c r="L482" s="778"/>
      <c r="M482" s="778"/>
      <c r="N482" s="778"/>
      <c r="O482" s="778"/>
      <c r="P482" s="778"/>
      <c r="Q482" s="778"/>
      <c r="R482" s="778"/>
      <c r="S482" s="778"/>
      <c r="T482" s="778"/>
      <c r="U482" s="778"/>
      <c r="V482" s="778"/>
      <c r="W482" s="778"/>
      <c r="X482" s="778"/>
      <c r="Y482" s="778"/>
      <c r="Z482" s="778"/>
    </row>
    <row r="483">
      <c r="A483" s="777"/>
      <c r="B483" s="777"/>
      <c r="C483" s="777"/>
      <c r="D483" s="778"/>
      <c r="E483" s="778"/>
      <c r="F483" s="778"/>
      <c r="G483" s="778"/>
      <c r="H483" s="778"/>
      <c r="I483" s="778"/>
      <c r="J483" s="778"/>
      <c r="K483" s="778"/>
      <c r="L483" s="778"/>
      <c r="M483" s="778"/>
      <c r="N483" s="778"/>
      <c r="O483" s="778"/>
      <c r="P483" s="778"/>
      <c r="Q483" s="778"/>
      <c r="R483" s="778"/>
      <c r="S483" s="778"/>
      <c r="T483" s="778"/>
      <c r="U483" s="778"/>
      <c r="V483" s="778"/>
      <c r="W483" s="778"/>
      <c r="X483" s="778"/>
      <c r="Y483" s="778"/>
      <c r="Z483" s="778"/>
    </row>
    <row r="484">
      <c r="A484" s="777"/>
      <c r="B484" s="777"/>
      <c r="C484" s="777"/>
      <c r="D484" s="778"/>
      <c r="E484" s="778"/>
      <c r="F484" s="778"/>
      <c r="G484" s="778"/>
      <c r="H484" s="778"/>
      <c r="I484" s="778"/>
      <c r="J484" s="778"/>
      <c r="K484" s="778"/>
      <c r="L484" s="778"/>
      <c r="M484" s="778"/>
      <c r="N484" s="778"/>
      <c r="O484" s="778"/>
      <c r="P484" s="778"/>
      <c r="Q484" s="778"/>
      <c r="R484" s="778"/>
      <c r="S484" s="778"/>
      <c r="T484" s="778"/>
      <c r="U484" s="778"/>
      <c r="V484" s="778"/>
      <c r="W484" s="778"/>
      <c r="X484" s="778"/>
      <c r="Y484" s="778"/>
      <c r="Z484" s="778"/>
    </row>
    <row r="485">
      <c r="A485" s="777"/>
      <c r="B485" s="777"/>
      <c r="C485" s="777"/>
      <c r="D485" s="778"/>
      <c r="E485" s="778"/>
      <c r="F485" s="778"/>
      <c r="G485" s="778"/>
      <c r="H485" s="778"/>
      <c r="I485" s="778"/>
      <c r="J485" s="778"/>
      <c r="K485" s="778"/>
      <c r="L485" s="778"/>
      <c r="M485" s="778"/>
      <c r="N485" s="778"/>
      <c r="O485" s="778"/>
      <c r="P485" s="778"/>
      <c r="Q485" s="778"/>
      <c r="R485" s="778"/>
      <c r="S485" s="778"/>
      <c r="T485" s="778"/>
      <c r="U485" s="778"/>
      <c r="V485" s="778"/>
      <c r="W485" s="778"/>
      <c r="X485" s="778"/>
      <c r="Y485" s="778"/>
      <c r="Z485" s="778"/>
    </row>
    <row r="486">
      <c r="A486" s="777"/>
      <c r="B486" s="777"/>
      <c r="C486" s="777"/>
      <c r="D486" s="778"/>
      <c r="E486" s="778"/>
      <c r="F486" s="778"/>
      <c r="G486" s="778"/>
      <c r="H486" s="778"/>
      <c r="I486" s="778"/>
      <c r="J486" s="778"/>
      <c r="K486" s="778"/>
      <c r="L486" s="778"/>
      <c r="M486" s="778"/>
      <c r="N486" s="778"/>
      <c r="O486" s="778"/>
      <c r="P486" s="778"/>
      <c r="Q486" s="778"/>
      <c r="R486" s="778"/>
      <c r="S486" s="778"/>
      <c r="T486" s="778"/>
      <c r="U486" s="778"/>
      <c r="V486" s="778"/>
      <c r="W486" s="778"/>
      <c r="X486" s="778"/>
      <c r="Y486" s="778"/>
      <c r="Z486" s="778"/>
    </row>
    <row r="487">
      <c r="A487" s="777"/>
      <c r="B487" s="777"/>
      <c r="C487" s="777"/>
      <c r="D487" s="778"/>
      <c r="E487" s="778"/>
      <c r="F487" s="778"/>
      <c r="G487" s="778"/>
      <c r="H487" s="778"/>
      <c r="I487" s="778"/>
      <c r="J487" s="778"/>
      <c r="K487" s="778"/>
      <c r="L487" s="778"/>
      <c r="M487" s="778"/>
      <c r="N487" s="778"/>
      <c r="O487" s="778"/>
      <c r="P487" s="778"/>
      <c r="Q487" s="778"/>
      <c r="R487" s="778"/>
      <c r="S487" s="778"/>
      <c r="T487" s="778"/>
      <c r="U487" s="778"/>
      <c r="V487" s="778"/>
      <c r="W487" s="778"/>
      <c r="X487" s="778"/>
      <c r="Y487" s="778"/>
      <c r="Z487" s="778"/>
    </row>
    <row r="488">
      <c r="A488" s="777"/>
      <c r="B488" s="777"/>
      <c r="C488" s="777"/>
      <c r="D488" s="778"/>
      <c r="E488" s="778"/>
      <c r="F488" s="778"/>
      <c r="G488" s="778"/>
      <c r="H488" s="778"/>
      <c r="I488" s="778"/>
      <c r="J488" s="778"/>
      <c r="K488" s="778"/>
      <c r="L488" s="778"/>
      <c r="M488" s="778"/>
      <c r="N488" s="778"/>
      <c r="O488" s="778"/>
      <c r="P488" s="778"/>
      <c r="Q488" s="778"/>
      <c r="R488" s="778"/>
      <c r="S488" s="778"/>
      <c r="T488" s="778"/>
      <c r="U488" s="778"/>
      <c r="V488" s="778"/>
      <c r="W488" s="778"/>
      <c r="X488" s="778"/>
      <c r="Y488" s="778"/>
      <c r="Z488" s="778"/>
    </row>
    <row r="489">
      <c r="A489" s="777"/>
      <c r="B489" s="777"/>
      <c r="C489" s="777"/>
      <c r="D489" s="778"/>
      <c r="E489" s="778"/>
      <c r="F489" s="778"/>
      <c r="G489" s="778"/>
      <c r="H489" s="778"/>
      <c r="I489" s="778"/>
      <c r="J489" s="778"/>
      <c r="K489" s="778"/>
      <c r="L489" s="778"/>
      <c r="M489" s="778"/>
      <c r="N489" s="778"/>
      <c r="O489" s="778"/>
      <c r="P489" s="778"/>
      <c r="Q489" s="778"/>
      <c r="R489" s="778"/>
      <c r="S489" s="778"/>
      <c r="T489" s="778"/>
      <c r="U489" s="778"/>
      <c r="V489" s="778"/>
      <c r="W489" s="778"/>
      <c r="X489" s="778"/>
      <c r="Y489" s="778"/>
      <c r="Z489" s="778"/>
    </row>
    <row r="490">
      <c r="A490" s="777"/>
      <c r="B490" s="777"/>
      <c r="C490" s="777"/>
      <c r="D490" s="778"/>
      <c r="E490" s="778"/>
      <c r="F490" s="778"/>
      <c r="G490" s="778"/>
      <c r="H490" s="778"/>
      <c r="I490" s="778"/>
      <c r="J490" s="778"/>
      <c r="K490" s="778"/>
      <c r="L490" s="778"/>
      <c r="M490" s="778"/>
      <c r="N490" s="778"/>
      <c r="O490" s="778"/>
      <c r="P490" s="778"/>
      <c r="Q490" s="778"/>
      <c r="R490" s="778"/>
      <c r="S490" s="778"/>
      <c r="T490" s="778"/>
      <c r="U490" s="778"/>
      <c r="V490" s="778"/>
      <c r="W490" s="778"/>
      <c r="X490" s="778"/>
      <c r="Y490" s="778"/>
      <c r="Z490" s="778"/>
    </row>
    <row r="491">
      <c r="A491" s="777"/>
      <c r="B491" s="777"/>
      <c r="C491" s="777"/>
      <c r="D491" s="778"/>
      <c r="E491" s="778"/>
      <c r="F491" s="778"/>
      <c r="G491" s="778"/>
      <c r="H491" s="778"/>
      <c r="I491" s="778"/>
      <c r="J491" s="778"/>
      <c r="K491" s="778"/>
      <c r="L491" s="778"/>
      <c r="M491" s="778"/>
      <c r="N491" s="778"/>
      <c r="O491" s="778"/>
      <c r="P491" s="778"/>
      <c r="Q491" s="778"/>
      <c r="R491" s="778"/>
      <c r="S491" s="778"/>
      <c r="T491" s="778"/>
      <c r="U491" s="778"/>
      <c r="V491" s="778"/>
      <c r="W491" s="778"/>
      <c r="X491" s="778"/>
      <c r="Y491" s="778"/>
      <c r="Z491" s="778"/>
    </row>
    <row r="492">
      <c r="A492" s="777"/>
      <c r="B492" s="777"/>
      <c r="C492" s="777"/>
      <c r="D492" s="778"/>
      <c r="E492" s="778"/>
      <c r="F492" s="778"/>
      <c r="G492" s="778"/>
      <c r="H492" s="778"/>
      <c r="I492" s="778"/>
      <c r="J492" s="778"/>
      <c r="K492" s="778"/>
      <c r="L492" s="778"/>
      <c r="M492" s="778"/>
      <c r="N492" s="778"/>
      <c r="O492" s="778"/>
      <c r="P492" s="778"/>
      <c r="Q492" s="778"/>
      <c r="R492" s="778"/>
      <c r="S492" s="778"/>
      <c r="T492" s="778"/>
      <c r="U492" s="778"/>
      <c r="V492" s="778"/>
      <c r="W492" s="778"/>
      <c r="X492" s="778"/>
      <c r="Y492" s="778"/>
      <c r="Z492" s="778"/>
    </row>
    <row r="493">
      <c r="A493" s="777"/>
      <c r="B493" s="777"/>
      <c r="C493" s="777"/>
      <c r="D493" s="778"/>
      <c r="E493" s="778"/>
      <c r="F493" s="778"/>
      <c r="G493" s="778"/>
      <c r="H493" s="778"/>
      <c r="I493" s="778"/>
      <c r="J493" s="778"/>
      <c r="K493" s="778"/>
      <c r="L493" s="778"/>
      <c r="M493" s="778"/>
      <c r="N493" s="778"/>
      <c r="O493" s="778"/>
      <c r="P493" s="778"/>
      <c r="Q493" s="778"/>
      <c r="R493" s="778"/>
      <c r="S493" s="778"/>
      <c r="T493" s="778"/>
      <c r="U493" s="778"/>
      <c r="V493" s="778"/>
      <c r="W493" s="778"/>
      <c r="X493" s="778"/>
      <c r="Y493" s="778"/>
      <c r="Z493" s="778"/>
    </row>
    <row r="494">
      <c r="A494" s="777"/>
      <c r="B494" s="777"/>
      <c r="C494" s="777"/>
      <c r="D494" s="778"/>
      <c r="E494" s="778"/>
      <c r="F494" s="778"/>
      <c r="G494" s="778"/>
      <c r="H494" s="778"/>
      <c r="I494" s="778"/>
      <c r="J494" s="778"/>
      <c r="K494" s="778"/>
      <c r="L494" s="778"/>
      <c r="M494" s="778"/>
      <c r="N494" s="778"/>
      <c r="O494" s="778"/>
      <c r="P494" s="778"/>
      <c r="Q494" s="778"/>
      <c r="R494" s="778"/>
      <c r="S494" s="778"/>
      <c r="T494" s="778"/>
      <c r="U494" s="778"/>
      <c r="V494" s="778"/>
      <c r="W494" s="778"/>
      <c r="X494" s="778"/>
      <c r="Y494" s="778"/>
      <c r="Z494" s="778"/>
    </row>
    <row r="495">
      <c r="A495" s="777"/>
      <c r="B495" s="777"/>
      <c r="C495" s="777"/>
      <c r="D495" s="778"/>
      <c r="E495" s="778"/>
      <c r="F495" s="778"/>
      <c r="G495" s="778"/>
      <c r="H495" s="778"/>
      <c r="I495" s="778"/>
      <c r="J495" s="778"/>
      <c r="K495" s="778"/>
      <c r="L495" s="778"/>
      <c r="M495" s="778"/>
      <c r="N495" s="778"/>
      <c r="O495" s="778"/>
      <c r="P495" s="778"/>
      <c r="Q495" s="778"/>
      <c r="R495" s="778"/>
      <c r="S495" s="778"/>
      <c r="T495" s="778"/>
      <c r="U495" s="778"/>
      <c r="V495" s="778"/>
      <c r="W495" s="778"/>
      <c r="X495" s="778"/>
      <c r="Y495" s="778"/>
      <c r="Z495" s="778"/>
    </row>
    <row r="496">
      <c r="A496" s="777"/>
      <c r="B496" s="777"/>
      <c r="C496" s="777"/>
      <c r="D496" s="778"/>
      <c r="E496" s="778"/>
      <c r="F496" s="778"/>
      <c r="G496" s="778"/>
      <c r="H496" s="778"/>
      <c r="I496" s="778"/>
      <c r="J496" s="778"/>
      <c r="K496" s="778"/>
      <c r="L496" s="778"/>
      <c r="M496" s="778"/>
      <c r="N496" s="778"/>
      <c r="O496" s="778"/>
      <c r="P496" s="778"/>
      <c r="Q496" s="778"/>
      <c r="R496" s="778"/>
      <c r="S496" s="778"/>
      <c r="T496" s="778"/>
      <c r="U496" s="778"/>
      <c r="V496" s="778"/>
      <c r="W496" s="778"/>
      <c r="X496" s="778"/>
      <c r="Y496" s="778"/>
      <c r="Z496" s="778"/>
    </row>
    <row r="497">
      <c r="A497" s="777"/>
      <c r="B497" s="777"/>
      <c r="C497" s="777"/>
      <c r="D497" s="778"/>
      <c r="E497" s="778"/>
      <c r="F497" s="778"/>
      <c r="G497" s="778"/>
      <c r="H497" s="778"/>
      <c r="I497" s="778"/>
      <c r="J497" s="778"/>
      <c r="K497" s="778"/>
      <c r="L497" s="778"/>
      <c r="M497" s="778"/>
      <c r="N497" s="778"/>
      <c r="O497" s="778"/>
      <c r="P497" s="778"/>
      <c r="Q497" s="778"/>
      <c r="R497" s="778"/>
      <c r="S497" s="778"/>
      <c r="T497" s="778"/>
      <c r="U497" s="778"/>
      <c r="V497" s="778"/>
      <c r="W497" s="778"/>
      <c r="X497" s="778"/>
      <c r="Y497" s="778"/>
      <c r="Z497" s="778"/>
    </row>
    <row r="498">
      <c r="A498" s="777"/>
      <c r="B498" s="777"/>
      <c r="C498" s="777"/>
      <c r="D498" s="778"/>
      <c r="E498" s="778"/>
      <c r="F498" s="778"/>
      <c r="G498" s="778"/>
      <c r="H498" s="778"/>
      <c r="I498" s="778"/>
      <c r="J498" s="778"/>
      <c r="K498" s="778"/>
      <c r="L498" s="778"/>
      <c r="M498" s="778"/>
      <c r="N498" s="778"/>
      <c r="O498" s="778"/>
      <c r="P498" s="778"/>
      <c r="Q498" s="778"/>
      <c r="R498" s="778"/>
      <c r="S498" s="778"/>
      <c r="T498" s="778"/>
      <c r="U498" s="778"/>
      <c r="V498" s="778"/>
      <c r="W498" s="778"/>
      <c r="X498" s="778"/>
      <c r="Y498" s="778"/>
      <c r="Z498" s="778"/>
    </row>
    <row r="499">
      <c r="A499" s="777"/>
      <c r="B499" s="777"/>
      <c r="C499" s="777"/>
      <c r="D499" s="778"/>
      <c r="E499" s="778"/>
      <c r="F499" s="778"/>
      <c r="G499" s="778"/>
      <c r="H499" s="778"/>
      <c r="I499" s="778"/>
      <c r="J499" s="778"/>
      <c r="K499" s="778"/>
      <c r="L499" s="778"/>
      <c r="M499" s="778"/>
      <c r="N499" s="778"/>
      <c r="O499" s="778"/>
      <c r="P499" s="778"/>
      <c r="Q499" s="778"/>
      <c r="R499" s="778"/>
      <c r="S499" s="778"/>
      <c r="T499" s="778"/>
      <c r="U499" s="778"/>
      <c r="V499" s="778"/>
      <c r="W499" s="778"/>
      <c r="X499" s="778"/>
      <c r="Y499" s="778"/>
      <c r="Z499" s="778"/>
    </row>
    <row r="500">
      <c r="A500" s="777"/>
      <c r="B500" s="777"/>
      <c r="C500" s="777"/>
      <c r="D500" s="778"/>
      <c r="E500" s="778"/>
      <c r="F500" s="778"/>
      <c r="G500" s="778"/>
      <c r="H500" s="778"/>
      <c r="I500" s="778"/>
      <c r="J500" s="778"/>
      <c r="K500" s="778"/>
      <c r="L500" s="778"/>
      <c r="M500" s="778"/>
      <c r="N500" s="778"/>
      <c r="O500" s="778"/>
      <c r="P500" s="778"/>
      <c r="Q500" s="778"/>
      <c r="R500" s="778"/>
      <c r="S500" s="778"/>
      <c r="T500" s="778"/>
      <c r="U500" s="778"/>
      <c r="V500" s="778"/>
      <c r="W500" s="778"/>
      <c r="X500" s="778"/>
      <c r="Y500" s="778"/>
      <c r="Z500" s="778"/>
    </row>
    <row r="501">
      <c r="A501" s="777"/>
      <c r="B501" s="777"/>
      <c r="C501" s="777"/>
      <c r="D501" s="778"/>
      <c r="E501" s="778"/>
      <c r="F501" s="778"/>
      <c r="G501" s="778"/>
      <c r="H501" s="778"/>
      <c r="I501" s="778"/>
      <c r="J501" s="778"/>
      <c r="K501" s="778"/>
      <c r="L501" s="778"/>
      <c r="M501" s="778"/>
      <c r="N501" s="778"/>
      <c r="O501" s="778"/>
      <c r="P501" s="778"/>
      <c r="Q501" s="778"/>
      <c r="R501" s="778"/>
      <c r="S501" s="778"/>
      <c r="T501" s="778"/>
      <c r="U501" s="778"/>
      <c r="V501" s="778"/>
      <c r="W501" s="778"/>
      <c r="X501" s="778"/>
      <c r="Y501" s="778"/>
      <c r="Z501" s="778"/>
    </row>
    <row r="502">
      <c r="A502" s="777"/>
      <c r="B502" s="777"/>
      <c r="C502" s="777"/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778"/>
      <c r="V502" s="778"/>
      <c r="W502" s="778"/>
      <c r="X502" s="778"/>
      <c r="Y502" s="778"/>
      <c r="Z502" s="778"/>
    </row>
    <row r="503">
      <c r="A503" s="777"/>
      <c r="B503" s="777"/>
      <c r="C503" s="777"/>
      <c r="D503" s="778"/>
      <c r="E503" s="778"/>
      <c r="F503" s="778"/>
      <c r="G503" s="778"/>
      <c r="H503" s="778"/>
      <c r="I503" s="778"/>
      <c r="J503" s="778"/>
      <c r="K503" s="778"/>
      <c r="L503" s="778"/>
      <c r="M503" s="778"/>
      <c r="N503" s="778"/>
      <c r="O503" s="778"/>
      <c r="P503" s="778"/>
      <c r="Q503" s="778"/>
      <c r="R503" s="778"/>
      <c r="S503" s="778"/>
      <c r="T503" s="778"/>
      <c r="U503" s="778"/>
      <c r="V503" s="778"/>
      <c r="W503" s="778"/>
      <c r="X503" s="778"/>
      <c r="Y503" s="778"/>
      <c r="Z503" s="778"/>
    </row>
    <row r="504">
      <c r="A504" s="777"/>
      <c r="B504" s="777"/>
      <c r="C504" s="777"/>
      <c r="D504" s="778"/>
      <c r="E504" s="778"/>
      <c r="F504" s="778"/>
      <c r="G504" s="778"/>
      <c r="H504" s="778"/>
      <c r="I504" s="778"/>
      <c r="J504" s="778"/>
      <c r="K504" s="778"/>
      <c r="L504" s="778"/>
      <c r="M504" s="778"/>
      <c r="N504" s="778"/>
      <c r="O504" s="778"/>
      <c r="P504" s="778"/>
      <c r="Q504" s="778"/>
      <c r="R504" s="778"/>
      <c r="S504" s="778"/>
      <c r="T504" s="778"/>
      <c r="U504" s="778"/>
      <c r="V504" s="778"/>
      <c r="W504" s="778"/>
      <c r="X504" s="778"/>
      <c r="Y504" s="778"/>
      <c r="Z504" s="778"/>
    </row>
    <row r="505">
      <c r="A505" s="777"/>
      <c r="B505" s="777"/>
      <c r="C505" s="777"/>
      <c r="D505" s="778"/>
      <c r="E505" s="778"/>
      <c r="F505" s="778"/>
      <c r="G505" s="778"/>
      <c r="H505" s="778"/>
      <c r="I505" s="778"/>
      <c r="J505" s="778"/>
      <c r="K505" s="778"/>
      <c r="L505" s="778"/>
      <c r="M505" s="778"/>
      <c r="N505" s="778"/>
      <c r="O505" s="778"/>
      <c r="P505" s="778"/>
      <c r="Q505" s="778"/>
      <c r="R505" s="778"/>
      <c r="S505" s="778"/>
      <c r="T505" s="778"/>
      <c r="U505" s="778"/>
      <c r="V505" s="778"/>
      <c r="W505" s="778"/>
      <c r="X505" s="778"/>
      <c r="Y505" s="778"/>
      <c r="Z505" s="778"/>
    </row>
    <row r="506">
      <c r="A506" s="777"/>
      <c r="B506" s="777"/>
      <c r="C506" s="777"/>
      <c r="D506" s="778"/>
      <c r="E506" s="778"/>
      <c r="F506" s="778"/>
      <c r="G506" s="778"/>
      <c r="H506" s="778"/>
      <c r="I506" s="778"/>
      <c r="J506" s="778"/>
      <c r="K506" s="778"/>
      <c r="L506" s="778"/>
      <c r="M506" s="778"/>
      <c r="N506" s="778"/>
      <c r="O506" s="778"/>
      <c r="P506" s="778"/>
      <c r="Q506" s="778"/>
      <c r="R506" s="778"/>
      <c r="S506" s="778"/>
      <c r="T506" s="778"/>
      <c r="U506" s="778"/>
      <c r="V506" s="778"/>
      <c r="W506" s="778"/>
      <c r="X506" s="778"/>
      <c r="Y506" s="778"/>
      <c r="Z506" s="778"/>
    </row>
    <row r="507">
      <c r="A507" s="777"/>
      <c r="B507" s="777"/>
      <c r="C507" s="777"/>
      <c r="D507" s="778"/>
      <c r="E507" s="778"/>
      <c r="F507" s="778"/>
      <c r="G507" s="778"/>
      <c r="H507" s="778"/>
      <c r="I507" s="778"/>
      <c r="J507" s="778"/>
      <c r="K507" s="778"/>
      <c r="L507" s="778"/>
      <c r="M507" s="778"/>
      <c r="N507" s="778"/>
      <c r="O507" s="778"/>
      <c r="P507" s="778"/>
      <c r="Q507" s="778"/>
      <c r="R507" s="778"/>
      <c r="S507" s="778"/>
      <c r="T507" s="778"/>
      <c r="U507" s="778"/>
      <c r="V507" s="778"/>
      <c r="W507" s="778"/>
      <c r="X507" s="778"/>
      <c r="Y507" s="778"/>
      <c r="Z507" s="778"/>
    </row>
    <row r="508">
      <c r="A508" s="777"/>
      <c r="B508" s="777"/>
      <c r="C508" s="777"/>
      <c r="D508" s="778"/>
      <c r="E508" s="778"/>
      <c r="F508" s="778"/>
      <c r="G508" s="778"/>
      <c r="H508" s="778"/>
      <c r="I508" s="778"/>
      <c r="J508" s="778"/>
      <c r="K508" s="778"/>
      <c r="L508" s="778"/>
      <c r="M508" s="778"/>
      <c r="N508" s="778"/>
      <c r="O508" s="778"/>
      <c r="P508" s="778"/>
      <c r="Q508" s="778"/>
      <c r="R508" s="778"/>
      <c r="S508" s="778"/>
      <c r="T508" s="778"/>
      <c r="U508" s="778"/>
      <c r="V508" s="778"/>
      <c r="W508" s="778"/>
      <c r="X508" s="778"/>
      <c r="Y508" s="778"/>
      <c r="Z508" s="778"/>
    </row>
    <row r="509">
      <c r="A509" s="777"/>
      <c r="B509" s="777"/>
      <c r="C509" s="777"/>
      <c r="D509" s="778"/>
      <c r="E509" s="778"/>
      <c r="F509" s="778"/>
      <c r="G509" s="778"/>
      <c r="H509" s="778"/>
      <c r="I509" s="778"/>
      <c r="J509" s="778"/>
      <c r="K509" s="778"/>
      <c r="L509" s="778"/>
      <c r="M509" s="778"/>
      <c r="N509" s="778"/>
      <c r="O509" s="778"/>
      <c r="P509" s="778"/>
      <c r="Q509" s="778"/>
      <c r="R509" s="778"/>
      <c r="S509" s="778"/>
      <c r="T509" s="778"/>
      <c r="U509" s="778"/>
      <c r="V509" s="778"/>
      <c r="W509" s="778"/>
      <c r="X509" s="778"/>
      <c r="Y509" s="778"/>
      <c r="Z509" s="778"/>
    </row>
    <row r="510">
      <c r="A510" s="777"/>
      <c r="B510" s="777"/>
      <c r="C510" s="777"/>
      <c r="D510" s="778"/>
      <c r="E510" s="778"/>
      <c r="F510" s="778"/>
      <c r="G510" s="778"/>
      <c r="H510" s="778"/>
      <c r="I510" s="778"/>
      <c r="J510" s="778"/>
      <c r="K510" s="778"/>
      <c r="L510" s="778"/>
      <c r="M510" s="778"/>
      <c r="N510" s="778"/>
      <c r="O510" s="778"/>
      <c r="P510" s="778"/>
      <c r="Q510" s="778"/>
      <c r="R510" s="778"/>
      <c r="S510" s="778"/>
      <c r="T510" s="778"/>
      <c r="U510" s="778"/>
      <c r="V510" s="778"/>
      <c r="W510" s="778"/>
      <c r="X510" s="778"/>
      <c r="Y510" s="778"/>
      <c r="Z510" s="778"/>
    </row>
    <row r="511">
      <c r="A511" s="777"/>
      <c r="B511" s="777"/>
      <c r="C511" s="777"/>
      <c r="D511" s="778"/>
      <c r="E511" s="778"/>
      <c r="F511" s="778"/>
      <c r="G511" s="778"/>
      <c r="H511" s="778"/>
      <c r="I511" s="778"/>
      <c r="J511" s="778"/>
      <c r="K511" s="778"/>
      <c r="L511" s="778"/>
      <c r="M511" s="778"/>
      <c r="N511" s="778"/>
      <c r="O511" s="778"/>
      <c r="P511" s="778"/>
      <c r="Q511" s="778"/>
      <c r="R511" s="778"/>
      <c r="S511" s="778"/>
      <c r="T511" s="778"/>
      <c r="U511" s="778"/>
      <c r="V511" s="778"/>
      <c r="W511" s="778"/>
      <c r="X511" s="778"/>
      <c r="Y511" s="778"/>
      <c r="Z511" s="778"/>
    </row>
    <row r="512">
      <c r="A512" s="777"/>
      <c r="B512" s="777"/>
      <c r="C512" s="777"/>
      <c r="D512" s="778"/>
      <c r="E512" s="778"/>
      <c r="F512" s="778"/>
      <c r="G512" s="778"/>
      <c r="H512" s="778"/>
      <c r="I512" s="778"/>
      <c r="J512" s="778"/>
      <c r="K512" s="778"/>
      <c r="L512" s="778"/>
      <c r="M512" s="778"/>
      <c r="N512" s="778"/>
      <c r="O512" s="778"/>
      <c r="P512" s="778"/>
      <c r="Q512" s="778"/>
      <c r="R512" s="778"/>
      <c r="S512" s="778"/>
      <c r="T512" s="778"/>
      <c r="U512" s="778"/>
      <c r="V512" s="778"/>
      <c r="W512" s="778"/>
      <c r="X512" s="778"/>
      <c r="Y512" s="778"/>
      <c r="Z512" s="778"/>
    </row>
    <row r="513">
      <c r="A513" s="777"/>
      <c r="B513" s="777"/>
      <c r="C513" s="777"/>
      <c r="D513" s="778"/>
      <c r="E513" s="778"/>
      <c r="F513" s="778"/>
      <c r="G513" s="778"/>
      <c r="H513" s="778"/>
      <c r="I513" s="778"/>
      <c r="J513" s="778"/>
      <c r="K513" s="778"/>
      <c r="L513" s="778"/>
      <c r="M513" s="778"/>
      <c r="N513" s="778"/>
      <c r="O513" s="778"/>
      <c r="P513" s="778"/>
      <c r="Q513" s="778"/>
      <c r="R513" s="778"/>
      <c r="S513" s="778"/>
      <c r="T513" s="778"/>
      <c r="U513" s="778"/>
      <c r="V513" s="778"/>
      <c r="W513" s="778"/>
      <c r="X513" s="778"/>
      <c r="Y513" s="778"/>
      <c r="Z513" s="778"/>
    </row>
    <row r="514">
      <c r="A514" s="777"/>
      <c r="B514" s="777"/>
      <c r="C514" s="777"/>
      <c r="D514" s="778"/>
      <c r="E514" s="778"/>
      <c r="F514" s="778"/>
      <c r="G514" s="778"/>
      <c r="H514" s="778"/>
      <c r="I514" s="778"/>
      <c r="J514" s="778"/>
      <c r="K514" s="778"/>
      <c r="L514" s="778"/>
      <c r="M514" s="778"/>
      <c r="N514" s="778"/>
      <c r="O514" s="778"/>
      <c r="P514" s="778"/>
      <c r="Q514" s="778"/>
      <c r="R514" s="778"/>
      <c r="S514" s="778"/>
      <c r="T514" s="778"/>
      <c r="U514" s="778"/>
      <c r="V514" s="778"/>
      <c r="W514" s="778"/>
      <c r="X514" s="778"/>
      <c r="Y514" s="778"/>
      <c r="Z514" s="778"/>
    </row>
    <row r="515">
      <c r="A515" s="777"/>
      <c r="B515" s="777"/>
      <c r="C515" s="777"/>
      <c r="D515" s="778"/>
      <c r="E515" s="778"/>
      <c r="F515" s="778"/>
      <c r="G515" s="778"/>
      <c r="H515" s="778"/>
      <c r="I515" s="778"/>
      <c r="J515" s="778"/>
      <c r="K515" s="778"/>
      <c r="L515" s="778"/>
      <c r="M515" s="778"/>
      <c r="N515" s="778"/>
      <c r="O515" s="778"/>
      <c r="P515" s="778"/>
      <c r="Q515" s="778"/>
      <c r="R515" s="778"/>
      <c r="S515" s="778"/>
      <c r="T515" s="778"/>
      <c r="U515" s="778"/>
      <c r="V515" s="778"/>
      <c r="W515" s="778"/>
      <c r="X515" s="778"/>
      <c r="Y515" s="778"/>
      <c r="Z515" s="778"/>
    </row>
    <row r="516">
      <c r="A516" s="777"/>
      <c r="B516" s="777"/>
      <c r="C516" s="777"/>
      <c r="D516" s="778"/>
      <c r="E516" s="778"/>
      <c r="F516" s="778"/>
      <c r="G516" s="778"/>
      <c r="H516" s="778"/>
      <c r="I516" s="778"/>
      <c r="J516" s="778"/>
      <c r="K516" s="778"/>
      <c r="L516" s="778"/>
      <c r="M516" s="778"/>
      <c r="N516" s="778"/>
      <c r="O516" s="778"/>
      <c r="P516" s="778"/>
      <c r="Q516" s="778"/>
      <c r="R516" s="778"/>
      <c r="S516" s="778"/>
      <c r="T516" s="778"/>
      <c r="U516" s="778"/>
      <c r="V516" s="778"/>
      <c r="W516" s="778"/>
      <c r="X516" s="778"/>
      <c r="Y516" s="778"/>
      <c r="Z516" s="778"/>
    </row>
    <row r="517">
      <c r="A517" s="777"/>
      <c r="B517" s="777"/>
      <c r="C517" s="777"/>
      <c r="D517" s="778"/>
      <c r="E517" s="778"/>
      <c r="F517" s="778"/>
      <c r="G517" s="778"/>
      <c r="H517" s="778"/>
      <c r="I517" s="778"/>
      <c r="J517" s="778"/>
      <c r="K517" s="778"/>
      <c r="L517" s="778"/>
      <c r="M517" s="778"/>
      <c r="N517" s="778"/>
      <c r="O517" s="778"/>
      <c r="P517" s="778"/>
      <c r="Q517" s="778"/>
      <c r="R517" s="778"/>
      <c r="S517" s="778"/>
      <c r="T517" s="778"/>
      <c r="U517" s="778"/>
      <c r="V517" s="778"/>
      <c r="W517" s="778"/>
      <c r="X517" s="778"/>
      <c r="Y517" s="778"/>
      <c r="Z517" s="778"/>
    </row>
    <row r="518">
      <c r="A518" s="777"/>
      <c r="B518" s="777"/>
      <c r="C518" s="777"/>
      <c r="D518" s="778"/>
      <c r="E518" s="778"/>
      <c r="F518" s="778"/>
      <c r="G518" s="778"/>
      <c r="H518" s="778"/>
      <c r="I518" s="778"/>
      <c r="J518" s="778"/>
      <c r="K518" s="778"/>
      <c r="L518" s="778"/>
      <c r="M518" s="778"/>
      <c r="N518" s="778"/>
      <c r="O518" s="778"/>
      <c r="P518" s="778"/>
      <c r="Q518" s="778"/>
      <c r="R518" s="778"/>
      <c r="S518" s="778"/>
      <c r="T518" s="778"/>
      <c r="U518" s="778"/>
      <c r="V518" s="778"/>
      <c r="W518" s="778"/>
      <c r="X518" s="778"/>
      <c r="Y518" s="778"/>
      <c r="Z518" s="778"/>
    </row>
    <row r="519">
      <c r="A519" s="777"/>
      <c r="B519" s="777"/>
      <c r="C519" s="777"/>
      <c r="D519" s="778"/>
      <c r="E519" s="778"/>
      <c r="F519" s="778"/>
      <c r="G519" s="778"/>
      <c r="H519" s="778"/>
      <c r="I519" s="778"/>
      <c r="J519" s="778"/>
      <c r="K519" s="778"/>
      <c r="L519" s="778"/>
      <c r="M519" s="778"/>
      <c r="N519" s="778"/>
      <c r="O519" s="778"/>
      <c r="P519" s="778"/>
      <c r="Q519" s="778"/>
      <c r="R519" s="778"/>
      <c r="S519" s="778"/>
      <c r="T519" s="778"/>
      <c r="U519" s="778"/>
      <c r="V519" s="778"/>
      <c r="W519" s="778"/>
      <c r="X519" s="778"/>
      <c r="Y519" s="778"/>
      <c r="Z519" s="778"/>
    </row>
    <row r="520">
      <c r="A520" s="777"/>
      <c r="B520" s="777"/>
      <c r="C520" s="777"/>
      <c r="D520" s="778"/>
      <c r="E520" s="778"/>
      <c r="F520" s="778"/>
      <c r="G520" s="778"/>
      <c r="H520" s="778"/>
      <c r="I520" s="778"/>
      <c r="J520" s="778"/>
      <c r="K520" s="778"/>
      <c r="L520" s="778"/>
      <c r="M520" s="778"/>
      <c r="N520" s="778"/>
      <c r="O520" s="778"/>
      <c r="P520" s="778"/>
      <c r="Q520" s="778"/>
      <c r="R520" s="778"/>
      <c r="S520" s="778"/>
      <c r="T520" s="778"/>
      <c r="U520" s="778"/>
      <c r="V520" s="778"/>
      <c r="W520" s="778"/>
      <c r="X520" s="778"/>
      <c r="Y520" s="778"/>
      <c r="Z520" s="778"/>
    </row>
    <row r="521">
      <c r="A521" s="777"/>
      <c r="B521" s="777"/>
      <c r="C521" s="777"/>
      <c r="D521" s="778"/>
      <c r="E521" s="778"/>
      <c r="F521" s="778"/>
      <c r="G521" s="778"/>
      <c r="H521" s="778"/>
      <c r="I521" s="778"/>
      <c r="J521" s="778"/>
      <c r="K521" s="778"/>
      <c r="L521" s="778"/>
      <c r="M521" s="778"/>
      <c r="N521" s="778"/>
      <c r="O521" s="778"/>
      <c r="P521" s="778"/>
      <c r="Q521" s="778"/>
      <c r="R521" s="778"/>
      <c r="S521" s="778"/>
      <c r="T521" s="778"/>
      <c r="U521" s="778"/>
      <c r="V521" s="778"/>
      <c r="W521" s="778"/>
      <c r="X521" s="778"/>
      <c r="Y521" s="778"/>
      <c r="Z521" s="778"/>
    </row>
    <row r="522">
      <c r="A522" s="777"/>
      <c r="B522" s="777"/>
      <c r="C522" s="777"/>
      <c r="D522" s="778"/>
      <c r="E522" s="778"/>
      <c r="F522" s="778"/>
      <c r="G522" s="778"/>
      <c r="H522" s="778"/>
      <c r="I522" s="778"/>
      <c r="J522" s="778"/>
      <c r="K522" s="778"/>
      <c r="L522" s="778"/>
      <c r="M522" s="778"/>
      <c r="N522" s="778"/>
      <c r="O522" s="778"/>
      <c r="P522" s="778"/>
      <c r="Q522" s="778"/>
      <c r="R522" s="778"/>
      <c r="S522" s="778"/>
      <c r="T522" s="778"/>
      <c r="U522" s="778"/>
      <c r="V522" s="778"/>
      <c r="W522" s="778"/>
      <c r="X522" s="778"/>
      <c r="Y522" s="778"/>
      <c r="Z522" s="778"/>
    </row>
    <row r="523">
      <c r="A523" s="777"/>
      <c r="B523" s="777"/>
      <c r="C523" s="777"/>
      <c r="D523" s="778"/>
      <c r="E523" s="778"/>
      <c r="F523" s="778"/>
      <c r="G523" s="778"/>
      <c r="H523" s="778"/>
      <c r="I523" s="778"/>
      <c r="J523" s="778"/>
      <c r="K523" s="778"/>
      <c r="L523" s="778"/>
      <c r="M523" s="778"/>
      <c r="N523" s="778"/>
      <c r="O523" s="778"/>
      <c r="P523" s="778"/>
      <c r="Q523" s="778"/>
      <c r="R523" s="778"/>
      <c r="S523" s="778"/>
      <c r="T523" s="778"/>
      <c r="U523" s="778"/>
      <c r="V523" s="778"/>
      <c r="W523" s="778"/>
      <c r="X523" s="778"/>
      <c r="Y523" s="778"/>
      <c r="Z523" s="778"/>
    </row>
    <row r="524">
      <c r="A524" s="777"/>
      <c r="B524" s="777"/>
      <c r="C524" s="777"/>
      <c r="D524" s="778"/>
      <c r="E524" s="778"/>
      <c r="F524" s="778"/>
      <c r="G524" s="778"/>
      <c r="H524" s="778"/>
      <c r="I524" s="778"/>
      <c r="J524" s="778"/>
      <c r="K524" s="778"/>
      <c r="L524" s="778"/>
      <c r="M524" s="778"/>
      <c r="N524" s="778"/>
      <c r="O524" s="778"/>
      <c r="P524" s="778"/>
      <c r="Q524" s="778"/>
      <c r="R524" s="778"/>
      <c r="S524" s="778"/>
      <c r="T524" s="778"/>
      <c r="U524" s="778"/>
      <c r="V524" s="778"/>
      <c r="W524" s="778"/>
      <c r="X524" s="778"/>
      <c r="Y524" s="778"/>
      <c r="Z524" s="778"/>
    </row>
    <row r="525">
      <c r="A525" s="777"/>
      <c r="B525" s="777"/>
      <c r="C525" s="777"/>
      <c r="D525" s="778"/>
      <c r="E525" s="778"/>
      <c r="F525" s="778"/>
      <c r="G525" s="778"/>
      <c r="H525" s="778"/>
      <c r="I525" s="778"/>
      <c r="J525" s="778"/>
      <c r="K525" s="778"/>
      <c r="L525" s="778"/>
      <c r="M525" s="778"/>
      <c r="N525" s="778"/>
      <c r="O525" s="778"/>
      <c r="P525" s="778"/>
      <c r="Q525" s="778"/>
      <c r="R525" s="778"/>
      <c r="S525" s="778"/>
      <c r="T525" s="778"/>
      <c r="U525" s="778"/>
      <c r="V525" s="778"/>
      <c r="W525" s="778"/>
      <c r="X525" s="778"/>
      <c r="Y525" s="778"/>
      <c r="Z525" s="778"/>
    </row>
    <row r="526">
      <c r="A526" s="777"/>
      <c r="B526" s="777"/>
      <c r="C526" s="777"/>
      <c r="D526" s="778"/>
      <c r="E526" s="778"/>
      <c r="F526" s="778"/>
      <c r="G526" s="778"/>
      <c r="H526" s="778"/>
      <c r="I526" s="778"/>
      <c r="J526" s="778"/>
      <c r="K526" s="778"/>
      <c r="L526" s="778"/>
      <c r="M526" s="778"/>
      <c r="N526" s="778"/>
      <c r="O526" s="778"/>
      <c r="P526" s="778"/>
      <c r="Q526" s="778"/>
      <c r="R526" s="778"/>
      <c r="S526" s="778"/>
      <c r="T526" s="778"/>
      <c r="U526" s="778"/>
      <c r="V526" s="778"/>
      <c r="W526" s="778"/>
      <c r="X526" s="778"/>
      <c r="Y526" s="778"/>
      <c r="Z526" s="778"/>
    </row>
    <row r="527">
      <c r="A527" s="777"/>
      <c r="B527" s="777"/>
      <c r="C527" s="777"/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778"/>
      <c r="V527" s="778"/>
      <c r="W527" s="778"/>
      <c r="X527" s="778"/>
      <c r="Y527" s="778"/>
      <c r="Z527" s="778"/>
    </row>
    <row r="528">
      <c r="A528" s="777"/>
      <c r="B528" s="777"/>
      <c r="C528" s="777"/>
      <c r="D528" s="778"/>
      <c r="E528" s="778"/>
      <c r="F528" s="778"/>
      <c r="G528" s="778"/>
      <c r="H528" s="778"/>
      <c r="I528" s="778"/>
      <c r="J528" s="778"/>
      <c r="K528" s="778"/>
      <c r="L528" s="778"/>
      <c r="M528" s="778"/>
      <c r="N528" s="778"/>
      <c r="O528" s="778"/>
      <c r="P528" s="778"/>
      <c r="Q528" s="778"/>
      <c r="R528" s="778"/>
      <c r="S528" s="778"/>
      <c r="T528" s="778"/>
      <c r="U528" s="778"/>
      <c r="V528" s="778"/>
      <c r="W528" s="778"/>
      <c r="X528" s="778"/>
      <c r="Y528" s="778"/>
      <c r="Z528" s="778"/>
    </row>
    <row r="529">
      <c r="A529" s="777"/>
      <c r="B529" s="777"/>
      <c r="C529" s="777"/>
      <c r="D529" s="778"/>
      <c r="E529" s="778"/>
      <c r="F529" s="778"/>
      <c r="G529" s="778"/>
      <c r="H529" s="778"/>
      <c r="I529" s="778"/>
      <c r="J529" s="778"/>
      <c r="K529" s="778"/>
      <c r="L529" s="778"/>
      <c r="M529" s="778"/>
      <c r="N529" s="778"/>
      <c r="O529" s="778"/>
      <c r="P529" s="778"/>
      <c r="Q529" s="778"/>
      <c r="R529" s="778"/>
      <c r="S529" s="778"/>
      <c r="T529" s="778"/>
      <c r="U529" s="778"/>
      <c r="V529" s="778"/>
      <c r="W529" s="778"/>
      <c r="X529" s="778"/>
      <c r="Y529" s="778"/>
      <c r="Z529" s="778"/>
    </row>
    <row r="530">
      <c r="A530" s="777"/>
      <c r="B530" s="777"/>
      <c r="C530" s="777"/>
      <c r="D530" s="778"/>
      <c r="E530" s="778"/>
      <c r="F530" s="778"/>
      <c r="G530" s="778"/>
      <c r="H530" s="778"/>
      <c r="I530" s="778"/>
      <c r="J530" s="778"/>
      <c r="K530" s="778"/>
      <c r="L530" s="778"/>
      <c r="M530" s="778"/>
      <c r="N530" s="778"/>
      <c r="O530" s="778"/>
      <c r="P530" s="778"/>
      <c r="Q530" s="778"/>
      <c r="R530" s="778"/>
      <c r="S530" s="778"/>
      <c r="T530" s="778"/>
      <c r="U530" s="778"/>
      <c r="V530" s="778"/>
      <c r="W530" s="778"/>
      <c r="X530" s="778"/>
      <c r="Y530" s="778"/>
      <c r="Z530" s="778"/>
    </row>
    <row r="531">
      <c r="A531" s="777"/>
      <c r="B531" s="777"/>
      <c r="C531" s="777"/>
      <c r="D531" s="778"/>
      <c r="E531" s="778"/>
      <c r="F531" s="778"/>
      <c r="G531" s="778"/>
      <c r="H531" s="778"/>
      <c r="I531" s="778"/>
      <c r="J531" s="778"/>
      <c r="K531" s="778"/>
      <c r="L531" s="778"/>
      <c r="M531" s="778"/>
      <c r="N531" s="778"/>
      <c r="O531" s="778"/>
      <c r="P531" s="778"/>
      <c r="Q531" s="778"/>
      <c r="R531" s="778"/>
      <c r="S531" s="778"/>
      <c r="T531" s="778"/>
      <c r="U531" s="778"/>
      <c r="V531" s="778"/>
      <c r="W531" s="778"/>
      <c r="X531" s="778"/>
      <c r="Y531" s="778"/>
      <c r="Z531" s="778"/>
    </row>
    <row r="532">
      <c r="A532" s="777"/>
      <c r="B532" s="777"/>
      <c r="C532" s="777"/>
      <c r="D532" s="778"/>
      <c r="E532" s="778"/>
      <c r="F532" s="778"/>
      <c r="G532" s="778"/>
      <c r="H532" s="778"/>
      <c r="I532" s="778"/>
      <c r="J532" s="778"/>
      <c r="K532" s="778"/>
      <c r="L532" s="778"/>
      <c r="M532" s="778"/>
      <c r="N532" s="778"/>
      <c r="O532" s="778"/>
      <c r="P532" s="778"/>
      <c r="Q532" s="778"/>
      <c r="R532" s="778"/>
      <c r="S532" s="778"/>
      <c r="T532" s="778"/>
      <c r="U532" s="778"/>
      <c r="V532" s="778"/>
      <c r="W532" s="778"/>
      <c r="X532" s="778"/>
      <c r="Y532" s="778"/>
      <c r="Z532" s="778"/>
    </row>
    <row r="533">
      <c r="A533" s="777"/>
      <c r="B533" s="777"/>
      <c r="C533" s="777"/>
      <c r="D533" s="778"/>
      <c r="E533" s="778"/>
      <c r="F533" s="778"/>
      <c r="G533" s="778"/>
      <c r="H533" s="778"/>
      <c r="I533" s="778"/>
      <c r="J533" s="778"/>
      <c r="K533" s="778"/>
      <c r="L533" s="778"/>
      <c r="M533" s="778"/>
      <c r="N533" s="778"/>
      <c r="O533" s="778"/>
      <c r="P533" s="778"/>
      <c r="Q533" s="778"/>
      <c r="R533" s="778"/>
      <c r="S533" s="778"/>
      <c r="T533" s="778"/>
      <c r="U533" s="778"/>
      <c r="V533" s="778"/>
      <c r="W533" s="778"/>
      <c r="X533" s="778"/>
      <c r="Y533" s="778"/>
      <c r="Z533" s="778"/>
    </row>
    <row r="534">
      <c r="A534" s="777"/>
      <c r="B534" s="777"/>
      <c r="C534" s="777"/>
      <c r="D534" s="778"/>
      <c r="E534" s="778"/>
      <c r="F534" s="778"/>
      <c r="G534" s="778"/>
      <c r="H534" s="778"/>
      <c r="I534" s="778"/>
      <c r="J534" s="778"/>
      <c r="K534" s="778"/>
      <c r="L534" s="778"/>
      <c r="M534" s="778"/>
      <c r="N534" s="778"/>
      <c r="O534" s="778"/>
      <c r="P534" s="778"/>
      <c r="Q534" s="778"/>
      <c r="R534" s="778"/>
      <c r="S534" s="778"/>
      <c r="T534" s="778"/>
      <c r="U534" s="778"/>
      <c r="V534" s="778"/>
      <c r="W534" s="778"/>
      <c r="X534" s="778"/>
      <c r="Y534" s="778"/>
      <c r="Z534" s="778"/>
    </row>
    <row r="535">
      <c r="A535" s="777"/>
      <c r="B535" s="777"/>
      <c r="C535" s="777"/>
      <c r="D535" s="778"/>
      <c r="E535" s="778"/>
      <c r="F535" s="778"/>
      <c r="G535" s="778"/>
      <c r="H535" s="778"/>
      <c r="I535" s="778"/>
      <c r="J535" s="778"/>
      <c r="K535" s="778"/>
      <c r="L535" s="778"/>
      <c r="M535" s="778"/>
      <c r="N535" s="778"/>
      <c r="O535" s="778"/>
      <c r="P535" s="778"/>
      <c r="Q535" s="778"/>
      <c r="R535" s="778"/>
      <c r="S535" s="778"/>
      <c r="T535" s="778"/>
      <c r="U535" s="778"/>
      <c r="V535" s="778"/>
      <c r="W535" s="778"/>
      <c r="X535" s="778"/>
      <c r="Y535" s="778"/>
      <c r="Z535" s="778"/>
    </row>
    <row r="536">
      <c r="A536" s="777"/>
      <c r="B536" s="777"/>
      <c r="C536" s="777"/>
      <c r="D536" s="778"/>
      <c r="E536" s="778"/>
      <c r="F536" s="778"/>
      <c r="G536" s="778"/>
      <c r="H536" s="778"/>
      <c r="I536" s="778"/>
      <c r="J536" s="778"/>
      <c r="K536" s="778"/>
      <c r="L536" s="778"/>
      <c r="M536" s="778"/>
      <c r="N536" s="778"/>
      <c r="O536" s="778"/>
      <c r="P536" s="778"/>
      <c r="Q536" s="778"/>
      <c r="R536" s="778"/>
      <c r="S536" s="778"/>
      <c r="T536" s="778"/>
      <c r="U536" s="778"/>
      <c r="V536" s="778"/>
      <c r="W536" s="778"/>
      <c r="X536" s="778"/>
      <c r="Y536" s="778"/>
      <c r="Z536" s="778"/>
    </row>
    <row r="537">
      <c r="A537" s="777"/>
      <c r="B537" s="777"/>
      <c r="C537" s="777"/>
      <c r="D537" s="778"/>
      <c r="E537" s="778"/>
      <c r="F537" s="778"/>
      <c r="G537" s="778"/>
      <c r="H537" s="778"/>
      <c r="I537" s="778"/>
      <c r="J537" s="778"/>
      <c r="K537" s="778"/>
      <c r="L537" s="778"/>
      <c r="M537" s="778"/>
      <c r="N537" s="778"/>
      <c r="O537" s="778"/>
      <c r="P537" s="778"/>
      <c r="Q537" s="778"/>
      <c r="R537" s="778"/>
      <c r="S537" s="778"/>
      <c r="T537" s="778"/>
      <c r="U537" s="778"/>
      <c r="V537" s="778"/>
      <c r="W537" s="778"/>
      <c r="X537" s="778"/>
      <c r="Y537" s="778"/>
      <c r="Z537" s="778"/>
    </row>
    <row r="538">
      <c r="A538" s="777"/>
      <c r="B538" s="777"/>
      <c r="C538" s="777"/>
      <c r="D538" s="778"/>
      <c r="E538" s="778"/>
      <c r="F538" s="778"/>
      <c r="G538" s="778"/>
      <c r="H538" s="778"/>
      <c r="I538" s="778"/>
      <c r="J538" s="778"/>
      <c r="K538" s="778"/>
      <c r="L538" s="778"/>
      <c r="M538" s="778"/>
      <c r="N538" s="778"/>
      <c r="O538" s="778"/>
      <c r="P538" s="778"/>
      <c r="Q538" s="778"/>
      <c r="R538" s="778"/>
      <c r="S538" s="778"/>
      <c r="T538" s="778"/>
      <c r="U538" s="778"/>
      <c r="V538" s="778"/>
      <c r="W538" s="778"/>
      <c r="X538" s="778"/>
      <c r="Y538" s="778"/>
      <c r="Z538" s="778"/>
    </row>
    <row r="539">
      <c r="A539" s="777"/>
      <c r="B539" s="777"/>
      <c r="C539" s="777"/>
      <c r="D539" s="778"/>
      <c r="E539" s="778"/>
      <c r="F539" s="778"/>
      <c r="G539" s="778"/>
      <c r="H539" s="778"/>
      <c r="I539" s="778"/>
      <c r="J539" s="778"/>
      <c r="K539" s="778"/>
      <c r="L539" s="778"/>
      <c r="M539" s="778"/>
      <c r="N539" s="778"/>
      <c r="O539" s="778"/>
      <c r="P539" s="778"/>
      <c r="Q539" s="778"/>
      <c r="R539" s="778"/>
      <c r="S539" s="778"/>
      <c r="T539" s="778"/>
      <c r="U539" s="778"/>
      <c r="V539" s="778"/>
      <c r="W539" s="778"/>
      <c r="X539" s="778"/>
      <c r="Y539" s="778"/>
      <c r="Z539" s="778"/>
    </row>
    <row r="540">
      <c r="A540" s="777"/>
      <c r="B540" s="777"/>
      <c r="C540" s="777"/>
      <c r="D540" s="778"/>
      <c r="E540" s="778"/>
      <c r="F540" s="778"/>
      <c r="G540" s="778"/>
      <c r="H540" s="778"/>
      <c r="I540" s="778"/>
      <c r="J540" s="778"/>
      <c r="K540" s="778"/>
      <c r="L540" s="778"/>
      <c r="M540" s="778"/>
      <c r="N540" s="778"/>
      <c r="O540" s="778"/>
      <c r="P540" s="778"/>
      <c r="Q540" s="778"/>
      <c r="R540" s="778"/>
      <c r="S540" s="778"/>
      <c r="T540" s="778"/>
      <c r="U540" s="778"/>
      <c r="V540" s="778"/>
      <c r="W540" s="778"/>
      <c r="X540" s="778"/>
      <c r="Y540" s="778"/>
      <c r="Z540" s="778"/>
    </row>
    <row r="541">
      <c r="A541" s="777"/>
      <c r="B541" s="777"/>
      <c r="C541" s="777"/>
      <c r="D541" s="778"/>
      <c r="E541" s="778"/>
      <c r="F541" s="778"/>
      <c r="G541" s="778"/>
      <c r="H541" s="778"/>
      <c r="I541" s="778"/>
      <c r="J541" s="778"/>
      <c r="K541" s="778"/>
      <c r="L541" s="778"/>
      <c r="M541" s="778"/>
      <c r="N541" s="778"/>
      <c r="O541" s="778"/>
      <c r="P541" s="778"/>
      <c r="Q541" s="778"/>
      <c r="R541" s="778"/>
      <c r="S541" s="778"/>
      <c r="T541" s="778"/>
      <c r="U541" s="778"/>
      <c r="V541" s="778"/>
      <c r="W541" s="778"/>
      <c r="X541" s="778"/>
      <c r="Y541" s="778"/>
      <c r="Z541" s="778"/>
    </row>
    <row r="542">
      <c r="A542" s="777"/>
      <c r="B542" s="777"/>
      <c r="C542" s="777"/>
      <c r="D542" s="778"/>
      <c r="E542" s="778"/>
      <c r="F542" s="778"/>
      <c r="G542" s="778"/>
      <c r="H542" s="778"/>
      <c r="I542" s="778"/>
      <c r="J542" s="778"/>
      <c r="K542" s="778"/>
      <c r="L542" s="778"/>
      <c r="M542" s="778"/>
      <c r="N542" s="778"/>
      <c r="O542" s="778"/>
      <c r="P542" s="778"/>
      <c r="Q542" s="778"/>
      <c r="R542" s="778"/>
      <c r="S542" s="778"/>
      <c r="T542" s="778"/>
      <c r="U542" s="778"/>
      <c r="V542" s="778"/>
      <c r="W542" s="778"/>
      <c r="X542" s="778"/>
      <c r="Y542" s="778"/>
      <c r="Z542" s="778"/>
    </row>
    <row r="543">
      <c r="A543" s="777"/>
      <c r="B543" s="777"/>
      <c r="C543" s="777"/>
      <c r="D543" s="778"/>
      <c r="E543" s="778"/>
      <c r="F543" s="778"/>
      <c r="G543" s="778"/>
      <c r="H543" s="778"/>
      <c r="I543" s="778"/>
      <c r="J543" s="778"/>
      <c r="K543" s="778"/>
      <c r="L543" s="778"/>
      <c r="M543" s="778"/>
      <c r="N543" s="778"/>
      <c r="O543" s="778"/>
      <c r="P543" s="778"/>
      <c r="Q543" s="778"/>
      <c r="R543" s="778"/>
      <c r="S543" s="778"/>
      <c r="T543" s="778"/>
      <c r="U543" s="778"/>
      <c r="V543" s="778"/>
      <c r="W543" s="778"/>
      <c r="X543" s="778"/>
      <c r="Y543" s="778"/>
      <c r="Z543" s="778"/>
    </row>
    <row r="544">
      <c r="A544" s="777"/>
      <c r="B544" s="777"/>
      <c r="C544" s="777"/>
      <c r="D544" s="778"/>
      <c r="E544" s="778"/>
      <c r="F544" s="778"/>
      <c r="G544" s="778"/>
      <c r="H544" s="778"/>
      <c r="I544" s="778"/>
      <c r="J544" s="778"/>
      <c r="K544" s="778"/>
      <c r="L544" s="778"/>
      <c r="M544" s="778"/>
      <c r="N544" s="778"/>
      <c r="O544" s="778"/>
      <c r="P544" s="778"/>
      <c r="Q544" s="778"/>
      <c r="R544" s="778"/>
      <c r="S544" s="778"/>
      <c r="T544" s="778"/>
      <c r="U544" s="778"/>
      <c r="V544" s="778"/>
      <c r="W544" s="778"/>
      <c r="X544" s="778"/>
      <c r="Y544" s="778"/>
      <c r="Z544" s="778"/>
    </row>
    <row r="545">
      <c r="A545" s="777"/>
      <c r="B545" s="777"/>
      <c r="C545" s="777"/>
      <c r="D545" s="778"/>
      <c r="E545" s="778"/>
      <c r="F545" s="778"/>
      <c r="G545" s="778"/>
      <c r="H545" s="778"/>
      <c r="I545" s="778"/>
      <c r="J545" s="778"/>
      <c r="K545" s="778"/>
      <c r="L545" s="778"/>
      <c r="M545" s="778"/>
      <c r="N545" s="778"/>
      <c r="O545" s="778"/>
      <c r="P545" s="778"/>
      <c r="Q545" s="778"/>
      <c r="R545" s="778"/>
      <c r="S545" s="778"/>
      <c r="T545" s="778"/>
      <c r="U545" s="778"/>
      <c r="V545" s="778"/>
      <c r="W545" s="778"/>
      <c r="X545" s="778"/>
      <c r="Y545" s="778"/>
      <c r="Z545" s="778"/>
    </row>
    <row r="546">
      <c r="A546" s="777"/>
      <c r="B546" s="777"/>
      <c r="C546" s="777"/>
      <c r="D546" s="778"/>
      <c r="E546" s="778"/>
      <c r="F546" s="778"/>
      <c r="G546" s="778"/>
      <c r="H546" s="778"/>
      <c r="I546" s="778"/>
      <c r="J546" s="778"/>
      <c r="K546" s="778"/>
      <c r="L546" s="778"/>
      <c r="M546" s="778"/>
      <c r="N546" s="778"/>
      <c r="O546" s="778"/>
      <c r="P546" s="778"/>
      <c r="Q546" s="778"/>
      <c r="R546" s="778"/>
      <c r="S546" s="778"/>
      <c r="T546" s="778"/>
      <c r="U546" s="778"/>
      <c r="V546" s="778"/>
      <c r="W546" s="778"/>
      <c r="X546" s="778"/>
      <c r="Y546" s="778"/>
      <c r="Z546" s="778"/>
    </row>
    <row r="547">
      <c r="A547" s="777"/>
      <c r="B547" s="777"/>
      <c r="C547" s="777"/>
      <c r="D547" s="778"/>
      <c r="E547" s="778"/>
      <c r="F547" s="778"/>
      <c r="G547" s="778"/>
      <c r="H547" s="778"/>
      <c r="I547" s="778"/>
      <c r="J547" s="778"/>
      <c r="K547" s="778"/>
      <c r="L547" s="778"/>
      <c r="M547" s="778"/>
      <c r="N547" s="778"/>
      <c r="O547" s="778"/>
      <c r="P547" s="778"/>
      <c r="Q547" s="778"/>
      <c r="R547" s="778"/>
      <c r="S547" s="778"/>
      <c r="T547" s="778"/>
      <c r="U547" s="778"/>
      <c r="V547" s="778"/>
      <c r="W547" s="778"/>
      <c r="X547" s="778"/>
      <c r="Y547" s="778"/>
      <c r="Z547" s="778"/>
    </row>
    <row r="548">
      <c r="A548" s="777"/>
      <c r="B548" s="777"/>
      <c r="C548" s="777"/>
      <c r="D548" s="778"/>
      <c r="E548" s="778"/>
      <c r="F548" s="778"/>
      <c r="G548" s="778"/>
      <c r="H548" s="778"/>
      <c r="I548" s="778"/>
      <c r="J548" s="778"/>
      <c r="K548" s="778"/>
      <c r="L548" s="778"/>
      <c r="M548" s="778"/>
      <c r="N548" s="778"/>
      <c r="O548" s="778"/>
      <c r="P548" s="778"/>
      <c r="Q548" s="778"/>
      <c r="R548" s="778"/>
      <c r="S548" s="778"/>
      <c r="T548" s="778"/>
      <c r="U548" s="778"/>
      <c r="V548" s="778"/>
      <c r="W548" s="778"/>
      <c r="X548" s="778"/>
      <c r="Y548" s="778"/>
      <c r="Z548" s="778"/>
    </row>
    <row r="549">
      <c r="A549" s="777"/>
      <c r="B549" s="777"/>
      <c r="C549" s="777"/>
      <c r="D549" s="778"/>
      <c r="E549" s="778"/>
      <c r="F549" s="778"/>
      <c r="G549" s="778"/>
      <c r="H549" s="778"/>
      <c r="I549" s="778"/>
      <c r="J549" s="778"/>
      <c r="K549" s="778"/>
      <c r="L549" s="778"/>
      <c r="M549" s="778"/>
      <c r="N549" s="778"/>
      <c r="O549" s="778"/>
      <c r="P549" s="778"/>
      <c r="Q549" s="778"/>
      <c r="R549" s="778"/>
      <c r="S549" s="778"/>
      <c r="T549" s="778"/>
      <c r="U549" s="778"/>
      <c r="V549" s="778"/>
      <c r="W549" s="778"/>
      <c r="X549" s="778"/>
      <c r="Y549" s="778"/>
      <c r="Z549" s="778"/>
    </row>
    <row r="550">
      <c r="A550" s="777"/>
      <c r="B550" s="777"/>
      <c r="C550" s="777"/>
      <c r="D550" s="778"/>
      <c r="E550" s="778"/>
      <c r="F550" s="778"/>
      <c r="G550" s="778"/>
      <c r="H550" s="778"/>
      <c r="I550" s="778"/>
      <c r="J550" s="778"/>
      <c r="K550" s="778"/>
      <c r="L550" s="778"/>
      <c r="M550" s="778"/>
      <c r="N550" s="778"/>
      <c r="O550" s="778"/>
      <c r="P550" s="778"/>
      <c r="Q550" s="778"/>
      <c r="R550" s="778"/>
      <c r="S550" s="778"/>
      <c r="T550" s="778"/>
      <c r="U550" s="778"/>
      <c r="V550" s="778"/>
      <c r="W550" s="778"/>
      <c r="X550" s="778"/>
      <c r="Y550" s="778"/>
      <c r="Z550" s="778"/>
    </row>
    <row r="551">
      <c r="A551" s="777"/>
      <c r="B551" s="777"/>
      <c r="C551" s="777"/>
      <c r="D551" s="778"/>
      <c r="E551" s="778"/>
      <c r="F551" s="778"/>
      <c r="G551" s="778"/>
      <c r="H551" s="778"/>
      <c r="I551" s="778"/>
      <c r="J551" s="778"/>
      <c r="K551" s="778"/>
      <c r="L551" s="778"/>
      <c r="M551" s="778"/>
      <c r="N551" s="778"/>
      <c r="O551" s="778"/>
      <c r="P551" s="778"/>
      <c r="Q551" s="778"/>
      <c r="R551" s="778"/>
      <c r="S551" s="778"/>
      <c r="T551" s="778"/>
      <c r="U551" s="778"/>
      <c r="V551" s="778"/>
      <c r="W551" s="778"/>
      <c r="X551" s="778"/>
      <c r="Y551" s="778"/>
      <c r="Z551" s="778"/>
    </row>
    <row r="552">
      <c r="A552" s="777"/>
      <c r="B552" s="777"/>
      <c r="C552" s="777"/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778"/>
      <c r="V552" s="778"/>
      <c r="W552" s="778"/>
      <c r="X552" s="778"/>
      <c r="Y552" s="778"/>
      <c r="Z552" s="778"/>
    </row>
    <row r="553">
      <c r="A553" s="777"/>
      <c r="B553" s="777"/>
      <c r="C553" s="777"/>
      <c r="D553" s="778"/>
      <c r="E553" s="778"/>
      <c r="F553" s="778"/>
      <c r="G553" s="778"/>
      <c r="H553" s="778"/>
      <c r="I553" s="778"/>
      <c r="J553" s="778"/>
      <c r="K553" s="778"/>
      <c r="L553" s="778"/>
      <c r="M553" s="778"/>
      <c r="N553" s="778"/>
      <c r="O553" s="778"/>
      <c r="P553" s="778"/>
      <c r="Q553" s="778"/>
      <c r="R553" s="778"/>
      <c r="S553" s="778"/>
      <c r="T553" s="778"/>
      <c r="U553" s="778"/>
      <c r="V553" s="778"/>
      <c r="W553" s="778"/>
      <c r="X553" s="778"/>
      <c r="Y553" s="778"/>
      <c r="Z553" s="778"/>
    </row>
    <row r="554">
      <c r="A554" s="777"/>
      <c r="B554" s="777"/>
      <c r="C554" s="777"/>
      <c r="D554" s="778"/>
      <c r="E554" s="778"/>
      <c r="F554" s="778"/>
      <c r="G554" s="778"/>
      <c r="H554" s="778"/>
      <c r="I554" s="778"/>
      <c r="J554" s="778"/>
      <c r="K554" s="778"/>
      <c r="L554" s="778"/>
      <c r="M554" s="778"/>
      <c r="N554" s="778"/>
      <c r="O554" s="778"/>
      <c r="P554" s="778"/>
      <c r="Q554" s="778"/>
      <c r="R554" s="778"/>
      <c r="S554" s="778"/>
      <c r="T554" s="778"/>
      <c r="U554" s="778"/>
      <c r="V554" s="778"/>
      <c r="W554" s="778"/>
      <c r="X554" s="778"/>
      <c r="Y554" s="778"/>
      <c r="Z554" s="778"/>
    </row>
    <row r="555">
      <c r="A555" s="777"/>
      <c r="B555" s="777"/>
      <c r="C555" s="777"/>
      <c r="D555" s="778"/>
      <c r="E555" s="778"/>
      <c r="F555" s="778"/>
      <c r="G555" s="778"/>
      <c r="H555" s="778"/>
      <c r="I555" s="778"/>
      <c r="J555" s="778"/>
      <c r="K555" s="778"/>
      <c r="L555" s="778"/>
      <c r="M555" s="778"/>
      <c r="N555" s="778"/>
      <c r="O555" s="778"/>
      <c r="P555" s="778"/>
      <c r="Q555" s="778"/>
      <c r="R555" s="778"/>
      <c r="S555" s="778"/>
      <c r="T555" s="778"/>
      <c r="U555" s="778"/>
      <c r="V555" s="778"/>
      <c r="W555" s="778"/>
      <c r="X555" s="778"/>
      <c r="Y555" s="778"/>
      <c r="Z555" s="778"/>
    </row>
    <row r="556">
      <c r="A556" s="777"/>
      <c r="B556" s="777"/>
      <c r="C556" s="777"/>
      <c r="D556" s="778"/>
      <c r="E556" s="778"/>
      <c r="F556" s="778"/>
      <c r="G556" s="778"/>
      <c r="H556" s="778"/>
      <c r="I556" s="778"/>
      <c r="J556" s="778"/>
      <c r="K556" s="778"/>
      <c r="L556" s="778"/>
      <c r="M556" s="778"/>
      <c r="N556" s="778"/>
      <c r="O556" s="778"/>
      <c r="P556" s="778"/>
      <c r="Q556" s="778"/>
      <c r="R556" s="778"/>
      <c r="S556" s="778"/>
      <c r="T556" s="778"/>
      <c r="U556" s="778"/>
      <c r="V556" s="778"/>
      <c r="W556" s="778"/>
      <c r="X556" s="778"/>
      <c r="Y556" s="778"/>
      <c r="Z556" s="778"/>
    </row>
    <row r="557">
      <c r="A557" s="777"/>
      <c r="B557" s="777"/>
      <c r="C557" s="777"/>
      <c r="D557" s="778"/>
      <c r="E557" s="778"/>
      <c r="F557" s="778"/>
      <c r="G557" s="778"/>
      <c r="H557" s="778"/>
      <c r="I557" s="778"/>
      <c r="J557" s="778"/>
      <c r="K557" s="778"/>
      <c r="L557" s="778"/>
      <c r="M557" s="778"/>
      <c r="N557" s="778"/>
      <c r="O557" s="778"/>
      <c r="P557" s="778"/>
      <c r="Q557" s="778"/>
      <c r="R557" s="778"/>
      <c r="S557" s="778"/>
      <c r="T557" s="778"/>
      <c r="U557" s="778"/>
      <c r="V557" s="778"/>
      <c r="W557" s="778"/>
      <c r="X557" s="778"/>
      <c r="Y557" s="778"/>
      <c r="Z557" s="778"/>
    </row>
    <row r="558">
      <c r="A558" s="777"/>
      <c r="B558" s="777"/>
      <c r="C558" s="777"/>
      <c r="D558" s="778"/>
      <c r="E558" s="778"/>
      <c r="F558" s="778"/>
      <c r="G558" s="778"/>
      <c r="H558" s="778"/>
      <c r="I558" s="778"/>
      <c r="J558" s="778"/>
      <c r="K558" s="778"/>
      <c r="L558" s="778"/>
      <c r="M558" s="778"/>
      <c r="N558" s="778"/>
      <c r="O558" s="778"/>
      <c r="P558" s="778"/>
      <c r="Q558" s="778"/>
      <c r="R558" s="778"/>
      <c r="S558" s="778"/>
      <c r="T558" s="778"/>
      <c r="U558" s="778"/>
      <c r="V558" s="778"/>
      <c r="W558" s="778"/>
      <c r="X558" s="778"/>
      <c r="Y558" s="778"/>
      <c r="Z558" s="778"/>
    </row>
    <row r="559">
      <c r="A559" s="777"/>
      <c r="B559" s="777"/>
      <c r="C559" s="777"/>
      <c r="D559" s="778"/>
      <c r="E559" s="778"/>
      <c r="F559" s="778"/>
      <c r="G559" s="778"/>
      <c r="H559" s="778"/>
      <c r="I559" s="778"/>
      <c r="J559" s="778"/>
      <c r="K559" s="778"/>
      <c r="L559" s="778"/>
      <c r="M559" s="778"/>
      <c r="N559" s="778"/>
      <c r="O559" s="778"/>
      <c r="P559" s="778"/>
      <c r="Q559" s="778"/>
      <c r="R559" s="778"/>
      <c r="S559" s="778"/>
      <c r="T559" s="778"/>
      <c r="U559" s="778"/>
      <c r="V559" s="778"/>
      <c r="W559" s="778"/>
      <c r="X559" s="778"/>
      <c r="Y559" s="778"/>
      <c r="Z559" s="778"/>
    </row>
    <row r="560">
      <c r="A560" s="777"/>
      <c r="B560" s="777"/>
      <c r="C560" s="777"/>
      <c r="D560" s="778"/>
      <c r="E560" s="778"/>
      <c r="F560" s="778"/>
      <c r="G560" s="778"/>
      <c r="H560" s="778"/>
      <c r="I560" s="778"/>
      <c r="J560" s="778"/>
      <c r="K560" s="778"/>
      <c r="L560" s="778"/>
      <c r="M560" s="778"/>
      <c r="N560" s="778"/>
      <c r="O560" s="778"/>
      <c r="P560" s="778"/>
      <c r="Q560" s="778"/>
      <c r="R560" s="778"/>
      <c r="S560" s="778"/>
      <c r="T560" s="778"/>
      <c r="U560" s="778"/>
      <c r="V560" s="778"/>
      <c r="W560" s="778"/>
      <c r="X560" s="778"/>
      <c r="Y560" s="778"/>
      <c r="Z560" s="778"/>
    </row>
    <row r="561">
      <c r="A561" s="777"/>
      <c r="B561" s="777"/>
      <c r="C561" s="777"/>
      <c r="D561" s="778"/>
      <c r="E561" s="778"/>
      <c r="F561" s="778"/>
      <c r="G561" s="778"/>
      <c r="H561" s="778"/>
      <c r="I561" s="778"/>
      <c r="J561" s="778"/>
      <c r="K561" s="778"/>
      <c r="L561" s="778"/>
      <c r="M561" s="778"/>
      <c r="N561" s="778"/>
      <c r="O561" s="778"/>
      <c r="P561" s="778"/>
      <c r="Q561" s="778"/>
      <c r="R561" s="778"/>
      <c r="S561" s="778"/>
      <c r="T561" s="778"/>
      <c r="U561" s="778"/>
      <c r="V561" s="778"/>
      <c r="W561" s="778"/>
      <c r="X561" s="778"/>
      <c r="Y561" s="778"/>
      <c r="Z561" s="778"/>
    </row>
    <row r="562">
      <c r="A562" s="777"/>
      <c r="B562" s="777"/>
      <c r="C562" s="777"/>
      <c r="D562" s="778"/>
      <c r="E562" s="778"/>
      <c r="F562" s="778"/>
      <c r="G562" s="778"/>
      <c r="H562" s="778"/>
      <c r="I562" s="778"/>
      <c r="J562" s="778"/>
      <c r="K562" s="778"/>
      <c r="L562" s="778"/>
      <c r="M562" s="778"/>
      <c r="N562" s="778"/>
      <c r="O562" s="778"/>
      <c r="P562" s="778"/>
      <c r="Q562" s="778"/>
      <c r="R562" s="778"/>
      <c r="S562" s="778"/>
      <c r="T562" s="778"/>
      <c r="U562" s="778"/>
      <c r="V562" s="778"/>
      <c r="W562" s="778"/>
      <c r="X562" s="778"/>
      <c r="Y562" s="778"/>
      <c r="Z562" s="778"/>
    </row>
    <row r="563">
      <c r="A563" s="777"/>
      <c r="B563" s="777"/>
      <c r="C563" s="777"/>
      <c r="D563" s="778"/>
      <c r="E563" s="778"/>
      <c r="F563" s="778"/>
      <c r="G563" s="778"/>
      <c r="H563" s="778"/>
      <c r="I563" s="778"/>
      <c r="J563" s="778"/>
      <c r="K563" s="778"/>
      <c r="L563" s="778"/>
      <c r="M563" s="778"/>
      <c r="N563" s="778"/>
      <c r="O563" s="778"/>
      <c r="P563" s="778"/>
      <c r="Q563" s="778"/>
      <c r="R563" s="778"/>
      <c r="S563" s="778"/>
      <c r="T563" s="778"/>
      <c r="U563" s="778"/>
      <c r="V563" s="778"/>
      <c r="W563" s="778"/>
      <c r="X563" s="778"/>
      <c r="Y563" s="778"/>
      <c r="Z563" s="778"/>
    </row>
    <row r="564">
      <c r="A564" s="777"/>
      <c r="B564" s="777"/>
      <c r="C564" s="777"/>
      <c r="D564" s="778"/>
      <c r="E564" s="778"/>
      <c r="F564" s="778"/>
      <c r="G564" s="778"/>
      <c r="H564" s="778"/>
      <c r="I564" s="778"/>
      <c r="J564" s="778"/>
      <c r="K564" s="778"/>
      <c r="L564" s="778"/>
      <c r="M564" s="778"/>
      <c r="N564" s="778"/>
      <c r="O564" s="778"/>
      <c r="P564" s="778"/>
      <c r="Q564" s="778"/>
      <c r="R564" s="778"/>
      <c r="S564" s="778"/>
      <c r="T564" s="778"/>
      <c r="U564" s="778"/>
      <c r="V564" s="778"/>
      <c r="W564" s="778"/>
      <c r="X564" s="778"/>
      <c r="Y564" s="778"/>
      <c r="Z564" s="778"/>
    </row>
    <row r="565">
      <c r="A565" s="777"/>
      <c r="B565" s="777"/>
      <c r="C565" s="777"/>
      <c r="D565" s="778"/>
      <c r="E565" s="778"/>
      <c r="F565" s="778"/>
      <c r="G565" s="778"/>
      <c r="H565" s="778"/>
      <c r="I565" s="778"/>
      <c r="J565" s="778"/>
      <c r="K565" s="778"/>
      <c r="L565" s="778"/>
      <c r="M565" s="778"/>
      <c r="N565" s="778"/>
      <c r="O565" s="778"/>
      <c r="P565" s="778"/>
      <c r="Q565" s="778"/>
      <c r="R565" s="778"/>
      <c r="S565" s="778"/>
      <c r="T565" s="778"/>
      <c r="U565" s="778"/>
      <c r="V565" s="778"/>
      <c r="W565" s="778"/>
      <c r="X565" s="778"/>
      <c r="Y565" s="778"/>
      <c r="Z565" s="778"/>
    </row>
    <row r="566">
      <c r="A566" s="777"/>
      <c r="B566" s="777"/>
      <c r="C566" s="777"/>
      <c r="D566" s="778"/>
      <c r="E566" s="778"/>
      <c r="F566" s="778"/>
      <c r="G566" s="778"/>
      <c r="H566" s="778"/>
      <c r="I566" s="778"/>
      <c r="J566" s="778"/>
      <c r="K566" s="778"/>
      <c r="L566" s="778"/>
      <c r="M566" s="778"/>
      <c r="N566" s="778"/>
      <c r="O566" s="778"/>
      <c r="P566" s="778"/>
      <c r="Q566" s="778"/>
      <c r="R566" s="778"/>
      <c r="S566" s="778"/>
      <c r="T566" s="778"/>
      <c r="U566" s="778"/>
      <c r="V566" s="778"/>
      <c r="W566" s="778"/>
      <c r="X566" s="778"/>
      <c r="Y566" s="778"/>
      <c r="Z566" s="778"/>
    </row>
    <row r="567">
      <c r="A567" s="777"/>
      <c r="B567" s="777"/>
      <c r="C567" s="777"/>
      <c r="D567" s="778"/>
      <c r="E567" s="778"/>
      <c r="F567" s="778"/>
      <c r="G567" s="778"/>
      <c r="H567" s="778"/>
      <c r="I567" s="778"/>
      <c r="J567" s="778"/>
      <c r="K567" s="778"/>
      <c r="L567" s="778"/>
      <c r="M567" s="778"/>
      <c r="N567" s="778"/>
      <c r="O567" s="778"/>
      <c r="P567" s="778"/>
      <c r="Q567" s="778"/>
      <c r="R567" s="778"/>
      <c r="S567" s="778"/>
      <c r="T567" s="778"/>
      <c r="U567" s="778"/>
      <c r="V567" s="778"/>
      <c r="W567" s="778"/>
      <c r="X567" s="778"/>
      <c r="Y567" s="778"/>
      <c r="Z567" s="778"/>
    </row>
    <row r="568">
      <c r="A568" s="777"/>
      <c r="B568" s="777"/>
      <c r="C568" s="777"/>
      <c r="D568" s="778"/>
      <c r="E568" s="778"/>
      <c r="F568" s="778"/>
      <c r="G568" s="778"/>
      <c r="H568" s="778"/>
      <c r="I568" s="778"/>
      <c r="J568" s="778"/>
      <c r="K568" s="778"/>
      <c r="L568" s="778"/>
      <c r="M568" s="778"/>
      <c r="N568" s="778"/>
      <c r="O568" s="778"/>
      <c r="P568" s="778"/>
      <c r="Q568" s="778"/>
      <c r="R568" s="778"/>
      <c r="S568" s="778"/>
      <c r="T568" s="778"/>
      <c r="U568" s="778"/>
      <c r="V568" s="778"/>
      <c r="W568" s="778"/>
      <c r="X568" s="778"/>
      <c r="Y568" s="778"/>
      <c r="Z568" s="778"/>
    </row>
    <row r="569">
      <c r="A569" s="777"/>
      <c r="B569" s="777"/>
      <c r="C569" s="777"/>
      <c r="D569" s="778"/>
      <c r="E569" s="778"/>
      <c r="F569" s="778"/>
      <c r="G569" s="778"/>
      <c r="H569" s="778"/>
      <c r="I569" s="778"/>
      <c r="J569" s="778"/>
      <c r="K569" s="778"/>
      <c r="L569" s="778"/>
      <c r="M569" s="778"/>
      <c r="N569" s="778"/>
      <c r="O569" s="778"/>
      <c r="P569" s="778"/>
      <c r="Q569" s="778"/>
      <c r="R569" s="778"/>
      <c r="S569" s="778"/>
      <c r="T569" s="778"/>
      <c r="U569" s="778"/>
      <c r="V569" s="778"/>
      <c r="W569" s="778"/>
      <c r="X569" s="778"/>
      <c r="Y569" s="778"/>
      <c r="Z569" s="778"/>
    </row>
    <row r="570">
      <c r="A570" s="777"/>
      <c r="B570" s="777"/>
      <c r="C570" s="777"/>
      <c r="D570" s="778"/>
      <c r="E570" s="778"/>
      <c r="F570" s="778"/>
      <c r="G570" s="778"/>
      <c r="H570" s="778"/>
      <c r="I570" s="778"/>
      <c r="J570" s="778"/>
      <c r="K570" s="778"/>
      <c r="L570" s="778"/>
      <c r="M570" s="778"/>
      <c r="N570" s="778"/>
      <c r="O570" s="778"/>
      <c r="P570" s="778"/>
      <c r="Q570" s="778"/>
      <c r="R570" s="778"/>
      <c r="S570" s="778"/>
      <c r="T570" s="778"/>
      <c r="U570" s="778"/>
      <c r="V570" s="778"/>
      <c r="W570" s="778"/>
      <c r="X570" s="778"/>
      <c r="Y570" s="778"/>
      <c r="Z570" s="778"/>
    </row>
    <row r="571">
      <c r="A571" s="777"/>
      <c r="B571" s="777"/>
      <c r="C571" s="777"/>
      <c r="D571" s="778"/>
      <c r="E571" s="778"/>
      <c r="F571" s="778"/>
      <c r="G571" s="778"/>
      <c r="H571" s="778"/>
      <c r="I571" s="778"/>
      <c r="J571" s="778"/>
      <c r="K571" s="778"/>
      <c r="L571" s="778"/>
      <c r="M571" s="778"/>
      <c r="N571" s="778"/>
      <c r="O571" s="778"/>
      <c r="P571" s="778"/>
      <c r="Q571" s="778"/>
      <c r="R571" s="778"/>
      <c r="S571" s="778"/>
      <c r="T571" s="778"/>
      <c r="U571" s="778"/>
      <c r="V571" s="778"/>
      <c r="W571" s="778"/>
      <c r="X571" s="778"/>
      <c r="Y571" s="778"/>
      <c r="Z571" s="778"/>
    </row>
    <row r="572">
      <c r="A572" s="777"/>
      <c r="B572" s="777"/>
      <c r="C572" s="777"/>
      <c r="D572" s="778"/>
      <c r="E572" s="778"/>
      <c r="F572" s="778"/>
      <c r="G572" s="778"/>
      <c r="H572" s="778"/>
      <c r="I572" s="778"/>
      <c r="J572" s="778"/>
      <c r="K572" s="778"/>
      <c r="L572" s="778"/>
      <c r="M572" s="778"/>
      <c r="N572" s="778"/>
      <c r="O572" s="778"/>
      <c r="P572" s="778"/>
      <c r="Q572" s="778"/>
      <c r="R572" s="778"/>
      <c r="S572" s="778"/>
      <c r="T572" s="778"/>
      <c r="U572" s="778"/>
      <c r="V572" s="778"/>
      <c r="W572" s="778"/>
      <c r="X572" s="778"/>
      <c r="Y572" s="778"/>
      <c r="Z572" s="778"/>
    </row>
    <row r="573">
      <c r="A573" s="777"/>
      <c r="B573" s="777"/>
      <c r="C573" s="777"/>
      <c r="D573" s="778"/>
      <c r="E573" s="778"/>
      <c r="F573" s="778"/>
      <c r="G573" s="778"/>
      <c r="H573" s="778"/>
      <c r="I573" s="778"/>
      <c r="J573" s="778"/>
      <c r="K573" s="778"/>
      <c r="L573" s="778"/>
      <c r="M573" s="778"/>
      <c r="N573" s="778"/>
      <c r="O573" s="778"/>
      <c r="P573" s="778"/>
      <c r="Q573" s="778"/>
      <c r="R573" s="778"/>
      <c r="S573" s="778"/>
      <c r="T573" s="778"/>
      <c r="U573" s="778"/>
      <c r="V573" s="778"/>
      <c r="W573" s="778"/>
      <c r="X573" s="778"/>
      <c r="Y573" s="778"/>
      <c r="Z573" s="778"/>
    </row>
    <row r="574">
      <c r="A574" s="777"/>
      <c r="B574" s="777"/>
      <c r="C574" s="777"/>
      <c r="D574" s="778"/>
      <c r="E574" s="778"/>
      <c r="F574" s="778"/>
      <c r="G574" s="778"/>
      <c r="H574" s="778"/>
      <c r="I574" s="778"/>
      <c r="J574" s="778"/>
      <c r="K574" s="778"/>
      <c r="L574" s="778"/>
      <c r="M574" s="778"/>
      <c r="N574" s="778"/>
      <c r="O574" s="778"/>
      <c r="P574" s="778"/>
      <c r="Q574" s="778"/>
      <c r="R574" s="778"/>
      <c r="S574" s="778"/>
      <c r="T574" s="778"/>
      <c r="U574" s="778"/>
      <c r="V574" s="778"/>
      <c r="W574" s="778"/>
      <c r="X574" s="778"/>
      <c r="Y574" s="778"/>
      <c r="Z574" s="778"/>
    </row>
    <row r="575">
      <c r="A575" s="777"/>
      <c r="B575" s="777"/>
      <c r="C575" s="777"/>
      <c r="D575" s="778"/>
      <c r="E575" s="778"/>
      <c r="F575" s="778"/>
      <c r="G575" s="778"/>
      <c r="H575" s="778"/>
      <c r="I575" s="778"/>
      <c r="J575" s="778"/>
      <c r="K575" s="778"/>
      <c r="L575" s="778"/>
      <c r="M575" s="778"/>
      <c r="N575" s="778"/>
      <c r="O575" s="778"/>
      <c r="P575" s="778"/>
      <c r="Q575" s="778"/>
      <c r="R575" s="778"/>
      <c r="S575" s="778"/>
      <c r="T575" s="778"/>
      <c r="U575" s="778"/>
      <c r="V575" s="778"/>
      <c r="W575" s="778"/>
      <c r="X575" s="778"/>
      <c r="Y575" s="778"/>
      <c r="Z575" s="778"/>
    </row>
    <row r="576">
      <c r="A576" s="777"/>
      <c r="B576" s="777"/>
      <c r="C576" s="777"/>
      <c r="D576" s="778"/>
      <c r="E576" s="778"/>
      <c r="F576" s="778"/>
      <c r="G576" s="778"/>
      <c r="H576" s="778"/>
      <c r="I576" s="778"/>
      <c r="J576" s="778"/>
      <c r="K576" s="778"/>
      <c r="L576" s="778"/>
      <c r="M576" s="778"/>
      <c r="N576" s="778"/>
      <c r="O576" s="778"/>
      <c r="P576" s="778"/>
      <c r="Q576" s="778"/>
      <c r="R576" s="778"/>
      <c r="S576" s="778"/>
      <c r="T576" s="778"/>
      <c r="U576" s="778"/>
      <c r="V576" s="778"/>
      <c r="W576" s="778"/>
      <c r="X576" s="778"/>
      <c r="Y576" s="778"/>
      <c r="Z576" s="778"/>
    </row>
    <row r="577">
      <c r="A577" s="777"/>
      <c r="B577" s="777"/>
      <c r="C577" s="777"/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778"/>
      <c r="V577" s="778"/>
      <c r="W577" s="778"/>
      <c r="X577" s="778"/>
      <c r="Y577" s="778"/>
      <c r="Z577" s="778"/>
    </row>
    <row r="578">
      <c r="A578" s="777"/>
      <c r="B578" s="777"/>
      <c r="C578" s="777"/>
      <c r="D578" s="778"/>
      <c r="E578" s="778"/>
      <c r="F578" s="778"/>
      <c r="G578" s="778"/>
      <c r="H578" s="778"/>
      <c r="I578" s="778"/>
      <c r="J578" s="778"/>
      <c r="K578" s="778"/>
      <c r="L578" s="778"/>
      <c r="M578" s="778"/>
      <c r="N578" s="778"/>
      <c r="O578" s="778"/>
      <c r="P578" s="778"/>
      <c r="Q578" s="778"/>
      <c r="R578" s="778"/>
      <c r="S578" s="778"/>
      <c r="T578" s="778"/>
      <c r="U578" s="778"/>
      <c r="V578" s="778"/>
      <c r="W578" s="778"/>
      <c r="X578" s="778"/>
      <c r="Y578" s="778"/>
      <c r="Z578" s="778"/>
    </row>
    <row r="579">
      <c r="A579" s="777"/>
      <c r="B579" s="777"/>
      <c r="C579" s="777"/>
      <c r="D579" s="778"/>
      <c r="E579" s="778"/>
      <c r="F579" s="778"/>
      <c r="G579" s="778"/>
      <c r="H579" s="778"/>
      <c r="I579" s="778"/>
      <c r="J579" s="778"/>
      <c r="K579" s="778"/>
      <c r="L579" s="778"/>
      <c r="M579" s="778"/>
      <c r="N579" s="778"/>
      <c r="O579" s="778"/>
      <c r="P579" s="778"/>
      <c r="Q579" s="778"/>
      <c r="R579" s="778"/>
      <c r="S579" s="778"/>
      <c r="T579" s="778"/>
      <c r="U579" s="778"/>
      <c r="V579" s="778"/>
      <c r="W579" s="778"/>
      <c r="X579" s="778"/>
      <c r="Y579" s="778"/>
      <c r="Z579" s="778"/>
    </row>
    <row r="580">
      <c r="A580" s="777"/>
      <c r="B580" s="777"/>
      <c r="C580" s="777"/>
      <c r="D580" s="778"/>
      <c r="E580" s="778"/>
      <c r="F580" s="778"/>
      <c r="G580" s="778"/>
      <c r="H580" s="778"/>
      <c r="I580" s="778"/>
      <c r="J580" s="778"/>
      <c r="K580" s="778"/>
      <c r="L580" s="778"/>
      <c r="M580" s="778"/>
      <c r="N580" s="778"/>
      <c r="O580" s="778"/>
      <c r="P580" s="778"/>
      <c r="Q580" s="778"/>
      <c r="R580" s="778"/>
      <c r="S580" s="778"/>
      <c r="T580" s="778"/>
      <c r="U580" s="778"/>
      <c r="V580" s="778"/>
      <c r="W580" s="778"/>
      <c r="X580" s="778"/>
      <c r="Y580" s="778"/>
      <c r="Z580" s="778"/>
    </row>
    <row r="581">
      <c r="A581" s="777"/>
      <c r="B581" s="777"/>
      <c r="C581" s="777"/>
      <c r="D581" s="778"/>
      <c r="E581" s="778"/>
      <c r="F581" s="778"/>
      <c r="G581" s="778"/>
      <c r="H581" s="778"/>
      <c r="I581" s="778"/>
      <c r="J581" s="778"/>
      <c r="K581" s="778"/>
      <c r="L581" s="778"/>
      <c r="M581" s="778"/>
      <c r="N581" s="778"/>
      <c r="O581" s="778"/>
      <c r="P581" s="778"/>
      <c r="Q581" s="778"/>
      <c r="R581" s="778"/>
      <c r="S581" s="778"/>
      <c r="T581" s="778"/>
      <c r="U581" s="778"/>
      <c r="V581" s="778"/>
      <c r="W581" s="778"/>
      <c r="X581" s="778"/>
      <c r="Y581" s="778"/>
      <c r="Z581" s="778"/>
    </row>
    <row r="582">
      <c r="A582" s="777"/>
      <c r="B582" s="777"/>
      <c r="C582" s="777"/>
      <c r="D582" s="778"/>
      <c r="E582" s="778"/>
      <c r="F582" s="778"/>
      <c r="G582" s="778"/>
      <c r="H582" s="778"/>
      <c r="I582" s="778"/>
      <c r="J582" s="778"/>
      <c r="K582" s="778"/>
      <c r="L582" s="778"/>
      <c r="M582" s="778"/>
      <c r="N582" s="778"/>
      <c r="O582" s="778"/>
      <c r="P582" s="778"/>
      <c r="Q582" s="778"/>
      <c r="R582" s="778"/>
      <c r="S582" s="778"/>
      <c r="T582" s="778"/>
      <c r="U582" s="778"/>
      <c r="V582" s="778"/>
      <c r="W582" s="778"/>
      <c r="X582" s="778"/>
      <c r="Y582" s="778"/>
      <c r="Z582" s="778"/>
    </row>
    <row r="583">
      <c r="A583" s="777"/>
      <c r="B583" s="777"/>
      <c r="C583" s="777"/>
      <c r="D583" s="778"/>
      <c r="E583" s="778"/>
      <c r="F583" s="778"/>
      <c r="G583" s="778"/>
      <c r="H583" s="778"/>
      <c r="I583" s="778"/>
      <c r="J583" s="778"/>
      <c r="K583" s="778"/>
      <c r="L583" s="778"/>
      <c r="M583" s="778"/>
      <c r="N583" s="778"/>
      <c r="O583" s="778"/>
      <c r="P583" s="778"/>
      <c r="Q583" s="778"/>
      <c r="R583" s="778"/>
      <c r="S583" s="778"/>
      <c r="T583" s="778"/>
      <c r="U583" s="778"/>
      <c r="V583" s="778"/>
      <c r="W583" s="778"/>
      <c r="X583" s="778"/>
      <c r="Y583" s="778"/>
      <c r="Z583" s="778"/>
    </row>
    <row r="584">
      <c r="A584" s="777"/>
      <c r="B584" s="777"/>
      <c r="C584" s="777"/>
      <c r="D584" s="778"/>
      <c r="E584" s="778"/>
      <c r="F584" s="778"/>
      <c r="G584" s="778"/>
      <c r="H584" s="778"/>
      <c r="I584" s="778"/>
      <c r="J584" s="778"/>
      <c r="K584" s="778"/>
      <c r="L584" s="778"/>
      <c r="M584" s="778"/>
      <c r="N584" s="778"/>
      <c r="O584" s="778"/>
      <c r="P584" s="778"/>
      <c r="Q584" s="778"/>
      <c r="R584" s="778"/>
      <c r="S584" s="778"/>
      <c r="T584" s="778"/>
      <c r="U584" s="778"/>
      <c r="V584" s="778"/>
      <c r="W584" s="778"/>
      <c r="X584" s="778"/>
      <c r="Y584" s="778"/>
      <c r="Z584" s="778"/>
    </row>
    <row r="585">
      <c r="A585" s="777"/>
      <c r="B585" s="777"/>
      <c r="C585" s="777"/>
      <c r="D585" s="778"/>
      <c r="E585" s="778"/>
      <c r="F585" s="778"/>
      <c r="G585" s="778"/>
      <c r="H585" s="778"/>
      <c r="I585" s="778"/>
      <c r="J585" s="778"/>
      <c r="K585" s="778"/>
      <c r="L585" s="778"/>
      <c r="M585" s="778"/>
      <c r="N585" s="778"/>
      <c r="O585" s="778"/>
      <c r="P585" s="778"/>
      <c r="Q585" s="778"/>
      <c r="R585" s="778"/>
      <c r="S585" s="778"/>
      <c r="T585" s="778"/>
      <c r="U585" s="778"/>
      <c r="V585" s="778"/>
      <c r="W585" s="778"/>
      <c r="X585" s="778"/>
      <c r="Y585" s="778"/>
      <c r="Z585" s="778"/>
    </row>
    <row r="586">
      <c r="A586" s="777"/>
      <c r="B586" s="777"/>
      <c r="C586" s="777"/>
      <c r="D586" s="778"/>
      <c r="E586" s="778"/>
      <c r="F586" s="778"/>
      <c r="G586" s="778"/>
      <c r="H586" s="778"/>
      <c r="I586" s="778"/>
      <c r="J586" s="778"/>
      <c r="K586" s="778"/>
      <c r="L586" s="778"/>
      <c r="M586" s="778"/>
      <c r="N586" s="778"/>
      <c r="O586" s="778"/>
      <c r="P586" s="778"/>
      <c r="Q586" s="778"/>
      <c r="R586" s="778"/>
      <c r="S586" s="778"/>
      <c r="T586" s="778"/>
      <c r="U586" s="778"/>
      <c r="V586" s="778"/>
      <c r="W586" s="778"/>
      <c r="X586" s="778"/>
      <c r="Y586" s="778"/>
      <c r="Z586" s="778"/>
    </row>
    <row r="587">
      <c r="A587" s="777"/>
      <c r="B587" s="777"/>
      <c r="C587" s="777"/>
      <c r="D587" s="778"/>
      <c r="E587" s="778"/>
      <c r="F587" s="778"/>
      <c r="G587" s="778"/>
      <c r="H587" s="778"/>
      <c r="I587" s="778"/>
      <c r="J587" s="778"/>
      <c r="K587" s="778"/>
      <c r="L587" s="778"/>
      <c r="M587" s="778"/>
      <c r="N587" s="778"/>
      <c r="O587" s="778"/>
      <c r="P587" s="778"/>
      <c r="Q587" s="778"/>
      <c r="R587" s="778"/>
      <c r="S587" s="778"/>
      <c r="T587" s="778"/>
      <c r="U587" s="778"/>
      <c r="V587" s="778"/>
      <c r="W587" s="778"/>
      <c r="X587" s="778"/>
      <c r="Y587" s="778"/>
      <c r="Z587" s="778"/>
    </row>
    <row r="588">
      <c r="A588" s="777"/>
      <c r="B588" s="777"/>
      <c r="C588" s="777"/>
      <c r="D588" s="778"/>
      <c r="E588" s="778"/>
      <c r="F588" s="778"/>
      <c r="G588" s="778"/>
      <c r="H588" s="778"/>
      <c r="I588" s="778"/>
      <c r="J588" s="778"/>
      <c r="K588" s="778"/>
      <c r="L588" s="778"/>
      <c r="M588" s="778"/>
      <c r="N588" s="778"/>
      <c r="O588" s="778"/>
      <c r="P588" s="778"/>
      <c r="Q588" s="778"/>
      <c r="R588" s="778"/>
      <c r="S588" s="778"/>
      <c r="T588" s="778"/>
      <c r="U588" s="778"/>
      <c r="V588" s="778"/>
      <c r="W588" s="778"/>
      <c r="X588" s="778"/>
      <c r="Y588" s="778"/>
      <c r="Z588" s="778"/>
    </row>
    <row r="589">
      <c r="A589" s="777"/>
      <c r="B589" s="777"/>
      <c r="C589" s="777"/>
      <c r="D589" s="778"/>
      <c r="E589" s="778"/>
      <c r="F589" s="778"/>
      <c r="G589" s="778"/>
      <c r="H589" s="778"/>
      <c r="I589" s="778"/>
      <c r="J589" s="778"/>
      <c r="K589" s="778"/>
      <c r="L589" s="778"/>
      <c r="M589" s="778"/>
      <c r="N589" s="778"/>
      <c r="O589" s="778"/>
      <c r="P589" s="778"/>
      <c r="Q589" s="778"/>
      <c r="R589" s="778"/>
      <c r="S589" s="778"/>
      <c r="T589" s="778"/>
      <c r="U589" s="778"/>
      <c r="V589" s="778"/>
      <c r="W589" s="778"/>
      <c r="X589" s="778"/>
      <c r="Y589" s="778"/>
      <c r="Z589" s="778"/>
    </row>
    <row r="590">
      <c r="A590" s="777"/>
      <c r="B590" s="777"/>
      <c r="C590" s="777"/>
      <c r="D590" s="778"/>
      <c r="E590" s="778"/>
      <c r="F590" s="778"/>
      <c r="G590" s="778"/>
      <c r="H590" s="778"/>
      <c r="I590" s="778"/>
      <c r="J590" s="778"/>
      <c r="K590" s="778"/>
      <c r="L590" s="778"/>
      <c r="M590" s="778"/>
      <c r="N590" s="778"/>
      <c r="O590" s="778"/>
      <c r="P590" s="778"/>
      <c r="Q590" s="778"/>
      <c r="R590" s="778"/>
      <c r="S590" s="778"/>
      <c r="T590" s="778"/>
      <c r="U590" s="778"/>
      <c r="V590" s="778"/>
      <c r="W590" s="778"/>
      <c r="X590" s="778"/>
      <c r="Y590" s="778"/>
      <c r="Z590" s="778"/>
    </row>
    <row r="591">
      <c r="A591" s="777"/>
      <c r="B591" s="777"/>
      <c r="C591" s="777"/>
      <c r="D591" s="778"/>
      <c r="E591" s="778"/>
      <c r="F591" s="778"/>
      <c r="G591" s="778"/>
      <c r="H591" s="778"/>
      <c r="I591" s="778"/>
      <c r="J591" s="778"/>
      <c r="K591" s="778"/>
      <c r="L591" s="778"/>
      <c r="M591" s="778"/>
      <c r="N591" s="778"/>
      <c r="O591" s="778"/>
      <c r="P591" s="778"/>
      <c r="Q591" s="778"/>
      <c r="R591" s="778"/>
      <c r="S591" s="778"/>
      <c r="T591" s="778"/>
      <c r="U591" s="778"/>
      <c r="V591" s="778"/>
      <c r="W591" s="778"/>
      <c r="X591" s="778"/>
      <c r="Y591" s="778"/>
      <c r="Z591" s="778"/>
    </row>
    <row r="592">
      <c r="A592" s="777"/>
      <c r="B592" s="777"/>
      <c r="C592" s="777"/>
      <c r="D592" s="778"/>
      <c r="E592" s="778"/>
      <c r="F592" s="778"/>
      <c r="G592" s="778"/>
      <c r="H592" s="778"/>
      <c r="I592" s="778"/>
      <c r="J592" s="778"/>
      <c r="K592" s="778"/>
      <c r="L592" s="778"/>
      <c r="M592" s="778"/>
      <c r="N592" s="778"/>
      <c r="O592" s="778"/>
      <c r="P592" s="778"/>
      <c r="Q592" s="778"/>
      <c r="R592" s="778"/>
      <c r="S592" s="778"/>
      <c r="T592" s="778"/>
      <c r="U592" s="778"/>
      <c r="V592" s="778"/>
      <c r="W592" s="778"/>
      <c r="X592" s="778"/>
      <c r="Y592" s="778"/>
      <c r="Z592" s="778"/>
    </row>
    <row r="593">
      <c r="A593" s="777"/>
      <c r="B593" s="777"/>
      <c r="C593" s="777"/>
      <c r="D593" s="778"/>
      <c r="E593" s="778"/>
      <c r="F593" s="778"/>
      <c r="G593" s="778"/>
      <c r="H593" s="778"/>
      <c r="I593" s="778"/>
      <c r="J593" s="778"/>
      <c r="K593" s="778"/>
      <c r="L593" s="778"/>
      <c r="M593" s="778"/>
      <c r="N593" s="778"/>
      <c r="O593" s="778"/>
      <c r="P593" s="778"/>
      <c r="Q593" s="778"/>
      <c r="R593" s="778"/>
      <c r="S593" s="778"/>
      <c r="T593" s="778"/>
      <c r="U593" s="778"/>
      <c r="V593" s="778"/>
      <c r="W593" s="778"/>
      <c r="X593" s="778"/>
      <c r="Y593" s="778"/>
      <c r="Z593" s="778"/>
    </row>
    <row r="594">
      <c r="A594" s="777"/>
      <c r="B594" s="777"/>
      <c r="C594" s="777"/>
      <c r="D594" s="778"/>
      <c r="E594" s="778"/>
      <c r="F594" s="778"/>
      <c r="G594" s="778"/>
      <c r="H594" s="778"/>
      <c r="I594" s="778"/>
      <c r="J594" s="778"/>
      <c r="K594" s="778"/>
      <c r="L594" s="778"/>
      <c r="M594" s="778"/>
      <c r="N594" s="778"/>
      <c r="O594" s="778"/>
      <c r="P594" s="778"/>
      <c r="Q594" s="778"/>
      <c r="R594" s="778"/>
      <c r="S594" s="778"/>
      <c r="T594" s="778"/>
      <c r="U594" s="778"/>
      <c r="V594" s="778"/>
      <c r="W594" s="778"/>
      <c r="X594" s="778"/>
      <c r="Y594" s="778"/>
      <c r="Z594" s="778"/>
    </row>
    <row r="595">
      <c r="A595" s="777"/>
      <c r="B595" s="777"/>
      <c r="C595" s="777"/>
      <c r="D595" s="778"/>
      <c r="E595" s="778"/>
      <c r="F595" s="778"/>
      <c r="G595" s="778"/>
      <c r="H595" s="778"/>
      <c r="I595" s="778"/>
      <c r="J595" s="778"/>
      <c r="K595" s="778"/>
      <c r="L595" s="778"/>
      <c r="M595" s="778"/>
      <c r="N595" s="778"/>
      <c r="O595" s="778"/>
      <c r="P595" s="778"/>
      <c r="Q595" s="778"/>
      <c r="R595" s="778"/>
      <c r="S595" s="778"/>
      <c r="T595" s="778"/>
      <c r="U595" s="778"/>
      <c r="V595" s="778"/>
      <c r="W595" s="778"/>
      <c r="X595" s="778"/>
      <c r="Y595" s="778"/>
      <c r="Z595" s="778"/>
    </row>
    <row r="596">
      <c r="A596" s="777"/>
      <c r="B596" s="777"/>
      <c r="C596" s="777"/>
      <c r="D596" s="778"/>
      <c r="E596" s="778"/>
      <c r="F596" s="778"/>
      <c r="G596" s="778"/>
      <c r="H596" s="778"/>
      <c r="I596" s="778"/>
      <c r="J596" s="778"/>
      <c r="K596" s="778"/>
      <c r="L596" s="778"/>
      <c r="M596" s="778"/>
      <c r="N596" s="778"/>
      <c r="O596" s="778"/>
      <c r="P596" s="778"/>
      <c r="Q596" s="778"/>
      <c r="R596" s="778"/>
      <c r="S596" s="778"/>
      <c r="T596" s="778"/>
      <c r="U596" s="778"/>
      <c r="V596" s="778"/>
      <c r="W596" s="778"/>
      <c r="X596" s="778"/>
      <c r="Y596" s="778"/>
      <c r="Z596" s="778"/>
    </row>
    <row r="597">
      <c r="A597" s="777"/>
      <c r="B597" s="777"/>
      <c r="C597" s="777"/>
      <c r="D597" s="778"/>
      <c r="E597" s="778"/>
      <c r="F597" s="778"/>
      <c r="G597" s="778"/>
      <c r="H597" s="778"/>
      <c r="I597" s="778"/>
      <c r="J597" s="778"/>
      <c r="K597" s="778"/>
      <c r="L597" s="778"/>
      <c r="M597" s="778"/>
      <c r="N597" s="778"/>
      <c r="O597" s="778"/>
      <c r="P597" s="778"/>
      <c r="Q597" s="778"/>
      <c r="R597" s="778"/>
      <c r="S597" s="778"/>
      <c r="T597" s="778"/>
      <c r="U597" s="778"/>
      <c r="V597" s="778"/>
      <c r="W597" s="778"/>
      <c r="X597" s="778"/>
      <c r="Y597" s="778"/>
      <c r="Z597" s="778"/>
    </row>
    <row r="598">
      <c r="A598" s="777"/>
      <c r="B598" s="777"/>
      <c r="C598" s="777"/>
      <c r="D598" s="778"/>
      <c r="E598" s="778"/>
      <c r="F598" s="778"/>
      <c r="G598" s="778"/>
      <c r="H598" s="778"/>
      <c r="I598" s="778"/>
      <c r="J598" s="778"/>
      <c r="K598" s="778"/>
      <c r="L598" s="778"/>
      <c r="M598" s="778"/>
      <c r="N598" s="778"/>
      <c r="O598" s="778"/>
      <c r="P598" s="778"/>
      <c r="Q598" s="778"/>
      <c r="R598" s="778"/>
      <c r="S598" s="778"/>
      <c r="T598" s="778"/>
      <c r="U598" s="778"/>
      <c r="V598" s="778"/>
      <c r="W598" s="778"/>
      <c r="X598" s="778"/>
      <c r="Y598" s="778"/>
      <c r="Z598" s="778"/>
    </row>
    <row r="599">
      <c r="A599" s="777"/>
      <c r="B599" s="777"/>
      <c r="C599" s="777"/>
      <c r="D599" s="778"/>
      <c r="E599" s="778"/>
      <c r="F599" s="778"/>
      <c r="G599" s="778"/>
      <c r="H599" s="778"/>
      <c r="I599" s="778"/>
      <c r="J599" s="778"/>
      <c r="K599" s="778"/>
      <c r="L599" s="778"/>
      <c r="M599" s="778"/>
      <c r="N599" s="778"/>
      <c r="O599" s="778"/>
      <c r="P599" s="778"/>
      <c r="Q599" s="778"/>
      <c r="R599" s="778"/>
      <c r="S599" s="778"/>
      <c r="T599" s="778"/>
      <c r="U599" s="778"/>
      <c r="V599" s="778"/>
      <c r="W599" s="778"/>
      <c r="X599" s="778"/>
      <c r="Y599" s="778"/>
      <c r="Z599" s="778"/>
    </row>
    <row r="600">
      <c r="A600" s="777"/>
      <c r="B600" s="777"/>
      <c r="C600" s="777"/>
      <c r="D600" s="778"/>
      <c r="E600" s="778"/>
      <c r="F600" s="778"/>
      <c r="G600" s="778"/>
      <c r="H600" s="778"/>
      <c r="I600" s="778"/>
      <c r="J600" s="778"/>
      <c r="K600" s="778"/>
      <c r="L600" s="778"/>
      <c r="M600" s="778"/>
      <c r="N600" s="778"/>
      <c r="O600" s="778"/>
      <c r="P600" s="778"/>
      <c r="Q600" s="778"/>
      <c r="R600" s="778"/>
      <c r="S600" s="778"/>
      <c r="T600" s="778"/>
      <c r="U600" s="778"/>
      <c r="V600" s="778"/>
      <c r="W600" s="778"/>
      <c r="X600" s="778"/>
      <c r="Y600" s="778"/>
      <c r="Z600" s="778"/>
    </row>
    <row r="601">
      <c r="A601" s="777"/>
      <c r="B601" s="777"/>
      <c r="C601" s="777"/>
      <c r="D601" s="778"/>
      <c r="E601" s="778"/>
      <c r="F601" s="778"/>
      <c r="G601" s="778"/>
      <c r="H601" s="778"/>
      <c r="I601" s="778"/>
      <c r="J601" s="778"/>
      <c r="K601" s="778"/>
      <c r="L601" s="778"/>
      <c r="M601" s="778"/>
      <c r="N601" s="778"/>
      <c r="O601" s="778"/>
      <c r="P601" s="778"/>
      <c r="Q601" s="778"/>
      <c r="R601" s="778"/>
      <c r="S601" s="778"/>
      <c r="T601" s="778"/>
      <c r="U601" s="778"/>
      <c r="V601" s="778"/>
      <c r="W601" s="778"/>
      <c r="X601" s="778"/>
      <c r="Y601" s="778"/>
      <c r="Z601" s="778"/>
    </row>
    <row r="602">
      <c r="A602" s="777"/>
      <c r="B602" s="777"/>
      <c r="C602" s="777"/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778"/>
      <c r="V602" s="778"/>
      <c r="W602" s="778"/>
      <c r="X602" s="778"/>
      <c r="Y602" s="778"/>
      <c r="Z602" s="778"/>
    </row>
    <row r="603">
      <c r="A603" s="777"/>
      <c r="B603" s="777"/>
      <c r="C603" s="777"/>
      <c r="D603" s="778"/>
      <c r="E603" s="778"/>
      <c r="F603" s="778"/>
      <c r="G603" s="778"/>
      <c r="H603" s="778"/>
      <c r="I603" s="778"/>
      <c r="J603" s="778"/>
      <c r="K603" s="778"/>
      <c r="L603" s="778"/>
      <c r="M603" s="778"/>
      <c r="N603" s="778"/>
      <c r="O603" s="778"/>
      <c r="P603" s="778"/>
      <c r="Q603" s="778"/>
      <c r="R603" s="778"/>
      <c r="S603" s="778"/>
      <c r="T603" s="778"/>
      <c r="U603" s="778"/>
      <c r="V603" s="778"/>
      <c r="W603" s="778"/>
      <c r="X603" s="778"/>
      <c r="Y603" s="778"/>
      <c r="Z603" s="778"/>
    </row>
    <row r="604">
      <c r="A604" s="777"/>
      <c r="B604" s="777"/>
      <c r="C604" s="777"/>
      <c r="D604" s="778"/>
      <c r="E604" s="778"/>
      <c r="F604" s="778"/>
      <c r="G604" s="778"/>
      <c r="H604" s="778"/>
      <c r="I604" s="778"/>
      <c r="J604" s="778"/>
      <c r="K604" s="778"/>
      <c r="L604" s="778"/>
      <c r="M604" s="778"/>
      <c r="N604" s="778"/>
      <c r="O604" s="778"/>
      <c r="P604" s="778"/>
      <c r="Q604" s="778"/>
      <c r="R604" s="778"/>
      <c r="S604" s="778"/>
      <c r="T604" s="778"/>
      <c r="U604" s="778"/>
      <c r="V604" s="778"/>
      <c r="W604" s="778"/>
      <c r="X604" s="778"/>
      <c r="Y604" s="778"/>
      <c r="Z604" s="778"/>
    </row>
    <row r="605">
      <c r="A605" s="777"/>
      <c r="B605" s="777"/>
      <c r="C605" s="777"/>
      <c r="D605" s="778"/>
      <c r="E605" s="778"/>
      <c r="F605" s="778"/>
      <c r="G605" s="778"/>
      <c r="H605" s="778"/>
      <c r="I605" s="778"/>
      <c r="J605" s="778"/>
      <c r="K605" s="778"/>
      <c r="L605" s="778"/>
      <c r="M605" s="778"/>
      <c r="N605" s="778"/>
      <c r="O605" s="778"/>
      <c r="P605" s="778"/>
      <c r="Q605" s="778"/>
      <c r="R605" s="778"/>
      <c r="S605" s="778"/>
      <c r="T605" s="778"/>
      <c r="U605" s="778"/>
      <c r="V605" s="778"/>
      <c r="W605" s="778"/>
      <c r="X605" s="778"/>
      <c r="Y605" s="778"/>
      <c r="Z605" s="778"/>
    </row>
    <row r="606">
      <c r="A606" s="777"/>
      <c r="B606" s="777"/>
      <c r="C606" s="777"/>
      <c r="D606" s="778"/>
      <c r="E606" s="778"/>
      <c r="F606" s="778"/>
      <c r="G606" s="778"/>
      <c r="H606" s="778"/>
      <c r="I606" s="778"/>
      <c r="J606" s="778"/>
      <c r="K606" s="778"/>
      <c r="L606" s="778"/>
      <c r="M606" s="778"/>
      <c r="N606" s="778"/>
      <c r="O606" s="778"/>
      <c r="P606" s="778"/>
      <c r="Q606" s="778"/>
      <c r="R606" s="778"/>
      <c r="S606" s="778"/>
      <c r="T606" s="778"/>
      <c r="U606" s="778"/>
      <c r="V606" s="778"/>
      <c r="W606" s="778"/>
      <c r="X606" s="778"/>
      <c r="Y606" s="778"/>
      <c r="Z606" s="778"/>
    </row>
    <row r="607">
      <c r="A607" s="777"/>
      <c r="B607" s="777"/>
      <c r="C607" s="777"/>
      <c r="D607" s="778"/>
      <c r="E607" s="778"/>
      <c r="F607" s="778"/>
      <c r="G607" s="778"/>
      <c r="H607" s="778"/>
      <c r="I607" s="778"/>
      <c r="J607" s="778"/>
      <c r="K607" s="778"/>
      <c r="L607" s="778"/>
      <c r="M607" s="778"/>
      <c r="N607" s="778"/>
      <c r="O607" s="778"/>
      <c r="P607" s="778"/>
      <c r="Q607" s="778"/>
      <c r="R607" s="778"/>
      <c r="S607" s="778"/>
      <c r="T607" s="778"/>
      <c r="U607" s="778"/>
      <c r="V607" s="778"/>
      <c r="W607" s="778"/>
      <c r="X607" s="778"/>
      <c r="Y607" s="778"/>
      <c r="Z607" s="778"/>
    </row>
    <row r="608">
      <c r="A608" s="777"/>
      <c r="B608" s="777"/>
      <c r="C608" s="777"/>
      <c r="D608" s="778"/>
      <c r="E608" s="778"/>
      <c r="F608" s="778"/>
      <c r="G608" s="778"/>
      <c r="H608" s="778"/>
      <c r="I608" s="778"/>
      <c r="J608" s="778"/>
      <c r="K608" s="778"/>
      <c r="L608" s="778"/>
      <c r="M608" s="778"/>
      <c r="N608" s="778"/>
      <c r="O608" s="778"/>
      <c r="P608" s="778"/>
      <c r="Q608" s="778"/>
      <c r="R608" s="778"/>
      <c r="S608" s="778"/>
      <c r="T608" s="778"/>
      <c r="U608" s="778"/>
      <c r="V608" s="778"/>
      <c r="W608" s="778"/>
      <c r="X608" s="778"/>
      <c r="Y608" s="778"/>
      <c r="Z608" s="778"/>
    </row>
    <row r="609">
      <c r="A609" s="777"/>
      <c r="B609" s="777"/>
      <c r="C609" s="777"/>
      <c r="D609" s="778"/>
      <c r="E609" s="778"/>
      <c r="F609" s="778"/>
      <c r="G609" s="778"/>
      <c r="H609" s="778"/>
      <c r="I609" s="778"/>
      <c r="J609" s="778"/>
      <c r="K609" s="778"/>
      <c r="L609" s="778"/>
      <c r="M609" s="778"/>
      <c r="N609" s="778"/>
      <c r="O609" s="778"/>
      <c r="P609" s="778"/>
      <c r="Q609" s="778"/>
      <c r="R609" s="778"/>
      <c r="S609" s="778"/>
      <c r="T609" s="778"/>
      <c r="U609" s="778"/>
      <c r="V609" s="778"/>
      <c r="W609" s="778"/>
      <c r="X609" s="778"/>
      <c r="Y609" s="778"/>
      <c r="Z609" s="778"/>
    </row>
    <row r="610">
      <c r="A610" s="777"/>
      <c r="B610" s="777"/>
      <c r="C610" s="777"/>
      <c r="D610" s="778"/>
      <c r="E610" s="778"/>
      <c r="F610" s="778"/>
      <c r="G610" s="778"/>
      <c r="H610" s="778"/>
      <c r="I610" s="778"/>
      <c r="J610" s="778"/>
      <c r="K610" s="778"/>
      <c r="L610" s="778"/>
      <c r="M610" s="778"/>
      <c r="N610" s="778"/>
      <c r="O610" s="778"/>
      <c r="P610" s="778"/>
      <c r="Q610" s="778"/>
      <c r="R610" s="778"/>
      <c r="S610" s="778"/>
      <c r="T610" s="778"/>
      <c r="U610" s="778"/>
      <c r="V610" s="778"/>
      <c r="W610" s="778"/>
      <c r="X610" s="778"/>
      <c r="Y610" s="778"/>
      <c r="Z610" s="778"/>
    </row>
    <row r="611">
      <c r="A611" s="777"/>
      <c r="B611" s="777"/>
      <c r="C611" s="777"/>
      <c r="D611" s="778"/>
      <c r="E611" s="778"/>
      <c r="F611" s="778"/>
      <c r="G611" s="778"/>
      <c r="H611" s="778"/>
      <c r="I611" s="778"/>
      <c r="J611" s="778"/>
      <c r="K611" s="778"/>
      <c r="L611" s="778"/>
      <c r="M611" s="778"/>
      <c r="N611" s="778"/>
      <c r="O611" s="778"/>
      <c r="P611" s="778"/>
      <c r="Q611" s="778"/>
      <c r="R611" s="778"/>
      <c r="S611" s="778"/>
      <c r="T611" s="778"/>
      <c r="U611" s="778"/>
      <c r="V611" s="778"/>
      <c r="W611" s="778"/>
      <c r="X611" s="778"/>
      <c r="Y611" s="778"/>
      <c r="Z611" s="778"/>
    </row>
    <row r="612">
      <c r="A612" s="777"/>
      <c r="B612" s="777"/>
      <c r="C612" s="777"/>
      <c r="D612" s="778"/>
      <c r="E612" s="778"/>
      <c r="F612" s="778"/>
      <c r="G612" s="778"/>
      <c r="H612" s="778"/>
      <c r="I612" s="778"/>
      <c r="J612" s="778"/>
      <c r="K612" s="778"/>
      <c r="L612" s="778"/>
      <c r="M612" s="778"/>
      <c r="N612" s="778"/>
      <c r="O612" s="778"/>
      <c r="P612" s="778"/>
      <c r="Q612" s="778"/>
      <c r="R612" s="778"/>
      <c r="S612" s="778"/>
      <c r="T612" s="778"/>
      <c r="U612" s="778"/>
      <c r="V612" s="778"/>
      <c r="W612" s="778"/>
      <c r="X612" s="778"/>
      <c r="Y612" s="778"/>
      <c r="Z612" s="778"/>
    </row>
    <row r="613">
      <c r="A613" s="777"/>
      <c r="B613" s="777"/>
      <c r="C613" s="777"/>
      <c r="D613" s="778"/>
      <c r="E613" s="778"/>
      <c r="F613" s="778"/>
      <c r="G613" s="778"/>
      <c r="H613" s="778"/>
      <c r="I613" s="778"/>
      <c r="J613" s="778"/>
      <c r="K613" s="778"/>
      <c r="L613" s="778"/>
      <c r="M613" s="778"/>
      <c r="N613" s="778"/>
      <c r="O613" s="778"/>
      <c r="P613" s="778"/>
      <c r="Q613" s="778"/>
      <c r="R613" s="778"/>
      <c r="S613" s="778"/>
      <c r="T613" s="778"/>
      <c r="U613" s="778"/>
      <c r="V613" s="778"/>
      <c r="W613" s="778"/>
      <c r="X613" s="778"/>
      <c r="Y613" s="778"/>
      <c r="Z613" s="778"/>
    </row>
    <row r="614">
      <c r="A614" s="777"/>
      <c r="B614" s="777"/>
      <c r="C614" s="777"/>
      <c r="D614" s="778"/>
      <c r="E614" s="778"/>
      <c r="F614" s="778"/>
      <c r="G614" s="778"/>
      <c r="H614" s="778"/>
      <c r="I614" s="778"/>
      <c r="J614" s="778"/>
      <c r="K614" s="778"/>
      <c r="L614" s="778"/>
      <c r="M614" s="778"/>
      <c r="N614" s="778"/>
      <c r="O614" s="778"/>
      <c r="P614" s="778"/>
      <c r="Q614" s="778"/>
      <c r="R614" s="778"/>
      <c r="S614" s="778"/>
      <c r="T614" s="778"/>
      <c r="U614" s="778"/>
      <c r="V614" s="778"/>
      <c r="W614" s="778"/>
      <c r="X614" s="778"/>
      <c r="Y614" s="778"/>
      <c r="Z614" s="778"/>
    </row>
    <row r="615">
      <c r="A615" s="777"/>
      <c r="B615" s="777"/>
      <c r="C615" s="777"/>
      <c r="D615" s="778"/>
      <c r="E615" s="778"/>
      <c r="F615" s="778"/>
      <c r="G615" s="778"/>
      <c r="H615" s="778"/>
      <c r="I615" s="778"/>
      <c r="J615" s="778"/>
      <c r="K615" s="778"/>
      <c r="L615" s="778"/>
      <c r="M615" s="778"/>
      <c r="N615" s="778"/>
      <c r="O615" s="778"/>
      <c r="P615" s="778"/>
      <c r="Q615" s="778"/>
      <c r="R615" s="778"/>
      <c r="S615" s="778"/>
      <c r="T615" s="778"/>
      <c r="U615" s="778"/>
      <c r="V615" s="778"/>
      <c r="W615" s="778"/>
      <c r="X615" s="778"/>
      <c r="Y615" s="778"/>
      <c r="Z615" s="778"/>
    </row>
    <row r="616">
      <c r="A616" s="777"/>
      <c r="B616" s="777"/>
      <c r="C616" s="777"/>
      <c r="D616" s="778"/>
      <c r="E616" s="778"/>
      <c r="F616" s="778"/>
      <c r="G616" s="778"/>
      <c r="H616" s="778"/>
      <c r="I616" s="778"/>
      <c r="J616" s="778"/>
      <c r="K616" s="778"/>
      <c r="L616" s="778"/>
      <c r="M616" s="778"/>
      <c r="N616" s="778"/>
      <c r="O616" s="778"/>
      <c r="P616" s="778"/>
      <c r="Q616" s="778"/>
      <c r="R616" s="778"/>
      <c r="S616" s="778"/>
      <c r="T616" s="778"/>
      <c r="U616" s="778"/>
      <c r="V616" s="778"/>
      <c r="W616" s="778"/>
      <c r="X616" s="778"/>
      <c r="Y616" s="778"/>
      <c r="Z616" s="778"/>
    </row>
    <row r="617">
      <c r="A617" s="777"/>
      <c r="B617" s="777"/>
      <c r="C617" s="777"/>
      <c r="D617" s="778"/>
      <c r="E617" s="778"/>
      <c r="F617" s="778"/>
      <c r="G617" s="778"/>
      <c r="H617" s="778"/>
      <c r="I617" s="778"/>
      <c r="J617" s="778"/>
      <c r="K617" s="778"/>
      <c r="L617" s="778"/>
      <c r="M617" s="778"/>
      <c r="N617" s="778"/>
      <c r="O617" s="778"/>
      <c r="P617" s="778"/>
      <c r="Q617" s="778"/>
      <c r="R617" s="778"/>
      <c r="S617" s="778"/>
      <c r="T617" s="778"/>
      <c r="U617" s="778"/>
      <c r="V617" s="778"/>
      <c r="W617" s="778"/>
      <c r="X617" s="778"/>
      <c r="Y617" s="778"/>
      <c r="Z617" s="778"/>
    </row>
    <row r="618">
      <c r="A618" s="777"/>
      <c r="B618" s="777"/>
      <c r="C618" s="777"/>
      <c r="D618" s="778"/>
      <c r="E618" s="778"/>
      <c r="F618" s="778"/>
      <c r="G618" s="778"/>
      <c r="H618" s="778"/>
      <c r="I618" s="778"/>
      <c r="J618" s="778"/>
      <c r="K618" s="778"/>
      <c r="L618" s="778"/>
      <c r="M618" s="778"/>
      <c r="N618" s="778"/>
      <c r="O618" s="778"/>
      <c r="P618" s="778"/>
      <c r="Q618" s="778"/>
      <c r="R618" s="778"/>
      <c r="S618" s="778"/>
      <c r="T618" s="778"/>
      <c r="U618" s="778"/>
      <c r="V618" s="778"/>
      <c r="W618" s="778"/>
      <c r="X618" s="778"/>
      <c r="Y618" s="778"/>
      <c r="Z618" s="778"/>
    </row>
    <row r="619">
      <c r="A619" s="777"/>
      <c r="B619" s="777"/>
      <c r="C619" s="777"/>
      <c r="D619" s="778"/>
      <c r="E619" s="778"/>
      <c r="F619" s="778"/>
      <c r="G619" s="778"/>
      <c r="H619" s="778"/>
      <c r="I619" s="778"/>
      <c r="J619" s="778"/>
      <c r="K619" s="778"/>
      <c r="L619" s="778"/>
      <c r="M619" s="778"/>
      <c r="N619" s="778"/>
      <c r="O619" s="778"/>
      <c r="P619" s="778"/>
      <c r="Q619" s="778"/>
      <c r="R619" s="778"/>
      <c r="S619" s="778"/>
      <c r="T619" s="778"/>
      <c r="U619" s="778"/>
      <c r="V619" s="778"/>
      <c r="W619" s="778"/>
      <c r="X619" s="778"/>
      <c r="Y619" s="778"/>
      <c r="Z619" s="778"/>
    </row>
    <row r="620">
      <c r="A620" s="777"/>
      <c r="B620" s="777"/>
      <c r="C620" s="777"/>
      <c r="D620" s="778"/>
      <c r="E620" s="778"/>
      <c r="F620" s="778"/>
      <c r="G620" s="778"/>
      <c r="H620" s="778"/>
      <c r="I620" s="778"/>
      <c r="J620" s="778"/>
      <c r="K620" s="778"/>
      <c r="L620" s="778"/>
      <c r="M620" s="778"/>
      <c r="N620" s="778"/>
      <c r="O620" s="778"/>
      <c r="P620" s="778"/>
      <c r="Q620" s="778"/>
      <c r="R620" s="778"/>
      <c r="S620" s="778"/>
      <c r="T620" s="778"/>
      <c r="U620" s="778"/>
      <c r="V620" s="778"/>
      <c r="W620" s="778"/>
      <c r="X620" s="778"/>
      <c r="Y620" s="778"/>
      <c r="Z620" s="778"/>
    </row>
    <row r="621">
      <c r="A621" s="777"/>
      <c r="B621" s="777"/>
      <c r="C621" s="777"/>
      <c r="D621" s="778"/>
      <c r="E621" s="778"/>
      <c r="F621" s="778"/>
      <c r="G621" s="778"/>
      <c r="H621" s="778"/>
      <c r="I621" s="778"/>
      <c r="J621" s="778"/>
      <c r="K621" s="778"/>
      <c r="L621" s="778"/>
      <c r="M621" s="778"/>
      <c r="N621" s="778"/>
      <c r="O621" s="778"/>
      <c r="P621" s="778"/>
      <c r="Q621" s="778"/>
      <c r="R621" s="778"/>
      <c r="S621" s="778"/>
      <c r="T621" s="778"/>
      <c r="U621" s="778"/>
      <c r="V621" s="778"/>
      <c r="W621" s="778"/>
      <c r="X621" s="778"/>
      <c r="Y621" s="778"/>
      <c r="Z621" s="778"/>
    </row>
    <row r="622">
      <c r="A622" s="777"/>
      <c r="B622" s="777"/>
      <c r="C622" s="777"/>
      <c r="D622" s="778"/>
      <c r="E622" s="778"/>
      <c r="F622" s="778"/>
      <c r="G622" s="778"/>
      <c r="H622" s="778"/>
      <c r="I622" s="778"/>
      <c r="J622" s="778"/>
      <c r="K622" s="778"/>
      <c r="L622" s="778"/>
      <c r="M622" s="778"/>
      <c r="N622" s="778"/>
      <c r="O622" s="778"/>
      <c r="P622" s="778"/>
      <c r="Q622" s="778"/>
      <c r="R622" s="778"/>
      <c r="S622" s="778"/>
      <c r="T622" s="778"/>
      <c r="U622" s="778"/>
      <c r="V622" s="778"/>
      <c r="W622" s="778"/>
      <c r="X622" s="778"/>
      <c r="Y622" s="778"/>
      <c r="Z622" s="778"/>
    </row>
    <row r="623">
      <c r="A623" s="777"/>
      <c r="B623" s="777"/>
      <c r="C623" s="777"/>
      <c r="D623" s="778"/>
      <c r="E623" s="778"/>
      <c r="F623" s="778"/>
      <c r="G623" s="778"/>
      <c r="H623" s="778"/>
      <c r="I623" s="778"/>
      <c r="J623" s="778"/>
      <c r="K623" s="778"/>
      <c r="L623" s="778"/>
      <c r="M623" s="778"/>
      <c r="N623" s="778"/>
      <c r="O623" s="778"/>
      <c r="P623" s="778"/>
      <c r="Q623" s="778"/>
      <c r="R623" s="778"/>
      <c r="S623" s="778"/>
      <c r="T623" s="778"/>
      <c r="U623" s="778"/>
      <c r="V623" s="778"/>
      <c r="W623" s="778"/>
      <c r="X623" s="778"/>
      <c r="Y623" s="778"/>
      <c r="Z623" s="778"/>
    </row>
    <row r="624">
      <c r="A624" s="777"/>
      <c r="B624" s="777"/>
      <c r="C624" s="777"/>
      <c r="D624" s="778"/>
      <c r="E624" s="778"/>
      <c r="F624" s="778"/>
      <c r="G624" s="778"/>
      <c r="H624" s="778"/>
      <c r="I624" s="778"/>
      <c r="J624" s="778"/>
      <c r="K624" s="778"/>
      <c r="L624" s="778"/>
      <c r="M624" s="778"/>
      <c r="N624" s="778"/>
      <c r="O624" s="778"/>
      <c r="P624" s="778"/>
      <c r="Q624" s="778"/>
      <c r="R624" s="778"/>
      <c r="S624" s="778"/>
      <c r="T624" s="778"/>
      <c r="U624" s="778"/>
      <c r="V624" s="778"/>
      <c r="W624" s="778"/>
      <c r="X624" s="778"/>
      <c r="Y624" s="778"/>
      <c r="Z624" s="778"/>
    </row>
    <row r="625">
      <c r="A625" s="777"/>
      <c r="B625" s="777"/>
      <c r="C625" s="777"/>
      <c r="D625" s="778"/>
      <c r="E625" s="778"/>
      <c r="F625" s="778"/>
      <c r="G625" s="778"/>
      <c r="H625" s="778"/>
      <c r="I625" s="778"/>
      <c r="J625" s="778"/>
      <c r="K625" s="778"/>
      <c r="L625" s="778"/>
      <c r="M625" s="778"/>
      <c r="N625" s="778"/>
      <c r="O625" s="778"/>
      <c r="P625" s="778"/>
      <c r="Q625" s="778"/>
      <c r="R625" s="778"/>
      <c r="S625" s="778"/>
      <c r="T625" s="778"/>
      <c r="U625" s="778"/>
      <c r="V625" s="778"/>
      <c r="W625" s="778"/>
      <c r="X625" s="778"/>
      <c r="Y625" s="778"/>
      <c r="Z625" s="778"/>
    </row>
    <row r="626">
      <c r="A626" s="777"/>
      <c r="B626" s="777"/>
      <c r="C626" s="777"/>
      <c r="D626" s="778"/>
      <c r="E626" s="778"/>
      <c r="F626" s="778"/>
      <c r="G626" s="778"/>
      <c r="H626" s="778"/>
      <c r="I626" s="778"/>
      <c r="J626" s="778"/>
      <c r="K626" s="778"/>
      <c r="L626" s="778"/>
      <c r="M626" s="778"/>
      <c r="N626" s="778"/>
      <c r="O626" s="778"/>
      <c r="P626" s="778"/>
      <c r="Q626" s="778"/>
      <c r="R626" s="778"/>
      <c r="S626" s="778"/>
      <c r="T626" s="778"/>
      <c r="U626" s="778"/>
      <c r="V626" s="778"/>
      <c r="W626" s="778"/>
      <c r="X626" s="778"/>
      <c r="Y626" s="778"/>
      <c r="Z626" s="778"/>
    </row>
    <row r="627">
      <c r="A627" s="777"/>
      <c r="B627" s="777"/>
      <c r="C627" s="777"/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778"/>
      <c r="V627" s="778"/>
      <c r="W627" s="778"/>
      <c r="X627" s="778"/>
      <c r="Y627" s="778"/>
      <c r="Z627" s="778"/>
    </row>
    <row r="628">
      <c r="A628" s="777"/>
      <c r="B628" s="777"/>
      <c r="C628" s="777"/>
      <c r="D628" s="778"/>
      <c r="E628" s="778"/>
      <c r="F628" s="778"/>
      <c r="G628" s="778"/>
      <c r="H628" s="778"/>
      <c r="I628" s="778"/>
      <c r="J628" s="778"/>
      <c r="K628" s="778"/>
      <c r="L628" s="778"/>
      <c r="M628" s="778"/>
      <c r="N628" s="778"/>
      <c r="O628" s="778"/>
      <c r="P628" s="778"/>
      <c r="Q628" s="778"/>
      <c r="R628" s="778"/>
      <c r="S628" s="778"/>
      <c r="T628" s="778"/>
      <c r="U628" s="778"/>
      <c r="V628" s="778"/>
      <c r="W628" s="778"/>
      <c r="X628" s="778"/>
      <c r="Y628" s="778"/>
      <c r="Z628" s="778"/>
    </row>
    <row r="629">
      <c r="A629" s="777"/>
      <c r="B629" s="777"/>
      <c r="C629" s="777"/>
      <c r="D629" s="778"/>
      <c r="E629" s="778"/>
      <c r="F629" s="778"/>
      <c r="G629" s="778"/>
      <c r="H629" s="778"/>
      <c r="I629" s="778"/>
      <c r="J629" s="778"/>
      <c r="K629" s="778"/>
      <c r="L629" s="778"/>
      <c r="M629" s="778"/>
      <c r="N629" s="778"/>
      <c r="O629" s="778"/>
      <c r="P629" s="778"/>
      <c r="Q629" s="778"/>
      <c r="R629" s="778"/>
      <c r="S629" s="778"/>
      <c r="T629" s="778"/>
      <c r="U629" s="778"/>
      <c r="V629" s="778"/>
      <c r="W629" s="778"/>
      <c r="X629" s="778"/>
      <c r="Y629" s="778"/>
      <c r="Z629" s="778"/>
    </row>
    <row r="630">
      <c r="A630" s="777"/>
      <c r="B630" s="777"/>
      <c r="C630" s="777"/>
      <c r="D630" s="778"/>
      <c r="E630" s="778"/>
      <c r="F630" s="778"/>
      <c r="G630" s="778"/>
      <c r="H630" s="778"/>
      <c r="I630" s="778"/>
      <c r="J630" s="778"/>
      <c r="K630" s="778"/>
      <c r="L630" s="778"/>
      <c r="M630" s="778"/>
      <c r="N630" s="778"/>
      <c r="O630" s="778"/>
      <c r="P630" s="778"/>
      <c r="Q630" s="778"/>
      <c r="R630" s="778"/>
      <c r="S630" s="778"/>
      <c r="T630" s="778"/>
      <c r="U630" s="778"/>
      <c r="V630" s="778"/>
      <c r="W630" s="778"/>
      <c r="X630" s="778"/>
      <c r="Y630" s="778"/>
      <c r="Z630" s="778"/>
    </row>
    <row r="631">
      <c r="A631" s="777"/>
      <c r="B631" s="777"/>
      <c r="C631" s="777"/>
      <c r="D631" s="778"/>
      <c r="E631" s="778"/>
      <c r="F631" s="778"/>
      <c r="G631" s="778"/>
      <c r="H631" s="778"/>
      <c r="I631" s="778"/>
      <c r="J631" s="778"/>
      <c r="K631" s="778"/>
      <c r="L631" s="778"/>
      <c r="M631" s="778"/>
      <c r="N631" s="778"/>
      <c r="O631" s="778"/>
      <c r="P631" s="778"/>
      <c r="Q631" s="778"/>
      <c r="R631" s="778"/>
      <c r="S631" s="778"/>
      <c r="T631" s="778"/>
      <c r="U631" s="778"/>
      <c r="V631" s="778"/>
      <c r="W631" s="778"/>
      <c r="X631" s="778"/>
      <c r="Y631" s="778"/>
      <c r="Z631" s="778"/>
    </row>
    <row r="632">
      <c r="A632" s="777"/>
      <c r="B632" s="777"/>
      <c r="C632" s="777"/>
      <c r="D632" s="778"/>
      <c r="E632" s="778"/>
      <c r="F632" s="778"/>
      <c r="G632" s="778"/>
      <c r="H632" s="778"/>
      <c r="I632" s="778"/>
      <c r="J632" s="778"/>
      <c r="K632" s="778"/>
      <c r="L632" s="778"/>
      <c r="M632" s="778"/>
      <c r="N632" s="778"/>
      <c r="O632" s="778"/>
      <c r="P632" s="778"/>
      <c r="Q632" s="778"/>
      <c r="R632" s="778"/>
      <c r="S632" s="778"/>
      <c r="T632" s="778"/>
      <c r="U632" s="778"/>
      <c r="V632" s="778"/>
      <c r="W632" s="778"/>
      <c r="X632" s="778"/>
      <c r="Y632" s="778"/>
      <c r="Z632" s="778"/>
    </row>
    <row r="633">
      <c r="A633" s="777"/>
      <c r="B633" s="777"/>
      <c r="C633" s="777"/>
      <c r="D633" s="778"/>
      <c r="E633" s="778"/>
      <c r="F633" s="778"/>
      <c r="G633" s="778"/>
      <c r="H633" s="778"/>
      <c r="I633" s="778"/>
      <c r="J633" s="778"/>
      <c r="K633" s="778"/>
      <c r="L633" s="778"/>
      <c r="M633" s="778"/>
      <c r="N633" s="778"/>
      <c r="O633" s="778"/>
      <c r="P633" s="778"/>
      <c r="Q633" s="778"/>
      <c r="R633" s="778"/>
      <c r="S633" s="778"/>
      <c r="T633" s="778"/>
      <c r="U633" s="778"/>
      <c r="V633" s="778"/>
      <c r="W633" s="778"/>
      <c r="X633" s="778"/>
      <c r="Y633" s="778"/>
      <c r="Z633" s="778"/>
    </row>
    <row r="634">
      <c r="A634" s="777"/>
      <c r="B634" s="777"/>
      <c r="C634" s="777"/>
      <c r="D634" s="778"/>
      <c r="E634" s="778"/>
      <c r="F634" s="778"/>
      <c r="G634" s="778"/>
      <c r="H634" s="778"/>
      <c r="I634" s="778"/>
      <c r="J634" s="778"/>
      <c r="K634" s="778"/>
      <c r="L634" s="778"/>
      <c r="M634" s="778"/>
      <c r="N634" s="778"/>
      <c r="O634" s="778"/>
      <c r="P634" s="778"/>
      <c r="Q634" s="778"/>
      <c r="R634" s="778"/>
      <c r="S634" s="778"/>
      <c r="T634" s="778"/>
      <c r="U634" s="778"/>
      <c r="V634" s="778"/>
      <c r="W634" s="778"/>
      <c r="X634" s="778"/>
      <c r="Y634" s="778"/>
      <c r="Z634" s="778"/>
    </row>
    <row r="635">
      <c r="A635" s="777"/>
      <c r="B635" s="777"/>
      <c r="C635" s="777"/>
      <c r="D635" s="778"/>
      <c r="E635" s="778"/>
      <c r="F635" s="778"/>
      <c r="G635" s="778"/>
      <c r="H635" s="778"/>
      <c r="I635" s="778"/>
      <c r="J635" s="778"/>
      <c r="K635" s="778"/>
      <c r="L635" s="778"/>
      <c r="M635" s="778"/>
      <c r="N635" s="778"/>
      <c r="O635" s="778"/>
      <c r="P635" s="778"/>
      <c r="Q635" s="778"/>
      <c r="R635" s="778"/>
      <c r="S635" s="778"/>
      <c r="T635" s="778"/>
      <c r="U635" s="778"/>
      <c r="V635" s="778"/>
      <c r="W635" s="778"/>
      <c r="X635" s="778"/>
      <c r="Y635" s="778"/>
      <c r="Z635" s="778"/>
    </row>
    <row r="636">
      <c r="A636" s="777"/>
      <c r="B636" s="777"/>
      <c r="C636" s="777"/>
      <c r="D636" s="778"/>
      <c r="E636" s="778"/>
      <c r="F636" s="778"/>
      <c r="G636" s="778"/>
      <c r="H636" s="778"/>
      <c r="I636" s="778"/>
      <c r="J636" s="778"/>
      <c r="K636" s="778"/>
      <c r="L636" s="778"/>
      <c r="M636" s="778"/>
      <c r="N636" s="778"/>
      <c r="O636" s="778"/>
      <c r="P636" s="778"/>
      <c r="Q636" s="778"/>
      <c r="R636" s="778"/>
      <c r="S636" s="778"/>
      <c r="T636" s="778"/>
      <c r="U636" s="778"/>
      <c r="V636" s="778"/>
      <c r="W636" s="778"/>
      <c r="X636" s="778"/>
      <c r="Y636" s="778"/>
      <c r="Z636" s="778"/>
    </row>
    <row r="637">
      <c r="A637" s="777"/>
      <c r="B637" s="777"/>
      <c r="C637" s="777"/>
      <c r="D637" s="778"/>
      <c r="E637" s="778"/>
      <c r="F637" s="778"/>
      <c r="G637" s="778"/>
      <c r="H637" s="778"/>
      <c r="I637" s="778"/>
      <c r="J637" s="778"/>
      <c r="K637" s="778"/>
      <c r="L637" s="778"/>
      <c r="M637" s="778"/>
      <c r="N637" s="778"/>
      <c r="O637" s="778"/>
      <c r="P637" s="778"/>
      <c r="Q637" s="778"/>
      <c r="R637" s="778"/>
      <c r="S637" s="778"/>
      <c r="T637" s="778"/>
      <c r="U637" s="778"/>
      <c r="V637" s="778"/>
      <c r="W637" s="778"/>
      <c r="X637" s="778"/>
      <c r="Y637" s="778"/>
      <c r="Z637" s="778"/>
    </row>
    <row r="638">
      <c r="A638" s="777"/>
      <c r="B638" s="777"/>
      <c r="C638" s="777"/>
      <c r="D638" s="778"/>
      <c r="E638" s="778"/>
      <c r="F638" s="778"/>
      <c r="G638" s="778"/>
      <c r="H638" s="778"/>
      <c r="I638" s="778"/>
      <c r="J638" s="778"/>
      <c r="K638" s="778"/>
      <c r="L638" s="778"/>
      <c r="M638" s="778"/>
      <c r="N638" s="778"/>
      <c r="O638" s="778"/>
      <c r="P638" s="778"/>
      <c r="Q638" s="778"/>
      <c r="R638" s="778"/>
      <c r="S638" s="778"/>
      <c r="T638" s="778"/>
      <c r="U638" s="778"/>
      <c r="V638" s="778"/>
      <c r="W638" s="778"/>
      <c r="X638" s="778"/>
      <c r="Y638" s="778"/>
      <c r="Z638" s="778"/>
    </row>
    <row r="639">
      <c r="A639" s="777"/>
      <c r="B639" s="777"/>
      <c r="C639" s="777"/>
      <c r="D639" s="778"/>
      <c r="E639" s="778"/>
      <c r="F639" s="778"/>
      <c r="G639" s="778"/>
      <c r="H639" s="778"/>
      <c r="I639" s="778"/>
      <c r="J639" s="778"/>
      <c r="K639" s="778"/>
      <c r="L639" s="778"/>
      <c r="M639" s="778"/>
      <c r="N639" s="778"/>
      <c r="O639" s="778"/>
      <c r="P639" s="778"/>
      <c r="Q639" s="778"/>
      <c r="R639" s="778"/>
      <c r="S639" s="778"/>
      <c r="T639" s="778"/>
      <c r="U639" s="778"/>
      <c r="V639" s="778"/>
      <c r="W639" s="778"/>
      <c r="X639" s="778"/>
      <c r="Y639" s="778"/>
      <c r="Z639" s="778"/>
    </row>
    <row r="640">
      <c r="A640" s="777"/>
      <c r="B640" s="777"/>
      <c r="C640" s="777"/>
      <c r="D640" s="778"/>
      <c r="E640" s="778"/>
      <c r="F640" s="778"/>
      <c r="G640" s="778"/>
      <c r="H640" s="778"/>
      <c r="I640" s="778"/>
      <c r="J640" s="778"/>
      <c r="K640" s="778"/>
      <c r="L640" s="778"/>
      <c r="M640" s="778"/>
      <c r="N640" s="778"/>
      <c r="O640" s="778"/>
      <c r="P640" s="778"/>
      <c r="Q640" s="778"/>
      <c r="R640" s="778"/>
      <c r="S640" s="778"/>
      <c r="T640" s="778"/>
      <c r="U640" s="778"/>
      <c r="V640" s="778"/>
      <c r="W640" s="778"/>
      <c r="X640" s="778"/>
      <c r="Y640" s="778"/>
      <c r="Z640" s="778"/>
    </row>
    <row r="641">
      <c r="A641" s="777"/>
      <c r="B641" s="777"/>
      <c r="C641" s="777"/>
      <c r="D641" s="778"/>
      <c r="E641" s="778"/>
      <c r="F641" s="778"/>
      <c r="G641" s="778"/>
      <c r="H641" s="778"/>
      <c r="I641" s="778"/>
      <c r="J641" s="778"/>
      <c r="K641" s="778"/>
      <c r="L641" s="778"/>
      <c r="M641" s="778"/>
      <c r="N641" s="778"/>
      <c r="O641" s="778"/>
      <c r="P641" s="778"/>
      <c r="Q641" s="778"/>
      <c r="R641" s="778"/>
      <c r="S641" s="778"/>
      <c r="T641" s="778"/>
      <c r="U641" s="778"/>
      <c r="V641" s="778"/>
      <c r="W641" s="778"/>
      <c r="X641" s="778"/>
      <c r="Y641" s="778"/>
      <c r="Z641" s="778"/>
    </row>
    <row r="642">
      <c r="A642" s="777"/>
      <c r="B642" s="777"/>
      <c r="C642" s="777"/>
      <c r="D642" s="778"/>
      <c r="E642" s="778"/>
      <c r="F642" s="778"/>
      <c r="G642" s="778"/>
      <c r="H642" s="778"/>
      <c r="I642" s="778"/>
      <c r="J642" s="778"/>
      <c r="K642" s="778"/>
      <c r="L642" s="778"/>
      <c r="M642" s="778"/>
      <c r="N642" s="778"/>
      <c r="O642" s="778"/>
      <c r="P642" s="778"/>
      <c r="Q642" s="778"/>
      <c r="R642" s="778"/>
      <c r="S642" s="778"/>
      <c r="T642" s="778"/>
      <c r="U642" s="778"/>
      <c r="V642" s="778"/>
      <c r="W642" s="778"/>
      <c r="X642" s="778"/>
      <c r="Y642" s="778"/>
      <c r="Z642" s="778"/>
    </row>
    <row r="643">
      <c r="A643" s="777"/>
      <c r="B643" s="777"/>
      <c r="C643" s="777"/>
      <c r="D643" s="778"/>
      <c r="E643" s="778"/>
      <c r="F643" s="778"/>
      <c r="G643" s="778"/>
      <c r="H643" s="778"/>
      <c r="I643" s="778"/>
      <c r="J643" s="778"/>
      <c r="K643" s="778"/>
      <c r="L643" s="778"/>
      <c r="M643" s="778"/>
      <c r="N643" s="778"/>
      <c r="O643" s="778"/>
      <c r="P643" s="778"/>
      <c r="Q643" s="778"/>
      <c r="R643" s="778"/>
      <c r="S643" s="778"/>
      <c r="T643" s="778"/>
      <c r="U643" s="778"/>
      <c r="V643" s="778"/>
      <c r="W643" s="778"/>
      <c r="X643" s="778"/>
      <c r="Y643" s="778"/>
      <c r="Z643" s="778"/>
    </row>
    <row r="644">
      <c r="A644" s="777"/>
      <c r="B644" s="777"/>
      <c r="C644" s="777"/>
      <c r="D644" s="778"/>
      <c r="E644" s="778"/>
      <c r="F644" s="778"/>
      <c r="G644" s="778"/>
      <c r="H644" s="778"/>
      <c r="I644" s="778"/>
      <c r="J644" s="778"/>
      <c r="K644" s="778"/>
      <c r="L644" s="778"/>
      <c r="M644" s="778"/>
      <c r="N644" s="778"/>
      <c r="O644" s="778"/>
      <c r="P644" s="778"/>
      <c r="Q644" s="778"/>
      <c r="R644" s="778"/>
      <c r="S644" s="778"/>
      <c r="T644" s="778"/>
      <c r="U644" s="778"/>
      <c r="V644" s="778"/>
      <c r="W644" s="778"/>
      <c r="X644" s="778"/>
      <c r="Y644" s="778"/>
      <c r="Z644" s="778"/>
    </row>
    <row r="645">
      <c r="A645" s="777"/>
      <c r="B645" s="777"/>
      <c r="C645" s="777"/>
      <c r="D645" s="778"/>
      <c r="E645" s="778"/>
      <c r="F645" s="778"/>
      <c r="G645" s="778"/>
      <c r="H645" s="778"/>
      <c r="I645" s="778"/>
      <c r="J645" s="778"/>
      <c r="K645" s="778"/>
      <c r="L645" s="778"/>
      <c r="M645" s="778"/>
      <c r="N645" s="778"/>
      <c r="O645" s="778"/>
      <c r="P645" s="778"/>
      <c r="Q645" s="778"/>
      <c r="R645" s="778"/>
      <c r="S645" s="778"/>
      <c r="T645" s="778"/>
      <c r="U645" s="778"/>
      <c r="V645" s="778"/>
      <c r="W645" s="778"/>
      <c r="X645" s="778"/>
      <c r="Y645" s="778"/>
      <c r="Z645" s="778"/>
    </row>
    <row r="646">
      <c r="A646" s="777"/>
      <c r="B646" s="777"/>
      <c r="C646" s="777"/>
      <c r="D646" s="778"/>
      <c r="E646" s="778"/>
      <c r="F646" s="778"/>
      <c r="G646" s="778"/>
      <c r="H646" s="778"/>
      <c r="I646" s="778"/>
      <c r="J646" s="778"/>
      <c r="K646" s="778"/>
      <c r="L646" s="778"/>
      <c r="M646" s="778"/>
      <c r="N646" s="778"/>
      <c r="O646" s="778"/>
      <c r="P646" s="778"/>
      <c r="Q646" s="778"/>
      <c r="R646" s="778"/>
      <c r="S646" s="778"/>
      <c r="T646" s="778"/>
      <c r="U646" s="778"/>
      <c r="V646" s="778"/>
      <c r="W646" s="778"/>
      <c r="X646" s="778"/>
      <c r="Y646" s="778"/>
      <c r="Z646" s="778"/>
    </row>
    <row r="647">
      <c r="A647" s="777"/>
      <c r="B647" s="777"/>
      <c r="C647" s="777"/>
      <c r="D647" s="778"/>
      <c r="E647" s="778"/>
      <c r="F647" s="778"/>
      <c r="G647" s="778"/>
      <c r="H647" s="778"/>
      <c r="I647" s="778"/>
      <c r="J647" s="778"/>
      <c r="K647" s="778"/>
      <c r="L647" s="778"/>
      <c r="M647" s="778"/>
      <c r="N647" s="778"/>
      <c r="O647" s="778"/>
      <c r="P647" s="778"/>
      <c r="Q647" s="778"/>
      <c r="R647" s="778"/>
      <c r="S647" s="778"/>
      <c r="T647" s="778"/>
      <c r="U647" s="778"/>
      <c r="V647" s="778"/>
      <c r="W647" s="778"/>
      <c r="X647" s="778"/>
      <c r="Y647" s="778"/>
      <c r="Z647" s="778"/>
    </row>
    <row r="648">
      <c r="A648" s="777"/>
      <c r="B648" s="777"/>
      <c r="C648" s="777"/>
      <c r="D648" s="778"/>
      <c r="E648" s="778"/>
      <c r="F648" s="778"/>
      <c r="G648" s="778"/>
      <c r="H648" s="778"/>
      <c r="I648" s="778"/>
      <c r="J648" s="778"/>
      <c r="K648" s="778"/>
      <c r="L648" s="778"/>
      <c r="M648" s="778"/>
      <c r="N648" s="778"/>
      <c r="O648" s="778"/>
      <c r="P648" s="778"/>
      <c r="Q648" s="778"/>
      <c r="R648" s="778"/>
      <c r="S648" s="778"/>
      <c r="T648" s="778"/>
      <c r="U648" s="778"/>
      <c r="V648" s="778"/>
      <c r="W648" s="778"/>
      <c r="X648" s="778"/>
      <c r="Y648" s="778"/>
      <c r="Z648" s="778"/>
    </row>
    <row r="649">
      <c r="A649" s="777"/>
      <c r="B649" s="777"/>
      <c r="C649" s="777"/>
      <c r="D649" s="778"/>
      <c r="E649" s="778"/>
      <c r="F649" s="778"/>
      <c r="G649" s="778"/>
      <c r="H649" s="778"/>
      <c r="I649" s="778"/>
      <c r="J649" s="778"/>
      <c r="K649" s="778"/>
      <c r="L649" s="778"/>
      <c r="M649" s="778"/>
      <c r="N649" s="778"/>
      <c r="O649" s="778"/>
      <c r="P649" s="778"/>
      <c r="Q649" s="778"/>
      <c r="R649" s="778"/>
      <c r="S649" s="778"/>
      <c r="T649" s="778"/>
      <c r="U649" s="778"/>
      <c r="V649" s="778"/>
      <c r="W649" s="778"/>
      <c r="X649" s="778"/>
      <c r="Y649" s="778"/>
      <c r="Z649" s="778"/>
    </row>
    <row r="650">
      <c r="A650" s="777"/>
      <c r="B650" s="777"/>
      <c r="C650" s="777"/>
      <c r="D650" s="778"/>
      <c r="E650" s="778"/>
      <c r="F650" s="778"/>
      <c r="G650" s="778"/>
      <c r="H650" s="778"/>
      <c r="I650" s="778"/>
      <c r="J650" s="778"/>
      <c r="K650" s="778"/>
      <c r="L650" s="778"/>
      <c r="M650" s="778"/>
      <c r="N650" s="778"/>
      <c r="O650" s="778"/>
      <c r="P650" s="778"/>
      <c r="Q650" s="778"/>
      <c r="R650" s="778"/>
      <c r="S650" s="778"/>
      <c r="T650" s="778"/>
      <c r="U650" s="778"/>
      <c r="V650" s="778"/>
      <c r="W650" s="778"/>
      <c r="X650" s="778"/>
      <c r="Y650" s="778"/>
      <c r="Z650" s="778"/>
    </row>
    <row r="651">
      <c r="A651" s="777"/>
      <c r="B651" s="777"/>
      <c r="C651" s="777"/>
      <c r="D651" s="778"/>
      <c r="E651" s="778"/>
      <c r="F651" s="778"/>
      <c r="G651" s="778"/>
      <c r="H651" s="778"/>
      <c r="I651" s="778"/>
      <c r="J651" s="778"/>
      <c r="K651" s="778"/>
      <c r="L651" s="778"/>
      <c r="M651" s="778"/>
      <c r="N651" s="778"/>
      <c r="O651" s="778"/>
      <c r="P651" s="778"/>
      <c r="Q651" s="778"/>
      <c r="R651" s="778"/>
      <c r="S651" s="778"/>
      <c r="T651" s="778"/>
      <c r="U651" s="778"/>
      <c r="V651" s="778"/>
      <c r="W651" s="778"/>
      <c r="X651" s="778"/>
      <c r="Y651" s="778"/>
      <c r="Z651" s="778"/>
    </row>
    <row r="652">
      <c r="A652" s="777"/>
      <c r="B652" s="777"/>
      <c r="C652" s="777"/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778"/>
      <c r="V652" s="778"/>
      <c r="W652" s="778"/>
      <c r="X652" s="778"/>
      <c r="Y652" s="778"/>
      <c r="Z652" s="778"/>
    </row>
    <row r="653">
      <c r="A653" s="777"/>
      <c r="B653" s="777"/>
      <c r="C653" s="777"/>
      <c r="D653" s="778"/>
      <c r="E653" s="778"/>
      <c r="F653" s="778"/>
      <c r="G653" s="778"/>
      <c r="H653" s="778"/>
      <c r="I653" s="778"/>
      <c r="J653" s="778"/>
      <c r="K653" s="778"/>
      <c r="L653" s="778"/>
      <c r="M653" s="778"/>
      <c r="N653" s="778"/>
      <c r="O653" s="778"/>
      <c r="P653" s="778"/>
      <c r="Q653" s="778"/>
      <c r="R653" s="778"/>
      <c r="S653" s="778"/>
      <c r="T653" s="778"/>
      <c r="U653" s="778"/>
      <c r="V653" s="778"/>
      <c r="W653" s="778"/>
      <c r="X653" s="778"/>
      <c r="Y653" s="778"/>
      <c r="Z653" s="778"/>
    </row>
    <row r="654">
      <c r="A654" s="777"/>
      <c r="B654" s="777"/>
      <c r="C654" s="777"/>
      <c r="D654" s="778"/>
      <c r="E654" s="778"/>
      <c r="F654" s="778"/>
      <c r="G654" s="778"/>
      <c r="H654" s="778"/>
      <c r="I654" s="778"/>
      <c r="J654" s="778"/>
      <c r="K654" s="778"/>
      <c r="L654" s="778"/>
      <c r="M654" s="778"/>
      <c r="N654" s="778"/>
      <c r="O654" s="778"/>
      <c r="P654" s="778"/>
      <c r="Q654" s="778"/>
      <c r="R654" s="778"/>
      <c r="S654" s="778"/>
      <c r="T654" s="778"/>
      <c r="U654" s="778"/>
      <c r="V654" s="778"/>
      <c r="W654" s="778"/>
      <c r="X654" s="778"/>
      <c r="Y654" s="778"/>
      <c r="Z654" s="778"/>
    </row>
    <row r="655">
      <c r="A655" s="777"/>
      <c r="B655" s="777"/>
      <c r="C655" s="777"/>
      <c r="D655" s="778"/>
      <c r="E655" s="778"/>
      <c r="F655" s="778"/>
      <c r="G655" s="778"/>
      <c r="H655" s="778"/>
      <c r="I655" s="778"/>
      <c r="J655" s="778"/>
      <c r="K655" s="778"/>
      <c r="L655" s="778"/>
      <c r="M655" s="778"/>
      <c r="N655" s="778"/>
      <c r="O655" s="778"/>
      <c r="P655" s="778"/>
      <c r="Q655" s="778"/>
      <c r="R655" s="778"/>
      <c r="S655" s="778"/>
      <c r="T655" s="778"/>
      <c r="U655" s="778"/>
      <c r="V655" s="778"/>
      <c r="W655" s="778"/>
      <c r="X655" s="778"/>
      <c r="Y655" s="778"/>
      <c r="Z655" s="778"/>
    </row>
    <row r="656">
      <c r="A656" s="777"/>
      <c r="B656" s="777"/>
      <c r="C656" s="777"/>
      <c r="D656" s="778"/>
      <c r="E656" s="778"/>
      <c r="F656" s="778"/>
      <c r="G656" s="778"/>
      <c r="H656" s="778"/>
      <c r="I656" s="778"/>
      <c r="J656" s="778"/>
      <c r="K656" s="778"/>
      <c r="L656" s="778"/>
      <c r="M656" s="778"/>
      <c r="N656" s="778"/>
      <c r="O656" s="778"/>
      <c r="P656" s="778"/>
      <c r="Q656" s="778"/>
      <c r="R656" s="778"/>
      <c r="S656" s="778"/>
      <c r="T656" s="778"/>
      <c r="U656" s="778"/>
      <c r="V656" s="778"/>
      <c r="W656" s="778"/>
      <c r="X656" s="778"/>
      <c r="Y656" s="778"/>
      <c r="Z656" s="778"/>
    </row>
    <row r="657">
      <c r="A657" s="777"/>
      <c r="B657" s="777"/>
      <c r="C657" s="777"/>
      <c r="D657" s="778"/>
      <c r="E657" s="778"/>
      <c r="F657" s="778"/>
      <c r="G657" s="778"/>
      <c r="H657" s="778"/>
      <c r="I657" s="778"/>
      <c r="J657" s="778"/>
      <c r="K657" s="778"/>
      <c r="L657" s="778"/>
      <c r="M657" s="778"/>
      <c r="N657" s="778"/>
      <c r="O657" s="778"/>
      <c r="P657" s="778"/>
      <c r="Q657" s="778"/>
      <c r="R657" s="778"/>
      <c r="S657" s="778"/>
      <c r="T657" s="778"/>
      <c r="U657" s="778"/>
      <c r="V657" s="778"/>
      <c r="W657" s="778"/>
      <c r="X657" s="778"/>
      <c r="Y657" s="778"/>
      <c r="Z657" s="778"/>
    </row>
    <row r="658">
      <c r="A658" s="777"/>
      <c r="B658" s="777"/>
      <c r="C658" s="777"/>
      <c r="D658" s="778"/>
      <c r="E658" s="778"/>
      <c r="F658" s="778"/>
      <c r="G658" s="778"/>
      <c r="H658" s="778"/>
      <c r="I658" s="778"/>
      <c r="J658" s="778"/>
      <c r="K658" s="778"/>
      <c r="L658" s="778"/>
      <c r="M658" s="778"/>
      <c r="N658" s="778"/>
      <c r="O658" s="778"/>
      <c r="P658" s="778"/>
      <c r="Q658" s="778"/>
      <c r="R658" s="778"/>
      <c r="S658" s="778"/>
      <c r="T658" s="778"/>
      <c r="U658" s="778"/>
      <c r="V658" s="778"/>
      <c r="W658" s="778"/>
      <c r="X658" s="778"/>
      <c r="Y658" s="778"/>
      <c r="Z658" s="778"/>
    </row>
    <row r="659">
      <c r="A659" s="777"/>
      <c r="B659" s="777"/>
      <c r="C659" s="777"/>
      <c r="D659" s="778"/>
      <c r="E659" s="778"/>
      <c r="F659" s="778"/>
      <c r="G659" s="778"/>
      <c r="H659" s="778"/>
      <c r="I659" s="778"/>
      <c r="J659" s="778"/>
      <c r="K659" s="778"/>
      <c r="L659" s="778"/>
      <c r="M659" s="778"/>
      <c r="N659" s="778"/>
      <c r="O659" s="778"/>
      <c r="P659" s="778"/>
      <c r="Q659" s="778"/>
      <c r="R659" s="778"/>
      <c r="S659" s="778"/>
      <c r="T659" s="778"/>
      <c r="U659" s="778"/>
      <c r="V659" s="778"/>
      <c r="W659" s="778"/>
      <c r="X659" s="778"/>
      <c r="Y659" s="778"/>
      <c r="Z659" s="778"/>
    </row>
    <row r="660">
      <c r="A660" s="777"/>
      <c r="B660" s="777"/>
      <c r="C660" s="777"/>
      <c r="D660" s="778"/>
      <c r="E660" s="778"/>
      <c r="F660" s="778"/>
      <c r="G660" s="778"/>
      <c r="H660" s="778"/>
      <c r="I660" s="778"/>
      <c r="J660" s="778"/>
      <c r="K660" s="778"/>
      <c r="L660" s="778"/>
      <c r="M660" s="778"/>
      <c r="N660" s="778"/>
      <c r="O660" s="778"/>
      <c r="P660" s="778"/>
      <c r="Q660" s="778"/>
      <c r="R660" s="778"/>
      <c r="S660" s="778"/>
      <c r="T660" s="778"/>
      <c r="U660" s="778"/>
      <c r="V660" s="778"/>
      <c r="W660" s="778"/>
      <c r="X660" s="778"/>
      <c r="Y660" s="778"/>
      <c r="Z660" s="778"/>
    </row>
    <row r="661">
      <c r="A661" s="777"/>
      <c r="B661" s="777"/>
      <c r="C661" s="777"/>
      <c r="D661" s="778"/>
      <c r="E661" s="778"/>
      <c r="F661" s="778"/>
      <c r="G661" s="778"/>
      <c r="H661" s="778"/>
      <c r="I661" s="778"/>
      <c r="J661" s="778"/>
      <c r="K661" s="778"/>
      <c r="L661" s="778"/>
      <c r="M661" s="778"/>
      <c r="N661" s="778"/>
      <c r="O661" s="778"/>
      <c r="P661" s="778"/>
      <c r="Q661" s="778"/>
      <c r="R661" s="778"/>
      <c r="S661" s="778"/>
      <c r="T661" s="778"/>
      <c r="U661" s="778"/>
      <c r="V661" s="778"/>
      <c r="W661" s="778"/>
      <c r="X661" s="778"/>
      <c r="Y661" s="778"/>
      <c r="Z661" s="778"/>
    </row>
    <row r="662">
      <c r="A662" s="777"/>
      <c r="B662" s="777"/>
      <c r="C662" s="777"/>
      <c r="D662" s="778"/>
      <c r="E662" s="778"/>
      <c r="F662" s="778"/>
      <c r="G662" s="778"/>
      <c r="H662" s="778"/>
      <c r="I662" s="778"/>
      <c r="J662" s="778"/>
      <c r="K662" s="778"/>
      <c r="L662" s="778"/>
      <c r="M662" s="778"/>
      <c r="N662" s="778"/>
      <c r="O662" s="778"/>
      <c r="P662" s="778"/>
      <c r="Q662" s="778"/>
      <c r="R662" s="778"/>
      <c r="S662" s="778"/>
      <c r="T662" s="778"/>
      <c r="U662" s="778"/>
      <c r="V662" s="778"/>
      <c r="W662" s="778"/>
      <c r="X662" s="778"/>
      <c r="Y662" s="778"/>
      <c r="Z662" s="778"/>
    </row>
    <row r="663">
      <c r="A663" s="777"/>
      <c r="B663" s="777"/>
      <c r="C663" s="777"/>
      <c r="D663" s="778"/>
      <c r="E663" s="778"/>
      <c r="F663" s="778"/>
      <c r="G663" s="778"/>
      <c r="H663" s="778"/>
      <c r="I663" s="778"/>
      <c r="J663" s="778"/>
      <c r="K663" s="778"/>
      <c r="L663" s="778"/>
      <c r="M663" s="778"/>
      <c r="N663" s="778"/>
      <c r="O663" s="778"/>
      <c r="P663" s="778"/>
      <c r="Q663" s="778"/>
      <c r="R663" s="778"/>
      <c r="S663" s="778"/>
      <c r="T663" s="778"/>
      <c r="U663" s="778"/>
      <c r="V663" s="778"/>
      <c r="W663" s="778"/>
      <c r="X663" s="778"/>
      <c r="Y663" s="778"/>
      <c r="Z663" s="778"/>
    </row>
    <row r="664">
      <c r="A664" s="777"/>
      <c r="B664" s="777"/>
      <c r="C664" s="777"/>
      <c r="D664" s="778"/>
      <c r="E664" s="778"/>
      <c r="F664" s="778"/>
      <c r="G664" s="778"/>
      <c r="H664" s="778"/>
      <c r="I664" s="778"/>
      <c r="J664" s="778"/>
      <c r="K664" s="778"/>
      <c r="L664" s="778"/>
      <c r="M664" s="778"/>
      <c r="N664" s="778"/>
      <c r="O664" s="778"/>
      <c r="P664" s="778"/>
      <c r="Q664" s="778"/>
      <c r="R664" s="778"/>
      <c r="S664" s="778"/>
      <c r="T664" s="778"/>
      <c r="U664" s="778"/>
      <c r="V664" s="778"/>
      <c r="W664" s="778"/>
      <c r="X664" s="778"/>
      <c r="Y664" s="778"/>
      <c r="Z664" s="778"/>
    </row>
    <row r="665">
      <c r="A665" s="777"/>
      <c r="B665" s="777"/>
      <c r="C665" s="777"/>
      <c r="D665" s="778"/>
      <c r="E665" s="778"/>
      <c r="F665" s="778"/>
      <c r="G665" s="778"/>
      <c r="H665" s="778"/>
      <c r="I665" s="778"/>
      <c r="J665" s="778"/>
      <c r="K665" s="778"/>
      <c r="L665" s="778"/>
      <c r="M665" s="778"/>
      <c r="N665" s="778"/>
      <c r="O665" s="778"/>
      <c r="P665" s="778"/>
      <c r="Q665" s="778"/>
      <c r="R665" s="778"/>
      <c r="S665" s="778"/>
      <c r="T665" s="778"/>
      <c r="U665" s="778"/>
      <c r="V665" s="778"/>
      <c r="W665" s="778"/>
      <c r="X665" s="778"/>
      <c r="Y665" s="778"/>
      <c r="Z665" s="778"/>
    </row>
    <row r="666">
      <c r="A666" s="777"/>
      <c r="B666" s="777"/>
      <c r="C666" s="777"/>
      <c r="D666" s="778"/>
      <c r="E666" s="778"/>
      <c r="F666" s="778"/>
      <c r="G666" s="778"/>
      <c r="H666" s="778"/>
      <c r="I666" s="778"/>
      <c r="J666" s="778"/>
      <c r="K666" s="778"/>
      <c r="L666" s="778"/>
      <c r="M666" s="778"/>
      <c r="N666" s="778"/>
      <c r="O666" s="778"/>
      <c r="P666" s="778"/>
      <c r="Q666" s="778"/>
      <c r="R666" s="778"/>
      <c r="S666" s="778"/>
      <c r="T666" s="778"/>
      <c r="U666" s="778"/>
      <c r="V666" s="778"/>
      <c r="W666" s="778"/>
      <c r="X666" s="778"/>
      <c r="Y666" s="778"/>
      <c r="Z666" s="778"/>
    </row>
    <row r="667">
      <c r="A667" s="777"/>
      <c r="B667" s="777"/>
      <c r="C667" s="777"/>
      <c r="D667" s="778"/>
      <c r="E667" s="778"/>
      <c r="F667" s="778"/>
      <c r="G667" s="778"/>
      <c r="H667" s="778"/>
      <c r="I667" s="778"/>
      <c r="J667" s="778"/>
      <c r="K667" s="778"/>
      <c r="L667" s="778"/>
      <c r="M667" s="778"/>
      <c r="N667" s="778"/>
      <c r="O667" s="778"/>
      <c r="P667" s="778"/>
      <c r="Q667" s="778"/>
      <c r="R667" s="778"/>
      <c r="S667" s="778"/>
      <c r="T667" s="778"/>
      <c r="U667" s="778"/>
      <c r="V667" s="778"/>
      <c r="W667" s="778"/>
      <c r="X667" s="778"/>
      <c r="Y667" s="778"/>
      <c r="Z667" s="778"/>
    </row>
    <row r="668">
      <c r="A668" s="777"/>
      <c r="B668" s="777"/>
      <c r="C668" s="777"/>
      <c r="D668" s="778"/>
      <c r="E668" s="778"/>
      <c r="F668" s="778"/>
      <c r="G668" s="778"/>
      <c r="H668" s="778"/>
      <c r="I668" s="778"/>
      <c r="J668" s="778"/>
      <c r="K668" s="778"/>
      <c r="L668" s="778"/>
      <c r="M668" s="778"/>
      <c r="N668" s="778"/>
      <c r="O668" s="778"/>
      <c r="P668" s="778"/>
      <c r="Q668" s="778"/>
      <c r="R668" s="778"/>
      <c r="S668" s="778"/>
      <c r="T668" s="778"/>
      <c r="U668" s="778"/>
      <c r="V668" s="778"/>
      <c r="W668" s="778"/>
      <c r="X668" s="778"/>
      <c r="Y668" s="778"/>
      <c r="Z668" s="778"/>
    </row>
    <row r="669">
      <c r="A669" s="777"/>
      <c r="B669" s="777"/>
      <c r="C669" s="777"/>
      <c r="D669" s="778"/>
      <c r="E669" s="778"/>
      <c r="F669" s="778"/>
      <c r="G669" s="778"/>
      <c r="H669" s="778"/>
      <c r="I669" s="778"/>
      <c r="J669" s="778"/>
      <c r="K669" s="778"/>
      <c r="L669" s="778"/>
      <c r="M669" s="778"/>
      <c r="N669" s="778"/>
      <c r="O669" s="778"/>
      <c r="P669" s="778"/>
      <c r="Q669" s="778"/>
      <c r="R669" s="778"/>
      <c r="S669" s="778"/>
      <c r="T669" s="778"/>
      <c r="U669" s="778"/>
      <c r="V669" s="778"/>
      <c r="W669" s="778"/>
      <c r="X669" s="778"/>
      <c r="Y669" s="778"/>
      <c r="Z669" s="778"/>
    </row>
    <row r="670">
      <c r="A670" s="777"/>
      <c r="B670" s="777"/>
      <c r="C670" s="777"/>
      <c r="D670" s="778"/>
      <c r="E670" s="778"/>
      <c r="F670" s="778"/>
      <c r="G670" s="778"/>
      <c r="H670" s="778"/>
      <c r="I670" s="778"/>
      <c r="J670" s="778"/>
      <c r="K670" s="778"/>
      <c r="L670" s="778"/>
      <c r="M670" s="778"/>
      <c r="N670" s="778"/>
      <c r="O670" s="778"/>
      <c r="P670" s="778"/>
      <c r="Q670" s="778"/>
      <c r="R670" s="778"/>
      <c r="S670" s="778"/>
      <c r="T670" s="778"/>
      <c r="U670" s="778"/>
      <c r="V670" s="778"/>
      <c r="W670" s="778"/>
      <c r="X670" s="778"/>
      <c r="Y670" s="778"/>
      <c r="Z670" s="778"/>
    </row>
    <row r="671">
      <c r="A671" s="777"/>
      <c r="B671" s="777"/>
      <c r="C671" s="777"/>
      <c r="D671" s="778"/>
      <c r="E671" s="778"/>
      <c r="F671" s="778"/>
      <c r="G671" s="778"/>
      <c r="H671" s="778"/>
      <c r="I671" s="778"/>
      <c r="J671" s="778"/>
      <c r="K671" s="778"/>
      <c r="L671" s="778"/>
      <c r="M671" s="778"/>
      <c r="N671" s="778"/>
      <c r="O671" s="778"/>
      <c r="P671" s="778"/>
      <c r="Q671" s="778"/>
      <c r="R671" s="778"/>
      <c r="S671" s="778"/>
      <c r="T671" s="778"/>
      <c r="U671" s="778"/>
      <c r="V671" s="778"/>
      <c r="W671" s="778"/>
      <c r="X671" s="778"/>
      <c r="Y671" s="778"/>
      <c r="Z671" s="778"/>
    </row>
    <row r="672">
      <c r="A672" s="777"/>
      <c r="B672" s="777"/>
      <c r="C672" s="777"/>
      <c r="D672" s="778"/>
      <c r="E672" s="778"/>
      <c r="F672" s="778"/>
      <c r="G672" s="778"/>
      <c r="H672" s="778"/>
      <c r="I672" s="778"/>
      <c r="J672" s="778"/>
      <c r="K672" s="778"/>
      <c r="L672" s="778"/>
      <c r="M672" s="778"/>
      <c r="N672" s="778"/>
      <c r="O672" s="778"/>
      <c r="P672" s="778"/>
      <c r="Q672" s="778"/>
      <c r="R672" s="778"/>
      <c r="S672" s="778"/>
      <c r="T672" s="778"/>
      <c r="U672" s="778"/>
      <c r="V672" s="778"/>
      <c r="W672" s="778"/>
      <c r="X672" s="778"/>
      <c r="Y672" s="778"/>
      <c r="Z672" s="778"/>
    </row>
    <row r="673">
      <c r="A673" s="777"/>
      <c r="B673" s="777"/>
      <c r="C673" s="777"/>
      <c r="D673" s="778"/>
      <c r="E673" s="778"/>
      <c r="F673" s="778"/>
      <c r="G673" s="778"/>
      <c r="H673" s="778"/>
      <c r="I673" s="778"/>
      <c r="J673" s="778"/>
      <c r="K673" s="778"/>
      <c r="L673" s="778"/>
      <c r="M673" s="778"/>
      <c r="N673" s="778"/>
      <c r="O673" s="778"/>
      <c r="P673" s="778"/>
      <c r="Q673" s="778"/>
      <c r="R673" s="778"/>
      <c r="S673" s="778"/>
      <c r="T673" s="778"/>
      <c r="U673" s="778"/>
      <c r="V673" s="778"/>
      <c r="W673" s="778"/>
      <c r="X673" s="778"/>
      <c r="Y673" s="778"/>
      <c r="Z673" s="778"/>
    </row>
    <row r="674">
      <c r="A674" s="777"/>
      <c r="B674" s="777"/>
      <c r="C674" s="777"/>
      <c r="D674" s="778"/>
      <c r="E674" s="778"/>
      <c r="F674" s="778"/>
      <c r="G674" s="778"/>
      <c r="H674" s="778"/>
      <c r="I674" s="778"/>
      <c r="J674" s="778"/>
      <c r="K674" s="778"/>
      <c r="L674" s="778"/>
      <c r="M674" s="778"/>
      <c r="N674" s="778"/>
      <c r="O674" s="778"/>
      <c r="P674" s="778"/>
      <c r="Q674" s="778"/>
      <c r="R674" s="778"/>
      <c r="S674" s="778"/>
      <c r="T674" s="778"/>
      <c r="U674" s="778"/>
      <c r="V674" s="778"/>
      <c r="W674" s="778"/>
      <c r="X674" s="778"/>
      <c r="Y674" s="778"/>
      <c r="Z674" s="778"/>
    </row>
    <row r="675">
      <c r="A675" s="777"/>
      <c r="B675" s="777"/>
      <c r="C675" s="777"/>
      <c r="D675" s="778"/>
      <c r="E675" s="778"/>
      <c r="F675" s="778"/>
      <c r="G675" s="778"/>
      <c r="H675" s="778"/>
      <c r="I675" s="778"/>
      <c r="J675" s="778"/>
      <c r="K675" s="778"/>
      <c r="L675" s="778"/>
      <c r="M675" s="778"/>
      <c r="N675" s="778"/>
      <c r="O675" s="778"/>
      <c r="P675" s="778"/>
      <c r="Q675" s="778"/>
      <c r="R675" s="778"/>
      <c r="S675" s="778"/>
      <c r="T675" s="778"/>
      <c r="U675" s="778"/>
      <c r="V675" s="778"/>
      <c r="W675" s="778"/>
      <c r="X675" s="778"/>
      <c r="Y675" s="778"/>
      <c r="Z675" s="778"/>
    </row>
    <row r="676">
      <c r="A676" s="777"/>
      <c r="B676" s="777"/>
      <c r="C676" s="777"/>
      <c r="D676" s="778"/>
      <c r="E676" s="778"/>
      <c r="F676" s="778"/>
      <c r="G676" s="778"/>
      <c r="H676" s="778"/>
      <c r="I676" s="778"/>
      <c r="J676" s="778"/>
      <c r="K676" s="778"/>
      <c r="L676" s="778"/>
      <c r="M676" s="778"/>
      <c r="N676" s="778"/>
      <c r="O676" s="778"/>
      <c r="P676" s="778"/>
      <c r="Q676" s="778"/>
      <c r="R676" s="778"/>
      <c r="S676" s="778"/>
      <c r="T676" s="778"/>
      <c r="U676" s="778"/>
      <c r="V676" s="778"/>
      <c r="W676" s="778"/>
      <c r="X676" s="778"/>
      <c r="Y676" s="778"/>
      <c r="Z676" s="778"/>
    </row>
    <row r="677">
      <c r="A677" s="777"/>
      <c r="B677" s="777"/>
      <c r="C677" s="777"/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778"/>
      <c r="V677" s="778"/>
      <c r="W677" s="778"/>
      <c r="X677" s="778"/>
      <c r="Y677" s="778"/>
      <c r="Z677" s="778"/>
    </row>
    <row r="678">
      <c r="A678" s="777"/>
      <c r="B678" s="777"/>
      <c r="C678" s="777"/>
      <c r="D678" s="778"/>
      <c r="E678" s="778"/>
      <c r="F678" s="778"/>
      <c r="G678" s="778"/>
      <c r="H678" s="778"/>
      <c r="I678" s="778"/>
      <c r="J678" s="778"/>
      <c r="K678" s="778"/>
      <c r="L678" s="778"/>
      <c r="M678" s="778"/>
      <c r="N678" s="778"/>
      <c r="O678" s="778"/>
      <c r="P678" s="778"/>
      <c r="Q678" s="778"/>
      <c r="R678" s="778"/>
      <c r="S678" s="778"/>
      <c r="T678" s="778"/>
      <c r="U678" s="778"/>
      <c r="V678" s="778"/>
      <c r="W678" s="778"/>
      <c r="X678" s="778"/>
      <c r="Y678" s="778"/>
      <c r="Z678" s="778"/>
    </row>
    <row r="679">
      <c r="A679" s="777"/>
      <c r="B679" s="777"/>
      <c r="C679" s="777"/>
      <c r="D679" s="778"/>
      <c r="E679" s="778"/>
      <c r="F679" s="778"/>
      <c r="G679" s="778"/>
      <c r="H679" s="778"/>
      <c r="I679" s="778"/>
      <c r="J679" s="778"/>
      <c r="K679" s="778"/>
      <c r="L679" s="778"/>
      <c r="M679" s="778"/>
      <c r="N679" s="778"/>
      <c r="O679" s="778"/>
      <c r="P679" s="778"/>
      <c r="Q679" s="778"/>
      <c r="R679" s="778"/>
      <c r="S679" s="778"/>
      <c r="T679" s="778"/>
      <c r="U679" s="778"/>
      <c r="V679" s="778"/>
      <c r="W679" s="778"/>
      <c r="X679" s="778"/>
      <c r="Y679" s="778"/>
      <c r="Z679" s="778"/>
    </row>
    <row r="680">
      <c r="A680" s="777"/>
      <c r="B680" s="777"/>
      <c r="C680" s="777"/>
      <c r="D680" s="778"/>
      <c r="E680" s="778"/>
      <c r="F680" s="778"/>
      <c r="G680" s="778"/>
      <c r="H680" s="778"/>
      <c r="I680" s="778"/>
      <c r="J680" s="778"/>
      <c r="K680" s="778"/>
      <c r="L680" s="778"/>
      <c r="M680" s="778"/>
      <c r="N680" s="778"/>
      <c r="O680" s="778"/>
      <c r="P680" s="778"/>
      <c r="Q680" s="778"/>
      <c r="R680" s="778"/>
      <c r="S680" s="778"/>
      <c r="T680" s="778"/>
      <c r="U680" s="778"/>
      <c r="V680" s="778"/>
      <c r="W680" s="778"/>
      <c r="X680" s="778"/>
      <c r="Y680" s="778"/>
      <c r="Z680" s="778"/>
    </row>
    <row r="681">
      <c r="A681" s="777"/>
      <c r="B681" s="777"/>
      <c r="C681" s="777"/>
      <c r="D681" s="778"/>
      <c r="E681" s="778"/>
      <c r="F681" s="778"/>
      <c r="G681" s="778"/>
      <c r="H681" s="778"/>
      <c r="I681" s="778"/>
      <c r="J681" s="778"/>
      <c r="K681" s="778"/>
      <c r="L681" s="778"/>
      <c r="M681" s="778"/>
      <c r="N681" s="778"/>
      <c r="O681" s="778"/>
      <c r="P681" s="778"/>
      <c r="Q681" s="778"/>
      <c r="R681" s="778"/>
      <c r="S681" s="778"/>
      <c r="T681" s="778"/>
      <c r="U681" s="778"/>
      <c r="V681" s="778"/>
      <c r="W681" s="778"/>
      <c r="X681" s="778"/>
      <c r="Y681" s="778"/>
      <c r="Z681" s="778"/>
    </row>
    <row r="682">
      <c r="A682" s="777"/>
      <c r="B682" s="777"/>
      <c r="C682" s="777"/>
      <c r="D682" s="778"/>
      <c r="E682" s="778"/>
      <c r="F682" s="778"/>
      <c r="G682" s="778"/>
      <c r="H682" s="778"/>
      <c r="I682" s="778"/>
      <c r="J682" s="778"/>
      <c r="K682" s="778"/>
      <c r="L682" s="778"/>
      <c r="M682" s="778"/>
      <c r="N682" s="778"/>
      <c r="O682" s="778"/>
      <c r="P682" s="778"/>
      <c r="Q682" s="778"/>
      <c r="R682" s="778"/>
      <c r="S682" s="778"/>
      <c r="T682" s="778"/>
      <c r="U682" s="778"/>
      <c r="V682" s="778"/>
      <c r="W682" s="778"/>
      <c r="X682" s="778"/>
      <c r="Y682" s="778"/>
      <c r="Z682" s="778"/>
    </row>
    <row r="683">
      <c r="A683" s="777"/>
      <c r="B683" s="777"/>
      <c r="C683" s="777"/>
      <c r="D683" s="778"/>
      <c r="E683" s="778"/>
      <c r="F683" s="778"/>
      <c r="G683" s="778"/>
      <c r="H683" s="778"/>
      <c r="I683" s="778"/>
      <c r="J683" s="778"/>
      <c r="K683" s="778"/>
      <c r="L683" s="778"/>
      <c r="M683" s="778"/>
      <c r="N683" s="778"/>
      <c r="O683" s="778"/>
      <c r="P683" s="778"/>
      <c r="Q683" s="778"/>
      <c r="R683" s="778"/>
      <c r="S683" s="778"/>
      <c r="T683" s="778"/>
      <c r="U683" s="778"/>
      <c r="V683" s="778"/>
      <c r="W683" s="778"/>
      <c r="X683" s="778"/>
      <c r="Y683" s="778"/>
      <c r="Z683" s="778"/>
    </row>
    <row r="684">
      <c r="A684" s="777"/>
      <c r="B684" s="777"/>
      <c r="C684" s="777"/>
      <c r="D684" s="778"/>
      <c r="E684" s="778"/>
      <c r="F684" s="778"/>
      <c r="G684" s="778"/>
      <c r="H684" s="778"/>
      <c r="I684" s="778"/>
      <c r="J684" s="778"/>
      <c r="K684" s="778"/>
      <c r="L684" s="778"/>
      <c r="M684" s="778"/>
      <c r="N684" s="778"/>
      <c r="O684" s="778"/>
      <c r="P684" s="778"/>
      <c r="Q684" s="778"/>
      <c r="R684" s="778"/>
      <c r="S684" s="778"/>
      <c r="T684" s="778"/>
      <c r="U684" s="778"/>
      <c r="V684" s="778"/>
      <c r="W684" s="778"/>
      <c r="X684" s="778"/>
      <c r="Y684" s="778"/>
      <c r="Z684" s="778"/>
    </row>
    <row r="685">
      <c r="A685" s="777"/>
      <c r="B685" s="777"/>
      <c r="C685" s="777"/>
      <c r="D685" s="778"/>
      <c r="E685" s="778"/>
      <c r="F685" s="778"/>
      <c r="G685" s="778"/>
      <c r="H685" s="778"/>
      <c r="I685" s="778"/>
      <c r="J685" s="778"/>
      <c r="K685" s="778"/>
      <c r="L685" s="778"/>
      <c r="M685" s="778"/>
      <c r="N685" s="778"/>
      <c r="O685" s="778"/>
      <c r="P685" s="778"/>
      <c r="Q685" s="778"/>
      <c r="R685" s="778"/>
      <c r="S685" s="778"/>
      <c r="T685" s="778"/>
      <c r="U685" s="778"/>
      <c r="V685" s="778"/>
      <c r="W685" s="778"/>
      <c r="X685" s="778"/>
      <c r="Y685" s="778"/>
      <c r="Z685" s="778"/>
    </row>
    <row r="686">
      <c r="A686" s="777"/>
      <c r="B686" s="777"/>
      <c r="C686" s="777"/>
      <c r="D686" s="778"/>
      <c r="E686" s="778"/>
      <c r="F686" s="778"/>
      <c r="G686" s="778"/>
      <c r="H686" s="778"/>
      <c r="I686" s="778"/>
      <c r="J686" s="778"/>
      <c r="K686" s="778"/>
      <c r="L686" s="778"/>
      <c r="M686" s="778"/>
      <c r="N686" s="778"/>
      <c r="O686" s="778"/>
      <c r="P686" s="778"/>
      <c r="Q686" s="778"/>
      <c r="R686" s="778"/>
      <c r="S686" s="778"/>
      <c r="T686" s="778"/>
      <c r="U686" s="778"/>
      <c r="V686" s="778"/>
      <c r="W686" s="778"/>
      <c r="X686" s="778"/>
      <c r="Y686" s="778"/>
      <c r="Z686" s="778"/>
    </row>
    <row r="687">
      <c r="A687" s="777"/>
      <c r="B687" s="777"/>
      <c r="C687" s="777"/>
      <c r="D687" s="778"/>
      <c r="E687" s="778"/>
      <c r="F687" s="778"/>
      <c r="G687" s="778"/>
      <c r="H687" s="778"/>
      <c r="I687" s="778"/>
      <c r="J687" s="778"/>
      <c r="K687" s="778"/>
      <c r="L687" s="778"/>
      <c r="M687" s="778"/>
      <c r="N687" s="778"/>
      <c r="O687" s="778"/>
      <c r="P687" s="778"/>
      <c r="Q687" s="778"/>
      <c r="R687" s="778"/>
      <c r="S687" s="778"/>
      <c r="T687" s="778"/>
      <c r="U687" s="778"/>
      <c r="V687" s="778"/>
      <c r="W687" s="778"/>
      <c r="X687" s="778"/>
      <c r="Y687" s="778"/>
      <c r="Z687" s="778"/>
    </row>
    <row r="688">
      <c r="A688" s="777"/>
      <c r="B688" s="777"/>
      <c r="C688" s="777"/>
      <c r="D688" s="778"/>
      <c r="E688" s="778"/>
      <c r="F688" s="778"/>
      <c r="G688" s="778"/>
      <c r="H688" s="778"/>
      <c r="I688" s="778"/>
      <c r="J688" s="778"/>
      <c r="K688" s="778"/>
      <c r="L688" s="778"/>
      <c r="M688" s="778"/>
      <c r="N688" s="778"/>
      <c r="O688" s="778"/>
      <c r="P688" s="778"/>
      <c r="Q688" s="778"/>
      <c r="R688" s="778"/>
      <c r="S688" s="778"/>
      <c r="T688" s="778"/>
      <c r="U688" s="778"/>
      <c r="V688" s="778"/>
      <c r="W688" s="778"/>
      <c r="X688" s="778"/>
      <c r="Y688" s="778"/>
      <c r="Z688" s="778"/>
    </row>
    <row r="689">
      <c r="A689" s="777"/>
      <c r="B689" s="777"/>
      <c r="C689" s="777"/>
      <c r="D689" s="778"/>
      <c r="E689" s="778"/>
      <c r="F689" s="778"/>
      <c r="G689" s="778"/>
      <c r="H689" s="778"/>
      <c r="I689" s="778"/>
      <c r="J689" s="778"/>
      <c r="K689" s="778"/>
      <c r="L689" s="778"/>
      <c r="M689" s="778"/>
      <c r="N689" s="778"/>
      <c r="O689" s="778"/>
      <c r="P689" s="778"/>
      <c r="Q689" s="778"/>
      <c r="R689" s="778"/>
      <c r="S689" s="778"/>
      <c r="T689" s="778"/>
      <c r="U689" s="778"/>
      <c r="V689" s="778"/>
      <c r="W689" s="778"/>
      <c r="X689" s="778"/>
      <c r="Y689" s="778"/>
      <c r="Z689" s="778"/>
    </row>
    <row r="690">
      <c r="A690" s="777"/>
      <c r="B690" s="777"/>
      <c r="C690" s="777"/>
      <c r="D690" s="778"/>
      <c r="E690" s="778"/>
      <c r="F690" s="778"/>
      <c r="G690" s="778"/>
      <c r="H690" s="778"/>
      <c r="I690" s="778"/>
      <c r="J690" s="778"/>
      <c r="K690" s="778"/>
      <c r="L690" s="778"/>
      <c r="M690" s="778"/>
      <c r="N690" s="778"/>
      <c r="O690" s="778"/>
      <c r="P690" s="778"/>
      <c r="Q690" s="778"/>
      <c r="R690" s="778"/>
      <c r="S690" s="778"/>
      <c r="T690" s="778"/>
      <c r="U690" s="778"/>
      <c r="V690" s="778"/>
      <c r="W690" s="778"/>
      <c r="X690" s="778"/>
      <c r="Y690" s="778"/>
      <c r="Z690" s="778"/>
    </row>
    <row r="691">
      <c r="A691" s="777"/>
      <c r="B691" s="777"/>
      <c r="C691" s="777"/>
      <c r="D691" s="778"/>
      <c r="E691" s="778"/>
      <c r="F691" s="778"/>
      <c r="G691" s="778"/>
      <c r="H691" s="778"/>
      <c r="I691" s="778"/>
      <c r="J691" s="778"/>
      <c r="K691" s="778"/>
      <c r="L691" s="778"/>
      <c r="M691" s="778"/>
      <c r="N691" s="778"/>
      <c r="O691" s="778"/>
      <c r="P691" s="778"/>
      <c r="Q691" s="778"/>
      <c r="R691" s="778"/>
      <c r="S691" s="778"/>
      <c r="T691" s="778"/>
      <c r="U691" s="778"/>
      <c r="V691" s="778"/>
      <c r="W691" s="778"/>
      <c r="X691" s="778"/>
      <c r="Y691" s="778"/>
      <c r="Z691" s="778"/>
    </row>
    <row r="692">
      <c r="A692" s="777"/>
      <c r="B692" s="777"/>
      <c r="C692" s="777"/>
      <c r="D692" s="778"/>
      <c r="E692" s="778"/>
      <c r="F692" s="778"/>
      <c r="G692" s="778"/>
      <c r="H692" s="778"/>
      <c r="I692" s="778"/>
      <c r="J692" s="778"/>
      <c r="K692" s="778"/>
      <c r="L692" s="778"/>
      <c r="M692" s="778"/>
      <c r="N692" s="778"/>
      <c r="O692" s="778"/>
      <c r="P692" s="778"/>
      <c r="Q692" s="778"/>
      <c r="R692" s="778"/>
      <c r="S692" s="778"/>
      <c r="T692" s="778"/>
      <c r="U692" s="778"/>
      <c r="V692" s="778"/>
      <c r="W692" s="778"/>
      <c r="X692" s="778"/>
      <c r="Y692" s="778"/>
      <c r="Z692" s="778"/>
    </row>
    <row r="693">
      <c r="A693" s="777"/>
      <c r="B693" s="777"/>
      <c r="C693" s="777"/>
      <c r="D693" s="778"/>
      <c r="E693" s="778"/>
      <c r="F693" s="778"/>
      <c r="G693" s="778"/>
      <c r="H693" s="778"/>
      <c r="I693" s="778"/>
      <c r="J693" s="778"/>
      <c r="K693" s="778"/>
      <c r="L693" s="778"/>
      <c r="M693" s="778"/>
      <c r="N693" s="778"/>
      <c r="O693" s="778"/>
      <c r="P693" s="778"/>
      <c r="Q693" s="778"/>
      <c r="R693" s="778"/>
      <c r="S693" s="778"/>
      <c r="T693" s="778"/>
      <c r="U693" s="778"/>
      <c r="V693" s="778"/>
      <c r="W693" s="778"/>
      <c r="X693" s="778"/>
      <c r="Y693" s="778"/>
      <c r="Z693" s="778"/>
    </row>
    <row r="694">
      <c r="A694" s="777"/>
      <c r="B694" s="777"/>
      <c r="C694" s="777"/>
      <c r="D694" s="778"/>
      <c r="E694" s="778"/>
      <c r="F694" s="778"/>
      <c r="G694" s="778"/>
      <c r="H694" s="778"/>
      <c r="I694" s="778"/>
      <c r="J694" s="778"/>
      <c r="K694" s="778"/>
      <c r="L694" s="778"/>
      <c r="M694" s="778"/>
      <c r="N694" s="778"/>
      <c r="O694" s="778"/>
      <c r="P694" s="778"/>
      <c r="Q694" s="778"/>
      <c r="R694" s="778"/>
      <c r="S694" s="778"/>
      <c r="T694" s="778"/>
      <c r="U694" s="778"/>
      <c r="V694" s="778"/>
      <c r="W694" s="778"/>
      <c r="X694" s="778"/>
      <c r="Y694" s="778"/>
      <c r="Z694" s="778"/>
    </row>
    <row r="695">
      <c r="A695" s="777"/>
      <c r="B695" s="777"/>
      <c r="C695" s="777"/>
      <c r="D695" s="778"/>
      <c r="E695" s="778"/>
      <c r="F695" s="778"/>
      <c r="G695" s="778"/>
      <c r="H695" s="778"/>
      <c r="I695" s="778"/>
      <c r="J695" s="778"/>
      <c r="K695" s="778"/>
      <c r="L695" s="778"/>
      <c r="M695" s="778"/>
      <c r="N695" s="778"/>
      <c r="O695" s="778"/>
      <c r="P695" s="778"/>
      <c r="Q695" s="778"/>
      <c r="R695" s="778"/>
      <c r="S695" s="778"/>
      <c r="T695" s="778"/>
      <c r="U695" s="778"/>
      <c r="V695" s="778"/>
      <c r="W695" s="778"/>
      <c r="X695" s="778"/>
      <c r="Y695" s="778"/>
      <c r="Z695" s="778"/>
    </row>
    <row r="696">
      <c r="A696" s="777"/>
      <c r="B696" s="777"/>
      <c r="C696" s="777"/>
      <c r="D696" s="778"/>
      <c r="E696" s="778"/>
      <c r="F696" s="778"/>
      <c r="G696" s="778"/>
      <c r="H696" s="778"/>
      <c r="I696" s="778"/>
      <c r="J696" s="778"/>
      <c r="K696" s="778"/>
      <c r="L696" s="778"/>
      <c r="M696" s="778"/>
      <c r="N696" s="778"/>
      <c r="O696" s="778"/>
      <c r="P696" s="778"/>
      <c r="Q696" s="778"/>
      <c r="R696" s="778"/>
      <c r="S696" s="778"/>
      <c r="T696" s="778"/>
      <c r="U696" s="778"/>
      <c r="V696" s="778"/>
      <c r="W696" s="778"/>
      <c r="X696" s="778"/>
      <c r="Y696" s="778"/>
      <c r="Z696" s="778"/>
    </row>
    <row r="697">
      <c r="A697" s="777"/>
      <c r="B697" s="777"/>
      <c r="C697" s="777"/>
      <c r="D697" s="778"/>
      <c r="E697" s="778"/>
      <c r="F697" s="778"/>
      <c r="G697" s="778"/>
      <c r="H697" s="778"/>
      <c r="I697" s="778"/>
      <c r="J697" s="778"/>
      <c r="K697" s="778"/>
      <c r="L697" s="778"/>
      <c r="M697" s="778"/>
      <c r="N697" s="778"/>
      <c r="O697" s="778"/>
      <c r="P697" s="778"/>
      <c r="Q697" s="778"/>
      <c r="R697" s="778"/>
      <c r="S697" s="778"/>
      <c r="T697" s="778"/>
      <c r="U697" s="778"/>
      <c r="V697" s="778"/>
      <c r="W697" s="778"/>
      <c r="X697" s="778"/>
      <c r="Y697" s="778"/>
      <c r="Z697" s="778"/>
    </row>
    <row r="698">
      <c r="A698" s="777"/>
      <c r="B698" s="777"/>
      <c r="C698" s="777"/>
      <c r="D698" s="778"/>
      <c r="E698" s="778"/>
      <c r="F698" s="778"/>
      <c r="G698" s="778"/>
      <c r="H698" s="778"/>
      <c r="I698" s="778"/>
      <c r="J698" s="778"/>
      <c r="K698" s="778"/>
      <c r="L698" s="778"/>
      <c r="M698" s="778"/>
      <c r="N698" s="778"/>
      <c r="O698" s="778"/>
      <c r="P698" s="778"/>
      <c r="Q698" s="778"/>
      <c r="R698" s="778"/>
      <c r="S698" s="778"/>
      <c r="T698" s="778"/>
      <c r="U698" s="778"/>
      <c r="V698" s="778"/>
      <c r="W698" s="778"/>
      <c r="X698" s="778"/>
      <c r="Y698" s="778"/>
      <c r="Z698" s="778"/>
    </row>
    <row r="699">
      <c r="A699" s="777"/>
      <c r="B699" s="777"/>
      <c r="C699" s="777"/>
      <c r="D699" s="778"/>
      <c r="E699" s="778"/>
      <c r="F699" s="778"/>
      <c r="G699" s="778"/>
      <c r="H699" s="778"/>
      <c r="I699" s="778"/>
      <c r="J699" s="778"/>
      <c r="K699" s="778"/>
      <c r="L699" s="778"/>
      <c r="M699" s="778"/>
      <c r="N699" s="778"/>
      <c r="O699" s="778"/>
      <c r="P699" s="778"/>
      <c r="Q699" s="778"/>
      <c r="R699" s="778"/>
      <c r="S699" s="778"/>
      <c r="T699" s="778"/>
      <c r="U699" s="778"/>
      <c r="V699" s="778"/>
      <c r="W699" s="778"/>
      <c r="X699" s="778"/>
      <c r="Y699" s="778"/>
      <c r="Z699" s="778"/>
    </row>
    <row r="700">
      <c r="A700" s="777"/>
      <c r="B700" s="777"/>
      <c r="C700" s="777"/>
      <c r="D700" s="778"/>
      <c r="E700" s="778"/>
      <c r="F700" s="778"/>
      <c r="G700" s="778"/>
      <c r="H700" s="778"/>
      <c r="I700" s="778"/>
      <c r="J700" s="778"/>
      <c r="K700" s="778"/>
      <c r="L700" s="778"/>
      <c r="M700" s="778"/>
      <c r="N700" s="778"/>
      <c r="O700" s="778"/>
      <c r="P700" s="778"/>
      <c r="Q700" s="778"/>
      <c r="R700" s="778"/>
      <c r="S700" s="778"/>
      <c r="T700" s="778"/>
      <c r="U700" s="778"/>
      <c r="V700" s="778"/>
      <c r="W700" s="778"/>
      <c r="X700" s="778"/>
      <c r="Y700" s="778"/>
      <c r="Z700" s="778"/>
    </row>
    <row r="701">
      <c r="A701" s="777"/>
      <c r="B701" s="777"/>
      <c r="C701" s="777"/>
      <c r="D701" s="778"/>
      <c r="E701" s="778"/>
      <c r="F701" s="778"/>
      <c r="G701" s="778"/>
      <c r="H701" s="778"/>
      <c r="I701" s="778"/>
      <c r="J701" s="778"/>
      <c r="K701" s="778"/>
      <c r="L701" s="778"/>
      <c r="M701" s="778"/>
      <c r="N701" s="778"/>
      <c r="O701" s="778"/>
      <c r="P701" s="778"/>
      <c r="Q701" s="778"/>
      <c r="R701" s="778"/>
      <c r="S701" s="778"/>
      <c r="T701" s="778"/>
      <c r="U701" s="778"/>
      <c r="V701" s="778"/>
      <c r="W701" s="778"/>
      <c r="X701" s="778"/>
      <c r="Y701" s="778"/>
      <c r="Z701" s="778"/>
    </row>
    <row r="702">
      <c r="A702" s="777"/>
      <c r="B702" s="777"/>
      <c r="C702" s="777"/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778"/>
      <c r="V702" s="778"/>
      <c r="W702" s="778"/>
      <c r="X702" s="778"/>
      <c r="Y702" s="778"/>
      <c r="Z702" s="778"/>
    </row>
    <row r="703">
      <c r="A703" s="777"/>
      <c r="B703" s="777"/>
      <c r="C703" s="777"/>
      <c r="D703" s="778"/>
      <c r="E703" s="778"/>
      <c r="F703" s="778"/>
      <c r="G703" s="778"/>
      <c r="H703" s="778"/>
      <c r="I703" s="778"/>
      <c r="J703" s="778"/>
      <c r="K703" s="778"/>
      <c r="L703" s="778"/>
      <c r="M703" s="778"/>
      <c r="N703" s="778"/>
      <c r="O703" s="778"/>
      <c r="P703" s="778"/>
      <c r="Q703" s="778"/>
      <c r="R703" s="778"/>
      <c r="S703" s="778"/>
      <c r="T703" s="778"/>
      <c r="U703" s="778"/>
      <c r="V703" s="778"/>
      <c r="W703" s="778"/>
      <c r="X703" s="778"/>
      <c r="Y703" s="778"/>
      <c r="Z703" s="778"/>
    </row>
    <row r="704">
      <c r="A704" s="777"/>
      <c r="B704" s="777"/>
      <c r="C704" s="777"/>
      <c r="D704" s="778"/>
      <c r="E704" s="778"/>
      <c r="F704" s="778"/>
      <c r="G704" s="778"/>
      <c r="H704" s="778"/>
      <c r="I704" s="778"/>
      <c r="J704" s="778"/>
      <c r="K704" s="778"/>
      <c r="L704" s="778"/>
      <c r="M704" s="778"/>
      <c r="N704" s="778"/>
      <c r="O704" s="778"/>
      <c r="P704" s="778"/>
      <c r="Q704" s="778"/>
      <c r="R704" s="778"/>
      <c r="S704" s="778"/>
      <c r="T704" s="778"/>
      <c r="U704" s="778"/>
      <c r="V704" s="778"/>
      <c r="W704" s="778"/>
      <c r="X704" s="778"/>
      <c r="Y704" s="778"/>
      <c r="Z704" s="778"/>
    </row>
    <row r="705">
      <c r="A705" s="777"/>
      <c r="B705" s="777"/>
      <c r="C705" s="777"/>
      <c r="D705" s="778"/>
      <c r="E705" s="778"/>
      <c r="F705" s="778"/>
      <c r="G705" s="778"/>
      <c r="H705" s="778"/>
      <c r="I705" s="778"/>
      <c r="J705" s="778"/>
      <c r="K705" s="778"/>
      <c r="L705" s="778"/>
      <c r="M705" s="778"/>
      <c r="N705" s="778"/>
      <c r="O705" s="778"/>
      <c r="P705" s="778"/>
      <c r="Q705" s="778"/>
      <c r="R705" s="778"/>
      <c r="S705" s="778"/>
      <c r="T705" s="778"/>
      <c r="U705" s="778"/>
      <c r="V705" s="778"/>
      <c r="W705" s="778"/>
      <c r="X705" s="778"/>
      <c r="Y705" s="778"/>
      <c r="Z705" s="778"/>
    </row>
    <row r="706">
      <c r="A706" s="777"/>
      <c r="B706" s="777"/>
      <c r="C706" s="777"/>
      <c r="D706" s="778"/>
      <c r="E706" s="778"/>
      <c r="F706" s="778"/>
      <c r="G706" s="778"/>
      <c r="H706" s="778"/>
      <c r="I706" s="778"/>
      <c r="J706" s="778"/>
      <c r="K706" s="778"/>
      <c r="L706" s="778"/>
      <c r="M706" s="778"/>
      <c r="N706" s="778"/>
      <c r="O706" s="778"/>
      <c r="P706" s="778"/>
      <c r="Q706" s="778"/>
      <c r="R706" s="778"/>
      <c r="S706" s="778"/>
      <c r="T706" s="778"/>
      <c r="U706" s="778"/>
      <c r="V706" s="778"/>
      <c r="W706" s="778"/>
      <c r="X706" s="778"/>
      <c r="Y706" s="778"/>
      <c r="Z706" s="778"/>
    </row>
    <row r="707">
      <c r="A707" s="777"/>
      <c r="B707" s="777"/>
      <c r="C707" s="777"/>
      <c r="D707" s="778"/>
      <c r="E707" s="778"/>
      <c r="F707" s="778"/>
      <c r="G707" s="778"/>
      <c r="H707" s="778"/>
      <c r="I707" s="778"/>
      <c r="J707" s="778"/>
      <c r="K707" s="778"/>
      <c r="L707" s="778"/>
      <c r="M707" s="778"/>
      <c r="N707" s="778"/>
      <c r="O707" s="778"/>
      <c r="P707" s="778"/>
      <c r="Q707" s="778"/>
      <c r="R707" s="778"/>
      <c r="S707" s="778"/>
      <c r="T707" s="778"/>
      <c r="U707" s="778"/>
      <c r="V707" s="778"/>
      <c r="W707" s="778"/>
      <c r="X707" s="778"/>
      <c r="Y707" s="778"/>
      <c r="Z707" s="778"/>
    </row>
    <row r="708">
      <c r="A708" s="777"/>
      <c r="B708" s="777"/>
      <c r="C708" s="777"/>
      <c r="D708" s="778"/>
      <c r="E708" s="778"/>
      <c r="F708" s="778"/>
      <c r="G708" s="778"/>
      <c r="H708" s="778"/>
      <c r="I708" s="778"/>
      <c r="J708" s="778"/>
      <c r="K708" s="778"/>
      <c r="L708" s="778"/>
      <c r="M708" s="778"/>
      <c r="N708" s="778"/>
      <c r="O708" s="778"/>
      <c r="P708" s="778"/>
      <c r="Q708" s="778"/>
      <c r="R708" s="778"/>
      <c r="S708" s="778"/>
      <c r="T708" s="778"/>
      <c r="U708" s="778"/>
      <c r="V708" s="778"/>
      <c r="W708" s="778"/>
      <c r="X708" s="778"/>
      <c r="Y708" s="778"/>
      <c r="Z708" s="778"/>
    </row>
    <row r="709">
      <c r="A709" s="777"/>
      <c r="B709" s="777"/>
      <c r="C709" s="777"/>
      <c r="D709" s="778"/>
      <c r="E709" s="778"/>
      <c r="F709" s="778"/>
      <c r="G709" s="778"/>
      <c r="H709" s="778"/>
      <c r="I709" s="778"/>
      <c r="J709" s="778"/>
      <c r="K709" s="778"/>
      <c r="L709" s="778"/>
      <c r="M709" s="778"/>
      <c r="N709" s="778"/>
      <c r="O709" s="778"/>
      <c r="P709" s="778"/>
      <c r="Q709" s="778"/>
      <c r="R709" s="778"/>
      <c r="S709" s="778"/>
      <c r="T709" s="778"/>
      <c r="U709" s="778"/>
      <c r="V709" s="778"/>
      <c r="W709" s="778"/>
      <c r="X709" s="778"/>
      <c r="Y709" s="778"/>
      <c r="Z709" s="778"/>
    </row>
    <row r="710">
      <c r="A710" s="777"/>
      <c r="B710" s="777"/>
      <c r="C710" s="777"/>
      <c r="D710" s="778"/>
      <c r="E710" s="778"/>
      <c r="F710" s="778"/>
      <c r="G710" s="778"/>
      <c r="H710" s="778"/>
      <c r="I710" s="778"/>
      <c r="J710" s="778"/>
      <c r="K710" s="778"/>
      <c r="L710" s="778"/>
      <c r="M710" s="778"/>
      <c r="N710" s="778"/>
      <c r="O710" s="778"/>
      <c r="P710" s="778"/>
      <c r="Q710" s="778"/>
      <c r="R710" s="778"/>
      <c r="S710" s="778"/>
      <c r="T710" s="778"/>
      <c r="U710" s="778"/>
      <c r="V710" s="778"/>
      <c r="W710" s="778"/>
      <c r="X710" s="778"/>
      <c r="Y710" s="778"/>
      <c r="Z710" s="778"/>
    </row>
    <row r="711">
      <c r="A711" s="777"/>
      <c r="B711" s="777"/>
      <c r="C711" s="777"/>
      <c r="D711" s="778"/>
      <c r="E711" s="778"/>
      <c r="F711" s="778"/>
      <c r="G711" s="778"/>
      <c r="H711" s="778"/>
      <c r="I711" s="778"/>
      <c r="J711" s="778"/>
      <c r="K711" s="778"/>
      <c r="L711" s="778"/>
      <c r="M711" s="778"/>
      <c r="N711" s="778"/>
      <c r="O711" s="778"/>
      <c r="P711" s="778"/>
      <c r="Q711" s="778"/>
      <c r="R711" s="778"/>
      <c r="S711" s="778"/>
      <c r="T711" s="778"/>
      <c r="U711" s="778"/>
      <c r="V711" s="778"/>
      <c r="W711" s="778"/>
      <c r="X711" s="778"/>
      <c r="Y711" s="778"/>
      <c r="Z711" s="778"/>
    </row>
    <row r="712">
      <c r="A712" s="777"/>
      <c r="B712" s="777"/>
      <c r="C712" s="777"/>
      <c r="D712" s="778"/>
      <c r="E712" s="778"/>
      <c r="F712" s="778"/>
      <c r="G712" s="778"/>
      <c r="H712" s="778"/>
      <c r="I712" s="778"/>
      <c r="J712" s="778"/>
      <c r="K712" s="778"/>
      <c r="L712" s="778"/>
      <c r="M712" s="778"/>
      <c r="N712" s="778"/>
      <c r="O712" s="778"/>
      <c r="P712" s="778"/>
      <c r="Q712" s="778"/>
      <c r="R712" s="778"/>
      <c r="S712" s="778"/>
      <c r="T712" s="778"/>
      <c r="U712" s="778"/>
      <c r="V712" s="778"/>
      <c r="W712" s="778"/>
      <c r="X712" s="778"/>
      <c r="Y712" s="778"/>
      <c r="Z712" s="778"/>
    </row>
    <row r="713">
      <c r="A713" s="777"/>
      <c r="B713" s="777"/>
      <c r="C713" s="777"/>
      <c r="D713" s="778"/>
      <c r="E713" s="778"/>
      <c r="F713" s="778"/>
      <c r="G713" s="778"/>
      <c r="H713" s="778"/>
      <c r="I713" s="778"/>
      <c r="J713" s="778"/>
      <c r="K713" s="778"/>
      <c r="L713" s="778"/>
      <c r="M713" s="778"/>
      <c r="N713" s="778"/>
      <c r="O713" s="778"/>
      <c r="P713" s="778"/>
      <c r="Q713" s="778"/>
      <c r="R713" s="778"/>
      <c r="S713" s="778"/>
      <c r="T713" s="778"/>
      <c r="U713" s="778"/>
      <c r="V713" s="778"/>
      <c r="W713" s="778"/>
      <c r="X713" s="778"/>
      <c r="Y713" s="778"/>
      <c r="Z713" s="778"/>
    </row>
    <row r="714">
      <c r="A714" s="777"/>
      <c r="B714" s="777"/>
      <c r="C714" s="777"/>
      <c r="D714" s="778"/>
      <c r="E714" s="778"/>
      <c r="F714" s="778"/>
      <c r="G714" s="778"/>
      <c r="H714" s="778"/>
      <c r="I714" s="778"/>
      <c r="J714" s="778"/>
      <c r="K714" s="778"/>
      <c r="L714" s="778"/>
      <c r="M714" s="778"/>
      <c r="N714" s="778"/>
      <c r="O714" s="778"/>
      <c r="P714" s="778"/>
      <c r="Q714" s="778"/>
      <c r="R714" s="778"/>
      <c r="S714" s="778"/>
      <c r="T714" s="778"/>
      <c r="U714" s="778"/>
      <c r="V714" s="778"/>
      <c r="W714" s="778"/>
      <c r="X714" s="778"/>
      <c r="Y714" s="778"/>
      <c r="Z714" s="778"/>
    </row>
    <row r="715">
      <c r="A715" s="777"/>
      <c r="B715" s="777"/>
      <c r="C715" s="777"/>
      <c r="D715" s="778"/>
      <c r="E715" s="778"/>
      <c r="F715" s="778"/>
      <c r="G715" s="778"/>
      <c r="H715" s="778"/>
      <c r="I715" s="778"/>
      <c r="J715" s="778"/>
      <c r="K715" s="778"/>
      <c r="L715" s="778"/>
      <c r="M715" s="778"/>
      <c r="N715" s="778"/>
      <c r="O715" s="778"/>
      <c r="P715" s="778"/>
      <c r="Q715" s="778"/>
      <c r="R715" s="778"/>
      <c r="S715" s="778"/>
      <c r="T715" s="778"/>
      <c r="U715" s="778"/>
      <c r="V715" s="778"/>
      <c r="W715" s="778"/>
      <c r="X715" s="778"/>
      <c r="Y715" s="778"/>
      <c r="Z715" s="778"/>
    </row>
    <row r="716">
      <c r="A716" s="777"/>
      <c r="B716" s="777"/>
      <c r="C716" s="777"/>
      <c r="D716" s="778"/>
      <c r="E716" s="778"/>
      <c r="F716" s="778"/>
      <c r="G716" s="778"/>
      <c r="H716" s="778"/>
      <c r="I716" s="778"/>
      <c r="J716" s="778"/>
      <c r="K716" s="778"/>
      <c r="L716" s="778"/>
      <c r="M716" s="778"/>
      <c r="N716" s="778"/>
      <c r="O716" s="778"/>
      <c r="P716" s="778"/>
      <c r="Q716" s="778"/>
      <c r="R716" s="778"/>
      <c r="S716" s="778"/>
      <c r="T716" s="778"/>
      <c r="U716" s="778"/>
      <c r="V716" s="778"/>
      <c r="W716" s="778"/>
      <c r="X716" s="778"/>
      <c r="Y716" s="778"/>
      <c r="Z716" s="778"/>
    </row>
    <row r="717">
      <c r="A717" s="777"/>
      <c r="B717" s="777"/>
      <c r="C717" s="777"/>
      <c r="D717" s="778"/>
      <c r="E717" s="778"/>
      <c r="F717" s="778"/>
      <c r="G717" s="778"/>
      <c r="H717" s="778"/>
      <c r="I717" s="778"/>
      <c r="J717" s="778"/>
      <c r="K717" s="778"/>
      <c r="L717" s="778"/>
      <c r="M717" s="778"/>
      <c r="N717" s="778"/>
      <c r="O717" s="778"/>
      <c r="P717" s="778"/>
      <c r="Q717" s="778"/>
      <c r="R717" s="778"/>
      <c r="S717" s="778"/>
      <c r="T717" s="778"/>
      <c r="U717" s="778"/>
      <c r="V717" s="778"/>
      <c r="W717" s="778"/>
      <c r="X717" s="778"/>
      <c r="Y717" s="778"/>
      <c r="Z717" s="778"/>
    </row>
    <row r="718">
      <c r="A718" s="777"/>
      <c r="B718" s="777"/>
      <c r="C718" s="777"/>
      <c r="D718" s="778"/>
      <c r="E718" s="778"/>
      <c r="F718" s="778"/>
      <c r="G718" s="778"/>
      <c r="H718" s="778"/>
      <c r="I718" s="778"/>
      <c r="J718" s="778"/>
      <c r="K718" s="778"/>
      <c r="L718" s="778"/>
      <c r="M718" s="778"/>
      <c r="N718" s="778"/>
      <c r="O718" s="778"/>
      <c r="P718" s="778"/>
      <c r="Q718" s="778"/>
      <c r="R718" s="778"/>
      <c r="S718" s="778"/>
      <c r="T718" s="778"/>
      <c r="U718" s="778"/>
      <c r="V718" s="778"/>
      <c r="W718" s="778"/>
      <c r="X718" s="778"/>
      <c r="Y718" s="778"/>
      <c r="Z718" s="778"/>
    </row>
    <row r="719">
      <c r="A719" s="777"/>
      <c r="B719" s="777"/>
      <c r="C719" s="777"/>
      <c r="D719" s="778"/>
      <c r="E719" s="778"/>
      <c r="F719" s="778"/>
      <c r="G719" s="778"/>
      <c r="H719" s="778"/>
      <c r="I719" s="778"/>
      <c r="J719" s="778"/>
      <c r="K719" s="778"/>
      <c r="L719" s="778"/>
      <c r="M719" s="778"/>
      <c r="N719" s="778"/>
      <c r="O719" s="778"/>
      <c r="P719" s="778"/>
      <c r="Q719" s="778"/>
      <c r="R719" s="778"/>
      <c r="S719" s="778"/>
      <c r="T719" s="778"/>
      <c r="U719" s="778"/>
      <c r="V719" s="778"/>
      <c r="W719" s="778"/>
      <c r="X719" s="778"/>
      <c r="Y719" s="778"/>
      <c r="Z719" s="778"/>
    </row>
    <row r="720">
      <c r="A720" s="777"/>
      <c r="B720" s="777"/>
      <c r="C720" s="777"/>
      <c r="D720" s="778"/>
      <c r="E720" s="778"/>
      <c r="F720" s="778"/>
      <c r="G720" s="778"/>
      <c r="H720" s="778"/>
      <c r="I720" s="778"/>
      <c r="J720" s="778"/>
      <c r="K720" s="778"/>
      <c r="L720" s="778"/>
      <c r="M720" s="778"/>
      <c r="N720" s="778"/>
      <c r="O720" s="778"/>
      <c r="P720" s="778"/>
      <c r="Q720" s="778"/>
      <c r="R720" s="778"/>
      <c r="S720" s="778"/>
      <c r="T720" s="778"/>
      <c r="U720" s="778"/>
      <c r="V720" s="778"/>
      <c r="W720" s="778"/>
      <c r="X720" s="778"/>
      <c r="Y720" s="778"/>
      <c r="Z720" s="778"/>
    </row>
    <row r="721">
      <c r="A721" s="777"/>
      <c r="B721" s="777"/>
      <c r="C721" s="777"/>
      <c r="D721" s="778"/>
      <c r="E721" s="778"/>
      <c r="F721" s="778"/>
      <c r="G721" s="778"/>
      <c r="H721" s="778"/>
      <c r="I721" s="778"/>
      <c r="J721" s="778"/>
      <c r="K721" s="778"/>
      <c r="L721" s="778"/>
      <c r="M721" s="778"/>
      <c r="N721" s="778"/>
      <c r="O721" s="778"/>
      <c r="P721" s="778"/>
      <c r="Q721" s="778"/>
      <c r="R721" s="778"/>
      <c r="S721" s="778"/>
      <c r="T721" s="778"/>
      <c r="U721" s="778"/>
      <c r="V721" s="778"/>
      <c r="W721" s="778"/>
      <c r="X721" s="778"/>
      <c r="Y721" s="778"/>
      <c r="Z721" s="778"/>
    </row>
    <row r="722">
      <c r="A722" s="777"/>
      <c r="B722" s="777"/>
      <c r="C722" s="777"/>
      <c r="D722" s="778"/>
      <c r="E722" s="778"/>
      <c r="F722" s="778"/>
      <c r="G722" s="778"/>
      <c r="H722" s="778"/>
      <c r="I722" s="778"/>
      <c r="J722" s="778"/>
      <c r="K722" s="778"/>
      <c r="L722" s="778"/>
      <c r="M722" s="778"/>
      <c r="N722" s="778"/>
      <c r="O722" s="778"/>
      <c r="P722" s="778"/>
      <c r="Q722" s="778"/>
      <c r="R722" s="778"/>
      <c r="S722" s="778"/>
      <c r="T722" s="778"/>
      <c r="U722" s="778"/>
      <c r="V722" s="778"/>
      <c r="W722" s="778"/>
      <c r="X722" s="778"/>
      <c r="Y722" s="778"/>
      <c r="Z722" s="778"/>
    </row>
    <row r="723">
      <c r="A723" s="777"/>
      <c r="B723" s="777"/>
      <c r="C723" s="777"/>
      <c r="D723" s="778"/>
      <c r="E723" s="778"/>
      <c r="F723" s="778"/>
      <c r="G723" s="778"/>
      <c r="H723" s="778"/>
      <c r="I723" s="778"/>
      <c r="J723" s="778"/>
      <c r="K723" s="778"/>
      <c r="L723" s="778"/>
      <c r="M723" s="778"/>
      <c r="N723" s="778"/>
      <c r="O723" s="778"/>
      <c r="P723" s="778"/>
      <c r="Q723" s="778"/>
      <c r="R723" s="778"/>
      <c r="S723" s="778"/>
      <c r="T723" s="778"/>
      <c r="U723" s="778"/>
      <c r="V723" s="778"/>
      <c r="W723" s="778"/>
      <c r="X723" s="778"/>
      <c r="Y723" s="778"/>
      <c r="Z723" s="778"/>
    </row>
    <row r="724">
      <c r="A724" s="777"/>
      <c r="B724" s="777"/>
      <c r="C724" s="777"/>
      <c r="D724" s="778"/>
      <c r="E724" s="778"/>
      <c r="F724" s="778"/>
      <c r="G724" s="778"/>
      <c r="H724" s="778"/>
      <c r="I724" s="778"/>
      <c r="J724" s="778"/>
      <c r="K724" s="778"/>
      <c r="L724" s="778"/>
      <c r="M724" s="778"/>
      <c r="N724" s="778"/>
      <c r="O724" s="778"/>
      <c r="P724" s="778"/>
      <c r="Q724" s="778"/>
      <c r="R724" s="778"/>
      <c r="S724" s="778"/>
      <c r="T724" s="778"/>
      <c r="U724" s="778"/>
      <c r="V724" s="778"/>
      <c r="W724" s="778"/>
      <c r="X724" s="778"/>
      <c r="Y724" s="778"/>
      <c r="Z724" s="778"/>
    </row>
    <row r="725">
      <c r="A725" s="777"/>
      <c r="B725" s="777"/>
      <c r="C725" s="777"/>
      <c r="D725" s="778"/>
      <c r="E725" s="778"/>
      <c r="F725" s="778"/>
      <c r="G725" s="778"/>
      <c r="H725" s="778"/>
      <c r="I725" s="778"/>
      <c r="J725" s="778"/>
      <c r="K725" s="778"/>
      <c r="L725" s="778"/>
      <c r="M725" s="778"/>
      <c r="N725" s="778"/>
      <c r="O725" s="778"/>
      <c r="P725" s="778"/>
      <c r="Q725" s="778"/>
      <c r="R725" s="778"/>
      <c r="S725" s="778"/>
      <c r="T725" s="778"/>
      <c r="U725" s="778"/>
      <c r="V725" s="778"/>
      <c r="W725" s="778"/>
      <c r="X725" s="778"/>
      <c r="Y725" s="778"/>
      <c r="Z725" s="778"/>
    </row>
    <row r="726">
      <c r="A726" s="777"/>
      <c r="B726" s="777"/>
      <c r="C726" s="777"/>
      <c r="D726" s="778"/>
      <c r="E726" s="778"/>
      <c r="F726" s="778"/>
      <c r="G726" s="778"/>
      <c r="H726" s="778"/>
      <c r="I726" s="778"/>
      <c r="J726" s="778"/>
      <c r="K726" s="778"/>
      <c r="L726" s="778"/>
      <c r="M726" s="778"/>
      <c r="N726" s="778"/>
      <c r="O726" s="778"/>
      <c r="P726" s="778"/>
      <c r="Q726" s="778"/>
      <c r="R726" s="778"/>
      <c r="S726" s="778"/>
      <c r="T726" s="778"/>
      <c r="U726" s="778"/>
      <c r="V726" s="778"/>
      <c r="W726" s="778"/>
      <c r="X726" s="778"/>
      <c r="Y726" s="778"/>
      <c r="Z726" s="778"/>
    </row>
    <row r="727">
      <c r="A727" s="777"/>
      <c r="B727" s="777"/>
      <c r="C727" s="777"/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778"/>
      <c r="V727" s="778"/>
      <c r="W727" s="778"/>
      <c r="X727" s="778"/>
      <c r="Y727" s="778"/>
      <c r="Z727" s="778"/>
    </row>
    <row r="728">
      <c r="A728" s="777"/>
      <c r="B728" s="777"/>
      <c r="C728" s="777"/>
      <c r="D728" s="778"/>
      <c r="E728" s="778"/>
      <c r="F728" s="778"/>
      <c r="G728" s="778"/>
      <c r="H728" s="778"/>
      <c r="I728" s="778"/>
      <c r="J728" s="778"/>
      <c r="K728" s="778"/>
      <c r="L728" s="778"/>
      <c r="M728" s="778"/>
      <c r="N728" s="778"/>
      <c r="O728" s="778"/>
      <c r="P728" s="778"/>
      <c r="Q728" s="778"/>
      <c r="R728" s="778"/>
      <c r="S728" s="778"/>
      <c r="T728" s="778"/>
      <c r="U728" s="778"/>
      <c r="V728" s="778"/>
      <c r="W728" s="778"/>
      <c r="X728" s="778"/>
      <c r="Y728" s="778"/>
      <c r="Z728" s="778"/>
    </row>
    <row r="729">
      <c r="A729" s="777"/>
      <c r="B729" s="777"/>
      <c r="C729" s="777"/>
      <c r="D729" s="778"/>
      <c r="E729" s="778"/>
      <c r="F729" s="778"/>
      <c r="G729" s="778"/>
      <c r="H729" s="778"/>
      <c r="I729" s="778"/>
      <c r="J729" s="778"/>
      <c r="K729" s="778"/>
      <c r="L729" s="778"/>
      <c r="M729" s="778"/>
      <c r="N729" s="778"/>
      <c r="O729" s="778"/>
      <c r="P729" s="778"/>
      <c r="Q729" s="778"/>
      <c r="R729" s="778"/>
      <c r="S729" s="778"/>
      <c r="T729" s="778"/>
      <c r="U729" s="778"/>
      <c r="V729" s="778"/>
      <c r="W729" s="778"/>
      <c r="X729" s="778"/>
      <c r="Y729" s="778"/>
      <c r="Z729" s="778"/>
    </row>
    <row r="730">
      <c r="A730" s="777"/>
      <c r="B730" s="777"/>
      <c r="C730" s="777"/>
      <c r="D730" s="778"/>
      <c r="E730" s="778"/>
      <c r="F730" s="778"/>
      <c r="G730" s="778"/>
      <c r="H730" s="778"/>
      <c r="I730" s="778"/>
      <c r="J730" s="778"/>
      <c r="K730" s="778"/>
      <c r="L730" s="778"/>
      <c r="M730" s="778"/>
      <c r="N730" s="778"/>
      <c r="O730" s="778"/>
      <c r="P730" s="778"/>
      <c r="Q730" s="778"/>
      <c r="R730" s="778"/>
      <c r="S730" s="778"/>
      <c r="T730" s="778"/>
      <c r="U730" s="778"/>
      <c r="V730" s="778"/>
      <c r="W730" s="778"/>
      <c r="X730" s="778"/>
      <c r="Y730" s="778"/>
      <c r="Z730" s="778"/>
    </row>
    <row r="731">
      <c r="A731" s="777"/>
      <c r="B731" s="777"/>
      <c r="C731" s="777"/>
      <c r="D731" s="778"/>
      <c r="E731" s="778"/>
      <c r="F731" s="778"/>
      <c r="G731" s="778"/>
      <c r="H731" s="778"/>
      <c r="I731" s="778"/>
      <c r="J731" s="778"/>
      <c r="K731" s="778"/>
      <c r="L731" s="778"/>
      <c r="M731" s="778"/>
      <c r="N731" s="778"/>
      <c r="O731" s="778"/>
      <c r="P731" s="778"/>
      <c r="Q731" s="778"/>
      <c r="R731" s="778"/>
      <c r="S731" s="778"/>
      <c r="T731" s="778"/>
      <c r="U731" s="778"/>
      <c r="V731" s="778"/>
      <c r="W731" s="778"/>
      <c r="X731" s="778"/>
      <c r="Y731" s="778"/>
      <c r="Z731" s="778"/>
    </row>
    <row r="732">
      <c r="A732" s="777"/>
      <c r="B732" s="777"/>
      <c r="C732" s="777"/>
      <c r="D732" s="778"/>
      <c r="E732" s="778"/>
      <c r="F732" s="778"/>
      <c r="G732" s="778"/>
      <c r="H732" s="778"/>
      <c r="I732" s="778"/>
      <c r="J732" s="778"/>
      <c r="K732" s="778"/>
      <c r="L732" s="778"/>
      <c r="M732" s="778"/>
      <c r="N732" s="778"/>
      <c r="O732" s="778"/>
      <c r="P732" s="778"/>
      <c r="Q732" s="778"/>
      <c r="R732" s="778"/>
      <c r="S732" s="778"/>
      <c r="T732" s="778"/>
      <c r="U732" s="778"/>
      <c r="V732" s="778"/>
      <c r="W732" s="778"/>
      <c r="X732" s="778"/>
      <c r="Y732" s="778"/>
      <c r="Z732" s="778"/>
    </row>
    <row r="733">
      <c r="A733" s="777"/>
      <c r="B733" s="777"/>
      <c r="C733" s="777"/>
      <c r="D733" s="778"/>
      <c r="E733" s="778"/>
      <c r="F733" s="778"/>
      <c r="G733" s="778"/>
      <c r="H733" s="778"/>
      <c r="I733" s="778"/>
      <c r="J733" s="778"/>
      <c r="K733" s="778"/>
      <c r="L733" s="778"/>
      <c r="M733" s="778"/>
      <c r="N733" s="778"/>
      <c r="O733" s="778"/>
      <c r="P733" s="778"/>
      <c r="Q733" s="778"/>
      <c r="R733" s="778"/>
      <c r="S733" s="778"/>
      <c r="T733" s="778"/>
      <c r="U733" s="778"/>
      <c r="V733" s="778"/>
      <c r="W733" s="778"/>
      <c r="X733" s="778"/>
      <c r="Y733" s="778"/>
      <c r="Z733" s="778"/>
    </row>
    <row r="734">
      <c r="A734" s="777"/>
      <c r="B734" s="777"/>
      <c r="C734" s="777"/>
      <c r="D734" s="778"/>
      <c r="E734" s="778"/>
      <c r="F734" s="778"/>
      <c r="G734" s="778"/>
      <c r="H734" s="778"/>
      <c r="I734" s="778"/>
      <c r="J734" s="778"/>
      <c r="K734" s="778"/>
      <c r="L734" s="778"/>
      <c r="M734" s="778"/>
      <c r="N734" s="778"/>
      <c r="O734" s="778"/>
      <c r="P734" s="778"/>
      <c r="Q734" s="778"/>
      <c r="R734" s="778"/>
      <c r="S734" s="778"/>
      <c r="T734" s="778"/>
      <c r="U734" s="778"/>
      <c r="V734" s="778"/>
      <c r="W734" s="778"/>
      <c r="X734" s="778"/>
      <c r="Y734" s="778"/>
      <c r="Z734" s="778"/>
    </row>
    <row r="735">
      <c r="A735" s="777"/>
      <c r="B735" s="777"/>
      <c r="C735" s="777"/>
      <c r="D735" s="778"/>
      <c r="E735" s="778"/>
      <c r="F735" s="778"/>
      <c r="G735" s="778"/>
      <c r="H735" s="778"/>
      <c r="I735" s="778"/>
      <c r="J735" s="778"/>
      <c r="K735" s="778"/>
      <c r="L735" s="778"/>
      <c r="M735" s="778"/>
      <c r="N735" s="778"/>
      <c r="O735" s="778"/>
      <c r="P735" s="778"/>
      <c r="Q735" s="778"/>
      <c r="R735" s="778"/>
      <c r="S735" s="778"/>
      <c r="T735" s="778"/>
      <c r="U735" s="778"/>
      <c r="V735" s="778"/>
      <c r="W735" s="778"/>
      <c r="X735" s="778"/>
      <c r="Y735" s="778"/>
      <c r="Z735" s="778"/>
    </row>
    <row r="736">
      <c r="A736" s="777"/>
      <c r="B736" s="777"/>
      <c r="C736" s="777"/>
      <c r="D736" s="778"/>
      <c r="E736" s="778"/>
      <c r="F736" s="778"/>
      <c r="G736" s="778"/>
      <c r="H736" s="778"/>
      <c r="I736" s="778"/>
      <c r="J736" s="778"/>
      <c r="K736" s="778"/>
      <c r="L736" s="778"/>
      <c r="M736" s="778"/>
      <c r="N736" s="778"/>
      <c r="O736" s="778"/>
      <c r="P736" s="778"/>
      <c r="Q736" s="778"/>
      <c r="R736" s="778"/>
      <c r="S736" s="778"/>
      <c r="T736" s="778"/>
      <c r="U736" s="778"/>
      <c r="V736" s="778"/>
      <c r="W736" s="778"/>
      <c r="X736" s="778"/>
      <c r="Y736" s="778"/>
      <c r="Z736" s="778"/>
    </row>
    <row r="737">
      <c r="A737" s="777"/>
      <c r="B737" s="777"/>
      <c r="C737" s="777"/>
      <c r="D737" s="778"/>
      <c r="E737" s="778"/>
      <c r="F737" s="778"/>
      <c r="G737" s="778"/>
      <c r="H737" s="778"/>
      <c r="I737" s="778"/>
      <c r="J737" s="778"/>
      <c r="K737" s="778"/>
      <c r="L737" s="778"/>
      <c r="M737" s="778"/>
      <c r="N737" s="778"/>
      <c r="O737" s="778"/>
      <c r="P737" s="778"/>
      <c r="Q737" s="778"/>
      <c r="R737" s="778"/>
      <c r="S737" s="778"/>
      <c r="T737" s="778"/>
      <c r="U737" s="778"/>
      <c r="V737" s="778"/>
      <c r="W737" s="778"/>
      <c r="X737" s="778"/>
      <c r="Y737" s="778"/>
      <c r="Z737" s="778"/>
    </row>
    <row r="738">
      <c r="A738" s="777"/>
      <c r="B738" s="777"/>
      <c r="C738" s="777"/>
      <c r="D738" s="778"/>
      <c r="E738" s="778"/>
      <c r="F738" s="778"/>
      <c r="G738" s="778"/>
      <c r="H738" s="778"/>
      <c r="I738" s="778"/>
      <c r="J738" s="778"/>
      <c r="K738" s="778"/>
      <c r="L738" s="778"/>
      <c r="M738" s="778"/>
      <c r="N738" s="778"/>
      <c r="O738" s="778"/>
      <c r="P738" s="778"/>
      <c r="Q738" s="778"/>
      <c r="R738" s="778"/>
      <c r="S738" s="778"/>
      <c r="T738" s="778"/>
      <c r="U738" s="778"/>
      <c r="V738" s="778"/>
      <c r="W738" s="778"/>
      <c r="X738" s="778"/>
      <c r="Y738" s="778"/>
      <c r="Z738" s="778"/>
    </row>
    <row r="739">
      <c r="A739" s="777"/>
      <c r="B739" s="777"/>
      <c r="C739" s="777"/>
      <c r="D739" s="778"/>
      <c r="E739" s="778"/>
      <c r="F739" s="778"/>
      <c r="G739" s="778"/>
      <c r="H739" s="778"/>
      <c r="I739" s="778"/>
      <c r="J739" s="778"/>
      <c r="K739" s="778"/>
      <c r="L739" s="778"/>
      <c r="M739" s="778"/>
      <c r="N739" s="778"/>
      <c r="O739" s="778"/>
      <c r="P739" s="778"/>
      <c r="Q739" s="778"/>
      <c r="R739" s="778"/>
      <c r="S739" s="778"/>
      <c r="T739" s="778"/>
      <c r="U739" s="778"/>
      <c r="V739" s="778"/>
      <c r="W739" s="778"/>
      <c r="X739" s="778"/>
      <c r="Y739" s="778"/>
      <c r="Z739" s="778"/>
    </row>
    <row r="740">
      <c r="A740" s="777"/>
      <c r="B740" s="777"/>
      <c r="C740" s="777"/>
      <c r="D740" s="778"/>
      <c r="E740" s="778"/>
      <c r="F740" s="778"/>
      <c r="G740" s="778"/>
      <c r="H740" s="778"/>
      <c r="I740" s="778"/>
      <c r="J740" s="778"/>
      <c r="K740" s="778"/>
      <c r="L740" s="778"/>
      <c r="M740" s="778"/>
      <c r="N740" s="778"/>
      <c r="O740" s="778"/>
      <c r="P740" s="778"/>
      <c r="Q740" s="778"/>
      <c r="R740" s="778"/>
      <c r="S740" s="778"/>
      <c r="T740" s="778"/>
      <c r="U740" s="778"/>
      <c r="V740" s="778"/>
      <c r="W740" s="778"/>
      <c r="X740" s="778"/>
      <c r="Y740" s="778"/>
      <c r="Z740" s="778"/>
    </row>
    <row r="741">
      <c r="A741" s="777"/>
      <c r="B741" s="777"/>
      <c r="C741" s="777"/>
      <c r="D741" s="778"/>
      <c r="E741" s="778"/>
      <c r="F741" s="778"/>
      <c r="G741" s="778"/>
      <c r="H741" s="778"/>
      <c r="I741" s="778"/>
      <c r="J741" s="778"/>
      <c r="K741" s="778"/>
      <c r="L741" s="778"/>
      <c r="M741" s="778"/>
      <c r="N741" s="778"/>
      <c r="O741" s="778"/>
      <c r="P741" s="778"/>
      <c r="Q741" s="778"/>
      <c r="R741" s="778"/>
      <c r="S741" s="778"/>
      <c r="T741" s="778"/>
      <c r="U741" s="778"/>
      <c r="V741" s="778"/>
      <c r="W741" s="778"/>
      <c r="X741" s="778"/>
      <c r="Y741" s="778"/>
      <c r="Z741" s="778"/>
    </row>
    <row r="742">
      <c r="A742" s="777"/>
      <c r="B742" s="777"/>
      <c r="C742" s="777"/>
      <c r="D742" s="778"/>
      <c r="E742" s="778"/>
      <c r="F742" s="778"/>
      <c r="G742" s="778"/>
      <c r="H742" s="778"/>
      <c r="I742" s="778"/>
      <c r="J742" s="778"/>
      <c r="K742" s="778"/>
      <c r="L742" s="778"/>
      <c r="M742" s="778"/>
      <c r="N742" s="778"/>
      <c r="O742" s="778"/>
      <c r="P742" s="778"/>
      <c r="Q742" s="778"/>
      <c r="R742" s="778"/>
      <c r="S742" s="778"/>
      <c r="T742" s="778"/>
      <c r="U742" s="778"/>
      <c r="V742" s="778"/>
      <c r="W742" s="778"/>
      <c r="X742" s="778"/>
      <c r="Y742" s="778"/>
      <c r="Z742" s="778"/>
    </row>
    <row r="743">
      <c r="A743" s="777"/>
      <c r="B743" s="777"/>
      <c r="C743" s="777"/>
      <c r="D743" s="778"/>
      <c r="E743" s="778"/>
      <c r="F743" s="778"/>
      <c r="G743" s="778"/>
      <c r="H743" s="778"/>
      <c r="I743" s="778"/>
      <c r="J743" s="778"/>
      <c r="K743" s="778"/>
      <c r="L743" s="778"/>
      <c r="M743" s="778"/>
      <c r="N743" s="778"/>
      <c r="O743" s="778"/>
      <c r="P743" s="778"/>
      <c r="Q743" s="778"/>
      <c r="R743" s="778"/>
      <c r="S743" s="778"/>
      <c r="T743" s="778"/>
      <c r="U743" s="778"/>
      <c r="V743" s="778"/>
      <c r="W743" s="778"/>
      <c r="X743" s="778"/>
      <c r="Y743" s="778"/>
      <c r="Z743" s="778"/>
    </row>
    <row r="744">
      <c r="A744" s="777"/>
      <c r="B744" s="777"/>
      <c r="C744" s="777"/>
      <c r="D744" s="778"/>
      <c r="E744" s="778"/>
      <c r="F744" s="778"/>
      <c r="G744" s="778"/>
      <c r="H744" s="778"/>
      <c r="I744" s="778"/>
      <c r="J744" s="778"/>
      <c r="K744" s="778"/>
      <c r="L744" s="778"/>
      <c r="M744" s="778"/>
      <c r="N744" s="778"/>
      <c r="O744" s="778"/>
      <c r="P744" s="778"/>
      <c r="Q744" s="778"/>
      <c r="R744" s="778"/>
      <c r="S744" s="778"/>
      <c r="T744" s="778"/>
      <c r="U744" s="778"/>
      <c r="V744" s="778"/>
      <c r="W744" s="778"/>
      <c r="X744" s="778"/>
      <c r="Y744" s="778"/>
      <c r="Z744" s="778"/>
    </row>
    <row r="745">
      <c r="A745" s="777"/>
      <c r="B745" s="777"/>
      <c r="C745" s="777"/>
      <c r="D745" s="778"/>
      <c r="E745" s="778"/>
      <c r="F745" s="778"/>
      <c r="G745" s="778"/>
      <c r="H745" s="778"/>
      <c r="I745" s="778"/>
      <c r="J745" s="778"/>
      <c r="K745" s="778"/>
      <c r="L745" s="778"/>
      <c r="M745" s="778"/>
      <c r="N745" s="778"/>
      <c r="O745" s="778"/>
      <c r="P745" s="778"/>
      <c r="Q745" s="778"/>
      <c r="R745" s="778"/>
      <c r="S745" s="778"/>
      <c r="T745" s="778"/>
      <c r="U745" s="778"/>
      <c r="V745" s="778"/>
      <c r="W745" s="778"/>
      <c r="X745" s="778"/>
      <c r="Y745" s="778"/>
      <c r="Z745" s="778"/>
    </row>
    <row r="746">
      <c r="A746" s="777"/>
      <c r="B746" s="777"/>
      <c r="C746" s="777"/>
      <c r="D746" s="778"/>
      <c r="E746" s="778"/>
      <c r="F746" s="778"/>
      <c r="G746" s="778"/>
      <c r="H746" s="778"/>
      <c r="I746" s="778"/>
      <c r="J746" s="778"/>
      <c r="K746" s="778"/>
      <c r="L746" s="778"/>
      <c r="M746" s="778"/>
      <c r="N746" s="778"/>
      <c r="O746" s="778"/>
      <c r="P746" s="778"/>
      <c r="Q746" s="778"/>
      <c r="R746" s="778"/>
      <c r="S746" s="778"/>
      <c r="T746" s="778"/>
      <c r="U746" s="778"/>
      <c r="V746" s="778"/>
      <c r="W746" s="778"/>
      <c r="X746" s="778"/>
      <c r="Y746" s="778"/>
      <c r="Z746" s="778"/>
    </row>
    <row r="747">
      <c r="A747" s="777"/>
      <c r="B747" s="777"/>
      <c r="C747" s="777"/>
      <c r="D747" s="778"/>
      <c r="E747" s="778"/>
      <c r="F747" s="778"/>
      <c r="G747" s="778"/>
      <c r="H747" s="778"/>
      <c r="I747" s="778"/>
      <c r="J747" s="778"/>
      <c r="K747" s="778"/>
      <c r="L747" s="778"/>
      <c r="M747" s="778"/>
      <c r="N747" s="778"/>
      <c r="O747" s="778"/>
      <c r="P747" s="778"/>
      <c r="Q747" s="778"/>
      <c r="R747" s="778"/>
      <c r="S747" s="778"/>
      <c r="T747" s="778"/>
      <c r="U747" s="778"/>
      <c r="V747" s="778"/>
      <c r="W747" s="778"/>
      <c r="X747" s="778"/>
      <c r="Y747" s="778"/>
      <c r="Z747" s="778"/>
    </row>
    <row r="748">
      <c r="A748" s="777"/>
      <c r="B748" s="777"/>
      <c r="C748" s="777"/>
      <c r="D748" s="778"/>
      <c r="E748" s="778"/>
      <c r="F748" s="778"/>
      <c r="G748" s="778"/>
      <c r="H748" s="778"/>
      <c r="I748" s="778"/>
      <c r="J748" s="778"/>
      <c r="K748" s="778"/>
      <c r="L748" s="778"/>
      <c r="M748" s="778"/>
      <c r="N748" s="778"/>
      <c r="O748" s="778"/>
      <c r="P748" s="778"/>
      <c r="Q748" s="778"/>
      <c r="R748" s="778"/>
      <c r="S748" s="778"/>
      <c r="T748" s="778"/>
      <c r="U748" s="778"/>
      <c r="V748" s="778"/>
      <c r="W748" s="778"/>
      <c r="X748" s="778"/>
      <c r="Y748" s="778"/>
      <c r="Z748" s="778"/>
    </row>
    <row r="749">
      <c r="A749" s="777"/>
      <c r="B749" s="777"/>
      <c r="C749" s="777"/>
      <c r="D749" s="778"/>
      <c r="E749" s="778"/>
      <c r="F749" s="778"/>
      <c r="G749" s="778"/>
      <c r="H749" s="778"/>
      <c r="I749" s="778"/>
      <c r="J749" s="778"/>
      <c r="K749" s="778"/>
      <c r="L749" s="778"/>
      <c r="M749" s="778"/>
      <c r="N749" s="778"/>
      <c r="O749" s="778"/>
      <c r="P749" s="778"/>
      <c r="Q749" s="778"/>
      <c r="R749" s="778"/>
      <c r="S749" s="778"/>
      <c r="T749" s="778"/>
      <c r="U749" s="778"/>
      <c r="V749" s="778"/>
      <c r="W749" s="778"/>
      <c r="X749" s="778"/>
      <c r="Y749" s="778"/>
      <c r="Z749" s="778"/>
    </row>
    <row r="750">
      <c r="A750" s="777"/>
      <c r="B750" s="777"/>
      <c r="C750" s="777"/>
      <c r="D750" s="778"/>
      <c r="E750" s="778"/>
      <c r="F750" s="778"/>
      <c r="G750" s="778"/>
      <c r="H750" s="778"/>
      <c r="I750" s="778"/>
      <c r="J750" s="778"/>
      <c r="K750" s="778"/>
      <c r="L750" s="778"/>
      <c r="M750" s="778"/>
      <c r="N750" s="778"/>
      <c r="O750" s="778"/>
      <c r="P750" s="778"/>
      <c r="Q750" s="778"/>
      <c r="R750" s="778"/>
      <c r="S750" s="778"/>
      <c r="T750" s="778"/>
      <c r="U750" s="778"/>
      <c r="V750" s="778"/>
      <c r="W750" s="778"/>
      <c r="X750" s="778"/>
      <c r="Y750" s="778"/>
      <c r="Z750" s="778"/>
    </row>
    <row r="751">
      <c r="A751" s="777"/>
      <c r="B751" s="777"/>
      <c r="C751" s="777"/>
      <c r="D751" s="778"/>
      <c r="E751" s="778"/>
      <c r="F751" s="778"/>
      <c r="G751" s="778"/>
      <c r="H751" s="778"/>
      <c r="I751" s="778"/>
      <c r="J751" s="778"/>
      <c r="K751" s="778"/>
      <c r="L751" s="778"/>
      <c r="M751" s="778"/>
      <c r="N751" s="778"/>
      <c r="O751" s="778"/>
      <c r="P751" s="778"/>
      <c r="Q751" s="778"/>
      <c r="R751" s="778"/>
      <c r="S751" s="778"/>
      <c r="T751" s="778"/>
      <c r="U751" s="778"/>
      <c r="V751" s="778"/>
      <c r="W751" s="778"/>
      <c r="X751" s="778"/>
      <c r="Y751" s="778"/>
      <c r="Z751" s="778"/>
    </row>
    <row r="752">
      <c r="A752" s="777"/>
      <c r="B752" s="777"/>
      <c r="C752" s="777"/>
      <c r="D752" s="778"/>
      <c r="E752" s="778"/>
      <c r="F752" s="778"/>
      <c r="G752" s="778"/>
      <c r="H752" s="778"/>
      <c r="I752" s="778"/>
      <c r="J752" s="778"/>
      <c r="K752" s="778"/>
      <c r="L752" s="778"/>
      <c r="M752" s="778"/>
      <c r="N752" s="778"/>
      <c r="O752" s="778"/>
      <c r="P752" s="778"/>
      <c r="Q752" s="778"/>
      <c r="R752" s="778"/>
      <c r="S752" s="778"/>
      <c r="T752" s="778"/>
      <c r="U752" s="778"/>
      <c r="V752" s="778"/>
      <c r="W752" s="778"/>
      <c r="X752" s="778"/>
      <c r="Y752" s="778"/>
      <c r="Z752" s="778"/>
    </row>
    <row r="753">
      <c r="A753" s="777"/>
      <c r="B753" s="777"/>
      <c r="C753" s="777"/>
      <c r="D753" s="778"/>
      <c r="E753" s="778"/>
      <c r="F753" s="778"/>
      <c r="G753" s="778"/>
      <c r="H753" s="778"/>
      <c r="I753" s="778"/>
      <c r="J753" s="778"/>
      <c r="K753" s="778"/>
      <c r="L753" s="778"/>
      <c r="M753" s="778"/>
      <c r="N753" s="778"/>
      <c r="O753" s="778"/>
      <c r="P753" s="778"/>
      <c r="Q753" s="778"/>
      <c r="R753" s="778"/>
      <c r="S753" s="778"/>
      <c r="T753" s="778"/>
      <c r="U753" s="778"/>
      <c r="V753" s="778"/>
      <c r="W753" s="778"/>
      <c r="X753" s="778"/>
      <c r="Y753" s="778"/>
      <c r="Z753" s="778"/>
    </row>
    <row r="754">
      <c r="A754" s="777"/>
      <c r="B754" s="777"/>
      <c r="C754" s="777"/>
      <c r="D754" s="778"/>
      <c r="E754" s="778"/>
      <c r="F754" s="778"/>
      <c r="G754" s="778"/>
      <c r="H754" s="778"/>
      <c r="I754" s="778"/>
      <c r="J754" s="778"/>
      <c r="K754" s="778"/>
      <c r="L754" s="778"/>
      <c r="M754" s="778"/>
      <c r="N754" s="778"/>
      <c r="O754" s="778"/>
      <c r="P754" s="778"/>
      <c r="Q754" s="778"/>
      <c r="R754" s="778"/>
      <c r="S754" s="778"/>
      <c r="T754" s="778"/>
      <c r="U754" s="778"/>
      <c r="V754" s="778"/>
      <c r="W754" s="778"/>
      <c r="X754" s="778"/>
      <c r="Y754" s="778"/>
      <c r="Z754" s="778"/>
    </row>
    <row r="755">
      <c r="A755" s="777"/>
      <c r="B755" s="777"/>
      <c r="C755" s="777"/>
      <c r="D755" s="778"/>
      <c r="E755" s="778"/>
      <c r="F755" s="778"/>
      <c r="G755" s="778"/>
      <c r="H755" s="778"/>
      <c r="I755" s="778"/>
      <c r="J755" s="778"/>
      <c r="K755" s="778"/>
      <c r="L755" s="778"/>
      <c r="M755" s="778"/>
      <c r="N755" s="778"/>
      <c r="O755" s="778"/>
      <c r="P755" s="778"/>
      <c r="Q755" s="778"/>
      <c r="R755" s="778"/>
      <c r="S755" s="778"/>
      <c r="T755" s="778"/>
      <c r="U755" s="778"/>
      <c r="V755" s="778"/>
      <c r="W755" s="778"/>
      <c r="X755" s="778"/>
      <c r="Y755" s="778"/>
      <c r="Z755" s="778"/>
    </row>
    <row r="756">
      <c r="A756" s="777"/>
      <c r="B756" s="777"/>
      <c r="C756" s="777"/>
      <c r="D756" s="778"/>
      <c r="E756" s="778"/>
      <c r="F756" s="778"/>
      <c r="G756" s="778"/>
      <c r="H756" s="778"/>
      <c r="I756" s="778"/>
      <c r="J756" s="778"/>
      <c r="K756" s="778"/>
      <c r="L756" s="778"/>
      <c r="M756" s="778"/>
      <c r="N756" s="778"/>
      <c r="O756" s="778"/>
      <c r="P756" s="778"/>
      <c r="Q756" s="778"/>
      <c r="R756" s="778"/>
      <c r="S756" s="778"/>
      <c r="T756" s="778"/>
      <c r="U756" s="778"/>
      <c r="V756" s="778"/>
      <c r="W756" s="778"/>
      <c r="X756" s="778"/>
      <c r="Y756" s="778"/>
      <c r="Z756" s="778"/>
    </row>
    <row r="757">
      <c r="A757" s="777"/>
      <c r="B757" s="777"/>
      <c r="C757" s="777"/>
      <c r="D757" s="778"/>
      <c r="E757" s="778"/>
      <c r="F757" s="778"/>
      <c r="G757" s="778"/>
      <c r="H757" s="778"/>
      <c r="I757" s="778"/>
      <c r="J757" s="778"/>
      <c r="K757" s="778"/>
      <c r="L757" s="778"/>
      <c r="M757" s="778"/>
      <c r="N757" s="778"/>
      <c r="O757" s="778"/>
      <c r="P757" s="778"/>
      <c r="Q757" s="778"/>
      <c r="R757" s="778"/>
      <c r="S757" s="778"/>
      <c r="T757" s="778"/>
      <c r="U757" s="778"/>
      <c r="V757" s="778"/>
      <c r="W757" s="778"/>
      <c r="X757" s="778"/>
      <c r="Y757" s="778"/>
      <c r="Z757" s="778"/>
    </row>
    <row r="758">
      <c r="A758" s="777"/>
      <c r="B758" s="777"/>
      <c r="C758" s="777"/>
      <c r="D758" s="778"/>
      <c r="E758" s="778"/>
      <c r="F758" s="778"/>
      <c r="G758" s="778"/>
      <c r="H758" s="778"/>
      <c r="I758" s="778"/>
      <c r="J758" s="778"/>
      <c r="K758" s="778"/>
      <c r="L758" s="778"/>
      <c r="M758" s="778"/>
      <c r="N758" s="778"/>
      <c r="O758" s="778"/>
      <c r="P758" s="778"/>
      <c r="Q758" s="778"/>
      <c r="R758" s="778"/>
      <c r="S758" s="778"/>
      <c r="T758" s="778"/>
      <c r="U758" s="778"/>
      <c r="V758" s="778"/>
      <c r="W758" s="778"/>
      <c r="X758" s="778"/>
      <c r="Y758" s="778"/>
      <c r="Z758" s="778"/>
    </row>
    <row r="759">
      <c r="A759" s="777"/>
      <c r="B759" s="777"/>
      <c r="C759" s="777"/>
      <c r="D759" s="778"/>
      <c r="E759" s="778"/>
      <c r="F759" s="778"/>
      <c r="G759" s="778"/>
      <c r="H759" s="778"/>
      <c r="I759" s="778"/>
      <c r="J759" s="778"/>
      <c r="K759" s="778"/>
      <c r="L759" s="778"/>
      <c r="M759" s="778"/>
      <c r="N759" s="778"/>
      <c r="O759" s="778"/>
      <c r="P759" s="778"/>
      <c r="Q759" s="778"/>
      <c r="R759" s="778"/>
      <c r="S759" s="778"/>
      <c r="T759" s="778"/>
      <c r="U759" s="778"/>
      <c r="V759" s="778"/>
      <c r="W759" s="778"/>
      <c r="X759" s="778"/>
      <c r="Y759" s="778"/>
      <c r="Z759" s="778"/>
    </row>
    <row r="760">
      <c r="A760" s="777"/>
      <c r="B760" s="777"/>
      <c r="C760" s="777"/>
      <c r="D760" s="778"/>
      <c r="E760" s="778"/>
      <c r="F760" s="778"/>
      <c r="G760" s="778"/>
      <c r="H760" s="778"/>
      <c r="I760" s="778"/>
      <c r="J760" s="778"/>
      <c r="K760" s="778"/>
      <c r="L760" s="778"/>
      <c r="M760" s="778"/>
      <c r="N760" s="778"/>
      <c r="O760" s="778"/>
      <c r="P760" s="778"/>
      <c r="Q760" s="778"/>
      <c r="R760" s="778"/>
      <c r="S760" s="778"/>
      <c r="T760" s="778"/>
      <c r="U760" s="778"/>
      <c r="V760" s="778"/>
      <c r="W760" s="778"/>
      <c r="X760" s="778"/>
      <c r="Y760" s="778"/>
      <c r="Z760" s="778"/>
    </row>
    <row r="761">
      <c r="A761" s="777"/>
      <c r="B761" s="777"/>
      <c r="C761" s="777"/>
      <c r="D761" s="778"/>
      <c r="E761" s="778"/>
      <c r="F761" s="778"/>
      <c r="G761" s="778"/>
      <c r="H761" s="778"/>
      <c r="I761" s="778"/>
      <c r="J761" s="778"/>
      <c r="K761" s="778"/>
      <c r="L761" s="778"/>
      <c r="M761" s="778"/>
      <c r="N761" s="778"/>
      <c r="O761" s="778"/>
      <c r="P761" s="778"/>
      <c r="Q761" s="778"/>
      <c r="R761" s="778"/>
      <c r="S761" s="778"/>
      <c r="T761" s="778"/>
      <c r="U761" s="778"/>
      <c r="V761" s="778"/>
      <c r="W761" s="778"/>
      <c r="X761" s="778"/>
      <c r="Y761" s="778"/>
      <c r="Z761" s="778"/>
    </row>
    <row r="762">
      <c r="A762" s="777"/>
      <c r="B762" s="777"/>
      <c r="C762" s="777"/>
      <c r="D762" s="778"/>
      <c r="E762" s="778"/>
      <c r="F762" s="778"/>
      <c r="G762" s="778"/>
      <c r="H762" s="778"/>
      <c r="I762" s="778"/>
      <c r="J762" s="778"/>
      <c r="K762" s="778"/>
      <c r="L762" s="778"/>
      <c r="M762" s="778"/>
      <c r="N762" s="778"/>
      <c r="O762" s="778"/>
      <c r="P762" s="778"/>
      <c r="Q762" s="778"/>
      <c r="R762" s="778"/>
      <c r="S762" s="778"/>
      <c r="T762" s="778"/>
      <c r="U762" s="778"/>
      <c r="V762" s="778"/>
      <c r="W762" s="778"/>
      <c r="X762" s="778"/>
      <c r="Y762" s="778"/>
      <c r="Z762" s="778"/>
    </row>
    <row r="763">
      <c r="A763" s="777"/>
      <c r="B763" s="777"/>
      <c r="C763" s="777"/>
      <c r="D763" s="778"/>
      <c r="E763" s="778"/>
      <c r="F763" s="778"/>
      <c r="G763" s="778"/>
      <c r="H763" s="778"/>
      <c r="I763" s="778"/>
      <c r="J763" s="778"/>
      <c r="K763" s="778"/>
      <c r="L763" s="778"/>
      <c r="M763" s="778"/>
      <c r="N763" s="778"/>
      <c r="O763" s="778"/>
      <c r="P763" s="778"/>
      <c r="Q763" s="778"/>
      <c r="R763" s="778"/>
      <c r="S763" s="778"/>
      <c r="T763" s="778"/>
      <c r="U763" s="778"/>
      <c r="V763" s="778"/>
      <c r="W763" s="778"/>
      <c r="X763" s="778"/>
      <c r="Y763" s="778"/>
      <c r="Z763" s="778"/>
    </row>
    <row r="764">
      <c r="A764" s="777"/>
      <c r="B764" s="777"/>
      <c r="C764" s="777"/>
      <c r="D764" s="778"/>
      <c r="E764" s="778"/>
      <c r="F764" s="778"/>
      <c r="G764" s="778"/>
      <c r="H764" s="778"/>
      <c r="I764" s="778"/>
      <c r="J764" s="778"/>
      <c r="K764" s="778"/>
      <c r="L764" s="778"/>
      <c r="M764" s="778"/>
      <c r="N764" s="778"/>
      <c r="O764" s="778"/>
      <c r="P764" s="778"/>
      <c r="Q764" s="778"/>
      <c r="R764" s="778"/>
      <c r="S764" s="778"/>
      <c r="T764" s="778"/>
      <c r="U764" s="778"/>
      <c r="V764" s="778"/>
      <c r="W764" s="778"/>
      <c r="X764" s="778"/>
      <c r="Y764" s="778"/>
      <c r="Z764" s="778"/>
    </row>
    <row r="765">
      <c r="A765" s="777"/>
      <c r="B765" s="777"/>
      <c r="C765" s="777"/>
      <c r="D765" s="778"/>
      <c r="E765" s="778"/>
      <c r="F765" s="778"/>
      <c r="G765" s="778"/>
      <c r="H765" s="778"/>
      <c r="I765" s="778"/>
      <c r="J765" s="778"/>
      <c r="K765" s="778"/>
      <c r="L765" s="778"/>
      <c r="M765" s="778"/>
      <c r="N765" s="778"/>
      <c r="O765" s="778"/>
      <c r="P765" s="778"/>
      <c r="Q765" s="778"/>
      <c r="R765" s="778"/>
      <c r="S765" s="778"/>
      <c r="T765" s="778"/>
      <c r="U765" s="778"/>
      <c r="V765" s="778"/>
      <c r="W765" s="778"/>
      <c r="X765" s="778"/>
      <c r="Y765" s="778"/>
      <c r="Z765" s="778"/>
    </row>
    <row r="766">
      <c r="A766" s="777"/>
      <c r="B766" s="777"/>
      <c r="C766" s="777"/>
      <c r="D766" s="778"/>
      <c r="E766" s="778"/>
      <c r="F766" s="778"/>
      <c r="G766" s="778"/>
      <c r="H766" s="778"/>
      <c r="I766" s="778"/>
      <c r="J766" s="778"/>
      <c r="K766" s="778"/>
      <c r="L766" s="778"/>
      <c r="M766" s="778"/>
      <c r="N766" s="778"/>
      <c r="O766" s="778"/>
      <c r="P766" s="778"/>
      <c r="Q766" s="778"/>
      <c r="R766" s="778"/>
      <c r="S766" s="778"/>
      <c r="T766" s="778"/>
      <c r="U766" s="778"/>
      <c r="V766" s="778"/>
      <c r="W766" s="778"/>
      <c r="X766" s="778"/>
      <c r="Y766" s="778"/>
      <c r="Z766" s="778"/>
    </row>
    <row r="767">
      <c r="A767" s="777"/>
      <c r="B767" s="777"/>
      <c r="C767" s="777"/>
      <c r="D767" s="778"/>
      <c r="E767" s="778"/>
      <c r="F767" s="778"/>
      <c r="G767" s="778"/>
      <c r="H767" s="778"/>
      <c r="I767" s="778"/>
      <c r="J767" s="778"/>
      <c r="K767" s="778"/>
      <c r="L767" s="778"/>
      <c r="M767" s="778"/>
      <c r="N767" s="778"/>
      <c r="O767" s="778"/>
      <c r="P767" s="778"/>
      <c r="Q767" s="778"/>
      <c r="R767" s="778"/>
      <c r="S767" s="778"/>
      <c r="T767" s="778"/>
      <c r="U767" s="778"/>
      <c r="V767" s="778"/>
      <c r="W767" s="778"/>
      <c r="X767" s="778"/>
      <c r="Y767" s="778"/>
      <c r="Z767" s="778"/>
    </row>
    <row r="768">
      <c r="A768" s="777"/>
      <c r="B768" s="777"/>
      <c r="C768" s="777"/>
      <c r="D768" s="778"/>
      <c r="E768" s="778"/>
      <c r="F768" s="778"/>
      <c r="G768" s="778"/>
      <c r="H768" s="778"/>
      <c r="I768" s="778"/>
      <c r="J768" s="778"/>
      <c r="K768" s="778"/>
      <c r="L768" s="778"/>
      <c r="M768" s="778"/>
      <c r="N768" s="778"/>
      <c r="O768" s="778"/>
      <c r="P768" s="778"/>
      <c r="Q768" s="778"/>
      <c r="R768" s="778"/>
      <c r="S768" s="778"/>
      <c r="T768" s="778"/>
      <c r="U768" s="778"/>
      <c r="V768" s="778"/>
      <c r="W768" s="778"/>
      <c r="X768" s="778"/>
      <c r="Y768" s="778"/>
      <c r="Z768" s="778"/>
    </row>
    <row r="769">
      <c r="A769" s="777"/>
      <c r="B769" s="777"/>
      <c r="C769" s="777"/>
      <c r="D769" s="778"/>
      <c r="E769" s="778"/>
      <c r="F769" s="778"/>
      <c r="G769" s="778"/>
      <c r="H769" s="778"/>
      <c r="I769" s="778"/>
      <c r="J769" s="778"/>
      <c r="K769" s="778"/>
      <c r="L769" s="778"/>
      <c r="M769" s="778"/>
      <c r="N769" s="778"/>
      <c r="O769" s="778"/>
      <c r="P769" s="778"/>
      <c r="Q769" s="778"/>
      <c r="R769" s="778"/>
      <c r="S769" s="778"/>
      <c r="T769" s="778"/>
      <c r="U769" s="778"/>
      <c r="V769" s="778"/>
      <c r="W769" s="778"/>
      <c r="X769" s="778"/>
      <c r="Y769" s="778"/>
      <c r="Z769" s="778"/>
    </row>
    <row r="770">
      <c r="A770" s="777"/>
      <c r="B770" s="777"/>
      <c r="C770" s="777"/>
      <c r="D770" s="778"/>
      <c r="E770" s="778"/>
      <c r="F770" s="778"/>
      <c r="G770" s="778"/>
      <c r="H770" s="778"/>
      <c r="I770" s="778"/>
      <c r="J770" s="778"/>
      <c r="K770" s="778"/>
      <c r="L770" s="778"/>
      <c r="M770" s="778"/>
      <c r="N770" s="778"/>
      <c r="O770" s="778"/>
      <c r="P770" s="778"/>
      <c r="Q770" s="778"/>
      <c r="R770" s="778"/>
      <c r="S770" s="778"/>
      <c r="T770" s="778"/>
      <c r="U770" s="778"/>
      <c r="V770" s="778"/>
      <c r="W770" s="778"/>
      <c r="X770" s="778"/>
      <c r="Y770" s="778"/>
      <c r="Z770" s="778"/>
    </row>
    <row r="771">
      <c r="A771" s="777"/>
      <c r="B771" s="777"/>
      <c r="C771" s="777"/>
      <c r="D771" s="778"/>
      <c r="E771" s="778"/>
      <c r="F771" s="778"/>
      <c r="G771" s="778"/>
      <c r="H771" s="778"/>
      <c r="I771" s="778"/>
      <c r="J771" s="778"/>
      <c r="K771" s="778"/>
      <c r="L771" s="778"/>
      <c r="M771" s="778"/>
      <c r="N771" s="778"/>
      <c r="O771" s="778"/>
      <c r="P771" s="778"/>
      <c r="Q771" s="778"/>
      <c r="R771" s="778"/>
      <c r="S771" s="778"/>
      <c r="T771" s="778"/>
      <c r="U771" s="778"/>
      <c r="V771" s="778"/>
      <c r="W771" s="778"/>
      <c r="X771" s="778"/>
      <c r="Y771" s="778"/>
      <c r="Z771" s="778"/>
    </row>
    <row r="772">
      <c r="A772" s="777"/>
      <c r="B772" s="777"/>
      <c r="C772" s="777"/>
      <c r="D772" s="778"/>
      <c r="E772" s="778"/>
      <c r="F772" s="778"/>
      <c r="G772" s="778"/>
      <c r="H772" s="778"/>
      <c r="I772" s="778"/>
      <c r="J772" s="778"/>
      <c r="K772" s="778"/>
      <c r="L772" s="778"/>
      <c r="M772" s="778"/>
      <c r="N772" s="778"/>
      <c r="O772" s="778"/>
      <c r="P772" s="778"/>
      <c r="Q772" s="778"/>
      <c r="R772" s="778"/>
      <c r="S772" s="778"/>
      <c r="T772" s="778"/>
      <c r="U772" s="778"/>
      <c r="V772" s="778"/>
      <c r="W772" s="778"/>
      <c r="X772" s="778"/>
      <c r="Y772" s="778"/>
      <c r="Z772" s="778"/>
    </row>
    <row r="773">
      <c r="A773" s="777"/>
      <c r="B773" s="777"/>
      <c r="C773" s="777"/>
      <c r="D773" s="778"/>
      <c r="E773" s="778"/>
      <c r="F773" s="778"/>
      <c r="G773" s="778"/>
      <c r="H773" s="778"/>
      <c r="I773" s="778"/>
      <c r="J773" s="778"/>
      <c r="K773" s="778"/>
      <c r="L773" s="778"/>
      <c r="M773" s="778"/>
      <c r="N773" s="778"/>
      <c r="O773" s="778"/>
      <c r="P773" s="778"/>
      <c r="Q773" s="778"/>
      <c r="R773" s="778"/>
      <c r="S773" s="778"/>
      <c r="T773" s="778"/>
      <c r="U773" s="778"/>
      <c r="V773" s="778"/>
      <c r="W773" s="778"/>
      <c r="X773" s="778"/>
      <c r="Y773" s="778"/>
      <c r="Z773" s="778"/>
    </row>
    <row r="774">
      <c r="A774" s="777"/>
      <c r="B774" s="777"/>
      <c r="C774" s="777"/>
      <c r="D774" s="778"/>
      <c r="E774" s="778"/>
      <c r="F774" s="778"/>
      <c r="G774" s="778"/>
      <c r="H774" s="778"/>
      <c r="I774" s="778"/>
      <c r="J774" s="778"/>
      <c r="K774" s="778"/>
      <c r="L774" s="778"/>
      <c r="M774" s="778"/>
      <c r="N774" s="778"/>
      <c r="O774" s="778"/>
      <c r="P774" s="778"/>
      <c r="Q774" s="778"/>
      <c r="R774" s="778"/>
      <c r="S774" s="778"/>
      <c r="T774" s="778"/>
      <c r="U774" s="778"/>
      <c r="V774" s="778"/>
      <c r="W774" s="778"/>
      <c r="X774" s="778"/>
      <c r="Y774" s="778"/>
      <c r="Z774" s="778"/>
    </row>
    <row r="775">
      <c r="A775" s="777"/>
      <c r="B775" s="777"/>
      <c r="C775" s="777"/>
      <c r="D775" s="778"/>
      <c r="E775" s="778"/>
      <c r="F775" s="778"/>
      <c r="G775" s="778"/>
      <c r="H775" s="778"/>
      <c r="I775" s="778"/>
      <c r="J775" s="778"/>
      <c r="K775" s="778"/>
      <c r="L775" s="778"/>
      <c r="M775" s="778"/>
      <c r="N775" s="778"/>
      <c r="O775" s="778"/>
      <c r="P775" s="778"/>
      <c r="Q775" s="778"/>
      <c r="R775" s="778"/>
      <c r="S775" s="778"/>
      <c r="T775" s="778"/>
      <c r="U775" s="778"/>
      <c r="V775" s="778"/>
      <c r="W775" s="778"/>
      <c r="X775" s="778"/>
      <c r="Y775" s="778"/>
      <c r="Z775" s="778"/>
    </row>
    <row r="776">
      <c r="A776" s="777"/>
      <c r="B776" s="777"/>
      <c r="C776" s="777"/>
      <c r="D776" s="778"/>
      <c r="E776" s="778"/>
      <c r="F776" s="778"/>
      <c r="G776" s="778"/>
      <c r="H776" s="778"/>
      <c r="I776" s="778"/>
      <c r="J776" s="778"/>
      <c r="K776" s="778"/>
      <c r="L776" s="778"/>
      <c r="M776" s="778"/>
      <c r="N776" s="778"/>
      <c r="O776" s="778"/>
      <c r="P776" s="778"/>
      <c r="Q776" s="778"/>
      <c r="R776" s="778"/>
      <c r="S776" s="778"/>
      <c r="T776" s="778"/>
      <c r="U776" s="778"/>
      <c r="V776" s="778"/>
      <c r="W776" s="778"/>
      <c r="X776" s="778"/>
      <c r="Y776" s="778"/>
      <c r="Z776" s="778"/>
    </row>
    <row r="777">
      <c r="A777" s="777"/>
      <c r="B777" s="777"/>
      <c r="C777" s="777"/>
      <c r="D777" s="778"/>
      <c r="E777" s="778"/>
      <c r="F777" s="778"/>
      <c r="G777" s="778"/>
      <c r="H777" s="778"/>
      <c r="I777" s="778"/>
      <c r="J777" s="778"/>
      <c r="K777" s="778"/>
      <c r="L777" s="778"/>
      <c r="M777" s="778"/>
      <c r="N777" s="778"/>
      <c r="O777" s="778"/>
      <c r="P777" s="778"/>
      <c r="Q777" s="778"/>
      <c r="R777" s="778"/>
      <c r="S777" s="778"/>
      <c r="T777" s="778"/>
      <c r="U777" s="778"/>
      <c r="V777" s="778"/>
      <c r="W777" s="778"/>
      <c r="X777" s="778"/>
      <c r="Y777" s="778"/>
      <c r="Z777" s="778"/>
    </row>
    <row r="778">
      <c r="A778" s="777"/>
      <c r="B778" s="777"/>
      <c r="C778" s="777"/>
      <c r="D778" s="778"/>
      <c r="E778" s="778"/>
      <c r="F778" s="778"/>
      <c r="G778" s="778"/>
      <c r="H778" s="778"/>
      <c r="I778" s="778"/>
      <c r="J778" s="778"/>
      <c r="K778" s="778"/>
      <c r="L778" s="778"/>
      <c r="M778" s="778"/>
      <c r="N778" s="778"/>
      <c r="O778" s="778"/>
      <c r="P778" s="778"/>
      <c r="Q778" s="778"/>
      <c r="R778" s="778"/>
      <c r="S778" s="778"/>
      <c r="T778" s="778"/>
      <c r="U778" s="778"/>
      <c r="V778" s="778"/>
      <c r="W778" s="778"/>
      <c r="X778" s="778"/>
      <c r="Y778" s="778"/>
      <c r="Z778" s="778"/>
    </row>
    <row r="779">
      <c r="A779" s="777"/>
      <c r="B779" s="777"/>
      <c r="C779" s="777"/>
      <c r="D779" s="778"/>
      <c r="E779" s="778"/>
      <c r="F779" s="778"/>
      <c r="G779" s="778"/>
      <c r="H779" s="778"/>
      <c r="I779" s="778"/>
      <c r="J779" s="778"/>
      <c r="K779" s="778"/>
      <c r="L779" s="778"/>
      <c r="M779" s="778"/>
      <c r="N779" s="778"/>
      <c r="O779" s="778"/>
      <c r="P779" s="778"/>
      <c r="Q779" s="778"/>
      <c r="R779" s="778"/>
      <c r="S779" s="778"/>
      <c r="T779" s="778"/>
      <c r="U779" s="778"/>
      <c r="V779" s="778"/>
      <c r="W779" s="778"/>
      <c r="X779" s="778"/>
      <c r="Y779" s="778"/>
      <c r="Z779" s="778"/>
    </row>
    <row r="780">
      <c r="A780" s="777"/>
      <c r="B780" s="777"/>
      <c r="C780" s="777"/>
      <c r="D780" s="778"/>
      <c r="E780" s="778"/>
      <c r="F780" s="778"/>
      <c r="G780" s="778"/>
      <c r="H780" s="778"/>
      <c r="I780" s="778"/>
      <c r="J780" s="778"/>
      <c r="K780" s="778"/>
      <c r="L780" s="778"/>
      <c r="M780" s="778"/>
      <c r="N780" s="778"/>
      <c r="O780" s="778"/>
      <c r="P780" s="778"/>
      <c r="Q780" s="778"/>
      <c r="R780" s="778"/>
      <c r="S780" s="778"/>
      <c r="T780" s="778"/>
      <c r="U780" s="778"/>
      <c r="V780" s="778"/>
      <c r="W780" s="778"/>
      <c r="X780" s="778"/>
      <c r="Y780" s="778"/>
      <c r="Z780" s="778"/>
    </row>
    <row r="781">
      <c r="A781" s="777"/>
      <c r="B781" s="777"/>
      <c r="C781" s="777"/>
      <c r="D781" s="778"/>
      <c r="E781" s="778"/>
      <c r="F781" s="778"/>
      <c r="G781" s="778"/>
      <c r="H781" s="778"/>
      <c r="I781" s="778"/>
      <c r="J781" s="778"/>
      <c r="K781" s="778"/>
      <c r="L781" s="778"/>
      <c r="M781" s="778"/>
      <c r="N781" s="778"/>
      <c r="O781" s="778"/>
      <c r="P781" s="778"/>
      <c r="Q781" s="778"/>
      <c r="R781" s="778"/>
      <c r="S781" s="778"/>
      <c r="T781" s="778"/>
      <c r="U781" s="778"/>
      <c r="V781" s="778"/>
      <c r="W781" s="778"/>
      <c r="X781" s="778"/>
      <c r="Y781" s="778"/>
      <c r="Z781" s="778"/>
    </row>
    <row r="782">
      <c r="A782" s="777"/>
      <c r="B782" s="777"/>
      <c r="C782" s="777"/>
      <c r="D782" s="778"/>
      <c r="E782" s="778"/>
      <c r="F782" s="778"/>
      <c r="G782" s="778"/>
      <c r="H782" s="778"/>
      <c r="I782" s="778"/>
      <c r="J782" s="778"/>
      <c r="K782" s="778"/>
      <c r="L782" s="778"/>
      <c r="M782" s="778"/>
      <c r="N782" s="778"/>
      <c r="O782" s="778"/>
      <c r="P782" s="778"/>
      <c r="Q782" s="778"/>
      <c r="R782" s="778"/>
      <c r="S782" s="778"/>
      <c r="T782" s="778"/>
      <c r="U782" s="778"/>
      <c r="V782" s="778"/>
      <c r="W782" s="778"/>
      <c r="X782" s="778"/>
      <c r="Y782" s="778"/>
      <c r="Z782" s="778"/>
    </row>
    <row r="783">
      <c r="A783" s="777"/>
      <c r="B783" s="777"/>
      <c r="C783" s="777"/>
      <c r="D783" s="778"/>
      <c r="E783" s="778"/>
      <c r="F783" s="778"/>
      <c r="G783" s="778"/>
      <c r="H783" s="778"/>
      <c r="I783" s="778"/>
      <c r="J783" s="778"/>
      <c r="K783" s="778"/>
      <c r="L783" s="778"/>
      <c r="M783" s="778"/>
      <c r="N783" s="778"/>
      <c r="O783" s="778"/>
      <c r="P783" s="778"/>
      <c r="Q783" s="778"/>
      <c r="R783" s="778"/>
      <c r="S783" s="778"/>
      <c r="T783" s="778"/>
      <c r="U783" s="778"/>
      <c r="V783" s="778"/>
      <c r="W783" s="778"/>
      <c r="X783" s="778"/>
      <c r="Y783" s="778"/>
      <c r="Z783" s="778"/>
    </row>
    <row r="784">
      <c r="A784" s="777"/>
      <c r="B784" s="777"/>
      <c r="C784" s="777"/>
      <c r="D784" s="778"/>
      <c r="E784" s="778"/>
      <c r="F784" s="778"/>
      <c r="G784" s="778"/>
      <c r="H784" s="778"/>
      <c r="I784" s="778"/>
      <c r="J784" s="778"/>
      <c r="K784" s="778"/>
      <c r="L784" s="778"/>
      <c r="M784" s="778"/>
      <c r="N784" s="778"/>
      <c r="O784" s="778"/>
      <c r="P784" s="778"/>
      <c r="Q784" s="778"/>
      <c r="R784" s="778"/>
      <c r="S784" s="778"/>
      <c r="T784" s="778"/>
      <c r="U784" s="778"/>
      <c r="V784" s="778"/>
      <c r="W784" s="778"/>
      <c r="X784" s="778"/>
      <c r="Y784" s="778"/>
      <c r="Z784" s="778"/>
    </row>
    <row r="785">
      <c r="A785" s="777"/>
      <c r="B785" s="777"/>
      <c r="C785" s="777"/>
      <c r="D785" s="778"/>
      <c r="E785" s="778"/>
      <c r="F785" s="778"/>
      <c r="G785" s="778"/>
      <c r="H785" s="778"/>
      <c r="I785" s="778"/>
      <c r="J785" s="778"/>
      <c r="K785" s="778"/>
      <c r="L785" s="778"/>
      <c r="M785" s="778"/>
      <c r="N785" s="778"/>
      <c r="O785" s="778"/>
      <c r="P785" s="778"/>
      <c r="Q785" s="778"/>
      <c r="R785" s="778"/>
      <c r="S785" s="778"/>
      <c r="T785" s="778"/>
      <c r="U785" s="778"/>
      <c r="V785" s="778"/>
      <c r="W785" s="778"/>
      <c r="X785" s="778"/>
      <c r="Y785" s="778"/>
      <c r="Z785" s="778"/>
    </row>
    <row r="786">
      <c r="A786" s="777"/>
      <c r="B786" s="777"/>
      <c r="C786" s="777"/>
      <c r="D786" s="778"/>
      <c r="E786" s="778"/>
      <c r="F786" s="778"/>
      <c r="G786" s="778"/>
      <c r="H786" s="778"/>
      <c r="I786" s="778"/>
      <c r="J786" s="778"/>
      <c r="K786" s="778"/>
      <c r="L786" s="778"/>
      <c r="M786" s="778"/>
      <c r="N786" s="778"/>
      <c r="O786" s="778"/>
      <c r="P786" s="778"/>
      <c r="Q786" s="778"/>
      <c r="R786" s="778"/>
      <c r="S786" s="778"/>
      <c r="T786" s="778"/>
      <c r="U786" s="778"/>
      <c r="V786" s="778"/>
      <c r="W786" s="778"/>
      <c r="X786" s="778"/>
      <c r="Y786" s="778"/>
      <c r="Z786" s="778"/>
    </row>
    <row r="787">
      <c r="A787" s="777"/>
      <c r="B787" s="777"/>
      <c r="C787" s="777"/>
      <c r="D787" s="778"/>
      <c r="E787" s="778"/>
      <c r="F787" s="778"/>
      <c r="G787" s="778"/>
      <c r="H787" s="778"/>
      <c r="I787" s="778"/>
      <c r="J787" s="778"/>
      <c r="K787" s="778"/>
      <c r="L787" s="778"/>
      <c r="M787" s="778"/>
      <c r="N787" s="778"/>
      <c r="O787" s="778"/>
      <c r="P787" s="778"/>
      <c r="Q787" s="778"/>
      <c r="R787" s="778"/>
      <c r="S787" s="778"/>
      <c r="T787" s="778"/>
      <c r="U787" s="778"/>
      <c r="V787" s="778"/>
      <c r="W787" s="778"/>
      <c r="X787" s="778"/>
      <c r="Y787" s="778"/>
      <c r="Z787" s="778"/>
    </row>
    <row r="788">
      <c r="A788" s="777"/>
      <c r="B788" s="777"/>
      <c r="C788" s="777"/>
      <c r="D788" s="778"/>
      <c r="E788" s="778"/>
      <c r="F788" s="778"/>
      <c r="G788" s="778"/>
      <c r="H788" s="778"/>
      <c r="I788" s="778"/>
      <c r="J788" s="778"/>
      <c r="K788" s="778"/>
      <c r="L788" s="778"/>
      <c r="M788" s="778"/>
      <c r="N788" s="778"/>
      <c r="O788" s="778"/>
      <c r="P788" s="778"/>
      <c r="Q788" s="778"/>
      <c r="R788" s="778"/>
      <c r="S788" s="778"/>
      <c r="T788" s="778"/>
      <c r="U788" s="778"/>
      <c r="V788" s="778"/>
      <c r="W788" s="778"/>
      <c r="X788" s="778"/>
      <c r="Y788" s="778"/>
      <c r="Z788" s="778"/>
    </row>
    <row r="789">
      <c r="A789" s="777"/>
      <c r="B789" s="777"/>
      <c r="C789" s="777"/>
      <c r="D789" s="778"/>
      <c r="E789" s="778"/>
      <c r="F789" s="778"/>
      <c r="G789" s="778"/>
      <c r="H789" s="778"/>
      <c r="I789" s="778"/>
      <c r="J789" s="778"/>
      <c r="K789" s="778"/>
      <c r="L789" s="778"/>
      <c r="M789" s="778"/>
      <c r="N789" s="778"/>
      <c r="O789" s="778"/>
      <c r="P789" s="778"/>
      <c r="Q789" s="778"/>
      <c r="R789" s="778"/>
      <c r="S789" s="778"/>
      <c r="T789" s="778"/>
      <c r="U789" s="778"/>
      <c r="V789" s="778"/>
      <c r="W789" s="778"/>
      <c r="X789" s="778"/>
      <c r="Y789" s="778"/>
      <c r="Z789" s="778"/>
    </row>
    <row r="790">
      <c r="A790" s="777"/>
      <c r="B790" s="777"/>
      <c r="C790" s="777"/>
      <c r="D790" s="778"/>
      <c r="E790" s="778"/>
      <c r="F790" s="778"/>
      <c r="G790" s="778"/>
      <c r="H790" s="778"/>
      <c r="I790" s="778"/>
      <c r="J790" s="778"/>
      <c r="K790" s="778"/>
      <c r="L790" s="778"/>
      <c r="M790" s="778"/>
      <c r="N790" s="778"/>
      <c r="O790" s="778"/>
      <c r="P790" s="778"/>
      <c r="Q790" s="778"/>
      <c r="R790" s="778"/>
      <c r="S790" s="778"/>
      <c r="T790" s="778"/>
      <c r="U790" s="778"/>
      <c r="V790" s="778"/>
      <c r="W790" s="778"/>
      <c r="X790" s="778"/>
      <c r="Y790" s="778"/>
      <c r="Z790" s="778"/>
    </row>
    <row r="791">
      <c r="A791" s="777"/>
      <c r="B791" s="777"/>
      <c r="C791" s="777"/>
      <c r="D791" s="778"/>
      <c r="E791" s="778"/>
      <c r="F791" s="778"/>
      <c r="G791" s="778"/>
      <c r="H791" s="778"/>
      <c r="I791" s="778"/>
      <c r="J791" s="778"/>
      <c r="K791" s="778"/>
      <c r="L791" s="778"/>
      <c r="M791" s="778"/>
      <c r="N791" s="778"/>
      <c r="O791" s="778"/>
      <c r="P791" s="778"/>
      <c r="Q791" s="778"/>
      <c r="R791" s="778"/>
      <c r="S791" s="778"/>
      <c r="T791" s="778"/>
      <c r="U791" s="778"/>
      <c r="V791" s="778"/>
      <c r="W791" s="778"/>
      <c r="X791" s="778"/>
      <c r="Y791" s="778"/>
      <c r="Z791" s="778"/>
    </row>
    <row r="792">
      <c r="A792" s="777"/>
      <c r="B792" s="777"/>
      <c r="C792" s="777"/>
      <c r="D792" s="778"/>
      <c r="E792" s="778"/>
      <c r="F792" s="778"/>
      <c r="G792" s="778"/>
      <c r="H792" s="778"/>
      <c r="I792" s="778"/>
      <c r="J792" s="778"/>
      <c r="K792" s="778"/>
      <c r="L792" s="778"/>
      <c r="M792" s="778"/>
      <c r="N792" s="778"/>
      <c r="O792" s="778"/>
      <c r="P792" s="778"/>
      <c r="Q792" s="778"/>
      <c r="R792" s="778"/>
      <c r="S792" s="778"/>
      <c r="T792" s="778"/>
      <c r="U792" s="778"/>
      <c r="V792" s="778"/>
      <c r="W792" s="778"/>
      <c r="X792" s="778"/>
      <c r="Y792" s="778"/>
      <c r="Z792" s="778"/>
    </row>
    <row r="793">
      <c r="A793" s="777"/>
      <c r="B793" s="777"/>
      <c r="C793" s="777"/>
      <c r="D793" s="778"/>
      <c r="E793" s="778"/>
      <c r="F793" s="778"/>
      <c r="G793" s="778"/>
      <c r="H793" s="778"/>
      <c r="I793" s="778"/>
      <c r="J793" s="778"/>
      <c r="K793" s="778"/>
      <c r="L793" s="778"/>
      <c r="M793" s="778"/>
      <c r="N793" s="778"/>
      <c r="O793" s="778"/>
      <c r="P793" s="778"/>
      <c r="Q793" s="778"/>
      <c r="R793" s="778"/>
      <c r="S793" s="778"/>
      <c r="T793" s="778"/>
      <c r="U793" s="778"/>
      <c r="V793" s="778"/>
      <c r="W793" s="778"/>
      <c r="X793" s="778"/>
      <c r="Y793" s="778"/>
      <c r="Z793" s="778"/>
    </row>
    <row r="794">
      <c r="A794" s="777"/>
      <c r="B794" s="777"/>
      <c r="C794" s="777"/>
      <c r="D794" s="778"/>
      <c r="E794" s="778"/>
      <c r="F794" s="778"/>
      <c r="G794" s="778"/>
      <c r="H794" s="778"/>
      <c r="I794" s="778"/>
      <c r="J794" s="778"/>
      <c r="K794" s="778"/>
      <c r="L794" s="778"/>
      <c r="M794" s="778"/>
      <c r="N794" s="778"/>
      <c r="O794" s="778"/>
      <c r="P794" s="778"/>
      <c r="Q794" s="778"/>
      <c r="R794" s="778"/>
      <c r="S794" s="778"/>
      <c r="T794" s="778"/>
      <c r="U794" s="778"/>
      <c r="V794" s="778"/>
      <c r="W794" s="778"/>
      <c r="X794" s="778"/>
      <c r="Y794" s="778"/>
      <c r="Z794" s="778"/>
    </row>
    <row r="795">
      <c r="A795" s="777"/>
      <c r="B795" s="777"/>
      <c r="C795" s="777"/>
      <c r="D795" s="778"/>
      <c r="E795" s="778"/>
      <c r="F795" s="778"/>
      <c r="G795" s="778"/>
      <c r="H795" s="778"/>
      <c r="I795" s="778"/>
      <c r="J795" s="778"/>
      <c r="K795" s="778"/>
      <c r="L795" s="778"/>
      <c r="M795" s="778"/>
      <c r="N795" s="778"/>
      <c r="O795" s="778"/>
      <c r="P795" s="778"/>
      <c r="Q795" s="778"/>
      <c r="R795" s="778"/>
      <c r="S795" s="778"/>
      <c r="T795" s="778"/>
      <c r="U795" s="778"/>
      <c r="V795" s="778"/>
      <c r="W795" s="778"/>
      <c r="X795" s="778"/>
      <c r="Y795" s="778"/>
      <c r="Z795" s="778"/>
    </row>
    <row r="796">
      <c r="A796" s="777"/>
      <c r="B796" s="777"/>
      <c r="C796" s="777"/>
      <c r="D796" s="778"/>
      <c r="E796" s="778"/>
      <c r="F796" s="778"/>
      <c r="G796" s="778"/>
      <c r="H796" s="778"/>
      <c r="I796" s="778"/>
      <c r="J796" s="778"/>
      <c r="K796" s="778"/>
      <c r="L796" s="778"/>
      <c r="M796" s="778"/>
      <c r="N796" s="778"/>
      <c r="O796" s="778"/>
      <c r="P796" s="778"/>
      <c r="Q796" s="778"/>
      <c r="R796" s="778"/>
      <c r="S796" s="778"/>
      <c r="T796" s="778"/>
      <c r="U796" s="778"/>
      <c r="V796" s="778"/>
      <c r="W796" s="778"/>
      <c r="X796" s="778"/>
      <c r="Y796" s="778"/>
      <c r="Z796" s="778"/>
    </row>
    <row r="797">
      <c r="A797" s="777"/>
      <c r="B797" s="777"/>
      <c r="C797" s="777"/>
      <c r="D797" s="778"/>
      <c r="E797" s="778"/>
      <c r="F797" s="778"/>
      <c r="G797" s="778"/>
      <c r="H797" s="778"/>
      <c r="I797" s="778"/>
      <c r="J797" s="778"/>
      <c r="K797" s="778"/>
      <c r="L797" s="778"/>
      <c r="M797" s="778"/>
      <c r="N797" s="778"/>
      <c r="O797" s="778"/>
      <c r="P797" s="778"/>
      <c r="Q797" s="778"/>
      <c r="R797" s="778"/>
      <c r="S797" s="778"/>
      <c r="T797" s="778"/>
      <c r="U797" s="778"/>
      <c r="V797" s="778"/>
      <c r="W797" s="778"/>
      <c r="X797" s="778"/>
      <c r="Y797" s="778"/>
      <c r="Z797" s="778"/>
    </row>
    <row r="798">
      <c r="A798" s="777"/>
      <c r="B798" s="777"/>
      <c r="C798" s="777"/>
      <c r="D798" s="778"/>
      <c r="E798" s="778"/>
      <c r="F798" s="778"/>
      <c r="G798" s="778"/>
      <c r="H798" s="778"/>
      <c r="I798" s="778"/>
      <c r="J798" s="778"/>
      <c r="K798" s="778"/>
      <c r="L798" s="778"/>
      <c r="M798" s="778"/>
      <c r="N798" s="778"/>
      <c r="O798" s="778"/>
      <c r="P798" s="778"/>
      <c r="Q798" s="778"/>
      <c r="R798" s="778"/>
      <c r="S798" s="778"/>
      <c r="T798" s="778"/>
      <c r="U798" s="778"/>
      <c r="V798" s="778"/>
      <c r="W798" s="778"/>
      <c r="X798" s="778"/>
      <c r="Y798" s="778"/>
      <c r="Z798" s="778"/>
    </row>
    <row r="799">
      <c r="A799" s="777"/>
      <c r="B799" s="777"/>
      <c r="C799" s="777"/>
      <c r="D799" s="778"/>
      <c r="E799" s="778"/>
      <c r="F799" s="778"/>
      <c r="G799" s="778"/>
      <c r="H799" s="778"/>
      <c r="I799" s="778"/>
      <c r="J799" s="778"/>
      <c r="K799" s="778"/>
      <c r="L799" s="778"/>
      <c r="M799" s="778"/>
      <c r="N799" s="778"/>
      <c r="O799" s="778"/>
      <c r="P799" s="778"/>
      <c r="Q799" s="778"/>
      <c r="R799" s="778"/>
      <c r="S799" s="778"/>
      <c r="T799" s="778"/>
      <c r="U799" s="778"/>
      <c r="V799" s="778"/>
      <c r="W799" s="778"/>
      <c r="X799" s="778"/>
      <c r="Y799" s="778"/>
      <c r="Z799" s="778"/>
    </row>
    <row r="800">
      <c r="A800" s="777"/>
      <c r="B800" s="777"/>
      <c r="C800" s="777"/>
      <c r="D800" s="778"/>
      <c r="E800" s="778"/>
      <c r="F800" s="778"/>
      <c r="G800" s="778"/>
      <c r="H800" s="778"/>
      <c r="I800" s="778"/>
      <c r="J800" s="778"/>
      <c r="K800" s="778"/>
      <c r="L800" s="778"/>
      <c r="M800" s="778"/>
      <c r="N800" s="778"/>
      <c r="O800" s="778"/>
      <c r="P800" s="778"/>
      <c r="Q800" s="778"/>
      <c r="R800" s="778"/>
      <c r="S800" s="778"/>
      <c r="T800" s="778"/>
      <c r="U800" s="778"/>
      <c r="V800" s="778"/>
      <c r="W800" s="778"/>
      <c r="X800" s="778"/>
      <c r="Y800" s="778"/>
      <c r="Z800" s="778"/>
    </row>
    <row r="801">
      <c r="A801" s="777"/>
      <c r="B801" s="777"/>
      <c r="C801" s="777"/>
      <c r="D801" s="778"/>
      <c r="E801" s="778"/>
      <c r="F801" s="778"/>
      <c r="G801" s="778"/>
      <c r="H801" s="778"/>
      <c r="I801" s="778"/>
      <c r="J801" s="778"/>
      <c r="K801" s="778"/>
      <c r="L801" s="778"/>
      <c r="M801" s="778"/>
      <c r="N801" s="778"/>
      <c r="O801" s="778"/>
      <c r="P801" s="778"/>
      <c r="Q801" s="778"/>
      <c r="R801" s="778"/>
      <c r="S801" s="778"/>
      <c r="T801" s="778"/>
      <c r="U801" s="778"/>
      <c r="V801" s="778"/>
      <c r="W801" s="778"/>
      <c r="X801" s="778"/>
      <c r="Y801" s="778"/>
      <c r="Z801" s="778"/>
    </row>
    <row r="802">
      <c r="A802" s="777"/>
      <c r="B802" s="777"/>
      <c r="C802" s="777"/>
      <c r="D802" s="778"/>
      <c r="E802" s="778"/>
      <c r="F802" s="778"/>
      <c r="G802" s="778"/>
      <c r="H802" s="778"/>
      <c r="I802" s="778"/>
      <c r="J802" s="778"/>
      <c r="K802" s="778"/>
      <c r="L802" s="778"/>
      <c r="M802" s="778"/>
      <c r="N802" s="778"/>
      <c r="O802" s="778"/>
      <c r="P802" s="778"/>
      <c r="Q802" s="778"/>
      <c r="R802" s="778"/>
      <c r="S802" s="778"/>
      <c r="T802" s="778"/>
      <c r="U802" s="778"/>
      <c r="V802" s="778"/>
      <c r="W802" s="778"/>
      <c r="X802" s="778"/>
      <c r="Y802" s="778"/>
      <c r="Z802" s="778"/>
    </row>
    <row r="803">
      <c r="A803" s="777"/>
      <c r="B803" s="777"/>
      <c r="C803" s="777"/>
      <c r="D803" s="778"/>
      <c r="E803" s="778"/>
      <c r="F803" s="778"/>
      <c r="G803" s="778"/>
      <c r="H803" s="778"/>
      <c r="I803" s="778"/>
      <c r="J803" s="778"/>
      <c r="K803" s="778"/>
      <c r="L803" s="778"/>
      <c r="M803" s="778"/>
      <c r="N803" s="778"/>
      <c r="O803" s="778"/>
      <c r="P803" s="778"/>
      <c r="Q803" s="778"/>
      <c r="R803" s="778"/>
      <c r="S803" s="778"/>
      <c r="T803" s="778"/>
      <c r="U803" s="778"/>
      <c r="V803" s="778"/>
      <c r="W803" s="778"/>
      <c r="X803" s="778"/>
      <c r="Y803" s="778"/>
      <c r="Z803" s="778"/>
    </row>
    <row r="804">
      <c r="A804" s="777"/>
      <c r="B804" s="777"/>
      <c r="C804" s="777"/>
      <c r="D804" s="778"/>
      <c r="E804" s="778"/>
      <c r="F804" s="778"/>
      <c r="G804" s="778"/>
      <c r="H804" s="778"/>
      <c r="I804" s="778"/>
      <c r="J804" s="778"/>
      <c r="K804" s="778"/>
      <c r="L804" s="778"/>
      <c r="M804" s="778"/>
      <c r="N804" s="778"/>
      <c r="O804" s="778"/>
      <c r="P804" s="778"/>
      <c r="Q804" s="778"/>
      <c r="R804" s="778"/>
      <c r="S804" s="778"/>
      <c r="T804" s="778"/>
      <c r="U804" s="778"/>
      <c r="V804" s="778"/>
      <c r="W804" s="778"/>
      <c r="X804" s="778"/>
      <c r="Y804" s="778"/>
      <c r="Z804" s="778"/>
    </row>
    <row r="805">
      <c r="A805" s="777"/>
      <c r="B805" s="777"/>
      <c r="C805" s="777"/>
      <c r="D805" s="778"/>
      <c r="E805" s="778"/>
      <c r="F805" s="778"/>
      <c r="G805" s="778"/>
      <c r="H805" s="778"/>
      <c r="I805" s="778"/>
      <c r="J805" s="778"/>
      <c r="K805" s="778"/>
      <c r="L805" s="778"/>
      <c r="M805" s="778"/>
      <c r="N805" s="778"/>
      <c r="O805" s="778"/>
      <c r="P805" s="778"/>
      <c r="Q805" s="778"/>
      <c r="R805" s="778"/>
      <c r="S805" s="778"/>
      <c r="T805" s="778"/>
      <c r="U805" s="778"/>
      <c r="V805" s="778"/>
      <c r="W805" s="778"/>
      <c r="X805" s="778"/>
      <c r="Y805" s="778"/>
      <c r="Z805" s="778"/>
    </row>
    <row r="806">
      <c r="A806" s="777"/>
      <c r="B806" s="777"/>
      <c r="C806" s="777"/>
      <c r="D806" s="778"/>
      <c r="E806" s="778"/>
      <c r="F806" s="778"/>
      <c r="G806" s="778"/>
      <c r="H806" s="778"/>
      <c r="I806" s="778"/>
      <c r="J806" s="778"/>
      <c r="K806" s="778"/>
      <c r="L806" s="778"/>
      <c r="M806" s="778"/>
      <c r="N806" s="778"/>
      <c r="O806" s="778"/>
      <c r="P806" s="778"/>
      <c r="Q806" s="778"/>
      <c r="R806" s="778"/>
      <c r="S806" s="778"/>
      <c r="T806" s="778"/>
      <c r="U806" s="778"/>
      <c r="V806" s="778"/>
      <c r="W806" s="778"/>
      <c r="X806" s="778"/>
      <c r="Y806" s="778"/>
      <c r="Z806" s="778"/>
    </row>
    <row r="807">
      <c r="A807" s="777"/>
      <c r="B807" s="777"/>
      <c r="C807" s="777"/>
      <c r="D807" s="778"/>
      <c r="E807" s="778"/>
      <c r="F807" s="778"/>
      <c r="G807" s="778"/>
      <c r="H807" s="778"/>
      <c r="I807" s="778"/>
      <c r="J807" s="778"/>
      <c r="K807" s="778"/>
      <c r="L807" s="778"/>
      <c r="M807" s="778"/>
      <c r="N807" s="778"/>
      <c r="O807" s="778"/>
      <c r="P807" s="778"/>
      <c r="Q807" s="778"/>
      <c r="R807" s="778"/>
      <c r="S807" s="778"/>
      <c r="T807" s="778"/>
      <c r="U807" s="778"/>
      <c r="V807" s="778"/>
      <c r="W807" s="778"/>
      <c r="X807" s="778"/>
      <c r="Y807" s="778"/>
      <c r="Z807" s="778"/>
    </row>
    <row r="808">
      <c r="A808" s="777"/>
      <c r="B808" s="777"/>
      <c r="C808" s="777"/>
      <c r="D808" s="778"/>
      <c r="E808" s="778"/>
      <c r="F808" s="778"/>
      <c r="G808" s="778"/>
      <c r="H808" s="778"/>
      <c r="I808" s="778"/>
      <c r="J808" s="778"/>
      <c r="K808" s="778"/>
      <c r="L808" s="778"/>
      <c r="M808" s="778"/>
      <c r="N808" s="778"/>
      <c r="O808" s="778"/>
      <c r="P808" s="778"/>
      <c r="Q808" s="778"/>
      <c r="R808" s="778"/>
      <c r="S808" s="778"/>
      <c r="T808" s="778"/>
      <c r="U808" s="778"/>
      <c r="V808" s="778"/>
      <c r="W808" s="778"/>
      <c r="X808" s="778"/>
      <c r="Y808" s="778"/>
      <c r="Z808" s="778"/>
    </row>
    <row r="809">
      <c r="A809" s="777"/>
      <c r="B809" s="777"/>
      <c r="C809" s="777"/>
      <c r="D809" s="778"/>
      <c r="E809" s="778"/>
      <c r="F809" s="778"/>
      <c r="G809" s="778"/>
      <c r="H809" s="778"/>
      <c r="I809" s="778"/>
      <c r="J809" s="778"/>
      <c r="K809" s="778"/>
      <c r="L809" s="778"/>
      <c r="M809" s="778"/>
      <c r="N809" s="778"/>
      <c r="O809" s="778"/>
      <c r="P809" s="778"/>
      <c r="Q809" s="778"/>
      <c r="R809" s="778"/>
      <c r="S809" s="778"/>
      <c r="T809" s="778"/>
      <c r="U809" s="778"/>
      <c r="V809" s="778"/>
      <c r="W809" s="778"/>
      <c r="X809" s="778"/>
      <c r="Y809" s="778"/>
      <c r="Z809" s="778"/>
    </row>
    <row r="810">
      <c r="A810" s="777"/>
      <c r="B810" s="777"/>
      <c r="C810" s="777"/>
      <c r="D810" s="778"/>
      <c r="E810" s="778"/>
      <c r="F810" s="778"/>
      <c r="G810" s="778"/>
      <c r="H810" s="778"/>
      <c r="I810" s="778"/>
      <c r="J810" s="778"/>
      <c r="K810" s="778"/>
      <c r="L810" s="778"/>
      <c r="M810" s="778"/>
      <c r="N810" s="778"/>
      <c r="O810" s="778"/>
      <c r="P810" s="778"/>
      <c r="Q810" s="778"/>
      <c r="R810" s="778"/>
      <c r="S810" s="778"/>
      <c r="T810" s="778"/>
      <c r="U810" s="778"/>
      <c r="V810" s="778"/>
      <c r="W810" s="778"/>
      <c r="X810" s="778"/>
      <c r="Y810" s="778"/>
      <c r="Z810" s="778"/>
    </row>
    <row r="811">
      <c r="A811" s="777"/>
      <c r="B811" s="777"/>
      <c r="C811" s="777"/>
      <c r="D811" s="778"/>
      <c r="E811" s="778"/>
      <c r="F811" s="778"/>
      <c r="G811" s="778"/>
      <c r="H811" s="778"/>
      <c r="I811" s="778"/>
      <c r="J811" s="778"/>
      <c r="K811" s="778"/>
      <c r="L811" s="778"/>
      <c r="M811" s="778"/>
      <c r="N811" s="778"/>
      <c r="O811" s="778"/>
      <c r="P811" s="778"/>
      <c r="Q811" s="778"/>
      <c r="R811" s="778"/>
      <c r="S811" s="778"/>
      <c r="T811" s="778"/>
      <c r="U811" s="778"/>
      <c r="V811" s="778"/>
      <c r="W811" s="778"/>
      <c r="X811" s="778"/>
      <c r="Y811" s="778"/>
      <c r="Z811" s="778"/>
    </row>
    <row r="812">
      <c r="A812" s="777"/>
      <c r="B812" s="777"/>
      <c r="C812" s="777"/>
      <c r="D812" s="778"/>
      <c r="E812" s="778"/>
      <c r="F812" s="778"/>
      <c r="G812" s="778"/>
      <c r="H812" s="778"/>
      <c r="I812" s="778"/>
      <c r="J812" s="778"/>
      <c r="K812" s="778"/>
      <c r="L812" s="778"/>
      <c r="M812" s="778"/>
      <c r="N812" s="778"/>
      <c r="O812" s="778"/>
      <c r="P812" s="778"/>
      <c r="Q812" s="778"/>
      <c r="R812" s="778"/>
      <c r="S812" s="778"/>
      <c r="T812" s="778"/>
      <c r="U812" s="778"/>
      <c r="V812" s="778"/>
      <c r="W812" s="778"/>
      <c r="X812" s="778"/>
      <c r="Y812" s="778"/>
      <c r="Z812" s="778"/>
    </row>
    <row r="813">
      <c r="A813" s="777"/>
      <c r="B813" s="777"/>
      <c r="C813" s="777"/>
      <c r="D813" s="778"/>
      <c r="E813" s="778"/>
      <c r="F813" s="778"/>
      <c r="G813" s="778"/>
      <c r="H813" s="778"/>
      <c r="I813" s="778"/>
      <c r="J813" s="778"/>
      <c r="K813" s="778"/>
      <c r="L813" s="778"/>
      <c r="M813" s="778"/>
      <c r="N813" s="778"/>
      <c r="O813" s="778"/>
      <c r="P813" s="778"/>
      <c r="Q813" s="778"/>
      <c r="R813" s="778"/>
      <c r="S813" s="778"/>
      <c r="T813" s="778"/>
      <c r="U813" s="778"/>
      <c r="V813" s="778"/>
      <c r="W813" s="778"/>
      <c r="X813" s="778"/>
      <c r="Y813" s="778"/>
      <c r="Z813" s="778"/>
    </row>
    <row r="814">
      <c r="A814" s="777"/>
      <c r="B814" s="777"/>
      <c r="C814" s="777"/>
      <c r="D814" s="778"/>
      <c r="E814" s="778"/>
      <c r="F814" s="778"/>
      <c r="G814" s="778"/>
      <c r="H814" s="778"/>
      <c r="I814" s="778"/>
      <c r="J814" s="778"/>
      <c r="K814" s="778"/>
      <c r="L814" s="778"/>
      <c r="M814" s="778"/>
      <c r="N814" s="778"/>
      <c r="O814" s="778"/>
      <c r="P814" s="778"/>
      <c r="Q814" s="778"/>
      <c r="R814" s="778"/>
      <c r="S814" s="778"/>
      <c r="T814" s="778"/>
      <c r="U814" s="778"/>
      <c r="V814" s="778"/>
      <c r="W814" s="778"/>
      <c r="X814" s="778"/>
      <c r="Y814" s="778"/>
      <c r="Z814" s="778"/>
    </row>
    <row r="815">
      <c r="A815" s="777"/>
      <c r="B815" s="777"/>
      <c r="C815" s="777"/>
      <c r="D815" s="778"/>
      <c r="E815" s="778"/>
      <c r="F815" s="778"/>
      <c r="G815" s="778"/>
      <c r="H815" s="778"/>
      <c r="I815" s="778"/>
      <c r="J815" s="778"/>
      <c r="K815" s="778"/>
      <c r="L815" s="778"/>
      <c r="M815" s="778"/>
      <c r="N815" s="778"/>
      <c r="O815" s="778"/>
      <c r="P815" s="778"/>
      <c r="Q815" s="778"/>
      <c r="R815" s="778"/>
      <c r="S815" s="778"/>
      <c r="T815" s="778"/>
      <c r="U815" s="778"/>
      <c r="V815" s="778"/>
      <c r="W815" s="778"/>
      <c r="X815" s="778"/>
      <c r="Y815" s="778"/>
      <c r="Z815" s="778"/>
    </row>
    <row r="816">
      <c r="A816" s="777"/>
      <c r="B816" s="777"/>
      <c r="C816" s="777"/>
      <c r="D816" s="778"/>
      <c r="E816" s="778"/>
      <c r="F816" s="778"/>
      <c r="G816" s="778"/>
      <c r="H816" s="778"/>
      <c r="I816" s="778"/>
      <c r="J816" s="778"/>
      <c r="K816" s="778"/>
      <c r="L816" s="778"/>
      <c r="M816" s="778"/>
      <c r="N816" s="778"/>
      <c r="O816" s="778"/>
      <c r="P816" s="778"/>
      <c r="Q816" s="778"/>
      <c r="R816" s="778"/>
      <c r="S816" s="778"/>
      <c r="T816" s="778"/>
      <c r="U816" s="778"/>
      <c r="V816" s="778"/>
      <c r="W816" s="778"/>
      <c r="X816" s="778"/>
      <c r="Y816" s="778"/>
      <c r="Z816" s="778"/>
    </row>
    <row r="817">
      <c r="A817" s="777"/>
      <c r="B817" s="777"/>
      <c r="C817" s="777"/>
      <c r="D817" s="778"/>
      <c r="E817" s="778"/>
      <c r="F817" s="778"/>
      <c r="G817" s="778"/>
      <c r="H817" s="778"/>
      <c r="I817" s="778"/>
      <c r="J817" s="778"/>
      <c r="K817" s="778"/>
      <c r="L817" s="778"/>
      <c r="M817" s="778"/>
      <c r="N817" s="778"/>
      <c r="O817" s="778"/>
      <c r="P817" s="778"/>
      <c r="Q817" s="778"/>
      <c r="R817" s="778"/>
      <c r="S817" s="778"/>
      <c r="T817" s="778"/>
      <c r="U817" s="778"/>
      <c r="V817" s="778"/>
      <c r="W817" s="778"/>
      <c r="X817" s="778"/>
      <c r="Y817" s="778"/>
      <c r="Z817" s="778"/>
    </row>
    <row r="818">
      <c r="A818" s="777"/>
      <c r="B818" s="777"/>
      <c r="C818" s="777"/>
      <c r="D818" s="778"/>
      <c r="E818" s="778"/>
      <c r="F818" s="778"/>
      <c r="G818" s="778"/>
      <c r="H818" s="778"/>
      <c r="I818" s="778"/>
      <c r="J818" s="778"/>
      <c r="K818" s="778"/>
      <c r="L818" s="778"/>
      <c r="M818" s="778"/>
      <c r="N818" s="778"/>
      <c r="O818" s="778"/>
      <c r="P818" s="778"/>
      <c r="Q818" s="778"/>
      <c r="R818" s="778"/>
      <c r="S818" s="778"/>
      <c r="T818" s="778"/>
      <c r="U818" s="778"/>
      <c r="V818" s="778"/>
      <c r="W818" s="778"/>
      <c r="X818" s="778"/>
      <c r="Y818" s="778"/>
      <c r="Z818" s="778"/>
    </row>
    <row r="819">
      <c r="A819" s="777"/>
      <c r="B819" s="777"/>
      <c r="C819" s="777"/>
      <c r="D819" s="778"/>
      <c r="E819" s="778"/>
      <c r="F819" s="778"/>
      <c r="G819" s="778"/>
      <c r="H819" s="778"/>
      <c r="I819" s="778"/>
      <c r="J819" s="778"/>
      <c r="K819" s="778"/>
      <c r="L819" s="778"/>
      <c r="M819" s="778"/>
      <c r="N819" s="778"/>
      <c r="O819" s="778"/>
      <c r="P819" s="778"/>
      <c r="Q819" s="778"/>
      <c r="R819" s="778"/>
      <c r="S819" s="778"/>
      <c r="T819" s="778"/>
      <c r="U819" s="778"/>
      <c r="V819" s="778"/>
      <c r="W819" s="778"/>
      <c r="X819" s="778"/>
      <c r="Y819" s="778"/>
      <c r="Z819" s="778"/>
    </row>
    <row r="820">
      <c r="A820" s="777"/>
      <c r="B820" s="777"/>
      <c r="C820" s="777"/>
      <c r="D820" s="778"/>
      <c r="E820" s="778"/>
      <c r="F820" s="778"/>
      <c r="G820" s="778"/>
      <c r="H820" s="778"/>
      <c r="I820" s="778"/>
      <c r="J820" s="778"/>
      <c r="K820" s="778"/>
      <c r="L820" s="778"/>
      <c r="M820" s="778"/>
      <c r="N820" s="778"/>
      <c r="O820" s="778"/>
      <c r="P820" s="778"/>
      <c r="Q820" s="778"/>
      <c r="R820" s="778"/>
      <c r="S820" s="778"/>
      <c r="T820" s="778"/>
      <c r="U820" s="778"/>
      <c r="V820" s="778"/>
      <c r="W820" s="778"/>
      <c r="X820" s="778"/>
      <c r="Y820" s="778"/>
      <c r="Z820" s="778"/>
    </row>
    <row r="821">
      <c r="A821" s="777"/>
      <c r="B821" s="777"/>
      <c r="C821" s="777"/>
      <c r="D821" s="778"/>
      <c r="E821" s="778"/>
      <c r="F821" s="778"/>
      <c r="G821" s="778"/>
      <c r="H821" s="778"/>
      <c r="I821" s="778"/>
      <c r="J821" s="778"/>
      <c r="K821" s="778"/>
      <c r="L821" s="778"/>
      <c r="M821" s="778"/>
      <c r="N821" s="778"/>
      <c r="O821" s="778"/>
      <c r="P821" s="778"/>
      <c r="Q821" s="778"/>
      <c r="R821" s="778"/>
      <c r="S821" s="778"/>
      <c r="T821" s="778"/>
      <c r="U821" s="778"/>
      <c r="V821" s="778"/>
      <c r="W821" s="778"/>
      <c r="X821" s="778"/>
      <c r="Y821" s="778"/>
      <c r="Z821" s="778"/>
    </row>
    <row r="822">
      <c r="A822" s="777"/>
      <c r="B822" s="777"/>
      <c r="C822" s="777"/>
      <c r="D822" s="778"/>
      <c r="E822" s="778"/>
      <c r="F822" s="778"/>
      <c r="G822" s="778"/>
      <c r="H822" s="778"/>
      <c r="I822" s="778"/>
      <c r="J822" s="778"/>
      <c r="K822" s="778"/>
      <c r="L822" s="778"/>
      <c r="M822" s="778"/>
      <c r="N822" s="778"/>
      <c r="O822" s="778"/>
      <c r="P822" s="778"/>
      <c r="Q822" s="778"/>
      <c r="R822" s="778"/>
      <c r="S822" s="778"/>
      <c r="T822" s="778"/>
      <c r="U822" s="778"/>
      <c r="V822" s="778"/>
      <c r="W822" s="778"/>
      <c r="X822" s="778"/>
      <c r="Y822" s="778"/>
      <c r="Z822" s="778"/>
    </row>
    <row r="823">
      <c r="A823" s="777"/>
      <c r="B823" s="777"/>
      <c r="C823" s="777"/>
      <c r="D823" s="778"/>
      <c r="E823" s="778"/>
      <c r="F823" s="778"/>
      <c r="G823" s="778"/>
      <c r="H823" s="778"/>
      <c r="I823" s="778"/>
      <c r="J823" s="778"/>
      <c r="K823" s="778"/>
      <c r="L823" s="778"/>
      <c r="M823" s="778"/>
      <c r="N823" s="778"/>
      <c r="O823" s="778"/>
      <c r="P823" s="778"/>
      <c r="Q823" s="778"/>
      <c r="R823" s="778"/>
      <c r="S823" s="778"/>
      <c r="T823" s="778"/>
      <c r="U823" s="778"/>
      <c r="V823" s="778"/>
      <c r="W823" s="778"/>
      <c r="X823" s="778"/>
      <c r="Y823" s="778"/>
      <c r="Z823" s="778"/>
    </row>
    <row r="824">
      <c r="A824" s="777"/>
      <c r="B824" s="777"/>
      <c r="C824" s="777"/>
      <c r="D824" s="778"/>
      <c r="E824" s="778"/>
      <c r="F824" s="778"/>
      <c r="G824" s="778"/>
      <c r="H824" s="778"/>
      <c r="I824" s="778"/>
      <c r="J824" s="778"/>
      <c r="K824" s="778"/>
      <c r="L824" s="778"/>
      <c r="M824" s="778"/>
      <c r="N824" s="778"/>
      <c r="O824" s="778"/>
      <c r="P824" s="778"/>
      <c r="Q824" s="778"/>
      <c r="R824" s="778"/>
      <c r="S824" s="778"/>
      <c r="T824" s="778"/>
      <c r="U824" s="778"/>
      <c r="V824" s="778"/>
      <c r="W824" s="778"/>
      <c r="X824" s="778"/>
      <c r="Y824" s="778"/>
      <c r="Z824" s="778"/>
    </row>
    <row r="825">
      <c r="A825" s="777"/>
      <c r="B825" s="777"/>
      <c r="C825" s="777"/>
      <c r="D825" s="778"/>
      <c r="E825" s="778"/>
      <c r="F825" s="778"/>
      <c r="G825" s="778"/>
      <c r="H825" s="778"/>
      <c r="I825" s="778"/>
      <c r="J825" s="778"/>
      <c r="K825" s="778"/>
      <c r="L825" s="778"/>
      <c r="M825" s="778"/>
      <c r="N825" s="778"/>
      <c r="O825" s="778"/>
      <c r="P825" s="778"/>
      <c r="Q825" s="778"/>
      <c r="R825" s="778"/>
      <c r="S825" s="778"/>
      <c r="T825" s="778"/>
      <c r="U825" s="778"/>
      <c r="V825" s="778"/>
      <c r="W825" s="778"/>
      <c r="X825" s="778"/>
      <c r="Y825" s="778"/>
      <c r="Z825" s="778"/>
    </row>
    <row r="826">
      <c r="A826" s="777"/>
      <c r="B826" s="777"/>
      <c r="C826" s="777"/>
      <c r="D826" s="778"/>
      <c r="E826" s="778"/>
      <c r="F826" s="778"/>
      <c r="G826" s="778"/>
      <c r="H826" s="778"/>
      <c r="I826" s="778"/>
      <c r="J826" s="778"/>
      <c r="K826" s="778"/>
      <c r="L826" s="778"/>
      <c r="M826" s="778"/>
      <c r="N826" s="778"/>
      <c r="O826" s="778"/>
      <c r="P826" s="778"/>
      <c r="Q826" s="778"/>
      <c r="R826" s="778"/>
      <c r="S826" s="778"/>
      <c r="T826" s="778"/>
      <c r="U826" s="778"/>
      <c r="V826" s="778"/>
      <c r="W826" s="778"/>
      <c r="X826" s="778"/>
      <c r="Y826" s="778"/>
      <c r="Z826" s="778"/>
    </row>
    <row r="827">
      <c r="A827" s="777"/>
      <c r="B827" s="777"/>
      <c r="C827" s="777"/>
      <c r="D827" s="778"/>
      <c r="E827" s="778"/>
      <c r="F827" s="778"/>
      <c r="G827" s="778"/>
      <c r="H827" s="778"/>
      <c r="I827" s="778"/>
      <c r="J827" s="778"/>
      <c r="K827" s="778"/>
      <c r="L827" s="778"/>
      <c r="M827" s="778"/>
      <c r="N827" s="778"/>
      <c r="O827" s="778"/>
      <c r="P827" s="778"/>
      <c r="Q827" s="778"/>
      <c r="R827" s="778"/>
      <c r="S827" s="778"/>
      <c r="T827" s="778"/>
      <c r="U827" s="778"/>
      <c r="V827" s="778"/>
      <c r="W827" s="778"/>
      <c r="X827" s="778"/>
      <c r="Y827" s="778"/>
      <c r="Z827" s="778"/>
    </row>
    <row r="828">
      <c r="A828" s="777"/>
      <c r="B828" s="777"/>
      <c r="C828" s="777"/>
      <c r="D828" s="778"/>
      <c r="E828" s="778"/>
      <c r="F828" s="778"/>
      <c r="G828" s="778"/>
      <c r="H828" s="778"/>
      <c r="I828" s="778"/>
      <c r="J828" s="778"/>
      <c r="K828" s="778"/>
      <c r="L828" s="778"/>
      <c r="M828" s="778"/>
      <c r="N828" s="778"/>
      <c r="O828" s="778"/>
      <c r="P828" s="778"/>
      <c r="Q828" s="778"/>
      <c r="R828" s="778"/>
      <c r="S828" s="778"/>
      <c r="T828" s="778"/>
      <c r="U828" s="778"/>
      <c r="V828" s="778"/>
      <c r="W828" s="778"/>
      <c r="X828" s="778"/>
      <c r="Y828" s="778"/>
      <c r="Z828" s="778"/>
    </row>
    <row r="829">
      <c r="A829" s="777"/>
      <c r="B829" s="777"/>
      <c r="C829" s="777"/>
      <c r="D829" s="778"/>
      <c r="E829" s="778"/>
      <c r="F829" s="778"/>
      <c r="G829" s="778"/>
      <c r="H829" s="778"/>
      <c r="I829" s="778"/>
      <c r="J829" s="778"/>
      <c r="K829" s="778"/>
      <c r="L829" s="778"/>
      <c r="M829" s="778"/>
      <c r="N829" s="778"/>
      <c r="O829" s="778"/>
      <c r="P829" s="778"/>
      <c r="Q829" s="778"/>
      <c r="R829" s="778"/>
      <c r="S829" s="778"/>
      <c r="T829" s="778"/>
      <c r="U829" s="778"/>
      <c r="V829" s="778"/>
      <c r="W829" s="778"/>
      <c r="X829" s="778"/>
      <c r="Y829" s="778"/>
      <c r="Z829" s="778"/>
    </row>
    <row r="830">
      <c r="A830" s="777"/>
      <c r="B830" s="777"/>
      <c r="C830" s="777"/>
      <c r="D830" s="778"/>
      <c r="E830" s="778"/>
      <c r="F830" s="778"/>
      <c r="G830" s="778"/>
      <c r="H830" s="778"/>
      <c r="I830" s="778"/>
      <c r="J830" s="778"/>
      <c r="K830" s="778"/>
      <c r="L830" s="778"/>
      <c r="M830" s="778"/>
      <c r="N830" s="778"/>
      <c r="O830" s="778"/>
      <c r="P830" s="778"/>
      <c r="Q830" s="778"/>
      <c r="R830" s="778"/>
      <c r="S830" s="778"/>
      <c r="T830" s="778"/>
      <c r="U830" s="778"/>
      <c r="V830" s="778"/>
      <c r="W830" s="778"/>
      <c r="X830" s="778"/>
      <c r="Y830" s="778"/>
      <c r="Z830" s="778"/>
    </row>
    <row r="831">
      <c r="A831" s="777"/>
      <c r="B831" s="777"/>
      <c r="C831" s="777"/>
      <c r="D831" s="778"/>
      <c r="E831" s="778"/>
      <c r="F831" s="778"/>
      <c r="G831" s="778"/>
      <c r="H831" s="778"/>
      <c r="I831" s="778"/>
      <c r="J831" s="778"/>
      <c r="K831" s="778"/>
      <c r="L831" s="778"/>
      <c r="M831" s="778"/>
      <c r="N831" s="778"/>
      <c r="O831" s="778"/>
      <c r="P831" s="778"/>
      <c r="Q831" s="778"/>
      <c r="R831" s="778"/>
      <c r="S831" s="778"/>
      <c r="T831" s="778"/>
      <c r="U831" s="778"/>
      <c r="V831" s="778"/>
      <c r="W831" s="778"/>
      <c r="X831" s="778"/>
      <c r="Y831" s="778"/>
      <c r="Z831" s="778"/>
    </row>
    <row r="832">
      <c r="A832" s="777"/>
      <c r="B832" s="777"/>
      <c r="C832" s="777"/>
      <c r="D832" s="778"/>
      <c r="E832" s="778"/>
      <c r="F832" s="778"/>
      <c r="G832" s="778"/>
      <c r="H832" s="778"/>
      <c r="I832" s="778"/>
      <c r="J832" s="778"/>
      <c r="K832" s="778"/>
      <c r="L832" s="778"/>
      <c r="M832" s="778"/>
      <c r="N832" s="778"/>
      <c r="O832" s="778"/>
      <c r="P832" s="778"/>
      <c r="Q832" s="778"/>
      <c r="R832" s="778"/>
      <c r="S832" s="778"/>
      <c r="T832" s="778"/>
      <c r="U832" s="778"/>
      <c r="V832" s="778"/>
      <c r="W832" s="778"/>
      <c r="X832" s="778"/>
      <c r="Y832" s="778"/>
      <c r="Z832" s="778"/>
    </row>
    <row r="833">
      <c r="A833" s="777"/>
      <c r="B833" s="777"/>
      <c r="C833" s="777"/>
      <c r="D833" s="778"/>
      <c r="E833" s="778"/>
      <c r="F833" s="778"/>
      <c r="G833" s="778"/>
      <c r="H833" s="778"/>
      <c r="I833" s="778"/>
      <c r="J833" s="778"/>
      <c r="K833" s="778"/>
      <c r="L833" s="778"/>
      <c r="M833" s="778"/>
      <c r="N833" s="778"/>
      <c r="O833" s="778"/>
      <c r="P833" s="778"/>
      <c r="Q833" s="778"/>
      <c r="R833" s="778"/>
      <c r="S833" s="778"/>
      <c r="T833" s="778"/>
      <c r="U833" s="778"/>
      <c r="V833" s="778"/>
      <c r="W833" s="778"/>
      <c r="X833" s="778"/>
      <c r="Y833" s="778"/>
      <c r="Z833" s="778"/>
    </row>
    <row r="834">
      <c r="A834" s="777"/>
      <c r="B834" s="777"/>
      <c r="C834" s="777"/>
      <c r="D834" s="778"/>
      <c r="E834" s="778"/>
      <c r="F834" s="778"/>
      <c r="G834" s="778"/>
      <c r="H834" s="778"/>
      <c r="I834" s="778"/>
      <c r="J834" s="778"/>
      <c r="K834" s="778"/>
      <c r="L834" s="778"/>
      <c r="M834" s="778"/>
      <c r="N834" s="778"/>
      <c r="O834" s="778"/>
      <c r="P834" s="778"/>
      <c r="Q834" s="778"/>
      <c r="R834" s="778"/>
      <c r="S834" s="778"/>
      <c r="T834" s="778"/>
      <c r="U834" s="778"/>
      <c r="V834" s="778"/>
      <c r="W834" s="778"/>
      <c r="X834" s="778"/>
      <c r="Y834" s="778"/>
      <c r="Z834" s="778"/>
    </row>
    <row r="835">
      <c r="A835" s="777"/>
      <c r="B835" s="777"/>
      <c r="C835" s="777"/>
      <c r="D835" s="778"/>
      <c r="E835" s="778"/>
      <c r="F835" s="778"/>
      <c r="G835" s="778"/>
      <c r="H835" s="778"/>
      <c r="I835" s="778"/>
      <c r="J835" s="778"/>
      <c r="K835" s="778"/>
      <c r="L835" s="778"/>
      <c r="M835" s="778"/>
      <c r="N835" s="778"/>
      <c r="O835" s="778"/>
      <c r="P835" s="778"/>
      <c r="Q835" s="778"/>
      <c r="R835" s="778"/>
      <c r="S835" s="778"/>
      <c r="T835" s="778"/>
      <c r="U835" s="778"/>
      <c r="V835" s="778"/>
      <c r="W835" s="778"/>
      <c r="X835" s="778"/>
      <c r="Y835" s="778"/>
      <c r="Z835" s="778"/>
    </row>
    <row r="836">
      <c r="A836" s="777"/>
      <c r="B836" s="777"/>
      <c r="C836" s="777"/>
      <c r="D836" s="778"/>
      <c r="E836" s="778"/>
      <c r="F836" s="778"/>
      <c r="G836" s="778"/>
      <c r="H836" s="778"/>
      <c r="I836" s="778"/>
      <c r="J836" s="778"/>
      <c r="K836" s="778"/>
      <c r="L836" s="778"/>
      <c r="M836" s="778"/>
      <c r="N836" s="778"/>
      <c r="O836" s="778"/>
      <c r="P836" s="778"/>
      <c r="Q836" s="778"/>
      <c r="R836" s="778"/>
      <c r="S836" s="778"/>
      <c r="T836" s="778"/>
      <c r="U836" s="778"/>
      <c r="V836" s="778"/>
      <c r="W836" s="778"/>
      <c r="X836" s="778"/>
      <c r="Y836" s="778"/>
      <c r="Z836" s="778"/>
    </row>
    <row r="837">
      <c r="A837" s="777"/>
      <c r="B837" s="777"/>
      <c r="C837" s="777"/>
      <c r="D837" s="778"/>
      <c r="E837" s="778"/>
      <c r="F837" s="778"/>
      <c r="G837" s="778"/>
      <c r="H837" s="778"/>
      <c r="I837" s="778"/>
      <c r="J837" s="778"/>
      <c r="K837" s="778"/>
      <c r="L837" s="778"/>
      <c r="M837" s="778"/>
      <c r="N837" s="778"/>
      <c r="O837" s="778"/>
      <c r="P837" s="778"/>
      <c r="Q837" s="778"/>
      <c r="R837" s="778"/>
      <c r="S837" s="778"/>
      <c r="T837" s="778"/>
      <c r="U837" s="778"/>
      <c r="V837" s="778"/>
      <c r="W837" s="778"/>
      <c r="X837" s="778"/>
      <c r="Y837" s="778"/>
      <c r="Z837" s="778"/>
    </row>
    <row r="838">
      <c r="A838" s="777"/>
      <c r="B838" s="777"/>
      <c r="C838" s="777"/>
      <c r="D838" s="778"/>
      <c r="E838" s="778"/>
      <c r="F838" s="778"/>
      <c r="G838" s="778"/>
      <c r="H838" s="778"/>
      <c r="I838" s="778"/>
      <c r="J838" s="778"/>
      <c r="K838" s="778"/>
      <c r="L838" s="778"/>
      <c r="M838" s="778"/>
      <c r="N838" s="778"/>
      <c r="O838" s="778"/>
      <c r="P838" s="778"/>
      <c r="Q838" s="778"/>
      <c r="R838" s="778"/>
      <c r="S838" s="778"/>
      <c r="T838" s="778"/>
      <c r="U838" s="778"/>
      <c r="V838" s="778"/>
      <c r="W838" s="778"/>
      <c r="X838" s="778"/>
      <c r="Y838" s="778"/>
      <c r="Z838" s="778"/>
    </row>
    <row r="839">
      <c r="A839" s="777"/>
      <c r="B839" s="777"/>
      <c r="C839" s="777"/>
      <c r="D839" s="778"/>
      <c r="E839" s="778"/>
      <c r="F839" s="778"/>
      <c r="G839" s="778"/>
      <c r="H839" s="778"/>
      <c r="I839" s="778"/>
      <c r="J839" s="778"/>
      <c r="K839" s="778"/>
      <c r="L839" s="778"/>
      <c r="M839" s="778"/>
      <c r="N839" s="778"/>
      <c r="O839" s="778"/>
      <c r="P839" s="778"/>
      <c r="Q839" s="778"/>
      <c r="R839" s="778"/>
      <c r="S839" s="778"/>
      <c r="T839" s="778"/>
      <c r="U839" s="778"/>
      <c r="V839" s="778"/>
      <c r="W839" s="778"/>
      <c r="X839" s="778"/>
      <c r="Y839" s="778"/>
      <c r="Z839" s="778"/>
    </row>
    <row r="840">
      <c r="A840" s="777"/>
      <c r="B840" s="777"/>
      <c r="C840" s="777"/>
      <c r="D840" s="778"/>
      <c r="E840" s="778"/>
      <c r="F840" s="778"/>
      <c r="G840" s="778"/>
      <c r="H840" s="778"/>
      <c r="I840" s="778"/>
      <c r="J840" s="778"/>
      <c r="K840" s="778"/>
      <c r="L840" s="778"/>
      <c r="M840" s="778"/>
      <c r="N840" s="778"/>
      <c r="O840" s="778"/>
      <c r="P840" s="778"/>
      <c r="Q840" s="778"/>
      <c r="R840" s="778"/>
      <c r="S840" s="778"/>
      <c r="T840" s="778"/>
      <c r="U840" s="778"/>
      <c r="V840" s="778"/>
      <c r="W840" s="778"/>
      <c r="X840" s="778"/>
      <c r="Y840" s="778"/>
      <c r="Z840" s="778"/>
    </row>
    <row r="841">
      <c r="A841" s="777"/>
      <c r="B841" s="777"/>
      <c r="C841" s="777"/>
      <c r="D841" s="778"/>
      <c r="E841" s="778"/>
      <c r="F841" s="778"/>
      <c r="G841" s="778"/>
      <c r="H841" s="778"/>
      <c r="I841" s="778"/>
      <c r="J841" s="778"/>
      <c r="K841" s="778"/>
      <c r="L841" s="778"/>
      <c r="M841" s="778"/>
      <c r="N841" s="778"/>
      <c r="O841" s="778"/>
      <c r="P841" s="778"/>
      <c r="Q841" s="778"/>
      <c r="R841" s="778"/>
      <c r="S841" s="778"/>
      <c r="T841" s="778"/>
      <c r="U841" s="778"/>
      <c r="V841" s="778"/>
      <c r="W841" s="778"/>
      <c r="X841" s="778"/>
      <c r="Y841" s="778"/>
      <c r="Z841" s="778"/>
    </row>
    <row r="842">
      <c r="A842" s="777"/>
      <c r="B842" s="777"/>
      <c r="C842" s="777"/>
      <c r="D842" s="778"/>
      <c r="E842" s="778"/>
      <c r="F842" s="778"/>
      <c r="G842" s="778"/>
      <c r="H842" s="778"/>
      <c r="I842" s="778"/>
      <c r="J842" s="778"/>
      <c r="K842" s="778"/>
      <c r="L842" s="778"/>
      <c r="M842" s="778"/>
      <c r="N842" s="778"/>
      <c r="O842" s="778"/>
      <c r="P842" s="778"/>
      <c r="Q842" s="778"/>
      <c r="R842" s="778"/>
      <c r="S842" s="778"/>
      <c r="T842" s="778"/>
      <c r="U842" s="778"/>
      <c r="V842" s="778"/>
      <c r="W842" s="778"/>
      <c r="X842" s="778"/>
      <c r="Y842" s="778"/>
      <c r="Z842" s="778"/>
    </row>
    <row r="843">
      <c r="A843" s="777"/>
      <c r="B843" s="777"/>
      <c r="C843" s="777"/>
      <c r="D843" s="778"/>
      <c r="E843" s="778"/>
      <c r="F843" s="778"/>
      <c r="G843" s="778"/>
      <c r="H843" s="778"/>
      <c r="I843" s="778"/>
      <c r="J843" s="778"/>
      <c r="K843" s="778"/>
      <c r="L843" s="778"/>
      <c r="M843" s="778"/>
      <c r="N843" s="778"/>
      <c r="O843" s="778"/>
      <c r="P843" s="778"/>
      <c r="Q843" s="778"/>
      <c r="R843" s="778"/>
      <c r="S843" s="778"/>
      <c r="T843" s="778"/>
      <c r="U843" s="778"/>
      <c r="V843" s="778"/>
      <c r="W843" s="778"/>
      <c r="X843" s="778"/>
      <c r="Y843" s="778"/>
      <c r="Z843" s="778"/>
    </row>
    <row r="844">
      <c r="A844" s="777"/>
      <c r="B844" s="777"/>
      <c r="C844" s="777"/>
      <c r="D844" s="778"/>
      <c r="E844" s="778"/>
      <c r="F844" s="778"/>
      <c r="G844" s="778"/>
      <c r="H844" s="778"/>
      <c r="I844" s="778"/>
      <c r="J844" s="778"/>
      <c r="K844" s="778"/>
      <c r="L844" s="778"/>
      <c r="M844" s="778"/>
      <c r="N844" s="778"/>
      <c r="O844" s="778"/>
      <c r="P844" s="778"/>
      <c r="Q844" s="778"/>
      <c r="R844" s="778"/>
      <c r="S844" s="778"/>
      <c r="T844" s="778"/>
      <c r="U844" s="778"/>
      <c r="V844" s="778"/>
      <c r="W844" s="778"/>
      <c r="X844" s="778"/>
      <c r="Y844" s="778"/>
      <c r="Z844" s="778"/>
    </row>
    <row r="845">
      <c r="A845" s="777"/>
      <c r="B845" s="777"/>
      <c r="C845" s="777"/>
      <c r="D845" s="778"/>
      <c r="E845" s="778"/>
      <c r="F845" s="778"/>
      <c r="G845" s="778"/>
      <c r="H845" s="778"/>
      <c r="I845" s="778"/>
      <c r="J845" s="778"/>
      <c r="K845" s="778"/>
      <c r="L845" s="778"/>
      <c r="M845" s="778"/>
      <c r="N845" s="778"/>
      <c r="O845" s="778"/>
      <c r="P845" s="778"/>
      <c r="Q845" s="778"/>
      <c r="R845" s="778"/>
      <c r="S845" s="778"/>
      <c r="T845" s="778"/>
      <c r="U845" s="778"/>
      <c r="V845" s="778"/>
      <c r="W845" s="778"/>
      <c r="X845" s="778"/>
      <c r="Y845" s="778"/>
      <c r="Z845" s="778"/>
    </row>
    <row r="846">
      <c r="A846" s="777"/>
      <c r="B846" s="777"/>
      <c r="C846" s="777"/>
      <c r="D846" s="778"/>
      <c r="E846" s="778"/>
      <c r="F846" s="778"/>
      <c r="G846" s="778"/>
      <c r="H846" s="778"/>
      <c r="I846" s="778"/>
      <c r="J846" s="778"/>
      <c r="K846" s="778"/>
      <c r="L846" s="778"/>
      <c r="M846" s="778"/>
      <c r="N846" s="778"/>
      <c r="O846" s="778"/>
      <c r="P846" s="778"/>
      <c r="Q846" s="778"/>
      <c r="R846" s="778"/>
      <c r="S846" s="778"/>
      <c r="T846" s="778"/>
      <c r="U846" s="778"/>
      <c r="V846" s="778"/>
      <c r="W846" s="778"/>
      <c r="X846" s="778"/>
      <c r="Y846" s="778"/>
      <c r="Z846" s="778"/>
    </row>
    <row r="847">
      <c r="A847" s="777"/>
      <c r="B847" s="777"/>
      <c r="C847" s="777"/>
      <c r="D847" s="778"/>
      <c r="E847" s="778"/>
      <c r="F847" s="778"/>
      <c r="G847" s="778"/>
      <c r="H847" s="778"/>
      <c r="I847" s="778"/>
      <c r="J847" s="778"/>
      <c r="K847" s="778"/>
      <c r="L847" s="778"/>
      <c r="M847" s="778"/>
      <c r="N847" s="778"/>
      <c r="O847" s="778"/>
      <c r="P847" s="778"/>
      <c r="Q847" s="778"/>
      <c r="R847" s="778"/>
      <c r="S847" s="778"/>
      <c r="T847" s="778"/>
      <c r="U847" s="778"/>
      <c r="V847" s="778"/>
      <c r="W847" s="778"/>
      <c r="X847" s="778"/>
      <c r="Y847" s="778"/>
      <c r="Z847" s="778"/>
    </row>
    <row r="848">
      <c r="A848" s="777"/>
      <c r="B848" s="777"/>
      <c r="C848" s="777"/>
      <c r="D848" s="778"/>
      <c r="E848" s="778"/>
      <c r="F848" s="778"/>
      <c r="G848" s="778"/>
      <c r="H848" s="778"/>
      <c r="I848" s="778"/>
      <c r="J848" s="778"/>
      <c r="K848" s="778"/>
      <c r="L848" s="778"/>
      <c r="M848" s="778"/>
      <c r="N848" s="778"/>
      <c r="O848" s="778"/>
      <c r="P848" s="778"/>
      <c r="Q848" s="778"/>
      <c r="R848" s="778"/>
      <c r="S848" s="778"/>
      <c r="T848" s="778"/>
      <c r="U848" s="778"/>
      <c r="V848" s="778"/>
      <c r="W848" s="778"/>
      <c r="X848" s="778"/>
      <c r="Y848" s="778"/>
      <c r="Z848" s="778"/>
    </row>
    <row r="849">
      <c r="A849" s="777"/>
      <c r="B849" s="777"/>
      <c r="C849" s="777"/>
      <c r="D849" s="778"/>
      <c r="E849" s="778"/>
      <c r="F849" s="778"/>
      <c r="G849" s="778"/>
      <c r="H849" s="778"/>
      <c r="I849" s="778"/>
      <c r="J849" s="778"/>
      <c r="K849" s="778"/>
      <c r="L849" s="778"/>
      <c r="M849" s="778"/>
      <c r="N849" s="778"/>
      <c r="O849" s="778"/>
      <c r="P849" s="778"/>
      <c r="Q849" s="778"/>
      <c r="R849" s="778"/>
      <c r="S849" s="778"/>
      <c r="T849" s="778"/>
      <c r="U849" s="778"/>
      <c r="V849" s="778"/>
      <c r="W849" s="778"/>
      <c r="X849" s="778"/>
      <c r="Y849" s="778"/>
      <c r="Z849" s="778"/>
    </row>
    <row r="850">
      <c r="A850" s="777"/>
      <c r="B850" s="777"/>
      <c r="C850" s="777"/>
      <c r="D850" s="778"/>
      <c r="E850" s="778"/>
      <c r="F850" s="778"/>
      <c r="G850" s="778"/>
      <c r="H850" s="778"/>
      <c r="I850" s="778"/>
      <c r="J850" s="778"/>
      <c r="K850" s="778"/>
      <c r="L850" s="778"/>
      <c r="M850" s="778"/>
      <c r="N850" s="778"/>
      <c r="O850" s="778"/>
      <c r="P850" s="778"/>
      <c r="Q850" s="778"/>
      <c r="R850" s="778"/>
      <c r="S850" s="778"/>
      <c r="T850" s="778"/>
      <c r="U850" s="778"/>
      <c r="V850" s="778"/>
      <c r="W850" s="778"/>
      <c r="X850" s="778"/>
      <c r="Y850" s="778"/>
      <c r="Z850" s="778"/>
    </row>
    <row r="851">
      <c r="A851" s="777"/>
      <c r="B851" s="777"/>
      <c r="C851" s="777"/>
      <c r="D851" s="778"/>
      <c r="E851" s="778"/>
      <c r="F851" s="778"/>
      <c r="G851" s="778"/>
      <c r="H851" s="778"/>
      <c r="I851" s="778"/>
      <c r="J851" s="778"/>
      <c r="K851" s="778"/>
      <c r="L851" s="778"/>
      <c r="M851" s="778"/>
      <c r="N851" s="778"/>
      <c r="O851" s="778"/>
      <c r="P851" s="778"/>
      <c r="Q851" s="778"/>
      <c r="R851" s="778"/>
      <c r="S851" s="778"/>
      <c r="T851" s="778"/>
      <c r="U851" s="778"/>
      <c r="V851" s="778"/>
      <c r="W851" s="778"/>
      <c r="X851" s="778"/>
      <c r="Y851" s="778"/>
      <c r="Z851" s="778"/>
    </row>
    <row r="852">
      <c r="A852" s="777"/>
      <c r="B852" s="777"/>
      <c r="C852" s="777"/>
      <c r="D852" s="778"/>
      <c r="E852" s="778"/>
      <c r="F852" s="778"/>
      <c r="G852" s="778"/>
      <c r="H852" s="778"/>
      <c r="I852" s="778"/>
      <c r="J852" s="778"/>
      <c r="K852" s="778"/>
      <c r="L852" s="778"/>
      <c r="M852" s="778"/>
      <c r="N852" s="778"/>
      <c r="O852" s="778"/>
      <c r="P852" s="778"/>
      <c r="Q852" s="778"/>
      <c r="R852" s="778"/>
      <c r="S852" s="778"/>
      <c r="T852" s="778"/>
      <c r="U852" s="778"/>
      <c r="V852" s="778"/>
      <c r="W852" s="778"/>
      <c r="X852" s="778"/>
      <c r="Y852" s="778"/>
      <c r="Z852" s="778"/>
    </row>
    <row r="853">
      <c r="A853" s="777"/>
      <c r="B853" s="777"/>
      <c r="C853" s="777"/>
      <c r="D853" s="778"/>
      <c r="E853" s="778"/>
      <c r="F853" s="778"/>
      <c r="G853" s="778"/>
      <c r="H853" s="778"/>
      <c r="I853" s="778"/>
      <c r="J853" s="778"/>
      <c r="K853" s="778"/>
      <c r="L853" s="778"/>
      <c r="M853" s="778"/>
      <c r="N853" s="778"/>
      <c r="O853" s="778"/>
      <c r="P853" s="778"/>
      <c r="Q853" s="778"/>
      <c r="R853" s="778"/>
      <c r="S853" s="778"/>
      <c r="T853" s="778"/>
      <c r="U853" s="778"/>
      <c r="V853" s="778"/>
      <c r="W853" s="778"/>
      <c r="X853" s="778"/>
      <c r="Y853" s="778"/>
      <c r="Z853" s="778"/>
    </row>
    <row r="854">
      <c r="A854" s="777"/>
      <c r="B854" s="777"/>
      <c r="C854" s="777"/>
      <c r="D854" s="778"/>
      <c r="E854" s="778"/>
      <c r="F854" s="778"/>
      <c r="G854" s="778"/>
      <c r="H854" s="778"/>
      <c r="I854" s="778"/>
      <c r="J854" s="778"/>
      <c r="K854" s="778"/>
      <c r="L854" s="778"/>
      <c r="M854" s="778"/>
      <c r="N854" s="778"/>
      <c r="O854" s="778"/>
      <c r="P854" s="778"/>
      <c r="Q854" s="778"/>
      <c r="R854" s="778"/>
      <c r="S854" s="778"/>
      <c r="T854" s="778"/>
      <c r="U854" s="778"/>
      <c r="V854" s="778"/>
      <c r="W854" s="778"/>
      <c r="X854" s="778"/>
      <c r="Y854" s="778"/>
      <c r="Z854" s="778"/>
    </row>
    <row r="855">
      <c r="A855" s="777"/>
      <c r="B855" s="777"/>
      <c r="C855" s="777"/>
      <c r="D855" s="778"/>
      <c r="E855" s="778"/>
      <c r="F855" s="778"/>
      <c r="G855" s="778"/>
      <c r="H855" s="778"/>
      <c r="I855" s="778"/>
      <c r="J855" s="778"/>
      <c r="K855" s="778"/>
      <c r="L855" s="778"/>
      <c r="M855" s="778"/>
      <c r="N855" s="778"/>
      <c r="O855" s="778"/>
      <c r="P855" s="778"/>
      <c r="Q855" s="778"/>
      <c r="R855" s="778"/>
      <c r="S855" s="778"/>
      <c r="T855" s="778"/>
      <c r="U855" s="778"/>
      <c r="V855" s="778"/>
      <c r="W855" s="778"/>
      <c r="X855" s="778"/>
      <c r="Y855" s="778"/>
      <c r="Z855" s="778"/>
    </row>
    <row r="856">
      <c r="A856" s="777"/>
      <c r="B856" s="777"/>
      <c r="C856" s="777"/>
      <c r="D856" s="778"/>
      <c r="E856" s="778"/>
      <c r="F856" s="778"/>
      <c r="G856" s="778"/>
      <c r="H856" s="778"/>
      <c r="I856" s="778"/>
      <c r="J856" s="778"/>
      <c r="K856" s="778"/>
      <c r="L856" s="778"/>
      <c r="M856" s="778"/>
      <c r="N856" s="778"/>
      <c r="O856" s="778"/>
      <c r="P856" s="778"/>
      <c r="Q856" s="778"/>
      <c r="R856" s="778"/>
      <c r="S856" s="778"/>
      <c r="T856" s="778"/>
      <c r="U856" s="778"/>
      <c r="V856" s="778"/>
      <c r="W856" s="778"/>
      <c r="X856" s="778"/>
      <c r="Y856" s="778"/>
      <c r="Z856" s="778"/>
    </row>
    <row r="857">
      <c r="A857" s="777"/>
      <c r="B857" s="777"/>
      <c r="C857" s="777"/>
      <c r="D857" s="778"/>
      <c r="E857" s="778"/>
      <c r="F857" s="778"/>
      <c r="G857" s="778"/>
      <c r="H857" s="778"/>
      <c r="I857" s="778"/>
      <c r="J857" s="778"/>
      <c r="K857" s="778"/>
      <c r="L857" s="778"/>
      <c r="M857" s="778"/>
      <c r="N857" s="778"/>
      <c r="O857" s="778"/>
      <c r="P857" s="778"/>
      <c r="Q857" s="778"/>
      <c r="R857" s="778"/>
      <c r="S857" s="778"/>
      <c r="T857" s="778"/>
      <c r="U857" s="778"/>
      <c r="V857" s="778"/>
      <c r="W857" s="778"/>
      <c r="X857" s="778"/>
      <c r="Y857" s="778"/>
      <c r="Z857" s="778"/>
    </row>
    <row r="858">
      <c r="A858" s="777"/>
      <c r="B858" s="777"/>
      <c r="C858" s="777"/>
      <c r="D858" s="778"/>
      <c r="E858" s="778"/>
      <c r="F858" s="778"/>
      <c r="G858" s="778"/>
      <c r="H858" s="778"/>
      <c r="I858" s="778"/>
      <c r="J858" s="778"/>
      <c r="K858" s="778"/>
      <c r="L858" s="778"/>
      <c r="M858" s="778"/>
      <c r="N858" s="778"/>
      <c r="O858" s="778"/>
      <c r="P858" s="778"/>
      <c r="Q858" s="778"/>
      <c r="R858" s="778"/>
      <c r="S858" s="778"/>
      <c r="T858" s="778"/>
      <c r="U858" s="778"/>
      <c r="V858" s="778"/>
      <c r="W858" s="778"/>
      <c r="X858" s="778"/>
      <c r="Y858" s="778"/>
      <c r="Z858" s="778"/>
    </row>
    <row r="859">
      <c r="A859" s="777"/>
      <c r="B859" s="777"/>
      <c r="C859" s="777"/>
      <c r="D859" s="778"/>
      <c r="E859" s="778"/>
      <c r="F859" s="778"/>
      <c r="G859" s="778"/>
      <c r="H859" s="778"/>
      <c r="I859" s="778"/>
      <c r="J859" s="778"/>
      <c r="K859" s="778"/>
      <c r="L859" s="778"/>
      <c r="M859" s="778"/>
      <c r="N859" s="778"/>
      <c r="O859" s="778"/>
      <c r="P859" s="778"/>
      <c r="Q859" s="778"/>
      <c r="R859" s="778"/>
      <c r="S859" s="778"/>
      <c r="T859" s="778"/>
      <c r="U859" s="778"/>
      <c r="V859" s="778"/>
      <c r="W859" s="778"/>
      <c r="X859" s="778"/>
      <c r="Y859" s="778"/>
      <c r="Z859" s="778"/>
    </row>
    <row r="860">
      <c r="A860" s="777"/>
      <c r="B860" s="777"/>
      <c r="C860" s="777"/>
      <c r="D860" s="778"/>
      <c r="E860" s="778"/>
      <c r="F860" s="778"/>
      <c r="G860" s="778"/>
      <c r="H860" s="778"/>
      <c r="I860" s="778"/>
      <c r="J860" s="778"/>
      <c r="K860" s="778"/>
      <c r="L860" s="778"/>
      <c r="M860" s="778"/>
      <c r="N860" s="778"/>
      <c r="O860" s="778"/>
      <c r="P860" s="778"/>
      <c r="Q860" s="778"/>
      <c r="R860" s="778"/>
      <c r="S860" s="778"/>
      <c r="T860" s="778"/>
      <c r="U860" s="778"/>
      <c r="V860" s="778"/>
      <c r="W860" s="778"/>
      <c r="X860" s="778"/>
      <c r="Y860" s="778"/>
      <c r="Z860" s="778"/>
    </row>
    <row r="861">
      <c r="A861" s="777"/>
      <c r="B861" s="777"/>
      <c r="C861" s="777"/>
      <c r="D861" s="778"/>
      <c r="E861" s="778"/>
      <c r="F861" s="778"/>
      <c r="G861" s="778"/>
      <c r="H861" s="778"/>
      <c r="I861" s="778"/>
      <c r="J861" s="778"/>
      <c r="K861" s="778"/>
      <c r="L861" s="778"/>
      <c r="M861" s="778"/>
      <c r="N861" s="778"/>
      <c r="O861" s="778"/>
      <c r="P861" s="778"/>
      <c r="Q861" s="778"/>
      <c r="R861" s="778"/>
      <c r="S861" s="778"/>
      <c r="T861" s="778"/>
      <c r="U861" s="778"/>
      <c r="V861" s="778"/>
      <c r="W861" s="778"/>
      <c r="X861" s="778"/>
      <c r="Y861" s="778"/>
      <c r="Z861" s="778"/>
    </row>
    <row r="862">
      <c r="A862" s="777"/>
      <c r="B862" s="777"/>
      <c r="C862" s="777"/>
      <c r="D862" s="778"/>
      <c r="E862" s="778"/>
      <c r="F862" s="778"/>
      <c r="G862" s="778"/>
      <c r="H862" s="778"/>
      <c r="I862" s="778"/>
      <c r="J862" s="778"/>
      <c r="K862" s="778"/>
      <c r="L862" s="778"/>
      <c r="M862" s="778"/>
      <c r="N862" s="778"/>
      <c r="O862" s="778"/>
      <c r="P862" s="778"/>
      <c r="Q862" s="778"/>
      <c r="R862" s="778"/>
      <c r="S862" s="778"/>
      <c r="T862" s="778"/>
      <c r="U862" s="778"/>
      <c r="V862" s="778"/>
      <c r="W862" s="778"/>
      <c r="X862" s="778"/>
      <c r="Y862" s="778"/>
      <c r="Z862" s="778"/>
    </row>
    <row r="863">
      <c r="A863" s="777"/>
      <c r="B863" s="777"/>
      <c r="C863" s="777"/>
      <c r="D863" s="778"/>
      <c r="E863" s="778"/>
      <c r="F863" s="778"/>
      <c r="G863" s="778"/>
      <c r="H863" s="778"/>
      <c r="I863" s="778"/>
      <c r="J863" s="778"/>
      <c r="K863" s="778"/>
      <c r="L863" s="778"/>
      <c r="M863" s="778"/>
      <c r="N863" s="778"/>
      <c r="O863" s="778"/>
      <c r="P863" s="778"/>
      <c r="Q863" s="778"/>
      <c r="R863" s="778"/>
      <c r="S863" s="778"/>
      <c r="T863" s="778"/>
      <c r="U863" s="778"/>
      <c r="V863" s="778"/>
      <c r="W863" s="778"/>
      <c r="X863" s="778"/>
      <c r="Y863" s="778"/>
      <c r="Z863" s="778"/>
    </row>
    <row r="864">
      <c r="A864" s="777"/>
      <c r="B864" s="777"/>
      <c r="C864" s="777"/>
      <c r="D864" s="778"/>
      <c r="E864" s="778"/>
      <c r="F864" s="778"/>
      <c r="G864" s="778"/>
      <c r="H864" s="778"/>
      <c r="I864" s="778"/>
      <c r="J864" s="778"/>
      <c r="K864" s="778"/>
      <c r="L864" s="778"/>
      <c r="M864" s="778"/>
      <c r="N864" s="778"/>
      <c r="O864" s="778"/>
      <c r="P864" s="778"/>
      <c r="Q864" s="778"/>
      <c r="R864" s="778"/>
      <c r="S864" s="778"/>
      <c r="T864" s="778"/>
      <c r="U864" s="778"/>
      <c r="V864" s="778"/>
      <c r="W864" s="778"/>
      <c r="X864" s="778"/>
      <c r="Y864" s="778"/>
      <c r="Z864" s="778"/>
    </row>
    <row r="865">
      <c r="A865" s="777"/>
      <c r="B865" s="777"/>
      <c r="C865" s="777"/>
      <c r="D865" s="778"/>
      <c r="E865" s="778"/>
      <c r="F865" s="778"/>
      <c r="G865" s="778"/>
      <c r="H865" s="778"/>
      <c r="I865" s="778"/>
      <c r="J865" s="778"/>
      <c r="K865" s="778"/>
      <c r="L865" s="778"/>
      <c r="M865" s="778"/>
      <c r="N865" s="778"/>
      <c r="O865" s="778"/>
      <c r="P865" s="778"/>
      <c r="Q865" s="778"/>
      <c r="R865" s="778"/>
      <c r="S865" s="778"/>
      <c r="T865" s="778"/>
      <c r="U865" s="778"/>
      <c r="V865" s="778"/>
      <c r="W865" s="778"/>
      <c r="X865" s="778"/>
      <c r="Y865" s="778"/>
      <c r="Z865" s="778"/>
    </row>
    <row r="866">
      <c r="A866" s="777"/>
      <c r="B866" s="777"/>
      <c r="C866" s="777"/>
      <c r="D866" s="778"/>
      <c r="E866" s="778"/>
      <c r="F866" s="778"/>
      <c r="G866" s="778"/>
      <c r="H866" s="778"/>
      <c r="I866" s="778"/>
      <c r="J866" s="778"/>
      <c r="K866" s="778"/>
      <c r="L866" s="778"/>
      <c r="M866" s="778"/>
      <c r="N866" s="778"/>
      <c r="O866" s="778"/>
      <c r="P866" s="778"/>
      <c r="Q866" s="778"/>
      <c r="R866" s="778"/>
      <c r="S866" s="778"/>
      <c r="T866" s="778"/>
      <c r="U866" s="778"/>
      <c r="V866" s="778"/>
      <c r="W866" s="778"/>
      <c r="X866" s="778"/>
      <c r="Y866" s="778"/>
      <c r="Z866" s="778"/>
    </row>
    <row r="867">
      <c r="A867" s="777"/>
      <c r="B867" s="777"/>
      <c r="C867" s="777"/>
      <c r="D867" s="778"/>
      <c r="E867" s="778"/>
      <c r="F867" s="778"/>
      <c r="G867" s="778"/>
      <c r="H867" s="778"/>
      <c r="I867" s="778"/>
      <c r="J867" s="778"/>
      <c r="K867" s="778"/>
      <c r="L867" s="778"/>
      <c r="M867" s="778"/>
      <c r="N867" s="778"/>
      <c r="O867" s="778"/>
      <c r="P867" s="778"/>
      <c r="Q867" s="778"/>
      <c r="R867" s="778"/>
      <c r="S867" s="778"/>
      <c r="T867" s="778"/>
      <c r="U867" s="778"/>
      <c r="V867" s="778"/>
      <c r="W867" s="778"/>
      <c r="X867" s="778"/>
      <c r="Y867" s="778"/>
      <c r="Z867" s="778"/>
    </row>
    <row r="868">
      <c r="A868" s="777"/>
      <c r="B868" s="777"/>
      <c r="C868" s="777"/>
      <c r="D868" s="778"/>
      <c r="E868" s="778"/>
      <c r="F868" s="778"/>
      <c r="G868" s="778"/>
      <c r="H868" s="778"/>
      <c r="I868" s="778"/>
      <c r="J868" s="778"/>
      <c r="K868" s="778"/>
      <c r="L868" s="778"/>
      <c r="M868" s="778"/>
      <c r="N868" s="778"/>
      <c r="O868" s="778"/>
      <c r="P868" s="778"/>
      <c r="Q868" s="778"/>
      <c r="R868" s="778"/>
      <c r="S868" s="778"/>
      <c r="T868" s="778"/>
      <c r="U868" s="778"/>
      <c r="V868" s="778"/>
      <c r="W868" s="778"/>
      <c r="X868" s="778"/>
      <c r="Y868" s="778"/>
      <c r="Z868" s="778"/>
    </row>
    <row r="869">
      <c r="A869" s="777"/>
      <c r="B869" s="777"/>
      <c r="C869" s="777"/>
      <c r="D869" s="778"/>
      <c r="E869" s="778"/>
      <c r="F869" s="778"/>
      <c r="G869" s="778"/>
      <c r="H869" s="778"/>
      <c r="I869" s="778"/>
      <c r="J869" s="778"/>
      <c r="K869" s="778"/>
      <c r="L869" s="778"/>
      <c r="M869" s="778"/>
      <c r="N869" s="778"/>
      <c r="O869" s="778"/>
      <c r="P869" s="778"/>
      <c r="Q869" s="778"/>
      <c r="R869" s="778"/>
      <c r="S869" s="778"/>
      <c r="T869" s="778"/>
      <c r="U869" s="778"/>
      <c r="V869" s="778"/>
      <c r="W869" s="778"/>
      <c r="X869" s="778"/>
      <c r="Y869" s="778"/>
      <c r="Z869" s="778"/>
    </row>
    <row r="870">
      <c r="A870" s="777"/>
      <c r="B870" s="777"/>
      <c r="C870" s="777"/>
      <c r="D870" s="778"/>
      <c r="E870" s="778"/>
      <c r="F870" s="778"/>
      <c r="G870" s="778"/>
      <c r="H870" s="778"/>
      <c r="I870" s="778"/>
      <c r="J870" s="778"/>
      <c r="K870" s="778"/>
      <c r="L870" s="778"/>
      <c r="M870" s="778"/>
      <c r="N870" s="778"/>
      <c r="O870" s="778"/>
      <c r="P870" s="778"/>
      <c r="Q870" s="778"/>
      <c r="R870" s="778"/>
      <c r="S870" s="778"/>
      <c r="T870" s="778"/>
      <c r="U870" s="778"/>
      <c r="V870" s="778"/>
      <c r="W870" s="778"/>
      <c r="X870" s="778"/>
      <c r="Y870" s="778"/>
      <c r="Z870" s="778"/>
    </row>
    <row r="871">
      <c r="A871" s="777"/>
      <c r="B871" s="777"/>
      <c r="C871" s="777"/>
      <c r="D871" s="778"/>
      <c r="E871" s="778"/>
      <c r="F871" s="778"/>
      <c r="G871" s="778"/>
      <c r="H871" s="778"/>
      <c r="I871" s="778"/>
      <c r="J871" s="778"/>
      <c r="K871" s="778"/>
      <c r="L871" s="778"/>
      <c r="M871" s="778"/>
      <c r="N871" s="778"/>
      <c r="O871" s="778"/>
      <c r="P871" s="778"/>
      <c r="Q871" s="778"/>
      <c r="R871" s="778"/>
      <c r="S871" s="778"/>
      <c r="T871" s="778"/>
      <c r="U871" s="778"/>
      <c r="V871" s="778"/>
      <c r="W871" s="778"/>
      <c r="X871" s="778"/>
      <c r="Y871" s="778"/>
      <c r="Z871" s="778"/>
    </row>
    <row r="872">
      <c r="A872" s="777"/>
      <c r="B872" s="777"/>
      <c r="C872" s="777"/>
      <c r="D872" s="778"/>
      <c r="E872" s="778"/>
      <c r="F872" s="778"/>
      <c r="G872" s="778"/>
      <c r="H872" s="778"/>
      <c r="I872" s="778"/>
      <c r="J872" s="778"/>
      <c r="K872" s="778"/>
      <c r="L872" s="778"/>
      <c r="M872" s="778"/>
      <c r="N872" s="778"/>
      <c r="O872" s="778"/>
      <c r="P872" s="778"/>
      <c r="Q872" s="778"/>
      <c r="R872" s="778"/>
      <c r="S872" s="778"/>
      <c r="T872" s="778"/>
      <c r="U872" s="778"/>
      <c r="V872" s="778"/>
      <c r="W872" s="778"/>
      <c r="X872" s="778"/>
      <c r="Y872" s="778"/>
      <c r="Z872" s="778"/>
    </row>
    <row r="873">
      <c r="A873" s="777"/>
      <c r="B873" s="777"/>
      <c r="C873" s="777"/>
      <c r="D873" s="778"/>
      <c r="E873" s="778"/>
      <c r="F873" s="778"/>
      <c r="G873" s="778"/>
      <c r="H873" s="778"/>
      <c r="I873" s="778"/>
      <c r="J873" s="778"/>
      <c r="K873" s="778"/>
      <c r="L873" s="778"/>
      <c r="M873" s="778"/>
      <c r="N873" s="778"/>
      <c r="O873" s="778"/>
      <c r="P873" s="778"/>
      <c r="Q873" s="778"/>
      <c r="R873" s="778"/>
      <c r="S873" s="778"/>
      <c r="T873" s="778"/>
      <c r="U873" s="778"/>
      <c r="V873" s="778"/>
      <c r="W873" s="778"/>
      <c r="X873" s="778"/>
      <c r="Y873" s="778"/>
      <c r="Z873" s="778"/>
    </row>
    <row r="874">
      <c r="A874" s="777"/>
      <c r="B874" s="777"/>
      <c r="C874" s="777"/>
      <c r="D874" s="778"/>
      <c r="E874" s="778"/>
      <c r="F874" s="778"/>
      <c r="G874" s="778"/>
      <c r="H874" s="778"/>
      <c r="I874" s="778"/>
      <c r="J874" s="778"/>
      <c r="K874" s="778"/>
      <c r="L874" s="778"/>
      <c r="M874" s="778"/>
      <c r="N874" s="778"/>
      <c r="O874" s="778"/>
      <c r="P874" s="778"/>
      <c r="Q874" s="778"/>
      <c r="R874" s="778"/>
      <c r="S874" s="778"/>
      <c r="T874" s="778"/>
      <c r="U874" s="778"/>
      <c r="V874" s="778"/>
      <c r="W874" s="778"/>
      <c r="X874" s="778"/>
      <c r="Y874" s="778"/>
      <c r="Z874" s="778"/>
    </row>
    <row r="875">
      <c r="A875" s="777"/>
      <c r="B875" s="777"/>
      <c r="C875" s="777"/>
      <c r="D875" s="778"/>
      <c r="E875" s="778"/>
      <c r="F875" s="778"/>
      <c r="G875" s="778"/>
      <c r="H875" s="778"/>
      <c r="I875" s="778"/>
      <c r="J875" s="778"/>
      <c r="K875" s="778"/>
      <c r="L875" s="778"/>
      <c r="M875" s="778"/>
      <c r="N875" s="778"/>
      <c r="O875" s="778"/>
      <c r="P875" s="778"/>
      <c r="Q875" s="778"/>
      <c r="R875" s="778"/>
      <c r="S875" s="778"/>
      <c r="T875" s="778"/>
      <c r="U875" s="778"/>
      <c r="V875" s="778"/>
      <c r="W875" s="778"/>
      <c r="X875" s="778"/>
      <c r="Y875" s="778"/>
      <c r="Z875" s="778"/>
    </row>
    <row r="876">
      <c r="A876" s="777"/>
      <c r="B876" s="777"/>
      <c r="C876" s="777"/>
      <c r="D876" s="778"/>
      <c r="E876" s="778"/>
      <c r="F876" s="778"/>
      <c r="G876" s="778"/>
      <c r="H876" s="778"/>
      <c r="I876" s="778"/>
      <c r="J876" s="778"/>
      <c r="K876" s="778"/>
      <c r="L876" s="778"/>
      <c r="M876" s="778"/>
      <c r="N876" s="778"/>
      <c r="O876" s="778"/>
      <c r="P876" s="778"/>
      <c r="Q876" s="778"/>
      <c r="R876" s="778"/>
      <c r="S876" s="778"/>
      <c r="T876" s="778"/>
      <c r="U876" s="778"/>
      <c r="V876" s="778"/>
      <c r="W876" s="778"/>
      <c r="X876" s="778"/>
      <c r="Y876" s="778"/>
      <c r="Z876" s="778"/>
    </row>
    <row r="877">
      <c r="A877" s="777"/>
      <c r="B877" s="777"/>
      <c r="C877" s="777"/>
      <c r="D877" s="778"/>
      <c r="E877" s="778"/>
      <c r="F877" s="778"/>
      <c r="G877" s="778"/>
      <c r="H877" s="778"/>
      <c r="I877" s="778"/>
      <c r="J877" s="778"/>
      <c r="K877" s="778"/>
      <c r="L877" s="778"/>
      <c r="M877" s="778"/>
      <c r="N877" s="778"/>
      <c r="O877" s="778"/>
      <c r="P877" s="778"/>
      <c r="Q877" s="778"/>
      <c r="R877" s="778"/>
      <c r="S877" s="778"/>
      <c r="T877" s="778"/>
      <c r="U877" s="778"/>
      <c r="V877" s="778"/>
      <c r="W877" s="778"/>
      <c r="X877" s="778"/>
      <c r="Y877" s="778"/>
      <c r="Z877" s="778"/>
    </row>
    <row r="878">
      <c r="A878" s="777"/>
      <c r="B878" s="777"/>
      <c r="C878" s="777"/>
      <c r="D878" s="778"/>
      <c r="E878" s="778"/>
      <c r="F878" s="778"/>
      <c r="G878" s="778"/>
      <c r="H878" s="778"/>
      <c r="I878" s="778"/>
      <c r="J878" s="778"/>
      <c r="K878" s="778"/>
      <c r="L878" s="778"/>
      <c r="M878" s="778"/>
      <c r="N878" s="778"/>
      <c r="O878" s="778"/>
      <c r="P878" s="778"/>
      <c r="Q878" s="778"/>
      <c r="R878" s="778"/>
      <c r="S878" s="778"/>
      <c r="T878" s="778"/>
      <c r="U878" s="778"/>
      <c r="V878" s="778"/>
      <c r="W878" s="778"/>
      <c r="X878" s="778"/>
      <c r="Y878" s="778"/>
      <c r="Z878" s="778"/>
    </row>
    <row r="879">
      <c r="A879" s="777"/>
      <c r="B879" s="777"/>
      <c r="C879" s="777"/>
      <c r="D879" s="778"/>
      <c r="E879" s="778"/>
      <c r="F879" s="778"/>
      <c r="G879" s="778"/>
      <c r="H879" s="778"/>
      <c r="I879" s="778"/>
      <c r="J879" s="778"/>
      <c r="K879" s="778"/>
      <c r="L879" s="778"/>
      <c r="M879" s="778"/>
      <c r="N879" s="778"/>
      <c r="O879" s="778"/>
      <c r="P879" s="778"/>
      <c r="Q879" s="778"/>
      <c r="R879" s="778"/>
      <c r="S879" s="778"/>
      <c r="T879" s="778"/>
      <c r="U879" s="778"/>
      <c r="V879" s="778"/>
      <c r="W879" s="778"/>
      <c r="X879" s="778"/>
      <c r="Y879" s="778"/>
      <c r="Z879" s="778"/>
    </row>
    <row r="880">
      <c r="A880" s="777"/>
      <c r="B880" s="777"/>
      <c r="C880" s="777"/>
      <c r="D880" s="778"/>
      <c r="E880" s="778"/>
      <c r="F880" s="778"/>
      <c r="G880" s="778"/>
      <c r="H880" s="778"/>
      <c r="I880" s="778"/>
      <c r="J880" s="778"/>
      <c r="K880" s="778"/>
      <c r="L880" s="778"/>
      <c r="M880" s="778"/>
      <c r="N880" s="778"/>
      <c r="O880" s="778"/>
      <c r="P880" s="778"/>
      <c r="Q880" s="778"/>
      <c r="R880" s="778"/>
      <c r="S880" s="778"/>
      <c r="T880" s="778"/>
      <c r="U880" s="778"/>
      <c r="V880" s="778"/>
      <c r="W880" s="778"/>
      <c r="X880" s="778"/>
      <c r="Y880" s="778"/>
      <c r="Z880" s="778"/>
    </row>
    <row r="881">
      <c r="A881" s="777"/>
      <c r="B881" s="777"/>
      <c r="C881" s="777"/>
      <c r="D881" s="778"/>
      <c r="E881" s="778"/>
      <c r="F881" s="778"/>
      <c r="G881" s="778"/>
      <c r="H881" s="778"/>
      <c r="I881" s="778"/>
      <c r="J881" s="778"/>
      <c r="K881" s="778"/>
      <c r="L881" s="778"/>
      <c r="M881" s="778"/>
      <c r="N881" s="778"/>
      <c r="O881" s="778"/>
      <c r="P881" s="778"/>
      <c r="Q881" s="778"/>
      <c r="R881" s="778"/>
      <c r="S881" s="778"/>
      <c r="T881" s="778"/>
      <c r="U881" s="778"/>
      <c r="V881" s="778"/>
      <c r="W881" s="778"/>
      <c r="X881" s="778"/>
      <c r="Y881" s="778"/>
      <c r="Z881" s="778"/>
    </row>
    <row r="882">
      <c r="A882" s="777"/>
      <c r="B882" s="777"/>
      <c r="C882" s="777"/>
      <c r="D882" s="778"/>
      <c r="E882" s="778"/>
      <c r="F882" s="778"/>
      <c r="G882" s="778"/>
      <c r="H882" s="778"/>
      <c r="I882" s="778"/>
      <c r="J882" s="778"/>
      <c r="K882" s="778"/>
      <c r="L882" s="778"/>
      <c r="M882" s="778"/>
      <c r="N882" s="778"/>
      <c r="O882" s="778"/>
      <c r="P882" s="778"/>
      <c r="Q882" s="778"/>
      <c r="R882" s="778"/>
      <c r="S882" s="778"/>
      <c r="T882" s="778"/>
      <c r="U882" s="778"/>
      <c r="V882" s="778"/>
      <c r="W882" s="778"/>
      <c r="X882" s="778"/>
      <c r="Y882" s="778"/>
      <c r="Z882" s="778"/>
    </row>
    <row r="883">
      <c r="A883" s="777"/>
      <c r="B883" s="777"/>
      <c r="C883" s="777"/>
      <c r="D883" s="778"/>
      <c r="E883" s="778"/>
      <c r="F883" s="778"/>
      <c r="G883" s="778"/>
      <c r="H883" s="778"/>
      <c r="I883" s="778"/>
      <c r="J883" s="778"/>
      <c r="K883" s="778"/>
      <c r="L883" s="778"/>
      <c r="M883" s="778"/>
      <c r="N883" s="778"/>
      <c r="O883" s="778"/>
      <c r="P883" s="778"/>
      <c r="Q883" s="778"/>
      <c r="R883" s="778"/>
      <c r="S883" s="778"/>
      <c r="T883" s="778"/>
      <c r="U883" s="778"/>
      <c r="V883" s="778"/>
      <c r="W883" s="778"/>
      <c r="X883" s="778"/>
      <c r="Y883" s="778"/>
      <c r="Z883" s="778"/>
    </row>
    <row r="884">
      <c r="A884" s="777"/>
      <c r="B884" s="777"/>
      <c r="C884" s="777"/>
      <c r="D884" s="778"/>
      <c r="E884" s="778"/>
      <c r="F884" s="778"/>
      <c r="G884" s="778"/>
      <c r="H884" s="778"/>
      <c r="I884" s="778"/>
      <c r="J884" s="778"/>
      <c r="K884" s="778"/>
      <c r="L884" s="778"/>
      <c r="M884" s="778"/>
      <c r="N884" s="778"/>
      <c r="O884" s="778"/>
      <c r="P884" s="778"/>
      <c r="Q884" s="778"/>
      <c r="R884" s="778"/>
      <c r="S884" s="778"/>
      <c r="T884" s="778"/>
      <c r="U884" s="778"/>
      <c r="V884" s="778"/>
      <c r="W884" s="778"/>
      <c r="X884" s="778"/>
      <c r="Y884" s="778"/>
      <c r="Z884" s="778"/>
    </row>
    <row r="885">
      <c r="A885" s="777"/>
      <c r="B885" s="777"/>
      <c r="C885" s="777"/>
      <c r="D885" s="778"/>
      <c r="E885" s="778"/>
      <c r="F885" s="778"/>
      <c r="G885" s="778"/>
      <c r="H885" s="778"/>
      <c r="I885" s="778"/>
      <c r="J885" s="778"/>
      <c r="K885" s="778"/>
      <c r="L885" s="778"/>
      <c r="M885" s="778"/>
      <c r="N885" s="778"/>
      <c r="O885" s="778"/>
      <c r="P885" s="778"/>
      <c r="Q885" s="778"/>
      <c r="R885" s="778"/>
      <c r="S885" s="778"/>
      <c r="T885" s="778"/>
      <c r="U885" s="778"/>
      <c r="V885" s="778"/>
      <c r="W885" s="778"/>
      <c r="X885" s="778"/>
      <c r="Y885" s="778"/>
      <c r="Z885" s="778"/>
    </row>
    <row r="886">
      <c r="A886" s="777"/>
      <c r="B886" s="777"/>
      <c r="C886" s="777"/>
      <c r="D886" s="778"/>
      <c r="E886" s="778"/>
      <c r="F886" s="778"/>
      <c r="G886" s="778"/>
      <c r="H886" s="778"/>
      <c r="I886" s="778"/>
      <c r="J886" s="778"/>
      <c r="K886" s="778"/>
      <c r="L886" s="778"/>
      <c r="M886" s="778"/>
      <c r="N886" s="778"/>
      <c r="O886" s="778"/>
      <c r="P886" s="778"/>
      <c r="Q886" s="778"/>
      <c r="R886" s="778"/>
      <c r="S886" s="778"/>
      <c r="T886" s="778"/>
      <c r="U886" s="778"/>
      <c r="V886" s="778"/>
      <c r="W886" s="778"/>
      <c r="X886" s="778"/>
      <c r="Y886" s="778"/>
      <c r="Z886" s="778"/>
    </row>
    <row r="887">
      <c r="A887" s="777"/>
      <c r="B887" s="777"/>
      <c r="C887" s="777"/>
      <c r="D887" s="778"/>
      <c r="E887" s="778"/>
      <c r="F887" s="778"/>
      <c r="G887" s="778"/>
      <c r="H887" s="778"/>
      <c r="I887" s="778"/>
      <c r="J887" s="778"/>
      <c r="K887" s="778"/>
      <c r="L887" s="778"/>
      <c r="M887" s="778"/>
      <c r="N887" s="778"/>
      <c r="O887" s="778"/>
      <c r="P887" s="778"/>
      <c r="Q887" s="778"/>
      <c r="R887" s="778"/>
      <c r="S887" s="778"/>
      <c r="T887" s="778"/>
      <c r="U887" s="778"/>
      <c r="V887" s="778"/>
      <c r="W887" s="778"/>
      <c r="X887" s="778"/>
      <c r="Y887" s="778"/>
      <c r="Z887" s="778"/>
    </row>
    <row r="888">
      <c r="A888" s="777"/>
      <c r="B888" s="777"/>
      <c r="C888" s="777"/>
      <c r="D888" s="778"/>
      <c r="E888" s="778"/>
      <c r="F888" s="778"/>
      <c r="G888" s="778"/>
      <c r="H888" s="778"/>
      <c r="I888" s="778"/>
      <c r="J888" s="778"/>
      <c r="K888" s="778"/>
      <c r="L888" s="778"/>
      <c r="M888" s="778"/>
      <c r="N888" s="778"/>
      <c r="O888" s="778"/>
      <c r="P888" s="778"/>
      <c r="Q888" s="778"/>
      <c r="R888" s="778"/>
      <c r="S888" s="778"/>
      <c r="T888" s="778"/>
      <c r="U888" s="778"/>
      <c r="V888" s="778"/>
      <c r="W888" s="778"/>
      <c r="X888" s="778"/>
      <c r="Y888" s="778"/>
      <c r="Z888" s="778"/>
    </row>
    <row r="889">
      <c r="A889" s="777"/>
      <c r="B889" s="777"/>
      <c r="C889" s="777"/>
      <c r="D889" s="778"/>
      <c r="E889" s="778"/>
      <c r="F889" s="778"/>
      <c r="G889" s="778"/>
      <c r="H889" s="778"/>
      <c r="I889" s="778"/>
      <c r="J889" s="778"/>
      <c r="K889" s="778"/>
      <c r="L889" s="778"/>
      <c r="M889" s="778"/>
      <c r="N889" s="778"/>
      <c r="O889" s="778"/>
      <c r="P889" s="778"/>
      <c r="Q889" s="778"/>
      <c r="R889" s="778"/>
      <c r="S889" s="778"/>
      <c r="T889" s="778"/>
      <c r="U889" s="778"/>
      <c r="V889" s="778"/>
      <c r="W889" s="778"/>
      <c r="X889" s="778"/>
      <c r="Y889" s="778"/>
      <c r="Z889" s="778"/>
    </row>
    <row r="890">
      <c r="A890" s="777"/>
      <c r="B890" s="777"/>
      <c r="C890" s="777"/>
      <c r="D890" s="778"/>
      <c r="E890" s="778"/>
      <c r="F890" s="778"/>
      <c r="G890" s="778"/>
      <c r="H890" s="778"/>
      <c r="I890" s="778"/>
      <c r="J890" s="778"/>
      <c r="K890" s="778"/>
      <c r="L890" s="778"/>
      <c r="M890" s="778"/>
      <c r="N890" s="778"/>
      <c r="O890" s="778"/>
      <c r="P890" s="778"/>
      <c r="Q890" s="778"/>
      <c r="R890" s="778"/>
      <c r="S890" s="778"/>
      <c r="T890" s="778"/>
      <c r="U890" s="778"/>
      <c r="V890" s="778"/>
      <c r="W890" s="778"/>
      <c r="X890" s="778"/>
      <c r="Y890" s="778"/>
      <c r="Z890" s="778"/>
    </row>
    <row r="891">
      <c r="A891" s="777"/>
      <c r="B891" s="777"/>
      <c r="C891" s="777"/>
      <c r="D891" s="778"/>
      <c r="E891" s="778"/>
      <c r="F891" s="778"/>
      <c r="G891" s="778"/>
      <c r="H891" s="778"/>
      <c r="I891" s="778"/>
      <c r="J891" s="778"/>
      <c r="K891" s="778"/>
      <c r="L891" s="778"/>
      <c r="M891" s="778"/>
      <c r="N891" s="778"/>
      <c r="O891" s="778"/>
      <c r="P891" s="778"/>
      <c r="Q891" s="778"/>
      <c r="R891" s="778"/>
      <c r="S891" s="778"/>
      <c r="T891" s="778"/>
      <c r="U891" s="778"/>
      <c r="V891" s="778"/>
      <c r="W891" s="778"/>
      <c r="X891" s="778"/>
      <c r="Y891" s="778"/>
      <c r="Z891" s="778"/>
    </row>
    <row r="892">
      <c r="A892" s="777"/>
      <c r="B892" s="777"/>
      <c r="C892" s="777"/>
      <c r="D892" s="778"/>
      <c r="E892" s="778"/>
      <c r="F892" s="778"/>
      <c r="G892" s="778"/>
      <c r="H892" s="778"/>
      <c r="I892" s="778"/>
      <c r="J892" s="778"/>
      <c r="K892" s="778"/>
      <c r="L892" s="778"/>
      <c r="M892" s="778"/>
      <c r="N892" s="778"/>
      <c r="O892" s="778"/>
      <c r="P892" s="778"/>
      <c r="Q892" s="778"/>
      <c r="R892" s="778"/>
      <c r="S892" s="778"/>
      <c r="T892" s="778"/>
      <c r="U892" s="778"/>
      <c r="V892" s="778"/>
      <c r="W892" s="778"/>
      <c r="X892" s="778"/>
      <c r="Y892" s="778"/>
      <c r="Z892" s="778"/>
    </row>
    <row r="893">
      <c r="A893" s="777"/>
      <c r="B893" s="777"/>
      <c r="C893" s="777"/>
      <c r="D893" s="778"/>
      <c r="E893" s="778"/>
      <c r="F893" s="778"/>
      <c r="G893" s="778"/>
      <c r="H893" s="778"/>
      <c r="I893" s="778"/>
      <c r="J893" s="778"/>
      <c r="K893" s="778"/>
      <c r="L893" s="778"/>
      <c r="M893" s="778"/>
      <c r="N893" s="778"/>
      <c r="O893" s="778"/>
      <c r="P893" s="778"/>
      <c r="Q893" s="778"/>
      <c r="R893" s="778"/>
      <c r="S893" s="778"/>
      <c r="T893" s="778"/>
      <c r="U893" s="778"/>
      <c r="V893" s="778"/>
      <c r="W893" s="778"/>
      <c r="X893" s="778"/>
      <c r="Y893" s="778"/>
      <c r="Z893" s="778"/>
    </row>
    <row r="894">
      <c r="A894" s="777"/>
      <c r="B894" s="777"/>
      <c r="C894" s="777"/>
      <c r="D894" s="778"/>
      <c r="E894" s="778"/>
      <c r="F894" s="778"/>
      <c r="G894" s="778"/>
      <c r="H894" s="778"/>
      <c r="I894" s="778"/>
      <c r="J894" s="778"/>
      <c r="K894" s="778"/>
      <c r="L894" s="778"/>
      <c r="M894" s="778"/>
      <c r="N894" s="778"/>
      <c r="O894" s="778"/>
      <c r="P894" s="778"/>
      <c r="Q894" s="778"/>
      <c r="R894" s="778"/>
      <c r="S894" s="778"/>
      <c r="T894" s="778"/>
      <c r="U894" s="778"/>
      <c r="V894" s="778"/>
      <c r="W894" s="778"/>
      <c r="X894" s="778"/>
      <c r="Y894" s="778"/>
      <c r="Z894" s="778"/>
    </row>
    <row r="895">
      <c r="A895" s="777"/>
      <c r="B895" s="777"/>
      <c r="C895" s="777"/>
      <c r="D895" s="778"/>
      <c r="E895" s="778"/>
      <c r="F895" s="778"/>
      <c r="G895" s="778"/>
      <c r="H895" s="778"/>
      <c r="I895" s="778"/>
      <c r="J895" s="778"/>
      <c r="K895" s="778"/>
      <c r="L895" s="778"/>
      <c r="M895" s="778"/>
      <c r="N895" s="778"/>
      <c r="O895" s="778"/>
      <c r="P895" s="778"/>
      <c r="Q895" s="778"/>
      <c r="R895" s="778"/>
      <c r="S895" s="778"/>
      <c r="T895" s="778"/>
      <c r="U895" s="778"/>
      <c r="V895" s="778"/>
      <c r="W895" s="778"/>
      <c r="X895" s="778"/>
      <c r="Y895" s="778"/>
      <c r="Z895" s="778"/>
    </row>
    <row r="896">
      <c r="A896" s="777"/>
      <c r="B896" s="777"/>
      <c r="C896" s="777"/>
      <c r="D896" s="778"/>
      <c r="E896" s="778"/>
      <c r="F896" s="778"/>
      <c r="G896" s="778"/>
      <c r="H896" s="778"/>
      <c r="I896" s="778"/>
      <c r="J896" s="778"/>
      <c r="K896" s="778"/>
      <c r="L896" s="778"/>
      <c r="M896" s="778"/>
      <c r="N896" s="778"/>
      <c r="O896" s="778"/>
      <c r="P896" s="778"/>
      <c r="Q896" s="778"/>
      <c r="R896" s="778"/>
      <c r="S896" s="778"/>
      <c r="T896" s="778"/>
      <c r="U896" s="778"/>
      <c r="V896" s="778"/>
      <c r="W896" s="778"/>
      <c r="X896" s="778"/>
      <c r="Y896" s="778"/>
      <c r="Z896" s="778"/>
    </row>
    <row r="897">
      <c r="A897" s="777"/>
      <c r="B897" s="777"/>
      <c r="C897" s="777"/>
      <c r="D897" s="778"/>
      <c r="E897" s="778"/>
      <c r="F897" s="778"/>
      <c r="G897" s="778"/>
      <c r="H897" s="778"/>
      <c r="I897" s="778"/>
      <c r="J897" s="778"/>
      <c r="K897" s="778"/>
      <c r="L897" s="778"/>
      <c r="M897" s="778"/>
      <c r="N897" s="778"/>
      <c r="O897" s="778"/>
      <c r="P897" s="778"/>
      <c r="Q897" s="778"/>
      <c r="R897" s="778"/>
      <c r="S897" s="778"/>
      <c r="T897" s="778"/>
      <c r="U897" s="778"/>
      <c r="V897" s="778"/>
      <c r="W897" s="778"/>
      <c r="X897" s="778"/>
      <c r="Y897" s="778"/>
      <c r="Z897" s="778"/>
    </row>
    <row r="898">
      <c r="A898" s="777"/>
      <c r="B898" s="777"/>
      <c r="C898" s="777"/>
      <c r="D898" s="778"/>
      <c r="E898" s="778"/>
      <c r="F898" s="778"/>
      <c r="G898" s="778"/>
      <c r="H898" s="778"/>
      <c r="I898" s="778"/>
      <c r="J898" s="778"/>
      <c r="K898" s="778"/>
      <c r="L898" s="778"/>
      <c r="M898" s="778"/>
      <c r="N898" s="778"/>
      <c r="O898" s="778"/>
      <c r="P898" s="778"/>
      <c r="Q898" s="778"/>
      <c r="R898" s="778"/>
      <c r="S898" s="778"/>
      <c r="T898" s="778"/>
      <c r="U898" s="778"/>
      <c r="V898" s="778"/>
      <c r="W898" s="778"/>
      <c r="X898" s="778"/>
      <c r="Y898" s="778"/>
      <c r="Z898" s="778"/>
    </row>
    <row r="899">
      <c r="A899" s="777"/>
      <c r="B899" s="777"/>
      <c r="C899" s="777"/>
      <c r="D899" s="778"/>
      <c r="E899" s="778"/>
      <c r="F899" s="778"/>
      <c r="G899" s="778"/>
      <c r="H899" s="778"/>
      <c r="I899" s="778"/>
      <c r="J899" s="778"/>
      <c r="K899" s="778"/>
      <c r="L899" s="778"/>
      <c r="M899" s="778"/>
      <c r="N899" s="778"/>
      <c r="O899" s="778"/>
      <c r="P899" s="778"/>
      <c r="Q899" s="778"/>
      <c r="R899" s="778"/>
      <c r="S899" s="778"/>
      <c r="T899" s="778"/>
      <c r="U899" s="778"/>
      <c r="V899" s="778"/>
      <c r="W899" s="778"/>
      <c r="X899" s="778"/>
      <c r="Y899" s="778"/>
      <c r="Z899" s="778"/>
    </row>
    <row r="900">
      <c r="A900" s="777"/>
      <c r="B900" s="777"/>
      <c r="C900" s="777"/>
      <c r="D900" s="778"/>
      <c r="E900" s="778"/>
      <c r="F900" s="778"/>
      <c r="G900" s="778"/>
      <c r="H900" s="778"/>
      <c r="I900" s="778"/>
      <c r="J900" s="778"/>
      <c r="K900" s="778"/>
      <c r="L900" s="778"/>
      <c r="M900" s="778"/>
      <c r="N900" s="778"/>
      <c r="O900" s="778"/>
      <c r="P900" s="778"/>
      <c r="Q900" s="778"/>
      <c r="R900" s="778"/>
      <c r="S900" s="778"/>
      <c r="T900" s="778"/>
      <c r="U900" s="778"/>
      <c r="V900" s="778"/>
      <c r="W900" s="778"/>
      <c r="X900" s="778"/>
      <c r="Y900" s="778"/>
      <c r="Z900" s="778"/>
    </row>
    <row r="901">
      <c r="A901" s="777"/>
      <c r="B901" s="777"/>
      <c r="C901" s="777"/>
      <c r="D901" s="778"/>
      <c r="E901" s="778"/>
      <c r="F901" s="778"/>
      <c r="G901" s="778"/>
      <c r="H901" s="778"/>
      <c r="I901" s="778"/>
      <c r="J901" s="778"/>
      <c r="K901" s="778"/>
      <c r="L901" s="778"/>
      <c r="M901" s="778"/>
      <c r="N901" s="778"/>
      <c r="O901" s="778"/>
      <c r="P901" s="778"/>
      <c r="Q901" s="778"/>
      <c r="R901" s="778"/>
      <c r="S901" s="778"/>
      <c r="T901" s="778"/>
      <c r="U901" s="778"/>
      <c r="V901" s="778"/>
      <c r="W901" s="778"/>
      <c r="X901" s="778"/>
      <c r="Y901" s="778"/>
      <c r="Z901" s="778"/>
    </row>
    <row r="902">
      <c r="A902" s="777"/>
      <c r="B902" s="777"/>
      <c r="C902" s="777"/>
      <c r="D902" s="778"/>
      <c r="E902" s="778"/>
      <c r="F902" s="778"/>
      <c r="G902" s="778"/>
      <c r="H902" s="778"/>
      <c r="I902" s="778"/>
      <c r="J902" s="778"/>
      <c r="K902" s="778"/>
      <c r="L902" s="778"/>
      <c r="M902" s="778"/>
      <c r="N902" s="778"/>
      <c r="O902" s="778"/>
      <c r="P902" s="778"/>
      <c r="Q902" s="778"/>
      <c r="R902" s="778"/>
      <c r="S902" s="778"/>
      <c r="T902" s="778"/>
      <c r="U902" s="778"/>
      <c r="V902" s="778"/>
      <c r="W902" s="778"/>
      <c r="X902" s="778"/>
      <c r="Y902" s="778"/>
      <c r="Z902" s="778"/>
    </row>
    <row r="903">
      <c r="A903" s="777"/>
      <c r="B903" s="777"/>
      <c r="C903" s="777"/>
      <c r="D903" s="778"/>
      <c r="E903" s="778"/>
      <c r="F903" s="778"/>
      <c r="G903" s="778"/>
      <c r="H903" s="778"/>
      <c r="I903" s="778"/>
      <c r="J903" s="778"/>
      <c r="K903" s="778"/>
      <c r="L903" s="778"/>
      <c r="M903" s="778"/>
      <c r="N903" s="778"/>
      <c r="O903" s="778"/>
      <c r="P903" s="778"/>
      <c r="Q903" s="778"/>
      <c r="R903" s="778"/>
      <c r="S903" s="778"/>
      <c r="T903" s="778"/>
      <c r="U903" s="778"/>
      <c r="V903" s="778"/>
      <c r="W903" s="778"/>
      <c r="X903" s="778"/>
      <c r="Y903" s="778"/>
      <c r="Z903" s="778"/>
    </row>
    <row r="904">
      <c r="A904" s="777"/>
      <c r="B904" s="777"/>
      <c r="C904" s="777"/>
      <c r="D904" s="778"/>
      <c r="E904" s="778"/>
      <c r="F904" s="778"/>
      <c r="G904" s="778"/>
      <c r="H904" s="778"/>
      <c r="I904" s="778"/>
      <c r="J904" s="778"/>
      <c r="K904" s="778"/>
      <c r="L904" s="778"/>
      <c r="M904" s="778"/>
      <c r="N904" s="778"/>
      <c r="O904" s="778"/>
      <c r="P904" s="778"/>
      <c r="Q904" s="778"/>
      <c r="R904" s="778"/>
      <c r="S904" s="778"/>
      <c r="T904" s="778"/>
      <c r="U904" s="778"/>
      <c r="V904" s="778"/>
      <c r="W904" s="778"/>
      <c r="X904" s="778"/>
      <c r="Y904" s="778"/>
      <c r="Z904" s="778"/>
    </row>
    <row r="905">
      <c r="A905" s="777"/>
      <c r="B905" s="777"/>
      <c r="C905" s="777"/>
      <c r="D905" s="778"/>
      <c r="E905" s="778"/>
      <c r="F905" s="778"/>
      <c r="G905" s="778"/>
      <c r="H905" s="778"/>
      <c r="I905" s="778"/>
      <c r="J905" s="778"/>
      <c r="K905" s="778"/>
      <c r="L905" s="778"/>
      <c r="M905" s="778"/>
      <c r="N905" s="778"/>
      <c r="O905" s="778"/>
      <c r="P905" s="778"/>
      <c r="Q905" s="778"/>
      <c r="R905" s="778"/>
      <c r="S905" s="778"/>
      <c r="T905" s="778"/>
      <c r="U905" s="778"/>
      <c r="V905" s="778"/>
      <c r="W905" s="778"/>
      <c r="X905" s="778"/>
      <c r="Y905" s="778"/>
      <c r="Z905" s="778"/>
    </row>
    <row r="906">
      <c r="A906" s="777"/>
      <c r="B906" s="777"/>
      <c r="C906" s="777"/>
      <c r="D906" s="778"/>
      <c r="E906" s="778"/>
      <c r="F906" s="778"/>
      <c r="G906" s="778"/>
      <c r="H906" s="778"/>
      <c r="I906" s="778"/>
      <c r="J906" s="778"/>
      <c r="K906" s="778"/>
      <c r="L906" s="778"/>
      <c r="M906" s="778"/>
      <c r="N906" s="778"/>
      <c r="O906" s="778"/>
      <c r="P906" s="778"/>
      <c r="Q906" s="778"/>
      <c r="R906" s="778"/>
      <c r="S906" s="778"/>
      <c r="T906" s="778"/>
      <c r="U906" s="778"/>
      <c r="V906" s="778"/>
      <c r="W906" s="778"/>
      <c r="X906" s="778"/>
      <c r="Y906" s="778"/>
      <c r="Z906" s="778"/>
    </row>
    <row r="907">
      <c r="A907" s="777"/>
      <c r="B907" s="777"/>
      <c r="C907" s="777"/>
      <c r="D907" s="778"/>
      <c r="E907" s="778"/>
      <c r="F907" s="778"/>
      <c r="G907" s="778"/>
      <c r="H907" s="778"/>
      <c r="I907" s="778"/>
      <c r="J907" s="778"/>
      <c r="K907" s="778"/>
      <c r="L907" s="778"/>
      <c r="M907" s="778"/>
      <c r="N907" s="778"/>
      <c r="O907" s="778"/>
      <c r="P907" s="778"/>
      <c r="Q907" s="778"/>
      <c r="R907" s="778"/>
      <c r="S907" s="778"/>
      <c r="T907" s="778"/>
      <c r="U907" s="778"/>
      <c r="V907" s="778"/>
      <c r="W907" s="778"/>
      <c r="X907" s="778"/>
      <c r="Y907" s="778"/>
      <c r="Z907" s="778"/>
    </row>
    <row r="908">
      <c r="A908" s="777"/>
      <c r="B908" s="777"/>
      <c r="C908" s="777"/>
      <c r="D908" s="778"/>
      <c r="E908" s="778"/>
      <c r="F908" s="778"/>
      <c r="G908" s="778"/>
      <c r="H908" s="778"/>
      <c r="I908" s="778"/>
      <c r="J908" s="778"/>
      <c r="K908" s="778"/>
      <c r="L908" s="778"/>
      <c r="M908" s="778"/>
      <c r="N908" s="778"/>
      <c r="O908" s="778"/>
      <c r="P908" s="778"/>
      <c r="Q908" s="778"/>
      <c r="R908" s="778"/>
      <c r="S908" s="778"/>
      <c r="T908" s="778"/>
      <c r="U908" s="778"/>
      <c r="V908" s="778"/>
      <c r="W908" s="778"/>
      <c r="X908" s="778"/>
      <c r="Y908" s="778"/>
      <c r="Z908" s="778"/>
    </row>
    <row r="909">
      <c r="A909" s="777"/>
      <c r="B909" s="777"/>
      <c r="C909" s="777"/>
      <c r="D909" s="778"/>
      <c r="E909" s="778"/>
      <c r="F909" s="778"/>
      <c r="G909" s="778"/>
      <c r="H909" s="778"/>
      <c r="I909" s="778"/>
      <c r="J909" s="778"/>
      <c r="K909" s="778"/>
      <c r="L909" s="778"/>
      <c r="M909" s="778"/>
      <c r="N909" s="778"/>
      <c r="O909" s="778"/>
      <c r="P909" s="778"/>
      <c r="Q909" s="778"/>
      <c r="R909" s="778"/>
      <c r="S909" s="778"/>
      <c r="T909" s="778"/>
      <c r="U909" s="778"/>
      <c r="V909" s="778"/>
      <c r="W909" s="778"/>
      <c r="X909" s="778"/>
      <c r="Y909" s="778"/>
      <c r="Z909" s="778"/>
    </row>
    <row r="910">
      <c r="A910" s="777"/>
      <c r="B910" s="777"/>
      <c r="C910" s="777"/>
      <c r="D910" s="778"/>
      <c r="E910" s="778"/>
      <c r="F910" s="778"/>
      <c r="G910" s="778"/>
      <c r="H910" s="778"/>
      <c r="I910" s="778"/>
      <c r="J910" s="778"/>
      <c r="K910" s="778"/>
      <c r="L910" s="778"/>
      <c r="M910" s="778"/>
      <c r="N910" s="778"/>
      <c r="O910" s="778"/>
      <c r="P910" s="778"/>
      <c r="Q910" s="778"/>
      <c r="R910" s="778"/>
      <c r="S910" s="778"/>
      <c r="T910" s="778"/>
      <c r="U910" s="778"/>
      <c r="V910" s="778"/>
      <c r="W910" s="778"/>
      <c r="X910" s="778"/>
      <c r="Y910" s="778"/>
      <c r="Z910" s="778"/>
    </row>
    <row r="911">
      <c r="A911" s="777"/>
      <c r="B911" s="777"/>
      <c r="C911" s="777"/>
      <c r="D911" s="778"/>
      <c r="E911" s="778"/>
      <c r="F911" s="778"/>
      <c r="G911" s="778"/>
      <c r="H911" s="778"/>
      <c r="I911" s="778"/>
      <c r="J911" s="778"/>
      <c r="K911" s="778"/>
      <c r="L911" s="778"/>
      <c r="M911" s="778"/>
      <c r="N911" s="778"/>
      <c r="O911" s="778"/>
      <c r="P911" s="778"/>
      <c r="Q911" s="778"/>
      <c r="R911" s="778"/>
      <c r="S911" s="778"/>
      <c r="T911" s="778"/>
      <c r="U911" s="778"/>
      <c r="V911" s="778"/>
      <c r="W911" s="778"/>
      <c r="X911" s="778"/>
      <c r="Y911" s="778"/>
      <c r="Z911" s="778"/>
    </row>
    <row r="912">
      <c r="A912" s="777"/>
      <c r="B912" s="777"/>
      <c r="C912" s="777"/>
      <c r="D912" s="778"/>
      <c r="E912" s="778"/>
      <c r="F912" s="778"/>
      <c r="G912" s="778"/>
      <c r="H912" s="778"/>
      <c r="I912" s="778"/>
      <c r="J912" s="778"/>
      <c r="K912" s="778"/>
      <c r="L912" s="778"/>
      <c r="M912" s="778"/>
      <c r="N912" s="778"/>
      <c r="O912" s="778"/>
      <c r="P912" s="778"/>
      <c r="Q912" s="778"/>
      <c r="R912" s="778"/>
      <c r="S912" s="778"/>
      <c r="T912" s="778"/>
      <c r="U912" s="778"/>
      <c r="V912" s="778"/>
      <c r="W912" s="778"/>
      <c r="X912" s="778"/>
      <c r="Y912" s="778"/>
      <c r="Z912" s="778"/>
    </row>
    <row r="913">
      <c r="A913" s="777"/>
      <c r="B913" s="777"/>
      <c r="C913" s="777"/>
      <c r="D913" s="778"/>
      <c r="E913" s="778"/>
      <c r="F913" s="778"/>
      <c r="G913" s="778"/>
      <c r="H913" s="778"/>
      <c r="I913" s="778"/>
      <c r="J913" s="778"/>
      <c r="K913" s="778"/>
      <c r="L913" s="778"/>
      <c r="M913" s="778"/>
      <c r="N913" s="778"/>
      <c r="O913" s="778"/>
      <c r="P913" s="778"/>
      <c r="Q913" s="778"/>
      <c r="R913" s="778"/>
      <c r="S913" s="778"/>
      <c r="T913" s="778"/>
      <c r="U913" s="778"/>
      <c r="V913" s="778"/>
      <c r="W913" s="778"/>
      <c r="X913" s="778"/>
      <c r="Y913" s="778"/>
      <c r="Z913" s="778"/>
    </row>
    <row r="914">
      <c r="A914" s="777"/>
      <c r="B914" s="777"/>
      <c r="C914" s="777"/>
      <c r="D914" s="778"/>
      <c r="E914" s="778"/>
      <c r="F914" s="778"/>
      <c r="G914" s="778"/>
      <c r="H914" s="778"/>
      <c r="I914" s="778"/>
      <c r="J914" s="778"/>
      <c r="K914" s="778"/>
      <c r="L914" s="778"/>
      <c r="M914" s="778"/>
      <c r="N914" s="778"/>
      <c r="O914" s="778"/>
      <c r="P914" s="778"/>
      <c r="Q914" s="778"/>
      <c r="R914" s="778"/>
      <c r="S914" s="778"/>
      <c r="T914" s="778"/>
      <c r="U914" s="778"/>
      <c r="V914" s="778"/>
      <c r="W914" s="778"/>
      <c r="X914" s="778"/>
      <c r="Y914" s="778"/>
      <c r="Z914" s="778"/>
    </row>
    <row r="915">
      <c r="A915" s="777"/>
      <c r="B915" s="777"/>
      <c r="C915" s="777"/>
      <c r="D915" s="778"/>
      <c r="E915" s="778"/>
      <c r="F915" s="778"/>
      <c r="G915" s="778"/>
      <c r="H915" s="778"/>
      <c r="I915" s="778"/>
      <c r="J915" s="778"/>
      <c r="K915" s="778"/>
      <c r="L915" s="778"/>
      <c r="M915" s="778"/>
      <c r="N915" s="778"/>
      <c r="O915" s="778"/>
      <c r="P915" s="778"/>
      <c r="Q915" s="778"/>
      <c r="R915" s="778"/>
      <c r="S915" s="778"/>
      <c r="T915" s="778"/>
      <c r="U915" s="778"/>
      <c r="V915" s="778"/>
      <c r="W915" s="778"/>
      <c r="X915" s="778"/>
      <c r="Y915" s="778"/>
      <c r="Z915" s="778"/>
    </row>
    <row r="916">
      <c r="A916" s="777"/>
      <c r="B916" s="777"/>
      <c r="C916" s="777"/>
      <c r="D916" s="778"/>
      <c r="E916" s="778"/>
      <c r="F916" s="778"/>
      <c r="G916" s="778"/>
      <c r="H916" s="778"/>
      <c r="I916" s="778"/>
      <c r="J916" s="778"/>
      <c r="K916" s="778"/>
      <c r="L916" s="778"/>
      <c r="M916" s="778"/>
      <c r="N916" s="778"/>
      <c r="O916" s="778"/>
      <c r="P916" s="778"/>
      <c r="Q916" s="778"/>
      <c r="R916" s="778"/>
      <c r="S916" s="778"/>
      <c r="T916" s="778"/>
      <c r="U916" s="778"/>
      <c r="V916" s="778"/>
      <c r="W916" s="778"/>
      <c r="X916" s="778"/>
      <c r="Y916" s="778"/>
      <c r="Z916" s="778"/>
    </row>
    <row r="917">
      <c r="A917" s="777"/>
      <c r="B917" s="777"/>
      <c r="C917" s="777"/>
      <c r="D917" s="778"/>
      <c r="E917" s="778"/>
      <c r="F917" s="778"/>
      <c r="G917" s="778"/>
      <c r="H917" s="778"/>
      <c r="I917" s="778"/>
      <c r="J917" s="778"/>
      <c r="K917" s="778"/>
      <c r="L917" s="778"/>
      <c r="M917" s="778"/>
      <c r="N917" s="778"/>
      <c r="O917" s="778"/>
      <c r="P917" s="778"/>
      <c r="Q917" s="778"/>
      <c r="R917" s="778"/>
      <c r="S917" s="778"/>
      <c r="T917" s="778"/>
      <c r="U917" s="778"/>
      <c r="V917" s="778"/>
      <c r="W917" s="778"/>
      <c r="X917" s="778"/>
      <c r="Y917" s="778"/>
      <c r="Z917" s="778"/>
    </row>
    <row r="918">
      <c r="A918" s="777"/>
      <c r="B918" s="777"/>
      <c r="C918" s="777"/>
      <c r="D918" s="778"/>
      <c r="E918" s="778"/>
      <c r="F918" s="778"/>
      <c r="G918" s="778"/>
      <c r="H918" s="778"/>
      <c r="I918" s="778"/>
      <c r="J918" s="778"/>
      <c r="K918" s="778"/>
      <c r="L918" s="778"/>
      <c r="M918" s="778"/>
      <c r="N918" s="778"/>
      <c r="O918" s="778"/>
      <c r="P918" s="778"/>
      <c r="Q918" s="778"/>
      <c r="R918" s="778"/>
      <c r="S918" s="778"/>
      <c r="T918" s="778"/>
      <c r="U918" s="778"/>
      <c r="V918" s="778"/>
      <c r="W918" s="778"/>
      <c r="X918" s="778"/>
      <c r="Y918" s="778"/>
      <c r="Z918" s="778"/>
    </row>
    <row r="919">
      <c r="A919" s="777"/>
      <c r="B919" s="777"/>
      <c r="C919" s="777"/>
      <c r="D919" s="778"/>
      <c r="E919" s="778"/>
      <c r="F919" s="778"/>
      <c r="G919" s="778"/>
      <c r="H919" s="778"/>
      <c r="I919" s="778"/>
      <c r="J919" s="778"/>
      <c r="K919" s="778"/>
      <c r="L919" s="778"/>
      <c r="M919" s="778"/>
      <c r="N919" s="778"/>
      <c r="O919" s="778"/>
      <c r="P919" s="778"/>
      <c r="Q919" s="778"/>
      <c r="R919" s="778"/>
      <c r="S919" s="778"/>
      <c r="T919" s="778"/>
      <c r="U919" s="778"/>
      <c r="V919" s="778"/>
      <c r="W919" s="778"/>
      <c r="X919" s="778"/>
      <c r="Y919" s="778"/>
      <c r="Z919" s="778"/>
    </row>
    <row r="920">
      <c r="A920" s="777"/>
      <c r="B920" s="777"/>
      <c r="C920" s="777"/>
      <c r="D920" s="778"/>
      <c r="E920" s="778"/>
      <c r="F920" s="778"/>
      <c r="G920" s="778"/>
      <c r="H920" s="778"/>
      <c r="I920" s="778"/>
      <c r="J920" s="778"/>
      <c r="K920" s="778"/>
      <c r="L920" s="778"/>
      <c r="M920" s="778"/>
      <c r="N920" s="778"/>
      <c r="O920" s="778"/>
      <c r="P920" s="778"/>
      <c r="Q920" s="778"/>
      <c r="R920" s="778"/>
      <c r="S920" s="778"/>
      <c r="T920" s="778"/>
      <c r="U920" s="778"/>
      <c r="V920" s="778"/>
      <c r="W920" s="778"/>
      <c r="X920" s="778"/>
      <c r="Y920" s="778"/>
      <c r="Z920" s="778"/>
    </row>
    <row r="921">
      <c r="A921" s="777"/>
      <c r="B921" s="777"/>
      <c r="C921" s="777"/>
      <c r="D921" s="778"/>
      <c r="E921" s="778"/>
      <c r="F921" s="778"/>
      <c r="G921" s="778"/>
      <c r="H921" s="778"/>
      <c r="I921" s="778"/>
      <c r="J921" s="778"/>
      <c r="K921" s="778"/>
      <c r="L921" s="778"/>
      <c r="M921" s="778"/>
      <c r="N921" s="778"/>
      <c r="O921" s="778"/>
      <c r="P921" s="778"/>
      <c r="Q921" s="778"/>
      <c r="R921" s="778"/>
      <c r="S921" s="778"/>
      <c r="T921" s="778"/>
      <c r="U921" s="778"/>
      <c r="V921" s="778"/>
      <c r="W921" s="778"/>
      <c r="X921" s="778"/>
      <c r="Y921" s="778"/>
      <c r="Z921" s="778"/>
    </row>
    <row r="922">
      <c r="A922" s="777"/>
      <c r="B922" s="777"/>
      <c r="C922" s="777"/>
      <c r="D922" s="778"/>
      <c r="E922" s="778"/>
      <c r="F922" s="778"/>
      <c r="G922" s="778"/>
      <c r="H922" s="778"/>
      <c r="I922" s="778"/>
      <c r="J922" s="778"/>
      <c r="K922" s="778"/>
      <c r="L922" s="778"/>
      <c r="M922" s="778"/>
      <c r="N922" s="778"/>
      <c r="O922" s="778"/>
      <c r="P922" s="778"/>
      <c r="Q922" s="778"/>
      <c r="R922" s="778"/>
      <c r="S922" s="778"/>
      <c r="T922" s="778"/>
      <c r="U922" s="778"/>
      <c r="V922" s="778"/>
      <c r="W922" s="778"/>
      <c r="X922" s="778"/>
      <c r="Y922" s="778"/>
      <c r="Z922" s="778"/>
    </row>
    <row r="923">
      <c r="A923" s="777"/>
      <c r="B923" s="777"/>
      <c r="C923" s="777"/>
      <c r="D923" s="778"/>
      <c r="E923" s="778"/>
      <c r="F923" s="778"/>
      <c r="G923" s="778"/>
      <c r="H923" s="778"/>
      <c r="I923" s="778"/>
      <c r="J923" s="778"/>
      <c r="K923" s="778"/>
      <c r="L923" s="778"/>
      <c r="M923" s="778"/>
      <c r="N923" s="778"/>
      <c r="O923" s="778"/>
      <c r="P923" s="778"/>
      <c r="Q923" s="778"/>
      <c r="R923" s="778"/>
      <c r="S923" s="778"/>
      <c r="T923" s="778"/>
      <c r="U923" s="778"/>
      <c r="V923" s="778"/>
      <c r="W923" s="778"/>
      <c r="X923" s="778"/>
      <c r="Y923" s="778"/>
      <c r="Z923" s="778"/>
    </row>
    <row r="924">
      <c r="A924" s="777"/>
      <c r="B924" s="777"/>
      <c r="C924" s="777"/>
      <c r="D924" s="778"/>
      <c r="E924" s="778"/>
      <c r="F924" s="778"/>
      <c r="G924" s="778"/>
      <c r="H924" s="778"/>
      <c r="I924" s="778"/>
      <c r="J924" s="778"/>
      <c r="K924" s="778"/>
      <c r="L924" s="778"/>
      <c r="M924" s="778"/>
      <c r="N924" s="778"/>
      <c r="O924" s="778"/>
      <c r="P924" s="778"/>
      <c r="Q924" s="778"/>
      <c r="R924" s="778"/>
      <c r="S924" s="778"/>
      <c r="T924" s="778"/>
      <c r="U924" s="778"/>
      <c r="V924" s="778"/>
      <c r="W924" s="778"/>
      <c r="X924" s="778"/>
      <c r="Y924" s="778"/>
      <c r="Z924" s="778"/>
    </row>
    <row r="925">
      <c r="A925" s="777"/>
      <c r="B925" s="777"/>
      <c r="C925" s="777"/>
      <c r="D925" s="778"/>
      <c r="E925" s="778"/>
      <c r="F925" s="778"/>
      <c r="G925" s="778"/>
      <c r="H925" s="778"/>
      <c r="I925" s="778"/>
      <c r="J925" s="778"/>
      <c r="K925" s="778"/>
      <c r="L925" s="778"/>
      <c r="M925" s="778"/>
      <c r="N925" s="778"/>
      <c r="O925" s="778"/>
      <c r="P925" s="778"/>
      <c r="Q925" s="778"/>
      <c r="R925" s="778"/>
      <c r="S925" s="778"/>
      <c r="T925" s="778"/>
      <c r="U925" s="778"/>
      <c r="V925" s="778"/>
      <c r="W925" s="778"/>
      <c r="X925" s="778"/>
      <c r="Y925" s="778"/>
      <c r="Z925" s="778"/>
    </row>
    <row r="926">
      <c r="A926" s="777"/>
      <c r="B926" s="777"/>
      <c r="C926" s="777"/>
      <c r="D926" s="778"/>
      <c r="E926" s="778"/>
      <c r="F926" s="778"/>
      <c r="G926" s="778"/>
      <c r="H926" s="778"/>
      <c r="I926" s="778"/>
      <c r="J926" s="778"/>
      <c r="K926" s="778"/>
      <c r="L926" s="778"/>
      <c r="M926" s="778"/>
      <c r="N926" s="778"/>
      <c r="O926" s="778"/>
      <c r="P926" s="778"/>
      <c r="Q926" s="778"/>
      <c r="R926" s="778"/>
      <c r="S926" s="778"/>
      <c r="T926" s="778"/>
      <c r="U926" s="778"/>
      <c r="V926" s="778"/>
      <c r="W926" s="778"/>
      <c r="X926" s="778"/>
      <c r="Y926" s="778"/>
      <c r="Z926" s="778"/>
    </row>
    <row r="927">
      <c r="A927" s="777"/>
      <c r="B927" s="777"/>
      <c r="C927" s="777"/>
      <c r="D927" s="778"/>
      <c r="E927" s="778"/>
      <c r="F927" s="778"/>
      <c r="G927" s="778"/>
      <c r="H927" s="778"/>
      <c r="I927" s="778"/>
      <c r="J927" s="778"/>
      <c r="K927" s="778"/>
      <c r="L927" s="778"/>
      <c r="M927" s="778"/>
      <c r="N927" s="778"/>
      <c r="O927" s="778"/>
      <c r="P927" s="778"/>
      <c r="Q927" s="778"/>
      <c r="R927" s="778"/>
      <c r="S927" s="778"/>
      <c r="T927" s="778"/>
      <c r="U927" s="778"/>
      <c r="V927" s="778"/>
      <c r="W927" s="778"/>
      <c r="X927" s="778"/>
      <c r="Y927" s="778"/>
      <c r="Z927" s="778"/>
    </row>
    <row r="928">
      <c r="A928" s="777"/>
      <c r="B928" s="777"/>
      <c r="C928" s="777"/>
      <c r="D928" s="778"/>
      <c r="E928" s="778"/>
      <c r="F928" s="778"/>
      <c r="G928" s="778"/>
      <c r="H928" s="778"/>
      <c r="I928" s="778"/>
      <c r="J928" s="778"/>
      <c r="K928" s="778"/>
      <c r="L928" s="778"/>
      <c r="M928" s="778"/>
      <c r="N928" s="778"/>
      <c r="O928" s="778"/>
      <c r="P928" s="778"/>
      <c r="Q928" s="778"/>
      <c r="R928" s="778"/>
      <c r="S928" s="778"/>
      <c r="T928" s="778"/>
      <c r="U928" s="778"/>
      <c r="V928" s="778"/>
      <c r="W928" s="778"/>
      <c r="X928" s="778"/>
      <c r="Y928" s="778"/>
      <c r="Z928" s="778"/>
    </row>
    <row r="929">
      <c r="A929" s="777"/>
      <c r="B929" s="777"/>
      <c r="C929" s="777"/>
      <c r="D929" s="778"/>
      <c r="E929" s="778"/>
      <c r="F929" s="778"/>
      <c r="G929" s="778"/>
      <c r="H929" s="778"/>
      <c r="I929" s="778"/>
      <c r="J929" s="778"/>
      <c r="K929" s="778"/>
      <c r="L929" s="778"/>
      <c r="M929" s="778"/>
      <c r="N929" s="778"/>
      <c r="O929" s="778"/>
      <c r="P929" s="778"/>
      <c r="Q929" s="778"/>
      <c r="R929" s="778"/>
      <c r="S929" s="778"/>
      <c r="T929" s="778"/>
      <c r="U929" s="778"/>
      <c r="V929" s="778"/>
      <c r="W929" s="778"/>
      <c r="X929" s="778"/>
      <c r="Y929" s="778"/>
      <c r="Z929" s="778"/>
    </row>
    <row r="930">
      <c r="A930" s="777"/>
      <c r="B930" s="777"/>
      <c r="C930" s="777"/>
      <c r="D930" s="778"/>
      <c r="E930" s="778"/>
      <c r="F930" s="778"/>
      <c r="G930" s="778"/>
      <c r="H930" s="778"/>
      <c r="I930" s="778"/>
      <c r="J930" s="778"/>
      <c r="K930" s="778"/>
      <c r="L930" s="778"/>
      <c r="M930" s="778"/>
      <c r="N930" s="778"/>
      <c r="O930" s="778"/>
      <c r="P930" s="778"/>
      <c r="Q930" s="778"/>
      <c r="R930" s="778"/>
      <c r="S930" s="778"/>
      <c r="T930" s="778"/>
      <c r="U930" s="778"/>
      <c r="V930" s="778"/>
      <c r="W930" s="778"/>
      <c r="X930" s="778"/>
      <c r="Y930" s="778"/>
      <c r="Z930" s="778"/>
    </row>
    <row r="931">
      <c r="A931" s="777"/>
      <c r="B931" s="777"/>
      <c r="C931" s="777"/>
      <c r="D931" s="778"/>
      <c r="E931" s="778"/>
      <c r="F931" s="778"/>
      <c r="G931" s="778"/>
      <c r="H931" s="778"/>
      <c r="I931" s="778"/>
      <c r="J931" s="778"/>
      <c r="K931" s="778"/>
      <c r="L931" s="778"/>
      <c r="M931" s="778"/>
      <c r="N931" s="778"/>
      <c r="O931" s="778"/>
      <c r="P931" s="778"/>
      <c r="Q931" s="778"/>
      <c r="R931" s="778"/>
      <c r="S931" s="778"/>
      <c r="T931" s="778"/>
      <c r="U931" s="778"/>
      <c r="V931" s="778"/>
      <c r="W931" s="778"/>
      <c r="X931" s="778"/>
      <c r="Y931" s="778"/>
      <c r="Z931" s="778"/>
    </row>
    <row r="932">
      <c r="A932" s="777"/>
      <c r="B932" s="777"/>
      <c r="C932" s="777"/>
      <c r="D932" s="778"/>
      <c r="E932" s="778"/>
      <c r="F932" s="778"/>
      <c r="G932" s="778"/>
      <c r="H932" s="778"/>
      <c r="I932" s="778"/>
      <c r="J932" s="778"/>
      <c r="K932" s="778"/>
      <c r="L932" s="778"/>
      <c r="M932" s="778"/>
      <c r="N932" s="778"/>
      <c r="O932" s="778"/>
      <c r="P932" s="778"/>
      <c r="Q932" s="778"/>
      <c r="R932" s="778"/>
      <c r="S932" s="778"/>
      <c r="T932" s="778"/>
      <c r="U932" s="778"/>
      <c r="V932" s="778"/>
      <c r="W932" s="778"/>
      <c r="X932" s="778"/>
      <c r="Y932" s="778"/>
      <c r="Z932" s="778"/>
    </row>
    <row r="933">
      <c r="A933" s="777"/>
      <c r="B933" s="777"/>
      <c r="C933" s="777"/>
      <c r="D933" s="778"/>
      <c r="E933" s="778"/>
      <c r="F933" s="778"/>
      <c r="G933" s="778"/>
      <c r="H933" s="778"/>
      <c r="I933" s="778"/>
      <c r="J933" s="778"/>
      <c r="K933" s="778"/>
      <c r="L933" s="778"/>
      <c r="M933" s="778"/>
      <c r="N933" s="778"/>
      <c r="O933" s="778"/>
      <c r="P933" s="778"/>
      <c r="Q933" s="778"/>
      <c r="R933" s="778"/>
      <c r="S933" s="778"/>
      <c r="T933" s="778"/>
      <c r="U933" s="778"/>
      <c r="V933" s="778"/>
      <c r="W933" s="778"/>
      <c r="X933" s="778"/>
      <c r="Y933" s="778"/>
      <c r="Z933" s="778"/>
    </row>
    <row r="934">
      <c r="A934" s="777"/>
      <c r="B934" s="777"/>
      <c r="C934" s="777"/>
      <c r="D934" s="778"/>
      <c r="E934" s="778"/>
      <c r="F934" s="778"/>
      <c r="G934" s="778"/>
      <c r="H934" s="778"/>
      <c r="I934" s="778"/>
      <c r="J934" s="778"/>
      <c r="K934" s="778"/>
      <c r="L934" s="778"/>
      <c r="M934" s="778"/>
      <c r="N934" s="778"/>
      <c r="O934" s="778"/>
      <c r="P934" s="778"/>
      <c r="Q934" s="778"/>
      <c r="R934" s="778"/>
      <c r="S934" s="778"/>
      <c r="T934" s="778"/>
      <c r="U934" s="778"/>
      <c r="V934" s="778"/>
      <c r="W934" s="778"/>
      <c r="X934" s="778"/>
      <c r="Y934" s="778"/>
      <c r="Z934" s="778"/>
    </row>
    <row r="935">
      <c r="A935" s="777"/>
      <c r="B935" s="777"/>
      <c r="C935" s="777"/>
      <c r="D935" s="778"/>
      <c r="E935" s="778"/>
      <c r="F935" s="778"/>
      <c r="G935" s="778"/>
      <c r="H935" s="778"/>
      <c r="I935" s="778"/>
      <c r="J935" s="778"/>
      <c r="K935" s="778"/>
      <c r="L935" s="778"/>
      <c r="M935" s="778"/>
      <c r="N935" s="778"/>
      <c r="O935" s="778"/>
      <c r="P935" s="778"/>
      <c r="Q935" s="778"/>
      <c r="R935" s="778"/>
      <c r="S935" s="778"/>
      <c r="T935" s="778"/>
      <c r="U935" s="778"/>
      <c r="V935" s="778"/>
      <c r="W935" s="778"/>
      <c r="X935" s="778"/>
      <c r="Y935" s="778"/>
      <c r="Z935" s="778"/>
    </row>
    <row r="936">
      <c r="A936" s="777"/>
      <c r="B936" s="777"/>
      <c r="C936" s="777"/>
      <c r="D936" s="778"/>
      <c r="E936" s="778"/>
      <c r="F936" s="778"/>
      <c r="G936" s="778"/>
      <c r="H936" s="778"/>
      <c r="I936" s="778"/>
      <c r="J936" s="778"/>
      <c r="K936" s="778"/>
      <c r="L936" s="778"/>
      <c r="M936" s="778"/>
      <c r="N936" s="778"/>
      <c r="O936" s="778"/>
      <c r="P936" s="778"/>
      <c r="Q936" s="778"/>
      <c r="R936" s="778"/>
      <c r="S936" s="778"/>
      <c r="T936" s="778"/>
      <c r="U936" s="778"/>
      <c r="V936" s="778"/>
      <c r="W936" s="778"/>
      <c r="X936" s="778"/>
      <c r="Y936" s="778"/>
      <c r="Z936" s="778"/>
    </row>
    <row r="937">
      <c r="A937" s="777"/>
      <c r="B937" s="777"/>
      <c r="C937" s="777"/>
      <c r="D937" s="778"/>
      <c r="E937" s="778"/>
      <c r="F937" s="778"/>
      <c r="G937" s="778"/>
      <c r="H937" s="778"/>
      <c r="I937" s="778"/>
      <c r="J937" s="778"/>
      <c r="K937" s="778"/>
      <c r="L937" s="778"/>
      <c r="M937" s="778"/>
      <c r="N937" s="778"/>
      <c r="O937" s="778"/>
      <c r="P937" s="778"/>
      <c r="Q937" s="778"/>
      <c r="R937" s="778"/>
      <c r="S937" s="778"/>
      <c r="T937" s="778"/>
      <c r="U937" s="778"/>
      <c r="V937" s="778"/>
      <c r="W937" s="778"/>
      <c r="X937" s="778"/>
      <c r="Y937" s="778"/>
      <c r="Z937" s="778"/>
    </row>
    <row r="938">
      <c r="A938" s="777"/>
      <c r="B938" s="777"/>
      <c r="C938" s="777"/>
      <c r="D938" s="778"/>
      <c r="E938" s="778"/>
      <c r="F938" s="778"/>
      <c r="G938" s="778"/>
      <c r="H938" s="778"/>
      <c r="I938" s="778"/>
      <c r="J938" s="778"/>
      <c r="K938" s="778"/>
      <c r="L938" s="778"/>
      <c r="M938" s="778"/>
      <c r="N938" s="778"/>
      <c r="O938" s="778"/>
      <c r="P938" s="778"/>
      <c r="Q938" s="778"/>
      <c r="R938" s="778"/>
      <c r="S938" s="778"/>
      <c r="T938" s="778"/>
      <c r="U938" s="778"/>
      <c r="V938" s="778"/>
      <c r="W938" s="778"/>
      <c r="X938" s="778"/>
      <c r="Y938" s="778"/>
      <c r="Z938" s="778"/>
    </row>
    <row r="939">
      <c r="A939" s="777"/>
      <c r="B939" s="777"/>
      <c r="C939" s="777"/>
      <c r="D939" s="778"/>
      <c r="E939" s="778"/>
      <c r="F939" s="778"/>
      <c r="G939" s="778"/>
      <c r="H939" s="778"/>
      <c r="I939" s="778"/>
      <c r="J939" s="778"/>
      <c r="K939" s="778"/>
      <c r="L939" s="778"/>
      <c r="M939" s="778"/>
      <c r="N939" s="778"/>
      <c r="O939" s="778"/>
      <c r="P939" s="778"/>
      <c r="Q939" s="778"/>
      <c r="R939" s="778"/>
      <c r="S939" s="778"/>
      <c r="T939" s="778"/>
      <c r="U939" s="778"/>
      <c r="V939" s="778"/>
      <c r="W939" s="778"/>
      <c r="X939" s="778"/>
      <c r="Y939" s="778"/>
      <c r="Z939" s="778"/>
    </row>
    <row r="940">
      <c r="A940" s="777"/>
      <c r="B940" s="777"/>
      <c r="C940" s="777"/>
      <c r="D940" s="778"/>
      <c r="E940" s="778"/>
      <c r="F940" s="778"/>
      <c r="G940" s="778"/>
      <c r="H940" s="778"/>
      <c r="I940" s="778"/>
      <c r="J940" s="778"/>
      <c r="K940" s="778"/>
      <c r="L940" s="778"/>
      <c r="M940" s="778"/>
      <c r="N940" s="778"/>
      <c r="O940" s="778"/>
      <c r="P940" s="778"/>
      <c r="Q940" s="778"/>
      <c r="R940" s="778"/>
      <c r="S940" s="778"/>
      <c r="T940" s="778"/>
      <c r="U940" s="778"/>
      <c r="V940" s="778"/>
      <c r="W940" s="778"/>
      <c r="X940" s="778"/>
      <c r="Y940" s="778"/>
      <c r="Z940" s="778"/>
    </row>
    <row r="941">
      <c r="A941" s="777"/>
      <c r="B941" s="777"/>
      <c r="C941" s="777"/>
      <c r="D941" s="778"/>
      <c r="E941" s="778"/>
      <c r="F941" s="778"/>
      <c r="G941" s="778"/>
      <c r="H941" s="778"/>
      <c r="I941" s="778"/>
      <c r="J941" s="778"/>
      <c r="K941" s="778"/>
      <c r="L941" s="778"/>
      <c r="M941" s="778"/>
      <c r="N941" s="778"/>
      <c r="O941" s="778"/>
      <c r="P941" s="778"/>
      <c r="Q941" s="778"/>
      <c r="R941" s="778"/>
      <c r="S941" s="778"/>
      <c r="T941" s="778"/>
      <c r="U941" s="778"/>
      <c r="V941" s="778"/>
      <c r="W941" s="778"/>
      <c r="X941" s="778"/>
      <c r="Y941" s="778"/>
      <c r="Z941" s="778"/>
    </row>
    <row r="942">
      <c r="A942" s="777"/>
      <c r="B942" s="777"/>
      <c r="C942" s="777"/>
      <c r="D942" s="778"/>
      <c r="E942" s="778"/>
      <c r="F942" s="778"/>
      <c r="G942" s="778"/>
      <c r="H942" s="778"/>
      <c r="I942" s="778"/>
      <c r="J942" s="778"/>
      <c r="K942" s="778"/>
      <c r="L942" s="778"/>
      <c r="M942" s="778"/>
      <c r="N942" s="778"/>
      <c r="O942" s="778"/>
      <c r="P942" s="778"/>
      <c r="Q942" s="778"/>
      <c r="R942" s="778"/>
      <c r="S942" s="778"/>
      <c r="T942" s="778"/>
      <c r="U942" s="778"/>
      <c r="V942" s="778"/>
      <c r="W942" s="778"/>
      <c r="X942" s="778"/>
      <c r="Y942" s="778"/>
      <c r="Z942" s="778"/>
    </row>
    <row r="943">
      <c r="A943" s="777"/>
      <c r="B943" s="777"/>
      <c r="C943" s="777"/>
      <c r="D943" s="778"/>
      <c r="E943" s="778"/>
      <c r="F943" s="778"/>
      <c r="G943" s="778"/>
      <c r="H943" s="778"/>
      <c r="I943" s="778"/>
      <c r="J943" s="778"/>
      <c r="K943" s="778"/>
      <c r="L943" s="778"/>
      <c r="M943" s="778"/>
      <c r="N943" s="778"/>
      <c r="O943" s="778"/>
      <c r="P943" s="778"/>
      <c r="Q943" s="778"/>
      <c r="R943" s="778"/>
      <c r="S943" s="778"/>
      <c r="T943" s="778"/>
      <c r="U943" s="778"/>
      <c r="V943" s="778"/>
      <c r="W943" s="778"/>
      <c r="X943" s="778"/>
      <c r="Y943" s="778"/>
      <c r="Z943" s="778"/>
    </row>
    <row r="944">
      <c r="A944" s="777"/>
      <c r="B944" s="777"/>
      <c r="C944" s="777"/>
      <c r="D944" s="778"/>
      <c r="E944" s="778"/>
      <c r="F944" s="778"/>
      <c r="G944" s="778"/>
      <c r="H944" s="778"/>
      <c r="I944" s="778"/>
      <c r="J944" s="778"/>
      <c r="K944" s="778"/>
      <c r="L944" s="778"/>
      <c r="M944" s="778"/>
      <c r="N944" s="778"/>
      <c r="O944" s="778"/>
      <c r="P944" s="778"/>
      <c r="Q944" s="778"/>
      <c r="R944" s="778"/>
      <c r="S944" s="778"/>
      <c r="T944" s="778"/>
      <c r="U944" s="778"/>
      <c r="V944" s="778"/>
      <c r="W944" s="778"/>
      <c r="X944" s="778"/>
      <c r="Y944" s="778"/>
      <c r="Z944" s="778"/>
    </row>
    <row r="945">
      <c r="A945" s="777"/>
      <c r="B945" s="777"/>
      <c r="C945" s="777"/>
      <c r="D945" s="778"/>
      <c r="E945" s="778"/>
      <c r="F945" s="778"/>
      <c r="G945" s="778"/>
      <c r="H945" s="778"/>
      <c r="I945" s="778"/>
      <c r="J945" s="778"/>
      <c r="K945" s="778"/>
      <c r="L945" s="778"/>
      <c r="M945" s="778"/>
      <c r="N945" s="778"/>
      <c r="O945" s="778"/>
      <c r="P945" s="778"/>
      <c r="Q945" s="778"/>
      <c r="R945" s="778"/>
      <c r="S945" s="778"/>
      <c r="T945" s="778"/>
      <c r="U945" s="778"/>
      <c r="V945" s="778"/>
      <c r="W945" s="778"/>
      <c r="X945" s="778"/>
      <c r="Y945" s="778"/>
      <c r="Z945" s="778"/>
    </row>
    <row r="946">
      <c r="A946" s="777"/>
      <c r="B946" s="777"/>
      <c r="C946" s="777"/>
      <c r="D946" s="778"/>
      <c r="E946" s="778"/>
      <c r="F946" s="778"/>
      <c r="G946" s="778"/>
      <c r="H946" s="778"/>
      <c r="I946" s="778"/>
      <c r="J946" s="778"/>
      <c r="K946" s="778"/>
      <c r="L946" s="778"/>
      <c r="M946" s="778"/>
      <c r="N946" s="778"/>
      <c r="O946" s="778"/>
      <c r="P946" s="778"/>
      <c r="Q946" s="778"/>
      <c r="R946" s="778"/>
      <c r="S946" s="778"/>
      <c r="T946" s="778"/>
      <c r="U946" s="778"/>
      <c r="V946" s="778"/>
      <c r="W946" s="778"/>
      <c r="X946" s="778"/>
      <c r="Y946" s="778"/>
      <c r="Z946" s="778"/>
    </row>
    <row r="947">
      <c r="A947" s="777"/>
      <c r="B947" s="777"/>
      <c r="C947" s="777"/>
      <c r="D947" s="778"/>
      <c r="E947" s="778"/>
      <c r="F947" s="778"/>
      <c r="G947" s="778"/>
      <c r="H947" s="778"/>
      <c r="I947" s="778"/>
      <c r="J947" s="778"/>
      <c r="K947" s="778"/>
      <c r="L947" s="778"/>
      <c r="M947" s="778"/>
      <c r="N947" s="778"/>
      <c r="O947" s="778"/>
      <c r="P947" s="778"/>
      <c r="Q947" s="778"/>
      <c r="R947" s="778"/>
      <c r="S947" s="778"/>
      <c r="T947" s="778"/>
      <c r="U947" s="778"/>
      <c r="V947" s="778"/>
      <c r="W947" s="778"/>
      <c r="X947" s="778"/>
      <c r="Y947" s="778"/>
      <c r="Z947" s="778"/>
    </row>
    <row r="948">
      <c r="A948" s="777"/>
      <c r="B948" s="777"/>
      <c r="C948" s="777"/>
      <c r="D948" s="778"/>
      <c r="E948" s="778"/>
      <c r="F948" s="778"/>
      <c r="G948" s="778"/>
      <c r="H948" s="778"/>
      <c r="I948" s="778"/>
      <c r="J948" s="778"/>
      <c r="K948" s="778"/>
      <c r="L948" s="778"/>
      <c r="M948" s="778"/>
      <c r="N948" s="778"/>
      <c r="O948" s="778"/>
      <c r="P948" s="778"/>
      <c r="Q948" s="778"/>
      <c r="R948" s="778"/>
      <c r="S948" s="778"/>
      <c r="T948" s="778"/>
      <c r="U948" s="778"/>
      <c r="V948" s="778"/>
      <c r="W948" s="778"/>
      <c r="X948" s="778"/>
      <c r="Y948" s="778"/>
      <c r="Z948" s="778"/>
    </row>
    <row r="949">
      <c r="A949" s="777"/>
      <c r="B949" s="777"/>
      <c r="C949" s="777"/>
      <c r="D949" s="778"/>
      <c r="E949" s="778"/>
      <c r="F949" s="778"/>
      <c r="G949" s="778"/>
      <c r="H949" s="778"/>
      <c r="I949" s="778"/>
      <c r="J949" s="778"/>
      <c r="K949" s="778"/>
      <c r="L949" s="778"/>
      <c r="M949" s="778"/>
      <c r="N949" s="778"/>
      <c r="O949" s="778"/>
      <c r="P949" s="778"/>
      <c r="Q949" s="778"/>
      <c r="R949" s="778"/>
      <c r="S949" s="778"/>
      <c r="T949" s="778"/>
      <c r="U949" s="778"/>
      <c r="V949" s="778"/>
      <c r="W949" s="778"/>
      <c r="X949" s="778"/>
      <c r="Y949" s="778"/>
      <c r="Z949" s="778"/>
    </row>
    <row r="950">
      <c r="A950" s="777"/>
      <c r="B950" s="777"/>
      <c r="C950" s="777"/>
      <c r="D950" s="778"/>
      <c r="E950" s="778"/>
      <c r="F950" s="778"/>
      <c r="G950" s="778"/>
      <c r="H950" s="778"/>
      <c r="I950" s="778"/>
      <c r="J950" s="778"/>
      <c r="K950" s="778"/>
      <c r="L950" s="778"/>
      <c r="M950" s="778"/>
      <c r="N950" s="778"/>
      <c r="O950" s="778"/>
      <c r="P950" s="778"/>
      <c r="Q950" s="778"/>
      <c r="R950" s="778"/>
      <c r="S950" s="778"/>
      <c r="T950" s="778"/>
      <c r="U950" s="778"/>
      <c r="V950" s="778"/>
      <c r="W950" s="778"/>
      <c r="X950" s="778"/>
      <c r="Y950" s="778"/>
      <c r="Z950" s="778"/>
    </row>
    <row r="951">
      <c r="A951" s="777"/>
      <c r="B951" s="777"/>
      <c r="C951" s="777"/>
      <c r="D951" s="778"/>
      <c r="E951" s="778"/>
      <c r="F951" s="778"/>
      <c r="G951" s="778"/>
      <c r="H951" s="778"/>
      <c r="I951" s="778"/>
      <c r="J951" s="778"/>
      <c r="K951" s="778"/>
      <c r="L951" s="778"/>
      <c r="M951" s="778"/>
      <c r="N951" s="778"/>
      <c r="O951" s="778"/>
      <c r="P951" s="778"/>
      <c r="Q951" s="778"/>
      <c r="R951" s="778"/>
      <c r="S951" s="778"/>
      <c r="T951" s="778"/>
      <c r="U951" s="778"/>
      <c r="V951" s="778"/>
      <c r="W951" s="778"/>
      <c r="X951" s="778"/>
      <c r="Y951" s="778"/>
      <c r="Z951" s="778"/>
    </row>
    <row r="952">
      <c r="A952" s="777"/>
      <c r="B952" s="777"/>
      <c r="C952" s="777"/>
      <c r="D952" s="778"/>
      <c r="E952" s="778"/>
      <c r="F952" s="778"/>
      <c r="G952" s="778"/>
      <c r="H952" s="778"/>
      <c r="I952" s="778"/>
      <c r="J952" s="778"/>
      <c r="K952" s="778"/>
      <c r="L952" s="778"/>
      <c r="M952" s="778"/>
      <c r="N952" s="778"/>
      <c r="O952" s="778"/>
      <c r="P952" s="778"/>
      <c r="Q952" s="778"/>
      <c r="R952" s="778"/>
      <c r="S952" s="778"/>
      <c r="T952" s="778"/>
      <c r="U952" s="778"/>
      <c r="V952" s="778"/>
      <c r="W952" s="778"/>
      <c r="X952" s="778"/>
      <c r="Y952" s="778"/>
      <c r="Z952" s="778"/>
    </row>
    <row r="953">
      <c r="A953" s="777"/>
      <c r="B953" s="777"/>
      <c r="C953" s="777"/>
      <c r="D953" s="778"/>
      <c r="E953" s="778"/>
      <c r="F953" s="778"/>
      <c r="G953" s="778"/>
      <c r="H953" s="778"/>
      <c r="I953" s="778"/>
      <c r="J953" s="778"/>
      <c r="K953" s="778"/>
      <c r="L953" s="778"/>
      <c r="M953" s="778"/>
      <c r="N953" s="778"/>
      <c r="O953" s="778"/>
      <c r="P953" s="778"/>
      <c r="Q953" s="778"/>
      <c r="R953" s="778"/>
      <c r="S953" s="778"/>
      <c r="T953" s="778"/>
      <c r="U953" s="778"/>
      <c r="V953" s="778"/>
      <c r="W953" s="778"/>
      <c r="X953" s="778"/>
      <c r="Y953" s="778"/>
      <c r="Z953" s="778"/>
    </row>
    <row r="954">
      <c r="A954" s="777"/>
      <c r="B954" s="777"/>
      <c r="C954" s="777"/>
      <c r="D954" s="778"/>
      <c r="E954" s="778"/>
      <c r="F954" s="778"/>
      <c r="G954" s="778"/>
      <c r="H954" s="778"/>
      <c r="I954" s="778"/>
      <c r="J954" s="778"/>
      <c r="K954" s="778"/>
      <c r="L954" s="778"/>
      <c r="M954" s="778"/>
      <c r="N954" s="778"/>
      <c r="O954" s="778"/>
      <c r="P954" s="778"/>
      <c r="Q954" s="778"/>
      <c r="R954" s="778"/>
      <c r="S954" s="778"/>
      <c r="T954" s="778"/>
      <c r="U954" s="778"/>
      <c r="V954" s="778"/>
      <c r="W954" s="778"/>
      <c r="X954" s="778"/>
      <c r="Y954" s="778"/>
      <c r="Z954" s="778"/>
    </row>
    <row r="955">
      <c r="A955" s="777"/>
      <c r="B955" s="777"/>
      <c r="C955" s="777"/>
      <c r="D955" s="778"/>
      <c r="E955" s="778"/>
      <c r="F955" s="778"/>
      <c r="G955" s="778"/>
      <c r="H955" s="778"/>
      <c r="I955" s="778"/>
      <c r="J955" s="778"/>
      <c r="K955" s="778"/>
      <c r="L955" s="778"/>
      <c r="M955" s="778"/>
      <c r="N955" s="778"/>
      <c r="O955" s="778"/>
      <c r="P955" s="778"/>
      <c r="Q955" s="778"/>
      <c r="R955" s="778"/>
      <c r="S955" s="778"/>
      <c r="T955" s="778"/>
      <c r="U955" s="778"/>
      <c r="V955" s="778"/>
      <c r="W955" s="778"/>
      <c r="X955" s="778"/>
      <c r="Y955" s="778"/>
      <c r="Z955" s="778"/>
    </row>
    <row r="956">
      <c r="A956" s="777"/>
      <c r="B956" s="777"/>
      <c r="C956" s="777"/>
      <c r="D956" s="778"/>
      <c r="E956" s="778"/>
      <c r="F956" s="778"/>
      <c r="G956" s="778"/>
      <c r="H956" s="778"/>
      <c r="I956" s="778"/>
      <c r="J956" s="778"/>
      <c r="K956" s="778"/>
      <c r="L956" s="778"/>
      <c r="M956" s="778"/>
      <c r="N956" s="778"/>
      <c r="O956" s="778"/>
      <c r="P956" s="778"/>
      <c r="Q956" s="778"/>
      <c r="R956" s="778"/>
      <c r="S956" s="778"/>
      <c r="T956" s="778"/>
      <c r="U956" s="778"/>
      <c r="V956" s="778"/>
      <c r="W956" s="778"/>
      <c r="X956" s="778"/>
      <c r="Y956" s="778"/>
      <c r="Z956" s="778"/>
    </row>
    <row r="957">
      <c r="A957" s="777"/>
      <c r="B957" s="777"/>
      <c r="C957" s="777"/>
      <c r="D957" s="778"/>
      <c r="E957" s="778"/>
      <c r="F957" s="778"/>
      <c r="G957" s="778"/>
      <c r="H957" s="778"/>
      <c r="I957" s="778"/>
      <c r="J957" s="778"/>
      <c r="K957" s="778"/>
      <c r="L957" s="778"/>
      <c r="M957" s="778"/>
      <c r="N957" s="778"/>
      <c r="O957" s="778"/>
      <c r="P957" s="778"/>
      <c r="Q957" s="778"/>
      <c r="R957" s="778"/>
      <c r="S957" s="778"/>
      <c r="T957" s="778"/>
      <c r="U957" s="778"/>
      <c r="V957" s="778"/>
      <c r="W957" s="778"/>
      <c r="X957" s="778"/>
      <c r="Y957" s="778"/>
      <c r="Z957" s="778"/>
    </row>
    <row r="958">
      <c r="A958" s="777"/>
      <c r="B958" s="777"/>
      <c r="C958" s="777"/>
      <c r="D958" s="778"/>
      <c r="E958" s="778"/>
      <c r="F958" s="778"/>
      <c r="G958" s="778"/>
      <c r="H958" s="778"/>
      <c r="I958" s="778"/>
      <c r="J958" s="778"/>
      <c r="K958" s="778"/>
      <c r="L958" s="778"/>
      <c r="M958" s="778"/>
      <c r="N958" s="778"/>
      <c r="O958" s="778"/>
      <c r="P958" s="778"/>
      <c r="Q958" s="778"/>
      <c r="R958" s="778"/>
      <c r="S958" s="778"/>
      <c r="T958" s="778"/>
      <c r="U958" s="778"/>
      <c r="V958" s="778"/>
      <c r="W958" s="778"/>
      <c r="X958" s="778"/>
      <c r="Y958" s="778"/>
      <c r="Z958" s="778"/>
    </row>
    <row r="959">
      <c r="A959" s="777"/>
      <c r="B959" s="777"/>
      <c r="C959" s="777"/>
      <c r="D959" s="778"/>
      <c r="E959" s="778"/>
      <c r="F959" s="778"/>
      <c r="G959" s="778"/>
      <c r="H959" s="778"/>
      <c r="I959" s="778"/>
      <c r="J959" s="778"/>
      <c r="K959" s="778"/>
      <c r="L959" s="778"/>
      <c r="M959" s="778"/>
      <c r="N959" s="778"/>
      <c r="O959" s="778"/>
      <c r="P959" s="778"/>
      <c r="Q959" s="778"/>
      <c r="R959" s="778"/>
      <c r="S959" s="778"/>
      <c r="T959" s="778"/>
      <c r="U959" s="778"/>
      <c r="V959" s="778"/>
      <c r="W959" s="778"/>
      <c r="X959" s="778"/>
      <c r="Y959" s="778"/>
      <c r="Z959" s="778"/>
    </row>
    <row r="960">
      <c r="A960" s="777"/>
      <c r="B960" s="777"/>
      <c r="C960" s="777"/>
      <c r="D960" s="778"/>
      <c r="E960" s="778"/>
      <c r="F960" s="778"/>
      <c r="G960" s="778"/>
      <c r="H960" s="778"/>
      <c r="I960" s="778"/>
      <c r="J960" s="778"/>
      <c r="K960" s="778"/>
      <c r="L960" s="778"/>
      <c r="M960" s="778"/>
      <c r="N960" s="778"/>
      <c r="O960" s="778"/>
      <c r="P960" s="778"/>
      <c r="Q960" s="778"/>
      <c r="R960" s="778"/>
      <c r="S960" s="778"/>
      <c r="T960" s="778"/>
      <c r="U960" s="778"/>
      <c r="V960" s="778"/>
      <c r="W960" s="778"/>
      <c r="X960" s="778"/>
      <c r="Y960" s="778"/>
      <c r="Z960" s="778"/>
    </row>
    <row r="961">
      <c r="A961" s="777"/>
      <c r="B961" s="777"/>
      <c r="C961" s="777"/>
      <c r="D961" s="778"/>
      <c r="E961" s="778"/>
      <c r="F961" s="778"/>
      <c r="G961" s="778"/>
      <c r="H961" s="778"/>
      <c r="I961" s="778"/>
      <c r="J961" s="778"/>
      <c r="K961" s="778"/>
      <c r="L961" s="778"/>
      <c r="M961" s="778"/>
      <c r="N961" s="778"/>
      <c r="O961" s="778"/>
      <c r="P961" s="778"/>
      <c r="Q961" s="778"/>
      <c r="R961" s="778"/>
      <c r="S961" s="778"/>
      <c r="T961" s="778"/>
      <c r="U961" s="778"/>
      <c r="V961" s="778"/>
      <c r="W961" s="778"/>
      <c r="X961" s="778"/>
      <c r="Y961" s="778"/>
      <c r="Z961" s="778"/>
    </row>
    <row r="962">
      <c r="A962" s="777"/>
      <c r="B962" s="777"/>
      <c r="C962" s="777"/>
      <c r="D962" s="778"/>
      <c r="E962" s="778"/>
      <c r="F962" s="778"/>
      <c r="G962" s="778"/>
      <c r="H962" s="778"/>
      <c r="I962" s="778"/>
      <c r="J962" s="778"/>
      <c r="K962" s="778"/>
      <c r="L962" s="778"/>
      <c r="M962" s="778"/>
      <c r="N962" s="778"/>
      <c r="O962" s="778"/>
      <c r="P962" s="778"/>
      <c r="Q962" s="778"/>
      <c r="R962" s="778"/>
      <c r="S962" s="778"/>
      <c r="T962" s="778"/>
      <c r="U962" s="778"/>
      <c r="V962" s="778"/>
      <c r="W962" s="778"/>
      <c r="X962" s="778"/>
      <c r="Y962" s="778"/>
      <c r="Z962" s="778"/>
    </row>
    <row r="963">
      <c r="A963" s="777"/>
      <c r="B963" s="777"/>
      <c r="C963" s="777"/>
      <c r="D963" s="778"/>
      <c r="E963" s="778"/>
      <c r="F963" s="778"/>
      <c r="G963" s="778"/>
      <c r="H963" s="778"/>
      <c r="I963" s="778"/>
      <c r="J963" s="778"/>
      <c r="K963" s="778"/>
      <c r="L963" s="778"/>
      <c r="M963" s="778"/>
      <c r="N963" s="778"/>
      <c r="O963" s="778"/>
      <c r="P963" s="778"/>
      <c r="Q963" s="778"/>
      <c r="R963" s="778"/>
      <c r="S963" s="778"/>
      <c r="T963" s="778"/>
      <c r="U963" s="778"/>
      <c r="V963" s="778"/>
      <c r="W963" s="778"/>
      <c r="X963" s="778"/>
      <c r="Y963" s="778"/>
      <c r="Z963" s="778"/>
    </row>
    <row r="964">
      <c r="A964" s="777"/>
      <c r="B964" s="777"/>
      <c r="C964" s="777"/>
      <c r="D964" s="778"/>
      <c r="E964" s="778"/>
      <c r="F964" s="778"/>
      <c r="G964" s="778"/>
      <c r="H964" s="778"/>
      <c r="I964" s="778"/>
      <c r="J964" s="778"/>
      <c r="K964" s="778"/>
      <c r="L964" s="778"/>
      <c r="M964" s="778"/>
      <c r="N964" s="778"/>
      <c r="O964" s="778"/>
      <c r="P964" s="778"/>
      <c r="Q964" s="778"/>
      <c r="R964" s="778"/>
      <c r="S964" s="778"/>
      <c r="T964" s="778"/>
      <c r="U964" s="778"/>
      <c r="V964" s="778"/>
      <c r="W964" s="778"/>
      <c r="X964" s="778"/>
      <c r="Y964" s="778"/>
      <c r="Z964" s="778"/>
    </row>
    <row r="965">
      <c r="A965" s="777"/>
      <c r="B965" s="777"/>
      <c r="C965" s="777"/>
      <c r="D965" s="778"/>
      <c r="E965" s="778"/>
      <c r="F965" s="778"/>
      <c r="G965" s="778"/>
      <c r="H965" s="778"/>
      <c r="I965" s="778"/>
      <c r="J965" s="778"/>
      <c r="K965" s="778"/>
      <c r="L965" s="778"/>
      <c r="M965" s="778"/>
      <c r="N965" s="778"/>
      <c r="O965" s="778"/>
      <c r="P965" s="778"/>
      <c r="Q965" s="778"/>
      <c r="R965" s="778"/>
      <c r="S965" s="778"/>
      <c r="T965" s="778"/>
      <c r="U965" s="778"/>
      <c r="V965" s="778"/>
      <c r="W965" s="778"/>
      <c r="X965" s="778"/>
      <c r="Y965" s="778"/>
      <c r="Z965" s="778"/>
    </row>
    <row r="966">
      <c r="A966" s="777"/>
      <c r="B966" s="777"/>
      <c r="C966" s="777"/>
      <c r="D966" s="778"/>
      <c r="E966" s="778"/>
      <c r="F966" s="778"/>
      <c r="G966" s="778"/>
      <c r="H966" s="778"/>
      <c r="I966" s="778"/>
      <c r="J966" s="778"/>
      <c r="K966" s="778"/>
      <c r="L966" s="778"/>
      <c r="M966" s="778"/>
      <c r="N966" s="778"/>
      <c r="O966" s="778"/>
      <c r="P966" s="778"/>
      <c r="Q966" s="778"/>
      <c r="R966" s="778"/>
      <c r="S966" s="778"/>
      <c r="T966" s="778"/>
      <c r="U966" s="778"/>
      <c r="V966" s="778"/>
      <c r="W966" s="778"/>
      <c r="X966" s="778"/>
      <c r="Y966" s="778"/>
      <c r="Z966" s="778"/>
    </row>
    <row r="967">
      <c r="A967" s="777"/>
      <c r="B967" s="777"/>
      <c r="C967" s="777"/>
      <c r="D967" s="778"/>
      <c r="E967" s="778"/>
      <c r="F967" s="778"/>
      <c r="G967" s="778"/>
      <c r="H967" s="778"/>
      <c r="I967" s="778"/>
      <c r="J967" s="778"/>
      <c r="K967" s="778"/>
      <c r="L967" s="778"/>
      <c r="M967" s="778"/>
      <c r="N967" s="778"/>
      <c r="O967" s="778"/>
      <c r="P967" s="778"/>
      <c r="Q967" s="778"/>
      <c r="R967" s="778"/>
      <c r="S967" s="778"/>
      <c r="T967" s="778"/>
      <c r="U967" s="778"/>
      <c r="V967" s="778"/>
      <c r="W967" s="778"/>
      <c r="X967" s="778"/>
      <c r="Y967" s="778"/>
      <c r="Z967" s="778"/>
    </row>
    <row r="968">
      <c r="A968" s="777"/>
      <c r="B968" s="777"/>
      <c r="C968" s="777"/>
      <c r="D968" s="778"/>
      <c r="E968" s="778"/>
      <c r="F968" s="778"/>
      <c r="G968" s="778"/>
      <c r="H968" s="778"/>
      <c r="I968" s="778"/>
      <c r="J968" s="778"/>
      <c r="K968" s="778"/>
      <c r="L968" s="778"/>
      <c r="M968" s="778"/>
      <c r="N968" s="778"/>
      <c r="O968" s="778"/>
      <c r="P968" s="778"/>
      <c r="Q968" s="778"/>
      <c r="R968" s="778"/>
      <c r="S968" s="778"/>
      <c r="T968" s="778"/>
      <c r="U968" s="778"/>
      <c r="V968" s="778"/>
      <c r="W968" s="778"/>
      <c r="X968" s="778"/>
      <c r="Y968" s="778"/>
      <c r="Z968" s="778"/>
    </row>
    <row r="969">
      <c r="A969" s="777"/>
      <c r="B969" s="777"/>
      <c r="C969" s="777"/>
      <c r="D969" s="778"/>
      <c r="E969" s="778"/>
      <c r="F969" s="778"/>
      <c r="G969" s="778"/>
      <c r="H969" s="778"/>
      <c r="I969" s="778"/>
      <c r="J969" s="778"/>
      <c r="K969" s="778"/>
      <c r="L969" s="778"/>
      <c r="M969" s="778"/>
      <c r="N969" s="778"/>
      <c r="O969" s="778"/>
      <c r="P969" s="778"/>
      <c r="Q969" s="778"/>
      <c r="R969" s="778"/>
      <c r="S969" s="778"/>
      <c r="T969" s="778"/>
      <c r="U969" s="778"/>
      <c r="V969" s="778"/>
      <c r="W969" s="778"/>
      <c r="X969" s="778"/>
      <c r="Y969" s="778"/>
      <c r="Z969" s="778"/>
    </row>
    <row r="970">
      <c r="A970" s="777"/>
      <c r="B970" s="777"/>
      <c r="C970" s="777"/>
      <c r="D970" s="778"/>
      <c r="E970" s="778"/>
      <c r="F970" s="778"/>
      <c r="G970" s="778"/>
      <c r="H970" s="778"/>
      <c r="I970" s="778"/>
      <c r="J970" s="778"/>
      <c r="K970" s="778"/>
      <c r="L970" s="778"/>
      <c r="M970" s="778"/>
      <c r="N970" s="778"/>
      <c r="O970" s="778"/>
      <c r="P970" s="778"/>
      <c r="Q970" s="778"/>
      <c r="R970" s="778"/>
      <c r="S970" s="778"/>
      <c r="T970" s="778"/>
      <c r="U970" s="778"/>
      <c r="V970" s="778"/>
      <c r="W970" s="778"/>
      <c r="X970" s="778"/>
      <c r="Y970" s="778"/>
      <c r="Z970" s="778"/>
    </row>
    <row r="971">
      <c r="A971" s="777"/>
      <c r="B971" s="777"/>
      <c r="C971" s="777"/>
      <c r="D971" s="778"/>
      <c r="E971" s="778"/>
      <c r="F971" s="778"/>
      <c r="G971" s="778"/>
      <c r="H971" s="778"/>
      <c r="I971" s="778"/>
      <c r="J971" s="778"/>
      <c r="K971" s="778"/>
      <c r="L971" s="778"/>
      <c r="M971" s="778"/>
      <c r="N971" s="778"/>
      <c r="O971" s="778"/>
      <c r="P971" s="778"/>
      <c r="Q971" s="778"/>
      <c r="R971" s="778"/>
      <c r="S971" s="778"/>
      <c r="T971" s="778"/>
      <c r="U971" s="778"/>
      <c r="V971" s="778"/>
      <c r="W971" s="778"/>
      <c r="X971" s="778"/>
      <c r="Y971" s="778"/>
      <c r="Z971" s="778"/>
    </row>
    <row r="972">
      <c r="A972" s="777"/>
      <c r="B972" s="777"/>
      <c r="C972" s="777"/>
      <c r="D972" s="778"/>
      <c r="E972" s="778"/>
      <c r="F972" s="778"/>
      <c r="G972" s="778"/>
      <c r="H972" s="778"/>
      <c r="I972" s="778"/>
      <c r="J972" s="778"/>
      <c r="K972" s="778"/>
      <c r="L972" s="778"/>
      <c r="M972" s="778"/>
      <c r="N972" s="778"/>
      <c r="O972" s="778"/>
      <c r="P972" s="778"/>
      <c r="Q972" s="778"/>
      <c r="R972" s="778"/>
      <c r="S972" s="778"/>
      <c r="T972" s="778"/>
      <c r="U972" s="778"/>
      <c r="V972" s="778"/>
      <c r="W972" s="778"/>
      <c r="X972" s="778"/>
      <c r="Y972" s="778"/>
      <c r="Z972" s="778"/>
    </row>
    <row r="973">
      <c r="A973" s="777"/>
      <c r="B973" s="777"/>
      <c r="C973" s="777"/>
      <c r="D973" s="778"/>
      <c r="E973" s="778"/>
      <c r="F973" s="778"/>
      <c r="G973" s="778"/>
      <c r="H973" s="778"/>
      <c r="I973" s="778"/>
      <c r="J973" s="778"/>
      <c r="K973" s="778"/>
      <c r="L973" s="778"/>
      <c r="M973" s="778"/>
      <c r="N973" s="778"/>
      <c r="O973" s="778"/>
      <c r="P973" s="778"/>
      <c r="Q973" s="778"/>
      <c r="R973" s="778"/>
      <c r="S973" s="778"/>
      <c r="T973" s="778"/>
      <c r="U973" s="778"/>
      <c r="V973" s="778"/>
      <c r="W973" s="778"/>
      <c r="X973" s="778"/>
      <c r="Y973" s="778"/>
      <c r="Z973" s="778"/>
    </row>
    <row r="974">
      <c r="A974" s="777"/>
      <c r="B974" s="777"/>
      <c r="C974" s="777"/>
      <c r="D974" s="778"/>
      <c r="E974" s="778"/>
      <c r="F974" s="778"/>
      <c r="G974" s="778"/>
      <c r="H974" s="778"/>
      <c r="I974" s="778"/>
      <c r="J974" s="778"/>
      <c r="K974" s="778"/>
      <c r="L974" s="778"/>
      <c r="M974" s="778"/>
      <c r="N974" s="778"/>
      <c r="O974" s="778"/>
      <c r="P974" s="778"/>
      <c r="Q974" s="778"/>
      <c r="R974" s="778"/>
      <c r="S974" s="778"/>
      <c r="T974" s="778"/>
      <c r="U974" s="778"/>
      <c r="V974" s="778"/>
      <c r="W974" s="778"/>
      <c r="X974" s="778"/>
      <c r="Y974" s="778"/>
      <c r="Z974" s="778"/>
    </row>
    <row r="975">
      <c r="A975" s="777"/>
      <c r="B975" s="777"/>
      <c r="C975" s="777"/>
      <c r="D975" s="778"/>
      <c r="E975" s="778"/>
      <c r="F975" s="778"/>
      <c r="G975" s="778"/>
      <c r="H975" s="778"/>
      <c r="I975" s="778"/>
      <c r="J975" s="778"/>
      <c r="K975" s="778"/>
      <c r="L975" s="778"/>
      <c r="M975" s="778"/>
      <c r="N975" s="778"/>
      <c r="O975" s="778"/>
      <c r="P975" s="778"/>
      <c r="Q975" s="778"/>
      <c r="R975" s="778"/>
      <c r="S975" s="778"/>
      <c r="T975" s="778"/>
      <c r="U975" s="778"/>
      <c r="V975" s="778"/>
      <c r="W975" s="778"/>
      <c r="X975" s="778"/>
      <c r="Y975" s="778"/>
      <c r="Z975" s="778"/>
    </row>
    <row r="976">
      <c r="A976" s="777"/>
      <c r="B976" s="777"/>
      <c r="C976" s="777"/>
      <c r="D976" s="778"/>
      <c r="E976" s="778"/>
      <c r="F976" s="778"/>
      <c r="G976" s="778"/>
      <c r="H976" s="778"/>
      <c r="I976" s="778"/>
      <c r="J976" s="778"/>
      <c r="K976" s="778"/>
      <c r="L976" s="778"/>
      <c r="M976" s="778"/>
      <c r="N976" s="778"/>
      <c r="O976" s="778"/>
      <c r="P976" s="778"/>
      <c r="Q976" s="778"/>
      <c r="R976" s="778"/>
      <c r="S976" s="778"/>
      <c r="T976" s="778"/>
      <c r="U976" s="778"/>
      <c r="V976" s="778"/>
      <c r="W976" s="778"/>
      <c r="X976" s="778"/>
      <c r="Y976" s="778"/>
      <c r="Z976" s="778"/>
    </row>
    <row r="977">
      <c r="A977" s="777"/>
      <c r="B977" s="777"/>
      <c r="C977" s="777"/>
      <c r="D977" s="778"/>
      <c r="E977" s="778"/>
      <c r="F977" s="778"/>
      <c r="G977" s="778"/>
      <c r="H977" s="778"/>
      <c r="I977" s="778"/>
      <c r="J977" s="778"/>
      <c r="K977" s="778"/>
      <c r="L977" s="778"/>
      <c r="M977" s="778"/>
      <c r="N977" s="778"/>
      <c r="O977" s="778"/>
      <c r="P977" s="778"/>
      <c r="Q977" s="778"/>
      <c r="R977" s="778"/>
      <c r="S977" s="778"/>
      <c r="T977" s="778"/>
      <c r="U977" s="778"/>
      <c r="V977" s="778"/>
      <c r="W977" s="778"/>
      <c r="X977" s="778"/>
      <c r="Y977" s="778"/>
      <c r="Z977" s="778"/>
    </row>
    <row r="978">
      <c r="A978" s="777"/>
      <c r="B978" s="777"/>
      <c r="C978" s="777"/>
      <c r="D978" s="778"/>
      <c r="E978" s="778"/>
      <c r="F978" s="778"/>
      <c r="G978" s="778"/>
      <c r="H978" s="778"/>
      <c r="I978" s="778"/>
      <c r="J978" s="778"/>
      <c r="K978" s="778"/>
      <c r="L978" s="778"/>
      <c r="M978" s="778"/>
      <c r="N978" s="778"/>
      <c r="O978" s="778"/>
      <c r="P978" s="778"/>
      <c r="Q978" s="778"/>
      <c r="R978" s="778"/>
      <c r="S978" s="778"/>
      <c r="T978" s="778"/>
      <c r="U978" s="778"/>
      <c r="V978" s="778"/>
      <c r="W978" s="778"/>
      <c r="X978" s="778"/>
      <c r="Y978" s="778"/>
      <c r="Z978" s="778"/>
    </row>
    <row r="979">
      <c r="A979" s="777"/>
      <c r="B979" s="777"/>
      <c r="C979" s="777"/>
      <c r="D979" s="778"/>
      <c r="E979" s="778"/>
      <c r="F979" s="778"/>
      <c r="G979" s="778"/>
      <c r="H979" s="778"/>
      <c r="I979" s="778"/>
      <c r="J979" s="778"/>
      <c r="K979" s="778"/>
      <c r="L979" s="778"/>
      <c r="M979" s="778"/>
      <c r="N979" s="778"/>
      <c r="O979" s="778"/>
      <c r="P979" s="778"/>
      <c r="Q979" s="778"/>
      <c r="R979" s="778"/>
      <c r="S979" s="778"/>
      <c r="T979" s="778"/>
      <c r="U979" s="778"/>
      <c r="V979" s="778"/>
      <c r="W979" s="778"/>
      <c r="X979" s="778"/>
      <c r="Y979" s="778"/>
      <c r="Z979" s="778"/>
    </row>
    <row r="980">
      <c r="A980" s="777"/>
      <c r="B980" s="777"/>
      <c r="C980" s="777"/>
      <c r="D980" s="778"/>
      <c r="E980" s="778"/>
      <c r="F980" s="778"/>
      <c r="G980" s="778"/>
      <c r="H980" s="778"/>
      <c r="I980" s="778"/>
      <c r="J980" s="778"/>
      <c r="K980" s="778"/>
      <c r="L980" s="778"/>
      <c r="M980" s="778"/>
      <c r="N980" s="778"/>
      <c r="O980" s="778"/>
      <c r="P980" s="778"/>
      <c r="Q980" s="778"/>
      <c r="R980" s="778"/>
      <c r="S980" s="778"/>
      <c r="T980" s="778"/>
      <c r="U980" s="778"/>
      <c r="V980" s="778"/>
      <c r="W980" s="778"/>
      <c r="X980" s="778"/>
      <c r="Y980" s="778"/>
      <c r="Z980" s="778"/>
    </row>
    <row r="981">
      <c r="A981" s="777"/>
      <c r="B981" s="777"/>
      <c r="C981" s="777"/>
      <c r="D981" s="778"/>
      <c r="E981" s="778"/>
      <c r="F981" s="778"/>
      <c r="G981" s="778"/>
      <c r="H981" s="778"/>
      <c r="I981" s="778"/>
      <c r="J981" s="778"/>
      <c r="K981" s="778"/>
      <c r="L981" s="778"/>
      <c r="M981" s="778"/>
      <c r="N981" s="778"/>
      <c r="O981" s="778"/>
      <c r="P981" s="778"/>
      <c r="Q981" s="778"/>
      <c r="R981" s="778"/>
      <c r="S981" s="778"/>
      <c r="T981" s="778"/>
      <c r="U981" s="778"/>
      <c r="V981" s="778"/>
      <c r="W981" s="778"/>
      <c r="X981" s="778"/>
      <c r="Y981" s="778"/>
      <c r="Z981" s="778"/>
    </row>
    <row r="982">
      <c r="A982" s="777"/>
      <c r="B982" s="777"/>
      <c r="C982" s="777"/>
      <c r="D982" s="778"/>
      <c r="E982" s="778"/>
      <c r="F982" s="778"/>
      <c r="G982" s="778"/>
      <c r="H982" s="778"/>
      <c r="I982" s="778"/>
      <c r="J982" s="778"/>
      <c r="K982" s="778"/>
      <c r="L982" s="778"/>
      <c r="M982" s="778"/>
      <c r="N982" s="778"/>
      <c r="O982" s="778"/>
      <c r="P982" s="778"/>
      <c r="Q982" s="778"/>
      <c r="R982" s="778"/>
      <c r="S982" s="778"/>
      <c r="T982" s="778"/>
      <c r="U982" s="778"/>
      <c r="V982" s="778"/>
      <c r="W982" s="778"/>
      <c r="X982" s="778"/>
      <c r="Y982" s="778"/>
      <c r="Z982" s="778"/>
    </row>
    <row r="983">
      <c r="A983" s="777"/>
      <c r="B983" s="777"/>
      <c r="C983" s="777"/>
      <c r="D983" s="778"/>
      <c r="E983" s="778"/>
      <c r="F983" s="778"/>
      <c r="G983" s="778"/>
      <c r="H983" s="778"/>
      <c r="I983" s="778"/>
      <c r="J983" s="778"/>
      <c r="K983" s="778"/>
      <c r="L983" s="778"/>
      <c r="M983" s="778"/>
      <c r="N983" s="778"/>
      <c r="O983" s="778"/>
      <c r="P983" s="778"/>
      <c r="Q983" s="778"/>
      <c r="R983" s="778"/>
      <c r="S983" s="778"/>
      <c r="T983" s="778"/>
      <c r="U983" s="778"/>
      <c r="V983" s="778"/>
      <c r="W983" s="778"/>
      <c r="X983" s="778"/>
      <c r="Y983" s="778"/>
      <c r="Z983" s="778"/>
    </row>
    <row r="984">
      <c r="A984" s="777"/>
      <c r="B984" s="777"/>
      <c r="C984" s="777"/>
      <c r="D984" s="778"/>
      <c r="E984" s="778"/>
      <c r="F984" s="778"/>
      <c r="G984" s="778"/>
      <c r="H984" s="778"/>
      <c r="I984" s="778"/>
      <c r="J984" s="778"/>
      <c r="K984" s="778"/>
      <c r="L984" s="778"/>
      <c r="M984" s="778"/>
      <c r="N984" s="778"/>
      <c r="O984" s="778"/>
      <c r="P984" s="778"/>
      <c r="Q984" s="778"/>
      <c r="R984" s="778"/>
      <c r="S984" s="778"/>
      <c r="T984" s="778"/>
      <c r="U984" s="778"/>
      <c r="V984" s="778"/>
      <c r="W984" s="778"/>
      <c r="X984" s="778"/>
      <c r="Y984" s="778"/>
      <c r="Z984" s="778"/>
    </row>
    <row r="985">
      <c r="A985" s="777"/>
      <c r="B985" s="777"/>
      <c r="C985" s="777"/>
      <c r="D985" s="778"/>
      <c r="E985" s="778"/>
      <c r="F985" s="778"/>
      <c r="G985" s="778"/>
      <c r="H985" s="778"/>
      <c r="I985" s="778"/>
      <c r="J985" s="778"/>
      <c r="K985" s="778"/>
      <c r="L985" s="778"/>
      <c r="M985" s="778"/>
      <c r="N985" s="778"/>
      <c r="O985" s="778"/>
      <c r="P985" s="778"/>
      <c r="Q985" s="778"/>
      <c r="R985" s="778"/>
      <c r="S985" s="778"/>
      <c r="T985" s="778"/>
      <c r="U985" s="778"/>
      <c r="V985" s="778"/>
      <c r="W985" s="778"/>
      <c r="X985" s="778"/>
      <c r="Y985" s="778"/>
      <c r="Z985" s="778"/>
    </row>
    <row r="986">
      <c r="A986" s="777"/>
      <c r="B986" s="777"/>
      <c r="C986" s="777"/>
      <c r="D986" s="778"/>
      <c r="E986" s="778"/>
      <c r="F986" s="778"/>
      <c r="G986" s="778"/>
      <c r="H986" s="778"/>
      <c r="I986" s="778"/>
      <c r="J986" s="778"/>
      <c r="K986" s="778"/>
      <c r="L986" s="778"/>
      <c r="M986" s="778"/>
      <c r="N986" s="778"/>
      <c r="O986" s="778"/>
      <c r="P986" s="778"/>
      <c r="Q986" s="778"/>
      <c r="R986" s="778"/>
      <c r="S986" s="778"/>
      <c r="T986" s="778"/>
      <c r="U986" s="778"/>
      <c r="V986" s="778"/>
      <c r="W986" s="778"/>
      <c r="X986" s="778"/>
      <c r="Y986" s="778"/>
      <c r="Z986" s="778"/>
    </row>
    <row r="987">
      <c r="A987" s="777"/>
      <c r="B987" s="777"/>
      <c r="C987" s="777"/>
      <c r="D987" s="778"/>
      <c r="E987" s="778"/>
      <c r="F987" s="778"/>
      <c r="G987" s="778"/>
      <c r="H987" s="778"/>
      <c r="I987" s="778"/>
      <c r="J987" s="778"/>
      <c r="K987" s="778"/>
      <c r="L987" s="778"/>
      <c r="M987" s="778"/>
      <c r="N987" s="778"/>
      <c r="O987" s="778"/>
      <c r="P987" s="778"/>
      <c r="Q987" s="778"/>
      <c r="R987" s="778"/>
      <c r="S987" s="778"/>
      <c r="T987" s="778"/>
      <c r="U987" s="778"/>
      <c r="V987" s="778"/>
      <c r="W987" s="778"/>
      <c r="X987" s="778"/>
      <c r="Y987" s="778"/>
      <c r="Z987" s="778"/>
    </row>
    <row r="988">
      <c r="A988" s="777"/>
      <c r="B988" s="777"/>
      <c r="C988" s="777"/>
      <c r="D988" s="778"/>
      <c r="E988" s="778"/>
      <c r="F988" s="778"/>
      <c r="G988" s="778"/>
      <c r="H988" s="778"/>
      <c r="I988" s="778"/>
      <c r="J988" s="778"/>
      <c r="K988" s="778"/>
      <c r="L988" s="778"/>
      <c r="M988" s="778"/>
      <c r="N988" s="778"/>
      <c r="O988" s="778"/>
      <c r="P988" s="778"/>
      <c r="Q988" s="778"/>
      <c r="R988" s="778"/>
      <c r="S988" s="778"/>
      <c r="T988" s="778"/>
      <c r="U988" s="778"/>
      <c r="V988" s="778"/>
      <c r="W988" s="778"/>
      <c r="X988" s="778"/>
      <c r="Y988" s="778"/>
      <c r="Z988" s="778"/>
    </row>
    <row r="989">
      <c r="A989" s="777"/>
      <c r="B989" s="777"/>
      <c r="C989" s="777"/>
      <c r="D989" s="778"/>
      <c r="E989" s="778"/>
      <c r="F989" s="778"/>
      <c r="G989" s="778"/>
      <c r="H989" s="778"/>
      <c r="I989" s="778"/>
      <c r="J989" s="778"/>
      <c r="K989" s="778"/>
      <c r="L989" s="778"/>
      <c r="M989" s="778"/>
      <c r="N989" s="778"/>
      <c r="O989" s="778"/>
      <c r="P989" s="778"/>
      <c r="Q989" s="778"/>
      <c r="R989" s="778"/>
      <c r="S989" s="778"/>
      <c r="T989" s="778"/>
      <c r="U989" s="778"/>
      <c r="V989" s="778"/>
      <c r="W989" s="778"/>
      <c r="X989" s="778"/>
      <c r="Y989" s="778"/>
      <c r="Z989" s="778"/>
    </row>
    <row r="990">
      <c r="A990" s="777"/>
      <c r="B990" s="777"/>
      <c r="C990" s="777"/>
      <c r="D990" s="778"/>
      <c r="E990" s="778"/>
      <c r="F990" s="778"/>
      <c r="G990" s="778"/>
      <c r="H990" s="778"/>
      <c r="I990" s="778"/>
      <c r="J990" s="778"/>
      <c r="K990" s="778"/>
      <c r="L990" s="778"/>
      <c r="M990" s="778"/>
      <c r="N990" s="778"/>
      <c r="O990" s="778"/>
      <c r="P990" s="778"/>
      <c r="Q990" s="778"/>
      <c r="R990" s="778"/>
      <c r="S990" s="778"/>
      <c r="T990" s="778"/>
      <c r="U990" s="778"/>
      <c r="V990" s="778"/>
      <c r="W990" s="778"/>
      <c r="X990" s="778"/>
      <c r="Y990" s="778"/>
      <c r="Z990" s="778"/>
    </row>
    <row r="991">
      <c r="A991" s="777"/>
      <c r="B991" s="777"/>
      <c r="C991" s="777"/>
      <c r="D991" s="778"/>
      <c r="E991" s="778"/>
      <c r="F991" s="778"/>
      <c r="G991" s="778"/>
      <c r="H991" s="778"/>
      <c r="I991" s="778"/>
      <c r="J991" s="778"/>
      <c r="K991" s="778"/>
      <c r="L991" s="778"/>
      <c r="M991" s="778"/>
      <c r="N991" s="778"/>
      <c r="O991" s="778"/>
      <c r="P991" s="778"/>
      <c r="Q991" s="778"/>
      <c r="R991" s="778"/>
      <c r="S991" s="778"/>
      <c r="T991" s="778"/>
      <c r="U991" s="778"/>
      <c r="V991" s="778"/>
      <c r="W991" s="778"/>
      <c r="X991" s="778"/>
      <c r="Y991" s="778"/>
      <c r="Z991" s="778"/>
    </row>
    <row r="992">
      <c r="A992" s="777"/>
      <c r="B992" s="777"/>
      <c r="C992" s="777"/>
      <c r="D992" s="778"/>
      <c r="E992" s="778"/>
      <c r="F992" s="778"/>
      <c r="G992" s="778"/>
      <c r="H992" s="778"/>
      <c r="I992" s="778"/>
      <c r="J992" s="778"/>
      <c r="K992" s="778"/>
      <c r="L992" s="778"/>
      <c r="M992" s="778"/>
      <c r="N992" s="778"/>
      <c r="O992" s="778"/>
      <c r="P992" s="778"/>
      <c r="Q992" s="778"/>
      <c r="R992" s="778"/>
      <c r="S992" s="778"/>
      <c r="T992" s="778"/>
      <c r="U992" s="778"/>
      <c r="V992" s="778"/>
      <c r="W992" s="778"/>
      <c r="X992" s="778"/>
      <c r="Y992" s="778"/>
      <c r="Z992" s="778"/>
    </row>
    <row r="993">
      <c r="A993" s="777"/>
      <c r="B993" s="777"/>
      <c r="C993" s="777"/>
      <c r="D993" s="778"/>
      <c r="E993" s="778"/>
      <c r="F993" s="778"/>
      <c r="G993" s="778"/>
      <c r="H993" s="778"/>
      <c r="I993" s="778"/>
      <c r="J993" s="778"/>
      <c r="K993" s="778"/>
      <c r="L993" s="778"/>
      <c r="M993" s="778"/>
      <c r="N993" s="778"/>
      <c r="O993" s="778"/>
      <c r="P993" s="778"/>
      <c r="Q993" s="778"/>
      <c r="R993" s="778"/>
      <c r="S993" s="778"/>
      <c r="T993" s="778"/>
      <c r="U993" s="778"/>
      <c r="V993" s="778"/>
      <c r="W993" s="778"/>
      <c r="X993" s="778"/>
      <c r="Y993" s="778"/>
      <c r="Z993" s="778"/>
    </row>
    <row r="994">
      <c r="A994" s="777"/>
      <c r="B994" s="777"/>
      <c r="C994" s="777"/>
      <c r="D994" s="778"/>
      <c r="E994" s="778"/>
      <c r="F994" s="778"/>
      <c r="G994" s="778"/>
      <c r="H994" s="778"/>
      <c r="I994" s="778"/>
      <c r="J994" s="778"/>
      <c r="K994" s="778"/>
      <c r="L994" s="778"/>
      <c r="M994" s="778"/>
      <c r="N994" s="778"/>
      <c r="O994" s="778"/>
      <c r="P994" s="778"/>
      <c r="Q994" s="778"/>
      <c r="R994" s="778"/>
      <c r="S994" s="778"/>
      <c r="T994" s="778"/>
      <c r="U994" s="778"/>
      <c r="V994" s="778"/>
      <c r="W994" s="778"/>
      <c r="X994" s="778"/>
      <c r="Y994" s="778"/>
      <c r="Z994" s="778"/>
    </row>
    <row r="995">
      <c r="A995" s="777"/>
      <c r="B995" s="777"/>
      <c r="C995" s="777"/>
      <c r="D995" s="778"/>
      <c r="E995" s="778"/>
      <c r="F995" s="778"/>
      <c r="G995" s="778"/>
      <c r="H995" s="778"/>
      <c r="I995" s="778"/>
      <c r="J995" s="778"/>
      <c r="K995" s="778"/>
      <c r="L995" s="778"/>
      <c r="M995" s="778"/>
      <c r="N995" s="778"/>
      <c r="O995" s="778"/>
      <c r="P995" s="778"/>
      <c r="Q995" s="778"/>
      <c r="R995" s="778"/>
      <c r="S995" s="778"/>
      <c r="T995" s="778"/>
      <c r="U995" s="778"/>
      <c r="V995" s="778"/>
      <c r="W995" s="778"/>
      <c r="X995" s="778"/>
      <c r="Y995" s="778"/>
      <c r="Z995" s="778"/>
    </row>
    <row r="996">
      <c r="A996" s="777"/>
      <c r="B996" s="777"/>
      <c r="C996" s="777"/>
      <c r="D996" s="778"/>
      <c r="E996" s="778"/>
      <c r="F996" s="778"/>
      <c r="G996" s="778"/>
      <c r="H996" s="778"/>
      <c r="I996" s="778"/>
      <c r="J996" s="778"/>
      <c r="K996" s="778"/>
      <c r="L996" s="778"/>
      <c r="M996" s="778"/>
      <c r="N996" s="778"/>
      <c r="O996" s="778"/>
      <c r="P996" s="778"/>
      <c r="Q996" s="778"/>
      <c r="R996" s="778"/>
      <c r="S996" s="778"/>
      <c r="T996" s="778"/>
      <c r="U996" s="778"/>
      <c r="V996" s="778"/>
      <c r="W996" s="778"/>
      <c r="X996" s="778"/>
      <c r="Y996" s="778"/>
      <c r="Z996" s="778"/>
    </row>
    <row r="997">
      <c r="A997" s="777"/>
      <c r="B997" s="777"/>
      <c r="C997" s="777"/>
      <c r="D997" s="778"/>
      <c r="E997" s="778"/>
      <c r="F997" s="778"/>
      <c r="G997" s="778"/>
      <c r="H997" s="778"/>
      <c r="I997" s="778"/>
      <c r="J997" s="778"/>
      <c r="K997" s="778"/>
      <c r="L997" s="778"/>
      <c r="M997" s="778"/>
      <c r="N997" s="778"/>
      <c r="O997" s="778"/>
      <c r="P997" s="778"/>
      <c r="Q997" s="778"/>
      <c r="R997" s="778"/>
      <c r="S997" s="778"/>
      <c r="T997" s="778"/>
      <c r="U997" s="778"/>
      <c r="V997" s="778"/>
      <c r="W997" s="778"/>
      <c r="X997" s="778"/>
      <c r="Y997" s="778"/>
      <c r="Z997" s="778"/>
    </row>
    <row r="998">
      <c r="A998" s="777"/>
      <c r="B998" s="777"/>
      <c r="C998" s="777"/>
      <c r="D998" s="778"/>
      <c r="E998" s="778"/>
      <c r="F998" s="778"/>
      <c r="G998" s="778"/>
      <c r="H998" s="778"/>
      <c r="I998" s="778"/>
      <c r="J998" s="778"/>
      <c r="K998" s="778"/>
      <c r="L998" s="778"/>
      <c r="M998" s="778"/>
      <c r="N998" s="778"/>
      <c r="O998" s="778"/>
      <c r="P998" s="778"/>
      <c r="Q998" s="778"/>
      <c r="R998" s="778"/>
      <c r="S998" s="778"/>
      <c r="T998" s="778"/>
      <c r="U998" s="778"/>
      <c r="V998" s="778"/>
      <c r="W998" s="778"/>
      <c r="X998" s="778"/>
      <c r="Y998" s="778"/>
      <c r="Z998" s="778"/>
    </row>
    <row r="999">
      <c r="A999" s="777"/>
      <c r="B999" s="777"/>
      <c r="C999" s="777"/>
      <c r="D999" s="778"/>
      <c r="E999" s="778"/>
      <c r="F999" s="778"/>
      <c r="G999" s="778"/>
      <c r="H999" s="778"/>
      <c r="I999" s="778"/>
      <c r="J999" s="778"/>
      <c r="K999" s="778"/>
      <c r="L999" s="778"/>
      <c r="M999" s="778"/>
      <c r="N999" s="778"/>
      <c r="O999" s="778"/>
      <c r="P999" s="778"/>
      <c r="Q999" s="778"/>
      <c r="R999" s="778"/>
      <c r="S999" s="778"/>
      <c r="T999" s="778"/>
      <c r="U999" s="778"/>
      <c r="V999" s="778"/>
      <c r="W999" s="778"/>
      <c r="X999" s="778"/>
      <c r="Y999" s="778"/>
      <c r="Z999" s="778"/>
    </row>
    <row r="1000">
      <c r="A1000" s="777"/>
      <c r="B1000" s="777"/>
      <c r="C1000" s="777"/>
      <c r="D1000" s="778"/>
      <c r="E1000" s="778"/>
      <c r="F1000" s="778"/>
      <c r="G1000" s="778"/>
      <c r="H1000" s="778"/>
      <c r="I1000" s="778"/>
      <c r="J1000" s="778"/>
      <c r="K1000" s="778"/>
      <c r="L1000" s="778"/>
      <c r="M1000" s="778"/>
      <c r="N1000" s="778"/>
      <c r="O1000" s="778"/>
      <c r="P1000" s="778"/>
      <c r="Q1000" s="778"/>
      <c r="R1000" s="778"/>
      <c r="S1000" s="778"/>
      <c r="T1000" s="778"/>
      <c r="U1000" s="778"/>
      <c r="V1000" s="778"/>
      <c r="W1000" s="778"/>
      <c r="X1000" s="778"/>
      <c r="Y1000" s="778"/>
      <c r="Z1000" s="778"/>
    </row>
    <row r="1001">
      <c r="A1001" s="777"/>
      <c r="B1001" s="777"/>
      <c r="C1001" s="777"/>
      <c r="D1001" s="778"/>
      <c r="E1001" s="778"/>
      <c r="F1001" s="778"/>
      <c r="G1001" s="778"/>
      <c r="H1001" s="778"/>
      <c r="I1001" s="778"/>
      <c r="J1001" s="778"/>
      <c r="K1001" s="778"/>
      <c r="L1001" s="778"/>
      <c r="M1001" s="778"/>
      <c r="N1001" s="778"/>
      <c r="O1001" s="778"/>
      <c r="P1001" s="778"/>
      <c r="Q1001" s="778"/>
      <c r="R1001" s="778"/>
      <c r="S1001" s="778"/>
      <c r="T1001" s="778"/>
      <c r="U1001" s="778"/>
      <c r="V1001" s="778"/>
      <c r="W1001" s="778"/>
      <c r="X1001" s="778"/>
      <c r="Y1001" s="778"/>
      <c r="Z1001" s="778"/>
    </row>
    <row r="1002">
      <c r="A1002" s="777"/>
      <c r="B1002" s="777"/>
      <c r="C1002" s="777"/>
      <c r="D1002" s="778"/>
      <c r="E1002" s="778"/>
      <c r="F1002" s="778"/>
      <c r="G1002" s="778"/>
      <c r="H1002" s="778"/>
      <c r="I1002" s="778"/>
      <c r="J1002" s="778"/>
      <c r="K1002" s="778"/>
      <c r="L1002" s="778"/>
      <c r="M1002" s="778"/>
      <c r="N1002" s="778"/>
      <c r="O1002" s="778"/>
      <c r="P1002" s="778"/>
      <c r="Q1002" s="778"/>
      <c r="R1002" s="778"/>
      <c r="S1002" s="778"/>
      <c r="T1002" s="778"/>
      <c r="U1002" s="778"/>
      <c r="V1002" s="778"/>
      <c r="W1002" s="778"/>
      <c r="X1002" s="778"/>
      <c r="Y1002" s="778"/>
      <c r="Z1002" s="778"/>
    </row>
    <row r="1003">
      <c r="A1003" s="777"/>
      <c r="B1003" s="777"/>
      <c r="C1003" s="777"/>
      <c r="D1003" s="778"/>
      <c r="E1003" s="778"/>
      <c r="F1003" s="778"/>
      <c r="G1003" s="778"/>
      <c r="H1003" s="778"/>
      <c r="I1003" s="778"/>
      <c r="J1003" s="778"/>
      <c r="K1003" s="778"/>
      <c r="L1003" s="778"/>
      <c r="M1003" s="778"/>
      <c r="N1003" s="778"/>
      <c r="O1003" s="778"/>
      <c r="P1003" s="778"/>
      <c r="Q1003" s="778"/>
      <c r="R1003" s="778"/>
      <c r="S1003" s="778"/>
      <c r="T1003" s="778"/>
      <c r="U1003" s="778"/>
      <c r="V1003" s="778"/>
      <c r="W1003" s="778"/>
      <c r="X1003" s="778"/>
      <c r="Y1003" s="778"/>
      <c r="Z1003" s="778"/>
    </row>
    <row r="1004">
      <c r="A1004" s="777"/>
      <c r="B1004" s="777"/>
      <c r="C1004" s="777"/>
      <c r="D1004" s="778"/>
      <c r="E1004" s="778"/>
      <c r="F1004" s="778"/>
      <c r="G1004" s="778"/>
      <c r="H1004" s="778"/>
      <c r="I1004" s="778"/>
      <c r="J1004" s="778"/>
      <c r="K1004" s="778"/>
      <c r="L1004" s="778"/>
      <c r="M1004" s="778"/>
      <c r="N1004" s="778"/>
      <c r="O1004" s="778"/>
      <c r="P1004" s="778"/>
      <c r="Q1004" s="778"/>
      <c r="R1004" s="778"/>
      <c r="S1004" s="778"/>
      <c r="T1004" s="778"/>
      <c r="U1004" s="778"/>
      <c r="V1004" s="778"/>
      <c r="W1004" s="778"/>
      <c r="X1004" s="778"/>
      <c r="Y1004" s="778"/>
      <c r="Z1004" s="77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2.63" defaultRowHeight="15.0" outlineLevelRow="1"/>
  <cols>
    <col customWidth="1" min="1" max="1" width="5.38"/>
    <col customWidth="1" min="2" max="2" width="15.63"/>
    <col customWidth="1" min="3" max="3" width="16.38"/>
    <col customWidth="1" min="4" max="5" width="16.25"/>
    <col customWidth="1" min="6" max="6" width="15.88"/>
    <col customWidth="1" min="7" max="7" width="15.25"/>
    <col customWidth="1" min="8" max="8" width="16.0"/>
    <col customWidth="1" min="9" max="9" width="30.88"/>
    <col customWidth="1" min="10" max="10" width="14.75"/>
    <col customWidth="1" min="11" max="11" width="10.13"/>
    <col customWidth="1" min="12" max="13" width="11.13"/>
    <col customWidth="1" min="14" max="14" width="9.13"/>
    <col customWidth="1" min="15" max="15" width="20.5"/>
    <col customWidth="1" min="16" max="16" width="18.75"/>
    <col customWidth="1" min="17" max="17" width="11.63"/>
    <col customWidth="1" min="18" max="18" width="13.25"/>
    <col customWidth="1" min="19" max="19" width="12.25"/>
    <col customWidth="1" min="20" max="21" width="11.63"/>
  </cols>
  <sheetData>
    <row r="1" ht="35.25" customHeight="1">
      <c r="A1" s="785" t="s">
        <v>6081</v>
      </c>
      <c r="B1" s="786"/>
      <c r="C1" s="786"/>
      <c r="D1" s="786"/>
      <c r="E1" s="786"/>
      <c r="F1" s="786"/>
      <c r="G1" s="786"/>
      <c r="H1" s="787"/>
      <c r="I1" s="786"/>
      <c r="J1" s="788" t="s">
        <v>3</v>
      </c>
      <c r="K1" s="786"/>
      <c r="L1" s="786"/>
      <c r="M1" s="786"/>
      <c r="N1" s="786"/>
      <c r="O1" s="786"/>
      <c r="P1" s="786"/>
      <c r="Q1" s="786"/>
      <c r="R1" s="786"/>
      <c r="S1" s="786"/>
      <c r="T1" s="789"/>
      <c r="U1" s="789"/>
    </row>
    <row r="2" ht="32.25" customHeight="1">
      <c r="A2" s="435" t="s">
        <v>5</v>
      </c>
      <c r="B2" s="435" t="s">
        <v>3216</v>
      </c>
      <c r="C2" s="435" t="s">
        <v>3217</v>
      </c>
      <c r="D2" s="435" t="s">
        <v>6082</v>
      </c>
      <c r="E2" s="435" t="s">
        <v>11</v>
      </c>
      <c r="F2" s="435" t="s">
        <v>6083</v>
      </c>
      <c r="G2" s="437" t="s">
        <v>3219</v>
      </c>
      <c r="H2" s="435" t="s">
        <v>3221</v>
      </c>
      <c r="I2" s="435" t="s">
        <v>33</v>
      </c>
      <c r="J2" s="790" t="s">
        <v>21</v>
      </c>
      <c r="K2" s="790" t="s">
        <v>22</v>
      </c>
      <c r="L2" s="791" t="s">
        <v>6084</v>
      </c>
      <c r="M2" s="790" t="s">
        <v>25</v>
      </c>
      <c r="N2" s="790" t="s">
        <v>26</v>
      </c>
      <c r="O2" s="790" t="s">
        <v>6085</v>
      </c>
      <c r="P2" s="792" t="s">
        <v>6086</v>
      </c>
      <c r="Q2" s="793" t="s">
        <v>3226</v>
      </c>
      <c r="R2" s="792" t="s">
        <v>6087</v>
      </c>
      <c r="S2" s="792" t="s">
        <v>6088</v>
      </c>
      <c r="T2" s="794" t="s">
        <v>34</v>
      </c>
      <c r="U2" s="795"/>
    </row>
    <row r="3" ht="19.5" customHeight="1">
      <c r="A3" s="796" t="s">
        <v>6089</v>
      </c>
      <c r="B3" s="797" t="s">
        <v>6090</v>
      </c>
      <c r="C3" s="798">
        <f>SUM($C$4,$C16,$C$26,C$36)</f>
        <v>24</v>
      </c>
      <c r="D3" s="799"/>
      <c r="E3" s="799"/>
      <c r="F3" s="799"/>
      <c r="G3" s="799"/>
      <c r="H3" s="800"/>
      <c r="I3" s="801"/>
      <c r="J3" s="799"/>
      <c r="K3" s="801"/>
      <c r="L3" s="799"/>
      <c r="M3" s="799"/>
      <c r="N3" s="799"/>
      <c r="O3" s="801"/>
      <c r="P3" s="801"/>
      <c r="Q3" s="801"/>
      <c r="R3" s="801"/>
      <c r="S3" s="801"/>
      <c r="T3" s="802" t="s">
        <v>41</v>
      </c>
      <c r="U3" s="803"/>
    </row>
    <row r="4" ht="19.5" customHeight="1">
      <c r="A4" s="796" t="s">
        <v>2947</v>
      </c>
      <c r="B4" s="804" t="s">
        <v>6091</v>
      </c>
      <c r="C4" s="798">
        <f>COUNTA($B$5:$B$15)</f>
        <v>8</v>
      </c>
      <c r="D4" s="799"/>
      <c r="E4" s="799"/>
      <c r="F4" s="799"/>
      <c r="G4" s="799"/>
      <c r="H4" s="800"/>
      <c r="I4" s="801"/>
      <c r="J4" s="799"/>
      <c r="K4" s="801"/>
      <c r="L4" s="799"/>
      <c r="M4" s="799"/>
      <c r="N4" s="799"/>
      <c r="O4" s="801"/>
      <c r="P4" s="801"/>
      <c r="Q4" s="801"/>
      <c r="R4" s="801"/>
      <c r="S4" s="801"/>
      <c r="T4" s="805" t="s">
        <v>54</v>
      </c>
      <c r="U4" s="803"/>
    </row>
    <row r="5" ht="16.5" customHeight="1">
      <c r="A5" s="510">
        <v>2.0</v>
      </c>
      <c r="B5" s="464" t="s">
        <v>6092</v>
      </c>
      <c r="C5" s="467"/>
      <c r="D5" s="475"/>
      <c r="E5" s="463" t="s">
        <v>6093</v>
      </c>
      <c r="F5" s="463" t="s">
        <v>858</v>
      </c>
      <c r="G5" s="463" t="s">
        <v>6094</v>
      </c>
      <c r="H5" s="806"/>
      <c r="I5" s="467"/>
      <c r="J5" s="475" t="s">
        <v>1093</v>
      </c>
      <c r="K5" s="467" t="s">
        <v>148</v>
      </c>
      <c r="L5" s="475"/>
      <c r="M5" s="475" t="s">
        <v>2846</v>
      </c>
      <c r="N5" s="475" t="s">
        <v>6095</v>
      </c>
      <c r="O5" s="464" t="s">
        <v>6096</v>
      </c>
      <c r="P5" s="464" t="s">
        <v>6097</v>
      </c>
      <c r="Q5" s="807">
        <v>0.5</v>
      </c>
      <c r="R5" s="467"/>
      <c r="S5" s="467"/>
      <c r="T5" s="807"/>
      <c r="U5" s="807"/>
    </row>
    <row r="6" ht="16.5" customHeight="1">
      <c r="A6" s="808">
        <f>A5+1</f>
        <v>3</v>
      </c>
      <c r="B6" s="464" t="s">
        <v>6098</v>
      </c>
      <c r="C6" s="467"/>
      <c r="D6" s="475"/>
      <c r="E6" s="463" t="s">
        <v>6093</v>
      </c>
      <c r="F6" s="463" t="s">
        <v>858</v>
      </c>
      <c r="G6" s="463" t="s">
        <v>6094</v>
      </c>
      <c r="H6" s="806"/>
      <c r="I6" s="467"/>
      <c r="J6" s="475" t="s">
        <v>1093</v>
      </c>
      <c r="K6" s="467" t="s">
        <v>148</v>
      </c>
      <c r="L6" s="475"/>
      <c r="M6" s="475" t="s">
        <v>2846</v>
      </c>
      <c r="N6" s="475" t="s">
        <v>6095</v>
      </c>
      <c r="O6" s="464" t="s">
        <v>6099</v>
      </c>
      <c r="P6" s="464" t="s">
        <v>6100</v>
      </c>
      <c r="Q6" s="807">
        <v>0.5</v>
      </c>
      <c r="R6" s="467"/>
      <c r="S6" s="467"/>
      <c r="T6" s="807"/>
      <c r="U6" s="807"/>
    </row>
    <row r="7" ht="16.5" customHeight="1">
      <c r="A7" s="510">
        <v>3.0</v>
      </c>
      <c r="B7" s="464" t="s">
        <v>6101</v>
      </c>
      <c r="C7" s="467"/>
      <c r="D7" s="475"/>
      <c r="E7" s="463" t="s">
        <v>6093</v>
      </c>
      <c r="F7" s="463" t="s">
        <v>858</v>
      </c>
      <c r="G7" s="463" t="s">
        <v>6094</v>
      </c>
      <c r="H7" s="809"/>
      <c r="I7" s="467"/>
      <c r="J7" s="475" t="s">
        <v>1093</v>
      </c>
      <c r="K7" s="467" t="s">
        <v>148</v>
      </c>
      <c r="L7" s="475"/>
      <c r="M7" s="475" t="s">
        <v>2846</v>
      </c>
      <c r="N7" s="475" t="s">
        <v>6095</v>
      </c>
      <c r="O7" s="464" t="s">
        <v>6102</v>
      </c>
      <c r="P7" s="464" t="s">
        <v>6103</v>
      </c>
      <c r="Q7" s="807">
        <v>0.5</v>
      </c>
      <c r="R7" s="467"/>
      <c r="S7" s="467"/>
      <c r="T7" s="807"/>
      <c r="U7" s="807"/>
    </row>
    <row r="8" ht="16.5" customHeight="1">
      <c r="A8" s="808">
        <f>A7+1</f>
        <v>4</v>
      </c>
      <c r="B8" s="464" t="s">
        <v>6104</v>
      </c>
      <c r="C8" s="467"/>
      <c r="D8" s="475"/>
      <c r="E8" s="463" t="s">
        <v>6093</v>
      </c>
      <c r="F8" s="463" t="s">
        <v>858</v>
      </c>
      <c r="G8" s="463" t="s">
        <v>6094</v>
      </c>
      <c r="H8" s="806"/>
      <c r="I8" s="467"/>
      <c r="J8" s="475" t="s">
        <v>1093</v>
      </c>
      <c r="K8" s="467" t="s">
        <v>148</v>
      </c>
      <c r="L8" s="475"/>
      <c r="M8" s="475" t="s">
        <v>2846</v>
      </c>
      <c r="N8" s="475" t="s">
        <v>6095</v>
      </c>
      <c r="O8" s="464" t="s">
        <v>6105</v>
      </c>
      <c r="P8" s="464" t="s">
        <v>6106</v>
      </c>
      <c r="Q8" s="807">
        <v>0.5</v>
      </c>
      <c r="R8" s="467"/>
      <c r="S8" s="467"/>
      <c r="T8" s="807"/>
      <c r="U8" s="807"/>
    </row>
    <row r="9" ht="16.5" customHeight="1">
      <c r="A9" s="510">
        <v>4.0</v>
      </c>
      <c r="B9" s="464" t="s">
        <v>6107</v>
      </c>
      <c r="C9" s="467"/>
      <c r="D9" s="463"/>
      <c r="E9" s="463" t="s">
        <v>6093</v>
      </c>
      <c r="F9" s="463" t="s">
        <v>858</v>
      </c>
      <c r="G9" s="463" t="s">
        <v>6094</v>
      </c>
      <c r="H9" s="809" t="s">
        <v>172</v>
      </c>
      <c r="I9" s="467"/>
      <c r="J9" s="475" t="s">
        <v>1093</v>
      </c>
      <c r="K9" s="467" t="s">
        <v>148</v>
      </c>
      <c r="L9" s="475"/>
      <c r="M9" s="475" t="s">
        <v>2846</v>
      </c>
      <c r="N9" s="475" t="s">
        <v>6095</v>
      </c>
      <c r="O9" s="464" t="s">
        <v>6108</v>
      </c>
      <c r="P9" s="464" t="s">
        <v>6109</v>
      </c>
      <c r="Q9" s="807">
        <v>0.5</v>
      </c>
      <c r="R9" s="467"/>
      <c r="S9" s="467"/>
      <c r="T9" s="807"/>
      <c r="U9" s="807"/>
    </row>
    <row r="10" ht="16.5" customHeight="1">
      <c r="A10" s="808">
        <f>A9+1</f>
        <v>5</v>
      </c>
      <c r="B10" s="464" t="s">
        <v>6110</v>
      </c>
      <c r="C10" s="464" t="s">
        <v>6111</v>
      </c>
      <c r="D10" s="463" t="s">
        <v>6112</v>
      </c>
      <c r="E10" s="463" t="s">
        <v>6093</v>
      </c>
      <c r="F10" s="463" t="s">
        <v>858</v>
      </c>
      <c r="G10" s="475" t="s">
        <v>6113</v>
      </c>
      <c r="H10" s="810"/>
      <c r="I10" s="464" t="s">
        <v>6114</v>
      </c>
      <c r="J10" s="475" t="s">
        <v>1093</v>
      </c>
      <c r="K10" s="467" t="s">
        <v>148</v>
      </c>
      <c r="L10" s="475"/>
      <c r="M10" s="475" t="s">
        <v>2846</v>
      </c>
      <c r="N10" s="475" t="s">
        <v>6095</v>
      </c>
      <c r="O10" s="467" t="s">
        <v>6115</v>
      </c>
      <c r="P10" s="467" t="s">
        <v>6116</v>
      </c>
      <c r="Q10" s="807">
        <v>0.5</v>
      </c>
      <c r="R10" s="467"/>
      <c r="S10" s="467"/>
      <c r="T10" s="807"/>
      <c r="U10" s="807"/>
    </row>
    <row r="11" ht="16.5" customHeight="1">
      <c r="A11" s="510">
        <v>6.0</v>
      </c>
      <c r="B11" s="464" t="s">
        <v>6117</v>
      </c>
      <c r="C11" s="464" t="s">
        <v>6118</v>
      </c>
      <c r="D11" s="463" t="s">
        <v>6119</v>
      </c>
      <c r="E11" s="463" t="s">
        <v>6093</v>
      </c>
      <c r="F11" s="463" t="s">
        <v>858</v>
      </c>
      <c r="G11" s="475" t="s">
        <v>6113</v>
      </c>
      <c r="H11" s="810"/>
      <c r="I11" s="464" t="s">
        <v>6120</v>
      </c>
      <c r="J11" s="475" t="s">
        <v>1093</v>
      </c>
      <c r="K11" s="467" t="s">
        <v>148</v>
      </c>
      <c r="L11" s="475"/>
      <c r="M11" s="475" t="s">
        <v>2846</v>
      </c>
      <c r="N11" s="475" t="s">
        <v>6095</v>
      </c>
      <c r="O11" s="467" t="s">
        <v>6121</v>
      </c>
      <c r="P11" s="467" t="s">
        <v>6122</v>
      </c>
      <c r="Q11" s="807">
        <v>0.5</v>
      </c>
      <c r="R11" s="467"/>
      <c r="S11" s="467"/>
      <c r="T11" s="807"/>
      <c r="U11" s="807"/>
    </row>
    <row r="12" ht="16.5" customHeight="1">
      <c r="A12" s="808">
        <f>A103+1</f>
        <v>8</v>
      </c>
      <c r="B12" s="464" t="s">
        <v>6123</v>
      </c>
      <c r="C12" s="464" t="s">
        <v>6124</v>
      </c>
      <c r="D12" s="475"/>
      <c r="E12" s="463" t="s">
        <v>6093</v>
      </c>
      <c r="F12" s="463" t="s">
        <v>858</v>
      </c>
      <c r="G12" s="463" t="s">
        <v>6125</v>
      </c>
      <c r="H12" s="806"/>
      <c r="I12" s="464" t="s">
        <v>6120</v>
      </c>
      <c r="J12" s="475" t="s">
        <v>1093</v>
      </c>
      <c r="K12" s="467" t="s">
        <v>148</v>
      </c>
      <c r="L12" s="475"/>
      <c r="M12" s="475" t="s">
        <v>2846</v>
      </c>
      <c r="N12" s="475" t="s">
        <v>6095</v>
      </c>
      <c r="O12" s="464" t="s">
        <v>6126</v>
      </c>
      <c r="P12" s="464" t="s">
        <v>6127</v>
      </c>
      <c r="Q12" s="807">
        <v>0.5</v>
      </c>
      <c r="R12" s="467"/>
      <c r="S12" s="467"/>
      <c r="T12" s="807"/>
      <c r="U12" s="807"/>
    </row>
    <row r="13" ht="16.5" customHeight="1">
      <c r="A13" s="808"/>
      <c r="B13" s="464"/>
      <c r="C13" s="811"/>
      <c r="D13" s="463"/>
      <c r="E13" s="475"/>
      <c r="F13" s="475"/>
      <c r="G13" s="463"/>
      <c r="H13" s="809"/>
      <c r="I13" s="467"/>
      <c r="J13" s="475"/>
      <c r="K13" s="467"/>
      <c r="L13" s="475"/>
      <c r="M13" s="475"/>
      <c r="N13" s="475"/>
      <c r="O13" s="464"/>
      <c r="P13" s="464"/>
      <c r="Q13" s="467"/>
      <c r="R13" s="467"/>
      <c r="S13" s="467"/>
      <c r="T13" s="812"/>
      <c r="U13" s="812"/>
    </row>
    <row r="14" ht="16.5" customHeight="1">
      <c r="A14" s="808"/>
      <c r="B14" s="464"/>
      <c r="C14" s="811"/>
      <c r="D14" s="463"/>
      <c r="E14" s="475"/>
      <c r="F14" s="475"/>
      <c r="G14" s="463"/>
      <c r="H14" s="809"/>
      <c r="I14" s="467"/>
      <c r="J14" s="475"/>
      <c r="K14" s="467"/>
      <c r="L14" s="475"/>
      <c r="M14" s="475"/>
      <c r="N14" s="475"/>
      <c r="O14" s="464"/>
      <c r="P14" s="464"/>
      <c r="Q14" s="467"/>
      <c r="R14" s="467"/>
      <c r="S14" s="467"/>
      <c r="T14" s="812"/>
      <c r="U14" s="812"/>
    </row>
    <row r="15" ht="16.5" customHeight="1">
      <c r="A15" s="808"/>
      <c r="B15" s="464"/>
      <c r="C15" s="811" t="s">
        <v>4580</v>
      </c>
      <c r="D15" s="463"/>
      <c r="E15" s="475"/>
      <c r="F15" s="475"/>
      <c r="G15" s="463"/>
      <c r="H15" s="809"/>
      <c r="I15" s="467"/>
      <c r="J15" s="475"/>
      <c r="K15" s="467"/>
      <c r="L15" s="475"/>
      <c r="M15" s="475"/>
      <c r="N15" s="475"/>
      <c r="O15" s="464"/>
      <c r="P15" s="464"/>
      <c r="Q15" s="467"/>
      <c r="R15" s="467"/>
      <c r="S15" s="467"/>
      <c r="T15" s="812"/>
      <c r="U15" s="812"/>
    </row>
    <row r="16" ht="19.5" customHeight="1">
      <c r="A16" s="796" t="s">
        <v>1974</v>
      </c>
      <c r="B16" s="804" t="s">
        <v>6128</v>
      </c>
      <c r="C16" s="798">
        <f>COUNTA($B$17:$B$25)</f>
        <v>8</v>
      </c>
      <c r="D16" s="799"/>
      <c r="E16" s="799"/>
      <c r="F16" s="799"/>
      <c r="G16" s="799"/>
      <c r="H16" s="800"/>
      <c r="I16" s="801"/>
      <c r="J16" s="799"/>
      <c r="K16" s="801"/>
      <c r="L16" s="799"/>
      <c r="M16" s="799"/>
      <c r="N16" s="799"/>
      <c r="O16" s="801"/>
      <c r="P16" s="801"/>
      <c r="Q16" s="801"/>
      <c r="R16" s="801"/>
      <c r="S16" s="801"/>
      <c r="T16" s="803"/>
      <c r="U16" s="803"/>
    </row>
    <row r="17" ht="16.5" customHeight="1">
      <c r="A17" s="510">
        <v>1.0</v>
      </c>
      <c r="B17" s="464" t="s">
        <v>6129</v>
      </c>
      <c r="C17" s="467"/>
      <c r="D17" s="475"/>
      <c r="E17" s="463" t="s">
        <v>6093</v>
      </c>
      <c r="F17" s="463" t="s">
        <v>1010</v>
      </c>
      <c r="G17" s="475" t="s">
        <v>6113</v>
      </c>
      <c r="H17" s="806"/>
      <c r="I17" s="467"/>
      <c r="J17" s="475" t="s">
        <v>1093</v>
      </c>
      <c r="K17" s="467" t="s">
        <v>148</v>
      </c>
      <c r="L17" s="475"/>
      <c r="M17" s="475" t="s">
        <v>2846</v>
      </c>
      <c r="N17" s="475" t="s">
        <v>6095</v>
      </c>
      <c r="O17" s="467" t="s">
        <v>6130</v>
      </c>
      <c r="P17" s="467" t="s">
        <v>6131</v>
      </c>
      <c r="Q17" s="807">
        <v>0.5</v>
      </c>
      <c r="R17" s="467"/>
      <c r="S17" s="467"/>
      <c r="T17" s="807"/>
      <c r="U17" s="807"/>
    </row>
    <row r="18" ht="16.5" customHeight="1">
      <c r="A18" s="510">
        <v>2.0</v>
      </c>
      <c r="B18" s="464" t="s">
        <v>6132</v>
      </c>
      <c r="C18" s="467"/>
      <c r="D18" s="475"/>
      <c r="E18" s="463" t="s">
        <v>6093</v>
      </c>
      <c r="F18" s="463" t="s">
        <v>1010</v>
      </c>
      <c r="G18" s="475" t="s">
        <v>6113</v>
      </c>
      <c r="H18" s="806"/>
      <c r="I18" s="467"/>
      <c r="J18" s="475" t="s">
        <v>1093</v>
      </c>
      <c r="K18" s="467" t="s">
        <v>148</v>
      </c>
      <c r="L18" s="475"/>
      <c r="M18" s="475" t="s">
        <v>2846</v>
      </c>
      <c r="N18" s="475" t="s">
        <v>6095</v>
      </c>
      <c r="O18" s="467" t="s">
        <v>6133</v>
      </c>
      <c r="P18" s="467" t="s">
        <v>6134</v>
      </c>
      <c r="Q18" s="807">
        <v>0.5</v>
      </c>
      <c r="R18" s="467"/>
      <c r="S18" s="467"/>
      <c r="T18" s="807"/>
      <c r="U18" s="807"/>
    </row>
    <row r="19" ht="16.5" customHeight="1">
      <c r="A19" s="510">
        <v>3.0</v>
      </c>
      <c r="B19" s="464" t="s">
        <v>6135</v>
      </c>
      <c r="C19" s="467"/>
      <c r="D19" s="475"/>
      <c r="E19" s="463" t="s">
        <v>6093</v>
      </c>
      <c r="F19" s="463" t="s">
        <v>1010</v>
      </c>
      <c r="G19" s="475" t="s">
        <v>6113</v>
      </c>
      <c r="H19" s="809"/>
      <c r="I19" s="467"/>
      <c r="J19" s="475" t="s">
        <v>1093</v>
      </c>
      <c r="K19" s="467" t="s">
        <v>148</v>
      </c>
      <c r="L19" s="475"/>
      <c r="M19" s="475" t="s">
        <v>2846</v>
      </c>
      <c r="N19" s="475" t="s">
        <v>6095</v>
      </c>
      <c r="O19" s="467" t="s">
        <v>6136</v>
      </c>
      <c r="P19" s="467" t="s">
        <v>6137</v>
      </c>
      <c r="Q19" s="807">
        <v>0.5</v>
      </c>
      <c r="R19" s="467"/>
      <c r="S19" s="467"/>
      <c r="T19" s="807"/>
      <c r="U19" s="807"/>
    </row>
    <row r="20" ht="16.5" customHeight="1">
      <c r="A20" s="510">
        <v>4.0</v>
      </c>
      <c r="B20" s="464" t="s">
        <v>6138</v>
      </c>
      <c r="C20" s="467"/>
      <c r="D20" s="475"/>
      <c r="E20" s="463" t="s">
        <v>6093</v>
      </c>
      <c r="F20" s="463" t="s">
        <v>1010</v>
      </c>
      <c r="G20" s="475" t="s">
        <v>6113</v>
      </c>
      <c r="H20" s="806"/>
      <c r="I20" s="467"/>
      <c r="J20" s="475" t="s">
        <v>1093</v>
      </c>
      <c r="K20" s="467" t="s">
        <v>148</v>
      </c>
      <c r="L20" s="475"/>
      <c r="M20" s="475" t="s">
        <v>2846</v>
      </c>
      <c r="N20" s="475" t="s">
        <v>6095</v>
      </c>
      <c r="O20" s="467" t="s">
        <v>6139</v>
      </c>
      <c r="P20" s="467" t="s">
        <v>6140</v>
      </c>
      <c r="Q20" s="807">
        <v>0.5</v>
      </c>
      <c r="R20" s="467"/>
      <c r="S20" s="467"/>
      <c r="T20" s="807"/>
      <c r="U20" s="807"/>
    </row>
    <row r="21" ht="16.5" customHeight="1">
      <c r="A21" s="510">
        <v>5.0</v>
      </c>
      <c r="B21" s="464" t="s">
        <v>6141</v>
      </c>
      <c r="C21" s="467"/>
      <c r="D21" s="475"/>
      <c r="E21" s="463" t="s">
        <v>6093</v>
      </c>
      <c r="F21" s="463" t="s">
        <v>1010</v>
      </c>
      <c r="G21" s="475" t="s">
        <v>6113</v>
      </c>
      <c r="H21" s="806"/>
      <c r="I21" s="467"/>
      <c r="J21" s="475" t="s">
        <v>1093</v>
      </c>
      <c r="K21" s="467" t="s">
        <v>148</v>
      </c>
      <c r="L21" s="475"/>
      <c r="M21" s="475" t="s">
        <v>2846</v>
      </c>
      <c r="N21" s="475" t="s">
        <v>6095</v>
      </c>
      <c r="O21" s="467" t="s">
        <v>6142</v>
      </c>
      <c r="P21" s="467" t="s">
        <v>6143</v>
      </c>
      <c r="Q21" s="807">
        <v>0.5</v>
      </c>
      <c r="R21" s="467"/>
      <c r="S21" s="467"/>
      <c r="T21" s="807"/>
      <c r="U21" s="807"/>
    </row>
    <row r="22" ht="16.5" customHeight="1">
      <c r="A22" s="510">
        <v>6.0</v>
      </c>
      <c r="B22" s="464" t="s">
        <v>6144</v>
      </c>
      <c r="C22" s="467"/>
      <c r="D22" s="475"/>
      <c r="E22" s="463" t="s">
        <v>6093</v>
      </c>
      <c r="F22" s="463" t="s">
        <v>1010</v>
      </c>
      <c r="G22" s="475" t="s">
        <v>6113</v>
      </c>
      <c r="H22" s="809"/>
      <c r="I22" s="467"/>
      <c r="J22" s="475" t="s">
        <v>1093</v>
      </c>
      <c r="K22" s="467" t="s">
        <v>148</v>
      </c>
      <c r="L22" s="475"/>
      <c r="M22" s="475" t="s">
        <v>2846</v>
      </c>
      <c r="N22" s="475" t="s">
        <v>6095</v>
      </c>
      <c r="O22" s="467" t="s">
        <v>6145</v>
      </c>
      <c r="P22" s="467" t="s">
        <v>6146</v>
      </c>
      <c r="Q22" s="807">
        <v>0.5</v>
      </c>
      <c r="R22" s="467"/>
      <c r="S22" s="467"/>
      <c r="T22" s="807"/>
      <c r="U22" s="807"/>
    </row>
    <row r="23" ht="16.5" customHeight="1">
      <c r="A23" s="510">
        <v>7.0</v>
      </c>
      <c r="B23" s="464" t="s">
        <v>6147</v>
      </c>
      <c r="C23" s="467"/>
      <c r="D23" s="475"/>
      <c r="E23" s="463" t="s">
        <v>6093</v>
      </c>
      <c r="F23" s="463" t="s">
        <v>1010</v>
      </c>
      <c r="G23" s="475" t="s">
        <v>6113</v>
      </c>
      <c r="H23" s="806"/>
      <c r="I23" s="467"/>
      <c r="J23" s="475" t="s">
        <v>1093</v>
      </c>
      <c r="K23" s="467" t="s">
        <v>148</v>
      </c>
      <c r="L23" s="475"/>
      <c r="M23" s="475" t="s">
        <v>2846</v>
      </c>
      <c r="N23" s="475" t="s">
        <v>6095</v>
      </c>
      <c r="O23" s="467" t="s">
        <v>6148</v>
      </c>
      <c r="P23" s="467" t="s">
        <v>6149</v>
      </c>
      <c r="Q23" s="807">
        <v>0.5</v>
      </c>
      <c r="R23" s="467"/>
      <c r="S23" s="467"/>
      <c r="T23" s="807"/>
      <c r="U23" s="807"/>
    </row>
    <row r="24" ht="16.5" customHeight="1">
      <c r="A24" s="510">
        <v>8.0</v>
      </c>
      <c r="B24" s="464" t="s">
        <v>6150</v>
      </c>
      <c r="C24" s="467"/>
      <c r="D24" s="475"/>
      <c r="E24" s="463" t="s">
        <v>6093</v>
      </c>
      <c r="F24" s="463" t="s">
        <v>1010</v>
      </c>
      <c r="G24" s="475" t="s">
        <v>6113</v>
      </c>
      <c r="H24" s="806"/>
      <c r="I24" s="467"/>
      <c r="J24" s="475" t="s">
        <v>1093</v>
      </c>
      <c r="K24" s="467" t="s">
        <v>148</v>
      </c>
      <c r="L24" s="475"/>
      <c r="M24" s="475" t="s">
        <v>2846</v>
      </c>
      <c r="N24" s="475" t="s">
        <v>6095</v>
      </c>
      <c r="O24" s="467" t="s">
        <v>6151</v>
      </c>
      <c r="P24" s="467" t="s">
        <v>6152</v>
      </c>
      <c r="Q24" s="807">
        <v>0.5</v>
      </c>
      <c r="R24" s="467"/>
      <c r="S24" s="467"/>
      <c r="T24" s="807"/>
      <c r="U24" s="807"/>
    </row>
    <row r="25" ht="16.5" hidden="1" customHeight="1">
      <c r="A25" s="808"/>
      <c r="B25" s="464"/>
      <c r="C25" s="811" t="s">
        <v>4580</v>
      </c>
      <c r="D25" s="475"/>
      <c r="E25" s="475"/>
      <c r="F25" s="475"/>
      <c r="G25" s="475"/>
      <c r="H25" s="806"/>
      <c r="I25" s="467"/>
      <c r="J25" s="475"/>
      <c r="K25" s="467"/>
      <c r="L25" s="475"/>
      <c r="M25" s="475"/>
      <c r="N25" s="475"/>
      <c r="O25" s="467"/>
      <c r="P25" s="467"/>
      <c r="Q25" s="467"/>
      <c r="R25" s="467"/>
      <c r="S25" s="467"/>
      <c r="T25" s="812"/>
      <c r="U25" s="812"/>
    </row>
    <row r="26" ht="16.5" customHeight="1">
      <c r="A26" s="813" t="s">
        <v>2642</v>
      </c>
      <c r="B26" s="814" t="s">
        <v>6153</v>
      </c>
      <c r="C26" s="815">
        <f>COUNTA($B$27:$B$35)</f>
        <v>8</v>
      </c>
      <c r="D26" s="816"/>
      <c r="E26" s="816"/>
      <c r="F26" s="816"/>
      <c r="G26" s="816"/>
      <c r="H26" s="816"/>
      <c r="I26" s="816"/>
      <c r="J26" s="816"/>
      <c r="K26" s="816"/>
      <c r="L26" s="816"/>
      <c r="M26" s="816"/>
      <c r="N26" s="816"/>
      <c r="O26" s="816"/>
      <c r="P26" s="816"/>
      <c r="Q26" s="816"/>
      <c r="R26" s="816"/>
      <c r="S26" s="816"/>
      <c r="T26" s="817"/>
      <c r="U26" s="817"/>
    </row>
    <row r="27" ht="16.5" customHeight="1">
      <c r="A27" s="510">
        <v>1.0</v>
      </c>
      <c r="B27" s="464" t="s">
        <v>6154</v>
      </c>
      <c r="C27" s="467"/>
      <c r="D27" s="475"/>
      <c r="E27" s="463" t="s">
        <v>6093</v>
      </c>
      <c r="F27" s="463" t="s">
        <v>1120</v>
      </c>
      <c r="G27" s="463" t="s">
        <v>6113</v>
      </c>
      <c r="H27" s="818"/>
      <c r="I27" s="467"/>
      <c r="J27" s="475" t="s">
        <v>1093</v>
      </c>
      <c r="K27" s="467" t="s">
        <v>148</v>
      </c>
      <c r="L27" s="475"/>
      <c r="M27" s="475" t="s">
        <v>2846</v>
      </c>
      <c r="N27" s="475" t="s">
        <v>6095</v>
      </c>
      <c r="O27" s="467" t="s">
        <v>6155</v>
      </c>
      <c r="P27" s="467" t="s">
        <v>6156</v>
      </c>
      <c r="Q27" s="807">
        <v>0.5</v>
      </c>
      <c r="R27" s="467"/>
      <c r="S27" s="467"/>
      <c r="T27" s="807"/>
      <c r="U27" s="807"/>
    </row>
    <row r="28" ht="16.5" customHeight="1">
      <c r="A28" s="808">
        <f t="shared" ref="A28:A34" si="1">A27+1</f>
        <v>2</v>
      </c>
      <c r="B28" s="464" t="s">
        <v>6157</v>
      </c>
      <c r="C28" s="467"/>
      <c r="D28" s="475"/>
      <c r="E28" s="463" t="s">
        <v>6093</v>
      </c>
      <c r="F28" s="463" t="s">
        <v>1120</v>
      </c>
      <c r="G28" s="463" t="s">
        <v>6113</v>
      </c>
      <c r="H28" s="810"/>
      <c r="I28" s="467"/>
      <c r="J28" s="475" t="s">
        <v>1093</v>
      </c>
      <c r="K28" s="467" t="s">
        <v>148</v>
      </c>
      <c r="L28" s="475"/>
      <c r="M28" s="475" t="s">
        <v>2846</v>
      </c>
      <c r="N28" s="475" t="s">
        <v>6095</v>
      </c>
      <c r="O28" s="467" t="s">
        <v>6158</v>
      </c>
      <c r="P28" s="467" t="s">
        <v>6159</v>
      </c>
      <c r="Q28" s="807">
        <v>0.5</v>
      </c>
      <c r="R28" s="467"/>
      <c r="S28" s="467"/>
      <c r="T28" s="807"/>
      <c r="U28" s="807"/>
    </row>
    <row r="29" ht="16.5" customHeight="1">
      <c r="A29" s="808">
        <f t="shared" si="1"/>
        <v>3</v>
      </c>
      <c r="B29" s="464" t="s">
        <v>6160</v>
      </c>
      <c r="C29" s="467"/>
      <c r="D29" s="475"/>
      <c r="E29" s="463" t="s">
        <v>6093</v>
      </c>
      <c r="F29" s="463" t="s">
        <v>1120</v>
      </c>
      <c r="G29" s="463" t="s">
        <v>6113</v>
      </c>
      <c r="H29" s="810"/>
      <c r="I29" s="467"/>
      <c r="J29" s="475" t="s">
        <v>1093</v>
      </c>
      <c r="K29" s="467" t="s">
        <v>148</v>
      </c>
      <c r="L29" s="475"/>
      <c r="M29" s="475" t="s">
        <v>2846</v>
      </c>
      <c r="N29" s="475" t="s">
        <v>6095</v>
      </c>
      <c r="O29" s="467" t="s">
        <v>6161</v>
      </c>
      <c r="P29" s="467" t="s">
        <v>6162</v>
      </c>
      <c r="Q29" s="807">
        <v>0.5</v>
      </c>
      <c r="R29" s="467"/>
      <c r="S29" s="467"/>
      <c r="T29" s="807"/>
      <c r="U29" s="807"/>
    </row>
    <row r="30" ht="16.5" customHeight="1">
      <c r="A30" s="808">
        <f t="shared" si="1"/>
        <v>4</v>
      </c>
      <c r="B30" s="464" t="s">
        <v>6163</v>
      </c>
      <c r="C30" s="467"/>
      <c r="D30" s="475"/>
      <c r="E30" s="463" t="s">
        <v>6093</v>
      </c>
      <c r="F30" s="463" t="s">
        <v>1120</v>
      </c>
      <c r="G30" s="463" t="s">
        <v>6113</v>
      </c>
      <c r="H30" s="818"/>
      <c r="I30" s="467"/>
      <c r="J30" s="475" t="s">
        <v>1093</v>
      </c>
      <c r="K30" s="467" t="s">
        <v>148</v>
      </c>
      <c r="L30" s="475"/>
      <c r="M30" s="475" t="s">
        <v>2846</v>
      </c>
      <c r="N30" s="475" t="s">
        <v>6095</v>
      </c>
      <c r="O30" s="467" t="s">
        <v>6164</v>
      </c>
      <c r="P30" s="467" t="s">
        <v>6165</v>
      </c>
      <c r="Q30" s="807">
        <v>0.5</v>
      </c>
      <c r="R30" s="467"/>
      <c r="S30" s="467"/>
      <c r="T30" s="807"/>
      <c r="U30" s="807"/>
    </row>
    <row r="31" ht="16.5" customHeight="1">
      <c r="A31" s="808">
        <f t="shared" si="1"/>
        <v>5</v>
      </c>
      <c r="B31" s="464" t="s">
        <v>6166</v>
      </c>
      <c r="C31" s="467"/>
      <c r="D31" s="475"/>
      <c r="E31" s="463" t="s">
        <v>6093</v>
      </c>
      <c r="F31" s="463" t="s">
        <v>1120</v>
      </c>
      <c r="G31" s="463" t="s">
        <v>6113</v>
      </c>
      <c r="H31" s="810"/>
      <c r="I31" s="467"/>
      <c r="J31" s="475" t="s">
        <v>1093</v>
      </c>
      <c r="K31" s="467" t="s">
        <v>148</v>
      </c>
      <c r="L31" s="475"/>
      <c r="M31" s="475" t="s">
        <v>2846</v>
      </c>
      <c r="N31" s="475" t="s">
        <v>6095</v>
      </c>
      <c r="O31" s="467" t="s">
        <v>6167</v>
      </c>
      <c r="P31" s="467" t="s">
        <v>6168</v>
      </c>
      <c r="Q31" s="807">
        <v>0.5</v>
      </c>
      <c r="R31" s="467"/>
      <c r="S31" s="467"/>
      <c r="T31" s="807"/>
      <c r="U31" s="807"/>
    </row>
    <row r="32" ht="16.5" customHeight="1">
      <c r="A32" s="808">
        <f t="shared" si="1"/>
        <v>6</v>
      </c>
      <c r="B32" s="464" t="s">
        <v>6169</v>
      </c>
      <c r="C32" s="467"/>
      <c r="D32" s="475"/>
      <c r="E32" s="463" t="s">
        <v>6093</v>
      </c>
      <c r="F32" s="463" t="s">
        <v>1120</v>
      </c>
      <c r="G32" s="463" t="s">
        <v>6113</v>
      </c>
      <c r="H32" s="810"/>
      <c r="I32" s="467"/>
      <c r="J32" s="475" t="s">
        <v>1093</v>
      </c>
      <c r="K32" s="467" t="s">
        <v>148</v>
      </c>
      <c r="L32" s="475"/>
      <c r="M32" s="475" t="s">
        <v>2846</v>
      </c>
      <c r="N32" s="475" t="s">
        <v>6095</v>
      </c>
      <c r="O32" s="467" t="s">
        <v>6170</v>
      </c>
      <c r="P32" s="467" t="s">
        <v>6171</v>
      </c>
      <c r="Q32" s="807">
        <v>0.5</v>
      </c>
      <c r="R32" s="467"/>
      <c r="S32" s="467"/>
      <c r="T32" s="807"/>
      <c r="U32" s="807"/>
    </row>
    <row r="33" ht="16.5" customHeight="1">
      <c r="A33" s="808">
        <f t="shared" si="1"/>
        <v>7</v>
      </c>
      <c r="B33" s="464" t="s">
        <v>6172</v>
      </c>
      <c r="C33" s="467"/>
      <c r="D33" s="475"/>
      <c r="E33" s="463" t="s">
        <v>6093</v>
      </c>
      <c r="F33" s="463" t="s">
        <v>1120</v>
      </c>
      <c r="G33" s="463" t="s">
        <v>6113</v>
      </c>
      <c r="H33" s="810"/>
      <c r="I33" s="467"/>
      <c r="J33" s="475" t="s">
        <v>1093</v>
      </c>
      <c r="K33" s="467" t="s">
        <v>148</v>
      </c>
      <c r="L33" s="475"/>
      <c r="M33" s="475" t="s">
        <v>2846</v>
      </c>
      <c r="N33" s="475" t="s">
        <v>6095</v>
      </c>
      <c r="O33" s="467" t="s">
        <v>6173</v>
      </c>
      <c r="P33" s="467" t="s">
        <v>6174</v>
      </c>
      <c r="Q33" s="807">
        <v>0.5</v>
      </c>
      <c r="R33" s="467"/>
      <c r="S33" s="467"/>
      <c r="T33" s="807"/>
      <c r="U33" s="807"/>
    </row>
    <row r="34" ht="16.5" customHeight="1">
      <c r="A34" s="808">
        <f t="shared" si="1"/>
        <v>8</v>
      </c>
      <c r="B34" s="464" t="s">
        <v>6175</v>
      </c>
      <c r="C34" s="464" t="s">
        <v>6176</v>
      </c>
      <c r="D34" s="463" t="s">
        <v>6177</v>
      </c>
      <c r="E34" s="463" t="s">
        <v>6093</v>
      </c>
      <c r="F34" s="463" t="s">
        <v>1120</v>
      </c>
      <c r="G34" s="463" t="s">
        <v>6178</v>
      </c>
      <c r="H34" s="810"/>
      <c r="I34" s="467"/>
      <c r="J34" s="475" t="s">
        <v>1093</v>
      </c>
      <c r="K34" s="467" t="s">
        <v>148</v>
      </c>
      <c r="L34" s="475"/>
      <c r="M34" s="475" t="s">
        <v>2846</v>
      </c>
      <c r="N34" s="475" t="s">
        <v>6095</v>
      </c>
      <c r="O34" s="467" t="s">
        <v>6179</v>
      </c>
      <c r="P34" s="467" t="s">
        <v>6180</v>
      </c>
      <c r="Q34" s="807">
        <v>0.5</v>
      </c>
      <c r="R34" s="467"/>
      <c r="S34" s="467"/>
      <c r="T34" s="807"/>
      <c r="U34" s="807"/>
    </row>
    <row r="35" ht="19.5" hidden="1" customHeight="1">
      <c r="A35" s="796"/>
      <c r="B35" s="797"/>
      <c r="C35" s="811" t="s">
        <v>4580</v>
      </c>
      <c r="D35" s="799"/>
      <c r="E35" s="799"/>
      <c r="F35" s="799"/>
      <c r="G35" s="799"/>
      <c r="H35" s="799"/>
      <c r="I35" s="801"/>
      <c r="J35" s="799"/>
      <c r="K35" s="801"/>
      <c r="L35" s="799"/>
      <c r="M35" s="799"/>
      <c r="N35" s="799"/>
      <c r="O35" s="801"/>
      <c r="P35" s="801"/>
      <c r="Q35" s="801"/>
      <c r="R35" s="801"/>
      <c r="S35" s="801"/>
      <c r="T35" s="803"/>
      <c r="U35" s="803"/>
    </row>
    <row r="36" ht="16.5" customHeight="1">
      <c r="A36" s="813" t="s">
        <v>4476</v>
      </c>
      <c r="B36" s="814" t="s">
        <v>49</v>
      </c>
      <c r="C36" s="815">
        <f>counta($B$37:$B$38)</f>
        <v>0</v>
      </c>
      <c r="D36" s="816"/>
      <c r="E36" s="816"/>
      <c r="F36" s="816"/>
      <c r="G36" s="816"/>
      <c r="H36" s="816"/>
      <c r="I36" s="816"/>
      <c r="J36" s="816"/>
      <c r="K36" s="816"/>
      <c r="L36" s="816"/>
      <c r="M36" s="816"/>
      <c r="N36" s="816"/>
      <c r="O36" s="816"/>
      <c r="P36" s="816"/>
      <c r="Q36" s="816"/>
      <c r="R36" s="816"/>
      <c r="S36" s="816"/>
      <c r="T36" s="817"/>
      <c r="U36" s="817"/>
    </row>
    <row r="37" ht="19.5" customHeight="1">
      <c r="A37" s="819"/>
      <c r="B37" s="820"/>
      <c r="C37" s="821"/>
      <c r="D37" s="88"/>
      <c r="E37" s="88"/>
      <c r="F37" s="88"/>
      <c r="G37" s="88"/>
      <c r="H37" s="88"/>
      <c r="I37" s="471"/>
      <c r="J37" s="88"/>
      <c r="K37" s="471"/>
      <c r="L37" s="88"/>
      <c r="M37" s="88"/>
      <c r="N37" s="88"/>
      <c r="O37" s="471"/>
      <c r="P37" s="471"/>
      <c r="Q37" s="471"/>
      <c r="R37" s="471"/>
      <c r="S37" s="471"/>
      <c r="T37" s="822"/>
      <c r="U37" s="822"/>
    </row>
    <row r="38" ht="19.5" hidden="1" customHeight="1">
      <c r="A38" s="819"/>
      <c r="B38" s="820"/>
      <c r="C38" s="823" t="s">
        <v>2436</v>
      </c>
      <c r="D38" s="88"/>
      <c r="E38" s="88"/>
      <c r="F38" s="88"/>
      <c r="G38" s="88"/>
      <c r="H38" s="88"/>
      <c r="I38" s="471"/>
      <c r="J38" s="88"/>
      <c r="K38" s="471"/>
      <c r="L38" s="88"/>
      <c r="M38" s="88"/>
      <c r="N38" s="88"/>
      <c r="O38" s="471"/>
      <c r="P38" s="471"/>
      <c r="Q38" s="471"/>
      <c r="R38" s="471"/>
      <c r="S38" s="471"/>
      <c r="T38" s="822"/>
      <c r="U38" s="822"/>
    </row>
    <row r="39" ht="19.5" customHeight="1">
      <c r="A39" s="796" t="s">
        <v>6181</v>
      </c>
      <c r="B39" s="797" t="s">
        <v>6182</v>
      </c>
      <c r="C39" s="798">
        <f>SUM($C$40,$C$54,$C$70)</f>
        <v>29</v>
      </c>
      <c r="D39" s="799"/>
      <c r="E39" s="799"/>
      <c r="F39" s="799"/>
      <c r="G39" s="799"/>
      <c r="H39" s="799"/>
      <c r="I39" s="801"/>
      <c r="J39" s="799"/>
      <c r="K39" s="801"/>
      <c r="L39" s="799"/>
      <c r="M39" s="799"/>
      <c r="N39" s="799"/>
      <c r="O39" s="801"/>
      <c r="P39" s="801"/>
      <c r="Q39" s="801"/>
      <c r="R39" s="801"/>
      <c r="S39" s="801"/>
      <c r="T39" s="803"/>
      <c r="U39" s="803"/>
    </row>
    <row r="40" ht="19.5" customHeight="1">
      <c r="A40" s="796" t="s">
        <v>2947</v>
      </c>
      <c r="B40" s="804" t="s">
        <v>6183</v>
      </c>
      <c r="C40" s="798">
        <f>COUNTA($B$41:$B$53)</f>
        <v>11</v>
      </c>
      <c r="D40" s="799"/>
      <c r="E40" s="799"/>
      <c r="F40" s="799"/>
      <c r="G40" s="799"/>
      <c r="H40" s="799"/>
      <c r="I40" s="801"/>
      <c r="J40" s="799"/>
      <c r="K40" s="801"/>
      <c r="L40" s="799"/>
      <c r="M40" s="799"/>
      <c r="N40" s="799"/>
      <c r="O40" s="801"/>
      <c r="P40" s="801"/>
      <c r="Q40" s="801"/>
      <c r="R40" s="801"/>
      <c r="S40" s="801"/>
      <c r="T40" s="803"/>
      <c r="U40" s="803"/>
    </row>
    <row r="41" ht="16.5" customHeight="1">
      <c r="A41" s="510">
        <v>1.0</v>
      </c>
      <c r="B41" s="464" t="s">
        <v>6184</v>
      </c>
      <c r="C41" s="467" t="s">
        <v>6185</v>
      </c>
      <c r="D41" s="475"/>
      <c r="E41" s="463" t="s">
        <v>6093</v>
      </c>
      <c r="F41" s="463" t="s">
        <v>1253</v>
      </c>
      <c r="G41" s="463" t="s">
        <v>6113</v>
      </c>
      <c r="H41" s="809"/>
      <c r="I41" s="467"/>
      <c r="J41" s="475" t="s">
        <v>1093</v>
      </c>
      <c r="K41" s="467" t="s">
        <v>148</v>
      </c>
      <c r="L41" s="475"/>
      <c r="M41" s="475" t="s">
        <v>2846</v>
      </c>
      <c r="N41" s="475" t="s">
        <v>6095</v>
      </c>
      <c r="O41" s="467" t="s">
        <v>6186</v>
      </c>
      <c r="P41" s="467" t="s">
        <v>6188</v>
      </c>
      <c r="Q41" s="807">
        <v>0.5</v>
      </c>
      <c r="R41" s="467"/>
      <c r="S41" s="467"/>
      <c r="T41" s="807"/>
      <c r="U41" s="807"/>
    </row>
    <row r="42" ht="16.5" customHeight="1">
      <c r="A42" s="808">
        <f>A41+1</f>
        <v>2</v>
      </c>
      <c r="B42" s="464" t="s">
        <v>6189</v>
      </c>
      <c r="C42" s="467" t="s">
        <v>6190</v>
      </c>
      <c r="D42" s="475"/>
      <c r="E42" s="463" t="s">
        <v>6093</v>
      </c>
      <c r="F42" s="463" t="s">
        <v>1253</v>
      </c>
      <c r="G42" s="463" t="s">
        <v>6113</v>
      </c>
      <c r="H42" s="809"/>
      <c r="I42" s="468"/>
      <c r="J42" s="475" t="s">
        <v>1093</v>
      </c>
      <c r="K42" s="467" t="s">
        <v>148</v>
      </c>
      <c r="L42" s="475"/>
      <c r="M42" s="475" t="s">
        <v>2846</v>
      </c>
      <c r="N42" s="475" t="s">
        <v>6095</v>
      </c>
      <c r="O42" s="489" t="s">
        <v>6191</v>
      </c>
      <c r="P42" s="467" t="s">
        <v>6192</v>
      </c>
      <c r="Q42" s="807">
        <v>0.5</v>
      </c>
      <c r="R42" s="467"/>
      <c r="S42" s="467"/>
      <c r="T42" s="807"/>
      <c r="U42" s="807"/>
    </row>
    <row r="43" ht="16.5" customHeight="1">
      <c r="A43" s="510">
        <v>3.0</v>
      </c>
      <c r="B43" s="464" t="s">
        <v>6193</v>
      </c>
      <c r="C43" s="486" t="s">
        <v>6193</v>
      </c>
      <c r="D43" s="490"/>
      <c r="E43" s="488" t="s">
        <v>6093</v>
      </c>
      <c r="F43" s="463" t="s">
        <v>1253</v>
      </c>
      <c r="G43" s="488" t="s">
        <v>6113</v>
      </c>
      <c r="H43" s="806"/>
      <c r="I43" s="468" t="s">
        <v>6194</v>
      </c>
      <c r="J43" s="490" t="s">
        <v>1093</v>
      </c>
      <c r="K43" s="489" t="s">
        <v>148</v>
      </c>
      <c r="L43" s="490"/>
      <c r="M43" s="490" t="s">
        <v>2846</v>
      </c>
      <c r="N43" s="490" t="s">
        <v>6095</v>
      </c>
      <c r="O43" s="489" t="s">
        <v>6195</v>
      </c>
      <c r="P43" s="489" t="s">
        <v>6196</v>
      </c>
      <c r="Q43" s="807">
        <v>0.5</v>
      </c>
      <c r="R43" s="489"/>
      <c r="S43" s="489"/>
      <c r="T43" s="807"/>
      <c r="U43" s="807"/>
    </row>
    <row r="44" ht="16.5" customHeight="1">
      <c r="A44" s="808">
        <f>A43+1</f>
        <v>4</v>
      </c>
      <c r="B44" s="464" t="s">
        <v>6197</v>
      </c>
      <c r="C44" s="467" t="s">
        <v>6198</v>
      </c>
      <c r="D44" s="475"/>
      <c r="E44" s="463" t="s">
        <v>6093</v>
      </c>
      <c r="F44" s="463" t="s">
        <v>1253</v>
      </c>
      <c r="G44" s="475" t="s">
        <v>6113</v>
      </c>
      <c r="H44" s="806"/>
      <c r="I44" s="468" t="s">
        <v>6194</v>
      </c>
      <c r="J44" s="475" t="s">
        <v>1093</v>
      </c>
      <c r="K44" s="467" t="s">
        <v>148</v>
      </c>
      <c r="L44" s="475"/>
      <c r="M44" s="475" t="s">
        <v>2846</v>
      </c>
      <c r="N44" s="475" t="s">
        <v>6095</v>
      </c>
      <c r="O44" s="467" t="s">
        <v>6199</v>
      </c>
      <c r="P44" s="467" t="s">
        <v>6200</v>
      </c>
      <c r="Q44" s="807">
        <v>0.5</v>
      </c>
      <c r="R44" s="467"/>
      <c r="S44" s="467"/>
      <c r="T44" s="807"/>
      <c r="U44" s="807"/>
    </row>
    <row r="45" ht="16.5" customHeight="1">
      <c r="A45" s="510">
        <v>5.0</v>
      </c>
      <c r="B45" s="464" t="s">
        <v>6201</v>
      </c>
      <c r="C45" s="486" t="s">
        <v>6202</v>
      </c>
      <c r="D45" s="490"/>
      <c r="E45" s="488" t="s">
        <v>6093</v>
      </c>
      <c r="F45" s="463" t="s">
        <v>1253</v>
      </c>
      <c r="G45" s="488" t="s">
        <v>6113</v>
      </c>
      <c r="H45" s="806"/>
      <c r="I45" s="468" t="s">
        <v>6194</v>
      </c>
      <c r="J45" s="490" t="s">
        <v>1093</v>
      </c>
      <c r="K45" s="489" t="s">
        <v>148</v>
      </c>
      <c r="L45" s="490"/>
      <c r="M45" s="490" t="s">
        <v>2846</v>
      </c>
      <c r="N45" s="490" t="s">
        <v>6095</v>
      </c>
      <c r="O45" s="489" t="s">
        <v>6203</v>
      </c>
      <c r="P45" s="489" t="s">
        <v>6204</v>
      </c>
      <c r="Q45" s="807">
        <v>0.5</v>
      </c>
      <c r="R45" s="489"/>
      <c r="S45" s="489"/>
      <c r="T45" s="807"/>
      <c r="U45" s="807"/>
    </row>
    <row r="46" ht="16.5" customHeight="1">
      <c r="A46" s="808">
        <f>A45+1</f>
        <v>6</v>
      </c>
      <c r="B46" s="464" t="s">
        <v>6205</v>
      </c>
      <c r="C46" s="467" t="s">
        <v>6206</v>
      </c>
      <c r="D46" s="475"/>
      <c r="E46" s="463" t="s">
        <v>6093</v>
      </c>
      <c r="F46" s="463" t="s">
        <v>1253</v>
      </c>
      <c r="G46" s="475" t="s">
        <v>6113</v>
      </c>
      <c r="H46" s="806"/>
      <c r="I46" s="468" t="s">
        <v>6194</v>
      </c>
      <c r="J46" s="475" t="s">
        <v>1093</v>
      </c>
      <c r="K46" s="467" t="s">
        <v>148</v>
      </c>
      <c r="L46" s="475"/>
      <c r="M46" s="475" t="s">
        <v>2846</v>
      </c>
      <c r="N46" s="475" t="s">
        <v>6095</v>
      </c>
      <c r="O46" s="467" t="s">
        <v>6207</v>
      </c>
      <c r="P46" s="467" t="s">
        <v>6208</v>
      </c>
      <c r="Q46" s="807">
        <v>0.5</v>
      </c>
      <c r="R46" s="467"/>
      <c r="S46" s="467"/>
      <c r="T46" s="807"/>
      <c r="U46" s="807"/>
    </row>
    <row r="47" ht="16.5" customHeight="1">
      <c r="A47" s="510">
        <v>7.0</v>
      </c>
      <c r="B47" s="464" t="s">
        <v>6209</v>
      </c>
      <c r="C47" s="467" t="s">
        <v>6210</v>
      </c>
      <c r="D47" s="475"/>
      <c r="E47" s="463" t="s">
        <v>6093</v>
      </c>
      <c r="F47" s="463" t="s">
        <v>1253</v>
      </c>
      <c r="G47" s="475" t="s">
        <v>6113</v>
      </c>
      <c r="H47" s="809"/>
      <c r="I47" s="468" t="s">
        <v>6211</v>
      </c>
      <c r="J47" s="475" t="s">
        <v>1093</v>
      </c>
      <c r="K47" s="467" t="s">
        <v>148</v>
      </c>
      <c r="L47" s="475"/>
      <c r="M47" s="475" t="s">
        <v>2846</v>
      </c>
      <c r="N47" s="475" t="s">
        <v>6095</v>
      </c>
      <c r="O47" s="467" t="s">
        <v>6212</v>
      </c>
      <c r="P47" s="467" t="s">
        <v>6213</v>
      </c>
      <c r="Q47" s="807">
        <v>0.5</v>
      </c>
      <c r="R47" s="467"/>
      <c r="S47" s="467"/>
      <c r="T47" s="807"/>
      <c r="U47" s="807"/>
    </row>
    <row r="48" ht="16.5" customHeight="1">
      <c r="A48" s="808">
        <f>A47+1</f>
        <v>8</v>
      </c>
      <c r="B48" s="464" t="s">
        <v>6214</v>
      </c>
      <c r="C48" s="464" t="s">
        <v>6215</v>
      </c>
      <c r="D48" s="475"/>
      <c r="E48" s="463" t="s">
        <v>6093</v>
      </c>
      <c r="F48" s="463" t="s">
        <v>1253</v>
      </c>
      <c r="G48" s="475" t="s">
        <v>6113</v>
      </c>
      <c r="H48" s="806"/>
      <c r="I48" s="468" t="s">
        <v>6211</v>
      </c>
      <c r="J48" s="475" t="s">
        <v>1093</v>
      </c>
      <c r="K48" s="467" t="s">
        <v>148</v>
      </c>
      <c r="L48" s="475"/>
      <c r="M48" s="475" t="s">
        <v>2846</v>
      </c>
      <c r="N48" s="475" t="s">
        <v>6095</v>
      </c>
      <c r="O48" s="467" t="s">
        <v>6216</v>
      </c>
      <c r="P48" s="467" t="s">
        <v>6217</v>
      </c>
      <c r="Q48" s="807">
        <v>0.5</v>
      </c>
      <c r="R48" s="467"/>
      <c r="S48" s="467"/>
    </row>
    <row r="49" ht="16.5" customHeight="1">
      <c r="A49" s="808">
        <v>9.0</v>
      </c>
      <c r="B49" s="464" t="s">
        <v>6218</v>
      </c>
      <c r="C49" s="467" t="s">
        <v>6219</v>
      </c>
      <c r="D49" s="475"/>
      <c r="E49" s="463" t="s">
        <v>6093</v>
      </c>
      <c r="F49" s="463" t="s">
        <v>1253</v>
      </c>
      <c r="G49" s="475" t="s">
        <v>6125</v>
      </c>
      <c r="H49" s="806"/>
      <c r="I49" s="468" t="s">
        <v>6220</v>
      </c>
      <c r="J49" s="475" t="s">
        <v>1093</v>
      </c>
      <c r="K49" s="467" t="s">
        <v>148</v>
      </c>
      <c r="L49" s="475"/>
      <c r="M49" s="475" t="s">
        <v>2846</v>
      </c>
      <c r="N49" s="475" t="s">
        <v>6095</v>
      </c>
      <c r="O49" s="467" t="s">
        <v>6221</v>
      </c>
      <c r="P49" s="467" t="s">
        <v>6222</v>
      </c>
      <c r="Q49" s="807">
        <v>0.5</v>
      </c>
      <c r="R49" s="467"/>
      <c r="S49" s="467"/>
      <c r="T49" s="807"/>
      <c r="U49" s="807"/>
    </row>
    <row r="50" ht="16.5" customHeight="1">
      <c r="A50" s="808">
        <f>A49+1</f>
        <v>10</v>
      </c>
      <c r="B50" s="464" t="s">
        <v>6223</v>
      </c>
      <c r="C50" s="467" t="s">
        <v>6224</v>
      </c>
      <c r="D50" s="475"/>
      <c r="E50" s="463" t="s">
        <v>6093</v>
      </c>
      <c r="F50" s="463" t="s">
        <v>1253</v>
      </c>
      <c r="G50" s="475" t="s">
        <v>6125</v>
      </c>
      <c r="H50" s="806"/>
      <c r="I50" s="468" t="s">
        <v>6220</v>
      </c>
      <c r="J50" s="475" t="s">
        <v>1093</v>
      </c>
      <c r="K50" s="467" t="s">
        <v>148</v>
      </c>
      <c r="L50" s="475"/>
      <c r="M50" s="475" t="s">
        <v>2846</v>
      </c>
      <c r="N50" s="475" t="s">
        <v>6095</v>
      </c>
      <c r="O50" s="467" t="s">
        <v>6225</v>
      </c>
      <c r="P50" s="467" t="s">
        <v>6226</v>
      </c>
      <c r="Q50" s="807">
        <v>0.5</v>
      </c>
      <c r="R50" s="467"/>
      <c r="S50" s="467"/>
      <c r="T50" s="807"/>
      <c r="U50" s="807"/>
    </row>
    <row r="51" ht="16.5" customHeight="1">
      <c r="A51" s="808">
        <v>11.0</v>
      </c>
      <c r="B51" s="464" t="s">
        <v>6227</v>
      </c>
      <c r="C51" s="467" t="s">
        <v>6228</v>
      </c>
      <c r="D51" s="475"/>
      <c r="E51" s="463" t="s">
        <v>6093</v>
      </c>
      <c r="F51" s="463" t="s">
        <v>1253</v>
      </c>
      <c r="G51" s="475" t="s">
        <v>6125</v>
      </c>
      <c r="H51" s="806"/>
      <c r="I51" s="468" t="s">
        <v>6220</v>
      </c>
      <c r="J51" s="475" t="s">
        <v>1093</v>
      </c>
      <c r="K51" s="467" t="s">
        <v>148</v>
      </c>
      <c r="L51" s="475"/>
      <c r="M51" s="475" t="s">
        <v>2846</v>
      </c>
      <c r="N51" s="475" t="s">
        <v>6095</v>
      </c>
      <c r="O51" s="467" t="s">
        <v>6229</v>
      </c>
      <c r="P51" s="467" t="s">
        <v>6230</v>
      </c>
      <c r="Q51" s="807">
        <v>0.5</v>
      </c>
      <c r="R51" s="467"/>
      <c r="S51" s="467"/>
      <c r="T51" s="807"/>
      <c r="U51" s="807"/>
    </row>
    <row r="52" ht="16.5" customHeight="1">
      <c r="A52" s="510"/>
      <c r="B52" s="486"/>
      <c r="C52" s="486"/>
      <c r="D52" s="169"/>
      <c r="E52" s="490"/>
      <c r="F52" s="488"/>
      <c r="G52" s="488"/>
      <c r="H52" s="824"/>
      <c r="I52" s="825"/>
      <c r="J52" s="490"/>
      <c r="K52" s="489"/>
      <c r="L52" s="490"/>
      <c r="M52" s="490"/>
      <c r="N52" s="490"/>
      <c r="O52" s="489"/>
      <c r="P52" s="489"/>
      <c r="Q52" s="489"/>
      <c r="R52" s="489"/>
      <c r="S52" s="489"/>
      <c r="T52" s="826"/>
      <c r="U52" s="826"/>
    </row>
    <row r="53" ht="16.5" customHeight="1">
      <c r="A53" s="510"/>
      <c r="B53" s="486"/>
      <c r="C53" s="486" t="s">
        <v>4580</v>
      </c>
      <c r="D53" s="169"/>
      <c r="E53" s="490"/>
      <c r="F53" s="488"/>
      <c r="G53" s="488"/>
      <c r="H53" s="824"/>
      <c r="I53" s="825"/>
      <c r="J53" s="490"/>
      <c r="K53" s="489"/>
      <c r="L53" s="490"/>
      <c r="M53" s="490"/>
      <c r="N53" s="490"/>
      <c r="O53" s="489"/>
      <c r="P53" s="489"/>
      <c r="Q53" s="489"/>
      <c r="R53" s="489"/>
      <c r="S53" s="489"/>
      <c r="T53" s="826"/>
      <c r="U53" s="826"/>
    </row>
    <row r="54" ht="19.5" customHeight="1">
      <c r="A54" s="796" t="s">
        <v>2947</v>
      </c>
      <c r="B54" s="804" t="s">
        <v>6231</v>
      </c>
      <c r="C54" s="798">
        <f>COUNTA($B$55:$B$69)</f>
        <v>14</v>
      </c>
      <c r="D54" s="799"/>
      <c r="E54" s="799"/>
      <c r="F54" s="799"/>
      <c r="G54" s="799"/>
      <c r="H54" s="799"/>
      <c r="I54" s="801"/>
      <c r="J54" s="799"/>
      <c r="K54" s="801"/>
      <c r="L54" s="799"/>
      <c r="M54" s="799"/>
      <c r="N54" s="799"/>
      <c r="O54" s="801"/>
      <c r="P54" s="801"/>
      <c r="Q54" s="801"/>
      <c r="R54" s="801"/>
      <c r="S54" s="801"/>
      <c r="T54" s="803"/>
      <c r="U54" s="803"/>
    </row>
    <row r="55" ht="16.5" customHeight="1">
      <c r="A55" s="510">
        <v>1.0</v>
      </c>
      <c r="B55" s="486" t="s">
        <v>6232</v>
      </c>
      <c r="C55" s="486" t="s">
        <v>6233</v>
      </c>
      <c r="D55" s="169"/>
      <c r="E55" s="488" t="s">
        <v>6093</v>
      </c>
      <c r="F55" s="488" t="s">
        <v>1389</v>
      </c>
      <c r="G55" s="488" t="s">
        <v>6113</v>
      </c>
      <c r="H55" s="824"/>
      <c r="I55" s="827" t="s">
        <v>6234</v>
      </c>
      <c r="J55" s="490" t="s">
        <v>1093</v>
      </c>
      <c r="K55" s="489" t="s">
        <v>148</v>
      </c>
      <c r="L55" s="490"/>
      <c r="M55" s="490" t="s">
        <v>2846</v>
      </c>
      <c r="N55" s="490" t="s">
        <v>6095</v>
      </c>
      <c r="O55" s="489" t="s">
        <v>6235</v>
      </c>
      <c r="P55" s="489" t="s">
        <v>6236</v>
      </c>
      <c r="Q55" s="807">
        <v>0.5</v>
      </c>
      <c r="R55" s="489"/>
      <c r="S55" s="489"/>
      <c r="T55" s="807"/>
      <c r="U55" s="807"/>
    </row>
    <row r="56" ht="16.5" customHeight="1">
      <c r="A56" s="808">
        <f t="shared" ref="A56:A68" si="2">A55+1</f>
        <v>2</v>
      </c>
      <c r="B56" s="486" t="s">
        <v>6237</v>
      </c>
      <c r="C56" s="486" t="s">
        <v>6197</v>
      </c>
      <c r="D56" s="490"/>
      <c r="E56" s="488" t="s">
        <v>6093</v>
      </c>
      <c r="F56" s="488" t="s">
        <v>1389</v>
      </c>
      <c r="G56" s="488" t="s">
        <v>6113</v>
      </c>
      <c r="H56" s="828"/>
      <c r="I56" s="827" t="s">
        <v>6234</v>
      </c>
      <c r="J56" s="490" t="s">
        <v>1093</v>
      </c>
      <c r="K56" s="489" t="s">
        <v>148</v>
      </c>
      <c r="L56" s="490"/>
      <c r="M56" s="490" t="s">
        <v>2846</v>
      </c>
      <c r="N56" s="490" t="s">
        <v>6095</v>
      </c>
      <c r="O56" s="489" t="s">
        <v>6238</v>
      </c>
      <c r="P56" s="489" t="s">
        <v>6239</v>
      </c>
      <c r="Q56" s="807">
        <v>0.5</v>
      </c>
      <c r="R56" s="489"/>
      <c r="S56" s="489"/>
      <c r="T56" s="807"/>
      <c r="U56" s="807"/>
    </row>
    <row r="57" ht="16.5" customHeight="1">
      <c r="A57" s="808">
        <f t="shared" si="2"/>
        <v>3</v>
      </c>
      <c r="B57" s="486" t="s">
        <v>6240</v>
      </c>
      <c r="C57" s="467"/>
      <c r="D57" s="475"/>
      <c r="E57" s="488" t="s">
        <v>6093</v>
      </c>
      <c r="F57" s="488" t="s">
        <v>1389</v>
      </c>
      <c r="G57" s="466">
        <v>45479.0</v>
      </c>
      <c r="H57" s="806"/>
      <c r="I57" s="467"/>
      <c r="J57" s="490" t="s">
        <v>1093</v>
      </c>
      <c r="K57" s="489" t="s">
        <v>148</v>
      </c>
      <c r="L57" s="490"/>
      <c r="M57" s="490" t="s">
        <v>2846</v>
      </c>
      <c r="N57" s="490" t="s">
        <v>6095</v>
      </c>
      <c r="O57" s="464" t="s">
        <v>6241</v>
      </c>
      <c r="P57" s="464" t="s">
        <v>6242</v>
      </c>
      <c r="Q57" s="807">
        <v>0.5</v>
      </c>
      <c r="R57" s="467"/>
      <c r="S57" s="467"/>
      <c r="T57" s="807"/>
      <c r="U57" s="807"/>
    </row>
    <row r="58" ht="16.5" customHeight="1">
      <c r="A58" s="808">
        <f t="shared" si="2"/>
        <v>4</v>
      </c>
      <c r="B58" s="486" t="s">
        <v>6243</v>
      </c>
      <c r="C58" s="467"/>
      <c r="D58" s="475"/>
      <c r="E58" s="488" t="s">
        <v>6093</v>
      </c>
      <c r="F58" s="488" t="s">
        <v>1389</v>
      </c>
      <c r="G58" s="466">
        <v>45479.0</v>
      </c>
      <c r="H58" s="806"/>
      <c r="I58" s="467"/>
      <c r="J58" s="490" t="s">
        <v>1093</v>
      </c>
      <c r="K58" s="489" t="s">
        <v>148</v>
      </c>
      <c r="L58" s="490"/>
      <c r="M58" s="490" t="s">
        <v>2846</v>
      </c>
      <c r="N58" s="490" t="s">
        <v>6095</v>
      </c>
      <c r="O58" s="464" t="s">
        <v>6244</v>
      </c>
      <c r="P58" s="464" t="s">
        <v>6245</v>
      </c>
      <c r="Q58" s="807">
        <v>0.5</v>
      </c>
      <c r="R58" s="467"/>
      <c r="S58" s="467"/>
      <c r="T58" s="807"/>
      <c r="U58" s="807"/>
    </row>
    <row r="59" ht="16.5" customHeight="1">
      <c r="A59" s="808">
        <f t="shared" si="2"/>
        <v>5</v>
      </c>
      <c r="B59" s="486" t="s">
        <v>6246</v>
      </c>
      <c r="C59" s="467"/>
      <c r="D59" s="475"/>
      <c r="E59" s="488" t="s">
        <v>6093</v>
      </c>
      <c r="F59" s="488" t="s">
        <v>1389</v>
      </c>
      <c r="G59" s="466">
        <v>45479.0</v>
      </c>
      <c r="H59" s="806"/>
      <c r="I59" s="467"/>
      <c r="J59" s="490" t="s">
        <v>1093</v>
      </c>
      <c r="K59" s="489" t="s">
        <v>148</v>
      </c>
      <c r="L59" s="490"/>
      <c r="M59" s="490" t="s">
        <v>2846</v>
      </c>
      <c r="N59" s="490" t="s">
        <v>6095</v>
      </c>
      <c r="O59" s="464" t="s">
        <v>6247</v>
      </c>
      <c r="P59" s="464" t="s">
        <v>6248</v>
      </c>
      <c r="Q59" s="807">
        <v>0.5</v>
      </c>
      <c r="R59" s="467"/>
      <c r="S59" s="467"/>
      <c r="T59" s="807"/>
      <c r="U59" s="807"/>
    </row>
    <row r="60" ht="16.5" customHeight="1">
      <c r="A60" s="808">
        <f t="shared" si="2"/>
        <v>6</v>
      </c>
      <c r="B60" s="486" t="s">
        <v>6249</v>
      </c>
      <c r="C60" s="467"/>
      <c r="D60" s="475"/>
      <c r="E60" s="488" t="s">
        <v>6093</v>
      </c>
      <c r="F60" s="488" t="s">
        <v>1389</v>
      </c>
      <c r="G60" s="466">
        <v>45479.0</v>
      </c>
      <c r="H60" s="806"/>
      <c r="I60" s="467"/>
      <c r="J60" s="490" t="s">
        <v>1093</v>
      </c>
      <c r="K60" s="489" t="s">
        <v>148</v>
      </c>
      <c r="L60" s="490"/>
      <c r="M60" s="490" t="s">
        <v>2846</v>
      </c>
      <c r="N60" s="490" t="s">
        <v>6095</v>
      </c>
      <c r="O60" s="464" t="s">
        <v>6250</v>
      </c>
      <c r="P60" s="464" t="s">
        <v>6251</v>
      </c>
      <c r="Q60" s="807">
        <v>0.5</v>
      </c>
      <c r="R60" s="467"/>
      <c r="S60" s="467"/>
      <c r="T60" s="807"/>
      <c r="U60" s="807"/>
    </row>
    <row r="61" ht="16.5" customHeight="1">
      <c r="A61" s="808">
        <f t="shared" si="2"/>
        <v>7</v>
      </c>
      <c r="B61" s="486" t="s">
        <v>6252</v>
      </c>
      <c r="C61" s="467"/>
      <c r="D61" s="475"/>
      <c r="E61" s="488" t="s">
        <v>6093</v>
      </c>
      <c r="F61" s="488" t="s">
        <v>1389</v>
      </c>
      <c r="G61" s="466">
        <v>45479.0</v>
      </c>
      <c r="H61" s="806"/>
      <c r="I61" s="467"/>
      <c r="J61" s="490" t="s">
        <v>1093</v>
      </c>
      <c r="K61" s="489" t="s">
        <v>148</v>
      </c>
      <c r="L61" s="490"/>
      <c r="M61" s="490" t="s">
        <v>2846</v>
      </c>
      <c r="N61" s="490" t="s">
        <v>6095</v>
      </c>
      <c r="O61" s="464" t="s">
        <v>6253</v>
      </c>
      <c r="P61" s="464" t="s">
        <v>6254</v>
      </c>
      <c r="Q61" s="807">
        <v>0.5</v>
      </c>
      <c r="R61" s="467"/>
      <c r="S61" s="467"/>
      <c r="T61" s="807"/>
      <c r="U61" s="807"/>
    </row>
    <row r="62" ht="16.5" customHeight="1">
      <c r="A62" s="808">
        <f t="shared" si="2"/>
        <v>8</v>
      </c>
      <c r="B62" s="486" t="s">
        <v>6255</v>
      </c>
      <c r="C62" s="467"/>
      <c r="D62" s="475"/>
      <c r="E62" s="488" t="s">
        <v>6093</v>
      </c>
      <c r="F62" s="488" t="s">
        <v>1389</v>
      </c>
      <c r="G62" s="466">
        <v>45479.0</v>
      </c>
      <c r="H62" s="806"/>
      <c r="I62" s="467"/>
      <c r="J62" s="490" t="s">
        <v>1093</v>
      </c>
      <c r="K62" s="489" t="s">
        <v>148</v>
      </c>
      <c r="L62" s="490"/>
      <c r="M62" s="490" t="s">
        <v>2846</v>
      </c>
      <c r="N62" s="490" t="s">
        <v>6095</v>
      </c>
      <c r="O62" s="464" t="s">
        <v>6256</v>
      </c>
      <c r="P62" s="464" t="s">
        <v>6257</v>
      </c>
      <c r="Q62" s="807">
        <v>0.5</v>
      </c>
      <c r="R62" s="467"/>
      <c r="S62" s="467"/>
      <c r="T62" s="807"/>
      <c r="U62" s="807"/>
    </row>
    <row r="63" ht="16.5" customHeight="1">
      <c r="A63" s="808">
        <f t="shared" si="2"/>
        <v>9</v>
      </c>
      <c r="B63" s="486" t="s">
        <v>6258</v>
      </c>
      <c r="C63" s="467"/>
      <c r="D63" s="475"/>
      <c r="E63" s="488" t="s">
        <v>6093</v>
      </c>
      <c r="F63" s="488" t="s">
        <v>1389</v>
      </c>
      <c r="G63" s="466">
        <v>45479.0</v>
      </c>
      <c r="H63" s="806"/>
      <c r="I63" s="467"/>
      <c r="J63" s="490" t="s">
        <v>1093</v>
      </c>
      <c r="K63" s="489" t="s">
        <v>148</v>
      </c>
      <c r="L63" s="490"/>
      <c r="M63" s="490" t="s">
        <v>2846</v>
      </c>
      <c r="N63" s="490" t="s">
        <v>6095</v>
      </c>
      <c r="O63" s="464" t="s">
        <v>6259</v>
      </c>
      <c r="P63" s="464" t="s">
        <v>6260</v>
      </c>
      <c r="Q63" s="807">
        <v>0.5</v>
      </c>
      <c r="R63" s="467"/>
      <c r="S63" s="467"/>
      <c r="T63" s="807"/>
      <c r="U63" s="807"/>
    </row>
    <row r="64" ht="16.5" customHeight="1">
      <c r="A64" s="808">
        <f t="shared" si="2"/>
        <v>10</v>
      </c>
      <c r="B64" s="486" t="s">
        <v>6261</v>
      </c>
      <c r="C64" s="467"/>
      <c r="D64" s="475"/>
      <c r="E64" s="488" t="s">
        <v>6093</v>
      </c>
      <c r="F64" s="488" t="s">
        <v>1389</v>
      </c>
      <c r="G64" s="466">
        <v>45479.0</v>
      </c>
      <c r="H64" s="806"/>
      <c r="I64" s="467"/>
      <c r="J64" s="490" t="s">
        <v>1093</v>
      </c>
      <c r="K64" s="489" t="s">
        <v>148</v>
      </c>
      <c r="L64" s="490"/>
      <c r="M64" s="490" t="s">
        <v>2846</v>
      </c>
      <c r="N64" s="490" t="s">
        <v>6095</v>
      </c>
      <c r="O64" s="464" t="s">
        <v>6262</v>
      </c>
      <c r="P64" s="464" t="s">
        <v>6263</v>
      </c>
      <c r="Q64" s="807">
        <v>0.5</v>
      </c>
      <c r="R64" s="467"/>
      <c r="S64" s="467"/>
      <c r="T64" s="807"/>
      <c r="U64" s="807"/>
    </row>
    <row r="65" ht="16.5" customHeight="1">
      <c r="A65" s="808">
        <f t="shared" si="2"/>
        <v>11</v>
      </c>
      <c r="B65" s="486" t="s">
        <v>6264</v>
      </c>
      <c r="C65" s="464"/>
      <c r="D65" s="475"/>
      <c r="E65" s="488" t="s">
        <v>6093</v>
      </c>
      <c r="F65" s="488" t="s">
        <v>1389</v>
      </c>
      <c r="G65" s="466">
        <v>45723.0</v>
      </c>
      <c r="H65" s="806"/>
      <c r="I65" s="464" t="s">
        <v>6265</v>
      </c>
      <c r="J65" s="490" t="s">
        <v>1093</v>
      </c>
      <c r="K65" s="489" t="s">
        <v>148</v>
      </c>
      <c r="L65" s="490"/>
      <c r="M65" s="490" t="s">
        <v>2846</v>
      </c>
      <c r="N65" s="490" t="s">
        <v>6095</v>
      </c>
      <c r="O65" s="464" t="s">
        <v>6266</v>
      </c>
      <c r="P65" s="464" t="s">
        <v>6267</v>
      </c>
      <c r="Q65" s="812"/>
      <c r="R65" s="467"/>
      <c r="S65" s="467"/>
      <c r="T65" s="812"/>
      <c r="U65" s="812"/>
    </row>
    <row r="66" ht="16.5" customHeight="1">
      <c r="A66" s="808">
        <f t="shared" si="2"/>
        <v>12</v>
      </c>
      <c r="B66" s="486" t="s">
        <v>6268</v>
      </c>
      <c r="C66" s="464"/>
      <c r="D66" s="475"/>
      <c r="E66" s="488" t="s">
        <v>6093</v>
      </c>
      <c r="F66" s="488" t="s">
        <v>1389</v>
      </c>
      <c r="G66" s="466">
        <v>45723.0</v>
      </c>
      <c r="H66" s="806"/>
      <c r="I66" s="464" t="s">
        <v>6265</v>
      </c>
      <c r="J66" s="490" t="s">
        <v>1093</v>
      </c>
      <c r="K66" s="489" t="s">
        <v>148</v>
      </c>
      <c r="L66" s="490"/>
      <c r="M66" s="490" t="s">
        <v>2846</v>
      </c>
      <c r="N66" s="490" t="s">
        <v>6095</v>
      </c>
      <c r="O66" s="464" t="s">
        <v>6269</v>
      </c>
      <c r="P66" s="464"/>
      <c r="Q66" s="812"/>
      <c r="R66" s="467"/>
      <c r="S66" s="467"/>
      <c r="T66" s="812"/>
      <c r="U66" s="812"/>
    </row>
    <row r="67" ht="16.5" customHeight="1">
      <c r="A67" s="808">
        <f t="shared" si="2"/>
        <v>13</v>
      </c>
      <c r="B67" s="486" t="s">
        <v>6270</v>
      </c>
      <c r="C67" s="464"/>
      <c r="D67" s="475"/>
      <c r="E67" s="488" t="s">
        <v>6093</v>
      </c>
      <c r="F67" s="488" t="s">
        <v>1389</v>
      </c>
      <c r="G67" s="466">
        <v>45723.0</v>
      </c>
      <c r="H67" s="806"/>
      <c r="I67" s="464" t="s">
        <v>6265</v>
      </c>
      <c r="J67" s="490" t="s">
        <v>1093</v>
      </c>
      <c r="K67" s="489" t="s">
        <v>148</v>
      </c>
      <c r="L67" s="490"/>
      <c r="M67" s="490" t="s">
        <v>2846</v>
      </c>
      <c r="N67" s="490" t="s">
        <v>6095</v>
      </c>
      <c r="O67" s="464" t="s">
        <v>6271</v>
      </c>
      <c r="P67" s="464"/>
      <c r="Q67" s="812"/>
      <c r="R67" s="467"/>
      <c r="S67" s="467"/>
      <c r="T67" s="812"/>
      <c r="U67" s="812"/>
    </row>
    <row r="68" ht="16.5" customHeight="1">
      <c r="A68" s="808">
        <f t="shared" si="2"/>
        <v>14</v>
      </c>
      <c r="B68" s="486" t="s">
        <v>6272</v>
      </c>
      <c r="C68" s="464"/>
      <c r="D68" s="475"/>
      <c r="E68" s="488" t="s">
        <v>6093</v>
      </c>
      <c r="F68" s="488" t="s">
        <v>1389</v>
      </c>
      <c r="G68" s="466">
        <v>45723.0</v>
      </c>
      <c r="H68" s="806"/>
      <c r="I68" s="464" t="s">
        <v>6265</v>
      </c>
      <c r="J68" s="490" t="s">
        <v>1093</v>
      </c>
      <c r="K68" s="489" t="s">
        <v>148</v>
      </c>
      <c r="L68" s="490"/>
      <c r="M68" s="490" t="s">
        <v>2846</v>
      </c>
      <c r="N68" s="490" t="s">
        <v>6095</v>
      </c>
      <c r="O68" s="464" t="s">
        <v>6273</v>
      </c>
      <c r="P68" s="464" t="s">
        <v>6274</v>
      </c>
      <c r="Q68" s="812"/>
      <c r="R68" s="467"/>
      <c r="S68" s="467"/>
      <c r="T68" s="812"/>
      <c r="U68" s="812"/>
    </row>
    <row r="69" ht="16.5" customHeight="1">
      <c r="A69" s="808"/>
      <c r="B69" s="486"/>
      <c r="C69" s="464" t="s">
        <v>4580</v>
      </c>
      <c r="D69" s="475"/>
      <c r="E69" s="490"/>
      <c r="F69" s="488"/>
      <c r="G69" s="466"/>
      <c r="H69" s="806"/>
      <c r="I69" s="467"/>
      <c r="J69" s="490"/>
      <c r="K69" s="489"/>
      <c r="L69" s="490"/>
      <c r="M69" s="490"/>
      <c r="N69" s="490"/>
      <c r="O69" s="464"/>
      <c r="P69" s="464"/>
      <c r="Q69" s="467"/>
      <c r="R69" s="467"/>
      <c r="S69" s="467"/>
      <c r="T69" s="812"/>
      <c r="U69" s="812"/>
    </row>
    <row r="70" ht="19.5" customHeight="1">
      <c r="A70" s="796" t="s">
        <v>2642</v>
      </c>
      <c r="B70" s="804" t="s">
        <v>6275</v>
      </c>
      <c r="C70" s="798">
        <f>COUNTA($B$71:$B$75)</f>
        <v>4</v>
      </c>
      <c r="D70" s="799"/>
      <c r="E70" s="799"/>
      <c r="F70" s="799"/>
      <c r="G70" s="799"/>
      <c r="H70" s="799"/>
      <c r="I70" s="801"/>
      <c r="J70" s="799"/>
      <c r="K70" s="801"/>
      <c r="L70" s="799"/>
      <c r="M70" s="799"/>
      <c r="N70" s="799"/>
      <c r="O70" s="801"/>
      <c r="P70" s="801"/>
      <c r="Q70" s="801"/>
      <c r="R70" s="801"/>
      <c r="S70" s="801"/>
      <c r="T70" s="803"/>
      <c r="U70" s="803"/>
    </row>
    <row r="71" ht="16.5" customHeight="1">
      <c r="A71" s="510">
        <v>1.0</v>
      </c>
      <c r="B71" s="464" t="s">
        <v>6276</v>
      </c>
      <c r="C71" s="467" t="s">
        <v>6277</v>
      </c>
      <c r="D71" s="475"/>
      <c r="E71" s="463" t="s">
        <v>6093</v>
      </c>
      <c r="F71" s="463" t="s">
        <v>4789</v>
      </c>
      <c r="G71" s="475" t="s">
        <v>6113</v>
      </c>
      <c r="H71" s="806"/>
      <c r="I71" s="467"/>
      <c r="J71" s="475" t="s">
        <v>1093</v>
      </c>
      <c r="K71" s="467" t="s">
        <v>148</v>
      </c>
      <c r="L71" s="475"/>
      <c r="M71" s="475" t="s">
        <v>2846</v>
      </c>
      <c r="N71" s="475" t="s">
        <v>6095</v>
      </c>
      <c r="O71" s="467" t="s">
        <v>6278</v>
      </c>
      <c r="P71" s="467" t="s">
        <v>6279</v>
      </c>
      <c r="Q71" s="807">
        <v>0.5</v>
      </c>
      <c r="R71" s="467"/>
      <c r="S71" s="467"/>
      <c r="T71" s="807"/>
      <c r="U71" s="807"/>
    </row>
    <row r="72" ht="16.5" customHeight="1">
      <c r="A72" s="808">
        <f t="shared" ref="A72:A74" si="3">A71+1</f>
        <v>2</v>
      </c>
      <c r="B72" s="464" t="s">
        <v>6280</v>
      </c>
      <c r="C72" s="467" t="s">
        <v>6281</v>
      </c>
      <c r="D72" s="475"/>
      <c r="E72" s="463" t="s">
        <v>6093</v>
      </c>
      <c r="F72" s="463" t="s">
        <v>4789</v>
      </c>
      <c r="G72" s="475" t="s">
        <v>6113</v>
      </c>
      <c r="H72" s="806"/>
      <c r="I72" s="467"/>
      <c r="J72" s="475" t="s">
        <v>1093</v>
      </c>
      <c r="K72" s="467" t="s">
        <v>148</v>
      </c>
      <c r="L72" s="475"/>
      <c r="M72" s="475" t="s">
        <v>2846</v>
      </c>
      <c r="N72" s="475" t="s">
        <v>6095</v>
      </c>
      <c r="O72" s="467" t="s">
        <v>6282</v>
      </c>
      <c r="P72" s="467" t="s">
        <v>6283</v>
      </c>
      <c r="Q72" s="807">
        <v>0.5</v>
      </c>
      <c r="R72" s="467"/>
      <c r="S72" s="467"/>
      <c r="T72" s="807"/>
      <c r="U72" s="807"/>
    </row>
    <row r="73" ht="16.5" customHeight="1">
      <c r="A73" s="808">
        <f t="shared" si="3"/>
        <v>3</v>
      </c>
      <c r="B73" s="464" t="s">
        <v>6284</v>
      </c>
      <c r="C73" s="486" t="s">
        <v>6285</v>
      </c>
      <c r="D73" s="490"/>
      <c r="E73" s="488" t="s">
        <v>6093</v>
      </c>
      <c r="F73" s="463" t="s">
        <v>4789</v>
      </c>
      <c r="G73" s="488" t="s">
        <v>6113</v>
      </c>
      <c r="H73" s="824"/>
      <c r="I73" s="829" t="s">
        <v>6286</v>
      </c>
      <c r="J73" s="490" t="s">
        <v>1093</v>
      </c>
      <c r="K73" s="489" t="s">
        <v>148</v>
      </c>
      <c r="L73" s="490"/>
      <c r="M73" s="490" t="s">
        <v>2846</v>
      </c>
      <c r="N73" s="490" t="s">
        <v>6095</v>
      </c>
      <c r="O73" s="467" t="s">
        <v>6287</v>
      </c>
      <c r="P73" s="467" t="s">
        <v>6288</v>
      </c>
      <c r="Q73" s="807">
        <v>0.5</v>
      </c>
      <c r="R73" s="489"/>
      <c r="S73" s="489"/>
      <c r="T73" s="807"/>
      <c r="U73" s="807"/>
    </row>
    <row r="74" ht="16.5" customHeight="1">
      <c r="A74" s="808">
        <f t="shared" si="3"/>
        <v>4</v>
      </c>
      <c r="B74" s="464" t="s">
        <v>6289</v>
      </c>
      <c r="C74" s="486" t="s">
        <v>6290</v>
      </c>
      <c r="D74" s="490"/>
      <c r="E74" s="488" t="s">
        <v>6093</v>
      </c>
      <c r="F74" s="463" t="s">
        <v>4789</v>
      </c>
      <c r="G74" s="488" t="s">
        <v>6113</v>
      </c>
      <c r="H74" s="828"/>
      <c r="I74" s="829" t="s">
        <v>6286</v>
      </c>
      <c r="J74" s="490" t="s">
        <v>1093</v>
      </c>
      <c r="K74" s="489" t="s">
        <v>148</v>
      </c>
      <c r="L74" s="490"/>
      <c r="M74" s="490" t="s">
        <v>2846</v>
      </c>
      <c r="N74" s="490" t="s">
        <v>6095</v>
      </c>
      <c r="O74" s="489" t="s">
        <v>6291</v>
      </c>
      <c r="P74" s="489" t="s">
        <v>6292</v>
      </c>
      <c r="Q74" s="807">
        <v>0.5</v>
      </c>
      <c r="R74" s="489"/>
      <c r="S74" s="489"/>
      <c r="T74" s="807"/>
      <c r="U74" s="807"/>
    </row>
    <row r="75" ht="16.5" hidden="1" customHeight="1">
      <c r="A75" s="808"/>
      <c r="B75" s="464"/>
      <c r="C75" s="486" t="s">
        <v>4580</v>
      </c>
      <c r="D75" s="490"/>
      <c r="E75" s="490"/>
      <c r="F75" s="475"/>
      <c r="G75" s="488"/>
      <c r="H75" s="828"/>
      <c r="I75" s="829"/>
      <c r="J75" s="490"/>
      <c r="K75" s="489"/>
      <c r="L75" s="490"/>
      <c r="M75" s="490"/>
      <c r="N75" s="490"/>
      <c r="O75" s="489"/>
      <c r="P75" s="489"/>
      <c r="Q75" s="489"/>
      <c r="R75" s="489"/>
      <c r="S75" s="489"/>
      <c r="T75" s="826"/>
      <c r="U75" s="826"/>
    </row>
    <row r="76" ht="19.5" customHeight="1">
      <c r="A76" s="796" t="s">
        <v>6293</v>
      </c>
      <c r="B76" s="797" t="s">
        <v>6294</v>
      </c>
      <c r="C76" s="798">
        <f>SUM($C$77,$C$88,$C$91)</f>
        <v>8</v>
      </c>
      <c r="D76" s="799"/>
      <c r="E76" s="799"/>
      <c r="F76" s="799"/>
      <c r="G76" s="799"/>
      <c r="H76" s="799"/>
      <c r="I76" s="801"/>
      <c r="J76" s="799"/>
      <c r="K76" s="801"/>
      <c r="L76" s="799"/>
      <c r="M76" s="799"/>
      <c r="N76" s="799"/>
      <c r="O76" s="801"/>
      <c r="P76" s="801"/>
      <c r="Q76" s="801"/>
      <c r="R76" s="801"/>
      <c r="S76" s="801"/>
      <c r="T76" s="803"/>
      <c r="U76" s="803"/>
    </row>
    <row r="77" ht="19.5" customHeight="1">
      <c r="A77" s="796" t="s">
        <v>2947</v>
      </c>
      <c r="B77" s="804" t="s">
        <v>6295</v>
      </c>
      <c r="C77" s="798">
        <f>COUNTA($B$78:$B$87)</f>
        <v>7</v>
      </c>
      <c r="D77" s="799"/>
      <c r="E77" s="799"/>
      <c r="F77" s="799"/>
      <c r="G77" s="799"/>
      <c r="H77" s="799"/>
      <c r="I77" s="801"/>
      <c r="J77" s="799"/>
      <c r="K77" s="801"/>
      <c r="L77" s="799"/>
      <c r="M77" s="799"/>
      <c r="N77" s="799"/>
      <c r="O77" s="801"/>
      <c r="P77" s="801"/>
      <c r="Q77" s="801"/>
      <c r="R77" s="801"/>
      <c r="S77" s="801"/>
      <c r="T77" s="803"/>
      <c r="U77" s="803"/>
    </row>
    <row r="78" ht="16.5" customHeight="1">
      <c r="A78" s="510">
        <v>1.0</v>
      </c>
      <c r="B78" s="464" t="s">
        <v>6296</v>
      </c>
      <c r="C78" s="467" t="s">
        <v>6297</v>
      </c>
      <c r="D78" s="510" t="s">
        <v>6298</v>
      </c>
      <c r="E78" s="463" t="s">
        <v>6093</v>
      </c>
      <c r="F78" s="463" t="s">
        <v>2964</v>
      </c>
      <c r="G78" s="475" t="s">
        <v>6113</v>
      </c>
      <c r="H78" s="831" t="s">
        <v>6299</v>
      </c>
      <c r="I78" s="467"/>
      <c r="J78" s="475" t="s">
        <v>1093</v>
      </c>
      <c r="K78" s="467" t="s">
        <v>148</v>
      </c>
      <c r="L78" s="475"/>
      <c r="M78" s="475" t="s">
        <v>2846</v>
      </c>
      <c r="N78" s="475" t="s">
        <v>6095</v>
      </c>
      <c r="O78" s="467" t="s">
        <v>6300</v>
      </c>
      <c r="P78" s="467" t="s">
        <v>6301</v>
      </c>
      <c r="Q78" s="807">
        <v>0.5</v>
      </c>
      <c r="R78" s="467"/>
      <c r="S78" s="467"/>
      <c r="T78" s="807"/>
      <c r="U78" s="807"/>
    </row>
    <row r="79" ht="16.5" customHeight="1">
      <c r="A79" s="808">
        <f t="shared" ref="A79:A80" si="4">1+A78</f>
        <v>2</v>
      </c>
      <c r="B79" s="464" t="s">
        <v>6303</v>
      </c>
      <c r="C79" s="467" t="s">
        <v>6304</v>
      </c>
      <c r="D79" s="463" t="s">
        <v>6305</v>
      </c>
      <c r="E79" s="463" t="s">
        <v>6093</v>
      </c>
      <c r="F79" s="463" t="s">
        <v>2964</v>
      </c>
      <c r="G79" s="475" t="s">
        <v>6113</v>
      </c>
      <c r="H79" s="809"/>
      <c r="I79" s="467"/>
      <c r="J79" s="475" t="s">
        <v>1093</v>
      </c>
      <c r="K79" s="467" t="s">
        <v>148</v>
      </c>
      <c r="L79" s="475"/>
      <c r="M79" s="475" t="s">
        <v>2846</v>
      </c>
      <c r="N79" s="475" t="s">
        <v>6095</v>
      </c>
      <c r="O79" s="467" t="s">
        <v>6306</v>
      </c>
      <c r="P79" s="467" t="s">
        <v>6307</v>
      </c>
      <c r="Q79" s="807">
        <v>0.5</v>
      </c>
      <c r="R79" s="467"/>
      <c r="S79" s="467"/>
      <c r="T79" s="807"/>
      <c r="U79" s="807"/>
    </row>
    <row r="80" ht="16.5" customHeight="1">
      <c r="A80" s="808">
        <f t="shared" si="4"/>
        <v>3</v>
      </c>
      <c r="B80" s="464" t="s">
        <v>6308</v>
      </c>
      <c r="C80" s="467" t="s">
        <v>6309</v>
      </c>
      <c r="D80" s="510" t="s">
        <v>6310</v>
      </c>
      <c r="E80" s="463" t="s">
        <v>6093</v>
      </c>
      <c r="F80" s="463" t="s">
        <v>2964</v>
      </c>
      <c r="G80" s="475" t="s">
        <v>6113</v>
      </c>
      <c r="H80" s="831" t="s">
        <v>6299</v>
      </c>
      <c r="I80" s="467"/>
      <c r="J80" s="475" t="s">
        <v>1093</v>
      </c>
      <c r="K80" s="467" t="s">
        <v>148</v>
      </c>
      <c r="L80" s="475"/>
      <c r="M80" s="475" t="s">
        <v>2846</v>
      </c>
      <c r="N80" s="475" t="s">
        <v>6095</v>
      </c>
      <c r="O80" s="467" t="s">
        <v>6311</v>
      </c>
      <c r="P80" s="467" t="s">
        <v>6312</v>
      </c>
      <c r="Q80" s="807">
        <v>0.5</v>
      </c>
      <c r="R80" s="467"/>
      <c r="S80" s="467"/>
      <c r="T80" s="807"/>
      <c r="U80" s="807"/>
    </row>
    <row r="81" ht="16.5" customHeight="1">
      <c r="A81" s="808">
        <f>1+A34</f>
        <v>9</v>
      </c>
      <c r="B81" s="464" t="s">
        <v>6313</v>
      </c>
      <c r="C81" s="467"/>
      <c r="D81" s="463" t="s">
        <v>6314</v>
      </c>
      <c r="E81" s="463" t="s">
        <v>6093</v>
      </c>
      <c r="F81" s="463" t="s">
        <v>2964</v>
      </c>
      <c r="G81" s="463" t="s">
        <v>6315</v>
      </c>
      <c r="H81" s="806"/>
      <c r="I81" s="467"/>
      <c r="J81" s="475" t="s">
        <v>1093</v>
      </c>
      <c r="K81" s="467" t="s">
        <v>148</v>
      </c>
      <c r="L81" s="475"/>
      <c r="M81" s="475" t="s">
        <v>2846</v>
      </c>
      <c r="N81" s="475" t="s">
        <v>6095</v>
      </c>
      <c r="O81" s="467" t="s">
        <v>6316</v>
      </c>
      <c r="P81" s="467" t="s">
        <v>6317</v>
      </c>
      <c r="Q81" s="807">
        <v>0.5</v>
      </c>
      <c r="R81" s="467"/>
      <c r="S81" s="467"/>
      <c r="T81" s="807"/>
      <c r="U81" s="807"/>
    </row>
    <row r="82" ht="16.5" customHeight="1">
      <c r="A82" s="808">
        <f t="shared" ref="A82:A84" si="5">1+A81</f>
        <v>10</v>
      </c>
      <c r="B82" s="464" t="s">
        <v>6318</v>
      </c>
      <c r="C82" s="467"/>
      <c r="D82" s="463" t="s">
        <v>2861</v>
      </c>
      <c r="E82" s="463" t="s">
        <v>6093</v>
      </c>
      <c r="F82" s="463" t="s">
        <v>2964</v>
      </c>
      <c r="G82" s="463" t="s">
        <v>6315</v>
      </c>
      <c r="H82" s="806"/>
      <c r="I82" s="467"/>
      <c r="J82" s="475" t="s">
        <v>1093</v>
      </c>
      <c r="K82" s="467" t="s">
        <v>148</v>
      </c>
      <c r="L82" s="475"/>
      <c r="M82" s="475" t="s">
        <v>2846</v>
      </c>
      <c r="N82" s="475" t="s">
        <v>6095</v>
      </c>
      <c r="O82" s="467" t="s">
        <v>6319</v>
      </c>
      <c r="P82" s="467" t="s">
        <v>6320</v>
      </c>
      <c r="Q82" s="807">
        <v>0.5</v>
      </c>
      <c r="R82" s="467"/>
      <c r="S82" s="467"/>
      <c r="T82" s="807"/>
      <c r="U82" s="807"/>
    </row>
    <row r="83" ht="16.5" customHeight="1">
      <c r="A83" s="808">
        <f t="shared" si="5"/>
        <v>11</v>
      </c>
      <c r="B83" s="464" t="s">
        <v>6321</v>
      </c>
      <c r="C83" s="467"/>
      <c r="D83" s="475"/>
      <c r="E83" s="463" t="s">
        <v>6093</v>
      </c>
      <c r="F83" s="463" t="s">
        <v>2964</v>
      </c>
      <c r="G83" s="463" t="s">
        <v>6125</v>
      </c>
      <c r="H83" s="806"/>
      <c r="I83" s="463" t="s">
        <v>6322</v>
      </c>
      <c r="J83" s="475" t="s">
        <v>1093</v>
      </c>
      <c r="K83" s="467" t="s">
        <v>148</v>
      </c>
      <c r="L83" s="475"/>
      <c r="M83" s="475" t="s">
        <v>2846</v>
      </c>
      <c r="N83" s="475" t="s">
        <v>6095</v>
      </c>
      <c r="O83" s="464" t="s">
        <v>6323</v>
      </c>
      <c r="P83" s="464" t="s">
        <v>6324</v>
      </c>
      <c r="Q83" s="807">
        <v>0.5</v>
      </c>
      <c r="R83" s="467"/>
      <c r="S83" s="467"/>
      <c r="T83" s="807"/>
      <c r="U83" s="807"/>
    </row>
    <row r="84" ht="16.5" customHeight="1">
      <c r="A84" s="808">
        <f t="shared" si="5"/>
        <v>12</v>
      </c>
      <c r="B84" s="464" t="s">
        <v>6325</v>
      </c>
      <c r="C84" s="467"/>
      <c r="D84" s="475"/>
      <c r="E84" s="463" t="s">
        <v>6093</v>
      </c>
      <c r="F84" s="463" t="s">
        <v>2964</v>
      </c>
      <c r="G84" s="463" t="s">
        <v>6125</v>
      </c>
      <c r="H84" s="806"/>
      <c r="I84" s="463" t="s">
        <v>6326</v>
      </c>
      <c r="J84" s="475" t="s">
        <v>1093</v>
      </c>
      <c r="K84" s="467" t="s">
        <v>148</v>
      </c>
      <c r="L84" s="475"/>
      <c r="M84" s="475" t="s">
        <v>2846</v>
      </c>
      <c r="N84" s="475" t="s">
        <v>6095</v>
      </c>
      <c r="O84" s="464" t="s">
        <v>6327</v>
      </c>
      <c r="P84" s="464" t="s">
        <v>6328</v>
      </c>
      <c r="Q84" s="807">
        <v>0.5</v>
      </c>
      <c r="R84" s="467"/>
      <c r="S84" s="467"/>
      <c r="T84" s="807"/>
      <c r="U84" s="807"/>
    </row>
    <row r="87" ht="19.5" hidden="1" customHeight="1">
      <c r="A87" s="796"/>
      <c r="B87" s="804"/>
      <c r="C87" s="811" t="s">
        <v>4580</v>
      </c>
      <c r="D87" s="799"/>
      <c r="E87" s="799"/>
      <c r="F87" s="799"/>
      <c r="G87" s="799"/>
      <c r="H87" s="801"/>
      <c r="I87" s="801"/>
      <c r="J87" s="799"/>
      <c r="K87" s="801"/>
      <c r="L87" s="799"/>
      <c r="M87" s="799"/>
      <c r="N87" s="799"/>
      <c r="O87" s="801"/>
      <c r="P87" s="801"/>
      <c r="Q87" s="801"/>
      <c r="R87" s="801"/>
      <c r="S87" s="801"/>
      <c r="T87" s="803"/>
      <c r="U87" s="803"/>
    </row>
    <row r="88" ht="19.5" customHeight="1">
      <c r="A88" s="796" t="s">
        <v>1974</v>
      </c>
      <c r="B88" s="804" t="s">
        <v>61</v>
      </c>
      <c r="C88" s="798">
        <f>COUNTA($B$89:$B$90)</f>
        <v>0</v>
      </c>
      <c r="D88" s="799"/>
      <c r="E88" s="799"/>
      <c r="F88" s="799"/>
      <c r="G88" s="799"/>
      <c r="H88" s="799"/>
      <c r="I88" s="801"/>
      <c r="J88" s="799"/>
      <c r="K88" s="801"/>
      <c r="L88" s="799"/>
      <c r="M88" s="799"/>
      <c r="N88" s="799"/>
      <c r="O88" s="801"/>
      <c r="P88" s="801"/>
      <c r="Q88" s="801"/>
      <c r="R88" s="801"/>
      <c r="S88" s="801"/>
      <c r="T88" s="803"/>
      <c r="U88" s="803"/>
    </row>
    <row r="89" ht="19.5" customHeight="1">
      <c r="A89" s="819"/>
      <c r="B89" s="832"/>
      <c r="C89" s="821"/>
      <c r="D89" s="88"/>
      <c r="E89" s="88"/>
      <c r="F89" s="88"/>
      <c r="G89" s="88"/>
      <c r="H89" s="471"/>
      <c r="I89" s="471"/>
      <c r="J89" s="88"/>
      <c r="K89" s="471"/>
      <c r="L89" s="88"/>
      <c r="M89" s="88"/>
      <c r="N89" s="88"/>
      <c r="O89" s="471"/>
      <c r="P89" s="471"/>
      <c r="Q89" s="471"/>
      <c r="R89" s="471"/>
      <c r="S89" s="471"/>
      <c r="T89" s="822"/>
      <c r="U89" s="822"/>
    </row>
    <row r="90" ht="19.5" hidden="1" customHeight="1">
      <c r="A90" s="819"/>
      <c r="B90" s="832"/>
      <c r="C90" s="823" t="s">
        <v>4580</v>
      </c>
      <c r="D90" s="88"/>
      <c r="E90" s="88"/>
      <c r="F90" s="88"/>
      <c r="G90" s="88"/>
      <c r="H90" s="471"/>
      <c r="I90" s="471"/>
      <c r="J90" s="88"/>
      <c r="K90" s="471"/>
      <c r="L90" s="88"/>
      <c r="M90" s="88"/>
      <c r="N90" s="88"/>
      <c r="O90" s="471"/>
      <c r="P90" s="471"/>
      <c r="Q90" s="471"/>
      <c r="R90" s="471"/>
      <c r="S90" s="471"/>
      <c r="T90" s="822"/>
      <c r="U90" s="822"/>
    </row>
    <row r="91" ht="19.5" customHeight="1">
      <c r="A91" s="796" t="s">
        <v>2642</v>
      </c>
      <c r="B91" s="804" t="s">
        <v>6329</v>
      </c>
      <c r="C91" s="798">
        <f>COUNTA(C92)</f>
        <v>1</v>
      </c>
      <c r="D91" s="799"/>
      <c r="E91" s="799"/>
      <c r="F91" s="799"/>
      <c r="G91" s="799"/>
      <c r="H91" s="799"/>
      <c r="I91" s="801"/>
      <c r="J91" s="799"/>
      <c r="K91" s="801"/>
      <c r="L91" s="799"/>
      <c r="M91" s="799"/>
      <c r="N91" s="799"/>
      <c r="O91" s="801"/>
      <c r="P91" s="801"/>
      <c r="Q91" s="801"/>
      <c r="R91" s="801"/>
      <c r="S91" s="801"/>
      <c r="T91" s="803"/>
      <c r="U91" s="803"/>
    </row>
    <row r="92" ht="16.5" customHeight="1">
      <c r="A92" s="510">
        <v>1.0</v>
      </c>
      <c r="B92" s="464" t="s">
        <v>6330</v>
      </c>
      <c r="C92" s="464" t="s">
        <v>6331</v>
      </c>
      <c r="D92" s="475"/>
      <c r="E92" s="463" t="s">
        <v>6093</v>
      </c>
      <c r="F92" s="463" t="s">
        <v>62</v>
      </c>
      <c r="G92" s="463" t="s">
        <v>6125</v>
      </c>
      <c r="H92" s="806"/>
      <c r="I92" s="463" t="s">
        <v>6332</v>
      </c>
      <c r="J92" s="475" t="s">
        <v>1093</v>
      </c>
      <c r="K92" s="467" t="s">
        <v>148</v>
      </c>
      <c r="L92" s="475"/>
      <c r="M92" s="475" t="s">
        <v>2846</v>
      </c>
      <c r="N92" s="475" t="s">
        <v>6095</v>
      </c>
      <c r="O92" s="464" t="s">
        <v>6333</v>
      </c>
      <c r="P92" s="464" t="s">
        <v>6334</v>
      </c>
      <c r="Q92" s="807">
        <v>0.5</v>
      </c>
      <c r="R92" s="467"/>
      <c r="S92" s="467"/>
      <c r="T92" s="807"/>
      <c r="U92" s="807"/>
    </row>
    <row r="93" ht="19.5" customHeight="1">
      <c r="A93" s="796" t="s">
        <v>4476</v>
      </c>
      <c r="B93" s="804" t="s">
        <v>6335</v>
      </c>
      <c r="C93" s="798">
        <f>COUNTA(B94:B124)</f>
        <v>24</v>
      </c>
      <c r="D93" s="799"/>
      <c r="E93" s="799"/>
      <c r="F93" s="799"/>
      <c r="G93" s="799"/>
      <c r="H93" s="799"/>
      <c r="I93" s="801"/>
      <c r="J93" s="799"/>
      <c r="K93" s="801"/>
      <c r="L93" s="799"/>
      <c r="M93" s="799"/>
      <c r="N93" s="799"/>
      <c r="O93" s="801"/>
      <c r="P93" s="801"/>
      <c r="Q93" s="801"/>
      <c r="R93" s="801"/>
      <c r="S93" s="801"/>
      <c r="T93" s="803"/>
      <c r="U93" s="803"/>
    </row>
    <row r="94" ht="16.5" customHeight="1">
      <c r="A94" s="80">
        <v>1.0</v>
      </c>
      <c r="B94" s="186" t="s">
        <v>6336</v>
      </c>
      <c r="C94" s="186"/>
      <c r="D94" s="463" t="s">
        <v>6337</v>
      </c>
      <c r="E94" s="463" t="s">
        <v>6093</v>
      </c>
      <c r="F94" s="463" t="s">
        <v>2964</v>
      </c>
      <c r="G94" s="463" t="s">
        <v>6125</v>
      </c>
      <c r="H94" s="806"/>
      <c r="I94" s="80" t="s">
        <v>6338</v>
      </c>
      <c r="J94" s="475" t="s">
        <v>1093</v>
      </c>
      <c r="K94" s="467" t="s">
        <v>148</v>
      </c>
      <c r="L94" s="475"/>
      <c r="M94" s="475" t="s">
        <v>2846</v>
      </c>
      <c r="N94" s="833" t="s">
        <v>1093</v>
      </c>
      <c r="O94" s="834" t="s">
        <v>6339</v>
      </c>
      <c r="P94" s="835" t="s">
        <v>6340</v>
      </c>
      <c r="Q94" s="807">
        <v>0.5</v>
      </c>
      <c r="R94" s="836"/>
      <c r="S94" s="837"/>
      <c r="T94" s="807"/>
      <c r="U94" s="807"/>
    </row>
    <row r="95" ht="16.5" customHeight="1">
      <c r="A95" s="463">
        <v>2.0</v>
      </c>
      <c r="B95" s="464" t="s">
        <v>6341</v>
      </c>
      <c r="C95" s="467"/>
      <c r="D95" s="463" t="s">
        <v>2861</v>
      </c>
      <c r="E95" s="463" t="s">
        <v>6093</v>
      </c>
      <c r="F95" s="463" t="s">
        <v>2964</v>
      </c>
      <c r="G95" s="463" t="s">
        <v>6315</v>
      </c>
      <c r="H95" s="806"/>
      <c r="I95" s="80" t="s">
        <v>6338</v>
      </c>
      <c r="J95" s="475" t="s">
        <v>1093</v>
      </c>
      <c r="K95" s="467" t="s">
        <v>148</v>
      </c>
      <c r="L95" s="475"/>
      <c r="M95" s="475" t="s">
        <v>2846</v>
      </c>
      <c r="N95" s="475" t="s">
        <v>6095</v>
      </c>
      <c r="O95" s="467" t="s">
        <v>6342</v>
      </c>
      <c r="P95" s="467" t="s">
        <v>6343</v>
      </c>
      <c r="Q95" s="807">
        <v>0.5</v>
      </c>
      <c r="R95" s="467"/>
      <c r="S95" s="467"/>
      <c r="T95" s="807"/>
      <c r="U95" s="807"/>
    </row>
    <row r="96" ht="19.5" customHeight="1">
      <c r="A96" s="819"/>
      <c r="B96" s="832"/>
      <c r="C96" s="821"/>
      <c r="D96" s="88"/>
      <c r="E96" s="88"/>
      <c r="F96" s="88"/>
      <c r="G96" s="88"/>
      <c r="H96" s="471"/>
      <c r="I96" s="471"/>
      <c r="J96" s="88"/>
      <c r="K96" s="471"/>
      <c r="L96" s="88"/>
      <c r="M96" s="88"/>
      <c r="N96" s="88"/>
      <c r="O96" s="471"/>
      <c r="P96" s="471"/>
      <c r="Q96" s="822"/>
      <c r="R96" s="471"/>
      <c r="S96" s="471"/>
      <c r="T96" s="822"/>
      <c r="U96" s="822"/>
    </row>
    <row r="97" ht="19.5" customHeight="1">
      <c r="A97" s="838" t="s">
        <v>5816</v>
      </c>
      <c r="B97" s="839" t="s">
        <v>6344</v>
      </c>
      <c r="C97" s="840">
        <f>COUNTA(B98:B124)</f>
        <v>21</v>
      </c>
      <c r="D97" s="841"/>
      <c r="E97" s="841"/>
      <c r="F97" s="841"/>
      <c r="G97" s="841"/>
      <c r="H97" s="841"/>
      <c r="I97" s="842"/>
      <c r="J97" s="841"/>
      <c r="K97" s="842"/>
      <c r="L97" s="841"/>
      <c r="M97" s="841"/>
      <c r="N97" s="841"/>
      <c r="O97" s="842"/>
      <c r="P97" s="842"/>
      <c r="Q97" s="842"/>
      <c r="R97" s="842"/>
      <c r="S97" s="842"/>
      <c r="T97" s="843"/>
      <c r="U97" s="843"/>
    </row>
    <row r="98" ht="16.5" customHeight="1">
      <c r="A98" s="657">
        <v>1.0</v>
      </c>
      <c r="B98" s="503" t="s">
        <v>6345</v>
      </c>
      <c r="C98" s="501" t="s">
        <v>6346</v>
      </c>
      <c r="D98" s="504"/>
      <c r="E98" s="655" t="s">
        <v>6093</v>
      </c>
      <c r="F98" s="655" t="s">
        <v>2963</v>
      </c>
      <c r="G98" s="504" t="s">
        <v>6113</v>
      </c>
      <c r="H98" s="655" t="s">
        <v>2963</v>
      </c>
      <c r="I98" s="503" t="s">
        <v>6347</v>
      </c>
      <c r="J98" s="504" t="s">
        <v>1093</v>
      </c>
      <c r="K98" s="501" t="s">
        <v>148</v>
      </c>
      <c r="L98" s="504"/>
      <c r="M98" s="504" t="s">
        <v>2846</v>
      </c>
      <c r="N98" s="504" t="s">
        <v>6095</v>
      </c>
      <c r="O98" s="501" t="s">
        <v>6348</v>
      </c>
      <c r="P98" s="501" t="s">
        <v>6349</v>
      </c>
      <c r="Q98" s="844">
        <v>0.5</v>
      </c>
      <c r="R98" s="501"/>
      <c r="S98" s="501"/>
      <c r="T98" s="844"/>
      <c r="U98" s="844"/>
    </row>
    <row r="99" ht="16.5" customHeight="1">
      <c r="A99" s="845">
        <f>A98+1</f>
        <v>2</v>
      </c>
      <c r="B99" s="503" t="s">
        <v>6350</v>
      </c>
      <c r="C99" s="501" t="s">
        <v>6351</v>
      </c>
      <c r="D99" s="504"/>
      <c r="E99" s="655" t="s">
        <v>6093</v>
      </c>
      <c r="F99" s="655" t="s">
        <v>2963</v>
      </c>
      <c r="G99" s="504" t="s">
        <v>6113</v>
      </c>
      <c r="H99" s="655" t="s">
        <v>2963</v>
      </c>
      <c r="I99" s="503" t="s">
        <v>6347</v>
      </c>
      <c r="J99" s="504" t="s">
        <v>1093</v>
      </c>
      <c r="K99" s="501" t="s">
        <v>148</v>
      </c>
      <c r="L99" s="504"/>
      <c r="M99" s="504" t="s">
        <v>2846</v>
      </c>
      <c r="N99" s="504" t="s">
        <v>6095</v>
      </c>
      <c r="O99" s="501" t="s">
        <v>6352</v>
      </c>
      <c r="P99" s="501" t="s">
        <v>6353</v>
      </c>
      <c r="Q99" s="844">
        <v>0.5</v>
      </c>
      <c r="R99" s="501"/>
      <c r="S99" s="501"/>
      <c r="T99" s="844"/>
      <c r="U99" s="844"/>
    </row>
    <row r="100" ht="16.5" customHeight="1">
      <c r="A100" s="657">
        <v>5.0</v>
      </c>
      <c r="B100" s="503" t="s">
        <v>6354</v>
      </c>
      <c r="C100" s="503" t="s">
        <v>6355</v>
      </c>
      <c r="D100" s="655" t="s">
        <v>6356</v>
      </c>
      <c r="E100" s="655" t="s">
        <v>6093</v>
      </c>
      <c r="F100" s="655" t="s">
        <v>2963</v>
      </c>
      <c r="G100" s="504" t="s">
        <v>6113</v>
      </c>
      <c r="H100" s="655" t="s">
        <v>2963</v>
      </c>
      <c r="I100" s="503" t="s">
        <v>6114</v>
      </c>
      <c r="J100" s="504" t="s">
        <v>1093</v>
      </c>
      <c r="K100" s="501" t="s">
        <v>148</v>
      </c>
      <c r="L100" s="504"/>
      <c r="M100" s="504" t="s">
        <v>2846</v>
      </c>
      <c r="N100" s="504" t="s">
        <v>6095</v>
      </c>
      <c r="O100" s="501" t="s">
        <v>6357</v>
      </c>
      <c r="P100" s="501" t="s">
        <v>6358</v>
      </c>
      <c r="Q100" s="844">
        <v>0.5</v>
      </c>
      <c r="R100" s="501"/>
      <c r="S100" s="501"/>
      <c r="T100" s="844"/>
      <c r="U100" s="844"/>
    </row>
    <row r="101" ht="16.5" customHeight="1">
      <c r="A101" s="845">
        <f>A100+1</f>
        <v>6</v>
      </c>
      <c r="B101" s="503" t="s">
        <v>6359</v>
      </c>
      <c r="C101" s="503" t="s">
        <v>6360</v>
      </c>
      <c r="D101" s="655" t="s">
        <v>6314</v>
      </c>
      <c r="E101" s="655" t="s">
        <v>6093</v>
      </c>
      <c r="F101" s="655" t="s">
        <v>2963</v>
      </c>
      <c r="G101" s="655" t="s">
        <v>6315</v>
      </c>
      <c r="H101" s="655" t="s">
        <v>2963</v>
      </c>
      <c r="I101" s="503" t="s">
        <v>6114</v>
      </c>
      <c r="J101" s="504" t="s">
        <v>1093</v>
      </c>
      <c r="K101" s="501" t="s">
        <v>148</v>
      </c>
      <c r="L101" s="504"/>
      <c r="M101" s="504" t="s">
        <v>2846</v>
      </c>
      <c r="N101" s="504" t="s">
        <v>6095</v>
      </c>
      <c r="O101" s="501" t="s">
        <v>6361</v>
      </c>
      <c r="P101" s="501" t="s">
        <v>6362</v>
      </c>
      <c r="Q101" s="844">
        <v>0.5</v>
      </c>
      <c r="R101" s="501"/>
      <c r="S101" s="501"/>
      <c r="T101" s="844"/>
      <c r="U101" s="844"/>
    </row>
    <row r="102" ht="16.5" customHeight="1">
      <c r="A102" s="845">
        <f>A11+1</f>
        <v>7</v>
      </c>
      <c r="B102" s="503" t="s">
        <v>6363</v>
      </c>
      <c r="C102" s="503" t="s">
        <v>6364</v>
      </c>
      <c r="D102" s="655" t="s">
        <v>2861</v>
      </c>
      <c r="E102" s="655" t="s">
        <v>6093</v>
      </c>
      <c r="F102" s="655" t="s">
        <v>2963</v>
      </c>
      <c r="G102" s="655" t="s">
        <v>6315</v>
      </c>
      <c r="H102" s="655" t="s">
        <v>2963</v>
      </c>
      <c r="I102" s="503" t="s">
        <v>6120</v>
      </c>
      <c r="J102" s="504" t="s">
        <v>1093</v>
      </c>
      <c r="K102" s="501" t="s">
        <v>148</v>
      </c>
      <c r="L102" s="504"/>
      <c r="M102" s="504" t="s">
        <v>2846</v>
      </c>
      <c r="N102" s="504" t="s">
        <v>6095</v>
      </c>
      <c r="O102" s="501" t="s">
        <v>6365</v>
      </c>
      <c r="P102" s="501" t="s">
        <v>6366</v>
      </c>
      <c r="Q102" s="844">
        <v>0.5</v>
      </c>
      <c r="R102" s="501"/>
      <c r="S102" s="501"/>
      <c r="T102" s="844"/>
      <c r="U102" s="844"/>
    </row>
    <row r="103" ht="16.5" customHeight="1">
      <c r="A103" s="657">
        <v>7.0</v>
      </c>
      <c r="B103" s="503" t="s">
        <v>6367</v>
      </c>
      <c r="C103" s="503" t="s">
        <v>6368</v>
      </c>
      <c r="D103" s="655" t="s">
        <v>6369</v>
      </c>
      <c r="E103" s="655" t="s">
        <v>6093</v>
      </c>
      <c r="F103" s="655" t="s">
        <v>2963</v>
      </c>
      <c r="G103" s="504" t="s">
        <v>6113</v>
      </c>
      <c r="H103" s="655" t="s">
        <v>2963</v>
      </c>
      <c r="I103" s="503" t="s">
        <v>6120</v>
      </c>
      <c r="J103" s="504" t="s">
        <v>1093</v>
      </c>
      <c r="K103" s="501" t="s">
        <v>148</v>
      </c>
      <c r="L103" s="504"/>
      <c r="M103" s="504" t="s">
        <v>2846</v>
      </c>
      <c r="N103" s="504" t="s">
        <v>6095</v>
      </c>
      <c r="O103" s="501" t="s">
        <v>6370</v>
      </c>
      <c r="P103" s="501" t="s">
        <v>6371</v>
      </c>
      <c r="Q103" s="844">
        <v>0.5</v>
      </c>
      <c r="R103" s="501"/>
      <c r="S103" s="501"/>
      <c r="T103" s="844"/>
      <c r="U103" s="844"/>
    </row>
    <row r="104" ht="16.5" customHeight="1">
      <c r="A104" s="657">
        <v>1.0</v>
      </c>
      <c r="B104" s="503" t="s">
        <v>6372</v>
      </c>
      <c r="C104" s="501"/>
      <c r="D104" s="504"/>
      <c r="E104" s="655" t="s">
        <v>6093</v>
      </c>
      <c r="F104" s="655" t="s">
        <v>2963</v>
      </c>
      <c r="G104" s="504" t="s">
        <v>6113</v>
      </c>
      <c r="H104" s="655" t="s">
        <v>2963</v>
      </c>
      <c r="I104" s="501"/>
      <c r="J104" s="504" t="s">
        <v>1093</v>
      </c>
      <c r="K104" s="501" t="s">
        <v>148</v>
      </c>
      <c r="L104" s="504"/>
      <c r="M104" s="504" t="s">
        <v>2846</v>
      </c>
      <c r="N104" s="504" t="s">
        <v>6095</v>
      </c>
      <c r="O104" s="501" t="s">
        <v>6373</v>
      </c>
      <c r="P104" s="501" t="s">
        <v>6374</v>
      </c>
      <c r="Q104" s="844">
        <v>0.5</v>
      </c>
      <c r="R104" s="501"/>
      <c r="S104" s="501"/>
      <c r="T104" s="844"/>
      <c r="U104" s="844"/>
    </row>
    <row r="105" ht="16.5" customHeight="1">
      <c r="A105" s="845">
        <f>A104+1</f>
        <v>2</v>
      </c>
      <c r="B105" s="503" t="s">
        <v>6375</v>
      </c>
      <c r="C105" s="501"/>
      <c r="D105" s="504"/>
      <c r="E105" s="655" t="s">
        <v>6093</v>
      </c>
      <c r="F105" s="655" t="s">
        <v>2963</v>
      </c>
      <c r="G105" s="504" t="s">
        <v>6113</v>
      </c>
      <c r="H105" s="655" t="s">
        <v>2963</v>
      </c>
      <c r="I105" s="501"/>
      <c r="J105" s="504" t="s">
        <v>1093</v>
      </c>
      <c r="K105" s="501" t="s">
        <v>148</v>
      </c>
      <c r="L105" s="504"/>
      <c r="M105" s="504" t="s">
        <v>2846</v>
      </c>
      <c r="N105" s="504" t="s">
        <v>6095</v>
      </c>
      <c r="O105" s="501" t="s">
        <v>6376</v>
      </c>
      <c r="P105" s="501" t="s">
        <v>6377</v>
      </c>
      <c r="Q105" s="844">
        <v>0.5</v>
      </c>
      <c r="R105" s="501"/>
      <c r="S105" s="501"/>
      <c r="T105" s="844"/>
      <c r="U105" s="844"/>
    </row>
    <row r="106" ht="16.5" customHeight="1">
      <c r="A106" s="845">
        <f>A19+1</f>
        <v>4</v>
      </c>
      <c r="B106" s="503" t="s">
        <v>6378</v>
      </c>
      <c r="C106" s="501"/>
      <c r="D106" s="504"/>
      <c r="E106" s="655" t="s">
        <v>6093</v>
      </c>
      <c r="F106" s="655" t="s">
        <v>2963</v>
      </c>
      <c r="G106" s="504" t="s">
        <v>6113</v>
      </c>
      <c r="H106" s="655" t="s">
        <v>2963</v>
      </c>
      <c r="I106" s="501"/>
      <c r="J106" s="504" t="s">
        <v>1093</v>
      </c>
      <c r="K106" s="501" t="s">
        <v>148</v>
      </c>
      <c r="L106" s="504"/>
      <c r="M106" s="504" t="s">
        <v>2846</v>
      </c>
      <c r="N106" s="504" t="s">
        <v>6095</v>
      </c>
      <c r="O106" s="501" t="s">
        <v>6379</v>
      </c>
      <c r="P106" s="501" t="s">
        <v>6380</v>
      </c>
      <c r="Q106" s="844">
        <v>0.5</v>
      </c>
      <c r="R106" s="501"/>
      <c r="S106" s="501"/>
      <c r="T106" s="844"/>
      <c r="U106" s="844"/>
    </row>
    <row r="107" ht="16.5" customHeight="1">
      <c r="A107" s="845">
        <f>A106+1</f>
        <v>5</v>
      </c>
      <c r="B107" s="503" t="s">
        <v>6381</v>
      </c>
      <c r="C107" s="501"/>
      <c r="D107" s="504"/>
      <c r="E107" s="655" t="s">
        <v>6093</v>
      </c>
      <c r="F107" s="655" t="s">
        <v>2963</v>
      </c>
      <c r="G107" s="504" t="s">
        <v>6113</v>
      </c>
      <c r="H107" s="655" t="s">
        <v>2963</v>
      </c>
      <c r="I107" s="501"/>
      <c r="J107" s="504" t="s">
        <v>1093</v>
      </c>
      <c r="K107" s="501" t="s">
        <v>148</v>
      </c>
      <c r="L107" s="504"/>
      <c r="M107" s="504" t="s">
        <v>2846</v>
      </c>
      <c r="N107" s="504" t="s">
        <v>6095</v>
      </c>
      <c r="O107" s="501" t="s">
        <v>6382</v>
      </c>
      <c r="P107" s="501" t="s">
        <v>6383</v>
      </c>
      <c r="Q107" s="844">
        <v>0.5</v>
      </c>
      <c r="R107" s="501"/>
      <c r="S107" s="501"/>
      <c r="T107" s="844"/>
      <c r="U107" s="844"/>
    </row>
    <row r="108" ht="16.5" customHeight="1">
      <c r="A108" s="845">
        <f>A17+1</f>
        <v>2</v>
      </c>
      <c r="B108" s="503" t="s">
        <v>6384</v>
      </c>
      <c r="C108" s="501"/>
      <c r="D108" s="504"/>
      <c r="E108" s="655" t="s">
        <v>6093</v>
      </c>
      <c r="F108" s="655" t="s">
        <v>2963</v>
      </c>
      <c r="G108" s="504" t="s">
        <v>6113</v>
      </c>
      <c r="H108" s="655" t="s">
        <v>2963</v>
      </c>
      <c r="I108" s="501"/>
      <c r="J108" s="504" t="s">
        <v>1093</v>
      </c>
      <c r="K108" s="501" t="s">
        <v>148</v>
      </c>
      <c r="L108" s="504"/>
      <c r="M108" s="504" t="s">
        <v>2846</v>
      </c>
      <c r="N108" s="504" t="s">
        <v>6095</v>
      </c>
      <c r="O108" s="501" t="s">
        <v>6385</v>
      </c>
      <c r="P108" s="501" t="s">
        <v>6386</v>
      </c>
      <c r="Q108" s="844">
        <v>0.5</v>
      </c>
      <c r="R108" s="501"/>
      <c r="S108" s="501"/>
      <c r="T108" s="844"/>
      <c r="U108" s="844"/>
    </row>
    <row r="109" ht="16.5" customHeight="1">
      <c r="A109" s="845">
        <f>A22+1</f>
        <v>7</v>
      </c>
      <c r="B109" s="503" t="s">
        <v>6387</v>
      </c>
      <c r="C109" s="501"/>
      <c r="D109" s="504"/>
      <c r="E109" s="655" t="s">
        <v>6093</v>
      </c>
      <c r="F109" s="655" t="s">
        <v>2963</v>
      </c>
      <c r="G109" s="504" t="s">
        <v>6113</v>
      </c>
      <c r="H109" s="655" t="s">
        <v>2963</v>
      </c>
      <c r="I109" s="501"/>
      <c r="J109" s="504" t="s">
        <v>1093</v>
      </c>
      <c r="K109" s="501" t="s">
        <v>148</v>
      </c>
      <c r="L109" s="504"/>
      <c r="M109" s="504" t="s">
        <v>2846</v>
      </c>
      <c r="N109" s="504" t="s">
        <v>6095</v>
      </c>
      <c r="O109" s="501" t="s">
        <v>6388</v>
      </c>
      <c r="P109" s="501" t="s">
        <v>6389</v>
      </c>
      <c r="Q109" s="844">
        <v>0.5</v>
      </c>
      <c r="R109" s="501"/>
      <c r="S109" s="501"/>
      <c r="T109" s="844"/>
      <c r="U109" s="844"/>
    </row>
    <row r="110" ht="16.5" customHeight="1">
      <c r="A110" s="845">
        <f>A28+1</f>
        <v>3</v>
      </c>
      <c r="B110" s="503" t="s">
        <v>6390</v>
      </c>
      <c r="C110" s="501"/>
      <c r="D110" s="504"/>
      <c r="E110" s="655" t="s">
        <v>6093</v>
      </c>
      <c r="F110" s="655" t="s">
        <v>2963</v>
      </c>
      <c r="G110" s="655" t="s">
        <v>6113</v>
      </c>
      <c r="H110" s="655" t="s">
        <v>2963</v>
      </c>
      <c r="I110" s="501"/>
      <c r="J110" s="504" t="s">
        <v>1093</v>
      </c>
      <c r="K110" s="501" t="s">
        <v>148</v>
      </c>
      <c r="L110" s="504"/>
      <c r="M110" s="504" t="s">
        <v>2846</v>
      </c>
      <c r="N110" s="504" t="s">
        <v>6095</v>
      </c>
      <c r="O110" s="501" t="s">
        <v>6391</v>
      </c>
      <c r="P110" s="501" t="s">
        <v>6392</v>
      </c>
      <c r="Q110" s="844">
        <v>0.5</v>
      </c>
      <c r="R110" s="501"/>
      <c r="S110" s="501"/>
      <c r="T110" s="844"/>
      <c r="U110" s="844"/>
    </row>
    <row r="111" ht="16.5" customHeight="1">
      <c r="A111" s="845">
        <f>A110+1</f>
        <v>4</v>
      </c>
      <c r="B111" s="503" t="s">
        <v>6393</v>
      </c>
      <c r="C111" s="501"/>
      <c r="D111" s="504"/>
      <c r="E111" s="655" t="s">
        <v>6093</v>
      </c>
      <c r="F111" s="655" t="s">
        <v>2963</v>
      </c>
      <c r="G111" s="655" t="s">
        <v>6113</v>
      </c>
      <c r="H111" s="655" t="s">
        <v>2963</v>
      </c>
      <c r="I111" s="501"/>
      <c r="J111" s="504" t="s">
        <v>1093</v>
      </c>
      <c r="K111" s="501" t="s">
        <v>148</v>
      </c>
      <c r="L111" s="504"/>
      <c r="M111" s="504" t="s">
        <v>2846</v>
      </c>
      <c r="N111" s="504" t="s">
        <v>6095</v>
      </c>
      <c r="O111" s="501" t="s">
        <v>6394</v>
      </c>
      <c r="P111" s="501" t="s">
        <v>6395</v>
      </c>
      <c r="Q111" s="844">
        <v>0.5</v>
      </c>
      <c r="R111" s="501"/>
      <c r="S111" s="501"/>
      <c r="T111" s="844"/>
      <c r="U111" s="844"/>
    </row>
    <row r="112" ht="17.25" customHeight="1">
      <c r="A112" s="845">
        <f>A30+1</f>
        <v>5</v>
      </c>
      <c r="B112" s="503" t="s">
        <v>6396</v>
      </c>
      <c r="C112" s="501"/>
      <c r="D112" s="504"/>
      <c r="E112" s="655" t="s">
        <v>6093</v>
      </c>
      <c r="F112" s="655" t="s">
        <v>2963</v>
      </c>
      <c r="G112" s="655" t="s">
        <v>6113</v>
      </c>
      <c r="H112" s="655" t="s">
        <v>2963</v>
      </c>
      <c r="I112" s="501"/>
      <c r="J112" s="504" t="s">
        <v>1093</v>
      </c>
      <c r="K112" s="501" t="s">
        <v>148</v>
      </c>
      <c r="L112" s="504"/>
      <c r="M112" s="504" t="s">
        <v>2846</v>
      </c>
      <c r="N112" s="504" t="s">
        <v>6095</v>
      </c>
      <c r="O112" s="503" t="s">
        <v>6397</v>
      </c>
      <c r="P112" s="501" t="s">
        <v>6398</v>
      </c>
      <c r="Q112" s="844">
        <v>0.5</v>
      </c>
      <c r="R112" s="501"/>
      <c r="S112" s="501"/>
      <c r="T112" s="844"/>
      <c r="U112" s="844"/>
    </row>
    <row r="113" ht="16.5" customHeight="1">
      <c r="A113" s="845">
        <f>A112+1</f>
        <v>6</v>
      </c>
      <c r="B113" s="503" t="s">
        <v>6399</v>
      </c>
      <c r="C113" s="501"/>
      <c r="D113" s="504"/>
      <c r="E113" s="655" t="s">
        <v>6093</v>
      </c>
      <c r="F113" s="655" t="s">
        <v>2963</v>
      </c>
      <c r="G113" s="655" t="s">
        <v>6113</v>
      </c>
      <c r="H113" s="655" t="s">
        <v>2963</v>
      </c>
      <c r="I113" s="501"/>
      <c r="J113" s="504" t="s">
        <v>1093</v>
      </c>
      <c r="K113" s="501" t="s">
        <v>148</v>
      </c>
      <c r="L113" s="504"/>
      <c r="M113" s="504" t="s">
        <v>2846</v>
      </c>
      <c r="N113" s="504" t="s">
        <v>6095</v>
      </c>
      <c r="O113" s="501" t="s">
        <v>6400</v>
      </c>
      <c r="P113" s="501" t="s">
        <v>6401</v>
      </c>
      <c r="Q113" s="844">
        <v>0.5</v>
      </c>
      <c r="R113" s="501"/>
      <c r="S113" s="501"/>
      <c r="T113" s="844"/>
      <c r="U113" s="844"/>
    </row>
    <row r="114" ht="16.5" customHeight="1">
      <c r="A114" s="845">
        <f>A31+1</f>
        <v>6</v>
      </c>
      <c r="B114" s="503" t="s">
        <v>6402</v>
      </c>
      <c r="C114" s="501"/>
      <c r="D114" s="504"/>
      <c r="E114" s="655" t="s">
        <v>6093</v>
      </c>
      <c r="F114" s="655" t="s">
        <v>2963</v>
      </c>
      <c r="G114" s="655" t="s">
        <v>6113</v>
      </c>
      <c r="H114" s="655" t="s">
        <v>2963</v>
      </c>
      <c r="I114" s="501"/>
      <c r="J114" s="504" t="s">
        <v>1093</v>
      </c>
      <c r="K114" s="501" t="s">
        <v>148</v>
      </c>
      <c r="L114" s="504"/>
      <c r="M114" s="504" t="s">
        <v>2846</v>
      </c>
      <c r="N114" s="504" t="s">
        <v>6095</v>
      </c>
      <c r="O114" s="501" t="s">
        <v>6403</v>
      </c>
      <c r="P114" s="501" t="s">
        <v>6404</v>
      </c>
      <c r="Q114" s="844">
        <v>0.5</v>
      </c>
      <c r="R114" s="501"/>
      <c r="S114" s="501"/>
      <c r="T114" s="844"/>
      <c r="U114" s="844"/>
    </row>
    <row r="115" ht="16.5" customHeight="1">
      <c r="A115" s="845">
        <f t="shared" ref="A115:A116" si="6">A114+1</f>
        <v>7</v>
      </c>
      <c r="B115" s="503" t="s">
        <v>6405</v>
      </c>
      <c r="C115" s="501"/>
      <c r="D115" s="504"/>
      <c r="E115" s="655" t="s">
        <v>6093</v>
      </c>
      <c r="F115" s="655" t="s">
        <v>2963</v>
      </c>
      <c r="G115" s="655" t="s">
        <v>6113</v>
      </c>
      <c r="H115" s="655" t="s">
        <v>2963</v>
      </c>
      <c r="I115" s="501"/>
      <c r="J115" s="504" t="s">
        <v>1093</v>
      </c>
      <c r="K115" s="501" t="s">
        <v>148</v>
      </c>
      <c r="L115" s="504"/>
      <c r="M115" s="504" t="s">
        <v>2846</v>
      </c>
      <c r="N115" s="504" t="s">
        <v>6095</v>
      </c>
      <c r="O115" s="501" t="s">
        <v>6406</v>
      </c>
      <c r="P115" s="501" t="s">
        <v>6407</v>
      </c>
      <c r="Q115" s="844">
        <v>0.5</v>
      </c>
      <c r="R115" s="501"/>
      <c r="S115" s="501"/>
      <c r="T115" s="844"/>
      <c r="U115" s="844"/>
    </row>
    <row r="116" ht="16.5" customHeight="1">
      <c r="A116" s="845">
        <f t="shared" si="6"/>
        <v>8</v>
      </c>
      <c r="B116" s="503" t="s">
        <v>6408</v>
      </c>
      <c r="C116" s="501"/>
      <c r="D116" s="504"/>
      <c r="E116" s="655" t="s">
        <v>6093</v>
      </c>
      <c r="F116" s="655" t="s">
        <v>2963</v>
      </c>
      <c r="G116" s="655" t="s">
        <v>6113</v>
      </c>
      <c r="H116" s="655" t="s">
        <v>2963</v>
      </c>
      <c r="I116" s="501"/>
      <c r="J116" s="504" t="s">
        <v>1093</v>
      </c>
      <c r="K116" s="501" t="s">
        <v>148</v>
      </c>
      <c r="L116" s="504"/>
      <c r="M116" s="504" t="s">
        <v>2846</v>
      </c>
      <c r="N116" s="504" t="s">
        <v>6095</v>
      </c>
      <c r="O116" s="501" t="s">
        <v>6409</v>
      </c>
      <c r="P116" s="501" t="s">
        <v>6410</v>
      </c>
      <c r="Q116" s="844">
        <v>0.5</v>
      </c>
      <c r="R116" s="501"/>
      <c r="S116" s="501"/>
      <c r="T116" s="844"/>
      <c r="U116" s="844"/>
    </row>
    <row r="117" ht="16.5" customHeight="1">
      <c r="A117" s="845">
        <f>A32+1</f>
        <v>7</v>
      </c>
      <c r="B117" s="503" t="s">
        <v>6411</v>
      </c>
      <c r="C117" s="501"/>
      <c r="D117" s="504"/>
      <c r="E117" s="655" t="s">
        <v>6093</v>
      </c>
      <c r="F117" s="655" t="s">
        <v>2963</v>
      </c>
      <c r="G117" s="655" t="s">
        <v>6113</v>
      </c>
      <c r="H117" s="655" t="s">
        <v>2963</v>
      </c>
      <c r="I117" s="501"/>
      <c r="J117" s="504" t="s">
        <v>1093</v>
      </c>
      <c r="K117" s="501" t="s">
        <v>148</v>
      </c>
      <c r="L117" s="504"/>
      <c r="M117" s="504" t="s">
        <v>2846</v>
      </c>
      <c r="N117" s="504" t="s">
        <v>6095</v>
      </c>
      <c r="O117" s="501" t="s">
        <v>6412</v>
      </c>
      <c r="P117" s="501" t="s">
        <v>6413</v>
      </c>
      <c r="Q117" s="844">
        <v>0.5</v>
      </c>
      <c r="R117" s="501"/>
      <c r="S117" s="501"/>
      <c r="T117" s="844"/>
      <c r="U117" s="844"/>
    </row>
    <row r="118" ht="16.5" customHeight="1">
      <c r="A118" s="845">
        <f>A117+1</f>
        <v>8</v>
      </c>
      <c r="B118" s="503" t="s">
        <v>6414</v>
      </c>
      <c r="C118" s="501"/>
      <c r="D118" s="504"/>
      <c r="E118" s="655" t="s">
        <v>6093</v>
      </c>
      <c r="F118" s="655" t="s">
        <v>2963</v>
      </c>
      <c r="G118" s="655" t="s">
        <v>6113</v>
      </c>
      <c r="H118" s="655" t="s">
        <v>2963</v>
      </c>
      <c r="I118" s="501"/>
      <c r="J118" s="504" t="s">
        <v>1093</v>
      </c>
      <c r="K118" s="501" t="s">
        <v>148</v>
      </c>
      <c r="L118" s="504"/>
      <c r="M118" s="504" t="s">
        <v>2846</v>
      </c>
      <c r="N118" s="504" t="s">
        <v>6095</v>
      </c>
      <c r="O118" s="501" t="s">
        <v>6415</v>
      </c>
      <c r="P118" s="501" t="s">
        <v>6416</v>
      </c>
      <c r="Q118" s="844">
        <v>0.5</v>
      </c>
      <c r="R118" s="501"/>
      <c r="S118" s="501"/>
      <c r="T118" s="844"/>
      <c r="U118" s="844"/>
    </row>
    <row r="119" ht="19.5" customHeight="1">
      <c r="A119" s="819"/>
      <c r="B119" s="832"/>
      <c r="C119" s="821"/>
      <c r="D119" s="88"/>
      <c r="E119" s="88"/>
      <c r="F119" s="88"/>
      <c r="G119" s="88"/>
      <c r="H119" s="471"/>
      <c r="I119" s="471"/>
      <c r="J119" s="88"/>
      <c r="K119" s="471"/>
      <c r="L119" s="88"/>
      <c r="M119" s="88"/>
      <c r="N119" s="88"/>
      <c r="O119" s="471"/>
      <c r="P119" s="471"/>
      <c r="Q119" s="822"/>
      <c r="R119" s="471"/>
      <c r="S119" s="471"/>
      <c r="T119" s="822"/>
      <c r="U119" s="822"/>
    </row>
    <row r="120" ht="19.5" customHeight="1">
      <c r="A120" s="819"/>
      <c r="B120" s="832"/>
      <c r="C120" s="821"/>
      <c r="D120" s="88"/>
      <c r="E120" s="88"/>
      <c r="F120" s="88"/>
      <c r="G120" s="88"/>
      <c r="H120" s="471"/>
      <c r="I120" s="471"/>
      <c r="J120" s="88"/>
      <c r="K120" s="471"/>
      <c r="L120" s="88"/>
      <c r="M120" s="88"/>
      <c r="N120" s="88"/>
      <c r="O120" s="471"/>
      <c r="P120" s="471"/>
      <c r="Q120" s="822"/>
      <c r="R120" s="471"/>
      <c r="S120" s="471"/>
      <c r="T120" s="822"/>
      <c r="U120" s="822"/>
    </row>
    <row r="121" ht="19.5" customHeight="1">
      <c r="A121" s="819"/>
      <c r="B121" s="832"/>
      <c r="C121" s="821"/>
      <c r="D121" s="88"/>
      <c r="E121" s="88"/>
      <c r="F121" s="88"/>
      <c r="G121" s="88"/>
      <c r="H121" s="471"/>
      <c r="I121" s="471"/>
      <c r="J121" s="88"/>
      <c r="K121" s="471"/>
      <c r="L121" s="88"/>
      <c r="M121" s="88"/>
      <c r="N121" s="88"/>
      <c r="O121" s="471"/>
      <c r="P121" s="471"/>
      <c r="Q121" s="822"/>
      <c r="R121" s="471"/>
      <c r="S121" s="471"/>
      <c r="T121" s="822"/>
      <c r="U121" s="822"/>
    </row>
    <row r="122" ht="19.5" customHeight="1">
      <c r="A122" s="819"/>
      <c r="B122" s="832"/>
      <c r="C122" s="821"/>
      <c r="D122" s="88"/>
      <c r="E122" s="88"/>
      <c r="F122" s="88"/>
      <c r="G122" s="88"/>
      <c r="H122" s="471"/>
      <c r="I122" s="471"/>
      <c r="J122" s="88"/>
      <c r="K122" s="471"/>
      <c r="L122" s="88"/>
      <c r="M122" s="88"/>
      <c r="N122" s="88"/>
      <c r="O122" s="471"/>
      <c r="P122" s="471"/>
      <c r="Q122" s="822"/>
      <c r="R122" s="471"/>
      <c r="S122" s="471"/>
      <c r="T122" s="822"/>
      <c r="U122" s="822"/>
    </row>
    <row r="123" ht="19.5" customHeight="1">
      <c r="A123" s="819"/>
      <c r="B123" s="832"/>
      <c r="C123" s="821"/>
      <c r="D123" s="88"/>
      <c r="E123" s="88"/>
      <c r="F123" s="88"/>
      <c r="G123" s="88"/>
      <c r="H123" s="471"/>
      <c r="I123" s="471"/>
      <c r="J123" s="88"/>
      <c r="K123" s="471"/>
      <c r="L123" s="88"/>
      <c r="M123" s="88"/>
      <c r="N123" s="88"/>
      <c r="O123" s="471"/>
      <c r="P123" s="471"/>
      <c r="Q123" s="822"/>
      <c r="R123" s="471"/>
      <c r="S123" s="471"/>
      <c r="T123" s="822"/>
      <c r="U123" s="822"/>
    </row>
    <row r="124" ht="19.5" customHeight="1">
      <c r="A124" s="819"/>
      <c r="B124" s="832"/>
      <c r="C124" s="821"/>
      <c r="D124" s="88"/>
      <c r="E124" s="88"/>
      <c r="F124" s="88"/>
      <c r="G124" s="88"/>
      <c r="H124" s="471"/>
      <c r="I124" s="471"/>
      <c r="J124" s="88"/>
      <c r="K124" s="471"/>
      <c r="L124" s="88"/>
      <c r="M124" s="88"/>
      <c r="N124" s="88"/>
      <c r="O124" s="471"/>
      <c r="P124" s="471"/>
      <c r="Q124" s="471"/>
      <c r="R124" s="471"/>
      <c r="S124" s="471"/>
      <c r="T124" s="822"/>
      <c r="U124" s="822"/>
    </row>
    <row r="125" ht="19.5" hidden="1" customHeight="1">
      <c r="A125" s="819"/>
      <c r="B125" s="832"/>
      <c r="C125" s="823" t="s">
        <v>4580</v>
      </c>
      <c r="D125" s="88"/>
      <c r="E125" s="88"/>
      <c r="F125" s="88"/>
      <c r="G125" s="88"/>
      <c r="H125" s="471"/>
      <c r="I125" s="471"/>
      <c r="J125" s="88"/>
      <c r="K125" s="471"/>
      <c r="L125" s="88"/>
      <c r="M125" s="88"/>
      <c r="N125" s="88"/>
      <c r="O125" s="471"/>
      <c r="P125" s="471"/>
      <c r="Q125" s="471"/>
      <c r="R125" s="471"/>
      <c r="S125" s="471"/>
      <c r="T125" s="822"/>
      <c r="U125" s="822"/>
    </row>
    <row r="126" ht="19.5" customHeight="1">
      <c r="A126" s="796"/>
      <c r="B126" s="804" t="s">
        <v>6417</v>
      </c>
      <c r="C126" s="798">
        <f>SUM($C$3,$C$39,$C$76)</f>
        <v>61</v>
      </c>
      <c r="D126" s="799"/>
      <c r="E126" s="799"/>
      <c r="F126" s="799"/>
      <c r="G126" s="799"/>
      <c r="H126" s="801"/>
      <c r="I126" s="801"/>
      <c r="J126" s="799"/>
      <c r="K126" s="801"/>
      <c r="L126" s="799"/>
      <c r="M126" s="799"/>
      <c r="N126" s="799"/>
      <c r="O126" s="801"/>
      <c r="P126" s="801"/>
      <c r="Q126" s="801"/>
      <c r="R126" s="801"/>
      <c r="S126" s="801"/>
      <c r="T126" s="803"/>
      <c r="U126" s="803"/>
    </row>
    <row r="127" ht="14.25" customHeight="1">
      <c r="A127" s="846"/>
      <c r="B127" s="846"/>
      <c r="C127" s="846"/>
      <c r="D127" s="847"/>
      <c r="E127" s="847"/>
      <c r="F127" s="846"/>
      <c r="G127" s="847"/>
      <c r="H127" s="848"/>
      <c r="I127" s="846"/>
      <c r="J127" s="846"/>
      <c r="K127" s="846"/>
      <c r="L127" s="846"/>
      <c r="M127" s="846"/>
      <c r="N127" s="847"/>
      <c r="O127" s="846"/>
      <c r="P127" s="846"/>
      <c r="Q127" s="846"/>
      <c r="R127" s="846"/>
      <c r="S127" s="846"/>
      <c r="T127" s="846"/>
      <c r="U127" s="846"/>
    </row>
    <row r="128" ht="14.25" customHeight="1">
      <c r="A128" s="846"/>
      <c r="B128" s="846"/>
      <c r="C128" s="846"/>
      <c r="D128" s="847"/>
      <c r="E128" s="847"/>
      <c r="F128" s="846"/>
      <c r="G128" s="847"/>
      <c r="H128" s="849"/>
      <c r="I128" s="846"/>
      <c r="J128" s="846"/>
      <c r="K128" s="846"/>
      <c r="L128" s="846"/>
      <c r="M128" s="846"/>
      <c r="N128" s="847"/>
      <c r="O128" s="846"/>
      <c r="P128" s="846"/>
      <c r="Q128" s="846"/>
      <c r="R128" s="846"/>
      <c r="S128" s="846"/>
      <c r="T128" s="846"/>
      <c r="U128" s="846"/>
    </row>
    <row r="129" ht="14.25" customHeight="1">
      <c r="A129" s="846"/>
      <c r="B129" s="846"/>
      <c r="C129" s="846"/>
      <c r="D129" s="847"/>
      <c r="E129" s="847"/>
      <c r="F129" s="846"/>
      <c r="G129" s="847"/>
      <c r="H129" s="849"/>
      <c r="I129" s="846"/>
      <c r="J129" s="846"/>
      <c r="K129" s="846"/>
      <c r="L129" s="846"/>
      <c r="M129" s="846"/>
      <c r="N129" s="847"/>
      <c r="O129" s="846"/>
      <c r="P129" s="846"/>
      <c r="Q129" s="846"/>
      <c r="R129" s="846"/>
      <c r="S129" s="846"/>
      <c r="T129" s="846"/>
      <c r="U129" s="846"/>
    </row>
    <row r="130" ht="14.25" customHeight="1">
      <c r="A130" s="846"/>
      <c r="B130" s="846"/>
      <c r="C130" s="846"/>
      <c r="D130" s="847"/>
      <c r="E130" s="847"/>
      <c r="F130" s="846"/>
      <c r="G130" s="847"/>
      <c r="H130" s="849"/>
      <c r="I130" s="846"/>
      <c r="J130" s="846"/>
      <c r="K130" s="846"/>
      <c r="L130" s="846"/>
      <c r="M130" s="846"/>
      <c r="N130" s="847"/>
      <c r="O130" s="846"/>
      <c r="P130" s="846"/>
      <c r="Q130" s="846"/>
      <c r="R130" s="846"/>
      <c r="S130" s="846"/>
      <c r="T130" s="846"/>
      <c r="U130" s="846"/>
    </row>
    <row r="131" ht="14.25" customHeight="1">
      <c r="A131" s="846"/>
      <c r="B131" s="846"/>
      <c r="C131" s="846"/>
      <c r="D131" s="847"/>
      <c r="E131" s="847"/>
      <c r="F131" s="846"/>
      <c r="G131" s="847"/>
      <c r="H131" s="849"/>
      <c r="I131" s="846"/>
      <c r="J131" s="846"/>
      <c r="K131" s="846"/>
      <c r="L131" s="846"/>
      <c r="M131" s="846"/>
      <c r="N131" s="847"/>
      <c r="O131" s="846"/>
      <c r="P131" s="846"/>
      <c r="Q131" s="846"/>
      <c r="R131" s="846"/>
      <c r="S131" s="846"/>
      <c r="T131" s="846"/>
      <c r="U131" s="846"/>
    </row>
    <row r="132" ht="14.25" customHeight="1">
      <c r="A132" s="846"/>
      <c r="B132" s="846"/>
      <c r="C132" s="846"/>
      <c r="D132" s="847"/>
      <c r="E132" s="847"/>
      <c r="F132" s="846"/>
      <c r="G132" s="847"/>
      <c r="H132" s="849"/>
      <c r="I132" s="846"/>
      <c r="J132" s="846"/>
      <c r="K132" s="846"/>
      <c r="L132" s="846"/>
      <c r="M132" s="846"/>
      <c r="N132" s="847"/>
      <c r="O132" s="846"/>
      <c r="P132" s="846"/>
      <c r="Q132" s="846"/>
      <c r="R132" s="846"/>
      <c r="S132" s="846"/>
      <c r="T132" s="846"/>
      <c r="U132" s="846"/>
    </row>
    <row r="133" ht="14.25" customHeight="1">
      <c r="A133" s="846"/>
      <c r="B133" s="846"/>
      <c r="C133" s="846"/>
      <c r="D133" s="847"/>
      <c r="E133" s="847"/>
      <c r="F133" s="846"/>
      <c r="G133" s="847"/>
      <c r="H133" s="849"/>
      <c r="I133" s="846"/>
      <c r="J133" s="846"/>
      <c r="K133" s="846"/>
      <c r="L133" s="846"/>
      <c r="M133" s="846"/>
      <c r="N133" s="847"/>
      <c r="O133" s="846"/>
      <c r="P133" s="846"/>
      <c r="Q133" s="846"/>
      <c r="R133" s="846"/>
      <c r="S133" s="846"/>
      <c r="T133" s="846"/>
      <c r="U133" s="846"/>
    </row>
    <row r="134" ht="14.25" customHeight="1">
      <c r="A134" s="846"/>
      <c r="B134" s="846"/>
      <c r="C134" s="846"/>
      <c r="D134" s="847"/>
      <c r="E134" s="847"/>
      <c r="F134" s="846"/>
      <c r="G134" s="847"/>
      <c r="H134" s="849"/>
      <c r="I134" s="846"/>
      <c r="J134" s="846"/>
      <c r="K134" s="846"/>
      <c r="L134" s="846"/>
      <c r="M134" s="846"/>
      <c r="N134" s="847"/>
      <c r="O134" s="846"/>
      <c r="P134" s="846"/>
      <c r="Q134" s="846"/>
      <c r="R134" s="846"/>
      <c r="S134" s="846"/>
      <c r="T134" s="846"/>
      <c r="U134" s="846"/>
    </row>
    <row r="135" ht="14.25" customHeight="1">
      <c r="A135" s="846"/>
      <c r="B135" s="846"/>
      <c r="C135" s="846"/>
      <c r="D135" s="847"/>
      <c r="E135" s="847"/>
      <c r="F135" s="846"/>
      <c r="G135" s="847"/>
      <c r="H135" s="849"/>
      <c r="I135" s="846"/>
      <c r="J135" s="846"/>
      <c r="K135" s="846"/>
      <c r="L135" s="846"/>
      <c r="M135" s="846"/>
      <c r="N135" s="847"/>
      <c r="O135" s="846"/>
      <c r="P135" s="846"/>
      <c r="Q135" s="846"/>
      <c r="R135" s="846"/>
      <c r="S135" s="846"/>
      <c r="T135" s="846"/>
      <c r="U135" s="846"/>
    </row>
    <row r="136" ht="14.25" customHeight="1">
      <c r="A136" s="846"/>
      <c r="B136" s="846"/>
      <c r="C136" s="846"/>
      <c r="D136" s="847"/>
      <c r="E136" s="847"/>
      <c r="F136" s="846"/>
      <c r="G136" s="847"/>
      <c r="H136" s="848"/>
      <c r="I136" s="846"/>
      <c r="J136" s="846"/>
      <c r="K136" s="846"/>
      <c r="L136" s="846"/>
      <c r="M136" s="846"/>
      <c r="N136" s="847"/>
      <c r="O136" s="846"/>
      <c r="P136" s="846"/>
      <c r="Q136" s="846"/>
      <c r="R136" s="846"/>
      <c r="S136" s="846"/>
      <c r="T136" s="846"/>
      <c r="U136" s="846"/>
    </row>
    <row r="137" ht="14.25" customHeight="1">
      <c r="A137" s="846"/>
      <c r="B137" s="846"/>
      <c r="C137" s="846"/>
      <c r="D137" s="847"/>
      <c r="E137" s="847"/>
      <c r="F137" s="846"/>
      <c r="G137" s="847"/>
      <c r="H137" s="848"/>
      <c r="I137" s="846"/>
      <c r="J137" s="846"/>
      <c r="K137" s="846"/>
      <c r="L137" s="846"/>
      <c r="M137" s="846"/>
      <c r="N137" s="847"/>
      <c r="O137" s="846"/>
      <c r="P137" s="846"/>
      <c r="Q137" s="846"/>
      <c r="R137" s="846"/>
      <c r="S137" s="846"/>
      <c r="T137" s="846"/>
      <c r="U137" s="846"/>
    </row>
    <row r="138" ht="14.25" customHeight="1">
      <c r="A138" s="846"/>
      <c r="B138" s="846"/>
      <c r="C138" s="846"/>
      <c r="D138" s="847"/>
      <c r="E138" s="847"/>
      <c r="F138" s="846"/>
      <c r="G138" s="847"/>
      <c r="H138" s="849"/>
      <c r="I138" s="846"/>
      <c r="J138" s="846"/>
      <c r="K138" s="846"/>
      <c r="L138" s="846"/>
      <c r="M138" s="846"/>
      <c r="N138" s="847"/>
      <c r="O138" s="846"/>
      <c r="P138" s="846"/>
      <c r="Q138" s="846"/>
      <c r="R138" s="846"/>
      <c r="S138" s="846"/>
      <c r="T138" s="846"/>
      <c r="U138" s="846"/>
    </row>
    <row r="139" ht="14.25" customHeight="1">
      <c r="A139" s="846"/>
      <c r="B139" s="846"/>
      <c r="C139" s="846"/>
      <c r="D139" s="847"/>
      <c r="E139" s="847"/>
      <c r="F139" s="846"/>
      <c r="G139" s="847"/>
      <c r="H139" s="849"/>
      <c r="I139" s="846"/>
      <c r="J139" s="846"/>
      <c r="K139" s="846"/>
      <c r="L139" s="846"/>
      <c r="M139" s="846"/>
      <c r="N139" s="847"/>
      <c r="O139" s="846"/>
      <c r="P139" s="846"/>
      <c r="Q139" s="846"/>
      <c r="R139" s="846"/>
      <c r="S139" s="846"/>
      <c r="T139" s="846"/>
      <c r="U139" s="846"/>
    </row>
    <row r="140" ht="14.25" customHeight="1">
      <c r="A140" s="846"/>
      <c r="B140" s="846"/>
      <c r="C140" s="846"/>
      <c r="D140" s="847"/>
      <c r="E140" s="847"/>
      <c r="F140" s="846"/>
      <c r="G140" s="847"/>
      <c r="H140" s="848"/>
      <c r="I140" s="846"/>
      <c r="J140" s="846"/>
      <c r="K140" s="846"/>
      <c r="L140" s="846"/>
      <c r="M140" s="846"/>
      <c r="N140" s="847"/>
      <c r="O140" s="846"/>
      <c r="P140" s="846"/>
      <c r="Q140" s="846"/>
      <c r="R140" s="846"/>
      <c r="S140" s="846"/>
      <c r="T140" s="846"/>
      <c r="U140" s="846"/>
    </row>
    <row r="141" ht="14.25" customHeight="1">
      <c r="A141" s="846"/>
      <c r="B141" s="846"/>
      <c r="C141" s="846"/>
      <c r="D141" s="847"/>
      <c r="E141" s="847"/>
      <c r="F141" s="846"/>
      <c r="G141" s="847"/>
      <c r="H141" s="849"/>
      <c r="I141" s="846"/>
      <c r="J141" s="846"/>
      <c r="K141" s="846"/>
      <c r="L141" s="846"/>
      <c r="M141" s="846"/>
      <c r="N141" s="847"/>
      <c r="O141" s="846"/>
      <c r="P141" s="846"/>
      <c r="Q141" s="846"/>
      <c r="R141" s="846"/>
      <c r="S141" s="846"/>
      <c r="T141" s="846"/>
      <c r="U141" s="846"/>
    </row>
    <row r="142" ht="14.25" customHeight="1">
      <c r="A142" s="846"/>
      <c r="B142" s="846"/>
      <c r="C142" s="846"/>
      <c r="D142" s="847"/>
      <c r="E142" s="847"/>
      <c r="F142" s="846"/>
      <c r="G142" s="847"/>
      <c r="H142" s="849"/>
      <c r="I142" s="846"/>
      <c r="J142" s="846"/>
      <c r="K142" s="846"/>
      <c r="L142" s="846"/>
      <c r="M142" s="846"/>
      <c r="N142" s="847"/>
      <c r="O142" s="846"/>
      <c r="P142" s="846"/>
      <c r="Q142" s="846"/>
      <c r="R142" s="846"/>
      <c r="S142" s="846"/>
      <c r="T142" s="846"/>
      <c r="U142" s="846"/>
    </row>
    <row r="143" ht="14.25" customHeight="1">
      <c r="A143" s="846"/>
      <c r="B143" s="846"/>
      <c r="C143" s="846"/>
      <c r="D143" s="847"/>
      <c r="E143" s="847"/>
      <c r="F143" s="846"/>
      <c r="G143" s="847"/>
      <c r="H143" s="848"/>
      <c r="I143" s="846"/>
      <c r="J143" s="846"/>
      <c r="K143" s="846"/>
      <c r="L143" s="846"/>
      <c r="M143" s="846"/>
      <c r="N143" s="847"/>
      <c r="O143" s="846"/>
      <c r="P143" s="846"/>
      <c r="Q143" s="846"/>
      <c r="R143" s="846"/>
      <c r="S143" s="846"/>
      <c r="T143" s="846"/>
      <c r="U143" s="846"/>
    </row>
    <row r="144" ht="14.25" customHeight="1">
      <c r="A144" s="846"/>
      <c r="B144" s="846"/>
      <c r="C144" s="846"/>
      <c r="D144" s="847"/>
      <c r="E144" s="847"/>
      <c r="F144" s="846"/>
      <c r="G144" s="847"/>
      <c r="H144" s="849"/>
      <c r="I144" s="846"/>
      <c r="J144" s="846"/>
      <c r="K144" s="846"/>
      <c r="L144" s="846"/>
      <c r="M144" s="846"/>
      <c r="N144" s="847"/>
      <c r="O144" s="846"/>
      <c r="P144" s="846"/>
      <c r="Q144" s="846"/>
      <c r="R144" s="846"/>
      <c r="S144" s="846"/>
      <c r="T144" s="846"/>
      <c r="U144" s="846"/>
    </row>
    <row r="145" ht="14.25" customHeight="1">
      <c r="A145" s="846"/>
      <c r="B145" s="846"/>
      <c r="C145" s="846"/>
      <c r="D145" s="847"/>
      <c r="E145" s="847"/>
      <c r="F145" s="846"/>
      <c r="G145" s="847"/>
      <c r="H145" s="849"/>
      <c r="I145" s="846"/>
      <c r="J145" s="846"/>
      <c r="K145" s="846"/>
      <c r="L145" s="846"/>
      <c r="M145" s="846"/>
      <c r="N145" s="847"/>
      <c r="O145" s="846"/>
      <c r="P145" s="846"/>
      <c r="Q145" s="846"/>
      <c r="R145" s="846"/>
      <c r="S145" s="846"/>
      <c r="T145" s="846"/>
      <c r="U145" s="846"/>
    </row>
    <row r="146" ht="14.25" customHeight="1">
      <c r="A146" s="846"/>
      <c r="B146" s="846"/>
      <c r="C146" s="846"/>
      <c r="D146" s="847"/>
      <c r="E146" s="847"/>
      <c r="F146" s="846"/>
      <c r="G146" s="847"/>
      <c r="H146" s="849"/>
      <c r="I146" s="846"/>
      <c r="J146" s="846"/>
      <c r="K146" s="846"/>
      <c r="L146" s="846"/>
      <c r="M146" s="846"/>
      <c r="N146" s="847"/>
      <c r="O146" s="846"/>
      <c r="P146" s="846"/>
      <c r="Q146" s="846"/>
      <c r="R146" s="846"/>
      <c r="S146" s="846"/>
      <c r="T146" s="846"/>
      <c r="U146" s="846"/>
    </row>
    <row r="147" ht="14.25" customHeight="1">
      <c r="A147" s="846"/>
      <c r="B147" s="846"/>
      <c r="C147" s="846"/>
      <c r="D147" s="847"/>
      <c r="E147" s="847"/>
      <c r="F147" s="846"/>
      <c r="G147" s="847"/>
      <c r="H147" s="849"/>
      <c r="I147" s="846"/>
      <c r="J147" s="846"/>
      <c r="K147" s="846"/>
      <c r="L147" s="846"/>
      <c r="M147" s="846"/>
      <c r="N147" s="847"/>
      <c r="O147" s="846"/>
      <c r="P147" s="846"/>
      <c r="Q147" s="846"/>
      <c r="R147" s="846"/>
      <c r="S147" s="846"/>
      <c r="T147" s="846"/>
      <c r="U147" s="846"/>
    </row>
    <row r="148" ht="14.25" customHeight="1">
      <c r="A148" s="846"/>
      <c r="B148" s="846"/>
      <c r="C148" s="846"/>
      <c r="D148" s="847"/>
      <c r="E148" s="847"/>
      <c r="F148" s="846"/>
      <c r="G148" s="847"/>
      <c r="H148" s="849"/>
      <c r="I148" s="846"/>
      <c r="J148" s="846"/>
      <c r="K148" s="846"/>
      <c r="L148" s="846"/>
      <c r="M148" s="846"/>
      <c r="N148" s="847"/>
      <c r="O148" s="846"/>
      <c r="P148" s="846"/>
      <c r="Q148" s="846"/>
      <c r="R148" s="846"/>
      <c r="S148" s="846"/>
      <c r="T148" s="846"/>
      <c r="U148" s="846"/>
    </row>
    <row r="149" ht="14.25" customHeight="1">
      <c r="A149" s="846"/>
      <c r="B149" s="846"/>
      <c r="C149" s="846"/>
      <c r="D149" s="847"/>
      <c r="E149" s="847"/>
      <c r="F149" s="846"/>
      <c r="G149" s="847"/>
      <c r="H149" s="849"/>
      <c r="I149" s="846"/>
      <c r="J149" s="846"/>
      <c r="K149" s="846"/>
      <c r="L149" s="846"/>
      <c r="M149" s="846"/>
      <c r="N149" s="847"/>
      <c r="O149" s="846"/>
      <c r="P149" s="846"/>
      <c r="Q149" s="846"/>
      <c r="R149" s="846"/>
      <c r="S149" s="846"/>
      <c r="T149" s="846"/>
      <c r="U149" s="846"/>
    </row>
    <row r="150" ht="14.25" customHeight="1">
      <c r="A150" s="846"/>
      <c r="B150" s="846"/>
      <c r="C150" s="846"/>
      <c r="D150" s="847"/>
      <c r="E150" s="847"/>
      <c r="F150" s="846"/>
      <c r="G150" s="847"/>
      <c r="H150" s="849"/>
      <c r="I150" s="846"/>
      <c r="J150" s="846"/>
      <c r="K150" s="846"/>
      <c r="L150" s="846"/>
      <c r="M150" s="846"/>
      <c r="N150" s="847"/>
      <c r="O150" s="846"/>
      <c r="P150" s="846"/>
      <c r="Q150" s="846"/>
      <c r="R150" s="846"/>
      <c r="S150" s="846"/>
      <c r="T150" s="846"/>
      <c r="U150" s="846"/>
    </row>
    <row r="151" ht="14.25" customHeight="1">
      <c r="A151" s="846"/>
      <c r="B151" s="846"/>
      <c r="C151" s="846"/>
      <c r="D151" s="847"/>
      <c r="E151" s="847"/>
      <c r="F151" s="846"/>
      <c r="G151" s="847"/>
      <c r="H151" s="849"/>
      <c r="I151" s="846"/>
      <c r="J151" s="846"/>
      <c r="K151" s="846"/>
      <c r="L151" s="846"/>
      <c r="M151" s="846"/>
      <c r="N151" s="847"/>
      <c r="O151" s="846"/>
      <c r="P151" s="846"/>
      <c r="Q151" s="846"/>
      <c r="R151" s="846"/>
      <c r="S151" s="846"/>
      <c r="T151" s="846"/>
      <c r="U151" s="846"/>
    </row>
    <row r="152" ht="14.25" customHeight="1">
      <c r="A152" s="846"/>
      <c r="B152" s="846"/>
      <c r="C152" s="846"/>
      <c r="D152" s="847"/>
      <c r="E152" s="847"/>
      <c r="F152" s="846"/>
      <c r="G152" s="847"/>
      <c r="H152" s="848"/>
      <c r="I152" s="846"/>
      <c r="J152" s="846"/>
      <c r="K152" s="846"/>
      <c r="L152" s="846"/>
      <c r="M152" s="846"/>
      <c r="N152" s="847"/>
      <c r="O152" s="846"/>
      <c r="P152" s="846"/>
      <c r="Q152" s="846"/>
      <c r="R152" s="846"/>
      <c r="S152" s="846"/>
      <c r="T152" s="846"/>
      <c r="U152" s="846"/>
    </row>
    <row r="153" ht="14.25" customHeight="1">
      <c r="A153" s="846"/>
      <c r="B153" s="846"/>
      <c r="C153" s="846"/>
      <c r="D153" s="847"/>
      <c r="E153" s="847"/>
      <c r="F153" s="846"/>
      <c r="G153" s="847"/>
      <c r="H153" s="849"/>
      <c r="I153" s="846"/>
      <c r="J153" s="846"/>
      <c r="K153" s="846"/>
      <c r="L153" s="846"/>
      <c r="M153" s="846"/>
      <c r="N153" s="847"/>
      <c r="O153" s="846"/>
      <c r="P153" s="846"/>
      <c r="Q153" s="846"/>
      <c r="R153" s="846"/>
      <c r="S153" s="846"/>
      <c r="T153" s="846"/>
      <c r="U153" s="846"/>
    </row>
    <row r="154" ht="14.25" customHeight="1">
      <c r="A154" s="846"/>
      <c r="B154" s="846"/>
      <c r="C154" s="846"/>
      <c r="D154" s="847"/>
      <c r="E154" s="847"/>
      <c r="F154" s="846"/>
      <c r="G154" s="847"/>
      <c r="H154" s="848"/>
      <c r="I154" s="846"/>
      <c r="J154" s="846"/>
      <c r="K154" s="846"/>
      <c r="L154" s="846"/>
      <c r="M154" s="846"/>
      <c r="N154" s="847"/>
      <c r="O154" s="846"/>
      <c r="P154" s="846"/>
      <c r="Q154" s="846"/>
      <c r="R154" s="846"/>
      <c r="S154" s="846"/>
      <c r="T154" s="846"/>
      <c r="U154" s="846"/>
    </row>
    <row r="155" ht="14.25" customHeight="1">
      <c r="A155" s="846"/>
      <c r="B155" s="846"/>
      <c r="C155" s="846"/>
      <c r="D155" s="847"/>
      <c r="E155" s="847"/>
      <c r="F155" s="846"/>
      <c r="G155" s="847"/>
      <c r="H155" s="849"/>
      <c r="I155" s="846"/>
      <c r="J155" s="846"/>
      <c r="K155" s="846"/>
      <c r="L155" s="846"/>
      <c r="M155" s="846"/>
      <c r="N155" s="847"/>
      <c r="O155" s="846"/>
      <c r="P155" s="846"/>
      <c r="Q155" s="846"/>
      <c r="R155" s="846"/>
      <c r="S155" s="846"/>
      <c r="T155" s="846"/>
      <c r="U155" s="846"/>
    </row>
    <row r="156" ht="14.25" customHeight="1">
      <c r="A156" s="846"/>
      <c r="B156" s="846"/>
      <c r="C156" s="846"/>
      <c r="D156" s="847"/>
      <c r="E156" s="847"/>
      <c r="F156" s="846"/>
      <c r="G156" s="847"/>
      <c r="H156" s="849"/>
      <c r="I156" s="846"/>
      <c r="J156" s="846"/>
      <c r="K156" s="846"/>
      <c r="L156" s="846"/>
      <c r="M156" s="846"/>
      <c r="N156" s="847"/>
      <c r="O156" s="846"/>
      <c r="P156" s="846"/>
      <c r="Q156" s="846"/>
      <c r="R156" s="846"/>
      <c r="S156" s="846"/>
      <c r="T156" s="846"/>
      <c r="U156" s="846"/>
    </row>
    <row r="157" ht="14.25" customHeight="1">
      <c r="A157" s="846"/>
      <c r="B157" s="846"/>
      <c r="C157" s="846"/>
      <c r="D157" s="847"/>
      <c r="E157" s="847"/>
      <c r="F157" s="846"/>
      <c r="G157" s="847"/>
      <c r="H157" s="849"/>
      <c r="I157" s="846"/>
      <c r="J157" s="846"/>
      <c r="K157" s="846"/>
      <c r="L157" s="846"/>
      <c r="M157" s="846"/>
      <c r="N157" s="847"/>
      <c r="O157" s="846"/>
      <c r="P157" s="846"/>
      <c r="Q157" s="846"/>
      <c r="R157" s="846"/>
      <c r="S157" s="846"/>
      <c r="T157" s="846"/>
      <c r="U157" s="846"/>
    </row>
    <row r="158" ht="14.25" customHeight="1">
      <c r="A158" s="846"/>
      <c r="B158" s="846"/>
      <c r="C158" s="846"/>
      <c r="D158" s="847"/>
      <c r="E158" s="847"/>
      <c r="F158" s="846"/>
      <c r="G158" s="847"/>
      <c r="H158" s="849"/>
      <c r="I158" s="846"/>
      <c r="J158" s="846"/>
      <c r="K158" s="846"/>
      <c r="L158" s="846"/>
      <c r="M158" s="846"/>
      <c r="N158" s="847"/>
      <c r="O158" s="846"/>
      <c r="P158" s="846"/>
      <c r="Q158" s="846"/>
      <c r="R158" s="846"/>
      <c r="S158" s="846"/>
      <c r="T158" s="846"/>
      <c r="U158" s="846"/>
    </row>
    <row r="159" ht="14.25" customHeight="1">
      <c r="A159" s="846"/>
      <c r="B159" s="846"/>
      <c r="C159" s="846"/>
      <c r="D159" s="847"/>
      <c r="E159" s="847"/>
      <c r="F159" s="846"/>
      <c r="G159" s="847"/>
      <c r="H159" s="849"/>
      <c r="I159" s="846"/>
      <c r="J159" s="846"/>
      <c r="K159" s="846"/>
      <c r="L159" s="846"/>
      <c r="M159" s="846"/>
      <c r="N159" s="847"/>
      <c r="O159" s="846"/>
      <c r="P159" s="846"/>
      <c r="Q159" s="846"/>
      <c r="R159" s="846"/>
      <c r="S159" s="846"/>
      <c r="T159" s="846"/>
      <c r="U159" s="846"/>
    </row>
    <row r="160" ht="14.25" customHeight="1">
      <c r="A160" s="846"/>
      <c r="B160" s="846"/>
      <c r="C160" s="846"/>
      <c r="D160" s="847"/>
      <c r="E160" s="847"/>
      <c r="F160" s="846"/>
      <c r="G160" s="847"/>
      <c r="H160" s="849"/>
      <c r="I160" s="846"/>
      <c r="J160" s="846"/>
      <c r="K160" s="846"/>
      <c r="L160" s="846"/>
      <c r="M160" s="846"/>
      <c r="N160" s="847"/>
      <c r="O160" s="846"/>
      <c r="P160" s="846"/>
      <c r="Q160" s="846"/>
      <c r="R160" s="846"/>
      <c r="S160" s="846"/>
      <c r="T160" s="846"/>
      <c r="U160" s="846"/>
    </row>
    <row r="161" ht="14.25" customHeight="1">
      <c r="A161" s="846"/>
      <c r="B161" s="846"/>
      <c r="C161" s="846"/>
      <c r="D161" s="847"/>
      <c r="E161" s="847"/>
      <c r="F161" s="846"/>
      <c r="G161" s="847"/>
      <c r="H161" s="849"/>
      <c r="I161" s="846"/>
      <c r="J161" s="846"/>
      <c r="K161" s="846"/>
      <c r="L161" s="846"/>
      <c r="M161" s="846"/>
      <c r="N161" s="847"/>
      <c r="O161" s="846"/>
      <c r="P161" s="846"/>
      <c r="Q161" s="846"/>
      <c r="R161" s="846"/>
      <c r="S161" s="846"/>
      <c r="T161" s="846"/>
      <c r="U161" s="846"/>
    </row>
    <row r="162" ht="14.25" customHeight="1">
      <c r="A162" s="846"/>
      <c r="B162" s="846"/>
      <c r="C162" s="846"/>
      <c r="D162" s="847"/>
      <c r="E162" s="847"/>
      <c r="F162" s="846"/>
      <c r="G162" s="847"/>
      <c r="H162" s="849"/>
      <c r="I162" s="846"/>
      <c r="J162" s="846"/>
      <c r="K162" s="846"/>
      <c r="L162" s="846"/>
      <c r="M162" s="846"/>
      <c r="N162" s="847"/>
      <c r="O162" s="846"/>
      <c r="P162" s="846"/>
      <c r="Q162" s="846"/>
      <c r="R162" s="846"/>
      <c r="S162" s="846"/>
      <c r="T162" s="846"/>
      <c r="U162" s="846"/>
    </row>
    <row r="163" ht="14.25" customHeight="1">
      <c r="A163" s="846"/>
      <c r="B163" s="846"/>
      <c r="C163" s="846"/>
      <c r="D163" s="847"/>
      <c r="E163" s="847"/>
      <c r="F163" s="846"/>
      <c r="G163" s="847"/>
      <c r="H163" s="848"/>
      <c r="I163" s="846"/>
      <c r="J163" s="846"/>
      <c r="K163" s="846"/>
      <c r="L163" s="846"/>
      <c r="M163" s="846"/>
      <c r="N163" s="847"/>
      <c r="O163" s="846"/>
      <c r="P163" s="846"/>
      <c r="Q163" s="846"/>
      <c r="R163" s="846"/>
      <c r="S163" s="846"/>
      <c r="T163" s="846"/>
      <c r="U163" s="846"/>
    </row>
    <row r="164" ht="14.25" customHeight="1">
      <c r="A164" s="846"/>
      <c r="B164" s="846"/>
      <c r="C164" s="846"/>
      <c r="D164" s="847"/>
      <c r="E164" s="847"/>
      <c r="F164" s="846"/>
      <c r="G164" s="847"/>
      <c r="H164" s="848"/>
      <c r="I164" s="846"/>
      <c r="J164" s="846"/>
      <c r="K164" s="846"/>
      <c r="L164" s="846"/>
      <c r="M164" s="846"/>
      <c r="N164" s="847"/>
      <c r="O164" s="846"/>
      <c r="P164" s="846"/>
      <c r="Q164" s="846"/>
      <c r="R164" s="846"/>
      <c r="S164" s="846"/>
      <c r="T164" s="846"/>
      <c r="U164" s="846"/>
    </row>
    <row r="165" ht="14.25" customHeight="1">
      <c r="A165" s="846"/>
      <c r="B165" s="846"/>
      <c r="C165" s="846"/>
      <c r="D165" s="847"/>
      <c r="E165" s="847"/>
      <c r="F165" s="846"/>
      <c r="G165" s="847"/>
      <c r="H165" s="849"/>
      <c r="I165" s="846"/>
      <c r="J165" s="846"/>
      <c r="K165" s="846"/>
      <c r="L165" s="846"/>
      <c r="M165" s="846"/>
      <c r="N165" s="847"/>
      <c r="O165" s="846"/>
      <c r="P165" s="846"/>
      <c r="Q165" s="846"/>
      <c r="R165" s="846"/>
      <c r="S165" s="846"/>
      <c r="T165" s="846"/>
      <c r="U165" s="846"/>
    </row>
    <row r="166" ht="14.25" customHeight="1">
      <c r="A166" s="846"/>
      <c r="B166" s="846"/>
      <c r="C166" s="846"/>
      <c r="D166" s="847"/>
      <c r="E166" s="847"/>
      <c r="F166" s="846"/>
      <c r="G166" s="847"/>
      <c r="H166" s="849"/>
      <c r="I166" s="846"/>
      <c r="J166" s="846"/>
      <c r="K166" s="846"/>
      <c r="L166" s="846"/>
      <c r="M166" s="846"/>
      <c r="N166" s="847"/>
      <c r="O166" s="846"/>
      <c r="P166" s="846"/>
      <c r="Q166" s="846"/>
      <c r="R166" s="846"/>
      <c r="S166" s="846"/>
      <c r="T166" s="846"/>
      <c r="U166" s="846"/>
    </row>
    <row r="167" ht="14.25" customHeight="1">
      <c r="A167" s="846"/>
      <c r="B167" s="846"/>
      <c r="C167" s="846"/>
      <c r="D167" s="847"/>
      <c r="E167" s="847"/>
      <c r="F167" s="846"/>
      <c r="G167" s="847"/>
      <c r="H167" s="849"/>
      <c r="I167" s="846"/>
      <c r="J167" s="846"/>
      <c r="K167" s="846"/>
      <c r="L167" s="846"/>
      <c r="M167" s="846"/>
      <c r="N167" s="847"/>
      <c r="O167" s="846"/>
      <c r="P167" s="846"/>
      <c r="Q167" s="846"/>
      <c r="R167" s="846"/>
      <c r="S167" s="846"/>
      <c r="T167" s="846"/>
      <c r="U167" s="846"/>
    </row>
    <row r="168" ht="14.25" customHeight="1">
      <c r="A168" s="846"/>
      <c r="B168" s="846"/>
      <c r="C168" s="846"/>
      <c r="D168" s="847"/>
      <c r="E168" s="847"/>
      <c r="F168" s="846"/>
      <c r="G168" s="847"/>
      <c r="H168" s="849"/>
      <c r="I168" s="846"/>
      <c r="J168" s="846"/>
      <c r="K168" s="846"/>
      <c r="L168" s="846"/>
      <c r="M168" s="846"/>
      <c r="N168" s="847"/>
      <c r="O168" s="846"/>
      <c r="P168" s="846"/>
      <c r="Q168" s="846"/>
      <c r="R168" s="846"/>
      <c r="S168" s="846"/>
      <c r="T168" s="846"/>
      <c r="U168" s="846"/>
    </row>
    <row r="169" ht="14.25" customHeight="1">
      <c r="A169" s="846"/>
      <c r="B169" s="846"/>
      <c r="C169" s="846"/>
      <c r="D169" s="847"/>
      <c r="E169" s="847"/>
      <c r="F169" s="846"/>
      <c r="G169" s="847"/>
      <c r="H169" s="848"/>
      <c r="I169" s="846"/>
      <c r="J169" s="846"/>
      <c r="K169" s="846"/>
      <c r="L169" s="846"/>
      <c r="M169" s="846"/>
      <c r="N169" s="847"/>
      <c r="O169" s="846"/>
      <c r="P169" s="846"/>
      <c r="Q169" s="846"/>
      <c r="R169" s="846"/>
      <c r="S169" s="846"/>
      <c r="T169" s="846"/>
      <c r="U169" s="846"/>
    </row>
    <row r="170" ht="14.25" customHeight="1">
      <c r="A170" s="846"/>
      <c r="B170" s="846"/>
      <c r="C170" s="846"/>
      <c r="D170" s="847"/>
      <c r="E170" s="847"/>
      <c r="F170" s="846"/>
      <c r="G170" s="847"/>
      <c r="H170" s="850"/>
      <c r="I170" s="846"/>
      <c r="J170" s="846"/>
      <c r="K170" s="846"/>
      <c r="L170" s="846"/>
      <c r="M170" s="846"/>
      <c r="N170" s="847"/>
      <c r="O170" s="846"/>
      <c r="P170" s="846"/>
      <c r="Q170" s="846"/>
      <c r="R170" s="846"/>
      <c r="S170" s="846"/>
      <c r="T170" s="846"/>
      <c r="U170" s="846"/>
    </row>
    <row r="171" ht="14.25" customHeight="1">
      <c r="A171" s="846"/>
      <c r="B171" s="846"/>
      <c r="C171" s="846"/>
      <c r="D171" s="847"/>
      <c r="E171" s="847"/>
      <c r="F171" s="846"/>
      <c r="G171" s="847"/>
      <c r="H171" s="849"/>
      <c r="I171" s="846"/>
      <c r="J171" s="846"/>
      <c r="K171" s="846"/>
      <c r="L171" s="846"/>
      <c r="M171" s="846"/>
      <c r="N171" s="847"/>
      <c r="O171" s="846"/>
      <c r="P171" s="846"/>
      <c r="Q171" s="846"/>
      <c r="R171" s="846"/>
      <c r="S171" s="846"/>
      <c r="T171" s="846"/>
      <c r="U171" s="846"/>
    </row>
    <row r="172" ht="14.25" customHeight="1">
      <c r="A172" s="846"/>
      <c r="B172" s="846"/>
      <c r="C172" s="846"/>
      <c r="D172" s="847"/>
      <c r="E172" s="847"/>
      <c r="F172" s="846"/>
      <c r="G172" s="847"/>
      <c r="H172" s="848"/>
      <c r="I172" s="846"/>
      <c r="J172" s="846"/>
      <c r="K172" s="846"/>
      <c r="L172" s="846"/>
      <c r="M172" s="846"/>
      <c r="N172" s="847"/>
      <c r="O172" s="846"/>
      <c r="P172" s="846"/>
      <c r="Q172" s="846"/>
      <c r="R172" s="846"/>
      <c r="S172" s="846"/>
      <c r="T172" s="846"/>
      <c r="U172" s="846"/>
    </row>
    <row r="173" ht="14.25" customHeight="1">
      <c r="A173" s="846"/>
      <c r="B173" s="846"/>
      <c r="C173" s="846"/>
      <c r="D173" s="847"/>
      <c r="E173" s="847"/>
      <c r="F173" s="846"/>
      <c r="G173" s="847"/>
      <c r="H173" s="849"/>
      <c r="I173" s="846"/>
      <c r="J173" s="846"/>
      <c r="K173" s="846"/>
      <c r="L173" s="846"/>
      <c r="M173" s="846"/>
      <c r="N173" s="847"/>
      <c r="O173" s="846"/>
      <c r="P173" s="846"/>
      <c r="Q173" s="846"/>
      <c r="R173" s="846"/>
      <c r="S173" s="846"/>
      <c r="T173" s="846"/>
      <c r="U173" s="846"/>
    </row>
    <row r="174" ht="14.25" customHeight="1">
      <c r="A174" s="846"/>
      <c r="B174" s="846"/>
      <c r="C174" s="846"/>
      <c r="D174" s="847"/>
      <c r="E174" s="847"/>
      <c r="F174" s="846"/>
      <c r="G174" s="847"/>
      <c r="H174" s="848"/>
      <c r="I174" s="846"/>
      <c r="J174" s="846"/>
      <c r="K174" s="846"/>
      <c r="L174" s="846"/>
      <c r="M174" s="846"/>
      <c r="N174" s="847"/>
      <c r="O174" s="846"/>
      <c r="P174" s="846"/>
      <c r="Q174" s="846"/>
      <c r="R174" s="846"/>
      <c r="S174" s="846"/>
      <c r="T174" s="846"/>
      <c r="U174" s="846"/>
    </row>
    <row r="175" ht="14.25" customHeight="1">
      <c r="A175" s="846"/>
      <c r="B175" s="846"/>
      <c r="C175" s="846"/>
      <c r="D175" s="847"/>
      <c r="E175" s="847"/>
      <c r="F175" s="846"/>
      <c r="G175" s="847"/>
      <c r="H175" s="848"/>
      <c r="I175" s="846"/>
      <c r="J175" s="846"/>
      <c r="K175" s="846"/>
      <c r="L175" s="846"/>
      <c r="M175" s="846"/>
      <c r="N175" s="847"/>
      <c r="O175" s="846"/>
      <c r="P175" s="846"/>
      <c r="Q175" s="846"/>
      <c r="R175" s="846"/>
      <c r="S175" s="846"/>
      <c r="T175" s="846"/>
      <c r="U175" s="846"/>
    </row>
    <row r="176" ht="14.25" customHeight="1">
      <c r="A176" s="846"/>
      <c r="B176" s="846"/>
      <c r="C176" s="846"/>
      <c r="D176" s="847"/>
      <c r="E176" s="847"/>
      <c r="F176" s="846"/>
      <c r="G176" s="847"/>
      <c r="H176" s="849"/>
      <c r="I176" s="846"/>
      <c r="J176" s="846"/>
      <c r="K176" s="846"/>
      <c r="L176" s="846"/>
      <c r="M176" s="846"/>
      <c r="N176" s="847"/>
      <c r="O176" s="846"/>
      <c r="P176" s="846"/>
      <c r="Q176" s="846"/>
      <c r="R176" s="846"/>
      <c r="S176" s="846"/>
      <c r="T176" s="846"/>
      <c r="U176" s="846"/>
    </row>
    <row r="177" ht="14.25" customHeight="1">
      <c r="A177" s="846"/>
      <c r="B177" s="846"/>
      <c r="C177" s="846"/>
      <c r="D177" s="847"/>
      <c r="E177" s="847"/>
      <c r="F177" s="846"/>
      <c r="G177" s="847"/>
      <c r="H177" s="849"/>
      <c r="I177" s="846"/>
      <c r="J177" s="846"/>
      <c r="K177" s="846"/>
      <c r="L177" s="846"/>
      <c r="M177" s="846"/>
      <c r="N177" s="847"/>
      <c r="O177" s="846"/>
      <c r="P177" s="846"/>
      <c r="Q177" s="846"/>
      <c r="R177" s="846"/>
      <c r="S177" s="846"/>
      <c r="T177" s="846"/>
      <c r="U177" s="846"/>
    </row>
    <row r="178" ht="14.25" customHeight="1">
      <c r="A178" s="846"/>
      <c r="B178" s="846"/>
      <c r="C178" s="846"/>
      <c r="D178" s="847"/>
      <c r="E178" s="847"/>
      <c r="F178" s="846"/>
      <c r="G178" s="847"/>
      <c r="H178" s="849"/>
      <c r="I178" s="846"/>
      <c r="J178" s="846"/>
      <c r="K178" s="846"/>
      <c r="L178" s="846"/>
      <c r="M178" s="846"/>
      <c r="N178" s="847"/>
      <c r="O178" s="846"/>
      <c r="P178" s="846"/>
      <c r="Q178" s="846"/>
      <c r="R178" s="846"/>
      <c r="S178" s="846"/>
      <c r="T178" s="846"/>
      <c r="U178" s="846"/>
    </row>
    <row r="179" ht="14.25" customHeight="1">
      <c r="A179" s="846"/>
      <c r="B179" s="846"/>
      <c r="C179" s="846"/>
      <c r="D179" s="847"/>
      <c r="E179" s="847"/>
      <c r="F179" s="846"/>
      <c r="G179" s="847"/>
      <c r="H179" s="849"/>
      <c r="I179" s="846"/>
      <c r="J179" s="846"/>
      <c r="K179" s="846"/>
      <c r="L179" s="846"/>
      <c r="M179" s="846"/>
      <c r="N179" s="847"/>
      <c r="O179" s="846"/>
      <c r="P179" s="846"/>
      <c r="Q179" s="846"/>
      <c r="R179" s="846"/>
      <c r="S179" s="846"/>
      <c r="T179" s="846"/>
      <c r="U179" s="846"/>
    </row>
    <row r="180" ht="14.25" customHeight="1">
      <c r="A180" s="846"/>
      <c r="B180" s="846"/>
      <c r="C180" s="846"/>
      <c r="D180" s="847"/>
      <c r="E180" s="847"/>
      <c r="F180" s="846"/>
      <c r="G180" s="847"/>
      <c r="H180" s="849"/>
      <c r="I180" s="846"/>
      <c r="J180" s="846"/>
      <c r="K180" s="846"/>
      <c r="L180" s="846"/>
      <c r="M180" s="846"/>
      <c r="N180" s="847"/>
      <c r="O180" s="846"/>
      <c r="P180" s="846"/>
      <c r="Q180" s="846"/>
      <c r="R180" s="846"/>
      <c r="S180" s="846"/>
      <c r="T180" s="846"/>
      <c r="U180" s="846"/>
    </row>
    <row r="181" ht="14.25" customHeight="1">
      <c r="A181" s="846"/>
      <c r="B181" s="846"/>
      <c r="C181" s="846"/>
      <c r="D181" s="847"/>
      <c r="E181" s="847"/>
      <c r="F181" s="846"/>
      <c r="G181" s="847"/>
      <c r="H181" s="849"/>
      <c r="I181" s="846"/>
      <c r="J181" s="846"/>
      <c r="K181" s="846"/>
      <c r="L181" s="846"/>
      <c r="M181" s="846"/>
      <c r="N181" s="847"/>
      <c r="O181" s="846"/>
      <c r="P181" s="846"/>
      <c r="Q181" s="846"/>
      <c r="R181" s="846"/>
      <c r="S181" s="846"/>
      <c r="T181" s="846"/>
      <c r="U181" s="846"/>
    </row>
    <row r="182" ht="14.25" customHeight="1">
      <c r="A182" s="846"/>
      <c r="B182" s="846"/>
      <c r="C182" s="846"/>
      <c r="D182" s="847"/>
      <c r="E182" s="847"/>
      <c r="F182" s="846"/>
      <c r="G182" s="847"/>
      <c r="H182" s="849"/>
      <c r="I182" s="846"/>
      <c r="J182" s="846"/>
      <c r="K182" s="846"/>
      <c r="L182" s="846"/>
      <c r="M182" s="846"/>
      <c r="N182" s="847"/>
      <c r="O182" s="846"/>
      <c r="P182" s="846"/>
      <c r="Q182" s="846"/>
      <c r="R182" s="846"/>
      <c r="S182" s="846"/>
      <c r="T182" s="846"/>
      <c r="U182" s="846"/>
    </row>
    <row r="183" ht="14.25" customHeight="1">
      <c r="A183" s="846"/>
      <c r="B183" s="846"/>
      <c r="C183" s="846"/>
      <c r="D183" s="847"/>
      <c r="E183" s="847"/>
      <c r="F183" s="846"/>
      <c r="G183" s="847"/>
      <c r="H183" s="849"/>
      <c r="I183" s="846"/>
      <c r="J183" s="846"/>
      <c r="K183" s="846"/>
      <c r="L183" s="846"/>
      <c r="M183" s="846"/>
      <c r="N183" s="847"/>
      <c r="O183" s="846"/>
      <c r="P183" s="846"/>
      <c r="Q183" s="846"/>
      <c r="R183" s="846"/>
      <c r="S183" s="846"/>
      <c r="T183" s="846"/>
      <c r="U183" s="846"/>
    </row>
    <row r="184" ht="14.25" customHeight="1">
      <c r="A184" s="846"/>
      <c r="B184" s="846"/>
      <c r="C184" s="846"/>
      <c r="D184" s="847"/>
      <c r="E184" s="847"/>
      <c r="F184" s="846"/>
      <c r="G184" s="847"/>
      <c r="H184" s="849"/>
      <c r="I184" s="846"/>
      <c r="J184" s="846"/>
      <c r="K184" s="846"/>
      <c r="L184" s="846"/>
      <c r="M184" s="846"/>
      <c r="N184" s="847"/>
      <c r="O184" s="846"/>
      <c r="P184" s="846"/>
      <c r="Q184" s="846"/>
      <c r="R184" s="846"/>
      <c r="S184" s="846"/>
      <c r="T184" s="846"/>
      <c r="U184" s="846"/>
    </row>
    <row r="185" ht="14.25" customHeight="1">
      <c r="A185" s="846"/>
      <c r="B185" s="846"/>
      <c r="C185" s="846"/>
      <c r="D185" s="847"/>
      <c r="E185" s="847"/>
      <c r="F185" s="846"/>
      <c r="G185" s="847"/>
      <c r="H185" s="848"/>
      <c r="I185" s="846"/>
      <c r="J185" s="846"/>
      <c r="K185" s="846"/>
      <c r="L185" s="846"/>
      <c r="M185" s="846"/>
      <c r="N185" s="847"/>
      <c r="O185" s="846"/>
      <c r="P185" s="846"/>
      <c r="Q185" s="846"/>
      <c r="R185" s="846"/>
      <c r="S185" s="846"/>
      <c r="T185" s="846"/>
      <c r="U185" s="846"/>
    </row>
    <row r="186" ht="14.25" customHeight="1">
      <c r="A186" s="846"/>
      <c r="B186" s="846"/>
      <c r="C186" s="846"/>
      <c r="D186" s="847"/>
      <c r="E186" s="847"/>
      <c r="F186" s="846"/>
      <c r="G186" s="847"/>
      <c r="H186" s="849"/>
      <c r="I186" s="846"/>
      <c r="J186" s="846"/>
      <c r="K186" s="846"/>
      <c r="L186" s="846"/>
      <c r="M186" s="846"/>
      <c r="N186" s="847"/>
      <c r="O186" s="846"/>
      <c r="P186" s="846"/>
      <c r="Q186" s="846"/>
      <c r="R186" s="846"/>
      <c r="S186" s="846"/>
      <c r="T186" s="846"/>
      <c r="U186" s="846"/>
    </row>
    <row r="187" ht="14.25" customHeight="1">
      <c r="A187" s="846"/>
      <c r="B187" s="846"/>
      <c r="C187" s="846"/>
      <c r="D187" s="847"/>
      <c r="E187" s="847"/>
      <c r="F187" s="846"/>
      <c r="G187" s="847"/>
      <c r="H187" s="848"/>
      <c r="I187" s="846"/>
      <c r="J187" s="846"/>
      <c r="K187" s="846"/>
      <c r="L187" s="846"/>
      <c r="M187" s="846"/>
      <c r="N187" s="847"/>
      <c r="O187" s="846"/>
      <c r="P187" s="846"/>
      <c r="Q187" s="846"/>
      <c r="R187" s="846"/>
      <c r="S187" s="846"/>
      <c r="T187" s="846"/>
      <c r="U187" s="846"/>
    </row>
    <row r="188" ht="14.25" customHeight="1">
      <c r="A188" s="846"/>
      <c r="B188" s="846"/>
      <c r="C188" s="846"/>
      <c r="D188" s="847"/>
      <c r="E188" s="847"/>
      <c r="F188" s="846"/>
      <c r="G188" s="847"/>
      <c r="H188" s="849"/>
      <c r="I188" s="846"/>
      <c r="J188" s="846"/>
      <c r="K188" s="846"/>
      <c r="L188" s="846"/>
      <c r="M188" s="846"/>
      <c r="N188" s="847"/>
      <c r="O188" s="846"/>
      <c r="P188" s="846"/>
      <c r="Q188" s="846"/>
      <c r="R188" s="846"/>
      <c r="S188" s="846"/>
      <c r="T188" s="846"/>
      <c r="U188" s="846"/>
    </row>
    <row r="189" ht="14.25" customHeight="1">
      <c r="A189" s="846"/>
      <c r="B189" s="846"/>
      <c r="C189" s="846"/>
      <c r="D189" s="847"/>
      <c r="E189" s="847"/>
      <c r="F189" s="846"/>
      <c r="G189" s="847"/>
      <c r="H189" s="849"/>
      <c r="I189" s="846"/>
      <c r="J189" s="846"/>
      <c r="K189" s="846"/>
      <c r="L189" s="846"/>
      <c r="M189" s="846"/>
      <c r="N189" s="847"/>
      <c r="O189" s="846"/>
      <c r="P189" s="846"/>
      <c r="Q189" s="846"/>
      <c r="R189" s="846"/>
      <c r="S189" s="846"/>
      <c r="T189" s="846"/>
      <c r="U189" s="846"/>
    </row>
    <row r="190" ht="14.25" customHeight="1">
      <c r="A190" s="846"/>
      <c r="B190" s="846"/>
      <c r="C190" s="846"/>
      <c r="D190" s="847"/>
      <c r="E190" s="847"/>
      <c r="F190" s="846"/>
      <c r="G190" s="847"/>
      <c r="H190" s="849"/>
      <c r="I190" s="846"/>
      <c r="J190" s="846"/>
      <c r="K190" s="846"/>
      <c r="L190" s="846"/>
      <c r="M190" s="846"/>
      <c r="N190" s="847"/>
      <c r="O190" s="846"/>
      <c r="P190" s="846"/>
      <c r="Q190" s="846"/>
      <c r="R190" s="846"/>
      <c r="S190" s="846"/>
      <c r="T190" s="846"/>
      <c r="U190" s="846"/>
    </row>
    <row r="191" ht="14.25" customHeight="1">
      <c r="A191" s="846"/>
      <c r="B191" s="846"/>
      <c r="C191" s="846"/>
      <c r="D191" s="847"/>
      <c r="E191" s="847"/>
      <c r="F191" s="846"/>
      <c r="G191" s="847"/>
      <c r="H191" s="848"/>
      <c r="I191" s="846"/>
      <c r="J191" s="846"/>
      <c r="K191" s="846"/>
      <c r="L191" s="846"/>
      <c r="M191" s="846"/>
      <c r="N191" s="847"/>
      <c r="O191" s="846"/>
      <c r="P191" s="846"/>
      <c r="Q191" s="846"/>
      <c r="R191" s="846"/>
      <c r="S191" s="846"/>
      <c r="T191" s="846"/>
      <c r="U191" s="846"/>
    </row>
    <row r="192" ht="14.25" customHeight="1">
      <c r="A192" s="846"/>
      <c r="B192" s="846"/>
      <c r="C192" s="846"/>
      <c r="D192" s="847"/>
      <c r="E192" s="847"/>
      <c r="F192" s="846"/>
      <c r="G192" s="847"/>
      <c r="H192" s="849"/>
      <c r="I192" s="846"/>
      <c r="J192" s="846"/>
      <c r="K192" s="846"/>
      <c r="L192" s="846"/>
      <c r="M192" s="846"/>
      <c r="N192" s="847"/>
      <c r="O192" s="846"/>
      <c r="P192" s="846"/>
      <c r="Q192" s="846"/>
      <c r="R192" s="846"/>
      <c r="S192" s="846"/>
      <c r="T192" s="846"/>
      <c r="U192" s="846"/>
    </row>
    <row r="193" ht="14.25" customHeight="1">
      <c r="A193" s="846"/>
      <c r="B193" s="846"/>
      <c r="C193" s="846"/>
      <c r="D193" s="847"/>
      <c r="E193" s="847"/>
      <c r="F193" s="846"/>
      <c r="G193" s="847"/>
      <c r="H193" s="849"/>
      <c r="I193" s="846"/>
      <c r="J193" s="846"/>
      <c r="K193" s="846"/>
      <c r="L193" s="846"/>
      <c r="M193" s="846"/>
      <c r="N193" s="847"/>
      <c r="O193" s="846"/>
      <c r="P193" s="846"/>
      <c r="Q193" s="846"/>
      <c r="R193" s="846"/>
      <c r="S193" s="846"/>
      <c r="T193" s="846"/>
      <c r="U193" s="846"/>
    </row>
    <row r="194" ht="14.25" customHeight="1">
      <c r="A194" s="846"/>
      <c r="B194" s="846"/>
      <c r="C194" s="846"/>
      <c r="D194" s="847"/>
      <c r="E194" s="847"/>
      <c r="F194" s="846"/>
      <c r="G194" s="847"/>
      <c r="H194" s="849"/>
      <c r="I194" s="846"/>
      <c r="J194" s="846"/>
      <c r="K194" s="846"/>
      <c r="L194" s="846"/>
      <c r="M194" s="846"/>
      <c r="N194" s="847"/>
      <c r="O194" s="846"/>
      <c r="P194" s="846"/>
      <c r="Q194" s="846"/>
      <c r="R194" s="846"/>
      <c r="S194" s="846"/>
      <c r="T194" s="846"/>
      <c r="U194" s="846"/>
    </row>
    <row r="195" ht="14.25" customHeight="1">
      <c r="A195" s="846"/>
      <c r="B195" s="846"/>
      <c r="C195" s="846"/>
      <c r="D195" s="847"/>
      <c r="E195" s="847"/>
      <c r="F195" s="846"/>
      <c r="G195" s="847"/>
      <c r="H195" s="849"/>
      <c r="I195" s="846"/>
      <c r="J195" s="846"/>
      <c r="K195" s="846"/>
      <c r="L195" s="846"/>
      <c r="M195" s="846"/>
      <c r="N195" s="847"/>
      <c r="O195" s="846"/>
      <c r="P195" s="846"/>
      <c r="Q195" s="846"/>
      <c r="R195" s="846"/>
      <c r="S195" s="846"/>
      <c r="T195" s="846"/>
      <c r="U195" s="846"/>
    </row>
    <row r="196" ht="14.25" customHeight="1">
      <c r="A196" s="846"/>
      <c r="B196" s="846"/>
      <c r="C196" s="846"/>
      <c r="D196" s="847"/>
      <c r="E196" s="847"/>
      <c r="F196" s="846"/>
      <c r="G196" s="847"/>
      <c r="H196" s="849"/>
      <c r="I196" s="846"/>
      <c r="J196" s="846"/>
      <c r="K196" s="846"/>
      <c r="L196" s="846"/>
      <c r="M196" s="846"/>
      <c r="N196" s="847"/>
      <c r="O196" s="846"/>
      <c r="P196" s="846"/>
      <c r="Q196" s="846"/>
      <c r="R196" s="846"/>
      <c r="S196" s="846"/>
      <c r="T196" s="846"/>
      <c r="U196" s="846"/>
    </row>
    <row r="197" ht="14.25" customHeight="1">
      <c r="A197" s="846"/>
      <c r="B197" s="846"/>
      <c r="C197" s="846"/>
      <c r="D197" s="847"/>
      <c r="E197" s="847"/>
      <c r="F197" s="846"/>
      <c r="G197" s="847"/>
      <c r="H197" s="849"/>
      <c r="I197" s="846"/>
      <c r="J197" s="846"/>
      <c r="K197" s="846"/>
      <c r="L197" s="846"/>
      <c r="M197" s="846"/>
      <c r="N197" s="847"/>
      <c r="O197" s="846"/>
      <c r="P197" s="846"/>
      <c r="Q197" s="846"/>
      <c r="R197" s="846"/>
      <c r="S197" s="846"/>
      <c r="T197" s="846"/>
      <c r="U197" s="846"/>
    </row>
    <row r="198" ht="14.25" customHeight="1">
      <c r="A198" s="846"/>
      <c r="B198" s="846"/>
      <c r="C198" s="846"/>
      <c r="D198" s="847"/>
      <c r="E198" s="847"/>
      <c r="F198" s="846"/>
      <c r="G198" s="847"/>
      <c r="H198" s="848"/>
      <c r="I198" s="846"/>
      <c r="J198" s="846"/>
      <c r="K198" s="846"/>
      <c r="L198" s="846"/>
      <c r="M198" s="846"/>
      <c r="N198" s="847"/>
      <c r="O198" s="846"/>
      <c r="P198" s="846"/>
      <c r="Q198" s="846"/>
      <c r="R198" s="846"/>
      <c r="S198" s="846"/>
      <c r="T198" s="846"/>
      <c r="U198" s="846"/>
    </row>
    <row r="199" ht="14.25" customHeight="1">
      <c r="A199" s="846"/>
      <c r="B199" s="846"/>
      <c r="C199" s="846"/>
      <c r="D199" s="847"/>
      <c r="E199" s="847"/>
      <c r="F199" s="846"/>
      <c r="G199" s="847"/>
      <c r="H199" s="849"/>
      <c r="I199" s="846"/>
      <c r="J199" s="846"/>
      <c r="K199" s="846"/>
      <c r="L199" s="846"/>
      <c r="M199" s="846"/>
      <c r="N199" s="847"/>
      <c r="O199" s="846"/>
      <c r="P199" s="846"/>
      <c r="Q199" s="846"/>
      <c r="R199" s="846"/>
      <c r="S199" s="846"/>
      <c r="T199" s="846"/>
      <c r="U199" s="846"/>
    </row>
    <row r="200" ht="14.25" customHeight="1">
      <c r="A200" s="846"/>
      <c r="B200" s="846"/>
      <c r="C200" s="846"/>
      <c r="D200" s="847"/>
      <c r="E200" s="847"/>
      <c r="F200" s="846"/>
      <c r="G200" s="847"/>
      <c r="H200" s="848"/>
      <c r="I200" s="846"/>
      <c r="J200" s="846"/>
      <c r="K200" s="846"/>
      <c r="L200" s="846"/>
      <c r="M200" s="846"/>
      <c r="N200" s="847"/>
      <c r="O200" s="846"/>
      <c r="P200" s="846"/>
      <c r="Q200" s="846"/>
      <c r="R200" s="846"/>
      <c r="S200" s="846"/>
      <c r="T200" s="846"/>
      <c r="U200" s="846"/>
    </row>
    <row r="201" ht="14.25" customHeight="1">
      <c r="A201" s="846"/>
      <c r="B201" s="846"/>
      <c r="C201" s="846"/>
      <c r="D201" s="847"/>
      <c r="E201" s="847"/>
      <c r="F201" s="846"/>
      <c r="G201" s="847"/>
      <c r="H201" s="848"/>
      <c r="I201" s="846"/>
      <c r="J201" s="846"/>
      <c r="K201" s="846"/>
      <c r="L201" s="846"/>
      <c r="M201" s="846"/>
      <c r="N201" s="847"/>
      <c r="O201" s="846"/>
      <c r="P201" s="846"/>
      <c r="Q201" s="846"/>
      <c r="R201" s="846"/>
      <c r="S201" s="846"/>
      <c r="T201" s="846"/>
      <c r="U201" s="846"/>
    </row>
    <row r="202" ht="14.25" customHeight="1">
      <c r="A202" s="846"/>
      <c r="B202" s="846"/>
      <c r="C202" s="846"/>
      <c r="D202" s="847"/>
      <c r="E202" s="847"/>
      <c r="F202" s="846"/>
      <c r="G202" s="847"/>
      <c r="H202" s="849"/>
      <c r="I202" s="846"/>
      <c r="J202" s="846"/>
      <c r="K202" s="846"/>
      <c r="L202" s="846"/>
      <c r="M202" s="846"/>
      <c r="N202" s="847"/>
      <c r="O202" s="846"/>
      <c r="P202" s="846"/>
      <c r="Q202" s="846"/>
      <c r="R202" s="846"/>
      <c r="S202" s="846"/>
      <c r="T202" s="846"/>
      <c r="U202" s="846"/>
    </row>
    <row r="203" ht="14.25" customHeight="1">
      <c r="A203" s="846"/>
      <c r="B203" s="846"/>
      <c r="C203" s="846"/>
      <c r="D203" s="847"/>
      <c r="E203" s="847"/>
      <c r="F203" s="846"/>
      <c r="G203" s="847"/>
      <c r="H203" s="848"/>
      <c r="I203" s="846"/>
      <c r="J203" s="846"/>
      <c r="K203" s="846"/>
      <c r="L203" s="846"/>
      <c r="M203" s="846"/>
      <c r="N203" s="847"/>
      <c r="O203" s="846"/>
      <c r="P203" s="846"/>
      <c r="Q203" s="846"/>
      <c r="R203" s="846"/>
      <c r="S203" s="846"/>
      <c r="T203" s="846"/>
      <c r="U203" s="846"/>
    </row>
    <row r="204" ht="14.25" customHeight="1">
      <c r="A204" s="846"/>
      <c r="B204" s="846"/>
      <c r="C204" s="846"/>
      <c r="D204" s="847"/>
      <c r="E204" s="847"/>
      <c r="F204" s="846"/>
      <c r="G204" s="847"/>
      <c r="H204" s="849"/>
      <c r="I204" s="846"/>
      <c r="J204" s="846"/>
      <c r="K204" s="846"/>
      <c r="L204" s="846"/>
      <c r="M204" s="846"/>
      <c r="N204" s="847"/>
      <c r="O204" s="846"/>
      <c r="P204" s="846"/>
      <c r="Q204" s="846"/>
      <c r="R204" s="846"/>
      <c r="S204" s="846"/>
      <c r="T204" s="846"/>
      <c r="U204" s="846"/>
    </row>
    <row r="205" ht="14.25" customHeight="1">
      <c r="A205" s="846"/>
      <c r="B205" s="846"/>
      <c r="C205" s="846"/>
      <c r="D205" s="847"/>
      <c r="E205" s="847"/>
      <c r="F205" s="846"/>
      <c r="G205" s="847"/>
      <c r="H205" s="849"/>
      <c r="I205" s="846"/>
      <c r="J205" s="846"/>
      <c r="K205" s="846"/>
      <c r="L205" s="846"/>
      <c r="M205" s="846"/>
      <c r="N205" s="847"/>
      <c r="O205" s="846"/>
      <c r="P205" s="846"/>
      <c r="Q205" s="846"/>
      <c r="R205" s="846"/>
      <c r="S205" s="846"/>
      <c r="T205" s="846"/>
      <c r="U205" s="846"/>
    </row>
    <row r="206" ht="14.25" customHeight="1">
      <c r="A206" s="846"/>
      <c r="B206" s="846"/>
      <c r="C206" s="846"/>
      <c r="D206" s="847"/>
      <c r="E206" s="847"/>
      <c r="F206" s="846"/>
      <c r="G206" s="847"/>
      <c r="H206" s="849"/>
      <c r="I206" s="846"/>
      <c r="J206" s="846"/>
      <c r="K206" s="846"/>
      <c r="L206" s="846"/>
      <c r="M206" s="846"/>
      <c r="N206" s="847"/>
      <c r="O206" s="846"/>
      <c r="P206" s="846"/>
      <c r="Q206" s="846"/>
      <c r="R206" s="846"/>
      <c r="S206" s="846"/>
      <c r="T206" s="846"/>
      <c r="U206" s="846"/>
    </row>
    <row r="207" ht="14.25" customHeight="1">
      <c r="A207" s="846"/>
      <c r="B207" s="846"/>
      <c r="C207" s="846"/>
      <c r="D207" s="847"/>
      <c r="E207" s="847"/>
      <c r="F207" s="846"/>
      <c r="G207" s="847"/>
      <c r="H207" s="848"/>
      <c r="I207" s="846"/>
      <c r="J207" s="846"/>
      <c r="K207" s="846"/>
      <c r="L207" s="846"/>
      <c r="M207" s="846"/>
      <c r="N207" s="847"/>
      <c r="O207" s="846"/>
      <c r="P207" s="846"/>
      <c r="Q207" s="846"/>
      <c r="R207" s="846"/>
      <c r="S207" s="846"/>
      <c r="T207" s="846"/>
      <c r="U207" s="846"/>
    </row>
    <row r="208" ht="14.25" customHeight="1">
      <c r="A208" s="846"/>
      <c r="B208" s="846"/>
      <c r="C208" s="846"/>
      <c r="D208" s="847"/>
      <c r="E208" s="847"/>
      <c r="F208" s="846"/>
      <c r="G208" s="847"/>
      <c r="H208" s="849"/>
      <c r="I208" s="846"/>
      <c r="J208" s="846"/>
      <c r="K208" s="846"/>
      <c r="L208" s="846"/>
      <c r="M208" s="846"/>
      <c r="N208" s="847"/>
      <c r="O208" s="846"/>
      <c r="P208" s="846"/>
      <c r="Q208" s="846"/>
      <c r="R208" s="846"/>
      <c r="S208" s="846"/>
      <c r="T208" s="846"/>
      <c r="U208" s="846"/>
    </row>
    <row r="209" ht="14.25" customHeight="1">
      <c r="A209" s="846"/>
      <c r="B209" s="846"/>
      <c r="C209" s="846"/>
      <c r="D209" s="847"/>
      <c r="E209" s="847"/>
      <c r="F209" s="846"/>
      <c r="G209" s="847"/>
      <c r="H209" s="849"/>
      <c r="I209" s="846"/>
      <c r="J209" s="846"/>
      <c r="K209" s="846"/>
      <c r="L209" s="846"/>
      <c r="M209" s="846"/>
      <c r="N209" s="847"/>
      <c r="O209" s="846"/>
      <c r="P209" s="846"/>
      <c r="Q209" s="846"/>
      <c r="R209" s="846"/>
      <c r="S209" s="846"/>
      <c r="T209" s="846"/>
      <c r="U209" s="846"/>
    </row>
    <row r="210" ht="14.25" customHeight="1">
      <c r="A210" s="846"/>
      <c r="B210" s="846"/>
      <c r="C210" s="846"/>
      <c r="D210" s="847"/>
      <c r="E210" s="847"/>
      <c r="F210" s="846"/>
      <c r="G210" s="847"/>
      <c r="H210" s="849"/>
      <c r="I210" s="846"/>
      <c r="J210" s="846"/>
      <c r="K210" s="846"/>
      <c r="L210" s="846"/>
      <c r="M210" s="846"/>
      <c r="N210" s="847"/>
      <c r="O210" s="846"/>
      <c r="P210" s="846"/>
      <c r="Q210" s="846"/>
      <c r="R210" s="846"/>
      <c r="S210" s="846"/>
      <c r="T210" s="846"/>
      <c r="U210" s="846"/>
    </row>
    <row r="211" ht="14.25" customHeight="1">
      <c r="A211" s="846"/>
      <c r="B211" s="846"/>
      <c r="C211" s="846"/>
      <c r="D211" s="847"/>
      <c r="E211" s="847"/>
      <c r="F211" s="846"/>
      <c r="G211" s="847"/>
      <c r="H211" s="851"/>
      <c r="I211" s="846"/>
      <c r="J211" s="846"/>
      <c r="K211" s="846"/>
      <c r="L211" s="846"/>
      <c r="M211" s="846"/>
      <c r="N211" s="847"/>
      <c r="O211" s="846"/>
      <c r="P211" s="846"/>
      <c r="Q211" s="846"/>
      <c r="R211" s="846"/>
      <c r="S211" s="846"/>
      <c r="T211" s="846"/>
      <c r="U211" s="846"/>
    </row>
    <row r="212" ht="14.25" customHeight="1">
      <c r="A212" s="846"/>
      <c r="B212" s="846"/>
      <c r="C212" s="846"/>
      <c r="D212" s="847"/>
      <c r="E212" s="847"/>
      <c r="F212" s="846"/>
      <c r="G212" s="847"/>
      <c r="H212" s="849"/>
      <c r="I212" s="846"/>
      <c r="J212" s="846"/>
      <c r="K212" s="846"/>
      <c r="L212" s="846"/>
      <c r="M212" s="846"/>
      <c r="N212" s="847"/>
      <c r="O212" s="846"/>
      <c r="P212" s="846"/>
      <c r="Q212" s="846"/>
      <c r="R212" s="846"/>
      <c r="S212" s="846"/>
      <c r="T212" s="846"/>
      <c r="U212" s="846"/>
    </row>
    <row r="213" ht="14.25" customHeight="1">
      <c r="A213" s="846"/>
      <c r="B213" s="846"/>
      <c r="C213" s="846"/>
      <c r="D213" s="847"/>
      <c r="E213" s="847"/>
      <c r="F213" s="846"/>
      <c r="G213" s="847"/>
      <c r="H213" s="848"/>
      <c r="I213" s="846"/>
      <c r="J213" s="846"/>
      <c r="K213" s="846"/>
      <c r="L213" s="846"/>
      <c r="M213" s="846"/>
      <c r="N213" s="847"/>
      <c r="O213" s="846"/>
      <c r="P213" s="846"/>
      <c r="Q213" s="846"/>
      <c r="R213" s="846"/>
      <c r="S213" s="846"/>
      <c r="T213" s="846"/>
      <c r="U213" s="846"/>
    </row>
    <row r="214" ht="14.25" customHeight="1">
      <c r="A214" s="846"/>
      <c r="B214" s="846"/>
      <c r="C214" s="846"/>
      <c r="D214" s="847"/>
      <c r="E214" s="847"/>
      <c r="F214" s="846"/>
      <c r="G214" s="847"/>
      <c r="H214" s="849"/>
      <c r="I214" s="846"/>
      <c r="J214" s="846"/>
      <c r="K214" s="846"/>
      <c r="L214" s="846"/>
      <c r="M214" s="846"/>
      <c r="N214" s="847"/>
      <c r="O214" s="846"/>
      <c r="P214" s="846"/>
      <c r="Q214" s="846"/>
      <c r="R214" s="846"/>
      <c r="S214" s="846"/>
      <c r="T214" s="846"/>
      <c r="U214" s="846"/>
    </row>
    <row r="215" ht="14.25" customHeight="1">
      <c r="A215" s="846"/>
      <c r="B215" s="846"/>
      <c r="C215" s="846"/>
      <c r="D215" s="847"/>
      <c r="E215" s="847"/>
      <c r="F215" s="846"/>
      <c r="G215" s="847"/>
      <c r="H215" s="849"/>
      <c r="I215" s="846"/>
      <c r="J215" s="846"/>
      <c r="K215" s="846"/>
      <c r="L215" s="846"/>
      <c r="M215" s="846"/>
      <c r="N215" s="847"/>
      <c r="O215" s="846"/>
      <c r="P215" s="846"/>
      <c r="Q215" s="846"/>
      <c r="R215" s="846"/>
      <c r="S215" s="846"/>
      <c r="T215" s="846"/>
      <c r="U215" s="846"/>
    </row>
    <row r="216" ht="14.25" customHeight="1">
      <c r="A216" s="846"/>
      <c r="B216" s="846"/>
      <c r="C216" s="846"/>
      <c r="D216" s="847"/>
      <c r="E216" s="847"/>
      <c r="F216" s="846"/>
      <c r="G216" s="847"/>
      <c r="H216" s="848"/>
      <c r="I216" s="846"/>
      <c r="J216" s="846"/>
      <c r="K216" s="846"/>
      <c r="L216" s="846"/>
      <c r="M216" s="846"/>
      <c r="N216" s="847"/>
      <c r="O216" s="846"/>
      <c r="P216" s="846"/>
      <c r="Q216" s="846"/>
      <c r="R216" s="846"/>
      <c r="S216" s="846"/>
      <c r="T216" s="846"/>
      <c r="U216" s="846"/>
    </row>
    <row r="217" ht="14.25" customHeight="1">
      <c r="A217" s="846"/>
      <c r="B217" s="846"/>
      <c r="C217" s="846"/>
      <c r="D217" s="847"/>
      <c r="E217" s="847"/>
      <c r="F217" s="846"/>
      <c r="G217" s="847"/>
      <c r="H217" s="849"/>
      <c r="I217" s="846"/>
      <c r="J217" s="846"/>
      <c r="K217" s="846"/>
      <c r="L217" s="846"/>
      <c r="M217" s="846"/>
      <c r="N217" s="847"/>
      <c r="O217" s="846"/>
      <c r="P217" s="846"/>
      <c r="Q217" s="846"/>
      <c r="R217" s="846"/>
      <c r="S217" s="846"/>
      <c r="T217" s="846"/>
      <c r="U217" s="846"/>
    </row>
    <row r="218" ht="14.25" customHeight="1">
      <c r="A218" s="846"/>
      <c r="B218" s="846"/>
      <c r="C218" s="846"/>
      <c r="D218" s="847"/>
      <c r="E218" s="847"/>
      <c r="F218" s="846"/>
      <c r="G218" s="847"/>
      <c r="H218" s="849"/>
      <c r="I218" s="846"/>
      <c r="J218" s="846"/>
      <c r="K218" s="846"/>
      <c r="L218" s="846"/>
      <c r="M218" s="846"/>
      <c r="N218" s="847"/>
      <c r="O218" s="846"/>
      <c r="P218" s="846"/>
      <c r="Q218" s="846"/>
      <c r="R218" s="846"/>
      <c r="S218" s="846"/>
      <c r="T218" s="846"/>
      <c r="U218" s="846"/>
    </row>
    <row r="219" ht="14.25" customHeight="1">
      <c r="A219" s="846"/>
      <c r="B219" s="846"/>
      <c r="C219" s="846"/>
      <c r="D219" s="847"/>
      <c r="E219" s="847"/>
      <c r="F219" s="846"/>
      <c r="G219" s="847"/>
      <c r="H219" s="849"/>
      <c r="I219" s="846"/>
      <c r="J219" s="846"/>
      <c r="K219" s="846"/>
      <c r="L219" s="846"/>
      <c r="M219" s="846"/>
      <c r="N219" s="847"/>
      <c r="O219" s="846"/>
      <c r="P219" s="846"/>
      <c r="Q219" s="846"/>
      <c r="R219" s="846"/>
      <c r="S219" s="846"/>
      <c r="T219" s="846"/>
      <c r="U219" s="846"/>
    </row>
    <row r="220" ht="14.25" customHeight="1">
      <c r="A220" s="846"/>
      <c r="B220" s="846"/>
      <c r="C220" s="846"/>
      <c r="D220" s="847"/>
      <c r="E220" s="847"/>
      <c r="F220" s="846"/>
      <c r="G220" s="847"/>
      <c r="H220" s="849"/>
      <c r="I220" s="846"/>
      <c r="J220" s="846"/>
      <c r="K220" s="846"/>
      <c r="L220" s="846"/>
      <c r="M220" s="846"/>
      <c r="N220" s="847"/>
      <c r="O220" s="846"/>
      <c r="P220" s="846"/>
      <c r="Q220" s="846"/>
      <c r="R220" s="846"/>
      <c r="S220" s="846"/>
      <c r="T220" s="846"/>
      <c r="U220" s="846"/>
    </row>
    <row r="221" ht="14.25" customHeight="1">
      <c r="A221" s="846"/>
      <c r="B221" s="846"/>
      <c r="C221" s="846"/>
      <c r="D221" s="847"/>
      <c r="E221" s="847"/>
      <c r="F221" s="846"/>
      <c r="G221" s="847"/>
      <c r="H221" s="849"/>
      <c r="I221" s="846"/>
      <c r="J221" s="846"/>
      <c r="K221" s="846"/>
      <c r="L221" s="846"/>
      <c r="M221" s="846"/>
      <c r="N221" s="847"/>
      <c r="O221" s="846"/>
      <c r="P221" s="846"/>
      <c r="Q221" s="846"/>
      <c r="R221" s="846"/>
      <c r="S221" s="846"/>
      <c r="T221" s="846"/>
      <c r="U221" s="846"/>
    </row>
    <row r="222" ht="14.25" customHeight="1">
      <c r="A222" s="846"/>
      <c r="B222" s="846"/>
      <c r="C222" s="846"/>
      <c r="D222" s="847"/>
      <c r="E222" s="847"/>
      <c r="F222" s="846"/>
      <c r="G222" s="847"/>
      <c r="H222" s="849"/>
      <c r="I222" s="846"/>
      <c r="J222" s="846"/>
      <c r="K222" s="846"/>
      <c r="L222" s="846"/>
      <c r="M222" s="846"/>
      <c r="N222" s="847"/>
      <c r="O222" s="846"/>
      <c r="P222" s="846"/>
      <c r="Q222" s="846"/>
      <c r="R222" s="846"/>
      <c r="S222" s="846"/>
      <c r="T222" s="846"/>
      <c r="U222" s="846"/>
    </row>
    <row r="223" ht="14.25" customHeight="1">
      <c r="A223" s="846"/>
      <c r="B223" s="846"/>
      <c r="C223" s="846"/>
      <c r="D223" s="847"/>
      <c r="E223" s="847"/>
      <c r="F223" s="846"/>
      <c r="G223" s="847"/>
      <c r="H223" s="849"/>
      <c r="I223" s="846"/>
      <c r="J223" s="846"/>
      <c r="K223" s="846"/>
      <c r="L223" s="846"/>
      <c r="M223" s="846"/>
      <c r="N223" s="847"/>
      <c r="O223" s="846"/>
      <c r="P223" s="846"/>
      <c r="Q223" s="846"/>
      <c r="R223" s="846"/>
      <c r="S223" s="846"/>
      <c r="T223" s="846"/>
      <c r="U223" s="846"/>
    </row>
    <row r="224" ht="14.25" customHeight="1">
      <c r="A224" s="846"/>
      <c r="B224" s="846"/>
      <c r="C224" s="846"/>
      <c r="D224" s="847"/>
      <c r="E224" s="847"/>
      <c r="F224" s="846"/>
      <c r="G224" s="847"/>
      <c r="H224" s="849"/>
      <c r="I224" s="846"/>
      <c r="J224" s="846"/>
      <c r="K224" s="846"/>
      <c r="L224" s="846"/>
      <c r="M224" s="846"/>
      <c r="N224" s="847"/>
      <c r="O224" s="846"/>
      <c r="P224" s="846"/>
      <c r="Q224" s="846"/>
      <c r="R224" s="846"/>
      <c r="S224" s="846"/>
      <c r="T224" s="846"/>
      <c r="U224" s="846"/>
    </row>
    <row r="225" ht="14.25" customHeight="1">
      <c r="A225" s="846"/>
      <c r="B225" s="846"/>
      <c r="C225" s="846"/>
      <c r="D225" s="847"/>
      <c r="E225" s="847"/>
      <c r="F225" s="846"/>
      <c r="G225" s="847"/>
      <c r="H225" s="849"/>
      <c r="I225" s="846"/>
      <c r="J225" s="846"/>
      <c r="K225" s="846"/>
      <c r="L225" s="846"/>
      <c r="M225" s="846"/>
      <c r="N225" s="847"/>
      <c r="O225" s="846"/>
      <c r="P225" s="846"/>
      <c r="Q225" s="846"/>
      <c r="R225" s="846"/>
      <c r="S225" s="846"/>
      <c r="T225" s="846"/>
      <c r="U225" s="846"/>
    </row>
    <row r="226" ht="14.25" customHeight="1">
      <c r="A226" s="846"/>
      <c r="B226" s="846"/>
      <c r="C226" s="846"/>
      <c r="D226" s="847"/>
      <c r="E226" s="847"/>
      <c r="F226" s="846"/>
      <c r="G226" s="847"/>
      <c r="H226" s="849"/>
      <c r="I226" s="846"/>
      <c r="J226" s="846"/>
      <c r="K226" s="846"/>
      <c r="L226" s="846"/>
      <c r="M226" s="846"/>
      <c r="N226" s="847"/>
      <c r="O226" s="846"/>
      <c r="P226" s="846"/>
      <c r="Q226" s="846"/>
      <c r="R226" s="846"/>
      <c r="S226" s="846"/>
      <c r="T226" s="846"/>
      <c r="U226" s="846"/>
    </row>
    <row r="227" ht="14.25" customHeight="1">
      <c r="A227" s="846"/>
      <c r="B227" s="846"/>
      <c r="C227" s="846"/>
      <c r="D227" s="847"/>
      <c r="E227" s="847"/>
      <c r="F227" s="846"/>
      <c r="G227" s="847"/>
      <c r="H227" s="849"/>
      <c r="I227" s="846"/>
      <c r="J227" s="846"/>
      <c r="K227" s="846"/>
      <c r="L227" s="846"/>
      <c r="M227" s="846"/>
      <c r="N227" s="847"/>
      <c r="O227" s="846"/>
      <c r="P227" s="846"/>
      <c r="Q227" s="846"/>
      <c r="R227" s="846"/>
      <c r="S227" s="846"/>
      <c r="T227" s="846"/>
      <c r="U227" s="846"/>
    </row>
    <row r="228" ht="14.25" customHeight="1">
      <c r="A228" s="846"/>
      <c r="B228" s="846"/>
      <c r="C228" s="846"/>
      <c r="D228" s="847"/>
      <c r="E228" s="847"/>
      <c r="F228" s="846"/>
      <c r="G228" s="847"/>
      <c r="H228" s="849"/>
      <c r="I228" s="846"/>
      <c r="J228" s="846"/>
      <c r="K228" s="846"/>
      <c r="L228" s="846"/>
      <c r="M228" s="846"/>
      <c r="N228" s="847"/>
      <c r="O228" s="846"/>
      <c r="P228" s="846"/>
      <c r="Q228" s="846"/>
      <c r="R228" s="846"/>
      <c r="S228" s="846"/>
      <c r="T228" s="846"/>
      <c r="U228" s="846"/>
    </row>
    <row r="229" ht="14.25" customHeight="1">
      <c r="A229" s="846"/>
      <c r="B229" s="846"/>
      <c r="C229" s="846"/>
      <c r="D229" s="847"/>
      <c r="E229" s="847"/>
      <c r="F229" s="846"/>
      <c r="G229" s="847"/>
      <c r="H229" s="849"/>
      <c r="I229" s="846"/>
      <c r="J229" s="846"/>
      <c r="K229" s="846"/>
      <c r="L229" s="846"/>
      <c r="M229" s="846"/>
      <c r="N229" s="847"/>
      <c r="O229" s="846"/>
      <c r="P229" s="846"/>
      <c r="Q229" s="846"/>
      <c r="R229" s="846"/>
      <c r="S229" s="846"/>
      <c r="T229" s="846"/>
      <c r="U229" s="846"/>
    </row>
    <row r="230" ht="14.25" customHeight="1">
      <c r="A230" s="846"/>
      <c r="B230" s="846"/>
      <c r="C230" s="846"/>
      <c r="D230" s="847"/>
      <c r="E230" s="847"/>
      <c r="F230" s="846"/>
      <c r="G230" s="847"/>
      <c r="H230" s="849"/>
      <c r="I230" s="846"/>
      <c r="J230" s="846"/>
      <c r="K230" s="846"/>
      <c r="L230" s="846"/>
      <c r="M230" s="846"/>
      <c r="N230" s="847"/>
      <c r="O230" s="846"/>
      <c r="P230" s="846"/>
      <c r="Q230" s="846"/>
      <c r="R230" s="846"/>
      <c r="S230" s="846"/>
      <c r="T230" s="846"/>
      <c r="U230" s="846"/>
    </row>
    <row r="231" ht="14.25" customHeight="1">
      <c r="A231" s="846"/>
      <c r="B231" s="846"/>
      <c r="C231" s="846"/>
      <c r="D231" s="847"/>
      <c r="E231" s="847"/>
      <c r="F231" s="846"/>
      <c r="G231" s="847"/>
      <c r="H231" s="849"/>
      <c r="I231" s="846"/>
      <c r="J231" s="846"/>
      <c r="K231" s="846"/>
      <c r="L231" s="846"/>
      <c r="M231" s="846"/>
      <c r="N231" s="847"/>
      <c r="O231" s="846"/>
      <c r="P231" s="846"/>
      <c r="Q231" s="846"/>
      <c r="R231" s="846"/>
      <c r="S231" s="846"/>
      <c r="T231" s="846"/>
      <c r="U231" s="846"/>
    </row>
    <row r="232" ht="14.25" customHeight="1">
      <c r="A232" s="846"/>
      <c r="B232" s="846"/>
      <c r="C232" s="846"/>
      <c r="D232" s="847"/>
      <c r="E232" s="847"/>
      <c r="F232" s="846"/>
      <c r="G232" s="847"/>
      <c r="H232" s="849"/>
      <c r="I232" s="846"/>
      <c r="J232" s="846"/>
      <c r="K232" s="846"/>
      <c r="L232" s="846"/>
      <c r="M232" s="846"/>
      <c r="N232" s="847"/>
      <c r="O232" s="846"/>
      <c r="P232" s="846"/>
      <c r="Q232" s="846"/>
      <c r="R232" s="846"/>
      <c r="S232" s="846"/>
      <c r="T232" s="846"/>
      <c r="U232" s="846"/>
    </row>
    <row r="233" ht="14.25" customHeight="1">
      <c r="A233" s="846"/>
      <c r="B233" s="846"/>
      <c r="C233" s="846"/>
      <c r="D233" s="847"/>
      <c r="E233" s="847"/>
      <c r="F233" s="846"/>
      <c r="G233" s="847"/>
      <c r="H233" s="849"/>
      <c r="I233" s="846"/>
      <c r="J233" s="846"/>
      <c r="K233" s="846"/>
      <c r="L233" s="846"/>
      <c r="M233" s="846"/>
      <c r="N233" s="847"/>
      <c r="O233" s="846"/>
      <c r="P233" s="846"/>
      <c r="Q233" s="846"/>
      <c r="R233" s="846"/>
      <c r="S233" s="846"/>
      <c r="T233" s="846"/>
      <c r="U233" s="846"/>
    </row>
    <row r="234" ht="14.25" customHeight="1">
      <c r="A234" s="846"/>
      <c r="B234" s="846"/>
      <c r="C234" s="846"/>
      <c r="D234" s="847"/>
      <c r="E234" s="847"/>
      <c r="F234" s="846"/>
      <c r="G234" s="847"/>
      <c r="H234" s="849"/>
      <c r="I234" s="846"/>
      <c r="J234" s="846"/>
      <c r="K234" s="846"/>
      <c r="L234" s="846"/>
      <c r="M234" s="846"/>
      <c r="N234" s="847"/>
      <c r="O234" s="846"/>
      <c r="P234" s="846"/>
      <c r="Q234" s="846"/>
      <c r="R234" s="846"/>
      <c r="S234" s="846"/>
      <c r="T234" s="846"/>
      <c r="U234" s="846"/>
    </row>
    <row r="235" ht="14.25" customHeight="1">
      <c r="A235" s="846"/>
      <c r="B235" s="846"/>
      <c r="C235" s="846"/>
      <c r="D235" s="847"/>
      <c r="E235" s="847"/>
      <c r="F235" s="846"/>
      <c r="G235" s="847"/>
      <c r="H235" s="849"/>
      <c r="I235" s="846"/>
      <c r="J235" s="846"/>
      <c r="K235" s="846"/>
      <c r="L235" s="846"/>
      <c r="M235" s="846"/>
      <c r="N235" s="847"/>
      <c r="O235" s="846"/>
      <c r="P235" s="846"/>
      <c r="Q235" s="846"/>
      <c r="R235" s="846"/>
      <c r="S235" s="846"/>
      <c r="T235" s="846"/>
      <c r="U235" s="846"/>
    </row>
    <row r="236" ht="14.25" customHeight="1">
      <c r="A236" s="846"/>
      <c r="B236" s="846"/>
      <c r="C236" s="846"/>
      <c r="D236" s="847"/>
      <c r="E236" s="847"/>
      <c r="F236" s="846"/>
      <c r="G236" s="847"/>
      <c r="H236" s="849"/>
      <c r="I236" s="846"/>
      <c r="J236" s="846"/>
      <c r="K236" s="846"/>
      <c r="L236" s="846"/>
      <c r="M236" s="846"/>
      <c r="N236" s="847"/>
      <c r="O236" s="846"/>
      <c r="P236" s="846"/>
      <c r="Q236" s="846"/>
      <c r="R236" s="846"/>
      <c r="S236" s="846"/>
      <c r="T236" s="846"/>
      <c r="U236" s="846"/>
    </row>
    <row r="237" ht="14.25" customHeight="1">
      <c r="A237" s="846"/>
      <c r="B237" s="846"/>
      <c r="C237" s="846"/>
      <c r="D237" s="847"/>
      <c r="E237" s="847"/>
      <c r="F237" s="846"/>
      <c r="G237" s="847"/>
      <c r="H237" s="849"/>
      <c r="I237" s="846"/>
      <c r="J237" s="846"/>
      <c r="K237" s="846"/>
      <c r="L237" s="846"/>
      <c r="M237" s="846"/>
      <c r="N237" s="847"/>
      <c r="O237" s="846"/>
      <c r="P237" s="846"/>
      <c r="Q237" s="846"/>
      <c r="R237" s="846"/>
      <c r="S237" s="846"/>
      <c r="T237" s="846"/>
      <c r="U237" s="846"/>
    </row>
    <row r="238" ht="14.25" customHeight="1">
      <c r="A238" s="846"/>
      <c r="B238" s="846"/>
      <c r="C238" s="846"/>
      <c r="D238" s="847"/>
      <c r="E238" s="847"/>
      <c r="F238" s="846"/>
      <c r="G238" s="847"/>
      <c r="H238" s="849"/>
      <c r="I238" s="846"/>
      <c r="J238" s="846"/>
      <c r="K238" s="846"/>
      <c r="L238" s="846"/>
      <c r="M238" s="846"/>
      <c r="N238" s="847"/>
      <c r="O238" s="846"/>
      <c r="P238" s="846"/>
      <c r="Q238" s="846"/>
      <c r="R238" s="846"/>
      <c r="S238" s="846"/>
      <c r="T238" s="846"/>
      <c r="U238" s="846"/>
    </row>
    <row r="239" ht="14.25" customHeight="1">
      <c r="A239" s="846"/>
      <c r="B239" s="846"/>
      <c r="C239" s="846"/>
      <c r="D239" s="847"/>
      <c r="E239" s="847"/>
      <c r="F239" s="846"/>
      <c r="G239" s="847"/>
      <c r="H239" s="849"/>
      <c r="I239" s="846"/>
      <c r="J239" s="846"/>
      <c r="K239" s="846"/>
      <c r="L239" s="846"/>
      <c r="M239" s="846"/>
      <c r="N239" s="847"/>
      <c r="O239" s="846"/>
      <c r="P239" s="846"/>
      <c r="Q239" s="846"/>
      <c r="R239" s="846"/>
      <c r="S239" s="846"/>
      <c r="T239" s="846"/>
      <c r="U239" s="846"/>
    </row>
    <row r="240" ht="14.25" customHeight="1">
      <c r="A240" s="846"/>
      <c r="B240" s="846"/>
      <c r="C240" s="846"/>
      <c r="D240" s="847"/>
      <c r="E240" s="847"/>
      <c r="F240" s="846"/>
      <c r="G240" s="847"/>
      <c r="H240" s="849"/>
      <c r="I240" s="846"/>
      <c r="J240" s="846"/>
      <c r="K240" s="846"/>
      <c r="L240" s="846"/>
      <c r="M240" s="846"/>
      <c r="N240" s="847"/>
      <c r="O240" s="846"/>
      <c r="P240" s="846"/>
      <c r="Q240" s="846"/>
      <c r="R240" s="846"/>
      <c r="S240" s="846"/>
      <c r="T240" s="846"/>
      <c r="U240" s="846"/>
    </row>
    <row r="241" ht="14.25" customHeight="1">
      <c r="A241" s="846"/>
      <c r="B241" s="846"/>
      <c r="C241" s="846"/>
      <c r="D241" s="847"/>
      <c r="E241" s="847"/>
      <c r="F241" s="846"/>
      <c r="G241" s="847"/>
      <c r="H241" s="849"/>
      <c r="I241" s="846"/>
      <c r="J241" s="846"/>
      <c r="K241" s="846"/>
      <c r="L241" s="846"/>
      <c r="M241" s="846"/>
      <c r="N241" s="847"/>
      <c r="O241" s="846"/>
      <c r="P241" s="846"/>
      <c r="Q241" s="846"/>
      <c r="R241" s="846"/>
      <c r="S241" s="846"/>
      <c r="T241" s="846"/>
      <c r="U241" s="846"/>
    </row>
    <row r="242" ht="14.25" customHeight="1">
      <c r="A242" s="846"/>
      <c r="B242" s="846"/>
      <c r="C242" s="846"/>
      <c r="D242" s="847"/>
      <c r="E242" s="847"/>
      <c r="F242" s="846"/>
      <c r="G242" s="847"/>
      <c r="H242" s="849"/>
      <c r="I242" s="846"/>
      <c r="J242" s="846"/>
      <c r="K242" s="846"/>
      <c r="L242" s="846"/>
      <c r="M242" s="846"/>
      <c r="N242" s="847"/>
      <c r="O242" s="846"/>
      <c r="P242" s="846"/>
      <c r="Q242" s="846"/>
      <c r="R242" s="846"/>
      <c r="S242" s="846"/>
      <c r="T242" s="846"/>
      <c r="U242" s="846"/>
    </row>
    <row r="243" ht="14.25" customHeight="1">
      <c r="A243" s="846"/>
      <c r="B243" s="846"/>
      <c r="C243" s="846"/>
      <c r="D243" s="847"/>
      <c r="E243" s="847"/>
      <c r="F243" s="846"/>
      <c r="G243" s="847"/>
      <c r="H243" s="849"/>
      <c r="I243" s="846"/>
      <c r="J243" s="846"/>
      <c r="K243" s="846"/>
      <c r="L243" s="846"/>
      <c r="M243" s="846"/>
      <c r="N243" s="847"/>
      <c r="O243" s="846"/>
      <c r="P243" s="846"/>
      <c r="Q243" s="846"/>
      <c r="R243" s="846"/>
      <c r="S243" s="846"/>
      <c r="T243" s="846"/>
      <c r="U243" s="846"/>
    </row>
    <row r="244" ht="14.25" customHeight="1">
      <c r="A244" s="846"/>
      <c r="B244" s="846"/>
      <c r="C244" s="846"/>
      <c r="D244" s="847"/>
      <c r="E244" s="847"/>
      <c r="F244" s="846"/>
      <c r="G244" s="847"/>
      <c r="H244" s="849"/>
      <c r="I244" s="846"/>
      <c r="J244" s="846"/>
      <c r="K244" s="846"/>
      <c r="L244" s="846"/>
      <c r="M244" s="846"/>
      <c r="N244" s="847"/>
      <c r="O244" s="846"/>
      <c r="P244" s="846"/>
      <c r="Q244" s="846"/>
      <c r="R244" s="846"/>
      <c r="S244" s="846"/>
      <c r="T244" s="846"/>
      <c r="U244" s="846"/>
    </row>
    <row r="245" ht="14.25" customHeight="1">
      <c r="A245" s="846"/>
      <c r="B245" s="846"/>
      <c r="C245" s="846"/>
      <c r="D245" s="847"/>
      <c r="E245" s="847"/>
      <c r="F245" s="846"/>
      <c r="G245" s="847"/>
      <c r="H245" s="849"/>
      <c r="I245" s="846"/>
      <c r="J245" s="846"/>
      <c r="K245" s="846"/>
      <c r="L245" s="846"/>
      <c r="M245" s="846"/>
      <c r="N245" s="847"/>
      <c r="O245" s="846"/>
      <c r="P245" s="846"/>
      <c r="Q245" s="846"/>
      <c r="R245" s="846"/>
      <c r="S245" s="846"/>
      <c r="T245" s="846"/>
      <c r="U245" s="846"/>
    </row>
    <row r="246" ht="14.25" customHeight="1">
      <c r="A246" s="846"/>
      <c r="B246" s="846"/>
      <c r="C246" s="846"/>
      <c r="D246" s="847"/>
      <c r="E246" s="847"/>
      <c r="F246" s="846"/>
      <c r="G246" s="847"/>
      <c r="H246" s="849"/>
      <c r="I246" s="846"/>
      <c r="J246" s="846"/>
      <c r="K246" s="846"/>
      <c r="L246" s="846"/>
      <c r="M246" s="846"/>
      <c r="N246" s="847"/>
      <c r="O246" s="846"/>
      <c r="P246" s="846"/>
      <c r="Q246" s="846"/>
      <c r="R246" s="846"/>
      <c r="S246" s="846"/>
      <c r="T246" s="846"/>
      <c r="U246" s="846"/>
    </row>
    <row r="247" ht="14.25" customHeight="1">
      <c r="A247" s="846"/>
      <c r="B247" s="846"/>
      <c r="C247" s="846"/>
      <c r="D247" s="847"/>
      <c r="E247" s="847"/>
      <c r="F247" s="846"/>
      <c r="G247" s="847"/>
      <c r="H247" s="849"/>
      <c r="I247" s="846"/>
      <c r="J247" s="846"/>
      <c r="K247" s="846"/>
      <c r="L247" s="846"/>
      <c r="M247" s="846"/>
      <c r="N247" s="847"/>
      <c r="O247" s="846"/>
      <c r="P247" s="846"/>
      <c r="Q247" s="846"/>
      <c r="R247" s="846"/>
      <c r="S247" s="846"/>
      <c r="T247" s="846"/>
      <c r="U247" s="846"/>
    </row>
    <row r="248" ht="14.25" customHeight="1">
      <c r="A248" s="846"/>
      <c r="B248" s="846"/>
      <c r="C248" s="846"/>
      <c r="D248" s="847"/>
      <c r="E248" s="847"/>
      <c r="F248" s="846"/>
      <c r="G248" s="847"/>
      <c r="H248" s="849"/>
      <c r="I248" s="846"/>
      <c r="J248" s="846"/>
      <c r="K248" s="846"/>
      <c r="L248" s="846"/>
      <c r="M248" s="846"/>
      <c r="N248" s="847"/>
      <c r="O248" s="846"/>
      <c r="P248" s="846"/>
      <c r="Q248" s="846"/>
      <c r="R248" s="846"/>
      <c r="S248" s="846"/>
      <c r="T248" s="846"/>
      <c r="U248" s="846"/>
    </row>
    <row r="249" ht="14.25" customHeight="1">
      <c r="A249" s="846"/>
      <c r="B249" s="846"/>
      <c r="C249" s="846"/>
      <c r="D249" s="847"/>
      <c r="E249" s="847"/>
      <c r="F249" s="846"/>
      <c r="G249" s="847"/>
      <c r="H249" s="849"/>
      <c r="I249" s="846"/>
      <c r="J249" s="846"/>
      <c r="K249" s="846"/>
      <c r="L249" s="846"/>
      <c r="M249" s="846"/>
      <c r="N249" s="847"/>
      <c r="O249" s="846"/>
      <c r="P249" s="846"/>
      <c r="Q249" s="846"/>
      <c r="R249" s="846"/>
      <c r="S249" s="846"/>
      <c r="T249" s="846"/>
      <c r="U249" s="846"/>
    </row>
    <row r="250" ht="14.25" customHeight="1">
      <c r="A250" s="846"/>
      <c r="B250" s="846"/>
      <c r="C250" s="846"/>
      <c r="D250" s="847"/>
      <c r="E250" s="847"/>
      <c r="F250" s="846"/>
      <c r="G250" s="847"/>
      <c r="H250" s="849"/>
      <c r="I250" s="846"/>
      <c r="J250" s="846"/>
      <c r="K250" s="846"/>
      <c r="L250" s="846"/>
      <c r="M250" s="846"/>
      <c r="N250" s="847"/>
      <c r="O250" s="846"/>
      <c r="P250" s="846"/>
      <c r="Q250" s="846"/>
      <c r="R250" s="846"/>
      <c r="S250" s="846"/>
      <c r="T250" s="846"/>
      <c r="U250" s="846"/>
    </row>
    <row r="251" ht="14.25" customHeight="1">
      <c r="A251" s="846"/>
      <c r="B251" s="846"/>
      <c r="C251" s="846"/>
      <c r="D251" s="847"/>
      <c r="E251" s="847"/>
      <c r="F251" s="846"/>
      <c r="G251" s="847"/>
      <c r="H251" s="849"/>
      <c r="I251" s="846"/>
      <c r="J251" s="846"/>
      <c r="K251" s="846"/>
      <c r="L251" s="846"/>
      <c r="M251" s="846"/>
      <c r="N251" s="847"/>
      <c r="O251" s="846"/>
      <c r="P251" s="846"/>
      <c r="Q251" s="846"/>
      <c r="R251" s="846"/>
      <c r="S251" s="846"/>
      <c r="T251" s="846"/>
      <c r="U251" s="846"/>
    </row>
    <row r="252" ht="14.25" customHeight="1">
      <c r="A252" s="846"/>
      <c r="B252" s="846"/>
      <c r="C252" s="846"/>
      <c r="D252" s="847"/>
      <c r="E252" s="847"/>
      <c r="F252" s="846"/>
      <c r="G252" s="847"/>
      <c r="H252" s="849"/>
      <c r="I252" s="846"/>
      <c r="J252" s="846"/>
      <c r="K252" s="846"/>
      <c r="L252" s="846"/>
      <c r="M252" s="846"/>
      <c r="N252" s="847"/>
      <c r="O252" s="846"/>
      <c r="P252" s="846"/>
      <c r="Q252" s="846"/>
      <c r="R252" s="846"/>
      <c r="S252" s="846"/>
      <c r="T252" s="846"/>
      <c r="U252" s="846"/>
    </row>
    <row r="253" ht="14.25" customHeight="1">
      <c r="A253" s="846"/>
      <c r="B253" s="846"/>
      <c r="C253" s="846"/>
      <c r="D253" s="847"/>
      <c r="E253" s="847"/>
      <c r="F253" s="846"/>
      <c r="G253" s="847"/>
      <c r="H253" s="849"/>
      <c r="I253" s="846"/>
      <c r="J253" s="846"/>
      <c r="K253" s="846"/>
      <c r="L253" s="846"/>
      <c r="M253" s="846"/>
      <c r="N253" s="847"/>
      <c r="O253" s="846"/>
      <c r="P253" s="846"/>
      <c r="Q253" s="846"/>
      <c r="R253" s="846"/>
      <c r="S253" s="846"/>
      <c r="T253" s="846"/>
      <c r="U253" s="846"/>
    </row>
    <row r="254" ht="14.25" customHeight="1">
      <c r="A254" s="846"/>
      <c r="B254" s="846"/>
      <c r="C254" s="846"/>
      <c r="D254" s="847"/>
      <c r="E254" s="847"/>
      <c r="F254" s="846"/>
      <c r="G254" s="847"/>
      <c r="H254" s="849"/>
      <c r="I254" s="846"/>
      <c r="J254" s="846"/>
      <c r="K254" s="846"/>
      <c r="L254" s="846"/>
      <c r="M254" s="846"/>
      <c r="N254" s="847"/>
      <c r="O254" s="846"/>
      <c r="P254" s="846"/>
      <c r="Q254" s="846"/>
      <c r="R254" s="846"/>
      <c r="S254" s="846"/>
      <c r="T254" s="846"/>
      <c r="U254" s="846"/>
    </row>
    <row r="255" ht="14.25" customHeight="1">
      <c r="A255" s="846"/>
      <c r="B255" s="846"/>
      <c r="C255" s="846"/>
      <c r="D255" s="847"/>
      <c r="E255" s="847"/>
      <c r="F255" s="846"/>
      <c r="G255" s="847"/>
      <c r="H255" s="849"/>
      <c r="I255" s="846"/>
      <c r="J255" s="846"/>
      <c r="K255" s="846"/>
      <c r="L255" s="846"/>
      <c r="M255" s="846"/>
      <c r="N255" s="847"/>
      <c r="O255" s="846"/>
      <c r="P255" s="846"/>
      <c r="Q255" s="846"/>
      <c r="R255" s="846"/>
      <c r="S255" s="846"/>
      <c r="T255" s="846"/>
      <c r="U255" s="846"/>
    </row>
    <row r="256" ht="14.25" customHeight="1">
      <c r="A256" s="846"/>
      <c r="B256" s="846"/>
      <c r="C256" s="846"/>
      <c r="D256" s="847"/>
      <c r="E256" s="847"/>
      <c r="F256" s="846"/>
      <c r="G256" s="847"/>
      <c r="H256" s="849"/>
      <c r="I256" s="846"/>
      <c r="J256" s="846"/>
      <c r="K256" s="846"/>
      <c r="L256" s="846"/>
      <c r="M256" s="846"/>
      <c r="N256" s="847"/>
      <c r="O256" s="846"/>
      <c r="P256" s="846"/>
      <c r="Q256" s="846"/>
      <c r="R256" s="846"/>
      <c r="S256" s="846"/>
      <c r="T256" s="846"/>
      <c r="U256" s="846"/>
    </row>
    <row r="257" ht="14.25" customHeight="1">
      <c r="A257" s="846"/>
      <c r="B257" s="846"/>
      <c r="C257" s="846"/>
      <c r="D257" s="847"/>
      <c r="E257" s="847"/>
      <c r="F257" s="846"/>
      <c r="G257" s="847"/>
      <c r="H257" s="848"/>
      <c r="I257" s="846"/>
      <c r="J257" s="846"/>
      <c r="K257" s="846"/>
      <c r="L257" s="846"/>
      <c r="M257" s="846"/>
      <c r="N257" s="847"/>
      <c r="O257" s="846"/>
      <c r="P257" s="846"/>
      <c r="Q257" s="846"/>
      <c r="R257" s="846"/>
      <c r="S257" s="846"/>
      <c r="T257" s="846"/>
      <c r="U257" s="846"/>
    </row>
    <row r="258" ht="14.25" customHeight="1">
      <c r="A258" s="846"/>
      <c r="B258" s="846"/>
      <c r="C258" s="846"/>
      <c r="D258" s="847"/>
      <c r="E258" s="847"/>
      <c r="F258" s="846"/>
      <c r="G258" s="847"/>
      <c r="H258" s="849"/>
      <c r="I258" s="846"/>
      <c r="J258" s="846"/>
      <c r="K258" s="846"/>
      <c r="L258" s="846"/>
      <c r="M258" s="846"/>
      <c r="N258" s="847"/>
      <c r="O258" s="846"/>
      <c r="P258" s="846"/>
      <c r="Q258" s="846"/>
      <c r="R258" s="846"/>
      <c r="S258" s="846"/>
      <c r="T258" s="846"/>
      <c r="U258" s="846"/>
    </row>
    <row r="259" ht="14.25" customHeight="1">
      <c r="A259" s="846"/>
      <c r="B259" s="846"/>
      <c r="C259" s="846"/>
      <c r="D259" s="847"/>
      <c r="E259" s="847"/>
      <c r="F259" s="846"/>
      <c r="G259" s="847"/>
      <c r="H259" s="849"/>
      <c r="I259" s="846"/>
      <c r="J259" s="846"/>
      <c r="K259" s="846"/>
      <c r="L259" s="846"/>
      <c r="M259" s="846"/>
      <c r="N259" s="847"/>
      <c r="O259" s="846"/>
      <c r="P259" s="846"/>
      <c r="Q259" s="846"/>
      <c r="R259" s="846"/>
      <c r="S259" s="846"/>
      <c r="T259" s="846"/>
      <c r="U259" s="846"/>
    </row>
    <row r="260" ht="14.25" customHeight="1">
      <c r="A260" s="846"/>
      <c r="B260" s="846"/>
      <c r="C260" s="846"/>
      <c r="D260" s="847"/>
      <c r="E260" s="847"/>
      <c r="F260" s="846"/>
      <c r="G260" s="847"/>
      <c r="H260" s="849"/>
      <c r="I260" s="846"/>
      <c r="J260" s="846"/>
      <c r="K260" s="846"/>
      <c r="L260" s="846"/>
      <c r="M260" s="846"/>
      <c r="N260" s="847"/>
      <c r="O260" s="846"/>
      <c r="P260" s="846"/>
      <c r="Q260" s="846"/>
      <c r="R260" s="846"/>
      <c r="S260" s="846"/>
      <c r="T260" s="846"/>
      <c r="U260" s="846"/>
    </row>
    <row r="261" ht="14.25" customHeight="1">
      <c r="A261" s="846"/>
      <c r="B261" s="846"/>
      <c r="C261" s="846"/>
      <c r="D261" s="847"/>
      <c r="E261" s="847"/>
      <c r="F261" s="846"/>
      <c r="G261" s="847"/>
      <c r="H261" s="849"/>
      <c r="I261" s="846"/>
      <c r="J261" s="846"/>
      <c r="K261" s="846"/>
      <c r="L261" s="846"/>
      <c r="M261" s="846"/>
      <c r="N261" s="847"/>
      <c r="O261" s="846"/>
      <c r="P261" s="846"/>
      <c r="Q261" s="846"/>
      <c r="R261" s="846"/>
      <c r="S261" s="846"/>
      <c r="T261" s="846"/>
      <c r="U261" s="846"/>
    </row>
    <row r="262" ht="14.25" customHeight="1">
      <c r="A262" s="846"/>
      <c r="B262" s="846"/>
      <c r="C262" s="846"/>
      <c r="D262" s="847"/>
      <c r="E262" s="847"/>
      <c r="F262" s="846"/>
      <c r="G262" s="847"/>
      <c r="H262" s="849"/>
      <c r="I262" s="846"/>
      <c r="J262" s="846"/>
      <c r="K262" s="846"/>
      <c r="L262" s="846"/>
      <c r="M262" s="846"/>
      <c r="N262" s="847"/>
      <c r="O262" s="846"/>
      <c r="P262" s="846"/>
      <c r="Q262" s="846"/>
      <c r="R262" s="846"/>
      <c r="S262" s="846"/>
      <c r="T262" s="846"/>
      <c r="U262" s="846"/>
    </row>
    <row r="263" ht="14.25" customHeight="1">
      <c r="A263" s="846"/>
      <c r="B263" s="846"/>
      <c r="C263" s="846"/>
      <c r="D263" s="847"/>
      <c r="E263" s="847"/>
      <c r="F263" s="846"/>
      <c r="G263" s="847"/>
      <c r="H263" s="849"/>
      <c r="I263" s="846"/>
      <c r="J263" s="846"/>
      <c r="K263" s="846"/>
      <c r="L263" s="846"/>
      <c r="M263" s="846"/>
      <c r="N263" s="847"/>
      <c r="O263" s="846"/>
      <c r="P263" s="846"/>
      <c r="Q263" s="846"/>
      <c r="R263" s="846"/>
      <c r="S263" s="846"/>
      <c r="T263" s="846"/>
      <c r="U263" s="846"/>
    </row>
    <row r="264" ht="14.25" customHeight="1">
      <c r="A264" s="846"/>
      <c r="B264" s="846"/>
      <c r="C264" s="846"/>
      <c r="D264" s="847"/>
      <c r="E264" s="847"/>
      <c r="F264" s="846"/>
      <c r="G264" s="847"/>
      <c r="H264" s="849"/>
      <c r="I264" s="846"/>
      <c r="J264" s="846"/>
      <c r="K264" s="846"/>
      <c r="L264" s="846"/>
      <c r="M264" s="846"/>
      <c r="N264" s="847"/>
      <c r="O264" s="846"/>
      <c r="P264" s="846"/>
      <c r="Q264" s="846"/>
      <c r="R264" s="846"/>
      <c r="S264" s="846"/>
      <c r="T264" s="846"/>
      <c r="U264" s="846"/>
    </row>
    <row r="265" ht="14.25" customHeight="1">
      <c r="A265" s="846"/>
      <c r="B265" s="846"/>
      <c r="C265" s="846"/>
      <c r="D265" s="847"/>
      <c r="E265" s="847"/>
      <c r="F265" s="846"/>
      <c r="G265" s="847"/>
      <c r="H265" s="849"/>
      <c r="I265" s="846"/>
      <c r="J265" s="846"/>
      <c r="K265" s="846"/>
      <c r="L265" s="846"/>
      <c r="M265" s="846"/>
      <c r="N265" s="847"/>
      <c r="O265" s="846"/>
      <c r="P265" s="846"/>
      <c r="Q265" s="846"/>
      <c r="R265" s="846"/>
      <c r="S265" s="846"/>
      <c r="T265" s="846"/>
      <c r="U265" s="846"/>
    </row>
    <row r="266" ht="14.25" customHeight="1">
      <c r="A266" s="846"/>
      <c r="B266" s="846"/>
      <c r="C266" s="846"/>
      <c r="D266" s="847"/>
      <c r="E266" s="847"/>
      <c r="F266" s="846"/>
      <c r="G266" s="847"/>
      <c r="H266" s="849"/>
      <c r="I266" s="846"/>
      <c r="J266" s="846"/>
      <c r="K266" s="846"/>
      <c r="L266" s="846"/>
      <c r="M266" s="846"/>
      <c r="N266" s="847"/>
      <c r="O266" s="846"/>
      <c r="P266" s="846"/>
      <c r="Q266" s="846"/>
      <c r="R266" s="846"/>
      <c r="S266" s="846"/>
      <c r="T266" s="846"/>
      <c r="U266" s="846"/>
    </row>
    <row r="267" ht="14.25" customHeight="1">
      <c r="A267" s="846"/>
      <c r="B267" s="846"/>
      <c r="C267" s="846"/>
      <c r="D267" s="847"/>
      <c r="E267" s="847"/>
      <c r="F267" s="846"/>
      <c r="G267" s="847"/>
      <c r="H267" s="849"/>
      <c r="I267" s="846"/>
      <c r="J267" s="846"/>
      <c r="K267" s="846"/>
      <c r="L267" s="846"/>
      <c r="M267" s="846"/>
      <c r="N267" s="847"/>
      <c r="O267" s="846"/>
      <c r="P267" s="846"/>
      <c r="Q267" s="846"/>
      <c r="R267" s="846"/>
      <c r="S267" s="846"/>
      <c r="T267" s="846"/>
      <c r="U267" s="846"/>
    </row>
    <row r="268" ht="14.25" customHeight="1">
      <c r="A268" s="846"/>
      <c r="B268" s="846"/>
      <c r="C268" s="846"/>
      <c r="D268" s="847"/>
      <c r="E268" s="847"/>
      <c r="F268" s="846"/>
      <c r="G268" s="847"/>
      <c r="H268" s="849"/>
      <c r="I268" s="846"/>
      <c r="J268" s="846"/>
      <c r="K268" s="846"/>
      <c r="L268" s="846"/>
      <c r="M268" s="846"/>
      <c r="N268" s="847"/>
      <c r="O268" s="846"/>
      <c r="P268" s="846"/>
      <c r="Q268" s="846"/>
      <c r="R268" s="846"/>
      <c r="S268" s="846"/>
      <c r="T268" s="846"/>
      <c r="U268" s="846"/>
    </row>
    <row r="269" ht="14.25" customHeight="1">
      <c r="A269" s="846"/>
      <c r="B269" s="846"/>
      <c r="C269" s="846"/>
      <c r="D269" s="847"/>
      <c r="E269" s="847"/>
      <c r="F269" s="846"/>
      <c r="G269" s="847"/>
      <c r="H269" s="848"/>
      <c r="I269" s="846"/>
      <c r="J269" s="846"/>
      <c r="K269" s="846"/>
      <c r="L269" s="846"/>
      <c r="M269" s="846"/>
      <c r="N269" s="847"/>
      <c r="O269" s="846"/>
      <c r="P269" s="846"/>
      <c r="Q269" s="846"/>
      <c r="R269" s="846"/>
      <c r="S269" s="846"/>
      <c r="T269" s="846"/>
      <c r="U269" s="846"/>
    </row>
    <row r="270" ht="14.25" customHeight="1">
      <c r="A270" s="846"/>
      <c r="B270" s="846"/>
      <c r="C270" s="846"/>
      <c r="D270" s="847"/>
      <c r="E270" s="847"/>
      <c r="F270" s="846"/>
      <c r="G270" s="847"/>
      <c r="H270" s="849"/>
      <c r="I270" s="846"/>
      <c r="J270" s="846"/>
      <c r="K270" s="846"/>
      <c r="L270" s="846"/>
      <c r="M270" s="846"/>
      <c r="N270" s="847"/>
      <c r="O270" s="846"/>
      <c r="P270" s="846"/>
      <c r="Q270" s="846"/>
      <c r="R270" s="846"/>
      <c r="S270" s="846"/>
      <c r="T270" s="846"/>
      <c r="U270" s="846"/>
    </row>
    <row r="271" ht="14.25" customHeight="1">
      <c r="A271" s="846"/>
      <c r="B271" s="846"/>
      <c r="C271" s="846"/>
      <c r="D271" s="847"/>
      <c r="E271" s="847"/>
      <c r="F271" s="846"/>
      <c r="G271" s="847"/>
      <c r="H271" s="849"/>
      <c r="I271" s="846"/>
      <c r="J271" s="846"/>
      <c r="K271" s="846"/>
      <c r="L271" s="846"/>
      <c r="M271" s="846"/>
      <c r="N271" s="847"/>
      <c r="O271" s="846"/>
      <c r="P271" s="846"/>
      <c r="Q271" s="846"/>
      <c r="R271" s="846"/>
      <c r="S271" s="846"/>
      <c r="T271" s="846"/>
      <c r="U271" s="846"/>
    </row>
    <row r="272" ht="14.25" customHeight="1">
      <c r="A272" s="846"/>
      <c r="B272" s="846"/>
      <c r="C272" s="846"/>
      <c r="D272" s="847"/>
      <c r="E272" s="847"/>
      <c r="F272" s="846"/>
      <c r="G272" s="847"/>
      <c r="H272" s="849"/>
      <c r="I272" s="846"/>
      <c r="J272" s="846"/>
      <c r="K272" s="846"/>
      <c r="L272" s="846"/>
      <c r="M272" s="846"/>
      <c r="N272" s="847"/>
      <c r="O272" s="846"/>
      <c r="P272" s="846"/>
      <c r="Q272" s="846"/>
      <c r="R272" s="846"/>
      <c r="S272" s="846"/>
      <c r="T272" s="846"/>
      <c r="U272" s="846"/>
    </row>
    <row r="273" ht="14.25" customHeight="1">
      <c r="A273" s="846"/>
      <c r="B273" s="846"/>
      <c r="C273" s="846"/>
      <c r="D273" s="847"/>
      <c r="E273" s="847"/>
      <c r="F273" s="846"/>
      <c r="G273" s="847"/>
      <c r="H273" s="849"/>
      <c r="I273" s="846"/>
      <c r="J273" s="846"/>
      <c r="K273" s="846"/>
      <c r="L273" s="846"/>
      <c r="M273" s="846"/>
      <c r="N273" s="847"/>
      <c r="O273" s="846"/>
      <c r="P273" s="846"/>
      <c r="Q273" s="846"/>
      <c r="R273" s="846"/>
      <c r="S273" s="846"/>
      <c r="T273" s="846"/>
      <c r="U273" s="846"/>
    </row>
    <row r="274" ht="14.25" customHeight="1">
      <c r="A274" s="846"/>
      <c r="B274" s="846"/>
      <c r="C274" s="846"/>
      <c r="D274" s="847"/>
      <c r="E274" s="847"/>
      <c r="F274" s="846"/>
      <c r="G274" s="847"/>
      <c r="H274" s="850"/>
      <c r="I274" s="846"/>
      <c r="J274" s="846"/>
      <c r="K274" s="846"/>
      <c r="L274" s="846"/>
      <c r="M274" s="846"/>
      <c r="N274" s="847"/>
      <c r="O274" s="846"/>
      <c r="P274" s="846"/>
      <c r="Q274" s="846"/>
      <c r="R274" s="846"/>
      <c r="S274" s="846"/>
      <c r="T274" s="846"/>
      <c r="U274" s="846"/>
    </row>
    <row r="275" ht="14.25" customHeight="1">
      <c r="A275" s="846"/>
      <c r="B275" s="846"/>
      <c r="C275" s="846"/>
      <c r="D275" s="847"/>
      <c r="E275" s="847"/>
      <c r="F275" s="846"/>
      <c r="G275" s="847"/>
      <c r="H275" s="849"/>
      <c r="I275" s="846"/>
      <c r="J275" s="846"/>
      <c r="K275" s="846"/>
      <c r="L275" s="846"/>
      <c r="M275" s="846"/>
      <c r="N275" s="847"/>
      <c r="O275" s="846"/>
      <c r="P275" s="846"/>
      <c r="Q275" s="846"/>
      <c r="R275" s="846"/>
      <c r="S275" s="846"/>
      <c r="T275" s="846"/>
      <c r="U275" s="846"/>
    </row>
    <row r="276" ht="14.25" customHeight="1">
      <c r="A276" s="846"/>
      <c r="B276" s="846"/>
      <c r="C276" s="846"/>
      <c r="D276" s="847"/>
      <c r="E276" s="847"/>
      <c r="F276" s="846"/>
      <c r="G276" s="847"/>
      <c r="H276" s="849"/>
      <c r="I276" s="846"/>
      <c r="J276" s="846"/>
      <c r="K276" s="846"/>
      <c r="L276" s="846"/>
      <c r="M276" s="846"/>
      <c r="N276" s="847"/>
      <c r="O276" s="846"/>
      <c r="P276" s="846"/>
      <c r="Q276" s="846"/>
      <c r="R276" s="846"/>
      <c r="S276" s="846"/>
      <c r="T276" s="846"/>
      <c r="U276" s="846"/>
    </row>
    <row r="277" ht="14.25" customHeight="1">
      <c r="A277" s="846"/>
      <c r="B277" s="846"/>
      <c r="C277" s="846"/>
      <c r="D277" s="847"/>
      <c r="E277" s="847"/>
      <c r="F277" s="846"/>
      <c r="G277" s="847"/>
      <c r="H277" s="849"/>
      <c r="I277" s="846"/>
      <c r="J277" s="846"/>
      <c r="K277" s="846"/>
      <c r="L277" s="846"/>
      <c r="M277" s="846"/>
      <c r="N277" s="847"/>
      <c r="O277" s="846"/>
      <c r="P277" s="846"/>
      <c r="Q277" s="846"/>
      <c r="R277" s="846"/>
      <c r="S277" s="846"/>
      <c r="T277" s="846"/>
      <c r="U277" s="846"/>
    </row>
    <row r="278" ht="14.25" customHeight="1">
      <c r="A278" s="846"/>
      <c r="B278" s="846"/>
      <c r="C278" s="846"/>
      <c r="D278" s="847"/>
      <c r="E278" s="847"/>
      <c r="F278" s="846"/>
      <c r="G278" s="847"/>
      <c r="H278" s="849"/>
      <c r="I278" s="846"/>
      <c r="J278" s="846"/>
      <c r="K278" s="846"/>
      <c r="L278" s="846"/>
      <c r="M278" s="846"/>
      <c r="N278" s="847"/>
      <c r="O278" s="846"/>
      <c r="P278" s="846"/>
      <c r="Q278" s="846"/>
      <c r="R278" s="846"/>
      <c r="S278" s="846"/>
      <c r="T278" s="846"/>
      <c r="U278" s="846"/>
    </row>
    <row r="279" ht="14.25" customHeight="1">
      <c r="A279" s="846"/>
      <c r="B279" s="846"/>
      <c r="C279" s="846"/>
      <c r="D279" s="847"/>
      <c r="E279" s="847"/>
      <c r="F279" s="846"/>
      <c r="G279" s="847"/>
      <c r="H279" s="849"/>
      <c r="I279" s="846"/>
      <c r="J279" s="846"/>
      <c r="K279" s="846"/>
      <c r="L279" s="846"/>
      <c r="M279" s="846"/>
      <c r="N279" s="847"/>
      <c r="O279" s="846"/>
      <c r="P279" s="846"/>
      <c r="Q279" s="846"/>
      <c r="R279" s="846"/>
      <c r="S279" s="846"/>
      <c r="T279" s="846"/>
      <c r="U279" s="846"/>
    </row>
    <row r="280" ht="14.25" customHeight="1">
      <c r="A280" s="846"/>
      <c r="B280" s="846"/>
      <c r="C280" s="846"/>
      <c r="D280" s="847"/>
      <c r="E280" s="847"/>
      <c r="F280" s="846"/>
      <c r="G280" s="847"/>
      <c r="H280" s="849"/>
      <c r="I280" s="846"/>
      <c r="J280" s="846"/>
      <c r="K280" s="846"/>
      <c r="L280" s="846"/>
      <c r="M280" s="846"/>
      <c r="N280" s="847"/>
      <c r="O280" s="846"/>
      <c r="P280" s="846"/>
      <c r="Q280" s="846"/>
      <c r="R280" s="846"/>
      <c r="S280" s="846"/>
      <c r="T280" s="846"/>
      <c r="U280" s="846"/>
    </row>
    <row r="281" ht="14.25" customHeight="1">
      <c r="A281" s="846"/>
      <c r="B281" s="846"/>
      <c r="C281" s="846"/>
      <c r="D281" s="847"/>
      <c r="E281" s="847"/>
      <c r="F281" s="846"/>
      <c r="G281" s="847"/>
      <c r="H281" s="849"/>
      <c r="I281" s="846"/>
      <c r="J281" s="846"/>
      <c r="K281" s="846"/>
      <c r="L281" s="846"/>
      <c r="M281" s="846"/>
      <c r="N281" s="847"/>
      <c r="O281" s="846"/>
      <c r="P281" s="846"/>
      <c r="Q281" s="846"/>
      <c r="R281" s="846"/>
      <c r="S281" s="846"/>
      <c r="T281" s="846"/>
      <c r="U281" s="846"/>
    </row>
    <row r="282" ht="14.25" customHeight="1">
      <c r="A282" s="846"/>
      <c r="B282" s="846"/>
      <c r="C282" s="846"/>
      <c r="D282" s="847"/>
      <c r="E282" s="847"/>
      <c r="F282" s="846"/>
      <c r="G282" s="847"/>
      <c r="H282" s="849"/>
      <c r="I282" s="846"/>
      <c r="J282" s="846"/>
      <c r="K282" s="846"/>
      <c r="L282" s="846"/>
      <c r="M282" s="846"/>
      <c r="N282" s="847"/>
      <c r="O282" s="846"/>
      <c r="P282" s="846"/>
      <c r="Q282" s="846"/>
      <c r="R282" s="846"/>
      <c r="S282" s="846"/>
      <c r="T282" s="846"/>
      <c r="U282" s="846"/>
    </row>
    <row r="283" ht="14.25" customHeight="1">
      <c r="A283" s="846"/>
      <c r="B283" s="846"/>
      <c r="C283" s="846"/>
      <c r="D283" s="847"/>
      <c r="E283" s="847"/>
      <c r="F283" s="846"/>
      <c r="G283" s="847"/>
      <c r="H283" s="849"/>
      <c r="I283" s="846"/>
      <c r="J283" s="846"/>
      <c r="K283" s="846"/>
      <c r="L283" s="846"/>
      <c r="M283" s="846"/>
      <c r="N283" s="847"/>
      <c r="O283" s="846"/>
      <c r="P283" s="846"/>
      <c r="Q283" s="846"/>
      <c r="R283" s="846"/>
      <c r="S283" s="846"/>
      <c r="T283" s="846"/>
      <c r="U283" s="846"/>
    </row>
    <row r="284" ht="14.25" customHeight="1">
      <c r="A284" s="846"/>
      <c r="B284" s="846"/>
      <c r="C284" s="846"/>
      <c r="D284" s="847"/>
      <c r="E284" s="847"/>
      <c r="F284" s="846"/>
      <c r="G284" s="847"/>
      <c r="H284" s="849"/>
      <c r="I284" s="846"/>
      <c r="J284" s="846"/>
      <c r="K284" s="846"/>
      <c r="L284" s="846"/>
      <c r="M284" s="846"/>
      <c r="N284" s="847"/>
      <c r="O284" s="846"/>
      <c r="P284" s="846"/>
      <c r="Q284" s="846"/>
      <c r="R284" s="846"/>
      <c r="S284" s="846"/>
      <c r="T284" s="846"/>
      <c r="U284" s="846"/>
    </row>
    <row r="285" ht="14.25" customHeight="1">
      <c r="A285" s="846"/>
      <c r="B285" s="846"/>
      <c r="C285" s="846"/>
      <c r="D285" s="847"/>
      <c r="E285" s="847"/>
      <c r="F285" s="846"/>
      <c r="G285" s="847"/>
      <c r="H285" s="849"/>
      <c r="I285" s="846"/>
      <c r="J285" s="846"/>
      <c r="K285" s="846"/>
      <c r="L285" s="846"/>
      <c r="M285" s="846"/>
      <c r="N285" s="847"/>
      <c r="O285" s="846"/>
      <c r="P285" s="846"/>
      <c r="Q285" s="846"/>
      <c r="R285" s="846"/>
      <c r="S285" s="846"/>
      <c r="T285" s="846"/>
      <c r="U285" s="846"/>
    </row>
    <row r="286" ht="14.25" customHeight="1">
      <c r="A286" s="846"/>
      <c r="B286" s="846"/>
      <c r="C286" s="846"/>
      <c r="D286" s="847"/>
      <c r="E286" s="847"/>
      <c r="F286" s="846"/>
      <c r="G286" s="847"/>
      <c r="H286" s="849"/>
      <c r="I286" s="846"/>
      <c r="J286" s="846"/>
      <c r="K286" s="846"/>
      <c r="L286" s="846"/>
      <c r="M286" s="846"/>
      <c r="N286" s="847"/>
      <c r="O286" s="846"/>
      <c r="P286" s="846"/>
      <c r="Q286" s="846"/>
      <c r="R286" s="846"/>
      <c r="S286" s="846"/>
      <c r="T286" s="846"/>
      <c r="U286" s="846"/>
    </row>
    <row r="287" ht="14.25" customHeight="1">
      <c r="A287" s="846"/>
      <c r="B287" s="846"/>
      <c r="C287" s="846"/>
      <c r="D287" s="847"/>
      <c r="E287" s="847"/>
      <c r="F287" s="846"/>
      <c r="G287" s="847"/>
      <c r="H287" s="849"/>
      <c r="I287" s="846"/>
      <c r="J287" s="846"/>
      <c r="K287" s="846"/>
      <c r="L287" s="846"/>
      <c r="M287" s="846"/>
      <c r="N287" s="847"/>
      <c r="O287" s="846"/>
      <c r="P287" s="846"/>
      <c r="Q287" s="846"/>
      <c r="R287" s="846"/>
      <c r="S287" s="846"/>
      <c r="T287" s="846"/>
      <c r="U287" s="846"/>
    </row>
    <row r="288" ht="14.25" customHeight="1">
      <c r="A288" s="846"/>
      <c r="B288" s="846"/>
      <c r="C288" s="846"/>
      <c r="D288" s="847"/>
      <c r="E288" s="847"/>
      <c r="F288" s="846"/>
      <c r="G288" s="847"/>
      <c r="H288" s="849"/>
      <c r="I288" s="846"/>
      <c r="J288" s="846"/>
      <c r="K288" s="846"/>
      <c r="L288" s="846"/>
      <c r="M288" s="846"/>
      <c r="N288" s="847"/>
      <c r="O288" s="846"/>
      <c r="P288" s="846"/>
      <c r="Q288" s="846"/>
      <c r="R288" s="846"/>
      <c r="S288" s="846"/>
      <c r="T288" s="846"/>
      <c r="U288" s="846"/>
    </row>
    <row r="289" ht="14.25" customHeight="1">
      <c r="A289" s="846"/>
      <c r="B289" s="846"/>
      <c r="C289" s="846"/>
      <c r="D289" s="847"/>
      <c r="E289" s="847"/>
      <c r="F289" s="846"/>
      <c r="G289" s="847"/>
      <c r="H289" s="849"/>
      <c r="I289" s="846"/>
      <c r="J289" s="846"/>
      <c r="K289" s="846"/>
      <c r="L289" s="846"/>
      <c r="M289" s="846"/>
      <c r="N289" s="847"/>
      <c r="O289" s="846"/>
      <c r="P289" s="846"/>
      <c r="Q289" s="846"/>
      <c r="R289" s="846"/>
      <c r="S289" s="846"/>
      <c r="T289" s="846"/>
      <c r="U289" s="846"/>
    </row>
    <row r="290" ht="14.25" customHeight="1">
      <c r="A290" s="846"/>
      <c r="B290" s="846"/>
      <c r="C290" s="846"/>
      <c r="D290" s="847"/>
      <c r="E290" s="847"/>
      <c r="F290" s="846"/>
      <c r="G290" s="847"/>
      <c r="H290" s="849"/>
      <c r="I290" s="846"/>
      <c r="J290" s="846"/>
      <c r="K290" s="846"/>
      <c r="L290" s="846"/>
      <c r="M290" s="846"/>
      <c r="N290" s="847"/>
      <c r="O290" s="846"/>
      <c r="P290" s="846"/>
      <c r="Q290" s="846"/>
      <c r="R290" s="846"/>
      <c r="S290" s="846"/>
      <c r="T290" s="846"/>
      <c r="U290" s="846"/>
    </row>
    <row r="291" ht="14.25" customHeight="1">
      <c r="A291" s="846"/>
      <c r="B291" s="846"/>
      <c r="C291" s="846"/>
      <c r="D291" s="847"/>
      <c r="E291" s="847"/>
      <c r="F291" s="846"/>
      <c r="G291" s="847"/>
      <c r="H291" s="848"/>
      <c r="I291" s="846"/>
      <c r="J291" s="846"/>
      <c r="K291" s="846"/>
      <c r="L291" s="846"/>
      <c r="M291" s="846"/>
      <c r="N291" s="847"/>
      <c r="O291" s="846"/>
      <c r="P291" s="846"/>
      <c r="Q291" s="846"/>
      <c r="R291" s="846"/>
      <c r="S291" s="846"/>
      <c r="T291" s="846"/>
      <c r="U291" s="846"/>
    </row>
    <row r="292" ht="14.25" customHeight="1">
      <c r="A292" s="846"/>
      <c r="B292" s="846"/>
      <c r="C292" s="846"/>
      <c r="D292" s="847"/>
      <c r="E292" s="847"/>
      <c r="F292" s="846"/>
      <c r="G292" s="847"/>
      <c r="H292" s="849"/>
      <c r="I292" s="846"/>
      <c r="J292" s="846"/>
      <c r="K292" s="846"/>
      <c r="L292" s="846"/>
      <c r="M292" s="846"/>
      <c r="N292" s="847"/>
      <c r="O292" s="846"/>
      <c r="P292" s="846"/>
      <c r="Q292" s="846"/>
      <c r="R292" s="846"/>
      <c r="S292" s="846"/>
      <c r="T292" s="846"/>
      <c r="U292" s="846"/>
    </row>
    <row r="293" ht="14.25" customHeight="1">
      <c r="A293" s="846"/>
      <c r="B293" s="846"/>
      <c r="C293" s="846"/>
      <c r="D293" s="847"/>
      <c r="E293" s="847"/>
      <c r="F293" s="846"/>
      <c r="G293" s="847"/>
      <c r="H293" s="849"/>
      <c r="I293" s="846"/>
      <c r="J293" s="846"/>
      <c r="K293" s="846"/>
      <c r="L293" s="846"/>
      <c r="M293" s="846"/>
      <c r="N293" s="847"/>
      <c r="O293" s="846"/>
      <c r="P293" s="846"/>
      <c r="Q293" s="846"/>
      <c r="R293" s="846"/>
      <c r="S293" s="846"/>
      <c r="T293" s="846"/>
      <c r="U293" s="846"/>
    </row>
    <row r="294" ht="14.25" customHeight="1">
      <c r="A294" s="846"/>
      <c r="B294" s="846"/>
      <c r="C294" s="846"/>
      <c r="D294" s="847"/>
      <c r="E294" s="847"/>
      <c r="F294" s="846"/>
      <c r="G294" s="847"/>
      <c r="H294" s="849"/>
      <c r="I294" s="846"/>
      <c r="J294" s="846"/>
      <c r="K294" s="846"/>
      <c r="L294" s="846"/>
      <c r="M294" s="846"/>
      <c r="N294" s="847"/>
      <c r="O294" s="846"/>
      <c r="P294" s="846"/>
      <c r="Q294" s="846"/>
      <c r="R294" s="846"/>
      <c r="S294" s="846"/>
      <c r="T294" s="846"/>
      <c r="U294" s="846"/>
    </row>
    <row r="295" ht="14.25" customHeight="1">
      <c r="A295" s="846"/>
      <c r="B295" s="846"/>
      <c r="C295" s="846"/>
      <c r="D295" s="847"/>
      <c r="E295" s="847"/>
      <c r="F295" s="846"/>
      <c r="G295" s="847"/>
      <c r="H295" s="849"/>
      <c r="I295" s="846"/>
      <c r="J295" s="846"/>
      <c r="K295" s="846"/>
      <c r="L295" s="846"/>
      <c r="M295" s="846"/>
      <c r="N295" s="847"/>
      <c r="O295" s="846"/>
      <c r="P295" s="846"/>
      <c r="Q295" s="846"/>
      <c r="R295" s="846"/>
      <c r="S295" s="846"/>
      <c r="T295" s="846"/>
      <c r="U295" s="846"/>
    </row>
    <row r="296" ht="14.25" customHeight="1">
      <c r="A296" s="846"/>
      <c r="B296" s="846"/>
      <c r="C296" s="846"/>
      <c r="D296" s="847"/>
      <c r="E296" s="847"/>
      <c r="F296" s="846"/>
      <c r="G296" s="847"/>
      <c r="H296" s="849"/>
      <c r="I296" s="846"/>
      <c r="J296" s="846"/>
      <c r="K296" s="846"/>
      <c r="L296" s="846"/>
      <c r="M296" s="846"/>
      <c r="N296" s="847"/>
      <c r="O296" s="846"/>
      <c r="P296" s="846"/>
      <c r="Q296" s="846"/>
      <c r="R296" s="846"/>
      <c r="S296" s="846"/>
      <c r="T296" s="846"/>
      <c r="U296" s="846"/>
    </row>
    <row r="297" ht="14.25" customHeight="1">
      <c r="A297" s="846"/>
      <c r="B297" s="846"/>
      <c r="C297" s="846"/>
      <c r="D297" s="847"/>
      <c r="E297" s="847"/>
      <c r="F297" s="846"/>
      <c r="G297" s="847"/>
      <c r="H297" s="849"/>
      <c r="I297" s="846"/>
      <c r="J297" s="846"/>
      <c r="K297" s="846"/>
      <c r="L297" s="846"/>
      <c r="M297" s="846"/>
      <c r="N297" s="847"/>
      <c r="O297" s="846"/>
      <c r="P297" s="846"/>
      <c r="Q297" s="846"/>
      <c r="R297" s="846"/>
      <c r="S297" s="846"/>
      <c r="T297" s="846"/>
      <c r="U297" s="846"/>
    </row>
    <row r="298" ht="14.25" customHeight="1">
      <c r="A298" s="846"/>
      <c r="B298" s="846"/>
      <c r="C298" s="846"/>
      <c r="D298" s="847"/>
      <c r="E298" s="847"/>
      <c r="F298" s="846"/>
      <c r="G298" s="847"/>
      <c r="H298" s="849"/>
      <c r="I298" s="846"/>
      <c r="J298" s="846"/>
      <c r="K298" s="846"/>
      <c r="L298" s="846"/>
      <c r="M298" s="846"/>
      <c r="N298" s="847"/>
      <c r="O298" s="846"/>
      <c r="P298" s="846"/>
      <c r="Q298" s="846"/>
      <c r="R298" s="846"/>
      <c r="S298" s="846"/>
      <c r="T298" s="846"/>
      <c r="U298" s="846"/>
    </row>
    <row r="299" ht="14.25" customHeight="1">
      <c r="A299" s="846"/>
      <c r="B299" s="846"/>
      <c r="C299" s="846"/>
      <c r="D299" s="847"/>
      <c r="E299" s="847"/>
      <c r="F299" s="846"/>
      <c r="G299" s="847"/>
      <c r="H299" s="849"/>
      <c r="I299" s="846"/>
      <c r="J299" s="846"/>
      <c r="K299" s="846"/>
      <c r="L299" s="846"/>
      <c r="M299" s="846"/>
      <c r="N299" s="847"/>
      <c r="O299" s="846"/>
      <c r="P299" s="846"/>
      <c r="Q299" s="846"/>
      <c r="R299" s="846"/>
      <c r="S299" s="846"/>
      <c r="T299" s="846"/>
      <c r="U299" s="846"/>
    </row>
    <row r="300" ht="14.25" customHeight="1">
      <c r="A300" s="846"/>
      <c r="B300" s="846"/>
      <c r="C300" s="846"/>
      <c r="D300" s="847"/>
      <c r="E300" s="847"/>
      <c r="F300" s="846"/>
      <c r="G300" s="847"/>
      <c r="H300" s="849"/>
      <c r="I300" s="846"/>
      <c r="J300" s="846"/>
      <c r="K300" s="846"/>
      <c r="L300" s="846"/>
      <c r="M300" s="846"/>
      <c r="N300" s="847"/>
      <c r="O300" s="846"/>
      <c r="P300" s="846"/>
      <c r="Q300" s="846"/>
      <c r="R300" s="846"/>
      <c r="S300" s="846"/>
      <c r="T300" s="846"/>
      <c r="U300" s="846"/>
    </row>
    <row r="301" ht="14.25" customHeight="1">
      <c r="A301" s="846"/>
      <c r="B301" s="846"/>
      <c r="C301" s="846"/>
      <c r="D301" s="847"/>
      <c r="E301" s="847"/>
      <c r="F301" s="846"/>
      <c r="G301" s="847"/>
      <c r="H301" s="849"/>
      <c r="I301" s="846"/>
      <c r="J301" s="846"/>
      <c r="K301" s="846"/>
      <c r="L301" s="846"/>
      <c r="M301" s="846"/>
      <c r="N301" s="847"/>
      <c r="O301" s="846"/>
      <c r="P301" s="846"/>
      <c r="Q301" s="846"/>
      <c r="R301" s="846"/>
      <c r="S301" s="846"/>
      <c r="T301" s="846"/>
      <c r="U301" s="846"/>
    </row>
    <row r="302" ht="14.25" customHeight="1">
      <c r="A302" s="846"/>
      <c r="B302" s="846"/>
      <c r="C302" s="846"/>
      <c r="D302" s="847"/>
      <c r="E302" s="847"/>
      <c r="F302" s="846"/>
      <c r="G302" s="847"/>
      <c r="H302" s="849"/>
      <c r="I302" s="846"/>
      <c r="J302" s="846"/>
      <c r="K302" s="846"/>
      <c r="L302" s="846"/>
      <c r="M302" s="846"/>
      <c r="N302" s="847"/>
      <c r="O302" s="846"/>
      <c r="P302" s="846"/>
      <c r="Q302" s="846"/>
      <c r="R302" s="846"/>
      <c r="S302" s="846"/>
      <c r="T302" s="846"/>
      <c r="U302" s="846"/>
    </row>
    <row r="303" ht="14.25" customHeight="1">
      <c r="A303" s="846"/>
      <c r="B303" s="846"/>
      <c r="C303" s="846"/>
      <c r="D303" s="847"/>
      <c r="E303" s="847"/>
      <c r="F303" s="846"/>
      <c r="G303" s="847"/>
      <c r="H303" s="849"/>
      <c r="I303" s="846"/>
      <c r="J303" s="846"/>
      <c r="K303" s="846"/>
      <c r="L303" s="846"/>
      <c r="M303" s="846"/>
      <c r="N303" s="847"/>
      <c r="O303" s="846"/>
      <c r="P303" s="846"/>
      <c r="Q303" s="846"/>
      <c r="R303" s="846"/>
      <c r="S303" s="846"/>
      <c r="T303" s="846"/>
      <c r="U303" s="846"/>
    </row>
    <row r="304" ht="14.25" customHeight="1">
      <c r="A304" s="846"/>
      <c r="B304" s="846"/>
      <c r="C304" s="846"/>
      <c r="D304" s="847"/>
      <c r="E304" s="847"/>
      <c r="F304" s="846"/>
      <c r="G304" s="847"/>
      <c r="H304" s="849"/>
      <c r="I304" s="846"/>
      <c r="J304" s="846"/>
      <c r="K304" s="846"/>
      <c r="L304" s="846"/>
      <c r="M304" s="846"/>
      <c r="N304" s="847"/>
      <c r="O304" s="846"/>
      <c r="P304" s="846"/>
      <c r="Q304" s="846"/>
      <c r="R304" s="846"/>
      <c r="S304" s="846"/>
      <c r="T304" s="846"/>
      <c r="U304" s="846"/>
    </row>
    <row r="305" ht="14.25" customHeight="1">
      <c r="A305" s="846"/>
      <c r="B305" s="846"/>
      <c r="C305" s="846"/>
      <c r="D305" s="847"/>
      <c r="E305" s="847"/>
      <c r="F305" s="846"/>
      <c r="G305" s="847"/>
      <c r="H305" s="849"/>
      <c r="I305" s="846"/>
      <c r="J305" s="846"/>
      <c r="K305" s="846"/>
      <c r="L305" s="846"/>
      <c r="M305" s="846"/>
      <c r="N305" s="847"/>
      <c r="O305" s="846"/>
      <c r="P305" s="846"/>
      <c r="Q305" s="846"/>
      <c r="R305" s="846"/>
      <c r="S305" s="846"/>
      <c r="T305" s="846"/>
      <c r="U305" s="846"/>
    </row>
    <row r="306" ht="14.25" customHeight="1">
      <c r="A306" s="846"/>
      <c r="B306" s="846"/>
      <c r="C306" s="846"/>
      <c r="D306" s="847"/>
      <c r="E306" s="847"/>
      <c r="F306" s="846"/>
      <c r="G306" s="847"/>
      <c r="H306" s="849"/>
      <c r="I306" s="846"/>
      <c r="J306" s="846"/>
      <c r="K306" s="846"/>
      <c r="L306" s="846"/>
      <c r="M306" s="846"/>
      <c r="N306" s="847"/>
      <c r="O306" s="846"/>
      <c r="P306" s="846"/>
      <c r="Q306" s="846"/>
      <c r="R306" s="846"/>
      <c r="S306" s="846"/>
      <c r="T306" s="846"/>
      <c r="U306" s="846"/>
    </row>
    <row r="307" ht="14.25" customHeight="1">
      <c r="A307" s="846"/>
      <c r="B307" s="846"/>
      <c r="C307" s="846"/>
      <c r="D307" s="847"/>
      <c r="E307" s="847"/>
      <c r="F307" s="846"/>
      <c r="G307" s="847"/>
      <c r="H307" s="849"/>
      <c r="I307" s="846"/>
      <c r="J307" s="846"/>
      <c r="K307" s="846"/>
      <c r="L307" s="846"/>
      <c r="M307" s="846"/>
      <c r="N307" s="847"/>
      <c r="O307" s="846"/>
      <c r="P307" s="846"/>
      <c r="Q307" s="846"/>
      <c r="R307" s="846"/>
      <c r="S307" s="846"/>
      <c r="T307" s="846"/>
      <c r="U307" s="846"/>
    </row>
    <row r="308" ht="14.25" customHeight="1">
      <c r="A308" s="846"/>
      <c r="B308" s="846"/>
      <c r="C308" s="846"/>
      <c r="D308" s="847"/>
      <c r="E308" s="847"/>
      <c r="F308" s="846"/>
      <c r="G308" s="847"/>
      <c r="H308" s="849"/>
      <c r="I308" s="846"/>
      <c r="J308" s="846"/>
      <c r="K308" s="846"/>
      <c r="L308" s="846"/>
      <c r="M308" s="846"/>
      <c r="N308" s="847"/>
      <c r="O308" s="846"/>
      <c r="P308" s="846"/>
      <c r="Q308" s="846"/>
      <c r="R308" s="846"/>
      <c r="S308" s="846"/>
      <c r="T308" s="846"/>
      <c r="U308" s="846"/>
    </row>
    <row r="309" ht="14.25" customHeight="1">
      <c r="A309" s="846"/>
      <c r="B309" s="846"/>
      <c r="C309" s="846"/>
      <c r="D309" s="847"/>
      <c r="E309" s="847"/>
      <c r="F309" s="846"/>
      <c r="G309" s="847"/>
      <c r="H309" s="849"/>
      <c r="I309" s="846"/>
      <c r="J309" s="846"/>
      <c r="K309" s="846"/>
      <c r="L309" s="846"/>
      <c r="M309" s="846"/>
      <c r="N309" s="847"/>
      <c r="O309" s="846"/>
      <c r="P309" s="846"/>
      <c r="Q309" s="846"/>
      <c r="R309" s="846"/>
      <c r="S309" s="846"/>
      <c r="T309" s="846"/>
      <c r="U309" s="846"/>
    </row>
    <row r="310" ht="14.25" customHeight="1">
      <c r="A310" s="846"/>
      <c r="B310" s="846"/>
      <c r="C310" s="846"/>
      <c r="D310" s="847"/>
      <c r="E310" s="847"/>
      <c r="F310" s="846"/>
      <c r="G310" s="847"/>
      <c r="H310" s="849"/>
      <c r="I310" s="846"/>
      <c r="J310" s="846"/>
      <c r="K310" s="846"/>
      <c r="L310" s="846"/>
      <c r="M310" s="846"/>
      <c r="N310" s="847"/>
      <c r="O310" s="846"/>
      <c r="P310" s="846"/>
      <c r="Q310" s="846"/>
      <c r="R310" s="846"/>
      <c r="S310" s="846"/>
      <c r="T310" s="846"/>
      <c r="U310" s="846"/>
    </row>
    <row r="311" ht="14.25" customHeight="1">
      <c r="A311" s="846"/>
      <c r="B311" s="846"/>
      <c r="C311" s="846"/>
      <c r="D311" s="847"/>
      <c r="E311" s="847"/>
      <c r="F311" s="846"/>
      <c r="G311" s="847"/>
      <c r="H311" s="848"/>
      <c r="I311" s="846"/>
      <c r="J311" s="846"/>
      <c r="K311" s="846"/>
      <c r="L311" s="846"/>
      <c r="M311" s="846"/>
      <c r="N311" s="847"/>
      <c r="O311" s="846"/>
      <c r="P311" s="846"/>
      <c r="Q311" s="846"/>
      <c r="R311" s="846"/>
      <c r="S311" s="846"/>
      <c r="T311" s="846"/>
      <c r="U311" s="846"/>
    </row>
    <row r="312" ht="14.25" customHeight="1">
      <c r="A312" s="846"/>
      <c r="B312" s="846"/>
      <c r="C312" s="846"/>
      <c r="D312" s="847"/>
      <c r="E312" s="847"/>
      <c r="F312" s="846"/>
      <c r="G312" s="847"/>
      <c r="H312" s="849"/>
      <c r="I312" s="846"/>
      <c r="J312" s="846"/>
      <c r="K312" s="846"/>
      <c r="L312" s="846"/>
      <c r="M312" s="846"/>
      <c r="N312" s="847"/>
      <c r="O312" s="846"/>
      <c r="P312" s="846"/>
      <c r="Q312" s="846"/>
      <c r="R312" s="846"/>
      <c r="S312" s="846"/>
      <c r="T312" s="846"/>
      <c r="U312" s="846"/>
    </row>
    <row r="313" ht="14.25" customHeight="1">
      <c r="A313" s="846"/>
      <c r="B313" s="846"/>
      <c r="C313" s="846"/>
      <c r="D313" s="847"/>
      <c r="E313" s="847"/>
      <c r="F313" s="846"/>
      <c r="G313" s="847"/>
      <c r="H313" s="849"/>
      <c r="I313" s="846"/>
      <c r="J313" s="846"/>
      <c r="K313" s="846"/>
      <c r="L313" s="846"/>
      <c r="M313" s="846"/>
      <c r="N313" s="847"/>
      <c r="O313" s="846"/>
      <c r="P313" s="846"/>
      <c r="Q313" s="846"/>
      <c r="R313" s="846"/>
      <c r="S313" s="846"/>
      <c r="T313" s="846"/>
      <c r="U313" s="846"/>
    </row>
    <row r="314" ht="14.25" customHeight="1">
      <c r="A314" s="846"/>
      <c r="B314" s="846"/>
      <c r="C314" s="846"/>
      <c r="D314" s="847"/>
      <c r="E314" s="847"/>
      <c r="F314" s="846"/>
      <c r="G314" s="847"/>
      <c r="H314" s="849"/>
      <c r="I314" s="846"/>
      <c r="J314" s="846"/>
      <c r="K314" s="846"/>
      <c r="L314" s="846"/>
      <c r="M314" s="846"/>
      <c r="N314" s="847"/>
      <c r="O314" s="846"/>
      <c r="P314" s="846"/>
      <c r="Q314" s="846"/>
      <c r="R314" s="846"/>
      <c r="S314" s="846"/>
      <c r="T314" s="846"/>
      <c r="U314" s="846"/>
    </row>
    <row r="315" ht="14.25" customHeight="1">
      <c r="A315" s="846"/>
      <c r="B315" s="846"/>
      <c r="C315" s="846"/>
      <c r="D315" s="847"/>
      <c r="E315" s="847"/>
      <c r="F315" s="846"/>
      <c r="G315" s="847"/>
      <c r="H315" s="848"/>
      <c r="I315" s="846"/>
      <c r="J315" s="846"/>
      <c r="K315" s="846"/>
      <c r="L315" s="846"/>
      <c r="M315" s="846"/>
      <c r="N315" s="847"/>
      <c r="O315" s="846"/>
      <c r="P315" s="846"/>
      <c r="Q315" s="846"/>
      <c r="R315" s="846"/>
      <c r="S315" s="846"/>
      <c r="T315" s="846"/>
      <c r="U315" s="846"/>
    </row>
    <row r="316" ht="14.25" customHeight="1">
      <c r="A316" s="846"/>
      <c r="B316" s="846"/>
      <c r="C316" s="846"/>
      <c r="D316" s="847"/>
      <c r="E316" s="847"/>
      <c r="F316" s="846"/>
      <c r="G316" s="847"/>
      <c r="H316" s="848"/>
      <c r="I316" s="846"/>
      <c r="J316" s="846"/>
      <c r="K316" s="846"/>
      <c r="L316" s="846"/>
      <c r="M316" s="846"/>
      <c r="N316" s="847"/>
      <c r="O316" s="846"/>
      <c r="P316" s="846"/>
      <c r="Q316" s="846"/>
      <c r="R316" s="846"/>
      <c r="S316" s="846"/>
      <c r="T316" s="846"/>
      <c r="U316" s="846"/>
    </row>
    <row r="317" ht="14.25" customHeight="1">
      <c r="A317" s="846"/>
      <c r="B317" s="846"/>
      <c r="C317" s="846"/>
      <c r="D317" s="847"/>
      <c r="E317" s="847"/>
      <c r="F317" s="846"/>
      <c r="G317" s="847"/>
      <c r="H317" s="849"/>
      <c r="I317" s="846"/>
      <c r="J317" s="846"/>
      <c r="K317" s="846"/>
      <c r="L317" s="846"/>
      <c r="M317" s="846"/>
      <c r="N317" s="847"/>
      <c r="O317" s="846"/>
      <c r="P317" s="846"/>
      <c r="Q317" s="846"/>
      <c r="R317" s="846"/>
      <c r="S317" s="846"/>
      <c r="T317" s="846"/>
      <c r="U317" s="846"/>
    </row>
    <row r="318" ht="14.25" customHeight="1">
      <c r="A318" s="846"/>
      <c r="B318" s="846"/>
      <c r="C318" s="846"/>
      <c r="D318" s="847"/>
      <c r="E318" s="847"/>
      <c r="F318" s="846"/>
      <c r="G318" s="847"/>
      <c r="H318" s="849"/>
      <c r="I318" s="846"/>
      <c r="J318" s="846"/>
      <c r="K318" s="846"/>
      <c r="L318" s="846"/>
      <c r="M318" s="846"/>
      <c r="N318" s="847"/>
      <c r="O318" s="846"/>
      <c r="P318" s="846"/>
      <c r="Q318" s="846"/>
      <c r="R318" s="846"/>
      <c r="S318" s="846"/>
      <c r="T318" s="846"/>
      <c r="U318" s="846"/>
    </row>
    <row r="319" ht="14.25" customHeight="1">
      <c r="A319" s="846"/>
      <c r="B319" s="846"/>
      <c r="C319" s="846"/>
      <c r="D319" s="847"/>
      <c r="E319" s="847"/>
      <c r="F319" s="846"/>
      <c r="G319" s="847"/>
      <c r="H319" s="849"/>
      <c r="I319" s="846"/>
      <c r="J319" s="846"/>
      <c r="K319" s="846"/>
      <c r="L319" s="846"/>
      <c r="M319" s="846"/>
      <c r="N319" s="847"/>
      <c r="O319" s="846"/>
      <c r="P319" s="846"/>
      <c r="Q319" s="846"/>
      <c r="R319" s="846"/>
      <c r="S319" s="846"/>
      <c r="T319" s="846"/>
      <c r="U319" s="846"/>
    </row>
    <row r="320" ht="14.25" customHeight="1">
      <c r="A320" s="846"/>
      <c r="B320" s="846"/>
      <c r="C320" s="846"/>
      <c r="D320" s="847"/>
      <c r="E320" s="847"/>
      <c r="F320" s="846"/>
      <c r="G320" s="847"/>
      <c r="H320" s="849"/>
      <c r="I320" s="846"/>
      <c r="J320" s="846"/>
      <c r="K320" s="846"/>
      <c r="L320" s="846"/>
      <c r="M320" s="846"/>
      <c r="N320" s="847"/>
      <c r="O320" s="846"/>
      <c r="P320" s="846"/>
      <c r="Q320" s="846"/>
      <c r="R320" s="846"/>
      <c r="S320" s="846"/>
      <c r="T320" s="846"/>
      <c r="U320" s="846"/>
    </row>
    <row r="321" ht="14.25" customHeight="1">
      <c r="A321" s="846"/>
      <c r="B321" s="846"/>
      <c r="C321" s="846"/>
      <c r="D321" s="847"/>
      <c r="E321" s="847"/>
      <c r="F321" s="846"/>
      <c r="G321" s="847"/>
      <c r="H321" s="850"/>
      <c r="I321" s="846"/>
      <c r="J321" s="846"/>
      <c r="K321" s="846"/>
      <c r="L321" s="846"/>
      <c r="M321" s="846"/>
      <c r="N321" s="847"/>
      <c r="O321" s="846"/>
      <c r="P321" s="846"/>
      <c r="Q321" s="846"/>
      <c r="R321" s="846"/>
      <c r="S321" s="846"/>
      <c r="T321" s="846"/>
      <c r="U321" s="846"/>
    </row>
    <row r="322" ht="14.25" customHeight="1">
      <c r="A322" s="846"/>
      <c r="B322" s="846"/>
      <c r="C322" s="846"/>
      <c r="D322" s="847"/>
      <c r="E322" s="847"/>
      <c r="F322" s="846"/>
      <c r="G322" s="847"/>
      <c r="H322" s="867"/>
      <c r="I322" s="846"/>
      <c r="J322" s="846"/>
      <c r="K322" s="846"/>
      <c r="L322" s="846"/>
      <c r="M322" s="846"/>
      <c r="N322" s="847"/>
      <c r="O322" s="846"/>
      <c r="P322" s="846"/>
      <c r="Q322" s="846"/>
      <c r="R322" s="846"/>
      <c r="S322" s="846"/>
      <c r="T322" s="846"/>
      <c r="U322" s="846"/>
    </row>
    <row r="323" ht="14.25" customHeight="1">
      <c r="A323" s="846"/>
      <c r="B323" s="846"/>
      <c r="C323" s="846"/>
      <c r="D323" s="847"/>
      <c r="E323" s="847"/>
      <c r="F323" s="846"/>
      <c r="G323" s="847"/>
      <c r="H323" s="849"/>
      <c r="I323" s="846"/>
      <c r="J323" s="846"/>
      <c r="K323" s="846"/>
      <c r="L323" s="846"/>
      <c r="M323" s="846"/>
      <c r="N323" s="847"/>
      <c r="O323" s="846"/>
      <c r="P323" s="846"/>
      <c r="Q323" s="846"/>
      <c r="R323" s="846"/>
      <c r="S323" s="846"/>
      <c r="T323" s="846"/>
      <c r="U323" s="846"/>
    </row>
    <row r="324" ht="14.25" customHeight="1">
      <c r="A324" s="846"/>
      <c r="B324" s="846"/>
      <c r="C324" s="846"/>
      <c r="D324" s="847"/>
      <c r="E324" s="847"/>
      <c r="F324" s="846"/>
      <c r="G324" s="847"/>
      <c r="H324" s="849"/>
      <c r="I324" s="846"/>
      <c r="J324" s="846"/>
      <c r="K324" s="846"/>
      <c r="L324" s="846"/>
      <c r="M324" s="846"/>
      <c r="N324" s="847"/>
      <c r="O324" s="846"/>
      <c r="P324" s="846"/>
      <c r="Q324" s="846"/>
      <c r="R324" s="846"/>
      <c r="S324" s="846"/>
      <c r="T324" s="846"/>
      <c r="U324" s="846"/>
    </row>
    <row r="325" ht="14.25" customHeight="1">
      <c r="A325" s="846"/>
      <c r="B325" s="846"/>
      <c r="C325" s="846"/>
      <c r="D325" s="847"/>
      <c r="E325" s="847"/>
      <c r="F325" s="846"/>
      <c r="G325" s="847"/>
      <c r="H325" s="849"/>
      <c r="I325" s="846"/>
      <c r="J325" s="846"/>
      <c r="K325" s="846"/>
      <c r="L325" s="846"/>
      <c r="M325" s="846"/>
      <c r="N325" s="847"/>
      <c r="O325" s="846"/>
      <c r="P325" s="846"/>
      <c r="Q325" s="846"/>
      <c r="R325" s="846"/>
      <c r="S325" s="846"/>
      <c r="T325" s="846"/>
      <c r="U325" s="846"/>
    </row>
    <row r="326" ht="14.25" customHeight="1">
      <c r="A326" s="846"/>
      <c r="B326" s="846"/>
      <c r="C326" s="846"/>
      <c r="D326" s="847"/>
      <c r="E326" s="847"/>
      <c r="F326" s="846"/>
      <c r="G326" s="847"/>
      <c r="H326" s="849"/>
      <c r="I326" s="846"/>
      <c r="J326" s="846"/>
      <c r="K326" s="846"/>
      <c r="L326" s="846"/>
      <c r="M326" s="846"/>
      <c r="N326" s="847"/>
      <c r="O326" s="846"/>
      <c r="P326" s="846"/>
      <c r="Q326" s="846"/>
      <c r="R326" s="846"/>
      <c r="S326" s="846"/>
      <c r="T326" s="846"/>
      <c r="U326" s="846"/>
    </row>
    <row r="327" ht="14.25" customHeight="1">
      <c r="A327" s="846"/>
      <c r="B327" s="846"/>
      <c r="C327" s="846"/>
      <c r="D327" s="847"/>
      <c r="E327" s="847"/>
      <c r="F327" s="846"/>
      <c r="G327" s="847"/>
      <c r="H327" s="849"/>
      <c r="I327" s="846"/>
      <c r="J327" s="846"/>
      <c r="K327" s="846"/>
      <c r="L327" s="846"/>
      <c r="M327" s="846"/>
      <c r="N327" s="847"/>
      <c r="O327" s="846"/>
      <c r="P327" s="846"/>
      <c r="Q327" s="846"/>
      <c r="R327" s="846"/>
      <c r="S327" s="846"/>
      <c r="T327" s="846"/>
      <c r="U327" s="846"/>
    </row>
    <row r="328" ht="14.25" customHeight="1">
      <c r="A328" s="846"/>
      <c r="B328" s="846"/>
      <c r="C328" s="846"/>
      <c r="D328" s="847"/>
      <c r="E328" s="847"/>
      <c r="F328" s="846"/>
      <c r="G328" s="847"/>
      <c r="H328" s="849"/>
      <c r="I328" s="846"/>
      <c r="J328" s="846"/>
      <c r="K328" s="846"/>
      <c r="L328" s="846"/>
      <c r="M328" s="846"/>
      <c r="N328" s="847"/>
      <c r="O328" s="846"/>
      <c r="P328" s="846"/>
      <c r="Q328" s="846"/>
      <c r="R328" s="846"/>
      <c r="S328" s="846"/>
      <c r="T328" s="846"/>
      <c r="U328" s="846"/>
    </row>
    <row r="329" ht="14.25" customHeight="1">
      <c r="A329" s="846"/>
      <c r="B329" s="846"/>
      <c r="C329" s="846"/>
      <c r="D329" s="847"/>
      <c r="E329" s="847"/>
      <c r="F329" s="846"/>
      <c r="G329" s="847"/>
      <c r="H329" s="849"/>
      <c r="I329" s="846"/>
      <c r="J329" s="846"/>
      <c r="K329" s="846"/>
      <c r="L329" s="846"/>
      <c r="M329" s="846"/>
      <c r="N329" s="847"/>
      <c r="O329" s="846"/>
      <c r="P329" s="846"/>
      <c r="Q329" s="846"/>
      <c r="R329" s="846"/>
      <c r="S329" s="846"/>
      <c r="T329" s="846"/>
      <c r="U329" s="846"/>
    </row>
    <row r="330" ht="14.25" customHeight="1">
      <c r="A330" s="846"/>
      <c r="B330" s="846"/>
      <c r="C330" s="846"/>
      <c r="D330" s="847"/>
      <c r="E330" s="847"/>
      <c r="F330" s="846"/>
      <c r="G330" s="847"/>
      <c r="H330" s="849"/>
      <c r="I330" s="846"/>
      <c r="J330" s="846"/>
      <c r="K330" s="846"/>
      <c r="L330" s="846"/>
      <c r="M330" s="846"/>
      <c r="N330" s="847"/>
      <c r="O330" s="846"/>
      <c r="P330" s="846"/>
      <c r="Q330" s="846"/>
      <c r="R330" s="846"/>
      <c r="S330" s="846"/>
      <c r="T330" s="846"/>
      <c r="U330" s="846"/>
    </row>
    <row r="331" ht="14.25" customHeight="1">
      <c r="A331" s="846"/>
      <c r="B331" s="846"/>
      <c r="C331" s="846"/>
      <c r="D331" s="847"/>
      <c r="E331" s="847"/>
      <c r="F331" s="846"/>
      <c r="G331" s="847"/>
      <c r="H331" s="849"/>
      <c r="I331" s="846"/>
      <c r="J331" s="846"/>
      <c r="K331" s="846"/>
      <c r="L331" s="846"/>
      <c r="M331" s="846"/>
      <c r="N331" s="847"/>
      <c r="O331" s="846"/>
      <c r="P331" s="846"/>
      <c r="Q331" s="846"/>
      <c r="R331" s="846"/>
      <c r="S331" s="846"/>
      <c r="T331" s="846"/>
      <c r="U331" s="846"/>
    </row>
    <row r="332" ht="14.25" customHeight="1">
      <c r="A332" s="846"/>
      <c r="B332" s="846"/>
      <c r="C332" s="846"/>
      <c r="D332" s="847"/>
      <c r="E332" s="847"/>
      <c r="F332" s="846"/>
      <c r="G332" s="847"/>
      <c r="H332" s="849"/>
      <c r="I332" s="846"/>
      <c r="J332" s="846"/>
      <c r="K332" s="846"/>
      <c r="L332" s="846"/>
      <c r="M332" s="846"/>
      <c r="N332" s="847"/>
      <c r="O332" s="846"/>
      <c r="P332" s="846"/>
      <c r="Q332" s="846"/>
      <c r="R332" s="846"/>
      <c r="S332" s="846"/>
      <c r="T332" s="846"/>
      <c r="U332" s="846"/>
    </row>
    <row r="333" ht="14.25" customHeight="1">
      <c r="A333" s="846"/>
      <c r="B333" s="846"/>
      <c r="C333" s="846"/>
      <c r="D333" s="847"/>
      <c r="E333" s="847"/>
      <c r="F333" s="846"/>
      <c r="G333" s="847"/>
      <c r="H333" s="849"/>
      <c r="I333" s="846"/>
      <c r="J333" s="846"/>
      <c r="K333" s="846"/>
      <c r="L333" s="846"/>
      <c r="M333" s="846"/>
      <c r="N333" s="847"/>
      <c r="O333" s="846"/>
      <c r="P333" s="846"/>
      <c r="Q333" s="846"/>
      <c r="R333" s="846"/>
      <c r="S333" s="846"/>
      <c r="T333" s="846"/>
      <c r="U333" s="846"/>
    </row>
    <row r="334" ht="14.25" customHeight="1">
      <c r="A334" s="846"/>
      <c r="B334" s="846"/>
      <c r="C334" s="846"/>
      <c r="D334" s="847"/>
      <c r="E334" s="847"/>
      <c r="F334" s="846"/>
      <c r="G334" s="847"/>
      <c r="H334" s="849"/>
      <c r="I334" s="846"/>
      <c r="J334" s="846"/>
      <c r="K334" s="846"/>
      <c r="L334" s="846"/>
      <c r="M334" s="846"/>
      <c r="N334" s="847"/>
      <c r="O334" s="846"/>
      <c r="P334" s="846"/>
      <c r="Q334" s="846"/>
      <c r="R334" s="846"/>
      <c r="S334" s="846"/>
      <c r="T334" s="846"/>
      <c r="U334" s="846"/>
    </row>
    <row r="335" ht="14.25" customHeight="1">
      <c r="A335" s="846"/>
      <c r="B335" s="846"/>
      <c r="C335" s="846"/>
      <c r="D335" s="847"/>
      <c r="E335" s="847"/>
      <c r="F335" s="846"/>
      <c r="G335" s="847"/>
      <c r="H335" s="867"/>
      <c r="I335" s="846"/>
      <c r="J335" s="846"/>
      <c r="K335" s="846"/>
      <c r="L335" s="846"/>
      <c r="M335" s="846"/>
      <c r="N335" s="847"/>
      <c r="O335" s="846"/>
      <c r="P335" s="846"/>
      <c r="Q335" s="846"/>
      <c r="R335" s="846"/>
      <c r="S335" s="846"/>
      <c r="T335" s="846"/>
      <c r="U335" s="846"/>
    </row>
    <row r="336" ht="14.25" customHeight="1">
      <c r="A336" s="846"/>
      <c r="B336" s="846"/>
      <c r="C336" s="846"/>
      <c r="D336" s="847"/>
      <c r="E336" s="847"/>
      <c r="F336" s="846"/>
      <c r="G336" s="847"/>
      <c r="H336" s="848"/>
      <c r="I336" s="846"/>
      <c r="J336" s="846"/>
      <c r="K336" s="846"/>
      <c r="L336" s="846"/>
      <c r="M336" s="846"/>
      <c r="N336" s="847"/>
      <c r="O336" s="846"/>
      <c r="P336" s="846"/>
      <c r="Q336" s="846"/>
      <c r="R336" s="846"/>
      <c r="S336" s="846"/>
      <c r="T336" s="846"/>
      <c r="U336" s="846"/>
    </row>
    <row r="337" ht="14.25" customHeight="1">
      <c r="A337" s="846"/>
      <c r="B337" s="846"/>
      <c r="C337" s="846"/>
      <c r="D337" s="847"/>
      <c r="E337" s="847"/>
      <c r="F337" s="846"/>
      <c r="G337" s="847"/>
      <c r="H337" s="848"/>
      <c r="I337" s="846"/>
      <c r="J337" s="846"/>
      <c r="K337" s="846"/>
      <c r="L337" s="846"/>
      <c r="M337" s="846"/>
      <c r="N337" s="847"/>
      <c r="O337" s="846"/>
      <c r="P337" s="846"/>
      <c r="Q337" s="846"/>
      <c r="R337" s="846"/>
      <c r="S337" s="846"/>
      <c r="T337" s="846"/>
      <c r="U337" s="846"/>
    </row>
    <row r="338" ht="14.25" customHeight="1">
      <c r="A338" s="846"/>
      <c r="B338" s="846"/>
      <c r="C338" s="846"/>
      <c r="D338" s="847"/>
      <c r="E338" s="847"/>
      <c r="F338" s="846"/>
      <c r="G338" s="847"/>
      <c r="H338" s="848"/>
      <c r="I338" s="846"/>
      <c r="J338" s="846"/>
      <c r="K338" s="846"/>
      <c r="L338" s="846"/>
      <c r="M338" s="846"/>
      <c r="N338" s="847"/>
      <c r="O338" s="846"/>
      <c r="P338" s="846"/>
      <c r="Q338" s="846"/>
      <c r="R338" s="846"/>
      <c r="S338" s="846"/>
      <c r="T338" s="846"/>
      <c r="U338" s="846"/>
    </row>
    <row r="339" ht="14.25" customHeight="1">
      <c r="A339" s="846"/>
      <c r="B339" s="846"/>
      <c r="C339" s="846"/>
      <c r="D339" s="847"/>
      <c r="E339" s="847"/>
      <c r="F339" s="846"/>
      <c r="G339" s="847"/>
      <c r="H339" s="849"/>
      <c r="I339" s="846"/>
      <c r="J339" s="846"/>
      <c r="K339" s="846"/>
      <c r="L339" s="846"/>
      <c r="M339" s="846"/>
      <c r="N339" s="847"/>
      <c r="O339" s="846"/>
      <c r="P339" s="846"/>
      <c r="Q339" s="846"/>
      <c r="R339" s="846"/>
      <c r="S339" s="846"/>
      <c r="T339" s="846"/>
      <c r="U339" s="846"/>
    </row>
    <row r="340" ht="14.25" customHeight="1">
      <c r="A340" s="846"/>
      <c r="B340" s="846"/>
      <c r="C340" s="846"/>
      <c r="D340" s="847"/>
      <c r="E340" s="847"/>
      <c r="F340" s="846"/>
      <c r="G340" s="847"/>
      <c r="H340" s="849"/>
      <c r="I340" s="846"/>
      <c r="J340" s="846"/>
      <c r="K340" s="846"/>
      <c r="L340" s="846"/>
      <c r="M340" s="846"/>
      <c r="N340" s="847"/>
      <c r="O340" s="846"/>
      <c r="P340" s="846"/>
      <c r="Q340" s="846"/>
      <c r="R340" s="846"/>
      <c r="S340" s="846"/>
      <c r="T340" s="846"/>
      <c r="U340" s="846"/>
    </row>
    <row r="341" ht="14.25" customHeight="1">
      <c r="A341" s="846"/>
      <c r="B341" s="846"/>
      <c r="C341" s="846"/>
      <c r="D341" s="847"/>
      <c r="E341" s="847"/>
      <c r="F341" s="846"/>
      <c r="G341" s="847"/>
      <c r="H341" s="849"/>
      <c r="I341" s="846"/>
      <c r="J341" s="846"/>
      <c r="K341" s="846"/>
      <c r="L341" s="846"/>
      <c r="M341" s="846"/>
      <c r="N341" s="847"/>
      <c r="O341" s="846"/>
      <c r="P341" s="846"/>
      <c r="Q341" s="846"/>
      <c r="R341" s="846"/>
      <c r="S341" s="846"/>
      <c r="T341" s="846"/>
      <c r="U341" s="846"/>
    </row>
    <row r="342" ht="14.25" customHeight="1">
      <c r="A342" s="846"/>
      <c r="B342" s="846"/>
      <c r="C342" s="846"/>
      <c r="D342" s="847"/>
      <c r="E342" s="847"/>
      <c r="F342" s="846"/>
      <c r="G342" s="847"/>
      <c r="H342" s="849"/>
      <c r="I342" s="846"/>
      <c r="J342" s="846"/>
      <c r="K342" s="846"/>
      <c r="L342" s="846"/>
      <c r="M342" s="846"/>
      <c r="N342" s="847"/>
      <c r="O342" s="846"/>
      <c r="P342" s="846"/>
      <c r="Q342" s="846"/>
      <c r="R342" s="846"/>
      <c r="S342" s="846"/>
      <c r="T342" s="846"/>
      <c r="U342" s="846"/>
    </row>
    <row r="343" ht="14.25" customHeight="1">
      <c r="A343" s="846"/>
      <c r="B343" s="846"/>
      <c r="C343" s="846"/>
      <c r="D343" s="847"/>
      <c r="E343" s="847"/>
      <c r="F343" s="846"/>
      <c r="G343" s="847"/>
      <c r="H343" s="849"/>
      <c r="I343" s="846"/>
      <c r="J343" s="846"/>
      <c r="K343" s="846"/>
      <c r="L343" s="846"/>
      <c r="M343" s="846"/>
      <c r="N343" s="847"/>
      <c r="O343" s="846"/>
      <c r="P343" s="846"/>
      <c r="Q343" s="846"/>
      <c r="R343" s="846"/>
      <c r="S343" s="846"/>
      <c r="T343" s="846"/>
      <c r="U343" s="846"/>
    </row>
    <row r="344" ht="14.25" customHeight="1">
      <c r="A344" s="846"/>
      <c r="B344" s="846"/>
      <c r="C344" s="846"/>
      <c r="D344" s="847"/>
      <c r="E344" s="847"/>
      <c r="F344" s="846"/>
      <c r="G344" s="847"/>
      <c r="H344" s="849"/>
      <c r="I344" s="846"/>
      <c r="J344" s="846"/>
      <c r="K344" s="846"/>
      <c r="L344" s="846"/>
      <c r="M344" s="846"/>
      <c r="N344" s="847"/>
      <c r="O344" s="846"/>
      <c r="P344" s="846"/>
      <c r="Q344" s="846"/>
      <c r="R344" s="846"/>
      <c r="S344" s="846"/>
      <c r="T344" s="846"/>
      <c r="U344" s="846"/>
    </row>
    <row r="345" ht="14.25" customHeight="1">
      <c r="A345" s="846"/>
      <c r="B345" s="846"/>
      <c r="C345" s="846"/>
      <c r="D345" s="847"/>
      <c r="E345" s="847"/>
      <c r="F345" s="846"/>
      <c r="G345" s="847"/>
      <c r="H345" s="849"/>
      <c r="I345" s="846"/>
      <c r="J345" s="846"/>
      <c r="K345" s="846"/>
      <c r="L345" s="846"/>
      <c r="M345" s="846"/>
      <c r="N345" s="847"/>
      <c r="O345" s="846"/>
      <c r="P345" s="846"/>
      <c r="Q345" s="846"/>
      <c r="R345" s="846"/>
      <c r="S345" s="846"/>
      <c r="T345" s="846"/>
      <c r="U345" s="846"/>
    </row>
    <row r="346" ht="14.25" customHeight="1">
      <c r="A346" s="846"/>
      <c r="B346" s="846"/>
      <c r="C346" s="846"/>
      <c r="D346" s="847"/>
      <c r="E346" s="847"/>
      <c r="F346" s="846"/>
      <c r="G346" s="847"/>
      <c r="H346" s="849"/>
      <c r="I346" s="846"/>
      <c r="J346" s="846"/>
      <c r="K346" s="846"/>
      <c r="L346" s="846"/>
      <c r="M346" s="846"/>
      <c r="N346" s="847"/>
      <c r="O346" s="846"/>
      <c r="P346" s="846"/>
      <c r="Q346" s="846"/>
      <c r="R346" s="846"/>
      <c r="S346" s="846"/>
      <c r="T346" s="846"/>
      <c r="U346" s="846"/>
    </row>
    <row r="347" ht="14.25" customHeight="1">
      <c r="A347" s="846"/>
      <c r="B347" s="846"/>
      <c r="C347" s="846"/>
      <c r="D347" s="847"/>
      <c r="E347" s="847"/>
      <c r="F347" s="846"/>
      <c r="G347" s="847"/>
      <c r="H347" s="849"/>
      <c r="I347" s="846"/>
      <c r="J347" s="846"/>
      <c r="K347" s="846"/>
      <c r="L347" s="846"/>
      <c r="M347" s="846"/>
      <c r="N347" s="847"/>
      <c r="O347" s="846"/>
      <c r="P347" s="846"/>
      <c r="Q347" s="846"/>
      <c r="R347" s="846"/>
      <c r="S347" s="846"/>
      <c r="T347" s="846"/>
      <c r="U347" s="846"/>
    </row>
    <row r="348" ht="14.25" customHeight="1">
      <c r="A348" s="846"/>
      <c r="B348" s="846"/>
      <c r="C348" s="846"/>
      <c r="D348" s="847"/>
      <c r="E348" s="847"/>
      <c r="F348" s="846"/>
      <c r="G348" s="847"/>
      <c r="H348" s="849"/>
      <c r="I348" s="846"/>
      <c r="J348" s="846"/>
      <c r="K348" s="846"/>
      <c r="L348" s="846"/>
      <c r="M348" s="846"/>
      <c r="N348" s="847"/>
      <c r="O348" s="846"/>
      <c r="P348" s="846"/>
      <c r="Q348" s="846"/>
      <c r="R348" s="846"/>
      <c r="S348" s="846"/>
      <c r="T348" s="846"/>
      <c r="U348" s="846"/>
    </row>
    <row r="349" ht="14.25" customHeight="1">
      <c r="A349" s="846"/>
      <c r="B349" s="846"/>
      <c r="C349" s="846"/>
      <c r="D349" s="847"/>
      <c r="E349" s="847"/>
      <c r="F349" s="846"/>
      <c r="G349" s="847"/>
      <c r="H349" s="849"/>
      <c r="I349" s="846"/>
      <c r="J349" s="846"/>
      <c r="K349" s="846"/>
      <c r="L349" s="846"/>
      <c r="M349" s="846"/>
      <c r="N349" s="847"/>
      <c r="O349" s="846"/>
      <c r="P349" s="846"/>
      <c r="Q349" s="846"/>
      <c r="R349" s="846"/>
      <c r="S349" s="846"/>
      <c r="T349" s="846"/>
      <c r="U349" s="846"/>
    </row>
    <row r="350" ht="14.25" customHeight="1">
      <c r="A350" s="846"/>
      <c r="B350" s="846"/>
      <c r="C350" s="846"/>
      <c r="D350" s="847"/>
      <c r="E350" s="847"/>
      <c r="F350" s="846"/>
      <c r="G350" s="847"/>
      <c r="H350" s="849"/>
      <c r="I350" s="846"/>
      <c r="J350" s="846"/>
      <c r="K350" s="846"/>
      <c r="L350" s="846"/>
      <c r="M350" s="846"/>
      <c r="N350" s="847"/>
      <c r="O350" s="846"/>
      <c r="P350" s="846"/>
      <c r="Q350" s="846"/>
      <c r="R350" s="846"/>
      <c r="S350" s="846"/>
      <c r="T350" s="846"/>
      <c r="U350" s="846"/>
    </row>
    <row r="351" ht="14.25" customHeight="1">
      <c r="A351" s="846"/>
      <c r="B351" s="846"/>
      <c r="C351" s="846"/>
      <c r="D351" s="847"/>
      <c r="E351" s="847"/>
      <c r="F351" s="846"/>
      <c r="G351" s="847"/>
      <c r="H351" s="849"/>
      <c r="I351" s="846"/>
      <c r="J351" s="846"/>
      <c r="K351" s="846"/>
      <c r="L351" s="846"/>
      <c r="M351" s="846"/>
      <c r="N351" s="847"/>
      <c r="O351" s="846"/>
      <c r="P351" s="846"/>
      <c r="Q351" s="846"/>
      <c r="R351" s="846"/>
      <c r="S351" s="846"/>
      <c r="T351" s="846"/>
      <c r="U351" s="846"/>
    </row>
    <row r="352" ht="14.25" customHeight="1">
      <c r="A352" s="846"/>
      <c r="B352" s="846"/>
      <c r="C352" s="846"/>
      <c r="D352" s="847"/>
      <c r="E352" s="847"/>
      <c r="F352" s="846"/>
      <c r="G352" s="847"/>
      <c r="H352" s="849"/>
      <c r="I352" s="846"/>
      <c r="J352" s="846"/>
      <c r="K352" s="846"/>
      <c r="L352" s="846"/>
      <c r="M352" s="846"/>
      <c r="N352" s="847"/>
      <c r="O352" s="846"/>
      <c r="P352" s="846"/>
      <c r="Q352" s="846"/>
      <c r="R352" s="846"/>
      <c r="S352" s="846"/>
      <c r="T352" s="846"/>
      <c r="U352" s="846"/>
    </row>
    <row r="353" ht="14.25" customHeight="1">
      <c r="A353" s="846"/>
      <c r="B353" s="846"/>
      <c r="C353" s="846"/>
      <c r="D353" s="847"/>
      <c r="E353" s="847"/>
      <c r="F353" s="846"/>
      <c r="G353" s="847"/>
      <c r="H353" s="849"/>
      <c r="I353" s="846"/>
      <c r="J353" s="846"/>
      <c r="K353" s="846"/>
      <c r="L353" s="846"/>
      <c r="M353" s="846"/>
      <c r="N353" s="847"/>
      <c r="O353" s="846"/>
      <c r="P353" s="846"/>
      <c r="Q353" s="846"/>
      <c r="R353" s="846"/>
      <c r="S353" s="846"/>
      <c r="T353" s="846"/>
      <c r="U353" s="846"/>
    </row>
    <row r="354" ht="14.25" customHeight="1">
      <c r="A354" s="846"/>
      <c r="B354" s="846"/>
      <c r="C354" s="846"/>
      <c r="D354" s="847"/>
      <c r="E354" s="847"/>
      <c r="F354" s="846"/>
      <c r="G354" s="847"/>
      <c r="H354" s="849"/>
      <c r="I354" s="846"/>
      <c r="J354" s="846"/>
      <c r="K354" s="846"/>
      <c r="L354" s="846"/>
      <c r="M354" s="846"/>
      <c r="N354" s="847"/>
      <c r="O354" s="846"/>
      <c r="P354" s="846"/>
      <c r="Q354" s="846"/>
      <c r="R354" s="846"/>
      <c r="S354" s="846"/>
      <c r="T354" s="846"/>
      <c r="U354" s="846"/>
    </row>
    <row r="355" ht="14.25" customHeight="1">
      <c r="A355" s="846"/>
      <c r="B355" s="846"/>
      <c r="C355" s="846"/>
      <c r="D355" s="847"/>
      <c r="E355" s="847"/>
      <c r="F355" s="846"/>
      <c r="G355" s="847"/>
      <c r="H355" s="849"/>
      <c r="I355" s="846"/>
      <c r="J355" s="846"/>
      <c r="K355" s="846"/>
      <c r="L355" s="846"/>
      <c r="M355" s="846"/>
      <c r="N355" s="847"/>
      <c r="O355" s="846"/>
      <c r="P355" s="846"/>
      <c r="Q355" s="846"/>
      <c r="R355" s="846"/>
      <c r="S355" s="846"/>
      <c r="T355" s="846"/>
      <c r="U355" s="846"/>
    </row>
    <row r="356" ht="14.25" customHeight="1">
      <c r="A356" s="846"/>
      <c r="B356" s="846"/>
      <c r="C356" s="846"/>
      <c r="D356" s="847"/>
      <c r="E356" s="847"/>
      <c r="F356" s="846"/>
      <c r="G356" s="847"/>
      <c r="H356" s="849"/>
      <c r="I356" s="846"/>
      <c r="J356" s="846"/>
      <c r="K356" s="846"/>
      <c r="L356" s="846"/>
      <c r="M356" s="846"/>
      <c r="N356" s="847"/>
      <c r="O356" s="846"/>
      <c r="P356" s="846"/>
      <c r="Q356" s="846"/>
      <c r="R356" s="846"/>
      <c r="S356" s="846"/>
      <c r="T356" s="846"/>
      <c r="U356" s="846"/>
    </row>
    <row r="357" ht="14.25" customHeight="1">
      <c r="A357" s="846"/>
      <c r="B357" s="846"/>
      <c r="C357" s="846"/>
      <c r="D357" s="847"/>
      <c r="E357" s="847"/>
      <c r="F357" s="846"/>
      <c r="G357" s="847"/>
      <c r="H357" s="849"/>
      <c r="I357" s="846"/>
      <c r="J357" s="846"/>
      <c r="K357" s="846"/>
      <c r="L357" s="846"/>
      <c r="M357" s="846"/>
      <c r="N357" s="847"/>
      <c r="O357" s="846"/>
      <c r="P357" s="846"/>
      <c r="Q357" s="846"/>
      <c r="R357" s="846"/>
      <c r="S357" s="846"/>
      <c r="T357" s="846"/>
      <c r="U357" s="846"/>
    </row>
    <row r="358" ht="14.25" customHeight="1">
      <c r="A358" s="846"/>
      <c r="B358" s="846"/>
      <c r="C358" s="846"/>
      <c r="D358" s="847"/>
      <c r="E358" s="847"/>
      <c r="F358" s="846"/>
      <c r="G358" s="847"/>
      <c r="H358" s="849"/>
      <c r="I358" s="846"/>
      <c r="J358" s="846"/>
      <c r="K358" s="846"/>
      <c r="L358" s="846"/>
      <c r="M358" s="846"/>
      <c r="N358" s="847"/>
      <c r="O358" s="846"/>
      <c r="P358" s="846"/>
      <c r="Q358" s="846"/>
      <c r="R358" s="846"/>
      <c r="S358" s="846"/>
      <c r="T358" s="846"/>
      <c r="U358" s="846"/>
    </row>
    <row r="359" ht="14.25" customHeight="1">
      <c r="A359" s="846"/>
      <c r="B359" s="846"/>
      <c r="C359" s="846"/>
      <c r="D359" s="847"/>
      <c r="E359" s="847"/>
      <c r="F359" s="846"/>
      <c r="G359" s="847"/>
      <c r="H359" s="849"/>
      <c r="I359" s="846"/>
      <c r="J359" s="846"/>
      <c r="K359" s="846"/>
      <c r="L359" s="846"/>
      <c r="M359" s="846"/>
      <c r="N359" s="847"/>
      <c r="O359" s="846"/>
      <c r="P359" s="846"/>
      <c r="Q359" s="846"/>
      <c r="R359" s="846"/>
      <c r="S359" s="846"/>
      <c r="T359" s="846"/>
      <c r="U359" s="846"/>
    </row>
    <row r="360" ht="14.25" customHeight="1">
      <c r="A360" s="846"/>
      <c r="B360" s="846"/>
      <c r="C360" s="846"/>
      <c r="D360" s="847"/>
      <c r="E360" s="847"/>
      <c r="F360" s="846"/>
      <c r="G360" s="847"/>
      <c r="H360" s="849"/>
      <c r="I360" s="846"/>
      <c r="J360" s="846"/>
      <c r="K360" s="846"/>
      <c r="L360" s="846"/>
      <c r="M360" s="846"/>
      <c r="N360" s="847"/>
      <c r="O360" s="846"/>
      <c r="P360" s="846"/>
      <c r="Q360" s="846"/>
      <c r="R360" s="846"/>
      <c r="S360" s="846"/>
      <c r="T360" s="846"/>
      <c r="U360" s="846"/>
    </row>
    <row r="361" ht="14.25" customHeight="1">
      <c r="A361" s="846"/>
      <c r="B361" s="846"/>
      <c r="C361" s="846"/>
      <c r="D361" s="847"/>
      <c r="E361" s="847"/>
      <c r="F361" s="846"/>
      <c r="G361" s="847"/>
      <c r="H361" s="849"/>
      <c r="I361" s="846"/>
      <c r="J361" s="846"/>
      <c r="K361" s="846"/>
      <c r="L361" s="846"/>
      <c r="M361" s="846"/>
      <c r="N361" s="847"/>
      <c r="O361" s="846"/>
      <c r="P361" s="846"/>
      <c r="Q361" s="846"/>
      <c r="R361" s="846"/>
      <c r="S361" s="846"/>
      <c r="T361" s="846"/>
      <c r="U361" s="846"/>
    </row>
    <row r="362" ht="14.25" customHeight="1">
      <c r="A362" s="846"/>
      <c r="B362" s="846"/>
      <c r="C362" s="846"/>
      <c r="D362" s="847"/>
      <c r="E362" s="847"/>
      <c r="F362" s="846"/>
      <c r="G362" s="847"/>
      <c r="H362" s="849"/>
      <c r="I362" s="846"/>
      <c r="J362" s="846"/>
      <c r="K362" s="846"/>
      <c r="L362" s="846"/>
      <c r="M362" s="846"/>
      <c r="N362" s="847"/>
      <c r="O362" s="846"/>
      <c r="P362" s="846"/>
      <c r="Q362" s="846"/>
      <c r="R362" s="846"/>
      <c r="S362" s="846"/>
      <c r="T362" s="846"/>
      <c r="U362" s="846"/>
    </row>
    <row r="363" ht="14.25" customHeight="1">
      <c r="A363" s="846"/>
      <c r="B363" s="846"/>
      <c r="C363" s="846"/>
      <c r="D363" s="847"/>
      <c r="E363" s="847"/>
      <c r="F363" s="846"/>
      <c r="G363" s="847"/>
      <c r="H363" s="849"/>
      <c r="I363" s="846"/>
      <c r="J363" s="846"/>
      <c r="K363" s="846"/>
      <c r="L363" s="846"/>
      <c r="M363" s="846"/>
      <c r="N363" s="847"/>
      <c r="O363" s="846"/>
      <c r="P363" s="846"/>
      <c r="Q363" s="846"/>
      <c r="R363" s="846"/>
      <c r="S363" s="846"/>
      <c r="T363" s="846"/>
      <c r="U363" s="846"/>
    </row>
    <row r="364" ht="14.25" customHeight="1">
      <c r="A364" s="846"/>
      <c r="B364" s="846"/>
      <c r="C364" s="846"/>
      <c r="D364" s="847"/>
      <c r="E364" s="847"/>
      <c r="F364" s="846"/>
      <c r="G364" s="847"/>
      <c r="H364" s="849"/>
      <c r="I364" s="846"/>
      <c r="J364" s="846"/>
      <c r="K364" s="846"/>
      <c r="L364" s="846"/>
      <c r="M364" s="846"/>
      <c r="N364" s="847"/>
      <c r="O364" s="846"/>
      <c r="P364" s="846"/>
      <c r="Q364" s="846"/>
      <c r="R364" s="846"/>
      <c r="S364" s="846"/>
      <c r="T364" s="846"/>
      <c r="U364" s="846"/>
    </row>
    <row r="365" ht="14.25" customHeight="1">
      <c r="A365" s="846"/>
      <c r="B365" s="846"/>
      <c r="C365" s="846"/>
      <c r="D365" s="847"/>
      <c r="E365" s="847"/>
      <c r="F365" s="846"/>
      <c r="G365" s="847"/>
      <c r="H365" s="849"/>
      <c r="I365" s="846"/>
      <c r="J365" s="846"/>
      <c r="K365" s="846"/>
      <c r="L365" s="846"/>
      <c r="M365" s="846"/>
      <c r="N365" s="847"/>
      <c r="O365" s="846"/>
      <c r="P365" s="846"/>
      <c r="Q365" s="846"/>
      <c r="R365" s="846"/>
      <c r="S365" s="846"/>
      <c r="T365" s="846"/>
      <c r="U365" s="846"/>
    </row>
    <row r="366" ht="14.25" customHeight="1">
      <c r="A366" s="846"/>
      <c r="B366" s="846"/>
      <c r="C366" s="846"/>
      <c r="D366" s="847"/>
      <c r="E366" s="847"/>
      <c r="F366" s="846"/>
      <c r="G366" s="847"/>
      <c r="H366" s="849"/>
      <c r="I366" s="846"/>
      <c r="J366" s="846"/>
      <c r="K366" s="846"/>
      <c r="L366" s="846"/>
      <c r="M366" s="846"/>
      <c r="N366" s="847"/>
      <c r="O366" s="846"/>
      <c r="P366" s="846"/>
      <c r="Q366" s="846"/>
      <c r="R366" s="846"/>
      <c r="S366" s="846"/>
      <c r="T366" s="846"/>
      <c r="U366" s="846"/>
    </row>
    <row r="367" ht="14.25" customHeight="1">
      <c r="A367" s="846"/>
      <c r="B367" s="846"/>
      <c r="C367" s="846"/>
      <c r="D367" s="847"/>
      <c r="E367" s="847"/>
      <c r="F367" s="846"/>
      <c r="G367" s="847"/>
      <c r="H367" s="849"/>
      <c r="I367" s="846"/>
      <c r="J367" s="846"/>
      <c r="K367" s="846"/>
      <c r="L367" s="846"/>
      <c r="M367" s="846"/>
      <c r="N367" s="847"/>
      <c r="O367" s="846"/>
      <c r="P367" s="846"/>
      <c r="Q367" s="846"/>
      <c r="R367" s="846"/>
      <c r="S367" s="846"/>
      <c r="T367" s="846"/>
      <c r="U367" s="846"/>
    </row>
    <row r="368" ht="14.25" customHeight="1">
      <c r="A368" s="846"/>
      <c r="B368" s="846"/>
      <c r="C368" s="846"/>
      <c r="D368" s="847"/>
      <c r="E368" s="847"/>
      <c r="F368" s="846"/>
      <c r="G368" s="847"/>
      <c r="H368" s="868"/>
      <c r="I368" s="846"/>
      <c r="J368" s="846"/>
      <c r="K368" s="846"/>
      <c r="L368" s="846"/>
      <c r="M368" s="846"/>
      <c r="N368" s="847"/>
      <c r="O368" s="846"/>
      <c r="P368" s="846"/>
      <c r="Q368" s="846"/>
      <c r="R368" s="846"/>
      <c r="S368" s="846"/>
      <c r="T368" s="846"/>
      <c r="U368" s="846"/>
    </row>
    <row r="369" ht="14.25" customHeight="1">
      <c r="A369" s="846"/>
      <c r="B369" s="846"/>
      <c r="C369" s="846"/>
      <c r="D369" s="847"/>
      <c r="E369" s="847"/>
      <c r="F369" s="846"/>
      <c r="G369" s="847"/>
      <c r="H369" s="868"/>
      <c r="I369" s="846"/>
      <c r="J369" s="846"/>
      <c r="K369" s="846"/>
      <c r="L369" s="846"/>
      <c r="M369" s="846"/>
      <c r="N369" s="847"/>
      <c r="O369" s="846"/>
      <c r="P369" s="846"/>
      <c r="Q369" s="846"/>
      <c r="R369" s="846"/>
      <c r="S369" s="846"/>
      <c r="T369" s="846"/>
      <c r="U369" s="846"/>
    </row>
    <row r="370" ht="14.25" customHeight="1">
      <c r="A370" s="846"/>
      <c r="B370" s="846"/>
      <c r="C370" s="846"/>
      <c r="D370" s="847"/>
      <c r="E370" s="847"/>
      <c r="F370" s="846"/>
      <c r="G370" s="847"/>
      <c r="H370" s="868"/>
      <c r="I370" s="846"/>
      <c r="J370" s="846"/>
      <c r="K370" s="846"/>
      <c r="L370" s="846"/>
      <c r="M370" s="846"/>
      <c r="N370" s="847"/>
      <c r="O370" s="846"/>
      <c r="P370" s="846"/>
      <c r="Q370" s="846"/>
      <c r="R370" s="846"/>
      <c r="S370" s="846"/>
      <c r="T370" s="846"/>
      <c r="U370" s="846"/>
    </row>
    <row r="371" ht="14.25" customHeight="1">
      <c r="A371" s="846"/>
      <c r="B371" s="846"/>
      <c r="C371" s="846"/>
      <c r="D371" s="847"/>
      <c r="E371" s="847"/>
      <c r="F371" s="846"/>
      <c r="G371" s="847"/>
      <c r="H371" s="868"/>
      <c r="I371" s="846"/>
      <c r="J371" s="846"/>
      <c r="K371" s="846"/>
      <c r="L371" s="846"/>
      <c r="M371" s="846"/>
      <c r="N371" s="847"/>
      <c r="O371" s="846"/>
      <c r="P371" s="846"/>
      <c r="Q371" s="846"/>
      <c r="R371" s="846"/>
      <c r="S371" s="846"/>
      <c r="T371" s="846"/>
      <c r="U371" s="846"/>
    </row>
    <row r="372" ht="14.25" customHeight="1">
      <c r="A372" s="846"/>
      <c r="B372" s="846"/>
      <c r="C372" s="846"/>
      <c r="D372" s="847"/>
      <c r="E372" s="847"/>
      <c r="F372" s="846"/>
      <c r="G372" s="847"/>
      <c r="H372" s="868"/>
      <c r="I372" s="846"/>
      <c r="J372" s="846"/>
      <c r="K372" s="846"/>
      <c r="L372" s="846"/>
      <c r="M372" s="846"/>
      <c r="N372" s="847"/>
      <c r="O372" s="846"/>
      <c r="P372" s="846"/>
      <c r="Q372" s="846"/>
      <c r="R372" s="846"/>
      <c r="S372" s="846"/>
      <c r="T372" s="846"/>
      <c r="U372" s="846"/>
    </row>
    <row r="373" ht="14.25" customHeight="1">
      <c r="A373" s="846"/>
      <c r="B373" s="846"/>
      <c r="C373" s="846"/>
      <c r="D373" s="847"/>
      <c r="E373" s="847"/>
      <c r="F373" s="846"/>
      <c r="G373" s="847"/>
      <c r="H373" s="868"/>
      <c r="I373" s="846"/>
      <c r="J373" s="846"/>
      <c r="K373" s="846"/>
      <c r="L373" s="846"/>
      <c r="M373" s="846"/>
      <c r="N373" s="847"/>
      <c r="O373" s="846"/>
      <c r="P373" s="846"/>
      <c r="Q373" s="846"/>
      <c r="R373" s="846"/>
      <c r="S373" s="846"/>
      <c r="T373" s="846"/>
      <c r="U373" s="846"/>
    </row>
    <row r="374" ht="14.25" customHeight="1">
      <c r="A374" s="846"/>
      <c r="B374" s="846"/>
      <c r="C374" s="846"/>
      <c r="D374" s="847"/>
      <c r="E374" s="847"/>
      <c r="F374" s="846"/>
      <c r="G374" s="847"/>
      <c r="H374" s="868"/>
      <c r="I374" s="846"/>
      <c r="J374" s="846"/>
      <c r="K374" s="846"/>
      <c r="L374" s="846"/>
      <c r="M374" s="846"/>
      <c r="N374" s="847"/>
      <c r="O374" s="846"/>
      <c r="P374" s="846"/>
      <c r="Q374" s="846"/>
      <c r="R374" s="846"/>
      <c r="S374" s="846"/>
      <c r="T374" s="846"/>
      <c r="U374" s="846"/>
    </row>
    <row r="375" ht="14.25" customHeight="1">
      <c r="A375" s="846"/>
      <c r="B375" s="846"/>
      <c r="C375" s="846"/>
      <c r="D375" s="847"/>
      <c r="E375" s="847"/>
      <c r="F375" s="846"/>
      <c r="G375" s="847"/>
      <c r="H375" s="868"/>
      <c r="I375" s="846"/>
      <c r="J375" s="846"/>
      <c r="K375" s="846"/>
      <c r="L375" s="846"/>
      <c r="M375" s="846"/>
      <c r="N375" s="847"/>
      <c r="O375" s="846"/>
      <c r="P375" s="846"/>
      <c r="Q375" s="846"/>
      <c r="R375" s="846"/>
      <c r="S375" s="846"/>
      <c r="T375" s="846"/>
      <c r="U375" s="846"/>
    </row>
    <row r="376" ht="14.25" customHeight="1">
      <c r="A376" s="846"/>
      <c r="B376" s="846"/>
      <c r="C376" s="846"/>
      <c r="D376" s="847"/>
      <c r="E376" s="847"/>
      <c r="F376" s="846"/>
      <c r="G376" s="847"/>
      <c r="H376" s="868"/>
      <c r="I376" s="846"/>
      <c r="J376" s="846"/>
      <c r="K376" s="846"/>
      <c r="L376" s="846"/>
      <c r="M376" s="846"/>
      <c r="N376" s="847"/>
      <c r="O376" s="846"/>
      <c r="P376" s="846"/>
      <c r="Q376" s="846"/>
      <c r="R376" s="846"/>
      <c r="S376" s="846"/>
      <c r="T376" s="846"/>
      <c r="U376" s="846"/>
    </row>
    <row r="377" ht="14.25" customHeight="1">
      <c r="A377" s="846"/>
      <c r="B377" s="846"/>
      <c r="C377" s="846"/>
      <c r="D377" s="847"/>
      <c r="E377" s="847"/>
      <c r="F377" s="846"/>
      <c r="G377" s="847"/>
      <c r="H377" s="868"/>
      <c r="I377" s="846"/>
      <c r="J377" s="846"/>
      <c r="K377" s="846"/>
      <c r="L377" s="846"/>
      <c r="M377" s="846"/>
      <c r="N377" s="847"/>
      <c r="O377" s="846"/>
      <c r="P377" s="846"/>
      <c r="Q377" s="846"/>
      <c r="R377" s="846"/>
      <c r="S377" s="846"/>
      <c r="T377" s="846"/>
      <c r="U377" s="846"/>
    </row>
    <row r="378" ht="14.25" customHeight="1">
      <c r="A378" s="846"/>
      <c r="B378" s="846"/>
      <c r="C378" s="846"/>
      <c r="D378" s="847"/>
      <c r="E378" s="847"/>
      <c r="F378" s="846"/>
      <c r="G378" s="847"/>
      <c r="H378" s="868"/>
      <c r="I378" s="846"/>
      <c r="J378" s="846"/>
      <c r="K378" s="846"/>
      <c r="L378" s="846"/>
      <c r="M378" s="846"/>
      <c r="N378" s="847"/>
      <c r="O378" s="846"/>
      <c r="P378" s="846"/>
      <c r="Q378" s="846"/>
      <c r="R378" s="846"/>
      <c r="S378" s="846"/>
      <c r="T378" s="846"/>
      <c r="U378" s="846"/>
    </row>
    <row r="379" ht="14.25" customHeight="1">
      <c r="A379" s="846"/>
      <c r="B379" s="846"/>
      <c r="C379" s="846"/>
      <c r="D379" s="847"/>
      <c r="E379" s="847"/>
      <c r="F379" s="846"/>
      <c r="G379" s="847"/>
      <c r="H379" s="868"/>
      <c r="I379" s="846"/>
      <c r="J379" s="846"/>
      <c r="K379" s="846"/>
      <c r="L379" s="846"/>
      <c r="M379" s="846"/>
      <c r="N379" s="847"/>
      <c r="O379" s="846"/>
      <c r="P379" s="846"/>
      <c r="Q379" s="846"/>
      <c r="R379" s="846"/>
      <c r="S379" s="846"/>
      <c r="T379" s="846"/>
      <c r="U379" s="846"/>
    </row>
    <row r="380" ht="14.25" customHeight="1">
      <c r="A380" s="846"/>
      <c r="B380" s="846"/>
      <c r="C380" s="846"/>
      <c r="D380" s="847"/>
      <c r="E380" s="847"/>
      <c r="F380" s="846"/>
      <c r="G380" s="847"/>
      <c r="H380" s="868"/>
      <c r="I380" s="846"/>
      <c r="J380" s="846"/>
      <c r="K380" s="846"/>
      <c r="L380" s="846"/>
      <c r="M380" s="846"/>
      <c r="N380" s="847"/>
      <c r="O380" s="846"/>
      <c r="P380" s="846"/>
      <c r="Q380" s="846"/>
      <c r="R380" s="846"/>
      <c r="S380" s="846"/>
      <c r="T380" s="846"/>
      <c r="U380" s="846"/>
    </row>
    <row r="381" ht="14.25" customHeight="1">
      <c r="A381" s="846"/>
      <c r="B381" s="846"/>
      <c r="C381" s="846"/>
      <c r="D381" s="847"/>
      <c r="E381" s="847"/>
      <c r="F381" s="846"/>
      <c r="G381" s="847"/>
      <c r="H381" s="868"/>
      <c r="I381" s="846"/>
      <c r="J381" s="846"/>
      <c r="K381" s="846"/>
      <c r="L381" s="846"/>
      <c r="M381" s="846"/>
      <c r="N381" s="847"/>
      <c r="O381" s="846"/>
      <c r="P381" s="846"/>
      <c r="Q381" s="846"/>
      <c r="R381" s="846"/>
      <c r="S381" s="846"/>
      <c r="T381" s="846"/>
      <c r="U381" s="846"/>
    </row>
    <row r="382" ht="14.25" customHeight="1">
      <c r="A382" s="846"/>
      <c r="B382" s="846"/>
      <c r="C382" s="846"/>
      <c r="D382" s="847"/>
      <c r="E382" s="847"/>
      <c r="F382" s="846"/>
      <c r="G382" s="847"/>
      <c r="H382" s="868"/>
      <c r="I382" s="846"/>
      <c r="J382" s="846"/>
      <c r="K382" s="846"/>
      <c r="L382" s="846"/>
      <c r="M382" s="846"/>
      <c r="N382" s="847"/>
      <c r="O382" s="846"/>
      <c r="P382" s="846"/>
      <c r="Q382" s="846"/>
      <c r="R382" s="846"/>
      <c r="S382" s="846"/>
      <c r="T382" s="846"/>
      <c r="U382" s="846"/>
    </row>
    <row r="383" ht="14.25" customHeight="1">
      <c r="A383" s="846"/>
      <c r="B383" s="846"/>
      <c r="C383" s="846"/>
      <c r="D383" s="847"/>
      <c r="E383" s="847"/>
      <c r="F383" s="846"/>
      <c r="G383" s="847"/>
      <c r="H383" s="868"/>
      <c r="I383" s="846"/>
      <c r="J383" s="846"/>
      <c r="K383" s="846"/>
      <c r="L383" s="846"/>
      <c r="M383" s="846"/>
      <c r="N383" s="847"/>
      <c r="O383" s="846"/>
      <c r="P383" s="846"/>
      <c r="Q383" s="846"/>
      <c r="R383" s="846"/>
      <c r="S383" s="846"/>
      <c r="T383" s="846"/>
      <c r="U383" s="846"/>
    </row>
    <row r="384" ht="14.25" customHeight="1">
      <c r="A384" s="846"/>
      <c r="B384" s="846"/>
      <c r="C384" s="846"/>
      <c r="D384" s="847"/>
      <c r="E384" s="847"/>
      <c r="F384" s="846"/>
      <c r="G384" s="847"/>
      <c r="H384" s="868"/>
      <c r="I384" s="846"/>
      <c r="J384" s="846"/>
      <c r="K384" s="846"/>
      <c r="L384" s="846"/>
      <c r="M384" s="846"/>
      <c r="N384" s="847"/>
      <c r="O384" s="846"/>
      <c r="P384" s="846"/>
      <c r="Q384" s="846"/>
      <c r="R384" s="846"/>
      <c r="S384" s="846"/>
      <c r="T384" s="846"/>
      <c r="U384" s="846"/>
    </row>
    <row r="385" ht="14.25" customHeight="1">
      <c r="A385" s="846"/>
      <c r="B385" s="846"/>
      <c r="C385" s="846"/>
      <c r="D385" s="847"/>
      <c r="E385" s="847"/>
      <c r="F385" s="846"/>
      <c r="G385" s="847"/>
      <c r="H385" s="868"/>
      <c r="I385" s="846"/>
      <c r="J385" s="846"/>
      <c r="K385" s="846"/>
      <c r="L385" s="846"/>
      <c r="M385" s="846"/>
      <c r="N385" s="847"/>
      <c r="O385" s="846"/>
      <c r="P385" s="846"/>
      <c r="Q385" s="846"/>
      <c r="R385" s="846"/>
      <c r="S385" s="846"/>
      <c r="T385" s="846"/>
      <c r="U385" s="846"/>
    </row>
    <row r="386" ht="14.25" customHeight="1">
      <c r="A386" s="846"/>
      <c r="B386" s="846"/>
      <c r="C386" s="846"/>
      <c r="D386" s="847"/>
      <c r="E386" s="847"/>
      <c r="F386" s="846"/>
      <c r="G386" s="847"/>
      <c r="H386" s="868"/>
      <c r="I386" s="846"/>
      <c r="J386" s="846"/>
      <c r="K386" s="846"/>
      <c r="L386" s="846"/>
      <c r="M386" s="846"/>
      <c r="N386" s="847"/>
      <c r="O386" s="846"/>
      <c r="P386" s="846"/>
      <c r="Q386" s="846"/>
      <c r="R386" s="846"/>
      <c r="S386" s="846"/>
      <c r="T386" s="846"/>
      <c r="U386" s="846"/>
    </row>
    <row r="387" ht="14.25" customHeight="1">
      <c r="A387" s="846"/>
      <c r="B387" s="846"/>
      <c r="C387" s="846"/>
      <c r="D387" s="847"/>
      <c r="E387" s="847"/>
      <c r="F387" s="846"/>
      <c r="G387" s="847"/>
      <c r="H387" s="868"/>
      <c r="I387" s="846"/>
      <c r="J387" s="846"/>
      <c r="K387" s="846"/>
      <c r="L387" s="846"/>
      <c r="M387" s="846"/>
      <c r="N387" s="847"/>
      <c r="O387" s="846"/>
      <c r="P387" s="846"/>
      <c r="Q387" s="846"/>
      <c r="R387" s="846"/>
      <c r="S387" s="846"/>
      <c r="T387" s="846"/>
      <c r="U387" s="846"/>
    </row>
    <row r="388" ht="14.25" customHeight="1">
      <c r="A388" s="846"/>
      <c r="B388" s="846"/>
      <c r="C388" s="846"/>
      <c r="D388" s="847"/>
      <c r="E388" s="847"/>
      <c r="F388" s="846"/>
      <c r="G388" s="847"/>
      <c r="H388" s="868"/>
      <c r="I388" s="846"/>
      <c r="J388" s="846"/>
      <c r="K388" s="846"/>
      <c r="L388" s="846"/>
      <c r="M388" s="846"/>
      <c r="N388" s="847"/>
      <c r="O388" s="846"/>
      <c r="P388" s="846"/>
      <c r="Q388" s="846"/>
      <c r="R388" s="846"/>
      <c r="S388" s="846"/>
      <c r="T388" s="846"/>
      <c r="U388" s="846"/>
    </row>
    <row r="389" ht="14.25" customHeight="1">
      <c r="A389" s="846"/>
      <c r="B389" s="846"/>
      <c r="C389" s="846"/>
      <c r="D389" s="847"/>
      <c r="E389" s="847"/>
      <c r="F389" s="846"/>
      <c r="G389" s="847"/>
      <c r="H389" s="868"/>
      <c r="I389" s="846"/>
      <c r="J389" s="846"/>
      <c r="K389" s="846"/>
      <c r="L389" s="846"/>
      <c r="M389" s="846"/>
      <c r="N389" s="847"/>
      <c r="O389" s="846"/>
      <c r="P389" s="846"/>
      <c r="Q389" s="846"/>
      <c r="R389" s="846"/>
      <c r="S389" s="846"/>
      <c r="T389" s="846"/>
      <c r="U389" s="846"/>
    </row>
    <row r="390" ht="14.25" customHeight="1">
      <c r="A390" s="846"/>
      <c r="B390" s="846"/>
      <c r="C390" s="846"/>
      <c r="D390" s="847"/>
      <c r="E390" s="847"/>
      <c r="F390" s="846"/>
      <c r="G390" s="847"/>
      <c r="H390" s="868"/>
      <c r="I390" s="846"/>
      <c r="J390" s="846"/>
      <c r="K390" s="846"/>
      <c r="L390" s="846"/>
      <c r="M390" s="846"/>
      <c r="N390" s="847"/>
      <c r="O390" s="846"/>
      <c r="P390" s="846"/>
      <c r="Q390" s="846"/>
      <c r="R390" s="846"/>
      <c r="S390" s="846"/>
      <c r="T390" s="846"/>
      <c r="U390" s="846"/>
    </row>
    <row r="391" ht="14.25" customHeight="1">
      <c r="A391" s="846"/>
      <c r="B391" s="846"/>
      <c r="C391" s="846"/>
      <c r="D391" s="847"/>
      <c r="E391" s="847"/>
      <c r="F391" s="846"/>
      <c r="G391" s="847"/>
      <c r="H391" s="868"/>
      <c r="I391" s="846"/>
      <c r="J391" s="846"/>
      <c r="K391" s="846"/>
      <c r="L391" s="846"/>
      <c r="M391" s="846"/>
      <c r="N391" s="847"/>
      <c r="O391" s="846"/>
      <c r="P391" s="846"/>
      <c r="Q391" s="846"/>
      <c r="R391" s="846"/>
      <c r="S391" s="846"/>
      <c r="T391" s="846"/>
      <c r="U391" s="846"/>
    </row>
    <row r="392" ht="14.25" customHeight="1">
      <c r="A392" s="846"/>
      <c r="B392" s="846"/>
      <c r="C392" s="846"/>
      <c r="D392" s="847"/>
      <c r="E392" s="847"/>
      <c r="F392" s="846"/>
      <c r="G392" s="847"/>
      <c r="H392" s="868"/>
      <c r="I392" s="846"/>
      <c r="J392" s="846"/>
      <c r="K392" s="846"/>
      <c r="L392" s="846"/>
      <c r="M392" s="846"/>
      <c r="N392" s="847"/>
      <c r="O392" s="846"/>
      <c r="P392" s="846"/>
      <c r="Q392" s="846"/>
      <c r="R392" s="846"/>
      <c r="S392" s="846"/>
      <c r="T392" s="846"/>
      <c r="U392" s="846"/>
    </row>
    <row r="393" ht="14.25" customHeight="1">
      <c r="A393" s="846"/>
      <c r="B393" s="846"/>
      <c r="C393" s="846"/>
      <c r="D393" s="847"/>
      <c r="E393" s="847"/>
      <c r="F393" s="846"/>
      <c r="G393" s="847"/>
      <c r="H393" s="868"/>
      <c r="I393" s="846"/>
      <c r="J393" s="846"/>
      <c r="K393" s="846"/>
      <c r="L393" s="846"/>
      <c r="M393" s="846"/>
      <c r="N393" s="847"/>
      <c r="O393" s="846"/>
      <c r="P393" s="846"/>
      <c r="Q393" s="846"/>
      <c r="R393" s="846"/>
      <c r="S393" s="846"/>
      <c r="T393" s="846"/>
      <c r="U393" s="846"/>
    </row>
    <row r="394" ht="14.25" customHeight="1">
      <c r="A394" s="846"/>
      <c r="B394" s="846"/>
      <c r="C394" s="846"/>
      <c r="D394" s="847"/>
      <c r="E394" s="847"/>
      <c r="F394" s="846"/>
      <c r="G394" s="847"/>
      <c r="H394" s="868"/>
      <c r="I394" s="846"/>
      <c r="J394" s="846"/>
      <c r="K394" s="846"/>
      <c r="L394" s="846"/>
      <c r="M394" s="846"/>
      <c r="N394" s="847"/>
      <c r="O394" s="846"/>
      <c r="P394" s="846"/>
      <c r="Q394" s="846"/>
      <c r="R394" s="846"/>
      <c r="S394" s="846"/>
      <c r="T394" s="846"/>
      <c r="U394" s="846"/>
    </row>
    <row r="395" ht="14.25" customHeight="1">
      <c r="A395" s="846"/>
      <c r="B395" s="846"/>
      <c r="C395" s="846"/>
      <c r="D395" s="847"/>
      <c r="E395" s="847"/>
      <c r="F395" s="846"/>
      <c r="G395" s="847"/>
      <c r="H395" s="868"/>
      <c r="I395" s="846"/>
      <c r="J395" s="846"/>
      <c r="K395" s="846"/>
      <c r="L395" s="846"/>
      <c r="M395" s="846"/>
      <c r="N395" s="847"/>
      <c r="O395" s="846"/>
      <c r="P395" s="846"/>
      <c r="Q395" s="846"/>
      <c r="R395" s="846"/>
      <c r="S395" s="846"/>
      <c r="T395" s="846"/>
      <c r="U395" s="846"/>
    </row>
    <row r="396" ht="14.25" customHeight="1">
      <c r="A396" s="846"/>
      <c r="B396" s="846"/>
      <c r="C396" s="846"/>
      <c r="D396" s="847"/>
      <c r="E396" s="847"/>
      <c r="F396" s="846"/>
      <c r="G396" s="847"/>
      <c r="H396" s="868"/>
      <c r="I396" s="846"/>
      <c r="J396" s="846"/>
      <c r="K396" s="846"/>
      <c r="L396" s="846"/>
      <c r="M396" s="846"/>
      <c r="N396" s="847"/>
      <c r="O396" s="846"/>
      <c r="P396" s="846"/>
      <c r="Q396" s="846"/>
      <c r="R396" s="846"/>
      <c r="S396" s="846"/>
      <c r="T396" s="846"/>
      <c r="U396" s="846"/>
    </row>
    <row r="397" ht="14.25" customHeight="1">
      <c r="A397" s="846"/>
      <c r="B397" s="846"/>
      <c r="C397" s="846"/>
      <c r="D397" s="847"/>
      <c r="E397" s="847"/>
      <c r="F397" s="846"/>
      <c r="G397" s="847"/>
      <c r="H397" s="868"/>
      <c r="I397" s="846"/>
      <c r="J397" s="846"/>
      <c r="K397" s="846"/>
      <c r="L397" s="846"/>
      <c r="M397" s="846"/>
      <c r="N397" s="847"/>
      <c r="O397" s="846"/>
      <c r="P397" s="846"/>
      <c r="Q397" s="846"/>
      <c r="R397" s="846"/>
      <c r="S397" s="846"/>
      <c r="T397" s="846"/>
      <c r="U397" s="846"/>
    </row>
    <row r="398" ht="14.25" customHeight="1">
      <c r="A398" s="846"/>
      <c r="B398" s="846"/>
      <c r="C398" s="846"/>
      <c r="D398" s="847"/>
      <c r="E398" s="847"/>
      <c r="F398" s="846"/>
      <c r="G398" s="847"/>
      <c r="H398" s="868"/>
      <c r="I398" s="846"/>
      <c r="J398" s="846"/>
      <c r="K398" s="846"/>
      <c r="L398" s="846"/>
      <c r="M398" s="846"/>
      <c r="N398" s="847"/>
      <c r="O398" s="846"/>
      <c r="P398" s="846"/>
      <c r="Q398" s="846"/>
      <c r="R398" s="846"/>
      <c r="S398" s="846"/>
      <c r="T398" s="846"/>
      <c r="U398" s="846"/>
    </row>
    <row r="399" ht="14.25" customHeight="1">
      <c r="A399" s="846"/>
      <c r="B399" s="846"/>
      <c r="C399" s="846"/>
      <c r="D399" s="847"/>
      <c r="E399" s="847"/>
      <c r="F399" s="846"/>
      <c r="G399" s="847"/>
      <c r="H399" s="868"/>
      <c r="I399" s="846"/>
      <c r="J399" s="846"/>
      <c r="K399" s="846"/>
      <c r="L399" s="846"/>
      <c r="M399" s="846"/>
      <c r="N399" s="847"/>
      <c r="O399" s="846"/>
      <c r="P399" s="846"/>
      <c r="Q399" s="846"/>
      <c r="R399" s="846"/>
      <c r="S399" s="846"/>
      <c r="T399" s="846"/>
      <c r="U399" s="846"/>
    </row>
    <row r="400" ht="14.25" customHeight="1">
      <c r="A400" s="846"/>
      <c r="B400" s="846"/>
      <c r="C400" s="846"/>
      <c r="D400" s="847"/>
      <c r="E400" s="847"/>
      <c r="F400" s="846"/>
      <c r="G400" s="847"/>
      <c r="H400" s="868"/>
      <c r="I400" s="846"/>
      <c r="J400" s="846"/>
      <c r="K400" s="846"/>
      <c r="L400" s="846"/>
      <c r="M400" s="846"/>
      <c r="N400" s="847"/>
      <c r="O400" s="846"/>
      <c r="P400" s="846"/>
      <c r="Q400" s="846"/>
      <c r="R400" s="846"/>
      <c r="S400" s="846"/>
      <c r="T400" s="846"/>
      <c r="U400" s="846"/>
    </row>
    <row r="401" ht="14.25" customHeight="1">
      <c r="A401" s="846"/>
      <c r="B401" s="846"/>
      <c r="C401" s="846"/>
      <c r="D401" s="847"/>
      <c r="E401" s="847"/>
      <c r="F401" s="846"/>
      <c r="G401" s="847"/>
      <c r="H401" s="868"/>
      <c r="I401" s="846"/>
      <c r="J401" s="846"/>
      <c r="K401" s="846"/>
      <c r="L401" s="846"/>
      <c r="M401" s="846"/>
      <c r="N401" s="847"/>
      <c r="O401" s="846"/>
      <c r="P401" s="846"/>
      <c r="Q401" s="846"/>
      <c r="R401" s="846"/>
      <c r="S401" s="846"/>
      <c r="T401" s="846"/>
      <c r="U401" s="846"/>
    </row>
    <row r="402" ht="14.25" customHeight="1">
      <c r="A402" s="846"/>
      <c r="B402" s="846"/>
      <c r="C402" s="846"/>
      <c r="D402" s="847"/>
      <c r="E402" s="847"/>
      <c r="F402" s="846"/>
      <c r="G402" s="847"/>
      <c r="H402" s="868"/>
      <c r="I402" s="846"/>
      <c r="J402" s="846"/>
      <c r="K402" s="846"/>
      <c r="L402" s="846"/>
      <c r="M402" s="846"/>
      <c r="N402" s="847"/>
      <c r="O402" s="846"/>
      <c r="P402" s="846"/>
      <c r="Q402" s="846"/>
      <c r="R402" s="846"/>
      <c r="S402" s="846"/>
      <c r="T402" s="846"/>
      <c r="U402" s="846"/>
    </row>
    <row r="403" ht="14.25" customHeight="1">
      <c r="A403" s="846"/>
      <c r="B403" s="846"/>
      <c r="C403" s="846"/>
      <c r="D403" s="847"/>
      <c r="E403" s="847"/>
      <c r="F403" s="846"/>
      <c r="G403" s="847"/>
      <c r="H403" s="868"/>
      <c r="I403" s="846"/>
      <c r="J403" s="846"/>
      <c r="K403" s="846"/>
      <c r="L403" s="846"/>
      <c r="M403" s="846"/>
      <c r="N403" s="847"/>
      <c r="O403" s="846"/>
      <c r="P403" s="846"/>
      <c r="Q403" s="846"/>
      <c r="R403" s="846"/>
      <c r="S403" s="846"/>
      <c r="T403" s="846"/>
      <c r="U403" s="846"/>
    </row>
    <row r="404" ht="14.25" customHeight="1">
      <c r="A404" s="846"/>
      <c r="B404" s="846"/>
      <c r="C404" s="846"/>
      <c r="D404" s="847"/>
      <c r="E404" s="847"/>
      <c r="F404" s="846"/>
      <c r="G404" s="847"/>
      <c r="H404" s="868"/>
      <c r="I404" s="846"/>
      <c r="J404" s="846"/>
      <c r="K404" s="846"/>
      <c r="L404" s="846"/>
      <c r="M404" s="846"/>
      <c r="N404" s="847"/>
      <c r="O404" s="846"/>
      <c r="P404" s="846"/>
      <c r="Q404" s="846"/>
      <c r="R404" s="846"/>
      <c r="S404" s="846"/>
      <c r="T404" s="846"/>
      <c r="U404" s="846"/>
    </row>
    <row r="405" ht="14.25" customHeight="1">
      <c r="A405" s="846"/>
      <c r="B405" s="846"/>
      <c r="C405" s="846"/>
      <c r="D405" s="847"/>
      <c r="E405" s="847"/>
      <c r="F405" s="846"/>
      <c r="G405" s="847"/>
      <c r="H405" s="868"/>
      <c r="I405" s="846"/>
      <c r="J405" s="846"/>
      <c r="K405" s="846"/>
      <c r="L405" s="846"/>
      <c r="M405" s="846"/>
      <c r="N405" s="847"/>
      <c r="O405" s="846"/>
      <c r="P405" s="846"/>
      <c r="Q405" s="846"/>
      <c r="R405" s="846"/>
      <c r="S405" s="846"/>
      <c r="T405" s="846"/>
      <c r="U405" s="846"/>
    </row>
    <row r="406" ht="14.25" customHeight="1">
      <c r="A406" s="846"/>
      <c r="B406" s="846"/>
      <c r="C406" s="846"/>
      <c r="D406" s="847"/>
      <c r="E406" s="847"/>
      <c r="F406" s="846"/>
      <c r="G406" s="847"/>
      <c r="H406" s="868"/>
      <c r="I406" s="846"/>
      <c r="J406" s="846"/>
      <c r="K406" s="846"/>
      <c r="L406" s="846"/>
      <c r="M406" s="846"/>
      <c r="N406" s="847"/>
      <c r="O406" s="846"/>
      <c r="P406" s="846"/>
      <c r="Q406" s="846"/>
      <c r="R406" s="846"/>
      <c r="S406" s="846"/>
      <c r="T406" s="846"/>
      <c r="U406" s="846"/>
    </row>
    <row r="407" ht="14.25" customHeight="1">
      <c r="A407" s="846"/>
      <c r="B407" s="846"/>
      <c r="C407" s="846"/>
      <c r="D407" s="847"/>
      <c r="E407" s="847"/>
      <c r="F407" s="846"/>
      <c r="G407" s="847"/>
      <c r="H407" s="868"/>
      <c r="I407" s="846"/>
      <c r="J407" s="846"/>
      <c r="K407" s="846"/>
      <c r="L407" s="846"/>
      <c r="M407" s="846"/>
      <c r="N407" s="847"/>
      <c r="O407" s="846"/>
      <c r="P407" s="846"/>
      <c r="Q407" s="846"/>
      <c r="R407" s="846"/>
      <c r="S407" s="846"/>
      <c r="T407" s="846"/>
      <c r="U407" s="846"/>
    </row>
    <row r="408" ht="14.25" customHeight="1">
      <c r="A408" s="846"/>
      <c r="B408" s="846"/>
      <c r="C408" s="846"/>
      <c r="D408" s="847"/>
      <c r="E408" s="847"/>
      <c r="F408" s="846"/>
      <c r="G408" s="847"/>
      <c r="H408" s="868"/>
      <c r="I408" s="846"/>
      <c r="J408" s="846"/>
      <c r="K408" s="846"/>
      <c r="L408" s="846"/>
      <c r="M408" s="846"/>
      <c r="N408" s="847"/>
      <c r="O408" s="846"/>
      <c r="P408" s="846"/>
      <c r="Q408" s="846"/>
      <c r="R408" s="846"/>
      <c r="S408" s="846"/>
      <c r="T408" s="846"/>
      <c r="U408" s="846"/>
    </row>
    <row r="409" ht="14.25" customHeight="1">
      <c r="A409" s="846"/>
      <c r="B409" s="846"/>
      <c r="C409" s="846"/>
      <c r="D409" s="847"/>
      <c r="E409" s="847"/>
      <c r="F409" s="846"/>
      <c r="G409" s="847"/>
      <c r="H409" s="868"/>
      <c r="I409" s="846"/>
      <c r="J409" s="846"/>
      <c r="K409" s="846"/>
      <c r="L409" s="846"/>
      <c r="M409" s="846"/>
      <c r="N409" s="847"/>
      <c r="O409" s="846"/>
      <c r="P409" s="846"/>
      <c r="Q409" s="846"/>
      <c r="R409" s="846"/>
      <c r="S409" s="846"/>
      <c r="T409" s="846"/>
      <c r="U409" s="846"/>
    </row>
    <row r="410" ht="14.25" customHeight="1">
      <c r="A410" s="846"/>
      <c r="B410" s="846"/>
      <c r="C410" s="846"/>
      <c r="D410" s="847"/>
      <c r="E410" s="847"/>
      <c r="F410" s="846"/>
      <c r="G410" s="847"/>
      <c r="H410" s="868"/>
      <c r="I410" s="846"/>
      <c r="J410" s="846"/>
      <c r="K410" s="846"/>
      <c r="L410" s="846"/>
      <c r="M410" s="846"/>
      <c r="N410" s="847"/>
      <c r="O410" s="846"/>
      <c r="P410" s="846"/>
      <c r="Q410" s="846"/>
      <c r="R410" s="846"/>
      <c r="S410" s="846"/>
      <c r="T410" s="846"/>
      <c r="U410" s="846"/>
    </row>
    <row r="411" ht="14.25" customHeight="1">
      <c r="A411" s="846"/>
      <c r="B411" s="846"/>
      <c r="C411" s="846"/>
      <c r="D411" s="847"/>
      <c r="E411" s="847"/>
      <c r="F411" s="846"/>
      <c r="G411" s="847"/>
      <c r="H411" s="868"/>
      <c r="I411" s="846"/>
      <c r="J411" s="846"/>
      <c r="K411" s="846"/>
      <c r="L411" s="846"/>
      <c r="M411" s="846"/>
      <c r="N411" s="847"/>
      <c r="O411" s="846"/>
      <c r="P411" s="846"/>
      <c r="Q411" s="846"/>
      <c r="R411" s="846"/>
      <c r="S411" s="846"/>
      <c r="T411" s="846"/>
      <c r="U411" s="846"/>
    </row>
    <row r="412" ht="14.25" customHeight="1">
      <c r="A412" s="846"/>
      <c r="B412" s="846"/>
      <c r="C412" s="846"/>
      <c r="D412" s="847"/>
      <c r="E412" s="847"/>
      <c r="F412" s="846"/>
      <c r="G412" s="847"/>
      <c r="H412" s="868"/>
      <c r="I412" s="846"/>
      <c r="J412" s="846"/>
      <c r="K412" s="846"/>
      <c r="L412" s="846"/>
      <c r="M412" s="846"/>
      <c r="N412" s="847"/>
      <c r="O412" s="846"/>
      <c r="P412" s="846"/>
      <c r="Q412" s="846"/>
      <c r="R412" s="846"/>
      <c r="S412" s="846"/>
      <c r="T412" s="846"/>
      <c r="U412" s="846"/>
    </row>
    <row r="413" ht="14.25" customHeight="1">
      <c r="A413" s="846"/>
      <c r="B413" s="846"/>
      <c r="C413" s="846"/>
      <c r="D413" s="847"/>
      <c r="E413" s="847"/>
      <c r="F413" s="846"/>
      <c r="G413" s="847"/>
      <c r="H413" s="868"/>
      <c r="I413" s="846"/>
      <c r="J413" s="846"/>
      <c r="K413" s="846"/>
      <c r="L413" s="846"/>
      <c r="M413" s="846"/>
      <c r="N413" s="847"/>
      <c r="O413" s="846"/>
      <c r="P413" s="846"/>
      <c r="Q413" s="846"/>
      <c r="R413" s="846"/>
      <c r="S413" s="846"/>
      <c r="T413" s="846"/>
      <c r="U413" s="846"/>
    </row>
    <row r="414" ht="14.25" customHeight="1">
      <c r="A414" s="846"/>
      <c r="B414" s="846"/>
      <c r="C414" s="846"/>
      <c r="D414" s="847"/>
      <c r="E414" s="847"/>
      <c r="F414" s="846"/>
      <c r="G414" s="847"/>
      <c r="H414" s="868"/>
      <c r="I414" s="846"/>
      <c r="J414" s="846"/>
      <c r="K414" s="846"/>
      <c r="L414" s="846"/>
      <c r="M414" s="846"/>
      <c r="N414" s="847"/>
      <c r="O414" s="846"/>
      <c r="P414" s="846"/>
      <c r="Q414" s="846"/>
      <c r="R414" s="846"/>
      <c r="S414" s="846"/>
      <c r="T414" s="846"/>
      <c r="U414" s="846"/>
    </row>
    <row r="415" ht="14.25" customHeight="1">
      <c r="A415" s="846"/>
      <c r="B415" s="846"/>
      <c r="C415" s="846"/>
      <c r="D415" s="847"/>
      <c r="E415" s="847"/>
      <c r="F415" s="846"/>
      <c r="G415" s="847"/>
      <c r="H415" s="868"/>
      <c r="I415" s="846"/>
      <c r="J415" s="846"/>
      <c r="K415" s="846"/>
      <c r="L415" s="846"/>
      <c r="M415" s="846"/>
      <c r="N415" s="847"/>
      <c r="O415" s="846"/>
      <c r="P415" s="846"/>
      <c r="Q415" s="846"/>
      <c r="R415" s="846"/>
      <c r="S415" s="846"/>
      <c r="T415" s="846"/>
      <c r="U415" s="846"/>
    </row>
    <row r="416" ht="14.25" customHeight="1">
      <c r="A416" s="846"/>
      <c r="B416" s="846"/>
      <c r="C416" s="846"/>
      <c r="D416" s="847"/>
      <c r="E416" s="847"/>
      <c r="F416" s="846"/>
      <c r="G416" s="847"/>
      <c r="H416" s="868"/>
      <c r="I416" s="846"/>
      <c r="J416" s="846"/>
      <c r="K416" s="846"/>
      <c r="L416" s="846"/>
      <c r="M416" s="846"/>
      <c r="N416" s="847"/>
      <c r="O416" s="846"/>
      <c r="P416" s="846"/>
      <c r="Q416" s="846"/>
      <c r="R416" s="846"/>
      <c r="S416" s="846"/>
      <c r="T416" s="846"/>
      <c r="U416" s="846"/>
    </row>
    <row r="417" ht="14.25" customHeight="1">
      <c r="A417" s="846"/>
      <c r="B417" s="846"/>
      <c r="C417" s="846"/>
      <c r="D417" s="847"/>
      <c r="E417" s="847"/>
      <c r="F417" s="846"/>
      <c r="G417" s="847"/>
      <c r="H417" s="868"/>
      <c r="I417" s="846"/>
      <c r="J417" s="846"/>
      <c r="K417" s="846"/>
      <c r="L417" s="846"/>
      <c r="M417" s="846"/>
      <c r="N417" s="847"/>
      <c r="O417" s="846"/>
      <c r="P417" s="846"/>
      <c r="Q417" s="846"/>
      <c r="R417" s="846"/>
      <c r="S417" s="846"/>
      <c r="T417" s="846"/>
      <c r="U417" s="846"/>
    </row>
    <row r="418" ht="14.25" customHeight="1">
      <c r="A418" s="846"/>
      <c r="B418" s="846"/>
      <c r="C418" s="846"/>
      <c r="D418" s="847"/>
      <c r="E418" s="847"/>
      <c r="F418" s="846"/>
      <c r="G418" s="847"/>
      <c r="H418" s="868"/>
      <c r="I418" s="846"/>
      <c r="J418" s="846"/>
      <c r="K418" s="846"/>
      <c r="L418" s="846"/>
      <c r="M418" s="846"/>
      <c r="N418" s="847"/>
      <c r="O418" s="846"/>
      <c r="P418" s="846"/>
      <c r="Q418" s="846"/>
      <c r="R418" s="846"/>
      <c r="S418" s="846"/>
      <c r="T418" s="846"/>
      <c r="U418" s="846"/>
    </row>
    <row r="419" ht="14.25" customHeight="1">
      <c r="A419" s="846"/>
      <c r="B419" s="846"/>
      <c r="C419" s="846"/>
      <c r="D419" s="847"/>
      <c r="E419" s="847"/>
      <c r="F419" s="846"/>
      <c r="G419" s="847"/>
      <c r="H419" s="868"/>
      <c r="I419" s="846"/>
      <c r="J419" s="846"/>
      <c r="K419" s="846"/>
      <c r="L419" s="846"/>
      <c r="M419" s="846"/>
      <c r="N419" s="847"/>
      <c r="O419" s="846"/>
      <c r="P419" s="846"/>
      <c r="Q419" s="846"/>
      <c r="R419" s="846"/>
      <c r="S419" s="846"/>
      <c r="T419" s="846"/>
      <c r="U419" s="846"/>
    </row>
    <row r="420" ht="14.25" customHeight="1">
      <c r="A420" s="846"/>
      <c r="B420" s="846"/>
      <c r="C420" s="846"/>
      <c r="D420" s="847"/>
      <c r="E420" s="847"/>
      <c r="F420" s="846"/>
      <c r="G420" s="847"/>
      <c r="H420" s="868"/>
      <c r="I420" s="846"/>
      <c r="J420" s="846"/>
      <c r="K420" s="846"/>
      <c r="L420" s="846"/>
      <c r="M420" s="846"/>
      <c r="N420" s="847"/>
      <c r="O420" s="846"/>
      <c r="P420" s="846"/>
      <c r="Q420" s="846"/>
      <c r="R420" s="846"/>
      <c r="S420" s="846"/>
      <c r="T420" s="846"/>
      <c r="U420" s="846"/>
    </row>
    <row r="421" ht="14.25" customHeight="1">
      <c r="A421" s="846"/>
      <c r="B421" s="846"/>
      <c r="C421" s="846"/>
      <c r="D421" s="847"/>
      <c r="E421" s="847"/>
      <c r="F421" s="846"/>
      <c r="G421" s="847"/>
      <c r="H421" s="868"/>
      <c r="I421" s="846"/>
      <c r="J421" s="846"/>
      <c r="K421" s="846"/>
      <c r="L421" s="846"/>
      <c r="M421" s="846"/>
      <c r="N421" s="847"/>
      <c r="O421" s="846"/>
      <c r="P421" s="846"/>
      <c r="Q421" s="846"/>
      <c r="R421" s="846"/>
      <c r="S421" s="846"/>
      <c r="T421" s="846"/>
      <c r="U421" s="846"/>
    </row>
    <row r="422" ht="14.25" customHeight="1">
      <c r="A422" s="846"/>
      <c r="B422" s="846"/>
      <c r="C422" s="846"/>
      <c r="D422" s="847"/>
      <c r="E422" s="847"/>
      <c r="F422" s="846"/>
      <c r="G422" s="847"/>
      <c r="H422" s="868"/>
      <c r="I422" s="846"/>
      <c r="J422" s="846"/>
      <c r="K422" s="846"/>
      <c r="L422" s="846"/>
      <c r="M422" s="846"/>
      <c r="N422" s="847"/>
      <c r="O422" s="846"/>
      <c r="P422" s="846"/>
      <c r="Q422" s="846"/>
      <c r="R422" s="846"/>
      <c r="S422" s="846"/>
      <c r="T422" s="846"/>
      <c r="U422" s="846"/>
    </row>
    <row r="423" ht="14.25" customHeight="1">
      <c r="A423" s="846"/>
      <c r="B423" s="846"/>
      <c r="C423" s="846"/>
      <c r="D423" s="847"/>
      <c r="E423" s="847"/>
      <c r="F423" s="846"/>
      <c r="G423" s="847"/>
      <c r="H423" s="868"/>
      <c r="I423" s="846"/>
      <c r="J423" s="846"/>
      <c r="K423" s="846"/>
      <c r="L423" s="846"/>
      <c r="M423" s="846"/>
      <c r="N423" s="847"/>
      <c r="O423" s="846"/>
      <c r="P423" s="846"/>
      <c r="Q423" s="846"/>
      <c r="R423" s="846"/>
      <c r="S423" s="846"/>
      <c r="T423" s="846"/>
      <c r="U423" s="846"/>
    </row>
    <row r="424" ht="14.25" customHeight="1">
      <c r="A424" s="846"/>
      <c r="B424" s="846"/>
      <c r="C424" s="846"/>
      <c r="D424" s="847"/>
      <c r="E424" s="847"/>
      <c r="F424" s="846"/>
      <c r="G424" s="847"/>
      <c r="H424" s="868"/>
      <c r="I424" s="846"/>
      <c r="J424" s="846"/>
      <c r="K424" s="846"/>
      <c r="L424" s="846"/>
      <c r="M424" s="846"/>
      <c r="N424" s="847"/>
      <c r="O424" s="846"/>
      <c r="P424" s="846"/>
      <c r="Q424" s="846"/>
      <c r="R424" s="846"/>
      <c r="S424" s="846"/>
      <c r="T424" s="846"/>
      <c r="U424" s="846"/>
    </row>
    <row r="425" ht="14.25" customHeight="1">
      <c r="A425" s="846"/>
      <c r="B425" s="846"/>
      <c r="C425" s="846"/>
      <c r="D425" s="847"/>
      <c r="E425" s="847"/>
      <c r="F425" s="846"/>
      <c r="G425" s="847"/>
      <c r="H425" s="868"/>
      <c r="I425" s="846"/>
      <c r="J425" s="846"/>
      <c r="K425" s="846"/>
      <c r="L425" s="846"/>
      <c r="M425" s="846"/>
      <c r="N425" s="847"/>
      <c r="O425" s="846"/>
      <c r="P425" s="846"/>
      <c r="Q425" s="846"/>
      <c r="R425" s="846"/>
      <c r="S425" s="846"/>
      <c r="T425" s="846"/>
      <c r="U425" s="846"/>
    </row>
    <row r="426" ht="14.25" customHeight="1">
      <c r="A426" s="846"/>
      <c r="B426" s="846"/>
      <c r="C426" s="846"/>
      <c r="D426" s="847"/>
      <c r="E426" s="847"/>
      <c r="F426" s="846"/>
      <c r="G426" s="847"/>
      <c r="H426" s="868"/>
      <c r="I426" s="846"/>
      <c r="J426" s="846"/>
      <c r="K426" s="846"/>
      <c r="L426" s="846"/>
      <c r="M426" s="846"/>
      <c r="N426" s="847"/>
      <c r="O426" s="846"/>
      <c r="P426" s="846"/>
      <c r="Q426" s="846"/>
      <c r="R426" s="846"/>
      <c r="S426" s="846"/>
      <c r="T426" s="846"/>
      <c r="U426" s="846"/>
    </row>
    <row r="427" ht="14.25" customHeight="1">
      <c r="A427" s="846"/>
      <c r="B427" s="846"/>
      <c r="C427" s="846"/>
      <c r="D427" s="847"/>
      <c r="E427" s="847"/>
      <c r="F427" s="846"/>
      <c r="G427" s="847"/>
      <c r="H427" s="868"/>
      <c r="I427" s="846"/>
      <c r="J427" s="846"/>
      <c r="K427" s="846"/>
      <c r="L427" s="846"/>
      <c r="M427" s="846"/>
      <c r="N427" s="847"/>
      <c r="O427" s="846"/>
      <c r="P427" s="846"/>
      <c r="Q427" s="846"/>
      <c r="R427" s="846"/>
      <c r="S427" s="846"/>
      <c r="T427" s="846"/>
      <c r="U427" s="846"/>
    </row>
    <row r="428" ht="14.25" customHeight="1">
      <c r="A428" s="846"/>
      <c r="B428" s="846"/>
      <c r="C428" s="846"/>
      <c r="D428" s="847"/>
      <c r="E428" s="847"/>
      <c r="F428" s="846"/>
      <c r="G428" s="847"/>
      <c r="H428" s="868"/>
      <c r="I428" s="846"/>
      <c r="J428" s="846"/>
      <c r="K428" s="846"/>
      <c r="L428" s="846"/>
      <c r="M428" s="846"/>
      <c r="N428" s="847"/>
      <c r="O428" s="846"/>
      <c r="P428" s="846"/>
      <c r="Q428" s="846"/>
      <c r="R428" s="846"/>
      <c r="S428" s="846"/>
      <c r="T428" s="846"/>
      <c r="U428" s="846"/>
    </row>
    <row r="429" ht="14.25" customHeight="1">
      <c r="A429" s="846"/>
      <c r="B429" s="846"/>
      <c r="C429" s="846"/>
      <c r="D429" s="847"/>
      <c r="E429" s="847"/>
      <c r="F429" s="846"/>
      <c r="G429" s="847"/>
      <c r="H429" s="868"/>
      <c r="I429" s="846"/>
      <c r="J429" s="846"/>
      <c r="K429" s="846"/>
      <c r="L429" s="846"/>
      <c r="M429" s="846"/>
      <c r="N429" s="847"/>
      <c r="O429" s="846"/>
      <c r="P429" s="846"/>
      <c r="Q429" s="846"/>
      <c r="R429" s="846"/>
      <c r="S429" s="846"/>
      <c r="T429" s="846"/>
      <c r="U429" s="846"/>
    </row>
    <row r="430" ht="14.25" customHeight="1">
      <c r="A430" s="846"/>
      <c r="B430" s="846"/>
      <c r="C430" s="846"/>
      <c r="D430" s="847"/>
      <c r="E430" s="847"/>
      <c r="F430" s="846"/>
      <c r="G430" s="847"/>
      <c r="H430" s="868"/>
      <c r="I430" s="846"/>
      <c r="J430" s="846"/>
      <c r="K430" s="846"/>
      <c r="L430" s="846"/>
      <c r="M430" s="846"/>
      <c r="N430" s="847"/>
      <c r="O430" s="846"/>
      <c r="P430" s="846"/>
      <c r="Q430" s="846"/>
      <c r="R430" s="846"/>
      <c r="S430" s="846"/>
      <c r="T430" s="846"/>
      <c r="U430" s="846"/>
    </row>
    <row r="431" ht="14.25" customHeight="1">
      <c r="A431" s="846"/>
      <c r="B431" s="846"/>
      <c r="C431" s="846"/>
      <c r="D431" s="847"/>
      <c r="E431" s="847"/>
      <c r="F431" s="846"/>
      <c r="G431" s="847"/>
      <c r="H431" s="868"/>
      <c r="I431" s="846"/>
      <c r="J431" s="846"/>
      <c r="K431" s="846"/>
      <c r="L431" s="846"/>
      <c r="M431" s="846"/>
      <c r="N431" s="847"/>
      <c r="O431" s="846"/>
      <c r="P431" s="846"/>
      <c r="Q431" s="846"/>
      <c r="R431" s="846"/>
      <c r="S431" s="846"/>
      <c r="T431" s="846"/>
      <c r="U431" s="846"/>
    </row>
    <row r="432" ht="14.25" customHeight="1">
      <c r="A432" s="846"/>
      <c r="B432" s="846"/>
      <c r="C432" s="846"/>
      <c r="D432" s="847"/>
      <c r="E432" s="847"/>
      <c r="F432" s="846"/>
      <c r="G432" s="847"/>
      <c r="H432" s="868"/>
      <c r="I432" s="846"/>
      <c r="J432" s="846"/>
      <c r="K432" s="846"/>
      <c r="L432" s="846"/>
      <c r="M432" s="846"/>
      <c r="N432" s="847"/>
      <c r="O432" s="846"/>
      <c r="P432" s="846"/>
      <c r="Q432" s="846"/>
      <c r="R432" s="846"/>
      <c r="S432" s="846"/>
      <c r="T432" s="846"/>
      <c r="U432" s="846"/>
    </row>
    <row r="433" ht="14.25" customHeight="1">
      <c r="A433" s="846"/>
      <c r="B433" s="846"/>
      <c r="C433" s="846"/>
      <c r="D433" s="847"/>
      <c r="E433" s="847"/>
      <c r="F433" s="846"/>
      <c r="G433" s="847"/>
      <c r="H433" s="868"/>
      <c r="I433" s="846"/>
      <c r="J433" s="846"/>
      <c r="K433" s="846"/>
      <c r="L433" s="846"/>
      <c r="M433" s="846"/>
      <c r="N433" s="847"/>
      <c r="O433" s="846"/>
      <c r="P433" s="846"/>
      <c r="Q433" s="846"/>
      <c r="R433" s="846"/>
      <c r="S433" s="846"/>
      <c r="T433" s="846"/>
      <c r="U433" s="846"/>
    </row>
    <row r="434" ht="14.25" customHeight="1">
      <c r="A434" s="846"/>
      <c r="B434" s="846"/>
      <c r="C434" s="846"/>
      <c r="D434" s="847"/>
      <c r="E434" s="847"/>
      <c r="F434" s="846"/>
      <c r="G434" s="847"/>
      <c r="H434" s="868"/>
      <c r="I434" s="846"/>
      <c r="J434" s="846"/>
      <c r="K434" s="846"/>
      <c r="L434" s="846"/>
      <c r="M434" s="846"/>
      <c r="N434" s="847"/>
      <c r="O434" s="846"/>
      <c r="P434" s="846"/>
      <c r="Q434" s="846"/>
      <c r="R434" s="846"/>
      <c r="S434" s="846"/>
      <c r="T434" s="846"/>
      <c r="U434" s="846"/>
    </row>
    <row r="435" ht="14.25" customHeight="1">
      <c r="A435" s="846"/>
      <c r="B435" s="846"/>
      <c r="C435" s="846"/>
      <c r="D435" s="847"/>
      <c r="E435" s="847"/>
      <c r="F435" s="846"/>
      <c r="G435" s="847"/>
      <c r="H435" s="868"/>
      <c r="I435" s="846"/>
      <c r="J435" s="846"/>
      <c r="K435" s="846"/>
      <c r="L435" s="846"/>
      <c r="M435" s="846"/>
      <c r="N435" s="847"/>
      <c r="O435" s="846"/>
      <c r="P435" s="846"/>
      <c r="Q435" s="846"/>
      <c r="R435" s="846"/>
      <c r="S435" s="846"/>
      <c r="T435" s="846"/>
      <c r="U435" s="846"/>
    </row>
    <row r="436" ht="14.25" customHeight="1">
      <c r="A436" s="846"/>
      <c r="B436" s="846"/>
      <c r="C436" s="846"/>
      <c r="D436" s="847"/>
      <c r="E436" s="847"/>
      <c r="F436" s="846"/>
      <c r="G436" s="847"/>
      <c r="H436" s="868"/>
      <c r="I436" s="846"/>
      <c r="J436" s="846"/>
      <c r="K436" s="846"/>
      <c r="L436" s="846"/>
      <c r="M436" s="846"/>
      <c r="N436" s="847"/>
      <c r="O436" s="846"/>
      <c r="P436" s="846"/>
      <c r="Q436" s="846"/>
      <c r="R436" s="846"/>
      <c r="S436" s="846"/>
      <c r="T436" s="846"/>
      <c r="U436" s="846"/>
    </row>
    <row r="437" ht="14.25" customHeight="1">
      <c r="A437" s="846"/>
      <c r="B437" s="846"/>
      <c r="C437" s="846"/>
      <c r="D437" s="847"/>
      <c r="E437" s="847"/>
      <c r="F437" s="846"/>
      <c r="G437" s="847"/>
      <c r="H437" s="868"/>
      <c r="I437" s="846"/>
      <c r="J437" s="846"/>
      <c r="K437" s="846"/>
      <c r="L437" s="846"/>
      <c r="M437" s="846"/>
      <c r="N437" s="847"/>
      <c r="O437" s="846"/>
      <c r="P437" s="846"/>
      <c r="Q437" s="846"/>
      <c r="R437" s="846"/>
      <c r="S437" s="846"/>
      <c r="T437" s="846"/>
      <c r="U437" s="846"/>
    </row>
    <row r="438" ht="14.25" customHeight="1">
      <c r="A438" s="846"/>
      <c r="B438" s="846"/>
      <c r="C438" s="846"/>
      <c r="D438" s="847"/>
      <c r="E438" s="847"/>
      <c r="F438" s="846"/>
      <c r="G438" s="847"/>
      <c r="H438" s="868"/>
      <c r="I438" s="846"/>
      <c r="J438" s="846"/>
      <c r="K438" s="846"/>
      <c r="L438" s="846"/>
      <c r="M438" s="846"/>
      <c r="N438" s="847"/>
      <c r="O438" s="846"/>
      <c r="P438" s="846"/>
      <c r="Q438" s="846"/>
      <c r="R438" s="846"/>
      <c r="S438" s="846"/>
      <c r="T438" s="846"/>
      <c r="U438" s="846"/>
    </row>
    <row r="439" ht="14.25" customHeight="1">
      <c r="A439" s="846"/>
      <c r="B439" s="846"/>
      <c r="C439" s="846"/>
      <c r="D439" s="847"/>
      <c r="E439" s="847"/>
      <c r="F439" s="846"/>
      <c r="G439" s="847"/>
      <c r="H439" s="868"/>
      <c r="I439" s="846"/>
      <c r="J439" s="846"/>
      <c r="K439" s="846"/>
      <c r="L439" s="846"/>
      <c r="M439" s="846"/>
      <c r="N439" s="847"/>
      <c r="O439" s="846"/>
      <c r="P439" s="846"/>
      <c r="Q439" s="846"/>
      <c r="R439" s="846"/>
      <c r="S439" s="846"/>
      <c r="T439" s="846"/>
      <c r="U439" s="846"/>
    </row>
    <row r="440" ht="14.25" customHeight="1">
      <c r="A440" s="846"/>
      <c r="B440" s="846"/>
      <c r="C440" s="846"/>
      <c r="D440" s="847"/>
      <c r="E440" s="847"/>
      <c r="F440" s="846"/>
      <c r="G440" s="847"/>
      <c r="H440" s="868"/>
      <c r="I440" s="846"/>
      <c r="J440" s="846"/>
      <c r="K440" s="846"/>
      <c r="L440" s="846"/>
      <c r="M440" s="846"/>
      <c r="N440" s="847"/>
      <c r="O440" s="846"/>
      <c r="P440" s="846"/>
      <c r="Q440" s="846"/>
      <c r="R440" s="846"/>
      <c r="S440" s="846"/>
      <c r="T440" s="846"/>
      <c r="U440" s="846"/>
    </row>
    <row r="441" ht="14.25" customHeight="1">
      <c r="A441" s="846"/>
      <c r="B441" s="846"/>
      <c r="C441" s="846"/>
      <c r="D441" s="847"/>
      <c r="E441" s="847"/>
      <c r="F441" s="846"/>
      <c r="G441" s="847"/>
      <c r="H441" s="868"/>
      <c r="I441" s="846"/>
      <c r="J441" s="846"/>
      <c r="K441" s="846"/>
      <c r="L441" s="846"/>
      <c r="M441" s="846"/>
      <c r="N441" s="847"/>
      <c r="O441" s="846"/>
      <c r="P441" s="846"/>
      <c r="Q441" s="846"/>
      <c r="R441" s="846"/>
      <c r="S441" s="846"/>
      <c r="T441" s="846"/>
      <c r="U441" s="846"/>
    </row>
    <row r="442" ht="14.25" customHeight="1">
      <c r="A442" s="846"/>
      <c r="B442" s="846"/>
      <c r="C442" s="846"/>
      <c r="D442" s="847"/>
      <c r="E442" s="847"/>
      <c r="F442" s="846"/>
      <c r="G442" s="847"/>
      <c r="H442" s="868"/>
      <c r="I442" s="846"/>
      <c r="J442" s="846"/>
      <c r="K442" s="846"/>
      <c r="L442" s="846"/>
      <c r="M442" s="846"/>
      <c r="N442" s="847"/>
      <c r="O442" s="846"/>
      <c r="P442" s="846"/>
      <c r="Q442" s="846"/>
      <c r="R442" s="846"/>
      <c r="S442" s="846"/>
      <c r="T442" s="846"/>
      <c r="U442" s="846"/>
    </row>
    <row r="443" ht="14.25" customHeight="1">
      <c r="A443" s="846"/>
      <c r="B443" s="846"/>
      <c r="C443" s="846"/>
      <c r="D443" s="847"/>
      <c r="E443" s="847"/>
      <c r="F443" s="846"/>
      <c r="G443" s="847"/>
      <c r="H443" s="868"/>
      <c r="I443" s="846"/>
      <c r="J443" s="846"/>
      <c r="K443" s="846"/>
      <c r="L443" s="846"/>
      <c r="M443" s="846"/>
      <c r="N443" s="847"/>
      <c r="O443" s="846"/>
      <c r="P443" s="846"/>
      <c r="Q443" s="846"/>
      <c r="R443" s="846"/>
      <c r="S443" s="846"/>
      <c r="T443" s="846"/>
      <c r="U443" s="846"/>
    </row>
    <row r="444" ht="14.25" customHeight="1">
      <c r="A444" s="846"/>
      <c r="B444" s="846"/>
      <c r="C444" s="846"/>
      <c r="D444" s="847"/>
      <c r="E444" s="847"/>
      <c r="F444" s="846"/>
      <c r="G444" s="847"/>
      <c r="H444" s="868"/>
      <c r="I444" s="846"/>
      <c r="J444" s="846"/>
      <c r="K444" s="846"/>
      <c r="L444" s="846"/>
      <c r="M444" s="846"/>
      <c r="N444" s="847"/>
      <c r="O444" s="846"/>
      <c r="P444" s="846"/>
      <c r="Q444" s="846"/>
      <c r="R444" s="846"/>
      <c r="S444" s="846"/>
      <c r="T444" s="846"/>
      <c r="U444" s="846"/>
    </row>
    <row r="445" ht="14.25" customHeight="1">
      <c r="A445" s="846"/>
      <c r="B445" s="846"/>
      <c r="C445" s="846"/>
      <c r="D445" s="847"/>
      <c r="E445" s="847"/>
      <c r="F445" s="846"/>
      <c r="G445" s="847"/>
      <c r="H445" s="868"/>
      <c r="I445" s="846"/>
      <c r="J445" s="846"/>
      <c r="K445" s="846"/>
      <c r="L445" s="846"/>
      <c r="M445" s="846"/>
      <c r="N445" s="847"/>
      <c r="O445" s="846"/>
      <c r="P445" s="846"/>
      <c r="Q445" s="846"/>
      <c r="R445" s="846"/>
      <c r="S445" s="846"/>
      <c r="T445" s="846"/>
      <c r="U445" s="846"/>
    </row>
    <row r="446" ht="14.25" customHeight="1">
      <c r="A446" s="846"/>
      <c r="B446" s="846"/>
      <c r="C446" s="846"/>
      <c r="D446" s="847"/>
      <c r="E446" s="847"/>
      <c r="F446" s="846"/>
      <c r="G446" s="847"/>
      <c r="H446" s="868"/>
      <c r="I446" s="846"/>
      <c r="J446" s="846"/>
      <c r="K446" s="846"/>
      <c r="L446" s="846"/>
      <c r="M446" s="846"/>
      <c r="N446" s="847"/>
      <c r="O446" s="846"/>
      <c r="P446" s="846"/>
      <c r="Q446" s="846"/>
      <c r="R446" s="846"/>
      <c r="S446" s="846"/>
      <c r="T446" s="846"/>
      <c r="U446" s="846"/>
    </row>
    <row r="447" ht="14.25" customHeight="1">
      <c r="A447" s="846"/>
      <c r="B447" s="846"/>
      <c r="C447" s="846"/>
      <c r="D447" s="847"/>
      <c r="E447" s="847"/>
      <c r="F447" s="846"/>
      <c r="G447" s="847"/>
      <c r="H447" s="868"/>
      <c r="I447" s="846"/>
      <c r="J447" s="846"/>
      <c r="K447" s="846"/>
      <c r="L447" s="846"/>
      <c r="M447" s="846"/>
      <c r="N447" s="847"/>
      <c r="O447" s="846"/>
      <c r="P447" s="846"/>
      <c r="Q447" s="846"/>
      <c r="R447" s="846"/>
      <c r="S447" s="846"/>
      <c r="T447" s="846"/>
      <c r="U447" s="846"/>
    </row>
    <row r="448" ht="14.25" customHeight="1">
      <c r="A448" s="846"/>
      <c r="B448" s="846"/>
      <c r="C448" s="846"/>
      <c r="D448" s="847"/>
      <c r="E448" s="847"/>
      <c r="F448" s="846"/>
      <c r="G448" s="847"/>
      <c r="H448" s="868"/>
      <c r="I448" s="846"/>
      <c r="J448" s="846"/>
      <c r="K448" s="846"/>
      <c r="L448" s="846"/>
      <c r="M448" s="846"/>
      <c r="N448" s="847"/>
      <c r="O448" s="846"/>
      <c r="P448" s="846"/>
      <c r="Q448" s="846"/>
      <c r="R448" s="846"/>
      <c r="S448" s="846"/>
      <c r="T448" s="846"/>
      <c r="U448" s="846"/>
    </row>
    <row r="449" ht="14.25" customHeight="1">
      <c r="A449" s="846"/>
      <c r="B449" s="846"/>
      <c r="C449" s="846"/>
      <c r="D449" s="847"/>
      <c r="E449" s="847"/>
      <c r="F449" s="846"/>
      <c r="G449" s="847"/>
      <c r="H449" s="868"/>
      <c r="I449" s="846"/>
      <c r="J449" s="846"/>
      <c r="K449" s="846"/>
      <c r="L449" s="846"/>
      <c r="M449" s="846"/>
      <c r="N449" s="847"/>
      <c r="O449" s="846"/>
      <c r="P449" s="846"/>
      <c r="Q449" s="846"/>
      <c r="R449" s="846"/>
      <c r="S449" s="846"/>
      <c r="T449" s="846"/>
      <c r="U449" s="846"/>
    </row>
    <row r="450" ht="14.25" customHeight="1">
      <c r="A450" s="846"/>
      <c r="B450" s="846"/>
      <c r="C450" s="846"/>
      <c r="D450" s="847"/>
      <c r="E450" s="847"/>
      <c r="F450" s="846"/>
      <c r="G450" s="847"/>
      <c r="H450" s="868"/>
      <c r="I450" s="846"/>
      <c r="J450" s="846"/>
      <c r="K450" s="846"/>
      <c r="L450" s="846"/>
      <c r="M450" s="846"/>
      <c r="N450" s="847"/>
      <c r="O450" s="846"/>
      <c r="P450" s="846"/>
      <c r="Q450" s="846"/>
      <c r="R450" s="846"/>
      <c r="S450" s="846"/>
      <c r="T450" s="846"/>
      <c r="U450" s="846"/>
    </row>
    <row r="451" ht="14.25" customHeight="1">
      <c r="A451" s="846"/>
      <c r="B451" s="846"/>
      <c r="C451" s="846"/>
      <c r="D451" s="847"/>
      <c r="E451" s="847"/>
      <c r="F451" s="846"/>
      <c r="G451" s="847"/>
      <c r="H451" s="868"/>
      <c r="I451" s="846"/>
      <c r="J451" s="846"/>
      <c r="K451" s="846"/>
      <c r="L451" s="846"/>
      <c r="M451" s="846"/>
      <c r="N451" s="847"/>
      <c r="O451" s="846"/>
      <c r="P451" s="846"/>
      <c r="Q451" s="846"/>
      <c r="R451" s="846"/>
      <c r="S451" s="846"/>
      <c r="T451" s="846"/>
      <c r="U451" s="846"/>
    </row>
    <row r="452" ht="14.25" customHeight="1">
      <c r="A452" s="846"/>
      <c r="B452" s="846"/>
      <c r="C452" s="846"/>
      <c r="D452" s="847"/>
      <c r="E452" s="847"/>
      <c r="F452" s="846"/>
      <c r="G452" s="847"/>
      <c r="H452" s="868"/>
      <c r="I452" s="846"/>
      <c r="J452" s="846"/>
      <c r="K452" s="846"/>
      <c r="L452" s="846"/>
      <c r="M452" s="846"/>
      <c r="N452" s="847"/>
      <c r="O452" s="846"/>
      <c r="P452" s="846"/>
      <c r="Q452" s="846"/>
      <c r="R452" s="846"/>
      <c r="S452" s="846"/>
      <c r="T452" s="846"/>
      <c r="U452" s="846"/>
    </row>
    <row r="453" ht="14.25" customHeight="1">
      <c r="A453" s="846"/>
      <c r="B453" s="846"/>
      <c r="C453" s="846"/>
      <c r="D453" s="847"/>
      <c r="E453" s="847"/>
      <c r="F453" s="846"/>
      <c r="G453" s="847"/>
      <c r="H453" s="868"/>
      <c r="I453" s="846"/>
      <c r="J453" s="846"/>
      <c r="K453" s="846"/>
      <c r="L453" s="846"/>
      <c r="M453" s="846"/>
      <c r="N453" s="847"/>
      <c r="O453" s="846"/>
      <c r="P453" s="846"/>
      <c r="Q453" s="846"/>
      <c r="R453" s="846"/>
      <c r="S453" s="846"/>
      <c r="T453" s="846"/>
      <c r="U453" s="846"/>
    </row>
    <row r="454" ht="14.25" customHeight="1">
      <c r="A454" s="846"/>
      <c r="B454" s="846"/>
      <c r="C454" s="846"/>
      <c r="D454" s="847"/>
      <c r="E454" s="847"/>
      <c r="F454" s="846"/>
      <c r="G454" s="847"/>
      <c r="H454" s="868"/>
      <c r="I454" s="846"/>
      <c r="J454" s="846"/>
      <c r="K454" s="846"/>
      <c r="L454" s="846"/>
      <c r="M454" s="846"/>
      <c r="N454" s="847"/>
      <c r="O454" s="846"/>
      <c r="P454" s="846"/>
      <c r="Q454" s="846"/>
      <c r="R454" s="846"/>
      <c r="S454" s="846"/>
      <c r="T454" s="846"/>
      <c r="U454" s="846"/>
    </row>
    <row r="455" ht="14.25" customHeight="1">
      <c r="A455" s="846"/>
      <c r="B455" s="846"/>
      <c r="C455" s="846"/>
      <c r="D455" s="847"/>
      <c r="E455" s="847"/>
      <c r="F455" s="846"/>
      <c r="G455" s="847"/>
      <c r="H455" s="868"/>
      <c r="I455" s="846"/>
      <c r="J455" s="846"/>
      <c r="K455" s="846"/>
      <c r="L455" s="846"/>
      <c r="M455" s="846"/>
      <c r="N455" s="847"/>
      <c r="O455" s="846"/>
      <c r="P455" s="846"/>
      <c r="Q455" s="846"/>
      <c r="R455" s="846"/>
      <c r="S455" s="846"/>
      <c r="T455" s="846"/>
      <c r="U455" s="846"/>
    </row>
    <row r="456" ht="14.25" customHeight="1">
      <c r="A456" s="846"/>
      <c r="B456" s="846"/>
      <c r="C456" s="846"/>
      <c r="D456" s="847"/>
      <c r="E456" s="847"/>
      <c r="F456" s="846"/>
      <c r="G456" s="847"/>
      <c r="H456" s="868"/>
      <c r="I456" s="846"/>
      <c r="J456" s="846"/>
      <c r="K456" s="846"/>
      <c r="L456" s="846"/>
      <c r="M456" s="846"/>
      <c r="N456" s="847"/>
      <c r="O456" s="846"/>
      <c r="P456" s="846"/>
      <c r="Q456" s="846"/>
      <c r="R456" s="846"/>
      <c r="S456" s="846"/>
      <c r="T456" s="846"/>
      <c r="U456" s="846"/>
    </row>
    <row r="457" ht="14.25" customHeight="1">
      <c r="A457" s="846"/>
      <c r="B457" s="846"/>
      <c r="C457" s="846"/>
      <c r="D457" s="847"/>
      <c r="E457" s="847"/>
      <c r="F457" s="846"/>
      <c r="G457" s="847"/>
      <c r="H457" s="868"/>
      <c r="I457" s="846"/>
      <c r="J457" s="846"/>
      <c r="K457" s="846"/>
      <c r="L457" s="846"/>
      <c r="M457" s="846"/>
      <c r="N457" s="847"/>
      <c r="O457" s="846"/>
      <c r="P457" s="846"/>
      <c r="Q457" s="846"/>
      <c r="R457" s="846"/>
      <c r="S457" s="846"/>
      <c r="T457" s="846"/>
      <c r="U457" s="846"/>
    </row>
    <row r="458" ht="14.25" customHeight="1">
      <c r="A458" s="846"/>
      <c r="B458" s="846"/>
      <c r="C458" s="846"/>
      <c r="D458" s="847"/>
      <c r="E458" s="847"/>
      <c r="F458" s="846"/>
      <c r="G458" s="847"/>
      <c r="H458" s="868"/>
      <c r="I458" s="846"/>
      <c r="J458" s="846"/>
      <c r="K458" s="846"/>
      <c r="L458" s="846"/>
      <c r="M458" s="846"/>
      <c r="N458" s="847"/>
      <c r="O458" s="846"/>
      <c r="P458" s="846"/>
      <c r="Q458" s="846"/>
      <c r="R458" s="846"/>
      <c r="S458" s="846"/>
      <c r="T458" s="846"/>
      <c r="U458" s="846"/>
    </row>
    <row r="459" ht="14.25" customHeight="1">
      <c r="A459" s="846"/>
      <c r="B459" s="846"/>
      <c r="C459" s="846"/>
      <c r="D459" s="847"/>
      <c r="E459" s="847"/>
      <c r="F459" s="846"/>
      <c r="G459" s="847"/>
      <c r="H459" s="868"/>
      <c r="I459" s="846"/>
      <c r="J459" s="846"/>
      <c r="K459" s="846"/>
      <c r="L459" s="846"/>
      <c r="M459" s="846"/>
      <c r="N459" s="847"/>
      <c r="O459" s="846"/>
      <c r="P459" s="846"/>
      <c r="Q459" s="846"/>
      <c r="R459" s="846"/>
      <c r="S459" s="846"/>
      <c r="T459" s="846"/>
      <c r="U459" s="846"/>
    </row>
    <row r="460" ht="14.25" customHeight="1">
      <c r="A460" s="846"/>
      <c r="B460" s="846"/>
      <c r="C460" s="846"/>
      <c r="D460" s="847"/>
      <c r="E460" s="847"/>
      <c r="F460" s="846"/>
      <c r="G460" s="847"/>
      <c r="H460" s="868"/>
      <c r="I460" s="846"/>
      <c r="J460" s="846"/>
      <c r="K460" s="846"/>
      <c r="L460" s="846"/>
      <c r="M460" s="846"/>
      <c r="N460" s="847"/>
      <c r="O460" s="846"/>
      <c r="P460" s="846"/>
      <c r="Q460" s="846"/>
      <c r="R460" s="846"/>
      <c r="S460" s="846"/>
      <c r="T460" s="846"/>
      <c r="U460" s="846"/>
    </row>
    <row r="461" ht="14.25" customHeight="1">
      <c r="A461" s="846"/>
      <c r="B461" s="846"/>
      <c r="C461" s="846"/>
      <c r="D461" s="847"/>
      <c r="E461" s="847"/>
      <c r="F461" s="846"/>
      <c r="G461" s="847"/>
      <c r="H461" s="868"/>
      <c r="I461" s="846"/>
      <c r="J461" s="846"/>
      <c r="K461" s="846"/>
      <c r="L461" s="846"/>
      <c r="M461" s="846"/>
      <c r="N461" s="847"/>
      <c r="O461" s="846"/>
      <c r="P461" s="846"/>
      <c r="Q461" s="846"/>
      <c r="R461" s="846"/>
      <c r="S461" s="846"/>
      <c r="T461" s="846"/>
      <c r="U461" s="846"/>
    </row>
    <row r="462" ht="14.25" customHeight="1">
      <c r="A462" s="846"/>
      <c r="B462" s="846"/>
      <c r="C462" s="846"/>
      <c r="D462" s="847"/>
      <c r="E462" s="847"/>
      <c r="F462" s="846"/>
      <c r="G462" s="847"/>
      <c r="H462" s="868"/>
      <c r="I462" s="846"/>
      <c r="J462" s="846"/>
      <c r="K462" s="846"/>
      <c r="L462" s="846"/>
      <c r="M462" s="846"/>
      <c r="N462" s="847"/>
      <c r="O462" s="846"/>
      <c r="P462" s="846"/>
      <c r="Q462" s="846"/>
      <c r="R462" s="846"/>
      <c r="S462" s="846"/>
      <c r="T462" s="846"/>
      <c r="U462" s="846"/>
    </row>
    <row r="463" ht="14.25" customHeight="1">
      <c r="A463" s="846"/>
      <c r="B463" s="846"/>
      <c r="C463" s="846"/>
      <c r="D463" s="847"/>
      <c r="E463" s="847"/>
      <c r="F463" s="846"/>
      <c r="G463" s="847"/>
      <c r="H463" s="868"/>
      <c r="I463" s="846"/>
      <c r="J463" s="846"/>
      <c r="K463" s="846"/>
      <c r="L463" s="846"/>
      <c r="M463" s="846"/>
      <c r="N463" s="847"/>
      <c r="O463" s="846"/>
      <c r="P463" s="846"/>
      <c r="Q463" s="846"/>
      <c r="R463" s="846"/>
      <c r="S463" s="846"/>
      <c r="T463" s="846"/>
      <c r="U463" s="846"/>
    </row>
    <row r="464" ht="14.25" customHeight="1">
      <c r="A464" s="846"/>
      <c r="B464" s="846"/>
      <c r="C464" s="846"/>
      <c r="D464" s="847"/>
      <c r="E464" s="847"/>
      <c r="F464" s="846"/>
      <c r="G464" s="847"/>
      <c r="H464" s="868"/>
      <c r="I464" s="846"/>
      <c r="J464" s="846"/>
      <c r="K464" s="846"/>
      <c r="L464" s="846"/>
      <c r="M464" s="846"/>
      <c r="N464" s="847"/>
      <c r="O464" s="846"/>
      <c r="P464" s="846"/>
      <c r="Q464" s="846"/>
      <c r="R464" s="846"/>
      <c r="S464" s="846"/>
      <c r="T464" s="846"/>
      <c r="U464" s="846"/>
    </row>
    <row r="465" ht="14.25" customHeight="1">
      <c r="A465" s="846"/>
      <c r="B465" s="846"/>
      <c r="C465" s="846"/>
      <c r="D465" s="847"/>
      <c r="E465" s="847"/>
      <c r="F465" s="846"/>
      <c r="G465" s="847"/>
      <c r="H465" s="868"/>
      <c r="I465" s="846"/>
      <c r="J465" s="846"/>
      <c r="K465" s="846"/>
      <c r="L465" s="846"/>
      <c r="M465" s="846"/>
      <c r="N465" s="847"/>
      <c r="O465" s="846"/>
      <c r="P465" s="846"/>
      <c r="Q465" s="846"/>
      <c r="R465" s="846"/>
      <c r="S465" s="846"/>
      <c r="T465" s="846"/>
      <c r="U465" s="846"/>
    </row>
    <row r="466" ht="14.25" customHeight="1">
      <c r="A466" s="846"/>
      <c r="B466" s="846"/>
      <c r="C466" s="846"/>
      <c r="D466" s="847"/>
      <c r="E466" s="847"/>
      <c r="F466" s="846"/>
      <c r="G466" s="847"/>
      <c r="H466" s="868"/>
      <c r="I466" s="846"/>
      <c r="J466" s="846"/>
      <c r="K466" s="846"/>
      <c r="L466" s="846"/>
      <c r="M466" s="846"/>
      <c r="N466" s="847"/>
      <c r="O466" s="846"/>
      <c r="P466" s="846"/>
      <c r="Q466" s="846"/>
      <c r="R466" s="846"/>
      <c r="S466" s="846"/>
      <c r="T466" s="846"/>
      <c r="U466" s="846"/>
    </row>
    <row r="467" ht="14.25" customHeight="1">
      <c r="A467" s="846"/>
      <c r="B467" s="846"/>
      <c r="C467" s="846"/>
      <c r="D467" s="847"/>
      <c r="E467" s="847"/>
      <c r="F467" s="846"/>
      <c r="G467" s="847"/>
      <c r="H467" s="868"/>
      <c r="I467" s="846"/>
      <c r="J467" s="846"/>
      <c r="K467" s="846"/>
      <c r="L467" s="846"/>
      <c r="M467" s="846"/>
      <c r="N467" s="847"/>
      <c r="O467" s="846"/>
      <c r="P467" s="846"/>
      <c r="Q467" s="846"/>
      <c r="R467" s="846"/>
      <c r="S467" s="846"/>
      <c r="T467" s="846"/>
      <c r="U467" s="846"/>
    </row>
    <row r="468" ht="14.25" customHeight="1">
      <c r="A468" s="846"/>
      <c r="B468" s="846"/>
      <c r="C468" s="846"/>
      <c r="D468" s="847"/>
      <c r="E468" s="847"/>
      <c r="F468" s="846"/>
      <c r="G468" s="847"/>
      <c r="H468" s="868"/>
      <c r="I468" s="846"/>
      <c r="J468" s="846"/>
      <c r="K468" s="846"/>
      <c r="L468" s="846"/>
      <c r="M468" s="846"/>
      <c r="N468" s="847"/>
      <c r="O468" s="846"/>
      <c r="P468" s="846"/>
      <c r="Q468" s="846"/>
      <c r="R468" s="846"/>
      <c r="S468" s="846"/>
      <c r="T468" s="846"/>
      <c r="U468" s="846"/>
    </row>
    <row r="469" ht="14.25" customHeight="1">
      <c r="A469" s="846"/>
      <c r="B469" s="846"/>
      <c r="C469" s="846"/>
      <c r="D469" s="847"/>
      <c r="E469" s="847"/>
      <c r="F469" s="846"/>
      <c r="G469" s="847"/>
      <c r="H469" s="868"/>
      <c r="I469" s="846"/>
      <c r="J469" s="846"/>
      <c r="K469" s="846"/>
      <c r="L469" s="846"/>
      <c r="M469" s="846"/>
      <c r="N469" s="847"/>
      <c r="O469" s="846"/>
      <c r="P469" s="846"/>
      <c r="Q469" s="846"/>
      <c r="R469" s="846"/>
      <c r="S469" s="846"/>
      <c r="T469" s="846"/>
      <c r="U469" s="846"/>
    </row>
    <row r="470" ht="14.25" customHeight="1">
      <c r="A470" s="846"/>
      <c r="B470" s="846"/>
      <c r="C470" s="846"/>
      <c r="D470" s="847"/>
      <c r="E470" s="847"/>
      <c r="F470" s="846"/>
      <c r="G470" s="847"/>
      <c r="H470" s="868"/>
      <c r="I470" s="846"/>
      <c r="J470" s="846"/>
      <c r="K470" s="846"/>
      <c r="L470" s="846"/>
      <c r="M470" s="846"/>
      <c r="N470" s="847"/>
      <c r="O470" s="846"/>
      <c r="P470" s="846"/>
      <c r="Q470" s="846"/>
      <c r="R470" s="846"/>
      <c r="S470" s="846"/>
      <c r="T470" s="846"/>
      <c r="U470" s="846"/>
    </row>
    <row r="471" ht="14.25" customHeight="1">
      <c r="A471" s="846"/>
      <c r="B471" s="846"/>
      <c r="C471" s="846"/>
      <c r="D471" s="847"/>
      <c r="E471" s="847"/>
      <c r="F471" s="846"/>
      <c r="G471" s="847"/>
      <c r="H471" s="868"/>
      <c r="I471" s="846"/>
      <c r="J471" s="846"/>
      <c r="K471" s="846"/>
      <c r="L471" s="846"/>
      <c r="M471" s="846"/>
      <c r="N471" s="847"/>
      <c r="O471" s="846"/>
      <c r="P471" s="846"/>
      <c r="Q471" s="846"/>
      <c r="R471" s="846"/>
      <c r="S471" s="846"/>
      <c r="T471" s="846"/>
      <c r="U471" s="846"/>
    </row>
    <row r="472" ht="14.25" customHeight="1">
      <c r="A472" s="846"/>
      <c r="B472" s="846"/>
      <c r="C472" s="846"/>
      <c r="D472" s="847"/>
      <c r="E472" s="847"/>
      <c r="F472" s="846"/>
      <c r="G472" s="847"/>
      <c r="H472" s="868"/>
      <c r="I472" s="846"/>
      <c r="J472" s="846"/>
      <c r="K472" s="846"/>
      <c r="L472" s="846"/>
      <c r="M472" s="846"/>
      <c r="N472" s="847"/>
      <c r="O472" s="846"/>
      <c r="P472" s="846"/>
      <c r="Q472" s="846"/>
      <c r="R472" s="846"/>
      <c r="S472" s="846"/>
      <c r="T472" s="846"/>
      <c r="U472" s="846"/>
    </row>
    <row r="473" ht="14.25" customHeight="1">
      <c r="A473" s="846"/>
      <c r="B473" s="846"/>
      <c r="C473" s="846"/>
      <c r="D473" s="847"/>
      <c r="E473" s="847"/>
      <c r="F473" s="846"/>
      <c r="G473" s="847"/>
      <c r="H473" s="868"/>
      <c r="I473" s="846"/>
      <c r="J473" s="846"/>
      <c r="K473" s="846"/>
      <c r="L473" s="846"/>
      <c r="M473" s="846"/>
      <c r="N473" s="847"/>
      <c r="O473" s="846"/>
      <c r="P473" s="846"/>
      <c r="Q473" s="846"/>
      <c r="R473" s="846"/>
      <c r="S473" s="846"/>
      <c r="T473" s="846"/>
      <c r="U473" s="846"/>
    </row>
    <row r="474" ht="14.25" customHeight="1">
      <c r="A474" s="846"/>
      <c r="B474" s="846"/>
      <c r="C474" s="846"/>
      <c r="D474" s="847"/>
      <c r="E474" s="847"/>
      <c r="F474" s="846"/>
      <c r="G474" s="847"/>
      <c r="H474" s="868"/>
      <c r="I474" s="846"/>
      <c r="J474" s="846"/>
      <c r="K474" s="846"/>
      <c r="L474" s="846"/>
      <c r="M474" s="846"/>
      <c r="N474" s="847"/>
      <c r="O474" s="846"/>
      <c r="P474" s="846"/>
      <c r="Q474" s="846"/>
      <c r="R474" s="846"/>
      <c r="S474" s="846"/>
      <c r="T474" s="846"/>
      <c r="U474" s="846"/>
    </row>
    <row r="475" ht="14.25" customHeight="1">
      <c r="A475" s="846"/>
      <c r="B475" s="846"/>
      <c r="C475" s="846"/>
      <c r="D475" s="847"/>
      <c r="E475" s="847"/>
      <c r="F475" s="846"/>
      <c r="G475" s="847"/>
      <c r="H475" s="868"/>
      <c r="I475" s="846"/>
      <c r="J475" s="846"/>
      <c r="K475" s="846"/>
      <c r="L475" s="846"/>
      <c r="M475" s="846"/>
      <c r="N475" s="847"/>
      <c r="O475" s="846"/>
      <c r="P475" s="846"/>
      <c r="Q475" s="846"/>
      <c r="R475" s="846"/>
      <c r="S475" s="846"/>
      <c r="T475" s="846"/>
      <c r="U475" s="846"/>
    </row>
    <row r="476" ht="14.25" customHeight="1">
      <c r="A476" s="846"/>
      <c r="B476" s="846"/>
      <c r="C476" s="846"/>
      <c r="D476" s="847"/>
      <c r="E476" s="847"/>
      <c r="F476" s="846"/>
      <c r="G476" s="847"/>
      <c r="H476" s="868"/>
      <c r="I476" s="846"/>
      <c r="J476" s="846"/>
      <c r="K476" s="846"/>
      <c r="L476" s="846"/>
      <c r="M476" s="846"/>
      <c r="N476" s="847"/>
      <c r="O476" s="846"/>
      <c r="P476" s="846"/>
      <c r="Q476" s="846"/>
      <c r="R476" s="846"/>
      <c r="S476" s="846"/>
      <c r="T476" s="846"/>
      <c r="U476" s="846"/>
    </row>
    <row r="477" ht="14.25" customHeight="1">
      <c r="A477" s="846"/>
      <c r="B477" s="846"/>
      <c r="C477" s="846"/>
      <c r="D477" s="847"/>
      <c r="E477" s="847"/>
      <c r="F477" s="846"/>
      <c r="G477" s="847"/>
      <c r="H477" s="868"/>
      <c r="I477" s="846"/>
      <c r="J477" s="846"/>
      <c r="K477" s="846"/>
      <c r="L477" s="846"/>
      <c r="M477" s="846"/>
      <c r="N477" s="847"/>
      <c r="O477" s="846"/>
      <c r="P477" s="846"/>
      <c r="Q477" s="846"/>
      <c r="R477" s="846"/>
      <c r="S477" s="846"/>
      <c r="T477" s="846"/>
      <c r="U477" s="846"/>
    </row>
    <row r="478" ht="14.25" customHeight="1">
      <c r="A478" s="846"/>
      <c r="B478" s="846"/>
      <c r="C478" s="846"/>
      <c r="D478" s="847"/>
      <c r="E478" s="847"/>
      <c r="F478" s="846"/>
      <c r="G478" s="847"/>
      <c r="H478" s="868"/>
      <c r="I478" s="846"/>
      <c r="J478" s="846"/>
      <c r="K478" s="846"/>
      <c r="L478" s="846"/>
      <c r="M478" s="846"/>
      <c r="N478" s="847"/>
      <c r="O478" s="846"/>
      <c r="P478" s="846"/>
      <c r="Q478" s="846"/>
      <c r="R478" s="846"/>
      <c r="S478" s="846"/>
      <c r="T478" s="846"/>
      <c r="U478" s="846"/>
    </row>
    <row r="479" ht="14.25" customHeight="1">
      <c r="A479" s="846"/>
      <c r="B479" s="846"/>
      <c r="C479" s="846"/>
      <c r="D479" s="847"/>
      <c r="E479" s="847"/>
      <c r="F479" s="846"/>
      <c r="G479" s="847"/>
      <c r="H479" s="868"/>
      <c r="I479" s="846"/>
      <c r="J479" s="846"/>
      <c r="K479" s="846"/>
      <c r="L479" s="846"/>
      <c r="M479" s="846"/>
      <c r="N479" s="847"/>
      <c r="O479" s="846"/>
      <c r="P479" s="846"/>
      <c r="Q479" s="846"/>
      <c r="R479" s="846"/>
      <c r="S479" s="846"/>
      <c r="T479" s="846"/>
      <c r="U479" s="846"/>
    </row>
    <row r="480" ht="14.25" customHeight="1">
      <c r="A480" s="846"/>
      <c r="B480" s="846"/>
      <c r="C480" s="846"/>
      <c r="D480" s="847"/>
      <c r="E480" s="847"/>
      <c r="F480" s="846"/>
      <c r="G480" s="847"/>
      <c r="H480" s="868"/>
      <c r="I480" s="846"/>
      <c r="J480" s="846"/>
      <c r="K480" s="846"/>
      <c r="L480" s="846"/>
      <c r="M480" s="846"/>
      <c r="N480" s="847"/>
      <c r="O480" s="846"/>
      <c r="P480" s="846"/>
      <c r="Q480" s="846"/>
      <c r="R480" s="846"/>
      <c r="S480" s="846"/>
      <c r="T480" s="846"/>
      <c r="U480" s="846"/>
    </row>
    <row r="481" ht="14.25" customHeight="1">
      <c r="A481" s="846"/>
      <c r="B481" s="846"/>
      <c r="C481" s="846"/>
      <c r="D481" s="847"/>
      <c r="E481" s="847"/>
      <c r="F481" s="846"/>
      <c r="G481" s="847"/>
      <c r="H481" s="868"/>
      <c r="I481" s="846"/>
      <c r="J481" s="846"/>
      <c r="K481" s="846"/>
      <c r="L481" s="846"/>
      <c r="M481" s="846"/>
      <c r="N481" s="847"/>
      <c r="O481" s="846"/>
      <c r="P481" s="846"/>
      <c r="Q481" s="846"/>
      <c r="R481" s="846"/>
      <c r="S481" s="846"/>
      <c r="T481" s="846"/>
      <c r="U481" s="846"/>
    </row>
    <row r="482" ht="14.25" customHeight="1">
      <c r="A482" s="846"/>
      <c r="B482" s="846"/>
      <c r="C482" s="846"/>
      <c r="D482" s="847"/>
      <c r="E482" s="847"/>
      <c r="F482" s="846"/>
      <c r="G482" s="847"/>
      <c r="H482" s="868"/>
      <c r="I482" s="846"/>
      <c r="J482" s="846"/>
      <c r="K482" s="846"/>
      <c r="L482" s="846"/>
      <c r="M482" s="846"/>
      <c r="N482" s="847"/>
      <c r="O482" s="846"/>
      <c r="P482" s="846"/>
      <c r="Q482" s="846"/>
      <c r="R482" s="846"/>
      <c r="S482" s="846"/>
      <c r="T482" s="846"/>
      <c r="U482" s="846"/>
    </row>
    <row r="483" ht="14.25" customHeight="1">
      <c r="A483" s="846"/>
      <c r="B483" s="846"/>
      <c r="C483" s="846"/>
      <c r="D483" s="847"/>
      <c r="E483" s="847"/>
      <c r="F483" s="846"/>
      <c r="G483" s="847"/>
      <c r="H483" s="868"/>
      <c r="I483" s="846"/>
      <c r="J483" s="846"/>
      <c r="K483" s="846"/>
      <c r="L483" s="846"/>
      <c r="M483" s="846"/>
      <c r="N483" s="847"/>
      <c r="O483" s="846"/>
      <c r="P483" s="846"/>
      <c r="Q483" s="846"/>
      <c r="R483" s="846"/>
      <c r="S483" s="846"/>
      <c r="T483" s="846"/>
      <c r="U483" s="846"/>
    </row>
    <row r="484" ht="14.25" customHeight="1">
      <c r="A484" s="846"/>
      <c r="B484" s="846"/>
      <c r="C484" s="846"/>
      <c r="D484" s="847"/>
      <c r="E484" s="847"/>
      <c r="F484" s="846"/>
      <c r="G484" s="847"/>
      <c r="H484" s="868"/>
      <c r="I484" s="846"/>
      <c r="J484" s="846"/>
      <c r="K484" s="846"/>
      <c r="L484" s="846"/>
      <c r="M484" s="846"/>
      <c r="N484" s="847"/>
      <c r="O484" s="846"/>
      <c r="P484" s="846"/>
      <c r="Q484" s="846"/>
      <c r="R484" s="846"/>
      <c r="S484" s="846"/>
      <c r="T484" s="846"/>
      <c r="U484" s="846"/>
    </row>
    <row r="485" ht="14.25" customHeight="1">
      <c r="A485" s="846"/>
      <c r="B485" s="846"/>
      <c r="C485" s="846"/>
      <c r="D485" s="847"/>
      <c r="E485" s="847"/>
      <c r="F485" s="846"/>
      <c r="G485" s="847"/>
      <c r="H485" s="868"/>
      <c r="I485" s="846"/>
      <c r="J485" s="846"/>
      <c r="K485" s="846"/>
      <c r="L485" s="846"/>
      <c r="M485" s="846"/>
      <c r="N485" s="847"/>
      <c r="O485" s="846"/>
      <c r="P485" s="846"/>
      <c r="Q485" s="846"/>
      <c r="R485" s="846"/>
      <c r="S485" s="846"/>
      <c r="T485" s="846"/>
      <c r="U485" s="846"/>
    </row>
    <row r="486" ht="14.25" customHeight="1">
      <c r="A486" s="846"/>
      <c r="B486" s="846"/>
      <c r="C486" s="846"/>
      <c r="D486" s="847"/>
      <c r="E486" s="847"/>
      <c r="F486" s="846"/>
      <c r="G486" s="847"/>
      <c r="H486" s="868"/>
      <c r="I486" s="846"/>
      <c r="J486" s="846"/>
      <c r="K486" s="846"/>
      <c r="L486" s="846"/>
      <c r="M486" s="846"/>
      <c r="N486" s="847"/>
      <c r="O486" s="846"/>
      <c r="P486" s="846"/>
      <c r="Q486" s="846"/>
      <c r="R486" s="846"/>
      <c r="S486" s="846"/>
      <c r="T486" s="846"/>
      <c r="U486" s="846"/>
    </row>
    <row r="487" ht="14.25" customHeight="1">
      <c r="A487" s="846"/>
      <c r="B487" s="846"/>
      <c r="C487" s="846"/>
      <c r="D487" s="847"/>
      <c r="E487" s="847"/>
      <c r="F487" s="846"/>
      <c r="G487" s="847"/>
      <c r="H487" s="868"/>
      <c r="I487" s="846"/>
      <c r="J487" s="846"/>
      <c r="K487" s="846"/>
      <c r="L487" s="846"/>
      <c r="M487" s="846"/>
      <c r="N487" s="847"/>
      <c r="O487" s="846"/>
      <c r="P487" s="846"/>
      <c r="Q487" s="846"/>
      <c r="R487" s="846"/>
      <c r="S487" s="846"/>
      <c r="T487" s="846"/>
      <c r="U487" s="846"/>
    </row>
    <row r="488" ht="14.25" customHeight="1">
      <c r="A488" s="846"/>
      <c r="B488" s="846"/>
      <c r="C488" s="846"/>
      <c r="D488" s="847"/>
      <c r="E488" s="847"/>
      <c r="F488" s="846"/>
      <c r="G488" s="847"/>
      <c r="H488" s="868"/>
      <c r="I488" s="846"/>
      <c r="J488" s="846"/>
      <c r="K488" s="846"/>
      <c r="L488" s="846"/>
      <c r="M488" s="846"/>
      <c r="N488" s="847"/>
      <c r="O488" s="846"/>
      <c r="P488" s="846"/>
      <c r="Q488" s="846"/>
      <c r="R488" s="846"/>
      <c r="S488" s="846"/>
      <c r="T488" s="846"/>
      <c r="U488" s="846"/>
    </row>
    <row r="489" ht="14.25" customHeight="1">
      <c r="A489" s="846"/>
      <c r="B489" s="846"/>
      <c r="C489" s="846"/>
      <c r="D489" s="847"/>
      <c r="E489" s="847"/>
      <c r="F489" s="846"/>
      <c r="G489" s="847"/>
      <c r="H489" s="868"/>
      <c r="I489" s="846"/>
      <c r="J489" s="846"/>
      <c r="K489" s="846"/>
      <c r="L489" s="846"/>
      <c r="M489" s="846"/>
      <c r="N489" s="847"/>
      <c r="O489" s="846"/>
      <c r="P489" s="846"/>
      <c r="Q489" s="846"/>
      <c r="R489" s="846"/>
      <c r="S489" s="846"/>
      <c r="T489" s="846"/>
      <c r="U489" s="846"/>
    </row>
    <row r="490" ht="14.25" customHeight="1">
      <c r="A490" s="846"/>
      <c r="B490" s="846"/>
      <c r="C490" s="846"/>
      <c r="D490" s="847"/>
      <c r="E490" s="847"/>
      <c r="F490" s="846"/>
      <c r="G490" s="847"/>
      <c r="H490" s="868"/>
      <c r="I490" s="846"/>
      <c r="J490" s="846"/>
      <c r="K490" s="846"/>
      <c r="L490" s="846"/>
      <c r="M490" s="846"/>
      <c r="N490" s="847"/>
      <c r="O490" s="846"/>
      <c r="P490" s="846"/>
      <c r="Q490" s="846"/>
      <c r="R490" s="846"/>
      <c r="S490" s="846"/>
      <c r="T490" s="846"/>
      <c r="U490" s="846"/>
    </row>
    <row r="491" ht="14.25" customHeight="1">
      <c r="A491" s="846"/>
      <c r="B491" s="846"/>
      <c r="C491" s="846"/>
      <c r="D491" s="847"/>
      <c r="E491" s="847"/>
      <c r="F491" s="846"/>
      <c r="G491" s="847"/>
      <c r="H491" s="868"/>
      <c r="I491" s="846"/>
      <c r="J491" s="846"/>
      <c r="K491" s="846"/>
      <c r="L491" s="846"/>
      <c r="M491" s="846"/>
      <c r="N491" s="847"/>
      <c r="O491" s="846"/>
      <c r="P491" s="846"/>
      <c r="Q491" s="846"/>
      <c r="R491" s="846"/>
      <c r="S491" s="846"/>
      <c r="T491" s="846"/>
      <c r="U491" s="846"/>
    </row>
    <row r="492" ht="14.25" customHeight="1">
      <c r="A492" s="846"/>
      <c r="B492" s="846"/>
      <c r="C492" s="846"/>
      <c r="D492" s="847"/>
      <c r="E492" s="847"/>
      <c r="F492" s="846"/>
      <c r="G492" s="847"/>
      <c r="H492" s="868"/>
      <c r="I492" s="846"/>
      <c r="J492" s="846"/>
      <c r="K492" s="846"/>
      <c r="L492" s="846"/>
      <c r="M492" s="846"/>
      <c r="N492" s="847"/>
      <c r="O492" s="846"/>
      <c r="P492" s="846"/>
      <c r="Q492" s="846"/>
      <c r="R492" s="846"/>
      <c r="S492" s="846"/>
      <c r="T492" s="846"/>
      <c r="U492" s="846"/>
    </row>
    <row r="493" ht="14.25" customHeight="1">
      <c r="A493" s="846"/>
      <c r="B493" s="846"/>
      <c r="C493" s="846"/>
      <c r="D493" s="847"/>
      <c r="E493" s="847"/>
      <c r="F493" s="846"/>
      <c r="G493" s="847"/>
      <c r="H493" s="868"/>
      <c r="I493" s="846"/>
      <c r="J493" s="846"/>
      <c r="K493" s="846"/>
      <c r="L493" s="846"/>
      <c r="M493" s="846"/>
      <c r="N493" s="847"/>
      <c r="O493" s="846"/>
      <c r="P493" s="846"/>
      <c r="Q493" s="846"/>
      <c r="R493" s="846"/>
      <c r="S493" s="846"/>
      <c r="T493" s="846"/>
      <c r="U493" s="846"/>
    </row>
    <row r="494" ht="14.25" customHeight="1">
      <c r="A494" s="846"/>
      <c r="B494" s="846"/>
      <c r="C494" s="846"/>
      <c r="D494" s="847"/>
      <c r="E494" s="847"/>
      <c r="F494" s="846"/>
      <c r="G494" s="847"/>
      <c r="H494" s="868"/>
      <c r="I494" s="846"/>
      <c r="J494" s="846"/>
      <c r="K494" s="846"/>
      <c r="L494" s="846"/>
      <c r="M494" s="846"/>
      <c r="N494" s="847"/>
      <c r="O494" s="846"/>
      <c r="P494" s="846"/>
      <c r="Q494" s="846"/>
      <c r="R494" s="846"/>
      <c r="S494" s="846"/>
      <c r="T494" s="846"/>
      <c r="U494" s="846"/>
    </row>
    <row r="495" ht="14.25" customHeight="1">
      <c r="A495" s="846"/>
      <c r="B495" s="846"/>
      <c r="C495" s="846"/>
      <c r="D495" s="847"/>
      <c r="E495" s="847"/>
      <c r="F495" s="846"/>
      <c r="G495" s="847"/>
      <c r="H495" s="868"/>
      <c r="I495" s="846"/>
      <c r="J495" s="846"/>
      <c r="K495" s="846"/>
      <c r="L495" s="846"/>
      <c r="M495" s="846"/>
      <c r="N495" s="847"/>
      <c r="O495" s="846"/>
      <c r="P495" s="846"/>
      <c r="Q495" s="846"/>
      <c r="R495" s="846"/>
      <c r="S495" s="846"/>
      <c r="T495" s="846"/>
      <c r="U495" s="846"/>
    </row>
    <row r="496" ht="14.25" customHeight="1">
      <c r="A496" s="846"/>
      <c r="B496" s="846"/>
      <c r="C496" s="846"/>
      <c r="D496" s="847"/>
      <c r="E496" s="847"/>
      <c r="F496" s="846"/>
      <c r="G496" s="847"/>
      <c r="H496" s="868"/>
      <c r="I496" s="846"/>
      <c r="J496" s="846"/>
      <c r="K496" s="846"/>
      <c r="L496" s="846"/>
      <c r="M496" s="846"/>
      <c r="N496" s="847"/>
      <c r="O496" s="846"/>
      <c r="P496" s="846"/>
      <c r="Q496" s="846"/>
      <c r="R496" s="846"/>
      <c r="S496" s="846"/>
      <c r="T496" s="846"/>
      <c r="U496" s="846"/>
    </row>
    <row r="497" ht="14.25" customHeight="1">
      <c r="A497" s="846"/>
      <c r="B497" s="846"/>
      <c r="C497" s="846"/>
      <c r="D497" s="847"/>
      <c r="E497" s="847"/>
      <c r="F497" s="846"/>
      <c r="G497" s="847"/>
      <c r="H497" s="868"/>
      <c r="I497" s="846"/>
      <c r="J497" s="846"/>
      <c r="K497" s="846"/>
      <c r="L497" s="846"/>
      <c r="M497" s="846"/>
      <c r="N497" s="847"/>
      <c r="O497" s="846"/>
      <c r="P497" s="846"/>
      <c r="Q497" s="846"/>
      <c r="R497" s="846"/>
      <c r="S497" s="846"/>
      <c r="T497" s="846"/>
      <c r="U497" s="846"/>
    </row>
    <row r="498" ht="14.25" customHeight="1">
      <c r="A498" s="846"/>
      <c r="B498" s="846"/>
      <c r="C498" s="846"/>
      <c r="D498" s="847"/>
      <c r="E498" s="847"/>
      <c r="F498" s="846"/>
      <c r="G498" s="847"/>
      <c r="H498" s="868"/>
      <c r="I498" s="846"/>
      <c r="J498" s="846"/>
      <c r="K498" s="846"/>
      <c r="L498" s="846"/>
      <c r="M498" s="846"/>
      <c r="N498" s="847"/>
      <c r="O498" s="846"/>
      <c r="P498" s="846"/>
      <c r="Q498" s="846"/>
      <c r="R498" s="846"/>
      <c r="S498" s="846"/>
      <c r="T498" s="846"/>
      <c r="U498" s="846"/>
    </row>
    <row r="499" ht="14.25" customHeight="1">
      <c r="A499" s="846"/>
      <c r="B499" s="846"/>
      <c r="C499" s="846"/>
      <c r="D499" s="847"/>
      <c r="E499" s="847"/>
      <c r="F499" s="846"/>
      <c r="G499" s="847"/>
      <c r="H499" s="868"/>
      <c r="I499" s="846"/>
      <c r="J499" s="846"/>
      <c r="K499" s="846"/>
      <c r="L499" s="846"/>
      <c r="M499" s="846"/>
      <c r="N499" s="847"/>
      <c r="O499" s="846"/>
      <c r="P499" s="846"/>
      <c r="Q499" s="846"/>
      <c r="R499" s="846"/>
      <c r="S499" s="846"/>
      <c r="T499" s="846"/>
      <c r="U499" s="846"/>
    </row>
    <row r="500" ht="14.25" customHeight="1">
      <c r="A500" s="846"/>
      <c r="B500" s="846"/>
      <c r="C500" s="846"/>
      <c r="D500" s="847"/>
      <c r="E500" s="847"/>
      <c r="F500" s="846"/>
      <c r="G500" s="847"/>
      <c r="H500" s="868"/>
      <c r="I500" s="846"/>
      <c r="J500" s="846"/>
      <c r="K500" s="846"/>
      <c r="L500" s="846"/>
      <c r="M500" s="846"/>
      <c r="N500" s="847"/>
      <c r="O500" s="846"/>
      <c r="P500" s="846"/>
      <c r="Q500" s="846"/>
      <c r="R500" s="846"/>
      <c r="S500" s="846"/>
      <c r="T500" s="846"/>
      <c r="U500" s="846"/>
    </row>
    <row r="501" ht="14.25" customHeight="1">
      <c r="A501" s="846"/>
      <c r="B501" s="846"/>
      <c r="C501" s="846"/>
      <c r="D501" s="847"/>
      <c r="E501" s="847"/>
      <c r="F501" s="846"/>
      <c r="G501" s="847"/>
      <c r="H501" s="868"/>
      <c r="I501" s="846"/>
      <c r="J501" s="846"/>
      <c r="K501" s="846"/>
      <c r="L501" s="846"/>
      <c r="M501" s="846"/>
      <c r="N501" s="847"/>
      <c r="O501" s="846"/>
      <c r="P501" s="846"/>
      <c r="Q501" s="846"/>
      <c r="R501" s="846"/>
      <c r="S501" s="846"/>
      <c r="T501" s="846"/>
      <c r="U501" s="846"/>
    </row>
    <row r="502" ht="14.25" customHeight="1">
      <c r="A502" s="846"/>
      <c r="B502" s="846"/>
      <c r="C502" s="846"/>
      <c r="D502" s="847"/>
      <c r="E502" s="847"/>
      <c r="F502" s="846"/>
      <c r="G502" s="847"/>
      <c r="H502" s="868"/>
      <c r="I502" s="846"/>
      <c r="J502" s="846"/>
      <c r="K502" s="846"/>
      <c r="L502" s="846"/>
      <c r="M502" s="846"/>
      <c r="N502" s="847"/>
      <c r="O502" s="846"/>
      <c r="P502" s="846"/>
      <c r="Q502" s="846"/>
      <c r="R502" s="846"/>
      <c r="S502" s="846"/>
      <c r="T502" s="846"/>
      <c r="U502" s="846"/>
    </row>
    <row r="503" ht="14.25" customHeight="1">
      <c r="A503" s="846"/>
      <c r="B503" s="846"/>
      <c r="C503" s="846"/>
      <c r="D503" s="847"/>
      <c r="E503" s="847"/>
      <c r="F503" s="846"/>
      <c r="G503" s="847"/>
      <c r="H503" s="868"/>
      <c r="I503" s="846"/>
      <c r="J503" s="846"/>
      <c r="K503" s="846"/>
      <c r="L503" s="846"/>
      <c r="M503" s="846"/>
      <c r="N503" s="847"/>
      <c r="O503" s="846"/>
      <c r="P503" s="846"/>
      <c r="Q503" s="846"/>
      <c r="R503" s="846"/>
      <c r="S503" s="846"/>
      <c r="T503" s="846"/>
      <c r="U503" s="846"/>
    </row>
    <row r="504" ht="14.25" customHeight="1">
      <c r="A504" s="846"/>
      <c r="B504" s="846"/>
      <c r="C504" s="846"/>
      <c r="D504" s="847"/>
      <c r="E504" s="847"/>
      <c r="F504" s="846"/>
      <c r="G504" s="847"/>
      <c r="H504" s="868"/>
      <c r="I504" s="846"/>
      <c r="J504" s="846"/>
      <c r="K504" s="846"/>
      <c r="L504" s="846"/>
      <c r="M504" s="846"/>
      <c r="N504" s="847"/>
      <c r="O504" s="846"/>
      <c r="P504" s="846"/>
      <c r="Q504" s="846"/>
      <c r="R504" s="846"/>
      <c r="S504" s="846"/>
      <c r="T504" s="846"/>
      <c r="U504" s="846"/>
    </row>
    <row r="505" ht="14.25" customHeight="1">
      <c r="A505" s="846"/>
      <c r="B505" s="846"/>
      <c r="C505" s="846"/>
      <c r="D505" s="847"/>
      <c r="E505" s="847"/>
      <c r="F505" s="846"/>
      <c r="G505" s="847"/>
      <c r="H505" s="868"/>
      <c r="I505" s="846"/>
      <c r="J505" s="846"/>
      <c r="K505" s="846"/>
      <c r="L505" s="846"/>
      <c r="M505" s="846"/>
      <c r="N505" s="847"/>
      <c r="O505" s="846"/>
      <c r="P505" s="846"/>
      <c r="Q505" s="846"/>
      <c r="R505" s="846"/>
      <c r="S505" s="846"/>
      <c r="T505" s="846"/>
      <c r="U505" s="846"/>
    </row>
    <row r="506" ht="14.25" customHeight="1">
      <c r="A506" s="846"/>
      <c r="B506" s="846"/>
      <c r="C506" s="846"/>
      <c r="D506" s="847"/>
      <c r="E506" s="847"/>
      <c r="F506" s="846"/>
      <c r="G506" s="847"/>
      <c r="H506" s="868"/>
      <c r="I506" s="846"/>
      <c r="J506" s="846"/>
      <c r="K506" s="846"/>
      <c r="L506" s="846"/>
      <c r="M506" s="846"/>
      <c r="N506" s="847"/>
      <c r="O506" s="846"/>
      <c r="P506" s="846"/>
      <c r="Q506" s="846"/>
      <c r="R506" s="846"/>
      <c r="S506" s="846"/>
      <c r="T506" s="846"/>
      <c r="U506" s="846"/>
    </row>
    <row r="507" ht="14.25" customHeight="1">
      <c r="A507" s="846"/>
      <c r="B507" s="846"/>
      <c r="C507" s="846"/>
      <c r="D507" s="847"/>
      <c r="E507" s="847"/>
      <c r="F507" s="846"/>
      <c r="G507" s="847"/>
      <c r="H507" s="868"/>
      <c r="I507" s="846"/>
      <c r="J507" s="846"/>
      <c r="K507" s="846"/>
      <c r="L507" s="846"/>
      <c r="M507" s="846"/>
      <c r="N507" s="847"/>
      <c r="O507" s="846"/>
      <c r="P507" s="846"/>
      <c r="Q507" s="846"/>
      <c r="R507" s="846"/>
      <c r="S507" s="846"/>
      <c r="T507" s="846"/>
      <c r="U507" s="846"/>
    </row>
    <row r="508" ht="14.25" customHeight="1">
      <c r="A508" s="846"/>
      <c r="B508" s="846"/>
      <c r="C508" s="846"/>
      <c r="D508" s="847"/>
      <c r="E508" s="847"/>
      <c r="F508" s="846"/>
      <c r="G508" s="847"/>
      <c r="H508" s="868"/>
      <c r="I508" s="846"/>
      <c r="J508" s="846"/>
      <c r="K508" s="846"/>
      <c r="L508" s="846"/>
      <c r="M508" s="846"/>
      <c r="N508" s="847"/>
      <c r="O508" s="846"/>
      <c r="P508" s="846"/>
      <c r="Q508" s="846"/>
      <c r="R508" s="846"/>
      <c r="S508" s="846"/>
      <c r="T508" s="846"/>
      <c r="U508" s="846"/>
    </row>
    <row r="509" ht="14.25" customHeight="1">
      <c r="A509" s="846"/>
      <c r="B509" s="846"/>
      <c r="C509" s="846"/>
      <c r="D509" s="847"/>
      <c r="E509" s="847"/>
      <c r="F509" s="846"/>
      <c r="G509" s="847"/>
      <c r="H509" s="868"/>
      <c r="I509" s="846"/>
      <c r="J509" s="846"/>
      <c r="K509" s="846"/>
      <c r="L509" s="846"/>
      <c r="M509" s="846"/>
      <c r="N509" s="847"/>
      <c r="O509" s="846"/>
      <c r="P509" s="846"/>
      <c r="Q509" s="846"/>
      <c r="R509" s="846"/>
      <c r="S509" s="846"/>
      <c r="T509" s="846"/>
      <c r="U509" s="846"/>
    </row>
    <row r="510" ht="14.25" customHeight="1">
      <c r="A510" s="846"/>
      <c r="B510" s="846"/>
      <c r="C510" s="846"/>
      <c r="D510" s="847"/>
      <c r="E510" s="847"/>
      <c r="F510" s="846"/>
      <c r="G510" s="847"/>
      <c r="H510" s="868"/>
      <c r="I510" s="846"/>
      <c r="J510" s="846"/>
      <c r="K510" s="846"/>
      <c r="L510" s="846"/>
      <c r="M510" s="846"/>
      <c r="N510" s="847"/>
      <c r="O510" s="846"/>
      <c r="P510" s="846"/>
      <c r="Q510" s="846"/>
      <c r="R510" s="846"/>
      <c r="S510" s="846"/>
      <c r="T510" s="846"/>
      <c r="U510" s="846"/>
    </row>
    <row r="511" ht="14.25" customHeight="1">
      <c r="A511" s="846"/>
      <c r="B511" s="846"/>
      <c r="C511" s="846"/>
      <c r="D511" s="847"/>
      <c r="E511" s="847"/>
      <c r="F511" s="846"/>
      <c r="G511" s="847"/>
      <c r="H511" s="868"/>
      <c r="I511" s="846"/>
      <c r="J511" s="846"/>
      <c r="K511" s="846"/>
      <c r="L511" s="846"/>
      <c r="M511" s="846"/>
      <c r="N511" s="847"/>
      <c r="O511" s="846"/>
      <c r="P511" s="846"/>
      <c r="Q511" s="846"/>
      <c r="R511" s="846"/>
      <c r="S511" s="846"/>
      <c r="T511" s="846"/>
      <c r="U511" s="846"/>
    </row>
    <row r="512" ht="14.25" customHeight="1">
      <c r="A512" s="846"/>
      <c r="B512" s="846"/>
      <c r="C512" s="846"/>
      <c r="D512" s="847"/>
      <c r="E512" s="847"/>
      <c r="F512" s="846"/>
      <c r="G512" s="847"/>
      <c r="H512" s="868"/>
      <c r="I512" s="846"/>
      <c r="J512" s="846"/>
      <c r="K512" s="846"/>
      <c r="L512" s="846"/>
      <c r="M512" s="846"/>
      <c r="N512" s="847"/>
      <c r="O512" s="846"/>
      <c r="P512" s="846"/>
      <c r="Q512" s="846"/>
      <c r="R512" s="846"/>
      <c r="S512" s="846"/>
      <c r="T512" s="846"/>
      <c r="U512" s="846"/>
    </row>
    <row r="513" ht="14.25" customHeight="1">
      <c r="A513" s="846"/>
      <c r="B513" s="846"/>
      <c r="C513" s="846"/>
      <c r="D513" s="847"/>
      <c r="E513" s="847"/>
      <c r="F513" s="846"/>
      <c r="G513" s="847"/>
      <c r="H513" s="868"/>
      <c r="I513" s="846"/>
      <c r="J513" s="846"/>
      <c r="K513" s="846"/>
      <c r="L513" s="846"/>
      <c r="M513" s="846"/>
      <c r="N513" s="847"/>
      <c r="O513" s="846"/>
      <c r="P513" s="846"/>
      <c r="Q513" s="846"/>
      <c r="R513" s="846"/>
      <c r="S513" s="846"/>
      <c r="T513" s="846"/>
      <c r="U513" s="846"/>
    </row>
    <row r="514" ht="14.25" customHeight="1">
      <c r="A514" s="846"/>
      <c r="B514" s="846"/>
      <c r="C514" s="846"/>
      <c r="D514" s="847"/>
      <c r="E514" s="847"/>
      <c r="F514" s="846"/>
      <c r="G514" s="847"/>
      <c r="H514" s="868"/>
      <c r="I514" s="846"/>
      <c r="J514" s="846"/>
      <c r="K514" s="846"/>
      <c r="L514" s="846"/>
      <c r="M514" s="846"/>
      <c r="N514" s="847"/>
      <c r="O514" s="846"/>
      <c r="P514" s="846"/>
      <c r="Q514" s="846"/>
      <c r="R514" s="846"/>
      <c r="S514" s="846"/>
      <c r="T514" s="846"/>
      <c r="U514" s="846"/>
    </row>
    <row r="515" ht="14.25" customHeight="1">
      <c r="A515" s="846"/>
      <c r="B515" s="846"/>
      <c r="C515" s="846"/>
      <c r="D515" s="847"/>
      <c r="E515" s="847"/>
      <c r="F515" s="846"/>
      <c r="G515" s="847"/>
      <c r="H515" s="868"/>
      <c r="I515" s="846"/>
      <c r="J515" s="846"/>
      <c r="K515" s="846"/>
      <c r="L515" s="846"/>
      <c r="M515" s="846"/>
      <c r="N515" s="847"/>
      <c r="O515" s="846"/>
      <c r="P515" s="846"/>
      <c r="Q515" s="846"/>
      <c r="R515" s="846"/>
      <c r="S515" s="846"/>
      <c r="T515" s="846"/>
      <c r="U515" s="846"/>
    </row>
    <row r="516" ht="14.25" customHeight="1">
      <c r="A516" s="846"/>
      <c r="B516" s="846"/>
      <c r="C516" s="846"/>
      <c r="D516" s="847"/>
      <c r="E516" s="847"/>
      <c r="F516" s="846"/>
      <c r="G516" s="847"/>
      <c r="H516" s="868"/>
      <c r="I516" s="846"/>
      <c r="J516" s="846"/>
      <c r="K516" s="846"/>
      <c r="L516" s="846"/>
      <c r="M516" s="846"/>
      <c r="N516" s="847"/>
      <c r="O516" s="846"/>
      <c r="P516" s="846"/>
      <c r="Q516" s="846"/>
      <c r="R516" s="846"/>
      <c r="S516" s="846"/>
      <c r="T516" s="846"/>
      <c r="U516" s="846"/>
    </row>
    <row r="517" ht="14.25" customHeight="1">
      <c r="A517" s="846"/>
      <c r="B517" s="846"/>
      <c r="C517" s="846"/>
      <c r="D517" s="847"/>
      <c r="E517" s="847"/>
      <c r="F517" s="846"/>
      <c r="G517" s="847"/>
      <c r="H517" s="868"/>
      <c r="I517" s="846"/>
      <c r="J517" s="846"/>
      <c r="K517" s="846"/>
      <c r="L517" s="846"/>
      <c r="M517" s="846"/>
      <c r="N517" s="847"/>
      <c r="O517" s="846"/>
      <c r="P517" s="846"/>
      <c r="Q517" s="846"/>
      <c r="R517" s="846"/>
      <c r="S517" s="846"/>
      <c r="T517" s="846"/>
      <c r="U517" s="846"/>
    </row>
    <row r="518" ht="14.25" customHeight="1">
      <c r="A518" s="846"/>
      <c r="B518" s="846"/>
      <c r="C518" s="846"/>
      <c r="D518" s="847"/>
      <c r="E518" s="847"/>
      <c r="F518" s="846"/>
      <c r="G518" s="847"/>
      <c r="H518" s="868"/>
      <c r="I518" s="846"/>
      <c r="J518" s="846"/>
      <c r="K518" s="846"/>
      <c r="L518" s="846"/>
      <c r="M518" s="846"/>
      <c r="N518" s="847"/>
      <c r="O518" s="846"/>
      <c r="P518" s="846"/>
      <c r="Q518" s="846"/>
      <c r="R518" s="846"/>
      <c r="S518" s="846"/>
      <c r="T518" s="846"/>
      <c r="U518" s="846"/>
    </row>
    <row r="519" ht="14.25" customHeight="1">
      <c r="A519" s="846"/>
      <c r="B519" s="846"/>
      <c r="C519" s="846"/>
      <c r="D519" s="847"/>
      <c r="E519" s="847"/>
      <c r="F519" s="846"/>
      <c r="G519" s="847"/>
      <c r="H519" s="868"/>
      <c r="I519" s="846"/>
      <c r="J519" s="846"/>
      <c r="K519" s="846"/>
      <c r="L519" s="846"/>
      <c r="M519" s="846"/>
      <c r="N519" s="847"/>
      <c r="O519" s="846"/>
      <c r="P519" s="846"/>
      <c r="Q519" s="846"/>
      <c r="R519" s="846"/>
      <c r="S519" s="846"/>
      <c r="T519" s="846"/>
      <c r="U519" s="846"/>
    </row>
    <row r="520" ht="14.25" customHeight="1">
      <c r="A520" s="846"/>
      <c r="B520" s="846"/>
      <c r="C520" s="846"/>
      <c r="D520" s="847"/>
      <c r="E520" s="847"/>
      <c r="F520" s="846"/>
      <c r="G520" s="847"/>
      <c r="H520" s="868"/>
      <c r="I520" s="846"/>
      <c r="J520" s="846"/>
      <c r="K520" s="846"/>
      <c r="L520" s="846"/>
      <c r="M520" s="846"/>
      <c r="N520" s="847"/>
      <c r="O520" s="846"/>
      <c r="P520" s="846"/>
      <c r="Q520" s="846"/>
      <c r="R520" s="846"/>
      <c r="S520" s="846"/>
      <c r="T520" s="846"/>
      <c r="U520" s="846"/>
    </row>
    <row r="521" ht="14.25" customHeight="1">
      <c r="A521" s="846"/>
      <c r="B521" s="846"/>
      <c r="C521" s="846"/>
      <c r="D521" s="847"/>
      <c r="E521" s="847"/>
      <c r="F521" s="846"/>
      <c r="G521" s="847"/>
      <c r="H521" s="868"/>
      <c r="I521" s="846"/>
      <c r="J521" s="846"/>
      <c r="K521" s="846"/>
      <c r="L521" s="846"/>
      <c r="M521" s="846"/>
      <c r="N521" s="847"/>
      <c r="O521" s="846"/>
      <c r="P521" s="846"/>
      <c r="Q521" s="846"/>
      <c r="R521" s="846"/>
      <c r="S521" s="846"/>
      <c r="T521" s="846"/>
      <c r="U521" s="846"/>
    </row>
    <row r="522" ht="14.25" customHeight="1">
      <c r="A522" s="846"/>
      <c r="B522" s="846"/>
      <c r="C522" s="846"/>
      <c r="D522" s="847"/>
      <c r="E522" s="847"/>
      <c r="F522" s="846"/>
      <c r="G522" s="847"/>
      <c r="H522" s="868"/>
      <c r="I522" s="846"/>
      <c r="J522" s="846"/>
      <c r="K522" s="846"/>
      <c r="L522" s="846"/>
      <c r="M522" s="846"/>
      <c r="N522" s="847"/>
      <c r="O522" s="846"/>
      <c r="P522" s="846"/>
      <c r="Q522" s="846"/>
      <c r="R522" s="846"/>
      <c r="S522" s="846"/>
      <c r="T522" s="846"/>
      <c r="U522" s="846"/>
    </row>
    <row r="523" ht="14.25" customHeight="1">
      <c r="A523" s="846"/>
      <c r="B523" s="846"/>
      <c r="C523" s="846"/>
      <c r="D523" s="847"/>
      <c r="E523" s="847"/>
      <c r="F523" s="846"/>
      <c r="G523" s="847"/>
      <c r="H523" s="868"/>
      <c r="I523" s="846"/>
      <c r="J523" s="846"/>
      <c r="K523" s="846"/>
      <c r="L523" s="846"/>
      <c r="M523" s="846"/>
      <c r="N523" s="847"/>
      <c r="O523" s="846"/>
      <c r="P523" s="846"/>
      <c r="Q523" s="846"/>
      <c r="R523" s="846"/>
      <c r="S523" s="846"/>
      <c r="T523" s="846"/>
      <c r="U523" s="846"/>
    </row>
    <row r="524" ht="14.25" customHeight="1">
      <c r="A524" s="846"/>
      <c r="B524" s="846"/>
      <c r="C524" s="846"/>
      <c r="D524" s="847"/>
      <c r="E524" s="847"/>
      <c r="F524" s="846"/>
      <c r="G524" s="847"/>
      <c r="H524" s="868"/>
      <c r="I524" s="846"/>
      <c r="J524" s="846"/>
      <c r="K524" s="846"/>
      <c r="L524" s="846"/>
      <c r="M524" s="846"/>
      <c r="N524" s="847"/>
      <c r="O524" s="846"/>
      <c r="P524" s="846"/>
      <c r="Q524" s="846"/>
      <c r="R524" s="846"/>
      <c r="S524" s="846"/>
      <c r="T524" s="846"/>
      <c r="U524" s="846"/>
    </row>
    <row r="525" ht="14.25" customHeight="1">
      <c r="A525" s="846"/>
      <c r="B525" s="846"/>
      <c r="C525" s="846"/>
      <c r="D525" s="847"/>
      <c r="E525" s="847"/>
      <c r="F525" s="846"/>
      <c r="G525" s="847"/>
      <c r="H525" s="868"/>
      <c r="I525" s="846"/>
      <c r="J525" s="846"/>
      <c r="K525" s="846"/>
      <c r="L525" s="846"/>
      <c r="M525" s="846"/>
      <c r="N525" s="847"/>
      <c r="O525" s="846"/>
      <c r="P525" s="846"/>
      <c r="Q525" s="846"/>
      <c r="R525" s="846"/>
      <c r="S525" s="846"/>
      <c r="T525" s="846"/>
      <c r="U525" s="846"/>
    </row>
    <row r="526" ht="14.25" customHeight="1">
      <c r="A526" s="846"/>
      <c r="B526" s="846"/>
      <c r="C526" s="846"/>
      <c r="D526" s="847"/>
      <c r="E526" s="847"/>
      <c r="F526" s="846"/>
      <c r="G526" s="847"/>
      <c r="H526" s="868"/>
      <c r="I526" s="846"/>
      <c r="J526" s="846"/>
      <c r="K526" s="846"/>
      <c r="L526" s="846"/>
      <c r="M526" s="846"/>
      <c r="N526" s="847"/>
      <c r="O526" s="846"/>
      <c r="P526" s="846"/>
      <c r="Q526" s="846"/>
      <c r="R526" s="846"/>
      <c r="S526" s="846"/>
      <c r="T526" s="846"/>
      <c r="U526" s="846"/>
    </row>
    <row r="527" ht="14.25" customHeight="1">
      <c r="A527" s="846"/>
      <c r="B527" s="846"/>
      <c r="C527" s="846"/>
      <c r="D527" s="847"/>
      <c r="E527" s="847"/>
      <c r="F527" s="846"/>
      <c r="G527" s="847"/>
      <c r="H527" s="868"/>
      <c r="I527" s="846"/>
      <c r="J527" s="846"/>
      <c r="K527" s="846"/>
      <c r="L527" s="846"/>
      <c r="M527" s="846"/>
      <c r="N527" s="847"/>
      <c r="O527" s="846"/>
      <c r="P527" s="846"/>
      <c r="Q527" s="846"/>
      <c r="R527" s="846"/>
      <c r="S527" s="846"/>
      <c r="T527" s="846"/>
      <c r="U527" s="846"/>
    </row>
    <row r="528" ht="14.25" customHeight="1">
      <c r="A528" s="846"/>
      <c r="B528" s="846"/>
      <c r="C528" s="846"/>
      <c r="D528" s="847"/>
      <c r="E528" s="847"/>
      <c r="F528" s="846"/>
      <c r="G528" s="847"/>
      <c r="H528" s="868"/>
      <c r="I528" s="846"/>
      <c r="J528" s="846"/>
      <c r="K528" s="846"/>
      <c r="L528" s="846"/>
      <c r="M528" s="846"/>
      <c r="N528" s="847"/>
      <c r="O528" s="846"/>
      <c r="P528" s="846"/>
      <c r="Q528" s="846"/>
      <c r="R528" s="846"/>
      <c r="S528" s="846"/>
      <c r="T528" s="846"/>
      <c r="U528" s="846"/>
    </row>
    <row r="529" ht="14.25" customHeight="1">
      <c r="A529" s="846"/>
      <c r="B529" s="846"/>
      <c r="C529" s="846"/>
      <c r="D529" s="847"/>
      <c r="E529" s="847"/>
      <c r="F529" s="846"/>
      <c r="G529" s="847"/>
      <c r="H529" s="868"/>
      <c r="I529" s="846"/>
      <c r="J529" s="846"/>
      <c r="K529" s="846"/>
      <c r="L529" s="846"/>
      <c r="M529" s="846"/>
      <c r="N529" s="847"/>
      <c r="O529" s="846"/>
      <c r="P529" s="846"/>
      <c r="Q529" s="846"/>
      <c r="R529" s="846"/>
      <c r="S529" s="846"/>
      <c r="T529" s="846"/>
      <c r="U529" s="846"/>
    </row>
    <row r="530" ht="14.25" customHeight="1">
      <c r="A530" s="846"/>
      <c r="B530" s="846"/>
      <c r="C530" s="846"/>
      <c r="D530" s="847"/>
      <c r="E530" s="847"/>
      <c r="F530" s="846"/>
      <c r="G530" s="847"/>
      <c r="H530" s="868"/>
      <c r="I530" s="846"/>
      <c r="J530" s="846"/>
      <c r="K530" s="846"/>
      <c r="L530" s="846"/>
      <c r="M530" s="846"/>
      <c r="N530" s="847"/>
      <c r="O530" s="846"/>
      <c r="P530" s="846"/>
      <c r="Q530" s="846"/>
      <c r="R530" s="846"/>
      <c r="S530" s="846"/>
      <c r="T530" s="846"/>
      <c r="U530" s="846"/>
    </row>
    <row r="531" ht="14.25" customHeight="1">
      <c r="A531" s="846"/>
      <c r="B531" s="846"/>
      <c r="C531" s="846"/>
      <c r="D531" s="847"/>
      <c r="E531" s="847"/>
      <c r="F531" s="846"/>
      <c r="G531" s="847"/>
      <c r="H531" s="868"/>
      <c r="I531" s="846"/>
      <c r="J531" s="846"/>
      <c r="K531" s="846"/>
      <c r="L531" s="846"/>
      <c r="M531" s="846"/>
      <c r="N531" s="847"/>
      <c r="O531" s="846"/>
      <c r="P531" s="846"/>
      <c r="Q531" s="846"/>
      <c r="R531" s="846"/>
      <c r="S531" s="846"/>
      <c r="T531" s="846"/>
      <c r="U531" s="846"/>
    </row>
    <row r="532" ht="14.25" customHeight="1">
      <c r="A532" s="846"/>
      <c r="B532" s="846"/>
      <c r="C532" s="846"/>
      <c r="D532" s="847"/>
      <c r="E532" s="847"/>
      <c r="F532" s="846"/>
      <c r="G532" s="847"/>
      <c r="H532" s="868"/>
      <c r="I532" s="846"/>
      <c r="J532" s="846"/>
      <c r="K532" s="846"/>
      <c r="L532" s="846"/>
      <c r="M532" s="846"/>
      <c r="N532" s="847"/>
      <c r="O532" s="846"/>
      <c r="P532" s="846"/>
      <c r="Q532" s="846"/>
      <c r="R532" s="846"/>
      <c r="S532" s="846"/>
      <c r="T532" s="846"/>
      <c r="U532" s="846"/>
    </row>
    <row r="533" ht="14.25" customHeight="1">
      <c r="A533" s="846"/>
      <c r="B533" s="846"/>
      <c r="C533" s="846"/>
      <c r="D533" s="847"/>
      <c r="E533" s="847"/>
      <c r="F533" s="846"/>
      <c r="G533" s="847"/>
      <c r="H533" s="868"/>
      <c r="I533" s="846"/>
      <c r="J533" s="846"/>
      <c r="K533" s="846"/>
      <c r="L533" s="846"/>
      <c r="M533" s="846"/>
      <c r="N533" s="847"/>
      <c r="O533" s="846"/>
      <c r="P533" s="846"/>
      <c r="Q533" s="846"/>
      <c r="R533" s="846"/>
      <c r="S533" s="846"/>
      <c r="T533" s="846"/>
      <c r="U533" s="846"/>
    </row>
    <row r="534" ht="14.25" customHeight="1">
      <c r="A534" s="846"/>
      <c r="B534" s="846"/>
      <c r="C534" s="846"/>
      <c r="D534" s="847"/>
      <c r="E534" s="847"/>
      <c r="F534" s="846"/>
      <c r="G534" s="847"/>
      <c r="H534" s="868"/>
      <c r="I534" s="846"/>
      <c r="J534" s="846"/>
      <c r="K534" s="846"/>
      <c r="L534" s="846"/>
      <c r="M534" s="846"/>
      <c r="N534" s="847"/>
      <c r="O534" s="846"/>
      <c r="P534" s="846"/>
      <c r="Q534" s="846"/>
      <c r="R534" s="846"/>
      <c r="S534" s="846"/>
      <c r="T534" s="846"/>
      <c r="U534" s="846"/>
    </row>
    <row r="535" ht="14.25" customHeight="1">
      <c r="A535" s="846"/>
      <c r="B535" s="846"/>
      <c r="C535" s="846"/>
      <c r="D535" s="847"/>
      <c r="E535" s="847"/>
      <c r="F535" s="846"/>
      <c r="G535" s="847"/>
      <c r="H535" s="868"/>
      <c r="I535" s="846"/>
      <c r="J535" s="846"/>
      <c r="K535" s="846"/>
      <c r="L535" s="846"/>
      <c r="M535" s="846"/>
      <c r="N535" s="847"/>
      <c r="O535" s="846"/>
      <c r="P535" s="846"/>
      <c r="Q535" s="846"/>
      <c r="R535" s="846"/>
      <c r="S535" s="846"/>
      <c r="T535" s="846"/>
      <c r="U535" s="846"/>
    </row>
    <row r="536" ht="14.25" customHeight="1">
      <c r="A536" s="846"/>
      <c r="B536" s="846"/>
      <c r="C536" s="846"/>
      <c r="D536" s="847"/>
      <c r="E536" s="847"/>
      <c r="F536" s="846"/>
      <c r="G536" s="847"/>
      <c r="H536" s="868"/>
      <c r="I536" s="846"/>
      <c r="J536" s="846"/>
      <c r="K536" s="846"/>
      <c r="L536" s="846"/>
      <c r="M536" s="846"/>
      <c r="N536" s="847"/>
      <c r="O536" s="846"/>
      <c r="P536" s="846"/>
      <c r="Q536" s="846"/>
      <c r="R536" s="846"/>
      <c r="S536" s="846"/>
      <c r="T536" s="846"/>
      <c r="U536" s="846"/>
    </row>
    <row r="537" ht="14.25" customHeight="1">
      <c r="A537" s="846"/>
      <c r="B537" s="846"/>
      <c r="C537" s="846"/>
      <c r="D537" s="847"/>
      <c r="E537" s="847"/>
      <c r="F537" s="846"/>
      <c r="G537" s="847"/>
      <c r="H537" s="868"/>
      <c r="I537" s="846"/>
      <c r="J537" s="846"/>
      <c r="K537" s="846"/>
      <c r="L537" s="846"/>
      <c r="M537" s="846"/>
      <c r="N537" s="847"/>
      <c r="O537" s="846"/>
      <c r="P537" s="846"/>
      <c r="Q537" s="846"/>
      <c r="R537" s="846"/>
      <c r="S537" s="846"/>
      <c r="T537" s="846"/>
      <c r="U537" s="846"/>
    </row>
    <row r="538" ht="14.25" customHeight="1">
      <c r="A538" s="846"/>
      <c r="B538" s="846"/>
      <c r="C538" s="846"/>
      <c r="D538" s="847"/>
      <c r="E538" s="847"/>
      <c r="F538" s="846"/>
      <c r="G538" s="847"/>
      <c r="H538" s="868"/>
      <c r="I538" s="846"/>
      <c r="J538" s="846"/>
      <c r="K538" s="846"/>
      <c r="L538" s="846"/>
      <c r="M538" s="846"/>
      <c r="N538" s="847"/>
      <c r="O538" s="846"/>
      <c r="P538" s="846"/>
      <c r="Q538" s="846"/>
      <c r="R538" s="846"/>
      <c r="S538" s="846"/>
      <c r="T538" s="846"/>
      <c r="U538" s="846"/>
    </row>
    <row r="539" ht="14.25" customHeight="1">
      <c r="A539" s="846"/>
      <c r="B539" s="846"/>
      <c r="C539" s="846"/>
      <c r="D539" s="847"/>
      <c r="E539" s="847"/>
      <c r="F539" s="846"/>
      <c r="G539" s="847"/>
      <c r="H539" s="868"/>
      <c r="I539" s="846"/>
      <c r="J539" s="846"/>
      <c r="K539" s="846"/>
      <c r="L539" s="846"/>
      <c r="M539" s="846"/>
      <c r="N539" s="847"/>
      <c r="O539" s="846"/>
      <c r="P539" s="846"/>
      <c r="Q539" s="846"/>
      <c r="R539" s="846"/>
      <c r="S539" s="846"/>
      <c r="T539" s="846"/>
      <c r="U539" s="846"/>
    </row>
    <row r="540" ht="14.25" customHeight="1">
      <c r="A540" s="846"/>
      <c r="B540" s="846"/>
      <c r="C540" s="846"/>
      <c r="D540" s="847"/>
      <c r="E540" s="847"/>
      <c r="F540" s="846"/>
      <c r="G540" s="847"/>
      <c r="H540" s="868"/>
      <c r="I540" s="846"/>
      <c r="J540" s="846"/>
      <c r="K540" s="846"/>
      <c r="L540" s="846"/>
      <c r="M540" s="846"/>
      <c r="N540" s="847"/>
      <c r="O540" s="846"/>
      <c r="P540" s="846"/>
      <c r="Q540" s="846"/>
      <c r="R540" s="846"/>
      <c r="S540" s="846"/>
      <c r="T540" s="846"/>
      <c r="U540" s="846"/>
    </row>
    <row r="541" ht="14.25" customHeight="1">
      <c r="A541" s="846"/>
      <c r="B541" s="846"/>
      <c r="C541" s="846"/>
      <c r="D541" s="847"/>
      <c r="E541" s="847"/>
      <c r="F541" s="846"/>
      <c r="G541" s="847"/>
      <c r="H541" s="868"/>
      <c r="I541" s="846"/>
      <c r="J541" s="846"/>
      <c r="K541" s="846"/>
      <c r="L541" s="846"/>
      <c r="M541" s="846"/>
      <c r="N541" s="847"/>
      <c r="O541" s="846"/>
      <c r="P541" s="846"/>
      <c r="Q541" s="846"/>
      <c r="R541" s="846"/>
      <c r="S541" s="846"/>
      <c r="T541" s="846"/>
      <c r="U541" s="846"/>
    </row>
    <row r="542" ht="14.25" customHeight="1">
      <c r="A542" s="846"/>
      <c r="B542" s="846"/>
      <c r="C542" s="846"/>
      <c r="D542" s="847"/>
      <c r="E542" s="847"/>
      <c r="F542" s="846"/>
      <c r="G542" s="847"/>
      <c r="H542" s="868"/>
      <c r="I542" s="846"/>
      <c r="J542" s="846"/>
      <c r="K542" s="846"/>
      <c r="L542" s="846"/>
      <c r="M542" s="846"/>
      <c r="N542" s="847"/>
      <c r="O542" s="846"/>
      <c r="P542" s="846"/>
      <c r="Q542" s="846"/>
      <c r="R542" s="846"/>
      <c r="S542" s="846"/>
      <c r="T542" s="846"/>
      <c r="U542" s="846"/>
    </row>
    <row r="543" ht="14.25" customHeight="1">
      <c r="A543" s="846"/>
      <c r="B543" s="846"/>
      <c r="C543" s="846"/>
      <c r="D543" s="847"/>
      <c r="E543" s="847"/>
      <c r="F543" s="846"/>
      <c r="G543" s="847"/>
      <c r="H543" s="868"/>
      <c r="I543" s="846"/>
      <c r="J543" s="846"/>
      <c r="K543" s="846"/>
      <c r="L543" s="846"/>
      <c r="M543" s="846"/>
      <c r="N543" s="847"/>
      <c r="O543" s="846"/>
      <c r="P543" s="846"/>
      <c r="Q543" s="846"/>
      <c r="R543" s="846"/>
      <c r="S543" s="846"/>
      <c r="T543" s="846"/>
      <c r="U543" s="846"/>
    </row>
    <row r="544" ht="14.25" customHeight="1">
      <c r="A544" s="846"/>
      <c r="B544" s="846"/>
      <c r="C544" s="846"/>
      <c r="D544" s="847"/>
      <c r="E544" s="847"/>
      <c r="F544" s="846"/>
      <c r="G544" s="847"/>
      <c r="H544" s="868"/>
      <c r="I544" s="846"/>
      <c r="J544" s="846"/>
      <c r="K544" s="846"/>
      <c r="L544" s="846"/>
      <c r="M544" s="846"/>
      <c r="N544" s="847"/>
      <c r="O544" s="846"/>
      <c r="P544" s="846"/>
      <c r="Q544" s="846"/>
      <c r="R544" s="846"/>
      <c r="S544" s="846"/>
      <c r="T544" s="846"/>
      <c r="U544" s="846"/>
    </row>
    <row r="545" ht="14.25" customHeight="1">
      <c r="A545" s="846"/>
      <c r="B545" s="846"/>
      <c r="C545" s="846"/>
      <c r="D545" s="847"/>
      <c r="E545" s="847"/>
      <c r="F545" s="846"/>
      <c r="G545" s="847"/>
      <c r="H545" s="868"/>
      <c r="I545" s="846"/>
      <c r="J545" s="846"/>
      <c r="K545" s="846"/>
      <c r="L545" s="846"/>
      <c r="M545" s="846"/>
      <c r="N545" s="847"/>
      <c r="O545" s="846"/>
      <c r="P545" s="846"/>
      <c r="Q545" s="846"/>
      <c r="R545" s="846"/>
      <c r="S545" s="846"/>
      <c r="T545" s="846"/>
      <c r="U545" s="846"/>
    </row>
    <row r="546" ht="14.25" customHeight="1">
      <c r="A546" s="846"/>
      <c r="B546" s="846"/>
      <c r="C546" s="846"/>
      <c r="D546" s="847"/>
      <c r="E546" s="847"/>
      <c r="F546" s="846"/>
      <c r="G546" s="847"/>
      <c r="H546" s="868"/>
      <c r="I546" s="846"/>
      <c r="J546" s="846"/>
      <c r="K546" s="846"/>
      <c r="L546" s="846"/>
      <c r="M546" s="846"/>
      <c r="N546" s="847"/>
      <c r="O546" s="846"/>
      <c r="P546" s="846"/>
      <c r="Q546" s="846"/>
      <c r="R546" s="846"/>
      <c r="S546" s="846"/>
      <c r="T546" s="846"/>
      <c r="U546" s="846"/>
    </row>
    <row r="547" ht="14.25" customHeight="1">
      <c r="A547" s="846"/>
      <c r="B547" s="846"/>
      <c r="C547" s="846"/>
      <c r="D547" s="847"/>
      <c r="E547" s="847"/>
      <c r="F547" s="846"/>
      <c r="G547" s="847"/>
      <c r="H547" s="868"/>
      <c r="I547" s="846"/>
      <c r="J547" s="846"/>
      <c r="K547" s="846"/>
      <c r="L547" s="846"/>
      <c r="M547" s="846"/>
      <c r="N547" s="847"/>
      <c r="O547" s="846"/>
      <c r="P547" s="846"/>
      <c r="Q547" s="846"/>
      <c r="R547" s="846"/>
      <c r="S547" s="846"/>
      <c r="T547" s="846"/>
      <c r="U547" s="846"/>
    </row>
    <row r="548" ht="14.25" customHeight="1">
      <c r="A548" s="846"/>
      <c r="B548" s="846"/>
      <c r="C548" s="846"/>
      <c r="D548" s="847"/>
      <c r="E548" s="847"/>
      <c r="F548" s="846"/>
      <c r="G548" s="847"/>
      <c r="H548" s="868"/>
      <c r="I548" s="846"/>
      <c r="J548" s="846"/>
      <c r="K548" s="846"/>
      <c r="L548" s="846"/>
      <c r="M548" s="846"/>
      <c r="N548" s="847"/>
      <c r="O548" s="846"/>
      <c r="P548" s="846"/>
      <c r="Q548" s="846"/>
      <c r="R548" s="846"/>
      <c r="S548" s="846"/>
      <c r="T548" s="846"/>
      <c r="U548" s="846"/>
    </row>
    <row r="549" ht="14.25" customHeight="1">
      <c r="A549" s="846"/>
      <c r="B549" s="846"/>
      <c r="C549" s="846"/>
      <c r="D549" s="847"/>
      <c r="E549" s="847"/>
      <c r="F549" s="846"/>
      <c r="G549" s="847"/>
      <c r="H549" s="868"/>
      <c r="I549" s="846"/>
      <c r="J549" s="846"/>
      <c r="K549" s="846"/>
      <c r="L549" s="846"/>
      <c r="M549" s="846"/>
      <c r="N549" s="847"/>
      <c r="O549" s="846"/>
      <c r="P549" s="846"/>
      <c r="Q549" s="846"/>
      <c r="R549" s="846"/>
      <c r="S549" s="846"/>
      <c r="T549" s="846"/>
      <c r="U549" s="846"/>
    </row>
    <row r="550" ht="14.25" customHeight="1">
      <c r="A550" s="846"/>
      <c r="B550" s="846"/>
      <c r="C550" s="846"/>
      <c r="D550" s="847"/>
      <c r="E550" s="847"/>
      <c r="F550" s="846"/>
      <c r="G550" s="847"/>
      <c r="H550" s="868"/>
      <c r="I550" s="846"/>
      <c r="J550" s="846"/>
      <c r="K550" s="846"/>
      <c r="L550" s="846"/>
      <c r="M550" s="846"/>
      <c r="N550" s="847"/>
      <c r="O550" s="846"/>
      <c r="P550" s="846"/>
      <c r="Q550" s="846"/>
      <c r="R550" s="846"/>
      <c r="S550" s="846"/>
      <c r="T550" s="846"/>
      <c r="U550" s="846"/>
    </row>
    <row r="551" ht="14.25" customHeight="1">
      <c r="A551" s="846"/>
      <c r="B551" s="846"/>
      <c r="C551" s="846"/>
      <c r="D551" s="847"/>
      <c r="E551" s="847"/>
      <c r="F551" s="846"/>
      <c r="G551" s="847"/>
      <c r="H551" s="868"/>
      <c r="I551" s="846"/>
      <c r="J551" s="846"/>
      <c r="K551" s="846"/>
      <c r="L551" s="846"/>
      <c r="M551" s="846"/>
      <c r="N551" s="847"/>
      <c r="O551" s="846"/>
      <c r="P551" s="846"/>
      <c r="Q551" s="846"/>
      <c r="R551" s="846"/>
      <c r="S551" s="846"/>
      <c r="T551" s="846"/>
      <c r="U551" s="846"/>
    </row>
    <row r="552" ht="14.25" customHeight="1">
      <c r="A552" s="846"/>
      <c r="B552" s="846"/>
      <c r="C552" s="846"/>
      <c r="D552" s="847"/>
      <c r="E552" s="847"/>
      <c r="F552" s="846"/>
      <c r="G552" s="847"/>
      <c r="H552" s="868"/>
      <c r="I552" s="846"/>
      <c r="J552" s="846"/>
      <c r="K552" s="846"/>
      <c r="L552" s="846"/>
      <c r="M552" s="846"/>
      <c r="N552" s="847"/>
      <c r="O552" s="846"/>
      <c r="P552" s="846"/>
      <c r="Q552" s="846"/>
      <c r="R552" s="846"/>
      <c r="S552" s="846"/>
      <c r="T552" s="846"/>
      <c r="U552" s="846"/>
    </row>
    <row r="553" ht="14.25" customHeight="1">
      <c r="A553" s="846"/>
      <c r="B553" s="846"/>
      <c r="C553" s="846"/>
      <c r="D553" s="847"/>
      <c r="E553" s="847"/>
      <c r="F553" s="846"/>
      <c r="G553" s="847"/>
      <c r="H553" s="868"/>
      <c r="I553" s="846"/>
      <c r="J553" s="846"/>
      <c r="K553" s="846"/>
      <c r="L553" s="846"/>
      <c r="M553" s="846"/>
      <c r="N553" s="847"/>
      <c r="O553" s="846"/>
      <c r="P553" s="846"/>
      <c r="Q553" s="846"/>
      <c r="R553" s="846"/>
      <c r="S553" s="846"/>
      <c r="T553" s="846"/>
      <c r="U553" s="846"/>
    </row>
    <row r="554" ht="14.25" customHeight="1">
      <c r="A554" s="846"/>
      <c r="B554" s="846"/>
      <c r="C554" s="846"/>
      <c r="D554" s="847"/>
      <c r="E554" s="847"/>
      <c r="F554" s="846"/>
      <c r="G554" s="847"/>
      <c r="H554" s="868"/>
      <c r="I554" s="846"/>
      <c r="J554" s="846"/>
      <c r="K554" s="846"/>
      <c r="L554" s="846"/>
      <c r="M554" s="846"/>
      <c r="N554" s="847"/>
      <c r="O554" s="846"/>
      <c r="P554" s="846"/>
      <c r="Q554" s="846"/>
      <c r="R554" s="846"/>
      <c r="S554" s="846"/>
      <c r="T554" s="846"/>
      <c r="U554" s="846"/>
    </row>
    <row r="555" ht="14.25" customHeight="1">
      <c r="A555" s="846"/>
      <c r="B555" s="846"/>
      <c r="C555" s="846"/>
      <c r="D555" s="847"/>
      <c r="E555" s="847"/>
      <c r="F555" s="846"/>
      <c r="G555" s="847"/>
      <c r="H555" s="868"/>
      <c r="I555" s="846"/>
      <c r="J555" s="846"/>
      <c r="K555" s="846"/>
      <c r="L555" s="846"/>
      <c r="M555" s="846"/>
      <c r="N555" s="847"/>
      <c r="O555" s="846"/>
      <c r="P555" s="846"/>
      <c r="Q555" s="846"/>
      <c r="R555" s="846"/>
      <c r="S555" s="846"/>
      <c r="T555" s="846"/>
      <c r="U555" s="846"/>
    </row>
    <row r="556" ht="14.25" customHeight="1">
      <c r="A556" s="846"/>
      <c r="B556" s="846"/>
      <c r="C556" s="846"/>
      <c r="D556" s="847"/>
      <c r="E556" s="847"/>
      <c r="F556" s="846"/>
      <c r="G556" s="847"/>
      <c r="H556" s="868"/>
      <c r="I556" s="846"/>
      <c r="J556" s="846"/>
      <c r="K556" s="846"/>
      <c r="L556" s="846"/>
      <c r="M556" s="846"/>
      <c r="N556" s="847"/>
      <c r="O556" s="846"/>
      <c r="P556" s="846"/>
      <c r="Q556" s="846"/>
      <c r="R556" s="846"/>
      <c r="S556" s="846"/>
      <c r="T556" s="846"/>
      <c r="U556" s="846"/>
    </row>
    <row r="557" ht="14.25" customHeight="1">
      <c r="A557" s="846"/>
      <c r="B557" s="846"/>
      <c r="C557" s="846"/>
      <c r="D557" s="847"/>
      <c r="E557" s="847"/>
      <c r="F557" s="846"/>
      <c r="G557" s="847"/>
      <c r="H557" s="868"/>
      <c r="I557" s="846"/>
      <c r="J557" s="846"/>
      <c r="K557" s="846"/>
      <c r="L557" s="846"/>
      <c r="M557" s="846"/>
      <c r="N557" s="847"/>
      <c r="O557" s="846"/>
      <c r="P557" s="846"/>
      <c r="Q557" s="846"/>
      <c r="R557" s="846"/>
      <c r="S557" s="846"/>
      <c r="T557" s="846"/>
      <c r="U557" s="846"/>
    </row>
    <row r="558" ht="14.25" customHeight="1">
      <c r="A558" s="846"/>
      <c r="B558" s="846"/>
      <c r="C558" s="846"/>
      <c r="D558" s="847"/>
      <c r="E558" s="847"/>
      <c r="F558" s="846"/>
      <c r="G558" s="847"/>
      <c r="H558" s="868"/>
      <c r="I558" s="846"/>
      <c r="J558" s="846"/>
      <c r="K558" s="846"/>
      <c r="L558" s="846"/>
      <c r="M558" s="846"/>
      <c r="N558" s="847"/>
      <c r="O558" s="846"/>
      <c r="P558" s="846"/>
      <c r="Q558" s="846"/>
      <c r="R558" s="846"/>
      <c r="S558" s="846"/>
      <c r="T558" s="846"/>
      <c r="U558" s="846"/>
    </row>
    <row r="559" ht="14.25" customHeight="1">
      <c r="A559" s="846"/>
      <c r="B559" s="846"/>
      <c r="C559" s="846"/>
      <c r="D559" s="847"/>
      <c r="E559" s="847"/>
      <c r="F559" s="846"/>
      <c r="G559" s="847"/>
      <c r="H559" s="868"/>
      <c r="I559" s="846"/>
      <c r="J559" s="846"/>
      <c r="K559" s="846"/>
      <c r="L559" s="846"/>
      <c r="M559" s="846"/>
      <c r="N559" s="847"/>
      <c r="O559" s="846"/>
      <c r="P559" s="846"/>
      <c r="Q559" s="846"/>
      <c r="R559" s="846"/>
      <c r="S559" s="846"/>
      <c r="T559" s="846"/>
      <c r="U559" s="846"/>
    </row>
    <row r="560" ht="14.25" customHeight="1">
      <c r="A560" s="846"/>
      <c r="B560" s="846"/>
      <c r="C560" s="846"/>
      <c r="D560" s="847"/>
      <c r="E560" s="847"/>
      <c r="F560" s="846"/>
      <c r="G560" s="847"/>
      <c r="H560" s="868"/>
      <c r="I560" s="846"/>
      <c r="J560" s="846"/>
      <c r="K560" s="846"/>
      <c r="L560" s="846"/>
      <c r="M560" s="846"/>
      <c r="N560" s="847"/>
      <c r="O560" s="846"/>
      <c r="P560" s="846"/>
      <c r="Q560" s="846"/>
      <c r="R560" s="846"/>
      <c r="S560" s="846"/>
      <c r="T560" s="846"/>
      <c r="U560" s="846"/>
    </row>
    <row r="561" ht="14.25" customHeight="1">
      <c r="A561" s="846"/>
      <c r="B561" s="846"/>
      <c r="C561" s="846"/>
      <c r="D561" s="847"/>
      <c r="E561" s="847"/>
      <c r="F561" s="846"/>
      <c r="G561" s="847"/>
      <c r="H561" s="868"/>
      <c r="I561" s="846"/>
      <c r="J561" s="846"/>
      <c r="K561" s="846"/>
      <c r="L561" s="846"/>
      <c r="M561" s="846"/>
      <c r="N561" s="847"/>
      <c r="O561" s="846"/>
      <c r="P561" s="846"/>
      <c r="Q561" s="846"/>
      <c r="R561" s="846"/>
      <c r="S561" s="846"/>
      <c r="T561" s="846"/>
      <c r="U561" s="846"/>
    </row>
    <row r="562" ht="14.25" customHeight="1">
      <c r="A562" s="846"/>
      <c r="B562" s="846"/>
      <c r="C562" s="846"/>
      <c r="D562" s="847"/>
      <c r="E562" s="847"/>
      <c r="F562" s="846"/>
      <c r="G562" s="847"/>
      <c r="H562" s="868"/>
      <c r="I562" s="846"/>
      <c r="J562" s="846"/>
      <c r="K562" s="846"/>
      <c r="L562" s="846"/>
      <c r="M562" s="846"/>
      <c r="N562" s="847"/>
      <c r="O562" s="846"/>
      <c r="P562" s="846"/>
      <c r="Q562" s="846"/>
      <c r="R562" s="846"/>
      <c r="S562" s="846"/>
      <c r="T562" s="846"/>
      <c r="U562" s="846"/>
    </row>
    <row r="563" ht="14.25" customHeight="1">
      <c r="A563" s="846"/>
      <c r="B563" s="846"/>
      <c r="C563" s="846"/>
      <c r="D563" s="847"/>
      <c r="E563" s="847"/>
      <c r="F563" s="846"/>
      <c r="G563" s="847"/>
      <c r="H563" s="868"/>
      <c r="I563" s="846"/>
      <c r="J563" s="846"/>
      <c r="K563" s="846"/>
      <c r="L563" s="846"/>
      <c r="M563" s="846"/>
      <c r="N563" s="847"/>
      <c r="O563" s="846"/>
      <c r="P563" s="846"/>
      <c r="Q563" s="846"/>
      <c r="R563" s="846"/>
      <c r="S563" s="846"/>
      <c r="T563" s="846"/>
      <c r="U563" s="846"/>
    </row>
    <row r="564" ht="14.25" customHeight="1">
      <c r="A564" s="846"/>
      <c r="B564" s="846"/>
      <c r="C564" s="846"/>
      <c r="D564" s="847"/>
      <c r="E564" s="847"/>
      <c r="F564" s="846"/>
      <c r="G564" s="847"/>
      <c r="H564" s="868"/>
      <c r="I564" s="846"/>
      <c r="J564" s="846"/>
      <c r="K564" s="846"/>
      <c r="L564" s="846"/>
      <c r="M564" s="846"/>
      <c r="N564" s="847"/>
      <c r="O564" s="846"/>
      <c r="P564" s="846"/>
      <c r="Q564" s="846"/>
      <c r="R564" s="846"/>
      <c r="S564" s="846"/>
      <c r="T564" s="846"/>
      <c r="U564" s="846"/>
    </row>
    <row r="565" ht="14.25" customHeight="1">
      <c r="A565" s="846"/>
      <c r="B565" s="846"/>
      <c r="C565" s="846"/>
      <c r="D565" s="847"/>
      <c r="E565" s="847"/>
      <c r="F565" s="846"/>
      <c r="G565" s="847"/>
      <c r="H565" s="868"/>
      <c r="I565" s="846"/>
      <c r="J565" s="846"/>
      <c r="K565" s="846"/>
      <c r="L565" s="846"/>
      <c r="M565" s="846"/>
      <c r="N565" s="847"/>
      <c r="O565" s="846"/>
      <c r="P565" s="846"/>
      <c r="Q565" s="846"/>
      <c r="R565" s="846"/>
      <c r="S565" s="846"/>
      <c r="T565" s="846"/>
      <c r="U565" s="846"/>
    </row>
    <row r="566" ht="14.25" customHeight="1">
      <c r="A566" s="846"/>
      <c r="B566" s="846"/>
      <c r="C566" s="846"/>
      <c r="D566" s="847"/>
      <c r="E566" s="847"/>
      <c r="F566" s="846"/>
      <c r="G566" s="847"/>
      <c r="H566" s="868"/>
      <c r="I566" s="846"/>
      <c r="J566" s="846"/>
      <c r="K566" s="846"/>
      <c r="L566" s="846"/>
      <c r="M566" s="846"/>
      <c r="N566" s="847"/>
      <c r="O566" s="846"/>
      <c r="P566" s="846"/>
      <c r="Q566" s="846"/>
      <c r="R566" s="846"/>
      <c r="S566" s="846"/>
      <c r="T566" s="846"/>
      <c r="U566" s="846"/>
    </row>
    <row r="567" ht="14.25" customHeight="1">
      <c r="A567" s="846"/>
      <c r="B567" s="846"/>
      <c r="C567" s="846"/>
      <c r="D567" s="847"/>
      <c r="E567" s="847"/>
      <c r="F567" s="846"/>
      <c r="G567" s="847"/>
      <c r="H567" s="868"/>
      <c r="I567" s="846"/>
      <c r="J567" s="846"/>
      <c r="K567" s="846"/>
      <c r="L567" s="846"/>
      <c r="M567" s="846"/>
      <c r="N567" s="847"/>
      <c r="O567" s="846"/>
      <c r="P567" s="846"/>
      <c r="Q567" s="846"/>
      <c r="R567" s="846"/>
      <c r="S567" s="846"/>
      <c r="T567" s="846"/>
      <c r="U567" s="846"/>
    </row>
    <row r="568" ht="14.25" customHeight="1">
      <c r="A568" s="846"/>
      <c r="B568" s="846"/>
      <c r="C568" s="846"/>
      <c r="D568" s="847"/>
      <c r="E568" s="847"/>
      <c r="F568" s="846"/>
      <c r="G568" s="847"/>
      <c r="H568" s="868"/>
      <c r="I568" s="846"/>
      <c r="J568" s="846"/>
      <c r="K568" s="846"/>
      <c r="L568" s="846"/>
      <c r="M568" s="846"/>
      <c r="N568" s="847"/>
      <c r="O568" s="846"/>
      <c r="P568" s="846"/>
      <c r="Q568" s="846"/>
      <c r="R568" s="846"/>
      <c r="S568" s="846"/>
      <c r="T568" s="846"/>
      <c r="U568" s="846"/>
    </row>
    <row r="569" ht="14.25" customHeight="1">
      <c r="A569" s="846"/>
      <c r="B569" s="846"/>
      <c r="C569" s="846"/>
      <c r="D569" s="847"/>
      <c r="E569" s="847"/>
      <c r="F569" s="846"/>
      <c r="G569" s="847"/>
      <c r="H569" s="868"/>
      <c r="I569" s="846"/>
      <c r="J569" s="846"/>
      <c r="K569" s="846"/>
      <c r="L569" s="846"/>
      <c r="M569" s="846"/>
      <c r="N569" s="847"/>
      <c r="O569" s="846"/>
      <c r="P569" s="846"/>
      <c r="Q569" s="846"/>
      <c r="R569" s="846"/>
      <c r="S569" s="846"/>
      <c r="T569" s="846"/>
      <c r="U569" s="846"/>
    </row>
    <row r="570" ht="14.25" customHeight="1">
      <c r="A570" s="846"/>
      <c r="B570" s="846"/>
      <c r="C570" s="846"/>
      <c r="D570" s="847"/>
      <c r="E570" s="847"/>
      <c r="F570" s="846"/>
      <c r="G570" s="847"/>
      <c r="H570" s="868"/>
      <c r="I570" s="846"/>
      <c r="J570" s="846"/>
      <c r="K570" s="846"/>
      <c r="L570" s="846"/>
      <c r="M570" s="846"/>
      <c r="N570" s="847"/>
      <c r="O570" s="846"/>
      <c r="P570" s="846"/>
      <c r="Q570" s="846"/>
      <c r="R570" s="846"/>
      <c r="S570" s="846"/>
      <c r="T570" s="846"/>
      <c r="U570" s="846"/>
    </row>
    <row r="571" ht="14.25" customHeight="1">
      <c r="A571" s="846"/>
      <c r="B571" s="846"/>
      <c r="C571" s="846"/>
      <c r="D571" s="847"/>
      <c r="E571" s="847"/>
      <c r="F571" s="846"/>
      <c r="G571" s="847"/>
      <c r="H571" s="868"/>
      <c r="I571" s="846"/>
      <c r="J571" s="846"/>
      <c r="K571" s="846"/>
      <c r="L571" s="846"/>
      <c r="M571" s="846"/>
      <c r="N571" s="847"/>
      <c r="O571" s="846"/>
      <c r="P571" s="846"/>
      <c r="Q571" s="846"/>
      <c r="R571" s="846"/>
      <c r="S571" s="846"/>
      <c r="T571" s="846"/>
      <c r="U571" s="846"/>
    </row>
    <row r="572" ht="14.25" customHeight="1">
      <c r="A572" s="846"/>
      <c r="B572" s="846"/>
      <c r="C572" s="846"/>
      <c r="D572" s="847"/>
      <c r="E572" s="847"/>
      <c r="F572" s="846"/>
      <c r="G572" s="847"/>
      <c r="H572" s="868"/>
      <c r="I572" s="846"/>
      <c r="J572" s="846"/>
      <c r="K572" s="846"/>
      <c r="L572" s="846"/>
      <c r="M572" s="846"/>
      <c r="N572" s="847"/>
      <c r="O572" s="846"/>
      <c r="P572" s="846"/>
      <c r="Q572" s="846"/>
      <c r="R572" s="846"/>
      <c r="S572" s="846"/>
      <c r="T572" s="846"/>
      <c r="U572" s="846"/>
    </row>
    <row r="573" ht="14.25" customHeight="1">
      <c r="A573" s="846"/>
      <c r="B573" s="846"/>
      <c r="C573" s="846"/>
      <c r="D573" s="847"/>
      <c r="E573" s="847"/>
      <c r="F573" s="846"/>
      <c r="G573" s="847"/>
      <c r="H573" s="868"/>
      <c r="I573" s="846"/>
      <c r="J573" s="846"/>
      <c r="K573" s="846"/>
      <c r="L573" s="846"/>
      <c r="M573" s="846"/>
      <c r="N573" s="847"/>
      <c r="O573" s="846"/>
      <c r="P573" s="846"/>
      <c r="Q573" s="846"/>
      <c r="R573" s="846"/>
      <c r="S573" s="846"/>
      <c r="T573" s="846"/>
      <c r="U573" s="846"/>
    </row>
    <row r="574" ht="14.25" customHeight="1">
      <c r="A574" s="846"/>
      <c r="B574" s="846"/>
      <c r="C574" s="846"/>
      <c r="D574" s="847"/>
      <c r="E574" s="847"/>
      <c r="F574" s="846"/>
      <c r="G574" s="847"/>
      <c r="H574" s="868"/>
      <c r="I574" s="846"/>
      <c r="J574" s="846"/>
      <c r="K574" s="846"/>
      <c r="L574" s="846"/>
      <c r="M574" s="846"/>
      <c r="N574" s="847"/>
      <c r="O574" s="846"/>
      <c r="P574" s="846"/>
      <c r="Q574" s="846"/>
      <c r="R574" s="846"/>
      <c r="S574" s="846"/>
      <c r="T574" s="846"/>
      <c r="U574" s="846"/>
    </row>
    <row r="575" ht="14.25" customHeight="1">
      <c r="A575" s="846"/>
      <c r="B575" s="846"/>
      <c r="C575" s="846"/>
      <c r="D575" s="847"/>
      <c r="E575" s="847"/>
      <c r="F575" s="846"/>
      <c r="G575" s="847"/>
      <c r="H575" s="868"/>
      <c r="I575" s="846"/>
      <c r="J575" s="846"/>
      <c r="K575" s="846"/>
      <c r="L575" s="846"/>
      <c r="M575" s="846"/>
      <c r="N575" s="847"/>
      <c r="O575" s="846"/>
      <c r="P575" s="846"/>
      <c r="Q575" s="846"/>
      <c r="R575" s="846"/>
      <c r="S575" s="846"/>
      <c r="T575" s="846"/>
      <c r="U575" s="846"/>
    </row>
    <row r="576" ht="14.25" customHeight="1">
      <c r="A576" s="846"/>
      <c r="B576" s="846"/>
      <c r="C576" s="846"/>
      <c r="D576" s="847"/>
      <c r="E576" s="847"/>
      <c r="F576" s="846"/>
      <c r="G576" s="847"/>
      <c r="H576" s="868"/>
      <c r="I576" s="846"/>
      <c r="J576" s="846"/>
      <c r="K576" s="846"/>
      <c r="L576" s="846"/>
      <c r="M576" s="846"/>
      <c r="N576" s="847"/>
      <c r="O576" s="846"/>
      <c r="P576" s="846"/>
      <c r="Q576" s="846"/>
      <c r="R576" s="846"/>
      <c r="S576" s="846"/>
      <c r="T576" s="846"/>
      <c r="U576" s="846"/>
    </row>
    <row r="577" ht="14.25" customHeight="1">
      <c r="A577" s="846"/>
      <c r="B577" s="846"/>
      <c r="C577" s="846"/>
      <c r="D577" s="847"/>
      <c r="E577" s="847"/>
      <c r="F577" s="846"/>
      <c r="G577" s="847"/>
      <c r="H577" s="868"/>
      <c r="I577" s="846"/>
      <c r="J577" s="846"/>
      <c r="K577" s="846"/>
      <c r="L577" s="846"/>
      <c r="M577" s="846"/>
      <c r="N577" s="847"/>
      <c r="O577" s="846"/>
      <c r="P577" s="846"/>
      <c r="Q577" s="846"/>
      <c r="R577" s="846"/>
      <c r="S577" s="846"/>
      <c r="T577" s="846"/>
      <c r="U577" s="846"/>
    </row>
    <row r="578" ht="14.25" customHeight="1">
      <c r="A578" s="846"/>
      <c r="B578" s="846"/>
      <c r="C578" s="846"/>
      <c r="D578" s="847"/>
      <c r="E578" s="847"/>
      <c r="F578" s="846"/>
      <c r="G578" s="847"/>
      <c r="H578" s="868"/>
      <c r="I578" s="846"/>
      <c r="J578" s="846"/>
      <c r="K578" s="846"/>
      <c r="L578" s="846"/>
      <c r="M578" s="846"/>
      <c r="N578" s="847"/>
      <c r="O578" s="846"/>
      <c r="P578" s="846"/>
      <c r="Q578" s="846"/>
      <c r="R578" s="846"/>
      <c r="S578" s="846"/>
      <c r="T578" s="846"/>
      <c r="U578" s="846"/>
    </row>
    <row r="579" ht="14.25" customHeight="1">
      <c r="A579" s="846"/>
      <c r="B579" s="846"/>
      <c r="C579" s="846"/>
      <c r="D579" s="847"/>
      <c r="E579" s="847"/>
      <c r="F579" s="846"/>
      <c r="G579" s="847"/>
      <c r="H579" s="868"/>
      <c r="I579" s="846"/>
      <c r="J579" s="846"/>
      <c r="K579" s="846"/>
      <c r="L579" s="846"/>
      <c r="M579" s="846"/>
      <c r="N579" s="847"/>
      <c r="O579" s="846"/>
      <c r="P579" s="846"/>
      <c r="Q579" s="846"/>
      <c r="R579" s="846"/>
      <c r="S579" s="846"/>
      <c r="T579" s="846"/>
      <c r="U579" s="846"/>
    </row>
    <row r="580" ht="14.25" customHeight="1">
      <c r="A580" s="846"/>
      <c r="B580" s="846"/>
      <c r="C580" s="846"/>
      <c r="D580" s="847"/>
      <c r="E580" s="847"/>
      <c r="F580" s="846"/>
      <c r="G580" s="847"/>
      <c r="H580" s="868"/>
      <c r="I580" s="846"/>
      <c r="J580" s="846"/>
      <c r="K580" s="846"/>
      <c r="L580" s="846"/>
      <c r="M580" s="846"/>
      <c r="N580" s="847"/>
      <c r="O580" s="846"/>
      <c r="P580" s="846"/>
      <c r="Q580" s="846"/>
      <c r="R580" s="846"/>
      <c r="S580" s="846"/>
      <c r="T580" s="846"/>
      <c r="U580" s="846"/>
    </row>
    <row r="581" ht="14.25" customHeight="1">
      <c r="A581" s="846"/>
      <c r="B581" s="846"/>
      <c r="C581" s="846"/>
      <c r="D581" s="847"/>
      <c r="E581" s="847"/>
      <c r="F581" s="846"/>
      <c r="G581" s="847"/>
      <c r="H581" s="868"/>
      <c r="I581" s="846"/>
      <c r="J581" s="846"/>
      <c r="K581" s="846"/>
      <c r="L581" s="846"/>
      <c r="M581" s="846"/>
      <c r="N581" s="847"/>
      <c r="O581" s="846"/>
      <c r="P581" s="846"/>
      <c r="Q581" s="846"/>
      <c r="R581" s="846"/>
      <c r="S581" s="846"/>
      <c r="T581" s="846"/>
      <c r="U581" s="846"/>
    </row>
    <row r="582" ht="14.25" customHeight="1">
      <c r="A582" s="846"/>
      <c r="B582" s="846"/>
      <c r="C582" s="846"/>
      <c r="D582" s="847"/>
      <c r="E582" s="847"/>
      <c r="F582" s="846"/>
      <c r="G582" s="847"/>
      <c r="H582" s="868"/>
      <c r="I582" s="846"/>
      <c r="J582" s="846"/>
      <c r="K582" s="846"/>
      <c r="L582" s="846"/>
      <c r="M582" s="846"/>
      <c r="N582" s="847"/>
      <c r="O582" s="846"/>
      <c r="P582" s="846"/>
      <c r="Q582" s="846"/>
      <c r="R582" s="846"/>
      <c r="S582" s="846"/>
      <c r="T582" s="846"/>
      <c r="U582" s="846"/>
    </row>
    <row r="583" ht="14.25" customHeight="1">
      <c r="A583" s="846"/>
      <c r="B583" s="846"/>
      <c r="C583" s="846"/>
      <c r="D583" s="847"/>
      <c r="E583" s="847"/>
      <c r="F583" s="846"/>
      <c r="G583" s="847"/>
      <c r="H583" s="868"/>
      <c r="I583" s="846"/>
      <c r="J583" s="846"/>
      <c r="K583" s="846"/>
      <c r="L583" s="846"/>
      <c r="M583" s="846"/>
      <c r="N583" s="847"/>
      <c r="O583" s="846"/>
      <c r="P583" s="846"/>
      <c r="Q583" s="846"/>
      <c r="R583" s="846"/>
      <c r="S583" s="846"/>
      <c r="T583" s="846"/>
      <c r="U583" s="846"/>
    </row>
    <row r="584" ht="14.25" customHeight="1">
      <c r="A584" s="846"/>
      <c r="B584" s="846"/>
      <c r="C584" s="846"/>
      <c r="D584" s="847"/>
      <c r="E584" s="847"/>
      <c r="F584" s="846"/>
      <c r="G584" s="847"/>
      <c r="H584" s="868"/>
      <c r="I584" s="846"/>
      <c r="J584" s="846"/>
      <c r="K584" s="846"/>
      <c r="L584" s="846"/>
      <c r="M584" s="846"/>
      <c r="N584" s="847"/>
      <c r="O584" s="846"/>
      <c r="P584" s="846"/>
      <c r="Q584" s="846"/>
      <c r="R584" s="846"/>
      <c r="S584" s="846"/>
      <c r="T584" s="846"/>
      <c r="U584" s="846"/>
    </row>
    <row r="585" ht="14.25" customHeight="1">
      <c r="A585" s="846"/>
      <c r="B585" s="846"/>
      <c r="C585" s="846"/>
      <c r="D585" s="847"/>
      <c r="E585" s="847"/>
      <c r="F585" s="846"/>
      <c r="G585" s="847"/>
      <c r="H585" s="868"/>
      <c r="I585" s="846"/>
      <c r="J585" s="846"/>
      <c r="K585" s="846"/>
      <c r="L585" s="846"/>
      <c r="M585" s="846"/>
      <c r="N585" s="847"/>
      <c r="O585" s="846"/>
      <c r="P585" s="846"/>
      <c r="Q585" s="846"/>
      <c r="R585" s="846"/>
      <c r="S585" s="846"/>
      <c r="T585" s="846"/>
      <c r="U585" s="846"/>
    </row>
    <row r="586" ht="14.25" customHeight="1">
      <c r="A586" s="846"/>
      <c r="B586" s="846"/>
      <c r="C586" s="846"/>
      <c r="D586" s="847"/>
      <c r="E586" s="847"/>
      <c r="F586" s="846"/>
      <c r="G586" s="847"/>
      <c r="H586" s="868"/>
      <c r="I586" s="846"/>
      <c r="J586" s="846"/>
      <c r="K586" s="846"/>
      <c r="L586" s="846"/>
      <c r="M586" s="846"/>
      <c r="N586" s="847"/>
      <c r="O586" s="846"/>
      <c r="P586" s="846"/>
      <c r="Q586" s="846"/>
      <c r="R586" s="846"/>
      <c r="S586" s="846"/>
      <c r="T586" s="846"/>
      <c r="U586" s="846"/>
    </row>
    <row r="587" ht="14.25" customHeight="1">
      <c r="A587" s="846"/>
      <c r="B587" s="846"/>
      <c r="C587" s="846"/>
      <c r="D587" s="847"/>
      <c r="E587" s="847"/>
      <c r="F587" s="846"/>
      <c r="G587" s="847"/>
      <c r="H587" s="868"/>
      <c r="I587" s="846"/>
      <c r="J587" s="846"/>
      <c r="K587" s="846"/>
      <c r="L587" s="846"/>
      <c r="M587" s="846"/>
      <c r="N587" s="847"/>
      <c r="O587" s="846"/>
      <c r="P587" s="846"/>
      <c r="Q587" s="846"/>
      <c r="R587" s="846"/>
      <c r="S587" s="846"/>
      <c r="T587" s="846"/>
      <c r="U587" s="846"/>
    </row>
    <row r="588" ht="14.25" customHeight="1">
      <c r="A588" s="846"/>
      <c r="B588" s="846"/>
      <c r="C588" s="846"/>
      <c r="D588" s="847"/>
      <c r="E588" s="847"/>
      <c r="F588" s="846"/>
      <c r="G588" s="847"/>
      <c r="H588" s="868"/>
      <c r="I588" s="846"/>
      <c r="J588" s="846"/>
      <c r="K588" s="846"/>
      <c r="L588" s="846"/>
      <c r="M588" s="846"/>
      <c r="N588" s="847"/>
      <c r="O588" s="846"/>
      <c r="P588" s="846"/>
      <c r="Q588" s="846"/>
      <c r="R588" s="846"/>
      <c r="S588" s="846"/>
      <c r="T588" s="846"/>
      <c r="U588" s="846"/>
    </row>
    <row r="589" ht="14.25" customHeight="1">
      <c r="A589" s="846"/>
      <c r="B589" s="846"/>
      <c r="C589" s="846"/>
      <c r="D589" s="847"/>
      <c r="E589" s="847"/>
      <c r="F589" s="846"/>
      <c r="G589" s="847"/>
      <c r="H589" s="868"/>
      <c r="I589" s="846"/>
      <c r="J589" s="846"/>
      <c r="K589" s="846"/>
      <c r="L589" s="846"/>
      <c r="M589" s="846"/>
      <c r="N589" s="847"/>
      <c r="O589" s="846"/>
      <c r="P589" s="846"/>
      <c r="Q589" s="846"/>
      <c r="R589" s="846"/>
      <c r="S589" s="846"/>
      <c r="T589" s="846"/>
      <c r="U589" s="846"/>
    </row>
    <row r="590" ht="14.25" customHeight="1">
      <c r="A590" s="846"/>
      <c r="B590" s="846"/>
      <c r="C590" s="846"/>
      <c r="D590" s="847"/>
      <c r="E590" s="847"/>
      <c r="F590" s="846"/>
      <c r="G590" s="847"/>
      <c r="H590" s="868"/>
      <c r="I590" s="846"/>
      <c r="J590" s="846"/>
      <c r="K590" s="846"/>
      <c r="L590" s="846"/>
      <c r="M590" s="846"/>
      <c r="N590" s="847"/>
      <c r="O590" s="846"/>
      <c r="P590" s="846"/>
      <c r="Q590" s="846"/>
      <c r="R590" s="846"/>
      <c r="S590" s="846"/>
      <c r="T590" s="846"/>
      <c r="U590" s="846"/>
    </row>
    <row r="591" ht="14.25" customHeight="1">
      <c r="A591" s="846"/>
      <c r="B591" s="846"/>
      <c r="C591" s="846"/>
      <c r="D591" s="847"/>
      <c r="E591" s="847"/>
      <c r="F591" s="846"/>
      <c r="G591" s="847"/>
      <c r="H591" s="868"/>
      <c r="I591" s="846"/>
      <c r="J591" s="846"/>
      <c r="K591" s="846"/>
      <c r="L591" s="846"/>
      <c r="M591" s="846"/>
      <c r="N591" s="847"/>
      <c r="O591" s="846"/>
      <c r="P591" s="846"/>
      <c r="Q591" s="846"/>
      <c r="R591" s="846"/>
      <c r="S591" s="846"/>
      <c r="T591" s="846"/>
      <c r="U591" s="846"/>
    </row>
    <row r="592" ht="14.25" customHeight="1">
      <c r="A592" s="846"/>
      <c r="B592" s="846"/>
      <c r="C592" s="846"/>
      <c r="D592" s="847"/>
      <c r="E592" s="847"/>
      <c r="F592" s="846"/>
      <c r="G592" s="847"/>
      <c r="H592" s="868"/>
      <c r="I592" s="846"/>
      <c r="J592" s="846"/>
      <c r="K592" s="846"/>
      <c r="L592" s="846"/>
      <c r="M592" s="846"/>
      <c r="N592" s="847"/>
      <c r="O592" s="846"/>
      <c r="P592" s="846"/>
      <c r="Q592" s="846"/>
      <c r="R592" s="846"/>
      <c r="S592" s="846"/>
      <c r="T592" s="846"/>
      <c r="U592" s="846"/>
    </row>
    <row r="593" ht="14.25" customHeight="1">
      <c r="A593" s="846"/>
      <c r="B593" s="846"/>
      <c r="C593" s="846"/>
      <c r="D593" s="847"/>
      <c r="E593" s="847"/>
      <c r="F593" s="846"/>
      <c r="G593" s="847"/>
      <c r="H593" s="868"/>
      <c r="I593" s="846"/>
      <c r="J593" s="846"/>
      <c r="K593" s="846"/>
      <c r="L593" s="846"/>
      <c r="M593" s="846"/>
      <c r="N593" s="847"/>
      <c r="O593" s="846"/>
      <c r="P593" s="846"/>
      <c r="Q593" s="846"/>
      <c r="R593" s="846"/>
      <c r="S593" s="846"/>
      <c r="T593" s="846"/>
      <c r="U593" s="846"/>
    </row>
    <row r="594" ht="14.25" customHeight="1">
      <c r="A594" s="846"/>
      <c r="B594" s="846"/>
      <c r="C594" s="846"/>
      <c r="D594" s="847"/>
      <c r="E594" s="847"/>
      <c r="F594" s="846"/>
      <c r="G594" s="847"/>
      <c r="H594" s="868"/>
      <c r="I594" s="846"/>
      <c r="J594" s="846"/>
      <c r="K594" s="846"/>
      <c r="L594" s="846"/>
      <c r="M594" s="846"/>
      <c r="N594" s="847"/>
      <c r="O594" s="846"/>
      <c r="P594" s="846"/>
      <c r="Q594" s="846"/>
      <c r="R594" s="846"/>
      <c r="S594" s="846"/>
      <c r="T594" s="846"/>
      <c r="U594" s="846"/>
    </row>
    <row r="595" ht="14.25" customHeight="1">
      <c r="A595" s="846"/>
      <c r="B595" s="846"/>
      <c r="C595" s="846"/>
      <c r="D595" s="847"/>
      <c r="E595" s="847"/>
      <c r="F595" s="846"/>
      <c r="G595" s="847"/>
      <c r="H595" s="868"/>
      <c r="I595" s="846"/>
      <c r="J595" s="846"/>
      <c r="K595" s="846"/>
      <c r="L595" s="846"/>
      <c r="M595" s="846"/>
      <c r="N595" s="847"/>
      <c r="O595" s="846"/>
      <c r="P595" s="846"/>
      <c r="Q595" s="846"/>
      <c r="R595" s="846"/>
      <c r="S595" s="846"/>
      <c r="T595" s="846"/>
      <c r="U595" s="846"/>
    </row>
    <row r="596" ht="14.25" customHeight="1">
      <c r="A596" s="846"/>
      <c r="B596" s="846"/>
      <c r="C596" s="846"/>
      <c r="D596" s="847"/>
      <c r="E596" s="847"/>
      <c r="F596" s="846"/>
      <c r="G596" s="847"/>
      <c r="H596" s="868"/>
      <c r="I596" s="846"/>
      <c r="J596" s="846"/>
      <c r="K596" s="846"/>
      <c r="L596" s="846"/>
      <c r="M596" s="846"/>
      <c r="N596" s="847"/>
      <c r="O596" s="846"/>
      <c r="P596" s="846"/>
      <c r="Q596" s="846"/>
      <c r="R596" s="846"/>
      <c r="S596" s="846"/>
      <c r="T596" s="846"/>
      <c r="U596" s="846"/>
    </row>
    <row r="597" ht="14.25" customHeight="1">
      <c r="A597" s="846"/>
      <c r="B597" s="846"/>
      <c r="C597" s="846"/>
      <c r="D597" s="847"/>
      <c r="E597" s="847"/>
      <c r="F597" s="846"/>
      <c r="G597" s="847"/>
      <c r="H597" s="868"/>
      <c r="I597" s="846"/>
      <c r="J597" s="846"/>
      <c r="K597" s="846"/>
      <c r="L597" s="846"/>
      <c r="M597" s="846"/>
      <c r="N597" s="847"/>
      <c r="O597" s="846"/>
      <c r="P597" s="846"/>
      <c r="Q597" s="846"/>
      <c r="R597" s="846"/>
      <c r="S597" s="846"/>
      <c r="T597" s="846"/>
      <c r="U597" s="846"/>
    </row>
    <row r="598" ht="14.25" customHeight="1">
      <c r="A598" s="846"/>
      <c r="B598" s="846"/>
      <c r="C598" s="846"/>
      <c r="D598" s="847"/>
      <c r="E598" s="847"/>
      <c r="F598" s="846"/>
      <c r="G598" s="847"/>
      <c r="H598" s="868"/>
      <c r="I598" s="846"/>
      <c r="J598" s="846"/>
      <c r="K598" s="846"/>
      <c r="L598" s="846"/>
      <c r="M598" s="846"/>
      <c r="N598" s="847"/>
      <c r="O598" s="846"/>
      <c r="P598" s="846"/>
      <c r="Q598" s="846"/>
      <c r="R598" s="846"/>
      <c r="S598" s="846"/>
      <c r="T598" s="846"/>
      <c r="U598" s="846"/>
    </row>
    <row r="599" ht="14.25" customHeight="1">
      <c r="A599" s="846"/>
      <c r="B599" s="846"/>
      <c r="C599" s="846"/>
      <c r="D599" s="847"/>
      <c r="E599" s="847"/>
      <c r="F599" s="846"/>
      <c r="G599" s="847"/>
      <c r="H599" s="868"/>
      <c r="I599" s="846"/>
      <c r="J599" s="846"/>
      <c r="K599" s="846"/>
      <c r="L599" s="846"/>
      <c r="M599" s="846"/>
      <c r="N599" s="847"/>
      <c r="O599" s="846"/>
      <c r="P599" s="846"/>
      <c r="Q599" s="846"/>
      <c r="R599" s="846"/>
      <c r="S599" s="846"/>
      <c r="T599" s="846"/>
      <c r="U599" s="846"/>
    </row>
    <row r="600" ht="14.25" customHeight="1">
      <c r="A600" s="846"/>
      <c r="B600" s="846"/>
      <c r="C600" s="846"/>
      <c r="D600" s="847"/>
      <c r="E600" s="847"/>
      <c r="F600" s="846"/>
      <c r="G600" s="847"/>
      <c r="H600" s="868"/>
      <c r="I600" s="846"/>
      <c r="J600" s="846"/>
      <c r="K600" s="846"/>
      <c r="L600" s="846"/>
      <c r="M600" s="846"/>
      <c r="N600" s="847"/>
      <c r="O600" s="846"/>
      <c r="P600" s="846"/>
      <c r="Q600" s="846"/>
      <c r="R600" s="846"/>
      <c r="S600" s="846"/>
      <c r="T600" s="846"/>
      <c r="U600" s="846"/>
    </row>
    <row r="601" ht="14.25" customHeight="1">
      <c r="A601" s="846"/>
      <c r="B601" s="846"/>
      <c r="C601" s="846"/>
      <c r="D601" s="847"/>
      <c r="E601" s="847"/>
      <c r="F601" s="846"/>
      <c r="G601" s="847"/>
      <c r="H601" s="868"/>
      <c r="I601" s="846"/>
      <c r="J601" s="846"/>
      <c r="K601" s="846"/>
      <c r="L601" s="846"/>
      <c r="M601" s="846"/>
      <c r="N601" s="847"/>
      <c r="O601" s="846"/>
      <c r="P601" s="846"/>
      <c r="Q601" s="846"/>
      <c r="R601" s="846"/>
      <c r="S601" s="846"/>
      <c r="T601" s="846"/>
      <c r="U601" s="846"/>
    </row>
    <row r="602" ht="14.25" customHeight="1">
      <c r="A602" s="846"/>
      <c r="B602" s="846"/>
      <c r="C602" s="846"/>
      <c r="D602" s="847"/>
      <c r="E602" s="847"/>
      <c r="F602" s="846"/>
      <c r="G602" s="847"/>
      <c r="H602" s="868"/>
      <c r="I602" s="846"/>
      <c r="J602" s="846"/>
      <c r="K602" s="846"/>
      <c r="L602" s="846"/>
      <c r="M602" s="846"/>
      <c r="N602" s="847"/>
      <c r="O602" s="846"/>
      <c r="P602" s="846"/>
      <c r="Q602" s="846"/>
      <c r="R602" s="846"/>
      <c r="S602" s="846"/>
      <c r="T602" s="846"/>
      <c r="U602" s="846"/>
    </row>
    <row r="603" ht="14.25" customHeight="1">
      <c r="A603" s="846"/>
      <c r="B603" s="846"/>
      <c r="C603" s="846"/>
      <c r="D603" s="847"/>
      <c r="E603" s="847"/>
      <c r="F603" s="846"/>
      <c r="G603" s="847"/>
      <c r="H603" s="868"/>
      <c r="I603" s="846"/>
      <c r="J603" s="846"/>
      <c r="K603" s="846"/>
      <c r="L603" s="846"/>
      <c r="M603" s="846"/>
      <c r="N603" s="847"/>
      <c r="O603" s="846"/>
      <c r="P603" s="846"/>
      <c r="Q603" s="846"/>
      <c r="R603" s="846"/>
      <c r="S603" s="846"/>
      <c r="T603" s="846"/>
      <c r="U603" s="846"/>
    </row>
    <row r="604" ht="14.25" customHeight="1">
      <c r="A604" s="846"/>
      <c r="B604" s="846"/>
      <c r="C604" s="846"/>
      <c r="D604" s="847"/>
      <c r="E604" s="847"/>
      <c r="F604" s="846"/>
      <c r="G604" s="847"/>
      <c r="H604" s="868"/>
      <c r="I604" s="846"/>
      <c r="J604" s="846"/>
      <c r="K604" s="846"/>
      <c r="L604" s="846"/>
      <c r="M604" s="846"/>
      <c r="N604" s="847"/>
      <c r="O604" s="846"/>
      <c r="P604" s="846"/>
      <c r="Q604" s="846"/>
      <c r="R604" s="846"/>
      <c r="S604" s="846"/>
      <c r="T604" s="846"/>
      <c r="U604" s="846"/>
    </row>
    <row r="605" ht="14.25" customHeight="1">
      <c r="A605" s="846"/>
      <c r="B605" s="846"/>
      <c r="C605" s="846"/>
      <c r="D605" s="847"/>
      <c r="E605" s="847"/>
      <c r="F605" s="846"/>
      <c r="G605" s="847"/>
      <c r="H605" s="868"/>
      <c r="I605" s="846"/>
      <c r="J605" s="846"/>
      <c r="K605" s="846"/>
      <c r="L605" s="846"/>
      <c r="M605" s="846"/>
      <c r="N605" s="847"/>
      <c r="O605" s="846"/>
      <c r="P605" s="846"/>
      <c r="Q605" s="846"/>
      <c r="R605" s="846"/>
      <c r="S605" s="846"/>
      <c r="T605" s="846"/>
      <c r="U605" s="846"/>
    </row>
    <row r="606" ht="14.25" customHeight="1">
      <c r="A606" s="846"/>
      <c r="B606" s="846"/>
      <c r="C606" s="846"/>
      <c r="D606" s="847"/>
      <c r="E606" s="847"/>
      <c r="F606" s="846"/>
      <c r="G606" s="847"/>
      <c r="H606" s="868"/>
      <c r="I606" s="846"/>
      <c r="J606" s="846"/>
      <c r="K606" s="846"/>
      <c r="L606" s="846"/>
      <c r="M606" s="846"/>
      <c r="N606" s="847"/>
      <c r="O606" s="846"/>
      <c r="P606" s="846"/>
      <c r="Q606" s="846"/>
      <c r="R606" s="846"/>
      <c r="S606" s="846"/>
      <c r="T606" s="846"/>
      <c r="U606" s="846"/>
    </row>
    <row r="607" ht="14.25" customHeight="1">
      <c r="A607" s="846"/>
      <c r="B607" s="846"/>
      <c r="C607" s="846"/>
      <c r="D607" s="847"/>
      <c r="E607" s="847"/>
      <c r="F607" s="846"/>
      <c r="G607" s="847"/>
      <c r="H607" s="868"/>
      <c r="I607" s="846"/>
      <c r="J607" s="846"/>
      <c r="K607" s="846"/>
      <c r="L607" s="846"/>
      <c r="M607" s="846"/>
      <c r="N607" s="847"/>
      <c r="O607" s="846"/>
      <c r="P607" s="846"/>
      <c r="Q607" s="846"/>
      <c r="R607" s="846"/>
      <c r="S607" s="846"/>
      <c r="T607" s="846"/>
      <c r="U607" s="846"/>
    </row>
    <row r="608" ht="14.25" customHeight="1">
      <c r="A608" s="846"/>
      <c r="B608" s="846"/>
      <c r="C608" s="846"/>
      <c r="D608" s="847"/>
      <c r="E608" s="847"/>
      <c r="F608" s="846"/>
      <c r="G608" s="847"/>
      <c r="H608" s="868"/>
      <c r="I608" s="846"/>
      <c r="J608" s="846"/>
      <c r="K608" s="846"/>
      <c r="L608" s="846"/>
      <c r="M608" s="846"/>
      <c r="N608" s="847"/>
      <c r="O608" s="846"/>
      <c r="P608" s="846"/>
      <c r="Q608" s="846"/>
      <c r="R608" s="846"/>
      <c r="S608" s="846"/>
      <c r="T608" s="846"/>
      <c r="U608" s="846"/>
    </row>
    <row r="609" ht="14.25" customHeight="1">
      <c r="A609" s="846"/>
      <c r="B609" s="846"/>
      <c r="C609" s="846"/>
      <c r="D609" s="847"/>
      <c r="E609" s="847"/>
      <c r="F609" s="846"/>
      <c r="G609" s="847"/>
      <c r="H609" s="868"/>
      <c r="I609" s="846"/>
      <c r="J609" s="846"/>
      <c r="K609" s="846"/>
      <c r="L609" s="846"/>
      <c r="M609" s="846"/>
      <c r="N609" s="847"/>
      <c r="O609" s="846"/>
      <c r="P609" s="846"/>
      <c r="Q609" s="846"/>
      <c r="R609" s="846"/>
      <c r="S609" s="846"/>
      <c r="T609" s="846"/>
      <c r="U609" s="846"/>
    </row>
    <row r="610" ht="14.25" customHeight="1">
      <c r="A610" s="846"/>
      <c r="B610" s="846"/>
      <c r="C610" s="846"/>
      <c r="D610" s="847"/>
      <c r="E610" s="847"/>
      <c r="F610" s="846"/>
      <c r="G610" s="847"/>
      <c r="H610" s="868"/>
      <c r="I610" s="846"/>
      <c r="J610" s="846"/>
      <c r="K610" s="846"/>
      <c r="L610" s="846"/>
      <c r="M610" s="846"/>
      <c r="N610" s="847"/>
      <c r="O610" s="846"/>
      <c r="P610" s="846"/>
      <c r="Q610" s="846"/>
      <c r="R610" s="846"/>
      <c r="S610" s="846"/>
      <c r="T610" s="846"/>
      <c r="U610" s="846"/>
    </row>
    <row r="611" ht="14.25" customHeight="1">
      <c r="A611" s="846"/>
      <c r="B611" s="846"/>
      <c r="C611" s="846"/>
      <c r="D611" s="847"/>
      <c r="E611" s="847"/>
      <c r="F611" s="846"/>
      <c r="G611" s="847"/>
      <c r="H611" s="868"/>
      <c r="I611" s="846"/>
      <c r="J611" s="846"/>
      <c r="K611" s="846"/>
      <c r="L611" s="846"/>
      <c r="M611" s="846"/>
      <c r="N611" s="847"/>
      <c r="O611" s="846"/>
      <c r="P611" s="846"/>
      <c r="Q611" s="846"/>
      <c r="R611" s="846"/>
      <c r="S611" s="846"/>
      <c r="T611" s="846"/>
      <c r="U611" s="846"/>
    </row>
    <row r="612" ht="14.25" customHeight="1">
      <c r="A612" s="846"/>
      <c r="B612" s="846"/>
      <c r="C612" s="846"/>
      <c r="D612" s="847"/>
      <c r="E612" s="847"/>
      <c r="F612" s="846"/>
      <c r="G612" s="847"/>
      <c r="H612" s="868"/>
      <c r="I612" s="846"/>
      <c r="J612" s="846"/>
      <c r="K612" s="846"/>
      <c r="L612" s="846"/>
      <c r="M612" s="846"/>
      <c r="N612" s="847"/>
      <c r="O612" s="846"/>
      <c r="P612" s="846"/>
      <c r="Q612" s="846"/>
      <c r="R612" s="846"/>
      <c r="S612" s="846"/>
      <c r="T612" s="846"/>
      <c r="U612" s="846"/>
    </row>
    <row r="613" ht="14.25" customHeight="1">
      <c r="A613" s="846"/>
      <c r="B613" s="846"/>
      <c r="C613" s="846"/>
      <c r="D613" s="847"/>
      <c r="E613" s="847"/>
      <c r="F613" s="846"/>
      <c r="G613" s="847"/>
      <c r="H613" s="868"/>
      <c r="I613" s="846"/>
      <c r="J613" s="846"/>
      <c r="K613" s="846"/>
      <c r="L613" s="846"/>
      <c r="M613" s="846"/>
      <c r="N613" s="847"/>
      <c r="O613" s="846"/>
      <c r="P613" s="846"/>
      <c r="Q613" s="846"/>
      <c r="R613" s="846"/>
      <c r="S613" s="846"/>
      <c r="T613" s="846"/>
      <c r="U613" s="846"/>
    </row>
    <row r="614" ht="14.25" customHeight="1">
      <c r="A614" s="846"/>
      <c r="B614" s="846"/>
      <c r="C614" s="846"/>
      <c r="D614" s="847"/>
      <c r="E614" s="847"/>
      <c r="F614" s="846"/>
      <c r="G614" s="847"/>
      <c r="H614" s="868"/>
      <c r="I614" s="846"/>
      <c r="J614" s="846"/>
      <c r="K614" s="846"/>
      <c r="L614" s="846"/>
      <c r="M614" s="846"/>
      <c r="N614" s="847"/>
      <c r="O614" s="846"/>
      <c r="P614" s="846"/>
      <c r="Q614" s="846"/>
      <c r="R614" s="846"/>
      <c r="S614" s="846"/>
      <c r="T614" s="846"/>
      <c r="U614" s="846"/>
    </row>
    <row r="615" ht="14.25" customHeight="1">
      <c r="A615" s="846"/>
      <c r="B615" s="846"/>
      <c r="C615" s="846"/>
      <c r="D615" s="847"/>
      <c r="E615" s="847"/>
      <c r="F615" s="846"/>
      <c r="G615" s="847"/>
      <c r="H615" s="868"/>
      <c r="I615" s="846"/>
      <c r="J615" s="846"/>
      <c r="K615" s="846"/>
      <c r="L615" s="846"/>
      <c r="M615" s="846"/>
      <c r="N615" s="847"/>
      <c r="O615" s="846"/>
      <c r="P615" s="846"/>
      <c r="Q615" s="846"/>
      <c r="R615" s="846"/>
      <c r="S615" s="846"/>
      <c r="T615" s="846"/>
      <c r="U615" s="846"/>
    </row>
    <row r="616" ht="14.25" customHeight="1">
      <c r="A616" s="846"/>
      <c r="B616" s="846"/>
      <c r="C616" s="846"/>
      <c r="D616" s="847"/>
      <c r="E616" s="847"/>
      <c r="F616" s="846"/>
      <c r="G616" s="847"/>
      <c r="H616" s="868"/>
      <c r="I616" s="846"/>
      <c r="J616" s="846"/>
      <c r="K616" s="846"/>
      <c r="L616" s="846"/>
      <c r="M616" s="846"/>
      <c r="N616" s="847"/>
      <c r="O616" s="846"/>
      <c r="P616" s="846"/>
      <c r="Q616" s="846"/>
      <c r="R616" s="846"/>
      <c r="S616" s="846"/>
      <c r="T616" s="846"/>
      <c r="U616" s="846"/>
    </row>
    <row r="617" ht="14.25" customHeight="1">
      <c r="A617" s="846"/>
      <c r="B617" s="846"/>
      <c r="C617" s="846"/>
      <c r="D617" s="847"/>
      <c r="E617" s="847"/>
      <c r="F617" s="846"/>
      <c r="G617" s="847"/>
      <c r="H617" s="868"/>
      <c r="I617" s="846"/>
      <c r="J617" s="846"/>
      <c r="K617" s="846"/>
      <c r="L617" s="846"/>
      <c r="M617" s="846"/>
      <c r="N617" s="847"/>
      <c r="O617" s="846"/>
      <c r="P617" s="846"/>
      <c r="Q617" s="846"/>
      <c r="R617" s="846"/>
      <c r="S617" s="846"/>
      <c r="T617" s="846"/>
      <c r="U617" s="846"/>
    </row>
    <row r="618" ht="14.25" customHeight="1">
      <c r="A618" s="846"/>
      <c r="B618" s="846"/>
      <c r="C618" s="846"/>
      <c r="D618" s="847"/>
      <c r="E618" s="847"/>
      <c r="F618" s="846"/>
      <c r="G618" s="847"/>
      <c r="H618" s="868"/>
      <c r="I618" s="846"/>
      <c r="J618" s="846"/>
      <c r="K618" s="846"/>
      <c r="L618" s="846"/>
      <c r="M618" s="846"/>
      <c r="N618" s="847"/>
      <c r="O618" s="846"/>
      <c r="P618" s="846"/>
      <c r="Q618" s="846"/>
      <c r="R618" s="846"/>
      <c r="S618" s="846"/>
      <c r="T618" s="846"/>
      <c r="U618" s="846"/>
    </row>
    <row r="619" ht="14.25" customHeight="1">
      <c r="A619" s="846"/>
      <c r="B619" s="846"/>
      <c r="C619" s="846"/>
      <c r="D619" s="847"/>
      <c r="E619" s="847"/>
      <c r="F619" s="846"/>
      <c r="G619" s="847"/>
      <c r="H619" s="868"/>
      <c r="I619" s="846"/>
      <c r="J619" s="846"/>
      <c r="K619" s="846"/>
      <c r="L619" s="846"/>
      <c r="M619" s="846"/>
      <c r="N619" s="847"/>
      <c r="O619" s="846"/>
      <c r="P619" s="846"/>
      <c r="Q619" s="846"/>
      <c r="R619" s="846"/>
      <c r="S619" s="846"/>
      <c r="T619" s="846"/>
      <c r="U619" s="846"/>
    </row>
    <row r="620" ht="14.25" customHeight="1">
      <c r="A620" s="846"/>
      <c r="B620" s="846"/>
      <c r="C620" s="846"/>
      <c r="D620" s="847"/>
      <c r="E620" s="847"/>
      <c r="F620" s="846"/>
      <c r="G620" s="847"/>
      <c r="H620" s="868"/>
      <c r="I620" s="846"/>
      <c r="J620" s="846"/>
      <c r="K620" s="846"/>
      <c r="L620" s="846"/>
      <c r="M620" s="846"/>
      <c r="N620" s="847"/>
      <c r="O620" s="846"/>
      <c r="P620" s="846"/>
      <c r="Q620" s="846"/>
      <c r="R620" s="846"/>
      <c r="S620" s="846"/>
      <c r="T620" s="846"/>
      <c r="U620" s="846"/>
    </row>
    <row r="621" ht="14.25" customHeight="1">
      <c r="A621" s="846"/>
      <c r="B621" s="846"/>
      <c r="C621" s="846"/>
      <c r="D621" s="847"/>
      <c r="E621" s="847"/>
      <c r="F621" s="846"/>
      <c r="G621" s="847"/>
      <c r="H621" s="868"/>
      <c r="I621" s="846"/>
      <c r="J621" s="846"/>
      <c r="K621" s="846"/>
      <c r="L621" s="846"/>
      <c r="M621" s="846"/>
      <c r="N621" s="847"/>
      <c r="O621" s="846"/>
      <c r="P621" s="846"/>
      <c r="Q621" s="846"/>
      <c r="R621" s="846"/>
      <c r="S621" s="846"/>
      <c r="T621" s="846"/>
      <c r="U621" s="846"/>
    </row>
    <row r="622" ht="14.25" customHeight="1">
      <c r="A622" s="846"/>
      <c r="B622" s="846"/>
      <c r="C622" s="846"/>
      <c r="D622" s="847"/>
      <c r="E622" s="847"/>
      <c r="F622" s="846"/>
      <c r="G622" s="847"/>
      <c r="H622" s="868"/>
      <c r="I622" s="846"/>
      <c r="J622" s="846"/>
      <c r="K622" s="846"/>
      <c r="L622" s="846"/>
      <c r="M622" s="846"/>
      <c r="N622" s="847"/>
      <c r="O622" s="846"/>
      <c r="P622" s="846"/>
      <c r="Q622" s="846"/>
      <c r="R622" s="846"/>
      <c r="S622" s="846"/>
      <c r="T622" s="846"/>
      <c r="U622" s="846"/>
    </row>
    <row r="623" ht="14.25" customHeight="1">
      <c r="A623" s="846"/>
      <c r="B623" s="846"/>
      <c r="C623" s="846"/>
      <c r="D623" s="847"/>
      <c r="E623" s="847"/>
      <c r="F623" s="846"/>
      <c r="G623" s="847"/>
      <c r="H623" s="868"/>
      <c r="I623" s="846"/>
      <c r="J623" s="846"/>
      <c r="K623" s="846"/>
      <c r="L623" s="846"/>
      <c r="M623" s="846"/>
      <c r="N623" s="847"/>
      <c r="O623" s="846"/>
      <c r="P623" s="846"/>
      <c r="Q623" s="846"/>
      <c r="R623" s="846"/>
      <c r="S623" s="846"/>
      <c r="T623" s="846"/>
      <c r="U623" s="846"/>
    </row>
    <row r="624" ht="14.25" customHeight="1">
      <c r="A624" s="846"/>
      <c r="B624" s="846"/>
      <c r="C624" s="846"/>
      <c r="D624" s="847"/>
      <c r="E624" s="847"/>
      <c r="F624" s="846"/>
      <c r="G624" s="847"/>
      <c r="H624" s="868"/>
      <c r="I624" s="846"/>
      <c r="J624" s="846"/>
      <c r="K624" s="846"/>
      <c r="L624" s="846"/>
      <c r="M624" s="846"/>
      <c r="N624" s="847"/>
      <c r="O624" s="846"/>
      <c r="P624" s="846"/>
      <c r="Q624" s="846"/>
      <c r="R624" s="846"/>
      <c r="S624" s="846"/>
      <c r="T624" s="846"/>
      <c r="U624" s="846"/>
    </row>
    <row r="625" ht="14.25" customHeight="1">
      <c r="A625" s="846"/>
      <c r="B625" s="846"/>
      <c r="C625" s="846"/>
      <c r="D625" s="847"/>
      <c r="E625" s="847"/>
      <c r="F625" s="846"/>
      <c r="G625" s="847"/>
      <c r="H625" s="868"/>
      <c r="I625" s="846"/>
      <c r="J625" s="846"/>
      <c r="K625" s="846"/>
      <c r="L625" s="846"/>
      <c r="M625" s="846"/>
      <c r="N625" s="847"/>
      <c r="O625" s="846"/>
      <c r="P625" s="846"/>
      <c r="Q625" s="846"/>
      <c r="R625" s="846"/>
      <c r="S625" s="846"/>
      <c r="T625" s="846"/>
      <c r="U625" s="846"/>
    </row>
    <row r="626" ht="14.25" customHeight="1">
      <c r="A626" s="846"/>
      <c r="B626" s="846"/>
      <c r="C626" s="846"/>
      <c r="D626" s="847"/>
      <c r="E626" s="847"/>
      <c r="F626" s="846"/>
      <c r="G626" s="847"/>
      <c r="H626" s="868"/>
      <c r="I626" s="846"/>
      <c r="J626" s="846"/>
      <c r="K626" s="846"/>
      <c r="L626" s="846"/>
      <c r="M626" s="846"/>
      <c r="N626" s="847"/>
      <c r="O626" s="846"/>
      <c r="P626" s="846"/>
      <c r="Q626" s="846"/>
      <c r="R626" s="846"/>
      <c r="S626" s="846"/>
      <c r="T626" s="846"/>
      <c r="U626" s="846"/>
    </row>
    <row r="627" ht="14.25" customHeight="1">
      <c r="A627" s="846"/>
      <c r="B627" s="846"/>
      <c r="C627" s="846"/>
      <c r="D627" s="847"/>
      <c r="E627" s="847"/>
      <c r="F627" s="846"/>
      <c r="G627" s="847"/>
      <c r="H627" s="868"/>
      <c r="I627" s="846"/>
      <c r="J627" s="846"/>
      <c r="K627" s="846"/>
      <c r="L627" s="846"/>
      <c r="M627" s="846"/>
      <c r="N627" s="847"/>
      <c r="O627" s="846"/>
      <c r="P627" s="846"/>
      <c r="Q627" s="846"/>
      <c r="R627" s="846"/>
      <c r="S627" s="846"/>
      <c r="T627" s="846"/>
      <c r="U627" s="846"/>
    </row>
    <row r="628" ht="14.25" customHeight="1">
      <c r="A628" s="846"/>
      <c r="B628" s="846"/>
      <c r="C628" s="846"/>
      <c r="D628" s="847"/>
      <c r="E628" s="847"/>
      <c r="F628" s="846"/>
      <c r="G628" s="847"/>
      <c r="H628" s="868"/>
      <c r="I628" s="846"/>
      <c r="J628" s="846"/>
      <c r="K628" s="846"/>
      <c r="L628" s="846"/>
      <c r="M628" s="846"/>
      <c r="N628" s="847"/>
      <c r="O628" s="846"/>
      <c r="P628" s="846"/>
      <c r="Q628" s="846"/>
      <c r="R628" s="846"/>
      <c r="S628" s="846"/>
      <c r="T628" s="846"/>
      <c r="U628" s="846"/>
    </row>
    <row r="629" ht="14.25" customHeight="1">
      <c r="A629" s="846"/>
      <c r="B629" s="846"/>
      <c r="C629" s="846"/>
      <c r="D629" s="847"/>
      <c r="E629" s="847"/>
      <c r="F629" s="846"/>
      <c r="G629" s="847"/>
      <c r="H629" s="868"/>
      <c r="I629" s="846"/>
      <c r="J629" s="846"/>
      <c r="K629" s="846"/>
      <c r="L629" s="846"/>
      <c r="M629" s="846"/>
      <c r="N629" s="847"/>
      <c r="O629" s="846"/>
      <c r="P629" s="846"/>
      <c r="Q629" s="846"/>
      <c r="R629" s="846"/>
      <c r="S629" s="846"/>
      <c r="T629" s="846"/>
      <c r="U629" s="846"/>
    </row>
    <row r="630" ht="14.25" customHeight="1">
      <c r="A630" s="846"/>
      <c r="B630" s="846"/>
      <c r="C630" s="846"/>
      <c r="D630" s="847"/>
      <c r="E630" s="847"/>
      <c r="F630" s="846"/>
      <c r="G630" s="847"/>
      <c r="H630" s="868"/>
      <c r="I630" s="846"/>
      <c r="J630" s="846"/>
      <c r="K630" s="846"/>
      <c r="L630" s="846"/>
      <c r="M630" s="846"/>
      <c r="N630" s="847"/>
      <c r="O630" s="846"/>
      <c r="P630" s="846"/>
      <c r="Q630" s="846"/>
      <c r="R630" s="846"/>
      <c r="S630" s="846"/>
      <c r="T630" s="846"/>
      <c r="U630" s="846"/>
    </row>
    <row r="631" ht="14.25" customHeight="1">
      <c r="A631" s="846"/>
      <c r="B631" s="846"/>
      <c r="C631" s="846"/>
      <c r="D631" s="847"/>
      <c r="E631" s="847"/>
      <c r="F631" s="846"/>
      <c r="G631" s="847"/>
      <c r="H631" s="868"/>
      <c r="I631" s="846"/>
      <c r="J631" s="846"/>
      <c r="K631" s="846"/>
      <c r="L631" s="846"/>
      <c r="M631" s="846"/>
      <c r="N631" s="847"/>
      <c r="O631" s="846"/>
      <c r="P631" s="846"/>
      <c r="Q631" s="846"/>
      <c r="R631" s="846"/>
      <c r="S631" s="846"/>
      <c r="T631" s="846"/>
      <c r="U631" s="846"/>
    </row>
    <row r="632" ht="14.25" customHeight="1">
      <c r="A632" s="846"/>
      <c r="B632" s="846"/>
      <c r="C632" s="846"/>
      <c r="D632" s="847"/>
      <c r="E632" s="847"/>
      <c r="F632" s="846"/>
      <c r="G632" s="847"/>
      <c r="H632" s="868"/>
      <c r="I632" s="846"/>
      <c r="J632" s="846"/>
      <c r="K632" s="846"/>
      <c r="L632" s="846"/>
      <c r="M632" s="846"/>
      <c r="N632" s="847"/>
      <c r="O632" s="846"/>
      <c r="P632" s="846"/>
      <c r="Q632" s="846"/>
      <c r="R632" s="846"/>
      <c r="S632" s="846"/>
      <c r="T632" s="846"/>
      <c r="U632" s="846"/>
    </row>
    <row r="633" ht="14.25" customHeight="1">
      <c r="A633" s="846"/>
      <c r="B633" s="846"/>
      <c r="C633" s="846"/>
      <c r="D633" s="847"/>
      <c r="E633" s="847"/>
      <c r="F633" s="846"/>
      <c r="G633" s="847"/>
      <c r="H633" s="868"/>
      <c r="I633" s="846"/>
      <c r="J633" s="846"/>
      <c r="K633" s="846"/>
      <c r="L633" s="846"/>
      <c r="M633" s="846"/>
      <c r="N633" s="847"/>
      <c r="O633" s="846"/>
      <c r="P633" s="846"/>
      <c r="Q633" s="846"/>
      <c r="R633" s="846"/>
      <c r="S633" s="846"/>
      <c r="T633" s="846"/>
      <c r="U633" s="846"/>
    </row>
    <row r="634" ht="14.25" customHeight="1">
      <c r="A634" s="846"/>
      <c r="B634" s="846"/>
      <c r="C634" s="846"/>
      <c r="D634" s="847"/>
      <c r="E634" s="847"/>
      <c r="F634" s="846"/>
      <c r="G634" s="847"/>
      <c r="H634" s="868"/>
      <c r="I634" s="846"/>
      <c r="J634" s="846"/>
      <c r="K634" s="846"/>
      <c r="L634" s="846"/>
      <c r="M634" s="846"/>
      <c r="N634" s="847"/>
      <c r="O634" s="846"/>
      <c r="P634" s="846"/>
      <c r="Q634" s="846"/>
      <c r="R634" s="846"/>
      <c r="S634" s="846"/>
      <c r="T634" s="846"/>
      <c r="U634" s="846"/>
    </row>
    <row r="635" ht="14.25" customHeight="1">
      <c r="A635" s="846"/>
      <c r="B635" s="846"/>
      <c r="C635" s="846"/>
      <c r="D635" s="847"/>
      <c r="E635" s="847"/>
      <c r="F635" s="846"/>
      <c r="G635" s="847"/>
      <c r="H635" s="868"/>
      <c r="I635" s="846"/>
      <c r="J635" s="846"/>
      <c r="K635" s="846"/>
      <c r="L635" s="846"/>
      <c r="M635" s="846"/>
      <c r="N635" s="847"/>
      <c r="O635" s="846"/>
      <c r="P635" s="846"/>
      <c r="Q635" s="846"/>
      <c r="R635" s="846"/>
      <c r="S635" s="846"/>
      <c r="T635" s="846"/>
      <c r="U635" s="846"/>
    </row>
    <row r="636" ht="14.25" customHeight="1">
      <c r="A636" s="846"/>
      <c r="B636" s="846"/>
      <c r="C636" s="846"/>
      <c r="D636" s="847"/>
      <c r="E636" s="847"/>
      <c r="F636" s="846"/>
      <c r="G636" s="847"/>
      <c r="H636" s="868"/>
      <c r="I636" s="846"/>
      <c r="J636" s="846"/>
      <c r="K636" s="846"/>
      <c r="L636" s="846"/>
      <c r="M636" s="846"/>
      <c r="N636" s="847"/>
      <c r="O636" s="846"/>
      <c r="P636" s="846"/>
      <c r="Q636" s="846"/>
      <c r="R636" s="846"/>
      <c r="S636" s="846"/>
      <c r="T636" s="846"/>
      <c r="U636" s="846"/>
    </row>
    <row r="637" ht="14.25" customHeight="1">
      <c r="A637" s="846"/>
      <c r="B637" s="846"/>
      <c r="C637" s="846"/>
      <c r="D637" s="847"/>
      <c r="E637" s="847"/>
      <c r="F637" s="846"/>
      <c r="G637" s="847"/>
      <c r="H637" s="868"/>
      <c r="I637" s="846"/>
      <c r="J637" s="846"/>
      <c r="K637" s="846"/>
      <c r="L637" s="846"/>
      <c r="M637" s="846"/>
      <c r="N637" s="847"/>
      <c r="O637" s="846"/>
      <c r="P637" s="846"/>
      <c r="Q637" s="846"/>
      <c r="R637" s="846"/>
      <c r="S637" s="846"/>
      <c r="T637" s="846"/>
      <c r="U637" s="846"/>
    </row>
    <row r="638" ht="14.25" customHeight="1">
      <c r="A638" s="846"/>
      <c r="B638" s="846"/>
      <c r="C638" s="846"/>
      <c r="D638" s="847"/>
      <c r="E638" s="847"/>
      <c r="F638" s="846"/>
      <c r="G638" s="847"/>
      <c r="H638" s="868"/>
      <c r="I638" s="846"/>
      <c r="J638" s="846"/>
      <c r="K638" s="846"/>
      <c r="L638" s="846"/>
      <c r="M638" s="846"/>
      <c r="N638" s="847"/>
      <c r="O638" s="846"/>
      <c r="P638" s="846"/>
      <c r="Q638" s="846"/>
      <c r="R638" s="846"/>
      <c r="S638" s="846"/>
      <c r="T638" s="846"/>
      <c r="U638" s="846"/>
    </row>
    <row r="639" ht="14.25" customHeight="1">
      <c r="A639" s="846"/>
      <c r="B639" s="846"/>
      <c r="C639" s="846"/>
      <c r="D639" s="847"/>
      <c r="E639" s="847"/>
      <c r="F639" s="846"/>
      <c r="G639" s="847"/>
      <c r="H639" s="868"/>
      <c r="I639" s="846"/>
      <c r="J639" s="846"/>
      <c r="K639" s="846"/>
      <c r="L639" s="846"/>
      <c r="M639" s="846"/>
      <c r="N639" s="847"/>
      <c r="O639" s="846"/>
      <c r="P639" s="846"/>
      <c r="Q639" s="846"/>
      <c r="R639" s="846"/>
      <c r="S639" s="846"/>
      <c r="T639" s="846"/>
      <c r="U639" s="846"/>
    </row>
    <row r="640" ht="14.25" customHeight="1">
      <c r="A640" s="846"/>
      <c r="B640" s="846"/>
      <c r="C640" s="846"/>
      <c r="D640" s="847"/>
      <c r="E640" s="847"/>
      <c r="F640" s="846"/>
      <c r="G640" s="847"/>
      <c r="H640" s="868"/>
      <c r="I640" s="846"/>
      <c r="J640" s="846"/>
      <c r="K640" s="846"/>
      <c r="L640" s="846"/>
      <c r="M640" s="846"/>
      <c r="N640" s="847"/>
      <c r="O640" s="846"/>
      <c r="P640" s="846"/>
      <c r="Q640" s="846"/>
      <c r="R640" s="846"/>
      <c r="S640" s="846"/>
      <c r="T640" s="846"/>
      <c r="U640" s="846"/>
    </row>
    <row r="641" ht="14.25" customHeight="1">
      <c r="A641" s="846"/>
      <c r="B641" s="846"/>
      <c r="C641" s="846"/>
      <c r="D641" s="847"/>
      <c r="E641" s="847"/>
      <c r="F641" s="846"/>
      <c r="G641" s="847"/>
      <c r="H641" s="868"/>
      <c r="I641" s="846"/>
      <c r="J641" s="846"/>
      <c r="K641" s="846"/>
      <c r="L641" s="846"/>
      <c r="M641" s="846"/>
      <c r="N641" s="847"/>
      <c r="O641" s="846"/>
      <c r="P641" s="846"/>
      <c r="Q641" s="846"/>
      <c r="R641" s="846"/>
      <c r="S641" s="846"/>
      <c r="T641" s="846"/>
      <c r="U641" s="846"/>
    </row>
    <row r="642" ht="14.25" customHeight="1">
      <c r="A642" s="846"/>
      <c r="B642" s="846"/>
      <c r="C642" s="846"/>
      <c r="D642" s="847"/>
      <c r="E642" s="847"/>
      <c r="F642" s="846"/>
      <c r="G642" s="847"/>
      <c r="H642" s="868"/>
      <c r="I642" s="846"/>
      <c r="J642" s="846"/>
      <c r="K642" s="846"/>
      <c r="L642" s="846"/>
      <c r="M642" s="846"/>
      <c r="N642" s="847"/>
      <c r="O642" s="846"/>
      <c r="P642" s="846"/>
      <c r="Q642" s="846"/>
      <c r="R642" s="846"/>
      <c r="S642" s="846"/>
      <c r="T642" s="846"/>
      <c r="U642" s="846"/>
    </row>
    <row r="643" ht="14.25" customHeight="1">
      <c r="A643" s="846"/>
      <c r="B643" s="846"/>
      <c r="C643" s="846"/>
      <c r="D643" s="847"/>
      <c r="E643" s="847"/>
      <c r="F643" s="846"/>
      <c r="G643" s="847"/>
      <c r="H643" s="868"/>
      <c r="I643" s="846"/>
      <c r="J643" s="846"/>
      <c r="K643" s="846"/>
      <c r="L643" s="846"/>
      <c r="M643" s="846"/>
      <c r="N643" s="847"/>
      <c r="O643" s="846"/>
      <c r="P643" s="846"/>
      <c r="Q643" s="846"/>
      <c r="R643" s="846"/>
      <c r="S643" s="846"/>
      <c r="T643" s="846"/>
      <c r="U643" s="846"/>
    </row>
    <row r="644" ht="14.25" customHeight="1">
      <c r="A644" s="846"/>
      <c r="B644" s="846"/>
      <c r="C644" s="846"/>
      <c r="D644" s="847"/>
      <c r="E644" s="847"/>
      <c r="F644" s="846"/>
      <c r="G644" s="847"/>
      <c r="H644" s="868"/>
      <c r="I644" s="846"/>
      <c r="J644" s="846"/>
      <c r="K644" s="846"/>
      <c r="L644" s="846"/>
      <c r="M644" s="846"/>
      <c r="N644" s="847"/>
      <c r="O644" s="846"/>
      <c r="P644" s="846"/>
      <c r="Q644" s="846"/>
      <c r="R644" s="846"/>
      <c r="S644" s="846"/>
      <c r="T644" s="846"/>
      <c r="U644" s="846"/>
    </row>
    <row r="645" ht="14.25" customHeight="1">
      <c r="A645" s="846"/>
      <c r="B645" s="846"/>
      <c r="C645" s="846"/>
      <c r="D645" s="847"/>
      <c r="E645" s="847"/>
      <c r="F645" s="846"/>
      <c r="G645" s="847"/>
      <c r="H645" s="868"/>
      <c r="I645" s="846"/>
      <c r="J645" s="846"/>
      <c r="K645" s="846"/>
      <c r="L645" s="846"/>
      <c r="M645" s="846"/>
      <c r="N645" s="847"/>
      <c r="O645" s="846"/>
      <c r="P645" s="846"/>
      <c r="Q645" s="846"/>
      <c r="R645" s="846"/>
      <c r="S645" s="846"/>
      <c r="T645" s="846"/>
      <c r="U645" s="846"/>
    </row>
    <row r="646" ht="14.25" customHeight="1">
      <c r="A646" s="846"/>
      <c r="B646" s="846"/>
      <c r="C646" s="846"/>
      <c r="D646" s="847"/>
      <c r="E646" s="847"/>
      <c r="F646" s="846"/>
      <c r="G646" s="847"/>
      <c r="H646" s="868"/>
      <c r="I646" s="846"/>
      <c r="J646" s="846"/>
      <c r="K646" s="846"/>
      <c r="L646" s="846"/>
      <c r="M646" s="846"/>
      <c r="N646" s="847"/>
      <c r="O646" s="846"/>
      <c r="P646" s="846"/>
      <c r="Q646" s="846"/>
      <c r="R646" s="846"/>
      <c r="S646" s="846"/>
      <c r="T646" s="846"/>
      <c r="U646" s="846"/>
    </row>
    <row r="647" ht="14.25" customHeight="1">
      <c r="A647" s="846"/>
      <c r="B647" s="846"/>
      <c r="C647" s="846"/>
      <c r="D647" s="847"/>
      <c r="E647" s="847"/>
      <c r="F647" s="846"/>
      <c r="G647" s="847"/>
      <c r="H647" s="868"/>
      <c r="I647" s="846"/>
      <c r="J647" s="846"/>
      <c r="K647" s="846"/>
      <c r="L647" s="846"/>
      <c r="M647" s="846"/>
      <c r="N647" s="847"/>
      <c r="O647" s="846"/>
      <c r="P647" s="846"/>
      <c r="Q647" s="846"/>
      <c r="R647" s="846"/>
      <c r="S647" s="846"/>
      <c r="T647" s="846"/>
      <c r="U647" s="846"/>
    </row>
    <row r="648" ht="14.25" customHeight="1">
      <c r="A648" s="846"/>
      <c r="B648" s="846"/>
      <c r="C648" s="846"/>
      <c r="D648" s="847"/>
      <c r="E648" s="847"/>
      <c r="F648" s="846"/>
      <c r="G648" s="847"/>
      <c r="H648" s="868"/>
      <c r="I648" s="846"/>
      <c r="J648" s="846"/>
      <c r="K648" s="846"/>
      <c r="L648" s="846"/>
      <c r="M648" s="846"/>
      <c r="N648" s="847"/>
      <c r="O648" s="846"/>
      <c r="P648" s="846"/>
      <c r="Q648" s="846"/>
      <c r="R648" s="846"/>
      <c r="S648" s="846"/>
      <c r="T648" s="846"/>
      <c r="U648" s="846"/>
    </row>
    <row r="649" ht="14.25" customHeight="1">
      <c r="A649" s="846"/>
      <c r="B649" s="846"/>
      <c r="C649" s="846"/>
      <c r="D649" s="847"/>
      <c r="E649" s="847"/>
      <c r="F649" s="846"/>
      <c r="G649" s="847"/>
      <c r="H649" s="868"/>
      <c r="I649" s="846"/>
      <c r="J649" s="846"/>
      <c r="K649" s="846"/>
      <c r="L649" s="846"/>
      <c r="M649" s="846"/>
      <c r="N649" s="847"/>
      <c r="O649" s="846"/>
      <c r="P649" s="846"/>
      <c r="Q649" s="846"/>
      <c r="R649" s="846"/>
      <c r="S649" s="846"/>
      <c r="T649" s="846"/>
      <c r="U649" s="846"/>
    </row>
    <row r="650" ht="14.25" customHeight="1">
      <c r="A650" s="846"/>
      <c r="B650" s="846"/>
      <c r="C650" s="846"/>
      <c r="D650" s="847"/>
      <c r="E650" s="847"/>
      <c r="F650" s="846"/>
      <c r="G650" s="847"/>
      <c r="H650" s="868"/>
      <c r="I650" s="846"/>
      <c r="J650" s="846"/>
      <c r="K650" s="846"/>
      <c r="L650" s="846"/>
      <c r="M650" s="846"/>
      <c r="N650" s="847"/>
      <c r="O650" s="846"/>
      <c r="P650" s="846"/>
      <c r="Q650" s="846"/>
      <c r="R650" s="846"/>
      <c r="S650" s="846"/>
      <c r="T650" s="846"/>
      <c r="U650" s="846"/>
    </row>
    <row r="651" ht="14.25" customHeight="1">
      <c r="A651" s="846"/>
      <c r="B651" s="846"/>
      <c r="C651" s="846"/>
      <c r="D651" s="847"/>
      <c r="E651" s="847"/>
      <c r="F651" s="846"/>
      <c r="G651" s="847"/>
      <c r="H651" s="868"/>
      <c r="I651" s="846"/>
      <c r="J651" s="846"/>
      <c r="K651" s="846"/>
      <c r="L651" s="846"/>
      <c r="M651" s="846"/>
      <c r="N651" s="847"/>
      <c r="O651" s="846"/>
      <c r="P651" s="846"/>
      <c r="Q651" s="846"/>
      <c r="R651" s="846"/>
      <c r="S651" s="846"/>
      <c r="T651" s="846"/>
      <c r="U651" s="846"/>
    </row>
    <row r="652" ht="14.25" customHeight="1">
      <c r="A652" s="846"/>
      <c r="B652" s="846"/>
      <c r="C652" s="846"/>
      <c r="D652" s="847"/>
      <c r="E652" s="847"/>
      <c r="F652" s="846"/>
      <c r="G652" s="847"/>
      <c r="H652" s="868"/>
      <c r="I652" s="846"/>
      <c r="J652" s="846"/>
      <c r="K652" s="846"/>
      <c r="L652" s="846"/>
      <c r="M652" s="846"/>
      <c r="N652" s="847"/>
      <c r="O652" s="846"/>
      <c r="P652" s="846"/>
      <c r="Q652" s="846"/>
      <c r="R652" s="846"/>
      <c r="S652" s="846"/>
      <c r="T652" s="846"/>
      <c r="U652" s="846"/>
    </row>
    <row r="653" ht="14.25" customHeight="1">
      <c r="A653" s="846"/>
      <c r="B653" s="846"/>
      <c r="C653" s="846"/>
      <c r="D653" s="847"/>
      <c r="E653" s="847"/>
      <c r="F653" s="846"/>
      <c r="G653" s="847"/>
      <c r="H653" s="868"/>
      <c r="I653" s="846"/>
      <c r="J653" s="846"/>
      <c r="K653" s="846"/>
      <c r="L653" s="846"/>
      <c r="M653" s="846"/>
      <c r="N653" s="847"/>
      <c r="O653" s="846"/>
      <c r="P653" s="846"/>
      <c r="Q653" s="846"/>
      <c r="R653" s="846"/>
      <c r="S653" s="846"/>
      <c r="T653" s="846"/>
      <c r="U653" s="846"/>
    </row>
    <row r="654" ht="14.25" customHeight="1">
      <c r="A654" s="846"/>
      <c r="B654" s="846"/>
      <c r="C654" s="846"/>
      <c r="D654" s="847"/>
      <c r="E654" s="847"/>
      <c r="F654" s="846"/>
      <c r="G654" s="847"/>
      <c r="H654" s="868"/>
      <c r="I654" s="846"/>
      <c r="J654" s="846"/>
      <c r="K654" s="846"/>
      <c r="L654" s="846"/>
      <c r="M654" s="846"/>
      <c r="N654" s="847"/>
      <c r="O654" s="846"/>
      <c r="P654" s="846"/>
      <c r="Q654" s="846"/>
      <c r="R654" s="846"/>
      <c r="S654" s="846"/>
      <c r="T654" s="846"/>
      <c r="U654" s="846"/>
    </row>
    <row r="655" ht="14.25" customHeight="1">
      <c r="A655" s="846"/>
      <c r="B655" s="846"/>
      <c r="C655" s="846"/>
      <c r="D655" s="847"/>
      <c r="E655" s="847"/>
      <c r="F655" s="846"/>
      <c r="G655" s="847"/>
      <c r="H655" s="868"/>
      <c r="I655" s="846"/>
      <c r="J655" s="846"/>
      <c r="K655" s="846"/>
      <c r="L655" s="846"/>
      <c r="M655" s="846"/>
      <c r="N655" s="847"/>
      <c r="O655" s="846"/>
      <c r="P655" s="846"/>
      <c r="Q655" s="846"/>
      <c r="R655" s="846"/>
      <c r="S655" s="846"/>
      <c r="T655" s="846"/>
      <c r="U655" s="846"/>
    </row>
    <row r="656" ht="14.25" customHeight="1">
      <c r="A656" s="846"/>
      <c r="B656" s="846"/>
      <c r="C656" s="846"/>
      <c r="D656" s="847"/>
      <c r="E656" s="847"/>
      <c r="F656" s="846"/>
      <c r="G656" s="847"/>
      <c r="H656" s="868"/>
      <c r="I656" s="846"/>
      <c r="J656" s="846"/>
      <c r="K656" s="846"/>
      <c r="L656" s="846"/>
      <c r="M656" s="846"/>
      <c r="N656" s="847"/>
      <c r="O656" s="846"/>
      <c r="P656" s="846"/>
      <c r="Q656" s="846"/>
      <c r="R656" s="846"/>
      <c r="S656" s="846"/>
      <c r="T656" s="846"/>
      <c r="U656" s="846"/>
    </row>
    <row r="657" ht="14.25" customHeight="1">
      <c r="A657" s="846"/>
      <c r="B657" s="846"/>
      <c r="C657" s="846"/>
      <c r="D657" s="847"/>
      <c r="E657" s="847"/>
      <c r="F657" s="846"/>
      <c r="G657" s="847"/>
      <c r="H657" s="868"/>
      <c r="I657" s="846"/>
      <c r="J657" s="846"/>
      <c r="K657" s="846"/>
      <c r="L657" s="846"/>
      <c r="M657" s="846"/>
      <c r="N657" s="847"/>
      <c r="O657" s="846"/>
      <c r="P657" s="846"/>
      <c r="Q657" s="846"/>
      <c r="R657" s="846"/>
      <c r="S657" s="846"/>
      <c r="T657" s="846"/>
      <c r="U657" s="846"/>
    </row>
    <row r="658" ht="14.25" customHeight="1">
      <c r="A658" s="846"/>
      <c r="B658" s="846"/>
      <c r="C658" s="846"/>
      <c r="D658" s="847"/>
      <c r="E658" s="847"/>
      <c r="F658" s="846"/>
      <c r="G658" s="847"/>
      <c r="H658" s="868"/>
      <c r="I658" s="846"/>
      <c r="J658" s="846"/>
      <c r="K658" s="846"/>
      <c r="L658" s="846"/>
      <c r="M658" s="846"/>
      <c r="N658" s="847"/>
      <c r="O658" s="846"/>
      <c r="P658" s="846"/>
      <c r="Q658" s="846"/>
      <c r="R658" s="846"/>
      <c r="S658" s="846"/>
      <c r="T658" s="846"/>
      <c r="U658" s="846"/>
    </row>
    <row r="659" ht="14.25" customHeight="1">
      <c r="A659" s="846"/>
      <c r="B659" s="846"/>
      <c r="C659" s="846"/>
      <c r="D659" s="847"/>
      <c r="E659" s="847"/>
      <c r="F659" s="846"/>
      <c r="G659" s="847"/>
      <c r="H659" s="868"/>
      <c r="I659" s="846"/>
      <c r="J659" s="846"/>
      <c r="K659" s="846"/>
      <c r="L659" s="846"/>
      <c r="M659" s="846"/>
      <c r="N659" s="847"/>
      <c r="O659" s="846"/>
      <c r="P659" s="846"/>
      <c r="Q659" s="846"/>
      <c r="R659" s="846"/>
      <c r="S659" s="846"/>
      <c r="T659" s="846"/>
      <c r="U659" s="846"/>
    </row>
    <row r="660" ht="14.25" customHeight="1">
      <c r="A660" s="846"/>
      <c r="B660" s="846"/>
      <c r="C660" s="846"/>
      <c r="D660" s="847"/>
      <c r="E660" s="847"/>
      <c r="F660" s="846"/>
      <c r="G660" s="847"/>
      <c r="H660" s="868"/>
      <c r="I660" s="846"/>
      <c r="J660" s="846"/>
      <c r="K660" s="846"/>
      <c r="L660" s="846"/>
      <c r="M660" s="846"/>
      <c r="N660" s="847"/>
      <c r="O660" s="846"/>
      <c r="P660" s="846"/>
      <c r="Q660" s="846"/>
      <c r="R660" s="846"/>
      <c r="S660" s="846"/>
      <c r="T660" s="846"/>
      <c r="U660" s="846"/>
    </row>
    <row r="661" ht="14.25" customHeight="1">
      <c r="A661" s="846"/>
      <c r="B661" s="846"/>
      <c r="C661" s="846"/>
      <c r="D661" s="847"/>
      <c r="E661" s="847"/>
      <c r="F661" s="846"/>
      <c r="G661" s="847"/>
      <c r="H661" s="868"/>
      <c r="I661" s="846"/>
      <c r="J661" s="846"/>
      <c r="K661" s="846"/>
      <c r="L661" s="846"/>
      <c r="M661" s="846"/>
      <c r="N661" s="847"/>
      <c r="O661" s="846"/>
      <c r="P661" s="846"/>
      <c r="Q661" s="846"/>
      <c r="R661" s="846"/>
      <c r="S661" s="846"/>
      <c r="T661" s="846"/>
      <c r="U661" s="846"/>
    </row>
    <row r="662" ht="14.25" customHeight="1">
      <c r="A662" s="846"/>
      <c r="B662" s="846"/>
      <c r="C662" s="846"/>
      <c r="D662" s="847"/>
      <c r="E662" s="847"/>
      <c r="F662" s="846"/>
      <c r="G662" s="847"/>
      <c r="H662" s="868"/>
      <c r="I662" s="846"/>
      <c r="J662" s="846"/>
      <c r="K662" s="846"/>
      <c r="L662" s="846"/>
      <c r="M662" s="846"/>
      <c r="N662" s="847"/>
      <c r="O662" s="846"/>
      <c r="P662" s="846"/>
      <c r="Q662" s="846"/>
      <c r="R662" s="846"/>
      <c r="S662" s="846"/>
      <c r="T662" s="846"/>
      <c r="U662" s="846"/>
    </row>
    <row r="663" ht="14.25" customHeight="1">
      <c r="A663" s="846"/>
      <c r="B663" s="846"/>
      <c r="C663" s="846"/>
      <c r="D663" s="847"/>
      <c r="E663" s="847"/>
      <c r="F663" s="846"/>
      <c r="G663" s="847"/>
      <c r="H663" s="868"/>
      <c r="I663" s="846"/>
      <c r="J663" s="846"/>
      <c r="K663" s="846"/>
      <c r="L663" s="846"/>
      <c r="M663" s="846"/>
      <c r="N663" s="847"/>
      <c r="O663" s="846"/>
      <c r="P663" s="846"/>
      <c r="Q663" s="846"/>
      <c r="R663" s="846"/>
      <c r="S663" s="846"/>
      <c r="T663" s="846"/>
      <c r="U663" s="846"/>
    </row>
    <row r="664" ht="14.25" customHeight="1">
      <c r="A664" s="846"/>
      <c r="B664" s="846"/>
      <c r="C664" s="846"/>
      <c r="D664" s="847"/>
      <c r="E664" s="847"/>
      <c r="F664" s="846"/>
      <c r="G664" s="847"/>
      <c r="H664" s="868"/>
      <c r="I664" s="846"/>
      <c r="J664" s="846"/>
      <c r="K664" s="846"/>
      <c r="L664" s="846"/>
      <c r="M664" s="846"/>
      <c r="N664" s="847"/>
      <c r="O664" s="846"/>
      <c r="P664" s="846"/>
      <c r="Q664" s="846"/>
      <c r="R664" s="846"/>
      <c r="S664" s="846"/>
      <c r="T664" s="846"/>
      <c r="U664" s="846"/>
    </row>
    <row r="665" ht="14.25" customHeight="1">
      <c r="A665" s="846"/>
      <c r="B665" s="846"/>
      <c r="C665" s="846"/>
      <c r="D665" s="847"/>
      <c r="E665" s="847"/>
      <c r="F665" s="846"/>
      <c r="G665" s="847"/>
      <c r="H665" s="868"/>
      <c r="I665" s="846"/>
      <c r="J665" s="846"/>
      <c r="K665" s="846"/>
      <c r="L665" s="846"/>
      <c r="M665" s="846"/>
      <c r="N665" s="847"/>
      <c r="O665" s="846"/>
      <c r="P665" s="846"/>
      <c r="Q665" s="846"/>
      <c r="R665" s="846"/>
      <c r="S665" s="846"/>
      <c r="T665" s="846"/>
      <c r="U665" s="846"/>
    </row>
    <row r="666" ht="14.25" customHeight="1">
      <c r="A666" s="846"/>
      <c r="B666" s="846"/>
      <c r="C666" s="846"/>
      <c r="D666" s="847"/>
      <c r="E666" s="847"/>
      <c r="F666" s="846"/>
      <c r="G666" s="847"/>
      <c r="H666" s="868"/>
      <c r="I666" s="846"/>
      <c r="J666" s="846"/>
      <c r="K666" s="846"/>
      <c r="L666" s="846"/>
      <c r="M666" s="846"/>
      <c r="N666" s="847"/>
      <c r="O666" s="846"/>
      <c r="P666" s="846"/>
      <c r="Q666" s="846"/>
      <c r="R666" s="846"/>
      <c r="S666" s="846"/>
      <c r="T666" s="846"/>
      <c r="U666" s="846"/>
    </row>
    <row r="667" ht="14.25" customHeight="1">
      <c r="A667" s="846"/>
      <c r="B667" s="846"/>
      <c r="C667" s="846"/>
      <c r="D667" s="847"/>
      <c r="E667" s="847"/>
      <c r="F667" s="846"/>
      <c r="G667" s="847"/>
      <c r="H667" s="868"/>
      <c r="I667" s="846"/>
      <c r="J667" s="846"/>
      <c r="K667" s="846"/>
      <c r="L667" s="846"/>
      <c r="M667" s="846"/>
      <c r="N667" s="847"/>
      <c r="O667" s="846"/>
      <c r="P667" s="846"/>
      <c r="Q667" s="846"/>
      <c r="R667" s="846"/>
      <c r="S667" s="846"/>
      <c r="T667" s="846"/>
      <c r="U667" s="846"/>
    </row>
    <row r="668" ht="14.25" customHeight="1">
      <c r="A668" s="846"/>
      <c r="B668" s="846"/>
      <c r="C668" s="846"/>
      <c r="D668" s="847"/>
      <c r="E668" s="847"/>
      <c r="F668" s="846"/>
      <c r="G668" s="847"/>
      <c r="H668" s="868"/>
      <c r="I668" s="846"/>
      <c r="J668" s="846"/>
      <c r="K668" s="846"/>
      <c r="L668" s="846"/>
      <c r="M668" s="846"/>
      <c r="N668" s="847"/>
      <c r="O668" s="846"/>
      <c r="P668" s="846"/>
      <c r="Q668" s="846"/>
      <c r="R668" s="846"/>
      <c r="S668" s="846"/>
      <c r="T668" s="846"/>
      <c r="U668" s="846"/>
    </row>
    <row r="669" ht="14.25" customHeight="1">
      <c r="A669" s="846"/>
      <c r="B669" s="846"/>
      <c r="C669" s="846"/>
      <c r="D669" s="847"/>
      <c r="E669" s="847"/>
      <c r="F669" s="846"/>
      <c r="G669" s="847"/>
      <c r="H669" s="868"/>
      <c r="I669" s="846"/>
      <c r="J669" s="846"/>
      <c r="K669" s="846"/>
      <c r="L669" s="846"/>
      <c r="M669" s="846"/>
      <c r="N669" s="847"/>
      <c r="O669" s="846"/>
      <c r="P669" s="846"/>
      <c r="Q669" s="846"/>
      <c r="R669" s="846"/>
      <c r="S669" s="846"/>
      <c r="T669" s="846"/>
      <c r="U669" s="846"/>
    </row>
    <row r="670" ht="14.25" customHeight="1">
      <c r="A670" s="846"/>
      <c r="B670" s="846"/>
      <c r="C670" s="846"/>
      <c r="D670" s="847"/>
      <c r="E670" s="847"/>
      <c r="F670" s="846"/>
      <c r="G670" s="847"/>
      <c r="H670" s="868"/>
      <c r="I670" s="846"/>
      <c r="J670" s="846"/>
      <c r="K670" s="846"/>
      <c r="L670" s="846"/>
      <c r="M670" s="846"/>
      <c r="N670" s="847"/>
      <c r="O670" s="846"/>
      <c r="P670" s="846"/>
      <c r="Q670" s="846"/>
      <c r="R670" s="846"/>
      <c r="S670" s="846"/>
      <c r="T670" s="846"/>
      <c r="U670" s="846"/>
    </row>
    <row r="671" ht="14.25" customHeight="1">
      <c r="A671" s="846"/>
      <c r="B671" s="846"/>
      <c r="C671" s="846"/>
      <c r="D671" s="847"/>
      <c r="E671" s="847"/>
      <c r="F671" s="846"/>
      <c r="G671" s="847"/>
      <c r="H671" s="868"/>
      <c r="I671" s="846"/>
      <c r="J671" s="846"/>
      <c r="K671" s="846"/>
      <c r="L671" s="846"/>
      <c r="M671" s="846"/>
      <c r="N671" s="847"/>
      <c r="O671" s="846"/>
      <c r="P671" s="846"/>
      <c r="Q671" s="846"/>
      <c r="R671" s="846"/>
      <c r="S671" s="846"/>
      <c r="T671" s="846"/>
      <c r="U671" s="846"/>
    </row>
    <row r="672" ht="14.25" customHeight="1">
      <c r="A672" s="846"/>
      <c r="B672" s="846"/>
      <c r="C672" s="846"/>
      <c r="D672" s="847"/>
      <c r="E672" s="847"/>
      <c r="F672" s="846"/>
      <c r="G672" s="847"/>
      <c r="H672" s="868"/>
      <c r="I672" s="846"/>
      <c r="J672" s="846"/>
      <c r="K672" s="846"/>
      <c r="L672" s="846"/>
      <c r="M672" s="846"/>
      <c r="N672" s="847"/>
      <c r="O672" s="846"/>
      <c r="P672" s="846"/>
      <c r="Q672" s="846"/>
      <c r="R672" s="846"/>
      <c r="S672" s="846"/>
      <c r="T672" s="846"/>
      <c r="U672" s="846"/>
    </row>
    <row r="673" ht="14.25" customHeight="1">
      <c r="A673" s="846"/>
      <c r="B673" s="846"/>
      <c r="C673" s="846"/>
      <c r="D673" s="847"/>
      <c r="E673" s="847"/>
      <c r="F673" s="846"/>
      <c r="G673" s="847"/>
      <c r="H673" s="868"/>
      <c r="I673" s="846"/>
      <c r="J673" s="846"/>
      <c r="K673" s="846"/>
      <c r="L673" s="846"/>
      <c r="M673" s="846"/>
      <c r="N673" s="847"/>
      <c r="O673" s="846"/>
      <c r="P673" s="846"/>
      <c r="Q673" s="846"/>
      <c r="R673" s="846"/>
      <c r="S673" s="846"/>
      <c r="T673" s="846"/>
      <c r="U673" s="846"/>
    </row>
    <row r="674" ht="14.25" customHeight="1">
      <c r="A674" s="846"/>
      <c r="B674" s="846"/>
      <c r="C674" s="846"/>
      <c r="D674" s="847"/>
      <c r="E674" s="847"/>
      <c r="F674" s="846"/>
      <c r="G674" s="847"/>
      <c r="H674" s="868"/>
      <c r="I674" s="846"/>
      <c r="J674" s="846"/>
      <c r="K674" s="846"/>
      <c r="L674" s="846"/>
      <c r="M674" s="846"/>
      <c r="N674" s="847"/>
      <c r="O674" s="846"/>
      <c r="P674" s="846"/>
      <c r="Q674" s="846"/>
      <c r="R674" s="846"/>
      <c r="S674" s="846"/>
      <c r="T674" s="846"/>
      <c r="U674" s="846"/>
    </row>
    <row r="675" ht="14.25" customHeight="1">
      <c r="A675" s="846"/>
      <c r="B675" s="846"/>
      <c r="C675" s="846"/>
      <c r="D675" s="847"/>
      <c r="E675" s="847"/>
      <c r="F675" s="846"/>
      <c r="G675" s="847"/>
      <c r="H675" s="868"/>
      <c r="I675" s="846"/>
      <c r="J675" s="846"/>
      <c r="K675" s="846"/>
      <c r="L675" s="846"/>
      <c r="M675" s="846"/>
      <c r="N675" s="847"/>
      <c r="O675" s="846"/>
      <c r="P675" s="846"/>
      <c r="Q675" s="846"/>
      <c r="R675" s="846"/>
      <c r="S675" s="846"/>
      <c r="T675" s="846"/>
      <c r="U675" s="846"/>
    </row>
    <row r="676" ht="14.25" customHeight="1">
      <c r="A676" s="846"/>
      <c r="B676" s="846"/>
      <c r="C676" s="846"/>
      <c r="D676" s="847"/>
      <c r="E676" s="847"/>
      <c r="F676" s="846"/>
      <c r="G676" s="847"/>
      <c r="H676" s="868"/>
      <c r="I676" s="846"/>
      <c r="J676" s="846"/>
      <c r="K676" s="846"/>
      <c r="L676" s="846"/>
      <c r="M676" s="846"/>
      <c r="N676" s="847"/>
      <c r="O676" s="846"/>
      <c r="P676" s="846"/>
      <c r="Q676" s="846"/>
      <c r="R676" s="846"/>
      <c r="S676" s="846"/>
      <c r="T676" s="846"/>
      <c r="U676" s="846"/>
    </row>
    <row r="677" ht="14.25" customHeight="1">
      <c r="A677" s="846"/>
      <c r="B677" s="846"/>
      <c r="C677" s="846"/>
      <c r="D677" s="847"/>
      <c r="E677" s="847"/>
      <c r="F677" s="846"/>
      <c r="G677" s="847"/>
      <c r="H677" s="868"/>
      <c r="I677" s="846"/>
      <c r="J677" s="846"/>
      <c r="K677" s="846"/>
      <c r="L677" s="846"/>
      <c r="M677" s="846"/>
      <c r="N677" s="847"/>
      <c r="O677" s="846"/>
      <c r="P677" s="846"/>
      <c r="Q677" s="846"/>
      <c r="R677" s="846"/>
      <c r="S677" s="846"/>
      <c r="T677" s="846"/>
      <c r="U677" s="846"/>
    </row>
    <row r="678" ht="14.25" customHeight="1">
      <c r="A678" s="846"/>
      <c r="B678" s="846"/>
      <c r="C678" s="846"/>
      <c r="D678" s="847"/>
      <c r="E678" s="847"/>
      <c r="F678" s="846"/>
      <c r="G678" s="847"/>
      <c r="H678" s="868"/>
      <c r="I678" s="846"/>
      <c r="J678" s="846"/>
      <c r="K678" s="846"/>
      <c r="L678" s="846"/>
      <c r="M678" s="846"/>
      <c r="N678" s="847"/>
      <c r="O678" s="846"/>
      <c r="P678" s="846"/>
      <c r="Q678" s="846"/>
      <c r="R678" s="846"/>
      <c r="S678" s="846"/>
      <c r="T678" s="846"/>
      <c r="U678" s="846"/>
    </row>
    <row r="679" ht="14.25" customHeight="1">
      <c r="A679" s="846"/>
      <c r="B679" s="846"/>
      <c r="C679" s="846"/>
      <c r="D679" s="847"/>
      <c r="E679" s="847"/>
      <c r="F679" s="846"/>
      <c r="G679" s="847"/>
      <c r="H679" s="868"/>
      <c r="I679" s="846"/>
      <c r="J679" s="846"/>
      <c r="K679" s="846"/>
      <c r="L679" s="846"/>
      <c r="M679" s="846"/>
      <c r="N679" s="847"/>
      <c r="O679" s="846"/>
      <c r="P679" s="846"/>
      <c r="Q679" s="846"/>
      <c r="R679" s="846"/>
      <c r="S679" s="846"/>
      <c r="T679" s="846"/>
      <c r="U679" s="846"/>
    </row>
    <row r="680" ht="14.25" customHeight="1">
      <c r="A680" s="846"/>
      <c r="B680" s="846"/>
      <c r="C680" s="846"/>
      <c r="D680" s="847"/>
      <c r="E680" s="847"/>
      <c r="F680" s="846"/>
      <c r="G680" s="847"/>
      <c r="H680" s="868"/>
      <c r="I680" s="846"/>
      <c r="J680" s="846"/>
      <c r="K680" s="846"/>
      <c r="L680" s="846"/>
      <c r="M680" s="846"/>
      <c r="N680" s="847"/>
      <c r="O680" s="846"/>
      <c r="P680" s="846"/>
      <c r="Q680" s="846"/>
      <c r="R680" s="846"/>
      <c r="S680" s="846"/>
      <c r="T680" s="846"/>
      <c r="U680" s="846"/>
    </row>
    <row r="681" ht="14.25" customHeight="1">
      <c r="A681" s="846"/>
      <c r="B681" s="846"/>
      <c r="C681" s="846"/>
      <c r="D681" s="847"/>
      <c r="E681" s="847"/>
      <c r="F681" s="846"/>
      <c r="G681" s="847"/>
      <c r="H681" s="868"/>
      <c r="I681" s="846"/>
      <c r="J681" s="846"/>
      <c r="K681" s="846"/>
      <c r="L681" s="846"/>
      <c r="M681" s="846"/>
      <c r="N681" s="847"/>
      <c r="O681" s="846"/>
      <c r="P681" s="846"/>
      <c r="Q681" s="846"/>
      <c r="R681" s="846"/>
      <c r="S681" s="846"/>
      <c r="T681" s="846"/>
      <c r="U681" s="846"/>
    </row>
    <row r="682" ht="14.25" customHeight="1">
      <c r="A682" s="846"/>
      <c r="B682" s="846"/>
      <c r="C682" s="846"/>
      <c r="D682" s="847"/>
      <c r="E682" s="847"/>
      <c r="F682" s="846"/>
      <c r="G682" s="847"/>
      <c r="H682" s="868"/>
      <c r="I682" s="846"/>
      <c r="J682" s="846"/>
      <c r="K682" s="846"/>
      <c r="L682" s="846"/>
      <c r="M682" s="846"/>
      <c r="N682" s="847"/>
      <c r="O682" s="846"/>
      <c r="P682" s="846"/>
      <c r="Q682" s="846"/>
      <c r="R682" s="846"/>
      <c r="S682" s="846"/>
      <c r="T682" s="846"/>
      <c r="U682" s="846"/>
    </row>
    <row r="683" ht="14.25" customHeight="1">
      <c r="A683" s="846"/>
      <c r="B683" s="846"/>
      <c r="C683" s="846"/>
      <c r="D683" s="847"/>
      <c r="E683" s="847"/>
      <c r="F683" s="846"/>
      <c r="G683" s="847"/>
      <c r="H683" s="868"/>
      <c r="I683" s="846"/>
      <c r="J683" s="846"/>
      <c r="K683" s="846"/>
      <c r="L683" s="846"/>
      <c r="M683" s="846"/>
      <c r="N683" s="847"/>
      <c r="O683" s="846"/>
      <c r="P683" s="846"/>
      <c r="Q683" s="846"/>
      <c r="R683" s="846"/>
      <c r="S683" s="846"/>
      <c r="T683" s="846"/>
      <c r="U683" s="846"/>
    </row>
    <row r="684" ht="14.25" customHeight="1">
      <c r="A684" s="846"/>
      <c r="B684" s="846"/>
      <c r="C684" s="846"/>
      <c r="D684" s="847"/>
      <c r="E684" s="847"/>
      <c r="F684" s="846"/>
      <c r="G684" s="847"/>
      <c r="H684" s="868"/>
      <c r="I684" s="846"/>
      <c r="J684" s="846"/>
      <c r="K684" s="846"/>
      <c r="L684" s="846"/>
      <c r="M684" s="846"/>
      <c r="N684" s="847"/>
      <c r="O684" s="846"/>
      <c r="P684" s="846"/>
      <c r="Q684" s="846"/>
      <c r="R684" s="846"/>
      <c r="S684" s="846"/>
      <c r="T684" s="846"/>
      <c r="U684" s="846"/>
    </row>
    <row r="685" ht="14.25" customHeight="1">
      <c r="A685" s="846"/>
      <c r="B685" s="846"/>
      <c r="C685" s="846"/>
      <c r="D685" s="847"/>
      <c r="E685" s="847"/>
      <c r="F685" s="846"/>
      <c r="G685" s="847"/>
      <c r="H685" s="868"/>
      <c r="I685" s="846"/>
      <c r="J685" s="846"/>
      <c r="K685" s="846"/>
      <c r="L685" s="846"/>
      <c r="M685" s="846"/>
      <c r="N685" s="847"/>
      <c r="O685" s="846"/>
      <c r="P685" s="846"/>
      <c r="Q685" s="846"/>
      <c r="R685" s="846"/>
      <c r="S685" s="846"/>
      <c r="T685" s="846"/>
      <c r="U685" s="846"/>
    </row>
    <row r="686" ht="14.25" customHeight="1">
      <c r="A686" s="846"/>
      <c r="B686" s="846"/>
      <c r="C686" s="846"/>
      <c r="D686" s="847"/>
      <c r="E686" s="847"/>
      <c r="F686" s="846"/>
      <c r="G686" s="847"/>
      <c r="H686" s="868"/>
      <c r="I686" s="846"/>
      <c r="J686" s="846"/>
      <c r="K686" s="846"/>
      <c r="L686" s="846"/>
      <c r="M686" s="846"/>
      <c r="N686" s="847"/>
      <c r="O686" s="846"/>
      <c r="P686" s="846"/>
      <c r="Q686" s="846"/>
      <c r="R686" s="846"/>
      <c r="S686" s="846"/>
      <c r="T686" s="846"/>
      <c r="U686" s="846"/>
    </row>
    <row r="687" ht="14.25" customHeight="1">
      <c r="A687" s="846"/>
      <c r="B687" s="846"/>
      <c r="C687" s="846"/>
      <c r="D687" s="847"/>
      <c r="E687" s="847"/>
      <c r="F687" s="846"/>
      <c r="G687" s="847"/>
      <c r="H687" s="868"/>
      <c r="I687" s="846"/>
      <c r="J687" s="846"/>
      <c r="K687" s="846"/>
      <c r="L687" s="846"/>
      <c r="M687" s="846"/>
      <c r="N687" s="847"/>
      <c r="O687" s="846"/>
      <c r="P687" s="846"/>
      <c r="Q687" s="846"/>
      <c r="R687" s="846"/>
      <c r="S687" s="846"/>
      <c r="T687" s="846"/>
      <c r="U687" s="846"/>
    </row>
    <row r="688" ht="14.25" customHeight="1">
      <c r="A688" s="846"/>
      <c r="B688" s="846"/>
      <c r="C688" s="846"/>
      <c r="D688" s="847"/>
      <c r="E688" s="847"/>
      <c r="F688" s="846"/>
      <c r="G688" s="847"/>
      <c r="H688" s="868"/>
      <c r="I688" s="846"/>
      <c r="J688" s="846"/>
      <c r="K688" s="846"/>
      <c r="L688" s="846"/>
      <c r="M688" s="846"/>
      <c r="N688" s="847"/>
      <c r="O688" s="846"/>
      <c r="P688" s="846"/>
      <c r="Q688" s="846"/>
      <c r="R688" s="846"/>
      <c r="S688" s="846"/>
      <c r="T688" s="846"/>
      <c r="U688" s="846"/>
    </row>
    <row r="689" ht="14.25" customHeight="1">
      <c r="A689" s="846"/>
      <c r="B689" s="846"/>
      <c r="C689" s="846"/>
      <c r="D689" s="847"/>
      <c r="E689" s="847"/>
      <c r="F689" s="846"/>
      <c r="G689" s="847"/>
      <c r="H689" s="868"/>
      <c r="I689" s="846"/>
      <c r="J689" s="846"/>
      <c r="K689" s="846"/>
      <c r="L689" s="846"/>
      <c r="M689" s="846"/>
      <c r="N689" s="847"/>
      <c r="O689" s="846"/>
      <c r="P689" s="846"/>
      <c r="Q689" s="846"/>
      <c r="R689" s="846"/>
      <c r="S689" s="846"/>
      <c r="T689" s="846"/>
      <c r="U689" s="846"/>
    </row>
    <row r="690" ht="14.25" customHeight="1">
      <c r="A690" s="846"/>
      <c r="B690" s="846"/>
      <c r="C690" s="846"/>
      <c r="D690" s="847"/>
      <c r="E690" s="847"/>
      <c r="F690" s="846"/>
      <c r="G690" s="847"/>
      <c r="H690" s="868"/>
      <c r="I690" s="846"/>
      <c r="J690" s="846"/>
      <c r="K690" s="846"/>
      <c r="L690" s="846"/>
      <c r="M690" s="846"/>
      <c r="N690" s="847"/>
      <c r="O690" s="846"/>
      <c r="P690" s="846"/>
      <c r="Q690" s="846"/>
      <c r="R690" s="846"/>
      <c r="S690" s="846"/>
      <c r="T690" s="846"/>
      <c r="U690" s="846"/>
    </row>
    <row r="691" ht="14.25" customHeight="1">
      <c r="A691" s="846"/>
      <c r="B691" s="846"/>
      <c r="C691" s="846"/>
      <c r="D691" s="847"/>
      <c r="E691" s="847"/>
      <c r="F691" s="846"/>
      <c r="G691" s="847"/>
      <c r="H691" s="868"/>
      <c r="I691" s="846"/>
      <c r="J691" s="846"/>
      <c r="K691" s="846"/>
      <c r="L691" s="846"/>
      <c r="M691" s="846"/>
      <c r="N691" s="847"/>
      <c r="O691" s="846"/>
      <c r="P691" s="846"/>
      <c r="Q691" s="846"/>
      <c r="R691" s="846"/>
      <c r="S691" s="846"/>
      <c r="T691" s="846"/>
      <c r="U691" s="846"/>
    </row>
    <row r="692" ht="14.25" customHeight="1">
      <c r="A692" s="846"/>
      <c r="B692" s="846"/>
      <c r="C692" s="846"/>
      <c r="D692" s="847"/>
      <c r="E692" s="847"/>
      <c r="F692" s="846"/>
      <c r="G692" s="847"/>
      <c r="H692" s="868"/>
      <c r="I692" s="846"/>
      <c r="J692" s="846"/>
      <c r="K692" s="846"/>
      <c r="L692" s="846"/>
      <c r="M692" s="846"/>
      <c r="N692" s="847"/>
      <c r="O692" s="846"/>
      <c r="P692" s="846"/>
      <c r="Q692" s="846"/>
      <c r="R692" s="846"/>
      <c r="S692" s="846"/>
      <c r="T692" s="846"/>
      <c r="U692" s="846"/>
    </row>
    <row r="693" ht="14.25" customHeight="1">
      <c r="A693" s="846"/>
      <c r="B693" s="846"/>
      <c r="C693" s="846"/>
      <c r="D693" s="847"/>
      <c r="E693" s="847"/>
      <c r="F693" s="846"/>
      <c r="G693" s="847"/>
      <c r="H693" s="868"/>
      <c r="I693" s="846"/>
      <c r="J693" s="846"/>
      <c r="K693" s="846"/>
      <c r="L693" s="846"/>
      <c r="M693" s="846"/>
      <c r="N693" s="847"/>
      <c r="O693" s="846"/>
      <c r="P693" s="846"/>
      <c r="Q693" s="846"/>
      <c r="R693" s="846"/>
      <c r="S693" s="846"/>
      <c r="T693" s="846"/>
      <c r="U693" s="846"/>
    </row>
    <row r="694" ht="14.25" customHeight="1">
      <c r="A694" s="846"/>
      <c r="B694" s="846"/>
      <c r="C694" s="846"/>
      <c r="D694" s="847"/>
      <c r="E694" s="847"/>
      <c r="F694" s="846"/>
      <c r="G694" s="847"/>
      <c r="H694" s="868"/>
      <c r="I694" s="846"/>
      <c r="J694" s="846"/>
      <c r="K694" s="846"/>
      <c r="L694" s="846"/>
      <c r="M694" s="846"/>
      <c r="N694" s="847"/>
      <c r="O694" s="846"/>
      <c r="P694" s="846"/>
      <c r="Q694" s="846"/>
      <c r="R694" s="846"/>
      <c r="S694" s="846"/>
      <c r="T694" s="846"/>
      <c r="U694" s="846"/>
    </row>
    <row r="695" ht="14.25" customHeight="1">
      <c r="A695" s="846"/>
      <c r="B695" s="846"/>
      <c r="C695" s="846"/>
      <c r="D695" s="847"/>
      <c r="E695" s="847"/>
      <c r="F695" s="846"/>
      <c r="G695" s="847"/>
      <c r="H695" s="868"/>
      <c r="I695" s="846"/>
      <c r="J695" s="846"/>
      <c r="K695" s="846"/>
      <c r="L695" s="846"/>
      <c r="M695" s="846"/>
      <c r="N695" s="847"/>
      <c r="O695" s="846"/>
      <c r="P695" s="846"/>
      <c r="Q695" s="846"/>
      <c r="R695" s="846"/>
      <c r="S695" s="846"/>
      <c r="T695" s="846"/>
      <c r="U695" s="846"/>
    </row>
    <row r="696" ht="14.25" customHeight="1">
      <c r="A696" s="846"/>
      <c r="B696" s="846"/>
      <c r="C696" s="846"/>
      <c r="D696" s="847"/>
      <c r="E696" s="847"/>
      <c r="F696" s="846"/>
      <c r="G696" s="847"/>
      <c r="H696" s="868"/>
      <c r="I696" s="846"/>
      <c r="J696" s="846"/>
      <c r="K696" s="846"/>
      <c r="L696" s="846"/>
      <c r="M696" s="846"/>
      <c r="N696" s="847"/>
      <c r="O696" s="846"/>
      <c r="P696" s="846"/>
      <c r="Q696" s="846"/>
      <c r="R696" s="846"/>
      <c r="S696" s="846"/>
      <c r="T696" s="846"/>
      <c r="U696" s="846"/>
    </row>
    <row r="697" ht="14.25" customHeight="1">
      <c r="A697" s="846"/>
      <c r="B697" s="846"/>
      <c r="C697" s="846"/>
      <c r="D697" s="847"/>
      <c r="E697" s="847"/>
      <c r="F697" s="846"/>
      <c r="G697" s="847"/>
      <c r="H697" s="868"/>
      <c r="I697" s="846"/>
      <c r="J697" s="846"/>
      <c r="K697" s="846"/>
      <c r="L697" s="846"/>
      <c r="M697" s="846"/>
      <c r="N697" s="847"/>
      <c r="O697" s="846"/>
      <c r="P697" s="846"/>
      <c r="Q697" s="846"/>
      <c r="R697" s="846"/>
      <c r="S697" s="846"/>
      <c r="T697" s="846"/>
      <c r="U697" s="846"/>
    </row>
    <row r="698" ht="14.25" customHeight="1">
      <c r="A698" s="846"/>
      <c r="B698" s="846"/>
      <c r="C698" s="846"/>
      <c r="D698" s="847"/>
      <c r="E698" s="847"/>
      <c r="F698" s="846"/>
      <c r="G698" s="847"/>
      <c r="H698" s="868"/>
      <c r="I698" s="846"/>
      <c r="J698" s="846"/>
      <c r="K698" s="846"/>
      <c r="L698" s="846"/>
      <c r="M698" s="846"/>
      <c r="N698" s="847"/>
      <c r="O698" s="846"/>
      <c r="P698" s="846"/>
      <c r="Q698" s="846"/>
      <c r="R698" s="846"/>
      <c r="S698" s="846"/>
      <c r="T698" s="846"/>
      <c r="U698" s="846"/>
    </row>
    <row r="699" ht="14.25" customHeight="1">
      <c r="A699" s="846"/>
      <c r="B699" s="846"/>
      <c r="C699" s="846"/>
      <c r="D699" s="847"/>
      <c r="E699" s="847"/>
      <c r="F699" s="846"/>
      <c r="G699" s="847"/>
      <c r="H699" s="868"/>
      <c r="I699" s="846"/>
      <c r="J699" s="846"/>
      <c r="K699" s="846"/>
      <c r="L699" s="846"/>
      <c r="M699" s="846"/>
      <c r="N699" s="847"/>
      <c r="O699" s="846"/>
      <c r="P699" s="846"/>
      <c r="Q699" s="846"/>
      <c r="R699" s="846"/>
      <c r="S699" s="846"/>
      <c r="T699" s="846"/>
      <c r="U699" s="846"/>
    </row>
    <row r="700" ht="14.25" customHeight="1">
      <c r="A700" s="846"/>
      <c r="B700" s="846"/>
      <c r="C700" s="846"/>
      <c r="D700" s="847"/>
      <c r="E700" s="847"/>
      <c r="F700" s="846"/>
      <c r="G700" s="847"/>
      <c r="H700" s="868"/>
      <c r="I700" s="846"/>
      <c r="J700" s="846"/>
      <c r="K700" s="846"/>
      <c r="L700" s="846"/>
      <c r="M700" s="846"/>
      <c r="N700" s="847"/>
      <c r="O700" s="846"/>
      <c r="P700" s="846"/>
      <c r="Q700" s="846"/>
      <c r="R700" s="846"/>
      <c r="S700" s="846"/>
      <c r="T700" s="846"/>
      <c r="U700" s="846"/>
    </row>
    <row r="701" ht="14.25" customHeight="1">
      <c r="A701" s="846"/>
      <c r="B701" s="846"/>
      <c r="C701" s="846"/>
      <c r="D701" s="847"/>
      <c r="E701" s="847"/>
      <c r="F701" s="846"/>
      <c r="G701" s="847"/>
      <c r="H701" s="868"/>
      <c r="I701" s="846"/>
      <c r="J701" s="846"/>
      <c r="K701" s="846"/>
      <c r="L701" s="846"/>
      <c r="M701" s="846"/>
      <c r="N701" s="847"/>
      <c r="O701" s="846"/>
      <c r="P701" s="846"/>
      <c r="Q701" s="846"/>
      <c r="R701" s="846"/>
      <c r="S701" s="846"/>
      <c r="T701" s="846"/>
      <c r="U701" s="846"/>
    </row>
    <row r="702" ht="14.25" customHeight="1">
      <c r="A702" s="846"/>
      <c r="B702" s="846"/>
      <c r="C702" s="846"/>
      <c r="D702" s="847"/>
      <c r="E702" s="847"/>
      <c r="F702" s="846"/>
      <c r="G702" s="847"/>
      <c r="H702" s="868"/>
      <c r="I702" s="846"/>
      <c r="J702" s="846"/>
      <c r="K702" s="846"/>
      <c r="L702" s="846"/>
      <c r="M702" s="846"/>
      <c r="N702" s="847"/>
      <c r="O702" s="846"/>
      <c r="P702" s="846"/>
      <c r="Q702" s="846"/>
      <c r="R702" s="846"/>
      <c r="S702" s="846"/>
      <c r="T702" s="846"/>
      <c r="U702" s="846"/>
    </row>
    <row r="703" ht="14.25" customHeight="1">
      <c r="A703" s="846"/>
      <c r="B703" s="846"/>
      <c r="C703" s="846"/>
      <c r="D703" s="847"/>
      <c r="E703" s="847"/>
      <c r="F703" s="846"/>
      <c r="G703" s="847"/>
      <c r="H703" s="868"/>
      <c r="I703" s="846"/>
      <c r="J703" s="846"/>
      <c r="K703" s="846"/>
      <c r="L703" s="846"/>
      <c r="M703" s="846"/>
      <c r="N703" s="847"/>
      <c r="O703" s="846"/>
      <c r="P703" s="846"/>
      <c r="Q703" s="846"/>
      <c r="R703" s="846"/>
      <c r="S703" s="846"/>
      <c r="T703" s="846"/>
      <c r="U703" s="846"/>
    </row>
    <row r="704" ht="14.25" customHeight="1">
      <c r="A704" s="846"/>
      <c r="B704" s="846"/>
      <c r="C704" s="846"/>
      <c r="D704" s="847"/>
      <c r="E704" s="847"/>
      <c r="F704" s="846"/>
      <c r="G704" s="847"/>
      <c r="H704" s="868"/>
      <c r="I704" s="846"/>
      <c r="J704" s="846"/>
      <c r="K704" s="846"/>
      <c r="L704" s="846"/>
      <c r="M704" s="846"/>
      <c r="N704" s="847"/>
      <c r="O704" s="846"/>
      <c r="P704" s="846"/>
      <c r="Q704" s="846"/>
      <c r="R704" s="846"/>
      <c r="S704" s="846"/>
      <c r="T704" s="846"/>
      <c r="U704" s="846"/>
    </row>
    <row r="705" ht="14.25" customHeight="1">
      <c r="A705" s="846"/>
      <c r="B705" s="846"/>
      <c r="C705" s="846"/>
      <c r="D705" s="847"/>
      <c r="E705" s="847"/>
      <c r="F705" s="846"/>
      <c r="G705" s="847"/>
      <c r="H705" s="868"/>
      <c r="I705" s="846"/>
      <c r="J705" s="846"/>
      <c r="K705" s="846"/>
      <c r="L705" s="846"/>
      <c r="M705" s="846"/>
      <c r="N705" s="847"/>
      <c r="O705" s="846"/>
      <c r="P705" s="846"/>
      <c r="Q705" s="846"/>
      <c r="R705" s="846"/>
      <c r="S705" s="846"/>
      <c r="T705" s="846"/>
      <c r="U705" s="846"/>
    </row>
    <row r="706" ht="14.25" customHeight="1">
      <c r="A706" s="846"/>
      <c r="B706" s="846"/>
      <c r="C706" s="846"/>
      <c r="D706" s="847"/>
      <c r="E706" s="847"/>
      <c r="F706" s="846"/>
      <c r="G706" s="847"/>
      <c r="H706" s="868"/>
      <c r="I706" s="846"/>
      <c r="J706" s="846"/>
      <c r="K706" s="846"/>
      <c r="L706" s="846"/>
      <c r="M706" s="846"/>
      <c r="N706" s="847"/>
      <c r="O706" s="846"/>
      <c r="P706" s="846"/>
      <c r="Q706" s="846"/>
      <c r="R706" s="846"/>
      <c r="S706" s="846"/>
      <c r="T706" s="846"/>
      <c r="U706" s="846"/>
    </row>
    <row r="707" ht="14.25" customHeight="1">
      <c r="A707" s="846"/>
      <c r="B707" s="846"/>
      <c r="C707" s="846"/>
      <c r="D707" s="847"/>
      <c r="E707" s="847"/>
      <c r="F707" s="846"/>
      <c r="G707" s="847"/>
      <c r="H707" s="868"/>
      <c r="I707" s="846"/>
      <c r="J707" s="846"/>
      <c r="K707" s="846"/>
      <c r="L707" s="846"/>
      <c r="M707" s="846"/>
      <c r="N707" s="847"/>
      <c r="O707" s="846"/>
      <c r="P707" s="846"/>
      <c r="Q707" s="846"/>
      <c r="R707" s="846"/>
      <c r="S707" s="846"/>
      <c r="T707" s="846"/>
      <c r="U707" s="846"/>
    </row>
    <row r="708" ht="14.25" customHeight="1">
      <c r="A708" s="846"/>
      <c r="B708" s="846"/>
      <c r="C708" s="846"/>
      <c r="D708" s="847"/>
      <c r="E708" s="847"/>
      <c r="F708" s="846"/>
      <c r="G708" s="847"/>
      <c r="H708" s="868"/>
      <c r="I708" s="846"/>
      <c r="J708" s="846"/>
      <c r="K708" s="846"/>
      <c r="L708" s="846"/>
      <c r="M708" s="846"/>
      <c r="N708" s="847"/>
      <c r="O708" s="846"/>
      <c r="P708" s="846"/>
      <c r="Q708" s="846"/>
      <c r="R708" s="846"/>
      <c r="S708" s="846"/>
      <c r="T708" s="846"/>
      <c r="U708" s="846"/>
    </row>
    <row r="709" ht="14.25" customHeight="1">
      <c r="A709" s="846"/>
      <c r="B709" s="846"/>
      <c r="C709" s="846"/>
      <c r="D709" s="847"/>
      <c r="E709" s="847"/>
      <c r="F709" s="846"/>
      <c r="G709" s="847"/>
      <c r="H709" s="868"/>
      <c r="I709" s="846"/>
      <c r="J709" s="846"/>
      <c r="K709" s="846"/>
      <c r="L709" s="846"/>
      <c r="M709" s="846"/>
      <c r="N709" s="847"/>
      <c r="O709" s="846"/>
      <c r="P709" s="846"/>
      <c r="Q709" s="846"/>
      <c r="R709" s="846"/>
      <c r="S709" s="846"/>
      <c r="T709" s="846"/>
      <c r="U709" s="846"/>
    </row>
    <row r="710" ht="14.25" customHeight="1">
      <c r="A710" s="846"/>
      <c r="B710" s="846"/>
      <c r="C710" s="846"/>
      <c r="D710" s="847"/>
      <c r="E710" s="847"/>
      <c r="F710" s="846"/>
      <c r="G710" s="847"/>
      <c r="H710" s="868"/>
      <c r="I710" s="846"/>
      <c r="J710" s="846"/>
      <c r="K710" s="846"/>
      <c r="L710" s="846"/>
      <c r="M710" s="846"/>
      <c r="N710" s="847"/>
      <c r="O710" s="846"/>
      <c r="P710" s="846"/>
      <c r="Q710" s="846"/>
      <c r="R710" s="846"/>
      <c r="S710" s="846"/>
      <c r="T710" s="846"/>
      <c r="U710" s="846"/>
    </row>
    <row r="711" ht="14.25" customHeight="1">
      <c r="A711" s="846"/>
      <c r="B711" s="846"/>
      <c r="C711" s="846"/>
      <c r="D711" s="847"/>
      <c r="E711" s="847"/>
      <c r="F711" s="846"/>
      <c r="G711" s="847"/>
      <c r="H711" s="868"/>
      <c r="I711" s="846"/>
      <c r="J711" s="846"/>
      <c r="K711" s="846"/>
      <c r="L711" s="846"/>
      <c r="M711" s="846"/>
      <c r="N711" s="847"/>
      <c r="O711" s="846"/>
      <c r="P711" s="846"/>
      <c r="Q711" s="846"/>
      <c r="R711" s="846"/>
      <c r="S711" s="846"/>
      <c r="T711" s="846"/>
      <c r="U711" s="846"/>
    </row>
    <row r="712" ht="14.25" customHeight="1">
      <c r="A712" s="846"/>
      <c r="B712" s="846"/>
      <c r="C712" s="846"/>
      <c r="D712" s="847"/>
      <c r="E712" s="847"/>
      <c r="F712" s="846"/>
      <c r="G712" s="847"/>
      <c r="H712" s="868"/>
      <c r="I712" s="846"/>
      <c r="J712" s="846"/>
      <c r="K712" s="846"/>
      <c r="L712" s="846"/>
      <c r="M712" s="846"/>
      <c r="N712" s="847"/>
      <c r="O712" s="846"/>
      <c r="P712" s="846"/>
      <c r="Q712" s="846"/>
      <c r="R712" s="846"/>
      <c r="S712" s="846"/>
      <c r="T712" s="846"/>
      <c r="U712" s="846"/>
    </row>
    <row r="713" ht="14.25" customHeight="1">
      <c r="A713" s="846"/>
      <c r="B713" s="846"/>
      <c r="C713" s="846"/>
      <c r="D713" s="847"/>
      <c r="E713" s="847"/>
      <c r="F713" s="846"/>
      <c r="G713" s="847"/>
      <c r="H713" s="868"/>
      <c r="I713" s="846"/>
      <c r="J713" s="846"/>
      <c r="K713" s="846"/>
      <c r="L713" s="846"/>
      <c r="M713" s="846"/>
      <c r="N713" s="847"/>
      <c r="O713" s="846"/>
      <c r="P713" s="846"/>
      <c r="Q713" s="846"/>
      <c r="R713" s="846"/>
      <c r="S713" s="846"/>
      <c r="T713" s="846"/>
      <c r="U713" s="846"/>
    </row>
    <row r="714" ht="14.25" customHeight="1">
      <c r="A714" s="846"/>
      <c r="B714" s="846"/>
      <c r="C714" s="846"/>
      <c r="D714" s="847"/>
      <c r="E714" s="847"/>
      <c r="F714" s="846"/>
      <c r="G714" s="847"/>
      <c r="H714" s="868"/>
      <c r="I714" s="846"/>
      <c r="J714" s="846"/>
      <c r="K714" s="846"/>
      <c r="L714" s="846"/>
      <c r="M714" s="846"/>
      <c r="N714" s="847"/>
      <c r="O714" s="846"/>
      <c r="P714" s="846"/>
      <c r="Q714" s="846"/>
      <c r="R714" s="846"/>
      <c r="S714" s="846"/>
      <c r="T714" s="846"/>
      <c r="U714" s="846"/>
    </row>
    <row r="715" ht="14.25" customHeight="1">
      <c r="A715" s="846"/>
      <c r="B715" s="846"/>
      <c r="C715" s="846"/>
      <c r="D715" s="847"/>
      <c r="E715" s="847"/>
      <c r="F715" s="846"/>
      <c r="G715" s="847"/>
      <c r="H715" s="868"/>
      <c r="I715" s="846"/>
      <c r="J715" s="846"/>
      <c r="K715" s="846"/>
      <c r="L715" s="846"/>
      <c r="M715" s="846"/>
      <c r="N715" s="847"/>
      <c r="O715" s="846"/>
      <c r="P715" s="846"/>
      <c r="Q715" s="846"/>
      <c r="R715" s="846"/>
      <c r="S715" s="846"/>
      <c r="T715" s="846"/>
      <c r="U715" s="846"/>
    </row>
    <row r="716" ht="14.25" customHeight="1">
      <c r="A716" s="846"/>
      <c r="B716" s="846"/>
      <c r="C716" s="846"/>
      <c r="D716" s="847"/>
      <c r="E716" s="847"/>
      <c r="F716" s="846"/>
      <c r="G716" s="847"/>
      <c r="H716" s="868"/>
      <c r="I716" s="846"/>
      <c r="J716" s="846"/>
      <c r="K716" s="846"/>
      <c r="L716" s="846"/>
      <c r="M716" s="846"/>
      <c r="N716" s="847"/>
      <c r="O716" s="846"/>
      <c r="P716" s="846"/>
      <c r="Q716" s="846"/>
      <c r="R716" s="846"/>
      <c r="S716" s="846"/>
      <c r="T716" s="846"/>
      <c r="U716" s="846"/>
    </row>
    <row r="717" ht="14.25" customHeight="1">
      <c r="A717" s="846"/>
      <c r="B717" s="846"/>
      <c r="C717" s="846"/>
      <c r="D717" s="847"/>
      <c r="E717" s="847"/>
      <c r="F717" s="846"/>
      <c r="G717" s="847"/>
      <c r="H717" s="868"/>
      <c r="I717" s="846"/>
      <c r="J717" s="846"/>
      <c r="K717" s="846"/>
      <c r="L717" s="846"/>
      <c r="M717" s="846"/>
      <c r="N717" s="847"/>
      <c r="O717" s="846"/>
      <c r="P717" s="846"/>
      <c r="Q717" s="846"/>
      <c r="R717" s="846"/>
      <c r="S717" s="846"/>
      <c r="T717" s="846"/>
      <c r="U717" s="846"/>
    </row>
    <row r="718" ht="14.25" customHeight="1">
      <c r="A718" s="846"/>
      <c r="B718" s="846"/>
      <c r="C718" s="846"/>
      <c r="D718" s="847"/>
      <c r="E718" s="847"/>
      <c r="F718" s="846"/>
      <c r="G718" s="847"/>
      <c r="H718" s="868"/>
      <c r="I718" s="846"/>
      <c r="J718" s="846"/>
      <c r="K718" s="846"/>
      <c r="L718" s="846"/>
      <c r="M718" s="846"/>
      <c r="N718" s="847"/>
      <c r="O718" s="846"/>
      <c r="P718" s="846"/>
      <c r="Q718" s="846"/>
      <c r="R718" s="846"/>
      <c r="S718" s="846"/>
      <c r="T718" s="846"/>
      <c r="U718" s="846"/>
    </row>
    <row r="719" ht="14.25" customHeight="1">
      <c r="A719" s="846"/>
      <c r="B719" s="846"/>
      <c r="C719" s="846"/>
      <c r="D719" s="847"/>
      <c r="E719" s="847"/>
      <c r="F719" s="846"/>
      <c r="G719" s="847"/>
      <c r="H719" s="868"/>
      <c r="I719" s="846"/>
      <c r="J719" s="846"/>
      <c r="K719" s="846"/>
      <c r="L719" s="846"/>
      <c r="M719" s="846"/>
      <c r="N719" s="847"/>
      <c r="O719" s="846"/>
      <c r="P719" s="846"/>
      <c r="Q719" s="846"/>
      <c r="R719" s="846"/>
      <c r="S719" s="846"/>
      <c r="T719" s="846"/>
      <c r="U719" s="846"/>
    </row>
    <row r="720" ht="14.25" customHeight="1">
      <c r="A720" s="846"/>
      <c r="B720" s="846"/>
      <c r="C720" s="846"/>
      <c r="D720" s="847"/>
      <c r="E720" s="847"/>
      <c r="F720" s="846"/>
      <c r="G720" s="847"/>
      <c r="H720" s="868"/>
      <c r="I720" s="846"/>
      <c r="J720" s="846"/>
      <c r="K720" s="846"/>
      <c r="L720" s="846"/>
      <c r="M720" s="846"/>
      <c r="N720" s="847"/>
      <c r="O720" s="846"/>
      <c r="P720" s="846"/>
      <c r="Q720" s="846"/>
      <c r="R720" s="846"/>
      <c r="S720" s="846"/>
      <c r="T720" s="846"/>
      <c r="U720" s="846"/>
    </row>
    <row r="721" ht="14.25" customHeight="1">
      <c r="A721" s="846"/>
      <c r="B721" s="846"/>
      <c r="C721" s="846"/>
      <c r="D721" s="847"/>
      <c r="E721" s="847"/>
      <c r="F721" s="846"/>
      <c r="G721" s="847"/>
      <c r="H721" s="868"/>
      <c r="I721" s="846"/>
      <c r="J721" s="846"/>
      <c r="K721" s="846"/>
      <c r="L721" s="846"/>
      <c r="M721" s="846"/>
      <c r="N721" s="847"/>
      <c r="O721" s="846"/>
      <c r="P721" s="846"/>
      <c r="Q721" s="846"/>
      <c r="R721" s="846"/>
      <c r="S721" s="846"/>
      <c r="T721" s="846"/>
      <c r="U721" s="846"/>
    </row>
    <row r="722" ht="14.25" customHeight="1">
      <c r="A722" s="846"/>
      <c r="B722" s="846"/>
      <c r="C722" s="846"/>
      <c r="D722" s="847"/>
      <c r="E722" s="847"/>
      <c r="F722" s="846"/>
      <c r="G722" s="847"/>
      <c r="H722" s="868"/>
      <c r="I722" s="846"/>
      <c r="J722" s="846"/>
      <c r="K722" s="846"/>
      <c r="L722" s="846"/>
      <c r="M722" s="846"/>
      <c r="N722" s="847"/>
      <c r="O722" s="846"/>
      <c r="P722" s="846"/>
      <c r="Q722" s="846"/>
      <c r="R722" s="846"/>
      <c r="S722" s="846"/>
      <c r="T722" s="846"/>
      <c r="U722" s="846"/>
    </row>
    <row r="723" ht="14.25" customHeight="1">
      <c r="A723" s="846"/>
      <c r="B723" s="846"/>
      <c r="C723" s="846"/>
      <c r="D723" s="847"/>
      <c r="E723" s="847"/>
      <c r="F723" s="846"/>
      <c r="G723" s="847"/>
      <c r="H723" s="868"/>
      <c r="I723" s="846"/>
      <c r="J723" s="846"/>
      <c r="K723" s="846"/>
      <c r="L723" s="846"/>
      <c r="M723" s="846"/>
      <c r="N723" s="847"/>
      <c r="O723" s="846"/>
      <c r="P723" s="846"/>
      <c r="Q723" s="846"/>
      <c r="R723" s="846"/>
      <c r="S723" s="846"/>
      <c r="T723" s="846"/>
      <c r="U723" s="846"/>
    </row>
    <row r="724" ht="14.25" customHeight="1">
      <c r="A724" s="846"/>
      <c r="B724" s="846"/>
      <c r="C724" s="846"/>
      <c r="D724" s="847"/>
      <c r="E724" s="847"/>
      <c r="F724" s="846"/>
      <c r="G724" s="847"/>
      <c r="H724" s="868"/>
      <c r="I724" s="846"/>
      <c r="J724" s="846"/>
      <c r="K724" s="846"/>
      <c r="L724" s="846"/>
      <c r="M724" s="846"/>
      <c r="N724" s="847"/>
      <c r="O724" s="846"/>
      <c r="P724" s="846"/>
      <c r="Q724" s="846"/>
      <c r="R724" s="846"/>
      <c r="S724" s="846"/>
      <c r="T724" s="846"/>
      <c r="U724" s="846"/>
    </row>
    <row r="725" ht="14.25" customHeight="1">
      <c r="A725" s="846"/>
      <c r="B725" s="846"/>
      <c r="C725" s="846"/>
      <c r="D725" s="847"/>
      <c r="E725" s="847"/>
      <c r="F725" s="846"/>
      <c r="G725" s="847"/>
      <c r="H725" s="868"/>
      <c r="I725" s="846"/>
      <c r="J725" s="846"/>
      <c r="K725" s="846"/>
      <c r="L725" s="846"/>
      <c r="M725" s="846"/>
      <c r="N725" s="847"/>
      <c r="O725" s="846"/>
      <c r="P725" s="846"/>
      <c r="Q725" s="846"/>
      <c r="R725" s="846"/>
      <c r="S725" s="846"/>
      <c r="T725" s="846"/>
      <c r="U725" s="846"/>
    </row>
    <row r="726" ht="14.25" customHeight="1">
      <c r="A726" s="846"/>
      <c r="B726" s="846"/>
      <c r="C726" s="846"/>
      <c r="D726" s="847"/>
      <c r="E726" s="847"/>
      <c r="F726" s="846"/>
      <c r="G726" s="847"/>
      <c r="H726" s="868"/>
      <c r="I726" s="846"/>
      <c r="J726" s="846"/>
      <c r="K726" s="846"/>
      <c r="L726" s="846"/>
      <c r="M726" s="846"/>
      <c r="N726" s="847"/>
      <c r="O726" s="846"/>
      <c r="P726" s="846"/>
      <c r="Q726" s="846"/>
      <c r="R726" s="846"/>
      <c r="S726" s="846"/>
      <c r="T726" s="846"/>
      <c r="U726" s="846"/>
    </row>
    <row r="727" ht="14.25" customHeight="1">
      <c r="A727" s="846"/>
      <c r="B727" s="846"/>
      <c r="C727" s="846"/>
      <c r="D727" s="847"/>
      <c r="E727" s="847"/>
      <c r="F727" s="846"/>
      <c r="G727" s="847"/>
      <c r="H727" s="868"/>
      <c r="I727" s="846"/>
      <c r="J727" s="846"/>
      <c r="K727" s="846"/>
      <c r="L727" s="846"/>
      <c r="M727" s="846"/>
      <c r="N727" s="847"/>
      <c r="O727" s="846"/>
      <c r="P727" s="846"/>
      <c r="Q727" s="846"/>
      <c r="R727" s="846"/>
      <c r="S727" s="846"/>
      <c r="T727" s="846"/>
      <c r="U727" s="846"/>
    </row>
    <row r="728" ht="14.25" customHeight="1">
      <c r="A728" s="846"/>
      <c r="B728" s="846"/>
      <c r="C728" s="846"/>
      <c r="D728" s="847"/>
      <c r="E728" s="847"/>
      <c r="F728" s="846"/>
      <c r="G728" s="847"/>
      <c r="H728" s="868"/>
      <c r="I728" s="846"/>
      <c r="J728" s="846"/>
      <c r="K728" s="846"/>
      <c r="L728" s="846"/>
      <c r="M728" s="846"/>
      <c r="N728" s="847"/>
      <c r="O728" s="846"/>
      <c r="P728" s="846"/>
      <c r="Q728" s="846"/>
      <c r="R728" s="846"/>
      <c r="S728" s="846"/>
      <c r="T728" s="846"/>
      <c r="U728" s="846"/>
    </row>
    <row r="729" ht="14.25" customHeight="1">
      <c r="A729" s="846"/>
      <c r="B729" s="846"/>
      <c r="C729" s="846"/>
      <c r="D729" s="847"/>
      <c r="E729" s="847"/>
      <c r="F729" s="846"/>
      <c r="G729" s="847"/>
      <c r="H729" s="868"/>
      <c r="I729" s="846"/>
      <c r="J729" s="846"/>
      <c r="K729" s="846"/>
      <c r="L729" s="846"/>
      <c r="M729" s="846"/>
      <c r="N729" s="847"/>
      <c r="O729" s="846"/>
      <c r="P729" s="846"/>
      <c r="Q729" s="846"/>
      <c r="R729" s="846"/>
      <c r="S729" s="846"/>
      <c r="T729" s="846"/>
      <c r="U729" s="846"/>
    </row>
    <row r="730" ht="14.25" customHeight="1">
      <c r="A730" s="846"/>
      <c r="B730" s="846"/>
      <c r="C730" s="846"/>
      <c r="D730" s="847"/>
      <c r="E730" s="847"/>
      <c r="F730" s="846"/>
      <c r="G730" s="847"/>
      <c r="H730" s="868"/>
      <c r="I730" s="846"/>
      <c r="J730" s="846"/>
      <c r="K730" s="846"/>
      <c r="L730" s="846"/>
      <c r="M730" s="846"/>
      <c r="N730" s="847"/>
      <c r="O730" s="846"/>
      <c r="P730" s="846"/>
      <c r="Q730" s="846"/>
      <c r="R730" s="846"/>
      <c r="S730" s="846"/>
      <c r="T730" s="846"/>
      <c r="U730" s="846"/>
    </row>
    <row r="731" ht="14.25" customHeight="1">
      <c r="A731" s="846"/>
      <c r="B731" s="846"/>
      <c r="C731" s="846"/>
      <c r="D731" s="847"/>
      <c r="E731" s="847"/>
      <c r="F731" s="846"/>
      <c r="G731" s="847"/>
      <c r="H731" s="868"/>
      <c r="I731" s="846"/>
      <c r="J731" s="846"/>
      <c r="K731" s="846"/>
      <c r="L731" s="846"/>
      <c r="M731" s="846"/>
      <c r="N731" s="847"/>
      <c r="O731" s="846"/>
      <c r="P731" s="846"/>
      <c r="Q731" s="846"/>
      <c r="R731" s="846"/>
      <c r="S731" s="846"/>
      <c r="T731" s="846"/>
      <c r="U731" s="846"/>
    </row>
    <row r="732" ht="14.25" customHeight="1">
      <c r="A732" s="846"/>
      <c r="B732" s="846"/>
      <c r="C732" s="846"/>
      <c r="D732" s="847"/>
      <c r="E732" s="847"/>
      <c r="F732" s="846"/>
      <c r="G732" s="847"/>
      <c r="H732" s="868"/>
      <c r="I732" s="846"/>
      <c r="J732" s="846"/>
      <c r="K732" s="846"/>
      <c r="L732" s="846"/>
      <c r="M732" s="846"/>
      <c r="N732" s="847"/>
      <c r="O732" s="846"/>
      <c r="P732" s="846"/>
      <c r="Q732" s="846"/>
      <c r="R732" s="846"/>
      <c r="S732" s="846"/>
      <c r="T732" s="846"/>
      <c r="U732" s="846"/>
    </row>
    <row r="733" ht="14.25" customHeight="1">
      <c r="A733" s="846"/>
      <c r="B733" s="846"/>
      <c r="C733" s="846"/>
      <c r="D733" s="847"/>
      <c r="E733" s="847"/>
      <c r="F733" s="846"/>
      <c r="G733" s="847"/>
      <c r="H733" s="868"/>
      <c r="I733" s="846"/>
      <c r="J733" s="846"/>
      <c r="K733" s="846"/>
      <c r="L733" s="846"/>
      <c r="M733" s="846"/>
      <c r="N733" s="847"/>
      <c r="O733" s="846"/>
      <c r="P733" s="846"/>
      <c r="Q733" s="846"/>
      <c r="R733" s="846"/>
      <c r="S733" s="846"/>
      <c r="T733" s="846"/>
      <c r="U733" s="846"/>
    </row>
    <row r="734" ht="14.25" customHeight="1">
      <c r="A734" s="846"/>
      <c r="B734" s="846"/>
      <c r="C734" s="846"/>
      <c r="D734" s="847"/>
      <c r="E734" s="847"/>
      <c r="F734" s="846"/>
      <c r="G734" s="847"/>
      <c r="H734" s="868"/>
      <c r="I734" s="846"/>
      <c r="J734" s="846"/>
      <c r="K734" s="846"/>
      <c r="L734" s="846"/>
      <c r="M734" s="846"/>
      <c r="N734" s="847"/>
      <c r="O734" s="846"/>
      <c r="P734" s="846"/>
      <c r="Q734" s="846"/>
      <c r="R734" s="846"/>
      <c r="S734" s="846"/>
      <c r="T734" s="846"/>
      <c r="U734" s="846"/>
    </row>
    <row r="735" ht="14.25" customHeight="1">
      <c r="A735" s="846"/>
      <c r="B735" s="846"/>
      <c r="C735" s="846"/>
      <c r="D735" s="847"/>
      <c r="E735" s="847"/>
      <c r="F735" s="846"/>
      <c r="G735" s="847"/>
      <c r="H735" s="868"/>
      <c r="I735" s="846"/>
      <c r="J735" s="846"/>
      <c r="K735" s="846"/>
      <c r="L735" s="846"/>
      <c r="M735" s="846"/>
      <c r="N735" s="847"/>
      <c r="O735" s="846"/>
      <c r="P735" s="846"/>
      <c r="Q735" s="846"/>
      <c r="R735" s="846"/>
      <c r="S735" s="846"/>
      <c r="T735" s="846"/>
      <c r="U735" s="846"/>
    </row>
    <row r="736" ht="14.25" customHeight="1">
      <c r="A736" s="846"/>
      <c r="B736" s="846"/>
      <c r="C736" s="846"/>
      <c r="D736" s="847"/>
      <c r="E736" s="847"/>
      <c r="F736" s="846"/>
      <c r="G736" s="847"/>
      <c r="H736" s="868"/>
      <c r="I736" s="846"/>
      <c r="J736" s="846"/>
      <c r="K736" s="846"/>
      <c r="L736" s="846"/>
      <c r="M736" s="846"/>
      <c r="N736" s="847"/>
      <c r="O736" s="846"/>
      <c r="P736" s="846"/>
      <c r="Q736" s="846"/>
      <c r="R736" s="846"/>
      <c r="S736" s="846"/>
      <c r="T736" s="846"/>
      <c r="U736" s="846"/>
    </row>
    <row r="737" ht="14.25" customHeight="1">
      <c r="A737" s="846"/>
      <c r="B737" s="846"/>
      <c r="C737" s="846"/>
      <c r="D737" s="847"/>
      <c r="E737" s="847"/>
      <c r="F737" s="846"/>
      <c r="G737" s="847"/>
      <c r="H737" s="868"/>
      <c r="I737" s="846"/>
      <c r="J737" s="846"/>
      <c r="K737" s="846"/>
      <c r="L737" s="846"/>
      <c r="M737" s="846"/>
      <c r="N737" s="847"/>
      <c r="O737" s="846"/>
      <c r="P737" s="846"/>
      <c r="Q737" s="846"/>
      <c r="R737" s="846"/>
      <c r="S737" s="846"/>
      <c r="T737" s="846"/>
      <c r="U737" s="846"/>
    </row>
    <row r="738" ht="14.25" customHeight="1">
      <c r="A738" s="846"/>
      <c r="B738" s="846"/>
      <c r="C738" s="846"/>
      <c r="D738" s="847"/>
      <c r="E738" s="847"/>
      <c r="F738" s="846"/>
      <c r="G738" s="847"/>
      <c r="H738" s="868"/>
      <c r="I738" s="846"/>
      <c r="J738" s="846"/>
      <c r="K738" s="846"/>
      <c r="L738" s="846"/>
      <c r="M738" s="846"/>
      <c r="N738" s="847"/>
      <c r="O738" s="846"/>
      <c r="P738" s="846"/>
      <c r="Q738" s="846"/>
      <c r="R738" s="846"/>
      <c r="S738" s="846"/>
      <c r="T738" s="846"/>
      <c r="U738" s="846"/>
    </row>
    <row r="739" ht="14.25" customHeight="1">
      <c r="A739" s="846"/>
      <c r="B739" s="846"/>
      <c r="C739" s="846"/>
      <c r="D739" s="847"/>
      <c r="E739" s="847"/>
      <c r="F739" s="846"/>
      <c r="G739" s="847"/>
      <c r="H739" s="868"/>
      <c r="I739" s="846"/>
      <c r="J739" s="846"/>
      <c r="K739" s="846"/>
      <c r="L739" s="846"/>
      <c r="M739" s="846"/>
      <c r="N739" s="847"/>
      <c r="O739" s="846"/>
      <c r="P739" s="846"/>
      <c r="Q739" s="846"/>
      <c r="R739" s="846"/>
      <c r="S739" s="846"/>
      <c r="T739" s="846"/>
      <c r="U739" s="846"/>
    </row>
    <row r="740" ht="14.25" customHeight="1">
      <c r="A740" s="846"/>
      <c r="B740" s="846"/>
      <c r="C740" s="846"/>
      <c r="D740" s="847"/>
      <c r="E740" s="847"/>
      <c r="F740" s="846"/>
      <c r="G740" s="847"/>
      <c r="H740" s="868"/>
      <c r="I740" s="846"/>
      <c r="J740" s="846"/>
      <c r="K740" s="846"/>
      <c r="L740" s="846"/>
      <c r="M740" s="846"/>
      <c r="N740" s="847"/>
      <c r="O740" s="846"/>
      <c r="P740" s="846"/>
      <c r="Q740" s="846"/>
      <c r="R740" s="846"/>
      <c r="S740" s="846"/>
      <c r="T740" s="846"/>
      <c r="U740" s="846"/>
    </row>
    <row r="741" ht="14.25" customHeight="1">
      <c r="A741" s="846"/>
      <c r="B741" s="846"/>
      <c r="C741" s="846"/>
      <c r="D741" s="847"/>
      <c r="E741" s="847"/>
      <c r="F741" s="846"/>
      <c r="G741" s="847"/>
      <c r="H741" s="868"/>
      <c r="I741" s="846"/>
      <c r="J741" s="846"/>
      <c r="K741" s="846"/>
      <c r="L741" s="846"/>
      <c r="M741" s="846"/>
      <c r="N741" s="847"/>
      <c r="O741" s="846"/>
      <c r="P741" s="846"/>
      <c r="Q741" s="846"/>
      <c r="R741" s="846"/>
      <c r="S741" s="846"/>
      <c r="T741" s="846"/>
      <c r="U741" s="846"/>
    </row>
    <row r="742" ht="14.25" customHeight="1">
      <c r="A742" s="846"/>
      <c r="B742" s="846"/>
      <c r="C742" s="846"/>
      <c r="D742" s="847"/>
      <c r="E742" s="847"/>
      <c r="F742" s="846"/>
      <c r="G742" s="847"/>
      <c r="H742" s="868"/>
      <c r="I742" s="846"/>
      <c r="J742" s="846"/>
      <c r="K742" s="846"/>
      <c r="L742" s="846"/>
      <c r="M742" s="846"/>
      <c r="N742" s="847"/>
      <c r="O742" s="846"/>
      <c r="P742" s="846"/>
      <c r="Q742" s="846"/>
      <c r="R742" s="846"/>
      <c r="S742" s="846"/>
      <c r="T742" s="846"/>
      <c r="U742" s="846"/>
    </row>
    <row r="743" ht="14.25" customHeight="1">
      <c r="A743" s="846"/>
      <c r="B743" s="846"/>
      <c r="C743" s="846"/>
      <c r="D743" s="847"/>
      <c r="E743" s="847"/>
      <c r="F743" s="846"/>
      <c r="G743" s="847"/>
      <c r="H743" s="868"/>
      <c r="I743" s="846"/>
      <c r="J743" s="846"/>
      <c r="K743" s="846"/>
      <c r="L743" s="846"/>
      <c r="M743" s="846"/>
      <c r="N743" s="847"/>
      <c r="O743" s="846"/>
      <c r="P743" s="846"/>
      <c r="Q743" s="846"/>
      <c r="R743" s="846"/>
      <c r="S743" s="846"/>
      <c r="T743" s="846"/>
      <c r="U743" s="846"/>
    </row>
    <row r="744" ht="14.25" customHeight="1">
      <c r="A744" s="846"/>
      <c r="B744" s="846"/>
      <c r="C744" s="846"/>
      <c r="D744" s="847"/>
      <c r="E744" s="847"/>
      <c r="F744" s="846"/>
      <c r="G744" s="847"/>
      <c r="H744" s="868"/>
      <c r="I744" s="846"/>
      <c r="J744" s="846"/>
      <c r="K744" s="846"/>
      <c r="L744" s="846"/>
      <c r="M744" s="846"/>
      <c r="N744" s="847"/>
      <c r="O744" s="846"/>
      <c r="P744" s="846"/>
      <c r="Q744" s="846"/>
      <c r="R744" s="846"/>
      <c r="S744" s="846"/>
      <c r="T744" s="846"/>
      <c r="U744" s="846"/>
    </row>
    <row r="745" ht="14.25" customHeight="1">
      <c r="A745" s="846"/>
      <c r="B745" s="846"/>
      <c r="C745" s="846"/>
      <c r="D745" s="847"/>
      <c r="E745" s="847"/>
      <c r="F745" s="846"/>
      <c r="G745" s="847"/>
      <c r="H745" s="868"/>
      <c r="I745" s="846"/>
      <c r="J745" s="846"/>
      <c r="K745" s="846"/>
      <c r="L745" s="846"/>
      <c r="M745" s="846"/>
      <c r="N745" s="847"/>
      <c r="O745" s="846"/>
      <c r="P745" s="846"/>
      <c r="Q745" s="846"/>
      <c r="R745" s="846"/>
      <c r="S745" s="846"/>
      <c r="T745" s="846"/>
      <c r="U745" s="846"/>
    </row>
    <row r="746" ht="14.25" customHeight="1">
      <c r="A746" s="846"/>
      <c r="B746" s="846"/>
      <c r="C746" s="846"/>
      <c r="D746" s="847"/>
      <c r="E746" s="847"/>
      <c r="F746" s="846"/>
      <c r="G746" s="847"/>
      <c r="H746" s="868"/>
      <c r="I746" s="846"/>
      <c r="J746" s="846"/>
      <c r="K746" s="846"/>
      <c r="L746" s="846"/>
      <c r="M746" s="846"/>
      <c r="N746" s="847"/>
      <c r="O746" s="846"/>
      <c r="P746" s="846"/>
      <c r="Q746" s="846"/>
      <c r="R746" s="846"/>
      <c r="S746" s="846"/>
      <c r="T746" s="846"/>
      <c r="U746" s="846"/>
    </row>
    <row r="747" ht="14.25" customHeight="1">
      <c r="A747" s="846"/>
      <c r="B747" s="846"/>
      <c r="C747" s="846"/>
      <c r="D747" s="847"/>
      <c r="E747" s="847"/>
      <c r="F747" s="846"/>
      <c r="G747" s="847"/>
      <c r="H747" s="868"/>
      <c r="I747" s="846"/>
      <c r="J747" s="846"/>
      <c r="K747" s="846"/>
      <c r="L747" s="846"/>
      <c r="M747" s="846"/>
      <c r="N747" s="847"/>
      <c r="O747" s="846"/>
      <c r="P747" s="846"/>
      <c r="Q747" s="846"/>
      <c r="R747" s="846"/>
      <c r="S747" s="846"/>
      <c r="T747" s="846"/>
      <c r="U747" s="846"/>
    </row>
    <row r="748" ht="14.25" customHeight="1">
      <c r="A748" s="846"/>
      <c r="B748" s="846"/>
      <c r="C748" s="846"/>
      <c r="D748" s="847"/>
      <c r="E748" s="847"/>
      <c r="F748" s="846"/>
      <c r="G748" s="847"/>
      <c r="H748" s="868"/>
      <c r="I748" s="846"/>
      <c r="J748" s="846"/>
      <c r="K748" s="846"/>
      <c r="L748" s="846"/>
      <c r="M748" s="846"/>
      <c r="N748" s="847"/>
      <c r="O748" s="846"/>
      <c r="P748" s="846"/>
      <c r="Q748" s="846"/>
      <c r="R748" s="846"/>
      <c r="S748" s="846"/>
      <c r="T748" s="846"/>
      <c r="U748" s="846"/>
    </row>
    <row r="749" ht="14.25" customHeight="1">
      <c r="A749" s="846"/>
      <c r="B749" s="846"/>
      <c r="C749" s="846"/>
      <c r="D749" s="847"/>
      <c r="E749" s="847"/>
      <c r="F749" s="846"/>
      <c r="G749" s="847"/>
      <c r="H749" s="868"/>
      <c r="I749" s="846"/>
      <c r="J749" s="846"/>
      <c r="K749" s="846"/>
      <c r="L749" s="846"/>
      <c r="M749" s="846"/>
      <c r="N749" s="847"/>
      <c r="O749" s="846"/>
      <c r="P749" s="846"/>
      <c r="Q749" s="846"/>
      <c r="R749" s="846"/>
      <c r="S749" s="846"/>
      <c r="T749" s="846"/>
      <c r="U749" s="846"/>
    </row>
    <row r="750" ht="14.25" customHeight="1">
      <c r="A750" s="846"/>
      <c r="B750" s="846"/>
      <c r="C750" s="846"/>
      <c r="D750" s="847"/>
      <c r="E750" s="847"/>
      <c r="F750" s="846"/>
      <c r="G750" s="847"/>
      <c r="H750" s="868"/>
      <c r="I750" s="846"/>
      <c r="J750" s="846"/>
      <c r="K750" s="846"/>
      <c r="L750" s="846"/>
      <c r="M750" s="846"/>
      <c r="N750" s="847"/>
      <c r="O750" s="846"/>
      <c r="P750" s="846"/>
      <c r="Q750" s="846"/>
      <c r="R750" s="846"/>
      <c r="S750" s="846"/>
      <c r="T750" s="846"/>
      <c r="U750" s="846"/>
    </row>
    <row r="751" ht="14.25" customHeight="1">
      <c r="A751" s="846"/>
      <c r="B751" s="846"/>
      <c r="C751" s="846"/>
      <c r="D751" s="847"/>
      <c r="E751" s="847"/>
      <c r="F751" s="846"/>
      <c r="G751" s="847"/>
      <c r="H751" s="868"/>
      <c r="I751" s="846"/>
      <c r="J751" s="846"/>
      <c r="K751" s="846"/>
      <c r="L751" s="846"/>
      <c r="M751" s="846"/>
      <c r="N751" s="847"/>
      <c r="O751" s="846"/>
      <c r="P751" s="846"/>
      <c r="Q751" s="846"/>
      <c r="R751" s="846"/>
      <c r="S751" s="846"/>
      <c r="T751" s="846"/>
      <c r="U751" s="846"/>
    </row>
    <row r="752" ht="14.25" customHeight="1">
      <c r="A752" s="846"/>
      <c r="B752" s="846"/>
      <c r="C752" s="846"/>
      <c r="D752" s="847"/>
      <c r="E752" s="847"/>
      <c r="F752" s="846"/>
      <c r="G752" s="847"/>
      <c r="H752" s="868"/>
      <c r="I752" s="846"/>
      <c r="J752" s="846"/>
      <c r="K752" s="846"/>
      <c r="L752" s="846"/>
      <c r="M752" s="846"/>
      <c r="N752" s="847"/>
      <c r="O752" s="846"/>
      <c r="P752" s="846"/>
      <c r="Q752" s="846"/>
      <c r="R752" s="846"/>
      <c r="S752" s="846"/>
      <c r="T752" s="846"/>
      <c r="U752" s="846"/>
    </row>
    <row r="753" ht="14.25" customHeight="1">
      <c r="A753" s="846"/>
      <c r="B753" s="846"/>
      <c r="C753" s="846"/>
      <c r="D753" s="847"/>
      <c r="E753" s="847"/>
      <c r="F753" s="846"/>
      <c r="G753" s="847"/>
      <c r="H753" s="868"/>
      <c r="I753" s="846"/>
      <c r="J753" s="846"/>
      <c r="K753" s="846"/>
      <c r="L753" s="846"/>
      <c r="M753" s="846"/>
      <c r="N753" s="847"/>
      <c r="O753" s="846"/>
      <c r="P753" s="846"/>
      <c r="Q753" s="846"/>
      <c r="R753" s="846"/>
      <c r="S753" s="846"/>
      <c r="T753" s="846"/>
      <c r="U753" s="846"/>
    </row>
    <row r="754" ht="14.25" customHeight="1">
      <c r="A754" s="846"/>
      <c r="B754" s="846"/>
      <c r="C754" s="846"/>
      <c r="D754" s="847"/>
      <c r="E754" s="847"/>
      <c r="F754" s="846"/>
      <c r="G754" s="847"/>
      <c r="H754" s="868"/>
      <c r="I754" s="846"/>
      <c r="J754" s="846"/>
      <c r="K754" s="846"/>
      <c r="L754" s="846"/>
      <c r="M754" s="846"/>
      <c r="N754" s="847"/>
      <c r="O754" s="846"/>
      <c r="P754" s="846"/>
      <c r="Q754" s="846"/>
      <c r="R754" s="846"/>
      <c r="S754" s="846"/>
      <c r="T754" s="846"/>
      <c r="U754" s="846"/>
    </row>
    <row r="755" ht="14.25" customHeight="1">
      <c r="A755" s="846"/>
      <c r="B755" s="846"/>
      <c r="C755" s="846"/>
      <c r="D755" s="847"/>
      <c r="E755" s="847"/>
      <c r="F755" s="846"/>
      <c r="G755" s="847"/>
      <c r="H755" s="868"/>
      <c r="I755" s="846"/>
      <c r="J755" s="846"/>
      <c r="K755" s="846"/>
      <c r="L755" s="846"/>
      <c r="M755" s="846"/>
      <c r="N755" s="847"/>
      <c r="O755" s="846"/>
      <c r="P755" s="846"/>
      <c r="Q755" s="846"/>
      <c r="R755" s="846"/>
      <c r="S755" s="846"/>
      <c r="T755" s="846"/>
      <c r="U755" s="846"/>
    </row>
    <row r="756" ht="14.25" customHeight="1">
      <c r="A756" s="846"/>
      <c r="B756" s="846"/>
      <c r="C756" s="846"/>
      <c r="D756" s="847"/>
      <c r="E756" s="847"/>
      <c r="F756" s="846"/>
      <c r="G756" s="847"/>
      <c r="H756" s="868"/>
      <c r="I756" s="846"/>
      <c r="J756" s="846"/>
      <c r="K756" s="846"/>
      <c r="L756" s="846"/>
      <c r="M756" s="846"/>
      <c r="N756" s="847"/>
      <c r="O756" s="846"/>
      <c r="P756" s="846"/>
      <c r="Q756" s="846"/>
      <c r="R756" s="846"/>
      <c r="S756" s="846"/>
      <c r="T756" s="846"/>
      <c r="U756" s="846"/>
    </row>
    <row r="757" ht="14.25" customHeight="1">
      <c r="A757" s="846"/>
      <c r="B757" s="846"/>
      <c r="C757" s="846"/>
      <c r="D757" s="847"/>
      <c r="E757" s="847"/>
      <c r="F757" s="846"/>
      <c r="G757" s="847"/>
      <c r="H757" s="868"/>
      <c r="I757" s="846"/>
      <c r="J757" s="846"/>
      <c r="K757" s="846"/>
      <c r="L757" s="846"/>
      <c r="M757" s="846"/>
      <c r="N757" s="847"/>
      <c r="O757" s="846"/>
      <c r="P757" s="846"/>
      <c r="Q757" s="846"/>
      <c r="R757" s="846"/>
      <c r="S757" s="846"/>
      <c r="T757" s="846"/>
      <c r="U757" s="846"/>
    </row>
    <row r="758" ht="14.25" customHeight="1">
      <c r="A758" s="846"/>
      <c r="B758" s="846"/>
      <c r="C758" s="846"/>
      <c r="D758" s="847"/>
      <c r="E758" s="847"/>
      <c r="F758" s="846"/>
      <c r="G758" s="847"/>
      <c r="H758" s="868"/>
      <c r="I758" s="846"/>
      <c r="J758" s="846"/>
      <c r="K758" s="846"/>
      <c r="L758" s="846"/>
      <c r="M758" s="846"/>
      <c r="N758" s="847"/>
      <c r="O758" s="846"/>
      <c r="P758" s="846"/>
      <c r="Q758" s="846"/>
      <c r="R758" s="846"/>
      <c r="S758" s="846"/>
      <c r="T758" s="846"/>
      <c r="U758" s="846"/>
    </row>
    <row r="759" ht="14.25" customHeight="1">
      <c r="A759" s="846"/>
      <c r="B759" s="846"/>
      <c r="C759" s="846"/>
      <c r="D759" s="847"/>
      <c r="E759" s="847"/>
      <c r="F759" s="846"/>
      <c r="G759" s="847"/>
      <c r="H759" s="868"/>
      <c r="I759" s="846"/>
      <c r="J759" s="846"/>
      <c r="K759" s="846"/>
      <c r="L759" s="846"/>
      <c r="M759" s="846"/>
      <c r="N759" s="847"/>
      <c r="O759" s="846"/>
      <c r="P759" s="846"/>
      <c r="Q759" s="846"/>
      <c r="R759" s="846"/>
      <c r="S759" s="846"/>
      <c r="T759" s="846"/>
      <c r="U759" s="846"/>
    </row>
    <row r="760" ht="14.25" customHeight="1">
      <c r="A760" s="846"/>
      <c r="B760" s="846"/>
      <c r="C760" s="846"/>
      <c r="D760" s="847"/>
      <c r="E760" s="847"/>
      <c r="F760" s="846"/>
      <c r="G760" s="847"/>
      <c r="H760" s="868"/>
      <c r="I760" s="846"/>
      <c r="J760" s="846"/>
      <c r="K760" s="846"/>
      <c r="L760" s="846"/>
      <c r="M760" s="846"/>
      <c r="N760" s="847"/>
      <c r="O760" s="846"/>
      <c r="P760" s="846"/>
      <c r="Q760" s="846"/>
      <c r="R760" s="846"/>
      <c r="S760" s="846"/>
      <c r="T760" s="846"/>
      <c r="U760" s="846"/>
    </row>
    <row r="761" ht="14.25" customHeight="1">
      <c r="A761" s="846"/>
      <c r="B761" s="846"/>
      <c r="C761" s="846"/>
      <c r="D761" s="847"/>
      <c r="E761" s="847"/>
      <c r="F761" s="846"/>
      <c r="G761" s="847"/>
      <c r="H761" s="868"/>
      <c r="I761" s="846"/>
      <c r="J761" s="846"/>
      <c r="K761" s="846"/>
      <c r="L761" s="846"/>
      <c r="M761" s="846"/>
      <c r="N761" s="847"/>
      <c r="O761" s="846"/>
      <c r="P761" s="846"/>
      <c r="Q761" s="846"/>
      <c r="R761" s="846"/>
      <c r="S761" s="846"/>
      <c r="T761" s="846"/>
      <c r="U761" s="846"/>
    </row>
    <row r="762" ht="14.25" customHeight="1">
      <c r="A762" s="846"/>
      <c r="B762" s="846"/>
      <c r="C762" s="846"/>
      <c r="D762" s="847"/>
      <c r="E762" s="847"/>
      <c r="F762" s="846"/>
      <c r="G762" s="847"/>
      <c r="H762" s="868"/>
      <c r="I762" s="846"/>
      <c r="J762" s="846"/>
      <c r="K762" s="846"/>
      <c r="L762" s="846"/>
      <c r="M762" s="846"/>
      <c r="N762" s="847"/>
      <c r="O762" s="846"/>
      <c r="P762" s="846"/>
      <c r="Q762" s="846"/>
      <c r="R762" s="846"/>
      <c r="S762" s="846"/>
      <c r="T762" s="846"/>
      <c r="U762" s="846"/>
    </row>
    <row r="763" ht="14.25" customHeight="1">
      <c r="A763" s="846"/>
      <c r="B763" s="846"/>
      <c r="C763" s="846"/>
      <c r="D763" s="847"/>
      <c r="E763" s="847"/>
      <c r="F763" s="846"/>
      <c r="G763" s="847"/>
      <c r="H763" s="868"/>
      <c r="I763" s="846"/>
      <c r="J763" s="846"/>
      <c r="K763" s="846"/>
      <c r="L763" s="846"/>
      <c r="M763" s="846"/>
      <c r="N763" s="847"/>
      <c r="O763" s="846"/>
      <c r="P763" s="846"/>
      <c r="Q763" s="846"/>
      <c r="R763" s="846"/>
      <c r="S763" s="846"/>
      <c r="T763" s="846"/>
      <c r="U763" s="846"/>
    </row>
    <row r="764" ht="14.25" customHeight="1">
      <c r="A764" s="846"/>
      <c r="B764" s="846"/>
      <c r="C764" s="846"/>
      <c r="D764" s="847"/>
      <c r="E764" s="847"/>
      <c r="F764" s="846"/>
      <c r="G764" s="847"/>
      <c r="H764" s="868"/>
      <c r="I764" s="846"/>
      <c r="J764" s="846"/>
      <c r="K764" s="846"/>
      <c r="L764" s="846"/>
      <c r="M764" s="846"/>
      <c r="N764" s="847"/>
      <c r="O764" s="846"/>
      <c r="P764" s="846"/>
      <c r="Q764" s="846"/>
      <c r="R764" s="846"/>
      <c r="S764" s="846"/>
      <c r="T764" s="846"/>
      <c r="U764" s="846"/>
    </row>
    <row r="765" ht="14.25" customHeight="1">
      <c r="A765" s="846"/>
      <c r="B765" s="846"/>
      <c r="C765" s="846"/>
      <c r="D765" s="847"/>
      <c r="E765" s="847"/>
      <c r="F765" s="846"/>
      <c r="G765" s="847"/>
      <c r="H765" s="868"/>
      <c r="I765" s="846"/>
      <c r="J765" s="846"/>
      <c r="K765" s="846"/>
      <c r="L765" s="846"/>
      <c r="M765" s="846"/>
      <c r="N765" s="847"/>
      <c r="O765" s="846"/>
      <c r="P765" s="846"/>
      <c r="Q765" s="846"/>
      <c r="R765" s="846"/>
      <c r="S765" s="846"/>
      <c r="T765" s="846"/>
      <c r="U765" s="846"/>
    </row>
    <row r="766" ht="14.25" customHeight="1">
      <c r="A766" s="846"/>
      <c r="B766" s="846"/>
      <c r="C766" s="846"/>
      <c r="D766" s="847"/>
      <c r="E766" s="847"/>
      <c r="F766" s="846"/>
      <c r="G766" s="847"/>
      <c r="H766" s="868"/>
      <c r="I766" s="846"/>
      <c r="J766" s="846"/>
      <c r="K766" s="846"/>
      <c r="L766" s="846"/>
      <c r="M766" s="846"/>
      <c r="N766" s="847"/>
      <c r="O766" s="846"/>
      <c r="P766" s="846"/>
      <c r="Q766" s="846"/>
      <c r="R766" s="846"/>
      <c r="S766" s="846"/>
      <c r="T766" s="846"/>
      <c r="U766" s="846"/>
    </row>
    <row r="767" ht="14.25" customHeight="1">
      <c r="A767" s="846"/>
      <c r="B767" s="846"/>
      <c r="C767" s="846"/>
      <c r="D767" s="847"/>
      <c r="E767" s="847"/>
      <c r="F767" s="846"/>
      <c r="G767" s="847"/>
      <c r="H767" s="868"/>
      <c r="I767" s="846"/>
      <c r="J767" s="846"/>
      <c r="K767" s="846"/>
      <c r="L767" s="846"/>
      <c r="M767" s="846"/>
      <c r="N767" s="847"/>
      <c r="O767" s="846"/>
      <c r="P767" s="846"/>
      <c r="Q767" s="846"/>
      <c r="R767" s="846"/>
      <c r="S767" s="846"/>
      <c r="T767" s="846"/>
      <c r="U767" s="846"/>
    </row>
    <row r="768" ht="14.25" customHeight="1">
      <c r="A768" s="846"/>
      <c r="B768" s="846"/>
      <c r="C768" s="846"/>
      <c r="D768" s="847"/>
      <c r="E768" s="847"/>
      <c r="F768" s="846"/>
      <c r="G768" s="847"/>
      <c r="H768" s="868"/>
      <c r="I768" s="846"/>
      <c r="J768" s="846"/>
      <c r="K768" s="846"/>
      <c r="L768" s="846"/>
      <c r="M768" s="846"/>
      <c r="N768" s="847"/>
      <c r="O768" s="846"/>
      <c r="P768" s="846"/>
      <c r="Q768" s="846"/>
      <c r="R768" s="846"/>
      <c r="S768" s="846"/>
      <c r="T768" s="846"/>
      <c r="U768" s="846"/>
    </row>
    <row r="769" ht="14.25" customHeight="1">
      <c r="A769" s="846"/>
      <c r="B769" s="846"/>
      <c r="C769" s="846"/>
      <c r="D769" s="847"/>
      <c r="E769" s="847"/>
      <c r="F769" s="846"/>
      <c r="G769" s="847"/>
      <c r="H769" s="868"/>
      <c r="I769" s="846"/>
      <c r="J769" s="846"/>
      <c r="K769" s="846"/>
      <c r="L769" s="846"/>
      <c r="M769" s="846"/>
      <c r="N769" s="847"/>
      <c r="O769" s="846"/>
      <c r="P769" s="846"/>
      <c r="Q769" s="846"/>
      <c r="R769" s="846"/>
      <c r="S769" s="846"/>
      <c r="T769" s="846"/>
      <c r="U769" s="846"/>
    </row>
    <row r="770" ht="14.25" customHeight="1">
      <c r="A770" s="846"/>
      <c r="B770" s="846"/>
      <c r="C770" s="846"/>
      <c r="D770" s="847"/>
      <c r="E770" s="847"/>
      <c r="F770" s="846"/>
      <c r="G770" s="847"/>
      <c r="H770" s="868"/>
      <c r="I770" s="846"/>
      <c r="J770" s="846"/>
      <c r="K770" s="846"/>
      <c r="L770" s="846"/>
      <c r="M770" s="846"/>
      <c r="N770" s="847"/>
      <c r="O770" s="846"/>
      <c r="P770" s="846"/>
      <c r="Q770" s="846"/>
      <c r="R770" s="846"/>
      <c r="S770" s="846"/>
      <c r="T770" s="846"/>
      <c r="U770" s="846"/>
    </row>
    <row r="771" ht="14.25" customHeight="1">
      <c r="A771" s="846"/>
      <c r="B771" s="846"/>
      <c r="C771" s="846"/>
      <c r="D771" s="847"/>
      <c r="E771" s="847"/>
      <c r="F771" s="846"/>
      <c r="G771" s="847"/>
      <c r="H771" s="868"/>
      <c r="I771" s="846"/>
      <c r="J771" s="846"/>
      <c r="K771" s="846"/>
      <c r="L771" s="846"/>
      <c r="M771" s="846"/>
      <c r="N771" s="847"/>
      <c r="O771" s="846"/>
      <c r="P771" s="846"/>
      <c r="Q771" s="846"/>
      <c r="R771" s="846"/>
      <c r="S771" s="846"/>
      <c r="T771" s="846"/>
      <c r="U771" s="846"/>
    </row>
    <row r="772" ht="14.25" customHeight="1">
      <c r="A772" s="846"/>
      <c r="B772" s="846"/>
      <c r="C772" s="846"/>
      <c r="D772" s="847"/>
      <c r="E772" s="847"/>
      <c r="F772" s="846"/>
      <c r="G772" s="847"/>
      <c r="H772" s="868"/>
      <c r="I772" s="846"/>
      <c r="J772" s="846"/>
      <c r="K772" s="846"/>
      <c r="L772" s="846"/>
      <c r="M772" s="846"/>
      <c r="N772" s="847"/>
      <c r="O772" s="846"/>
      <c r="P772" s="846"/>
      <c r="Q772" s="846"/>
      <c r="R772" s="846"/>
      <c r="S772" s="846"/>
      <c r="T772" s="846"/>
      <c r="U772" s="846"/>
    </row>
    <row r="773" ht="14.25" customHeight="1">
      <c r="A773" s="846"/>
      <c r="B773" s="846"/>
      <c r="C773" s="846"/>
      <c r="D773" s="847"/>
      <c r="E773" s="847"/>
      <c r="F773" s="846"/>
      <c r="G773" s="847"/>
      <c r="H773" s="868"/>
      <c r="I773" s="846"/>
      <c r="J773" s="846"/>
      <c r="K773" s="846"/>
      <c r="L773" s="846"/>
      <c r="M773" s="846"/>
      <c r="N773" s="847"/>
      <c r="O773" s="846"/>
      <c r="P773" s="846"/>
      <c r="Q773" s="846"/>
      <c r="R773" s="846"/>
      <c r="S773" s="846"/>
      <c r="T773" s="846"/>
      <c r="U773" s="846"/>
    </row>
    <row r="774" ht="14.25" customHeight="1">
      <c r="A774" s="846"/>
      <c r="B774" s="846"/>
      <c r="C774" s="846"/>
      <c r="D774" s="847"/>
      <c r="E774" s="847"/>
      <c r="F774" s="846"/>
      <c r="G774" s="847"/>
      <c r="H774" s="868"/>
      <c r="I774" s="846"/>
      <c r="J774" s="846"/>
      <c r="K774" s="846"/>
      <c r="L774" s="846"/>
      <c r="M774" s="846"/>
      <c r="N774" s="847"/>
      <c r="O774" s="846"/>
      <c r="P774" s="846"/>
      <c r="Q774" s="846"/>
      <c r="R774" s="846"/>
      <c r="S774" s="846"/>
      <c r="T774" s="846"/>
      <c r="U774" s="846"/>
    </row>
    <row r="775" ht="14.25" customHeight="1">
      <c r="A775" s="846"/>
      <c r="B775" s="846"/>
      <c r="C775" s="846"/>
      <c r="D775" s="847"/>
      <c r="E775" s="847"/>
      <c r="F775" s="846"/>
      <c r="G775" s="847"/>
      <c r="H775" s="868"/>
      <c r="I775" s="846"/>
      <c r="J775" s="846"/>
      <c r="K775" s="846"/>
      <c r="L775" s="846"/>
      <c r="M775" s="846"/>
      <c r="N775" s="847"/>
      <c r="O775" s="846"/>
      <c r="P775" s="846"/>
      <c r="Q775" s="846"/>
      <c r="R775" s="846"/>
      <c r="S775" s="846"/>
      <c r="T775" s="846"/>
      <c r="U775" s="846"/>
    </row>
    <row r="776" ht="14.25" customHeight="1">
      <c r="A776" s="846"/>
      <c r="B776" s="846"/>
      <c r="C776" s="846"/>
      <c r="D776" s="847"/>
      <c r="E776" s="847"/>
      <c r="F776" s="846"/>
      <c r="G776" s="847"/>
      <c r="H776" s="868"/>
      <c r="I776" s="846"/>
      <c r="J776" s="846"/>
      <c r="K776" s="846"/>
      <c r="L776" s="846"/>
      <c r="M776" s="846"/>
      <c r="N776" s="847"/>
      <c r="O776" s="846"/>
      <c r="P776" s="846"/>
      <c r="Q776" s="846"/>
      <c r="R776" s="846"/>
      <c r="S776" s="846"/>
      <c r="T776" s="846"/>
      <c r="U776" s="846"/>
    </row>
    <row r="777" ht="14.25" customHeight="1">
      <c r="A777" s="846"/>
      <c r="B777" s="846"/>
      <c r="C777" s="846"/>
      <c r="D777" s="847"/>
      <c r="E777" s="847"/>
      <c r="F777" s="846"/>
      <c r="G777" s="847"/>
      <c r="H777" s="868"/>
      <c r="I777" s="846"/>
      <c r="J777" s="846"/>
      <c r="K777" s="846"/>
      <c r="L777" s="846"/>
      <c r="M777" s="846"/>
      <c r="N777" s="847"/>
      <c r="O777" s="846"/>
      <c r="P777" s="846"/>
      <c r="Q777" s="846"/>
      <c r="R777" s="846"/>
      <c r="S777" s="846"/>
      <c r="T777" s="846"/>
      <c r="U777" s="846"/>
    </row>
    <row r="778" ht="14.25" customHeight="1">
      <c r="A778" s="846"/>
      <c r="B778" s="846"/>
      <c r="C778" s="846"/>
      <c r="D778" s="847"/>
      <c r="E778" s="847"/>
      <c r="F778" s="846"/>
      <c r="G778" s="847"/>
      <c r="H778" s="868"/>
      <c r="I778" s="846"/>
      <c r="J778" s="846"/>
      <c r="K778" s="846"/>
      <c r="L778" s="846"/>
      <c r="M778" s="846"/>
      <c r="N778" s="847"/>
      <c r="O778" s="846"/>
      <c r="P778" s="846"/>
      <c r="Q778" s="846"/>
      <c r="R778" s="846"/>
      <c r="S778" s="846"/>
      <c r="T778" s="846"/>
      <c r="U778" s="846"/>
    </row>
    <row r="779" ht="14.25" customHeight="1">
      <c r="A779" s="846"/>
      <c r="B779" s="846"/>
      <c r="C779" s="846"/>
      <c r="D779" s="847"/>
      <c r="E779" s="847"/>
      <c r="F779" s="846"/>
      <c r="G779" s="847"/>
      <c r="H779" s="868"/>
      <c r="I779" s="846"/>
      <c r="J779" s="846"/>
      <c r="K779" s="846"/>
      <c r="L779" s="846"/>
      <c r="M779" s="846"/>
      <c r="N779" s="847"/>
      <c r="O779" s="846"/>
      <c r="P779" s="846"/>
      <c r="Q779" s="846"/>
      <c r="R779" s="846"/>
      <c r="S779" s="846"/>
      <c r="T779" s="846"/>
      <c r="U779" s="846"/>
    </row>
    <row r="780" ht="14.25" customHeight="1">
      <c r="A780" s="846"/>
      <c r="B780" s="846"/>
      <c r="C780" s="846"/>
      <c r="D780" s="847"/>
      <c r="E780" s="847"/>
      <c r="F780" s="846"/>
      <c r="G780" s="847"/>
      <c r="H780" s="868"/>
      <c r="I780" s="846"/>
      <c r="J780" s="846"/>
      <c r="K780" s="846"/>
      <c r="L780" s="846"/>
      <c r="M780" s="846"/>
      <c r="N780" s="847"/>
      <c r="O780" s="846"/>
      <c r="P780" s="846"/>
      <c r="Q780" s="846"/>
      <c r="R780" s="846"/>
      <c r="S780" s="846"/>
      <c r="T780" s="846"/>
      <c r="U780" s="846"/>
    </row>
    <row r="781" ht="14.25" customHeight="1">
      <c r="A781" s="846"/>
      <c r="B781" s="846"/>
      <c r="C781" s="846"/>
      <c r="D781" s="847"/>
      <c r="E781" s="847"/>
      <c r="F781" s="846"/>
      <c r="G781" s="847"/>
      <c r="H781" s="868"/>
      <c r="I781" s="846"/>
      <c r="J781" s="846"/>
      <c r="K781" s="846"/>
      <c r="L781" s="846"/>
      <c r="M781" s="846"/>
      <c r="N781" s="847"/>
      <c r="O781" s="846"/>
      <c r="P781" s="846"/>
      <c r="Q781" s="846"/>
      <c r="R781" s="846"/>
      <c r="S781" s="846"/>
      <c r="T781" s="846"/>
      <c r="U781" s="846"/>
    </row>
    <row r="782" ht="14.25" customHeight="1">
      <c r="A782" s="846"/>
      <c r="B782" s="846"/>
      <c r="C782" s="846"/>
      <c r="D782" s="847"/>
      <c r="E782" s="847"/>
      <c r="F782" s="846"/>
      <c r="G782" s="847"/>
      <c r="H782" s="868"/>
      <c r="I782" s="846"/>
      <c r="J782" s="846"/>
      <c r="K782" s="846"/>
      <c r="L782" s="846"/>
      <c r="M782" s="846"/>
      <c r="N782" s="847"/>
      <c r="O782" s="846"/>
      <c r="P782" s="846"/>
      <c r="Q782" s="846"/>
      <c r="R782" s="846"/>
      <c r="S782" s="846"/>
      <c r="T782" s="846"/>
      <c r="U782" s="846"/>
    </row>
    <row r="783" ht="14.25" customHeight="1">
      <c r="A783" s="846"/>
      <c r="B783" s="846"/>
      <c r="C783" s="846"/>
      <c r="D783" s="847"/>
      <c r="E783" s="847"/>
      <c r="F783" s="846"/>
      <c r="G783" s="847"/>
      <c r="H783" s="868"/>
      <c r="I783" s="846"/>
      <c r="J783" s="846"/>
      <c r="K783" s="846"/>
      <c r="L783" s="846"/>
      <c r="M783" s="846"/>
      <c r="N783" s="847"/>
      <c r="O783" s="846"/>
      <c r="P783" s="846"/>
      <c r="Q783" s="846"/>
      <c r="R783" s="846"/>
      <c r="S783" s="846"/>
      <c r="T783" s="846"/>
      <c r="U783" s="846"/>
    </row>
    <row r="784" ht="14.25" customHeight="1">
      <c r="A784" s="846"/>
      <c r="B784" s="846"/>
      <c r="C784" s="846"/>
      <c r="D784" s="847"/>
      <c r="E784" s="847"/>
      <c r="F784" s="846"/>
      <c r="G784" s="847"/>
      <c r="H784" s="868"/>
      <c r="I784" s="846"/>
      <c r="J784" s="846"/>
      <c r="K784" s="846"/>
      <c r="L784" s="846"/>
      <c r="M784" s="846"/>
      <c r="N784" s="847"/>
      <c r="O784" s="846"/>
      <c r="P784" s="846"/>
      <c r="Q784" s="846"/>
      <c r="R784" s="846"/>
      <c r="S784" s="846"/>
      <c r="T784" s="846"/>
      <c r="U784" s="846"/>
    </row>
    <row r="785" ht="14.25" customHeight="1">
      <c r="A785" s="846"/>
      <c r="B785" s="846"/>
      <c r="C785" s="846"/>
      <c r="D785" s="847"/>
      <c r="E785" s="847"/>
      <c r="F785" s="846"/>
      <c r="G785" s="847"/>
      <c r="H785" s="868"/>
      <c r="I785" s="846"/>
      <c r="J785" s="846"/>
      <c r="K785" s="846"/>
      <c r="L785" s="846"/>
      <c r="M785" s="846"/>
      <c r="N785" s="847"/>
      <c r="O785" s="846"/>
      <c r="P785" s="846"/>
      <c r="Q785" s="846"/>
      <c r="R785" s="846"/>
      <c r="S785" s="846"/>
      <c r="T785" s="846"/>
      <c r="U785" s="846"/>
    </row>
    <row r="786" ht="14.25" customHeight="1">
      <c r="A786" s="846"/>
      <c r="B786" s="846"/>
      <c r="C786" s="846"/>
      <c r="D786" s="847"/>
      <c r="E786" s="847"/>
      <c r="F786" s="846"/>
      <c r="G786" s="847"/>
      <c r="H786" s="868"/>
      <c r="I786" s="846"/>
      <c r="J786" s="846"/>
      <c r="K786" s="846"/>
      <c r="L786" s="846"/>
      <c r="M786" s="846"/>
      <c r="N786" s="847"/>
      <c r="O786" s="846"/>
      <c r="P786" s="846"/>
      <c r="Q786" s="846"/>
      <c r="R786" s="846"/>
      <c r="S786" s="846"/>
      <c r="T786" s="846"/>
      <c r="U786" s="846"/>
    </row>
    <row r="787" ht="14.25" customHeight="1">
      <c r="A787" s="846"/>
      <c r="B787" s="846"/>
      <c r="C787" s="846"/>
      <c r="D787" s="847"/>
      <c r="E787" s="847"/>
      <c r="F787" s="846"/>
      <c r="G787" s="847"/>
      <c r="H787" s="868"/>
      <c r="I787" s="846"/>
      <c r="J787" s="846"/>
      <c r="K787" s="846"/>
      <c r="L787" s="846"/>
      <c r="M787" s="846"/>
      <c r="N787" s="847"/>
      <c r="O787" s="846"/>
      <c r="P787" s="846"/>
      <c r="Q787" s="846"/>
      <c r="R787" s="846"/>
      <c r="S787" s="846"/>
      <c r="T787" s="846"/>
      <c r="U787" s="846"/>
    </row>
    <row r="788" ht="14.25" customHeight="1">
      <c r="A788" s="846"/>
      <c r="B788" s="846"/>
      <c r="C788" s="846"/>
      <c r="D788" s="847"/>
      <c r="E788" s="847"/>
      <c r="F788" s="846"/>
      <c r="G788" s="847"/>
      <c r="H788" s="868"/>
      <c r="I788" s="846"/>
      <c r="J788" s="846"/>
      <c r="K788" s="846"/>
      <c r="L788" s="846"/>
      <c r="M788" s="846"/>
      <c r="N788" s="847"/>
      <c r="O788" s="846"/>
      <c r="P788" s="846"/>
      <c r="Q788" s="846"/>
      <c r="R788" s="846"/>
      <c r="S788" s="846"/>
      <c r="T788" s="846"/>
      <c r="U788" s="846"/>
    </row>
    <row r="789" ht="14.25" customHeight="1">
      <c r="A789" s="846"/>
      <c r="B789" s="846"/>
      <c r="C789" s="846"/>
      <c r="D789" s="847"/>
      <c r="E789" s="847"/>
      <c r="F789" s="846"/>
      <c r="G789" s="847"/>
      <c r="H789" s="868"/>
      <c r="I789" s="846"/>
      <c r="J789" s="846"/>
      <c r="K789" s="846"/>
      <c r="L789" s="846"/>
      <c r="M789" s="846"/>
      <c r="N789" s="847"/>
      <c r="O789" s="846"/>
      <c r="P789" s="846"/>
      <c r="Q789" s="846"/>
      <c r="R789" s="846"/>
      <c r="S789" s="846"/>
      <c r="T789" s="846"/>
      <c r="U789" s="846"/>
    </row>
    <row r="790" ht="14.25" customHeight="1">
      <c r="A790" s="846"/>
      <c r="B790" s="846"/>
      <c r="C790" s="846"/>
      <c r="D790" s="847"/>
      <c r="E790" s="847"/>
      <c r="F790" s="846"/>
      <c r="G790" s="847"/>
      <c r="H790" s="868"/>
      <c r="I790" s="846"/>
      <c r="J790" s="846"/>
      <c r="K790" s="846"/>
      <c r="L790" s="846"/>
      <c r="M790" s="846"/>
      <c r="N790" s="847"/>
      <c r="O790" s="846"/>
      <c r="P790" s="846"/>
      <c r="Q790" s="846"/>
      <c r="R790" s="846"/>
      <c r="S790" s="846"/>
      <c r="T790" s="846"/>
      <c r="U790" s="846"/>
    </row>
    <row r="791" ht="14.25" customHeight="1">
      <c r="A791" s="846"/>
      <c r="B791" s="846"/>
      <c r="C791" s="846"/>
      <c r="D791" s="847"/>
      <c r="E791" s="847"/>
      <c r="F791" s="846"/>
      <c r="G791" s="847"/>
      <c r="H791" s="868"/>
      <c r="I791" s="846"/>
      <c r="J791" s="846"/>
      <c r="K791" s="846"/>
      <c r="L791" s="846"/>
      <c r="M791" s="846"/>
      <c r="N791" s="847"/>
      <c r="O791" s="846"/>
      <c r="P791" s="846"/>
      <c r="Q791" s="846"/>
      <c r="R791" s="846"/>
      <c r="S791" s="846"/>
      <c r="T791" s="846"/>
      <c r="U791" s="846"/>
    </row>
    <row r="792" ht="14.25" customHeight="1">
      <c r="A792" s="846"/>
      <c r="B792" s="846"/>
      <c r="C792" s="846"/>
      <c r="D792" s="847"/>
      <c r="E792" s="847"/>
      <c r="F792" s="846"/>
      <c r="G792" s="847"/>
      <c r="H792" s="868"/>
      <c r="I792" s="846"/>
      <c r="J792" s="846"/>
      <c r="K792" s="846"/>
      <c r="L792" s="846"/>
      <c r="M792" s="846"/>
      <c r="N792" s="847"/>
      <c r="O792" s="846"/>
      <c r="P792" s="846"/>
      <c r="Q792" s="846"/>
      <c r="R792" s="846"/>
      <c r="S792" s="846"/>
      <c r="T792" s="846"/>
      <c r="U792" s="846"/>
    </row>
    <row r="793" ht="14.25" customHeight="1">
      <c r="A793" s="846"/>
      <c r="B793" s="846"/>
      <c r="C793" s="846"/>
      <c r="D793" s="847"/>
      <c r="E793" s="847"/>
      <c r="F793" s="846"/>
      <c r="G793" s="847"/>
      <c r="H793" s="868"/>
      <c r="I793" s="846"/>
      <c r="J793" s="846"/>
      <c r="K793" s="846"/>
      <c r="L793" s="846"/>
      <c r="M793" s="846"/>
      <c r="N793" s="847"/>
      <c r="O793" s="846"/>
      <c r="P793" s="846"/>
      <c r="Q793" s="846"/>
      <c r="R793" s="846"/>
      <c r="S793" s="846"/>
      <c r="T793" s="846"/>
      <c r="U793" s="846"/>
    </row>
    <row r="794" ht="14.25" customHeight="1">
      <c r="A794" s="846"/>
      <c r="B794" s="846"/>
      <c r="C794" s="846"/>
      <c r="D794" s="847"/>
      <c r="E794" s="847"/>
      <c r="F794" s="846"/>
      <c r="G794" s="847"/>
      <c r="H794" s="868"/>
      <c r="I794" s="846"/>
      <c r="J794" s="846"/>
      <c r="K794" s="846"/>
      <c r="L794" s="846"/>
      <c r="M794" s="846"/>
      <c r="N794" s="847"/>
      <c r="O794" s="846"/>
      <c r="P794" s="846"/>
      <c r="Q794" s="846"/>
      <c r="R794" s="846"/>
      <c r="S794" s="846"/>
      <c r="T794" s="846"/>
      <c r="U794" s="846"/>
    </row>
    <row r="795" ht="14.25" customHeight="1">
      <c r="A795" s="846"/>
      <c r="B795" s="846"/>
      <c r="C795" s="846"/>
      <c r="D795" s="847"/>
      <c r="E795" s="847"/>
      <c r="F795" s="846"/>
      <c r="G795" s="847"/>
      <c r="H795" s="868"/>
      <c r="I795" s="846"/>
      <c r="J795" s="846"/>
      <c r="K795" s="846"/>
      <c r="L795" s="846"/>
      <c r="M795" s="846"/>
      <c r="N795" s="847"/>
      <c r="O795" s="846"/>
      <c r="P795" s="846"/>
      <c r="Q795" s="846"/>
      <c r="R795" s="846"/>
      <c r="S795" s="846"/>
      <c r="T795" s="846"/>
      <c r="U795" s="846"/>
    </row>
    <row r="796" ht="14.25" customHeight="1">
      <c r="A796" s="846"/>
      <c r="B796" s="846"/>
      <c r="C796" s="846"/>
      <c r="D796" s="847"/>
      <c r="E796" s="847"/>
      <c r="F796" s="846"/>
      <c r="G796" s="847"/>
      <c r="H796" s="868"/>
      <c r="I796" s="846"/>
      <c r="J796" s="846"/>
      <c r="K796" s="846"/>
      <c r="L796" s="846"/>
      <c r="M796" s="846"/>
      <c r="N796" s="847"/>
      <c r="O796" s="846"/>
      <c r="P796" s="846"/>
      <c r="Q796" s="846"/>
      <c r="R796" s="846"/>
      <c r="S796" s="846"/>
      <c r="T796" s="846"/>
      <c r="U796" s="846"/>
    </row>
    <row r="797" ht="14.25" customHeight="1">
      <c r="A797" s="846"/>
      <c r="B797" s="846"/>
      <c r="C797" s="846"/>
      <c r="D797" s="847"/>
      <c r="E797" s="847"/>
      <c r="F797" s="846"/>
      <c r="G797" s="847"/>
      <c r="H797" s="868"/>
      <c r="I797" s="846"/>
      <c r="J797" s="846"/>
      <c r="K797" s="846"/>
      <c r="L797" s="846"/>
      <c r="M797" s="846"/>
      <c r="N797" s="847"/>
      <c r="O797" s="846"/>
      <c r="P797" s="846"/>
      <c r="Q797" s="846"/>
      <c r="R797" s="846"/>
      <c r="S797" s="846"/>
      <c r="T797" s="846"/>
      <c r="U797" s="846"/>
    </row>
    <row r="798" ht="14.25" customHeight="1">
      <c r="A798" s="846"/>
      <c r="B798" s="846"/>
      <c r="C798" s="846"/>
      <c r="D798" s="847"/>
      <c r="E798" s="847"/>
      <c r="F798" s="846"/>
      <c r="G798" s="847"/>
      <c r="H798" s="868"/>
      <c r="I798" s="846"/>
      <c r="J798" s="846"/>
      <c r="K798" s="846"/>
      <c r="L798" s="846"/>
      <c r="M798" s="846"/>
      <c r="N798" s="847"/>
      <c r="O798" s="846"/>
      <c r="P798" s="846"/>
      <c r="Q798" s="846"/>
      <c r="R798" s="846"/>
      <c r="S798" s="846"/>
      <c r="T798" s="846"/>
      <c r="U798" s="846"/>
    </row>
    <row r="799" ht="14.25" customHeight="1">
      <c r="A799" s="846"/>
      <c r="B799" s="846"/>
      <c r="C799" s="846"/>
      <c r="D799" s="847"/>
      <c r="E799" s="847"/>
      <c r="F799" s="846"/>
      <c r="G799" s="847"/>
      <c r="H799" s="868"/>
      <c r="I799" s="846"/>
      <c r="J799" s="846"/>
      <c r="K799" s="846"/>
      <c r="L799" s="846"/>
      <c r="M799" s="846"/>
      <c r="N799" s="847"/>
      <c r="O799" s="846"/>
      <c r="P799" s="846"/>
      <c r="Q799" s="846"/>
      <c r="R799" s="846"/>
      <c r="S799" s="846"/>
      <c r="T799" s="846"/>
      <c r="U799" s="846"/>
    </row>
    <row r="800" ht="14.25" customHeight="1">
      <c r="A800" s="846"/>
      <c r="B800" s="846"/>
      <c r="C800" s="846"/>
      <c r="D800" s="847"/>
      <c r="E800" s="847"/>
      <c r="F800" s="846"/>
      <c r="G800" s="847"/>
      <c r="H800" s="868"/>
      <c r="I800" s="846"/>
      <c r="J800" s="846"/>
      <c r="K800" s="846"/>
      <c r="L800" s="846"/>
      <c r="M800" s="846"/>
      <c r="N800" s="847"/>
      <c r="O800" s="846"/>
      <c r="P800" s="846"/>
      <c r="Q800" s="846"/>
      <c r="R800" s="846"/>
      <c r="S800" s="846"/>
      <c r="T800" s="846"/>
      <c r="U800" s="846"/>
    </row>
    <row r="801" ht="14.25" customHeight="1">
      <c r="A801" s="846"/>
      <c r="B801" s="846"/>
      <c r="C801" s="846"/>
      <c r="D801" s="847"/>
      <c r="E801" s="847"/>
      <c r="F801" s="846"/>
      <c r="G801" s="847"/>
      <c r="H801" s="868"/>
      <c r="I801" s="846"/>
      <c r="J801" s="846"/>
      <c r="K801" s="846"/>
      <c r="L801" s="846"/>
      <c r="M801" s="846"/>
      <c r="N801" s="847"/>
      <c r="O801" s="846"/>
      <c r="P801" s="846"/>
      <c r="Q801" s="846"/>
      <c r="R801" s="846"/>
      <c r="S801" s="846"/>
      <c r="T801" s="846"/>
      <c r="U801" s="846"/>
    </row>
    <row r="802" ht="14.25" customHeight="1">
      <c r="A802" s="846"/>
      <c r="B802" s="846"/>
      <c r="C802" s="846"/>
      <c r="D802" s="847"/>
      <c r="E802" s="847"/>
      <c r="F802" s="846"/>
      <c r="G802" s="847"/>
      <c r="H802" s="868"/>
      <c r="I802" s="846"/>
      <c r="J802" s="846"/>
      <c r="K802" s="846"/>
      <c r="L802" s="846"/>
      <c r="M802" s="846"/>
      <c r="N802" s="847"/>
      <c r="O802" s="846"/>
      <c r="P802" s="846"/>
      <c r="Q802" s="846"/>
      <c r="R802" s="846"/>
      <c r="S802" s="846"/>
      <c r="T802" s="846"/>
      <c r="U802" s="846"/>
    </row>
    <row r="803" ht="14.25" customHeight="1">
      <c r="A803" s="846"/>
      <c r="B803" s="846"/>
      <c r="C803" s="846"/>
      <c r="D803" s="847"/>
      <c r="E803" s="847"/>
      <c r="F803" s="846"/>
      <c r="G803" s="847"/>
      <c r="H803" s="868"/>
      <c r="I803" s="846"/>
      <c r="J803" s="846"/>
      <c r="K803" s="846"/>
      <c r="L803" s="846"/>
      <c r="M803" s="846"/>
      <c r="N803" s="847"/>
      <c r="O803" s="846"/>
      <c r="P803" s="846"/>
      <c r="Q803" s="846"/>
      <c r="R803" s="846"/>
      <c r="S803" s="846"/>
      <c r="T803" s="846"/>
      <c r="U803" s="846"/>
    </row>
    <row r="804" ht="14.25" customHeight="1">
      <c r="A804" s="846"/>
      <c r="B804" s="846"/>
      <c r="C804" s="846"/>
      <c r="D804" s="847"/>
      <c r="E804" s="847"/>
      <c r="F804" s="846"/>
      <c r="G804" s="847"/>
      <c r="H804" s="868"/>
      <c r="I804" s="846"/>
      <c r="J804" s="846"/>
      <c r="K804" s="846"/>
      <c r="L804" s="846"/>
      <c r="M804" s="846"/>
      <c r="N804" s="847"/>
      <c r="O804" s="846"/>
      <c r="P804" s="846"/>
      <c r="Q804" s="846"/>
      <c r="R804" s="846"/>
      <c r="S804" s="846"/>
      <c r="T804" s="846"/>
      <c r="U804" s="846"/>
    </row>
    <row r="805" ht="14.25" customHeight="1">
      <c r="A805" s="846"/>
      <c r="B805" s="846"/>
      <c r="C805" s="846"/>
      <c r="D805" s="847"/>
      <c r="E805" s="847"/>
      <c r="F805" s="846"/>
      <c r="G805" s="847"/>
      <c r="H805" s="868"/>
      <c r="I805" s="846"/>
      <c r="J805" s="846"/>
      <c r="K805" s="846"/>
      <c r="L805" s="846"/>
      <c r="M805" s="846"/>
      <c r="N805" s="847"/>
      <c r="O805" s="846"/>
      <c r="P805" s="846"/>
      <c r="Q805" s="846"/>
      <c r="R805" s="846"/>
      <c r="S805" s="846"/>
      <c r="T805" s="846"/>
      <c r="U805" s="846"/>
    </row>
    <row r="806" ht="14.25" customHeight="1">
      <c r="A806" s="846"/>
      <c r="B806" s="846"/>
      <c r="C806" s="846"/>
      <c r="D806" s="847"/>
      <c r="E806" s="847"/>
      <c r="F806" s="846"/>
      <c r="G806" s="847"/>
      <c r="H806" s="868"/>
      <c r="I806" s="846"/>
      <c r="J806" s="846"/>
      <c r="K806" s="846"/>
      <c r="L806" s="846"/>
      <c r="M806" s="846"/>
      <c r="N806" s="847"/>
      <c r="O806" s="846"/>
      <c r="P806" s="846"/>
      <c r="Q806" s="846"/>
      <c r="R806" s="846"/>
      <c r="S806" s="846"/>
      <c r="T806" s="846"/>
      <c r="U806" s="846"/>
    </row>
    <row r="807" ht="14.25" customHeight="1">
      <c r="A807" s="846"/>
      <c r="B807" s="846"/>
      <c r="C807" s="846"/>
      <c r="D807" s="847"/>
      <c r="E807" s="847"/>
      <c r="F807" s="846"/>
      <c r="G807" s="847"/>
      <c r="H807" s="868"/>
      <c r="I807" s="846"/>
      <c r="J807" s="846"/>
      <c r="K807" s="846"/>
      <c r="L807" s="846"/>
      <c r="M807" s="846"/>
      <c r="N807" s="847"/>
      <c r="O807" s="846"/>
      <c r="P807" s="846"/>
      <c r="Q807" s="846"/>
      <c r="R807" s="846"/>
      <c r="S807" s="846"/>
      <c r="T807" s="846"/>
      <c r="U807" s="846"/>
    </row>
    <row r="808" ht="14.25" customHeight="1">
      <c r="A808" s="846"/>
      <c r="B808" s="846"/>
      <c r="C808" s="846"/>
      <c r="D808" s="847"/>
      <c r="E808" s="847"/>
      <c r="F808" s="846"/>
      <c r="G808" s="847"/>
      <c r="H808" s="868"/>
      <c r="I808" s="846"/>
      <c r="J808" s="846"/>
      <c r="K808" s="846"/>
      <c r="L808" s="846"/>
      <c r="M808" s="846"/>
      <c r="N808" s="847"/>
      <c r="O808" s="846"/>
      <c r="P808" s="846"/>
      <c r="Q808" s="846"/>
      <c r="R808" s="846"/>
      <c r="S808" s="846"/>
      <c r="T808" s="846"/>
      <c r="U808" s="846"/>
    </row>
    <row r="809" ht="14.25" customHeight="1">
      <c r="A809" s="846"/>
      <c r="B809" s="846"/>
      <c r="C809" s="846"/>
      <c r="D809" s="847"/>
      <c r="E809" s="847"/>
      <c r="F809" s="846"/>
      <c r="G809" s="847"/>
      <c r="H809" s="868"/>
      <c r="I809" s="846"/>
      <c r="J809" s="846"/>
      <c r="K809" s="846"/>
      <c r="L809" s="846"/>
      <c r="M809" s="846"/>
      <c r="N809" s="847"/>
      <c r="O809" s="846"/>
      <c r="P809" s="846"/>
      <c r="Q809" s="846"/>
      <c r="R809" s="846"/>
      <c r="S809" s="846"/>
      <c r="T809" s="846"/>
      <c r="U809" s="846"/>
    </row>
    <row r="810" ht="14.25" customHeight="1">
      <c r="A810" s="846"/>
      <c r="B810" s="846"/>
      <c r="C810" s="846"/>
      <c r="D810" s="847"/>
      <c r="E810" s="847"/>
      <c r="F810" s="846"/>
      <c r="G810" s="847"/>
      <c r="H810" s="868"/>
      <c r="I810" s="846"/>
      <c r="J810" s="846"/>
      <c r="K810" s="846"/>
      <c r="L810" s="846"/>
      <c r="M810" s="846"/>
      <c r="N810" s="847"/>
      <c r="O810" s="846"/>
      <c r="P810" s="846"/>
      <c r="Q810" s="846"/>
      <c r="R810" s="846"/>
      <c r="S810" s="846"/>
      <c r="T810" s="846"/>
      <c r="U810" s="846"/>
    </row>
    <row r="811" ht="14.25" customHeight="1">
      <c r="A811" s="846"/>
      <c r="B811" s="846"/>
      <c r="C811" s="846"/>
      <c r="D811" s="847"/>
      <c r="E811" s="847"/>
      <c r="F811" s="846"/>
      <c r="G811" s="847"/>
      <c r="H811" s="868"/>
      <c r="I811" s="846"/>
      <c r="J811" s="846"/>
      <c r="K811" s="846"/>
      <c r="L811" s="846"/>
      <c r="M811" s="846"/>
      <c r="N811" s="847"/>
      <c r="O811" s="846"/>
      <c r="P811" s="846"/>
      <c r="Q811" s="846"/>
      <c r="R811" s="846"/>
      <c r="S811" s="846"/>
      <c r="T811" s="846"/>
      <c r="U811" s="846"/>
    </row>
    <row r="812" ht="14.25" customHeight="1">
      <c r="A812" s="846"/>
      <c r="B812" s="846"/>
      <c r="C812" s="846"/>
      <c r="D812" s="847"/>
      <c r="E812" s="847"/>
      <c r="F812" s="846"/>
      <c r="G812" s="847"/>
      <c r="H812" s="868"/>
      <c r="I812" s="846"/>
      <c r="J812" s="846"/>
      <c r="K812" s="846"/>
      <c r="L812" s="846"/>
      <c r="M812" s="846"/>
      <c r="N812" s="847"/>
      <c r="O812" s="846"/>
      <c r="P812" s="846"/>
      <c r="Q812" s="846"/>
      <c r="R812" s="846"/>
      <c r="S812" s="846"/>
      <c r="T812" s="846"/>
      <c r="U812" s="846"/>
    </row>
    <row r="813" ht="14.25" customHeight="1">
      <c r="A813" s="846"/>
      <c r="B813" s="846"/>
      <c r="C813" s="846"/>
      <c r="D813" s="847"/>
      <c r="E813" s="847"/>
      <c r="F813" s="846"/>
      <c r="G813" s="847"/>
      <c r="H813" s="868"/>
      <c r="I813" s="846"/>
      <c r="J813" s="846"/>
      <c r="K813" s="846"/>
      <c r="L813" s="846"/>
      <c r="M813" s="846"/>
      <c r="N813" s="847"/>
      <c r="O813" s="846"/>
      <c r="P813" s="846"/>
      <c r="Q813" s="846"/>
      <c r="R813" s="846"/>
      <c r="S813" s="846"/>
      <c r="T813" s="846"/>
      <c r="U813" s="846"/>
    </row>
    <row r="814" ht="14.25" customHeight="1">
      <c r="A814" s="846"/>
      <c r="B814" s="846"/>
      <c r="C814" s="846"/>
      <c r="D814" s="847"/>
      <c r="E814" s="847"/>
      <c r="F814" s="846"/>
      <c r="G814" s="847"/>
      <c r="H814" s="868"/>
      <c r="I814" s="846"/>
      <c r="J814" s="846"/>
      <c r="K814" s="846"/>
      <c r="L814" s="846"/>
      <c r="M814" s="846"/>
      <c r="N814" s="847"/>
      <c r="O814" s="846"/>
      <c r="P814" s="846"/>
      <c r="Q814" s="846"/>
      <c r="R814" s="846"/>
      <c r="S814" s="846"/>
      <c r="T814" s="846"/>
      <c r="U814" s="846"/>
    </row>
    <row r="815" ht="14.25" customHeight="1">
      <c r="A815" s="846"/>
      <c r="B815" s="846"/>
      <c r="C815" s="846"/>
      <c r="D815" s="847"/>
      <c r="E815" s="847"/>
      <c r="F815" s="846"/>
      <c r="G815" s="847"/>
      <c r="H815" s="868"/>
      <c r="I815" s="846"/>
      <c r="J815" s="846"/>
      <c r="K815" s="846"/>
      <c r="L815" s="846"/>
      <c r="M815" s="846"/>
      <c r="N815" s="847"/>
      <c r="O815" s="846"/>
      <c r="P815" s="846"/>
      <c r="Q815" s="846"/>
      <c r="R815" s="846"/>
      <c r="S815" s="846"/>
      <c r="T815" s="846"/>
      <c r="U815" s="846"/>
    </row>
    <row r="816" ht="14.25" customHeight="1">
      <c r="A816" s="846"/>
      <c r="B816" s="846"/>
      <c r="C816" s="846"/>
      <c r="D816" s="847"/>
      <c r="E816" s="847"/>
      <c r="F816" s="846"/>
      <c r="G816" s="847"/>
      <c r="H816" s="868"/>
      <c r="I816" s="846"/>
      <c r="J816" s="846"/>
      <c r="K816" s="846"/>
      <c r="L816" s="846"/>
      <c r="M816" s="846"/>
      <c r="N816" s="847"/>
      <c r="O816" s="846"/>
      <c r="P816" s="846"/>
      <c r="Q816" s="846"/>
      <c r="R816" s="846"/>
      <c r="S816" s="846"/>
      <c r="T816" s="846"/>
      <c r="U816" s="846"/>
    </row>
    <row r="817" ht="14.25" customHeight="1">
      <c r="A817" s="846"/>
      <c r="B817" s="846"/>
      <c r="C817" s="846"/>
      <c r="D817" s="847"/>
      <c r="E817" s="847"/>
      <c r="F817" s="846"/>
      <c r="G817" s="847"/>
      <c r="H817" s="868"/>
      <c r="I817" s="846"/>
      <c r="J817" s="846"/>
      <c r="K817" s="846"/>
      <c r="L817" s="846"/>
      <c r="M817" s="846"/>
      <c r="N817" s="847"/>
      <c r="O817" s="846"/>
      <c r="P817" s="846"/>
      <c r="Q817" s="846"/>
      <c r="R817" s="846"/>
      <c r="S817" s="846"/>
      <c r="T817" s="846"/>
      <c r="U817" s="846"/>
    </row>
    <row r="818" ht="14.25" customHeight="1">
      <c r="A818" s="846"/>
      <c r="B818" s="846"/>
      <c r="C818" s="846"/>
      <c r="D818" s="847"/>
      <c r="E818" s="847"/>
      <c r="F818" s="846"/>
      <c r="G818" s="847"/>
      <c r="H818" s="868"/>
      <c r="I818" s="846"/>
      <c r="J818" s="846"/>
      <c r="K818" s="846"/>
      <c r="L818" s="846"/>
      <c r="M818" s="846"/>
      <c r="N818" s="847"/>
      <c r="O818" s="846"/>
      <c r="P818" s="846"/>
      <c r="Q818" s="846"/>
      <c r="R818" s="846"/>
      <c r="S818" s="846"/>
      <c r="T818" s="846"/>
      <c r="U818" s="846"/>
    </row>
    <row r="819" ht="14.25" customHeight="1">
      <c r="A819" s="846"/>
      <c r="B819" s="846"/>
      <c r="C819" s="846"/>
      <c r="D819" s="847"/>
      <c r="E819" s="847"/>
      <c r="F819" s="846"/>
      <c r="G819" s="847"/>
      <c r="H819" s="868"/>
      <c r="I819" s="846"/>
      <c r="J819" s="846"/>
      <c r="K819" s="846"/>
      <c r="L819" s="846"/>
      <c r="M819" s="846"/>
      <c r="N819" s="847"/>
      <c r="O819" s="846"/>
      <c r="P819" s="846"/>
      <c r="Q819" s="846"/>
      <c r="R819" s="846"/>
      <c r="S819" s="846"/>
      <c r="T819" s="846"/>
      <c r="U819" s="846"/>
    </row>
    <row r="820" ht="14.25" customHeight="1">
      <c r="A820" s="846"/>
      <c r="B820" s="846"/>
      <c r="C820" s="846"/>
      <c r="D820" s="847"/>
      <c r="E820" s="847"/>
      <c r="F820" s="846"/>
      <c r="G820" s="847"/>
      <c r="H820" s="868"/>
      <c r="I820" s="846"/>
      <c r="J820" s="846"/>
      <c r="K820" s="846"/>
      <c r="L820" s="846"/>
      <c r="M820" s="846"/>
      <c r="N820" s="847"/>
      <c r="O820" s="846"/>
      <c r="P820" s="846"/>
      <c r="Q820" s="846"/>
      <c r="R820" s="846"/>
      <c r="S820" s="846"/>
      <c r="T820" s="846"/>
      <c r="U820" s="846"/>
    </row>
    <row r="821" ht="14.25" customHeight="1">
      <c r="A821" s="846"/>
      <c r="B821" s="846"/>
      <c r="C821" s="846"/>
      <c r="D821" s="847"/>
      <c r="E821" s="847"/>
      <c r="F821" s="846"/>
      <c r="G821" s="847"/>
      <c r="H821" s="868"/>
      <c r="I821" s="846"/>
      <c r="J821" s="846"/>
      <c r="K821" s="846"/>
      <c r="L821" s="846"/>
      <c r="M821" s="846"/>
      <c r="N821" s="847"/>
      <c r="O821" s="846"/>
      <c r="P821" s="846"/>
      <c r="Q821" s="846"/>
      <c r="R821" s="846"/>
      <c r="S821" s="846"/>
      <c r="T821" s="846"/>
      <c r="U821" s="846"/>
    </row>
    <row r="822" ht="14.25" customHeight="1">
      <c r="A822" s="846"/>
      <c r="B822" s="846"/>
      <c r="C822" s="846"/>
      <c r="D822" s="847"/>
      <c r="E822" s="847"/>
      <c r="F822" s="846"/>
      <c r="G822" s="847"/>
      <c r="H822" s="868"/>
      <c r="I822" s="846"/>
      <c r="J822" s="846"/>
      <c r="K822" s="846"/>
      <c r="L822" s="846"/>
      <c r="M822" s="846"/>
      <c r="N822" s="847"/>
      <c r="O822" s="846"/>
      <c r="P822" s="846"/>
      <c r="Q822" s="846"/>
      <c r="R822" s="846"/>
      <c r="S822" s="846"/>
      <c r="T822" s="846"/>
      <c r="U822" s="846"/>
    </row>
    <row r="823" ht="14.25" customHeight="1">
      <c r="A823" s="846"/>
      <c r="B823" s="846"/>
      <c r="C823" s="846"/>
      <c r="D823" s="847"/>
      <c r="E823" s="847"/>
      <c r="F823" s="846"/>
      <c r="G823" s="847"/>
      <c r="H823" s="868"/>
      <c r="I823" s="846"/>
      <c r="J823" s="846"/>
      <c r="K823" s="846"/>
      <c r="L823" s="846"/>
      <c r="M823" s="846"/>
      <c r="N823" s="847"/>
      <c r="O823" s="846"/>
      <c r="P823" s="846"/>
      <c r="Q823" s="846"/>
      <c r="R823" s="846"/>
      <c r="S823" s="846"/>
      <c r="T823" s="846"/>
      <c r="U823" s="846"/>
    </row>
    <row r="824" ht="14.25" customHeight="1">
      <c r="A824" s="846"/>
      <c r="B824" s="846"/>
      <c r="C824" s="846"/>
      <c r="D824" s="847"/>
      <c r="E824" s="847"/>
      <c r="F824" s="846"/>
      <c r="G824" s="847"/>
      <c r="H824" s="868"/>
      <c r="I824" s="846"/>
      <c r="J824" s="846"/>
      <c r="K824" s="846"/>
      <c r="L824" s="846"/>
      <c r="M824" s="846"/>
      <c r="N824" s="847"/>
      <c r="O824" s="846"/>
      <c r="P824" s="846"/>
      <c r="Q824" s="846"/>
      <c r="R824" s="846"/>
      <c r="S824" s="846"/>
      <c r="T824" s="846"/>
      <c r="U824" s="846"/>
    </row>
    <row r="825" ht="14.25" customHeight="1">
      <c r="A825" s="846"/>
      <c r="B825" s="846"/>
      <c r="C825" s="846"/>
      <c r="D825" s="847"/>
      <c r="E825" s="847"/>
      <c r="F825" s="846"/>
      <c r="G825" s="847"/>
      <c r="H825" s="868"/>
      <c r="I825" s="846"/>
      <c r="J825" s="846"/>
      <c r="K825" s="846"/>
      <c r="L825" s="846"/>
      <c r="M825" s="846"/>
      <c r="N825" s="847"/>
      <c r="O825" s="846"/>
      <c r="P825" s="846"/>
      <c r="Q825" s="846"/>
      <c r="R825" s="846"/>
      <c r="S825" s="846"/>
      <c r="T825" s="846"/>
      <c r="U825" s="846"/>
    </row>
    <row r="826" ht="14.25" customHeight="1">
      <c r="A826" s="846"/>
      <c r="B826" s="846"/>
      <c r="C826" s="846"/>
      <c r="D826" s="847"/>
      <c r="E826" s="847"/>
      <c r="F826" s="846"/>
      <c r="G826" s="847"/>
      <c r="H826" s="868"/>
      <c r="I826" s="846"/>
      <c r="J826" s="846"/>
      <c r="K826" s="846"/>
      <c r="L826" s="846"/>
      <c r="M826" s="846"/>
      <c r="N826" s="847"/>
      <c r="O826" s="846"/>
      <c r="P826" s="846"/>
      <c r="Q826" s="846"/>
      <c r="R826" s="846"/>
      <c r="S826" s="846"/>
      <c r="T826" s="846"/>
      <c r="U826" s="846"/>
    </row>
    <row r="827" ht="14.25" customHeight="1">
      <c r="A827" s="846"/>
      <c r="B827" s="846"/>
      <c r="C827" s="846"/>
      <c r="D827" s="847"/>
      <c r="E827" s="847"/>
      <c r="F827" s="846"/>
      <c r="G827" s="847"/>
      <c r="H827" s="868"/>
      <c r="I827" s="846"/>
      <c r="J827" s="846"/>
      <c r="K827" s="846"/>
      <c r="L827" s="846"/>
      <c r="M827" s="846"/>
      <c r="N827" s="847"/>
      <c r="O827" s="846"/>
      <c r="P827" s="846"/>
      <c r="Q827" s="846"/>
      <c r="R827" s="846"/>
      <c r="S827" s="846"/>
      <c r="T827" s="846"/>
      <c r="U827" s="846"/>
    </row>
    <row r="828" ht="14.25" customHeight="1">
      <c r="A828" s="846"/>
      <c r="B828" s="846"/>
      <c r="C828" s="846"/>
      <c r="D828" s="847"/>
      <c r="E828" s="847"/>
      <c r="F828" s="846"/>
      <c r="G828" s="847"/>
      <c r="H828" s="868"/>
      <c r="I828" s="846"/>
      <c r="J828" s="846"/>
      <c r="K828" s="846"/>
      <c r="L828" s="846"/>
      <c r="M828" s="846"/>
      <c r="N828" s="847"/>
      <c r="O828" s="846"/>
      <c r="P828" s="846"/>
      <c r="Q828" s="846"/>
      <c r="R828" s="846"/>
      <c r="S828" s="846"/>
      <c r="T828" s="846"/>
      <c r="U828" s="846"/>
    </row>
    <row r="829" ht="14.25" customHeight="1">
      <c r="A829" s="846"/>
      <c r="B829" s="846"/>
      <c r="C829" s="846"/>
      <c r="D829" s="847"/>
      <c r="E829" s="847"/>
      <c r="F829" s="846"/>
      <c r="G829" s="847"/>
      <c r="H829" s="868"/>
      <c r="I829" s="846"/>
      <c r="J829" s="846"/>
      <c r="K829" s="846"/>
      <c r="L829" s="846"/>
      <c r="M829" s="846"/>
      <c r="N829" s="847"/>
      <c r="O829" s="846"/>
      <c r="P829" s="846"/>
      <c r="Q829" s="846"/>
      <c r="R829" s="846"/>
      <c r="S829" s="846"/>
      <c r="T829" s="846"/>
      <c r="U829" s="846"/>
    </row>
    <row r="830" ht="14.25" customHeight="1">
      <c r="A830" s="846"/>
      <c r="B830" s="846"/>
      <c r="C830" s="846"/>
      <c r="D830" s="847"/>
      <c r="E830" s="847"/>
      <c r="F830" s="846"/>
      <c r="G830" s="847"/>
      <c r="H830" s="868"/>
      <c r="I830" s="846"/>
      <c r="J830" s="846"/>
      <c r="K830" s="846"/>
      <c r="L830" s="846"/>
      <c r="M830" s="846"/>
      <c r="N830" s="847"/>
      <c r="O830" s="846"/>
      <c r="P830" s="846"/>
      <c r="Q830" s="846"/>
      <c r="R830" s="846"/>
      <c r="S830" s="846"/>
      <c r="T830" s="846"/>
      <c r="U830" s="846"/>
    </row>
    <row r="831" ht="14.25" customHeight="1">
      <c r="A831" s="846"/>
      <c r="B831" s="846"/>
      <c r="C831" s="846"/>
      <c r="D831" s="847"/>
      <c r="E831" s="847"/>
      <c r="F831" s="846"/>
      <c r="G831" s="847"/>
      <c r="H831" s="868"/>
      <c r="I831" s="846"/>
      <c r="J831" s="846"/>
      <c r="K831" s="846"/>
      <c r="L831" s="846"/>
      <c r="M831" s="846"/>
      <c r="N831" s="847"/>
      <c r="O831" s="846"/>
      <c r="P831" s="846"/>
      <c r="Q831" s="846"/>
      <c r="R831" s="846"/>
      <c r="S831" s="846"/>
      <c r="T831" s="846"/>
      <c r="U831" s="846"/>
    </row>
    <row r="832" ht="14.25" customHeight="1">
      <c r="A832" s="846"/>
      <c r="B832" s="846"/>
      <c r="C832" s="846"/>
      <c r="D832" s="847"/>
      <c r="E832" s="847"/>
      <c r="F832" s="846"/>
      <c r="G832" s="847"/>
      <c r="H832" s="868"/>
      <c r="I832" s="846"/>
      <c r="J832" s="846"/>
      <c r="K832" s="846"/>
      <c r="L832" s="846"/>
      <c r="M832" s="846"/>
      <c r="N832" s="847"/>
      <c r="O832" s="846"/>
      <c r="P832" s="846"/>
      <c r="Q832" s="846"/>
      <c r="R832" s="846"/>
      <c r="S832" s="846"/>
      <c r="T832" s="846"/>
      <c r="U832" s="846"/>
    </row>
    <row r="833" ht="14.25" customHeight="1">
      <c r="A833" s="846"/>
      <c r="B833" s="846"/>
      <c r="C833" s="846"/>
      <c r="D833" s="847"/>
      <c r="E833" s="847"/>
      <c r="F833" s="846"/>
      <c r="G833" s="847"/>
      <c r="H833" s="868"/>
      <c r="I833" s="846"/>
      <c r="J833" s="846"/>
      <c r="K833" s="846"/>
      <c r="L833" s="846"/>
      <c r="M833" s="846"/>
      <c r="N833" s="847"/>
      <c r="O833" s="846"/>
      <c r="P833" s="846"/>
      <c r="Q833" s="846"/>
      <c r="R833" s="846"/>
      <c r="S833" s="846"/>
      <c r="T833" s="846"/>
      <c r="U833" s="846"/>
    </row>
    <row r="834" ht="14.25" customHeight="1">
      <c r="A834" s="846"/>
      <c r="B834" s="846"/>
      <c r="C834" s="846"/>
      <c r="D834" s="847"/>
      <c r="E834" s="847"/>
      <c r="F834" s="846"/>
      <c r="G834" s="847"/>
      <c r="H834" s="868"/>
      <c r="I834" s="846"/>
      <c r="J834" s="846"/>
      <c r="K834" s="846"/>
      <c r="L834" s="846"/>
      <c r="M834" s="846"/>
      <c r="N834" s="847"/>
      <c r="O834" s="846"/>
      <c r="P834" s="846"/>
      <c r="Q834" s="846"/>
      <c r="R834" s="846"/>
      <c r="S834" s="846"/>
      <c r="T834" s="846"/>
      <c r="U834" s="846"/>
    </row>
    <row r="835" ht="14.25" customHeight="1">
      <c r="A835" s="846"/>
      <c r="B835" s="846"/>
      <c r="C835" s="846"/>
      <c r="D835" s="847"/>
      <c r="E835" s="847"/>
      <c r="F835" s="846"/>
      <c r="G835" s="847"/>
      <c r="H835" s="868"/>
      <c r="I835" s="846"/>
      <c r="J835" s="846"/>
      <c r="K835" s="846"/>
      <c r="L835" s="846"/>
      <c r="M835" s="846"/>
      <c r="N835" s="847"/>
      <c r="O835" s="846"/>
      <c r="P835" s="846"/>
      <c r="Q835" s="846"/>
      <c r="R835" s="846"/>
      <c r="S835" s="846"/>
      <c r="T835" s="846"/>
      <c r="U835" s="846"/>
    </row>
    <row r="836" ht="14.25" customHeight="1">
      <c r="A836" s="846"/>
      <c r="B836" s="846"/>
      <c r="C836" s="846"/>
      <c r="D836" s="847"/>
      <c r="E836" s="847"/>
      <c r="F836" s="846"/>
      <c r="G836" s="847"/>
      <c r="H836" s="868"/>
      <c r="I836" s="846"/>
      <c r="J836" s="846"/>
      <c r="K836" s="846"/>
      <c r="L836" s="846"/>
      <c r="M836" s="846"/>
      <c r="N836" s="847"/>
      <c r="O836" s="846"/>
      <c r="P836" s="846"/>
      <c r="Q836" s="846"/>
      <c r="R836" s="846"/>
      <c r="S836" s="846"/>
      <c r="T836" s="846"/>
      <c r="U836" s="846"/>
    </row>
    <row r="837" ht="14.25" customHeight="1">
      <c r="A837" s="846"/>
      <c r="B837" s="846"/>
      <c r="C837" s="846"/>
      <c r="D837" s="847"/>
      <c r="E837" s="847"/>
      <c r="F837" s="846"/>
      <c r="G837" s="847"/>
      <c r="H837" s="868"/>
      <c r="I837" s="846"/>
      <c r="J837" s="846"/>
      <c r="K837" s="846"/>
      <c r="L837" s="846"/>
      <c r="M837" s="846"/>
      <c r="N837" s="847"/>
      <c r="O837" s="846"/>
      <c r="P837" s="846"/>
      <c r="Q837" s="846"/>
      <c r="R837" s="846"/>
      <c r="S837" s="846"/>
      <c r="T837" s="846"/>
      <c r="U837" s="846"/>
    </row>
    <row r="838" ht="14.25" customHeight="1">
      <c r="A838" s="846"/>
      <c r="B838" s="846"/>
      <c r="C838" s="846"/>
      <c r="D838" s="847"/>
      <c r="E838" s="847"/>
      <c r="F838" s="846"/>
      <c r="G838" s="847"/>
      <c r="H838" s="868"/>
      <c r="I838" s="846"/>
      <c r="J838" s="846"/>
      <c r="K838" s="846"/>
      <c r="L838" s="846"/>
      <c r="M838" s="846"/>
      <c r="N838" s="847"/>
      <c r="O838" s="846"/>
      <c r="P838" s="846"/>
      <c r="Q838" s="846"/>
      <c r="R838" s="846"/>
      <c r="S838" s="846"/>
      <c r="T838" s="846"/>
      <c r="U838" s="846"/>
    </row>
    <row r="839" ht="14.25" customHeight="1">
      <c r="A839" s="846"/>
      <c r="B839" s="846"/>
      <c r="C839" s="846"/>
      <c r="D839" s="847"/>
      <c r="E839" s="847"/>
      <c r="F839" s="846"/>
      <c r="G839" s="847"/>
      <c r="H839" s="868"/>
      <c r="I839" s="846"/>
      <c r="J839" s="846"/>
      <c r="K839" s="846"/>
      <c r="L839" s="846"/>
      <c r="M839" s="846"/>
      <c r="N839" s="847"/>
      <c r="O839" s="846"/>
      <c r="P839" s="846"/>
      <c r="Q839" s="846"/>
      <c r="R839" s="846"/>
      <c r="S839" s="846"/>
      <c r="T839" s="846"/>
      <c r="U839" s="846"/>
    </row>
    <row r="840" ht="14.25" customHeight="1">
      <c r="A840" s="846"/>
      <c r="B840" s="846"/>
      <c r="C840" s="846"/>
      <c r="D840" s="847"/>
      <c r="E840" s="847"/>
      <c r="F840" s="846"/>
      <c r="G840" s="847"/>
      <c r="H840" s="868"/>
      <c r="I840" s="846"/>
      <c r="J840" s="846"/>
      <c r="K840" s="846"/>
      <c r="L840" s="846"/>
      <c r="M840" s="846"/>
      <c r="N840" s="847"/>
      <c r="O840" s="846"/>
      <c r="P840" s="846"/>
      <c r="Q840" s="846"/>
      <c r="R840" s="846"/>
      <c r="S840" s="846"/>
      <c r="T840" s="846"/>
      <c r="U840" s="846"/>
    </row>
    <row r="841" ht="14.25" customHeight="1">
      <c r="A841" s="846"/>
      <c r="B841" s="846"/>
      <c r="C841" s="846"/>
      <c r="D841" s="847"/>
      <c r="E841" s="847"/>
      <c r="F841" s="846"/>
      <c r="G841" s="847"/>
      <c r="H841" s="868"/>
      <c r="I841" s="846"/>
      <c r="J841" s="846"/>
      <c r="K841" s="846"/>
      <c r="L841" s="846"/>
      <c r="M841" s="846"/>
      <c r="N841" s="847"/>
      <c r="O841" s="846"/>
      <c r="P841" s="846"/>
      <c r="Q841" s="846"/>
      <c r="R841" s="846"/>
      <c r="S841" s="846"/>
      <c r="T841" s="846"/>
      <c r="U841" s="846"/>
    </row>
    <row r="842" ht="14.25" customHeight="1">
      <c r="A842" s="846"/>
      <c r="B842" s="846"/>
      <c r="C842" s="846"/>
      <c r="D842" s="847"/>
      <c r="E842" s="847"/>
      <c r="F842" s="846"/>
      <c r="G842" s="847"/>
      <c r="H842" s="868"/>
      <c r="I842" s="846"/>
      <c r="J842" s="846"/>
      <c r="K842" s="846"/>
      <c r="L842" s="846"/>
      <c r="M842" s="846"/>
      <c r="N842" s="847"/>
      <c r="O842" s="846"/>
      <c r="P842" s="846"/>
      <c r="Q842" s="846"/>
      <c r="R842" s="846"/>
      <c r="S842" s="846"/>
      <c r="T842" s="846"/>
      <c r="U842" s="846"/>
    </row>
    <row r="843" ht="14.25" customHeight="1">
      <c r="A843" s="846"/>
      <c r="B843" s="846"/>
      <c r="C843" s="846"/>
      <c r="D843" s="847"/>
      <c r="E843" s="847"/>
      <c r="F843" s="846"/>
      <c r="G843" s="847"/>
      <c r="H843" s="868"/>
      <c r="I843" s="846"/>
      <c r="J843" s="846"/>
      <c r="K843" s="846"/>
      <c r="L843" s="846"/>
      <c r="M843" s="846"/>
      <c r="N843" s="847"/>
      <c r="O843" s="846"/>
      <c r="P843" s="846"/>
      <c r="Q843" s="846"/>
      <c r="R843" s="846"/>
      <c r="S843" s="846"/>
      <c r="T843" s="846"/>
      <c r="U843" s="846"/>
    </row>
    <row r="844" ht="14.25" customHeight="1">
      <c r="A844" s="846"/>
      <c r="B844" s="846"/>
      <c r="C844" s="846"/>
      <c r="D844" s="847"/>
      <c r="E844" s="847"/>
      <c r="F844" s="846"/>
      <c r="G844" s="847"/>
      <c r="H844" s="868"/>
      <c r="I844" s="846"/>
      <c r="J844" s="846"/>
      <c r="K844" s="846"/>
      <c r="L844" s="846"/>
      <c r="M844" s="846"/>
      <c r="N844" s="847"/>
      <c r="O844" s="846"/>
      <c r="P844" s="846"/>
      <c r="Q844" s="846"/>
      <c r="R844" s="846"/>
      <c r="S844" s="846"/>
      <c r="T844" s="846"/>
      <c r="U844" s="846"/>
    </row>
    <row r="845" ht="14.25" customHeight="1">
      <c r="A845" s="846"/>
      <c r="B845" s="846"/>
      <c r="C845" s="846"/>
      <c r="D845" s="847"/>
      <c r="E845" s="847"/>
      <c r="F845" s="846"/>
      <c r="G845" s="847"/>
      <c r="H845" s="868"/>
      <c r="I845" s="846"/>
      <c r="J845" s="846"/>
      <c r="K845" s="846"/>
      <c r="L845" s="846"/>
      <c r="M845" s="846"/>
      <c r="N845" s="847"/>
      <c r="O845" s="846"/>
      <c r="P845" s="846"/>
      <c r="Q845" s="846"/>
      <c r="R845" s="846"/>
      <c r="S845" s="846"/>
      <c r="T845" s="846"/>
      <c r="U845" s="846"/>
    </row>
    <row r="846" ht="14.25" customHeight="1">
      <c r="A846" s="846"/>
      <c r="B846" s="846"/>
      <c r="C846" s="846"/>
      <c r="D846" s="847"/>
      <c r="E846" s="847"/>
      <c r="F846" s="846"/>
      <c r="G846" s="847"/>
      <c r="H846" s="868"/>
      <c r="I846" s="846"/>
      <c r="J846" s="846"/>
      <c r="K846" s="846"/>
      <c r="L846" s="846"/>
      <c r="M846" s="846"/>
      <c r="N846" s="847"/>
      <c r="O846" s="846"/>
      <c r="P846" s="846"/>
      <c r="Q846" s="846"/>
      <c r="R846" s="846"/>
      <c r="S846" s="846"/>
      <c r="T846" s="846"/>
      <c r="U846" s="846"/>
    </row>
    <row r="847" ht="14.25" customHeight="1">
      <c r="A847" s="846"/>
      <c r="B847" s="846"/>
      <c r="C847" s="846"/>
      <c r="D847" s="847"/>
      <c r="E847" s="847"/>
      <c r="F847" s="846"/>
      <c r="G847" s="847"/>
      <c r="H847" s="868"/>
      <c r="I847" s="846"/>
      <c r="J847" s="846"/>
      <c r="K847" s="846"/>
      <c r="L847" s="846"/>
      <c r="M847" s="846"/>
      <c r="N847" s="847"/>
      <c r="O847" s="846"/>
      <c r="P847" s="846"/>
      <c r="Q847" s="846"/>
      <c r="R847" s="846"/>
      <c r="S847" s="846"/>
      <c r="T847" s="846"/>
      <c r="U847" s="846"/>
    </row>
    <row r="848" ht="14.25" customHeight="1">
      <c r="A848" s="846"/>
      <c r="B848" s="846"/>
      <c r="C848" s="846"/>
      <c r="D848" s="847"/>
      <c r="E848" s="847"/>
      <c r="F848" s="846"/>
      <c r="G848" s="847"/>
      <c r="H848" s="868"/>
      <c r="I848" s="846"/>
      <c r="J848" s="846"/>
      <c r="K848" s="846"/>
      <c r="L848" s="846"/>
      <c r="M848" s="846"/>
      <c r="N848" s="847"/>
      <c r="O848" s="846"/>
      <c r="P848" s="846"/>
      <c r="Q848" s="846"/>
      <c r="R848" s="846"/>
      <c r="S848" s="846"/>
      <c r="T848" s="846"/>
      <c r="U848" s="846"/>
    </row>
    <row r="849" ht="14.25" customHeight="1">
      <c r="A849" s="846"/>
      <c r="B849" s="846"/>
      <c r="C849" s="846"/>
      <c r="D849" s="847"/>
      <c r="E849" s="847"/>
      <c r="F849" s="846"/>
      <c r="G849" s="847"/>
      <c r="H849" s="868"/>
      <c r="I849" s="846"/>
      <c r="J849" s="846"/>
      <c r="K849" s="846"/>
      <c r="L849" s="846"/>
      <c r="M849" s="846"/>
      <c r="N849" s="847"/>
      <c r="O849" s="846"/>
      <c r="P849" s="846"/>
      <c r="Q849" s="846"/>
      <c r="R849" s="846"/>
      <c r="S849" s="846"/>
      <c r="T849" s="846"/>
      <c r="U849" s="846"/>
    </row>
    <row r="850" ht="14.25" customHeight="1">
      <c r="A850" s="846"/>
      <c r="B850" s="846"/>
      <c r="C850" s="846"/>
      <c r="D850" s="847"/>
      <c r="E850" s="847"/>
      <c r="F850" s="846"/>
      <c r="G850" s="847"/>
      <c r="H850" s="868"/>
      <c r="I850" s="846"/>
      <c r="J850" s="846"/>
      <c r="K850" s="846"/>
      <c r="L850" s="846"/>
      <c r="M850" s="846"/>
      <c r="N850" s="847"/>
      <c r="O850" s="846"/>
      <c r="P850" s="846"/>
      <c r="Q850" s="846"/>
      <c r="R850" s="846"/>
      <c r="S850" s="846"/>
      <c r="T850" s="846"/>
      <c r="U850" s="846"/>
    </row>
    <row r="851" ht="14.25" customHeight="1">
      <c r="A851" s="846"/>
      <c r="B851" s="846"/>
      <c r="C851" s="846"/>
      <c r="D851" s="847"/>
      <c r="E851" s="847"/>
      <c r="F851" s="846"/>
      <c r="G851" s="847"/>
      <c r="H851" s="868"/>
      <c r="I851" s="846"/>
      <c r="J851" s="846"/>
      <c r="K851" s="846"/>
      <c r="L851" s="846"/>
      <c r="M851" s="846"/>
      <c r="N851" s="847"/>
      <c r="O851" s="846"/>
      <c r="P851" s="846"/>
      <c r="Q851" s="846"/>
      <c r="R851" s="846"/>
      <c r="S851" s="846"/>
      <c r="T851" s="846"/>
      <c r="U851" s="846"/>
    </row>
    <row r="852" ht="14.25" customHeight="1">
      <c r="A852" s="846"/>
      <c r="B852" s="846"/>
      <c r="C852" s="846"/>
      <c r="D852" s="847"/>
      <c r="E852" s="847"/>
      <c r="F852" s="846"/>
      <c r="G852" s="847"/>
      <c r="H852" s="868"/>
      <c r="I852" s="846"/>
      <c r="J852" s="846"/>
      <c r="K852" s="846"/>
      <c r="L852" s="846"/>
      <c r="M852" s="846"/>
      <c r="N852" s="847"/>
      <c r="O852" s="846"/>
      <c r="P852" s="846"/>
      <c r="Q852" s="846"/>
      <c r="R852" s="846"/>
      <c r="S852" s="846"/>
      <c r="T852" s="846"/>
      <c r="U852" s="846"/>
    </row>
    <row r="853" ht="14.25" customHeight="1">
      <c r="A853" s="846"/>
      <c r="B853" s="846"/>
      <c r="C853" s="846"/>
      <c r="D853" s="847"/>
      <c r="E853" s="847"/>
      <c r="F853" s="846"/>
      <c r="G853" s="847"/>
      <c r="H853" s="868"/>
      <c r="I853" s="846"/>
      <c r="J853" s="846"/>
      <c r="K853" s="846"/>
      <c r="L853" s="846"/>
      <c r="M853" s="846"/>
      <c r="N853" s="847"/>
      <c r="O853" s="846"/>
      <c r="P853" s="846"/>
      <c r="Q853" s="846"/>
      <c r="R853" s="846"/>
      <c r="S853" s="846"/>
      <c r="T853" s="846"/>
      <c r="U853" s="846"/>
    </row>
    <row r="854" ht="14.25" customHeight="1">
      <c r="A854" s="846"/>
      <c r="B854" s="846"/>
      <c r="C854" s="846"/>
      <c r="D854" s="847"/>
      <c r="E854" s="847"/>
      <c r="F854" s="846"/>
      <c r="G854" s="847"/>
      <c r="H854" s="868"/>
      <c r="I854" s="846"/>
      <c r="J854" s="846"/>
      <c r="K854" s="846"/>
      <c r="L854" s="846"/>
      <c r="M854" s="846"/>
      <c r="N854" s="847"/>
      <c r="O854" s="846"/>
      <c r="P854" s="846"/>
      <c r="Q854" s="846"/>
      <c r="R854" s="846"/>
      <c r="S854" s="846"/>
      <c r="T854" s="846"/>
      <c r="U854" s="846"/>
    </row>
    <row r="855" ht="14.25" customHeight="1">
      <c r="A855" s="846"/>
      <c r="B855" s="846"/>
      <c r="C855" s="846"/>
      <c r="D855" s="847"/>
      <c r="E855" s="847"/>
      <c r="F855" s="846"/>
      <c r="G855" s="847"/>
      <c r="H855" s="868"/>
      <c r="I855" s="846"/>
      <c r="J855" s="846"/>
      <c r="K855" s="846"/>
      <c r="L855" s="846"/>
      <c r="M855" s="846"/>
      <c r="N855" s="847"/>
      <c r="O855" s="846"/>
      <c r="P855" s="846"/>
      <c r="Q855" s="846"/>
      <c r="R855" s="846"/>
      <c r="S855" s="846"/>
      <c r="T855" s="846"/>
      <c r="U855" s="846"/>
    </row>
    <row r="856" ht="14.25" customHeight="1">
      <c r="A856" s="846"/>
      <c r="B856" s="846"/>
      <c r="C856" s="846"/>
      <c r="D856" s="847"/>
      <c r="E856" s="847"/>
      <c r="F856" s="846"/>
      <c r="G856" s="847"/>
      <c r="H856" s="868"/>
      <c r="I856" s="846"/>
      <c r="J856" s="846"/>
      <c r="K856" s="846"/>
      <c r="L856" s="846"/>
      <c r="M856" s="846"/>
      <c r="N856" s="847"/>
      <c r="O856" s="846"/>
      <c r="P856" s="846"/>
      <c r="Q856" s="846"/>
      <c r="R856" s="846"/>
      <c r="S856" s="846"/>
      <c r="T856" s="846"/>
      <c r="U856" s="846"/>
    </row>
    <row r="857" ht="14.25" customHeight="1">
      <c r="A857" s="846"/>
      <c r="B857" s="846"/>
      <c r="C857" s="846"/>
      <c r="D857" s="847"/>
      <c r="E857" s="847"/>
      <c r="F857" s="846"/>
      <c r="G857" s="847"/>
      <c r="H857" s="868"/>
      <c r="I857" s="846"/>
      <c r="J857" s="846"/>
      <c r="K857" s="846"/>
      <c r="L857" s="846"/>
      <c r="M857" s="846"/>
      <c r="N857" s="847"/>
      <c r="O857" s="846"/>
      <c r="P857" s="846"/>
      <c r="Q857" s="846"/>
      <c r="R857" s="846"/>
      <c r="S857" s="846"/>
      <c r="T857" s="846"/>
      <c r="U857" s="846"/>
    </row>
    <row r="858" ht="14.25" customHeight="1">
      <c r="A858" s="846"/>
      <c r="B858" s="846"/>
      <c r="C858" s="846"/>
      <c r="D858" s="847"/>
      <c r="E858" s="847"/>
      <c r="F858" s="846"/>
      <c r="G858" s="847"/>
      <c r="H858" s="868"/>
      <c r="I858" s="846"/>
      <c r="J858" s="846"/>
      <c r="K858" s="846"/>
      <c r="L858" s="846"/>
      <c r="M858" s="846"/>
      <c r="N858" s="847"/>
      <c r="O858" s="846"/>
      <c r="P858" s="846"/>
      <c r="Q858" s="846"/>
      <c r="R858" s="846"/>
      <c r="S858" s="846"/>
      <c r="T858" s="846"/>
      <c r="U858" s="846"/>
    </row>
    <row r="859" ht="14.25" customHeight="1">
      <c r="A859" s="846"/>
      <c r="B859" s="846"/>
      <c r="C859" s="846"/>
      <c r="D859" s="847"/>
      <c r="E859" s="847"/>
      <c r="F859" s="846"/>
      <c r="G859" s="847"/>
      <c r="H859" s="868"/>
      <c r="I859" s="846"/>
      <c r="J859" s="846"/>
      <c r="K859" s="846"/>
      <c r="L859" s="846"/>
      <c r="M859" s="846"/>
      <c r="N859" s="847"/>
      <c r="O859" s="846"/>
      <c r="P859" s="846"/>
      <c r="Q859" s="846"/>
      <c r="R859" s="846"/>
      <c r="S859" s="846"/>
      <c r="T859" s="846"/>
      <c r="U859" s="846"/>
    </row>
    <row r="860" ht="14.25" customHeight="1">
      <c r="A860" s="846"/>
      <c r="B860" s="846"/>
      <c r="C860" s="846"/>
      <c r="D860" s="847"/>
      <c r="E860" s="847"/>
      <c r="F860" s="846"/>
      <c r="G860" s="847"/>
      <c r="H860" s="868"/>
      <c r="I860" s="846"/>
      <c r="J860" s="846"/>
      <c r="K860" s="846"/>
      <c r="L860" s="846"/>
      <c r="M860" s="846"/>
      <c r="N860" s="847"/>
      <c r="O860" s="846"/>
      <c r="P860" s="846"/>
      <c r="Q860" s="846"/>
      <c r="R860" s="846"/>
      <c r="S860" s="846"/>
      <c r="T860" s="846"/>
      <c r="U860" s="846"/>
    </row>
    <row r="861" ht="14.25" customHeight="1">
      <c r="A861" s="846"/>
      <c r="B861" s="846"/>
      <c r="C861" s="846"/>
      <c r="D861" s="847"/>
      <c r="E861" s="847"/>
      <c r="F861" s="846"/>
      <c r="G861" s="847"/>
      <c r="H861" s="868"/>
      <c r="I861" s="846"/>
      <c r="J861" s="846"/>
      <c r="K861" s="846"/>
      <c r="L861" s="846"/>
      <c r="M861" s="846"/>
      <c r="N861" s="847"/>
      <c r="O861" s="846"/>
      <c r="P861" s="846"/>
      <c r="Q861" s="846"/>
      <c r="R861" s="846"/>
      <c r="S861" s="846"/>
      <c r="T861" s="846"/>
      <c r="U861" s="846"/>
    </row>
    <row r="862" ht="14.25" customHeight="1">
      <c r="A862" s="846"/>
      <c r="B862" s="846"/>
      <c r="C862" s="846"/>
      <c r="D862" s="847"/>
      <c r="E862" s="847"/>
      <c r="F862" s="846"/>
      <c r="G862" s="847"/>
      <c r="H862" s="868"/>
      <c r="I862" s="846"/>
      <c r="J862" s="846"/>
      <c r="K862" s="846"/>
      <c r="L862" s="846"/>
      <c r="M862" s="846"/>
      <c r="N862" s="847"/>
      <c r="O862" s="846"/>
      <c r="P862" s="846"/>
      <c r="Q862" s="846"/>
      <c r="R862" s="846"/>
      <c r="S862" s="846"/>
      <c r="T862" s="846"/>
      <c r="U862" s="846"/>
    </row>
    <row r="863" ht="14.25" customHeight="1">
      <c r="A863" s="846"/>
      <c r="B863" s="846"/>
      <c r="C863" s="846"/>
      <c r="D863" s="847"/>
      <c r="E863" s="847"/>
      <c r="F863" s="846"/>
      <c r="G863" s="847"/>
      <c r="H863" s="868"/>
      <c r="I863" s="846"/>
      <c r="J863" s="846"/>
      <c r="K863" s="846"/>
      <c r="L863" s="846"/>
      <c r="M863" s="846"/>
      <c r="N863" s="847"/>
      <c r="O863" s="846"/>
      <c r="P863" s="846"/>
      <c r="Q863" s="846"/>
      <c r="R863" s="846"/>
      <c r="S863" s="846"/>
      <c r="T863" s="846"/>
      <c r="U863" s="846"/>
    </row>
    <row r="864" ht="14.25" customHeight="1">
      <c r="A864" s="846"/>
      <c r="B864" s="846"/>
      <c r="C864" s="846"/>
      <c r="D864" s="847"/>
      <c r="E864" s="847"/>
      <c r="F864" s="846"/>
      <c r="G864" s="847"/>
      <c r="H864" s="868"/>
      <c r="I864" s="846"/>
      <c r="J864" s="846"/>
      <c r="K864" s="846"/>
      <c r="L864" s="846"/>
      <c r="M864" s="846"/>
      <c r="N864" s="847"/>
      <c r="O864" s="846"/>
      <c r="P864" s="846"/>
      <c r="Q864" s="846"/>
      <c r="R864" s="846"/>
      <c r="S864" s="846"/>
      <c r="T864" s="846"/>
      <c r="U864" s="846"/>
    </row>
    <row r="865" ht="14.25" customHeight="1">
      <c r="A865" s="846"/>
      <c r="B865" s="846"/>
      <c r="C865" s="846"/>
      <c r="D865" s="847"/>
      <c r="E865" s="847"/>
      <c r="F865" s="846"/>
      <c r="G865" s="847"/>
      <c r="H865" s="868"/>
      <c r="I865" s="846"/>
      <c r="J865" s="846"/>
      <c r="K865" s="846"/>
      <c r="L865" s="846"/>
      <c r="M865" s="846"/>
      <c r="N865" s="847"/>
      <c r="O865" s="846"/>
      <c r="P865" s="846"/>
      <c r="Q865" s="846"/>
      <c r="R865" s="846"/>
      <c r="S865" s="846"/>
      <c r="T865" s="846"/>
      <c r="U865" s="846"/>
    </row>
    <row r="866" ht="14.25" customHeight="1">
      <c r="A866" s="846"/>
      <c r="B866" s="846"/>
      <c r="C866" s="846"/>
      <c r="D866" s="847"/>
      <c r="E866" s="847"/>
      <c r="F866" s="846"/>
      <c r="G866" s="847"/>
      <c r="H866" s="868"/>
      <c r="I866" s="846"/>
      <c r="J866" s="846"/>
      <c r="K866" s="846"/>
      <c r="L866" s="846"/>
      <c r="M866" s="846"/>
      <c r="N866" s="847"/>
      <c r="O866" s="846"/>
      <c r="P866" s="846"/>
      <c r="Q866" s="846"/>
      <c r="R866" s="846"/>
      <c r="S866" s="846"/>
      <c r="T866" s="846"/>
      <c r="U866" s="846"/>
    </row>
    <row r="867" ht="14.25" customHeight="1">
      <c r="A867" s="846"/>
      <c r="B867" s="846"/>
      <c r="C867" s="846"/>
      <c r="D867" s="847"/>
      <c r="E867" s="847"/>
      <c r="F867" s="846"/>
      <c r="G867" s="847"/>
      <c r="H867" s="868"/>
      <c r="I867" s="846"/>
      <c r="J867" s="846"/>
      <c r="K867" s="846"/>
      <c r="L867" s="846"/>
      <c r="M867" s="846"/>
      <c r="N867" s="847"/>
      <c r="O867" s="846"/>
      <c r="P867" s="846"/>
      <c r="Q867" s="846"/>
      <c r="R867" s="846"/>
      <c r="S867" s="846"/>
      <c r="T867" s="846"/>
      <c r="U867" s="846"/>
    </row>
    <row r="868" ht="14.25" customHeight="1">
      <c r="A868" s="846"/>
      <c r="B868" s="846"/>
      <c r="C868" s="846"/>
      <c r="D868" s="847"/>
      <c r="E868" s="847"/>
      <c r="F868" s="846"/>
      <c r="G868" s="847"/>
      <c r="H868" s="868"/>
      <c r="I868" s="846"/>
      <c r="J868" s="846"/>
      <c r="K868" s="846"/>
      <c r="L868" s="846"/>
      <c r="M868" s="846"/>
      <c r="N868" s="847"/>
      <c r="O868" s="846"/>
      <c r="P868" s="846"/>
      <c r="Q868" s="846"/>
      <c r="R868" s="846"/>
      <c r="S868" s="846"/>
      <c r="T868" s="846"/>
      <c r="U868" s="846"/>
    </row>
    <row r="869" ht="14.25" customHeight="1">
      <c r="A869" s="846"/>
      <c r="B869" s="846"/>
      <c r="C869" s="846"/>
      <c r="D869" s="847"/>
      <c r="E869" s="847"/>
      <c r="F869" s="846"/>
      <c r="G869" s="847"/>
      <c r="H869" s="868"/>
      <c r="I869" s="846"/>
      <c r="J869" s="846"/>
      <c r="K869" s="846"/>
      <c r="L869" s="846"/>
      <c r="M869" s="846"/>
      <c r="N869" s="847"/>
      <c r="O869" s="846"/>
      <c r="P869" s="846"/>
      <c r="Q869" s="846"/>
      <c r="R869" s="846"/>
      <c r="S869" s="846"/>
      <c r="T869" s="846"/>
      <c r="U869" s="846"/>
    </row>
    <row r="870" ht="14.25" customHeight="1">
      <c r="A870" s="846"/>
      <c r="B870" s="846"/>
      <c r="C870" s="846"/>
      <c r="D870" s="847"/>
      <c r="E870" s="847"/>
      <c r="F870" s="846"/>
      <c r="G870" s="847"/>
      <c r="H870" s="868"/>
      <c r="I870" s="846"/>
      <c r="J870" s="846"/>
      <c r="K870" s="846"/>
      <c r="L870" s="846"/>
      <c r="M870" s="846"/>
      <c r="N870" s="847"/>
      <c r="O870" s="846"/>
      <c r="P870" s="846"/>
      <c r="Q870" s="846"/>
      <c r="R870" s="846"/>
      <c r="S870" s="846"/>
      <c r="T870" s="846"/>
      <c r="U870" s="846"/>
    </row>
    <row r="871" ht="14.25" customHeight="1">
      <c r="A871" s="846"/>
      <c r="B871" s="846"/>
      <c r="C871" s="846"/>
      <c r="D871" s="847"/>
      <c r="E871" s="847"/>
      <c r="F871" s="846"/>
      <c r="G871" s="847"/>
      <c r="H871" s="868"/>
      <c r="I871" s="846"/>
      <c r="J871" s="846"/>
      <c r="K871" s="846"/>
      <c r="L871" s="846"/>
      <c r="M871" s="846"/>
      <c r="N871" s="847"/>
      <c r="O871" s="846"/>
      <c r="P871" s="846"/>
      <c r="Q871" s="846"/>
      <c r="R871" s="846"/>
      <c r="S871" s="846"/>
      <c r="T871" s="846"/>
      <c r="U871" s="846"/>
    </row>
    <row r="872" ht="14.25" customHeight="1">
      <c r="A872" s="846"/>
      <c r="B872" s="846"/>
      <c r="C872" s="846"/>
      <c r="D872" s="847"/>
      <c r="E872" s="847"/>
      <c r="F872" s="846"/>
      <c r="G872" s="847"/>
      <c r="H872" s="868"/>
      <c r="I872" s="846"/>
      <c r="J872" s="846"/>
      <c r="K872" s="846"/>
      <c r="L872" s="846"/>
      <c r="M872" s="846"/>
      <c r="N872" s="847"/>
      <c r="O872" s="846"/>
      <c r="P872" s="846"/>
      <c r="Q872" s="846"/>
      <c r="R872" s="846"/>
      <c r="S872" s="846"/>
      <c r="T872" s="846"/>
      <c r="U872" s="846"/>
    </row>
    <row r="873" ht="14.25" customHeight="1">
      <c r="A873" s="846"/>
      <c r="B873" s="846"/>
      <c r="C873" s="846"/>
      <c r="D873" s="847"/>
      <c r="E873" s="847"/>
      <c r="F873" s="846"/>
      <c r="G873" s="847"/>
      <c r="H873" s="868"/>
      <c r="I873" s="846"/>
      <c r="J873" s="846"/>
      <c r="K873" s="846"/>
      <c r="L873" s="846"/>
      <c r="M873" s="846"/>
      <c r="N873" s="847"/>
      <c r="O873" s="846"/>
      <c r="P873" s="846"/>
      <c r="Q873" s="846"/>
      <c r="R873" s="846"/>
      <c r="S873" s="846"/>
      <c r="T873" s="846"/>
      <c r="U873" s="846"/>
    </row>
    <row r="874" ht="14.25" customHeight="1">
      <c r="A874" s="846"/>
      <c r="B874" s="846"/>
      <c r="C874" s="846"/>
      <c r="D874" s="847"/>
      <c r="E874" s="847"/>
      <c r="F874" s="846"/>
      <c r="G874" s="847"/>
      <c r="H874" s="868"/>
      <c r="I874" s="846"/>
      <c r="J874" s="846"/>
      <c r="K874" s="846"/>
      <c r="L874" s="846"/>
      <c r="M874" s="846"/>
      <c r="N874" s="847"/>
      <c r="O874" s="846"/>
      <c r="P874" s="846"/>
      <c r="Q874" s="846"/>
      <c r="R874" s="846"/>
      <c r="S874" s="846"/>
      <c r="T874" s="846"/>
      <c r="U874" s="846"/>
    </row>
    <row r="875" ht="14.25" customHeight="1">
      <c r="A875" s="846"/>
      <c r="B875" s="846"/>
      <c r="C875" s="846"/>
      <c r="D875" s="847"/>
      <c r="E875" s="847"/>
      <c r="F875" s="846"/>
      <c r="G875" s="847"/>
      <c r="H875" s="868"/>
      <c r="I875" s="846"/>
      <c r="J875" s="846"/>
      <c r="K875" s="846"/>
      <c r="L875" s="846"/>
      <c r="M875" s="846"/>
      <c r="N875" s="847"/>
      <c r="O875" s="846"/>
      <c r="P875" s="846"/>
      <c r="Q875" s="846"/>
      <c r="R875" s="846"/>
      <c r="S875" s="846"/>
      <c r="T875" s="846"/>
      <c r="U875" s="846"/>
    </row>
    <row r="876" ht="14.25" customHeight="1">
      <c r="A876" s="846"/>
      <c r="B876" s="846"/>
      <c r="C876" s="846"/>
      <c r="D876" s="847"/>
      <c r="E876" s="847"/>
      <c r="F876" s="846"/>
      <c r="G876" s="847"/>
      <c r="H876" s="868"/>
      <c r="I876" s="846"/>
      <c r="J876" s="846"/>
      <c r="K876" s="846"/>
      <c r="L876" s="846"/>
      <c r="M876" s="846"/>
      <c r="N876" s="847"/>
      <c r="O876" s="846"/>
      <c r="P876" s="846"/>
      <c r="Q876" s="846"/>
      <c r="R876" s="846"/>
      <c r="S876" s="846"/>
      <c r="T876" s="846"/>
      <c r="U876" s="846"/>
    </row>
    <row r="877" ht="14.25" customHeight="1">
      <c r="A877" s="846"/>
      <c r="B877" s="846"/>
      <c r="C877" s="846"/>
      <c r="D877" s="847"/>
      <c r="E877" s="847"/>
      <c r="F877" s="846"/>
      <c r="G877" s="847"/>
      <c r="H877" s="868"/>
      <c r="I877" s="846"/>
      <c r="J877" s="846"/>
      <c r="K877" s="846"/>
      <c r="L877" s="846"/>
      <c r="M877" s="846"/>
      <c r="N877" s="847"/>
      <c r="O877" s="846"/>
      <c r="P877" s="846"/>
      <c r="Q877" s="846"/>
      <c r="R877" s="846"/>
      <c r="S877" s="846"/>
      <c r="T877" s="846"/>
      <c r="U877" s="846"/>
    </row>
    <row r="878" ht="14.25" customHeight="1">
      <c r="A878" s="846"/>
      <c r="B878" s="846"/>
      <c r="C878" s="846"/>
      <c r="D878" s="847"/>
      <c r="E878" s="847"/>
      <c r="F878" s="846"/>
      <c r="G878" s="847"/>
      <c r="H878" s="868"/>
      <c r="I878" s="846"/>
      <c r="J878" s="846"/>
      <c r="K878" s="846"/>
      <c r="L878" s="846"/>
      <c r="M878" s="846"/>
      <c r="N878" s="847"/>
      <c r="O878" s="846"/>
      <c r="P878" s="846"/>
      <c r="Q878" s="846"/>
      <c r="R878" s="846"/>
      <c r="S878" s="846"/>
      <c r="T878" s="846"/>
      <c r="U878" s="846"/>
    </row>
    <row r="879" ht="14.25" customHeight="1">
      <c r="A879" s="846"/>
      <c r="B879" s="846"/>
      <c r="C879" s="846"/>
      <c r="D879" s="847"/>
      <c r="E879" s="847"/>
      <c r="F879" s="846"/>
      <c r="G879" s="847"/>
      <c r="H879" s="868"/>
      <c r="I879" s="846"/>
      <c r="J879" s="846"/>
      <c r="K879" s="846"/>
      <c r="L879" s="846"/>
      <c r="M879" s="846"/>
      <c r="N879" s="847"/>
      <c r="O879" s="846"/>
      <c r="P879" s="846"/>
      <c r="Q879" s="846"/>
      <c r="R879" s="846"/>
      <c r="S879" s="846"/>
      <c r="T879" s="846"/>
      <c r="U879" s="846"/>
    </row>
    <row r="880" ht="14.25" customHeight="1">
      <c r="A880" s="846"/>
      <c r="B880" s="846"/>
      <c r="C880" s="846"/>
      <c r="D880" s="847"/>
      <c r="E880" s="847"/>
      <c r="F880" s="846"/>
      <c r="G880" s="847"/>
      <c r="H880" s="868"/>
      <c r="I880" s="846"/>
      <c r="J880" s="846"/>
      <c r="K880" s="846"/>
      <c r="L880" s="846"/>
      <c r="M880" s="846"/>
      <c r="N880" s="847"/>
      <c r="O880" s="846"/>
      <c r="P880" s="846"/>
      <c r="Q880" s="846"/>
      <c r="R880" s="846"/>
      <c r="S880" s="846"/>
      <c r="T880" s="846"/>
      <c r="U880" s="846"/>
    </row>
    <row r="881" ht="14.25" customHeight="1">
      <c r="A881" s="846"/>
      <c r="B881" s="846"/>
      <c r="C881" s="846"/>
      <c r="D881" s="847"/>
      <c r="E881" s="847"/>
      <c r="F881" s="846"/>
      <c r="G881" s="847"/>
      <c r="H881" s="868"/>
      <c r="I881" s="846"/>
      <c r="J881" s="846"/>
      <c r="K881" s="846"/>
      <c r="L881" s="846"/>
      <c r="M881" s="846"/>
      <c r="N881" s="847"/>
      <c r="O881" s="846"/>
      <c r="P881" s="846"/>
      <c r="Q881" s="846"/>
      <c r="R881" s="846"/>
      <c r="S881" s="846"/>
      <c r="T881" s="846"/>
      <c r="U881" s="846"/>
    </row>
    <row r="882" ht="14.25" customHeight="1">
      <c r="A882" s="846"/>
      <c r="B882" s="846"/>
      <c r="C882" s="846"/>
      <c r="D882" s="847"/>
      <c r="E882" s="847"/>
      <c r="F882" s="846"/>
      <c r="G882" s="847"/>
      <c r="H882" s="868"/>
      <c r="I882" s="846"/>
      <c r="J882" s="846"/>
      <c r="K882" s="846"/>
      <c r="L882" s="846"/>
      <c r="M882" s="846"/>
      <c r="N882" s="847"/>
      <c r="O882" s="846"/>
      <c r="P882" s="846"/>
      <c r="Q882" s="846"/>
      <c r="R882" s="846"/>
      <c r="S882" s="846"/>
      <c r="T882" s="846"/>
      <c r="U882" s="846"/>
    </row>
    <row r="883" ht="14.25" customHeight="1">
      <c r="A883" s="846"/>
      <c r="B883" s="846"/>
      <c r="C883" s="846"/>
      <c r="D883" s="847"/>
      <c r="E883" s="847"/>
      <c r="F883" s="846"/>
      <c r="G883" s="847"/>
      <c r="H883" s="868"/>
      <c r="I883" s="846"/>
      <c r="J883" s="846"/>
      <c r="K883" s="846"/>
      <c r="L883" s="846"/>
      <c r="M883" s="846"/>
      <c r="N883" s="847"/>
      <c r="O883" s="846"/>
      <c r="P883" s="846"/>
      <c r="Q883" s="846"/>
      <c r="R883" s="846"/>
      <c r="S883" s="846"/>
      <c r="T883" s="846"/>
      <c r="U883" s="846"/>
    </row>
    <row r="884" ht="14.25" customHeight="1">
      <c r="A884" s="846"/>
      <c r="B884" s="846"/>
      <c r="C884" s="846"/>
      <c r="D884" s="847"/>
      <c r="E884" s="847"/>
      <c r="F884" s="846"/>
      <c r="G884" s="847"/>
      <c r="H884" s="868"/>
      <c r="I884" s="846"/>
      <c r="J884" s="846"/>
      <c r="K884" s="846"/>
      <c r="L884" s="846"/>
      <c r="M884" s="846"/>
      <c r="N884" s="847"/>
      <c r="O884" s="846"/>
      <c r="P884" s="846"/>
      <c r="Q884" s="846"/>
      <c r="R884" s="846"/>
      <c r="S884" s="846"/>
      <c r="T884" s="846"/>
      <c r="U884" s="846"/>
    </row>
    <row r="885" ht="14.25" customHeight="1">
      <c r="A885" s="846"/>
      <c r="B885" s="846"/>
      <c r="C885" s="846"/>
      <c r="D885" s="847"/>
      <c r="E885" s="847"/>
      <c r="F885" s="846"/>
      <c r="G885" s="847"/>
      <c r="H885" s="868"/>
      <c r="I885" s="846"/>
      <c r="J885" s="846"/>
      <c r="K885" s="846"/>
      <c r="L885" s="846"/>
      <c r="M885" s="846"/>
      <c r="N885" s="847"/>
      <c r="O885" s="846"/>
      <c r="P885" s="846"/>
      <c r="Q885" s="846"/>
      <c r="R885" s="846"/>
      <c r="S885" s="846"/>
      <c r="T885" s="846"/>
      <c r="U885" s="846"/>
    </row>
    <row r="886" ht="14.25" customHeight="1">
      <c r="A886" s="846"/>
      <c r="B886" s="846"/>
      <c r="C886" s="846"/>
      <c r="D886" s="847"/>
      <c r="E886" s="847"/>
      <c r="F886" s="846"/>
      <c r="G886" s="847"/>
      <c r="H886" s="868"/>
      <c r="I886" s="846"/>
      <c r="J886" s="846"/>
      <c r="K886" s="846"/>
      <c r="L886" s="846"/>
      <c r="M886" s="846"/>
      <c r="N886" s="847"/>
      <c r="O886" s="846"/>
      <c r="P886" s="846"/>
      <c r="Q886" s="846"/>
      <c r="R886" s="846"/>
      <c r="S886" s="846"/>
      <c r="T886" s="846"/>
      <c r="U886" s="846"/>
    </row>
    <row r="887" ht="14.25" customHeight="1">
      <c r="A887" s="846"/>
      <c r="B887" s="846"/>
      <c r="C887" s="846"/>
      <c r="D887" s="847"/>
      <c r="E887" s="847"/>
      <c r="F887" s="846"/>
      <c r="G887" s="847"/>
      <c r="H887" s="868"/>
      <c r="I887" s="846"/>
      <c r="J887" s="846"/>
      <c r="K887" s="846"/>
      <c r="L887" s="846"/>
      <c r="M887" s="846"/>
      <c r="N887" s="847"/>
      <c r="O887" s="846"/>
      <c r="P887" s="846"/>
      <c r="Q887" s="846"/>
      <c r="R887" s="846"/>
      <c r="S887" s="846"/>
      <c r="T887" s="846"/>
      <c r="U887" s="846"/>
    </row>
    <row r="888" ht="14.25" customHeight="1">
      <c r="A888" s="846"/>
      <c r="B888" s="846"/>
      <c r="C888" s="846"/>
      <c r="D888" s="847"/>
      <c r="E888" s="847"/>
      <c r="F888" s="846"/>
      <c r="G888" s="847"/>
      <c r="H888" s="868"/>
      <c r="I888" s="846"/>
      <c r="J888" s="846"/>
      <c r="K888" s="846"/>
      <c r="L888" s="846"/>
      <c r="M888" s="846"/>
      <c r="N888" s="847"/>
      <c r="O888" s="846"/>
      <c r="P888" s="846"/>
      <c r="Q888" s="846"/>
      <c r="R888" s="846"/>
      <c r="S888" s="846"/>
      <c r="T888" s="846"/>
      <c r="U888" s="846"/>
    </row>
    <row r="889" ht="14.25" customHeight="1">
      <c r="A889" s="846"/>
      <c r="B889" s="846"/>
      <c r="C889" s="846"/>
      <c r="D889" s="847"/>
      <c r="E889" s="847"/>
      <c r="F889" s="846"/>
      <c r="G889" s="847"/>
      <c r="H889" s="868"/>
      <c r="I889" s="846"/>
      <c r="J889" s="846"/>
      <c r="K889" s="846"/>
      <c r="L889" s="846"/>
      <c r="M889" s="846"/>
      <c r="N889" s="847"/>
      <c r="O889" s="846"/>
      <c r="P889" s="846"/>
      <c r="Q889" s="846"/>
      <c r="R889" s="846"/>
      <c r="S889" s="846"/>
      <c r="T889" s="846"/>
      <c r="U889" s="846"/>
    </row>
    <row r="890" ht="14.25" customHeight="1">
      <c r="A890" s="846"/>
      <c r="B890" s="846"/>
      <c r="C890" s="846"/>
      <c r="D890" s="847"/>
      <c r="E890" s="847"/>
      <c r="F890" s="846"/>
      <c r="G890" s="847"/>
      <c r="H890" s="868"/>
      <c r="I890" s="846"/>
      <c r="J890" s="846"/>
      <c r="K890" s="846"/>
      <c r="L890" s="846"/>
      <c r="M890" s="846"/>
      <c r="N890" s="847"/>
      <c r="O890" s="846"/>
      <c r="P890" s="846"/>
      <c r="Q890" s="846"/>
      <c r="R890" s="846"/>
      <c r="S890" s="846"/>
      <c r="T890" s="846"/>
      <c r="U890" s="846"/>
    </row>
    <row r="891" ht="14.25" customHeight="1">
      <c r="A891" s="846"/>
      <c r="B891" s="846"/>
      <c r="C891" s="846"/>
      <c r="D891" s="847"/>
      <c r="E891" s="847"/>
      <c r="F891" s="846"/>
      <c r="G891" s="847"/>
      <c r="H891" s="868"/>
      <c r="I891" s="846"/>
      <c r="J891" s="846"/>
      <c r="K891" s="846"/>
      <c r="L891" s="846"/>
      <c r="M891" s="846"/>
      <c r="N891" s="847"/>
      <c r="O891" s="846"/>
      <c r="P891" s="846"/>
      <c r="Q891" s="846"/>
      <c r="R891" s="846"/>
      <c r="S891" s="846"/>
      <c r="T891" s="846"/>
      <c r="U891" s="846"/>
    </row>
    <row r="892" ht="14.25" customHeight="1">
      <c r="A892" s="846"/>
      <c r="B892" s="846"/>
      <c r="C892" s="846"/>
      <c r="D892" s="847"/>
      <c r="E892" s="847"/>
      <c r="F892" s="846"/>
      <c r="G892" s="847"/>
      <c r="H892" s="868"/>
      <c r="I892" s="846"/>
      <c r="J892" s="846"/>
      <c r="K892" s="846"/>
      <c r="L892" s="846"/>
      <c r="M892" s="846"/>
      <c r="N892" s="847"/>
      <c r="O892" s="846"/>
      <c r="P892" s="846"/>
      <c r="Q892" s="846"/>
      <c r="R892" s="846"/>
      <c r="S892" s="846"/>
      <c r="T892" s="846"/>
      <c r="U892" s="846"/>
    </row>
    <row r="893" ht="14.25" customHeight="1">
      <c r="A893" s="846"/>
      <c r="B893" s="846"/>
      <c r="C893" s="846"/>
      <c r="D893" s="847"/>
      <c r="E893" s="847"/>
      <c r="F893" s="846"/>
      <c r="G893" s="847"/>
      <c r="H893" s="868"/>
      <c r="I893" s="846"/>
      <c r="J893" s="846"/>
      <c r="K893" s="846"/>
      <c r="L893" s="846"/>
      <c r="M893" s="846"/>
      <c r="N893" s="847"/>
      <c r="O893" s="846"/>
      <c r="P893" s="846"/>
      <c r="Q893" s="846"/>
      <c r="R893" s="846"/>
      <c r="S893" s="846"/>
      <c r="T893" s="846"/>
      <c r="U893" s="846"/>
    </row>
    <row r="894" ht="14.25" customHeight="1">
      <c r="A894" s="846"/>
      <c r="B894" s="846"/>
      <c r="C894" s="846"/>
      <c r="D894" s="847"/>
      <c r="E894" s="847"/>
      <c r="F894" s="846"/>
      <c r="G894" s="847"/>
      <c r="H894" s="868"/>
      <c r="I894" s="846"/>
      <c r="J894" s="846"/>
      <c r="K894" s="846"/>
      <c r="L894" s="846"/>
      <c r="M894" s="846"/>
      <c r="N894" s="847"/>
      <c r="O894" s="846"/>
      <c r="P894" s="846"/>
      <c r="Q894" s="846"/>
      <c r="R894" s="846"/>
      <c r="S894" s="846"/>
      <c r="T894" s="846"/>
      <c r="U894" s="846"/>
    </row>
    <row r="895" ht="14.25" customHeight="1">
      <c r="A895" s="846"/>
      <c r="B895" s="846"/>
      <c r="C895" s="846"/>
      <c r="D895" s="847"/>
      <c r="E895" s="847"/>
      <c r="F895" s="846"/>
      <c r="G895" s="847"/>
      <c r="H895" s="868"/>
      <c r="I895" s="846"/>
      <c r="J895" s="846"/>
      <c r="K895" s="846"/>
      <c r="L895" s="846"/>
      <c r="M895" s="846"/>
      <c r="N895" s="847"/>
      <c r="O895" s="846"/>
      <c r="P895" s="846"/>
      <c r="Q895" s="846"/>
      <c r="R895" s="846"/>
      <c r="S895" s="846"/>
      <c r="T895" s="846"/>
      <c r="U895" s="846"/>
    </row>
    <row r="896" ht="14.25" customHeight="1">
      <c r="A896" s="846"/>
      <c r="B896" s="846"/>
      <c r="C896" s="846"/>
      <c r="D896" s="847"/>
      <c r="E896" s="847"/>
      <c r="F896" s="846"/>
      <c r="G896" s="847"/>
      <c r="H896" s="868"/>
      <c r="I896" s="846"/>
      <c r="J896" s="846"/>
      <c r="K896" s="846"/>
      <c r="L896" s="846"/>
      <c r="M896" s="846"/>
      <c r="N896" s="847"/>
      <c r="O896" s="846"/>
      <c r="P896" s="846"/>
      <c r="Q896" s="846"/>
      <c r="R896" s="846"/>
      <c r="S896" s="846"/>
      <c r="T896" s="846"/>
      <c r="U896" s="846"/>
    </row>
    <row r="897" ht="14.25" customHeight="1">
      <c r="A897" s="846"/>
      <c r="B897" s="846"/>
      <c r="C897" s="846"/>
      <c r="D897" s="847"/>
      <c r="E897" s="847"/>
      <c r="F897" s="846"/>
      <c r="G897" s="847"/>
      <c r="H897" s="868"/>
      <c r="I897" s="846"/>
      <c r="J897" s="846"/>
      <c r="K897" s="846"/>
      <c r="L897" s="846"/>
      <c r="M897" s="846"/>
      <c r="N897" s="847"/>
      <c r="O897" s="846"/>
      <c r="P897" s="846"/>
      <c r="Q897" s="846"/>
      <c r="R897" s="846"/>
      <c r="S897" s="846"/>
      <c r="T897" s="846"/>
      <c r="U897" s="846"/>
    </row>
    <row r="898" ht="14.25" customHeight="1">
      <c r="A898" s="846"/>
      <c r="B898" s="846"/>
      <c r="C898" s="846"/>
      <c r="D898" s="847"/>
      <c r="E898" s="847"/>
      <c r="F898" s="846"/>
      <c r="G898" s="847"/>
      <c r="H898" s="868"/>
      <c r="I898" s="846"/>
      <c r="J898" s="846"/>
      <c r="K898" s="846"/>
      <c r="L898" s="846"/>
      <c r="M898" s="846"/>
      <c r="N898" s="847"/>
      <c r="O898" s="846"/>
      <c r="P898" s="846"/>
      <c r="Q898" s="846"/>
      <c r="R898" s="846"/>
      <c r="S898" s="846"/>
      <c r="T898" s="846"/>
      <c r="U898" s="846"/>
    </row>
    <row r="899" ht="14.25" customHeight="1">
      <c r="A899" s="846"/>
      <c r="B899" s="846"/>
      <c r="C899" s="846"/>
      <c r="D899" s="847"/>
      <c r="E899" s="847"/>
      <c r="F899" s="846"/>
      <c r="G899" s="847"/>
      <c r="H899" s="868"/>
      <c r="I899" s="846"/>
      <c r="J899" s="846"/>
      <c r="K899" s="846"/>
      <c r="L899" s="846"/>
      <c r="M899" s="846"/>
      <c r="N899" s="847"/>
      <c r="O899" s="846"/>
      <c r="P899" s="846"/>
      <c r="Q899" s="846"/>
      <c r="R899" s="846"/>
      <c r="S899" s="846"/>
      <c r="T899" s="846"/>
      <c r="U899" s="846"/>
    </row>
    <row r="900" ht="14.25" customHeight="1">
      <c r="A900" s="846"/>
      <c r="B900" s="846"/>
      <c r="C900" s="846"/>
      <c r="D900" s="847"/>
      <c r="E900" s="847"/>
      <c r="F900" s="846"/>
      <c r="G900" s="847"/>
      <c r="H900" s="868"/>
      <c r="I900" s="846"/>
      <c r="J900" s="846"/>
      <c r="K900" s="846"/>
      <c r="L900" s="846"/>
      <c r="M900" s="846"/>
      <c r="N900" s="847"/>
      <c r="O900" s="846"/>
      <c r="P900" s="846"/>
      <c r="Q900" s="846"/>
      <c r="R900" s="846"/>
      <c r="S900" s="846"/>
      <c r="T900" s="846"/>
      <c r="U900" s="846"/>
    </row>
    <row r="901" ht="14.25" customHeight="1">
      <c r="A901" s="846"/>
      <c r="B901" s="846"/>
      <c r="C901" s="846"/>
      <c r="D901" s="847"/>
      <c r="E901" s="847"/>
      <c r="F901" s="846"/>
      <c r="G901" s="847"/>
      <c r="H901" s="868"/>
      <c r="I901" s="846"/>
      <c r="J901" s="846"/>
      <c r="K901" s="846"/>
      <c r="L901" s="846"/>
      <c r="M901" s="846"/>
      <c r="N901" s="847"/>
      <c r="O901" s="846"/>
      <c r="P901" s="846"/>
      <c r="Q901" s="846"/>
      <c r="R901" s="846"/>
      <c r="S901" s="846"/>
      <c r="T901" s="846"/>
      <c r="U901" s="846"/>
    </row>
    <row r="902" ht="14.25" customHeight="1">
      <c r="A902" s="846"/>
      <c r="B902" s="846"/>
      <c r="C902" s="846"/>
      <c r="D902" s="847"/>
      <c r="E902" s="847"/>
      <c r="F902" s="846"/>
      <c r="G902" s="847"/>
      <c r="H902" s="868"/>
      <c r="I902" s="846"/>
      <c r="J902" s="846"/>
      <c r="K902" s="846"/>
      <c r="L902" s="846"/>
      <c r="M902" s="846"/>
      <c r="N902" s="847"/>
      <c r="O902" s="846"/>
      <c r="P902" s="846"/>
      <c r="Q902" s="846"/>
      <c r="R902" s="846"/>
      <c r="S902" s="846"/>
      <c r="T902" s="846"/>
      <c r="U902" s="846"/>
    </row>
    <row r="903" ht="14.25" customHeight="1">
      <c r="A903" s="846"/>
      <c r="B903" s="846"/>
      <c r="C903" s="846"/>
      <c r="D903" s="847"/>
      <c r="E903" s="847"/>
      <c r="F903" s="846"/>
      <c r="G903" s="847"/>
      <c r="H903" s="868"/>
      <c r="I903" s="846"/>
      <c r="J903" s="846"/>
      <c r="K903" s="846"/>
      <c r="L903" s="846"/>
      <c r="M903" s="846"/>
      <c r="N903" s="847"/>
      <c r="O903" s="846"/>
      <c r="P903" s="846"/>
      <c r="Q903" s="846"/>
      <c r="R903" s="846"/>
      <c r="S903" s="846"/>
      <c r="T903" s="846"/>
      <c r="U903" s="846"/>
    </row>
    <row r="904" ht="14.25" customHeight="1">
      <c r="A904" s="846"/>
      <c r="B904" s="846"/>
      <c r="C904" s="846"/>
      <c r="D904" s="847"/>
      <c r="E904" s="847"/>
      <c r="F904" s="846"/>
      <c r="G904" s="847"/>
      <c r="H904" s="868"/>
      <c r="I904" s="846"/>
      <c r="J904" s="846"/>
      <c r="K904" s="846"/>
      <c r="L904" s="846"/>
      <c r="M904" s="846"/>
      <c r="N904" s="847"/>
      <c r="O904" s="846"/>
      <c r="P904" s="846"/>
      <c r="Q904" s="846"/>
      <c r="R904" s="846"/>
      <c r="S904" s="846"/>
      <c r="T904" s="846"/>
      <c r="U904" s="846"/>
    </row>
    <row r="905" ht="14.25" customHeight="1">
      <c r="A905" s="846"/>
      <c r="B905" s="846"/>
      <c r="C905" s="846"/>
      <c r="D905" s="847"/>
      <c r="E905" s="847"/>
      <c r="F905" s="846"/>
      <c r="G905" s="847"/>
      <c r="H905" s="868"/>
      <c r="I905" s="846"/>
      <c r="J905" s="846"/>
      <c r="K905" s="846"/>
      <c r="L905" s="846"/>
      <c r="M905" s="846"/>
      <c r="N905" s="847"/>
      <c r="O905" s="846"/>
      <c r="P905" s="846"/>
      <c r="Q905" s="846"/>
      <c r="R905" s="846"/>
      <c r="S905" s="846"/>
      <c r="T905" s="846"/>
      <c r="U905" s="846"/>
    </row>
    <row r="906" ht="14.25" customHeight="1">
      <c r="A906" s="846"/>
      <c r="B906" s="846"/>
      <c r="C906" s="846"/>
      <c r="D906" s="847"/>
      <c r="E906" s="847"/>
      <c r="F906" s="846"/>
      <c r="G906" s="847"/>
      <c r="H906" s="868"/>
      <c r="I906" s="846"/>
      <c r="J906" s="846"/>
      <c r="K906" s="846"/>
      <c r="L906" s="846"/>
      <c r="M906" s="846"/>
      <c r="N906" s="847"/>
      <c r="O906" s="846"/>
      <c r="P906" s="846"/>
      <c r="Q906" s="846"/>
      <c r="R906" s="846"/>
      <c r="S906" s="846"/>
      <c r="T906" s="846"/>
      <c r="U906" s="846"/>
    </row>
    <row r="907" ht="14.25" customHeight="1">
      <c r="A907" s="846"/>
      <c r="B907" s="846"/>
      <c r="C907" s="846"/>
      <c r="D907" s="847"/>
      <c r="E907" s="847"/>
      <c r="F907" s="846"/>
      <c r="G907" s="847"/>
      <c r="H907" s="868"/>
      <c r="I907" s="846"/>
      <c r="J907" s="846"/>
      <c r="K907" s="846"/>
      <c r="L907" s="846"/>
      <c r="M907" s="846"/>
      <c r="N907" s="847"/>
      <c r="O907" s="846"/>
      <c r="P907" s="846"/>
      <c r="Q907" s="846"/>
      <c r="R907" s="846"/>
      <c r="S907" s="846"/>
      <c r="T907" s="846"/>
      <c r="U907" s="846"/>
    </row>
    <row r="908" ht="14.25" customHeight="1">
      <c r="A908" s="846"/>
      <c r="B908" s="846"/>
      <c r="C908" s="846"/>
      <c r="D908" s="847"/>
      <c r="E908" s="847"/>
      <c r="F908" s="846"/>
      <c r="G908" s="847"/>
      <c r="H908" s="868"/>
      <c r="I908" s="846"/>
      <c r="J908" s="846"/>
      <c r="K908" s="846"/>
      <c r="L908" s="846"/>
      <c r="M908" s="846"/>
      <c r="N908" s="847"/>
      <c r="O908" s="846"/>
      <c r="P908" s="846"/>
      <c r="Q908" s="846"/>
      <c r="R908" s="846"/>
      <c r="S908" s="846"/>
      <c r="T908" s="846"/>
      <c r="U908" s="846"/>
    </row>
    <row r="909" ht="14.25" customHeight="1">
      <c r="A909" s="846"/>
      <c r="B909" s="846"/>
      <c r="C909" s="846"/>
      <c r="D909" s="847"/>
      <c r="E909" s="847"/>
      <c r="F909" s="846"/>
      <c r="G909" s="847"/>
      <c r="H909" s="868"/>
      <c r="I909" s="846"/>
      <c r="J909" s="846"/>
      <c r="K909" s="846"/>
      <c r="L909" s="846"/>
      <c r="M909" s="846"/>
      <c r="N909" s="847"/>
      <c r="O909" s="846"/>
      <c r="P909" s="846"/>
      <c r="Q909" s="846"/>
      <c r="R909" s="846"/>
      <c r="S909" s="846"/>
      <c r="T909" s="846"/>
      <c r="U909" s="846"/>
    </row>
    <row r="910" ht="14.25" customHeight="1">
      <c r="A910" s="846"/>
      <c r="B910" s="846"/>
      <c r="C910" s="846"/>
      <c r="D910" s="847"/>
      <c r="E910" s="847"/>
      <c r="F910" s="846"/>
      <c r="G910" s="847"/>
      <c r="H910" s="868"/>
      <c r="I910" s="846"/>
      <c r="J910" s="846"/>
      <c r="K910" s="846"/>
      <c r="L910" s="846"/>
      <c r="M910" s="846"/>
      <c r="N910" s="847"/>
      <c r="O910" s="846"/>
      <c r="P910" s="846"/>
      <c r="Q910" s="846"/>
      <c r="R910" s="846"/>
      <c r="S910" s="846"/>
      <c r="T910" s="846"/>
      <c r="U910" s="846"/>
    </row>
    <row r="911" ht="14.25" customHeight="1">
      <c r="A911" s="846"/>
      <c r="B911" s="846"/>
      <c r="C911" s="846"/>
      <c r="D911" s="847"/>
      <c r="E911" s="847"/>
      <c r="F911" s="846"/>
      <c r="G911" s="847"/>
      <c r="H911" s="868"/>
      <c r="I911" s="846"/>
      <c r="J911" s="846"/>
      <c r="K911" s="846"/>
      <c r="L911" s="846"/>
      <c r="M911" s="846"/>
      <c r="N911" s="847"/>
      <c r="O911" s="846"/>
      <c r="P911" s="846"/>
      <c r="Q911" s="846"/>
      <c r="R911" s="846"/>
      <c r="S911" s="846"/>
      <c r="T911" s="846"/>
      <c r="U911" s="846"/>
    </row>
    <row r="912" ht="14.25" customHeight="1">
      <c r="A912" s="846"/>
      <c r="B912" s="846"/>
      <c r="C912" s="846"/>
      <c r="D912" s="847"/>
      <c r="E912" s="847"/>
      <c r="F912" s="846"/>
      <c r="G912" s="847"/>
      <c r="H912" s="868"/>
      <c r="I912" s="846"/>
      <c r="J912" s="846"/>
      <c r="K912" s="846"/>
      <c r="L912" s="846"/>
      <c r="M912" s="846"/>
      <c r="N912" s="847"/>
      <c r="O912" s="846"/>
      <c r="P912" s="846"/>
      <c r="Q912" s="846"/>
      <c r="R912" s="846"/>
      <c r="S912" s="846"/>
      <c r="T912" s="846"/>
      <c r="U912" s="846"/>
    </row>
    <row r="913" ht="14.25" customHeight="1">
      <c r="A913" s="846"/>
      <c r="B913" s="846"/>
      <c r="C913" s="846"/>
      <c r="D913" s="847"/>
      <c r="E913" s="847"/>
      <c r="F913" s="846"/>
      <c r="G913" s="847"/>
      <c r="H913" s="868"/>
      <c r="I913" s="846"/>
      <c r="J913" s="846"/>
      <c r="K913" s="846"/>
      <c r="L913" s="846"/>
      <c r="M913" s="846"/>
      <c r="N913" s="847"/>
      <c r="O913" s="846"/>
      <c r="P913" s="846"/>
      <c r="Q913" s="846"/>
      <c r="R913" s="846"/>
      <c r="S913" s="846"/>
      <c r="T913" s="846"/>
      <c r="U913" s="846"/>
    </row>
    <row r="914" ht="14.25" customHeight="1">
      <c r="A914" s="846"/>
      <c r="B914" s="846"/>
      <c r="C914" s="846"/>
      <c r="D914" s="847"/>
      <c r="E914" s="847"/>
      <c r="F914" s="846"/>
      <c r="G914" s="847"/>
      <c r="H914" s="868"/>
      <c r="I914" s="846"/>
      <c r="J914" s="846"/>
      <c r="K914" s="846"/>
      <c r="L914" s="846"/>
      <c r="M914" s="846"/>
      <c r="N914" s="847"/>
      <c r="O914" s="846"/>
      <c r="P914" s="846"/>
      <c r="Q914" s="846"/>
      <c r="R914" s="846"/>
      <c r="S914" s="846"/>
      <c r="T914" s="846"/>
      <c r="U914" s="846"/>
    </row>
    <row r="915" ht="14.25" customHeight="1">
      <c r="A915" s="846"/>
      <c r="B915" s="846"/>
      <c r="C915" s="846"/>
      <c r="D915" s="847"/>
      <c r="E915" s="847"/>
      <c r="F915" s="846"/>
      <c r="G915" s="847"/>
      <c r="H915" s="868"/>
      <c r="I915" s="846"/>
      <c r="J915" s="846"/>
      <c r="K915" s="846"/>
      <c r="L915" s="846"/>
      <c r="M915" s="846"/>
      <c r="N915" s="847"/>
      <c r="O915" s="846"/>
      <c r="P915" s="846"/>
      <c r="Q915" s="846"/>
      <c r="R915" s="846"/>
      <c r="S915" s="846"/>
      <c r="T915" s="846"/>
      <c r="U915" s="846"/>
    </row>
    <row r="916" ht="14.25" customHeight="1">
      <c r="A916" s="846"/>
      <c r="B916" s="846"/>
      <c r="C916" s="846"/>
      <c r="D916" s="847"/>
      <c r="E916" s="847"/>
      <c r="F916" s="846"/>
      <c r="G916" s="847"/>
      <c r="H916" s="868"/>
      <c r="I916" s="846"/>
      <c r="J916" s="846"/>
      <c r="K916" s="846"/>
      <c r="L916" s="846"/>
      <c r="M916" s="846"/>
      <c r="N916" s="847"/>
      <c r="O916" s="846"/>
      <c r="P916" s="846"/>
      <c r="Q916" s="846"/>
      <c r="R916" s="846"/>
      <c r="S916" s="846"/>
      <c r="T916" s="846"/>
      <c r="U916" s="846"/>
    </row>
    <row r="917" ht="14.25" customHeight="1">
      <c r="A917" s="846"/>
      <c r="B917" s="846"/>
      <c r="C917" s="846"/>
      <c r="D917" s="847"/>
      <c r="E917" s="847"/>
      <c r="F917" s="846"/>
      <c r="G917" s="847"/>
      <c r="H917" s="868"/>
      <c r="I917" s="846"/>
      <c r="J917" s="846"/>
      <c r="K917" s="846"/>
      <c r="L917" s="846"/>
      <c r="M917" s="846"/>
      <c r="N917" s="847"/>
      <c r="O917" s="846"/>
      <c r="P917" s="846"/>
      <c r="Q917" s="846"/>
      <c r="R917" s="846"/>
      <c r="S917" s="846"/>
      <c r="T917" s="846"/>
      <c r="U917" s="846"/>
    </row>
    <row r="918" ht="14.25" customHeight="1">
      <c r="A918" s="846"/>
      <c r="B918" s="846"/>
      <c r="C918" s="846"/>
      <c r="D918" s="847"/>
      <c r="E918" s="847"/>
      <c r="F918" s="846"/>
      <c r="G918" s="847"/>
      <c r="H918" s="868"/>
      <c r="I918" s="846"/>
      <c r="J918" s="846"/>
      <c r="K918" s="846"/>
      <c r="L918" s="846"/>
      <c r="M918" s="846"/>
      <c r="N918" s="847"/>
      <c r="O918" s="846"/>
      <c r="P918" s="846"/>
      <c r="Q918" s="846"/>
      <c r="R918" s="846"/>
      <c r="S918" s="846"/>
      <c r="T918" s="846"/>
      <c r="U918" s="846"/>
    </row>
    <row r="919" ht="14.25" customHeight="1">
      <c r="A919" s="846"/>
      <c r="B919" s="846"/>
      <c r="C919" s="846"/>
      <c r="D919" s="847"/>
      <c r="E919" s="847"/>
      <c r="F919" s="846"/>
      <c r="G919" s="847"/>
      <c r="H919" s="868"/>
      <c r="I919" s="846"/>
      <c r="J919" s="846"/>
      <c r="K919" s="846"/>
      <c r="L919" s="846"/>
      <c r="M919" s="846"/>
      <c r="N919" s="847"/>
      <c r="O919" s="846"/>
      <c r="P919" s="846"/>
      <c r="Q919" s="846"/>
      <c r="R919" s="846"/>
      <c r="S919" s="846"/>
      <c r="T919" s="846"/>
      <c r="U919" s="846"/>
    </row>
    <row r="920" ht="14.25" customHeight="1">
      <c r="A920" s="846"/>
      <c r="B920" s="846"/>
      <c r="C920" s="846"/>
      <c r="D920" s="847"/>
      <c r="E920" s="847"/>
      <c r="F920" s="846"/>
      <c r="G920" s="847"/>
      <c r="H920" s="868"/>
      <c r="I920" s="846"/>
      <c r="J920" s="846"/>
      <c r="K920" s="846"/>
      <c r="L920" s="846"/>
      <c r="M920" s="846"/>
      <c r="N920" s="847"/>
      <c r="O920" s="846"/>
      <c r="P920" s="846"/>
      <c r="Q920" s="846"/>
      <c r="R920" s="846"/>
      <c r="S920" s="846"/>
      <c r="T920" s="846"/>
      <c r="U920" s="846"/>
    </row>
    <row r="921" ht="14.25" customHeight="1">
      <c r="A921" s="846"/>
      <c r="B921" s="846"/>
      <c r="C921" s="846"/>
      <c r="D921" s="847"/>
      <c r="E921" s="847"/>
      <c r="F921" s="846"/>
      <c r="G921" s="847"/>
      <c r="H921" s="868"/>
      <c r="I921" s="846"/>
      <c r="J921" s="846"/>
      <c r="K921" s="846"/>
      <c r="L921" s="846"/>
      <c r="M921" s="846"/>
      <c r="N921" s="847"/>
      <c r="O921" s="846"/>
      <c r="P921" s="846"/>
      <c r="Q921" s="846"/>
      <c r="R921" s="846"/>
      <c r="S921" s="846"/>
      <c r="T921" s="846"/>
      <c r="U921" s="846"/>
    </row>
    <row r="922" ht="14.25" customHeight="1">
      <c r="A922" s="846"/>
      <c r="B922" s="846"/>
      <c r="C922" s="846"/>
      <c r="D922" s="847"/>
      <c r="E922" s="847"/>
      <c r="F922" s="846"/>
      <c r="G922" s="847"/>
      <c r="H922" s="868"/>
      <c r="I922" s="846"/>
      <c r="J922" s="846"/>
      <c r="K922" s="846"/>
      <c r="L922" s="846"/>
      <c r="M922" s="846"/>
      <c r="N922" s="847"/>
      <c r="O922" s="846"/>
      <c r="P922" s="846"/>
      <c r="Q922" s="846"/>
      <c r="R922" s="846"/>
      <c r="S922" s="846"/>
      <c r="T922" s="846"/>
      <c r="U922" s="846"/>
    </row>
    <row r="923" ht="14.25" customHeight="1">
      <c r="A923" s="846"/>
      <c r="B923" s="846"/>
      <c r="C923" s="846"/>
      <c r="D923" s="847"/>
      <c r="E923" s="847"/>
      <c r="F923" s="846"/>
      <c r="G923" s="847"/>
      <c r="H923" s="868"/>
      <c r="I923" s="846"/>
      <c r="J923" s="846"/>
      <c r="K923" s="846"/>
      <c r="L923" s="846"/>
      <c r="M923" s="846"/>
      <c r="N923" s="847"/>
      <c r="O923" s="846"/>
      <c r="P923" s="846"/>
      <c r="Q923" s="846"/>
      <c r="R923" s="846"/>
      <c r="S923" s="846"/>
      <c r="T923" s="846"/>
      <c r="U923" s="846"/>
    </row>
    <row r="924" ht="14.25" customHeight="1">
      <c r="A924" s="846"/>
      <c r="B924" s="846"/>
      <c r="C924" s="846"/>
      <c r="D924" s="847"/>
      <c r="E924" s="847"/>
      <c r="F924" s="846"/>
      <c r="G924" s="847"/>
      <c r="H924" s="868"/>
      <c r="I924" s="846"/>
      <c r="J924" s="846"/>
      <c r="K924" s="846"/>
      <c r="L924" s="846"/>
      <c r="M924" s="846"/>
      <c r="N924" s="847"/>
      <c r="O924" s="846"/>
      <c r="P924" s="846"/>
      <c r="Q924" s="846"/>
      <c r="R924" s="846"/>
      <c r="S924" s="846"/>
      <c r="T924" s="846"/>
      <c r="U924" s="846"/>
    </row>
    <row r="925" ht="14.25" customHeight="1">
      <c r="A925" s="846"/>
      <c r="B925" s="846"/>
      <c r="C925" s="846"/>
      <c r="D925" s="847"/>
      <c r="E925" s="847"/>
      <c r="F925" s="846"/>
      <c r="G925" s="847"/>
      <c r="H925" s="868"/>
      <c r="I925" s="846"/>
      <c r="J925" s="846"/>
      <c r="K925" s="846"/>
      <c r="L925" s="846"/>
      <c r="M925" s="846"/>
      <c r="N925" s="847"/>
      <c r="O925" s="846"/>
      <c r="P925" s="846"/>
      <c r="Q925" s="846"/>
      <c r="R925" s="846"/>
      <c r="S925" s="846"/>
      <c r="T925" s="846"/>
      <c r="U925" s="846"/>
    </row>
    <row r="926" ht="14.25" customHeight="1">
      <c r="A926" s="846"/>
      <c r="B926" s="846"/>
      <c r="C926" s="846"/>
      <c r="D926" s="847"/>
      <c r="E926" s="847"/>
      <c r="F926" s="846"/>
      <c r="G926" s="847"/>
      <c r="H926" s="868"/>
      <c r="I926" s="846"/>
      <c r="J926" s="846"/>
      <c r="K926" s="846"/>
      <c r="L926" s="846"/>
      <c r="M926" s="846"/>
      <c r="N926" s="847"/>
      <c r="O926" s="846"/>
      <c r="P926" s="846"/>
      <c r="Q926" s="846"/>
      <c r="R926" s="846"/>
      <c r="S926" s="846"/>
      <c r="T926" s="846"/>
      <c r="U926" s="846"/>
    </row>
    <row r="927" ht="14.25" customHeight="1">
      <c r="A927" s="846"/>
      <c r="B927" s="846"/>
      <c r="C927" s="846"/>
      <c r="D927" s="847"/>
      <c r="E927" s="847"/>
      <c r="F927" s="846"/>
      <c r="G927" s="847"/>
      <c r="H927" s="868"/>
      <c r="I927" s="846"/>
      <c r="J927" s="846"/>
      <c r="K927" s="846"/>
      <c r="L927" s="846"/>
      <c r="M927" s="846"/>
      <c r="N927" s="847"/>
      <c r="O927" s="846"/>
      <c r="P927" s="846"/>
      <c r="Q927" s="846"/>
      <c r="R927" s="846"/>
      <c r="S927" s="846"/>
      <c r="T927" s="846"/>
      <c r="U927" s="846"/>
    </row>
    <row r="928" ht="14.25" customHeight="1">
      <c r="A928" s="846"/>
      <c r="B928" s="846"/>
      <c r="C928" s="846"/>
      <c r="D928" s="847"/>
      <c r="E928" s="847"/>
      <c r="F928" s="846"/>
      <c r="G928" s="847"/>
      <c r="H928" s="868"/>
      <c r="I928" s="846"/>
      <c r="J928" s="846"/>
      <c r="K928" s="846"/>
      <c r="L928" s="846"/>
      <c r="M928" s="846"/>
      <c r="N928" s="847"/>
      <c r="O928" s="846"/>
      <c r="P928" s="846"/>
      <c r="Q928" s="846"/>
      <c r="R928" s="846"/>
      <c r="S928" s="846"/>
      <c r="T928" s="846"/>
      <c r="U928" s="846"/>
    </row>
    <row r="929" ht="14.25" customHeight="1">
      <c r="A929" s="846"/>
      <c r="B929" s="846"/>
      <c r="C929" s="846"/>
      <c r="D929" s="847"/>
      <c r="E929" s="847"/>
      <c r="F929" s="846"/>
      <c r="G929" s="847"/>
      <c r="H929" s="868"/>
      <c r="I929" s="846"/>
      <c r="J929" s="846"/>
      <c r="K929" s="846"/>
      <c r="L929" s="846"/>
      <c r="M929" s="846"/>
      <c r="N929" s="847"/>
      <c r="O929" s="846"/>
      <c r="P929" s="846"/>
      <c r="Q929" s="846"/>
      <c r="R929" s="846"/>
      <c r="S929" s="846"/>
      <c r="T929" s="846"/>
      <c r="U929" s="846"/>
    </row>
    <row r="930" ht="14.25" customHeight="1">
      <c r="A930" s="846"/>
      <c r="B930" s="846"/>
      <c r="C930" s="846"/>
      <c r="D930" s="847"/>
      <c r="E930" s="847"/>
      <c r="F930" s="846"/>
      <c r="G930" s="847"/>
      <c r="H930" s="868"/>
      <c r="I930" s="846"/>
      <c r="J930" s="846"/>
      <c r="K930" s="846"/>
      <c r="L930" s="846"/>
      <c r="M930" s="846"/>
      <c r="N930" s="847"/>
      <c r="O930" s="846"/>
      <c r="P930" s="846"/>
      <c r="Q930" s="846"/>
      <c r="R930" s="846"/>
      <c r="S930" s="846"/>
      <c r="T930" s="846"/>
      <c r="U930" s="846"/>
    </row>
    <row r="931" ht="14.25" customHeight="1">
      <c r="A931" s="846"/>
      <c r="B931" s="846"/>
      <c r="C931" s="846"/>
      <c r="D931" s="847"/>
      <c r="E931" s="847"/>
      <c r="F931" s="846"/>
      <c r="G931" s="847"/>
      <c r="H931" s="868"/>
      <c r="I931" s="846"/>
      <c r="J931" s="846"/>
      <c r="K931" s="846"/>
      <c r="L931" s="846"/>
      <c r="M931" s="846"/>
      <c r="N931" s="847"/>
      <c r="O931" s="846"/>
      <c r="P931" s="846"/>
      <c r="Q931" s="846"/>
      <c r="R931" s="846"/>
      <c r="S931" s="846"/>
      <c r="T931" s="846"/>
      <c r="U931" s="846"/>
    </row>
    <row r="932" ht="14.25" customHeight="1">
      <c r="A932" s="846"/>
      <c r="B932" s="846"/>
      <c r="C932" s="846"/>
      <c r="D932" s="847"/>
      <c r="E932" s="847"/>
      <c r="F932" s="846"/>
      <c r="G932" s="847"/>
      <c r="H932" s="868"/>
      <c r="I932" s="846"/>
      <c r="J932" s="846"/>
      <c r="K932" s="846"/>
      <c r="L932" s="846"/>
      <c r="M932" s="846"/>
      <c r="N932" s="847"/>
      <c r="O932" s="846"/>
      <c r="P932" s="846"/>
      <c r="Q932" s="846"/>
      <c r="R932" s="846"/>
      <c r="S932" s="846"/>
      <c r="T932" s="846"/>
      <c r="U932" s="846"/>
    </row>
    <row r="933" ht="14.25" customHeight="1">
      <c r="A933" s="846"/>
      <c r="B933" s="846"/>
      <c r="C933" s="846"/>
      <c r="D933" s="847"/>
      <c r="E933" s="847"/>
      <c r="F933" s="846"/>
      <c r="G933" s="847"/>
      <c r="H933" s="868"/>
      <c r="I933" s="846"/>
      <c r="J933" s="846"/>
      <c r="K933" s="846"/>
      <c r="L933" s="846"/>
      <c r="M933" s="846"/>
      <c r="N933" s="847"/>
      <c r="O933" s="846"/>
      <c r="P933" s="846"/>
      <c r="Q933" s="846"/>
      <c r="R933" s="846"/>
      <c r="S933" s="846"/>
      <c r="T933" s="846"/>
      <c r="U933" s="846"/>
    </row>
    <row r="934" ht="14.25" customHeight="1">
      <c r="A934" s="846"/>
      <c r="B934" s="846"/>
      <c r="C934" s="846"/>
      <c r="D934" s="847"/>
      <c r="E934" s="847"/>
      <c r="F934" s="846"/>
      <c r="G934" s="847"/>
      <c r="H934" s="868"/>
      <c r="I934" s="846"/>
      <c r="J934" s="846"/>
      <c r="K934" s="846"/>
      <c r="L934" s="846"/>
      <c r="M934" s="846"/>
      <c r="N934" s="847"/>
      <c r="O934" s="846"/>
      <c r="P934" s="846"/>
      <c r="Q934" s="846"/>
      <c r="R934" s="846"/>
      <c r="S934" s="846"/>
      <c r="T934" s="846"/>
      <c r="U934" s="846"/>
    </row>
    <row r="935" ht="14.25" customHeight="1">
      <c r="A935" s="846"/>
      <c r="B935" s="846"/>
      <c r="C935" s="846"/>
      <c r="D935" s="847"/>
      <c r="E935" s="847"/>
      <c r="F935" s="846"/>
      <c r="G935" s="847"/>
      <c r="H935" s="868"/>
      <c r="I935" s="846"/>
      <c r="J935" s="846"/>
      <c r="K935" s="846"/>
      <c r="L935" s="846"/>
      <c r="M935" s="846"/>
      <c r="N935" s="847"/>
      <c r="O935" s="846"/>
      <c r="P935" s="846"/>
      <c r="Q935" s="846"/>
      <c r="R935" s="846"/>
      <c r="S935" s="846"/>
      <c r="T935" s="846"/>
      <c r="U935" s="846"/>
    </row>
    <row r="936" ht="14.25" customHeight="1">
      <c r="A936" s="846"/>
      <c r="B936" s="846"/>
      <c r="C936" s="846"/>
      <c r="D936" s="847"/>
      <c r="E936" s="847"/>
      <c r="F936" s="846"/>
      <c r="G936" s="847"/>
      <c r="H936" s="868"/>
      <c r="I936" s="846"/>
      <c r="J936" s="846"/>
      <c r="K936" s="846"/>
      <c r="L936" s="846"/>
      <c r="M936" s="846"/>
      <c r="N936" s="847"/>
      <c r="O936" s="846"/>
      <c r="P936" s="846"/>
      <c r="Q936" s="846"/>
      <c r="R936" s="846"/>
      <c r="S936" s="846"/>
      <c r="T936" s="846"/>
      <c r="U936" s="846"/>
    </row>
    <row r="937" ht="14.25" customHeight="1">
      <c r="A937" s="846"/>
      <c r="B937" s="846"/>
      <c r="C937" s="846"/>
      <c r="D937" s="847"/>
      <c r="E937" s="847"/>
      <c r="F937" s="846"/>
      <c r="G937" s="847"/>
      <c r="H937" s="868"/>
      <c r="I937" s="846"/>
      <c r="J937" s="846"/>
      <c r="K937" s="846"/>
      <c r="L937" s="846"/>
      <c r="M937" s="846"/>
      <c r="N937" s="847"/>
      <c r="O937" s="846"/>
      <c r="P937" s="846"/>
      <c r="Q937" s="846"/>
      <c r="R937" s="846"/>
      <c r="S937" s="846"/>
      <c r="T937" s="846"/>
      <c r="U937" s="846"/>
    </row>
    <row r="938" ht="14.25" customHeight="1">
      <c r="A938" s="846"/>
      <c r="B938" s="846"/>
      <c r="C938" s="846"/>
      <c r="D938" s="847"/>
      <c r="E938" s="847"/>
      <c r="F938" s="846"/>
      <c r="G938" s="847"/>
      <c r="H938" s="868"/>
      <c r="I938" s="846"/>
      <c r="J938" s="846"/>
      <c r="K938" s="846"/>
      <c r="L938" s="846"/>
      <c r="M938" s="846"/>
      <c r="N938" s="847"/>
      <c r="O938" s="846"/>
      <c r="P938" s="846"/>
      <c r="Q938" s="846"/>
      <c r="R938" s="846"/>
      <c r="S938" s="846"/>
      <c r="T938" s="846"/>
      <c r="U938" s="846"/>
    </row>
    <row r="939" ht="14.25" customHeight="1">
      <c r="A939" s="846"/>
      <c r="B939" s="846"/>
      <c r="C939" s="846"/>
      <c r="D939" s="847"/>
      <c r="E939" s="847"/>
      <c r="F939" s="846"/>
      <c r="G939" s="847"/>
      <c r="H939" s="868"/>
      <c r="I939" s="846"/>
      <c r="J939" s="846"/>
      <c r="K939" s="846"/>
      <c r="L939" s="846"/>
      <c r="M939" s="846"/>
      <c r="N939" s="847"/>
      <c r="O939" s="846"/>
      <c r="P939" s="846"/>
      <c r="Q939" s="846"/>
      <c r="R939" s="846"/>
      <c r="S939" s="846"/>
      <c r="T939" s="846"/>
      <c r="U939" s="846"/>
    </row>
    <row r="940" ht="14.25" customHeight="1">
      <c r="A940" s="846"/>
      <c r="B940" s="846"/>
      <c r="C940" s="846"/>
      <c r="D940" s="847"/>
      <c r="E940" s="847"/>
      <c r="F940" s="846"/>
      <c r="G940" s="847"/>
      <c r="H940" s="868"/>
      <c r="I940" s="846"/>
      <c r="J940" s="846"/>
      <c r="K940" s="846"/>
      <c r="L940" s="846"/>
      <c r="M940" s="846"/>
      <c r="N940" s="847"/>
      <c r="O940" s="846"/>
      <c r="P940" s="846"/>
      <c r="Q940" s="846"/>
      <c r="R940" s="846"/>
      <c r="S940" s="846"/>
      <c r="T940" s="846"/>
      <c r="U940" s="846"/>
    </row>
    <row r="941" ht="14.25" customHeight="1">
      <c r="A941" s="846"/>
      <c r="B941" s="846"/>
      <c r="C941" s="846"/>
      <c r="D941" s="847"/>
      <c r="E941" s="847"/>
      <c r="F941" s="846"/>
      <c r="G941" s="847"/>
      <c r="H941" s="868"/>
      <c r="I941" s="846"/>
      <c r="J941" s="846"/>
      <c r="K941" s="846"/>
      <c r="L941" s="846"/>
      <c r="M941" s="846"/>
      <c r="N941" s="847"/>
      <c r="O941" s="846"/>
      <c r="P941" s="846"/>
      <c r="Q941" s="846"/>
      <c r="R941" s="846"/>
      <c r="S941" s="846"/>
      <c r="T941" s="846"/>
      <c r="U941" s="846"/>
    </row>
    <row r="942" ht="14.25" customHeight="1">
      <c r="A942" s="846"/>
      <c r="B942" s="846"/>
      <c r="C942" s="846"/>
      <c r="D942" s="847"/>
      <c r="E942" s="847"/>
      <c r="F942" s="846"/>
      <c r="G942" s="847"/>
      <c r="H942" s="868"/>
      <c r="I942" s="846"/>
      <c r="J942" s="846"/>
      <c r="K942" s="846"/>
      <c r="L942" s="846"/>
      <c r="M942" s="846"/>
      <c r="N942" s="847"/>
      <c r="O942" s="846"/>
      <c r="P942" s="846"/>
      <c r="Q942" s="846"/>
      <c r="R942" s="846"/>
      <c r="S942" s="846"/>
      <c r="T942" s="846"/>
      <c r="U942" s="846"/>
    </row>
    <row r="943" ht="14.25" customHeight="1">
      <c r="A943" s="846"/>
      <c r="B943" s="846"/>
      <c r="C943" s="846"/>
      <c r="D943" s="847"/>
      <c r="E943" s="847"/>
      <c r="F943" s="846"/>
      <c r="G943" s="847"/>
      <c r="H943" s="868"/>
      <c r="I943" s="846"/>
      <c r="J943" s="846"/>
      <c r="K943" s="846"/>
      <c r="L943" s="846"/>
      <c r="M943" s="846"/>
      <c r="N943" s="847"/>
      <c r="O943" s="846"/>
      <c r="P943" s="846"/>
      <c r="Q943" s="846"/>
      <c r="R943" s="846"/>
      <c r="S943" s="846"/>
      <c r="T943" s="846"/>
      <c r="U943" s="846"/>
    </row>
    <row r="944" ht="14.25" customHeight="1">
      <c r="A944" s="846"/>
      <c r="B944" s="846"/>
      <c r="C944" s="846"/>
      <c r="D944" s="847"/>
      <c r="E944" s="847"/>
      <c r="F944" s="846"/>
      <c r="G944" s="847"/>
      <c r="H944" s="868"/>
      <c r="I944" s="846"/>
      <c r="J944" s="846"/>
      <c r="K944" s="846"/>
      <c r="L944" s="846"/>
      <c r="M944" s="846"/>
      <c r="N944" s="847"/>
      <c r="O944" s="846"/>
      <c r="P944" s="846"/>
      <c r="Q944" s="846"/>
      <c r="R944" s="846"/>
      <c r="S944" s="846"/>
      <c r="T944" s="846"/>
      <c r="U944" s="846"/>
    </row>
    <row r="945" ht="14.25" customHeight="1">
      <c r="A945" s="846"/>
      <c r="B945" s="846"/>
      <c r="C945" s="846"/>
      <c r="D945" s="847"/>
      <c r="E945" s="847"/>
      <c r="F945" s="846"/>
      <c r="G945" s="847"/>
      <c r="H945" s="868"/>
      <c r="I945" s="846"/>
      <c r="J945" s="846"/>
      <c r="K945" s="846"/>
      <c r="L945" s="846"/>
      <c r="M945" s="846"/>
      <c r="N945" s="847"/>
      <c r="O945" s="846"/>
      <c r="P945" s="846"/>
      <c r="Q945" s="846"/>
      <c r="R945" s="846"/>
      <c r="S945" s="846"/>
      <c r="T945" s="846"/>
      <c r="U945" s="846"/>
    </row>
    <row r="946" ht="14.25" customHeight="1">
      <c r="A946" s="846"/>
      <c r="B946" s="846"/>
      <c r="C946" s="846"/>
      <c r="D946" s="847"/>
      <c r="E946" s="847"/>
      <c r="F946" s="846"/>
      <c r="G946" s="847"/>
      <c r="H946" s="868"/>
      <c r="I946" s="846"/>
      <c r="J946" s="846"/>
      <c r="K946" s="846"/>
      <c r="L946" s="846"/>
      <c r="M946" s="846"/>
      <c r="N946" s="847"/>
      <c r="O946" s="846"/>
      <c r="P946" s="846"/>
      <c r="Q946" s="846"/>
      <c r="R946" s="846"/>
      <c r="S946" s="846"/>
      <c r="T946" s="846"/>
      <c r="U946" s="846"/>
    </row>
    <row r="947" ht="14.25" customHeight="1">
      <c r="A947" s="846"/>
      <c r="B947" s="846"/>
      <c r="C947" s="846"/>
      <c r="D947" s="847"/>
      <c r="E947" s="847"/>
      <c r="F947" s="846"/>
      <c r="G947" s="847"/>
      <c r="H947" s="868"/>
      <c r="I947" s="846"/>
      <c r="J947" s="846"/>
      <c r="K947" s="846"/>
      <c r="L947" s="846"/>
      <c r="M947" s="846"/>
      <c r="N947" s="847"/>
      <c r="O947" s="846"/>
      <c r="P947" s="846"/>
      <c r="Q947" s="846"/>
      <c r="R947" s="846"/>
      <c r="S947" s="846"/>
      <c r="T947" s="846"/>
      <c r="U947" s="846"/>
    </row>
    <row r="948" ht="14.25" customHeight="1">
      <c r="A948" s="846"/>
      <c r="B948" s="846"/>
      <c r="C948" s="846"/>
      <c r="D948" s="847"/>
      <c r="E948" s="847"/>
      <c r="F948" s="846"/>
      <c r="G948" s="847"/>
      <c r="H948" s="868"/>
      <c r="I948" s="846"/>
      <c r="J948" s="846"/>
      <c r="K948" s="846"/>
      <c r="L948" s="846"/>
      <c r="M948" s="846"/>
      <c r="N948" s="847"/>
      <c r="O948" s="846"/>
      <c r="P948" s="846"/>
      <c r="Q948" s="846"/>
      <c r="R948" s="846"/>
      <c r="S948" s="846"/>
      <c r="T948" s="846"/>
      <c r="U948" s="846"/>
    </row>
    <row r="949" ht="14.25" customHeight="1">
      <c r="A949" s="846"/>
      <c r="B949" s="846"/>
      <c r="C949" s="846"/>
      <c r="D949" s="847"/>
      <c r="E949" s="847"/>
      <c r="F949" s="846"/>
      <c r="G949" s="847"/>
      <c r="H949" s="868"/>
      <c r="I949" s="846"/>
      <c r="J949" s="846"/>
      <c r="K949" s="846"/>
      <c r="L949" s="846"/>
      <c r="M949" s="846"/>
      <c r="N949" s="847"/>
      <c r="O949" s="846"/>
      <c r="P949" s="846"/>
      <c r="Q949" s="846"/>
      <c r="R949" s="846"/>
      <c r="S949" s="846"/>
      <c r="T949" s="846"/>
      <c r="U949" s="846"/>
    </row>
    <row r="950" ht="14.25" customHeight="1">
      <c r="A950" s="846"/>
      <c r="B950" s="846"/>
      <c r="C950" s="846"/>
      <c r="D950" s="847"/>
      <c r="E950" s="847"/>
      <c r="F950" s="846"/>
      <c r="G950" s="847"/>
      <c r="H950" s="868"/>
      <c r="I950" s="846"/>
      <c r="J950" s="846"/>
      <c r="K950" s="846"/>
      <c r="L950" s="846"/>
      <c r="M950" s="846"/>
      <c r="N950" s="847"/>
      <c r="O950" s="846"/>
      <c r="P950" s="846"/>
      <c r="Q950" s="846"/>
      <c r="R950" s="846"/>
      <c r="S950" s="846"/>
      <c r="T950" s="846"/>
      <c r="U950" s="846"/>
    </row>
    <row r="951" ht="14.25" customHeight="1">
      <c r="A951" s="846"/>
      <c r="B951" s="846"/>
      <c r="C951" s="846"/>
      <c r="D951" s="847"/>
      <c r="E951" s="847"/>
      <c r="F951" s="846"/>
      <c r="G951" s="847"/>
      <c r="H951" s="868"/>
      <c r="I951" s="846"/>
      <c r="J951" s="846"/>
      <c r="K951" s="846"/>
      <c r="L951" s="846"/>
      <c r="M951" s="846"/>
      <c r="N951" s="847"/>
      <c r="O951" s="846"/>
      <c r="P951" s="846"/>
      <c r="Q951" s="846"/>
      <c r="R951" s="846"/>
      <c r="S951" s="846"/>
      <c r="T951" s="846"/>
      <c r="U951" s="846"/>
    </row>
    <row r="952" ht="14.25" customHeight="1">
      <c r="A952" s="846"/>
      <c r="B952" s="846"/>
      <c r="C952" s="846"/>
      <c r="D952" s="847"/>
      <c r="E952" s="847"/>
      <c r="F952" s="846"/>
      <c r="G952" s="847"/>
      <c r="H952" s="868"/>
      <c r="I952" s="846"/>
      <c r="J952" s="846"/>
      <c r="K952" s="846"/>
      <c r="L952" s="846"/>
      <c r="M952" s="846"/>
      <c r="N952" s="847"/>
      <c r="O952" s="846"/>
      <c r="P952" s="846"/>
      <c r="Q952" s="846"/>
      <c r="R952" s="846"/>
      <c r="S952" s="846"/>
      <c r="T952" s="846"/>
      <c r="U952" s="846"/>
    </row>
    <row r="953" ht="14.25" customHeight="1">
      <c r="A953" s="846"/>
      <c r="B953" s="846"/>
      <c r="C953" s="846"/>
      <c r="D953" s="847"/>
      <c r="E953" s="847"/>
      <c r="F953" s="846"/>
      <c r="G953" s="847"/>
      <c r="H953" s="868"/>
      <c r="I953" s="846"/>
      <c r="J953" s="846"/>
      <c r="K953" s="846"/>
      <c r="L953" s="846"/>
      <c r="M953" s="846"/>
      <c r="N953" s="847"/>
      <c r="O953" s="846"/>
      <c r="P953" s="846"/>
      <c r="Q953" s="846"/>
      <c r="R953" s="846"/>
      <c r="S953" s="846"/>
      <c r="T953" s="846"/>
      <c r="U953" s="846"/>
    </row>
    <row r="954" ht="14.25" customHeight="1">
      <c r="A954" s="846"/>
      <c r="B954" s="846"/>
      <c r="C954" s="846"/>
      <c r="D954" s="847"/>
      <c r="E954" s="847"/>
      <c r="F954" s="846"/>
      <c r="G954" s="847"/>
      <c r="H954" s="868"/>
      <c r="I954" s="846"/>
      <c r="J954" s="846"/>
      <c r="K954" s="846"/>
      <c r="L954" s="846"/>
      <c r="M954" s="846"/>
      <c r="N954" s="847"/>
      <c r="O954" s="846"/>
      <c r="P954" s="846"/>
      <c r="Q954" s="846"/>
      <c r="R954" s="846"/>
      <c r="S954" s="846"/>
      <c r="T954" s="846"/>
      <c r="U954" s="846"/>
    </row>
    <row r="955" ht="14.25" customHeight="1">
      <c r="A955" s="846"/>
      <c r="B955" s="846"/>
      <c r="C955" s="846"/>
      <c r="D955" s="847"/>
      <c r="E955" s="847"/>
      <c r="F955" s="846"/>
      <c r="G955" s="847"/>
      <c r="H955" s="868"/>
      <c r="I955" s="846"/>
      <c r="J955" s="846"/>
      <c r="K955" s="846"/>
      <c r="L955" s="846"/>
      <c r="M955" s="846"/>
      <c r="N955" s="847"/>
      <c r="O955" s="846"/>
      <c r="P955" s="846"/>
      <c r="Q955" s="846"/>
      <c r="R955" s="846"/>
      <c r="S955" s="846"/>
      <c r="T955" s="846"/>
      <c r="U955" s="846"/>
    </row>
    <row r="956" ht="14.25" customHeight="1">
      <c r="A956" s="846"/>
      <c r="B956" s="846"/>
      <c r="C956" s="846"/>
      <c r="D956" s="847"/>
      <c r="E956" s="847"/>
      <c r="F956" s="846"/>
      <c r="G956" s="847"/>
      <c r="H956" s="868"/>
      <c r="I956" s="846"/>
      <c r="J956" s="846"/>
      <c r="K956" s="846"/>
      <c r="L956" s="846"/>
      <c r="M956" s="846"/>
      <c r="N956" s="847"/>
      <c r="O956" s="846"/>
      <c r="P956" s="846"/>
      <c r="Q956" s="846"/>
      <c r="R956" s="846"/>
      <c r="S956" s="846"/>
      <c r="T956" s="846"/>
      <c r="U956" s="846"/>
    </row>
    <row r="957" ht="14.25" customHeight="1">
      <c r="A957" s="846"/>
      <c r="B957" s="846"/>
      <c r="C957" s="846"/>
      <c r="D957" s="847"/>
      <c r="E957" s="847"/>
      <c r="F957" s="846"/>
      <c r="G957" s="847"/>
      <c r="H957" s="868"/>
      <c r="I957" s="846"/>
      <c r="J957" s="846"/>
      <c r="K957" s="846"/>
      <c r="L957" s="846"/>
      <c r="M957" s="846"/>
      <c r="N957" s="847"/>
      <c r="O957" s="846"/>
      <c r="P957" s="846"/>
      <c r="Q957" s="846"/>
      <c r="R957" s="846"/>
      <c r="S957" s="846"/>
      <c r="T957" s="846"/>
      <c r="U957" s="846"/>
    </row>
    <row r="958" ht="14.25" customHeight="1">
      <c r="A958" s="846"/>
      <c r="B958" s="846"/>
      <c r="C958" s="846"/>
      <c r="D958" s="847"/>
      <c r="E958" s="847"/>
      <c r="F958" s="846"/>
      <c r="G958" s="847"/>
      <c r="H958" s="868"/>
      <c r="I958" s="846"/>
      <c r="J958" s="846"/>
      <c r="K958" s="846"/>
      <c r="L958" s="846"/>
      <c r="M958" s="846"/>
      <c r="N958" s="847"/>
      <c r="O958" s="846"/>
      <c r="P958" s="846"/>
      <c r="Q958" s="846"/>
      <c r="R958" s="846"/>
      <c r="S958" s="846"/>
      <c r="T958" s="846"/>
      <c r="U958" s="846"/>
    </row>
    <row r="959" ht="14.25" customHeight="1">
      <c r="A959" s="846"/>
      <c r="B959" s="846"/>
      <c r="C959" s="846"/>
      <c r="D959" s="847"/>
      <c r="E959" s="847"/>
      <c r="F959" s="846"/>
      <c r="G959" s="847"/>
      <c r="H959" s="868"/>
      <c r="I959" s="846"/>
      <c r="J959" s="846"/>
      <c r="K959" s="846"/>
      <c r="L959" s="846"/>
      <c r="M959" s="846"/>
      <c r="N959" s="847"/>
      <c r="O959" s="846"/>
      <c r="P959" s="846"/>
      <c r="Q959" s="846"/>
      <c r="R959" s="846"/>
      <c r="S959" s="846"/>
      <c r="T959" s="846"/>
      <c r="U959" s="846"/>
    </row>
    <row r="960" ht="14.25" customHeight="1">
      <c r="A960" s="846"/>
      <c r="B960" s="846"/>
      <c r="C960" s="846"/>
      <c r="D960" s="847"/>
      <c r="E960" s="847"/>
      <c r="F960" s="846"/>
      <c r="G960" s="847"/>
      <c r="H960" s="868"/>
      <c r="I960" s="846"/>
      <c r="J960" s="846"/>
      <c r="K960" s="846"/>
      <c r="L960" s="846"/>
      <c r="M960" s="846"/>
      <c r="N960" s="847"/>
      <c r="O960" s="846"/>
      <c r="P960" s="846"/>
      <c r="Q960" s="846"/>
      <c r="R960" s="846"/>
      <c r="S960" s="846"/>
      <c r="T960" s="846"/>
      <c r="U960" s="846"/>
    </row>
    <row r="961" ht="14.25" customHeight="1">
      <c r="A961" s="846"/>
      <c r="B961" s="846"/>
      <c r="C961" s="846"/>
      <c r="D961" s="847"/>
      <c r="E961" s="847"/>
      <c r="F961" s="846"/>
      <c r="G961" s="847"/>
      <c r="H961" s="868"/>
      <c r="I961" s="846"/>
      <c r="J961" s="846"/>
      <c r="K961" s="846"/>
      <c r="L961" s="846"/>
      <c r="M961" s="846"/>
      <c r="N961" s="847"/>
      <c r="O961" s="846"/>
      <c r="P961" s="846"/>
      <c r="Q961" s="846"/>
      <c r="R961" s="846"/>
      <c r="S961" s="846"/>
      <c r="T961" s="846"/>
      <c r="U961" s="846"/>
    </row>
    <row r="962" ht="14.25" customHeight="1">
      <c r="A962" s="846"/>
      <c r="B962" s="846"/>
      <c r="C962" s="846"/>
      <c r="D962" s="847"/>
      <c r="E962" s="847"/>
      <c r="F962" s="846"/>
      <c r="G962" s="847"/>
      <c r="H962" s="868"/>
      <c r="I962" s="846"/>
      <c r="J962" s="846"/>
      <c r="K962" s="846"/>
      <c r="L962" s="846"/>
      <c r="M962" s="846"/>
      <c r="N962" s="847"/>
      <c r="O962" s="846"/>
      <c r="P962" s="846"/>
      <c r="Q962" s="846"/>
      <c r="R962" s="846"/>
      <c r="S962" s="846"/>
      <c r="T962" s="846"/>
      <c r="U962" s="846"/>
    </row>
    <row r="963" ht="14.25" customHeight="1">
      <c r="A963" s="846"/>
      <c r="B963" s="846"/>
      <c r="C963" s="846"/>
      <c r="D963" s="847"/>
      <c r="E963" s="847"/>
      <c r="F963" s="846"/>
      <c r="G963" s="847"/>
      <c r="H963" s="868"/>
      <c r="I963" s="846"/>
      <c r="J963" s="846"/>
      <c r="K963" s="846"/>
      <c r="L963" s="846"/>
      <c r="M963" s="846"/>
      <c r="N963" s="847"/>
      <c r="O963" s="846"/>
      <c r="P963" s="846"/>
      <c r="Q963" s="846"/>
      <c r="R963" s="846"/>
      <c r="S963" s="846"/>
      <c r="T963" s="846"/>
      <c r="U963" s="846"/>
    </row>
    <row r="964" ht="14.25" customHeight="1">
      <c r="A964" s="846"/>
      <c r="B964" s="846"/>
      <c r="C964" s="846"/>
      <c r="D964" s="847"/>
      <c r="E964" s="847"/>
      <c r="F964" s="846"/>
      <c r="G964" s="847"/>
      <c r="H964" s="868"/>
      <c r="I964" s="846"/>
      <c r="J964" s="846"/>
      <c r="K964" s="846"/>
      <c r="L964" s="846"/>
      <c r="M964" s="846"/>
      <c r="N964" s="847"/>
      <c r="O964" s="846"/>
      <c r="P964" s="846"/>
      <c r="Q964" s="846"/>
      <c r="R964" s="846"/>
      <c r="S964" s="846"/>
      <c r="T964" s="846"/>
      <c r="U964" s="846"/>
    </row>
    <row r="965" ht="14.25" customHeight="1">
      <c r="A965" s="846"/>
      <c r="B965" s="846"/>
      <c r="C965" s="846"/>
      <c r="D965" s="847"/>
      <c r="E965" s="847"/>
      <c r="F965" s="846"/>
      <c r="G965" s="847"/>
      <c r="H965" s="868"/>
      <c r="I965" s="846"/>
      <c r="J965" s="846"/>
      <c r="K965" s="846"/>
      <c r="L965" s="846"/>
      <c r="M965" s="846"/>
      <c r="N965" s="847"/>
      <c r="O965" s="846"/>
      <c r="P965" s="846"/>
      <c r="Q965" s="846"/>
      <c r="R965" s="846"/>
      <c r="S965" s="846"/>
      <c r="T965" s="846"/>
      <c r="U965" s="846"/>
    </row>
    <row r="966" ht="14.25" customHeight="1">
      <c r="A966" s="846"/>
      <c r="B966" s="846"/>
      <c r="C966" s="846"/>
      <c r="D966" s="847"/>
      <c r="E966" s="847"/>
      <c r="F966" s="846"/>
      <c r="G966" s="847"/>
      <c r="H966" s="868"/>
      <c r="I966" s="846"/>
      <c r="J966" s="846"/>
      <c r="K966" s="846"/>
      <c r="L966" s="846"/>
      <c r="M966" s="846"/>
      <c r="N966" s="847"/>
      <c r="O966" s="846"/>
      <c r="P966" s="846"/>
      <c r="Q966" s="846"/>
      <c r="R966" s="846"/>
      <c r="S966" s="846"/>
      <c r="T966" s="846"/>
      <c r="U966" s="846"/>
    </row>
    <row r="967" ht="14.25" customHeight="1">
      <c r="A967" s="846"/>
      <c r="B967" s="846"/>
      <c r="C967" s="846"/>
      <c r="D967" s="847"/>
      <c r="E967" s="847"/>
      <c r="F967" s="846"/>
      <c r="G967" s="847"/>
      <c r="H967" s="868"/>
      <c r="I967" s="846"/>
      <c r="J967" s="846"/>
      <c r="K967" s="846"/>
      <c r="L967" s="846"/>
      <c r="M967" s="846"/>
      <c r="N967" s="847"/>
      <c r="O967" s="846"/>
      <c r="P967" s="846"/>
      <c r="Q967" s="846"/>
      <c r="R967" s="846"/>
      <c r="S967" s="846"/>
      <c r="T967" s="846"/>
      <c r="U967" s="846"/>
    </row>
    <row r="968" ht="14.25" customHeight="1">
      <c r="A968" s="846"/>
      <c r="B968" s="846"/>
      <c r="C968" s="846"/>
      <c r="D968" s="847"/>
      <c r="E968" s="847"/>
      <c r="F968" s="846"/>
      <c r="G968" s="847"/>
      <c r="H968" s="868"/>
      <c r="I968" s="846"/>
      <c r="J968" s="846"/>
      <c r="K968" s="846"/>
      <c r="L968" s="846"/>
      <c r="M968" s="846"/>
      <c r="N968" s="847"/>
      <c r="O968" s="846"/>
      <c r="P968" s="846"/>
      <c r="Q968" s="846"/>
      <c r="R968" s="846"/>
      <c r="S968" s="846"/>
      <c r="T968" s="846"/>
      <c r="U968" s="846"/>
    </row>
    <row r="969" ht="14.25" customHeight="1">
      <c r="A969" s="846"/>
      <c r="B969" s="846"/>
      <c r="C969" s="846"/>
      <c r="D969" s="847"/>
      <c r="E969" s="847"/>
      <c r="F969" s="846"/>
      <c r="G969" s="847"/>
      <c r="H969" s="868"/>
      <c r="I969" s="846"/>
      <c r="J969" s="846"/>
      <c r="K969" s="846"/>
      <c r="L969" s="846"/>
      <c r="M969" s="846"/>
      <c r="N969" s="847"/>
      <c r="O969" s="846"/>
      <c r="P969" s="846"/>
      <c r="Q969" s="846"/>
      <c r="R969" s="846"/>
      <c r="S969" s="846"/>
      <c r="T969" s="846"/>
      <c r="U969" s="846"/>
    </row>
    <row r="970" ht="14.25" customHeight="1">
      <c r="A970" s="846"/>
      <c r="B970" s="846"/>
      <c r="C970" s="846"/>
      <c r="D970" s="847"/>
      <c r="E970" s="847"/>
      <c r="F970" s="846"/>
      <c r="G970" s="847"/>
      <c r="H970" s="868"/>
      <c r="I970" s="846"/>
      <c r="J970" s="846"/>
      <c r="K970" s="846"/>
      <c r="L970" s="846"/>
      <c r="M970" s="846"/>
      <c r="N970" s="847"/>
      <c r="O970" s="846"/>
      <c r="P970" s="846"/>
      <c r="Q970" s="846"/>
      <c r="R970" s="846"/>
      <c r="S970" s="846"/>
      <c r="T970" s="846"/>
      <c r="U970" s="846"/>
    </row>
    <row r="971" ht="14.25" customHeight="1">
      <c r="A971" s="846"/>
      <c r="B971" s="846"/>
      <c r="C971" s="846"/>
      <c r="D971" s="847"/>
      <c r="E971" s="847"/>
      <c r="F971" s="846"/>
      <c r="G971" s="847"/>
      <c r="H971" s="868"/>
      <c r="I971" s="846"/>
      <c r="J971" s="846"/>
      <c r="K971" s="846"/>
      <c r="L971" s="846"/>
      <c r="M971" s="846"/>
      <c r="N971" s="847"/>
      <c r="O971" s="846"/>
      <c r="P971" s="846"/>
      <c r="Q971" s="846"/>
      <c r="R971" s="846"/>
      <c r="S971" s="846"/>
      <c r="T971" s="846"/>
      <c r="U971" s="846"/>
    </row>
    <row r="972" ht="14.25" customHeight="1">
      <c r="A972" s="846"/>
      <c r="B972" s="846"/>
      <c r="C972" s="846"/>
      <c r="D972" s="847"/>
      <c r="E972" s="847"/>
      <c r="F972" s="846"/>
      <c r="G972" s="847"/>
      <c r="H972" s="868"/>
      <c r="I972" s="846"/>
      <c r="J972" s="846"/>
      <c r="K972" s="846"/>
      <c r="L972" s="846"/>
      <c r="M972" s="846"/>
      <c r="N972" s="847"/>
      <c r="O972" s="846"/>
      <c r="P972" s="846"/>
      <c r="Q972" s="846"/>
      <c r="R972" s="846"/>
      <c r="S972" s="846"/>
      <c r="T972" s="846"/>
      <c r="U972" s="846"/>
    </row>
    <row r="973" ht="14.25" customHeight="1">
      <c r="A973" s="846"/>
      <c r="B973" s="846"/>
      <c r="C973" s="846"/>
      <c r="D973" s="847"/>
      <c r="E973" s="847"/>
      <c r="F973" s="846"/>
      <c r="G973" s="847"/>
      <c r="H973" s="868"/>
      <c r="I973" s="846"/>
      <c r="J973" s="846"/>
      <c r="K973" s="846"/>
      <c r="L973" s="846"/>
      <c r="M973" s="846"/>
      <c r="N973" s="847"/>
      <c r="O973" s="846"/>
      <c r="P973" s="846"/>
      <c r="Q973" s="846"/>
      <c r="R973" s="846"/>
      <c r="S973" s="846"/>
      <c r="T973" s="846"/>
      <c r="U973" s="846"/>
    </row>
    <row r="974" ht="14.25" customHeight="1">
      <c r="A974" s="846"/>
      <c r="B974" s="846"/>
      <c r="C974" s="846"/>
      <c r="D974" s="847"/>
      <c r="E974" s="847"/>
      <c r="F974" s="846"/>
      <c r="G974" s="847"/>
      <c r="H974" s="868"/>
      <c r="I974" s="846"/>
      <c r="J974" s="846"/>
      <c r="K974" s="846"/>
      <c r="L974" s="846"/>
      <c r="M974" s="846"/>
      <c r="N974" s="847"/>
      <c r="O974" s="846"/>
      <c r="P974" s="846"/>
      <c r="Q974" s="846"/>
      <c r="R974" s="846"/>
      <c r="S974" s="846"/>
      <c r="T974" s="846"/>
      <c r="U974" s="846"/>
    </row>
    <row r="975" ht="14.25" customHeight="1">
      <c r="A975" s="846"/>
      <c r="B975" s="846"/>
      <c r="C975" s="846"/>
      <c r="D975" s="847"/>
      <c r="E975" s="847"/>
      <c r="F975" s="846"/>
      <c r="G975" s="847"/>
      <c r="H975" s="868"/>
      <c r="I975" s="846"/>
      <c r="J975" s="846"/>
      <c r="K975" s="846"/>
      <c r="L975" s="846"/>
      <c r="M975" s="846"/>
      <c r="N975" s="847"/>
      <c r="O975" s="846"/>
      <c r="P975" s="846"/>
      <c r="Q975" s="846"/>
      <c r="R975" s="846"/>
      <c r="S975" s="846"/>
      <c r="T975" s="846"/>
      <c r="U975" s="846"/>
    </row>
    <row r="976" ht="14.25" customHeight="1">
      <c r="A976" s="846"/>
      <c r="B976" s="846"/>
      <c r="C976" s="846"/>
      <c r="D976" s="847"/>
      <c r="E976" s="847"/>
      <c r="F976" s="846"/>
      <c r="G976" s="847"/>
      <c r="H976" s="868"/>
      <c r="I976" s="846"/>
      <c r="J976" s="846"/>
      <c r="K976" s="846"/>
      <c r="L976" s="846"/>
      <c r="M976" s="846"/>
      <c r="N976" s="847"/>
      <c r="O976" s="846"/>
      <c r="P976" s="846"/>
      <c r="Q976" s="846"/>
      <c r="R976" s="846"/>
      <c r="S976" s="846"/>
      <c r="T976" s="846"/>
      <c r="U976" s="846"/>
    </row>
    <row r="977" ht="14.25" customHeight="1">
      <c r="A977" s="846"/>
      <c r="B977" s="846"/>
      <c r="C977" s="846"/>
      <c r="D977" s="847"/>
      <c r="E977" s="847"/>
      <c r="F977" s="846"/>
      <c r="G977" s="847"/>
      <c r="H977" s="868"/>
      <c r="I977" s="846"/>
      <c r="J977" s="846"/>
      <c r="K977" s="846"/>
      <c r="L977" s="846"/>
      <c r="M977" s="846"/>
      <c r="N977" s="847"/>
      <c r="O977" s="846"/>
      <c r="P977" s="846"/>
      <c r="Q977" s="846"/>
      <c r="R977" s="846"/>
      <c r="S977" s="846"/>
      <c r="T977" s="846"/>
      <c r="U977" s="846"/>
    </row>
    <row r="978" ht="14.25" customHeight="1">
      <c r="A978" s="846"/>
      <c r="B978" s="846"/>
      <c r="C978" s="846"/>
      <c r="D978" s="847"/>
      <c r="E978" s="847"/>
      <c r="F978" s="846"/>
      <c r="G978" s="847"/>
      <c r="H978" s="868"/>
      <c r="I978" s="846"/>
      <c r="J978" s="846"/>
      <c r="K978" s="846"/>
      <c r="L978" s="846"/>
      <c r="M978" s="846"/>
      <c r="N978" s="847"/>
      <c r="O978" s="846"/>
      <c r="P978" s="846"/>
      <c r="Q978" s="846"/>
      <c r="R978" s="846"/>
      <c r="S978" s="846"/>
      <c r="T978" s="846"/>
      <c r="U978" s="846"/>
    </row>
    <row r="979" ht="14.25" customHeight="1">
      <c r="A979" s="846"/>
      <c r="B979" s="846"/>
      <c r="C979" s="846"/>
      <c r="D979" s="847"/>
      <c r="E979" s="847"/>
      <c r="F979" s="846"/>
      <c r="G979" s="847"/>
      <c r="H979" s="868"/>
      <c r="I979" s="846"/>
      <c r="J979" s="846"/>
      <c r="K979" s="846"/>
      <c r="L979" s="846"/>
      <c r="M979" s="846"/>
      <c r="N979" s="847"/>
      <c r="O979" s="846"/>
      <c r="P979" s="846"/>
      <c r="Q979" s="846"/>
      <c r="R979" s="846"/>
      <c r="S979" s="846"/>
      <c r="T979" s="846"/>
      <c r="U979" s="846"/>
    </row>
    <row r="980" ht="14.25" customHeight="1">
      <c r="A980" s="846"/>
      <c r="B980" s="846"/>
      <c r="C980" s="846"/>
      <c r="D980" s="847"/>
      <c r="E980" s="847"/>
      <c r="F980" s="846"/>
      <c r="G980" s="847"/>
      <c r="H980" s="868"/>
      <c r="I980" s="846"/>
      <c r="J980" s="846"/>
      <c r="K980" s="846"/>
      <c r="L980" s="846"/>
      <c r="M980" s="846"/>
      <c r="N980" s="847"/>
      <c r="O980" s="846"/>
      <c r="P980" s="846"/>
      <c r="Q980" s="846"/>
      <c r="R980" s="846"/>
      <c r="S980" s="846"/>
      <c r="T980" s="846"/>
      <c r="U980" s="846"/>
    </row>
    <row r="981" ht="14.25" customHeight="1">
      <c r="A981" s="846"/>
      <c r="B981" s="846"/>
      <c r="C981" s="846"/>
      <c r="D981" s="847"/>
      <c r="E981" s="847"/>
      <c r="F981" s="846"/>
      <c r="G981" s="847"/>
      <c r="H981" s="868"/>
      <c r="I981" s="846"/>
      <c r="J981" s="846"/>
      <c r="K981" s="846"/>
      <c r="L981" s="846"/>
      <c r="M981" s="846"/>
      <c r="N981" s="847"/>
      <c r="O981" s="846"/>
      <c r="P981" s="846"/>
      <c r="Q981" s="846"/>
      <c r="R981" s="846"/>
      <c r="S981" s="846"/>
      <c r="T981" s="846"/>
      <c r="U981" s="846"/>
    </row>
    <row r="982" ht="14.25" customHeight="1">
      <c r="A982" s="846"/>
      <c r="B982" s="846"/>
      <c r="C982" s="846"/>
      <c r="D982" s="847"/>
      <c r="E982" s="847"/>
      <c r="F982" s="846"/>
      <c r="G982" s="847"/>
      <c r="H982" s="868"/>
      <c r="I982" s="846"/>
      <c r="J982" s="846"/>
      <c r="K982" s="846"/>
      <c r="L982" s="846"/>
      <c r="M982" s="846"/>
      <c r="N982" s="847"/>
      <c r="O982" s="846"/>
      <c r="P982" s="846"/>
      <c r="Q982" s="846"/>
      <c r="R982" s="846"/>
      <c r="S982" s="846"/>
      <c r="T982" s="846"/>
      <c r="U982" s="846"/>
    </row>
    <row r="983" ht="14.25" customHeight="1">
      <c r="A983" s="846"/>
      <c r="B983" s="846"/>
      <c r="C983" s="846"/>
      <c r="D983" s="847"/>
      <c r="E983" s="847"/>
      <c r="F983" s="846"/>
      <c r="G983" s="847"/>
      <c r="H983" s="868"/>
      <c r="I983" s="846"/>
      <c r="J983" s="846"/>
      <c r="K983" s="846"/>
      <c r="L983" s="846"/>
      <c r="M983" s="846"/>
      <c r="N983" s="847"/>
      <c r="O983" s="846"/>
      <c r="P983" s="846"/>
      <c r="Q983" s="846"/>
      <c r="R983" s="846"/>
      <c r="S983" s="846"/>
      <c r="T983" s="846"/>
      <c r="U983" s="846"/>
    </row>
    <row r="984" ht="14.25" customHeight="1">
      <c r="A984" s="846"/>
      <c r="B984" s="846"/>
      <c r="C984" s="846"/>
      <c r="D984" s="847"/>
      <c r="E984" s="847"/>
      <c r="F984" s="846"/>
      <c r="G984" s="847"/>
      <c r="H984" s="868"/>
      <c r="I984" s="846"/>
      <c r="J984" s="846"/>
      <c r="K984" s="846"/>
      <c r="L984" s="846"/>
      <c r="M984" s="846"/>
      <c r="N984" s="847"/>
      <c r="O984" s="846"/>
      <c r="P984" s="846"/>
      <c r="Q984" s="846"/>
      <c r="R984" s="846"/>
      <c r="S984" s="846"/>
      <c r="T984" s="846"/>
      <c r="U984" s="846"/>
    </row>
    <row r="985" ht="14.25" customHeight="1">
      <c r="A985" s="846"/>
      <c r="B985" s="846"/>
      <c r="C985" s="846"/>
      <c r="D985" s="847"/>
      <c r="E985" s="847"/>
      <c r="F985" s="846"/>
      <c r="G985" s="847"/>
      <c r="H985" s="868"/>
      <c r="I985" s="846"/>
      <c r="J985" s="846"/>
      <c r="K985" s="846"/>
      <c r="L985" s="846"/>
      <c r="M985" s="846"/>
      <c r="N985" s="847"/>
      <c r="O985" s="846"/>
      <c r="P985" s="846"/>
      <c r="Q985" s="846"/>
      <c r="R985" s="846"/>
      <c r="S985" s="846"/>
      <c r="T985" s="846"/>
      <c r="U985" s="846"/>
    </row>
    <row r="986" ht="14.25" customHeight="1">
      <c r="A986" s="846"/>
      <c r="B986" s="846"/>
      <c r="C986" s="846"/>
      <c r="D986" s="847"/>
      <c r="E986" s="847"/>
      <c r="F986" s="846"/>
      <c r="G986" s="847"/>
      <c r="H986" s="868"/>
      <c r="I986" s="846"/>
      <c r="J986" s="846"/>
      <c r="K986" s="846"/>
      <c r="L986" s="846"/>
      <c r="M986" s="846"/>
      <c r="N986" s="847"/>
      <c r="O986" s="846"/>
      <c r="P986" s="846"/>
      <c r="Q986" s="846"/>
      <c r="R986" s="846"/>
      <c r="S986" s="846"/>
      <c r="T986" s="846"/>
      <c r="U986" s="846"/>
    </row>
    <row r="987" ht="14.25" customHeight="1">
      <c r="A987" s="846"/>
      <c r="B987" s="846"/>
      <c r="C987" s="846"/>
      <c r="D987" s="847"/>
      <c r="E987" s="847"/>
      <c r="F987" s="846"/>
      <c r="G987" s="847"/>
      <c r="H987" s="868"/>
      <c r="I987" s="846"/>
      <c r="J987" s="846"/>
      <c r="K987" s="846"/>
      <c r="L987" s="846"/>
      <c r="M987" s="846"/>
      <c r="N987" s="847"/>
      <c r="O987" s="846"/>
      <c r="P987" s="846"/>
      <c r="Q987" s="846"/>
      <c r="R987" s="846"/>
      <c r="S987" s="846"/>
      <c r="T987" s="846"/>
      <c r="U987" s="846"/>
    </row>
    <row r="988" ht="14.25" customHeight="1">
      <c r="A988" s="846"/>
      <c r="B988" s="846"/>
      <c r="C988" s="846"/>
      <c r="D988" s="847"/>
      <c r="E988" s="847"/>
      <c r="F988" s="846"/>
      <c r="G988" s="847"/>
      <c r="H988" s="868"/>
      <c r="I988" s="846"/>
      <c r="J988" s="846"/>
      <c r="K988" s="846"/>
      <c r="L988" s="846"/>
      <c r="M988" s="846"/>
      <c r="N988" s="847"/>
      <c r="O988" s="846"/>
      <c r="P988" s="846"/>
      <c r="Q988" s="846"/>
      <c r="R988" s="846"/>
      <c r="S988" s="846"/>
      <c r="T988" s="846"/>
      <c r="U988" s="846"/>
    </row>
    <row r="989" ht="14.25" customHeight="1">
      <c r="A989" s="846"/>
      <c r="B989" s="846"/>
      <c r="C989" s="846"/>
      <c r="D989" s="847"/>
      <c r="E989" s="847"/>
      <c r="F989" s="846"/>
      <c r="G989" s="847"/>
      <c r="H989" s="868"/>
      <c r="I989" s="846"/>
      <c r="J989" s="846"/>
      <c r="K989" s="846"/>
      <c r="L989" s="846"/>
      <c r="M989" s="846"/>
      <c r="N989" s="847"/>
      <c r="O989" s="846"/>
      <c r="P989" s="846"/>
      <c r="Q989" s="846"/>
      <c r="R989" s="846"/>
      <c r="S989" s="846"/>
      <c r="T989" s="846"/>
      <c r="U989" s="846"/>
    </row>
    <row r="990" ht="14.25" customHeight="1">
      <c r="A990" s="846"/>
      <c r="B990" s="846"/>
      <c r="C990" s="846"/>
      <c r="D990" s="847"/>
      <c r="E990" s="847"/>
      <c r="F990" s="846"/>
      <c r="G990" s="847"/>
      <c r="H990" s="868"/>
      <c r="I990" s="846"/>
      <c r="J990" s="846"/>
      <c r="K990" s="846"/>
      <c r="L990" s="846"/>
      <c r="M990" s="846"/>
      <c r="N990" s="847"/>
      <c r="O990" s="846"/>
      <c r="P990" s="846"/>
      <c r="Q990" s="846"/>
      <c r="R990" s="846"/>
      <c r="S990" s="846"/>
      <c r="T990" s="846"/>
      <c r="U990" s="846"/>
    </row>
    <row r="991" ht="14.25" customHeight="1">
      <c r="A991" s="846"/>
      <c r="B991" s="846"/>
      <c r="C991" s="846"/>
      <c r="D991" s="847"/>
      <c r="E991" s="847"/>
      <c r="F991" s="846"/>
      <c r="G991" s="847"/>
      <c r="H991" s="868"/>
      <c r="I991" s="846"/>
      <c r="J991" s="846"/>
      <c r="K991" s="846"/>
      <c r="L991" s="846"/>
      <c r="M991" s="846"/>
      <c r="N991" s="847"/>
      <c r="O991" s="846"/>
      <c r="P991" s="846"/>
      <c r="Q991" s="846"/>
      <c r="R991" s="846"/>
      <c r="S991" s="846"/>
      <c r="T991" s="846"/>
      <c r="U991" s="846"/>
    </row>
    <row r="992" ht="14.25" customHeight="1">
      <c r="A992" s="846"/>
      <c r="B992" s="846"/>
      <c r="C992" s="846"/>
      <c r="D992" s="847"/>
      <c r="E992" s="847"/>
      <c r="F992" s="846"/>
      <c r="G992" s="847"/>
      <c r="H992" s="868"/>
      <c r="I992" s="846"/>
      <c r="J992" s="846"/>
      <c r="K992" s="846"/>
      <c r="L992" s="846"/>
      <c r="M992" s="846"/>
      <c r="N992" s="847"/>
      <c r="O992" s="846"/>
      <c r="P992" s="846"/>
      <c r="Q992" s="846"/>
      <c r="R992" s="846"/>
      <c r="S992" s="846"/>
      <c r="T992" s="846"/>
      <c r="U992" s="846"/>
    </row>
    <row r="993" ht="14.25" customHeight="1">
      <c r="A993" s="846"/>
      <c r="B993" s="846"/>
      <c r="C993" s="846"/>
      <c r="D993" s="847"/>
      <c r="E993" s="847"/>
      <c r="F993" s="846"/>
      <c r="G993" s="847"/>
      <c r="H993" s="868"/>
      <c r="I993" s="846"/>
      <c r="J993" s="846"/>
      <c r="K993" s="846"/>
      <c r="L993" s="846"/>
      <c r="M993" s="846"/>
      <c r="N993" s="847"/>
      <c r="O993" s="846"/>
      <c r="P993" s="846"/>
      <c r="Q993" s="846"/>
      <c r="R993" s="846"/>
      <c r="S993" s="846"/>
      <c r="T993" s="846"/>
      <c r="U993" s="846"/>
    </row>
    <row r="994" ht="14.25" customHeight="1">
      <c r="A994" s="846"/>
      <c r="B994" s="846"/>
      <c r="C994" s="846"/>
      <c r="D994" s="847"/>
      <c r="E994" s="847"/>
      <c r="F994" s="846"/>
      <c r="G994" s="847"/>
      <c r="H994" s="868"/>
      <c r="I994" s="846"/>
      <c r="J994" s="846"/>
      <c r="K994" s="846"/>
      <c r="L994" s="846"/>
      <c r="M994" s="846"/>
      <c r="N994" s="847"/>
      <c r="O994" s="846"/>
      <c r="P994" s="846"/>
      <c r="Q994" s="846"/>
      <c r="R994" s="846"/>
      <c r="S994" s="846"/>
      <c r="T994" s="846"/>
      <c r="U994" s="846"/>
    </row>
    <row r="995" ht="14.25" customHeight="1">
      <c r="A995" s="846"/>
      <c r="B995" s="846"/>
      <c r="C995" s="846"/>
      <c r="D995" s="847"/>
      <c r="E995" s="847"/>
      <c r="F995" s="846"/>
      <c r="G995" s="847"/>
      <c r="H995" s="868"/>
      <c r="I995" s="846"/>
      <c r="J995" s="846"/>
      <c r="K995" s="846"/>
      <c r="L995" s="846"/>
      <c r="M995" s="846"/>
      <c r="N995" s="847"/>
      <c r="O995" s="846"/>
      <c r="P995" s="846"/>
      <c r="Q995" s="846"/>
      <c r="R995" s="846"/>
      <c r="S995" s="846"/>
      <c r="T995" s="846"/>
      <c r="U995" s="846"/>
    </row>
    <row r="996" ht="14.25" customHeight="1">
      <c r="A996" s="846"/>
      <c r="B996" s="846"/>
      <c r="C996" s="846"/>
      <c r="D996" s="847"/>
      <c r="E996" s="847"/>
      <c r="F996" s="846"/>
      <c r="G996" s="847"/>
      <c r="H996" s="868"/>
      <c r="I996" s="846"/>
      <c r="J996" s="846"/>
      <c r="K996" s="846"/>
      <c r="L996" s="846"/>
      <c r="M996" s="846"/>
      <c r="N996" s="847"/>
      <c r="O996" s="846"/>
      <c r="P996" s="846"/>
      <c r="Q996" s="846"/>
      <c r="R996" s="846"/>
      <c r="S996" s="846"/>
      <c r="T996" s="846"/>
      <c r="U996" s="846"/>
    </row>
    <row r="997" ht="14.25" customHeight="1">
      <c r="A997" s="846"/>
      <c r="B997" s="846"/>
      <c r="C997" s="846"/>
      <c r="D997" s="847"/>
      <c r="E997" s="847"/>
      <c r="F997" s="846"/>
      <c r="G997" s="847"/>
      <c r="H997" s="868"/>
      <c r="I997" s="846"/>
      <c r="J997" s="846"/>
      <c r="K997" s="846"/>
      <c r="L997" s="846"/>
      <c r="M997" s="846"/>
      <c r="N997" s="847"/>
      <c r="O997" s="846"/>
      <c r="P997" s="846"/>
      <c r="Q997" s="846"/>
      <c r="R997" s="846"/>
      <c r="S997" s="846"/>
      <c r="T997" s="846"/>
      <c r="U997" s="846"/>
    </row>
    <row r="998" ht="14.25" customHeight="1">
      <c r="A998" s="846"/>
      <c r="B998" s="846"/>
      <c r="C998" s="846"/>
      <c r="D998" s="847"/>
      <c r="E998" s="847"/>
      <c r="F998" s="846"/>
      <c r="G998" s="847"/>
      <c r="H998" s="868"/>
      <c r="I998" s="846"/>
      <c r="J998" s="846"/>
      <c r="K998" s="846"/>
      <c r="L998" s="846"/>
      <c r="M998" s="846"/>
      <c r="N998" s="847"/>
      <c r="O998" s="846"/>
      <c r="P998" s="846"/>
      <c r="Q998" s="846"/>
      <c r="R998" s="846"/>
      <c r="S998" s="846"/>
      <c r="T998" s="846"/>
      <c r="U998" s="846"/>
    </row>
    <row r="999" ht="14.25" customHeight="1">
      <c r="A999" s="846"/>
      <c r="B999" s="846"/>
      <c r="C999" s="846"/>
      <c r="D999" s="847"/>
      <c r="E999" s="847"/>
      <c r="F999" s="846"/>
      <c r="G999" s="847"/>
      <c r="H999" s="868"/>
      <c r="I999" s="846"/>
      <c r="J999" s="846"/>
      <c r="K999" s="846"/>
      <c r="L999" s="846"/>
      <c r="M999" s="846"/>
      <c r="N999" s="847"/>
      <c r="O999" s="846"/>
      <c r="P999" s="846"/>
      <c r="Q999" s="846"/>
      <c r="R999" s="846"/>
      <c r="S999" s="846"/>
      <c r="T999" s="846"/>
      <c r="U999" s="846"/>
    </row>
    <row r="1000" ht="14.25" customHeight="1">
      <c r="A1000" s="846"/>
      <c r="B1000" s="846"/>
      <c r="C1000" s="846"/>
      <c r="D1000" s="847"/>
      <c r="E1000" s="847"/>
      <c r="F1000" s="846"/>
      <c r="G1000" s="847"/>
      <c r="H1000" s="868"/>
      <c r="I1000" s="846"/>
      <c r="J1000" s="846"/>
      <c r="K1000" s="846"/>
      <c r="L1000" s="846"/>
      <c r="M1000" s="846"/>
      <c r="N1000" s="847"/>
      <c r="O1000" s="846"/>
      <c r="P1000" s="846"/>
      <c r="Q1000" s="846"/>
      <c r="R1000" s="846"/>
      <c r="S1000" s="846"/>
      <c r="T1000" s="846"/>
      <c r="U1000" s="846"/>
    </row>
    <row r="1001" ht="14.25" customHeight="1">
      <c r="A1001" s="846"/>
      <c r="B1001" s="846"/>
      <c r="C1001" s="846"/>
      <c r="D1001" s="847"/>
      <c r="E1001" s="847"/>
      <c r="F1001" s="846"/>
      <c r="G1001" s="847"/>
      <c r="H1001" s="868"/>
      <c r="I1001" s="846"/>
      <c r="J1001" s="846"/>
      <c r="K1001" s="846"/>
      <c r="L1001" s="846"/>
      <c r="M1001" s="846"/>
      <c r="N1001" s="847"/>
      <c r="O1001" s="846"/>
      <c r="P1001" s="846"/>
      <c r="Q1001" s="846"/>
      <c r="R1001" s="846"/>
      <c r="S1001" s="846"/>
      <c r="T1001" s="846"/>
      <c r="U1001" s="846"/>
    </row>
    <row r="1002" ht="14.25" customHeight="1">
      <c r="A1002" s="846"/>
      <c r="B1002" s="846"/>
      <c r="C1002" s="846"/>
      <c r="D1002" s="847"/>
      <c r="E1002" s="847"/>
      <c r="F1002" s="846"/>
      <c r="G1002" s="847"/>
      <c r="H1002" s="868"/>
      <c r="I1002" s="846"/>
      <c r="J1002" s="846"/>
      <c r="K1002" s="846"/>
      <c r="L1002" s="846"/>
      <c r="M1002" s="846"/>
      <c r="N1002" s="847"/>
      <c r="O1002" s="846"/>
      <c r="P1002" s="846"/>
      <c r="Q1002" s="846"/>
      <c r="R1002" s="846"/>
      <c r="S1002" s="846"/>
      <c r="T1002" s="846"/>
      <c r="U1002" s="846"/>
    </row>
    <row r="1003" ht="14.25" customHeight="1">
      <c r="A1003" s="846"/>
      <c r="B1003" s="846"/>
      <c r="C1003" s="846"/>
      <c r="D1003" s="847"/>
      <c r="E1003" s="847"/>
      <c r="F1003" s="846"/>
      <c r="G1003" s="847"/>
      <c r="H1003" s="868"/>
      <c r="I1003" s="846"/>
      <c r="J1003" s="846"/>
      <c r="K1003" s="846"/>
      <c r="L1003" s="846"/>
      <c r="M1003" s="846"/>
      <c r="N1003" s="847"/>
      <c r="O1003" s="846"/>
      <c r="P1003" s="846"/>
      <c r="Q1003" s="846"/>
      <c r="R1003" s="846"/>
      <c r="S1003" s="846"/>
      <c r="T1003" s="846"/>
      <c r="U1003" s="846"/>
    </row>
    <row r="1004" ht="14.25" customHeight="1">
      <c r="A1004" s="846"/>
      <c r="B1004" s="846"/>
      <c r="C1004" s="846"/>
      <c r="D1004" s="847"/>
      <c r="E1004" s="847"/>
      <c r="F1004" s="846"/>
      <c r="G1004" s="847"/>
      <c r="H1004" s="868"/>
      <c r="I1004" s="846"/>
      <c r="J1004" s="846"/>
      <c r="K1004" s="846"/>
      <c r="L1004" s="846"/>
      <c r="M1004" s="846"/>
      <c r="N1004" s="847"/>
      <c r="O1004" s="846"/>
      <c r="P1004" s="846"/>
      <c r="Q1004" s="846"/>
      <c r="R1004" s="846"/>
      <c r="S1004" s="846"/>
      <c r="T1004" s="846"/>
      <c r="U1004" s="846"/>
    </row>
    <row r="1005" ht="14.25" customHeight="1">
      <c r="A1005" s="846"/>
      <c r="B1005" s="846"/>
      <c r="C1005" s="846"/>
      <c r="D1005" s="847"/>
      <c r="E1005" s="847"/>
      <c r="F1005" s="846"/>
      <c r="G1005" s="847"/>
      <c r="H1005" s="868"/>
      <c r="I1005" s="846"/>
      <c r="J1005" s="846"/>
      <c r="K1005" s="846"/>
      <c r="L1005" s="846"/>
      <c r="M1005" s="846"/>
      <c r="N1005" s="847"/>
      <c r="O1005" s="846"/>
      <c r="P1005" s="846"/>
      <c r="Q1005" s="846"/>
      <c r="R1005" s="846"/>
      <c r="S1005" s="846"/>
      <c r="T1005" s="846"/>
      <c r="U1005" s="846"/>
    </row>
    <row r="1006" ht="14.25" customHeight="1">
      <c r="A1006" s="846"/>
      <c r="B1006" s="846"/>
      <c r="C1006" s="846"/>
      <c r="D1006" s="847"/>
      <c r="E1006" s="847"/>
      <c r="F1006" s="846"/>
      <c r="G1006" s="847"/>
      <c r="H1006" s="868"/>
      <c r="I1006" s="846"/>
      <c r="J1006" s="846"/>
      <c r="K1006" s="846"/>
      <c r="L1006" s="846"/>
      <c r="M1006" s="846"/>
      <c r="N1006" s="847"/>
      <c r="O1006" s="846"/>
      <c r="P1006" s="846"/>
      <c r="Q1006" s="846"/>
      <c r="R1006" s="846"/>
      <c r="S1006" s="846"/>
      <c r="T1006" s="846"/>
      <c r="U1006" s="846"/>
    </row>
    <row r="1007" ht="14.25" customHeight="1">
      <c r="A1007" s="846"/>
      <c r="B1007" s="846"/>
      <c r="C1007" s="846"/>
      <c r="D1007" s="847"/>
      <c r="E1007" s="847"/>
      <c r="F1007" s="846"/>
      <c r="G1007" s="847"/>
      <c r="H1007" s="868"/>
      <c r="I1007" s="846"/>
      <c r="J1007" s="846"/>
      <c r="K1007" s="846"/>
      <c r="L1007" s="846"/>
      <c r="M1007" s="846"/>
      <c r="N1007" s="847"/>
      <c r="O1007" s="846"/>
      <c r="P1007" s="846"/>
      <c r="Q1007" s="846"/>
      <c r="R1007" s="846"/>
      <c r="S1007" s="846"/>
      <c r="T1007" s="846"/>
      <c r="U1007" s="846"/>
    </row>
    <row r="1008" ht="14.25" customHeight="1">
      <c r="A1008" s="846"/>
      <c r="B1008" s="846"/>
      <c r="C1008" s="846"/>
      <c r="D1008" s="847"/>
      <c r="E1008" s="847"/>
      <c r="F1008" s="846"/>
      <c r="G1008" s="847"/>
      <c r="H1008" s="868"/>
      <c r="I1008" s="846"/>
      <c r="J1008" s="846"/>
      <c r="K1008" s="846"/>
      <c r="L1008" s="846"/>
      <c r="M1008" s="846"/>
      <c r="N1008" s="847"/>
      <c r="O1008" s="846"/>
      <c r="P1008" s="846"/>
      <c r="Q1008" s="846"/>
      <c r="R1008" s="846"/>
      <c r="S1008" s="846"/>
      <c r="T1008" s="846"/>
      <c r="U1008" s="846"/>
    </row>
    <row r="1009" ht="14.25" customHeight="1">
      <c r="A1009" s="846"/>
      <c r="B1009" s="846"/>
      <c r="C1009" s="846"/>
      <c r="D1009" s="847"/>
      <c r="E1009" s="847"/>
      <c r="F1009" s="846"/>
      <c r="G1009" s="847"/>
      <c r="H1009" s="868"/>
      <c r="I1009" s="846"/>
      <c r="J1009" s="846"/>
      <c r="K1009" s="846"/>
      <c r="L1009" s="846"/>
      <c r="M1009" s="846"/>
      <c r="N1009" s="847"/>
      <c r="O1009" s="846"/>
      <c r="P1009" s="846"/>
      <c r="Q1009" s="846"/>
      <c r="R1009" s="846"/>
      <c r="S1009" s="846"/>
      <c r="T1009" s="846"/>
      <c r="U1009" s="846"/>
    </row>
    <row r="1010" ht="14.25" customHeight="1">
      <c r="A1010" s="846"/>
      <c r="B1010" s="846"/>
      <c r="C1010" s="846"/>
      <c r="D1010" s="847"/>
      <c r="E1010" s="847"/>
      <c r="F1010" s="846"/>
      <c r="G1010" s="847"/>
      <c r="H1010" s="868"/>
      <c r="I1010" s="846"/>
      <c r="J1010" s="846"/>
      <c r="K1010" s="846"/>
      <c r="L1010" s="846"/>
      <c r="M1010" s="846"/>
      <c r="N1010" s="847"/>
      <c r="O1010" s="846"/>
      <c r="P1010" s="846"/>
      <c r="Q1010" s="846"/>
      <c r="R1010" s="846"/>
      <c r="S1010" s="846"/>
      <c r="T1010" s="846"/>
      <c r="U1010" s="846"/>
    </row>
    <row r="1011" ht="14.25" customHeight="1">
      <c r="A1011" s="846"/>
      <c r="B1011" s="846"/>
      <c r="C1011" s="846"/>
      <c r="D1011" s="847"/>
      <c r="E1011" s="847"/>
      <c r="F1011" s="846"/>
      <c r="G1011" s="847"/>
      <c r="H1011" s="868"/>
      <c r="I1011" s="846"/>
      <c r="J1011" s="846"/>
      <c r="K1011" s="846"/>
      <c r="L1011" s="846"/>
      <c r="M1011" s="846"/>
      <c r="N1011" s="847"/>
      <c r="O1011" s="846"/>
      <c r="P1011" s="846"/>
      <c r="Q1011" s="846"/>
      <c r="R1011" s="846"/>
      <c r="S1011" s="846"/>
      <c r="T1011" s="846"/>
      <c r="U1011" s="846"/>
    </row>
    <row r="1012" ht="14.25" customHeight="1">
      <c r="A1012" s="846"/>
      <c r="B1012" s="846"/>
      <c r="C1012" s="846"/>
      <c r="D1012" s="847"/>
      <c r="E1012" s="847"/>
      <c r="F1012" s="846"/>
      <c r="G1012" s="847"/>
      <c r="H1012" s="868"/>
      <c r="I1012" s="846"/>
      <c r="J1012" s="846"/>
      <c r="K1012" s="846"/>
      <c r="L1012" s="846"/>
      <c r="M1012" s="846"/>
      <c r="N1012" s="847"/>
      <c r="O1012" s="846"/>
      <c r="P1012" s="846"/>
      <c r="Q1012" s="846"/>
      <c r="R1012" s="846"/>
      <c r="S1012" s="846"/>
      <c r="T1012" s="846"/>
      <c r="U1012" s="846"/>
    </row>
    <row r="1013" ht="14.25" customHeight="1">
      <c r="A1013" s="846"/>
      <c r="B1013" s="846"/>
      <c r="C1013" s="846"/>
      <c r="D1013" s="847"/>
      <c r="E1013" s="847"/>
      <c r="F1013" s="846"/>
      <c r="G1013" s="847"/>
      <c r="H1013" s="868"/>
      <c r="I1013" s="846"/>
      <c r="J1013" s="846"/>
      <c r="K1013" s="846"/>
      <c r="L1013" s="846"/>
      <c r="M1013" s="846"/>
      <c r="N1013" s="847"/>
      <c r="O1013" s="846"/>
      <c r="P1013" s="846"/>
      <c r="Q1013" s="846"/>
      <c r="R1013" s="846"/>
      <c r="S1013" s="846"/>
      <c r="T1013" s="846"/>
      <c r="U1013" s="846"/>
    </row>
    <row r="1014" ht="14.25" customHeight="1">
      <c r="A1014" s="846"/>
      <c r="B1014" s="846"/>
      <c r="C1014" s="846"/>
      <c r="D1014" s="847"/>
      <c r="E1014" s="847"/>
      <c r="F1014" s="846"/>
      <c r="G1014" s="847"/>
      <c r="H1014" s="868"/>
      <c r="I1014" s="846"/>
      <c r="J1014" s="846"/>
      <c r="K1014" s="846"/>
      <c r="L1014" s="846"/>
      <c r="M1014" s="846"/>
      <c r="N1014" s="847"/>
      <c r="O1014" s="846"/>
      <c r="P1014" s="846"/>
      <c r="Q1014" s="846"/>
      <c r="R1014" s="846"/>
      <c r="S1014" s="846"/>
      <c r="T1014" s="846"/>
      <c r="U1014" s="846"/>
    </row>
    <row r="1015" ht="14.25" customHeight="1">
      <c r="A1015" s="846"/>
      <c r="B1015" s="846"/>
      <c r="C1015" s="846"/>
      <c r="D1015" s="847"/>
      <c r="E1015" s="847"/>
      <c r="F1015" s="846"/>
      <c r="G1015" s="847"/>
      <c r="H1015" s="868"/>
      <c r="I1015" s="846"/>
      <c r="J1015" s="846"/>
      <c r="K1015" s="846"/>
      <c r="L1015" s="846"/>
      <c r="M1015" s="846"/>
      <c r="N1015" s="847"/>
      <c r="O1015" s="846"/>
      <c r="P1015" s="846"/>
      <c r="Q1015" s="846"/>
      <c r="R1015" s="846"/>
      <c r="S1015" s="846"/>
      <c r="T1015" s="846"/>
      <c r="U1015" s="846"/>
    </row>
    <row r="1016" ht="14.25" customHeight="1">
      <c r="A1016" s="846"/>
      <c r="B1016" s="846"/>
      <c r="C1016" s="846"/>
      <c r="D1016" s="847"/>
      <c r="E1016" s="847"/>
      <c r="F1016" s="846"/>
      <c r="G1016" s="847"/>
      <c r="H1016" s="868"/>
      <c r="I1016" s="846"/>
      <c r="J1016" s="846"/>
      <c r="K1016" s="846"/>
      <c r="L1016" s="846"/>
      <c r="M1016" s="846"/>
      <c r="N1016" s="847"/>
      <c r="O1016" s="846"/>
      <c r="P1016" s="846"/>
      <c r="Q1016" s="846"/>
      <c r="R1016" s="846"/>
      <c r="S1016" s="846"/>
      <c r="T1016" s="846"/>
      <c r="U1016" s="846"/>
    </row>
    <row r="1017" ht="14.25" customHeight="1">
      <c r="A1017" s="846"/>
      <c r="B1017" s="846"/>
      <c r="C1017" s="846"/>
      <c r="D1017" s="847"/>
      <c r="E1017" s="847"/>
      <c r="F1017" s="846"/>
      <c r="G1017" s="847"/>
      <c r="H1017" s="868"/>
      <c r="I1017" s="846"/>
      <c r="J1017" s="846"/>
      <c r="K1017" s="846"/>
      <c r="L1017" s="846"/>
      <c r="M1017" s="846"/>
      <c r="N1017" s="847"/>
      <c r="O1017" s="846"/>
      <c r="P1017" s="846"/>
      <c r="Q1017" s="846"/>
      <c r="R1017" s="846"/>
      <c r="S1017" s="846"/>
      <c r="T1017" s="846"/>
      <c r="U1017" s="846"/>
    </row>
    <row r="1018" ht="14.25" customHeight="1">
      <c r="A1018" s="846"/>
      <c r="B1018" s="846"/>
      <c r="C1018" s="846"/>
      <c r="D1018" s="847"/>
      <c r="E1018" s="847"/>
      <c r="F1018" s="846"/>
      <c r="G1018" s="847"/>
      <c r="H1018" s="868"/>
      <c r="I1018" s="846"/>
      <c r="J1018" s="846"/>
      <c r="K1018" s="846"/>
      <c r="L1018" s="846"/>
      <c r="M1018" s="846"/>
      <c r="N1018" s="847"/>
      <c r="O1018" s="846"/>
      <c r="P1018" s="846"/>
      <c r="Q1018" s="846"/>
      <c r="R1018" s="846"/>
      <c r="S1018" s="846"/>
      <c r="T1018" s="846"/>
      <c r="U1018" s="846"/>
    </row>
    <row r="1019" ht="14.25" customHeight="1">
      <c r="A1019" s="846"/>
      <c r="B1019" s="846"/>
      <c r="C1019" s="846"/>
      <c r="D1019" s="847"/>
      <c r="E1019" s="847"/>
      <c r="F1019" s="846"/>
      <c r="G1019" s="847"/>
      <c r="H1019" s="868"/>
      <c r="I1019" s="846"/>
      <c r="J1019" s="846"/>
      <c r="K1019" s="846"/>
      <c r="L1019" s="846"/>
      <c r="M1019" s="846"/>
      <c r="N1019" s="847"/>
      <c r="O1019" s="846"/>
      <c r="P1019" s="846"/>
      <c r="Q1019" s="846"/>
      <c r="R1019" s="846"/>
      <c r="S1019" s="846"/>
      <c r="T1019" s="846"/>
      <c r="U1019" s="846"/>
    </row>
    <row r="1020" ht="14.25" customHeight="1">
      <c r="A1020" s="846"/>
      <c r="B1020" s="846"/>
      <c r="C1020" s="846"/>
      <c r="D1020" s="847"/>
      <c r="E1020" s="847"/>
      <c r="F1020" s="846"/>
      <c r="G1020" s="847"/>
      <c r="H1020" s="868"/>
      <c r="I1020" s="846"/>
      <c r="J1020" s="846"/>
      <c r="K1020" s="846"/>
      <c r="L1020" s="846"/>
      <c r="M1020" s="846"/>
      <c r="N1020" s="847"/>
      <c r="O1020" s="846"/>
      <c r="P1020" s="846"/>
      <c r="Q1020" s="846"/>
      <c r="R1020" s="846"/>
      <c r="S1020" s="846"/>
      <c r="T1020" s="846"/>
      <c r="U1020" s="846"/>
    </row>
    <row r="1021" ht="14.25" customHeight="1">
      <c r="A1021" s="846"/>
      <c r="B1021" s="846"/>
      <c r="C1021" s="846"/>
      <c r="D1021" s="847"/>
      <c r="E1021" s="847"/>
      <c r="F1021" s="846"/>
      <c r="G1021" s="847"/>
      <c r="H1021" s="868"/>
      <c r="I1021" s="846"/>
      <c r="J1021" s="846"/>
      <c r="K1021" s="846"/>
      <c r="L1021" s="846"/>
      <c r="M1021" s="846"/>
      <c r="N1021" s="847"/>
      <c r="O1021" s="846"/>
      <c r="P1021" s="846"/>
      <c r="Q1021" s="846"/>
      <c r="R1021" s="846"/>
      <c r="S1021" s="846"/>
      <c r="T1021" s="846"/>
      <c r="U1021" s="846"/>
    </row>
    <row r="1022" ht="14.25" customHeight="1">
      <c r="A1022" s="846"/>
      <c r="B1022" s="846"/>
      <c r="C1022" s="846"/>
      <c r="D1022" s="847"/>
      <c r="E1022" s="847"/>
      <c r="F1022" s="846"/>
      <c r="G1022" s="847"/>
      <c r="H1022" s="868"/>
      <c r="I1022" s="846"/>
      <c r="J1022" s="846"/>
      <c r="K1022" s="846"/>
      <c r="L1022" s="846"/>
      <c r="M1022" s="846"/>
      <c r="N1022" s="847"/>
      <c r="O1022" s="846"/>
      <c r="P1022" s="846"/>
      <c r="Q1022" s="846"/>
      <c r="R1022" s="846"/>
      <c r="S1022" s="846"/>
      <c r="T1022" s="846"/>
      <c r="U1022" s="846"/>
    </row>
    <row r="1023" ht="14.25" customHeight="1">
      <c r="A1023" s="846"/>
      <c r="B1023" s="846"/>
      <c r="C1023" s="846"/>
      <c r="D1023" s="847"/>
      <c r="E1023" s="847"/>
      <c r="F1023" s="846"/>
      <c r="G1023" s="847"/>
      <c r="H1023" s="868"/>
      <c r="I1023" s="846"/>
      <c r="J1023" s="846"/>
      <c r="K1023" s="846"/>
      <c r="L1023" s="846"/>
      <c r="M1023" s="846"/>
      <c r="N1023" s="847"/>
      <c r="O1023" s="846"/>
      <c r="P1023" s="846"/>
      <c r="Q1023" s="846"/>
      <c r="R1023" s="846"/>
      <c r="S1023" s="846"/>
      <c r="T1023" s="846"/>
      <c r="U1023" s="846"/>
    </row>
    <row r="1024" ht="14.25" customHeight="1">
      <c r="A1024" s="846"/>
      <c r="B1024" s="846"/>
      <c r="C1024" s="846"/>
      <c r="D1024" s="847"/>
      <c r="E1024" s="847"/>
      <c r="F1024" s="846"/>
      <c r="G1024" s="847"/>
      <c r="H1024" s="868"/>
      <c r="I1024" s="846"/>
      <c r="J1024" s="846"/>
      <c r="K1024" s="846"/>
      <c r="L1024" s="846"/>
      <c r="M1024" s="846"/>
      <c r="N1024" s="847"/>
      <c r="O1024" s="846"/>
      <c r="P1024" s="846"/>
      <c r="Q1024" s="846"/>
      <c r="R1024" s="846"/>
      <c r="S1024" s="846"/>
      <c r="T1024" s="846"/>
      <c r="U1024" s="846"/>
    </row>
    <row r="1025" ht="14.25" customHeight="1">
      <c r="A1025" s="846"/>
      <c r="B1025" s="846"/>
      <c r="C1025" s="846"/>
      <c r="D1025" s="847"/>
      <c r="E1025" s="847"/>
      <c r="F1025" s="846"/>
      <c r="G1025" s="847"/>
      <c r="H1025" s="868"/>
      <c r="I1025" s="846"/>
      <c r="J1025" s="846"/>
      <c r="K1025" s="846"/>
      <c r="L1025" s="846"/>
      <c r="M1025" s="846"/>
      <c r="N1025" s="847"/>
      <c r="O1025" s="846"/>
      <c r="P1025" s="846"/>
      <c r="Q1025" s="846"/>
      <c r="R1025" s="846"/>
      <c r="S1025" s="846"/>
      <c r="T1025" s="846"/>
      <c r="U1025" s="846"/>
    </row>
    <row r="1026" ht="14.25" customHeight="1">
      <c r="A1026" s="846"/>
      <c r="B1026" s="846"/>
      <c r="C1026" s="846"/>
      <c r="D1026" s="847"/>
      <c r="E1026" s="847"/>
      <c r="F1026" s="846"/>
      <c r="G1026" s="847"/>
      <c r="H1026" s="868"/>
      <c r="I1026" s="846"/>
      <c r="J1026" s="846"/>
      <c r="K1026" s="846"/>
      <c r="L1026" s="846"/>
      <c r="M1026" s="846"/>
      <c r="N1026" s="847"/>
      <c r="O1026" s="846"/>
      <c r="P1026" s="846"/>
      <c r="Q1026" s="846"/>
      <c r="R1026" s="846"/>
      <c r="S1026" s="846"/>
      <c r="T1026" s="846"/>
      <c r="U1026" s="846"/>
    </row>
    <row r="1027" ht="14.25" customHeight="1">
      <c r="A1027" s="846"/>
      <c r="B1027" s="846"/>
      <c r="C1027" s="846"/>
      <c r="D1027" s="847"/>
      <c r="E1027" s="847"/>
      <c r="F1027" s="846"/>
      <c r="G1027" s="847"/>
      <c r="H1027" s="868"/>
      <c r="I1027" s="846"/>
      <c r="J1027" s="846"/>
      <c r="K1027" s="846"/>
      <c r="L1027" s="846"/>
      <c r="M1027" s="846"/>
      <c r="N1027" s="847"/>
      <c r="O1027" s="846"/>
      <c r="P1027" s="846"/>
      <c r="Q1027" s="846"/>
      <c r="R1027" s="846"/>
      <c r="S1027" s="846"/>
      <c r="T1027" s="846"/>
      <c r="U1027" s="846"/>
    </row>
    <row r="1028" ht="14.25" customHeight="1">
      <c r="A1028" s="846"/>
      <c r="B1028" s="846"/>
      <c r="C1028" s="846"/>
      <c r="D1028" s="847"/>
      <c r="E1028" s="847"/>
      <c r="F1028" s="846"/>
      <c r="G1028" s="847"/>
      <c r="H1028" s="868"/>
      <c r="I1028" s="846"/>
      <c r="J1028" s="846"/>
      <c r="K1028" s="846"/>
      <c r="L1028" s="846"/>
      <c r="M1028" s="846"/>
      <c r="N1028" s="847"/>
      <c r="O1028" s="846"/>
      <c r="P1028" s="846"/>
      <c r="Q1028" s="846"/>
      <c r="R1028" s="846"/>
      <c r="S1028" s="846"/>
      <c r="T1028" s="846"/>
      <c r="U1028" s="846"/>
    </row>
    <row r="1029" ht="14.25" customHeight="1">
      <c r="A1029" s="846"/>
      <c r="B1029" s="846"/>
      <c r="C1029" s="846"/>
      <c r="D1029" s="847"/>
      <c r="E1029" s="847"/>
      <c r="F1029" s="846"/>
      <c r="G1029" s="847"/>
      <c r="H1029" s="846"/>
      <c r="I1029" s="846"/>
      <c r="J1029" s="846"/>
      <c r="K1029" s="846"/>
      <c r="L1029" s="846"/>
      <c r="M1029" s="846"/>
      <c r="N1029" s="847"/>
      <c r="O1029" s="846"/>
      <c r="P1029" s="846"/>
      <c r="Q1029" s="846"/>
      <c r="R1029" s="846"/>
      <c r="S1029" s="846"/>
      <c r="T1029" s="846"/>
      <c r="U1029" s="846"/>
    </row>
    <row r="1030" ht="14.25" customHeight="1">
      <c r="A1030" s="846"/>
      <c r="B1030" s="846"/>
      <c r="C1030" s="846"/>
      <c r="D1030" s="847"/>
      <c r="E1030" s="847"/>
      <c r="F1030" s="846"/>
      <c r="G1030" s="847"/>
      <c r="H1030" s="846"/>
      <c r="I1030" s="846"/>
      <c r="J1030" s="846"/>
      <c r="K1030" s="846"/>
      <c r="L1030" s="846"/>
      <c r="M1030" s="846"/>
      <c r="N1030" s="847"/>
      <c r="O1030" s="846"/>
      <c r="P1030" s="846"/>
      <c r="Q1030" s="846"/>
      <c r="R1030" s="846"/>
      <c r="S1030" s="846"/>
      <c r="T1030" s="846"/>
      <c r="U1030" s="846"/>
    </row>
    <row r="1031" ht="14.25" customHeight="1">
      <c r="A1031" s="846"/>
      <c r="B1031" s="846"/>
      <c r="C1031" s="846"/>
      <c r="D1031" s="847"/>
      <c r="E1031" s="847"/>
      <c r="F1031" s="846"/>
      <c r="G1031" s="847"/>
      <c r="H1031" s="846"/>
      <c r="I1031" s="846"/>
      <c r="J1031" s="846"/>
      <c r="K1031" s="846"/>
      <c r="L1031" s="846"/>
      <c r="M1031" s="846"/>
      <c r="N1031" s="847"/>
      <c r="O1031" s="846"/>
      <c r="P1031" s="846"/>
      <c r="Q1031" s="846"/>
      <c r="R1031" s="846"/>
      <c r="S1031" s="846"/>
      <c r="T1031" s="846"/>
      <c r="U1031" s="846"/>
    </row>
    <row r="1032" ht="14.25" customHeight="1">
      <c r="A1032" s="846"/>
      <c r="B1032" s="846"/>
      <c r="C1032" s="846"/>
      <c r="D1032" s="847"/>
      <c r="E1032" s="847"/>
      <c r="F1032" s="846"/>
      <c r="G1032" s="847"/>
      <c r="H1032" s="846"/>
      <c r="I1032" s="846"/>
      <c r="J1032" s="846"/>
      <c r="K1032" s="846"/>
      <c r="L1032" s="846"/>
      <c r="M1032" s="846"/>
      <c r="N1032" s="847"/>
      <c r="O1032" s="846"/>
      <c r="P1032" s="846"/>
      <c r="Q1032" s="846"/>
      <c r="R1032" s="846"/>
      <c r="S1032" s="846"/>
      <c r="T1032" s="846"/>
      <c r="U1032" s="846"/>
    </row>
    <row r="1033" ht="14.25" customHeight="1">
      <c r="A1033" s="846"/>
      <c r="B1033" s="846"/>
      <c r="C1033" s="846"/>
      <c r="D1033" s="847"/>
      <c r="E1033" s="847"/>
      <c r="F1033" s="846"/>
      <c r="G1033" s="847"/>
      <c r="H1033" s="846"/>
      <c r="I1033" s="846"/>
      <c r="J1033" s="846"/>
      <c r="K1033" s="846"/>
      <c r="L1033" s="846"/>
      <c r="M1033" s="846"/>
      <c r="N1033" s="847"/>
      <c r="O1033" s="846"/>
      <c r="P1033" s="846"/>
      <c r="Q1033" s="846"/>
      <c r="R1033" s="846"/>
      <c r="S1033" s="846"/>
      <c r="T1033" s="846"/>
      <c r="U1033" s="846"/>
    </row>
    <row r="1034" ht="14.25" customHeight="1">
      <c r="A1034" s="846"/>
      <c r="B1034" s="846"/>
      <c r="C1034" s="846"/>
      <c r="D1034" s="847"/>
      <c r="E1034" s="847"/>
      <c r="F1034" s="846"/>
      <c r="G1034" s="847"/>
      <c r="H1034" s="846"/>
      <c r="I1034" s="846"/>
      <c r="J1034" s="846"/>
      <c r="K1034" s="846"/>
      <c r="L1034" s="846"/>
      <c r="M1034" s="846"/>
      <c r="N1034" s="847"/>
      <c r="O1034" s="846"/>
      <c r="P1034" s="846"/>
      <c r="Q1034" s="846"/>
      <c r="R1034" s="846"/>
      <c r="S1034" s="846"/>
      <c r="T1034" s="846"/>
      <c r="U1034" s="846"/>
    </row>
    <row r="1035" ht="14.25" customHeight="1">
      <c r="A1035" s="846"/>
      <c r="B1035" s="846"/>
      <c r="C1035" s="846"/>
      <c r="D1035" s="847"/>
      <c r="E1035" s="847"/>
      <c r="F1035" s="846"/>
      <c r="G1035" s="847"/>
      <c r="H1035" s="846"/>
      <c r="I1035" s="846"/>
      <c r="J1035" s="846"/>
      <c r="K1035" s="846"/>
      <c r="L1035" s="846"/>
      <c r="M1035" s="846"/>
      <c r="N1035" s="847"/>
      <c r="O1035" s="846"/>
      <c r="P1035" s="846"/>
      <c r="Q1035" s="846"/>
      <c r="R1035" s="846"/>
      <c r="S1035" s="846"/>
      <c r="T1035" s="846"/>
      <c r="U1035" s="846"/>
    </row>
    <row r="1036" ht="14.25" customHeight="1">
      <c r="A1036" s="846"/>
      <c r="B1036" s="846"/>
      <c r="C1036" s="846"/>
      <c r="D1036" s="847"/>
      <c r="E1036" s="847"/>
      <c r="F1036" s="846"/>
      <c r="G1036" s="847"/>
      <c r="H1036" s="846"/>
      <c r="I1036" s="846"/>
      <c r="J1036" s="846"/>
      <c r="K1036" s="846"/>
      <c r="L1036" s="846"/>
      <c r="M1036" s="846"/>
      <c r="N1036" s="847"/>
      <c r="O1036" s="846"/>
      <c r="P1036" s="846"/>
      <c r="Q1036" s="846"/>
      <c r="R1036" s="846"/>
      <c r="S1036" s="846"/>
      <c r="T1036" s="846"/>
      <c r="U1036" s="846"/>
    </row>
    <row r="1037" ht="14.25" customHeight="1">
      <c r="A1037" s="846"/>
      <c r="B1037" s="846"/>
      <c r="C1037" s="846"/>
      <c r="D1037" s="847"/>
      <c r="E1037" s="847"/>
      <c r="F1037" s="846"/>
      <c r="G1037" s="847"/>
      <c r="H1037" s="846"/>
      <c r="I1037" s="846"/>
      <c r="J1037" s="846"/>
      <c r="K1037" s="846"/>
      <c r="L1037" s="846"/>
      <c r="M1037" s="846"/>
      <c r="N1037" s="847"/>
      <c r="O1037" s="846"/>
      <c r="P1037" s="846"/>
      <c r="Q1037" s="846"/>
      <c r="R1037" s="846"/>
      <c r="S1037" s="846"/>
      <c r="T1037" s="846"/>
      <c r="U1037" s="846"/>
    </row>
    <row r="1038" ht="14.25" customHeight="1">
      <c r="A1038" s="846"/>
      <c r="B1038" s="846"/>
      <c r="C1038" s="846"/>
      <c r="D1038" s="847"/>
      <c r="E1038" s="847"/>
      <c r="F1038" s="846"/>
      <c r="G1038" s="847"/>
      <c r="H1038" s="846"/>
      <c r="I1038" s="846"/>
      <c r="J1038" s="846"/>
      <c r="K1038" s="846"/>
      <c r="L1038" s="846"/>
      <c r="M1038" s="846"/>
      <c r="N1038" s="847"/>
      <c r="O1038" s="846"/>
      <c r="P1038" s="846"/>
      <c r="Q1038" s="846"/>
      <c r="R1038" s="846"/>
      <c r="S1038" s="846"/>
      <c r="T1038" s="846"/>
      <c r="U1038" s="846"/>
    </row>
    <row r="1039" ht="14.25" customHeight="1">
      <c r="A1039" s="846"/>
      <c r="B1039" s="846"/>
      <c r="C1039" s="846"/>
      <c r="D1039" s="847"/>
      <c r="E1039" s="847"/>
      <c r="F1039" s="846"/>
      <c r="G1039" s="847"/>
      <c r="H1039" s="846"/>
      <c r="I1039" s="846"/>
      <c r="J1039" s="846"/>
      <c r="K1039" s="846"/>
      <c r="L1039" s="846"/>
      <c r="M1039" s="846"/>
      <c r="N1039" s="847"/>
      <c r="O1039" s="846"/>
      <c r="P1039" s="846"/>
      <c r="Q1039" s="846"/>
      <c r="R1039" s="846"/>
      <c r="S1039" s="846"/>
      <c r="T1039" s="846"/>
      <c r="U1039" s="846"/>
    </row>
    <row r="1040" ht="14.25" customHeight="1">
      <c r="A1040" s="846"/>
      <c r="B1040" s="846"/>
      <c r="C1040" s="846"/>
      <c r="D1040" s="847"/>
      <c r="E1040" s="847"/>
      <c r="F1040" s="846"/>
      <c r="G1040" s="847"/>
      <c r="H1040" s="846"/>
      <c r="I1040" s="846"/>
      <c r="J1040" s="846"/>
      <c r="K1040" s="846"/>
      <c r="L1040" s="846"/>
      <c r="M1040" s="846"/>
      <c r="N1040" s="847"/>
      <c r="O1040" s="846"/>
      <c r="P1040" s="846"/>
      <c r="Q1040" s="846"/>
      <c r="R1040" s="846"/>
      <c r="S1040" s="846"/>
      <c r="T1040" s="846"/>
      <c r="U1040" s="846"/>
    </row>
    <row r="1041" ht="14.25" customHeight="1">
      <c r="A1041" s="846"/>
      <c r="B1041" s="846"/>
      <c r="C1041" s="846"/>
      <c r="D1041" s="847"/>
      <c r="E1041" s="847"/>
      <c r="F1041" s="846"/>
      <c r="G1041" s="847"/>
      <c r="H1041" s="846"/>
      <c r="I1041" s="846"/>
      <c r="J1041" s="846"/>
      <c r="K1041" s="846"/>
      <c r="L1041" s="846"/>
      <c r="M1041" s="846"/>
      <c r="N1041" s="847"/>
      <c r="O1041" s="846"/>
      <c r="P1041" s="846"/>
      <c r="Q1041" s="846"/>
      <c r="R1041" s="846"/>
      <c r="S1041" s="846"/>
      <c r="T1041" s="846"/>
      <c r="U1041" s="846"/>
    </row>
    <row r="1042" ht="14.25" customHeight="1">
      <c r="A1042" s="846"/>
      <c r="B1042" s="846"/>
      <c r="C1042" s="846"/>
      <c r="D1042" s="847"/>
      <c r="E1042" s="847"/>
      <c r="F1042" s="846"/>
      <c r="G1042" s="847"/>
      <c r="H1042" s="846"/>
      <c r="I1042" s="846"/>
      <c r="J1042" s="846"/>
      <c r="K1042" s="846"/>
      <c r="L1042" s="846"/>
      <c r="M1042" s="846"/>
      <c r="N1042" s="847"/>
      <c r="O1042" s="846"/>
      <c r="P1042" s="846"/>
      <c r="Q1042" s="846"/>
      <c r="R1042" s="846"/>
      <c r="S1042" s="846"/>
      <c r="T1042" s="846"/>
      <c r="U1042" s="846"/>
    </row>
    <row r="1043" ht="14.25" customHeight="1">
      <c r="A1043" s="846"/>
      <c r="B1043" s="846"/>
      <c r="C1043" s="846"/>
      <c r="D1043" s="847"/>
      <c r="E1043" s="847"/>
      <c r="F1043" s="846"/>
      <c r="G1043" s="847"/>
      <c r="H1043" s="846"/>
      <c r="I1043" s="846"/>
      <c r="J1043" s="846"/>
      <c r="K1043" s="846"/>
      <c r="L1043" s="846"/>
      <c r="M1043" s="846"/>
      <c r="N1043" s="847"/>
      <c r="O1043" s="846"/>
      <c r="P1043" s="846"/>
      <c r="Q1043" s="846"/>
      <c r="R1043" s="846"/>
      <c r="S1043" s="846"/>
      <c r="T1043" s="846"/>
      <c r="U1043" s="846"/>
    </row>
    <row r="1044" ht="14.25" customHeight="1">
      <c r="A1044" s="846"/>
      <c r="B1044" s="846"/>
      <c r="C1044" s="846"/>
      <c r="D1044" s="847"/>
      <c r="E1044" s="847"/>
      <c r="F1044" s="846"/>
      <c r="G1044" s="847"/>
      <c r="H1044" s="846"/>
      <c r="I1044" s="846"/>
      <c r="J1044" s="846"/>
      <c r="K1044" s="846"/>
      <c r="L1044" s="846"/>
      <c r="M1044" s="846"/>
      <c r="N1044" s="847"/>
      <c r="O1044" s="846"/>
      <c r="P1044" s="846"/>
      <c r="Q1044" s="846"/>
      <c r="R1044" s="846"/>
      <c r="S1044" s="846"/>
      <c r="T1044" s="846"/>
      <c r="U1044" s="846"/>
    </row>
    <row r="1045" ht="14.25" customHeight="1">
      <c r="A1045" s="846"/>
      <c r="B1045" s="846"/>
      <c r="C1045" s="846"/>
      <c r="D1045" s="847"/>
      <c r="E1045" s="847"/>
      <c r="F1045" s="846"/>
      <c r="G1045" s="847"/>
      <c r="H1045" s="846"/>
      <c r="I1045" s="846"/>
      <c r="J1045" s="846"/>
      <c r="K1045" s="846"/>
      <c r="L1045" s="846"/>
      <c r="M1045" s="846"/>
      <c r="N1045" s="847"/>
      <c r="O1045" s="846"/>
      <c r="P1045" s="846"/>
      <c r="Q1045" s="846"/>
      <c r="R1045" s="846"/>
      <c r="S1045" s="846"/>
      <c r="T1045" s="846"/>
      <c r="U1045" s="846"/>
    </row>
    <row r="1046" ht="14.25" customHeight="1">
      <c r="A1046" s="846"/>
      <c r="B1046" s="846"/>
      <c r="C1046" s="846"/>
      <c r="D1046" s="847"/>
      <c r="E1046" s="847"/>
      <c r="F1046" s="846"/>
      <c r="G1046" s="847"/>
      <c r="H1046" s="846"/>
      <c r="I1046" s="846"/>
      <c r="J1046" s="846"/>
      <c r="K1046" s="846"/>
      <c r="L1046" s="846"/>
      <c r="M1046" s="846"/>
      <c r="N1046" s="847"/>
      <c r="O1046" s="846"/>
      <c r="P1046" s="846"/>
      <c r="Q1046" s="846"/>
      <c r="R1046" s="846"/>
      <c r="S1046" s="846"/>
      <c r="T1046" s="846"/>
      <c r="U1046" s="846"/>
    </row>
    <row r="1047" ht="14.25" customHeight="1">
      <c r="A1047" s="846"/>
      <c r="B1047" s="846"/>
      <c r="C1047" s="846"/>
      <c r="D1047" s="847"/>
      <c r="E1047" s="847"/>
      <c r="F1047" s="846"/>
      <c r="G1047" s="847"/>
      <c r="H1047" s="846"/>
      <c r="I1047" s="846"/>
      <c r="J1047" s="846"/>
      <c r="K1047" s="846"/>
      <c r="L1047" s="846"/>
      <c r="M1047" s="846"/>
      <c r="N1047" s="847"/>
      <c r="O1047" s="846"/>
      <c r="P1047" s="846"/>
      <c r="Q1047" s="846"/>
      <c r="R1047" s="846"/>
      <c r="S1047" s="846"/>
      <c r="T1047" s="846"/>
      <c r="U1047" s="846"/>
    </row>
    <row r="1048" ht="14.25" customHeight="1">
      <c r="A1048" s="846"/>
      <c r="B1048" s="846"/>
      <c r="C1048" s="846"/>
      <c r="D1048" s="847"/>
      <c r="E1048" s="847"/>
      <c r="F1048" s="846"/>
      <c r="G1048" s="847"/>
      <c r="H1048" s="846"/>
      <c r="I1048" s="846"/>
      <c r="J1048" s="846"/>
      <c r="K1048" s="846"/>
      <c r="L1048" s="846"/>
      <c r="M1048" s="846"/>
      <c r="N1048" s="847"/>
      <c r="O1048" s="846"/>
      <c r="P1048" s="846"/>
      <c r="Q1048" s="846"/>
      <c r="R1048" s="846"/>
      <c r="S1048" s="846"/>
      <c r="T1048" s="846"/>
      <c r="U1048" s="846"/>
    </row>
    <row r="1049" ht="14.25" customHeight="1">
      <c r="A1049" s="846"/>
      <c r="B1049" s="846"/>
      <c r="C1049" s="846"/>
      <c r="D1049" s="847"/>
      <c r="E1049" s="847"/>
      <c r="F1049" s="846"/>
      <c r="G1049" s="847"/>
      <c r="H1049" s="846"/>
      <c r="I1049" s="846"/>
      <c r="J1049" s="846"/>
      <c r="K1049" s="846"/>
      <c r="L1049" s="846"/>
      <c r="M1049" s="846"/>
      <c r="N1049" s="847"/>
      <c r="O1049" s="846"/>
      <c r="P1049" s="846"/>
      <c r="Q1049" s="846"/>
      <c r="R1049" s="846"/>
      <c r="S1049" s="846"/>
      <c r="T1049" s="846"/>
      <c r="U1049" s="846"/>
    </row>
    <row r="1050" ht="14.25" customHeight="1">
      <c r="A1050" s="846"/>
      <c r="B1050" s="846"/>
      <c r="C1050" s="846"/>
      <c r="D1050" s="847"/>
      <c r="E1050" s="847"/>
      <c r="F1050" s="846"/>
      <c r="G1050" s="847"/>
      <c r="H1050" s="846"/>
      <c r="I1050" s="846"/>
      <c r="J1050" s="846"/>
      <c r="K1050" s="846"/>
      <c r="L1050" s="846"/>
      <c r="M1050" s="846"/>
      <c r="N1050" s="847"/>
      <c r="O1050" s="846"/>
      <c r="P1050" s="846"/>
      <c r="Q1050" s="846"/>
      <c r="R1050" s="846"/>
      <c r="S1050" s="846"/>
      <c r="T1050" s="846"/>
      <c r="U1050" s="846"/>
    </row>
    <row r="1051" ht="14.25" customHeight="1">
      <c r="A1051" s="846"/>
      <c r="B1051" s="846"/>
      <c r="C1051" s="846"/>
      <c r="D1051" s="847"/>
      <c r="E1051" s="847"/>
      <c r="F1051" s="846"/>
      <c r="G1051" s="847"/>
      <c r="H1051" s="846"/>
      <c r="I1051" s="846"/>
      <c r="J1051" s="846"/>
      <c r="K1051" s="846"/>
      <c r="L1051" s="846"/>
      <c r="M1051" s="846"/>
      <c r="N1051" s="847"/>
      <c r="O1051" s="846"/>
      <c r="P1051" s="846"/>
      <c r="Q1051" s="846"/>
      <c r="R1051" s="846"/>
      <c r="S1051" s="846"/>
      <c r="T1051" s="846"/>
      <c r="U1051" s="846"/>
    </row>
    <row r="1052" ht="14.25" customHeight="1">
      <c r="A1052" s="846"/>
      <c r="B1052" s="846"/>
      <c r="C1052" s="846"/>
      <c r="D1052" s="847"/>
      <c r="E1052" s="847"/>
      <c r="F1052" s="846"/>
      <c r="G1052" s="847"/>
      <c r="H1052" s="846"/>
      <c r="I1052" s="846"/>
      <c r="J1052" s="846"/>
      <c r="K1052" s="846"/>
      <c r="L1052" s="846"/>
      <c r="M1052" s="846"/>
      <c r="N1052" s="847"/>
      <c r="O1052" s="846"/>
      <c r="P1052" s="846"/>
      <c r="Q1052" s="846"/>
      <c r="R1052" s="846"/>
      <c r="S1052" s="846"/>
      <c r="T1052" s="846"/>
      <c r="U1052" s="846"/>
    </row>
    <row r="1053" ht="14.25" customHeight="1">
      <c r="A1053" s="846"/>
      <c r="B1053" s="846"/>
      <c r="C1053" s="846"/>
      <c r="D1053" s="847"/>
      <c r="E1053" s="847"/>
      <c r="F1053" s="846"/>
      <c r="G1053" s="847"/>
      <c r="H1053" s="846"/>
      <c r="I1053" s="846"/>
      <c r="J1053" s="846"/>
      <c r="K1053" s="846"/>
      <c r="L1053" s="846"/>
      <c r="M1053" s="846"/>
      <c r="N1053" s="847"/>
      <c r="O1053" s="846"/>
      <c r="P1053" s="846"/>
      <c r="Q1053" s="846"/>
      <c r="R1053" s="846"/>
      <c r="S1053" s="846"/>
      <c r="T1053" s="846"/>
      <c r="U1053" s="846"/>
    </row>
    <row r="1054" ht="14.25" customHeight="1">
      <c r="A1054" s="846"/>
      <c r="B1054" s="846"/>
      <c r="C1054" s="846"/>
      <c r="D1054" s="847"/>
      <c r="E1054" s="847"/>
      <c r="F1054" s="846"/>
      <c r="G1054" s="847"/>
      <c r="H1054" s="846"/>
      <c r="I1054" s="846"/>
      <c r="J1054" s="846"/>
      <c r="K1054" s="846"/>
      <c r="L1054" s="846"/>
      <c r="M1054" s="846"/>
      <c r="N1054" s="847"/>
      <c r="O1054" s="846"/>
      <c r="P1054" s="846"/>
      <c r="Q1054" s="846"/>
      <c r="R1054" s="846"/>
      <c r="S1054" s="846"/>
      <c r="T1054" s="846"/>
      <c r="U1054" s="846"/>
    </row>
    <row r="1055" ht="14.25" customHeight="1">
      <c r="A1055" s="846"/>
      <c r="B1055" s="846"/>
      <c r="C1055" s="846"/>
      <c r="D1055" s="847"/>
      <c r="E1055" s="847"/>
      <c r="F1055" s="846"/>
      <c r="G1055" s="847"/>
      <c r="H1055" s="846"/>
      <c r="I1055" s="846"/>
      <c r="J1055" s="846"/>
      <c r="K1055" s="846"/>
      <c r="L1055" s="846"/>
      <c r="M1055" s="846"/>
      <c r="N1055" s="847"/>
      <c r="O1055" s="846"/>
      <c r="P1055" s="846"/>
      <c r="Q1055" s="846"/>
      <c r="R1055" s="846"/>
      <c r="S1055" s="846"/>
      <c r="T1055" s="846"/>
      <c r="U1055" s="846"/>
    </row>
    <row r="1056" ht="14.25" customHeight="1">
      <c r="A1056" s="846"/>
      <c r="B1056" s="846"/>
      <c r="C1056" s="846"/>
      <c r="D1056" s="847"/>
      <c r="E1056" s="847"/>
      <c r="F1056" s="846"/>
      <c r="G1056" s="847"/>
      <c r="H1056" s="846"/>
      <c r="I1056" s="846"/>
      <c r="J1056" s="846"/>
      <c r="K1056" s="846"/>
      <c r="L1056" s="846"/>
      <c r="M1056" s="846"/>
      <c r="N1056" s="847"/>
      <c r="O1056" s="846"/>
      <c r="P1056" s="846"/>
      <c r="Q1056" s="846"/>
      <c r="R1056" s="846"/>
      <c r="S1056" s="846"/>
      <c r="T1056" s="846"/>
      <c r="U1056" s="846"/>
    </row>
    <row r="1057" ht="14.25" customHeight="1">
      <c r="A1057" s="846"/>
      <c r="B1057" s="846"/>
      <c r="C1057" s="846"/>
      <c r="D1057" s="847"/>
      <c r="E1057" s="847"/>
      <c r="F1057" s="846"/>
      <c r="G1057" s="847"/>
      <c r="H1057" s="846"/>
      <c r="I1057" s="846"/>
      <c r="J1057" s="846"/>
      <c r="K1057" s="846"/>
      <c r="L1057" s="846"/>
      <c r="M1057" s="846"/>
      <c r="N1057" s="847"/>
      <c r="O1057" s="846"/>
      <c r="P1057" s="846"/>
      <c r="Q1057" s="846"/>
      <c r="R1057" s="846"/>
      <c r="S1057" s="846"/>
      <c r="T1057" s="846"/>
      <c r="U1057" s="846"/>
    </row>
    <row r="1058" ht="14.25" customHeight="1">
      <c r="A1058" s="846"/>
      <c r="B1058" s="846"/>
      <c r="C1058" s="846"/>
      <c r="D1058" s="847"/>
      <c r="E1058" s="847"/>
      <c r="F1058" s="846"/>
      <c r="G1058" s="847"/>
      <c r="H1058" s="846"/>
      <c r="I1058" s="846"/>
      <c r="J1058" s="846"/>
      <c r="K1058" s="846"/>
      <c r="L1058" s="846"/>
      <c r="M1058" s="846"/>
      <c r="N1058" s="847"/>
      <c r="O1058" s="846"/>
      <c r="P1058" s="846"/>
      <c r="Q1058" s="846"/>
      <c r="R1058" s="846"/>
      <c r="S1058" s="846"/>
      <c r="T1058" s="846"/>
      <c r="U1058" s="846"/>
    </row>
    <row r="1059" ht="14.25" customHeight="1">
      <c r="A1059" s="846"/>
      <c r="B1059" s="846"/>
      <c r="C1059" s="846"/>
      <c r="D1059" s="847"/>
      <c r="E1059" s="847"/>
      <c r="F1059" s="846"/>
      <c r="G1059" s="847"/>
      <c r="H1059" s="846"/>
      <c r="I1059" s="846"/>
      <c r="J1059" s="846"/>
      <c r="K1059" s="846"/>
      <c r="L1059" s="846"/>
      <c r="M1059" s="846"/>
      <c r="N1059" s="847"/>
      <c r="O1059" s="846"/>
      <c r="P1059" s="846"/>
      <c r="Q1059" s="846"/>
      <c r="R1059" s="846"/>
      <c r="S1059" s="846"/>
      <c r="T1059" s="846"/>
      <c r="U1059" s="846"/>
    </row>
    <row r="1060" ht="14.25" customHeight="1">
      <c r="A1060" s="846"/>
      <c r="B1060" s="846"/>
      <c r="C1060" s="846"/>
      <c r="D1060" s="847"/>
      <c r="E1060" s="847"/>
      <c r="F1060" s="846"/>
      <c r="G1060" s="847"/>
      <c r="H1060" s="846"/>
      <c r="I1060" s="846"/>
      <c r="J1060" s="846"/>
      <c r="K1060" s="846"/>
      <c r="L1060" s="846"/>
      <c r="M1060" s="846"/>
      <c r="N1060" s="847"/>
      <c r="O1060" s="846"/>
      <c r="P1060" s="846"/>
      <c r="Q1060" s="846"/>
      <c r="R1060" s="846"/>
      <c r="S1060" s="846"/>
      <c r="T1060" s="846"/>
      <c r="U1060" s="846"/>
    </row>
  </sheetData>
  <conditionalFormatting sqref="H94">
    <cfRule type="containsText" dxfId="3" priority="1" operator="containsText" text="bình thường">
      <formula>NOT(ISERROR(SEARCH(("bình thường"),(H94))))</formula>
    </cfRule>
  </conditionalFormatting>
  <conditionalFormatting sqref="H94">
    <cfRule type="containsText" dxfId="2" priority="2" operator="containsText" text="Thu hồi">
      <formula>NOT(ISERROR(SEARCH(("Thu hồi"),(H94))))</formula>
    </cfRule>
  </conditionalFormatting>
  <conditionalFormatting sqref="H94">
    <cfRule type="containsText" dxfId="1" priority="3" operator="containsText" text="Hư hỏng">
      <formula>NOT(ISERROR(SEARCH(("Hư hỏng"),(H94))))</formula>
    </cfRule>
  </conditionalFormatting>
  <conditionalFormatting sqref="T2:T4 A94:C94 H94 I94:I95 N94:P94 R94:S94">
    <cfRule type="expression" dxfId="4" priority="4">
      <formula>$K2="Hư hỏng"</formula>
    </cfRule>
  </conditionalFormatting>
  <conditionalFormatting sqref="B94">
    <cfRule type="expression" dxfId="0" priority="5">
      <formula>countif(#REF!,B94)&gt;1</formula>
    </cfRule>
  </conditionalFormatting>
  <conditionalFormatting sqref="H1:H25 H27:H34 H41:H53 H55:H69 H71:H75 H78:H86 H92 H94:H95 H127:H1028">
    <cfRule type="containsText" dxfId="1" priority="6" operator="containsText" text="Hư hỏng">
      <formula>NOT(ISERROR(SEARCH(("Hư hỏng"),(H1))))</formula>
    </cfRule>
  </conditionalFormatting>
  <conditionalFormatting sqref="H1:H25 H27:H34 H41:H53 H55:H69 H71:H75 H78:H86 H92 H94:H95 H127:H1028">
    <cfRule type="containsText" dxfId="2" priority="7" operator="containsText" text="Thu hồi">
      <formula>NOT(ISERROR(SEARCH(("Thu hồi"),(H1))))</formula>
    </cfRule>
  </conditionalFormatting>
  <conditionalFormatting sqref="H1:H25 H27:H34 H41:H53 H55:H69 H71:H75 H78:H86 H92 H94:H95 H127:H1028">
    <cfRule type="containsText" dxfId="3" priority="8" operator="containsText" text="bình thường">
      <formula>NOT(ISERROR(SEARCH(("bình thường"),(H1))))</formula>
    </cfRule>
  </conditionalFormatting>
  <hyperlinks>
    <hyperlink r:id="rId1" ref="T4"/>
  </hyperlinks>
  <printOptions/>
  <pageMargins bottom="0.75" footer="0.0" header="0.0" left="0.7" right="0.7" top="0.75"/>
  <pageSetup paperSize="9" orientation="portrait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0" outlineLevelRow="1"/>
  <cols>
    <col customWidth="1" min="1" max="1" width="4.38"/>
    <col customWidth="1" min="2" max="2" width="26.75"/>
    <col customWidth="1" min="3" max="3" width="28.13"/>
    <col customWidth="1" min="4" max="4" width="15.63"/>
    <col customWidth="1" min="5" max="5" width="16.88"/>
    <col customWidth="1" min="6" max="6" width="40.63"/>
    <col customWidth="1" hidden="1" min="7" max="7" width="14.5"/>
    <col customWidth="1" min="8" max="8" width="14.5"/>
    <col customWidth="1" min="9" max="9" width="13.5"/>
    <col customWidth="1" hidden="1" min="10" max="10" width="12.75"/>
    <col customWidth="1" min="11" max="11" width="15.13"/>
    <col customWidth="1" min="12" max="12" width="36.5"/>
    <col customWidth="1" min="13" max="13" width="31.0"/>
    <col customWidth="1" min="14" max="14" width="18.0"/>
    <col customWidth="1" min="15" max="15" width="18.25"/>
    <col customWidth="1" min="16" max="16" width="11.5"/>
    <col customWidth="1" min="17" max="17" width="9.75"/>
    <col customWidth="1" min="18" max="18" width="28.75"/>
    <col customWidth="1" min="19" max="19" width="26.63"/>
    <col customWidth="1" min="20" max="20" width="12.63"/>
  </cols>
  <sheetData>
    <row r="1" ht="39.0" customHeight="1">
      <c r="A1" s="852" t="s">
        <v>6418</v>
      </c>
      <c r="B1" s="16"/>
      <c r="C1" s="16"/>
      <c r="D1" s="16"/>
      <c r="E1" s="16"/>
      <c r="F1" s="16"/>
      <c r="G1" s="853"/>
      <c r="H1" s="853"/>
      <c r="I1" s="853"/>
      <c r="J1" s="853"/>
      <c r="K1" s="853"/>
      <c r="L1" s="853"/>
      <c r="M1" s="854"/>
      <c r="N1" s="855"/>
      <c r="O1" s="855" t="s">
        <v>3</v>
      </c>
      <c r="P1" s="855"/>
      <c r="Q1" s="856"/>
      <c r="R1" s="855"/>
      <c r="S1" s="855"/>
      <c r="T1" s="857"/>
    </row>
    <row r="2" ht="33.0" customHeight="1">
      <c r="A2" s="435" t="s">
        <v>5</v>
      </c>
      <c r="B2" s="435" t="s">
        <v>3216</v>
      </c>
      <c r="C2" s="435" t="s">
        <v>3217</v>
      </c>
      <c r="D2" s="435" t="s">
        <v>3218</v>
      </c>
      <c r="E2" s="435" t="s">
        <v>10</v>
      </c>
      <c r="F2" s="435" t="s">
        <v>11</v>
      </c>
      <c r="G2" s="435" t="s">
        <v>6419</v>
      </c>
      <c r="H2" s="435" t="s">
        <v>13</v>
      </c>
      <c r="I2" s="437" t="s">
        <v>3219</v>
      </c>
      <c r="J2" s="435" t="s">
        <v>3220</v>
      </c>
      <c r="K2" s="435" t="s">
        <v>3221</v>
      </c>
      <c r="L2" s="435" t="s">
        <v>19</v>
      </c>
      <c r="M2" s="435" t="s">
        <v>33</v>
      </c>
      <c r="N2" s="435" t="s">
        <v>3222</v>
      </c>
      <c r="O2" s="435" t="s">
        <v>3223</v>
      </c>
      <c r="P2" s="438" t="s">
        <v>22</v>
      </c>
      <c r="Q2" s="438" t="s">
        <v>23</v>
      </c>
      <c r="R2" s="435" t="s">
        <v>3224</v>
      </c>
      <c r="S2" s="438" t="s">
        <v>3225</v>
      </c>
      <c r="T2" s="24" t="s">
        <v>3226</v>
      </c>
    </row>
    <row r="3" ht="15.0" customHeight="1">
      <c r="A3" s="439"/>
      <c r="B3" s="440" t="s">
        <v>60</v>
      </c>
      <c r="C3" s="441">
        <f>SUM(C4,C148,C836,C852,C856,C875)</f>
        <v>700</v>
      </c>
      <c r="D3" s="442"/>
      <c r="E3" s="442"/>
      <c r="F3" s="442"/>
      <c r="G3" s="443"/>
      <c r="H3" s="443"/>
      <c r="I3" s="439"/>
      <c r="J3" s="439"/>
      <c r="K3" s="439"/>
      <c r="L3" s="442"/>
      <c r="M3" s="444"/>
      <c r="N3" s="442"/>
      <c r="O3" s="444"/>
      <c r="P3" s="442"/>
      <c r="Q3" s="445"/>
      <c r="R3" s="442"/>
      <c r="S3" s="442"/>
      <c r="T3" s="858"/>
    </row>
    <row r="4" ht="15.0" customHeight="1">
      <c r="A4" s="859" t="s">
        <v>3228</v>
      </c>
      <c r="B4" s="860" t="s">
        <v>6420</v>
      </c>
      <c r="C4" s="484">
        <f>SUM(C5,C11,C24,C31,C38,C141)</f>
        <v>120</v>
      </c>
      <c r="D4" s="861"/>
      <c r="E4" s="861"/>
      <c r="F4" s="861"/>
      <c r="G4" s="862"/>
      <c r="H4" s="862"/>
      <c r="I4" s="859"/>
      <c r="J4" s="859"/>
      <c r="K4" s="859"/>
      <c r="L4" s="861"/>
      <c r="M4" s="863"/>
      <c r="N4" s="861"/>
      <c r="O4" s="863"/>
      <c r="P4" s="861"/>
      <c r="Q4" s="864"/>
      <c r="R4" s="861"/>
      <c r="S4" s="861"/>
      <c r="T4" s="865"/>
    </row>
    <row r="5" ht="15.0" customHeight="1">
      <c r="A5" s="455" t="s">
        <v>76</v>
      </c>
      <c r="B5" s="456" t="s">
        <v>6421</v>
      </c>
      <c r="C5" s="457">
        <f>COUNTA(B6:B10)</f>
        <v>3</v>
      </c>
      <c r="D5" s="458"/>
      <c r="E5" s="458"/>
      <c r="F5" s="458"/>
      <c r="G5" s="459"/>
      <c r="H5" s="459"/>
      <c r="I5" s="457"/>
      <c r="J5" s="460"/>
      <c r="K5" s="457"/>
      <c r="L5" s="458"/>
      <c r="M5" s="461"/>
      <c r="N5" s="458"/>
      <c r="O5" s="461"/>
      <c r="P5" s="458"/>
      <c r="Q5" s="459"/>
      <c r="R5" s="458"/>
      <c r="S5" s="458"/>
      <c r="T5" s="866"/>
    </row>
    <row r="6" ht="15.0" customHeight="1">
      <c r="A6" s="463">
        <v>1.0</v>
      </c>
      <c r="B6" s="464" t="s">
        <v>3230</v>
      </c>
      <c r="C6" s="464" t="str">
        <f>IFERROR(VLOOKUP(B6,'03. THIẾT BỊ'!$B$1:$S$836,2,0),"")</f>
        <v/>
      </c>
      <c r="D6" s="464" t="str">
        <f>IFERROR(VLOOKUP(B6,'03. THIẾT BỊ'!$B$1:$S$836,3,0),"")</f>
        <v>A23-CNA-001</v>
      </c>
      <c r="E6" s="464" t="str">
        <f>IFERROR(VLOOKUP(B6,'03. THIẾT BỊ'!$B$1:$S$836,4,0),"")</f>
        <v>ĐQSD</v>
      </c>
      <c r="F6" s="464" t="str">
        <f>IFERROR(VLOOKUP(B6,'03. THIẾT BỊ'!$B$1:$S$836,5,0),"")</f>
        <v>Thiết bị cày ngầm 3 trụ (M.ủi)</v>
      </c>
      <c r="G6" s="80" t="s">
        <v>6422</v>
      </c>
      <c r="H6" s="463" t="str">
        <f>IFERROR(VLOOKUP(B6,'03. THIẾT BỊ'!$B$1:$S$836,7,0),"")</f>
        <v>CGTC DP</v>
      </c>
      <c r="I6" s="474">
        <f>IFERROR(VLOOKUP(B6,'03. THIẾT BỊ'!$B$1:$S$836,8,0),"")</f>
        <v>45658</v>
      </c>
      <c r="J6" s="467"/>
      <c r="K6" s="463" t="str">
        <f>IFERROR(VLOOKUP(B6,'03. THIẾT BỊ'!$B$1:$S$836,10,0),"")</f>
        <v>Bình thường</v>
      </c>
      <c r="L6" s="467" t="str">
        <f>IFERROR(VLOOKUP(B6,'03. THIẾT BỊ'!$B$1:$S$836,11,0),"")</f>
        <v/>
      </c>
      <c r="M6" s="476" t="str">
        <f>IFERROR(VLOOKUP(B6,'03. THIẾT BỊ'!$B$1:$S$836,12,0),"")</f>
        <v/>
      </c>
      <c r="N6" s="467" t="str">
        <f>IFERROR(VLOOKUP(B6,'03. THIẾT BỊ'!$B$1:$S$836,13,0),"")</f>
        <v>TRUNG QUỐC</v>
      </c>
      <c r="O6" s="465" t="str">
        <f>IFERROR(VLOOKUP(B6,'03. THIẾT BỊ'!$B$1:$S$836,14,0),"")</f>
        <v>3 trụ</v>
      </c>
      <c r="P6" s="468" t="str">
        <f>IFERROR(VLOOKUP(B6,'03. THIẾT BỊ'!$B$1:$S$836,15,0),"")</f>
        <v>TRUNG QUỐC</v>
      </c>
      <c r="Q6" s="475">
        <f>IFERROR(VLOOKUP(B6,'03. THIẾT BỊ'!$B$1:$S$836,16,0),"")</f>
        <v>2022</v>
      </c>
      <c r="R6" s="467" t="str">
        <f>IFERROR(VLOOKUP(B6,'03. THIẾT BỊ'!$B$1:$S$836,17,0),"")</f>
        <v/>
      </c>
      <c r="S6" s="467" t="str">
        <f>IFERROR(VLOOKUP(B6,'03. THIẾT BỊ'!$B$1:$S$836,18,0),"")</f>
        <v/>
      </c>
      <c r="T6" s="812"/>
    </row>
    <row r="7" ht="15.0" customHeight="1">
      <c r="A7" s="48">
        <v>2.0</v>
      </c>
      <c r="B7" s="464" t="s">
        <v>3234</v>
      </c>
      <c r="C7" s="464" t="str">
        <f>IFERROR(VLOOKUP(B7,'03. THIẾT BỊ'!$B$1:$S$836,2,0),"")</f>
        <v/>
      </c>
      <c r="D7" s="464" t="str">
        <f>IFERROR(VLOOKUP(B7,'03. THIẾT BỊ'!$B$1:$S$836,3,0),"")</f>
        <v>A23-CNA-002</v>
      </c>
      <c r="E7" s="464" t="str">
        <f>IFERROR(VLOOKUP(B7,'03. THIẾT BỊ'!$B$1:$S$836,4,0),"")</f>
        <v>ĐQSD</v>
      </c>
      <c r="F7" s="464" t="str">
        <f>IFERROR(VLOOKUP(B7,'03. THIẾT BỊ'!$B$1:$S$836,5,0),"")</f>
        <v>Thiết bị cày ngầm 3 trụ (M.ủi)</v>
      </c>
      <c r="G7" s="80" t="s">
        <v>6422</v>
      </c>
      <c r="H7" s="463" t="str">
        <f>IFERROR(VLOOKUP(B7,'03. THIẾT BỊ'!$B$1:$S$836,7,0),"")</f>
        <v>CGTC DP</v>
      </c>
      <c r="I7" s="474" t="str">
        <f>IFERROR(VLOOKUP(B7,'03. THIẾT BỊ'!$B$1:$S$836,8,0),"")</f>
        <v/>
      </c>
      <c r="J7" s="467"/>
      <c r="K7" s="463" t="str">
        <f>IFERROR(VLOOKUP(B7,'03. THIẾT BỊ'!$B$1:$S$836,10,0),"")</f>
        <v>Bình thường</v>
      </c>
      <c r="L7" s="467" t="str">
        <f>IFERROR(VLOOKUP(B7,'03. THIẾT BỊ'!$B$1:$S$836,11,0),"")</f>
        <v/>
      </c>
      <c r="M7" s="476" t="str">
        <f>IFERROR(VLOOKUP(B7,'03. THIẾT BỊ'!$B$1:$S$836,12,0),"")</f>
        <v/>
      </c>
      <c r="N7" s="467" t="str">
        <f>IFERROR(VLOOKUP(B7,'03. THIẾT BỊ'!$B$1:$S$836,13,0),"")</f>
        <v>TRUNG QUỐC</v>
      </c>
      <c r="O7" s="465" t="str">
        <f>IFERROR(VLOOKUP(B7,'03. THIẾT BỊ'!$B$1:$S$836,14,0),"")</f>
        <v>3 trụ</v>
      </c>
      <c r="P7" s="468" t="str">
        <f>IFERROR(VLOOKUP(B7,'03. THIẾT BỊ'!$B$1:$S$836,15,0),"")</f>
        <v>TRUNG QUỐC</v>
      </c>
      <c r="Q7" s="475" t="str">
        <f>IFERROR(VLOOKUP(B7,'03. THIẾT BỊ'!$B$1:$S$836,16,0),"")</f>
        <v/>
      </c>
      <c r="R7" s="467" t="str">
        <f>IFERROR(VLOOKUP(B7,'03. THIẾT BỊ'!$B$1:$S$836,17,0),"")</f>
        <v/>
      </c>
      <c r="S7" s="467" t="str">
        <f>IFERROR(VLOOKUP(B7,'03. THIẾT BỊ'!$B$1:$S$836,18,0),"")</f>
        <v/>
      </c>
      <c r="T7" s="822"/>
    </row>
    <row r="8" ht="15.0" customHeight="1">
      <c r="A8" s="48">
        <v>3.0</v>
      </c>
      <c r="B8" s="464" t="s">
        <v>3467</v>
      </c>
      <c r="C8" s="464" t="str">
        <f>IFERROR(VLOOKUP(B8,'03. THIẾT BỊ'!$B$1:$S$836,2,0),"")</f>
        <v>CHT-CNA-004</v>
      </c>
      <c r="D8" s="464" t="str">
        <f>IFERROR(VLOOKUP(B8,'03. THIẾT BỊ'!$B$1:$S$836,3,0),"")</f>
        <v>A22-CNA-003</v>
      </c>
      <c r="E8" s="464" t="str">
        <f>IFERROR(VLOOKUP(B8,'03. THIẾT BỊ'!$B$1:$S$836,4,0),"")</f>
        <v>ĐQSD</v>
      </c>
      <c r="F8" s="464" t="str">
        <f>IFERROR(VLOOKUP(B8,'03. THIẾT BỊ'!$B$1:$S$836,5,0),"")</f>
        <v>Thiết bị cày ngầm 3 trụ</v>
      </c>
      <c r="G8" s="80" t="s">
        <v>6422</v>
      </c>
      <c r="H8" s="463" t="str">
        <f>IFERROR(VLOOKUP(B8,'03. THIẾT BỊ'!$B$1:$S$836,7,0),"")</f>
        <v>CGTC AD</v>
      </c>
      <c r="I8" s="474" t="str">
        <f>IFERROR(VLOOKUP(B8,'03. THIẾT BỊ'!$B$1:$S$836,8,0),"")</f>
        <v/>
      </c>
      <c r="J8" s="467"/>
      <c r="K8" s="463" t="str">
        <f>IFERROR(VLOOKUP(B8,'03. THIẾT BỊ'!$B$1:$S$836,10,0),"")</f>
        <v>Bình thường</v>
      </c>
      <c r="L8" s="467" t="str">
        <f>IFERROR(VLOOKUP(B8,'03. THIẾT BỊ'!$B$1:$S$836,11,0),"")</f>
        <v/>
      </c>
      <c r="M8" s="476" t="str">
        <f>IFERROR(VLOOKUP(B8,'03. THIẾT BỊ'!$B$1:$S$836,12,0),"")</f>
        <v/>
      </c>
      <c r="N8" s="467" t="str">
        <f>IFERROR(VLOOKUP(B8,'03. THIẾT BỊ'!$B$1:$S$836,13,0),"")</f>
        <v>TRUNG QUỐC</v>
      </c>
      <c r="O8" s="465" t="str">
        <f>IFERROR(VLOOKUP(B8,'03. THIẾT BỊ'!$B$1:$S$836,14,0),"")</f>
        <v>3 trụ</v>
      </c>
      <c r="P8" s="468" t="str">
        <f>IFERROR(VLOOKUP(B8,'03. THIẾT BỊ'!$B$1:$S$836,15,0),"")</f>
        <v>TRUNG QUỐC</v>
      </c>
      <c r="Q8" s="475" t="str">
        <f>IFERROR(VLOOKUP(B8,'03. THIẾT BỊ'!$B$1:$S$836,16,0),"")</f>
        <v/>
      </c>
      <c r="R8" s="467" t="str">
        <f>IFERROR(VLOOKUP(B8,'03. THIẾT BỊ'!$B$1:$S$836,17,0),"")</f>
        <v/>
      </c>
      <c r="S8" s="467" t="str">
        <f>IFERROR(VLOOKUP(B8,'03. THIẾT BỊ'!$B$1:$S$836,18,0),"")</f>
        <v/>
      </c>
      <c r="T8" s="812"/>
    </row>
    <row r="9" ht="15.0" customHeight="1">
      <c r="A9" s="463"/>
      <c r="B9" s="464"/>
      <c r="C9" s="464" t="str">
        <f>IFERROR(VLOOKUP(B9,'03. THIẾT BỊ'!$B$1:$S$836,2,0),"")</f>
        <v/>
      </c>
      <c r="D9" s="464" t="str">
        <f>IFERROR(VLOOKUP(B9,'03. THIẾT BỊ'!$B$1:$S$836,3,0),"")</f>
        <v/>
      </c>
      <c r="E9" s="464" t="str">
        <f>IFERROR(VLOOKUP(B9,'03. THIẾT BỊ'!$B$1:$S$836,4,0),"")</f>
        <v/>
      </c>
      <c r="F9" s="464" t="str">
        <f>IFERROR(VLOOKUP(B9,'03. THIẾT BỊ'!$B$1:$S$836,5,0),"")</f>
        <v/>
      </c>
      <c r="G9" s="80" t="s">
        <v>6422</v>
      </c>
      <c r="H9" s="463" t="str">
        <f>IFERROR(VLOOKUP(B9,'03. THIẾT BỊ'!$B$1:$S$836,7,0),"")</f>
        <v/>
      </c>
      <c r="I9" s="474" t="str">
        <f>IFERROR(VLOOKUP(B9,'03. THIẾT BỊ'!$B$1:$S$836,8,0),"")</f>
        <v/>
      </c>
      <c r="J9" s="467"/>
      <c r="K9" s="463" t="str">
        <f>IFERROR(VLOOKUP(B9,'03. THIẾT BỊ'!$B$1:$S$836,10,0),"")</f>
        <v/>
      </c>
      <c r="L9" s="467" t="str">
        <f>IFERROR(VLOOKUP(B9,'03. THIẾT BỊ'!$B$1:$S$836,11,0),"")</f>
        <v/>
      </c>
      <c r="M9" s="476" t="str">
        <f>IFERROR(VLOOKUP(B9,'03. THIẾT BỊ'!$B$1:$S$836,12,0),"")</f>
        <v/>
      </c>
      <c r="N9" s="467" t="str">
        <f>IFERROR(VLOOKUP(B9,'03. THIẾT BỊ'!$B$1:$S$836,13,0),"")</f>
        <v/>
      </c>
      <c r="O9" s="465" t="str">
        <f>IFERROR(VLOOKUP(B9,'03. THIẾT BỊ'!$B$1:$S$836,14,0),"")</f>
        <v/>
      </c>
      <c r="P9" s="468" t="str">
        <f>IFERROR(VLOOKUP(B9,'03. THIẾT BỊ'!$B$1:$S$836,15,0),"")</f>
        <v/>
      </c>
      <c r="Q9" s="475" t="str">
        <f>IFERROR(VLOOKUP(B9,'03. THIẾT BỊ'!$B$1:$S$836,16,0),"")</f>
        <v/>
      </c>
      <c r="R9" s="467" t="str">
        <f>IFERROR(VLOOKUP(B9,'03. THIẾT BỊ'!$B$1:$S$836,17,0),"")</f>
        <v/>
      </c>
      <c r="S9" s="467" t="str">
        <f>IFERROR(VLOOKUP(B9,'03. THIẾT BỊ'!$B$1:$S$836,18,0),"")</f>
        <v/>
      </c>
      <c r="T9" s="822"/>
    </row>
    <row r="10" ht="15.0" customHeight="1">
      <c r="A10" s="463"/>
      <c r="B10" s="464"/>
      <c r="C10" s="464" t="str">
        <f>IFERROR(VLOOKUP(B10,'03. THIẾT BỊ'!$B$1:$S$836,2,0),"")</f>
        <v/>
      </c>
      <c r="D10" s="464" t="str">
        <f>IFERROR(VLOOKUP(B10,'03. THIẾT BỊ'!$B$1:$S$836,3,0),"")</f>
        <v/>
      </c>
      <c r="E10" s="464" t="str">
        <f>IFERROR(VLOOKUP(B10,'03. THIẾT BỊ'!$B$1:$S$836,4,0),"")</f>
        <v/>
      </c>
      <c r="F10" s="464" t="str">
        <f>IFERROR(VLOOKUP(B10,'03. THIẾT BỊ'!$B$1:$S$836,5,0),"")</f>
        <v/>
      </c>
      <c r="G10" s="80" t="s">
        <v>6422</v>
      </c>
      <c r="H10" s="463" t="str">
        <f>IFERROR(VLOOKUP(B10,'03. THIẾT BỊ'!$B$1:$S$836,7,0),"")</f>
        <v/>
      </c>
      <c r="I10" s="474" t="str">
        <f>IFERROR(VLOOKUP(B10,'03. THIẾT BỊ'!$B$1:$S$836,8,0),"")</f>
        <v/>
      </c>
      <c r="J10" s="467"/>
      <c r="K10" s="463" t="str">
        <f>IFERROR(VLOOKUP(B10,'03. THIẾT BỊ'!$B$1:$S$836,10,0),"")</f>
        <v/>
      </c>
      <c r="L10" s="467" t="str">
        <f>IFERROR(VLOOKUP(B10,'03. THIẾT BỊ'!$B$1:$S$836,11,0),"")</f>
        <v/>
      </c>
      <c r="M10" s="476" t="str">
        <f>IFERROR(VLOOKUP(B10,'03. THIẾT BỊ'!$B$1:$S$836,12,0),"")</f>
        <v/>
      </c>
      <c r="N10" s="467" t="str">
        <f>IFERROR(VLOOKUP(B10,'03. THIẾT BỊ'!$B$1:$S$836,13,0),"")</f>
        <v/>
      </c>
      <c r="O10" s="465" t="str">
        <f>IFERROR(VLOOKUP(B10,'03. THIẾT BỊ'!$B$1:$S$836,14,0),"")</f>
        <v/>
      </c>
      <c r="P10" s="468" t="str">
        <f>IFERROR(VLOOKUP(B10,'03. THIẾT BỊ'!$B$1:$S$836,15,0),"")</f>
        <v/>
      </c>
      <c r="Q10" s="475" t="str">
        <f>IFERROR(VLOOKUP(B10,'03. THIẾT BỊ'!$B$1:$S$836,16,0),"")</f>
        <v/>
      </c>
      <c r="R10" s="467" t="str">
        <f>IFERROR(VLOOKUP(B10,'03. THIẾT BỊ'!$B$1:$S$836,17,0),"")</f>
        <v/>
      </c>
      <c r="S10" s="467" t="str">
        <f>IFERROR(VLOOKUP(B10,'03. THIẾT BỊ'!$B$1:$S$836,18,0),"")</f>
        <v/>
      </c>
      <c r="T10" s="822"/>
    </row>
    <row r="11" ht="15.0" customHeight="1">
      <c r="A11" s="455" t="s">
        <v>76</v>
      </c>
      <c r="B11" s="456" t="s">
        <v>3239</v>
      </c>
      <c r="C11" s="457">
        <f>COUNTA(B12:B23)</f>
        <v>10</v>
      </c>
      <c r="D11" s="458"/>
      <c r="E11" s="458" t="str">
        <f>IFERROR(VLOOKUP(B11,'03. THIẾT BỊ'!$B$1:$S$836,4,0),"")</f>
        <v/>
      </c>
      <c r="F11" s="458"/>
      <c r="G11" s="459"/>
      <c r="H11" s="459"/>
      <c r="I11" s="457"/>
      <c r="J11" s="460"/>
      <c r="K11" s="457"/>
      <c r="L11" s="458"/>
      <c r="M11" s="461"/>
      <c r="N11" s="458"/>
      <c r="O11" s="461"/>
      <c r="P11" s="458"/>
      <c r="Q11" s="459"/>
      <c r="R11" s="458"/>
      <c r="S11" s="458"/>
      <c r="T11" s="866"/>
    </row>
    <row r="12" ht="15.0" customHeight="1">
      <c r="A12" s="463">
        <v>1.0</v>
      </c>
      <c r="B12" s="464" t="s">
        <v>3236</v>
      </c>
      <c r="C12" s="239" t="str">
        <f>IFERROR(VLOOKUP(B12,'03. THIẾT BỊ'!$B$1:$S$836,2,0),"")</f>
        <v/>
      </c>
      <c r="D12" s="470" t="str">
        <f>IFERROR(VLOOKUP(B12,'03. THIẾT BỊ'!$B$1:$S$836,3,0),"")</f>
        <v>A23-BDU-005</v>
      </c>
      <c r="E12" s="464" t="str">
        <f>IFERROR(VLOOKUP(B12,'03. THIẾT BỊ'!$B$1:$S$836,4,0),"")</f>
        <v>MUA MỚI</v>
      </c>
      <c r="F12" s="464" t="str">
        <f>IFERROR(VLOOKUP(B12,'03. THIẾT BỊ'!$B$1:$S$836,5,0),"")</f>
        <v>Búa đục bê tông</v>
      </c>
      <c r="G12" s="80" t="s">
        <v>6423</v>
      </c>
      <c r="H12" s="463" t="str">
        <f>IFERROR(VLOOKUP(B12,'03. THIẾT BỊ'!$B$1:$S$836,7,0),"")</f>
        <v>CGTC DP</v>
      </c>
      <c r="I12" s="474">
        <f>IFERROR(VLOOKUP(B12,'03. THIẾT BỊ'!$B$1:$S$836,8,0),"")</f>
        <v>45545</v>
      </c>
      <c r="J12" s="471"/>
      <c r="K12" s="463" t="str">
        <f>IFERROR(VLOOKUP(B12,'03. THIẾT BỊ'!$B$1:$S$836,10,0),"")</f>
        <v>Bình thường</v>
      </c>
      <c r="L12" s="468" t="str">
        <f>IFERROR(VLOOKUP(B12,'03. THIẾT BỊ'!$B$1:$S$836,11,0),"")</f>
        <v>Đầu tư mới</v>
      </c>
      <c r="M12" s="472" t="str">
        <f>IFERROR(VLOOKUP(B12,'03. THIẾT BỊ'!$B$1:$S$836,12,0),"")</f>
        <v/>
      </c>
      <c r="N12" s="468" t="str">
        <f>IFERROR(VLOOKUP(B12,'03. THIẾT BỊ'!$B$1:$S$836,13,0),"")</f>
        <v>TRUNG QUỐC</v>
      </c>
      <c r="O12" s="470" t="str">
        <f>IFERROR(VLOOKUP(B12,'03. THIẾT BỊ'!$B$1:$S$836,14,0),"")</f>
        <v>ETD2000</v>
      </c>
      <c r="P12" s="468" t="str">
        <f>IFERROR(VLOOKUP(B12,'03. THIẾT BỊ'!$B$1:$S$836,15,0),"")</f>
        <v>TRUNG QUỐC</v>
      </c>
      <c r="Q12" s="48">
        <f>IFERROR(VLOOKUP(B12,'03. THIẾT BỊ'!$B$1:$S$836,16,0),"")</f>
        <v>2024</v>
      </c>
      <c r="R12" s="471" t="str">
        <f>IFERROR(VLOOKUP(B12,'03. THIẾT BỊ'!$B$1:$S$836,17,0),"")</f>
        <v/>
      </c>
      <c r="S12" s="468" t="str">
        <f>IFERROR(VLOOKUP(B12,'03. THIẾT BỊ'!$B$1:$S$836,18,0),"")</f>
        <v>CNP1500D14HB1</v>
      </c>
      <c r="T12" s="822"/>
    </row>
    <row r="13" ht="15.0" customHeight="1">
      <c r="A13" s="48">
        <f t="shared" ref="A13:A21" si="1">A12+1</f>
        <v>2</v>
      </c>
      <c r="B13" s="468" t="s">
        <v>3369</v>
      </c>
      <c r="C13" s="239" t="str">
        <f>IFERROR(VLOOKUP(B13,'03. THIẾT BỊ'!$B$1:$S$836,2,0),"")</f>
        <v/>
      </c>
      <c r="D13" s="470" t="str">
        <f>IFERROR(VLOOKUP(B13,'03. THIẾT BỊ'!$B$1:$S$836,3,0),"")</f>
        <v>A24-BDU-001</v>
      </c>
      <c r="E13" s="464" t="str">
        <f>IFERROR(VLOOKUP(B13,'03. THIẾT BỊ'!$B$1:$S$836,4,0),"")</f>
        <v>ĐQSD</v>
      </c>
      <c r="F13" s="464" t="str">
        <f>IFERROR(VLOOKUP(B13,'03. THIẾT BỊ'!$B$1:$S$836,5,0),"")</f>
        <v>Búa đục bê tông</v>
      </c>
      <c r="G13" s="80" t="s">
        <v>6423</v>
      </c>
      <c r="H13" s="463" t="str">
        <f>IFERROR(VLOOKUP(B13,'03. THIẾT BỊ'!$B$1:$S$836,7,0),"")</f>
        <v>CGTC LP</v>
      </c>
      <c r="I13" s="474" t="str">
        <f>IFERROR(VLOOKUP(B13,'03. THIẾT BỊ'!$B$1:$S$836,8,0),"")</f>
        <v/>
      </c>
      <c r="J13" s="471"/>
      <c r="K13" s="463" t="str">
        <f>IFERROR(VLOOKUP(B13,'03. THIẾT BỊ'!$B$1:$S$836,10,0),"")</f>
        <v>Bình thường</v>
      </c>
      <c r="L13" s="468" t="str">
        <f>IFERROR(VLOOKUP(B13,'03. THIẾT BỊ'!$B$1:$S$836,11,0),"")</f>
        <v/>
      </c>
      <c r="M13" s="472" t="str">
        <f>IFERROR(VLOOKUP(B13,'03. THIẾT BỊ'!$B$1:$S$836,12,0),"")</f>
        <v>Hư (xưởng SC)</v>
      </c>
      <c r="N13" s="468" t="str">
        <f>IFERROR(VLOOKUP(B13,'03. THIẾT BỊ'!$B$1:$S$836,13,0),"")</f>
        <v>TRUNG QUỐC</v>
      </c>
      <c r="O13" s="470" t="str">
        <f>IFERROR(VLOOKUP(B13,'03. THIẾT BỊ'!$B$1:$S$836,14,0),"")</f>
        <v/>
      </c>
      <c r="P13" s="468" t="str">
        <f>IFERROR(VLOOKUP(B13,'03. THIẾT BỊ'!$B$1:$S$836,15,0),"")</f>
        <v>TRUNG QUỐC</v>
      </c>
      <c r="Q13" s="48" t="str">
        <f>IFERROR(VLOOKUP(B13,'03. THIẾT BỊ'!$B$1:$S$836,16,0),"")</f>
        <v/>
      </c>
      <c r="R13" s="471" t="str">
        <f>IFERROR(VLOOKUP(B13,'03. THIẾT BỊ'!$B$1:$S$836,17,0),"")</f>
        <v/>
      </c>
      <c r="S13" s="468" t="str">
        <f>IFERROR(VLOOKUP(B13,'03. THIẾT BỊ'!$B$1:$S$836,18,0),"")</f>
        <v/>
      </c>
      <c r="T13" s="822"/>
    </row>
    <row r="14" ht="15.0" customHeight="1">
      <c r="A14" s="48">
        <f t="shared" si="1"/>
        <v>3</v>
      </c>
      <c r="B14" s="464" t="s">
        <v>3372</v>
      </c>
      <c r="C14" s="239" t="str">
        <f>IFERROR(VLOOKUP(B14,'03. THIẾT BỊ'!$B$1:$S$836,2,0),"")</f>
        <v/>
      </c>
      <c r="D14" s="470" t="str">
        <f>IFERROR(VLOOKUP(B14,'03. THIẾT BỊ'!$B$1:$S$836,3,0),"")</f>
        <v>A24-BDU-004</v>
      </c>
      <c r="E14" s="464" t="str">
        <f>IFERROR(VLOOKUP(B14,'03. THIẾT BỊ'!$B$1:$S$836,4,0),"")</f>
        <v>MUA MỚI</v>
      </c>
      <c r="F14" s="464" t="str">
        <f>IFERROR(VLOOKUP(B14,'03. THIẾT BỊ'!$B$1:$S$836,5,0),"")</f>
        <v>Búa đục bê tông</v>
      </c>
      <c r="G14" s="80" t="s">
        <v>6423</v>
      </c>
      <c r="H14" s="463" t="str">
        <f>IFERROR(VLOOKUP(B14,'03. THIẾT BỊ'!$B$1:$S$836,7,0),"")</f>
        <v>CGTC LP</v>
      </c>
      <c r="I14" s="474" t="str">
        <f>IFERROR(VLOOKUP(B14,'03. THIẾT BỊ'!$B$1:$S$836,8,0),"")</f>
        <v>20/09/2024</v>
      </c>
      <c r="J14" s="471"/>
      <c r="K14" s="463" t="str">
        <f>IFERROR(VLOOKUP(B14,'03. THIẾT BỊ'!$B$1:$S$836,10,0),"")</f>
        <v>Bình thường</v>
      </c>
      <c r="L14" s="468" t="str">
        <f>IFERROR(VLOOKUP(B14,'03. THIẾT BỊ'!$B$1:$S$836,11,0),"")</f>
        <v>Đầu tư mới</v>
      </c>
      <c r="M14" s="472" t="str">
        <f>IFERROR(VLOOKUP(B14,'03. THIẾT BỊ'!$B$1:$S$836,12,0),"")</f>
        <v/>
      </c>
      <c r="N14" s="468" t="str">
        <f>IFERROR(VLOOKUP(B14,'03. THIẾT BỊ'!$B$1:$S$836,13,0),"")</f>
        <v>TRUNG QUỐC</v>
      </c>
      <c r="O14" s="470" t="str">
        <f>IFERROR(VLOOKUP(B14,'03. THIẾT BỊ'!$B$1:$S$836,14,0),"")</f>
        <v>EDT2000</v>
      </c>
      <c r="P14" s="468" t="str">
        <f>IFERROR(VLOOKUP(B14,'03. THIẾT BỊ'!$B$1:$S$836,15,0),"")</f>
        <v>TRUNG QUỐC</v>
      </c>
      <c r="Q14" s="48">
        <f>IFERROR(VLOOKUP(B14,'03. THIẾT BỊ'!$B$1:$S$836,16,0),"")</f>
        <v>2024</v>
      </c>
      <c r="R14" s="471" t="str">
        <f>IFERROR(VLOOKUP(B14,'03. THIẾT BỊ'!$B$1:$S$836,17,0),"")</f>
        <v/>
      </c>
      <c r="S14" s="468" t="str">
        <f>IFERROR(VLOOKUP(B14,'03. THIẾT BỊ'!$B$1:$S$836,18,0),"")</f>
        <v>CNC 162D14HB1</v>
      </c>
      <c r="T14" s="812"/>
    </row>
    <row r="15" ht="15.0" customHeight="1">
      <c r="A15" s="48">
        <f t="shared" si="1"/>
        <v>4</v>
      </c>
      <c r="B15" s="464" t="s">
        <v>3377</v>
      </c>
      <c r="C15" s="239" t="str">
        <f>IFERROR(VLOOKUP(B15,'03. THIẾT BỊ'!$B$1:$S$836,2,0),"")</f>
        <v/>
      </c>
      <c r="D15" s="470" t="str">
        <f>IFERROR(VLOOKUP(B15,'03. THIẾT BỊ'!$B$1:$S$836,3,0),"")</f>
        <v>A24-BDU-006</v>
      </c>
      <c r="E15" s="464" t="str">
        <f>IFERROR(VLOOKUP(B15,'03. THIẾT BỊ'!$B$1:$S$836,4,0),"")</f>
        <v>MUA MỚI</v>
      </c>
      <c r="F15" s="464" t="str">
        <f>IFERROR(VLOOKUP(B15,'03. THIẾT BỊ'!$B$1:$S$836,5,0),"")</f>
        <v>Búa đục bê tông</v>
      </c>
      <c r="G15" s="80" t="s">
        <v>6423</v>
      </c>
      <c r="H15" s="463" t="str">
        <f>IFERROR(VLOOKUP(B15,'03. THIẾT BỊ'!$B$1:$S$836,7,0),"")</f>
        <v>CGTC LP</v>
      </c>
      <c r="I15" s="474" t="str">
        <f>IFERROR(VLOOKUP(B15,'03. THIẾT BỊ'!$B$1:$S$836,8,0),"")</f>
        <v>20/03/2025</v>
      </c>
      <c r="J15" s="471"/>
      <c r="K15" s="463" t="str">
        <f>IFERROR(VLOOKUP(B15,'03. THIẾT BỊ'!$B$1:$S$836,10,0),"")</f>
        <v>Bình thường</v>
      </c>
      <c r="L15" s="468" t="str">
        <f>IFERROR(VLOOKUP(B15,'03. THIẾT BỊ'!$B$1:$S$836,11,0),"")</f>
        <v>Đầu tư mới</v>
      </c>
      <c r="M15" s="472" t="str">
        <f>IFERROR(VLOOKUP(B15,'03. THIẾT BỊ'!$B$1:$S$836,12,0),"")</f>
        <v/>
      </c>
      <c r="N15" s="468" t="str">
        <f>IFERROR(VLOOKUP(B15,'03. THIẾT BỊ'!$B$1:$S$836,13,0),"")</f>
        <v>FURUKAWA</v>
      </c>
      <c r="O15" s="470" t="str">
        <f>IFERROR(VLOOKUP(B15,'03. THIẾT BỊ'!$B$1:$S$836,14,0),"")</f>
        <v>FXJ275/ZB10154</v>
      </c>
      <c r="P15" s="468" t="str">
        <f>IFERROR(VLOOKUP(B15,'03. THIẾT BỊ'!$B$1:$S$836,15,0),"")</f>
        <v>NHẬT BẢN</v>
      </c>
      <c r="Q15" s="48">
        <f>IFERROR(VLOOKUP(B15,'03. THIẾT BỊ'!$B$1:$S$836,16,0),"")</f>
        <v>2016</v>
      </c>
      <c r="R15" s="471" t="str">
        <f>IFERROR(VLOOKUP(B15,'03. THIẾT BỊ'!$B$1:$S$836,17,0),"")</f>
        <v/>
      </c>
      <c r="S15" s="468">
        <f>IFERROR(VLOOKUP(B15,'03. THIẾT BỊ'!$B$1:$S$836,18,0),"")</f>
        <v>1892</v>
      </c>
      <c r="T15" s="812"/>
    </row>
    <row r="16" ht="15.0" customHeight="1">
      <c r="A16" s="48">
        <f t="shared" si="1"/>
        <v>5</v>
      </c>
      <c r="B16" s="468" t="s">
        <v>3481</v>
      </c>
      <c r="C16" s="239" t="str">
        <f>IFERROR(VLOOKUP(B16,'03. THIẾT BỊ'!$B$1:$S$836,2,0),"")</f>
        <v/>
      </c>
      <c r="D16" s="470" t="str">
        <f>IFERROR(VLOOKUP(B16,'03. THIẾT BỊ'!$B$1:$S$836,3,0),"")</f>
        <v>A22-BDU-002</v>
      </c>
      <c r="E16" s="464" t="str">
        <f>IFERROR(VLOOKUP(B16,'03. THIẾT BỊ'!$B$1:$S$836,4,0),"")</f>
        <v>ĐQSD</v>
      </c>
      <c r="F16" s="464" t="str">
        <f>IFERROR(VLOOKUP(B16,'03. THIẾT BỊ'!$B$1:$S$836,5,0),"")</f>
        <v>Búa đục bê tông</v>
      </c>
      <c r="G16" s="80" t="s">
        <v>6423</v>
      </c>
      <c r="H16" s="463" t="str">
        <f>IFERROR(VLOOKUP(B16,'03. THIẾT BỊ'!$B$1:$S$836,7,0),"")</f>
        <v>CGTC AD</v>
      </c>
      <c r="I16" s="474" t="str">
        <f>IFERROR(VLOOKUP(B16,'03. THIẾT BỊ'!$B$1:$S$836,8,0),"")</f>
        <v/>
      </c>
      <c r="J16" s="471"/>
      <c r="K16" s="463" t="str">
        <f>IFERROR(VLOOKUP(B16,'03. THIẾT BỊ'!$B$1:$S$836,10,0),"")</f>
        <v>Bình thường</v>
      </c>
      <c r="L16" s="468" t="str">
        <f>IFERROR(VLOOKUP(B16,'03. THIẾT BỊ'!$B$1:$S$836,11,0),"")</f>
        <v/>
      </c>
      <c r="M16" s="472" t="str">
        <f>IFERROR(VLOOKUP(B16,'03. THIẾT BỊ'!$B$1:$S$836,12,0),"")</f>
        <v/>
      </c>
      <c r="N16" s="468" t="str">
        <f>IFERROR(VLOOKUP(B16,'03. THIẾT BỊ'!$B$1:$S$836,13,0),"")</f>
        <v>TRUNG QUỐC</v>
      </c>
      <c r="O16" s="470" t="str">
        <f>IFERROR(VLOOKUP(B16,'03. THIẾT BỊ'!$B$1:$S$836,14,0),"")</f>
        <v/>
      </c>
      <c r="P16" s="468" t="str">
        <f>IFERROR(VLOOKUP(B16,'03. THIẾT BỊ'!$B$1:$S$836,15,0),"")</f>
        <v>TRUNG QUỐC</v>
      </c>
      <c r="Q16" s="48" t="str">
        <f>IFERROR(VLOOKUP(B16,'03. THIẾT BỊ'!$B$1:$S$836,16,0),"")</f>
        <v/>
      </c>
      <c r="R16" s="471" t="str">
        <f>IFERROR(VLOOKUP(B16,'03. THIẾT BỊ'!$B$1:$S$836,17,0),"")</f>
        <v/>
      </c>
      <c r="S16" s="468" t="str">
        <f>IFERROR(VLOOKUP(B16,'03. THIẾT BỊ'!$B$1:$S$836,18,0),"")</f>
        <v/>
      </c>
      <c r="T16" s="812"/>
    </row>
    <row r="17" ht="15.0" customHeight="1">
      <c r="A17" s="48">
        <f t="shared" si="1"/>
        <v>6</v>
      </c>
      <c r="B17" s="468" t="s">
        <v>3483</v>
      </c>
      <c r="C17" s="239" t="str">
        <f>IFERROR(VLOOKUP(B17,'03. THIẾT BỊ'!$B$1:$S$836,2,0),"")</f>
        <v/>
      </c>
      <c r="D17" s="470" t="str">
        <f>IFERROR(VLOOKUP(B17,'03. THIẾT BỊ'!$B$1:$S$836,3,0),"")</f>
        <v>A22-BDU-003</v>
      </c>
      <c r="E17" s="464" t="str">
        <f>IFERROR(VLOOKUP(B17,'03. THIẾT BỊ'!$B$1:$S$836,4,0),"")</f>
        <v>ĐQSD</v>
      </c>
      <c r="F17" s="464" t="str">
        <f>IFERROR(VLOOKUP(B17,'03. THIẾT BỊ'!$B$1:$S$836,5,0),"")</f>
        <v>Búa đục bê tông</v>
      </c>
      <c r="G17" s="80" t="s">
        <v>6423</v>
      </c>
      <c r="H17" s="463" t="str">
        <f>IFERROR(VLOOKUP(B17,'03. THIẾT BỊ'!$B$1:$S$836,7,0),"")</f>
        <v>CGTC AD</v>
      </c>
      <c r="I17" s="474" t="str">
        <f>IFERROR(VLOOKUP(B17,'03. THIẾT BỊ'!$B$1:$S$836,8,0),"")</f>
        <v>26/06/2024</v>
      </c>
      <c r="J17" s="471"/>
      <c r="K17" s="463" t="str">
        <f>IFERROR(VLOOKUP(B17,'03. THIẾT BỊ'!$B$1:$S$836,10,0),"")</f>
        <v>Bình thường</v>
      </c>
      <c r="L17" s="468" t="str">
        <f>IFERROR(VLOOKUP(B17,'03. THIẾT BỊ'!$B$1:$S$836,11,0),"")</f>
        <v/>
      </c>
      <c r="M17" s="472" t="str">
        <f>IFERROR(VLOOKUP(B17,'03. THIẾT BỊ'!$B$1:$S$836,12,0),"")</f>
        <v/>
      </c>
      <c r="N17" s="468" t="str">
        <f>IFERROR(VLOOKUP(B17,'03. THIẾT BỊ'!$B$1:$S$836,13,0),"")</f>
        <v>TRUNG QUỐC</v>
      </c>
      <c r="O17" s="470" t="str">
        <f>IFERROR(VLOOKUP(B17,'03. THIẾT BỊ'!$B$1:$S$836,14,0),"")</f>
        <v>EDT</v>
      </c>
      <c r="P17" s="468" t="str">
        <f>IFERROR(VLOOKUP(B17,'03. THIẾT BỊ'!$B$1:$S$836,15,0),"")</f>
        <v>TRUNG QUỐC</v>
      </c>
      <c r="Q17" s="48">
        <f>IFERROR(VLOOKUP(B17,'03. THIẾT BỊ'!$B$1:$S$836,16,0),"")</f>
        <v>2024</v>
      </c>
      <c r="R17" s="471" t="str">
        <f>IFERROR(VLOOKUP(B17,'03. THIẾT BỊ'!$B$1:$S$836,17,0),"")</f>
        <v>Đường kính đinh: 135mm</v>
      </c>
      <c r="S17" s="468" t="str">
        <f>IFERROR(VLOOKUP(B17,'03. THIẾT BỊ'!$B$1:$S$836,18,0),"")</f>
        <v>CNB 0051 E52HB1</v>
      </c>
      <c r="T17" s="807"/>
    </row>
    <row r="18" ht="15.0" customHeight="1">
      <c r="A18" s="48">
        <f t="shared" si="1"/>
        <v>7</v>
      </c>
      <c r="B18" s="464" t="s">
        <v>3489</v>
      </c>
      <c r="C18" s="239" t="str">
        <f>IFERROR(VLOOKUP(B18,'03. THIẾT BỊ'!$B$1:$S$836,2,0),"")</f>
        <v/>
      </c>
      <c r="D18" s="470" t="str">
        <f>IFERROR(VLOOKUP(B18,'03. THIẾT BỊ'!$B$1:$S$836,3,0),"")</f>
        <v>A22-BDU-004</v>
      </c>
      <c r="E18" s="464" t="str">
        <f>IFERROR(VLOOKUP(B18,'03. THIẾT BỊ'!$B$1:$S$836,4,0),"")</f>
        <v>MUA MỚI</v>
      </c>
      <c r="F18" s="464" t="str">
        <f>IFERROR(VLOOKUP(B18,'03. THIẾT BỊ'!$B$1:$S$836,5,0),"")</f>
        <v>Búa đục bê tông</v>
      </c>
      <c r="G18" s="80" t="s">
        <v>6423</v>
      </c>
      <c r="H18" s="463" t="str">
        <f>IFERROR(VLOOKUP(B18,'03. THIẾT BỊ'!$B$1:$S$836,7,0),"")</f>
        <v>CGTC AD</v>
      </c>
      <c r="I18" s="474" t="str">
        <f>IFERROR(VLOOKUP(B18,'03. THIẾT BỊ'!$B$1:$S$836,8,0),"")</f>
        <v>28/05/2025</v>
      </c>
      <c r="J18" s="471"/>
      <c r="K18" s="463" t="str">
        <f>IFERROR(VLOOKUP(B18,'03. THIẾT BỊ'!$B$1:$S$836,10,0),"")</f>
        <v>Bình thường</v>
      </c>
      <c r="L18" s="468" t="str">
        <f>IFERROR(VLOOKUP(B18,'03. THIẾT BỊ'!$B$1:$S$836,11,0),"")</f>
        <v>Đầu tư mới (ĐQSD)</v>
      </c>
      <c r="M18" s="472" t="str">
        <f>IFERROR(VLOOKUP(B18,'03. THIẾT BỊ'!$B$1:$S$836,12,0),"")</f>
        <v/>
      </c>
      <c r="N18" s="468" t="str">
        <f>IFERROR(VLOOKUP(B18,'03. THIẾT BỊ'!$B$1:$S$836,13,0),"")</f>
        <v>FURUKAWA</v>
      </c>
      <c r="O18" s="470" t="str">
        <f>IFERROR(VLOOKUP(B18,'03. THIẾT BỊ'!$B$1:$S$836,14,0),"")</f>
        <v>F22</v>
      </c>
      <c r="P18" s="468" t="str">
        <f>IFERROR(VLOOKUP(B18,'03. THIẾT BỊ'!$B$1:$S$836,15,0),"")</f>
        <v>NHẬT BẢN</v>
      </c>
      <c r="Q18" s="48" t="str">
        <f>IFERROR(VLOOKUP(B18,'03. THIẾT BỊ'!$B$1:$S$836,16,0),"")</f>
        <v/>
      </c>
      <c r="R18" s="471" t="str">
        <f>IFERROR(VLOOKUP(B18,'03. THIẾT BỊ'!$B$1:$S$836,17,0),"")</f>
        <v/>
      </c>
      <c r="S18" s="468" t="str">
        <f>IFERROR(VLOOKUP(B18,'03. THIẾT BỊ'!$B$1:$S$836,18,0),"")</f>
        <v>F22-01</v>
      </c>
      <c r="T18" s="812"/>
    </row>
    <row r="19" ht="15.0" customHeight="1">
      <c r="A19" s="48">
        <f t="shared" si="1"/>
        <v>8</v>
      </c>
      <c r="B19" s="464" t="s">
        <v>3493</v>
      </c>
      <c r="C19" s="869" t="str">
        <f>IFERROR(VLOOKUP(B19,'03. THIẾT BỊ'!$B$1:$S$836,2,0),"")</f>
        <v/>
      </c>
      <c r="D19" s="470" t="str">
        <f>IFERROR(VLOOKUP(B19,'03. THIẾT BỊ'!$B$1:$S$836,3,0),"")</f>
        <v>A22-BDU-005</v>
      </c>
      <c r="E19" s="464" t="str">
        <f>IFERROR(VLOOKUP(B19,'03. THIẾT BỊ'!$B$1:$S$836,4,0),"")</f>
        <v>MUA MỚI</v>
      </c>
      <c r="F19" s="464" t="str">
        <f>IFERROR(VLOOKUP(B19,'03. THIẾT BỊ'!$B$1:$S$836,5,0),"")</f>
        <v>Búa đục bê tông</v>
      </c>
      <c r="G19" s="80" t="s">
        <v>6423</v>
      </c>
      <c r="H19" s="463" t="str">
        <f>IFERROR(VLOOKUP(B19,'03. THIẾT BỊ'!$B$1:$S$836,7,0),"")</f>
        <v>CGTC AD</v>
      </c>
      <c r="I19" s="474" t="str">
        <f>IFERROR(VLOOKUP(B19,'03. THIẾT BỊ'!$B$1:$S$836,8,0),"")</f>
        <v>28/05/2025</v>
      </c>
      <c r="J19" s="471"/>
      <c r="K19" s="463" t="str">
        <f>IFERROR(VLOOKUP(B19,'03. THIẾT BỊ'!$B$1:$S$836,10,0),"")</f>
        <v>Bình thường</v>
      </c>
      <c r="L19" s="468" t="str">
        <f>IFERROR(VLOOKUP(B19,'03. THIẾT BỊ'!$B$1:$S$836,11,0),"")</f>
        <v>Đầu tư mới (ĐQSD)</v>
      </c>
      <c r="M19" s="472" t="str">
        <f>IFERROR(VLOOKUP(B19,'03. THIẾT BỊ'!$B$1:$S$836,12,0),"")</f>
        <v/>
      </c>
      <c r="N19" s="468" t="str">
        <f>IFERROR(VLOOKUP(B19,'03. THIẾT BỊ'!$B$1:$S$836,13,0),"")</f>
        <v>FURUKAWA</v>
      </c>
      <c r="O19" s="470" t="str">
        <f>IFERROR(VLOOKUP(B19,'03. THIẾT BỊ'!$B$1:$S$836,14,0),"")</f>
        <v>F22</v>
      </c>
      <c r="P19" s="468" t="str">
        <f>IFERROR(VLOOKUP(B19,'03. THIẾT BỊ'!$B$1:$S$836,15,0),"")</f>
        <v>NHẬT BẢN</v>
      </c>
      <c r="Q19" s="48" t="str">
        <f>IFERROR(VLOOKUP(B19,'03. THIẾT BỊ'!$B$1:$S$836,16,0),"")</f>
        <v/>
      </c>
      <c r="R19" s="471" t="str">
        <f>IFERROR(VLOOKUP(B19,'03. THIẾT BỊ'!$B$1:$S$836,17,0),"")</f>
        <v/>
      </c>
      <c r="S19" s="468" t="str">
        <f>IFERROR(VLOOKUP(B19,'03. THIẾT BỊ'!$B$1:$S$836,18,0),"")</f>
        <v>F22-02</v>
      </c>
      <c r="T19" s="812"/>
    </row>
    <row r="20" ht="15.0" customHeight="1">
      <c r="A20" s="48">
        <f t="shared" si="1"/>
        <v>9</v>
      </c>
      <c r="B20" s="464" t="s">
        <v>3496</v>
      </c>
      <c r="C20" s="869" t="str">
        <f>IFERROR(VLOOKUP(B20,'03. THIẾT BỊ'!$B$1:$S$836,2,0),"")</f>
        <v/>
      </c>
      <c r="D20" s="470" t="str">
        <f>IFERROR(VLOOKUP(B20,'03. THIẾT BỊ'!$B$1:$S$836,3,0),"")</f>
        <v>A22-BDU-006</v>
      </c>
      <c r="E20" s="464" t="str">
        <f>IFERROR(VLOOKUP(B20,'03. THIẾT BỊ'!$B$1:$S$836,4,0),"")</f>
        <v>MUA MỚI</v>
      </c>
      <c r="F20" s="464" t="str">
        <f>IFERROR(VLOOKUP(B20,'03. THIẾT BỊ'!$B$1:$S$836,5,0),"")</f>
        <v>Búa đục bê tông</v>
      </c>
      <c r="G20" s="80" t="s">
        <v>6423</v>
      </c>
      <c r="H20" s="463" t="str">
        <f>IFERROR(VLOOKUP(B20,'03. THIẾT BỊ'!$B$1:$S$836,7,0),"")</f>
        <v>CGTC AD</v>
      </c>
      <c r="I20" s="474" t="str">
        <f>IFERROR(VLOOKUP(B20,'03. THIẾT BỊ'!$B$1:$S$836,8,0),"")</f>
        <v>30/07/2025</v>
      </c>
      <c r="J20" s="471"/>
      <c r="K20" s="463" t="str">
        <f>IFERROR(VLOOKUP(B20,'03. THIẾT BỊ'!$B$1:$S$836,10,0),"")</f>
        <v>Bình thường</v>
      </c>
      <c r="L20" s="468" t="str">
        <f>IFERROR(VLOOKUP(B20,'03. THIẾT BỊ'!$B$1:$S$836,11,0),"")</f>
        <v>Đầu tư mới (ĐQSD)</v>
      </c>
      <c r="M20" s="472" t="str">
        <f>IFERROR(VLOOKUP(B20,'03. THIẾT BỊ'!$B$1:$S$836,12,0),"")</f>
        <v/>
      </c>
      <c r="N20" s="468" t="str">
        <f>IFERROR(VLOOKUP(B20,'03. THIẾT BỊ'!$B$1:$S$836,13,0),"")</f>
        <v>FURUKAWA</v>
      </c>
      <c r="O20" s="470" t="str">
        <f>IFERROR(VLOOKUP(B20,'03. THIẾT BỊ'!$B$1:$S$836,14,0),"")</f>
        <v>F22</v>
      </c>
      <c r="P20" s="468" t="str">
        <f>IFERROR(VLOOKUP(B20,'03. THIẾT BỊ'!$B$1:$S$836,15,0),"")</f>
        <v>NHẬT BẢN</v>
      </c>
      <c r="Q20" s="48" t="str">
        <f>IFERROR(VLOOKUP(B20,'03. THIẾT BỊ'!$B$1:$S$836,16,0),"")</f>
        <v/>
      </c>
      <c r="R20" s="471" t="str">
        <f>IFERROR(VLOOKUP(B20,'03. THIẾT BỊ'!$B$1:$S$836,17,0),"")</f>
        <v/>
      </c>
      <c r="S20" s="468" t="str">
        <f>IFERROR(VLOOKUP(B20,'03. THIẾT BỊ'!$B$1:$S$836,18,0),"")</f>
        <v>F22-03</v>
      </c>
      <c r="T20" s="812"/>
    </row>
    <row r="21" ht="15.0" customHeight="1">
      <c r="A21" s="48">
        <f t="shared" si="1"/>
        <v>10</v>
      </c>
      <c r="B21" s="464" t="s">
        <v>3500</v>
      </c>
      <c r="C21" s="869" t="str">
        <f>IFERROR(VLOOKUP(B21,'03. THIẾT BỊ'!$B$1:$S$836,2,0),"")</f>
        <v/>
      </c>
      <c r="D21" s="470" t="str">
        <f>IFERROR(VLOOKUP(B21,'03. THIẾT BỊ'!$B$1:$S$836,3,0),"")</f>
        <v/>
      </c>
      <c r="E21" s="464" t="str">
        <f>IFERROR(VLOOKUP(B21,'03. THIẾT BỊ'!$B$1:$S$836,4,0),"")</f>
        <v>MUA MỚI</v>
      </c>
      <c r="F21" s="464" t="str">
        <f>IFERROR(VLOOKUP(B21,'03. THIẾT BỊ'!$B$1:$S$836,5,0),"")</f>
        <v>Búa đục bê tông</v>
      </c>
      <c r="G21" s="80" t="s">
        <v>6423</v>
      </c>
      <c r="H21" s="463" t="str">
        <f>IFERROR(VLOOKUP(B21,'03. THIẾT BỊ'!$B$1:$S$836,7,0),"")</f>
        <v>CGTC AD</v>
      </c>
      <c r="I21" s="474" t="str">
        <f>IFERROR(VLOOKUP(B21,'03. THIẾT BỊ'!$B$1:$S$836,8,0),"")</f>
        <v/>
      </c>
      <c r="J21" s="471"/>
      <c r="K21" s="463" t="str">
        <f>IFERROR(VLOOKUP(B21,'03. THIẾT BỊ'!$B$1:$S$836,10,0),"")</f>
        <v>Bình thường</v>
      </c>
      <c r="L21" s="468" t="str">
        <f>IFERROR(VLOOKUP(B21,'03. THIẾT BỊ'!$B$1:$S$836,11,0),"")</f>
        <v>TB sử dụng lâu ngày cập nhật bổ sung</v>
      </c>
      <c r="M21" s="472" t="str">
        <f>IFERROR(VLOOKUP(B21,'03. THIẾT BỊ'!$B$1:$S$836,12,0),"")</f>
        <v/>
      </c>
      <c r="N21" s="468" t="str">
        <f>IFERROR(VLOOKUP(B21,'03. THIẾT BỊ'!$B$1:$S$836,13,0),"")</f>
        <v/>
      </c>
      <c r="O21" s="470" t="str">
        <f>IFERROR(VLOOKUP(B21,'03. THIẾT BỊ'!$B$1:$S$836,14,0),"")</f>
        <v>T2000S</v>
      </c>
      <c r="P21" s="468" t="str">
        <f>IFERROR(VLOOKUP(B21,'03. THIẾT BỊ'!$B$1:$S$836,15,0),"")</f>
        <v/>
      </c>
      <c r="Q21" s="48" t="str">
        <f>IFERROR(VLOOKUP(B21,'03. THIẾT BỊ'!$B$1:$S$836,16,0),"")</f>
        <v/>
      </c>
      <c r="R21" s="471" t="str">
        <f>IFERROR(VLOOKUP(B21,'03. THIẾT BỊ'!$B$1:$S$836,17,0),"")</f>
        <v/>
      </c>
      <c r="S21" s="468" t="str">
        <f>IFERROR(VLOOKUP(B21,'03. THIẾT BỊ'!$B$1:$S$836,18,0),"")</f>
        <v/>
      </c>
      <c r="T21" s="812"/>
    </row>
    <row r="22" ht="15.0" hidden="1" customHeight="1">
      <c r="A22" s="463"/>
      <c r="B22" s="464"/>
      <c r="C22" s="869" t="str">
        <f>IFERROR(VLOOKUP(B22,'03. THIẾT BỊ'!$B$1:$S$836,2,0),"")</f>
        <v/>
      </c>
      <c r="D22" s="470" t="str">
        <f>IFERROR(VLOOKUP(B22,'03. THIẾT BỊ'!$B$1:$S$836,3,0),"")</f>
        <v/>
      </c>
      <c r="E22" s="464" t="str">
        <f>IFERROR(VLOOKUP(B22,'03. THIẾT BỊ'!$B$1:$S$836,4,0),"")</f>
        <v/>
      </c>
      <c r="F22" s="464" t="str">
        <f>IFERROR(VLOOKUP(B22,'03. THIẾT BỊ'!$B$1:$S$836,5,0),"")</f>
        <v/>
      </c>
      <c r="G22" s="80" t="s">
        <v>6423</v>
      </c>
      <c r="H22" s="463" t="str">
        <f>IFERROR(VLOOKUP(B22,'03. THIẾT BỊ'!$B$1:$S$836,7,0),"")</f>
        <v/>
      </c>
      <c r="I22" s="474" t="str">
        <f>IFERROR(VLOOKUP(B22,'03. THIẾT BỊ'!$B$1:$S$836,8,0),"")</f>
        <v/>
      </c>
      <c r="J22" s="471"/>
      <c r="K22" s="463" t="str">
        <f>IFERROR(VLOOKUP(B22,'03. THIẾT BỊ'!$B$1:$S$836,10,0),"")</f>
        <v/>
      </c>
      <c r="L22" s="468" t="str">
        <f>IFERROR(VLOOKUP(B22,'03. THIẾT BỊ'!$B$1:$S$836,11,0),"")</f>
        <v/>
      </c>
      <c r="M22" s="472" t="str">
        <f>IFERROR(VLOOKUP(B22,'03. THIẾT BỊ'!$B$1:$S$836,12,0),"")</f>
        <v/>
      </c>
      <c r="N22" s="468" t="str">
        <f>IFERROR(VLOOKUP(B22,'03. THIẾT BỊ'!$B$1:$S$836,13,0),"")</f>
        <v/>
      </c>
      <c r="O22" s="470" t="str">
        <f>IFERROR(VLOOKUP(B22,'03. THIẾT BỊ'!$B$1:$S$836,14,0),"")</f>
        <v/>
      </c>
      <c r="P22" s="468" t="str">
        <f>IFERROR(VLOOKUP(B22,'03. THIẾT BỊ'!$B$1:$S$836,15,0),"")</f>
        <v/>
      </c>
      <c r="Q22" s="48" t="str">
        <f>IFERROR(VLOOKUP(B22,'03. THIẾT BỊ'!$B$1:$S$836,16,0),"")</f>
        <v/>
      </c>
      <c r="R22" s="471" t="str">
        <f>IFERROR(VLOOKUP(B22,'03. THIẾT BỊ'!$B$1:$S$836,17,0),"")</f>
        <v/>
      </c>
      <c r="S22" s="468" t="str">
        <f>IFERROR(VLOOKUP(B22,'03. THIẾT BỊ'!$B$1:$S$836,18,0),"")</f>
        <v/>
      </c>
      <c r="T22" s="822"/>
    </row>
    <row r="23" ht="15.0" hidden="1" customHeight="1">
      <c r="A23" s="463"/>
      <c r="B23" s="464"/>
      <c r="C23" s="869" t="str">
        <f>IFERROR(VLOOKUP(B23,'03. THIẾT BỊ'!$B$1:$S$836,2,0),"")</f>
        <v/>
      </c>
      <c r="D23" s="470" t="str">
        <f>IFERROR(VLOOKUP(B23,'03. THIẾT BỊ'!$B$1:$S$836,3,0),"")</f>
        <v/>
      </c>
      <c r="E23" s="464" t="str">
        <f>IFERROR(VLOOKUP(B23,'03. THIẾT BỊ'!$B$1:$S$836,4,0),"")</f>
        <v/>
      </c>
      <c r="F23" s="464" t="str">
        <f>IFERROR(VLOOKUP(B23,'03. THIẾT BỊ'!$B$1:$S$836,5,0),"")</f>
        <v/>
      </c>
      <c r="G23" s="80" t="s">
        <v>6423</v>
      </c>
      <c r="H23" s="463" t="str">
        <f>IFERROR(VLOOKUP(B23,'03. THIẾT BỊ'!$B$1:$S$836,7,0),"")</f>
        <v/>
      </c>
      <c r="I23" s="474" t="str">
        <f>IFERROR(VLOOKUP(B23,'03. THIẾT BỊ'!$B$1:$S$836,8,0),"")</f>
        <v/>
      </c>
      <c r="J23" s="471"/>
      <c r="K23" s="463" t="str">
        <f>IFERROR(VLOOKUP(B23,'03. THIẾT BỊ'!$B$1:$S$836,10,0),"")</f>
        <v/>
      </c>
      <c r="L23" s="468" t="str">
        <f>IFERROR(VLOOKUP(B23,'03. THIẾT BỊ'!$B$1:$S$836,11,0),"")</f>
        <v/>
      </c>
      <c r="M23" s="472" t="str">
        <f>IFERROR(VLOOKUP(B23,'03. THIẾT BỊ'!$B$1:$S$836,12,0),"")</f>
        <v/>
      </c>
      <c r="N23" s="468" t="str">
        <f>IFERROR(VLOOKUP(B23,'03. THIẾT BỊ'!$B$1:$S$836,13,0),"")</f>
        <v/>
      </c>
      <c r="O23" s="470" t="str">
        <f>IFERROR(VLOOKUP(B23,'03. THIẾT BỊ'!$B$1:$S$836,14,0),"")</f>
        <v/>
      </c>
      <c r="P23" s="468" t="str">
        <f>IFERROR(VLOOKUP(B23,'03. THIẾT BỊ'!$B$1:$S$836,15,0),"")</f>
        <v/>
      </c>
      <c r="Q23" s="48" t="str">
        <f>IFERROR(VLOOKUP(B23,'03. THIẾT BỊ'!$B$1:$S$836,16,0),"")</f>
        <v/>
      </c>
      <c r="R23" s="471" t="str">
        <f>IFERROR(VLOOKUP(B23,'03. THIẾT BỊ'!$B$1:$S$836,17,0),"")</f>
        <v/>
      </c>
      <c r="S23" s="468" t="str">
        <f>IFERROR(VLOOKUP(B23,'03. THIẾT BỊ'!$B$1:$S$836,18,0),"")</f>
        <v/>
      </c>
      <c r="T23" s="822"/>
    </row>
    <row r="24" ht="15.0" customHeight="1">
      <c r="A24" s="455" t="s">
        <v>76</v>
      </c>
      <c r="B24" s="456" t="s">
        <v>6426</v>
      </c>
      <c r="C24" s="457">
        <f>COUNTA(B25:B30)</f>
        <v>4</v>
      </c>
      <c r="D24" s="458" t="str">
        <f>IFERROR(VLOOKUP(B24,'03. THIẾT BỊ'!$B$1:$S$836,3,0),"")</f>
        <v/>
      </c>
      <c r="E24" s="458" t="str">
        <f>IFERROR(VLOOKUP(B24,'03. THIẾT BỊ'!$B$1:$S$836,4,0),"")</f>
        <v/>
      </c>
      <c r="F24" s="458" t="str">
        <f>IFERROR(VLOOKUP(B24,'03. THIẾT BỊ'!$B$1:$S$836,5,0),"")</f>
        <v/>
      </c>
      <c r="G24" s="459" t="s">
        <v>6423</v>
      </c>
      <c r="H24" s="459" t="str">
        <f>IFERROR(VLOOKUP(B24,'03. THIẾT BỊ'!$B$1:$S$836,7,0),"")</f>
        <v/>
      </c>
      <c r="I24" s="457" t="str">
        <f>IFERROR(VLOOKUP(B24,'03. THIẾT BỊ'!$B$1:$S$836,8,0),"")</f>
        <v/>
      </c>
      <c r="J24" s="460"/>
      <c r="K24" s="457" t="str">
        <f>IFERROR(VLOOKUP(B24,'03. THIẾT BỊ'!$B$1:$S$836,10,0),"")</f>
        <v/>
      </c>
      <c r="L24" s="458" t="str">
        <f>IFERROR(VLOOKUP(B24,'03. THIẾT BỊ'!$B$1:$S$836,11,0),"")</f>
        <v/>
      </c>
      <c r="M24" s="461" t="str">
        <f>IFERROR(VLOOKUP(B24,'03. THIẾT BỊ'!$B$1:$S$836,12,0),"")</f>
        <v/>
      </c>
      <c r="N24" s="458" t="str">
        <f>IFERROR(VLOOKUP(B24,'03. THIẾT BỊ'!$B$1:$S$836,13,0),"")</f>
        <v/>
      </c>
      <c r="O24" s="461" t="str">
        <f>IFERROR(VLOOKUP(B24,'03. THIẾT BỊ'!$B$1:$S$836,14,0),"")</f>
        <v/>
      </c>
      <c r="P24" s="458" t="str">
        <f>IFERROR(VLOOKUP(B24,'03. THIẾT BỊ'!$B$1:$S$836,15,0),"")</f>
        <v/>
      </c>
      <c r="Q24" s="459" t="str">
        <f>IFERROR(VLOOKUP(B24,'03. THIẾT BỊ'!$B$1:$S$836,16,0),"")</f>
        <v/>
      </c>
      <c r="R24" s="458" t="str">
        <f>IFERROR(VLOOKUP(B24,'03. THIẾT BỊ'!$B$1:$S$836,17,0),"")</f>
        <v/>
      </c>
      <c r="S24" s="458" t="str">
        <f>IFERROR(VLOOKUP(B24,'03. THIẾT BỊ'!$B$1:$S$836,18,0),"")</f>
        <v/>
      </c>
      <c r="T24" s="866"/>
    </row>
    <row r="25" ht="15.0" customHeight="1">
      <c r="A25" s="48">
        <v>1.0</v>
      </c>
      <c r="B25" s="464" t="s">
        <v>3242</v>
      </c>
      <c r="C25" s="869" t="str">
        <f>IFERROR(VLOOKUP(B25,'03. THIẾT BỊ'!$B$1:$S$836,2,0),"")</f>
        <v/>
      </c>
      <c r="D25" s="470" t="str">
        <f>IFERROR(VLOOKUP(B25,'03. THIẾT BỊ'!$B$1:$S$836,3,0),"")</f>
        <v>A23-CMĐ-001</v>
      </c>
      <c r="E25" s="464" t="str">
        <f>IFERROR(VLOOKUP(B25,'03. THIẾT BỊ'!$B$1:$S$836,4,0),"")</f>
        <v>ĐQSD</v>
      </c>
      <c r="F25" s="464" t="str">
        <f>IFERROR(VLOOKUP(B25,'03. THIẾT BỊ'!$B$1:$S$836,5,0),"")</f>
        <v>Cần dài M.Đào Sumitomo (16m)</v>
      </c>
      <c r="G25" s="80" t="s">
        <v>6423</v>
      </c>
      <c r="H25" s="463" t="str">
        <f>IFERROR(VLOOKUP(B25,'03. THIẾT BỊ'!$B$1:$S$836,7,0),"")</f>
        <v>CGTC DP</v>
      </c>
      <c r="I25" s="474" t="str">
        <f>IFERROR(VLOOKUP(B25,'03. THIẾT BỊ'!$B$1:$S$836,8,0),"")</f>
        <v/>
      </c>
      <c r="J25" s="471"/>
      <c r="K25" s="463" t="str">
        <f>IFERROR(VLOOKUP(B25,'03. THIẾT BỊ'!$B$1:$S$836,10,0),"")</f>
        <v>Bình thường</v>
      </c>
      <c r="L25" s="468" t="str">
        <f>IFERROR(VLOOKUP(B25,'03. THIẾT BỊ'!$B$1:$S$836,11,0),"")</f>
        <v/>
      </c>
      <c r="M25" s="472" t="str">
        <f>IFERROR(VLOOKUP(B25,'03. THIẾT BỊ'!$B$1:$S$836,12,0),"")</f>
        <v/>
      </c>
      <c r="N25" s="468" t="str">
        <f>IFERROR(VLOOKUP(B25,'03. THIẾT BỊ'!$B$1:$S$836,13,0),"")</f>
        <v>TRUNG QUỐC</v>
      </c>
      <c r="O25" s="470" t="str">
        <f>IFERROR(VLOOKUP(B25,'03. THIẾT BỊ'!$B$1:$S$836,14,0),"")</f>
        <v>16m</v>
      </c>
      <c r="P25" s="468" t="str">
        <f>IFERROR(VLOOKUP(B25,'03. THIẾT BỊ'!$B$1:$S$836,15,0),"")</f>
        <v>TRUNG QUỐC</v>
      </c>
      <c r="Q25" s="48" t="str">
        <f>IFERROR(VLOOKUP(B25,'03. THIẾT BỊ'!$B$1:$S$836,16,0),"")</f>
        <v/>
      </c>
      <c r="R25" s="471" t="str">
        <f>IFERROR(VLOOKUP(B25,'03. THIẾT BỊ'!$B$1:$S$836,17,0),"")</f>
        <v/>
      </c>
      <c r="S25" s="468" t="str">
        <f>IFERROR(VLOOKUP(B25,'03. THIẾT BỊ'!$B$1:$S$836,18,0),"")</f>
        <v/>
      </c>
      <c r="T25" s="822"/>
    </row>
    <row r="26" ht="15.0" customHeight="1">
      <c r="A26" s="463">
        <v>2.0</v>
      </c>
      <c r="B26" s="464" t="s">
        <v>3246</v>
      </c>
      <c r="C26" s="869" t="str">
        <f>IFERROR(VLOOKUP(B26,'03. THIẾT BỊ'!$B$1:$S$836,2,0),"")</f>
        <v/>
      </c>
      <c r="D26" s="470" t="str">
        <f>IFERROR(VLOOKUP(B26,'03. THIẾT BỊ'!$B$1:$S$836,3,0),"")</f>
        <v>A23-CMĐ-002</v>
      </c>
      <c r="E26" s="464" t="str">
        <f>IFERROR(VLOOKUP(B26,'03. THIẾT BỊ'!$B$1:$S$836,4,0),"")</f>
        <v>ĐQSD</v>
      </c>
      <c r="F26" s="464" t="str">
        <f>IFERROR(VLOOKUP(B26,'03. THIẾT BỊ'!$B$1:$S$836,5,0),"")</f>
        <v>Cần dài M.Đào Kobeco (18m)</v>
      </c>
      <c r="G26" s="80" t="s">
        <v>6423</v>
      </c>
      <c r="H26" s="463" t="str">
        <f>IFERROR(VLOOKUP(B26,'03. THIẾT BỊ'!$B$1:$S$836,7,0),"")</f>
        <v>CGTC DP</v>
      </c>
      <c r="I26" s="474" t="str">
        <f>IFERROR(VLOOKUP(B26,'03. THIẾT BỊ'!$B$1:$S$836,8,0),"")</f>
        <v/>
      </c>
      <c r="J26" s="471"/>
      <c r="K26" s="463" t="str">
        <f>IFERROR(VLOOKUP(B26,'03. THIẾT BỊ'!$B$1:$S$836,10,0),"")</f>
        <v>Bình thường</v>
      </c>
      <c r="L26" s="468" t="str">
        <f>IFERROR(VLOOKUP(B26,'03. THIẾT BỊ'!$B$1:$S$836,11,0),"")</f>
        <v/>
      </c>
      <c r="M26" s="472" t="str">
        <f>IFERROR(VLOOKUP(B26,'03. THIẾT BỊ'!$B$1:$S$836,12,0),"")</f>
        <v/>
      </c>
      <c r="N26" s="468" t="str">
        <f>IFERROR(VLOOKUP(B26,'03. THIẾT BỊ'!$B$1:$S$836,13,0),"")</f>
        <v>TRUNG QUỐC</v>
      </c>
      <c r="O26" s="470" t="str">
        <f>IFERROR(VLOOKUP(B26,'03. THIẾT BỊ'!$B$1:$S$836,14,0),"")</f>
        <v>18m</v>
      </c>
      <c r="P26" s="468" t="str">
        <f>IFERROR(VLOOKUP(B26,'03. THIẾT BỊ'!$B$1:$S$836,15,0),"")</f>
        <v>TRUNG QUỐC</v>
      </c>
      <c r="Q26" s="48" t="str">
        <f>IFERROR(VLOOKUP(B26,'03. THIẾT BỊ'!$B$1:$S$836,16,0),"")</f>
        <v/>
      </c>
      <c r="R26" s="471" t="str">
        <f>IFERROR(VLOOKUP(B26,'03. THIẾT BỊ'!$B$1:$S$836,17,0),"")</f>
        <v/>
      </c>
      <c r="S26" s="468" t="str">
        <f>IFERROR(VLOOKUP(B26,'03. THIẾT BỊ'!$B$1:$S$836,18,0),"")</f>
        <v/>
      </c>
      <c r="T26" s="812"/>
    </row>
    <row r="27" ht="15.0" customHeight="1">
      <c r="A27" s="48">
        <v>3.0</v>
      </c>
      <c r="B27" s="464" t="s">
        <v>3474</v>
      </c>
      <c r="C27" s="869" t="str">
        <f>IFERROR(VLOOKUP(B27,'03. THIẾT BỊ'!$B$1:$S$836,2,0),"")</f>
        <v>CHT-CMĐ-002</v>
      </c>
      <c r="D27" s="470" t="str">
        <f>IFERROR(VLOOKUP(B27,'03. THIẾT BỊ'!$B$1:$S$836,3,0),"")</f>
        <v>A22-CMĐ-003</v>
      </c>
      <c r="E27" s="464" t="str">
        <f>IFERROR(VLOOKUP(B27,'03. THIẾT BỊ'!$B$1:$S$836,4,0),"")</f>
        <v>ĐQSD</v>
      </c>
      <c r="F27" s="464" t="str">
        <f>IFERROR(VLOOKUP(B27,'03. THIẾT BỊ'!$B$1:$S$836,5,0),"")</f>
        <v>Cần dài M.Đào Sumitomo (16m)</v>
      </c>
      <c r="G27" s="80" t="s">
        <v>6423</v>
      </c>
      <c r="H27" s="463" t="str">
        <f>IFERROR(VLOOKUP(B27,'03. THIẾT BỊ'!$B$1:$S$836,7,0),"")</f>
        <v>CGTC AD</v>
      </c>
      <c r="I27" s="474"/>
      <c r="J27" s="471"/>
      <c r="K27" s="463" t="str">
        <f>IFERROR(VLOOKUP(B27,'03. THIẾT BỊ'!$B$1:$S$836,10,0),"")</f>
        <v>Bình thường</v>
      </c>
      <c r="L27" s="468" t="str">
        <f>IFERROR(VLOOKUP(B27,'03. THIẾT BỊ'!$B$1:$S$836,11,0),"")</f>
        <v/>
      </c>
      <c r="M27" s="472" t="str">
        <f>IFERROR(VLOOKUP(B27,'03. THIẾT BỊ'!$B$1:$S$836,12,0),"")</f>
        <v/>
      </c>
      <c r="N27" s="468" t="str">
        <f>IFERROR(VLOOKUP(B27,'03. THIẾT BỊ'!$B$1:$S$836,13,0),"")</f>
        <v>TRUNG QUỐC</v>
      </c>
      <c r="O27" s="470" t="str">
        <f>IFERROR(VLOOKUP(B27,'03. THIẾT BỊ'!$B$1:$S$836,14,0),"")</f>
        <v>16m</v>
      </c>
      <c r="P27" s="468" t="str">
        <f>IFERROR(VLOOKUP(B27,'03. THIẾT BỊ'!$B$1:$S$836,15,0),"")</f>
        <v>TRUNG QUỐC</v>
      </c>
      <c r="Q27" s="48" t="str">
        <f>IFERROR(VLOOKUP(B27,'03. THIẾT BỊ'!$B$1:$S$836,16,0),"")</f>
        <v/>
      </c>
      <c r="R27" s="471" t="str">
        <f>IFERROR(VLOOKUP(B27,'03. THIẾT BỊ'!$B$1:$S$836,17,0),"")</f>
        <v/>
      </c>
      <c r="S27" s="468" t="str">
        <f>IFERROR(VLOOKUP(B27,'03. THIẾT BỊ'!$B$1:$S$836,18,0),"")</f>
        <v/>
      </c>
      <c r="T27" s="812"/>
    </row>
    <row r="28" ht="15.0" customHeight="1">
      <c r="A28" s="463">
        <v>4.0</v>
      </c>
      <c r="B28" s="464" t="s">
        <v>3476</v>
      </c>
      <c r="C28" s="869" t="str">
        <f>IFERROR(VLOOKUP(B28,'03. THIẾT BỊ'!$B$1:$S$836,2,0),"")</f>
        <v/>
      </c>
      <c r="D28" s="470" t="str">
        <f>IFERROR(VLOOKUP(B28,'03. THIẾT BỊ'!$B$1:$S$836,3,0),"")</f>
        <v>A22-CMĐ-004</v>
      </c>
      <c r="E28" s="464" t="str">
        <f>IFERROR(VLOOKUP(B28,'03. THIẾT BỊ'!$B$1:$S$836,4,0),"")</f>
        <v>ĐQSD</v>
      </c>
      <c r="F28" s="464" t="str">
        <f>IFERROR(VLOOKUP(B28,'03. THIẾT BỊ'!$B$1:$S$836,5,0),"")</f>
        <v>Cần dài M.Đào Doosan (12m)</v>
      </c>
      <c r="G28" s="80" t="s">
        <v>6423</v>
      </c>
      <c r="H28" s="463" t="str">
        <f>IFERROR(VLOOKUP(B28,'03. THIẾT BỊ'!$B$1:$S$836,7,0),"")</f>
        <v>CGTC AD</v>
      </c>
      <c r="I28" s="474"/>
      <c r="J28" s="471"/>
      <c r="K28" s="463" t="str">
        <f>IFERROR(VLOOKUP(B28,'03. THIẾT BỊ'!$B$1:$S$836,10,0),"")</f>
        <v>Hư hỏng</v>
      </c>
      <c r="L28" s="468" t="str">
        <f>IFERROR(VLOOKUP(B28,'03. THIẾT BỊ'!$B$1:$S$836,11,0),"")</f>
        <v/>
      </c>
      <c r="M28" s="472" t="str">
        <f>IFERROR(VLOOKUP(B28,'03. THIẾT BỊ'!$B$1:$S$836,12,0),"")</f>
        <v>Đang ở XSC</v>
      </c>
      <c r="N28" s="468" t="str">
        <f>IFERROR(VLOOKUP(B28,'03. THIẾT BỊ'!$B$1:$S$836,13,0),"")</f>
        <v>TRUNG QUỐC</v>
      </c>
      <c r="O28" s="470" t="str">
        <f>IFERROR(VLOOKUP(B28,'03. THIẾT BỊ'!$B$1:$S$836,14,0),"")</f>
        <v>12m</v>
      </c>
      <c r="P28" s="468" t="str">
        <f>IFERROR(VLOOKUP(B28,'03. THIẾT BỊ'!$B$1:$S$836,15,0),"")</f>
        <v>TRUNG QUỐC</v>
      </c>
      <c r="Q28" s="48" t="str">
        <f>IFERROR(VLOOKUP(B28,'03. THIẾT BỊ'!$B$1:$S$836,16,0),"")</f>
        <v/>
      </c>
      <c r="R28" s="471" t="str">
        <f>IFERROR(VLOOKUP(B28,'03. THIẾT BỊ'!$B$1:$S$836,17,0),"")</f>
        <v/>
      </c>
      <c r="S28" s="468" t="str">
        <f>IFERROR(VLOOKUP(B28,'03. THIẾT BỊ'!$B$1:$S$836,18,0),"")</f>
        <v/>
      </c>
      <c r="T28" s="812"/>
    </row>
    <row r="29">
      <c r="C29" s="869" t="str">
        <f>IFERROR(VLOOKUP(B29,'03. THIẾT BỊ'!$B$1:$S$836,2,0),"")</f>
        <v/>
      </c>
      <c r="D29" s="470" t="str">
        <f>IFERROR(VLOOKUP(B29,'03. THIẾT BỊ'!$B$1:$S$836,3,0),"")</f>
        <v/>
      </c>
      <c r="E29" s="464" t="str">
        <f>IFERROR(VLOOKUP(B29,'03. THIẾT BỊ'!$B$1:$S$836,4,0),"")</f>
        <v/>
      </c>
      <c r="F29" s="464" t="str">
        <f>IFERROR(VLOOKUP(B29,'03. THIẾT BỊ'!$B$1:$S$836,5,0),"")</f>
        <v/>
      </c>
      <c r="G29" s="80" t="s">
        <v>6423</v>
      </c>
      <c r="H29" s="463" t="str">
        <f>IFERROR(VLOOKUP(B29,'03. THIẾT BỊ'!$B$1:$S$836,7,0),"")</f>
        <v/>
      </c>
      <c r="I29" s="474" t="str">
        <f>IFERROR(VLOOKUP(B29,'03. THIẾT BỊ'!$B$1:$S$836,8,0),"")</f>
        <v/>
      </c>
      <c r="J29" s="471"/>
      <c r="K29" s="463" t="str">
        <f>IFERROR(VLOOKUP(B29,'03. THIẾT BỊ'!$B$1:$S$836,10,0),"")</f>
        <v/>
      </c>
      <c r="L29" s="468" t="str">
        <f>IFERROR(VLOOKUP(B29,'03. THIẾT BỊ'!$B$1:$S$836,11,0),"")</f>
        <v/>
      </c>
      <c r="M29" s="472" t="str">
        <f>IFERROR(VLOOKUP(B29,'03. THIẾT BỊ'!$B$1:$S$836,12,0),"")</f>
        <v/>
      </c>
      <c r="N29" s="468" t="str">
        <f>IFERROR(VLOOKUP(B29,'03. THIẾT BỊ'!$B$1:$S$836,13,0),"")</f>
        <v/>
      </c>
      <c r="O29" s="470" t="str">
        <f>IFERROR(VLOOKUP(B29,'03. THIẾT BỊ'!$B$1:$S$836,14,0),"")</f>
        <v/>
      </c>
      <c r="P29" s="468" t="str">
        <f>IFERROR(VLOOKUP(B29,'03. THIẾT BỊ'!$B$1:$S$836,15,0),"")</f>
        <v/>
      </c>
      <c r="Q29" s="48" t="str">
        <f>IFERROR(VLOOKUP(B29,'03. THIẾT BỊ'!$B$1:$S$836,16,0),"")</f>
        <v/>
      </c>
      <c r="R29" s="471" t="str">
        <f>IFERROR(VLOOKUP(B29,'03. THIẾT BỊ'!$B$1:$S$836,17,0),"")</f>
        <v/>
      </c>
      <c r="S29" s="468" t="str">
        <f>IFERROR(VLOOKUP(B29,'03. THIẾT BỊ'!$B$1:$S$836,18,0),"")</f>
        <v/>
      </c>
    </row>
    <row r="30">
      <c r="C30" s="869" t="str">
        <f>IFERROR(VLOOKUP(B30,'03. THIẾT BỊ'!$B$1:$S$836,2,0),"")</f>
        <v/>
      </c>
      <c r="D30" s="470" t="str">
        <f>IFERROR(VLOOKUP(B30,'03. THIẾT BỊ'!$B$1:$S$836,3,0),"")</f>
        <v/>
      </c>
      <c r="E30" s="464" t="str">
        <f>IFERROR(VLOOKUP(B30,'03. THIẾT BỊ'!$B$1:$S$836,4,0),"")</f>
        <v/>
      </c>
      <c r="F30" s="464" t="str">
        <f>IFERROR(VLOOKUP(B30,'03. THIẾT BỊ'!$B$1:$S$836,5,0),"")</f>
        <v/>
      </c>
      <c r="G30" s="80" t="s">
        <v>6423</v>
      </c>
      <c r="H30" s="463" t="str">
        <f>IFERROR(VLOOKUP(B30,'03. THIẾT BỊ'!$B$1:$S$836,7,0),"")</f>
        <v/>
      </c>
      <c r="I30" s="474" t="str">
        <f>IFERROR(VLOOKUP(B30,'03. THIẾT BỊ'!$B$1:$S$836,8,0),"")</f>
        <v/>
      </c>
      <c r="J30" s="471"/>
      <c r="K30" s="463" t="str">
        <f>IFERROR(VLOOKUP(B30,'03. THIẾT BỊ'!$B$1:$S$836,10,0),"")</f>
        <v/>
      </c>
      <c r="L30" s="468" t="str">
        <f>IFERROR(VLOOKUP(B30,'03. THIẾT BỊ'!$B$1:$S$836,11,0),"")</f>
        <v/>
      </c>
      <c r="M30" s="472" t="str">
        <f>IFERROR(VLOOKUP(B30,'03. THIẾT BỊ'!$B$1:$S$836,12,0),"")</f>
        <v/>
      </c>
      <c r="N30" s="468" t="str">
        <f>IFERROR(VLOOKUP(B30,'03. THIẾT BỊ'!$B$1:$S$836,13,0),"")</f>
        <v/>
      </c>
      <c r="O30" s="470" t="str">
        <f>IFERROR(VLOOKUP(B30,'03. THIẾT BỊ'!$B$1:$S$836,14,0),"")</f>
        <v/>
      </c>
      <c r="P30" s="468" t="str">
        <f>IFERROR(VLOOKUP(B30,'03. THIẾT BỊ'!$B$1:$S$836,15,0),"")</f>
        <v/>
      </c>
      <c r="Q30" s="48" t="str">
        <f>IFERROR(VLOOKUP(B30,'03. THIẾT BỊ'!$B$1:$S$836,16,0),"")</f>
        <v/>
      </c>
      <c r="R30" s="471" t="str">
        <f>IFERROR(VLOOKUP(B30,'03. THIẾT BỊ'!$B$1:$S$836,17,0),"")</f>
        <v/>
      </c>
      <c r="S30" s="468" t="str">
        <f>IFERROR(VLOOKUP(B30,'03. THIẾT BỊ'!$B$1:$S$836,18,0),"")</f>
        <v/>
      </c>
    </row>
    <row r="31" ht="15.0" customHeight="1">
      <c r="A31" s="455" t="s">
        <v>76</v>
      </c>
      <c r="B31" s="456" t="s">
        <v>6430</v>
      </c>
      <c r="C31" s="457">
        <f>COUNTA(B32:B37)</f>
        <v>4</v>
      </c>
      <c r="D31" s="458" t="str">
        <f>IFERROR(VLOOKUP(B31,'03. THIẾT BỊ'!$B$1:$S$836,3,0),"")</f>
        <v/>
      </c>
      <c r="E31" s="458" t="str">
        <f>IFERROR(VLOOKUP(B31,'03. THIẾT BỊ'!$B$1:$S$836,4,0),"")</f>
        <v/>
      </c>
      <c r="F31" s="458" t="str">
        <f>IFERROR(VLOOKUP(B31,'03. THIẾT BỊ'!$B$1:$S$836,5,0),"")</f>
        <v/>
      </c>
      <c r="G31" s="459" t="s">
        <v>6423</v>
      </c>
      <c r="H31" s="459" t="str">
        <f>IFERROR(VLOOKUP(B31,'03. THIẾT BỊ'!$B$1:$S$836,7,0),"")</f>
        <v/>
      </c>
      <c r="I31" s="457" t="str">
        <f>IFERROR(VLOOKUP(B31,'03. THIẾT BỊ'!$B$1:$S$836,8,0),"")</f>
        <v/>
      </c>
      <c r="J31" s="460"/>
      <c r="K31" s="457" t="str">
        <f>IFERROR(VLOOKUP(B31,'03. THIẾT BỊ'!$B$1:$S$836,10,0),"")</f>
        <v/>
      </c>
      <c r="L31" s="458" t="str">
        <f>IFERROR(VLOOKUP(B31,'03. THIẾT BỊ'!$B$1:$S$836,11,0),"")</f>
        <v/>
      </c>
      <c r="M31" s="461" t="str">
        <f>IFERROR(VLOOKUP(B31,'03. THIẾT BỊ'!$B$1:$S$836,12,0),"")</f>
        <v/>
      </c>
      <c r="N31" s="458" t="str">
        <f>IFERROR(VLOOKUP(B31,'03. THIẾT BỊ'!$B$1:$S$836,13,0),"")</f>
        <v/>
      </c>
      <c r="O31" s="461" t="str">
        <f>IFERROR(VLOOKUP(B31,'03. THIẾT BỊ'!$B$1:$S$836,14,0),"")</f>
        <v/>
      </c>
      <c r="P31" s="458" t="str">
        <f>IFERROR(VLOOKUP(B31,'03. THIẾT BỊ'!$B$1:$S$836,15,0),"")</f>
        <v/>
      </c>
      <c r="Q31" s="459" t="str">
        <f>IFERROR(VLOOKUP(B31,'03. THIẾT BỊ'!$B$1:$S$836,16,0),"")</f>
        <v/>
      </c>
      <c r="R31" s="458" t="str">
        <f>IFERROR(VLOOKUP(B31,'03. THIẾT BỊ'!$B$1:$S$836,17,0),"")</f>
        <v/>
      </c>
      <c r="S31" s="458" t="str">
        <f>IFERROR(VLOOKUP(B31,'03. THIẾT BỊ'!$B$1:$S$836,18,0),"")</f>
        <v/>
      </c>
      <c r="T31" s="866"/>
    </row>
    <row r="32" ht="15.0" customHeight="1">
      <c r="A32" s="48">
        <v>1.0</v>
      </c>
      <c r="B32" s="464" t="s">
        <v>3250</v>
      </c>
      <c r="C32" s="869" t="str">
        <f>IFERROR(VLOOKUP(B32,'03. THIẾT BỊ'!$B$1:$S$836,2,0),"")</f>
        <v/>
      </c>
      <c r="D32" s="470" t="str">
        <f>IFERROR(VLOOKUP(B32,'03. THIẾT BỊ'!$B$1:$S$836,3,0),"")</f>
        <v>A23-ĐTL-001</v>
      </c>
      <c r="E32" s="464" t="str">
        <f>IFERROR(VLOOKUP(B32,'03. THIẾT BỊ'!$B$1:$S$836,4,0),"")</f>
        <v>ĐQSD</v>
      </c>
      <c r="F32" s="464" t="str">
        <f>IFERROR(VLOOKUP(B32,'03. THIẾT BỊ'!$B$1:$S$836,5,0),"")</f>
        <v>Đầm taluy (Đầm rung thủy lực)</v>
      </c>
      <c r="G32" s="80" t="s">
        <v>6423</v>
      </c>
      <c r="H32" s="463" t="str">
        <f>IFERROR(VLOOKUP(B32,'03. THIẾT BỊ'!$B$1:$S$836,7,0),"")</f>
        <v>CGTC DP</v>
      </c>
      <c r="I32" s="474" t="str">
        <f>IFERROR(VLOOKUP(B32,'03. THIẾT BỊ'!$B$1:$S$836,8,0),"")</f>
        <v/>
      </c>
      <c r="J32" s="471"/>
      <c r="K32" s="463" t="str">
        <f>IFERROR(VLOOKUP(B32,'03. THIẾT BỊ'!$B$1:$S$836,10,0),"")</f>
        <v>Bình thường</v>
      </c>
      <c r="L32" s="468" t="str">
        <f>IFERROR(VLOOKUP(B32,'03. THIẾT BỊ'!$B$1:$S$836,11,0),"")</f>
        <v/>
      </c>
      <c r="M32" s="472" t="str">
        <f>IFERROR(VLOOKUP(B32,'03. THIẾT BỊ'!$B$1:$S$836,12,0),"")</f>
        <v/>
      </c>
      <c r="N32" s="468" t="str">
        <f>IFERROR(VLOOKUP(B32,'03. THIẾT BỊ'!$B$1:$S$836,13,0),"")</f>
        <v>TRUNG QUỐC</v>
      </c>
      <c r="O32" s="470" t="str">
        <f>IFERROR(VLOOKUP(B32,'03. THIẾT BỊ'!$B$1:$S$836,14,0),"")</f>
        <v>Taluy</v>
      </c>
      <c r="P32" s="468" t="str">
        <f>IFERROR(VLOOKUP(B32,'03. THIẾT BỊ'!$B$1:$S$836,15,0),"")</f>
        <v>TRUNG QUỐC</v>
      </c>
      <c r="Q32" s="48" t="str">
        <f>IFERROR(VLOOKUP(B32,'03. THIẾT BỊ'!$B$1:$S$836,16,0),"")</f>
        <v/>
      </c>
      <c r="R32" s="471" t="str">
        <f>IFERROR(VLOOKUP(B32,'03. THIẾT BỊ'!$B$1:$S$836,17,0),"")</f>
        <v/>
      </c>
      <c r="S32" s="468" t="str">
        <f>IFERROR(VLOOKUP(B32,'03. THIẾT BỊ'!$B$1:$S$836,18,0),"")</f>
        <v/>
      </c>
      <c r="T32" s="822"/>
    </row>
    <row r="33" ht="15.0" customHeight="1">
      <c r="A33" s="463">
        <v>2.0</v>
      </c>
      <c r="B33" s="464" t="s">
        <v>3382</v>
      </c>
      <c r="C33" s="869" t="str">
        <f>IFERROR(VLOOKUP(B33,'03. THIẾT BỊ'!$B$1:$S$836,2,0),"")</f>
        <v/>
      </c>
      <c r="D33" s="470" t="str">
        <f>IFERROR(VLOOKUP(B33,'03. THIẾT BỊ'!$B$1:$S$836,3,0),"")</f>
        <v>A24-ĐTL-002</v>
      </c>
      <c r="E33" s="464" t="str">
        <f>IFERROR(VLOOKUP(B33,'03. THIẾT BỊ'!$B$1:$S$836,4,0),"")</f>
        <v>ĐQSD</v>
      </c>
      <c r="F33" s="464" t="str">
        <f>IFERROR(VLOOKUP(B33,'03. THIẾT BỊ'!$B$1:$S$836,5,0),"")</f>
        <v>Đầm taluy (Đầm rung thủy lực)</v>
      </c>
      <c r="G33" s="80" t="s">
        <v>6423</v>
      </c>
      <c r="H33" s="463" t="str">
        <f>IFERROR(VLOOKUP(B33,'03. THIẾT BỊ'!$B$1:$S$836,7,0),"")</f>
        <v>CGTC LP</v>
      </c>
      <c r="I33" s="474" t="str">
        <f>IFERROR(VLOOKUP(B33,'03. THIẾT BỊ'!$B$1:$S$836,8,0),"")</f>
        <v/>
      </c>
      <c r="J33" s="471"/>
      <c r="K33" s="463" t="str">
        <f>IFERROR(VLOOKUP(B33,'03. THIẾT BỊ'!$B$1:$S$836,10,0),"")</f>
        <v>Bình thường</v>
      </c>
      <c r="L33" s="468" t="str">
        <f>IFERROR(VLOOKUP(B33,'03. THIẾT BỊ'!$B$1:$S$836,11,0),"")</f>
        <v/>
      </c>
      <c r="M33" s="472" t="str">
        <f>IFERROR(VLOOKUP(B33,'03. THIẾT BỊ'!$B$1:$S$836,12,0),"")</f>
        <v>Kho vật tư Lumphat</v>
      </c>
      <c r="N33" s="468" t="str">
        <f>IFERROR(VLOOKUP(B33,'03. THIẾT BỊ'!$B$1:$S$836,13,0),"")</f>
        <v>TRUNG QUỐC</v>
      </c>
      <c r="O33" s="470" t="str">
        <f>IFERROR(VLOOKUP(B33,'03. THIẾT BỊ'!$B$1:$S$836,14,0),"")</f>
        <v>Taluy</v>
      </c>
      <c r="P33" s="468" t="str">
        <f>IFERROR(VLOOKUP(B33,'03. THIẾT BỊ'!$B$1:$S$836,15,0),"")</f>
        <v>TRUNG QUỐC</v>
      </c>
      <c r="Q33" s="48" t="str">
        <f>IFERROR(VLOOKUP(B33,'03. THIẾT BỊ'!$B$1:$S$836,16,0),"")</f>
        <v/>
      </c>
      <c r="R33" s="471" t="str">
        <f>IFERROR(VLOOKUP(B33,'03. THIẾT BỊ'!$B$1:$S$836,17,0),"")</f>
        <v/>
      </c>
      <c r="S33" s="468" t="str">
        <f>IFERROR(VLOOKUP(B33,'03. THIẾT BỊ'!$B$1:$S$836,18,0),"")</f>
        <v/>
      </c>
      <c r="T33" s="812"/>
    </row>
    <row r="34" ht="15.0" customHeight="1">
      <c r="A34" s="48">
        <v>3.0</v>
      </c>
      <c r="B34" s="464" t="s">
        <v>3503</v>
      </c>
      <c r="C34" s="869" t="str">
        <f>IFERROR(VLOOKUP(B34,'03. THIẾT BỊ'!$B$1:$S$836,2,0),"")</f>
        <v/>
      </c>
      <c r="D34" s="470" t="str">
        <f>IFERROR(VLOOKUP(B34,'03. THIẾT BỊ'!$B$1:$S$836,3,0),"")</f>
        <v>A22-ĐTL-003</v>
      </c>
      <c r="E34" s="464" t="str">
        <f>IFERROR(VLOOKUP(B34,'03. THIẾT BỊ'!$B$1:$S$836,4,0),"")</f>
        <v>ĐQSD</v>
      </c>
      <c r="F34" s="464" t="str">
        <f>IFERROR(VLOOKUP(B34,'03. THIẾT BỊ'!$B$1:$S$836,5,0),"")</f>
        <v>Đầm taluy (Đầm rung thủy lực)</v>
      </c>
      <c r="G34" s="80" t="s">
        <v>6423</v>
      </c>
      <c r="H34" s="463" t="str">
        <f>IFERROR(VLOOKUP(B34,'03. THIẾT BỊ'!$B$1:$S$836,7,0),"")</f>
        <v>CGTC AD</v>
      </c>
      <c r="I34" s="474" t="str">
        <f>IFERROR(VLOOKUP(B34,'03. THIẾT BỊ'!$B$1:$S$836,8,0),"")</f>
        <v/>
      </c>
      <c r="J34" s="471"/>
      <c r="K34" s="463" t="str">
        <f>IFERROR(VLOOKUP(B34,'03. THIẾT BỊ'!$B$1:$S$836,10,0),"")</f>
        <v>Bình thường</v>
      </c>
      <c r="L34" s="468" t="str">
        <f>IFERROR(VLOOKUP(B34,'03. THIẾT BỊ'!$B$1:$S$836,11,0),"")</f>
        <v/>
      </c>
      <c r="M34" s="472" t="str">
        <f>IFERROR(VLOOKUP(B34,'03. THIẾT BỊ'!$B$1:$S$836,12,0),"")</f>
        <v/>
      </c>
      <c r="N34" s="468" t="str">
        <f>IFERROR(VLOOKUP(B34,'03. THIẾT BỊ'!$B$1:$S$836,13,0),"")</f>
        <v>TRUNG QUỐC</v>
      </c>
      <c r="O34" s="470" t="str">
        <f>IFERROR(VLOOKUP(B34,'03. THIẾT BỊ'!$B$1:$S$836,14,0),"")</f>
        <v>Taluy</v>
      </c>
      <c r="P34" s="468" t="str">
        <f>IFERROR(VLOOKUP(B34,'03. THIẾT BỊ'!$B$1:$S$836,15,0),"")</f>
        <v>TRUNG QUỐC</v>
      </c>
      <c r="Q34" s="48" t="str">
        <f>IFERROR(VLOOKUP(B34,'03. THIẾT BỊ'!$B$1:$S$836,16,0),"")</f>
        <v/>
      </c>
      <c r="R34" s="471" t="str">
        <f>IFERROR(VLOOKUP(B34,'03. THIẾT BỊ'!$B$1:$S$836,17,0),"")</f>
        <v/>
      </c>
      <c r="S34" s="468" t="str">
        <f>IFERROR(VLOOKUP(B34,'03. THIẾT BỊ'!$B$1:$S$836,18,0),"")</f>
        <v/>
      </c>
      <c r="T34" s="812"/>
    </row>
    <row r="35" ht="15.0" customHeight="1">
      <c r="A35" s="463">
        <v>4.0</v>
      </c>
      <c r="B35" s="464" t="s">
        <v>3505</v>
      </c>
      <c r="C35" s="869" t="str">
        <f>IFERROR(VLOOKUP(B35,'03. THIẾT BỊ'!$B$1:$S$836,2,0),"")</f>
        <v/>
      </c>
      <c r="D35" s="470" t="str">
        <f>IFERROR(VLOOKUP(B35,'03. THIẾT BỊ'!$B$1:$S$836,3,0),"")</f>
        <v>A22-ĐTL-004</v>
      </c>
      <c r="E35" s="464" t="str">
        <f>IFERROR(VLOOKUP(B35,'03. THIẾT BỊ'!$B$1:$S$836,4,0),"")</f>
        <v>MUA MỚI</v>
      </c>
      <c r="F35" s="464" t="str">
        <f>IFERROR(VLOOKUP(B35,'03. THIẾT BỊ'!$B$1:$S$836,5,0),"")</f>
        <v>Đầm taluy (Đầm rung thủy lực)</v>
      </c>
      <c r="G35" s="80" t="s">
        <v>6423</v>
      </c>
      <c r="H35" s="463" t="str">
        <f>IFERROR(VLOOKUP(B35,'03. THIẾT BỊ'!$B$1:$S$836,7,0),"")</f>
        <v>CGTC AD</v>
      </c>
      <c r="I35" s="474">
        <f>IFERROR(VLOOKUP(B35,'03. THIẾT BỊ'!$B$1:$S$836,8,0),"")</f>
        <v>45452</v>
      </c>
      <c r="J35" s="471"/>
      <c r="K35" s="463" t="str">
        <f>IFERROR(VLOOKUP(B35,'03. THIẾT BỊ'!$B$1:$S$836,10,0),"")</f>
        <v>Bình thường</v>
      </c>
      <c r="L35" s="468" t="str">
        <f>IFERROR(VLOOKUP(B35,'03. THIẾT BỊ'!$B$1:$S$836,11,0),"")</f>
        <v>Đầu tư mới</v>
      </c>
      <c r="M35" s="472" t="str">
        <f>IFERROR(VLOOKUP(B35,'03. THIẾT BỊ'!$B$1:$S$836,12,0),"")</f>
        <v/>
      </c>
      <c r="N35" s="468" t="str">
        <f>IFERROR(VLOOKUP(B35,'03. THIẾT BỊ'!$B$1:$S$836,13,0),"")</f>
        <v>EVERDIGM</v>
      </c>
      <c r="O35" s="470" t="str">
        <f>IFERROR(VLOOKUP(B35,'03. THIẾT BỊ'!$B$1:$S$836,14,0),"")</f>
        <v>EPC15PA</v>
      </c>
      <c r="P35" s="468" t="str">
        <f>IFERROR(VLOOKUP(B35,'03. THIẾT BỊ'!$B$1:$S$836,15,0),"")</f>
        <v>HÀN QUỐC</v>
      </c>
      <c r="Q35" s="48">
        <f>IFERROR(VLOOKUP(B35,'03. THIẾT BỊ'!$B$1:$S$836,16,0),"")</f>
        <v>2021</v>
      </c>
      <c r="R35" s="471" t="str">
        <f>IFERROR(VLOOKUP(B35,'03. THIẾT BỊ'!$B$1:$S$836,17,0),"")</f>
        <v>6.4 TẤN- 740x1050mm</v>
      </c>
      <c r="S35" s="468" t="str">
        <f>IFERROR(VLOOKUP(B35,'03. THIẾT BỊ'!$B$1:$S$836,18,0),"")</f>
        <v>15-H245</v>
      </c>
      <c r="T35" s="812"/>
    </row>
    <row r="36" ht="15.0" customHeight="1">
      <c r="A36" s="888"/>
      <c r="B36" s="807"/>
      <c r="C36" s="869" t="str">
        <f>IFERROR(VLOOKUP(B36,'03. THIẾT BỊ'!$B$1:$S$836,2,0),"")</f>
        <v/>
      </c>
      <c r="D36" s="470" t="str">
        <f>IFERROR(VLOOKUP(B36,'03. THIẾT BỊ'!$B$1:$S$836,3,0),"")</f>
        <v/>
      </c>
      <c r="E36" s="464" t="str">
        <f>IFERROR(VLOOKUP(B36,'03. THIẾT BỊ'!$B$1:$S$836,4,0),"")</f>
        <v/>
      </c>
      <c r="F36" s="464" t="str">
        <f>IFERROR(VLOOKUP(B36,'03. THIẾT BỊ'!$B$1:$S$836,5,0),"")</f>
        <v/>
      </c>
      <c r="G36" s="80" t="s">
        <v>6423</v>
      </c>
      <c r="H36" s="463" t="str">
        <f>IFERROR(VLOOKUP(B36,'03. THIẾT BỊ'!$B$1:$S$836,7,0),"")</f>
        <v/>
      </c>
      <c r="I36" s="474" t="str">
        <f>IFERROR(VLOOKUP(B36,'03. THIẾT BỊ'!$B$1:$S$836,8,0),"")</f>
        <v/>
      </c>
      <c r="J36" s="471"/>
      <c r="K36" s="463" t="str">
        <f>IFERROR(VLOOKUP(B36,'03. THIẾT BỊ'!$B$1:$S$836,10,0),"")</f>
        <v/>
      </c>
      <c r="L36" s="468" t="str">
        <f>IFERROR(VLOOKUP(B36,'03. THIẾT BỊ'!$B$1:$S$836,11,0),"")</f>
        <v/>
      </c>
      <c r="M36" s="472" t="str">
        <f>IFERROR(VLOOKUP(B36,'03. THIẾT BỊ'!$B$1:$S$836,12,0),"")</f>
        <v/>
      </c>
      <c r="N36" s="468" t="str">
        <f>IFERROR(VLOOKUP(B36,'03. THIẾT BỊ'!$B$1:$S$836,13,0),"")</f>
        <v/>
      </c>
      <c r="O36" s="470" t="str">
        <f>IFERROR(VLOOKUP(B36,'03. THIẾT BỊ'!$B$1:$S$836,14,0),"")</f>
        <v/>
      </c>
      <c r="P36" s="468" t="str">
        <f>IFERROR(VLOOKUP(B36,'03. THIẾT BỊ'!$B$1:$S$836,15,0),"")</f>
        <v/>
      </c>
      <c r="Q36" s="48" t="str">
        <f>IFERROR(VLOOKUP(B36,'03. THIẾT BỊ'!$B$1:$S$836,16,0),"")</f>
        <v/>
      </c>
      <c r="R36" s="471" t="str">
        <f>IFERROR(VLOOKUP(B36,'03. THIẾT BỊ'!$B$1:$S$836,17,0),"")</f>
        <v/>
      </c>
      <c r="S36" s="468" t="str">
        <f>IFERROR(VLOOKUP(B36,'03. THIẾT BỊ'!$B$1:$S$836,18,0),"")</f>
        <v/>
      </c>
      <c r="T36" s="822"/>
    </row>
    <row r="37" ht="15.0" customHeight="1">
      <c r="A37" s="888"/>
      <c r="B37" s="807"/>
      <c r="C37" s="869" t="str">
        <f>IFERROR(VLOOKUP(B37,'03. THIẾT BỊ'!$B$1:$S$836,2,0),"")</f>
        <v/>
      </c>
      <c r="D37" s="470" t="str">
        <f>IFERROR(VLOOKUP(B37,'03. THIẾT BỊ'!$B$1:$S$836,3,0),"")</f>
        <v/>
      </c>
      <c r="E37" s="464" t="str">
        <f>IFERROR(VLOOKUP(B37,'03. THIẾT BỊ'!$B$1:$S$836,4,0),"")</f>
        <v/>
      </c>
      <c r="F37" s="464" t="str">
        <f>IFERROR(VLOOKUP(B37,'03. THIẾT BỊ'!$B$1:$S$836,5,0),"")</f>
        <v/>
      </c>
      <c r="G37" s="80" t="s">
        <v>6423</v>
      </c>
      <c r="H37" s="463" t="str">
        <f>IFERROR(VLOOKUP(B37,'03. THIẾT BỊ'!$B$1:$S$836,7,0),"")</f>
        <v/>
      </c>
      <c r="I37" s="474" t="str">
        <f>IFERROR(VLOOKUP(B37,'03. THIẾT BỊ'!$B$1:$S$836,8,0),"")</f>
        <v/>
      </c>
      <c r="J37" s="471"/>
      <c r="K37" s="463" t="str">
        <f>IFERROR(VLOOKUP(B37,'03. THIẾT BỊ'!$B$1:$S$836,10,0),"")</f>
        <v/>
      </c>
      <c r="L37" s="468" t="str">
        <f>IFERROR(VLOOKUP(B37,'03. THIẾT BỊ'!$B$1:$S$836,11,0),"")</f>
        <v/>
      </c>
      <c r="M37" s="472" t="str">
        <f>IFERROR(VLOOKUP(B37,'03. THIẾT BỊ'!$B$1:$S$836,12,0),"")</f>
        <v/>
      </c>
      <c r="N37" s="468" t="str">
        <f>IFERROR(VLOOKUP(B37,'03. THIẾT BỊ'!$B$1:$S$836,13,0),"")</f>
        <v/>
      </c>
      <c r="O37" s="470" t="str">
        <f>IFERROR(VLOOKUP(B37,'03. THIẾT BỊ'!$B$1:$S$836,14,0),"")</f>
        <v/>
      </c>
      <c r="P37" s="468" t="str">
        <f>IFERROR(VLOOKUP(B37,'03. THIẾT BỊ'!$B$1:$S$836,15,0),"")</f>
        <v/>
      </c>
      <c r="Q37" s="48" t="str">
        <f>IFERROR(VLOOKUP(B37,'03. THIẾT BỊ'!$B$1:$S$836,16,0),"")</f>
        <v/>
      </c>
      <c r="R37" s="471" t="str">
        <f>IFERROR(VLOOKUP(B37,'03. THIẾT BỊ'!$B$1:$S$836,17,0),"")</f>
        <v/>
      </c>
      <c r="S37" s="468" t="str">
        <f>IFERROR(VLOOKUP(B37,'03. THIẾT BỊ'!$B$1:$S$836,18,0),"")</f>
        <v/>
      </c>
      <c r="T37" s="822"/>
    </row>
    <row r="38" ht="15.0" customHeight="1">
      <c r="A38" s="455" t="s">
        <v>76</v>
      </c>
      <c r="B38" s="456" t="s">
        <v>6442</v>
      </c>
      <c r="C38" s="457">
        <f>COUNTA(B39:B136)</f>
        <v>97</v>
      </c>
      <c r="D38" s="458" t="str">
        <f>IFERROR(VLOOKUP(B38,'03. THIẾT BỊ'!$B$1:$S$836,3,0),"")</f>
        <v/>
      </c>
      <c r="E38" s="458" t="str">
        <f>IFERROR(VLOOKUP(B38,'03. THIẾT BỊ'!$B$1:$S$836,4,0),"")</f>
        <v/>
      </c>
      <c r="F38" s="458" t="str">
        <f>IFERROR(VLOOKUP(B38,'03. THIẾT BỊ'!$B$1:$S$836,5,0),"")</f>
        <v/>
      </c>
      <c r="G38" s="459" t="s">
        <v>6423</v>
      </c>
      <c r="H38" s="459" t="str">
        <f>IFERROR(VLOOKUP(B38,'03. THIẾT BỊ'!$B$1:$S$836,7,0),"")</f>
        <v/>
      </c>
      <c r="I38" s="457" t="str">
        <f>IFERROR(VLOOKUP(B38,'03. THIẾT BỊ'!$B$1:$S$836,8,0),"")</f>
        <v/>
      </c>
      <c r="J38" s="460"/>
      <c r="K38" s="457" t="str">
        <f>IFERROR(VLOOKUP(B38,'03. THIẾT BỊ'!$B$1:$S$836,10,0),"")</f>
        <v/>
      </c>
      <c r="L38" s="458" t="str">
        <f>IFERROR(VLOOKUP(B38,'03. THIẾT BỊ'!$B$1:$S$836,11,0),"")</f>
        <v/>
      </c>
      <c r="M38" s="461" t="str">
        <f>IFERROR(VLOOKUP(B38,'03. THIẾT BỊ'!$B$1:$S$836,12,0),"")</f>
        <v/>
      </c>
      <c r="N38" s="458" t="str">
        <f>IFERROR(VLOOKUP(B38,'03. THIẾT BỊ'!$B$1:$S$836,13,0),"")</f>
        <v/>
      </c>
      <c r="O38" s="461" t="str">
        <f>IFERROR(VLOOKUP(B38,'03. THIẾT BỊ'!$B$1:$S$836,14,0),"")</f>
        <v/>
      </c>
      <c r="P38" s="458" t="str">
        <f>IFERROR(VLOOKUP(B38,'03. THIẾT BỊ'!$B$1:$S$836,15,0),"")</f>
        <v/>
      </c>
      <c r="Q38" s="459" t="str">
        <f>IFERROR(VLOOKUP(B38,'03. THIẾT BỊ'!$B$1:$S$836,16,0),"")</f>
        <v/>
      </c>
      <c r="R38" s="458" t="str">
        <f>IFERROR(VLOOKUP(B38,'03. THIẾT BỊ'!$B$1:$S$836,17,0),"")</f>
        <v/>
      </c>
      <c r="S38" s="458" t="str">
        <f>IFERROR(VLOOKUP(B38,'03. THIẾT BỊ'!$B$1:$S$836,18,0),"")</f>
        <v/>
      </c>
      <c r="T38" s="866"/>
    </row>
    <row r="39" ht="15.0" customHeight="1">
      <c r="A39" s="463">
        <v>1.0</v>
      </c>
      <c r="B39" s="464" t="s">
        <v>3254</v>
      </c>
      <c r="C39" s="869" t="str">
        <f>IFERROR(VLOOKUP(B39,'03. THIẾT BỊ'!$B$1:$S$836,2,0),"")</f>
        <v/>
      </c>
      <c r="D39" s="470" t="str">
        <f>IFERROR(VLOOKUP(B39,'03. THIẾT BỊ'!$B$1:$S$836,3,0),"")</f>
        <v>A23-GĐH-007</v>
      </c>
      <c r="E39" s="464" t="str">
        <f>IFERROR(VLOOKUP(B39,'03. THIẾT BỊ'!$B$1:$S$836,4,0),"")</f>
        <v>ĐQSD</v>
      </c>
      <c r="F39" s="464" t="str">
        <f>IFERROR(VLOOKUP(B39,'03. THIẾT BỊ'!$B$1:$S$836,5,0),"")</f>
        <v>Gàu định hình M0.6</v>
      </c>
      <c r="G39" s="80" t="s">
        <v>6423</v>
      </c>
      <c r="H39" s="463" t="str">
        <f>IFERROR(VLOOKUP(B39,'03. THIẾT BỊ'!$B$1:$S$836,7,0),"")</f>
        <v>CGTC DP</v>
      </c>
      <c r="I39" s="474" t="str">
        <f>IFERROR(VLOOKUP(B39,'03. THIẾT BỊ'!$B$1:$S$836,8,0),"")</f>
        <v>13/07/2024</v>
      </c>
      <c r="J39" s="471"/>
      <c r="K39" s="463" t="str">
        <f>IFERROR(VLOOKUP(B39,'03. THIẾT BỊ'!$B$1:$S$836,10,0),"")</f>
        <v>Bình thường</v>
      </c>
      <c r="L39" s="468" t="str">
        <f>IFERROR(VLOOKUP(B39,'03. THIẾT BỊ'!$B$1:$S$836,11,0),"")</f>
        <v/>
      </c>
      <c r="M39" s="472" t="str">
        <f>IFERROR(VLOOKUP(B39,'03. THIẾT BỊ'!$B$1:$S$836,12,0),"")</f>
        <v/>
      </c>
      <c r="N39" s="468" t="str">
        <f>IFERROR(VLOOKUP(B39,'03. THIẾT BỊ'!$B$1:$S$836,13,0),"")</f>
        <v>THACO AGRI</v>
      </c>
      <c r="O39" s="470" t="str">
        <f>IFERROR(VLOOKUP(B39,'03. THIẾT BỊ'!$B$1:$S$836,14,0),"")</f>
        <v>M0.6</v>
      </c>
      <c r="P39" s="468" t="str">
        <f>IFERROR(VLOOKUP(B39,'03. THIẾT BỊ'!$B$1:$S$836,15,0),"")</f>
        <v>CK-CGH</v>
      </c>
      <c r="Q39" s="48">
        <f>IFERROR(VLOOKUP(B39,'03. THIẾT BỊ'!$B$1:$S$836,16,0),"")</f>
        <v>2024</v>
      </c>
      <c r="R39" s="471" t="str">
        <f>IFERROR(VLOOKUP(B39,'03. THIẾT BỊ'!$B$1:$S$836,17,0),"")</f>
        <v>700x200x500</v>
      </c>
      <c r="S39" s="468" t="str">
        <f>IFERROR(VLOOKUP(B39,'03. THIẾT BỊ'!$B$1:$S$836,18,0),"")</f>
        <v/>
      </c>
      <c r="T39" s="822"/>
    </row>
    <row r="40" ht="15.0" customHeight="1">
      <c r="A40" s="48">
        <f t="shared" ref="A40:A105" si="2">A39+1</f>
        <v>2</v>
      </c>
      <c r="B40" s="464" t="s">
        <v>3262</v>
      </c>
      <c r="C40" s="869" t="str">
        <f>IFERROR(VLOOKUP(B40,'03. THIẾT BỊ'!$B$1:$S$836,2,0),"")</f>
        <v/>
      </c>
      <c r="D40" s="470" t="str">
        <f>IFERROR(VLOOKUP(B40,'03. THIẾT BỊ'!$B$1:$S$836,3,0),"")</f>
        <v>A23-GĐH-010</v>
      </c>
      <c r="E40" s="464" t="str">
        <f>IFERROR(VLOOKUP(B40,'03. THIẾT BỊ'!$B$1:$S$836,4,0),"")</f>
        <v>ĐQSD</v>
      </c>
      <c r="F40" s="464" t="str">
        <f>IFERROR(VLOOKUP(B40,'03. THIẾT BỊ'!$B$1:$S$836,5,0),"")</f>
        <v>Gàu định hình M1</v>
      </c>
      <c r="G40" s="80" t="s">
        <v>6423</v>
      </c>
      <c r="H40" s="463" t="str">
        <f>IFERROR(VLOOKUP(B40,'03. THIẾT BỊ'!$B$1:$S$836,7,0),"")</f>
        <v>CGTC DP</v>
      </c>
      <c r="I40" s="474" t="str">
        <f>IFERROR(VLOOKUP(B40,'03. THIẾT BỊ'!$B$1:$S$836,8,0),"")</f>
        <v>13/07/2024</v>
      </c>
      <c r="J40" s="471"/>
      <c r="K40" s="463" t="str">
        <f>IFERROR(VLOOKUP(B40,'03. THIẾT BỊ'!$B$1:$S$836,10,0),"")</f>
        <v>Bình thường</v>
      </c>
      <c r="L40" s="468" t="str">
        <f>IFERROR(VLOOKUP(B40,'03. THIẾT BỊ'!$B$1:$S$836,11,0),"")</f>
        <v/>
      </c>
      <c r="M40" s="472" t="str">
        <f>IFERROR(VLOOKUP(B40,'03. THIẾT BỊ'!$B$1:$S$836,12,0),"")</f>
        <v/>
      </c>
      <c r="N40" s="468" t="str">
        <f>IFERROR(VLOOKUP(B40,'03. THIẾT BỊ'!$B$1:$S$836,13,0),"")</f>
        <v>THACO AGRI</v>
      </c>
      <c r="O40" s="470" t="str">
        <f>IFERROR(VLOOKUP(B40,'03. THIẾT BỊ'!$B$1:$S$836,14,0),"")</f>
        <v>M1</v>
      </c>
      <c r="P40" s="468" t="str">
        <f>IFERROR(VLOOKUP(B40,'03. THIẾT BỊ'!$B$1:$S$836,15,0),"")</f>
        <v>CK-CGH</v>
      </c>
      <c r="Q40" s="48">
        <f>IFERROR(VLOOKUP(B40,'03. THIẾT BỊ'!$B$1:$S$836,16,0),"")</f>
        <v>2024</v>
      </c>
      <c r="R40" s="471" t="str">
        <f>IFERROR(VLOOKUP(B40,'03. THIẾT BỊ'!$B$1:$S$836,17,0),"")</f>
        <v>12x30x80</v>
      </c>
      <c r="S40" s="468" t="str">
        <f>IFERROR(VLOOKUP(B40,'03. THIẾT BỊ'!$B$1:$S$836,18,0),"")</f>
        <v/>
      </c>
      <c r="T40" s="822"/>
    </row>
    <row r="41" ht="15.0" customHeight="1">
      <c r="A41" s="48">
        <f t="shared" si="2"/>
        <v>3</v>
      </c>
      <c r="B41" s="464" t="s">
        <v>3267</v>
      </c>
      <c r="C41" s="869" t="str">
        <f>IFERROR(VLOOKUP(B41,'03. THIẾT BỊ'!$B$1:$S$836,2,0),"")</f>
        <v/>
      </c>
      <c r="D41" s="470" t="str">
        <f>IFERROR(VLOOKUP(B41,'03. THIẾT BỊ'!$B$1:$S$836,3,0),"")</f>
        <v>A23-GĐH-017</v>
      </c>
      <c r="E41" s="464" t="str">
        <f>IFERROR(VLOOKUP(B41,'03. THIẾT BỊ'!$B$1:$S$836,4,0),"")</f>
        <v>ĐQSD</v>
      </c>
      <c r="F41" s="464" t="str">
        <f>IFERROR(VLOOKUP(B41,'03. THIẾT BỊ'!$B$1:$S$836,5,0),"")</f>
        <v>Gàu định hình M0.6 (Cải tiến)</v>
      </c>
      <c r="G41" s="80" t="s">
        <v>6423</v>
      </c>
      <c r="H41" s="463" t="str">
        <f>IFERROR(VLOOKUP(B41,'03. THIẾT BỊ'!$B$1:$S$836,7,0),"")</f>
        <v>CGTC DP</v>
      </c>
      <c r="I41" s="474">
        <f>IFERROR(VLOOKUP(B41,'03. THIẾT BỊ'!$B$1:$S$836,8,0),"")</f>
        <v>45634</v>
      </c>
      <c r="J41" s="471"/>
      <c r="K41" s="463" t="str">
        <f>IFERROR(VLOOKUP(B41,'03. THIẾT BỊ'!$B$1:$S$836,10,0),"")</f>
        <v>Bình thường</v>
      </c>
      <c r="L41" s="468" t="str">
        <f>IFERROR(VLOOKUP(B41,'03. THIẾT BỊ'!$B$1:$S$836,11,0),"")</f>
        <v/>
      </c>
      <c r="M41" s="472" t="str">
        <f>IFERROR(VLOOKUP(B41,'03. THIẾT BỊ'!$B$1:$S$836,12,0),"")</f>
        <v/>
      </c>
      <c r="N41" s="468" t="str">
        <f>IFERROR(VLOOKUP(B41,'03. THIẾT BỊ'!$B$1:$S$836,13,0),"")</f>
        <v>THACO AGRI</v>
      </c>
      <c r="O41" s="470" t="str">
        <f>IFERROR(VLOOKUP(B41,'03. THIẾT BỊ'!$B$1:$S$836,14,0),"")</f>
        <v>M0.6</v>
      </c>
      <c r="P41" s="468" t="str">
        <f>IFERROR(VLOOKUP(B41,'03. THIẾT BỊ'!$B$1:$S$836,15,0),"")</f>
        <v>CK-CGH</v>
      </c>
      <c r="Q41" s="48">
        <f>IFERROR(VLOOKUP(B41,'03. THIẾT BỊ'!$B$1:$S$836,16,0),"")</f>
        <v>2024</v>
      </c>
      <c r="R41" s="471" t="str">
        <f>IFERROR(VLOOKUP(B41,'03. THIẾT BỊ'!$B$1:$S$836,17,0),"")</f>
        <v>800x800x200</v>
      </c>
      <c r="S41" s="468" t="str">
        <f>IFERROR(VLOOKUP(B41,'03. THIẾT BỊ'!$B$1:$S$836,18,0),"")</f>
        <v/>
      </c>
      <c r="T41" s="822"/>
    </row>
    <row r="42" ht="15.0" customHeight="1">
      <c r="A42" s="48">
        <f t="shared" si="2"/>
        <v>4</v>
      </c>
      <c r="B42" s="464" t="s">
        <v>3271</v>
      </c>
      <c r="C42" s="869" t="str">
        <f>IFERROR(VLOOKUP(B42,'03. THIẾT BỊ'!$B$1:$S$836,2,0),"")</f>
        <v/>
      </c>
      <c r="D42" s="470" t="str">
        <f>IFERROR(VLOOKUP(B42,'03. THIẾT BỊ'!$B$1:$S$836,3,0),"")</f>
        <v>A23-GĐH-018</v>
      </c>
      <c r="E42" s="464" t="str">
        <f>IFERROR(VLOOKUP(B42,'03. THIẾT BỊ'!$B$1:$S$836,4,0),"")</f>
        <v>ĐQSD</v>
      </c>
      <c r="F42" s="464" t="str">
        <f>IFERROR(VLOOKUP(B42,'03. THIẾT BỊ'!$B$1:$S$836,5,0),"")</f>
        <v>Gàu định hình M0.6 (Cải tiến)</v>
      </c>
      <c r="G42" s="80" t="s">
        <v>6423</v>
      </c>
      <c r="H42" s="463" t="str">
        <f>IFERROR(VLOOKUP(B42,'03. THIẾT BỊ'!$B$1:$S$836,7,0),"")</f>
        <v>CGTC DP</v>
      </c>
      <c r="I42" s="474">
        <f>IFERROR(VLOOKUP(B42,'03. THIẾT BỊ'!$B$1:$S$836,8,0),"")</f>
        <v>45634</v>
      </c>
      <c r="J42" s="471"/>
      <c r="K42" s="463" t="str">
        <f>IFERROR(VLOOKUP(B42,'03. THIẾT BỊ'!$B$1:$S$836,10,0),"")</f>
        <v>Bình thường</v>
      </c>
      <c r="L42" s="468" t="str">
        <f>IFERROR(VLOOKUP(B42,'03. THIẾT BỊ'!$B$1:$S$836,11,0),"")</f>
        <v/>
      </c>
      <c r="M42" s="472" t="str">
        <f>IFERROR(VLOOKUP(B42,'03. THIẾT BỊ'!$B$1:$S$836,12,0),"")</f>
        <v/>
      </c>
      <c r="N42" s="468" t="str">
        <f>IFERROR(VLOOKUP(B42,'03. THIẾT BỊ'!$B$1:$S$836,13,0),"")</f>
        <v>THACO AGRI</v>
      </c>
      <c r="O42" s="470" t="str">
        <f>IFERROR(VLOOKUP(B42,'03. THIẾT BỊ'!$B$1:$S$836,14,0),"")</f>
        <v>M0.6</v>
      </c>
      <c r="P42" s="468" t="str">
        <f>IFERROR(VLOOKUP(B42,'03. THIẾT BỊ'!$B$1:$S$836,15,0),"")</f>
        <v>CK-CGH</v>
      </c>
      <c r="Q42" s="48">
        <f>IFERROR(VLOOKUP(B42,'03. THIẾT BỊ'!$B$1:$S$836,16,0),"")</f>
        <v>2024</v>
      </c>
      <c r="R42" s="471" t="str">
        <f>IFERROR(VLOOKUP(B42,'03. THIẾT BỊ'!$B$1:$S$836,17,0),"")</f>
        <v>800x800x200</v>
      </c>
      <c r="S42" s="468" t="str">
        <f>IFERROR(VLOOKUP(B42,'03. THIẾT BỊ'!$B$1:$S$836,18,0),"")</f>
        <v/>
      </c>
      <c r="T42" s="822"/>
    </row>
    <row r="43" ht="15.0" customHeight="1">
      <c r="A43" s="48">
        <f t="shared" si="2"/>
        <v>5</v>
      </c>
      <c r="B43" s="464" t="s">
        <v>3273</v>
      </c>
      <c r="C43" s="869" t="str">
        <f>IFERROR(VLOOKUP(B43,'03. THIẾT BỊ'!$B$1:$S$836,2,0),"")</f>
        <v/>
      </c>
      <c r="D43" s="470" t="str">
        <f>IFERROR(VLOOKUP(B43,'03. THIẾT BỊ'!$B$1:$S$836,3,0),"")</f>
        <v>A23-GĐH-019</v>
      </c>
      <c r="E43" s="464" t="str">
        <f>IFERROR(VLOOKUP(B43,'03. THIẾT BỊ'!$B$1:$S$836,4,0),"")</f>
        <v>ĐQSD</v>
      </c>
      <c r="F43" s="464" t="str">
        <f>IFERROR(VLOOKUP(B43,'03. THIẾT BỊ'!$B$1:$S$836,5,0),"")</f>
        <v>Gàu định hình M0.6 (Cải tiến)</v>
      </c>
      <c r="G43" s="80" t="s">
        <v>6423</v>
      </c>
      <c r="H43" s="463" t="str">
        <f>IFERROR(VLOOKUP(B43,'03. THIẾT BỊ'!$B$1:$S$836,7,0),"")</f>
        <v>CGTC DP</v>
      </c>
      <c r="I43" s="474">
        <f>IFERROR(VLOOKUP(B43,'03. THIẾT BỊ'!$B$1:$S$836,8,0),"")</f>
        <v>45634</v>
      </c>
      <c r="J43" s="471"/>
      <c r="K43" s="463" t="str">
        <f>IFERROR(VLOOKUP(B43,'03. THIẾT BỊ'!$B$1:$S$836,10,0),"")</f>
        <v>Bình thường</v>
      </c>
      <c r="L43" s="468" t="str">
        <f>IFERROR(VLOOKUP(B43,'03. THIẾT BỊ'!$B$1:$S$836,11,0),"")</f>
        <v/>
      </c>
      <c r="M43" s="472" t="str">
        <f>IFERROR(VLOOKUP(B43,'03. THIẾT BỊ'!$B$1:$S$836,12,0),"")</f>
        <v/>
      </c>
      <c r="N43" s="468" t="str">
        <f>IFERROR(VLOOKUP(B43,'03. THIẾT BỊ'!$B$1:$S$836,13,0),"")</f>
        <v>THACO AGRI</v>
      </c>
      <c r="O43" s="470" t="str">
        <f>IFERROR(VLOOKUP(B43,'03. THIẾT BỊ'!$B$1:$S$836,14,0),"")</f>
        <v>M0.6</v>
      </c>
      <c r="P43" s="468" t="str">
        <f>IFERROR(VLOOKUP(B43,'03. THIẾT BỊ'!$B$1:$S$836,15,0),"")</f>
        <v>CK-CGH</v>
      </c>
      <c r="Q43" s="48">
        <f>IFERROR(VLOOKUP(B43,'03. THIẾT BỊ'!$B$1:$S$836,16,0),"")</f>
        <v>2024</v>
      </c>
      <c r="R43" s="471" t="str">
        <f>IFERROR(VLOOKUP(B43,'03. THIẾT BỊ'!$B$1:$S$836,17,0),"")</f>
        <v>800x800x200</v>
      </c>
      <c r="S43" s="468" t="str">
        <f>IFERROR(VLOOKUP(B43,'03. THIẾT BỊ'!$B$1:$S$836,18,0),"")</f>
        <v/>
      </c>
      <c r="T43" s="822"/>
    </row>
    <row r="44" ht="15.0" customHeight="1">
      <c r="A44" s="48">
        <f t="shared" si="2"/>
        <v>6</v>
      </c>
      <c r="B44" s="464" t="s">
        <v>3275</v>
      </c>
      <c r="C44" s="869" t="str">
        <f>IFERROR(VLOOKUP(B44,'03. THIẾT BỊ'!$B$1:$S$836,2,0),"")</f>
        <v/>
      </c>
      <c r="D44" s="470" t="str">
        <f>IFERROR(VLOOKUP(B44,'03. THIẾT BỊ'!$B$1:$S$836,3,0),"")</f>
        <v>A23-GĐH-020</v>
      </c>
      <c r="E44" s="464" t="str">
        <f>IFERROR(VLOOKUP(B44,'03. THIẾT BỊ'!$B$1:$S$836,4,0),"")</f>
        <v>ĐQSD</v>
      </c>
      <c r="F44" s="464" t="str">
        <f>IFERROR(VLOOKUP(B44,'03. THIẾT BỊ'!$B$1:$S$836,5,0),"")</f>
        <v>Gàu định hình M0.6 (Cải tiến)</v>
      </c>
      <c r="G44" s="80" t="s">
        <v>6423</v>
      </c>
      <c r="H44" s="463" t="str">
        <f>IFERROR(VLOOKUP(B44,'03. THIẾT BỊ'!$B$1:$S$836,7,0),"")</f>
        <v>CGTC DP</v>
      </c>
      <c r="I44" s="474">
        <f>IFERROR(VLOOKUP(B44,'03. THIẾT BỊ'!$B$1:$S$836,8,0),"")</f>
        <v>45634</v>
      </c>
      <c r="J44" s="471"/>
      <c r="K44" s="463" t="str">
        <f>IFERROR(VLOOKUP(B44,'03. THIẾT BỊ'!$B$1:$S$836,10,0),"")</f>
        <v>Bình thường</v>
      </c>
      <c r="L44" s="468" t="str">
        <f>IFERROR(VLOOKUP(B44,'03. THIẾT BỊ'!$B$1:$S$836,11,0),"")</f>
        <v/>
      </c>
      <c r="M44" s="472" t="str">
        <f>IFERROR(VLOOKUP(B44,'03. THIẾT BỊ'!$B$1:$S$836,12,0),"")</f>
        <v/>
      </c>
      <c r="N44" s="468" t="str">
        <f>IFERROR(VLOOKUP(B44,'03. THIẾT BỊ'!$B$1:$S$836,13,0),"")</f>
        <v>THACO AGRI</v>
      </c>
      <c r="O44" s="470" t="str">
        <f>IFERROR(VLOOKUP(B44,'03. THIẾT BỊ'!$B$1:$S$836,14,0),"")</f>
        <v>M0.6</v>
      </c>
      <c r="P44" s="468" t="str">
        <f>IFERROR(VLOOKUP(B44,'03. THIẾT BỊ'!$B$1:$S$836,15,0),"")</f>
        <v>CK-CGH</v>
      </c>
      <c r="Q44" s="48">
        <f>IFERROR(VLOOKUP(B44,'03. THIẾT BỊ'!$B$1:$S$836,16,0),"")</f>
        <v>2024</v>
      </c>
      <c r="R44" s="471" t="str">
        <f>IFERROR(VLOOKUP(B44,'03. THIẾT BỊ'!$B$1:$S$836,17,0),"")</f>
        <v>800x800x200</v>
      </c>
      <c r="S44" s="468" t="str">
        <f>IFERROR(VLOOKUP(B44,'03. THIẾT BỊ'!$B$1:$S$836,18,0),"")</f>
        <v/>
      </c>
      <c r="T44" s="822"/>
    </row>
    <row r="45" ht="15.0" customHeight="1">
      <c r="A45" s="48">
        <f t="shared" si="2"/>
        <v>7</v>
      </c>
      <c r="B45" s="464" t="s">
        <v>3277</v>
      </c>
      <c r="C45" s="869" t="str">
        <f>IFERROR(VLOOKUP(B45,'03. THIẾT BỊ'!$B$1:$S$836,2,0),"")</f>
        <v/>
      </c>
      <c r="D45" s="470" t="str">
        <f>IFERROR(VLOOKUP(B45,'03. THIẾT BỊ'!$B$1:$S$836,3,0),"")</f>
        <v>A23-GĐH-021</v>
      </c>
      <c r="E45" s="464" t="str">
        <f>IFERROR(VLOOKUP(B45,'03. THIẾT BỊ'!$B$1:$S$836,4,0),"")</f>
        <v>ĐQSD</v>
      </c>
      <c r="F45" s="464" t="str">
        <f>IFERROR(VLOOKUP(B45,'03. THIẾT BỊ'!$B$1:$S$836,5,0),"")</f>
        <v>Gàu định hình đào mương thoát nước</v>
      </c>
      <c r="G45" s="80" t="s">
        <v>6423</v>
      </c>
      <c r="H45" s="463" t="str">
        <f>IFERROR(VLOOKUP(B45,'03. THIẾT BỊ'!$B$1:$S$836,7,0),"")</f>
        <v>CGTC DP</v>
      </c>
      <c r="I45" s="474" t="str">
        <f>IFERROR(VLOOKUP(B45,'03. THIẾT BỊ'!$B$1:$S$836,8,0),"")</f>
        <v>16/08/2024</v>
      </c>
      <c r="J45" s="471"/>
      <c r="K45" s="463" t="str">
        <f>IFERROR(VLOOKUP(B45,'03. THIẾT BỊ'!$B$1:$S$836,10,0),"")</f>
        <v>Bình thường</v>
      </c>
      <c r="L45" s="468" t="str">
        <f>IFERROR(VLOOKUP(B45,'03. THIẾT BỊ'!$B$1:$S$836,11,0),"")</f>
        <v/>
      </c>
      <c r="M45" s="472" t="str">
        <f>IFERROR(VLOOKUP(B45,'03. THIẾT BỊ'!$B$1:$S$836,12,0),"")</f>
        <v/>
      </c>
      <c r="N45" s="468" t="str">
        <f>IFERROR(VLOOKUP(B45,'03. THIẾT BỊ'!$B$1:$S$836,13,0),"")</f>
        <v>THACO AGRI</v>
      </c>
      <c r="O45" s="470" t="str">
        <f>IFERROR(VLOOKUP(B45,'03. THIẾT BỊ'!$B$1:$S$836,14,0),"")</f>
        <v/>
      </c>
      <c r="P45" s="468" t="str">
        <f>IFERROR(VLOOKUP(B45,'03. THIẾT BỊ'!$B$1:$S$836,15,0),"")</f>
        <v>CK-CGH</v>
      </c>
      <c r="Q45" s="48">
        <f>IFERROR(VLOOKUP(B45,'03. THIẾT BỊ'!$B$1:$S$836,16,0),"")</f>
        <v>2024</v>
      </c>
      <c r="R45" s="471" t="str">
        <f>IFERROR(VLOOKUP(B45,'03. THIẾT BỊ'!$B$1:$S$836,17,0),"")</f>
        <v>200x200x400</v>
      </c>
      <c r="S45" s="468" t="str">
        <f>IFERROR(VLOOKUP(B45,'03. THIẾT BỊ'!$B$1:$S$836,18,0),"")</f>
        <v/>
      </c>
      <c r="T45" s="822"/>
    </row>
    <row r="46" ht="15.0" customHeight="1">
      <c r="A46" s="48">
        <f t="shared" si="2"/>
        <v>8</v>
      </c>
      <c r="B46" s="464" t="s">
        <v>3281</v>
      </c>
      <c r="C46" s="869" t="str">
        <f>IFERROR(VLOOKUP(B46,'03. THIẾT BỊ'!$B$1:$S$836,2,0),"")</f>
        <v/>
      </c>
      <c r="D46" s="470" t="str">
        <f>IFERROR(VLOOKUP(B46,'03. THIẾT BỊ'!$B$1:$S$836,3,0),"")</f>
        <v>A23-GĐH-022</v>
      </c>
      <c r="E46" s="464" t="str">
        <f>IFERROR(VLOOKUP(B46,'03. THIẾT BỊ'!$B$1:$S$836,4,0),"")</f>
        <v>ĐQSD</v>
      </c>
      <c r="F46" s="464" t="str">
        <f>IFERROR(VLOOKUP(B46,'03. THIẾT BỊ'!$B$1:$S$836,5,0),"")</f>
        <v>Gàu định hình đào mương thoát nước</v>
      </c>
      <c r="G46" s="80" t="s">
        <v>6423</v>
      </c>
      <c r="H46" s="463" t="str">
        <f>IFERROR(VLOOKUP(B46,'03. THIẾT BỊ'!$B$1:$S$836,7,0),"")</f>
        <v>CGTC DP</v>
      </c>
      <c r="I46" s="474" t="str">
        <f>IFERROR(VLOOKUP(B46,'03. THIẾT BỊ'!$B$1:$S$836,8,0),"")</f>
        <v>16/08/2024</v>
      </c>
      <c r="J46" s="471"/>
      <c r="K46" s="463" t="str">
        <f>IFERROR(VLOOKUP(B46,'03. THIẾT BỊ'!$B$1:$S$836,10,0),"")</f>
        <v>Bình thường</v>
      </c>
      <c r="L46" s="468" t="str">
        <f>IFERROR(VLOOKUP(B46,'03. THIẾT BỊ'!$B$1:$S$836,11,0),"")</f>
        <v/>
      </c>
      <c r="M46" s="472" t="str">
        <f>IFERROR(VLOOKUP(B46,'03. THIẾT BỊ'!$B$1:$S$836,12,0),"")</f>
        <v/>
      </c>
      <c r="N46" s="468" t="str">
        <f>IFERROR(VLOOKUP(B46,'03. THIẾT BỊ'!$B$1:$S$836,13,0),"")</f>
        <v>THACO AGRI</v>
      </c>
      <c r="O46" s="470" t="str">
        <f>IFERROR(VLOOKUP(B46,'03. THIẾT BỊ'!$B$1:$S$836,14,0),"")</f>
        <v/>
      </c>
      <c r="P46" s="468" t="str">
        <f>IFERROR(VLOOKUP(B46,'03. THIẾT BỊ'!$B$1:$S$836,15,0),"")</f>
        <v>CK-CGH</v>
      </c>
      <c r="Q46" s="48">
        <f>IFERROR(VLOOKUP(B46,'03. THIẾT BỊ'!$B$1:$S$836,16,0),"")</f>
        <v>2024</v>
      </c>
      <c r="R46" s="471" t="str">
        <f>IFERROR(VLOOKUP(B46,'03. THIẾT BỊ'!$B$1:$S$836,17,0),"")</f>
        <v>200x350x400</v>
      </c>
      <c r="S46" s="468" t="str">
        <f>IFERROR(VLOOKUP(B46,'03. THIẾT BỊ'!$B$1:$S$836,18,0),"")</f>
        <v/>
      </c>
      <c r="T46" s="822"/>
    </row>
    <row r="47" ht="15.0" customHeight="1">
      <c r="A47" s="48">
        <f t="shared" si="2"/>
        <v>9</v>
      </c>
      <c r="B47" s="464" t="s">
        <v>3284</v>
      </c>
      <c r="C47" s="869" t="str">
        <f>IFERROR(VLOOKUP(B47,'03. THIẾT BỊ'!$B$1:$S$836,2,0),"")</f>
        <v/>
      </c>
      <c r="D47" s="470" t="str">
        <f>IFERROR(VLOOKUP(B47,'03. THIẾT BỊ'!$B$1:$S$836,3,0),"")</f>
        <v>A23-GĐH-023</v>
      </c>
      <c r="E47" s="464" t="str">
        <f>IFERROR(VLOOKUP(B47,'03. THIẾT BỊ'!$B$1:$S$836,4,0),"")</f>
        <v>ĐQSD</v>
      </c>
      <c r="F47" s="464" t="str">
        <f>IFERROR(VLOOKUP(B47,'03. THIẾT BỊ'!$B$1:$S$836,5,0),"")</f>
        <v>Gàu định hình đào mương thoát nước</v>
      </c>
      <c r="G47" s="80" t="s">
        <v>6423</v>
      </c>
      <c r="H47" s="463" t="str">
        <f>IFERROR(VLOOKUP(B47,'03. THIẾT BỊ'!$B$1:$S$836,7,0),"")</f>
        <v>CGTC DP</v>
      </c>
      <c r="I47" s="474" t="str">
        <f>IFERROR(VLOOKUP(B47,'03. THIẾT BỊ'!$B$1:$S$836,8,0),"")</f>
        <v>16/08/2024</v>
      </c>
      <c r="J47" s="471"/>
      <c r="K47" s="463" t="str">
        <f>IFERROR(VLOOKUP(B47,'03. THIẾT BỊ'!$B$1:$S$836,10,0),"")</f>
        <v>Bình thường</v>
      </c>
      <c r="L47" s="468" t="str">
        <f>IFERROR(VLOOKUP(B47,'03. THIẾT BỊ'!$B$1:$S$836,11,0),"")</f>
        <v/>
      </c>
      <c r="M47" s="472" t="str">
        <f>IFERROR(VLOOKUP(B47,'03. THIẾT BỊ'!$B$1:$S$836,12,0),"")</f>
        <v/>
      </c>
      <c r="N47" s="468" t="str">
        <f>IFERROR(VLOOKUP(B47,'03. THIẾT BỊ'!$B$1:$S$836,13,0),"")</f>
        <v>THACO AGRI</v>
      </c>
      <c r="O47" s="470" t="str">
        <f>IFERROR(VLOOKUP(B47,'03. THIẾT BỊ'!$B$1:$S$836,14,0),"")</f>
        <v/>
      </c>
      <c r="P47" s="468" t="str">
        <f>IFERROR(VLOOKUP(B47,'03. THIẾT BỊ'!$B$1:$S$836,15,0),"")</f>
        <v>CK-CGH</v>
      </c>
      <c r="Q47" s="48">
        <f>IFERROR(VLOOKUP(B47,'03. THIẾT BỊ'!$B$1:$S$836,16,0),"")</f>
        <v>2024</v>
      </c>
      <c r="R47" s="471" t="str">
        <f>IFERROR(VLOOKUP(B47,'03. THIẾT BỊ'!$B$1:$S$836,17,0),"")</f>
        <v>350x200x400</v>
      </c>
      <c r="S47" s="468" t="str">
        <f>IFERROR(VLOOKUP(B47,'03. THIẾT BỊ'!$B$1:$S$836,18,0),"")</f>
        <v/>
      </c>
      <c r="T47" s="822"/>
    </row>
    <row r="48" ht="15.0" customHeight="1">
      <c r="A48" s="48">
        <f t="shared" si="2"/>
        <v>10</v>
      </c>
      <c r="B48" s="464" t="s">
        <v>3287</v>
      </c>
      <c r="C48" s="869" t="str">
        <f>IFERROR(VLOOKUP(B48,'03. THIẾT BỊ'!$B$1:$S$836,2,0),"")</f>
        <v/>
      </c>
      <c r="D48" s="470" t="str">
        <f>IFERROR(VLOOKUP(B48,'03. THIẾT BỊ'!$B$1:$S$836,3,0),"")</f>
        <v>A23-GĐH-024</v>
      </c>
      <c r="E48" s="464" t="str">
        <f>IFERROR(VLOOKUP(B48,'03. THIẾT BỊ'!$B$1:$S$836,4,0),"")</f>
        <v>ĐQSD</v>
      </c>
      <c r="F48" s="464" t="str">
        <f>IFERROR(VLOOKUP(B48,'03. THIẾT BỊ'!$B$1:$S$836,5,0),"")</f>
        <v>Gàu định hình đào mương thoát nước</v>
      </c>
      <c r="G48" s="80" t="s">
        <v>6423</v>
      </c>
      <c r="H48" s="463" t="str">
        <f>IFERROR(VLOOKUP(B48,'03. THIẾT BỊ'!$B$1:$S$836,7,0),"")</f>
        <v>CGTC DP</v>
      </c>
      <c r="I48" s="474" t="str">
        <f>IFERROR(VLOOKUP(B48,'03. THIẾT BỊ'!$B$1:$S$836,8,0),"")</f>
        <v>16/08/2024</v>
      </c>
      <c r="J48" s="471"/>
      <c r="K48" s="463" t="str">
        <f>IFERROR(VLOOKUP(B48,'03. THIẾT BỊ'!$B$1:$S$836,10,0),"")</f>
        <v>Bình thường</v>
      </c>
      <c r="L48" s="468" t="str">
        <f>IFERROR(VLOOKUP(B48,'03. THIẾT BỊ'!$B$1:$S$836,11,0),"")</f>
        <v/>
      </c>
      <c r="M48" s="472" t="str">
        <f>IFERROR(VLOOKUP(B48,'03. THIẾT BỊ'!$B$1:$S$836,12,0),"")</f>
        <v/>
      </c>
      <c r="N48" s="468" t="str">
        <f>IFERROR(VLOOKUP(B48,'03. THIẾT BỊ'!$B$1:$S$836,13,0),"")</f>
        <v>THACO AGRI</v>
      </c>
      <c r="O48" s="470" t="str">
        <f>IFERROR(VLOOKUP(B48,'03. THIẾT BỊ'!$B$1:$S$836,14,0),"")</f>
        <v/>
      </c>
      <c r="P48" s="468" t="str">
        <f>IFERROR(VLOOKUP(B48,'03. THIẾT BỊ'!$B$1:$S$836,15,0),"")</f>
        <v>CK-CGH</v>
      </c>
      <c r="Q48" s="48">
        <f>IFERROR(VLOOKUP(B48,'03. THIẾT BỊ'!$B$1:$S$836,16,0),"")</f>
        <v>2024</v>
      </c>
      <c r="R48" s="471" t="str">
        <f>IFERROR(VLOOKUP(B48,'03. THIẾT BỊ'!$B$1:$S$836,17,0),"")</f>
        <v>350x200x400</v>
      </c>
      <c r="S48" s="468" t="str">
        <f>IFERROR(VLOOKUP(B48,'03. THIẾT BỊ'!$B$1:$S$836,18,0),"")</f>
        <v/>
      </c>
      <c r="T48" s="822"/>
    </row>
    <row r="49" ht="15.0" customHeight="1">
      <c r="A49" s="48">
        <f t="shared" si="2"/>
        <v>11</v>
      </c>
      <c r="B49" s="464" t="s">
        <v>3289</v>
      </c>
      <c r="C49" s="869" t="str">
        <f>IFERROR(VLOOKUP(B49,'03. THIẾT BỊ'!$B$1:$S$836,2,0),"")</f>
        <v/>
      </c>
      <c r="D49" s="470" t="str">
        <f>IFERROR(VLOOKUP(B49,'03. THIẾT BỊ'!$B$1:$S$836,3,0),"")</f>
        <v>A23-GĐH-025</v>
      </c>
      <c r="E49" s="464" t="str">
        <f>IFERROR(VLOOKUP(B49,'03. THIẾT BỊ'!$B$1:$S$836,4,0),"")</f>
        <v>ĐQSD</v>
      </c>
      <c r="F49" s="464" t="str">
        <f>IFERROR(VLOOKUP(B49,'03. THIẾT BỊ'!$B$1:$S$836,5,0),"")</f>
        <v>Gàu định hình đào mương thoát nước</v>
      </c>
      <c r="G49" s="80" t="s">
        <v>6423</v>
      </c>
      <c r="H49" s="463" t="str">
        <f>IFERROR(VLOOKUP(B49,'03. THIẾT BỊ'!$B$1:$S$836,7,0),"")</f>
        <v>CGTC DP</v>
      </c>
      <c r="I49" s="474" t="str">
        <f>IFERROR(VLOOKUP(B49,'03. THIẾT BỊ'!$B$1:$S$836,8,0),"")</f>
        <v>16/08/2024</v>
      </c>
      <c r="J49" s="471"/>
      <c r="K49" s="463" t="str">
        <f>IFERROR(VLOOKUP(B49,'03. THIẾT BỊ'!$B$1:$S$836,10,0),"")</f>
        <v>Bình thường</v>
      </c>
      <c r="L49" s="468" t="str">
        <f>IFERROR(VLOOKUP(B49,'03. THIẾT BỊ'!$B$1:$S$836,11,0),"")</f>
        <v/>
      </c>
      <c r="M49" s="472" t="str">
        <f>IFERROR(VLOOKUP(B49,'03. THIẾT BỊ'!$B$1:$S$836,12,0),"")</f>
        <v/>
      </c>
      <c r="N49" s="468" t="str">
        <f>IFERROR(VLOOKUP(B49,'03. THIẾT BỊ'!$B$1:$S$836,13,0),"")</f>
        <v>THACO AGRI</v>
      </c>
      <c r="O49" s="470" t="str">
        <f>IFERROR(VLOOKUP(B49,'03. THIẾT BỊ'!$B$1:$S$836,14,0),"")</f>
        <v/>
      </c>
      <c r="P49" s="468" t="str">
        <f>IFERROR(VLOOKUP(B49,'03. THIẾT BỊ'!$B$1:$S$836,15,0),"")</f>
        <v>CK-CGH</v>
      </c>
      <c r="Q49" s="48">
        <f>IFERROR(VLOOKUP(B49,'03. THIẾT BỊ'!$B$1:$S$836,16,0),"")</f>
        <v>2024</v>
      </c>
      <c r="R49" s="471" t="str">
        <f>IFERROR(VLOOKUP(B49,'03. THIẾT BỊ'!$B$1:$S$836,17,0),"")</f>
        <v>350x200x400</v>
      </c>
      <c r="S49" s="468" t="str">
        <f>IFERROR(VLOOKUP(B49,'03. THIẾT BỊ'!$B$1:$S$836,18,0),"")</f>
        <v/>
      </c>
      <c r="T49" s="822"/>
    </row>
    <row r="50" ht="15.0" customHeight="1">
      <c r="A50" s="48">
        <f t="shared" si="2"/>
        <v>12</v>
      </c>
      <c r="B50" s="464" t="s">
        <v>3291</v>
      </c>
      <c r="C50" s="869" t="str">
        <f>IFERROR(VLOOKUP(B50,'03. THIẾT BỊ'!$B$1:$S$836,2,0),"")</f>
        <v/>
      </c>
      <c r="D50" s="470" t="str">
        <f>IFERROR(VLOOKUP(B50,'03. THIẾT BỊ'!$B$1:$S$836,3,0),"")</f>
        <v>A23-GĐH-028</v>
      </c>
      <c r="E50" s="464" t="str">
        <f>IFERROR(VLOOKUP(B50,'03. THIẾT BỊ'!$B$1:$S$836,4,0),"")</f>
        <v>ĐQSD</v>
      </c>
      <c r="F50" s="464" t="str">
        <f>IFERROR(VLOOKUP(B50,'03. THIẾT BỊ'!$B$1:$S$836,5,0),"")</f>
        <v>Gàu định hình đào mương thoát nước</v>
      </c>
      <c r="G50" s="80" t="s">
        <v>6423</v>
      </c>
      <c r="H50" s="463" t="str">
        <f>IFERROR(VLOOKUP(B50,'03. THIẾT BỊ'!$B$1:$S$836,7,0),"")</f>
        <v>CGTC DP</v>
      </c>
      <c r="I50" s="474" t="str">
        <f>IFERROR(VLOOKUP(B50,'03. THIẾT BỊ'!$B$1:$S$836,8,0),"")</f>
        <v>17/08/2024</v>
      </c>
      <c r="J50" s="471"/>
      <c r="K50" s="463" t="str">
        <f>IFERROR(VLOOKUP(B50,'03. THIẾT BỊ'!$B$1:$S$836,10,0),"")</f>
        <v>Bình thường</v>
      </c>
      <c r="L50" s="468" t="str">
        <f>IFERROR(VLOOKUP(B50,'03. THIẾT BỊ'!$B$1:$S$836,11,0),"")</f>
        <v/>
      </c>
      <c r="M50" s="472" t="str">
        <f>IFERROR(VLOOKUP(B50,'03. THIẾT BỊ'!$B$1:$S$836,12,0),"")</f>
        <v/>
      </c>
      <c r="N50" s="468" t="str">
        <f>IFERROR(VLOOKUP(B50,'03. THIẾT BỊ'!$B$1:$S$836,13,0),"")</f>
        <v>THACO AGRI</v>
      </c>
      <c r="O50" s="470" t="str">
        <f>IFERROR(VLOOKUP(B50,'03. THIẾT BỊ'!$B$1:$S$836,14,0),"")</f>
        <v/>
      </c>
      <c r="P50" s="468" t="str">
        <f>IFERROR(VLOOKUP(B50,'03. THIẾT BỊ'!$B$1:$S$836,15,0),"")</f>
        <v>CK-CGH</v>
      </c>
      <c r="Q50" s="48">
        <f>IFERROR(VLOOKUP(B50,'03. THIẾT BỊ'!$B$1:$S$836,16,0),"")</f>
        <v>2024</v>
      </c>
      <c r="R50" s="471" t="str">
        <f>IFERROR(VLOOKUP(B50,'03. THIẾT BỊ'!$B$1:$S$836,17,0),"")</f>
        <v>1200x1000x400</v>
      </c>
      <c r="S50" s="468" t="str">
        <f>IFERROR(VLOOKUP(B50,'03. THIẾT BỊ'!$B$1:$S$836,18,0),"")</f>
        <v/>
      </c>
      <c r="T50" s="822"/>
    </row>
    <row r="51" ht="15.0" customHeight="1">
      <c r="A51" s="48">
        <f t="shared" si="2"/>
        <v>13</v>
      </c>
      <c r="B51" s="464" t="s">
        <v>3295</v>
      </c>
      <c r="C51" s="869" t="str">
        <f>IFERROR(VLOOKUP(B51,'03. THIẾT BỊ'!$B$1:$S$836,2,0),"")</f>
        <v/>
      </c>
      <c r="D51" s="470" t="str">
        <f>IFERROR(VLOOKUP(B51,'03. THIẾT BỊ'!$B$1:$S$836,3,0),"")</f>
        <v>A23-GĐH-031</v>
      </c>
      <c r="E51" s="464" t="str">
        <f>IFERROR(VLOOKUP(B51,'03. THIẾT BỊ'!$B$1:$S$836,4,0),"")</f>
        <v>ĐQSD</v>
      </c>
      <c r="F51" s="464" t="str">
        <f>IFERROR(VLOOKUP(B51,'03. THIẾT BỊ'!$B$1:$S$836,5,0),"")</f>
        <v>Gàu định hình đào mương thoát nước</v>
      </c>
      <c r="G51" s="80" t="s">
        <v>6423</v>
      </c>
      <c r="H51" s="463" t="str">
        <f>IFERROR(VLOOKUP(B51,'03. THIẾT BỊ'!$B$1:$S$836,7,0),"")</f>
        <v>CGTC DP</v>
      </c>
      <c r="I51" s="474">
        <f>IFERROR(VLOOKUP(B51,'03. THIẾT BỊ'!$B$1:$S$836,8,0),"")</f>
        <v>45360</v>
      </c>
      <c r="J51" s="471"/>
      <c r="K51" s="463" t="str">
        <f>IFERROR(VLOOKUP(B51,'03. THIẾT BỊ'!$B$1:$S$836,10,0),"")</f>
        <v>Bình thường</v>
      </c>
      <c r="L51" s="468" t="str">
        <f>IFERROR(VLOOKUP(B51,'03. THIẾT BỊ'!$B$1:$S$836,11,0),"")</f>
        <v/>
      </c>
      <c r="M51" s="472" t="str">
        <f>IFERROR(VLOOKUP(B51,'03. THIẾT BỊ'!$B$1:$S$836,12,0),"")</f>
        <v/>
      </c>
      <c r="N51" s="468" t="str">
        <f>IFERROR(VLOOKUP(B51,'03. THIẾT BỊ'!$B$1:$S$836,13,0),"")</f>
        <v>THACO AGRI</v>
      </c>
      <c r="O51" s="470" t="str">
        <f>IFERROR(VLOOKUP(B51,'03. THIẾT BỊ'!$B$1:$S$836,14,0),"")</f>
        <v/>
      </c>
      <c r="P51" s="468" t="str">
        <f>IFERROR(VLOOKUP(B51,'03. THIẾT BỊ'!$B$1:$S$836,15,0),"")</f>
        <v>CK-CGH</v>
      </c>
      <c r="Q51" s="48">
        <f>IFERROR(VLOOKUP(B51,'03. THIẾT BỊ'!$B$1:$S$836,16,0),"")</f>
        <v>2024</v>
      </c>
      <c r="R51" s="471" t="str">
        <f>IFERROR(VLOOKUP(B51,'03. THIẾT BỊ'!$B$1:$S$836,17,0),"")</f>
        <v>350x200x400</v>
      </c>
      <c r="S51" s="468" t="str">
        <f>IFERROR(VLOOKUP(B51,'03. THIẾT BỊ'!$B$1:$S$836,18,0),"")</f>
        <v/>
      </c>
      <c r="T51" s="822"/>
    </row>
    <row r="52" ht="15.0" customHeight="1">
      <c r="A52" s="48">
        <f t="shared" si="2"/>
        <v>14</v>
      </c>
      <c r="B52" s="464" t="s">
        <v>3297</v>
      </c>
      <c r="C52" s="869" t="str">
        <f>IFERROR(VLOOKUP(B52,'03. THIẾT BỊ'!$B$1:$S$836,2,0),"")</f>
        <v/>
      </c>
      <c r="D52" s="470" t="str">
        <f>IFERROR(VLOOKUP(B52,'03. THIẾT BỊ'!$B$1:$S$836,3,0),"")</f>
        <v>A23-GĐH-032</v>
      </c>
      <c r="E52" s="464" t="str">
        <f>IFERROR(VLOOKUP(B52,'03. THIẾT BỊ'!$B$1:$S$836,4,0),"")</f>
        <v>ĐQSD</v>
      </c>
      <c r="F52" s="464" t="str">
        <f>IFERROR(VLOOKUP(B52,'03. THIẾT BỊ'!$B$1:$S$836,5,0),"")</f>
        <v>Gàu định hình đào mương thoát nước</v>
      </c>
      <c r="G52" s="80" t="s">
        <v>6423</v>
      </c>
      <c r="H52" s="463" t="str">
        <f>IFERROR(VLOOKUP(B52,'03. THIẾT BỊ'!$B$1:$S$836,7,0),"")</f>
        <v>CGTC DP</v>
      </c>
      <c r="I52" s="474">
        <f>IFERROR(VLOOKUP(B52,'03. THIẾT BỊ'!$B$1:$S$836,8,0),"")</f>
        <v>45360</v>
      </c>
      <c r="J52" s="471"/>
      <c r="K52" s="463" t="str">
        <f>IFERROR(VLOOKUP(B52,'03. THIẾT BỊ'!$B$1:$S$836,10,0),"")</f>
        <v>Bình thường</v>
      </c>
      <c r="L52" s="468" t="str">
        <f>IFERROR(VLOOKUP(B52,'03. THIẾT BỊ'!$B$1:$S$836,11,0),"")</f>
        <v/>
      </c>
      <c r="M52" s="472" t="str">
        <f>IFERROR(VLOOKUP(B52,'03. THIẾT BỊ'!$B$1:$S$836,12,0),"")</f>
        <v/>
      </c>
      <c r="N52" s="468" t="str">
        <f>IFERROR(VLOOKUP(B52,'03. THIẾT BỊ'!$B$1:$S$836,13,0),"")</f>
        <v>THACO AGRI</v>
      </c>
      <c r="O52" s="470" t="str">
        <f>IFERROR(VLOOKUP(B52,'03. THIẾT BỊ'!$B$1:$S$836,14,0),"")</f>
        <v/>
      </c>
      <c r="P52" s="468" t="str">
        <f>IFERROR(VLOOKUP(B52,'03. THIẾT BỊ'!$B$1:$S$836,15,0),"")</f>
        <v>CK-CGH</v>
      </c>
      <c r="Q52" s="48">
        <f>IFERROR(VLOOKUP(B52,'03. THIẾT BỊ'!$B$1:$S$836,16,0),"")</f>
        <v>2024</v>
      </c>
      <c r="R52" s="471" t="str">
        <f>IFERROR(VLOOKUP(B52,'03. THIẾT BỊ'!$B$1:$S$836,17,0),"")</f>
        <v>350x200x400</v>
      </c>
      <c r="S52" s="468" t="str">
        <f>IFERROR(VLOOKUP(B52,'03. THIẾT BỊ'!$B$1:$S$836,18,0),"")</f>
        <v/>
      </c>
      <c r="T52" s="822"/>
    </row>
    <row r="53" ht="15.0" customHeight="1">
      <c r="A53" s="48">
        <f t="shared" si="2"/>
        <v>15</v>
      </c>
      <c r="B53" s="464" t="s">
        <v>3299</v>
      </c>
      <c r="C53" s="869" t="str">
        <f>IFERROR(VLOOKUP(B53,'03. THIẾT BỊ'!$B$1:$S$836,2,0),"")</f>
        <v/>
      </c>
      <c r="D53" s="470" t="str">
        <f>IFERROR(VLOOKUP(B53,'03. THIẾT BỊ'!$B$1:$S$836,3,0),"")</f>
        <v>A23-GĐH-033</v>
      </c>
      <c r="E53" s="464" t="str">
        <f>IFERROR(VLOOKUP(B53,'03. THIẾT BỊ'!$B$1:$S$836,4,0),"")</f>
        <v>ĐQSD</v>
      </c>
      <c r="F53" s="464" t="str">
        <f>IFERROR(VLOOKUP(B53,'03. THIẾT BỊ'!$B$1:$S$836,5,0),"")</f>
        <v>Gàu định hình đào mương thoát nước</v>
      </c>
      <c r="G53" s="80" t="s">
        <v>6423</v>
      </c>
      <c r="H53" s="463" t="str">
        <f>IFERROR(VLOOKUP(B53,'03. THIẾT BỊ'!$B$1:$S$836,7,0),"")</f>
        <v>CGTC DP</v>
      </c>
      <c r="I53" s="474">
        <f>IFERROR(VLOOKUP(B53,'03. THIẾT BỊ'!$B$1:$S$836,8,0),"")</f>
        <v>45360</v>
      </c>
      <c r="J53" s="471"/>
      <c r="K53" s="463" t="str">
        <f>IFERROR(VLOOKUP(B53,'03. THIẾT BỊ'!$B$1:$S$836,10,0),"")</f>
        <v>Bình thường</v>
      </c>
      <c r="L53" s="468" t="str">
        <f>IFERROR(VLOOKUP(B53,'03. THIẾT BỊ'!$B$1:$S$836,11,0),"")</f>
        <v/>
      </c>
      <c r="M53" s="472" t="str">
        <f>IFERROR(VLOOKUP(B53,'03. THIẾT BỊ'!$B$1:$S$836,12,0),"")</f>
        <v/>
      </c>
      <c r="N53" s="468" t="str">
        <f>IFERROR(VLOOKUP(B53,'03. THIẾT BỊ'!$B$1:$S$836,13,0),"")</f>
        <v>THACO AGRI</v>
      </c>
      <c r="O53" s="470" t="str">
        <f>IFERROR(VLOOKUP(B53,'03. THIẾT BỊ'!$B$1:$S$836,14,0),"")</f>
        <v/>
      </c>
      <c r="P53" s="468" t="str">
        <f>IFERROR(VLOOKUP(B53,'03. THIẾT BỊ'!$B$1:$S$836,15,0),"")</f>
        <v>CK-CGH</v>
      </c>
      <c r="Q53" s="48">
        <f>IFERROR(VLOOKUP(B53,'03. THIẾT BỊ'!$B$1:$S$836,16,0),"")</f>
        <v>2024</v>
      </c>
      <c r="R53" s="471" t="str">
        <f>IFERROR(VLOOKUP(B53,'03. THIẾT BỊ'!$B$1:$S$836,17,0),"")</f>
        <v>350x200x400</v>
      </c>
      <c r="S53" s="468" t="str">
        <f>IFERROR(VLOOKUP(B53,'03. THIẾT BỊ'!$B$1:$S$836,18,0),"")</f>
        <v/>
      </c>
      <c r="T53" s="822"/>
    </row>
    <row r="54" ht="15.0" customHeight="1">
      <c r="A54" s="48">
        <f t="shared" si="2"/>
        <v>16</v>
      </c>
      <c r="B54" s="464" t="s">
        <v>3301</v>
      </c>
      <c r="C54" s="869" t="str">
        <f>IFERROR(VLOOKUP(B54,'03. THIẾT BỊ'!$B$1:$S$836,2,0),"")</f>
        <v/>
      </c>
      <c r="D54" s="470" t="str">
        <f>IFERROR(VLOOKUP(B54,'03. THIẾT BỊ'!$B$1:$S$836,3,0),"")</f>
        <v>A24-GĐH-043</v>
      </c>
      <c r="E54" s="464" t="str">
        <f>IFERROR(VLOOKUP(B54,'03. THIẾT BỊ'!$B$1:$S$836,4,0),"")</f>
        <v>ĐQSD</v>
      </c>
      <c r="F54" s="464" t="str">
        <f>IFERROR(VLOOKUP(B54,'03. THIẾT BỊ'!$B$1:$S$836,5,0),"")</f>
        <v>Gàu định hình đào mương lô M1 (cải tiến)</v>
      </c>
      <c r="G54" s="80" t="s">
        <v>6423</v>
      </c>
      <c r="H54" s="463" t="str">
        <f>IFERROR(VLOOKUP(B54,'03. THIẾT BỊ'!$B$1:$S$836,7,0),"")</f>
        <v>CGTC DP</v>
      </c>
      <c r="I54" s="474" t="str">
        <f>IFERROR(VLOOKUP(B54,'03. THIẾT BỊ'!$B$1:$S$836,8,0),"")</f>
        <v>23/10/2024</v>
      </c>
      <c r="J54" s="471"/>
      <c r="K54" s="463" t="str">
        <f>IFERROR(VLOOKUP(B54,'03. THIẾT BỊ'!$B$1:$S$836,10,0),"")</f>
        <v>Bình thường</v>
      </c>
      <c r="L54" s="468" t="str">
        <f>IFERROR(VLOOKUP(B54,'03. THIẾT BỊ'!$B$1:$S$836,11,0),"")</f>
        <v/>
      </c>
      <c r="M54" s="472" t="str">
        <f>IFERROR(VLOOKUP(B54,'03. THIẾT BỊ'!$B$1:$S$836,12,0),"")</f>
        <v/>
      </c>
      <c r="N54" s="468" t="str">
        <f>IFERROR(VLOOKUP(B54,'03. THIẾT BỊ'!$B$1:$S$836,13,0),"")</f>
        <v>THACO AGRI</v>
      </c>
      <c r="O54" s="470" t="str">
        <f>IFERROR(VLOOKUP(B54,'03. THIẾT BỊ'!$B$1:$S$836,14,0),"")</f>
        <v>M1</v>
      </c>
      <c r="P54" s="468" t="str">
        <f>IFERROR(VLOOKUP(B54,'03. THIẾT BỊ'!$B$1:$S$836,15,0),"")</f>
        <v>CK-CGH</v>
      </c>
      <c r="Q54" s="48">
        <f>IFERROR(VLOOKUP(B54,'03. THIẾT BỊ'!$B$1:$S$836,16,0),"")</f>
        <v>2024</v>
      </c>
      <c r="R54" s="471" t="str">
        <f>IFERROR(VLOOKUP(B54,'03. THIẾT BỊ'!$B$1:$S$836,17,0),"")</f>
        <v>1200x400x1050</v>
      </c>
      <c r="S54" s="468" t="str">
        <f>IFERROR(VLOOKUP(B54,'03. THIẾT BỊ'!$B$1:$S$836,18,0),"")</f>
        <v/>
      </c>
      <c r="T54" s="822"/>
    </row>
    <row r="55" ht="15.0" customHeight="1">
      <c r="A55" s="48">
        <f t="shared" si="2"/>
        <v>17</v>
      </c>
      <c r="B55" s="464" t="s">
        <v>3306</v>
      </c>
      <c r="C55" s="869" t="str">
        <f>IFERROR(VLOOKUP(B55,'03. THIẾT BỊ'!$B$1:$S$836,2,0),"")</f>
        <v/>
      </c>
      <c r="D55" s="470" t="str">
        <f>IFERROR(VLOOKUP(B55,'03. THIẾT BỊ'!$B$1:$S$836,3,0),"")</f>
        <v>A24-GĐH-044</v>
      </c>
      <c r="E55" s="464" t="str">
        <f>IFERROR(VLOOKUP(B55,'03. THIẾT BỊ'!$B$1:$S$836,4,0),"")</f>
        <v>ĐQSD</v>
      </c>
      <c r="F55" s="464" t="str">
        <f>IFERROR(VLOOKUP(B55,'03. THIẾT BỊ'!$B$1:$S$836,5,0),"")</f>
        <v>Gàu định hình đào mương lô M1 (cải tiến)</v>
      </c>
      <c r="G55" s="80" t="s">
        <v>6423</v>
      </c>
      <c r="H55" s="463" t="str">
        <f>IFERROR(VLOOKUP(B55,'03. THIẾT BỊ'!$B$1:$S$836,7,0),"")</f>
        <v>CGTC DP</v>
      </c>
      <c r="I55" s="474" t="str">
        <f>IFERROR(VLOOKUP(B55,'03. THIẾT BỊ'!$B$1:$S$836,8,0),"")</f>
        <v>23/10/2024</v>
      </c>
      <c r="J55" s="471"/>
      <c r="K55" s="463" t="str">
        <f>IFERROR(VLOOKUP(B55,'03. THIẾT BỊ'!$B$1:$S$836,10,0),"")</f>
        <v>Bình thường</v>
      </c>
      <c r="L55" s="468" t="str">
        <f>IFERROR(VLOOKUP(B55,'03. THIẾT BỊ'!$B$1:$S$836,11,0),"")</f>
        <v/>
      </c>
      <c r="M55" s="472" t="str">
        <f>IFERROR(VLOOKUP(B55,'03. THIẾT BỊ'!$B$1:$S$836,12,0),"")</f>
        <v/>
      </c>
      <c r="N55" s="468" t="str">
        <f>IFERROR(VLOOKUP(B55,'03. THIẾT BỊ'!$B$1:$S$836,13,0),"")</f>
        <v>THACO AGRI</v>
      </c>
      <c r="O55" s="470" t="str">
        <f>IFERROR(VLOOKUP(B55,'03. THIẾT BỊ'!$B$1:$S$836,14,0),"")</f>
        <v>M1</v>
      </c>
      <c r="P55" s="468" t="str">
        <f>IFERROR(VLOOKUP(B55,'03. THIẾT BỊ'!$B$1:$S$836,15,0),"")</f>
        <v>CK-CGH</v>
      </c>
      <c r="Q55" s="48">
        <f>IFERROR(VLOOKUP(B55,'03. THIẾT BỊ'!$B$1:$S$836,16,0),"")</f>
        <v>2024</v>
      </c>
      <c r="R55" s="471" t="str">
        <f>IFERROR(VLOOKUP(B55,'03. THIẾT BỊ'!$B$1:$S$836,17,0),"")</f>
        <v>1200x400x1050</v>
      </c>
      <c r="S55" s="468" t="str">
        <f>IFERROR(VLOOKUP(B55,'03. THIẾT BỊ'!$B$1:$S$836,18,0),"")</f>
        <v/>
      </c>
      <c r="T55" s="822"/>
    </row>
    <row r="56" ht="15.0" customHeight="1">
      <c r="A56" s="48">
        <f t="shared" si="2"/>
        <v>18</v>
      </c>
      <c r="B56" s="464" t="s">
        <v>3308</v>
      </c>
      <c r="C56" s="869" t="str">
        <f>IFERROR(VLOOKUP(B56,'03. THIẾT BỊ'!$B$1:$S$836,2,0),"")</f>
        <v/>
      </c>
      <c r="D56" s="470" t="str">
        <f>IFERROR(VLOOKUP(B56,'03. THIẾT BỊ'!$B$1:$S$836,3,0),"")</f>
        <v>A24-GĐH-051</v>
      </c>
      <c r="E56" s="464" t="str">
        <f>IFERROR(VLOOKUP(B56,'03. THIẾT BỊ'!$B$1:$S$836,4,0),"")</f>
        <v>ĐQSD</v>
      </c>
      <c r="F56" s="464" t="str">
        <f>IFERROR(VLOOKUP(B56,'03. THIẾT BỊ'!$B$1:$S$836,5,0),"")</f>
        <v>Gàu định hình đào mương lô M1 (cải tiến)</v>
      </c>
      <c r="G56" s="80" t="s">
        <v>6423</v>
      </c>
      <c r="H56" s="463" t="str">
        <f>IFERROR(VLOOKUP(B56,'03. THIẾT BỊ'!$B$1:$S$836,7,0),"")</f>
        <v>CGTC DP</v>
      </c>
      <c r="I56" s="474" t="str">
        <f>IFERROR(VLOOKUP(B56,'03. THIẾT BỊ'!$B$1:$S$836,8,0),"")</f>
        <v>23/10/2024</v>
      </c>
      <c r="J56" s="471"/>
      <c r="K56" s="463" t="str">
        <f>IFERROR(VLOOKUP(B56,'03. THIẾT BỊ'!$B$1:$S$836,10,0),"")</f>
        <v>Bình thường</v>
      </c>
      <c r="L56" s="468" t="str">
        <f>IFERROR(VLOOKUP(B56,'03. THIẾT BỊ'!$B$1:$S$836,11,0),"")</f>
        <v/>
      </c>
      <c r="M56" s="472" t="str">
        <f>IFERROR(VLOOKUP(B56,'03. THIẾT BỊ'!$B$1:$S$836,12,0),"")</f>
        <v/>
      </c>
      <c r="N56" s="468" t="str">
        <f>IFERROR(VLOOKUP(B56,'03. THIẾT BỊ'!$B$1:$S$836,13,0),"")</f>
        <v>THACO AGRI</v>
      </c>
      <c r="O56" s="470" t="str">
        <f>IFERROR(VLOOKUP(B56,'03. THIẾT BỊ'!$B$1:$S$836,14,0),"")</f>
        <v>M1</v>
      </c>
      <c r="P56" s="468" t="str">
        <f>IFERROR(VLOOKUP(B56,'03. THIẾT BỊ'!$B$1:$S$836,15,0),"")</f>
        <v>CK-CGH</v>
      </c>
      <c r="Q56" s="48">
        <f>IFERROR(VLOOKUP(B56,'03. THIẾT BỊ'!$B$1:$S$836,16,0),"")</f>
        <v>2024</v>
      </c>
      <c r="R56" s="471" t="str">
        <f>IFERROR(VLOOKUP(B56,'03. THIẾT BỊ'!$B$1:$S$836,17,0),"")</f>
        <v>1200x400x1050</v>
      </c>
      <c r="S56" s="468" t="str">
        <f>IFERROR(VLOOKUP(B56,'03. THIẾT BỊ'!$B$1:$S$836,18,0),"")</f>
        <v/>
      </c>
      <c r="T56" s="822"/>
    </row>
    <row r="57" ht="15.0" customHeight="1">
      <c r="A57" s="48">
        <f t="shared" si="2"/>
        <v>19</v>
      </c>
      <c r="B57" s="464" t="s">
        <v>3310</v>
      </c>
      <c r="C57" s="869" t="str">
        <f>IFERROR(VLOOKUP(B57,'03. THIẾT BỊ'!$B$1:$S$836,2,0),"")</f>
        <v/>
      </c>
      <c r="D57" s="470" t="str">
        <f>IFERROR(VLOOKUP(B57,'03. THIẾT BỊ'!$B$1:$S$836,3,0),"")</f>
        <v>A24-GĐH-052</v>
      </c>
      <c r="E57" s="464" t="str">
        <f>IFERROR(VLOOKUP(B57,'03. THIẾT BỊ'!$B$1:$S$836,4,0),"")</f>
        <v>ĐQSD</v>
      </c>
      <c r="F57" s="464" t="str">
        <f>IFERROR(VLOOKUP(B57,'03. THIẾT BỊ'!$B$1:$S$836,5,0),"")</f>
        <v>Gàu định hình đào mương lô M1 (cải tiến)</v>
      </c>
      <c r="G57" s="80" t="s">
        <v>6423</v>
      </c>
      <c r="H57" s="463" t="str">
        <f>IFERROR(VLOOKUP(B57,'03. THIẾT BỊ'!$B$1:$S$836,7,0),"")</f>
        <v>CGTC DP</v>
      </c>
      <c r="I57" s="474" t="str">
        <f>IFERROR(VLOOKUP(B57,'03. THIẾT BỊ'!$B$1:$S$836,8,0),"")</f>
        <v>23/10/2024</v>
      </c>
      <c r="J57" s="471"/>
      <c r="K57" s="463" t="str">
        <f>IFERROR(VLOOKUP(B57,'03. THIẾT BỊ'!$B$1:$S$836,10,0),"")</f>
        <v>Bình thường</v>
      </c>
      <c r="L57" s="468" t="str">
        <f>IFERROR(VLOOKUP(B57,'03. THIẾT BỊ'!$B$1:$S$836,11,0),"")</f>
        <v/>
      </c>
      <c r="M57" s="472" t="str">
        <f>IFERROR(VLOOKUP(B57,'03. THIẾT BỊ'!$B$1:$S$836,12,0),"")</f>
        <v/>
      </c>
      <c r="N57" s="468" t="str">
        <f>IFERROR(VLOOKUP(B57,'03. THIẾT BỊ'!$B$1:$S$836,13,0),"")</f>
        <v>THACO AGRI</v>
      </c>
      <c r="O57" s="470" t="str">
        <f>IFERROR(VLOOKUP(B57,'03. THIẾT BỊ'!$B$1:$S$836,14,0),"")</f>
        <v>M1</v>
      </c>
      <c r="P57" s="468" t="str">
        <f>IFERROR(VLOOKUP(B57,'03. THIẾT BỊ'!$B$1:$S$836,15,0),"")</f>
        <v>CK-CGH</v>
      </c>
      <c r="Q57" s="48">
        <f>IFERROR(VLOOKUP(B57,'03. THIẾT BỊ'!$B$1:$S$836,16,0),"")</f>
        <v>2024</v>
      </c>
      <c r="R57" s="471" t="str">
        <f>IFERROR(VLOOKUP(B57,'03. THIẾT BỊ'!$B$1:$S$836,17,0),"")</f>
        <v>1200x400x1050</v>
      </c>
      <c r="S57" s="468" t="str">
        <f>IFERROR(VLOOKUP(B57,'03. THIẾT BỊ'!$B$1:$S$836,18,0),"")</f>
        <v/>
      </c>
      <c r="T57" s="822"/>
    </row>
    <row r="58" ht="15.0" customHeight="1">
      <c r="A58" s="48">
        <f t="shared" si="2"/>
        <v>20</v>
      </c>
      <c r="B58" s="464" t="s">
        <v>3312</v>
      </c>
      <c r="C58" s="869" t="str">
        <f>IFERROR(VLOOKUP(B58,'03. THIẾT BỊ'!$B$1:$S$836,2,0),"")</f>
        <v/>
      </c>
      <c r="D58" s="470" t="str">
        <f>IFERROR(VLOOKUP(B58,'03. THIẾT BỊ'!$B$1:$S$836,3,0),"")</f>
        <v>A24-GĐH-053</v>
      </c>
      <c r="E58" s="464" t="str">
        <f>IFERROR(VLOOKUP(B58,'03. THIẾT BỊ'!$B$1:$S$836,4,0),"")</f>
        <v>ĐQSD</v>
      </c>
      <c r="F58" s="464" t="str">
        <f>IFERROR(VLOOKUP(B58,'03. THIẾT BỊ'!$B$1:$S$836,5,0),"")</f>
        <v>Gàu định hình đào mương lô M1 (cải tiến)</v>
      </c>
      <c r="G58" s="80" t="s">
        <v>6423</v>
      </c>
      <c r="H58" s="463" t="str">
        <f>IFERROR(VLOOKUP(B58,'03. THIẾT BỊ'!$B$1:$S$836,7,0),"")</f>
        <v>CGTC DP</v>
      </c>
      <c r="I58" s="474" t="str">
        <f>IFERROR(VLOOKUP(B58,'03. THIẾT BỊ'!$B$1:$S$836,8,0),"")</f>
        <v>23/10/2024</v>
      </c>
      <c r="J58" s="471"/>
      <c r="K58" s="463" t="str">
        <f>IFERROR(VLOOKUP(B58,'03. THIẾT BỊ'!$B$1:$S$836,10,0),"")</f>
        <v>Bình thường</v>
      </c>
      <c r="L58" s="468" t="str">
        <f>IFERROR(VLOOKUP(B58,'03. THIẾT BỊ'!$B$1:$S$836,11,0),"")</f>
        <v/>
      </c>
      <c r="M58" s="472" t="str">
        <f>IFERROR(VLOOKUP(B58,'03. THIẾT BỊ'!$B$1:$S$836,12,0),"")</f>
        <v/>
      </c>
      <c r="N58" s="468" t="str">
        <f>IFERROR(VLOOKUP(B58,'03. THIẾT BỊ'!$B$1:$S$836,13,0),"")</f>
        <v>THACO AGRI</v>
      </c>
      <c r="O58" s="470" t="str">
        <f>IFERROR(VLOOKUP(B58,'03. THIẾT BỊ'!$B$1:$S$836,14,0),"")</f>
        <v>M1</v>
      </c>
      <c r="P58" s="468" t="str">
        <f>IFERROR(VLOOKUP(B58,'03. THIẾT BỊ'!$B$1:$S$836,15,0),"")</f>
        <v>CK-CGH</v>
      </c>
      <c r="Q58" s="48">
        <f>IFERROR(VLOOKUP(B58,'03. THIẾT BỊ'!$B$1:$S$836,16,0),"")</f>
        <v>2024</v>
      </c>
      <c r="R58" s="471" t="str">
        <f>IFERROR(VLOOKUP(B58,'03. THIẾT BỊ'!$B$1:$S$836,17,0),"")</f>
        <v>1200x400x1050</v>
      </c>
      <c r="S58" s="468" t="str">
        <f>IFERROR(VLOOKUP(B58,'03. THIẾT BỊ'!$B$1:$S$836,18,0),"")</f>
        <v/>
      </c>
      <c r="T58" s="822"/>
    </row>
    <row r="59" ht="15.0" customHeight="1">
      <c r="A59" s="48">
        <f t="shared" si="2"/>
        <v>21</v>
      </c>
      <c r="B59" s="464" t="s">
        <v>3314</v>
      </c>
      <c r="C59" s="869" t="str">
        <f>IFERROR(VLOOKUP(B59,'03. THIẾT BỊ'!$B$1:$S$836,2,0),"")</f>
        <v/>
      </c>
      <c r="D59" s="470" t="str">
        <f>IFERROR(VLOOKUP(B59,'03. THIẾT BỊ'!$B$1:$S$836,3,0),"")</f>
        <v>A23-GĐH-069</v>
      </c>
      <c r="E59" s="464" t="str">
        <f>IFERROR(VLOOKUP(B59,'03. THIẾT BỊ'!$B$1:$S$836,4,0),"")</f>
        <v>ĐQSD</v>
      </c>
      <c r="F59" s="464" t="str">
        <f>IFERROR(VLOOKUP(B59,'03. THIẾT BỊ'!$B$1:$S$836,5,0),"")</f>
        <v>Gàu định hình đào mương thửa M1</v>
      </c>
      <c r="G59" s="80" t="s">
        <v>6423</v>
      </c>
      <c r="H59" s="463" t="str">
        <f>IFERROR(VLOOKUP(B59,'03. THIẾT BỊ'!$B$1:$S$836,7,0),"")</f>
        <v>CGTC DP</v>
      </c>
      <c r="I59" s="474">
        <f>IFERROR(VLOOKUP(B59,'03. THIẾT BỊ'!$B$1:$S$836,8,0),"")</f>
        <v>45751</v>
      </c>
      <c r="J59" s="471"/>
      <c r="K59" s="463" t="str">
        <f>IFERROR(VLOOKUP(B59,'03. THIẾT BỊ'!$B$1:$S$836,10,0),"")</f>
        <v>Bình thường</v>
      </c>
      <c r="L59" s="468" t="str">
        <f>IFERROR(VLOOKUP(B59,'03. THIẾT BỊ'!$B$1:$S$836,11,0),"")</f>
        <v/>
      </c>
      <c r="M59" s="472" t="str">
        <f>IFERROR(VLOOKUP(B59,'03. THIẾT BỊ'!$B$1:$S$836,12,0),"")</f>
        <v/>
      </c>
      <c r="N59" s="468" t="str">
        <f>IFERROR(VLOOKUP(B59,'03. THIẾT BỊ'!$B$1:$S$836,13,0),"")</f>
        <v>THACO AGRI</v>
      </c>
      <c r="O59" s="470" t="str">
        <f>IFERROR(VLOOKUP(B59,'03. THIẾT BỊ'!$B$1:$S$836,14,0),"")</f>
        <v>M1</v>
      </c>
      <c r="P59" s="468" t="str">
        <f>IFERROR(VLOOKUP(B59,'03. THIẾT BỊ'!$B$1:$S$836,15,0),"")</f>
        <v>CK-CGH</v>
      </c>
      <c r="Q59" s="48">
        <f>IFERROR(VLOOKUP(B59,'03. THIẾT BỊ'!$B$1:$S$836,16,0),"")</f>
        <v>2025</v>
      </c>
      <c r="R59" s="471" t="str">
        <f>IFERROR(VLOOKUP(B59,'03. THIẾT BỊ'!$B$1:$S$836,17,0),"")</f>
        <v>1200x400x1200</v>
      </c>
      <c r="S59" s="468" t="str">
        <f>IFERROR(VLOOKUP(B59,'03. THIẾT BỊ'!$B$1:$S$836,18,0),"")</f>
        <v/>
      </c>
      <c r="T59" s="822"/>
    </row>
    <row r="60" ht="15.0" customHeight="1">
      <c r="A60" s="48">
        <f t="shared" si="2"/>
        <v>22</v>
      </c>
      <c r="B60" s="464" t="s">
        <v>3318</v>
      </c>
      <c r="C60" s="869" t="str">
        <f>IFERROR(VLOOKUP(B60,'03. THIẾT BỊ'!$B$1:$S$836,2,0),"")</f>
        <v/>
      </c>
      <c r="D60" s="470" t="str">
        <f>IFERROR(VLOOKUP(B60,'03. THIẾT BỊ'!$B$1:$S$836,3,0),"")</f>
        <v>A23-GĐH-070</v>
      </c>
      <c r="E60" s="464" t="str">
        <f>IFERROR(VLOOKUP(B60,'03. THIẾT BỊ'!$B$1:$S$836,4,0),"")</f>
        <v>ĐQSD</v>
      </c>
      <c r="F60" s="464" t="str">
        <f>IFERROR(VLOOKUP(B60,'03. THIẾT BỊ'!$B$1:$S$836,5,0),"")</f>
        <v>Gàu định hình đào mương thửa M1</v>
      </c>
      <c r="G60" s="80" t="s">
        <v>6423</v>
      </c>
      <c r="H60" s="463" t="str">
        <f>IFERROR(VLOOKUP(B60,'03. THIẾT BỊ'!$B$1:$S$836,7,0),"")</f>
        <v>CGTC DP</v>
      </c>
      <c r="I60" s="474">
        <f>IFERROR(VLOOKUP(B60,'03. THIẾT BỊ'!$B$1:$S$836,8,0),"")</f>
        <v>45751</v>
      </c>
      <c r="J60" s="471"/>
      <c r="K60" s="463" t="str">
        <f>IFERROR(VLOOKUP(B60,'03. THIẾT BỊ'!$B$1:$S$836,10,0),"")</f>
        <v>Bình thường</v>
      </c>
      <c r="L60" s="468" t="str">
        <f>IFERROR(VLOOKUP(B60,'03. THIẾT BỊ'!$B$1:$S$836,11,0),"")</f>
        <v/>
      </c>
      <c r="M60" s="472" t="str">
        <f>IFERROR(VLOOKUP(B60,'03. THIẾT BỊ'!$B$1:$S$836,12,0),"")</f>
        <v/>
      </c>
      <c r="N60" s="468" t="str">
        <f>IFERROR(VLOOKUP(B60,'03. THIẾT BỊ'!$B$1:$S$836,13,0),"")</f>
        <v>THACO AGRI</v>
      </c>
      <c r="O60" s="470" t="str">
        <f>IFERROR(VLOOKUP(B60,'03. THIẾT BỊ'!$B$1:$S$836,14,0),"")</f>
        <v>M1</v>
      </c>
      <c r="P60" s="468" t="str">
        <f>IFERROR(VLOOKUP(B60,'03. THIẾT BỊ'!$B$1:$S$836,15,0),"")</f>
        <v>CK-CGH</v>
      </c>
      <c r="Q60" s="48">
        <f>IFERROR(VLOOKUP(B60,'03. THIẾT BỊ'!$B$1:$S$836,16,0),"")</f>
        <v>2025</v>
      </c>
      <c r="R60" s="471" t="str">
        <f>IFERROR(VLOOKUP(B60,'03. THIẾT BỊ'!$B$1:$S$836,17,0),"")</f>
        <v>1200x400x1200</v>
      </c>
      <c r="S60" s="468" t="str">
        <f>IFERROR(VLOOKUP(B60,'03. THIẾT BỊ'!$B$1:$S$836,18,0),"")</f>
        <v/>
      </c>
      <c r="T60" s="822"/>
    </row>
    <row r="61" ht="15.0" customHeight="1">
      <c r="A61" s="48">
        <f t="shared" si="2"/>
        <v>23</v>
      </c>
      <c r="B61" s="464" t="s">
        <v>3320</v>
      </c>
      <c r="C61" s="869" t="str">
        <f>IFERROR(VLOOKUP(B61,'03. THIẾT BỊ'!$B$1:$S$836,2,0),"")</f>
        <v/>
      </c>
      <c r="D61" s="470" t="str">
        <f>IFERROR(VLOOKUP(B61,'03. THIẾT BỊ'!$B$1:$S$836,3,0),"")</f>
        <v>A23-GĐH-071</v>
      </c>
      <c r="E61" s="464" t="str">
        <f>IFERROR(VLOOKUP(B61,'03. THIẾT BỊ'!$B$1:$S$836,4,0),"")</f>
        <v>ĐQSD</v>
      </c>
      <c r="F61" s="464" t="str">
        <f>IFERROR(VLOOKUP(B61,'03. THIẾT BỊ'!$B$1:$S$836,5,0),"")</f>
        <v>Gàu định hình đào mương thửa M1</v>
      </c>
      <c r="G61" s="80" t="s">
        <v>6423</v>
      </c>
      <c r="H61" s="463" t="str">
        <f>IFERROR(VLOOKUP(B61,'03. THIẾT BỊ'!$B$1:$S$836,7,0),"")</f>
        <v>CGTC DP</v>
      </c>
      <c r="I61" s="474">
        <f>IFERROR(VLOOKUP(B61,'03. THIẾT BỊ'!$B$1:$S$836,8,0),"")</f>
        <v>45842</v>
      </c>
      <c r="J61" s="471"/>
      <c r="K61" s="463" t="str">
        <f>IFERROR(VLOOKUP(B61,'03. THIẾT BỊ'!$B$1:$S$836,10,0),"")</f>
        <v>Bình thường</v>
      </c>
      <c r="L61" s="468" t="str">
        <f>IFERROR(VLOOKUP(B61,'03. THIẾT BỊ'!$B$1:$S$836,11,0),"")</f>
        <v/>
      </c>
      <c r="M61" s="472" t="str">
        <f>IFERROR(VLOOKUP(B61,'03. THIẾT BỊ'!$B$1:$S$836,12,0),"")</f>
        <v/>
      </c>
      <c r="N61" s="468" t="str">
        <f>IFERROR(VLOOKUP(B61,'03. THIẾT BỊ'!$B$1:$S$836,13,0),"")</f>
        <v>THACO AGRI</v>
      </c>
      <c r="O61" s="470" t="str">
        <f>IFERROR(VLOOKUP(B61,'03. THIẾT BỊ'!$B$1:$S$836,14,0),"")</f>
        <v>M1</v>
      </c>
      <c r="P61" s="468" t="str">
        <f>IFERROR(VLOOKUP(B61,'03. THIẾT BỊ'!$B$1:$S$836,15,0),"")</f>
        <v>CK-CGH</v>
      </c>
      <c r="Q61" s="48">
        <f>IFERROR(VLOOKUP(B61,'03. THIẾT BỊ'!$B$1:$S$836,16,0),"")</f>
        <v>2025</v>
      </c>
      <c r="R61" s="471" t="str">
        <f>IFERROR(VLOOKUP(B61,'03. THIẾT BỊ'!$B$1:$S$836,17,0),"")</f>
        <v>1200x400x1200</v>
      </c>
      <c r="S61" s="468" t="str">
        <f>IFERROR(VLOOKUP(B61,'03. THIẾT BỊ'!$B$1:$S$836,18,0),"")</f>
        <v/>
      </c>
      <c r="T61" s="822"/>
    </row>
    <row r="62" ht="15.0" customHeight="1">
      <c r="A62" s="48">
        <f t="shared" si="2"/>
        <v>24</v>
      </c>
      <c r="B62" s="464" t="s">
        <v>3322</v>
      </c>
      <c r="C62" s="869" t="str">
        <f>IFERROR(VLOOKUP(B62,'03. THIẾT BỊ'!$B$1:$S$836,2,0),"")</f>
        <v/>
      </c>
      <c r="D62" s="470" t="str">
        <f>IFERROR(VLOOKUP(B62,'03. THIẾT BỊ'!$B$1:$S$836,3,0),"")</f>
        <v>A23-GĐH-072</v>
      </c>
      <c r="E62" s="464" t="str">
        <f>IFERROR(VLOOKUP(B62,'03. THIẾT BỊ'!$B$1:$S$836,4,0),"")</f>
        <v>ĐQSD</v>
      </c>
      <c r="F62" s="464" t="str">
        <f>IFERROR(VLOOKUP(B62,'03. THIẾT BỊ'!$B$1:$S$836,5,0),"")</f>
        <v>Gàu định hình đào mương thửa M1</v>
      </c>
      <c r="G62" s="80" t="s">
        <v>6423</v>
      </c>
      <c r="H62" s="463" t="str">
        <f>IFERROR(VLOOKUP(B62,'03. THIẾT BỊ'!$B$1:$S$836,7,0),"")</f>
        <v>CGTC DP</v>
      </c>
      <c r="I62" s="474">
        <f>IFERROR(VLOOKUP(B62,'03. THIẾT BỊ'!$B$1:$S$836,8,0),"")</f>
        <v>45842</v>
      </c>
      <c r="J62" s="471"/>
      <c r="K62" s="463" t="str">
        <f>IFERROR(VLOOKUP(B62,'03. THIẾT BỊ'!$B$1:$S$836,10,0),"")</f>
        <v>Bình thường</v>
      </c>
      <c r="L62" s="468" t="str">
        <f>IFERROR(VLOOKUP(B62,'03. THIẾT BỊ'!$B$1:$S$836,11,0),"")</f>
        <v/>
      </c>
      <c r="M62" s="472" t="str">
        <f>IFERROR(VLOOKUP(B62,'03. THIẾT BỊ'!$B$1:$S$836,12,0),"")</f>
        <v/>
      </c>
      <c r="N62" s="468" t="str">
        <f>IFERROR(VLOOKUP(B62,'03. THIẾT BỊ'!$B$1:$S$836,13,0),"")</f>
        <v>THACO AGRI</v>
      </c>
      <c r="O62" s="470" t="str">
        <f>IFERROR(VLOOKUP(B62,'03. THIẾT BỊ'!$B$1:$S$836,14,0),"")</f>
        <v>M1</v>
      </c>
      <c r="P62" s="468" t="str">
        <f>IFERROR(VLOOKUP(B62,'03. THIẾT BỊ'!$B$1:$S$836,15,0),"")</f>
        <v>CK-CGH</v>
      </c>
      <c r="Q62" s="48">
        <f>IFERROR(VLOOKUP(B62,'03. THIẾT BỊ'!$B$1:$S$836,16,0),"")</f>
        <v>2025</v>
      </c>
      <c r="R62" s="471" t="str">
        <f>IFERROR(VLOOKUP(B62,'03. THIẾT BỊ'!$B$1:$S$836,17,0),"")</f>
        <v>1200x400x1200</v>
      </c>
      <c r="S62" s="468" t="str">
        <f>IFERROR(VLOOKUP(B62,'03. THIẾT BỊ'!$B$1:$S$836,18,0),"")</f>
        <v/>
      </c>
      <c r="T62" s="822"/>
    </row>
    <row r="63" ht="15.0" customHeight="1">
      <c r="A63" s="48">
        <f t="shared" si="2"/>
        <v>25</v>
      </c>
      <c r="B63" s="464" t="s">
        <v>3324</v>
      </c>
      <c r="C63" s="869" t="str">
        <f>IFERROR(VLOOKUP(B63,'03. THIẾT BỊ'!$B$1:$S$836,2,0),"")</f>
        <v/>
      </c>
      <c r="D63" s="470" t="str">
        <f>IFERROR(VLOOKUP(B63,'03. THIẾT BỊ'!$B$1:$S$836,3,0),"")</f>
        <v>A23-GĐH-073</v>
      </c>
      <c r="E63" s="464" t="str">
        <f>IFERROR(VLOOKUP(B63,'03. THIẾT BỊ'!$B$1:$S$836,4,0),"")</f>
        <v>ĐQSD</v>
      </c>
      <c r="F63" s="464" t="str">
        <f>IFERROR(VLOOKUP(B63,'03. THIẾT BỊ'!$B$1:$S$836,5,0),"")</f>
        <v>Gàu định hình đào mương thửa M1</v>
      </c>
      <c r="G63" s="80" t="s">
        <v>6423</v>
      </c>
      <c r="H63" s="463" t="str">
        <f>IFERROR(VLOOKUP(B63,'03. THIẾT BỊ'!$B$1:$S$836,7,0),"")</f>
        <v>CGTC DP</v>
      </c>
      <c r="I63" s="474">
        <f>IFERROR(VLOOKUP(B63,'03. THIẾT BỊ'!$B$1:$S$836,8,0),"")</f>
        <v>45842</v>
      </c>
      <c r="J63" s="471"/>
      <c r="K63" s="463" t="str">
        <f>IFERROR(VLOOKUP(B63,'03. THIẾT BỊ'!$B$1:$S$836,10,0),"")</f>
        <v>Bình thường</v>
      </c>
      <c r="L63" s="468" t="str">
        <f>IFERROR(VLOOKUP(B63,'03. THIẾT BỊ'!$B$1:$S$836,11,0),"")</f>
        <v/>
      </c>
      <c r="M63" s="472" t="str">
        <f>IFERROR(VLOOKUP(B63,'03. THIẾT BỊ'!$B$1:$S$836,12,0),"")</f>
        <v/>
      </c>
      <c r="N63" s="468" t="str">
        <f>IFERROR(VLOOKUP(B63,'03. THIẾT BỊ'!$B$1:$S$836,13,0),"")</f>
        <v>THACO AGRI</v>
      </c>
      <c r="O63" s="470" t="str">
        <f>IFERROR(VLOOKUP(B63,'03. THIẾT BỊ'!$B$1:$S$836,14,0),"")</f>
        <v>M1</v>
      </c>
      <c r="P63" s="468" t="str">
        <f>IFERROR(VLOOKUP(B63,'03. THIẾT BỊ'!$B$1:$S$836,15,0),"")</f>
        <v>CK-CGH</v>
      </c>
      <c r="Q63" s="48">
        <f>IFERROR(VLOOKUP(B63,'03. THIẾT BỊ'!$B$1:$S$836,16,0),"")</f>
        <v>2025</v>
      </c>
      <c r="R63" s="471" t="str">
        <f>IFERROR(VLOOKUP(B63,'03. THIẾT BỊ'!$B$1:$S$836,17,0),"")</f>
        <v>1200x400x1200</v>
      </c>
      <c r="S63" s="468" t="str">
        <f>IFERROR(VLOOKUP(B63,'03. THIẾT BỊ'!$B$1:$S$836,18,0),"")</f>
        <v/>
      </c>
      <c r="T63" s="822"/>
    </row>
    <row r="64" ht="15.0" customHeight="1">
      <c r="A64" s="48">
        <f t="shared" si="2"/>
        <v>26</v>
      </c>
      <c r="B64" s="464" t="s">
        <v>3326</v>
      </c>
      <c r="C64" s="869" t="str">
        <f>IFERROR(VLOOKUP(B64,'03. THIẾT BỊ'!$B$1:$S$836,2,0),"")</f>
        <v/>
      </c>
      <c r="D64" s="470" t="str">
        <f>IFERROR(VLOOKUP(B64,'03. THIẾT BỊ'!$B$1:$S$836,3,0),"")</f>
        <v>A23-GĐH-074</v>
      </c>
      <c r="E64" s="464" t="str">
        <f>IFERROR(VLOOKUP(B64,'03. THIẾT BỊ'!$B$1:$S$836,4,0),"")</f>
        <v>ĐQSD</v>
      </c>
      <c r="F64" s="464" t="str">
        <f>IFERROR(VLOOKUP(B64,'03. THIẾT BỊ'!$B$1:$S$836,5,0),"")</f>
        <v>Gàu định hình đào mương thửa M1</v>
      </c>
      <c r="G64" s="80" t="s">
        <v>6423</v>
      </c>
      <c r="H64" s="463" t="str">
        <f>IFERROR(VLOOKUP(B64,'03. THIẾT BỊ'!$B$1:$S$836,7,0),"")</f>
        <v>CGTC DP</v>
      </c>
      <c r="I64" s="474">
        <f>IFERROR(VLOOKUP(B64,'03. THIẾT BỊ'!$B$1:$S$836,8,0),"")</f>
        <v>45842</v>
      </c>
      <c r="J64" s="471"/>
      <c r="K64" s="463" t="str">
        <f>IFERROR(VLOOKUP(B64,'03. THIẾT BỊ'!$B$1:$S$836,10,0),"")</f>
        <v>Bình thường</v>
      </c>
      <c r="L64" s="468" t="str">
        <f>IFERROR(VLOOKUP(B64,'03. THIẾT BỊ'!$B$1:$S$836,11,0),"")</f>
        <v/>
      </c>
      <c r="M64" s="472" t="str">
        <f>IFERROR(VLOOKUP(B64,'03. THIẾT BỊ'!$B$1:$S$836,12,0),"")</f>
        <v/>
      </c>
      <c r="N64" s="468" t="str">
        <f>IFERROR(VLOOKUP(B64,'03. THIẾT BỊ'!$B$1:$S$836,13,0),"")</f>
        <v>THACO AGRI</v>
      </c>
      <c r="O64" s="470" t="str">
        <f>IFERROR(VLOOKUP(B64,'03. THIẾT BỊ'!$B$1:$S$836,14,0),"")</f>
        <v>M1</v>
      </c>
      <c r="P64" s="468" t="str">
        <f>IFERROR(VLOOKUP(B64,'03. THIẾT BỊ'!$B$1:$S$836,15,0),"")</f>
        <v>CK-CGH</v>
      </c>
      <c r="Q64" s="48">
        <f>IFERROR(VLOOKUP(B64,'03. THIẾT BỊ'!$B$1:$S$836,16,0),"")</f>
        <v>2025</v>
      </c>
      <c r="R64" s="471" t="str">
        <f>IFERROR(VLOOKUP(B64,'03. THIẾT BỊ'!$B$1:$S$836,17,0),"")</f>
        <v>1200x400x1200</v>
      </c>
      <c r="S64" s="468" t="str">
        <f>IFERROR(VLOOKUP(B64,'03. THIẾT BỊ'!$B$1:$S$836,18,0),"")</f>
        <v/>
      </c>
      <c r="T64" s="822"/>
    </row>
    <row r="65" ht="15.0" customHeight="1">
      <c r="A65" s="48">
        <f t="shared" si="2"/>
        <v>27</v>
      </c>
      <c r="B65" s="464" t="s">
        <v>3328</v>
      </c>
      <c r="C65" s="869" t="str">
        <f>IFERROR(VLOOKUP(B65,'03. THIẾT BỊ'!$B$1:$S$836,2,0),"")</f>
        <v/>
      </c>
      <c r="D65" s="470" t="str">
        <f>IFERROR(VLOOKUP(B65,'03. THIẾT BỊ'!$B$1:$S$836,3,0),"")</f>
        <v>A23-GĐH-075</v>
      </c>
      <c r="E65" s="464" t="str">
        <f>IFERROR(VLOOKUP(B65,'03. THIẾT BỊ'!$B$1:$S$836,4,0),"")</f>
        <v>ĐQSD</v>
      </c>
      <c r="F65" s="464" t="str">
        <f>IFERROR(VLOOKUP(B65,'03. THIẾT BỊ'!$B$1:$S$836,5,0),"")</f>
        <v>Gàu định hình đào mương thửa M1</v>
      </c>
      <c r="G65" s="80" t="s">
        <v>6423</v>
      </c>
      <c r="H65" s="463" t="str">
        <f>IFERROR(VLOOKUP(B65,'03. THIẾT BỊ'!$B$1:$S$836,7,0),"")</f>
        <v>CGTC DP</v>
      </c>
      <c r="I65" s="474" t="str">
        <f>IFERROR(VLOOKUP(B65,'03. THIẾT BỊ'!$B$1:$S$836,8,0),"")</f>
        <v>13/05/2025</v>
      </c>
      <c r="J65" s="471"/>
      <c r="K65" s="463" t="str">
        <f>IFERROR(VLOOKUP(B65,'03. THIẾT BỊ'!$B$1:$S$836,10,0),"")</f>
        <v>Bình thường</v>
      </c>
      <c r="L65" s="468" t="str">
        <f>IFERROR(VLOOKUP(B65,'03. THIẾT BỊ'!$B$1:$S$836,11,0),"")</f>
        <v/>
      </c>
      <c r="M65" s="472" t="str">
        <f>IFERROR(VLOOKUP(B65,'03. THIẾT BỊ'!$B$1:$S$836,12,0),"")</f>
        <v/>
      </c>
      <c r="N65" s="468" t="str">
        <f>IFERROR(VLOOKUP(B65,'03. THIẾT BỊ'!$B$1:$S$836,13,0),"")</f>
        <v>THACO AGRI</v>
      </c>
      <c r="O65" s="470" t="str">
        <f>IFERROR(VLOOKUP(B65,'03. THIẾT BỊ'!$B$1:$S$836,14,0),"")</f>
        <v>M1</v>
      </c>
      <c r="P65" s="468" t="str">
        <f>IFERROR(VLOOKUP(B65,'03. THIẾT BỊ'!$B$1:$S$836,15,0),"")</f>
        <v>CK-CGH</v>
      </c>
      <c r="Q65" s="48">
        <f>IFERROR(VLOOKUP(B65,'03. THIẾT BỊ'!$B$1:$S$836,16,0),"")</f>
        <v>2025</v>
      </c>
      <c r="R65" s="471" t="str">
        <f>IFERROR(VLOOKUP(B65,'03. THIẾT BỊ'!$B$1:$S$836,17,0),"")</f>
        <v>1200x400x1200</v>
      </c>
      <c r="S65" s="468" t="str">
        <f>IFERROR(VLOOKUP(B65,'03. THIẾT BỊ'!$B$1:$S$836,18,0),"")</f>
        <v/>
      </c>
      <c r="T65" s="822"/>
    </row>
    <row r="66" ht="15.0" customHeight="1">
      <c r="A66" s="48">
        <f t="shared" si="2"/>
        <v>28</v>
      </c>
      <c r="B66" s="464" t="s">
        <v>3331</v>
      </c>
      <c r="C66" s="869" t="str">
        <f>IFERROR(VLOOKUP(B66,'03. THIẾT BỊ'!$B$1:$S$836,2,0),"")</f>
        <v/>
      </c>
      <c r="D66" s="470" t="str">
        <f>IFERROR(VLOOKUP(B66,'03. THIẾT BỊ'!$B$1:$S$836,3,0),"")</f>
        <v>A23-GĐH-076</v>
      </c>
      <c r="E66" s="464" t="str">
        <f>IFERROR(VLOOKUP(B66,'03. THIẾT BỊ'!$B$1:$S$836,4,0),"")</f>
        <v>ĐQSD</v>
      </c>
      <c r="F66" s="464" t="str">
        <f>IFERROR(VLOOKUP(B66,'03. THIẾT BỊ'!$B$1:$S$836,5,0),"")</f>
        <v>Gàu định hình đào mương thửa M1</v>
      </c>
      <c r="G66" s="80" t="s">
        <v>6423</v>
      </c>
      <c r="H66" s="463" t="str">
        <f>IFERROR(VLOOKUP(B66,'03. THIẾT BỊ'!$B$1:$S$836,7,0),"")</f>
        <v>CGTC DP</v>
      </c>
      <c r="I66" s="474" t="str">
        <f>IFERROR(VLOOKUP(B66,'03. THIẾT BỊ'!$B$1:$S$836,8,0),"")</f>
        <v>13/05/2025</v>
      </c>
      <c r="J66" s="471"/>
      <c r="K66" s="463" t="str">
        <f>IFERROR(VLOOKUP(B66,'03. THIẾT BỊ'!$B$1:$S$836,10,0),"")</f>
        <v>Bình thường</v>
      </c>
      <c r="L66" s="468" t="str">
        <f>IFERROR(VLOOKUP(B66,'03. THIẾT BỊ'!$B$1:$S$836,11,0),"")</f>
        <v/>
      </c>
      <c r="M66" s="472" t="str">
        <f>IFERROR(VLOOKUP(B66,'03. THIẾT BỊ'!$B$1:$S$836,12,0),"")</f>
        <v/>
      </c>
      <c r="N66" s="468" t="str">
        <f>IFERROR(VLOOKUP(B66,'03. THIẾT BỊ'!$B$1:$S$836,13,0),"")</f>
        <v>THACO AGRI</v>
      </c>
      <c r="O66" s="470" t="str">
        <f>IFERROR(VLOOKUP(B66,'03. THIẾT BỊ'!$B$1:$S$836,14,0),"")</f>
        <v>M1</v>
      </c>
      <c r="P66" s="468" t="str">
        <f>IFERROR(VLOOKUP(B66,'03. THIẾT BỊ'!$B$1:$S$836,15,0),"")</f>
        <v>CK-CGH</v>
      </c>
      <c r="Q66" s="48">
        <f>IFERROR(VLOOKUP(B66,'03. THIẾT BỊ'!$B$1:$S$836,16,0),"")</f>
        <v>2025</v>
      </c>
      <c r="R66" s="471" t="str">
        <f>IFERROR(VLOOKUP(B66,'03. THIẾT BỊ'!$B$1:$S$836,17,0),"")</f>
        <v>1200x400x1200</v>
      </c>
      <c r="S66" s="468" t="str">
        <f>IFERROR(VLOOKUP(B66,'03. THIẾT BỊ'!$B$1:$S$836,18,0),"")</f>
        <v/>
      </c>
      <c r="T66" s="822"/>
    </row>
    <row r="67" ht="15.0" customHeight="1">
      <c r="A67" s="48">
        <f t="shared" si="2"/>
        <v>29</v>
      </c>
      <c r="B67" s="464" t="s">
        <v>3333</v>
      </c>
      <c r="C67" s="869" t="str">
        <f>IFERROR(VLOOKUP(B67,'03. THIẾT BỊ'!$B$1:$S$836,2,0),"")</f>
        <v/>
      </c>
      <c r="D67" s="470" t="str">
        <f>IFERROR(VLOOKUP(B67,'03. THIẾT BỊ'!$B$1:$S$836,3,0),"")</f>
        <v>A23-GĐH-077</v>
      </c>
      <c r="E67" s="464" t="str">
        <f>IFERROR(VLOOKUP(B67,'03. THIẾT BỊ'!$B$1:$S$836,4,0),"")</f>
        <v>ĐQSD</v>
      </c>
      <c r="F67" s="464" t="str">
        <f>IFERROR(VLOOKUP(B67,'03. THIẾT BỊ'!$B$1:$S$836,5,0),"")</f>
        <v>Gàu định hình đào mương thửa M1</v>
      </c>
      <c r="G67" s="80" t="s">
        <v>6423</v>
      </c>
      <c r="H67" s="463" t="str">
        <f>IFERROR(VLOOKUP(B67,'03. THIẾT BỊ'!$B$1:$S$836,7,0),"")</f>
        <v>CGTC DP</v>
      </c>
      <c r="I67" s="474" t="str">
        <f>IFERROR(VLOOKUP(B67,'03. THIẾT BỊ'!$B$1:$S$836,8,0),"")</f>
        <v>13/05/2025</v>
      </c>
      <c r="J67" s="471"/>
      <c r="K67" s="463" t="str">
        <f>IFERROR(VLOOKUP(B67,'03. THIẾT BỊ'!$B$1:$S$836,10,0),"")</f>
        <v>Bình thường</v>
      </c>
      <c r="L67" s="468" t="str">
        <f>IFERROR(VLOOKUP(B67,'03. THIẾT BỊ'!$B$1:$S$836,11,0),"")</f>
        <v/>
      </c>
      <c r="M67" s="472" t="str">
        <f>IFERROR(VLOOKUP(B67,'03. THIẾT BỊ'!$B$1:$S$836,12,0),"")</f>
        <v/>
      </c>
      <c r="N67" s="468" t="str">
        <f>IFERROR(VLOOKUP(B67,'03. THIẾT BỊ'!$B$1:$S$836,13,0),"")</f>
        <v>THACO AGRI</v>
      </c>
      <c r="O67" s="470" t="str">
        <f>IFERROR(VLOOKUP(B67,'03. THIẾT BỊ'!$B$1:$S$836,14,0),"")</f>
        <v>M1</v>
      </c>
      <c r="P67" s="468" t="str">
        <f>IFERROR(VLOOKUP(B67,'03. THIẾT BỊ'!$B$1:$S$836,15,0),"")</f>
        <v>CK-CGH</v>
      </c>
      <c r="Q67" s="48">
        <f>IFERROR(VLOOKUP(B67,'03. THIẾT BỊ'!$B$1:$S$836,16,0),"")</f>
        <v>2025</v>
      </c>
      <c r="R67" s="471" t="str">
        <f>IFERROR(VLOOKUP(B67,'03. THIẾT BỊ'!$B$1:$S$836,17,0),"")</f>
        <v>1200x400x1200</v>
      </c>
      <c r="S67" s="468" t="str">
        <f>IFERROR(VLOOKUP(B67,'03. THIẾT BỊ'!$B$1:$S$836,18,0),"")</f>
        <v/>
      </c>
      <c r="T67" s="822"/>
    </row>
    <row r="68" ht="15.0" customHeight="1">
      <c r="A68" s="48">
        <f t="shared" si="2"/>
        <v>30</v>
      </c>
      <c r="B68" s="464" t="s">
        <v>3335</v>
      </c>
      <c r="C68" s="869" t="str">
        <f>IFERROR(VLOOKUP(B68,'03. THIẾT BỊ'!$B$1:$S$836,2,0),"")</f>
        <v/>
      </c>
      <c r="D68" s="470" t="str">
        <f>IFERROR(VLOOKUP(B68,'03. THIẾT BỊ'!$B$1:$S$836,3,0),"")</f>
        <v>A23-GĐH-078</v>
      </c>
      <c r="E68" s="464" t="str">
        <f>IFERROR(VLOOKUP(B68,'03. THIẾT BỊ'!$B$1:$S$836,4,0),"")</f>
        <v>ĐQSD</v>
      </c>
      <c r="F68" s="464" t="str">
        <f>IFERROR(VLOOKUP(B68,'03. THIẾT BỊ'!$B$1:$S$836,5,0),"")</f>
        <v>Gàu định hình đào mương thửa M1</v>
      </c>
      <c r="G68" s="80" t="s">
        <v>6423</v>
      </c>
      <c r="H68" s="463" t="str">
        <f>IFERROR(VLOOKUP(B68,'03. THIẾT BỊ'!$B$1:$S$836,7,0),"")</f>
        <v>CGTC DP</v>
      </c>
      <c r="I68" s="474" t="str">
        <f>IFERROR(VLOOKUP(B68,'03. THIẾT BỊ'!$B$1:$S$836,8,0),"")</f>
        <v>13/05/2025</v>
      </c>
      <c r="J68" s="471"/>
      <c r="K68" s="463" t="str">
        <f>IFERROR(VLOOKUP(B68,'03. THIẾT BỊ'!$B$1:$S$836,10,0),"")</f>
        <v>Bình thường</v>
      </c>
      <c r="L68" s="468" t="str">
        <f>IFERROR(VLOOKUP(B68,'03. THIẾT BỊ'!$B$1:$S$836,11,0),"")</f>
        <v/>
      </c>
      <c r="M68" s="472" t="str">
        <f>IFERROR(VLOOKUP(B68,'03. THIẾT BỊ'!$B$1:$S$836,12,0),"")</f>
        <v/>
      </c>
      <c r="N68" s="468" t="str">
        <f>IFERROR(VLOOKUP(B68,'03. THIẾT BỊ'!$B$1:$S$836,13,0),"")</f>
        <v>THACO AGRI</v>
      </c>
      <c r="O68" s="470" t="str">
        <f>IFERROR(VLOOKUP(B68,'03. THIẾT BỊ'!$B$1:$S$836,14,0),"")</f>
        <v>M1</v>
      </c>
      <c r="P68" s="468" t="str">
        <f>IFERROR(VLOOKUP(B68,'03. THIẾT BỊ'!$B$1:$S$836,15,0),"")</f>
        <v>CK-CGH</v>
      </c>
      <c r="Q68" s="48">
        <f>IFERROR(VLOOKUP(B68,'03. THIẾT BỊ'!$B$1:$S$836,16,0),"")</f>
        <v>2025</v>
      </c>
      <c r="R68" s="471" t="str">
        <f>IFERROR(VLOOKUP(B68,'03. THIẾT BỊ'!$B$1:$S$836,17,0),"")</f>
        <v>1200x400x1200</v>
      </c>
      <c r="S68" s="468" t="str">
        <f>IFERROR(VLOOKUP(B68,'03. THIẾT BỊ'!$B$1:$S$836,18,0),"")</f>
        <v/>
      </c>
      <c r="T68" s="822"/>
    </row>
    <row r="69" ht="15.0" customHeight="1">
      <c r="A69" s="48">
        <f t="shared" si="2"/>
        <v>31</v>
      </c>
      <c r="B69" s="464" t="s">
        <v>3337</v>
      </c>
      <c r="C69" s="869" t="str">
        <f>IFERROR(VLOOKUP(B69,'03. THIẾT BỊ'!$B$1:$S$836,2,0),"")</f>
        <v/>
      </c>
      <c r="D69" s="470" t="str">
        <f>IFERROR(VLOOKUP(B69,'03. THIẾT BỊ'!$B$1:$S$836,3,0),"")</f>
        <v>A23-GĐH-091</v>
      </c>
      <c r="E69" s="464" t="str">
        <f>IFERROR(VLOOKUP(B69,'03. THIẾT BỊ'!$B$1:$S$836,4,0),"")</f>
        <v>ĐQSD</v>
      </c>
      <c r="F69" s="464" t="str">
        <f>IFERROR(VLOOKUP(B69,'03. THIẾT BỊ'!$B$1:$S$836,5,0),"")</f>
        <v>Gàu định hình đào mương M1.2</v>
      </c>
      <c r="G69" s="80" t="s">
        <v>6423</v>
      </c>
      <c r="H69" s="463" t="str">
        <f>IFERROR(VLOOKUP(B69,'03. THIẾT BỊ'!$B$1:$S$836,7,0),"")</f>
        <v>CGTC DP</v>
      </c>
      <c r="I69" s="474" t="str">
        <f>IFERROR(VLOOKUP(B69,'03. THIẾT BỊ'!$B$1:$S$836,8,0),"")</f>
        <v>31/05/2025</v>
      </c>
      <c r="J69" s="471"/>
      <c r="K69" s="463" t="str">
        <f>IFERROR(VLOOKUP(B69,'03. THIẾT BỊ'!$B$1:$S$836,10,0),"")</f>
        <v>Bình thường</v>
      </c>
      <c r="L69" s="468" t="str">
        <f>IFERROR(VLOOKUP(B69,'03. THIẾT BỊ'!$B$1:$S$836,11,0),"")</f>
        <v/>
      </c>
      <c r="M69" s="472" t="str">
        <f>IFERROR(VLOOKUP(B69,'03. THIẾT BỊ'!$B$1:$S$836,12,0),"")</f>
        <v/>
      </c>
      <c r="N69" s="468" t="str">
        <f>IFERROR(VLOOKUP(B69,'03. THIẾT BỊ'!$B$1:$S$836,13,0),"")</f>
        <v>THACO AGRI</v>
      </c>
      <c r="O69" s="470" t="str">
        <f>IFERROR(VLOOKUP(B69,'03. THIẾT BỊ'!$B$1:$S$836,14,0),"")</f>
        <v>M1.2</v>
      </c>
      <c r="P69" s="468" t="str">
        <f>IFERROR(VLOOKUP(B69,'03. THIẾT BỊ'!$B$1:$S$836,15,0),"")</f>
        <v>CK-CGH</v>
      </c>
      <c r="Q69" s="48">
        <f>IFERROR(VLOOKUP(B69,'03. THIẾT BỊ'!$B$1:$S$836,16,0),"")</f>
        <v>2025</v>
      </c>
      <c r="R69" s="471" t="str">
        <f>IFERROR(VLOOKUP(B69,'03. THIẾT BỊ'!$B$1:$S$836,17,0),"")</f>
        <v>1200x400x1200</v>
      </c>
      <c r="S69" s="468" t="str">
        <f>IFERROR(VLOOKUP(B69,'03. THIẾT BỊ'!$B$1:$S$836,18,0),"")</f>
        <v/>
      </c>
      <c r="T69" s="822"/>
    </row>
    <row r="70" ht="15.0" customHeight="1">
      <c r="A70" s="48">
        <f t="shared" si="2"/>
        <v>32</v>
      </c>
      <c r="B70" s="464" t="s">
        <v>3342</v>
      </c>
      <c r="C70" s="869" t="str">
        <f>IFERROR(VLOOKUP(B70,'03. THIẾT BỊ'!$B$1:$S$836,2,0),"")</f>
        <v/>
      </c>
      <c r="D70" s="470" t="str">
        <f>IFERROR(VLOOKUP(B70,'03. THIẾT BỊ'!$B$1:$S$836,3,0),"")</f>
        <v>A23-GĐH-092</v>
      </c>
      <c r="E70" s="464" t="str">
        <f>IFERROR(VLOOKUP(B70,'03. THIẾT BỊ'!$B$1:$S$836,4,0),"")</f>
        <v>ĐQSD</v>
      </c>
      <c r="F70" s="464" t="str">
        <f>IFERROR(VLOOKUP(B70,'03. THIẾT BỊ'!$B$1:$S$836,5,0),"")</f>
        <v>Gàu định hình đào mương M1.2</v>
      </c>
      <c r="G70" s="80" t="s">
        <v>6423</v>
      </c>
      <c r="H70" s="463" t="str">
        <f>IFERROR(VLOOKUP(B70,'03. THIẾT BỊ'!$B$1:$S$836,7,0),"")</f>
        <v>CGTC DP</v>
      </c>
      <c r="I70" s="474" t="str">
        <f>IFERROR(VLOOKUP(B70,'03. THIẾT BỊ'!$B$1:$S$836,8,0),"")</f>
        <v>31/05/2025</v>
      </c>
      <c r="J70" s="471"/>
      <c r="K70" s="463" t="str">
        <f>IFERROR(VLOOKUP(B70,'03. THIẾT BỊ'!$B$1:$S$836,10,0),"")</f>
        <v>Bình thường</v>
      </c>
      <c r="L70" s="468" t="str">
        <f>IFERROR(VLOOKUP(B70,'03. THIẾT BỊ'!$B$1:$S$836,11,0),"")</f>
        <v/>
      </c>
      <c r="M70" s="472" t="str">
        <f>IFERROR(VLOOKUP(B70,'03. THIẾT BỊ'!$B$1:$S$836,12,0),"")</f>
        <v/>
      </c>
      <c r="N70" s="468" t="str">
        <f>IFERROR(VLOOKUP(B70,'03. THIẾT BỊ'!$B$1:$S$836,13,0),"")</f>
        <v>THACO AGRI</v>
      </c>
      <c r="O70" s="470" t="str">
        <f>IFERROR(VLOOKUP(B70,'03. THIẾT BỊ'!$B$1:$S$836,14,0),"")</f>
        <v>M1.2</v>
      </c>
      <c r="P70" s="468" t="str">
        <f>IFERROR(VLOOKUP(B70,'03. THIẾT BỊ'!$B$1:$S$836,15,0),"")</f>
        <v>CK-CGH</v>
      </c>
      <c r="Q70" s="48">
        <f>IFERROR(VLOOKUP(B70,'03. THIẾT BỊ'!$B$1:$S$836,16,0),"")</f>
        <v>2025</v>
      </c>
      <c r="R70" s="471" t="str">
        <f>IFERROR(VLOOKUP(B70,'03. THIẾT BỊ'!$B$1:$S$836,17,0),"")</f>
        <v>1200x400x1200</v>
      </c>
      <c r="S70" s="468" t="str">
        <f>IFERROR(VLOOKUP(B70,'03. THIẾT BỊ'!$B$1:$S$836,18,0),"")</f>
        <v/>
      </c>
      <c r="T70" s="822"/>
    </row>
    <row r="71" ht="15.0" customHeight="1">
      <c r="A71" s="48">
        <f t="shared" si="2"/>
        <v>33</v>
      </c>
      <c r="B71" s="464" t="s">
        <v>3385</v>
      </c>
      <c r="C71" s="869" t="str">
        <f>IFERROR(VLOOKUP(B71,'03. THIẾT BỊ'!$B$1:$S$836,2,0),"")</f>
        <v/>
      </c>
      <c r="D71" s="470" t="str">
        <f>IFERROR(VLOOKUP(B71,'03. THIẾT BỊ'!$B$1:$S$836,3,0),"")</f>
        <v>A24-GĐH-001</v>
      </c>
      <c r="E71" s="464" t="str">
        <f>IFERROR(VLOOKUP(B71,'03. THIẾT BỊ'!$B$1:$S$836,4,0),"")</f>
        <v>ĐQSD</v>
      </c>
      <c r="F71" s="464" t="str">
        <f>IFERROR(VLOOKUP(B71,'03. THIẾT BỊ'!$B$1:$S$836,5,0),"")</f>
        <v>Gàu định hình M2</v>
      </c>
      <c r="G71" s="80" t="s">
        <v>6423</v>
      </c>
      <c r="H71" s="463" t="str">
        <f>IFERROR(VLOOKUP(B71,'03. THIẾT BỊ'!$B$1:$S$836,7,0),"")</f>
        <v>CGTC LP</v>
      </c>
      <c r="I71" s="474" t="str">
        <f>IFERROR(VLOOKUP(B71,'03. THIẾT BỊ'!$B$1:$S$836,8,0),"")</f>
        <v>26/07/2024</v>
      </c>
      <c r="J71" s="471"/>
      <c r="K71" s="463" t="str">
        <f>IFERROR(VLOOKUP(B71,'03. THIẾT BỊ'!$B$1:$S$836,10,0),"")</f>
        <v>Bình thường</v>
      </c>
      <c r="L71" s="468" t="str">
        <f>IFERROR(VLOOKUP(B71,'03. THIẾT BỊ'!$B$1:$S$836,11,0),"")</f>
        <v>Giao về Ban XDCB</v>
      </c>
      <c r="M71" s="472" t="str">
        <f>IFERROR(VLOOKUP(B71,'03. THIẾT BỊ'!$B$1:$S$836,12,0),"")</f>
        <v/>
      </c>
      <c r="N71" s="468" t="str">
        <f>IFERROR(VLOOKUP(B71,'03. THIẾT BỊ'!$B$1:$S$836,13,0),"")</f>
        <v>THACO AGRI</v>
      </c>
      <c r="O71" s="470" t="str">
        <f>IFERROR(VLOOKUP(B71,'03. THIẾT BỊ'!$B$1:$S$836,14,0),"")</f>
        <v>M2</v>
      </c>
      <c r="P71" s="468" t="str">
        <f>IFERROR(VLOOKUP(B71,'03. THIẾT BỊ'!$B$1:$S$836,15,0),"")</f>
        <v>CK-CGH</v>
      </c>
      <c r="Q71" s="48">
        <f>IFERROR(VLOOKUP(B71,'03. THIẾT BỊ'!$B$1:$S$836,16,0),"")</f>
        <v>2024</v>
      </c>
      <c r="R71" s="471" t="str">
        <f>IFERROR(VLOOKUP(B71,'03. THIẾT BỊ'!$B$1:$S$836,17,0),"")</f>
        <v>M2</v>
      </c>
      <c r="S71" s="468" t="str">
        <f>IFERROR(VLOOKUP(B71,'03. THIẾT BỊ'!$B$1:$S$836,18,0),"")</f>
        <v/>
      </c>
      <c r="T71" s="812"/>
    </row>
    <row r="72" ht="15.0" customHeight="1">
      <c r="A72" s="48">
        <f t="shared" si="2"/>
        <v>34</v>
      </c>
      <c r="B72" s="464" t="s">
        <v>3389</v>
      </c>
      <c r="C72" s="869" t="str">
        <f>IFERROR(VLOOKUP(B72,'03. THIẾT BỊ'!$B$1:$S$836,2,0),"")</f>
        <v/>
      </c>
      <c r="D72" s="470" t="str">
        <f>IFERROR(VLOOKUP(B72,'03. THIẾT BỊ'!$B$1:$S$836,3,0),"")</f>
        <v>A24-GĐH-002</v>
      </c>
      <c r="E72" s="464" t="str">
        <f>IFERROR(VLOOKUP(B72,'03. THIẾT BỊ'!$B$1:$S$836,4,0),"")</f>
        <v>ĐQSD</v>
      </c>
      <c r="F72" s="464" t="str">
        <f>IFERROR(VLOOKUP(B72,'03. THIẾT BỊ'!$B$1:$S$836,5,0),"")</f>
        <v>Gàu định hình M0.6</v>
      </c>
      <c r="G72" s="80" t="s">
        <v>6423</v>
      </c>
      <c r="H72" s="463" t="str">
        <f>IFERROR(VLOOKUP(B72,'03. THIẾT BỊ'!$B$1:$S$836,7,0),"")</f>
        <v>CGTC LP</v>
      </c>
      <c r="I72" s="474" t="str">
        <f>IFERROR(VLOOKUP(B72,'03. THIẾT BỊ'!$B$1:$S$836,8,0),"")</f>
        <v>29/07/2024</v>
      </c>
      <c r="J72" s="471"/>
      <c r="K72" s="463" t="str">
        <f>IFERROR(VLOOKUP(B72,'03. THIẾT BỊ'!$B$1:$S$836,10,0),"")</f>
        <v>Bình thường</v>
      </c>
      <c r="L72" s="468" t="str">
        <f>IFERROR(VLOOKUP(B72,'03. THIẾT BỊ'!$B$1:$S$836,11,0),"")</f>
        <v>Giao về Ban XDCB</v>
      </c>
      <c r="M72" s="472" t="str">
        <f>IFERROR(VLOOKUP(B72,'03. THIẾT BỊ'!$B$1:$S$836,12,0),"")</f>
        <v/>
      </c>
      <c r="N72" s="468" t="str">
        <f>IFERROR(VLOOKUP(B72,'03. THIẾT BỊ'!$B$1:$S$836,13,0),"")</f>
        <v>THACO AGRI</v>
      </c>
      <c r="O72" s="470" t="str">
        <f>IFERROR(VLOOKUP(B72,'03. THIẾT BỊ'!$B$1:$S$836,14,0),"")</f>
        <v>M0.6</v>
      </c>
      <c r="P72" s="468" t="str">
        <f>IFERROR(VLOOKUP(B72,'03. THIẾT BỊ'!$B$1:$S$836,15,0),"")</f>
        <v>CK-CGH</v>
      </c>
      <c r="Q72" s="48">
        <f>IFERROR(VLOOKUP(B72,'03. THIẾT BỊ'!$B$1:$S$836,16,0),"")</f>
        <v>2024</v>
      </c>
      <c r="R72" s="471" t="str">
        <f>IFERROR(VLOOKUP(B72,'03. THIẾT BỊ'!$B$1:$S$836,17,0),"")</f>
        <v>700x200x500</v>
      </c>
      <c r="S72" s="468" t="str">
        <f>IFERROR(VLOOKUP(B72,'03. THIẾT BỊ'!$B$1:$S$836,18,0),"")</f>
        <v/>
      </c>
      <c r="T72" s="812"/>
    </row>
    <row r="73" ht="15.0" customHeight="1">
      <c r="A73" s="48">
        <f t="shared" si="2"/>
        <v>35</v>
      </c>
      <c r="B73" s="464" t="s">
        <v>3392</v>
      </c>
      <c r="C73" s="869" t="str">
        <f>IFERROR(VLOOKUP(B73,'03. THIẾT BỊ'!$B$1:$S$836,2,0),"")</f>
        <v/>
      </c>
      <c r="D73" s="470" t="str">
        <f>IFERROR(VLOOKUP(B73,'03. THIẾT BỊ'!$B$1:$S$836,3,0),"")</f>
        <v>A24-GĐH-003</v>
      </c>
      <c r="E73" s="464" t="str">
        <f>IFERROR(VLOOKUP(B73,'03. THIẾT BỊ'!$B$1:$S$836,4,0),"")</f>
        <v>ĐQSD</v>
      </c>
      <c r="F73" s="464" t="str">
        <f>IFERROR(VLOOKUP(B73,'03. THIẾT BỊ'!$B$1:$S$836,5,0),"")</f>
        <v>Gàu định hình M0.6</v>
      </c>
      <c r="G73" s="80" t="s">
        <v>6423</v>
      </c>
      <c r="H73" s="463" t="str">
        <f>IFERROR(VLOOKUP(B73,'03. THIẾT BỊ'!$B$1:$S$836,7,0),"")</f>
        <v>CGTC LP</v>
      </c>
      <c r="I73" s="474" t="str">
        <f>IFERROR(VLOOKUP(B73,'03. THIẾT BỊ'!$B$1:$S$836,8,0),"")</f>
        <v>29/07/2024</v>
      </c>
      <c r="J73" s="471"/>
      <c r="K73" s="463" t="str">
        <f>IFERROR(VLOOKUP(B73,'03. THIẾT BỊ'!$B$1:$S$836,10,0),"")</f>
        <v>Bình thường</v>
      </c>
      <c r="L73" s="468" t="str">
        <f>IFERROR(VLOOKUP(B73,'03. THIẾT BỊ'!$B$1:$S$836,11,0),"")</f>
        <v>Giao về Ban XDCB</v>
      </c>
      <c r="M73" s="472" t="str">
        <f>IFERROR(VLOOKUP(B73,'03. THIẾT BỊ'!$B$1:$S$836,12,0),"")</f>
        <v/>
      </c>
      <c r="N73" s="468" t="str">
        <f>IFERROR(VLOOKUP(B73,'03. THIẾT BỊ'!$B$1:$S$836,13,0),"")</f>
        <v>THACO AGRI</v>
      </c>
      <c r="O73" s="470" t="str">
        <f>IFERROR(VLOOKUP(B73,'03. THIẾT BỊ'!$B$1:$S$836,14,0),"")</f>
        <v>M0.6</v>
      </c>
      <c r="P73" s="468" t="str">
        <f>IFERROR(VLOOKUP(B73,'03. THIẾT BỊ'!$B$1:$S$836,15,0),"")</f>
        <v>CK-CGH</v>
      </c>
      <c r="Q73" s="48">
        <f>IFERROR(VLOOKUP(B73,'03. THIẾT BỊ'!$B$1:$S$836,16,0),"")</f>
        <v>2024</v>
      </c>
      <c r="R73" s="471" t="str">
        <f>IFERROR(VLOOKUP(B73,'03. THIẾT BỊ'!$B$1:$S$836,17,0),"")</f>
        <v>700x200x500</v>
      </c>
      <c r="S73" s="468" t="str">
        <f>IFERROR(VLOOKUP(B73,'03. THIẾT BỊ'!$B$1:$S$836,18,0),"")</f>
        <v/>
      </c>
      <c r="T73" s="812"/>
    </row>
    <row r="74" ht="15.0" customHeight="1">
      <c r="A74" s="48">
        <f t="shared" si="2"/>
        <v>36</v>
      </c>
      <c r="B74" s="464" t="s">
        <v>3394</v>
      </c>
      <c r="C74" s="869" t="str">
        <f>IFERROR(VLOOKUP(B74,'03. THIẾT BỊ'!$B$1:$S$836,2,0),"")</f>
        <v/>
      </c>
      <c r="D74" s="470" t="str">
        <f>IFERROR(VLOOKUP(B74,'03. THIẾT BỊ'!$B$1:$S$836,3,0),"")</f>
        <v>A24-GĐH-004</v>
      </c>
      <c r="E74" s="464" t="str">
        <f>IFERROR(VLOOKUP(B74,'03. THIẾT BỊ'!$B$1:$S$836,4,0),"")</f>
        <v>ĐQSD</v>
      </c>
      <c r="F74" s="464" t="str">
        <f>IFERROR(VLOOKUP(B74,'03. THIẾT BỊ'!$B$1:$S$836,5,0),"")</f>
        <v>Gàu định hình M0.6</v>
      </c>
      <c r="G74" s="80" t="s">
        <v>6423</v>
      </c>
      <c r="H74" s="463" t="str">
        <f>IFERROR(VLOOKUP(B74,'03. THIẾT BỊ'!$B$1:$S$836,7,0),"")</f>
        <v>CGTC LP</v>
      </c>
      <c r="I74" s="474" t="str">
        <f>IFERROR(VLOOKUP(B74,'03. THIẾT BỊ'!$B$1:$S$836,8,0),"")</f>
        <v>29/07/2024</v>
      </c>
      <c r="J74" s="471"/>
      <c r="K74" s="463" t="str">
        <f>IFERROR(VLOOKUP(B74,'03. THIẾT BỊ'!$B$1:$S$836,10,0),"")</f>
        <v>Bình thường</v>
      </c>
      <c r="L74" s="468" t="str">
        <f>IFERROR(VLOOKUP(B74,'03. THIẾT BỊ'!$B$1:$S$836,11,0),"")</f>
        <v>Giao về Ban XDCB</v>
      </c>
      <c r="M74" s="472" t="str">
        <f>IFERROR(VLOOKUP(B74,'03. THIẾT BỊ'!$B$1:$S$836,12,0),"")</f>
        <v/>
      </c>
      <c r="N74" s="468" t="str">
        <f>IFERROR(VLOOKUP(B74,'03. THIẾT BỊ'!$B$1:$S$836,13,0),"")</f>
        <v>THACO AGRI</v>
      </c>
      <c r="O74" s="470" t="str">
        <f>IFERROR(VLOOKUP(B74,'03. THIẾT BỊ'!$B$1:$S$836,14,0),"")</f>
        <v>M0.6</v>
      </c>
      <c r="P74" s="468" t="str">
        <f>IFERROR(VLOOKUP(B74,'03. THIẾT BỊ'!$B$1:$S$836,15,0),"")</f>
        <v>CK-CGH</v>
      </c>
      <c r="Q74" s="48">
        <f>IFERROR(VLOOKUP(B74,'03. THIẾT BỊ'!$B$1:$S$836,16,0),"")</f>
        <v>2024</v>
      </c>
      <c r="R74" s="471" t="str">
        <f>IFERROR(VLOOKUP(B74,'03. THIẾT BỊ'!$B$1:$S$836,17,0),"")</f>
        <v>700x200x500</v>
      </c>
      <c r="S74" s="468" t="str">
        <f>IFERROR(VLOOKUP(B74,'03. THIẾT BỊ'!$B$1:$S$836,18,0),"")</f>
        <v/>
      </c>
      <c r="T74" s="812"/>
    </row>
    <row r="75" ht="15.0" customHeight="1">
      <c r="A75" s="48">
        <f t="shared" si="2"/>
        <v>37</v>
      </c>
      <c r="B75" s="464" t="s">
        <v>3396</v>
      </c>
      <c r="C75" s="869" t="str">
        <f>IFERROR(VLOOKUP(B75,'03. THIẾT BỊ'!$B$1:$S$836,2,0),"")</f>
        <v/>
      </c>
      <c r="D75" s="470" t="str">
        <f>IFERROR(VLOOKUP(B75,'03. THIẾT BỊ'!$B$1:$S$836,3,0),"")</f>
        <v>A24-GĐH-005</v>
      </c>
      <c r="E75" s="464" t="str">
        <f>IFERROR(VLOOKUP(B75,'03. THIẾT BỊ'!$B$1:$S$836,4,0),"")</f>
        <v>ĐQSD</v>
      </c>
      <c r="F75" s="464" t="str">
        <f>IFERROR(VLOOKUP(B75,'03. THIẾT BỊ'!$B$1:$S$836,5,0),"")</f>
        <v>Gàu định hình M0.6</v>
      </c>
      <c r="G75" s="80" t="s">
        <v>6423</v>
      </c>
      <c r="H75" s="463" t="str">
        <f>IFERROR(VLOOKUP(B75,'03. THIẾT BỊ'!$B$1:$S$836,7,0),"")</f>
        <v>CGTC LP</v>
      </c>
      <c r="I75" s="474" t="str">
        <f>IFERROR(VLOOKUP(B75,'03. THIẾT BỊ'!$B$1:$S$836,8,0),"")</f>
        <v>29/07/2024</v>
      </c>
      <c r="J75" s="471"/>
      <c r="K75" s="463" t="str">
        <f>IFERROR(VLOOKUP(B75,'03. THIẾT BỊ'!$B$1:$S$836,10,0),"")</f>
        <v>Bình thường</v>
      </c>
      <c r="L75" s="468" t="str">
        <f>IFERROR(VLOOKUP(B75,'03. THIẾT BỊ'!$B$1:$S$836,11,0),"")</f>
        <v>Giao về Ban XDCB</v>
      </c>
      <c r="M75" s="472" t="str">
        <f>IFERROR(VLOOKUP(B75,'03. THIẾT BỊ'!$B$1:$S$836,12,0),"")</f>
        <v/>
      </c>
      <c r="N75" s="468" t="str">
        <f>IFERROR(VLOOKUP(B75,'03. THIẾT BỊ'!$B$1:$S$836,13,0),"")</f>
        <v>THACO AGRI</v>
      </c>
      <c r="O75" s="470" t="str">
        <f>IFERROR(VLOOKUP(B75,'03. THIẾT BỊ'!$B$1:$S$836,14,0),"")</f>
        <v>M0.6</v>
      </c>
      <c r="P75" s="468" t="str">
        <f>IFERROR(VLOOKUP(B75,'03. THIẾT BỊ'!$B$1:$S$836,15,0),"")</f>
        <v>CK-CGH</v>
      </c>
      <c r="Q75" s="48">
        <f>IFERROR(VLOOKUP(B75,'03. THIẾT BỊ'!$B$1:$S$836,16,0),"")</f>
        <v>2024</v>
      </c>
      <c r="R75" s="471" t="str">
        <f>IFERROR(VLOOKUP(B75,'03. THIẾT BỊ'!$B$1:$S$836,17,0),"")</f>
        <v>700x200x500</v>
      </c>
      <c r="S75" s="468" t="str">
        <f>IFERROR(VLOOKUP(B75,'03. THIẾT BỊ'!$B$1:$S$836,18,0),"")</f>
        <v/>
      </c>
      <c r="T75" s="812"/>
    </row>
    <row r="76" ht="15.0" customHeight="1">
      <c r="A76" s="48">
        <f t="shared" si="2"/>
        <v>38</v>
      </c>
      <c r="B76" s="464" t="s">
        <v>3398</v>
      </c>
      <c r="C76" s="869" t="str">
        <f>IFERROR(VLOOKUP(B76,'03. THIẾT BỊ'!$B$1:$S$836,2,0),"")</f>
        <v/>
      </c>
      <c r="D76" s="470" t="str">
        <f>IFERROR(VLOOKUP(B76,'03. THIẾT BỊ'!$B$1:$S$836,3,0),"")</f>
        <v>A24-GĐH-006</v>
      </c>
      <c r="E76" s="464" t="str">
        <f>IFERROR(VLOOKUP(B76,'03. THIẾT BỊ'!$B$1:$S$836,4,0),"")</f>
        <v>ĐQSD</v>
      </c>
      <c r="F76" s="464" t="str">
        <f>IFERROR(VLOOKUP(B76,'03. THIẾT BỊ'!$B$1:$S$836,5,0),"")</f>
        <v>Gàu định hình M0.6</v>
      </c>
      <c r="G76" s="80" t="s">
        <v>6423</v>
      </c>
      <c r="H76" s="463" t="str">
        <f>IFERROR(VLOOKUP(B76,'03. THIẾT BỊ'!$B$1:$S$836,7,0),"")</f>
        <v>CGTC LP</v>
      </c>
      <c r="I76" s="474" t="str">
        <f>IFERROR(VLOOKUP(B76,'03. THIẾT BỊ'!$B$1:$S$836,8,0),"")</f>
        <v>29/07/2024</v>
      </c>
      <c r="J76" s="471"/>
      <c r="K76" s="463" t="str">
        <f>IFERROR(VLOOKUP(B76,'03. THIẾT BỊ'!$B$1:$S$836,10,0),"")</f>
        <v>Bình thường</v>
      </c>
      <c r="L76" s="468" t="str">
        <f>IFERROR(VLOOKUP(B76,'03. THIẾT BỊ'!$B$1:$S$836,11,0),"")</f>
        <v>Giao về Ban XDCB</v>
      </c>
      <c r="M76" s="472" t="str">
        <f>IFERROR(VLOOKUP(B76,'03. THIẾT BỊ'!$B$1:$S$836,12,0),"")</f>
        <v/>
      </c>
      <c r="N76" s="468" t="str">
        <f>IFERROR(VLOOKUP(B76,'03. THIẾT BỊ'!$B$1:$S$836,13,0),"")</f>
        <v>THACO AGRI</v>
      </c>
      <c r="O76" s="470" t="str">
        <f>IFERROR(VLOOKUP(B76,'03. THIẾT BỊ'!$B$1:$S$836,14,0),"")</f>
        <v>M0.6</v>
      </c>
      <c r="P76" s="468" t="str">
        <f>IFERROR(VLOOKUP(B76,'03. THIẾT BỊ'!$B$1:$S$836,15,0),"")</f>
        <v>CK-CGH</v>
      </c>
      <c r="Q76" s="48">
        <f>IFERROR(VLOOKUP(B76,'03. THIẾT BỊ'!$B$1:$S$836,16,0),"")</f>
        <v>2024</v>
      </c>
      <c r="R76" s="471" t="str">
        <f>IFERROR(VLOOKUP(B76,'03. THIẾT BỊ'!$B$1:$S$836,17,0),"")</f>
        <v>700x200x500</v>
      </c>
      <c r="S76" s="468" t="str">
        <f>IFERROR(VLOOKUP(B76,'03. THIẾT BỊ'!$B$1:$S$836,18,0),"")</f>
        <v/>
      </c>
      <c r="T76" s="812"/>
    </row>
    <row r="77" ht="15.0" customHeight="1">
      <c r="A77" s="48">
        <f t="shared" si="2"/>
        <v>39</v>
      </c>
      <c r="B77" s="464" t="s">
        <v>3400</v>
      </c>
      <c r="C77" s="869" t="str">
        <f>IFERROR(VLOOKUP(B77,'03. THIẾT BỊ'!$B$1:$S$836,2,0),"")</f>
        <v/>
      </c>
      <c r="D77" s="470" t="str">
        <f>IFERROR(VLOOKUP(B77,'03. THIẾT BỊ'!$B$1:$S$836,3,0),"")</f>
        <v>A24-GĐH-008</v>
      </c>
      <c r="E77" s="464" t="str">
        <f>IFERROR(VLOOKUP(B77,'03. THIẾT BỊ'!$B$1:$S$836,4,0),"")</f>
        <v>ĐQSD</v>
      </c>
      <c r="F77" s="464" t="str">
        <f>IFERROR(VLOOKUP(B77,'03. THIẾT BỊ'!$B$1:$S$836,5,0),"")</f>
        <v>Gàu định hình M0.8</v>
      </c>
      <c r="G77" s="80" t="s">
        <v>6423</v>
      </c>
      <c r="H77" s="463" t="str">
        <f>IFERROR(VLOOKUP(B77,'03. THIẾT BỊ'!$B$1:$S$836,7,0),"")</f>
        <v>CGTC LP</v>
      </c>
      <c r="I77" s="474" t="str">
        <f>IFERROR(VLOOKUP(B77,'03. THIẾT BỊ'!$B$1:$S$836,8,0),"")</f>
        <v>29/07/2024</v>
      </c>
      <c r="J77" s="471"/>
      <c r="K77" s="463" t="str">
        <f>IFERROR(VLOOKUP(B77,'03. THIẾT BỊ'!$B$1:$S$836,10,0),"")</f>
        <v>Bình thường</v>
      </c>
      <c r="L77" s="468" t="str">
        <f>IFERROR(VLOOKUP(B77,'03. THIẾT BỊ'!$B$1:$S$836,11,0),"")</f>
        <v>Giao về Ban XDCB</v>
      </c>
      <c r="M77" s="472" t="str">
        <f>IFERROR(VLOOKUP(B77,'03. THIẾT BỊ'!$B$1:$S$836,12,0),"")</f>
        <v/>
      </c>
      <c r="N77" s="468" t="str">
        <f>IFERROR(VLOOKUP(B77,'03. THIẾT BỊ'!$B$1:$S$836,13,0),"")</f>
        <v>THACO AGRI</v>
      </c>
      <c r="O77" s="470" t="str">
        <f>IFERROR(VLOOKUP(B77,'03. THIẾT BỊ'!$B$1:$S$836,14,0),"")</f>
        <v>M0.8</v>
      </c>
      <c r="P77" s="468" t="str">
        <f>IFERROR(VLOOKUP(B77,'03. THIẾT BỊ'!$B$1:$S$836,15,0),"")</f>
        <v>CK-CGH</v>
      </c>
      <c r="Q77" s="48">
        <f>IFERROR(VLOOKUP(B77,'03. THIẾT BỊ'!$B$1:$S$836,16,0),"")</f>
        <v>2024</v>
      </c>
      <c r="R77" s="471" t="str">
        <f>IFERROR(VLOOKUP(B77,'03. THIẾT BỊ'!$B$1:$S$836,17,0),"")</f>
        <v>1000x300x550</v>
      </c>
      <c r="S77" s="468" t="str">
        <f>IFERROR(VLOOKUP(B77,'03. THIẾT BỊ'!$B$1:$S$836,18,0),"")</f>
        <v/>
      </c>
      <c r="T77" s="812"/>
    </row>
    <row r="78" ht="15.0" customHeight="1">
      <c r="A78" s="48">
        <f t="shared" si="2"/>
        <v>40</v>
      </c>
      <c r="B78" s="464" t="s">
        <v>3406</v>
      </c>
      <c r="C78" s="869" t="str">
        <f>IFERROR(VLOOKUP(B78,'03. THIẾT BỊ'!$B$1:$S$836,2,0),"")</f>
        <v/>
      </c>
      <c r="D78" s="470" t="str">
        <f>IFERROR(VLOOKUP(B78,'03. THIẾT BỊ'!$B$1:$S$836,3,0),"")</f>
        <v>A24-GĐH-009</v>
      </c>
      <c r="E78" s="464" t="str">
        <f>IFERROR(VLOOKUP(B78,'03. THIẾT BỊ'!$B$1:$S$836,4,0),"")</f>
        <v>ĐQSD</v>
      </c>
      <c r="F78" s="464" t="str">
        <f>IFERROR(VLOOKUP(B78,'03. THIẾT BỊ'!$B$1:$S$836,5,0),"")</f>
        <v>Gàu định hình M0.8</v>
      </c>
      <c r="G78" s="80" t="s">
        <v>6423</v>
      </c>
      <c r="H78" s="463" t="str">
        <f>IFERROR(VLOOKUP(B78,'03. THIẾT BỊ'!$B$1:$S$836,7,0),"")</f>
        <v>CGTC LP</v>
      </c>
      <c r="I78" s="474" t="str">
        <f>IFERROR(VLOOKUP(B78,'03. THIẾT BỊ'!$B$1:$S$836,8,0),"")</f>
        <v>29/07/2024</v>
      </c>
      <c r="J78" s="471"/>
      <c r="K78" s="463" t="str">
        <f>IFERROR(VLOOKUP(B78,'03. THIẾT BỊ'!$B$1:$S$836,10,0),"")</f>
        <v>Bình thường</v>
      </c>
      <c r="L78" s="468" t="str">
        <f>IFERROR(VLOOKUP(B78,'03. THIẾT BỊ'!$B$1:$S$836,11,0),"")</f>
        <v>Giao về Ban XDCB</v>
      </c>
      <c r="M78" s="472" t="str">
        <f>IFERROR(VLOOKUP(B78,'03. THIẾT BỊ'!$B$1:$S$836,12,0),"")</f>
        <v/>
      </c>
      <c r="N78" s="468" t="str">
        <f>IFERROR(VLOOKUP(B78,'03. THIẾT BỊ'!$B$1:$S$836,13,0),"")</f>
        <v>THACO AGRI</v>
      </c>
      <c r="O78" s="470" t="str">
        <f>IFERROR(VLOOKUP(B78,'03. THIẾT BỊ'!$B$1:$S$836,14,0),"")</f>
        <v>M0.8</v>
      </c>
      <c r="P78" s="468" t="str">
        <f>IFERROR(VLOOKUP(B78,'03. THIẾT BỊ'!$B$1:$S$836,15,0),"")</f>
        <v>CK-CGH</v>
      </c>
      <c r="Q78" s="48">
        <f>IFERROR(VLOOKUP(B78,'03. THIẾT BỊ'!$B$1:$S$836,16,0),"")</f>
        <v>2024</v>
      </c>
      <c r="R78" s="471" t="str">
        <f>IFERROR(VLOOKUP(B78,'03. THIẾT BỊ'!$B$1:$S$836,17,0),"")</f>
        <v>1000x300x550</v>
      </c>
      <c r="S78" s="468" t="str">
        <f>IFERROR(VLOOKUP(B78,'03. THIẾT BỊ'!$B$1:$S$836,18,0),"")</f>
        <v/>
      </c>
      <c r="T78" s="812"/>
    </row>
    <row r="79" ht="15.0" customHeight="1">
      <c r="A79" s="48">
        <f t="shared" si="2"/>
        <v>41</v>
      </c>
      <c r="B79" s="464" t="s">
        <v>3408</v>
      </c>
      <c r="C79" s="869" t="str">
        <f>IFERROR(VLOOKUP(B79,'03. THIẾT BỊ'!$B$1:$S$836,2,0),"")</f>
        <v/>
      </c>
      <c r="D79" s="470" t="str">
        <f>IFERROR(VLOOKUP(B79,'03. THIẾT BỊ'!$B$1:$S$836,3,0),"")</f>
        <v>A24-GĐH-011</v>
      </c>
      <c r="E79" s="464" t="str">
        <f>IFERROR(VLOOKUP(B79,'03. THIẾT BỊ'!$B$1:$S$836,4,0),"")</f>
        <v>ĐQSD</v>
      </c>
      <c r="F79" s="464" t="str">
        <f>IFERROR(VLOOKUP(B79,'03. THIẾT BỊ'!$B$1:$S$836,5,0),"")</f>
        <v>Gàu định hình M1</v>
      </c>
      <c r="G79" s="80" t="s">
        <v>6423</v>
      </c>
      <c r="H79" s="463" t="str">
        <f>IFERROR(VLOOKUP(B79,'03. THIẾT BỊ'!$B$1:$S$836,7,0),"")</f>
        <v>CGTC LP</v>
      </c>
      <c r="I79" s="474" t="str">
        <f>IFERROR(VLOOKUP(B79,'03. THIẾT BỊ'!$B$1:$S$836,8,0),"")</f>
        <v>22/08/2024</v>
      </c>
      <c r="J79" s="471"/>
      <c r="K79" s="463" t="str">
        <f>IFERROR(VLOOKUP(B79,'03. THIẾT BỊ'!$B$1:$S$836,10,0),"")</f>
        <v>Bình thường</v>
      </c>
      <c r="L79" s="468" t="str">
        <f>IFERROR(VLOOKUP(B79,'03. THIẾT BỊ'!$B$1:$S$836,11,0),"")</f>
        <v>Giao về Ban XDCB</v>
      </c>
      <c r="M79" s="472" t="str">
        <f>IFERROR(VLOOKUP(B79,'03. THIẾT BỊ'!$B$1:$S$836,12,0),"")</f>
        <v/>
      </c>
      <c r="N79" s="468" t="str">
        <f>IFERROR(VLOOKUP(B79,'03. THIẾT BỊ'!$B$1:$S$836,13,0),"")</f>
        <v>THACO AGRI</v>
      </c>
      <c r="O79" s="470" t="str">
        <f>IFERROR(VLOOKUP(B79,'03. THIẾT BỊ'!$B$1:$S$836,14,0),"")</f>
        <v>M1</v>
      </c>
      <c r="P79" s="468" t="str">
        <f>IFERROR(VLOOKUP(B79,'03. THIẾT BỊ'!$B$1:$S$836,15,0),"")</f>
        <v>CK-CGH</v>
      </c>
      <c r="Q79" s="48">
        <f>IFERROR(VLOOKUP(B79,'03. THIẾT BỊ'!$B$1:$S$836,16,0),"")</f>
        <v>2024</v>
      </c>
      <c r="R79" s="471" t="str">
        <f>IFERROR(VLOOKUP(B79,'03. THIẾT BỊ'!$B$1:$S$836,17,0),"")</f>
        <v>120x30x80</v>
      </c>
      <c r="S79" s="468" t="str">
        <f>IFERROR(VLOOKUP(B79,'03. THIẾT BỊ'!$B$1:$S$836,18,0),"")</f>
        <v/>
      </c>
      <c r="T79" s="812"/>
    </row>
    <row r="80" ht="15.0" customHeight="1">
      <c r="A80" s="48">
        <f t="shared" si="2"/>
        <v>42</v>
      </c>
      <c r="B80" s="464" t="s">
        <v>3412</v>
      </c>
      <c r="C80" s="869" t="str">
        <f>IFERROR(VLOOKUP(B80,'03. THIẾT BỊ'!$B$1:$S$836,2,0),"")</f>
        <v/>
      </c>
      <c r="D80" s="470" t="str">
        <f>IFERROR(VLOOKUP(B80,'03. THIẾT BỊ'!$B$1:$S$836,3,0),"")</f>
        <v>A24-GĐH-012</v>
      </c>
      <c r="E80" s="464" t="str">
        <f>IFERROR(VLOOKUP(B80,'03. THIẾT BỊ'!$B$1:$S$836,4,0),"")</f>
        <v>ĐQSD</v>
      </c>
      <c r="F80" s="464" t="str">
        <f>IFERROR(VLOOKUP(B80,'03. THIẾT BỊ'!$B$1:$S$836,5,0),"")</f>
        <v>Gàu định hình M1</v>
      </c>
      <c r="G80" s="80" t="s">
        <v>6423</v>
      </c>
      <c r="H80" s="463" t="str">
        <f>IFERROR(VLOOKUP(B80,'03. THIẾT BỊ'!$B$1:$S$836,7,0),"")</f>
        <v>CGTC LP</v>
      </c>
      <c r="I80" s="474" t="str">
        <f>IFERROR(VLOOKUP(B80,'03. THIẾT BỊ'!$B$1:$S$836,8,0),"")</f>
        <v>22/08/2024</v>
      </c>
      <c r="J80" s="471"/>
      <c r="K80" s="463" t="str">
        <f>IFERROR(VLOOKUP(B80,'03. THIẾT BỊ'!$B$1:$S$836,10,0),"")</f>
        <v>Bình thường</v>
      </c>
      <c r="L80" s="468" t="str">
        <f>IFERROR(VLOOKUP(B80,'03. THIẾT BỊ'!$B$1:$S$836,11,0),"")</f>
        <v>Giao về Ban XDCB</v>
      </c>
      <c r="M80" s="472" t="str">
        <f>IFERROR(VLOOKUP(B80,'03. THIẾT BỊ'!$B$1:$S$836,12,0),"")</f>
        <v/>
      </c>
      <c r="N80" s="468" t="str">
        <f>IFERROR(VLOOKUP(B80,'03. THIẾT BỊ'!$B$1:$S$836,13,0),"")</f>
        <v>THACO AGRI</v>
      </c>
      <c r="O80" s="470" t="str">
        <f>IFERROR(VLOOKUP(B80,'03. THIẾT BỊ'!$B$1:$S$836,14,0),"")</f>
        <v>M1</v>
      </c>
      <c r="P80" s="468" t="str">
        <f>IFERROR(VLOOKUP(B80,'03. THIẾT BỊ'!$B$1:$S$836,15,0),"")</f>
        <v>CK-CGH</v>
      </c>
      <c r="Q80" s="48">
        <f>IFERROR(VLOOKUP(B80,'03. THIẾT BỊ'!$B$1:$S$836,16,0),"")</f>
        <v>2024</v>
      </c>
      <c r="R80" s="471" t="str">
        <f>IFERROR(VLOOKUP(B80,'03. THIẾT BỊ'!$B$1:$S$836,17,0),"")</f>
        <v>120x30x80</v>
      </c>
      <c r="S80" s="468" t="str">
        <f>IFERROR(VLOOKUP(B80,'03. THIẾT BỊ'!$B$1:$S$836,18,0),"")</f>
        <v/>
      </c>
      <c r="T80" s="812"/>
    </row>
    <row r="81" ht="15.0" customHeight="1">
      <c r="A81" s="48">
        <f t="shared" si="2"/>
        <v>43</v>
      </c>
      <c r="B81" s="464" t="s">
        <v>3414</v>
      </c>
      <c r="C81" s="869" t="str">
        <f>IFERROR(VLOOKUP(B81,'03. THIẾT BỊ'!$B$1:$S$836,2,0),"")</f>
        <v/>
      </c>
      <c r="D81" s="470" t="str">
        <f>IFERROR(VLOOKUP(B81,'03. THIẾT BỊ'!$B$1:$S$836,3,0),"")</f>
        <v>A24-GĐH-013</v>
      </c>
      <c r="E81" s="464" t="str">
        <f>IFERROR(VLOOKUP(B81,'03. THIẾT BỊ'!$B$1:$S$836,4,0),"")</f>
        <v>ĐQSD</v>
      </c>
      <c r="F81" s="464" t="str">
        <f>IFERROR(VLOOKUP(B81,'03. THIẾT BỊ'!$B$1:$S$836,5,0),"")</f>
        <v>Gàu định hình M1.5</v>
      </c>
      <c r="G81" s="80" t="s">
        <v>6423</v>
      </c>
      <c r="H81" s="463" t="str">
        <f>IFERROR(VLOOKUP(B81,'03. THIẾT BỊ'!$B$1:$S$836,7,0),"")</f>
        <v>CGTC LP</v>
      </c>
      <c r="I81" s="474">
        <f>IFERROR(VLOOKUP(B81,'03. THIẾT BỊ'!$B$1:$S$836,8,0),"")</f>
        <v>45542</v>
      </c>
      <c r="J81" s="471"/>
      <c r="K81" s="463" t="str">
        <f>IFERROR(VLOOKUP(B81,'03. THIẾT BỊ'!$B$1:$S$836,10,0),"")</f>
        <v>Bình thường</v>
      </c>
      <c r="L81" s="468" t="str">
        <f>IFERROR(VLOOKUP(B81,'03. THIẾT BỊ'!$B$1:$S$836,11,0),"")</f>
        <v>Giao về Ban XDCB</v>
      </c>
      <c r="M81" s="472" t="str">
        <f>IFERROR(VLOOKUP(B81,'03. THIẾT BỊ'!$B$1:$S$836,12,0),"")</f>
        <v/>
      </c>
      <c r="N81" s="468" t="str">
        <f>IFERROR(VLOOKUP(B81,'03. THIẾT BỊ'!$B$1:$S$836,13,0),"")</f>
        <v>THACO AGRI</v>
      </c>
      <c r="O81" s="470" t="str">
        <f>IFERROR(VLOOKUP(B81,'03. THIẾT BỊ'!$B$1:$S$836,14,0),"")</f>
        <v>M1.5</v>
      </c>
      <c r="P81" s="468" t="str">
        <f>IFERROR(VLOOKUP(B81,'03. THIẾT BỊ'!$B$1:$S$836,15,0),"")</f>
        <v>CK-CGH</v>
      </c>
      <c r="Q81" s="48">
        <f>IFERROR(VLOOKUP(B81,'03. THIẾT BỊ'!$B$1:$S$836,16,0),"")</f>
        <v>2024</v>
      </c>
      <c r="R81" s="471" t="str">
        <f>IFERROR(VLOOKUP(B81,'03. THIẾT BỊ'!$B$1:$S$836,17,0),"")</f>
        <v>1800x400x1200</v>
      </c>
      <c r="S81" s="468" t="str">
        <f>IFERROR(VLOOKUP(B81,'03. THIẾT BỊ'!$B$1:$S$836,18,0),"")</f>
        <v/>
      </c>
      <c r="T81" s="812"/>
    </row>
    <row r="82" ht="15.0" customHeight="1">
      <c r="A82" s="48">
        <f t="shared" si="2"/>
        <v>44</v>
      </c>
      <c r="B82" s="464" t="s">
        <v>3419</v>
      </c>
      <c r="C82" s="869" t="str">
        <f>IFERROR(VLOOKUP(B82,'03. THIẾT BỊ'!$B$1:$S$836,2,0),"")</f>
        <v/>
      </c>
      <c r="D82" s="470" t="str">
        <f>IFERROR(VLOOKUP(B82,'03. THIẾT BỊ'!$B$1:$S$836,3,0),"")</f>
        <v>A24-GĐH-015</v>
      </c>
      <c r="E82" s="464" t="str">
        <f>IFERROR(VLOOKUP(B82,'03. THIẾT BỊ'!$B$1:$S$836,4,0),"")</f>
        <v>ĐQSD</v>
      </c>
      <c r="F82" s="464" t="str">
        <f>IFERROR(VLOOKUP(B82,'03. THIẾT BỊ'!$B$1:$S$836,5,0),"")</f>
        <v>Gàu định hình M3</v>
      </c>
      <c r="G82" s="80" t="s">
        <v>6423</v>
      </c>
      <c r="H82" s="463" t="str">
        <f>IFERROR(VLOOKUP(B82,'03. THIẾT BỊ'!$B$1:$S$836,7,0),"")</f>
        <v>CGTC LP</v>
      </c>
      <c r="I82" s="474" t="str">
        <f>IFERROR(VLOOKUP(B82,'03. THIẾT BỊ'!$B$1:$S$836,8,0),"")</f>
        <v>22/08/2024</v>
      </c>
      <c r="J82" s="471"/>
      <c r="K82" s="463" t="str">
        <f>IFERROR(VLOOKUP(B82,'03. THIẾT BỊ'!$B$1:$S$836,10,0),"")</f>
        <v>Bình thường</v>
      </c>
      <c r="L82" s="468" t="str">
        <f>IFERROR(VLOOKUP(B82,'03. THIẾT BỊ'!$B$1:$S$836,11,0),"")</f>
        <v>Giao về Ban XDCB</v>
      </c>
      <c r="M82" s="472" t="str">
        <f>IFERROR(VLOOKUP(B82,'03. THIẾT BỊ'!$B$1:$S$836,12,0),"")</f>
        <v/>
      </c>
      <c r="N82" s="468" t="str">
        <f>IFERROR(VLOOKUP(B82,'03. THIẾT BỊ'!$B$1:$S$836,13,0),"")</f>
        <v>THACO AGRI</v>
      </c>
      <c r="O82" s="470" t="str">
        <f>IFERROR(VLOOKUP(B82,'03. THIẾT BỊ'!$B$1:$S$836,14,0),"")</f>
        <v>M3</v>
      </c>
      <c r="P82" s="468" t="str">
        <f>IFERROR(VLOOKUP(B82,'03. THIẾT BỊ'!$B$1:$S$836,15,0),"")</f>
        <v>CK-CGH</v>
      </c>
      <c r="Q82" s="48">
        <f>IFERROR(VLOOKUP(B82,'03. THIẾT BỊ'!$B$1:$S$836,16,0),"")</f>
        <v>2024</v>
      </c>
      <c r="R82" s="471" t="str">
        <f>IFERROR(VLOOKUP(B82,'03. THIẾT BỊ'!$B$1:$S$836,17,0),"")</f>
        <v>3000x950x1800</v>
      </c>
      <c r="S82" s="468" t="str">
        <f>IFERROR(VLOOKUP(B82,'03. THIẾT BỊ'!$B$1:$S$836,18,0),"")</f>
        <v/>
      </c>
      <c r="T82" s="812"/>
    </row>
    <row r="83" ht="15.0" customHeight="1">
      <c r="A83" s="48">
        <f t="shared" si="2"/>
        <v>45</v>
      </c>
      <c r="B83" s="464" t="s">
        <v>3424</v>
      </c>
      <c r="C83" s="869" t="str">
        <f>IFERROR(VLOOKUP(B83,'03. THIẾT BỊ'!$B$1:$S$836,2,0),"")</f>
        <v/>
      </c>
      <c r="D83" s="470" t="str">
        <f>IFERROR(VLOOKUP(B83,'03. THIẾT BỊ'!$B$1:$S$836,3,0),"")</f>
        <v>A24-GĐH-016</v>
      </c>
      <c r="E83" s="464" t="str">
        <f>IFERROR(VLOOKUP(B83,'03. THIẾT BỊ'!$B$1:$S$836,4,0),"")</f>
        <v>ĐQSD</v>
      </c>
      <c r="F83" s="464" t="str">
        <f>IFERROR(VLOOKUP(B83,'03. THIẾT BỊ'!$B$1:$S$836,5,0),"")</f>
        <v>Gàu định hình M3</v>
      </c>
      <c r="G83" s="80" t="s">
        <v>6423</v>
      </c>
      <c r="H83" s="463" t="str">
        <f>IFERROR(VLOOKUP(B83,'03. THIẾT BỊ'!$B$1:$S$836,7,0),"")</f>
        <v>CGTC LP</v>
      </c>
      <c r="I83" s="474" t="str">
        <f>IFERROR(VLOOKUP(B83,'03. THIẾT BỊ'!$B$1:$S$836,8,0),"")</f>
        <v>22/08/2024</v>
      </c>
      <c r="J83" s="471"/>
      <c r="K83" s="463" t="str">
        <f>IFERROR(VLOOKUP(B83,'03. THIẾT BỊ'!$B$1:$S$836,10,0),"")</f>
        <v>Bình thường</v>
      </c>
      <c r="L83" s="468" t="str">
        <f>IFERROR(VLOOKUP(B83,'03. THIẾT BỊ'!$B$1:$S$836,11,0),"")</f>
        <v>Giao về Ban XDCB</v>
      </c>
      <c r="M83" s="472" t="str">
        <f>IFERROR(VLOOKUP(B83,'03. THIẾT BỊ'!$B$1:$S$836,12,0),"")</f>
        <v/>
      </c>
      <c r="N83" s="468" t="str">
        <f>IFERROR(VLOOKUP(B83,'03. THIẾT BỊ'!$B$1:$S$836,13,0),"")</f>
        <v>THACO AGRI</v>
      </c>
      <c r="O83" s="470" t="str">
        <f>IFERROR(VLOOKUP(B83,'03. THIẾT BỊ'!$B$1:$S$836,14,0),"")</f>
        <v>M3</v>
      </c>
      <c r="P83" s="468" t="str">
        <f>IFERROR(VLOOKUP(B83,'03. THIẾT BỊ'!$B$1:$S$836,15,0),"")</f>
        <v>CK-CGH</v>
      </c>
      <c r="Q83" s="48">
        <f>IFERROR(VLOOKUP(B83,'03. THIẾT BỊ'!$B$1:$S$836,16,0),"")</f>
        <v>2024</v>
      </c>
      <c r="R83" s="471" t="str">
        <f>IFERROR(VLOOKUP(B83,'03. THIẾT BỊ'!$B$1:$S$836,17,0),"")</f>
        <v>3000x950x1800</v>
      </c>
      <c r="S83" s="468" t="str">
        <f>IFERROR(VLOOKUP(B83,'03. THIẾT BỊ'!$B$1:$S$836,18,0),"")</f>
        <v/>
      </c>
      <c r="T83" s="812"/>
    </row>
    <row r="84" ht="15.0" customHeight="1">
      <c r="A84" s="48">
        <f t="shared" si="2"/>
        <v>46</v>
      </c>
      <c r="B84" s="464" t="s">
        <v>3426</v>
      </c>
      <c r="C84" s="869" t="str">
        <f>IFERROR(VLOOKUP(B84,'03. THIẾT BỊ'!$B$1:$S$836,2,0),"")</f>
        <v/>
      </c>
      <c r="D84" s="470" t="str">
        <f>IFERROR(VLOOKUP(B84,'03. THIẾT BỊ'!$B$1:$S$836,3,0),"")</f>
        <v>A24-GĐH-059</v>
      </c>
      <c r="E84" s="464" t="str">
        <f>IFERROR(VLOOKUP(B84,'03. THIẾT BỊ'!$B$1:$S$836,4,0),"")</f>
        <v>ĐQSD</v>
      </c>
      <c r="F84" s="464" t="str">
        <f>IFERROR(VLOOKUP(B84,'03. THIẾT BỊ'!$B$1:$S$836,5,0),"")</f>
        <v>Gàu định hình đảo mương thửa</v>
      </c>
      <c r="G84" s="80" t="s">
        <v>6423</v>
      </c>
      <c r="H84" s="463" t="str">
        <f>IFERROR(VLOOKUP(B84,'03. THIẾT BỊ'!$B$1:$S$836,7,0),"")</f>
        <v>CGTC LP</v>
      </c>
      <c r="I84" s="474">
        <f>IFERROR(VLOOKUP(B84,'03. THIẾT BỊ'!$B$1:$S$836,8,0),"")</f>
        <v>45993</v>
      </c>
      <c r="J84" s="471"/>
      <c r="K84" s="463" t="str">
        <f>IFERROR(VLOOKUP(B84,'03. THIẾT BỊ'!$B$1:$S$836,10,0),"")</f>
        <v>Bình thường</v>
      </c>
      <c r="L84" s="468" t="str">
        <f>IFERROR(VLOOKUP(B84,'03. THIẾT BỊ'!$B$1:$S$836,11,0),"")</f>
        <v>Giao về Ban XDCB</v>
      </c>
      <c r="M84" s="472" t="str">
        <f>IFERROR(VLOOKUP(B84,'03. THIẾT BỊ'!$B$1:$S$836,12,0),"")</f>
        <v/>
      </c>
      <c r="N84" s="468" t="str">
        <f>IFERROR(VLOOKUP(B84,'03. THIẾT BỊ'!$B$1:$S$836,13,0),"")</f>
        <v>THACO AGRI</v>
      </c>
      <c r="O84" s="470" t="str">
        <f>IFERROR(VLOOKUP(B84,'03. THIẾT BỊ'!$B$1:$S$836,14,0),"")</f>
        <v/>
      </c>
      <c r="P84" s="468" t="str">
        <f>IFERROR(VLOOKUP(B84,'03. THIẾT BỊ'!$B$1:$S$836,15,0),"")</f>
        <v>CK-CGH</v>
      </c>
      <c r="Q84" s="48">
        <f>IFERROR(VLOOKUP(B84,'03. THIẾT BỊ'!$B$1:$S$836,16,0),"")</f>
        <v>2025</v>
      </c>
      <c r="R84" s="471" t="str">
        <f>IFERROR(VLOOKUP(B84,'03. THIẾT BỊ'!$B$1:$S$836,17,0),"")</f>
        <v>1200x200x1200</v>
      </c>
      <c r="S84" s="468" t="str">
        <f>IFERROR(VLOOKUP(B84,'03. THIẾT BỊ'!$B$1:$S$836,18,0),"")</f>
        <v/>
      </c>
      <c r="T84" s="812"/>
    </row>
    <row r="85" ht="15.0" customHeight="1">
      <c r="A85" s="48">
        <f t="shared" si="2"/>
        <v>47</v>
      </c>
      <c r="B85" s="464" t="s">
        <v>3430</v>
      </c>
      <c r="C85" s="869" t="str">
        <f>IFERROR(VLOOKUP(B85,'03. THIẾT BỊ'!$B$1:$S$836,2,0),"")</f>
        <v/>
      </c>
      <c r="D85" s="470" t="str">
        <f>IFERROR(VLOOKUP(B85,'03. THIẾT BỊ'!$B$1:$S$836,3,0),"")</f>
        <v>A24-GĐH-060</v>
      </c>
      <c r="E85" s="464" t="str">
        <f>IFERROR(VLOOKUP(B85,'03. THIẾT BỊ'!$B$1:$S$836,4,0),"")</f>
        <v>ĐQSD</v>
      </c>
      <c r="F85" s="464" t="str">
        <f>IFERROR(VLOOKUP(B85,'03. THIẾT BỊ'!$B$1:$S$836,5,0),"")</f>
        <v>Gàu định hình đảo mương thửa</v>
      </c>
      <c r="G85" s="80" t="s">
        <v>6423</v>
      </c>
      <c r="H85" s="463" t="str">
        <f>IFERROR(VLOOKUP(B85,'03. THIẾT BỊ'!$B$1:$S$836,7,0),"")</f>
        <v>CGTC LP</v>
      </c>
      <c r="I85" s="474">
        <f>IFERROR(VLOOKUP(B85,'03. THIẾT BỊ'!$B$1:$S$836,8,0),"")</f>
        <v>45993</v>
      </c>
      <c r="J85" s="471"/>
      <c r="K85" s="463" t="str">
        <f>IFERROR(VLOOKUP(B85,'03. THIẾT BỊ'!$B$1:$S$836,10,0),"")</f>
        <v>Bình thường</v>
      </c>
      <c r="L85" s="468" t="str">
        <f>IFERROR(VLOOKUP(B85,'03. THIẾT BỊ'!$B$1:$S$836,11,0),"")</f>
        <v>Giao về Ban XDCB</v>
      </c>
      <c r="M85" s="472" t="str">
        <f>IFERROR(VLOOKUP(B85,'03. THIẾT BỊ'!$B$1:$S$836,12,0),"")</f>
        <v/>
      </c>
      <c r="N85" s="468" t="str">
        <f>IFERROR(VLOOKUP(B85,'03. THIẾT BỊ'!$B$1:$S$836,13,0),"")</f>
        <v>THACO AGRI</v>
      </c>
      <c r="O85" s="470" t="str">
        <f>IFERROR(VLOOKUP(B85,'03. THIẾT BỊ'!$B$1:$S$836,14,0),"")</f>
        <v/>
      </c>
      <c r="P85" s="468" t="str">
        <f>IFERROR(VLOOKUP(B85,'03. THIẾT BỊ'!$B$1:$S$836,15,0),"")</f>
        <v>CK-CGH</v>
      </c>
      <c r="Q85" s="48">
        <f>IFERROR(VLOOKUP(B85,'03. THIẾT BỊ'!$B$1:$S$836,16,0),"")</f>
        <v>2025</v>
      </c>
      <c r="R85" s="471" t="str">
        <f>IFERROR(VLOOKUP(B85,'03. THIẾT BỊ'!$B$1:$S$836,17,0),"")</f>
        <v>1200x200x1200</v>
      </c>
      <c r="S85" s="468" t="str">
        <f>IFERROR(VLOOKUP(B85,'03. THIẾT BỊ'!$B$1:$S$836,18,0),"")</f>
        <v/>
      </c>
      <c r="T85" s="812"/>
    </row>
    <row r="86" ht="15.0" customHeight="1">
      <c r="A86" s="48">
        <f t="shared" si="2"/>
        <v>48</v>
      </c>
      <c r="B86" s="464" t="s">
        <v>3432</v>
      </c>
      <c r="C86" s="869" t="str">
        <f>IFERROR(VLOOKUP(B86,'03. THIẾT BỊ'!$B$1:$S$836,2,0),"")</f>
        <v/>
      </c>
      <c r="D86" s="470" t="str">
        <f>IFERROR(VLOOKUP(B86,'03. THIẾT BỊ'!$B$1:$S$836,3,0),"")</f>
        <v>A24-GĐH-061</v>
      </c>
      <c r="E86" s="464" t="str">
        <f>IFERROR(VLOOKUP(B86,'03. THIẾT BỊ'!$B$1:$S$836,4,0),"")</f>
        <v>ĐQSD</v>
      </c>
      <c r="F86" s="464" t="str">
        <f>IFERROR(VLOOKUP(B86,'03. THIẾT BỊ'!$B$1:$S$836,5,0),"")</f>
        <v>Gàu định hình đảo mương thửa</v>
      </c>
      <c r="G86" s="80" t="s">
        <v>6423</v>
      </c>
      <c r="H86" s="463" t="str">
        <f>IFERROR(VLOOKUP(B86,'03. THIẾT BỊ'!$B$1:$S$836,7,0),"")</f>
        <v>CGTC LP</v>
      </c>
      <c r="I86" s="474">
        <f>IFERROR(VLOOKUP(B86,'03. THIẾT BỊ'!$B$1:$S$836,8,0),"")</f>
        <v>45993</v>
      </c>
      <c r="J86" s="471"/>
      <c r="K86" s="463" t="str">
        <f>IFERROR(VLOOKUP(B86,'03. THIẾT BỊ'!$B$1:$S$836,10,0),"")</f>
        <v>Bình thường</v>
      </c>
      <c r="L86" s="468" t="str">
        <f>IFERROR(VLOOKUP(B86,'03. THIẾT BỊ'!$B$1:$S$836,11,0),"")</f>
        <v>Giao về Ban XDCB</v>
      </c>
      <c r="M86" s="472" t="str">
        <f>IFERROR(VLOOKUP(B86,'03. THIẾT BỊ'!$B$1:$S$836,12,0),"")</f>
        <v/>
      </c>
      <c r="N86" s="468" t="str">
        <f>IFERROR(VLOOKUP(B86,'03. THIẾT BỊ'!$B$1:$S$836,13,0),"")</f>
        <v>THACO AGRI</v>
      </c>
      <c r="O86" s="470" t="str">
        <f>IFERROR(VLOOKUP(B86,'03. THIẾT BỊ'!$B$1:$S$836,14,0),"")</f>
        <v/>
      </c>
      <c r="P86" s="468" t="str">
        <f>IFERROR(VLOOKUP(B86,'03. THIẾT BỊ'!$B$1:$S$836,15,0),"")</f>
        <v>CK-CGH</v>
      </c>
      <c r="Q86" s="48">
        <f>IFERROR(VLOOKUP(B86,'03. THIẾT BỊ'!$B$1:$S$836,16,0),"")</f>
        <v>2025</v>
      </c>
      <c r="R86" s="471" t="str">
        <f>IFERROR(VLOOKUP(B86,'03. THIẾT BỊ'!$B$1:$S$836,17,0),"")</f>
        <v>1200x200x1200</v>
      </c>
      <c r="S86" s="468" t="str">
        <f>IFERROR(VLOOKUP(B86,'03. THIẾT BỊ'!$B$1:$S$836,18,0),"")</f>
        <v/>
      </c>
      <c r="T86" s="812"/>
    </row>
    <row r="87" ht="15.0" customHeight="1">
      <c r="A87" s="48">
        <f t="shared" si="2"/>
        <v>49</v>
      </c>
      <c r="B87" s="464" t="s">
        <v>3434</v>
      </c>
      <c r="C87" s="869" t="str">
        <f>IFERROR(VLOOKUP(B87,'03. THIẾT BỊ'!$B$1:$S$836,2,0),"")</f>
        <v/>
      </c>
      <c r="D87" s="470" t="str">
        <f>IFERROR(VLOOKUP(B87,'03. THIẾT BỊ'!$B$1:$S$836,3,0),"")</f>
        <v>A24-GĐH-062</v>
      </c>
      <c r="E87" s="464" t="str">
        <f>IFERROR(VLOOKUP(B87,'03. THIẾT BỊ'!$B$1:$S$836,4,0),"")</f>
        <v>ĐQSD</v>
      </c>
      <c r="F87" s="464" t="str">
        <f>IFERROR(VLOOKUP(B87,'03. THIẾT BỊ'!$B$1:$S$836,5,0),"")</f>
        <v>Gàu định hình đảo mương thửa</v>
      </c>
      <c r="G87" s="80" t="s">
        <v>6423</v>
      </c>
      <c r="H87" s="463" t="str">
        <f>IFERROR(VLOOKUP(B87,'03. THIẾT BỊ'!$B$1:$S$836,7,0),"")</f>
        <v>CGTC LP</v>
      </c>
      <c r="I87" s="474">
        <f>IFERROR(VLOOKUP(B87,'03. THIẾT BỊ'!$B$1:$S$836,8,0),"")</f>
        <v>45993</v>
      </c>
      <c r="J87" s="471"/>
      <c r="K87" s="463" t="str">
        <f>IFERROR(VLOOKUP(B87,'03. THIẾT BỊ'!$B$1:$S$836,10,0),"")</f>
        <v>Bình thường</v>
      </c>
      <c r="L87" s="468" t="str">
        <f>IFERROR(VLOOKUP(B87,'03. THIẾT BỊ'!$B$1:$S$836,11,0),"")</f>
        <v>Giao về Ban XDCB</v>
      </c>
      <c r="M87" s="472" t="str">
        <f>IFERROR(VLOOKUP(B87,'03. THIẾT BỊ'!$B$1:$S$836,12,0),"")</f>
        <v/>
      </c>
      <c r="N87" s="468" t="str">
        <f>IFERROR(VLOOKUP(B87,'03. THIẾT BỊ'!$B$1:$S$836,13,0),"")</f>
        <v>THACO AGRI</v>
      </c>
      <c r="O87" s="470" t="str">
        <f>IFERROR(VLOOKUP(B87,'03. THIẾT BỊ'!$B$1:$S$836,14,0),"")</f>
        <v/>
      </c>
      <c r="P87" s="468" t="str">
        <f>IFERROR(VLOOKUP(B87,'03. THIẾT BỊ'!$B$1:$S$836,15,0),"")</f>
        <v>CK-CGH</v>
      </c>
      <c r="Q87" s="48">
        <f>IFERROR(VLOOKUP(B87,'03. THIẾT BỊ'!$B$1:$S$836,16,0),"")</f>
        <v>2025</v>
      </c>
      <c r="R87" s="471" t="str">
        <f>IFERROR(VLOOKUP(B87,'03. THIẾT BỊ'!$B$1:$S$836,17,0),"")</f>
        <v>1200x200x1200</v>
      </c>
      <c r="S87" s="468" t="str">
        <f>IFERROR(VLOOKUP(B87,'03. THIẾT BỊ'!$B$1:$S$836,18,0),"")</f>
        <v/>
      </c>
      <c r="T87" s="812"/>
    </row>
    <row r="88" ht="15.0" customHeight="1">
      <c r="A88" s="48">
        <f t="shared" si="2"/>
        <v>50</v>
      </c>
      <c r="B88" s="464" t="s">
        <v>3436</v>
      </c>
      <c r="C88" s="869" t="str">
        <f>IFERROR(VLOOKUP(B88,'03. THIẾT BỊ'!$B$1:$S$836,2,0),"")</f>
        <v/>
      </c>
      <c r="D88" s="470" t="str">
        <f>IFERROR(VLOOKUP(B88,'03. THIẾT BỊ'!$B$1:$S$836,3,0),"")</f>
        <v>A24-GĐH-063</v>
      </c>
      <c r="E88" s="464" t="str">
        <f>IFERROR(VLOOKUP(B88,'03. THIẾT BỊ'!$B$1:$S$836,4,0),"")</f>
        <v>ĐQSD</v>
      </c>
      <c r="F88" s="464" t="str">
        <f>IFERROR(VLOOKUP(B88,'03. THIẾT BỊ'!$B$1:$S$836,5,0),"")</f>
        <v>Gàu định hình đảo mương thửa</v>
      </c>
      <c r="G88" s="80" t="s">
        <v>6423</v>
      </c>
      <c r="H88" s="463" t="str">
        <f>IFERROR(VLOOKUP(B88,'03. THIẾT BỊ'!$B$1:$S$836,7,0),"")</f>
        <v>CGTC LP</v>
      </c>
      <c r="I88" s="474">
        <f>IFERROR(VLOOKUP(B88,'03. THIẾT BỊ'!$B$1:$S$836,8,0),"")</f>
        <v>45993</v>
      </c>
      <c r="J88" s="471"/>
      <c r="K88" s="463" t="str">
        <f>IFERROR(VLOOKUP(B88,'03. THIẾT BỊ'!$B$1:$S$836,10,0),"")</f>
        <v>Bình thường</v>
      </c>
      <c r="L88" s="468" t="str">
        <f>IFERROR(VLOOKUP(B88,'03. THIẾT BỊ'!$B$1:$S$836,11,0),"")</f>
        <v>Giao về Ban XDCB</v>
      </c>
      <c r="M88" s="472" t="str">
        <f>IFERROR(VLOOKUP(B88,'03. THIẾT BỊ'!$B$1:$S$836,12,0),"")</f>
        <v/>
      </c>
      <c r="N88" s="468" t="str">
        <f>IFERROR(VLOOKUP(B88,'03. THIẾT BỊ'!$B$1:$S$836,13,0),"")</f>
        <v>THACO AGRI</v>
      </c>
      <c r="O88" s="470" t="str">
        <f>IFERROR(VLOOKUP(B88,'03. THIẾT BỊ'!$B$1:$S$836,14,0),"")</f>
        <v/>
      </c>
      <c r="P88" s="468" t="str">
        <f>IFERROR(VLOOKUP(B88,'03. THIẾT BỊ'!$B$1:$S$836,15,0),"")</f>
        <v>CK-CGH</v>
      </c>
      <c r="Q88" s="48">
        <f>IFERROR(VLOOKUP(B88,'03. THIẾT BỊ'!$B$1:$S$836,16,0),"")</f>
        <v>2025</v>
      </c>
      <c r="R88" s="471" t="str">
        <f>IFERROR(VLOOKUP(B88,'03. THIẾT BỊ'!$B$1:$S$836,17,0),"")</f>
        <v>1200x200x1200</v>
      </c>
      <c r="S88" s="468" t="str">
        <f>IFERROR(VLOOKUP(B88,'03. THIẾT BỊ'!$B$1:$S$836,18,0),"")</f>
        <v/>
      </c>
      <c r="T88" s="812"/>
    </row>
    <row r="89" ht="15.0" customHeight="1">
      <c r="A89" s="48">
        <f t="shared" si="2"/>
        <v>51</v>
      </c>
      <c r="B89" s="464" t="s">
        <v>3438</v>
      </c>
      <c r="C89" s="869" t="str">
        <f>IFERROR(VLOOKUP(B89,'03. THIẾT BỊ'!$B$1:$S$836,2,0),"")</f>
        <v/>
      </c>
      <c r="D89" s="470" t="str">
        <f>IFERROR(VLOOKUP(B89,'03. THIẾT BỊ'!$B$1:$S$836,3,0),"")</f>
        <v>A24-GĐH-064</v>
      </c>
      <c r="E89" s="464" t="str">
        <f>IFERROR(VLOOKUP(B89,'03. THIẾT BỊ'!$B$1:$S$836,4,0),"")</f>
        <v>ĐQSD</v>
      </c>
      <c r="F89" s="464" t="str">
        <f>IFERROR(VLOOKUP(B89,'03. THIẾT BỊ'!$B$1:$S$836,5,0),"")</f>
        <v>Gàu định hình đảo mương lô</v>
      </c>
      <c r="G89" s="80" t="s">
        <v>6423</v>
      </c>
      <c r="H89" s="463" t="str">
        <f>IFERROR(VLOOKUP(B89,'03. THIẾT BỊ'!$B$1:$S$836,7,0),"")</f>
        <v>CGTC LP</v>
      </c>
      <c r="I89" s="474">
        <f>IFERROR(VLOOKUP(B89,'03. THIẾT BỊ'!$B$1:$S$836,8,0),"")</f>
        <v>45993</v>
      </c>
      <c r="J89" s="471"/>
      <c r="K89" s="463" t="str">
        <f>IFERROR(VLOOKUP(B89,'03. THIẾT BỊ'!$B$1:$S$836,10,0),"")</f>
        <v>Bình thường</v>
      </c>
      <c r="L89" s="468" t="str">
        <f>IFERROR(VLOOKUP(B89,'03. THIẾT BỊ'!$B$1:$S$836,11,0),"")</f>
        <v>Giao về Ban XDCB</v>
      </c>
      <c r="M89" s="472" t="str">
        <f>IFERROR(VLOOKUP(B89,'03. THIẾT BỊ'!$B$1:$S$836,12,0),"")</f>
        <v/>
      </c>
      <c r="N89" s="468" t="str">
        <f>IFERROR(VLOOKUP(B89,'03. THIẾT BỊ'!$B$1:$S$836,13,0),"")</f>
        <v>THACO AGRI</v>
      </c>
      <c r="O89" s="470" t="str">
        <f>IFERROR(VLOOKUP(B89,'03. THIẾT BỊ'!$B$1:$S$836,14,0),"")</f>
        <v/>
      </c>
      <c r="P89" s="468" t="str">
        <f>IFERROR(VLOOKUP(B89,'03. THIẾT BỊ'!$B$1:$S$836,15,0),"")</f>
        <v>CK-CGH</v>
      </c>
      <c r="Q89" s="48">
        <f>IFERROR(VLOOKUP(B89,'03. THIẾT BỊ'!$B$1:$S$836,16,0),"")</f>
        <v>2025</v>
      </c>
      <c r="R89" s="471" t="str">
        <f>IFERROR(VLOOKUP(B89,'03. THIẾT BỊ'!$B$1:$S$836,17,0),"")</f>
        <v>2000x200x2000</v>
      </c>
      <c r="S89" s="468" t="str">
        <f>IFERROR(VLOOKUP(B89,'03. THIẾT BỊ'!$B$1:$S$836,18,0),"")</f>
        <v/>
      </c>
      <c r="T89" s="812"/>
    </row>
    <row r="90" ht="15.0" customHeight="1">
      <c r="A90" s="48">
        <f t="shared" si="2"/>
        <v>52</v>
      </c>
      <c r="B90" s="464" t="s">
        <v>3442</v>
      </c>
      <c r="C90" s="869" t="str">
        <f>IFERROR(VLOOKUP(B90,'03. THIẾT BỊ'!$B$1:$S$836,2,0),"")</f>
        <v/>
      </c>
      <c r="D90" s="470" t="str">
        <f>IFERROR(VLOOKUP(B90,'03. THIẾT BỊ'!$B$1:$S$836,3,0),"")</f>
        <v>A24-GĐH-069</v>
      </c>
      <c r="E90" s="464" t="str">
        <f>IFERROR(VLOOKUP(B90,'03. THIẾT BỊ'!$B$1:$S$836,4,0),"")</f>
        <v>ĐQSD</v>
      </c>
      <c r="F90" s="464" t="str">
        <f>IFERROR(VLOOKUP(B90,'03. THIẾT BỊ'!$B$1:$S$836,5,0),"")</f>
        <v>Gàu định hình đào mương M1.2</v>
      </c>
      <c r="G90" s="80" t="s">
        <v>6423</v>
      </c>
      <c r="H90" s="463" t="str">
        <f>IFERROR(VLOOKUP(B90,'03. THIẾT BỊ'!$B$1:$S$836,7,0),"")</f>
        <v>CGTC LP</v>
      </c>
      <c r="I90" s="474" t="str">
        <f>IFERROR(VLOOKUP(B90,'03. THIẾT BỊ'!$B$1:$S$836,8,0),"")</f>
        <v>19/05/2025</v>
      </c>
      <c r="J90" s="471"/>
      <c r="K90" s="463" t="str">
        <f>IFERROR(VLOOKUP(B90,'03. THIẾT BỊ'!$B$1:$S$836,10,0),"")</f>
        <v>Bình thường</v>
      </c>
      <c r="L90" s="468" t="str">
        <f>IFERROR(VLOOKUP(B90,'03. THIẾT BỊ'!$B$1:$S$836,11,0),"")</f>
        <v>Giao về Ban XDCB</v>
      </c>
      <c r="M90" s="472" t="str">
        <f>IFERROR(VLOOKUP(B90,'03. THIẾT BỊ'!$B$1:$S$836,12,0),"")</f>
        <v/>
      </c>
      <c r="N90" s="468" t="str">
        <f>IFERROR(VLOOKUP(B90,'03. THIẾT BỊ'!$B$1:$S$836,13,0),"")</f>
        <v>THACO AGRI</v>
      </c>
      <c r="O90" s="470" t="str">
        <f>IFERROR(VLOOKUP(B90,'03. THIẾT BỊ'!$B$1:$S$836,14,0),"")</f>
        <v>M1.2</v>
      </c>
      <c r="P90" s="468" t="str">
        <f>IFERROR(VLOOKUP(B90,'03. THIẾT BỊ'!$B$1:$S$836,15,0),"")</f>
        <v>CK-CGH</v>
      </c>
      <c r="Q90" s="48">
        <f>IFERROR(VLOOKUP(B90,'03. THIẾT BỊ'!$B$1:$S$836,16,0),"")</f>
        <v>2025</v>
      </c>
      <c r="R90" s="471" t="str">
        <f>IFERROR(VLOOKUP(B90,'03. THIẾT BỊ'!$B$1:$S$836,17,0),"")</f>
        <v>1200x400x1200</v>
      </c>
      <c r="S90" s="468" t="str">
        <f>IFERROR(VLOOKUP(B90,'03. THIẾT BỊ'!$B$1:$S$836,18,0),"")</f>
        <v/>
      </c>
      <c r="T90" s="812"/>
    </row>
    <row r="91" ht="15.0" customHeight="1">
      <c r="A91" s="48">
        <f t="shared" si="2"/>
        <v>53</v>
      </c>
      <c r="B91" s="464" t="s">
        <v>3445</v>
      </c>
      <c r="C91" s="869" t="str">
        <f>IFERROR(VLOOKUP(B91,'03. THIẾT BỊ'!$B$1:$S$836,2,0),"")</f>
        <v/>
      </c>
      <c r="D91" s="470" t="str">
        <f>IFERROR(VLOOKUP(B91,'03. THIẾT BỊ'!$B$1:$S$836,3,0),"")</f>
        <v>A24-GDH-073</v>
      </c>
      <c r="E91" s="464" t="str">
        <f>IFERROR(VLOOKUP(B91,'03. THIẾT BỊ'!$B$1:$S$836,4,0),"")</f>
        <v>ĐQSD</v>
      </c>
      <c r="F91" s="464" t="str">
        <f>IFERROR(VLOOKUP(B91,'03. THIẾT BỊ'!$B$1:$S$836,5,0),"")</f>
        <v>Gàu định hình đào mương M1.2</v>
      </c>
      <c r="G91" s="80" t="s">
        <v>6423</v>
      </c>
      <c r="H91" s="463" t="str">
        <f>IFERROR(VLOOKUP(B91,'03. THIẾT BỊ'!$B$1:$S$836,7,0),"")</f>
        <v>CGTC LP</v>
      </c>
      <c r="I91" s="474" t="str">
        <f>IFERROR(VLOOKUP(B91,'03. THIẾT BỊ'!$B$1:$S$836,8,0),"")</f>
        <v>31/05/2025</v>
      </c>
      <c r="J91" s="471"/>
      <c r="K91" s="463" t="str">
        <f>IFERROR(VLOOKUP(B91,'03. THIẾT BỊ'!$B$1:$S$836,10,0),"")</f>
        <v>Bình thường</v>
      </c>
      <c r="L91" s="468" t="str">
        <f>IFERROR(VLOOKUP(B91,'03. THIẾT BỊ'!$B$1:$S$836,11,0),"")</f>
        <v>Giao về Ban XDCB</v>
      </c>
      <c r="M91" s="472" t="str">
        <f>IFERROR(VLOOKUP(B91,'03. THIẾT BỊ'!$B$1:$S$836,12,0),"")</f>
        <v/>
      </c>
      <c r="N91" s="468" t="str">
        <f>IFERROR(VLOOKUP(B91,'03. THIẾT BỊ'!$B$1:$S$836,13,0),"")</f>
        <v>THACO AGRI</v>
      </c>
      <c r="O91" s="470" t="str">
        <f>IFERROR(VLOOKUP(B91,'03. THIẾT BỊ'!$B$1:$S$836,14,0),"")</f>
        <v>M1.2</v>
      </c>
      <c r="P91" s="468" t="str">
        <f>IFERROR(VLOOKUP(B91,'03. THIẾT BỊ'!$B$1:$S$836,15,0),"")</f>
        <v>CK-CGH</v>
      </c>
      <c r="Q91" s="48">
        <f>IFERROR(VLOOKUP(B91,'03. THIẾT BỊ'!$B$1:$S$836,16,0),"")</f>
        <v>2025</v>
      </c>
      <c r="R91" s="471" t="str">
        <f>IFERROR(VLOOKUP(B91,'03. THIẾT BỊ'!$B$1:$S$836,17,0),"")</f>
        <v>1200x400x1200</v>
      </c>
      <c r="S91" s="468" t="str">
        <f>IFERROR(VLOOKUP(B91,'03. THIẾT BỊ'!$B$1:$S$836,18,0),"")</f>
        <v/>
      </c>
      <c r="T91" s="812"/>
    </row>
    <row r="92" ht="15.0" customHeight="1">
      <c r="A92" s="48">
        <f t="shared" si="2"/>
        <v>54</v>
      </c>
      <c r="B92" s="464" t="s">
        <v>3447</v>
      </c>
      <c r="C92" s="869" t="str">
        <f>IFERROR(VLOOKUP(B92,'03. THIẾT BỊ'!$B$1:$S$836,2,0),"")</f>
        <v/>
      </c>
      <c r="D92" s="470" t="str">
        <f>IFERROR(VLOOKUP(B92,'03. THIẾT BỊ'!$B$1:$S$836,3,0),"")</f>
        <v>A24-GDH-074</v>
      </c>
      <c r="E92" s="464" t="str">
        <f>IFERROR(VLOOKUP(B92,'03. THIẾT BỊ'!$B$1:$S$836,4,0),"")</f>
        <v>ĐQSD</v>
      </c>
      <c r="F92" s="464" t="str">
        <f>IFERROR(VLOOKUP(B92,'03. THIẾT BỊ'!$B$1:$S$836,5,0),"")</f>
        <v>Gàu định hình đào mương M1.2</v>
      </c>
      <c r="G92" s="80" t="s">
        <v>6423</v>
      </c>
      <c r="H92" s="463" t="str">
        <f>IFERROR(VLOOKUP(B92,'03. THIẾT BỊ'!$B$1:$S$836,7,0),"")</f>
        <v>CGTC LP</v>
      </c>
      <c r="I92" s="474" t="str">
        <f>IFERROR(VLOOKUP(B92,'03. THIẾT BỊ'!$B$1:$S$836,8,0),"")</f>
        <v>31/05/2025</v>
      </c>
      <c r="J92" s="471"/>
      <c r="K92" s="463" t="str">
        <f>IFERROR(VLOOKUP(B92,'03. THIẾT BỊ'!$B$1:$S$836,10,0),"")</f>
        <v>Bình thường</v>
      </c>
      <c r="L92" s="468" t="str">
        <f>IFERROR(VLOOKUP(B92,'03. THIẾT BỊ'!$B$1:$S$836,11,0),"")</f>
        <v>Giao về Ban XDCB</v>
      </c>
      <c r="M92" s="472" t="str">
        <f>IFERROR(VLOOKUP(B92,'03. THIẾT BỊ'!$B$1:$S$836,12,0),"")</f>
        <v/>
      </c>
      <c r="N92" s="468" t="str">
        <f>IFERROR(VLOOKUP(B92,'03. THIẾT BỊ'!$B$1:$S$836,13,0),"")</f>
        <v>THACO AGRI</v>
      </c>
      <c r="O92" s="470" t="str">
        <f>IFERROR(VLOOKUP(B92,'03. THIẾT BỊ'!$B$1:$S$836,14,0),"")</f>
        <v>M1.2</v>
      </c>
      <c r="P92" s="468" t="str">
        <f>IFERROR(VLOOKUP(B92,'03. THIẾT BỊ'!$B$1:$S$836,15,0),"")</f>
        <v>CK-CGH</v>
      </c>
      <c r="Q92" s="48">
        <f>IFERROR(VLOOKUP(B92,'03. THIẾT BỊ'!$B$1:$S$836,16,0),"")</f>
        <v>2025</v>
      </c>
      <c r="R92" s="471" t="str">
        <f>IFERROR(VLOOKUP(B92,'03. THIẾT BỊ'!$B$1:$S$836,17,0),"")</f>
        <v>1200x400x1200</v>
      </c>
      <c r="S92" s="468" t="str">
        <f>IFERROR(VLOOKUP(B92,'03. THIẾT BỊ'!$B$1:$S$836,18,0),"")</f>
        <v/>
      </c>
      <c r="T92" s="812"/>
    </row>
    <row r="93" ht="15.0" customHeight="1">
      <c r="A93" s="48">
        <f t="shared" si="2"/>
        <v>55</v>
      </c>
      <c r="B93" s="464" t="s">
        <v>3449</v>
      </c>
      <c r="C93" s="869" t="str">
        <f>IFERROR(VLOOKUP(B93,'03. THIẾT BỊ'!$B$1:$S$836,2,0),"")</f>
        <v/>
      </c>
      <c r="D93" s="470" t="str">
        <f>IFERROR(VLOOKUP(B93,'03. THIẾT BỊ'!$B$1:$S$836,3,0),"")</f>
        <v>A24-GDH-075</v>
      </c>
      <c r="E93" s="464" t="str">
        <f>IFERROR(VLOOKUP(B93,'03. THIẾT BỊ'!$B$1:$S$836,4,0),"")</f>
        <v>ĐQSD</v>
      </c>
      <c r="F93" s="464" t="str">
        <f>IFERROR(VLOOKUP(B93,'03. THIẾT BỊ'!$B$1:$S$836,5,0),"")</f>
        <v>Gàu định hình đào mương M1.2</v>
      </c>
      <c r="G93" s="80" t="s">
        <v>6423</v>
      </c>
      <c r="H93" s="463" t="str">
        <f>IFERROR(VLOOKUP(B93,'03. THIẾT BỊ'!$B$1:$S$836,7,0),"")</f>
        <v>CGTC LP</v>
      </c>
      <c r="I93" s="474" t="str">
        <f>IFERROR(VLOOKUP(B93,'03. THIẾT BỊ'!$B$1:$S$836,8,0),"")</f>
        <v>31/05/2025</v>
      </c>
      <c r="J93" s="471"/>
      <c r="K93" s="463" t="str">
        <f>IFERROR(VLOOKUP(B93,'03. THIẾT BỊ'!$B$1:$S$836,10,0),"")</f>
        <v>Bình thường</v>
      </c>
      <c r="L93" s="468" t="str">
        <f>IFERROR(VLOOKUP(B93,'03. THIẾT BỊ'!$B$1:$S$836,11,0),"")</f>
        <v>Giao về Ban XDCB</v>
      </c>
      <c r="M93" s="472" t="str">
        <f>IFERROR(VLOOKUP(B93,'03. THIẾT BỊ'!$B$1:$S$836,12,0),"")</f>
        <v/>
      </c>
      <c r="N93" s="468" t="str">
        <f>IFERROR(VLOOKUP(B93,'03. THIẾT BỊ'!$B$1:$S$836,13,0),"")</f>
        <v>THACO AGRI</v>
      </c>
      <c r="O93" s="470" t="str">
        <f>IFERROR(VLOOKUP(B93,'03. THIẾT BỊ'!$B$1:$S$836,14,0),"")</f>
        <v>M1.2</v>
      </c>
      <c r="P93" s="468" t="str">
        <f>IFERROR(VLOOKUP(B93,'03. THIẾT BỊ'!$B$1:$S$836,15,0),"")</f>
        <v>CK-CGH</v>
      </c>
      <c r="Q93" s="48">
        <f>IFERROR(VLOOKUP(B93,'03. THIẾT BỊ'!$B$1:$S$836,16,0),"")</f>
        <v>2025</v>
      </c>
      <c r="R93" s="471" t="str">
        <f>IFERROR(VLOOKUP(B93,'03. THIẾT BỊ'!$B$1:$S$836,17,0),"")</f>
        <v>1200x400x1200</v>
      </c>
      <c r="S93" s="468" t="str">
        <f>IFERROR(VLOOKUP(B93,'03. THIẾT BỊ'!$B$1:$S$836,18,0),"")</f>
        <v/>
      </c>
      <c r="T93" s="812"/>
    </row>
    <row r="94" ht="15.0" customHeight="1">
      <c r="A94" s="48">
        <f t="shared" si="2"/>
        <v>56</v>
      </c>
      <c r="B94" s="464" t="s">
        <v>3451</v>
      </c>
      <c r="C94" s="869" t="str">
        <f>IFERROR(VLOOKUP(B94,'03. THIẾT BỊ'!$B$1:$S$836,2,0),"")</f>
        <v/>
      </c>
      <c r="D94" s="470" t="str">
        <f>IFERROR(VLOOKUP(B94,'03. THIẾT BỊ'!$B$1:$S$836,3,0),"")</f>
        <v>A24-GDH-076</v>
      </c>
      <c r="E94" s="464" t="str">
        <f>IFERROR(VLOOKUP(B94,'03. THIẾT BỊ'!$B$1:$S$836,4,0),"")</f>
        <v>ĐQSD</v>
      </c>
      <c r="F94" s="464" t="str">
        <f>IFERROR(VLOOKUP(B94,'03. THIẾT BỊ'!$B$1:$S$836,5,0),"")</f>
        <v>Gàu định hình đào mương M1.2</v>
      </c>
      <c r="G94" s="80" t="s">
        <v>6423</v>
      </c>
      <c r="H94" s="463" t="str">
        <f>IFERROR(VLOOKUP(B94,'03. THIẾT BỊ'!$B$1:$S$836,7,0),"")</f>
        <v>CGTC LP</v>
      </c>
      <c r="I94" s="474" t="str">
        <f>IFERROR(VLOOKUP(B94,'03. THIẾT BỊ'!$B$1:$S$836,8,0),"")</f>
        <v>31/05/2025</v>
      </c>
      <c r="J94" s="471"/>
      <c r="K94" s="463" t="str">
        <f>IFERROR(VLOOKUP(B94,'03. THIẾT BỊ'!$B$1:$S$836,10,0),"")</f>
        <v>Bình thường</v>
      </c>
      <c r="L94" s="468" t="str">
        <f>IFERROR(VLOOKUP(B94,'03. THIẾT BỊ'!$B$1:$S$836,11,0),"")</f>
        <v>Giao về Ban XDCB</v>
      </c>
      <c r="M94" s="472" t="str">
        <f>IFERROR(VLOOKUP(B94,'03. THIẾT BỊ'!$B$1:$S$836,12,0),"")</f>
        <v/>
      </c>
      <c r="N94" s="468" t="str">
        <f>IFERROR(VLOOKUP(B94,'03. THIẾT BỊ'!$B$1:$S$836,13,0),"")</f>
        <v>THACO AGRI</v>
      </c>
      <c r="O94" s="470" t="str">
        <f>IFERROR(VLOOKUP(B94,'03. THIẾT BỊ'!$B$1:$S$836,14,0),"")</f>
        <v>M1.2</v>
      </c>
      <c r="P94" s="468" t="str">
        <f>IFERROR(VLOOKUP(B94,'03. THIẾT BỊ'!$B$1:$S$836,15,0),"")</f>
        <v>CK-CGH</v>
      </c>
      <c r="Q94" s="48">
        <f>IFERROR(VLOOKUP(B94,'03. THIẾT BỊ'!$B$1:$S$836,16,0),"")</f>
        <v>2025</v>
      </c>
      <c r="R94" s="471" t="str">
        <f>IFERROR(VLOOKUP(B94,'03. THIẾT BỊ'!$B$1:$S$836,17,0),"")</f>
        <v>1200x400x1200</v>
      </c>
      <c r="S94" s="468" t="str">
        <f>IFERROR(VLOOKUP(B94,'03. THIẾT BỊ'!$B$1:$S$836,18,0),"")</f>
        <v/>
      </c>
      <c r="T94" s="812"/>
    </row>
    <row r="95" ht="15.0" customHeight="1">
      <c r="A95" s="48">
        <f t="shared" si="2"/>
        <v>57</v>
      </c>
      <c r="B95" s="464" t="s">
        <v>3337</v>
      </c>
      <c r="C95" s="869" t="str">
        <f>IFERROR(VLOOKUP(B95,'03. THIẾT BỊ'!$B$1:$S$836,2,0),"")</f>
        <v/>
      </c>
      <c r="D95" s="470" t="str">
        <f>IFERROR(VLOOKUP(B95,'03. THIẾT BỊ'!$B$1:$S$836,3,0),"")</f>
        <v>A23-GĐH-091</v>
      </c>
      <c r="E95" s="464" t="str">
        <f>IFERROR(VLOOKUP(B95,'03. THIẾT BỊ'!$B$1:$S$836,4,0),"")</f>
        <v>ĐQSD</v>
      </c>
      <c r="F95" s="464" t="str">
        <f>IFERROR(VLOOKUP(B95,'03. THIẾT BỊ'!$B$1:$S$836,5,0),"")</f>
        <v>Gàu định hình đào mương M1.2</v>
      </c>
      <c r="G95" s="80" t="s">
        <v>6423</v>
      </c>
      <c r="H95" s="463" t="str">
        <f>IFERROR(VLOOKUP(B95,'03. THIẾT BỊ'!$B$1:$S$836,7,0),"")</f>
        <v>CGTC DP</v>
      </c>
      <c r="I95" s="474" t="str">
        <f>IFERROR(VLOOKUP(B95,'03. THIẾT BỊ'!$B$1:$S$836,8,0),"")</f>
        <v>31/05/2025</v>
      </c>
      <c r="J95" s="471"/>
      <c r="K95" s="463" t="str">
        <f>IFERROR(VLOOKUP(B95,'03. THIẾT BỊ'!$B$1:$S$836,10,0),"")</f>
        <v>Bình thường</v>
      </c>
      <c r="L95" s="468" t="str">
        <f>IFERROR(VLOOKUP(B95,'03. THIẾT BỊ'!$B$1:$S$836,11,0),"")</f>
        <v/>
      </c>
      <c r="M95" s="472" t="str">
        <f>IFERROR(VLOOKUP(B95,'03. THIẾT BỊ'!$B$1:$S$836,12,0),"")</f>
        <v/>
      </c>
      <c r="N95" s="468" t="str">
        <f>IFERROR(VLOOKUP(B95,'03. THIẾT BỊ'!$B$1:$S$836,13,0),"")</f>
        <v>THACO AGRI</v>
      </c>
      <c r="O95" s="470" t="str">
        <f>IFERROR(VLOOKUP(B95,'03. THIẾT BỊ'!$B$1:$S$836,14,0),"")</f>
        <v>M1.2</v>
      </c>
      <c r="P95" s="468" t="str">
        <f>IFERROR(VLOOKUP(B95,'03. THIẾT BỊ'!$B$1:$S$836,15,0),"")</f>
        <v>CK-CGH</v>
      </c>
      <c r="Q95" s="48">
        <f>IFERROR(VLOOKUP(B95,'03. THIẾT BỊ'!$B$1:$S$836,16,0),"")</f>
        <v>2025</v>
      </c>
      <c r="R95" s="471" t="str">
        <f>IFERROR(VLOOKUP(B95,'03. THIẾT BỊ'!$B$1:$S$836,17,0),"")</f>
        <v>1200x400x1200</v>
      </c>
      <c r="S95" s="468" t="str">
        <f>IFERROR(VLOOKUP(B95,'03. THIẾT BỊ'!$B$1:$S$836,18,0),"")</f>
        <v/>
      </c>
      <c r="T95" s="812"/>
    </row>
    <row r="96" ht="15.0" customHeight="1">
      <c r="A96" s="48">
        <f t="shared" si="2"/>
        <v>58</v>
      </c>
      <c r="B96" s="464" t="s">
        <v>3342</v>
      </c>
      <c r="C96" s="869" t="str">
        <f>IFERROR(VLOOKUP(B96,'03. THIẾT BỊ'!$B$1:$S$836,2,0),"")</f>
        <v/>
      </c>
      <c r="D96" s="470" t="str">
        <f>IFERROR(VLOOKUP(B96,'03. THIẾT BỊ'!$B$1:$S$836,3,0),"")</f>
        <v>A23-GĐH-092</v>
      </c>
      <c r="E96" s="464" t="str">
        <f>IFERROR(VLOOKUP(B96,'03. THIẾT BỊ'!$B$1:$S$836,4,0),"")</f>
        <v>ĐQSD</v>
      </c>
      <c r="F96" s="464" t="str">
        <f>IFERROR(VLOOKUP(B96,'03. THIẾT BỊ'!$B$1:$S$836,5,0),"")</f>
        <v>Gàu định hình đào mương M1.2</v>
      </c>
      <c r="G96" s="80" t="s">
        <v>6423</v>
      </c>
      <c r="H96" s="463" t="str">
        <f>IFERROR(VLOOKUP(B96,'03. THIẾT BỊ'!$B$1:$S$836,7,0),"")</f>
        <v>CGTC DP</v>
      </c>
      <c r="I96" s="474" t="str">
        <f>IFERROR(VLOOKUP(B96,'03. THIẾT BỊ'!$B$1:$S$836,8,0),"")</f>
        <v>31/05/2025</v>
      </c>
      <c r="J96" s="471"/>
      <c r="K96" s="463" t="str">
        <f>IFERROR(VLOOKUP(B96,'03. THIẾT BỊ'!$B$1:$S$836,10,0),"")</f>
        <v>Bình thường</v>
      </c>
      <c r="L96" s="468" t="str">
        <f>IFERROR(VLOOKUP(B96,'03. THIẾT BỊ'!$B$1:$S$836,11,0),"")</f>
        <v/>
      </c>
      <c r="M96" s="472" t="str">
        <f>IFERROR(VLOOKUP(B96,'03. THIẾT BỊ'!$B$1:$S$836,12,0),"")</f>
        <v/>
      </c>
      <c r="N96" s="468" t="str">
        <f>IFERROR(VLOOKUP(B96,'03. THIẾT BỊ'!$B$1:$S$836,13,0),"")</f>
        <v>THACO AGRI</v>
      </c>
      <c r="O96" s="470" t="str">
        <f>IFERROR(VLOOKUP(B96,'03. THIẾT BỊ'!$B$1:$S$836,14,0),"")</f>
        <v>M1.2</v>
      </c>
      <c r="P96" s="468" t="str">
        <f>IFERROR(VLOOKUP(B96,'03. THIẾT BỊ'!$B$1:$S$836,15,0),"")</f>
        <v>CK-CGH</v>
      </c>
      <c r="Q96" s="48">
        <f>IFERROR(VLOOKUP(B96,'03. THIẾT BỊ'!$B$1:$S$836,16,0),"")</f>
        <v>2025</v>
      </c>
      <c r="R96" s="471" t="str">
        <f>IFERROR(VLOOKUP(B96,'03. THIẾT BỊ'!$B$1:$S$836,17,0),"")</f>
        <v>1200x400x1200</v>
      </c>
      <c r="S96" s="468" t="str">
        <f>IFERROR(VLOOKUP(B96,'03. THIẾT BỊ'!$B$1:$S$836,18,0),"")</f>
        <v/>
      </c>
      <c r="T96" s="812"/>
    </row>
    <row r="97" ht="15.0" customHeight="1">
      <c r="A97" s="48">
        <f t="shared" si="2"/>
        <v>59</v>
      </c>
      <c r="B97" s="464" t="s">
        <v>3453</v>
      </c>
      <c r="C97" s="869" t="str">
        <f>IFERROR(VLOOKUP(B97,'03. THIẾT BỊ'!$B$1:$S$836,2,0),"")</f>
        <v/>
      </c>
      <c r="D97" s="470" t="str">
        <f>IFERROR(VLOOKUP(B97,'03. THIẾT BỊ'!$B$1:$S$836,3,0),"")</f>
        <v>A24-GĐH-083</v>
      </c>
      <c r="E97" s="464" t="str">
        <f>IFERROR(VLOOKUP(B97,'03. THIẾT BỊ'!$B$1:$S$836,4,0),"")</f>
        <v>ĐQSD</v>
      </c>
      <c r="F97" s="464" t="str">
        <f>IFERROR(VLOOKUP(B97,'03. THIẾT BỊ'!$B$1:$S$836,5,0),"")</f>
        <v>Gàu định hình đào mương M1.2</v>
      </c>
      <c r="G97" s="80" t="s">
        <v>6423</v>
      </c>
      <c r="H97" s="463" t="str">
        <f>IFERROR(VLOOKUP(B97,'03. THIẾT BỊ'!$B$1:$S$836,7,0),"")</f>
        <v>CGTC LP</v>
      </c>
      <c r="I97" s="474" t="str">
        <f>IFERROR(VLOOKUP(B97,'03. THIẾT BỊ'!$B$1:$S$836,8,0),"")</f>
        <v>26/01/2026</v>
      </c>
      <c r="J97" s="471"/>
      <c r="K97" s="463" t="str">
        <f>IFERROR(VLOOKUP(B97,'03. THIẾT BỊ'!$B$1:$S$836,10,0),"")</f>
        <v>Bình thường</v>
      </c>
      <c r="L97" s="468" t="str">
        <f>IFERROR(VLOOKUP(B97,'03. THIẾT BỊ'!$B$1:$S$836,11,0),"")</f>
        <v>Giao về Ban XDCB</v>
      </c>
      <c r="M97" s="472" t="str">
        <f>IFERROR(VLOOKUP(B97,'03. THIẾT BỊ'!$B$1:$S$836,12,0),"")</f>
        <v/>
      </c>
      <c r="N97" s="468" t="str">
        <f>IFERROR(VLOOKUP(B97,'03. THIẾT BỊ'!$B$1:$S$836,13,0),"")</f>
        <v/>
      </c>
      <c r="O97" s="470" t="str">
        <f>IFERROR(VLOOKUP(B97,'03. THIẾT BỊ'!$B$1:$S$836,14,0),"")</f>
        <v/>
      </c>
      <c r="P97" s="468" t="str">
        <f>IFERROR(VLOOKUP(B97,'03. THIẾT BỊ'!$B$1:$S$836,15,0),"")</f>
        <v/>
      </c>
      <c r="Q97" s="48" t="str">
        <f>IFERROR(VLOOKUP(B97,'03. THIẾT BỊ'!$B$1:$S$836,16,0),"")</f>
        <v/>
      </c>
      <c r="R97" s="471" t="str">
        <f>IFERROR(VLOOKUP(B97,'03. THIẾT BỊ'!$B$1:$S$836,17,0),"")</f>
        <v/>
      </c>
      <c r="S97" s="468" t="str">
        <f>IFERROR(VLOOKUP(B97,'03. THIẾT BỊ'!$B$1:$S$836,18,0),"")</f>
        <v/>
      </c>
      <c r="T97" s="812"/>
    </row>
    <row r="98" ht="15.0" customHeight="1">
      <c r="A98" s="48">
        <f t="shared" si="2"/>
        <v>60</v>
      </c>
      <c r="B98" s="464" t="s">
        <v>3455</v>
      </c>
      <c r="C98" s="869" t="str">
        <f>IFERROR(VLOOKUP(B98,'03. THIẾT BỊ'!$B$1:$S$836,2,0),"")</f>
        <v/>
      </c>
      <c r="D98" s="470" t="str">
        <f>IFERROR(VLOOKUP(B98,'03. THIẾT BỊ'!$B$1:$S$836,3,0),"")</f>
        <v>A24-GĐH-084</v>
      </c>
      <c r="E98" s="464" t="str">
        <f>IFERROR(VLOOKUP(B98,'03. THIẾT BỊ'!$B$1:$S$836,4,0),"")</f>
        <v>ĐQSD</v>
      </c>
      <c r="F98" s="464" t="str">
        <f>IFERROR(VLOOKUP(B98,'03. THIẾT BỊ'!$B$1:$S$836,5,0),"")</f>
        <v>Gàu định hình đào mương M1.2</v>
      </c>
      <c r="G98" s="80" t="s">
        <v>6423</v>
      </c>
      <c r="H98" s="463" t="str">
        <f>IFERROR(VLOOKUP(B98,'03. THIẾT BỊ'!$B$1:$S$836,7,0),"")</f>
        <v>CGTC LP</v>
      </c>
      <c r="I98" s="474" t="str">
        <f>IFERROR(VLOOKUP(B98,'03. THIẾT BỊ'!$B$1:$S$836,8,0),"")</f>
        <v>26/01/2026</v>
      </c>
      <c r="J98" s="471"/>
      <c r="K98" s="463" t="str">
        <f>IFERROR(VLOOKUP(B98,'03. THIẾT BỊ'!$B$1:$S$836,10,0),"")</f>
        <v>Bình thường</v>
      </c>
      <c r="L98" s="468" t="str">
        <f>IFERROR(VLOOKUP(B98,'03. THIẾT BỊ'!$B$1:$S$836,11,0),"")</f>
        <v>Giao về Ban XDCB</v>
      </c>
      <c r="M98" s="472" t="str">
        <f>IFERROR(VLOOKUP(B98,'03. THIẾT BỊ'!$B$1:$S$836,12,0),"")</f>
        <v/>
      </c>
      <c r="N98" s="468" t="str">
        <f>IFERROR(VLOOKUP(B98,'03. THIẾT BỊ'!$B$1:$S$836,13,0),"")</f>
        <v/>
      </c>
      <c r="O98" s="470" t="str">
        <f>IFERROR(VLOOKUP(B98,'03. THIẾT BỊ'!$B$1:$S$836,14,0),"")</f>
        <v/>
      </c>
      <c r="P98" s="468" t="str">
        <f>IFERROR(VLOOKUP(B98,'03. THIẾT BỊ'!$B$1:$S$836,15,0),"")</f>
        <v/>
      </c>
      <c r="Q98" s="48" t="str">
        <f>IFERROR(VLOOKUP(B98,'03. THIẾT BỊ'!$B$1:$S$836,16,0),"")</f>
        <v/>
      </c>
      <c r="R98" s="471" t="str">
        <f>IFERROR(VLOOKUP(B98,'03. THIẾT BỊ'!$B$1:$S$836,17,0),"")</f>
        <v/>
      </c>
      <c r="S98" s="468" t="str">
        <f>IFERROR(VLOOKUP(B98,'03. THIẾT BỊ'!$B$1:$S$836,18,0),"")</f>
        <v/>
      </c>
      <c r="T98" s="812"/>
    </row>
    <row r="99" ht="15.0" customHeight="1">
      <c r="A99" s="48">
        <f t="shared" si="2"/>
        <v>61</v>
      </c>
      <c r="B99" s="464" t="s">
        <v>3457</v>
      </c>
      <c r="C99" s="869" t="str">
        <f>IFERROR(VLOOKUP(B99,'03. THIẾT BỊ'!$B$1:$S$836,2,0),"")</f>
        <v/>
      </c>
      <c r="D99" s="470" t="str">
        <f>IFERROR(VLOOKUP(B99,'03. THIẾT BỊ'!$B$1:$S$836,3,0),"")</f>
        <v>A24-GĐH-085</v>
      </c>
      <c r="E99" s="464" t="str">
        <f>IFERROR(VLOOKUP(B99,'03. THIẾT BỊ'!$B$1:$S$836,4,0),"")</f>
        <v>ĐQSD</v>
      </c>
      <c r="F99" s="464" t="str">
        <f>IFERROR(VLOOKUP(B99,'03. THIẾT BỊ'!$B$1:$S$836,5,0),"")</f>
        <v>Gàu định hình đào mương M1.2</v>
      </c>
      <c r="G99" s="80" t="s">
        <v>6423</v>
      </c>
      <c r="H99" s="463" t="str">
        <f>IFERROR(VLOOKUP(B99,'03. THIẾT BỊ'!$B$1:$S$836,7,0),"")</f>
        <v>CGTC LP</v>
      </c>
      <c r="I99" s="474" t="str">
        <f>IFERROR(VLOOKUP(B99,'03. THIẾT BỊ'!$B$1:$S$836,8,0),"")</f>
        <v>26/01/2026</v>
      </c>
      <c r="J99" s="471"/>
      <c r="K99" s="463" t="str">
        <f>IFERROR(VLOOKUP(B99,'03. THIẾT BỊ'!$B$1:$S$836,10,0),"")</f>
        <v>Bình thường</v>
      </c>
      <c r="L99" s="468" t="str">
        <f>IFERROR(VLOOKUP(B99,'03. THIẾT BỊ'!$B$1:$S$836,11,0),"")</f>
        <v>Giao về Ban XDCB</v>
      </c>
      <c r="M99" s="472" t="str">
        <f>IFERROR(VLOOKUP(B99,'03. THIẾT BỊ'!$B$1:$S$836,12,0),"")</f>
        <v/>
      </c>
      <c r="N99" s="468" t="str">
        <f>IFERROR(VLOOKUP(B99,'03. THIẾT BỊ'!$B$1:$S$836,13,0),"")</f>
        <v/>
      </c>
      <c r="O99" s="470" t="str">
        <f>IFERROR(VLOOKUP(B99,'03. THIẾT BỊ'!$B$1:$S$836,14,0),"")</f>
        <v/>
      </c>
      <c r="P99" s="468" t="str">
        <f>IFERROR(VLOOKUP(B99,'03. THIẾT BỊ'!$B$1:$S$836,15,0),"")</f>
        <v/>
      </c>
      <c r="Q99" s="48" t="str">
        <f>IFERROR(VLOOKUP(B99,'03. THIẾT BỊ'!$B$1:$S$836,16,0),"")</f>
        <v/>
      </c>
      <c r="R99" s="471" t="str">
        <f>IFERROR(VLOOKUP(B99,'03. THIẾT BỊ'!$B$1:$S$836,17,0),"")</f>
        <v/>
      </c>
      <c r="S99" s="468" t="str">
        <f>IFERROR(VLOOKUP(B99,'03. THIẾT BỊ'!$B$1:$S$836,18,0),"")</f>
        <v/>
      </c>
      <c r="T99" s="812"/>
    </row>
    <row r="100" ht="15.0" customHeight="1">
      <c r="A100" s="48">
        <f t="shared" si="2"/>
        <v>62</v>
      </c>
      <c r="B100" s="464" t="s">
        <v>3459</v>
      </c>
      <c r="C100" s="869" t="str">
        <f>IFERROR(VLOOKUP(B100,'03. THIẾT BỊ'!$B$1:$S$836,2,0),"")</f>
        <v/>
      </c>
      <c r="D100" s="470" t="str">
        <f>IFERROR(VLOOKUP(B100,'03. THIẾT BỊ'!$B$1:$S$836,3,0),"")</f>
        <v>A24-GĐH-086</v>
      </c>
      <c r="E100" s="464" t="str">
        <f>IFERROR(VLOOKUP(B100,'03. THIẾT BỊ'!$B$1:$S$836,4,0),"")</f>
        <v>ĐQSD</v>
      </c>
      <c r="F100" s="464" t="str">
        <f>IFERROR(VLOOKUP(B100,'03. THIẾT BỊ'!$B$1:$S$836,5,0),"")</f>
        <v>Gàu định hình đào mương M1.2</v>
      </c>
      <c r="G100" s="80" t="s">
        <v>6423</v>
      </c>
      <c r="H100" s="463" t="str">
        <f>IFERROR(VLOOKUP(B100,'03. THIẾT BỊ'!$B$1:$S$836,7,0),"")</f>
        <v>CGTC LP</v>
      </c>
      <c r="I100" s="474" t="str">
        <f>IFERROR(VLOOKUP(B100,'03. THIẾT BỊ'!$B$1:$S$836,8,0),"")</f>
        <v>26/01/2026</v>
      </c>
      <c r="J100" s="471"/>
      <c r="K100" s="463" t="str">
        <f>IFERROR(VLOOKUP(B100,'03. THIẾT BỊ'!$B$1:$S$836,10,0),"")</f>
        <v>Bình thường</v>
      </c>
      <c r="L100" s="468" t="str">
        <f>IFERROR(VLOOKUP(B100,'03. THIẾT BỊ'!$B$1:$S$836,11,0),"")</f>
        <v>Giao về Ban XDCB</v>
      </c>
      <c r="M100" s="472" t="str">
        <f>IFERROR(VLOOKUP(B100,'03. THIẾT BỊ'!$B$1:$S$836,12,0),"")</f>
        <v/>
      </c>
      <c r="N100" s="468" t="str">
        <f>IFERROR(VLOOKUP(B100,'03. THIẾT BỊ'!$B$1:$S$836,13,0),"")</f>
        <v/>
      </c>
      <c r="O100" s="470" t="str">
        <f>IFERROR(VLOOKUP(B100,'03. THIẾT BỊ'!$B$1:$S$836,14,0),"")</f>
        <v/>
      </c>
      <c r="P100" s="468" t="str">
        <f>IFERROR(VLOOKUP(B100,'03. THIẾT BỊ'!$B$1:$S$836,15,0),"")</f>
        <v/>
      </c>
      <c r="Q100" s="48" t="str">
        <f>IFERROR(VLOOKUP(B100,'03. THIẾT BỊ'!$B$1:$S$836,16,0),"")</f>
        <v/>
      </c>
      <c r="R100" s="471" t="str">
        <f>IFERROR(VLOOKUP(B100,'03. THIẾT BỊ'!$B$1:$S$836,17,0),"")</f>
        <v/>
      </c>
      <c r="S100" s="468" t="str">
        <f>IFERROR(VLOOKUP(B100,'03. THIẾT BỊ'!$B$1:$S$836,18,0),"")</f>
        <v/>
      </c>
      <c r="T100" s="812"/>
    </row>
    <row r="101" ht="15.0" customHeight="1">
      <c r="A101" s="48">
        <f t="shared" si="2"/>
        <v>63</v>
      </c>
      <c r="B101" s="464" t="s">
        <v>3461</v>
      </c>
      <c r="C101" s="869" t="str">
        <f>IFERROR(VLOOKUP(B101,'03. THIẾT BỊ'!$B$1:$S$836,2,0),"")</f>
        <v/>
      </c>
      <c r="D101" s="470" t="str">
        <f>IFERROR(VLOOKUP(B101,'03. THIẾT BỊ'!$B$1:$S$836,3,0),"")</f>
        <v>A24-GĐH-087</v>
      </c>
      <c r="E101" s="464" t="str">
        <f>IFERROR(VLOOKUP(B101,'03. THIẾT BỊ'!$B$1:$S$836,4,0),"")</f>
        <v>ĐQSD</v>
      </c>
      <c r="F101" s="464" t="str">
        <f>IFERROR(VLOOKUP(B101,'03. THIẾT BỊ'!$B$1:$S$836,5,0),"")</f>
        <v>Gàu định hình đào mương M1.2</v>
      </c>
      <c r="G101" s="80" t="s">
        <v>6423</v>
      </c>
      <c r="H101" s="463" t="str">
        <f>IFERROR(VLOOKUP(B101,'03. THIẾT BỊ'!$B$1:$S$836,7,0),"")</f>
        <v>CGTC LP</v>
      </c>
      <c r="I101" s="474" t="str">
        <f>IFERROR(VLOOKUP(B101,'03. THIẾT BỊ'!$B$1:$S$836,8,0),"")</f>
        <v>26/01/2026</v>
      </c>
      <c r="J101" s="471"/>
      <c r="K101" s="463" t="str">
        <f>IFERROR(VLOOKUP(B101,'03. THIẾT BỊ'!$B$1:$S$836,10,0),"")</f>
        <v>Bình thường</v>
      </c>
      <c r="L101" s="468" t="str">
        <f>IFERROR(VLOOKUP(B101,'03. THIẾT BỊ'!$B$1:$S$836,11,0),"")</f>
        <v>Giao về Ban XDCB</v>
      </c>
      <c r="M101" s="472" t="str">
        <f>IFERROR(VLOOKUP(B101,'03. THIẾT BỊ'!$B$1:$S$836,12,0),"")</f>
        <v/>
      </c>
      <c r="N101" s="468" t="str">
        <f>IFERROR(VLOOKUP(B101,'03. THIẾT BỊ'!$B$1:$S$836,13,0),"")</f>
        <v/>
      </c>
      <c r="O101" s="470" t="str">
        <f>IFERROR(VLOOKUP(B101,'03. THIẾT BỊ'!$B$1:$S$836,14,0),"")</f>
        <v/>
      </c>
      <c r="P101" s="468" t="str">
        <f>IFERROR(VLOOKUP(B101,'03. THIẾT BỊ'!$B$1:$S$836,15,0),"")</f>
        <v/>
      </c>
      <c r="Q101" s="48" t="str">
        <f>IFERROR(VLOOKUP(B101,'03. THIẾT BỊ'!$B$1:$S$836,16,0),"")</f>
        <v/>
      </c>
      <c r="R101" s="471" t="str">
        <f>IFERROR(VLOOKUP(B101,'03. THIẾT BỊ'!$B$1:$S$836,17,0),"")</f>
        <v/>
      </c>
      <c r="S101" s="468" t="str">
        <f>IFERROR(VLOOKUP(B101,'03. THIẾT BỊ'!$B$1:$S$836,18,0),"")</f>
        <v/>
      </c>
      <c r="T101" s="812"/>
    </row>
    <row r="102" ht="15.0" customHeight="1">
      <c r="A102" s="48">
        <f t="shared" si="2"/>
        <v>64</v>
      </c>
      <c r="B102" s="464" t="s">
        <v>3463</v>
      </c>
      <c r="C102" s="869" t="str">
        <f>IFERROR(VLOOKUP(B102,'03. THIẾT BỊ'!$B$1:$S$836,2,0),"")</f>
        <v/>
      </c>
      <c r="D102" s="470" t="str">
        <f>IFERROR(VLOOKUP(B102,'03. THIẾT BỊ'!$B$1:$S$836,3,0),"")</f>
        <v>A24-GĐH-088</v>
      </c>
      <c r="E102" s="464" t="str">
        <f>IFERROR(VLOOKUP(B102,'03. THIẾT BỊ'!$B$1:$S$836,4,0),"")</f>
        <v>ĐQSD</v>
      </c>
      <c r="F102" s="464" t="str">
        <f>IFERROR(VLOOKUP(B102,'03. THIẾT BỊ'!$B$1:$S$836,5,0),"")</f>
        <v>Gàu định hình đào mương M1.2</v>
      </c>
      <c r="G102" s="80" t="s">
        <v>6423</v>
      </c>
      <c r="H102" s="463" t="str">
        <f>IFERROR(VLOOKUP(B102,'03. THIẾT BỊ'!$B$1:$S$836,7,0),"")</f>
        <v>CGTC LP</v>
      </c>
      <c r="I102" s="474" t="str">
        <f>IFERROR(VLOOKUP(B102,'03. THIẾT BỊ'!$B$1:$S$836,8,0),"")</f>
        <v>26/01/2026</v>
      </c>
      <c r="J102" s="471"/>
      <c r="K102" s="463" t="str">
        <f>IFERROR(VLOOKUP(B102,'03. THIẾT BỊ'!$B$1:$S$836,10,0),"")</f>
        <v>Bình thường</v>
      </c>
      <c r="L102" s="468" t="str">
        <f>IFERROR(VLOOKUP(B102,'03. THIẾT BỊ'!$B$1:$S$836,11,0),"")</f>
        <v>Giao về Ban XDCB</v>
      </c>
      <c r="M102" s="472" t="str">
        <f>IFERROR(VLOOKUP(B102,'03. THIẾT BỊ'!$B$1:$S$836,12,0),"")</f>
        <v/>
      </c>
      <c r="N102" s="468" t="str">
        <f>IFERROR(VLOOKUP(B102,'03. THIẾT BỊ'!$B$1:$S$836,13,0),"")</f>
        <v/>
      </c>
      <c r="O102" s="470" t="str">
        <f>IFERROR(VLOOKUP(B102,'03. THIẾT BỊ'!$B$1:$S$836,14,0),"")</f>
        <v/>
      </c>
      <c r="P102" s="468" t="str">
        <f>IFERROR(VLOOKUP(B102,'03. THIẾT BỊ'!$B$1:$S$836,15,0),"")</f>
        <v/>
      </c>
      <c r="Q102" s="48" t="str">
        <f>IFERROR(VLOOKUP(B102,'03. THIẾT BỊ'!$B$1:$S$836,16,0),"")</f>
        <v/>
      </c>
      <c r="R102" s="471" t="str">
        <f>IFERROR(VLOOKUP(B102,'03. THIẾT BỊ'!$B$1:$S$836,17,0),"")</f>
        <v/>
      </c>
      <c r="S102" s="468" t="str">
        <f>IFERROR(VLOOKUP(B102,'03. THIẾT BỊ'!$B$1:$S$836,18,0),"")</f>
        <v/>
      </c>
      <c r="T102" s="812"/>
    </row>
    <row r="103" ht="15.0" customHeight="1">
      <c r="A103" s="48">
        <f t="shared" si="2"/>
        <v>65</v>
      </c>
      <c r="B103" s="464" t="s">
        <v>3465</v>
      </c>
      <c r="C103" s="869" t="str">
        <f>IFERROR(VLOOKUP(B103,'03. THIẾT BỊ'!$B$1:$S$836,2,0),"")</f>
        <v/>
      </c>
      <c r="D103" s="470" t="str">
        <f>IFERROR(VLOOKUP(B103,'03. THIẾT BỊ'!$B$1:$S$836,3,0),"")</f>
        <v>A24-GĐH-089</v>
      </c>
      <c r="E103" s="464" t="str">
        <f>IFERROR(VLOOKUP(B103,'03. THIẾT BỊ'!$B$1:$S$836,4,0),"")</f>
        <v>ĐQSD</v>
      </c>
      <c r="F103" s="464" t="str">
        <f>IFERROR(VLOOKUP(B103,'03. THIẾT BỊ'!$B$1:$S$836,5,0),"")</f>
        <v>Gàu định hình đào mương M1.2</v>
      </c>
      <c r="G103" s="80" t="s">
        <v>6423</v>
      </c>
      <c r="H103" s="463" t="str">
        <f>IFERROR(VLOOKUP(B103,'03. THIẾT BỊ'!$B$1:$S$836,7,0),"")</f>
        <v>CGTC LP</v>
      </c>
      <c r="I103" s="474" t="str">
        <f>IFERROR(VLOOKUP(B103,'03. THIẾT BỊ'!$B$1:$S$836,8,0),"")</f>
        <v>26/01/2026</v>
      </c>
      <c r="J103" s="471"/>
      <c r="K103" s="463" t="str">
        <f>IFERROR(VLOOKUP(B103,'03. THIẾT BỊ'!$B$1:$S$836,10,0),"")</f>
        <v>Bình thường</v>
      </c>
      <c r="L103" s="468" t="str">
        <f>IFERROR(VLOOKUP(B103,'03. THIẾT BỊ'!$B$1:$S$836,11,0),"")</f>
        <v>Giao về Ban XDCB</v>
      </c>
      <c r="M103" s="472" t="str">
        <f>IFERROR(VLOOKUP(B103,'03. THIẾT BỊ'!$B$1:$S$836,12,0),"")</f>
        <v/>
      </c>
      <c r="N103" s="468" t="str">
        <f>IFERROR(VLOOKUP(B103,'03. THIẾT BỊ'!$B$1:$S$836,13,0),"")</f>
        <v/>
      </c>
      <c r="O103" s="470" t="str">
        <f>IFERROR(VLOOKUP(B103,'03. THIẾT BỊ'!$B$1:$S$836,14,0),"")</f>
        <v/>
      </c>
      <c r="P103" s="468" t="str">
        <f>IFERROR(VLOOKUP(B103,'03. THIẾT BỊ'!$B$1:$S$836,15,0),"")</f>
        <v/>
      </c>
      <c r="Q103" s="48" t="str">
        <f>IFERROR(VLOOKUP(B103,'03. THIẾT BỊ'!$B$1:$S$836,16,0),"")</f>
        <v/>
      </c>
      <c r="R103" s="471" t="str">
        <f>IFERROR(VLOOKUP(B103,'03. THIẾT BỊ'!$B$1:$S$836,17,0),"")</f>
        <v/>
      </c>
      <c r="S103" s="468" t="str">
        <f>IFERROR(VLOOKUP(B103,'03. THIẾT BỊ'!$B$1:$S$836,18,0),"")</f>
        <v/>
      </c>
      <c r="T103" s="812"/>
    </row>
    <row r="104" ht="15.0" customHeight="1">
      <c r="A104" s="48">
        <f t="shared" si="2"/>
        <v>66</v>
      </c>
      <c r="B104" s="464" t="s">
        <v>3344</v>
      </c>
      <c r="C104" s="869" t="str">
        <f>IFERROR(VLOOKUP(B104,'03. THIẾT BỊ'!$B$1:$S$836,2,0),"")</f>
        <v/>
      </c>
      <c r="D104" s="470" t="str">
        <f>IFERROR(VLOOKUP(B104,'03. THIẾT BỊ'!$B$1:$S$836,3,0),"")</f>
        <v>A23-GĐH-093</v>
      </c>
      <c r="E104" s="464" t="str">
        <f>IFERROR(VLOOKUP(B104,'03. THIẾT BỊ'!$B$1:$S$836,4,0),"")</f>
        <v>ĐQSD</v>
      </c>
      <c r="F104" s="464" t="str">
        <f>IFERROR(VLOOKUP(B104,'03. THIẾT BỊ'!$B$1:$S$836,5,0),"")</f>
        <v>Gàu định hình đào mương M1</v>
      </c>
      <c r="G104" s="80" t="s">
        <v>6423</v>
      </c>
      <c r="H104" s="463" t="str">
        <f>IFERROR(VLOOKUP(B104,'03. THIẾT BỊ'!$B$1:$S$836,7,0),"")</f>
        <v>CGTC DP</v>
      </c>
      <c r="I104" s="474" t="str">
        <f>IFERROR(VLOOKUP(B104,'03. THIẾT BỊ'!$B$1:$S$836,8,0),"")</f>
        <v>30/01/2026</v>
      </c>
      <c r="J104" s="471"/>
      <c r="K104" s="463" t="str">
        <f>IFERROR(VLOOKUP(B104,'03. THIẾT BỊ'!$B$1:$S$836,10,0),"")</f>
        <v>Bình thường</v>
      </c>
      <c r="L104" s="468" t="str">
        <f>IFERROR(VLOOKUP(B104,'03. THIẾT BỊ'!$B$1:$S$836,11,0),"")</f>
        <v/>
      </c>
      <c r="M104" s="472" t="str">
        <f>IFERROR(VLOOKUP(B104,'03. THIẾT BỊ'!$B$1:$S$836,12,0),"")</f>
        <v/>
      </c>
      <c r="N104" s="468" t="str">
        <f>IFERROR(VLOOKUP(B104,'03. THIẾT BỊ'!$B$1:$S$836,13,0),"")</f>
        <v>THACO AGRI</v>
      </c>
      <c r="O104" s="470" t="str">
        <f>IFERROR(VLOOKUP(B104,'03. THIẾT BỊ'!$B$1:$S$836,14,0),"")</f>
        <v>M1.2</v>
      </c>
      <c r="P104" s="468" t="str">
        <f>IFERROR(VLOOKUP(B104,'03. THIẾT BỊ'!$B$1:$S$836,15,0),"")</f>
        <v>CK-CGH</v>
      </c>
      <c r="Q104" s="48">
        <f>IFERROR(VLOOKUP(B104,'03. THIẾT BỊ'!$B$1:$S$836,16,0),"")</f>
        <v>2025</v>
      </c>
      <c r="R104" s="471" t="str">
        <f>IFERROR(VLOOKUP(B104,'03. THIẾT BỊ'!$B$1:$S$836,17,0),"")</f>
        <v>1200x400x1200</v>
      </c>
      <c r="S104" s="468" t="str">
        <f>IFERROR(VLOOKUP(B104,'03. THIẾT BỊ'!$B$1:$S$836,18,0),"")</f>
        <v/>
      </c>
      <c r="T104" s="812"/>
    </row>
    <row r="105" ht="15.0" customHeight="1">
      <c r="A105" s="48">
        <f t="shared" si="2"/>
        <v>67</v>
      </c>
      <c r="B105" s="464" t="s">
        <v>3348</v>
      </c>
      <c r="C105" s="869" t="str">
        <f>IFERROR(VLOOKUP(B105,'03. THIẾT BỊ'!$B$1:$S$836,2,0),"")</f>
        <v/>
      </c>
      <c r="D105" s="470" t="str">
        <f>IFERROR(VLOOKUP(B105,'03. THIẾT BỊ'!$B$1:$S$836,3,0),"")</f>
        <v>A23-GĐH-094</v>
      </c>
      <c r="E105" s="464" t="str">
        <f>IFERROR(VLOOKUP(B105,'03. THIẾT BỊ'!$B$1:$S$836,4,0),"")</f>
        <v>ĐQSD</v>
      </c>
      <c r="F105" s="464" t="str">
        <f>IFERROR(VLOOKUP(B105,'03. THIẾT BỊ'!$B$1:$S$836,5,0),"")</f>
        <v>Gàu định hình đào mương M1</v>
      </c>
      <c r="G105" s="80" t="s">
        <v>6423</v>
      </c>
      <c r="H105" s="463" t="str">
        <f>IFERROR(VLOOKUP(B105,'03. THIẾT BỊ'!$B$1:$S$836,7,0),"")</f>
        <v>CGTC DP</v>
      </c>
      <c r="I105" s="474" t="str">
        <f>IFERROR(VLOOKUP(B105,'03. THIẾT BỊ'!$B$1:$S$836,8,0),"")</f>
        <v>30/01/2026</v>
      </c>
      <c r="J105" s="471"/>
      <c r="K105" s="463" t="str">
        <f>IFERROR(VLOOKUP(B105,'03. THIẾT BỊ'!$B$1:$S$836,10,0),"")</f>
        <v>Bình thường</v>
      </c>
      <c r="L105" s="468" t="str">
        <f>IFERROR(VLOOKUP(B105,'03. THIẾT BỊ'!$B$1:$S$836,11,0),"")</f>
        <v/>
      </c>
      <c r="M105" s="472" t="str">
        <f>IFERROR(VLOOKUP(B105,'03. THIẾT BỊ'!$B$1:$S$836,12,0),"")</f>
        <v/>
      </c>
      <c r="N105" s="468" t="str">
        <f>IFERROR(VLOOKUP(B105,'03. THIẾT BỊ'!$B$1:$S$836,13,0),"")</f>
        <v>THACO AGRI</v>
      </c>
      <c r="O105" s="470" t="str">
        <f>IFERROR(VLOOKUP(B105,'03. THIẾT BỊ'!$B$1:$S$836,14,0),"")</f>
        <v>M1.2</v>
      </c>
      <c r="P105" s="468" t="str">
        <f>IFERROR(VLOOKUP(B105,'03. THIẾT BỊ'!$B$1:$S$836,15,0),"")</f>
        <v>CK-CGH</v>
      </c>
      <c r="Q105" s="48">
        <f>IFERROR(VLOOKUP(B105,'03. THIẾT BỊ'!$B$1:$S$836,16,0),"")</f>
        <v>2025</v>
      </c>
      <c r="R105" s="471" t="str">
        <f>IFERROR(VLOOKUP(B105,'03. THIẾT BỊ'!$B$1:$S$836,17,0),"")</f>
        <v>1200x400x1200</v>
      </c>
      <c r="S105" s="468" t="str">
        <f>IFERROR(VLOOKUP(B105,'03. THIẾT BỊ'!$B$1:$S$836,18,0),"")</f>
        <v/>
      </c>
      <c r="T105" s="812"/>
    </row>
    <row r="106" ht="15.0" customHeight="1">
      <c r="A106" s="48">
        <f>A94+1</f>
        <v>57</v>
      </c>
      <c r="B106" s="464" t="s">
        <v>3962</v>
      </c>
      <c r="C106" s="869" t="str">
        <f>IFERROR(VLOOKUP(B106,'03. THIẾT BỊ'!$B$1:$S$836,2,0),"")</f>
        <v/>
      </c>
      <c r="D106" s="470" t="str">
        <f>IFERROR(VLOOKUP(B106,'03. THIẾT BỊ'!$B$1:$S$836,3,0),"")</f>
        <v>A23-GĐH-083</v>
      </c>
      <c r="E106" s="464" t="str">
        <f>IFERROR(VLOOKUP(B106,'03. THIẾT BỊ'!$B$1:$S$836,4,0),"")</f>
        <v>ĐQSD</v>
      </c>
      <c r="F106" s="464" t="str">
        <f>IFERROR(VLOOKUP(B106,'03. THIẾT BỊ'!$B$1:$S$836,5,0),"")</f>
        <v>Gàu định hình đào mương thoát nước</v>
      </c>
      <c r="G106" s="80" t="s">
        <v>6423</v>
      </c>
      <c r="H106" s="463" t="str">
        <f>IFERROR(VLOOKUP(B106,'03. THIẾT BỊ'!$B$1:$S$836,7,0),"")</f>
        <v>XN Chuối DP1</v>
      </c>
      <c r="I106" s="474" t="str">
        <f>IFERROR(VLOOKUP(B106,'03. THIẾT BỊ'!$B$1:$S$836,8,0),"")</f>
        <v>19/05/2025</v>
      </c>
      <c r="J106" s="471"/>
      <c r="K106" s="463" t="str">
        <f>IFERROR(VLOOKUP(B106,'03. THIẾT BỊ'!$B$1:$S$836,10,0),"")</f>
        <v>Bình thường</v>
      </c>
      <c r="L106" s="468" t="str">
        <f>IFERROR(VLOOKUP(B106,'03. THIẾT BỊ'!$B$1:$S$836,11,0),"")</f>
        <v/>
      </c>
      <c r="M106" s="472" t="str">
        <f>IFERROR(VLOOKUP(B106,'03. THIẾT BỊ'!$B$1:$S$836,12,0),"")</f>
        <v>Gia công mới</v>
      </c>
      <c r="N106" s="468" t="str">
        <f>IFERROR(VLOOKUP(B106,'03. THIẾT BỊ'!$B$1:$S$836,13,0),"")</f>
        <v>THACO AGRI</v>
      </c>
      <c r="O106" s="470" t="str">
        <f>IFERROR(VLOOKUP(B106,'03. THIẾT BỊ'!$B$1:$S$836,14,0),"")</f>
        <v/>
      </c>
      <c r="P106" s="468" t="str">
        <f>IFERROR(VLOOKUP(B106,'03. THIẾT BỊ'!$B$1:$S$836,15,0),"")</f>
        <v>CK-CGH</v>
      </c>
      <c r="Q106" s="48">
        <f>IFERROR(VLOOKUP(B106,'03. THIẾT BỊ'!$B$1:$S$836,16,0),"")</f>
        <v>2025</v>
      </c>
      <c r="R106" s="471" t="str">
        <f>IFERROR(VLOOKUP(B106,'03. THIẾT BỊ'!$B$1:$S$836,17,0),"")</f>
        <v>350x200x400</v>
      </c>
      <c r="S106" s="468" t="str">
        <f>IFERROR(VLOOKUP(B106,'03. THIẾT BỊ'!$B$1:$S$836,18,0),"")</f>
        <v/>
      </c>
      <c r="T106" s="807"/>
    </row>
    <row r="107" ht="15.0" customHeight="1">
      <c r="A107" s="48">
        <f t="shared" ref="A107:A135" si="3">A106+1</f>
        <v>58</v>
      </c>
      <c r="B107" s="464" t="s">
        <v>3964</v>
      </c>
      <c r="C107" s="869" t="str">
        <f>IFERROR(VLOOKUP(B107,'03. THIẾT BỊ'!$B$1:$S$836,2,0),"")</f>
        <v/>
      </c>
      <c r="D107" s="470" t="str">
        <f>IFERROR(VLOOKUP(B107,'03. THIẾT BỊ'!$B$1:$S$836,3,0),"")</f>
        <v>A23-GĐH-084</v>
      </c>
      <c r="E107" s="464" t="str">
        <f>IFERROR(VLOOKUP(B107,'03. THIẾT BỊ'!$B$1:$S$836,4,0),"")</f>
        <v>ĐQSD</v>
      </c>
      <c r="F107" s="464" t="str">
        <f>IFERROR(VLOOKUP(B107,'03. THIẾT BỊ'!$B$1:$S$836,5,0),"")</f>
        <v>Gàu định hình đào mương thoát nước</v>
      </c>
      <c r="G107" s="80" t="s">
        <v>6423</v>
      </c>
      <c r="H107" s="463" t="str">
        <f>IFERROR(VLOOKUP(B107,'03. THIẾT BỊ'!$B$1:$S$836,7,0),"")</f>
        <v>XN Chuối DP1</v>
      </c>
      <c r="I107" s="474" t="str">
        <f>IFERROR(VLOOKUP(B107,'03. THIẾT BỊ'!$B$1:$S$836,8,0),"")</f>
        <v>19/05/2025</v>
      </c>
      <c r="J107" s="471"/>
      <c r="K107" s="463" t="str">
        <f>IFERROR(VLOOKUP(B107,'03. THIẾT BỊ'!$B$1:$S$836,10,0),"")</f>
        <v>Bình thường</v>
      </c>
      <c r="L107" s="468" t="str">
        <f>IFERROR(VLOOKUP(B107,'03. THIẾT BỊ'!$B$1:$S$836,11,0),"")</f>
        <v/>
      </c>
      <c r="M107" s="472" t="str">
        <f>IFERROR(VLOOKUP(B107,'03. THIẾT BỊ'!$B$1:$S$836,12,0),"")</f>
        <v>Gia công mới</v>
      </c>
      <c r="N107" s="468" t="str">
        <f>IFERROR(VLOOKUP(B107,'03. THIẾT BỊ'!$B$1:$S$836,13,0),"")</f>
        <v>THACO AGRI</v>
      </c>
      <c r="O107" s="470" t="str">
        <f>IFERROR(VLOOKUP(B107,'03. THIẾT BỊ'!$B$1:$S$836,14,0),"")</f>
        <v/>
      </c>
      <c r="P107" s="468" t="str">
        <f>IFERROR(VLOOKUP(B107,'03. THIẾT BỊ'!$B$1:$S$836,15,0),"")</f>
        <v>CK-CGH</v>
      </c>
      <c r="Q107" s="48">
        <f>IFERROR(VLOOKUP(B107,'03. THIẾT BỊ'!$B$1:$S$836,16,0),"")</f>
        <v>2025</v>
      </c>
      <c r="R107" s="471" t="str">
        <f>IFERROR(VLOOKUP(B107,'03. THIẾT BỊ'!$B$1:$S$836,17,0),"")</f>
        <v>350x200x400</v>
      </c>
      <c r="S107" s="468" t="str">
        <f>IFERROR(VLOOKUP(B107,'03. THIẾT BỊ'!$B$1:$S$836,18,0),"")</f>
        <v/>
      </c>
      <c r="T107" s="807"/>
    </row>
    <row r="108" ht="15.0" customHeight="1">
      <c r="A108" s="48">
        <f t="shared" si="3"/>
        <v>59</v>
      </c>
      <c r="B108" s="464" t="s">
        <v>3966</v>
      </c>
      <c r="C108" s="869" t="str">
        <f>IFERROR(VLOOKUP(B108,'03. THIẾT BỊ'!$B$1:$S$836,2,0),"")</f>
        <v/>
      </c>
      <c r="D108" s="470" t="str">
        <f>IFERROR(VLOOKUP(B108,'03. THIẾT BỊ'!$B$1:$S$836,3,0),"")</f>
        <v>A23-GĐH-085</v>
      </c>
      <c r="E108" s="464" t="str">
        <f>IFERROR(VLOOKUP(B108,'03. THIẾT BỊ'!$B$1:$S$836,4,0),"")</f>
        <v>ĐQSD</v>
      </c>
      <c r="F108" s="464" t="str">
        <f>IFERROR(VLOOKUP(B108,'03. THIẾT BỊ'!$B$1:$S$836,5,0),"")</f>
        <v>Gàu định hình đào mương thoát nước</v>
      </c>
      <c r="G108" s="80" t="s">
        <v>6423</v>
      </c>
      <c r="H108" s="463" t="str">
        <f>IFERROR(VLOOKUP(B108,'03. THIẾT BỊ'!$B$1:$S$836,7,0),"")</f>
        <v>XN Chuối DP1</v>
      </c>
      <c r="I108" s="474" t="str">
        <f>IFERROR(VLOOKUP(B108,'03. THIẾT BỊ'!$B$1:$S$836,8,0),"")</f>
        <v>19/05/2025</v>
      </c>
      <c r="J108" s="471"/>
      <c r="K108" s="463" t="str">
        <f>IFERROR(VLOOKUP(B108,'03. THIẾT BỊ'!$B$1:$S$836,10,0),"")</f>
        <v>Bình thường</v>
      </c>
      <c r="L108" s="468" t="str">
        <f>IFERROR(VLOOKUP(B108,'03. THIẾT BỊ'!$B$1:$S$836,11,0),"")</f>
        <v/>
      </c>
      <c r="M108" s="472" t="str">
        <f>IFERROR(VLOOKUP(B108,'03. THIẾT BỊ'!$B$1:$S$836,12,0),"")</f>
        <v>Gia công mới</v>
      </c>
      <c r="N108" s="468" t="str">
        <f>IFERROR(VLOOKUP(B108,'03. THIẾT BỊ'!$B$1:$S$836,13,0),"")</f>
        <v>THACO AGRI</v>
      </c>
      <c r="O108" s="470" t="str">
        <f>IFERROR(VLOOKUP(B108,'03. THIẾT BỊ'!$B$1:$S$836,14,0),"")</f>
        <v/>
      </c>
      <c r="P108" s="468" t="str">
        <f>IFERROR(VLOOKUP(B108,'03. THIẾT BỊ'!$B$1:$S$836,15,0),"")</f>
        <v>CK-CGH</v>
      </c>
      <c r="Q108" s="48">
        <f>IFERROR(VLOOKUP(B108,'03. THIẾT BỊ'!$B$1:$S$836,16,0),"")</f>
        <v>2025</v>
      </c>
      <c r="R108" s="471" t="str">
        <f>IFERROR(VLOOKUP(B108,'03. THIẾT BỊ'!$B$1:$S$836,17,0),"")</f>
        <v>350x200x400</v>
      </c>
      <c r="S108" s="468" t="str">
        <f>IFERROR(VLOOKUP(B108,'03. THIẾT BỊ'!$B$1:$S$836,18,0),"")</f>
        <v/>
      </c>
      <c r="T108" s="807"/>
    </row>
    <row r="109" ht="15.0" customHeight="1">
      <c r="A109" s="48">
        <f t="shared" si="3"/>
        <v>60</v>
      </c>
      <c r="B109" s="464" t="s">
        <v>3968</v>
      </c>
      <c r="C109" s="869" t="str">
        <f>IFERROR(VLOOKUP(B109,'03. THIẾT BỊ'!$B$1:$S$836,2,0),"")</f>
        <v/>
      </c>
      <c r="D109" s="470" t="str">
        <f>IFERROR(VLOOKUP(B109,'03. THIẾT BỊ'!$B$1:$S$836,3,0),"")</f>
        <v>A23-GĐH-086</v>
      </c>
      <c r="E109" s="464" t="str">
        <f>IFERROR(VLOOKUP(B109,'03. THIẾT BỊ'!$B$1:$S$836,4,0),"")</f>
        <v>ĐQSD</v>
      </c>
      <c r="F109" s="464" t="str">
        <f>IFERROR(VLOOKUP(B109,'03. THIẾT BỊ'!$B$1:$S$836,5,0),"")</f>
        <v>Gàu định hình đào mương thoát nước</v>
      </c>
      <c r="G109" s="80" t="s">
        <v>6423</v>
      </c>
      <c r="H109" s="463" t="str">
        <f>IFERROR(VLOOKUP(B109,'03. THIẾT BỊ'!$B$1:$S$836,7,0),"")</f>
        <v>XN Chuối DP1</v>
      </c>
      <c r="I109" s="474" t="str">
        <f>IFERROR(VLOOKUP(B109,'03. THIẾT BỊ'!$B$1:$S$836,8,0),"")</f>
        <v>19/05/2025</v>
      </c>
      <c r="J109" s="471"/>
      <c r="K109" s="463" t="str">
        <f>IFERROR(VLOOKUP(B109,'03. THIẾT BỊ'!$B$1:$S$836,10,0),"")</f>
        <v>Bình thường</v>
      </c>
      <c r="L109" s="468" t="str">
        <f>IFERROR(VLOOKUP(B109,'03. THIẾT BỊ'!$B$1:$S$836,11,0),"")</f>
        <v/>
      </c>
      <c r="M109" s="472" t="str">
        <f>IFERROR(VLOOKUP(B109,'03. THIẾT BỊ'!$B$1:$S$836,12,0),"")</f>
        <v>Gia công mới</v>
      </c>
      <c r="N109" s="468" t="str">
        <f>IFERROR(VLOOKUP(B109,'03. THIẾT BỊ'!$B$1:$S$836,13,0),"")</f>
        <v>THACO AGRI</v>
      </c>
      <c r="O109" s="470" t="str">
        <f>IFERROR(VLOOKUP(B109,'03. THIẾT BỊ'!$B$1:$S$836,14,0),"")</f>
        <v/>
      </c>
      <c r="P109" s="468" t="str">
        <f>IFERROR(VLOOKUP(B109,'03. THIẾT BỊ'!$B$1:$S$836,15,0),"")</f>
        <v>CK-CGH</v>
      </c>
      <c r="Q109" s="48">
        <f>IFERROR(VLOOKUP(B109,'03. THIẾT BỊ'!$B$1:$S$836,16,0),"")</f>
        <v>2025</v>
      </c>
      <c r="R109" s="471" t="str">
        <f>IFERROR(VLOOKUP(B109,'03. THIẾT BỊ'!$B$1:$S$836,17,0),"")</f>
        <v>350x200x400</v>
      </c>
      <c r="S109" s="468" t="str">
        <f>IFERROR(VLOOKUP(B109,'03. THIẾT BỊ'!$B$1:$S$836,18,0),"")</f>
        <v/>
      </c>
      <c r="T109" s="807"/>
    </row>
    <row r="110" ht="15.0" customHeight="1">
      <c r="A110" s="48">
        <f t="shared" si="3"/>
        <v>61</v>
      </c>
      <c r="B110" s="464" t="s">
        <v>3970</v>
      </c>
      <c r="C110" s="869" t="str">
        <f>IFERROR(VLOOKUP(B110,'03. THIẾT BỊ'!$B$1:$S$836,2,0),"")</f>
        <v/>
      </c>
      <c r="D110" s="470" t="str">
        <f>IFERROR(VLOOKUP(B110,'03. THIẾT BỊ'!$B$1:$S$836,3,0),"")</f>
        <v>A23-GĐH-087</v>
      </c>
      <c r="E110" s="464" t="str">
        <f>IFERROR(VLOOKUP(B110,'03. THIẾT BỊ'!$B$1:$S$836,4,0),"")</f>
        <v>ĐQSD</v>
      </c>
      <c r="F110" s="464" t="str">
        <f>IFERROR(VLOOKUP(B110,'03. THIẾT BỊ'!$B$1:$S$836,5,0),"")</f>
        <v>Gàu định hình đào mương thoát nước</v>
      </c>
      <c r="G110" s="80" t="s">
        <v>6423</v>
      </c>
      <c r="H110" s="463" t="str">
        <f>IFERROR(VLOOKUP(B110,'03. THIẾT BỊ'!$B$1:$S$836,7,0),"")</f>
        <v>XN Chuối DP1</v>
      </c>
      <c r="I110" s="474" t="str">
        <f>IFERROR(VLOOKUP(B110,'03. THIẾT BỊ'!$B$1:$S$836,8,0),"")</f>
        <v>19/05/2025</v>
      </c>
      <c r="J110" s="471"/>
      <c r="K110" s="463" t="str">
        <f>IFERROR(VLOOKUP(B110,'03. THIẾT BỊ'!$B$1:$S$836,10,0),"")</f>
        <v>Bình thường</v>
      </c>
      <c r="L110" s="468" t="str">
        <f>IFERROR(VLOOKUP(B110,'03. THIẾT BỊ'!$B$1:$S$836,11,0),"")</f>
        <v/>
      </c>
      <c r="M110" s="472" t="str">
        <f>IFERROR(VLOOKUP(B110,'03. THIẾT BỊ'!$B$1:$S$836,12,0),"")</f>
        <v>Gia công mới</v>
      </c>
      <c r="N110" s="468" t="str">
        <f>IFERROR(VLOOKUP(B110,'03. THIẾT BỊ'!$B$1:$S$836,13,0),"")</f>
        <v>THACO AGRI</v>
      </c>
      <c r="O110" s="470" t="str">
        <f>IFERROR(VLOOKUP(B110,'03. THIẾT BỊ'!$B$1:$S$836,14,0),"")</f>
        <v/>
      </c>
      <c r="P110" s="468" t="str">
        <f>IFERROR(VLOOKUP(B110,'03. THIẾT BỊ'!$B$1:$S$836,15,0),"")</f>
        <v>CK-CGH</v>
      </c>
      <c r="Q110" s="48">
        <f>IFERROR(VLOOKUP(B110,'03. THIẾT BỊ'!$B$1:$S$836,16,0),"")</f>
        <v>2025</v>
      </c>
      <c r="R110" s="471" t="str">
        <f>IFERROR(VLOOKUP(B110,'03. THIẾT BỊ'!$B$1:$S$836,17,0),"")</f>
        <v>350x200x400</v>
      </c>
      <c r="S110" s="468" t="str">
        <f>IFERROR(VLOOKUP(B110,'03. THIẾT BỊ'!$B$1:$S$836,18,0),"")</f>
        <v/>
      </c>
      <c r="T110" s="807"/>
    </row>
    <row r="111" ht="15.0" customHeight="1">
      <c r="A111" s="48">
        <f t="shared" si="3"/>
        <v>62</v>
      </c>
      <c r="B111" s="464" t="s">
        <v>3972</v>
      </c>
      <c r="C111" s="869" t="str">
        <f>IFERROR(VLOOKUP(B111,'03. THIẾT BỊ'!$B$1:$S$836,2,0),"")</f>
        <v/>
      </c>
      <c r="D111" s="470" t="str">
        <f>IFERROR(VLOOKUP(B111,'03. THIẾT BỊ'!$B$1:$S$836,3,0),"")</f>
        <v>A23-GĐH-088</v>
      </c>
      <c r="E111" s="464" t="str">
        <f>IFERROR(VLOOKUP(B111,'03. THIẾT BỊ'!$B$1:$S$836,4,0),"")</f>
        <v>ĐQSD</v>
      </c>
      <c r="F111" s="464" t="str">
        <f>IFERROR(VLOOKUP(B111,'03. THIẾT BỊ'!$B$1:$S$836,5,0),"")</f>
        <v>Gàu định hình đào mương thoát nước</v>
      </c>
      <c r="G111" s="80" t="s">
        <v>6423</v>
      </c>
      <c r="H111" s="463" t="str">
        <f>IFERROR(VLOOKUP(B111,'03. THIẾT BỊ'!$B$1:$S$836,7,0),"")</f>
        <v>XN Chuối DP1</v>
      </c>
      <c r="I111" s="474" t="str">
        <f>IFERROR(VLOOKUP(B111,'03. THIẾT BỊ'!$B$1:$S$836,8,0),"")</f>
        <v>19/05/2025</v>
      </c>
      <c r="J111" s="471"/>
      <c r="K111" s="463" t="str">
        <f>IFERROR(VLOOKUP(B111,'03. THIẾT BỊ'!$B$1:$S$836,10,0),"")</f>
        <v>Bình thường</v>
      </c>
      <c r="L111" s="468" t="str">
        <f>IFERROR(VLOOKUP(B111,'03. THIẾT BỊ'!$B$1:$S$836,11,0),"")</f>
        <v/>
      </c>
      <c r="M111" s="472" t="str">
        <f>IFERROR(VLOOKUP(B111,'03. THIẾT BỊ'!$B$1:$S$836,12,0),"")</f>
        <v>Gia công mới</v>
      </c>
      <c r="N111" s="468" t="str">
        <f>IFERROR(VLOOKUP(B111,'03. THIẾT BỊ'!$B$1:$S$836,13,0),"")</f>
        <v>THACO AGRI</v>
      </c>
      <c r="O111" s="470" t="str">
        <f>IFERROR(VLOOKUP(B111,'03. THIẾT BỊ'!$B$1:$S$836,14,0),"")</f>
        <v/>
      </c>
      <c r="P111" s="468" t="str">
        <f>IFERROR(VLOOKUP(B111,'03. THIẾT BỊ'!$B$1:$S$836,15,0),"")</f>
        <v>CK-CGH</v>
      </c>
      <c r="Q111" s="48">
        <f>IFERROR(VLOOKUP(B111,'03. THIẾT BỊ'!$B$1:$S$836,16,0),"")</f>
        <v>2025</v>
      </c>
      <c r="R111" s="471" t="str">
        <f>IFERROR(VLOOKUP(B111,'03. THIẾT BỊ'!$B$1:$S$836,17,0),"")</f>
        <v>350x200x400</v>
      </c>
      <c r="S111" s="468" t="str">
        <f>IFERROR(VLOOKUP(B111,'03. THIẾT BỊ'!$B$1:$S$836,18,0),"")</f>
        <v/>
      </c>
      <c r="T111" s="807"/>
    </row>
    <row r="112" ht="15.0" customHeight="1">
      <c r="A112" s="48">
        <f t="shared" si="3"/>
        <v>63</v>
      </c>
      <c r="B112" s="464" t="s">
        <v>4132</v>
      </c>
      <c r="C112" s="869" t="str">
        <f>IFERROR(VLOOKUP(B112,'03. THIẾT BỊ'!$B$1:$S$836,2,0),"")</f>
        <v/>
      </c>
      <c r="D112" s="470" t="str">
        <f>IFERROR(VLOOKUP(B112,'03. THIẾT BỊ'!$B$1:$S$836,3,0),"")</f>
        <v>A23-GĐH-089</v>
      </c>
      <c r="E112" s="464" t="str">
        <f>IFERROR(VLOOKUP(B112,'03. THIẾT BỊ'!$B$1:$S$836,4,0),"")</f>
        <v>ĐQSD</v>
      </c>
      <c r="F112" s="464" t="str">
        <f>IFERROR(VLOOKUP(B112,'03. THIẾT BỊ'!$B$1:$S$836,5,0),"")</f>
        <v>Gàu định hình đào mương thoát nước</v>
      </c>
      <c r="G112" s="80" t="s">
        <v>6423</v>
      </c>
      <c r="H112" s="463" t="str">
        <f>IFERROR(VLOOKUP(B112,'03. THIẾT BỊ'!$B$1:$S$836,7,0),"")</f>
        <v>XN Chuối DP2</v>
      </c>
      <c r="I112" s="474" t="str">
        <f>IFERROR(VLOOKUP(B112,'03. THIẾT BỊ'!$B$1:$S$836,8,0),"")</f>
        <v>19/05/2025</v>
      </c>
      <c r="J112" s="471"/>
      <c r="K112" s="463" t="str">
        <f>IFERROR(VLOOKUP(B112,'03. THIẾT BỊ'!$B$1:$S$836,10,0),"")</f>
        <v>Bình thường</v>
      </c>
      <c r="L112" s="468" t="str">
        <f>IFERROR(VLOOKUP(B112,'03. THIẾT BỊ'!$B$1:$S$836,11,0),"")</f>
        <v/>
      </c>
      <c r="M112" s="472" t="str">
        <f>IFERROR(VLOOKUP(B112,'03. THIẾT BỊ'!$B$1:$S$836,12,0),"")</f>
        <v>Gia công mới</v>
      </c>
      <c r="N112" s="468" t="str">
        <f>IFERROR(VLOOKUP(B112,'03. THIẾT BỊ'!$B$1:$S$836,13,0),"")</f>
        <v>THACO AGRI</v>
      </c>
      <c r="O112" s="470" t="str">
        <f>IFERROR(VLOOKUP(B112,'03. THIẾT BỊ'!$B$1:$S$836,14,0),"")</f>
        <v/>
      </c>
      <c r="P112" s="468" t="str">
        <f>IFERROR(VLOOKUP(B112,'03. THIẾT BỊ'!$B$1:$S$836,15,0),"")</f>
        <v>CK-CGH</v>
      </c>
      <c r="Q112" s="48">
        <f>IFERROR(VLOOKUP(B112,'03. THIẾT BỊ'!$B$1:$S$836,16,0),"")</f>
        <v>2025</v>
      </c>
      <c r="R112" s="471" t="str">
        <f>IFERROR(VLOOKUP(B112,'03. THIẾT BỊ'!$B$1:$S$836,17,0),"")</f>
        <v>350x200x400</v>
      </c>
      <c r="S112" s="468" t="str">
        <f>IFERROR(VLOOKUP(B112,'03. THIẾT BỊ'!$B$1:$S$836,18,0),"")</f>
        <v/>
      </c>
      <c r="T112" s="812"/>
    </row>
    <row r="113" ht="15.0" customHeight="1">
      <c r="A113" s="48">
        <f t="shared" si="3"/>
        <v>64</v>
      </c>
      <c r="B113" s="464" t="s">
        <v>4134</v>
      </c>
      <c r="C113" s="869" t="str">
        <f>IFERROR(VLOOKUP(B113,'03. THIẾT BỊ'!$B$1:$S$836,2,0),"")</f>
        <v/>
      </c>
      <c r="D113" s="470" t="str">
        <f>IFERROR(VLOOKUP(B113,'03. THIẾT BỊ'!$B$1:$S$836,3,0),"")</f>
        <v>A23-GĐH-090</v>
      </c>
      <c r="E113" s="464" t="str">
        <f>IFERROR(VLOOKUP(B113,'03. THIẾT BỊ'!$B$1:$S$836,4,0),"")</f>
        <v>ĐQSD</v>
      </c>
      <c r="F113" s="464" t="str">
        <f>IFERROR(VLOOKUP(B113,'03. THIẾT BỊ'!$B$1:$S$836,5,0),"")</f>
        <v>Gàu định hình đào mương thoát nước</v>
      </c>
      <c r="G113" s="80" t="s">
        <v>6423</v>
      </c>
      <c r="H113" s="463" t="str">
        <f>IFERROR(VLOOKUP(B113,'03. THIẾT BỊ'!$B$1:$S$836,7,0),"")</f>
        <v>XN Chuối DP2</v>
      </c>
      <c r="I113" s="474" t="str">
        <f>IFERROR(VLOOKUP(B113,'03. THIẾT BỊ'!$B$1:$S$836,8,0),"")</f>
        <v>19/05/2025</v>
      </c>
      <c r="J113" s="471"/>
      <c r="K113" s="463" t="str">
        <f>IFERROR(VLOOKUP(B113,'03. THIẾT BỊ'!$B$1:$S$836,10,0),"")</f>
        <v>Bình thường</v>
      </c>
      <c r="L113" s="468" t="str">
        <f>IFERROR(VLOOKUP(B113,'03. THIẾT BỊ'!$B$1:$S$836,11,0),"")</f>
        <v/>
      </c>
      <c r="M113" s="472" t="str">
        <f>IFERROR(VLOOKUP(B113,'03. THIẾT BỊ'!$B$1:$S$836,12,0),"")</f>
        <v>Gia công mới</v>
      </c>
      <c r="N113" s="468" t="str">
        <f>IFERROR(VLOOKUP(B113,'03. THIẾT BỊ'!$B$1:$S$836,13,0),"")</f>
        <v>THACO AGRI</v>
      </c>
      <c r="O113" s="470" t="str">
        <f>IFERROR(VLOOKUP(B113,'03. THIẾT BỊ'!$B$1:$S$836,14,0),"")</f>
        <v/>
      </c>
      <c r="P113" s="468" t="str">
        <f>IFERROR(VLOOKUP(B113,'03. THIẾT BỊ'!$B$1:$S$836,15,0),"")</f>
        <v>CK-CGH</v>
      </c>
      <c r="Q113" s="48">
        <f>IFERROR(VLOOKUP(B113,'03. THIẾT BỊ'!$B$1:$S$836,16,0),"")</f>
        <v>2025</v>
      </c>
      <c r="R113" s="471" t="str">
        <f>IFERROR(VLOOKUP(B113,'03. THIẾT BỊ'!$B$1:$S$836,17,0),"")</f>
        <v>350x200x400</v>
      </c>
      <c r="S113" s="468" t="str">
        <f>IFERROR(VLOOKUP(B113,'03. THIẾT BỊ'!$B$1:$S$836,18,0),"")</f>
        <v/>
      </c>
      <c r="T113" s="812"/>
    </row>
    <row r="114" ht="15.0" customHeight="1">
      <c r="A114" s="48">
        <f t="shared" si="3"/>
        <v>65</v>
      </c>
      <c r="B114" s="464" t="s">
        <v>4402</v>
      </c>
      <c r="C114" s="869" t="str">
        <f>IFERROR(VLOOKUP(B114,'03. THIẾT BỊ'!$B$1:$S$836,2,0),"")</f>
        <v/>
      </c>
      <c r="D114" s="470" t="str">
        <f>IFERROR(VLOOKUP(B114,'03. THIẾT BỊ'!$B$1:$S$836,3,0),"")</f>
        <v>A23-GĐH-079</v>
      </c>
      <c r="E114" s="464" t="str">
        <f>IFERROR(VLOOKUP(B114,'03. THIẾT BỊ'!$B$1:$S$836,4,0),"")</f>
        <v>ĐQSD</v>
      </c>
      <c r="F114" s="464" t="str">
        <f>IFERROR(VLOOKUP(B114,'03. THIẾT BỊ'!$B$1:$S$836,5,0),"")</f>
        <v>Gàu định hình đào mương thoát nước</v>
      </c>
      <c r="G114" s="80" t="s">
        <v>6423</v>
      </c>
      <c r="H114" s="463" t="str">
        <f>IFERROR(VLOOKUP(B114,'03. THIẾT BỊ'!$B$1:$S$836,7,0),"")</f>
        <v>XN Chuối DP3</v>
      </c>
      <c r="I114" s="474" t="str">
        <f>IFERROR(VLOOKUP(B114,'03. THIẾT BỊ'!$B$1:$S$836,8,0),"")</f>
        <v>15/05/2025</v>
      </c>
      <c r="J114" s="471"/>
      <c r="K114" s="463" t="str">
        <f>IFERROR(VLOOKUP(B114,'03. THIẾT BỊ'!$B$1:$S$836,10,0),"")</f>
        <v>Bình thường</v>
      </c>
      <c r="L114" s="468" t="str">
        <f>IFERROR(VLOOKUP(B114,'03. THIẾT BỊ'!$B$1:$S$836,11,0),"")</f>
        <v/>
      </c>
      <c r="M114" s="472" t="str">
        <f>IFERROR(VLOOKUP(B114,'03. THIẾT BỊ'!$B$1:$S$836,12,0),"")</f>
        <v/>
      </c>
      <c r="N114" s="468" t="str">
        <f>IFERROR(VLOOKUP(B114,'03. THIẾT BỊ'!$B$1:$S$836,13,0),"")</f>
        <v>THACO AGRI</v>
      </c>
      <c r="O114" s="470" t="str">
        <f>IFERROR(VLOOKUP(B114,'03. THIẾT BỊ'!$B$1:$S$836,14,0),"")</f>
        <v/>
      </c>
      <c r="P114" s="468" t="str">
        <f>IFERROR(VLOOKUP(B114,'03. THIẾT BỊ'!$B$1:$S$836,15,0),"")</f>
        <v>CK-CGH</v>
      </c>
      <c r="Q114" s="48">
        <f>IFERROR(VLOOKUP(B114,'03. THIẾT BỊ'!$B$1:$S$836,16,0),"")</f>
        <v>2025</v>
      </c>
      <c r="R114" s="471" t="str">
        <f>IFERROR(VLOOKUP(B114,'03. THIẾT BỊ'!$B$1:$S$836,17,0),"")</f>
        <v>350x200x400</v>
      </c>
      <c r="S114" s="468" t="str">
        <f>IFERROR(VLOOKUP(B114,'03. THIẾT BỊ'!$B$1:$S$836,18,0),"")</f>
        <v/>
      </c>
      <c r="T114" s="959"/>
    </row>
    <row r="115" ht="15.0" customHeight="1">
      <c r="A115" s="48">
        <f t="shared" si="3"/>
        <v>66</v>
      </c>
      <c r="B115" s="464" t="s">
        <v>4406</v>
      </c>
      <c r="C115" s="869" t="str">
        <f>IFERROR(VLOOKUP(B115,'03. THIẾT BỊ'!$B$1:$S$836,2,0),"")</f>
        <v/>
      </c>
      <c r="D115" s="470" t="str">
        <f>IFERROR(VLOOKUP(B115,'03. THIẾT BỊ'!$B$1:$S$836,3,0),"")</f>
        <v>A23-GĐH-080</v>
      </c>
      <c r="E115" s="464" t="str">
        <f>IFERROR(VLOOKUP(B115,'03. THIẾT BỊ'!$B$1:$S$836,4,0),"")</f>
        <v>ĐQSD</v>
      </c>
      <c r="F115" s="464" t="str">
        <f>IFERROR(VLOOKUP(B115,'03. THIẾT BỊ'!$B$1:$S$836,5,0),"")</f>
        <v>Gàu định hình đào mương thoát nước</v>
      </c>
      <c r="G115" s="80" t="s">
        <v>6423</v>
      </c>
      <c r="H115" s="463" t="str">
        <f>IFERROR(VLOOKUP(B115,'03. THIẾT BỊ'!$B$1:$S$836,7,0),"")</f>
        <v>XN Chuối DP3</v>
      </c>
      <c r="I115" s="474" t="str">
        <f>IFERROR(VLOOKUP(B115,'03. THIẾT BỊ'!$B$1:$S$836,8,0),"")</f>
        <v>15/05/2025</v>
      </c>
      <c r="J115" s="471"/>
      <c r="K115" s="463" t="str">
        <f>IFERROR(VLOOKUP(B115,'03. THIẾT BỊ'!$B$1:$S$836,10,0),"")</f>
        <v>Bình thường</v>
      </c>
      <c r="L115" s="468" t="str">
        <f>IFERROR(VLOOKUP(B115,'03. THIẾT BỊ'!$B$1:$S$836,11,0),"")</f>
        <v/>
      </c>
      <c r="M115" s="472" t="str">
        <f>IFERROR(VLOOKUP(B115,'03. THIẾT BỊ'!$B$1:$S$836,12,0),"")</f>
        <v/>
      </c>
      <c r="N115" s="468" t="str">
        <f>IFERROR(VLOOKUP(B115,'03. THIẾT BỊ'!$B$1:$S$836,13,0),"")</f>
        <v>THACO AGRI</v>
      </c>
      <c r="O115" s="470" t="str">
        <f>IFERROR(VLOOKUP(B115,'03. THIẾT BỊ'!$B$1:$S$836,14,0),"")</f>
        <v/>
      </c>
      <c r="P115" s="468" t="str">
        <f>IFERROR(VLOOKUP(B115,'03. THIẾT BỊ'!$B$1:$S$836,15,0),"")</f>
        <v>CK-CGH</v>
      </c>
      <c r="Q115" s="48">
        <f>IFERROR(VLOOKUP(B115,'03. THIẾT BỊ'!$B$1:$S$836,16,0),"")</f>
        <v>2025</v>
      </c>
      <c r="R115" s="471" t="str">
        <f>IFERROR(VLOOKUP(B115,'03. THIẾT BỊ'!$B$1:$S$836,17,0),"")</f>
        <v>350x200x400</v>
      </c>
      <c r="S115" s="468" t="str">
        <f>IFERROR(VLOOKUP(B115,'03. THIẾT BỊ'!$B$1:$S$836,18,0),"")</f>
        <v/>
      </c>
      <c r="T115" s="959"/>
    </row>
    <row r="116" ht="15.0" customHeight="1">
      <c r="A116" s="48">
        <f t="shared" si="3"/>
        <v>67</v>
      </c>
      <c r="B116" s="464" t="s">
        <v>4408</v>
      </c>
      <c r="C116" s="869" t="str">
        <f>IFERROR(VLOOKUP(B116,'03. THIẾT BỊ'!$B$1:$S$836,2,0),"")</f>
        <v/>
      </c>
      <c r="D116" s="470" t="str">
        <f>IFERROR(VLOOKUP(B116,'03. THIẾT BỊ'!$B$1:$S$836,3,0),"")</f>
        <v>A23-GĐH-081</v>
      </c>
      <c r="E116" s="464" t="str">
        <f>IFERROR(VLOOKUP(B116,'03. THIẾT BỊ'!$B$1:$S$836,4,0),"")</f>
        <v>ĐQSD</v>
      </c>
      <c r="F116" s="464" t="str">
        <f>IFERROR(VLOOKUP(B116,'03. THIẾT BỊ'!$B$1:$S$836,5,0),"")</f>
        <v>Gàu định hình đào mương thoát nước</v>
      </c>
      <c r="G116" s="80" t="s">
        <v>6423</v>
      </c>
      <c r="H116" s="463" t="str">
        <f>IFERROR(VLOOKUP(B116,'03. THIẾT BỊ'!$B$1:$S$836,7,0),"")</f>
        <v>XN Chuối DP3</v>
      </c>
      <c r="I116" s="474" t="str">
        <f>IFERROR(VLOOKUP(B116,'03. THIẾT BỊ'!$B$1:$S$836,8,0),"")</f>
        <v>15/05/2025</v>
      </c>
      <c r="J116" s="471"/>
      <c r="K116" s="463" t="str">
        <f>IFERROR(VLOOKUP(B116,'03. THIẾT BỊ'!$B$1:$S$836,10,0),"")</f>
        <v>Bình thường</v>
      </c>
      <c r="L116" s="468" t="str">
        <f>IFERROR(VLOOKUP(B116,'03. THIẾT BỊ'!$B$1:$S$836,11,0),"")</f>
        <v/>
      </c>
      <c r="M116" s="472" t="str">
        <f>IFERROR(VLOOKUP(B116,'03. THIẾT BỊ'!$B$1:$S$836,12,0),"")</f>
        <v/>
      </c>
      <c r="N116" s="468" t="str">
        <f>IFERROR(VLOOKUP(B116,'03. THIẾT BỊ'!$B$1:$S$836,13,0),"")</f>
        <v>THACO AGRI</v>
      </c>
      <c r="O116" s="470" t="str">
        <f>IFERROR(VLOOKUP(B116,'03. THIẾT BỊ'!$B$1:$S$836,14,0),"")</f>
        <v/>
      </c>
      <c r="P116" s="468" t="str">
        <f>IFERROR(VLOOKUP(B116,'03. THIẾT BỊ'!$B$1:$S$836,15,0),"")</f>
        <v>CK-CGH</v>
      </c>
      <c r="Q116" s="48">
        <f>IFERROR(VLOOKUP(B116,'03. THIẾT BỊ'!$B$1:$S$836,16,0),"")</f>
        <v>2025</v>
      </c>
      <c r="R116" s="471" t="str">
        <f>IFERROR(VLOOKUP(B116,'03. THIẾT BỊ'!$B$1:$S$836,17,0),"")</f>
        <v>350x200x400</v>
      </c>
      <c r="S116" s="468" t="str">
        <f>IFERROR(VLOOKUP(B116,'03. THIẾT BỊ'!$B$1:$S$836,18,0),"")</f>
        <v/>
      </c>
      <c r="T116" s="959"/>
    </row>
    <row r="117" ht="15.0" customHeight="1">
      <c r="A117" s="48">
        <f t="shared" si="3"/>
        <v>68</v>
      </c>
      <c r="B117" s="464" t="s">
        <v>4410</v>
      </c>
      <c r="C117" s="869" t="str">
        <f>IFERROR(VLOOKUP(B117,'03. THIẾT BỊ'!$B$1:$S$836,2,0),"")</f>
        <v/>
      </c>
      <c r="D117" s="470" t="str">
        <f>IFERROR(VLOOKUP(B117,'03. THIẾT BỊ'!$B$1:$S$836,3,0),"")</f>
        <v>A23-GĐH-082</v>
      </c>
      <c r="E117" s="464" t="str">
        <f>IFERROR(VLOOKUP(B117,'03. THIẾT BỊ'!$B$1:$S$836,4,0),"")</f>
        <v>ĐQSD</v>
      </c>
      <c r="F117" s="464" t="str">
        <f>IFERROR(VLOOKUP(B117,'03. THIẾT BỊ'!$B$1:$S$836,5,0),"")</f>
        <v>Gàu định hình đào mương thoát nước</v>
      </c>
      <c r="G117" s="80" t="s">
        <v>6423</v>
      </c>
      <c r="H117" s="463" t="str">
        <f>IFERROR(VLOOKUP(B117,'03. THIẾT BỊ'!$B$1:$S$836,7,0),"")</f>
        <v>XN Chuối DP3</v>
      </c>
      <c r="I117" s="474" t="str">
        <f>IFERROR(VLOOKUP(B117,'03. THIẾT BỊ'!$B$1:$S$836,8,0),"")</f>
        <v>15/05/2025</v>
      </c>
      <c r="J117" s="471"/>
      <c r="K117" s="463" t="str">
        <f>IFERROR(VLOOKUP(B117,'03. THIẾT BỊ'!$B$1:$S$836,10,0),"")</f>
        <v>Bình thường</v>
      </c>
      <c r="L117" s="468" t="str">
        <f>IFERROR(VLOOKUP(B117,'03. THIẾT BỊ'!$B$1:$S$836,11,0),"")</f>
        <v/>
      </c>
      <c r="M117" s="472" t="str">
        <f>IFERROR(VLOOKUP(B117,'03. THIẾT BỊ'!$B$1:$S$836,12,0),"")</f>
        <v/>
      </c>
      <c r="N117" s="468" t="str">
        <f>IFERROR(VLOOKUP(B117,'03. THIẾT BỊ'!$B$1:$S$836,13,0),"")</f>
        <v>THACO AGRI</v>
      </c>
      <c r="O117" s="470" t="str">
        <f>IFERROR(VLOOKUP(B117,'03. THIẾT BỊ'!$B$1:$S$836,14,0),"")</f>
        <v/>
      </c>
      <c r="P117" s="468" t="str">
        <f>IFERROR(VLOOKUP(B117,'03. THIẾT BỊ'!$B$1:$S$836,15,0),"")</f>
        <v>CK-CGH</v>
      </c>
      <c r="Q117" s="48">
        <f>IFERROR(VLOOKUP(B117,'03. THIẾT BỊ'!$B$1:$S$836,16,0),"")</f>
        <v>2025</v>
      </c>
      <c r="R117" s="471" t="str">
        <f>IFERROR(VLOOKUP(B117,'03. THIẾT BỊ'!$B$1:$S$836,17,0),"")</f>
        <v>350x200x400</v>
      </c>
      <c r="S117" s="468" t="str">
        <f>IFERROR(VLOOKUP(B117,'03. THIẾT BỊ'!$B$1:$S$836,18,0),"")</f>
        <v/>
      </c>
      <c r="T117" s="959"/>
    </row>
    <row r="118" ht="15.0" customHeight="1">
      <c r="A118" s="48">
        <f t="shared" si="3"/>
        <v>69</v>
      </c>
      <c r="B118" s="464" t="s">
        <v>4547</v>
      </c>
      <c r="C118" s="869" t="str">
        <f>IFERROR(VLOOKUP(B118,'03. THIẾT BỊ'!$B$1:$S$836,2,0),"")</f>
        <v/>
      </c>
      <c r="D118" s="470" t="str">
        <f>IFERROR(VLOOKUP(B118,'03. THIẾT BỊ'!$B$1:$S$836,3,0),"")</f>
        <v>A24-GĐH-065</v>
      </c>
      <c r="E118" s="464" t="str">
        <f>IFERROR(VLOOKUP(B118,'03. THIẾT BỊ'!$B$1:$S$836,4,0),"")</f>
        <v>ĐQSD</v>
      </c>
      <c r="F118" s="464" t="str">
        <f>IFERROR(VLOOKUP(B118,'03. THIẾT BỊ'!$B$1:$S$836,5,0),"")</f>
        <v>Gàu định hình đào mương thoát nước</v>
      </c>
      <c r="G118" s="80" t="s">
        <v>6423</v>
      </c>
      <c r="H118" s="463" t="str">
        <f>IFERROR(VLOOKUP(B118,'03. THIẾT BỊ'!$B$1:$S$836,7,0),"")</f>
        <v>XN Chuối LP1</v>
      </c>
      <c r="I118" s="474" t="str">
        <f>IFERROR(VLOOKUP(B118,'03. THIẾT BỊ'!$B$1:$S$836,8,0),"")</f>
        <v>15/05/2025</v>
      </c>
      <c r="J118" s="471"/>
      <c r="K118" s="463" t="str">
        <f>IFERROR(VLOOKUP(B118,'03. THIẾT BỊ'!$B$1:$S$836,10,0),"")</f>
        <v>Bình thường</v>
      </c>
      <c r="L118" s="468" t="str">
        <f>IFERROR(VLOOKUP(B118,'03. THIẾT BỊ'!$B$1:$S$836,11,0),"")</f>
        <v>GC mới</v>
      </c>
      <c r="M118" s="472" t="str">
        <f>IFERROR(VLOOKUP(B118,'03. THIẾT BỊ'!$B$1:$S$836,12,0),"")</f>
        <v/>
      </c>
      <c r="N118" s="468" t="str">
        <f>IFERROR(VLOOKUP(B118,'03. THIẾT BỊ'!$B$1:$S$836,13,0),"")</f>
        <v>THACO AGRI</v>
      </c>
      <c r="O118" s="470" t="str">
        <f>IFERROR(VLOOKUP(B118,'03. THIẾT BỊ'!$B$1:$S$836,14,0),"")</f>
        <v/>
      </c>
      <c r="P118" s="468" t="str">
        <f>IFERROR(VLOOKUP(B118,'03. THIẾT BỊ'!$B$1:$S$836,15,0),"")</f>
        <v>CK-CGH</v>
      </c>
      <c r="Q118" s="48" t="str">
        <f>IFERROR(VLOOKUP(B118,'03. THIẾT BỊ'!$B$1:$S$836,16,0),"")</f>
        <v/>
      </c>
      <c r="R118" s="471" t="str">
        <f>IFERROR(VLOOKUP(B118,'03. THIẾT BỊ'!$B$1:$S$836,17,0),"")</f>
        <v>350x200x400</v>
      </c>
      <c r="S118" s="468" t="str">
        <f>IFERROR(VLOOKUP(B118,'03. THIẾT BỊ'!$B$1:$S$836,18,0),"")</f>
        <v/>
      </c>
      <c r="T118" s="807"/>
    </row>
    <row r="119" ht="15.0" customHeight="1">
      <c r="A119" s="48">
        <f t="shared" si="3"/>
        <v>70</v>
      </c>
      <c r="B119" s="464" t="s">
        <v>4549</v>
      </c>
      <c r="C119" s="869" t="str">
        <f>IFERROR(VLOOKUP(B119,'03. THIẾT BỊ'!$B$1:$S$836,2,0),"")</f>
        <v/>
      </c>
      <c r="D119" s="470" t="str">
        <f>IFERROR(VLOOKUP(B119,'03. THIẾT BỊ'!$B$1:$S$836,3,0),"")</f>
        <v>A24-GĐH-066</v>
      </c>
      <c r="E119" s="464" t="str">
        <f>IFERROR(VLOOKUP(B119,'03. THIẾT BỊ'!$B$1:$S$836,4,0),"")</f>
        <v>ĐQSD</v>
      </c>
      <c r="F119" s="464" t="str">
        <f>IFERROR(VLOOKUP(B119,'03. THIẾT BỊ'!$B$1:$S$836,5,0),"")</f>
        <v>Gàu định hình đào mương thoát nước</v>
      </c>
      <c r="G119" s="80" t="s">
        <v>6423</v>
      </c>
      <c r="H119" s="463" t="str">
        <f>IFERROR(VLOOKUP(B119,'03. THIẾT BỊ'!$B$1:$S$836,7,0),"")</f>
        <v>XN Chuối LP1</v>
      </c>
      <c r="I119" s="474" t="str">
        <f>IFERROR(VLOOKUP(B119,'03. THIẾT BỊ'!$B$1:$S$836,8,0),"")</f>
        <v>15/05/2025</v>
      </c>
      <c r="J119" s="471"/>
      <c r="K119" s="463" t="str">
        <f>IFERROR(VLOOKUP(B119,'03. THIẾT BỊ'!$B$1:$S$836,10,0),"")</f>
        <v>Bình thường</v>
      </c>
      <c r="L119" s="468" t="str">
        <f>IFERROR(VLOOKUP(B119,'03. THIẾT BỊ'!$B$1:$S$836,11,0),"")</f>
        <v>GC mới</v>
      </c>
      <c r="M119" s="472" t="str">
        <f>IFERROR(VLOOKUP(B119,'03. THIẾT BỊ'!$B$1:$S$836,12,0),"")</f>
        <v/>
      </c>
      <c r="N119" s="468" t="str">
        <f>IFERROR(VLOOKUP(B119,'03. THIẾT BỊ'!$B$1:$S$836,13,0),"")</f>
        <v>THACO AGRI</v>
      </c>
      <c r="O119" s="470" t="str">
        <f>IFERROR(VLOOKUP(B119,'03. THIẾT BỊ'!$B$1:$S$836,14,0),"")</f>
        <v/>
      </c>
      <c r="P119" s="468" t="str">
        <f>IFERROR(VLOOKUP(B119,'03. THIẾT BỊ'!$B$1:$S$836,15,0),"")</f>
        <v>CK-CGH</v>
      </c>
      <c r="Q119" s="48" t="str">
        <f>IFERROR(VLOOKUP(B119,'03. THIẾT BỊ'!$B$1:$S$836,16,0),"")</f>
        <v/>
      </c>
      <c r="R119" s="471" t="str">
        <f>IFERROR(VLOOKUP(B119,'03. THIẾT BỊ'!$B$1:$S$836,17,0),"")</f>
        <v>350x200x400</v>
      </c>
      <c r="S119" s="468" t="str">
        <f>IFERROR(VLOOKUP(B119,'03. THIẾT BỊ'!$B$1:$S$836,18,0),"")</f>
        <v/>
      </c>
      <c r="T119" s="807"/>
    </row>
    <row r="120" ht="14.25" customHeight="1">
      <c r="A120" s="48">
        <f t="shared" si="3"/>
        <v>71</v>
      </c>
      <c r="B120" s="464" t="s">
        <v>4552</v>
      </c>
      <c r="C120" s="869" t="str">
        <f>IFERROR(VLOOKUP(B120,'03. THIẾT BỊ'!$B$1:$S$836,2,0),"")</f>
        <v/>
      </c>
      <c r="D120" s="470" t="str">
        <f>IFERROR(VLOOKUP(B120,'03. THIẾT BỊ'!$B$1:$S$836,3,0),"")</f>
        <v>A24-GDH-077</v>
      </c>
      <c r="E120" s="464" t="str">
        <f>IFERROR(VLOOKUP(B120,'03. THIẾT BỊ'!$B$1:$S$836,4,0),"")</f>
        <v>ĐQSD</v>
      </c>
      <c r="F120" s="464" t="str">
        <f>IFERROR(VLOOKUP(B120,'03. THIẾT BỊ'!$B$1:$S$836,5,0),"")</f>
        <v>Gàu định hình đào mương thoát nước</v>
      </c>
      <c r="G120" s="80" t="s">
        <v>6423</v>
      </c>
      <c r="H120" s="463" t="str">
        <f>IFERROR(VLOOKUP(B120,'03. THIẾT BỊ'!$B$1:$S$836,7,0),"")</f>
        <v>XN Chuối LP1</v>
      </c>
      <c r="I120" s="474">
        <f>IFERROR(VLOOKUP(B120,'03. THIẾT BỊ'!$B$1:$S$836,8,0),"")</f>
        <v>45694</v>
      </c>
      <c r="J120" s="471"/>
      <c r="K120" s="463" t="str">
        <f>IFERROR(VLOOKUP(B120,'03. THIẾT BỊ'!$B$1:$S$836,10,0),"")</f>
        <v>Bình thường</v>
      </c>
      <c r="L120" s="468" t="str">
        <f>IFERROR(VLOOKUP(B120,'03. THIẾT BỊ'!$B$1:$S$836,11,0),"")</f>
        <v>GC mới</v>
      </c>
      <c r="M120" s="472" t="str">
        <f>IFERROR(VLOOKUP(B120,'03. THIẾT BỊ'!$B$1:$S$836,12,0),"")</f>
        <v/>
      </c>
      <c r="N120" s="468" t="str">
        <f>IFERROR(VLOOKUP(B120,'03. THIẾT BỊ'!$B$1:$S$836,13,0),"")</f>
        <v>THACO AGRI</v>
      </c>
      <c r="O120" s="470" t="str">
        <f>IFERROR(VLOOKUP(B120,'03. THIẾT BỊ'!$B$1:$S$836,14,0),"")</f>
        <v/>
      </c>
      <c r="P120" s="468" t="str">
        <f>IFERROR(VLOOKUP(B120,'03. THIẾT BỊ'!$B$1:$S$836,15,0),"")</f>
        <v>CK-CGH</v>
      </c>
      <c r="Q120" s="48" t="str">
        <f>IFERROR(VLOOKUP(B120,'03. THIẾT BỊ'!$B$1:$S$836,16,0),"")</f>
        <v/>
      </c>
      <c r="R120" s="471" t="str">
        <f>IFERROR(VLOOKUP(B120,'03. THIẾT BỊ'!$B$1:$S$836,17,0),"")</f>
        <v>350x200x400</v>
      </c>
      <c r="S120" s="468" t="str">
        <f>IFERROR(VLOOKUP(B120,'03. THIẾT BỊ'!$B$1:$S$836,18,0),"")</f>
        <v/>
      </c>
      <c r="T120" s="807"/>
    </row>
    <row r="121" ht="14.25" customHeight="1">
      <c r="A121" s="48">
        <f t="shared" si="3"/>
        <v>72</v>
      </c>
      <c r="B121" s="464" t="s">
        <v>4554</v>
      </c>
      <c r="C121" s="869" t="str">
        <f>IFERROR(VLOOKUP(B121,'03. THIẾT BỊ'!$B$1:$S$836,2,0),"")</f>
        <v/>
      </c>
      <c r="D121" s="470" t="str">
        <f>IFERROR(VLOOKUP(B121,'03. THIẾT BỊ'!$B$1:$S$836,3,0),"")</f>
        <v>A24-GDH-078</v>
      </c>
      <c r="E121" s="464" t="str">
        <f>IFERROR(VLOOKUP(B121,'03. THIẾT BỊ'!$B$1:$S$836,4,0),"")</f>
        <v>ĐQSD</v>
      </c>
      <c r="F121" s="464" t="str">
        <f>IFERROR(VLOOKUP(B121,'03. THIẾT BỊ'!$B$1:$S$836,5,0),"")</f>
        <v>Gàu định hình đào mương thoát nước</v>
      </c>
      <c r="G121" s="80" t="s">
        <v>6423</v>
      </c>
      <c r="H121" s="463" t="str">
        <f>IFERROR(VLOOKUP(B121,'03. THIẾT BỊ'!$B$1:$S$836,7,0),"")</f>
        <v>XN Chuối LP1</v>
      </c>
      <c r="I121" s="474">
        <f>IFERROR(VLOOKUP(B121,'03. THIẾT BỊ'!$B$1:$S$836,8,0),"")</f>
        <v>45694</v>
      </c>
      <c r="J121" s="471"/>
      <c r="K121" s="463" t="str">
        <f>IFERROR(VLOOKUP(B121,'03. THIẾT BỊ'!$B$1:$S$836,10,0),"")</f>
        <v>Bình thường</v>
      </c>
      <c r="L121" s="468" t="str">
        <f>IFERROR(VLOOKUP(B121,'03. THIẾT BỊ'!$B$1:$S$836,11,0),"")</f>
        <v>GC mới</v>
      </c>
      <c r="M121" s="472" t="str">
        <f>IFERROR(VLOOKUP(B121,'03. THIẾT BỊ'!$B$1:$S$836,12,0),"")</f>
        <v/>
      </c>
      <c r="N121" s="468" t="str">
        <f>IFERROR(VLOOKUP(B121,'03. THIẾT BỊ'!$B$1:$S$836,13,0),"")</f>
        <v>THACO AGRI</v>
      </c>
      <c r="O121" s="470" t="str">
        <f>IFERROR(VLOOKUP(B121,'03. THIẾT BỊ'!$B$1:$S$836,14,0),"")</f>
        <v/>
      </c>
      <c r="P121" s="468" t="str">
        <f>IFERROR(VLOOKUP(B121,'03. THIẾT BỊ'!$B$1:$S$836,15,0),"")</f>
        <v>CK-CGH</v>
      </c>
      <c r="Q121" s="48" t="str">
        <f>IFERROR(VLOOKUP(B121,'03. THIẾT BỊ'!$B$1:$S$836,16,0),"")</f>
        <v/>
      </c>
      <c r="R121" s="471" t="str">
        <f>IFERROR(VLOOKUP(B121,'03. THIẾT BỊ'!$B$1:$S$836,17,0),"")</f>
        <v>350x200x400</v>
      </c>
      <c r="S121" s="468" t="str">
        <f>IFERROR(VLOOKUP(B121,'03. THIẾT BỊ'!$B$1:$S$836,18,0),"")</f>
        <v/>
      </c>
      <c r="T121" s="807"/>
    </row>
    <row r="122" ht="15.0" customHeight="1">
      <c r="A122" s="48">
        <f t="shared" si="3"/>
        <v>73</v>
      </c>
      <c r="B122" s="464" t="s">
        <v>4556</v>
      </c>
      <c r="C122" s="869" t="str">
        <f>IFERROR(VLOOKUP(B122,'03. THIẾT BỊ'!$B$1:$S$836,2,0),"")</f>
        <v/>
      </c>
      <c r="D122" s="470" t="str">
        <f>IFERROR(VLOOKUP(B122,'03. THIẾT BỊ'!$B$1:$S$836,3,0),"")</f>
        <v>A24-GĐH-079</v>
      </c>
      <c r="E122" s="464" t="str">
        <f>IFERROR(VLOOKUP(B122,'03. THIẾT BỊ'!$B$1:$S$836,4,0),"")</f>
        <v>ĐQSD</v>
      </c>
      <c r="F122" s="464" t="str">
        <f>IFERROR(VLOOKUP(B122,'03. THIẾT BỊ'!$B$1:$S$836,5,0),"")</f>
        <v>Gàu định hình đào mương thoát nước</v>
      </c>
      <c r="G122" s="80" t="s">
        <v>6423</v>
      </c>
      <c r="H122" s="463" t="str">
        <f>IFERROR(VLOOKUP(B122,'03. THIẾT BỊ'!$B$1:$S$836,7,0),"")</f>
        <v>XN Chuối LP1</v>
      </c>
      <c r="I122" s="474">
        <f>IFERROR(VLOOKUP(B122,'03. THIẾT BỊ'!$B$1:$S$836,8,0),"")</f>
        <v>45694</v>
      </c>
      <c r="J122" s="471"/>
      <c r="K122" s="463" t="str">
        <f>IFERROR(VLOOKUP(B122,'03. THIẾT BỊ'!$B$1:$S$836,10,0),"")</f>
        <v>Bình thường</v>
      </c>
      <c r="L122" s="468" t="str">
        <f>IFERROR(VLOOKUP(B122,'03. THIẾT BỊ'!$B$1:$S$836,11,0),"")</f>
        <v>GC mới</v>
      </c>
      <c r="M122" s="472" t="str">
        <f>IFERROR(VLOOKUP(B122,'03. THIẾT BỊ'!$B$1:$S$836,12,0),"")</f>
        <v/>
      </c>
      <c r="N122" s="468" t="str">
        <f>IFERROR(VLOOKUP(B122,'03. THIẾT BỊ'!$B$1:$S$836,13,0),"")</f>
        <v>THACO AGRI</v>
      </c>
      <c r="O122" s="470" t="str">
        <f>IFERROR(VLOOKUP(B122,'03. THIẾT BỊ'!$B$1:$S$836,14,0),"")</f>
        <v/>
      </c>
      <c r="P122" s="468" t="str">
        <f>IFERROR(VLOOKUP(B122,'03. THIẾT BỊ'!$B$1:$S$836,15,0),"")</f>
        <v>CK-CGH</v>
      </c>
      <c r="Q122" s="48" t="str">
        <f>IFERROR(VLOOKUP(B122,'03. THIẾT BỊ'!$B$1:$S$836,16,0),"")</f>
        <v/>
      </c>
      <c r="R122" s="471" t="str">
        <f>IFERROR(VLOOKUP(B122,'03. THIẾT BỊ'!$B$1:$S$836,17,0),"")</f>
        <v>350x200x400</v>
      </c>
      <c r="S122" s="468" t="str">
        <f>IFERROR(VLOOKUP(B122,'03. THIẾT BỊ'!$B$1:$S$836,18,0),"")</f>
        <v/>
      </c>
      <c r="T122" s="807"/>
    </row>
    <row r="123" ht="15.0" customHeight="1">
      <c r="A123" s="48">
        <f t="shared" si="3"/>
        <v>74</v>
      </c>
      <c r="B123" s="464" t="s">
        <v>4558</v>
      </c>
      <c r="C123" s="869" t="str">
        <f>IFERROR(VLOOKUP(B123,'03. THIẾT BỊ'!$B$1:$S$836,2,0),"")</f>
        <v/>
      </c>
      <c r="D123" s="470" t="str">
        <f>IFERROR(VLOOKUP(B123,'03. THIẾT BỊ'!$B$1:$S$836,3,0),"")</f>
        <v>A24-GĐH-080</v>
      </c>
      <c r="E123" s="464" t="str">
        <f>IFERROR(VLOOKUP(B123,'03. THIẾT BỊ'!$B$1:$S$836,4,0),"")</f>
        <v>ĐQSD</v>
      </c>
      <c r="F123" s="464" t="str">
        <f>IFERROR(VLOOKUP(B123,'03. THIẾT BỊ'!$B$1:$S$836,5,0),"")</f>
        <v>Gàu định hình đào mương thoát nước</v>
      </c>
      <c r="G123" s="80" t="s">
        <v>6423</v>
      </c>
      <c r="H123" s="463" t="str">
        <f>IFERROR(VLOOKUP(B123,'03. THIẾT BỊ'!$B$1:$S$836,7,0),"")</f>
        <v>XN Chuối LP1</v>
      </c>
      <c r="I123" s="474">
        <f>IFERROR(VLOOKUP(B123,'03. THIẾT BỊ'!$B$1:$S$836,8,0),"")</f>
        <v>45694</v>
      </c>
      <c r="J123" s="471"/>
      <c r="K123" s="463" t="str">
        <f>IFERROR(VLOOKUP(B123,'03. THIẾT BỊ'!$B$1:$S$836,10,0),"")</f>
        <v>Bình thường</v>
      </c>
      <c r="L123" s="468" t="str">
        <f>IFERROR(VLOOKUP(B123,'03. THIẾT BỊ'!$B$1:$S$836,11,0),"")</f>
        <v>GC mới</v>
      </c>
      <c r="M123" s="472" t="str">
        <f>IFERROR(VLOOKUP(B123,'03. THIẾT BỊ'!$B$1:$S$836,12,0),"")</f>
        <v/>
      </c>
      <c r="N123" s="468" t="str">
        <f>IFERROR(VLOOKUP(B123,'03. THIẾT BỊ'!$B$1:$S$836,13,0),"")</f>
        <v>THACO AGRI</v>
      </c>
      <c r="O123" s="470" t="str">
        <f>IFERROR(VLOOKUP(B123,'03. THIẾT BỊ'!$B$1:$S$836,14,0),"")</f>
        <v/>
      </c>
      <c r="P123" s="468" t="str">
        <f>IFERROR(VLOOKUP(B123,'03. THIẾT BỊ'!$B$1:$S$836,15,0),"")</f>
        <v>CK-CGH</v>
      </c>
      <c r="Q123" s="48" t="str">
        <f>IFERROR(VLOOKUP(B123,'03. THIẾT BỊ'!$B$1:$S$836,16,0),"")</f>
        <v/>
      </c>
      <c r="R123" s="471" t="str">
        <f>IFERROR(VLOOKUP(B123,'03. THIẾT BỊ'!$B$1:$S$836,17,0),"")</f>
        <v>350x200x400</v>
      </c>
      <c r="S123" s="468" t="str">
        <f>IFERROR(VLOOKUP(B123,'03. THIẾT BỊ'!$B$1:$S$836,18,0),"")</f>
        <v/>
      </c>
      <c r="T123" s="807"/>
    </row>
    <row r="124" ht="15.0" customHeight="1">
      <c r="A124" s="48">
        <f t="shared" si="3"/>
        <v>75</v>
      </c>
      <c r="B124" s="464" t="s">
        <v>4560</v>
      </c>
      <c r="C124" s="869" t="str">
        <f>IFERROR(VLOOKUP(B124,'03. THIẾT BỊ'!$B$1:$S$836,2,0),"")</f>
        <v/>
      </c>
      <c r="D124" s="470" t="str">
        <f>IFERROR(VLOOKUP(B124,'03. THIẾT BỊ'!$B$1:$S$836,3,0),"")</f>
        <v>A24-GĐH-081</v>
      </c>
      <c r="E124" s="464" t="str">
        <f>IFERROR(VLOOKUP(B124,'03. THIẾT BỊ'!$B$1:$S$836,4,0),"")</f>
        <v>ĐQSD</v>
      </c>
      <c r="F124" s="464" t="str">
        <f>IFERROR(VLOOKUP(B124,'03. THIẾT BỊ'!$B$1:$S$836,5,0),"")</f>
        <v>Gàu định hình đào mương thoát nước</v>
      </c>
      <c r="G124" s="80" t="s">
        <v>6423</v>
      </c>
      <c r="H124" s="463" t="str">
        <f>IFERROR(VLOOKUP(B124,'03. THIẾT BỊ'!$B$1:$S$836,7,0),"")</f>
        <v>XN Chuối LP1</v>
      </c>
      <c r="I124" s="474">
        <f>IFERROR(VLOOKUP(B124,'03. THIẾT BỊ'!$B$1:$S$836,8,0),"")</f>
        <v>45694</v>
      </c>
      <c r="J124" s="471"/>
      <c r="K124" s="463" t="str">
        <f>IFERROR(VLOOKUP(B124,'03. THIẾT BỊ'!$B$1:$S$836,10,0),"")</f>
        <v>Bình thường</v>
      </c>
      <c r="L124" s="468" t="str">
        <f>IFERROR(VLOOKUP(B124,'03. THIẾT BỊ'!$B$1:$S$836,11,0),"")</f>
        <v>GC mới</v>
      </c>
      <c r="M124" s="472" t="str">
        <f>IFERROR(VLOOKUP(B124,'03. THIẾT BỊ'!$B$1:$S$836,12,0),"")</f>
        <v/>
      </c>
      <c r="N124" s="468" t="str">
        <f>IFERROR(VLOOKUP(B124,'03. THIẾT BỊ'!$B$1:$S$836,13,0),"")</f>
        <v>THACO AGRI</v>
      </c>
      <c r="O124" s="470" t="str">
        <f>IFERROR(VLOOKUP(B124,'03. THIẾT BỊ'!$B$1:$S$836,14,0),"")</f>
        <v/>
      </c>
      <c r="P124" s="468" t="str">
        <f>IFERROR(VLOOKUP(B124,'03. THIẾT BỊ'!$B$1:$S$836,15,0),"")</f>
        <v>CK-CGH</v>
      </c>
      <c r="Q124" s="48" t="str">
        <f>IFERROR(VLOOKUP(B124,'03. THIẾT BỊ'!$B$1:$S$836,16,0),"")</f>
        <v/>
      </c>
      <c r="R124" s="471" t="str">
        <f>IFERROR(VLOOKUP(B124,'03. THIẾT BỊ'!$B$1:$S$836,17,0),"")</f>
        <v>350x200x400</v>
      </c>
      <c r="S124" s="468" t="str">
        <f>IFERROR(VLOOKUP(B124,'03. THIẾT BỊ'!$B$1:$S$836,18,0),"")</f>
        <v/>
      </c>
      <c r="T124" s="807"/>
    </row>
    <row r="125" ht="15.0" customHeight="1">
      <c r="A125" s="48">
        <f t="shared" si="3"/>
        <v>76</v>
      </c>
      <c r="B125" s="464" t="s">
        <v>4562</v>
      </c>
      <c r="C125" s="869" t="str">
        <f>IFERROR(VLOOKUP(B125,'03. THIẾT BỊ'!$B$1:$S$836,2,0),"")</f>
        <v/>
      </c>
      <c r="D125" s="470" t="str">
        <f>IFERROR(VLOOKUP(B125,'03. THIẾT BỊ'!$B$1:$S$836,3,0),"")</f>
        <v>A24-GĐH-082</v>
      </c>
      <c r="E125" s="464" t="str">
        <f>IFERROR(VLOOKUP(B125,'03. THIẾT BỊ'!$B$1:$S$836,4,0),"")</f>
        <v>ĐQSD</v>
      </c>
      <c r="F125" s="464" t="str">
        <f>IFERROR(VLOOKUP(B125,'03. THIẾT BỊ'!$B$1:$S$836,5,0),"")</f>
        <v>Gàu định hình đào mương thoát nước</v>
      </c>
      <c r="G125" s="80" t="s">
        <v>6423</v>
      </c>
      <c r="H125" s="463" t="str">
        <f>IFERROR(VLOOKUP(B125,'03. THIẾT BỊ'!$B$1:$S$836,7,0),"")</f>
        <v>XN Chuối LP1</v>
      </c>
      <c r="I125" s="474">
        <f>IFERROR(VLOOKUP(B125,'03. THIẾT BỊ'!$B$1:$S$836,8,0),"")</f>
        <v>45694</v>
      </c>
      <c r="J125" s="471"/>
      <c r="K125" s="463" t="str">
        <f>IFERROR(VLOOKUP(B125,'03. THIẾT BỊ'!$B$1:$S$836,10,0),"")</f>
        <v>Bình thường</v>
      </c>
      <c r="L125" s="468" t="str">
        <f>IFERROR(VLOOKUP(B125,'03. THIẾT BỊ'!$B$1:$S$836,11,0),"")</f>
        <v>GC mới</v>
      </c>
      <c r="M125" s="472" t="str">
        <f>IFERROR(VLOOKUP(B125,'03. THIẾT BỊ'!$B$1:$S$836,12,0),"")</f>
        <v/>
      </c>
      <c r="N125" s="468" t="str">
        <f>IFERROR(VLOOKUP(B125,'03. THIẾT BỊ'!$B$1:$S$836,13,0),"")</f>
        <v>THACO AGRI</v>
      </c>
      <c r="O125" s="470" t="str">
        <f>IFERROR(VLOOKUP(B125,'03. THIẾT BỊ'!$B$1:$S$836,14,0),"")</f>
        <v/>
      </c>
      <c r="P125" s="468" t="str">
        <f>IFERROR(VLOOKUP(B125,'03. THIẾT BỊ'!$B$1:$S$836,15,0),"")</f>
        <v>CK-CGH</v>
      </c>
      <c r="Q125" s="48" t="str">
        <f>IFERROR(VLOOKUP(B125,'03. THIẾT BỊ'!$B$1:$S$836,16,0),"")</f>
        <v/>
      </c>
      <c r="R125" s="471" t="str">
        <f>IFERROR(VLOOKUP(B125,'03. THIẾT BỊ'!$B$1:$S$836,17,0),"")</f>
        <v>350x200x400</v>
      </c>
      <c r="S125" s="468" t="str">
        <f>IFERROR(VLOOKUP(B125,'03. THIẾT BỊ'!$B$1:$S$836,18,0),"")</f>
        <v/>
      </c>
      <c r="T125" s="807"/>
    </row>
    <row r="126" ht="15.0" customHeight="1">
      <c r="A126" s="48">
        <f t="shared" si="3"/>
        <v>77</v>
      </c>
      <c r="B126" s="464" t="s">
        <v>4588</v>
      </c>
      <c r="C126" s="869" t="str">
        <f>IFERROR(VLOOKUP(B126,'03. THIẾT BỊ'!$B$1:$S$836,2,0),"")</f>
        <v/>
      </c>
      <c r="D126" s="470" t="str">
        <f>IFERROR(VLOOKUP(B126,'03. THIẾT BỊ'!$B$1:$S$836,3,0),"")</f>
        <v>A24-GĐH-001</v>
      </c>
      <c r="E126" s="464" t="str">
        <f>IFERROR(VLOOKUP(B126,'03. THIẾT BỊ'!$B$1:$S$836,4,0),"")</f>
        <v>ĐQSD</v>
      </c>
      <c r="F126" s="464" t="str">
        <f>IFERROR(VLOOKUP(B126,'03. THIẾT BỊ'!$B$1:$S$836,5,0),"")</f>
        <v>Gàu định hình đào mương thoát nước</v>
      </c>
      <c r="G126" s="80" t="s">
        <v>6423</v>
      </c>
      <c r="H126" s="463" t="str">
        <f>IFERROR(VLOOKUP(B126,'03. THIẾT BỊ'!$B$1:$S$836,7,0),"")</f>
        <v>XN Chuối LP3</v>
      </c>
      <c r="I126" s="474" t="str">
        <f>IFERROR(VLOOKUP(B126,'03. THIẾT BỊ'!$B$1:$S$836,8,0),"")</f>
        <v>25/09/2024</v>
      </c>
      <c r="J126" s="471"/>
      <c r="K126" s="463" t="str">
        <f>IFERROR(VLOOKUP(B126,'03. THIẾT BỊ'!$B$1:$S$836,10,0),"")</f>
        <v>Bình thường</v>
      </c>
      <c r="L126" s="468" t="str">
        <f>IFERROR(VLOOKUP(B126,'03. THIẾT BỊ'!$B$1:$S$836,11,0),"")</f>
        <v/>
      </c>
      <c r="M126" s="472" t="str">
        <f>IFERROR(VLOOKUP(B126,'03. THIẾT BỊ'!$B$1:$S$836,12,0),"")</f>
        <v/>
      </c>
      <c r="N126" s="468" t="str">
        <f>IFERROR(VLOOKUP(B126,'03. THIẾT BỊ'!$B$1:$S$836,13,0),"")</f>
        <v>THACO AGRI</v>
      </c>
      <c r="O126" s="470" t="str">
        <f>IFERROR(VLOOKUP(B126,'03. THIẾT BỊ'!$B$1:$S$836,14,0),"")</f>
        <v/>
      </c>
      <c r="P126" s="468" t="str">
        <f>IFERROR(VLOOKUP(B126,'03. THIẾT BỊ'!$B$1:$S$836,15,0),"")</f>
        <v>CK-CGH</v>
      </c>
      <c r="Q126" s="48">
        <f>IFERROR(VLOOKUP(B126,'03. THIẾT BỊ'!$B$1:$S$836,16,0),"")</f>
        <v>2024</v>
      </c>
      <c r="R126" s="471" t="str">
        <f>IFERROR(VLOOKUP(B126,'03. THIẾT BỊ'!$B$1:$S$836,17,0),"")</f>
        <v>350x200x400</v>
      </c>
      <c r="S126" s="468" t="str">
        <f>IFERROR(VLOOKUP(B126,'03. THIẾT BỊ'!$B$1:$S$836,18,0),"")</f>
        <v/>
      </c>
      <c r="T126" s="812"/>
    </row>
    <row r="127" ht="15.0" customHeight="1">
      <c r="A127" s="48">
        <f t="shared" si="3"/>
        <v>78</v>
      </c>
      <c r="B127" s="464" t="s">
        <v>4591</v>
      </c>
      <c r="C127" s="869" t="str">
        <f>IFERROR(VLOOKUP(B127,'03. THIẾT BỊ'!$B$1:$S$836,2,0),"")</f>
        <v/>
      </c>
      <c r="D127" s="470" t="str">
        <f>IFERROR(VLOOKUP(B127,'03. THIẾT BỊ'!$B$1:$S$836,3,0),"")</f>
        <v>A24-GĐH-002</v>
      </c>
      <c r="E127" s="464" t="str">
        <f>IFERROR(VLOOKUP(B127,'03. THIẾT BỊ'!$B$1:$S$836,4,0),"")</f>
        <v>ĐQSD</v>
      </c>
      <c r="F127" s="464" t="str">
        <f>IFERROR(VLOOKUP(B127,'03. THIẾT BỊ'!$B$1:$S$836,5,0),"")</f>
        <v>Gàu định hình đào mương thoát nước</v>
      </c>
      <c r="G127" s="80" t="s">
        <v>6423</v>
      </c>
      <c r="H127" s="463" t="str">
        <f>IFERROR(VLOOKUP(B127,'03. THIẾT BỊ'!$B$1:$S$836,7,0),"")</f>
        <v>XN Chuối LP3</v>
      </c>
      <c r="I127" s="474" t="str">
        <f>IFERROR(VLOOKUP(B127,'03. THIẾT BỊ'!$B$1:$S$836,8,0),"")</f>
        <v>25/09/2024</v>
      </c>
      <c r="J127" s="471"/>
      <c r="K127" s="463" t="str">
        <f>IFERROR(VLOOKUP(B127,'03. THIẾT BỊ'!$B$1:$S$836,10,0),"")</f>
        <v>Bình thường</v>
      </c>
      <c r="L127" s="468" t="str">
        <f>IFERROR(VLOOKUP(B127,'03. THIẾT BỊ'!$B$1:$S$836,11,0),"")</f>
        <v/>
      </c>
      <c r="M127" s="472" t="str">
        <f>IFERROR(VLOOKUP(B127,'03. THIẾT BỊ'!$B$1:$S$836,12,0),"")</f>
        <v/>
      </c>
      <c r="N127" s="468" t="str">
        <f>IFERROR(VLOOKUP(B127,'03. THIẾT BỊ'!$B$1:$S$836,13,0),"")</f>
        <v>THACO AGRI</v>
      </c>
      <c r="O127" s="470" t="str">
        <f>IFERROR(VLOOKUP(B127,'03. THIẾT BỊ'!$B$1:$S$836,14,0),"")</f>
        <v/>
      </c>
      <c r="P127" s="468" t="str">
        <f>IFERROR(VLOOKUP(B127,'03. THIẾT BỊ'!$B$1:$S$836,15,0),"")</f>
        <v>CK-CGH</v>
      </c>
      <c r="Q127" s="48">
        <f>IFERROR(VLOOKUP(B127,'03. THIẾT BỊ'!$B$1:$S$836,16,0),"")</f>
        <v>2024</v>
      </c>
      <c r="R127" s="471" t="str">
        <f>IFERROR(VLOOKUP(B127,'03. THIẾT BỊ'!$B$1:$S$836,17,0),"")</f>
        <v>500x200x700</v>
      </c>
      <c r="S127" s="468" t="str">
        <f>IFERROR(VLOOKUP(B127,'03. THIẾT BỊ'!$B$1:$S$836,18,0),"")</f>
        <v/>
      </c>
      <c r="T127" s="812"/>
    </row>
    <row r="128" ht="15.0" customHeight="1">
      <c r="A128" s="48">
        <f t="shared" si="3"/>
        <v>79</v>
      </c>
      <c r="B128" s="464" t="s">
        <v>4593</v>
      </c>
      <c r="C128" s="869" t="str">
        <f>IFERROR(VLOOKUP(B128,'03. THIẾT BỊ'!$B$1:$S$836,2,0),"")</f>
        <v/>
      </c>
      <c r="D128" s="470" t="str">
        <f>IFERROR(VLOOKUP(B128,'03. THIẾT BỊ'!$B$1:$S$836,3,0),"")</f>
        <v>A24-GĐH-003</v>
      </c>
      <c r="E128" s="464" t="str">
        <f>IFERROR(VLOOKUP(B128,'03. THIẾT BỊ'!$B$1:$S$836,4,0),"")</f>
        <v>ĐQSD</v>
      </c>
      <c r="F128" s="464" t="str">
        <f>IFERROR(VLOOKUP(B128,'03. THIẾT BỊ'!$B$1:$S$836,5,0),"")</f>
        <v>Gàu định hình đào mương thoát nước</v>
      </c>
      <c r="G128" s="80" t="s">
        <v>6423</v>
      </c>
      <c r="H128" s="463" t="str">
        <f>IFERROR(VLOOKUP(B128,'03. THIẾT BỊ'!$B$1:$S$836,7,0),"")</f>
        <v>XN Chuối LP3</v>
      </c>
      <c r="I128" s="474" t="str">
        <f>IFERROR(VLOOKUP(B128,'03. THIẾT BỊ'!$B$1:$S$836,8,0),"")</f>
        <v>25/09/2024</v>
      </c>
      <c r="J128" s="471"/>
      <c r="K128" s="463" t="str">
        <f>IFERROR(VLOOKUP(B128,'03. THIẾT BỊ'!$B$1:$S$836,10,0),"")</f>
        <v>Bình thường</v>
      </c>
      <c r="L128" s="468" t="str">
        <f>IFERROR(VLOOKUP(B128,'03. THIẾT BỊ'!$B$1:$S$836,11,0),"")</f>
        <v/>
      </c>
      <c r="M128" s="472" t="str">
        <f>IFERROR(VLOOKUP(B128,'03. THIẾT BỊ'!$B$1:$S$836,12,0),"")</f>
        <v/>
      </c>
      <c r="N128" s="468" t="str">
        <f>IFERROR(VLOOKUP(B128,'03. THIẾT BỊ'!$B$1:$S$836,13,0),"")</f>
        <v>THACO AGRI</v>
      </c>
      <c r="O128" s="470" t="str">
        <f>IFERROR(VLOOKUP(B128,'03. THIẾT BỊ'!$B$1:$S$836,14,0),"")</f>
        <v/>
      </c>
      <c r="P128" s="468" t="str">
        <f>IFERROR(VLOOKUP(B128,'03. THIẾT BỊ'!$B$1:$S$836,15,0),"")</f>
        <v>CK-CGH</v>
      </c>
      <c r="Q128" s="48">
        <f>IFERROR(VLOOKUP(B128,'03. THIẾT BỊ'!$B$1:$S$836,16,0),"")</f>
        <v>2024</v>
      </c>
      <c r="R128" s="471" t="str">
        <f>IFERROR(VLOOKUP(B128,'03. THIẾT BỊ'!$B$1:$S$836,17,0),"")</f>
        <v>500x200x700</v>
      </c>
      <c r="S128" s="468" t="str">
        <f>IFERROR(VLOOKUP(B128,'03. THIẾT BỊ'!$B$1:$S$836,18,0),"")</f>
        <v/>
      </c>
      <c r="T128" s="812"/>
    </row>
    <row r="129" ht="15.0" customHeight="1">
      <c r="A129" s="48">
        <f t="shared" si="3"/>
        <v>80</v>
      </c>
      <c r="B129" s="464" t="s">
        <v>4594</v>
      </c>
      <c r="C129" s="869" t="str">
        <f>IFERROR(VLOOKUP(B129,'03. THIẾT BỊ'!$B$1:$S$836,2,0),"")</f>
        <v/>
      </c>
      <c r="D129" s="470" t="str">
        <f>IFERROR(VLOOKUP(B129,'03. THIẾT BỊ'!$B$1:$S$836,3,0),"")</f>
        <v>A24-GĐH-070</v>
      </c>
      <c r="E129" s="464" t="str">
        <f>IFERROR(VLOOKUP(B129,'03. THIẾT BỊ'!$B$1:$S$836,4,0),"")</f>
        <v>ĐQSD</v>
      </c>
      <c r="F129" s="464" t="str">
        <f>IFERROR(VLOOKUP(B129,'03. THIẾT BỊ'!$B$1:$S$836,5,0),"")</f>
        <v>Gàu định hình đào mương thoát nước</v>
      </c>
      <c r="G129" s="80" t="s">
        <v>6423</v>
      </c>
      <c r="H129" s="463" t="str">
        <f>IFERROR(VLOOKUP(B129,'03. THIẾT BỊ'!$B$1:$S$836,7,0),"")</f>
        <v>XN Chuối LP3</v>
      </c>
      <c r="I129" s="474" t="str">
        <f>IFERROR(VLOOKUP(B129,'03. THIẾT BỊ'!$B$1:$S$836,8,0),"")</f>
        <v>28/05/2025</v>
      </c>
      <c r="J129" s="471"/>
      <c r="K129" s="463" t="str">
        <f>IFERROR(VLOOKUP(B129,'03. THIẾT BỊ'!$B$1:$S$836,10,0),"")</f>
        <v>Bình thường</v>
      </c>
      <c r="L129" s="468" t="str">
        <f>IFERROR(VLOOKUP(B129,'03. THIẾT BỊ'!$B$1:$S$836,11,0),"")</f>
        <v/>
      </c>
      <c r="M129" s="472" t="str">
        <f>IFERROR(VLOOKUP(B129,'03. THIẾT BỊ'!$B$1:$S$836,12,0),"")</f>
        <v/>
      </c>
      <c r="N129" s="468" t="str">
        <f>IFERROR(VLOOKUP(B129,'03. THIẾT BỊ'!$B$1:$S$836,13,0),"")</f>
        <v>THACO AGRI</v>
      </c>
      <c r="O129" s="470" t="str">
        <f>IFERROR(VLOOKUP(B129,'03. THIẾT BỊ'!$B$1:$S$836,14,0),"")</f>
        <v/>
      </c>
      <c r="P129" s="468" t="str">
        <f>IFERROR(VLOOKUP(B129,'03. THIẾT BỊ'!$B$1:$S$836,15,0),"")</f>
        <v>CK-CGH</v>
      </c>
      <c r="Q129" s="48">
        <f>IFERROR(VLOOKUP(B129,'03. THIẾT BỊ'!$B$1:$S$836,16,0),"")</f>
        <v>2025</v>
      </c>
      <c r="R129" s="471" t="str">
        <f>IFERROR(VLOOKUP(B129,'03. THIẾT BỊ'!$B$1:$S$836,17,0),"")</f>
        <v>350*200*407</v>
      </c>
      <c r="S129" s="468" t="str">
        <f>IFERROR(VLOOKUP(B129,'03. THIẾT BỊ'!$B$1:$S$836,18,0),"")</f>
        <v/>
      </c>
      <c r="T129" s="812"/>
    </row>
    <row r="130" ht="15.0" customHeight="1">
      <c r="A130" s="48">
        <f t="shared" si="3"/>
        <v>81</v>
      </c>
      <c r="B130" s="464" t="s">
        <v>4597</v>
      </c>
      <c r="C130" s="869" t="str">
        <f>IFERROR(VLOOKUP(B130,'03. THIẾT BỊ'!$B$1:$S$836,2,0),"")</f>
        <v/>
      </c>
      <c r="D130" s="470" t="str">
        <f>IFERROR(VLOOKUP(B130,'03. THIẾT BỊ'!$B$1:$S$836,3,0),"")</f>
        <v>A24-GĐH-071</v>
      </c>
      <c r="E130" s="464" t="str">
        <f>IFERROR(VLOOKUP(B130,'03. THIẾT BỊ'!$B$1:$S$836,4,0),"")</f>
        <v>ĐQSD</v>
      </c>
      <c r="F130" s="464" t="str">
        <f>IFERROR(VLOOKUP(B130,'03. THIẾT BỊ'!$B$1:$S$836,5,0),"")</f>
        <v>Gàu định hình đào mương thoát nước</v>
      </c>
      <c r="G130" s="80" t="s">
        <v>6423</v>
      </c>
      <c r="H130" s="463" t="str">
        <f>IFERROR(VLOOKUP(B130,'03. THIẾT BỊ'!$B$1:$S$836,7,0),"")</f>
        <v>XN Chuối LP3</v>
      </c>
      <c r="I130" s="474" t="str">
        <f>IFERROR(VLOOKUP(B130,'03. THIẾT BỊ'!$B$1:$S$836,8,0),"")</f>
        <v>28/05/2025</v>
      </c>
      <c r="J130" s="471"/>
      <c r="K130" s="463" t="str">
        <f>IFERROR(VLOOKUP(B130,'03. THIẾT BỊ'!$B$1:$S$836,10,0),"")</f>
        <v>Bình thường</v>
      </c>
      <c r="L130" s="468" t="str">
        <f>IFERROR(VLOOKUP(B130,'03. THIẾT BỊ'!$B$1:$S$836,11,0),"")</f>
        <v/>
      </c>
      <c r="M130" s="472" t="str">
        <f>IFERROR(VLOOKUP(B130,'03. THIẾT BỊ'!$B$1:$S$836,12,0),"")</f>
        <v/>
      </c>
      <c r="N130" s="468" t="str">
        <f>IFERROR(VLOOKUP(B130,'03. THIẾT BỊ'!$B$1:$S$836,13,0),"")</f>
        <v>THACO AGRI</v>
      </c>
      <c r="O130" s="470" t="str">
        <f>IFERROR(VLOOKUP(B130,'03. THIẾT BỊ'!$B$1:$S$836,14,0),"")</f>
        <v/>
      </c>
      <c r="P130" s="468" t="str">
        <f>IFERROR(VLOOKUP(B130,'03. THIẾT BỊ'!$B$1:$S$836,15,0),"")</f>
        <v>CK-CGH</v>
      </c>
      <c r="Q130" s="48">
        <f>IFERROR(VLOOKUP(B130,'03. THIẾT BỊ'!$B$1:$S$836,16,0),"")</f>
        <v>2025</v>
      </c>
      <c r="R130" s="471" t="str">
        <f>IFERROR(VLOOKUP(B130,'03. THIẾT BỊ'!$B$1:$S$836,17,0),"")</f>
        <v>350*200*407</v>
      </c>
      <c r="S130" s="468" t="str">
        <f>IFERROR(VLOOKUP(B130,'03. THIẾT BỊ'!$B$1:$S$836,18,0),"")</f>
        <v/>
      </c>
      <c r="T130" s="812"/>
    </row>
    <row r="131" ht="15.0" customHeight="1">
      <c r="A131" s="48">
        <f t="shared" si="3"/>
        <v>82</v>
      </c>
      <c r="B131" s="464" t="s">
        <v>4599</v>
      </c>
      <c r="C131" s="869" t="str">
        <f>IFERROR(VLOOKUP(B131,'03. THIẾT BỊ'!$B$1:$S$836,2,0),"")</f>
        <v/>
      </c>
      <c r="D131" s="470" t="str">
        <f>IFERROR(VLOOKUP(B131,'03. THIẾT BỊ'!$B$1:$S$836,3,0),"")</f>
        <v>A24-GĐH-072</v>
      </c>
      <c r="E131" s="464" t="str">
        <f>IFERROR(VLOOKUP(B131,'03. THIẾT BỊ'!$B$1:$S$836,4,0),"")</f>
        <v>ĐQSD</v>
      </c>
      <c r="F131" s="464" t="str">
        <f>IFERROR(VLOOKUP(B131,'03. THIẾT BỊ'!$B$1:$S$836,5,0),"")</f>
        <v>Gàu định hình đào mương thoát nước</v>
      </c>
      <c r="G131" s="80" t="s">
        <v>6423</v>
      </c>
      <c r="H131" s="463" t="str">
        <f>IFERROR(VLOOKUP(B131,'03. THIẾT BỊ'!$B$1:$S$836,7,0),"")</f>
        <v>XN Chuối LP3</v>
      </c>
      <c r="I131" s="474" t="str">
        <f>IFERROR(VLOOKUP(B131,'03. THIẾT BỊ'!$B$1:$S$836,8,0),"")</f>
        <v>28/05/2025</v>
      </c>
      <c r="J131" s="471"/>
      <c r="K131" s="463" t="str">
        <f>IFERROR(VLOOKUP(B131,'03. THIẾT BỊ'!$B$1:$S$836,10,0),"")</f>
        <v>Bình thường</v>
      </c>
      <c r="L131" s="468" t="str">
        <f>IFERROR(VLOOKUP(B131,'03. THIẾT BỊ'!$B$1:$S$836,11,0),"")</f>
        <v/>
      </c>
      <c r="M131" s="472" t="str">
        <f>IFERROR(VLOOKUP(B131,'03. THIẾT BỊ'!$B$1:$S$836,12,0),"")</f>
        <v/>
      </c>
      <c r="N131" s="468" t="str">
        <f>IFERROR(VLOOKUP(B131,'03. THIẾT BỊ'!$B$1:$S$836,13,0),"")</f>
        <v>THACO AGRI</v>
      </c>
      <c r="O131" s="470" t="str">
        <f>IFERROR(VLOOKUP(B131,'03. THIẾT BỊ'!$B$1:$S$836,14,0),"")</f>
        <v/>
      </c>
      <c r="P131" s="468" t="str">
        <f>IFERROR(VLOOKUP(B131,'03. THIẾT BỊ'!$B$1:$S$836,15,0),"")</f>
        <v>CK-CGH</v>
      </c>
      <c r="Q131" s="48">
        <f>IFERROR(VLOOKUP(B131,'03. THIẾT BỊ'!$B$1:$S$836,16,0),"")</f>
        <v>2025</v>
      </c>
      <c r="R131" s="471" t="str">
        <f>IFERROR(VLOOKUP(B131,'03. THIẾT BỊ'!$B$1:$S$836,17,0),"")</f>
        <v>350*200*407</v>
      </c>
      <c r="S131" s="468" t="str">
        <f>IFERROR(VLOOKUP(B131,'03. THIẾT BỊ'!$B$1:$S$836,18,0),"")</f>
        <v/>
      </c>
      <c r="T131" s="812"/>
    </row>
    <row r="132" ht="15.0" customHeight="1">
      <c r="A132" s="48">
        <f t="shared" si="3"/>
        <v>83</v>
      </c>
      <c r="B132" s="464" t="s">
        <v>3952</v>
      </c>
      <c r="C132" s="869" t="str">
        <f>IFERROR(VLOOKUP(B132,'03. THIẾT BỊ'!$B$1:$S$836,2,0),"")</f>
        <v/>
      </c>
      <c r="D132" s="470" t="str">
        <f>IFERROR(VLOOKUP(B132,'03. THIẾT BỊ'!$B$1:$S$836,3,0),"")</f>
        <v>A23-GMĐ-001</v>
      </c>
      <c r="E132" s="464" t="str">
        <f>IFERROR(VLOOKUP(B132,'03. THIẾT BỊ'!$B$1:$S$836,4,0),"")</f>
        <v>ĐQSD</v>
      </c>
      <c r="F132" s="464" t="str">
        <f>IFERROR(VLOOKUP(B132,'03. THIẾT BỊ'!$B$1:$S$836,5,0),"")</f>
        <v>Gàu máy đào 05 (50*100*100cm)</v>
      </c>
      <c r="G132" s="80" t="s">
        <v>6423</v>
      </c>
      <c r="H132" s="463" t="str">
        <f>IFERROR(VLOOKUP(B132,'03. THIẾT BỊ'!$B$1:$S$836,7,0),"")</f>
        <v>XN Chuối DP1</v>
      </c>
      <c r="I132" s="474" t="str">
        <f>IFERROR(VLOOKUP(B132,'03. THIẾT BỊ'!$B$1:$S$836,8,0),"")</f>
        <v>19/04/2024</v>
      </c>
      <c r="J132" s="471"/>
      <c r="K132" s="463" t="str">
        <f>IFERROR(VLOOKUP(B132,'03. THIẾT BỊ'!$B$1:$S$836,10,0),"")</f>
        <v>Bình thường</v>
      </c>
      <c r="L132" s="468" t="str">
        <f>IFERROR(VLOOKUP(B132,'03. THIẾT BỊ'!$B$1:$S$836,11,0),"")</f>
        <v/>
      </c>
      <c r="M132" s="472" t="str">
        <f>IFERROR(VLOOKUP(B132,'03. THIẾT BỊ'!$B$1:$S$836,12,0),"")</f>
        <v/>
      </c>
      <c r="N132" s="468" t="str">
        <f>IFERROR(VLOOKUP(B132,'03. THIẾT BỊ'!$B$1:$S$836,13,0),"")</f>
        <v>THACO AGRI</v>
      </c>
      <c r="O132" s="470" t="str">
        <f>IFERROR(VLOOKUP(B132,'03. THIẾT BỊ'!$B$1:$S$836,14,0),"")</f>
        <v/>
      </c>
      <c r="P132" s="468" t="str">
        <f>IFERROR(VLOOKUP(B132,'03. THIẾT BỊ'!$B$1:$S$836,15,0),"")</f>
        <v>CK-CGH</v>
      </c>
      <c r="Q132" s="48" t="str">
        <f>IFERROR(VLOOKUP(B132,'03. THIẾT BỊ'!$B$1:$S$836,16,0),"")</f>
        <v/>
      </c>
      <c r="R132" s="471" t="str">
        <f>IFERROR(VLOOKUP(B132,'03. THIẾT BỊ'!$B$1:$S$836,17,0),"")</f>
        <v/>
      </c>
      <c r="S132" s="468" t="str">
        <f>IFERROR(VLOOKUP(B132,'03. THIẾT BỊ'!$B$1:$S$836,18,0),"")</f>
        <v/>
      </c>
      <c r="T132" s="807"/>
    </row>
    <row r="133" ht="15.0" customHeight="1">
      <c r="A133" s="48">
        <f t="shared" si="3"/>
        <v>84</v>
      </c>
      <c r="B133" s="464" t="s">
        <v>3956</v>
      </c>
      <c r="C133" s="869" t="str">
        <f>IFERROR(VLOOKUP(B133,'03. THIẾT BỊ'!$B$1:$S$836,2,0),"")</f>
        <v/>
      </c>
      <c r="D133" s="470" t="str">
        <f>IFERROR(VLOOKUP(B133,'03. THIẾT BỊ'!$B$1:$S$836,3,0),"")</f>
        <v>A23-GMĐ-002</v>
      </c>
      <c r="E133" s="464" t="str">
        <f>IFERROR(VLOOKUP(B133,'03. THIẾT BỊ'!$B$1:$S$836,4,0),"")</f>
        <v>ĐQSD</v>
      </c>
      <c r="F133" s="464" t="str">
        <f>IFERROR(VLOOKUP(B133,'03. THIẾT BỊ'!$B$1:$S$836,5,0),"")</f>
        <v>Gàu máy đào 05 (50*100*150cm)</v>
      </c>
      <c r="G133" s="80" t="s">
        <v>6423</v>
      </c>
      <c r="H133" s="463" t="str">
        <f>IFERROR(VLOOKUP(B133,'03. THIẾT BỊ'!$B$1:$S$836,7,0),"")</f>
        <v>XN Chuối DP1</v>
      </c>
      <c r="I133" s="474" t="str">
        <f>IFERROR(VLOOKUP(B133,'03. THIẾT BỊ'!$B$1:$S$836,8,0),"")</f>
        <v>19/04/2024</v>
      </c>
      <c r="J133" s="471"/>
      <c r="K133" s="463" t="str">
        <f>IFERROR(VLOOKUP(B133,'03. THIẾT BỊ'!$B$1:$S$836,10,0),"")</f>
        <v>Bình thường</v>
      </c>
      <c r="L133" s="468" t="str">
        <f>IFERROR(VLOOKUP(B133,'03. THIẾT BỊ'!$B$1:$S$836,11,0),"")</f>
        <v/>
      </c>
      <c r="M133" s="472" t="str">
        <f>IFERROR(VLOOKUP(B133,'03. THIẾT BỊ'!$B$1:$S$836,12,0),"")</f>
        <v/>
      </c>
      <c r="N133" s="468" t="str">
        <f>IFERROR(VLOOKUP(B133,'03. THIẾT BỊ'!$B$1:$S$836,13,0),"")</f>
        <v>THACO AGRI</v>
      </c>
      <c r="O133" s="470" t="str">
        <f>IFERROR(VLOOKUP(B133,'03. THIẾT BỊ'!$B$1:$S$836,14,0),"")</f>
        <v/>
      </c>
      <c r="P133" s="468" t="str">
        <f>IFERROR(VLOOKUP(B133,'03. THIẾT BỊ'!$B$1:$S$836,15,0),"")</f>
        <v>CK-CGH</v>
      </c>
      <c r="Q133" s="48" t="str">
        <f>IFERROR(VLOOKUP(B133,'03. THIẾT BỊ'!$B$1:$S$836,16,0),"")</f>
        <v/>
      </c>
      <c r="R133" s="471" t="str">
        <f>IFERROR(VLOOKUP(B133,'03. THIẾT BỊ'!$B$1:$S$836,17,0),"")</f>
        <v/>
      </c>
      <c r="S133" s="468" t="str">
        <f>IFERROR(VLOOKUP(B133,'03. THIẾT BỊ'!$B$1:$S$836,18,0),"")</f>
        <v/>
      </c>
      <c r="T133" s="807"/>
    </row>
    <row r="134" ht="15.0" customHeight="1">
      <c r="A134" s="48">
        <f t="shared" si="3"/>
        <v>85</v>
      </c>
      <c r="B134" s="464" t="s">
        <v>3959</v>
      </c>
      <c r="C134" s="869" t="str">
        <f>IFERROR(VLOOKUP(B134,'03. THIẾT BỊ'!$B$1:$S$836,2,0),"")</f>
        <v/>
      </c>
      <c r="D134" s="470" t="str">
        <f>IFERROR(VLOOKUP(B134,'03. THIẾT BỊ'!$B$1:$S$836,3,0),"")</f>
        <v>A23-GMĐ-003</v>
      </c>
      <c r="E134" s="464" t="str">
        <f>IFERROR(VLOOKUP(B134,'03. THIẾT BỊ'!$B$1:$S$836,4,0),"")</f>
        <v>ĐQSD</v>
      </c>
      <c r="F134" s="464" t="str">
        <f>IFERROR(VLOOKUP(B134,'03. THIẾT BỊ'!$B$1:$S$836,5,0),"")</f>
        <v>Gàu máy đào 03 (40*80*100cm)</v>
      </c>
      <c r="G134" s="80" t="s">
        <v>6423</v>
      </c>
      <c r="H134" s="463" t="str">
        <f>IFERROR(VLOOKUP(B134,'03. THIẾT BỊ'!$B$1:$S$836,7,0),"")</f>
        <v>XN Chuối DP1</v>
      </c>
      <c r="I134" s="474" t="str">
        <f>IFERROR(VLOOKUP(B134,'03. THIẾT BỊ'!$B$1:$S$836,8,0),"")</f>
        <v>19/04/2024</v>
      </c>
      <c r="J134" s="471"/>
      <c r="K134" s="463" t="str">
        <f>IFERROR(VLOOKUP(B134,'03. THIẾT BỊ'!$B$1:$S$836,10,0),"")</f>
        <v>Bình thường</v>
      </c>
      <c r="L134" s="468" t="str">
        <f>IFERROR(VLOOKUP(B134,'03. THIẾT BỊ'!$B$1:$S$836,11,0),"")</f>
        <v/>
      </c>
      <c r="M134" s="472" t="str">
        <f>IFERROR(VLOOKUP(B134,'03. THIẾT BỊ'!$B$1:$S$836,12,0),"")</f>
        <v/>
      </c>
      <c r="N134" s="468" t="str">
        <f>IFERROR(VLOOKUP(B134,'03. THIẾT BỊ'!$B$1:$S$836,13,0),"")</f>
        <v>THACO AGRI</v>
      </c>
      <c r="O134" s="470" t="str">
        <f>IFERROR(VLOOKUP(B134,'03. THIẾT BỊ'!$B$1:$S$836,14,0),"")</f>
        <v/>
      </c>
      <c r="P134" s="468" t="str">
        <f>IFERROR(VLOOKUP(B134,'03. THIẾT BỊ'!$B$1:$S$836,15,0),"")</f>
        <v>CK-CGH</v>
      </c>
      <c r="Q134" s="48" t="str">
        <f>IFERROR(VLOOKUP(B134,'03. THIẾT BỊ'!$B$1:$S$836,16,0),"")</f>
        <v/>
      </c>
      <c r="R134" s="471" t="str">
        <f>IFERROR(VLOOKUP(B134,'03. THIẾT BỊ'!$B$1:$S$836,17,0),"")</f>
        <v/>
      </c>
      <c r="S134" s="468" t="str">
        <f>IFERROR(VLOOKUP(B134,'03. THIẾT BỊ'!$B$1:$S$836,18,0),"")</f>
        <v/>
      </c>
      <c r="T134" s="807"/>
    </row>
    <row r="135" ht="15.0" customHeight="1">
      <c r="A135" s="48">
        <f t="shared" si="3"/>
        <v>86</v>
      </c>
      <c r="B135" s="464" t="s">
        <v>4681</v>
      </c>
      <c r="C135" s="869" t="str">
        <f>IFERROR(VLOOKUP(B135,'03. THIẾT BỊ'!$B$1:$S$836,2,0),"")</f>
        <v/>
      </c>
      <c r="D135" s="470" t="str">
        <f>IFERROR(VLOOKUP(B135,'03. THIẾT BỊ'!$B$1:$S$836,3,0),"")</f>
        <v>A24-GMĐ-001</v>
      </c>
      <c r="E135" s="464" t="str">
        <f>IFERROR(VLOOKUP(B135,'03. THIẾT BỊ'!$B$1:$S$836,4,0),"")</f>
        <v>ĐQSD</v>
      </c>
      <c r="F135" s="464" t="str">
        <f>IFERROR(VLOOKUP(B135,'03. THIẾT BỊ'!$B$1:$S$836,5,0),"")</f>
        <v>Gàu máy đào 05 gia công quy cách 1M</v>
      </c>
      <c r="G135" s="80" t="s">
        <v>6423</v>
      </c>
      <c r="H135" s="463" t="str">
        <f>IFERROR(VLOOKUP(B135,'03. THIẾT BỊ'!$B$1:$S$836,7,0),"")</f>
        <v>XN Chuối LP3</v>
      </c>
      <c r="I135" s="474" t="str">
        <f>IFERROR(VLOOKUP(B135,'03. THIẾT BỊ'!$B$1:$S$836,8,0),"")</f>
        <v>19/04/2024</v>
      </c>
      <c r="J135" s="471"/>
      <c r="K135" s="463" t="str">
        <f>IFERROR(VLOOKUP(B135,'03. THIẾT BỊ'!$B$1:$S$836,10,0),"")</f>
        <v>Bình thường</v>
      </c>
      <c r="L135" s="468" t="str">
        <f>IFERROR(VLOOKUP(B135,'03. THIẾT BỊ'!$B$1:$S$836,11,0),"")</f>
        <v/>
      </c>
      <c r="M135" s="472" t="str">
        <f>IFERROR(VLOOKUP(B135,'03. THIẾT BỊ'!$B$1:$S$836,12,0),"")</f>
        <v>Gia công mới</v>
      </c>
      <c r="N135" s="468" t="str">
        <f>IFERROR(VLOOKUP(B135,'03. THIẾT BỊ'!$B$1:$S$836,13,0),"")</f>
        <v>THACO AGRI</v>
      </c>
      <c r="O135" s="470" t="str">
        <f>IFERROR(VLOOKUP(B135,'03. THIẾT BỊ'!$B$1:$S$836,14,0),"")</f>
        <v/>
      </c>
      <c r="P135" s="468" t="str">
        <f>IFERROR(VLOOKUP(B135,'03. THIẾT BỊ'!$B$1:$S$836,15,0),"")</f>
        <v>CK-CGH</v>
      </c>
      <c r="Q135" s="48" t="str">
        <f>IFERROR(VLOOKUP(B135,'03. THIẾT BỊ'!$B$1:$S$836,16,0),"")</f>
        <v/>
      </c>
      <c r="R135" s="471" t="str">
        <f>IFERROR(VLOOKUP(B135,'03. THIẾT BỊ'!$B$1:$S$836,17,0),"")</f>
        <v>DxRxC: 1.5m*0.7m*1.3m</v>
      </c>
      <c r="S135" s="468" t="str">
        <f>IFERROR(VLOOKUP(B135,'03. THIẾT BỊ'!$B$1:$S$836,18,0),"")</f>
        <v/>
      </c>
      <c r="T135" s="807"/>
    </row>
    <row r="136">
      <c r="C136" s="869" t="str">
        <f>IFERROR(VLOOKUP(B136,'03. THIẾT BỊ'!$B$1:$S$836,2,0),"")</f>
        <v/>
      </c>
      <c r="D136" s="470" t="str">
        <f>IFERROR(VLOOKUP(B136,'03. THIẾT BỊ'!$B$1:$S$836,3,0),"")</f>
        <v/>
      </c>
      <c r="E136" s="464" t="str">
        <f>IFERROR(VLOOKUP(B136,'03. THIẾT BỊ'!$B$1:$S$836,4,0),"")</f>
        <v/>
      </c>
      <c r="F136" s="464" t="str">
        <f>IFERROR(VLOOKUP(B136,'03. THIẾT BỊ'!$B$1:$S$836,5,0),"")</f>
        <v/>
      </c>
      <c r="G136" s="80" t="s">
        <v>6423</v>
      </c>
      <c r="H136" s="463" t="str">
        <f>IFERROR(VLOOKUP(B136,'03. THIẾT BỊ'!$B$1:$S$836,7,0),"")</f>
        <v/>
      </c>
      <c r="I136" s="474" t="str">
        <f>IFERROR(VLOOKUP(B136,'03. THIẾT BỊ'!$B$1:$S$836,8,0),"")</f>
        <v/>
      </c>
      <c r="J136" s="471"/>
      <c r="K136" s="463" t="str">
        <f>IFERROR(VLOOKUP(B136,'03. THIẾT BỊ'!$B$1:$S$836,10,0),"")</f>
        <v/>
      </c>
      <c r="L136" s="468" t="str">
        <f>IFERROR(VLOOKUP(B136,'03. THIẾT BỊ'!$B$1:$S$836,11,0),"")</f>
        <v/>
      </c>
      <c r="M136" s="472" t="str">
        <f>IFERROR(VLOOKUP(B136,'03. THIẾT BỊ'!$B$1:$S$836,12,0),"")</f>
        <v/>
      </c>
      <c r="N136" s="468" t="str">
        <f>IFERROR(VLOOKUP(B136,'03. THIẾT BỊ'!$B$1:$S$836,13,0),"")</f>
        <v/>
      </c>
      <c r="O136" s="470" t="str">
        <f>IFERROR(VLOOKUP(B136,'03. THIẾT BỊ'!$B$1:$S$836,14,0),"")</f>
        <v/>
      </c>
      <c r="P136" s="468" t="str">
        <f>IFERROR(VLOOKUP(B136,'03. THIẾT BỊ'!$B$1:$S$836,15,0),"")</f>
        <v/>
      </c>
      <c r="Q136" s="48" t="str">
        <f>IFERROR(VLOOKUP(B136,'03. THIẾT BỊ'!$B$1:$S$836,16,0),"")</f>
        <v/>
      </c>
      <c r="R136" s="471" t="str">
        <f>IFERROR(VLOOKUP(B136,'03. THIẾT BỊ'!$B$1:$S$836,17,0),"")</f>
        <v/>
      </c>
      <c r="S136" s="468" t="str">
        <f>IFERROR(VLOOKUP(B136,'03. THIẾT BỊ'!$B$1:$S$836,18,0),"")</f>
        <v/>
      </c>
    </row>
    <row r="137" hidden="1">
      <c r="C137" s="869" t="str">
        <f>IFERROR(VLOOKUP(B137,'03. THIẾT BỊ'!$B$1:$S$836,2,0),"")</f>
        <v/>
      </c>
      <c r="D137" s="470" t="str">
        <f>IFERROR(VLOOKUP(B137,'03. THIẾT BỊ'!$B$1:$S$836,3,0),"")</f>
        <v/>
      </c>
      <c r="E137" s="464" t="str">
        <f>IFERROR(VLOOKUP(B137,'03. THIẾT BỊ'!$B$1:$S$836,4,0),"")</f>
        <v/>
      </c>
      <c r="F137" s="464" t="str">
        <f>IFERROR(VLOOKUP(B137,'03. THIẾT BỊ'!$B$1:$S$836,5,0),"")</f>
        <v/>
      </c>
      <c r="G137" s="80" t="s">
        <v>6423</v>
      </c>
      <c r="H137" s="463" t="str">
        <f>IFERROR(VLOOKUP(B137,'03. THIẾT BỊ'!$B$1:$S$836,7,0),"")</f>
        <v/>
      </c>
      <c r="I137" s="474" t="str">
        <f>IFERROR(VLOOKUP(B137,'03. THIẾT BỊ'!$B$1:$S$836,8,0),"")</f>
        <v/>
      </c>
      <c r="J137" s="471"/>
      <c r="K137" s="463" t="str">
        <f>IFERROR(VLOOKUP(B137,'03. THIẾT BỊ'!$B$1:$S$836,10,0),"")</f>
        <v/>
      </c>
      <c r="L137" s="468" t="str">
        <f>IFERROR(VLOOKUP(B137,'03. THIẾT BỊ'!$B$1:$S$836,11,0),"")</f>
        <v/>
      </c>
      <c r="M137" s="472" t="str">
        <f>IFERROR(VLOOKUP(B137,'03. THIẾT BỊ'!$B$1:$S$836,12,0),"")</f>
        <v/>
      </c>
      <c r="N137" s="468" t="str">
        <f>IFERROR(VLOOKUP(B137,'03. THIẾT BỊ'!$B$1:$S$836,13,0),"")</f>
        <v/>
      </c>
      <c r="O137" s="470" t="str">
        <f>IFERROR(VLOOKUP(B137,'03. THIẾT BỊ'!$B$1:$S$836,14,0),"")</f>
        <v/>
      </c>
      <c r="P137" s="468" t="str">
        <f>IFERROR(VLOOKUP(B137,'03. THIẾT BỊ'!$B$1:$S$836,15,0),"")</f>
        <v/>
      </c>
      <c r="Q137" s="48" t="str">
        <f>IFERROR(VLOOKUP(B137,'03. THIẾT BỊ'!$B$1:$S$836,16,0),"")</f>
        <v/>
      </c>
      <c r="R137" s="471" t="str">
        <f>IFERROR(VLOOKUP(B137,'03. THIẾT BỊ'!$B$1:$S$836,17,0),"")</f>
        <v/>
      </c>
      <c r="S137" s="468" t="str">
        <f>IFERROR(VLOOKUP(B137,'03. THIẾT BỊ'!$B$1:$S$836,18,0),"")</f>
        <v/>
      </c>
    </row>
    <row r="138" hidden="1">
      <c r="C138" s="869" t="str">
        <f>IFERROR(VLOOKUP(B138,'03. THIẾT BỊ'!$B$1:$S$836,2,0),"")</f>
        <v/>
      </c>
      <c r="D138" s="470" t="str">
        <f>IFERROR(VLOOKUP(B138,'03. THIẾT BỊ'!$B$1:$S$836,3,0),"")</f>
        <v/>
      </c>
      <c r="E138" s="464" t="str">
        <f>IFERROR(VLOOKUP(B138,'03. THIẾT BỊ'!$B$1:$S$836,4,0),"")</f>
        <v/>
      </c>
      <c r="F138" s="464" t="str">
        <f>IFERROR(VLOOKUP(B138,'03. THIẾT BỊ'!$B$1:$S$836,5,0),"")</f>
        <v/>
      </c>
      <c r="G138" s="80" t="s">
        <v>6423</v>
      </c>
      <c r="H138" s="463" t="str">
        <f>IFERROR(VLOOKUP(B138,'03. THIẾT BỊ'!$B$1:$S$836,7,0),"")</f>
        <v/>
      </c>
      <c r="I138" s="474" t="str">
        <f>IFERROR(VLOOKUP(B138,'03. THIẾT BỊ'!$B$1:$S$836,8,0),"")</f>
        <v/>
      </c>
      <c r="J138" s="471"/>
      <c r="K138" s="463" t="str">
        <f>IFERROR(VLOOKUP(B138,'03. THIẾT BỊ'!$B$1:$S$836,10,0),"")</f>
        <v/>
      </c>
      <c r="L138" s="468" t="str">
        <f>IFERROR(VLOOKUP(B138,'03. THIẾT BỊ'!$B$1:$S$836,11,0),"")</f>
        <v/>
      </c>
      <c r="M138" s="472" t="str">
        <f>IFERROR(VLOOKUP(B138,'03. THIẾT BỊ'!$B$1:$S$836,12,0),"")</f>
        <v/>
      </c>
      <c r="N138" s="468" t="str">
        <f>IFERROR(VLOOKUP(B138,'03. THIẾT BỊ'!$B$1:$S$836,13,0),"")</f>
        <v/>
      </c>
      <c r="O138" s="470" t="str">
        <f>IFERROR(VLOOKUP(B138,'03. THIẾT BỊ'!$B$1:$S$836,14,0),"")</f>
        <v/>
      </c>
      <c r="P138" s="468" t="str">
        <f>IFERROR(VLOOKUP(B138,'03. THIẾT BỊ'!$B$1:$S$836,15,0),"")</f>
        <v/>
      </c>
      <c r="Q138" s="48" t="str">
        <f>IFERROR(VLOOKUP(B138,'03. THIẾT BỊ'!$B$1:$S$836,16,0),"")</f>
        <v/>
      </c>
      <c r="R138" s="471" t="str">
        <f>IFERROR(VLOOKUP(B138,'03. THIẾT BỊ'!$B$1:$S$836,17,0),"")</f>
        <v/>
      </c>
      <c r="S138" s="468" t="str">
        <f>IFERROR(VLOOKUP(B138,'03. THIẾT BỊ'!$B$1:$S$836,18,0),"")</f>
        <v/>
      </c>
    </row>
    <row r="139" hidden="1">
      <c r="C139" s="869" t="str">
        <f>IFERROR(VLOOKUP(B139,'03. THIẾT BỊ'!$B$1:$S$836,2,0),"")</f>
        <v/>
      </c>
      <c r="D139" s="470" t="str">
        <f>IFERROR(VLOOKUP(B139,'03. THIẾT BỊ'!$B$1:$S$836,3,0),"")</f>
        <v/>
      </c>
      <c r="E139" s="464" t="str">
        <f>IFERROR(VLOOKUP(B139,'03. THIẾT BỊ'!$B$1:$S$836,4,0),"")</f>
        <v/>
      </c>
      <c r="F139" s="464" t="str">
        <f>IFERROR(VLOOKUP(B139,'03. THIẾT BỊ'!$B$1:$S$836,5,0),"")</f>
        <v/>
      </c>
      <c r="G139" s="80" t="s">
        <v>6423</v>
      </c>
      <c r="H139" s="463" t="str">
        <f>IFERROR(VLOOKUP(B139,'03. THIẾT BỊ'!$B$1:$S$836,7,0),"")</f>
        <v/>
      </c>
      <c r="I139" s="474" t="str">
        <f>IFERROR(VLOOKUP(B139,'03. THIẾT BỊ'!$B$1:$S$836,8,0),"")</f>
        <v/>
      </c>
      <c r="J139" s="471"/>
      <c r="K139" s="463" t="str">
        <f>IFERROR(VLOOKUP(B139,'03. THIẾT BỊ'!$B$1:$S$836,10,0),"")</f>
        <v/>
      </c>
      <c r="L139" s="468" t="str">
        <f>IFERROR(VLOOKUP(B139,'03. THIẾT BỊ'!$B$1:$S$836,11,0),"")</f>
        <v/>
      </c>
      <c r="M139" s="472" t="str">
        <f>IFERROR(VLOOKUP(B139,'03. THIẾT BỊ'!$B$1:$S$836,12,0),"")</f>
        <v/>
      </c>
      <c r="N139" s="468" t="str">
        <f>IFERROR(VLOOKUP(B139,'03. THIẾT BỊ'!$B$1:$S$836,13,0),"")</f>
        <v/>
      </c>
      <c r="O139" s="470" t="str">
        <f>IFERROR(VLOOKUP(B139,'03. THIẾT BỊ'!$B$1:$S$836,14,0),"")</f>
        <v/>
      </c>
      <c r="P139" s="468" t="str">
        <f>IFERROR(VLOOKUP(B139,'03. THIẾT BỊ'!$B$1:$S$836,15,0),"")</f>
        <v/>
      </c>
      <c r="Q139" s="48" t="str">
        <f>IFERROR(VLOOKUP(B139,'03. THIẾT BỊ'!$B$1:$S$836,16,0),"")</f>
        <v/>
      </c>
      <c r="R139" s="471" t="str">
        <f>IFERROR(VLOOKUP(B139,'03. THIẾT BỊ'!$B$1:$S$836,17,0),"")</f>
        <v/>
      </c>
      <c r="S139" s="468" t="str">
        <f>IFERROR(VLOOKUP(B139,'03. THIẾT BỊ'!$B$1:$S$836,18,0),"")</f>
        <v/>
      </c>
    </row>
    <row r="140" hidden="1">
      <c r="C140" s="869" t="str">
        <f>IFERROR(VLOOKUP(B140,'03. THIẾT BỊ'!$B$1:$S$836,2,0),"")</f>
        <v/>
      </c>
      <c r="D140" s="470" t="str">
        <f>IFERROR(VLOOKUP(B140,'03. THIẾT BỊ'!$B$1:$S$836,3,0),"")</f>
        <v/>
      </c>
      <c r="E140" s="464" t="str">
        <f>IFERROR(VLOOKUP(B140,'03. THIẾT BỊ'!$B$1:$S$836,4,0),"")</f>
        <v/>
      </c>
      <c r="F140" s="464" t="str">
        <f>IFERROR(VLOOKUP(B140,'03. THIẾT BỊ'!$B$1:$S$836,5,0),"")</f>
        <v/>
      </c>
      <c r="G140" s="80" t="s">
        <v>6423</v>
      </c>
      <c r="H140" s="463" t="str">
        <f>IFERROR(VLOOKUP(B140,'03. THIẾT BỊ'!$B$1:$S$836,7,0),"")</f>
        <v/>
      </c>
      <c r="I140" s="474" t="str">
        <f>IFERROR(VLOOKUP(B140,'03. THIẾT BỊ'!$B$1:$S$836,8,0),"")</f>
        <v/>
      </c>
      <c r="J140" s="471"/>
      <c r="K140" s="463" t="str">
        <f>IFERROR(VLOOKUP(B140,'03. THIẾT BỊ'!$B$1:$S$836,10,0),"")</f>
        <v/>
      </c>
      <c r="L140" s="468" t="str">
        <f>IFERROR(VLOOKUP(B140,'03. THIẾT BỊ'!$B$1:$S$836,11,0),"")</f>
        <v/>
      </c>
      <c r="M140" s="472" t="str">
        <f>IFERROR(VLOOKUP(B140,'03. THIẾT BỊ'!$B$1:$S$836,12,0),"")</f>
        <v/>
      </c>
      <c r="N140" s="468" t="str">
        <f>IFERROR(VLOOKUP(B140,'03. THIẾT BỊ'!$B$1:$S$836,13,0),"")</f>
        <v/>
      </c>
      <c r="O140" s="470" t="str">
        <f>IFERROR(VLOOKUP(B140,'03. THIẾT BỊ'!$B$1:$S$836,14,0),"")</f>
        <v/>
      </c>
      <c r="P140" s="468" t="str">
        <f>IFERROR(VLOOKUP(B140,'03. THIẾT BỊ'!$B$1:$S$836,15,0),"")</f>
        <v/>
      </c>
      <c r="Q140" s="48" t="str">
        <f>IFERROR(VLOOKUP(B140,'03. THIẾT BỊ'!$B$1:$S$836,16,0),"")</f>
        <v/>
      </c>
      <c r="R140" s="471" t="str">
        <f>IFERROR(VLOOKUP(B140,'03. THIẾT BỊ'!$B$1:$S$836,17,0),"")</f>
        <v/>
      </c>
      <c r="S140" s="468" t="str">
        <f>IFERROR(VLOOKUP(B140,'03. THIẾT BỊ'!$B$1:$S$836,18,0),"")</f>
        <v/>
      </c>
    </row>
    <row r="141" ht="15.0" customHeight="1">
      <c r="A141" s="455" t="s">
        <v>76</v>
      </c>
      <c r="B141" s="456" t="s">
        <v>7121</v>
      </c>
      <c r="C141" s="457">
        <f>COUNTA(B142:B144)</f>
        <v>2</v>
      </c>
      <c r="D141" s="458" t="str">
        <f>IFERROR(VLOOKUP(B141,'03. THIẾT BỊ'!$B$1:$S$836,3,0),"")</f>
        <v/>
      </c>
      <c r="E141" s="458" t="str">
        <f>IFERROR(VLOOKUP(B141,'03. THIẾT BỊ'!$B$1:$S$836,4,0),"")</f>
        <v/>
      </c>
      <c r="F141" s="458" t="str">
        <f>IFERROR(VLOOKUP(B141,'03. THIẾT BỊ'!$B$1:$S$836,5,0),"")</f>
        <v/>
      </c>
      <c r="G141" s="459" t="s">
        <v>6423</v>
      </c>
      <c r="H141" s="459" t="str">
        <f>IFERROR(VLOOKUP(B141,'03. THIẾT BỊ'!$B$1:$S$836,7,0),"")</f>
        <v/>
      </c>
      <c r="I141" s="457" t="str">
        <f>IFERROR(VLOOKUP(B141,'03. THIẾT BỊ'!$B$1:$S$836,8,0),"")</f>
        <v/>
      </c>
      <c r="J141" s="460"/>
      <c r="K141" s="457" t="str">
        <f>IFERROR(VLOOKUP(B141,'03. THIẾT BỊ'!$B$1:$S$836,10,0),"")</f>
        <v/>
      </c>
      <c r="L141" s="458" t="str">
        <f>IFERROR(VLOOKUP(B141,'03. THIẾT BỊ'!$B$1:$S$836,11,0),"")</f>
        <v/>
      </c>
      <c r="M141" s="461" t="str">
        <f>IFERROR(VLOOKUP(B141,'03. THIẾT BỊ'!$B$1:$S$836,12,0),"")</f>
        <v/>
      </c>
      <c r="N141" s="458" t="str">
        <f>IFERROR(VLOOKUP(B141,'03. THIẾT BỊ'!$B$1:$S$836,13,0),"")</f>
        <v/>
      </c>
      <c r="O141" s="461" t="str">
        <f>IFERROR(VLOOKUP(B141,'03. THIẾT BỊ'!$B$1:$S$836,14,0),"")</f>
        <v/>
      </c>
      <c r="P141" s="458" t="str">
        <f>IFERROR(VLOOKUP(B141,'03. THIẾT BỊ'!$B$1:$S$836,15,0),"")</f>
        <v/>
      </c>
      <c r="Q141" s="459" t="str">
        <f>IFERROR(VLOOKUP(B141,'03. THIẾT BỊ'!$B$1:$S$836,16,0),"")</f>
        <v/>
      </c>
      <c r="R141" s="458" t="str">
        <f>IFERROR(VLOOKUP(B141,'03. THIẾT BỊ'!$B$1:$S$836,17,0),"")</f>
        <v/>
      </c>
      <c r="S141" s="458" t="str">
        <f>IFERROR(VLOOKUP(B141,'03. THIẾT BỊ'!$B$1:$S$836,18,0),"")</f>
        <v/>
      </c>
      <c r="T141" s="866"/>
    </row>
    <row r="142" ht="15.0" customHeight="1">
      <c r="A142" s="463">
        <v>1.0</v>
      </c>
      <c r="B142" s="464" t="s">
        <v>3471</v>
      </c>
      <c r="C142" s="869" t="str">
        <f>IFERROR(VLOOKUP(B142,'03. THIẾT BỊ'!$B$1:$S$836,2,0),"")</f>
        <v>CHT-TCĐ-001</v>
      </c>
      <c r="D142" s="470" t="str">
        <f>IFERROR(VLOOKUP(B142,'03. THIẾT BỊ'!$B$1:$S$836,3,0),"")</f>
        <v>A22-TCĐ-001</v>
      </c>
      <c r="E142" s="464" t="str">
        <f>IFERROR(VLOOKUP(B142,'03. THIẾT BỊ'!$B$1:$S$836,4,0),"")</f>
        <v>ĐQSD</v>
      </c>
      <c r="F142" s="464" t="str">
        <f>IFERROR(VLOOKUP(B142,'03. THIẾT BỊ'!$B$1:$S$836,5,0),"")</f>
        <v>Trống cào đá</v>
      </c>
      <c r="G142" s="80" t="s">
        <v>6423</v>
      </c>
      <c r="H142" s="463" t="str">
        <f>IFERROR(VLOOKUP(B142,'03. THIẾT BỊ'!$B$1:$S$836,7,0),"")</f>
        <v>CGTC AD</v>
      </c>
      <c r="I142" s="474" t="str">
        <f>IFERROR(VLOOKUP(B142,'03. THIẾT BỊ'!$B$1:$S$836,8,0),"")</f>
        <v/>
      </c>
      <c r="J142" s="471"/>
      <c r="K142" s="463" t="str">
        <f>IFERROR(VLOOKUP(B142,'03. THIẾT BỊ'!$B$1:$S$836,10,0),"")</f>
        <v>Bình thường</v>
      </c>
      <c r="L142" s="468" t="str">
        <f>IFERROR(VLOOKUP(B142,'03. THIẾT BỊ'!$B$1:$S$836,11,0),"")</f>
        <v/>
      </c>
      <c r="M142" s="472" t="str">
        <f>IFERROR(VLOOKUP(B142,'03. THIẾT BỊ'!$B$1:$S$836,12,0),"")</f>
        <v/>
      </c>
      <c r="N142" s="468" t="str">
        <f>IFERROR(VLOOKUP(B142,'03. THIẾT BỊ'!$B$1:$S$836,13,0),"")</f>
        <v>TRUNG QUỐC</v>
      </c>
      <c r="O142" s="470" t="str">
        <f>IFERROR(VLOOKUP(B142,'03. THIẾT BỊ'!$B$1:$S$836,14,0),"")</f>
        <v/>
      </c>
      <c r="P142" s="468" t="str">
        <f>IFERROR(VLOOKUP(B142,'03. THIẾT BỊ'!$B$1:$S$836,15,0),"")</f>
        <v>TRUNG QUỐC</v>
      </c>
      <c r="Q142" s="48" t="str">
        <f>IFERROR(VLOOKUP(B142,'03. THIẾT BỊ'!$B$1:$S$836,16,0),"")</f>
        <v/>
      </c>
      <c r="R142" s="471" t="str">
        <f>IFERROR(VLOOKUP(B142,'03. THIẾT BỊ'!$B$1:$S$836,17,0),"")</f>
        <v/>
      </c>
      <c r="S142" s="468" t="str">
        <f>IFERROR(VLOOKUP(B142,'03. THIẾT BỊ'!$B$1:$S$836,18,0),"")</f>
        <v/>
      </c>
      <c r="T142" s="812"/>
    </row>
    <row r="143" ht="15.0" customHeight="1">
      <c r="A143" s="48">
        <v>2.0</v>
      </c>
      <c r="B143" s="464" t="s">
        <v>3511</v>
      </c>
      <c r="C143" s="869" t="str">
        <f>IFERROR(VLOOKUP(B143,'03. THIẾT BỊ'!$B$1:$S$836,2,0),"")</f>
        <v>XAD-RMD-001(XA2-RMĐ-001)</v>
      </c>
      <c r="D143" s="470" t="str">
        <f>IFERROR(VLOOKUP(B143,'03. THIẾT BỊ'!$B$1:$S$836,3,0),"")</f>
        <v>A22-RMĐ-001</v>
      </c>
      <c r="E143" s="464" t="str">
        <f>IFERROR(VLOOKUP(B143,'03. THIẾT BỊ'!$B$1:$S$836,4,0),"")</f>
        <v>ĐQSD</v>
      </c>
      <c r="F143" s="464" t="str">
        <f>IFERROR(VLOOKUP(B143,'03. THIẾT BỊ'!$B$1:$S$836,5,0),"")</f>
        <v>Rơ mooc vận chuyển M.đào 03</v>
      </c>
      <c r="G143" s="80" t="s">
        <v>6423</v>
      </c>
      <c r="H143" s="463" t="str">
        <f>IFERROR(VLOOKUP(B143,'03. THIẾT BỊ'!$B$1:$S$836,7,0),"")</f>
        <v>CGTC AD</v>
      </c>
      <c r="I143" s="474" t="str">
        <f>IFERROR(VLOOKUP(B143,'03. THIẾT BỊ'!$B$1:$S$836,8,0),"")</f>
        <v>28/06/2024</v>
      </c>
      <c r="J143" s="471"/>
      <c r="K143" s="463" t="str">
        <f>IFERROR(VLOOKUP(B143,'03. THIẾT BỊ'!$B$1:$S$836,10,0),"")</f>
        <v>Bình thường</v>
      </c>
      <c r="L143" s="468" t="str">
        <f>IFERROR(VLOOKUP(B143,'03. THIẾT BỊ'!$B$1:$S$836,11,0),"")</f>
        <v>- Điều chuyển từ XN chuối AD ngày 28/06/2024</v>
      </c>
      <c r="M143" s="472" t="str">
        <f>IFERROR(VLOOKUP(B143,'03. THIẾT BỊ'!$B$1:$S$836,12,0),"")</f>
        <v/>
      </c>
      <c r="N143" s="468" t="str">
        <f>IFERROR(VLOOKUP(B143,'03. THIẾT BỊ'!$B$1:$S$836,13,0),"")</f>
        <v>THACO AGRI</v>
      </c>
      <c r="O143" s="470" t="str">
        <f>IFERROR(VLOOKUP(B143,'03. THIẾT BỊ'!$B$1:$S$836,14,0),"")</f>
        <v/>
      </c>
      <c r="P143" s="468" t="str">
        <f>IFERROR(VLOOKUP(B143,'03. THIẾT BỊ'!$B$1:$S$836,15,0),"")</f>
        <v>CK-CGH</v>
      </c>
      <c r="Q143" s="48" t="str">
        <f>IFERROR(VLOOKUP(B143,'03. THIẾT BỊ'!$B$1:$S$836,16,0),"")</f>
        <v/>
      </c>
      <c r="R143" s="471" t="str">
        <f>IFERROR(VLOOKUP(B143,'03. THIẾT BỊ'!$B$1:$S$836,17,0),"")</f>
        <v/>
      </c>
      <c r="S143" s="468" t="str">
        <f>IFERROR(VLOOKUP(B143,'03. THIẾT BỊ'!$B$1:$S$836,18,0),"")</f>
        <v/>
      </c>
      <c r="T143" s="812"/>
    </row>
    <row r="144">
      <c r="C144" s="869" t="str">
        <f>IFERROR(VLOOKUP(B144,'03. THIẾT BỊ'!$B$1:$S$836,2,0),"")</f>
        <v/>
      </c>
      <c r="D144" s="470" t="str">
        <f>IFERROR(VLOOKUP(B144,'03. THIẾT BỊ'!$B$1:$S$836,3,0),"")</f>
        <v/>
      </c>
      <c r="E144" s="464" t="str">
        <f>IFERROR(VLOOKUP(B144,'03. THIẾT BỊ'!$B$1:$S$836,4,0),"")</f>
        <v/>
      </c>
      <c r="F144" s="464" t="str">
        <f>IFERROR(VLOOKUP(B144,'03. THIẾT BỊ'!$B$1:$S$836,5,0),"")</f>
        <v/>
      </c>
      <c r="G144" s="80" t="s">
        <v>6423</v>
      </c>
      <c r="H144" s="463" t="str">
        <f>IFERROR(VLOOKUP(B144,'03. THIẾT BỊ'!$B$1:$S$836,7,0),"")</f>
        <v/>
      </c>
      <c r="I144" s="474" t="str">
        <f>IFERROR(VLOOKUP(B144,'03. THIẾT BỊ'!$B$1:$S$836,8,0),"")</f>
        <v/>
      </c>
      <c r="J144" s="471"/>
      <c r="K144" s="463" t="str">
        <f>IFERROR(VLOOKUP(B144,'03. THIẾT BỊ'!$B$1:$S$836,10,0),"")</f>
        <v/>
      </c>
      <c r="L144" s="468" t="str">
        <f>IFERROR(VLOOKUP(B144,'03. THIẾT BỊ'!$B$1:$S$836,11,0),"")</f>
        <v/>
      </c>
      <c r="M144" s="472" t="str">
        <f>IFERROR(VLOOKUP(B144,'03. THIẾT BỊ'!$B$1:$S$836,12,0),"")</f>
        <v/>
      </c>
      <c r="N144" s="468" t="str">
        <f>IFERROR(VLOOKUP(B144,'03. THIẾT BỊ'!$B$1:$S$836,13,0),"")</f>
        <v/>
      </c>
      <c r="O144" s="470" t="str">
        <f>IFERROR(VLOOKUP(B144,'03. THIẾT BỊ'!$B$1:$S$836,14,0),"")</f>
        <v/>
      </c>
      <c r="P144" s="468" t="str">
        <f>IFERROR(VLOOKUP(B144,'03. THIẾT BỊ'!$B$1:$S$836,15,0),"")</f>
        <v/>
      </c>
      <c r="Q144" s="48" t="str">
        <f>IFERROR(VLOOKUP(B144,'03. THIẾT BỊ'!$B$1:$S$836,16,0),"")</f>
        <v/>
      </c>
      <c r="R144" s="471" t="str">
        <f>IFERROR(VLOOKUP(B144,'03. THIẾT BỊ'!$B$1:$S$836,17,0),"")</f>
        <v/>
      </c>
      <c r="S144" s="468" t="str">
        <f>IFERROR(VLOOKUP(B144,'03. THIẾT BỊ'!$B$1:$S$836,18,0),"")</f>
        <v/>
      </c>
    </row>
    <row r="145" hidden="1">
      <c r="C145" s="869" t="str">
        <f>IFERROR(VLOOKUP(B145,'03. THIẾT BỊ'!$B$1:$S$836,2,0),"")</f>
        <v/>
      </c>
      <c r="D145" s="470" t="str">
        <f>IFERROR(VLOOKUP(B145,'03. THIẾT BỊ'!$B$1:$S$836,3,0),"")</f>
        <v/>
      </c>
      <c r="E145" s="464" t="str">
        <f>IFERROR(VLOOKUP(B145,'03. THIẾT BỊ'!$B$1:$S$836,4,0),"")</f>
        <v/>
      </c>
      <c r="F145" s="464" t="str">
        <f>IFERROR(VLOOKUP(B145,'03. THIẾT BỊ'!$B$1:$S$836,5,0),"")</f>
        <v/>
      </c>
      <c r="G145" s="80" t="s">
        <v>6423</v>
      </c>
      <c r="H145" s="463" t="str">
        <f>IFERROR(VLOOKUP(B145,'03. THIẾT BỊ'!$B$1:$S$836,7,0),"")</f>
        <v/>
      </c>
      <c r="I145" s="474" t="str">
        <f>IFERROR(VLOOKUP(B145,'03. THIẾT BỊ'!$B$1:$S$836,8,0),"")</f>
        <v/>
      </c>
      <c r="J145" s="471"/>
      <c r="K145" s="463" t="str">
        <f>IFERROR(VLOOKUP(B145,'03. THIẾT BỊ'!$B$1:$S$836,10,0),"")</f>
        <v/>
      </c>
      <c r="L145" s="468" t="str">
        <f>IFERROR(VLOOKUP(B145,'03. THIẾT BỊ'!$B$1:$S$836,11,0),"")</f>
        <v/>
      </c>
      <c r="M145" s="472" t="str">
        <f>IFERROR(VLOOKUP(B145,'03. THIẾT BỊ'!$B$1:$S$836,12,0),"")</f>
        <v/>
      </c>
      <c r="N145" s="468" t="str">
        <f>IFERROR(VLOOKUP(B145,'03. THIẾT BỊ'!$B$1:$S$836,13,0),"")</f>
        <v/>
      </c>
      <c r="O145" s="470" t="str">
        <f>IFERROR(VLOOKUP(B145,'03. THIẾT BỊ'!$B$1:$S$836,14,0),"")</f>
        <v/>
      </c>
      <c r="P145" s="468" t="str">
        <f>IFERROR(VLOOKUP(B145,'03. THIẾT BỊ'!$B$1:$S$836,15,0),"")</f>
        <v/>
      </c>
      <c r="Q145" s="48" t="str">
        <f>IFERROR(VLOOKUP(B145,'03. THIẾT BỊ'!$B$1:$S$836,16,0),"")</f>
        <v/>
      </c>
      <c r="R145" s="471" t="str">
        <f>IFERROR(VLOOKUP(B145,'03. THIẾT BỊ'!$B$1:$S$836,17,0),"")</f>
        <v/>
      </c>
      <c r="S145" s="468" t="str">
        <f>IFERROR(VLOOKUP(B145,'03. THIẾT BỊ'!$B$1:$S$836,18,0),"")</f>
        <v/>
      </c>
    </row>
    <row r="146" hidden="1">
      <c r="C146" s="869" t="str">
        <f>IFERROR(VLOOKUP(B146,'03. THIẾT BỊ'!$B$1:$S$836,2,0),"")</f>
        <v/>
      </c>
      <c r="D146" s="470" t="str">
        <f>IFERROR(VLOOKUP(B146,'03. THIẾT BỊ'!$B$1:$S$836,3,0),"")</f>
        <v/>
      </c>
      <c r="E146" s="464" t="str">
        <f>IFERROR(VLOOKUP(B146,'03. THIẾT BỊ'!$B$1:$S$836,4,0),"")</f>
        <v/>
      </c>
      <c r="F146" s="464" t="str">
        <f>IFERROR(VLOOKUP(B146,'03. THIẾT BỊ'!$B$1:$S$836,5,0),"")</f>
        <v/>
      </c>
      <c r="G146" s="80" t="s">
        <v>6423</v>
      </c>
      <c r="H146" s="463" t="str">
        <f>IFERROR(VLOOKUP(B146,'03. THIẾT BỊ'!$B$1:$S$836,7,0),"")</f>
        <v/>
      </c>
      <c r="I146" s="474" t="str">
        <f>IFERROR(VLOOKUP(B146,'03. THIẾT BỊ'!$B$1:$S$836,8,0),"")</f>
        <v/>
      </c>
      <c r="J146" s="471"/>
      <c r="K146" s="463" t="str">
        <f>IFERROR(VLOOKUP(B146,'03. THIẾT BỊ'!$B$1:$S$836,10,0),"")</f>
        <v/>
      </c>
      <c r="L146" s="468" t="str">
        <f>IFERROR(VLOOKUP(B146,'03. THIẾT BỊ'!$B$1:$S$836,11,0),"")</f>
        <v/>
      </c>
      <c r="M146" s="472" t="str">
        <f>IFERROR(VLOOKUP(B146,'03. THIẾT BỊ'!$B$1:$S$836,12,0),"")</f>
        <v/>
      </c>
      <c r="N146" s="468" t="str">
        <f>IFERROR(VLOOKUP(B146,'03. THIẾT BỊ'!$B$1:$S$836,13,0),"")</f>
        <v/>
      </c>
      <c r="O146" s="470" t="str">
        <f>IFERROR(VLOOKUP(B146,'03. THIẾT BỊ'!$B$1:$S$836,14,0),"")</f>
        <v/>
      </c>
      <c r="P146" s="468" t="str">
        <f>IFERROR(VLOOKUP(B146,'03. THIẾT BỊ'!$B$1:$S$836,15,0),"")</f>
        <v/>
      </c>
      <c r="Q146" s="48" t="str">
        <f>IFERROR(VLOOKUP(B146,'03. THIẾT BỊ'!$B$1:$S$836,16,0),"")</f>
        <v/>
      </c>
      <c r="R146" s="471" t="str">
        <f>IFERROR(VLOOKUP(B146,'03. THIẾT BỊ'!$B$1:$S$836,17,0),"")</f>
        <v/>
      </c>
      <c r="S146" s="468" t="str">
        <f>IFERROR(VLOOKUP(B146,'03. THIẾT BỊ'!$B$1:$S$836,18,0),"")</f>
        <v/>
      </c>
    </row>
    <row r="147" ht="15.0" hidden="1" customHeight="1">
      <c r="A147" s="48"/>
      <c r="B147" s="464"/>
      <c r="C147" s="869" t="str">
        <f>IFERROR(VLOOKUP(B147,'03. THIẾT BỊ'!$B$1:$S$836,2,0),"")</f>
        <v/>
      </c>
      <c r="D147" s="470" t="str">
        <f>IFERROR(VLOOKUP(B147,'03. THIẾT BỊ'!$B$1:$S$836,3,0),"")</f>
        <v/>
      </c>
      <c r="E147" s="464" t="str">
        <f>IFERROR(VLOOKUP(B147,'03. THIẾT BỊ'!$B$1:$S$836,4,0),"")</f>
        <v/>
      </c>
      <c r="F147" s="464" t="str">
        <f>IFERROR(VLOOKUP(B147,'03. THIẾT BỊ'!$B$1:$S$836,5,0),"")</f>
        <v/>
      </c>
      <c r="G147" s="80" t="s">
        <v>6423</v>
      </c>
      <c r="H147" s="463" t="str">
        <f>IFERROR(VLOOKUP(B147,'03. THIẾT BỊ'!$B$1:$S$836,7,0),"")</f>
        <v/>
      </c>
      <c r="I147" s="474" t="str">
        <f>IFERROR(VLOOKUP(B147,'03. THIẾT BỊ'!$B$1:$S$836,8,0),"")</f>
        <v/>
      </c>
      <c r="J147" s="471"/>
      <c r="K147" s="463" t="str">
        <f>IFERROR(VLOOKUP(B147,'03. THIẾT BỊ'!$B$1:$S$836,10,0),"")</f>
        <v/>
      </c>
      <c r="L147" s="468" t="str">
        <f>IFERROR(VLOOKUP(B147,'03. THIẾT BỊ'!$B$1:$S$836,11,0),"")</f>
        <v/>
      </c>
      <c r="M147" s="472" t="str">
        <f>IFERROR(VLOOKUP(B147,'03. THIẾT BỊ'!$B$1:$S$836,12,0),"")</f>
        <v/>
      </c>
      <c r="N147" s="468" t="str">
        <f>IFERROR(VLOOKUP(B147,'03. THIẾT BỊ'!$B$1:$S$836,13,0),"")</f>
        <v/>
      </c>
      <c r="O147" s="470" t="str">
        <f>IFERROR(VLOOKUP(B147,'03. THIẾT BỊ'!$B$1:$S$836,14,0),"")</f>
        <v/>
      </c>
      <c r="P147" s="468" t="str">
        <f>IFERROR(VLOOKUP(B147,'03. THIẾT BỊ'!$B$1:$S$836,15,0),"")</f>
        <v/>
      </c>
      <c r="Q147" s="48" t="str">
        <f>IFERROR(VLOOKUP(B147,'03. THIẾT BỊ'!$B$1:$S$836,16,0),"")</f>
        <v/>
      </c>
      <c r="R147" s="471" t="str">
        <f>IFERROR(VLOOKUP(B147,'03. THIẾT BỊ'!$B$1:$S$836,17,0),"")</f>
        <v/>
      </c>
      <c r="S147" s="468" t="str">
        <f>IFERROR(VLOOKUP(B147,'03. THIẾT BỊ'!$B$1:$S$836,18,0),"")</f>
        <v/>
      </c>
      <c r="T147" s="812"/>
    </row>
    <row r="148" ht="15.0" customHeight="1">
      <c r="A148" s="859" t="s">
        <v>3516</v>
      </c>
      <c r="B148" s="860" t="s">
        <v>7151</v>
      </c>
      <c r="C148" s="1062">
        <f>SUM(C149,C163,C170,C182,C191,C199,C213,C223,C235,C256,C266,C275,C283,C302,C310,C314,C323,C333,C338,C366,C397,C411,C416,C437,C443,C451,C472,C517,C583,C644,C657,C676,C689,C718,C727,C741,C745,C753,C763,C772,C808)</f>
        <v>535</v>
      </c>
      <c r="D148" s="1063" t="str">
        <f>IFERROR(VLOOKUP(B148,'03. THIẾT BỊ'!$B$1:$S$836,3,0),"")</f>
        <v/>
      </c>
      <c r="E148" s="464" t="str">
        <f>IFERROR(VLOOKUP(B148,'03. THIẾT BỊ'!$B$1:$S$836,4,0),"")</f>
        <v/>
      </c>
      <c r="F148" s="1065" t="str">
        <f>IFERROR(VLOOKUP(B148,'03. THIẾT BỊ'!$B$1:$S$836,5,0),"")</f>
        <v/>
      </c>
      <c r="G148" s="1066" t="s">
        <v>6423</v>
      </c>
      <c r="H148" s="1067" t="str">
        <f>IFERROR(VLOOKUP(B148,'03. THIẾT BỊ'!$B$1:$S$836,7,0),"")</f>
        <v/>
      </c>
      <c r="I148" s="1068" t="str">
        <f>IFERROR(VLOOKUP(B148,'03. THIẾT BỊ'!$B$1:$S$836,8,0),"")</f>
        <v/>
      </c>
      <c r="J148" s="1069"/>
      <c r="K148" s="1067" t="str">
        <f>IFERROR(VLOOKUP(B148,'03. THIẾT BỊ'!$B$1:$S$836,10,0),"")</f>
        <v/>
      </c>
      <c r="L148" s="1065" t="str">
        <f>IFERROR(VLOOKUP(B148,'03. THIẾT BỊ'!$B$1:$S$836,11,0),"")</f>
        <v/>
      </c>
      <c r="M148" s="1070" t="str">
        <f>IFERROR(VLOOKUP(B148,'03. THIẾT BỊ'!$B$1:$S$836,12,0),"")</f>
        <v/>
      </c>
      <c r="N148" s="1065" t="str">
        <f>IFERROR(VLOOKUP(B148,'03. THIẾT BỊ'!$B$1:$S$836,13,0),"")</f>
        <v/>
      </c>
      <c r="O148" s="1063" t="str">
        <f>IFERROR(VLOOKUP(B148,'03. THIẾT BỊ'!$B$1:$S$836,14,0),"")</f>
        <v/>
      </c>
      <c r="P148" s="1065" t="str">
        <f>IFERROR(VLOOKUP(B148,'03. THIẾT BỊ'!$B$1:$S$836,15,0),"")</f>
        <v/>
      </c>
      <c r="Q148" s="1067" t="str">
        <f>IFERROR(VLOOKUP(B148,'03. THIẾT BỊ'!$B$1:$S$836,16,0),"")</f>
        <v/>
      </c>
      <c r="R148" s="1069" t="str">
        <f>IFERROR(VLOOKUP(B148,'03. THIẾT BỊ'!$B$1:$S$836,17,0),"")</f>
        <v/>
      </c>
      <c r="S148" s="1065" t="str">
        <f>IFERROR(VLOOKUP(B148,'03. THIẾT BỊ'!$B$1:$S$836,18,0),"")</f>
        <v/>
      </c>
      <c r="T148" s="865"/>
    </row>
    <row r="149" ht="15.0" customHeight="1">
      <c r="A149" s="455" t="s">
        <v>76</v>
      </c>
      <c r="B149" s="456" t="s">
        <v>7158</v>
      </c>
      <c r="C149" s="457">
        <f>COUNTA(B150:B162)</f>
        <v>11</v>
      </c>
      <c r="D149" s="458" t="str">
        <f>IFERROR(VLOOKUP(B149,'03. THIẾT BỊ'!$B$1:$S$836,3,0),"")</f>
        <v/>
      </c>
      <c r="E149" s="464" t="str">
        <f>IFERROR(VLOOKUP(B149,'03. THIẾT BỊ'!$B$1:$S$836,4,0),"")</f>
        <v/>
      </c>
      <c r="F149" s="458" t="str">
        <f>IFERROR(VLOOKUP(B149,'03. THIẾT BỊ'!$B$1:$S$836,5,0),"")</f>
        <v/>
      </c>
      <c r="G149" s="459" t="s">
        <v>6423</v>
      </c>
      <c r="H149" s="459" t="str">
        <f>IFERROR(VLOOKUP(B149,'03. THIẾT BỊ'!$B$1:$S$836,7,0),"")</f>
        <v/>
      </c>
      <c r="I149" s="457" t="str">
        <f>IFERROR(VLOOKUP(B149,'03. THIẾT BỊ'!$B$1:$S$836,8,0),"")</f>
        <v/>
      </c>
      <c r="J149" s="460"/>
      <c r="K149" s="457" t="str">
        <f>IFERROR(VLOOKUP(B149,'03. THIẾT BỊ'!$B$1:$S$836,10,0),"")</f>
        <v/>
      </c>
      <c r="L149" s="458" t="str">
        <f>IFERROR(VLOOKUP(B149,'03. THIẾT BỊ'!$B$1:$S$836,11,0),"")</f>
        <v/>
      </c>
      <c r="M149" s="461" t="str">
        <f>IFERROR(VLOOKUP(B149,'03. THIẾT BỊ'!$B$1:$S$836,12,0),"")</f>
        <v/>
      </c>
      <c r="N149" s="458" t="str">
        <f>IFERROR(VLOOKUP(B149,'03. THIẾT BỊ'!$B$1:$S$836,13,0),"")</f>
        <v/>
      </c>
      <c r="O149" s="461" t="str">
        <f>IFERROR(VLOOKUP(B149,'03. THIẾT BỊ'!$B$1:$S$836,14,0),"")</f>
        <v/>
      </c>
      <c r="P149" s="458" t="str">
        <f>IFERROR(VLOOKUP(B149,'03. THIẾT BỊ'!$B$1:$S$836,15,0),"")</f>
        <v/>
      </c>
      <c r="Q149" s="459" t="str">
        <f>IFERROR(VLOOKUP(B149,'03. THIẾT BỊ'!$B$1:$S$836,16,0),"")</f>
        <v/>
      </c>
      <c r="R149" s="458" t="str">
        <f>IFERROR(VLOOKUP(B149,'03. THIẾT BỊ'!$B$1:$S$836,17,0),"")</f>
        <v/>
      </c>
      <c r="S149" s="458" t="str">
        <f>IFERROR(VLOOKUP(B149,'03. THIẾT BỊ'!$B$1:$S$836,18,0),"")</f>
        <v/>
      </c>
      <c r="T149" s="866"/>
    </row>
    <row r="150" ht="15.0" customHeight="1">
      <c r="A150" s="463">
        <v>1.0</v>
      </c>
      <c r="B150" s="464" t="s">
        <v>3523</v>
      </c>
      <c r="C150" s="869" t="str">
        <f>IFERROR(VLOOKUP(B150,'03. THIẾT BỊ'!$B$1:$S$836,2,0),"")</f>
        <v>C3C 10</v>
      </c>
      <c r="D150" s="470" t="str">
        <f>IFERROR(VLOOKUP(B150,'03. THIẾT BỊ'!$B$1:$S$836,3,0),"")</f>
        <v>A23-CCH-001</v>
      </c>
      <c r="E150" s="464" t="str">
        <f>IFERROR(VLOOKUP(B150,'03. THIẾT BỊ'!$B$1:$S$836,4,0),"")</f>
        <v>ĐQSD</v>
      </c>
      <c r="F150" s="464" t="str">
        <f>IFERROR(VLOOKUP(B150,'03. THIẾT BỊ'!$B$1:$S$836,5,0),"")</f>
        <v>Thiết bị cày 3 chảo</v>
      </c>
      <c r="G150" s="80" t="s">
        <v>6423</v>
      </c>
      <c r="H150" s="463" t="str">
        <f>IFERROR(VLOOKUP(B150,'03. THIẾT BỊ'!$B$1:$S$836,7,0),"")</f>
        <v>CGLĐ DP</v>
      </c>
      <c r="I150" s="474" t="str">
        <f>IFERROR(VLOOKUP(B150,'03. THIẾT BỊ'!$B$1:$S$836,8,0),"")</f>
        <v/>
      </c>
      <c r="J150" s="471"/>
      <c r="K150" s="463" t="str">
        <f>IFERROR(VLOOKUP(B150,'03. THIẾT BỊ'!$B$1:$S$836,10,0),"")</f>
        <v>Bình thường</v>
      </c>
      <c r="L150" s="468" t="str">
        <f>IFERROR(VLOOKUP(B150,'03. THIẾT BỊ'!$B$1:$S$836,11,0),"")</f>
        <v/>
      </c>
      <c r="M150" s="472" t="str">
        <f>IFERROR(VLOOKUP(B150,'03. THIẾT BỊ'!$B$1:$S$836,12,0),"")</f>
        <v/>
      </c>
      <c r="N150" s="468" t="str">
        <f>IFERROR(VLOOKUP(B150,'03. THIẾT BỊ'!$B$1:$S$836,13,0),"")</f>
        <v>TRUNG QUỐC</v>
      </c>
      <c r="O150" s="470" t="str">
        <f>IFERROR(VLOOKUP(B150,'03. THIẾT BỊ'!$B$1:$S$836,14,0),"")</f>
        <v>3 chảo</v>
      </c>
      <c r="P150" s="468" t="str">
        <f>IFERROR(VLOOKUP(B150,'03. THIẾT BỊ'!$B$1:$S$836,15,0),"")</f>
        <v>TRUNG QUỐC</v>
      </c>
      <c r="Q150" s="48" t="str">
        <f>IFERROR(VLOOKUP(B150,'03. THIẾT BỊ'!$B$1:$S$836,16,0),"")</f>
        <v/>
      </c>
      <c r="R150" s="471" t="str">
        <f>IFERROR(VLOOKUP(B150,'03. THIẾT BỊ'!$B$1:$S$836,17,0),"")</f>
        <v/>
      </c>
      <c r="S150" s="468" t="str">
        <f>IFERROR(VLOOKUP(B150,'03. THIẾT BỊ'!$B$1:$S$836,18,0),"")</f>
        <v/>
      </c>
      <c r="T150" s="812"/>
    </row>
    <row r="151" ht="15.0" customHeight="1">
      <c r="A151" s="463">
        <f t="shared" ref="A151:A160" si="4">A150+1</f>
        <v>2</v>
      </c>
      <c r="B151" s="464" t="s">
        <v>3528</v>
      </c>
      <c r="C151" s="869" t="str">
        <f>IFERROR(VLOOKUP(B151,'03. THIẾT BỊ'!$B$1:$S$836,2,0),"")</f>
        <v>C3C 11</v>
      </c>
      <c r="D151" s="470" t="str">
        <f>IFERROR(VLOOKUP(B151,'03. THIẾT BỊ'!$B$1:$S$836,3,0),"")</f>
        <v>A23-CCH-002</v>
      </c>
      <c r="E151" s="464" t="str">
        <f>IFERROR(VLOOKUP(B151,'03. THIẾT BỊ'!$B$1:$S$836,4,0),"")</f>
        <v>ĐQSD</v>
      </c>
      <c r="F151" s="464" t="str">
        <f>IFERROR(VLOOKUP(B151,'03. THIẾT BỊ'!$B$1:$S$836,5,0),"")</f>
        <v>Thiết bị cày 3 chảo</v>
      </c>
      <c r="G151" s="80" t="s">
        <v>6423</v>
      </c>
      <c r="H151" s="463" t="str">
        <f>IFERROR(VLOOKUP(B151,'03. THIẾT BỊ'!$B$1:$S$836,7,0),"")</f>
        <v>CGLĐ DP</v>
      </c>
      <c r="I151" s="474" t="str">
        <f>IFERROR(VLOOKUP(B151,'03. THIẾT BỊ'!$B$1:$S$836,8,0),"")</f>
        <v/>
      </c>
      <c r="J151" s="471"/>
      <c r="K151" s="463" t="str">
        <f>IFERROR(VLOOKUP(B151,'03. THIẾT BỊ'!$B$1:$S$836,10,0),"")</f>
        <v>Bình thường</v>
      </c>
      <c r="L151" s="468" t="str">
        <f>IFERROR(VLOOKUP(B151,'03. THIẾT BỊ'!$B$1:$S$836,11,0),"")</f>
        <v/>
      </c>
      <c r="M151" s="472" t="str">
        <f>IFERROR(VLOOKUP(B151,'03. THIẾT BỊ'!$B$1:$S$836,12,0),"")</f>
        <v/>
      </c>
      <c r="N151" s="468" t="str">
        <f>IFERROR(VLOOKUP(B151,'03. THIẾT BỊ'!$B$1:$S$836,13,0),"")</f>
        <v>TRUNG QUỐC</v>
      </c>
      <c r="O151" s="470" t="str">
        <f>IFERROR(VLOOKUP(B151,'03. THIẾT BỊ'!$B$1:$S$836,14,0),"")</f>
        <v>3 chảo</v>
      </c>
      <c r="P151" s="468" t="str">
        <f>IFERROR(VLOOKUP(B151,'03. THIẾT BỊ'!$B$1:$S$836,15,0),"")</f>
        <v>TRUNG QUỐC</v>
      </c>
      <c r="Q151" s="48" t="str">
        <f>IFERROR(VLOOKUP(B151,'03. THIẾT BỊ'!$B$1:$S$836,16,0),"")</f>
        <v/>
      </c>
      <c r="R151" s="471" t="str">
        <f>IFERROR(VLOOKUP(B151,'03. THIẾT BỊ'!$B$1:$S$836,17,0),"")</f>
        <v/>
      </c>
      <c r="S151" s="468" t="str">
        <f>IFERROR(VLOOKUP(B151,'03. THIẾT BỊ'!$B$1:$S$836,18,0),"")</f>
        <v/>
      </c>
      <c r="T151" s="812"/>
    </row>
    <row r="152" ht="15.0" customHeight="1">
      <c r="A152" s="463">
        <f t="shared" si="4"/>
        <v>3</v>
      </c>
      <c r="B152" s="464" t="s">
        <v>3531</v>
      </c>
      <c r="C152" s="869" t="str">
        <f>IFERROR(VLOOKUP(B152,'03. THIẾT BỊ'!$B$1:$S$836,2,0),"")</f>
        <v>C3C 12</v>
      </c>
      <c r="D152" s="470" t="str">
        <f>IFERROR(VLOOKUP(B152,'03. THIẾT BỊ'!$B$1:$S$836,3,0),"")</f>
        <v>A23-CCH-003</v>
      </c>
      <c r="E152" s="464" t="str">
        <f>IFERROR(VLOOKUP(B152,'03. THIẾT BỊ'!$B$1:$S$836,4,0),"")</f>
        <v>ĐQSD</v>
      </c>
      <c r="F152" s="464" t="str">
        <f>IFERROR(VLOOKUP(B152,'03. THIẾT BỊ'!$B$1:$S$836,5,0),"")</f>
        <v>Thiết bị cày 3 chảo</v>
      </c>
      <c r="G152" s="80" t="s">
        <v>6423</v>
      </c>
      <c r="H152" s="463" t="str">
        <f>IFERROR(VLOOKUP(B152,'03. THIẾT BỊ'!$B$1:$S$836,7,0),"")</f>
        <v>CGLĐ DP</v>
      </c>
      <c r="I152" s="474" t="str">
        <f>IFERROR(VLOOKUP(B152,'03. THIẾT BỊ'!$B$1:$S$836,8,0),"")</f>
        <v/>
      </c>
      <c r="J152" s="471"/>
      <c r="K152" s="463" t="str">
        <f>IFERROR(VLOOKUP(B152,'03. THIẾT BỊ'!$B$1:$S$836,10,0),"")</f>
        <v>Bình thường</v>
      </c>
      <c r="L152" s="468" t="str">
        <f>IFERROR(VLOOKUP(B152,'03. THIẾT BỊ'!$B$1:$S$836,11,0),"")</f>
        <v/>
      </c>
      <c r="M152" s="472" t="str">
        <f>IFERROR(VLOOKUP(B152,'03. THIẾT BỊ'!$B$1:$S$836,12,0),"")</f>
        <v/>
      </c>
      <c r="N152" s="468" t="str">
        <f>IFERROR(VLOOKUP(B152,'03. THIẾT BỊ'!$B$1:$S$836,13,0),"")</f>
        <v>TRUNG QUỐC</v>
      </c>
      <c r="O152" s="470" t="str">
        <f>IFERROR(VLOOKUP(B152,'03. THIẾT BỊ'!$B$1:$S$836,14,0),"")</f>
        <v>3 chảo</v>
      </c>
      <c r="P152" s="468" t="str">
        <f>IFERROR(VLOOKUP(B152,'03. THIẾT BỊ'!$B$1:$S$836,15,0),"")</f>
        <v>TRUNG QUỐC</v>
      </c>
      <c r="Q152" s="48" t="str">
        <f>IFERROR(VLOOKUP(B152,'03. THIẾT BỊ'!$B$1:$S$836,16,0),"")</f>
        <v/>
      </c>
      <c r="R152" s="471" t="str">
        <f>IFERROR(VLOOKUP(B152,'03. THIẾT BỊ'!$B$1:$S$836,17,0),"")</f>
        <v/>
      </c>
      <c r="S152" s="468" t="str">
        <f>IFERROR(VLOOKUP(B152,'03. THIẾT BỊ'!$B$1:$S$836,18,0),"")</f>
        <v/>
      </c>
      <c r="T152" s="812"/>
    </row>
    <row r="153" ht="15.0" customHeight="1">
      <c r="A153" s="463">
        <f t="shared" si="4"/>
        <v>4</v>
      </c>
      <c r="B153" s="464" t="s">
        <v>3736</v>
      </c>
      <c r="C153" s="869" t="str">
        <f>IFERROR(VLOOKUP(B153,'03. THIẾT BỊ'!$B$1:$S$836,2,0),"")</f>
        <v>CNN-CCH-010</v>
      </c>
      <c r="D153" s="470" t="str">
        <f>IFERROR(VLOOKUP(B153,'03. THIẾT BỊ'!$B$1:$S$836,3,0),"")</f>
        <v>A24-CCH-004</v>
      </c>
      <c r="E153" s="464" t="str">
        <f>IFERROR(VLOOKUP(B153,'03. THIẾT BỊ'!$B$1:$S$836,4,0),"")</f>
        <v>ĐQSD</v>
      </c>
      <c r="F153" s="464" t="str">
        <f>IFERROR(VLOOKUP(B153,'03. THIẾT BỊ'!$B$1:$S$836,5,0),"")</f>
        <v>Thiết Bị Cày 3 Chảo</v>
      </c>
      <c r="G153" s="80" t="s">
        <v>6423</v>
      </c>
      <c r="H153" s="463" t="str">
        <f>IFERROR(VLOOKUP(B153,'03. THIẾT BỊ'!$B$1:$S$836,7,0),"")</f>
        <v>CGLĐ LP</v>
      </c>
      <c r="I153" s="474" t="str">
        <f>IFERROR(VLOOKUP(B153,'03. THIẾT BỊ'!$B$1:$S$836,8,0),"")</f>
        <v/>
      </c>
      <c r="J153" s="471"/>
      <c r="K153" s="463" t="str">
        <f>IFERROR(VLOOKUP(B153,'03. THIẾT BỊ'!$B$1:$S$836,10,0),"")</f>
        <v>Bình thường</v>
      </c>
      <c r="L153" s="468" t="str">
        <f>IFERROR(VLOOKUP(B153,'03. THIẾT BỊ'!$B$1:$S$836,11,0),"")</f>
        <v/>
      </c>
      <c r="M153" s="472" t="str">
        <f>IFERROR(VLOOKUP(B153,'03. THIẾT BỊ'!$B$1:$S$836,12,0),"")</f>
        <v/>
      </c>
      <c r="N153" s="468" t="str">
        <f>IFERROR(VLOOKUP(B153,'03. THIẾT BỊ'!$B$1:$S$836,13,0),"")</f>
        <v>CAMBODIA</v>
      </c>
      <c r="O153" s="470" t="str">
        <f>IFERROR(VLOOKUP(B153,'03. THIẾT BỊ'!$B$1:$S$836,14,0),"")</f>
        <v>3 chảo</v>
      </c>
      <c r="P153" s="468" t="str">
        <f>IFERROR(VLOOKUP(B153,'03. THIẾT BỊ'!$B$1:$S$836,15,0),"")</f>
        <v>CAMBODIA</v>
      </c>
      <c r="Q153" s="48" t="str">
        <f>IFERROR(VLOOKUP(B153,'03. THIẾT BỊ'!$B$1:$S$836,16,0),"")</f>
        <v/>
      </c>
      <c r="R153" s="471" t="str">
        <f>IFERROR(VLOOKUP(B153,'03. THIẾT BỊ'!$B$1:$S$836,17,0),"")</f>
        <v/>
      </c>
      <c r="S153" s="468" t="str">
        <f>IFERROR(VLOOKUP(B153,'03. THIẾT BỊ'!$B$1:$S$836,18,0),"")</f>
        <v/>
      </c>
      <c r="T153" s="812"/>
    </row>
    <row r="154" ht="15.0" customHeight="1">
      <c r="A154" s="463">
        <f t="shared" si="4"/>
        <v>5</v>
      </c>
      <c r="B154" s="464" t="s">
        <v>3740</v>
      </c>
      <c r="C154" s="869" t="str">
        <f>IFERROR(VLOOKUP(B154,'03. THIẾT BỊ'!$B$1:$S$836,2,0),"")</f>
        <v>CNN-CCH-011</v>
      </c>
      <c r="D154" s="470" t="str">
        <f>IFERROR(VLOOKUP(B154,'03. THIẾT BỊ'!$B$1:$S$836,3,0),"")</f>
        <v>A24-CCH-005</v>
      </c>
      <c r="E154" s="464" t="str">
        <f>IFERROR(VLOOKUP(B154,'03. THIẾT BỊ'!$B$1:$S$836,4,0),"")</f>
        <v>ĐQSD</v>
      </c>
      <c r="F154" s="464" t="str">
        <f>IFERROR(VLOOKUP(B154,'03. THIẾT BỊ'!$B$1:$S$836,5,0),"")</f>
        <v>Thiết Bị Cày 3 Chảo</v>
      </c>
      <c r="G154" s="80" t="s">
        <v>6423</v>
      </c>
      <c r="H154" s="463" t="str">
        <f>IFERROR(VLOOKUP(B154,'03. THIẾT BỊ'!$B$1:$S$836,7,0),"")</f>
        <v>CGLĐ LP</v>
      </c>
      <c r="I154" s="474" t="str">
        <f>IFERROR(VLOOKUP(B154,'03. THIẾT BỊ'!$B$1:$S$836,8,0),"")</f>
        <v/>
      </c>
      <c r="J154" s="471"/>
      <c r="K154" s="463" t="str">
        <f>IFERROR(VLOOKUP(B154,'03. THIẾT BỊ'!$B$1:$S$836,10,0),"")</f>
        <v>Bình thường</v>
      </c>
      <c r="L154" s="468" t="str">
        <f>IFERROR(VLOOKUP(B154,'03. THIẾT BỊ'!$B$1:$S$836,11,0),"")</f>
        <v/>
      </c>
      <c r="M154" s="472" t="str">
        <f>IFERROR(VLOOKUP(B154,'03. THIẾT BỊ'!$B$1:$S$836,12,0),"")</f>
        <v/>
      </c>
      <c r="N154" s="468" t="str">
        <f>IFERROR(VLOOKUP(B154,'03. THIẾT BỊ'!$B$1:$S$836,13,0),"")</f>
        <v>CAMBODIA</v>
      </c>
      <c r="O154" s="470" t="str">
        <f>IFERROR(VLOOKUP(B154,'03. THIẾT BỊ'!$B$1:$S$836,14,0),"")</f>
        <v>3 chảo</v>
      </c>
      <c r="P154" s="468" t="str">
        <f>IFERROR(VLOOKUP(B154,'03. THIẾT BỊ'!$B$1:$S$836,15,0),"")</f>
        <v>CAMBODIA</v>
      </c>
      <c r="Q154" s="48" t="str">
        <f>IFERROR(VLOOKUP(B154,'03. THIẾT BỊ'!$B$1:$S$836,16,0),"")</f>
        <v/>
      </c>
      <c r="R154" s="471" t="str">
        <f>IFERROR(VLOOKUP(B154,'03. THIẾT BỊ'!$B$1:$S$836,17,0),"")</f>
        <v/>
      </c>
      <c r="S154" s="468" t="str">
        <f>IFERROR(VLOOKUP(B154,'03. THIẾT BỊ'!$B$1:$S$836,18,0),"")</f>
        <v/>
      </c>
      <c r="T154" s="812"/>
    </row>
    <row r="155" ht="15.0" customHeight="1">
      <c r="A155" s="463">
        <f t="shared" si="4"/>
        <v>6</v>
      </c>
      <c r="B155" s="464" t="s">
        <v>3743</v>
      </c>
      <c r="C155" s="869" t="str">
        <f>IFERROR(VLOOKUP(B155,'03. THIẾT BỊ'!$B$1:$S$836,2,0),"")</f>
        <v>CNN-CCH-012</v>
      </c>
      <c r="D155" s="470" t="str">
        <f>IFERROR(VLOOKUP(B155,'03. THIẾT BỊ'!$B$1:$S$836,3,0),"")</f>
        <v>A24-CCH-006</v>
      </c>
      <c r="E155" s="464" t="str">
        <f>IFERROR(VLOOKUP(B155,'03. THIẾT BỊ'!$B$1:$S$836,4,0),"")</f>
        <v>ĐQSD</v>
      </c>
      <c r="F155" s="464" t="str">
        <f>IFERROR(VLOOKUP(B155,'03. THIẾT BỊ'!$B$1:$S$836,5,0),"")</f>
        <v>Thiết Bị Cày 3 Chảo</v>
      </c>
      <c r="G155" s="80" t="s">
        <v>6423</v>
      </c>
      <c r="H155" s="463" t="str">
        <f>IFERROR(VLOOKUP(B155,'03. THIẾT BỊ'!$B$1:$S$836,7,0),"")</f>
        <v>CGLĐ LP</v>
      </c>
      <c r="I155" s="474" t="str">
        <f>IFERROR(VLOOKUP(B155,'03. THIẾT BỊ'!$B$1:$S$836,8,0),"")</f>
        <v/>
      </c>
      <c r="J155" s="471"/>
      <c r="K155" s="463" t="str">
        <f>IFERROR(VLOOKUP(B155,'03. THIẾT BỊ'!$B$1:$S$836,10,0),"")</f>
        <v>Bình thường</v>
      </c>
      <c r="L155" s="468" t="str">
        <f>IFERROR(VLOOKUP(B155,'03. THIẾT BỊ'!$B$1:$S$836,11,0),"")</f>
        <v/>
      </c>
      <c r="M155" s="472" t="str">
        <f>IFERROR(VLOOKUP(B155,'03. THIẾT BỊ'!$B$1:$S$836,12,0),"")</f>
        <v/>
      </c>
      <c r="N155" s="468" t="str">
        <f>IFERROR(VLOOKUP(B155,'03. THIẾT BỊ'!$B$1:$S$836,13,0),"")</f>
        <v>CAMBODIA</v>
      </c>
      <c r="O155" s="470" t="str">
        <f>IFERROR(VLOOKUP(B155,'03. THIẾT BỊ'!$B$1:$S$836,14,0),"")</f>
        <v>3 chảo</v>
      </c>
      <c r="P155" s="468" t="str">
        <f>IFERROR(VLOOKUP(B155,'03. THIẾT BỊ'!$B$1:$S$836,15,0),"")</f>
        <v>CAMBODIA</v>
      </c>
      <c r="Q155" s="48" t="str">
        <f>IFERROR(VLOOKUP(B155,'03. THIẾT BỊ'!$B$1:$S$836,16,0),"")</f>
        <v/>
      </c>
      <c r="R155" s="471" t="str">
        <f>IFERROR(VLOOKUP(B155,'03. THIẾT BỊ'!$B$1:$S$836,17,0),"")</f>
        <v/>
      </c>
      <c r="S155" s="468" t="str">
        <f>IFERROR(VLOOKUP(B155,'03. THIẾT BỊ'!$B$1:$S$836,18,0),"")</f>
        <v/>
      </c>
      <c r="T155" s="812"/>
    </row>
    <row r="156" ht="15.0" customHeight="1">
      <c r="A156" s="463">
        <f t="shared" si="4"/>
        <v>7</v>
      </c>
      <c r="B156" s="464" t="s">
        <v>3838</v>
      </c>
      <c r="C156" s="869" t="str">
        <f>IFERROR(VLOOKUP(B156,'03. THIẾT BỊ'!$B$1:$S$836,2,0),"")</f>
        <v>CNN-CCH-004</v>
      </c>
      <c r="D156" s="470" t="str">
        <f>IFERROR(VLOOKUP(B156,'03. THIẾT BỊ'!$B$1:$S$836,3,0),"")</f>
        <v>A22-CCH-007</v>
      </c>
      <c r="E156" s="464" t="str">
        <f>IFERROR(VLOOKUP(B156,'03. THIẾT BỊ'!$B$1:$S$836,4,0),"")</f>
        <v>ĐQSD</v>
      </c>
      <c r="F156" s="464" t="str">
        <f>IFERROR(VLOOKUP(B156,'03. THIẾT BỊ'!$B$1:$S$836,5,0),"")</f>
        <v>Thiết Bị Cày 3 Chảo</v>
      </c>
      <c r="G156" s="80" t="s">
        <v>6423</v>
      </c>
      <c r="H156" s="463" t="str">
        <f>IFERROR(VLOOKUP(B156,'03. THIẾT BỊ'!$B$1:$S$836,7,0),"")</f>
        <v>XN Bò AD</v>
      </c>
      <c r="I156" s="474" t="str">
        <f>IFERROR(VLOOKUP(B156,'03. THIẾT BỊ'!$B$1:$S$836,8,0),"")</f>
        <v/>
      </c>
      <c r="J156" s="471"/>
      <c r="K156" s="463" t="str">
        <f>IFERROR(VLOOKUP(B156,'03. THIẾT BỊ'!$B$1:$S$836,10,0),"")</f>
        <v>Bình thường</v>
      </c>
      <c r="L156" s="468" t="str">
        <f>IFERROR(VLOOKUP(B156,'03. THIẾT BỊ'!$B$1:$S$836,11,0),"")</f>
        <v/>
      </c>
      <c r="M156" s="472" t="str">
        <f>IFERROR(VLOOKUP(B156,'03. THIẾT BỊ'!$B$1:$S$836,12,0),"")</f>
        <v/>
      </c>
      <c r="N156" s="468" t="str">
        <f>IFERROR(VLOOKUP(B156,'03. THIẾT BỊ'!$B$1:$S$836,13,0),"")</f>
        <v>CAMBODIA</v>
      </c>
      <c r="O156" s="470" t="str">
        <f>IFERROR(VLOOKUP(B156,'03. THIẾT BỊ'!$B$1:$S$836,14,0),"")</f>
        <v>3 chảo</v>
      </c>
      <c r="P156" s="468" t="str">
        <f>IFERROR(VLOOKUP(B156,'03. THIẾT BỊ'!$B$1:$S$836,15,0),"")</f>
        <v>CAMBODIA</v>
      </c>
      <c r="Q156" s="48" t="str">
        <f>IFERROR(VLOOKUP(B156,'03. THIẾT BỊ'!$B$1:$S$836,16,0),"")</f>
        <v/>
      </c>
      <c r="R156" s="471" t="str">
        <f>IFERROR(VLOOKUP(B156,'03. THIẾT BỊ'!$B$1:$S$836,17,0),"")</f>
        <v/>
      </c>
      <c r="S156" s="468" t="str">
        <f>IFERROR(VLOOKUP(B156,'03. THIẾT BỊ'!$B$1:$S$836,18,0),"")</f>
        <v/>
      </c>
      <c r="T156" s="812"/>
    </row>
    <row r="157" ht="15.0" customHeight="1">
      <c r="A157" s="463">
        <f t="shared" si="4"/>
        <v>8</v>
      </c>
      <c r="B157" s="464" t="s">
        <v>3840</v>
      </c>
      <c r="C157" s="869" t="str">
        <f>IFERROR(VLOOKUP(B157,'03. THIẾT BỊ'!$B$1:$S$836,2,0),"")</f>
        <v>CNN-CCH-005</v>
      </c>
      <c r="D157" s="470" t="str">
        <f>IFERROR(VLOOKUP(B157,'03. THIẾT BỊ'!$B$1:$S$836,3,0),"")</f>
        <v>A22-CCH-008</v>
      </c>
      <c r="E157" s="464" t="str">
        <f>IFERROR(VLOOKUP(B157,'03. THIẾT BỊ'!$B$1:$S$836,4,0),"")</f>
        <v>ĐQSD</v>
      </c>
      <c r="F157" s="464" t="str">
        <f>IFERROR(VLOOKUP(B157,'03. THIẾT BỊ'!$B$1:$S$836,5,0),"")</f>
        <v>Thiết Bị Cày 3 Chảo</v>
      </c>
      <c r="G157" s="80" t="s">
        <v>6423</v>
      </c>
      <c r="H157" s="463" t="str">
        <f>IFERROR(VLOOKUP(B157,'03. THIẾT BỊ'!$B$1:$S$836,7,0),"")</f>
        <v>XN Bò AD</v>
      </c>
      <c r="I157" s="474" t="str">
        <f>IFERROR(VLOOKUP(B157,'03. THIẾT BỊ'!$B$1:$S$836,8,0),"")</f>
        <v/>
      </c>
      <c r="J157" s="471"/>
      <c r="K157" s="463" t="str">
        <f>IFERROR(VLOOKUP(B157,'03. THIẾT BỊ'!$B$1:$S$836,10,0),"")</f>
        <v>Bình thường</v>
      </c>
      <c r="L157" s="468" t="str">
        <f>IFERROR(VLOOKUP(B157,'03. THIẾT BỊ'!$B$1:$S$836,11,0),"")</f>
        <v/>
      </c>
      <c r="M157" s="472" t="str">
        <f>IFERROR(VLOOKUP(B157,'03. THIẾT BỊ'!$B$1:$S$836,12,0),"")</f>
        <v/>
      </c>
      <c r="N157" s="468" t="str">
        <f>IFERROR(VLOOKUP(B157,'03. THIẾT BỊ'!$B$1:$S$836,13,0),"")</f>
        <v>CAMBODIA</v>
      </c>
      <c r="O157" s="470" t="str">
        <f>IFERROR(VLOOKUP(B157,'03. THIẾT BỊ'!$B$1:$S$836,14,0),"")</f>
        <v>3 chảo</v>
      </c>
      <c r="P157" s="468" t="str">
        <f>IFERROR(VLOOKUP(B157,'03. THIẾT BỊ'!$B$1:$S$836,15,0),"")</f>
        <v>CAMBODIA</v>
      </c>
      <c r="Q157" s="48" t="str">
        <f>IFERROR(VLOOKUP(B157,'03. THIẾT BỊ'!$B$1:$S$836,16,0),"")</f>
        <v/>
      </c>
      <c r="R157" s="471" t="str">
        <f>IFERROR(VLOOKUP(B157,'03. THIẾT BỊ'!$B$1:$S$836,17,0),"")</f>
        <v/>
      </c>
      <c r="S157" s="468" t="str">
        <f>IFERROR(VLOOKUP(B157,'03. THIẾT BỊ'!$B$1:$S$836,18,0),"")</f>
        <v/>
      </c>
      <c r="T157" s="812"/>
    </row>
    <row r="158" ht="15.0" customHeight="1">
      <c r="A158" s="463">
        <f t="shared" si="4"/>
        <v>9</v>
      </c>
      <c r="B158" s="464" t="s">
        <v>3842</v>
      </c>
      <c r="C158" s="869" t="str">
        <f>IFERROR(VLOOKUP(B158,'03. THIẾT BỊ'!$B$1:$S$836,2,0),"")</f>
        <v>CNN-CCH-006</v>
      </c>
      <c r="D158" s="470" t="str">
        <f>IFERROR(VLOOKUP(B158,'03. THIẾT BỊ'!$B$1:$S$836,3,0),"")</f>
        <v>A22-CCH-009</v>
      </c>
      <c r="E158" s="464" t="str">
        <f>IFERROR(VLOOKUP(B158,'03. THIẾT BỊ'!$B$1:$S$836,4,0),"")</f>
        <v>ĐQSD</v>
      </c>
      <c r="F158" s="464" t="str">
        <f>IFERROR(VLOOKUP(B158,'03. THIẾT BỊ'!$B$1:$S$836,5,0),"")</f>
        <v>Thiết Bị Cày 3 Chảo</v>
      </c>
      <c r="G158" s="80" t="s">
        <v>6423</v>
      </c>
      <c r="H158" s="463" t="str">
        <f>IFERROR(VLOOKUP(B158,'03. THIẾT BỊ'!$B$1:$S$836,7,0),"")</f>
        <v>XN Bò AD</v>
      </c>
      <c r="I158" s="474" t="str">
        <f>IFERROR(VLOOKUP(B158,'03. THIẾT BỊ'!$B$1:$S$836,8,0),"")</f>
        <v/>
      </c>
      <c r="J158" s="471"/>
      <c r="K158" s="463" t="str">
        <f>IFERROR(VLOOKUP(B158,'03. THIẾT BỊ'!$B$1:$S$836,10,0),"")</f>
        <v>Bình thường</v>
      </c>
      <c r="L158" s="468" t="str">
        <f>IFERROR(VLOOKUP(B158,'03. THIẾT BỊ'!$B$1:$S$836,11,0),"")</f>
        <v>XNB sử dụng</v>
      </c>
      <c r="M158" s="472" t="str">
        <f>IFERROR(VLOOKUP(B158,'03. THIẾT BỊ'!$B$1:$S$836,12,0),"")</f>
        <v/>
      </c>
      <c r="N158" s="468" t="str">
        <f>IFERROR(VLOOKUP(B158,'03. THIẾT BỊ'!$B$1:$S$836,13,0),"")</f>
        <v>CAMBODIA</v>
      </c>
      <c r="O158" s="470" t="str">
        <f>IFERROR(VLOOKUP(B158,'03. THIẾT BỊ'!$B$1:$S$836,14,0),"")</f>
        <v>3 chảo</v>
      </c>
      <c r="P158" s="468" t="str">
        <f>IFERROR(VLOOKUP(B158,'03. THIẾT BỊ'!$B$1:$S$836,15,0),"")</f>
        <v>CAMBODIA</v>
      </c>
      <c r="Q158" s="48" t="str">
        <f>IFERROR(VLOOKUP(B158,'03. THIẾT BỊ'!$B$1:$S$836,16,0),"")</f>
        <v/>
      </c>
      <c r="R158" s="471" t="str">
        <f>IFERROR(VLOOKUP(B158,'03. THIẾT BỊ'!$B$1:$S$836,17,0),"")</f>
        <v/>
      </c>
      <c r="S158" s="468" t="str">
        <f>IFERROR(VLOOKUP(B158,'03. THIẾT BỊ'!$B$1:$S$836,18,0),"")</f>
        <v/>
      </c>
      <c r="T158" s="812"/>
    </row>
    <row r="159" ht="15.0" customHeight="1">
      <c r="A159" s="463">
        <f t="shared" si="4"/>
        <v>10</v>
      </c>
      <c r="B159" s="464" t="s">
        <v>3737</v>
      </c>
      <c r="C159" s="869" t="str">
        <f>IFERROR(VLOOKUP(B159,'03. THIẾT BỊ'!$B$1:$S$836,2,0),"")</f>
        <v>CNN-CCH-007</v>
      </c>
      <c r="D159" s="470" t="str">
        <f>IFERROR(VLOOKUP(B159,'03. THIẾT BỊ'!$B$1:$S$836,3,0),"")</f>
        <v>A22-CCH-010</v>
      </c>
      <c r="E159" s="464" t="str">
        <f>IFERROR(VLOOKUP(B159,'03. THIẾT BỊ'!$B$1:$S$836,4,0),"")</f>
        <v>ĐQSD</v>
      </c>
      <c r="F159" s="464" t="str">
        <f>IFERROR(VLOOKUP(B159,'03. THIẾT BỊ'!$B$1:$S$836,5,0),"")</f>
        <v>Thiết Bị Cày 3 Chảo</v>
      </c>
      <c r="G159" s="80" t="s">
        <v>6423</v>
      </c>
      <c r="H159" s="463" t="str">
        <f>IFERROR(VLOOKUP(B159,'03. THIẾT BỊ'!$B$1:$S$836,7,0),"")</f>
        <v>XN Bò AD</v>
      </c>
      <c r="I159" s="474" t="str">
        <f>IFERROR(VLOOKUP(B159,'03. THIẾT BỊ'!$B$1:$S$836,8,0),"")</f>
        <v/>
      </c>
      <c r="J159" s="471"/>
      <c r="K159" s="463" t="str">
        <f>IFERROR(VLOOKUP(B159,'03. THIẾT BỊ'!$B$1:$S$836,10,0),"")</f>
        <v>Bình thường</v>
      </c>
      <c r="L159" s="468" t="str">
        <f>IFERROR(VLOOKUP(B159,'03. THIẾT BỊ'!$B$1:$S$836,11,0),"")</f>
        <v/>
      </c>
      <c r="M159" s="472" t="str">
        <f>IFERROR(VLOOKUP(B159,'03. THIẾT BỊ'!$B$1:$S$836,12,0),"")</f>
        <v/>
      </c>
      <c r="N159" s="468" t="str">
        <f>IFERROR(VLOOKUP(B159,'03. THIẾT BỊ'!$B$1:$S$836,13,0),"")</f>
        <v>CAMBODIA</v>
      </c>
      <c r="O159" s="470" t="str">
        <f>IFERROR(VLOOKUP(B159,'03. THIẾT BỊ'!$B$1:$S$836,14,0),"")</f>
        <v>3 chảo</v>
      </c>
      <c r="P159" s="468" t="str">
        <f>IFERROR(VLOOKUP(B159,'03. THIẾT BỊ'!$B$1:$S$836,15,0),"")</f>
        <v>CAMBODIA</v>
      </c>
      <c r="Q159" s="48" t="str">
        <f>IFERROR(VLOOKUP(B159,'03. THIẾT BỊ'!$B$1:$S$836,16,0),"")</f>
        <v/>
      </c>
      <c r="R159" s="471" t="str">
        <f>IFERROR(VLOOKUP(B159,'03. THIẾT BỊ'!$B$1:$S$836,17,0),"")</f>
        <v/>
      </c>
      <c r="S159" s="468" t="str">
        <f>IFERROR(VLOOKUP(B159,'03. THIẾT BỊ'!$B$1:$S$836,18,0),"")</f>
        <v/>
      </c>
      <c r="T159" s="812"/>
    </row>
    <row r="160" ht="15.0" customHeight="1">
      <c r="A160" s="463">
        <f t="shared" si="4"/>
        <v>11</v>
      </c>
      <c r="B160" s="464" t="s">
        <v>4934</v>
      </c>
      <c r="C160" s="869" t="str">
        <f>IFERROR(VLOOKUP(B160,'03. THIẾT BỊ'!$B$1:$S$836,2,0),"")</f>
        <v>CNN-CCH-011</v>
      </c>
      <c r="D160" s="470" t="str">
        <f>IFERROR(VLOOKUP(B160,'03. THIẾT BỊ'!$B$1:$S$836,3,0),"")</f>
        <v>A22-CCH-011</v>
      </c>
      <c r="E160" s="464" t="str">
        <f>IFERROR(VLOOKUP(B160,'03. THIẾT BỊ'!$B$1:$S$836,4,0),"")</f>
        <v>ĐQSD</v>
      </c>
      <c r="F160" s="464" t="str">
        <f>IFERROR(VLOOKUP(B160,'03. THIẾT BỊ'!$B$1:$S$836,5,0),"")</f>
        <v>Thiết Bị Cày 3 Chảo</v>
      </c>
      <c r="G160" s="80" t="s">
        <v>6423</v>
      </c>
      <c r="H160" s="463" t="str">
        <f>IFERROR(VLOOKUP(B160,'03. THIẾT BỊ'!$B$1:$S$836,7,0),"")</f>
        <v>Xoài AD</v>
      </c>
      <c r="I160" s="474" t="str">
        <f>IFERROR(VLOOKUP(B160,'03. THIẾT BỊ'!$B$1:$S$836,8,0),"")</f>
        <v>22/12/2025</v>
      </c>
      <c r="J160" s="471"/>
      <c r="K160" s="463" t="str">
        <f>IFERROR(VLOOKUP(B160,'03. THIẾT BỊ'!$B$1:$S$836,10,0),"")</f>
        <v>Bình thường</v>
      </c>
      <c r="L160" s="468" t="str">
        <f>IFERROR(VLOOKUP(B160,'03. THIẾT BỊ'!$B$1:$S$836,11,0),"")</f>
        <v>CGLĐ DP Đchuyen ngày 22/12/2025</v>
      </c>
      <c r="M160" s="472" t="str">
        <f>IFERROR(VLOOKUP(B160,'03. THIẾT BỊ'!$B$1:$S$836,12,0),"")</f>
        <v/>
      </c>
      <c r="N160" s="468" t="str">
        <f>IFERROR(VLOOKUP(B160,'03. THIẾT BỊ'!$B$1:$S$836,13,0),"")</f>
        <v>CAMBODIA</v>
      </c>
      <c r="O160" s="470" t="str">
        <f>IFERROR(VLOOKUP(B160,'03. THIẾT BỊ'!$B$1:$S$836,14,0),"")</f>
        <v>3 chảo</v>
      </c>
      <c r="P160" s="468" t="str">
        <f>IFERROR(VLOOKUP(B160,'03. THIẾT BỊ'!$B$1:$S$836,15,0),"")</f>
        <v>CAMBODIA</v>
      </c>
      <c r="Q160" s="48" t="str">
        <f>IFERROR(VLOOKUP(B160,'03. THIẾT BỊ'!$B$1:$S$836,16,0),"")</f>
        <v/>
      </c>
      <c r="R160" s="471" t="str">
        <f>IFERROR(VLOOKUP(B160,'03. THIẾT BỊ'!$B$1:$S$836,17,0),"")</f>
        <v/>
      </c>
      <c r="S160" s="468" t="str">
        <f>IFERROR(VLOOKUP(B160,'03. THIẾT BỊ'!$B$1:$S$836,18,0),"")</f>
        <v/>
      </c>
      <c r="T160" s="812"/>
    </row>
    <row r="161" ht="15.0" customHeight="1">
      <c r="A161" s="463"/>
      <c r="B161" s="464"/>
      <c r="C161" s="869" t="str">
        <f>IFERROR(VLOOKUP(B161,'03. THIẾT BỊ'!$B$1:$S$836,2,0),"")</f>
        <v/>
      </c>
      <c r="D161" s="470" t="str">
        <f>IFERROR(VLOOKUP(B161,'03. THIẾT BỊ'!$B$1:$S$836,3,0),"")</f>
        <v/>
      </c>
      <c r="E161" s="464" t="str">
        <f>IFERROR(VLOOKUP(B161,'03. THIẾT BỊ'!$B$1:$S$836,4,0),"")</f>
        <v/>
      </c>
      <c r="F161" s="464" t="str">
        <f>IFERROR(VLOOKUP(B161,'03. THIẾT BỊ'!$B$1:$S$836,5,0),"")</f>
        <v/>
      </c>
      <c r="G161" s="80" t="s">
        <v>6423</v>
      </c>
      <c r="H161" s="463" t="str">
        <f>IFERROR(VLOOKUP(B161,'03. THIẾT BỊ'!$B$1:$S$836,7,0),"")</f>
        <v/>
      </c>
      <c r="I161" s="474" t="str">
        <f>IFERROR(VLOOKUP(B161,'03. THIẾT BỊ'!$B$1:$S$836,8,0),"")</f>
        <v/>
      </c>
      <c r="J161" s="471"/>
      <c r="K161" s="463" t="str">
        <f>IFERROR(VLOOKUP(B161,'03. THIẾT BỊ'!$B$1:$S$836,10,0),"")</f>
        <v/>
      </c>
      <c r="L161" s="468" t="str">
        <f>IFERROR(VLOOKUP(B161,'03. THIẾT BỊ'!$B$1:$S$836,11,0),"")</f>
        <v/>
      </c>
      <c r="M161" s="472" t="str">
        <f>IFERROR(VLOOKUP(B161,'03. THIẾT BỊ'!$B$1:$S$836,12,0),"")</f>
        <v/>
      </c>
      <c r="N161" s="468" t="str">
        <f>IFERROR(VLOOKUP(B161,'03. THIẾT BỊ'!$B$1:$S$836,13,0),"")</f>
        <v/>
      </c>
      <c r="O161" s="470" t="str">
        <f>IFERROR(VLOOKUP(B161,'03. THIẾT BỊ'!$B$1:$S$836,14,0),"")</f>
        <v/>
      </c>
      <c r="P161" s="468" t="str">
        <f>IFERROR(VLOOKUP(B161,'03. THIẾT BỊ'!$B$1:$S$836,15,0),"")</f>
        <v/>
      </c>
      <c r="Q161" s="48" t="str">
        <f>IFERROR(VLOOKUP(B161,'03. THIẾT BỊ'!$B$1:$S$836,16,0),"")</f>
        <v/>
      </c>
      <c r="R161" s="471" t="str">
        <f>IFERROR(VLOOKUP(B161,'03. THIẾT BỊ'!$B$1:$S$836,17,0),"")</f>
        <v/>
      </c>
      <c r="S161" s="468" t="str">
        <f>IFERROR(VLOOKUP(B161,'03. THIẾT BỊ'!$B$1:$S$836,18,0),"")</f>
        <v/>
      </c>
      <c r="T161" s="812"/>
    </row>
    <row r="162" ht="15.0" customHeight="1">
      <c r="A162" s="463"/>
      <c r="B162" s="464"/>
      <c r="C162" s="869" t="str">
        <f>IFERROR(VLOOKUP(B162,'03. THIẾT BỊ'!$B$1:$S$836,2,0),"")</f>
        <v/>
      </c>
      <c r="D162" s="470" t="str">
        <f>IFERROR(VLOOKUP(B162,'03. THIẾT BỊ'!$B$1:$S$836,3,0),"")</f>
        <v/>
      </c>
      <c r="E162" s="464" t="str">
        <f>IFERROR(VLOOKUP(B162,'03. THIẾT BỊ'!$B$1:$S$836,4,0),"")</f>
        <v/>
      </c>
      <c r="F162" s="464" t="str">
        <f>IFERROR(VLOOKUP(B162,'03. THIẾT BỊ'!$B$1:$S$836,5,0),"")</f>
        <v/>
      </c>
      <c r="G162" s="80" t="s">
        <v>6423</v>
      </c>
      <c r="H162" s="463" t="str">
        <f>IFERROR(VLOOKUP(B162,'03. THIẾT BỊ'!$B$1:$S$836,7,0),"")</f>
        <v/>
      </c>
      <c r="I162" s="474" t="str">
        <f>IFERROR(VLOOKUP(B162,'03. THIẾT BỊ'!$B$1:$S$836,8,0),"")</f>
        <v/>
      </c>
      <c r="J162" s="471"/>
      <c r="K162" s="463" t="str">
        <f>IFERROR(VLOOKUP(B162,'03. THIẾT BỊ'!$B$1:$S$836,10,0),"")</f>
        <v/>
      </c>
      <c r="L162" s="468" t="str">
        <f>IFERROR(VLOOKUP(B162,'03. THIẾT BỊ'!$B$1:$S$836,11,0),"")</f>
        <v/>
      </c>
      <c r="M162" s="472" t="str">
        <f>IFERROR(VLOOKUP(B162,'03. THIẾT BỊ'!$B$1:$S$836,12,0),"")</f>
        <v/>
      </c>
      <c r="N162" s="468" t="str">
        <f>IFERROR(VLOOKUP(B162,'03. THIẾT BỊ'!$B$1:$S$836,13,0),"")</f>
        <v/>
      </c>
      <c r="O162" s="470" t="str">
        <f>IFERROR(VLOOKUP(B162,'03. THIẾT BỊ'!$B$1:$S$836,14,0),"")</f>
        <v/>
      </c>
      <c r="P162" s="468" t="str">
        <f>IFERROR(VLOOKUP(B162,'03. THIẾT BỊ'!$B$1:$S$836,15,0),"")</f>
        <v/>
      </c>
      <c r="Q162" s="48" t="str">
        <f>IFERROR(VLOOKUP(B162,'03. THIẾT BỊ'!$B$1:$S$836,16,0),"")</f>
        <v/>
      </c>
      <c r="R162" s="471" t="str">
        <f>IFERROR(VLOOKUP(B162,'03. THIẾT BỊ'!$B$1:$S$836,17,0),"")</f>
        <v/>
      </c>
      <c r="S162" s="468" t="str">
        <f>IFERROR(VLOOKUP(B162,'03. THIẾT BỊ'!$B$1:$S$836,18,0),"")</f>
        <v/>
      </c>
      <c r="T162" s="812"/>
    </row>
    <row r="163" ht="15.0" customHeight="1">
      <c r="A163" s="455" t="s">
        <v>76</v>
      </c>
      <c r="B163" s="456" t="s">
        <v>7233</v>
      </c>
      <c r="C163" s="457">
        <f>COUNTA(B164:B167)</f>
        <v>3</v>
      </c>
      <c r="D163" s="458" t="str">
        <f>IFERROR(VLOOKUP(B163,'03. THIẾT BỊ'!$B$1:$S$836,3,0),"")</f>
        <v/>
      </c>
      <c r="E163" s="464" t="str">
        <f>IFERROR(VLOOKUP(B163,'03. THIẾT BỊ'!$B$1:$S$836,4,0),"")</f>
        <v/>
      </c>
      <c r="F163" s="458" t="str">
        <f>IFERROR(VLOOKUP(B163,'03. THIẾT BỊ'!$B$1:$S$836,5,0),"")</f>
        <v/>
      </c>
      <c r="G163" s="459" t="s">
        <v>6423</v>
      </c>
      <c r="H163" s="459" t="str">
        <f>IFERROR(VLOOKUP(B163,'03. THIẾT BỊ'!$B$1:$S$836,7,0),"")</f>
        <v/>
      </c>
      <c r="I163" s="457" t="str">
        <f>IFERROR(VLOOKUP(B163,'03. THIẾT BỊ'!$B$1:$S$836,8,0),"")</f>
        <v/>
      </c>
      <c r="J163" s="460"/>
      <c r="K163" s="457" t="str">
        <f>IFERROR(VLOOKUP(B163,'03. THIẾT BỊ'!$B$1:$S$836,10,0),"")</f>
        <v/>
      </c>
      <c r="L163" s="458" t="str">
        <f>IFERROR(VLOOKUP(B163,'03. THIẾT BỊ'!$B$1:$S$836,11,0),"")</f>
        <v/>
      </c>
      <c r="M163" s="461" t="str">
        <f>IFERROR(VLOOKUP(B163,'03. THIẾT BỊ'!$B$1:$S$836,12,0),"")</f>
        <v/>
      </c>
      <c r="N163" s="458" t="str">
        <f>IFERROR(VLOOKUP(B163,'03. THIẾT BỊ'!$B$1:$S$836,13,0),"")</f>
        <v/>
      </c>
      <c r="O163" s="461" t="str">
        <f>IFERROR(VLOOKUP(B163,'03. THIẾT BỊ'!$B$1:$S$836,14,0),"")</f>
        <v/>
      </c>
      <c r="P163" s="458" t="str">
        <f>IFERROR(VLOOKUP(B163,'03. THIẾT BỊ'!$B$1:$S$836,15,0),"")</f>
        <v/>
      </c>
      <c r="Q163" s="459" t="str">
        <f>IFERROR(VLOOKUP(B163,'03. THIẾT BỊ'!$B$1:$S$836,16,0),"")</f>
        <v/>
      </c>
      <c r="R163" s="458" t="str">
        <f>IFERROR(VLOOKUP(B163,'03. THIẾT BỊ'!$B$1:$S$836,17,0),"")</f>
        <v/>
      </c>
      <c r="S163" s="458" t="str">
        <f>IFERROR(VLOOKUP(B163,'03. THIẾT BỊ'!$B$1:$S$836,18,0),"")</f>
        <v/>
      </c>
      <c r="T163" s="866"/>
    </row>
    <row r="164" ht="15.0" customHeight="1">
      <c r="A164" s="463">
        <v>1.0</v>
      </c>
      <c r="B164" s="464" t="s">
        <v>3680</v>
      </c>
      <c r="C164" s="869" t="str">
        <f>IFERROR(VLOOKUP(B164,'03. THIẾT BỊ'!$B$1:$S$836,2,0),"")</f>
        <v/>
      </c>
      <c r="D164" s="470" t="str">
        <f>IFERROR(VLOOKUP(B164,'03. THIẾT BỊ'!$B$1:$S$836,3,0),"")</f>
        <v>A23-CCH-013</v>
      </c>
      <c r="E164" s="464" t="str">
        <f>IFERROR(VLOOKUP(B164,'03. THIẾT BỊ'!$B$1:$S$836,4,0),"")</f>
        <v>MUA MỚI</v>
      </c>
      <c r="F164" s="464" t="str">
        <f>IFERROR(VLOOKUP(B164,'03. THIẾT BỊ'!$B$1:$S$836,5,0),"")</f>
        <v>Thiết bị cày 4 chảo</v>
      </c>
      <c r="G164" s="80" t="s">
        <v>6423</v>
      </c>
      <c r="H164" s="463" t="str">
        <f>IFERROR(VLOOKUP(B164,'03. THIẾT BỊ'!$B$1:$S$836,7,0),"")</f>
        <v>CGLĐ DP</v>
      </c>
      <c r="I164" s="474">
        <f>IFERROR(VLOOKUP(B164,'03. THIẾT BỊ'!$B$1:$S$836,8,0),"")</f>
        <v>45811</v>
      </c>
      <c r="J164" s="471"/>
      <c r="K164" s="463" t="str">
        <f>IFERROR(VLOOKUP(B164,'03. THIẾT BỊ'!$B$1:$S$836,10,0),"")</f>
        <v>Bình thường</v>
      </c>
      <c r="L164" s="468" t="str">
        <f>IFERROR(VLOOKUP(B164,'03. THIẾT BỊ'!$B$1:$S$836,11,0),"")</f>
        <v>Đầu tư mới</v>
      </c>
      <c r="M164" s="472" t="str">
        <f>IFERROR(VLOOKUP(B164,'03. THIẾT BỊ'!$B$1:$S$836,12,0),"")</f>
        <v/>
      </c>
      <c r="N164" s="468" t="str">
        <f>IFERROR(VLOOKUP(B164,'03. THIẾT BỊ'!$B$1:$S$836,13,0),"")</f>
        <v>KUBOTA</v>
      </c>
      <c r="O164" s="470" t="str">
        <f>IFERROR(VLOOKUP(B164,'03. THIẾT BỊ'!$B$1:$S$836,14,0),"")</f>
        <v>4 CHẢO</v>
      </c>
      <c r="P164" s="468" t="str">
        <f>IFERROR(VLOOKUP(B164,'03. THIẾT BỊ'!$B$1:$S$836,15,0),"")</f>
        <v>CAMBODIA</v>
      </c>
      <c r="Q164" s="48" t="str">
        <f>IFERROR(VLOOKUP(B164,'03. THIẾT BỊ'!$B$1:$S$836,16,0),"")</f>
        <v/>
      </c>
      <c r="R164" s="471" t="str">
        <f>IFERROR(VLOOKUP(B164,'03. THIẾT BỊ'!$B$1:$S$836,17,0),"")</f>
        <v/>
      </c>
      <c r="S164" s="468" t="str">
        <f>IFERROR(VLOOKUP(B164,'03. THIẾT BỊ'!$B$1:$S$836,18,0),"")</f>
        <v/>
      </c>
      <c r="T164" s="812"/>
    </row>
    <row r="165" ht="15.0" customHeight="1">
      <c r="A165" s="463">
        <v>2.0</v>
      </c>
      <c r="B165" s="464" t="s">
        <v>3684</v>
      </c>
      <c r="C165" s="869" t="str">
        <f>IFERROR(VLOOKUP(B165,'03. THIẾT BỊ'!$B$1:$S$836,2,0),"")</f>
        <v/>
      </c>
      <c r="D165" s="470" t="str">
        <f>IFERROR(VLOOKUP(B165,'03. THIẾT BỊ'!$B$1:$S$836,3,0),"")</f>
        <v>A23-CCH-014</v>
      </c>
      <c r="E165" s="464" t="str">
        <f>IFERROR(VLOOKUP(B165,'03. THIẾT BỊ'!$B$1:$S$836,4,0),"")</f>
        <v>MUA MỚI</v>
      </c>
      <c r="F165" s="464" t="str">
        <f>IFERROR(VLOOKUP(B165,'03. THIẾT BỊ'!$B$1:$S$836,5,0),"")</f>
        <v>Thiết bị cày 4 chảo</v>
      </c>
      <c r="G165" s="80" t="s">
        <v>6423</v>
      </c>
      <c r="H165" s="463" t="str">
        <f>IFERROR(VLOOKUP(B165,'03. THIẾT BỊ'!$B$1:$S$836,7,0),"")</f>
        <v>CGLĐ DP</v>
      </c>
      <c r="I165" s="474">
        <f>IFERROR(VLOOKUP(B165,'03. THIẾT BỊ'!$B$1:$S$836,8,0),"")</f>
        <v>45811</v>
      </c>
      <c r="J165" s="471"/>
      <c r="K165" s="463" t="str">
        <f>IFERROR(VLOOKUP(B165,'03. THIẾT BỊ'!$B$1:$S$836,10,0),"")</f>
        <v>Bình thường</v>
      </c>
      <c r="L165" s="468" t="str">
        <f>IFERROR(VLOOKUP(B165,'03. THIẾT BỊ'!$B$1:$S$836,11,0),"")</f>
        <v>Đầu tư mới</v>
      </c>
      <c r="M165" s="472" t="str">
        <f>IFERROR(VLOOKUP(B165,'03. THIẾT BỊ'!$B$1:$S$836,12,0),"")</f>
        <v/>
      </c>
      <c r="N165" s="468" t="str">
        <f>IFERROR(VLOOKUP(B165,'03. THIẾT BỊ'!$B$1:$S$836,13,0),"")</f>
        <v>KUBOTA</v>
      </c>
      <c r="O165" s="470" t="str">
        <f>IFERROR(VLOOKUP(B165,'03. THIẾT BỊ'!$B$1:$S$836,14,0),"")</f>
        <v>4 CHẢO</v>
      </c>
      <c r="P165" s="468" t="str">
        <f>IFERROR(VLOOKUP(B165,'03. THIẾT BỊ'!$B$1:$S$836,15,0),"")</f>
        <v>CAMBODIA</v>
      </c>
      <c r="Q165" s="48" t="str">
        <f>IFERROR(VLOOKUP(B165,'03. THIẾT BỊ'!$B$1:$S$836,16,0),"")</f>
        <v/>
      </c>
      <c r="R165" s="471" t="str">
        <f>IFERROR(VLOOKUP(B165,'03. THIẾT BỊ'!$B$1:$S$836,17,0),"")</f>
        <v/>
      </c>
      <c r="S165" s="468" t="str">
        <f>IFERROR(VLOOKUP(B165,'03. THIẾT BỊ'!$B$1:$S$836,18,0),"")</f>
        <v/>
      </c>
      <c r="T165" s="812"/>
    </row>
    <row r="166" ht="15.0" customHeight="1">
      <c r="A166" s="463">
        <v>3.0</v>
      </c>
      <c r="B166" s="464" t="s">
        <v>3816</v>
      </c>
      <c r="C166" s="869" t="str">
        <f>IFERROR(VLOOKUP(B166,'03. THIẾT BỊ'!$B$1:$S$836,2,0),"")</f>
        <v/>
      </c>
      <c r="D166" s="470" t="str">
        <f>IFERROR(VLOOKUP(B166,'03. THIẾT BỊ'!$B$1:$S$836,3,0),"")</f>
        <v>A24-CCH-015</v>
      </c>
      <c r="E166" s="464" t="str">
        <f>IFERROR(VLOOKUP(B166,'03. THIẾT BỊ'!$B$1:$S$836,4,0),"")</f>
        <v>MUA MỚI</v>
      </c>
      <c r="F166" s="464" t="str">
        <f>IFERROR(VLOOKUP(B166,'03. THIẾT BỊ'!$B$1:$S$836,5,0),"")</f>
        <v>Thiết bị cày 4 chảo</v>
      </c>
      <c r="G166" s="80" t="s">
        <v>6423</v>
      </c>
      <c r="H166" s="463" t="str">
        <f>IFERROR(VLOOKUP(B166,'03. THIẾT BỊ'!$B$1:$S$836,7,0),"")</f>
        <v>CGLĐ LP</v>
      </c>
      <c r="I166" s="474">
        <f>IFERROR(VLOOKUP(B166,'03. THIẾT BỊ'!$B$1:$S$836,8,0),"")</f>
        <v>45811</v>
      </c>
      <c r="J166" s="471"/>
      <c r="K166" s="463" t="str">
        <f>IFERROR(VLOOKUP(B166,'03. THIẾT BỊ'!$B$1:$S$836,10,0),"")</f>
        <v>Bình thường</v>
      </c>
      <c r="L166" s="468" t="str">
        <f>IFERROR(VLOOKUP(B166,'03. THIẾT BỊ'!$B$1:$S$836,11,0),"")</f>
        <v>Đầu tư mới</v>
      </c>
      <c r="M166" s="472" t="str">
        <f>IFERROR(VLOOKUP(B166,'03. THIẾT BỊ'!$B$1:$S$836,12,0),"")</f>
        <v/>
      </c>
      <c r="N166" s="468" t="str">
        <f>IFERROR(VLOOKUP(B166,'03. THIẾT BỊ'!$B$1:$S$836,13,0),"")</f>
        <v>KUBOTA</v>
      </c>
      <c r="O166" s="470" t="str">
        <f>IFERROR(VLOOKUP(B166,'03. THIẾT BỊ'!$B$1:$S$836,14,0),"")</f>
        <v>4 CHẢO</v>
      </c>
      <c r="P166" s="468" t="str">
        <f>IFERROR(VLOOKUP(B166,'03. THIẾT BỊ'!$B$1:$S$836,15,0),"")</f>
        <v>CAMBODIA</v>
      </c>
      <c r="Q166" s="48">
        <f>IFERROR(VLOOKUP(B166,'03. THIẾT BỊ'!$B$1:$S$836,16,0),"")</f>
        <v>2025</v>
      </c>
      <c r="R166" s="471" t="str">
        <f>IFERROR(VLOOKUP(B166,'03. THIẾT BỊ'!$B$1:$S$836,17,0),"")</f>
        <v/>
      </c>
      <c r="S166" s="468" t="str">
        <f>IFERROR(VLOOKUP(B166,'03. THIẾT BỊ'!$B$1:$S$836,18,0),"")</f>
        <v/>
      </c>
      <c r="T166" s="807"/>
    </row>
    <row r="167" ht="15.0" customHeight="1">
      <c r="A167" s="463"/>
      <c r="B167" s="464"/>
      <c r="C167" s="869" t="str">
        <f>IFERROR(VLOOKUP(B167,'03. THIẾT BỊ'!$B$1:$S$836,2,0),"")</f>
        <v/>
      </c>
      <c r="D167" s="470" t="str">
        <f>IFERROR(VLOOKUP(B167,'03. THIẾT BỊ'!$B$1:$S$836,3,0),"")</f>
        <v/>
      </c>
      <c r="E167" s="464" t="str">
        <f>IFERROR(VLOOKUP(B167,'03. THIẾT BỊ'!$B$1:$S$836,4,0),"")</f>
        <v/>
      </c>
      <c r="F167" s="464" t="str">
        <f>IFERROR(VLOOKUP(B167,'03. THIẾT BỊ'!$B$1:$S$836,5,0),"")</f>
        <v/>
      </c>
      <c r="G167" s="80" t="s">
        <v>6423</v>
      </c>
      <c r="H167" s="463" t="str">
        <f>IFERROR(VLOOKUP(B167,'03. THIẾT BỊ'!$B$1:$S$836,7,0),"")</f>
        <v/>
      </c>
      <c r="I167" s="474" t="str">
        <f>IFERROR(VLOOKUP(B167,'03. THIẾT BỊ'!$B$1:$S$836,8,0),"")</f>
        <v/>
      </c>
      <c r="J167" s="471"/>
      <c r="K167" s="463" t="str">
        <f>IFERROR(VLOOKUP(B167,'03. THIẾT BỊ'!$B$1:$S$836,10,0),"")</f>
        <v/>
      </c>
      <c r="L167" s="468" t="str">
        <f>IFERROR(VLOOKUP(B167,'03. THIẾT BỊ'!$B$1:$S$836,11,0),"")</f>
        <v/>
      </c>
      <c r="M167" s="472" t="str">
        <f>IFERROR(VLOOKUP(B167,'03. THIẾT BỊ'!$B$1:$S$836,12,0),"")</f>
        <v/>
      </c>
      <c r="N167" s="468" t="str">
        <f>IFERROR(VLOOKUP(B167,'03. THIẾT BỊ'!$B$1:$S$836,13,0),"")</f>
        <v/>
      </c>
      <c r="O167" s="470" t="str">
        <f>IFERROR(VLOOKUP(B167,'03. THIẾT BỊ'!$B$1:$S$836,14,0),"")</f>
        <v/>
      </c>
      <c r="P167" s="468" t="str">
        <f>IFERROR(VLOOKUP(B167,'03. THIẾT BỊ'!$B$1:$S$836,15,0),"")</f>
        <v/>
      </c>
      <c r="Q167" s="48" t="str">
        <f>IFERROR(VLOOKUP(B167,'03. THIẾT BỊ'!$B$1:$S$836,16,0),"")</f>
        <v/>
      </c>
      <c r="R167" s="471" t="str">
        <f>IFERROR(VLOOKUP(B167,'03. THIẾT BỊ'!$B$1:$S$836,17,0),"")</f>
        <v/>
      </c>
      <c r="S167" s="468" t="str">
        <f>IFERROR(VLOOKUP(B167,'03. THIẾT BỊ'!$B$1:$S$836,18,0),"")</f>
        <v/>
      </c>
      <c r="T167" s="812"/>
    </row>
    <row r="168" ht="15.0" hidden="1" customHeight="1">
      <c r="A168" s="463"/>
      <c r="B168" s="464"/>
      <c r="C168" s="869" t="str">
        <f>IFERROR(VLOOKUP(B168,'03. THIẾT BỊ'!$B$1:$S$836,2,0),"")</f>
        <v/>
      </c>
      <c r="D168" s="470" t="str">
        <f>IFERROR(VLOOKUP(B168,'03. THIẾT BỊ'!$B$1:$S$836,3,0),"")</f>
        <v/>
      </c>
      <c r="E168" s="464" t="str">
        <f>IFERROR(VLOOKUP(B168,'03. THIẾT BỊ'!$B$1:$S$836,4,0),"")</f>
        <v/>
      </c>
      <c r="F168" s="464" t="str">
        <f>IFERROR(VLOOKUP(B168,'03. THIẾT BỊ'!$B$1:$S$836,5,0),"")</f>
        <v/>
      </c>
      <c r="G168" s="80" t="s">
        <v>6423</v>
      </c>
      <c r="H168" s="463" t="str">
        <f>IFERROR(VLOOKUP(B168,'03. THIẾT BỊ'!$B$1:$S$836,7,0),"")</f>
        <v/>
      </c>
      <c r="I168" s="474" t="str">
        <f>IFERROR(VLOOKUP(B168,'03. THIẾT BỊ'!$B$1:$S$836,8,0),"")</f>
        <v/>
      </c>
      <c r="J168" s="471"/>
      <c r="K168" s="463" t="str">
        <f>IFERROR(VLOOKUP(B168,'03. THIẾT BỊ'!$B$1:$S$836,10,0),"")</f>
        <v/>
      </c>
      <c r="L168" s="468" t="str">
        <f>IFERROR(VLOOKUP(B168,'03. THIẾT BỊ'!$B$1:$S$836,11,0),"")</f>
        <v/>
      </c>
      <c r="M168" s="472" t="str">
        <f>IFERROR(VLOOKUP(B168,'03. THIẾT BỊ'!$B$1:$S$836,12,0),"")</f>
        <v/>
      </c>
      <c r="N168" s="468" t="str">
        <f>IFERROR(VLOOKUP(B168,'03. THIẾT BỊ'!$B$1:$S$836,13,0),"")</f>
        <v/>
      </c>
      <c r="O168" s="470" t="str">
        <f>IFERROR(VLOOKUP(B168,'03. THIẾT BỊ'!$B$1:$S$836,14,0),"")</f>
        <v/>
      </c>
      <c r="P168" s="468" t="str">
        <f>IFERROR(VLOOKUP(B168,'03. THIẾT BỊ'!$B$1:$S$836,15,0),"")</f>
        <v/>
      </c>
      <c r="Q168" s="48" t="str">
        <f>IFERROR(VLOOKUP(B168,'03. THIẾT BỊ'!$B$1:$S$836,16,0),"")</f>
        <v/>
      </c>
      <c r="R168" s="471" t="str">
        <f>IFERROR(VLOOKUP(B168,'03. THIẾT BỊ'!$B$1:$S$836,17,0),"")</f>
        <v/>
      </c>
      <c r="S168" s="468" t="str">
        <f>IFERROR(VLOOKUP(B168,'03. THIẾT BỊ'!$B$1:$S$836,18,0),"")</f>
        <v/>
      </c>
      <c r="T168" s="812"/>
    </row>
    <row r="169" ht="15.0" hidden="1" customHeight="1">
      <c r="A169" s="463"/>
      <c r="B169" s="464"/>
      <c r="C169" s="869" t="str">
        <f>IFERROR(VLOOKUP(B169,'03. THIẾT BỊ'!$B$1:$S$836,2,0),"")</f>
        <v/>
      </c>
      <c r="D169" s="470" t="str">
        <f>IFERROR(VLOOKUP(B169,'03. THIẾT BỊ'!$B$1:$S$836,3,0),"")</f>
        <v/>
      </c>
      <c r="E169" s="464" t="str">
        <f>IFERROR(VLOOKUP(B169,'03. THIẾT BỊ'!$B$1:$S$836,4,0),"")</f>
        <v/>
      </c>
      <c r="F169" s="464" t="str">
        <f>IFERROR(VLOOKUP(B169,'03. THIẾT BỊ'!$B$1:$S$836,5,0),"")</f>
        <v/>
      </c>
      <c r="G169" s="80" t="s">
        <v>6423</v>
      </c>
      <c r="H169" s="463" t="str">
        <f>IFERROR(VLOOKUP(B169,'03. THIẾT BỊ'!$B$1:$S$836,7,0),"")</f>
        <v/>
      </c>
      <c r="I169" s="474" t="str">
        <f>IFERROR(VLOOKUP(B169,'03. THIẾT BỊ'!$B$1:$S$836,8,0),"")</f>
        <v/>
      </c>
      <c r="J169" s="471"/>
      <c r="K169" s="463" t="str">
        <f>IFERROR(VLOOKUP(B169,'03. THIẾT BỊ'!$B$1:$S$836,10,0),"")</f>
        <v/>
      </c>
      <c r="L169" s="468" t="str">
        <f>IFERROR(VLOOKUP(B169,'03. THIẾT BỊ'!$B$1:$S$836,11,0),"")</f>
        <v/>
      </c>
      <c r="M169" s="472" t="str">
        <f>IFERROR(VLOOKUP(B169,'03. THIẾT BỊ'!$B$1:$S$836,12,0),"")</f>
        <v/>
      </c>
      <c r="N169" s="468" t="str">
        <f>IFERROR(VLOOKUP(B169,'03. THIẾT BỊ'!$B$1:$S$836,13,0),"")</f>
        <v/>
      </c>
      <c r="O169" s="470" t="str">
        <f>IFERROR(VLOOKUP(B169,'03. THIẾT BỊ'!$B$1:$S$836,14,0),"")</f>
        <v/>
      </c>
      <c r="P169" s="468" t="str">
        <f>IFERROR(VLOOKUP(B169,'03. THIẾT BỊ'!$B$1:$S$836,15,0),"")</f>
        <v/>
      </c>
      <c r="Q169" s="48" t="str">
        <f>IFERROR(VLOOKUP(B169,'03. THIẾT BỊ'!$B$1:$S$836,16,0),"")</f>
        <v/>
      </c>
      <c r="R169" s="471" t="str">
        <f>IFERROR(VLOOKUP(B169,'03. THIẾT BỊ'!$B$1:$S$836,17,0),"")</f>
        <v/>
      </c>
      <c r="S169" s="468" t="str">
        <f>IFERROR(VLOOKUP(B169,'03. THIẾT BỊ'!$B$1:$S$836,18,0),"")</f>
        <v/>
      </c>
      <c r="T169" s="812"/>
    </row>
    <row r="170" ht="15.0" customHeight="1">
      <c r="A170" s="455" t="s">
        <v>76</v>
      </c>
      <c r="B170" s="456" t="s">
        <v>7450</v>
      </c>
      <c r="C170" s="457">
        <f>COUNTA(B171:B181)</f>
        <v>9</v>
      </c>
      <c r="D170" s="458" t="str">
        <f>IFERROR(VLOOKUP(B170,'03. THIẾT BỊ'!$B$1:$S$836,3,0),"")</f>
        <v/>
      </c>
      <c r="E170" s="464" t="str">
        <f>IFERROR(VLOOKUP(B170,'03. THIẾT BỊ'!$B$1:$S$836,4,0),"")</f>
        <v/>
      </c>
      <c r="F170" s="458" t="str">
        <f>IFERROR(VLOOKUP(B170,'03. THIẾT BỊ'!$B$1:$S$836,5,0),"")</f>
        <v/>
      </c>
      <c r="G170" s="459" t="s">
        <v>6423</v>
      </c>
      <c r="H170" s="459" t="str">
        <f>IFERROR(VLOOKUP(B170,'03. THIẾT BỊ'!$B$1:$S$836,7,0),"")</f>
        <v/>
      </c>
      <c r="I170" s="457" t="str">
        <f>IFERROR(VLOOKUP(B170,'03. THIẾT BỊ'!$B$1:$S$836,8,0),"")</f>
        <v/>
      </c>
      <c r="J170" s="460"/>
      <c r="K170" s="457" t="str">
        <f>IFERROR(VLOOKUP(B170,'03. THIẾT BỊ'!$B$1:$S$836,10,0),"")</f>
        <v/>
      </c>
      <c r="L170" s="458" t="str">
        <f>IFERROR(VLOOKUP(B170,'03. THIẾT BỊ'!$B$1:$S$836,11,0),"")</f>
        <v/>
      </c>
      <c r="M170" s="461" t="str">
        <f>IFERROR(VLOOKUP(B170,'03. THIẾT BỊ'!$B$1:$S$836,12,0),"")</f>
        <v/>
      </c>
      <c r="N170" s="458" t="str">
        <f>IFERROR(VLOOKUP(B170,'03. THIẾT BỊ'!$B$1:$S$836,13,0),"")</f>
        <v/>
      </c>
      <c r="O170" s="461" t="str">
        <f>IFERROR(VLOOKUP(B170,'03. THIẾT BỊ'!$B$1:$S$836,14,0),"")</f>
        <v/>
      </c>
      <c r="P170" s="458" t="str">
        <f>IFERROR(VLOOKUP(B170,'03. THIẾT BỊ'!$B$1:$S$836,15,0),"")</f>
        <v/>
      </c>
      <c r="Q170" s="459" t="str">
        <f>IFERROR(VLOOKUP(B170,'03. THIẾT BỊ'!$B$1:$S$836,16,0),"")</f>
        <v/>
      </c>
      <c r="R170" s="458" t="str">
        <f>IFERROR(VLOOKUP(B170,'03. THIẾT BỊ'!$B$1:$S$836,17,0),"")</f>
        <v/>
      </c>
      <c r="S170" s="458" t="str">
        <f>IFERROR(VLOOKUP(B170,'03. THIẾT BỊ'!$B$1:$S$836,18,0),"")</f>
        <v/>
      </c>
      <c r="T170" s="866"/>
    </row>
    <row r="171" ht="15.0" customHeight="1">
      <c r="A171" s="463">
        <v>1.0</v>
      </c>
      <c r="B171" s="464" t="s">
        <v>3534</v>
      </c>
      <c r="C171" s="869" t="str">
        <f>IFERROR(VLOOKUP(B171,'03. THIẾT BỊ'!$B$1:$S$836,2,0),"")</f>
        <v>B7C01</v>
      </c>
      <c r="D171" s="470" t="str">
        <f>IFERROR(VLOOKUP(B171,'03. THIẾT BỊ'!$B$1:$S$836,3,0),"")</f>
        <v>A23-BUA-001</v>
      </c>
      <c r="E171" s="464" t="str">
        <f>IFERROR(VLOOKUP(B171,'03. THIẾT BỊ'!$B$1:$S$836,4,0),"")</f>
        <v>ĐQSD</v>
      </c>
      <c r="F171" s="464" t="str">
        <f>IFERROR(VLOOKUP(B171,'03. THIẾT BỊ'!$B$1:$S$836,5,0),"")</f>
        <v>Thiết bị bừa 7 chảo</v>
      </c>
      <c r="G171" s="80" t="s">
        <v>6423</v>
      </c>
      <c r="H171" s="463" t="str">
        <f>IFERROR(VLOOKUP(B171,'03. THIẾT BỊ'!$B$1:$S$836,7,0),"")</f>
        <v>CGLĐ DP</v>
      </c>
      <c r="I171" s="474" t="str">
        <f>IFERROR(VLOOKUP(B171,'03. THIẾT BỊ'!$B$1:$S$836,8,0),"")</f>
        <v/>
      </c>
      <c r="J171" s="471"/>
      <c r="K171" s="463" t="str">
        <f>IFERROR(VLOOKUP(B171,'03. THIẾT BỊ'!$B$1:$S$836,10,0),"")</f>
        <v>Bình thường</v>
      </c>
      <c r="L171" s="468" t="str">
        <f>IFERROR(VLOOKUP(B171,'03. THIẾT BỊ'!$B$1:$S$836,11,0),"")</f>
        <v/>
      </c>
      <c r="M171" s="472" t="str">
        <f>IFERROR(VLOOKUP(B171,'03. THIẾT BỊ'!$B$1:$S$836,12,0),"")</f>
        <v/>
      </c>
      <c r="N171" s="468" t="str">
        <f>IFERROR(VLOOKUP(B171,'03. THIẾT BỊ'!$B$1:$S$836,13,0),"")</f>
        <v>TRUNG QUỐC</v>
      </c>
      <c r="O171" s="470" t="str">
        <f>IFERROR(VLOOKUP(B171,'03. THIẾT BỊ'!$B$1:$S$836,14,0),"")</f>
        <v>7 chảo</v>
      </c>
      <c r="P171" s="468" t="str">
        <f>IFERROR(VLOOKUP(B171,'03. THIẾT BỊ'!$B$1:$S$836,15,0),"")</f>
        <v>TRUNG QUỐC</v>
      </c>
      <c r="Q171" s="48" t="str">
        <f>IFERROR(VLOOKUP(B171,'03. THIẾT BỊ'!$B$1:$S$836,16,0),"")</f>
        <v/>
      </c>
      <c r="R171" s="471" t="str">
        <f>IFERROR(VLOOKUP(B171,'03. THIẾT BỊ'!$B$1:$S$836,17,0),"")</f>
        <v/>
      </c>
      <c r="S171" s="468" t="str">
        <f>IFERROR(VLOOKUP(B171,'03. THIẾT BỊ'!$B$1:$S$836,18,0),"")</f>
        <v/>
      </c>
      <c r="T171" s="812"/>
    </row>
    <row r="172" ht="15.0" customHeight="1">
      <c r="A172" s="463">
        <f t="shared" ref="A172:A179" si="5">A171+1</f>
        <v>2</v>
      </c>
      <c r="B172" s="464" t="s">
        <v>3540</v>
      </c>
      <c r="C172" s="869" t="str">
        <f>IFERROR(VLOOKUP(B172,'03. THIẾT BỊ'!$B$1:$S$836,2,0),"")</f>
        <v>B7C02</v>
      </c>
      <c r="D172" s="470" t="str">
        <f>IFERROR(VLOOKUP(B172,'03. THIẾT BỊ'!$B$1:$S$836,3,0),"")</f>
        <v>A23-BUA-002</v>
      </c>
      <c r="E172" s="464" t="str">
        <f>IFERROR(VLOOKUP(B172,'03. THIẾT BỊ'!$B$1:$S$836,4,0),"")</f>
        <v>ĐQSD</v>
      </c>
      <c r="F172" s="464" t="str">
        <f>IFERROR(VLOOKUP(B172,'03. THIẾT BỊ'!$B$1:$S$836,5,0),"")</f>
        <v>Thiết bị bừa 7 chảo</v>
      </c>
      <c r="G172" s="80" t="s">
        <v>6423</v>
      </c>
      <c r="H172" s="463" t="str">
        <f>IFERROR(VLOOKUP(B172,'03. THIẾT BỊ'!$B$1:$S$836,7,0),"")</f>
        <v>CGLĐ DP</v>
      </c>
      <c r="I172" s="474" t="str">
        <f>IFERROR(VLOOKUP(B172,'03. THIẾT BỊ'!$B$1:$S$836,8,0),"")</f>
        <v/>
      </c>
      <c r="J172" s="471"/>
      <c r="K172" s="463" t="str">
        <f>IFERROR(VLOOKUP(B172,'03. THIẾT BỊ'!$B$1:$S$836,10,0),"")</f>
        <v>Bình thường</v>
      </c>
      <c r="L172" s="468" t="str">
        <f>IFERROR(VLOOKUP(B172,'03. THIẾT BỊ'!$B$1:$S$836,11,0),"")</f>
        <v/>
      </c>
      <c r="M172" s="472" t="str">
        <f>IFERROR(VLOOKUP(B172,'03. THIẾT BỊ'!$B$1:$S$836,12,0),"")</f>
        <v/>
      </c>
      <c r="N172" s="468" t="str">
        <f>IFERROR(VLOOKUP(B172,'03. THIẾT BỊ'!$B$1:$S$836,13,0),"")</f>
        <v>TRUNG QUỐC</v>
      </c>
      <c r="O172" s="470" t="str">
        <f>IFERROR(VLOOKUP(B172,'03. THIẾT BỊ'!$B$1:$S$836,14,0),"")</f>
        <v>7 chảo</v>
      </c>
      <c r="P172" s="468" t="str">
        <f>IFERROR(VLOOKUP(B172,'03. THIẾT BỊ'!$B$1:$S$836,15,0),"")</f>
        <v>TRUNG QUỐC</v>
      </c>
      <c r="Q172" s="48" t="str">
        <f>IFERROR(VLOOKUP(B172,'03. THIẾT BỊ'!$B$1:$S$836,16,0),"")</f>
        <v/>
      </c>
      <c r="R172" s="471" t="str">
        <f>IFERROR(VLOOKUP(B172,'03. THIẾT BỊ'!$B$1:$S$836,17,0),"")</f>
        <v/>
      </c>
      <c r="S172" s="468" t="str">
        <f>IFERROR(VLOOKUP(B172,'03. THIẾT BỊ'!$B$1:$S$836,18,0),"")</f>
        <v/>
      </c>
      <c r="T172" s="812"/>
    </row>
    <row r="173" ht="15.0" customHeight="1">
      <c r="A173" s="463">
        <f t="shared" si="5"/>
        <v>3</v>
      </c>
      <c r="B173" s="464" t="s">
        <v>3747</v>
      </c>
      <c r="C173" s="869" t="str">
        <f>IFERROR(VLOOKUP(B173,'03. THIẾT BỊ'!$B$1:$S$836,2,0),"")</f>
        <v>CNN-BUA-007</v>
      </c>
      <c r="D173" s="470" t="str">
        <f>IFERROR(VLOOKUP(B173,'03. THIẾT BỊ'!$B$1:$S$836,3,0),"")</f>
        <v>A22-BUA-010</v>
      </c>
      <c r="E173" s="464" t="str">
        <f>IFERROR(VLOOKUP(B173,'03. THIẾT BỊ'!$B$1:$S$836,4,0),"")</f>
        <v>ĐQSD</v>
      </c>
      <c r="F173" s="464" t="str">
        <f>IFERROR(VLOOKUP(B173,'03. THIẾT BỊ'!$B$1:$S$836,5,0),"")</f>
        <v>Thiết bị bừa 7 chảo</v>
      </c>
      <c r="G173" s="80" t="s">
        <v>6423</v>
      </c>
      <c r="H173" s="463" t="str">
        <f>IFERROR(VLOOKUP(B173,'03. THIẾT BỊ'!$B$1:$S$836,7,0),"")</f>
        <v>XN Bò AD</v>
      </c>
      <c r="I173" s="474" t="str">
        <f>IFERROR(VLOOKUP(B173,'03. THIẾT BỊ'!$B$1:$S$836,8,0),"")</f>
        <v/>
      </c>
      <c r="J173" s="471"/>
      <c r="K173" s="463" t="str">
        <f>IFERROR(VLOOKUP(B173,'03. THIẾT BỊ'!$B$1:$S$836,10,0),"")</f>
        <v>Bình thường</v>
      </c>
      <c r="L173" s="468" t="str">
        <f>IFERROR(VLOOKUP(B173,'03. THIẾT BỊ'!$B$1:$S$836,11,0),"")</f>
        <v/>
      </c>
      <c r="M173" s="472" t="str">
        <f>IFERROR(VLOOKUP(B173,'03. THIẾT BỊ'!$B$1:$S$836,12,0),"")</f>
        <v/>
      </c>
      <c r="N173" s="468" t="str">
        <f>IFERROR(VLOOKUP(B173,'03. THIẾT BỊ'!$B$1:$S$836,13,0),"")</f>
        <v>CAMBODIA</v>
      </c>
      <c r="O173" s="470" t="str">
        <f>IFERROR(VLOOKUP(B173,'03. THIẾT BỊ'!$B$1:$S$836,14,0),"")</f>
        <v>7 chảo</v>
      </c>
      <c r="P173" s="468" t="str">
        <f>IFERROR(VLOOKUP(B173,'03. THIẾT BỊ'!$B$1:$S$836,15,0),"")</f>
        <v>CAMBODIA</v>
      </c>
      <c r="Q173" s="48" t="str">
        <f>IFERROR(VLOOKUP(B173,'03. THIẾT BỊ'!$B$1:$S$836,16,0),"")</f>
        <v/>
      </c>
      <c r="R173" s="471" t="str">
        <f>IFERROR(VLOOKUP(B173,'03. THIẾT BỊ'!$B$1:$S$836,17,0),"")</f>
        <v/>
      </c>
      <c r="S173" s="468" t="str">
        <f>IFERROR(VLOOKUP(B173,'03. THIẾT BỊ'!$B$1:$S$836,18,0),"")</f>
        <v/>
      </c>
      <c r="T173" s="812"/>
    </row>
    <row r="174" ht="15.0" customHeight="1">
      <c r="A174" s="463">
        <f t="shared" si="5"/>
        <v>4</v>
      </c>
      <c r="B174" s="464" t="s">
        <v>3543</v>
      </c>
      <c r="C174" s="869" t="str">
        <f>IFERROR(VLOOKUP(B174,'03. THIẾT BỊ'!$B$1:$S$836,2,0),"")</f>
        <v/>
      </c>
      <c r="D174" s="470" t="str">
        <f>IFERROR(VLOOKUP(B174,'03. THIẾT BỊ'!$B$1:$S$836,3,0),"")</f>
        <v>A23-BUA-017</v>
      </c>
      <c r="E174" s="464" t="str">
        <f>IFERROR(VLOOKUP(B174,'03. THIẾT BỊ'!$B$1:$S$836,4,0),"")</f>
        <v>MUA MỚI</v>
      </c>
      <c r="F174" s="464" t="str">
        <f>IFERROR(VLOOKUP(B174,'03. THIẾT BỊ'!$B$1:$S$836,5,0),"")</f>
        <v>Thiết bị bừa 7 chảo</v>
      </c>
      <c r="G174" s="80" t="s">
        <v>6423</v>
      </c>
      <c r="H174" s="463" t="str">
        <f>IFERROR(VLOOKUP(B174,'03. THIẾT BỊ'!$B$1:$S$836,7,0),"")</f>
        <v>CGLĐ DP</v>
      </c>
      <c r="I174" s="474" t="str">
        <f>IFERROR(VLOOKUP(B174,'03. THIẾT BỊ'!$B$1:$S$836,8,0),"")</f>
        <v>22/01/2026</v>
      </c>
      <c r="J174" s="471"/>
      <c r="K174" s="463" t="str">
        <f>IFERROR(VLOOKUP(B174,'03. THIẾT BỊ'!$B$1:$S$836,10,0),"")</f>
        <v>Bình thường</v>
      </c>
      <c r="L174" s="468" t="str">
        <f>IFERROR(VLOOKUP(B174,'03. THIẾT BỊ'!$B$1:$S$836,11,0),"")</f>
        <v>Đầu tư mới </v>
      </c>
      <c r="M174" s="472" t="str">
        <f>IFERROR(VLOOKUP(B174,'03. THIẾT BỊ'!$B$1:$S$836,12,0),"")</f>
        <v/>
      </c>
      <c r="N174" s="468" t="str">
        <f>IFERROR(VLOOKUP(B174,'03. THIẾT BỊ'!$B$1:$S$836,13,0),"")</f>
        <v>CMT</v>
      </c>
      <c r="O174" s="470" t="str">
        <f>IFERROR(VLOOKUP(B174,'03. THIẾT BỊ'!$B$1:$S$836,14,0),"")</f>
        <v>MTD 27-10</v>
      </c>
      <c r="P174" s="468" t="str">
        <f>IFERROR(VLOOKUP(B174,'03. THIẾT BỊ'!$B$1:$S$836,15,0),"")</f>
        <v>THÁI LAN</v>
      </c>
      <c r="Q174" s="48">
        <f>IFERROR(VLOOKUP(B174,'03. THIẾT BỊ'!$B$1:$S$836,16,0),"")</f>
        <v>2025</v>
      </c>
      <c r="R174" s="471" t="str">
        <f>IFERROR(VLOOKUP(B174,'03. THIẾT BỊ'!$B$1:$S$836,17,0),"")</f>
        <v>Đ.kính chảo: 600mm</v>
      </c>
      <c r="S174" s="468" t="str">
        <f>IFERROR(VLOOKUP(B174,'03. THIẾT BỊ'!$B$1:$S$836,18,0),"")</f>
        <v>F1/021183</v>
      </c>
      <c r="T174" s="812"/>
    </row>
    <row r="175" ht="15.0" customHeight="1">
      <c r="A175" s="463">
        <f t="shared" si="5"/>
        <v>5</v>
      </c>
      <c r="B175" s="464" t="s">
        <v>3550</v>
      </c>
      <c r="C175" s="869" t="str">
        <f>IFERROR(VLOOKUP(B175,'03. THIẾT BỊ'!$B$1:$S$836,2,0),"")</f>
        <v>B8C03</v>
      </c>
      <c r="D175" s="470" t="str">
        <f>IFERROR(VLOOKUP(B175,'03. THIẾT BỊ'!$B$1:$S$836,3,0),"")</f>
        <v>A23-BUA-003</v>
      </c>
      <c r="E175" s="464" t="str">
        <f>IFERROR(VLOOKUP(B175,'03. THIẾT BỊ'!$B$1:$S$836,4,0),"")</f>
        <v>ĐQSD</v>
      </c>
      <c r="F175" s="464" t="str">
        <f>IFERROR(VLOOKUP(B175,'03. THIẾT BỊ'!$B$1:$S$836,5,0),"")</f>
        <v>Thiết bị bừa 8 chảo</v>
      </c>
      <c r="G175" s="80" t="s">
        <v>6423</v>
      </c>
      <c r="H175" s="463" t="str">
        <f>IFERROR(VLOOKUP(B175,'03. THIẾT BỊ'!$B$1:$S$836,7,0),"")</f>
        <v>CGLĐ DP</v>
      </c>
      <c r="I175" s="474" t="str">
        <f>IFERROR(VLOOKUP(B175,'03. THIẾT BỊ'!$B$1:$S$836,8,0),"")</f>
        <v/>
      </c>
      <c r="J175" s="471"/>
      <c r="K175" s="463" t="str">
        <f>IFERROR(VLOOKUP(B175,'03. THIẾT BỊ'!$B$1:$S$836,10,0),"")</f>
        <v>Bình thường</v>
      </c>
      <c r="L175" s="468" t="str">
        <f>IFERROR(VLOOKUP(B175,'03. THIẾT BỊ'!$B$1:$S$836,11,0),"")</f>
        <v/>
      </c>
      <c r="M175" s="472" t="str">
        <f>IFERROR(VLOOKUP(B175,'03. THIẾT BỊ'!$B$1:$S$836,12,0),"")</f>
        <v/>
      </c>
      <c r="N175" s="468" t="str">
        <f>IFERROR(VLOOKUP(B175,'03. THIẾT BỊ'!$B$1:$S$836,13,0),"")</f>
        <v>TRUNG QUỐC</v>
      </c>
      <c r="O175" s="470" t="str">
        <f>IFERROR(VLOOKUP(B175,'03. THIẾT BỊ'!$B$1:$S$836,14,0),"")</f>
        <v>8 chảo</v>
      </c>
      <c r="P175" s="468" t="str">
        <f>IFERROR(VLOOKUP(B175,'03. THIẾT BỊ'!$B$1:$S$836,15,0),"")</f>
        <v>TRUNG QUỐC</v>
      </c>
      <c r="Q175" s="48" t="str">
        <f>IFERROR(VLOOKUP(B175,'03. THIẾT BỊ'!$B$1:$S$836,16,0),"")</f>
        <v/>
      </c>
      <c r="R175" s="471" t="str">
        <f>IFERROR(VLOOKUP(B175,'03. THIẾT BỊ'!$B$1:$S$836,17,0),"")</f>
        <v/>
      </c>
      <c r="S175" s="468" t="str">
        <f>IFERROR(VLOOKUP(B175,'03. THIẾT BỊ'!$B$1:$S$836,18,0),"")</f>
        <v/>
      </c>
      <c r="T175" s="812"/>
    </row>
    <row r="176" ht="15.0" customHeight="1">
      <c r="A176" s="463">
        <f t="shared" si="5"/>
        <v>6</v>
      </c>
      <c r="B176" s="464" t="s">
        <v>3847</v>
      </c>
      <c r="C176" s="869" t="str">
        <f>IFERROR(VLOOKUP(B176,'03. THIẾT BỊ'!$B$1:$S$836,2,0),"")</f>
        <v>CNN-BUA-005</v>
      </c>
      <c r="D176" s="470" t="str">
        <f>IFERROR(VLOOKUP(B176,'03. THIẾT BỊ'!$B$1:$S$836,3,0),"")</f>
        <v>A22-BUA-008</v>
      </c>
      <c r="E176" s="464" t="str">
        <f>IFERROR(VLOOKUP(B176,'03. THIẾT BỊ'!$B$1:$S$836,4,0),"")</f>
        <v>ĐQSD</v>
      </c>
      <c r="F176" s="464" t="str">
        <f>IFERROR(VLOOKUP(B176,'03. THIẾT BỊ'!$B$1:$S$836,5,0),"")</f>
        <v>Thiết bị bừa 8 chảo</v>
      </c>
      <c r="G176" s="80" t="s">
        <v>6423</v>
      </c>
      <c r="H176" s="463" t="str">
        <f>IFERROR(VLOOKUP(B176,'03. THIẾT BỊ'!$B$1:$S$836,7,0),"")</f>
        <v>XN Bò AD</v>
      </c>
      <c r="I176" s="474" t="str">
        <f>IFERROR(VLOOKUP(B176,'03. THIẾT BỊ'!$B$1:$S$836,8,0),"")</f>
        <v/>
      </c>
      <c r="J176" s="471"/>
      <c r="K176" s="463" t="str">
        <f>IFERROR(VLOOKUP(B176,'03. THIẾT BỊ'!$B$1:$S$836,10,0),"")</f>
        <v>Bình thường</v>
      </c>
      <c r="L176" s="468" t="str">
        <f>IFERROR(VLOOKUP(B176,'03. THIẾT BỊ'!$B$1:$S$836,11,0),"")</f>
        <v/>
      </c>
      <c r="M176" s="472" t="str">
        <f>IFERROR(VLOOKUP(B176,'03. THIẾT BỊ'!$B$1:$S$836,12,0),"")</f>
        <v/>
      </c>
      <c r="N176" s="468" t="str">
        <f>IFERROR(VLOOKUP(B176,'03. THIẾT BỊ'!$B$1:$S$836,13,0),"")</f>
        <v>CAMBODIA</v>
      </c>
      <c r="O176" s="470" t="str">
        <f>IFERROR(VLOOKUP(B176,'03. THIẾT BỊ'!$B$1:$S$836,14,0),"")</f>
        <v>8 chảo</v>
      </c>
      <c r="P176" s="468" t="str">
        <f>IFERROR(VLOOKUP(B176,'03. THIẾT BỊ'!$B$1:$S$836,15,0),"")</f>
        <v>CAMBODIA</v>
      </c>
      <c r="Q176" s="48" t="str">
        <f>IFERROR(VLOOKUP(B176,'03. THIẾT BỊ'!$B$1:$S$836,16,0),"")</f>
        <v/>
      </c>
      <c r="R176" s="471" t="str">
        <f>IFERROR(VLOOKUP(B176,'03. THIẾT BỊ'!$B$1:$S$836,17,0),"")</f>
        <v/>
      </c>
      <c r="S176" s="468" t="str">
        <f>IFERROR(VLOOKUP(B176,'03. THIẾT BỊ'!$B$1:$S$836,18,0),"")</f>
        <v/>
      </c>
      <c r="T176" s="812"/>
    </row>
    <row r="177" ht="15.0" customHeight="1">
      <c r="A177" s="463">
        <f t="shared" si="5"/>
        <v>7</v>
      </c>
      <c r="B177" s="464" t="s">
        <v>3751</v>
      </c>
      <c r="C177" s="869" t="str">
        <f>IFERROR(VLOOKUP(B177,'03. THIẾT BỊ'!$B$1:$S$836,2,0),"")</f>
        <v>CNN-BUA-006</v>
      </c>
      <c r="D177" s="470" t="str">
        <f>IFERROR(VLOOKUP(B177,'03. THIẾT BỊ'!$B$1:$S$836,3,0),"")</f>
        <v>A22-BUA-009</v>
      </c>
      <c r="E177" s="464" t="str">
        <f>IFERROR(VLOOKUP(B177,'03. THIẾT BỊ'!$B$1:$S$836,4,0),"")</f>
        <v>ĐQSD</v>
      </c>
      <c r="F177" s="464" t="str">
        <f>IFERROR(VLOOKUP(B177,'03. THIẾT BỊ'!$B$1:$S$836,5,0),"")</f>
        <v>Thiết bị bừa 8 chảo</v>
      </c>
      <c r="G177" s="80" t="s">
        <v>6423</v>
      </c>
      <c r="H177" s="463" t="str">
        <f>IFERROR(VLOOKUP(B177,'03. THIẾT BỊ'!$B$1:$S$836,7,0),"")</f>
        <v>XN Bò AD</v>
      </c>
      <c r="I177" s="474" t="str">
        <f>IFERROR(VLOOKUP(B177,'03. THIẾT BỊ'!$B$1:$S$836,8,0),"")</f>
        <v/>
      </c>
      <c r="J177" s="471"/>
      <c r="K177" s="463" t="str">
        <f>IFERROR(VLOOKUP(B177,'03. THIẾT BỊ'!$B$1:$S$836,10,0),"")</f>
        <v>Bình thường</v>
      </c>
      <c r="L177" s="468" t="str">
        <f>IFERROR(VLOOKUP(B177,'03. THIẾT BỊ'!$B$1:$S$836,11,0),"")</f>
        <v/>
      </c>
      <c r="M177" s="472" t="str">
        <f>IFERROR(VLOOKUP(B177,'03. THIẾT BỊ'!$B$1:$S$836,12,0),"")</f>
        <v/>
      </c>
      <c r="N177" s="468" t="str">
        <f>IFERROR(VLOOKUP(B177,'03. THIẾT BỊ'!$B$1:$S$836,13,0),"")</f>
        <v>CAMBODIA</v>
      </c>
      <c r="O177" s="470" t="str">
        <f>IFERROR(VLOOKUP(B177,'03. THIẾT BỊ'!$B$1:$S$836,14,0),"")</f>
        <v>8 chảo</v>
      </c>
      <c r="P177" s="468" t="str">
        <f>IFERROR(VLOOKUP(B177,'03. THIẾT BỊ'!$B$1:$S$836,15,0),"")</f>
        <v>CAMBODIA</v>
      </c>
      <c r="Q177" s="48" t="str">
        <f>IFERROR(VLOOKUP(B177,'03. THIẾT BỊ'!$B$1:$S$836,16,0),"")</f>
        <v/>
      </c>
      <c r="R177" s="471" t="str">
        <f>IFERROR(VLOOKUP(B177,'03. THIẾT BỊ'!$B$1:$S$836,17,0),"")</f>
        <v/>
      </c>
      <c r="S177" s="468" t="str">
        <f>IFERROR(VLOOKUP(B177,'03. THIẾT BỊ'!$B$1:$S$836,18,0),"")</f>
        <v/>
      </c>
      <c r="T177" s="812"/>
    </row>
    <row r="178" ht="15.0" customHeight="1">
      <c r="A178" s="463">
        <f t="shared" si="5"/>
        <v>8</v>
      </c>
      <c r="B178" s="464" t="s">
        <v>3746</v>
      </c>
      <c r="C178" s="869" t="str">
        <f>IFERROR(VLOOKUP(B178,'03. THIẾT BỊ'!$B$1:$S$836,2,0),"")</f>
        <v>CNN-BUA-010</v>
      </c>
      <c r="D178" s="470" t="str">
        <f>IFERROR(VLOOKUP(B178,'03. THIẾT BỊ'!$B$1:$S$836,3,0),"")</f>
        <v>A24-BUA-005</v>
      </c>
      <c r="E178" s="464" t="str">
        <f>IFERROR(VLOOKUP(B178,'03. THIẾT BỊ'!$B$1:$S$836,4,0),"")</f>
        <v>ĐQSD</v>
      </c>
      <c r="F178" s="464" t="str">
        <f>IFERROR(VLOOKUP(B178,'03. THIẾT BỊ'!$B$1:$S$836,5,0),"")</f>
        <v>Thiết Bị Bừa 8 Chảo</v>
      </c>
      <c r="G178" s="80" t="s">
        <v>6423</v>
      </c>
      <c r="H178" s="463" t="str">
        <f>IFERROR(VLOOKUP(B178,'03. THIẾT BỊ'!$B$1:$S$836,7,0),"")</f>
        <v>CGLĐ LP</v>
      </c>
      <c r="I178" s="474" t="str">
        <f>IFERROR(VLOOKUP(B178,'03. THIẾT BỊ'!$B$1:$S$836,8,0),"")</f>
        <v/>
      </c>
      <c r="J178" s="471"/>
      <c r="K178" s="463" t="str">
        <f>IFERROR(VLOOKUP(B178,'03. THIẾT BỊ'!$B$1:$S$836,10,0),"")</f>
        <v>Bình thường</v>
      </c>
      <c r="L178" s="468" t="str">
        <f>IFERROR(VLOOKUP(B178,'03. THIẾT BỊ'!$B$1:$S$836,11,0),"")</f>
        <v/>
      </c>
      <c r="M178" s="472" t="str">
        <f>IFERROR(VLOOKUP(B178,'03. THIẾT BỊ'!$B$1:$S$836,12,0),"")</f>
        <v/>
      </c>
      <c r="N178" s="468" t="str">
        <f>IFERROR(VLOOKUP(B178,'03. THIẾT BỊ'!$B$1:$S$836,13,0),"")</f>
        <v>CAMBODIA</v>
      </c>
      <c r="O178" s="470" t="str">
        <f>IFERROR(VLOOKUP(B178,'03. THIẾT BỊ'!$B$1:$S$836,14,0),"")</f>
        <v>8 chảo</v>
      </c>
      <c r="P178" s="468" t="str">
        <f>IFERROR(VLOOKUP(B178,'03. THIẾT BỊ'!$B$1:$S$836,15,0),"")</f>
        <v>CAMBODIA</v>
      </c>
      <c r="Q178" s="48" t="str">
        <f>IFERROR(VLOOKUP(B178,'03. THIẾT BỊ'!$B$1:$S$836,16,0),"")</f>
        <v/>
      </c>
      <c r="R178" s="471" t="str">
        <f>IFERROR(VLOOKUP(B178,'03. THIẾT BỊ'!$B$1:$S$836,17,0),"")</f>
        <v/>
      </c>
      <c r="S178" s="468" t="str">
        <f>IFERROR(VLOOKUP(B178,'03. THIẾT BỊ'!$B$1:$S$836,18,0),"")</f>
        <v/>
      </c>
      <c r="T178" s="812"/>
    </row>
    <row r="179" ht="15.0" customHeight="1">
      <c r="A179" s="463">
        <f t="shared" si="5"/>
        <v>9</v>
      </c>
      <c r="B179" s="464" t="s">
        <v>3660</v>
      </c>
      <c r="C179" s="869" t="str">
        <f>IFERROR(VLOOKUP(B179,'03. THIẾT BỊ'!$B$1:$S$836,2,0),"")</f>
        <v>CNN-BUA-004</v>
      </c>
      <c r="D179" s="470" t="str">
        <f>IFERROR(VLOOKUP(B179,'03. THIẾT BỊ'!$B$1:$S$836,3,0),"")</f>
        <v>A22-BUA-007</v>
      </c>
      <c r="E179" s="464" t="str">
        <f>IFERROR(VLOOKUP(B179,'03. THIẾT BỊ'!$B$1:$S$836,4,0),"")</f>
        <v>ĐQSD</v>
      </c>
      <c r="F179" s="464" t="str">
        <f>IFERROR(VLOOKUP(B179,'03. THIẾT BỊ'!$B$1:$S$836,5,0),"")</f>
        <v>Thiết bị bừa 9 chảo</v>
      </c>
      <c r="G179" s="80" t="s">
        <v>6423</v>
      </c>
      <c r="H179" s="463" t="str">
        <f>IFERROR(VLOOKUP(B179,'03. THIẾT BỊ'!$B$1:$S$836,7,0),"")</f>
        <v>CGLĐ DP</v>
      </c>
      <c r="I179" s="474" t="str">
        <f>IFERROR(VLOOKUP(B179,'03. THIẾT BỊ'!$B$1:$S$836,8,0),"")</f>
        <v>15/08/2024</v>
      </c>
      <c r="J179" s="471"/>
      <c r="K179" s="463" t="str">
        <f>IFERROR(VLOOKUP(B179,'03. THIẾT BỊ'!$B$1:$S$836,10,0),"")</f>
        <v>Bình thường</v>
      </c>
      <c r="L179" s="468" t="str">
        <f>IFERROR(VLOOKUP(B179,'03. THIẾT BỊ'!$B$1:$S$836,11,0),"")</f>
        <v>CGLĐ AD đ.chuyển qua ngày 15.08.2024</v>
      </c>
      <c r="M179" s="472" t="str">
        <f>IFERROR(VLOOKUP(B179,'03. THIẾT BỊ'!$B$1:$S$836,12,0),"")</f>
        <v/>
      </c>
      <c r="N179" s="468" t="str">
        <f>IFERROR(VLOOKUP(B179,'03. THIẾT BỊ'!$B$1:$S$836,13,0),"")</f>
        <v/>
      </c>
      <c r="O179" s="470" t="str">
        <f>IFERROR(VLOOKUP(B179,'03. THIẾT BỊ'!$B$1:$S$836,14,0),"")</f>
        <v>9 chảo</v>
      </c>
      <c r="P179" s="468" t="str">
        <f>IFERROR(VLOOKUP(B179,'03. THIẾT BỊ'!$B$1:$S$836,15,0),"")</f>
        <v>-</v>
      </c>
      <c r="Q179" s="48" t="str">
        <f>IFERROR(VLOOKUP(B179,'03. THIẾT BỊ'!$B$1:$S$836,16,0),"")</f>
        <v/>
      </c>
      <c r="R179" s="471" t="str">
        <f>IFERROR(VLOOKUP(B179,'03. THIẾT BỊ'!$B$1:$S$836,17,0),"")</f>
        <v/>
      </c>
      <c r="S179" s="468" t="str">
        <f>IFERROR(VLOOKUP(B179,'03. THIẾT BỊ'!$B$1:$S$836,18,0),"")</f>
        <v/>
      </c>
      <c r="T179" s="812"/>
    </row>
    <row r="180" ht="15.0" customHeight="1">
      <c r="A180" s="463"/>
      <c r="B180" s="464"/>
      <c r="C180" s="869" t="str">
        <f>IFERROR(VLOOKUP(B180,'03. THIẾT BỊ'!$B$1:$S$836,2,0),"")</f>
        <v/>
      </c>
      <c r="D180" s="470" t="str">
        <f>IFERROR(VLOOKUP(B180,'03. THIẾT BỊ'!$B$1:$S$836,3,0),"")</f>
        <v/>
      </c>
      <c r="E180" s="464" t="str">
        <f>IFERROR(VLOOKUP(B180,'03. THIẾT BỊ'!$B$1:$S$836,4,0),"")</f>
        <v/>
      </c>
      <c r="F180" s="464" t="str">
        <f>IFERROR(VLOOKUP(B180,'03. THIẾT BỊ'!$B$1:$S$836,5,0),"")</f>
        <v/>
      </c>
      <c r="G180" s="80" t="s">
        <v>6423</v>
      </c>
      <c r="H180" s="463" t="str">
        <f>IFERROR(VLOOKUP(B180,'03. THIẾT BỊ'!$B$1:$S$836,7,0),"")</f>
        <v/>
      </c>
      <c r="I180" s="474" t="str">
        <f>IFERROR(VLOOKUP(B180,'03. THIẾT BỊ'!$B$1:$S$836,8,0),"")</f>
        <v/>
      </c>
      <c r="J180" s="471"/>
      <c r="K180" s="463" t="str">
        <f>IFERROR(VLOOKUP(B180,'03. THIẾT BỊ'!$B$1:$S$836,10,0),"")</f>
        <v/>
      </c>
      <c r="L180" s="468" t="str">
        <f>IFERROR(VLOOKUP(B180,'03. THIẾT BỊ'!$B$1:$S$836,11,0),"")</f>
        <v/>
      </c>
      <c r="M180" s="472" t="str">
        <f>IFERROR(VLOOKUP(B180,'03. THIẾT BỊ'!$B$1:$S$836,12,0),"")</f>
        <v/>
      </c>
      <c r="N180" s="468" t="str">
        <f>IFERROR(VLOOKUP(B180,'03. THIẾT BỊ'!$B$1:$S$836,13,0),"")</f>
        <v/>
      </c>
      <c r="O180" s="470" t="str">
        <f>IFERROR(VLOOKUP(B180,'03. THIẾT BỊ'!$B$1:$S$836,14,0),"")</f>
        <v/>
      </c>
      <c r="P180" s="468" t="str">
        <f>IFERROR(VLOOKUP(B180,'03. THIẾT BỊ'!$B$1:$S$836,15,0),"")</f>
        <v/>
      </c>
      <c r="Q180" s="48" t="str">
        <f>IFERROR(VLOOKUP(B180,'03. THIẾT BỊ'!$B$1:$S$836,16,0),"")</f>
        <v/>
      </c>
      <c r="R180" s="471" t="str">
        <f>IFERROR(VLOOKUP(B180,'03. THIẾT BỊ'!$B$1:$S$836,17,0),"")</f>
        <v/>
      </c>
      <c r="S180" s="468" t="str">
        <f>IFERROR(VLOOKUP(B180,'03. THIẾT BỊ'!$B$1:$S$836,18,0),"")</f>
        <v/>
      </c>
      <c r="T180" s="812"/>
    </row>
    <row r="181" ht="15.0" customHeight="1">
      <c r="A181" s="463"/>
      <c r="B181" s="464"/>
      <c r="C181" s="869" t="str">
        <f>IFERROR(VLOOKUP(B181,'03. THIẾT BỊ'!$B$1:$S$836,2,0),"")</f>
        <v/>
      </c>
      <c r="D181" s="470" t="str">
        <f>IFERROR(VLOOKUP(B181,'03. THIẾT BỊ'!$B$1:$S$836,3,0),"")</f>
        <v/>
      </c>
      <c r="E181" s="464" t="str">
        <f>IFERROR(VLOOKUP(B181,'03. THIẾT BỊ'!$B$1:$S$836,4,0),"")</f>
        <v/>
      </c>
      <c r="F181" s="464" t="str">
        <f>IFERROR(VLOOKUP(B181,'03. THIẾT BỊ'!$B$1:$S$836,5,0),"")</f>
        <v/>
      </c>
      <c r="G181" s="80" t="s">
        <v>6423</v>
      </c>
      <c r="H181" s="463" t="str">
        <f>IFERROR(VLOOKUP(B181,'03. THIẾT BỊ'!$B$1:$S$836,7,0),"")</f>
        <v/>
      </c>
      <c r="I181" s="474" t="str">
        <f>IFERROR(VLOOKUP(B181,'03. THIẾT BỊ'!$B$1:$S$836,8,0),"")</f>
        <v/>
      </c>
      <c r="J181" s="471"/>
      <c r="K181" s="463" t="str">
        <f>IFERROR(VLOOKUP(B181,'03. THIẾT BỊ'!$B$1:$S$836,10,0),"")</f>
        <v/>
      </c>
      <c r="L181" s="468" t="str">
        <f>IFERROR(VLOOKUP(B181,'03. THIẾT BỊ'!$B$1:$S$836,11,0),"")</f>
        <v/>
      </c>
      <c r="M181" s="472" t="str">
        <f>IFERROR(VLOOKUP(B181,'03. THIẾT BỊ'!$B$1:$S$836,12,0),"")</f>
        <v/>
      </c>
      <c r="N181" s="468" t="str">
        <f>IFERROR(VLOOKUP(B181,'03. THIẾT BỊ'!$B$1:$S$836,13,0),"")</f>
        <v/>
      </c>
      <c r="O181" s="470" t="str">
        <f>IFERROR(VLOOKUP(B181,'03. THIẾT BỊ'!$B$1:$S$836,14,0),"")</f>
        <v/>
      </c>
      <c r="P181" s="468" t="str">
        <f>IFERROR(VLOOKUP(B181,'03. THIẾT BỊ'!$B$1:$S$836,15,0),"")</f>
        <v/>
      </c>
      <c r="Q181" s="48" t="str">
        <f>IFERROR(VLOOKUP(B181,'03. THIẾT BỊ'!$B$1:$S$836,16,0),"")</f>
        <v/>
      </c>
      <c r="R181" s="471" t="str">
        <f>IFERROR(VLOOKUP(B181,'03. THIẾT BỊ'!$B$1:$S$836,17,0),"")</f>
        <v/>
      </c>
      <c r="S181" s="468" t="str">
        <f>IFERROR(VLOOKUP(B181,'03. THIẾT BỊ'!$B$1:$S$836,18,0),"")</f>
        <v/>
      </c>
      <c r="T181" s="812"/>
    </row>
    <row r="182" ht="15.0" customHeight="1">
      <c r="A182" s="455" t="s">
        <v>76</v>
      </c>
      <c r="B182" s="456" t="s">
        <v>7694</v>
      </c>
      <c r="C182" s="457">
        <f>COUNTA(B183:B190)</f>
        <v>5</v>
      </c>
      <c r="D182" s="458" t="str">
        <f>IFERROR(VLOOKUP(B182,'03. THIẾT BỊ'!$B$1:$S$836,3,0),"")</f>
        <v/>
      </c>
      <c r="E182" s="464" t="str">
        <f>IFERROR(VLOOKUP(B182,'03. THIẾT BỊ'!$B$1:$S$836,4,0),"")</f>
        <v/>
      </c>
      <c r="F182" s="458" t="str">
        <f>IFERROR(VLOOKUP(B182,'03. THIẾT BỊ'!$B$1:$S$836,5,0),"")</f>
        <v/>
      </c>
      <c r="G182" s="459" t="s">
        <v>6423</v>
      </c>
      <c r="H182" s="459" t="str">
        <f>IFERROR(VLOOKUP(B182,'03. THIẾT BỊ'!$B$1:$S$836,7,0),"")</f>
        <v/>
      </c>
      <c r="I182" s="457" t="str">
        <f>IFERROR(VLOOKUP(B182,'03. THIẾT BỊ'!$B$1:$S$836,8,0),"")</f>
        <v/>
      </c>
      <c r="J182" s="460"/>
      <c r="K182" s="457" t="str">
        <f>IFERROR(VLOOKUP(B182,'03. THIẾT BỊ'!$B$1:$S$836,10,0),"")</f>
        <v/>
      </c>
      <c r="L182" s="458" t="str">
        <f>IFERROR(VLOOKUP(B182,'03. THIẾT BỊ'!$B$1:$S$836,11,0),"")</f>
        <v/>
      </c>
      <c r="M182" s="461" t="str">
        <f>IFERROR(VLOOKUP(B182,'03. THIẾT BỊ'!$B$1:$S$836,12,0),"")</f>
        <v/>
      </c>
      <c r="N182" s="458" t="str">
        <f>IFERROR(VLOOKUP(B182,'03. THIẾT BỊ'!$B$1:$S$836,13,0),"")</f>
        <v/>
      </c>
      <c r="O182" s="461" t="str">
        <f>IFERROR(VLOOKUP(B182,'03. THIẾT BỊ'!$B$1:$S$836,14,0),"")</f>
        <v/>
      </c>
      <c r="P182" s="458" t="str">
        <f>IFERROR(VLOOKUP(B182,'03. THIẾT BỊ'!$B$1:$S$836,15,0),"")</f>
        <v/>
      </c>
      <c r="Q182" s="459" t="str">
        <f>IFERROR(VLOOKUP(B182,'03. THIẾT BỊ'!$B$1:$S$836,16,0),"")</f>
        <v/>
      </c>
      <c r="R182" s="458" t="str">
        <f>IFERROR(VLOOKUP(B182,'03. THIẾT BỊ'!$B$1:$S$836,17,0),"")</f>
        <v/>
      </c>
      <c r="S182" s="458" t="str">
        <f>IFERROR(VLOOKUP(B182,'03. THIẾT BỊ'!$B$1:$S$836,18,0),"")</f>
        <v/>
      </c>
      <c r="T182" s="866"/>
    </row>
    <row r="183" ht="15.0" customHeight="1">
      <c r="A183" s="463">
        <v>1.0</v>
      </c>
      <c r="B183" s="464" t="s">
        <v>3620</v>
      </c>
      <c r="C183" s="869" t="str">
        <f>IFERROR(VLOOKUP(B183,'03. THIẾT BỊ'!$B$1:$S$836,2,0),"")</f>
        <v>Mới</v>
      </c>
      <c r="D183" s="470" t="str">
        <f>IFERROR(VLOOKUP(B183,'03. THIẾT BỊ'!$B$1:$S$836,3,0),"")</f>
        <v>A23-BUA-011</v>
      </c>
      <c r="E183" s="464" t="str">
        <f>IFERROR(VLOOKUP(B183,'03. THIẾT BỊ'!$B$1:$S$836,4,0),"")</f>
        <v>MUA MỚI</v>
      </c>
      <c r="F183" s="464" t="str">
        <f>IFERROR(VLOOKUP(B183,'03. THIẾT BỊ'!$B$1:$S$836,5,0),"")</f>
        <v>Thiết bị bừa 24 chảo</v>
      </c>
      <c r="G183" s="80" t="s">
        <v>6423</v>
      </c>
      <c r="H183" s="463" t="str">
        <f>IFERROR(VLOOKUP(B183,'03. THIẾT BỊ'!$B$1:$S$836,7,0),"")</f>
        <v>CGLĐ DP</v>
      </c>
      <c r="I183" s="474" t="str">
        <f>IFERROR(VLOOKUP(B183,'03. THIẾT BỊ'!$B$1:$S$836,8,0),"")</f>
        <v>28/02/2024</v>
      </c>
      <c r="J183" s="471"/>
      <c r="K183" s="463" t="str">
        <f>IFERROR(VLOOKUP(B183,'03. THIẾT BỊ'!$B$1:$S$836,10,0),"")</f>
        <v>Bình thường</v>
      </c>
      <c r="L183" s="468" t="str">
        <f>IFERROR(VLOOKUP(B183,'03. THIẾT BỊ'!$B$1:$S$836,11,0),"")</f>
        <v/>
      </c>
      <c r="M183" s="472" t="str">
        <f>IFERROR(VLOOKUP(B183,'03. THIẾT BỊ'!$B$1:$S$836,12,0),"")</f>
        <v/>
      </c>
      <c r="N183" s="468" t="str">
        <f>IFERROR(VLOOKUP(B183,'03. THIẾT BỊ'!$B$1:$S$836,13,0),"")</f>
        <v>INRODA</v>
      </c>
      <c r="O183" s="470" t="str">
        <f>IFERROR(VLOOKUP(B183,'03. THIẾT BỊ'!$B$1:$S$836,14,0),"")</f>
        <v>GASP30235</v>
      </c>
      <c r="P183" s="468" t="str">
        <f>IFERROR(VLOOKUP(B183,'03. THIẾT BỊ'!$B$1:$S$836,15,0),"")</f>
        <v>BRAZIL</v>
      </c>
      <c r="Q183" s="48">
        <f>IFERROR(VLOOKUP(B183,'03. THIẾT BỊ'!$B$1:$S$836,16,0),"")</f>
        <v>2024</v>
      </c>
      <c r="R183" s="471" t="str">
        <f>IFERROR(VLOOKUP(B183,'03. THIẾT BỊ'!$B$1:$S$836,17,0),"")</f>
        <v/>
      </c>
      <c r="S183" s="468" t="str">
        <f>IFERROR(VLOOKUP(B183,'03. THIẾT BỊ'!$B$1:$S$836,18,0),"")</f>
        <v/>
      </c>
      <c r="T183" s="812"/>
    </row>
    <row r="184" ht="15.0" customHeight="1">
      <c r="A184" s="463">
        <v>2.0</v>
      </c>
      <c r="B184" s="464" t="s">
        <v>3627</v>
      </c>
      <c r="C184" s="869" t="str">
        <f>IFERROR(VLOOKUP(B184,'03. THIẾT BỊ'!$B$1:$S$836,2,0),"")</f>
        <v>Mới</v>
      </c>
      <c r="D184" s="470" t="str">
        <f>IFERROR(VLOOKUP(B184,'03. THIẾT BỊ'!$B$1:$S$836,3,0),"")</f>
        <v>A23-BUA-014</v>
      </c>
      <c r="E184" s="464" t="str">
        <f>IFERROR(VLOOKUP(B184,'03. THIẾT BỊ'!$B$1:$S$836,4,0),"")</f>
        <v>MUA MỚI</v>
      </c>
      <c r="F184" s="464" t="str">
        <f>IFERROR(VLOOKUP(B184,'03. THIẾT BỊ'!$B$1:$S$836,5,0),"")</f>
        <v>Thiết bị bừa 24 chảo</v>
      </c>
      <c r="G184" s="80" t="s">
        <v>6423</v>
      </c>
      <c r="H184" s="463" t="str">
        <f>IFERROR(VLOOKUP(B184,'03. THIẾT BỊ'!$B$1:$S$836,7,0),"")</f>
        <v>CGLĐ DP</v>
      </c>
      <c r="I184" s="474" t="str">
        <f>IFERROR(VLOOKUP(B184,'03. THIẾT BỊ'!$B$1:$S$836,8,0),"")</f>
        <v>26/07/2024</v>
      </c>
      <c r="J184" s="471"/>
      <c r="K184" s="463" t="str">
        <f>IFERROR(VLOOKUP(B184,'03. THIẾT BỊ'!$B$1:$S$836,10,0),"")</f>
        <v>Bình thường</v>
      </c>
      <c r="L184" s="468" t="str">
        <f>IFERROR(VLOOKUP(B184,'03. THIẾT BỊ'!$B$1:$S$836,11,0),"")</f>
        <v/>
      </c>
      <c r="M184" s="472" t="str">
        <f>IFERROR(VLOOKUP(B184,'03. THIẾT BỊ'!$B$1:$S$836,12,0),"")</f>
        <v/>
      </c>
      <c r="N184" s="468" t="str">
        <f>IFERROR(VLOOKUP(B184,'03. THIẾT BỊ'!$B$1:$S$836,13,0),"")</f>
        <v>INRODA</v>
      </c>
      <c r="O184" s="470" t="str">
        <f>IFERROR(VLOOKUP(B184,'03. THIẾT BỊ'!$B$1:$S$836,14,0),"")</f>
        <v>GASP30235</v>
      </c>
      <c r="P184" s="468" t="str">
        <f>IFERROR(VLOOKUP(B184,'03. THIẾT BỊ'!$B$1:$S$836,15,0),"")</f>
        <v>BRAZIL</v>
      </c>
      <c r="Q184" s="48">
        <f>IFERROR(VLOOKUP(B184,'03. THIẾT BỊ'!$B$1:$S$836,16,0),"")</f>
        <v>2024</v>
      </c>
      <c r="R184" s="471" t="str">
        <f>IFERROR(VLOOKUP(B184,'03. THIẾT BỊ'!$B$1:$S$836,17,0),"")</f>
        <v/>
      </c>
      <c r="S184" s="468">
        <f>IFERROR(VLOOKUP(B184,'03. THIẾT BỊ'!$B$1:$S$836,18,0),"")</f>
        <v>3453785</v>
      </c>
      <c r="T184" s="807"/>
    </row>
    <row r="185" ht="15.0" customHeight="1">
      <c r="A185" s="463">
        <v>3.0</v>
      </c>
      <c r="B185" s="464" t="s">
        <v>3755</v>
      </c>
      <c r="C185" s="869" t="str">
        <f>IFERROR(VLOOKUP(B185,'03. THIẾT BỊ'!$B$1:$S$836,2,0),"")</f>
        <v>CNN-BUA-012</v>
      </c>
      <c r="D185" s="470" t="str">
        <f>IFERROR(VLOOKUP(B185,'03. THIẾT BỊ'!$B$1:$S$836,3,0),"")</f>
        <v>A24-BUA-012</v>
      </c>
      <c r="E185" s="464" t="str">
        <f>IFERROR(VLOOKUP(B185,'03. THIẾT BỊ'!$B$1:$S$836,4,0),"")</f>
        <v>MUA MỚI</v>
      </c>
      <c r="F185" s="464" t="str">
        <f>IFERROR(VLOOKUP(B185,'03. THIẾT BỊ'!$B$1:$S$836,5,0),"")</f>
        <v>Thiết bị bừa 24 chảo</v>
      </c>
      <c r="G185" s="80" t="s">
        <v>6423</v>
      </c>
      <c r="H185" s="463" t="str">
        <f>IFERROR(VLOOKUP(B185,'03. THIẾT BỊ'!$B$1:$S$836,7,0),"")</f>
        <v>CGLĐ LP</v>
      </c>
      <c r="I185" s="474" t="str">
        <f>IFERROR(VLOOKUP(B185,'03. THIẾT BỊ'!$B$1:$S$836,8,0),"")</f>
        <v>28/02/2024</v>
      </c>
      <c r="J185" s="471"/>
      <c r="K185" s="463" t="str">
        <f>IFERROR(VLOOKUP(B185,'03. THIẾT BỊ'!$B$1:$S$836,10,0),"")</f>
        <v>Bình thường</v>
      </c>
      <c r="L185" s="468" t="str">
        <f>IFERROR(VLOOKUP(B185,'03. THIẾT BỊ'!$B$1:$S$836,11,0),"")</f>
        <v>MỚI</v>
      </c>
      <c r="M185" s="472" t="str">
        <f>IFERROR(VLOOKUP(B185,'03. THIẾT BỊ'!$B$1:$S$836,12,0),"")</f>
        <v/>
      </c>
      <c r="N185" s="468" t="str">
        <f>IFERROR(VLOOKUP(B185,'03. THIẾT BỊ'!$B$1:$S$836,13,0),"")</f>
        <v>CAMBODIA</v>
      </c>
      <c r="O185" s="470" t="str">
        <f>IFERROR(VLOOKUP(B185,'03. THIẾT BỊ'!$B$1:$S$836,14,0),"")</f>
        <v>24 chảo</v>
      </c>
      <c r="P185" s="468" t="str">
        <f>IFERROR(VLOOKUP(B185,'03. THIẾT BỊ'!$B$1:$S$836,15,0),"")</f>
        <v>CAMBODIA</v>
      </c>
      <c r="Q185" s="48" t="str">
        <f>IFERROR(VLOOKUP(B185,'03. THIẾT BỊ'!$B$1:$S$836,16,0),"")</f>
        <v/>
      </c>
      <c r="R185" s="471" t="str">
        <f>IFERROR(VLOOKUP(B185,'03. THIẾT BỊ'!$B$1:$S$836,17,0),"")</f>
        <v/>
      </c>
      <c r="S185" s="468" t="str">
        <f>IFERROR(VLOOKUP(B185,'03. THIẾT BỊ'!$B$1:$S$836,18,0),"")</f>
        <v/>
      </c>
      <c r="T185" s="812"/>
    </row>
    <row r="186" ht="15.0" customHeight="1">
      <c r="A186" s="463">
        <v>4.0</v>
      </c>
      <c r="B186" s="464" t="s">
        <v>5297</v>
      </c>
      <c r="C186" s="869" t="str">
        <f>IFERROR(VLOOKUP(B186,'03. THIẾT BỊ'!$B$1:$S$836,2,0),"")</f>
        <v/>
      </c>
      <c r="D186" s="470" t="str">
        <f>IFERROR(VLOOKUP(B186,'03. THIẾT BỊ'!$B$1:$S$836,3,0),"")</f>
        <v>A22-BUA-002</v>
      </c>
      <c r="E186" s="464" t="str">
        <f>IFERROR(VLOOKUP(B186,'03. THIẾT BỊ'!$B$1:$S$836,4,0),"")</f>
        <v>MUA MỚI</v>
      </c>
      <c r="F186" s="464" t="str">
        <f>IFERROR(VLOOKUP(B186,'03. THIẾT BỊ'!$B$1:$S$836,5,0),"")</f>
        <v>Thiết bị bừa 24 chảo</v>
      </c>
      <c r="G186" s="80" t="s">
        <v>6423</v>
      </c>
      <c r="H186" s="463" t="str">
        <f>IFERROR(VLOOKUP(B186,'03. THIẾT BỊ'!$B$1:$S$836,7,0),"")</f>
        <v>XN Bò AD</v>
      </c>
      <c r="I186" s="474" t="str">
        <f>IFERROR(VLOOKUP(B186,'03. THIẾT BỊ'!$B$1:$S$836,8,0),"")</f>
        <v>26/07/2024</v>
      </c>
      <c r="J186" s="471"/>
      <c r="K186" s="463" t="str">
        <f>IFERROR(VLOOKUP(B186,'03. THIẾT BỊ'!$B$1:$S$836,10,0),"")</f>
        <v>Bình thường</v>
      </c>
      <c r="L186" s="468" t="str">
        <f>IFERROR(VLOOKUP(B186,'03. THIẾT BỊ'!$B$1:$S$836,11,0),"")</f>
        <v/>
      </c>
      <c r="M186" s="472" t="str">
        <f>IFERROR(VLOOKUP(B186,'03. THIẾT BỊ'!$B$1:$S$836,12,0),"")</f>
        <v>Đầu tư mới</v>
      </c>
      <c r="N186" s="468" t="str">
        <f>IFERROR(VLOOKUP(B186,'03. THIẾT BỊ'!$B$1:$S$836,13,0),"")</f>
        <v>INRODA</v>
      </c>
      <c r="O186" s="470" t="str">
        <f>IFERROR(VLOOKUP(B186,'03. THIẾT BỊ'!$B$1:$S$836,14,0),"")</f>
        <v>GASP24235</v>
      </c>
      <c r="P186" s="468" t="str">
        <f>IFERROR(VLOOKUP(B186,'03. THIẾT BỊ'!$B$1:$S$836,15,0),"")</f>
        <v>BRAZIL</v>
      </c>
      <c r="Q186" s="48">
        <f>IFERROR(VLOOKUP(B186,'03. THIẾT BỊ'!$B$1:$S$836,16,0),"")</f>
        <v>2024</v>
      </c>
      <c r="R186" s="471" t="str">
        <f>IFERROR(VLOOKUP(B186,'03. THIẾT BỊ'!$B$1:$S$836,17,0),"")</f>
        <v/>
      </c>
      <c r="S186" s="468">
        <f>IFERROR(VLOOKUP(B186,'03. THIẾT BỊ'!$B$1:$S$836,18,0),"")</f>
        <v>3453782</v>
      </c>
      <c r="T186" s="807"/>
    </row>
    <row r="187" ht="15.0" customHeight="1">
      <c r="A187" s="463">
        <v>5.0</v>
      </c>
      <c r="B187" s="464" t="s">
        <v>5300</v>
      </c>
      <c r="C187" s="869" t="str">
        <f>IFERROR(VLOOKUP(B187,'03. THIẾT BỊ'!$B$1:$S$836,2,0),"")</f>
        <v/>
      </c>
      <c r="D187" s="470" t="str">
        <f>IFERROR(VLOOKUP(B187,'03. THIẾT BỊ'!$B$1:$S$836,3,0),"")</f>
        <v>A22-BUA-003</v>
      </c>
      <c r="E187" s="464" t="str">
        <f>IFERROR(VLOOKUP(B187,'03. THIẾT BỊ'!$B$1:$S$836,4,0),"")</f>
        <v>MUA MỚI</v>
      </c>
      <c r="F187" s="464" t="str">
        <f>IFERROR(VLOOKUP(B187,'03. THIẾT BỊ'!$B$1:$S$836,5,0),"")</f>
        <v>Thiết bị bừa 24 chảo</v>
      </c>
      <c r="G187" s="80" t="s">
        <v>6423</v>
      </c>
      <c r="H187" s="463" t="str">
        <f>IFERROR(VLOOKUP(B187,'03. THIẾT BỊ'!$B$1:$S$836,7,0),"")</f>
        <v>XN Bò AD</v>
      </c>
      <c r="I187" s="474">
        <f>IFERROR(VLOOKUP(B187,'03. THIẾT BỊ'!$B$1:$S$836,8,0),"")</f>
        <v>45789</v>
      </c>
      <c r="J187" s="471"/>
      <c r="K187" s="463" t="str">
        <f>IFERROR(VLOOKUP(B187,'03. THIẾT BỊ'!$B$1:$S$836,10,0),"")</f>
        <v>Bình thường</v>
      </c>
      <c r="L187" s="468" t="str">
        <f>IFERROR(VLOOKUP(B187,'03. THIẾT BỊ'!$B$1:$S$836,11,0),"")</f>
        <v/>
      </c>
      <c r="M187" s="472" t="str">
        <f>IFERROR(VLOOKUP(B187,'03. THIẾT BỊ'!$B$1:$S$836,12,0),"")</f>
        <v>Đầu tư mới</v>
      </c>
      <c r="N187" s="468" t="str">
        <f>IFERROR(VLOOKUP(B187,'03. THIẾT BỊ'!$B$1:$S$836,13,0),"")</f>
        <v/>
      </c>
      <c r="O187" s="470" t="str">
        <f>IFERROR(VLOOKUP(B187,'03. THIẾT BỊ'!$B$1:$S$836,14,0),"")</f>
        <v/>
      </c>
      <c r="P187" s="468" t="str">
        <f>IFERROR(VLOOKUP(B187,'03. THIẾT BỊ'!$B$1:$S$836,15,0),"")</f>
        <v>TRUNG QUỐC</v>
      </c>
      <c r="Q187" s="48">
        <f>IFERROR(VLOOKUP(B187,'03. THIẾT BỊ'!$B$1:$S$836,16,0),"")</f>
        <v>2025</v>
      </c>
      <c r="R187" s="471" t="str">
        <f>IFERROR(VLOOKUP(B187,'03. THIẾT BỊ'!$B$1:$S$836,17,0),"")</f>
        <v/>
      </c>
      <c r="S187" s="468" t="str">
        <f>IFERROR(VLOOKUP(B187,'03. THIẾT BỊ'!$B$1:$S$836,18,0),"")</f>
        <v/>
      </c>
      <c r="T187" s="467"/>
    </row>
    <row r="188" ht="15.0" customHeight="1">
      <c r="A188" s="1236"/>
      <c r="B188" s="812"/>
      <c r="C188" s="869"/>
      <c r="D188" s="470"/>
      <c r="E188" s="464" t="str">
        <f>IFERROR(VLOOKUP(B188,'03. THIẾT BỊ'!$B$1:$S$836,4,0),"")</f>
        <v/>
      </c>
      <c r="F188" s="464"/>
      <c r="G188" s="80"/>
      <c r="H188" s="463"/>
      <c r="I188" s="474"/>
      <c r="J188" s="471"/>
      <c r="K188" s="463"/>
      <c r="L188" s="468"/>
      <c r="M188" s="472"/>
      <c r="N188" s="468"/>
      <c r="O188" s="470"/>
      <c r="P188" s="468"/>
      <c r="Q188" s="48"/>
      <c r="R188" s="471"/>
      <c r="S188" s="468"/>
      <c r="T188" s="812"/>
    </row>
    <row r="189" ht="15.0" customHeight="1">
      <c r="A189" s="1236"/>
      <c r="B189" s="812"/>
      <c r="C189" s="869"/>
      <c r="D189" s="470"/>
      <c r="E189" s="464" t="str">
        <f>IFERROR(VLOOKUP(B189,'03. THIẾT BỊ'!$B$1:$S$836,4,0),"")</f>
        <v/>
      </c>
      <c r="F189" s="464"/>
      <c r="G189" s="80"/>
      <c r="H189" s="463"/>
      <c r="I189" s="474"/>
      <c r="J189" s="471"/>
      <c r="K189" s="463"/>
      <c r="L189" s="468"/>
      <c r="M189" s="472"/>
      <c r="N189" s="468"/>
      <c r="O189" s="470"/>
      <c r="P189" s="468"/>
      <c r="Q189" s="48"/>
      <c r="R189" s="471"/>
      <c r="S189" s="468"/>
      <c r="T189" s="812"/>
    </row>
    <row r="190" ht="15.0" customHeight="1">
      <c r="A190" s="1236"/>
      <c r="B190" s="812"/>
      <c r="C190" s="869" t="str">
        <f>IFERROR(VLOOKUP(B190,'03. THIẾT BỊ'!$B$1:$S$836,2,0),"")</f>
        <v/>
      </c>
      <c r="D190" s="470" t="str">
        <f>IFERROR(VLOOKUP(B190,'03. THIẾT BỊ'!$B$1:$S$836,3,0),"")</f>
        <v/>
      </c>
      <c r="E190" s="464" t="str">
        <f>IFERROR(VLOOKUP(B190,'03. THIẾT BỊ'!$B$1:$S$836,4,0),"")</f>
        <v/>
      </c>
      <c r="F190" s="464" t="str">
        <f>IFERROR(VLOOKUP(B190,'03. THIẾT BỊ'!$B$1:$S$836,5,0),"")</f>
        <v/>
      </c>
      <c r="G190" s="80" t="s">
        <v>6423</v>
      </c>
      <c r="H190" s="463" t="str">
        <f>IFERROR(VLOOKUP(B190,'03. THIẾT BỊ'!$B$1:$S$836,7,0),"")</f>
        <v/>
      </c>
      <c r="I190" s="474" t="str">
        <f>IFERROR(VLOOKUP(B190,'03. THIẾT BỊ'!$B$1:$S$836,8,0),"")</f>
        <v/>
      </c>
      <c r="J190" s="471"/>
      <c r="K190" s="463" t="str">
        <f>IFERROR(VLOOKUP(B190,'03. THIẾT BỊ'!$B$1:$S$836,10,0),"")</f>
        <v/>
      </c>
      <c r="L190" s="468" t="str">
        <f>IFERROR(VLOOKUP(B190,'03. THIẾT BỊ'!$B$1:$S$836,11,0),"")</f>
        <v/>
      </c>
      <c r="M190" s="472" t="str">
        <f>IFERROR(VLOOKUP(B190,'03. THIẾT BỊ'!$B$1:$S$836,12,0),"")</f>
        <v/>
      </c>
      <c r="N190" s="468" t="str">
        <f>IFERROR(VLOOKUP(B190,'03. THIẾT BỊ'!$B$1:$S$836,13,0),"")</f>
        <v/>
      </c>
      <c r="O190" s="470" t="str">
        <f>IFERROR(VLOOKUP(B190,'03. THIẾT BỊ'!$B$1:$S$836,14,0),"")</f>
        <v/>
      </c>
      <c r="P190" s="468" t="str">
        <f>IFERROR(VLOOKUP(B190,'03. THIẾT BỊ'!$B$1:$S$836,15,0),"")</f>
        <v/>
      </c>
      <c r="Q190" s="48" t="str">
        <f>IFERROR(VLOOKUP(B190,'03. THIẾT BỊ'!$B$1:$S$836,16,0),"")</f>
        <v/>
      </c>
      <c r="R190" s="471" t="str">
        <f>IFERROR(VLOOKUP(B190,'03. THIẾT BỊ'!$B$1:$S$836,17,0),"")</f>
        <v/>
      </c>
      <c r="S190" s="468" t="str">
        <f>IFERROR(VLOOKUP(B190,'03. THIẾT BỊ'!$B$1:$S$836,18,0),"")</f>
        <v/>
      </c>
      <c r="T190" s="812"/>
    </row>
    <row r="191" ht="15.0" customHeight="1">
      <c r="A191" s="455" t="s">
        <v>76</v>
      </c>
      <c r="B191" s="456" t="s">
        <v>7963</v>
      </c>
      <c r="C191" s="457">
        <f>COUNTA(B192:B198)</f>
        <v>6</v>
      </c>
      <c r="D191" s="458" t="str">
        <f>IFERROR(VLOOKUP(B191,'03. THIẾT BỊ'!$B$1:$S$836,3,0),"")</f>
        <v/>
      </c>
      <c r="E191" s="464" t="str">
        <f>IFERROR(VLOOKUP(B191,'03. THIẾT BỊ'!$B$1:$S$836,4,0),"")</f>
        <v/>
      </c>
      <c r="F191" s="458" t="str">
        <f>IFERROR(VLOOKUP(B191,'03. THIẾT BỊ'!$B$1:$S$836,5,0),"")</f>
        <v/>
      </c>
      <c r="G191" s="459" t="s">
        <v>6423</v>
      </c>
      <c r="H191" s="459" t="str">
        <f>IFERROR(VLOOKUP(B191,'03. THIẾT BỊ'!$B$1:$S$836,7,0),"")</f>
        <v/>
      </c>
      <c r="I191" s="457" t="str">
        <f>IFERROR(VLOOKUP(B191,'03. THIẾT BỊ'!$B$1:$S$836,8,0),"")</f>
        <v/>
      </c>
      <c r="J191" s="460"/>
      <c r="K191" s="457" t="str">
        <f>IFERROR(VLOOKUP(B191,'03. THIẾT BỊ'!$B$1:$S$836,10,0),"")</f>
        <v/>
      </c>
      <c r="L191" s="458" t="str">
        <f>IFERROR(VLOOKUP(B191,'03. THIẾT BỊ'!$B$1:$S$836,11,0),"")</f>
        <v/>
      </c>
      <c r="M191" s="461" t="str">
        <f>IFERROR(VLOOKUP(B191,'03. THIẾT BỊ'!$B$1:$S$836,12,0),"")</f>
        <v/>
      </c>
      <c r="N191" s="458" t="str">
        <f>IFERROR(VLOOKUP(B191,'03. THIẾT BỊ'!$B$1:$S$836,13,0),"")</f>
        <v/>
      </c>
      <c r="O191" s="461" t="str">
        <f>IFERROR(VLOOKUP(B191,'03. THIẾT BỊ'!$B$1:$S$836,14,0),"")</f>
        <v/>
      </c>
      <c r="P191" s="458" t="str">
        <f>IFERROR(VLOOKUP(B191,'03. THIẾT BỊ'!$B$1:$S$836,15,0),"")</f>
        <v/>
      </c>
      <c r="Q191" s="459" t="str">
        <f>IFERROR(VLOOKUP(B191,'03. THIẾT BỊ'!$B$1:$S$836,16,0),"")</f>
        <v/>
      </c>
      <c r="R191" s="458" t="str">
        <f>IFERROR(VLOOKUP(B191,'03. THIẾT BỊ'!$B$1:$S$836,17,0),"")</f>
        <v/>
      </c>
      <c r="S191" s="458" t="str">
        <f>IFERROR(VLOOKUP(B191,'03. THIẾT BỊ'!$B$1:$S$836,18,0),"")</f>
        <v/>
      </c>
      <c r="T191" s="866"/>
    </row>
    <row r="192" ht="15.0" customHeight="1">
      <c r="A192" s="463">
        <v>1.0</v>
      </c>
      <c r="B192" s="464" t="s">
        <v>3629</v>
      </c>
      <c r="C192" s="869" t="str">
        <f>IFERROR(VLOOKUP(B192,'03. THIẾT BỊ'!$B$1:$S$836,2,0),"")</f>
        <v>Mới</v>
      </c>
      <c r="D192" s="470" t="str">
        <f>IFERROR(VLOOKUP(B192,'03. THIẾT BỊ'!$B$1:$S$836,3,0),"")</f>
        <v>A23-BUA-015</v>
      </c>
      <c r="E192" s="464" t="str">
        <f>IFERROR(VLOOKUP(B192,'03. THIẾT BỊ'!$B$1:$S$836,4,0),"")</f>
        <v>MUA MỚI</v>
      </c>
      <c r="F192" s="464" t="str">
        <f>IFERROR(VLOOKUP(B192,'03. THIẾT BỊ'!$B$1:$S$836,5,0),"")</f>
        <v>Thiết bị bừa 30 chảo</v>
      </c>
      <c r="G192" s="80" t="s">
        <v>6423</v>
      </c>
      <c r="H192" s="463" t="str">
        <f>IFERROR(VLOOKUP(B192,'03. THIẾT BỊ'!$B$1:$S$836,7,0),"")</f>
        <v>CGLĐ DP</v>
      </c>
      <c r="I192" s="474" t="str">
        <f>IFERROR(VLOOKUP(B192,'03. THIẾT BỊ'!$B$1:$S$836,8,0),"")</f>
        <v>26/07/2024</v>
      </c>
      <c r="J192" s="471"/>
      <c r="K192" s="463" t="str">
        <f>IFERROR(VLOOKUP(B192,'03. THIẾT BỊ'!$B$1:$S$836,10,0),"")</f>
        <v>Bình thường</v>
      </c>
      <c r="L192" s="468" t="str">
        <f>IFERROR(VLOOKUP(B192,'03. THIẾT BỊ'!$B$1:$S$836,11,0),"")</f>
        <v/>
      </c>
      <c r="M192" s="472" t="str">
        <f>IFERROR(VLOOKUP(B192,'03. THIẾT BỊ'!$B$1:$S$836,12,0),"")</f>
        <v/>
      </c>
      <c r="N192" s="468" t="str">
        <f>IFERROR(VLOOKUP(B192,'03. THIẾT BỊ'!$B$1:$S$836,13,0),"")</f>
        <v>INRODA</v>
      </c>
      <c r="O192" s="470" t="str">
        <f>IFERROR(VLOOKUP(B192,'03. THIẾT BỊ'!$B$1:$S$836,14,0),"")</f>
        <v>GASP30235</v>
      </c>
      <c r="P192" s="468" t="str">
        <f>IFERROR(VLOOKUP(B192,'03. THIẾT BỊ'!$B$1:$S$836,15,0),"")</f>
        <v>BRAZIL</v>
      </c>
      <c r="Q192" s="48">
        <f>IFERROR(VLOOKUP(B192,'03. THIẾT BỊ'!$B$1:$S$836,16,0),"")</f>
        <v>2024</v>
      </c>
      <c r="R192" s="471" t="str">
        <f>IFERROR(VLOOKUP(B192,'03. THIẾT BỊ'!$B$1:$S$836,17,0),"")</f>
        <v/>
      </c>
      <c r="S192" s="468">
        <f>IFERROR(VLOOKUP(B192,'03. THIẾT BỊ'!$B$1:$S$836,18,0),"")</f>
        <v>3453784</v>
      </c>
      <c r="T192" s="807"/>
    </row>
    <row r="193" ht="15.0" customHeight="1">
      <c r="A193" s="463">
        <f t="shared" ref="A193:A197" si="6">A192+1</f>
        <v>2</v>
      </c>
      <c r="B193" s="464" t="s">
        <v>3801</v>
      </c>
      <c r="C193" s="869" t="str">
        <f>IFERROR(VLOOKUP(B193,'03. THIẾT BỊ'!$B$1:$S$836,2,0),"")</f>
        <v/>
      </c>
      <c r="D193" s="470" t="str">
        <f>IFERROR(VLOOKUP(B193,'03. THIẾT BỊ'!$B$1:$S$836,3,0),"")</f>
        <v>A24-BUA-016</v>
      </c>
      <c r="E193" s="464" t="str">
        <f>IFERROR(VLOOKUP(B193,'03. THIẾT BỊ'!$B$1:$S$836,4,0),"")</f>
        <v>MUA MỚI</v>
      </c>
      <c r="F193" s="464" t="str">
        <f>IFERROR(VLOOKUP(B193,'03. THIẾT BỊ'!$B$1:$S$836,5,0),"")</f>
        <v>Thiết bị bừa 30 chảo</v>
      </c>
      <c r="G193" s="80" t="s">
        <v>6423</v>
      </c>
      <c r="H193" s="463" t="str">
        <f>IFERROR(VLOOKUP(B193,'03. THIẾT BỊ'!$B$1:$S$836,7,0),"")</f>
        <v>CGLĐ LP</v>
      </c>
      <c r="I193" s="474" t="str">
        <f>IFERROR(VLOOKUP(B193,'03. THIẾT BỊ'!$B$1:$S$836,8,0),"")</f>
        <v>26/07/2024</v>
      </c>
      <c r="J193" s="471"/>
      <c r="K193" s="463" t="str">
        <f>IFERROR(VLOOKUP(B193,'03. THIẾT BỊ'!$B$1:$S$836,10,0),"")</f>
        <v>Bình thường</v>
      </c>
      <c r="L193" s="468" t="str">
        <f>IFERROR(VLOOKUP(B193,'03. THIẾT BỊ'!$B$1:$S$836,11,0),"")</f>
        <v>Gia công mới</v>
      </c>
      <c r="M193" s="472" t="str">
        <f>IFERROR(VLOOKUP(B193,'03. THIẾT BỊ'!$B$1:$S$836,12,0),"")</f>
        <v/>
      </c>
      <c r="N193" s="468" t="str">
        <f>IFERROR(VLOOKUP(B193,'03. THIẾT BỊ'!$B$1:$S$836,13,0),"")</f>
        <v>INRODA</v>
      </c>
      <c r="O193" s="470" t="str">
        <f>IFERROR(VLOOKUP(B193,'03. THIẾT BỊ'!$B$1:$S$836,14,0),"")</f>
        <v>GASP24235</v>
      </c>
      <c r="P193" s="468" t="str">
        <f>IFERROR(VLOOKUP(B193,'03. THIẾT BỊ'!$B$1:$S$836,15,0),"")</f>
        <v>BRAZIL</v>
      </c>
      <c r="Q193" s="48">
        <f>IFERROR(VLOOKUP(B193,'03. THIẾT BỊ'!$B$1:$S$836,16,0),"")</f>
        <v>2024</v>
      </c>
      <c r="R193" s="471" t="str">
        <f>IFERROR(VLOOKUP(B193,'03. THIẾT BỊ'!$B$1:$S$836,17,0),"")</f>
        <v/>
      </c>
      <c r="S193" s="468">
        <f>IFERROR(VLOOKUP(B193,'03. THIẾT BỊ'!$B$1:$S$836,18,0),"")</f>
        <v>3453783</v>
      </c>
      <c r="T193" s="807" t="s">
        <v>76</v>
      </c>
    </row>
    <row r="194" ht="15.0" customHeight="1">
      <c r="A194" s="463">
        <f t="shared" si="6"/>
        <v>3</v>
      </c>
      <c r="B194" s="464" t="s">
        <v>3750</v>
      </c>
      <c r="C194" s="869" t="str">
        <f>IFERROR(VLOOKUP(B194,'03. THIẾT BỊ'!$B$1:$S$836,2,0),"")</f>
        <v>CNN-BUA-009</v>
      </c>
      <c r="D194" s="470" t="str">
        <f>IFERROR(VLOOKUP(B194,'03. THIẾT BỊ'!$B$1:$S$836,3,0),"")</f>
        <v>A24-BUA-006</v>
      </c>
      <c r="E194" s="464" t="str">
        <f>IFERROR(VLOOKUP(B194,'03. THIẾT BỊ'!$B$1:$S$836,4,0),"")</f>
        <v>MUA MỚI</v>
      </c>
      <c r="F194" s="464" t="str">
        <f>IFERROR(VLOOKUP(B194,'03. THIẾT BỊ'!$B$1:$S$836,5,0),"")</f>
        <v>Thiết Bị Bừa 32 Chảo</v>
      </c>
      <c r="G194" s="80" t="s">
        <v>6423</v>
      </c>
      <c r="H194" s="463" t="str">
        <f>IFERROR(VLOOKUP(B194,'03. THIẾT BỊ'!$B$1:$S$836,7,0),"")</f>
        <v>CGLĐ LP</v>
      </c>
      <c r="I194" s="474" t="str">
        <f>IFERROR(VLOOKUP(B194,'03. THIẾT BỊ'!$B$1:$S$836,8,0),"")</f>
        <v/>
      </c>
      <c r="J194" s="471"/>
      <c r="K194" s="463" t="str">
        <f>IFERROR(VLOOKUP(B194,'03. THIẾT BỊ'!$B$1:$S$836,10,0),"")</f>
        <v>Bình thường</v>
      </c>
      <c r="L194" s="468" t="str">
        <f>IFERROR(VLOOKUP(B194,'03. THIẾT BỊ'!$B$1:$S$836,11,0),"")</f>
        <v/>
      </c>
      <c r="M194" s="472" t="str">
        <f>IFERROR(VLOOKUP(B194,'03. THIẾT BỊ'!$B$1:$S$836,12,0),"")</f>
        <v/>
      </c>
      <c r="N194" s="468" t="str">
        <f>IFERROR(VLOOKUP(B194,'03. THIẾT BỊ'!$B$1:$S$836,13,0),"")</f>
        <v>CAMBODIA</v>
      </c>
      <c r="O194" s="470" t="str">
        <f>IFERROR(VLOOKUP(B194,'03. THIẾT BỊ'!$B$1:$S$836,14,0),"")</f>
        <v>32 chảo</v>
      </c>
      <c r="P194" s="468" t="str">
        <f>IFERROR(VLOOKUP(B194,'03. THIẾT BỊ'!$B$1:$S$836,15,0),"")</f>
        <v>CAMBODIA</v>
      </c>
      <c r="Q194" s="48" t="str">
        <f>IFERROR(VLOOKUP(B194,'03. THIẾT BỊ'!$B$1:$S$836,16,0),"")</f>
        <v/>
      </c>
      <c r="R194" s="471" t="str">
        <f>IFERROR(VLOOKUP(B194,'03. THIẾT BỊ'!$B$1:$S$836,17,0),"")</f>
        <v/>
      </c>
      <c r="S194" s="468" t="str">
        <f>IFERROR(VLOOKUP(B194,'03. THIẾT BỊ'!$B$1:$S$836,18,0),"")</f>
        <v/>
      </c>
      <c r="T194" s="812"/>
    </row>
    <row r="195">
      <c r="A195" s="463">
        <f t="shared" si="6"/>
        <v>4</v>
      </c>
      <c r="B195" s="464" t="s">
        <v>5293</v>
      </c>
      <c r="C195" s="869" t="str">
        <f>IFERROR(VLOOKUP(B195,'03. THIẾT BỊ'!$B$1:$S$836,2,0),"")</f>
        <v>B32C04</v>
      </c>
      <c r="D195" s="470" t="str">
        <f>IFERROR(VLOOKUP(B195,'03. THIẾT BỊ'!$B$1:$S$836,3,0),"")</f>
        <v>A22-BUA-001</v>
      </c>
      <c r="E195" s="464" t="str">
        <f>IFERROR(VLOOKUP(B195,'03. THIẾT BỊ'!$B$1:$S$836,4,0),"")</f>
        <v>MUA MỚI</v>
      </c>
      <c r="F195" s="464" t="str">
        <f>IFERROR(VLOOKUP(B195,'03. THIẾT BỊ'!$B$1:$S$836,5,0),"")</f>
        <v>Thiết bị bừa 32 chảo</v>
      </c>
      <c r="G195" s="80" t="s">
        <v>6423</v>
      </c>
      <c r="H195" s="463" t="str">
        <f>IFERROR(VLOOKUP(B195,'03. THIẾT BỊ'!$B$1:$S$836,7,0),"")</f>
        <v>XN Bò AD</v>
      </c>
      <c r="I195" s="474">
        <f>IFERROR(VLOOKUP(B195,'03. THIẾT BỊ'!$B$1:$S$836,8,0),"")</f>
        <v>45294</v>
      </c>
      <c r="J195" s="471"/>
      <c r="K195" s="463" t="str">
        <f>IFERROR(VLOOKUP(B195,'03. THIẾT BỊ'!$B$1:$S$836,10,0),"")</f>
        <v>Bình thường</v>
      </c>
      <c r="L195" s="468" t="str">
        <f>IFERROR(VLOOKUP(B195,'03. THIẾT BỊ'!$B$1:$S$836,11,0),"")</f>
        <v/>
      </c>
      <c r="M195" s="472" t="str">
        <f>IFERROR(VLOOKUP(B195,'03. THIẾT BỊ'!$B$1:$S$836,12,0),"")</f>
        <v>Đầu tư mới</v>
      </c>
      <c r="N195" s="468" t="str">
        <f>IFERROR(VLOOKUP(B195,'03. THIẾT BỊ'!$B$1:$S$836,13,0),"")</f>
        <v>NILE</v>
      </c>
      <c r="O195" s="470" t="str">
        <f>IFERROR(VLOOKUP(B195,'03. THIẾT BỊ'!$B$1:$S$836,14,0),"")</f>
        <v>N680A</v>
      </c>
      <c r="P195" s="468" t="str">
        <f>IFERROR(VLOOKUP(B195,'03. THIẾT BỊ'!$B$1:$S$836,15,0),"")</f>
        <v>TRUNG QUỐC</v>
      </c>
      <c r="Q195" s="48" t="str">
        <f>IFERROR(VLOOKUP(B195,'03. THIẾT BỊ'!$B$1:$S$836,16,0),"")</f>
        <v/>
      </c>
      <c r="R195" s="471" t="str">
        <f>IFERROR(VLOOKUP(B195,'03. THIẾT BỊ'!$B$1:$S$836,17,0),"")</f>
        <v/>
      </c>
      <c r="S195" s="468" t="str">
        <f>IFERROR(VLOOKUP(B195,'03. THIẾT BỊ'!$B$1:$S$836,18,0),"")</f>
        <v/>
      </c>
      <c r="T195" s="807"/>
    </row>
    <row r="196" ht="15.0" customHeight="1">
      <c r="A196" s="463">
        <f t="shared" si="6"/>
        <v>5</v>
      </c>
      <c r="B196" s="464" t="s">
        <v>3851</v>
      </c>
      <c r="C196" s="869" t="str">
        <f>IFERROR(VLOOKUP(B196,'03. THIẾT BỊ'!$B$1:$S$836,2,0),"")</f>
        <v>CNN-BUA-008(B36C 01 NN-KLH)</v>
      </c>
      <c r="D196" s="470" t="str">
        <f>IFERROR(VLOOKUP(B196,'03. THIẾT BỊ'!$B$1:$S$836,3,0),"")</f>
        <v>A22-BUA-013</v>
      </c>
      <c r="E196" s="464" t="str">
        <f>IFERROR(VLOOKUP(B196,'03. THIẾT BỊ'!$B$1:$S$836,4,0),"")</f>
        <v>ĐQSD</v>
      </c>
      <c r="F196" s="464" t="str">
        <f>IFERROR(VLOOKUP(B196,'03. THIẾT BỊ'!$B$1:$S$836,5,0),"")</f>
        <v>Thiết bị bừa 36 chảo</v>
      </c>
      <c r="G196" s="80" t="s">
        <v>6423</v>
      </c>
      <c r="H196" s="463" t="str">
        <f>IFERROR(VLOOKUP(B196,'03. THIẾT BỊ'!$B$1:$S$836,7,0),"")</f>
        <v>XN Bò AD</v>
      </c>
      <c r="I196" s="474" t="str">
        <f>IFERROR(VLOOKUP(B196,'03. THIẾT BỊ'!$B$1:$S$836,8,0),"")</f>
        <v/>
      </c>
      <c r="J196" s="471"/>
      <c r="K196" s="463" t="str">
        <f>IFERROR(VLOOKUP(B196,'03. THIẾT BỊ'!$B$1:$S$836,10,0),"")</f>
        <v>Bình thường</v>
      </c>
      <c r="L196" s="468" t="str">
        <f>IFERROR(VLOOKUP(B196,'03. THIẾT BỊ'!$B$1:$S$836,11,0),"")</f>
        <v/>
      </c>
      <c r="M196" s="472" t="str">
        <f>IFERROR(VLOOKUP(B196,'03. THIẾT BỊ'!$B$1:$S$836,12,0),"")</f>
        <v/>
      </c>
      <c r="N196" s="468" t="str">
        <f>IFERROR(VLOOKUP(B196,'03. THIẾT BỊ'!$B$1:$S$836,13,0),"")</f>
        <v>CAMBODIA</v>
      </c>
      <c r="O196" s="470" t="str">
        <f>IFERROR(VLOOKUP(B196,'03. THIẾT BỊ'!$B$1:$S$836,14,0),"")</f>
        <v>36 chảo</v>
      </c>
      <c r="P196" s="468" t="str">
        <f>IFERROR(VLOOKUP(B196,'03. THIẾT BỊ'!$B$1:$S$836,15,0),"")</f>
        <v>CAMBODIA</v>
      </c>
      <c r="Q196" s="48" t="str">
        <f>IFERROR(VLOOKUP(B196,'03. THIẾT BỊ'!$B$1:$S$836,16,0),"")</f>
        <v/>
      </c>
      <c r="R196" s="471" t="str">
        <f>IFERROR(VLOOKUP(B196,'03. THIẾT BỊ'!$B$1:$S$836,17,0),"")</f>
        <v/>
      </c>
      <c r="S196" s="468" t="str">
        <f>IFERROR(VLOOKUP(B196,'03. THIẾT BỊ'!$B$1:$S$836,18,0),"")</f>
        <v/>
      </c>
      <c r="T196" s="812"/>
    </row>
    <row r="197" ht="15.0" customHeight="1">
      <c r="A197" s="463">
        <f t="shared" si="6"/>
        <v>6</v>
      </c>
      <c r="B197" s="464" t="s">
        <v>5302</v>
      </c>
      <c r="C197" s="869" t="str">
        <f>IFERROR(VLOOKUP(B197,'03. THIẾT BỊ'!$B$1:$S$836,2,0),"")</f>
        <v/>
      </c>
      <c r="D197" s="470" t="str">
        <f>IFERROR(VLOOKUP(B197,'03. THIẾT BỊ'!$B$1:$S$836,3,0),"")</f>
        <v>A22-BUA-004</v>
      </c>
      <c r="E197" s="464" t="str">
        <f>IFERROR(VLOOKUP(B197,'03. THIẾT BỊ'!$B$1:$S$836,4,0),"")</f>
        <v>MUA MỚI</v>
      </c>
      <c r="F197" s="464" t="str">
        <f>IFERROR(VLOOKUP(B197,'03. THIẾT BỊ'!$B$1:$S$836,5,0),"")</f>
        <v>Thiết bị bừa 32 chảo</v>
      </c>
      <c r="G197" s="80" t="s">
        <v>6423</v>
      </c>
      <c r="H197" s="463" t="str">
        <f>IFERROR(VLOOKUP(B197,'03. THIẾT BỊ'!$B$1:$S$836,7,0),"")</f>
        <v>XN Bò AD</v>
      </c>
      <c r="I197" s="474">
        <f>IFERROR(VLOOKUP(B197,'03. THIẾT BỊ'!$B$1:$S$836,8,0),"")</f>
        <v>45789</v>
      </c>
      <c r="J197" s="471"/>
      <c r="K197" s="463" t="str">
        <f>IFERROR(VLOOKUP(B197,'03. THIẾT BỊ'!$B$1:$S$836,10,0),"")</f>
        <v>Bình thường</v>
      </c>
      <c r="L197" s="468" t="str">
        <f>IFERROR(VLOOKUP(B197,'03. THIẾT BỊ'!$B$1:$S$836,11,0),"")</f>
        <v/>
      </c>
      <c r="M197" s="472" t="str">
        <f>IFERROR(VLOOKUP(B197,'03. THIẾT BỊ'!$B$1:$S$836,12,0),"")</f>
        <v>Đầu tư mới</v>
      </c>
      <c r="N197" s="468" t="str">
        <f>IFERROR(VLOOKUP(B197,'03. THIẾT BỊ'!$B$1:$S$836,13,0),"")</f>
        <v/>
      </c>
      <c r="O197" s="470" t="str">
        <f>IFERROR(VLOOKUP(B197,'03. THIẾT BỊ'!$B$1:$S$836,14,0),"")</f>
        <v/>
      </c>
      <c r="P197" s="468" t="str">
        <f>IFERROR(VLOOKUP(B197,'03. THIẾT BỊ'!$B$1:$S$836,15,0),"")</f>
        <v>TRUNG QUỐC</v>
      </c>
      <c r="Q197" s="48">
        <f>IFERROR(VLOOKUP(B197,'03. THIẾT BỊ'!$B$1:$S$836,16,0),"")</f>
        <v>2025</v>
      </c>
      <c r="R197" s="471" t="str">
        <f>IFERROR(VLOOKUP(B197,'03. THIẾT BỊ'!$B$1:$S$836,17,0),"")</f>
        <v/>
      </c>
      <c r="S197" s="468" t="str">
        <f>IFERROR(VLOOKUP(B197,'03. THIẾT BỊ'!$B$1:$S$836,18,0),"")</f>
        <v/>
      </c>
      <c r="T197" s="467"/>
    </row>
    <row r="198" ht="15.0" customHeight="1">
      <c r="A198" s="1236"/>
      <c r="B198" s="812"/>
      <c r="C198" s="869" t="str">
        <f>IFERROR(VLOOKUP(B198,'03. THIẾT BỊ'!$B$1:$S$836,2,0),"")</f>
        <v/>
      </c>
      <c r="D198" s="470" t="str">
        <f>IFERROR(VLOOKUP(B198,'03. THIẾT BỊ'!$B$1:$S$836,3,0),"")</f>
        <v/>
      </c>
      <c r="E198" s="464" t="str">
        <f>IFERROR(VLOOKUP(B198,'03. THIẾT BỊ'!$B$1:$S$836,4,0),"")</f>
        <v/>
      </c>
      <c r="F198" s="464" t="str">
        <f>IFERROR(VLOOKUP(B198,'03. THIẾT BỊ'!$B$1:$S$836,5,0),"")</f>
        <v/>
      </c>
      <c r="G198" s="80" t="s">
        <v>6423</v>
      </c>
      <c r="H198" s="463" t="str">
        <f>IFERROR(VLOOKUP(B198,'03. THIẾT BỊ'!$B$1:$S$836,7,0),"")</f>
        <v/>
      </c>
      <c r="I198" s="474" t="str">
        <f>IFERROR(VLOOKUP(B198,'03. THIẾT BỊ'!$B$1:$S$836,8,0),"")</f>
        <v/>
      </c>
      <c r="J198" s="471"/>
      <c r="K198" s="463" t="str">
        <f>IFERROR(VLOOKUP(B198,'03. THIẾT BỊ'!$B$1:$S$836,10,0),"")</f>
        <v/>
      </c>
      <c r="L198" s="468" t="str">
        <f>IFERROR(VLOOKUP(B198,'03. THIẾT BỊ'!$B$1:$S$836,11,0),"")</f>
        <v/>
      </c>
      <c r="M198" s="472" t="str">
        <f>IFERROR(VLOOKUP(B198,'03. THIẾT BỊ'!$B$1:$S$836,12,0),"")</f>
        <v/>
      </c>
      <c r="N198" s="468" t="str">
        <f>IFERROR(VLOOKUP(B198,'03. THIẾT BỊ'!$B$1:$S$836,13,0),"")</f>
        <v/>
      </c>
      <c r="O198" s="470" t="str">
        <f>IFERROR(VLOOKUP(B198,'03. THIẾT BỊ'!$B$1:$S$836,14,0),"")</f>
        <v/>
      </c>
      <c r="P198" s="468" t="str">
        <f>IFERROR(VLOOKUP(B198,'03. THIẾT BỊ'!$B$1:$S$836,15,0),"")</f>
        <v/>
      </c>
      <c r="Q198" s="48" t="str">
        <f>IFERROR(VLOOKUP(B198,'03. THIẾT BỊ'!$B$1:$S$836,16,0),"")</f>
        <v/>
      </c>
      <c r="R198" s="471" t="str">
        <f>IFERROR(VLOOKUP(B198,'03. THIẾT BỊ'!$B$1:$S$836,17,0),"")</f>
        <v/>
      </c>
      <c r="S198" s="468" t="str">
        <f>IFERROR(VLOOKUP(B198,'03. THIẾT BỊ'!$B$1:$S$836,18,0),"")</f>
        <v/>
      </c>
      <c r="T198" s="812"/>
    </row>
    <row r="199" ht="15.0" customHeight="1">
      <c r="A199" s="455" t="s">
        <v>76</v>
      </c>
      <c r="B199" s="456" t="s">
        <v>8127</v>
      </c>
      <c r="C199" s="457">
        <f>COUNTA(B200:B209)</f>
        <v>9</v>
      </c>
      <c r="D199" s="458" t="str">
        <f>IFERROR(VLOOKUP(B199,'03. THIẾT BỊ'!$B$1:$S$836,3,0),"")</f>
        <v/>
      </c>
      <c r="E199" s="464" t="str">
        <f>IFERROR(VLOOKUP(B199,'03. THIẾT BỊ'!$B$1:$S$836,4,0),"")</f>
        <v/>
      </c>
      <c r="F199" s="458" t="str">
        <f>IFERROR(VLOOKUP(B199,'03. THIẾT BỊ'!$B$1:$S$836,5,0),"")</f>
        <v/>
      </c>
      <c r="G199" s="459" t="s">
        <v>6423</v>
      </c>
      <c r="H199" s="459" t="str">
        <f>IFERROR(VLOOKUP(B199,'03. THIẾT BỊ'!$B$1:$S$836,7,0),"")</f>
        <v/>
      </c>
      <c r="I199" s="457" t="str">
        <f>IFERROR(VLOOKUP(B199,'03. THIẾT BỊ'!$B$1:$S$836,8,0),"")</f>
        <v/>
      </c>
      <c r="J199" s="460"/>
      <c r="K199" s="457" t="str">
        <f>IFERROR(VLOOKUP(B199,'03. THIẾT BỊ'!$B$1:$S$836,10,0),"")</f>
        <v/>
      </c>
      <c r="L199" s="458" t="str">
        <f>IFERROR(VLOOKUP(B199,'03. THIẾT BỊ'!$B$1:$S$836,11,0),"")</f>
        <v/>
      </c>
      <c r="M199" s="461" t="str">
        <f>IFERROR(VLOOKUP(B199,'03. THIẾT BỊ'!$B$1:$S$836,12,0),"")</f>
        <v/>
      </c>
      <c r="N199" s="458" t="str">
        <f>IFERROR(VLOOKUP(B199,'03. THIẾT BỊ'!$B$1:$S$836,13,0),"")</f>
        <v/>
      </c>
      <c r="O199" s="461" t="str">
        <f>IFERROR(VLOOKUP(B199,'03. THIẾT BỊ'!$B$1:$S$836,14,0),"")</f>
        <v/>
      </c>
      <c r="P199" s="458" t="str">
        <f>IFERROR(VLOOKUP(B199,'03. THIẾT BỊ'!$B$1:$S$836,15,0),"")</f>
        <v/>
      </c>
      <c r="Q199" s="459" t="str">
        <f>IFERROR(VLOOKUP(B199,'03. THIẾT BỊ'!$B$1:$S$836,16,0),"")</f>
        <v/>
      </c>
      <c r="R199" s="458" t="str">
        <f>IFERROR(VLOOKUP(B199,'03. THIẾT BỊ'!$B$1:$S$836,17,0),"")</f>
        <v/>
      </c>
      <c r="S199" s="458" t="str">
        <f>IFERROR(VLOOKUP(B199,'03. THIẾT BỊ'!$B$1:$S$836,18,0),"")</f>
        <v/>
      </c>
      <c r="T199" s="866"/>
    </row>
    <row r="200" ht="15.0" customHeight="1">
      <c r="A200" s="463">
        <v>1.0</v>
      </c>
      <c r="B200" s="464" t="s">
        <v>3555</v>
      </c>
      <c r="C200" s="869" t="str">
        <f>IFERROR(VLOOKUP(B200,'03. THIẾT BỊ'!$B$1:$S$836,2,0),"")</f>
        <v>P2M2 01</v>
      </c>
      <c r="D200" s="470" t="str">
        <f>IFERROR(VLOOKUP(B200,'03. THIẾT BỊ'!$B$1:$S$836,3,0),"")</f>
        <v>A23-XOI-001</v>
      </c>
      <c r="E200" s="464" t="str">
        <f>IFERROR(VLOOKUP(B200,'03. THIẾT BỊ'!$B$1:$S$836,4,0),"")</f>
        <v>ĐQSD</v>
      </c>
      <c r="F200" s="464" t="str">
        <f>IFERROR(VLOOKUP(B200,'03. THIẾT BỊ'!$B$1:$S$836,5,0),"")</f>
        <v>Thiết bị xới đất 2.2m</v>
      </c>
      <c r="G200" s="80" t="s">
        <v>6423</v>
      </c>
      <c r="H200" s="463" t="str">
        <f>IFERROR(VLOOKUP(B200,'03. THIẾT BỊ'!$B$1:$S$836,7,0),"")</f>
        <v>CGLĐ DP</v>
      </c>
      <c r="I200" s="474" t="str">
        <f>IFERROR(VLOOKUP(B200,'03. THIẾT BỊ'!$B$1:$S$836,8,0),"")</f>
        <v/>
      </c>
      <c r="J200" s="471"/>
      <c r="K200" s="463" t="str">
        <f>IFERROR(VLOOKUP(B200,'03. THIẾT BỊ'!$B$1:$S$836,10,0),"")</f>
        <v>Bình thường</v>
      </c>
      <c r="L200" s="468" t="str">
        <f>IFERROR(VLOOKUP(B200,'03. THIẾT BỊ'!$B$1:$S$836,11,0),"")</f>
        <v/>
      </c>
      <c r="M200" s="472" t="str">
        <f>IFERROR(VLOOKUP(B200,'03. THIẾT BỊ'!$B$1:$S$836,12,0),"")</f>
        <v/>
      </c>
      <c r="N200" s="468" t="str">
        <f>IFERROR(VLOOKUP(B200,'03. THIẾT BỊ'!$B$1:$S$836,13,0),"")</f>
        <v>TRUNG QUỐC</v>
      </c>
      <c r="O200" s="470" t="str">
        <f>IFERROR(VLOOKUP(B200,'03. THIẾT BỊ'!$B$1:$S$836,14,0),"")</f>
        <v>2.2m</v>
      </c>
      <c r="P200" s="468" t="str">
        <f>IFERROR(VLOOKUP(B200,'03. THIẾT BỊ'!$B$1:$S$836,15,0),"")</f>
        <v>TRUNG QUỐC</v>
      </c>
      <c r="Q200" s="48" t="str">
        <f>IFERROR(VLOOKUP(B200,'03. THIẾT BỊ'!$B$1:$S$836,16,0),"")</f>
        <v/>
      </c>
      <c r="R200" s="471" t="str">
        <f>IFERROR(VLOOKUP(B200,'03. THIẾT BỊ'!$B$1:$S$836,17,0),"")</f>
        <v/>
      </c>
      <c r="S200" s="468" t="str">
        <f>IFERROR(VLOOKUP(B200,'03. THIẾT BỊ'!$B$1:$S$836,18,0),"")</f>
        <v/>
      </c>
      <c r="T200" s="812"/>
    </row>
    <row r="201" ht="15.0" customHeight="1">
      <c r="A201" s="463">
        <f t="shared" ref="A201:A208" si="7">A200+1</f>
        <v>2</v>
      </c>
      <c r="B201" s="464" t="s">
        <v>3560</v>
      </c>
      <c r="C201" s="869" t="str">
        <f>IFERROR(VLOOKUP(B201,'03. THIẾT BỊ'!$B$1:$S$836,2,0),"")</f>
        <v>P2M2 02</v>
      </c>
      <c r="D201" s="470" t="str">
        <f>IFERROR(VLOOKUP(B201,'03. THIẾT BỊ'!$B$1:$S$836,3,0),"")</f>
        <v>A23-XOI-002</v>
      </c>
      <c r="E201" s="464" t="str">
        <f>IFERROR(VLOOKUP(B201,'03. THIẾT BỊ'!$B$1:$S$836,4,0),"")</f>
        <v>ĐQSD</v>
      </c>
      <c r="F201" s="464" t="str">
        <f>IFERROR(VLOOKUP(B201,'03. THIẾT BỊ'!$B$1:$S$836,5,0),"")</f>
        <v>Thiết bị xới đất 2.2m</v>
      </c>
      <c r="G201" s="80" t="s">
        <v>6423</v>
      </c>
      <c r="H201" s="463" t="str">
        <f>IFERROR(VLOOKUP(B201,'03. THIẾT BỊ'!$B$1:$S$836,7,0),"")</f>
        <v>CGLĐ DP</v>
      </c>
      <c r="I201" s="474" t="str">
        <f>IFERROR(VLOOKUP(B201,'03. THIẾT BỊ'!$B$1:$S$836,8,0),"")</f>
        <v/>
      </c>
      <c r="J201" s="471"/>
      <c r="K201" s="463" t="str">
        <f>IFERROR(VLOOKUP(B201,'03. THIẾT BỊ'!$B$1:$S$836,10,0),"")</f>
        <v>Hư hỏng</v>
      </c>
      <c r="L201" s="468" t="str">
        <f>IFERROR(VLOOKUP(B201,'03. THIẾT BỊ'!$B$1:$S$836,11,0),"")</f>
        <v/>
      </c>
      <c r="M201" s="472" t="str">
        <f>IFERROR(VLOOKUP(B201,'03. THIẾT BỊ'!$B$1:$S$836,12,0),"")</f>
        <v/>
      </c>
      <c r="N201" s="468" t="str">
        <f>IFERROR(VLOOKUP(B201,'03. THIẾT BỊ'!$B$1:$S$836,13,0),"")</f>
        <v>TRUNG QUỐC</v>
      </c>
      <c r="O201" s="470" t="str">
        <f>IFERROR(VLOOKUP(B201,'03. THIẾT BỊ'!$B$1:$S$836,14,0),"")</f>
        <v>2.2m</v>
      </c>
      <c r="P201" s="468" t="str">
        <f>IFERROR(VLOOKUP(B201,'03. THIẾT BỊ'!$B$1:$S$836,15,0),"")</f>
        <v>TRUNG QUỐC</v>
      </c>
      <c r="Q201" s="48" t="str">
        <f>IFERROR(VLOOKUP(B201,'03. THIẾT BỊ'!$B$1:$S$836,16,0),"")</f>
        <v/>
      </c>
      <c r="R201" s="471" t="str">
        <f>IFERROR(VLOOKUP(B201,'03. THIẾT BỊ'!$B$1:$S$836,17,0),"")</f>
        <v/>
      </c>
      <c r="S201" s="468" t="str">
        <f>IFERROR(VLOOKUP(B201,'03. THIẾT BỊ'!$B$1:$S$836,18,0),"")</f>
        <v/>
      </c>
      <c r="T201" s="812"/>
    </row>
    <row r="202" ht="15.0" customHeight="1">
      <c r="A202" s="463">
        <f t="shared" si="7"/>
        <v>3</v>
      </c>
      <c r="B202" s="464" t="s">
        <v>3653</v>
      </c>
      <c r="C202" s="869" t="str">
        <f>IFERROR(VLOOKUP(B202,'03. THIẾT BỊ'!$B$1:$S$836,2,0),"")</f>
        <v>CNN-XOI-006(P2M2 06 NN - KLH)</v>
      </c>
      <c r="D202" s="470" t="str">
        <f>IFERROR(VLOOKUP(B202,'03. THIẾT BỊ'!$B$1:$S$836,3,0),"")</f>
        <v>A22-XOI-007</v>
      </c>
      <c r="E202" s="464" t="str">
        <f>IFERROR(VLOOKUP(B202,'03. THIẾT BỊ'!$B$1:$S$836,4,0),"")</f>
        <v>ĐQSD</v>
      </c>
      <c r="F202" s="464" t="str">
        <f>IFERROR(VLOOKUP(B202,'03. THIẾT BỊ'!$B$1:$S$836,5,0),"")</f>
        <v>Thiết bị xới đất 2.2m</v>
      </c>
      <c r="G202" s="80" t="s">
        <v>6423</v>
      </c>
      <c r="H202" s="463" t="str">
        <f>IFERROR(VLOOKUP(B202,'03. THIẾT BỊ'!$B$1:$S$836,7,0),"")</f>
        <v>CGLĐ DP</v>
      </c>
      <c r="I202" s="474" t="str">
        <f>IFERROR(VLOOKUP(B202,'03. THIẾT BỊ'!$B$1:$S$836,8,0),"")</f>
        <v>15/08/2024</v>
      </c>
      <c r="J202" s="471"/>
      <c r="K202" s="463" t="str">
        <f>IFERROR(VLOOKUP(B202,'03. THIẾT BỊ'!$B$1:$S$836,10,0),"")</f>
        <v>Bình thường</v>
      </c>
      <c r="L202" s="468" t="str">
        <f>IFERROR(VLOOKUP(B202,'03. THIẾT BỊ'!$B$1:$S$836,11,0),"")</f>
        <v>CGLĐ AD đ.chuyển qua ngày 15.08.2024</v>
      </c>
      <c r="M202" s="472" t="str">
        <f>IFERROR(VLOOKUP(B202,'03. THIẾT BỊ'!$B$1:$S$836,12,0),"")</f>
        <v/>
      </c>
      <c r="N202" s="468" t="str">
        <f>IFERROR(VLOOKUP(B202,'03. THIẾT BỊ'!$B$1:$S$836,13,0),"")</f>
        <v>TRUNG QUỐC</v>
      </c>
      <c r="O202" s="470" t="str">
        <f>IFERROR(VLOOKUP(B202,'03. THIẾT BỊ'!$B$1:$S$836,14,0),"")</f>
        <v>2.2m</v>
      </c>
      <c r="P202" s="468" t="str">
        <f>IFERROR(VLOOKUP(B202,'03. THIẾT BỊ'!$B$1:$S$836,15,0),"")</f>
        <v>TRUNG QUỐC</v>
      </c>
      <c r="Q202" s="48" t="str">
        <f>IFERROR(VLOOKUP(B202,'03. THIẾT BỊ'!$B$1:$S$836,16,0),"")</f>
        <v/>
      </c>
      <c r="R202" s="471" t="str">
        <f>IFERROR(VLOOKUP(B202,'03. THIẾT BỊ'!$B$1:$S$836,17,0),"")</f>
        <v/>
      </c>
      <c r="S202" s="468" t="str">
        <f>IFERROR(VLOOKUP(B202,'03. THIẾT BỊ'!$B$1:$S$836,18,0),"")</f>
        <v/>
      </c>
      <c r="T202" s="812"/>
    </row>
    <row r="203" ht="15.0" customHeight="1">
      <c r="A203" s="463">
        <f t="shared" si="7"/>
        <v>4</v>
      </c>
      <c r="B203" s="464" t="s">
        <v>3658</v>
      </c>
      <c r="C203" s="869" t="str">
        <f>IFERROR(VLOOKUP(B203,'03. THIẾT BỊ'!$B$1:$S$836,2,0),"")</f>
        <v/>
      </c>
      <c r="D203" s="470" t="str">
        <f>IFERROR(VLOOKUP(B203,'03. THIẾT BỊ'!$B$1:$S$836,3,0),"")</f>
        <v>A23-XOI-009</v>
      </c>
      <c r="E203" s="464" t="str">
        <f>IFERROR(VLOOKUP(B203,'03. THIẾT BỊ'!$B$1:$S$836,4,0),"")</f>
        <v>MUA MỚI</v>
      </c>
      <c r="F203" s="464" t="str">
        <f>IFERROR(VLOOKUP(B203,'03. THIẾT BỊ'!$B$1:$S$836,5,0),"")</f>
        <v>Thiết bị xới đất 2.2m</v>
      </c>
      <c r="G203" s="80" t="s">
        <v>6423</v>
      </c>
      <c r="H203" s="463" t="str">
        <f>IFERROR(VLOOKUP(B203,'03. THIẾT BỊ'!$B$1:$S$836,7,0),"")</f>
        <v>CGLĐ DP</v>
      </c>
      <c r="I203" s="474">
        <f>IFERROR(VLOOKUP(B203,'03. THIẾT BỊ'!$B$1:$S$836,8,0),"")</f>
        <v>45424</v>
      </c>
      <c r="J203" s="471"/>
      <c r="K203" s="463" t="str">
        <f>IFERROR(VLOOKUP(B203,'03. THIẾT BỊ'!$B$1:$S$836,10,0),"")</f>
        <v>Bình thường</v>
      </c>
      <c r="L203" s="468" t="str">
        <f>IFERROR(VLOOKUP(B203,'03. THIẾT BỊ'!$B$1:$S$836,11,0),"")</f>
        <v>Đầu tư mới</v>
      </c>
      <c r="M203" s="472" t="str">
        <f>IFERROR(VLOOKUP(B203,'03. THIẾT BỊ'!$B$1:$S$836,12,0),"")</f>
        <v/>
      </c>
      <c r="N203" s="468" t="str">
        <f>IFERROR(VLOOKUP(B203,'03. THIẾT BỊ'!$B$1:$S$836,13,0),"")</f>
        <v>TRUNG QUỐC</v>
      </c>
      <c r="O203" s="470" t="str">
        <f>IFERROR(VLOOKUP(B203,'03. THIẾT BỊ'!$B$1:$S$836,14,0),"")</f>
        <v>2.2m</v>
      </c>
      <c r="P203" s="468" t="str">
        <f>IFERROR(VLOOKUP(B203,'03. THIẾT BỊ'!$B$1:$S$836,15,0),"")</f>
        <v>TRUNG QUỐC</v>
      </c>
      <c r="Q203" s="48" t="str">
        <f>IFERROR(VLOOKUP(B203,'03. THIẾT BỊ'!$B$1:$S$836,16,0),"")</f>
        <v/>
      </c>
      <c r="R203" s="471" t="str">
        <f>IFERROR(VLOOKUP(B203,'03. THIẾT BỊ'!$B$1:$S$836,17,0),"")</f>
        <v/>
      </c>
      <c r="S203" s="468" t="str">
        <f>IFERROR(VLOOKUP(B203,'03. THIẾT BỊ'!$B$1:$S$836,18,0),"")</f>
        <v/>
      </c>
      <c r="T203" s="812"/>
    </row>
    <row r="204" ht="15.0" customHeight="1">
      <c r="A204" s="463">
        <f t="shared" si="7"/>
        <v>5</v>
      </c>
      <c r="B204" s="464" t="s">
        <v>3758</v>
      </c>
      <c r="C204" s="869" t="str">
        <f>IFERROR(VLOOKUP(B204,'03. THIẾT BỊ'!$B$1:$S$836,2,0),"")</f>
        <v>CNN-XOI-006</v>
      </c>
      <c r="D204" s="470" t="str">
        <f>IFERROR(VLOOKUP(B204,'03. THIẾT BỊ'!$B$1:$S$836,3,0),"")</f>
        <v>A24-XOI-004</v>
      </c>
      <c r="E204" s="464" t="str">
        <f>IFERROR(VLOOKUP(B204,'03. THIẾT BỊ'!$B$1:$S$836,4,0),"")</f>
        <v>ĐQSD</v>
      </c>
      <c r="F204" s="464" t="str">
        <f>IFERROR(VLOOKUP(B204,'03. THIẾT BỊ'!$B$1:$S$836,5,0),"")</f>
        <v>Thiết bị xới đất 2.2m</v>
      </c>
      <c r="G204" s="80" t="s">
        <v>6423</v>
      </c>
      <c r="H204" s="463" t="str">
        <f>IFERROR(VLOOKUP(B204,'03. THIẾT BỊ'!$B$1:$S$836,7,0),"")</f>
        <v>CGLĐ LP</v>
      </c>
      <c r="I204" s="474" t="str">
        <f>IFERROR(VLOOKUP(B204,'03. THIẾT BỊ'!$B$1:$S$836,8,0),"")</f>
        <v/>
      </c>
      <c r="J204" s="471"/>
      <c r="K204" s="463" t="str">
        <f>IFERROR(VLOOKUP(B204,'03. THIẾT BỊ'!$B$1:$S$836,10,0),"")</f>
        <v>Bình thường</v>
      </c>
      <c r="L204" s="468" t="str">
        <f>IFERROR(VLOOKUP(B204,'03. THIẾT BỊ'!$B$1:$S$836,11,0),"")</f>
        <v/>
      </c>
      <c r="M204" s="472" t="str">
        <f>IFERROR(VLOOKUP(B204,'03. THIẾT BỊ'!$B$1:$S$836,12,0),"")</f>
        <v/>
      </c>
      <c r="N204" s="468" t="str">
        <f>IFERROR(VLOOKUP(B204,'03. THIẾT BỊ'!$B$1:$S$836,13,0),"")</f>
        <v>CAMBODIA</v>
      </c>
      <c r="O204" s="470" t="str">
        <f>IFERROR(VLOOKUP(B204,'03. THIẾT BỊ'!$B$1:$S$836,14,0),"")</f>
        <v>2.2m</v>
      </c>
      <c r="P204" s="468" t="str">
        <f>IFERROR(VLOOKUP(B204,'03. THIẾT BỊ'!$B$1:$S$836,15,0),"")</f>
        <v>CAMBODIA</v>
      </c>
      <c r="Q204" s="48" t="str">
        <f>IFERROR(VLOOKUP(B204,'03. THIẾT BỊ'!$B$1:$S$836,16,0),"")</f>
        <v/>
      </c>
      <c r="R204" s="471" t="str">
        <f>IFERROR(VLOOKUP(B204,'03. THIẾT BỊ'!$B$1:$S$836,17,0),"")</f>
        <v/>
      </c>
      <c r="S204" s="468" t="str">
        <f>IFERROR(VLOOKUP(B204,'03. THIẾT BỊ'!$B$1:$S$836,18,0),"")</f>
        <v/>
      </c>
      <c r="T204" s="812"/>
    </row>
    <row r="205" ht="15.0" customHeight="1">
      <c r="A205" s="463">
        <f t="shared" si="7"/>
        <v>6</v>
      </c>
      <c r="B205" s="486" t="s">
        <v>3779</v>
      </c>
      <c r="C205" s="869" t="str">
        <f>IFERROR(VLOOKUP(B205,'03. THIẾT BỊ'!$B$1:$S$836,2,0),"")</f>
        <v>P2M2 03</v>
      </c>
      <c r="D205" s="470" t="str">
        <f>IFERROR(VLOOKUP(B205,'03. THIẾT BỊ'!$B$1:$S$836,3,0),"")</f>
        <v>A24-XOI-003</v>
      </c>
      <c r="E205" s="464" t="str">
        <f>IFERROR(VLOOKUP(B205,'03. THIẾT BỊ'!$B$1:$S$836,4,0),"")</f>
        <v>ĐQSD</v>
      </c>
      <c r="F205" s="464" t="str">
        <f>IFERROR(VLOOKUP(B205,'03. THIẾT BỊ'!$B$1:$S$836,5,0),"")</f>
        <v>Thiết bị xới đất 2.2m</v>
      </c>
      <c r="G205" s="80" t="s">
        <v>6423</v>
      </c>
      <c r="H205" s="463" t="str">
        <f>IFERROR(VLOOKUP(B205,'03. THIẾT BỊ'!$B$1:$S$836,7,0),"")</f>
        <v>CGLĐ LP</v>
      </c>
      <c r="I205" s="474" t="str">
        <f>IFERROR(VLOOKUP(B205,'03. THIẾT BỊ'!$B$1:$S$836,8,0),"")</f>
        <v/>
      </c>
      <c r="J205" s="471"/>
      <c r="K205" s="463" t="str">
        <f>IFERROR(VLOOKUP(B205,'03. THIẾT BỊ'!$B$1:$S$836,10,0),"")</f>
        <v>Bình thường</v>
      </c>
      <c r="L205" s="468" t="str">
        <f>IFERROR(VLOOKUP(B205,'03. THIẾT BỊ'!$B$1:$S$836,11,0),"")</f>
        <v/>
      </c>
      <c r="M205" s="472" t="str">
        <f>IFERROR(VLOOKUP(B205,'03. THIẾT BỊ'!$B$1:$S$836,12,0),"")</f>
        <v/>
      </c>
      <c r="N205" s="468" t="str">
        <f>IFERROR(VLOOKUP(B205,'03. THIẾT BỊ'!$B$1:$S$836,13,0),"")</f>
        <v>CAMBODIA</v>
      </c>
      <c r="O205" s="470" t="str">
        <f>IFERROR(VLOOKUP(B205,'03. THIẾT BỊ'!$B$1:$S$836,14,0),"")</f>
        <v>2.2m</v>
      </c>
      <c r="P205" s="468" t="str">
        <f>IFERROR(VLOOKUP(B205,'03. THIẾT BỊ'!$B$1:$S$836,15,0),"")</f>
        <v>CAMBODIA</v>
      </c>
      <c r="Q205" s="48" t="str">
        <f>IFERROR(VLOOKUP(B205,'03. THIẾT BỊ'!$B$1:$S$836,16,0),"")</f>
        <v/>
      </c>
      <c r="R205" s="471" t="str">
        <f>IFERROR(VLOOKUP(B205,'03. THIẾT BỊ'!$B$1:$S$836,17,0),"")</f>
        <v/>
      </c>
      <c r="S205" s="468" t="str">
        <f>IFERROR(VLOOKUP(B205,'03. THIẾT BỊ'!$B$1:$S$836,18,0),"")</f>
        <v/>
      </c>
      <c r="T205" s="826"/>
    </row>
    <row r="206" ht="15.0" customHeight="1">
      <c r="A206" s="463">
        <f t="shared" si="7"/>
        <v>7</v>
      </c>
      <c r="B206" s="486" t="s">
        <v>3782</v>
      </c>
      <c r="C206" s="869" t="str">
        <f>IFERROR(VLOOKUP(B206,'03. THIẾT BỊ'!$B$1:$S$836,2,0),"")</f>
        <v/>
      </c>
      <c r="D206" s="470" t="str">
        <f>IFERROR(VLOOKUP(B206,'03. THIẾT BỊ'!$B$1:$S$836,3,0),"")</f>
        <v>A24-XOI-009</v>
      </c>
      <c r="E206" s="464" t="str">
        <f>IFERROR(VLOOKUP(B206,'03. THIẾT BỊ'!$B$1:$S$836,4,0),"")</f>
        <v>MUA MỚI</v>
      </c>
      <c r="F206" s="464" t="str">
        <f>IFERROR(VLOOKUP(B206,'03. THIẾT BỊ'!$B$1:$S$836,5,0),"")</f>
        <v>Thiết bị xới đất 2.2m</v>
      </c>
      <c r="G206" s="80" t="s">
        <v>6423</v>
      </c>
      <c r="H206" s="463" t="str">
        <f>IFERROR(VLOOKUP(B206,'03. THIẾT BỊ'!$B$1:$S$836,7,0),"")</f>
        <v>CGLĐ LP</v>
      </c>
      <c r="I206" s="474">
        <f>IFERROR(VLOOKUP(B206,'03. THIẾT BỊ'!$B$1:$S$836,8,0),"")</f>
        <v>45424</v>
      </c>
      <c r="J206" s="471"/>
      <c r="K206" s="463" t="str">
        <f>IFERROR(VLOOKUP(B206,'03. THIẾT BỊ'!$B$1:$S$836,10,0),"")</f>
        <v>Bình thường</v>
      </c>
      <c r="L206" s="468" t="str">
        <f>IFERROR(VLOOKUP(B206,'03. THIẾT BỊ'!$B$1:$S$836,11,0),"")</f>
        <v>Đầu tư mới</v>
      </c>
      <c r="M206" s="472" t="str">
        <f>IFERROR(VLOOKUP(B206,'03. THIẾT BỊ'!$B$1:$S$836,12,0),"")</f>
        <v/>
      </c>
      <c r="N206" s="468" t="str">
        <f>IFERROR(VLOOKUP(B206,'03. THIẾT BỊ'!$B$1:$S$836,13,0),"")</f>
        <v>CAMBODIA</v>
      </c>
      <c r="O206" s="470" t="str">
        <f>IFERROR(VLOOKUP(B206,'03. THIẾT BỊ'!$B$1:$S$836,14,0),"")</f>
        <v>2.2m</v>
      </c>
      <c r="P206" s="468" t="str">
        <f>IFERROR(VLOOKUP(B206,'03. THIẾT BỊ'!$B$1:$S$836,15,0),"")</f>
        <v>CAMBODIA</v>
      </c>
      <c r="Q206" s="48" t="str">
        <f>IFERROR(VLOOKUP(B206,'03. THIẾT BỊ'!$B$1:$S$836,16,0),"")</f>
        <v/>
      </c>
      <c r="R206" s="471" t="str">
        <f>IFERROR(VLOOKUP(B206,'03. THIẾT BỊ'!$B$1:$S$836,17,0),"")</f>
        <v/>
      </c>
      <c r="S206" s="468" t="str">
        <f>IFERROR(VLOOKUP(B206,'03. THIẾT BỊ'!$B$1:$S$836,18,0),"")</f>
        <v/>
      </c>
      <c r="T206" s="826"/>
    </row>
    <row r="207" ht="15.0" customHeight="1">
      <c r="A207" s="463">
        <f t="shared" si="7"/>
        <v>8</v>
      </c>
      <c r="B207" s="464" t="s">
        <v>3759</v>
      </c>
      <c r="C207" s="869" t="str">
        <f>IFERROR(VLOOKUP(B207,'03. THIẾT BỊ'!$B$1:$S$836,2,0),"")</f>
        <v/>
      </c>
      <c r="D207" s="470" t="str">
        <f>IFERROR(VLOOKUP(B207,'03. THIẾT BỊ'!$B$1:$S$836,3,0),"")</f>
        <v>A22-XOI-006</v>
      </c>
      <c r="E207" s="464" t="str">
        <f>IFERROR(VLOOKUP(B207,'03. THIẾT BỊ'!$B$1:$S$836,4,0),"")</f>
        <v>ĐQSD</v>
      </c>
      <c r="F207" s="464" t="str">
        <f>IFERROR(VLOOKUP(B207,'03. THIẾT BỊ'!$B$1:$S$836,5,0),"")</f>
        <v>Thiết bị xới đất 2.2m</v>
      </c>
      <c r="G207" s="80" t="s">
        <v>6423</v>
      </c>
      <c r="H207" s="463" t="str">
        <f>IFERROR(VLOOKUP(B207,'03. THIẾT BỊ'!$B$1:$S$836,7,0),"")</f>
        <v>XN Bò AD</v>
      </c>
      <c r="I207" s="474">
        <f>IFERROR(VLOOKUP(B207,'03. THIẾT BỊ'!$B$1:$S$836,8,0),"")</f>
        <v>44927</v>
      </c>
      <c r="J207" s="471"/>
      <c r="K207" s="463" t="str">
        <f>IFERROR(VLOOKUP(B207,'03. THIẾT BỊ'!$B$1:$S$836,10,0),"")</f>
        <v>Bình thường</v>
      </c>
      <c r="L207" s="468" t="str">
        <f>IFERROR(VLOOKUP(B207,'03. THIẾT BỊ'!$B$1:$S$836,11,0),"")</f>
        <v/>
      </c>
      <c r="M207" s="472" t="str">
        <f>IFERROR(VLOOKUP(B207,'03. THIẾT BỊ'!$B$1:$S$836,12,0),"")</f>
        <v/>
      </c>
      <c r="N207" s="468" t="str">
        <f>IFERROR(VLOOKUP(B207,'03. THIẾT BỊ'!$B$1:$S$836,13,0),"")</f>
        <v>CAMBODIA</v>
      </c>
      <c r="O207" s="470" t="str">
        <f>IFERROR(VLOOKUP(B207,'03. THIẾT BỊ'!$B$1:$S$836,14,0),"")</f>
        <v>2.2m</v>
      </c>
      <c r="P207" s="468" t="str">
        <f>IFERROR(VLOOKUP(B207,'03. THIẾT BỊ'!$B$1:$S$836,15,0),"")</f>
        <v>CAMBODIA</v>
      </c>
      <c r="Q207" s="48" t="str">
        <f>IFERROR(VLOOKUP(B207,'03. THIẾT BỊ'!$B$1:$S$836,16,0),"")</f>
        <v/>
      </c>
      <c r="R207" s="471" t="str">
        <f>IFERROR(VLOOKUP(B207,'03. THIẾT BỊ'!$B$1:$S$836,17,0),"")</f>
        <v/>
      </c>
      <c r="S207" s="468" t="str">
        <f>IFERROR(VLOOKUP(B207,'03. THIẾT BỊ'!$B$1:$S$836,18,0),"")</f>
        <v/>
      </c>
      <c r="T207" s="812"/>
    </row>
    <row r="208" ht="15.0" customHeight="1">
      <c r="A208" s="463">
        <f t="shared" si="7"/>
        <v>9</v>
      </c>
      <c r="B208" s="464" t="s">
        <v>4903</v>
      </c>
      <c r="C208" s="869" t="str">
        <f>IFERROR(VLOOKUP(B208,'03. THIẾT BỊ'!$B$1:$S$836,2,0),"")</f>
        <v>CNN-XOI-005(P2M2 05 NN-KLH)</v>
      </c>
      <c r="D208" s="470" t="str">
        <f>IFERROR(VLOOKUP(B208,'03. THIẾT BỊ'!$B$1:$S$836,3,0),"")</f>
        <v>A22-XOI-001</v>
      </c>
      <c r="E208" s="464" t="str">
        <f>IFERROR(VLOOKUP(B208,'03. THIẾT BỊ'!$B$1:$S$836,4,0),"")</f>
        <v>ĐQSD</v>
      </c>
      <c r="F208" s="464" t="str">
        <f>IFERROR(VLOOKUP(B208,'03. THIẾT BỊ'!$B$1:$S$836,5,0),"")</f>
        <v>Thiết bị xới đất 2.2m</v>
      </c>
      <c r="G208" s="80" t="s">
        <v>6423</v>
      </c>
      <c r="H208" s="463" t="str">
        <f>IFERROR(VLOOKUP(B208,'03. THIẾT BỊ'!$B$1:$S$836,7,0),"")</f>
        <v>Xoài AD</v>
      </c>
      <c r="I208" s="474" t="str">
        <f>IFERROR(VLOOKUP(B208,'03. THIẾT BỊ'!$B$1:$S$836,8,0),"")</f>
        <v>25/02/2024</v>
      </c>
      <c r="J208" s="471"/>
      <c r="K208" s="463" t="str">
        <f>IFERROR(VLOOKUP(B208,'03. THIẾT BỊ'!$B$1:$S$836,10,0),"")</f>
        <v>Bình thường</v>
      </c>
      <c r="L208" s="468" t="str">
        <f>IFERROR(VLOOKUP(B208,'03. THIẾT BỊ'!$B$1:$S$836,11,0),"")</f>
        <v>CGLD AD chuyển qa</v>
      </c>
      <c r="M208" s="472" t="str">
        <f>IFERROR(VLOOKUP(B208,'03. THIẾT BỊ'!$B$1:$S$836,12,0),"")</f>
        <v/>
      </c>
      <c r="N208" s="468" t="str">
        <f>IFERROR(VLOOKUP(B208,'03. THIẾT BỊ'!$B$1:$S$836,13,0),"")</f>
        <v>CAMBODIA</v>
      </c>
      <c r="O208" s="470" t="str">
        <f>IFERROR(VLOOKUP(B208,'03. THIẾT BỊ'!$B$1:$S$836,14,0),"")</f>
        <v>2.2m</v>
      </c>
      <c r="P208" s="468" t="str">
        <f>IFERROR(VLOOKUP(B208,'03. THIẾT BỊ'!$B$1:$S$836,15,0),"")</f>
        <v>CK-CGH</v>
      </c>
      <c r="Q208" s="48" t="str">
        <f>IFERROR(VLOOKUP(B208,'03. THIẾT BỊ'!$B$1:$S$836,16,0),"")</f>
        <v/>
      </c>
      <c r="R208" s="471" t="str">
        <f>IFERROR(VLOOKUP(B208,'03. THIẾT BỊ'!$B$1:$S$836,17,0),"")</f>
        <v/>
      </c>
      <c r="S208" s="468" t="str">
        <f>IFERROR(VLOOKUP(B208,'03. THIẾT BỊ'!$B$1:$S$836,18,0),"")</f>
        <v/>
      </c>
      <c r="T208" s="959"/>
    </row>
    <row r="209" ht="15.0" customHeight="1">
      <c r="A209" s="1236"/>
      <c r="B209" s="812"/>
      <c r="C209" s="869" t="str">
        <f>IFERROR(VLOOKUP(B209,'03. THIẾT BỊ'!$B$1:$S$836,2,0),"")</f>
        <v/>
      </c>
      <c r="D209" s="470" t="str">
        <f>IFERROR(VLOOKUP(B209,'03. THIẾT BỊ'!$B$1:$S$836,3,0),"")</f>
        <v/>
      </c>
      <c r="E209" s="464" t="str">
        <f>IFERROR(VLOOKUP(B209,'03. THIẾT BỊ'!$B$1:$S$836,4,0),"")</f>
        <v/>
      </c>
      <c r="F209" s="464" t="str">
        <f>IFERROR(VLOOKUP(B209,'03. THIẾT BỊ'!$B$1:$S$836,5,0),"")</f>
        <v/>
      </c>
      <c r="G209" s="80" t="s">
        <v>6423</v>
      </c>
      <c r="H209" s="463" t="str">
        <f>IFERROR(VLOOKUP(B209,'03. THIẾT BỊ'!$B$1:$S$836,7,0),"")</f>
        <v/>
      </c>
      <c r="I209" s="474" t="str">
        <f>IFERROR(VLOOKUP(B209,'03. THIẾT BỊ'!$B$1:$S$836,8,0),"")</f>
        <v/>
      </c>
      <c r="J209" s="471"/>
      <c r="K209" s="463" t="str">
        <f>IFERROR(VLOOKUP(B209,'03. THIẾT BỊ'!$B$1:$S$836,10,0),"")</f>
        <v/>
      </c>
      <c r="L209" s="468" t="str">
        <f>IFERROR(VLOOKUP(B209,'03. THIẾT BỊ'!$B$1:$S$836,11,0),"")</f>
        <v/>
      </c>
      <c r="M209" s="472" t="str">
        <f>IFERROR(VLOOKUP(B209,'03. THIẾT BỊ'!$B$1:$S$836,12,0),"")</f>
        <v/>
      </c>
      <c r="N209" s="468" t="str">
        <f>IFERROR(VLOOKUP(B209,'03. THIẾT BỊ'!$B$1:$S$836,13,0),"")</f>
        <v/>
      </c>
      <c r="O209" s="470" t="str">
        <f>IFERROR(VLOOKUP(B209,'03. THIẾT BỊ'!$B$1:$S$836,14,0),"")</f>
        <v/>
      </c>
      <c r="P209" s="468" t="str">
        <f>IFERROR(VLOOKUP(B209,'03. THIẾT BỊ'!$B$1:$S$836,15,0),"")</f>
        <v/>
      </c>
      <c r="Q209" s="48" t="str">
        <f>IFERROR(VLOOKUP(B209,'03. THIẾT BỊ'!$B$1:$S$836,16,0),"")</f>
        <v/>
      </c>
      <c r="R209" s="471" t="str">
        <f>IFERROR(VLOOKUP(B209,'03. THIẾT BỊ'!$B$1:$S$836,17,0),"")</f>
        <v/>
      </c>
      <c r="S209" s="468" t="str">
        <f>IFERROR(VLOOKUP(B209,'03. THIẾT BỊ'!$B$1:$S$836,18,0),"")</f>
        <v/>
      </c>
      <c r="T209" s="812"/>
    </row>
    <row r="210" ht="15.0" hidden="1" customHeight="1">
      <c r="A210" s="1236"/>
      <c r="B210" s="812"/>
      <c r="C210" s="869" t="str">
        <f>IFERROR(VLOOKUP(B210,'03. THIẾT BỊ'!$B$1:$S$836,2,0),"")</f>
        <v/>
      </c>
      <c r="D210" s="470" t="str">
        <f>IFERROR(VLOOKUP(B210,'03. THIẾT BỊ'!$B$1:$S$836,3,0),"")</f>
        <v/>
      </c>
      <c r="E210" s="464" t="str">
        <f>IFERROR(VLOOKUP(B210,'03. THIẾT BỊ'!$B$1:$S$836,4,0),"")</f>
        <v/>
      </c>
      <c r="F210" s="464" t="str">
        <f>IFERROR(VLOOKUP(B210,'03. THIẾT BỊ'!$B$1:$S$836,5,0),"")</f>
        <v/>
      </c>
      <c r="G210" s="80" t="s">
        <v>6423</v>
      </c>
      <c r="H210" s="463" t="str">
        <f>IFERROR(VLOOKUP(B210,'03. THIẾT BỊ'!$B$1:$S$836,7,0),"")</f>
        <v/>
      </c>
      <c r="I210" s="474" t="str">
        <f>IFERROR(VLOOKUP(B210,'03. THIẾT BỊ'!$B$1:$S$836,8,0),"")</f>
        <v/>
      </c>
      <c r="J210" s="471"/>
      <c r="K210" s="463" t="str">
        <f>IFERROR(VLOOKUP(B210,'03. THIẾT BỊ'!$B$1:$S$836,10,0),"")</f>
        <v/>
      </c>
      <c r="L210" s="468" t="str">
        <f>IFERROR(VLOOKUP(B210,'03. THIẾT BỊ'!$B$1:$S$836,11,0),"")</f>
        <v/>
      </c>
      <c r="M210" s="472" t="str">
        <f>IFERROR(VLOOKUP(B210,'03. THIẾT BỊ'!$B$1:$S$836,12,0),"")</f>
        <v/>
      </c>
      <c r="N210" s="468" t="str">
        <f>IFERROR(VLOOKUP(B210,'03. THIẾT BỊ'!$B$1:$S$836,13,0),"")</f>
        <v/>
      </c>
      <c r="O210" s="470" t="str">
        <f>IFERROR(VLOOKUP(B210,'03. THIẾT BỊ'!$B$1:$S$836,14,0),"")</f>
        <v/>
      </c>
      <c r="P210" s="468" t="str">
        <f>IFERROR(VLOOKUP(B210,'03. THIẾT BỊ'!$B$1:$S$836,15,0),"")</f>
        <v/>
      </c>
      <c r="Q210" s="48" t="str">
        <f>IFERROR(VLOOKUP(B210,'03. THIẾT BỊ'!$B$1:$S$836,16,0),"")</f>
        <v/>
      </c>
      <c r="R210" s="471" t="str">
        <f>IFERROR(VLOOKUP(B210,'03. THIẾT BỊ'!$B$1:$S$836,17,0),"")</f>
        <v/>
      </c>
      <c r="S210" s="468" t="str">
        <f>IFERROR(VLOOKUP(B210,'03. THIẾT BỊ'!$B$1:$S$836,18,0),"")</f>
        <v/>
      </c>
      <c r="T210" s="812"/>
    </row>
    <row r="211" ht="15.0" hidden="1" customHeight="1">
      <c r="A211" s="1236"/>
      <c r="B211" s="812"/>
      <c r="C211" s="869" t="str">
        <f>IFERROR(VLOOKUP(B211,'03. THIẾT BỊ'!$B$1:$S$836,2,0),"")</f>
        <v/>
      </c>
      <c r="D211" s="470" t="str">
        <f>IFERROR(VLOOKUP(B211,'03. THIẾT BỊ'!$B$1:$S$836,3,0),"")</f>
        <v/>
      </c>
      <c r="E211" s="464" t="str">
        <f>IFERROR(VLOOKUP(B211,'03. THIẾT BỊ'!$B$1:$S$836,4,0),"")</f>
        <v/>
      </c>
      <c r="F211" s="464" t="str">
        <f>IFERROR(VLOOKUP(B211,'03. THIẾT BỊ'!$B$1:$S$836,5,0),"")</f>
        <v/>
      </c>
      <c r="G211" s="80" t="s">
        <v>6423</v>
      </c>
      <c r="H211" s="463" t="str">
        <f>IFERROR(VLOOKUP(B211,'03. THIẾT BỊ'!$B$1:$S$836,7,0),"")</f>
        <v/>
      </c>
      <c r="I211" s="474" t="str">
        <f>IFERROR(VLOOKUP(B211,'03. THIẾT BỊ'!$B$1:$S$836,8,0),"")</f>
        <v/>
      </c>
      <c r="J211" s="471"/>
      <c r="K211" s="463" t="str">
        <f>IFERROR(VLOOKUP(B211,'03. THIẾT BỊ'!$B$1:$S$836,10,0),"")</f>
        <v/>
      </c>
      <c r="L211" s="468" t="str">
        <f>IFERROR(VLOOKUP(B211,'03. THIẾT BỊ'!$B$1:$S$836,11,0),"")</f>
        <v/>
      </c>
      <c r="M211" s="472" t="str">
        <f>IFERROR(VLOOKUP(B211,'03. THIẾT BỊ'!$B$1:$S$836,12,0),"")</f>
        <v/>
      </c>
      <c r="N211" s="468" t="str">
        <f>IFERROR(VLOOKUP(B211,'03. THIẾT BỊ'!$B$1:$S$836,13,0),"")</f>
        <v/>
      </c>
      <c r="O211" s="470" t="str">
        <f>IFERROR(VLOOKUP(B211,'03. THIẾT BỊ'!$B$1:$S$836,14,0),"")</f>
        <v/>
      </c>
      <c r="P211" s="468" t="str">
        <f>IFERROR(VLOOKUP(B211,'03. THIẾT BỊ'!$B$1:$S$836,15,0),"")</f>
        <v/>
      </c>
      <c r="Q211" s="48" t="str">
        <f>IFERROR(VLOOKUP(B211,'03. THIẾT BỊ'!$B$1:$S$836,16,0),"")</f>
        <v/>
      </c>
      <c r="R211" s="471" t="str">
        <f>IFERROR(VLOOKUP(B211,'03. THIẾT BỊ'!$B$1:$S$836,17,0),"")</f>
        <v/>
      </c>
      <c r="S211" s="468" t="str">
        <f>IFERROR(VLOOKUP(B211,'03. THIẾT BỊ'!$B$1:$S$836,18,0),"")</f>
        <v/>
      </c>
      <c r="T211" s="812"/>
    </row>
    <row r="212" ht="15.0" hidden="1" customHeight="1">
      <c r="A212" s="1236"/>
      <c r="B212" s="812"/>
      <c r="C212" s="869" t="str">
        <f>IFERROR(VLOOKUP(B212,'03. THIẾT BỊ'!$B$1:$S$836,2,0),"")</f>
        <v/>
      </c>
      <c r="D212" s="470" t="str">
        <f>IFERROR(VLOOKUP(B212,'03. THIẾT BỊ'!$B$1:$S$836,3,0),"")</f>
        <v/>
      </c>
      <c r="E212" s="464" t="str">
        <f>IFERROR(VLOOKUP(B212,'03. THIẾT BỊ'!$B$1:$S$836,4,0),"")</f>
        <v/>
      </c>
      <c r="F212" s="464" t="str">
        <f>IFERROR(VLOOKUP(B212,'03. THIẾT BỊ'!$B$1:$S$836,5,0),"")</f>
        <v/>
      </c>
      <c r="G212" s="80" t="s">
        <v>6423</v>
      </c>
      <c r="H212" s="463" t="str">
        <f>IFERROR(VLOOKUP(B212,'03. THIẾT BỊ'!$B$1:$S$836,7,0),"")</f>
        <v/>
      </c>
      <c r="I212" s="474" t="str">
        <f>IFERROR(VLOOKUP(B212,'03. THIẾT BỊ'!$B$1:$S$836,8,0),"")</f>
        <v/>
      </c>
      <c r="J212" s="471"/>
      <c r="K212" s="463" t="str">
        <f>IFERROR(VLOOKUP(B212,'03. THIẾT BỊ'!$B$1:$S$836,10,0),"")</f>
        <v/>
      </c>
      <c r="L212" s="468" t="str">
        <f>IFERROR(VLOOKUP(B212,'03. THIẾT BỊ'!$B$1:$S$836,11,0),"")</f>
        <v/>
      </c>
      <c r="M212" s="472" t="str">
        <f>IFERROR(VLOOKUP(B212,'03. THIẾT BỊ'!$B$1:$S$836,12,0),"")</f>
        <v/>
      </c>
      <c r="N212" s="468" t="str">
        <f>IFERROR(VLOOKUP(B212,'03. THIẾT BỊ'!$B$1:$S$836,13,0),"")</f>
        <v/>
      </c>
      <c r="O212" s="470" t="str">
        <f>IFERROR(VLOOKUP(B212,'03. THIẾT BỊ'!$B$1:$S$836,14,0),"")</f>
        <v/>
      </c>
      <c r="P212" s="468" t="str">
        <f>IFERROR(VLOOKUP(B212,'03. THIẾT BỊ'!$B$1:$S$836,15,0),"")</f>
        <v/>
      </c>
      <c r="Q212" s="48" t="str">
        <f>IFERROR(VLOOKUP(B212,'03. THIẾT BỊ'!$B$1:$S$836,16,0),"")</f>
        <v/>
      </c>
      <c r="R212" s="471" t="str">
        <f>IFERROR(VLOOKUP(B212,'03. THIẾT BỊ'!$B$1:$S$836,17,0),"")</f>
        <v/>
      </c>
      <c r="S212" s="468" t="str">
        <f>IFERROR(VLOOKUP(B212,'03. THIẾT BỊ'!$B$1:$S$836,18,0),"")</f>
        <v/>
      </c>
      <c r="T212" s="812"/>
    </row>
    <row r="213" ht="15.0" customHeight="1">
      <c r="A213" s="455" t="s">
        <v>76</v>
      </c>
      <c r="B213" s="456" t="s">
        <v>8138</v>
      </c>
      <c r="C213" s="457">
        <f>COUNTA(B214:B222)</f>
        <v>8</v>
      </c>
      <c r="D213" s="458" t="str">
        <f>IFERROR(VLOOKUP(B213,'03. THIẾT BỊ'!$B$1:$S$836,3,0),"")</f>
        <v/>
      </c>
      <c r="E213" s="464" t="str">
        <f>IFERROR(VLOOKUP(B213,'03. THIẾT BỊ'!$B$1:$S$836,4,0),"")</f>
        <v/>
      </c>
      <c r="F213" s="458" t="str">
        <f>IFERROR(VLOOKUP(B213,'03. THIẾT BỊ'!$B$1:$S$836,5,0),"")</f>
        <v/>
      </c>
      <c r="G213" s="459" t="s">
        <v>6423</v>
      </c>
      <c r="H213" s="459" t="str">
        <f>IFERROR(VLOOKUP(B213,'03. THIẾT BỊ'!$B$1:$S$836,7,0),"")</f>
        <v/>
      </c>
      <c r="I213" s="457" t="str">
        <f>IFERROR(VLOOKUP(B213,'03. THIẾT BỊ'!$B$1:$S$836,8,0),"")</f>
        <v/>
      </c>
      <c r="J213" s="460"/>
      <c r="K213" s="457" t="str">
        <f>IFERROR(VLOOKUP(B213,'03. THIẾT BỊ'!$B$1:$S$836,10,0),"")</f>
        <v/>
      </c>
      <c r="L213" s="458" t="str">
        <f>IFERROR(VLOOKUP(B213,'03. THIẾT BỊ'!$B$1:$S$836,11,0),"")</f>
        <v/>
      </c>
      <c r="M213" s="461" t="str">
        <f>IFERROR(VLOOKUP(B213,'03. THIẾT BỊ'!$B$1:$S$836,12,0),"")</f>
        <v/>
      </c>
      <c r="N213" s="458" t="str">
        <f>IFERROR(VLOOKUP(B213,'03. THIẾT BỊ'!$B$1:$S$836,13,0),"")</f>
        <v/>
      </c>
      <c r="O213" s="461" t="str">
        <f>IFERROR(VLOOKUP(B213,'03. THIẾT BỊ'!$B$1:$S$836,14,0),"")</f>
        <v/>
      </c>
      <c r="P213" s="458" t="str">
        <f>IFERROR(VLOOKUP(B213,'03. THIẾT BỊ'!$B$1:$S$836,15,0),"")</f>
        <v/>
      </c>
      <c r="Q213" s="459" t="str">
        <f>IFERROR(VLOOKUP(B213,'03. THIẾT BỊ'!$B$1:$S$836,16,0),"")</f>
        <v/>
      </c>
      <c r="R213" s="458" t="str">
        <f>IFERROR(VLOOKUP(B213,'03. THIẾT BỊ'!$B$1:$S$836,17,0),"")</f>
        <v/>
      </c>
      <c r="S213" s="458" t="str">
        <f>IFERROR(VLOOKUP(B213,'03. THIẾT BỊ'!$B$1:$S$836,18,0),"")</f>
        <v/>
      </c>
      <c r="T213" s="866"/>
    </row>
    <row r="214" ht="15.0" customHeight="1">
      <c r="A214" s="463">
        <v>1.0</v>
      </c>
      <c r="B214" s="464" t="s">
        <v>3596</v>
      </c>
      <c r="C214" s="869" t="str">
        <f>IFERROR(VLOOKUP(B214,'03. THIẾT BỊ'!$B$1:$S$836,2,0),"")</f>
        <v>XDP-PVO-001</v>
      </c>
      <c r="D214" s="470" t="str">
        <f>IFERROR(VLOOKUP(B214,'03. THIẾT BỊ'!$B$1:$S$836,3,0),"")</f>
        <v>A23-RVO-001</v>
      </c>
      <c r="E214" s="464" t="str">
        <f>IFERROR(VLOOKUP(B214,'03. THIẾT BỊ'!$B$1:$S$836,4,0),"")</f>
        <v>ĐQSD</v>
      </c>
      <c r="F214" s="464" t="str">
        <f>IFERROR(VLOOKUP(B214,'03. THIẾT BỊ'!$B$1:$S$836,5,0),"")</f>
        <v>Thiết bị phun vôi/rải vô cơ</v>
      </c>
      <c r="G214" s="80" t="s">
        <v>6423</v>
      </c>
      <c r="H214" s="463" t="str">
        <f>IFERROR(VLOOKUP(B214,'03. THIẾT BỊ'!$B$1:$S$836,7,0),"")</f>
        <v>CGLĐ DP</v>
      </c>
      <c r="I214" s="474" t="str">
        <f>IFERROR(VLOOKUP(B214,'03. THIẾT BỊ'!$B$1:$S$836,8,0),"")</f>
        <v/>
      </c>
      <c r="J214" s="471"/>
      <c r="K214" s="463" t="str">
        <f>IFERROR(VLOOKUP(B214,'03. THIẾT BỊ'!$B$1:$S$836,10,0),"")</f>
        <v>Bình thường</v>
      </c>
      <c r="L214" s="468" t="str">
        <f>IFERROR(VLOOKUP(B214,'03. THIẾT BỊ'!$B$1:$S$836,11,0),"")</f>
        <v/>
      </c>
      <c r="M214" s="472" t="str">
        <f>IFERROR(VLOOKUP(B214,'03. THIẾT BỊ'!$B$1:$S$836,12,0),"")</f>
        <v/>
      </c>
      <c r="N214" s="468" t="str">
        <f>IFERROR(VLOOKUP(B214,'03. THIẾT BỊ'!$B$1:$S$836,13,0),"")</f>
        <v>TRUNG QUỐC</v>
      </c>
      <c r="O214" s="470" t="str">
        <f>IFERROR(VLOOKUP(B214,'03. THIẾT BỊ'!$B$1:$S$836,14,0),"")</f>
        <v/>
      </c>
      <c r="P214" s="468" t="str">
        <f>IFERROR(VLOOKUP(B214,'03. THIẾT BỊ'!$B$1:$S$836,15,0),"")</f>
        <v>TRUNG QUỐC</v>
      </c>
      <c r="Q214" s="48" t="str">
        <f>IFERROR(VLOOKUP(B214,'03. THIẾT BỊ'!$B$1:$S$836,16,0),"")</f>
        <v/>
      </c>
      <c r="R214" s="471" t="str">
        <f>IFERROR(VLOOKUP(B214,'03. THIẾT BỊ'!$B$1:$S$836,17,0),"")</f>
        <v/>
      </c>
      <c r="S214" s="468" t="str">
        <f>IFERROR(VLOOKUP(B214,'03. THIẾT BỊ'!$B$1:$S$836,18,0),"")</f>
        <v/>
      </c>
      <c r="T214" s="812"/>
    </row>
    <row r="215" ht="15.0" customHeight="1">
      <c r="A215" s="463">
        <v>2.0</v>
      </c>
      <c r="B215" s="464" t="s">
        <v>3773</v>
      </c>
      <c r="C215" s="869" t="str">
        <f>IFERROR(VLOOKUP(B215,'03. THIẾT BỊ'!$B$1:$S$836,2,0),"")</f>
        <v/>
      </c>
      <c r="D215" s="470" t="str">
        <f>IFERROR(VLOOKUP(B215,'03. THIẾT BỊ'!$B$1:$S$836,3,0),"")</f>
        <v>A24-RVO-003</v>
      </c>
      <c r="E215" s="464" t="str">
        <f>IFERROR(VLOOKUP(B215,'03. THIẾT BỊ'!$B$1:$S$836,4,0),"")</f>
        <v>ĐQSD</v>
      </c>
      <c r="F215" s="464" t="str">
        <f>IFERROR(VLOOKUP(B215,'03. THIẾT BỊ'!$B$1:$S$836,5,0),"")</f>
        <v>Thiết bị phun vôi/rải vô cơ</v>
      </c>
      <c r="G215" s="80" t="s">
        <v>6423</v>
      </c>
      <c r="H215" s="463" t="str">
        <f>IFERROR(VLOOKUP(B215,'03. THIẾT BỊ'!$B$1:$S$836,7,0),"")</f>
        <v>CGLĐ LP</v>
      </c>
      <c r="I215" s="474">
        <f>IFERROR(VLOOKUP(B215,'03. THIẾT BỊ'!$B$1:$S$836,8,0),"")</f>
        <v>45446</v>
      </c>
      <c r="J215" s="471"/>
      <c r="K215" s="463" t="str">
        <f>IFERROR(VLOOKUP(B215,'03. THIẾT BỊ'!$B$1:$S$836,10,0),"")</f>
        <v>Bình thường</v>
      </c>
      <c r="L215" s="468" t="str">
        <f>IFERROR(VLOOKUP(B215,'03. THIẾT BỊ'!$B$1:$S$836,11,0),"")</f>
        <v>XNB chuyển qua</v>
      </c>
      <c r="M215" s="472" t="str">
        <f>IFERROR(VLOOKUP(B215,'03. THIẾT BỊ'!$B$1:$S$836,12,0),"")</f>
        <v/>
      </c>
      <c r="N215" s="468" t="str">
        <f>IFERROR(VLOOKUP(B215,'03. THIẾT BỊ'!$B$1:$S$836,13,0),"")</f>
        <v>CAMBODIA</v>
      </c>
      <c r="O215" s="470" t="str">
        <f>IFERROR(VLOOKUP(B215,'03. THIẾT BỊ'!$B$1:$S$836,14,0),"")</f>
        <v/>
      </c>
      <c r="P215" s="468" t="str">
        <f>IFERROR(VLOOKUP(B215,'03. THIẾT BỊ'!$B$1:$S$836,15,0),"")</f>
        <v>CAMBODIA</v>
      </c>
      <c r="Q215" s="48" t="str">
        <f>IFERROR(VLOOKUP(B215,'03. THIẾT BỊ'!$B$1:$S$836,16,0),"")</f>
        <v/>
      </c>
      <c r="R215" s="471" t="str">
        <f>IFERROR(VLOOKUP(B215,'03. THIẾT BỊ'!$B$1:$S$836,17,0),"")</f>
        <v/>
      </c>
      <c r="S215" s="468" t="str">
        <f>IFERROR(VLOOKUP(B215,'03. THIẾT BỊ'!$B$1:$S$836,18,0),"")</f>
        <v/>
      </c>
      <c r="T215" s="812"/>
    </row>
    <row r="216" ht="15.0" customHeight="1">
      <c r="A216" s="463">
        <f t="shared" ref="A216:A218" si="8">A215+1</f>
        <v>3</v>
      </c>
      <c r="B216" s="464" t="s">
        <v>3857</v>
      </c>
      <c r="C216" s="869" t="str">
        <f>IFERROR(VLOOKUP(B216,'03. THIẾT BỊ'!$B$1:$S$836,2,0),"")</f>
        <v>CNN-XOI-007(P2M2 06 NN-KLH)</v>
      </c>
      <c r="D216" s="470" t="str">
        <f>IFERROR(VLOOKUP(B216,'03. THIẾT BỊ'!$B$1:$S$836,3,0),"")</f>
        <v>A22-RVO-004</v>
      </c>
      <c r="E216" s="464" t="str">
        <f>IFERROR(VLOOKUP(B216,'03. THIẾT BỊ'!$B$1:$S$836,4,0),"")</f>
        <v>ĐQSD</v>
      </c>
      <c r="F216" s="464" t="str">
        <f>IFERROR(VLOOKUP(B216,'03. THIẾT BỊ'!$B$1:$S$836,5,0),"")</f>
        <v>Thiết bị phun vôi/rải vô cơ</v>
      </c>
      <c r="G216" s="80" t="s">
        <v>6423</v>
      </c>
      <c r="H216" s="463" t="str">
        <f>IFERROR(VLOOKUP(B216,'03. THIẾT BỊ'!$B$1:$S$836,7,0),"")</f>
        <v>XN Bò AD</v>
      </c>
      <c r="I216" s="474" t="str">
        <f>IFERROR(VLOOKUP(B216,'03. THIẾT BỊ'!$B$1:$S$836,8,0),"")</f>
        <v/>
      </c>
      <c r="J216" s="471"/>
      <c r="K216" s="463" t="str">
        <f>IFERROR(VLOOKUP(B216,'03. THIẾT BỊ'!$B$1:$S$836,10,0),"")</f>
        <v>Bình thường</v>
      </c>
      <c r="L216" s="468" t="str">
        <f>IFERROR(VLOOKUP(B216,'03. THIẾT BỊ'!$B$1:$S$836,11,0),"")</f>
        <v/>
      </c>
      <c r="M216" s="472" t="str">
        <f>IFERROR(VLOOKUP(B216,'03. THIẾT BỊ'!$B$1:$S$836,12,0),"")</f>
        <v/>
      </c>
      <c r="N216" s="468" t="str">
        <f>IFERROR(VLOOKUP(B216,'03. THIẾT BỊ'!$B$1:$S$836,13,0),"")</f>
        <v>CAMBODIA</v>
      </c>
      <c r="O216" s="470" t="str">
        <f>IFERROR(VLOOKUP(B216,'03. THIẾT BỊ'!$B$1:$S$836,14,0),"")</f>
        <v/>
      </c>
      <c r="P216" s="468" t="str">
        <f>IFERROR(VLOOKUP(B216,'03. THIẾT BỊ'!$B$1:$S$836,15,0),"")</f>
        <v>CAMBODIA</v>
      </c>
      <c r="Q216" s="48" t="str">
        <f>IFERROR(VLOOKUP(B216,'03. THIẾT BỊ'!$B$1:$S$836,16,0),"")</f>
        <v/>
      </c>
      <c r="R216" s="471" t="str">
        <f>IFERROR(VLOOKUP(B216,'03. THIẾT BỊ'!$B$1:$S$836,17,0),"")</f>
        <v/>
      </c>
      <c r="S216" s="468" t="str">
        <f>IFERROR(VLOOKUP(B216,'03. THIẾT BỊ'!$B$1:$S$836,18,0),"")</f>
        <v/>
      </c>
      <c r="T216" s="812"/>
    </row>
    <row r="217" ht="15.0" customHeight="1">
      <c r="A217" s="463">
        <f t="shared" si="8"/>
        <v>4</v>
      </c>
      <c r="B217" s="464" t="s">
        <v>3601</v>
      </c>
      <c r="C217" s="869" t="str">
        <f>IFERROR(VLOOKUP(B217,'03. THIẾT BỊ'!$B$1:$S$836,2,0),"")</f>
        <v/>
      </c>
      <c r="D217" s="470" t="str">
        <f>IFERROR(VLOOKUP(B217,'03. THIẾT BỊ'!$B$1:$S$836,3,0),"")</f>
        <v>A23-RVO-005</v>
      </c>
      <c r="E217" s="464" t="str">
        <f>IFERROR(VLOOKUP(B217,'03. THIẾT BỊ'!$B$1:$S$836,4,0),"")</f>
        <v>MUA MỚI</v>
      </c>
      <c r="F217" s="464" t="str">
        <f>IFERROR(VLOOKUP(B217,'03. THIẾT BỊ'!$B$1:$S$836,5,0),"")</f>
        <v>Thiết bị phun vôi/rải vô cơ</v>
      </c>
      <c r="G217" s="80" t="s">
        <v>6423</v>
      </c>
      <c r="H217" s="463" t="str">
        <f>IFERROR(VLOOKUP(B217,'03. THIẾT BỊ'!$B$1:$S$836,7,0),"")</f>
        <v>CGLĐ DP</v>
      </c>
      <c r="I217" s="474">
        <f>IFERROR(VLOOKUP(B217,'03. THIẾT BỊ'!$B$1:$S$836,8,0),"")</f>
        <v>46054</v>
      </c>
      <c r="J217" s="471"/>
      <c r="K217" s="463" t="str">
        <f>IFERROR(VLOOKUP(B217,'03. THIẾT BỊ'!$B$1:$S$836,10,0),"")</f>
        <v>Bình thường</v>
      </c>
      <c r="M217" s="472" t="str">
        <f>IFERROR(VLOOKUP(B217,'03. THIẾT BỊ'!$B$1:$S$836,12,0),"")</f>
        <v/>
      </c>
      <c r="N217" s="468" t="str">
        <f>IFERROR(VLOOKUP(B217,'03. THIẾT BỊ'!$B$1:$S$836,13,0),"")</f>
        <v>SHAKTIMAN</v>
      </c>
      <c r="O217" s="470" t="str">
        <f>IFERROR(VLOOKUP(B217,'03. THIẾT BỊ'!$B$1:$S$836,14,0),"")</f>
        <v>SFB-1000DD</v>
      </c>
      <c r="P217" s="468" t="str">
        <f>IFERROR(VLOOKUP(B217,'03. THIẾT BỊ'!$B$1:$S$836,15,0),"")</f>
        <v>INDIA</v>
      </c>
      <c r="Q217" s="48">
        <f>IFERROR(VLOOKUP(B217,'03. THIẾT BỊ'!$B$1:$S$836,16,0),"")</f>
        <v>2024</v>
      </c>
      <c r="R217" s="471" t="str">
        <f>IFERROR(VLOOKUP(B217,'03. THIẾT BỊ'!$B$1:$S$836,17,0),"")</f>
        <v/>
      </c>
      <c r="S217" s="468" t="str">
        <f>IFERROR(VLOOKUP(B217,'03. THIẾT BỊ'!$B$1:$S$836,18,0),"")</f>
        <v>BACE112101901</v>
      </c>
      <c r="T217" s="812"/>
    </row>
    <row r="218" ht="15.0" customHeight="1">
      <c r="A218" s="463">
        <f t="shared" si="8"/>
        <v>5</v>
      </c>
      <c r="B218" s="464" t="s">
        <v>3776</v>
      </c>
      <c r="C218" s="1316">
        <v>5.6</v>
      </c>
      <c r="D218" s="470" t="str">
        <f>IFERROR(VLOOKUP(B218,'03. THIẾT BỊ'!$B$1:$S$836,3,0),"")</f>
        <v>A23-RVO-006</v>
      </c>
      <c r="E218" s="464" t="str">
        <f>IFERROR(VLOOKUP(B218,'03. THIẾT BỊ'!$B$1:$S$836,4,0),"")</f>
        <v>MUA MỚI</v>
      </c>
      <c r="F218" s="464" t="str">
        <f>IFERROR(VLOOKUP(B218,'03. THIẾT BỊ'!$B$1:$S$836,5,0),"")</f>
        <v>Thiết bị phun vôi/rải vô cơ</v>
      </c>
      <c r="G218" s="80" t="s">
        <v>6423</v>
      </c>
      <c r="H218" s="463" t="str">
        <f>IFERROR(VLOOKUP(B218,'03. THIẾT BỊ'!$B$1:$S$836,7,0),"")</f>
        <v>CGLĐ LP</v>
      </c>
      <c r="I218" s="474">
        <f>IFERROR(VLOOKUP(B218,'03. THIẾT BỊ'!$B$1:$S$836,8,0),"")</f>
        <v>46054</v>
      </c>
      <c r="J218" s="471"/>
      <c r="K218" s="463" t="str">
        <f>IFERROR(VLOOKUP(B218,'03. THIẾT BỊ'!$B$1:$S$836,10,0),"")</f>
        <v>Bình thường</v>
      </c>
      <c r="L218" s="468" t="str">
        <f>IFERROR(VLOOKUP(B218,'03. THIẾT BỊ'!$B$1:$S$836,11,0),"")</f>
        <v/>
      </c>
      <c r="M218" s="472" t="str">
        <f>IFERROR(VLOOKUP(B218,'03. THIẾT BỊ'!$B$1:$S$836,12,0),"")</f>
        <v/>
      </c>
      <c r="N218" s="468" t="str">
        <f>IFERROR(VLOOKUP(B218,'03. THIẾT BỊ'!$B$1:$S$836,13,0),"")</f>
        <v>SHAKTIMAN</v>
      </c>
      <c r="O218" s="470" t="str">
        <f>IFERROR(VLOOKUP(B218,'03. THIẾT BỊ'!$B$1:$S$836,14,0),"")</f>
        <v>SFB-1000DD</v>
      </c>
      <c r="P218" s="468" t="str">
        <f>IFERROR(VLOOKUP(B218,'03. THIẾT BỊ'!$B$1:$S$836,15,0),"")</f>
        <v>INDIA</v>
      </c>
      <c r="Q218" s="48">
        <f>IFERROR(VLOOKUP(B218,'03. THIẾT BỊ'!$B$1:$S$836,16,0),"")</f>
        <v>2024</v>
      </c>
      <c r="R218" s="471" t="str">
        <f>IFERROR(VLOOKUP(B218,'03. THIẾT BỊ'!$B$1:$S$836,17,0),"")</f>
        <v/>
      </c>
      <c r="S218" s="468" t="str">
        <f>IFERROR(VLOOKUP(B218,'03. THIẾT BỊ'!$B$1:$S$836,18,0),"")</f>
        <v>BACE112101899</v>
      </c>
      <c r="T218" s="812"/>
    </row>
    <row r="219" ht="15.0" customHeight="1">
      <c r="A219" s="463">
        <f>A216+1</f>
        <v>4</v>
      </c>
      <c r="B219" s="464" t="s">
        <v>5187</v>
      </c>
      <c r="C219" s="869" t="str">
        <f>IFERROR(VLOOKUP(B219,'03. THIẾT BỊ'!$B$1:$S$836,2,0),"")</f>
        <v/>
      </c>
      <c r="D219" s="470" t="str">
        <f>IFERROR(VLOOKUP(B219,'03. THIẾT BỊ'!$B$1:$S$836,3,0),"")</f>
        <v>A22-RVO-001</v>
      </c>
      <c r="E219" s="464" t="str">
        <f>IFERROR(VLOOKUP(B219,'03. THIẾT BỊ'!$B$1:$S$836,4,0),"")</f>
        <v>ĐQSD</v>
      </c>
      <c r="F219" s="464" t="str">
        <f>IFERROR(VLOOKUP(B219,'03. THIẾT BỊ'!$B$1:$S$836,5,0),"")</f>
        <v>Thiết bị phun vôi/rải vô cơ</v>
      </c>
      <c r="G219" s="80" t="s">
        <v>6423</v>
      </c>
      <c r="H219" s="463" t="str">
        <f>IFERROR(VLOOKUP(B219,'03. THIẾT BỊ'!$B$1:$S$836,7,0),"")</f>
        <v>XN Bò AD</v>
      </c>
      <c r="I219" s="474" t="str">
        <f>IFERROR(VLOOKUP(B219,'03. THIẾT BỊ'!$B$1:$S$836,8,0),"")</f>
        <v/>
      </c>
      <c r="J219" s="471"/>
      <c r="K219" s="463" t="str">
        <f>IFERROR(VLOOKUP(B219,'03. THIẾT BỊ'!$B$1:$S$836,10,0),"")</f>
        <v>Bình thường</v>
      </c>
      <c r="L219" s="468" t="str">
        <f>IFERROR(VLOOKUP(B217,'03. THIẾT BỊ'!$B$1:$S$836,11,0),"")</f>
        <v/>
      </c>
      <c r="M219" s="472" t="str">
        <f>IFERROR(VLOOKUP(B219,'03. THIẾT BỊ'!$B$1:$S$836,12,0),"")</f>
        <v/>
      </c>
      <c r="N219" s="468" t="str">
        <f>IFERROR(VLOOKUP(B219,'03. THIẾT BỊ'!$B$1:$S$836,13,0),"")</f>
        <v>THACO AGRI</v>
      </c>
      <c r="O219" s="470" t="str">
        <f>IFERROR(VLOOKUP(B219,'03. THIẾT BỊ'!$B$1:$S$836,14,0),"")</f>
        <v/>
      </c>
      <c r="P219" s="468" t="str">
        <f>IFERROR(VLOOKUP(B219,'03. THIẾT BỊ'!$B$1:$S$836,15,0),"")</f>
        <v>CK-CGH</v>
      </c>
      <c r="Q219" s="48" t="str">
        <f>IFERROR(VLOOKUP(B219,'03. THIẾT BỊ'!$B$1:$S$836,16,0),"")</f>
        <v/>
      </c>
      <c r="R219" s="471" t="str">
        <f>IFERROR(VLOOKUP(B219,'03. THIẾT BỊ'!$B$1:$S$836,17,0),"")</f>
        <v/>
      </c>
      <c r="S219" s="468" t="str">
        <f>IFERROR(VLOOKUP(B219,'03. THIẾT BỊ'!$B$1:$S$836,18,0),"")</f>
        <v/>
      </c>
      <c r="T219" s="812"/>
    </row>
    <row r="220" ht="15.0" customHeight="1">
      <c r="A220" s="463">
        <f t="shared" ref="A220:A221" si="9">A219+1</f>
        <v>5</v>
      </c>
      <c r="B220" s="464" t="s">
        <v>5189</v>
      </c>
      <c r="C220" s="869" t="str">
        <f>IFERROR(VLOOKUP(B220,'03. THIẾT BỊ'!$B$1:$S$836,2,0),"")</f>
        <v/>
      </c>
      <c r="D220" s="470" t="str">
        <f>IFERROR(VLOOKUP(B220,'03. THIẾT BỊ'!$B$1:$S$836,3,0),"")</f>
        <v>A22-RVO-002</v>
      </c>
      <c r="E220" s="464" t="str">
        <f>IFERROR(VLOOKUP(B220,'03. THIẾT BỊ'!$B$1:$S$836,4,0),"")</f>
        <v>MUA MỚI</v>
      </c>
      <c r="F220" s="464" t="str">
        <f>IFERROR(VLOOKUP(B220,'03. THIẾT BỊ'!$B$1:$S$836,5,0),"")</f>
        <v>Thiết bị phun vôi/rải vô cơ</v>
      </c>
      <c r="G220" s="80" t="s">
        <v>6423</v>
      </c>
      <c r="H220" s="463" t="str">
        <f>IFERROR(VLOOKUP(B220,'03. THIẾT BỊ'!$B$1:$S$836,7,0),"")</f>
        <v>XN Bò AD</v>
      </c>
      <c r="I220" s="474" t="str">
        <f>IFERROR(VLOOKUP(B220,'03. THIẾT BỊ'!$B$1:$S$836,8,0),"")</f>
        <v/>
      </c>
      <c r="J220" s="471"/>
      <c r="K220" s="463" t="str">
        <f>IFERROR(VLOOKUP(B220,'03. THIẾT BỊ'!$B$1:$S$836,10,0),"")</f>
        <v>Bình thường</v>
      </c>
      <c r="L220" s="468" t="str">
        <f>IFERROR(VLOOKUP(B220,'03. THIẾT BỊ'!$B$1:$S$836,11,0),"")</f>
        <v/>
      </c>
      <c r="M220" s="472" t="str">
        <f>IFERROR(VLOOKUP(B220,'03. THIẾT BỊ'!$B$1:$S$836,12,0),"")</f>
        <v/>
      </c>
      <c r="N220" s="468" t="str">
        <f>IFERROR(VLOOKUP(B220,'03. THIẾT BỊ'!$B$1:$S$836,13,0),"")</f>
        <v>THACO AGRI</v>
      </c>
      <c r="O220" s="470" t="str">
        <f>IFERROR(VLOOKUP(B220,'03. THIẾT BỊ'!$B$1:$S$836,14,0),"")</f>
        <v/>
      </c>
      <c r="P220" s="468" t="str">
        <f>IFERROR(VLOOKUP(B220,'03. THIẾT BỊ'!$B$1:$S$836,15,0),"")</f>
        <v>CK-CGH</v>
      </c>
      <c r="Q220" s="48" t="str">
        <f>IFERROR(VLOOKUP(B220,'03. THIẾT BỊ'!$B$1:$S$836,16,0),"")</f>
        <v/>
      </c>
      <c r="R220" s="471" t="str">
        <f>IFERROR(VLOOKUP(B220,'03. THIẾT BỊ'!$B$1:$S$836,17,0),"")</f>
        <v/>
      </c>
      <c r="S220" s="468" t="str">
        <f>IFERROR(VLOOKUP(B220,'03. THIẾT BỊ'!$B$1:$S$836,18,0),"")</f>
        <v/>
      </c>
      <c r="T220" s="812"/>
    </row>
    <row r="221" ht="15.0" customHeight="1">
      <c r="A221" s="463">
        <f t="shared" si="9"/>
        <v>6</v>
      </c>
      <c r="B221" s="464" t="s">
        <v>5191</v>
      </c>
      <c r="C221" s="869" t="str">
        <f>IFERROR(VLOOKUP(B221,'03. THIẾT BỊ'!$B$1:$S$836,2,0),"")</f>
        <v/>
      </c>
      <c r="D221" s="470" t="str">
        <f>IFERROR(VLOOKUP(B221,'03. THIẾT BỊ'!$B$1:$S$836,3,0),"")</f>
        <v>A22-RVO-003</v>
      </c>
      <c r="E221" s="464" t="str">
        <f>IFERROR(VLOOKUP(B221,'03. THIẾT BỊ'!$B$1:$S$836,4,0),"")</f>
        <v>MUA MỚI</v>
      </c>
      <c r="F221" s="464" t="str">
        <f>IFERROR(VLOOKUP(B221,'03. THIẾT BỊ'!$B$1:$S$836,5,0),"")</f>
        <v>Thiết bị phun vôi/rải vô cơ</v>
      </c>
      <c r="G221" s="80" t="s">
        <v>6423</v>
      </c>
      <c r="H221" s="463" t="str">
        <f>IFERROR(VLOOKUP(B221,'03. THIẾT BỊ'!$B$1:$S$836,7,0),"")</f>
        <v>XN Bò AD</v>
      </c>
      <c r="I221" s="474">
        <f>IFERROR(VLOOKUP(B221,'03. THIẾT BỊ'!$B$1:$S$836,8,0),"")</f>
        <v>45785</v>
      </c>
      <c r="J221" s="471"/>
      <c r="K221" s="463" t="str">
        <f>IFERROR(VLOOKUP(B221,'03. THIẾT BỊ'!$B$1:$S$836,10,0),"")</f>
        <v>Bình thường</v>
      </c>
      <c r="L221" s="468" t="str">
        <f>IFERROR(VLOOKUP(B221,'03. THIẾT BỊ'!$B$1:$S$836,11,0),"")</f>
        <v/>
      </c>
      <c r="M221" s="472" t="str">
        <f>IFERROR(VLOOKUP(B221,'03. THIẾT BỊ'!$B$1:$S$836,12,0),"")</f>
        <v/>
      </c>
      <c r="N221" s="468" t="str">
        <f>IFERROR(VLOOKUP(B221,'03. THIẾT BỊ'!$B$1:$S$836,13,0),"")</f>
        <v>THACO INDUSTRIES</v>
      </c>
      <c r="O221" s="470" t="str">
        <f>IFERROR(VLOOKUP(B221,'03. THIẾT BỊ'!$B$1:$S$836,14,0),"")</f>
        <v>0.8M3</v>
      </c>
      <c r="P221" s="468" t="str">
        <f>IFERROR(VLOOKUP(B221,'03. THIẾT BỊ'!$B$1:$S$836,15,0),"")</f>
        <v>CHU LAI</v>
      </c>
      <c r="Q221" s="48">
        <f>IFERROR(VLOOKUP(B221,'03. THIẾT BỊ'!$B$1:$S$836,16,0),"")</f>
        <v>2025</v>
      </c>
      <c r="R221" s="471" t="str">
        <f>IFERROR(VLOOKUP(B221,'03. THIẾT BỊ'!$B$1:$S$836,17,0),"")</f>
        <v/>
      </c>
      <c r="S221" s="468" t="str">
        <f>IFERROR(VLOOKUP(B221,'03. THIẾT BỊ'!$B$1:$S$836,18,0),"")</f>
        <v/>
      </c>
      <c r="T221" s="812"/>
    </row>
    <row r="222" ht="15.0" customHeight="1">
      <c r="A222" s="1236"/>
      <c r="B222" s="812"/>
      <c r="C222" s="869" t="str">
        <f>IFERROR(VLOOKUP(B222,'03. THIẾT BỊ'!$B$1:$S$836,2,0),"")</f>
        <v/>
      </c>
      <c r="D222" s="470" t="str">
        <f>IFERROR(VLOOKUP(B222,'03. THIẾT BỊ'!$B$1:$S$836,3,0),"")</f>
        <v/>
      </c>
      <c r="E222" s="464" t="str">
        <f>IFERROR(VLOOKUP(B222,'03. THIẾT BỊ'!$B$1:$S$836,4,0),"")</f>
        <v/>
      </c>
      <c r="F222" s="464" t="str">
        <f>IFERROR(VLOOKUP(B222,'03. THIẾT BỊ'!$B$1:$S$836,5,0),"")</f>
        <v/>
      </c>
      <c r="G222" s="80" t="s">
        <v>6423</v>
      </c>
      <c r="H222" s="463" t="str">
        <f>IFERROR(VLOOKUP(B222,'03. THIẾT BỊ'!$B$1:$S$836,7,0),"")</f>
        <v/>
      </c>
      <c r="I222" s="474" t="str">
        <f>IFERROR(VLOOKUP(B222,'03. THIẾT BỊ'!$B$1:$S$836,8,0),"")</f>
        <v/>
      </c>
      <c r="J222" s="471"/>
      <c r="K222" s="463" t="str">
        <f>IFERROR(VLOOKUP(B222,'03. THIẾT BỊ'!$B$1:$S$836,10,0),"")</f>
        <v/>
      </c>
      <c r="L222" s="468" t="str">
        <f>IFERROR(VLOOKUP(B222,'03. THIẾT BỊ'!$B$1:$S$836,11,0),"")</f>
        <v/>
      </c>
      <c r="M222" s="472" t="str">
        <f>IFERROR(VLOOKUP(B222,'03. THIẾT BỊ'!$B$1:$S$836,12,0),"")</f>
        <v/>
      </c>
      <c r="N222" s="468" t="str">
        <f>IFERROR(VLOOKUP(B222,'03. THIẾT BỊ'!$B$1:$S$836,13,0),"")</f>
        <v/>
      </c>
      <c r="O222" s="470" t="str">
        <f>IFERROR(VLOOKUP(B222,'03. THIẾT BỊ'!$B$1:$S$836,14,0),"")</f>
        <v/>
      </c>
      <c r="P222" s="468" t="str">
        <f>IFERROR(VLOOKUP(B222,'03. THIẾT BỊ'!$B$1:$S$836,15,0),"")</f>
        <v/>
      </c>
      <c r="Q222" s="48" t="str">
        <f>IFERROR(VLOOKUP(B222,'03. THIẾT BỊ'!$B$1:$S$836,16,0),"")</f>
        <v/>
      </c>
      <c r="R222" s="471" t="str">
        <f>IFERROR(VLOOKUP(B222,'03. THIẾT BỊ'!$B$1:$S$836,17,0),"")</f>
        <v/>
      </c>
      <c r="S222" s="468" t="str">
        <f>IFERROR(VLOOKUP(B222,'03. THIẾT BỊ'!$B$1:$S$836,18,0),"")</f>
        <v/>
      </c>
      <c r="T222" s="812"/>
    </row>
    <row r="223" ht="15.0" customHeight="1">
      <c r="A223" s="455" t="s">
        <v>76</v>
      </c>
      <c r="B223" s="456" t="s">
        <v>8232</v>
      </c>
      <c r="C223" s="457">
        <f>COUNTA(B224:B234)</f>
        <v>10</v>
      </c>
      <c r="D223" s="458" t="str">
        <f>IFERROR(VLOOKUP(B223,'03. THIẾT BỊ'!$B$1:$S$836,3,0),"")</f>
        <v/>
      </c>
      <c r="E223" s="464" t="str">
        <f>IFERROR(VLOOKUP(B223,'03. THIẾT BỊ'!$B$1:$S$836,4,0),"")</f>
        <v/>
      </c>
      <c r="F223" s="458" t="str">
        <f>IFERROR(VLOOKUP(B223,'03. THIẾT BỊ'!$B$1:$S$836,5,0),"")</f>
        <v/>
      </c>
      <c r="G223" s="459" t="s">
        <v>6423</v>
      </c>
      <c r="H223" s="459" t="str">
        <f>IFERROR(VLOOKUP(B223,'03. THIẾT BỊ'!$B$1:$S$836,7,0),"")</f>
        <v/>
      </c>
      <c r="I223" s="457" t="str">
        <f>IFERROR(VLOOKUP(B223,'03. THIẾT BỊ'!$B$1:$S$836,8,0),"")</f>
        <v/>
      </c>
      <c r="J223" s="460"/>
      <c r="K223" s="457" t="str">
        <f>IFERROR(VLOOKUP(B223,'03. THIẾT BỊ'!$B$1:$S$836,10,0),"")</f>
        <v/>
      </c>
      <c r="L223" s="458" t="str">
        <f>IFERROR(VLOOKUP(B223,'03. THIẾT BỊ'!$B$1:$S$836,11,0),"")</f>
        <v/>
      </c>
      <c r="M223" s="461" t="str">
        <f>IFERROR(VLOOKUP(B223,'03. THIẾT BỊ'!$B$1:$S$836,12,0),"")</f>
        <v/>
      </c>
      <c r="N223" s="458" t="str">
        <f>IFERROR(VLOOKUP(B223,'03. THIẾT BỊ'!$B$1:$S$836,13,0),"")</f>
        <v/>
      </c>
      <c r="O223" s="461" t="str">
        <f>IFERROR(VLOOKUP(B223,'03. THIẾT BỊ'!$B$1:$S$836,14,0),"")</f>
        <v/>
      </c>
      <c r="P223" s="458" t="str">
        <f>IFERROR(VLOOKUP(B223,'03. THIẾT BỊ'!$B$1:$S$836,15,0),"")</f>
        <v/>
      </c>
      <c r="Q223" s="459" t="str">
        <f>IFERROR(VLOOKUP(B223,'03. THIẾT BỊ'!$B$1:$S$836,16,0),"")</f>
        <v/>
      </c>
      <c r="R223" s="458" t="str">
        <f>IFERROR(VLOOKUP(B223,'03. THIẾT BỊ'!$B$1:$S$836,17,0),"")</f>
        <v/>
      </c>
      <c r="S223" s="458" t="str">
        <f>IFERROR(VLOOKUP(B223,'03. THIẾT BỊ'!$B$1:$S$836,18,0),"")</f>
        <v/>
      </c>
      <c r="T223" s="866"/>
    </row>
    <row r="224" ht="15.0" customHeight="1">
      <c r="A224" s="463">
        <v>1.0</v>
      </c>
      <c r="B224" s="464" t="s">
        <v>3665</v>
      </c>
      <c r="C224" s="869" t="str">
        <f>IFERROR(VLOOKUP(B224,'03. THIẾT BỊ'!$B$1:$S$836,2,0),"")</f>
        <v/>
      </c>
      <c r="D224" s="470" t="str">
        <f>IFERROR(VLOOKUP(B224,'03. THIẾT BỊ'!$B$1:$S$836,3,0),"")</f>
        <v>A23-DTR-001</v>
      </c>
      <c r="E224" s="464" t="str">
        <f>IFERROR(VLOOKUP(B224,'03. THIẾT BỊ'!$B$1:$S$836,4,0),"")</f>
        <v>ĐQSD</v>
      </c>
      <c r="F224" s="464" t="str">
        <f>IFERROR(VLOOKUP(B224,'03. THIẾT BỊ'!$B$1:$S$836,5,0),"")</f>
        <v>Thiết bị tạo rãnh ống tưới</v>
      </c>
      <c r="G224" s="80" t="s">
        <v>6423</v>
      </c>
      <c r="H224" s="463" t="str">
        <f>IFERROR(VLOOKUP(B224,'03. THIẾT BỊ'!$B$1:$S$836,7,0),"")</f>
        <v>CGLĐ DP</v>
      </c>
      <c r="I224" s="474" t="str">
        <f>IFERROR(VLOOKUP(B224,'03. THIẾT BỊ'!$B$1:$S$836,8,0),"")</f>
        <v>26/11/2024</v>
      </c>
      <c r="J224" s="471"/>
      <c r="K224" s="463" t="str">
        <f>IFERROR(VLOOKUP(B224,'03. THIẾT BỊ'!$B$1:$S$836,10,0),"")</f>
        <v>Bình thường</v>
      </c>
      <c r="L224" s="468" t="str">
        <f>IFERROR(VLOOKUP(B224,'03. THIẾT BỊ'!$B$1:$S$836,11,0),"")</f>
        <v>Gia công mới</v>
      </c>
      <c r="M224" s="472" t="str">
        <f>IFERROR(VLOOKUP(B224,'03. THIẾT BỊ'!$B$1:$S$836,12,0),"")</f>
        <v/>
      </c>
      <c r="N224" s="468" t="str">
        <f>IFERROR(VLOOKUP(B224,'03. THIẾT BỊ'!$B$1:$S$836,13,0),"")</f>
        <v>THACO AGRI</v>
      </c>
      <c r="O224" s="470" t="str">
        <f>IFERROR(VLOOKUP(B224,'03. THIẾT BỊ'!$B$1:$S$836,14,0),"")</f>
        <v>CK-DTR-01</v>
      </c>
      <c r="P224" s="468" t="str">
        <f>IFERROR(VLOOKUP(B224,'03. THIẾT BỊ'!$B$1:$S$836,15,0),"")</f>
        <v>CK-CGH</v>
      </c>
      <c r="Q224" s="48" t="str">
        <f>IFERROR(VLOOKUP(B224,'03. THIẾT BỊ'!$B$1:$S$836,16,0),"")</f>
        <v/>
      </c>
      <c r="R224" s="471" t="str">
        <f>IFERROR(VLOOKUP(B224,'03. THIẾT BỊ'!$B$1:$S$836,17,0),"")</f>
        <v/>
      </c>
      <c r="S224" s="468" t="str">
        <f>IFERROR(VLOOKUP(B224,'03. THIẾT BỊ'!$B$1:$S$836,18,0),"")</f>
        <v/>
      </c>
      <c r="T224" s="812"/>
    </row>
    <row r="225" ht="15.0" customHeight="1">
      <c r="A225" s="463">
        <f t="shared" ref="A225:A233" si="10">A224+1</f>
        <v>2</v>
      </c>
      <c r="B225" s="464" t="s">
        <v>3671</v>
      </c>
      <c r="C225" s="869" t="str">
        <f>IFERROR(VLOOKUP(B225,'03. THIẾT BỊ'!$B$1:$S$836,2,0),"")</f>
        <v/>
      </c>
      <c r="D225" s="470" t="str">
        <f>IFERROR(VLOOKUP(B225,'03. THIẾT BỊ'!$B$1:$S$836,3,0),"")</f>
        <v>A23-DTR-002</v>
      </c>
      <c r="E225" s="464" t="str">
        <f>IFERROR(VLOOKUP(B225,'03. THIẾT BỊ'!$B$1:$S$836,4,0),"")</f>
        <v>ĐQSD</v>
      </c>
      <c r="F225" s="464" t="str">
        <f>IFERROR(VLOOKUP(B225,'03. THIẾT BỊ'!$B$1:$S$836,5,0),"")</f>
        <v>Thiết bị tạo rãnh ống tưới</v>
      </c>
      <c r="G225" s="80" t="s">
        <v>6423</v>
      </c>
      <c r="H225" s="463" t="str">
        <f>IFERROR(VLOOKUP(B225,'03. THIẾT BỊ'!$B$1:$S$836,7,0),"")</f>
        <v>CGLĐ DP</v>
      </c>
      <c r="I225" s="474" t="str">
        <f>IFERROR(VLOOKUP(B225,'03. THIẾT BỊ'!$B$1:$S$836,8,0),"")</f>
        <v>25/12/2024</v>
      </c>
      <c r="J225" s="471"/>
      <c r="K225" s="463" t="str">
        <f>IFERROR(VLOOKUP(B225,'03. THIẾT BỊ'!$B$1:$S$836,10,0),"")</f>
        <v>Bình thường</v>
      </c>
      <c r="L225" s="468" t="str">
        <f>IFERROR(VLOOKUP(B225,'03. THIẾT BỊ'!$B$1:$S$836,11,0),"")</f>
        <v>Gia công mới</v>
      </c>
      <c r="M225" s="472" t="str">
        <f>IFERROR(VLOOKUP(B225,'03. THIẾT BỊ'!$B$1:$S$836,12,0),"")</f>
        <v/>
      </c>
      <c r="N225" s="468" t="str">
        <f>IFERROR(VLOOKUP(B225,'03. THIẾT BỊ'!$B$1:$S$836,13,0),"")</f>
        <v>THACO AGRI</v>
      </c>
      <c r="O225" s="470" t="str">
        <f>IFERROR(VLOOKUP(B225,'03. THIẾT BỊ'!$B$1:$S$836,14,0),"")</f>
        <v>CK-DTR-02</v>
      </c>
      <c r="P225" s="468" t="str">
        <f>IFERROR(VLOOKUP(B225,'03. THIẾT BỊ'!$B$1:$S$836,15,0),"")</f>
        <v>CK-CGH</v>
      </c>
      <c r="Q225" s="48" t="str">
        <f>IFERROR(VLOOKUP(B225,'03. THIẾT BỊ'!$B$1:$S$836,16,0),"")</f>
        <v/>
      </c>
      <c r="R225" s="471" t="str">
        <f>IFERROR(VLOOKUP(B225,'03. THIẾT BỊ'!$B$1:$S$836,17,0),"")</f>
        <v>2x2.7x1.1</v>
      </c>
      <c r="S225" s="468" t="str">
        <f>IFERROR(VLOOKUP(B225,'03. THIẾT BỊ'!$B$1:$S$836,18,0),"")</f>
        <v/>
      </c>
      <c r="T225" s="812"/>
    </row>
    <row r="226" ht="15.0" customHeight="1">
      <c r="A226" s="463">
        <f t="shared" si="10"/>
        <v>3</v>
      </c>
      <c r="B226" s="464" t="s">
        <v>3676</v>
      </c>
      <c r="C226" s="869" t="str">
        <f>IFERROR(VLOOKUP(B226,'03. THIẾT BỊ'!$B$1:$S$836,2,0),"")</f>
        <v/>
      </c>
      <c r="D226" s="470" t="str">
        <f>IFERROR(VLOOKUP(B226,'03. THIẾT BỊ'!$B$1:$S$836,3,0),"")</f>
        <v>A23-DTR-003</v>
      </c>
      <c r="E226" s="464" t="str">
        <f>IFERROR(VLOOKUP(B226,'03. THIẾT BỊ'!$B$1:$S$836,4,0),"")</f>
        <v>ĐQSD</v>
      </c>
      <c r="F226" s="464" t="str">
        <f>IFERROR(VLOOKUP(B226,'03. THIẾT BỊ'!$B$1:$S$836,5,0),"")</f>
        <v>Thiết bị tạo rãnh ống tưới</v>
      </c>
      <c r="G226" s="80" t="s">
        <v>6423</v>
      </c>
      <c r="H226" s="463" t="str">
        <f>IFERROR(VLOOKUP(B226,'03. THIẾT BỊ'!$B$1:$S$836,7,0),"")</f>
        <v>CGLĐ DP</v>
      </c>
      <c r="I226" s="474" t="str">
        <f>IFERROR(VLOOKUP(B226,'03. THIẾT BỊ'!$B$1:$S$836,8,0),"")</f>
        <v>22/04/2025</v>
      </c>
      <c r="J226" s="471"/>
      <c r="K226" s="463" t="str">
        <f>IFERROR(VLOOKUP(B226,'03. THIẾT BỊ'!$B$1:$S$836,10,0),"")</f>
        <v>Bình thường</v>
      </c>
      <c r="L226" s="468" t="str">
        <f>IFERROR(VLOOKUP(B226,'03. THIẾT BỊ'!$B$1:$S$836,11,0),"")</f>
        <v>Gia công mới</v>
      </c>
      <c r="M226" s="472" t="str">
        <f>IFERROR(VLOOKUP(B226,'03. THIẾT BỊ'!$B$1:$S$836,12,0),"")</f>
        <v/>
      </c>
      <c r="N226" s="468" t="str">
        <f>IFERROR(VLOOKUP(B226,'03. THIẾT BỊ'!$B$1:$S$836,13,0),"")</f>
        <v>THACO AGRI</v>
      </c>
      <c r="O226" s="470" t="str">
        <f>IFERROR(VLOOKUP(B226,'03. THIẾT BỊ'!$B$1:$S$836,14,0),"")</f>
        <v>CK-DTR-05</v>
      </c>
      <c r="P226" s="468" t="str">
        <f>IFERROR(VLOOKUP(B226,'03. THIẾT BỊ'!$B$1:$S$836,15,0),"")</f>
        <v>CK-CGH</v>
      </c>
      <c r="Q226" s="48" t="str">
        <f>IFERROR(VLOOKUP(B226,'03. THIẾT BỊ'!$B$1:$S$836,16,0),"")</f>
        <v/>
      </c>
      <c r="R226" s="471" t="str">
        <f>IFERROR(VLOOKUP(B226,'03. THIẾT BỊ'!$B$1:$S$836,17,0),"")</f>
        <v/>
      </c>
      <c r="S226" s="468" t="str">
        <f>IFERROR(VLOOKUP(B226,'03. THIẾT BỊ'!$B$1:$S$836,18,0),"")</f>
        <v/>
      </c>
      <c r="T226" s="812"/>
    </row>
    <row r="227" ht="15.0" customHeight="1">
      <c r="A227" s="463">
        <f t="shared" si="10"/>
        <v>4</v>
      </c>
      <c r="B227" s="464" t="s">
        <v>3818</v>
      </c>
      <c r="C227" s="869" t="str">
        <f>IFERROR(VLOOKUP(B227,'03. THIẾT BỊ'!$B$1:$S$836,2,0),"")</f>
        <v/>
      </c>
      <c r="D227" s="470" t="str">
        <f>IFERROR(VLOOKUP(B227,'03. THIẾT BỊ'!$B$1:$S$836,3,0),"")</f>
        <v>A24-DTR-001</v>
      </c>
      <c r="E227" s="464" t="str">
        <f>IFERROR(VLOOKUP(B227,'03. THIẾT BỊ'!$B$1:$S$836,4,0),"")</f>
        <v>ĐQSD</v>
      </c>
      <c r="F227" s="464" t="str">
        <f>IFERROR(VLOOKUP(B227,'03. THIẾT BỊ'!$B$1:$S$836,5,0),"")</f>
        <v>Thiết bị tạo rãnh ống tưới</v>
      </c>
      <c r="G227" s="80" t="s">
        <v>6423</v>
      </c>
      <c r="H227" s="463" t="str">
        <f>IFERROR(VLOOKUP(B227,'03. THIẾT BỊ'!$B$1:$S$836,7,0),"")</f>
        <v>CGLĐ LP</v>
      </c>
      <c r="I227" s="474" t="str">
        <f>IFERROR(VLOOKUP(B227,'03. THIẾT BỊ'!$B$1:$S$836,8,0),"")</f>
        <v>18/04/2025</v>
      </c>
      <c r="J227" s="471"/>
      <c r="K227" s="463" t="str">
        <f>IFERROR(VLOOKUP(B227,'03. THIẾT BỊ'!$B$1:$S$836,10,0),"")</f>
        <v>Bình thường</v>
      </c>
      <c r="L227" s="468" t="str">
        <f>IFERROR(VLOOKUP(B227,'03. THIẾT BỊ'!$B$1:$S$836,11,0),"")</f>
        <v>Gia công mới</v>
      </c>
      <c r="M227" s="472" t="str">
        <f>IFERROR(VLOOKUP(B227,'03. THIẾT BỊ'!$B$1:$S$836,12,0),"")</f>
        <v/>
      </c>
      <c r="N227" s="468" t="str">
        <f>IFERROR(VLOOKUP(B227,'03. THIẾT BỊ'!$B$1:$S$836,13,0),"")</f>
        <v>THACO AGRI</v>
      </c>
      <c r="O227" s="470" t="str">
        <f>IFERROR(VLOOKUP(B227,'03. THIẾT BỊ'!$B$1:$S$836,14,0),"")</f>
        <v>CK-DTR-03</v>
      </c>
      <c r="P227" s="468" t="str">
        <f>IFERROR(VLOOKUP(B227,'03. THIẾT BỊ'!$B$1:$S$836,15,0),"")</f>
        <v>CK-CGH</v>
      </c>
      <c r="Q227" s="48">
        <f>IFERROR(VLOOKUP(B227,'03. THIẾT BỊ'!$B$1:$S$836,16,0),"")</f>
        <v>2025</v>
      </c>
      <c r="R227" s="471" t="str">
        <f>IFERROR(VLOOKUP(B227,'03. THIẾT BỊ'!$B$1:$S$836,17,0),"")</f>
        <v/>
      </c>
      <c r="S227" s="468" t="str">
        <f>IFERROR(VLOOKUP(B227,'03. THIẾT BỊ'!$B$1:$S$836,18,0),"")</f>
        <v/>
      </c>
      <c r="T227" s="807"/>
    </row>
    <row r="228" ht="15.0" customHeight="1">
      <c r="A228" s="463">
        <f t="shared" si="10"/>
        <v>5</v>
      </c>
      <c r="B228" s="464" t="s">
        <v>3822</v>
      </c>
      <c r="C228" s="869" t="str">
        <f>IFERROR(VLOOKUP(B228,'03. THIẾT BỊ'!$B$1:$S$836,2,0),"")</f>
        <v/>
      </c>
      <c r="D228" s="470" t="str">
        <f>IFERROR(VLOOKUP(B228,'03. THIẾT BỊ'!$B$1:$S$836,3,0),"")</f>
        <v>A24-DTR-002</v>
      </c>
      <c r="E228" s="464" t="str">
        <f>IFERROR(VLOOKUP(B228,'03. THIẾT BỊ'!$B$1:$S$836,4,0),"")</f>
        <v>ĐQSD</v>
      </c>
      <c r="F228" s="464" t="str">
        <f>IFERROR(VLOOKUP(B228,'03. THIẾT BỊ'!$B$1:$S$836,5,0),"")</f>
        <v>Thiết bị tạo rãnh ống tưới</v>
      </c>
      <c r="G228" s="80" t="s">
        <v>6423</v>
      </c>
      <c r="H228" s="463" t="str">
        <f>IFERROR(VLOOKUP(B228,'03. THIẾT BỊ'!$B$1:$S$836,7,0),"")</f>
        <v>CGLĐ LP</v>
      </c>
      <c r="I228" s="474" t="str">
        <f>IFERROR(VLOOKUP(B228,'03. THIẾT BỊ'!$B$1:$S$836,8,0),"")</f>
        <v>18/04/2025</v>
      </c>
      <c r="J228" s="471"/>
      <c r="K228" s="463" t="str">
        <f>IFERROR(VLOOKUP(B228,'03. THIẾT BỊ'!$B$1:$S$836,10,0),"")</f>
        <v>Bình thường</v>
      </c>
      <c r="L228" s="468" t="str">
        <f>IFERROR(VLOOKUP(B228,'03. THIẾT BỊ'!$B$1:$S$836,11,0),"")</f>
        <v>Gia công mới</v>
      </c>
      <c r="M228" s="472" t="str">
        <f>IFERROR(VLOOKUP(B228,'03. THIẾT BỊ'!$B$1:$S$836,12,0),"")</f>
        <v/>
      </c>
      <c r="N228" s="468" t="str">
        <f>IFERROR(VLOOKUP(B228,'03. THIẾT BỊ'!$B$1:$S$836,13,0),"")</f>
        <v>THACO AGRI</v>
      </c>
      <c r="O228" s="470" t="str">
        <f>IFERROR(VLOOKUP(B228,'03. THIẾT BỊ'!$B$1:$S$836,14,0),"")</f>
        <v>CK-DTR-04</v>
      </c>
      <c r="P228" s="468" t="str">
        <f>IFERROR(VLOOKUP(B228,'03. THIẾT BỊ'!$B$1:$S$836,15,0),"")</f>
        <v>CK-CGH</v>
      </c>
      <c r="Q228" s="48">
        <f>IFERROR(VLOOKUP(B228,'03. THIẾT BỊ'!$B$1:$S$836,16,0),"")</f>
        <v>2025</v>
      </c>
      <c r="R228" s="471" t="str">
        <f>IFERROR(VLOOKUP(B228,'03. THIẾT BỊ'!$B$1:$S$836,17,0),"")</f>
        <v/>
      </c>
      <c r="S228" s="468" t="str">
        <f>IFERROR(VLOOKUP(B228,'03. THIẾT BỊ'!$B$1:$S$836,18,0),"")</f>
        <v/>
      </c>
      <c r="T228" s="807"/>
    </row>
    <row r="229" ht="15.0" customHeight="1">
      <c r="A229" s="463">
        <f t="shared" si="10"/>
        <v>6</v>
      </c>
      <c r="B229" s="464" t="s">
        <v>3724</v>
      </c>
      <c r="C229" s="869" t="str">
        <f>IFERROR(VLOOKUP(B229,'03. THIẾT BỊ'!$B$1:$S$836,2,0),"")</f>
        <v/>
      </c>
      <c r="D229" s="470" t="str">
        <f>IFERROR(VLOOKUP(B229,'03. THIẾT BỊ'!$B$1:$S$836,3,0),"")</f>
        <v>A23-DRT-001</v>
      </c>
      <c r="E229" s="464" t="str">
        <f>IFERROR(VLOOKUP(B229,'03. THIẾT BỊ'!$B$1:$S$836,4,0),"")</f>
        <v>MUA MỚI</v>
      </c>
      <c r="F229" s="464" t="str">
        <f>IFERROR(VLOOKUP(B229,'03. THIẾT BỊ'!$B$1:$S$836,5,0),"")</f>
        <v>Thiết bị đào rãnh đặt ống tưới</v>
      </c>
      <c r="G229" s="80" t="s">
        <v>6423</v>
      </c>
      <c r="H229" s="463" t="str">
        <f>IFERROR(VLOOKUP(B229,'03. THIẾT BỊ'!$B$1:$S$836,7,0),"")</f>
        <v>CGLĐ DP</v>
      </c>
      <c r="I229" s="474" t="str">
        <f>IFERROR(VLOOKUP(B229,'03. THIẾT BỊ'!$B$1:$S$836,8,0),"")</f>
        <v>15/07/2025</v>
      </c>
      <c r="J229" s="471"/>
      <c r="K229" s="463" t="str">
        <f>IFERROR(VLOOKUP(B229,'03. THIẾT BỊ'!$B$1:$S$836,10,0),"")</f>
        <v>Bình thường</v>
      </c>
      <c r="L229" s="468" t="str">
        <f>IFERROR(VLOOKUP(B229,'03. THIẾT BỊ'!$B$1:$S$836,11,0),"")</f>
        <v>Đầu tư mới</v>
      </c>
      <c r="M229" s="472" t="str">
        <f>IFERROR(VLOOKUP(B229,'03. THIẾT BỊ'!$B$1:$S$836,12,0),"")</f>
        <v/>
      </c>
      <c r="N229" s="468" t="str">
        <f>IFERROR(VLOOKUP(B229,'03. THIẾT BỊ'!$B$1:$S$836,13,0),"")</f>
        <v>THACO INDUSTRY</v>
      </c>
      <c r="O229" s="470" t="str">
        <f>IFERROR(VLOOKUP(B229,'03. THIẾT BỊ'!$B$1:$S$836,14,0),"")</f>
        <v>Đĩa quay</v>
      </c>
      <c r="P229" s="468" t="str">
        <f>IFERROR(VLOOKUP(B229,'03. THIẾT BỊ'!$B$1:$S$836,15,0),"")</f>
        <v>TRUNG QUỐC</v>
      </c>
      <c r="Q229" s="48">
        <f>IFERROR(VLOOKUP(B229,'03. THIẾT BỊ'!$B$1:$S$836,16,0),"")</f>
        <v>2025</v>
      </c>
      <c r="R229" s="471" t="str">
        <f>IFERROR(VLOOKUP(B229,'03. THIẾT BỊ'!$B$1:$S$836,17,0),"")</f>
        <v/>
      </c>
      <c r="S229" s="468" t="str">
        <f>IFERROR(VLOOKUP(B229,'03. THIẾT BỊ'!$B$1:$S$836,18,0),"")</f>
        <v>DTR1</v>
      </c>
      <c r="T229" s="807"/>
    </row>
    <row r="230" ht="15.0" customHeight="1">
      <c r="A230" s="463">
        <f t="shared" si="10"/>
        <v>7</v>
      </c>
      <c r="B230" s="464" t="s">
        <v>3730</v>
      </c>
      <c r="C230" s="869" t="str">
        <f>IFERROR(VLOOKUP(B230,'03. THIẾT BỊ'!$B$1:$S$836,2,0),"")</f>
        <v/>
      </c>
      <c r="D230" s="470" t="str">
        <f>IFERROR(VLOOKUP(B230,'03. THIẾT BỊ'!$B$1:$S$836,3,0),"")</f>
        <v>A23-DRT-002</v>
      </c>
      <c r="E230" s="464" t="str">
        <f>IFERROR(VLOOKUP(B230,'03. THIẾT BỊ'!$B$1:$S$836,4,0),"")</f>
        <v>MUA MỚI</v>
      </c>
      <c r="F230" s="464" t="str">
        <f>IFERROR(VLOOKUP(B230,'03. THIẾT BỊ'!$B$1:$S$836,5,0),"")</f>
        <v>Thiết bị đào rãnh đặt ống tưới</v>
      </c>
      <c r="G230" s="80" t="s">
        <v>6423</v>
      </c>
      <c r="H230" s="463" t="str">
        <f>IFERROR(VLOOKUP(B230,'03. THIẾT BỊ'!$B$1:$S$836,7,0),"")</f>
        <v>CGLĐ DP</v>
      </c>
      <c r="I230" s="474" t="str">
        <f>IFERROR(VLOOKUP(B230,'03. THIẾT BỊ'!$B$1:$S$836,8,0),"")</f>
        <v>15/07/2025</v>
      </c>
      <c r="J230" s="471"/>
      <c r="K230" s="463" t="str">
        <f>IFERROR(VLOOKUP(B230,'03. THIẾT BỊ'!$B$1:$S$836,10,0),"")</f>
        <v>Bình thường</v>
      </c>
      <c r="L230" s="468" t="str">
        <f>IFERROR(VLOOKUP(B230,'03. THIẾT BỊ'!$B$1:$S$836,11,0),"")</f>
        <v>Đầu tư mới</v>
      </c>
      <c r="M230" s="472" t="str">
        <f>IFERROR(VLOOKUP(B230,'03. THIẾT BỊ'!$B$1:$S$836,12,0),"")</f>
        <v/>
      </c>
      <c r="N230" s="468" t="str">
        <f>IFERROR(VLOOKUP(B230,'03. THIẾT BỊ'!$B$1:$S$836,13,0),"")</f>
        <v>THACO INDUSTRY</v>
      </c>
      <c r="O230" s="470" t="str">
        <f>IFERROR(VLOOKUP(B230,'03. THIẾT BỊ'!$B$1:$S$836,14,0),"")</f>
        <v>Đĩa quay</v>
      </c>
      <c r="P230" s="468" t="str">
        <f>IFERROR(VLOOKUP(B230,'03. THIẾT BỊ'!$B$1:$S$836,15,0),"")</f>
        <v>TRUNG QUỐC</v>
      </c>
      <c r="Q230" s="48">
        <f>IFERROR(VLOOKUP(B230,'03. THIẾT BỊ'!$B$1:$S$836,16,0),"")</f>
        <v>2025</v>
      </c>
      <c r="R230" s="471" t="str">
        <f>IFERROR(VLOOKUP(B230,'03. THIẾT BỊ'!$B$1:$S$836,17,0),"")</f>
        <v/>
      </c>
      <c r="S230" s="468" t="str">
        <f>IFERROR(VLOOKUP(B230,'03. THIẾT BỊ'!$B$1:$S$836,18,0),"")</f>
        <v>DTR2</v>
      </c>
      <c r="T230" s="807"/>
    </row>
    <row r="231" ht="15.0" customHeight="1">
      <c r="A231" s="463">
        <f t="shared" si="10"/>
        <v>8</v>
      </c>
      <c r="B231" s="464" t="s">
        <v>3733</v>
      </c>
      <c r="C231" s="869" t="str">
        <f>IFERROR(VLOOKUP(B231,'03. THIẾT BỊ'!$B$1:$S$836,2,0),"")</f>
        <v/>
      </c>
      <c r="D231" s="470" t="str">
        <f>IFERROR(VLOOKUP(B231,'03. THIẾT BỊ'!$B$1:$S$836,3,0),"")</f>
        <v>A23-DRT-003</v>
      </c>
      <c r="E231" s="464" t="str">
        <f>IFERROR(VLOOKUP(B231,'03. THIẾT BỊ'!$B$1:$S$836,4,0),"")</f>
        <v>MUA MỚI</v>
      </c>
      <c r="F231" s="464" t="str">
        <f>IFERROR(VLOOKUP(B231,'03. THIẾT BỊ'!$B$1:$S$836,5,0),"")</f>
        <v>Thiết bị đào rãnh đặt ống tưới</v>
      </c>
      <c r="G231" s="80" t="s">
        <v>6423</v>
      </c>
      <c r="H231" s="463" t="str">
        <f>IFERROR(VLOOKUP(B231,'03. THIẾT BỊ'!$B$1:$S$836,7,0),"")</f>
        <v>CGLĐ DP</v>
      </c>
      <c r="I231" s="474" t="str">
        <f>IFERROR(VLOOKUP(B231,'03. THIẾT BỊ'!$B$1:$S$836,8,0),"")</f>
        <v>15/07/2025</v>
      </c>
      <c r="J231" s="471"/>
      <c r="K231" s="463" t="str">
        <f>IFERROR(VLOOKUP(B231,'03. THIẾT BỊ'!$B$1:$S$836,10,0),"")</f>
        <v>Bình thường</v>
      </c>
      <c r="L231" s="468" t="str">
        <f>IFERROR(VLOOKUP(B231,'03. THIẾT BỊ'!$B$1:$S$836,11,0),"")</f>
        <v>Đầu tư mới</v>
      </c>
      <c r="M231" s="472" t="str">
        <f>IFERROR(VLOOKUP(B231,'03. THIẾT BỊ'!$B$1:$S$836,12,0),"")</f>
        <v/>
      </c>
      <c r="N231" s="468" t="str">
        <f>IFERROR(VLOOKUP(B231,'03. THIẾT BỊ'!$B$1:$S$836,13,0),"")</f>
        <v>THACO INDUSTRY</v>
      </c>
      <c r="O231" s="470" t="str">
        <f>IFERROR(VLOOKUP(B231,'03. THIẾT BỊ'!$B$1:$S$836,14,0),"")</f>
        <v>Đĩa quay</v>
      </c>
      <c r="P231" s="468" t="str">
        <f>IFERROR(VLOOKUP(B231,'03. THIẾT BỊ'!$B$1:$S$836,15,0),"")</f>
        <v>TRUNG QUỐC</v>
      </c>
      <c r="Q231" s="48">
        <f>IFERROR(VLOOKUP(B231,'03. THIẾT BỊ'!$B$1:$S$836,16,0),"")</f>
        <v>2025</v>
      </c>
      <c r="R231" s="471" t="str">
        <f>IFERROR(VLOOKUP(B231,'03. THIẾT BỊ'!$B$1:$S$836,17,0),"")</f>
        <v/>
      </c>
      <c r="S231" s="468" t="str">
        <f>IFERROR(VLOOKUP(B231,'03. THIẾT BỊ'!$B$1:$S$836,18,0),"")</f>
        <v>DTR4</v>
      </c>
      <c r="T231" s="807"/>
    </row>
    <row r="232" ht="15.0" customHeight="1">
      <c r="A232" s="463">
        <f t="shared" si="10"/>
        <v>9</v>
      </c>
      <c r="B232" s="464" t="s">
        <v>3825</v>
      </c>
      <c r="C232" s="869" t="str">
        <f>IFERROR(VLOOKUP(B232,'03. THIẾT BỊ'!$B$1:$S$836,2,0),"")</f>
        <v/>
      </c>
      <c r="D232" s="470" t="str">
        <f>IFERROR(VLOOKUP(B232,'03. THIẾT BỊ'!$B$1:$S$836,3,0),"")</f>
        <v>A24-DRT-001</v>
      </c>
      <c r="E232" s="464" t="str">
        <f>IFERROR(VLOOKUP(B232,'03. THIẾT BỊ'!$B$1:$S$836,4,0),"")</f>
        <v>ĐQSD</v>
      </c>
      <c r="F232" s="464" t="str">
        <f>IFERROR(VLOOKUP(B232,'03. THIẾT BỊ'!$B$1:$S$836,5,0),"")</f>
        <v>Thiết bị đào rãnh đặt ống tưới</v>
      </c>
      <c r="G232" s="80" t="s">
        <v>6423</v>
      </c>
      <c r="H232" s="463" t="str">
        <f>IFERROR(VLOOKUP(B232,'03. THIẾT BỊ'!$B$1:$S$836,7,0),"")</f>
        <v>CGLĐ LP</v>
      </c>
      <c r="I232" s="474" t="str">
        <f>IFERROR(VLOOKUP(B232,'03. THIẾT BỊ'!$B$1:$S$836,8,0),"")</f>
        <v>15/07/2025</v>
      </c>
      <c r="J232" s="471"/>
      <c r="K232" s="463" t="str">
        <f>IFERROR(VLOOKUP(B232,'03. THIẾT BỊ'!$B$1:$S$836,10,0),"")</f>
        <v>Bình thường</v>
      </c>
      <c r="L232" s="468" t="str">
        <f>IFERROR(VLOOKUP(B232,'03. THIẾT BỊ'!$B$1:$S$836,11,0),"")</f>
        <v>Đầu tư mới</v>
      </c>
      <c r="M232" s="472" t="str">
        <f>IFERROR(VLOOKUP(B232,'03. THIẾT BỊ'!$B$1:$S$836,12,0),"")</f>
        <v/>
      </c>
      <c r="N232" s="468" t="str">
        <f>IFERROR(VLOOKUP(B232,'03. THIẾT BỊ'!$B$1:$S$836,13,0),"")</f>
        <v>THACO INDUSTRY</v>
      </c>
      <c r="O232" s="470" t="str">
        <f>IFERROR(VLOOKUP(B232,'03. THIẾT BỊ'!$B$1:$S$836,14,0),"")</f>
        <v>Đĩa quay</v>
      </c>
      <c r="P232" s="468" t="str">
        <f>IFERROR(VLOOKUP(B232,'03. THIẾT BỊ'!$B$1:$S$836,15,0),"")</f>
        <v>TRUNG QUỐC</v>
      </c>
      <c r="Q232" s="48">
        <f>IFERROR(VLOOKUP(B232,'03. THIẾT BỊ'!$B$1:$S$836,16,0),"")</f>
        <v>2025</v>
      </c>
      <c r="R232" s="471" t="str">
        <f>IFERROR(VLOOKUP(B232,'03. THIẾT BỊ'!$B$1:$S$836,17,0),"")</f>
        <v/>
      </c>
      <c r="S232" s="468" t="str">
        <f>IFERROR(VLOOKUP(B232,'03. THIẾT BỊ'!$B$1:$S$836,18,0),"")</f>
        <v>DTR3</v>
      </c>
      <c r="T232" s="807"/>
    </row>
    <row r="233" ht="15.0" customHeight="1">
      <c r="A233" s="463">
        <f t="shared" si="10"/>
        <v>10</v>
      </c>
      <c r="B233" s="464" t="s">
        <v>3828</v>
      </c>
      <c r="C233" s="869" t="str">
        <f>IFERROR(VLOOKUP(B233,'03. THIẾT BỊ'!$B$1:$S$836,2,0),"")</f>
        <v/>
      </c>
      <c r="D233" s="470" t="str">
        <f>IFERROR(VLOOKUP(B233,'03. THIẾT BỊ'!$B$1:$S$836,3,0),"")</f>
        <v>A24-DRT-002</v>
      </c>
      <c r="E233" s="464" t="str">
        <f>IFERROR(VLOOKUP(B233,'03. THIẾT BỊ'!$B$1:$S$836,4,0),"")</f>
        <v>ĐQSD</v>
      </c>
      <c r="F233" s="464" t="str">
        <f>IFERROR(VLOOKUP(B233,'03. THIẾT BỊ'!$B$1:$S$836,5,0),"")</f>
        <v>Thiết bị đào rãnh đặt ống tưới</v>
      </c>
      <c r="G233" s="80" t="s">
        <v>6423</v>
      </c>
      <c r="H233" s="463" t="str">
        <f>IFERROR(VLOOKUP(B233,'03. THIẾT BỊ'!$B$1:$S$836,7,0),"")</f>
        <v>CGLĐ LP</v>
      </c>
      <c r="I233" s="474" t="str">
        <f>IFERROR(VLOOKUP(B233,'03. THIẾT BỊ'!$B$1:$S$836,8,0),"")</f>
        <v>15/07/2025</v>
      </c>
      <c r="J233" s="471"/>
      <c r="K233" s="463" t="str">
        <f>IFERROR(VLOOKUP(B233,'03. THIẾT BỊ'!$B$1:$S$836,10,0),"")</f>
        <v>Bình thường</v>
      </c>
      <c r="L233" s="468" t="str">
        <f>IFERROR(VLOOKUP(B233,'03. THIẾT BỊ'!$B$1:$S$836,11,0),"")</f>
        <v>Đầu tư mới</v>
      </c>
      <c r="M233" s="472" t="str">
        <f>IFERROR(VLOOKUP(B233,'03. THIẾT BỊ'!$B$1:$S$836,12,0),"")</f>
        <v/>
      </c>
      <c r="N233" s="468" t="str">
        <f>IFERROR(VLOOKUP(B233,'03. THIẾT BỊ'!$B$1:$S$836,13,0),"")</f>
        <v>THACO INDUSTRY</v>
      </c>
      <c r="O233" s="470" t="str">
        <f>IFERROR(VLOOKUP(B233,'03. THIẾT BỊ'!$B$1:$S$836,14,0),"")</f>
        <v>Đĩa quay</v>
      </c>
      <c r="P233" s="468" t="str">
        <f>IFERROR(VLOOKUP(B233,'03. THIẾT BỊ'!$B$1:$S$836,15,0),"")</f>
        <v>TRUNG QUỐC</v>
      </c>
      <c r="Q233" s="48">
        <f>IFERROR(VLOOKUP(B233,'03. THIẾT BỊ'!$B$1:$S$836,16,0),"")</f>
        <v>2025</v>
      </c>
      <c r="R233" s="471" t="str">
        <f>IFERROR(VLOOKUP(B233,'03. THIẾT BỊ'!$B$1:$S$836,17,0),"")</f>
        <v/>
      </c>
      <c r="S233" s="468" t="str">
        <f>IFERROR(VLOOKUP(B233,'03. THIẾT BỊ'!$B$1:$S$836,18,0),"")</f>
        <v>DTR5</v>
      </c>
      <c r="T233" s="807"/>
    </row>
    <row r="234" ht="15.0" customHeight="1">
      <c r="A234" s="463"/>
      <c r="B234" s="464"/>
      <c r="C234" s="869" t="str">
        <f>IFERROR(VLOOKUP(B234,'03. THIẾT BỊ'!$B$1:$S$836,2,0),"")</f>
        <v/>
      </c>
      <c r="D234" s="470" t="str">
        <f>IFERROR(VLOOKUP(B234,'03. THIẾT BỊ'!$B$1:$S$836,3,0),"")</f>
        <v/>
      </c>
      <c r="E234" s="464" t="str">
        <f>IFERROR(VLOOKUP(B234,'03. THIẾT BỊ'!$B$1:$S$836,4,0),"")</f>
        <v/>
      </c>
      <c r="F234" s="464" t="str">
        <f>IFERROR(VLOOKUP(B234,'03. THIẾT BỊ'!$B$1:$S$836,5,0),"")</f>
        <v/>
      </c>
      <c r="G234" s="80" t="s">
        <v>6423</v>
      </c>
      <c r="H234" s="463" t="str">
        <f>IFERROR(VLOOKUP(B234,'03. THIẾT BỊ'!$B$1:$S$836,7,0),"")</f>
        <v/>
      </c>
      <c r="I234" s="474" t="str">
        <f>IFERROR(VLOOKUP(B234,'03. THIẾT BỊ'!$B$1:$S$836,8,0),"")</f>
        <v/>
      </c>
      <c r="J234" s="471"/>
      <c r="K234" s="463" t="str">
        <f>IFERROR(VLOOKUP(B234,'03. THIẾT BỊ'!$B$1:$S$836,10,0),"")</f>
        <v/>
      </c>
      <c r="L234" s="468" t="str">
        <f>IFERROR(VLOOKUP(B234,'03. THIẾT BỊ'!$B$1:$S$836,11,0),"")</f>
        <v/>
      </c>
      <c r="M234" s="472" t="str">
        <f>IFERROR(VLOOKUP(B234,'03. THIẾT BỊ'!$B$1:$S$836,12,0),"")</f>
        <v/>
      </c>
      <c r="N234" s="468" t="str">
        <f>IFERROR(VLOOKUP(B234,'03. THIẾT BỊ'!$B$1:$S$836,13,0),"")</f>
        <v/>
      </c>
      <c r="O234" s="470" t="str">
        <f>IFERROR(VLOOKUP(B234,'03. THIẾT BỊ'!$B$1:$S$836,14,0),"")</f>
        <v/>
      </c>
      <c r="P234" s="468" t="str">
        <f>IFERROR(VLOOKUP(B234,'03. THIẾT BỊ'!$B$1:$S$836,15,0),"")</f>
        <v/>
      </c>
      <c r="Q234" s="48" t="str">
        <f>IFERROR(VLOOKUP(B234,'03. THIẾT BỊ'!$B$1:$S$836,16,0),"")</f>
        <v/>
      </c>
      <c r="R234" s="471" t="str">
        <f>IFERROR(VLOOKUP(B234,'03. THIẾT BỊ'!$B$1:$S$836,17,0),"")</f>
        <v/>
      </c>
      <c r="S234" s="468" t="str">
        <f>IFERROR(VLOOKUP(B234,'03. THIẾT BỊ'!$B$1:$S$836,18,0),"")</f>
        <v/>
      </c>
      <c r="T234" s="807"/>
    </row>
    <row r="235" ht="15.0" customHeight="1">
      <c r="A235" s="455" t="s">
        <v>76</v>
      </c>
      <c r="B235" s="456" t="s">
        <v>8240</v>
      </c>
      <c r="C235" s="457">
        <f>COUNTA(B236:B255)</f>
        <v>18</v>
      </c>
      <c r="D235" s="458" t="str">
        <f>IFERROR(VLOOKUP(B235,'03. THIẾT BỊ'!$B$1:$S$836,3,0),"")</f>
        <v/>
      </c>
      <c r="E235" s="464" t="str">
        <f>IFERROR(VLOOKUP(B235,'03. THIẾT BỊ'!$B$1:$S$836,4,0),"")</f>
        <v/>
      </c>
      <c r="F235" s="458" t="str">
        <f>IFERROR(VLOOKUP(B235,'03. THIẾT BỊ'!$B$1:$S$836,5,0),"")</f>
        <v/>
      </c>
      <c r="G235" s="459" t="s">
        <v>6423</v>
      </c>
      <c r="H235" s="459" t="str">
        <f>IFERROR(VLOOKUP(B235,'03. THIẾT BỊ'!$B$1:$S$836,7,0),"")</f>
        <v/>
      </c>
      <c r="I235" s="457" t="str">
        <f>IFERROR(VLOOKUP(B235,'03. THIẾT BỊ'!$B$1:$S$836,8,0),"")</f>
        <v/>
      </c>
      <c r="J235" s="460"/>
      <c r="K235" s="457" t="str">
        <f>IFERROR(VLOOKUP(B235,'03. THIẾT BỊ'!$B$1:$S$836,10,0),"")</f>
        <v/>
      </c>
      <c r="L235" s="458" t="str">
        <f>IFERROR(VLOOKUP(B235,'03. THIẾT BỊ'!$B$1:$S$836,11,0),"")</f>
        <v/>
      </c>
      <c r="M235" s="461" t="str">
        <f>IFERROR(VLOOKUP(B235,'03. THIẾT BỊ'!$B$1:$S$836,12,0),"")</f>
        <v/>
      </c>
      <c r="N235" s="458" t="str">
        <f>IFERROR(VLOOKUP(B235,'03. THIẾT BỊ'!$B$1:$S$836,13,0),"")</f>
        <v/>
      </c>
      <c r="O235" s="461" t="str">
        <f>IFERROR(VLOOKUP(B235,'03. THIẾT BỊ'!$B$1:$S$836,14,0),"")</f>
        <v/>
      </c>
      <c r="P235" s="458" t="str">
        <f>IFERROR(VLOOKUP(B235,'03. THIẾT BỊ'!$B$1:$S$836,15,0),"")</f>
        <v/>
      </c>
      <c r="Q235" s="459" t="str">
        <f>IFERROR(VLOOKUP(B235,'03. THIẾT BỊ'!$B$1:$S$836,16,0),"")</f>
        <v/>
      </c>
      <c r="R235" s="458" t="str">
        <f>IFERROR(VLOOKUP(B235,'03. THIẾT BỊ'!$B$1:$S$836,17,0),"")</f>
        <v/>
      </c>
      <c r="S235" s="458" t="str">
        <f>IFERROR(VLOOKUP(B235,'03. THIẾT BỊ'!$B$1:$S$836,18,0),"")</f>
        <v/>
      </c>
      <c r="T235" s="866"/>
    </row>
    <row r="236" ht="15.0" customHeight="1">
      <c r="A236" s="463">
        <v>1.0</v>
      </c>
      <c r="B236" s="464" t="s">
        <v>3700</v>
      </c>
      <c r="C236" s="869" t="str">
        <f>IFERROR(VLOOKUP(B236,'03. THIẾT BỊ'!$B$1:$S$836,2,0),"")</f>
        <v/>
      </c>
      <c r="D236" s="470" t="str">
        <f>IFERROR(VLOOKUP(B236,'03. THIẾT BỊ'!$B$1:$S$836,3,0),"")</f>
        <v>A23-DXP-001</v>
      </c>
      <c r="E236" s="464" t="str">
        <f>IFERROR(VLOOKUP(B236,'03. THIẾT BỊ'!$B$1:$S$836,4,0),"")</f>
        <v>ĐQSD</v>
      </c>
      <c r="F236" s="464" t="str">
        <f>IFERROR(VLOOKUP(B236,'03. THIẾT BỊ'!$B$1:$S$836,5,0),"")</f>
        <v>Thiết bị xới phân</v>
      </c>
      <c r="G236" s="80" t="s">
        <v>6423</v>
      </c>
      <c r="H236" s="463" t="str">
        <f>IFERROR(VLOOKUP(B236,'03. THIẾT BỊ'!$B$1:$S$836,7,0),"")</f>
        <v>CGLĐ DP</v>
      </c>
      <c r="I236" s="474" t="str">
        <f>IFERROR(VLOOKUP(B236,'03. THIẾT BỊ'!$B$1:$S$836,8,0),"")</f>
        <v>29/03/2025</v>
      </c>
      <c r="J236" s="471"/>
      <c r="K236" s="463" t="str">
        <f>IFERROR(VLOOKUP(B236,'03. THIẾT BỊ'!$B$1:$S$836,10,0),"")</f>
        <v>Bình thường</v>
      </c>
      <c r="L236" s="468" t="str">
        <f>IFERROR(VLOOKUP(B236,'03. THIẾT BỊ'!$B$1:$S$836,11,0),"")</f>
        <v>Gia công mới</v>
      </c>
      <c r="M236" s="472" t="str">
        <f>IFERROR(VLOOKUP(B236,'03. THIẾT BỊ'!$B$1:$S$836,12,0),"")</f>
        <v/>
      </c>
      <c r="N236" s="468" t="str">
        <f>IFERROR(VLOOKUP(B236,'03. THIẾT BỊ'!$B$1:$S$836,13,0),"")</f>
        <v>THACO AGRI</v>
      </c>
      <c r="O236" s="470" t="str">
        <f>IFERROR(VLOOKUP(B236,'03. THIẾT BỊ'!$B$1:$S$836,14,0),"")</f>
        <v>CK-DXP-01</v>
      </c>
      <c r="P236" s="468" t="str">
        <f>IFERROR(VLOOKUP(B236,'03. THIẾT BỊ'!$B$1:$S$836,15,0),"")</f>
        <v>CAMBODIA</v>
      </c>
      <c r="Q236" s="48">
        <f>IFERROR(VLOOKUP(B236,'03. THIẾT BỊ'!$B$1:$S$836,16,0),"")</f>
        <v>2025</v>
      </c>
      <c r="R236" s="471" t="str">
        <f>IFERROR(VLOOKUP(B236,'03. THIẾT BỊ'!$B$1:$S$836,17,0),"")</f>
        <v>3.5x1x3.6</v>
      </c>
      <c r="S236" s="468" t="str">
        <f>IFERROR(VLOOKUP(B236,'03. THIẾT BỊ'!$B$1:$S$836,18,0),"")</f>
        <v/>
      </c>
      <c r="T236" s="812"/>
    </row>
    <row r="237" ht="15.0" customHeight="1">
      <c r="A237" s="463">
        <f t="shared" ref="A237:A254" si="11">A236+1</f>
        <v>2</v>
      </c>
      <c r="B237" s="464" t="s">
        <v>3706</v>
      </c>
      <c r="C237" s="869" t="str">
        <f>IFERROR(VLOOKUP(B237,'03. THIẾT BỊ'!$B$1:$S$836,2,0),"")</f>
        <v/>
      </c>
      <c r="D237" s="470" t="str">
        <f>IFERROR(VLOOKUP(B237,'03. THIẾT BỊ'!$B$1:$S$836,3,0),"")</f>
        <v>A22-DRP-001</v>
      </c>
      <c r="E237" s="464" t="str">
        <f>IFERROR(VLOOKUP(B237,'03. THIẾT BỊ'!$B$1:$S$836,4,0),"")</f>
        <v>MUA MỚI</v>
      </c>
      <c r="F237" s="464" t="str">
        <f>IFERROR(VLOOKUP(B237,'03. THIẾT BỊ'!$B$1:$S$836,5,0),"")</f>
        <v>Dàn rải phân (10m3)</v>
      </c>
      <c r="G237" s="80" t="s">
        <v>6423</v>
      </c>
      <c r="H237" s="463" t="str">
        <f>IFERROR(VLOOKUP(B237,'03. THIẾT BỊ'!$B$1:$S$836,7,0),"")</f>
        <v>CGLĐ DP</v>
      </c>
      <c r="I237" s="474">
        <f>IFERROR(VLOOKUP(B237,'03. THIẾT BỊ'!$B$1:$S$836,8,0),"")</f>
        <v>45964</v>
      </c>
      <c r="J237" s="471"/>
      <c r="K237" s="463" t="str">
        <f>IFERROR(VLOOKUP(B237,'03. THIẾT BỊ'!$B$1:$S$836,10,0),"")</f>
        <v>Bình thường</v>
      </c>
      <c r="L237" s="468" t="str">
        <f>IFERROR(VLOOKUP(B237,'03. THIẾT BỊ'!$B$1:$S$836,11,0),"")</f>
        <v>Đầu tư mới</v>
      </c>
      <c r="M237" s="472" t="str">
        <f>IFERROR(VLOOKUP(B237,'03. THIẾT BỊ'!$B$1:$S$836,12,0),"")</f>
        <v/>
      </c>
      <c r="N237" s="468" t="str">
        <f>IFERROR(VLOOKUP(B237,'03. THIẾT BỊ'!$B$1:$S$836,13,0),"")</f>
        <v>THACO INDUSTRY</v>
      </c>
      <c r="O237" s="470" t="str">
        <f>IFERROR(VLOOKUP(B237,'03. THIẾT BỊ'!$B$1:$S$836,14,0),"")</f>
        <v>10M3</v>
      </c>
      <c r="P237" s="468" t="str">
        <f>IFERROR(VLOOKUP(B237,'03. THIẾT BỊ'!$B$1:$S$836,15,0),"")</f>
        <v>CHU LAI</v>
      </c>
      <c r="Q237" s="48">
        <f>IFERROR(VLOOKUP(B237,'03. THIẾT BỊ'!$B$1:$S$836,16,0),"")</f>
        <v>2025</v>
      </c>
      <c r="R237" s="471">
        <f>IFERROR(VLOOKUP(B237,'03. THIẾT BỊ'!$B$1:$S$836,17,0),"")</f>
        <v>7</v>
      </c>
      <c r="S237" s="468" t="str">
        <f>IFERROR(VLOOKUP(B237,'03. THIẾT BỊ'!$B$1:$S$836,18,0),"")</f>
        <v/>
      </c>
      <c r="T237" s="812"/>
    </row>
    <row r="238" ht="15.0" customHeight="1">
      <c r="A238" s="463">
        <f t="shared" si="11"/>
        <v>3</v>
      </c>
      <c r="B238" s="464" t="s">
        <v>3881</v>
      </c>
      <c r="C238" s="869" t="str">
        <f>IFERROR(VLOOKUP(B238,'03. THIẾT BỊ'!$B$1:$S$836,2,0),"")</f>
        <v/>
      </c>
      <c r="D238" s="470" t="str">
        <f>IFERROR(VLOOKUP(B238,'03. THIẾT BỊ'!$B$1:$S$836,3,0),"")</f>
        <v>A22-DRP-002</v>
      </c>
      <c r="E238" s="464" t="str">
        <f>IFERROR(VLOOKUP(B238,'03. THIẾT BỊ'!$B$1:$S$836,4,0),"")</f>
        <v>MUA MỚI</v>
      </c>
      <c r="F238" s="464" t="str">
        <f>IFERROR(VLOOKUP(B238,'03. THIẾT BỊ'!$B$1:$S$836,5,0),"")</f>
        <v>Dàn rải phân (10m3)</v>
      </c>
      <c r="G238" s="80" t="s">
        <v>6423</v>
      </c>
      <c r="H238" s="463" t="str">
        <f>IFERROR(VLOOKUP(B238,'03. THIẾT BỊ'!$B$1:$S$836,7,0),"")</f>
        <v>XN Bò AD</v>
      </c>
      <c r="I238" s="474">
        <f>IFERROR(VLOOKUP(B238,'03. THIẾT BỊ'!$B$1:$S$836,8,0),"")</f>
        <v>45968</v>
      </c>
      <c r="J238" s="471"/>
      <c r="K238" s="463" t="str">
        <f>IFERROR(VLOOKUP(B238,'03. THIẾT BỊ'!$B$1:$S$836,10,0),"")</f>
        <v>Bình thường</v>
      </c>
      <c r="L238" s="468" t="str">
        <f>IFERROR(VLOOKUP(B238,'03. THIẾT BỊ'!$B$1:$S$836,11,0),"")</f>
        <v>Điều chuyển qua XNB  ngày 29.11.2025</v>
      </c>
      <c r="M238" s="472" t="str">
        <f>IFERROR(VLOOKUP(B238,'03. THIẾT BỊ'!$B$1:$S$836,12,0),"")</f>
        <v/>
      </c>
      <c r="N238" s="468" t="str">
        <f>IFERROR(VLOOKUP(B238,'03. THIẾT BỊ'!$B$1:$S$836,13,0),"")</f>
        <v>THACO INDUSTRIES</v>
      </c>
      <c r="O238" s="470" t="str">
        <f>IFERROR(VLOOKUP(B238,'03. THIẾT BỊ'!$B$1:$S$836,14,0),"")</f>
        <v>10M3</v>
      </c>
      <c r="P238" s="468" t="str">
        <f>IFERROR(VLOOKUP(B238,'03. THIẾT BỊ'!$B$1:$S$836,15,0),"")</f>
        <v>CHU LAI</v>
      </c>
      <c r="Q238" s="48">
        <f>IFERROR(VLOOKUP(B238,'03. THIẾT BỊ'!$B$1:$S$836,16,0),"")</f>
        <v>2025</v>
      </c>
      <c r="R238" s="471" t="str">
        <f>IFERROR(VLOOKUP(B238,'03. THIẾT BỊ'!$B$1:$S$836,17,0),"")</f>
        <v/>
      </c>
      <c r="S238" s="468">
        <f>IFERROR(VLOOKUP(B238,'03. THIẾT BỊ'!$B$1:$S$836,18,0),"")</f>
        <v>45701</v>
      </c>
      <c r="T238" s="812"/>
    </row>
    <row r="239" ht="15.0" customHeight="1">
      <c r="A239" s="463">
        <f t="shared" si="11"/>
        <v>4</v>
      </c>
      <c r="B239" s="464" t="s">
        <v>3834</v>
      </c>
      <c r="C239" s="869" t="str">
        <f>IFERROR(VLOOKUP(B239,'03. THIẾT BỊ'!$B$1:$S$836,2,0),"")</f>
        <v/>
      </c>
      <c r="D239" s="470" t="str">
        <f>IFERROR(VLOOKUP(B239,'03. THIẾT BỊ'!$B$1:$S$836,3,0),"")</f>
        <v>A24-DRP-003</v>
      </c>
      <c r="E239" s="464" t="str">
        <f>IFERROR(VLOOKUP(B239,'03. THIẾT BỊ'!$B$1:$S$836,4,0),"")</f>
        <v>ĐQSD</v>
      </c>
      <c r="F239" s="464" t="str">
        <f>IFERROR(VLOOKUP(B239,'03. THIẾT BỊ'!$B$1:$S$836,5,0),"")</f>
        <v>Dàn rải phân (10m3)</v>
      </c>
      <c r="G239" s="80" t="s">
        <v>6423</v>
      </c>
      <c r="H239" s="463" t="str">
        <f>IFERROR(VLOOKUP(B239,'03. THIẾT BỊ'!$B$1:$S$836,7,0),"")</f>
        <v>CGLĐ LP</v>
      </c>
      <c r="I239" s="474" t="str">
        <f>IFERROR(VLOOKUP(B239,'03. THIẾT BỊ'!$B$1:$S$836,8,0),"")</f>
        <v>18/11/2025</v>
      </c>
      <c r="J239" s="471"/>
      <c r="K239" s="463" t="str">
        <f>IFERROR(VLOOKUP(B239,'03. THIẾT BỊ'!$B$1:$S$836,10,0),"")</f>
        <v>Bình thường</v>
      </c>
      <c r="L239" s="468" t="str">
        <f>IFERROR(VLOOKUP(B239,'03. THIẾT BỊ'!$B$1:$S$836,11,0),"")</f>
        <v/>
      </c>
      <c r="M239" s="472" t="str">
        <f>IFERROR(VLOOKUP(B239,'03. THIẾT BỊ'!$B$1:$S$836,12,0),"")</f>
        <v/>
      </c>
      <c r="N239" s="468" t="str">
        <f>IFERROR(VLOOKUP(B239,'03. THIẾT BỊ'!$B$1:$S$836,13,0),"")</f>
        <v>THACO INDUSTRIES</v>
      </c>
      <c r="O239" s="470" t="str">
        <f>IFERROR(VLOOKUP(B239,'03. THIẾT BỊ'!$B$1:$S$836,14,0),"")</f>
        <v/>
      </c>
      <c r="P239" s="468" t="str">
        <f>IFERROR(VLOOKUP(B239,'03. THIẾT BỊ'!$B$1:$S$836,15,0),"")</f>
        <v>CHU LAI</v>
      </c>
      <c r="Q239" s="48">
        <f>IFERROR(VLOOKUP(B239,'03. THIẾT BỊ'!$B$1:$S$836,16,0),"")</f>
        <v>2025</v>
      </c>
      <c r="R239" s="471" t="str">
        <f>IFERROR(VLOOKUP(B239,'03. THIẾT BỊ'!$B$1:$S$836,17,0),"")</f>
        <v>RMFNUU109ASC001753</v>
      </c>
      <c r="S239" s="468">
        <f>IFERROR(VLOOKUP(B239,'03. THIẾT BỊ'!$B$1:$S$836,18,0),"")</f>
        <v>14</v>
      </c>
      <c r="T239" s="812"/>
    </row>
    <row r="240" ht="15.0" customHeight="1">
      <c r="A240" s="463">
        <f t="shared" si="11"/>
        <v>5</v>
      </c>
      <c r="B240" s="464" t="s">
        <v>3713</v>
      </c>
      <c r="C240" s="869" t="str">
        <f>IFERROR(VLOOKUP(B240,'03. THIẾT BỊ'!$B$1:$S$836,2,0),"")</f>
        <v/>
      </c>
      <c r="D240" s="470" t="str">
        <f>IFERROR(VLOOKUP(B240,'03. THIẾT BỊ'!$B$1:$S$836,3,0),"")</f>
        <v>A24-DRP-004</v>
      </c>
      <c r="E240" s="464" t="str">
        <f>IFERROR(VLOOKUP(B240,'03. THIẾT BỊ'!$B$1:$S$836,4,0),"")</f>
        <v>MUA MỚI</v>
      </c>
      <c r="F240" s="464" t="str">
        <f>IFERROR(VLOOKUP(B240,'03. THIẾT BỊ'!$B$1:$S$836,5,0),"")</f>
        <v>Dàn rải phân (10m3)</v>
      </c>
      <c r="G240" s="80" t="s">
        <v>6423</v>
      </c>
      <c r="H240" s="463" t="str">
        <f>IFERROR(VLOOKUP(B240,'03. THIẾT BỊ'!$B$1:$S$836,7,0),"")</f>
        <v>CGLĐ DP</v>
      </c>
      <c r="I240" s="474" t="str">
        <f>IFERROR(VLOOKUP(B240,'03. THIẾT BỊ'!$B$1:$S$836,8,0),"")</f>
        <v>18/11/2025</v>
      </c>
      <c r="J240" s="471"/>
      <c r="K240" s="463" t="str">
        <f>IFERROR(VLOOKUP(B240,'03. THIẾT BỊ'!$B$1:$S$836,10,0),"")</f>
        <v>Bình thường</v>
      </c>
      <c r="L240" s="468" t="str">
        <f>IFERROR(VLOOKUP(B240,'03. THIẾT BỊ'!$B$1:$S$836,11,0),"")</f>
        <v>Đầu tư mới</v>
      </c>
      <c r="M240" s="472" t="str">
        <f>IFERROR(VLOOKUP(B240,'03. THIẾT BỊ'!$B$1:$S$836,12,0),"")</f>
        <v/>
      </c>
      <c r="N240" s="468" t="str">
        <f>IFERROR(VLOOKUP(B240,'03. THIẾT BỊ'!$B$1:$S$836,13,0),"")</f>
        <v>THACO INDUSTRY</v>
      </c>
      <c r="O240" s="470" t="str">
        <f>IFERROR(VLOOKUP(B240,'03. THIẾT BỊ'!$B$1:$S$836,14,0),"")</f>
        <v>10M3</v>
      </c>
      <c r="P240" s="468" t="str">
        <f>IFERROR(VLOOKUP(B240,'03. THIẾT BỊ'!$B$1:$S$836,15,0),"")</f>
        <v>CHU LAI</v>
      </c>
      <c r="Q240" s="48">
        <f>IFERROR(VLOOKUP(B240,'03. THIẾT BỊ'!$B$1:$S$836,16,0),"")</f>
        <v>2025</v>
      </c>
      <c r="R240" s="471" t="str">
        <f>IFERROR(VLOOKUP(B240,'03. THIẾT BỊ'!$B$1:$S$836,17,0),"")</f>
        <v>RMFNUU109ASC001754</v>
      </c>
      <c r="S240" s="468">
        <f>IFERROR(VLOOKUP(B240,'03. THIẾT BỊ'!$B$1:$S$836,18,0),"")</f>
        <v>16</v>
      </c>
      <c r="T240" s="812"/>
    </row>
    <row r="241" ht="15.0" customHeight="1">
      <c r="A241" s="463">
        <f t="shared" si="11"/>
        <v>6</v>
      </c>
      <c r="B241" s="464" t="s">
        <v>3717</v>
      </c>
      <c r="C241" s="869" t="str">
        <f>IFERROR(VLOOKUP(B241,'03. THIẾT BỊ'!$B$1:$S$836,2,0),"")</f>
        <v/>
      </c>
      <c r="D241" s="470" t="str">
        <f>IFERROR(VLOOKUP(B241,'03. THIẾT BỊ'!$B$1:$S$836,3,0),"")</f>
        <v>A23-DRP-005</v>
      </c>
      <c r="E241" s="464" t="str">
        <f>IFERROR(VLOOKUP(B241,'03. THIẾT BỊ'!$B$1:$S$836,4,0),"")</f>
        <v>MUA MỚI</v>
      </c>
      <c r="F241" s="464" t="str">
        <f>IFERROR(VLOOKUP(B241,'03. THIẾT BỊ'!$B$1:$S$836,5,0),"")</f>
        <v>Dàn rải phân (10m3)</v>
      </c>
      <c r="G241" s="80" t="s">
        <v>6423</v>
      </c>
      <c r="H241" s="463" t="str">
        <f>IFERROR(VLOOKUP(B241,'03. THIẾT BỊ'!$B$1:$S$836,7,0),"")</f>
        <v>CGLĐ DP</v>
      </c>
      <c r="I241" s="474">
        <f>IFERROR(VLOOKUP(B241,'03. THIẾT BỊ'!$B$1:$S$836,8,0),"")</f>
        <v>45789</v>
      </c>
      <c r="J241" s="471"/>
      <c r="K241" s="463" t="str">
        <f>IFERROR(VLOOKUP(B241,'03. THIẾT BỊ'!$B$1:$S$836,10,0),"")</f>
        <v>Bình thường</v>
      </c>
      <c r="L241" s="468" t="str">
        <f>IFERROR(VLOOKUP(B241,'03. THIẾT BỊ'!$B$1:$S$836,11,0),"")</f>
        <v>Đầu tư mới</v>
      </c>
      <c r="M241" s="472" t="str">
        <f>IFERROR(VLOOKUP(B241,'03. THIẾT BỊ'!$B$1:$S$836,12,0),"")</f>
        <v/>
      </c>
      <c r="N241" s="468" t="str">
        <f>IFERROR(VLOOKUP(B241,'03. THIẾT BỊ'!$B$1:$S$836,13,0),"")</f>
        <v>THACO INDUSTRY</v>
      </c>
      <c r="O241" s="470" t="str">
        <f>IFERROR(VLOOKUP(B241,'03. THIẾT BỊ'!$B$1:$S$836,14,0),"")</f>
        <v>10M3</v>
      </c>
      <c r="P241" s="468" t="str">
        <f>IFERROR(VLOOKUP(B241,'03. THIẾT BỊ'!$B$1:$S$836,15,0),"")</f>
        <v>CHU LAI</v>
      </c>
      <c r="Q241" s="48">
        <f>IFERROR(VLOOKUP(B241,'03. THIẾT BỊ'!$B$1:$S$836,16,0),"")</f>
        <v>2025</v>
      </c>
      <c r="R241" s="471" t="str">
        <f>IFERROR(VLOOKUP(B241,'03. THIẾT BỊ'!$B$1:$S$836,17,0),"")</f>
        <v>RMFNU109ASC001755</v>
      </c>
      <c r="S241" s="468">
        <f>IFERROR(VLOOKUP(B241,'03. THIẾT BỊ'!$B$1:$S$836,18,0),"")</f>
        <v>18</v>
      </c>
      <c r="T241" s="812"/>
    </row>
    <row r="242" ht="15.0" customHeight="1">
      <c r="A242" s="463">
        <f t="shared" si="11"/>
        <v>7</v>
      </c>
      <c r="B242" s="464" t="s">
        <v>3720</v>
      </c>
      <c r="C242" s="869" t="str">
        <f>IFERROR(VLOOKUP(B242,'03. THIẾT BỊ'!$B$1:$S$836,2,0),"")</f>
        <v/>
      </c>
      <c r="D242" s="470" t="str">
        <f>IFERROR(VLOOKUP(B242,'03. THIẾT BỊ'!$B$1:$S$836,3,0),"")</f>
        <v>A22-DRP-0.03</v>
      </c>
      <c r="E242" s="464" t="str">
        <f>IFERROR(VLOOKUP(B242,'03. THIẾT BỊ'!$B$1:$S$836,4,0),"")</f>
        <v>MUA MỚI</v>
      </c>
      <c r="F242" s="464" t="str">
        <f>IFERROR(VLOOKUP(B242,'03. THIẾT BỊ'!$B$1:$S$836,5,0),"")</f>
        <v>Dàn rải phân (10m3)</v>
      </c>
      <c r="G242" s="80" t="s">
        <v>6423</v>
      </c>
      <c r="H242" s="463" t="str">
        <f>IFERROR(VLOOKUP(B242,'03. THIẾT BỊ'!$B$1:$S$836,7,0),"")</f>
        <v>CGLĐ DP</v>
      </c>
      <c r="I242" s="474" t="str">
        <f>IFERROR(VLOOKUP(B242,'03. THIẾT BỊ'!$B$1:$S$836,8,0),"")</f>
        <v>17/03/2026</v>
      </c>
      <c r="J242" s="471"/>
      <c r="K242" s="463" t="str">
        <f>IFERROR(VLOOKUP(B242,'03. THIẾT BỊ'!$B$1:$S$836,10,0),"")</f>
        <v>Bình thường</v>
      </c>
      <c r="L242" s="468" t="str">
        <f>IFERROR(VLOOKUP(B242,'03. THIẾT BỊ'!$B$1:$S$836,11,0),"")</f>
        <v>Đầu tư mới</v>
      </c>
      <c r="M242" s="472" t="str">
        <f>IFERROR(VLOOKUP(B242,'03. THIẾT BỊ'!$B$1:$S$836,12,0),"")</f>
        <v/>
      </c>
      <c r="N242" s="468" t="str">
        <f>IFERROR(VLOOKUP(B242,'03. THIẾT BỊ'!$B$1:$S$836,13,0),"")</f>
        <v>THACO INDUSTRY</v>
      </c>
      <c r="O242" s="470" t="str">
        <f>IFERROR(VLOOKUP(B242,'03. THIẾT BỊ'!$B$1:$S$836,14,0),"")</f>
        <v>10M3</v>
      </c>
      <c r="P242" s="468" t="str">
        <f>IFERROR(VLOOKUP(B242,'03. THIẾT BỊ'!$B$1:$S$836,15,0),"")</f>
        <v>CHU LAI</v>
      </c>
      <c r="Q242" s="48">
        <f>IFERROR(VLOOKUP(B242,'03. THIẾT BỊ'!$B$1:$S$836,16,0),"")</f>
        <v>2025</v>
      </c>
      <c r="R242" s="471" t="str">
        <f>IFERROR(VLOOKUP(B242,'03. THIẾT BỊ'!$B$1:$S$836,17,0),"")</f>
        <v>RMFNU109ATC002205</v>
      </c>
      <c r="S242" s="468">
        <f>IFERROR(VLOOKUP(B242,'03. THIẾT BỊ'!$B$1:$S$836,18,0),"")</f>
        <v>19</v>
      </c>
      <c r="T242" s="812"/>
    </row>
    <row r="243" ht="15.0" customHeight="1">
      <c r="A243" s="463">
        <f t="shared" si="11"/>
        <v>8</v>
      </c>
      <c r="B243" s="464" t="s">
        <v>5305</v>
      </c>
      <c r="C243" s="869" t="str">
        <f>IFERROR(VLOOKUP(B243,'03. THIẾT BỊ'!$B$1:$S$836,2,0),"")</f>
        <v/>
      </c>
      <c r="D243" s="470" t="str">
        <f>IFERROR(VLOOKUP(B243,'03. THIẾT BỊ'!$B$1:$S$836,3,0),"")</f>
        <v>A22-DTP-001</v>
      </c>
      <c r="E243" s="464" t="str">
        <f>IFERROR(VLOOKUP(B243,'03. THIẾT BỊ'!$B$1:$S$836,4,0),"")</f>
        <v>MUA MỚI</v>
      </c>
      <c r="F243" s="464" t="str">
        <f>IFERROR(VLOOKUP(B243,'03. THIẾT BỊ'!$B$1:$S$836,5,0),"")</f>
        <v>Thiết bị tung phân hữu cơ</v>
      </c>
      <c r="G243" s="80" t="s">
        <v>6423</v>
      </c>
      <c r="H243" s="463" t="str">
        <f>IFERROR(VLOOKUP(B243,'03. THIẾT BỊ'!$B$1:$S$836,7,0),"")</f>
        <v>XN Bò AD</v>
      </c>
      <c r="I243" s="474" t="str">
        <f>IFERROR(VLOOKUP(B243,'03. THIẾT BỊ'!$B$1:$S$836,8,0),"")</f>
        <v/>
      </c>
      <c r="J243" s="471"/>
      <c r="K243" s="463" t="str">
        <f>IFERROR(VLOOKUP(B243,'03. THIẾT BỊ'!$B$1:$S$836,10,0),"")</f>
        <v>Bình thường</v>
      </c>
      <c r="L243" s="468" t="str">
        <f>IFERROR(VLOOKUP(B243,'03. THIẾT BỊ'!$B$1:$S$836,11,0),"")</f>
        <v/>
      </c>
      <c r="M243" s="472" t="str">
        <f>IFERROR(VLOOKUP(B243,'03. THIẾT BỊ'!$B$1:$S$836,12,0),"")</f>
        <v>Đầu tư mới</v>
      </c>
      <c r="N243" s="468" t="str">
        <f>IFERROR(VLOOKUP(B243,'03. THIẾT BỊ'!$B$1:$S$836,13,0),"")</f>
        <v>THACO INDUSTRIES</v>
      </c>
      <c r="O243" s="470" t="str">
        <f>IFERROR(VLOOKUP(B243,'03. THIẾT BỊ'!$B$1:$S$836,14,0),"")</f>
        <v>10M3</v>
      </c>
      <c r="P243" s="468" t="str">
        <f>IFERROR(VLOOKUP(B243,'03. THIẾT BỊ'!$B$1:$S$836,15,0),"")</f>
        <v>VIỆT NAM</v>
      </c>
      <c r="Q243" s="48">
        <f>IFERROR(VLOOKUP(B243,'03. THIẾT BỊ'!$B$1:$S$836,16,0),"")</f>
        <v>2023</v>
      </c>
      <c r="R243" s="471" t="str">
        <f>IFERROR(VLOOKUP(B243,'03. THIẾT BỊ'!$B$1:$S$836,17,0),"")</f>
        <v/>
      </c>
      <c r="S243" s="468" t="str">
        <f>IFERROR(VLOOKUP(B243,'03. THIẾT BỊ'!$B$1:$S$836,18,0),"")</f>
        <v/>
      </c>
      <c r="T243" s="807"/>
    </row>
    <row r="244" ht="15.0" customHeight="1">
      <c r="A244" s="463">
        <f t="shared" si="11"/>
        <v>9</v>
      </c>
      <c r="B244" s="464" t="s">
        <v>5308</v>
      </c>
      <c r="C244" s="869" t="str">
        <f>IFERROR(VLOOKUP(B244,'03. THIẾT BỊ'!$B$1:$S$836,2,0),"")</f>
        <v/>
      </c>
      <c r="D244" s="470" t="str">
        <f>IFERROR(VLOOKUP(B244,'03. THIẾT BỊ'!$B$1:$S$836,3,0),"")</f>
        <v>A22-DTP-002</v>
      </c>
      <c r="E244" s="464" t="str">
        <f>IFERROR(VLOOKUP(B244,'03. THIẾT BỊ'!$B$1:$S$836,4,0),"")</f>
        <v>MUA MỚI</v>
      </c>
      <c r="F244" s="464" t="str">
        <f>IFERROR(VLOOKUP(B244,'03. THIẾT BỊ'!$B$1:$S$836,5,0),"")</f>
        <v>Thiết bị tung phân hữu cơ</v>
      </c>
      <c r="G244" s="80" t="s">
        <v>6423</v>
      </c>
      <c r="H244" s="463" t="str">
        <f>IFERROR(VLOOKUP(B244,'03. THIẾT BỊ'!$B$1:$S$836,7,0),"")</f>
        <v>XN Bò AD</v>
      </c>
      <c r="I244" s="474">
        <f>IFERROR(VLOOKUP(B244,'03. THIẾT BỊ'!$B$1:$S$836,8,0),"")</f>
        <v>45455</v>
      </c>
      <c r="J244" s="471"/>
      <c r="K244" s="463" t="str">
        <f>IFERROR(VLOOKUP(B244,'03. THIẾT BỊ'!$B$1:$S$836,10,0),"")</f>
        <v>Bình thường</v>
      </c>
      <c r="L244" s="468" t="str">
        <f>IFERROR(VLOOKUP(B244,'03. THIẾT BỊ'!$B$1:$S$836,11,0),"")</f>
        <v/>
      </c>
      <c r="M244" s="472" t="str">
        <f>IFERROR(VLOOKUP(B244,'03. THIẾT BỊ'!$B$1:$S$836,12,0),"")</f>
        <v>Đầu tư mới</v>
      </c>
      <c r="N244" s="468" t="str">
        <f>IFERROR(VLOOKUP(B244,'03. THIẾT BỊ'!$B$1:$S$836,13,0),"")</f>
        <v>THACO INDUSTRIES</v>
      </c>
      <c r="O244" s="470" t="str">
        <f>IFERROR(VLOOKUP(B244,'03. THIẾT BỊ'!$B$1:$S$836,14,0),"")</f>
        <v>10M3</v>
      </c>
      <c r="P244" s="468" t="str">
        <f>IFERROR(VLOOKUP(B244,'03. THIẾT BỊ'!$B$1:$S$836,15,0),"")</f>
        <v>VIỆT NAM</v>
      </c>
      <c r="Q244" s="48">
        <f>IFERROR(VLOOKUP(B244,'03. THIẾT BỊ'!$B$1:$S$836,16,0),"")</f>
        <v>2024</v>
      </c>
      <c r="R244" s="471" t="str">
        <f>IFERROR(VLOOKUP(B244,'03. THIẾT BỊ'!$B$1:$S$836,17,0),"")</f>
        <v>&gt;= 90HP</v>
      </c>
      <c r="S244" s="468" t="str">
        <f>IFERROR(VLOOKUP(B244,'03. THIẾT BỊ'!$B$1:$S$836,18,0),"")</f>
        <v/>
      </c>
      <c r="T244" s="807"/>
    </row>
    <row r="245" ht="27.0" customHeight="1">
      <c r="A245" s="463">
        <f t="shared" si="11"/>
        <v>10</v>
      </c>
      <c r="B245" s="486" t="s">
        <v>5416</v>
      </c>
      <c r="C245" s="1361" t="str">
        <f>IFERROR(VLOOKUP(B245,'03. THIẾT BỊ'!$B$1:$S$836,2,0),"")</f>
        <v>CK-TBBPX-01</v>
      </c>
      <c r="D245" s="470" t="str">
        <f>IFERROR(VLOOKUP(B245,'03. THIẾT BỊ'!$B$1:$S$836,3,0),"")</f>
        <v>A22-TBR-001</v>
      </c>
      <c r="E245" s="464" t="str">
        <f>IFERROR(VLOOKUP(B245,'03. THIẾT BỊ'!$B$1:$S$836,4,0),"")</f>
        <v>ĐQSD</v>
      </c>
      <c r="F245" s="464" t="str">
        <f>IFERROR(VLOOKUP(B245,'03. THIẾT BỊ'!$B$1:$S$836,5,0),"")</f>
        <v>Thiết bị rãi phân hữu cơ</v>
      </c>
      <c r="G245" s="80" t="s">
        <v>6423</v>
      </c>
      <c r="H245" s="463" t="str">
        <f>IFERROR(VLOOKUP(B245,'03. THIẾT BỊ'!$B$1:$S$836,7,0),"")</f>
        <v>XN Bò AD</v>
      </c>
      <c r="I245" s="474" t="str">
        <f>IFERROR(VLOOKUP(B245,'03. THIẾT BỊ'!$B$1:$S$836,8,0),"")</f>
        <v>16/09/2024</v>
      </c>
      <c r="J245" s="471"/>
      <c r="K245" s="463" t="str">
        <f>IFERROR(VLOOKUP(B245,'03. THIẾT BỊ'!$B$1:$S$836,10,0),"")</f>
        <v>Bình thường</v>
      </c>
      <c r="L245" s="468" t="str">
        <f>IFERROR(VLOOKUP(B245,'03. THIẾT BỊ'!$B$1:$S$836,11,0),"")</f>
        <v/>
      </c>
      <c r="M245" s="472" t="str">
        <f>IFERROR(VLOOKUP(B245,'03. THIẾT BỊ'!$B$1:$S$836,12,0),"")</f>
        <v>Gia công mới</v>
      </c>
      <c r="N245" s="468" t="str">
        <f>IFERROR(VLOOKUP(B245,'03. THIẾT BỊ'!$B$1:$S$836,13,0),"")</f>
        <v>THACO AGRI</v>
      </c>
      <c r="O245" s="470" t="str">
        <f>IFERROR(VLOOKUP(B245,'03. THIẾT BỊ'!$B$1:$S$836,14,0),"")</f>
        <v>CK-TBBPX-01</v>
      </c>
      <c r="P245" s="468" t="str">
        <f>IFERROR(VLOOKUP(B245,'03. THIẾT BỊ'!$B$1:$S$836,15,0),"")</f>
        <v>CK-CGH</v>
      </c>
      <c r="Q245" s="48" t="str">
        <f>IFERROR(VLOOKUP(B245,'03. THIẾT BỊ'!$B$1:$S$836,16,0),"")</f>
        <v/>
      </c>
      <c r="R245" s="471" t="str">
        <f>IFERROR(VLOOKUP(B245,'03. THIẾT BỊ'!$B$1:$S$836,17,0),"")</f>
        <v>3.5x2.2x2.15 (DxRxC)</v>
      </c>
      <c r="S245" s="468" t="str">
        <f>IFERROR(VLOOKUP(B245,'03. THIẾT BỊ'!$B$1:$S$836,18,0),"")</f>
        <v/>
      </c>
      <c r="T245" s="807"/>
    </row>
    <row r="246" ht="27.0" customHeight="1">
      <c r="A246" s="463">
        <f t="shared" si="11"/>
        <v>11</v>
      </c>
      <c r="B246" s="486" t="s">
        <v>5433</v>
      </c>
      <c r="C246" s="869" t="str">
        <f>IFERROR(VLOOKUP(B246,'03. THIẾT BỊ'!$B$1:$S$836,2,0),"")</f>
        <v/>
      </c>
      <c r="D246" s="470" t="str">
        <f>IFERROR(VLOOKUP(B246,'03. THIẾT BỊ'!$B$1:$S$836,3,0),"")</f>
        <v/>
      </c>
      <c r="E246" s="464" t="str">
        <f>IFERROR(VLOOKUP(B246,'03. THIẾT BỊ'!$B$1:$S$836,4,0),"")</f>
        <v>ĐQSD</v>
      </c>
      <c r="F246" s="464" t="str">
        <f>IFERROR(VLOOKUP(B246,'03. THIẾT BỊ'!$B$1:$S$836,5,0),"")</f>
        <v>Thiết bị xới đảo phân</v>
      </c>
      <c r="G246" s="80" t="s">
        <v>6423</v>
      </c>
      <c r="H246" s="463" t="str">
        <f>IFERROR(VLOOKUP(B246,'03. THIẾT BỊ'!$B$1:$S$836,7,0),"")</f>
        <v>XN Bò AD</v>
      </c>
      <c r="I246" s="474" t="str">
        <f>IFERROR(VLOOKUP(B246,'03. THIẾT BỊ'!$B$1:$S$836,8,0),"")</f>
        <v>29/08/2024</v>
      </c>
      <c r="J246" s="471"/>
      <c r="K246" s="463" t="str">
        <f>IFERROR(VLOOKUP(B246,'03. THIẾT BỊ'!$B$1:$S$836,10,0),"")</f>
        <v>Bình thường</v>
      </c>
      <c r="L246" s="468" t="str">
        <f>IFERROR(VLOOKUP(B246,'03. THIẾT BỊ'!$B$1:$S$836,11,0),"")</f>
        <v/>
      </c>
      <c r="M246" s="472" t="str">
        <f>IFERROR(VLOOKUP(B246,'03. THIẾT BỊ'!$B$1:$S$836,12,0),"")</f>
        <v>Gia công mới</v>
      </c>
      <c r="N246" s="468" t="str">
        <f>IFERROR(VLOOKUP(B246,'03. THIẾT BỊ'!$B$1:$S$836,13,0),"")</f>
        <v>THACO INDUSTRIES</v>
      </c>
      <c r="O246" s="470" t="str">
        <f>IFERROR(VLOOKUP(B246,'03. THIẾT BỊ'!$B$1:$S$836,14,0),"")</f>
        <v/>
      </c>
      <c r="P246" s="468" t="str">
        <f>IFERROR(VLOOKUP(B246,'03. THIẾT BỊ'!$B$1:$S$836,15,0),"")</f>
        <v>CHULAI</v>
      </c>
      <c r="Q246" s="48">
        <f>IFERROR(VLOOKUP(B246,'03. THIẾT BỊ'!$B$1:$S$836,16,0),"")</f>
        <v>2024</v>
      </c>
      <c r="R246" s="471" t="str">
        <f>IFERROR(VLOOKUP(B246,'03. THIẾT BỊ'!$B$1:$S$836,17,0),"")</f>
        <v/>
      </c>
      <c r="S246" s="468" t="str">
        <f>IFERROR(VLOOKUP(B246,'03. THIẾT BỊ'!$B$1:$S$836,18,0),"")</f>
        <v/>
      </c>
      <c r="T246" s="807"/>
    </row>
    <row r="247" ht="15.0" customHeight="1">
      <c r="A247" s="463">
        <f t="shared" si="11"/>
        <v>12</v>
      </c>
      <c r="B247" s="467" t="s">
        <v>5184</v>
      </c>
      <c r="C247" s="869" t="str">
        <f>IFERROR(VLOOKUP(B247,'03. THIẾT BỊ'!$B$1:$S$836,2,0),"")</f>
        <v/>
      </c>
      <c r="D247" s="470" t="str">
        <f>IFERROR(VLOOKUP(B247,'03. THIẾT BỊ'!$B$1:$S$836,3,0),"")</f>
        <v>A22-MRP-001</v>
      </c>
      <c r="E247" s="464" t="str">
        <f>IFERROR(VLOOKUP(B247,'03. THIẾT BỊ'!$B$1:$S$836,4,0),"")</f>
        <v>ĐQSD</v>
      </c>
      <c r="F247" s="464" t="str">
        <f>IFERROR(VLOOKUP(B247,'03. THIẾT BỊ'!$B$1:$S$836,5,0),"")</f>
        <v>Thiết bị rải phân chuồng</v>
      </c>
      <c r="G247" s="80" t="s">
        <v>6423</v>
      </c>
      <c r="H247" s="463" t="str">
        <f>IFERROR(VLOOKUP(B247,'03. THIẾT BỊ'!$B$1:$S$836,7,0),"")</f>
        <v>XN Bò AD</v>
      </c>
      <c r="I247" s="474" t="str">
        <f>IFERROR(VLOOKUP(B247,'03. THIẾT BỊ'!$B$1:$S$836,8,0),"")</f>
        <v/>
      </c>
      <c r="J247" s="471"/>
      <c r="K247" s="463" t="str">
        <f>IFERROR(VLOOKUP(B247,'03. THIẾT BỊ'!$B$1:$S$836,10,0),"")</f>
        <v>Bình thường</v>
      </c>
      <c r="L247" s="468" t="str">
        <f>IFERROR(VLOOKUP(B247,'03. THIẾT BỊ'!$B$1:$S$836,11,0),"")</f>
        <v/>
      </c>
      <c r="M247" s="472" t="str">
        <f>IFERROR(VLOOKUP(B247,'03. THIẾT BỊ'!$B$1:$S$836,12,0),"")</f>
        <v/>
      </c>
      <c r="N247" s="468" t="str">
        <f>IFERROR(VLOOKUP(B247,'03. THIẾT BỊ'!$B$1:$S$836,13,0),"")</f>
        <v>THACO AGRI</v>
      </c>
      <c r="O247" s="470" t="str">
        <f>IFERROR(VLOOKUP(B247,'03. THIẾT BỊ'!$B$1:$S$836,14,0),"")</f>
        <v/>
      </c>
      <c r="P247" s="468" t="str">
        <f>IFERROR(VLOOKUP(B247,'03. THIẾT BỊ'!$B$1:$S$836,15,0),"")</f>
        <v>CK-CGH</v>
      </c>
      <c r="Q247" s="48" t="str">
        <f>IFERROR(VLOOKUP(B247,'03. THIẾT BỊ'!$B$1:$S$836,16,0),"")</f>
        <v/>
      </c>
      <c r="R247" s="471" t="str">
        <f>IFERROR(VLOOKUP(B247,'03. THIẾT BỊ'!$B$1:$S$836,17,0),"")</f>
        <v/>
      </c>
      <c r="S247" s="468" t="str">
        <f>IFERROR(VLOOKUP(B247,'03. THIẾT BỊ'!$B$1:$S$836,18,0),"")</f>
        <v/>
      </c>
      <c r="T247" s="812"/>
    </row>
    <row r="248" ht="15.0" customHeight="1">
      <c r="A248" s="463">
        <f t="shared" si="11"/>
        <v>13</v>
      </c>
      <c r="B248" s="467" t="s">
        <v>5199</v>
      </c>
      <c r="C248" s="869" t="str">
        <f>IFERROR(VLOOKUP(B248,'03. THIẾT BỊ'!$B$1:$S$836,2,0),"")</f>
        <v/>
      </c>
      <c r="D248" s="470" t="str">
        <f>IFERROR(VLOOKUP(B248,'03. THIẾT BỊ'!$B$1:$S$836,3,0),"")</f>
        <v>A22-MDP-001</v>
      </c>
      <c r="E248" s="464" t="str">
        <f>IFERROR(VLOOKUP(B248,'03. THIẾT BỊ'!$B$1:$S$836,4,0),"")</f>
        <v>ĐQSD</v>
      </c>
      <c r="F248" s="464" t="str">
        <f>IFERROR(VLOOKUP(B248,'03. THIẾT BỊ'!$B$1:$S$836,5,0),"")</f>
        <v>Máy đảo trộn phân hữu cơ</v>
      </c>
      <c r="G248" s="80" t="s">
        <v>6423</v>
      </c>
      <c r="H248" s="463" t="str">
        <f>IFERROR(VLOOKUP(B248,'03. THIẾT BỊ'!$B$1:$S$836,7,0),"")</f>
        <v>XN Bò AD</v>
      </c>
      <c r="I248" s="474" t="str">
        <f>IFERROR(VLOOKUP(B248,'03. THIẾT BỊ'!$B$1:$S$836,8,0),"")</f>
        <v/>
      </c>
      <c r="J248" s="471"/>
      <c r="K248" s="463" t="str">
        <f>IFERROR(VLOOKUP(B248,'03. THIẾT BỊ'!$B$1:$S$836,10,0),"")</f>
        <v>Bình thường</v>
      </c>
      <c r="L248" s="468" t="str">
        <f>IFERROR(VLOOKUP(B248,'03. THIẾT BỊ'!$B$1:$S$836,11,0),"")</f>
        <v/>
      </c>
      <c r="M248" s="472" t="str">
        <f>IFERROR(VLOOKUP(B248,'03. THIẾT BỊ'!$B$1:$S$836,12,0),"")</f>
        <v/>
      </c>
      <c r="N248" s="468" t="str">
        <f>IFERROR(VLOOKUP(B248,'03. THIẾT BỊ'!$B$1:$S$836,13,0),"")</f>
        <v>THACO AGRI</v>
      </c>
      <c r="O248" s="470" t="str">
        <f>IFERROR(VLOOKUP(B248,'03. THIẾT BỊ'!$B$1:$S$836,14,0),"")</f>
        <v/>
      </c>
      <c r="P248" s="468" t="str">
        <f>IFERROR(VLOOKUP(B248,'03. THIẾT BỊ'!$B$1:$S$836,15,0),"")</f>
        <v>CK-CGH</v>
      </c>
      <c r="Q248" s="48" t="str">
        <f>IFERROR(VLOOKUP(B248,'03. THIẾT BỊ'!$B$1:$S$836,16,0),"")</f>
        <v/>
      </c>
      <c r="R248" s="471" t="str">
        <f>IFERROR(VLOOKUP(B248,'03. THIẾT BỊ'!$B$1:$S$836,17,0),"")</f>
        <v/>
      </c>
      <c r="S248" s="468" t="str">
        <f>IFERROR(VLOOKUP(B248,'03. THIẾT BỊ'!$B$1:$S$836,18,0),"")</f>
        <v/>
      </c>
      <c r="T248" s="812"/>
    </row>
    <row r="249" ht="15.0" customHeight="1">
      <c r="A249" s="463">
        <f t="shared" si="11"/>
        <v>14</v>
      </c>
      <c r="B249" s="467" t="s">
        <v>5202</v>
      </c>
      <c r="C249" s="869" t="str">
        <f>IFERROR(VLOOKUP(B249,'03. THIẾT BỊ'!$B$1:$S$836,2,0),"")</f>
        <v/>
      </c>
      <c r="D249" s="470" t="str">
        <f>IFERROR(VLOOKUP(B249,'03. THIẾT BỊ'!$B$1:$S$836,3,0),"")</f>
        <v>A22-RPC-001</v>
      </c>
      <c r="E249" s="464" t="str">
        <f>IFERROR(VLOOKUP(B249,'03. THIẾT BỊ'!$B$1:$S$836,4,0),"")</f>
        <v>ĐQSD</v>
      </c>
      <c r="F249" s="464" t="str">
        <f>IFERROR(VLOOKUP(B249,'03. THIẾT BỊ'!$B$1:$S$836,5,0),"")</f>
        <v>Rải phân chuồng</v>
      </c>
      <c r="G249" s="80" t="s">
        <v>6423</v>
      </c>
      <c r="H249" s="463" t="str">
        <f>IFERROR(VLOOKUP(B249,'03. THIẾT BỊ'!$B$1:$S$836,7,0),"")</f>
        <v>XN Bò AD</v>
      </c>
      <c r="I249" s="474" t="str">
        <f>IFERROR(VLOOKUP(B249,'03. THIẾT BỊ'!$B$1:$S$836,8,0),"")</f>
        <v/>
      </c>
      <c r="J249" s="471"/>
      <c r="K249" s="463" t="str">
        <f>IFERROR(VLOOKUP(B249,'03. THIẾT BỊ'!$B$1:$S$836,10,0),"")</f>
        <v>Bình thường</v>
      </c>
      <c r="L249" s="468" t="str">
        <f>IFERROR(VLOOKUP(B249,'03. THIẾT BỊ'!$B$1:$S$836,11,0),"")</f>
        <v/>
      </c>
      <c r="M249" s="472" t="str">
        <f>IFERROR(VLOOKUP(B249,'03. THIẾT BỊ'!$B$1:$S$836,12,0),"")</f>
        <v/>
      </c>
      <c r="N249" s="468" t="str">
        <f>IFERROR(VLOOKUP(B249,'03. THIẾT BỊ'!$B$1:$S$836,13,0),"")</f>
        <v>THACO AGRI</v>
      </c>
      <c r="O249" s="470" t="str">
        <f>IFERROR(VLOOKUP(B249,'03. THIẾT BỊ'!$B$1:$S$836,14,0),"")</f>
        <v/>
      </c>
      <c r="P249" s="468" t="str">
        <f>IFERROR(VLOOKUP(B249,'03. THIẾT BỊ'!$B$1:$S$836,15,0),"")</f>
        <v>CK-CGH</v>
      </c>
      <c r="Q249" s="48" t="str">
        <f>IFERROR(VLOOKUP(B249,'03. THIẾT BỊ'!$B$1:$S$836,16,0),"")</f>
        <v/>
      </c>
      <c r="R249" s="471" t="str">
        <f>IFERROR(VLOOKUP(B249,'03. THIẾT BỊ'!$B$1:$S$836,17,0),"")</f>
        <v/>
      </c>
      <c r="S249" s="468" t="str">
        <f>IFERROR(VLOOKUP(B249,'03. THIẾT BỊ'!$B$1:$S$836,18,0),"")</f>
        <v/>
      </c>
      <c r="T249" s="812"/>
    </row>
    <row r="250">
      <c r="A250" s="463">
        <f t="shared" si="11"/>
        <v>15</v>
      </c>
      <c r="B250" s="464" t="s">
        <v>5422</v>
      </c>
      <c r="C250" s="869" t="str">
        <f>IFERROR(VLOOKUP(B250,'03. THIẾT BỊ'!$B$1:$S$836,2,0),"")</f>
        <v/>
      </c>
      <c r="D250" s="470" t="str">
        <f>IFERROR(VLOOKUP(B250,'03. THIẾT BỊ'!$B$1:$S$836,3,0),"")</f>
        <v>A22-RP4-001</v>
      </c>
      <c r="E250" s="464" t="str">
        <f>IFERROR(VLOOKUP(B250,'03. THIẾT BỊ'!$B$1:$S$836,4,0),"")</f>
        <v>ĐQSD</v>
      </c>
      <c r="F250" s="464" t="str">
        <f>IFERROR(VLOOKUP(B250,'03. THIẾT BỊ'!$B$1:$S$836,5,0),"")</f>
        <v>Thiết bị rải phân hữu cơ 4 hàng</v>
      </c>
      <c r="G250" s="80" t="s">
        <v>6423</v>
      </c>
      <c r="H250" s="463" t="str">
        <f>IFERROR(VLOOKUP(B250,'03. THIẾT BỊ'!$B$1:$S$836,7,0),"")</f>
        <v>XN Bò AD</v>
      </c>
      <c r="I250" s="474">
        <f>IFERROR(VLOOKUP(B250,'03. THIẾT BỊ'!$B$1:$S$836,8,0),"")</f>
        <v>45814</v>
      </c>
      <c r="J250" s="471"/>
      <c r="K250" s="463" t="str">
        <f>IFERROR(VLOOKUP(B250,'03. THIẾT BỊ'!$B$1:$S$836,10,0),"")</f>
        <v>Bình thường</v>
      </c>
      <c r="L250" s="468" t="str">
        <f>IFERROR(VLOOKUP(B250,'03. THIẾT BỊ'!$B$1:$S$836,11,0),"")</f>
        <v/>
      </c>
      <c r="M250" s="472" t="str">
        <f>IFERROR(VLOOKUP(B250,'03. THIẾT BỊ'!$B$1:$S$836,12,0),"")</f>
        <v>Đ.chuyen từ Eahleo sang KM</v>
      </c>
      <c r="N250" s="468" t="str">
        <f>IFERROR(VLOOKUP(B250,'03. THIẾT BỊ'!$B$1:$S$836,13,0),"")</f>
        <v>THÀNH ĐẠT</v>
      </c>
      <c r="O250" s="470" t="str">
        <f>IFERROR(VLOOKUP(B250,'03. THIẾT BỊ'!$B$1:$S$836,14,0),"")</f>
        <v>4 HÀNG</v>
      </c>
      <c r="P250" s="468" t="str">
        <f>IFERROR(VLOOKUP(B250,'03. THIẾT BỊ'!$B$1:$S$836,15,0),"")</f>
        <v>VIỆ̣T NAM</v>
      </c>
      <c r="Q250" s="48">
        <f>IFERROR(VLOOKUP(B250,'03. THIẾT BỊ'!$B$1:$S$836,16,0),"")</f>
        <v>2024</v>
      </c>
      <c r="R250" s="471" t="str">
        <f>IFERROR(VLOOKUP(B250,'03. THIẾT BỊ'!$B$1:$S$836,17,0),"")</f>
        <v/>
      </c>
      <c r="S250" s="468" t="str">
        <f>IFERROR(VLOOKUP(B250,'03. THIẾT BỊ'!$B$1:$S$836,18,0),"")</f>
        <v>RP4-01</v>
      </c>
      <c r="T250" s="812"/>
    </row>
    <row r="251">
      <c r="A251" s="463">
        <f t="shared" si="11"/>
        <v>16</v>
      </c>
      <c r="B251" s="464" t="s">
        <v>5430</v>
      </c>
      <c r="C251" s="869" t="str">
        <f>IFERROR(VLOOKUP(B251,'03. THIẾT BỊ'!$B$1:$S$836,2,0),"")</f>
        <v/>
      </c>
      <c r="D251" s="470" t="str">
        <f>IFERROR(VLOOKUP(B251,'03. THIẾT BỊ'!$B$1:$S$836,3,0),"")</f>
        <v>A22-RP4-002</v>
      </c>
      <c r="E251" s="464" t="str">
        <f>IFERROR(VLOOKUP(B251,'03. THIẾT BỊ'!$B$1:$S$836,4,0),"")</f>
        <v>ĐQSD</v>
      </c>
      <c r="F251" s="464" t="str">
        <f>IFERROR(VLOOKUP(B251,'03. THIẾT BỊ'!$B$1:$S$836,5,0),"")</f>
        <v>Thiết bị rải phân hữu cơ 4 hàng</v>
      </c>
      <c r="G251" s="80" t="s">
        <v>6423</v>
      </c>
      <c r="H251" s="463" t="str">
        <f>IFERROR(VLOOKUP(B251,'03. THIẾT BỊ'!$B$1:$S$836,7,0),"")</f>
        <v>XN Bò AD</v>
      </c>
      <c r="I251" s="474">
        <f>IFERROR(VLOOKUP(B251,'03. THIẾT BỊ'!$B$1:$S$836,8,0),"")</f>
        <v>45814</v>
      </c>
      <c r="J251" s="471"/>
      <c r="K251" s="463" t="str">
        <f>IFERROR(VLOOKUP(B251,'03. THIẾT BỊ'!$B$1:$S$836,10,0),"")</f>
        <v>Bình thường</v>
      </c>
      <c r="L251" s="468" t="str">
        <f>IFERROR(VLOOKUP(B251,'03. THIẾT BỊ'!$B$1:$S$836,11,0),"")</f>
        <v/>
      </c>
      <c r="M251" s="472" t="str">
        <f>IFERROR(VLOOKUP(B251,'03. THIẾT BỊ'!$B$1:$S$836,12,0),"")</f>
        <v>Đ.chuyen từ Eahleo sang KM</v>
      </c>
      <c r="N251" s="468" t="str">
        <f>IFERROR(VLOOKUP(B251,'03. THIẾT BỊ'!$B$1:$S$836,13,0),"")</f>
        <v>THÀNH ĐẠT</v>
      </c>
      <c r="O251" s="470" t="str">
        <f>IFERROR(VLOOKUP(B251,'03. THIẾT BỊ'!$B$1:$S$836,14,0),"")</f>
        <v>4 HÀNG</v>
      </c>
      <c r="P251" s="468" t="str">
        <f>IFERROR(VLOOKUP(B251,'03. THIẾT BỊ'!$B$1:$S$836,15,0),"")</f>
        <v>VIỆ̣T NAM</v>
      </c>
      <c r="Q251" s="48">
        <f>IFERROR(VLOOKUP(B251,'03. THIẾT BỊ'!$B$1:$S$836,16,0),"")</f>
        <v>2024</v>
      </c>
      <c r="R251" s="471" t="str">
        <f>IFERROR(VLOOKUP(B251,'03. THIẾT BỊ'!$B$1:$S$836,17,0),"")</f>
        <v/>
      </c>
      <c r="S251" s="468" t="str">
        <f>IFERROR(VLOOKUP(B251,'03. THIẾT BỊ'!$B$1:$S$836,18,0),"")</f>
        <v>RP4-02</v>
      </c>
      <c r="T251" s="812"/>
    </row>
    <row r="252">
      <c r="A252" s="463">
        <f t="shared" si="11"/>
        <v>17</v>
      </c>
      <c r="B252" s="464" t="s">
        <v>5503</v>
      </c>
      <c r="C252" s="869" t="str">
        <f>IFERROR(VLOOKUP(B252,'03. THIẾT BỊ'!$B$1:$S$836,2,0),"")</f>
        <v/>
      </c>
      <c r="D252" s="470" t="str">
        <f>IFERROR(VLOOKUP(B252,'03. THIẾT BỊ'!$B$1:$S$836,3,0),"")</f>
        <v>A22-RBP-001</v>
      </c>
      <c r="E252" s="464" t="str">
        <f>IFERROR(VLOOKUP(B252,'03. THIẾT BỊ'!$B$1:$S$836,4,0),"")</f>
        <v>MUA MỚI</v>
      </c>
      <c r="F252" s="464" t="str">
        <f>IFERROR(VLOOKUP(B252,'03. THIẾT BỊ'!$B$1:$S$836,5,0),"")</f>
        <v>Thiết bị rạch hàng bón phân vô cơ (6 hàng)</v>
      </c>
      <c r="G252" s="80" t="s">
        <v>6423</v>
      </c>
      <c r="H252" s="463" t="str">
        <f>IFERROR(VLOOKUP(B252,'03. THIẾT BỊ'!$B$1:$S$836,7,0),"")</f>
        <v>XN Bò AD</v>
      </c>
      <c r="I252" s="474" t="str">
        <f>IFERROR(VLOOKUP(B252,'03. THIẾT BỊ'!$B$1:$S$836,8,0),"")</f>
        <v>15/09/2025</v>
      </c>
      <c r="J252" s="471"/>
      <c r="K252" s="463" t="str">
        <f>IFERROR(VLOOKUP(B252,'03. THIẾT BỊ'!$B$1:$S$836,10,0),"")</f>
        <v>Bình thường</v>
      </c>
      <c r="L252" s="468" t="str">
        <f>IFERROR(VLOOKUP(B252,'03. THIẾT BỊ'!$B$1:$S$836,11,0),"")</f>
        <v/>
      </c>
      <c r="M252" s="472" t="str">
        <f>IFERROR(VLOOKUP(B252,'03. THIẾT BỊ'!$B$1:$S$836,12,0),"")</f>
        <v>Đầu tư mới</v>
      </c>
      <c r="N252" s="468" t="str">
        <f>IFERROR(VLOOKUP(B252,'03. THIẾT BỊ'!$B$1:$S$836,13,0),"")</f>
        <v>THACO INDUSTRIES</v>
      </c>
      <c r="O252" s="470" t="str">
        <f>IFERROR(VLOOKUP(B252,'03. THIẾT BỊ'!$B$1:$S$836,14,0),"")</f>
        <v/>
      </c>
      <c r="P252" s="468" t="str">
        <f>IFERROR(VLOOKUP(B252,'03. THIẾT BỊ'!$B$1:$S$836,15,0),"")</f>
        <v>CHU LAI</v>
      </c>
      <c r="Q252" s="48">
        <f>IFERROR(VLOOKUP(B252,'03. THIẾT BỊ'!$B$1:$S$836,16,0),"")</f>
        <v>2025</v>
      </c>
      <c r="R252" s="471" t="str">
        <f>IFERROR(VLOOKUP(B252,'03. THIẾT BỊ'!$B$1:$S$836,17,0),"")</f>
        <v/>
      </c>
      <c r="S252" s="468" t="str">
        <f>IFERROR(VLOOKUP(B252,'03. THIẾT BỊ'!$B$1:$S$836,18,0),"")</f>
        <v/>
      </c>
      <c r="T252" s="812"/>
    </row>
    <row r="253">
      <c r="A253" s="463">
        <f t="shared" si="11"/>
        <v>18</v>
      </c>
      <c r="B253" s="464" t="s">
        <v>5506</v>
      </c>
      <c r="C253" s="869" t="str">
        <f>IFERROR(VLOOKUP(B253,'03. THIẾT BỊ'!$B$1:$S$836,2,0),"")</f>
        <v/>
      </c>
      <c r="D253" s="470" t="str">
        <f>IFERROR(VLOOKUP(B253,'03. THIẾT BỊ'!$B$1:$S$836,3,0),"")</f>
        <v>A22-RBP-002</v>
      </c>
      <c r="E253" s="464" t="str">
        <f>IFERROR(VLOOKUP(B253,'03. THIẾT BỊ'!$B$1:$S$836,4,0),"")</f>
        <v>MUA MỚI</v>
      </c>
      <c r="F253" s="464" t="str">
        <f>IFERROR(VLOOKUP(B253,'03. THIẾT BỊ'!$B$1:$S$836,5,0),"")</f>
        <v>Thiết bị rạch hàng bón phân vô cơ (6 hàng)</v>
      </c>
      <c r="G253" s="80" t="s">
        <v>6423</v>
      </c>
      <c r="H253" s="463" t="str">
        <f>IFERROR(VLOOKUP(B253,'03. THIẾT BỊ'!$B$1:$S$836,7,0),"")</f>
        <v>XN Bò AD</v>
      </c>
      <c r="I253" s="474" t="str">
        <f>IFERROR(VLOOKUP(B253,'03. THIẾT BỊ'!$B$1:$S$836,8,0),"")</f>
        <v>15/09/2025</v>
      </c>
      <c r="J253" s="471"/>
      <c r="K253" s="463" t="str">
        <f>IFERROR(VLOOKUP(B253,'03. THIẾT BỊ'!$B$1:$S$836,10,0),"")</f>
        <v>Bình thường</v>
      </c>
      <c r="L253" s="468" t="str">
        <f>IFERROR(VLOOKUP(B253,'03. THIẾT BỊ'!$B$1:$S$836,11,0),"")</f>
        <v/>
      </c>
      <c r="M253" s="472" t="str">
        <f>IFERROR(VLOOKUP(B253,'03. THIẾT BỊ'!$B$1:$S$836,12,0),"")</f>
        <v>Đầu tư mới</v>
      </c>
      <c r="N253" s="468" t="str">
        <f>IFERROR(VLOOKUP(B253,'03. THIẾT BỊ'!$B$1:$S$836,13,0),"")</f>
        <v>THACO INDUSTRIES</v>
      </c>
      <c r="O253" s="470" t="str">
        <f>IFERROR(VLOOKUP(B253,'03. THIẾT BỊ'!$B$1:$S$836,14,0),"")</f>
        <v/>
      </c>
      <c r="P253" s="468" t="str">
        <f>IFERROR(VLOOKUP(B253,'03. THIẾT BỊ'!$B$1:$S$836,15,0),"")</f>
        <v>CHU LAI</v>
      </c>
      <c r="Q253" s="48">
        <f>IFERROR(VLOOKUP(B253,'03. THIẾT BỊ'!$B$1:$S$836,16,0),"")</f>
        <v>2025</v>
      </c>
      <c r="R253" s="471" t="str">
        <f>IFERROR(VLOOKUP(B253,'03. THIẾT BỊ'!$B$1:$S$836,17,0),"")</f>
        <v/>
      </c>
      <c r="S253" s="468" t="str">
        <f>IFERROR(VLOOKUP(B253,'03. THIẾT BỊ'!$B$1:$S$836,18,0),"")</f>
        <v/>
      </c>
      <c r="T253" s="812"/>
    </row>
    <row r="254">
      <c r="A254" s="463">
        <f t="shared" si="11"/>
        <v>19</v>
      </c>
      <c r="B254" s="467"/>
      <c r="C254" s="869" t="str">
        <f>IFERROR(VLOOKUP(B254,'03. THIẾT BỊ'!$B$1:$S$836,2,0),"")</f>
        <v/>
      </c>
      <c r="D254" s="470" t="str">
        <f>IFERROR(VLOOKUP(B254,'03. THIẾT BỊ'!$B$1:$S$836,3,0),"")</f>
        <v/>
      </c>
      <c r="E254" s="464" t="str">
        <f>IFERROR(VLOOKUP(B254,'03. THIẾT BỊ'!$B$1:$S$836,4,0),"")</f>
        <v/>
      </c>
      <c r="F254" s="464" t="str">
        <f>IFERROR(VLOOKUP(B254,'03. THIẾT BỊ'!$B$1:$S$836,5,0),"")</f>
        <v/>
      </c>
      <c r="G254" s="80" t="s">
        <v>6423</v>
      </c>
      <c r="H254" s="463" t="str">
        <f>IFERROR(VLOOKUP(B254,'03. THIẾT BỊ'!$B$1:$S$836,7,0),"")</f>
        <v/>
      </c>
      <c r="I254" s="474" t="str">
        <f>IFERROR(VLOOKUP(B254,'03. THIẾT BỊ'!$B$1:$S$836,8,0),"")</f>
        <v/>
      </c>
      <c r="J254" s="471"/>
      <c r="K254" s="463" t="str">
        <f>IFERROR(VLOOKUP(B254,'03. THIẾT BỊ'!$B$1:$S$836,10,0),"")</f>
        <v/>
      </c>
      <c r="L254" s="468" t="str">
        <f>IFERROR(VLOOKUP(B254,'03. THIẾT BỊ'!$B$1:$S$836,11,0),"")</f>
        <v/>
      </c>
      <c r="M254" s="472" t="str">
        <f>IFERROR(VLOOKUP(B254,'03. THIẾT BỊ'!$B$1:$S$836,12,0),"")</f>
        <v/>
      </c>
      <c r="N254" s="468" t="str">
        <f>IFERROR(VLOOKUP(B254,'03. THIẾT BỊ'!$B$1:$S$836,13,0),"")</f>
        <v/>
      </c>
      <c r="O254" s="470" t="str">
        <f>IFERROR(VLOOKUP(B254,'03. THIẾT BỊ'!$B$1:$S$836,14,0),"")</f>
        <v/>
      </c>
      <c r="P254" s="468" t="str">
        <f>IFERROR(VLOOKUP(B254,'03. THIẾT BỊ'!$B$1:$S$836,15,0),"")</f>
        <v/>
      </c>
      <c r="Q254" s="48" t="str">
        <f>IFERROR(VLOOKUP(B254,'03. THIẾT BỊ'!$B$1:$S$836,16,0),"")</f>
        <v/>
      </c>
      <c r="R254" s="471" t="str">
        <f>IFERROR(VLOOKUP(B254,'03. THIẾT BỊ'!$B$1:$S$836,17,0),"")</f>
        <v/>
      </c>
      <c r="S254" s="468" t="str">
        <f>IFERROR(VLOOKUP(B254,'03. THIẾT BỊ'!$B$1:$S$836,18,0),"")</f>
        <v/>
      </c>
      <c r="T254" s="812"/>
    </row>
    <row r="255">
      <c r="A255" s="463"/>
      <c r="B255" s="467"/>
      <c r="C255" s="869" t="str">
        <f>IFERROR(VLOOKUP(B255,'03. THIẾT BỊ'!$B$1:$S$836,2,0),"")</f>
        <v/>
      </c>
      <c r="D255" s="470" t="str">
        <f>IFERROR(VLOOKUP(B255,'03. THIẾT BỊ'!$B$1:$S$836,3,0),"")</f>
        <v/>
      </c>
      <c r="E255" s="464" t="str">
        <f>IFERROR(VLOOKUP(B255,'03. THIẾT BỊ'!$B$1:$S$836,4,0),"")</f>
        <v/>
      </c>
      <c r="F255" s="464" t="str">
        <f>IFERROR(VLOOKUP(B255,'03. THIẾT BỊ'!$B$1:$S$836,5,0),"")</f>
        <v/>
      </c>
      <c r="G255" s="80" t="s">
        <v>6423</v>
      </c>
      <c r="H255" s="463" t="str">
        <f>IFERROR(VLOOKUP(B255,'03. THIẾT BỊ'!$B$1:$S$836,7,0),"")</f>
        <v/>
      </c>
      <c r="I255" s="474" t="str">
        <f>IFERROR(VLOOKUP(B255,'03. THIẾT BỊ'!$B$1:$S$836,8,0),"")</f>
        <v/>
      </c>
      <c r="J255" s="471"/>
      <c r="K255" s="463" t="str">
        <f>IFERROR(VLOOKUP(B255,'03. THIẾT BỊ'!$B$1:$S$836,10,0),"")</f>
        <v/>
      </c>
      <c r="L255" s="468" t="str">
        <f>IFERROR(VLOOKUP(B255,'03. THIẾT BỊ'!$B$1:$S$836,11,0),"")</f>
        <v/>
      </c>
      <c r="M255" s="472" t="str">
        <f>IFERROR(VLOOKUP(B255,'03. THIẾT BỊ'!$B$1:$S$836,12,0),"")</f>
        <v/>
      </c>
      <c r="N255" s="468" t="str">
        <f>IFERROR(VLOOKUP(B255,'03. THIẾT BỊ'!$B$1:$S$836,13,0),"")</f>
        <v/>
      </c>
      <c r="O255" s="470" t="str">
        <f>IFERROR(VLOOKUP(B255,'03. THIẾT BỊ'!$B$1:$S$836,14,0),"")</f>
        <v/>
      </c>
      <c r="P255" s="468" t="str">
        <f>IFERROR(VLOOKUP(B255,'03. THIẾT BỊ'!$B$1:$S$836,15,0),"")</f>
        <v/>
      </c>
      <c r="Q255" s="48" t="str">
        <f>IFERROR(VLOOKUP(B255,'03. THIẾT BỊ'!$B$1:$S$836,16,0),"")</f>
        <v/>
      </c>
      <c r="R255" s="471" t="str">
        <f>IFERROR(VLOOKUP(B255,'03. THIẾT BỊ'!$B$1:$S$836,17,0),"")</f>
        <v/>
      </c>
      <c r="S255" s="468" t="str">
        <f>IFERROR(VLOOKUP(B255,'03. THIẾT BỊ'!$B$1:$S$836,18,0),"")</f>
        <v/>
      </c>
    </row>
    <row r="256" ht="15.0" customHeight="1">
      <c r="A256" s="455" t="s">
        <v>76</v>
      </c>
      <c r="B256" s="456" t="s">
        <v>8244</v>
      </c>
      <c r="C256" s="457">
        <f>COUNTA(B257:B262)</f>
        <v>5</v>
      </c>
      <c r="D256" s="458" t="str">
        <f>IFERROR(VLOOKUP(B256,'03. THIẾT BỊ'!$B$1:$S$836,3,0),"")</f>
        <v/>
      </c>
      <c r="E256" s="464" t="str">
        <f>IFERROR(VLOOKUP(B256,'03. THIẾT BỊ'!$B$1:$S$836,4,0),"")</f>
        <v/>
      </c>
      <c r="F256" s="458" t="str">
        <f>IFERROR(VLOOKUP(B256,'03. THIẾT BỊ'!$B$1:$S$836,5,0),"")</f>
        <v/>
      </c>
      <c r="G256" s="459" t="s">
        <v>6423</v>
      </c>
      <c r="H256" s="459" t="str">
        <f>IFERROR(VLOOKUP(B256,'03. THIẾT BỊ'!$B$1:$S$836,7,0),"")</f>
        <v/>
      </c>
      <c r="I256" s="457" t="str">
        <f>IFERROR(VLOOKUP(B256,'03. THIẾT BỊ'!$B$1:$S$836,8,0),"")</f>
        <v/>
      </c>
      <c r="J256" s="460"/>
      <c r="K256" s="457" t="str">
        <f>IFERROR(VLOOKUP(B256,'03. THIẾT BỊ'!$B$1:$S$836,10,0),"")</f>
        <v/>
      </c>
      <c r="L256" s="458" t="str">
        <f>IFERROR(VLOOKUP(B256,'03. THIẾT BỊ'!$B$1:$S$836,11,0),"")</f>
        <v/>
      </c>
      <c r="M256" s="461" t="str">
        <f>IFERROR(VLOOKUP(B256,'03. THIẾT BỊ'!$B$1:$S$836,12,0),"")</f>
        <v/>
      </c>
      <c r="N256" s="458" t="str">
        <f>IFERROR(VLOOKUP(B256,'03. THIẾT BỊ'!$B$1:$S$836,13,0),"")</f>
        <v/>
      </c>
      <c r="O256" s="461" t="str">
        <f>IFERROR(VLOOKUP(B256,'03. THIẾT BỊ'!$B$1:$S$836,14,0),"")</f>
        <v/>
      </c>
      <c r="P256" s="458" t="str">
        <f>IFERROR(VLOOKUP(B256,'03. THIẾT BỊ'!$B$1:$S$836,15,0),"")</f>
        <v/>
      </c>
      <c r="Q256" s="459" t="str">
        <f>IFERROR(VLOOKUP(B256,'03. THIẾT BỊ'!$B$1:$S$836,16,0),"")</f>
        <v/>
      </c>
      <c r="R256" s="458" t="str">
        <f>IFERROR(VLOOKUP(B256,'03. THIẾT BỊ'!$B$1:$S$836,17,0),"")</f>
        <v/>
      </c>
      <c r="S256" s="458" t="str">
        <f>IFERROR(VLOOKUP(B256,'03. THIẾT BỊ'!$B$1:$S$836,18,0),"")</f>
        <v/>
      </c>
      <c r="T256" s="866"/>
    </row>
    <row r="257" ht="15.0" customHeight="1">
      <c r="A257" s="463">
        <v>1.0</v>
      </c>
      <c r="B257" s="464" t="s">
        <v>3642</v>
      </c>
      <c r="C257" s="869" t="str">
        <f>IFERROR(VLOOKUP(B257,'03. THIẾT BỊ'!$B$1:$S$836,2,0),"")</f>
        <v/>
      </c>
      <c r="D257" s="470" t="str">
        <f>IFERROR(VLOOKUP(B257,'03. THIẾT BỊ'!$B$1:$S$836,3,0),"")</f>
        <v>A23-BLT-001</v>
      </c>
      <c r="E257" s="464" t="str">
        <f>IFERROR(VLOOKUP(B257,'03. THIẾT BỊ'!$B$1:$S$836,4,0),"")</f>
        <v>ĐQSD</v>
      </c>
      <c r="F257" s="464" t="str">
        <f>IFERROR(VLOOKUP(B257,'03. THIẾT BỊ'!$B$1:$S$836,5,0),"")</f>
        <v>Bộ bánh lồng thép</v>
      </c>
      <c r="G257" s="80" t="s">
        <v>6423</v>
      </c>
      <c r="H257" s="463" t="str">
        <f>IFERROR(VLOOKUP(B257,'03. THIẾT BỊ'!$B$1:$S$836,7,0),"")</f>
        <v>CGLĐ DP</v>
      </c>
      <c r="I257" s="474">
        <f>IFERROR(VLOOKUP(B257,'03. THIẾT BỊ'!$B$1:$S$836,8,0),"")</f>
        <v>45419</v>
      </c>
      <c r="J257" s="471"/>
      <c r="K257" s="463" t="str">
        <f>IFERROR(VLOOKUP(B257,'03. THIẾT BỊ'!$B$1:$S$836,10,0),"")</f>
        <v>Bình thường</v>
      </c>
      <c r="L257" s="468" t="str">
        <f>IFERROR(VLOOKUP(B257,'03. THIẾT BỊ'!$B$1:$S$836,11,0),"")</f>
        <v>Cơ khí KLH gia công mới</v>
      </c>
      <c r="M257" s="472" t="str">
        <f>IFERROR(VLOOKUP(B257,'03. THIẾT BỊ'!$B$1:$S$836,12,0),"")</f>
        <v/>
      </c>
      <c r="N257" s="468" t="str">
        <f>IFERROR(VLOOKUP(B257,'03. THIẾT BỊ'!$B$1:$S$836,13,0),"")</f>
        <v>THACO AGRI</v>
      </c>
      <c r="O257" s="470" t="str">
        <f>IFERROR(VLOOKUP(B257,'03. THIẾT BỊ'!$B$1:$S$836,14,0),"")</f>
        <v>JDR100-D160</v>
      </c>
      <c r="P257" s="468" t="str">
        <f>IFERROR(VLOOKUP(B257,'03. THIẾT BỊ'!$B$1:$S$836,15,0),"")</f>
        <v>CK-CGH</v>
      </c>
      <c r="Q257" s="48">
        <f>IFERROR(VLOOKUP(B257,'03. THIẾT BỊ'!$B$1:$S$836,16,0),"")</f>
        <v>2024</v>
      </c>
      <c r="R257" s="471" t="str">
        <f>IFERROR(VLOOKUP(B257,'03. THIẾT BỊ'!$B$1:$S$836,17,0),"")</f>
        <v>Đường kính 1.59xRộng 1.3m/cái</v>
      </c>
      <c r="S257" s="468" t="str">
        <f>IFERROR(VLOOKUP(B257,'03. THIẾT BỊ'!$B$1:$S$836,18,0),"")</f>
        <v/>
      </c>
      <c r="T257" s="812"/>
    </row>
    <row r="258" ht="15.0" customHeight="1">
      <c r="A258" s="463">
        <f t="shared" ref="A258:A261" si="12">A257+1</f>
        <v>2</v>
      </c>
      <c r="B258" s="464" t="s">
        <v>3648</v>
      </c>
      <c r="C258" s="869" t="str">
        <f>IFERROR(VLOOKUP(B258,'03. THIẾT BỊ'!$B$1:$S$836,2,0),"")</f>
        <v/>
      </c>
      <c r="D258" s="470" t="str">
        <f>IFERROR(VLOOKUP(B258,'03. THIẾT BỊ'!$B$1:$S$836,3,0),"")</f>
        <v>A23-BLT-004</v>
      </c>
      <c r="E258" s="464" t="str">
        <f>IFERROR(VLOOKUP(B258,'03. THIẾT BỊ'!$B$1:$S$836,4,0),"")</f>
        <v>ĐQSD</v>
      </c>
      <c r="F258" s="464" t="str">
        <f>IFERROR(VLOOKUP(B258,'03. THIẾT BỊ'!$B$1:$S$836,5,0),"")</f>
        <v>Bộ bánh lồng thép</v>
      </c>
      <c r="G258" s="80" t="s">
        <v>6423</v>
      </c>
      <c r="H258" s="463" t="str">
        <f>IFERROR(VLOOKUP(B258,'03. THIẾT BỊ'!$B$1:$S$836,7,0),"")</f>
        <v>CGLĐ DP</v>
      </c>
      <c r="I258" s="474" t="str">
        <f>IFERROR(VLOOKUP(B258,'03. THIẾT BỊ'!$B$1:$S$836,8,0),"")</f>
        <v>19/07/2024</v>
      </c>
      <c r="J258" s="471"/>
      <c r="K258" s="463" t="str">
        <f>IFERROR(VLOOKUP(B258,'03. THIẾT BỊ'!$B$1:$S$836,10,0),"")</f>
        <v>Bình thường</v>
      </c>
      <c r="L258" s="468" t="str">
        <f>IFERROR(VLOOKUP(B258,'03. THIẾT BỊ'!$B$1:$S$836,11,0),"")</f>
        <v>Cơ khí KLH gia công mới</v>
      </c>
      <c r="M258" s="472" t="str">
        <f>IFERROR(VLOOKUP(B258,'03. THIẾT BỊ'!$B$1:$S$836,12,0),"")</f>
        <v/>
      </c>
      <c r="N258" s="468" t="str">
        <f>IFERROR(VLOOKUP(B258,'03. THIẾT BỊ'!$B$1:$S$836,13,0),"")</f>
        <v>THACO AGRI</v>
      </c>
      <c r="O258" s="470" t="str">
        <f>IFERROR(VLOOKUP(B258,'03. THIẾT BỊ'!$B$1:$S$836,14,0),"")</f>
        <v>FDR100-D150</v>
      </c>
      <c r="P258" s="468" t="str">
        <f>IFERROR(VLOOKUP(B258,'03. THIẾT BỊ'!$B$1:$S$836,15,0),"")</f>
        <v>CK-CGH</v>
      </c>
      <c r="Q258" s="48">
        <f>IFERROR(VLOOKUP(B258,'03. THIẾT BỊ'!$B$1:$S$836,16,0),"")</f>
        <v>2024</v>
      </c>
      <c r="R258" s="471" t="str">
        <f>IFERROR(VLOOKUP(B258,'03. THIẾT BỊ'!$B$1:$S$836,17,0),"")</f>
        <v>ĐK: 1.49m x Rộng 1.1m/cái</v>
      </c>
      <c r="S258" s="468" t="str">
        <f>IFERROR(VLOOKUP(B258,'03. THIẾT BỊ'!$B$1:$S$836,18,0),"")</f>
        <v/>
      </c>
      <c r="T258" s="812"/>
    </row>
    <row r="259" ht="15.0" customHeight="1">
      <c r="A259" s="463">
        <f t="shared" si="12"/>
        <v>3</v>
      </c>
      <c r="B259" s="464" t="s">
        <v>3793</v>
      </c>
      <c r="C259" s="869" t="str">
        <f>IFERROR(VLOOKUP(B259,'03. THIẾT BỊ'!$B$1:$S$836,2,0),"")</f>
        <v/>
      </c>
      <c r="D259" s="470" t="str">
        <f>IFERROR(VLOOKUP(B259,'03. THIẾT BỊ'!$B$1:$S$836,3,0),"")</f>
        <v>A24-BLT-002</v>
      </c>
      <c r="E259" s="464" t="str">
        <f>IFERROR(VLOOKUP(B259,'03. THIẾT BỊ'!$B$1:$S$836,4,0),"")</f>
        <v>ĐQSD</v>
      </c>
      <c r="F259" s="464" t="str">
        <f>IFERROR(VLOOKUP(B259,'03. THIẾT BỊ'!$B$1:$S$836,5,0),"")</f>
        <v>Bộ bánh lồng thép</v>
      </c>
      <c r="G259" s="80" t="s">
        <v>6423</v>
      </c>
      <c r="H259" s="463" t="str">
        <f>IFERROR(VLOOKUP(B259,'03. THIẾT BỊ'!$B$1:$S$836,7,0),"")</f>
        <v>CGLĐ LP</v>
      </c>
      <c r="I259" s="474">
        <f>IFERROR(VLOOKUP(B259,'03. THIẾT BỊ'!$B$1:$S$836,8,0),"")</f>
        <v>45633</v>
      </c>
      <c r="J259" s="471"/>
      <c r="K259" s="463" t="str">
        <f>IFERROR(VLOOKUP(B259,'03. THIẾT BỊ'!$B$1:$S$836,10,0),"")</f>
        <v>Bình thường</v>
      </c>
      <c r="L259" s="468" t="str">
        <f>IFERROR(VLOOKUP(B259,'03. THIẾT BỊ'!$B$1:$S$836,11,0),"")</f>
        <v>Cơ khí KLH gia công mới</v>
      </c>
      <c r="M259" s="472" t="str">
        <f>IFERROR(VLOOKUP(B259,'03. THIẾT BỊ'!$B$1:$S$836,12,0),"")</f>
        <v/>
      </c>
      <c r="N259" s="468" t="str">
        <f>IFERROR(VLOOKUP(B259,'03. THIẾT BỊ'!$B$1:$S$836,13,0),"")</f>
        <v>THACO AGRI</v>
      </c>
      <c r="O259" s="470" t="str">
        <f>IFERROR(VLOOKUP(B259,'03. THIẾT BỊ'!$B$1:$S$836,14,0),"")</f>
        <v>JDR100-D150</v>
      </c>
      <c r="P259" s="468" t="str">
        <f>IFERROR(VLOOKUP(B259,'03. THIẾT BỊ'!$B$1:$S$836,15,0),"")</f>
        <v>CK-CGH</v>
      </c>
      <c r="Q259" s="48">
        <f>IFERROR(VLOOKUP(B259,'03. THIẾT BỊ'!$B$1:$S$836,16,0),"")</f>
        <v>2024</v>
      </c>
      <c r="R259" s="471" t="str">
        <f>IFERROR(VLOOKUP(B259,'03. THIẾT BỊ'!$B$1:$S$836,17,0),"")</f>
        <v>Đường kính 1.49xRộng 1.3m/cái</v>
      </c>
      <c r="S259" s="468" t="str">
        <f>IFERROR(VLOOKUP(B259,'03. THIẾT BỊ'!$B$1:$S$836,18,0),"")</f>
        <v/>
      </c>
      <c r="T259" s="812"/>
    </row>
    <row r="260" ht="15.0" customHeight="1">
      <c r="A260" s="463">
        <f t="shared" si="12"/>
        <v>4</v>
      </c>
      <c r="B260" s="464" t="s">
        <v>3797</v>
      </c>
      <c r="C260" s="869" t="str">
        <f>IFERROR(VLOOKUP(B260,'03. THIẾT BỊ'!$B$1:$S$836,2,0),"")</f>
        <v/>
      </c>
      <c r="D260" s="470" t="str">
        <f>IFERROR(VLOOKUP(B260,'03. THIẾT BỊ'!$B$1:$S$836,3,0),"")</f>
        <v>A24-BLT-001</v>
      </c>
      <c r="E260" s="464" t="str">
        <f>IFERROR(VLOOKUP(B260,'03. THIẾT BỊ'!$B$1:$S$836,4,0),"")</f>
        <v>ĐQSD</v>
      </c>
      <c r="F260" s="464" t="str">
        <f>IFERROR(VLOOKUP(B260,'03. THIẾT BỊ'!$B$1:$S$836,5,0),"")</f>
        <v>Bộ bánh lồng thép</v>
      </c>
      <c r="G260" s="80" t="s">
        <v>6423</v>
      </c>
      <c r="H260" s="463" t="str">
        <f>IFERROR(VLOOKUP(B260,'03. THIẾT BỊ'!$B$1:$S$836,7,0),"")</f>
        <v>CGLĐ LP</v>
      </c>
      <c r="I260" s="474" t="str">
        <f>IFERROR(VLOOKUP(B260,'03. THIẾT BỊ'!$B$1:$S$836,8,0),"")</f>
        <v>25/07/2024</v>
      </c>
      <c r="J260" s="471"/>
      <c r="K260" s="463" t="str">
        <f>IFERROR(VLOOKUP(B260,'03. THIẾT BỊ'!$B$1:$S$836,10,0),"")</f>
        <v>Bình thường</v>
      </c>
      <c r="L260" s="468" t="str">
        <f>IFERROR(VLOOKUP(B260,'03. THIẾT BỊ'!$B$1:$S$836,11,0),"")</f>
        <v>Cơ khí KLH gia công mới</v>
      </c>
      <c r="M260" s="472" t="str">
        <f>IFERROR(VLOOKUP(B260,'03. THIẾT BỊ'!$B$1:$S$836,12,0),"")</f>
        <v/>
      </c>
      <c r="N260" s="468" t="str">
        <f>IFERROR(VLOOKUP(B260,'03. THIẾT BỊ'!$B$1:$S$836,13,0),"")</f>
        <v>THACO AGRI</v>
      </c>
      <c r="O260" s="470" t="str">
        <f>IFERROR(VLOOKUP(B260,'03. THIẾT BỊ'!$B$1:$S$836,14,0),"")</f>
        <v>FDR100-D150</v>
      </c>
      <c r="P260" s="468" t="str">
        <f>IFERROR(VLOOKUP(B260,'03. THIẾT BỊ'!$B$1:$S$836,15,0),"")</f>
        <v>CK-CGH</v>
      </c>
      <c r="Q260" s="48">
        <f>IFERROR(VLOOKUP(B260,'03. THIẾT BỊ'!$B$1:$S$836,16,0),"")</f>
        <v>2024</v>
      </c>
      <c r="R260" s="471" t="str">
        <f>IFERROR(VLOOKUP(B260,'03. THIẾT BỊ'!$B$1:$S$836,17,0),"")</f>
        <v>Đường kính 1.49xRộng 1.1m/cái</v>
      </c>
      <c r="S260" s="468" t="str">
        <f>IFERROR(VLOOKUP(B260,'03. THIẾT BỊ'!$B$1:$S$836,18,0),"")</f>
        <v/>
      </c>
      <c r="T260" s="812"/>
    </row>
    <row r="261" ht="15.0" customHeight="1">
      <c r="A261" s="463">
        <f t="shared" si="12"/>
        <v>5</v>
      </c>
      <c r="B261" s="464" t="s">
        <v>4478</v>
      </c>
      <c r="C261" s="869" t="str">
        <f>IFERROR(VLOOKUP(B261,'03. THIẾT BỊ'!$B$1:$S$836,2,0),"")</f>
        <v/>
      </c>
      <c r="D261" s="470" t="str">
        <f>IFERROR(VLOOKUP(B261,'03. THIẾT BỊ'!$B$1:$S$836,3,0),"")</f>
        <v>A24-BLT-003</v>
      </c>
      <c r="E261" s="464" t="str">
        <f>IFERROR(VLOOKUP(B261,'03. THIẾT BỊ'!$B$1:$S$836,4,0),"")</f>
        <v>ĐQSD</v>
      </c>
      <c r="F261" s="464" t="str">
        <f>IFERROR(VLOOKUP(B261,'03. THIẾT BỊ'!$B$1:$S$836,5,0),"")</f>
        <v>Bộ bánh lồng thép</v>
      </c>
      <c r="G261" s="80" t="s">
        <v>6423</v>
      </c>
      <c r="H261" s="463" t="str">
        <f>IFERROR(VLOOKUP(B261,'03. THIẾT BỊ'!$B$1:$S$836,7,0),"")</f>
        <v>XN Chuối LP1</v>
      </c>
      <c r="I261" s="474" t="str">
        <f>IFERROR(VLOOKUP(B261,'03. THIẾT BỊ'!$B$1:$S$836,8,0),"")</f>
        <v>18/08/2024</v>
      </c>
      <c r="J261" s="471"/>
      <c r="K261" s="463" t="str">
        <f>IFERROR(VLOOKUP(B261,'03. THIẾT BỊ'!$B$1:$S$836,10,0),"")</f>
        <v>Bình thường</v>
      </c>
      <c r="L261" s="468" t="str">
        <f>IFERROR(VLOOKUP(B261,'03. THIẾT BỊ'!$B$1:$S$836,11,0),"")</f>
        <v>X.CK gia công</v>
      </c>
      <c r="M261" s="472" t="str">
        <f>IFERROR(VLOOKUP(B261,'03. THIẾT BỊ'!$B$1:$S$836,12,0),"")</f>
        <v/>
      </c>
      <c r="N261" s="468" t="str">
        <f>IFERROR(VLOOKUP(B261,'03. THIẾT BỊ'!$B$1:$S$836,13,0),"")</f>
        <v>THACO AGRI</v>
      </c>
      <c r="O261" s="470" t="str">
        <f>IFERROR(VLOOKUP(B261,'03. THIẾT BỊ'!$B$1:$S$836,14,0),"")</f>
        <v>CLE-D85-R35</v>
      </c>
      <c r="P261" s="468" t="str">
        <f>IFERROR(VLOOKUP(B261,'03. THIẾT BỊ'!$B$1:$S$836,15,0),"")</f>
        <v>CK-CGH</v>
      </c>
      <c r="Q261" s="48">
        <f>IFERROR(VLOOKUP(B261,'03. THIẾT BỊ'!$B$1:$S$836,16,0),"")</f>
        <v>2024</v>
      </c>
      <c r="R261" s="471" t="str">
        <f>IFERROR(VLOOKUP(B261,'03. THIẾT BỊ'!$B$1:$S$836,17,0),"")</f>
        <v>D850xR350/Cái</v>
      </c>
      <c r="S261" s="468" t="str">
        <f>IFERROR(VLOOKUP(B261,'03. THIẾT BỊ'!$B$1:$S$836,18,0),"")</f>
        <v/>
      </c>
      <c r="T261" s="812"/>
    </row>
    <row r="262">
      <c r="C262" s="869" t="str">
        <f>IFERROR(VLOOKUP(B262,'03. THIẾT BỊ'!$B$1:$S$836,2,0),"")</f>
        <v/>
      </c>
      <c r="D262" s="470" t="str">
        <f>IFERROR(VLOOKUP(B262,'03. THIẾT BỊ'!$B$1:$S$836,3,0),"")</f>
        <v/>
      </c>
      <c r="E262" s="464" t="str">
        <f>IFERROR(VLOOKUP(B262,'03. THIẾT BỊ'!$B$1:$S$836,4,0),"")</f>
        <v/>
      </c>
      <c r="F262" s="464" t="str">
        <f>IFERROR(VLOOKUP(B262,'03. THIẾT BỊ'!$B$1:$S$836,5,0),"")</f>
        <v/>
      </c>
      <c r="G262" s="80" t="s">
        <v>6423</v>
      </c>
      <c r="H262" s="463" t="str">
        <f>IFERROR(VLOOKUP(B262,'03. THIẾT BỊ'!$B$1:$S$836,7,0),"")</f>
        <v/>
      </c>
      <c r="I262" s="474" t="str">
        <f>IFERROR(VLOOKUP(B262,'03. THIẾT BỊ'!$B$1:$S$836,8,0),"")</f>
        <v/>
      </c>
      <c r="J262" s="471"/>
      <c r="K262" s="463" t="str">
        <f>IFERROR(VLOOKUP(B262,'03. THIẾT BỊ'!$B$1:$S$836,10,0),"")</f>
        <v/>
      </c>
      <c r="L262" s="468" t="str">
        <f>IFERROR(VLOOKUP(B262,'03. THIẾT BỊ'!$B$1:$S$836,11,0),"")</f>
        <v/>
      </c>
      <c r="M262" s="472" t="str">
        <f>IFERROR(VLOOKUP(B262,'03. THIẾT BỊ'!$B$1:$S$836,12,0),"")</f>
        <v/>
      </c>
      <c r="N262" s="468" t="str">
        <f>IFERROR(VLOOKUP(B262,'03. THIẾT BỊ'!$B$1:$S$836,13,0),"")</f>
        <v/>
      </c>
      <c r="O262" s="470" t="str">
        <f>IFERROR(VLOOKUP(B262,'03. THIẾT BỊ'!$B$1:$S$836,14,0),"")</f>
        <v/>
      </c>
      <c r="P262" s="468" t="str">
        <f>IFERROR(VLOOKUP(B262,'03. THIẾT BỊ'!$B$1:$S$836,15,0),"")</f>
        <v/>
      </c>
      <c r="Q262" s="48" t="str">
        <f>IFERROR(VLOOKUP(B262,'03. THIẾT BỊ'!$B$1:$S$836,16,0),"")</f>
        <v/>
      </c>
      <c r="R262" s="471" t="str">
        <f>IFERROR(VLOOKUP(B262,'03. THIẾT BỊ'!$B$1:$S$836,17,0),"")</f>
        <v/>
      </c>
      <c r="S262" s="468" t="str">
        <f>IFERROR(VLOOKUP(B262,'03. THIẾT BỊ'!$B$1:$S$836,18,0),"")</f>
        <v/>
      </c>
    </row>
    <row r="263" hidden="1">
      <c r="C263" s="869" t="str">
        <f>IFERROR(VLOOKUP(B263,'03. THIẾT BỊ'!$B$1:$S$836,2,0),"")</f>
        <v/>
      </c>
      <c r="D263" s="470" t="str">
        <f>IFERROR(VLOOKUP(B263,'03. THIẾT BỊ'!$B$1:$S$836,3,0),"")</f>
        <v/>
      </c>
      <c r="E263" s="464" t="str">
        <f>IFERROR(VLOOKUP(B263,'03. THIẾT BỊ'!$B$1:$S$836,4,0),"")</f>
        <v/>
      </c>
      <c r="F263" s="464" t="str">
        <f>IFERROR(VLOOKUP(B263,'03. THIẾT BỊ'!$B$1:$S$836,5,0),"")</f>
        <v/>
      </c>
      <c r="G263" s="80" t="s">
        <v>6423</v>
      </c>
      <c r="H263" s="463" t="str">
        <f>IFERROR(VLOOKUP(B263,'03. THIẾT BỊ'!$B$1:$S$836,7,0),"")</f>
        <v/>
      </c>
      <c r="I263" s="474" t="str">
        <f>IFERROR(VLOOKUP(B263,'03. THIẾT BỊ'!$B$1:$S$836,8,0),"")</f>
        <v/>
      </c>
      <c r="J263" s="471"/>
      <c r="K263" s="463" t="str">
        <f>IFERROR(VLOOKUP(B263,'03. THIẾT BỊ'!$B$1:$S$836,10,0),"")</f>
        <v/>
      </c>
      <c r="L263" s="468" t="str">
        <f>IFERROR(VLOOKUP(B263,'03. THIẾT BỊ'!$B$1:$S$836,11,0),"")</f>
        <v/>
      </c>
      <c r="M263" s="472" t="str">
        <f>IFERROR(VLOOKUP(B263,'03. THIẾT BỊ'!$B$1:$S$836,12,0),"")</f>
        <v/>
      </c>
      <c r="N263" s="468" t="str">
        <f>IFERROR(VLOOKUP(B263,'03. THIẾT BỊ'!$B$1:$S$836,13,0),"")</f>
        <v/>
      </c>
      <c r="O263" s="470" t="str">
        <f>IFERROR(VLOOKUP(B263,'03. THIẾT BỊ'!$B$1:$S$836,14,0),"")</f>
        <v/>
      </c>
      <c r="P263" s="468" t="str">
        <f>IFERROR(VLOOKUP(B263,'03. THIẾT BỊ'!$B$1:$S$836,15,0),"")</f>
        <v/>
      </c>
      <c r="Q263" s="48" t="str">
        <f>IFERROR(VLOOKUP(B263,'03. THIẾT BỊ'!$B$1:$S$836,16,0),"")</f>
        <v/>
      </c>
      <c r="R263" s="471" t="str">
        <f>IFERROR(VLOOKUP(B263,'03. THIẾT BỊ'!$B$1:$S$836,17,0),"")</f>
        <v/>
      </c>
      <c r="S263" s="468" t="str">
        <f>IFERROR(VLOOKUP(B263,'03. THIẾT BỊ'!$B$1:$S$836,18,0),"")</f>
        <v/>
      </c>
    </row>
    <row r="264" hidden="1">
      <c r="C264" s="869" t="str">
        <f>IFERROR(VLOOKUP(B264,'03. THIẾT BỊ'!$B$1:$S$836,2,0),"")</f>
        <v/>
      </c>
      <c r="D264" s="470" t="str">
        <f>IFERROR(VLOOKUP(B264,'03. THIẾT BỊ'!$B$1:$S$836,3,0),"")</f>
        <v/>
      </c>
      <c r="E264" s="464" t="str">
        <f>IFERROR(VLOOKUP(B264,'03. THIẾT BỊ'!$B$1:$S$836,4,0),"")</f>
        <v/>
      </c>
      <c r="F264" s="464" t="str">
        <f>IFERROR(VLOOKUP(B264,'03. THIẾT BỊ'!$B$1:$S$836,5,0),"")</f>
        <v/>
      </c>
      <c r="G264" s="80" t="s">
        <v>6423</v>
      </c>
      <c r="H264" s="463" t="str">
        <f>IFERROR(VLOOKUP(B264,'03. THIẾT BỊ'!$B$1:$S$836,7,0),"")</f>
        <v/>
      </c>
      <c r="I264" s="474" t="str">
        <f>IFERROR(VLOOKUP(B264,'03. THIẾT BỊ'!$B$1:$S$836,8,0),"")</f>
        <v/>
      </c>
      <c r="J264" s="471"/>
      <c r="K264" s="463" t="str">
        <f>IFERROR(VLOOKUP(B264,'03. THIẾT BỊ'!$B$1:$S$836,10,0),"")</f>
        <v/>
      </c>
      <c r="L264" s="468" t="str">
        <f>IFERROR(VLOOKUP(B264,'03. THIẾT BỊ'!$B$1:$S$836,11,0),"")</f>
        <v/>
      </c>
      <c r="M264" s="472" t="str">
        <f>IFERROR(VLOOKUP(B264,'03. THIẾT BỊ'!$B$1:$S$836,12,0),"")</f>
        <v/>
      </c>
      <c r="N264" s="468" t="str">
        <f>IFERROR(VLOOKUP(B264,'03. THIẾT BỊ'!$B$1:$S$836,13,0),"")</f>
        <v/>
      </c>
      <c r="O264" s="470" t="str">
        <f>IFERROR(VLOOKUP(B264,'03. THIẾT BỊ'!$B$1:$S$836,14,0),"")</f>
        <v/>
      </c>
      <c r="P264" s="468" t="str">
        <f>IFERROR(VLOOKUP(B264,'03. THIẾT BỊ'!$B$1:$S$836,15,0),"")</f>
        <v/>
      </c>
      <c r="Q264" s="48" t="str">
        <f>IFERROR(VLOOKUP(B264,'03. THIẾT BỊ'!$B$1:$S$836,16,0),"")</f>
        <v/>
      </c>
      <c r="R264" s="471" t="str">
        <f>IFERROR(VLOOKUP(B264,'03. THIẾT BỊ'!$B$1:$S$836,17,0),"")</f>
        <v/>
      </c>
      <c r="S264" s="468" t="str">
        <f>IFERROR(VLOOKUP(B264,'03. THIẾT BỊ'!$B$1:$S$836,18,0),"")</f>
        <v/>
      </c>
    </row>
    <row r="265" hidden="1">
      <c r="C265" s="869" t="str">
        <f>IFERROR(VLOOKUP(B265,'03. THIẾT BỊ'!$B$1:$S$836,2,0),"")</f>
        <v/>
      </c>
      <c r="D265" s="470" t="str">
        <f>IFERROR(VLOOKUP(B265,'03. THIẾT BỊ'!$B$1:$S$836,3,0),"")</f>
        <v/>
      </c>
      <c r="E265" s="464" t="str">
        <f>IFERROR(VLOOKUP(B265,'03. THIẾT BỊ'!$B$1:$S$836,4,0),"")</f>
        <v/>
      </c>
      <c r="F265" s="464" t="str">
        <f>IFERROR(VLOOKUP(B265,'03. THIẾT BỊ'!$B$1:$S$836,5,0),"")</f>
        <v/>
      </c>
      <c r="G265" s="80" t="s">
        <v>6423</v>
      </c>
      <c r="H265" s="463" t="str">
        <f>IFERROR(VLOOKUP(B265,'03. THIẾT BỊ'!$B$1:$S$836,7,0),"")</f>
        <v/>
      </c>
      <c r="I265" s="474" t="str">
        <f>IFERROR(VLOOKUP(B265,'03. THIẾT BỊ'!$B$1:$S$836,8,0),"")</f>
        <v/>
      </c>
      <c r="J265" s="471"/>
      <c r="K265" s="463" t="str">
        <f>IFERROR(VLOOKUP(B265,'03. THIẾT BỊ'!$B$1:$S$836,10,0),"")</f>
        <v/>
      </c>
      <c r="L265" s="468" t="str">
        <f>IFERROR(VLOOKUP(B265,'03. THIẾT BỊ'!$B$1:$S$836,11,0),"")</f>
        <v/>
      </c>
      <c r="M265" s="472" t="str">
        <f>IFERROR(VLOOKUP(B265,'03. THIẾT BỊ'!$B$1:$S$836,12,0),"")</f>
        <v/>
      </c>
      <c r="N265" s="468" t="str">
        <f>IFERROR(VLOOKUP(B265,'03. THIẾT BỊ'!$B$1:$S$836,13,0),"")</f>
        <v/>
      </c>
      <c r="O265" s="470" t="str">
        <f>IFERROR(VLOOKUP(B265,'03. THIẾT BỊ'!$B$1:$S$836,14,0),"")</f>
        <v/>
      </c>
      <c r="P265" s="468" t="str">
        <f>IFERROR(VLOOKUP(B265,'03. THIẾT BỊ'!$B$1:$S$836,15,0),"")</f>
        <v/>
      </c>
      <c r="Q265" s="48" t="str">
        <f>IFERROR(VLOOKUP(B265,'03. THIẾT BỊ'!$B$1:$S$836,16,0),"")</f>
        <v/>
      </c>
      <c r="R265" s="471" t="str">
        <f>IFERROR(VLOOKUP(B265,'03. THIẾT BỊ'!$B$1:$S$836,17,0),"")</f>
        <v/>
      </c>
      <c r="S265" s="468" t="str">
        <f>IFERROR(VLOOKUP(B265,'03. THIẾT BỊ'!$B$1:$S$836,18,0),"")</f>
        <v/>
      </c>
    </row>
    <row r="266" ht="15.0" customHeight="1">
      <c r="A266" s="455" t="s">
        <v>76</v>
      </c>
      <c r="B266" s="456" t="s">
        <v>8268</v>
      </c>
      <c r="C266" s="457">
        <f>COUNTA(B267:B271)</f>
        <v>4</v>
      </c>
      <c r="D266" s="458" t="str">
        <f>IFERROR(VLOOKUP(B266,'03. THIẾT BỊ'!$B$1:$S$836,3,0),"")</f>
        <v/>
      </c>
      <c r="E266" s="464" t="str">
        <f>IFERROR(VLOOKUP(B266,'03. THIẾT BỊ'!$B$1:$S$836,4,0),"")</f>
        <v/>
      </c>
      <c r="F266" s="458" t="str">
        <f>IFERROR(VLOOKUP(B266,'03. THIẾT BỊ'!$B$1:$S$836,5,0),"")</f>
        <v/>
      </c>
      <c r="G266" s="459" t="s">
        <v>6423</v>
      </c>
      <c r="H266" s="459" t="str">
        <f>IFERROR(VLOOKUP(B266,'03. THIẾT BỊ'!$B$1:$S$836,7,0),"")</f>
        <v/>
      </c>
      <c r="I266" s="457" t="str">
        <f>IFERROR(VLOOKUP(B266,'03. THIẾT BỊ'!$B$1:$S$836,8,0),"")</f>
        <v/>
      </c>
      <c r="J266" s="460"/>
      <c r="K266" s="457" t="str">
        <f>IFERROR(VLOOKUP(B266,'03. THIẾT BỊ'!$B$1:$S$836,10,0),"")</f>
        <v/>
      </c>
      <c r="L266" s="458" t="str">
        <f>IFERROR(VLOOKUP(B266,'03. THIẾT BỊ'!$B$1:$S$836,11,0),"")</f>
        <v/>
      </c>
      <c r="M266" s="461" t="str">
        <f>IFERROR(VLOOKUP(B266,'03. THIẾT BỊ'!$B$1:$S$836,12,0),"")</f>
        <v/>
      </c>
      <c r="N266" s="458" t="str">
        <f>IFERROR(VLOOKUP(B266,'03. THIẾT BỊ'!$B$1:$S$836,13,0),"")</f>
        <v/>
      </c>
      <c r="O266" s="461" t="str">
        <f>IFERROR(VLOOKUP(B266,'03. THIẾT BỊ'!$B$1:$S$836,14,0),"")</f>
        <v/>
      </c>
      <c r="P266" s="458" t="str">
        <f>IFERROR(VLOOKUP(B266,'03. THIẾT BỊ'!$B$1:$S$836,15,0),"")</f>
        <v/>
      </c>
      <c r="Q266" s="459" t="str">
        <f>IFERROR(VLOOKUP(B266,'03. THIẾT BỊ'!$B$1:$S$836,16,0),"")</f>
        <v/>
      </c>
      <c r="R266" s="458" t="str">
        <f>IFERROR(VLOOKUP(B266,'03. THIẾT BỊ'!$B$1:$S$836,17,0),"")</f>
        <v/>
      </c>
      <c r="S266" s="458" t="str">
        <f>IFERROR(VLOOKUP(B266,'03. THIẾT BỊ'!$B$1:$S$836,18,0),"")</f>
        <v/>
      </c>
      <c r="T266" s="866"/>
    </row>
    <row r="267" ht="15.0" customHeight="1">
      <c r="A267" s="463">
        <v>1.0</v>
      </c>
      <c r="B267" s="464" t="s">
        <v>3571</v>
      </c>
      <c r="C267" s="869" t="str">
        <f>IFERROR(VLOOKUP(B267,'03. THIẾT BỊ'!$B$1:$S$836,2,0),"")</f>
        <v>XDP-VMU-001</v>
      </c>
      <c r="D267" s="470" t="str">
        <f>IFERROR(VLOOKUP(B267,'03. THIẾT BỊ'!$B$1:$S$836,3,0),"")</f>
        <v>A23-VMU-001</v>
      </c>
      <c r="E267" s="464" t="str">
        <f>IFERROR(VLOOKUP(B267,'03. THIẾT BỊ'!$B$1:$S$836,4,0),"")</f>
        <v>ĐQSD</v>
      </c>
      <c r="F267" s="464" t="str">
        <f>IFERROR(VLOOKUP(B267,'03. THIẾT BỊ'!$B$1:$S$836,5,0),"")</f>
        <v>Thiết bị vét mương 2 đĩa quay</v>
      </c>
      <c r="G267" s="80" t="s">
        <v>6423</v>
      </c>
      <c r="H267" s="463" t="str">
        <f>IFERROR(VLOOKUP(B267,'03. THIẾT BỊ'!$B$1:$S$836,7,0),"")</f>
        <v>CGLĐ DP</v>
      </c>
      <c r="I267" s="474" t="str">
        <f>IFERROR(VLOOKUP(B267,'03. THIẾT BỊ'!$B$1:$S$836,8,0),"")</f>
        <v/>
      </c>
      <c r="J267" s="471"/>
      <c r="K267" s="463" t="str">
        <f>IFERROR(VLOOKUP(B267,'03. THIẾT BỊ'!$B$1:$S$836,10,0),"")</f>
        <v>Bình thường</v>
      </c>
      <c r="L267" s="468" t="str">
        <f>IFERROR(VLOOKUP(B267,'03. THIẾT BỊ'!$B$1:$S$836,11,0),"")</f>
        <v/>
      </c>
      <c r="M267" s="472" t="str">
        <f>IFERROR(VLOOKUP(B267,'03. THIẾT BỊ'!$B$1:$S$836,12,0),"")</f>
        <v/>
      </c>
      <c r="N267" s="468" t="str">
        <f>IFERROR(VLOOKUP(B267,'03. THIẾT BỊ'!$B$1:$S$836,13,0),"")</f>
        <v>TRUNG QUỐC</v>
      </c>
      <c r="O267" s="470" t="str">
        <f>IFERROR(VLOOKUP(B267,'03. THIẾT BỊ'!$B$1:$S$836,14,0),"")</f>
        <v>2 đĩa quay</v>
      </c>
      <c r="P267" s="468" t="str">
        <f>IFERROR(VLOOKUP(B267,'03. THIẾT BỊ'!$B$1:$S$836,15,0),"")</f>
        <v>TRUNG QUỐC</v>
      </c>
      <c r="Q267" s="48" t="str">
        <f>IFERROR(VLOOKUP(B267,'03. THIẾT BỊ'!$B$1:$S$836,16,0),"")</f>
        <v/>
      </c>
      <c r="R267" s="471" t="str">
        <f>IFERROR(VLOOKUP(B267,'03. THIẾT BỊ'!$B$1:$S$836,17,0),"")</f>
        <v/>
      </c>
      <c r="S267" s="468" t="str">
        <f>IFERROR(VLOOKUP(B267,'03. THIẾT BỊ'!$B$1:$S$836,18,0),"")</f>
        <v/>
      </c>
      <c r="T267" s="812"/>
    </row>
    <row r="268" ht="15.0" customHeight="1">
      <c r="A268" s="463">
        <f t="shared" ref="A268:A270" si="13">A267+1</f>
        <v>2</v>
      </c>
      <c r="B268" s="464" t="s">
        <v>3761</v>
      </c>
      <c r="C268" s="869" t="str">
        <f>IFERROR(VLOOKUP(B268,'03. THIẾT BỊ'!$B$1:$S$836,2,0),"")</f>
        <v>CNN-VMU-005</v>
      </c>
      <c r="D268" s="470" t="str">
        <f>IFERROR(VLOOKUP(B268,'03. THIẾT BỊ'!$B$1:$S$836,3,0),"")</f>
        <v>A24-VMU-002</v>
      </c>
      <c r="E268" s="464" t="str">
        <f>IFERROR(VLOOKUP(B268,'03. THIẾT BỊ'!$B$1:$S$836,4,0),"")</f>
        <v>ĐQSD</v>
      </c>
      <c r="F268" s="464" t="str">
        <f>IFERROR(VLOOKUP(B268,'03. THIẾT BỊ'!$B$1:$S$836,5,0),"")</f>
        <v>Thiết bị vét mương 2 đĩa quay</v>
      </c>
      <c r="G268" s="80" t="s">
        <v>6423</v>
      </c>
      <c r="H268" s="463" t="str">
        <f>IFERROR(VLOOKUP(B268,'03. THIẾT BỊ'!$B$1:$S$836,7,0),"")</f>
        <v>CGLĐ LP</v>
      </c>
      <c r="I268" s="474" t="str">
        <f>IFERROR(VLOOKUP(B268,'03. THIẾT BỊ'!$B$1:$S$836,8,0),"")</f>
        <v/>
      </c>
      <c r="J268" s="471"/>
      <c r="K268" s="463" t="str">
        <f>IFERROR(VLOOKUP(B268,'03. THIẾT BỊ'!$B$1:$S$836,10,0),"")</f>
        <v>Bình thường</v>
      </c>
      <c r="L268" s="468" t="str">
        <f>IFERROR(VLOOKUP(B268,'03. THIẾT BỊ'!$B$1:$S$836,11,0),"")</f>
        <v/>
      </c>
      <c r="M268" s="472" t="str">
        <f>IFERROR(VLOOKUP(B268,'03. THIẾT BỊ'!$B$1:$S$836,12,0),"")</f>
        <v/>
      </c>
      <c r="N268" s="468" t="str">
        <f>IFERROR(VLOOKUP(B268,'03. THIẾT BỊ'!$B$1:$S$836,13,0),"")</f>
        <v>CAMBODIA</v>
      </c>
      <c r="O268" s="470" t="str">
        <f>IFERROR(VLOOKUP(B268,'03. THIẾT BỊ'!$B$1:$S$836,14,0),"")</f>
        <v>2 đĩa  quay</v>
      </c>
      <c r="P268" s="468" t="str">
        <f>IFERROR(VLOOKUP(B268,'03. THIẾT BỊ'!$B$1:$S$836,15,0),"")</f>
        <v>CAMBODIA</v>
      </c>
      <c r="Q268" s="48" t="str">
        <f>IFERROR(VLOOKUP(B268,'03. THIẾT BỊ'!$B$1:$S$836,16,0),"")</f>
        <v/>
      </c>
      <c r="R268" s="471" t="str">
        <f>IFERROR(VLOOKUP(B268,'03. THIẾT BỊ'!$B$1:$S$836,17,0),"")</f>
        <v/>
      </c>
      <c r="S268" s="468" t="str">
        <f>IFERROR(VLOOKUP(B268,'03. THIẾT BỊ'!$B$1:$S$836,18,0),"")</f>
        <v/>
      </c>
      <c r="T268" s="812"/>
    </row>
    <row r="269" ht="15.0" customHeight="1">
      <c r="A269" s="463">
        <f t="shared" si="13"/>
        <v>3</v>
      </c>
      <c r="B269" s="464" t="s">
        <v>3860</v>
      </c>
      <c r="C269" s="869" t="str">
        <f>IFERROR(VLOOKUP(B269,'03. THIẾT BỊ'!$B$1:$S$836,2,0),"")</f>
        <v>CNN-VMU-001</v>
      </c>
      <c r="D269" s="470" t="str">
        <f>IFERROR(VLOOKUP(B269,'03. THIẾT BỊ'!$B$1:$S$836,3,0),"")</f>
        <v>A22-VMU-003</v>
      </c>
      <c r="E269" s="464" t="str">
        <f>IFERROR(VLOOKUP(B269,'03. THIẾT BỊ'!$B$1:$S$836,4,0),"")</f>
        <v>ĐQSD</v>
      </c>
      <c r="F269" s="464" t="str">
        <f>IFERROR(VLOOKUP(B269,'03. THIẾT BỊ'!$B$1:$S$836,5,0),"")</f>
        <v>Thiết bị đào mương DBR 75/32-540</v>
      </c>
      <c r="G269" s="80" t="s">
        <v>6423</v>
      </c>
      <c r="H269" s="463" t="str">
        <f>IFERROR(VLOOKUP(B269,'03. THIẾT BỊ'!$B$1:$S$836,7,0),"")</f>
        <v>XN Bò AD</v>
      </c>
      <c r="I269" s="474" t="str">
        <f>IFERROR(VLOOKUP(B269,'03. THIẾT BỊ'!$B$1:$S$836,8,0),"")</f>
        <v/>
      </c>
      <c r="J269" s="471"/>
      <c r="K269" s="463" t="str">
        <f>IFERROR(VLOOKUP(B269,'03. THIẾT BỊ'!$B$1:$S$836,10,0),"")</f>
        <v>Bình thường</v>
      </c>
      <c r="L269" s="468" t="str">
        <f>IFERROR(VLOOKUP(B269,'03. THIẾT BỊ'!$B$1:$S$836,11,0),"")</f>
        <v/>
      </c>
      <c r="M269" s="472" t="str">
        <f>IFERROR(VLOOKUP(B269,'03. THIẾT BỊ'!$B$1:$S$836,12,0),"")</f>
        <v/>
      </c>
      <c r="N269" s="468" t="str">
        <f>IFERROR(VLOOKUP(B269,'03. THIẾT BỊ'!$B$1:$S$836,13,0),"")</f>
        <v>CAMBODIA</v>
      </c>
      <c r="O269" s="470" t="str">
        <f>IFERROR(VLOOKUP(B269,'03. THIẾT BỊ'!$B$1:$S$836,14,0),"")</f>
        <v>DBR</v>
      </c>
      <c r="P269" s="468" t="str">
        <f>IFERROR(VLOOKUP(B269,'03. THIẾT BỊ'!$B$1:$S$836,15,0),"")</f>
        <v>CAMBODIA</v>
      </c>
      <c r="Q269" s="48" t="str">
        <f>IFERROR(VLOOKUP(B269,'03. THIẾT BỊ'!$B$1:$S$836,16,0),"")</f>
        <v/>
      </c>
      <c r="R269" s="471" t="str">
        <f>IFERROR(VLOOKUP(B269,'03. THIẾT BỊ'!$B$1:$S$836,17,0),"")</f>
        <v/>
      </c>
      <c r="S269" s="468" t="str">
        <f>IFERROR(VLOOKUP(B269,'03. THIẾT BỊ'!$B$1:$S$836,18,0),"")</f>
        <v/>
      </c>
      <c r="T269" s="812"/>
    </row>
    <row r="270" ht="15.0" customHeight="1">
      <c r="A270" s="463">
        <f t="shared" si="13"/>
        <v>4</v>
      </c>
      <c r="B270" s="464" t="s">
        <v>3864</v>
      </c>
      <c r="C270" s="869" t="str">
        <f>IFERROR(VLOOKUP(B270,'03. THIẾT BỊ'!$B$1:$S$836,2,0),"")</f>
        <v>CNN-VMU-002</v>
      </c>
      <c r="D270" s="470" t="str">
        <f>IFERROR(VLOOKUP(B270,'03. THIẾT BỊ'!$B$1:$S$836,3,0),"")</f>
        <v>A22-VMU-004</v>
      </c>
      <c r="E270" s="464" t="str">
        <f>IFERROR(VLOOKUP(B270,'03. THIẾT BỊ'!$B$1:$S$836,4,0),"")</f>
        <v>ĐQSD</v>
      </c>
      <c r="F270" s="464" t="str">
        <f>IFERROR(VLOOKUP(B270,'03. THIẾT BỊ'!$B$1:$S$836,5,0),"")</f>
        <v>Thiết bị đào mương DBR 75/32-540</v>
      </c>
      <c r="G270" s="80" t="s">
        <v>6423</v>
      </c>
      <c r="H270" s="463" t="str">
        <f>IFERROR(VLOOKUP(B270,'03. THIẾT BỊ'!$B$1:$S$836,7,0),"")</f>
        <v>XN Bò AD</v>
      </c>
      <c r="I270" s="474" t="str">
        <f>IFERROR(VLOOKUP(B270,'03. THIẾT BỊ'!$B$1:$S$836,8,0),"")</f>
        <v/>
      </c>
      <c r="J270" s="471"/>
      <c r="K270" s="463" t="str">
        <f>IFERROR(VLOOKUP(B270,'03. THIẾT BỊ'!$B$1:$S$836,10,0),"")</f>
        <v>Bình thường</v>
      </c>
      <c r="L270" s="468" t="str">
        <f>IFERROR(VLOOKUP(B270,'03. THIẾT BỊ'!$B$1:$S$836,11,0),"")</f>
        <v/>
      </c>
      <c r="M270" s="472" t="str">
        <f>IFERROR(VLOOKUP(B270,'03. THIẾT BỊ'!$B$1:$S$836,12,0),"")</f>
        <v/>
      </c>
      <c r="N270" s="468" t="str">
        <f>IFERROR(VLOOKUP(B270,'03. THIẾT BỊ'!$B$1:$S$836,13,0),"")</f>
        <v>CAMBODIA</v>
      </c>
      <c r="O270" s="470" t="str">
        <f>IFERROR(VLOOKUP(B270,'03. THIẾT BỊ'!$B$1:$S$836,14,0),"")</f>
        <v>DBR</v>
      </c>
      <c r="P270" s="468" t="str">
        <f>IFERROR(VLOOKUP(B270,'03. THIẾT BỊ'!$B$1:$S$836,15,0),"")</f>
        <v>CAMBODIA</v>
      </c>
      <c r="Q270" s="48" t="str">
        <f>IFERROR(VLOOKUP(B270,'03. THIẾT BỊ'!$B$1:$S$836,16,0),"")</f>
        <v/>
      </c>
      <c r="R270" s="471" t="str">
        <f>IFERROR(VLOOKUP(B270,'03. THIẾT BỊ'!$B$1:$S$836,17,0),"")</f>
        <v/>
      </c>
      <c r="S270" s="468" t="str">
        <f>IFERROR(VLOOKUP(B270,'03. THIẾT BỊ'!$B$1:$S$836,18,0),"")</f>
        <v/>
      </c>
      <c r="T270" s="812"/>
    </row>
    <row r="271" ht="15.0" customHeight="1">
      <c r="A271" s="1236"/>
      <c r="B271" s="812"/>
      <c r="C271" s="869" t="str">
        <f>IFERROR(VLOOKUP(B271,'03. THIẾT BỊ'!$B$1:$S$836,2,0),"")</f>
        <v/>
      </c>
      <c r="D271" s="470" t="str">
        <f>IFERROR(VLOOKUP(B271,'03. THIẾT BỊ'!$B$1:$S$836,3,0),"")</f>
        <v/>
      </c>
      <c r="E271" s="464" t="str">
        <f>IFERROR(VLOOKUP(B271,'03. THIẾT BỊ'!$B$1:$S$836,4,0),"")</f>
        <v/>
      </c>
      <c r="F271" s="464" t="str">
        <f>IFERROR(VLOOKUP(B271,'03. THIẾT BỊ'!$B$1:$S$836,5,0),"")</f>
        <v/>
      </c>
      <c r="G271" s="80" t="s">
        <v>6423</v>
      </c>
      <c r="H271" s="463" t="str">
        <f>IFERROR(VLOOKUP(B271,'03. THIẾT BỊ'!$B$1:$S$836,7,0),"")</f>
        <v/>
      </c>
      <c r="I271" s="474" t="str">
        <f>IFERROR(VLOOKUP(B271,'03. THIẾT BỊ'!$B$1:$S$836,8,0),"")</f>
        <v/>
      </c>
      <c r="J271" s="471"/>
      <c r="K271" s="463" t="str">
        <f>IFERROR(VLOOKUP(B271,'03. THIẾT BỊ'!$B$1:$S$836,10,0),"")</f>
        <v/>
      </c>
      <c r="L271" s="468" t="str">
        <f>IFERROR(VLOOKUP(B271,'03. THIẾT BỊ'!$B$1:$S$836,11,0),"")</f>
        <v/>
      </c>
      <c r="M271" s="472" t="str">
        <f>IFERROR(VLOOKUP(B271,'03. THIẾT BỊ'!$B$1:$S$836,12,0),"")</f>
        <v/>
      </c>
      <c r="N271" s="468" t="str">
        <f>IFERROR(VLOOKUP(B271,'03. THIẾT BỊ'!$B$1:$S$836,13,0),"")</f>
        <v/>
      </c>
      <c r="O271" s="470" t="str">
        <f>IFERROR(VLOOKUP(B271,'03. THIẾT BỊ'!$B$1:$S$836,14,0),"")</f>
        <v/>
      </c>
      <c r="P271" s="468" t="str">
        <f>IFERROR(VLOOKUP(B271,'03. THIẾT BỊ'!$B$1:$S$836,15,0),"")</f>
        <v/>
      </c>
      <c r="Q271" s="48" t="str">
        <f>IFERROR(VLOOKUP(B271,'03. THIẾT BỊ'!$B$1:$S$836,16,0),"")</f>
        <v/>
      </c>
      <c r="R271" s="471" t="str">
        <f>IFERROR(VLOOKUP(B271,'03. THIẾT BỊ'!$B$1:$S$836,17,0),"")</f>
        <v/>
      </c>
      <c r="S271" s="468" t="str">
        <f>IFERROR(VLOOKUP(B271,'03. THIẾT BỊ'!$B$1:$S$836,18,0),"")</f>
        <v/>
      </c>
      <c r="T271" s="812"/>
    </row>
    <row r="272" ht="15.0" hidden="1" customHeight="1">
      <c r="A272" s="1236"/>
      <c r="B272" s="812"/>
      <c r="C272" s="869" t="str">
        <f>IFERROR(VLOOKUP(B272,'03. THIẾT BỊ'!$B$1:$S$836,2,0),"")</f>
        <v/>
      </c>
      <c r="D272" s="470" t="str">
        <f>IFERROR(VLOOKUP(B272,'03. THIẾT BỊ'!$B$1:$S$836,3,0),"")</f>
        <v/>
      </c>
      <c r="E272" s="464" t="str">
        <f>IFERROR(VLOOKUP(B272,'03. THIẾT BỊ'!$B$1:$S$836,4,0),"")</f>
        <v/>
      </c>
      <c r="F272" s="464" t="str">
        <f>IFERROR(VLOOKUP(B272,'03. THIẾT BỊ'!$B$1:$S$836,5,0),"")</f>
        <v/>
      </c>
      <c r="G272" s="80" t="s">
        <v>6423</v>
      </c>
      <c r="H272" s="463" t="str">
        <f>IFERROR(VLOOKUP(B272,'03. THIẾT BỊ'!$B$1:$S$836,7,0),"")</f>
        <v/>
      </c>
      <c r="I272" s="474" t="str">
        <f>IFERROR(VLOOKUP(B272,'03. THIẾT BỊ'!$B$1:$S$836,8,0),"")</f>
        <v/>
      </c>
      <c r="J272" s="471"/>
      <c r="K272" s="463" t="str">
        <f>IFERROR(VLOOKUP(B272,'03. THIẾT BỊ'!$B$1:$S$836,10,0),"")</f>
        <v/>
      </c>
      <c r="L272" s="468" t="str">
        <f>IFERROR(VLOOKUP(B272,'03. THIẾT BỊ'!$B$1:$S$836,11,0),"")</f>
        <v/>
      </c>
      <c r="M272" s="472" t="str">
        <f>IFERROR(VLOOKUP(B272,'03. THIẾT BỊ'!$B$1:$S$836,12,0),"")</f>
        <v/>
      </c>
      <c r="N272" s="468" t="str">
        <f>IFERROR(VLOOKUP(B272,'03. THIẾT BỊ'!$B$1:$S$836,13,0),"")</f>
        <v/>
      </c>
      <c r="O272" s="470" t="str">
        <f>IFERROR(VLOOKUP(B272,'03. THIẾT BỊ'!$B$1:$S$836,14,0),"")</f>
        <v/>
      </c>
      <c r="P272" s="468" t="str">
        <f>IFERROR(VLOOKUP(B272,'03. THIẾT BỊ'!$B$1:$S$836,15,0),"")</f>
        <v/>
      </c>
      <c r="Q272" s="48" t="str">
        <f>IFERROR(VLOOKUP(B272,'03. THIẾT BỊ'!$B$1:$S$836,16,0),"")</f>
        <v/>
      </c>
      <c r="R272" s="471" t="str">
        <f>IFERROR(VLOOKUP(B272,'03. THIẾT BỊ'!$B$1:$S$836,17,0),"")</f>
        <v/>
      </c>
      <c r="S272" s="468" t="str">
        <f>IFERROR(VLOOKUP(B272,'03. THIẾT BỊ'!$B$1:$S$836,18,0),"")</f>
        <v/>
      </c>
      <c r="T272" s="812"/>
    </row>
    <row r="273" ht="15.0" hidden="1" customHeight="1">
      <c r="A273" s="1236"/>
      <c r="B273" s="812"/>
      <c r="C273" s="869" t="str">
        <f>IFERROR(VLOOKUP(B273,'03. THIẾT BỊ'!$B$1:$S$836,2,0),"")</f>
        <v/>
      </c>
      <c r="D273" s="470" t="str">
        <f>IFERROR(VLOOKUP(B273,'03. THIẾT BỊ'!$B$1:$S$836,3,0),"")</f>
        <v/>
      </c>
      <c r="E273" s="464" t="str">
        <f>IFERROR(VLOOKUP(B273,'03. THIẾT BỊ'!$B$1:$S$836,4,0),"")</f>
        <v/>
      </c>
      <c r="F273" s="464" t="str">
        <f>IFERROR(VLOOKUP(B273,'03. THIẾT BỊ'!$B$1:$S$836,5,0),"")</f>
        <v/>
      </c>
      <c r="G273" s="80" t="s">
        <v>6423</v>
      </c>
      <c r="H273" s="463" t="str">
        <f>IFERROR(VLOOKUP(B273,'03. THIẾT BỊ'!$B$1:$S$836,7,0),"")</f>
        <v/>
      </c>
      <c r="I273" s="474" t="str">
        <f>IFERROR(VLOOKUP(B273,'03. THIẾT BỊ'!$B$1:$S$836,8,0),"")</f>
        <v/>
      </c>
      <c r="J273" s="471"/>
      <c r="K273" s="463" t="str">
        <f>IFERROR(VLOOKUP(B273,'03. THIẾT BỊ'!$B$1:$S$836,10,0),"")</f>
        <v/>
      </c>
      <c r="L273" s="468" t="str">
        <f>IFERROR(VLOOKUP(B273,'03. THIẾT BỊ'!$B$1:$S$836,11,0),"")</f>
        <v/>
      </c>
      <c r="M273" s="472" t="str">
        <f>IFERROR(VLOOKUP(B273,'03. THIẾT BỊ'!$B$1:$S$836,12,0),"")</f>
        <v/>
      </c>
      <c r="N273" s="468" t="str">
        <f>IFERROR(VLOOKUP(B273,'03. THIẾT BỊ'!$B$1:$S$836,13,0),"")</f>
        <v/>
      </c>
      <c r="O273" s="470" t="str">
        <f>IFERROR(VLOOKUP(B273,'03. THIẾT BỊ'!$B$1:$S$836,14,0),"")</f>
        <v/>
      </c>
      <c r="P273" s="468" t="str">
        <f>IFERROR(VLOOKUP(B273,'03. THIẾT BỊ'!$B$1:$S$836,15,0),"")</f>
        <v/>
      </c>
      <c r="Q273" s="48" t="str">
        <f>IFERROR(VLOOKUP(B273,'03. THIẾT BỊ'!$B$1:$S$836,16,0),"")</f>
        <v/>
      </c>
      <c r="R273" s="471" t="str">
        <f>IFERROR(VLOOKUP(B273,'03. THIẾT BỊ'!$B$1:$S$836,17,0),"")</f>
        <v/>
      </c>
      <c r="S273" s="468" t="str">
        <f>IFERROR(VLOOKUP(B273,'03. THIẾT BỊ'!$B$1:$S$836,18,0),"")</f>
        <v/>
      </c>
      <c r="T273" s="812"/>
    </row>
    <row r="274" ht="15.0" hidden="1" customHeight="1">
      <c r="A274" s="1236"/>
      <c r="B274" s="812"/>
      <c r="C274" s="869" t="str">
        <f>IFERROR(VLOOKUP(B274,'03. THIẾT BỊ'!$B$1:$S$836,2,0),"")</f>
        <v/>
      </c>
      <c r="D274" s="470" t="str">
        <f>IFERROR(VLOOKUP(B274,'03. THIẾT BỊ'!$B$1:$S$836,3,0),"")</f>
        <v/>
      </c>
      <c r="E274" s="464" t="str">
        <f>IFERROR(VLOOKUP(B274,'03. THIẾT BỊ'!$B$1:$S$836,4,0),"")</f>
        <v/>
      </c>
      <c r="F274" s="464" t="str">
        <f>IFERROR(VLOOKUP(B274,'03. THIẾT BỊ'!$B$1:$S$836,5,0),"")</f>
        <v/>
      </c>
      <c r="G274" s="80" t="s">
        <v>6423</v>
      </c>
      <c r="H274" s="463" t="str">
        <f>IFERROR(VLOOKUP(B274,'03. THIẾT BỊ'!$B$1:$S$836,7,0),"")</f>
        <v/>
      </c>
      <c r="I274" s="474" t="str">
        <f>IFERROR(VLOOKUP(B274,'03. THIẾT BỊ'!$B$1:$S$836,8,0),"")</f>
        <v/>
      </c>
      <c r="J274" s="471"/>
      <c r="K274" s="463" t="str">
        <f>IFERROR(VLOOKUP(B274,'03. THIẾT BỊ'!$B$1:$S$836,10,0),"")</f>
        <v/>
      </c>
      <c r="L274" s="468" t="str">
        <f>IFERROR(VLOOKUP(B274,'03. THIẾT BỊ'!$B$1:$S$836,11,0),"")</f>
        <v/>
      </c>
      <c r="M274" s="472" t="str">
        <f>IFERROR(VLOOKUP(B274,'03. THIẾT BỊ'!$B$1:$S$836,12,0),"")</f>
        <v/>
      </c>
      <c r="N274" s="468" t="str">
        <f>IFERROR(VLOOKUP(B274,'03. THIẾT BỊ'!$B$1:$S$836,13,0),"")</f>
        <v/>
      </c>
      <c r="O274" s="470" t="str">
        <f>IFERROR(VLOOKUP(B274,'03. THIẾT BỊ'!$B$1:$S$836,14,0),"")</f>
        <v/>
      </c>
      <c r="P274" s="468" t="str">
        <f>IFERROR(VLOOKUP(B274,'03. THIẾT BỊ'!$B$1:$S$836,15,0),"")</f>
        <v/>
      </c>
      <c r="Q274" s="48" t="str">
        <f>IFERROR(VLOOKUP(B274,'03. THIẾT BỊ'!$B$1:$S$836,16,0),"")</f>
        <v/>
      </c>
      <c r="R274" s="471" t="str">
        <f>IFERROR(VLOOKUP(B274,'03. THIẾT BỊ'!$B$1:$S$836,17,0),"")</f>
        <v/>
      </c>
      <c r="S274" s="468" t="str">
        <f>IFERROR(VLOOKUP(B274,'03. THIẾT BỊ'!$B$1:$S$836,18,0),"")</f>
        <v/>
      </c>
      <c r="T274" s="812"/>
    </row>
    <row r="275" ht="15.0" customHeight="1">
      <c r="A275" s="455" t="s">
        <v>76</v>
      </c>
      <c r="B275" s="456" t="s">
        <v>8314</v>
      </c>
      <c r="C275" s="457">
        <f>COUNTA(B276:B279)</f>
        <v>3</v>
      </c>
      <c r="D275" s="458" t="str">
        <f>IFERROR(VLOOKUP(B275,'03. THIẾT BỊ'!$B$1:$S$836,3,0),"")</f>
        <v/>
      </c>
      <c r="E275" s="464" t="str">
        <f>IFERROR(VLOOKUP(B275,'03. THIẾT BỊ'!$B$1:$S$836,4,0),"")</f>
        <v/>
      </c>
      <c r="F275" s="458" t="str">
        <f>IFERROR(VLOOKUP(B275,'03. THIẾT BỊ'!$B$1:$S$836,5,0),"")</f>
        <v/>
      </c>
      <c r="G275" s="459" t="s">
        <v>6423</v>
      </c>
      <c r="H275" s="459" t="str">
        <f>IFERROR(VLOOKUP(B275,'03. THIẾT BỊ'!$B$1:$S$836,7,0),"")</f>
        <v/>
      </c>
      <c r="I275" s="457" t="str">
        <f>IFERROR(VLOOKUP(B275,'03. THIẾT BỊ'!$B$1:$S$836,8,0),"")</f>
        <v/>
      </c>
      <c r="J275" s="460"/>
      <c r="K275" s="457" t="str">
        <f>IFERROR(VLOOKUP(B275,'03. THIẾT BỊ'!$B$1:$S$836,10,0),"")</f>
        <v/>
      </c>
      <c r="L275" s="458" t="str">
        <f>IFERROR(VLOOKUP(B275,'03. THIẾT BỊ'!$B$1:$S$836,11,0),"")</f>
        <v/>
      </c>
      <c r="M275" s="461" t="str">
        <f>IFERROR(VLOOKUP(B275,'03. THIẾT BỊ'!$B$1:$S$836,12,0),"")</f>
        <v/>
      </c>
      <c r="N275" s="458" t="str">
        <f>IFERROR(VLOOKUP(B275,'03. THIẾT BỊ'!$B$1:$S$836,13,0),"")</f>
        <v/>
      </c>
      <c r="O275" s="461" t="str">
        <f>IFERROR(VLOOKUP(B275,'03. THIẾT BỊ'!$B$1:$S$836,14,0),"")</f>
        <v/>
      </c>
      <c r="P275" s="458" t="str">
        <f>IFERROR(VLOOKUP(B275,'03. THIẾT BỊ'!$B$1:$S$836,15,0),"")</f>
        <v/>
      </c>
      <c r="Q275" s="459" t="str">
        <f>IFERROR(VLOOKUP(B275,'03. THIẾT BỊ'!$B$1:$S$836,16,0),"")</f>
        <v/>
      </c>
      <c r="R275" s="458" t="str">
        <f>IFERROR(VLOOKUP(B275,'03. THIẾT BỊ'!$B$1:$S$836,17,0),"")</f>
        <v/>
      </c>
      <c r="S275" s="458" t="str">
        <f>IFERROR(VLOOKUP(B275,'03. THIẾT BỊ'!$B$1:$S$836,18,0),"")</f>
        <v/>
      </c>
      <c r="T275" s="866"/>
    </row>
    <row r="276" ht="15.0" customHeight="1">
      <c r="A276" s="463">
        <v>1.0</v>
      </c>
      <c r="B276" s="464" t="s">
        <v>3563</v>
      </c>
      <c r="C276" s="869" t="str">
        <f>IFERROR(VLOOKUP(B276,'03. THIẾT BỊ'!$B$1:$S$836,2,0),"")</f>
        <v>XDP-VLU-001</v>
      </c>
      <c r="D276" s="470" t="str">
        <f>IFERROR(VLOOKUP(B276,'03. THIẾT BỊ'!$B$1:$S$836,3,0),"")</f>
        <v>A23-VLU-001</v>
      </c>
      <c r="E276" s="464" t="str">
        <f>IFERROR(VLOOKUP(B276,'03. THIẾT BỊ'!$B$1:$S$836,4,0),"")</f>
        <v>ĐQSD</v>
      </c>
      <c r="F276" s="464" t="str">
        <f>IFERROR(VLOOKUP(B276,'03. THIẾT BỊ'!$B$1:$S$836,5,0),"")</f>
        <v>Thiết bị lên luống 2 chảo</v>
      </c>
      <c r="G276" s="80" t="s">
        <v>6423</v>
      </c>
      <c r="H276" s="463" t="str">
        <f>IFERROR(VLOOKUP(B276,'03. THIẾT BỊ'!$B$1:$S$836,7,0),"")</f>
        <v>CGLĐ DP</v>
      </c>
      <c r="I276" s="474" t="str">
        <f>IFERROR(VLOOKUP(B276,'03. THIẾT BỊ'!$B$1:$S$836,8,0),"")</f>
        <v/>
      </c>
      <c r="J276" s="471"/>
      <c r="K276" s="463" t="str">
        <f>IFERROR(VLOOKUP(B276,'03. THIẾT BỊ'!$B$1:$S$836,10,0),"")</f>
        <v>Bình thường</v>
      </c>
      <c r="L276" s="468" t="str">
        <f>IFERROR(VLOOKUP(B276,'03. THIẾT BỊ'!$B$1:$S$836,11,0),"")</f>
        <v/>
      </c>
      <c r="M276" s="472" t="str">
        <f>IFERROR(VLOOKUP(B276,'03. THIẾT BỊ'!$B$1:$S$836,12,0),"")</f>
        <v/>
      </c>
      <c r="N276" s="468" t="str">
        <f>IFERROR(VLOOKUP(B276,'03. THIẾT BỊ'!$B$1:$S$836,13,0),"")</f>
        <v>TRUNG QUỐC</v>
      </c>
      <c r="O276" s="470" t="str">
        <f>IFERROR(VLOOKUP(B276,'03. THIẾT BỊ'!$B$1:$S$836,14,0),"")</f>
        <v>2 chảo</v>
      </c>
      <c r="P276" s="468" t="str">
        <f>IFERROR(VLOOKUP(B276,'03. THIẾT BỊ'!$B$1:$S$836,15,0),"")</f>
        <v>TRUNG QUỐC</v>
      </c>
      <c r="Q276" s="48" t="str">
        <f>IFERROR(VLOOKUP(B276,'03. THIẾT BỊ'!$B$1:$S$836,16,0),"")</f>
        <v/>
      </c>
      <c r="R276" s="471" t="str">
        <f>IFERROR(VLOOKUP(B276,'03. THIẾT BỊ'!$B$1:$S$836,17,0),"")</f>
        <v/>
      </c>
      <c r="S276" s="468" t="str">
        <f>IFERROR(VLOOKUP(B276,'03. THIẾT BỊ'!$B$1:$S$836,18,0),"")</f>
        <v/>
      </c>
      <c r="T276" s="812"/>
    </row>
    <row r="277" ht="15.0" customHeight="1">
      <c r="A277" s="463">
        <v>2.0</v>
      </c>
      <c r="B277" s="464" t="s">
        <v>3870</v>
      </c>
      <c r="C277" s="869" t="str">
        <f>IFERROR(VLOOKUP(B277,'03. THIẾT BỊ'!$B$1:$S$836,2,0),"")</f>
        <v>CNN-L2C-001</v>
      </c>
      <c r="D277" s="470" t="str">
        <f>IFERROR(VLOOKUP(B277,'03. THIẾT BỊ'!$B$1:$S$836,3,0),"")</f>
        <v>A22-VLU-002</v>
      </c>
      <c r="E277" s="464" t="str">
        <f>IFERROR(VLOOKUP(B277,'03. THIẾT BỊ'!$B$1:$S$836,4,0),"")</f>
        <v>ĐQSD</v>
      </c>
      <c r="F277" s="464" t="str">
        <f>IFERROR(VLOOKUP(B277,'03. THIẾT BỊ'!$B$1:$S$836,5,0),"")</f>
        <v>Thiết bị lên luống 2 chảo</v>
      </c>
      <c r="G277" s="80" t="s">
        <v>6423</v>
      </c>
      <c r="H277" s="463" t="str">
        <f>IFERROR(VLOOKUP(B277,'03. THIẾT BỊ'!$B$1:$S$836,7,0),"")</f>
        <v>XN Bò AD</v>
      </c>
      <c r="I277" s="474" t="str">
        <f>IFERROR(VLOOKUP(B277,'03. THIẾT BỊ'!$B$1:$S$836,8,0),"")</f>
        <v/>
      </c>
      <c r="J277" s="471"/>
      <c r="K277" s="463" t="str">
        <f>IFERROR(VLOOKUP(B277,'03. THIẾT BỊ'!$B$1:$S$836,10,0),"")</f>
        <v>Bình thường</v>
      </c>
      <c r="L277" s="468" t="str">
        <f>IFERROR(VLOOKUP(B277,'03. THIẾT BỊ'!$B$1:$S$836,11,0),"")</f>
        <v/>
      </c>
      <c r="M277" s="472" t="str">
        <f>IFERROR(VLOOKUP(B277,'03. THIẾT BỊ'!$B$1:$S$836,12,0),"")</f>
        <v/>
      </c>
      <c r="N277" s="468" t="str">
        <f>IFERROR(VLOOKUP(B277,'03. THIẾT BỊ'!$B$1:$S$836,13,0),"")</f>
        <v>CAMBODIA</v>
      </c>
      <c r="O277" s="470" t="str">
        <f>IFERROR(VLOOKUP(B277,'03. THIẾT BỊ'!$B$1:$S$836,14,0),"")</f>
        <v>2 chảo</v>
      </c>
      <c r="P277" s="468" t="str">
        <f>IFERROR(VLOOKUP(B277,'03. THIẾT BỊ'!$B$1:$S$836,15,0),"")</f>
        <v>CAMBODIA</v>
      </c>
      <c r="Q277" s="48" t="str">
        <f>IFERROR(VLOOKUP(B277,'03. THIẾT BỊ'!$B$1:$S$836,16,0),"")</f>
        <v/>
      </c>
      <c r="R277" s="471" t="str">
        <f>IFERROR(VLOOKUP(B277,'03. THIẾT BỊ'!$B$1:$S$836,17,0),"")</f>
        <v/>
      </c>
      <c r="S277" s="468" t="str">
        <f>IFERROR(VLOOKUP(B277,'03. THIẾT BỊ'!$B$1:$S$836,18,0),"")</f>
        <v/>
      </c>
      <c r="T277" s="812"/>
    </row>
    <row r="278" ht="15.0" customHeight="1">
      <c r="A278" s="463">
        <v>3.0</v>
      </c>
      <c r="B278" s="464" t="s">
        <v>3873</v>
      </c>
      <c r="C278" s="869" t="str">
        <f>IFERROR(VLOOKUP(B278,'03. THIẾT BỊ'!$B$1:$S$836,2,0),"")</f>
        <v>CNN-LLD-001</v>
      </c>
      <c r="D278" s="470" t="str">
        <f>IFERROR(VLOOKUP(B278,'03. THIẾT BỊ'!$B$1:$S$836,3,0),"")</f>
        <v>A22-VLU-003</v>
      </c>
      <c r="E278" s="464" t="str">
        <f>IFERROR(VLOOKUP(B278,'03. THIẾT BỊ'!$B$1:$S$836,4,0),"")</f>
        <v>ĐQSD</v>
      </c>
      <c r="F278" s="464" t="str">
        <f>IFERROR(VLOOKUP(B278,'03. THIẾT BỊ'!$B$1:$S$836,5,0),"")</f>
        <v>Thiết bị lên luống dứa</v>
      </c>
      <c r="G278" s="80" t="s">
        <v>6423</v>
      </c>
      <c r="H278" s="463" t="str">
        <f>IFERROR(VLOOKUP(B278,'03. THIẾT BỊ'!$B$1:$S$836,7,0),"")</f>
        <v>XN Bò AD</v>
      </c>
      <c r="I278" s="474" t="str">
        <f>IFERROR(VLOOKUP(B278,'03. THIẾT BỊ'!$B$1:$S$836,8,0),"")</f>
        <v/>
      </c>
      <c r="J278" s="471"/>
      <c r="K278" s="463" t="str">
        <f>IFERROR(VLOOKUP(B278,'03. THIẾT BỊ'!$B$1:$S$836,10,0),"")</f>
        <v>Bình thường</v>
      </c>
      <c r="L278" s="468" t="str">
        <f>IFERROR(VLOOKUP(B278,'03. THIẾT BỊ'!$B$1:$S$836,11,0),"")</f>
        <v/>
      </c>
      <c r="M278" s="472" t="str">
        <f>IFERROR(VLOOKUP(B278,'03. THIẾT BỊ'!$B$1:$S$836,12,0),"")</f>
        <v/>
      </c>
      <c r="N278" s="468" t="str">
        <f>IFERROR(VLOOKUP(B278,'03. THIẾT BỊ'!$B$1:$S$836,13,0),"")</f>
        <v>CAMBODIA</v>
      </c>
      <c r="O278" s="470" t="str">
        <f>IFERROR(VLOOKUP(B278,'03. THIẾT BỊ'!$B$1:$S$836,14,0),"")</f>
        <v/>
      </c>
      <c r="P278" s="468" t="str">
        <f>IFERROR(VLOOKUP(B278,'03. THIẾT BỊ'!$B$1:$S$836,15,0),"")</f>
        <v>CAMBODIA</v>
      </c>
      <c r="Q278" s="48" t="str">
        <f>IFERROR(VLOOKUP(B278,'03. THIẾT BỊ'!$B$1:$S$836,16,0),"")</f>
        <v/>
      </c>
      <c r="R278" s="471" t="str">
        <f>IFERROR(VLOOKUP(B278,'03. THIẾT BỊ'!$B$1:$S$836,17,0),"")</f>
        <v/>
      </c>
      <c r="S278" s="468" t="str">
        <f>IFERROR(VLOOKUP(B278,'03. THIẾT BỊ'!$B$1:$S$836,18,0),"")</f>
        <v/>
      </c>
      <c r="T278" s="812"/>
    </row>
    <row r="279" ht="15.0" customHeight="1">
      <c r="A279" s="1236"/>
      <c r="B279" s="812"/>
      <c r="C279" s="869" t="str">
        <f>IFERROR(VLOOKUP(B279,'03. THIẾT BỊ'!$B$1:$S$836,2,0),"")</f>
        <v/>
      </c>
      <c r="D279" s="470" t="str">
        <f>IFERROR(VLOOKUP(B279,'03. THIẾT BỊ'!$B$1:$S$836,3,0),"")</f>
        <v/>
      </c>
      <c r="E279" s="464" t="str">
        <f>IFERROR(VLOOKUP(B279,'03. THIẾT BỊ'!$B$1:$S$836,4,0),"")</f>
        <v/>
      </c>
      <c r="F279" s="464" t="str">
        <f>IFERROR(VLOOKUP(B279,'03. THIẾT BỊ'!$B$1:$S$836,5,0),"")</f>
        <v/>
      </c>
      <c r="G279" s="80" t="s">
        <v>6423</v>
      </c>
      <c r="H279" s="463" t="str">
        <f>IFERROR(VLOOKUP(B279,'03. THIẾT BỊ'!$B$1:$S$836,7,0),"")</f>
        <v/>
      </c>
      <c r="I279" s="474" t="str">
        <f>IFERROR(VLOOKUP(B279,'03. THIẾT BỊ'!$B$1:$S$836,8,0),"")</f>
        <v/>
      </c>
      <c r="J279" s="471"/>
      <c r="K279" s="463" t="str">
        <f>IFERROR(VLOOKUP(B279,'03. THIẾT BỊ'!$B$1:$S$836,10,0),"")</f>
        <v/>
      </c>
      <c r="L279" s="468" t="str">
        <f>IFERROR(VLOOKUP(B279,'03. THIẾT BỊ'!$B$1:$S$836,11,0),"")</f>
        <v/>
      </c>
      <c r="M279" s="472" t="str">
        <f>IFERROR(VLOOKUP(B279,'03. THIẾT BỊ'!$B$1:$S$836,12,0),"")</f>
        <v/>
      </c>
      <c r="N279" s="468" t="str">
        <f>IFERROR(VLOOKUP(B279,'03. THIẾT BỊ'!$B$1:$S$836,13,0),"")</f>
        <v/>
      </c>
      <c r="O279" s="470" t="str">
        <f>IFERROR(VLOOKUP(B279,'03. THIẾT BỊ'!$B$1:$S$836,14,0),"")</f>
        <v/>
      </c>
      <c r="P279" s="468" t="str">
        <f>IFERROR(VLOOKUP(B279,'03. THIẾT BỊ'!$B$1:$S$836,15,0),"")</f>
        <v/>
      </c>
      <c r="Q279" s="48" t="str">
        <f>IFERROR(VLOOKUP(B279,'03. THIẾT BỊ'!$B$1:$S$836,16,0),"")</f>
        <v/>
      </c>
      <c r="R279" s="471" t="str">
        <f>IFERROR(VLOOKUP(B279,'03. THIẾT BỊ'!$B$1:$S$836,17,0),"")</f>
        <v/>
      </c>
      <c r="S279" s="468" t="str">
        <f>IFERROR(VLOOKUP(B279,'03. THIẾT BỊ'!$B$1:$S$836,18,0),"")</f>
        <v/>
      </c>
      <c r="T279" s="812"/>
    </row>
    <row r="280" ht="15.0" hidden="1" customHeight="1">
      <c r="A280" s="1236"/>
      <c r="B280" s="812"/>
      <c r="C280" s="869" t="str">
        <f>IFERROR(VLOOKUP(B280,'03. THIẾT BỊ'!$B$1:$S$836,2,0),"")</f>
        <v/>
      </c>
      <c r="D280" s="470" t="str">
        <f>IFERROR(VLOOKUP(B280,'03. THIẾT BỊ'!$B$1:$S$836,3,0),"")</f>
        <v/>
      </c>
      <c r="E280" s="464" t="str">
        <f>IFERROR(VLOOKUP(B280,'03. THIẾT BỊ'!$B$1:$S$836,4,0),"")</f>
        <v/>
      </c>
      <c r="F280" s="464" t="str">
        <f>IFERROR(VLOOKUP(B280,'03. THIẾT BỊ'!$B$1:$S$836,5,0),"")</f>
        <v/>
      </c>
      <c r="G280" s="80" t="s">
        <v>6423</v>
      </c>
      <c r="H280" s="463" t="str">
        <f>IFERROR(VLOOKUP(B280,'03. THIẾT BỊ'!$B$1:$S$836,7,0),"")</f>
        <v/>
      </c>
      <c r="I280" s="474" t="str">
        <f>IFERROR(VLOOKUP(B280,'03. THIẾT BỊ'!$B$1:$S$836,8,0),"")</f>
        <v/>
      </c>
      <c r="J280" s="471"/>
      <c r="K280" s="463" t="str">
        <f>IFERROR(VLOOKUP(B280,'03. THIẾT BỊ'!$B$1:$S$836,10,0),"")</f>
        <v/>
      </c>
      <c r="L280" s="468" t="str">
        <f>IFERROR(VLOOKUP(B280,'03. THIẾT BỊ'!$B$1:$S$836,11,0),"")</f>
        <v/>
      </c>
      <c r="M280" s="472" t="str">
        <f>IFERROR(VLOOKUP(B280,'03. THIẾT BỊ'!$B$1:$S$836,12,0),"")</f>
        <v/>
      </c>
      <c r="N280" s="468" t="str">
        <f>IFERROR(VLOOKUP(B280,'03. THIẾT BỊ'!$B$1:$S$836,13,0),"")</f>
        <v/>
      </c>
      <c r="O280" s="470" t="str">
        <f>IFERROR(VLOOKUP(B280,'03. THIẾT BỊ'!$B$1:$S$836,14,0),"")</f>
        <v/>
      </c>
      <c r="P280" s="468" t="str">
        <f>IFERROR(VLOOKUP(B280,'03. THIẾT BỊ'!$B$1:$S$836,15,0),"")</f>
        <v/>
      </c>
      <c r="Q280" s="48" t="str">
        <f>IFERROR(VLOOKUP(B280,'03. THIẾT BỊ'!$B$1:$S$836,16,0),"")</f>
        <v/>
      </c>
      <c r="R280" s="471" t="str">
        <f>IFERROR(VLOOKUP(B280,'03. THIẾT BỊ'!$B$1:$S$836,17,0),"")</f>
        <v/>
      </c>
      <c r="S280" s="468" t="str">
        <f>IFERROR(VLOOKUP(B280,'03. THIẾT BỊ'!$B$1:$S$836,18,0),"")</f>
        <v/>
      </c>
      <c r="T280" s="812"/>
    </row>
    <row r="281" ht="15.0" hidden="1" customHeight="1">
      <c r="A281" s="1236"/>
      <c r="B281" s="812"/>
      <c r="C281" s="869" t="str">
        <f>IFERROR(VLOOKUP(B281,'03. THIẾT BỊ'!$B$1:$S$836,2,0),"")</f>
        <v/>
      </c>
      <c r="D281" s="470" t="str">
        <f>IFERROR(VLOOKUP(B281,'03. THIẾT BỊ'!$B$1:$S$836,3,0),"")</f>
        <v/>
      </c>
      <c r="E281" s="464" t="str">
        <f>IFERROR(VLOOKUP(B281,'03. THIẾT BỊ'!$B$1:$S$836,4,0),"")</f>
        <v/>
      </c>
      <c r="F281" s="464" t="str">
        <f>IFERROR(VLOOKUP(B281,'03. THIẾT BỊ'!$B$1:$S$836,5,0),"")</f>
        <v/>
      </c>
      <c r="G281" s="80" t="s">
        <v>6423</v>
      </c>
      <c r="H281" s="463" t="str">
        <f>IFERROR(VLOOKUP(B281,'03. THIẾT BỊ'!$B$1:$S$836,7,0),"")</f>
        <v/>
      </c>
      <c r="I281" s="474" t="str">
        <f>IFERROR(VLOOKUP(B281,'03. THIẾT BỊ'!$B$1:$S$836,8,0),"")</f>
        <v/>
      </c>
      <c r="J281" s="471"/>
      <c r="K281" s="463" t="str">
        <f>IFERROR(VLOOKUP(B281,'03. THIẾT BỊ'!$B$1:$S$836,10,0),"")</f>
        <v/>
      </c>
      <c r="L281" s="468" t="str">
        <f>IFERROR(VLOOKUP(B281,'03. THIẾT BỊ'!$B$1:$S$836,11,0),"")</f>
        <v/>
      </c>
      <c r="M281" s="472" t="str">
        <f>IFERROR(VLOOKUP(B281,'03. THIẾT BỊ'!$B$1:$S$836,12,0),"")</f>
        <v/>
      </c>
      <c r="N281" s="468" t="str">
        <f>IFERROR(VLOOKUP(B281,'03. THIẾT BỊ'!$B$1:$S$836,13,0),"")</f>
        <v/>
      </c>
      <c r="O281" s="470" t="str">
        <f>IFERROR(VLOOKUP(B281,'03. THIẾT BỊ'!$B$1:$S$836,14,0),"")</f>
        <v/>
      </c>
      <c r="P281" s="468" t="str">
        <f>IFERROR(VLOOKUP(B281,'03. THIẾT BỊ'!$B$1:$S$836,15,0),"")</f>
        <v/>
      </c>
      <c r="Q281" s="48" t="str">
        <f>IFERROR(VLOOKUP(B281,'03. THIẾT BỊ'!$B$1:$S$836,16,0),"")</f>
        <v/>
      </c>
      <c r="R281" s="471" t="str">
        <f>IFERROR(VLOOKUP(B281,'03. THIẾT BỊ'!$B$1:$S$836,17,0),"")</f>
        <v/>
      </c>
      <c r="S281" s="468" t="str">
        <f>IFERROR(VLOOKUP(B281,'03. THIẾT BỊ'!$B$1:$S$836,18,0),"")</f>
        <v/>
      </c>
      <c r="T281" s="812"/>
    </row>
    <row r="282" ht="15.0" hidden="1" customHeight="1">
      <c r="A282" s="1236"/>
      <c r="B282" s="812"/>
      <c r="C282" s="869" t="str">
        <f>IFERROR(VLOOKUP(B282,'03. THIẾT BỊ'!$B$1:$S$836,2,0),"")</f>
        <v/>
      </c>
      <c r="D282" s="470" t="str">
        <f>IFERROR(VLOOKUP(B282,'03. THIẾT BỊ'!$B$1:$S$836,3,0),"")</f>
        <v/>
      </c>
      <c r="E282" s="464" t="str">
        <f>IFERROR(VLOOKUP(B282,'03. THIẾT BỊ'!$B$1:$S$836,4,0),"")</f>
        <v/>
      </c>
      <c r="F282" s="464" t="str">
        <f>IFERROR(VLOOKUP(B282,'03. THIẾT BỊ'!$B$1:$S$836,5,0),"")</f>
        <v/>
      </c>
      <c r="G282" s="80" t="s">
        <v>6423</v>
      </c>
      <c r="H282" s="463" t="str">
        <f>IFERROR(VLOOKUP(B282,'03. THIẾT BỊ'!$B$1:$S$836,7,0),"")</f>
        <v/>
      </c>
      <c r="I282" s="474" t="str">
        <f>IFERROR(VLOOKUP(B282,'03. THIẾT BỊ'!$B$1:$S$836,8,0),"")</f>
        <v/>
      </c>
      <c r="J282" s="471"/>
      <c r="K282" s="463" t="str">
        <f>IFERROR(VLOOKUP(B282,'03. THIẾT BỊ'!$B$1:$S$836,10,0),"")</f>
        <v/>
      </c>
      <c r="L282" s="468" t="str">
        <f>IFERROR(VLOOKUP(B282,'03. THIẾT BỊ'!$B$1:$S$836,11,0),"")</f>
        <v/>
      </c>
      <c r="M282" s="472" t="str">
        <f>IFERROR(VLOOKUP(B282,'03. THIẾT BỊ'!$B$1:$S$836,12,0),"")</f>
        <v/>
      </c>
      <c r="N282" s="468" t="str">
        <f>IFERROR(VLOOKUP(B282,'03. THIẾT BỊ'!$B$1:$S$836,13,0),"")</f>
        <v/>
      </c>
      <c r="O282" s="470" t="str">
        <f>IFERROR(VLOOKUP(B282,'03. THIẾT BỊ'!$B$1:$S$836,14,0),"")</f>
        <v/>
      </c>
      <c r="P282" s="468" t="str">
        <f>IFERROR(VLOOKUP(B282,'03. THIẾT BỊ'!$B$1:$S$836,15,0),"")</f>
        <v/>
      </c>
      <c r="Q282" s="48" t="str">
        <f>IFERROR(VLOOKUP(B282,'03. THIẾT BỊ'!$B$1:$S$836,16,0),"")</f>
        <v/>
      </c>
      <c r="R282" s="471" t="str">
        <f>IFERROR(VLOOKUP(B282,'03. THIẾT BỊ'!$B$1:$S$836,17,0),"")</f>
        <v/>
      </c>
      <c r="S282" s="468" t="str">
        <f>IFERROR(VLOOKUP(B282,'03. THIẾT BỊ'!$B$1:$S$836,18,0),"")</f>
        <v/>
      </c>
      <c r="T282" s="812"/>
    </row>
    <row r="283" ht="15.0" customHeight="1">
      <c r="A283" s="455" t="s">
        <v>76</v>
      </c>
      <c r="B283" s="456" t="s">
        <v>8352</v>
      </c>
      <c r="C283" s="457">
        <f>COUNTA(B284:B301)</f>
        <v>16</v>
      </c>
      <c r="D283" s="458" t="str">
        <f>IFERROR(VLOOKUP(B283,'03. THIẾT BỊ'!$B$1:$S$836,3,0),"")</f>
        <v/>
      </c>
      <c r="E283" s="464" t="str">
        <f>IFERROR(VLOOKUP(B283,'03. THIẾT BỊ'!$B$1:$S$836,4,0),"")</f>
        <v/>
      </c>
      <c r="F283" s="458" t="str">
        <f>IFERROR(VLOOKUP(B283,'03. THIẾT BỊ'!$B$1:$S$836,5,0),"")</f>
        <v/>
      </c>
      <c r="G283" s="459" t="s">
        <v>6423</v>
      </c>
      <c r="H283" s="459" t="str">
        <f>IFERROR(VLOOKUP(B283,'03. THIẾT BỊ'!$B$1:$S$836,7,0),"")</f>
        <v/>
      </c>
      <c r="I283" s="457" t="str">
        <f>IFERROR(VLOOKUP(B283,'03. THIẾT BỊ'!$B$1:$S$836,8,0),"")</f>
        <v/>
      </c>
      <c r="J283" s="460"/>
      <c r="K283" s="457" t="str">
        <f>IFERROR(VLOOKUP(B283,'03. THIẾT BỊ'!$B$1:$S$836,10,0),"")</f>
        <v/>
      </c>
      <c r="L283" s="458" t="str">
        <f>IFERROR(VLOOKUP(B283,'03. THIẾT BỊ'!$B$1:$S$836,11,0),"")</f>
        <v/>
      </c>
      <c r="M283" s="461" t="str">
        <f>IFERROR(VLOOKUP(B283,'03. THIẾT BỊ'!$B$1:$S$836,12,0),"")</f>
        <v/>
      </c>
      <c r="N283" s="458" t="str">
        <f>IFERROR(VLOOKUP(B283,'03. THIẾT BỊ'!$B$1:$S$836,13,0),"")</f>
        <v/>
      </c>
      <c r="O283" s="461" t="str">
        <f>IFERROR(VLOOKUP(B283,'03. THIẾT BỊ'!$B$1:$S$836,14,0),"")</f>
        <v/>
      </c>
      <c r="P283" s="458" t="str">
        <f>IFERROR(VLOOKUP(B283,'03. THIẾT BỊ'!$B$1:$S$836,15,0),"")</f>
        <v/>
      </c>
      <c r="Q283" s="459" t="str">
        <f>IFERROR(VLOOKUP(B283,'03. THIẾT BỊ'!$B$1:$S$836,16,0),"")</f>
        <v/>
      </c>
      <c r="R283" s="458" t="str">
        <f>IFERROR(VLOOKUP(B283,'03. THIẾT BỊ'!$B$1:$S$836,17,0),"")</f>
        <v/>
      </c>
      <c r="S283" s="458" t="str">
        <f>IFERROR(VLOOKUP(B283,'03. THIẾT BỊ'!$B$1:$S$836,18,0),"")</f>
        <v/>
      </c>
      <c r="T283" s="866"/>
    </row>
    <row r="284" ht="15.0" customHeight="1">
      <c r="A284" s="463">
        <v>1.0</v>
      </c>
      <c r="B284" s="464" t="s">
        <v>3584</v>
      </c>
      <c r="C284" s="869" t="str">
        <f>IFERROR(VLOOKUP(B284,'03. THIẾT BỊ'!$B$1:$S$836,2,0),"")</f>
        <v>XDP-RLT-001</v>
      </c>
      <c r="D284" s="470" t="str">
        <f>IFERROR(VLOOKUP(B284,'03. THIẾT BỊ'!$B$1:$S$836,3,0),"")</f>
        <v>A23-RLT-001</v>
      </c>
      <c r="E284" s="464" t="str">
        <f>IFERROR(VLOOKUP(B284,'03. THIẾT BỊ'!$B$1:$S$836,4,0),"")</f>
        <v>ĐQSD</v>
      </c>
      <c r="F284" s="464" t="str">
        <f>IFERROR(VLOOKUP(B284,'03. THIẾT BỊ'!$B$1:$S$836,5,0),"")</f>
        <v>Thiết bị rạch định vị hàng trồng 2 lưỡi</v>
      </c>
      <c r="G284" s="80" t="s">
        <v>6423</v>
      </c>
      <c r="H284" s="463" t="str">
        <f>IFERROR(VLOOKUP(B284,'03. THIẾT BỊ'!$B$1:$S$836,7,0),"")</f>
        <v>CGLĐ DP</v>
      </c>
      <c r="I284" s="474" t="str">
        <f>IFERROR(VLOOKUP(B284,'03. THIẾT BỊ'!$B$1:$S$836,8,0),"")</f>
        <v/>
      </c>
      <c r="J284" s="471"/>
      <c r="K284" s="463" t="str">
        <f>IFERROR(VLOOKUP(B284,'03. THIẾT BỊ'!$B$1:$S$836,10,0),"")</f>
        <v>Bình thường</v>
      </c>
      <c r="L284" s="468" t="str">
        <f>IFERROR(VLOOKUP(B284,'03. THIẾT BỊ'!$B$1:$S$836,11,0),"")</f>
        <v/>
      </c>
      <c r="M284" s="472" t="str">
        <f>IFERROR(VLOOKUP(B284,'03. THIẾT BỊ'!$B$1:$S$836,12,0),"")</f>
        <v/>
      </c>
      <c r="N284" s="468" t="str">
        <f>IFERROR(VLOOKUP(B284,'03. THIẾT BỊ'!$B$1:$S$836,13,0),"")</f>
        <v>THACO AGRI</v>
      </c>
      <c r="O284" s="470" t="str">
        <f>IFERROR(VLOOKUP(B284,'03. THIẾT BỊ'!$B$1:$S$836,14,0),"")</f>
        <v>2 lưỡi</v>
      </c>
      <c r="P284" s="468" t="str">
        <f>IFERROR(VLOOKUP(B284,'03. THIẾT BỊ'!$B$1:$S$836,15,0),"")</f>
        <v>CK-CGH</v>
      </c>
      <c r="Q284" s="48" t="str">
        <f>IFERROR(VLOOKUP(B284,'03. THIẾT BỊ'!$B$1:$S$836,16,0),"")</f>
        <v/>
      </c>
      <c r="R284" s="471" t="str">
        <f>IFERROR(VLOOKUP(B284,'03. THIẾT BỊ'!$B$1:$S$836,17,0),"")</f>
        <v/>
      </c>
      <c r="S284" s="468" t="str">
        <f>IFERROR(VLOOKUP(B284,'03. THIẾT BỊ'!$B$1:$S$836,18,0),"")</f>
        <v/>
      </c>
      <c r="T284" s="812"/>
    </row>
    <row r="285" ht="15.0" customHeight="1">
      <c r="A285" s="463">
        <f t="shared" ref="A285:A290" si="14">A284+1</f>
        <v>2</v>
      </c>
      <c r="B285" s="464" t="s">
        <v>3589</v>
      </c>
      <c r="C285" s="869" t="str">
        <f>IFERROR(VLOOKUP(B285,'03. THIẾT BỊ'!$B$1:$S$836,2,0),"")</f>
        <v>XDP-RLT-002</v>
      </c>
      <c r="D285" s="470" t="str">
        <f>IFERROR(VLOOKUP(B285,'03. THIẾT BỊ'!$B$1:$S$836,3,0),"")</f>
        <v>A23-RLT-002</v>
      </c>
      <c r="E285" s="464" t="str">
        <f>IFERROR(VLOOKUP(B285,'03. THIẾT BỊ'!$B$1:$S$836,4,0),"")</f>
        <v>ĐQSD</v>
      </c>
      <c r="F285" s="464" t="str">
        <f>IFERROR(VLOOKUP(B285,'03. THIẾT BỊ'!$B$1:$S$836,5,0),"")</f>
        <v>Thiết bị rạch định vị hàng trồng 2 lưỡi</v>
      </c>
      <c r="G285" s="80" t="s">
        <v>6423</v>
      </c>
      <c r="H285" s="463" t="str">
        <f>IFERROR(VLOOKUP(B285,'03. THIẾT BỊ'!$B$1:$S$836,7,0),"")</f>
        <v>CGLĐ DP</v>
      </c>
      <c r="I285" s="474" t="str">
        <f>IFERROR(VLOOKUP(B285,'03. THIẾT BỊ'!$B$1:$S$836,8,0),"")</f>
        <v/>
      </c>
      <c r="J285" s="471"/>
      <c r="K285" s="463" t="str">
        <f>IFERROR(VLOOKUP(B285,'03. THIẾT BỊ'!$B$1:$S$836,10,0),"")</f>
        <v>Bình thường</v>
      </c>
      <c r="L285" s="468" t="str">
        <f>IFERROR(VLOOKUP(B285,'03. THIẾT BỊ'!$B$1:$S$836,11,0),"")</f>
        <v/>
      </c>
      <c r="M285" s="472" t="str">
        <f>IFERROR(VLOOKUP(B285,'03. THIẾT BỊ'!$B$1:$S$836,12,0),"")</f>
        <v/>
      </c>
      <c r="N285" s="468" t="str">
        <f>IFERROR(VLOOKUP(B285,'03. THIẾT BỊ'!$B$1:$S$836,13,0),"")</f>
        <v>THACO AGRI</v>
      </c>
      <c r="O285" s="470" t="str">
        <f>IFERROR(VLOOKUP(B285,'03. THIẾT BỊ'!$B$1:$S$836,14,0),"")</f>
        <v>2 lưỡi</v>
      </c>
      <c r="P285" s="468" t="str">
        <f>IFERROR(VLOOKUP(B285,'03. THIẾT BỊ'!$B$1:$S$836,15,0),"")</f>
        <v>CK-CGH</v>
      </c>
      <c r="Q285" s="48" t="str">
        <f>IFERROR(VLOOKUP(B285,'03. THIẾT BỊ'!$B$1:$S$836,16,0),"")</f>
        <v/>
      </c>
      <c r="R285" s="471" t="str">
        <f>IFERROR(VLOOKUP(B285,'03. THIẾT BỊ'!$B$1:$S$836,17,0),"")</f>
        <v/>
      </c>
      <c r="S285" s="468" t="str">
        <f>IFERROR(VLOOKUP(B285,'03. THIẾT BỊ'!$B$1:$S$836,18,0),"")</f>
        <v/>
      </c>
      <c r="T285" s="812"/>
    </row>
    <row r="286" ht="15.0" customHeight="1">
      <c r="A286" s="463">
        <f t="shared" si="14"/>
        <v>3</v>
      </c>
      <c r="B286" s="464" t="s">
        <v>3637</v>
      </c>
      <c r="C286" s="869" t="str">
        <f>IFERROR(VLOOKUP(B286,'03. THIẾT BỊ'!$B$1:$S$836,2,0),"")</f>
        <v>CNN-TTC-001</v>
      </c>
      <c r="D286" s="470" t="str">
        <f>IFERROR(VLOOKUP(B286,'03. THIẾT BỊ'!$B$1:$S$836,3,0),"")</f>
        <v>A23-RLT-005</v>
      </c>
      <c r="E286" s="464" t="str">
        <f>IFERROR(VLOOKUP(B286,'03. THIẾT BỊ'!$B$1:$S$836,4,0),"")</f>
        <v>ĐQSD</v>
      </c>
      <c r="F286" s="464" t="str">
        <f>IFERROR(VLOOKUP(B286,'03. THIẾT BỊ'!$B$1:$S$836,5,0),"")</f>
        <v>Thiết bị rạch định vị hàng trồng 2 lưỡi</v>
      </c>
      <c r="G286" s="80" t="s">
        <v>6423</v>
      </c>
      <c r="H286" s="463" t="str">
        <f>IFERROR(VLOOKUP(B286,'03. THIẾT BỊ'!$B$1:$S$836,7,0),"")</f>
        <v>CGLĐ DP</v>
      </c>
      <c r="I286" s="474" t="str">
        <f>IFERROR(VLOOKUP(B286,'03. THIẾT BỊ'!$B$1:$S$836,8,0),"")</f>
        <v>27/05/2024</v>
      </c>
      <c r="J286" s="471"/>
      <c r="K286" s="463" t="str">
        <f>IFERROR(VLOOKUP(B286,'03. THIẾT BỊ'!$B$1:$S$836,10,0),"")</f>
        <v>Bình thường</v>
      </c>
      <c r="L286" s="468" t="str">
        <f>IFERROR(VLOOKUP(B286,'03. THIẾT BỊ'!$B$1:$S$836,11,0),"")</f>
        <v>CGLĐ AD CHUYỂN QUA</v>
      </c>
      <c r="M286" s="472" t="str">
        <f>IFERROR(VLOOKUP(B286,'03. THIẾT BỊ'!$B$1:$S$836,12,0),"")</f>
        <v/>
      </c>
      <c r="N286" s="468" t="str">
        <f>IFERROR(VLOOKUP(B286,'03. THIẾT BỊ'!$B$1:$S$836,13,0),"")</f>
        <v>THACO AGRI</v>
      </c>
      <c r="O286" s="470" t="str">
        <f>IFERROR(VLOOKUP(B286,'03. THIẾT BỊ'!$B$1:$S$836,14,0),"")</f>
        <v/>
      </c>
      <c r="P286" s="468" t="str">
        <f>IFERROR(VLOOKUP(B286,'03. THIẾT BỊ'!$B$1:$S$836,15,0),"")</f>
        <v>CK-CGH</v>
      </c>
      <c r="Q286" s="48" t="str">
        <f>IFERROR(VLOOKUP(B286,'03. THIẾT BỊ'!$B$1:$S$836,16,0),"")</f>
        <v/>
      </c>
      <c r="R286" s="471" t="str">
        <f>IFERROR(VLOOKUP(B286,'03. THIẾT BỊ'!$B$1:$S$836,17,0),"")</f>
        <v/>
      </c>
      <c r="S286" s="468" t="str">
        <f>IFERROR(VLOOKUP(B286,'03. THIẾT BỊ'!$B$1:$S$836,18,0),"")</f>
        <v/>
      </c>
      <c r="T286" s="812"/>
    </row>
    <row r="287" ht="15.0" customHeight="1">
      <c r="A287" s="463">
        <f t="shared" si="14"/>
        <v>4</v>
      </c>
      <c r="B287" s="464" t="s">
        <v>3768</v>
      </c>
      <c r="C287" s="869" t="str">
        <f>IFERROR(VLOOKUP(B287,'03. THIẾT BỊ'!$B$1:$S$836,2,0),"")</f>
        <v>CNN-TTC -002</v>
      </c>
      <c r="D287" s="470" t="str">
        <f>IFERROR(VLOOKUP(B287,'03. THIẾT BỊ'!$B$1:$S$836,3,0),"")</f>
        <v>A24-RLT-003</v>
      </c>
      <c r="E287" s="464" t="str">
        <f>IFERROR(VLOOKUP(B287,'03. THIẾT BỊ'!$B$1:$S$836,4,0),"")</f>
        <v>ĐQSD</v>
      </c>
      <c r="F287" s="464" t="str">
        <f>IFERROR(VLOOKUP(B287,'03. THIẾT BỊ'!$B$1:$S$836,5,0),"")</f>
        <v>Thiết bị rạch định vị hàng trồng 2 lưỡi</v>
      </c>
      <c r="G287" s="80" t="s">
        <v>6423</v>
      </c>
      <c r="H287" s="463" t="str">
        <f>IFERROR(VLOOKUP(B287,'03. THIẾT BỊ'!$B$1:$S$836,7,0),"")</f>
        <v>CGLĐ LP</v>
      </c>
      <c r="I287" s="474" t="str">
        <f>IFERROR(VLOOKUP(B287,'03. THIẾT BỊ'!$B$1:$S$836,8,0),"")</f>
        <v/>
      </c>
      <c r="J287" s="471"/>
      <c r="K287" s="463" t="str">
        <f>IFERROR(VLOOKUP(B287,'03. THIẾT BỊ'!$B$1:$S$836,10,0),"")</f>
        <v>Bình thường</v>
      </c>
      <c r="L287" s="468" t="str">
        <f>IFERROR(VLOOKUP(B287,'03. THIẾT BỊ'!$B$1:$S$836,11,0),"")</f>
        <v/>
      </c>
      <c r="M287" s="472" t="str">
        <f>IFERROR(VLOOKUP(B287,'03. THIẾT BỊ'!$B$1:$S$836,12,0),"")</f>
        <v/>
      </c>
      <c r="N287" s="468" t="str">
        <f>IFERROR(VLOOKUP(B287,'03. THIẾT BỊ'!$B$1:$S$836,13,0),"")</f>
        <v>CAMBODIA</v>
      </c>
      <c r="O287" s="470" t="str">
        <f>IFERROR(VLOOKUP(B287,'03. THIẾT BỊ'!$B$1:$S$836,14,0),"")</f>
        <v/>
      </c>
      <c r="P287" s="468" t="str">
        <f>IFERROR(VLOOKUP(B287,'03. THIẾT BỊ'!$B$1:$S$836,15,0),"")</f>
        <v>CAMBODIA</v>
      </c>
      <c r="Q287" s="48" t="str">
        <f>IFERROR(VLOOKUP(B287,'03. THIẾT BỊ'!$B$1:$S$836,16,0),"")</f>
        <v/>
      </c>
      <c r="R287" s="471" t="str">
        <f>IFERROR(VLOOKUP(B287,'03. THIẾT BỊ'!$B$1:$S$836,17,0),"")</f>
        <v/>
      </c>
      <c r="S287" s="468" t="str">
        <f>IFERROR(VLOOKUP(B287,'03. THIẾT BỊ'!$B$1:$S$836,18,0),"")</f>
        <v/>
      </c>
      <c r="T287" s="812"/>
    </row>
    <row r="288" ht="15.0" customHeight="1">
      <c r="A288" s="463">
        <f t="shared" si="14"/>
        <v>5</v>
      </c>
      <c r="B288" s="464" t="s">
        <v>3867</v>
      </c>
      <c r="C288" s="869" t="str">
        <f>IFERROR(VLOOKUP(B288,'03. THIẾT BỊ'!$B$1:$S$836,2,0),"")</f>
        <v>CNN-TTR-001</v>
      </c>
      <c r="D288" s="470" t="str">
        <f>IFERROR(VLOOKUP(B288,'03. THIẾT BỊ'!$B$1:$S$836,3,0),"")</f>
        <v>A22-RLT-004</v>
      </c>
      <c r="E288" s="464" t="str">
        <f>IFERROR(VLOOKUP(B288,'03. THIẾT BỊ'!$B$1:$S$836,4,0),"")</f>
        <v>ĐQSD</v>
      </c>
      <c r="F288" s="464" t="str">
        <f>IFERROR(VLOOKUP(B288,'03. THIẾT BỊ'!$B$1:$S$836,5,0),"")</f>
        <v>Thiết bị rạch định vị hàng trồng 2 lưỡi</v>
      </c>
      <c r="G288" s="80" t="s">
        <v>6423</v>
      </c>
      <c r="H288" s="463" t="str">
        <f>IFERROR(VLOOKUP(B288,'03. THIẾT BỊ'!$B$1:$S$836,7,0),"")</f>
        <v>XN Bò AD</v>
      </c>
      <c r="I288" s="474" t="str">
        <f>IFERROR(VLOOKUP(B288,'03. THIẾT BỊ'!$B$1:$S$836,8,0),"")</f>
        <v/>
      </c>
      <c r="J288" s="471"/>
      <c r="K288" s="463" t="str">
        <f>IFERROR(VLOOKUP(B288,'03. THIẾT BỊ'!$B$1:$S$836,10,0),"")</f>
        <v>Bình thường</v>
      </c>
      <c r="L288" s="468" t="str">
        <f>IFERROR(VLOOKUP(B288,'03. THIẾT BỊ'!$B$1:$S$836,11,0),"")</f>
        <v/>
      </c>
      <c r="M288" s="472" t="str">
        <f>IFERROR(VLOOKUP(B288,'03. THIẾT BỊ'!$B$1:$S$836,12,0),"")</f>
        <v/>
      </c>
      <c r="N288" s="468" t="str">
        <f>IFERROR(VLOOKUP(B288,'03. THIẾT BỊ'!$B$1:$S$836,13,0),"")</f>
        <v>CAMBODIA</v>
      </c>
      <c r="O288" s="470" t="str">
        <f>IFERROR(VLOOKUP(B288,'03. THIẾT BỊ'!$B$1:$S$836,14,0),"")</f>
        <v/>
      </c>
      <c r="P288" s="468" t="str">
        <f>IFERROR(VLOOKUP(B288,'03. THIẾT BỊ'!$B$1:$S$836,15,0),"")</f>
        <v>CAMBODIA</v>
      </c>
      <c r="Q288" s="48" t="str">
        <f>IFERROR(VLOOKUP(B288,'03. THIẾT BỊ'!$B$1:$S$836,16,0),"")</f>
        <v/>
      </c>
      <c r="R288" s="471" t="str">
        <f>IFERROR(VLOOKUP(B288,'03. THIẾT BỊ'!$B$1:$S$836,17,0),"")</f>
        <v/>
      </c>
      <c r="S288" s="468" t="str">
        <f>IFERROR(VLOOKUP(B288,'03. THIẾT BỊ'!$B$1:$S$836,18,0),"")</f>
        <v/>
      </c>
      <c r="T288" s="812"/>
    </row>
    <row r="289" ht="27.0" customHeight="1">
      <c r="A289" s="463">
        <f t="shared" si="14"/>
        <v>6</v>
      </c>
      <c r="B289" s="464" t="s">
        <v>3592</v>
      </c>
      <c r="C289" s="869" t="str">
        <f>IFERROR(VLOOKUP(B289,'03. THIẾT BỊ'!$B$1:$S$836,2,0),"")</f>
        <v/>
      </c>
      <c r="D289" s="470" t="str">
        <f>IFERROR(VLOOKUP(B289,'03. THIẾT BỊ'!$B$1:$S$836,3,0),"")</f>
        <v>A23-RLT-006</v>
      </c>
      <c r="E289" s="464" t="str">
        <f>IFERROR(VLOOKUP(B289,'03. THIẾT BỊ'!$B$1:$S$836,4,0),"")</f>
        <v>ĐQSD</v>
      </c>
      <c r="F289" s="464" t="str">
        <f>IFERROR(VLOOKUP(B289,'03. THIẾT BỊ'!$B$1:$S$836,5,0),"")</f>
        <v>Thiết bị rạch định vị hàng trồng 2 lưỡi</v>
      </c>
      <c r="G289" s="80" t="s">
        <v>6423</v>
      </c>
      <c r="H289" s="463" t="str">
        <f>IFERROR(VLOOKUP(B289,'03. THIẾT BỊ'!$B$1:$S$836,7,0),"")</f>
        <v>CGLĐ DP</v>
      </c>
      <c r="I289" s="474">
        <f>IFERROR(VLOOKUP(B289,'03. THIẾT BỊ'!$B$1:$S$836,8,0),"")</f>
        <v>46176</v>
      </c>
      <c r="J289" s="471"/>
      <c r="K289" s="463" t="str">
        <f>IFERROR(VLOOKUP(B289,'03. THIẾT BỊ'!$B$1:$S$836,10,0),"")</f>
        <v>Bình thường</v>
      </c>
      <c r="L289" s="468" t="str">
        <f>IFERROR(VLOOKUP(B289,'03. THIẾT BỊ'!$B$1:$S$836,11,0),"")</f>
        <v>Gia công mới</v>
      </c>
      <c r="M289" s="472" t="str">
        <f>IFERROR(VLOOKUP(B289,'03. THIẾT BỊ'!$B$1:$S$836,12,0),"")</f>
        <v/>
      </c>
      <c r="N289" s="468" t="str">
        <f>IFERROR(VLOOKUP(B289,'03. THIẾT BỊ'!$B$1:$S$836,13,0),"")</f>
        <v>THACO AGRI</v>
      </c>
      <c r="O289" s="470" t="str">
        <f>IFERROR(VLOOKUP(B289,'03. THIẾT BỊ'!$B$1:$S$836,14,0),"")</f>
        <v>2 lưỡi</v>
      </c>
      <c r="P289" s="468" t="str">
        <f>IFERROR(VLOOKUP(B289,'03. THIẾT BỊ'!$B$1:$S$836,15,0),"")</f>
        <v>CK-CGH</v>
      </c>
      <c r="Q289" s="48" t="str">
        <f>IFERROR(VLOOKUP(B289,'03. THIẾT BỊ'!$B$1:$S$836,16,0),"")</f>
        <v/>
      </c>
      <c r="R289" s="471" t="str">
        <f>IFERROR(VLOOKUP(B289,'03. THIẾT BỊ'!$B$1:$S$836,17,0),"")</f>
        <v/>
      </c>
      <c r="S289" s="468" t="str">
        <f>IFERROR(VLOOKUP(B289,'03. THIẾT BỊ'!$B$1:$S$836,18,0),"")</f>
        <v/>
      </c>
      <c r="T289" s="812"/>
    </row>
    <row r="290" ht="27.0" customHeight="1">
      <c r="A290" s="463">
        <f t="shared" si="14"/>
        <v>7</v>
      </c>
      <c r="B290" s="464" t="s">
        <v>3594</v>
      </c>
      <c r="C290" s="869" t="str">
        <f>IFERROR(VLOOKUP(B290,'03. THIẾT BỊ'!$B$1:$S$836,2,0),"")</f>
        <v/>
      </c>
      <c r="D290" s="470" t="str">
        <f>IFERROR(VLOOKUP(B290,'03. THIẾT BỊ'!$B$1:$S$836,3,0),"")</f>
        <v>A24-RLT-007</v>
      </c>
      <c r="E290" s="464" t="str">
        <f>IFERROR(VLOOKUP(B290,'03. THIẾT BỊ'!$B$1:$S$836,4,0),"")</f>
        <v>ĐQSD</v>
      </c>
      <c r="F290" s="464" t="str">
        <f>IFERROR(VLOOKUP(B290,'03. THIẾT BỊ'!$B$1:$S$836,5,0),"")</f>
        <v>Thiết bị rạch định vị hàng trồng 2 lưỡi</v>
      </c>
      <c r="G290" s="80" t="s">
        <v>6423</v>
      </c>
      <c r="H290" s="463" t="str">
        <f>IFERROR(VLOOKUP(B290,'03. THIẾT BỊ'!$B$1:$S$836,7,0),"")</f>
        <v>CGLĐ DP</v>
      </c>
      <c r="I290" s="474">
        <f>IFERROR(VLOOKUP(B290,'03. THIẾT BỊ'!$B$1:$S$836,8,0),"")</f>
        <v>46176</v>
      </c>
      <c r="J290" s="471"/>
      <c r="K290" s="463" t="str">
        <f>IFERROR(VLOOKUP(B290,'03. THIẾT BỊ'!$B$1:$S$836,10,0),"")</f>
        <v>Bình thường</v>
      </c>
      <c r="L290" s="468" t="str">
        <f>IFERROR(VLOOKUP(B290,'03. THIẾT BỊ'!$B$1:$S$836,11,0),"")</f>
        <v>Gia công mới</v>
      </c>
      <c r="M290" s="472" t="str">
        <f>IFERROR(VLOOKUP(B290,'03. THIẾT BỊ'!$B$1:$S$836,12,0),"")</f>
        <v/>
      </c>
      <c r="N290" s="468" t="str">
        <f>IFERROR(VLOOKUP(B290,'03. THIẾT BỊ'!$B$1:$S$836,13,0),"")</f>
        <v>THACO AGRI</v>
      </c>
      <c r="O290" s="470" t="str">
        <f>IFERROR(VLOOKUP(B290,'03. THIẾT BỊ'!$B$1:$S$836,14,0),"")</f>
        <v>2 lưỡi</v>
      </c>
      <c r="P290" s="468" t="str">
        <f>IFERROR(VLOOKUP(B290,'03. THIẾT BỊ'!$B$1:$S$836,15,0),"")</f>
        <v>CK-CGH</v>
      </c>
      <c r="Q290" s="48" t="str">
        <f>IFERROR(VLOOKUP(B290,'03. THIẾT BỊ'!$B$1:$S$836,16,0),"")</f>
        <v/>
      </c>
      <c r="R290" s="471" t="str">
        <f>IFERROR(VLOOKUP(B290,'03. THIẾT BỊ'!$B$1:$S$836,17,0),"")</f>
        <v/>
      </c>
      <c r="S290" s="468" t="str">
        <f>IFERROR(VLOOKUP(B290,'03. THIẾT BỊ'!$B$1:$S$836,18,0),"")</f>
        <v/>
      </c>
      <c r="T290" s="812"/>
    </row>
    <row r="291" ht="27.0" customHeight="1">
      <c r="A291" s="463">
        <f>A288+1</f>
        <v>6</v>
      </c>
      <c r="B291" s="486" t="s">
        <v>5437</v>
      </c>
      <c r="C291" s="869" t="str">
        <f>IFERROR(VLOOKUP(B291,'03. THIẾT BỊ'!$B$1:$S$836,2,0),"")</f>
        <v/>
      </c>
      <c r="D291" s="470" t="str">
        <f>IFERROR(VLOOKUP(B291,'03. THIẾT BỊ'!$B$1:$S$836,3,0),"")</f>
        <v>A22-RLT-001</v>
      </c>
      <c r="E291" s="464" t="str">
        <f>IFERROR(VLOOKUP(B291,'03. THIẾT BỊ'!$B$1:$S$836,4,0),"")</f>
        <v>ĐQSD</v>
      </c>
      <c r="F291" s="464" t="str">
        <f>IFERROR(VLOOKUP(B291,'03. THIẾT BỊ'!$B$1:$S$836,5,0),"")</f>
        <v>Thiết bị rạch luống trồng cỏ (6 hàng)</v>
      </c>
      <c r="G291" s="80" t="s">
        <v>6423</v>
      </c>
      <c r="H291" s="463" t="str">
        <f>IFERROR(VLOOKUP(B291,'03. THIẾT BỊ'!$B$1:$S$836,7,0),"")</f>
        <v>XN Bò AD</v>
      </c>
      <c r="I291" s="474" t="str">
        <f>IFERROR(VLOOKUP(B291,'03. THIẾT BỊ'!$B$1:$S$836,8,0),"")</f>
        <v>17/02/2025</v>
      </c>
      <c r="J291" s="471"/>
      <c r="K291" s="463" t="str">
        <f>IFERROR(VLOOKUP(B291,'03. THIẾT BỊ'!$B$1:$S$836,10,0),"")</f>
        <v>Bình thường</v>
      </c>
      <c r="L291" s="468" t="str">
        <f>IFERROR(VLOOKUP(B291,'03. THIẾT BỊ'!$B$1:$S$836,11,0),"")</f>
        <v/>
      </c>
      <c r="M291" s="472" t="str">
        <f>IFERROR(VLOOKUP(B291,'03. THIẾT BỊ'!$B$1:$S$836,12,0),"")</f>
        <v>Gia công mới</v>
      </c>
      <c r="N291" s="468" t="str">
        <f>IFERROR(VLOOKUP(B291,'03. THIẾT BỊ'!$B$1:$S$836,13,0),"")</f>
        <v>THACO AGRI</v>
      </c>
      <c r="O291" s="470" t="str">
        <f>IFERROR(VLOOKUP(B291,'03. THIẾT BỊ'!$B$1:$S$836,14,0),"")</f>
        <v>6 hàng</v>
      </c>
      <c r="P291" s="468" t="str">
        <f>IFERROR(VLOOKUP(B291,'03. THIẾT BỊ'!$B$1:$S$836,15,0),"")</f>
        <v>CK-CGH</v>
      </c>
      <c r="Q291" s="48" t="str">
        <f>IFERROR(VLOOKUP(B291,'03. THIẾT BỊ'!$B$1:$S$836,16,0),"")</f>
        <v/>
      </c>
      <c r="R291" s="471" t="str">
        <f>IFERROR(VLOOKUP(B291,'03. THIẾT BỊ'!$B$1:$S$836,17,0),"")</f>
        <v/>
      </c>
      <c r="S291" s="468" t="str">
        <f>IFERROR(VLOOKUP(B291,'03. THIẾT BỊ'!$B$1:$S$836,18,0),"")</f>
        <v/>
      </c>
      <c r="T291" s="807"/>
    </row>
    <row r="292" ht="24.75" customHeight="1">
      <c r="A292" s="463">
        <f t="shared" ref="A292:A299" si="15">A291+1</f>
        <v>7</v>
      </c>
      <c r="B292" s="464" t="s">
        <v>5442</v>
      </c>
      <c r="C292" s="869" t="str">
        <f>IFERROR(VLOOKUP(B292,'03. THIẾT BỊ'!$B$1:$S$836,2,0),"")</f>
        <v/>
      </c>
      <c r="D292" s="470" t="str">
        <f>IFERROR(VLOOKUP(B292,'03. THIẾT BỊ'!$B$1:$S$836,3,0),"")</f>
        <v>A22-RLT-002</v>
      </c>
      <c r="E292" s="464" t="str">
        <f>IFERROR(VLOOKUP(B292,'03. THIẾT BỊ'!$B$1:$S$836,4,0),"")</f>
        <v>ĐQSD</v>
      </c>
      <c r="F292" s="464" t="str">
        <f>IFERROR(VLOOKUP(B292,'03. THIẾT BỊ'!$B$1:$S$836,5,0),"")</f>
        <v>Thiết bị rạch luống trồng cỏ (4 hàng)</v>
      </c>
      <c r="G292" s="80" t="s">
        <v>6423</v>
      </c>
      <c r="H292" s="463" t="str">
        <f>IFERROR(VLOOKUP(B292,'03. THIẾT BỊ'!$B$1:$S$836,7,0),"")</f>
        <v>XN Bò AD</v>
      </c>
      <c r="I292" s="474" t="str">
        <f>IFERROR(VLOOKUP(B292,'03. THIẾT BỊ'!$B$1:$S$836,8,0),"")</f>
        <v>29/03/2025</v>
      </c>
      <c r="J292" s="471"/>
      <c r="K292" s="463" t="str">
        <f>IFERROR(VLOOKUP(B292,'03. THIẾT BỊ'!$B$1:$S$836,10,0),"")</f>
        <v>Bình thường</v>
      </c>
      <c r="L292" s="468" t="str">
        <f>IFERROR(VLOOKUP(B292,'03. THIẾT BỊ'!$B$1:$S$836,11,0),"")</f>
        <v/>
      </c>
      <c r="M292" s="472" t="str">
        <f>IFERROR(VLOOKUP(B292,'03. THIẾT BỊ'!$B$1:$S$836,12,0),"")</f>
        <v>Gia công mới</v>
      </c>
      <c r="N292" s="468" t="str">
        <f>IFERROR(VLOOKUP(B292,'03. THIẾT BỊ'!$B$1:$S$836,13,0),"")</f>
        <v>THACO AGRI</v>
      </c>
      <c r="O292" s="470" t="str">
        <f>IFERROR(VLOOKUP(B292,'03. THIẾT BỊ'!$B$1:$S$836,14,0),"")</f>
        <v>CK-DTC-03</v>
      </c>
      <c r="P292" s="468" t="str">
        <f>IFERROR(VLOOKUP(B292,'03. THIẾT BỊ'!$B$1:$S$836,15,0),"")</f>
        <v>CK-CGH</v>
      </c>
      <c r="Q292" s="48">
        <f>IFERROR(VLOOKUP(B292,'03. THIẾT BỊ'!$B$1:$S$836,16,0),"")</f>
        <v>2025</v>
      </c>
      <c r="R292" s="471" t="str">
        <f>IFERROR(VLOOKUP(B292,'03. THIẾT BỊ'!$B$1:$S$836,17,0),"")</f>
        <v>3.6x2.7x1.34</v>
      </c>
      <c r="S292" s="468">
        <f>IFERROR(VLOOKUP(B292,'03. THIẾT BỊ'!$B$1:$S$836,18,0),"")</f>
        <v>3</v>
      </c>
      <c r="T292" s="807"/>
    </row>
    <row r="293" ht="24.75" customHeight="1">
      <c r="A293" s="463">
        <f t="shared" si="15"/>
        <v>8</v>
      </c>
      <c r="B293" s="464" t="s">
        <v>5446</v>
      </c>
      <c r="C293" s="869" t="str">
        <f>IFERROR(VLOOKUP(B293,'03. THIẾT BỊ'!$B$1:$S$836,2,0),"")</f>
        <v/>
      </c>
      <c r="D293" s="470" t="str">
        <f>IFERROR(VLOOKUP(B293,'03. THIẾT BỊ'!$B$1:$S$836,3,0),"")</f>
        <v>A22-RLT-003</v>
      </c>
      <c r="E293" s="464" t="str">
        <f>IFERROR(VLOOKUP(B293,'03. THIẾT BỊ'!$B$1:$S$836,4,0),"")</f>
        <v>ĐQSD</v>
      </c>
      <c r="F293" s="464" t="str">
        <f>IFERROR(VLOOKUP(B293,'03. THIẾT BỊ'!$B$1:$S$836,5,0),"")</f>
        <v>Thiết bị rạch luống trồng cỏ (4 hàng)</v>
      </c>
      <c r="G293" s="80" t="s">
        <v>6423</v>
      </c>
      <c r="H293" s="463" t="str">
        <f>IFERROR(VLOOKUP(B293,'03. THIẾT BỊ'!$B$1:$S$836,7,0),"")</f>
        <v>XN Bò AD</v>
      </c>
      <c r="I293" s="474">
        <f>IFERROR(VLOOKUP(B293,'03. THIẾT BỊ'!$B$1:$S$836,8,0),"")</f>
        <v>45692</v>
      </c>
      <c r="J293" s="471"/>
      <c r="K293" s="463" t="str">
        <f>IFERROR(VLOOKUP(B293,'03. THIẾT BỊ'!$B$1:$S$836,10,0),"")</f>
        <v>Bình thường</v>
      </c>
      <c r="L293" s="468" t="str">
        <f>IFERROR(VLOOKUP(B293,'03. THIẾT BỊ'!$B$1:$S$836,11,0),"")</f>
        <v/>
      </c>
      <c r="M293" s="472" t="str">
        <f>IFERROR(VLOOKUP(B293,'03. THIẾT BỊ'!$B$1:$S$836,12,0),"")</f>
        <v>Gia công mới</v>
      </c>
      <c r="N293" s="468" t="str">
        <f>IFERROR(VLOOKUP(B293,'03. THIẾT BỊ'!$B$1:$S$836,13,0),"")</f>
        <v>THACO AGRI</v>
      </c>
      <c r="O293" s="470" t="str">
        <f>IFERROR(VLOOKUP(B293,'03. THIẾT BỊ'!$B$1:$S$836,14,0),"")</f>
        <v>CK-DTC-04</v>
      </c>
      <c r="P293" s="468" t="str">
        <f>IFERROR(VLOOKUP(B293,'03. THIẾT BỊ'!$B$1:$S$836,15,0),"")</f>
        <v>CK-CGH</v>
      </c>
      <c r="Q293" s="48">
        <f>IFERROR(VLOOKUP(B293,'03. THIẾT BỊ'!$B$1:$S$836,16,0),"")</f>
        <v>2025</v>
      </c>
      <c r="R293" s="471" t="str">
        <f>IFERROR(VLOOKUP(B293,'03. THIẾT BỊ'!$B$1:$S$836,17,0),"")</f>
        <v>3.6x2.7x1.34</v>
      </c>
      <c r="S293" s="468" t="str">
        <f>IFERROR(VLOOKUP(B293,'03. THIẾT BỊ'!$B$1:$S$836,18,0),"")</f>
        <v/>
      </c>
      <c r="T293" s="807"/>
    </row>
    <row r="294" ht="26.25" customHeight="1">
      <c r="A294" s="463">
        <f t="shared" si="15"/>
        <v>9</v>
      </c>
      <c r="B294" s="464" t="s">
        <v>5449</v>
      </c>
      <c r="C294" s="869" t="str">
        <f>IFERROR(VLOOKUP(B294,'03. THIẾT BỊ'!$B$1:$S$836,2,0),"")</f>
        <v/>
      </c>
      <c r="D294" s="470" t="str">
        <f>IFERROR(VLOOKUP(B294,'03. THIẾT BỊ'!$B$1:$S$836,3,0),"")</f>
        <v>A22-RLT-004</v>
      </c>
      <c r="E294" s="464" t="str">
        <f>IFERROR(VLOOKUP(B294,'03. THIẾT BỊ'!$B$1:$S$836,4,0),"")</f>
        <v>ĐQSD</v>
      </c>
      <c r="F294" s="464" t="str">
        <f>IFERROR(VLOOKUP(B294,'03. THIẾT BỊ'!$B$1:$S$836,5,0),"")</f>
        <v>Thiết bị rạch luống trồng cỏ (4 hàng)</v>
      </c>
      <c r="G294" s="80" t="s">
        <v>6423</v>
      </c>
      <c r="H294" s="463" t="str">
        <f>IFERROR(VLOOKUP(B294,'03. THIẾT BỊ'!$B$1:$S$836,7,0),"")</f>
        <v>XN Bò AD</v>
      </c>
      <c r="I294" s="474" t="str">
        <f>IFERROR(VLOOKUP(B294,'03. THIẾT BỊ'!$B$1:$S$836,8,0),"")</f>
        <v>21/06/2025</v>
      </c>
      <c r="J294" s="471"/>
      <c r="K294" s="463" t="str">
        <f>IFERROR(VLOOKUP(B294,'03. THIẾT BỊ'!$B$1:$S$836,10,0),"")</f>
        <v>Bình thường</v>
      </c>
      <c r="L294" s="468" t="str">
        <f>IFERROR(VLOOKUP(B294,'03. THIẾT BỊ'!$B$1:$S$836,11,0),"")</f>
        <v/>
      </c>
      <c r="M294" s="472" t="str">
        <f>IFERROR(VLOOKUP(B294,'03. THIẾT BỊ'!$B$1:$S$836,12,0),"")</f>
        <v>Gia công mới</v>
      </c>
      <c r="N294" s="468" t="str">
        <f>IFERROR(VLOOKUP(B294,'03. THIẾT BỊ'!$B$1:$S$836,13,0),"")</f>
        <v>THACO AGRI</v>
      </c>
      <c r="O294" s="470" t="str">
        <f>IFERROR(VLOOKUP(B294,'03. THIẾT BỊ'!$B$1:$S$836,14,0),"")</f>
        <v>CK-DTC-05</v>
      </c>
      <c r="P294" s="468" t="str">
        <f>IFERROR(VLOOKUP(B294,'03. THIẾT BỊ'!$B$1:$S$836,15,0),"")</f>
        <v>CK-CGH</v>
      </c>
      <c r="Q294" s="48">
        <f>IFERROR(VLOOKUP(B294,'03. THIẾT BỊ'!$B$1:$S$836,16,0),"")</f>
        <v>2025</v>
      </c>
      <c r="R294" s="471" t="str">
        <f>IFERROR(VLOOKUP(B294,'03. THIẾT BỊ'!$B$1:$S$836,17,0),"")</f>
        <v>3.6x2.7x1.34</v>
      </c>
      <c r="S294" s="468" t="str">
        <f>IFERROR(VLOOKUP(B294,'03. THIẾT BỊ'!$B$1:$S$836,18,0),"")</f>
        <v/>
      </c>
      <c r="T294" s="807"/>
    </row>
    <row r="295" ht="15.0" customHeight="1">
      <c r="A295" s="463">
        <f t="shared" si="15"/>
        <v>10</v>
      </c>
      <c r="B295" s="467" t="s">
        <v>5205</v>
      </c>
      <c r="C295" s="869" t="str">
        <f>IFERROR(VLOOKUP(B295,'03. THIẾT BỊ'!$B$1:$S$836,2,0),"")</f>
        <v/>
      </c>
      <c r="D295" s="470" t="str">
        <f>IFERROR(VLOOKUP(B295,'03. THIẾT BỊ'!$B$1:$S$836,3,0),"")</f>
        <v>A22-CRL-001</v>
      </c>
      <c r="E295" s="464" t="str">
        <f>IFERROR(VLOOKUP(B295,'03. THIẾT BỊ'!$B$1:$S$836,4,0),"")</f>
        <v>ĐQSD</v>
      </c>
      <c r="F295" s="464" t="str">
        <f>IFERROR(VLOOKUP(B295,'03. THIẾT BỊ'!$B$1:$S$836,5,0),"")</f>
        <v>Cày rạch luống 4 rãnh</v>
      </c>
      <c r="G295" s="80" t="s">
        <v>6423</v>
      </c>
      <c r="H295" s="463" t="str">
        <f>IFERROR(VLOOKUP(B295,'03. THIẾT BỊ'!$B$1:$S$836,7,0),"")</f>
        <v>XN Bò AD</v>
      </c>
      <c r="I295" s="474" t="str">
        <f>IFERROR(VLOOKUP(B295,'03. THIẾT BỊ'!$B$1:$S$836,8,0),"")</f>
        <v/>
      </c>
      <c r="J295" s="471"/>
      <c r="K295" s="463" t="str">
        <f>IFERROR(VLOOKUP(B295,'03. THIẾT BỊ'!$B$1:$S$836,10,0),"")</f>
        <v>Bình thường</v>
      </c>
      <c r="L295" s="468" t="str">
        <f>IFERROR(VLOOKUP(B295,'03. THIẾT BỊ'!$B$1:$S$836,11,0),"")</f>
        <v/>
      </c>
      <c r="M295" s="472" t="str">
        <f>IFERROR(VLOOKUP(B295,'03. THIẾT BỊ'!$B$1:$S$836,12,0),"")</f>
        <v/>
      </c>
      <c r="N295" s="468" t="str">
        <f>IFERROR(VLOOKUP(B295,'03. THIẾT BỊ'!$B$1:$S$836,13,0),"")</f>
        <v>THACO AGRI</v>
      </c>
      <c r="O295" s="470" t="str">
        <f>IFERROR(VLOOKUP(B295,'03. THIẾT BỊ'!$B$1:$S$836,14,0),"")</f>
        <v>4 rãnh</v>
      </c>
      <c r="P295" s="468" t="str">
        <f>IFERROR(VLOOKUP(B295,'03. THIẾT BỊ'!$B$1:$S$836,15,0),"")</f>
        <v>CK-CGH</v>
      </c>
      <c r="Q295" s="48" t="str">
        <f>IFERROR(VLOOKUP(B295,'03. THIẾT BỊ'!$B$1:$S$836,16,0),"")</f>
        <v/>
      </c>
      <c r="R295" s="471" t="str">
        <f>IFERROR(VLOOKUP(B295,'03. THIẾT BỊ'!$B$1:$S$836,17,0),"")</f>
        <v/>
      </c>
      <c r="S295" s="468" t="str">
        <f>IFERROR(VLOOKUP(B295,'03. THIẾT BỊ'!$B$1:$S$836,18,0),"")</f>
        <v/>
      </c>
      <c r="T295" s="812"/>
    </row>
    <row r="296" ht="15.0" customHeight="1">
      <c r="A296" s="463">
        <f t="shared" si="15"/>
        <v>11</v>
      </c>
      <c r="B296" s="467" t="s">
        <v>5209</v>
      </c>
      <c r="C296" s="869" t="str">
        <f>IFERROR(VLOOKUP(B296,'03. THIẾT BỊ'!$B$1:$S$836,2,0),"")</f>
        <v/>
      </c>
      <c r="D296" s="470" t="str">
        <f>IFERROR(VLOOKUP(B296,'03. THIẾT BỊ'!$B$1:$S$836,3,0),"")</f>
        <v>A22-CRL-002</v>
      </c>
      <c r="E296" s="464" t="str">
        <f>IFERROR(VLOOKUP(B296,'03. THIẾT BỊ'!$B$1:$S$836,4,0),"")</f>
        <v>ĐQSD</v>
      </c>
      <c r="F296" s="464" t="str">
        <f>IFERROR(VLOOKUP(B296,'03. THIẾT BỊ'!$B$1:$S$836,5,0),"")</f>
        <v>Cày rạch luống 2 rãnh</v>
      </c>
      <c r="G296" s="80" t="s">
        <v>6423</v>
      </c>
      <c r="H296" s="463" t="str">
        <f>IFERROR(VLOOKUP(B296,'03. THIẾT BỊ'!$B$1:$S$836,7,0),"")</f>
        <v>XN Bò AD</v>
      </c>
      <c r="I296" s="474" t="str">
        <f>IFERROR(VLOOKUP(B296,'03. THIẾT BỊ'!$B$1:$S$836,8,0),"")</f>
        <v/>
      </c>
      <c r="J296" s="471"/>
      <c r="K296" s="463" t="str">
        <f>IFERROR(VLOOKUP(B296,'03. THIẾT BỊ'!$B$1:$S$836,10,0),"")</f>
        <v>Bình thường</v>
      </c>
      <c r="L296" s="468" t="str">
        <f>IFERROR(VLOOKUP(B296,'03. THIẾT BỊ'!$B$1:$S$836,11,0),"")</f>
        <v/>
      </c>
      <c r="M296" s="472" t="str">
        <f>IFERROR(VLOOKUP(B296,'03. THIẾT BỊ'!$B$1:$S$836,12,0),"")</f>
        <v/>
      </c>
      <c r="N296" s="468" t="str">
        <f>IFERROR(VLOOKUP(B296,'03. THIẾT BỊ'!$B$1:$S$836,13,0),"")</f>
        <v>THACO AGRI</v>
      </c>
      <c r="O296" s="470" t="str">
        <f>IFERROR(VLOOKUP(B296,'03. THIẾT BỊ'!$B$1:$S$836,14,0),"")</f>
        <v>2 rãnh</v>
      </c>
      <c r="P296" s="468" t="str">
        <f>IFERROR(VLOOKUP(B296,'03. THIẾT BỊ'!$B$1:$S$836,15,0),"")</f>
        <v>CK-CGH</v>
      </c>
      <c r="Q296" s="48" t="str">
        <f>IFERROR(VLOOKUP(B296,'03. THIẾT BỊ'!$B$1:$S$836,16,0),"")</f>
        <v/>
      </c>
      <c r="R296" s="471" t="str">
        <f>IFERROR(VLOOKUP(B296,'03. THIẾT BỊ'!$B$1:$S$836,17,0),"")</f>
        <v/>
      </c>
      <c r="S296" s="468" t="str">
        <f>IFERROR(VLOOKUP(B296,'03. THIẾT BỊ'!$B$1:$S$836,18,0),"")</f>
        <v/>
      </c>
      <c r="T296" s="812"/>
    </row>
    <row r="297" ht="15.0" customHeight="1">
      <c r="A297" s="463">
        <f t="shared" si="15"/>
        <v>12</v>
      </c>
      <c r="B297" s="464" t="s">
        <v>3686</v>
      </c>
      <c r="C297" s="869" t="str">
        <f>IFERROR(VLOOKUP(B297,'03. THIẾT BỊ'!$B$1:$S$836,2,0),"")</f>
        <v/>
      </c>
      <c r="D297" s="470" t="str">
        <f>IFERROR(VLOOKUP(B297,'03. THIẾT BỊ'!$B$1:$S$836,3,0),"")</f>
        <v>A23-RTC-001</v>
      </c>
      <c r="E297" s="464" t="str">
        <f>IFERROR(VLOOKUP(B297,'03. THIẾT BỊ'!$B$1:$S$836,4,0),"")</f>
        <v>ĐQSD</v>
      </c>
      <c r="F297" s="464" t="str">
        <f>IFERROR(VLOOKUP(B297,'03. THIẾT BỊ'!$B$1:$S$836,5,0),"")</f>
        <v>Thiết bị rạch luống trồng chuối</v>
      </c>
      <c r="G297" s="80" t="s">
        <v>6423</v>
      </c>
      <c r="H297" s="463" t="str">
        <f>IFERROR(VLOOKUP(B297,'03. THIẾT BỊ'!$B$1:$S$836,7,0),"")</f>
        <v>CGLĐ DP</v>
      </c>
      <c r="I297" s="474" t="str">
        <f>IFERROR(VLOOKUP(B297,'03. THIẾT BỊ'!$B$1:$S$836,8,0),"")</f>
        <v>13/05/2025</v>
      </c>
      <c r="J297" s="471"/>
      <c r="K297" s="463" t="str">
        <f>IFERROR(VLOOKUP(B297,'03. THIẾT BỊ'!$B$1:$S$836,10,0),"")</f>
        <v>Bình thường</v>
      </c>
      <c r="L297" s="468" t="str">
        <f>IFERROR(VLOOKUP(B297,'03. THIẾT BỊ'!$B$1:$S$836,11,0),"")</f>
        <v>Gia công mới</v>
      </c>
      <c r="M297" s="472" t="str">
        <f>IFERROR(VLOOKUP(B297,'03. THIẾT BỊ'!$B$1:$S$836,12,0),"")</f>
        <v/>
      </c>
      <c r="N297" s="468" t="str">
        <f>IFERROR(VLOOKUP(B297,'03. THIẾT BỊ'!$B$1:$S$836,13,0),"")</f>
        <v>THACO AGRI</v>
      </c>
      <c r="O297" s="470" t="str">
        <f>IFERROR(VLOOKUP(B297,'03. THIẾT BỊ'!$B$1:$S$836,14,0),"")</f>
        <v>CK-DTC-01</v>
      </c>
      <c r="P297" s="468" t="str">
        <f>IFERROR(VLOOKUP(B297,'03. THIẾT BỊ'!$B$1:$S$836,15,0),"")</f>
        <v>CAMBODIA</v>
      </c>
      <c r="Q297" s="48">
        <f>IFERROR(VLOOKUP(B297,'03. THIẾT BỊ'!$B$1:$S$836,16,0),"")</f>
        <v>2025</v>
      </c>
      <c r="R297" s="471" t="str">
        <f>IFERROR(VLOOKUP(B297,'03. THIẾT BỊ'!$B$1:$S$836,17,0),"")</f>
        <v/>
      </c>
      <c r="S297" s="468" t="str">
        <f>IFERROR(VLOOKUP(B297,'03. THIẾT BỊ'!$B$1:$S$836,18,0),"")</f>
        <v/>
      </c>
      <c r="T297" s="812"/>
    </row>
    <row r="298">
      <c r="A298" s="463">
        <f t="shared" si="15"/>
        <v>13</v>
      </c>
      <c r="B298" s="464" t="s">
        <v>3691</v>
      </c>
      <c r="C298" s="869" t="str">
        <f>IFERROR(VLOOKUP(B298,'03. THIẾT BỊ'!$B$1:$S$836,2,0),"")</f>
        <v/>
      </c>
      <c r="D298" s="470" t="str">
        <f>IFERROR(VLOOKUP(B298,'03. THIẾT BỊ'!$B$1:$S$836,3,0),"")</f>
        <v>A23-RTC-002</v>
      </c>
      <c r="E298" s="464" t="str">
        <f>IFERROR(VLOOKUP(B298,'03. THIẾT BỊ'!$B$1:$S$836,4,0),"")</f>
        <v>ĐQSD</v>
      </c>
      <c r="F298" s="464" t="str">
        <f>IFERROR(VLOOKUP(B298,'03. THIẾT BỊ'!$B$1:$S$836,5,0),"")</f>
        <v>Thiết bị rạch luống trồng chuối</v>
      </c>
      <c r="G298" s="80" t="s">
        <v>6423</v>
      </c>
      <c r="H298" s="463" t="str">
        <f>IFERROR(VLOOKUP(B298,'03. THIẾT BỊ'!$B$1:$S$836,7,0),"")</f>
        <v>CGLĐ DP</v>
      </c>
      <c r="I298" s="474">
        <f>IFERROR(VLOOKUP(B298,'03. THIẾT BỊ'!$B$1:$S$836,8,0),"")</f>
        <v>46002</v>
      </c>
      <c r="J298" s="471"/>
      <c r="K298" s="463" t="str">
        <f>IFERROR(VLOOKUP(B298,'03. THIẾT BỊ'!$B$1:$S$836,10,0),"")</f>
        <v>Bình thường</v>
      </c>
      <c r="L298" s="468" t="str">
        <f>IFERROR(VLOOKUP(B298,'03. THIẾT BỊ'!$B$1:$S$836,11,0),"")</f>
        <v>Gia công mới</v>
      </c>
      <c r="M298" s="472" t="str">
        <f>IFERROR(VLOOKUP(B298,'03. THIẾT BỊ'!$B$1:$S$836,12,0),"")</f>
        <v/>
      </c>
      <c r="N298" s="468" t="str">
        <f>IFERROR(VLOOKUP(B298,'03. THIẾT BỊ'!$B$1:$S$836,13,0),"")</f>
        <v>THACO AGRI</v>
      </c>
      <c r="O298" s="470" t="str">
        <f>IFERROR(VLOOKUP(B298,'03. THIẾT BỊ'!$B$1:$S$836,14,0),"")</f>
        <v>CK-DTC-02</v>
      </c>
      <c r="P298" s="468" t="str">
        <f>IFERROR(VLOOKUP(B298,'03. THIẾT BỊ'!$B$1:$S$836,15,0),"")</f>
        <v>CAMBODIA</v>
      </c>
      <c r="Q298" s="48">
        <f>IFERROR(VLOOKUP(B298,'03. THIẾT BỊ'!$B$1:$S$836,16,0),"")</f>
        <v>2025</v>
      </c>
      <c r="R298" s="471" t="str">
        <f>IFERROR(VLOOKUP(B298,'03. THIẾT BỊ'!$B$1:$S$836,17,0),"")</f>
        <v/>
      </c>
      <c r="S298" s="468" t="str">
        <f>IFERROR(VLOOKUP(B298,'03. THIẾT BỊ'!$B$1:$S$836,18,0),"")</f>
        <v/>
      </c>
      <c r="T298" s="812"/>
    </row>
    <row r="299">
      <c r="A299" s="463">
        <f t="shared" si="15"/>
        <v>14</v>
      </c>
      <c r="B299" s="464" t="s">
        <v>3831</v>
      </c>
      <c r="C299" s="869" t="str">
        <f>IFERROR(VLOOKUP(B299,'03. THIẾT BỊ'!$B$1:$S$836,2,0),"")</f>
        <v/>
      </c>
      <c r="D299" s="470" t="str">
        <f>IFERROR(VLOOKUP(B299,'03. THIẾT BỊ'!$B$1:$S$836,3,0),"")</f>
        <v>A24-RTC-001</v>
      </c>
      <c r="E299" s="464" t="str">
        <f>IFERROR(VLOOKUP(B299,'03. THIẾT BỊ'!$B$1:$S$836,4,0),"")</f>
        <v>ĐQSD</v>
      </c>
      <c r="F299" s="464" t="str">
        <f>IFERROR(VLOOKUP(B299,'03. THIẾT BỊ'!$B$1:$S$836,5,0),"")</f>
        <v>Thiết bị rạch luống trồng chuối</v>
      </c>
      <c r="G299" s="80" t="s">
        <v>6423</v>
      </c>
      <c r="H299" s="463" t="str">
        <f>IFERROR(VLOOKUP(B299,'03. THIẾT BỊ'!$B$1:$S$836,7,0),"")</f>
        <v>CGLĐ LP</v>
      </c>
      <c r="I299" s="474">
        <f>IFERROR(VLOOKUP(B299,'03. THIẾT BỊ'!$B$1:$S$836,8,0),"")</f>
        <v>46002</v>
      </c>
      <c r="J299" s="471"/>
      <c r="K299" s="463" t="str">
        <f>IFERROR(VLOOKUP(B299,'03. THIẾT BỊ'!$B$1:$S$836,10,0),"")</f>
        <v>Bình thường</v>
      </c>
      <c r="L299" s="468" t="str">
        <f>IFERROR(VLOOKUP(B299,'03. THIẾT BỊ'!$B$1:$S$836,11,0),"")</f>
        <v>Đầu tư mới</v>
      </c>
      <c r="M299" s="472" t="str">
        <f>IFERROR(VLOOKUP(B299,'03. THIẾT BỊ'!$B$1:$S$836,12,0),"")</f>
        <v/>
      </c>
      <c r="N299" s="468" t="str">
        <f>IFERROR(VLOOKUP(B299,'03. THIẾT BỊ'!$B$1:$S$836,13,0),"")</f>
        <v>THACO AGRI</v>
      </c>
      <c r="O299" s="470" t="str">
        <f>IFERROR(VLOOKUP(B299,'03. THIẾT BỊ'!$B$1:$S$836,14,0),"")</f>
        <v>CK-DTC-03</v>
      </c>
      <c r="P299" s="468" t="str">
        <f>IFERROR(VLOOKUP(B299,'03. THIẾT BỊ'!$B$1:$S$836,15,0),"")</f>
        <v>CAMBODIA</v>
      </c>
      <c r="Q299" s="48">
        <f>IFERROR(VLOOKUP(B299,'03. THIẾT BỊ'!$B$1:$S$836,16,0),"")</f>
        <v>2025</v>
      </c>
      <c r="R299" s="471" t="str">
        <f>IFERROR(VLOOKUP(B299,'03. THIẾT BỊ'!$B$1:$S$836,17,0),"")</f>
        <v/>
      </c>
      <c r="S299" s="468" t="str">
        <f>IFERROR(VLOOKUP(B299,'03. THIẾT BỊ'!$B$1:$S$836,18,0),"")</f>
        <v/>
      </c>
      <c r="T299" s="812"/>
    </row>
    <row r="300">
      <c r="C300" s="869" t="str">
        <f>IFERROR(VLOOKUP(B300,'03. THIẾT BỊ'!$B$1:$S$836,2,0),"")</f>
        <v/>
      </c>
      <c r="D300" s="470" t="str">
        <f>IFERROR(VLOOKUP(B300,'03. THIẾT BỊ'!$B$1:$S$836,3,0),"")</f>
        <v/>
      </c>
      <c r="E300" s="464" t="str">
        <f>IFERROR(VLOOKUP(B300,'03. THIẾT BỊ'!$B$1:$S$836,4,0),"")</f>
        <v/>
      </c>
      <c r="F300" s="464" t="str">
        <f>IFERROR(VLOOKUP(B300,'03. THIẾT BỊ'!$B$1:$S$836,5,0),"")</f>
        <v/>
      </c>
      <c r="G300" s="80" t="s">
        <v>6423</v>
      </c>
      <c r="H300" s="463" t="str">
        <f>IFERROR(VLOOKUP(B300,'03. THIẾT BỊ'!$B$1:$S$836,7,0),"")</f>
        <v/>
      </c>
      <c r="I300" s="474" t="str">
        <f>IFERROR(VLOOKUP(B300,'03. THIẾT BỊ'!$B$1:$S$836,8,0),"")</f>
        <v/>
      </c>
      <c r="J300" s="471"/>
      <c r="K300" s="463" t="str">
        <f>IFERROR(VLOOKUP(B300,'03. THIẾT BỊ'!$B$1:$S$836,10,0),"")</f>
        <v/>
      </c>
      <c r="L300" s="468" t="str">
        <f>IFERROR(VLOOKUP(B300,'03. THIẾT BỊ'!$B$1:$S$836,11,0),"")</f>
        <v/>
      </c>
      <c r="M300" s="472" t="str">
        <f>IFERROR(VLOOKUP(B300,'03. THIẾT BỊ'!$B$1:$S$836,12,0),"")</f>
        <v/>
      </c>
      <c r="N300" s="468" t="str">
        <f>IFERROR(VLOOKUP(B300,'03. THIẾT BỊ'!$B$1:$S$836,13,0),"")</f>
        <v/>
      </c>
      <c r="O300" s="470" t="str">
        <f>IFERROR(VLOOKUP(B300,'03. THIẾT BỊ'!$B$1:$S$836,14,0),"")</f>
        <v/>
      </c>
      <c r="P300" s="468" t="str">
        <f>IFERROR(VLOOKUP(B300,'03. THIẾT BỊ'!$B$1:$S$836,15,0),"")</f>
        <v/>
      </c>
      <c r="Q300" s="48" t="str">
        <f>IFERROR(VLOOKUP(B300,'03. THIẾT BỊ'!$B$1:$S$836,16,0),"")</f>
        <v/>
      </c>
      <c r="R300" s="471" t="str">
        <f>IFERROR(VLOOKUP(B300,'03. THIẾT BỊ'!$B$1:$S$836,17,0),"")</f>
        <v/>
      </c>
      <c r="S300" s="468" t="str">
        <f>IFERROR(VLOOKUP(B300,'03. THIẾT BỊ'!$B$1:$S$836,18,0),"")</f>
        <v/>
      </c>
    </row>
    <row r="301">
      <c r="C301" s="869" t="str">
        <f>IFERROR(VLOOKUP(B301,'03. THIẾT BỊ'!$B$1:$S$836,2,0),"")</f>
        <v/>
      </c>
      <c r="D301" s="470" t="str">
        <f>IFERROR(VLOOKUP(B301,'03. THIẾT BỊ'!$B$1:$S$836,3,0),"")</f>
        <v/>
      </c>
      <c r="E301" s="464" t="str">
        <f>IFERROR(VLOOKUP(B301,'03. THIẾT BỊ'!$B$1:$S$836,4,0),"")</f>
        <v/>
      </c>
      <c r="F301" s="464" t="str">
        <f>IFERROR(VLOOKUP(B301,'03. THIẾT BỊ'!$B$1:$S$836,5,0),"")</f>
        <v/>
      </c>
      <c r="G301" s="80" t="s">
        <v>6423</v>
      </c>
      <c r="H301" s="463" t="str">
        <f>IFERROR(VLOOKUP(B301,'03. THIẾT BỊ'!$B$1:$S$836,7,0),"")</f>
        <v/>
      </c>
      <c r="I301" s="474" t="str">
        <f>IFERROR(VLOOKUP(B301,'03. THIẾT BỊ'!$B$1:$S$836,8,0),"")</f>
        <v/>
      </c>
      <c r="J301" s="471"/>
      <c r="K301" s="463" t="str">
        <f>IFERROR(VLOOKUP(B301,'03. THIẾT BỊ'!$B$1:$S$836,10,0),"")</f>
        <v/>
      </c>
      <c r="L301" s="468" t="str">
        <f>IFERROR(VLOOKUP(B301,'03. THIẾT BỊ'!$B$1:$S$836,11,0),"")</f>
        <v/>
      </c>
      <c r="M301" s="472" t="str">
        <f>IFERROR(VLOOKUP(B301,'03. THIẾT BỊ'!$B$1:$S$836,12,0),"")</f>
        <v/>
      </c>
      <c r="N301" s="468" t="str">
        <f>IFERROR(VLOOKUP(B301,'03. THIẾT BỊ'!$B$1:$S$836,13,0),"")</f>
        <v/>
      </c>
      <c r="O301" s="470" t="str">
        <f>IFERROR(VLOOKUP(B301,'03. THIẾT BỊ'!$B$1:$S$836,14,0),"")</f>
        <v/>
      </c>
      <c r="P301" s="468" t="str">
        <f>IFERROR(VLOOKUP(B301,'03. THIẾT BỊ'!$B$1:$S$836,15,0),"")</f>
        <v/>
      </c>
      <c r="Q301" s="48" t="str">
        <f>IFERROR(VLOOKUP(B301,'03. THIẾT BỊ'!$B$1:$S$836,16,0),"")</f>
        <v/>
      </c>
      <c r="R301" s="471" t="str">
        <f>IFERROR(VLOOKUP(B301,'03. THIẾT BỊ'!$B$1:$S$836,17,0),"")</f>
        <v/>
      </c>
      <c r="S301" s="468" t="str">
        <f>IFERROR(VLOOKUP(B301,'03. THIẾT BỊ'!$B$1:$S$836,18,0),"")</f>
        <v/>
      </c>
    </row>
    <row r="302" ht="15.0" customHeight="1">
      <c r="A302" s="455" t="s">
        <v>76</v>
      </c>
      <c r="B302" s="456" t="s">
        <v>8543</v>
      </c>
      <c r="C302" s="457">
        <f>COUNTA(B303:B305)</f>
        <v>2</v>
      </c>
      <c r="D302" s="458" t="str">
        <f>IFERROR(VLOOKUP(B302,'03. THIẾT BỊ'!$B$1:$S$836,3,0),"")</f>
        <v/>
      </c>
      <c r="E302" s="464" t="str">
        <f>IFERROR(VLOOKUP(B302,'03. THIẾT BỊ'!$B$1:$S$836,4,0),"")</f>
        <v/>
      </c>
      <c r="F302" s="458" t="str">
        <f>IFERROR(VLOOKUP(B302,'03. THIẾT BỊ'!$B$1:$S$836,5,0),"")</f>
        <v/>
      </c>
      <c r="G302" s="459" t="s">
        <v>6423</v>
      </c>
      <c r="H302" s="459" t="str">
        <f>IFERROR(VLOOKUP(B302,'03. THIẾT BỊ'!$B$1:$S$836,7,0),"")</f>
        <v/>
      </c>
      <c r="I302" s="457" t="str">
        <f>IFERROR(VLOOKUP(B302,'03. THIẾT BỊ'!$B$1:$S$836,8,0),"")</f>
        <v/>
      </c>
      <c r="J302" s="460"/>
      <c r="K302" s="457" t="str">
        <f>IFERROR(VLOOKUP(B302,'03. THIẾT BỊ'!$B$1:$S$836,10,0),"")</f>
        <v/>
      </c>
      <c r="L302" s="458" t="str">
        <f>IFERROR(VLOOKUP(B302,'03. THIẾT BỊ'!$B$1:$S$836,11,0),"")</f>
        <v/>
      </c>
      <c r="M302" s="461" t="str">
        <f>IFERROR(VLOOKUP(B302,'03. THIẾT BỊ'!$B$1:$S$836,12,0),"")</f>
        <v/>
      </c>
      <c r="N302" s="458" t="str">
        <f>IFERROR(VLOOKUP(B302,'03. THIẾT BỊ'!$B$1:$S$836,13,0),"")</f>
        <v/>
      </c>
      <c r="O302" s="461" t="str">
        <f>IFERROR(VLOOKUP(B302,'03. THIẾT BỊ'!$B$1:$S$836,14,0),"")</f>
        <v/>
      </c>
      <c r="P302" s="458" t="str">
        <f>IFERROR(VLOOKUP(B302,'03. THIẾT BỊ'!$B$1:$S$836,15,0),"")</f>
        <v/>
      </c>
      <c r="Q302" s="459" t="str">
        <f>IFERROR(VLOOKUP(B302,'03. THIẾT BỊ'!$B$1:$S$836,16,0),"")</f>
        <v/>
      </c>
      <c r="R302" s="458" t="str">
        <f>IFERROR(VLOOKUP(B302,'03. THIẾT BỊ'!$B$1:$S$836,17,0),"")</f>
        <v/>
      </c>
      <c r="S302" s="458" t="str">
        <f>IFERROR(VLOOKUP(B302,'03. THIẾT BỊ'!$B$1:$S$836,18,0),"")</f>
        <v/>
      </c>
      <c r="T302" s="866"/>
    </row>
    <row r="303" ht="14.25" customHeight="1">
      <c r="A303" s="463">
        <v>1.0</v>
      </c>
      <c r="B303" s="464" t="s">
        <v>5323</v>
      </c>
      <c r="C303" s="869" t="str">
        <f>IFERROR(VLOOKUP(B303,'03. THIẾT BỊ'!$B$1:$S$836,2,0),"")</f>
        <v/>
      </c>
      <c r="D303" s="470" t="str">
        <f>IFERROR(VLOOKUP(B303,'03. THIẾT BỊ'!$B$1:$S$836,3,0),"")</f>
        <v>A22-TBT-001</v>
      </c>
      <c r="E303" s="464" t="str">
        <f>IFERROR(VLOOKUP(B303,'03. THIẾT BỊ'!$B$1:$S$836,4,0),"")</f>
        <v>ĐQSD</v>
      </c>
      <c r="F303" s="464" t="str">
        <f>IFERROR(VLOOKUP(B303,'03. THIẾT BỊ'!$B$1:$S$836,5,0),"")</f>
        <v>Thiết bị trồng bắp</v>
      </c>
      <c r="G303" s="80" t="s">
        <v>6423</v>
      </c>
      <c r="H303" s="463" t="str">
        <f>IFERROR(VLOOKUP(B303,'03. THIẾT BỊ'!$B$1:$S$836,7,0),"")</f>
        <v>XN Bò AD</v>
      </c>
      <c r="I303" s="474" t="str">
        <f>IFERROR(VLOOKUP(B303,'03. THIẾT BỊ'!$B$1:$S$836,8,0),"")</f>
        <v>24/04/2024</v>
      </c>
      <c r="J303" s="471"/>
      <c r="K303" s="463" t="str">
        <f>IFERROR(VLOOKUP(B303,'03. THIẾT BỊ'!$B$1:$S$836,10,0),"")</f>
        <v>Bình thường</v>
      </c>
      <c r="L303" s="468" t="str">
        <f>IFERROR(VLOOKUP(B303,'03. THIẾT BỊ'!$B$1:$S$836,11,0),"")</f>
        <v/>
      </c>
      <c r="M303" s="472" t="str">
        <f>IFERROR(VLOOKUP(B303,'03. THIẾT BỊ'!$B$1:$S$836,12,0),"")</f>
        <v>Đã qua SD</v>
      </c>
      <c r="N303" s="468" t="str">
        <f>IFERROR(VLOOKUP(B303,'03. THIẾT BỊ'!$B$1:$S$836,13,0),"")</f>
        <v>THACO AGRI</v>
      </c>
      <c r="O303" s="470" t="str">
        <f>IFERROR(VLOOKUP(B303,'03. THIẾT BỊ'!$B$1:$S$836,14,0),"")</f>
        <v/>
      </c>
      <c r="P303" s="468" t="str">
        <f>IFERROR(VLOOKUP(B303,'03. THIẾT BỊ'!$B$1:$S$836,15,0),"")</f>
        <v>THACO</v>
      </c>
      <c r="Q303" s="48" t="str">
        <f>IFERROR(VLOOKUP(B303,'03. THIẾT BỊ'!$B$1:$S$836,16,0),"")</f>
        <v/>
      </c>
      <c r="R303" s="471" t="str">
        <f>IFERROR(VLOOKUP(B303,'03. THIẾT BỊ'!$B$1:$S$836,17,0),"")</f>
        <v/>
      </c>
      <c r="S303" s="468" t="str">
        <f>IFERROR(VLOOKUP(B303,'03. THIẾT BỊ'!$B$1:$S$836,18,0),"")</f>
        <v/>
      </c>
      <c r="T303" s="807"/>
    </row>
    <row r="304" ht="27.0" customHeight="1">
      <c r="A304" s="463">
        <v>2.0</v>
      </c>
      <c r="B304" s="486" t="s">
        <v>5471</v>
      </c>
      <c r="C304" s="869" t="str">
        <f>IFERROR(VLOOKUP(B304,'03. THIẾT BỊ'!$B$1:$S$836,2,0),"")</f>
        <v/>
      </c>
      <c r="D304" s="470" t="str">
        <f>IFERROR(VLOOKUP(B304,'03. THIẾT BỊ'!$B$1:$S$836,3,0),"")</f>
        <v>A22-CCB-001</v>
      </c>
      <c r="E304" s="464" t="str">
        <f>IFERROR(VLOOKUP(B304,'03. THIẾT BỊ'!$B$1:$S$836,4,0),"")</f>
        <v>ĐQSD</v>
      </c>
      <c r="F304" s="464" t="str">
        <f>IFERROR(VLOOKUP(B304,'03. THIẾT BỊ'!$B$1:$S$836,5,0),"")</f>
        <v>Thiết bị cày chăm bắp</v>
      </c>
      <c r="G304" s="80" t="s">
        <v>6423</v>
      </c>
      <c r="H304" s="463" t="str">
        <f>IFERROR(VLOOKUP(B304,'03. THIẾT BỊ'!$B$1:$S$836,7,0),"")</f>
        <v>XN Bò AD</v>
      </c>
      <c r="I304" s="474" t="str">
        <f>IFERROR(VLOOKUP(B304,'03. THIẾT BỊ'!$B$1:$S$836,8,0),"")</f>
        <v>27/05/2025</v>
      </c>
      <c r="J304" s="471"/>
      <c r="K304" s="463" t="str">
        <f>IFERROR(VLOOKUP(B304,'03. THIẾT BỊ'!$B$1:$S$836,10,0),"")</f>
        <v>Bình thường</v>
      </c>
      <c r="L304" s="468" t="str">
        <f>IFERROR(VLOOKUP(B304,'03. THIẾT BỊ'!$B$1:$S$836,11,0),"")</f>
        <v/>
      </c>
      <c r="M304" s="472" t="str">
        <f>IFERROR(VLOOKUP(B304,'03. THIẾT BỊ'!$B$1:$S$836,12,0),"")</f>
        <v>Gia công mới</v>
      </c>
      <c r="N304" s="468" t="str">
        <f>IFERROR(VLOOKUP(B304,'03. THIẾT BỊ'!$B$1:$S$836,13,0),"")</f>
        <v>THACO AGRI</v>
      </c>
      <c r="O304" s="470" t="str">
        <f>IFERROR(VLOOKUP(B304,'03. THIẾT BỊ'!$B$1:$S$836,14,0),"")</f>
        <v>CK-DX-01</v>
      </c>
      <c r="P304" s="468" t="str">
        <f>IFERROR(VLOOKUP(B304,'03. THIẾT BỊ'!$B$1:$S$836,15,0),"")</f>
        <v>CK-CGH</v>
      </c>
      <c r="Q304" s="48">
        <f>IFERROR(VLOOKUP(B304,'03. THIẾT BỊ'!$B$1:$S$836,16,0),"")</f>
        <v>2025</v>
      </c>
      <c r="R304" s="471" t="str">
        <f>IFERROR(VLOOKUP(B304,'03. THIẾT BỊ'!$B$1:$S$836,17,0),"")</f>
        <v>1.4x0.9x1.1</v>
      </c>
      <c r="S304" s="468" t="str">
        <f>IFERROR(VLOOKUP(B304,'03. THIẾT BỊ'!$B$1:$S$836,18,0),"")</f>
        <v/>
      </c>
      <c r="T304" s="807"/>
    </row>
    <row r="305">
      <c r="C305" s="869" t="str">
        <f>IFERROR(VLOOKUP(B305,'03. THIẾT BỊ'!$B$1:$S$836,2,0),"")</f>
        <v/>
      </c>
      <c r="D305" s="470" t="str">
        <f>IFERROR(VLOOKUP(B305,'03. THIẾT BỊ'!$B$1:$S$836,3,0),"")</f>
        <v/>
      </c>
      <c r="E305" s="464" t="str">
        <f>IFERROR(VLOOKUP(B305,'03. THIẾT BỊ'!$B$1:$S$836,4,0),"")</f>
        <v/>
      </c>
      <c r="F305" s="464" t="str">
        <f>IFERROR(VLOOKUP(B305,'03. THIẾT BỊ'!$B$1:$S$836,5,0),"")</f>
        <v/>
      </c>
      <c r="G305" s="80" t="s">
        <v>6423</v>
      </c>
      <c r="H305" s="463" t="str">
        <f>IFERROR(VLOOKUP(B305,'03. THIẾT BỊ'!$B$1:$S$836,7,0),"")</f>
        <v/>
      </c>
      <c r="I305" s="474" t="str">
        <f>IFERROR(VLOOKUP(B305,'03. THIẾT BỊ'!$B$1:$S$836,8,0),"")</f>
        <v/>
      </c>
      <c r="J305" s="471"/>
      <c r="K305" s="463" t="str">
        <f>IFERROR(VLOOKUP(B305,'03. THIẾT BỊ'!$B$1:$S$836,10,0),"")</f>
        <v/>
      </c>
      <c r="L305" s="468" t="str">
        <f>IFERROR(VLOOKUP(B305,'03. THIẾT BỊ'!$B$1:$S$836,11,0),"")</f>
        <v/>
      </c>
      <c r="M305" s="472" t="str">
        <f>IFERROR(VLOOKUP(B305,'03. THIẾT BỊ'!$B$1:$S$836,12,0),"")</f>
        <v/>
      </c>
      <c r="N305" s="468" t="str">
        <f>IFERROR(VLOOKUP(B305,'03. THIẾT BỊ'!$B$1:$S$836,13,0),"")</f>
        <v/>
      </c>
      <c r="O305" s="470" t="str">
        <f>IFERROR(VLOOKUP(B305,'03. THIẾT BỊ'!$B$1:$S$836,14,0),"")</f>
        <v/>
      </c>
      <c r="P305" s="468" t="str">
        <f>IFERROR(VLOOKUP(B305,'03. THIẾT BỊ'!$B$1:$S$836,15,0),"")</f>
        <v/>
      </c>
      <c r="Q305" s="48" t="str">
        <f>IFERROR(VLOOKUP(B305,'03. THIẾT BỊ'!$B$1:$S$836,16,0),"")</f>
        <v/>
      </c>
      <c r="R305" s="471" t="str">
        <f>IFERROR(VLOOKUP(B305,'03. THIẾT BỊ'!$B$1:$S$836,17,0),"")</f>
        <v/>
      </c>
      <c r="S305" s="468" t="str">
        <f>IFERROR(VLOOKUP(B305,'03. THIẾT BỊ'!$B$1:$S$836,18,0),"")</f>
        <v/>
      </c>
    </row>
    <row r="306" ht="15.0" hidden="1" customHeight="1">
      <c r="A306" s="1236"/>
      <c r="B306" s="812"/>
      <c r="C306" s="869" t="str">
        <f>IFERROR(VLOOKUP(B306,'03. THIẾT BỊ'!$B$1:$S$836,2,0),"")</f>
        <v/>
      </c>
      <c r="D306" s="470" t="str">
        <f>IFERROR(VLOOKUP(B306,'03. THIẾT BỊ'!$B$1:$S$836,3,0),"")</f>
        <v/>
      </c>
      <c r="E306" s="464" t="str">
        <f>IFERROR(VLOOKUP(B306,'03. THIẾT BỊ'!$B$1:$S$836,4,0),"")</f>
        <v/>
      </c>
      <c r="F306" s="464" t="str">
        <f>IFERROR(VLOOKUP(B306,'03. THIẾT BỊ'!$B$1:$S$836,5,0),"")</f>
        <v/>
      </c>
      <c r="G306" s="80" t="s">
        <v>6423</v>
      </c>
      <c r="H306" s="463" t="str">
        <f>IFERROR(VLOOKUP(B306,'03. THIẾT BỊ'!$B$1:$S$836,7,0),"")</f>
        <v/>
      </c>
      <c r="I306" s="474" t="str">
        <f>IFERROR(VLOOKUP(B306,'03. THIẾT BỊ'!$B$1:$S$836,8,0),"")</f>
        <v/>
      </c>
      <c r="J306" s="471"/>
      <c r="K306" s="463" t="str">
        <f>IFERROR(VLOOKUP(B306,'03. THIẾT BỊ'!$B$1:$S$836,10,0),"")</f>
        <v/>
      </c>
      <c r="L306" s="468" t="str">
        <f>IFERROR(VLOOKUP(B306,'03. THIẾT BỊ'!$B$1:$S$836,11,0),"")</f>
        <v/>
      </c>
      <c r="M306" s="472" t="str">
        <f>IFERROR(VLOOKUP(B306,'03. THIẾT BỊ'!$B$1:$S$836,12,0),"")</f>
        <v/>
      </c>
      <c r="N306" s="468" t="str">
        <f>IFERROR(VLOOKUP(B306,'03. THIẾT BỊ'!$B$1:$S$836,13,0),"")</f>
        <v/>
      </c>
      <c r="O306" s="470" t="str">
        <f>IFERROR(VLOOKUP(B306,'03. THIẾT BỊ'!$B$1:$S$836,14,0),"")</f>
        <v/>
      </c>
      <c r="P306" s="468" t="str">
        <f>IFERROR(VLOOKUP(B306,'03. THIẾT BỊ'!$B$1:$S$836,15,0),"")</f>
        <v/>
      </c>
      <c r="Q306" s="48" t="str">
        <f>IFERROR(VLOOKUP(B306,'03. THIẾT BỊ'!$B$1:$S$836,16,0),"")</f>
        <v/>
      </c>
      <c r="R306" s="471" t="str">
        <f>IFERROR(VLOOKUP(B306,'03. THIẾT BỊ'!$B$1:$S$836,17,0),"")</f>
        <v/>
      </c>
      <c r="S306" s="468" t="str">
        <f>IFERROR(VLOOKUP(B306,'03. THIẾT BỊ'!$B$1:$S$836,18,0),"")</f>
        <v/>
      </c>
      <c r="T306" s="812"/>
    </row>
    <row r="307" ht="15.0" hidden="1" customHeight="1">
      <c r="A307" s="1236"/>
      <c r="B307" s="812"/>
      <c r="C307" s="869" t="str">
        <f>IFERROR(VLOOKUP(B307,'03. THIẾT BỊ'!$B$1:$S$836,2,0),"")</f>
        <v/>
      </c>
      <c r="D307" s="470" t="str">
        <f>IFERROR(VLOOKUP(B307,'03. THIẾT BỊ'!$B$1:$S$836,3,0),"")</f>
        <v/>
      </c>
      <c r="E307" s="464" t="str">
        <f>IFERROR(VLOOKUP(B307,'03. THIẾT BỊ'!$B$1:$S$836,4,0),"")</f>
        <v/>
      </c>
      <c r="F307" s="464" t="str">
        <f>IFERROR(VLOOKUP(B307,'03. THIẾT BỊ'!$B$1:$S$836,5,0),"")</f>
        <v/>
      </c>
      <c r="G307" s="80" t="s">
        <v>6423</v>
      </c>
      <c r="H307" s="463" t="str">
        <f>IFERROR(VLOOKUP(B307,'03. THIẾT BỊ'!$B$1:$S$836,7,0),"")</f>
        <v/>
      </c>
      <c r="I307" s="474" t="str">
        <f>IFERROR(VLOOKUP(B307,'03. THIẾT BỊ'!$B$1:$S$836,8,0),"")</f>
        <v/>
      </c>
      <c r="J307" s="471"/>
      <c r="K307" s="463" t="str">
        <f>IFERROR(VLOOKUP(B307,'03. THIẾT BỊ'!$B$1:$S$836,10,0),"")</f>
        <v/>
      </c>
      <c r="L307" s="468" t="str">
        <f>IFERROR(VLOOKUP(B307,'03. THIẾT BỊ'!$B$1:$S$836,11,0),"")</f>
        <v/>
      </c>
      <c r="M307" s="472" t="str">
        <f>IFERROR(VLOOKUP(B307,'03. THIẾT BỊ'!$B$1:$S$836,12,0),"")</f>
        <v/>
      </c>
      <c r="N307" s="468" t="str">
        <f>IFERROR(VLOOKUP(B307,'03. THIẾT BỊ'!$B$1:$S$836,13,0),"")</f>
        <v/>
      </c>
      <c r="O307" s="470" t="str">
        <f>IFERROR(VLOOKUP(B307,'03. THIẾT BỊ'!$B$1:$S$836,14,0),"")</f>
        <v/>
      </c>
      <c r="P307" s="468" t="str">
        <f>IFERROR(VLOOKUP(B307,'03. THIẾT BỊ'!$B$1:$S$836,15,0),"")</f>
        <v/>
      </c>
      <c r="Q307" s="48" t="str">
        <f>IFERROR(VLOOKUP(B307,'03. THIẾT BỊ'!$B$1:$S$836,16,0),"")</f>
        <v/>
      </c>
      <c r="R307" s="471" t="str">
        <f>IFERROR(VLOOKUP(B307,'03. THIẾT BỊ'!$B$1:$S$836,17,0),"")</f>
        <v/>
      </c>
      <c r="S307" s="468" t="str">
        <f>IFERROR(VLOOKUP(B307,'03. THIẾT BỊ'!$B$1:$S$836,18,0),"")</f>
        <v/>
      </c>
      <c r="T307" s="812"/>
    </row>
    <row r="308" ht="15.0" hidden="1" customHeight="1">
      <c r="A308" s="1236"/>
      <c r="B308" s="812"/>
      <c r="C308" s="869" t="str">
        <f>IFERROR(VLOOKUP(B308,'03. THIẾT BỊ'!$B$1:$S$836,2,0),"")</f>
        <v/>
      </c>
      <c r="D308" s="470" t="str">
        <f>IFERROR(VLOOKUP(B308,'03. THIẾT BỊ'!$B$1:$S$836,3,0),"")</f>
        <v/>
      </c>
      <c r="E308" s="464" t="str">
        <f>IFERROR(VLOOKUP(B308,'03. THIẾT BỊ'!$B$1:$S$836,4,0),"")</f>
        <v/>
      </c>
      <c r="F308" s="464" t="str">
        <f>IFERROR(VLOOKUP(B308,'03. THIẾT BỊ'!$B$1:$S$836,5,0),"")</f>
        <v/>
      </c>
      <c r="G308" s="80" t="s">
        <v>6423</v>
      </c>
      <c r="H308" s="463" t="str">
        <f>IFERROR(VLOOKUP(B308,'03. THIẾT BỊ'!$B$1:$S$836,7,0),"")</f>
        <v/>
      </c>
      <c r="I308" s="474" t="str">
        <f>IFERROR(VLOOKUP(B308,'03. THIẾT BỊ'!$B$1:$S$836,8,0),"")</f>
        <v/>
      </c>
      <c r="J308" s="471"/>
      <c r="K308" s="463" t="str">
        <f>IFERROR(VLOOKUP(B308,'03. THIẾT BỊ'!$B$1:$S$836,10,0),"")</f>
        <v/>
      </c>
      <c r="L308" s="468" t="str">
        <f>IFERROR(VLOOKUP(B308,'03. THIẾT BỊ'!$B$1:$S$836,11,0),"")</f>
        <v/>
      </c>
      <c r="M308" s="472" t="str">
        <f>IFERROR(VLOOKUP(B308,'03. THIẾT BỊ'!$B$1:$S$836,12,0),"")</f>
        <v/>
      </c>
      <c r="N308" s="468" t="str">
        <f>IFERROR(VLOOKUP(B308,'03. THIẾT BỊ'!$B$1:$S$836,13,0),"")</f>
        <v/>
      </c>
      <c r="O308" s="470" t="str">
        <f>IFERROR(VLOOKUP(B308,'03. THIẾT BỊ'!$B$1:$S$836,14,0),"")</f>
        <v/>
      </c>
      <c r="P308" s="468" t="str">
        <f>IFERROR(VLOOKUP(B308,'03. THIẾT BỊ'!$B$1:$S$836,15,0),"")</f>
        <v/>
      </c>
      <c r="Q308" s="48" t="str">
        <f>IFERROR(VLOOKUP(B308,'03. THIẾT BỊ'!$B$1:$S$836,16,0),"")</f>
        <v/>
      </c>
      <c r="R308" s="471" t="str">
        <f>IFERROR(VLOOKUP(B308,'03. THIẾT BỊ'!$B$1:$S$836,17,0),"")</f>
        <v/>
      </c>
      <c r="S308" s="468" t="str">
        <f>IFERROR(VLOOKUP(B308,'03. THIẾT BỊ'!$B$1:$S$836,18,0),"")</f>
        <v/>
      </c>
      <c r="T308" s="812"/>
    </row>
    <row r="309" ht="15.0" hidden="1" customHeight="1">
      <c r="A309" s="1236"/>
      <c r="B309" s="812"/>
      <c r="C309" s="869" t="str">
        <f>IFERROR(VLOOKUP(B309,'03. THIẾT BỊ'!$B$1:$S$836,2,0),"")</f>
        <v/>
      </c>
      <c r="D309" s="470" t="str">
        <f>IFERROR(VLOOKUP(B309,'03. THIẾT BỊ'!$B$1:$S$836,3,0),"")</f>
        <v/>
      </c>
      <c r="E309" s="464" t="str">
        <f>IFERROR(VLOOKUP(B309,'03. THIẾT BỊ'!$B$1:$S$836,4,0),"")</f>
        <v/>
      </c>
      <c r="F309" s="464" t="str">
        <f>IFERROR(VLOOKUP(B309,'03. THIẾT BỊ'!$B$1:$S$836,5,0),"")</f>
        <v/>
      </c>
      <c r="G309" s="80" t="s">
        <v>6423</v>
      </c>
      <c r="H309" s="463" t="str">
        <f>IFERROR(VLOOKUP(B309,'03. THIẾT BỊ'!$B$1:$S$836,7,0),"")</f>
        <v/>
      </c>
      <c r="I309" s="474" t="str">
        <f>IFERROR(VLOOKUP(B309,'03. THIẾT BỊ'!$B$1:$S$836,8,0),"")</f>
        <v/>
      </c>
      <c r="J309" s="471"/>
      <c r="K309" s="463" t="str">
        <f>IFERROR(VLOOKUP(B309,'03. THIẾT BỊ'!$B$1:$S$836,10,0),"")</f>
        <v/>
      </c>
      <c r="L309" s="468" t="str">
        <f>IFERROR(VLOOKUP(B309,'03. THIẾT BỊ'!$B$1:$S$836,11,0),"")</f>
        <v/>
      </c>
      <c r="M309" s="472" t="str">
        <f>IFERROR(VLOOKUP(B309,'03. THIẾT BỊ'!$B$1:$S$836,12,0),"")</f>
        <v/>
      </c>
      <c r="N309" s="468" t="str">
        <f>IFERROR(VLOOKUP(B309,'03. THIẾT BỊ'!$B$1:$S$836,13,0),"")</f>
        <v/>
      </c>
      <c r="O309" s="470" t="str">
        <f>IFERROR(VLOOKUP(B309,'03. THIẾT BỊ'!$B$1:$S$836,14,0),"")</f>
        <v/>
      </c>
      <c r="P309" s="468" t="str">
        <f>IFERROR(VLOOKUP(B309,'03. THIẾT BỊ'!$B$1:$S$836,15,0),"")</f>
        <v/>
      </c>
      <c r="Q309" s="48" t="str">
        <f>IFERROR(VLOOKUP(B309,'03. THIẾT BỊ'!$B$1:$S$836,16,0),"")</f>
        <v/>
      </c>
      <c r="R309" s="471" t="str">
        <f>IFERROR(VLOOKUP(B309,'03. THIẾT BỊ'!$B$1:$S$836,17,0),"")</f>
        <v/>
      </c>
      <c r="S309" s="468" t="str">
        <f>IFERROR(VLOOKUP(B309,'03. THIẾT BỊ'!$B$1:$S$836,18,0),"")</f>
        <v/>
      </c>
      <c r="T309" s="812"/>
    </row>
    <row r="310" ht="15.0" customHeight="1">
      <c r="A310" s="455" t="s">
        <v>76</v>
      </c>
      <c r="B310" s="456" t="s">
        <v>8590</v>
      </c>
      <c r="C310" s="457">
        <f>COUNTA(B311:B313)</f>
        <v>1</v>
      </c>
      <c r="D310" s="458" t="str">
        <f>IFERROR(VLOOKUP(B310,'03. THIẾT BỊ'!$B$1:$S$836,3,0),"")</f>
        <v/>
      </c>
      <c r="E310" s="464" t="str">
        <f>IFERROR(VLOOKUP(B310,'03. THIẾT BỊ'!$B$1:$S$836,4,0),"")</f>
        <v/>
      </c>
      <c r="F310" s="458" t="str">
        <f>IFERROR(VLOOKUP(B310,'03. THIẾT BỊ'!$B$1:$S$836,5,0),"")</f>
        <v/>
      </c>
      <c r="G310" s="459" t="s">
        <v>6423</v>
      </c>
      <c r="H310" s="459" t="str">
        <f>IFERROR(VLOOKUP(B310,'03. THIẾT BỊ'!$B$1:$S$836,7,0),"")</f>
        <v/>
      </c>
      <c r="I310" s="457" t="str">
        <f>IFERROR(VLOOKUP(B310,'03. THIẾT BỊ'!$B$1:$S$836,8,0),"")</f>
        <v/>
      </c>
      <c r="J310" s="460"/>
      <c r="K310" s="457" t="str">
        <f>IFERROR(VLOOKUP(B310,'03. THIẾT BỊ'!$B$1:$S$836,10,0),"")</f>
        <v/>
      </c>
      <c r="L310" s="458" t="str">
        <f>IFERROR(VLOOKUP(B310,'03. THIẾT BỊ'!$B$1:$S$836,11,0),"")</f>
        <v/>
      </c>
      <c r="M310" s="461" t="str">
        <f>IFERROR(VLOOKUP(B310,'03. THIẾT BỊ'!$B$1:$S$836,12,0),"")</f>
        <v/>
      </c>
      <c r="N310" s="458" t="str">
        <f>IFERROR(VLOOKUP(B310,'03. THIẾT BỊ'!$B$1:$S$836,13,0),"")</f>
        <v/>
      </c>
      <c r="O310" s="461" t="str">
        <f>IFERROR(VLOOKUP(B310,'03. THIẾT BỊ'!$B$1:$S$836,14,0),"")</f>
        <v/>
      </c>
      <c r="P310" s="458" t="str">
        <f>IFERROR(VLOOKUP(B310,'03. THIẾT BỊ'!$B$1:$S$836,15,0),"")</f>
        <v/>
      </c>
      <c r="Q310" s="459" t="str">
        <f>IFERROR(VLOOKUP(B310,'03. THIẾT BỊ'!$B$1:$S$836,16,0),"")</f>
        <v/>
      </c>
      <c r="R310" s="458" t="str">
        <f>IFERROR(VLOOKUP(B310,'03. THIẾT BỊ'!$B$1:$S$836,17,0),"")</f>
        <v/>
      </c>
      <c r="S310" s="458" t="str">
        <f>IFERROR(VLOOKUP(B310,'03. THIẾT BỊ'!$B$1:$S$836,18,0),"")</f>
        <v/>
      </c>
      <c r="T310" s="866"/>
    </row>
    <row r="311" ht="15.0" customHeight="1">
      <c r="A311" s="463">
        <v>1.0</v>
      </c>
      <c r="B311" s="464" t="s">
        <v>3632</v>
      </c>
      <c r="C311" s="869" t="str">
        <f>IFERROR(VLOOKUP(B311,'03. THIẾT BỊ'!$B$1:$S$836,2,0),"")</f>
        <v/>
      </c>
      <c r="D311" s="470" t="str">
        <f>IFERROR(VLOOKUP(B311,'03. THIẾT BỊ'!$B$1:$S$836,3,0),"")</f>
        <v>A23-TKH-001</v>
      </c>
      <c r="E311" s="464" t="str">
        <f>IFERROR(VLOOKUP(B311,'03. THIẾT BỊ'!$B$1:$S$836,4,0),"")</f>
        <v>ĐQSD</v>
      </c>
      <c r="F311" s="464" t="str">
        <f>IFERROR(VLOOKUP(B311,'03. THIẾT BỊ'!$B$1:$S$836,5,0),"")</f>
        <v>Thiết bị khai hoang dạng con lăn gai</v>
      </c>
      <c r="G311" s="80" t="s">
        <v>6423</v>
      </c>
      <c r="H311" s="463" t="str">
        <f>IFERROR(VLOOKUP(B311,'03. THIẾT BỊ'!$B$1:$S$836,7,0),"")</f>
        <v>CGLĐ DP</v>
      </c>
      <c r="I311" s="474" t="str">
        <f>IFERROR(VLOOKUP(B311,'03. THIẾT BỊ'!$B$1:$S$836,8,0),"")</f>
        <v>28/05/2024</v>
      </c>
      <c r="J311" s="471"/>
      <c r="K311" s="463" t="str">
        <f>IFERROR(VLOOKUP(B311,'03. THIẾT BỊ'!$B$1:$S$836,10,0),"")</f>
        <v>Bình thường</v>
      </c>
      <c r="L311" s="468" t="str">
        <f>IFERROR(VLOOKUP(B311,'03. THIẾT BỊ'!$B$1:$S$836,11,0),"")</f>
        <v/>
      </c>
      <c r="M311" s="472" t="str">
        <f>IFERROR(VLOOKUP(B311,'03. THIẾT BỊ'!$B$1:$S$836,12,0),"")</f>
        <v/>
      </c>
      <c r="N311" s="468" t="str">
        <f>IFERROR(VLOOKUP(B311,'03. THIẾT BỊ'!$B$1:$S$836,13,0),"")</f>
        <v>THACO AGRI</v>
      </c>
      <c r="O311" s="470" t="str">
        <f>IFERROR(VLOOKUP(B311,'03. THIẾT BỊ'!$B$1:$S$836,14,0),"")</f>
        <v/>
      </c>
      <c r="P311" s="468" t="str">
        <f>IFERROR(VLOOKUP(B311,'03. THIẾT BỊ'!$B$1:$S$836,15,0),"")</f>
        <v>CK-CGH</v>
      </c>
      <c r="Q311" s="48" t="str">
        <f>IFERROR(VLOOKUP(B311,'03. THIẾT BỊ'!$B$1:$S$836,16,0),"")</f>
        <v/>
      </c>
      <c r="R311" s="471" t="str">
        <f>IFERROR(VLOOKUP(B311,'03. THIẾT BỊ'!$B$1:$S$836,17,0),"")</f>
        <v>10x6x0.4m</v>
      </c>
      <c r="S311" s="468" t="str">
        <f>IFERROR(VLOOKUP(B311,'03. THIẾT BỊ'!$B$1:$S$836,18,0),"")</f>
        <v/>
      </c>
      <c r="T311" s="812"/>
    </row>
    <row r="312" ht="15.0" customHeight="1">
      <c r="A312" s="463"/>
      <c r="B312" s="464"/>
      <c r="C312" s="869" t="str">
        <f>IFERROR(VLOOKUP(B312,'03. THIẾT BỊ'!$B$1:$S$836,2,0),"")</f>
        <v/>
      </c>
      <c r="D312" s="470" t="str">
        <f>IFERROR(VLOOKUP(B312,'03. THIẾT BỊ'!$B$1:$S$836,3,0),"")</f>
        <v/>
      </c>
      <c r="E312" s="464" t="str">
        <f>IFERROR(VLOOKUP(B312,'03. THIẾT BỊ'!$B$1:$S$836,4,0),"")</f>
        <v/>
      </c>
      <c r="F312" s="464" t="str">
        <f>IFERROR(VLOOKUP(B312,'03. THIẾT BỊ'!$B$1:$S$836,5,0),"")</f>
        <v/>
      </c>
      <c r="G312" s="80" t="s">
        <v>6423</v>
      </c>
      <c r="H312" s="463" t="str">
        <f>IFERROR(VLOOKUP(B312,'03. THIẾT BỊ'!$B$1:$S$836,7,0),"")</f>
        <v/>
      </c>
      <c r="I312" s="474" t="str">
        <f>IFERROR(VLOOKUP(B312,'03. THIẾT BỊ'!$B$1:$S$836,8,0),"")</f>
        <v/>
      </c>
      <c r="J312" s="471"/>
      <c r="K312" s="463" t="str">
        <f>IFERROR(VLOOKUP(B312,'03. THIẾT BỊ'!$B$1:$S$836,10,0),"")</f>
        <v/>
      </c>
      <c r="L312" s="468" t="str">
        <f>IFERROR(VLOOKUP(B312,'03. THIẾT BỊ'!$B$1:$S$836,11,0),"")</f>
        <v/>
      </c>
      <c r="M312" s="472" t="str">
        <f>IFERROR(VLOOKUP(B312,'03. THIẾT BỊ'!$B$1:$S$836,12,0),"")</f>
        <v/>
      </c>
      <c r="N312" s="468" t="str">
        <f>IFERROR(VLOOKUP(B312,'03. THIẾT BỊ'!$B$1:$S$836,13,0),"")</f>
        <v/>
      </c>
      <c r="O312" s="470" t="str">
        <f>IFERROR(VLOOKUP(B312,'03. THIẾT BỊ'!$B$1:$S$836,14,0),"")</f>
        <v/>
      </c>
      <c r="P312" s="468" t="str">
        <f>IFERROR(VLOOKUP(B312,'03. THIẾT BỊ'!$B$1:$S$836,15,0),"")</f>
        <v/>
      </c>
      <c r="Q312" s="48" t="str">
        <f>IFERROR(VLOOKUP(B312,'03. THIẾT BỊ'!$B$1:$S$836,16,0),"")</f>
        <v/>
      </c>
      <c r="R312" s="471" t="str">
        <f>IFERROR(VLOOKUP(B312,'03. THIẾT BỊ'!$B$1:$S$836,17,0),"")</f>
        <v/>
      </c>
      <c r="S312" s="468" t="str">
        <f>IFERROR(VLOOKUP(B312,'03. THIẾT BỊ'!$B$1:$S$836,18,0),"")</f>
        <v/>
      </c>
      <c r="T312" s="812"/>
    </row>
    <row r="313" ht="15.0" customHeight="1">
      <c r="A313" s="463"/>
      <c r="B313" s="464"/>
      <c r="C313" s="869" t="str">
        <f>IFERROR(VLOOKUP(B313,'03. THIẾT BỊ'!$B$1:$S$836,2,0),"")</f>
        <v/>
      </c>
      <c r="D313" s="470" t="str">
        <f>IFERROR(VLOOKUP(B313,'03. THIẾT BỊ'!$B$1:$S$836,3,0),"")</f>
        <v/>
      </c>
      <c r="E313" s="464" t="str">
        <f>IFERROR(VLOOKUP(B313,'03. THIẾT BỊ'!$B$1:$S$836,4,0),"")</f>
        <v/>
      </c>
      <c r="F313" s="464" t="str">
        <f>IFERROR(VLOOKUP(B313,'03. THIẾT BỊ'!$B$1:$S$836,5,0),"")</f>
        <v/>
      </c>
      <c r="G313" s="80" t="s">
        <v>6423</v>
      </c>
      <c r="H313" s="463" t="str">
        <f>IFERROR(VLOOKUP(B313,'03. THIẾT BỊ'!$B$1:$S$836,7,0),"")</f>
        <v/>
      </c>
      <c r="I313" s="474" t="str">
        <f>IFERROR(VLOOKUP(B313,'03. THIẾT BỊ'!$B$1:$S$836,8,0),"")</f>
        <v/>
      </c>
      <c r="J313" s="471"/>
      <c r="K313" s="463" t="str">
        <f>IFERROR(VLOOKUP(B313,'03. THIẾT BỊ'!$B$1:$S$836,10,0),"")</f>
        <v/>
      </c>
      <c r="L313" s="468" t="str">
        <f>IFERROR(VLOOKUP(B313,'03. THIẾT BỊ'!$B$1:$S$836,11,0),"")</f>
        <v/>
      </c>
      <c r="M313" s="472" t="str">
        <f>IFERROR(VLOOKUP(B313,'03. THIẾT BỊ'!$B$1:$S$836,12,0),"")</f>
        <v/>
      </c>
      <c r="N313" s="468" t="str">
        <f>IFERROR(VLOOKUP(B313,'03. THIẾT BỊ'!$B$1:$S$836,13,0),"")</f>
        <v/>
      </c>
      <c r="O313" s="470" t="str">
        <f>IFERROR(VLOOKUP(B313,'03. THIẾT BỊ'!$B$1:$S$836,14,0),"")</f>
        <v/>
      </c>
      <c r="P313" s="468" t="str">
        <f>IFERROR(VLOOKUP(B313,'03. THIẾT BỊ'!$B$1:$S$836,15,0),"")</f>
        <v/>
      </c>
      <c r="Q313" s="48" t="str">
        <f>IFERROR(VLOOKUP(B313,'03. THIẾT BỊ'!$B$1:$S$836,16,0),"")</f>
        <v/>
      </c>
      <c r="R313" s="471" t="str">
        <f>IFERROR(VLOOKUP(B313,'03. THIẾT BỊ'!$B$1:$S$836,17,0),"")</f>
        <v/>
      </c>
      <c r="S313" s="468" t="str">
        <f>IFERROR(VLOOKUP(B313,'03. THIẾT BỊ'!$B$1:$S$836,18,0),"")</f>
        <v/>
      </c>
      <c r="T313" s="812"/>
    </row>
    <row r="314" ht="15.0" customHeight="1">
      <c r="A314" s="455" t="s">
        <v>76</v>
      </c>
      <c r="B314" s="456" t="s">
        <v>8609</v>
      </c>
      <c r="C314" s="457">
        <f>COUNTA(B315:B319)</f>
        <v>4</v>
      </c>
      <c r="D314" s="458" t="str">
        <f>IFERROR(VLOOKUP(B314,'03. THIẾT BỊ'!$B$1:$S$836,3,0),"")</f>
        <v/>
      </c>
      <c r="E314" s="464" t="str">
        <f>IFERROR(VLOOKUP(B314,'03. THIẾT BỊ'!$B$1:$S$836,4,0),"")</f>
        <v/>
      </c>
      <c r="F314" s="458" t="str">
        <f>IFERROR(VLOOKUP(B314,'03. THIẾT BỊ'!$B$1:$S$836,5,0),"")</f>
        <v/>
      </c>
      <c r="G314" s="459" t="s">
        <v>6423</v>
      </c>
      <c r="H314" s="459" t="str">
        <f>IFERROR(VLOOKUP(B314,'03. THIẾT BỊ'!$B$1:$S$836,7,0),"")</f>
        <v/>
      </c>
      <c r="I314" s="457" t="str">
        <f>IFERROR(VLOOKUP(B314,'03. THIẾT BỊ'!$B$1:$S$836,8,0),"")</f>
        <v/>
      </c>
      <c r="J314" s="460"/>
      <c r="K314" s="457" t="str">
        <f>IFERROR(VLOOKUP(B314,'03. THIẾT BỊ'!$B$1:$S$836,10,0),"")</f>
        <v/>
      </c>
      <c r="L314" s="458" t="str">
        <f>IFERROR(VLOOKUP(B314,'03. THIẾT BỊ'!$B$1:$S$836,11,0),"")</f>
        <v/>
      </c>
      <c r="M314" s="461" t="str">
        <f>IFERROR(VLOOKUP(B314,'03. THIẾT BỊ'!$B$1:$S$836,12,0),"")</f>
        <v/>
      </c>
      <c r="N314" s="458" t="str">
        <f>IFERROR(VLOOKUP(B314,'03. THIẾT BỊ'!$B$1:$S$836,13,0),"")</f>
        <v/>
      </c>
      <c r="O314" s="461" t="str">
        <f>IFERROR(VLOOKUP(B314,'03. THIẾT BỊ'!$B$1:$S$836,14,0),"")</f>
        <v/>
      </c>
      <c r="P314" s="458" t="str">
        <f>IFERROR(VLOOKUP(B314,'03. THIẾT BỊ'!$B$1:$S$836,15,0),"")</f>
        <v/>
      </c>
      <c r="Q314" s="459" t="str">
        <f>IFERROR(VLOOKUP(B314,'03. THIẾT BỊ'!$B$1:$S$836,16,0),"")</f>
        <v/>
      </c>
      <c r="R314" s="458" t="str">
        <f>IFERROR(VLOOKUP(B314,'03. THIẾT BỊ'!$B$1:$S$836,17,0),"")</f>
        <v/>
      </c>
      <c r="S314" s="458" t="str">
        <f>IFERROR(VLOOKUP(B314,'03. THIẾT BỊ'!$B$1:$S$836,18,0),"")</f>
        <v/>
      </c>
      <c r="T314" s="866"/>
    </row>
    <row r="315" ht="15.0" customHeight="1">
      <c r="A315" s="463">
        <v>1.0</v>
      </c>
      <c r="B315" s="467" t="s">
        <v>5241</v>
      </c>
      <c r="C315" s="869" t="str">
        <f>IFERROR(VLOOKUP(B315,'03. THIẾT BỊ'!$B$1:$S$836,2,0),"")</f>
        <v/>
      </c>
      <c r="D315" s="470" t="str">
        <f>IFERROR(VLOOKUP(B315,'03. THIẾT BỊ'!$B$1:$S$836,3,0),"")</f>
        <v>A22-GKM-001</v>
      </c>
      <c r="E315" s="464" t="str">
        <f>IFERROR(VLOOKUP(B315,'03. THIẾT BỊ'!$B$1:$S$836,4,0),"")</f>
        <v>ĐQSD</v>
      </c>
      <c r="F315" s="464" t="str">
        <f>IFERROR(VLOOKUP(B315,'03. THIẾT BỊ'!$B$1:$S$836,5,0),"")</f>
        <v>Thiết bị khoan mẹ</v>
      </c>
      <c r="G315" s="80" t="s">
        <v>6423</v>
      </c>
      <c r="H315" s="463" t="str">
        <f>IFERROR(VLOOKUP(B315,'03. THIẾT BỊ'!$B$1:$S$836,7,0),"")</f>
        <v>XN Bò AD</v>
      </c>
      <c r="I315" s="474" t="str">
        <f>IFERROR(VLOOKUP(B315,'03. THIẾT BỊ'!$B$1:$S$836,8,0),"")</f>
        <v/>
      </c>
      <c r="J315" s="471"/>
      <c r="K315" s="463" t="str">
        <f>IFERROR(VLOOKUP(B315,'03. THIẾT BỊ'!$B$1:$S$836,10,0),"")</f>
        <v>Bình thường</v>
      </c>
      <c r="L315" s="468" t="str">
        <f>IFERROR(VLOOKUP(B315,'03. THIẾT BỊ'!$B$1:$S$836,11,0),"")</f>
        <v/>
      </c>
      <c r="M315" s="472" t="str">
        <f>IFERROR(VLOOKUP(B315,'03. THIẾT BỊ'!$B$1:$S$836,12,0),"")</f>
        <v>Gia công mới</v>
      </c>
      <c r="N315" s="468" t="str">
        <f>IFERROR(VLOOKUP(B315,'03. THIẾT BỊ'!$B$1:$S$836,13,0),"")</f>
        <v>THACO AGRI</v>
      </c>
      <c r="O315" s="470" t="str">
        <f>IFERROR(VLOOKUP(B315,'03. THIẾT BỊ'!$B$1:$S$836,14,0),"")</f>
        <v/>
      </c>
      <c r="P315" s="468" t="str">
        <f>IFERROR(VLOOKUP(B315,'03. THIẾT BỊ'!$B$1:$S$836,15,0),"")</f>
        <v>CK-CGH</v>
      </c>
      <c r="Q315" s="48" t="str">
        <f>IFERROR(VLOOKUP(B315,'03. THIẾT BỊ'!$B$1:$S$836,16,0),"")</f>
        <v/>
      </c>
      <c r="R315" s="471" t="str">
        <f>IFERROR(VLOOKUP(B315,'03. THIẾT BỊ'!$B$1:$S$836,17,0),"")</f>
        <v/>
      </c>
      <c r="S315" s="468" t="str">
        <f>IFERROR(VLOOKUP(B315,'03. THIẾT BỊ'!$B$1:$S$836,18,0),"")</f>
        <v/>
      </c>
      <c r="T315" s="812"/>
    </row>
    <row r="316" ht="33.75" customHeight="1">
      <c r="A316" s="463">
        <v>2.0</v>
      </c>
      <c r="B316" s="464" t="s">
        <v>5244</v>
      </c>
      <c r="C316" s="869" t="str">
        <f>IFERROR(VLOOKUP(B316,'03. THIẾT BỊ'!$B$1:$S$836,2,0),"")</f>
        <v>CK-DKL-02</v>
      </c>
      <c r="D316" s="470" t="str">
        <f>IFERROR(VLOOKUP(B316,'03. THIẾT BỊ'!$B$1:$S$836,3,0),"")</f>
        <v>A22-DKL-001</v>
      </c>
      <c r="E316" s="464" t="str">
        <f>IFERROR(VLOOKUP(B316,'03. THIẾT BỊ'!$B$1:$S$836,4,0),"")</f>
        <v>ĐQSD</v>
      </c>
      <c r="F316" s="464" t="str">
        <f>IFERROR(VLOOKUP(B316,'03. THIẾT BỊ'!$B$1:$S$836,5,0),"")</f>
        <v>Thiết bị khoan lỗ</v>
      </c>
      <c r="G316" s="80" t="s">
        <v>6423</v>
      </c>
      <c r="H316" s="463" t="str">
        <f>IFERROR(VLOOKUP(B316,'03. THIẾT BỊ'!$B$1:$S$836,7,0),"")</f>
        <v>XN Bò AD</v>
      </c>
      <c r="I316" s="474" t="str">
        <f>IFERROR(VLOOKUP(B316,'03. THIẾT BỊ'!$B$1:$S$836,8,0),"")</f>
        <v>15/04/2024</v>
      </c>
      <c r="J316" s="471"/>
      <c r="K316" s="463" t="str">
        <f>IFERROR(VLOOKUP(B316,'03. THIẾT BỊ'!$B$1:$S$836,10,0),"")</f>
        <v>Hư hỏng</v>
      </c>
      <c r="L316" s="468" t="str">
        <f>IFERROR(VLOOKUP(B316,'03. THIẾT BỊ'!$B$1:$S$836,11,0),"")</f>
        <v/>
      </c>
      <c r="M316" s="472" t="str">
        <f>IFERROR(VLOOKUP(B316,'03. THIẾT BỊ'!$B$1:$S$836,12,0),"")</f>
        <v>Gia công mới</v>
      </c>
      <c r="N316" s="468" t="str">
        <f>IFERROR(VLOOKUP(B316,'03. THIẾT BỊ'!$B$1:$S$836,13,0),"")</f>
        <v>THACO AGRI</v>
      </c>
      <c r="O316" s="470" t="str">
        <f>IFERROR(VLOOKUP(B316,'03. THIẾT BỊ'!$B$1:$S$836,14,0),"")</f>
        <v/>
      </c>
      <c r="P316" s="468" t="str">
        <f>IFERROR(VLOOKUP(B316,'03. THIẾT BỊ'!$B$1:$S$836,15,0),"")</f>
        <v>CK-CGH</v>
      </c>
      <c r="Q316" s="48" t="str">
        <f>IFERROR(VLOOKUP(B316,'03. THIẾT BỊ'!$B$1:$S$836,16,0),"")</f>
        <v/>
      </c>
      <c r="R316" s="471" t="str">
        <f>IFERROR(VLOOKUP(B316,'03. THIẾT BỊ'!$B$1:$S$836,17,0),"")</f>
        <v>DxRxC: 2.5m*0.8m*2.5m
1 bộ TB kèm cardang và mũi khoan phi 800*800mm</v>
      </c>
      <c r="S316" s="468" t="str">
        <f>IFERROR(VLOOKUP(B316,'03. THIẾT BỊ'!$B$1:$S$836,18,0),"")</f>
        <v/>
      </c>
      <c r="T316" s="807"/>
    </row>
    <row r="317" ht="15.0" customHeight="1">
      <c r="A317" s="463">
        <v>3.0</v>
      </c>
      <c r="B317" s="464" t="s">
        <v>5250</v>
      </c>
      <c r="C317" s="869" t="str">
        <f>IFERROR(VLOOKUP(B317,'03. THIẾT BỊ'!$B$1:$S$836,2,0),"")</f>
        <v/>
      </c>
      <c r="D317" s="470" t="str">
        <f>IFERROR(VLOOKUP(B317,'03. THIẾT BỊ'!$B$1:$S$836,3,0),"")</f>
        <v/>
      </c>
      <c r="E317" s="464" t="str">
        <f>IFERROR(VLOOKUP(B317,'03. THIẾT BỊ'!$B$1:$S$836,4,0),"")</f>
        <v>ĐQSD</v>
      </c>
      <c r="F317" s="464" t="str">
        <f>IFERROR(VLOOKUP(B317,'03. THIẾT BỊ'!$B$1:$S$836,5,0),"")</f>
        <v>Thiết bị khoan lỗ</v>
      </c>
      <c r="G317" s="80" t="s">
        <v>6423</v>
      </c>
      <c r="H317" s="463" t="str">
        <f>IFERROR(VLOOKUP(B317,'03. THIẾT BỊ'!$B$1:$S$836,7,0),"")</f>
        <v>XN Bò AD</v>
      </c>
      <c r="I317" s="474" t="str">
        <f>IFERROR(VLOOKUP(B317,'03. THIẾT BỊ'!$B$1:$S$836,8,0),"")</f>
        <v>17/06/2024</v>
      </c>
      <c r="J317" s="471"/>
      <c r="K317" s="463" t="str">
        <f>IFERROR(VLOOKUP(B317,'03. THIẾT BỊ'!$B$1:$S$836,10,0),"")</f>
        <v>Bình thường</v>
      </c>
      <c r="L317" s="468" t="str">
        <f>IFERROR(VLOOKUP(B317,'03. THIẾT BỊ'!$B$1:$S$836,11,0),"")</f>
        <v/>
      </c>
      <c r="M317" s="472" t="str">
        <f>IFERROR(VLOOKUP(B317,'03. THIẾT BỊ'!$B$1:$S$836,12,0),"")</f>
        <v>Đã qua SD</v>
      </c>
      <c r="N317" s="468" t="str">
        <f>IFERROR(VLOOKUP(B317,'03. THIẾT BỊ'!$B$1:$S$836,13,0),"")</f>
        <v>THACO AGRI</v>
      </c>
      <c r="O317" s="470" t="str">
        <f>IFERROR(VLOOKUP(B317,'03. THIẾT BỊ'!$B$1:$S$836,14,0),"")</f>
        <v/>
      </c>
      <c r="P317" s="468" t="str">
        <f>IFERROR(VLOOKUP(B317,'03. THIẾT BỊ'!$B$1:$S$836,15,0),"")</f>
        <v>CK-CGH</v>
      </c>
      <c r="Q317" s="48" t="str">
        <f>IFERROR(VLOOKUP(B317,'03. THIẾT BỊ'!$B$1:$S$836,16,0),"")</f>
        <v/>
      </c>
      <c r="R317" s="471" t="str">
        <f>IFERROR(VLOOKUP(B317,'03. THIẾT BỊ'!$B$1:$S$836,17,0),"")</f>
        <v/>
      </c>
      <c r="S317" s="468" t="str">
        <f>IFERROR(VLOOKUP(B317,'03. THIẾT BỊ'!$B$1:$S$836,18,0),"")</f>
        <v/>
      </c>
      <c r="T317" s="812"/>
    </row>
    <row r="318" ht="15.0" customHeight="1">
      <c r="A318" s="463">
        <v>4.0</v>
      </c>
      <c r="B318" s="464" t="s">
        <v>3610</v>
      </c>
      <c r="C318" s="869" t="str">
        <f>IFERROR(VLOOKUP(B318,'03. THIẾT BỊ'!$B$1:$S$836,2,0),"")</f>
        <v>XDP-KHO-001</v>
      </c>
      <c r="D318" s="470" t="str">
        <f>IFERROR(VLOOKUP(B318,'03. THIẾT BỊ'!$B$1:$S$836,3,0),"")</f>
        <v>A23-KHO-001</v>
      </c>
      <c r="E318" s="464" t="str">
        <f>IFERROR(VLOOKUP(B318,'03. THIẾT BỊ'!$B$1:$S$836,4,0),"")</f>
        <v>ĐQSD</v>
      </c>
      <c r="F318" s="464" t="str">
        <f>IFERROR(VLOOKUP(B318,'03. THIẾT BỊ'!$B$1:$S$836,5,0),"")</f>
        <v>Thiết bị khoan hố</v>
      </c>
      <c r="G318" s="80" t="s">
        <v>6423</v>
      </c>
      <c r="H318" s="463" t="str">
        <f>IFERROR(VLOOKUP(B318,'03. THIẾT BỊ'!$B$1:$S$836,7,0),"")</f>
        <v>CGLĐ DP</v>
      </c>
      <c r="I318" s="474" t="str">
        <f>IFERROR(VLOOKUP(B318,'03. THIẾT BỊ'!$B$1:$S$836,8,0),"")</f>
        <v/>
      </c>
      <c r="J318" s="471"/>
      <c r="K318" s="463" t="str">
        <f>IFERROR(VLOOKUP(B318,'03. THIẾT BỊ'!$B$1:$S$836,10,0),"")</f>
        <v>Bình thường</v>
      </c>
      <c r="L318" s="468" t="str">
        <f>IFERROR(VLOOKUP(B318,'03. THIẾT BỊ'!$B$1:$S$836,11,0),"")</f>
        <v/>
      </c>
      <c r="M318" s="472" t="str">
        <f>IFERROR(VLOOKUP(B318,'03. THIẾT BỊ'!$B$1:$S$836,12,0),"")</f>
        <v/>
      </c>
      <c r="N318" s="468" t="str">
        <f>IFERROR(VLOOKUP(B318,'03. THIẾT BỊ'!$B$1:$S$836,13,0),"")</f>
        <v>THACO AGRI</v>
      </c>
      <c r="O318" s="470" t="str">
        <f>IFERROR(VLOOKUP(B318,'03. THIẾT BỊ'!$B$1:$S$836,14,0),"")</f>
        <v/>
      </c>
      <c r="P318" s="468" t="str">
        <f>IFERROR(VLOOKUP(B318,'03. THIẾT BỊ'!$B$1:$S$836,15,0),"")</f>
        <v>CK-CGH</v>
      </c>
      <c r="Q318" s="48" t="str">
        <f>IFERROR(VLOOKUP(B318,'03. THIẾT BỊ'!$B$1:$S$836,16,0),"")</f>
        <v/>
      </c>
      <c r="R318" s="471" t="str">
        <f>IFERROR(VLOOKUP(B318,'03. THIẾT BỊ'!$B$1:$S$836,17,0),"")</f>
        <v/>
      </c>
      <c r="S318" s="468" t="str">
        <f>IFERROR(VLOOKUP(B318,'03. THIẾT BỊ'!$B$1:$S$836,18,0),"")</f>
        <v/>
      </c>
      <c r="T318" s="812"/>
    </row>
    <row r="319" ht="15.0" customHeight="1">
      <c r="A319" s="1236"/>
      <c r="B319" s="812"/>
      <c r="C319" s="869" t="str">
        <f>IFERROR(VLOOKUP(B319,'03. THIẾT BỊ'!$B$1:$S$836,2,0),"")</f>
        <v/>
      </c>
      <c r="D319" s="470" t="str">
        <f>IFERROR(VLOOKUP(B319,'03. THIẾT BỊ'!$B$1:$S$836,3,0),"")</f>
        <v/>
      </c>
      <c r="E319" s="464" t="str">
        <f>IFERROR(VLOOKUP(B319,'03. THIẾT BỊ'!$B$1:$S$836,4,0),"")</f>
        <v/>
      </c>
      <c r="F319" s="464" t="str">
        <f>IFERROR(VLOOKUP(B319,'03. THIẾT BỊ'!$B$1:$S$836,5,0),"")</f>
        <v/>
      </c>
      <c r="G319" s="80" t="s">
        <v>6423</v>
      </c>
      <c r="H319" s="463" t="str">
        <f>IFERROR(VLOOKUP(B319,'03. THIẾT BỊ'!$B$1:$S$836,7,0),"")</f>
        <v/>
      </c>
      <c r="I319" s="474" t="str">
        <f>IFERROR(VLOOKUP(B319,'03. THIẾT BỊ'!$B$1:$S$836,8,0),"")</f>
        <v/>
      </c>
      <c r="J319" s="471"/>
      <c r="K319" s="463" t="str">
        <f>IFERROR(VLOOKUP(B319,'03. THIẾT BỊ'!$B$1:$S$836,10,0),"")</f>
        <v/>
      </c>
      <c r="L319" s="468" t="str">
        <f>IFERROR(VLOOKUP(B319,'03. THIẾT BỊ'!$B$1:$S$836,11,0),"")</f>
        <v/>
      </c>
      <c r="M319" s="472" t="str">
        <f>IFERROR(VLOOKUP(B319,'03. THIẾT BỊ'!$B$1:$S$836,12,0),"")</f>
        <v/>
      </c>
      <c r="N319" s="468" t="str">
        <f>IFERROR(VLOOKUP(B319,'03. THIẾT BỊ'!$B$1:$S$836,13,0),"")</f>
        <v/>
      </c>
      <c r="O319" s="470" t="str">
        <f>IFERROR(VLOOKUP(B319,'03. THIẾT BỊ'!$B$1:$S$836,14,0),"")</f>
        <v/>
      </c>
      <c r="P319" s="468" t="str">
        <f>IFERROR(VLOOKUP(B319,'03. THIẾT BỊ'!$B$1:$S$836,15,0),"")</f>
        <v/>
      </c>
      <c r="Q319" s="48" t="str">
        <f>IFERROR(VLOOKUP(B319,'03. THIẾT BỊ'!$B$1:$S$836,16,0),"")</f>
        <v/>
      </c>
      <c r="R319" s="471" t="str">
        <f>IFERROR(VLOOKUP(B319,'03. THIẾT BỊ'!$B$1:$S$836,17,0),"")</f>
        <v/>
      </c>
      <c r="S319" s="468" t="str">
        <f>IFERROR(VLOOKUP(B319,'03. THIẾT BỊ'!$B$1:$S$836,18,0),"")</f>
        <v/>
      </c>
      <c r="T319" s="812"/>
    </row>
    <row r="320" ht="15.0" hidden="1" customHeight="1">
      <c r="A320" s="1236"/>
      <c r="B320" s="812"/>
      <c r="C320" s="869" t="str">
        <f>IFERROR(VLOOKUP(B320,'03. THIẾT BỊ'!$B$1:$S$836,2,0),"")</f>
        <v/>
      </c>
      <c r="D320" s="470" t="str">
        <f>IFERROR(VLOOKUP(B320,'03. THIẾT BỊ'!$B$1:$S$836,3,0),"")</f>
        <v/>
      </c>
      <c r="E320" s="464" t="str">
        <f>IFERROR(VLOOKUP(B320,'03. THIẾT BỊ'!$B$1:$S$836,4,0),"")</f>
        <v/>
      </c>
      <c r="F320" s="464" t="str">
        <f>IFERROR(VLOOKUP(B320,'03. THIẾT BỊ'!$B$1:$S$836,5,0),"")</f>
        <v/>
      </c>
      <c r="G320" s="80" t="s">
        <v>6423</v>
      </c>
      <c r="H320" s="463" t="str">
        <f>IFERROR(VLOOKUP(B320,'03. THIẾT BỊ'!$B$1:$S$836,7,0),"")</f>
        <v/>
      </c>
      <c r="I320" s="474" t="str">
        <f>IFERROR(VLOOKUP(B320,'03. THIẾT BỊ'!$B$1:$S$836,8,0),"")</f>
        <v/>
      </c>
      <c r="J320" s="471"/>
      <c r="K320" s="463" t="str">
        <f>IFERROR(VLOOKUP(B320,'03. THIẾT BỊ'!$B$1:$S$836,10,0),"")</f>
        <v/>
      </c>
      <c r="L320" s="468" t="str">
        <f>IFERROR(VLOOKUP(B320,'03. THIẾT BỊ'!$B$1:$S$836,11,0),"")</f>
        <v/>
      </c>
      <c r="M320" s="472" t="str">
        <f>IFERROR(VLOOKUP(B320,'03. THIẾT BỊ'!$B$1:$S$836,12,0),"")</f>
        <v/>
      </c>
      <c r="N320" s="468" t="str">
        <f>IFERROR(VLOOKUP(B320,'03. THIẾT BỊ'!$B$1:$S$836,13,0),"")</f>
        <v/>
      </c>
      <c r="O320" s="470" t="str">
        <f>IFERROR(VLOOKUP(B320,'03. THIẾT BỊ'!$B$1:$S$836,14,0),"")</f>
        <v/>
      </c>
      <c r="P320" s="468" t="str">
        <f>IFERROR(VLOOKUP(B320,'03. THIẾT BỊ'!$B$1:$S$836,15,0),"")</f>
        <v/>
      </c>
      <c r="Q320" s="48" t="str">
        <f>IFERROR(VLOOKUP(B320,'03. THIẾT BỊ'!$B$1:$S$836,16,0),"")</f>
        <v/>
      </c>
      <c r="R320" s="471" t="str">
        <f>IFERROR(VLOOKUP(B320,'03. THIẾT BỊ'!$B$1:$S$836,17,0),"")</f>
        <v/>
      </c>
      <c r="S320" s="468" t="str">
        <f>IFERROR(VLOOKUP(B320,'03. THIẾT BỊ'!$B$1:$S$836,18,0),"")</f>
        <v/>
      </c>
      <c r="T320" s="812"/>
    </row>
    <row r="321" ht="15.0" hidden="1" customHeight="1">
      <c r="A321" s="1236"/>
      <c r="B321" s="812"/>
      <c r="C321" s="869" t="str">
        <f>IFERROR(VLOOKUP(B321,'03. THIẾT BỊ'!$B$1:$S$836,2,0),"")</f>
        <v/>
      </c>
      <c r="D321" s="470" t="str">
        <f>IFERROR(VLOOKUP(B321,'03. THIẾT BỊ'!$B$1:$S$836,3,0),"")</f>
        <v/>
      </c>
      <c r="E321" s="464" t="str">
        <f>IFERROR(VLOOKUP(B321,'03. THIẾT BỊ'!$B$1:$S$836,4,0),"")</f>
        <v/>
      </c>
      <c r="F321" s="464" t="str">
        <f>IFERROR(VLOOKUP(B321,'03. THIẾT BỊ'!$B$1:$S$836,5,0),"")</f>
        <v/>
      </c>
      <c r="G321" s="80" t="s">
        <v>6423</v>
      </c>
      <c r="H321" s="463" t="str">
        <f>IFERROR(VLOOKUP(B321,'03. THIẾT BỊ'!$B$1:$S$836,7,0),"")</f>
        <v/>
      </c>
      <c r="I321" s="474" t="str">
        <f>IFERROR(VLOOKUP(B321,'03. THIẾT BỊ'!$B$1:$S$836,8,0),"")</f>
        <v/>
      </c>
      <c r="J321" s="471"/>
      <c r="K321" s="463" t="str">
        <f>IFERROR(VLOOKUP(B321,'03. THIẾT BỊ'!$B$1:$S$836,10,0),"")</f>
        <v/>
      </c>
      <c r="L321" s="468" t="str">
        <f>IFERROR(VLOOKUP(B321,'03. THIẾT BỊ'!$B$1:$S$836,11,0),"")</f>
        <v/>
      </c>
      <c r="M321" s="472" t="str">
        <f>IFERROR(VLOOKUP(B321,'03. THIẾT BỊ'!$B$1:$S$836,12,0),"")</f>
        <v/>
      </c>
      <c r="N321" s="468" t="str">
        <f>IFERROR(VLOOKUP(B321,'03. THIẾT BỊ'!$B$1:$S$836,13,0),"")</f>
        <v/>
      </c>
      <c r="O321" s="470" t="str">
        <f>IFERROR(VLOOKUP(B321,'03. THIẾT BỊ'!$B$1:$S$836,14,0),"")</f>
        <v/>
      </c>
      <c r="P321" s="468" t="str">
        <f>IFERROR(VLOOKUP(B321,'03. THIẾT BỊ'!$B$1:$S$836,15,0),"")</f>
        <v/>
      </c>
      <c r="Q321" s="48" t="str">
        <f>IFERROR(VLOOKUP(B321,'03. THIẾT BỊ'!$B$1:$S$836,16,0),"")</f>
        <v/>
      </c>
      <c r="R321" s="471" t="str">
        <f>IFERROR(VLOOKUP(B321,'03. THIẾT BỊ'!$B$1:$S$836,17,0),"")</f>
        <v/>
      </c>
      <c r="S321" s="468" t="str">
        <f>IFERROR(VLOOKUP(B321,'03. THIẾT BỊ'!$B$1:$S$836,18,0),"")</f>
        <v/>
      </c>
      <c r="T321" s="812"/>
    </row>
    <row r="322" ht="15.0" hidden="1" customHeight="1">
      <c r="A322" s="1236"/>
      <c r="B322" s="812"/>
      <c r="C322" s="869" t="str">
        <f>IFERROR(VLOOKUP(B322,'03. THIẾT BỊ'!$B$1:$S$836,2,0),"")</f>
        <v/>
      </c>
      <c r="D322" s="470" t="str">
        <f>IFERROR(VLOOKUP(B322,'03. THIẾT BỊ'!$B$1:$S$836,3,0),"")</f>
        <v/>
      </c>
      <c r="E322" s="464" t="str">
        <f>IFERROR(VLOOKUP(B322,'03. THIẾT BỊ'!$B$1:$S$836,4,0),"")</f>
        <v/>
      </c>
      <c r="F322" s="464" t="str">
        <f>IFERROR(VLOOKUP(B322,'03. THIẾT BỊ'!$B$1:$S$836,5,0),"")</f>
        <v/>
      </c>
      <c r="G322" s="80" t="s">
        <v>6423</v>
      </c>
      <c r="H322" s="463" t="str">
        <f>IFERROR(VLOOKUP(B322,'03. THIẾT BỊ'!$B$1:$S$836,7,0),"")</f>
        <v/>
      </c>
      <c r="I322" s="474" t="str">
        <f>IFERROR(VLOOKUP(B322,'03. THIẾT BỊ'!$B$1:$S$836,8,0),"")</f>
        <v/>
      </c>
      <c r="J322" s="471"/>
      <c r="K322" s="463" t="str">
        <f>IFERROR(VLOOKUP(B322,'03. THIẾT BỊ'!$B$1:$S$836,10,0),"")</f>
        <v/>
      </c>
      <c r="L322" s="468" t="str">
        <f>IFERROR(VLOOKUP(B322,'03. THIẾT BỊ'!$B$1:$S$836,11,0),"")</f>
        <v/>
      </c>
      <c r="M322" s="472" t="str">
        <f>IFERROR(VLOOKUP(B322,'03. THIẾT BỊ'!$B$1:$S$836,12,0),"")</f>
        <v/>
      </c>
      <c r="N322" s="468" t="str">
        <f>IFERROR(VLOOKUP(B322,'03. THIẾT BỊ'!$B$1:$S$836,13,0),"")</f>
        <v/>
      </c>
      <c r="O322" s="470" t="str">
        <f>IFERROR(VLOOKUP(B322,'03. THIẾT BỊ'!$B$1:$S$836,14,0),"")</f>
        <v/>
      </c>
      <c r="P322" s="468" t="str">
        <f>IFERROR(VLOOKUP(B322,'03. THIẾT BỊ'!$B$1:$S$836,15,0),"")</f>
        <v/>
      </c>
      <c r="Q322" s="48" t="str">
        <f>IFERROR(VLOOKUP(B322,'03. THIẾT BỊ'!$B$1:$S$836,16,0),"")</f>
        <v/>
      </c>
      <c r="R322" s="471" t="str">
        <f>IFERROR(VLOOKUP(B322,'03. THIẾT BỊ'!$B$1:$S$836,17,0),"")</f>
        <v/>
      </c>
      <c r="S322" s="468" t="str">
        <f>IFERROR(VLOOKUP(B322,'03. THIẾT BỊ'!$B$1:$S$836,18,0),"")</f>
        <v/>
      </c>
      <c r="T322" s="812"/>
    </row>
    <row r="323" ht="15.0" customHeight="1">
      <c r="A323" s="455" t="s">
        <v>76</v>
      </c>
      <c r="B323" s="456" t="s">
        <v>8665</v>
      </c>
      <c r="C323" s="457">
        <f>COUNTA(B324:B332)</f>
        <v>8</v>
      </c>
      <c r="D323" s="458" t="str">
        <f>IFERROR(VLOOKUP(B323,'03. THIẾT BỊ'!$B$1:$S$836,3,0),"")</f>
        <v/>
      </c>
      <c r="E323" s="464" t="str">
        <f>IFERROR(VLOOKUP(B323,'03. THIẾT BỊ'!$B$1:$S$836,4,0),"")</f>
        <v/>
      </c>
      <c r="F323" s="458" t="str">
        <f>IFERROR(VLOOKUP(B323,'03. THIẾT BỊ'!$B$1:$S$836,5,0),"")</f>
        <v/>
      </c>
      <c r="G323" s="459" t="s">
        <v>6423</v>
      </c>
      <c r="H323" s="459" t="str">
        <f>IFERROR(VLOOKUP(B323,'03. THIẾT BỊ'!$B$1:$S$836,7,0),"")</f>
        <v/>
      </c>
      <c r="I323" s="457" t="str">
        <f>IFERROR(VLOOKUP(B323,'03. THIẾT BỊ'!$B$1:$S$836,8,0),"")</f>
        <v/>
      </c>
      <c r="J323" s="460"/>
      <c r="K323" s="457" t="str">
        <f>IFERROR(VLOOKUP(B323,'03. THIẾT BỊ'!$B$1:$S$836,10,0),"")</f>
        <v/>
      </c>
      <c r="L323" s="458" t="str">
        <f>IFERROR(VLOOKUP(B323,'03. THIẾT BỊ'!$B$1:$S$836,11,0),"")</f>
        <v/>
      </c>
      <c r="M323" s="461" t="str">
        <f>IFERROR(VLOOKUP(B323,'03. THIẾT BỊ'!$B$1:$S$836,12,0),"")</f>
        <v/>
      </c>
      <c r="N323" s="458" t="str">
        <f>IFERROR(VLOOKUP(B323,'03. THIẾT BỊ'!$B$1:$S$836,13,0),"")</f>
        <v/>
      </c>
      <c r="O323" s="461" t="str">
        <f>IFERROR(VLOOKUP(B323,'03. THIẾT BỊ'!$B$1:$S$836,14,0),"")</f>
        <v/>
      </c>
      <c r="P323" s="458" t="str">
        <f>IFERROR(VLOOKUP(B323,'03. THIẾT BỊ'!$B$1:$S$836,15,0),"")</f>
        <v/>
      </c>
      <c r="Q323" s="459" t="str">
        <f>IFERROR(VLOOKUP(B323,'03. THIẾT BỊ'!$B$1:$S$836,16,0),"")</f>
        <v/>
      </c>
      <c r="R323" s="458" t="str">
        <f>IFERROR(VLOOKUP(B323,'03. THIẾT BỊ'!$B$1:$S$836,17,0),"")</f>
        <v/>
      </c>
      <c r="S323" s="458" t="str">
        <f>IFERROR(VLOOKUP(B323,'03. THIẾT BỊ'!$B$1:$S$836,18,0),"")</f>
        <v/>
      </c>
      <c r="T323" s="866"/>
    </row>
    <row r="324" ht="15.0" customHeight="1">
      <c r="A324" s="463">
        <v>1.0</v>
      </c>
      <c r="B324" s="464" t="s">
        <v>3576</v>
      </c>
      <c r="C324" s="869" t="str">
        <f>IFERROR(VLOOKUP(B324,'03. THIẾT BỊ'!$B$1:$S$836,2,0),"")</f>
        <v>XDP-CNA-001</v>
      </c>
      <c r="D324" s="470" t="str">
        <f>IFERROR(VLOOKUP(B324,'03. THIẾT BỊ'!$B$1:$S$836,3,0),"")</f>
        <v>A23-CNA-001</v>
      </c>
      <c r="E324" s="464" t="str">
        <f>IFERROR(VLOOKUP(B324,'03. THIẾT BỊ'!$B$1:$S$836,4,0),"")</f>
        <v>ĐQSD</v>
      </c>
      <c r="F324" s="464" t="str">
        <f>IFERROR(VLOOKUP(B324,'03. THIẾT BỊ'!$B$1:$S$836,5,0),"")</f>
        <v>Thiết bị cày ngầm 3 trụ</v>
      </c>
      <c r="G324" s="80" t="s">
        <v>6423</v>
      </c>
      <c r="H324" s="463" t="str">
        <f>IFERROR(VLOOKUP(B324,'03. THIẾT BỊ'!$B$1:$S$836,7,0),"")</f>
        <v>CGLĐ DP</v>
      </c>
      <c r="I324" s="474" t="str">
        <f>IFERROR(VLOOKUP(B324,'03. THIẾT BỊ'!$B$1:$S$836,8,0),"")</f>
        <v/>
      </c>
      <c r="J324" s="471"/>
      <c r="K324" s="463" t="str">
        <f>IFERROR(VLOOKUP(B324,'03. THIẾT BỊ'!$B$1:$S$836,10,0),"")</f>
        <v>Bình thường</v>
      </c>
      <c r="L324" s="468" t="str">
        <f>IFERROR(VLOOKUP(B324,'03. THIẾT BỊ'!$B$1:$S$836,11,0),"")</f>
        <v/>
      </c>
      <c r="M324" s="472" t="str">
        <f>IFERROR(VLOOKUP(B324,'03. THIẾT BỊ'!$B$1:$S$836,12,0),"")</f>
        <v/>
      </c>
      <c r="N324" s="468" t="str">
        <f>IFERROR(VLOOKUP(B324,'03. THIẾT BỊ'!$B$1:$S$836,13,0),"")</f>
        <v>TRUNG QUỐC</v>
      </c>
      <c r="O324" s="470" t="str">
        <f>IFERROR(VLOOKUP(B324,'03. THIẾT BỊ'!$B$1:$S$836,14,0),"")</f>
        <v>3 trụ</v>
      </c>
      <c r="P324" s="468" t="str">
        <f>IFERROR(VLOOKUP(B324,'03. THIẾT BỊ'!$B$1:$S$836,15,0),"")</f>
        <v>TRUNG QUỐC</v>
      </c>
      <c r="Q324" s="48" t="str">
        <f>IFERROR(VLOOKUP(B324,'03. THIẾT BỊ'!$B$1:$S$836,16,0),"")</f>
        <v/>
      </c>
      <c r="R324" s="471" t="str">
        <f>IFERROR(VLOOKUP(B324,'03. THIẾT BỊ'!$B$1:$S$836,17,0),"")</f>
        <v/>
      </c>
      <c r="S324" s="468" t="str">
        <f>IFERROR(VLOOKUP(B324,'03. THIẾT BỊ'!$B$1:$S$836,18,0),"")</f>
        <v/>
      </c>
      <c r="T324" s="812"/>
    </row>
    <row r="325" ht="15.0" customHeight="1">
      <c r="A325" s="463">
        <f t="shared" ref="A325:A331" si="16">A324+1</f>
        <v>2</v>
      </c>
      <c r="B325" s="464" t="s">
        <v>3765</v>
      </c>
      <c r="C325" s="869" t="str">
        <f>IFERROR(VLOOKUP(B325,'03. THIẾT BỊ'!$B$1:$S$836,2,0),"")</f>
        <v>CNN-CAN-003</v>
      </c>
      <c r="D325" s="470" t="str">
        <f>IFERROR(VLOOKUP(B325,'03. THIẾT BỊ'!$B$1:$S$836,3,0),"")</f>
        <v>A24-CNA-002</v>
      </c>
      <c r="E325" s="464" t="str">
        <f>IFERROR(VLOOKUP(B325,'03. THIẾT BỊ'!$B$1:$S$836,4,0),"")</f>
        <v>ĐQSD</v>
      </c>
      <c r="F325" s="464" t="str">
        <f>IFERROR(VLOOKUP(B325,'03. THIẾT BỊ'!$B$1:$S$836,5,0),"")</f>
        <v>Thiết bị cày ngầm 3 trụ</v>
      </c>
      <c r="G325" s="80" t="s">
        <v>6423</v>
      </c>
      <c r="H325" s="463" t="str">
        <f>IFERROR(VLOOKUP(B325,'03. THIẾT BỊ'!$B$1:$S$836,7,0),"")</f>
        <v>CGLĐ LP</v>
      </c>
      <c r="I325" s="474" t="str">
        <f>IFERROR(VLOOKUP(B325,'03. THIẾT BỊ'!$B$1:$S$836,8,0),"")</f>
        <v/>
      </c>
      <c r="J325" s="471"/>
      <c r="K325" s="463" t="str">
        <f>IFERROR(VLOOKUP(B325,'03. THIẾT BỊ'!$B$1:$S$836,10,0),"")</f>
        <v>Bình thường</v>
      </c>
      <c r="L325" s="468" t="str">
        <f>IFERROR(VLOOKUP(B325,'03. THIẾT BỊ'!$B$1:$S$836,11,0),"")</f>
        <v/>
      </c>
      <c r="M325" s="472" t="str">
        <f>IFERROR(VLOOKUP(B325,'03. THIẾT BỊ'!$B$1:$S$836,12,0),"")</f>
        <v/>
      </c>
      <c r="N325" s="468" t="str">
        <f>IFERROR(VLOOKUP(B325,'03. THIẾT BỊ'!$B$1:$S$836,13,0),"")</f>
        <v>CAMBODIA</v>
      </c>
      <c r="O325" s="470" t="str">
        <f>IFERROR(VLOOKUP(B325,'03. THIẾT BỊ'!$B$1:$S$836,14,0),"")</f>
        <v>3 trụ</v>
      </c>
      <c r="P325" s="468" t="str">
        <f>IFERROR(VLOOKUP(B325,'03. THIẾT BỊ'!$B$1:$S$836,15,0),"")</f>
        <v>CAMBODIA</v>
      </c>
      <c r="Q325" s="48" t="str">
        <f>IFERROR(VLOOKUP(B325,'03. THIẾT BỊ'!$B$1:$S$836,16,0),"")</f>
        <v/>
      </c>
      <c r="R325" s="471" t="str">
        <f>IFERROR(VLOOKUP(B325,'03. THIẾT BỊ'!$B$1:$S$836,17,0),"")</f>
        <v/>
      </c>
      <c r="S325" s="468" t="str">
        <f>IFERROR(VLOOKUP(B325,'03. THIẾT BỊ'!$B$1:$S$836,18,0),"")</f>
        <v/>
      </c>
      <c r="T325" s="812"/>
    </row>
    <row r="326" ht="15.0" customHeight="1">
      <c r="A326" s="463">
        <f t="shared" si="16"/>
        <v>3</v>
      </c>
      <c r="B326" s="486" t="s">
        <v>3784</v>
      </c>
      <c r="C326" s="869" t="str">
        <f>IFERROR(VLOOKUP(B326,'03. THIẾT BỊ'!$B$1:$S$836,2,0),"")</f>
        <v>CK-DCN-01</v>
      </c>
      <c r="D326" s="470" t="str">
        <f>IFERROR(VLOOKUP(B326,'03. THIẾT BỊ'!$B$1:$S$836,3,0),"")</f>
        <v>A24-CNA-004</v>
      </c>
      <c r="E326" s="464" t="str">
        <f>IFERROR(VLOOKUP(B326,'03. THIẾT BỊ'!$B$1:$S$836,4,0),"")</f>
        <v>ĐQSD</v>
      </c>
      <c r="F326" s="464" t="str">
        <f>IFERROR(VLOOKUP(B326,'03. THIẾT BỊ'!$B$1:$S$836,5,0),"")</f>
        <v>Thiết bị cày ngầm 3 trụ</v>
      </c>
      <c r="G326" s="80" t="s">
        <v>6423</v>
      </c>
      <c r="H326" s="463" t="str">
        <f>IFERROR(VLOOKUP(B326,'03. THIẾT BỊ'!$B$1:$S$836,7,0),"")</f>
        <v>CGLĐ LP</v>
      </c>
      <c r="I326" s="474">
        <f>IFERROR(VLOOKUP(B326,'03. THIẾT BỊ'!$B$1:$S$836,8,0),"")</f>
        <v>45570</v>
      </c>
      <c r="J326" s="471"/>
      <c r="K326" s="463" t="str">
        <f>IFERROR(VLOOKUP(B326,'03. THIẾT BỊ'!$B$1:$S$836,10,0),"")</f>
        <v>Bình thường</v>
      </c>
      <c r="L326" s="468" t="str">
        <f>IFERROR(VLOOKUP(B326,'03. THIẾT BỊ'!$B$1:$S$836,11,0),"")</f>
        <v>Gia công mới</v>
      </c>
      <c r="M326" s="472" t="str">
        <f>IFERROR(VLOOKUP(B326,'03. THIẾT BỊ'!$B$1:$S$836,12,0),"")</f>
        <v/>
      </c>
      <c r="N326" s="468" t="str">
        <f>IFERROR(VLOOKUP(B326,'03. THIẾT BỊ'!$B$1:$S$836,13,0),"")</f>
        <v>CAMBODIA</v>
      </c>
      <c r="O326" s="470" t="str">
        <f>IFERROR(VLOOKUP(B326,'03. THIẾT BỊ'!$B$1:$S$836,14,0),"")</f>
        <v>3 trụ</v>
      </c>
      <c r="P326" s="468" t="str">
        <f>IFERROR(VLOOKUP(B326,'03. THIẾT BỊ'!$B$1:$S$836,15,0),"")</f>
        <v>CAMBODIA</v>
      </c>
      <c r="Q326" s="48" t="str">
        <f>IFERROR(VLOOKUP(B326,'03. THIẾT BỊ'!$B$1:$S$836,16,0),"")</f>
        <v/>
      </c>
      <c r="R326" s="471" t="str">
        <f>IFERROR(VLOOKUP(B326,'03. THIẾT BỊ'!$B$1:$S$836,17,0),"")</f>
        <v>1.4*1.8*1.6</v>
      </c>
      <c r="S326" s="468" t="str">
        <f>IFERROR(VLOOKUP(B326,'03. THIẾT BỊ'!$B$1:$S$836,18,0),"")</f>
        <v/>
      </c>
      <c r="T326" s="826"/>
    </row>
    <row r="327" ht="15.0" customHeight="1">
      <c r="A327" s="463">
        <f t="shared" si="16"/>
        <v>4</v>
      </c>
      <c r="B327" s="464" t="s">
        <v>3866</v>
      </c>
      <c r="C327" s="869" t="str">
        <f>IFERROR(VLOOKUP(B327,'03. THIẾT BỊ'!$B$1:$S$836,2,0),"")</f>
        <v>CNN-CNA-001</v>
      </c>
      <c r="D327" s="470" t="str">
        <f>IFERROR(VLOOKUP(B327,'03. THIẾT BỊ'!$B$1:$S$836,3,0),"")</f>
        <v>A22-CNA-003</v>
      </c>
      <c r="E327" s="464" t="str">
        <f>IFERROR(VLOOKUP(B327,'03. THIẾT BỊ'!$B$1:$S$836,4,0),"")</f>
        <v>ĐQSD</v>
      </c>
      <c r="F327" s="464" t="str">
        <f>IFERROR(VLOOKUP(B327,'03. THIẾT BỊ'!$B$1:$S$836,5,0),"")</f>
        <v>Thiết bị cày ngầm 3 trụ</v>
      </c>
      <c r="G327" s="80" t="s">
        <v>6423</v>
      </c>
      <c r="H327" s="463" t="str">
        <f>IFERROR(VLOOKUP(B327,'03. THIẾT BỊ'!$B$1:$S$836,7,0),"")</f>
        <v>XN Bò AD</v>
      </c>
      <c r="I327" s="474" t="str">
        <f>IFERROR(VLOOKUP(B327,'03. THIẾT BỊ'!$B$1:$S$836,8,0),"")</f>
        <v/>
      </c>
      <c r="J327" s="471"/>
      <c r="K327" s="463" t="str">
        <f>IFERROR(VLOOKUP(B327,'03. THIẾT BỊ'!$B$1:$S$836,10,0),"")</f>
        <v>Bình thường</v>
      </c>
      <c r="L327" s="468" t="str">
        <f>IFERROR(VLOOKUP(B327,'03. THIẾT BỊ'!$B$1:$S$836,11,0),"")</f>
        <v/>
      </c>
      <c r="M327" s="472" t="str">
        <f>IFERROR(VLOOKUP(B327,'03. THIẾT BỊ'!$B$1:$S$836,12,0),"")</f>
        <v/>
      </c>
      <c r="N327" s="468" t="str">
        <f>IFERROR(VLOOKUP(B327,'03. THIẾT BỊ'!$B$1:$S$836,13,0),"")</f>
        <v>CAMBODIA</v>
      </c>
      <c r="O327" s="470" t="str">
        <f>IFERROR(VLOOKUP(B327,'03. THIẾT BỊ'!$B$1:$S$836,14,0),"")</f>
        <v>3 trụ</v>
      </c>
      <c r="P327" s="468" t="str">
        <f>IFERROR(VLOOKUP(B327,'03. THIẾT BỊ'!$B$1:$S$836,15,0),"")</f>
        <v>CAMBODIA</v>
      </c>
      <c r="Q327" s="48" t="str">
        <f>IFERROR(VLOOKUP(B327,'03. THIẾT BỊ'!$B$1:$S$836,16,0),"")</f>
        <v/>
      </c>
      <c r="R327" s="471" t="str">
        <f>IFERROR(VLOOKUP(B327,'03. THIẾT BỊ'!$B$1:$S$836,17,0),"")</f>
        <v/>
      </c>
      <c r="S327" s="468" t="str">
        <f>IFERROR(VLOOKUP(B327,'03. THIẾT BỊ'!$B$1:$S$836,18,0),"")</f>
        <v/>
      </c>
      <c r="T327" s="812"/>
    </row>
    <row r="328" ht="15.0" customHeight="1">
      <c r="A328" s="463">
        <f t="shared" si="16"/>
        <v>5</v>
      </c>
      <c r="B328" s="464" t="s">
        <v>3784</v>
      </c>
      <c r="C328" s="869" t="str">
        <f>IFERROR(VLOOKUP(B328,'03. THIẾT BỊ'!$B$1:$S$836,2,0),"")</f>
        <v>CK-DCN-01</v>
      </c>
      <c r="D328" s="470" t="str">
        <f>IFERROR(VLOOKUP(B328,'03. THIẾT BỊ'!$B$1:$S$836,3,0),"")</f>
        <v>A24-CNA-004</v>
      </c>
      <c r="E328" s="464" t="str">
        <f>IFERROR(VLOOKUP(B328,'03. THIẾT BỊ'!$B$1:$S$836,4,0),"")</f>
        <v>ĐQSD</v>
      </c>
      <c r="F328" s="464" t="str">
        <f>IFERROR(VLOOKUP(B328,'03. THIẾT BỊ'!$B$1:$S$836,5,0),"")</f>
        <v>Thiết bị cày ngầm 3 trụ</v>
      </c>
      <c r="G328" s="80" t="s">
        <v>6423</v>
      </c>
      <c r="H328" s="463" t="str">
        <f>IFERROR(VLOOKUP(B328,'03. THIẾT BỊ'!$B$1:$S$836,7,0),"")</f>
        <v>CGLĐ LP</v>
      </c>
      <c r="I328" s="474">
        <f>IFERROR(VLOOKUP(B328,'03. THIẾT BỊ'!$B$1:$S$836,8,0),"")</f>
        <v>45570</v>
      </c>
      <c r="J328" s="471"/>
      <c r="K328" s="463" t="str">
        <f>IFERROR(VLOOKUP(B328,'03. THIẾT BỊ'!$B$1:$S$836,10,0),"")</f>
        <v>Bình thường</v>
      </c>
      <c r="L328" s="468" t="str">
        <f>IFERROR(VLOOKUP(B328,'03. THIẾT BỊ'!$B$1:$S$836,11,0),"")</f>
        <v>Gia công mới</v>
      </c>
      <c r="M328" s="472" t="str">
        <f>IFERROR(VLOOKUP(B328,'03. THIẾT BỊ'!$B$1:$S$836,12,0),"")</f>
        <v/>
      </c>
      <c r="N328" s="468" t="str">
        <f>IFERROR(VLOOKUP(B328,'03. THIẾT BỊ'!$B$1:$S$836,13,0),"")</f>
        <v>CAMBODIA</v>
      </c>
      <c r="O328" s="470" t="str">
        <f>IFERROR(VLOOKUP(B328,'03. THIẾT BỊ'!$B$1:$S$836,14,0),"")</f>
        <v>3 trụ</v>
      </c>
      <c r="P328" s="468" t="str">
        <f>IFERROR(VLOOKUP(B328,'03. THIẾT BỊ'!$B$1:$S$836,15,0),"")</f>
        <v>CAMBODIA</v>
      </c>
      <c r="Q328" s="48" t="str">
        <f>IFERROR(VLOOKUP(B328,'03. THIẾT BỊ'!$B$1:$S$836,16,0),"")</f>
        <v/>
      </c>
      <c r="R328" s="471" t="str">
        <f>IFERROR(VLOOKUP(B328,'03. THIẾT BỊ'!$B$1:$S$836,17,0),"")</f>
        <v>1.4*1.8*1.6</v>
      </c>
      <c r="S328" s="468" t="str">
        <f>IFERROR(VLOOKUP(B328,'03. THIẾT BỊ'!$B$1:$S$836,18,0),"")</f>
        <v/>
      </c>
      <c r="T328" s="812"/>
    </row>
    <row r="329" ht="15.0" customHeight="1">
      <c r="A329" s="463">
        <f t="shared" si="16"/>
        <v>6</v>
      </c>
      <c r="B329" s="464" t="s">
        <v>3579</v>
      </c>
      <c r="C329" s="869" t="str">
        <f>IFERROR(VLOOKUP(B329,'03. THIẾT BỊ'!$B$1:$S$836,2,0),"")</f>
        <v/>
      </c>
      <c r="D329" s="470" t="str">
        <f>IFERROR(VLOOKUP(B329,'03. THIẾT BỊ'!$B$1:$S$836,3,0),"")</f>
        <v>A23-CNA-005</v>
      </c>
      <c r="E329" s="464" t="str">
        <f>IFERROR(VLOOKUP(B329,'03. THIẾT BỊ'!$B$1:$S$836,4,0),"")</f>
        <v>ĐQSD</v>
      </c>
      <c r="F329" s="464" t="str">
        <f>IFERROR(VLOOKUP(B329,'03. THIẾT BỊ'!$B$1:$S$836,5,0),"")</f>
        <v>Thiết bị cày ngầm 3 trụ</v>
      </c>
      <c r="G329" s="80" t="s">
        <v>6423</v>
      </c>
      <c r="H329" s="463" t="str">
        <f>IFERROR(VLOOKUP(B329,'03. THIẾT BỊ'!$B$1:$S$836,7,0),"")</f>
        <v>CGLĐ DP</v>
      </c>
      <c r="I329" s="474" t="str">
        <f>IFERROR(VLOOKUP(B329,'03. THIẾT BỊ'!$B$1:$S$836,8,0),"")</f>
        <v>25/12/2025</v>
      </c>
      <c r="J329" s="471"/>
      <c r="K329" s="463" t="str">
        <f>IFERROR(VLOOKUP(B329,'03. THIẾT BỊ'!$B$1:$S$836,10,0),"")</f>
        <v>Bình thường</v>
      </c>
      <c r="L329" s="468" t="str">
        <f>IFERROR(VLOOKUP(B329,'03. THIẾT BỊ'!$B$1:$S$836,11,0),"")</f>
        <v>Gia công mới</v>
      </c>
      <c r="M329" s="472" t="str">
        <f>IFERROR(VLOOKUP(B329,'03. THIẾT BỊ'!$B$1:$S$836,12,0),"")</f>
        <v/>
      </c>
      <c r="N329" s="468" t="str">
        <f>IFERROR(VLOOKUP(B329,'03. THIẾT BỊ'!$B$1:$S$836,13,0),"")</f>
        <v>THACO AGRI</v>
      </c>
      <c r="O329" s="470" t="str">
        <f>IFERROR(VLOOKUP(B329,'03. THIẾT BỊ'!$B$1:$S$836,14,0),"")</f>
        <v/>
      </c>
      <c r="P329" s="468" t="str">
        <f>IFERROR(VLOOKUP(B329,'03. THIẾT BỊ'!$B$1:$S$836,15,0),"")</f>
        <v/>
      </c>
      <c r="Q329" s="48" t="str">
        <f>IFERROR(VLOOKUP(B329,'03. THIẾT BỊ'!$B$1:$S$836,16,0),"")</f>
        <v/>
      </c>
      <c r="R329" s="471" t="str">
        <f>IFERROR(VLOOKUP(B329,'03. THIẾT BỊ'!$B$1:$S$836,17,0),"")</f>
        <v/>
      </c>
      <c r="S329" s="468" t="str">
        <f>IFERROR(VLOOKUP(B329,'03. THIẾT BỊ'!$B$1:$S$836,18,0),"")</f>
        <v/>
      </c>
      <c r="T329" s="812"/>
    </row>
    <row r="330" ht="15.0" customHeight="1">
      <c r="A330" s="463">
        <f t="shared" si="16"/>
        <v>7</v>
      </c>
      <c r="B330" s="464" t="s">
        <v>3788</v>
      </c>
      <c r="C330" s="869" t="str">
        <f>IFERROR(VLOOKUP(B330,'03. THIẾT BỊ'!$B$1:$S$836,2,0),"")</f>
        <v/>
      </c>
      <c r="D330" s="470" t="str">
        <f>IFERROR(VLOOKUP(B330,'03. THIẾT BỊ'!$B$1:$S$836,3,0),"")</f>
        <v>A24-CNA-006</v>
      </c>
      <c r="E330" s="464" t="str">
        <f>IFERROR(VLOOKUP(B330,'03. THIẾT BỊ'!$B$1:$S$836,4,0),"")</f>
        <v>ĐQSD</v>
      </c>
      <c r="F330" s="464" t="str">
        <f>IFERROR(VLOOKUP(B330,'03. THIẾT BỊ'!$B$1:$S$836,5,0),"")</f>
        <v>Thiết bị cày ngầm 3 trụ</v>
      </c>
      <c r="G330" s="80" t="s">
        <v>6423</v>
      </c>
      <c r="H330" s="463" t="str">
        <f>IFERROR(VLOOKUP(B330,'03. THIẾT BỊ'!$B$1:$S$836,7,0),"")</f>
        <v>CGLĐ LP</v>
      </c>
      <c r="I330" s="474" t="str">
        <f>IFERROR(VLOOKUP(B330,'03. THIẾT BỊ'!$B$1:$S$836,8,0),"")</f>
        <v>25/12/2025</v>
      </c>
      <c r="J330" s="471"/>
      <c r="K330" s="463" t="str">
        <f>IFERROR(VLOOKUP(B330,'03. THIẾT BỊ'!$B$1:$S$836,10,0),"")</f>
        <v>Bình thường</v>
      </c>
      <c r="L330" s="468" t="str">
        <f>IFERROR(VLOOKUP(B330,'03. THIẾT BỊ'!$B$1:$S$836,11,0),"")</f>
        <v>Gia công mới</v>
      </c>
      <c r="M330" s="472" t="str">
        <f>IFERROR(VLOOKUP(B330,'03. THIẾT BỊ'!$B$1:$S$836,12,0),"")</f>
        <v/>
      </c>
      <c r="N330" s="468" t="str">
        <f>IFERROR(VLOOKUP(B330,'03. THIẾT BỊ'!$B$1:$S$836,13,0),"")</f>
        <v>THACO AGRI</v>
      </c>
      <c r="O330" s="470" t="str">
        <f>IFERROR(VLOOKUP(B330,'03. THIẾT BỊ'!$B$1:$S$836,14,0),"")</f>
        <v/>
      </c>
      <c r="P330" s="468" t="str">
        <f>IFERROR(VLOOKUP(B330,'03. THIẾT BỊ'!$B$1:$S$836,15,0),"")</f>
        <v/>
      </c>
      <c r="Q330" s="48" t="str">
        <f>IFERROR(VLOOKUP(B330,'03. THIẾT BỊ'!$B$1:$S$836,16,0),"")</f>
        <v/>
      </c>
      <c r="R330" s="471" t="str">
        <f>IFERROR(VLOOKUP(B330,'03. THIẾT BỊ'!$B$1:$S$836,17,0),"")</f>
        <v/>
      </c>
      <c r="S330" s="468" t="str">
        <f>IFERROR(VLOOKUP(B330,'03. THIẾT BỊ'!$B$1:$S$836,18,0),"")</f>
        <v/>
      </c>
      <c r="T330" s="812"/>
    </row>
    <row r="331" ht="15.0" customHeight="1">
      <c r="A331" s="463">
        <f t="shared" si="16"/>
        <v>8</v>
      </c>
      <c r="B331" s="464" t="s">
        <v>3790</v>
      </c>
      <c r="C331" s="869" t="str">
        <f>IFERROR(VLOOKUP(B331,'03. THIẾT BỊ'!$B$1:$S$836,2,0),"")</f>
        <v/>
      </c>
      <c r="D331" s="470" t="str">
        <f>IFERROR(VLOOKUP(B331,'03. THIẾT BỊ'!$B$1:$S$836,3,0),"")</f>
        <v>A24-CNA-007</v>
      </c>
      <c r="E331" s="464" t="str">
        <f>IFERROR(VLOOKUP(B331,'03. THIẾT BỊ'!$B$1:$S$836,4,0),"")</f>
        <v>ĐQSD</v>
      </c>
      <c r="F331" s="464" t="str">
        <f>IFERROR(VLOOKUP(B331,'03. THIẾT BỊ'!$B$1:$S$836,5,0),"")</f>
        <v>Thiết bị cày ngầm 3 trụ</v>
      </c>
      <c r="G331" s="80" t="s">
        <v>6423</v>
      </c>
      <c r="H331" s="463" t="str">
        <f>IFERROR(VLOOKUP(B331,'03. THIẾT BỊ'!$B$1:$S$836,7,0),"")</f>
        <v>CGLĐ LP</v>
      </c>
      <c r="I331" s="474" t="str">
        <f>IFERROR(VLOOKUP(B331,'03. THIẾT BỊ'!$B$1:$S$836,8,0),"")</f>
        <v>21/04/2026</v>
      </c>
      <c r="J331" s="471"/>
      <c r="K331" s="463" t="str">
        <f>IFERROR(VLOOKUP(B331,'03. THIẾT BỊ'!$B$1:$S$836,10,0),"")</f>
        <v>Bình thường</v>
      </c>
      <c r="L331" s="468" t="str">
        <f>IFERROR(VLOOKUP(B331,'03. THIẾT BỊ'!$B$1:$S$836,11,0),"")</f>
        <v>Gia công mới</v>
      </c>
      <c r="M331" s="472" t="str">
        <f>IFERROR(VLOOKUP(B331,'03. THIẾT BỊ'!$B$1:$S$836,12,0),"")</f>
        <v/>
      </c>
      <c r="N331" s="468" t="str">
        <f>IFERROR(VLOOKUP(B331,'03. THIẾT BỊ'!$B$1:$S$836,13,0),"")</f>
        <v/>
      </c>
      <c r="O331" s="470" t="str">
        <f>IFERROR(VLOOKUP(B331,'03. THIẾT BỊ'!$B$1:$S$836,14,0),"")</f>
        <v/>
      </c>
      <c r="P331" s="468" t="str">
        <f>IFERROR(VLOOKUP(B331,'03. THIẾT BỊ'!$B$1:$S$836,15,0),"")</f>
        <v/>
      </c>
      <c r="Q331" s="48" t="str">
        <f>IFERROR(VLOOKUP(B331,'03. THIẾT BỊ'!$B$1:$S$836,16,0),"")</f>
        <v/>
      </c>
      <c r="R331" s="471" t="str">
        <f>IFERROR(VLOOKUP(B331,'03. THIẾT BỊ'!$B$1:$S$836,17,0),"")</f>
        <v/>
      </c>
      <c r="S331" s="468" t="str">
        <f>IFERROR(VLOOKUP(B331,'03. THIẾT BỊ'!$B$1:$S$836,18,0),"")</f>
        <v/>
      </c>
      <c r="T331" s="812"/>
    </row>
    <row r="332" ht="15.0" customHeight="1">
      <c r="A332" s="1236"/>
      <c r="B332" s="812"/>
      <c r="C332" s="869" t="str">
        <f>IFERROR(VLOOKUP(B332,'03. THIẾT BỊ'!$B$1:$S$836,2,0),"")</f>
        <v/>
      </c>
      <c r="D332" s="470" t="str">
        <f>IFERROR(VLOOKUP(B332,'03. THIẾT BỊ'!$B$1:$S$836,3,0),"")</f>
        <v/>
      </c>
      <c r="E332" s="464" t="str">
        <f>IFERROR(VLOOKUP(B332,'03. THIẾT BỊ'!$B$1:$S$836,4,0),"")</f>
        <v/>
      </c>
      <c r="F332" s="464" t="str">
        <f>IFERROR(VLOOKUP(B332,'03. THIẾT BỊ'!$B$1:$S$836,5,0),"")</f>
        <v/>
      </c>
      <c r="G332" s="80" t="s">
        <v>6423</v>
      </c>
      <c r="H332" s="463" t="str">
        <f>IFERROR(VLOOKUP(B332,'03. THIẾT BỊ'!$B$1:$S$836,7,0),"")</f>
        <v/>
      </c>
      <c r="I332" s="474" t="str">
        <f>IFERROR(VLOOKUP(B332,'03. THIẾT BỊ'!$B$1:$S$836,8,0),"")</f>
        <v/>
      </c>
      <c r="J332" s="471"/>
      <c r="K332" s="463" t="str">
        <f>IFERROR(VLOOKUP(B332,'03. THIẾT BỊ'!$B$1:$S$836,10,0),"")</f>
        <v/>
      </c>
      <c r="L332" s="468" t="str">
        <f>IFERROR(VLOOKUP(B332,'03. THIẾT BỊ'!$B$1:$S$836,11,0),"")</f>
        <v/>
      </c>
      <c r="M332" s="472" t="str">
        <f>IFERROR(VLOOKUP(B332,'03. THIẾT BỊ'!$B$1:$S$836,12,0),"")</f>
        <v/>
      </c>
      <c r="N332" s="468" t="str">
        <f>IFERROR(VLOOKUP(B332,'03. THIẾT BỊ'!$B$1:$S$836,13,0),"")</f>
        <v/>
      </c>
      <c r="O332" s="470" t="str">
        <f>IFERROR(VLOOKUP(B332,'03. THIẾT BỊ'!$B$1:$S$836,14,0),"")</f>
        <v/>
      </c>
      <c r="P332" s="468" t="str">
        <f>IFERROR(VLOOKUP(B332,'03. THIẾT BỊ'!$B$1:$S$836,15,0),"")</f>
        <v/>
      </c>
      <c r="Q332" s="48" t="str">
        <f>IFERROR(VLOOKUP(B332,'03. THIẾT BỊ'!$B$1:$S$836,16,0),"")</f>
        <v/>
      </c>
      <c r="R332" s="471" t="str">
        <f>IFERROR(VLOOKUP(B332,'03. THIẾT BỊ'!$B$1:$S$836,17,0),"")</f>
        <v/>
      </c>
      <c r="S332" s="468" t="str">
        <f>IFERROR(VLOOKUP(B332,'03. THIẾT BỊ'!$B$1:$S$836,18,0),"")</f>
        <v/>
      </c>
      <c r="T332" s="812"/>
    </row>
    <row r="333" ht="15.0" customHeight="1">
      <c r="A333" s="455" t="s">
        <v>76</v>
      </c>
      <c r="B333" s="456" t="s">
        <v>8697</v>
      </c>
      <c r="C333" s="457">
        <f>COUNTA(B334:B337)</f>
        <v>3</v>
      </c>
      <c r="D333" s="458" t="str">
        <f>IFERROR(VLOOKUP(B333,'03. THIẾT BỊ'!$B$1:$S$836,3,0),"")</f>
        <v/>
      </c>
      <c r="E333" s="464" t="str">
        <f>IFERROR(VLOOKUP(B333,'03. THIẾT BỊ'!$B$1:$S$836,4,0),"")</f>
        <v/>
      </c>
      <c r="F333" s="458" t="str">
        <f>IFERROR(VLOOKUP(B333,'03. THIẾT BỊ'!$B$1:$S$836,5,0),"")</f>
        <v/>
      </c>
      <c r="G333" s="459" t="s">
        <v>6423</v>
      </c>
      <c r="H333" s="459" t="str">
        <f>IFERROR(VLOOKUP(B333,'03. THIẾT BỊ'!$B$1:$S$836,7,0),"")</f>
        <v/>
      </c>
      <c r="I333" s="457" t="str">
        <f>IFERROR(VLOOKUP(B333,'03. THIẾT BỊ'!$B$1:$S$836,8,0),"")</f>
        <v/>
      </c>
      <c r="J333" s="460"/>
      <c r="K333" s="457" t="str">
        <f>IFERROR(VLOOKUP(B333,'03. THIẾT BỊ'!$B$1:$S$836,10,0),"")</f>
        <v/>
      </c>
      <c r="L333" s="458" t="str">
        <f>IFERROR(VLOOKUP(B333,'03. THIẾT BỊ'!$B$1:$S$836,11,0),"")</f>
        <v/>
      </c>
      <c r="M333" s="461" t="str">
        <f>IFERROR(VLOOKUP(B333,'03. THIẾT BỊ'!$B$1:$S$836,12,0),"")</f>
        <v/>
      </c>
      <c r="N333" s="458" t="str">
        <f>IFERROR(VLOOKUP(B333,'03. THIẾT BỊ'!$B$1:$S$836,13,0),"")</f>
        <v/>
      </c>
      <c r="O333" s="461" t="str">
        <f>IFERROR(VLOOKUP(B333,'03. THIẾT BỊ'!$B$1:$S$836,14,0),"")</f>
        <v/>
      </c>
      <c r="P333" s="458" t="str">
        <f>IFERROR(VLOOKUP(B333,'03. THIẾT BỊ'!$B$1:$S$836,15,0),"")</f>
        <v/>
      </c>
      <c r="Q333" s="459" t="str">
        <f>IFERROR(VLOOKUP(B333,'03. THIẾT BỊ'!$B$1:$S$836,16,0),"")</f>
        <v/>
      </c>
      <c r="R333" s="458" t="str">
        <f>IFERROR(VLOOKUP(B333,'03. THIẾT BỊ'!$B$1:$S$836,17,0),"")</f>
        <v/>
      </c>
      <c r="S333" s="458" t="str">
        <f>IFERROR(VLOOKUP(B333,'03. THIẾT BỊ'!$B$1:$S$836,18,0),"")</f>
        <v/>
      </c>
      <c r="T333" s="866"/>
    </row>
    <row r="334" ht="15.0" customHeight="1">
      <c r="A334" s="463">
        <v>1.0</v>
      </c>
      <c r="B334" s="464" t="s">
        <v>3614</v>
      </c>
      <c r="C334" s="869" t="str">
        <f>IFERROR(VLOOKUP(B334,'03. THIẾT BỊ'!$B$1:$S$836,2,0),"")</f>
        <v/>
      </c>
      <c r="D334" s="470" t="str">
        <f>IFERROR(VLOOKUP(B334,'03. THIẾT BỊ'!$B$1:$S$836,3,0),"")</f>
        <v>A23-TBG-001</v>
      </c>
      <c r="E334" s="464" t="str">
        <f>IFERROR(VLOOKUP(B334,'03. THIẾT BỊ'!$B$1:$S$836,4,0),"")</f>
        <v>ĐQSD</v>
      </c>
      <c r="F334" s="464" t="str">
        <f>IFERROR(VLOOKUP(B334,'03. THIẾT BỊ'!$B$1:$S$836,5,0),"")</f>
        <v>Thiết bị gom gốc gắn máy kéo</v>
      </c>
      <c r="G334" s="80" t="s">
        <v>6423</v>
      </c>
      <c r="H334" s="463" t="str">
        <f>IFERROR(VLOOKUP(B334,'03. THIẾT BỊ'!$B$1:$S$836,7,0),"")</f>
        <v>CGLĐ DP</v>
      </c>
      <c r="I334" s="474" t="str">
        <f>IFERROR(VLOOKUP(B334,'03. THIẾT BỊ'!$B$1:$S$836,8,0),"")</f>
        <v>23/12/2023</v>
      </c>
      <c r="J334" s="471"/>
      <c r="K334" s="463" t="str">
        <f>IFERROR(VLOOKUP(B334,'03. THIẾT BỊ'!$B$1:$S$836,10,0),"")</f>
        <v>Bình thường</v>
      </c>
      <c r="L334" s="468" t="str">
        <f>IFERROR(VLOOKUP(B334,'03. THIẾT BỊ'!$B$1:$S$836,11,0),"")</f>
        <v>Xưởng CK bàn giao</v>
      </c>
      <c r="M334" s="472" t="str">
        <f>IFERROR(VLOOKUP(B334,'03. THIẾT BỊ'!$B$1:$S$836,12,0),"")</f>
        <v/>
      </c>
      <c r="N334" s="468" t="str">
        <f>IFERROR(VLOOKUP(B334,'03. THIẾT BỊ'!$B$1:$S$836,13,0),"")</f>
        <v>THACO AGRI</v>
      </c>
      <c r="O334" s="470" t="str">
        <f>IFERROR(VLOOKUP(B334,'03. THIẾT BỊ'!$B$1:$S$836,14,0),"")</f>
        <v/>
      </c>
      <c r="P334" s="468" t="str">
        <f>IFERROR(VLOOKUP(B334,'03. THIẾT BỊ'!$B$1:$S$836,15,0),"")</f>
        <v>CK-CGH</v>
      </c>
      <c r="Q334" s="48" t="str">
        <f>IFERROR(VLOOKUP(B334,'03. THIẾT BỊ'!$B$1:$S$836,16,0),"")</f>
        <v/>
      </c>
      <c r="R334" s="471" t="str">
        <f>IFERROR(VLOOKUP(B334,'03. THIẾT BỊ'!$B$1:$S$836,17,0),"")</f>
        <v>1.8x3x1.5</v>
      </c>
      <c r="S334" s="468" t="str">
        <f>IFERROR(VLOOKUP(B334,'03. THIẾT BỊ'!$B$1:$S$836,18,0),"")</f>
        <v/>
      </c>
      <c r="T334" s="812"/>
    </row>
    <row r="335" ht="15.0" customHeight="1">
      <c r="A335" s="463">
        <v>2.0</v>
      </c>
      <c r="B335" s="464" t="s">
        <v>3771</v>
      </c>
      <c r="C335" s="869" t="str">
        <f>IFERROR(VLOOKUP(B335,'03. THIẾT BỊ'!$B$1:$S$836,2,0),"")</f>
        <v/>
      </c>
      <c r="D335" s="470" t="str">
        <f>IFERROR(VLOOKUP(B335,'03. THIẾT BỊ'!$B$1:$S$836,3,0),"")</f>
        <v>A24-TBG-002</v>
      </c>
      <c r="E335" s="464" t="str">
        <f>IFERROR(VLOOKUP(B335,'03. THIẾT BỊ'!$B$1:$S$836,4,0),"")</f>
        <v>ĐQSD</v>
      </c>
      <c r="F335" s="464" t="str">
        <f>IFERROR(VLOOKUP(B335,'03. THIẾT BỊ'!$B$1:$S$836,5,0),"")</f>
        <v>Thiết bị gom gốc gắn máy kéo</v>
      </c>
      <c r="G335" s="80" t="s">
        <v>6423</v>
      </c>
      <c r="H335" s="463" t="str">
        <f>IFERROR(VLOOKUP(B335,'03. THIẾT BỊ'!$B$1:$S$836,7,0),"")</f>
        <v>CGLĐ LP</v>
      </c>
      <c r="I335" s="474" t="str">
        <f>IFERROR(VLOOKUP(B335,'03. THIẾT BỊ'!$B$1:$S$836,8,0),"")</f>
        <v>23/12/2023</v>
      </c>
      <c r="J335" s="471"/>
      <c r="K335" s="463" t="str">
        <f>IFERROR(VLOOKUP(B335,'03. THIẾT BỊ'!$B$1:$S$836,10,0),"")</f>
        <v>Bình thường</v>
      </c>
      <c r="L335" s="468" t="str">
        <f>IFERROR(VLOOKUP(B335,'03. THIẾT BỊ'!$B$1:$S$836,11,0),"")</f>
        <v>Xưởng CK bàn giao</v>
      </c>
      <c r="M335" s="472" t="str">
        <f>IFERROR(VLOOKUP(B335,'03. THIẾT BỊ'!$B$1:$S$836,12,0),"")</f>
        <v/>
      </c>
      <c r="N335" s="468" t="str">
        <f>IFERROR(VLOOKUP(B335,'03. THIẾT BỊ'!$B$1:$S$836,13,0),"")</f>
        <v>THACO AGRI</v>
      </c>
      <c r="O335" s="470" t="str">
        <f>IFERROR(VLOOKUP(B335,'03. THIẾT BỊ'!$B$1:$S$836,14,0),"")</f>
        <v/>
      </c>
      <c r="P335" s="468" t="str">
        <f>IFERROR(VLOOKUP(B335,'03. THIẾT BỊ'!$B$1:$S$836,15,0),"")</f>
        <v>CK-CGH</v>
      </c>
      <c r="Q335" s="48" t="str">
        <f>IFERROR(VLOOKUP(B335,'03. THIẾT BỊ'!$B$1:$S$836,16,0),"")</f>
        <v/>
      </c>
      <c r="R335" s="471" t="str">
        <f>IFERROR(VLOOKUP(B335,'03. THIẾT BỊ'!$B$1:$S$836,17,0),"")</f>
        <v>1.8x3x1.5</v>
      </c>
      <c r="S335" s="468" t="str">
        <f>IFERROR(VLOOKUP(B335,'03. THIẾT BỊ'!$B$1:$S$836,18,0),"")</f>
        <v/>
      </c>
      <c r="T335" s="812"/>
    </row>
    <row r="336" ht="15.0" customHeight="1">
      <c r="A336" s="463">
        <v>3.0</v>
      </c>
      <c r="B336" s="467" t="s">
        <v>7130</v>
      </c>
      <c r="C336" s="869" t="str">
        <f>IFERROR(VLOOKUP(B336,'03. THIẾT BỊ'!$B$1:$S$836,2,0),"")</f>
        <v/>
      </c>
      <c r="D336" s="470" t="str">
        <f>IFERROR(VLOOKUP(B336,'03. THIẾT BỊ'!$B$1:$S$836,3,0),"")</f>
        <v/>
      </c>
      <c r="E336" s="464" t="str">
        <f>IFERROR(VLOOKUP(B336,'03. THIẾT BỊ'!$B$1:$S$836,4,0),"")</f>
        <v/>
      </c>
      <c r="F336" s="464" t="str">
        <f>IFERROR(VLOOKUP(B336,'03. THIẾT BỊ'!$B$1:$S$836,5,0),"")</f>
        <v/>
      </c>
      <c r="G336" s="80" t="s">
        <v>6423</v>
      </c>
      <c r="H336" s="463" t="str">
        <f>IFERROR(VLOOKUP(B336,'03. THIẾT BỊ'!$B$1:$S$836,7,0),"")</f>
        <v/>
      </c>
      <c r="I336" s="474" t="str">
        <f>IFERROR(VLOOKUP(B336,'03. THIẾT BỊ'!$B$1:$S$836,8,0),"")</f>
        <v/>
      </c>
      <c r="J336" s="471"/>
      <c r="K336" s="463" t="str">
        <f>IFERROR(VLOOKUP(B336,'03. THIẾT BỊ'!$B$1:$S$836,10,0),"")</f>
        <v/>
      </c>
      <c r="L336" s="468" t="str">
        <f>IFERROR(VLOOKUP(B336,'03. THIẾT BỊ'!$B$1:$S$836,11,0),"")</f>
        <v/>
      </c>
      <c r="M336" s="472" t="str">
        <f>IFERROR(VLOOKUP(B336,'03. THIẾT BỊ'!$B$1:$S$836,12,0),"")</f>
        <v/>
      </c>
      <c r="N336" s="468" t="str">
        <f>IFERROR(VLOOKUP(B336,'03. THIẾT BỊ'!$B$1:$S$836,13,0),"")</f>
        <v/>
      </c>
      <c r="O336" s="470" t="str">
        <f>IFERROR(VLOOKUP(B336,'03. THIẾT BỊ'!$B$1:$S$836,14,0),"")</f>
        <v/>
      </c>
      <c r="P336" s="468" t="str">
        <f>IFERROR(VLOOKUP(B336,'03. THIẾT BỊ'!$B$1:$S$836,15,0),"")</f>
        <v/>
      </c>
      <c r="Q336" s="48" t="str">
        <f>IFERROR(VLOOKUP(B336,'03. THIẾT BỊ'!$B$1:$S$836,16,0),"")</f>
        <v/>
      </c>
      <c r="R336" s="471" t="str">
        <f>IFERROR(VLOOKUP(B336,'03. THIẾT BỊ'!$B$1:$S$836,17,0),"")</f>
        <v/>
      </c>
      <c r="S336" s="468" t="str">
        <f>IFERROR(VLOOKUP(B336,'03. THIẾT BỊ'!$B$1:$S$836,18,0),"")</f>
        <v/>
      </c>
      <c r="T336" s="812"/>
    </row>
    <row r="337" ht="15.0" customHeight="1">
      <c r="A337" s="463"/>
      <c r="B337" s="464"/>
      <c r="C337" s="869" t="str">
        <f>IFERROR(VLOOKUP(B337,'03. THIẾT BỊ'!$B$1:$S$836,2,0),"")</f>
        <v/>
      </c>
      <c r="D337" s="470" t="str">
        <f>IFERROR(VLOOKUP(B337,'03. THIẾT BỊ'!$B$1:$S$836,3,0),"")</f>
        <v/>
      </c>
      <c r="E337" s="464" t="str">
        <f>IFERROR(VLOOKUP(B337,'03. THIẾT BỊ'!$B$1:$S$836,4,0),"")</f>
        <v/>
      </c>
      <c r="F337" s="464" t="str">
        <f>IFERROR(VLOOKUP(B337,'03. THIẾT BỊ'!$B$1:$S$836,5,0),"")</f>
        <v/>
      </c>
      <c r="G337" s="80" t="s">
        <v>6423</v>
      </c>
      <c r="H337" s="463" t="str">
        <f>IFERROR(VLOOKUP(B337,'03. THIẾT BỊ'!$B$1:$S$836,7,0),"")</f>
        <v/>
      </c>
      <c r="I337" s="474" t="str">
        <f>IFERROR(VLOOKUP(B337,'03. THIẾT BỊ'!$B$1:$S$836,8,0),"")</f>
        <v/>
      </c>
      <c r="J337" s="471"/>
      <c r="K337" s="463" t="str">
        <f>IFERROR(VLOOKUP(B337,'03. THIẾT BỊ'!$B$1:$S$836,10,0),"")</f>
        <v/>
      </c>
      <c r="L337" s="468" t="str">
        <f>IFERROR(VLOOKUP(B337,'03. THIẾT BỊ'!$B$1:$S$836,11,0),"")</f>
        <v/>
      </c>
      <c r="M337" s="472" t="str">
        <f>IFERROR(VLOOKUP(B337,'03. THIẾT BỊ'!$B$1:$S$836,12,0),"")</f>
        <v/>
      </c>
      <c r="N337" s="468" t="str">
        <f>IFERROR(VLOOKUP(B337,'03. THIẾT BỊ'!$B$1:$S$836,13,0),"")</f>
        <v/>
      </c>
      <c r="O337" s="470" t="str">
        <f>IFERROR(VLOOKUP(B337,'03. THIẾT BỊ'!$B$1:$S$836,14,0),"")</f>
        <v/>
      </c>
      <c r="P337" s="468" t="str">
        <f>IFERROR(VLOOKUP(B337,'03. THIẾT BỊ'!$B$1:$S$836,15,0),"")</f>
        <v/>
      </c>
      <c r="Q337" s="48" t="str">
        <f>IFERROR(VLOOKUP(B337,'03. THIẾT BỊ'!$B$1:$S$836,16,0),"")</f>
        <v/>
      </c>
      <c r="R337" s="471" t="str">
        <f>IFERROR(VLOOKUP(B337,'03. THIẾT BỊ'!$B$1:$S$836,17,0),"")</f>
        <v/>
      </c>
      <c r="S337" s="468" t="str">
        <f>IFERROR(VLOOKUP(B337,'03. THIẾT BỊ'!$B$1:$S$836,18,0),"")</f>
        <v/>
      </c>
      <c r="T337" s="812"/>
    </row>
    <row r="338" ht="15.0" customHeight="1">
      <c r="A338" s="455" t="s">
        <v>76</v>
      </c>
      <c r="B338" s="456" t="s">
        <v>8698</v>
      </c>
      <c r="C338" s="457">
        <f>COUNTA(B339:B363)</f>
        <v>24</v>
      </c>
      <c r="D338" s="458" t="str">
        <f>IFERROR(VLOOKUP(B338,'03. THIẾT BỊ'!$B$1:$S$836,3,0),"")</f>
        <v/>
      </c>
      <c r="E338" s="464" t="str">
        <f>IFERROR(VLOOKUP(B338,'03. THIẾT BỊ'!$B$1:$S$836,4,0),"")</f>
        <v/>
      </c>
      <c r="F338" s="458" t="str">
        <f>IFERROR(VLOOKUP(B338,'03. THIẾT BỊ'!$B$1:$S$836,5,0),"")</f>
        <v/>
      </c>
      <c r="G338" s="459" t="s">
        <v>6423</v>
      </c>
      <c r="H338" s="459" t="str">
        <f>IFERROR(VLOOKUP(B338,'03. THIẾT BỊ'!$B$1:$S$836,7,0),"")</f>
        <v/>
      </c>
      <c r="I338" s="457" t="str">
        <f>IFERROR(VLOOKUP(B338,'03. THIẾT BỊ'!$B$1:$S$836,8,0),"")</f>
        <v/>
      </c>
      <c r="J338" s="460"/>
      <c r="K338" s="457" t="str">
        <f>IFERROR(VLOOKUP(B338,'03. THIẾT BỊ'!$B$1:$S$836,10,0),"")</f>
        <v/>
      </c>
      <c r="L338" s="458" t="str">
        <f>IFERROR(VLOOKUP(B338,'03. THIẾT BỊ'!$B$1:$S$836,11,0),"")</f>
        <v/>
      </c>
      <c r="M338" s="461" t="str">
        <f>IFERROR(VLOOKUP(B338,'03. THIẾT BỊ'!$B$1:$S$836,12,0),"")</f>
        <v/>
      </c>
      <c r="N338" s="458" t="str">
        <f>IFERROR(VLOOKUP(B338,'03. THIẾT BỊ'!$B$1:$S$836,13,0),"")</f>
        <v/>
      </c>
      <c r="O338" s="461" t="str">
        <f>IFERROR(VLOOKUP(B338,'03. THIẾT BỊ'!$B$1:$S$836,14,0),"")</f>
        <v/>
      </c>
      <c r="P338" s="458" t="str">
        <f>IFERROR(VLOOKUP(B338,'03. THIẾT BỊ'!$B$1:$S$836,15,0),"")</f>
        <v/>
      </c>
      <c r="Q338" s="459" t="str">
        <f>IFERROR(VLOOKUP(B338,'03. THIẾT BỊ'!$B$1:$S$836,16,0),"")</f>
        <v/>
      </c>
      <c r="R338" s="458" t="str">
        <f>IFERROR(VLOOKUP(B338,'03. THIẾT BỊ'!$B$1:$S$836,17,0),"")</f>
        <v/>
      </c>
      <c r="S338" s="458" t="str">
        <f>IFERROR(VLOOKUP(B338,'03. THIẾT BỊ'!$B$1:$S$836,18,0),"")</f>
        <v/>
      </c>
      <c r="T338" s="866"/>
    </row>
    <row r="339" ht="15.0" customHeight="1">
      <c r="A339" s="463">
        <v>1.0</v>
      </c>
      <c r="B339" s="464" t="s">
        <v>3810</v>
      </c>
      <c r="C339" s="869" t="str">
        <f>IFERROR(VLOOKUP(B339,'03. THIẾT BỊ'!$B$1:$S$836,2,0),"")</f>
        <v/>
      </c>
      <c r="D339" s="470" t="str">
        <f>IFERROR(VLOOKUP(B339,'03. THIẾT BỊ'!$B$1:$S$836,3,0),"")</f>
        <v>A24-C1B-002</v>
      </c>
      <c r="E339" s="464" t="str">
        <f>IFERROR(VLOOKUP(B339,'03. THIẾT BỊ'!$B$1:$S$836,4,0),"")</f>
        <v>ĐQSD</v>
      </c>
      <c r="F339" s="464" t="str">
        <f>IFERROR(VLOOKUP(B339,'03. THIẾT BỊ'!$B$1:$S$836,5,0),"")</f>
        <v>Thiết bị cắt cỏ 1 bên </v>
      </c>
      <c r="G339" s="80" t="s">
        <v>6423</v>
      </c>
      <c r="H339" s="463" t="str">
        <f>IFERROR(VLOOKUP(B339,'03. THIẾT BỊ'!$B$1:$S$836,7,0),"")</f>
        <v>CGLĐ LP</v>
      </c>
      <c r="I339" s="474" t="str">
        <f>IFERROR(VLOOKUP(B339,'03. THIẾT BỊ'!$B$1:$S$836,8,0),"")</f>
        <v>14/01/2025</v>
      </c>
      <c r="J339" s="471"/>
      <c r="K339" s="463" t="str">
        <f>IFERROR(VLOOKUP(B339,'03. THIẾT BỊ'!$B$1:$S$836,10,0),"")</f>
        <v>Bình thường</v>
      </c>
      <c r="L339" s="468" t="str">
        <f>IFERROR(VLOOKUP(B339,'03. THIẾT BỊ'!$B$1:$S$836,11,0),"")</f>
        <v>Đầu tư mới</v>
      </c>
      <c r="M339" s="472" t="str">
        <f>IFERROR(VLOOKUP(B339,'03. THIẾT BỊ'!$B$1:$S$836,12,0),"")</f>
        <v/>
      </c>
      <c r="N339" s="468" t="str">
        <f>IFERROR(VLOOKUP(B339,'03. THIẾT BỊ'!$B$1:$S$836,13,0),"")</f>
        <v>GATTINI</v>
      </c>
      <c r="O339" s="470" t="str">
        <f>IFERROR(VLOOKUP(B339,'03. THIẾT BỊ'!$B$1:$S$836,14,0),"")</f>
        <v>Flail Mower 1800mm</v>
      </c>
      <c r="P339" s="468" t="str">
        <f>IFERROR(VLOOKUP(B339,'03. THIẾT BỊ'!$B$1:$S$836,15,0),"")</f>
        <v>CHINA</v>
      </c>
      <c r="Q339" s="48">
        <f>IFERROR(VLOOKUP(B339,'03. THIẾT BỊ'!$B$1:$S$836,16,0),"")</f>
        <v>2024</v>
      </c>
      <c r="R339" s="471" t="str">
        <f>IFERROR(VLOOKUP(B339,'03. THIẾT BỊ'!$B$1:$S$836,17,0),"")</f>
        <v/>
      </c>
      <c r="S339" s="468">
        <f>IFERROR(VLOOKUP(B339,'03. THIẾT BỊ'!$B$1:$S$836,18,0),"")</f>
        <v>202400390003</v>
      </c>
      <c r="T339" s="807"/>
    </row>
    <row r="340" ht="15.0" customHeight="1">
      <c r="A340" s="463">
        <f t="shared" ref="A340:A352" si="17">A339+1</f>
        <v>2</v>
      </c>
      <c r="B340" s="464" t="s">
        <v>4929</v>
      </c>
      <c r="C340" s="869" t="str">
        <f>IFERROR(VLOOKUP(B340,'03. THIẾT BỊ'!$B$1:$S$836,2,0),"")</f>
        <v>CNN-C1B-001</v>
      </c>
      <c r="D340" s="470" t="str">
        <f>IFERROR(VLOOKUP(B340,'03. THIẾT BỊ'!$B$1:$S$836,3,0),"")</f>
        <v>A23-C1B-001</v>
      </c>
      <c r="E340" s="464" t="str">
        <f>IFERROR(VLOOKUP(B340,'03. THIẾT BỊ'!$B$1:$S$836,4,0),"")</f>
        <v>ĐQSD</v>
      </c>
      <c r="F340" s="464" t="str">
        <f>IFERROR(VLOOKUP(B340,'03. THIẾT BỊ'!$B$1:$S$836,5,0),"")</f>
        <v>Thiết bị cắt cỏ 1 bên </v>
      </c>
      <c r="G340" s="80" t="s">
        <v>6423</v>
      </c>
      <c r="H340" s="463" t="str">
        <f>IFERROR(VLOOKUP(B340,'03. THIẾT BỊ'!$B$1:$S$836,7,0),"")</f>
        <v>Xoài AD</v>
      </c>
      <c r="I340" s="474" t="str">
        <f>IFERROR(VLOOKUP(B340,'03. THIẾT BỊ'!$B$1:$S$836,8,0),"")</f>
        <v>14/01/2025</v>
      </c>
      <c r="J340" s="471"/>
      <c r="K340" s="463" t="str">
        <f>IFERROR(VLOOKUP(B340,'03. THIẾT BỊ'!$B$1:$S$836,10,0),"")</f>
        <v>Bình thường</v>
      </c>
      <c r="L340" s="468" t="str">
        <f>IFERROR(VLOOKUP(B340,'03. THIẾT BỊ'!$B$1:$S$836,11,0),"")</f>
        <v>CGLĐ DP đchuyen 16/04/2025</v>
      </c>
      <c r="M340" s="472" t="str">
        <f>IFERROR(VLOOKUP(B340,'03. THIẾT BỊ'!$B$1:$S$836,12,0),"")</f>
        <v>Đầu tư mới</v>
      </c>
      <c r="N340" s="468" t="str">
        <f>IFERROR(VLOOKUP(B340,'03. THIẾT BỊ'!$B$1:$S$836,13,0),"")</f>
        <v>GATTINI</v>
      </c>
      <c r="O340" s="470" t="str">
        <f>IFERROR(VLOOKUP(B340,'03. THIẾT BỊ'!$B$1:$S$836,14,0),"")</f>
        <v>BCRLI180</v>
      </c>
      <c r="P340" s="468" t="str">
        <f>IFERROR(VLOOKUP(B340,'03. THIẾT BỊ'!$B$1:$S$836,15,0),"")</f>
        <v>CHINA</v>
      </c>
      <c r="Q340" s="48">
        <f>IFERROR(VLOOKUP(B340,'03. THIẾT BỊ'!$B$1:$S$836,16,0),"")</f>
        <v>2024</v>
      </c>
      <c r="R340" s="471" t="str">
        <f>IFERROR(VLOOKUP(B340,'03. THIẾT BỊ'!$B$1:$S$836,17,0),"")</f>
        <v/>
      </c>
      <c r="S340" s="468">
        <f>IFERROR(VLOOKUP(B340,'03. THIẾT BỊ'!$B$1:$S$836,18,0),"")</f>
        <v>202400390001</v>
      </c>
      <c r="T340" s="812"/>
    </row>
    <row r="341" ht="15.0" customHeight="1">
      <c r="A341" s="463">
        <f t="shared" si="17"/>
        <v>3</v>
      </c>
      <c r="B341" s="464" t="s">
        <v>4834</v>
      </c>
      <c r="C341" s="869" t="str">
        <f>IFERROR(VLOOKUP(B341,'03. THIẾT BỊ'!$B$1:$S$836,2,0),"")</f>
        <v>CC02</v>
      </c>
      <c r="D341" s="470" t="str">
        <f>IFERROR(VLOOKUP(B341,'03. THIẾT BỊ'!$B$1:$S$836,3,0),"")</f>
        <v>A22-CCO-001</v>
      </c>
      <c r="E341" s="464" t="str">
        <f>IFERROR(VLOOKUP(B341,'03. THIẾT BỊ'!$B$1:$S$836,4,0),"")</f>
        <v>ĐQSD</v>
      </c>
      <c r="F341" s="464" t="str">
        <f>IFERROR(VLOOKUP(B341,'03. THIẾT BỊ'!$B$1:$S$836,5,0),"")</f>
        <v>Thiết bị phay cỏ</v>
      </c>
      <c r="G341" s="80" t="s">
        <v>6423</v>
      </c>
      <c r="H341" s="463" t="str">
        <f>IFERROR(VLOOKUP(B341,'03. THIẾT BỊ'!$B$1:$S$836,7,0),"")</f>
        <v>Xoài AD</v>
      </c>
      <c r="I341" s="474" t="str">
        <f>IFERROR(VLOOKUP(B341,'03. THIẾT BỊ'!$B$1:$S$836,8,0),"")</f>
        <v/>
      </c>
      <c r="J341" s="471"/>
      <c r="K341" s="463" t="str">
        <f>IFERROR(VLOOKUP(B341,'03. THIẾT BỊ'!$B$1:$S$836,10,0),"")</f>
        <v>Bình thường</v>
      </c>
      <c r="L341" s="468" t="str">
        <f>IFERROR(VLOOKUP(B341,'03. THIẾT BỊ'!$B$1:$S$836,11,0),"")</f>
        <v/>
      </c>
      <c r="M341" s="472" t="str">
        <f>IFERROR(VLOOKUP(B341,'03. THIẾT BỊ'!$B$1:$S$836,12,0),"")</f>
        <v/>
      </c>
      <c r="N341" s="468" t="str">
        <f>IFERROR(VLOOKUP(B341,'03. THIẾT BỊ'!$B$1:$S$836,13,0),"")</f>
        <v>CAMBODIA</v>
      </c>
      <c r="O341" s="470" t="str">
        <f>IFERROR(VLOOKUP(B341,'03. THIẾT BỊ'!$B$1:$S$836,14,0),"")</f>
        <v>SM140</v>
      </c>
      <c r="P341" s="468" t="str">
        <f>IFERROR(VLOOKUP(B341,'03. THIẾT BỊ'!$B$1:$S$836,15,0),"")</f>
        <v>CAMBODIA</v>
      </c>
      <c r="Q341" s="48" t="str">
        <f>IFERROR(VLOOKUP(B341,'03. THIẾT BỊ'!$B$1:$S$836,16,0),"")</f>
        <v/>
      </c>
      <c r="R341" s="471" t="str">
        <f>IFERROR(VLOOKUP(B341,'03. THIẾT BỊ'!$B$1:$S$836,17,0),"")</f>
        <v/>
      </c>
      <c r="S341" s="468" t="str">
        <f>IFERROR(VLOOKUP(B341,'03. THIẾT BỊ'!$B$1:$S$836,18,0),"")</f>
        <v>SM140</v>
      </c>
      <c r="T341" s="959"/>
    </row>
    <row r="342" ht="15.0" customHeight="1">
      <c r="A342" s="463">
        <f t="shared" si="17"/>
        <v>4</v>
      </c>
      <c r="B342" s="464" t="s">
        <v>4840</v>
      </c>
      <c r="C342" s="869" t="str">
        <f>IFERROR(VLOOKUP(B342,'03. THIẾT BỊ'!$B$1:$S$836,2,0),"")</f>
        <v>CC03</v>
      </c>
      <c r="D342" s="470" t="str">
        <f>IFERROR(VLOOKUP(B342,'03. THIẾT BỊ'!$B$1:$S$836,3,0),"")</f>
        <v>A22-CCO-002</v>
      </c>
      <c r="E342" s="464" t="str">
        <f>IFERROR(VLOOKUP(B342,'03. THIẾT BỊ'!$B$1:$S$836,4,0),"")</f>
        <v>ĐQSD</v>
      </c>
      <c r="F342" s="464" t="str">
        <f>IFERROR(VLOOKUP(B342,'03. THIẾT BỊ'!$B$1:$S$836,5,0),"")</f>
        <v>Thiết bị phay cỏ</v>
      </c>
      <c r="G342" s="80" t="s">
        <v>6423</v>
      </c>
      <c r="H342" s="463" t="str">
        <f>IFERROR(VLOOKUP(B342,'03. THIẾT BỊ'!$B$1:$S$836,7,0),"")</f>
        <v>Xoài AD</v>
      </c>
      <c r="I342" s="474" t="str">
        <f>IFERROR(VLOOKUP(B342,'03. THIẾT BỊ'!$B$1:$S$836,8,0),"")</f>
        <v/>
      </c>
      <c r="J342" s="471"/>
      <c r="K342" s="463" t="str">
        <f>IFERROR(VLOOKUP(B342,'03. THIẾT BỊ'!$B$1:$S$836,10,0),"")</f>
        <v>Bình thường</v>
      </c>
      <c r="L342" s="468" t="str">
        <f>IFERROR(VLOOKUP(B342,'03. THIẾT BỊ'!$B$1:$S$836,11,0),"")</f>
        <v/>
      </c>
      <c r="M342" s="472" t="str">
        <f>IFERROR(VLOOKUP(B342,'03. THIẾT BỊ'!$B$1:$S$836,12,0),"")</f>
        <v/>
      </c>
      <c r="N342" s="468" t="str">
        <f>IFERROR(VLOOKUP(B342,'03. THIẾT BỊ'!$B$1:$S$836,13,0),"")</f>
        <v>CAMBODIA</v>
      </c>
      <c r="O342" s="470" t="str">
        <f>IFERROR(VLOOKUP(B342,'03. THIẾT BỊ'!$B$1:$S$836,14,0),"")</f>
        <v>SM140</v>
      </c>
      <c r="P342" s="468" t="str">
        <f>IFERROR(VLOOKUP(B342,'03. THIẾT BỊ'!$B$1:$S$836,15,0),"")</f>
        <v>CAMBODIA</v>
      </c>
      <c r="Q342" s="48" t="str">
        <f>IFERROR(VLOOKUP(B342,'03. THIẾT BỊ'!$B$1:$S$836,16,0),"")</f>
        <v/>
      </c>
      <c r="R342" s="471" t="str">
        <f>IFERROR(VLOOKUP(B342,'03. THIẾT BỊ'!$B$1:$S$836,17,0),"")</f>
        <v/>
      </c>
      <c r="S342" s="468" t="str">
        <f>IFERROR(VLOOKUP(B342,'03. THIẾT BỊ'!$B$1:$S$836,18,0),"")</f>
        <v>SM140</v>
      </c>
      <c r="T342" s="959"/>
    </row>
    <row r="343" ht="15.0" customHeight="1">
      <c r="A343" s="463">
        <f t="shared" si="17"/>
        <v>5</v>
      </c>
      <c r="B343" s="464" t="s">
        <v>4496</v>
      </c>
      <c r="C343" s="869" t="str">
        <f>IFERROR(VLOOKUP(B343,'03. THIẾT BỊ'!$B$1:$S$836,2,0),"")</f>
        <v/>
      </c>
      <c r="D343" s="470" t="str">
        <f>IFERROR(VLOOKUP(B343,'03. THIẾT BỊ'!$B$1:$S$836,3,0),"")</f>
        <v/>
      </c>
      <c r="E343" s="464" t="str">
        <f>IFERROR(VLOOKUP(B343,'03. THIẾT BỊ'!$B$1:$S$836,4,0),"")</f>
        <v>ĐQSD</v>
      </c>
      <c r="F343" s="464" t="str">
        <f>IFERROR(VLOOKUP(B343,'03. THIẾT BỊ'!$B$1:$S$836,5,0),"")</f>
        <v>Thiết bị phay cỏ 1.5m</v>
      </c>
      <c r="G343" s="80" t="s">
        <v>6423</v>
      </c>
      <c r="H343" s="463" t="str">
        <f>IFERROR(VLOOKUP(B343,'03. THIẾT BỊ'!$B$1:$S$836,7,0),"")</f>
        <v>XN Chuối LP1</v>
      </c>
      <c r="I343" s="474">
        <f>IFERROR(VLOOKUP(B343,'03. THIẾT BỊ'!$B$1:$S$836,8,0),"")</f>
        <v>45332</v>
      </c>
      <c r="J343" s="471"/>
      <c r="K343" s="463" t="str">
        <f>IFERROR(VLOOKUP(B343,'03. THIẾT BỊ'!$B$1:$S$836,10,0),"")</f>
        <v>Bình thường</v>
      </c>
      <c r="L343" s="468" t="str">
        <f>IFERROR(VLOOKUP(B343,'03. THIẾT BỊ'!$B$1:$S$836,11,0),"")</f>
        <v>GC mới</v>
      </c>
      <c r="M343" s="472" t="str">
        <f>IFERROR(VLOOKUP(B343,'03. THIẾT BỊ'!$B$1:$S$836,12,0),"")</f>
        <v/>
      </c>
      <c r="N343" s="468" t="str">
        <f>IFERROR(VLOOKUP(B343,'03. THIẾT BỊ'!$B$1:$S$836,13,0),"")</f>
        <v>THACO AGRI</v>
      </c>
      <c r="O343" s="470" t="str">
        <f>IFERROR(VLOOKUP(B343,'03. THIẾT BỊ'!$B$1:$S$836,14,0),"")</f>
        <v>CK-MPC-03</v>
      </c>
      <c r="P343" s="468" t="str">
        <f>IFERROR(VLOOKUP(B343,'03. THIẾT BỊ'!$B$1:$S$836,15,0),"")</f>
        <v>CK-CGH</v>
      </c>
      <c r="Q343" s="48">
        <f>IFERROR(VLOOKUP(B343,'03. THIẾT BỊ'!$B$1:$S$836,16,0),"")</f>
        <v>2024</v>
      </c>
      <c r="R343" s="471" t="str">
        <f>IFERROR(VLOOKUP(B343,'03. THIẾT BỊ'!$B$1:$S$836,17,0),"")</f>
        <v>1.7x1.5x1m</v>
      </c>
      <c r="S343" s="468" t="str">
        <f>IFERROR(VLOOKUP(B343,'03. THIẾT BỊ'!$B$1:$S$836,18,0),"")</f>
        <v/>
      </c>
      <c r="T343" s="807"/>
    </row>
    <row r="344" ht="15.0" customHeight="1">
      <c r="A344" s="463">
        <f t="shared" si="17"/>
        <v>6</v>
      </c>
      <c r="B344" s="464" t="s">
        <v>4583</v>
      </c>
      <c r="C344" s="869" t="str">
        <f>IFERROR(VLOOKUP(B344,'03. THIẾT BỊ'!$B$1:$S$836,2,0),"")</f>
        <v>CK-DPC-01</v>
      </c>
      <c r="D344" s="470" t="str">
        <f>IFERROR(VLOOKUP(B344,'03. THIẾT BỊ'!$B$1:$S$836,3,0),"")</f>
        <v>A24-DPC-002</v>
      </c>
      <c r="E344" s="464" t="str">
        <f>IFERROR(VLOOKUP(B344,'03. THIẾT BỊ'!$B$1:$S$836,4,0),"")</f>
        <v>ĐQSD</v>
      </c>
      <c r="F344" s="464" t="str">
        <f>IFERROR(VLOOKUP(B344,'03. THIẾT BỊ'!$B$1:$S$836,5,0),"")</f>
        <v>Thiết bị phay cỏ 1.5m</v>
      </c>
      <c r="G344" s="80" t="s">
        <v>6423</v>
      </c>
      <c r="H344" s="463" t="str">
        <f>IFERROR(VLOOKUP(B344,'03. THIẾT BỊ'!$B$1:$S$836,7,0),"")</f>
        <v>XN Chuối LP3</v>
      </c>
      <c r="I344" s="474">
        <f>IFERROR(VLOOKUP(B344,'03. THIẾT BỊ'!$B$1:$S$836,8,0),"")</f>
        <v>45057</v>
      </c>
      <c r="J344" s="471"/>
      <c r="K344" s="463" t="str">
        <f>IFERROR(VLOOKUP(B344,'03. THIẾT BỊ'!$B$1:$S$836,10,0),"")</f>
        <v>Bình thường</v>
      </c>
      <c r="L344" s="468" t="str">
        <f>IFERROR(VLOOKUP(B344,'03. THIẾT BỊ'!$B$1:$S$836,11,0),"")</f>
        <v/>
      </c>
      <c r="M344" s="472" t="str">
        <f>IFERROR(VLOOKUP(B344,'03. THIẾT BỊ'!$B$1:$S$836,12,0),"")</f>
        <v>Kèm trục cardang 1m</v>
      </c>
      <c r="N344" s="468" t="str">
        <f>IFERROR(VLOOKUP(B344,'03. THIẾT BỊ'!$B$1:$S$836,13,0),"")</f>
        <v>THACO AGRI</v>
      </c>
      <c r="O344" s="470" t="str">
        <f>IFERROR(VLOOKUP(B344,'03. THIẾT BỊ'!$B$1:$S$836,14,0),"")</f>
        <v/>
      </c>
      <c r="P344" s="468" t="str">
        <f>IFERROR(VLOOKUP(B344,'03. THIẾT BỊ'!$B$1:$S$836,15,0),"")</f>
        <v>CK-CGH</v>
      </c>
      <c r="Q344" s="48" t="str">
        <f>IFERROR(VLOOKUP(B344,'03. THIẾT BỊ'!$B$1:$S$836,16,0),"")</f>
        <v/>
      </c>
      <c r="R344" s="471" t="str">
        <f>IFERROR(VLOOKUP(B344,'03. THIẾT BỊ'!$B$1:$S$836,17,0),"")</f>
        <v>1.5*1.5*0.9m</v>
      </c>
      <c r="S344" s="468" t="str">
        <f>IFERROR(VLOOKUP(B344,'03. THIẾT BỊ'!$B$1:$S$836,18,0),"")</f>
        <v/>
      </c>
      <c r="T344" s="812"/>
    </row>
    <row r="345" ht="15.0" customHeight="1">
      <c r="A345" s="463">
        <f t="shared" si="17"/>
        <v>7</v>
      </c>
      <c r="B345" s="464" t="s">
        <v>5332</v>
      </c>
      <c r="C345" s="869" t="str">
        <f>IFERROR(VLOOKUP(B345,'03. THIẾT BỊ'!$B$1:$S$836,2,0),"")</f>
        <v>CK-DPC-02</v>
      </c>
      <c r="D345" s="470" t="str">
        <f>IFERROR(VLOOKUP(B345,'03. THIẾT BỊ'!$B$1:$S$836,3,0),"")</f>
        <v>A22-DPC-001</v>
      </c>
      <c r="E345" s="464" t="str">
        <f>IFERROR(VLOOKUP(B345,'03. THIẾT BỊ'!$B$1:$S$836,4,0),"")</f>
        <v>ĐQSD</v>
      </c>
      <c r="F345" s="464" t="str">
        <f>IFERROR(VLOOKUP(B345,'03. THIẾT BỊ'!$B$1:$S$836,5,0),"")</f>
        <v>Thiết bị phay cỏ 1.5m</v>
      </c>
      <c r="G345" s="80" t="s">
        <v>6423</v>
      </c>
      <c r="H345" s="463" t="str">
        <f>IFERROR(VLOOKUP(B345,'03. THIẾT BỊ'!$B$1:$S$836,7,0),"")</f>
        <v>XN Bò AD</v>
      </c>
      <c r="I345" s="474">
        <f>IFERROR(VLOOKUP(B345,'03. THIẾT BỊ'!$B$1:$S$836,8,0),"")</f>
        <v>45356</v>
      </c>
      <c r="J345" s="471"/>
      <c r="K345" s="463" t="str">
        <f>IFERROR(VLOOKUP(B345,'03. THIẾT BỊ'!$B$1:$S$836,10,0),"")</f>
        <v>Bình thường</v>
      </c>
      <c r="L345" s="468" t="str">
        <f>IFERROR(VLOOKUP(B345,'03. THIẾT BỊ'!$B$1:$S$836,11,0),"")</f>
        <v/>
      </c>
      <c r="M345" s="472" t="str">
        <f>IFERROR(VLOOKUP(B345,'03. THIẾT BỊ'!$B$1:$S$836,12,0),"")</f>
        <v>Gia công mới</v>
      </c>
      <c r="N345" s="468" t="str">
        <f>IFERROR(VLOOKUP(B345,'03. THIẾT BỊ'!$B$1:$S$836,13,0),"")</f>
        <v>THACO AGRI</v>
      </c>
      <c r="O345" s="470" t="str">
        <f>IFERROR(VLOOKUP(B345,'03. THIẾT BỊ'!$B$1:$S$836,14,0),"")</f>
        <v>1.5m</v>
      </c>
      <c r="P345" s="468" t="str">
        <f>IFERROR(VLOOKUP(B345,'03. THIẾT BỊ'!$B$1:$S$836,15,0),"")</f>
        <v>THACO</v>
      </c>
      <c r="Q345" s="48" t="str">
        <f>IFERROR(VLOOKUP(B345,'03. THIẾT BỊ'!$B$1:$S$836,16,0),"")</f>
        <v/>
      </c>
      <c r="R345" s="471" t="str">
        <f>IFERROR(VLOOKUP(B345,'03. THIẾT BỊ'!$B$1:$S$836,17,0),"")</f>
        <v>1.5*1.5m</v>
      </c>
      <c r="S345" s="468" t="str">
        <f>IFERROR(VLOOKUP(B345,'03. THIẾT BỊ'!$B$1:$S$836,18,0),"")</f>
        <v/>
      </c>
      <c r="T345" s="807"/>
    </row>
    <row r="346" ht="15.0" customHeight="1">
      <c r="A346" s="463">
        <f t="shared" si="17"/>
        <v>8</v>
      </c>
      <c r="B346" s="464" t="s">
        <v>5337</v>
      </c>
      <c r="C346" s="869" t="str">
        <f>IFERROR(VLOOKUP(B346,'03. THIẾT BỊ'!$B$1:$S$836,2,0),"")</f>
        <v>CK-DP-01</v>
      </c>
      <c r="D346" s="470" t="str">
        <f>IFERROR(VLOOKUP(B346,'03. THIẾT BỊ'!$B$1:$S$836,3,0),"")</f>
        <v>A22-DPC-002</v>
      </c>
      <c r="E346" s="464" t="str">
        <f>IFERROR(VLOOKUP(B346,'03. THIẾT BỊ'!$B$1:$S$836,4,0),"")</f>
        <v>ĐQSD</v>
      </c>
      <c r="F346" s="464" t="str">
        <f>IFERROR(VLOOKUP(B346,'03. THIẾT BỊ'!$B$1:$S$836,5,0),"")</f>
        <v>Thiết bị phay cỏ (2 luống)</v>
      </c>
      <c r="G346" s="80" t="s">
        <v>6423</v>
      </c>
      <c r="H346" s="463" t="str">
        <f>IFERROR(VLOOKUP(B346,'03. THIẾT BỊ'!$B$1:$S$836,7,0),"")</f>
        <v>XN Bò AD</v>
      </c>
      <c r="I346" s="474" t="str">
        <f>IFERROR(VLOOKUP(B346,'03. THIẾT BỊ'!$B$1:$S$836,8,0),"")</f>
        <v>29/07/2024</v>
      </c>
      <c r="J346" s="471"/>
      <c r="K346" s="463" t="str">
        <f>IFERROR(VLOOKUP(B346,'03. THIẾT BỊ'!$B$1:$S$836,10,0),"")</f>
        <v>Bình thường</v>
      </c>
      <c r="L346" s="468" t="str">
        <f>IFERROR(VLOOKUP(B346,'03. THIẾT BỊ'!$B$1:$S$836,11,0),"")</f>
        <v/>
      </c>
      <c r="M346" s="472" t="str">
        <f>IFERROR(VLOOKUP(B346,'03. THIẾT BỊ'!$B$1:$S$836,12,0),"")</f>
        <v>Gia công mới</v>
      </c>
      <c r="N346" s="468" t="str">
        <f>IFERROR(VLOOKUP(B346,'03. THIẾT BỊ'!$B$1:$S$836,13,0),"")</f>
        <v>THACO AGRI</v>
      </c>
      <c r="O346" s="470" t="str">
        <f>IFERROR(VLOOKUP(B346,'03. THIẾT BỊ'!$B$1:$S$836,14,0),"")</f>
        <v>2 luống</v>
      </c>
      <c r="P346" s="468" t="str">
        <f>IFERROR(VLOOKUP(B346,'03. THIẾT BỊ'!$B$1:$S$836,15,0),"")</f>
        <v>THACOAGRI</v>
      </c>
      <c r="Q346" s="48">
        <f>IFERROR(VLOOKUP(B346,'03. THIẾT BỊ'!$B$1:$S$836,16,0),"")</f>
        <v>2024</v>
      </c>
      <c r="R346" s="471" t="str">
        <f>IFERROR(VLOOKUP(B346,'03. THIẾT BỊ'!$B$1:$S$836,17,0),"")</f>
        <v>2100x800x1100(mm)</v>
      </c>
      <c r="S346" s="468" t="str">
        <f>IFERROR(VLOOKUP(B346,'03. THIẾT BỊ'!$B$1:$S$836,18,0),"")</f>
        <v>Bề rộng luống phay 500mm</v>
      </c>
      <c r="T346" s="807"/>
    </row>
    <row r="347" ht="15.0" customHeight="1">
      <c r="A347" s="463">
        <f t="shared" si="17"/>
        <v>9</v>
      </c>
      <c r="B347" s="464" t="s">
        <v>5344</v>
      </c>
      <c r="C347" s="869" t="str">
        <f>IFERROR(VLOOKUP(B347,'03. THIẾT BỊ'!$B$1:$S$836,2,0),"")</f>
        <v>CK-MPC-04</v>
      </c>
      <c r="D347" s="470" t="str">
        <f>IFERROR(VLOOKUP(B347,'03. THIẾT BỊ'!$B$1:$S$836,3,0),"")</f>
        <v>A22-DPC-003</v>
      </c>
      <c r="E347" s="464" t="str">
        <f>IFERROR(VLOOKUP(B347,'03. THIẾT BỊ'!$B$1:$S$836,4,0),"")</f>
        <v>ĐQSD</v>
      </c>
      <c r="F347" s="464" t="str">
        <f>IFERROR(VLOOKUP(B347,'03. THIẾT BỊ'!$B$1:$S$836,5,0),"")</f>
        <v>Thiết bị phay cỏ 1.5m</v>
      </c>
      <c r="G347" s="80" t="s">
        <v>6423</v>
      </c>
      <c r="H347" s="463" t="str">
        <f>IFERROR(VLOOKUP(B347,'03. THIẾT BỊ'!$B$1:$S$836,7,0),"")</f>
        <v>XN Bò AD</v>
      </c>
      <c r="I347" s="474" t="str">
        <f>IFERROR(VLOOKUP(B347,'03. THIẾT BỊ'!$B$1:$S$836,8,0),"")</f>
        <v/>
      </c>
      <c r="J347" s="471"/>
      <c r="K347" s="463" t="str">
        <f>IFERROR(VLOOKUP(B347,'03. THIẾT BỊ'!$B$1:$S$836,10,0),"")</f>
        <v>Bình thường</v>
      </c>
      <c r="L347" s="468" t="str">
        <f>IFERROR(VLOOKUP(B347,'03. THIẾT BỊ'!$B$1:$S$836,11,0),"")</f>
        <v/>
      </c>
      <c r="M347" s="472" t="str">
        <f>IFERROR(VLOOKUP(B347,'03. THIẾT BỊ'!$B$1:$S$836,12,0),"")</f>
        <v>Gia công mới</v>
      </c>
      <c r="N347" s="468" t="str">
        <f>IFERROR(VLOOKUP(B347,'03. THIẾT BỊ'!$B$1:$S$836,13,0),"")</f>
        <v>THACO AGRI</v>
      </c>
      <c r="O347" s="470" t="str">
        <f>IFERROR(VLOOKUP(B347,'03. THIẾT BỊ'!$B$1:$S$836,14,0),"")</f>
        <v>CK-MPC-04</v>
      </c>
      <c r="P347" s="468" t="str">
        <f>IFERROR(VLOOKUP(B347,'03. THIẾT BỊ'!$B$1:$S$836,15,0),"")</f>
        <v>CK-CGH</v>
      </c>
      <c r="Q347" s="48">
        <f>IFERROR(VLOOKUP(B347,'03. THIẾT BỊ'!$B$1:$S$836,16,0),"")</f>
        <v>2024</v>
      </c>
      <c r="R347" s="471" t="str">
        <f>IFERROR(VLOOKUP(B347,'03. THIẾT BỊ'!$B$1:$S$836,17,0),"")</f>
        <v>1.4x1.4x1</v>
      </c>
      <c r="S347" s="468" t="str">
        <f>IFERROR(VLOOKUP(B347,'03. THIẾT BỊ'!$B$1:$S$836,18,0),"")</f>
        <v/>
      </c>
      <c r="T347" s="807"/>
    </row>
    <row r="348" ht="15.0" customHeight="1">
      <c r="A348" s="463">
        <f t="shared" si="17"/>
        <v>10</v>
      </c>
      <c r="B348" s="464" t="s">
        <v>5348</v>
      </c>
      <c r="C348" s="869" t="str">
        <f>IFERROR(VLOOKUP(B348,'03. THIẾT BỊ'!$B$1:$S$836,2,0),"")</f>
        <v/>
      </c>
      <c r="D348" s="470" t="str">
        <f>IFERROR(VLOOKUP(B348,'03. THIẾT BỊ'!$B$1:$S$836,3,0),"")</f>
        <v>A22-DPC-004</v>
      </c>
      <c r="E348" s="464" t="str">
        <f>IFERROR(VLOOKUP(B348,'03. THIẾT BỊ'!$B$1:$S$836,4,0),"")</f>
        <v>ĐQSD</v>
      </c>
      <c r="F348" s="464" t="str">
        <f>IFERROR(VLOOKUP(B348,'03. THIẾT BỊ'!$B$1:$S$836,5,0),"")</f>
        <v>Thiết bị phay cỏ 1.5m</v>
      </c>
      <c r="G348" s="80" t="s">
        <v>6423</v>
      </c>
      <c r="H348" s="463" t="str">
        <f>IFERROR(VLOOKUP(B348,'03. THIẾT BỊ'!$B$1:$S$836,7,0),"")</f>
        <v>XN Bò AD</v>
      </c>
      <c r="I348" s="474" t="str">
        <f>IFERROR(VLOOKUP(B348,'03. THIẾT BỊ'!$B$1:$S$836,8,0),"")</f>
        <v>17/12/2025</v>
      </c>
      <c r="J348" s="471"/>
      <c r="K348" s="463" t="str">
        <f>IFERROR(VLOOKUP(B348,'03. THIẾT BỊ'!$B$1:$S$836,10,0),"")</f>
        <v>Bình thường</v>
      </c>
      <c r="L348" s="468" t="str">
        <f>IFERROR(VLOOKUP(B348,'03. THIẾT BỊ'!$B$1:$S$836,11,0),"")</f>
        <v/>
      </c>
      <c r="M348" s="472" t="str">
        <f>IFERROR(VLOOKUP(B348,'03. THIẾT BỊ'!$B$1:$S$836,12,0),"")</f>
        <v>Gia công mới</v>
      </c>
      <c r="N348" s="468" t="str">
        <f>IFERROR(VLOOKUP(B348,'03. THIẾT BỊ'!$B$1:$S$836,13,0),"")</f>
        <v>THACO AGRI</v>
      </c>
      <c r="O348" s="470" t="str">
        <f>IFERROR(VLOOKUP(B348,'03. THIẾT BỊ'!$B$1:$S$836,14,0),"")</f>
        <v>CK-MPC-05</v>
      </c>
      <c r="P348" s="468" t="str">
        <f>IFERROR(VLOOKUP(B348,'03. THIẾT BỊ'!$B$1:$S$836,15,0),"")</f>
        <v>CK-CGH</v>
      </c>
      <c r="Q348" s="48">
        <f>IFERROR(VLOOKUP(B348,'03. THIẾT BỊ'!$B$1:$S$836,16,0),"")</f>
        <v>2025</v>
      </c>
      <c r="R348" s="471" t="str">
        <f>IFERROR(VLOOKUP(B348,'03. THIẾT BỊ'!$B$1:$S$836,17,0),"")</f>
        <v>1.4x1.4x1</v>
      </c>
      <c r="S348" s="468" t="str">
        <f>IFERROR(VLOOKUP(B348,'03. THIẾT BỊ'!$B$1:$S$836,18,0),"")</f>
        <v/>
      </c>
      <c r="T348" s="807"/>
    </row>
    <row r="349" ht="15.0" customHeight="1">
      <c r="A349" s="463">
        <f t="shared" si="17"/>
        <v>11</v>
      </c>
      <c r="B349" s="464" t="s">
        <v>5352</v>
      </c>
      <c r="C349" s="869" t="str">
        <f>IFERROR(VLOOKUP(B349,'03. THIẾT BỊ'!$B$1:$S$836,2,0),"")</f>
        <v/>
      </c>
      <c r="D349" s="470" t="str">
        <f>IFERROR(VLOOKUP(B349,'03. THIẾT BỊ'!$B$1:$S$836,3,0),"")</f>
        <v>A22-DPC-005</v>
      </c>
      <c r="E349" s="464" t="str">
        <f>IFERROR(VLOOKUP(B349,'03. THIẾT BỊ'!$B$1:$S$836,4,0),"")</f>
        <v>ĐQSD</v>
      </c>
      <c r="F349" s="464" t="str">
        <f>IFERROR(VLOOKUP(B349,'03. THIẾT BỊ'!$B$1:$S$836,5,0),"")</f>
        <v>Thiết bị phay cỏ 1.5m</v>
      </c>
      <c r="G349" s="80" t="s">
        <v>6423</v>
      </c>
      <c r="H349" s="463" t="str">
        <f>IFERROR(VLOOKUP(B349,'03. THIẾT BỊ'!$B$1:$S$836,7,0),"")</f>
        <v>XN Bò AD</v>
      </c>
      <c r="I349" s="474" t="str">
        <f>IFERROR(VLOOKUP(B349,'03. THIẾT BỊ'!$B$1:$S$836,8,0),"")</f>
        <v>17/12/2025</v>
      </c>
      <c r="J349" s="471"/>
      <c r="K349" s="463" t="str">
        <f>IFERROR(VLOOKUP(B349,'03. THIẾT BỊ'!$B$1:$S$836,10,0),"")</f>
        <v>Bình thường</v>
      </c>
      <c r="L349" s="468" t="str">
        <f>IFERROR(VLOOKUP(B349,'03. THIẾT BỊ'!$B$1:$S$836,11,0),"")</f>
        <v/>
      </c>
      <c r="M349" s="472" t="str">
        <f>IFERROR(VLOOKUP(B349,'03. THIẾT BỊ'!$B$1:$S$836,12,0),"")</f>
        <v>Gia công mới</v>
      </c>
      <c r="N349" s="468" t="str">
        <f>IFERROR(VLOOKUP(B349,'03. THIẾT BỊ'!$B$1:$S$836,13,0),"")</f>
        <v>THACO AGRI</v>
      </c>
      <c r="O349" s="470" t="str">
        <f>IFERROR(VLOOKUP(B349,'03. THIẾT BỊ'!$B$1:$S$836,14,0),"")</f>
        <v>CK-MPC-06</v>
      </c>
      <c r="P349" s="468" t="str">
        <f>IFERROR(VLOOKUP(B349,'03. THIẾT BỊ'!$B$1:$S$836,15,0),"")</f>
        <v>CK-CGH</v>
      </c>
      <c r="Q349" s="48">
        <f>IFERROR(VLOOKUP(B349,'03. THIẾT BỊ'!$B$1:$S$836,16,0),"")</f>
        <v>2025</v>
      </c>
      <c r="R349" s="471" t="str">
        <f>IFERROR(VLOOKUP(B349,'03. THIẾT BỊ'!$B$1:$S$836,17,0),"")</f>
        <v>1.4x1.4x1</v>
      </c>
      <c r="S349" s="468" t="str">
        <f>IFERROR(VLOOKUP(B349,'03. THIẾT BỊ'!$B$1:$S$836,18,0),"")</f>
        <v/>
      </c>
      <c r="T349" s="807"/>
    </row>
    <row r="350" ht="15.0" customHeight="1">
      <c r="A350" s="463">
        <f t="shared" si="17"/>
        <v>12</v>
      </c>
      <c r="B350" s="464" t="s">
        <v>5355</v>
      </c>
      <c r="C350" s="869" t="str">
        <f>IFERROR(VLOOKUP(B350,'03. THIẾT BỊ'!$B$1:$S$836,2,0),"")</f>
        <v/>
      </c>
      <c r="D350" s="470" t="str">
        <f>IFERROR(VLOOKUP(B350,'03. THIẾT BỊ'!$B$1:$S$836,3,0),"")</f>
        <v>A22-DPC-006</v>
      </c>
      <c r="E350" s="464" t="str">
        <f>IFERROR(VLOOKUP(B350,'03. THIẾT BỊ'!$B$1:$S$836,4,0),"")</f>
        <v>ĐQSD</v>
      </c>
      <c r="F350" s="464" t="str">
        <f>IFERROR(VLOOKUP(B350,'03. THIẾT BỊ'!$B$1:$S$836,5,0),"")</f>
        <v>Thiết bị phay cỏ 1.5m</v>
      </c>
      <c r="G350" s="80" t="s">
        <v>6423</v>
      </c>
      <c r="H350" s="463" t="str">
        <f>IFERROR(VLOOKUP(B350,'03. THIẾT BỊ'!$B$1:$S$836,7,0),"")</f>
        <v>XN Bò AD</v>
      </c>
      <c r="I350" s="474" t="str">
        <f>IFERROR(VLOOKUP(B350,'03. THIẾT BỊ'!$B$1:$S$836,8,0),"")</f>
        <v>17/12/2025</v>
      </c>
      <c r="J350" s="471"/>
      <c r="K350" s="463" t="str">
        <f>IFERROR(VLOOKUP(B350,'03. THIẾT BỊ'!$B$1:$S$836,10,0),"")</f>
        <v>Bình thường</v>
      </c>
      <c r="L350" s="468" t="str">
        <f>IFERROR(VLOOKUP(B350,'03. THIẾT BỊ'!$B$1:$S$836,11,0),"")</f>
        <v/>
      </c>
      <c r="M350" s="472" t="str">
        <f>IFERROR(VLOOKUP(B350,'03. THIẾT BỊ'!$B$1:$S$836,12,0),"")</f>
        <v>Gia công mới</v>
      </c>
      <c r="N350" s="468" t="str">
        <f>IFERROR(VLOOKUP(B350,'03. THIẾT BỊ'!$B$1:$S$836,13,0),"")</f>
        <v>THACO AGRI</v>
      </c>
      <c r="O350" s="470" t="str">
        <f>IFERROR(VLOOKUP(B350,'03. THIẾT BỊ'!$B$1:$S$836,14,0),"")</f>
        <v>CK-MPC-07</v>
      </c>
      <c r="P350" s="468" t="str">
        <f>IFERROR(VLOOKUP(B350,'03. THIẾT BỊ'!$B$1:$S$836,15,0),"")</f>
        <v>CK-CGH</v>
      </c>
      <c r="Q350" s="48">
        <f>IFERROR(VLOOKUP(B350,'03. THIẾT BỊ'!$B$1:$S$836,16,0),"")</f>
        <v>2025</v>
      </c>
      <c r="R350" s="471" t="str">
        <f>IFERROR(VLOOKUP(B350,'03. THIẾT BỊ'!$B$1:$S$836,17,0),"")</f>
        <v>1.4x1.4x1</v>
      </c>
      <c r="S350" s="468" t="str">
        <f>IFERROR(VLOOKUP(B350,'03. THIẾT BỊ'!$B$1:$S$836,18,0),"")</f>
        <v/>
      </c>
      <c r="T350" s="807"/>
    </row>
    <row r="351" ht="15.0" customHeight="1">
      <c r="A351" s="463">
        <f t="shared" si="17"/>
        <v>13</v>
      </c>
      <c r="B351" s="464" t="s">
        <v>5358</v>
      </c>
      <c r="C351" s="869" t="str">
        <f>IFERROR(VLOOKUP(B351,'03. THIẾT BỊ'!$B$1:$S$836,2,0),"")</f>
        <v/>
      </c>
      <c r="D351" s="470" t="str">
        <f>IFERROR(VLOOKUP(B351,'03. THIẾT BỊ'!$B$1:$S$836,3,0),"")</f>
        <v>A22-DPC-007</v>
      </c>
      <c r="E351" s="464" t="str">
        <f>IFERROR(VLOOKUP(B351,'03. THIẾT BỊ'!$B$1:$S$836,4,0),"")</f>
        <v>ĐQSD</v>
      </c>
      <c r="F351" s="464" t="str">
        <f>IFERROR(VLOOKUP(B351,'03. THIẾT BỊ'!$B$1:$S$836,5,0),"")</f>
        <v>Thiết bị phay cỏ 1.5m</v>
      </c>
      <c r="G351" s="80" t="s">
        <v>6423</v>
      </c>
      <c r="H351" s="463" t="str">
        <f>IFERROR(VLOOKUP(B351,'03. THIẾT BỊ'!$B$1:$S$836,7,0),"")</f>
        <v>XN Bò AD</v>
      </c>
      <c r="I351" s="474" t="str">
        <f>IFERROR(VLOOKUP(B351,'03. THIẾT BỊ'!$B$1:$S$836,8,0),"")</f>
        <v>17/12/2025</v>
      </c>
      <c r="J351" s="471"/>
      <c r="K351" s="463" t="str">
        <f>IFERROR(VLOOKUP(B351,'03. THIẾT BỊ'!$B$1:$S$836,10,0),"")</f>
        <v>Bình thường</v>
      </c>
      <c r="L351" s="468" t="str">
        <f>IFERROR(VLOOKUP(B351,'03. THIẾT BỊ'!$B$1:$S$836,11,0),"")</f>
        <v/>
      </c>
      <c r="M351" s="472" t="str">
        <f>IFERROR(VLOOKUP(B351,'03. THIẾT BỊ'!$B$1:$S$836,12,0),"")</f>
        <v>Gia công mới</v>
      </c>
      <c r="N351" s="468" t="str">
        <f>IFERROR(VLOOKUP(B351,'03. THIẾT BỊ'!$B$1:$S$836,13,0),"")</f>
        <v>THACO AGRI</v>
      </c>
      <c r="O351" s="470" t="str">
        <f>IFERROR(VLOOKUP(B351,'03. THIẾT BỊ'!$B$1:$S$836,14,0),"")</f>
        <v>CK-MPC-08</v>
      </c>
      <c r="P351" s="468" t="str">
        <f>IFERROR(VLOOKUP(B351,'03. THIẾT BỊ'!$B$1:$S$836,15,0),"")</f>
        <v>CK-CGH</v>
      </c>
      <c r="Q351" s="48">
        <f>IFERROR(VLOOKUP(B351,'03. THIẾT BỊ'!$B$1:$S$836,16,0),"")</f>
        <v>2025</v>
      </c>
      <c r="R351" s="471" t="str">
        <f>IFERROR(VLOOKUP(B351,'03. THIẾT BỊ'!$B$1:$S$836,17,0),"")</f>
        <v>1.4x1.4x1</v>
      </c>
      <c r="S351" s="468" t="str">
        <f>IFERROR(VLOOKUP(B351,'03. THIẾT BỊ'!$B$1:$S$836,18,0),"")</f>
        <v/>
      </c>
      <c r="T351" s="807"/>
    </row>
    <row r="352" ht="15.0" customHeight="1">
      <c r="A352" s="463">
        <f t="shared" si="17"/>
        <v>14</v>
      </c>
      <c r="B352" s="464" t="s">
        <v>5361</v>
      </c>
      <c r="C352" s="869" t="str">
        <f>IFERROR(VLOOKUP(B352,'03. THIẾT BỊ'!$B$1:$S$836,2,0),"")</f>
        <v/>
      </c>
      <c r="D352" s="470" t="str">
        <f>IFERROR(VLOOKUP(B352,'03. THIẾT BỊ'!$B$1:$S$836,3,0),"")</f>
        <v>A22-DPC-008</v>
      </c>
      <c r="E352" s="464" t="str">
        <f>IFERROR(VLOOKUP(B352,'03. THIẾT BỊ'!$B$1:$S$836,4,0),"")</f>
        <v>ĐQSD</v>
      </c>
      <c r="F352" s="464" t="str">
        <f>IFERROR(VLOOKUP(B352,'03. THIẾT BỊ'!$B$1:$S$836,5,0),"")</f>
        <v>Thiết bị phay cỏ 1.5m</v>
      </c>
      <c r="G352" s="80" t="s">
        <v>6423</v>
      </c>
      <c r="H352" s="463" t="str">
        <f>IFERROR(VLOOKUP(B352,'03. THIẾT BỊ'!$B$1:$S$836,7,0),"")</f>
        <v>XN Bò AD</v>
      </c>
      <c r="I352" s="474" t="str">
        <f>IFERROR(VLOOKUP(B352,'03. THIẾT BỊ'!$B$1:$S$836,8,0),"")</f>
        <v>17/12/2025</v>
      </c>
      <c r="J352" s="471"/>
      <c r="K352" s="463" t="str">
        <f>IFERROR(VLOOKUP(B352,'03. THIẾT BỊ'!$B$1:$S$836,10,0),"")</f>
        <v>Bình thường</v>
      </c>
      <c r="L352" s="468" t="str">
        <f>IFERROR(VLOOKUP(B352,'03. THIẾT BỊ'!$B$1:$S$836,11,0),"")</f>
        <v/>
      </c>
      <c r="M352" s="472" t="str">
        <f>IFERROR(VLOOKUP(B352,'03. THIẾT BỊ'!$B$1:$S$836,12,0),"")</f>
        <v>Gia công mới</v>
      </c>
      <c r="N352" s="468" t="str">
        <f>IFERROR(VLOOKUP(B352,'03. THIẾT BỊ'!$B$1:$S$836,13,0),"")</f>
        <v>THACO AGRI</v>
      </c>
      <c r="O352" s="470" t="str">
        <f>IFERROR(VLOOKUP(B352,'03. THIẾT BỊ'!$B$1:$S$836,14,0),"")</f>
        <v>CK-MPC-09</v>
      </c>
      <c r="P352" s="468" t="str">
        <f>IFERROR(VLOOKUP(B352,'03. THIẾT BỊ'!$B$1:$S$836,15,0),"")</f>
        <v>CK-CGH</v>
      </c>
      <c r="Q352" s="48">
        <f>IFERROR(VLOOKUP(B352,'03. THIẾT BỊ'!$B$1:$S$836,16,0),"")</f>
        <v>2025</v>
      </c>
      <c r="R352" s="471" t="str">
        <f>IFERROR(VLOOKUP(B352,'03. THIẾT BỊ'!$B$1:$S$836,17,0),"")</f>
        <v>1.4x1.4x1</v>
      </c>
      <c r="S352" s="468" t="str">
        <f>IFERROR(VLOOKUP(B352,'03. THIẾT BỊ'!$B$1:$S$836,18,0),"")</f>
        <v/>
      </c>
      <c r="T352" s="807"/>
    </row>
    <row r="353" ht="15.0" customHeight="1">
      <c r="A353" s="463">
        <f>A346+1</f>
        <v>9</v>
      </c>
      <c r="B353" s="464" t="s">
        <v>4412</v>
      </c>
      <c r="C353" s="869" t="str">
        <f>IFERROR(VLOOKUP(B353,'03. THIẾT BỊ'!$B$1:$S$836,2,0),"")</f>
        <v>CC01NNKLH</v>
      </c>
      <c r="D353" s="470" t="str">
        <f>IFERROR(VLOOKUP(B353,'03. THIẾT BỊ'!$B$1:$S$836,3,0),"")</f>
        <v>A23-TBC-001</v>
      </c>
      <c r="E353" s="464" t="str">
        <f>IFERROR(VLOOKUP(B353,'03. THIẾT BỊ'!$B$1:$S$836,4,0),"")</f>
        <v>ĐQSD</v>
      </c>
      <c r="F353" s="464" t="str">
        <f>IFERROR(VLOOKUP(B353,'03. THIẾT BỊ'!$B$1:$S$836,5,0),"")</f>
        <v>Thiết bị cắt cỏ</v>
      </c>
      <c r="G353" s="80" t="s">
        <v>6423</v>
      </c>
      <c r="H353" s="463" t="str">
        <f>IFERROR(VLOOKUP(B353,'03. THIẾT BỊ'!$B$1:$S$836,7,0),"")</f>
        <v>XN Chuối DP3</v>
      </c>
      <c r="I353" s="474" t="str">
        <f>IFERROR(VLOOKUP(B353,'03. THIẾT BỊ'!$B$1:$S$836,8,0),"")</f>
        <v>26/06/2025</v>
      </c>
      <c r="J353" s="471"/>
      <c r="K353" s="463" t="str">
        <f>IFERROR(VLOOKUP(B353,'03. THIẾT BỊ'!$B$1:$S$836,10,0),"")</f>
        <v>Bình thường</v>
      </c>
      <c r="L353" s="468" t="str">
        <f>IFERROR(VLOOKUP(B353,'03. THIẾT BỊ'!$B$1:$S$836,11,0),"")</f>
        <v>CGLĐ DP bàn giao ngày 26/06/2025</v>
      </c>
      <c r="M353" s="472" t="str">
        <f>IFERROR(VLOOKUP(B353,'03. THIẾT BỊ'!$B$1:$S$836,12,0),"")</f>
        <v/>
      </c>
      <c r="N353" s="468" t="str">
        <f>IFERROR(VLOOKUP(B353,'03. THIẾT BỊ'!$B$1:$S$836,13,0),"")</f>
        <v>AIO</v>
      </c>
      <c r="O353" s="470" t="str">
        <f>IFERROR(VLOOKUP(B353,'03. THIẾT BỊ'!$B$1:$S$836,14,0),"")</f>
        <v>AIO-CC01</v>
      </c>
      <c r="P353" s="468" t="str">
        <f>IFERROR(VLOOKUP(B353,'03. THIẾT BỊ'!$B$1:$S$836,15,0),"")</f>
        <v>CAMBODIA</v>
      </c>
      <c r="Q353" s="48" t="str">
        <f>IFERROR(VLOOKUP(B353,'03. THIẾT BỊ'!$B$1:$S$836,16,0),"")</f>
        <v/>
      </c>
      <c r="R353" s="471" t="str">
        <f>IFERROR(VLOOKUP(B353,'03. THIẾT BỊ'!$B$1:$S$836,17,0),"")</f>
        <v/>
      </c>
      <c r="S353" s="468" t="str">
        <f>IFERROR(VLOOKUP(B353,'03. THIẾT BỊ'!$B$1:$S$836,18,0),"")</f>
        <v>AIO-CC01</v>
      </c>
      <c r="T353" s="812"/>
    </row>
    <row r="354" ht="27.0" customHeight="1">
      <c r="A354" s="463">
        <f t="shared" ref="A354:A362" si="18">A353+1</f>
        <v>10</v>
      </c>
      <c r="B354" s="486" t="s">
        <v>5398</v>
      </c>
      <c r="C354" s="869" t="str">
        <f>IFERROR(VLOOKUP(B354,'03. THIẾT BỊ'!$B$1:$S$836,2,0),"")</f>
        <v>CK-DCC-01</v>
      </c>
      <c r="D354" s="470" t="str">
        <f>IFERROR(VLOOKUP(B354,'03. THIẾT BỊ'!$B$1:$S$836,3,0),"")</f>
        <v>A22-CĐQ-001</v>
      </c>
      <c r="E354" s="464" t="str">
        <f>IFERROR(VLOOKUP(B354,'03. THIẾT BỊ'!$B$1:$S$836,4,0),"")</f>
        <v>ĐQSD</v>
      </c>
      <c r="F354" s="464" t="str">
        <f>IFERROR(VLOOKUP(B354,'03. THIẾT BỊ'!$B$1:$S$836,5,0),"")</f>
        <v>Thiết bị cắt cỏ đĩa quay</v>
      </c>
      <c r="G354" s="80" t="s">
        <v>6423</v>
      </c>
      <c r="H354" s="463" t="str">
        <f>IFERROR(VLOOKUP(B354,'03. THIẾT BỊ'!$B$1:$S$836,7,0),"")</f>
        <v>XN Bò AD</v>
      </c>
      <c r="I354" s="474">
        <f>IFERROR(VLOOKUP(B354,'03. THIẾT BỊ'!$B$1:$S$836,8,0),"")</f>
        <v>45391</v>
      </c>
      <c r="J354" s="471"/>
      <c r="K354" s="463" t="str">
        <f>IFERROR(VLOOKUP(B354,'03. THIẾT BỊ'!$B$1:$S$836,10,0),"")</f>
        <v>Bình thường</v>
      </c>
      <c r="L354" s="468" t="str">
        <f>IFERROR(VLOOKUP(B354,'03. THIẾT BỊ'!$B$1:$S$836,11,0),"")</f>
        <v/>
      </c>
      <c r="M354" s="472" t="str">
        <f>IFERROR(VLOOKUP(B354,'03. THIẾT BỊ'!$B$1:$S$836,12,0),"")</f>
        <v>Gia công mới</v>
      </c>
      <c r="N354" s="468" t="str">
        <f>IFERROR(VLOOKUP(B354,'03. THIẾT BỊ'!$B$1:$S$836,13,0),"")</f>
        <v>THACO AGRI</v>
      </c>
      <c r="O354" s="470" t="str">
        <f>IFERROR(VLOOKUP(B354,'03. THIẾT BỊ'!$B$1:$S$836,14,0),"")</f>
        <v>Đĩa quay</v>
      </c>
      <c r="P354" s="468" t="str">
        <f>IFERROR(VLOOKUP(B354,'03. THIẾT BỊ'!$B$1:$S$836,15,0),"")</f>
        <v>CK-CGH</v>
      </c>
      <c r="Q354" s="48">
        <f>IFERROR(VLOOKUP(B354,'03. THIẾT BỊ'!$B$1:$S$836,16,0),"")</f>
        <v>2024</v>
      </c>
      <c r="R354" s="471" t="str">
        <f>IFERROR(VLOOKUP(B354,'03. THIẾT BỊ'!$B$1:$S$836,17,0),"")</f>
        <v>2x2.3x1.4</v>
      </c>
      <c r="S354" s="468" t="str">
        <f>IFERROR(VLOOKUP(B354,'03. THIẾT BỊ'!$B$1:$S$836,18,0),"")</f>
        <v/>
      </c>
      <c r="T354" s="807"/>
    </row>
    <row r="355" ht="27.0" customHeight="1">
      <c r="A355" s="463">
        <f t="shared" si="18"/>
        <v>11</v>
      </c>
      <c r="B355" s="486" t="s">
        <v>5404</v>
      </c>
      <c r="C355" s="869" t="str">
        <f>IFERROR(VLOOKUP(B355,'03. THIẾT BỊ'!$B$1:$S$836,2,0),"")</f>
        <v>CK-DCC-02</v>
      </c>
      <c r="D355" s="470" t="str">
        <f>IFERROR(VLOOKUP(B355,'03. THIẾT BỊ'!$B$1:$S$836,3,0),"")</f>
        <v>A22-CĐQ-002</v>
      </c>
      <c r="E355" s="464" t="str">
        <f>IFERROR(VLOOKUP(B355,'03. THIẾT BỊ'!$B$1:$S$836,4,0),"")</f>
        <v>ĐQSD</v>
      </c>
      <c r="F355" s="464" t="str">
        <f>IFERROR(VLOOKUP(B355,'03. THIẾT BỊ'!$B$1:$S$836,5,0),"")</f>
        <v>Thiết bị cắt cỏ đĩa quay</v>
      </c>
      <c r="G355" s="80" t="s">
        <v>6423</v>
      </c>
      <c r="H355" s="463" t="str">
        <f>IFERROR(VLOOKUP(B355,'03. THIẾT BỊ'!$B$1:$S$836,7,0),"")</f>
        <v>XN Bò AD</v>
      </c>
      <c r="I355" s="474" t="str">
        <f>IFERROR(VLOOKUP(B355,'03. THIẾT BỊ'!$B$1:$S$836,8,0),"")</f>
        <v>31/10/2024</v>
      </c>
      <c r="J355" s="471"/>
      <c r="K355" s="463" t="str">
        <f>IFERROR(VLOOKUP(B355,'03. THIẾT BỊ'!$B$1:$S$836,10,0),"")</f>
        <v>Bình thường</v>
      </c>
      <c r="L355" s="468" t="str">
        <f>IFERROR(VLOOKUP(B355,'03. THIẾT BỊ'!$B$1:$S$836,11,0),"")</f>
        <v/>
      </c>
      <c r="M355" s="472" t="str">
        <f>IFERROR(VLOOKUP(B355,'03. THIẾT BỊ'!$B$1:$S$836,12,0),"")</f>
        <v>Gia công mới</v>
      </c>
      <c r="N355" s="468" t="str">
        <f>IFERROR(VLOOKUP(B355,'03. THIẾT BỊ'!$B$1:$S$836,13,0),"")</f>
        <v>THACO AGRI</v>
      </c>
      <c r="O355" s="470" t="str">
        <f>IFERROR(VLOOKUP(B355,'03. THIẾT BỊ'!$B$1:$S$836,14,0),"")</f>
        <v>Đĩa quay</v>
      </c>
      <c r="P355" s="468" t="str">
        <f>IFERROR(VLOOKUP(B355,'03. THIẾT BỊ'!$B$1:$S$836,15,0),"")</f>
        <v>CK-CGH</v>
      </c>
      <c r="Q355" s="48" t="str">
        <f>IFERROR(VLOOKUP(B355,'03. THIẾT BỊ'!$B$1:$S$836,16,0),"")</f>
        <v/>
      </c>
      <c r="R355" s="471" t="str">
        <f>IFERROR(VLOOKUP(B355,'03. THIẾT BỊ'!$B$1:$S$836,17,0),"")</f>
        <v/>
      </c>
      <c r="S355" s="468" t="str">
        <f>IFERROR(VLOOKUP(B355,'03. THIẾT BỊ'!$B$1:$S$836,18,0),"")</f>
        <v/>
      </c>
      <c r="T355" s="807"/>
    </row>
    <row r="356" ht="27.0" customHeight="1">
      <c r="A356" s="463">
        <f t="shared" si="18"/>
        <v>12</v>
      </c>
      <c r="B356" s="486" t="s">
        <v>5408</v>
      </c>
      <c r="C356" s="869" t="str">
        <f>IFERROR(VLOOKUP(B356,'03. THIẾT BỊ'!$B$1:$S$836,2,0),"")</f>
        <v>CK-DCC-03</v>
      </c>
      <c r="D356" s="470" t="str">
        <f>IFERROR(VLOOKUP(B356,'03. THIẾT BỊ'!$B$1:$S$836,3,0),"")</f>
        <v>A22-CĐQ-003</v>
      </c>
      <c r="E356" s="464" t="str">
        <f>IFERROR(VLOOKUP(B356,'03. THIẾT BỊ'!$B$1:$S$836,4,0),"")</f>
        <v>ĐQSD</v>
      </c>
      <c r="F356" s="464" t="str">
        <f>IFERROR(VLOOKUP(B356,'03. THIẾT BỊ'!$B$1:$S$836,5,0),"")</f>
        <v>Thiết bị cắt cỏ đĩa quay</v>
      </c>
      <c r="G356" s="80" t="s">
        <v>6423</v>
      </c>
      <c r="H356" s="463" t="str">
        <f>IFERROR(VLOOKUP(B356,'03. THIẾT BỊ'!$B$1:$S$836,7,0),"")</f>
        <v>XN Bò AD</v>
      </c>
      <c r="I356" s="474" t="str">
        <f>IFERROR(VLOOKUP(B356,'03. THIẾT BỊ'!$B$1:$S$836,8,0),"")</f>
        <v>13/11/2024</v>
      </c>
      <c r="J356" s="471"/>
      <c r="K356" s="463" t="str">
        <f>IFERROR(VLOOKUP(B356,'03. THIẾT BỊ'!$B$1:$S$836,10,0),"")</f>
        <v>Bình thường</v>
      </c>
      <c r="L356" s="468" t="str">
        <f>IFERROR(VLOOKUP(B356,'03. THIẾT BỊ'!$B$1:$S$836,11,0),"")</f>
        <v/>
      </c>
      <c r="M356" s="472" t="str">
        <f>IFERROR(VLOOKUP(B356,'03. THIẾT BỊ'!$B$1:$S$836,12,0),"")</f>
        <v>Gia công mới</v>
      </c>
      <c r="N356" s="468" t="str">
        <f>IFERROR(VLOOKUP(B356,'03. THIẾT BỊ'!$B$1:$S$836,13,0),"")</f>
        <v>THACO AGRI</v>
      </c>
      <c r="O356" s="470" t="str">
        <f>IFERROR(VLOOKUP(B356,'03. THIẾT BỊ'!$B$1:$S$836,14,0),"")</f>
        <v>CK-DCC-03</v>
      </c>
      <c r="P356" s="468" t="str">
        <f>IFERROR(VLOOKUP(B356,'03. THIẾT BỊ'!$B$1:$S$836,15,0),"")</f>
        <v>CK-CGH</v>
      </c>
      <c r="Q356" s="48">
        <f>IFERROR(VLOOKUP(B356,'03. THIẾT BỊ'!$B$1:$S$836,16,0),"")</f>
        <v>2024</v>
      </c>
      <c r="R356" s="471" t="str">
        <f>IFERROR(VLOOKUP(B356,'03. THIẾT BỊ'!$B$1:$S$836,17,0),"")</f>
        <v>2x2.3x1.4m</v>
      </c>
      <c r="S356" s="468" t="str">
        <f>IFERROR(VLOOKUP(B356,'03. THIẾT BỊ'!$B$1:$S$836,18,0),"")</f>
        <v/>
      </c>
      <c r="T356" s="807"/>
    </row>
    <row r="357" ht="27.0" customHeight="1">
      <c r="A357" s="463">
        <f t="shared" si="18"/>
        <v>13</v>
      </c>
      <c r="B357" s="486" t="s">
        <v>5413</v>
      </c>
      <c r="C357" s="869" t="str">
        <f>IFERROR(VLOOKUP(B357,'03. THIẾT BỊ'!$B$1:$S$836,2,0),"")</f>
        <v/>
      </c>
      <c r="D357" s="470" t="str">
        <f>IFERROR(VLOOKUP(B357,'03. THIẾT BỊ'!$B$1:$S$836,3,0),"")</f>
        <v>A22-CĐQ-004</v>
      </c>
      <c r="E357" s="464" t="str">
        <f>IFERROR(VLOOKUP(B357,'03. THIẾT BỊ'!$B$1:$S$836,4,0),"")</f>
        <v>ĐQSD</v>
      </c>
      <c r="F357" s="464" t="str">
        <f>IFERROR(VLOOKUP(B357,'03. THIẾT BỊ'!$B$1:$S$836,5,0),"")</f>
        <v>Thiết bị cắt cỏ đĩa quay</v>
      </c>
      <c r="G357" s="80" t="s">
        <v>6423</v>
      </c>
      <c r="H357" s="463" t="str">
        <f>IFERROR(VLOOKUP(B357,'03. THIẾT BỊ'!$B$1:$S$836,7,0),"")</f>
        <v>XN Bò AD</v>
      </c>
      <c r="I357" s="474">
        <f>IFERROR(VLOOKUP(B357,'03. THIẾT BỊ'!$B$1:$S$836,8,0),"")</f>
        <v>45424</v>
      </c>
      <c r="J357" s="471"/>
      <c r="K357" s="463" t="str">
        <f>IFERROR(VLOOKUP(B357,'03. THIẾT BỊ'!$B$1:$S$836,10,0),"")</f>
        <v>Bình thường</v>
      </c>
      <c r="L357" s="468" t="str">
        <f>IFERROR(VLOOKUP(B357,'03. THIẾT BỊ'!$B$1:$S$836,11,0),"")</f>
        <v/>
      </c>
      <c r="M357" s="472" t="str">
        <f>IFERROR(VLOOKUP(B357,'03. THIẾT BỊ'!$B$1:$S$836,12,0),"")</f>
        <v>Gia công mới</v>
      </c>
      <c r="N357" s="468" t="str">
        <f>IFERROR(VLOOKUP(B357,'03. THIẾT BỊ'!$B$1:$S$836,13,0),"")</f>
        <v>THACO AGRI</v>
      </c>
      <c r="O357" s="470" t="str">
        <f>IFERROR(VLOOKUP(B357,'03. THIẾT BỊ'!$B$1:$S$836,14,0),"")</f>
        <v>CK-DCC-CLT-01</v>
      </c>
      <c r="P357" s="468" t="str">
        <f>IFERROR(VLOOKUP(B357,'03. THIẾT BỊ'!$B$1:$S$836,15,0),"")</f>
        <v>CK-CGH</v>
      </c>
      <c r="Q357" s="48">
        <f>IFERROR(VLOOKUP(B357,'03. THIẾT BỊ'!$B$1:$S$836,16,0),"")</f>
        <v>2024</v>
      </c>
      <c r="R357" s="471" t="str">
        <f>IFERROR(VLOOKUP(B357,'03. THIẾT BỊ'!$B$1:$S$836,17,0),"")</f>
        <v/>
      </c>
      <c r="S357" s="468" t="str">
        <f>IFERROR(VLOOKUP(B357,'03. THIẾT BỊ'!$B$1:$S$836,18,0),"")</f>
        <v/>
      </c>
      <c r="T357" s="807"/>
    </row>
    <row r="358" ht="23.25" customHeight="1">
      <c r="A358" s="463">
        <f t="shared" si="18"/>
        <v>14</v>
      </c>
      <c r="B358" s="464" t="s">
        <v>5213</v>
      </c>
      <c r="C358" s="869" t="str">
        <f>IFERROR(VLOOKUP(B358,'03. THIẾT BỊ'!$B$1:$S$836,2,0),"")</f>
        <v/>
      </c>
      <c r="D358" s="470" t="str">
        <f>IFERROR(VLOOKUP(B358,'03. THIẾT BỊ'!$B$1:$S$836,3,0),"")</f>
        <v>A22-CCG-001</v>
      </c>
      <c r="E358" s="464" t="str">
        <f>IFERROR(VLOOKUP(B358,'03. THIẾT BỊ'!$B$1:$S$836,4,0),"")</f>
        <v>ĐQSD</v>
      </c>
      <c r="F358" s="464" t="str">
        <f>IFERROR(VLOOKUP(B358,'03. THIẾT BỊ'!$B$1:$S$836,5,0),"")</f>
        <v>Cắt cỏ gốc</v>
      </c>
      <c r="G358" s="80" t="s">
        <v>6423</v>
      </c>
      <c r="H358" s="463" t="str">
        <f>IFERROR(VLOOKUP(B358,'03. THIẾT BỊ'!$B$1:$S$836,7,0),"")</f>
        <v>XN Bò AD</v>
      </c>
      <c r="I358" s="474" t="str">
        <f>IFERROR(VLOOKUP(B358,'03. THIẾT BỊ'!$B$1:$S$836,8,0),"")</f>
        <v/>
      </c>
      <c r="J358" s="471"/>
      <c r="K358" s="463" t="str">
        <f>IFERROR(VLOOKUP(B358,'03. THIẾT BỊ'!$B$1:$S$836,10,0),"")</f>
        <v>Bình thường</v>
      </c>
      <c r="L358" s="468" t="str">
        <f>IFERROR(VLOOKUP(B358,'03. THIẾT BỊ'!$B$1:$S$836,11,0),"")</f>
        <v/>
      </c>
      <c r="M358" s="472" t="str">
        <f>IFERROR(VLOOKUP(B358,'03. THIẾT BỊ'!$B$1:$S$836,12,0),"")</f>
        <v/>
      </c>
      <c r="N358" s="468" t="str">
        <f>IFERROR(VLOOKUP(B358,'03. THIẾT BỊ'!$B$1:$S$836,13,0),"")</f>
        <v>THACO AGRI</v>
      </c>
      <c r="O358" s="470" t="str">
        <f>IFERROR(VLOOKUP(B358,'03. THIẾT BỊ'!$B$1:$S$836,14,0),"")</f>
        <v/>
      </c>
      <c r="P358" s="468" t="str">
        <f>IFERROR(VLOOKUP(B358,'03. THIẾT BỊ'!$B$1:$S$836,15,0),"")</f>
        <v>CK-CGH</v>
      </c>
      <c r="Q358" s="48" t="str">
        <f>IFERROR(VLOOKUP(B358,'03. THIẾT BỊ'!$B$1:$S$836,16,0),"")</f>
        <v/>
      </c>
      <c r="R358" s="471" t="str">
        <f>IFERROR(VLOOKUP(B358,'03. THIẾT BỊ'!$B$1:$S$836,17,0),"")</f>
        <v/>
      </c>
      <c r="S358" s="468" t="str">
        <f>IFERROR(VLOOKUP(B358,'03. THIẾT BỊ'!$B$1:$S$836,18,0),"")</f>
        <v/>
      </c>
      <c r="T358" s="812"/>
    </row>
    <row r="359" ht="23.25" customHeight="1">
      <c r="A359" s="463">
        <f t="shared" si="18"/>
        <v>15</v>
      </c>
      <c r="B359" s="464" t="s">
        <v>5216</v>
      </c>
      <c r="C359" s="869" t="str">
        <f>IFERROR(VLOOKUP(B359,'03. THIẾT BỊ'!$B$1:$S$836,2,0),"")</f>
        <v/>
      </c>
      <c r="D359" s="470" t="str">
        <f>IFERROR(VLOOKUP(B359,'03. THIẾT BỊ'!$B$1:$S$836,3,0),"")</f>
        <v>A22-CCG-002</v>
      </c>
      <c r="E359" s="464" t="str">
        <f>IFERROR(VLOOKUP(B359,'03. THIẾT BỊ'!$B$1:$S$836,4,0),"")</f>
        <v>ĐQSD</v>
      </c>
      <c r="F359" s="464" t="str">
        <f>IFERROR(VLOOKUP(B359,'03. THIẾT BỊ'!$B$1:$S$836,5,0),"")</f>
        <v>Cắt cỏ gốc</v>
      </c>
      <c r="G359" s="80" t="s">
        <v>6423</v>
      </c>
      <c r="H359" s="463" t="str">
        <f>IFERROR(VLOOKUP(B359,'03. THIẾT BỊ'!$B$1:$S$836,7,0),"")</f>
        <v>XN Bò AD</v>
      </c>
      <c r="I359" s="474" t="str">
        <f>IFERROR(VLOOKUP(B359,'03. THIẾT BỊ'!$B$1:$S$836,8,0),"")</f>
        <v/>
      </c>
      <c r="J359" s="471"/>
      <c r="K359" s="463" t="str">
        <f>IFERROR(VLOOKUP(B359,'03. THIẾT BỊ'!$B$1:$S$836,10,0),"")</f>
        <v>Hư hỏng</v>
      </c>
      <c r="L359" s="468" t="str">
        <f>IFERROR(VLOOKUP(B359,'03. THIẾT BỊ'!$B$1:$S$836,11,0),"")</f>
        <v/>
      </c>
      <c r="M359" s="472" t="str">
        <f>IFERROR(VLOOKUP(B359,'03. THIẾT BỊ'!$B$1:$S$836,12,0),"")</f>
        <v/>
      </c>
      <c r="N359" s="468" t="str">
        <f>IFERROR(VLOOKUP(B359,'03. THIẾT BỊ'!$B$1:$S$836,13,0),"")</f>
        <v>THACO AGRI</v>
      </c>
      <c r="O359" s="470" t="str">
        <f>IFERROR(VLOOKUP(B359,'03. THIẾT BỊ'!$B$1:$S$836,14,0),"")</f>
        <v/>
      </c>
      <c r="P359" s="468" t="str">
        <f>IFERROR(VLOOKUP(B359,'03. THIẾT BỊ'!$B$1:$S$836,15,0),"")</f>
        <v>CK-CGH</v>
      </c>
      <c r="Q359" s="48" t="str">
        <f>IFERROR(VLOOKUP(B359,'03. THIẾT BỊ'!$B$1:$S$836,16,0),"")</f>
        <v/>
      </c>
      <c r="R359" s="471" t="str">
        <f>IFERROR(VLOOKUP(B359,'03. THIẾT BỊ'!$B$1:$S$836,17,0),"")</f>
        <v/>
      </c>
      <c r="S359" s="468" t="str">
        <f>IFERROR(VLOOKUP(B359,'03. THIẾT BỊ'!$B$1:$S$836,18,0),"")</f>
        <v/>
      </c>
      <c r="T359" s="812"/>
    </row>
    <row r="360" ht="63.0" customHeight="1">
      <c r="A360" s="463">
        <f t="shared" si="18"/>
        <v>16</v>
      </c>
      <c r="B360" s="486" t="s">
        <v>5386</v>
      </c>
      <c r="C360" s="869" t="str">
        <f>IFERROR(VLOOKUP(B360,'03. THIẾT BỊ'!$B$1:$S$836,2,0),"")</f>
        <v/>
      </c>
      <c r="D360" s="470" t="str">
        <f>IFERROR(VLOOKUP(B360,'03. THIẾT BỊ'!$B$1:$S$836,3,0),"")</f>
        <v>A22-DCC-001</v>
      </c>
      <c r="E360" s="464" t="str">
        <f>IFERROR(VLOOKUP(B360,'03. THIẾT BỊ'!$B$1:$S$836,4,0),"")</f>
        <v>MUA MỚI</v>
      </c>
      <c r="F360" s="464" t="str">
        <f>IFERROR(VLOOKUP(B360,'03. THIẾT BỊ'!$B$1:$S$836,5,0),"")</f>
        <v>Thiết bị cắt cỏ - Mower</v>
      </c>
      <c r="G360" s="80" t="s">
        <v>6423</v>
      </c>
      <c r="H360" s="463" t="str">
        <f>IFERROR(VLOOKUP(B360,'03. THIẾT BỊ'!$B$1:$S$836,7,0),"")</f>
        <v>XN Bò AD</v>
      </c>
      <c r="I360" s="474" t="str">
        <f>IFERROR(VLOOKUP(B360,'03. THIẾT BỊ'!$B$1:$S$836,8,0),"")</f>
        <v>18/06/2024</v>
      </c>
      <c r="J360" s="471"/>
      <c r="K360" s="463" t="str">
        <f>IFERROR(VLOOKUP(B360,'03. THIẾT BỊ'!$B$1:$S$836,10,0),"")</f>
        <v>Bình thường</v>
      </c>
      <c r="L360" s="468" t="str">
        <f>IFERROR(VLOOKUP(B360,'03. THIẾT BỊ'!$B$1:$S$836,11,0),"")</f>
        <v/>
      </c>
      <c r="M360" s="472" t="str">
        <f>IFERROR(VLOOKUP(B360,'03. THIẾT BỊ'!$B$1:$S$836,12,0),"")</f>
        <v>Đầu tư mới</v>
      </c>
      <c r="N360" s="468" t="str">
        <f>IFERROR(VLOOKUP(B360,'03. THIẾT BỊ'!$B$1:$S$836,13,0),"")</f>
        <v>TRUNG QUỐC</v>
      </c>
      <c r="O360" s="470" t="str">
        <f>IFERROR(VLOOKUP(B360,'03. THIẾT BỊ'!$B$1:$S$836,14,0),"")</f>
        <v>Mower</v>
      </c>
      <c r="P360" s="468" t="str">
        <f>IFERROR(VLOOKUP(B360,'03. THIẾT BỊ'!$B$1:$S$836,15,0),"")</f>
        <v>TRUNG QUỐC</v>
      </c>
      <c r="Q360" s="48">
        <f>IFERROR(VLOOKUP(B360,'03. THIẾT BỊ'!$B$1:$S$836,16,0),"")</f>
        <v>2024</v>
      </c>
      <c r="R360" s="471" t="str">
        <f>IFERROR(VLOOKUP(B360,'03. THIẾT BỊ'!$B$1:$S$836,17,0),"")</f>
        <v>Bề rộng cắt cỏ 185-3210cm
Chiều rộng tạo hàng cỏ sau khi cắt 80-90cm
Công suất 60-90HP</v>
      </c>
      <c r="S360" s="468" t="str">
        <f>IFERROR(VLOOKUP(B360,'03. THIẾT BỊ'!$B$1:$S$836,18,0),"")</f>
        <v/>
      </c>
      <c r="T360" s="807"/>
    </row>
    <row r="361" ht="63.0" customHeight="1">
      <c r="A361" s="463">
        <f t="shared" si="18"/>
        <v>17</v>
      </c>
      <c r="B361" s="486" t="s">
        <v>5392</v>
      </c>
      <c r="C361" s="869" t="str">
        <f>IFERROR(VLOOKUP(B361,'03. THIẾT BỊ'!$B$1:$S$836,2,0),"")</f>
        <v/>
      </c>
      <c r="D361" s="470" t="str">
        <f>IFERROR(VLOOKUP(B361,'03. THIẾT BỊ'!$B$1:$S$836,3,0),"")</f>
        <v>A22-DCC-002</v>
      </c>
      <c r="E361" s="464" t="str">
        <f>IFERROR(VLOOKUP(B361,'03. THIẾT BỊ'!$B$1:$S$836,4,0),"")</f>
        <v>MUA MỚI</v>
      </c>
      <c r="F361" s="464" t="str">
        <f>IFERROR(VLOOKUP(B361,'03. THIẾT BỊ'!$B$1:$S$836,5,0),"")</f>
        <v>Thiết bị cắt cỏ - Mower</v>
      </c>
      <c r="G361" s="80" t="s">
        <v>6423</v>
      </c>
      <c r="H361" s="463" t="str">
        <f>IFERROR(VLOOKUP(B361,'03. THIẾT BỊ'!$B$1:$S$836,7,0),"")</f>
        <v>XN Bò AD</v>
      </c>
      <c r="I361" s="474" t="str">
        <f>IFERROR(VLOOKUP(B361,'03. THIẾT BỊ'!$B$1:$S$836,8,0),"")</f>
        <v>21/10/2024</v>
      </c>
      <c r="J361" s="471"/>
      <c r="K361" s="463" t="str">
        <f>IFERROR(VLOOKUP(B361,'03. THIẾT BỊ'!$B$1:$S$836,10,0),"")</f>
        <v>Bình thường</v>
      </c>
      <c r="L361" s="468" t="str">
        <f>IFERROR(VLOOKUP(B361,'03. THIẾT BỊ'!$B$1:$S$836,11,0),"")</f>
        <v/>
      </c>
      <c r="M361" s="472" t="str">
        <f>IFERROR(VLOOKUP(B361,'03. THIẾT BỊ'!$B$1:$S$836,12,0),"")</f>
        <v>Đầu tư mới</v>
      </c>
      <c r="N361" s="468" t="str">
        <f>IFERROR(VLOOKUP(B361,'03. THIẾT BỊ'!$B$1:$S$836,13,0),"")</f>
        <v>TRUNG QUỐC</v>
      </c>
      <c r="O361" s="470" t="str">
        <f>IFERROR(VLOOKUP(B361,'03. THIẾT BỊ'!$B$1:$S$836,14,0),"")</f>
        <v>Mower</v>
      </c>
      <c r="P361" s="468" t="str">
        <f>IFERROR(VLOOKUP(B361,'03. THIẾT BỊ'!$B$1:$S$836,15,0),"")</f>
        <v>TRUNG QUỐC</v>
      </c>
      <c r="Q361" s="48">
        <f>IFERROR(VLOOKUP(B361,'03. THIẾT BỊ'!$B$1:$S$836,16,0),"")</f>
        <v>2024</v>
      </c>
      <c r="R361" s="471" t="str">
        <f>IFERROR(VLOOKUP(B361,'03. THIẾT BỊ'!$B$1:$S$836,17,0),"")</f>
        <v>Bề rộng cắt cỏ 185-3210cm
Chiều rộng tạo hàng cỏ sau khi cắt 80-90cm
Công suất 60-90HP</v>
      </c>
      <c r="S361" s="468" t="str">
        <f>IFERROR(VLOOKUP(B361,'03. THIẾT BỊ'!$B$1:$S$836,18,0),"")</f>
        <v/>
      </c>
      <c r="T361" s="807"/>
    </row>
    <row r="362" ht="29.25" customHeight="1">
      <c r="A362" s="463">
        <f t="shared" si="18"/>
        <v>18</v>
      </c>
      <c r="B362" s="464" t="s">
        <v>5381</v>
      </c>
      <c r="C362" s="869" t="str">
        <f>IFERROR(VLOOKUP(B362,'03. THIẾT BỊ'!$B$1:$S$836,2,0),"")</f>
        <v>CK-DXC-01</v>
      </c>
      <c r="D362" s="470" t="str">
        <f>IFERROR(VLOOKUP(B362,'03. THIẾT BỊ'!$B$1:$S$836,3,0),"")</f>
        <v>A22-DXC-001</v>
      </c>
      <c r="E362" s="464" t="str">
        <f>IFERROR(VLOOKUP(B362,'03. THIẾT BỊ'!$B$1:$S$836,4,0),"")</f>
        <v>ĐQSD</v>
      </c>
      <c r="F362" s="464" t="str">
        <f>IFERROR(VLOOKUP(B362,'03. THIẾT BỊ'!$B$1:$S$836,5,0),"")</f>
        <v>Thiết bị xới cỏ</v>
      </c>
      <c r="G362" s="80" t="s">
        <v>6423</v>
      </c>
      <c r="H362" s="463" t="str">
        <f>IFERROR(VLOOKUP(B362,'03. THIẾT BỊ'!$B$1:$S$836,7,0),"")</f>
        <v>XN Bò AD</v>
      </c>
      <c r="I362" s="474">
        <f>IFERROR(VLOOKUP(B362,'03. THIẾT BỊ'!$B$1:$S$836,8,0),"")</f>
        <v>45515</v>
      </c>
      <c r="J362" s="471"/>
      <c r="K362" s="463" t="str">
        <f>IFERROR(VLOOKUP(B362,'03. THIẾT BỊ'!$B$1:$S$836,10,0),"")</f>
        <v>Bình thường</v>
      </c>
      <c r="L362" s="468" t="str">
        <f>IFERROR(VLOOKUP(B362,'03. THIẾT BỊ'!$B$1:$S$836,11,0),"")</f>
        <v/>
      </c>
      <c r="M362" s="472" t="str">
        <f>IFERROR(VLOOKUP(B362,'03. THIẾT BỊ'!$B$1:$S$836,12,0),"")</f>
        <v>Gia công mới</v>
      </c>
      <c r="N362" s="468" t="str">
        <f>IFERROR(VLOOKUP(B362,'03. THIẾT BỊ'!$B$1:$S$836,13,0),"")</f>
        <v>THACO AGRI</v>
      </c>
      <c r="O362" s="470" t="str">
        <f>IFERROR(VLOOKUP(B362,'03. THIẾT BỊ'!$B$1:$S$836,14,0),"")</f>
        <v>CK-DXC-01</v>
      </c>
      <c r="P362" s="468" t="str">
        <f>IFERROR(VLOOKUP(B362,'03. THIẾT BỊ'!$B$1:$S$836,15,0),"")</f>
        <v>CK-CGH</v>
      </c>
      <c r="Q362" s="48">
        <f>IFERROR(VLOOKUP(B362,'03. THIẾT BỊ'!$B$1:$S$836,16,0),"")</f>
        <v>2024</v>
      </c>
      <c r="R362" s="471" t="str">
        <f>IFERROR(VLOOKUP(B362,'03. THIẾT BỊ'!$B$1:$S$836,17,0),"")</f>
        <v>3x3x1,4m</v>
      </c>
      <c r="S362" s="468" t="str">
        <f>IFERROR(VLOOKUP(B362,'03. THIẾT BỊ'!$B$1:$S$836,18,0),"")</f>
        <v/>
      </c>
      <c r="T362" s="807"/>
    </row>
    <row r="363" ht="15.0" customHeight="1">
      <c r="A363" s="463"/>
      <c r="B363" s="464"/>
      <c r="C363" s="869" t="str">
        <f>IFERROR(VLOOKUP(B363,'03. THIẾT BỊ'!$B$1:$S$836,2,0),"")</f>
        <v/>
      </c>
      <c r="D363" s="470" t="str">
        <f>IFERROR(VLOOKUP(B363,'03. THIẾT BỊ'!$B$1:$S$836,3,0),"")</f>
        <v/>
      </c>
      <c r="E363" s="464" t="str">
        <f>IFERROR(VLOOKUP(B363,'03. THIẾT BỊ'!$B$1:$S$836,4,0),"")</f>
        <v/>
      </c>
      <c r="F363" s="464" t="str">
        <f>IFERROR(VLOOKUP(B363,'03. THIẾT BỊ'!$B$1:$S$836,5,0),"")</f>
        <v/>
      </c>
      <c r="G363" s="80" t="s">
        <v>6423</v>
      </c>
      <c r="H363" s="463" t="str">
        <f>IFERROR(VLOOKUP(B363,'03. THIẾT BỊ'!$B$1:$S$836,7,0),"")</f>
        <v/>
      </c>
      <c r="I363" s="474" t="str">
        <f>IFERROR(VLOOKUP(B363,'03. THIẾT BỊ'!$B$1:$S$836,8,0),"")</f>
        <v/>
      </c>
      <c r="J363" s="471"/>
      <c r="K363" s="463" t="str">
        <f>IFERROR(VLOOKUP(B363,'03. THIẾT BỊ'!$B$1:$S$836,10,0),"")</f>
        <v/>
      </c>
      <c r="L363" s="468" t="str">
        <f>IFERROR(VLOOKUP(B363,'03. THIẾT BỊ'!$B$1:$S$836,11,0),"")</f>
        <v/>
      </c>
      <c r="M363" s="472" t="str">
        <f>IFERROR(VLOOKUP(B363,'03. THIẾT BỊ'!$B$1:$S$836,12,0),"")</f>
        <v/>
      </c>
      <c r="N363" s="468" t="str">
        <f>IFERROR(VLOOKUP(B363,'03. THIẾT BỊ'!$B$1:$S$836,13,0),"")</f>
        <v/>
      </c>
      <c r="O363" s="470" t="str">
        <f>IFERROR(VLOOKUP(B363,'03. THIẾT BỊ'!$B$1:$S$836,14,0),"")</f>
        <v/>
      </c>
      <c r="P363" s="468" t="str">
        <f>IFERROR(VLOOKUP(B363,'03. THIẾT BỊ'!$B$1:$S$836,15,0),"")</f>
        <v/>
      </c>
      <c r="Q363" s="48" t="str">
        <f>IFERROR(VLOOKUP(B363,'03. THIẾT BỊ'!$B$1:$S$836,16,0),"")</f>
        <v/>
      </c>
      <c r="R363" s="471" t="str">
        <f>IFERROR(VLOOKUP(B363,'03. THIẾT BỊ'!$B$1:$S$836,17,0),"")</f>
        <v/>
      </c>
      <c r="S363" s="468" t="str">
        <f>IFERROR(VLOOKUP(B363,'03. THIẾT BỊ'!$B$1:$S$836,18,0),"")</f>
        <v/>
      </c>
      <c r="T363" s="959"/>
    </row>
    <row r="364" ht="15.0" hidden="1" customHeight="1">
      <c r="A364" s="463"/>
      <c r="B364" s="464"/>
      <c r="C364" s="869" t="str">
        <f>IFERROR(VLOOKUP(B364,'03. THIẾT BỊ'!$B$1:$S$836,2,0),"")</f>
        <v/>
      </c>
      <c r="D364" s="470" t="str">
        <f>IFERROR(VLOOKUP(B364,'03. THIẾT BỊ'!$B$1:$S$836,3,0),"")</f>
        <v/>
      </c>
      <c r="E364" s="464" t="str">
        <f>IFERROR(VLOOKUP(B364,'03. THIẾT BỊ'!$B$1:$S$836,4,0),"")</f>
        <v/>
      </c>
      <c r="F364" s="464" t="str">
        <f>IFERROR(VLOOKUP(B364,'03. THIẾT BỊ'!$B$1:$S$836,5,0),"")</f>
        <v/>
      </c>
      <c r="G364" s="80" t="s">
        <v>6423</v>
      </c>
      <c r="H364" s="463" t="str">
        <f>IFERROR(VLOOKUP(B364,'03. THIẾT BỊ'!$B$1:$S$836,7,0),"")</f>
        <v/>
      </c>
      <c r="I364" s="474" t="str">
        <f>IFERROR(VLOOKUP(B364,'03. THIẾT BỊ'!$B$1:$S$836,8,0),"")</f>
        <v/>
      </c>
      <c r="J364" s="471"/>
      <c r="K364" s="463" t="str">
        <f>IFERROR(VLOOKUP(B364,'03. THIẾT BỊ'!$B$1:$S$836,10,0),"")</f>
        <v/>
      </c>
      <c r="L364" s="468" t="str">
        <f>IFERROR(VLOOKUP(B364,'03. THIẾT BỊ'!$B$1:$S$836,11,0),"")</f>
        <v/>
      </c>
      <c r="M364" s="472" t="str">
        <f>IFERROR(VLOOKUP(B364,'03. THIẾT BỊ'!$B$1:$S$836,12,0),"")</f>
        <v/>
      </c>
      <c r="N364" s="468" t="str">
        <f>IFERROR(VLOOKUP(B364,'03. THIẾT BỊ'!$B$1:$S$836,13,0),"")</f>
        <v/>
      </c>
      <c r="O364" s="470" t="str">
        <f>IFERROR(VLOOKUP(B364,'03. THIẾT BỊ'!$B$1:$S$836,14,0),"")</f>
        <v/>
      </c>
      <c r="P364" s="468" t="str">
        <f>IFERROR(VLOOKUP(B364,'03. THIẾT BỊ'!$B$1:$S$836,15,0),"")</f>
        <v/>
      </c>
      <c r="Q364" s="48" t="str">
        <f>IFERROR(VLOOKUP(B364,'03. THIẾT BỊ'!$B$1:$S$836,16,0),"")</f>
        <v/>
      </c>
      <c r="R364" s="471" t="str">
        <f>IFERROR(VLOOKUP(B364,'03. THIẾT BỊ'!$B$1:$S$836,17,0),"")</f>
        <v/>
      </c>
      <c r="S364" s="468" t="str">
        <f>IFERROR(VLOOKUP(B364,'03. THIẾT BỊ'!$B$1:$S$836,18,0),"")</f>
        <v/>
      </c>
      <c r="T364" s="959"/>
    </row>
    <row r="365" ht="15.0" hidden="1" customHeight="1">
      <c r="A365" s="463"/>
      <c r="B365" s="464"/>
      <c r="C365" s="869" t="str">
        <f>IFERROR(VLOOKUP(B365,'03. THIẾT BỊ'!$B$1:$S$836,2,0),"")</f>
        <v/>
      </c>
      <c r="D365" s="470" t="str">
        <f>IFERROR(VLOOKUP(B365,'03. THIẾT BỊ'!$B$1:$S$836,3,0),"")</f>
        <v/>
      </c>
      <c r="E365" s="464" t="str">
        <f>IFERROR(VLOOKUP(B365,'03. THIẾT BỊ'!$B$1:$S$836,4,0),"")</f>
        <v/>
      </c>
      <c r="F365" s="464" t="str">
        <f>IFERROR(VLOOKUP(B365,'03. THIẾT BỊ'!$B$1:$S$836,5,0),"")</f>
        <v/>
      </c>
      <c r="G365" s="80" t="s">
        <v>6423</v>
      </c>
      <c r="H365" s="463" t="str">
        <f>IFERROR(VLOOKUP(B365,'03. THIẾT BỊ'!$B$1:$S$836,7,0),"")</f>
        <v/>
      </c>
      <c r="I365" s="474" t="str">
        <f>IFERROR(VLOOKUP(B365,'03. THIẾT BỊ'!$B$1:$S$836,8,0),"")</f>
        <v/>
      </c>
      <c r="J365" s="471"/>
      <c r="K365" s="463" t="str">
        <f>IFERROR(VLOOKUP(B365,'03. THIẾT BỊ'!$B$1:$S$836,10,0),"")</f>
        <v/>
      </c>
      <c r="L365" s="468" t="str">
        <f>IFERROR(VLOOKUP(B365,'03. THIẾT BỊ'!$B$1:$S$836,11,0),"")</f>
        <v/>
      </c>
      <c r="M365" s="472" t="str">
        <f>IFERROR(VLOOKUP(B365,'03. THIẾT BỊ'!$B$1:$S$836,12,0),"")</f>
        <v/>
      </c>
      <c r="N365" s="468" t="str">
        <f>IFERROR(VLOOKUP(B365,'03. THIẾT BỊ'!$B$1:$S$836,13,0),"")</f>
        <v/>
      </c>
      <c r="O365" s="470" t="str">
        <f>IFERROR(VLOOKUP(B365,'03. THIẾT BỊ'!$B$1:$S$836,14,0),"")</f>
        <v/>
      </c>
      <c r="P365" s="468" t="str">
        <f>IFERROR(VLOOKUP(B365,'03. THIẾT BỊ'!$B$1:$S$836,15,0),"")</f>
        <v/>
      </c>
      <c r="Q365" s="48" t="str">
        <f>IFERROR(VLOOKUP(B365,'03. THIẾT BỊ'!$B$1:$S$836,16,0),"")</f>
        <v/>
      </c>
      <c r="R365" s="471" t="str">
        <f>IFERROR(VLOOKUP(B365,'03. THIẾT BỊ'!$B$1:$S$836,17,0),"")</f>
        <v/>
      </c>
      <c r="S365" s="468" t="str">
        <f>IFERROR(VLOOKUP(B365,'03. THIẾT BỊ'!$B$1:$S$836,18,0),"")</f>
        <v/>
      </c>
      <c r="T365" s="959"/>
    </row>
    <row r="366" ht="15.0" customHeight="1">
      <c r="A366" s="455" t="s">
        <v>76</v>
      </c>
      <c r="B366" s="456" t="s">
        <v>8699</v>
      </c>
      <c r="C366" s="457">
        <f>COUNTA(B367:B393)</f>
        <v>26</v>
      </c>
      <c r="D366" s="458" t="str">
        <f>IFERROR(VLOOKUP(B366,'03. THIẾT BỊ'!$B$1:$S$836,3,0),"")</f>
        <v/>
      </c>
      <c r="E366" s="464" t="str">
        <f>IFERROR(VLOOKUP(B366,'03. THIẾT BỊ'!$B$1:$S$836,4,0),"")</f>
        <v/>
      </c>
      <c r="F366" s="458" t="str">
        <f>IFERROR(VLOOKUP(B366,'03. THIẾT BỊ'!$B$1:$S$836,5,0),"")</f>
        <v/>
      </c>
      <c r="G366" s="459" t="s">
        <v>6423</v>
      </c>
      <c r="H366" s="459" t="str">
        <f>IFERROR(VLOOKUP(B366,'03. THIẾT BỊ'!$B$1:$S$836,7,0),"")</f>
        <v/>
      </c>
      <c r="I366" s="457" t="str">
        <f>IFERROR(VLOOKUP(B366,'03. THIẾT BỊ'!$B$1:$S$836,8,0),"")</f>
        <v/>
      </c>
      <c r="J366" s="460"/>
      <c r="K366" s="457" t="str">
        <f>IFERROR(VLOOKUP(B366,'03. THIẾT BỊ'!$B$1:$S$836,10,0),"")</f>
        <v/>
      </c>
      <c r="L366" s="458" t="str">
        <f>IFERROR(VLOOKUP(B366,'03. THIẾT BỊ'!$B$1:$S$836,11,0),"")</f>
        <v/>
      </c>
      <c r="M366" s="461" t="str">
        <f>IFERROR(VLOOKUP(B366,'03. THIẾT BỊ'!$B$1:$S$836,12,0),"")</f>
        <v/>
      </c>
      <c r="N366" s="458" t="str">
        <f>IFERROR(VLOOKUP(B366,'03. THIẾT BỊ'!$B$1:$S$836,13,0),"")</f>
        <v/>
      </c>
      <c r="O366" s="461" t="str">
        <f>IFERROR(VLOOKUP(B366,'03. THIẾT BỊ'!$B$1:$S$836,14,0),"")</f>
        <v/>
      </c>
      <c r="P366" s="458" t="str">
        <f>IFERROR(VLOOKUP(B366,'03. THIẾT BỊ'!$B$1:$S$836,15,0),"")</f>
        <v/>
      </c>
      <c r="Q366" s="459" t="str">
        <f>IFERROR(VLOOKUP(B366,'03. THIẾT BỊ'!$B$1:$S$836,16,0),"")</f>
        <v/>
      </c>
      <c r="R366" s="458" t="str">
        <f>IFERROR(VLOOKUP(B366,'03. THIẾT BỊ'!$B$1:$S$836,17,0),"")</f>
        <v/>
      </c>
      <c r="S366" s="458" t="str">
        <f>IFERROR(VLOOKUP(B366,'03. THIẾT BỊ'!$B$1:$S$836,18,0),"")</f>
        <v/>
      </c>
      <c r="T366" s="866"/>
    </row>
    <row r="367" ht="15.0" customHeight="1">
      <c r="A367" s="475">
        <v>1.0</v>
      </c>
      <c r="B367" s="464" t="s">
        <v>3887</v>
      </c>
      <c r="C367" s="869" t="str">
        <f>IFERROR(VLOOKUP(B367,'03. THIẾT BỊ'!$B$1:$S$836,2,0),"")</f>
        <v>RMC 02- VC KLH</v>
      </c>
      <c r="D367" s="470" t="str">
        <f>IFERROR(VLOOKUP(B367,'03. THIẾT BỊ'!$B$1:$S$836,3,0),"")</f>
        <v>A23-RMC-001</v>
      </c>
      <c r="E367" s="464" t="str">
        <f>IFERROR(VLOOKUP(B367,'03. THIẾT BỊ'!$B$1:$S$836,4,0),"")</f>
        <v>ĐQSD</v>
      </c>
      <c r="F367" s="464" t="str">
        <f>IFERROR(VLOOKUP(B367,'03. THIẾT BỊ'!$B$1:$S$836,5,0),"")</f>
        <v>Rơ mooc thu hoạch</v>
      </c>
      <c r="G367" s="80" t="s">
        <v>6423</v>
      </c>
      <c r="H367" s="463" t="str">
        <f>IFERROR(VLOOKUP(B367,'03. THIẾT BỊ'!$B$1:$S$836,7,0),"")</f>
        <v>XN Chuối DP1</v>
      </c>
      <c r="I367" s="474" t="str">
        <f>IFERROR(VLOOKUP(B367,'03. THIẾT BỊ'!$B$1:$S$836,8,0),"")</f>
        <v/>
      </c>
      <c r="J367" s="471"/>
      <c r="K367" s="463" t="str">
        <f>IFERROR(VLOOKUP(B367,'03. THIẾT BỊ'!$B$1:$S$836,10,0),"")</f>
        <v>Bình thường</v>
      </c>
      <c r="L367" s="468" t="str">
        <f>IFERROR(VLOOKUP(B367,'03. THIẾT BỊ'!$B$1:$S$836,11,0),"")</f>
        <v/>
      </c>
      <c r="M367" s="472" t="str">
        <f>IFERROR(VLOOKUP(B367,'03. THIẾT BỊ'!$B$1:$S$836,12,0),"")</f>
        <v/>
      </c>
      <c r="N367" s="468" t="str">
        <f>IFERROR(VLOOKUP(B367,'03. THIẾT BỊ'!$B$1:$S$836,13,0),"")</f>
        <v>THACO AGRI</v>
      </c>
      <c r="O367" s="470" t="str">
        <f>IFERROR(VLOOKUP(B367,'03. THIẾT BỊ'!$B$1:$S$836,14,0),"")</f>
        <v/>
      </c>
      <c r="P367" s="468" t="str">
        <f>IFERROR(VLOOKUP(B367,'03. THIẾT BỊ'!$B$1:$S$836,15,0),"")</f>
        <v>CK-CGH</v>
      </c>
      <c r="Q367" s="48" t="str">
        <f>IFERROR(VLOOKUP(B367,'03. THIẾT BỊ'!$B$1:$S$836,16,0),"")</f>
        <v/>
      </c>
      <c r="R367" s="471" t="str">
        <f>IFERROR(VLOOKUP(B367,'03. THIẾT BỊ'!$B$1:$S$836,17,0),"")</f>
        <v/>
      </c>
      <c r="S367" s="468">
        <f>IFERROR(VLOOKUP(B367,'03. THIẾT BỊ'!$B$1:$S$836,18,0),"")</f>
        <v>44</v>
      </c>
      <c r="T367" s="807"/>
    </row>
    <row r="368" ht="15.0" customHeight="1">
      <c r="A368" s="475">
        <f t="shared" ref="A368:A392" si="19">A367+1</f>
        <v>2</v>
      </c>
      <c r="B368" s="464" t="s">
        <v>3889</v>
      </c>
      <c r="C368" s="869" t="str">
        <f>IFERROR(VLOOKUP(B368,'03. THIẾT BỊ'!$B$1:$S$836,2,0),"")</f>
        <v>RMC 03- VC KLH</v>
      </c>
      <c r="D368" s="470" t="str">
        <f>IFERROR(VLOOKUP(B368,'03. THIẾT BỊ'!$B$1:$S$836,3,0),"")</f>
        <v>A23-RMC-002</v>
      </c>
      <c r="E368" s="464" t="str">
        <f>IFERROR(VLOOKUP(B368,'03. THIẾT BỊ'!$B$1:$S$836,4,0),"")</f>
        <v>ĐQSD</v>
      </c>
      <c r="F368" s="464" t="str">
        <f>IFERROR(VLOOKUP(B368,'03. THIẾT BỊ'!$B$1:$S$836,5,0),"")</f>
        <v>Rơ mooc thu hoạch</v>
      </c>
      <c r="G368" s="80" t="s">
        <v>6423</v>
      </c>
      <c r="H368" s="463" t="str">
        <f>IFERROR(VLOOKUP(B368,'03. THIẾT BỊ'!$B$1:$S$836,7,0),"")</f>
        <v>XN Chuối DP1</v>
      </c>
      <c r="I368" s="474" t="str">
        <f>IFERROR(VLOOKUP(B368,'03. THIẾT BỊ'!$B$1:$S$836,8,0),"")</f>
        <v/>
      </c>
      <c r="J368" s="471"/>
      <c r="K368" s="463" t="str">
        <f>IFERROR(VLOOKUP(B368,'03. THIẾT BỊ'!$B$1:$S$836,10,0),"")</f>
        <v>Bình thường</v>
      </c>
      <c r="L368" s="468" t="str">
        <f>IFERROR(VLOOKUP(B368,'03. THIẾT BỊ'!$B$1:$S$836,11,0),"")</f>
        <v/>
      </c>
      <c r="M368" s="472" t="str">
        <f>IFERROR(VLOOKUP(B368,'03. THIẾT BỊ'!$B$1:$S$836,12,0),"")</f>
        <v/>
      </c>
      <c r="N368" s="468" t="str">
        <f>IFERROR(VLOOKUP(B368,'03. THIẾT BỊ'!$B$1:$S$836,13,0),"")</f>
        <v>THACO AGRI</v>
      </c>
      <c r="O368" s="470" t="str">
        <f>IFERROR(VLOOKUP(B368,'03. THIẾT BỊ'!$B$1:$S$836,14,0),"")</f>
        <v/>
      </c>
      <c r="P368" s="468" t="str">
        <f>IFERROR(VLOOKUP(B368,'03. THIẾT BỊ'!$B$1:$S$836,15,0),"")</f>
        <v>CK-CGH</v>
      </c>
      <c r="Q368" s="48" t="str">
        <f>IFERROR(VLOOKUP(B368,'03. THIẾT BỊ'!$B$1:$S$836,16,0),"")</f>
        <v/>
      </c>
      <c r="R368" s="471" t="str">
        <f>IFERROR(VLOOKUP(B368,'03. THIẾT BỊ'!$B$1:$S$836,17,0),"")</f>
        <v/>
      </c>
      <c r="S368" s="468">
        <f>IFERROR(VLOOKUP(B368,'03. THIẾT BỊ'!$B$1:$S$836,18,0),"")</f>
        <v>40</v>
      </c>
      <c r="T368" s="807"/>
    </row>
    <row r="369" ht="15.0" customHeight="1">
      <c r="A369" s="475">
        <f t="shared" si="19"/>
        <v>3</v>
      </c>
      <c r="B369" s="464" t="s">
        <v>3892</v>
      </c>
      <c r="C369" s="869" t="str">
        <f>IFERROR(VLOOKUP(B369,'03. THIẾT BỊ'!$B$1:$S$836,2,0),"")</f>
        <v>XA2-RMC-004</v>
      </c>
      <c r="D369" s="470" t="str">
        <f>IFERROR(VLOOKUP(B369,'03. THIẾT BỊ'!$B$1:$S$836,3,0),"")</f>
        <v/>
      </c>
      <c r="E369" s="464" t="str">
        <f>IFERROR(VLOOKUP(B369,'03. THIẾT BỊ'!$B$1:$S$836,4,0),"")</f>
        <v>ĐQSD</v>
      </c>
      <c r="F369" s="464" t="str">
        <f>IFERROR(VLOOKUP(B369,'03. THIẾT BỊ'!$B$1:$S$836,5,0),"")</f>
        <v>Rơ mooc thu hoạch</v>
      </c>
      <c r="G369" s="80" t="s">
        <v>6423</v>
      </c>
      <c r="H369" s="463" t="str">
        <f>IFERROR(VLOOKUP(B369,'03. THIẾT BỊ'!$B$1:$S$836,7,0),"")</f>
        <v>XN Chuối DP1</v>
      </c>
      <c r="I369" s="474" t="str">
        <f>IFERROR(VLOOKUP(B369,'03. THIẾT BỊ'!$B$1:$S$836,8,0),"")</f>
        <v/>
      </c>
      <c r="J369" s="471"/>
      <c r="K369" s="463" t="str">
        <f>IFERROR(VLOOKUP(B369,'03. THIẾT BỊ'!$B$1:$S$836,10,0),"")</f>
        <v>Bình thường</v>
      </c>
      <c r="L369" s="468" t="str">
        <f>IFERROR(VLOOKUP(B369,'03. THIẾT BỊ'!$B$1:$S$836,11,0),"")</f>
        <v>AD2 điều chuyển ngày 23/02/2025</v>
      </c>
      <c r="M369" s="472" t="str">
        <f>IFERROR(VLOOKUP(B369,'03. THIẾT BỊ'!$B$1:$S$836,12,0),"")</f>
        <v/>
      </c>
      <c r="N369" s="468" t="str">
        <f>IFERROR(VLOOKUP(B369,'03. THIẾT BỊ'!$B$1:$S$836,13,0),"")</f>
        <v>THACO AGRI</v>
      </c>
      <c r="O369" s="470" t="str">
        <f>IFERROR(VLOOKUP(B369,'03. THIẾT BỊ'!$B$1:$S$836,14,0),"")</f>
        <v/>
      </c>
      <c r="P369" s="468" t="str">
        <f>IFERROR(VLOOKUP(B369,'03. THIẾT BỊ'!$B$1:$S$836,15,0),"")</f>
        <v>CK-CGH</v>
      </c>
      <c r="Q369" s="48" t="str">
        <f>IFERROR(VLOOKUP(B369,'03. THIẾT BỊ'!$B$1:$S$836,16,0),"")</f>
        <v/>
      </c>
      <c r="R369" s="471" t="str">
        <f>IFERROR(VLOOKUP(B369,'03. THIẾT BỊ'!$B$1:$S$836,17,0),"")</f>
        <v/>
      </c>
      <c r="S369" s="468" t="str">
        <f>IFERROR(VLOOKUP(B369,'03. THIẾT BỊ'!$B$1:$S$836,18,0),"")</f>
        <v/>
      </c>
      <c r="T369" s="807"/>
    </row>
    <row r="370" ht="15.0" customHeight="1">
      <c r="A370" s="475">
        <f t="shared" si="19"/>
        <v>4</v>
      </c>
      <c r="B370" s="464" t="s">
        <v>4066</v>
      </c>
      <c r="C370" s="869" t="str">
        <f>IFERROR(VLOOKUP(B370,'03. THIẾT BỊ'!$B$1:$S$836,2,0),"")</f>
        <v>RMC 04-VC KLH</v>
      </c>
      <c r="D370" s="470" t="str">
        <f>IFERROR(VLOOKUP(B370,'03. THIẾT BỊ'!$B$1:$S$836,3,0),"")</f>
        <v>A23-RMC-002</v>
      </c>
      <c r="E370" s="464" t="str">
        <f>IFERROR(VLOOKUP(B370,'03. THIẾT BỊ'!$B$1:$S$836,4,0),"")</f>
        <v>ĐQSD</v>
      </c>
      <c r="F370" s="464" t="str">
        <f>IFERROR(VLOOKUP(B370,'03. THIẾT BỊ'!$B$1:$S$836,5,0),"")</f>
        <v>Rơ mooc thu hoạch</v>
      </c>
      <c r="G370" s="80" t="s">
        <v>6423</v>
      </c>
      <c r="H370" s="463" t="str">
        <f>IFERROR(VLOOKUP(B370,'03. THIẾT BỊ'!$B$1:$S$836,7,0),"")</f>
        <v>XN Chuối DP2</v>
      </c>
      <c r="I370" s="474" t="str">
        <f>IFERROR(VLOOKUP(B370,'03. THIẾT BỊ'!$B$1:$S$836,8,0),"")</f>
        <v/>
      </c>
      <c r="J370" s="471"/>
      <c r="K370" s="463" t="str">
        <f>IFERROR(VLOOKUP(B370,'03. THIẾT BỊ'!$B$1:$S$836,10,0),"")</f>
        <v>Bình thường</v>
      </c>
      <c r="L370" s="468" t="str">
        <f>IFERROR(VLOOKUP(B370,'03. THIẾT BỊ'!$B$1:$S$836,11,0),"")</f>
        <v/>
      </c>
      <c r="M370" s="472" t="str">
        <f>IFERROR(VLOOKUP(B370,'03. THIẾT BỊ'!$B$1:$S$836,12,0),"")</f>
        <v/>
      </c>
      <c r="N370" s="468" t="str">
        <f>IFERROR(VLOOKUP(B370,'03. THIẾT BỊ'!$B$1:$S$836,13,0),"")</f>
        <v>THACO AGRI</v>
      </c>
      <c r="O370" s="470" t="str">
        <f>IFERROR(VLOOKUP(B370,'03. THIẾT BỊ'!$B$1:$S$836,14,0),"")</f>
        <v/>
      </c>
      <c r="P370" s="468" t="str">
        <f>IFERROR(VLOOKUP(B370,'03. THIẾT BỊ'!$B$1:$S$836,15,0),"")</f>
        <v>CK-CGH</v>
      </c>
      <c r="Q370" s="48" t="str">
        <f>IFERROR(VLOOKUP(B370,'03. THIẾT BỊ'!$B$1:$S$836,16,0),"")</f>
        <v/>
      </c>
      <c r="R370" s="471" t="str">
        <f>IFERROR(VLOOKUP(B370,'03. THIẾT BỊ'!$B$1:$S$836,17,0),"")</f>
        <v/>
      </c>
      <c r="S370" s="468">
        <f>IFERROR(VLOOKUP(B370,'03. THIẾT BỊ'!$B$1:$S$836,18,0),"")</f>
        <v>40</v>
      </c>
      <c r="T370" s="959"/>
    </row>
    <row r="371" ht="15.0" customHeight="1">
      <c r="A371" s="475">
        <f t="shared" si="19"/>
        <v>5</v>
      </c>
      <c r="B371" s="464" t="s">
        <v>4068</v>
      </c>
      <c r="C371" s="869" t="str">
        <f>IFERROR(VLOOKUP(B371,'03. THIẾT BỊ'!$B$1:$S$836,2,0),"")</f>
        <v>RMC 05-VC KLH</v>
      </c>
      <c r="D371" s="470" t="str">
        <f>IFERROR(VLOOKUP(B371,'03. THIẾT BỊ'!$B$1:$S$836,3,0),"")</f>
        <v>A23-RMC-003</v>
      </c>
      <c r="E371" s="464" t="str">
        <f>IFERROR(VLOOKUP(B371,'03. THIẾT BỊ'!$B$1:$S$836,4,0),"")</f>
        <v>ĐQSD</v>
      </c>
      <c r="F371" s="464" t="str">
        <f>IFERROR(VLOOKUP(B371,'03. THIẾT BỊ'!$B$1:$S$836,5,0),"")</f>
        <v>Rơ mooc thu hoạch</v>
      </c>
      <c r="G371" s="80" t="s">
        <v>6423</v>
      </c>
      <c r="H371" s="463" t="str">
        <f>IFERROR(VLOOKUP(B371,'03. THIẾT BỊ'!$B$1:$S$836,7,0),"")</f>
        <v>XN Chuối DP2</v>
      </c>
      <c r="I371" s="474" t="str">
        <f>IFERROR(VLOOKUP(B371,'03. THIẾT BỊ'!$B$1:$S$836,8,0),"")</f>
        <v/>
      </c>
      <c r="J371" s="471"/>
      <c r="K371" s="463" t="str">
        <f>IFERROR(VLOOKUP(B371,'03. THIẾT BỊ'!$B$1:$S$836,10,0),"")</f>
        <v>Bình thường</v>
      </c>
      <c r="L371" s="468" t="str">
        <f>IFERROR(VLOOKUP(B371,'03. THIẾT BỊ'!$B$1:$S$836,11,0),"")</f>
        <v/>
      </c>
      <c r="M371" s="472" t="str">
        <f>IFERROR(VLOOKUP(B371,'03. THIẾT BỊ'!$B$1:$S$836,12,0),"")</f>
        <v/>
      </c>
      <c r="N371" s="468" t="str">
        <f>IFERROR(VLOOKUP(B371,'03. THIẾT BỊ'!$B$1:$S$836,13,0),"")</f>
        <v>THACO AGRI</v>
      </c>
      <c r="O371" s="470" t="str">
        <f>IFERROR(VLOOKUP(B371,'03. THIẾT BỊ'!$B$1:$S$836,14,0),"")</f>
        <v/>
      </c>
      <c r="P371" s="468" t="str">
        <f>IFERROR(VLOOKUP(B371,'03. THIẾT BỊ'!$B$1:$S$836,15,0),"")</f>
        <v>CK-CGH</v>
      </c>
      <c r="Q371" s="48" t="str">
        <f>IFERROR(VLOOKUP(B371,'03. THIẾT BỊ'!$B$1:$S$836,16,0),"")</f>
        <v/>
      </c>
      <c r="R371" s="471" t="str">
        <f>IFERROR(VLOOKUP(B371,'03. THIẾT BỊ'!$B$1:$S$836,17,0),"")</f>
        <v/>
      </c>
      <c r="S371" s="468">
        <f>IFERROR(VLOOKUP(B371,'03. THIẾT BỊ'!$B$1:$S$836,18,0),"")</f>
        <v>40</v>
      </c>
      <c r="T371" s="959"/>
    </row>
    <row r="372" ht="15.0" customHeight="1">
      <c r="A372" s="475">
        <f t="shared" si="19"/>
        <v>6</v>
      </c>
      <c r="B372" s="464" t="s">
        <v>4071</v>
      </c>
      <c r="C372" s="869" t="str">
        <f>IFERROR(VLOOKUP(B372,'03. THIẾT BỊ'!$B$1:$S$836,2,0),"")</f>
        <v>RMC 06-VC KLH</v>
      </c>
      <c r="D372" s="470" t="str">
        <f>IFERROR(VLOOKUP(B372,'03. THIẾT BỊ'!$B$1:$S$836,3,0),"")</f>
        <v>A23-RMC-004</v>
      </c>
      <c r="E372" s="464" t="str">
        <f>IFERROR(VLOOKUP(B372,'03. THIẾT BỊ'!$B$1:$S$836,4,0),"")</f>
        <v>ĐQSD</v>
      </c>
      <c r="F372" s="464" t="str">
        <f>IFERROR(VLOOKUP(B372,'03. THIẾT BỊ'!$B$1:$S$836,5,0),"")</f>
        <v>Rơ mooc thu hoạch</v>
      </c>
      <c r="G372" s="80" t="s">
        <v>6423</v>
      </c>
      <c r="H372" s="463" t="str">
        <f>IFERROR(VLOOKUP(B372,'03. THIẾT BỊ'!$B$1:$S$836,7,0),"")</f>
        <v>XN Chuối DP2</v>
      </c>
      <c r="I372" s="474" t="str">
        <f>IFERROR(VLOOKUP(B372,'03. THIẾT BỊ'!$B$1:$S$836,8,0),"")</f>
        <v/>
      </c>
      <c r="J372" s="471"/>
      <c r="K372" s="463" t="str">
        <f>IFERROR(VLOOKUP(B372,'03. THIẾT BỊ'!$B$1:$S$836,10,0),"")</f>
        <v>Bình thường</v>
      </c>
      <c r="L372" s="468" t="str">
        <f>IFERROR(VLOOKUP(B372,'03. THIẾT BỊ'!$B$1:$S$836,11,0),"")</f>
        <v/>
      </c>
      <c r="M372" s="472" t="str">
        <f>IFERROR(VLOOKUP(B372,'03. THIẾT BỊ'!$B$1:$S$836,12,0),"")</f>
        <v/>
      </c>
      <c r="N372" s="468" t="str">
        <f>IFERROR(VLOOKUP(B372,'03. THIẾT BỊ'!$B$1:$S$836,13,0),"")</f>
        <v>THACO AGRI</v>
      </c>
      <c r="O372" s="470" t="str">
        <f>IFERROR(VLOOKUP(B372,'03. THIẾT BỊ'!$B$1:$S$836,14,0),"")</f>
        <v/>
      </c>
      <c r="P372" s="468" t="str">
        <f>IFERROR(VLOOKUP(B372,'03. THIẾT BỊ'!$B$1:$S$836,15,0),"")</f>
        <v>CK-CGH</v>
      </c>
      <c r="Q372" s="48" t="str">
        <f>IFERROR(VLOOKUP(B372,'03. THIẾT BỊ'!$B$1:$S$836,16,0),"")</f>
        <v/>
      </c>
      <c r="R372" s="471" t="str">
        <f>IFERROR(VLOOKUP(B372,'03. THIẾT BỊ'!$B$1:$S$836,17,0),"")</f>
        <v/>
      </c>
      <c r="S372" s="468">
        <f>IFERROR(VLOOKUP(B372,'03. THIẾT BỊ'!$B$1:$S$836,18,0),"")</f>
        <v>40</v>
      </c>
      <c r="T372" s="959"/>
    </row>
    <row r="373" ht="15.0" customHeight="1">
      <c r="A373" s="475">
        <f t="shared" si="19"/>
        <v>7</v>
      </c>
      <c r="B373" s="464" t="s">
        <v>4074</v>
      </c>
      <c r="C373" s="869" t="str">
        <f>IFERROR(VLOOKUP(B373,'03. THIẾT BỊ'!$B$1:$S$836,2,0),"")</f>
        <v>RMC 08-VC KLH</v>
      </c>
      <c r="D373" s="470" t="str">
        <f>IFERROR(VLOOKUP(B373,'03. THIẾT BỊ'!$B$1:$S$836,3,0),"")</f>
        <v>A23-RMC-005</v>
      </c>
      <c r="E373" s="464" t="str">
        <f>IFERROR(VLOOKUP(B373,'03. THIẾT BỊ'!$B$1:$S$836,4,0),"")</f>
        <v>ĐQSD</v>
      </c>
      <c r="F373" s="464" t="str">
        <f>IFERROR(VLOOKUP(B373,'03. THIẾT BỊ'!$B$1:$S$836,5,0),"")</f>
        <v>Rơ mooc thu hoạch</v>
      </c>
      <c r="G373" s="80" t="s">
        <v>6423</v>
      </c>
      <c r="H373" s="463" t="str">
        <f>IFERROR(VLOOKUP(B373,'03. THIẾT BỊ'!$B$1:$S$836,7,0),"")</f>
        <v>XN Chuối DP2</v>
      </c>
      <c r="I373" s="474" t="str">
        <f>IFERROR(VLOOKUP(B373,'03. THIẾT BỊ'!$B$1:$S$836,8,0),"")</f>
        <v/>
      </c>
      <c r="J373" s="471"/>
      <c r="K373" s="463" t="str">
        <f>IFERROR(VLOOKUP(B373,'03. THIẾT BỊ'!$B$1:$S$836,10,0),"")</f>
        <v>Bình thường</v>
      </c>
      <c r="L373" s="468" t="str">
        <f>IFERROR(VLOOKUP(B373,'03. THIẾT BỊ'!$B$1:$S$836,11,0),"")</f>
        <v/>
      </c>
      <c r="M373" s="472" t="str">
        <f>IFERROR(VLOOKUP(B373,'03. THIẾT BỊ'!$B$1:$S$836,12,0),"")</f>
        <v/>
      </c>
      <c r="N373" s="468" t="str">
        <f>IFERROR(VLOOKUP(B373,'03. THIẾT BỊ'!$B$1:$S$836,13,0),"")</f>
        <v>THACO AGRI</v>
      </c>
      <c r="O373" s="470" t="str">
        <f>IFERROR(VLOOKUP(B373,'03. THIẾT BỊ'!$B$1:$S$836,14,0),"")</f>
        <v/>
      </c>
      <c r="P373" s="468" t="str">
        <f>IFERROR(VLOOKUP(B373,'03. THIẾT BỊ'!$B$1:$S$836,15,0),"")</f>
        <v>CK-CGH</v>
      </c>
      <c r="Q373" s="48" t="str">
        <f>IFERROR(VLOOKUP(B373,'03. THIẾT BỊ'!$B$1:$S$836,16,0),"")</f>
        <v/>
      </c>
      <c r="R373" s="471" t="str">
        <f>IFERROR(VLOOKUP(B373,'03. THIẾT BỊ'!$B$1:$S$836,17,0),"")</f>
        <v/>
      </c>
      <c r="S373" s="468">
        <f>IFERROR(VLOOKUP(B373,'03. THIẾT BỊ'!$B$1:$S$836,18,0),"")</f>
        <v>44</v>
      </c>
      <c r="T373" s="959"/>
    </row>
    <row r="374" ht="15.0" customHeight="1">
      <c r="A374" s="475">
        <f t="shared" si="19"/>
        <v>8</v>
      </c>
      <c r="B374" s="464" t="s">
        <v>4292</v>
      </c>
      <c r="C374" s="869" t="str">
        <f>IFERROR(VLOOKUP(B374,'03. THIẾT BỊ'!$B$1:$S$836,2,0),"")</f>
        <v>RMC 74-VC KLH</v>
      </c>
      <c r="D374" s="470" t="str">
        <f>IFERROR(VLOOKUP(B374,'03. THIẾT BỊ'!$B$1:$S$836,3,0),"")</f>
        <v>A23-RMC-006</v>
      </c>
      <c r="E374" s="464" t="str">
        <f>IFERROR(VLOOKUP(B374,'03. THIẾT BỊ'!$B$1:$S$836,4,0),"")</f>
        <v>ĐQSD</v>
      </c>
      <c r="F374" s="464" t="str">
        <f>IFERROR(VLOOKUP(B374,'03. THIẾT BỊ'!$B$1:$S$836,5,0),"")</f>
        <v>Rơ mooc thu hoạch</v>
      </c>
      <c r="G374" s="80" t="s">
        <v>6423</v>
      </c>
      <c r="H374" s="463" t="str">
        <f>IFERROR(VLOOKUP(B374,'03. THIẾT BỊ'!$B$1:$S$836,7,0),"")</f>
        <v>XN Chuối DP3</v>
      </c>
      <c r="I374" s="474" t="str">
        <f>IFERROR(VLOOKUP(B374,'03. THIẾT BỊ'!$B$1:$S$836,8,0),"")</f>
        <v/>
      </c>
      <c r="J374" s="471"/>
      <c r="K374" s="463" t="str">
        <f>IFERROR(VLOOKUP(B374,'03. THIẾT BỊ'!$B$1:$S$836,10,0),"")</f>
        <v>Bình thường</v>
      </c>
      <c r="L374" s="468" t="str">
        <f>IFERROR(VLOOKUP(B374,'03. THIẾT BỊ'!$B$1:$S$836,11,0),"")</f>
        <v/>
      </c>
      <c r="M374" s="472" t="str">
        <f>IFERROR(VLOOKUP(B374,'03. THIẾT BỊ'!$B$1:$S$836,12,0),"")</f>
        <v/>
      </c>
      <c r="N374" s="468" t="str">
        <f>IFERROR(VLOOKUP(B374,'03. THIẾT BỊ'!$B$1:$S$836,13,0),"")</f>
        <v>THACO AGRI</v>
      </c>
      <c r="O374" s="470" t="str">
        <f>IFERROR(VLOOKUP(B374,'03. THIẾT BỊ'!$B$1:$S$836,14,0),"")</f>
        <v/>
      </c>
      <c r="P374" s="468" t="str">
        <f>IFERROR(VLOOKUP(B374,'03. THIẾT BỊ'!$B$1:$S$836,15,0),"")</f>
        <v>CK-CGH</v>
      </c>
      <c r="Q374" s="48" t="str">
        <f>IFERROR(VLOOKUP(B374,'03. THIẾT BỊ'!$B$1:$S$836,16,0),"")</f>
        <v/>
      </c>
      <c r="R374" s="471" t="str">
        <f>IFERROR(VLOOKUP(B374,'03. THIẾT BỊ'!$B$1:$S$836,17,0),"")</f>
        <v/>
      </c>
      <c r="S374" s="468">
        <f>IFERROR(VLOOKUP(B374,'03. THIẾT BỊ'!$B$1:$S$836,18,0),"")</f>
        <v>44</v>
      </c>
      <c r="T374" s="959"/>
    </row>
    <row r="375" ht="15.0" customHeight="1">
      <c r="A375" s="475">
        <f t="shared" si="19"/>
        <v>9</v>
      </c>
      <c r="B375" s="464" t="s">
        <v>4295</v>
      </c>
      <c r="C375" s="869" t="str">
        <f>IFERROR(VLOOKUP(B375,'03. THIẾT BỊ'!$B$1:$S$836,2,0),"")</f>
        <v>RMC 73-VC KLH</v>
      </c>
      <c r="D375" s="470" t="str">
        <f>IFERROR(VLOOKUP(B375,'03. THIẾT BỊ'!$B$1:$S$836,3,0),"")</f>
        <v>A23-RMC-008</v>
      </c>
      <c r="E375" s="464" t="str">
        <f>IFERROR(VLOOKUP(B375,'03. THIẾT BỊ'!$B$1:$S$836,4,0),"")</f>
        <v>ĐQSD</v>
      </c>
      <c r="F375" s="464" t="str">
        <f>IFERROR(VLOOKUP(B375,'03. THIẾT BỊ'!$B$1:$S$836,5,0),"")</f>
        <v>Rơ mooc thu hoạch</v>
      </c>
      <c r="G375" s="80" t="s">
        <v>6423</v>
      </c>
      <c r="H375" s="463" t="str">
        <f>IFERROR(VLOOKUP(B375,'03. THIẾT BỊ'!$B$1:$S$836,7,0),"")</f>
        <v>XN Chuối DP3</v>
      </c>
      <c r="I375" s="474" t="str">
        <f>IFERROR(VLOOKUP(B375,'03. THIẾT BỊ'!$B$1:$S$836,8,0),"")</f>
        <v/>
      </c>
      <c r="J375" s="471"/>
      <c r="K375" s="463" t="str">
        <f>IFERROR(VLOOKUP(B375,'03. THIẾT BỊ'!$B$1:$S$836,10,0),"")</f>
        <v>Bình thường</v>
      </c>
      <c r="L375" s="468" t="str">
        <f>IFERROR(VLOOKUP(B375,'03. THIẾT BỊ'!$B$1:$S$836,11,0),"")</f>
        <v/>
      </c>
      <c r="M375" s="472" t="str">
        <f>IFERROR(VLOOKUP(B375,'03. THIẾT BỊ'!$B$1:$S$836,12,0),"")</f>
        <v/>
      </c>
      <c r="N375" s="468" t="str">
        <f>IFERROR(VLOOKUP(B375,'03. THIẾT BỊ'!$B$1:$S$836,13,0),"")</f>
        <v>THACO AGRI</v>
      </c>
      <c r="O375" s="470" t="str">
        <f>IFERROR(VLOOKUP(B375,'03. THIẾT BỊ'!$B$1:$S$836,14,0),"")</f>
        <v/>
      </c>
      <c r="P375" s="468" t="str">
        <f>IFERROR(VLOOKUP(B375,'03. THIẾT BỊ'!$B$1:$S$836,15,0),"")</f>
        <v>CK-CGH</v>
      </c>
      <c r="Q375" s="48" t="str">
        <f>IFERROR(VLOOKUP(B375,'03. THIẾT BỊ'!$B$1:$S$836,16,0),"")</f>
        <v/>
      </c>
      <c r="R375" s="471" t="str">
        <f>IFERROR(VLOOKUP(B375,'03. THIẾT BỊ'!$B$1:$S$836,17,0),"")</f>
        <v/>
      </c>
      <c r="S375" s="468">
        <f>IFERROR(VLOOKUP(B375,'03. THIẾT BỊ'!$B$1:$S$836,18,0),"")</f>
        <v>44</v>
      </c>
      <c r="T375" s="959"/>
    </row>
    <row r="376" ht="15.0" customHeight="1">
      <c r="A376" s="475">
        <f t="shared" si="19"/>
        <v>10</v>
      </c>
      <c r="B376" s="464" t="s">
        <v>4298</v>
      </c>
      <c r="C376" s="869" t="str">
        <f>IFERROR(VLOOKUP(B376,'03. THIẾT BỊ'!$B$1:$S$836,2,0),"")</f>
        <v>RMC 91-VC KLH</v>
      </c>
      <c r="D376" s="470" t="str">
        <f>IFERROR(VLOOKUP(B376,'03. THIẾT BỊ'!$B$1:$S$836,3,0),"")</f>
        <v>A23-RMC-009</v>
      </c>
      <c r="E376" s="464" t="str">
        <f>IFERROR(VLOOKUP(B376,'03. THIẾT BỊ'!$B$1:$S$836,4,0),"")</f>
        <v>ĐQSD</v>
      </c>
      <c r="F376" s="464" t="str">
        <f>IFERROR(VLOOKUP(B376,'03. THIẾT BỊ'!$B$1:$S$836,5,0),"")</f>
        <v>Rơ mooc thu hoạch</v>
      </c>
      <c r="G376" s="80" t="s">
        <v>6423</v>
      </c>
      <c r="H376" s="463" t="str">
        <f>IFERROR(VLOOKUP(B376,'03. THIẾT BỊ'!$B$1:$S$836,7,0),"")</f>
        <v>XN Chuối DP3</v>
      </c>
      <c r="I376" s="474" t="str">
        <f>IFERROR(VLOOKUP(B376,'03. THIẾT BỊ'!$B$1:$S$836,8,0),"")</f>
        <v/>
      </c>
      <c r="J376" s="471"/>
      <c r="K376" s="463" t="str">
        <f>IFERROR(VLOOKUP(B376,'03. THIẾT BỊ'!$B$1:$S$836,10,0),"")</f>
        <v>Bình thường</v>
      </c>
      <c r="L376" s="468" t="str">
        <f>IFERROR(VLOOKUP(B376,'03. THIẾT BỊ'!$B$1:$S$836,11,0),"")</f>
        <v/>
      </c>
      <c r="M376" s="472" t="str">
        <f>IFERROR(VLOOKUP(B376,'03. THIẾT BỊ'!$B$1:$S$836,12,0),"")</f>
        <v/>
      </c>
      <c r="N376" s="468" t="str">
        <f>IFERROR(VLOOKUP(B376,'03. THIẾT BỊ'!$B$1:$S$836,13,0),"")</f>
        <v>THACO AGRI</v>
      </c>
      <c r="O376" s="470" t="str">
        <f>IFERROR(VLOOKUP(B376,'03. THIẾT BỊ'!$B$1:$S$836,14,0),"")</f>
        <v/>
      </c>
      <c r="P376" s="468" t="str">
        <f>IFERROR(VLOOKUP(B376,'03. THIẾT BỊ'!$B$1:$S$836,15,0),"")</f>
        <v>CK-CGH</v>
      </c>
      <c r="Q376" s="48" t="str">
        <f>IFERROR(VLOOKUP(B376,'03. THIẾT BỊ'!$B$1:$S$836,16,0),"")</f>
        <v/>
      </c>
      <c r="R376" s="471" t="str">
        <f>IFERROR(VLOOKUP(B376,'03. THIẾT BỊ'!$B$1:$S$836,17,0),"")</f>
        <v/>
      </c>
      <c r="S376" s="468">
        <f>IFERROR(VLOOKUP(B376,'03. THIẾT BỊ'!$B$1:$S$836,18,0),"")</f>
        <v>50</v>
      </c>
      <c r="T376" s="959"/>
    </row>
    <row r="377" ht="15.0" customHeight="1">
      <c r="A377" s="475">
        <f t="shared" si="19"/>
        <v>11</v>
      </c>
      <c r="B377" s="464" t="s">
        <v>4300</v>
      </c>
      <c r="C377" s="869" t="str">
        <f>IFERROR(VLOOKUP(B377,'03. THIẾT BỊ'!$B$1:$S$836,2,0),"")</f>
        <v>RMC 93-VC KLH</v>
      </c>
      <c r="D377" s="470" t="str">
        <f>IFERROR(VLOOKUP(B377,'03. THIẾT BỊ'!$B$1:$S$836,3,0),"")</f>
        <v>A23-RMC-010</v>
      </c>
      <c r="E377" s="464" t="str">
        <f>IFERROR(VLOOKUP(B377,'03. THIẾT BỊ'!$B$1:$S$836,4,0),"")</f>
        <v>ĐQSD</v>
      </c>
      <c r="F377" s="464" t="str">
        <f>IFERROR(VLOOKUP(B377,'03. THIẾT BỊ'!$B$1:$S$836,5,0),"")</f>
        <v>Rơ mooc thu hoạch</v>
      </c>
      <c r="G377" s="80" t="s">
        <v>6423</v>
      </c>
      <c r="H377" s="463" t="str">
        <f>IFERROR(VLOOKUP(B377,'03. THIẾT BỊ'!$B$1:$S$836,7,0),"")</f>
        <v>XN Chuối DP3</v>
      </c>
      <c r="I377" s="474" t="str">
        <f>IFERROR(VLOOKUP(B377,'03. THIẾT BỊ'!$B$1:$S$836,8,0),"")</f>
        <v/>
      </c>
      <c r="J377" s="471"/>
      <c r="K377" s="463" t="str">
        <f>IFERROR(VLOOKUP(B377,'03. THIẾT BỊ'!$B$1:$S$836,10,0),"")</f>
        <v>Bình thường</v>
      </c>
      <c r="L377" s="468" t="str">
        <f>IFERROR(VLOOKUP(B377,'03. THIẾT BỊ'!$B$1:$S$836,11,0),"")</f>
        <v/>
      </c>
      <c r="M377" s="472" t="str">
        <f>IFERROR(VLOOKUP(B377,'03. THIẾT BỊ'!$B$1:$S$836,12,0),"")</f>
        <v/>
      </c>
      <c r="N377" s="468" t="str">
        <f>IFERROR(VLOOKUP(B377,'03. THIẾT BỊ'!$B$1:$S$836,13,0),"")</f>
        <v>THACO AGRI</v>
      </c>
      <c r="O377" s="470" t="str">
        <f>IFERROR(VLOOKUP(B377,'03. THIẾT BỊ'!$B$1:$S$836,14,0),"")</f>
        <v/>
      </c>
      <c r="P377" s="468" t="str">
        <f>IFERROR(VLOOKUP(B377,'03. THIẾT BỊ'!$B$1:$S$836,15,0),"")</f>
        <v>CK-CGH</v>
      </c>
      <c r="Q377" s="48" t="str">
        <f>IFERROR(VLOOKUP(B377,'03. THIẾT BỊ'!$B$1:$S$836,16,0),"")</f>
        <v/>
      </c>
      <c r="R377" s="471" t="str">
        <f>IFERROR(VLOOKUP(B377,'03. THIẾT BỊ'!$B$1:$S$836,17,0),"")</f>
        <v/>
      </c>
      <c r="S377" s="468">
        <f>IFERROR(VLOOKUP(B377,'03. THIẾT BỊ'!$B$1:$S$836,18,0),"")</f>
        <v>44</v>
      </c>
      <c r="T377" s="959"/>
    </row>
    <row r="378" ht="15.0" customHeight="1">
      <c r="A378" s="475">
        <f t="shared" si="19"/>
        <v>12</v>
      </c>
      <c r="B378" s="464" t="s">
        <v>4440</v>
      </c>
      <c r="C378" s="869" t="str">
        <f>IFERROR(VLOOKUP(B378,'03. THIẾT BỊ'!$B$1:$S$836,2,0),"")</f>
        <v>LP4-RMC-004</v>
      </c>
      <c r="D378" s="470" t="str">
        <f>IFERROR(VLOOKUP(B378,'03. THIẾT BỊ'!$B$1:$S$836,3,0),"")</f>
        <v>A24-RMC-003</v>
      </c>
      <c r="E378" s="464" t="str">
        <f>IFERROR(VLOOKUP(B378,'03. THIẾT BỊ'!$B$1:$S$836,4,0),"")</f>
        <v>ĐQSD</v>
      </c>
      <c r="F378" s="464" t="str">
        <f>IFERROR(VLOOKUP(B378,'03. THIẾT BỊ'!$B$1:$S$836,5,0),"")</f>
        <v>Rơ mooc thu hoạch</v>
      </c>
      <c r="G378" s="80" t="s">
        <v>6423</v>
      </c>
      <c r="H378" s="463" t="str">
        <f>IFERROR(VLOOKUP(B378,'03. THIẾT BỊ'!$B$1:$S$836,7,0),"")</f>
        <v>XN Chuối LP1</v>
      </c>
      <c r="I378" s="474" t="str">
        <f>IFERROR(VLOOKUP(B378,'03. THIẾT BỊ'!$B$1:$S$836,8,0),"")</f>
        <v>16/07/2024</v>
      </c>
      <c r="J378" s="471"/>
      <c r="K378" s="463" t="str">
        <f>IFERROR(VLOOKUP(B378,'03. THIẾT BỊ'!$B$1:$S$836,10,0),"")</f>
        <v>Bình thường</v>
      </c>
      <c r="L378" s="468" t="str">
        <f>IFERROR(VLOOKUP(B378,'03. THIẾT BỊ'!$B$1:$S$836,11,0),"")</f>
        <v>Đ.chuyển từ XN LP4 ngày 16/07/2024</v>
      </c>
      <c r="M378" s="472" t="str">
        <f>IFERROR(VLOOKUP(B378,'03. THIẾT BỊ'!$B$1:$S$836,12,0),"")</f>
        <v/>
      </c>
      <c r="N378" s="468" t="str">
        <f>IFERROR(VLOOKUP(B378,'03. THIẾT BỊ'!$B$1:$S$836,13,0),"")</f>
        <v>THACO AGRI</v>
      </c>
      <c r="O378" s="470" t="str">
        <f>IFERROR(VLOOKUP(B378,'03. THIẾT BỊ'!$B$1:$S$836,14,0),"")</f>
        <v/>
      </c>
      <c r="P378" s="468" t="str">
        <f>IFERROR(VLOOKUP(B378,'03. THIẾT BỊ'!$B$1:$S$836,15,0),"")</f>
        <v>CK-CGH</v>
      </c>
      <c r="Q378" s="48" t="str">
        <f>IFERROR(VLOOKUP(B378,'03. THIẾT BỊ'!$B$1:$S$836,16,0),"")</f>
        <v/>
      </c>
      <c r="R378" s="471" t="str">
        <f>IFERROR(VLOOKUP(B378,'03. THIẾT BỊ'!$B$1:$S$836,17,0),"")</f>
        <v/>
      </c>
      <c r="S378" s="468" t="str">
        <f>IFERROR(VLOOKUP(B378,'03. THIẾT BỊ'!$B$1:$S$836,18,0),"")</f>
        <v/>
      </c>
      <c r="T378" s="812"/>
    </row>
    <row r="379" ht="15.0" customHeight="1">
      <c r="A379" s="475">
        <f t="shared" si="19"/>
        <v>13</v>
      </c>
      <c r="B379" s="464" t="s">
        <v>4444</v>
      </c>
      <c r="C379" s="869" t="str">
        <f>IFERROR(VLOOKUP(B379,'03. THIẾT BỊ'!$B$1:$S$836,2,0),"")</f>
        <v>LP4-RMC-001</v>
      </c>
      <c r="D379" s="470" t="str">
        <f>IFERROR(VLOOKUP(B379,'03. THIẾT BỊ'!$B$1:$S$836,3,0),"")</f>
        <v>A24-RMC-001</v>
      </c>
      <c r="E379" s="464" t="str">
        <f>IFERROR(VLOOKUP(B379,'03. THIẾT BỊ'!$B$1:$S$836,4,0),"")</f>
        <v>ĐQSD</v>
      </c>
      <c r="F379" s="464" t="str">
        <f>IFERROR(VLOOKUP(B379,'03. THIẾT BỊ'!$B$1:$S$836,5,0),"")</f>
        <v>Rơ mooc thu hoạch</v>
      </c>
      <c r="G379" s="80" t="s">
        <v>6423</v>
      </c>
      <c r="H379" s="463" t="str">
        <f>IFERROR(VLOOKUP(B379,'03. THIẾT BỊ'!$B$1:$S$836,7,0),"")</f>
        <v>XN Chuối LP1</v>
      </c>
      <c r="I379" s="474" t="str">
        <f>IFERROR(VLOOKUP(B379,'03. THIẾT BỊ'!$B$1:$S$836,8,0),"")</f>
        <v>26/09/2024</v>
      </c>
      <c r="J379" s="471"/>
      <c r="K379" s="463" t="str">
        <f>IFERROR(VLOOKUP(B379,'03. THIẾT BỊ'!$B$1:$S$836,10,0),"")</f>
        <v>Bình thường</v>
      </c>
      <c r="L379" s="468" t="str">
        <f>IFERROR(VLOOKUP(B379,'03. THIẾT BỊ'!$B$1:$S$836,11,0),"")</f>
        <v>Đ.chuyển từ XN LP4 ngày 26/09/2024</v>
      </c>
      <c r="M379" s="472" t="str">
        <f>IFERROR(VLOOKUP(B379,'03. THIẾT BỊ'!$B$1:$S$836,12,0),"")</f>
        <v/>
      </c>
      <c r="N379" s="468" t="str">
        <f>IFERROR(VLOOKUP(B379,'03. THIẾT BỊ'!$B$1:$S$836,13,0),"")</f>
        <v>THACO AGRI</v>
      </c>
      <c r="O379" s="470" t="str">
        <f>IFERROR(VLOOKUP(B379,'03. THIẾT BỊ'!$B$1:$S$836,14,0),"")</f>
        <v/>
      </c>
      <c r="P379" s="468" t="str">
        <f>IFERROR(VLOOKUP(B379,'03. THIẾT BỊ'!$B$1:$S$836,15,0),"")</f>
        <v>CK-CGH</v>
      </c>
      <c r="Q379" s="48" t="str">
        <f>IFERROR(VLOOKUP(B379,'03. THIẾT BỊ'!$B$1:$S$836,16,0),"")</f>
        <v/>
      </c>
      <c r="R379" s="471" t="str">
        <f>IFERROR(VLOOKUP(B379,'03. THIẾT BỊ'!$B$1:$S$836,17,0),"")</f>
        <v/>
      </c>
      <c r="S379" s="468" t="str">
        <f>IFERROR(VLOOKUP(B379,'03. THIẾT BỊ'!$B$1:$S$836,18,0),"")</f>
        <v/>
      </c>
      <c r="T379" s="812"/>
    </row>
    <row r="380" ht="15.0" customHeight="1">
      <c r="A380" s="475">
        <f t="shared" si="19"/>
        <v>14</v>
      </c>
      <c r="B380" s="464" t="s">
        <v>4449</v>
      </c>
      <c r="C380" s="869" t="str">
        <f>IFERROR(VLOOKUP(B380,'03. THIẾT BỊ'!$B$1:$S$836,2,0),"")</f>
        <v>XAD-RMC-019(XA2-RMC-006)</v>
      </c>
      <c r="D380" s="470" t="str">
        <f>IFERROR(VLOOKUP(B380,'03. THIẾT BỊ'!$B$1:$S$836,3,0),"")</f>
        <v>A22-RMC-006</v>
      </c>
      <c r="E380" s="464" t="str">
        <f>IFERROR(VLOOKUP(B380,'03. THIẾT BỊ'!$B$1:$S$836,4,0),"")</f>
        <v>ĐQSD</v>
      </c>
      <c r="F380" s="464" t="str">
        <f>IFERROR(VLOOKUP(B380,'03. THIẾT BỊ'!$B$1:$S$836,5,0),"")</f>
        <v>Rơ mooc thu hoạch</v>
      </c>
      <c r="G380" s="80" t="s">
        <v>6423</v>
      </c>
      <c r="H380" s="463" t="str">
        <f>IFERROR(VLOOKUP(B380,'03. THIẾT BỊ'!$B$1:$S$836,7,0),"")</f>
        <v>XN Chuối LP1</v>
      </c>
      <c r="I380" s="474" t="str">
        <f>IFERROR(VLOOKUP(B380,'03. THIẾT BỊ'!$B$1:$S$836,8,0),"")</f>
        <v>17/02/2025</v>
      </c>
      <c r="J380" s="471"/>
      <c r="K380" s="463" t="str">
        <f>IFERROR(VLOOKUP(B380,'03. THIẾT BỊ'!$B$1:$S$836,10,0),"")</f>
        <v>Bình thường</v>
      </c>
      <c r="L380" s="468" t="str">
        <f>IFERROR(VLOOKUP(B380,'03. THIẾT BỊ'!$B$1:$S$836,11,0),"")</f>
        <v>Đ.chuyển từ XN AD ngày 17/02/2025</v>
      </c>
      <c r="M380" s="472" t="str">
        <f>IFERROR(VLOOKUP(B380,'03. THIẾT BỊ'!$B$1:$S$836,12,0),"")</f>
        <v/>
      </c>
      <c r="N380" s="468" t="str">
        <f>IFERROR(VLOOKUP(B380,'03. THIẾT BỊ'!$B$1:$S$836,13,0),"")</f>
        <v>THACO AGRI</v>
      </c>
      <c r="O380" s="470" t="str">
        <f>IFERROR(VLOOKUP(B380,'03. THIẾT BỊ'!$B$1:$S$836,14,0),"")</f>
        <v/>
      </c>
      <c r="P380" s="468" t="str">
        <f>IFERROR(VLOOKUP(B380,'03. THIẾT BỊ'!$B$1:$S$836,15,0),"")</f>
        <v>CK-CGH</v>
      </c>
      <c r="Q380" s="48" t="str">
        <f>IFERROR(VLOOKUP(B380,'03. THIẾT BỊ'!$B$1:$S$836,16,0),"")</f>
        <v/>
      </c>
      <c r="R380" s="471" t="str">
        <f>IFERROR(VLOOKUP(B380,'03. THIẾT BỊ'!$B$1:$S$836,17,0),"")</f>
        <v/>
      </c>
      <c r="S380" s="468" t="str">
        <f>IFERROR(VLOOKUP(B380,'03. THIẾT BỊ'!$B$1:$S$836,18,0),"")</f>
        <v>40 BUỒNG</v>
      </c>
      <c r="T380" s="812"/>
    </row>
    <row r="381" ht="15.0" customHeight="1">
      <c r="A381" s="475">
        <f t="shared" si="19"/>
        <v>15</v>
      </c>
      <c r="B381" s="464" t="s">
        <v>4601</v>
      </c>
      <c r="C381" s="869" t="str">
        <f>IFERROR(VLOOKUP(B381,'03. THIẾT BỊ'!$B$1:$S$836,2,0),"")</f>
        <v>LP3-RMC-001</v>
      </c>
      <c r="D381" s="470" t="str">
        <f>IFERROR(VLOOKUP(B381,'03. THIẾT BỊ'!$B$1:$S$836,3,0),"")</f>
        <v>A24-RMC-001</v>
      </c>
      <c r="E381" s="464" t="str">
        <f>IFERROR(VLOOKUP(B381,'03. THIẾT BỊ'!$B$1:$S$836,4,0),"")</f>
        <v>ĐQSD</v>
      </c>
      <c r="F381" s="464" t="str">
        <f>IFERROR(VLOOKUP(B381,'03. THIẾT BỊ'!$B$1:$S$836,5,0),"")</f>
        <v>Rơ mooc thu hoạch</v>
      </c>
      <c r="G381" s="80" t="s">
        <v>6423</v>
      </c>
      <c r="H381" s="463" t="str">
        <f>IFERROR(VLOOKUP(B381,'03. THIẾT BỊ'!$B$1:$S$836,7,0),"")</f>
        <v>XN Chuối LP3</v>
      </c>
      <c r="I381" s="474" t="str">
        <f>IFERROR(VLOOKUP(B381,'03. THIẾT BỊ'!$B$1:$S$836,8,0),"")</f>
        <v/>
      </c>
      <c r="J381" s="471"/>
      <c r="K381" s="463" t="str">
        <f>IFERROR(VLOOKUP(B381,'03. THIẾT BỊ'!$B$1:$S$836,10,0),"")</f>
        <v>Bình thường</v>
      </c>
      <c r="L381" s="468" t="str">
        <f>IFERROR(VLOOKUP(B381,'03. THIẾT BỊ'!$B$1:$S$836,11,0),"")</f>
        <v/>
      </c>
      <c r="M381" s="472" t="str">
        <f>IFERROR(VLOOKUP(B381,'03. THIẾT BỊ'!$B$1:$S$836,12,0),"")</f>
        <v/>
      </c>
      <c r="N381" s="468" t="str">
        <f>IFERROR(VLOOKUP(B381,'03. THIẾT BỊ'!$B$1:$S$836,13,0),"")</f>
        <v>THACO AGRI</v>
      </c>
      <c r="O381" s="470" t="str">
        <f>IFERROR(VLOOKUP(B381,'03. THIẾT BỊ'!$B$1:$S$836,14,0),"")</f>
        <v/>
      </c>
      <c r="P381" s="468" t="str">
        <f>IFERROR(VLOOKUP(B381,'03. THIẾT BỊ'!$B$1:$S$836,15,0),"")</f>
        <v>CK-CGH</v>
      </c>
      <c r="Q381" s="48" t="str">
        <f>IFERROR(VLOOKUP(B381,'03. THIẾT BỊ'!$B$1:$S$836,16,0),"")</f>
        <v/>
      </c>
      <c r="R381" s="471" t="str">
        <f>IFERROR(VLOOKUP(B381,'03. THIẾT BỊ'!$B$1:$S$836,17,0),"")</f>
        <v/>
      </c>
      <c r="S381" s="468" t="str">
        <f>IFERROR(VLOOKUP(B381,'03. THIẾT BỊ'!$B$1:$S$836,18,0),"")</f>
        <v/>
      </c>
      <c r="T381" s="812"/>
    </row>
    <row r="382" ht="16.5" customHeight="1">
      <c r="A382" s="475">
        <f t="shared" si="19"/>
        <v>16</v>
      </c>
      <c r="B382" s="464" t="s">
        <v>4603</v>
      </c>
      <c r="C382" s="869" t="str">
        <f>IFERROR(VLOOKUP(B382,'03. THIẾT BỊ'!$B$1:$S$836,2,0),"")</f>
        <v>LP3-RMC-002</v>
      </c>
      <c r="D382" s="470" t="str">
        <f>IFERROR(VLOOKUP(B382,'03. THIẾT BỊ'!$B$1:$S$836,3,0),"")</f>
        <v>A24-RMC-002</v>
      </c>
      <c r="E382" s="464" t="str">
        <f>IFERROR(VLOOKUP(B382,'03. THIẾT BỊ'!$B$1:$S$836,4,0),"")</f>
        <v>ĐQSD</v>
      </c>
      <c r="F382" s="464" t="str">
        <f>IFERROR(VLOOKUP(B382,'03. THIẾT BỊ'!$B$1:$S$836,5,0),"")</f>
        <v>Rơ mooc thu hoạch</v>
      </c>
      <c r="G382" s="80" t="s">
        <v>6423</v>
      </c>
      <c r="H382" s="463" t="str">
        <f>IFERROR(VLOOKUP(B382,'03. THIẾT BỊ'!$B$1:$S$836,7,0),"")</f>
        <v>XN Chuối LP3</v>
      </c>
      <c r="I382" s="474" t="str">
        <f>IFERROR(VLOOKUP(B382,'03. THIẾT BỊ'!$B$1:$S$836,8,0),"")</f>
        <v/>
      </c>
      <c r="J382" s="471"/>
      <c r="K382" s="463" t="str">
        <f>IFERROR(VLOOKUP(B382,'03. THIẾT BỊ'!$B$1:$S$836,10,0),"")</f>
        <v>Bình thường</v>
      </c>
      <c r="L382" s="468" t="str">
        <f>IFERROR(VLOOKUP(B382,'03. THIẾT BỊ'!$B$1:$S$836,11,0),"")</f>
        <v/>
      </c>
      <c r="M382" s="472" t="str">
        <f>IFERROR(VLOOKUP(B382,'03. THIẾT BỊ'!$B$1:$S$836,12,0),"")</f>
        <v/>
      </c>
      <c r="N382" s="468" t="str">
        <f>IFERROR(VLOOKUP(B382,'03. THIẾT BỊ'!$B$1:$S$836,13,0),"")</f>
        <v>THACO AGRI</v>
      </c>
      <c r="O382" s="470" t="str">
        <f>IFERROR(VLOOKUP(B382,'03. THIẾT BỊ'!$B$1:$S$836,14,0),"")</f>
        <v/>
      </c>
      <c r="P382" s="468" t="str">
        <f>IFERROR(VLOOKUP(B382,'03. THIẾT BỊ'!$B$1:$S$836,15,0),"")</f>
        <v>CK-CGH</v>
      </c>
      <c r="Q382" s="48" t="str">
        <f>IFERROR(VLOOKUP(B382,'03. THIẾT BỊ'!$B$1:$S$836,16,0),"")</f>
        <v/>
      </c>
      <c r="R382" s="471" t="str">
        <f>IFERROR(VLOOKUP(B382,'03. THIẾT BỊ'!$B$1:$S$836,17,0),"")</f>
        <v/>
      </c>
      <c r="S382" s="468" t="str">
        <f>IFERROR(VLOOKUP(B382,'03. THIẾT BỊ'!$B$1:$S$836,18,0),"")</f>
        <v/>
      </c>
      <c r="T382" s="812"/>
    </row>
    <row r="383" ht="15.0" customHeight="1">
      <c r="A383" s="475">
        <f t="shared" si="19"/>
        <v>17</v>
      </c>
      <c r="B383" s="464" t="s">
        <v>4607</v>
      </c>
      <c r="C383" s="869" t="str">
        <f>IFERROR(VLOOKUP(B383,'03. THIẾT BỊ'!$B$1:$S$836,2,0),"")</f>
        <v>LP3-RMC-003</v>
      </c>
      <c r="D383" s="470" t="str">
        <f>IFERROR(VLOOKUP(B383,'03. THIẾT BỊ'!$B$1:$S$836,3,0),"")</f>
        <v>A24-RMC-003</v>
      </c>
      <c r="E383" s="464" t="str">
        <f>IFERROR(VLOOKUP(B383,'03. THIẾT BỊ'!$B$1:$S$836,4,0),"")</f>
        <v>ĐQSD</v>
      </c>
      <c r="F383" s="464" t="str">
        <f>IFERROR(VLOOKUP(B383,'03. THIẾT BỊ'!$B$1:$S$836,5,0),"")</f>
        <v>Rơ mooc thu hoạch</v>
      </c>
      <c r="G383" s="80" t="s">
        <v>6423</v>
      </c>
      <c r="H383" s="463" t="str">
        <f>IFERROR(VLOOKUP(B383,'03. THIẾT BỊ'!$B$1:$S$836,7,0),"")</f>
        <v>XN Chuối LP3</v>
      </c>
      <c r="I383" s="474" t="str">
        <f>IFERROR(VLOOKUP(B383,'03. THIẾT BỊ'!$B$1:$S$836,8,0),"")</f>
        <v/>
      </c>
      <c r="J383" s="471"/>
      <c r="K383" s="463" t="str">
        <f>IFERROR(VLOOKUP(B383,'03. THIẾT BỊ'!$B$1:$S$836,10,0),"")</f>
        <v>Bình thường</v>
      </c>
      <c r="L383" s="468" t="str">
        <f>IFERROR(VLOOKUP(B383,'03. THIẾT BỊ'!$B$1:$S$836,11,0),"")</f>
        <v/>
      </c>
      <c r="M383" s="472" t="str">
        <f>IFERROR(VLOOKUP(B383,'03. THIẾT BỊ'!$B$1:$S$836,12,0),"")</f>
        <v/>
      </c>
      <c r="N383" s="468" t="str">
        <f>IFERROR(VLOOKUP(B383,'03. THIẾT BỊ'!$B$1:$S$836,13,0),"")</f>
        <v>THACO AGRI</v>
      </c>
      <c r="O383" s="470" t="str">
        <f>IFERROR(VLOOKUP(B383,'03. THIẾT BỊ'!$B$1:$S$836,14,0),"")</f>
        <v/>
      </c>
      <c r="P383" s="468" t="str">
        <f>IFERROR(VLOOKUP(B383,'03. THIẾT BỊ'!$B$1:$S$836,15,0),"")</f>
        <v>CK-CGH</v>
      </c>
      <c r="Q383" s="48" t="str">
        <f>IFERROR(VLOOKUP(B383,'03. THIẾT BỊ'!$B$1:$S$836,16,0),"")</f>
        <v/>
      </c>
      <c r="R383" s="471" t="str">
        <f>IFERROR(VLOOKUP(B383,'03. THIẾT BỊ'!$B$1:$S$836,17,0),"")</f>
        <v/>
      </c>
      <c r="S383" s="468" t="str">
        <f>IFERROR(VLOOKUP(B383,'03. THIẾT BỊ'!$B$1:$S$836,18,0),"")</f>
        <v/>
      </c>
      <c r="T383" s="812"/>
    </row>
    <row r="384" ht="15.0" customHeight="1">
      <c r="A384" s="475">
        <f t="shared" si="19"/>
        <v>18</v>
      </c>
      <c r="B384" s="464" t="s">
        <v>4610</v>
      </c>
      <c r="C384" s="869" t="str">
        <f>IFERROR(VLOOKUP(B384,'03. THIẾT BỊ'!$B$1:$S$836,2,0),"")</f>
        <v>LP3-RMC-004</v>
      </c>
      <c r="D384" s="470" t="str">
        <f>IFERROR(VLOOKUP(B384,'03. THIẾT BỊ'!$B$1:$S$836,3,0),"")</f>
        <v>A24-RMC-004</v>
      </c>
      <c r="E384" s="464" t="str">
        <f>IFERROR(VLOOKUP(B384,'03. THIẾT BỊ'!$B$1:$S$836,4,0),"")</f>
        <v>ĐQSD</v>
      </c>
      <c r="F384" s="464" t="str">
        <f>IFERROR(VLOOKUP(B384,'03. THIẾT BỊ'!$B$1:$S$836,5,0),"")</f>
        <v>Rơ mooc thu hoạch</v>
      </c>
      <c r="G384" s="80" t="s">
        <v>6423</v>
      </c>
      <c r="H384" s="463" t="str">
        <f>IFERROR(VLOOKUP(B384,'03. THIẾT BỊ'!$B$1:$S$836,7,0),"")</f>
        <v>XN Chuối LP3</v>
      </c>
      <c r="I384" s="474" t="str">
        <f>IFERROR(VLOOKUP(B384,'03. THIẾT BỊ'!$B$1:$S$836,8,0),"")</f>
        <v/>
      </c>
      <c r="J384" s="471"/>
      <c r="K384" s="463" t="str">
        <f>IFERROR(VLOOKUP(B384,'03. THIẾT BỊ'!$B$1:$S$836,10,0),"")</f>
        <v>Bình thường</v>
      </c>
      <c r="L384" s="468" t="str">
        <f>IFERROR(VLOOKUP(B384,'03. THIẾT BỊ'!$B$1:$S$836,11,0),"")</f>
        <v/>
      </c>
      <c r="M384" s="472" t="str">
        <f>IFERROR(VLOOKUP(B384,'03. THIẾT BỊ'!$B$1:$S$836,12,0),"")</f>
        <v/>
      </c>
      <c r="N384" s="468" t="str">
        <f>IFERROR(VLOOKUP(B384,'03. THIẾT BỊ'!$B$1:$S$836,13,0),"")</f>
        <v>THACO AGRI</v>
      </c>
      <c r="O384" s="470" t="str">
        <f>IFERROR(VLOOKUP(B384,'03. THIẾT BỊ'!$B$1:$S$836,14,0),"")</f>
        <v/>
      </c>
      <c r="P384" s="468" t="str">
        <f>IFERROR(VLOOKUP(B384,'03. THIẾT BỊ'!$B$1:$S$836,15,0),"")</f>
        <v>CK-CGH</v>
      </c>
      <c r="Q384" s="48" t="str">
        <f>IFERROR(VLOOKUP(B384,'03. THIẾT BỊ'!$B$1:$S$836,16,0),"")</f>
        <v/>
      </c>
      <c r="R384" s="471" t="str">
        <f>IFERROR(VLOOKUP(B384,'03. THIẾT BỊ'!$B$1:$S$836,17,0),"")</f>
        <v/>
      </c>
      <c r="S384" s="468" t="str">
        <f>IFERROR(VLOOKUP(B384,'03. THIẾT BỊ'!$B$1:$S$836,18,0),"")</f>
        <v/>
      </c>
      <c r="T384" s="812"/>
    </row>
    <row r="385" ht="15.0" customHeight="1">
      <c r="A385" s="475">
        <f t="shared" si="19"/>
        <v>19</v>
      </c>
      <c r="B385" s="464" t="s">
        <v>4613</v>
      </c>
      <c r="C385" s="869" t="str">
        <f>IFERROR(VLOOKUP(B385,'03. THIẾT BỊ'!$B$1:$S$836,2,0),"")</f>
        <v>LP1-RMC-001</v>
      </c>
      <c r="D385" s="470" t="str">
        <f>IFERROR(VLOOKUP(B385,'03. THIẾT BỊ'!$B$1:$S$836,3,0),"")</f>
        <v>A24-RMC-005</v>
      </c>
      <c r="E385" s="464" t="str">
        <f>IFERROR(VLOOKUP(B385,'03. THIẾT BỊ'!$B$1:$S$836,4,0),"")</f>
        <v>ĐQSD</v>
      </c>
      <c r="F385" s="464" t="str">
        <f>IFERROR(VLOOKUP(B385,'03. THIẾT BỊ'!$B$1:$S$836,5,0),"")</f>
        <v>Rơ mooc thu hoạch</v>
      </c>
      <c r="G385" s="80" t="s">
        <v>6423</v>
      </c>
      <c r="H385" s="463" t="str">
        <f>IFERROR(VLOOKUP(B385,'03. THIẾT BỊ'!$B$1:$S$836,7,0),"")</f>
        <v>XN Chuối LP3</v>
      </c>
      <c r="I385" s="474" t="str">
        <f>IFERROR(VLOOKUP(B385,'03. THIẾT BỊ'!$B$1:$S$836,8,0),"")</f>
        <v/>
      </c>
      <c r="J385" s="471"/>
      <c r="K385" s="463" t="str">
        <f>IFERROR(VLOOKUP(B385,'03. THIẾT BỊ'!$B$1:$S$836,10,0),"")</f>
        <v>Bình thường</v>
      </c>
      <c r="L385" s="468" t="str">
        <f>IFERROR(VLOOKUP(B385,'03. THIẾT BỊ'!$B$1:$S$836,11,0),"")</f>
        <v/>
      </c>
      <c r="M385" s="472" t="str">
        <f>IFERROR(VLOOKUP(B385,'03. THIẾT BỊ'!$B$1:$S$836,12,0),"")</f>
        <v/>
      </c>
      <c r="N385" s="468" t="str">
        <f>IFERROR(VLOOKUP(B385,'03. THIẾT BỊ'!$B$1:$S$836,13,0),"")</f>
        <v>THACO AGRI</v>
      </c>
      <c r="O385" s="470" t="str">
        <f>IFERROR(VLOOKUP(B385,'03. THIẾT BỊ'!$B$1:$S$836,14,0),"")</f>
        <v/>
      </c>
      <c r="P385" s="468" t="str">
        <f>IFERROR(VLOOKUP(B385,'03. THIẾT BỊ'!$B$1:$S$836,15,0),"")</f>
        <v>CK-CGH</v>
      </c>
      <c r="Q385" s="48" t="str">
        <f>IFERROR(VLOOKUP(B385,'03. THIẾT BỊ'!$B$1:$S$836,16,0),"")</f>
        <v/>
      </c>
      <c r="R385" s="471" t="str">
        <f>IFERROR(VLOOKUP(B385,'03. THIẾT BỊ'!$B$1:$S$836,17,0),"")</f>
        <v/>
      </c>
      <c r="S385" s="468" t="str">
        <f>IFERROR(VLOOKUP(B385,'03. THIẾT BỊ'!$B$1:$S$836,18,0),"")</f>
        <v>44 buồng</v>
      </c>
      <c r="T385" s="812"/>
    </row>
    <row r="386" ht="15.0" customHeight="1">
      <c r="A386" s="475">
        <f t="shared" si="19"/>
        <v>20</v>
      </c>
      <c r="B386" s="464" t="s">
        <v>4616</v>
      </c>
      <c r="C386" s="869" t="str">
        <f>IFERROR(VLOOKUP(B386,'03. THIẾT BỊ'!$B$1:$S$836,2,0),"")</f>
        <v>RMC 77-VC KLH(XD3-RMC-003)</v>
      </c>
      <c r="D386" s="470" t="str">
        <f>IFERROR(VLOOKUP(B386,'03. THIẾT BỊ'!$B$1:$S$836,3,0),"")</f>
        <v>A24-RMC-006</v>
      </c>
      <c r="E386" s="464" t="str">
        <f>IFERROR(VLOOKUP(B386,'03. THIẾT BỊ'!$B$1:$S$836,4,0),"")</f>
        <v>ĐQSD</v>
      </c>
      <c r="F386" s="464" t="str">
        <f>IFERROR(VLOOKUP(B386,'03. THIẾT BỊ'!$B$1:$S$836,5,0),"")</f>
        <v>Rơ mooc thu hoạch</v>
      </c>
      <c r="G386" s="80" t="s">
        <v>6423</v>
      </c>
      <c r="H386" s="463" t="str">
        <f>IFERROR(VLOOKUP(B386,'03. THIẾT BỊ'!$B$1:$S$836,7,0),"")</f>
        <v>XN Chuối LP3</v>
      </c>
      <c r="I386" s="474" t="str">
        <f>IFERROR(VLOOKUP(B386,'03. THIẾT BỊ'!$B$1:$S$836,8,0),"")</f>
        <v/>
      </c>
      <c r="J386" s="471"/>
      <c r="K386" s="463" t="str">
        <f>IFERROR(VLOOKUP(B386,'03. THIẾT BỊ'!$B$1:$S$836,10,0),"")</f>
        <v>Bình thường</v>
      </c>
      <c r="L386" s="468" t="str">
        <f>IFERROR(VLOOKUP(B386,'03. THIẾT BỊ'!$B$1:$S$836,11,0),"")</f>
        <v/>
      </c>
      <c r="M386" s="472" t="str">
        <f>IFERROR(VLOOKUP(B386,'03. THIẾT BỊ'!$B$1:$S$836,12,0),"")</f>
        <v/>
      </c>
      <c r="N386" s="468" t="str">
        <f>IFERROR(VLOOKUP(B386,'03. THIẾT BỊ'!$B$1:$S$836,13,0),"")</f>
        <v>THACO AGRI</v>
      </c>
      <c r="O386" s="470" t="str">
        <f>IFERROR(VLOOKUP(B386,'03. THIẾT BỊ'!$B$1:$S$836,14,0),"")</f>
        <v/>
      </c>
      <c r="P386" s="468" t="str">
        <f>IFERROR(VLOOKUP(B386,'03. THIẾT BỊ'!$B$1:$S$836,15,0),"")</f>
        <v>CK-CGH</v>
      </c>
      <c r="Q386" s="48" t="str">
        <f>IFERROR(VLOOKUP(B386,'03. THIẾT BỊ'!$B$1:$S$836,16,0),"")</f>
        <v/>
      </c>
      <c r="R386" s="471" t="str">
        <f>IFERROR(VLOOKUP(B386,'03. THIẾT BỊ'!$B$1:$S$836,17,0),"")</f>
        <v/>
      </c>
      <c r="S386" s="468" t="str">
        <f>IFERROR(VLOOKUP(B386,'03. THIẾT BỊ'!$B$1:$S$836,18,0),"")</f>
        <v>44 buồng</v>
      </c>
      <c r="T386" s="1493"/>
    </row>
    <row r="387" ht="15.0" customHeight="1">
      <c r="A387" s="475">
        <f t="shared" si="19"/>
        <v>21</v>
      </c>
      <c r="B387" s="464" t="s">
        <v>4787</v>
      </c>
      <c r="C387" s="869" t="str">
        <f>IFERROR(VLOOKUP(B387,'03. THIẾT BỊ'!$B$1:$S$836,2,0),"")</f>
        <v>LP4-RMC-002</v>
      </c>
      <c r="D387" s="470" t="str">
        <f>IFERROR(VLOOKUP(B387,'03. THIẾT BỊ'!$B$1:$S$836,3,0),"")</f>
        <v>A24-RMC-002</v>
      </c>
      <c r="E387" s="464" t="str">
        <f>IFERROR(VLOOKUP(B387,'03. THIẾT BỊ'!$B$1:$S$836,4,0),"")</f>
        <v/>
      </c>
      <c r="F387" s="464" t="str">
        <f>IFERROR(VLOOKUP(B387,'03. THIẾT BỊ'!$B$1:$S$836,5,0),"")</f>
        <v>Rơ mooc thu hoạch</v>
      </c>
      <c r="G387" s="80" t="s">
        <v>6423</v>
      </c>
      <c r="H387" s="463" t="str">
        <f>IFERROR(VLOOKUP(B387,'03. THIẾT BỊ'!$B$1:$S$836,7,0),"")</f>
        <v>XN Chuối LP4</v>
      </c>
      <c r="I387" s="474" t="str">
        <f>IFERROR(VLOOKUP(B387,'03. THIẾT BỊ'!$B$1:$S$836,8,0),"")</f>
        <v/>
      </c>
      <c r="J387" s="471"/>
      <c r="K387" s="463" t="str">
        <f>IFERROR(VLOOKUP(B387,'03. THIẾT BỊ'!$B$1:$S$836,10,0),"")</f>
        <v>Bình thường</v>
      </c>
      <c r="L387" s="468" t="str">
        <f>IFERROR(VLOOKUP(B387,'03. THIẾT BỊ'!$B$1:$S$836,11,0),"")</f>
        <v/>
      </c>
      <c r="M387" s="472" t="str">
        <f>IFERROR(VLOOKUP(B387,'03. THIẾT BỊ'!$B$1:$S$836,12,0),"")</f>
        <v/>
      </c>
      <c r="N387" s="468" t="str">
        <f>IFERROR(VLOOKUP(B387,'03. THIẾT BỊ'!$B$1:$S$836,13,0),"")</f>
        <v>THACO AGRI</v>
      </c>
      <c r="O387" s="470" t="str">
        <f>IFERROR(VLOOKUP(B387,'03. THIẾT BỊ'!$B$1:$S$836,14,0),"")</f>
        <v/>
      </c>
      <c r="P387" s="468" t="str">
        <f>IFERROR(VLOOKUP(B387,'03. THIẾT BỊ'!$B$1:$S$836,15,0),"")</f>
        <v>CK-CGH</v>
      </c>
      <c r="Q387" s="48" t="str">
        <f>IFERROR(VLOOKUP(B387,'03. THIẾT BỊ'!$B$1:$S$836,16,0),"")</f>
        <v/>
      </c>
      <c r="R387" s="471" t="str">
        <f>IFERROR(VLOOKUP(B387,'03. THIẾT BỊ'!$B$1:$S$836,17,0),"")</f>
        <v/>
      </c>
      <c r="S387" s="468" t="str">
        <f>IFERROR(VLOOKUP(B387,'03. THIẾT BỊ'!$B$1:$S$836,18,0),"")</f>
        <v/>
      </c>
      <c r="T387" s="812"/>
    </row>
    <row r="388" ht="15.0" customHeight="1">
      <c r="A388" s="475">
        <f t="shared" si="19"/>
        <v>22</v>
      </c>
      <c r="B388" s="464" t="s">
        <v>4865</v>
      </c>
      <c r="C388" s="869" t="str">
        <f>IFERROR(VLOOKUP(B388,'03. THIẾT BỊ'!$B$1:$S$836,2,0),"")</f>
        <v>RMC01</v>
      </c>
      <c r="D388" s="470" t="str">
        <f>IFERROR(VLOOKUP(B388,'03. THIẾT BỊ'!$B$1:$S$836,3,0),"")</f>
        <v>A22-RMC-001</v>
      </c>
      <c r="E388" s="464" t="str">
        <f>IFERROR(VLOOKUP(B388,'03. THIẾT BỊ'!$B$1:$S$836,4,0),"")</f>
        <v>ĐQSD</v>
      </c>
      <c r="F388" s="464" t="str">
        <f>IFERROR(VLOOKUP(B388,'03. THIẾT BỊ'!$B$1:$S$836,5,0),"")</f>
        <v>Rơ mooc thu hoạch xoài</v>
      </c>
      <c r="G388" s="80" t="s">
        <v>6423</v>
      </c>
      <c r="H388" s="463" t="str">
        <f>IFERROR(VLOOKUP(B388,'03. THIẾT BỊ'!$B$1:$S$836,7,0),"")</f>
        <v>Xoài AD</v>
      </c>
      <c r="I388" s="474" t="str">
        <f>IFERROR(VLOOKUP(B388,'03. THIẾT BỊ'!$B$1:$S$836,8,0),"")</f>
        <v/>
      </c>
      <c r="J388" s="471"/>
      <c r="K388" s="463" t="str">
        <f>IFERROR(VLOOKUP(B388,'03. THIẾT BỊ'!$B$1:$S$836,10,0),"")</f>
        <v>Bình thường</v>
      </c>
      <c r="L388" s="468" t="str">
        <f>IFERROR(VLOOKUP(B388,'03. THIẾT BỊ'!$B$1:$S$836,11,0),"")</f>
        <v/>
      </c>
      <c r="M388" s="472" t="str">
        <f>IFERROR(VLOOKUP(B388,'03. THIẾT BỊ'!$B$1:$S$836,12,0),"")</f>
        <v/>
      </c>
      <c r="N388" s="468" t="str">
        <f>IFERROR(VLOOKUP(B388,'03. THIẾT BỊ'!$B$1:$S$836,13,0),"")</f>
        <v>THACO AGRI</v>
      </c>
      <c r="O388" s="470" t="str">
        <f>IFERROR(VLOOKUP(B388,'03. THIẾT BỊ'!$B$1:$S$836,14,0),"")</f>
        <v/>
      </c>
      <c r="P388" s="468" t="str">
        <f>IFERROR(VLOOKUP(B388,'03. THIẾT BỊ'!$B$1:$S$836,15,0),"")</f>
        <v>CK-CGH</v>
      </c>
      <c r="Q388" s="48" t="str">
        <f>IFERROR(VLOOKUP(B388,'03. THIẾT BỊ'!$B$1:$S$836,16,0),"")</f>
        <v/>
      </c>
      <c r="R388" s="471" t="str">
        <f>IFERROR(VLOOKUP(B388,'03. THIẾT BỊ'!$B$1:$S$836,17,0),"")</f>
        <v/>
      </c>
      <c r="S388" s="468" t="str">
        <f>IFERROR(VLOOKUP(B388,'03. THIẾT BỊ'!$B$1:$S$836,18,0),"")</f>
        <v/>
      </c>
      <c r="T388" s="959"/>
    </row>
    <row r="389" ht="15.0" customHeight="1">
      <c r="A389" s="475">
        <f t="shared" si="19"/>
        <v>23</v>
      </c>
      <c r="B389" s="464" t="s">
        <v>5083</v>
      </c>
      <c r="C389" s="869" t="str">
        <f>IFERROR(VLOOKUP(B389,'03. THIẾT BỊ'!$B$1:$S$836,2,0),"")</f>
        <v>XD3-RMC-002</v>
      </c>
      <c r="D389" s="470" t="str">
        <f>IFERROR(VLOOKUP(B389,'03. THIẾT BỊ'!$B$1:$S$836,3,0),"")</f>
        <v/>
      </c>
      <c r="E389" s="464" t="str">
        <f>IFERROR(VLOOKUP(B389,'03. THIẾT BỊ'!$B$1:$S$836,4,0),"")</f>
        <v>ĐQSD</v>
      </c>
      <c r="F389" s="464" t="str">
        <f>IFERROR(VLOOKUP(B389,'03. THIẾT BỊ'!$B$1:$S$836,5,0),"")</f>
        <v>Rơ mooc thu hoạch</v>
      </c>
      <c r="G389" s="80" t="s">
        <v>6423</v>
      </c>
      <c r="H389" s="463" t="str">
        <f>IFERROR(VLOOKUP(B389,'03. THIẾT BỊ'!$B$1:$S$836,7,0),"")</f>
        <v>XN Bò AD</v>
      </c>
      <c r="I389" s="474">
        <f>IFERROR(VLOOKUP(B389,'03. THIẾT BỊ'!$B$1:$S$836,8,0),"")</f>
        <v>45545</v>
      </c>
      <c r="J389" s="471"/>
      <c r="K389" s="463" t="str">
        <f>IFERROR(VLOOKUP(B389,'03. THIẾT BỊ'!$B$1:$S$836,10,0),"")</f>
        <v>Hư hỏng</v>
      </c>
      <c r="L389" s="468" t="str">
        <f>IFERROR(VLOOKUP(B389,'03. THIẾT BỊ'!$B$1:$S$836,11,0),"")</f>
        <v>- Đ,chuyển từ XN DP3 09.10.2024</v>
      </c>
      <c r="M389" s="472" t="str">
        <f>IFERROR(VLOOKUP(B389,'03. THIẾT BỊ'!$B$1:$S$836,12,0),"")</f>
        <v/>
      </c>
      <c r="N389" s="468" t="str">
        <f>IFERROR(VLOOKUP(B389,'03. THIẾT BỊ'!$B$1:$S$836,13,0),"")</f>
        <v>THACO AGRI</v>
      </c>
      <c r="O389" s="470" t="str">
        <f>IFERROR(VLOOKUP(B389,'03. THIẾT BỊ'!$B$1:$S$836,14,0),"")</f>
        <v>RM thu hoạch</v>
      </c>
      <c r="P389" s="468" t="str">
        <f>IFERROR(VLOOKUP(B389,'03. THIẾT BỊ'!$B$1:$S$836,15,0),"")</f>
        <v>CK-CGH</v>
      </c>
      <c r="Q389" s="48" t="str">
        <f>IFERROR(VLOOKUP(B389,'03. THIẾT BỊ'!$B$1:$S$836,16,0),"")</f>
        <v/>
      </c>
      <c r="R389" s="471" t="str">
        <f>IFERROR(VLOOKUP(B389,'03. THIẾT BỊ'!$B$1:$S$836,17,0),"")</f>
        <v/>
      </c>
      <c r="S389" s="468" t="str">
        <f>IFERROR(VLOOKUP(B389,'03. THIẾT BỊ'!$B$1:$S$836,18,0),"")</f>
        <v/>
      </c>
      <c r="T389" s="812"/>
    </row>
    <row r="390" ht="15.0" customHeight="1">
      <c r="A390" s="475">
        <f t="shared" si="19"/>
        <v>24</v>
      </c>
      <c r="B390" s="464" t="s">
        <v>5087</v>
      </c>
      <c r="C390" s="869" t="str">
        <f>IFERROR(VLOOKUP(B390,'03. THIẾT BỊ'!$B$1:$S$836,2,0),"")</f>
        <v>XD3-RMC-007</v>
      </c>
      <c r="D390" s="470" t="str">
        <f>IFERROR(VLOOKUP(B390,'03. THIẾT BỊ'!$B$1:$S$836,3,0),"")</f>
        <v/>
      </c>
      <c r="E390" s="464" t="str">
        <f>IFERROR(VLOOKUP(B390,'03. THIẾT BỊ'!$B$1:$S$836,4,0),"")</f>
        <v>ĐQSD</v>
      </c>
      <c r="F390" s="464" t="str">
        <f>IFERROR(VLOOKUP(B390,'03. THIẾT BỊ'!$B$1:$S$836,5,0),"")</f>
        <v>Rơ mooc thu hoạch</v>
      </c>
      <c r="G390" s="80" t="s">
        <v>6423</v>
      </c>
      <c r="H390" s="463" t="str">
        <f>IFERROR(VLOOKUP(B390,'03. THIẾT BỊ'!$B$1:$S$836,7,0),"")</f>
        <v>XN Bò AD</v>
      </c>
      <c r="I390" s="474">
        <f>IFERROR(VLOOKUP(B390,'03. THIẾT BỊ'!$B$1:$S$836,8,0),"")</f>
        <v>45545</v>
      </c>
      <c r="J390" s="471"/>
      <c r="K390" s="463" t="str">
        <f>IFERROR(VLOOKUP(B390,'03. THIẾT BỊ'!$B$1:$S$836,10,0),"")</f>
        <v>Hư hỏng</v>
      </c>
      <c r="L390" s="468" t="str">
        <f>IFERROR(VLOOKUP(B390,'03. THIẾT BỊ'!$B$1:$S$836,11,0),"")</f>
        <v>- Đ,chuyển từ XN DP3 09.10.2024</v>
      </c>
      <c r="M390" s="472" t="str">
        <f>IFERROR(VLOOKUP(B390,'03. THIẾT BỊ'!$B$1:$S$836,12,0),"")</f>
        <v/>
      </c>
      <c r="N390" s="468" t="str">
        <f>IFERROR(VLOOKUP(B390,'03. THIẾT BỊ'!$B$1:$S$836,13,0),"")</f>
        <v>THACO AGRI</v>
      </c>
      <c r="O390" s="470" t="str">
        <f>IFERROR(VLOOKUP(B390,'03. THIẾT BỊ'!$B$1:$S$836,14,0),"")</f>
        <v>RM thu hoạch</v>
      </c>
      <c r="P390" s="468" t="str">
        <f>IFERROR(VLOOKUP(B390,'03. THIẾT BỊ'!$B$1:$S$836,15,0),"")</f>
        <v>CK-CGH</v>
      </c>
      <c r="Q390" s="48" t="str">
        <f>IFERROR(VLOOKUP(B390,'03. THIẾT BỊ'!$B$1:$S$836,16,0),"")</f>
        <v/>
      </c>
      <c r="R390" s="471" t="str">
        <f>IFERROR(VLOOKUP(B390,'03. THIẾT BỊ'!$B$1:$S$836,17,0),"")</f>
        <v/>
      </c>
      <c r="S390" s="468" t="str">
        <f>IFERROR(VLOOKUP(B390,'03. THIẾT BỊ'!$B$1:$S$836,18,0),"")</f>
        <v/>
      </c>
      <c r="T390" s="812"/>
    </row>
    <row r="391" ht="15.0" customHeight="1">
      <c r="A391" s="475">
        <f t="shared" si="19"/>
        <v>25</v>
      </c>
      <c r="B391" s="464" t="s">
        <v>5089</v>
      </c>
      <c r="C391" s="869" t="str">
        <f>IFERROR(VLOOKUP(B391,'03. THIẾT BỊ'!$B$1:$S$836,2,0),"")</f>
        <v>XA2-RMC-008</v>
      </c>
      <c r="D391" s="470" t="str">
        <f>IFERROR(VLOOKUP(B391,'03. THIẾT BỊ'!$B$1:$S$836,3,0),"")</f>
        <v/>
      </c>
      <c r="E391" s="464" t="str">
        <f>IFERROR(VLOOKUP(B391,'03. THIẾT BỊ'!$B$1:$S$836,4,0),"")</f>
        <v>ĐQSD</v>
      </c>
      <c r="F391" s="464" t="str">
        <f>IFERROR(VLOOKUP(B391,'03. THIẾT BỊ'!$B$1:$S$836,5,0),"")</f>
        <v>Rơ mooc thu hoạch</v>
      </c>
      <c r="G391" s="80" t="s">
        <v>6423</v>
      </c>
      <c r="H391" s="463" t="str">
        <f>IFERROR(VLOOKUP(B391,'03. THIẾT BỊ'!$B$1:$S$836,7,0),"")</f>
        <v>XN Bò AD</v>
      </c>
      <c r="I391" s="474">
        <f>IFERROR(VLOOKUP(B391,'03. THIẾT BỊ'!$B$1:$S$836,8,0),"")</f>
        <v>45545</v>
      </c>
      <c r="J391" s="471"/>
      <c r="K391" s="463" t="str">
        <f>IFERROR(VLOOKUP(B391,'03. THIẾT BỊ'!$B$1:$S$836,10,0),"")</f>
        <v>Hư hỏng</v>
      </c>
      <c r="L391" s="468" t="str">
        <f>IFERROR(VLOOKUP(B391,'03. THIẾT BỊ'!$B$1:$S$836,11,0),"")</f>
        <v>- Đ,chuyển từ XN AD2 09.10.2024</v>
      </c>
      <c r="M391" s="472" t="str">
        <f>IFERROR(VLOOKUP(B391,'03. THIẾT BỊ'!$B$1:$S$836,12,0),"")</f>
        <v/>
      </c>
      <c r="N391" s="468" t="str">
        <f>IFERROR(VLOOKUP(B391,'03. THIẾT BỊ'!$B$1:$S$836,13,0),"")</f>
        <v>THACO AGRI</v>
      </c>
      <c r="O391" s="470" t="str">
        <f>IFERROR(VLOOKUP(B391,'03. THIẾT BỊ'!$B$1:$S$836,14,0),"")</f>
        <v>RM thu hoạch</v>
      </c>
      <c r="P391" s="468" t="str">
        <f>IFERROR(VLOOKUP(B391,'03. THIẾT BỊ'!$B$1:$S$836,15,0),"")</f>
        <v>CK-CGH</v>
      </c>
      <c r="Q391" s="48" t="str">
        <f>IFERROR(VLOOKUP(B391,'03. THIẾT BỊ'!$B$1:$S$836,16,0),"")</f>
        <v/>
      </c>
      <c r="R391" s="471" t="str">
        <f>IFERROR(VLOOKUP(B391,'03. THIẾT BỊ'!$B$1:$S$836,17,0),"")</f>
        <v/>
      </c>
      <c r="S391" s="468" t="str">
        <f>IFERROR(VLOOKUP(B391,'03. THIẾT BỊ'!$B$1:$S$836,18,0),"")</f>
        <v/>
      </c>
      <c r="T391" s="812"/>
    </row>
    <row r="392" ht="15.0" customHeight="1">
      <c r="A392" s="475">
        <f t="shared" si="19"/>
        <v>26</v>
      </c>
      <c r="B392" s="467" t="s">
        <v>3518</v>
      </c>
      <c r="C392" s="869" t="str">
        <f>IFERROR(VLOOKUP(B392,'03. THIẾT BỊ'!$B$1:$S$836,2,0),"")</f>
        <v>RMC 88 - VC KLH</v>
      </c>
      <c r="D392" s="470" t="str">
        <f>IFERROR(VLOOKUP(B392,'03. THIẾT BỊ'!$B$1:$S$836,3,0),"")</f>
        <v>A23-RMC-001</v>
      </c>
      <c r="E392" s="464" t="str">
        <f>IFERROR(VLOOKUP(B392,'03. THIẾT BỊ'!$B$1:$S$836,4,0),"")</f>
        <v>ĐQSD</v>
      </c>
      <c r="F392" s="464" t="str">
        <f>IFERROR(VLOOKUP(B392,'03. THIẾT BỊ'!$B$1:$S$836,5,0),"")</f>
        <v>Rơ mooc thu hoạch</v>
      </c>
      <c r="G392" s="80" t="s">
        <v>6423</v>
      </c>
      <c r="H392" s="463" t="str">
        <f>IFERROR(VLOOKUP(B392,'03. THIẾT BỊ'!$B$1:$S$836,7,0),"")</f>
        <v>CGLĐ DP</v>
      </c>
      <c r="I392" s="474" t="str">
        <f>IFERROR(VLOOKUP(B392,'03. THIẾT BỊ'!$B$1:$S$836,8,0),"")</f>
        <v/>
      </c>
      <c r="J392" s="471"/>
      <c r="K392" s="463" t="str">
        <f>IFERROR(VLOOKUP(B392,'03. THIẾT BỊ'!$B$1:$S$836,10,0),"")</f>
        <v>Bình thường</v>
      </c>
      <c r="L392" s="468" t="str">
        <f>IFERROR(VLOOKUP(B392,'03. THIẾT BỊ'!$B$1:$S$836,11,0),"")</f>
        <v/>
      </c>
      <c r="M392" s="472" t="str">
        <f>IFERROR(VLOOKUP(B392,'03. THIẾT BỊ'!$B$1:$S$836,12,0),"")</f>
        <v/>
      </c>
      <c r="N392" s="468" t="str">
        <f>IFERROR(VLOOKUP(B392,'03. THIẾT BỊ'!$B$1:$S$836,13,0),"")</f>
        <v>THACO AGRI</v>
      </c>
      <c r="O392" s="470" t="str">
        <f>IFERROR(VLOOKUP(B392,'03. THIẾT BỊ'!$B$1:$S$836,14,0),"")</f>
        <v/>
      </c>
      <c r="P392" s="468" t="str">
        <f>IFERROR(VLOOKUP(B392,'03. THIẾT BỊ'!$B$1:$S$836,15,0),"")</f>
        <v>CK-CGH</v>
      </c>
      <c r="Q392" s="48" t="str">
        <f>IFERROR(VLOOKUP(B392,'03. THIẾT BỊ'!$B$1:$S$836,16,0),"")</f>
        <v/>
      </c>
      <c r="R392" s="471" t="str">
        <f>IFERROR(VLOOKUP(B392,'03. THIẾT BỊ'!$B$1:$S$836,17,0),"")</f>
        <v/>
      </c>
      <c r="S392" s="468" t="str">
        <f>IFERROR(VLOOKUP(B392,'03. THIẾT BỊ'!$B$1:$S$836,18,0),"")</f>
        <v>2m3</v>
      </c>
      <c r="T392" s="812"/>
    </row>
    <row r="393" ht="15.0" customHeight="1">
      <c r="A393" s="463"/>
      <c r="B393" s="467"/>
      <c r="C393" s="869" t="str">
        <f>IFERROR(VLOOKUP(B393,'03. THIẾT BỊ'!$B$1:$S$836,2,0),"")</f>
        <v/>
      </c>
      <c r="D393" s="470" t="str">
        <f>IFERROR(VLOOKUP(B393,'03. THIẾT BỊ'!$B$1:$S$836,3,0),"")</f>
        <v/>
      </c>
      <c r="E393" s="464" t="str">
        <f>IFERROR(VLOOKUP(B393,'03. THIẾT BỊ'!$B$1:$S$836,4,0),"")</f>
        <v/>
      </c>
      <c r="F393" s="464" t="str">
        <f>IFERROR(VLOOKUP(B393,'03. THIẾT BỊ'!$B$1:$S$836,5,0),"")</f>
        <v/>
      </c>
      <c r="G393" s="80" t="s">
        <v>6423</v>
      </c>
      <c r="H393" s="463" t="str">
        <f>IFERROR(VLOOKUP(B393,'03. THIẾT BỊ'!$B$1:$S$836,7,0),"")</f>
        <v/>
      </c>
      <c r="I393" s="474" t="str">
        <f>IFERROR(VLOOKUP(B393,'03. THIẾT BỊ'!$B$1:$S$836,8,0),"")</f>
        <v/>
      </c>
      <c r="J393" s="471"/>
      <c r="K393" s="463" t="str">
        <f>IFERROR(VLOOKUP(B393,'03. THIẾT BỊ'!$B$1:$S$836,10,0),"")</f>
        <v/>
      </c>
      <c r="L393" s="468" t="str">
        <f>IFERROR(VLOOKUP(B393,'03. THIẾT BỊ'!$B$1:$S$836,11,0),"")</f>
        <v/>
      </c>
      <c r="M393" s="472" t="str">
        <f>IFERROR(VLOOKUP(B393,'03. THIẾT BỊ'!$B$1:$S$836,12,0),"")</f>
        <v/>
      </c>
      <c r="N393" s="468" t="str">
        <f>IFERROR(VLOOKUP(B393,'03. THIẾT BỊ'!$B$1:$S$836,13,0),"")</f>
        <v/>
      </c>
      <c r="O393" s="470" t="str">
        <f>IFERROR(VLOOKUP(B393,'03. THIẾT BỊ'!$B$1:$S$836,14,0),"")</f>
        <v/>
      </c>
      <c r="P393" s="468" t="str">
        <f>IFERROR(VLOOKUP(B393,'03. THIẾT BỊ'!$B$1:$S$836,15,0),"")</f>
        <v/>
      </c>
      <c r="Q393" s="48" t="str">
        <f>IFERROR(VLOOKUP(B393,'03. THIẾT BỊ'!$B$1:$S$836,16,0),"")</f>
        <v/>
      </c>
      <c r="R393" s="471" t="str">
        <f>IFERROR(VLOOKUP(B393,'03. THIẾT BỊ'!$B$1:$S$836,17,0),"")</f>
        <v/>
      </c>
      <c r="S393" s="468" t="str">
        <f>IFERROR(VLOOKUP(B393,'03. THIẾT BỊ'!$B$1:$S$836,18,0),"")</f>
        <v/>
      </c>
      <c r="T393" s="812"/>
    </row>
    <row r="394" ht="15.0" hidden="1" customHeight="1">
      <c r="A394" s="463"/>
      <c r="B394" s="467"/>
      <c r="C394" s="869" t="str">
        <f>IFERROR(VLOOKUP(B394,'03. THIẾT BỊ'!$B$1:$S$836,2,0),"")</f>
        <v/>
      </c>
      <c r="D394" s="470" t="str">
        <f>IFERROR(VLOOKUP(B394,'03. THIẾT BỊ'!$B$1:$S$836,3,0),"")</f>
        <v/>
      </c>
      <c r="E394" s="464" t="str">
        <f>IFERROR(VLOOKUP(B394,'03. THIẾT BỊ'!$B$1:$S$836,4,0),"")</f>
        <v/>
      </c>
      <c r="F394" s="464" t="str">
        <f>IFERROR(VLOOKUP(B394,'03. THIẾT BỊ'!$B$1:$S$836,5,0),"")</f>
        <v/>
      </c>
      <c r="G394" s="80" t="s">
        <v>6423</v>
      </c>
      <c r="H394" s="463" t="str">
        <f>IFERROR(VLOOKUP(B394,'03. THIẾT BỊ'!$B$1:$S$836,7,0),"")</f>
        <v/>
      </c>
      <c r="I394" s="474" t="str">
        <f>IFERROR(VLOOKUP(B394,'03. THIẾT BỊ'!$B$1:$S$836,8,0),"")</f>
        <v/>
      </c>
      <c r="J394" s="471"/>
      <c r="K394" s="463" t="str">
        <f>IFERROR(VLOOKUP(B394,'03. THIẾT BỊ'!$B$1:$S$836,10,0),"")</f>
        <v/>
      </c>
      <c r="L394" s="468" t="str">
        <f>IFERROR(VLOOKUP(B394,'03. THIẾT BỊ'!$B$1:$S$836,11,0),"")</f>
        <v/>
      </c>
      <c r="M394" s="472" t="str">
        <f>IFERROR(VLOOKUP(B394,'03. THIẾT BỊ'!$B$1:$S$836,12,0),"")</f>
        <v/>
      </c>
      <c r="N394" s="468" t="str">
        <f>IFERROR(VLOOKUP(B394,'03. THIẾT BỊ'!$B$1:$S$836,13,0),"")</f>
        <v/>
      </c>
      <c r="O394" s="470" t="str">
        <f>IFERROR(VLOOKUP(B394,'03. THIẾT BỊ'!$B$1:$S$836,14,0),"")</f>
        <v/>
      </c>
      <c r="P394" s="468" t="str">
        <f>IFERROR(VLOOKUP(B394,'03. THIẾT BỊ'!$B$1:$S$836,15,0),"")</f>
        <v/>
      </c>
      <c r="Q394" s="48" t="str">
        <f>IFERROR(VLOOKUP(B394,'03. THIẾT BỊ'!$B$1:$S$836,16,0),"")</f>
        <v/>
      </c>
      <c r="R394" s="471" t="str">
        <f>IFERROR(VLOOKUP(B394,'03. THIẾT BỊ'!$B$1:$S$836,17,0),"")</f>
        <v/>
      </c>
      <c r="S394" s="468" t="str">
        <f>IFERROR(VLOOKUP(B394,'03. THIẾT BỊ'!$B$1:$S$836,18,0),"")</f>
        <v/>
      </c>
      <c r="T394" s="812"/>
    </row>
    <row r="395" ht="15.0" hidden="1" customHeight="1">
      <c r="A395" s="463"/>
      <c r="B395" s="467"/>
      <c r="C395" s="869" t="str">
        <f>IFERROR(VLOOKUP(B395,'03. THIẾT BỊ'!$B$1:$S$836,2,0),"")</f>
        <v/>
      </c>
      <c r="D395" s="470" t="str">
        <f>IFERROR(VLOOKUP(B395,'03. THIẾT BỊ'!$B$1:$S$836,3,0),"")</f>
        <v/>
      </c>
      <c r="E395" s="464" t="str">
        <f>IFERROR(VLOOKUP(B395,'03. THIẾT BỊ'!$B$1:$S$836,4,0),"")</f>
        <v/>
      </c>
      <c r="F395" s="464" t="str">
        <f>IFERROR(VLOOKUP(B395,'03. THIẾT BỊ'!$B$1:$S$836,5,0),"")</f>
        <v/>
      </c>
      <c r="G395" s="80" t="s">
        <v>6423</v>
      </c>
      <c r="H395" s="463" t="str">
        <f>IFERROR(VLOOKUP(B395,'03. THIẾT BỊ'!$B$1:$S$836,7,0),"")</f>
        <v/>
      </c>
      <c r="I395" s="474" t="str">
        <f>IFERROR(VLOOKUP(B395,'03. THIẾT BỊ'!$B$1:$S$836,8,0),"")</f>
        <v/>
      </c>
      <c r="J395" s="471"/>
      <c r="K395" s="463" t="str">
        <f>IFERROR(VLOOKUP(B395,'03. THIẾT BỊ'!$B$1:$S$836,10,0),"")</f>
        <v/>
      </c>
      <c r="L395" s="468" t="str">
        <f>IFERROR(VLOOKUP(B395,'03. THIẾT BỊ'!$B$1:$S$836,11,0),"")</f>
        <v/>
      </c>
      <c r="M395" s="472" t="str">
        <f>IFERROR(VLOOKUP(B395,'03. THIẾT BỊ'!$B$1:$S$836,12,0),"")</f>
        <v/>
      </c>
      <c r="N395" s="468" t="str">
        <f>IFERROR(VLOOKUP(B395,'03. THIẾT BỊ'!$B$1:$S$836,13,0),"")</f>
        <v/>
      </c>
      <c r="O395" s="470" t="str">
        <f>IFERROR(VLOOKUP(B395,'03. THIẾT BỊ'!$B$1:$S$836,14,0),"")</f>
        <v/>
      </c>
      <c r="P395" s="468" t="str">
        <f>IFERROR(VLOOKUP(B395,'03. THIẾT BỊ'!$B$1:$S$836,15,0),"")</f>
        <v/>
      </c>
      <c r="Q395" s="48" t="str">
        <f>IFERROR(VLOOKUP(B395,'03. THIẾT BỊ'!$B$1:$S$836,16,0),"")</f>
        <v/>
      </c>
      <c r="R395" s="471" t="str">
        <f>IFERROR(VLOOKUP(B395,'03. THIẾT BỊ'!$B$1:$S$836,17,0),"")</f>
        <v/>
      </c>
      <c r="S395" s="468" t="str">
        <f>IFERROR(VLOOKUP(B395,'03. THIẾT BỊ'!$B$1:$S$836,18,0),"")</f>
        <v/>
      </c>
      <c r="T395" s="812"/>
    </row>
    <row r="396" hidden="1">
      <c r="C396" s="869" t="str">
        <f>IFERROR(VLOOKUP(B396,'03. THIẾT BỊ'!$B$1:$S$836,2,0),"")</f>
        <v/>
      </c>
      <c r="D396" s="470" t="str">
        <f>IFERROR(VLOOKUP(B396,'03. THIẾT BỊ'!$B$1:$S$836,3,0),"")</f>
        <v/>
      </c>
      <c r="E396" s="464" t="str">
        <f>IFERROR(VLOOKUP(B396,'03. THIẾT BỊ'!$B$1:$S$836,4,0),"")</f>
        <v/>
      </c>
      <c r="F396" s="464" t="str">
        <f>IFERROR(VLOOKUP(B396,'03. THIẾT BỊ'!$B$1:$S$836,5,0),"")</f>
        <v/>
      </c>
      <c r="G396" s="80" t="s">
        <v>6423</v>
      </c>
      <c r="H396" s="463" t="str">
        <f>IFERROR(VLOOKUP(B396,'03. THIẾT BỊ'!$B$1:$S$836,7,0),"")</f>
        <v/>
      </c>
      <c r="I396" s="474" t="str">
        <f>IFERROR(VLOOKUP(B396,'03. THIẾT BỊ'!$B$1:$S$836,8,0),"")</f>
        <v/>
      </c>
      <c r="J396" s="471"/>
      <c r="K396" s="463" t="str">
        <f>IFERROR(VLOOKUP(B396,'03. THIẾT BỊ'!$B$1:$S$836,10,0),"")</f>
        <v/>
      </c>
      <c r="L396" s="468" t="str">
        <f>IFERROR(VLOOKUP(B396,'03. THIẾT BỊ'!$B$1:$S$836,11,0),"")</f>
        <v/>
      </c>
      <c r="M396" s="472" t="str">
        <f>IFERROR(VLOOKUP(B396,'03. THIẾT BỊ'!$B$1:$S$836,12,0),"")</f>
        <v/>
      </c>
      <c r="N396" s="468" t="str">
        <f>IFERROR(VLOOKUP(B396,'03. THIẾT BỊ'!$B$1:$S$836,13,0),"")</f>
        <v/>
      </c>
      <c r="O396" s="470" t="str">
        <f>IFERROR(VLOOKUP(B396,'03. THIẾT BỊ'!$B$1:$S$836,14,0),"")</f>
        <v/>
      </c>
      <c r="P396" s="468" t="str">
        <f>IFERROR(VLOOKUP(B396,'03. THIẾT BỊ'!$B$1:$S$836,15,0),"")</f>
        <v/>
      </c>
      <c r="Q396" s="48" t="str">
        <f>IFERROR(VLOOKUP(B396,'03. THIẾT BỊ'!$B$1:$S$836,16,0),"")</f>
        <v/>
      </c>
      <c r="R396" s="471" t="str">
        <f>IFERROR(VLOOKUP(B396,'03. THIẾT BỊ'!$B$1:$S$836,17,0),"")</f>
        <v/>
      </c>
      <c r="S396" s="468" t="str">
        <f>IFERROR(VLOOKUP(B396,'03. THIẾT BỊ'!$B$1:$S$836,18,0),"")</f>
        <v/>
      </c>
    </row>
    <row r="397" ht="15.0" customHeight="1">
      <c r="A397" s="455" t="s">
        <v>76</v>
      </c>
      <c r="B397" s="456" t="s">
        <v>8700</v>
      </c>
      <c r="C397" s="457">
        <f>COUNTA(B398:B410)</f>
        <v>11</v>
      </c>
      <c r="D397" s="458" t="str">
        <f>IFERROR(VLOOKUP(B397,'03. THIẾT BỊ'!$B$1:$S$836,3,0),"")</f>
        <v/>
      </c>
      <c r="E397" s="464" t="str">
        <f>IFERROR(VLOOKUP(B397,'03. THIẾT BỊ'!$B$1:$S$836,4,0),"")</f>
        <v/>
      </c>
      <c r="F397" s="458" t="str">
        <f>IFERROR(VLOOKUP(B397,'03. THIẾT BỊ'!$B$1:$S$836,5,0),"")</f>
        <v/>
      </c>
      <c r="G397" s="459" t="s">
        <v>6423</v>
      </c>
      <c r="H397" s="459" t="str">
        <f>IFERROR(VLOOKUP(B397,'03. THIẾT BỊ'!$B$1:$S$836,7,0),"")</f>
        <v/>
      </c>
      <c r="I397" s="457" t="str">
        <f>IFERROR(VLOOKUP(B397,'03. THIẾT BỊ'!$B$1:$S$836,8,0),"")</f>
        <v/>
      </c>
      <c r="J397" s="460"/>
      <c r="K397" s="457" t="str">
        <f>IFERROR(VLOOKUP(B397,'03. THIẾT BỊ'!$B$1:$S$836,10,0),"")</f>
        <v/>
      </c>
      <c r="L397" s="458" t="str">
        <f>IFERROR(VLOOKUP(B397,'03. THIẾT BỊ'!$B$1:$S$836,11,0),"")</f>
        <v/>
      </c>
      <c r="M397" s="461" t="str">
        <f>IFERROR(VLOOKUP(B397,'03. THIẾT BỊ'!$B$1:$S$836,12,0),"")</f>
        <v/>
      </c>
      <c r="N397" s="458" t="str">
        <f>IFERROR(VLOOKUP(B397,'03. THIẾT BỊ'!$B$1:$S$836,13,0),"")</f>
        <v/>
      </c>
      <c r="O397" s="461" t="str">
        <f>IFERROR(VLOOKUP(B397,'03. THIẾT BỊ'!$B$1:$S$836,14,0),"")</f>
        <v/>
      </c>
      <c r="P397" s="458" t="str">
        <f>IFERROR(VLOOKUP(B397,'03. THIẾT BỊ'!$B$1:$S$836,15,0),"")</f>
        <v/>
      </c>
      <c r="Q397" s="459" t="str">
        <f>IFERROR(VLOOKUP(B397,'03. THIẾT BỊ'!$B$1:$S$836,16,0),"")</f>
        <v/>
      </c>
      <c r="R397" s="458" t="str">
        <f>IFERROR(VLOOKUP(B397,'03. THIẾT BỊ'!$B$1:$S$836,17,0),"")</f>
        <v/>
      </c>
      <c r="S397" s="458" t="str">
        <f>IFERROR(VLOOKUP(B397,'03. THIẾT BỊ'!$B$1:$S$836,18,0),"")</f>
        <v/>
      </c>
      <c r="T397" s="866"/>
    </row>
    <row r="398" ht="15.0" customHeight="1">
      <c r="A398" s="463">
        <v>1.0</v>
      </c>
      <c r="B398" s="464" t="s">
        <v>4077</v>
      </c>
      <c r="C398" s="869" t="str">
        <f>IFERROR(VLOOKUP(B398,'03. THIẾT BỊ'!$B$1:$S$836,2,0),"")</f>
        <v>RMC 90-VC KLH</v>
      </c>
      <c r="D398" s="470" t="str">
        <f>IFERROR(VLOOKUP(B398,'03. THIẾT BỊ'!$B$1:$S$836,3,0),"")</f>
        <v>A23-RMB-001</v>
      </c>
      <c r="E398" s="464" t="str">
        <f>IFERROR(VLOOKUP(B398,'03. THIẾT BỊ'!$B$1:$S$836,4,0),"")</f>
        <v>ĐQSD</v>
      </c>
      <c r="F398" s="464" t="str">
        <f>IFERROR(VLOOKUP(B398,'03. THIẾT BỊ'!$B$1:$S$836,5,0),"")</f>
        <v>Rơ mooc thùng ben</v>
      </c>
      <c r="G398" s="80" t="s">
        <v>6423</v>
      </c>
      <c r="H398" s="463" t="str">
        <f>IFERROR(VLOOKUP(B398,'03. THIẾT BỊ'!$B$1:$S$836,7,0),"")</f>
        <v>XN Chuối DP2</v>
      </c>
      <c r="I398" s="474" t="str">
        <f>IFERROR(VLOOKUP(B398,'03. THIẾT BỊ'!$B$1:$S$836,8,0),"")</f>
        <v/>
      </c>
      <c r="J398" s="471"/>
      <c r="K398" s="463" t="str">
        <f>IFERROR(VLOOKUP(B398,'03. THIẾT BỊ'!$B$1:$S$836,10,0),"")</f>
        <v>Bình thường</v>
      </c>
      <c r="L398" s="468" t="str">
        <f>IFERROR(VLOOKUP(B398,'03. THIẾT BỊ'!$B$1:$S$836,11,0),"")</f>
        <v/>
      </c>
      <c r="M398" s="472" t="str">
        <f>IFERROR(VLOOKUP(B398,'03. THIẾT BỊ'!$B$1:$S$836,12,0),"")</f>
        <v/>
      </c>
      <c r="N398" s="468" t="str">
        <f>IFERROR(VLOOKUP(B398,'03. THIẾT BỊ'!$B$1:$S$836,13,0),"")</f>
        <v>THACO AGRI</v>
      </c>
      <c r="O398" s="470" t="str">
        <f>IFERROR(VLOOKUP(B398,'03. THIẾT BỊ'!$B$1:$S$836,14,0),"")</f>
        <v/>
      </c>
      <c r="P398" s="468" t="str">
        <f>IFERROR(VLOOKUP(B398,'03. THIẾT BỊ'!$B$1:$S$836,15,0),"")</f>
        <v>CK-CGH</v>
      </c>
      <c r="Q398" s="48" t="str">
        <f>IFERROR(VLOOKUP(B398,'03. THIẾT BỊ'!$B$1:$S$836,16,0),"")</f>
        <v/>
      </c>
      <c r="R398" s="471" t="str">
        <f>IFERROR(VLOOKUP(B398,'03. THIẾT BỊ'!$B$1:$S$836,17,0),"")</f>
        <v/>
      </c>
      <c r="S398" s="468" t="str">
        <f>IFERROR(VLOOKUP(B398,'03. THIẾT BỊ'!$B$1:$S$836,18,0),"")</f>
        <v>Thùng ben 2m3</v>
      </c>
      <c r="T398" s="959"/>
    </row>
    <row r="399" ht="15.0" customHeight="1">
      <c r="A399" s="463">
        <f t="shared" ref="A399:A408" si="20">A398+1</f>
        <v>2</v>
      </c>
      <c r="B399" s="464" t="s">
        <v>4082</v>
      </c>
      <c r="C399" s="869" t="str">
        <f>IFERROR(VLOOKUP(B399,'03. THIẾT BỊ'!$B$1:$S$836,2,0),"")</f>
        <v>RMC 91-VC KLH</v>
      </c>
      <c r="D399" s="470" t="str">
        <f>IFERROR(VLOOKUP(B399,'03. THIẾT BỊ'!$B$1:$S$836,3,0),"")</f>
        <v>A23-RMB-002</v>
      </c>
      <c r="E399" s="464" t="str">
        <f>IFERROR(VLOOKUP(B399,'03. THIẾT BỊ'!$B$1:$S$836,4,0),"")</f>
        <v>ĐQSD</v>
      </c>
      <c r="F399" s="464" t="str">
        <f>IFERROR(VLOOKUP(B399,'03. THIẾT BỊ'!$B$1:$S$836,5,0),"")</f>
        <v>Rơ mooc thùng ben</v>
      </c>
      <c r="G399" s="80" t="s">
        <v>6423</v>
      </c>
      <c r="H399" s="463" t="str">
        <f>IFERROR(VLOOKUP(B399,'03. THIẾT BỊ'!$B$1:$S$836,7,0),"")</f>
        <v>XN Chuối DP2</v>
      </c>
      <c r="I399" s="474" t="str">
        <f>IFERROR(VLOOKUP(B399,'03. THIẾT BỊ'!$B$1:$S$836,8,0),"")</f>
        <v/>
      </c>
      <c r="J399" s="471"/>
      <c r="K399" s="463" t="str">
        <f>IFERROR(VLOOKUP(B399,'03. THIẾT BỊ'!$B$1:$S$836,10,0),"")</f>
        <v>Bình thường</v>
      </c>
      <c r="L399" s="468" t="str">
        <f>IFERROR(VLOOKUP(B399,'03. THIẾT BỊ'!$B$1:$S$836,11,0),"")</f>
        <v/>
      </c>
      <c r="M399" s="472" t="str">
        <f>IFERROR(VLOOKUP(B399,'03. THIẾT BỊ'!$B$1:$S$836,12,0),"")</f>
        <v/>
      </c>
      <c r="N399" s="468" t="str">
        <f>IFERROR(VLOOKUP(B399,'03. THIẾT BỊ'!$B$1:$S$836,13,0),"")</f>
        <v>THACO AGRI</v>
      </c>
      <c r="O399" s="470" t="str">
        <f>IFERROR(VLOOKUP(B399,'03. THIẾT BỊ'!$B$1:$S$836,14,0),"")</f>
        <v/>
      </c>
      <c r="P399" s="468" t="str">
        <f>IFERROR(VLOOKUP(B399,'03. THIẾT BỊ'!$B$1:$S$836,15,0),"")</f>
        <v>CK-CGH</v>
      </c>
      <c r="Q399" s="48" t="str">
        <f>IFERROR(VLOOKUP(B399,'03. THIẾT BỊ'!$B$1:$S$836,16,0),"")</f>
        <v/>
      </c>
      <c r="R399" s="471" t="str">
        <f>IFERROR(VLOOKUP(B399,'03. THIẾT BỊ'!$B$1:$S$836,17,0),"")</f>
        <v/>
      </c>
      <c r="S399" s="468" t="str">
        <f>IFERROR(VLOOKUP(B399,'03. THIẾT BỊ'!$B$1:$S$836,18,0),"")</f>
        <v>Thùng ben 2m3</v>
      </c>
      <c r="T399" s="959"/>
    </row>
    <row r="400" ht="15.0" customHeight="1">
      <c r="A400" s="463">
        <f t="shared" si="20"/>
        <v>3</v>
      </c>
      <c r="B400" s="464" t="s">
        <v>4304</v>
      </c>
      <c r="C400" s="869" t="str">
        <f>IFERROR(VLOOKUP(B400,'03. THIẾT BỊ'!$B$1:$S$836,2,0),"")</f>
        <v>RMC 83-VC KLH</v>
      </c>
      <c r="D400" s="470" t="str">
        <f>IFERROR(VLOOKUP(B400,'03. THIẾT BỊ'!$B$1:$S$836,3,0),"")</f>
        <v>A23-RMB-001</v>
      </c>
      <c r="E400" s="464" t="str">
        <f>IFERROR(VLOOKUP(B400,'03. THIẾT BỊ'!$B$1:$S$836,4,0),"")</f>
        <v>ĐQSD</v>
      </c>
      <c r="F400" s="464" t="str">
        <f>IFERROR(VLOOKUP(B400,'03. THIẾT BỊ'!$B$1:$S$836,5,0),"")</f>
        <v>Rơ mooc thùng ben</v>
      </c>
      <c r="G400" s="80" t="s">
        <v>6423</v>
      </c>
      <c r="H400" s="463" t="str">
        <f>IFERROR(VLOOKUP(B400,'03. THIẾT BỊ'!$B$1:$S$836,7,0),"")</f>
        <v>XN Chuối DP3</v>
      </c>
      <c r="I400" s="474" t="str">
        <f>IFERROR(VLOOKUP(B400,'03. THIẾT BỊ'!$B$1:$S$836,8,0),"")</f>
        <v/>
      </c>
      <c r="J400" s="471"/>
      <c r="K400" s="463" t="str">
        <f>IFERROR(VLOOKUP(B400,'03. THIẾT BỊ'!$B$1:$S$836,10,0),"")</f>
        <v>Bình thường</v>
      </c>
      <c r="L400" s="468" t="str">
        <f>IFERROR(VLOOKUP(B400,'03. THIẾT BỊ'!$B$1:$S$836,11,0),"")</f>
        <v/>
      </c>
      <c r="M400" s="472" t="str">
        <f>IFERROR(VLOOKUP(B400,'03. THIẾT BỊ'!$B$1:$S$836,12,0),"")</f>
        <v/>
      </c>
      <c r="N400" s="468" t="str">
        <f>IFERROR(VLOOKUP(B400,'03. THIẾT BỊ'!$B$1:$S$836,13,0),"")</f>
        <v>THACO AGRI</v>
      </c>
      <c r="O400" s="470" t="str">
        <f>IFERROR(VLOOKUP(B400,'03. THIẾT BỊ'!$B$1:$S$836,14,0),"")</f>
        <v/>
      </c>
      <c r="P400" s="468" t="str">
        <f>IFERROR(VLOOKUP(B400,'03. THIẾT BỊ'!$B$1:$S$836,15,0),"")</f>
        <v>CK-CGH</v>
      </c>
      <c r="Q400" s="48" t="str">
        <f>IFERROR(VLOOKUP(B400,'03. THIẾT BỊ'!$B$1:$S$836,16,0),"")</f>
        <v/>
      </c>
      <c r="R400" s="471" t="str">
        <f>IFERROR(VLOOKUP(B400,'03. THIẾT BỊ'!$B$1:$S$836,17,0),"")</f>
        <v/>
      </c>
      <c r="S400" s="468" t="str">
        <f>IFERROR(VLOOKUP(B400,'03. THIẾT BỊ'!$B$1:$S$836,18,0),"")</f>
        <v>Thùng ben 2m3</v>
      </c>
      <c r="T400" s="959"/>
    </row>
    <row r="401" ht="15.0" customHeight="1">
      <c r="A401" s="463">
        <f t="shared" si="20"/>
        <v>4</v>
      </c>
      <c r="B401" s="464" t="s">
        <v>4306</v>
      </c>
      <c r="C401" s="869" t="str">
        <f>IFERROR(VLOOKUP(B401,'03. THIẾT BỊ'!$B$1:$S$836,2,0),"")</f>
        <v>RMC 85-VC KLH</v>
      </c>
      <c r="D401" s="470" t="str">
        <f>IFERROR(VLOOKUP(B401,'03. THIẾT BỊ'!$B$1:$S$836,3,0),"")</f>
        <v>A23-RMB-003</v>
      </c>
      <c r="E401" s="464" t="str">
        <f>IFERROR(VLOOKUP(B401,'03. THIẾT BỊ'!$B$1:$S$836,4,0),"")</f>
        <v>ĐQSD</v>
      </c>
      <c r="F401" s="464" t="str">
        <f>IFERROR(VLOOKUP(B401,'03. THIẾT BỊ'!$B$1:$S$836,5,0),"")</f>
        <v>Rơ mooc thùng ben</v>
      </c>
      <c r="G401" s="80" t="s">
        <v>6423</v>
      </c>
      <c r="H401" s="463" t="str">
        <f>IFERROR(VLOOKUP(B401,'03. THIẾT BỊ'!$B$1:$S$836,7,0),"")</f>
        <v>XN Chuối DP3</v>
      </c>
      <c r="I401" s="474" t="str">
        <f>IFERROR(VLOOKUP(B401,'03. THIẾT BỊ'!$B$1:$S$836,8,0),"")</f>
        <v/>
      </c>
      <c r="J401" s="471"/>
      <c r="K401" s="463" t="str">
        <f>IFERROR(VLOOKUP(B401,'03. THIẾT BỊ'!$B$1:$S$836,10,0),"")</f>
        <v>Bình thường</v>
      </c>
      <c r="L401" s="468" t="str">
        <f>IFERROR(VLOOKUP(B401,'03. THIẾT BỊ'!$B$1:$S$836,11,0),"")</f>
        <v/>
      </c>
      <c r="M401" s="472" t="str">
        <f>IFERROR(VLOOKUP(B401,'03. THIẾT BỊ'!$B$1:$S$836,12,0),"")</f>
        <v/>
      </c>
      <c r="N401" s="468" t="str">
        <f>IFERROR(VLOOKUP(B401,'03. THIẾT BỊ'!$B$1:$S$836,13,0),"")</f>
        <v>THACO AGRI</v>
      </c>
      <c r="O401" s="470" t="str">
        <f>IFERROR(VLOOKUP(B401,'03. THIẾT BỊ'!$B$1:$S$836,14,0),"")</f>
        <v/>
      </c>
      <c r="P401" s="468" t="str">
        <f>IFERROR(VLOOKUP(B401,'03. THIẾT BỊ'!$B$1:$S$836,15,0),"")</f>
        <v>CK-CGH</v>
      </c>
      <c r="Q401" s="48" t="str">
        <f>IFERROR(VLOOKUP(B401,'03. THIẾT BỊ'!$B$1:$S$836,16,0),"")</f>
        <v/>
      </c>
      <c r="R401" s="471" t="str">
        <f>IFERROR(VLOOKUP(B401,'03. THIẾT BỊ'!$B$1:$S$836,17,0),"")</f>
        <v/>
      </c>
      <c r="S401" s="468" t="str">
        <f>IFERROR(VLOOKUP(B401,'03. THIẾT BỊ'!$B$1:$S$836,18,0),"")</f>
        <v>Thùng ben 2m3</v>
      </c>
      <c r="T401" s="959"/>
    </row>
    <row r="402" ht="15.0" customHeight="1">
      <c r="A402" s="463">
        <f t="shared" si="20"/>
        <v>5</v>
      </c>
      <c r="B402" s="464" t="s">
        <v>4309</v>
      </c>
      <c r="C402" s="869" t="str">
        <f>IFERROR(VLOOKUP(B402,'03. THIẾT BỊ'!$B$1:$S$836,2,0),"")</f>
        <v>RMC 86-VC KLH</v>
      </c>
      <c r="D402" s="470" t="str">
        <f>IFERROR(VLOOKUP(B402,'03. THIẾT BỊ'!$B$1:$S$836,3,0),"")</f>
        <v>A23-RMB-005</v>
      </c>
      <c r="E402" s="464" t="str">
        <f>IFERROR(VLOOKUP(B402,'03. THIẾT BỊ'!$B$1:$S$836,4,0),"")</f>
        <v>ĐQSD</v>
      </c>
      <c r="F402" s="464" t="str">
        <f>IFERROR(VLOOKUP(B402,'03. THIẾT BỊ'!$B$1:$S$836,5,0),"")</f>
        <v>Rơ mooc thùng ben</v>
      </c>
      <c r="G402" s="80" t="s">
        <v>6423</v>
      </c>
      <c r="H402" s="463" t="str">
        <f>IFERROR(VLOOKUP(B402,'03. THIẾT BỊ'!$B$1:$S$836,7,0),"")</f>
        <v>XN Chuối DP3</v>
      </c>
      <c r="I402" s="474" t="str">
        <f>IFERROR(VLOOKUP(B402,'03. THIẾT BỊ'!$B$1:$S$836,8,0),"")</f>
        <v/>
      </c>
      <c r="J402" s="471"/>
      <c r="K402" s="463" t="str">
        <f>IFERROR(VLOOKUP(B402,'03. THIẾT BỊ'!$B$1:$S$836,10,0),"")</f>
        <v>Bình thường</v>
      </c>
      <c r="L402" s="468" t="str">
        <f>IFERROR(VLOOKUP(B402,'03. THIẾT BỊ'!$B$1:$S$836,11,0),"")</f>
        <v/>
      </c>
      <c r="M402" s="472" t="str">
        <f>IFERROR(VLOOKUP(B402,'03. THIẾT BỊ'!$B$1:$S$836,12,0),"")</f>
        <v/>
      </c>
      <c r="N402" s="468" t="str">
        <f>IFERROR(VLOOKUP(B402,'03. THIẾT BỊ'!$B$1:$S$836,13,0),"")</f>
        <v>THACO AGRI</v>
      </c>
      <c r="O402" s="470" t="str">
        <f>IFERROR(VLOOKUP(B402,'03. THIẾT BỊ'!$B$1:$S$836,14,0),"")</f>
        <v/>
      </c>
      <c r="P402" s="468" t="str">
        <f>IFERROR(VLOOKUP(B402,'03. THIẾT BỊ'!$B$1:$S$836,15,0),"")</f>
        <v>CK-CGH</v>
      </c>
      <c r="Q402" s="48" t="str">
        <f>IFERROR(VLOOKUP(B402,'03. THIẾT BỊ'!$B$1:$S$836,16,0),"")</f>
        <v/>
      </c>
      <c r="R402" s="471" t="str">
        <f>IFERROR(VLOOKUP(B402,'03. THIẾT BỊ'!$B$1:$S$836,17,0),"")</f>
        <v/>
      </c>
      <c r="S402" s="468" t="str">
        <f>IFERROR(VLOOKUP(B402,'03. THIẾT BỊ'!$B$1:$S$836,18,0),"")</f>
        <v>thùng ben 2m3</v>
      </c>
      <c r="T402" s="959"/>
    </row>
    <row r="403" ht="15.0" customHeight="1">
      <c r="A403" s="463">
        <f t="shared" si="20"/>
        <v>6</v>
      </c>
      <c r="B403" s="464" t="s">
        <v>4314</v>
      </c>
      <c r="C403" s="869" t="str">
        <f>IFERROR(VLOOKUP(B403,'03. THIẾT BỊ'!$B$1:$S$836,2,0),"")</f>
        <v>RMC 87-VC KLH</v>
      </c>
      <c r="D403" s="470" t="str">
        <f>IFERROR(VLOOKUP(B403,'03. THIẾT BỊ'!$B$1:$S$836,3,0),"")</f>
        <v>A23-RMB-006</v>
      </c>
      <c r="E403" s="464" t="str">
        <f>IFERROR(VLOOKUP(B403,'03. THIẾT BỊ'!$B$1:$S$836,4,0),"")</f>
        <v>ĐQSD</v>
      </c>
      <c r="F403" s="464" t="str">
        <f>IFERROR(VLOOKUP(B403,'03. THIẾT BỊ'!$B$1:$S$836,5,0),"")</f>
        <v>Rơ mooc thùng ben</v>
      </c>
      <c r="G403" s="80" t="s">
        <v>6423</v>
      </c>
      <c r="H403" s="463" t="str">
        <f>IFERROR(VLOOKUP(B403,'03. THIẾT BỊ'!$B$1:$S$836,7,0),"")</f>
        <v>XN Chuối DP3</v>
      </c>
      <c r="I403" s="474" t="str">
        <f>IFERROR(VLOOKUP(B403,'03. THIẾT BỊ'!$B$1:$S$836,8,0),"")</f>
        <v/>
      </c>
      <c r="J403" s="471"/>
      <c r="K403" s="463" t="str">
        <f>IFERROR(VLOOKUP(B403,'03. THIẾT BỊ'!$B$1:$S$836,10,0),"")</f>
        <v>Bình thường</v>
      </c>
      <c r="L403" s="468" t="str">
        <f>IFERROR(VLOOKUP(B403,'03. THIẾT BỊ'!$B$1:$S$836,11,0),"")</f>
        <v/>
      </c>
      <c r="M403" s="472" t="str">
        <f>IFERROR(VLOOKUP(B403,'03. THIẾT BỊ'!$B$1:$S$836,12,0),"")</f>
        <v/>
      </c>
      <c r="N403" s="468" t="str">
        <f>IFERROR(VLOOKUP(B403,'03. THIẾT BỊ'!$B$1:$S$836,13,0),"")</f>
        <v>THACO AGRI</v>
      </c>
      <c r="O403" s="470" t="str">
        <f>IFERROR(VLOOKUP(B403,'03. THIẾT BỊ'!$B$1:$S$836,14,0),"")</f>
        <v/>
      </c>
      <c r="P403" s="468" t="str">
        <f>IFERROR(VLOOKUP(B403,'03. THIẾT BỊ'!$B$1:$S$836,15,0),"")</f>
        <v>CK-CGH</v>
      </c>
      <c r="Q403" s="48" t="str">
        <f>IFERROR(VLOOKUP(B403,'03. THIẾT BỊ'!$B$1:$S$836,16,0),"")</f>
        <v/>
      </c>
      <c r="R403" s="471" t="str">
        <f>IFERROR(VLOOKUP(B403,'03. THIẾT BỊ'!$B$1:$S$836,17,0),"")</f>
        <v/>
      </c>
      <c r="S403" s="468" t="str">
        <f>IFERROR(VLOOKUP(B403,'03. THIẾT BỊ'!$B$1:$S$836,18,0),"")</f>
        <v>thùng ben 2m3</v>
      </c>
      <c r="T403" s="959"/>
    </row>
    <row r="404" ht="15.0" customHeight="1">
      <c r="A404" s="463">
        <f t="shared" si="20"/>
        <v>7</v>
      </c>
      <c r="B404" s="486" t="s">
        <v>4647</v>
      </c>
      <c r="C404" s="869" t="str">
        <f>IFERROR(VLOOKUP(B404,'03. THIẾT BỊ'!$B$1:$S$836,2,0),"")</f>
        <v>RMC 84-VC KLH(XD3-RMB-004)</v>
      </c>
      <c r="D404" s="470" t="str">
        <f>IFERROR(VLOOKUP(B404,'03. THIẾT BỊ'!$B$1:$S$836,3,0),"")</f>
        <v>A23-RMB-004</v>
      </c>
      <c r="E404" s="464" t="str">
        <f>IFERROR(VLOOKUP(B404,'03. THIẾT BỊ'!$B$1:$S$836,4,0),"")</f>
        <v>ĐQSD</v>
      </c>
      <c r="F404" s="464" t="str">
        <f>IFERROR(VLOOKUP(B404,'03. THIẾT BỊ'!$B$1:$S$836,5,0),"")</f>
        <v>Rơ mooc thùng ben</v>
      </c>
      <c r="G404" s="80" t="s">
        <v>6423</v>
      </c>
      <c r="H404" s="463" t="str">
        <f>IFERROR(VLOOKUP(B404,'03. THIẾT BỊ'!$B$1:$S$836,7,0),"")</f>
        <v>XN Chuối LP3</v>
      </c>
      <c r="I404" s="474">
        <f>IFERROR(VLOOKUP(B404,'03. THIẾT BỊ'!$B$1:$S$836,8,0),"")</f>
        <v>45750</v>
      </c>
      <c r="J404" s="471"/>
      <c r="K404" s="463" t="str">
        <f>IFERROR(VLOOKUP(B404,'03. THIẾT BỊ'!$B$1:$S$836,10,0),"")</f>
        <v>Bình thường</v>
      </c>
      <c r="L404" s="468" t="str">
        <f>IFERROR(VLOOKUP(B404,'03. THIẾT BỊ'!$B$1:$S$836,11,0),"")</f>
        <v>đ.Chuyen từ Xn LP3 sang 04/03/2025</v>
      </c>
      <c r="M404" s="472" t="str">
        <f>IFERROR(VLOOKUP(B404,'03. THIẾT BỊ'!$B$1:$S$836,12,0),"")</f>
        <v/>
      </c>
      <c r="N404" s="468" t="str">
        <f>IFERROR(VLOOKUP(B404,'03. THIẾT BỊ'!$B$1:$S$836,13,0),"")</f>
        <v>THACO AGRI</v>
      </c>
      <c r="O404" s="470" t="str">
        <f>IFERROR(VLOOKUP(B404,'03. THIẾT BỊ'!$B$1:$S$836,14,0),"")</f>
        <v/>
      </c>
      <c r="P404" s="468" t="str">
        <f>IFERROR(VLOOKUP(B404,'03. THIẾT BỊ'!$B$1:$S$836,15,0),"")</f>
        <v>CK-CGH</v>
      </c>
      <c r="Q404" s="48" t="str">
        <f>IFERROR(VLOOKUP(B404,'03. THIẾT BỊ'!$B$1:$S$836,16,0),"")</f>
        <v/>
      </c>
      <c r="R404" s="471" t="str">
        <f>IFERROR(VLOOKUP(B404,'03. THIẾT BỊ'!$B$1:$S$836,17,0),"")</f>
        <v/>
      </c>
      <c r="S404" s="468" t="str">
        <f>IFERROR(VLOOKUP(B404,'03. THIẾT BỊ'!$B$1:$S$836,18,0),"")</f>
        <v>thùng ben 2m3</v>
      </c>
      <c r="T404" s="1494"/>
    </row>
    <row r="405" ht="15.0" customHeight="1">
      <c r="A405" s="463">
        <f t="shared" si="20"/>
        <v>8</v>
      </c>
      <c r="B405" s="464" t="s">
        <v>4790</v>
      </c>
      <c r="C405" s="869" t="str">
        <f>IFERROR(VLOOKUP(B405,'03. THIẾT BỊ'!$B$1:$S$836,2,0),"")</f>
        <v>LP4-RMB-003</v>
      </c>
      <c r="D405" s="470" t="str">
        <f>IFERROR(VLOOKUP(B405,'03. THIẾT BỊ'!$B$1:$S$836,3,0),"")</f>
        <v>A24-RMB-001</v>
      </c>
      <c r="E405" s="464" t="str">
        <f>IFERROR(VLOOKUP(B405,'03. THIẾT BỊ'!$B$1:$S$836,4,0),"")</f>
        <v/>
      </c>
      <c r="F405" s="464" t="str">
        <f>IFERROR(VLOOKUP(B405,'03. THIẾT BỊ'!$B$1:$S$836,5,0),"")</f>
        <v>Rơ mooc thùng Ben</v>
      </c>
      <c r="G405" s="80" t="s">
        <v>6423</v>
      </c>
      <c r="H405" s="463" t="str">
        <f>IFERROR(VLOOKUP(B405,'03. THIẾT BỊ'!$B$1:$S$836,7,0),"")</f>
        <v>XN Chuối LP4</v>
      </c>
      <c r="I405" s="474" t="str">
        <f>IFERROR(VLOOKUP(B405,'03. THIẾT BỊ'!$B$1:$S$836,8,0),"")</f>
        <v/>
      </c>
      <c r="J405" s="471"/>
      <c r="K405" s="463" t="str">
        <f>IFERROR(VLOOKUP(B405,'03. THIẾT BỊ'!$B$1:$S$836,10,0),"")</f>
        <v>Bình thường</v>
      </c>
      <c r="L405" s="468" t="str">
        <f>IFERROR(VLOOKUP(B405,'03. THIẾT BỊ'!$B$1:$S$836,11,0),"")</f>
        <v/>
      </c>
      <c r="M405" s="472" t="str">
        <f>IFERROR(VLOOKUP(B405,'03. THIẾT BỊ'!$B$1:$S$836,12,0),"")</f>
        <v/>
      </c>
      <c r="N405" s="468" t="str">
        <f>IFERROR(VLOOKUP(B405,'03. THIẾT BỊ'!$B$1:$S$836,13,0),"")</f>
        <v>THACO AGRI</v>
      </c>
      <c r="O405" s="470" t="str">
        <f>IFERROR(VLOOKUP(B405,'03. THIẾT BỊ'!$B$1:$S$836,14,0),"")</f>
        <v/>
      </c>
      <c r="P405" s="468" t="str">
        <f>IFERROR(VLOOKUP(B405,'03. THIẾT BỊ'!$B$1:$S$836,15,0),"")</f>
        <v>CK-CGH</v>
      </c>
      <c r="Q405" s="48" t="str">
        <f>IFERROR(VLOOKUP(B405,'03. THIẾT BỊ'!$B$1:$S$836,16,0),"")</f>
        <v/>
      </c>
      <c r="R405" s="471" t="str">
        <f>IFERROR(VLOOKUP(B405,'03. THIẾT BỊ'!$B$1:$S$836,17,0),"")</f>
        <v/>
      </c>
      <c r="S405" s="468" t="str">
        <f>IFERROR(VLOOKUP(B405,'03. THIẾT BỊ'!$B$1:$S$836,18,0),"")</f>
        <v/>
      </c>
      <c r="T405" s="812"/>
    </row>
    <row r="406" ht="15.0" customHeight="1">
      <c r="A406" s="463">
        <f t="shared" si="20"/>
        <v>9</v>
      </c>
      <c r="B406" s="464" t="s">
        <v>4794</v>
      </c>
      <c r="C406" s="869" t="str">
        <f>IFERROR(VLOOKUP(B406,'03. THIẾT BỊ'!$B$1:$S$836,2,0),"")</f>
        <v/>
      </c>
      <c r="D406" s="470" t="str">
        <f>IFERROR(VLOOKUP(B406,'03. THIẾT BỊ'!$B$1:$S$836,3,0),"")</f>
        <v>A24-RMB-002</v>
      </c>
      <c r="E406" s="464" t="str">
        <f>IFERROR(VLOOKUP(B406,'03. THIẾT BỊ'!$B$1:$S$836,4,0),"")</f>
        <v/>
      </c>
      <c r="F406" s="464" t="str">
        <f>IFERROR(VLOOKUP(B406,'03. THIẾT BỊ'!$B$1:$S$836,5,0),"")</f>
        <v>Rơ mooc thùng ben</v>
      </c>
      <c r="G406" s="80" t="s">
        <v>6423</v>
      </c>
      <c r="H406" s="463" t="str">
        <f>IFERROR(VLOOKUP(B406,'03. THIẾT BỊ'!$B$1:$S$836,7,0),"")</f>
        <v>XN Chuối LP4</v>
      </c>
      <c r="I406" s="474" t="str">
        <f>IFERROR(VLOOKUP(B406,'03. THIẾT BỊ'!$B$1:$S$836,8,0),"")</f>
        <v/>
      </c>
      <c r="J406" s="471"/>
      <c r="K406" s="463" t="str">
        <f>IFERROR(VLOOKUP(B406,'03. THIẾT BỊ'!$B$1:$S$836,10,0),"")</f>
        <v>Bình thường</v>
      </c>
      <c r="L406" s="468" t="str">
        <f>IFERROR(VLOOKUP(B406,'03. THIẾT BỊ'!$B$1:$S$836,11,0),"")</f>
        <v/>
      </c>
      <c r="M406" s="472" t="str">
        <f>IFERROR(VLOOKUP(B406,'03. THIẾT BỊ'!$B$1:$S$836,12,0),"")</f>
        <v/>
      </c>
      <c r="N406" s="468" t="str">
        <f>IFERROR(VLOOKUP(B406,'03. THIẾT BỊ'!$B$1:$S$836,13,0),"")</f>
        <v>THACO AGRI</v>
      </c>
      <c r="O406" s="470" t="str">
        <f>IFERROR(VLOOKUP(B406,'03. THIẾT BỊ'!$B$1:$S$836,14,0),"")</f>
        <v/>
      </c>
      <c r="P406" s="468" t="str">
        <f>IFERROR(VLOOKUP(B406,'03. THIẾT BỊ'!$B$1:$S$836,15,0),"")</f>
        <v>CK-CGH</v>
      </c>
      <c r="Q406" s="48" t="str">
        <f>IFERROR(VLOOKUP(B406,'03. THIẾT BỊ'!$B$1:$S$836,16,0),"")</f>
        <v/>
      </c>
      <c r="R406" s="471" t="str">
        <f>IFERROR(VLOOKUP(B406,'03. THIẾT BỊ'!$B$1:$S$836,17,0),"")</f>
        <v/>
      </c>
      <c r="S406" s="468" t="str">
        <f>IFERROR(VLOOKUP(B406,'03. THIẾT BỊ'!$B$1:$S$836,18,0),"")</f>
        <v/>
      </c>
      <c r="T406" s="812"/>
    </row>
    <row r="407" ht="15.0" customHeight="1">
      <c r="A407" s="463">
        <f t="shared" si="20"/>
        <v>10</v>
      </c>
      <c r="B407" s="464" t="s">
        <v>5092</v>
      </c>
      <c r="C407" s="869" t="str">
        <f>IFERROR(VLOOKUP(B407,'03. THIẾT BỊ'!$B$1:$S$836,2,0),"")</f>
        <v/>
      </c>
      <c r="D407" s="470" t="str">
        <f>IFERROR(VLOOKUP(B407,'03. THIẾT BỊ'!$B$1:$S$836,3,0),"")</f>
        <v>A22-RMB-001</v>
      </c>
      <c r="E407" s="464" t="str">
        <f>IFERROR(VLOOKUP(B407,'03. THIẾT BỊ'!$B$1:$S$836,4,0),"")</f>
        <v>ĐQSD</v>
      </c>
      <c r="F407" s="464" t="str">
        <f>IFERROR(VLOOKUP(B407,'03. THIẾT BỊ'!$B$1:$S$836,5,0),"")</f>
        <v>Rơ mooc thùng ben</v>
      </c>
      <c r="G407" s="80" t="s">
        <v>6423</v>
      </c>
      <c r="H407" s="463" t="str">
        <f>IFERROR(VLOOKUP(B407,'03. THIẾT BỊ'!$B$1:$S$836,7,0),"")</f>
        <v>XN Bò AD</v>
      </c>
      <c r="I407" s="474" t="str">
        <f>IFERROR(VLOOKUP(B407,'03. THIẾT BỊ'!$B$1:$S$836,8,0),"")</f>
        <v/>
      </c>
      <c r="J407" s="471"/>
      <c r="K407" s="463" t="str">
        <f>IFERROR(VLOOKUP(B407,'03. THIẾT BỊ'!$B$1:$S$836,10,0),"")</f>
        <v>Bình thường</v>
      </c>
      <c r="L407" s="468" t="str">
        <f>IFERROR(VLOOKUP(B407,'03. THIẾT BỊ'!$B$1:$S$836,11,0),"")</f>
        <v/>
      </c>
      <c r="M407" s="472" t="str">
        <f>IFERROR(VLOOKUP(B407,'03. THIẾT BỊ'!$B$1:$S$836,12,0),"")</f>
        <v/>
      </c>
      <c r="N407" s="468" t="str">
        <f>IFERROR(VLOOKUP(B407,'03. THIẾT BỊ'!$B$1:$S$836,13,0),"")</f>
        <v>THACO AGRI</v>
      </c>
      <c r="O407" s="470" t="str">
        <f>IFERROR(VLOOKUP(B407,'03. THIẾT BỊ'!$B$1:$S$836,14,0),"")</f>
        <v>RM thùng ben</v>
      </c>
      <c r="P407" s="468" t="str">
        <f>IFERROR(VLOOKUP(B407,'03. THIẾT BỊ'!$B$1:$S$836,15,0),"")</f>
        <v>CK-CGH</v>
      </c>
      <c r="Q407" s="48" t="str">
        <f>IFERROR(VLOOKUP(B407,'03. THIẾT BỊ'!$B$1:$S$836,16,0),"")</f>
        <v/>
      </c>
      <c r="R407" s="471" t="str">
        <f>IFERROR(VLOOKUP(B407,'03. THIẾT BỊ'!$B$1:$S$836,17,0),"")</f>
        <v/>
      </c>
      <c r="S407" s="468" t="str">
        <f>IFERROR(VLOOKUP(B407,'03. THIẾT BỊ'!$B$1:$S$836,18,0),"")</f>
        <v/>
      </c>
      <c r="T407" s="812"/>
    </row>
    <row r="408" ht="15.0" customHeight="1">
      <c r="A408" s="463">
        <f t="shared" si="20"/>
        <v>11</v>
      </c>
      <c r="B408" s="464" t="s">
        <v>5095</v>
      </c>
      <c r="C408" s="869" t="str">
        <f>IFERROR(VLOOKUP(B408,'03. THIẾT BỊ'!$B$1:$S$836,2,0),"")</f>
        <v/>
      </c>
      <c r="D408" s="470" t="str">
        <f>IFERROR(VLOOKUP(B408,'03. THIẾT BỊ'!$B$1:$S$836,3,0),"")</f>
        <v>A22-RMB-002</v>
      </c>
      <c r="E408" s="464" t="str">
        <f>IFERROR(VLOOKUP(B408,'03. THIẾT BỊ'!$B$1:$S$836,4,0),"")</f>
        <v>ĐQSD</v>
      </c>
      <c r="F408" s="464" t="str">
        <f>IFERROR(VLOOKUP(B408,'03. THIẾT BỊ'!$B$1:$S$836,5,0),"")</f>
        <v>Rơ mooc thùng ben</v>
      </c>
      <c r="G408" s="80" t="s">
        <v>6423</v>
      </c>
      <c r="H408" s="463" t="str">
        <f>IFERROR(VLOOKUP(B408,'03. THIẾT BỊ'!$B$1:$S$836,7,0),"")</f>
        <v>XN Bò AD</v>
      </c>
      <c r="I408" s="474" t="str">
        <f>IFERROR(VLOOKUP(B408,'03. THIẾT BỊ'!$B$1:$S$836,8,0),"")</f>
        <v/>
      </c>
      <c r="J408" s="471"/>
      <c r="K408" s="463" t="str">
        <f>IFERROR(VLOOKUP(B408,'03. THIẾT BỊ'!$B$1:$S$836,10,0),"")</f>
        <v>Bình thường</v>
      </c>
      <c r="L408" s="468" t="str">
        <f>IFERROR(VLOOKUP(B408,'03. THIẾT BỊ'!$B$1:$S$836,11,0),"")</f>
        <v/>
      </c>
      <c r="M408" s="472" t="str">
        <f>IFERROR(VLOOKUP(B408,'03. THIẾT BỊ'!$B$1:$S$836,12,0),"")</f>
        <v/>
      </c>
      <c r="N408" s="468" t="str">
        <f>IFERROR(VLOOKUP(B408,'03. THIẾT BỊ'!$B$1:$S$836,13,0),"")</f>
        <v>THACO AGRI</v>
      </c>
      <c r="O408" s="470" t="str">
        <f>IFERROR(VLOOKUP(B408,'03. THIẾT BỊ'!$B$1:$S$836,14,0),"")</f>
        <v>RM thùng ben</v>
      </c>
      <c r="P408" s="468" t="str">
        <f>IFERROR(VLOOKUP(B408,'03. THIẾT BỊ'!$B$1:$S$836,15,0),"")</f>
        <v>CK-CGH</v>
      </c>
      <c r="Q408" s="48" t="str">
        <f>IFERROR(VLOOKUP(B408,'03. THIẾT BỊ'!$B$1:$S$836,16,0),"")</f>
        <v/>
      </c>
      <c r="R408" s="471" t="str">
        <f>IFERROR(VLOOKUP(B408,'03. THIẾT BỊ'!$B$1:$S$836,17,0),"")</f>
        <v/>
      </c>
      <c r="S408" s="468" t="str">
        <f>IFERROR(VLOOKUP(B408,'03. THIẾT BỊ'!$B$1:$S$836,18,0),"")</f>
        <v/>
      </c>
      <c r="T408" s="812"/>
    </row>
    <row r="409">
      <c r="C409" s="869" t="str">
        <f>IFERROR(VLOOKUP(B409,'03. THIẾT BỊ'!$B$1:$S$836,2,0),"")</f>
        <v/>
      </c>
      <c r="D409" s="470" t="str">
        <f>IFERROR(VLOOKUP(B409,'03. THIẾT BỊ'!$B$1:$S$836,3,0),"")</f>
        <v/>
      </c>
      <c r="E409" s="464" t="str">
        <f>IFERROR(VLOOKUP(B409,'03. THIẾT BỊ'!$B$1:$S$836,4,0),"")</f>
        <v/>
      </c>
      <c r="F409" s="464" t="str">
        <f>IFERROR(VLOOKUP(B409,'03. THIẾT BỊ'!$B$1:$S$836,5,0),"")</f>
        <v/>
      </c>
      <c r="G409" s="80" t="s">
        <v>6423</v>
      </c>
      <c r="H409" s="463" t="str">
        <f>IFERROR(VLOOKUP(B409,'03. THIẾT BỊ'!$B$1:$S$836,7,0),"")</f>
        <v/>
      </c>
      <c r="I409" s="474" t="str">
        <f>IFERROR(VLOOKUP(B409,'03. THIẾT BỊ'!$B$1:$S$836,8,0),"")</f>
        <v/>
      </c>
      <c r="J409" s="471"/>
      <c r="K409" s="463" t="str">
        <f>IFERROR(VLOOKUP(B409,'03. THIẾT BỊ'!$B$1:$S$836,10,0),"")</f>
        <v/>
      </c>
      <c r="L409" s="468" t="str">
        <f>IFERROR(VLOOKUP(B409,'03. THIẾT BỊ'!$B$1:$S$836,11,0),"")</f>
        <v/>
      </c>
      <c r="M409" s="472" t="str">
        <f>IFERROR(VLOOKUP(B409,'03. THIẾT BỊ'!$B$1:$S$836,12,0),"")</f>
        <v/>
      </c>
      <c r="N409" s="468" t="str">
        <f>IFERROR(VLOOKUP(B409,'03. THIẾT BỊ'!$B$1:$S$836,13,0),"")</f>
        <v/>
      </c>
      <c r="O409" s="470" t="str">
        <f>IFERROR(VLOOKUP(B409,'03. THIẾT BỊ'!$B$1:$S$836,14,0),"")</f>
        <v/>
      </c>
      <c r="P409" s="468" t="str">
        <f>IFERROR(VLOOKUP(B409,'03. THIẾT BỊ'!$B$1:$S$836,15,0),"")</f>
        <v/>
      </c>
      <c r="Q409" s="48" t="str">
        <f>IFERROR(VLOOKUP(B409,'03. THIẾT BỊ'!$B$1:$S$836,16,0),"")</f>
        <v/>
      </c>
      <c r="R409" s="471" t="str">
        <f>IFERROR(VLOOKUP(B409,'03. THIẾT BỊ'!$B$1:$S$836,17,0),"")</f>
        <v/>
      </c>
      <c r="S409" s="468" t="str">
        <f>IFERROR(VLOOKUP(B409,'03. THIẾT BỊ'!$B$1:$S$836,18,0),"")</f>
        <v/>
      </c>
    </row>
    <row r="410">
      <c r="C410" s="869" t="str">
        <f>IFERROR(VLOOKUP(B410,'03. THIẾT BỊ'!$B$1:$S$836,2,0),"")</f>
        <v/>
      </c>
      <c r="D410" s="470" t="str">
        <f>IFERROR(VLOOKUP(B410,'03. THIẾT BỊ'!$B$1:$S$836,3,0),"")</f>
        <v/>
      </c>
      <c r="E410" s="464" t="str">
        <f>IFERROR(VLOOKUP(B410,'03. THIẾT BỊ'!$B$1:$S$836,4,0),"")</f>
        <v/>
      </c>
      <c r="F410" s="464" t="str">
        <f>IFERROR(VLOOKUP(B410,'03. THIẾT BỊ'!$B$1:$S$836,5,0),"")</f>
        <v/>
      </c>
      <c r="G410" s="80" t="s">
        <v>6423</v>
      </c>
      <c r="H410" s="463" t="str">
        <f>IFERROR(VLOOKUP(B410,'03. THIẾT BỊ'!$B$1:$S$836,7,0),"")</f>
        <v/>
      </c>
      <c r="I410" s="474" t="str">
        <f>IFERROR(VLOOKUP(B410,'03. THIẾT BỊ'!$B$1:$S$836,8,0),"")</f>
        <v/>
      </c>
      <c r="J410" s="471"/>
      <c r="K410" s="463" t="str">
        <f>IFERROR(VLOOKUP(B410,'03. THIẾT BỊ'!$B$1:$S$836,10,0),"")</f>
        <v/>
      </c>
      <c r="L410" s="468" t="str">
        <f>IFERROR(VLOOKUP(B410,'03. THIẾT BỊ'!$B$1:$S$836,11,0),"")</f>
        <v/>
      </c>
      <c r="M410" s="472" t="str">
        <f>IFERROR(VLOOKUP(B410,'03. THIẾT BỊ'!$B$1:$S$836,12,0),"")</f>
        <v/>
      </c>
      <c r="N410" s="468" t="str">
        <f>IFERROR(VLOOKUP(B410,'03. THIẾT BỊ'!$B$1:$S$836,13,0),"")</f>
        <v/>
      </c>
      <c r="O410" s="470" t="str">
        <f>IFERROR(VLOOKUP(B410,'03. THIẾT BỊ'!$B$1:$S$836,14,0),"")</f>
        <v/>
      </c>
      <c r="P410" s="468" t="str">
        <f>IFERROR(VLOOKUP(B410,'03. THIẾT BỊ'!$B$1:$S$836,15,0),"")</f>
        <v/>
      </c>
      <c r="Q410" s="48" t="str">
        <f>IFERROR(VLOOKUP(B410,'03. THIẾT BỊ'!$B$1:$S$836,16,0),"")</f>
        <v/>
      </c>
      <c r="R410" s="471" t="str">
        <f>IFERROR(VLOOKUP(B410,'03. THIẾT BỊ'!$B$1:$S$836,17,0),"")</f>
        <v/>
      </c>
      <c r="S410" s="468" t="str">
        <f>IFERROR(VLOOKUP(B410,'03. THIẾT BỊ'!$B$1:$S$836,18,0),"")</f>
        <v/>
      </c>
    </row>
    <row r="411" ht="15.0" customHeight="1">
      <c r="A411" s="455" t="s">
        <v>76</v>
      </c>
      <c r="B411" s="456" t="s">
        <v>8701</v>
      </c>
      <c r="C411" s="457">
        <f>COUNTA(B412:B415)</f>
        <v>3</v>
      </c>
      <c r="D411" s="458" t="str">
        <f>IFERROR(VLOOKUP(B411,'03. THIẾT BỊ'!$B$1:$S$836,3,0),"")</f>
        <v/>
      </c>
      <c r="E411" s="464" t="str">
        <f>IFERROR(VLOOKUP(B411,'03. THIẾT BỊ'!$B$1:$S$836,4,0),"")</f>
        <v/>
      </c>
      <c r="F411" s="458" t="str">
        <f>IFERROR(VLOOKUP(B411,'03. THIẾT BỊ'!$B$1:$S$836,5,0),"")</f>
        <v/>
      </c>
      <c r="G411" s="459" t="s">
        <v>6423</v>
      </c>
      <c r="H411" s="459" t="str">
        <f>IFERROR(VLOOKUP(B411,'03. THIẾT BỊ'!$B$1:$S$836,7,0),"")</f>
        <v/>
      </c>
      <c r="I411" s="457" t="str">
        <f>IFERROR(VLOOKUP(B411,'03. THIẾT BỊ'!$B$1:$S$836,8,0),"")</f>
        <v/>
      </c>
      <c r="J411" s="460"/>
      <c r="K411" s="457" t="str">
        <f>IFERROR(VLOOKUP(B411,'03. THIẾT BỊ'!$B$1:$S$836,10,0),"")</f>
        <v/>
      </c>
      <c r="L411" s="458" t="str">
        <f>IFERROR(VLOOKUP(B411,'03. THIẾT BỊ'!$B$1:$S$836,11,0),"")</f>
        <v/>
      </c>
      <c r="M411" s="461" t="str">
        <f>IFERROR(VLOOKUP(B411,'03. THIẾT BỊ'!$B$1:$S$836,12,0),"")</f>
        <v/>
      </c>
      <c r="N411" s="458" t="str">
        <f>IFERROR(VLOOKUP(B411,'03. THIẾT BỊ'!$B$1:$S$836,13,0),"")</f>
        <v/>
      </c>
      <c r="O411" s="461" t="str">
        <f>IFERROR(VLOOKUP(B411,'03. THIẾT BỊ'!$B$1:$S$836,14,0),"")</f>
        <v/>
      </c>
      <c r="P411" s="458" t="str">
        <f>IFERROR(VLOOKUP(B411,'03. THIẾT BỊ'!$B$1:$S$836,15,0),"")</f>
        <v/>
      </c>
      <c r="Q411" s="459" t="str">
        <f>IFERROR(VLOOKUP(B411,'03. THIẾT BỊ'!$B$1:$S$836,16,0),"")</f>
        <v/>
      </c>
      <c r="R411" s="458" t="str">
        <f>IFERROR(VLOOKUP(B411,'03. THIẾT BỊ'!$B$1:$S$836,17,0),"")</f>
        <v/>
      </c>
      <c r="S411" s="458" t="str">
        <f>IFERROR(VLOOKUP(B411,'03. THIẾT BỊ'!$B$1:$S$836,18,0),"")</f>
        <v/>
      </c>
      <c r="T411" s="866"/>
    </row>
    <row r="412" ht="15.0" customHeight="1">
      <c r="A412" s="463">
        <v>1.0</v>
      </c>
      <c r="B412" s="464" t="s">
        <v>4651</v>
      </c>
      <c r="C412" s="869" t="str">
        <f>IFERROR(VLOOKUP(B412,'03. THIẾT BỊ'!$B$1:$S$836,2,0),"")</f>
        <v>CK-RMRP-002</v>
      </c>
      <c r="D412" s="470" t="str">
        <f>IFERROR(VLOOKUP(B412,'03. THIẾT BỊ'!$B$1:$S$836,3,0),"")</f>
        <v>A24-RMR-001</v>
      </c>
      <c r="E412" s="464" t="str">
        <f>IFERROR(VLOOKUP(B412,'03. THIẾT BỊ'!$B$1:$S$836,4,0),"")</f>
        <v>ĐQSD</v>
      </c>
      <c r="F412" s="464" t="str">
        <f>IFERROR(VLOOKUP(B412,'03. THIẾT BỊ'!$B$1:$S$836,5,0),"")</f>
        <v>Rơ mooc thùng ben rải phân hữu cơ</v>
      </c>
      <c r="G412" s="80" t="s">
        <v>6423</v>
      </c>
      <c r="H412" s="463" t="str">
        <f>IFERROR(VLOOKUP(B412,'03. THIẾT BỊ'!$B$1:$S$836,7,0),"")</f>
        <v>XN Chuối LP3</v>
      </c>
      <c r="I412" s="474" t="str">
        <f>IFERROR(VLOOKUP(B412,'03. THIẾT BỊ'!$B$1:$S$836,8,0),"")</f>
        <v/>
      </c>
      <c r="J412" s="471"/>
      <c r="K412" s="463" t="str">
        <f>IFERROR(VLOOKUP(B412,'03. THIẾT BỊ'!$B$1:$S$836,10,0),"")</f>
        <v>Bình thường</v>
      </c>
      <c r="L412" s="468" t="str">
        <f>IFERROR(VLOOKUP(B412,'03. THIẾT BỊ'!$B$1:$S$836,11,0),"")</f>
        <v/>
      </c>
      <c r="M412" s="472" t="str">
        <f>IFERROR(VLOOKUP(B412,'03. THIẾT BỊ'!$B$1:$S$836,12,0),"")</f>
        <v>Rải phân bò</v>
      </c>
      <c r="N412" s="468" t="str">
        <f>IFERROR(VLOOKUP(B412,'03. THIẾT BỊ'!$B$1:$S$836,13,0),"")</f>
        <v>THACO AGRI</v>
      </c>
      <c r="O412" s="470" t="str">
        <f>IFERROR(VLOOKUP(B412,'03. THIẾT BỊ'!$B$1:$S$836,14,0),"")</f>
        <v/>
      </c>
      <c r="P412" s="468" t="str">
        <f>IFERROR(VLOOKUP(B412,'03. THIẾT BỊ'!$B$1:$S$836,15,0),"")</f>
        <v>CK-CGH</v>
      </c>
      <c r="Q412" s="48" t="str">
        <f>IFERROR(VLOOKUP(B412,'03. THIẾT BỊ'!$B$1:$S$836,16,0),"")</f>
        <v/>
      </c>
      <c r="R412" s="471" t="str">
        <f>IFERROR(VLOOKUP(B412,'03. THIẾT BỊ'!$B$1:$S$836,17,0),"")</f>
        <v>4.5**1.5m</v>
      </c>
      <c r="S412" s="468" t="str">
        <f>IFERROR(VLOOKUP(B412,'03. THIẾT BỊ'!$B$1:$S$836,18,0),"")</f>
        <v>Rải phân bò</v>
      </c>
      <c r="T412" s="807"/>
    </row>
    <row r="413" ht="15.0" customHeight="1">
      <c r="A413" s="463">
        <v>2.0</v>
      </c>
      <c r="B413" s="464" t="s">
        <v>4336</v>
      </c>
      <c r="C413" s="869" t="str">
        <f>IFERROR(VLOOKUP(B413,'03. THIẾT BỊ'!$B$1:$S$836,2,0),"")</f>
        <v>CK-RMRP-01(CNN-RMR-001)</v>
      </c>
      <c r="D413" s="470" t="str">
        <f>IFERROR(VLOOKUP(B413,'03. THIẾT BỊ'!$B$1:$S$836,3,0),"")</f>
        <v>A23-RMR-001</v>
      </c>
      <c r="E413" s="464" t="str">
        <f>IFERROR(VLOOKUP(B413,'03. THIẾT BỊ'!$B$1:$S$836,4,0),"")</f>
        <v>ĐQSD</v>
      </c>
      <c r="F413" s="464" t="str">
        <f>IFERROR(VLOOKUP(B413,'03. THIẾT BỊ'!$B$1:$S$836,5,0),"")</f>
        <v>Rơ mooc thùng ben rải phân hữu cơ</v>
      </c>
      <c r="G413" s="80" t="s">
        <v>6423</v>
      </c>
      <c r="H413" s="463" t="str">
        <f>IFERROR(VLOOKUP(B413,'03. THIẾT BỊ'!$B$1:$S$836,7,0),"")</f>
        <v>XN Chuối DP3</v>
      </c>
      <c r="I413" s="474" t="str">
        <f>IFERROR(VLOOKUP(B413,'03. THIẾT BỊ'!$B$1:$S$836,8,0),"")</f>
        <v>29/11/2023</v>
      </c>
      <c r="J413" s="471"/>
      <c r="K413" s="463" t="str">
        <f>IFERROR(VLOOKUP(B413,'03. THIẾT BỊ'!$B$1:$S$836,10,0),"")</f>
        <v>Bình thường</v>
      </c>
      <c r="L413" s="468" t="str">
        <f>IFERROR(VLOOKUP(B413,'03. THIẾT BỊ'!$B$1:$S$836,11,0),"")</f>
        <v>CGLĐ DP đ.chuyen qua ngày 19/08/2025</v>
      </c>
      <c r="M413" s="472" t="str">
        <f>IFERROR(VLOOKUP(B413,'03. THIẾT BỊ'!$B$1:$S$836,12,0),"")</f>
        <v/>
      </c>
      <c r="N413" s="468" t="str">
        <f>IFERROR(VLOOKUP(B413,'03. THIẾT BỊ'!$B$1:$S$836,13,0),"")</f>
        <v>THACO AGRI</v>
      </c>
      <c r="O413" s="470" t="str">
        <f>IFERROR(VLOOKUP(B413,'03. THIẾT BỊ'!$B$1:$S$836,14,0),"")</f>
        <v/>
      </c>
      <c r="P413" s="468" t="str">
        <f>IFERROR(VLOOKUP(B413,'03. THIẾT BỊ'!$B$1:$S$836,15,0),"")</f>
        <v>CK-CGH</v>
      </c>
      <c r="Q413" s="48" t="str">
        <f>IFERROR(VLOOKUP(B413,'03. THIẾT BỊ'!$B$1:$S$836,16,0),"")</f>
        <v/>
      </c>
      <c r="R413" s="471" t="str">
        <f>IFERROR(VLOOKUP(B413,'03. THIẾT BỊ'!$B$1:$S$836,17,0),"")</f>
        <v>4.5x2x1.5</v>
      </c>
      <c r="S413" s="468" t="str">
        <f>IFERROR(VLOOKUP(B413,'03. THIẾT BỊ'!$B$1:$S$836,18,0),"")</f>
        <v>Kèm trục ben(xy lanh phi 160mm)</v>
      </c>
      <c r="T413" s="812"/>
    </row>
    <row r="414" ht="15.0" customHeight="1">
      <c r="A414" s="463">
        <v>3.0</v>
      </c>
      <c r="B414" s="464" t="s">
        <v>4455</v>
      </c>
      <c r="C414" s="869" t="str">
        <f>IFERROR(VLOOKUP(B414,'03. THIẾT BỊ'!$B$1:$S$836,2,0),"")</f>
        <v/>
      </c>
      <c r="D414" s="470" t="str">
        <f>IFERROR(VLOOKUP(B414,'03. THIẾT BỊ'!$B$1:$S$836,3,0),"")</f>
        <v>A24-RMR-001</v>
      </c>
      <c r="E414" s="464" t="str">
        <f>IFERROR(VLOOKUP(B414,'03. THIẾT BỊ'!$B$1:$S$836,4,0),"")</f>
        <v>ĐQSD</v>
      </c>
      <c r="F414" s="464" t="str">
        <f>IFERROR(VLOOKUP(B414,'03. THIẾT BỊ'!$B$1:$S$836,5,0),"")</f>
        <v>Rơ mooc ben rải phân</v>
      </c>
      <c r="G414" s="80" t="s">
        <v>6423</v>
      </c>
      <c r="H414" s="463" t="str">
        <f>IFERROR(VLOOKUP(B414,'03. THIẾT BỊ'!$B$1:$S$836,7,0),"")</f>
        <v>XN Chuối LP1</v>
      </c>
      <c r="I414" s="474">
        <f>IFERROR(VLOOKUP(B414,'03. THIẾT BỊ'!$B$1:$S$836,8,0),"")</f>
        <v>45359</v>
      </c>
      <c r="J414" s="471"/>
      <c r="K414" s="463" t="str">
        <f>IFERROR(VLOOKUP(B414,'03. THIẾT BỊ'!$B$1:$S$836,10,0),"")</f>
        <v>Bình thường</v>
      </c>
      <c r="L414" s="468" t="str">
        <f>IFERROR(VLOOKUP(B414,'03. THIẾT BỊ'!$B$1:$S$836,11,0),"")</f>
        <v>X.CK gia công</v>
      </c>
      <c r="M414" s="472" t="str">
        <f>IFERROR(VLOOKUP(B414,'03. THIẾT BỊ'!$B$1:$S$836,12,0),"")</f>
        <v/>
      </c>
      <c r="N414" s="468" t="str">
        <f>IFERROR(VLOOKUP(B414,'03. THIẾT BỊ'!$B$1:$S$836,13,0),"")</f>
        <v>THACO AGRI</v>
      </c>
      <c r="O414" s="470" t="str">
        <f>IFERROR(VLOOKUP(B414,'03. THIẾT BỊ'!$B$1:$S$836,14,0),"")</f>
        <v/>
      </c>
      <c r="P414" s="468" t="str">
        <f>IFERROR(VLOOKUP(B414,'03. THIẾT BỊ'!$B$1:$S$836,15,0),"")</f>
        <v>CK-CGH</v>
      </c>
      <c r="Q414" s="48" t="str">
        <f>IFERROR(VLOOKUP(B414,'03. THIẾT BỊ'!$B$1:$S$836,16,0),"")</f>
        <v/>
      </c>
      <c r="R414" s="471" t="str">
        <f>IFERROR(VLOOKUP(B414,'03. THIẾT BỊ'!$B$1:$S$836,17,0),"")</f>
        <v>Dài4m Rộng 2.4mx Cao 1.5m</v>
      </c>
      <c r="S414" s="468" t="str">
        <f>IFERROR(VLOOKUP(B414,'03. THIẾT BỊ'!$B$1:$S$836,18,0),"")</f>
        <v/>
      </c>
      <c r="T414" s="812"/>
    </row>
    <row r="415">
      <c r="C415" s="869" t="str">
        <f>IFERROR(VLOOKUP(B415,'03. THIẾT BỊ'!$B$1:$S$836,2,0),"")</f>
        <v/>
      </c>
      <c r="D415" s="470" t="str">
        <f>IFERROR(VLOOKUP(B415,'03. THIẾT BỊ'!$B$1:$S$836,3,0),"")</f>
        <v/>
      </c>
      <c r="E415" s="464" t="str">
        <f>IFERROR(VLOOKUP(B415,'03. THIẾT BỊ'!$B$1:$S$836,4,0),"")</f>
        <v/>
      </c>
      <c r="F415" s="464" t="str">
        <f>IFERROR(VLOOKUP(B415,'03. THIẾT BỊ'!$B$1:$S$836,5,0),"")</f>
        <v/>
      </c>
      <c r="G415" s="80" t="s">
        <v>6423</v>
      </c>
      <c r="H415" s="463" t="str">
        <f>IFERROR(VLOOKUP(B415,'03. THIẾT BỊ'!$B$1:$S$836,7,0),"")</f>
        <v/>
      </c>
      <c r="I415" s="474" t="str">
        <f>IFERROR(VLOOKUP(B415,'03. THIẾT BỊ'!$B$1:$S$836,8,0),"")</f>
        <v/>
      </c>
      <c r="J415" s="471"/>
      <c r="K415" s="463" t="str">
        <f>IFERROR(VLOOKUP(B415,'03. THIẾT BỊ'!$B$1:$S$836,10,0),"")</f>
        <v/>
      </c>
      <c r="L415" s="468" t="str">
        <f>IFERROR(VLOOKUP(B415,'03. THIẾT BỊ'!$B$1:$S$836,11,0),"")</f>
        <v/>
      </c>
      <c r="M415" s="472" t="str">
        <f>IFERROR(VLOOKUP(B415,'03. THIẾT BỊ'!$B$1:$S$836,12,0),"")</f>
        <v/>
      </c>
      <c r="N415" s="468" t="str">
        <f>IFERROR(VLOOKUP(B415,'03. THIẾT BỊ'!$B$1:$S$836,13,0),"")</f>
        <v/>
      </c>
      <c r="O415" s="470" t="str">
        <f>IFERROR(VLOOKUP(B415,'03. THIẾT BỊ'!$B$1:$S$836,14,0),"")</f>
        <v/>
      </c>
      <c r="P415" s="468" t="str">
        <f>IFERROR(VLOOKUP(B415,'03. THIẾT BỊ'!$B$1:$S$836,15,0),"")</f>
        <v/>
      </c>
      <c r="Q415" s="48" t="str">
        <f>IFERROR(VLOOKUP(B415,'03. THIẾT BỊ'!$B$1:$S$836,16,0),"")</f>
        <v/>
      </c>
      <c r="R415" s="471" t="str">
        <f>IFERROR(VLOOKUP(B415,'03. THIẾT BỊ'!$B$1:$S$836,17,0),"")</f>
        <v/>
      </c>
      <c r="S415" s="468" t="str">
        <f>IFERROR(VLOOKUP(B415,'03. THIẾT BỊ'!$B$1:$S$836,18,0),"")</f>
        <v/>
      </c>
    </row>
    <row r="416" ht="15.0" customHeight="1">
      <c r="A416" s="455" t="s">
        <v>76</v>
      </c>
      <c r="B416" s="456" t="s">
        <v>8702</v>
      </c>
      <c r="C416" s="457">
        <f>COUNTA(B417:B436)</f>
        <v>18</v>
      </c>
      <c r="D416" s="458" t="str">
        <f>IFERROR(VLOOKUP(B416,'03. THIẾT BỊ'!$B$1:$S$836,3,0),"")</f>
        <v/>
      </c>
      <c r="E416" s="464" t="str">
        <f>IFERROR(VLOOKUP(B416,'03. THIẾT BỊ'!$B$1:$S$836,4,0),"")</f>
        <v/>
      </c>
      <c r="F416" s="458" t="str">
        <f>IFERROR(VLOOKUP(B416,'03. THIẾT BỊ'!$B$1:$S$836,5,0),"")</f>
        <v/>
      </c>
      <c r="G416" s="459" t="s">
        <v>6423</v>
      </c>
      <c r="H416" s="459" t="str">
        <f>IFERROR(VLOOKUP(B416,'03. THIẾT BỊ'!$B$1:$S$836,7,0),"")</f>
        <v/>
      </c>
      <c r="I416" s="457" t="str">
        <f>IFERROR(VLOOKUP(B416,'03. THIẾT BỊ'!$B$1:$S$836,8,0),"")</f>
        <v/>
      </c>
      <c r="J416" s="460"/>
      <c r="K416" s="457" t="str">
        <f>IFERROR(VLOOKUP(B416,'03. THIẾT BỊ'!$B$1:$S$836,10,0),"")</f>
        <v/>
      </c>
      <c r="L416" s="458" t="str">
        <f>IFERROR(VLOOKUP(B416,'03. THIẾT BỊ'!$B$1:$S$836,11,0),"")</f>
        <v/>
      </c>
      <c r="M416" s="461" t="str">
        <f>IFERROR(VLOOKUP(B416,'03. THIẾT BỊ'!$B$1:$S$836,12,0),"")</f>
        <v/>
      </c>
      <c r="N416" s="458" t="str">
        <f>IFERROR(VLOOKUP(B416,'03. THIẾT BỊ'!$B$1:$S$836,13,0),"")</f>
        <v/>
      </c>
      <c r="O416" s="461" t="str">
        <f>IFERROR(VLOOKUP(B416,'03. THIẾT BỊ'!$B$1:$S$836,14,0),"")</f>
        <v/>
      </c>
      <c r="P416" s="458" t="str">
        <f>IFERROR(VLOOKUP(B416,'03. THIẾT BỊ'!$B$1:$S$836,15,0),"")</f>
        <v/>
      </c>
      <c r="Q416" s="459" t="str">
        <f>IFERROR(VLOOKUP(B416,'03. THIẾT BỊ'!$B$1:$S$836,16,0),"")</f>
        <v/>
      </c>
      <c r="R416" s="458" t="str">
        <f>IFERROR(VLOOKUP(B416,'03. THIẾT BỊ'!$B$1:$S$836,17,0),"")</f>
        <v/>
      </c>
      <c r="S416" s="458" t="str">
        <f>IFERROR(VLOOKUP(B416,'03. THIẾT BỊ'!$B$1:$S$836,18,0),"")</f>
        <v/>
      </c>
      <c r="T416" s="866"/>
    </row>
    <row r="417" ht="15.0" customHeight="1">
      <c r="A417" s="463">
        <v>1.0</v>
      </c>
      <c r="B417" s="464" t="s">
        <v>4119</v>
      </c>
      <c r="C417" s="869" t="str">
        <f>IFERROR(VLOOKUP(B417,'03. THIẾT BỊ'!$B$1:$S$836,2,0),"")</f>
        <v>CK-RML-09(XB1-RML-007)</v>
      </c>
      <c r="D417" s="470" t="str">
        <f>IFERROR(VLOOKUP(B417,'03. THIẾT BỊ'!$B$1:$S$836,3,0),"")</f>
        <v>A23-RML-001</v>
      </c>
      <c r="E417" s="464" t="str">
        <f>IFERROR(VLOOKUP(B417,'03. THIẾT BỊ'!$B$1:$S$836,4,0),"")</f>
        <v>ĐQSD</v>
      </c>
      <c r="F417" s="464" t="str">
        <f>IFERROR(VLOOKUP(B417,'03. THIẾT BỊ'!$B$1:$S$836,5,0),"")</f>
        <v>Rơ mooc lưới</v>
      </c>
      <c r="G417" s="80" t="s">
        <v>6423</v>
      </c>
      <c r="H417" s="463" t="str">
        <f>IFERROR(VLOOKUP(B417,'03. THIẾT BỊ'!$B$1:$S$836,7,0),"")</f>
        <v>XN Chuối DP2</v>
      </c>
      <c r="I417" s="474">
        <f>IFERROR(VLOOKUP(B417,'03. THIẾT BỊ'!$B$1:$S$836,8,0),"")</f>
        <v>45297</v>
      </c>
      <c r="J417" s="471"/>
      <c r="K417" s="463" t="str">
        <f>IFERROR(VLOOKUP(B417,'03. THIẾT BỊ'!$B$1:$S$836,10,0),"")</f>
        <v>Bình thường</v>
      </c>
      <c r="L417" s="468" t="str">
        <f>IFERROR(VLOOKUP(B417,'03. THIẾT BỊ'!$B$1:$S$836,11,0),"")</f>
        <v/>
      </c>
      <c r="M417" s="472" t="str">
        <f>IFERROR(VLOOKUP(B417,'03. THIẾT BỊ'!$B$1:$S$836,12,0),"")</f>
        <v>Cải tạo từ Rơ mooc thu hoạch</v>
      </c>
      <c r="N417" s="468" t="str">
        <f>IFERROR(VLOOKUP(B417,'03. THIẾT BỊ'!$B$1:$S$836,13,0),"")</f>
        <v>THACO AGRI</v>
      </c>
      <c r="O417" s="470" t="str">
        <f>IFERROR(VLOOKUP(B417,'03. THIẾT BỊ'!$B$1:$S$836,14,0),"")</f>
        <v/>
      </c>
      <c r="P417" s="468" t="str">
        <f>IFERROR(VLOOKUP(B417,'03. THIẾT BỊ'!$B$1:$S$836,15,0),"")</f>
        <v>CK-CGH</v>
      </c>
      <c r="Q417" s="48" t="str">
        <f>IFERROR(VLOOKUP(B417,'03. THIẾT BỊ'!$B$1:$S$836,16,0),"")</f>
        <v/>
      </c>
      <c r="R417" s="471" t="str">
        <f>IFERROR(VLOOKUP(B417,'03. THIẾT BỊ'!$B$1:$S$836,17,0),"")</f>
        <v>DxRxC: 5.5m*2.5m*2.4m</v>
      </c>
      <c r="S417" s="468" t="str">
        <f>IFERROR(VLOOKUP(B417,'03. THIẾT BỊ'!$B$1:$S$836,18,0),"")</f>
        <v/>
      </c>
      <c r="T417" s="812"/>
    </row>
    <row r="418" ht="15.0" customHeight="1">
      <c r="A418" s="463">
        <f t="shared" ref="A418:A434" si="21">A417+1</f>
        <v>2</v>
      </c>
      <c r="B418" s="464" t="s">
        <v>4460</v>
      </c>
      <c r="C418" s="869" t="str">
        <f>IFERROR(VLOOKUP(B418,'03. THIẾT BỊ'!$B$1:$S$836,2,0),"")</f>
        <v>XA2-RML-001</v>
      </c>
      <c r="D418" s="470" t="str">
        <f>IFERROR(VLOOKUP(B418,'03. THIẾT BỊ'!$B$1:$S$836,3,0),"")</f>
        <v/>
      </c>
      <c r="E418" s="464" t="str">
        <f>IFERROR(VLOOKUP(B418,'03. THIẾT BỊ'!$B$1:$S$836,4,0),"")</f>
        <v>ĐQSD</v>
      </c>
      <c r="F418" s="464" t="str">
        <f>IFERROR(VLOOKUP(B418,'03. THIẾT BỊ'!$B$1:$S$836,5,0),"")</f>
        <v>Rơ mooc lưới</v>
      </c>
      <c r="G418" s="80" t="s">
        <v>6423</v>
      </c>
      <c r="H418" s="463" t="str">
        <f>IFERROR(VLOOKUP(B418,'03. THIẾT BỊ'!$B$1:$S$836,7,0),"")</f>
        <v>XN Chuối LP1</v>
      </c>
      <c r="I418" s="474" t="str">
        <f>IFERROR(VLOOKUP(B418,'03. THIẾT BỊ'!$B$1:$S$836,8,0),"")</f>
        <v>17/02/2025</v>
      </c>
      <c r="J418" s="471"/>
      <c r="K418" s="463" t="str">
        <f>IFERROR(VLOOKUP(B418,'03. THIẾT BỊ'!$B$1:$S$836,10,0),"")</f>
        <v>Bình thường</v>
      </c>
      <c r="L418" s="468" t="str">
        <f>IFERROR(VLOOKUP(B418,'03. THIẾT BỊ'!$B$1:$S$836,11,0),"")</f>
        <v>Đ.chuyển từ XN AD ngày 17/02/2025</v>
      </c>
      <c r="M418" s="472" t="str">
        <f>IFERROR(VLOOKUP(B418,'03. THIẾT BỊ'!$B$1:$S$836,12,0),"")</f>
        <v>CK GIAO QUA (CK-TML-07)</v>
      </c>
      <c r="N418" s="468" t="str">
        <f>IFERROR(VLOOKUP(B418,'03. THIẾT BỊ'!$B$1:$S$836,13,0),"")</f>
        <v>THACO AGRI</v>
      </c>
      <c r="O418" s="470" t="str">
        <f>IFERROR(VLOOKUP(B418,'03. THIẾT BỊ'!$B$1:$S$836,14,0),"")</f>
        <v/>
      </c>
      <c r="P418" s="468" t="str">
        <f>IFERROR(VLOOKUP(B418,'03. THIẾT BỊ'!$B$1:$S$836,15,0),"")</f>
        <v>CK-CGH</v>
      </c>
      <c r="Q418" s="48" t="str">
        <f>IFERROR(VLOOKUP(B418,'03. THIẾT BỊ'!$B$1:$S$836,16,0),"")</f>
        <v/>
      </c>
      <c r="R418" s="471" t="str">
        <f>IFERROR(VLOOKUP(B418,'03. THIẾT BỊ'!$B$1:$S$836,17,0),"")</f>
        <v>5.5*2.5*2.4</v>
      </c>
      <c r="S418" s="468" t="str">
        <f>IFERROR(VLOOKUP(B418,'03. THIẾT BỊ'!$B$1:$S$836,18,0),"")</f>
        <v/>
      </c>
      <c r="T418" s="807"/>
    </row>
    <row r="419" ht="15.0" customHeight="1">
      <c r="A419" s="463">
        <f t="shared" si="21"/>
        <v>3</v>
      </c>
      <c r="B419" s="464" t="s">
        <v>4843</v>
      </c>
      <c r="C419" s="869" t="str">
        <f>IFERROR(VLOOKUP(B419,'03. THIẾT BỊ'!$B$1:$S$836,2,0),"")</f>
        <v>CK-RML-013</v>
      </c>
      <c r="D419" s="470" t="str">
        <f>IFERROR(VLOOKUP(B419,'03. THIẾT BỊ'!$B$1:$S$836,3,0),"")</f>
        <v>A22-RML-001</v>
      </c>
      <c r="E419" s="464" t="str">
        <f>IFERROR(VLOOKUP(B419,'03. THIẾT BỊ'!$B$1:$S$836,4,0),"")</f>
        <v>ĐQSD</v>
      </c>
      <c r="F419" s="464" t="str">
        <f>IFERROR(VLOOKUP(B419,'03. THIẾT BỊ'!$B$1:$S$836,5,0),"")</f>
        <v>Rơ mooc lưới</v>
      </c>
      <c r="G419" s="80" t="s">
        <v>6423</v>
      </c>
      <c r="H419" s="463" t="str">
        <f>IFERROR(VLOOKUP(B419,'03. THIẾT BỊ'!$B$1:$S$836,7,0),"")</f>
        <v>Xoài AD</v>
      </c>
      <c r="I419" s="474" t="str">
        <f>IFERROR(VLOOKUP(B419,'03. THIẾT BỊ'!$B$1:$S$836,8,0),"")</f>
        <v/>
      </c>
      <c r="J419" s="471"/>
      <c r="K419" s="463" t="str">
        <f>IFERROR(VLOOKUP(B419,'03. THIẾT BỊ'!$B$1:$S$836,10,0),"")</f>
        <v>Bình thường</v>
      </c>
      <c r="L419" s="468" t="str">
        <f>IFERROR(VLOOKUP(B419,'03. THIẾT BỊ'!$B$1:$S$836,11,0),"")</f>
        <v/>
      </c>
      <c r="M419" s="472" t="str">
        <f>IFERROR(VLOOKUP(B419,'03. THIẾT BỊ'!$B$1:$S$836,12,0),"")</f>
        <v/>
      </c>
      <c r="N419" s="468" t="str">
        <f>IFERROR(VLOOKUP(B419,'03. THIẾT BỊ'!$B$1:$S$836,13,0),"")</f>
        <v>THACO AGRI</v>
      </c>
      <c r="O419" s="470" t="str">
        <f>IFERROR(VLOOKUP(B419,'03. THIẾT BỊ'!$B$1:$S$836,14,0),"")</f>
        <v/>
      </c>
      <c r="P419" s="468" t="str">
        <f>IFERROR(VLOOKUP(B419,'03. THIẾT BỊ'!$B$1:$S$836,15,0),"")</f>
        <v>CK-CGH</v>
      </c>
      <c r="Q419" s="48" t="str">
        <f>IFERROR(VLOOKUP(B419,'03. THIẾT BỊ'!$B$1:$S$836,16,0),"")</f>
        <v/>
      </c>
      <c r="R419" s="471" t="str">
        <f>IFERROR(VLOOKUP(B419,'03. THIẾT BỊ'!$B$1:$S$836,17,0),"")</f>
        <v/>
      </c>
      <c r="S419" s="468" t="str">
        <f>IFERROR(VLOOKUP(B419,'03. THIẾT BỊ'!$B$1:$S$836,18,0),"")</f>
        <v/>
      </c>
      <c r="T419" s="959"/>
    </row>
    <row r="420" ht="15.0" customHeight="1">
      <c r="A420" s="463">
        <f t="shared" si="21"/>
        <v>4</v>
      </c>
      <c r="B420" s="464" t="s">
        <v>4846</v>
      </c>
      <c r="C420" s="869" t="str">
        <f>IFERROR(VLOOKUP(B420,'03. THIẾT BỊ'!$B$1:$S$836,2,0),"")</f>
        <v>CK-RML-014</v>
      </c>
      <c r="D420" s="470" t="str">
        <f>IFERROR(VLOOKUP(B420,'03. THIẾT BỊ'!$B$1:$S$836,3,0),"")</f>
        <v>A22-RML-002</v>
      </c>
      <c r="E420" s="464" t="str">
        <f>IFERROR(VLOOKUP(B420,'03. THIẾT BỊ'!$B$1:$S$836,4,0),"")</f>
        <v>ĐQSD</v>
      </c>
      <c r="F420" s="464" t="str">
        <f>IFERROR(VLOOKUP(B420,'03. THIẾT BỊ'!$B$1:$S$836,5,0),"")</f>
        <v>Rơ mooc lưới</v>
      </c>
      <c r="G420" s="80" t="s">
        <v>6423</v>
      </c>
      <c r="H420" s="463" t="str">
        <f>IFERROR(VLOOKUP(B420,'03. THIẾT BỊ'!$B$1:$S$836,7,0),"")</f>
        <v>Xoài AD</v>
      </c>
      <c r="I420" s="474" t="str">
        <f>IFERROR(VLOOKUP(B420,'03. THIẾT BỊ'!$B$1:$S$836,8,0),"")</f>
        <v/>
      </c>
      <c r="J420" s="471"/>
      <c r="K420" s="463" t="str">
        <f>IFERROR(VLOOKUP(B420,'03. THIẾT BỊ'!$B$1:$S$836,10,0),"")</f>
        <v>Bình thường</v>
      </c>
      <c r="L420" s="468" t="str">
        <f>IFERROR(VLOOKUP(B420,'03. THIẾT BỊ'!$B$1:$S$836,11,0),"")</f>
        <v/>
      </c>
      <c r="M420" s="472" t="str">
        <f>IFERROR(VLOOKUP(B420,'03. THIẾT BỊ'!$B$1:$S$836,12,0),"")</f>
        <v/>
      </c>
      <c r="N420" s="468" t="str">
        <f>IFERROR(VLOOKUP(B420,'03. THIẾT BỊ'!$B$1:$S$836,13,0),"")</f>
        <v>THACO AGRI</v>
      </c>
      <c r="O420" s="470" t="str">
        <f>IFERROR(VLOOKUP(B420,'03. THIẾT BỊ'!$B$1:$S$836,14,0),"")</f>
        <v/>
      </c>
      <c r="P420" s="468" t="str">
        <f>IFERROR(VLOOKUP(B420,'03. THIẾT BỊ'!$B$1:$S$836,15,0),"")</f>
        <v>CK-CGH</v>
      </c>
      <c r="Q420" s="48" t="str">
        <f>IFERROR(VLOOKUP(B420,'03. THIẾT BỊ'!$B$1:$S$836,16,0),"")</f>
        <v/>
      </c>
      <c r="R420" s="471" t="str">
        <f>IFERROR(VLOOKUP(B420,'03. THIẾT BỊ'!$B$1:$S$836,17,0),"")</f>
        <v/>
      </c>
      <c r="S420" s="468" t="str">
        <f>IFERROR(VLOOKUP(B420,'03. THIẾT BỊ'!$B$1:$S$836,18,0),"")</f>
        <v/>
      </c>
      <c r="T420" s="959"/>
    </row>
    <row r="421" ht="15.0" customHeight="1">
      <c r="A421" s="463">
        <f t="shared" si="21"/>
        <v>5</v>
      </c>
      <c r="B421" s="464" t="s">
        <v>4849</v>
      </c>
      <c r="C421" s="869" t="str">
        <f>IFERROR(VLOOKUP(B421,'03. THIẾT BỊ'!$B$1:$S$836,2,0),"")</f>
        <v>CK-RMX-01</v>
      </c>
      <c r="D421" s="470" t="str">
        <f>IFERROR(VLOOKUP(B421,'03. THIẾT BỊ'!$B$1:$S$836,3,0),"")</f>
        <v>A22-RML-003</v>
      </c>
      <c r="E421" s="464" t="str">
        <f>IFERROR(VLOOKUP(B421,'03. THIẾT BỊ'!$B$1:$S$836,4,0),"")</f>
        <v>ĐQSD</v>
      </c>
      <c r="F421" s="464" t="str">
        <f>IFERROR(VLOOKUP(B421,'03. THIẾT BỊ'!$B$1:$S$836,5,0),"")</f>
        <v>Rơ mooc lưới</v>
      </c>
      <c r="G421" s="80" t="s">
        <v>6423</v>
      </c>
      <c r="H421" s="463" t="str">
        <f>IFERROR(VLOOKUP(B421,'03. THIẾT BỊ'!$B$1:$S$836,7,0),"")</f>
        <v>Xoài AD</v>
      </c>
      <c r="I421" s="474" t="str">
        <f>IFERROR(VLOOKUP(B421,'03. THIẾT BỊ'!$B$1:$S$836,8,0),"")</f>
        <v>13/01/2025</v>
      </c>
      <c r="J421" s="471"/>
      <c r="K421" s="463" t="str">
        <f>IFERROR(VLOOKUP(B421,'03. THIẾT BỊ'!$B$1:$S$836,10,0),"")</f>
        <v>Bình thường</v>
      </c>
      <c r="L421" s="468" t="str">
        <f>IFERROR(VLOOKUP(B421,'03. THIẾT BỊ'!$B$1:$S$836,11,0),"")</f>
        <v/>
      </c>
      <c r="M421" s="472" t="str">
        <f>IFERROR(VLOOKUP(B421,'03. THIẾT BỊ'!$B$1:$S$836,12,0),"")</f>
        <v>Gia công mới</v>
      </c>
      <c r="N421" s="468" t="str">
        <f>IFERROR(VLOOKUP(B421,'03. THIẾT BỊ'!$B$1:$S$836,13,0),"")</f>
        <v>THACO AGRI</v>
      </c>
      <c r="O421" s="470" t="str">
        <f>IFERROR(VLOOKUP(B421,'03. THIẾT BỊ'!$B$1:$S$836,14,0),"")</f>
        <v/>
      </c>
      <c r="P421" s="468" t="str">
        <f>IFERROR(VLOOKUP(B421,'03. THIẾT BỊ'!$B$1:$S$836,15,0),"")</f>
        <v>CK-CGH</v>
      </c>
      <c r="Q421" s="48" t="str">
        <f>IFERROR(VLOOKUP(B421,'03. THIẾT BỊ'!$B$1:$S$836,16,0),"")</f>
        <v/>
      </c>
      <c r="R421" s="471" t="str">
        <f>IFERROR(VLOOKUP(B421,'03. THIẾT BỊ'!$B$1:$S$836,17,0),"")</f>
        <v>4.5x2.6x2m</v>
      </c>
      <c r="S421" s="468" t="str">
        <f>IFERROR(VLOOKUP(B421,'03. THIẾT BỊ'!$B$1:$S$836,18,0),"")</f>
        <v/>
      </c>
      <c r="T421" s="959"/>
    </row>
    <row r="422" ht="15.0" customHeight="1">
      <c r="A422" s="463">
        <f t="shared" si="21"/>
        <v>6</v>
      </c>
      <c r="B422" s="464" t="s">
        <v>4854</v>
      </c>
      <c r="C422" s="869" t="str">
        <f>IFERROR(VLOOKUP(B422,'03. THIẾT BỊ'!$B$1:$S$836,2,0),"")</f>
        <v>CK-RMX-02</v>
      </c>
      <c r="D422" s="470" t="str">
        <f>IFERROR(VLOOKUP(B422,'03. THIẾT BỊ'!$B$1:$S$836,3,0),"")</f>
        <v>A22-RML-004</v>
      </c>
      <c r="E422" s="464" t="str">
        <f>IFERROR(VLOOKUP(B422,'03. THIẾT BỊ'!$B$1:$S$836,4,0),"")</f>
        <v>ĐQSD</v>
      </c>
      <c r="F422" s="464" t="str">
        <f>IFERROR(VLOOKUP(B422,'03. THIẾT BỊ'!$B$1:$S$836,5,0),"")</f>
        <v>Rơ mooc lưới</v>
      </c>
      <c r="G422" s="80" t="s">
        <v>6423</v>
      </c>
      <c r="H422" s="463" t="str">
        <f>IFERROR(VLOOKUP(B422,'03. THIẾT BỊ'!$B$1:$S$836,7,0),"")</f>
        <v>Xoài AD</v>
      </c>
      <c r="I422" s="474" t="str">
        <f>IFERROR(VLOOKUP(B422,'03. THIẾT BỊ'!$B$1:$S$836,8,0),"")</f>
        <v>13/01/2025</v>
      </c>
      <c r="J422" s="471"/>
      <c r="K422" s="463" t="str">
        <f>IFERROR(VLOOKUP(B422,'03. THIẾT BỊ'!$B$1:$S$836,10,0),"")</f>
        <v>Bình thường</v>
      </c>
      <c r="L422" s="468" t="str">
        <f>IFERROR(VLOOKUP(B422,'03. THIẾT BỊ'!$B$1:$S$836,11,0),"")</f>
        <v/>
      </c>
      <c r="M422" s="472" t="str">
        <f>IFERROR(VLOOKUP(B422,'03. THIẾT BỊ'!$B$1:$S$836,12,0),"")</f>
        <v>Gia công mới</v>
      </c>
      <c r="N422" s="468" t="str">
        <f>IFERROR(VLOOKUP(B422,'03. THIẾT BỊ'!$B$1:$S$836,13,0),"")</f>
        <v>THACO AGRI</v>
      </c>
      <c r="O422" s="470" t="str">
        <f>IFERROR(VLOOKUP(B422,'03. THIẾT BỊ'!$B$1:$S$836,14,0),"")</f>
        <v/>
      </c>
      <c r="P422" s="468" t="str">
        <f>IFERROR(VLOOKUP(B422,'03. THIẾT BỊ'!$B$1:$S$836,15,0),"")</f>
        <v>CK-CGH</v>
      </c>
      <c r="Q422" s="48" t="str">
        <f>IFERROR(VLOOKUP(B422,'03. THIẾT BỊ'!$B$1:$S$836,16,0),"")</f>
        <v/>
      </c>
      <c r="R422" s="471" t="str">
        <f>IFERROR(VLOOKUP(B422,'03. THIẾT BỊ'!$B$1:$S$836,17,0),"")</f>
        <v>4.5x2.6x2m</v>
      </c>
      <c r="S422" s="468" t="str">
        <f>IFERROR(VLOOKUP(B422,'03. THIẾT BỊ'!$B$1:$S$836,18,0),"")</f>
        <v/>
      </c>
      <c r="T422" s="959"/>
    </row>
    <row r="423" ht="15.0" customHeight="1">
      <c r="A423" s="463">
        <f t="shared" si="21"/>
        <v>7</v>
      </c>
      <c r="B423" s="464" t="s">
        <v>4857</v>
      </c>
      <c r="C423" s="869" t="str">
        <f>IFERROR(VLOOKUP(B423,'03. THIẾT BỊ'!$B$1:$S$836,2,0),"")</f>
        <v/>
      </c>
      <c r="D423" s="470" t="str">
        <f>IFERROR(VLOOKUP(B423,'03. THIẾT BỊ'!$B$1:$S$836,3,0),"")</f>
        <v>A22-RML-005</v>
      </c>
      <c r="E423" s="464" t="str">
        <f>IFERROR(VLOOKUP(B423,'03. THIẾT BỊ'!$B$1:$S$836,4,0),"")</f>
        <v>ĐQSD</v>
      </c>
      <c r="F423" s="464" t="str">
        <f>IFERROR(VLOOKUP(B423,'03. THIẾT BỊ'!$B$1:$S$836,5,0),"")</f>
        <v>Rơ mooc lưới</v>
      </c>
      <c r="G423" s="80" t="s">
        <v>6423</v>
      </c>
      <c r="H423" s="463" t="str">
        <f>IFERROR(VLOOKUP(B423,'03. THIẾT BỊ'!$B$1:$S$836,7,0),"")</f>
        <v/>
      </c>
      <c r="I423" s="474" t="str">
        <f>IFERROR(VLOOKUP(B423,'03. THIẾT BỊ'!$B$1:$S$836,8,0),"")</f>
        <v/>
      </c>
      <c r="J423" s="471"/>
      <c r="K423" s="463" t="str">
        <f>IFERROR(VLOOKUP(B423,'03. THIẾT BỊ'!$B$1:$S$836,10,0),"")</f>
        <v/>
      </c>
      <c r="L423" s="468" t="str">
        <f>IFERROR(VLOOKUP(B423,'03. THIẾT BỊ'!$B$1:$S$836,11,0),"")</f>
        <v/>
      </c>
      <c r="M423" s="472" t="str">
        <f>IFERROR(VLOOKUP(B423,'03. THIẾT BỊ'!$B$1:$S$836,12,0),"")</f>
        <v>Gia công mới</v>
      </c>
      <c r="N423" s="468" t="str">
        <f>IFERROR(VLOOKUP(B423,'03. THIẾT BỊ'!$B$1:$S$836,13,0),"")</f>
        <v>THACO AGRI</v>
      </c>
      <c r="O423" s="470" t="str">
        <f>IFERROR(VLOOKUP(B423,'03. THIẾT BỊ'!$B$1:$S$836,14,0),"")</f>
        <v/>
      </c>
      <c r="P423" s="468" t="str">
        <f>IFERROR(VLOOKUP(B423,'03. THIẾT BỊ'!$B$1:$S$836,15,0),"")</f>
        <v>CK-CGH</v>
      </c>
      <c r="Q423" s="48" t="str">
        <f>IFERROR(VLOOKUP(B423,'03. THIẾT BỊ'!$B$1:$S$836,16,0),"")</f>
        <v/>
      </c>
      <c r="R423" s="471" t="str">
        <f>IFERROR(VLOOKUP(B423,'03. THIẾT BỊ'!$B$1:$S$836,17,0),"")</f>
        <v>4.5x2.6x2m</v>
      </c>
      <c r="S423" s="468" t="str">
        <f>IFERROR(VLOOKUP(B423,'03. THIẾT BỊ'!$B$1:$S$836,18,0),"")</f>
        <v/>
      </c>
      <c r="T423" s="959"/>
    </row>
    <row r="424" ht="15.0" customHeight="1">
      <c r="A424" s="463">
        <f t="shared" si="21"/>
        <v>8</v>
      </c>
      <c r="B424" s="464" t="s">
        <v>4859</v>
      </c>
      <c r="C424" s="869" t="str">
        <f>IFERROR(VLOOKUP(B424,'03. THIẾT BỊ'!$B$1:$S$836,2,0),"")</f>
        <v/>
      </c>
      <c r="D424" s="470" t="str">
        <f>IFERROR(VLOOKUP(B424,'03. THIẾT BỊ'!$B$1:$S$836,3,0),"")</f>
        <v>A22-RML-006</v>
      </c>
      <c r="E424" s="464" t="str">
        <f>IFERROR(VLOOKUP(B424,'03. THIẾT BỊ'!$B$1:$S$836,4,0),"")</f>
        <v>ĐQSD</v>
      </c>
      <c r="F424" s="464" t="str">
        <f>IFERROR(VLOOKUP(B424,'03. THIẾT BỊ'!$B$1:$S$836,5,0),"")</f>
        <v>Rơ mooc lưới</v>
      </c>
      <c r="G424" s="80" t="s">
        <v>6423</v>
      </c>
      <c r="H424" s="463" t="str">
        <f>IFERROR(VLOOKUP(B424,'03. THIẾT BỊ'!$B$1:$S$836,7,0),"")</f>
        <v/>
      </c>
      <c r="I424" s="474" t="str">
        <f>IFERROR(VLOOKUP(B424,'03. THIẾT BỊ'!$B$1:$S$836,8,0),"")</f>
        <v/>
      </c>
      <c r="J424" s="471"/>
      <c r="K424" s="463" t="str">
        <f>IFERROR(VLOOKUP(B424,'03. THIẾT BỊ'!$B$1:$S$836,10,0),"")</f>
        <v/>
      </c>
      <c r="L424" s="468" t="str">
        <f>IFERROR(VLOOKUP(B424,'03. THIẾT BỊ'!$B$1:$S$836,11,0),"")</f>
        <v/>
      </c>
      <c r="M424" s="472" t="str">
        <f>IFERROR(VLOOKUP(B424,'03. THIẾT BỊ'!$B$1:$S$836,12,0),"")</f>
        <v>Gia công mới</v>
      </c>
      <c r="N424" s="468" t="str">
        <f>IFERROR(VLOOKUP(B424,'03. THIẾT BỊ'!$B$1:$S$836,13,0),"")</f>
        <v>THACO AGRI</v>
      </c>
      <c r="O424" s="470" t="str">
        <f>IFERROR(VLOOKUP(B424,'03. THIẾT BỊ'!$B$1:$S$836,14,0),"")</f>
        <v/>
      </c>
      <c r="P424" s="468" t="str">
        <f>IFERROR(VLOOKUP(B424,'03. THIẾT BỊ'!$B$1:$S$836,15,0),"")</f>
        <v>CK-CGH</v>
      </c>
      <c r="Q424" s="48" t="str">
        <f>IFERROR(VLOOKUP(B424,'03. THIẾT BỊ'!$B$1:$S$836,16,0),"")</f>
        <v/>
      </c>
      <c r="R424" s="471" t="str">
        <f>IFERROR(VLOOKUP(B424,'03. THIẾT BỊ'!$B$1:$S$836,17,0),"")</f>
        <v>4.5x2.6x2m</v>
      </c>
      <c r="S424" s="468" t="str">
        <f>IFERROR(VLOOKUP(B424,'03. THIẾT BỊ'!$B$1:$S$836,18,0),"")</f>
        <v/>
      </c>
      <c r="T424" s="959"/>
    </row>
    <row r="425" ht="15.0" customHeight="1">
      <c r="A425" s="463">
        <f t="shared" si="21"/>
        <v>9</v>
      </c>
      <c r="B425" s="464" t="s">
        <v>4861</v>
      </c>
      <c r="C425" s="869" t="str">
        <f>IFERROR(VLOOKUP(B425,'03. THIẾT BỊ'!$B$1:$S$836,2,0),"")</f>
        <v/>
      </c>
      <c r="D425" s="470" t="str">
        <f>IFERROR(VLOOKUP(B425,'03. THIẾT BỊ'!$B$1:$S$836,3,0),"")</f>
        <v>A22-RML-007</v>
      </c>
      <c r="E425" s="464" t="str">
        <f>IFERROR(VLOOKUP(B425,'03. THIẾT BỊ'!$B$1:$S$836,4,0),"")</f>
        <v>ĐQSD</v>
      </c>
      <c r="F425" s="464" t="str">
        <f>IFERROR(VLOOKUP(B425,'03. THIẾT BỊ'!$B$1:$S$836,5,0),"")</f>
        <v>Rơ mooc lưới</v>
      </c>
      <c r="G425" s="80" t="s">
        <v>6423</v>
      </c>
      <c r="H425" s="463" t="str">
        <f>IFERROR(VLOOKUP(B425,'03. THIẾT BỊ'!$B$1:$S$836,7,0),"")</f>
        <v/>
      </c>
      <c r="I425" s="474" t="str">
        <f>IFERROR(VLOOKUP(B425,'03. THIẾT BỊ'!$B$1:$S$836,8,0),"")</f>
        <v/>
      </c>
      <c r="J425" s="471"/>
      <c r="K425" s="463" t="str">
        <f>IFERROR(VLOOKUP(B425,'03. THIẾT BỊ'!$B$1:$S$836,10,0),"")</f>
        <v/>
      </c>
      <c r="L425" s="468" t="str">
        <f>IFERROR(VLOOKUP(B425,'03. THIẾT BỊ'!$B$1:$S$836,11,0),"")</f>
        <v/>
      </c>
      <c r="M425" s="472" t="str">
        <f>IFERROR(VLOOKUP(B425,'03. THIẾT BỊ'!$B$1:$S$836,12,0),"")</f>
        <v>Gia công mới</v>
      </c>
      <c r="N425" s="468" t="str">
        <f>IFERROR(VLOOKUP(B425,'03. THIẾT BỊ'!$B$1:$S$836,13,0),"")</f>
        <v>THACO AGRI</v>
      </c>
      <c r="O425" s="470" t="str">
        <f>IFERROR(VLOOKUP(B425,'03. THIẾT BỊ'!$B$1:$S$836,14,0),"")</f>
        <v/>
      </c>
      <c r="P425" s="468" t="str">
        <f>IFERROR(VLOOKUP(B425,'03. THIẾT BỊ'!$B$1:$S$836,15,0),"")</f>
        <v>CK-CGH</v>
      </c>
      <c r="Q425" s="48" t="str">
        <f>IFERROR(VLOOKUP(B425,'03. THIẾT BỊ'!$B$1:$S$836,16,0),"")</f>
        <v/>
      </c>
      <c r="R425" s="471" t="str">
        <f>IFERROR(VLOOKUP(B425,'03. THIẾT BỊ'!$B$1:$S$836,17,0),"")</f>
        <v>4.5x2.6x2m</v>
      </c>
      <c r="S425" s="468" t="str">
        <f>IFERROR(VLOOKUP(B425,'03. THIẾT BỊ'!$B$1:$S$836,18,0),"")</f>
        <v/>
      </c>
      <c r="T425" s="959"/>
    </row>
    <row r="426" ht="15.0" customHeight="1">
      <c r="A426" s="463">
        <f t="shared" si="21"/>
        <v>10</v>
      </c>
      <c r="B426" s="464" t="s">
        <v>4863</v>
      </c>
      <c r="C426" s="869" t="str">
        <f>IFERROR(VLOOKUP(B426,'03. THIẾT BỊ'!$B$1:$S$836,2,0),"")</f>
        <v/>
      </c>
      <c r="D426" s="470" t="str">
        <f>IFERROR(VLOOKUP(B426,'03. THIẾT BỊ'!$B$1:$S$836,3,0),"")</f>
        <v>A22-RML-008</v>
      </c>
      <c r="E426" s="464" t="str">
        <f>IFERROR(VLOOKUP(B426,'03. THIẾT BỊ'!$B$1:$S$836,4,0),"")</f>
        <v>ĐQSD</v>
      </c>
      <c r="F426" s="464" t="str">
        <f>IFERROR(VLOOKUP(B426,'03. THIẾT BỊ'!$B$1:$S$836,5,0),"")</f>
        <v>Rơ mooc lưới</v>
      </c>
      <c r="G426" s="80" t="s">
        <v>6423</v>
      </c>
      <c r="H426" s="463" t="str">
        <f>IFERROR(VLOOKUP(B426,'03. THIẾT BỊ'!$B$1:$S$836,7,0),"")</f>
        <v/>
      </c>
      <c r="I426" s="474" t="str">
        <f>IFERROR(VLOOKUP(B426,'03. THIẾT BỊ'!$B$1:$S$836,8,0),"")</f>
        <v/>
      </c>
      <c r="J426" s="471"/>
      <c r="K426" s="463" t="str">
        <f>IFERROR(VLOOKUP(B426,'03. THIẾT BỊ'!$B$1:$S$836,10,0),"")</f>
        <v/>
      </c>
      <c r="L426" s="468" t="str">
        <f>IFERROR(VLOOKUP(B426,'03. THIẾT BỊ'!$B$1:$S$836,11,0),"")</f>
        <v/>
      </c>
      <c r="M426" s="472" t="str">
        <f>IFERROR(VLOOKUP(B426,'03. THIẾT BỊ'!$B$1:$S$836,12,0),"")</f>
        <v>Gia công mới</v>
      </c>
      <c r="N426" s="468" t="str">
        <f>IFERROR(VLOOKUP(B426,'03. THIẾT BỊ'!$B$1:$S$836,13,0),"")</f>
        <v>THACO AGRI</v>
      </c>
      <c r="O426" s="470" t="str">
        <f>IFERROR(VLOOKUP(B426,'03. THIẾT BỊ'!$B$1:$S$836,14,0),"")</f>
        <v/>
      </c>
      <c r="P426" s="468" t="str">
        <f>IFERROR(VLOOKUP(B426,'03. THIẾT BỊ'!$B$1:$S$836,15,0),"")</f>
        <v>CK-CGH</v>
      </c>
      <c r="Q426" s="48" t="str">
        <f>IFERROR(VLOOKUP(B426,'03. THIẾT BỊ'!$B$1:$S$836,16,0),"")</f>
        <v/>
      </c>
      <c r="R426" s="471" t="str">
        <f>IFERROR(VLOOKUP(B426,'03. THIẾT BỊ'!$B$1:$S$836,17,0),"")</f>
        <v>4.5x2.6x2m</v>
      </c>
      <c r="S426" s="468" t="str">
        <f>IFERROR(VLOOKUP(B426,'03. THIẾT BỊ'!$B$1:$S$836,18,0),"")</f>
        <v/>
      </c>
      <c r="T426" s="959"/>
    </row>
    <row r="427" ht="15.0" customHeight="1">
      <c r="A427" s="463">
        <f t="shared" si="21"/>
        <v>11</v>
      </c>
      <c r="B427" s="464" t="s">
        <v>4946</v>
      </c>
      <c r="C427" s="869" t="str">
        <f>IFERROR(VLOOKUP(B427,'03. THIẾT BỊ'!$B$1:$S$836,2,0),"")</f>
        <v>CK-RML-06</v>
      </c>
      <c r="D427" s="470" t="str">
        <f>IFERROR(VLOOKUP(B427,'03. THIẾT BỊ'!$B$1:$S$836,3,0),"")</f>
        <v>A23-RML-001</v>
      </c>
      <c r="E427" s="464" t="str">
        <f>IFERROR(VLOOKUP(B427,'03. THIẾT BỊ'!$B$1:$S$836,4,0),"")</f>
        <v>ĐQSD</v>
      </c>
      <c r="F427" s="464" t="str">
        <f>IFERROR(VLOOKUP(B427,'03. THIẾT BỊ'!$B$1:$S$836,5,0),"")</f>
        <v>Rơ mooc lưới</v>
      </c>
      <c r="G427" s="80" t="s">
        <v>6423</v>
      </c>
      <c r="H427" s="463" t="str">
        <f>IFERROR(VLOOKUP(B427,'03. THIẾT BỊ'!$B$1:$S$836,7,0),"")</f>
        <v>Xoài DP</v>
      </c>
      <c r="I427" s="474">
        <f>IFERROR(VLOOKUP(B427,'03. THIẾT BỊ'!$B$1:$S$836,8,0),"")</f>
        <v>45383</v>
      </c>
      <c r="J427" s="471"/>
      <c r="K427" s="463" t="str">
        <f>IFERROR(VLOOKUP(B427,'03. THIẾT BỊ'!$B$1:$S$836,10,0),"")</f>
        <v>Bình thường</v>
      </c>
      <c r="L427" s="468" t="str">
        <f>IFERROR(VLOOKUP(B427,'03. THIẾT BỊ'!$B$1:$S$836,11,0),"")</f>
        <v/>
      </c>
      <c r="M427" s="472" t="str">
        <f>IFERROR(VLOOKUP(B427,'03. THIẾT BỊ'!$B$1:$S$836,12,0),"")</f>
        <v/>
      </c>
      <c r="N427" s="468" t="str">
        <f>IFERROR(VLOOKUP(B427,'03. THIẾT BỊ'!$B$1:$S$836,13,0),"")</f>
        <v>THACO AGRI</v>
      </c>
      <c r="O427" s="470" t="str">
        <f>IFERROR(VLOOKUP(B427,'03. THIẾT BỊ'!$B$1:$S$836,14,0),"")</f>
        <v/>
      </c>
      <c r="P427" s="468" t="str">
        <f>IFERROR(VLOOKUP(B427,'03. THIẾT BỊ'!$B$1:$S$836,15,0),"")</f>
        <v>CK-CGH</v>
      </c>
      <c r="Q427" s="48" t="str">
        <f>IFERROR(VLOOKUP(B427,'03. THIẾT BỊ'!$B$1:$S$836,16,0),"")</f>
        <v/>
      </c>
      <c r="R427" s="471" t="str">
        <f>IFERROR(VLOOKUP(B427,'03. THIẾT BỊ'!$B$1:$S$836,17,0),"")</f>
        <v>5,5x2.5x2.4</v>
      </c>
      <c r="S427" s="468" t="str">
        <f>IFERROR(VLOOKUP(B427,'03. THIẾT BỊ'!$B$1:$S$836,18,0),"")</f>
        <v/>
      </c>
      <c r="T427" s="959"/>
    </row>
    <row r="428" ht="15.0" customHeight="1">
      <c r="A428" s="463">
        <f t="shared" si="21"/>
        <v>12</v>
      </c>
      <c r="B428" s="464" t="s">
        <v>4950</v>
      </c>
      <c r="C428" s="869" t="str">
        <f>IFERROR(VLOOKUP(B428,'03. THIẾT BỊ'!$B$1:$S$836,2,0),"")</f>
        <v>CK-RML-010</v>
      </c>
      <c r="D428" s="470" t="str">
        <f>IFERROR(VLOOKUP(B428,'03. THIẾT BỊ'!$B$1:$S$836,3,0),"")</f>
        <v>A23-RML-002</v>
      </c>
      <c r="E428" s="464" t="str">
        <f>IFERROR(VLOOKUP(B428,'03. THIẾT BỊ'!$B$1:$S$836,4,0),"")</f>
        <v>ĐQSD</v>
      </c>
      <c r="F428" s="464" t="str">
        <f>IFERROR(VLOOKUP(B428,'03. THIẾT BỊ'!$B$1:$S$836,5,0),"")</f>
        <v>Rơ mooc lưới</v>
      </c>
      <c r="G428" s="80" t="s">
        <v>6423</v>
      </c>
      <c r="H428" s="463" t="str">
        <f>IFERROR(VLOOKUP(B428,'03. THIẾT BỊ'!$B$1:$S$836,7,0),"")</f>
        <v>Xoài DP</v>
      </c>
      <c r="I428" s="474">
        <f>IFERROR(VLOOKUP(B428,'03. THIẾT BỊ'!$B$1:$S$836,8,0),"")</f>
        <v>45383</v>
      </c>
      <c r="J428" s="471"/>
      <c r="K428" s="463" t="str">
        <f>IFERROR(VLOOKUP(B428,'03. THIẾT BỊ'!$B$1:$S$836,10,0),"")</f>
        <v>Bình thường</v>
      </c>
      <c r="L428" s="468" t="str">
        <f>IFERROR(VLOOKUP(B428,'03. THIẾT BỊ'!$B$1:$S$836,11,0),"")</f>
        <v/>
      </c>
      <c r="M428" s="472" t="str">
        <f>IFERROR(VLOOKUP(B428,'03. THIẾT BỊ'!$B$1:$S$836,12,0),"")</f>
        <v/>
      </c>
      <c r="N428" s="468" t="str">
        <f>IFERROR(VLOOKUP(B428,'03. THIẾT BỊ'!$B$1:$S$836,13,0),"")</f>
        <v>THACO AGRI</v>
      </c>
      <c r="O428" s="470" t="str">
        <f>IFERROR(VLOOKUP(B428,'03. THIẾT BỊ'!$B$1:$S$836,14,0),"")</f>
        <v/>
      </c>
      <c r="P428" s="468" t="str">
        <f>IFERROR(VLOOKUP(B428,'03. THIẾT BỊ'!$B$1:$S$836,15,0),"")</f>
        <v>CK-CGH</v>
      </c>
      <c r="Q428" s="48" t="str">
        <f>IFERROR(VLOOKUP(B428,'03. THIẾT BỊ'!$B$1:$S$836,16,0),"")</f>
        <v/>
      </c>
      <c r="R428" s="471" t="str">
        <f>IFERROR(VLOOKUP(B428,'03. THIẾT BỊ'!$B$1:$S$836,17,0),"")</f>
        <v>5,5x2.5x2.4</v>
      </c>
      <c r="S428" s="468" t="str">
        <f>IFERROR(VLOOKUP(B428,'03. THIẾT BỊ'!$B$1:$S$836,18,0),"")</f>
        <v/>
      </c>
      <c r="T428" s="959"/>
    </row>
    <row r="429" ht="15.0" customHeight="1">
      <c r="A429" s="463">
        <f t="shared" si="21"/>
        <v>13</v>
      </c>
      <c r="B429" s="464" t="s">
        <v>5097</v>
      </c>
      <c r="C429" s="869" t="str">
        <f>IFERROR(VLOOKUP(B429,'03. THIẾT BỊ'!$B$1:$S$836,2,0),"")</f>
        <v/>
      </c>
      <c r="D429" s="470" t="str">
        <f>IFERROR(VLOOKUP(B429,'03. THIẾT BỊ'!$B$1:$S$836,3,0),"")</f>
        <v/>
      </c>
      <c r="E429" s="464" t="str">
        <f>IFERROR(VLOOKUP(B429,'03. THIẾT BỊ'!$B$1:$S$836,4,0),"")</f>
        <v>ĐQSD</v>
      </c>
      <c r="F429" s="464" t="str">
        <f>IFERROR(VLOOKUP(B429,'03. THIẾT BỊ'!$B$1:$S$836,5,0),"")</f>
        <v>Rơ mooc lưới</v>
      </c>
      <c r="G429" s="80" t="s">
        <v>6423</v>
      </c>
      <c r="H429" s="463" t="str">
        <f>IFERROR(VLOOKUP(B429,'03. THIẾT BỊ'!$B$1:$S$836,7,0),"")</f>
        <v>XN Bò AD</v>
      </c>
      <c r="I429" s="474" t="str">
        <f>IFERROR(VLOOKUP(B429,'03. THIẾT BỊ'!$B$1:$S$836,8,0),"")</f>
        <v/>
      </c>
      <c r="J429" s="471"/>
      <c r="K429" s="463" t="str">
        <f>IFERROR(VLOOKUP(B429,'03. THIẾT BỊ'!$B$1:$S$836,10,0),"")</f>
        <v>Bình thường</v>
      </c>
      <c r="L429" s="468" t="str">
        <f>IFERROR(VLOOKUP(B429,'03. THIẾT BỊ'!$B$1:$S$836,11,0),"")</f>
        <v/>
      </c>
      <c r="M429" s="472" t="str">
        <f>IFERROR(VLOOKUP(B429,'03. THIẾT BỊ'!$B$1:$S$836,12,0),"")</f>
        <v/>
      </c>
      <c r="N429" s="468" t="str">
        <f>IFERROR(VLOOKUP(B429,'03. THIẾT BỊ'!$B$1:$S$836,13,0),"")</f>
        <v>THACO AGRI</v>
      </c>
      <c r="O429" s="470" t="str">
        <f>IFERROR(VLOOKUP(B429,'03. THIẾT BỊ'!$B$1:$S$836,14,0),"")</f>
        <v>RM lưới</v>
      </c>
      <c r="P429" s="468" t="str">
        <f>IFERROR(VLOOKUP(B429,'03. THIẾT BỊ'!$B$1:$S$836,15,0),"")</f>
        <v>CK-CGH</v>
      </c>
      <c r="Q429" s="48" t="str">
        <f>IFERROR(VLOOKUP(B429,'03. THIẾT BỊ'!$B$1:$S$836,16,0),"")</f>
        <v/>
      </c>
      <c r="R429" s="471" t="str">
        <f>IFERROR(VLOOKUP(B429,'03. THIẾT BỊ'!$B$1:$S$836,17,0),"")</f>
        <v/>
      </c>
      <c r="S429" s="468" t="str">
        <f>IFERROR(VLOOKUP(B429,'03. THIẾT BỊ'!$B$1:$S$836,18,0),"")</f>
        <v/>
      </c>
      <c r="T429" s="812"/>
    </row>
    <row r="430" ht="15.0" customHeight="1">
      <c r="A430" s="463">
        <f t="shared" si="21"/>
        <v>14</v>
      </c>
      <c r="B430" s="464" t="s">
        <v>4330</v>
      </c>
      <c r="C430" s="869" t="str">
        <f>IFERROR(VLOOKUP(B430,'03. THIẾT BỊ'!$B$1:$S$836,2,0),"")</f>
        <v>XB1-RML-002</v>
      </c>
      <c r="D430" s="470" t="str">
        <f>IFERROR(VLOOKUP(B430,'03. THIẾT BỊ'!$B$1:$S$836,3,0),"")</f>
        <v/>
      </c>
      <c r="E430" s="464" t="str">
        <f>IFERROR(VLOOKUP(B430,'03. THIẾT BỊ'!$B$1:$S$836,4,0),"")</f>
        <v>ĐQSD</v>
      </c>
      <c r="F430" s="464" t="str">
        <f>IFERROR(VLOOKUP(B430,'03. THIẾT BỊ'!$B$1:$S$836,5,0),"")</f>
        <v>Rơ mooc lưới</v>
      </c>
      <c r="G430" s="80" t="s">
        <v>6423</v>
      </c>
      <c r="H430" s="463" t="str">
        <f>IFERROR(VLOOKUP(B430,'03. THIẾT BỊ'!$B$1:$S$836,7,0),"")</f>
        <v>XN Chuối DP3</v>
      </c>
      <c r="I430" s="474" t="str">
        <f>IFERROR(VLOOKUP(B430,'03. THIẾT BỊ'!$B$1:$S$836,8,0),"")</f>
        <v>19/08/2025</v>
      </c>
      <c r="J430" s="471"/>
      <c r="K430" s="463" t="str">
        <f>IFERROR(VLOOKUP(B430,'03. THIẾT BỊ'!$B$1:$S$836,10,0),"")</f>
        <v>Bình thường</v>
      </c>
      <c r="L430" s="468" t="str">
        <f>IFERROR(VLOOKUP(B430,'03. THIẾT BỊ'!$B$1:$S$836,11,0),"")</f>
        <v>XNB Bàn giao DP3 ngày 19/08/2025</v>
      </c>
      <c r="M430" s="472" t="str">
        <f>IFERROR(VLOOKUP(B430,'03. THIẾT BỊ'!$B$1:$S$836,12,0),"")</f>
        <v/>
      </c>
      <c r="N430" s="468" t="str">
        <f>IFERROR(VLOOKUP(B430,'03. THIẾT BỊ'!$B$1:$S$836,13,0),"")</f>
        <v>THACO AGRI</v>
      </c>
      <c r="O430" s="470" t="str">
        <f>IFERROR(VLOOKUP(B430,'03. THIẾT BỊ'!$B$1:$S$836,14,0),"")</f>
        <v>RM lưới</v>
      </c>
      <c r="P430" s="468" t="str">
        <f>IFERROR(VLOOKUP(B430,'03. THIẾT BỊ'!$B$1:$S$836,15,0),"")</f>
        <v>CK-CGH</v>
      </c>
      <c r="Q430" s="48" t="str">
        <f>IFERROR(VLOOKUP(B430,'03. THIẾT BỊ'!$B$1:$S$836,16,0),"")</f>
        <v/>
      </c>
      <c r="R430" s="471" t="str">
        <f>IFERROR(VLOOKUP(B430,'03. THIẾT BỊ'!$B$1:$S$836,17,0),"")</f>
        <v/>
      </c>
      <c r="S430" s="468" t="str">
        <f>IFERROR(VLOOKUP(B430,'03. THIẾT BỊ'!$B$1:$S$836,18,0),"")</f>
        <v/>
      </c>
      <c r="T430" s="812"/>
    </row>
    <row r="431" ht="15.0" customHeight="1">
      <c r="A431" s="463">
        <f t="shared" si="21"/>
        <v>15</v>
      </c>
      <c r="B431" s="464" t="s">
        <v>5098</v>
      </c>
      <c r="C431" s="869" t="str">
        <f>IFERROR(VLOOKUP(B431,'03. THIẾT BỊ'!$B$1:$S$836,2,0),"")</f>
        <v/>
      </c>
      <c r="D431" s="470" t="str">
        <f>IFERROR(VLOOKUP(B431,'03. THIẾT BỊ'!$B$1:$S$836,3,0),"")</f>
        <v/>
      </c>
      <c r="E431" s="464" t="str">
        <f>IFERROR(VLOOKUP(B431,'03. THIẾT BỊ'!$B$1:$S$836,4,0),"")</f>
        <v>ĐQSD</v>
      </c>
      <c r="F431" s="464" t="str">
        <f>IFERROR(VLOOKUP(B431,'03. THIẾT BỊ'!$B$1:$S$836,5,0),"")</f>
        <v>Rơ mooc lưới</v>
      </c>
      <c r="G431" s="80" t="s">
        <v>6423</v>
      </c>
      <c r="H431" s="463" t="str">
        <f>IFERROR(VLOOKUP(B431,'03. THIẾT BỊ'!$B$1:$S$836,7,0),"")</f>
        <v>XN Bò AD</v>
      </c>
      <c r="I431" s="474" t="str">
        <f>IFERROR(VLOOKUP(B431,'03. THIẾT BỊ'!$B$1:$S$836,8,0),"")</f>
        <v/>
      </c>
      <c r="J431" s="471"/>
      <c r="K431" s="463" t="str">
        <f>IFERROR(VLOOKUP(B431,'03. THIẾT BỊ'!$B$1:$S$836,10,0),"")</f>
        <v>Bình thường</v>
      </c>
      <c r="L431" s="468" t="str">
        <f>IFERROR(VLOOKUP(B431,'03. THIẾT BỊ'!$B$1:$S$836,11,0),"")</f>
        <v/>
      </c>
      <c r="M431" s="472" t="str">
        <f>IFERROR(VLOOKUP(B431,'03. THIẾT BỊ'!$B$1:$S$836,12,0),"")</f>
        <v/>
      </c>
      <c r="N431" s="468" t="str">
        <f>IFERROR(VLOOKUP(B431,'03. THIẾT BỊ'!$B$1:$S$836,13,0),"")</f>
        <v>THACO AGRI</v>
      </c>
      <c r="O431" s="470" t="str">
        <f>IFERROR(VLOOKUP(B431,'03. THIẾT BỊ'!$B$1:$S$836,14,0),"")</f>
        <v>RM lưới</v>
      </c>
      <c r="P431" s="468" t="str">
        <f>IFERROR(VLOOKUP(B431,'03. THIẾT BỊ'!$B$1:$S$836,15,0),"")</f>
        <v>CK-CGH</v>
      </c>
      <c r="Q431" s="48" t="str">
        <f>IFERROR(VLOOKUP(B431,'03. THIẾT BỊ'!$B$1:$S$836,16,0),"")</f>
        <v/>
      </c>
      <c r="R431" s="471" t="str">
        <f>IFERROR(VLOOKUP(B431,'03. THIẾT BỊ'!$B$1:$S$836,17,0),"")</f>
        <v/>
      </c>
      <c r="S431" s="468" t="str">
        <f>IFERROR(VLOOKUP(B431,'03. THIẾT BỊ'!$B$1:$S$836,18,0),"")</f>
        <v/>
      </c>
      <c r="T431" s="812"/>
    </row>
    <row r="432" ht="15.0" customHeight="1">
      <c r="A432" s="463">
        <f t="shared" si="21"/>
        <v>16</v>
      </c>
      <c r="B432" s="464" t="s">
        <v>5099</v>
      </c>
      <c r="C432" s="869" t="str">
        <f>IFERROR(VLOOKUP(B432,'03. THIẾT BỊ'!$B$1:$S$836,2,0),"")</f>
        <v/>
      </c>
      <c r="D432" s="470" t="str">
        <f>IFERROR(VLOOKUP(B432,'03. THIẾT BỊ'!$B$1:$S$836,3,0),"")</f>
        <v/>
      </c>
      <c r="E432" s="464" t="str">
        <f>IFERROR(VLOOKUP(B432,'03. THIẾT BỊ'!$B$1:$S$836,4,0),"")</f>
        <v>ĐQSD</v>
      </c>
      <c r="F432" s="464" t="str">
        <f>IFERROR(VLOOKUP(B432,'03. THIẾT BỊ'!$B$1:$S$836,5,0),"")</f>
        <v>Rơ mooc lưới</v>
      </c>
      <c r="G432" s="80" t="s">
        <v>6423</v>
      </c>
      <c r="H432" s="463" t="str">
        <f>IFERROR(VLOOKUP(B432,'03. THIẾT BỊ'!$B$1:$S$836,7,0),"")</f>
        <v>XN Bò AD</v>
      </c>
      <c r="I432" s="474" t="str">
        <f>IFERROR(VLOOKUP(B432,'03. THIẾT BỊ'!$B$1:$S$836,8,0),"")</f>
        <v/>
      </c>
      <c r="J432" s="471"/>
      <c r="K432" s="463" t="str">
        <f>IFERROR(VLOOKUP(B432,'03. THIẾT BỊ'!$B$1:$S$836,10,0),"")</f>
        <v>Bình thường</v>
      </c>
      <c r="L432" s="468" t="str">
        <f>IFERROR(VLOOKUP(B432,'03. THIẾT BỊ'!$B$1:$S$836,11,0),"")</f>
        <v/>
      </c>
      <c r="M432" s="472" t="str">
        <f>IFERROR(VLOOKUP(B432,'03. THIẾT BỊ'!$B$1:$S$836,12,0),"")</f>
        <v/>
      </c>
      <c r="N432" s="468" t="str">
        <f>IFERROR(VLOOKUP(B432,'03. THIẾT BỊ'!$B$1:$S$836,13,0),"")</f>
        <v>THACO AGRI</v>
      </c>
      <c r="O432" s="470" t="str">
        <f>IFERROR(VLOOKUP(B432,'03. THIẾT BỊ'!$B$1:$S$836,14,0),"")</f>
        <v>RM lưới</v>
      </c>
      <c r="P432" s="468" t="str">
        <f>IFERROR(VLOOKUP(B432,'03. THIẾT BỊ'!$B$1:$S$836,15,0),"")</f>
        <v>CK-CGH</v>
      </c>
      <c r="Q432" s="48" t="str">
        <f>IFERROR(VLOOKUP(B432,'03. THIẾT BỊ'!$B$1:$S$836,16,0),"")</f>
        <v/>
      </c>
      <c r="R432" s="471" t="str">
        <f>IFERROR(VLOOKUP(B432,'03. THIẾT BỊ'!$B$1:$S$836,17,0),"")</f>
        <v/>
      </c>
      <c r="S432" s="468" t="str">
        <f>IFERROR(VLOOKUP(B432,'03. THIẾT BỊ'!$B$1:$S$836,18,0),"")</f>
        <v/>
      </c>
      <c r="T432" s="812"/>
    </row>
    <row r="433" ht="15.0" customHeight="1">
      <c r="A433" s="463">
        <f t="shared" si="21"/>
        <v>17</v>
      </c>
      <c r="B433" s="464" t="s">
        <v>5100</v>
      </c>
      <c r="C433" s="869" t="str">
        <f>IFERROR(VLOOKUP(B433,'03. THIẾT BỊ'!$B$1:$S$836,2,0),"")</f>
        <v/>
      </c>
      <c r="D433" s="470" t="str">
        <f>IFERROR(VLOOKUP(B433,'03. THIẾT BỊ'!$B$1:$S$836,3,0),"")</f>
        <v/>
      </c>
      <c r="E433" s="464" t="str">
        <f>IFERROR(VLOOKUP(B433,'03. THIẾT BỊ'!$B$1:$S$836,4,0),"")</f>
        <v>ĐQSD</v>
      </c>
      <c r="F433" s="464" t="str">
        <f>IFERROR(VLOOKUP(B433,'03. THIẾT BỊ'!$B$1:$S$836,5,0),"")</f>
        <v>Rơ mooc lưới</v>
      </c>
      <c r="G433" s="80" t="s">
        <v>6423</v>
      </c>
      <c r="H433" s="463" t="str">
        <f>IFERROR(VLOOKUP(B433,'03. THIẾT BỊ'!$B$1:$S$836,7,0),"")</f>
        <v>XN Bò AD</v>
      </c>
      <c r="I433" s="474" t="str">
        <f>IFERROR(VLOOKUP(B433,'03. THIẾT BỊ'!$B$1:$S$836,8,0),"")</f>
        <v/>
      </c>
      <c r="J433" s="471"/>
      <c r="K433" s="463" t="str">
        <f>IFERROR(VLOOKUP(B433,'03. THIẾT BỊ'!$B$1:$S$836,10,0),"")</f>
        <v>Bình thường</v>
      </c>
      <c r="L433" s="468" t="str">
        <f>IFERROR(VLOOKUP(B433,'03. THIẾT BỊ'!$B$1:$S$836,11,0),"")</f>
        <v/>
      </c>
      <c r="M433" s="472" t="str">
        <f>IFERROR(VLOOKUP(B433,'03. THIẾT BỊ'!$B$1:$S$836,12,0),"")</f>
        <v/>
      </c>
      <c r="N433" s="468" t="str">
        <f>IFERROR(VLOOKUP(B433,'03. THIẾT BỊ'!$B$1:$S$836,13,0),"")</f>
        <v>THACO AGRI</v>
      </c>
      <c r="O433" s="470" t="str">
        <f>IFERROR(VLOOKUP(B433,'03. THIẾT BỊ'!$B$1:$S$836,14,0),"")</f>
        <v>RM lưới</v>
      </c>
      <c r="P433" s="468" t="str">
        <f>IFERROR(VLOOKUP(B433,'03. THIẾT BỊ'!$B$1:$S$836,15,0),"")</f>
        <v>CK-CGH</v>
      </c>
      <c r="Q433" s="48" t="str">
        <f>IFERROR(VLOOKUP(B433,'03. THIẾT BỊ'!$B$1:$S$836,16,0),"")</f>
        <v/>
      </c>
      <c r="R433" s="471" t="str">
        <f>IFERROR(VLOOKUP(B433,'03. THIẾT BỊ'!$B$1:$S$836,17,0),"")</f>
        <v/>
      </c>
      <c r="S433" s="468" t="str">
        <f>IFERROR(VLOOKUP(B433,'03. THIẾT BỊ'!$B$1:$S$836,18,0),"")</f>
        <v/>
      </c>
      <c r="T433" s="812"/>
    </row>
    <row r="434" ht="15.0" customHeight="1">
      <c r="A434" s="463">
        <f t="shared" si="21"/>
        <v>18</v>
      </c>
      <c r="B434" s="464" t="s">
        <v>5101</v>
      </c>
      <c r="C434" s="869" t="str">
        <f>IFERROR(VLOOKUP(B434,'03. THIẾT BỊ'!$B$1:$S$836,2,0),"")</f>
        <v/>
      </c>
      <c r="D434" s="470" t="str">
        <f>IFERROR(VLOOKUP(B434,'03. THIẾT BỊ'!$B$1:$S$836,3,0),"")</f>
        <v/>
      </c>
      <c r="E434" s="464" t="str">
        <f>IFERROR(VLOOKUP(B434,'03. THIẾT BỊ'!$B$1:$S$836,4,0),"")</f>
        <v>ĐQSD</v>
      </c>
      <c r="F434" s="464" t="str">
        <f>IFERROR(VLOOKUP(B434,'03. THIẾT BỊ'!$B$1:$S$836,5,0),"")</f>
        <v>Rơ mooc lưới</v>
      </c>
      <c r="G434" s="80" t="s">
        <v>6423</v>
      </c>
      <c r="H434" s="463" t="str">
        <f>IFERROR(VLOOKUP(B434,'03. THIẾT BỊ'!$B$1:$S$836,7,0),"")</f>
        <v>XN Bò AD</v>
      </c>
      <c r="I434" s="474" t="str">
        <f>IFERROR(VLOOKUP(B434,'03. THIẾT BỊ'!$B$1:$S$836,8,0),"")</f>
        <v/>
      </c>
      <c r="J434" s="471"/>
      <c r="K434" s="463" t="str">
        <f>IFERROR(VLOOKUP(B434,'03. THIẾT BỊ'!$B$1:$S$836,10,0),"")</f>
        <v>Bình thường</v>
      </c>
      <c r="L434" s="468" t="str">
        <f>IFERROR(VLOOKUP(B434,'03. THIẾT BỊ'!$B$1:$S$836,11,0),"")</f>
        <v/>
      </c>
      <c r="M434" s="472" t="str">
        <f>IFERROR(VLOOKUP(B434,'03. THIẾT BỊ'!$B$1:$S$836,12,0),"")</f>
        <v/>
      </c>
      <c r="N434" s="468" t="str">
        <f>IFERROR(VLOOKUP(B434,'03. THIẾT BỊ'!$B$1:$S$836,13,0),"")</f>
        <v>THACO AGRI</v>
      </c>
      <c r="O434" s="470" t="str">
        <f>IFERROR(VLOOKUP(B434,'03. THIẾT BỊ'!$B$1:$S$836,14,0),"")</f>
        <v>RM lưới</v>
      </c>
      <c r="P434" s="468" t="str">
        <f>IFERROR(VLOOKUP(B434,'03. THIẾT BỊ'!$B$1:$S$836,15,0),"")</f>
        <v>CK-CGH</v>
      </c>
      <c r="Q434" s="48" t="str">
        <f>IFERROR(VLOOKUP(B434,'03. THIẾT BỊ'!$B$1:$S$836,16,0),"")</f>
        <v/>
      </c>
      <c r="R434" s="471" t="str">
        <f>IFERROR(VLOOKUP(B434,'03. THIẾT BỊ'!$B$1:$S$836,17,0),"")</f>
        <v/>
      </c>
      <c r="S434" s="468" t="str">
        <f>IFERROR(VLOOKUP(B434,'03. THIẾT BỊ'!$B$1:$S$836,18,0),"")</f>
        <v/>
      </c>
      <c r="T434" s="812"/>
    </row>
    <row r="435">
      <c r="C435" s="869" t="str">
        <f>IFERROR(VLOOKUP(B435,'03. THIẾT BỊ'!$B$1:$S$836,2,0),"")</f>
        <v/>
      </c>
      <c r="D435" s="470" t="str">
        <f>IFERROR(VLOOKUP(B435,'03. THIẾT BỊ'!$B$1:$S$836,3,0),"")</f>
        <v/>
      </c>
      <c r="E435" s="464" t="str">
        <f>IFERROR(VLOOKUP(B435,'03. THIẾT BỊ'!$B$1:$S$836,4,0),"")</f>
        <v/>
      </c>
      <c r="F435" s="464" t="str">
        <f>IFERROR(VLOOKUP(B435,'03. THIẾT BỊ'!$B$1:$S$836,5,0),"")</f>
        <v/>
      </c>
      <c r="G435" s="80" t="s">
        <v>6423</v>
      </c>
      <c r="H435" s="463" t="str">
        <f>IFERROR(VLOOKUP(B435,'03. THIẾT BỊ'!$B$1:$S$836,7,0),"")</f>
        <v/>
      </c>
      <c r="I435" s="474" t="str">
        <f>IFERROR(VLOOKUP(B435,'03. THIẾT BỊ'!$B$1:$S$836,8,0),"")</f>
        <v/>
      </c>
      <c r="J435" s="471"/>
      <c r="K435" s="463" t="str">
        <f>IFERROR(VLOOKUP(B435,'03. THIẾT BỊ'!$B$1:$S$836,10,0),"")</f>
        <v/>
      </c>
      <c r="L435" s="468" t="str">
        <f>IFERROR(VLOOKUP(B435,'03. THIẾT BỊ'!$B$1:$S$836,11,0),"")</f>
        <v/>
      </c>
      <c r="M435" s="472" t="str">
        <f>IFERROR(VLOOKUP(B435,'03. THIẾT BỊ'!$B$1:$S$836,12,0),"")</f>
        <v/>
      </c>
      <c r="N435" s="468" t="str">
        <f>IFERROR(VLOOKUP(B435,'03. THIẾT BỊ'!$B$1:$S$836,13,0),"")</f>
        <v/>
      </c>
      <c r="O435" s="470" t="str">
        <f>IFERROR(VLOOKUP(B435,'03. THIẾT BỊ'!$B$1:$S$836,14,0),"")</f>
        <v/>
      </c>
      <c r="P435" s="468" t="str">
        <f>IFERROR(VLOOKUP(B435,'03. THIẾT BỊ'!$B$1:$S$836,15,0),"")</f>
        <v/>
      </c>
      <c r="Q435" s="48" t="str">
        <f>IFERROR(VLOOKUP(B435,'03. THIẾT BỊ'!$B$1:$S$836,16,0),"")</f>
        <v/>
      </c>
      <c r="R435" s="471" t="str">
        <f>IFERROR(VLOOKUP(B435,'03. THIẾT BỊ'!$B$1:$S$836,17,0),"")</f>
        <v/>
      </c>
      <c r="S435" s="468" t="str">
        <f>IFERROR(VLOOKUP(B435,'03. THIẾT BỊ'!$B$1:$S$836,18,0),"")</f>
        <v/>
      </c>
    </row>
    <row r="436">
      <c r="C436" s="869" t="str">
        <f>IFERROR(VLOOKUP(B436,'03. THIẾT BỊ'!$B$1:$S$836,2,0),"")</f>
        <v/>
      </c>
      <c r="D436" s="470" t="str">
        <f>IFERROR(VLOOKUP(B436,'03. THIẾT BỊ'!$B$1:$S$836,3,0),"")</f>
        <v/>
      </c>
      <c r="E436" s="464" t="str">
        <f>IFERROR(VLOOKUP(B436,'03. THIẾT BỊ'!$B$1:$S$836,4,0),"")</f>
        <v/>
      </c>
      <c r="F436" s="464" t="str">
        <f>IFERROR(VLOOKUP(B436,'03. THIẾT BỊ'!$B$1:$S$836,5,0),"")</f>
        <v/>
      </c>
      <c r="G436" s="80" t="s">
        <v>6423</v>
      </c>
      <c r="H436" s="463" t="str">
        <f>IFERROR(VLOOKUP(B436,'03. THIẾT BỊ'!$B$1:$S$836,7,0),"")</f>
        <v/>
      </c>
      <c r="I436" s="474" t="str">
        <f>IFERROR(VLOOKUP(B436,'03. THIẾT BỊ'!$B$1:$S$836,8,0),"")</f>
        <v/>
      </c>
      <c r="J436" s="471"/>
      <c r="K436" s="463" t="str">
        <f>IFERROR(VLOOKUP(B436,'03. THIẾT BỊ'!$B$1:$S$836,10,0),"")</f>
        <v/>
      </c>
      <c r="L436" s="468" t="str">
        <f>IFERROR(VLOOKUP(B436,'03. THIẾT BỊ'!$B$1:$S$836,11,0),"")</f>
        <v/>
      </c>
      <c r="M436" s="472" t="str">
        <f>IFERROR(VLOOKUP(B436,'03. THIẾT BỊ'!$B$1:$S$836,12,0),"")</f>
        <v/>
      </c>
      <c r="N436" s="468" t="str">
        <f>IFERROR(VLOOKUP(B436,'03. THIẾT BỊ'!$B$1:$S$836,13,0),"")</f>
        <v/>
      </c>
      <c r="O436" s="470" t="str">
        <f>IFERROR(VLOOKUP(B436,'03. THIẾT BỊ'!$B$1:$S$836,14,0),"")</f>
        <v/>
      </c>
      <c r="P436" s="468" t="str">
        <f>IFERROR(VLOOKUP(B436,'03. THIẾT BỊ'!$B$1:$S$836,15,0),"")</f>
        <v/>
      </c>
      <c r="Q436" s="48" t="str">
        <f>IFERROR(VLOOKUP(B436,'03. THIẾT BỊ'!$B$1:$S$836,16,0),"")</f>
        <v/>
      </c>
      <c r="R436" s="471" t="str">
        <f>IFERROR(VLOOKUP(B436,'03. THIẾT BỊ'!$B$1:$S$836,17,0),"")</f>
        <v/>
      </c>
      <c r="S436" s="468" t="str">
        <f>IFERROR(VLOOKUP(B436,'03. THIẾT BỊ'!$B$1:$S$836,18,0),"")</f>
        <v/>
      </c>
    </row>
    <row r="437" ht="15.0" customHeight="1">
      <c r="A437" s="455" t="s">
        <v>76</v>
      </c>
      <c r="B437" s="456" t="s">
        <v>8703</v>
      </c>
      <c r="C437" s="457">
        <f>COUNTA(B438:B440)</f>
        <v>2</v>
      </c>
      <c r="D437" s="458" t="str">
        <f>IFERROR(VLOOKUP(B437,'03. THIẾT BỊ'!$B$1:$S$836,3,0),"")</f>
        <v/>
      </c>
      <c r="E437" s="464" t="str">
        <f>IFERROR(VLOOKUP(B437,'03. THIẾT BỊ'!$B$1:$S$836,4,0),"")</f>
        <v/>
      </c>
      <c r="F437" s="458" t="str">
        <f>IFERROR(VLOOKUP(B437,'03. THIẾT BỊ'!$B$1:$S$836,5,0),"")</f>
        <v/>
      </c>
      <c r="G437" s="459" t="s">
        <v>6423</v>
      </c>
      <c r="H437" s="459" t="str">
        <f>IFERROR(VLOOKUP(B437,'03. THIẾT BỊ'!$B$1:$S$836,7,0),"")</f>
        <v/>
      </c>
      <c r="I437" s="457" t="str">
        <f>IFERROR(VLOOKUP(B437,'03. THIẾT BỊ'!$B$1:$S$836,8,0),"")</f>
        <v/>
      </c>
      <c r="J437" s="460"/>
      <c r="K437" s="457" t="str">
        <f>IFERROR(VLOOKUP(B437,'03. THIẾT BỊ'!$B$1:$S$836,10,0),"")</f>
        <v/>
      </c>
      <c r="L437" s="458" t="str">
        <f>IFERROR(VLOOKUP(B437,'03. THIẾT BỊ'!$B$1:$S$836,11,0),"")</f>
        <v/>
      </c>
      <c r="M437" s="461" t="str">
        <f>IFERROR(VLOOKUP(B437,'03. THIẾT BỊ'!$B$1:$S$836,12,0),"")</f>
        <v/>
      </c>
      <c r="N437" s="458" t="str">
        <f>IFERROR(VLOOKUP(B437,'03. THIẾT BỊ'!$B$1:$S$836,13,0),"")</f>
        <v/>
      </c>
      <c r="O437" s="461" t="str">
        <f>IFERROR(VLOOKUP(B437,'03. THIẾT BỊ'!$B$1:$S$836,14,0),"")</f>
        <v/>
      </c>
      <c r="P437" s="458" t="str">
        <f>IFERROR(VLOOKUP(B437,'03. THIẾT BỊ'!$B$1:$S$836,15,0),"")</f>
        <v/>
      </c>
      <c r="Q437" s="459" t="str">
        <f>IFERROR(VLOOKUP(B437,'03. THIẾT BỊ'!$B$1:$S$836,16,0),"")</f>
        <v/>
      </c>
      <c r="R437" s="458" t="str">
        <f>IFERROR(VLOOKUP(B437,'03. THIẾT BỊ'!$B$1:$S$836,17,0),"")</f>
        <v/>
      </c>
      <c r="S437" s="458" t="str">
        <f>IFERROR(VLOOKUP(B437,'03. THIẾT BỊ'!$B$1:$S$836,18,0),"")</f>
        <v/>
      </c>
      <c r="T437" s="866"/>
    </row>
    <row r="438" ht="15.0" customHeight="1">
      <c r="A438" s="463">
        <v>1.0</v>
      </c>
      <c r="B438" s="464" t="s">
        <v>4920</v>
      </c>
      <c r="C438" s="869" t="str">
        <f>IFERROR(VLOOKUP(B438,'03. THIẾT BỊ'!$B$1:$S$836,2,0),"")</f>
        <v/>
      </c>
      <c r="D438" s="470" t="str">
        <f>IFERROR(VLOOKUP(B438,'03. THIẾT BỊ'!$B$1:$S$836,3,0),"")</f>
        <v>A22-MLB-001</v>
      </c>
      <c r="E438" s="464" t="str">
        <f>IFERROR(VLOOKUP(B438,'03. THIẾT BỊ'!$B$1:$S$836,4,0),"")</f>
        <v>ĐQSD</v>
      </c>
      <c r="F438" s="464" t="str">
        <f>IFERROR(VLOOKUP(B438,'03. THIẾT BỊ'!$B$1:$S$836,5,0),"")</f>
        <v>Rơ mooc lưới ben</v>
      </c>
      <c r="G438" s="80" t="s">
        <v>6423</v>
      </c>
      <c r="H438" s="463" t="str">
        <f>IFERROR(VLOOKUP(B438,'03. THIẾT BỊ'!$B$1:$S$836,7,0),"")</f>
        <v>Xoài AD</v>
      </c>
      <c r="I438" s="474" t="str">
        <f>IFERROR(VLOOKUP(B438,'03. THIẾT BỊ'!$B$1:$S$836,8,0),"")</f>
        <v>17/09/2024</v>
      </c>
      <c r="J438" s="471"/>
      <c r="K438" s="463" t="str">
        <f>IFERROR(VLOOKUP(B438,'03. THIẾT BỊ'!$B$1:$S$836,10,0),"")</f>
        <v>Bình thường</v>
      </c>
      <c r="L438" s="468" t="str">
        <f>IFERROR(VLOOKUP(B438,'03. THIẾT BỊ'!$B$1:$S$836,11,0),"")</f>
        <v/>
      </c>
      <c r="M438" s="472" t="str">
        <f>IFERROR(VLOOKUP(B438,'03. THIẾT BỊ'!$B$1:$S$836,12,0),"")</f>
        <v>Gia công mới</v>
      </c>
      <c r="N438" s="468" t="str">
        <f>IFERROR(VLOOKUP(B438,'03. THIẾT BỊ'!$B$1:$S$836,13,0),"")</f>
        <v>THACO AGRI</v>
      </c>
      <c r="O438" s="470" t="str">
        <f>IFERROR(VLOOKUP(B438,'03. THIẾT BỊ'!$B$1:$S$836,14,0),"")</f>
        <v>CK-MLB-01</v>
      </c>
      <c r="P438" s="468" t="str">
        <f>IFERROR(VLOOKUP(B438,'03. THIẾT BỊ'!$B$1:$S$836,15,0),"")</f>
        <v>X.CGH</v>
      </c>
      <c r="Q438" s="48">
        <f>IFERROR(VLOOKUP(B438,'03. THIẾT BỊ'!$B$1:$S$836,16,0),"")</f>
        <v>2024</v>
      </c>
      <c r="R438" s="471" t="str">
        <f>IFERROR(VLOOKUP(B438,'03. THIẾT BỊ'!$B$1:$S$836,17,0),"")</f>
        <v>5.4x2x2.5</v>
      </c>
      <c r="S438" s="468" t="str">
        <f>IFERROR(VLOOKUP(B438,'03. THIẾT BỊ'!$B$1:$S$836,18,0),"")</f>
        <v/>
      </c>
      <c r="T438" s="959"/>
    </row>
    <row r="439" ht="15.0" customHeight="1">
      <c r="A439" s="463">
        <v>2.0</v>
      </c>
      <c r="B439" s="464" t="s">
        <v>5106</v>
      </c>
      <c r="C439" s="869" t="str">
        <f>IFERROR(VLOOKUP(B439,'03. THIẾT BỊ'!$B$1:$S$836,2,0),"")</f>
        <v/>
      </c>
      <c r="D439" s="470" t="str">
        <f>IFERROR(VLOOKUP(B439,'03. THIẾT BỊ'!$B$1:$S$836,3,0),"")</f>
        <v>A22-MLB-002</v>
      </c>
      <c r="E439" s="464" t="str">
        <f>IFERROR(VLOOKUP(B439,'03. THIẾT BỊ'!$B$1:$S$836,4,0),"")</f>
        <v>ĐQSD</v>
      </c>
      <c r="F439" s="464" t="str">
        <f>IFERROR(VLOOKUP(B439,'03. THIẾT BỊ'!$B$1:$S$836,5,0),"")</f>
        <v>Rơ mooc lưới ben</v>
      </c>
      <c r="G439" s="80" t="s">
        <v>6423</v>
      </c>
      <c r="H439" s="463" t="str">
        <f>IFERROR(VLOOKUP(B439,'03. THIẾT BỊ'!$B$1:$S$836,7,0),"")</f>
        <v>XN Bò AD</v>
      </c>
      <c r="I439" s="474">
        <f>IFERROR(VLOOKUP(B439,'03. THIẾT BỊ'!$B$1:$S$836,8,0),"")</f>
        <v>45392</v>
      </c>
      <c r="J439" s="471"/>
      <c r="K439" s="463" t="str">
        <f>IFERROR(VLOOKUP(B439,'03. THIẾT BỊ'!$B$1:$S$836,10,0),"")</f>
        <v>Bình thường</v>
      </c>
      <c r="L439" s="468" t="str">
        <f>IFERROR(VLOOKUP(B439,'03. THIẾT BỊ'!$B$1:$S$836,11,0),"")</f>
        <v/>
      </c>
      <c r="M439" s="472" t="str">
        <f>IFERROR(VLOOKUP(B439,'03. THIẾT BỊ'!$B$1:$S$836,12,0),"")</f>
        <v/>
      </c>
      <c r="N439" s="468" t="str">
        <f>IFERROR(VLOOKUP(B439,'03. THIẾT BỊ'!$B$1:$S$836,13,0),"")</f>
        <v>THACO AGRI</v>
      </c>
      <c r="O439" s="470" t="str">
        <f>IFERROR(VLOOKUP(B439,'03. THIẾT BỊ'!$B$1:$S$836,14,0),"")</f>
        <v>RM lưới</v>
      </c>
      <c r="P439" s="468" t="str">
        <f>IFERROR(VLOOKUP(B439,'03. THIẾT BỊ'!$B$1:$S$836,15,0),"")</f>
        <v>CK-CGH</v>
      </c>
      <c r="Q439" s="48">
        <f>IFERROR(VLOOKUP(B439,'03. THIẾT BỊ'!$B$1:$S$836,16,0),"")</f>
        <v>2024</v>
      </c>
      <c r="R439" s="471" t="str">
        <f>IFERROR(VLOOKUP(B439,'03. THIẾT BỊ'!$B$1:$S$836,17,0),"")</f>
        <v>3.9x2.3x2.5</v>
      </c>
      <c r="S439" s="468" t="str">
        <f>IFERROR(VLOOKUP(B439,'03. THIẾT BỊ'!$B$1:$S$836,18,0),"")</f>
        <v/>
      </c>
      <c r="T439" s="812"/>
    </row>
    <row r="440">
      <c r="C440" s="869" t="str">
        <f>IFERROR(VLOOKUP(B440,'03. THIẾT BỊ'!$B$1:$S$836,2,0),"")</f>
        <v/>
      </c>
      <c r="D440" s="470" t="str">
        <f>IFERROR(VLOOKUP(B440,'03. THIẾT BỊ'!$B$1:$S$836,3,0),"")</f>
        <v/>
      </c>
      <c r="E440" s="464" t="str">
        <f>IFERROR(VLOOKUP(B440,'03. THIẾT BỊ'!$B$1:$S$836,4,0),"")</f>
        <v/>
      </c>
      <c r="F440" s="464" t="str">
        <f>IFERROR(VLOOKUP(B440,'03. THIẾT BỊ'!$B$1:$S$836,5,0),"")</f>
        <v/>
      </c>
      <c r="G440" s="80" t="s">
        <v>6423</v>
      </c>
      <c r="H440" s="463" t="str">
        <f>IFERROR(VLOOKUP(B440,'03. THIẾT BỊ'!$B$1:$S$836,7,0),"")</f>
        <v/>
      </c>
      <c r="I440" s="474" t="str">
        <f>IFERROR(VLOOKUP(B440,'03. THIẾT BỊ'!$B$1:$S$836,8,0),"")</f>
        <v/>
      </c>
      <c r="J440" s="471"/>
      <c r="K440" s="463" t="str">
        <f>IFERROR(VLOOKUP(B440,'03. THIẾT BỊ'!$B$1:$S$836,10,0),"")</f>
        <v/>
      </c>
      <c r="L440" s="468" t="str">
        <f>IFERROR(VLOOKUP(B440,'03. THIẾT BỊ'!$B$1:$S$836,11,0),"")</f>
        <v/>
      </c>
      <c r="M440" s="472" t="str">
        <f>IFERROR(VLOOKUP(B440,'03. THIẾT BỊ'!$B$1:$S$836,12,0),"")</f>
        <v/>
      </c>
      <c r="N440" s="468" t="str">
        <f>IFERROR(VLOOKUP(B440,'03. THIẾT BỊ'!$B$1:$S$836,13,0),"")</f>
        <v/>
      </c>
      <c r="O440" s="470" t="str">
        <f>IFERROR(VLOOKUP(B440,'03. THIẾT BỊ'!$B$1:$S$836,14,0),"")</f>
        <v/>
      </c>
      <c r="P440" s="468" t="str">
        <f>IFERROR(VLOOKUP(B440,'03. THIẾT BỊ'!$B$1:$S$836,15,0),"")</f>
        <v/>
      </c>
      <c r="Q440" s="48" t="str">
        <f>IFERROR(VLOOKUP(B440,'03. THIẾT BỊ'!$B$1:$S$836,16,0),"")</f>
        <v/>
      </c>
      <c r="R440" s="471" t="str">
        <f>IFERROR(VLOOKUP(B440,'03. THIẾT BỊ'!$B$1:$S$836,17,0),"")</f>
        <v/>
      </c>
      <c r="S440" s="468" t="str">
        <f>IFERROR(VLOOKUP(B440,'03. THIẾT BỊ'!$B$1:$S$836,18,0),"")</f>
        <v/>
      </c>
    </row>
    <row r="441" hidden="1">
      <c r="C441" s="869" t="str">
        <f>IFERROR(VLOOKUP(B441,'03. THIẾT BỊ'!$B$1:$S$836,2,0),"")</f>
        <v/>
      </c>
      <c r="D441" s="470" t="str">
        <f>IFERROR(VLOOKUP(B441,'03. THIẾT BỊ'!$B$1:$S$836,3,0),"")</f>
        <v/>
      </c>
      <c r="E441" s="464" t="str">
        <f>IFERROR(VLOOKUP(B441,'03. THIẾT BỊ'!$B$1:$S$836,4,0),"")</f>
        <v/>
      </c>
      <c r="F441" s="464" t="str">
        <f>IFERROR(VLOOKUP(B441,'03. THIẾT BỊ'!$B$1:$S$836,5,0),"")</f>
        <v/>
      </c>
      <c r="G441" s="80" t="s">
        <v>6423</v>
      </c>
      <c r="H441" s="463" t="str">
        <f>IFERROR(VLOOKUP(B441,'03. THIẾT BỊ'!$B$1:$S$836,7,0),"")</f>
        <v/>
      </c>
      <c r="I441" s="474" t="str">
        <f>IFERROR(VLOOKUP(B441,'03. THIẾT BỊ'!$B$1:$S$836,8,0),"")</f>
        <v/>
      </c>
      <c r="J441" s="471"/>
      <c r="K441" s="463" t="str">
        <f>IFERROR(VLOOKUP(B441,'03. THIẾT BỊ'!$B$1:$S$836,10,0),"")</f>
        <v/>
      </c>
      <c r="L441" s="468" t="str">
        <f>IFERROR(VLOOKUP(B441,'03. THIẾT BỊ'!$B$1:$S$836,11,0),"")</f>
        <v/>
      </c>
      <c r="M441" s="472" t="str">
        <f>IFERROR(VLOOKUP(B441,'03. THIẾT BỊ'!$B$1:$S$836,12,0),"")</f>
        <v/>
      </c>
      <c r="N441" s="468" t="str">
        <f>IFERROR(VLOOKUP(B441,'03. THIẾT BỊ'!$B$1:$S$836,13,0),"")</f>
        <v/>
      </c>
      <c r="O441" s="470" t="str">
        <f>IFERROR(VLOOKUP(B441,'03. THIẾT BỊ'!$B$1:$S$836,14,0),"")</f>
        <v/>
      </c>
      <c r="P441" s="468" t="str">
        <f>IFERROR(VLOOKUP(B441,'03. THIẾT BỊ'!$B$1:$S$836,15,0),"")</f>
        <v/>
      </c>
      <c r="Q441" s="48" t="str">
        <f>IFERROR(VLOOKUP(B441,'03. THIẾT BỊ'!$B$1:$S$836,16,0),"")</f>
        <v/>
      </c>
      <c r="R441" s="471" t="str">
        <f>IFERROR(VLOOKUP(B441,'03. THIẾT BỊ'!$B$1:$S$836,17,0),"")</f>
        <v/>
      </c>
      <c r="S441" s="468" t="str">
        <f>IFERROR(VLOOKUP(B441,'03. THIẾT BỊ'!$B$1:$S$836,18,0),"")</f>
        <v/>
      </c>
    </row>
    <row r="442" hidden="1">
      <c r="C442" s="869" t="str">
        <f>IFERROR(VLOOKUP(B442,'03. THIẾT BỊ'!$B$1:$S$836,2,0),"")</f>
        <v/>
      </c>
      <c r="D442" s="470" t="str">
        <f>IFERROR(VLOOKUP(B442,'03. THIẾT BỊ'!$B$1:$S$836,3,0),"")</f>
        <v/>
      </c>
      <c r="E442" s="464" t="str">
        <f>IFERROR(VLOOKUP(B442,'03. THIẾT BỊ'!$B$1:$S$836,4,0),"")</f>
        <v/>
      </c>
      <c r="F442" s="464" t="str">
        <f>IFERROR(VLOOKUP(B442,'03. THIẾT BỊ'!$B$1:$S$836,5,0),"")</f>
        <v/>
      </c>
      <c r="G442" s="80" t="s">
        <v>6423</v>
      </c>
      <c r="H442" s="463" t="str">
        <f>IFERROR(VLOOKUP(B442,'03. THIẾT BỊ'!$B$1:$S$836,7,0),"")</f>
        <v/>
      </c>
      <c r="I442" s="474" t="str">
        <f>IFERROR(VLOOKUP(B442,'03. THIẾT BỊ'!$B$1:$S$836,8,0),"")</f>
        <v/>
      </c>
      <c r="J442" s="471"/>
      <c r="K442" s="463" t="str">
        <f>IFERROR(VLOOKUP(B442,'03. THIẾT BỊ'!$B$1:$S$836,10,0),"")</f>
        <v/>
      </c>
      <c r="L442" s="468" t="str">
        <f>IFERROR(VLOOKUP(B442,'03. THIẾT BỊ'!$B$1:$S$836,11,0),"")</f>
        <v/>
      </c>
      <c r="M442" s="472" t="str">
        <f>IFERROR(VLOOKUP(B442,'03. THIẾT BỊ'!$B$1:$S$836,12,0),"")</f>
        <v/>
      </c>
      <c r="N442" s="468" t="str">
        <f>IFERROR(VLOOKUP(B442,'03. THIẾT BỊ'!$B$1:$S$836,13,0),"")</f>
        <v/>
      </c>
      <c r="O442" s="470" t="str">
        <f>IFERROR(VLOOKUP(B442,'03. THIẾT BỊ'!$B$1:$S$836,14,0),"")</f>
        <v/>
      </c>
      <c r="P442" s="468" t="str">
        <f>IFERROR(VLOOKUP(B442,'03. THIẾT BỊ'!$B$1:$S$836,15,0),"")</f>
        <v/>
      </c>
      <c r="Q442" s="48" t="str">
        <f>IFERROR(VLOOKUP(B442,'03. THIẾT BỊ'!$B$1:$S$836,16,0),"")</f>
        <v/>
      </c>
      <c r="R442" s="471" t="str">
        <f>IFERROR(VLOOKUP(B442,'03. THIẾT BỊ'!$B$1:$S$836,17,0),"")</f>
        <v/>
      </c>
      <c r="S442" s="468" t="str">
        <f>IFERROR(VLOOKUP(B442,'03. THIẾT BỊ'!$B$1:$S$836,18,0),"")</f>
        <v/>
      </c>
    </row>
    <row r="443" ht="15.0" customHeight="1">
      <c r="A443" s="455" t="s">
        <v>76</v>
      </c>
      <c r="B443" s="456" t="s">
        <v>8704</v>
      </c>
      <c r="C443" s="457">
        <f>COUNTA(B444:B450)</f>
        <v>5</v>
      </c>
      <c r="D443" s="458" t="str">
        <f>IFERROR(VLOOKUP(B443,'03. THIẾT BỊ'!$B$1:$S$836,3,0),"")</f>
        <v/>
      </c>
      <c r="E443" s="464" t="str">
        <f>IFERROR(VLOOKUP(B443,'03. THIẾT BỊ'!$B$1:$S$836,4,0),"")</f>
        <v/>
      </c>
      <c r="F443" s="458" t="str">
        <f>IFERROR(VLOOKUP(B443,'03. THIẾT BỊ'!$B$1:$S$836,5,0),"")</f>
        <v/>
      </c>
      <c r="G443" s="459" t="s">
        <v>6423</v>
      </c>
      <c r="H443" s="459" t="str">
        <f>IFERROR(VLOOKUP(B443,'03. THIẾT BỊ'!$B$1:$S$836,7,0),"")</f>
        <v/>
      </c>
      <c r="I443" s="457" t="str">
        <f>IFERROR(VLOOKUP(B443,'03. THIẾT BỊ'!$B$1:$S$836,8,0),"")</f>
        <v/>
      </c>
      <c r="J443" s="460"/>
      <c r="K443" s="457" t="str">
        <f>IFERROR(VLOOKUP(B443,'03. THIẾT BỊ'!$B$1:$S$836,10,0),"")</f>
        <v/>
      </c>
      <c r="L443" s="458" t="str">
        <f>IFERROR(VLOOKUP(B443,'03. THIẾT BỊ'!$B$1:$S$836,11,0),"")</f>
        <v/>
      </c>
      <c r="M443" s="461" t="str">
        <f>IFERROR(VLOOKUP(B443,'03. THIẾT BỊ'!$B$1:$S$836,12,0),"")</f>
        <v/>
      </c>
      <c r="N443" s="458" t="str">
        <f>IFERROR(VLOOKUP(B443,'03. THIẾT BỊ'!$B$1:$S$836,13,0),"")</f>
        <v/>
      </c>
      <c r="O443" s="461" t="str">
        <f>IFERROR(VLOOKUP(B443,'03. THIẾT BỊ'!$B$1:$S$836,14,0),"")</f>
        <v/>
      </c>
      <c r="P443" s="458" t="str">
        <f>IFERROR(VLOOKUP(B443,'03. THIẾT BỊ'!$B$1:$S$836,15,0),"")</f>
        <v/>
      </c>
      <c r="Q443" s="459" t="str">
        <f>IFERROR(VLOOKUP(B443,'03. THIẾT BỊ'!$B$1:$S$836,16,0),"")</f>
        <v/>
      </c>
      <c r="R443" s="458" t="str">
        <f>IFERROR(VLOOKUP(B443,'03. THIẾT BỊ'!$B$1:$S$836,17,0),"")</f>
        <v/>
      </c>
      <c r="S443" s="458" t="str">
        <f>IFERROR(VLOOKUP(B443,'03. THIẾT BỊ'!$B$1:$S$836,18,0),"")</f>
        <v/>
      </c>
      <c r="T443" s="866"/>
    </row>
    <row r="444" ht="15.0" customHeight="1">
      <c r="A444" s="463">
        <v>1.0</v>
      </c>
      <c r="B444" s="464" t="s">
        <v>5074</v>
      </c>
      <c r="C444" s="869" t="str">
        <f>IFERROR(VLOOKUP(B444,'03. THIẾT BỊ'!$B$1:$S$836,2,0),"")</f>
        <v/>
      </c>
      <c r="D444" s="470" t="str">
        <f>IFERROR(VLOOKUP(B444,'03. THIẾT BỊ'!$B$1:$S$836,3,0),"")</f>
        <v/>
      </c>
      <c r="E444" s="464" t="str">
        <f>IFERROR(VLOOKUP(B444,'03. THIẾT BỊ'!$B$1:$S$836,4,0),"")</f>
        <v>ĐQSD</v>
      </c>
      <c r="F444" s="464" t="str">
        <f>IFERROR(VLOOKUP(B444,'03. THIẾT BỊ'!$B$1:$S$836,5,0),"")</f>
        <v>Rơ mooc thùng</v>
      </c>
      <c r="G444" s="80" t="s">
        <v>6423</v>
      </c>
      <c r="H444" s="463" t="str">
        <f>IFERROR(VLOOKUP(B444,'03. THIẾT BỊ'!$B$1:$S$836,7,0),"")</f>
        <v>XN Bò AD</v>
      </c>
      <c r="I444" s="474" t="str">
        <f>IFERROR(VLOOKUP(B444,'03. THIẾT BỊ'!$B$1:$S$836,8,0),"")</f>
        <v/>
      </c>
      <c r="J444" s="471"/>
      <c r="K444" s="463" t="str">
        <f>IFERROR(VLOOKUP(B444,'03. THIẾT BỊ'!$B$1:$S$836,10,0),"")</f>
        <v>Bình thường</v>
      </c>
      <c r="L444" s="468" t="str">
        <f>IFERROR(VLOOKUP(B444,'03. THIẾT BỊ'!$B$1:$S$836,11,0),"")</f>
        <v/>
      </c>
      <c r="M444" s="472" t="str">
        <f>IFERROR(VLOOKUP(B444,'03. THIẾT BỊ'!$B$1:$S$836,12,0),"")</f>
        <v/>
      </c>
      <c r="N444" s="468" t="str">
        <f>IFERROR(VLOOKUP(B444,'03. THIẾT BỊ'!$B$1:$S$836,13,0),"")</f>
        <v>THACO AGRI</v>
      </c>
      <c r="O444" s="470" t="str">
        <f>IFERROR(VLOOKUP(B444,'03. THIẾT BỊ'!$B$1:$S$836,14,0),"")</f>
        <v>RM thùng</v>
      </c>
      <c r="P444" s="468" t="str">
        <f>IFERROR(VLOOKUP(B444,'03. THIẾT BỊ'!$B$1:$S$836,15,0),"")</f>
        <v>CK-CGH</v>
      </c>
      <c r="Q444" s="48" t="str">
        <f>IFERROR(VLOOKUP(B444,'03. THIẾT BỊ'!$B$1:$S$836,16,0),"")</f>
        <v/>
      </c>
      <c r="R444" s="471" t="str">
        <f>IFERROR(VLOOKUP(B444,'03. THIẾT BỊ'!$B$1:$S$836,17,0),"")</f>
        <v/>
      </c>
      <c r="S444" s="468" t="str">
        <f>IFERROR(VLOOKUP(B444,'03. THIẾT BỊ'!$B$1:$S$836,18,0),"")</f>
        <v/>
      </c>
      <c r="T444" s="812"/>
    </row>
    <row r="445" ht="15.0" customHeight="1">
      <c r="A445" s="463">
        <f t="shared" ref="A445:A448" si="22">A444+1</f>
        <v>2</v>
      </c>
      <c r="B445" s="464" t="s">
        <v>5078</v>
      </c>
      <c r="C445" s="869" t="str">
        <f>IFERROR(VLOOKUP(B445,'03. THIẾT BỊ'!$B$1:$S$836,2,0),"")</f>
        <v/>
      </c>
      <c r="D445" s="470" t="str">
        <f>IFERROR(VLOOKUP(B445,'03. THIẾT BỊ'!$B$1:$S$836,3,0),"")</f>
        <v/>
      </c>
      <c r="E445" s="464" t="str">
        <f>IFERROR(VLOOKUP(B445,'03. THIẾT BỊ'!$B$1:$S$836,4,0),"")</f>
        <v>ĐQSD</v>
      </c>
      <c r="F445" s="464" t="str">
        <f>IFERROR(VLOOKUP(B445,'03. THIẾT BỊ'!$B$1:$S$836,5,0),"")</f>
        <v>Rơ mooc thùng</v>
      </c>
      <c r="G445" s="80" t="s">
        <v>6423</v>
      </c>
      <c r="H445" s="463" t="str">
        <f>IFERROR(VLOOKUP(B445,'03. THIẾT BỊ'!$B$1:$S$836,7,0),"")</f>
        <v>XN Bò AD</v>
      </c>
      <c r="I445" s="474" t="str">
        <f>IFERROR(VLOOKUP(B445,'03. THIẾT BỊ'!$B$1:$S$836,8,0),"")</f>
        <v/>
      </c>
      <c r="J445" s="471"/>
      <c r="K445" s="463" t="str">
        <f>IFERROR(VLOOKUP(B445,'03. THIẾT BỊ'!$B$1:$S$836,10,0),"")</f>
        <v>Bình thường</v>
      </c>
      <c r="L445" s="468" t="str">
        <f>IFERROR(VLOOKUP(B445,'03. THIẾT BỊ'!$B$1:$S$836,11,0),"")</f>
        <v/>
      </c>
      <c r="M445" s="472" t="str">
        <f>IFERROR(VLOOKUP(B445,'03. THIẾT BỊ'!$B$1:$S$836,12,0),"")</f>
        <v/>
      </c>
      <c r="N445" s="468" t="str">
        <f>IFERROR(VLOOKUP(B445,'03. THIẾT BỊ'!$B$1:$S$836,13,0),"")</f>
        <v>THACO AGRI</v>
      </c>
      <c r="O445" s="470" t="str">
        <f>IFERROR(VLOOKUP(B445,'03. THIẾT BỊ'!$B$1:$S$836,14,0),"")</f>
        <v>RM thùng</v>
      </c>
      <c r="P445" s="468" t="str">
        <f>IFERROR(VLOOKUP(B445,'03. THIẾT BỊ'!$B$1:$S$836,15,0),"")</f>
        <v>CK-CGH</v>
      </c>
      <c r="Q445" s="48" t="str">
        <f>IFERROR(VLOOKUP(B445,'03. THIẾT BỊ'!$B$1:$S$836,16,0),"")</f>
        <v/>
      </c>
      <c r="R445" s="471" t="str">
        <f>IFERROR(VLOOKUP(B445,'03. THIẾT BỊ'!$B$1:$S$836,17,0),"")</f>
        <v/>
      </c>
      <c r="S445" s="468" t="str">
        <f>IFERROR(VLOOKUP(B445,'03. THIẾT BỊ'!$B$1:$S$836,18,0),"")</f>
        <v/>
      </c>
      <c r="T445" s="812"/>
    </row>
    <row r="446" ht="15.0" customHeight="1">
      <c r="A446" s="463">
        <f t="shared" si="22"/>
        <v>3</v>
      </c>
      <c r="B446" s="464" t="s">
        <v>5079</v>
      </c>
      <c r="C446" s="869" t="str">
        <f>IFERROR(VLOOKUP(B446,'03. THIẾT BỊ'!$B$1:$S$836,2,0),"")</f>
        <v/>
      </c>
      <c r="D446" s="470" t="str">
        <f>IFERROR(VLOOKUP(B446,'03. THIẾT BỊ'!$B$1:$S$836,3,0),"")</f>
        <v/>
      </c>
      <c r="E446" s="464" t="str">
        <f>IFERROR(VLOOKUP(B446,'03. THIẾT BỊ'!$B$1:$S$836,4,0),"")</f>
        <v>ĐQSD</v>
      </c>
      <c r="F446" s="464" t="str">
        <f>IFERROR(VLOOKUP(B446,'03. THIẾT BỊ'!$B$1:$S$836,5,0),"")</f>
        <v>Rơ mooc thùng</v>
      </c>
      <c r="G446" s="80" t="s">
        <v>6423</v>
      </c>
      <c r="H446" s="463" t="str">
        <f>IFERROR(VLOOKUP(B446,'03. THIẾT BỊ'!$B$1:$S$836,7,0),"")</f>
        <v>XN Bò AD</v>
      </c>
      <c r="I446" s="474" t="str">
        <f>IFERROR(VLOOKUP(B446,'03. THIẾT BỊ'!$B$1:$S$836,8,0),"")</f>
        <v/>
      </c>
      <c r="J446" s="471"/>
      <c r="K446" s="463" t="str">
        <f>IFERROR(VLOOKUP(B446,'03. THIẾT BỊ'!$B$1:$S$836,10,0),"")</f>
        <v>Bình thường</v>
      </c>
      <c r="L446" s="468" t="str">
        <f>IFERROR(VLOOKUP(B446,'03. THIẾT BỊ'!$B$1:$S$836,11,0),"")</f>
        <v/>
      </c>
      <c r="M446" s="472" t="str">
        <f>IFERROR(VLOOKUP(B446,'03. THIẾT BỊ'!$B$1:$S$836,12,0),"")</f>
        <v/>
      </c>
      <c r="N446" s="468" t="str">
        <f>IFERROR(VLOOKUP(B446,'03. THIẾT BỊ'!$B$1:$S$836,13,0),"")</f>
        <v>THACO AGRI</v>
      </c>
      <c r="O446" s="470" t="str">
        <f>IFERROR(VLOOKUP(B446,'03. THIẾT BỊ'!$B$1:$S$836,14,0),"")</f>
        <v>RM thùng</v>
      </c>
      <c r="P446" s="468" t="str">
        <f>IFERROR(VLOOKUP(B446,'03. THIẾT BỊ'!$B$1:$S$836,15,0),"")</f>
        <v>CK-CGH</v>
      </c>
      <c r="Q446" s="48" t="str">
        <f>IFERROR(VLOOKUP(B446,'03. THIẾT BỊ'!$B$1:$S$836,16,0),"")</f>
        <v/>
      </c>
      <c r="R446" s="471" t="str">
        <f>IFERROR(VLOOKUP(B446,'03. THIẾT BỊ'!$B$1:$S$836,17,0),"")</f>
        <v/>
      </c>
      <c r="S446" s="468" t="str">
        <f>IFERROR(VLOOKUP(B446,'03. THIẾT BỊ'!$B$1:$S$836,18,0),"")</f>
        <v/>
      </c>
      <c r="T446" s="812"/>
    </row>
    <row r="447" ht="15.0" customHeight="1">
      <c r="A447" s="463">
        <f t="shared" si="22"/>
        <v>4</v>
      </c>
      <c r="B447" s="464" t="s">
        <v>5080</v>
      </c>
      <c r="C447" s="869" t="str">
        <f>IFERROR(VLOOKUP(B447,'03. THIẾT BỊ'!$B$1:$S$836,2,0),"")</f>
        <v/>
      </c>
      <c r="D447" s="470" t="str">
        <f>IFERROR(VLOOKUP(B447,'03. THIẾT BỊ'!$B$1:$S$836,3,0),"")</f>
        <v/>
      </c>
      <c r="E447" s="464" t="str">
        <f>IFERROR(VLOOKUP(B447,'03. THIẾT BỊ'!$B$1:$S$836,4,0),"")</f>
        <v>ĐQSD</v>
      </c>
      <c r="F447" s="464" t="str">
        <f>IFERROR(VLOOKUP(B447,'03. THIẾT BỊ'!$B$1:$S$836,5,0),"")</f>
        <v>Rơ mooc thùng</v>
      </c>
      <c r="G447" s="80" t="s">
        <v>6423</v>
      </c>
      <c r="H447" s="463" t="str">
        <f>IFERROR(VLOOKUP(B447,'03. THIẾT BỊ'!$B$1:$S$836,7,0),"")</f>
        <v>XN Bò AD</v>
      </c>
      <c r="I447" s="474" t="str">
        <f>IFERROR(VLOOKUP(B447,'03. THIẾT BỊ'!$B$1:$S$836,8,0),"")</f>
        <v/>
      </c>
      <c r="J447" s="471"/>
      <c r="K447" s="463" t="str">
        <f>IFERROR(VLOOKUP(B447,'03. THIẾT BỊ'!$B$1:$S$836,10,0),"")</f>
        <v>Bình thường</v>
      </c>
      <c r="L447" s="468" t="str">
        <f>IFERROR(VLOOKUP(B447,'03. THIẾT BỊ'!$B$1:$S$836,11,0),"")</f>
        <v/>
      </c>
      <c r="M447" s="472" t="str">
        <f>IFERROR(VLOOKUP(B447,'03. THIẾT BỊ'!$B$1:$S$836,12,0),"")</f>
        <v/>
      </c>
      <c r="N447" s="468" t="str">
        <f>IFERROR(VLOOKUP(B447,'03. THIẾT BỊ'!$B$1:$S$836,13,0),"")</f>
        <v>THACO AGRI</v>
      </c>
      <c r="O447" s="470" t="str">
        <f>IFERROR(VLOOKUP(B447,'03. THIẾT BỊ'!$B$1:$S$836,14,0),"")</f>
        <v>RM thùng</v>
      </c>
      <c r="P447" s="468" t="str">
        <f>IFERROR(VLOOKUP(B447,'03. THIẾT BỊ'!$B$1:$S$836,15,0),"")</f>
        <v>CK-CGH</v>
      </c>
      <c r="Q447" s="48" t="str">
        <f>IFERROR(VLOOKUP(B447,'03. THIẾT BỊ'!$B$1:$S$836,16,0),"")</f>
        <v/>
      </c>
      <c r="R447" s="471" t="str">
        <f>IFERROR(VLOOKUP(B447,'03. THIẾT BỊ'!$B$1:$S$836,17,0),"")</f>
        <v/>
      </c>
      <c r="S447" s="468" t="str">
        <f>IFERROR(VLOOKUP(B447,'03. THIẾT BỊ'!$B$1:$S$836,18,0),"")</f>
        <v/>
      </c>
      <c r="T447" s="812"/>
    </row>
    <row r="448" ht="15.0" customHeight="1">
      <c r="A448" s="463">
        <f t="shared" si="22"/>
        <v>5</v>
      </c>
      <c r="B448" s="464" t="s">
        <v>5081</v>
      </c>
      <c r="C448" s="869" t="str">
        <f>IFERROR(VLOOKUP(B448,'03. THIẾT BỊ'!$B$1:$S$836,2,0),"")</f>
        <v/>
      </c>
      <c r="D448" s="470" t="str">
        <f>IFERROR(VLOOKUP(B448,'03. THIẾT BỊ'!$B$1:$S$836,3,0),"")</f>
        <v/>
      </c>
      <c r="E448" s="464" t="str">
        <f>IFERROR(VLOOKUP(B448,'03. THIẾT BỊ'!$B$1:$S$836,4,0),"")</f>
        <v>ĐQSD</v>
      </c>
      <c r="F448" s="464" t="str">
        <f>IFERROR(VLOOKUP(B448,'03. THIẾT BỊ'!$B$1:$S$836,5,0),"")</f>
        <v>Rơ mooc đi cùng shibaura</v>
      </c>
      <c r="G448" s="80" t="s">
        <v>6423</v>
      </c>
      <c r="H448" s="463" t="str">
        <f>IFERROR(VLOOKUP(B448,'03. THIẾT BỊ'!$B$1:$S$836,7,0),"")</f>
        <v>XN Bò AD</v>
      </c>
      <c r="I448" s="474" t="str">
        <f>IFERROR(VLOOKUP(B448,'03. THIẾT BỊ'!$B$1:$S$836,8,0),"")</f>
        <v/>
      </c>
      <c r="J448" s="471"/>
      <c r="K448" s="463" t="str">
        <f>IFERROR(VLOOKUP(B448,'03. THIẾT BỊ'!$B$1:$S$836,10,0),"")</f>
        <v>Bình thường</v>
      </c>
      <c r="L448" s="468" t="str">
        <f>IFERROR(VLOOKUP(B448,'03. THIẾT BỊ'!$B$1:$S$836,11,0),"")</f>
        <v/>
      </c>
      <c r="M448" s="472" t="str">
        <f>IFERROR(VLOOKUP(B448,'03. THIẾT BỊ'!$B$1:$S$836,12,0),"")</f>
        <v/>
      </c>
      <c r="N448" s="468" t="str">
        <f>IFERROR(VLOOKUP(B448,'03. THIẾT BỊ'!$B$1:$S$836,13,0),"")</f>
        <v>THACO AGRI</v>
      </c>
      <c r="O448" s="470" t="str">
        <f>IFERROR(VLOOKUP(B448,'03. THIẾT BỊ'!$B$1:$S$836,14,0),"")</f>
        <v/>
      </c>
      <c r="P448" s="468" t="str">
        <f>IFERROR(VLOOKUP(B448,'03. THIẾT BỊ'!$B$1:$S$836,15,0),"")</f>
        <v>CK-CGH</v>
      </c>
      <c r="Q448" s="48" t="str">
        <f>IFERROR(VLOOKUP(B448,'03. THIẾT BỊ'!$B$1:$S$836,16,0),"")</f>
        <v/>
      </c>
      <c r="R448" s="471" t="str">
        <f>IFERROR(VLOOKUP(B448,'03. THIẾT BỊ'!$B$1:$S$836,17,0),"")</f>
        <v/>
      </c>
      <c r="S448" s="468" t="str">
        <f>IFERROR(VLOOKUP(B448,'03. THIẾT BỊ'!$B$1:$S$836,18,0),"")</f>
        <v/>
      </c>
      <c r="T448" s="812"/>
    </row>
    <row r="449">
      <c r="C449" s="869" t="str">
        <f>IFERROR(VLOOKUP(B449,'03. THIẾT BỊ'!$B$1:$S$836,2,0),"")</f>
        <v/>
      </c>
      <c r="D449" s="470" t="str">
        <f>IFERROR(VLOOKUP(B449,'03. THIẾT BỊ'!$B$1:$S$836,3,0),"")</f>
        <v/>
      </c>
      <c r="E449" s="464" t="str">
        <f>IFERROR(VLOOKUP(B449,'03. THIẾT BỊ'!$B$1:$S$836,4,0),"")</f>
        <v/>
      </c>
      <c r="F449" s="464" t="str">
        <f>IFERROR(VLOOKUP(B449,'03. THIẾT BỊ'!$B$1:$S$836,5,0),"")</f>
        <v/>
      </c>
      <c r="G449" s="80" t="s">
        <v>6423</v>
      </c>
      <c r="H449" s="463" t="str">
        <f>IFERROR(VLOOKUP(B449,'03. THIẾT BỊ'!$B$1:$S$836,7,0),"")</f>
        <v/>
      </c>
      <c r="I449" s="474" t="str">
        <f>IFERROR(VLOOKUP(B449,'03. THIẾT BỊ'!$B$1:$S$836,8,0),"")</f>
        <v/>
      </c>
      <c r="J449" s="471"/>
      <c r="K449" s="463" t="str">
        <f>IFERROR(VLOOKUP(B449,'03. THIẾT BỊ'!$B$1:$S$836,10,0),"")</f>
        <v/>
      </c>
      <c r="L449" s="468" t="str">
        <f>IFERROR(VLOOKUP(B449,'03. THIẾT BỊ'!$B$1:$S$836,11,0),"")</f>
        <v/>
      </c>
      <c r="M449" s="472" t="str">
        <f>IFERROR(VLOOKUP(B449,'03. THIẾT BỊ'!$B$1:$S$836,12,0),"")</f>
        <v/>
      </c>
      <c r="N449" s="468" t="str">
        <f>IFERROR(VLOOKUP(B449,'03. THIẾT BỊ'!$B$1:$S$836,13,0),"")</f>
        <v/>
      </c>
      <c r="O449" s="470" t="str">
        <f>IFERROR(VLOOKUP(B449,'03. THIẾT BỊ'!$B$1:$S$836,14,0),"")</f>
        <v/>
      </c>
      <c r="P449" s="468" t="str">
        <f>IFERROR(VLOOKUP(B449,'03. THIẾT BỊ'!$B$1:$S$836,15,0),"")</f>
        <v/>
      </c>
      <c r="Q449" s="48" t="str">
        <f>IFERROR(VLOOKUP(B449,'03. THIẾT BỊ'!$B$1:$S$836,16,0),"")</f>
        <v/>
      </c>
      <c r="R449" s="471" t="str">
        <f>IFERROR(VLOOKUP(B449,'03. THIẾT BỊ'!$B$1:$S$836,17,0),"")</f>
        <v/>
      </c>
      <c r="S449" s="468" t="str">
        <f>IFERROR(VLOOKUP(B449,'03. THIẾT BỊ'!$B$1:$S$836,18,0),"")</f>
        <v/>
      </c>
    </row>
    <row r="450">
      <c r="C450" s="869" t="str">
        <f>IFERROR(VLOOKUP(B450,'03. THIẾT BỊ'!$B$1:$S$836,2,0),"")</f>
        <v/>
      </c>
      <c r="D450" s="470" t="str">
        <f>IFERROR(VLOOKUP(B450,'03. THIẾT BỊ'!$B$1:$S$836,3,0),"")</f>
        <v/>
      </c>
      <c r="E450" s="464" t="str">
        <f>IFERROR(VLOOKUP(B450,'03. THIẾT BỊ'!$B$1:$S$836,4,0),"")</f>
        <v/>
      </c>
      <c r="F450" s="464" t="str">
        <f>IFERROR(VLOOKUP(B450,'03. THIẾT BỊ'!$B$1:$S$836,5,0),"")</f>
        <v/>
      </c>
      <c r="G450" s="80" t="s">
        <v>6423</v>
      </c>
      <c r="H450" s="463" t="str">
        <f>IFERROR(VLOOKUP(B450,'03. THIẾT BỊ'!$B$1:$S$836,7,0),"")</f>
        <v/>
      </c>
      <c r="I450" s="474" t="str">
        <f>IFERROR(VLOOKUP(B450,'03. THIẾT BỊ'!$B$1:$S$836,8,0),"")</f>
        <v/>
      </c>
      <c r="J450" s="471"/>
      <c r="K450" s="463" t="str">
        <f>IFERROR(VLOOKUP(B450,'03. THIẾT BỊ'!$B$1:$S$836,10,0),"")</f>
        <v/>
      </c>
      <c r="L450" s="468" t="str">
        <f>IFERROR(VLOOKUP(B450,'03. THIẾT BỊ'!$B$1:$S$836,11,0),"")</f>
        <v/>
      </c>
      <c r="M450" s="472" t="str">
        <f>IFERROR(VLOOKUP(B450,'03. THIẾT BỊ'!$B$1:$S$836,12,0),"")</f>
        <v/>
      </c>
      <c r="N450" s="468" t="str">
        <f>IFERROR(VLOOKUP(B450,'03. THIẾT BỊ'!$B$1:$S$836,13,0),"")</f>
        <v/>
      </c>
      <c r="O450" s="470" t="str">
        <f>IFERROR(VLOOKUP(B450,'03. THIẾT BỊ'!$B$1:$S$836,14,0),"")</f>
        <v/>
      </c>
      <c r="P450" s="468" t="str">
        <f>IFERROR(VLOOKUP(B450,'03. THIẾT BỊ'!$B$1:$S$836,15,0),"")</f>
        <v/>
      </c>
      <c r="Q450" s="48" t="str">
        <f>IFERROR(VLOOKUP(B450,'03. THIẾT BỊ'!$B$1:$S$836,16,0),"")</f>
        <v/>
      </c>
      <c r="R450" s="471" t="str">
        <f>IFERROR(VLOOKUP(B450,'03. THIẾT BỊ'!$B$1:$S$836,17,0),"")</f>
        <v/>
      </c>
      <c r="S450" s="468" t="str">
        <f>IFERROR(VLOOKUP(B450,'03. THIẾT BỊ'!$B$1:$S$836,18,0),"")</f>
        <v/>
      </c>
    </row>
    <row r="451" ht="15.0" customHeight="1">
      <c r="A451" s="455" t="s">
        <v>76</v>
      </c>
      <c r="B451" s="456" t="s">
        <v>8705</v>
      </c>
      <c r="C451" s="457">
        <f>COUNTA(B452:B469)</f>
        <v>17</v>
      </c>
      <c r="D451" s="458" t="str">
        <f>IFERROR(VLOOKUP(B451,'03. THIẾT BỊ'!$B$1:$S$836,3,0),"")</f>
        <v/>
      </c>
      <c r="E451" s="464" t="str">
        <f>IFERROR(VLOOKUP(B451,'03. THIẾT BỊ'!$B$1:$S$836,4,0),"")</f>
        <v/>
      </c>
      <c r="F451" s="458" t="str">
        <f>IFERROR(VLOOKUP(B451,'03. THIẾT BỊ'!$B$1:$S$836,5,0),"")</f>
        <v/>
      </c>
      <c r="G451" s="459" t="s">
        <v>6423</v>
      </c>
      <c r="H451" s="459" t="str">
        <f>IFERROR(VLOOKUP(B451,'03. THIẾT BỊ'!$B$1:$S$836,7,0),"")</f>
        <v/>
      </c>
      <c r="I451" s="457" t="str">
        <f>IFERROR(VLOOKUP(B451,'03. THIẾT BỊ'!$B$1:$S$836,8,0),"")</f>
        <v/>
      </c>
      <c r="J451" s="460"/>
      <c r="K451" s="457" t="str">
        <f>IFERROR(VLOOKUP(B451,'03. THIẾT BỊ'!$B$1:$S$836,10,0),"")</f>
        <v/>
      </c>
      <c r="L451" s="458" t="str">
        <f>IFERROR(VLOOKUP(B451,'03. THIẾT BỊ'!$B$1:$S$836,11,0),"")</f>
        <v/>
      </c>
      <c r="M451" s="461" t="str">
        <f>IFERROR(VLOOKUP(B451,'03. THIẾT BỊ'!$B$1:$S$836,12,0),"")</f>
        <v/>
      </c>
      <c r="N451" s="458" t="str">
        <f>IFERROR(VLOOKUP(B451,'03. THIẾT BỊ'!$B$1:$S$836,13,0),"")</f>
        <v/>
      </c>
      <c r="O451" s="461" t="str">
        <f>IFERROR(VLOOKUP(B451,'03. THIẾT BỊ'!$B$1:$S$836,14,0),"")</f>
        <v/>
      </c>
      <c r="P451" s="458" t="str">
        <f>IFERROR(VLOOKUP(B451,'03. THIẾT BỊ'!$B$1:$S$836,15,0),"")</f>
        <v/>
      </c>
      <c r="Q451" s="459" t="str">
        <f>IFERROR(VLOOKUP(B451,'03. THIẾT BỊ'!$B$1:$S$836,16,0),"")</f>
        <v/>
      </c>
      <c r="R451" s="458" t="str">
        <f>IFERROR(VLOOKUP(B451,'03. THIẾT BỊ'!$B$1:$S$836,17,0),"")</f>
        <v/>
      </c>
      <c r="S451" s="458" t="str">
        <f>IFERROR(VLOOKUP(B451,'03. THIẾT BỊ'!$B$1:$S$836,18,0),"")</f>
        <v/>
      </c>
      <c r="T451" s="866"/>
    </row>
    <row r="452" ht="15.0" customHeight="1">
      <c r="A452" s="463">
        <v>1.0</v>
      </c>
      <c r="B452" s="464" t="s">
        <v>3895</v>
      </c>
      <c r="C452" s="869" t="str">
        <f>IFERROR(VLOOKUP(B452,'03. THIẾT BỊ'!$B$1:$S$836,2,0),"")</f>
        <v/>
      </c>
      <c r="D452" s="470" t="str">
        <f>IFERROR(VLOOKUP(B452,'03. THIẾT BỊ'!$B$1:$S$836,3,0),"")</f>
        <v/>
      </c>
      <c r="E452" s="464" t="str">
        <f>IFERROR(VLOOKUP(B452,'03. THIẾT BỊ'!$B$1:$S$836,4,0),"")</f>
        <v>ĐQSD</v>
      </c>
      <c r="F452" s="464" t="str">
        <f>IFERROR(VLOOKUP(B452,'03. THIẾT BỊ'!$B$1:$S$836,5,0),"")</f>
        <v>Rơ mooc kéo máy băm</v>
      </c>
      <c r="G452" s="80" t="s">
        <v>6423</v>
      </c>
      <c r="H452" s="463" t="str">
        <f>IFERROR(VLOOKUP(B452,'03. THIẾT BỊ'!$B$1:$S$836,7,0),"")</f>
        <v>XN Chuối DP1</v>
      </c>
      <c r="I452" s="474" t="str">
        <f>IFERROR(VLOOKUP(B452,'03. THIẾT BỊ'!$B$1:$S$836,8,0),"")</f>
        <v/>
      </c>
      <c r="J452" s="471"/>
      <c r="K452" s="463" t="str">
        <f>IFERROR(VLOOKUP(B452,'03. THIẾT BỊ'!$B$1:$S$836,10,0),"")</f>
        <v>Bình thường</v>
      </c>
      <c r="L452" s="468" t="str">
        <f>IFERROR(VLOOKUP(B452,'03. THIẾT BỊ'!$B$1:$S$836,11,0),"")</f>
        <v/>
      </c>
      <c r="M452" s="472" t="str">
        <f>IFERROR(VLOOKUP(B452,'03. THIẾT BỊ'!$B$1:$S$836,12,0),"")</f>
        <v/>
      </c>
      <c r="N452" s="468" t="str">
        <f>IFERROR(VLOOKUP(B452,'03. THIẾT BỊ'!$B$1:$S$836,13,0),"")</f>
        <v>THACO AGRI</v>
      </c>
      <c r="O452" s="470" t="str">
        <f>IFERROR(VLOOKUP(B452,'03. THIẾT BỊ'!$B$1:$S$836,14,0),"")</f>
        <v/>
      </c>
      <c r="P452" s="468" t="str">
        <f>IFERROR(VLOOKUP(B452,'03. THIẾT BỊ'!$B$1:$S$836,15,0),"")</f>
        <v>CK-CGH</v>
      </c>
      <c r="Q452" s="48" t="str">
        <f>IFERROR(VLOOKUP(B452,'03. THIẾT BỊ'!$B$1:$S$836,16,0),"")</f>
        <v/>
      </c>
      <c r="R452" s="471" t="str">
        <f>IFERROR(VLOOKUP(B452,'03. THIẾT BỊ'!$B$1:$S$836,17,0),"")</f>
        <v/>
      </c>
      <c r="S452" s="468" t="str">
        <f>IFERROR(VLOOKUP(B452,'03. THIẾT BỊ'!$B$1:$S$836,18,0),"")</f>
        <v/>
      </c>
      <c r="T452" s="807"/>
    </row>
    <row r="453" ht="15.0" customHeight="1">
      <c r="A453" s="463">
        <f t="shared" ref="A453:A468" si="23">A452+1</f>
        <v>2</v>
      </c>
      <c r="B453" s="464" t="s">
        <v>8706</v>
      </c>
      <c r="C453" s="869" t="str">
        <f>IFERROR(VLOOKUP(B453,'03. THIẾT BỊ'!$B$1:$S$836,2,0),"")</f>
        <v/>
      </c>
      <c r="D453" s="470" t="str">
        <f>IFERROR(VLOOKUP(B453,'03. THIẾT BỊ'!$B$1:$S$836,3,0),"")</f>
        <v/>
      </c>
      <c r="E453" s="464" t="str">
        <f>IFERROR(VLOOKUP(B453,'03. THIẾT BỊ'!$B$1:$S$836,4,0),"")</f>
        <v/>
      </c>
      <c r="F453" s="464" t="str">
        <f>IFERROR(VLOOKUP(B453,'03. THIẾT BỊ'!$B$1:$S$836,5,0),"")</f>
        <v/>
      </c>
      <c r="G453" s="80" t="s">
        <v>6423</v>
      </c>
      <c r="H453" s="463" t="str">
        <f>IFERROR(VLOOKUP(B453,'03. THIẾT BỊ'!$B$1:$S$836,7,0),"")</f>
        <v/>
      </c>
      <c r="I453" s="474" t="str">
        <f>IFERROR(VLOOKUP(B453,'03. THIẾT BỊ'!$B$1:$S$836,8,0),"")</f>
        <v/>
      </c>
      <c r="J453" s="471"/>
      <c r="K453" s="463" t="str">
        <f>IFERROR(VLOOKUP(B453,'03. THIẾT BỊ'!$B$1:$S$836,10,0),"")</f>
        <v/>
      </c>
      <c r="L453" s="468" t="str">
        <f>IFERROR(VLOOKUP(B453,'03. THIẾT BỊ'!$B$1:$S$836,11,0),"")</f>
        <v/>
      </c>
      <c r="M453" s="472" t="str">
        <f>IFERROR(VLOOKUP(B453,'03. THIẾT BỊ'!$B$1:$S$836,12,0),"")</f>
        <v/>
      </c>
      <c r="N453" s="468" t="str">
        <f>IFERROR(VLOOKUP(B453,'03. THIẾT BỊ'!$B$1:$S$836,13,0),"")</f>
        <v/>
      </c>
      <c r="O453" s="470" t="str">
        <f>IFERROR(VLOOKUP(B453,'03. THIẾT BỊ'!$B$1:$S$836,14,0),"")</f>
        <v/>
      </c>
      <c r="P453" s="468" t="str">
        <f>IFERROR(VLOOKUP(B453,'03. THIẾT BỊ'!$B$1:$S$836,15,0),"")</f>
        <v/>
      </c>
      <c r="Q453" s="48" t="str">
        <f>IFERROR(VLOOKUP(B453,'03. THIẾT BỊ'!$B$1:$S$836,16,0),"")</f>
        <v/>
      </c>
      <c r="R453" s="471" t="str">
        <f>IFERROR(VLOOKUP(B453,'03. THIẾT BỊ'!$B$1:$S$836,17,0),"")</f>
        <v/>
      </c>
      <c r="S453" s="468" t="str">
        <f>IFERROR(VLOOKUP(B453,'03. THIẾT BỊ'!$B$1:$S$836,18,0),"")</f>
        <v/>
      </c>
      <c r="T453" s="959"/>
    </row>
    <row r="454" ht="15.0" customHeight="1">
      <c r="A454" s="463">
        <f t="shared" si="23"/>
        <v>3</v>
      </c>
      <c r="B454" s="464" t="s">
        <v>4095</v>
      </c>
      <c r="C454" s="869" t="str">
        <f>IFERROR(VLOOKUP(B454,'03. THIẾT BỊ'!$B$1:$S$836,2,0),"")</f>
        <v/>
      </c>
      <c r="D454" s="470" t="str">
        <f>IFERROR(VLOOKUP(B454,'03. THIẾT BỊ'!$B$1:$S$836,3,0),"")</f>
        <v>A23-RMG-001</v>
      </c>
      <c r="E454" s="464" t="str">
        <f>IFERROR(VLOOKUP(B454,'03. THIẾT BỊ'!$B$1:$S$836,4,0),"")</f>
        <v>ĐQSD</v>
      </c>
      <c r="F454" s="464" t="str">
        <f>IFERROR(VLOOKUP(B454,'03. THIẾT BỊ'!$B$1:$S$836,5,0),"")</f>
        <v>Rơ mooc chở giống</v>
      </c>
      <c r="G454" s="80" t="s">
        <v>6423</v>
      </c>
      <c r="H454" s="463" t="str">
        <f>IFERROR(VLOOKUP(B454,'03. THIẾT BỊ'!$B$1:$S$836,7,0),"")</f>
        <v>XN Chuối DP2</v>
      </c>
      <c r="I454" s="474" t="str">
        <f>IFERROR(VLOOKUP(B454,'03. THIẾT BỊ'!$B$1:$S$836,8,0),"")</f>
        <v/>
      </c>
      <c r="J454" s="471"/>
      <c r="K454" s="463" t="str">
        <f>IFERROR(VLOOKUP(B454,'03. THIẾT BỊ'!$B$1:$S$836,10,0),"")</f>
        <v>Bình thường</v>
      </c>
      <c r="L454" s="468" t="str">
        <f>IFERROR(VLOOKUP(B454,'03. THIẾT BỊ'!$B$1:$S$836,11,0),"")</f>
        <v>CGLĐ DP ĐCHUYỂN NGÀY 28.01.2026</v>
      </c>
      <c r="M454" s="472" t="str">
        <f>IFERROR(VLOOKUP(B454,'03. THIẾT BỊ'!$B$1:$S$836,12,0),"")</f>
        <v/>
      </c>
      <c r="N454" s="468" t="str">
        <f>IFERROR(VLOOKUP(B454,'03. THIẾT BỊ'!$B$1:$S$836,13,0),"")</f>
        <v>THACO AGRI</v>
      </c>
      <c r="O454" s="470" t="str">
        <f>IFERROR(VLOOKUP(B454,'03. THIẾT BỊ'!$B$1:$S$836,14,0),"")</f>
        <v/>
      </c>
      <c r="P454" s="468" t="str">
        <f>IFERROR(VLOOKUP(B454,'03. THIẾT BỊ'!$B$1:$S$836,15,0),"")</f>
        <v>CK-CGH</v>
      </c>
      <c r="Q454" s="48" t="str">
        <f>IFERROR(VLOOKUP(B454,'03. THIẾT BỊ'!$B$1:$S$836,16,0),"")</f>
        <v/>
      </c>
      <c r="R454" s="471" t="str">
        <f>IFERROR(VLOOKUP(B454,'03. THIẾT BỊ'!$B$1:$S$836,17,0),"")</f>
        <v/>
      </c>
      <c r="S454" s="468" t="str">
        <f>IFERROR(VLOOKUP(B454,'03. THIẾT BỊ'!$B$1:$S$836,18,0),"")</f>
        <v>44 buồng</v>
      </c>
      <c r="T454" s="1495"/>
    </row>
    <row r="455" ht="15.0" customHeight="1">
      <c r="A455" s="463">
        <f t="shared" si="23"/>
        <v>4</v>
      </c>
      <c r="B455" s="464" t="s">
        <v>4643</v>
      </c>
      <c r="C455" s="869" t="str">
        <f>IFERROR(VLOOKUP(B455,'03. THIẾT BỊ'!$B$1:$S$836,2,0),"")</f>
        <v/>
      </c>
      <c r="D455" s="470" t="str">
        <f>IFERROR(VLOOKUP(B455,'03. THIẾT BỊ'!$B$1:$S$836,3,0),"")</f>
        <v>A24-RMG-001</v>
      </c>
      <c r="E455" s="464" t="str">
        <f>IFERROR(VLOOKUP(B455,'03. THIẾT BỊ'!$B$1:$S$836,4,0),"")</f>
        <v>ĐQSD</v>
      </c>
      <c r="F455" s="464" t="str">
        <f>IFERROR(VLOOKUP(B455,'03. THIẾT BỊ'!$B$1:$S$836,5,0),"")</f>
        <v>Rơ mooc chở giống</v>
      </c>
      <c r="G455" s="80" t="s">
        <v>6423</v>
      </c>
      <c r="H455" s="463" t="str">
        <f>IFERROR(VLOOKUP(B455,'03. THIẾT BỊ'!$B$1:$S$836,7,0),"")</f>
        <v>XN Chuối LP3</v>
      </c>
      <c r="I455" s="474" t="str">
        <f>IFERROR(VLOOKUP(B455,'03. THIẾT BỊ'!$B$1:$S$836,8,0),"")</f>
        <v/>
      </c>
      <c r="J455" s="471"/>
      <c r="K455" s="463" t="str">
        <f>IFERROR(VLOOKUP(B455,'03. THIẾT BỊ'!$B$1:$S$836,10,0),"")</f>
        <v>Bình thường</v>
      </c>
      <c r="L455" s="468" t="str">
        <f>IFERROR(VLOOKUP(B455,'03. THIẾT BỊ'!$B$1:$S$836,11,0),"")</f>
        <v/>
      </c>
      <c r="M455" s="472" t="str">
        <f>IFERROR(VLOOKUP(B455,'03. THIẾT BỊ'!$B$1:$S$836,12,0),"")</f>
        <v>Chở giống</v>
      </c>
      <c r="N455" s="468" t="str">
        <f>IFERROR(VLOOKUP(B455,'03. THIẾT BỊ'!$B$1:$S$836,13,0),"")</f>
        <v>THACO AGRI</v>
      </c>
      <c r="O455" s="470" t="str">
        <f>IFERROR(VLOOKUP(B455,'03. THIẾT BỊ'!$B$1:$S$836,14,0),"")</f>
        <v/>
      </c>
      <c r="P455" s="468" t="str">
        <f>IFERROR(VLOOKUP(B455,'03. THIẾT BỊ'!$B$1:$S$836,15,0),"")</f>
        <v>CK-CGH</v>
      </c>
      <c r="Q455" s="48" t="str">
        <f>IFERROR(VLOOKUP(B455,'03. THIẾT BỊ'!$B$1:$S$836,16,0),"")</f>
        <v/>
      </c>
      <c r="R455" s="471" t="str">
        <f>IFERROR(VLOOKUP(B455,'03. THIẾT BỊ'!$B$1:$S$836,17,0),"")</f>
        <v>6.8*2.*2.2m</v>
      </c>
      <c r="S455" s="468" t="str">
        <f>IFERROR(VLOOKUP(B455,'03. THIẾT BỊ'!$B$1:$S$836,18,0),"")</f>
        <v>Chở giống</v>
      </c>
      <c r="T455" s="807"/>
    </row>
    <row r="456" ht="15.0" customHeight="1">
      <c r="A456" s="463">
        <f t="shared" si="23"/>
        <v>5</v>
      </c>
      <c r="B456" s="464" t="s">
        <v>3949</v>
      </c>
      <c r="C456" s="869" t="str">
        <f>IFERROR(VLOOKUP(B456,'03. THIẾT BỊ'!$B$1:$S$836,2,0),"")</f>
        <v/>
      </c>
      <c r="D456" s="470" t="str">
        <f>IFERROR(VLOOKUP(B456,'03. THIẾT BỊ'!$B$1:$S$836,3,0),"")</f>
        <v>A23-RMĐ-001</v>
      </c>
      <c r="E456" s="464" t="str">
        <f>IFERROR(VLOOKUP(B456,'03. THIẾT BỊ'!$B$1:$S$836,4,0),"")</f>
        <v>ĐQSD</v>
      </c>
      <c r="F456" s="464" t="str">
        <f>IFERROR(VLOOKUP(B456,'03. THIẾT BỊ'!$B$1:$S$836,5,0),"")</f>
        <v>Rơ mooc vận chuyển M.đào 03</v>
      </c>
      <c r="G456" s="80" t="s">
        <v>6423</v>
      </c>
      <c r="H456" s="463" t="str">
        <f>IFERROR(VLOOKUP(B456,'03. THIẾT BỊ'!$B$1:$S$836,7,0),"")</f>
        <v>XN Chuối DP1</v>
      </c>
      <c r="I456" s="474" t="str">
        <f>IFERROR(VLOOKUP(B456,'03. THIẾT BỊ'!$B$1:$S$836,8,0),"")</f>
        <v>23/04/2024</v>
      </c>
      <c r="J456" s="471"/>
      <c r="K456" s="463" t="str">
        <f>IFERROR(VLOOKUP(B456,'03. THIẾT BỊ'!$B$1:$S$836,10,0),"")</f>
        <v>Bình thường</v>
      </c>
      <c r="L456" s="468" t="str">
        <f>IFERROR(VLOOKUP(B456,'03. THIẾT BỊ'!$B$1:$S$836,11,0),"")</f>
        <v/>
      </c>
      <c r="M456" s="472" t="str">
        <f>IFERROR(VLOOKUP(B456,'03. THIẾT BỊ'!$B$1:$S$836,12,0),"")</f>
        <v/>
      </c>
      <c r="N456" s="468" t="str">
        <f>IFERROR(VLOOKUP(B456,'03. THIẾT BỊ'!$B$1:$S$836,13,0),"")</f>
        <v>THACO AGRI</v>
      </c>
      <c r="O456" s="470" t="str">
        <f>IFERROR(VLOOKUP(B456,'03. THIẾT BỊ'!$B$1:$S$836,14,0),"")</f>
        <v/>
      </c>
      <c r="P456" s="468" t="str">
        <f>IFERROR(VLOOKUP(B456,'03. THIẾT BỊ'!$B$1:$S$836,15,0),"")</f>
        <v>CK-CGH</v>
      </c>
      <c r="Q456" s="48" t="str">
        <f>IFERROR(VLOOKUP(B456,'03. THIẾT BỊ'!$B$1:$S$836,16,0),"")</f>
        <v/>
      </c>
      <c r="R456" s="471" t="str">
        <f>IFERROR(VLOOKUP(B456,'03. THIẾT BỊ'!$B$1:$S$836,17,0),"")</f>
        <v>DxRxC: 6.1x2.4x0.9m</v>
      </c>
      <c r="S456" s="468" t="str">
        <f>IFERROR(VLOOKUP(B456,'03. THIẾT BỊ'!$B$1:$S$836,18,0),"")</f>
        <v/>
      </c>
      <c r="T456" s="807"/>
    </row>
    <row r="457" ht="15.0" customHeight="1">
      <c r="A457" s="463">
        <f t="shared" si="23"/>
        <v>6</v>
      </c>
      <c r="B457" s="464" t="s">
        <v>3607</v>
      </c>
      <c r="C457" s="869" t="str">
        <f>IFERROR(VLOOKUP(B457,'03. THIẾT BỊ'!$B$1:$S$836,2,0),"")</f>
        <v>XDP-RMC-002</v>
      </c>
      <c r="D457" s="470" t="str">
        <f>IFERROR(VLOOKUP(B457,'03. THIẾT BỊ'!$B$1:$S$836,3,0),"")</f>
        <v>A23-RMĐ-001</v>
      </c>
      <c r="E457" s="464" t="str">
        <f>IFERROR(VLOOKUP(B457,'03. THIẾT BỊ'!$B$1:$S$836,4,0),"")</f>
        <v>ĐQSD</v>
      </c>
      <c r="F457" s="464" t="str">
        <f>IFERROR(VLOOKUP(B457,'03. THIẾT BỊ'!$B$1:$S$836,5,0),"")</f>
        <v>Rơ mooc vận chuyển M.đào 03</v>
      </c>
      <c r="G457" s="80" t="s">
        <v>6423</v>
      </c>
      <c r="H457" s="463" t="str">
        <f>IFERROR(VLOOKUP(B457,'03. THIẾT BỊ'!$B$1:$S$836,7,0),"")</f>
        <v>CGLĐ DP</v>
      </c>
      <c r="I457" s="474" t="str">
        <f>IFERROR(VLOOKUP(B457,'03. THIẾT BỊ'!$B$1:$S$836,8,0),"")</f>
        <v/>
      </c>
      <c r="J457" s="471"/>
      <c r="K457" s="463" t="str">
        <f>IFERROR(VLOOKUP(B457,'03. THIẾT BỊ'!$B$1:$S$836,10,0),"")</f>
        <v>Bình thường</v>
      </c>
      <c r="L457" s="468" t="str">
        <f>IFERROR(VLOOKUP(B457,'03. THIẾT BỊ'!$B$1:$S$836,11,0),"")</f>
        <v/>
      </c>
      <c r="M457" s="472" t="str">
        <f>IFERROR(VLOOKUP(B457,'03. THIẾT BỊ'!$B$1:$S$836,12,0),"")</f>
        <v/>
      </c>
      <c r="N457" s="468" t="str">
        <f>IFERROR(VLOOKUP(B457,'03. THIẾT BỊ'!$B$1:$S$836,13,0),"")</f>
        <v>THACO AGRI</v>
      </c>
      <c r="O457" s="470" t="str">
        <f>IFERROR(VLOOKUP(B457,'03. THIẾT BỊ'!$B$1:$S$836,14,0),"")</f>
        <v/>
      </c>
      <c r="P457" s="468" t="str">
        <f>IFERROR(VLOOKUP(B457,'03. THIẾT BỊ'!$B$1:$S$836,15,0),"")</f>
        <v/>
      </c>
      <c r="Q457" s="48" t="str">
        <f>IFERROR(VLOOKUP(B457,'03. THIẾT BỊ'!$B$1:$S$836,16,0),"")</f>
        <v/>
      </c>
      <c r="R457" s="471" t="str">
        <f>IFERROR(VLOOKUP(B457,'03. THIẾT BỊ'!$B$1:$S$836,17,0),"")</f>
        <v/>
      </c>
      <c r="S457" s="468" t="str">
        <f>IFERROR(VLOOKUP(B457,'03. THIẾT BỊ'!$B$1:$S$836,18,0),"")</f>
        <v/>
      </c>
      <c r="T457" s="812"/>
    </row>
    <row r="458" ht="15.0" customHeight="1">
      <c r="A458" s="463">
        <f t="shared" si="23"/>
        <v>7</v>
      </c>
      <c r="B458" s="464" t="s">
        <v>4329</v>
      </c>
      <c r="C458" s="869" t="str">
        <f>IFERROR(VLOOKUP(B458,'03. THIẾT BỊ'!$B$1:$S$836,2,0),"")</f>
        <v>CNN-RMĐ-001</v>
      </c>
      <c r="D458" s="470" t="str">
        <f>IFERROR(VLOOKUP(B458,'03. THIẾT BỊ'!$B$1:$S$836,3,0),"")</f>
        <v>A23-RMĐ-001</v>
      </c>
      <c r="E458" s="464" t="str">
        <f>IFERROR(VLOOKUP(B458,'03. THIẾT BỊ'!$B$1:$S$836,4,0),"")</f>
        <v>ĐQSD</v>
      </c>
      <c r="F458" s="464" t="str">
        <f>IFERROR(VLOOKUP(B458,'03. THIẾT BỊ'!$B$1:$S$836,5,0),"")</f>
        <v>Rơ mooc vận chuyển M.đào 03</v>
      </c>
      <c r="G458" s="80" t="s">
        <v>6423</v>
      </c>
      <c r="H458" s="463" t="str">
        <f>IFERROR(VLOOKUP(B458,'03. THIẾT BỊ'!$B$1:$S$836,7,0),"")</f>
        <v>XN Chuối DP3</v>
      </c>
      <c r="I458" s="474" t="str">
        <f>IFERROR(VLOOKUP(B458,'03. THIẾT BỊ'!$B$1:$S$836,8,0),"")</f>
        <v/>
      </c>
      <c r="J458" s="471"/>
      <c r="K458" s="463" t="str">
        <f>IFERROR(VLOOKUP(B458,'03. THIẾT BỊ'!$B$1:$S$836,10,0),"")</f>
        <v>Bình thường</v>
      </c>
      <c r="L458" s="468" t="str">
        <f>IFERROR(VLOOKUP(B458,'03. THIẾT BỊ'!$B$1:$S$836,11,0),"")</f>
        <v/>
      </c>
      <c r="M458" s="472" t="str">
        <f>IFERROR(VLOOKUP(B458,'03. THIẾT BỊ'!$B$1:$S$836,12,0),"")</f>
        <v/>
      </c>
      <c r="N458" s="468" t="str">
        <f>IFERROR(VLOOKUP(B458,'03. THIẾT BỊ'!$B$1:$S$836,13,0),"")</f>
        <v>THACO AGRI</v>
      </c>
      <c r="O458" s="470" t="str">
        <f>IFERROR(VLOOKUP(B458,'03. THIẾT BỊ'!$B$1:$S$836,14,0),"")</f>
        <v/>
      </c>
      <c r="P458" s="468" t="str">
        <f>IFERROR(VLOOKUP(B458,'03. THIẾT BỊ'!$B$1:$S$836,15,0),"")</f>
        <v>CK-CGH</v>
      </c>
      <c r="Q458" s="48" t="str">
        <f>IFERROR(VLOOKUP(B458,'03. THIẾT BỊ'!$B$1:$S$836,16,0),"")</f>
        <v/>
      </c>
      <c r="R458" s="471" t="str">
        <f>IFERROR(VLOOKUP(B458,'03. THIẾT BỊ'!$B$1:$S$836,17,0),"")</f>
        <v>DxRxC: 6.1x2.4x0.9m</v>
      </c>
      <c r="S458" s="468" t="str">
        <f>IFERROR(VLOOKUP(B458,'03. THIẾT BỊ'!$B$1:$S$836,18,0),"")</f>
        <v/>
      </c>
      <c r="T458" s="959"/>
    </row>
    <row r="459" ht="15.0" customHeight="1">
      <c r="A459" s="463">
        <f t="shared" si="23"/>
        <v>8</v>
      </c>
      <c r="B459" s="464" t="s">
        <v>4621</v>
      </c>
      <c r="C459" s="869" t="str">
        <f>IFERROR(VLOOKUP(B459,'03. THIẾT BỊ'!$B$1:$S$836,2,0),"")</f>
        <v>LP3-RMC-005</v>
      </c>
      <c r="D459" s="470" t="str">
        <f>IFERROR(VLOOKUP(B459,'03. THIẾT BỊ'!$B$1:$S$836,3,0),"")</f>
        <v>A24-RMĐ-001</v>
      </c>
      <c r="E459" s="464" t="str">
        <f>IFERROR(VLOOKUP(B459,'03. THIẾT BỊ'!$B$1:$S$836,4,0),"")</f>
        <v>ĐQSD</v>
      </c>
      <c r="F459" s="464" t="str">
        <f>IFERROR(VLOOKUP(B459,'03. THIẾT BỊ'!$B$1:$S$836,5,0),"")</f>
        <v>Rơ mooc vận chuyển M.Đào 03</v>
      </c>
      <c r="G459" s="80" t="s">
        <v>6423</v>
      </c>
      <c r="H459" s="463" t="str">
        <f>IFERROR(VLOOKUP(B459,'03. THIẾT BỊ'!$B$1:$S$836,7,0),"")</f>
        <v>XN Chuối LP3</v>
      </c>
      <c r="I459" s="474" t="str">
        <f>IFERROR(VLOOKUP(B459,'03. THIẾT BỊ'!$B$1:$S$836,8,0),"")</f>
        <v/>
      </c>
      <c r="J459" s="471"/>
      <c r="K459" s="463" t="str">
        <f>IFERROR(VLOOKUP(B459,'03. THIẾT BỊ'!$B$1:$S$836,10,0),"")</f>
        <v>Bình thường</v>
      </c>
      <c r="L459" s="468" t="str">
        <f>IFERROR(VLOOKUP(B459,'03. THIẾT BỊ'!$B$1:$S$836,11,0),"")</f>
        <v/>
      </c>
      <c r="M459" s="472" t="str">
        <f>IFERROR(VLOOKUP(B459,'03. THIẾT BỊ'!$B$1:$S$836,12,0),"")</f>
        <v/>
      </c>
      <c r="N459" s="468" t="str">
        <f>IFERROR(VLOOKUP(B459,'03. THIẾT BỊ'!$B$1:$S$836,13,0),"")</f>
        <v>THACO AGRI</v>
      </c>
      <c r="O459" s="470" t="str">
        <f>IFERROR(VLOOKUP(B459,'03. THIẾT BỊ'!$B$1:$S$836,14,0),"")</f>
        <v/>
      </c>
      <c r="P459" s="468" t="str">
        <f>IFERROR(VLOOKUP(B459,'03. THIẾT BỊ'!$B$1:$S$836,15,0),"")</f>
        <v>CK-CGH</v>
      </c>
      <c r="Q459" s="48" t="str">
        <f>IFERROR(VLOOKUP(B459,'03. THIẾT BỊ'!$B$1:$S$836,16,0),"")</f>
        <v/>
      </c>
      <c r="R459" s="471" t="str">
        <f>IFERROR(VLOOKUP(B459,'03. THIẾT BỊ'!$B$1:$S$836,17,0),"")</f>
        <v/>
      </c>
      <c r="S459" s="468" t="str">
        <f>IFERROR(VLOOKUP(B459,'03. THIẾT BỊ'!$B$1:$S$836,18,0),"")</f>
        <v/>
      </c>
      <c r="T459" s="812"/>
    </row>
    <row r="460" ht="15.0" customHeight="1">
      <c r="A460" s="463">
        <f t="shared" si="23"/>
        <v>9</v>
      </c>
      <c r="B460" s="464" t="s">
        <v>4471</v>
      </c>
      <c r="C460" s="869" t="str">
        <f>IFERROR(VLOOKUP(B460,'03. THIẾT BỊ'!$B$1:$S$836,2,0),"")</f>
        <v>LP4-RMC-003</v>
      </c>
      <c r="D460" s="470" t="str">
        <f>IFERROR(VLOOKUP(B460,'03. THIẾT BỊ'!$B$1:$S$836,3,0),"")</f>
        <v>A24-RMĐ-001</v>
      </c>
      <c r="E460" s="464" t="str">
        <f>IFERROR(VLOOKUP(B460,'03. THIẾT BỊ'!$B$1:$S$836,4,0),"")</f>
        <v>ĐQSD</v>
      </c>
      <c r="F460" s="464" t="str">
        <f>IFERROR(VLOOKUP(B460,'03. THIẾT BỊ'!$B$1:$S$836,5,0),"")</f>
        <v>Rơ mooc vận chuyển M.đào 03</v>
      </c>
      <c r="G460" s="80" t="s">
        <v>6423</v>
      </c>
      <c r="H460" s="463" t="str">
        <f>IFERROR(VLOOKUP(B460,'03. THIẾT BỊ'!$B$1:$S$836,7,0),"")</f>
        <v>XN Chuối LP1</v>
      </c>
      <c r="I460" s="474" t="str">
        <f>IFERROR(VLOOKUP(B460,'03. THIẾT BỊ'!$B$1:$S$836,8,0),"")</f>
        <v>28/06/2025</v>
      </c>
      <c r="J460" s="471"/>
      <c r="K460" s="463" t="str">
        <f>IFERROR(VLOOKUP(B460,'03. THIẾT BỊ'!$B$1:$S$836,10,0),"")</f>
        <v>Bình thường</v>
      </c>
      <c r="L460" s="468" t="str">
        <f>IFERROR(VLOOKUP(B460,'03. THIẾT BỊ'!$B$1:$S$836,11,0),"")</f>
        <v>Đ.chuyển từ XN LP4 ngày 28/06/2024</v>
      </c>
      <c r="M460" s="472" t="str">
        <f>IFERROR(VLOOKUP(B460,'03. THIẾT BỊ'!$B$1:$S$836,12,0),"")</f>
        <v/>
      </c>
      <c r="N460" s="468" t="str">
        <f>IFERROR(VLOOKUP(B460,'03. THIẾT BỊ'!$B$1:$S$836,13,0),"")</f>
        <v>THACO AGRI</v>
      </c>
      <c r="O460" s="470" t="str">
        <f>IFERROR(VLOOKUP(B460,'03. THIẾT BỊ'!$B$1:$S$836,14,0),"")</f>
        <v/>
      </c>
      <c r="P460" s="468" t="str">
        <f>IFERROR(VLOOKUP(B460,'03. THIẾT BỊ'!$B$1:$S$836,15,0),"")</f>
        <v>CK-CGH</v>
      </c>
      <c r="Q460" s="48" t="str">
        <f>IFERROR(VLOOKUP(B460,'03. THIẾT BỊ'!$B$1:$S$836,16,0),"")</f>
        <v/>
      </c>
      <c r="R460" s="471" t="str">
        <f>IFERROR(VLOOKUP(B460,'03. THIẾT BỊ'!$B$1:$S$836,17,0),"")</f>
        <v/>
      </c>
      <c r="S460" s="468" t="str">
        <f>IFERROR(VLOOKUP(B460,'03. THIẾT BỊ'!$B$1:$S$836,18,0),"")</f>
        <v/>
      </c>
      <c r="T460" s="812"/>
    </row>
    <row r="461" ht="15.0" customHeight="1">
      <c r="A461" s="463">
        <f t="shared" si="23"/>
        <v>10</v>
      </c>
      <c r="B461" s="464" t="s">
        <v>5110</v>
      </c>
      <c r="C461" s="869" t="str">
        <f>IFERROR(VLOOKUP(B461,'03. THIẾT BỊ'!$B$1:$S$836,2,0),"")</f>
        <v/>
      </c>
      <c r="D461" s="470" t="str">
        <f>IFERROR(VLOOKUP(B461,'03. THIẾT BỊ'!$B$1:$S$836,3,0),"")</f>
        <v>A22-RMD-001</v>
      </c>
      <c r="E461" s="464" t="str">
        <f>IFERROR(VLOOKUP(B461,'03. THIẾT BỊ'!$B$1:$S$836,4,0),"")</f>
        <v>ĐQSD</v>
      </c>
      <c r="F461" s="464" t="str">
        <f>IFERROR(VLOOKUP(B461,'03. THIẾT BỊ'!$B$1:$S$836,5,0),"")</f>
        <v>Rơ mooc vận chuyển M.đào 03</v>
      </c>
      <c r="G461" s="80" t="s">
        <v>6423</v>
      </c>
      <c r="H461" s="463" t="str">
        <f>IFERROR(VLOOKUP(B461,'03. THIẾT BỊ'!$B$1:$S$836,7,0),"")</f>
        <v>XN Bò AD</v>
      </c>
      <c r="I461" s="474" t="str">
        <f>IFERROR(VLOOKUP(B461,'03. THIẾT BỊ'!$B$1:$S$836,8,0),"")</f>
        <v/>
      </c>
      <c r="J461" s="471"/>
      <c r="K461" s="463" t="str">
        <f>IFERROR(VLOOKUP(B461,'03. THIẾT BỊ'!$B$1:$S$836,10,0),"")</f>
        <v>Bình thường</v>
      </c>
      <c r="L461" s="468" t="str">
        <f>IFERROR(VLOOKUP(B461,'03. THIẾT BỊ'!$B$1:$S$836,11,0),"")</f>
        <v/>
      </c>
      <c r="M461" s="472" t="str">
        <f>IFERROR(VLOOKUP(B461,'03. THIẾT BỊ'!$B$1:$S$836,12,0),"")</f>
        <v/>
      </c>
      <c r="N461" s="468" t="str">
        <f>IFERROR(VLOOKUP(B461,'03. THIẾT BỊ'!$B$1:$S$836,13,0),"")</f>
        <v>THACO AGRI</v>
      </c>
      <c r="O461" s="470" t="str">
        <f>IFERROR(VLOOKUP(B461,'03. THIẾT BỊ'!$B$1:$S$836,14,0),"")</f>
        <v>RM lưới ben</v>
      </c>
      <c r="P461" s="468" t="str">
        <f>IFERROR(VLOOKUP(B461,'03. THIẾT BỊ'!$B$1:$S$836,15,0),"")</f>
        <v>CK-CGH</v>
      </c>
      <c r="Q461" s="48" t="str">
        <f>IFERROR(VLOOKUP(B461,'03. THIẾT BỊ'!$B$1:$S$836,16,0),"")</f>
        <v/>
      </c>
      <c r="R461" s="471" t="str">
        <f>IFERROR(VLOOKUP(B461,'03. THIẾT BỊ'!$B$1:$S$836,17,0),"")</f>
        <v/>
      </c>
      <c r="S461" s="468" t="str">
        <f>IFERROR(VLOOKUP(B461,'03. THIẾT BỊ'!$B$1:$S$836,18,0),"")</f>
        <v/>
      </c>
      <c r="T461" s="812"/>
    </row>
    <row r="462" ht="15.0" customHeight="1">
      <c r="A462" s="463">
        <f t="shared" si="23"/>
        <v>11</v>
      </c>
      <c r="B462" s="464" t="s">
        <v>4111</v>
      </c>
      <c r="C462" s="869" t="str">
        <f>IFERROR(VLOOKUP(B462,'03. THIẾT BỊ'!$B$1:$S$836,2,0),"")</f>
        <v/>
      </c>
      <c r="D462" s="470" t="str">
        <f>IFERROR(VLOOKUP(B462,'03. THIẾT BỊ'!$B$1:$S$836,3,0),"")</f>
        <v>A23-RMĐ-001</v>
      </c>
      <c r="E462" s="464" t="str">
        <f>IFERROR(VLOOKUP(B462,'03. THIẾT BỊ'!$B$1:$S$836,4,0),"")</f>
        <v>ĐQSD</v>
      </c>
      <c r="F462" s="464" t="str">
        <f>IFERROR(VLOOKUP(B462,'03. THIẾT BỊ'!$B$1:$S$836,5,0),"")</f>
        <v>Rơ mooc vận chuyển M.đào 03</v>
      </c>
      <c r="G462" s="80" t="s">
        <v>6423</v>
      </c>
      <c r="H462" s="463" t="str">
        <f>IFERROR(VLOOKUP(B462,'03. THIẾT BỊ'!$B$1:$S$836,7,0),"")</f>
        <v>XN Chuối DP2</v>
      </c>
      <c r="I462" s="474" t="str">
        <f>IFERROR(VLOOKUP(B462,'03. THIẾT BỊ'!$B$1:$S$836,8,0),"")</f>
        <v/>
      </c>
      <c r="J462" s="471"/>
      <c r="K462" s="463" t="str">
        <f>IFERROR(VLOOKUP(B462,'03. THIẾT BỊ'!$B$1:$S$836,10,0),"")</f>
        <v>Bình thường</v>
      </c>
      <c r="L462" s="468" t="str">
        <f>IFERROR(VLOOKUP(B462,'03. THIẾT BỊ'!$B$1:$S$836,11,0),"")</f>
        <v/>
      </c>
      <c r="M462" s="472" t="str">
        <f>IFERROR(VLOOKUP(B462,'03. THIẾT BỊ'!$B$1:$S$836,12,0),"")</f>
        <v/>
      </c>
      <c r="N462" s="468" t="str">
        <f>IFERROR(VLOOKUP(B462,'03. THIẾT BỊ'!$B$1:$S$836,13,0),"")</f>
        <v>THACO AGRI</v>
      </c>
      <c r="O462" s="470" t="str">
        <f>IFERROR(VLOOKUP(B462,'03. THIẾT BỊ'!$B$1:$S$836,14,0),"")</f>
        <v/>
      </c>
      <c r="P462" s="468" t="str">
        <f>IFERROR(VLOOKUP(B462,'03. THIẾT BỊ'!$B$1:$S$836,15,0),"")</f>
        <v>CK-CGH</v>
      </c>
      <c r="Q462" s="48" t="str">
        <f>IFERROR(VLOOKUP(B462,'03. THIẾT BỊ'!$B$1:$S$836,16,0),"")</f>
        <v/>
      </c>
      <c r="R462" s="471" t="str">
        <f>IFERROR(VLOOKUP(B462,'03. THIẾT BỊ'!$B$1:$S$836,17,0),"")</f>
        <v/>
      </c>
      <c r="S462" s="468" t="str">
        <f>IFERROR(VLOOKUP(B462,'03. THIẾT BỊ'!$B$1:$S$836,18,0),"")</f>
        <v/>
      </c>
      <c r="T462" s="1495"/>
    </row>
    <row r="463" ht="15.0" customHeight="1">
      <c r="A463" s="463">
        <f t="shared" si="23"/>
        <v>12</v>
      </c>
      <c r="B463" s="464" t="s">
        <v>4465</v>
      </c>
      <c r="C463" s="869" t="str">
        <f>IFERROR(VLOOKUP(B463,'03. THIẾT BỊ'!$B$1:$S$836,2,0),"")</f>
        <v>XA2-RMX-001</v>
      </c>
      <c r="D463" s="470" t="str">
        <f>IFERROR(VLOOKUP(B463,'03. THIẾT BỊ'!$B$1:$S$836,3,0),"")</f>
        <v>A22-RMX-001</v>
      </c>
      <c r="E463" s="464" t="str">
        <f>IFERROR(VLOOKUP(B463,'03. THIẾT BỊ'!$B$1:$S$836,4,0),"")</f>
        <v>ĐQSD</v>
      </c>
      <c r="F463" s="464" t="str">
        <f>IFERROR(VLOOKUP(B463,'03. THIẾT BỊ'!$B$1:$S$836,5,0),"")</f>
        <v>Rơ mooc chở xốp</v>
      </c>
      <c r="G463" s="80" t="s">
        <v>6423</v>
      </c>
      <c r="H463" s="463" t="str">
        <f>IFERROR(VLOOKUP(B463,'03. THIẾT BỊ'!$B$1:$S$836,7,0),"")</f>
        <v>XN Chuối LP1</v>
      </c>
      <c r="I463" s="474" t="str">
        <f>IFERROR(VLOOKUP(B463,'03. THIẾT BỊ'!$B$1:$S$836,8,0),"")</f>
        <v>22/02/2025</v>
      </c>
      <c r="J463" s="471"/>
      <c r="K463" s="463" t="str">
        <f>IFERROR(VLOOKUP(B463,'03. THIẾT BỊ'!$B$1:$S$836,10,0),"")</f>
        <v>Bình thường</v>
      </c>
      <c r="L463" s="468" t="str">
        <f>IFERROR(VLOOKUP(B463,'03. THIẾT BỊ'!$B$1:$S$836,11,0),"")</f>
        <v>Đ.chuyển từ XN AD ngày 22/02/2025</v>
      </c>
      <c r="M463" s="472" t="str">
        <f>IFERROR(VLOOKUP(B463,'03. THIẾT BỊ'!$B$1:$S$836,12,0),"")</f>
        <v/>
      </c>
      <c r="N463" s="468" t="str">
        <f>IFERROR(VLOOKUP(B463,'03. THIẾT BỊ'!$B$1:$S$836,13,0),"")</f>
        <v>THACO AGRI</v>
      </c>
      <c r="O463" s="470" t="str">
        <f>IFERROR(VLOOKUP(B463,'03. THIẾT BỊ'!$B$1:$S$836,14,0),"")</f>
        <v/>
      </c>
      <c r="P463" s="468" t="str">
        <f>IFERROR(VLOOKUP(B463,'03. THIẾT BỊ'!$B$1:$S$836,15,0),"")</f>
        <v>CK-CGH</v>
      </c>
      <c r="Q463" s="48" t="str">
        <f>IFERROR(VLOOKUP(B463,'03. THIẾT BỊ'!$B$1:$S$836,16,0),"")</f>
        <v/>
      </c>
      <c r="R463" s="471" t="str">
        <f>IFERROR(VLOOKUP(B463,'03. THIẾT BỊ'!$B$1:$S$836,17,0),"")</f>
        <v/>
      </c>
      <c r="S463" s="468" t="str">
        <f>IFERROR(VLOOKUP(B463,'03. THIẾT BỊ'!$B$1:$S$836,18,0),"")</f>
        <v/>
      </c>
      <c r="T463" s="812"/>
    </row>
    <row r="464" ht="15.0" customHeight="1">
      <c r="A464" s="463">
        <f t="shared" si="23"/>
        <v>13</v>
      </c>
      <c r="B464" s="464" t="s">
        <v>4869</v>
      </c>
      <c r="C464" s="869" t="str">
        <f>IFERROR(VLOOKUP(B464,'03. THIẾT BỊ'!$B$1:$S$836,2,0),"")</f>
        <v>RMC02</v>
      </c>
      <c r="D464" s="470" t="str">
        <f>IFERROR(VLOOKUP(B464,'03. THIẾT BỊ'!$B$1:$S$836,3,0),"")</f>
        <v>A22-RNB-001</v>
      </c>
      <c r="E464" s="464" t="str">
        <f>IFERROR(VLOOKUP(B464,'03. THIẾT BỊ'!$B$1:$S$836,4,0),"")</f>
        <v>ĐQSD</v>
      </c>
      <c r="F464" s="464" t="str">
        <f>IFERROR(VLOOKUP(B464,'03. THIẾT BỊ'!$B$1:$S$836,5,0),"")</f>
        <v>Rơ mooc chở bồn phun thuốc</v>
      </c>
      <c r="G464" s="80" t="s">
        <v>6423</v>
      </c>
      <c r="H464" s="463" t="str">
        <f>IFERROR(VLOOKUP(B464,'03. THIẾT BỊ'!$B$1:$S$836,7,0),"")</f>
        <v>Xoài AD</v>
      </c>
      <c r="I464" s="474" t="str">
        <f>IFERROR(VLOOKUP(B464,'03. THIẾT BỊ'!$B$1:$S$836,8,0),"")</f>
        <v/>
      </c>
      <c r="J464" s="471"/>
      <c r="K464" s="463" t="str">
        <f>IFERROR(VLOOKUP(B464,'03. THIẾT BỊ'!$B$1:$S$836,10,0),"")</f>
        <v>Bình thường</v>
      </c>
      <c r="L464" s="468" t="str">
        <f>IFERROR(VLOOKUP(B464,'03. THIẾT BỊ'!$B$1:$S$836,11,0),"")</f>
        <v/>
      </c>
      <c r="M464" s="472" t="str">
        <f>IFERROR(VLOOKUP(B464,'03. THIẾT BỊ'!$B$1:$S$836,12,0),"")</f>
        <v/>
      </c>
      <c r="N464" s="468" t="str">
        <f>IFERROR(VLOOKUP(B464,'03. THIẾT BỊ'!$B$1:$S$836,13,0),"")</f>
        <v>THACO AGRI</v>
      </c>
      <c r="O464" s="470" t="str">
        <f>IFERROR(VLOOKUP(B464,'03. THIẾT BỊ'!$B$1:$S$836,14,0),"")</f>
        <v/>
      </c>
      <c r="P464" s="468" t="str">
        <f>IFERROR(VLOOKUP(B464,'03. THIẾT BỊ'!$B$1:$S$836,15,0),"")</f>
        <v>CK-CGH</v>
      </c>
      <c r="Q464" s="48" t="str">
        <f>IFERROR(VLOOKUP(B464,'03. THIẾT BỊ'!$B$1:$S$836,16,0),"")</f>
        <v/>
      </c>
      <c r="R464" s="471" t="str">
        <f>IFERROR(VLOOKUP(B464,'03. THIẾT BỊ'!$B$1:$S$836,17,0),"")</f>
        <v/>
      </c>
      <c r="S464" s="468" t="str">
        <f>IFERROR(VLOOKUP(B464,'03. THIẾT BỊ'!$B$1:$S$836,18,0),"")</f>
        <v/>
      </c>
      <c r="T464" s="959"/>
    </row>
    <row r="465" ht="15.0" customHeight="1">
      <c r="A465" s="463">
        <f t="shared" si="23"/>
        <v>14</v>
      </c>
      <c r="B465" s="464" t="s">
        <v>4873</v>
      </c>
      <c r="C465" s="869" t="str">
        <f>IFERROR(VLOOKUP(B465,'03. THIẾT BỊ'!$B$1:$S$836,2,0),"")</f>
        <v>RMC03</v>
      </c>
      <c r="D465" s="470" t="str">
        <f>IFERROR(VLOOKUP(B465,'03. THIẾT BỊ'!$B$1:$S$836,3,0),"")</f>
        <v>A22-RNB-002</v>
      </c>
      <c r="E465" s="464" t="str">
        <f>IFERROR(VLOOKUP(B465,'03. THIẾT BỊ'!$B$1:$S$836,4,0),"")</f>
        <v>ĐQSD</v>
      </c>
      <c r="F465" s="464" t="str">
        <f>IFERROR(VLOOKUP(B465,'03. THIẾT BỊ'!$B$1:$S$836,5,0),"")</f>
        <v>Rơ mooc chở bồn phun thuốc</v>
      </c>
      <c r="G465" s="80" t="s">
        <v>6423</v>
      </c>
      <c r="H465" s="463" t="str">
        <f>IFERROR(VLOOKUP(B465,'03. THIẾT BỊ'!$B$1:$S$836,7,0),"")</f>
        <v>Xoài AD</v>
      </c>
      <c r="I465" s="474" t="str">
        <f>IFERROR(VLOOKUP(B465,'03. THIẾT BỊ'!$B$1:$S$836,8,0),"")</f>
        <v/>
      </c>
      <c r="J465" s="471"/>
      <c r="K465" s="463" t="str">
        <f>IFERROR(VLOOKUP(B465,'03. THIẾT BỊ'!$B$1:$S$836,10,0),"")</f>
        <v>Bình thường</v>
      </c>
      <c r="L465" s="468" t="str">
        <f>IFERROR(VLOOKUP(B465,'03. THIẾT BỊ'!$B$1:$S$836,11,0),"")</f>
        <v/>
      </c>
      <c r="M465" s="472" t="str">
        <f>IFERROR(VLOOKUP(B465,'03. THIẾT BỊ'!$B$1:$S$836,12,0),"")</f>
        <v/>
      </c>
      <c r="N465" s="468" t="str">
        <f>IFERROR(VLOOKUP(B465,'03. THIẾT BỊ'!$B$1:$S$836,13,0),"")</f>
        <v>THACO AGRI</v>
      </c>
      <c r="O465" s="470" t="str">
        <f>IFERROR(VLOOKUP(B465,'03. THIẾT BỊ'!$B$1:$S$836,14,0),"")</f>
        <v/>
      </c>
      <c r="P465" s="468" t="str">
        <f>IFERROR(VLOOKUP(B465,'03. THIẾT BỊ'!$B$1:$S$836,15,0),"")</f>
        <v>CK-CGH</v>
      </c>
      <c r="Q465" s="48" t="str">
        <f>IFERROR(VLOOKUP(B465,'03. THIẾT BỊ'!$B$1:$S$836,16,0),"")</f>
        <v/>
      </c>
      <c r="R465" s="471" t="str">
        <f>IFERROR(VLOOKUP(B465,'03. THIẾT BỊ'!$B$1:$S$836,17,0),"")</f>
        <v/>
      </c>
      <c r="S465" s="468" t="str">
        <f>IFERROR(VLOOKUP(B465,'03. THIẾT BỊ'!$B$1:$S$836,18,0),"")</f>
        <v/>
      </c>
      <c r="T465" s="959"/>
    </row>
    <row r="466" ht="15.0" customHeight="1">
      <c r="A466" s="463">
        <f t="shared" si="23"/>
        <v>15</v>
      </c>
      <c r="B466" s="464" t="s">
        <v>4876</v>
      </c>
      <c r="C466" s="869" t="str">
        <f>IFERROR(VLOOKUP(B466,'03. THIẾT BỊ'!$B$1:$S$836,2,0),"")</f>
        <v/>
      </c>
      <c r="D466" s="470" t="str">
        <f>IFERROR(VLOOKUP(B466,'03. THIẾT BỊ'!$B$1:$S$836,3,0),"")</f>
        <v>A22-RNB-003</v>
      </c>
      <c r="E466" s="464" t="str">
        <f>IFERROR(VLOOKUP(B466,'03. THIẾT BỊ'!$B$1:$S$836,4,0),"")</f>
        <v>ĐQSD</v>
      </c>
      <c r="F466" s="464" t="str">
        <f>IFERROR(VLOOKUP(B466,'03. THIẾT BỊ'!$B$1:$S$836,5,0),"")</f>
        <v>Rơ mooc chở bồn phun thuốc</v>
      </c>
      <c r="G466" s="80" t="s">
        <v>6423</v>
      </c>
      <c r="H466" s="463" t="str">
        <f>IFERROR(VLOOKUP(B466,'03. THIẾT BỊ'!$B$1:$S$836,7,0),"")</f>
        <v>Xoài AD</v>
      </c>
      <c r="I466" s="474">
        <f>IFERROR(VLOOKUP(B466,'03. THIẾT BỊ'!$B$1:$S$836,8,0),"")</f>
        <v>45636</v>
      </c>
      <c r="J466" s="471"/>
      <c r="K466" s="463" t="str">
        <f>IFERROR(VLOOKUP(B466,'03. THIẾT BỊ'!$B$1:$S$836,10,0),"")</f>
        <v>Bình thường</v>
      </c>
      <c r="L466" s="468" t="str">
        <f>IFERROR(VLOOKUP(B466,'03. THIẾT BỊ'!$B$1:$S$836,11,0),"")</f>
        <v/>
      </c>
      <c r="M466" s="472" t="str">
        <f>IFERROR(VLOOKUP(B466,'03. THIẾT BỊ'!$B$1:$S$836,12,0),"")</f>
        <v/>
      </c>
      <c r="N466" s="468" t="str">
        <f>IFERROR(VLOOKUP(B466,'03. THIẾT BỊ'!$B$1:$S$836,13,0),"")</f>
        <v>THACO AGRI</v>
      </c>
      <c r="O466" s="470" t="str">
        <f>IFERROR(VLOOKUP(B466,'03. THIẾT BỊ'!$B$1:$S$836,14,0),"")</f>
        <v/>
      </c>
      <c r="P466" s="468" t="str">
        <f>IFERROR(VLOOKUP(B466,'03. THIẾT BỊ'!$B$1:$S$836,15,0),"")</f>
        <v>CK-CGH</v>
      </c>
      <c r="Q466" s="48">
        <f>IFERROR(VLOOKUP(B466,'03. THIẾT BỊ'!$B$1:$S$836,16,0),"")</f>
        <v>2024</v>
      </c>
      <c r="R466" s="471" t="str">
        <f>IFERROR(VLOOKUP(B466,'03. THIẾT BỊ'!$B$1:$S$836,17,0),"")</f>
        <v>3x2.1x2.1m</v>
      </c>
      <c r="S466" s="468" t="str">
        <f>IFERROR(VLOOKUP(B466,'03. THIẾT BỊ'!$B$1:$S$836,18,0),"")</f>
        <v>Kèm bồn 2000L</v>
      </c>
      <c r="T466" s="959"/>
    </row>
    <row r="467" ht="15.0" customHeight="1">
      <c r="A467" s="463">
        <f t="shared" si="23"/>
        <v>16</v>
      </c>
      <c r="B467" s="584" t="s">
        <v>4880</v>
      </c>
      <c r="C467" s="869" t="str">
        <f>IFERROR(VLOOKUP(B467,'03. THIẾT BỊ'!$B$1:$S$836,2,0),"")</f>
        <v/>
      </c>
      <c r="D467" s="470" t="str">
        <f>IFERROR(VLOOKUP(B467,'03. THIẾT BỊ'!$B$1:$S$836,3,0),"")</f>
        <v>A22-RNB-004</v>
      </c>
      <c r="E467" s="464" t="str">
        <f>IFERROR(VLOOKUP(B467,'03. THIẾT BỊ'!$B$1:$S$836,4,0),"")</f>
        <v>ĐQSD</v>
      </c>
      <c r="F467" s="464" t="str">
        <f>IFERROR(VLOOKUP(B467,'03. THIẾT BỊ'!$B$1:$S$836,5,0),"")</f>
        <v>Rơ mooc chở bồn phun thuốc</v>
      </c>
      <c r="G467" s="80" t="s">
        <v>6423</v>
      </c>
      <c r="H467" s="463" t="str">
        <f>IFERROR(VLOOKUP(B467,'03. THIẾT BỊ'!$B$1:$S$836,7,0),"")</f>
        <v>Xoài AD</v>
      </c>
      <c r="I467" s="474" t="str">
        <f>IFERROR(VLOOKUP(B467,'03. THIẾT BỊ'!$B$1:$S$836,8,0),"")</f>
        <v>25/12/2024</v>
      </c>
      <c r="J467" s="471"/>
      <c r="K467" s="463" t="str">
        <f>IFERROR(VLOOKUP(B467,'03. THIẾT BỊ'!$B$1:$S$836,10,0),"")</f>
        <v>Bình thường</v>
      </c>
      <c r="L467" s="468" t="str">
        <f>IFERROR(VLOOKUP(B467,'03. THIẾT BỊ'!$B$1:$S$836,11,0),"")</f>
        <v/>
      </c>
      <c r="M467" s="472" t="str">
        <f>IFERROR(VLOOKUP(B467,'03. THIẾT BỊ'!$B$1:$S$836,12,0),"")</f>
        <v/>
      </c>
      <c r="N467" s="468" t="str">
        <f>IFERROR(VLOOKUP(B467,'03. THIẾT BỊ'!$B$1:$S$836,13,0),"")</f>
        <v>THACO AGRI</v>
      </c>
      <c r="O467" s="470" t="str">
        <f>IFERROR(VLOOKUP(B467,'03. THIẾT BỊ'!$B$1:$S$836,14,0),"")</f>
        <v/>
      </c>
      <c r="P467" s="468" t="str">
        <f>IFERROR(VLOOKUP(B467,'03. THIẾT BỊ'!$B$1:$S$836,15,0),"")</f>
        <v>CK-CGH</v>
      </c>
      <c r="Q467" s="48">
        <f>IFERROR(VLOOKUP(B467,'03. THIẾT BỊ'!$B$1:$S$836,16,0),"")</f>
        <v>2024</v>
      </c>
      <c r="R467" s="471" t="str">
        <f>IFERROR(VLOOKUP(B467,'03. THIẾT BỊ'!$B$1:$S$836,17,0),"")</f>
        <v>3.2X2.2X2.3m</v>
      </c>
      <c r="S467" s="468" t="str">
        <f>IFERROR(VLOOKUP(B467,'03. THIẾT BỊ'!$B$1:$S$836,18,0),"")</f>
        <v/>
      </c>
      <c r="T467" s="959"/>
    </row>
    <row r="468" ht="15.0" customHeight="1">
      <c r="A468" s="463">
        <f t="shared" si="23"/>
        <v>17</v>
      </c>
      <c r="B468" s="464" t="s">
        <v>4924</v>
      </c>
      <c r="C468" s="869" t="str">
        <f>IFERROR(VLOOKUP(B468,'03. THIẾT BỊ'!$B$1:$S$836,2,0),"")</f>
        <v/>
      </c>
      <c r="D468" s="470" t="str">
        <f>IFERROR(VLOOKUP(B468,'03. THIẾT BỊ'!$B$1:$S$836,3,0),"")</f>
        <v>A22-CPP-001</v>
      </c>
      <c r="E468" s="464" t="str">
        <f>IFERROR(VLOOKUP(B468,'03. THIẾT BỊ'!$B$1:$S$836,4,0),"")</f>
        <v>ĐQSD</v>
      </c>
      <c r="F468" s="464" t="str">
        <f>IFERROR(VLOOKUP(B468,'03. THIẾT BỊ'!$B$1:$S$836,5,0),"")</f>
        <v>TB chở phụ phẩm</v>
      </c>
      <c r="G468" s="80" t="s">
        <v>6423</v>
      </c>
      <c r="H468" s="463" t="str">
        <f>IFERROR(VLOOKUP(B468,'03. THIẾT BỊ'!$B$1:$S$836,7,0),"")</f>
        <v>Xoài AD</v>
      </c>
      <c r="I468" s="474" t="str">
        <f>IFERROR(VLOOKUP(B468,'03. THIẾT BỊ'!$B$1:$S$836,8,0),"")</f>
        <v>25/09/2024</v>
      </c>
      <c r="J468" s="471"/>
      <c r="K468" s="463" t="str">
        <f>IFERROR(VLOOKUP(B468,'03. THIẾT BỊ'!$B$1:$S$836,10,0),"")</f>
        <v>Bình thường</v>
      </c>
      <c r="L468" s="468" t="str">
        <f>IFERROR(VLOOKUP(B468,'03. THIẾT BỊ'!$B$1:$S$836,11,0),"")</f>
        <v/>
      </c>
      <c r="M468" s="472" t="str">
        <f>IFERROR(VLOOKUP(B468,'03. THIẾT BỊ'!$B$1:$S$836,12,0),"")</f>
        <v>Gia công mới</v>
      </c>
      <c r="N468" s="468" t="str">
        <f>IFERROR(VLOOKUP(B468,'03. THIẾT BỊ'!$B$1:$S$836,13,0),"")</f>
        <v>THACO AGRI</v>
      </c>
      <c r="O468" s="470" t="str">
        <f>IFERROR(VLOOKUP(B468,'03. THIẾT BỊ'!$B$1:$S$836,14,0),"")</f>
        <v>CGH</v>
      </c>
      <c r="P468" s="468" t="str">
        <f>IFERROR(VLOOKUP(B468,'03. THIẾT BỊ'!$B$1:$S$836,15,0),"")</f>
        <v>CK-CGH</v>
      </c>
      <c r="Q468" s="48">
        <f>IFERROR(VLOOKUP(B468,'03. THIẾT BỊ'!$B$1:$S$836,16,0),"")</f>
        <v>2024</v>
      </c>
      <c r="R468" s="471" t="str">
        <f>IFERROR(VLOOKUP(B468,'03. THIẾT BỊ'!$B$1:$S$836,17,0),"")</f>
        <v>2.3x0.65x1.05 (DxRxC)</v>
      </c>
      <c r="S468" s="468" t="str">
        <f>IFERROR(VLOOKUP(B468,'03. THIẾT BỊ'!$B$1:$S$836,18,0),"")</f>
        <v/>
      </c>
      <c r="T468" s="959"/>
    </row>
    <row r="469">
      <c r="C469" s="869" t="str">
        <f>IFERROR(VLOOKUP(B469,'03. THIẾT BỊ'!$B$1:$S$836,2,0),"")</f>
        <v/>
      </c>
      <c r="D469" s="470" t="str">
        <f>IFERROR(VLOOKUP(B469,'03. THIẾT BỊ'!$B$1:$S$836,3,0),"")</f>
        <v/>
      </c>
      <c r="E469" s="464" t="str">
        <f>IFERROR(VLOOKUP(B469,'03. THIẾT BỊ'!$B$1:$S$836,4,0),"")</f>
        <v/>
      </c>
      <c r="F469" s="464" t="str">
        <f>IFERROR(VLOOKUP(B469,'03. THIẾT BỊ'!$B$1:$S$836,5,0),"")</f>
        <v/>
      </c>
      <c r="G469" s="80" t="s">
        <v>6423</v>
      </c>
      <c r="H469" s="463" t="str">
        <f>IFERROR(VLOOKUP(B469,'03. THIẾT BỊ'!$B$1:$S$836,7,0),"")</f>
        <v/>
      </c>
      <c r="I469" s="474" t="str">
        <f>IFERROR(VLOOKUP(B469,'03. THIẾT BỊ'!$B$1:$S$836,8,0),"")</f>
        <v/>
      </c>
      <c r="J469" s="471"/>
      <c r="K469" s="463" t="str">
        <f>IFERROR(VLOOKUP(B469,'03. THIẾT BỊ'!$B$1:$S$836,10,0),"")</f>
        <v/>
      </c>
      <c r="L469" s="468" t="str">
        <f>IFERROR(VLOOKUP(B469,'03. THIẾT BỊ'!$B$1:$S$836,11,0),"")</f>
        <v/>
      </c>
      <c r="M469" s="472" t="str">
        <f>IFERROR(VLOOKUP(B469,'03. THIẾT BỊ'!$B$1:$S$836,12,0),"")</f>
        <v/>
      </c>
      <c r="N469" s="468" t="str">
        <f>IFERROR(VLOOKUP(B469,'03. THIẾT BỊ'!$B$1:$S$836,13,0),"")</f>
        <v/>
      </c>
      <c r="O469" s="470" t="str">
        <f>IFERROR(VLOOKUP(B469,'03. THIẾT BỊ'!$B$1:$S$836,14,0),"")</f>
        <v/>
      </c>
      <c r="P469" s="468" t="str">
        <f>IFERROR(VLOOKUP(B469,'03. THIẾT BỊ'!$B$1:$S$836,15,0),"")</f>
        <v/>
      </c>
      <c r="Q469" s="48" t="str">
        <f>IFERROR(VLOOKUP(B469,'03. THIẾT BỊ'!$B$1:$S$836,16,0),"")</f>
        <v/>
      </c>
      <c r="R469" s="471" t="str">
        <f>IFERROR(VLOOKUP(B469,'03. THIẾT BỊ'!$B$1:$S$836,17,0),"")</f>
        <v/>
      </c>
      <c r="S469" s="468" t="str">
        <f>IFERROR(VLOOKUP(B469,'03. THIẾT BỊ'!$B$1:$S$836,18,0),"")</f>
        <v/>
      </c>
    </row>
    <row r="470" hidden="1">
      <c r="C470" s="869" t="str">
        <f>IFERROR(VLOOKUP(B470,'03. THIẾT BỊ'!$B$1:$S$836,2,0),"")</f>
        <v/>
      </c>
      <c r="D470" s="470" t="str">
        <f>IFERROR(VLOOKUP(B470,'03. THIẾT BỊ'!$B$1:$S$836,3,0),"")</f>
        <v/>
      </c>
      <c r="E470" s="464" t="str">
        <f>IFERROR(VLOOKUP(B470,'03. THIẾT BỊ'!$B$1:$S$836,4,0),"")</f>
        <v/>
      </c>
      <c r="F470" s="464" t="str">
        <f>IFERROR(VLOOKUP(B470,'03. THIẾT BỊ'!$B$1:$S$836,5,0),"")</f>
        <v/>
      </c>
      <c r="G470" s="80" t="s">
        <v>6423</v>
      </c>
      <c r="H470" s="463" t="str">
        <f>IFERROR(VLOOKUP(B470,'03. THIẾT BỊ'!$B$1:$S$836,7,0),"")</f>
        <v/>
      </c>
      <c r="I470" s="474" t="str">
        <f>IFERROR(VLOOKUP(B470,'03. THIẾT BỊ'!$B$1:$S$836,8,0),"")</f>
        <v/>
      </c>
      <c r="J470" s="471"/>
      <c r="K470" s="463" t="str">
        <f>IFERROR(VLOOKUP(B470,'03. THIẾT BỊ'!$B$1:$S$836,10,0),"")</f>
        <v/>
      </c>
      <c r="L470" s="468" t="str">
        <f>IFERROR(VLOOKUP(B470,'03. THIẾT BỊ'!$B$1:$S$836,11,0),"")</f>
        <v/>
      </c>
      <c r="M470" s="472" t="str">
        <f>IFERROR(VLOOKUP(B470,'03. THIẾT BỊ'!$B$1:$S$836,12,0),"")</f>
        <v/>
      </c>
      <c r="N470" s="468" t="str">
        <f>IFERROR(VLOOKUP(B470,'03. THIẾT BỊ'!$B$1:$S$836,13,0),"")</f>
        <v/>
      </c>
      <c r="O470" s="470" t="str">
        <f>IFERROR(VLOOKUP(B470,'03. THIẾT BỊ'!$B$1:$S$836,14,0),"")</f>
        <v/>
      </c>
      <c r="P470" s="468" t="str">
        <f>IFERROR(VLOOKUP(B470,'03. THIẾT BỊ'!$B$1:$S$836,15,0),"")</f>
        <v/>
      </c>
      <c r="Q470" s="48" t="str">
        <f>IFERROR(VLOOKUP(B470,'03. THIẾT BỊ'!$B$1:$S$836,16,0),"")</f>
        <v/>
      </c>
      <c r="R470" s="471" t="str">
        <f>IFERROR(VLOOKUP(B470,'03. THIẾT BỊ'!$B$1:$S$836,17,0),"")</f>
        <v/>
      </c>
      <c r="S470" s="468" t="str">
        <f>IFERROR(VLOOKUP(B470,'03. THIẾT BỊ'!$B$1:$S$836,18,0),"")</f>
        <v/>
      </c>
    </row>
    <row r="471" hidden="1">
      <c r="C471" s="869" t="str">
        <f>IFERROR(VLOOKUP(B471,'03. THIẾT BỊ'!$B$1:$S$836,2,0),"")</f>
        <v/>
      </c>
      <c r="D471" s="470" t="str">
        <f>IFERROR(VLOOKUP(B471,'03. THIẾT BỊ'!$B$1:$S$836,3,0),"")</f>
        <v/>
      </c>
      <c r="E471" s="464" t="str">
        <f>IFERROR(VLOOKUP(B471,'03. THIẾT BỊ'!$B$1:$S$836,4,0),"")</f>
        <v/>
      </c>
      <c r="F471" s="464" t="str">
        <f>IFERROR(VLOOKUP(B471,'03. THIẾT BỊ'!$B$1:$S$836,5,0),"")</f>
        <v/>
      </c>
      <c r="G471" s="80" t="s">
        <v>6423</v>
      </c>
      <c r="H471" s="463" t="str">
        <f>IFERROR(VLOOKUP(B471,'03. THIẾT BỊ'!$B$1:$S$836,7,0),"")</f>
        <v/>
      </c>
      <c r="I471" s="474" t="str">
        <f>IFERROR(VLOOKUP(B471,'03. THIẾT BỊ'!$B$1:$S$836,8,0),"")</f>
        <v/>
      </c>
      <c r="J471" s="471"/>
      <c r="K471" s="463" t="str">
        <f>IFERROR(VLOOKUP(B471,'03. THIẾT BỊ'!$B$1:$S$836,10,0),"")</f>
        <v/>
      </c>
      <c r="L471" s="468" t="str">
        <f>IFERROR(VLOOKUP(B471,'03. THIẾT BỊ'!$B$1:$S$836,11,0),"")</f>
        <v/>
      </c>
      <c r="M471" s="472" t="str">
        <f>IFERROR(VLOOKUP(B471,'03. THIẾT BỊ'!$B$1:$S$836,12,0),"")</f>
        <v/>
      </c>
      <c r="N471" s="468" t="str">
        <f>IFERROR(VLOOKUP(B471,'03. THIẾT BỊ'!$B$1:$S$836,13,0),"")</f>
        <v/>
      </c>
      <c r="O471" s="470" t="str">
        <f>IFERROR(VLOOKUP(B471,'03. THIẾT BỊ'!$B$1:$S$836,14,0),"")</f>
        <v/>
      </c>
      <c r="P471" s="468" t="str">
        <f>IFERROR(VLOOKUP(B471,'03. THIẾT BỊ'!$B$1:$S$836,15,0),"")</f>
        <v/>
      </c>
      <c r="Q471" s="48" t="str">
        <f>IFERROR(VLOOKUP(B471,'03. THIẾT BỊ'!$B$1:$S$836,16,0),"")</f>
        <v/>
      </c>
      <c r="R471" s="471" t="str">
        <f>IFERROR(VLOOKUP(B471,'03. THIẾT BỊ'!$B$1:$S$836,17,0),"")</f>
        <v/>
      </c>
      <c r="S471" s="468" t="str">
        <f>IFERROR(VLOOKUP(B471,'03. THIẾT BỊ'!$B$1:$S$836,18,0),"")</f>
        <v/>
      </c>
    </row>
    <row r="472" ht="15.0" customHeight="1">
      <c r="A472" s="455" t="s">
        <v>76</v>
      </c>
      <c r="B472" s="456" t="s">
        <v>8707</v>
      </c>
      <c r="C472" s="457">
        <f>COUNTA(B473:B512)</f>
        <v>39</v>
      </c>
      <c r="D472" s="458" t="str">
        <f>IFERROR(VLOOKUP(B472,'03. THIẾT BỊ'!$B$1:$S$836,3,0),"")</f>
        <v/>
      </c>
      <c r="E472" s="464" t="str">
        <f>IFERROR(VLOOKUP(B472,'03. THIẾT BỊ'!$B$1:$S$836,4,0),"")</f>
        <v/>
      </c>
      <c r="F472" s="458" t="str">
        <f>IFERROR(VLOOKUP(B472,'03. THIẾT BỊ'!$B$1:$S$836,5,0),"")</f>
        <v/>
      </c>
      <c r="G472" s="459" t="s">
        <v>6423</v>
      </c>
      <c r="H472" s="459" t="str">
        <f>IFERROR(VLOOKUP(B472,'03. THIẾT BỊ'!$B$1:$S$836,7,0),"")</f>
        <v/>
      </c>
      <c r="I472" s="457" t="str">
        <f>IFERROR(VLOOKUP(B472,'03. THIẾT BỊ'!$B$1:$S$836,8,0),"")</f>
        <v/>
      </c>
      <c r="J472" s="460"/>
      <c r="K472" s="457" t="str">
        <f>IFERROR(VLOOKUP(B472,'03. THIẾT BỊ'!$B$1:$S$836,10,0),"")</f>
        <v/>
      </c>
      <c r="L472" s="458" t="str">
        <f>IFERROR(VLOOKUP(B472,'03. THIẾT BỊ'!$B$1:$S$836,11,0),"")</f>
        <v/>
      </c>
      <c r="M472" s="461" t="str">
        <f>IFERROR(VLOOKUP(B472,'03. THIẾT BỊ'!$B$1:$S$836,12,0),"")</f>
        <v/>
      </c>
      <c r="N472" s="458" t="str">
        <f>IFERROR(VLOOKUP(B472,'03. THIẾT BỊ'!$B$1:$S$836,13,0),"")</f>
        <v/>
      </c>
      <c r="O472" s="461" t="str">
        <f>IFERROR(VLOOKUP(B472,'03. THIẾT BỊ'!$B$1:$S$836,14,0),"")</f>
        <v/>
      </c>
      <c r="P472" s="458" t="str">
        <f>IFERROR(VLOOKUP(B472,'03. THIẾT BỊ'!$B$1:$S$836,15,0),"")</f>
        <v/>
      </c>
      <c r="Q472" s="459" t="str">
        <f>IFERROR(VLOOKUP(B472,'03. THIẾT BỊ'!$B$1:$S$836,16,0),"")</f>
        <v/>
      </c>
      <c r="R472" s="458" t="str">
        <f>IFERROR(VLOOKUP(B472,'03. THIẾT BỊ'!$B$1:$S$836,17,0),"")</f>
        <v/>
      </c>
      <c r="S472" s="458" t="str">
        <f>IFERROR(VLOOKUP(B472,'03. THIẾT BỊ'!$B$1:$S$836,18,0),"")</f>
        <v/>
      </c>
      <c r="T472" s="866"/>
    </row>
    <row r="473" ht="15.0" customHeight="1">
      <c r="A473" s="463">
        <v>1.0</v>
      </c>
      <c r="B473" s="464" t="s">
        <v>3922</v>
      </c>
      <c r="C473" s="869" t="str">
        <f>IFERROR(VLOOKUP(B473,'03. THIẾT BỊ'!$B$1:$S$836,2,0),"")</f>
        <v>CK-MXM-01</v>
      </c>
      <c r="D473" s="470" t="str">
        <f>IFERROR(VLOOKUP(B473,'03. THIẾT BỊ'!$B$1:$S$836,3,0),"")</f>
        <v>A23-MXM-001</v>
      </c>
      <c r="E473" s="464" t="str">
        <f>IFERROR(VLOOKUP(B473,'03. THIẾT BỊ'!$B$1:$S$836,4,0),"")</f>
        <v>ĐQSD</v>
      </c>
      <c r="F473" s="464" t="str">
        <f>IFERROR(VLOOKUP(B473,'03. THIẾT BỊ'!$B$1:$S$836,5,0),"")</f>
        <v>Rơ mooc gắn sau xe máy</v>
      </c>
      <c r="G473" s="80" t="s">
        <v>6423</v>
      </c>
      <c r="H473" s="463" t="str">
        <f>IFERROR(VLOOKUP(B473,'03. THIẾT BỊ'!$B$1:$S$836,7,0),"")</f>
        <v>XN Chuối DP1</v>
      </c>
      <c r="I473" s="474" t="str">
        <f>IFERROR(VLOOKUP(B473,'03. THIẾT BỊ'!$B$1:$S$836,8,0),"")</f>
        <v>24/01/2024</v>
      </c>
      <c r="J473" s="471"/>
      <c r="K473" s="463" t="str">
        <f>IFERROR(VLOOKUP(B473,'03. THIẾT BỊ'!$B$1:$S$836,10,0),"")</f>
        <v>Bình thường</v>
      </c>
      <c r="L473" s="468" t="str">
        <f>IFERROR(VLOOKUP(B473,'03. THIẾT BỊ'!$B$1:$S$836,11,0),"")</f>
        <v/>
      </c>
      <c r="M473" s="472" t="str">
        <f>IFERROR(VLOOKUP(B473,'03. THIẾT BỊ'!$B$1:$S$836,12,0),"")</f>
        <v/>
      </c>
      <c r="N473" s="468" t="str">
        <f>IFERROR(VLOOKUP(B473,'03. THIẾT BỊ'!$B$1:$S$836,13,0),"")</f>
        <v>THACO AGRI</v>
      </c>
      <c r="O473" s="470" t="str">
        <f>IFERROR(VLOOKUP(B473,'03. THIẾT BỊ'!$B$1:$S$836,14,0),"")</f>
        <v/>
      </c>
      <c r="P473" s="468" t="str">
        <f>IFERROR(VLOOKUP(B473,'03. THIẾT BỊ'!$B$1:$S$836,15,0),"")</f>
        <v>CK-CGH</v>
      </c>
      <c r="Q473" s="48" t="str">
        <f>IFERROR(VLOOKUP(B473,'03. THIẾT BỊ'!$B$1:$S$836,16,0),"")</f>
        <v/>
      </c>
      <c r="R473" s="471" t="str">
        <f>IFERROR(VLOOKUP(B473,'03. THIẾT BỊ'!$B$1:$S$836,17,0),"")</f>
        <v>DxRxC: 3x1.6x1.2m</v>
      </c>
      <c r="S473" s="468" t="str">
        <f>IFERROR(VLOOKUP(B473,'03. THIẾT BỊ'!$B$1:$S$836,18,0),"")</f>
        <v/>
      </c>
      <c r="T473" s="807"/>
    </row>
    <row r="474" ht="15.0" customHeight="1">
      <c r="A474" s="475">
        <f t="shared" ref="A474:A511" si="24">A473+1</f>
        <v>2</v>
      </c>
      <c r="B474" s="464" t="s">
        <v>3927</v>
      </c>
      <c r="C474" s="869" t="str">
        <f>IFERROR(VLOOKUP(B474,'03. THIẾT BỊ'!$B$1:$S$836,2,0),"")</f>
        <v>CK-MXM-02</v>
      </c>
      <c r="D474" s="470" t="str">
        <f>IFERROR(VLOOKUP(B474,'03. THIẾT BỊ'!$B$1:$S$836,3,0),"")</f>
        <v>A23-MXM-002</v>
      </c>
      <c r="E474" s="464" t="str">
        <f>IFERROR(VLOOKUP(B474,'03. THIẾT BỊ'!$B$1:$S$836,4,0),"")</f>
        <v>ĐQSD</v>
      </c>
      <c r="F474" s="464" t="str">
        <f>IFERROR(VLOOKUP(B474,'03. THIẾT BỊ'!$B$1:$S$836,5,0),"")</f>
        <v>Rơ mooc gắn sau xe máy</v>
      </c>
      <c r="G474" s="80" t="s">
        <v>6423</v>
      </c>
      <c r="H474" s="463" t="str">
        <f>IFERROR(VLOOKUP(B474,'03. THIẾT BỊ'!$B$1:$S$836,7,0),"")</f>
        <v>XN Chuối DP1</v>
      </c>
      <c r="I474" s="474" t="str">
        <f>IFERROR(VLOOKUP(B474,'03. THIẾT BỊ'!$B$1:$S$836,8,0),"")</f>
        <v>24/01/2024</v>
      </c>
      <c r="J474" s="471"/>
      <c r="K474" s="463" t="str">
        <f>IFERROR(VLOOKUP(B474,'03. THIẾT BỊ'!$B$1:$S$836,10,0),"")</f>
        <v>Bình thường</v>
      </c>
      <c r="L474" s="468" t="str">
        <f>IFERROR(VLOOKUP(B474,'03. THIẾT BỊ'!$B$1:$S$836,11,0),"")</f>
        <v/>
      </c>
      <c r="M474" s="472" t="str">
        <f>IFERROR(VLOOKUP(B474,'03. THIẾT BỊ'!$B$1:$S$836,12,0),"")</f>
        <v/>
      </c>
      <c r="N474" s="468" t="str">
        <f>IFERROR(VLOOKUP(B474,'03. THIẾT BỊ'!$B$1:$S$836,13,0),"")</f>
        <v>THACO AGRI</v>
      </c>
      <c r="O474" s="470" t="str">
        <f>IFERROR(VLOOKUP(B474,'03. THIẾT BỊ'!$B$1:$S$836,14,0),"")</f>
        <v/>
      </c>
      <c r="P474" s="468" t="str">
        <f>IFERROR(VLOOKUP(B474,'03. THIẾT BỊ'!$B$1:$S$836,15,0),"")</f>
        <v>CK-CGH</v>
      </c>
      <c r="Q474" s="48" t="str">
        <f>IFERROR(VLOOKUP(B474,'03. THIẾT BỊ'!$B$1:$S$836,16,0),"")</f>
        <v/>
      </c>
      <c r="R474" s="471" t="str">
        <f>IFERROR(VLOOKUP(B474,'03. THIẾT BỊ'!$B$1:$S$836,17,0),"")</f>
        <v>DxRxC: 3x1.6x1.2m</v>
      </c>
      <c r="S474" s="468" t="str">
        <f>IFERROR(VLOOKUP(B474,'03. THIẾT BỊ'!$B$1:$S$836,18,0),"")</f>
        <v/>
      </c>
      <c r="T474" s="807"/>
    </row>
    <row r="475" ht="15.0" customHeight="1">
      <c r="A475" s="475">
        <f t="shared" si="24"/>
        <v>3</v>
      </c>
      <c r="B475" s="464" t="s">
        <v>3930</v>
      </c>
      <c r="C475" s="869" t="str">
        <f>IFERROR(VLOOKUP(B475,'03. THIẾT BỊ'!$B$1:$S$836,2,0),"")</f>
        <v>CK-MXM-03</v>
      </c>
      <c r="D475" s="470" t="str">
        <f>IFERROR(VLOOKUP(B475,'03. THIẾT BỊ'!$B$1:$S$836,3,0),"")</f>
        <v>A23-MXM-003</v>
      </c>
      <c r="E475" s="464" t="str">
        <f>IFERROR(VLOOKUP(B475,'03. THIẾT BỊ'!$B$1:$S$836,4,0),"")</f>
        <v>ĐQSD</v>
      </c>
      <c r="F475" s="464" t="str">
        <f>IFERROR(VLOOKUP(B475,'03. THIẾT BỊ'!$B$1:$S$836,5,0),"")</f>
        <v>Rơ mooc gắn sau xe máy</v>
      </c>
      <c r="G475" s="80" t="s">
        <v>6423</v>
      </c>
      <c r="H475" s="463" t="str">
        <f>IFERROR(VLOOKUP(B475,'03. THIẾT BỊ'!$B$1:$S$836,7,0),"")</f>
        <v>XN Chuối DP1</v>
      </c>
      <c r="I475" s="474" t="str">
        <f>IFERROR(VLOOKUP(B475,'03. THIẾT BỊ'!$B$1:$S$836,8,0),"")</f>
        <v>24/01/2024</v>
      </c>
      <c r="J475" s="471"/>
      <c r="K475" s="463" t="str">
        <f>IFERROR(VLOOKUP(B475,'03. THIẾT BỊ'!$B$1:$S$836,10,0),"")</f>
        <v>Bình thường</v>
      </c>
      <c r="L475" s="468" t="str">
        <f>IFERROR(VLOOKUP(B475,'03. THIẾT BỊ'!$B$1:$S$836,11,0),"")</f>
        <v/>
      </c>
      <c r="M475" s="472" t="str">
        <f>IFERROR(VLOOKUP(B475,'03. THIẾT BỊ'!$B$1:$S$836,12,0),"")</f>
        <v/>
      </c>
      <c r="N475" s="468" t="str">
        <f>IFERROR(VLOOKUP(B475,'03. THIẾT BỊ'!$B$1:$S$836,13,0),"")</f>
        <v>THACO AGRI</v>
      </c>
      <c r="O475" s="470" t="str">
        <f>IFERROR(VLOOKUP(B475,'03. THIẾT BỊ'!$B$1:$S$836,14,0),"")</f>
        <v/>
      </c>
      <c r="P475" s="468" t="str">
        <f>IFERROR(VLOOKUP(B475,'03. THIẾT BỊ'!$B$1:$S$836,15,0),"")</f>
        <v>CK-CGH</v>
      </c>
      <c r="Q475" s="48" t="str">
        <f>IFERROR(VLOOKUP(B475,'03. THIẾT BỊ'!$B$1:$S$836,16,0),"")</f>
        <v/>
      </c>
      <c r="R475" s="471" t="str">
        <f>IFERROR(VLOOKUP(B475,'03. THIẾT BỊ'!$B$1:$S$836,17,0),"")</f>
        <v>DxRxC: 3x1.6x1.2m</v>
      </c>
      <c r="S475" s="468" t="str">
        <f>IFERROR(VLOOKUP(B475,'03. THIẾT BỊ'!$B$1:$S$836,18,0),"")</f>
        <v/>
      </c>
      <c r="T475" s="807"/>
    </row>
    <row r="476" ht="15.0" customHeight="1">
      <c r="A476" s="475">
        <f t="shared" si="24"/>
        <v>4</v>
      </c>
      <c r="B476" s="464" t="s">
        <v>3933</v>
      </c>
      <c r="C476" s="869" t="str">
        <f>IFERROR(VLOOKUP(B476,'03. THIẾT BỊ'!$B$1:$S$836,2,0),"")</f>
        <v>CK-MXM-04</v>
      </c>
      <c r="D476" s="470" t="str">
        <f>IFERROR(VLOOKUP(B476,'03. THIẾT BỊ'!$B$1:$S$836,3,0),"")</f>
        <v>A23-MXM-004</v>
      </c>
      <c r="E476" s="464" t="str">
        <f>IFERROR(VLOOKUP(B476,'03. THIẾT BỊ'!$B$1:$S$836,4,0),"")</f>
        <v>ĐQSD</v>
      </c>
      <c r="F476" s="464" t="str">
        <f>IFERROR(VLOOKUP(B476,'03. THIẾT BỊ'!$B$1:$S$836,5,0),"")</f>
        <v>Rơ mooc gắn sau xe máy</v>
      </c>
      <c r="G476" s="80" t="s">
        <v>6423</v>
      </c>
      <c r="H476" s="463" t="str">
        <f>IFERROR(VLOOKUP(B476,'03. THIẾT BỊ'!$B$1:$S$836,7,0),"")</f>
        <v>XN Chuối DP1</v>
      </c>
      <c r="I476" s="474" t="str">
        <f>IFERROR(VLOOKUP(B476,'03. THIẾT BỊ'!$B$1:$S$836,8,0),"")</f>
        <v>24/01/2024</v>
      </c>
      <c r="J476" s="471"/>
      <c r="K476" s="463" t="str">
        <f>IFERROR(VLOOKUP(B476,'03. THIẾT BỊ'!$B$1:$S$836,10,0),"")</f>
        <v>Bình thường</v>
      </c>
      <c r="L476" s="468" t="str">
        <f>IFERROR(VLOOKUP(B476,'03. THIẾT BỊ'!$B$1:$S$836,11,0),"")</f>
        <v/>
      </c>
      <c r="M476" s="472" t="str">
        <f>IFERROR(VLOOKUP(B476,'03. THIẾT BỊ'!$B$1:$S$836,12,0),"")</f>
        <v/>
      </c>
      <c r="N476" s="468" t="str">
        <f>IFERROR(VLOOKUP(B476,'03. THIẾT BỊ'!$B$1:$S$836,13,0),"")</f>
        <v>THACO AGRI</v>
      </c>
      <c r="O476" s="470" t="str">
        <f>IFERROR(VLOOKUP(B476,'03. THIẾT BỊ'!$B$1:$S$836,14,0),"")</f>
        <v/>
      </c>
      <c r="P476" s="468" t="str">
        <f>IFERROR(VLOOKUP(B476,'03. THIẾT BỊ'!$B$1:$S$836,15,0),"")</f>
        <v>CK-CGH</v>
      </c>
      <c r="Q476" s="48" t="str">
        <f>IFERROR(VLOOKUP(B476,'03. THIẾT BỊ'!$B$1:$S$836,16,0),"")</f>
        <v/>
      </c>
      <c r="R476" s="471" t="str">
        <f>IFERROR(VLOOKUP(B476,'03. THIẾT BỊ'!$B$1:$S$836,17,0),"")</f>
        <v>DxRxC: 3x1.6x1.2m</v>
      </c>
      <c r="S476" s="468" t="str">
        <f>IFERROR(VLOOKUP(B476,'03. THIẾT BỊ'!$B$1:$S$836,18,0),"")</f>
        <v/>
      </c>
      <c r="T476" s="807"/>
    </row>
    <row r="477" ht="15.0" customHeight="1">
      <c r="A477" s="475">
        <f t="shared" si="24"/>
        <v>5</v>
      </c>
      <c r="B477" s="464" t="s">
        <v>3936</v>
      </c>
      <c r="C477" s="869" t="str">
        <f>IFERROR(VLOOKUP(B477,'03. THIẾT BỊ'!$B$1:$S$836,2,0),"")</f>
        <v>CK-MXM-05</v>
      </c>
      <c r="D477" s="470" t="str">
        <f>IFERROR(VLOOKUP(B477,'03. THIẾT BỊ'!$B$1:$S$836,3,0),"")</f>
        <v>A23-MXM-005</v>
      </c>
      <c r="E477" s="464" t="str">
        <f>IFERROR(VLOOKUP(B477,'03. THIẾT BỊ'!$B$1:$S$836,4,0),"")</f>
        <v>ĐQSD</v>
      </c>
      <c r="F477" s="464" t="str">
        <f>IFERROR(VLOOKUP(B477,'03. THIẾT BỊ'!$B$1:$S$836,5,0),"")</f>
        <v>Rơ mooc gắn sau xe máy</v>
      </c>
      <c r="G477" s="80" t="s">
        <v>6423</v>
      </c>
      <c r="H477" s="463" t="str">
        <f>IFERROR(VLOOKUP(B477,'03. THIẾT BỊ'!$B$1:$S$836,7,0),"")</f>
        <v>XN Chuối DP1</v>
      </c>
      <c r="I477" s="474" t="str">
        <f>IFERROR(VLOOKUP(B477,'03. THIẾT BỊ'!$B$1:$S$836,8,0),"")</f>
        <v>24/01/2024</v>
      </c>
      <c r="J477" s="471"/>
      <c r="K477" s="463" t="str">
        <f>IFERROR(VLOOKUP(B477,'03. THIẾT BỊ'!$B$1:$S$836,10,0),"")</f>
        <v>Bình thường</v>
      </c>
      <c r="L477" s="468" t="str">
        <f>IFERROR(VLOOKUP(B477,'03. THIẾT BỊ'!$B$1:$S$836,11,0),"")</f>
        <v/>
      </c>
      <c r="M477" s="472" t="str">
        <f>IFERROR(VLOOKUP(B477,'03. THIẾT BỊ'!$B$1:$S$836,12,0),"")</f>
        <v/>
      </c>
      <c r="N477" s="468" t="str">
        <f>IFERROR(VLOOKUP(B477,'03. THIẾT BỊ'!$B$1:$S$836,13,0),"")</f>
        <v>THACO AGRI</v>
      </c>
      <c r="O477" s="470" t="str">
        <f>IFERROR(VLOOKUP(B477,'03. THIẾT BỊ'!$B$1:$S$836,14,0),"")</f>
        <v/>
      </c>
      <c r="P477" s="468" t="str">
        <f>IFERROR(VLOOKUP(B477,'03. THIẾT BỊ'!$B$1:$S$836,15,0),"")</f>
        <v>CK-CGH</v>
      </c>
      <c r="Q477" s="48" t="str">
        <f>IFERROR(VLOOKUP(B477,'03. THIẾT BỊ'!$B$1:$S$836,16,0),"")</f>
        <v/>
      </c>
      <c r="R477" s="471" t="str">
        <f>IFERROR(VLOOKUP(B477,'03. THIẾT BỊ'!$B$1:$S$836,17,0),"")</f>
        <v>DxRxC: 3x1.6x1.2m</v>
      </c>
      <c r="S477" s="468" t="str">
        <f>IFERROR(VLOOKUP(B477,'03. THIẾT BỊ'!$B$1:$S$836,18,0),"")</f>
        <v/>
      </c>
      <c r="T477" s="807"/>
    </row>
    <row r="478" ht="15.0" customHeight="1">
      <c r="A478" s="475">
        <f t="shared" si="24"/>
        <v>6</v>
      </c>
      <c r="B478" s="464" t="s">
        <v>3939</v>
      </c>
      <c r="C478" s="869" t="str">
        <f>IFERROR(VLOOKUP(B478,'03. THIẾT BỊ'!$B$1:$S$836,2,0),"")</f>
        <v>CK-MXM-06</v>
      </c>
      <c r="D478" s="470" t="str">
        <f>IFERROR(VLOOKUP(B478,'03. THIẾT BỊ'!$B$1:$S$836,3,0),"")</f>
        <v>A23-MXM-006</v>
      </c>
      <c r="E478" s="464" t="str">
        <f>IFERROR(VLOOKUP(B478,'03. THIẾT BỊ'!$B$1:$S$836,4,0),"")</f>
        <v>ĐQSD</v>
      </c>
      <c r="F478" s="464" t="str">
        <f>IFERROR(VLOOKUP(B478,'03. THIẾT BỊ'!$B$1:$S$836,5,0),"")</f>
        <v>Rơ mooc gắn sau xe máy</v>
      </c>
      <c r="G478" s="80" t="s">
        <v>6423</v>
      </c>
      <c r="H478" s="463" t="str">
        <f>IFERROR(VLOOKUP(B478,'03. THIẾT BỊ'!$B$1:$S$836,7,0),"")</f>
        <v>XN Chuối DP1</v>
      </c>
      <c r="I478" s="474" t="str">
        <f>IFERROR(VLOOKUP(B478,'03. THIẾT BỊ'!$B$1:$S$836,8,0),"")</f>
        <v>24/01/2024</v>
      </c>
      <c r="J478" s="471"/>
      <c r="K478" s="463" t="str">
        <f>IFERROR(VLOOKUP(B478,'03. THIẾT BỊ'!$B$1:$S$836,10,0),"")</f>
        <v>Bình thường</v>
      </c>
      <c r="L478" s="468" t="str">
        <f>IFERROR(VLOOKUP(B478,'03. THIẾT BỊ'!$B$1:$S$836,11,0),"")</f>
        <v/>
      </c>
      <c r="M478" s="472" t="str">
        <f>IFERROR(VLOOKUP(B478,'03. THIẾT BỊ'!$B$1:$S$836,12,0),"")</f>
        <v/>
      </c>
      <c r="N478" s="468" t="str">
        <f>IFERROR(VLOOKUP(B478,'03. THIẾT BỊ'!$B$1:$S$836,13,0),"")</f>
        <v>THACO AGRI</v>
      </c>
      <c r="O478" s="470" t="str">
        <f>IFERROR(VLOOKUP(B478,'03. THIẾT BỊ'!$B$1:$S$836,14,0),"")</f>
        <v/>
      </c>
      <c r="P478" s="468" t="str">
        <f>IFERROR(VLOOKUP(B478,'03. THIẾT BỊ'!$B$1:$S$836,15,0),"")</f>
        <v>CK-CGH</v>
      </c>
      <c r="Q478" s="48" t="str">
        <f>IFERROR(VLOOKUP(B478,'03. THIẾT BỊ'!$B$1:$S$836,16,0),"")</f>
        <v/>
      </c>
      <c r="R478" s="471" t="str">
        <f>IFERROR(VLOOKUP(B478,'03. THIẾT BỊ'!$B$1:$S$836,17,0),"")</f>
        <v>DxRxC: 3x1.6x1.2m</v>
      </c>
      <c r="S478" s="468" t="str">
        <f>IFERROR(VLOOKUP(B478,'03. THIẾT BỊ'!$B$1:$S$836,18,0),"")</f>
        <v/>
      </c>
      <c r="T478" s="807"/>
    </row>
    <row r="479" ht="15.0" customHeight="1">
      <c r="A479" s="475">
        <f t="shared" si="24"/>
        <v>7</v>
      </c>
      <c r="B479" s="464" t="s">
        <v>3942</v>
      </c>
      <c r="C479" s="869" t="str">
        <f>IFERROR(VLOOKUP(B479,'03. THIẾT BỊ'!$B$1:$S$836,2,0),"")</f>
        <v>CK-MXM-07</v>
      </c>
      <c r="D479" s="470" t="str">
        <f>IFERROR(VLOOKUP(B479,'03. THIẾT BỊ'!$B$1:$S$836,3,0),"")</f>
        <v>A23-MXM-007</v>
      </c>
      <c r="E479" s="464" t="str">
        <f>IFERROR(VLOOKUP(B479,'03. THIẾT BỊ'!$B$1:$S$836,4,0),"")</f>
        <v>ĐQSD</v>
      </c>
      <c r="F479" s="464" t="str">
        <f>IFERROR(VLOOKUP(B479,'03. THIẾT BỊ'!$B$1:$S$836,5,0),"")</f>
        <v>Rơ mooc gắn sau xe máy</v>
      </c>
      <c r="G479" s="80" t="s">
        <v>6423</v>
      </c>
      <c r="H479" s="463" t="str">
        <f>IFERROR(VLOOKUP(B479,'03. THIẾT BỊ'!$B$1:$S$836,7,0),"")</f>
        <v>XN Chuối DP1</v>
      </c>
      <c r="I479" s="474" t="str">
        <f>IFERROR(VLOOKUP(B479,'03. THIẾT BỊ'!$B$1:$S$836,8,0),"")</f>
        <v>24/01/2024</v>
      </c>
      <c r="J479" s="471"/>
      <c r="K479" s="463" t="str">
        <f>IFERROR(VLOOKUP(B479,'03. THIẾT BỊ'!$B$1:$S$836,10,0),"")</f>
        <v>Bình thường</v>
      </c>
      <c r="L479" s="468" t="str">
        <f>IFERROR(VLOOKUP(B479,'03. THIẾT BỊ'!$B$1:$S$836,11,0),"")</f>
        <v/>
      </c>
      <c r="M479" s="472" t="str">
        <f>IFERROR(VLOOKUP(B479,'03. THIẾT BỊ'!$B$1:$S$836,12,0),"")</f>
        <v/>
      </c>
      <c r="N479" s="468" t="str">
        <f>IFERROR(VLOOKUP(B479,'03. THIẾT BỊ'!$B$1:$S$836,13,0),"")</f>
        <v>THACO AGRI</v>
      </c>
      <c r="O479" s="470" t="str">
        <f>IFERROR(VLOOKUP(B479,'03. THIẾT BỊ'!$B$1:$S$836,14,0),"")</f>
        <v/>
      </c>
      <c r="P479" s="468" t="str">
        <f>IFERROR(VLOOKUP(B479,'03. THIẾT BỊ'!$B$1:$S$836,15,0),"")</f>
        <v>CK-CGH</v>
      </c>
      <c r="Q479" s="48" t="str">
        <f>IFERROR(VLOOKUP(B479,'03. THIẾT BỊ'!$B$1:$S$836,16,0),"")</f>
        <v/>
      </c>
      <c r="R479" s="471" t="str">
        <f>IFERROR(VLOOKUP(B479,'03. THIẾT BỊ'!$B$1:$S$836,17,0),"")</f>
        <v>DxRxC: 3x1.6x1.2m</v>
      </c>
      <c r="S479" s="468" t="str">
        <f>IFERROR(VLOOKUP(B479,'03. THIẾT BỊ'!$B$1:$S$836,18,0),"")</f>
        <v/>
      </c>
      <c r="T479" s="807"/>
    </row>
    <row r="480" ht="15.0" customHeight="1">
      <c r="A480" s="475">
        <f t="shared" si="24"/>
        <v>8</v>
      </c>
      <c r="B480" s="464" t="s">
        <v>3945</v>
      </c>
      <c r="C480" s="869" t="str">
        <f>IFERROR(VLOOKUP(B480,'03. THIẾT BỊ'!$B$1:$S$836,2,0),"")</f>
        <v/>
      </c>
      <c r="D480" s="470" t="str">
        <f>IFERROR(VLOOKUP(B480,'03. THIẾT BỊ'!$B$1:$S$836,3,0),"")</f>
        <v>A22-MXM-004</v>
      </c>
      <c r="E480" s="464" t="str">
        <f>IFERROR(VLOOKUP(B480,'03. THIẾT BỊ'!$B$1:$S$836,4,0),"")</f>
        <v>ĐQSD</v>
      </c>
      <c r="F480" s="464" t="str">
        <f>IFERROR(VLOOKUP(B480,'03. THIẾT BỊ'!$B$1:$S$836,5,0),"")</f>
        <v>Rơ mooc gắn sau xe máy </v>
      </c>
      <c r="G480" s="80" t="s">
        <v>6423</v>
      </c>
      <c r="H480" s="463" t="str">
        <f>IFERROR(VLOOKUP(B480,'03. THIẾT BỊ'!$B$1:$S$836,7,0),"")</f>
        <v>XN Chuối DP1</v>
      </c>
      <c r="I480" s="474" t="str">
        <f>IFERROR(VLOOKUP(B480,'03. THIẾT BỊ'!$B$1:$S$836,8,0),"")</f>
        <v/>
      </c>
      <c r="J480" s="471"/>
      <c r="K480" s="463" t="str">
        <f>IFERROR(VLOOKUP(B480,'03. THIẾT BỊ'!$B$1:$S$836,10,0),"")</f>
        <v>Bình thường</v>
      </c>
      <c r="L480" s="468" t="str">
        <f>IFERROR(VLOOKUP(B480,'03. THIẾT BỊ'!$B$1:$S$836,11,0),"")</f>
        <v>Đ.chuyen từ XN AD ngày 28/02/2025</v>
      </c>
      <c r="M480" s="472" t="str">
        <f>IFERROR(VLOOKUP(B480,'03. THIẾT BỊ'!$B$1:$S$836,12,0),"")</f>
        <v/>
      </c>
      <c r="N480" s="468" t="str">
        <f>IFERROR(VLOOKUP(B480,'03. THIẾT BỊ'!$B$1:$S$836,13,0),"")</f>
        <v>THACO AGRI</v>
      </c>
      <c r="O480" s="470" t="str">
        <f>IFERROR(VLOOKUP(B480,'03. THIẾT BỊ'!$B$1:$S$836,14,0),"")</f>
        <v/>
      </c>
      <c r="P480" s="468" t="str">
        <f>IFERROR(VLOOKUP(B480,'03. THIẾT BỊ'!$B$1:$S$836,15,0),"")</f>
        <v>CK-CGH</v>
      </c>
      <c r="Q480" s="48" t="str">
        <f>IFERROR(VLOOKUP(B480,'03. THIẾT BỊ'!$B$1:$S$836,16,0),"")</f>
        <v/>
      </c>
      <c r="R480" s="471" t="str">
        <f>IFERROR(VLOOKUP(B480,'03. THIẾT BỊ'!$B$1:$S$836,17,0),"")</f>
        <v/>
      </c>
      <c r="S480" s="468" t="str">
        <f>IFERROR(VLOOKUP(B480,'03. THIẾT BỊ'!$B$1:$S$836,18,0),"")</f>
        <v/>
      </c>
      <c r="T480" s="807"/>
    </row>
    <row r="481" ht="15.0" customHeight="1">
      <c r="A481" s="475">
        <f t="shared" si="24"/>
        <v>9</v>
      </c>
      <c r="B481" s="464" t="s">
        <v>4183</v>
      </c>
      <c r="C481" s="869" t="str">
        <f>IFERROR(VLOOKUP(B481,'03. THIẾT BỊ'!$B$1:$S$836,2,0),"")</f>
        <v/>
      </c>
      <c r="D481" s="470" t="str">
        <f>IFERROR(VLOOKUP(B481,'03. THIẾT BỊ'!$B$1:$S$836,3,0),"")</f>
        <v>A23-MXM-008</v>
      </c>
      <c r="E481" s="464" t="str">
        <f>IFERROR(VLOOKUP(B481,'03. THIẾT BỊ'!$B$1:$S$836,4,0),"")</f>
        <v>ĐQSD</v>
      </c>
      <c r="F481" s="464" t="str">
        <f>IFERROR(VLOOKUP(B481,'03. THIẾT BỊ'!$B$1:$S$836,5,0),"")</f>
        <v>Rơ mooc gắn sau xe máy</v>
      </c>
      <c r="G481" s="80" t="s">
        <v>6423</v>
      </c>
      <c r="H481" s="463" t="str">
        <f>IFERROR(VLOOKUP(B481,'03. THIẾT BỊ'!$B$1:$S$836,7,0),"")</f>
        <v>XN Chuối DP2</v>
      </c>
      <c r="I481" s="474" t="str">
        <f>IFERROR(VLOOKUP(B481,'03. THIẾT BỊ'!$B$1:$S$836,8,0),"")</f>
        <v/>
      </c>
      <c r="J481" s="471"/>
      <c r="K481" s="463" t="str">
        <f>IFERROR(VLOOKUP(B481,'03. THIẾT BỊ'!$B$1:$S$836,10,0),"")</f>
        <v>Bình thường</v>
      </c>
      <c r="L481" s="468" t="str">
        <f>IFERROR(VLOOKUP(B481,'03. THIẾT BỊ'!$B$1:$S$836,11,0),"")</f>
        <v/>
      </c>
      <c r="M481" s="472" t="str">
        <f>IFERROR(VLOOKUP(B481,'03. THIẾT BỊ'!$B$1:$S$836,12,0),"")</f>
        <v/>
      </c>
      <c r="N481" s="468" t="str">
        <f>IFERROR(VLOOKUP(B481,'03. THIẾT BỊ'!$B$1:$S$836,13,0),"")</f>
        <v>THACO AGRI</v>
      </c>
      <c r="O481" s="470" t="str">
        <f>IFERROR(VLOOKUP(B481,'03. THIẾT BỊ'!$B$1:$S$836,14,0),"")</f>
        <v/>
      </c>
      <c r="P481" s="468" t="str">
        <f>IFERROR(VLOOKUP(B481,'03. THIẾT BỊ'!$B$1:$S$836,15,0),"")</f>
        <v>CK-CGH</v>
      </c>
      <c r="Q481" s="48" t="str">
        <f>IFERROR(VLOOKUP(B481,'03. THIẾT BỊ'!$B$1:$S$836,16,0),"")</f>
        <v/>
      </c>
      <c r="R481" s="471" t="str">
        <f>IFERROR(VLOOKUP(B481,'03. THIẾT BỊ'!$B$1:$S$836,17,0),"")</f>
        <v/>
      </c>
      <c r="S481" s="468" t="str">
        <f>IFERROR(VLOOKUP(B481,'03. THIẾT BỊ'!$B$1:$S$836,18,0),"")</f>
        <v/>
      </c>
      <c r="T481" s="812"/>
    </row>
    <row r="482" ht="15.0" customHeight="1">
      <c r="A482" s="475">
        <f t="shared" si="24"/>
        <v>10</v>
      </c>
      <c r="B482" s="464" t="s">
        <v>4186</v>
      </c>
      <c r="C482" s="869" t="str">
        <f>IFERROR(VLOOKUP(B482,'03. THIẾT BỊ'!$B$1:$S$836,2,0),"")</f>
        <v/>
      </c>
      <c r="D482" s="470" t="str">
        <f>IFERROR(VLOOKUP(B482,'03. THIẾT BỊ'!$B$1:$S$836,3,0),"")</f>
        <v>A23-MXM-009</v>
      </c>
      <c r="E482" s="464" t="str">
        <f>IFERROR(VLOOKUP(B482,'03. THIẾT BỊ'!$B$1:$S$836,4,0),"")</f>
        <v>ĐQSD</v>
      </c>
      <c r="F482" s="464" t="str">
        <f>IFERROR(VLOOKUP(B482,'03. THIẾT BỊ'!$B$1:$S$836,5,0),"")</f>
        <v>Rơ mooc gắn sau xe máy</v>
      </c>
      <c r="G482" s="80" t="s">
        <v>6423</v>
      </c>
      <c r="H482" s="463" t="str">
        <f>IFERROR(VLOOKUP(B482,'03. THIẾT BỊ'!$B$1:$S$836,7,0),"")</f>
        <v>XN Chuối DP2</v>
      </c>
      <c r="I482" s="474" t="str">
        <f>IFERROR(VLOOKUP(B482,'03. THIẾT BỊ'!$B$1:$S$836,8,0),"")</f>
        <v/>
      </c>
      <c r="J482" s="471"/>
      <c r="K482" s="463" t="str">
        <f>IFERROR(VLOOKUP(B482,'03. THIẾT BỊ'!$B$1:$S$836,10,0),"")</f>
        <v>Bình thường</v>
      </c>
      <c r="L482" s="468" t="str">
        <f>IFERROR(VLOOKUP(B482,'03. THIẾT BỊ'!$B$1:$S$836,11,0),"")</f>
        <v/>
      </c>
      <c r="M482" s="472" t="str">
        <f>IFERROR(VLOOKUP(B482,'03. THIẾT BỊ'!$B$1:$S$836,12,0),"")</f>
        <v/>
      </c>
      <c r="N482" s="468" t="str">
        <f>IFERROR(VLOOKUP(B482,'03. THIẾT BỊ'!$B$1:$S$836,13,0),"")</f>
        <v>THACO AGRI</v>
      </c>
      <c r="O482" s="470" t="str">
        <f>IFERROR(VLOOKUP(B482,'03. THIẾT BỊ'!$B$1:$S$836,14,0),"")</f>
        <v/>
      </c>
      <c r="P482" s="468" t="str">
        <f>IFERROR(VLOOKUP(B482,'03. THIẾT BỊ'!$B$1:$S$836,15,0),"")</f>
        <v>CK-CGH</v>
      </c>
      <c r="Q482" s="48" t="str">
        <f>IFERROR(VLOOKUP(B482,'03. THIẾT BỊ'!$B$1:$S$836,16,0),"")</f>
        <v/>
      </c>
      <c r="R482" s="471" t="str">
        <f>IFERROR(VLOOKUP(B482,'03. THIẾT BỊ'!$B$1:$S$836,17,0),"")</f>
        <v/>
      </c>
      <c r="S482" s="468" t="str">
        <f>IFERROR(VLOOKUP(B482,'03. THIẾT BỊ'!$B$1:$S$836,18,0),"")</f>
        <v/>
      </c>
      <c r="T482" s="812"/>
    </row>
    <row r="483" ht="15.0" customHeight="1">
      <c r="A483" s="475">
        <f t="shared" si="24"/>
        <v>11</v>
      </c>
      <c r="B483" s="464" t="s">
        <v>4188</v>
      </c>
      <c r="C483" s="869" t="str">
        <f>IFERROR(VLOOKUP(B483,'03. THIẾT BỊ'!$B$1:$S$836,2,0),"")</f>
        <v/>
      </c>
      <c r="D483" s="470" t="str">
        <f>IFERROR(VLOOKUP(B483,'03. THIẾT BỊ'!$B$1:$S$836,3,0),"")</f>
        <v>A23-MXM-010</v>
      </c>
      <c r="E483" s="464" t="str">
        <f>IFERROR(VLOOKUP(B483,'03. THIẾT BỊ'!$B$1:$S$836,4,0),"")</f>
        <v>ĐQSD</v>
      </c>
      <c r="F483" s="464" t="str">
        <f>IFERROR(VLOOKUP(B483,'03. THIẾT BỊ'!$B$1:$S$836,5,0),"")</f>
        <v>Rơ mooc gắn sau xe máy</v>
      </c>
      <c r="G483" s="80" t="s">
        <v>6423</v>
      </c>
      <c r="H483" s="463" t="str">
        <f>IFERROR(VLOOKUP(B483,'03. THIẾT BỊ'!$B$1:$S$836,7,0),"")</f>
        <v>XN Chuối DP2</v>
      </c>
      <c r="I483" s="474" t="str">
        <f>IFERROR(VLOOKUP(B483,'03. THIẾT BỊ'!$B$1:$S$836,8,0),"")</f>
        <v/>
      </c>
      <c r="J483" s="471"/>
      <c r="K483" s="463" t="str">
        <f>IFERROR(VLOOKUP(B483,'03. THIẾT BỊ'!$B$1:$S$836,10,0),"")</f>
        <v>Bình thường</v>
      </c>
      <c r="L483" s="468" t="str">
        <f>IFERROR(VLOOKUP(B483,'03. THIẾT BỊ'!$B$1:$S$836,11,0),"")</f>
        <v/>
      </c>
      <c r="M483" s="472" t="str">
        <f>IFERROR(VLOOKUP(B483,'03. THIẾT BỊ'!$B$1:$S$836,12,0),"")</f>
        <v/>
      </c>
      <c r="N483" s="468" t="str">
        <f>IFERROR(VLOOKUP(B483,'03. THIẾT BỊ'!$B$1:$S$836,13,0),"")</f>
        <v>THACO AGRI</v>
      </c>
      <c r="O483" s="470" t="str">
        <f>IFERROR(VLOOKUP(B483,'03. THIẾT BỊ'!$B$1:$S$836,14,0),"")</f>
        <v/>
      </c>
      <c r="P483" s="468" t="str">
        <f>IFERROR(VLOOKUP(B483,'03. THIẾT BỊ'!$B$1:$S$836,15,0),"")</f>
        <v>CK-CGH</v>
      </c>
      <c r="Q483" s="48" t="str">
        <f>IFERROR(VLOOKUP(B483,'03. THIẾT BỊ'!$B$1:$S$836,16,0),"")</f>
        <v/>
      </c>
      <c r="R483" s="471" t="str">
        <f>IFERROR(VLOOKUP(B483,'03. THIẾT BỊ'!$B$1:$S$836,17,0),"")</f>
        <v/>
      </c>
      <c r="S483" s="468" t="str">
        <f>IFERROR(VLOOKUP(B483,'03. THIẾT BỊ'!$B$1:$S$836,18,0),"")</f>
        <v/>
      </c>
      <c r="T483" s="812"/>
    </row>
    <row r="484" ht="15.0" customHeight="1">
      <c r="A484" s="475">
        <f t="shared" si="24"/>
        <v>12</v>
      </c>
      <c r="B484" s="464" t="s">
        <v>4190</v>
      </c>
      <c r="C484" s="869" t="str">
        <f>IFERROR(VLOOKUP(B484,'03. THIẾT BỊ'!$B$1:$S$836,2,0),"")</f>
        <v/>
      </c>
      <c r="D484" s="470" t="str">
        <f>IFERROR(VLOOKUP(B484,'03. THIẾT BỊ'!$B$1:$S$836,3,0),"")</f>
        <v>A23-MXM-011</v>
      </c>
      <c r="E484" s="464" t="str">
        <f>IFERROR(VLOOKUP(B484,'03. THIẾT BỊ'!$B$1:$S$836,4,0),"")</f>
        <v>ĐQSD</v>
      </c>
      <c r="F484" s="464" t="str">
        <f>IFERROR(VLOOKUP(B484,'03. THIẾT BỊ'!$B$1:$S$836,5,0),"")</f>
        <v>Rơ mooc gắn sau xe máy</v>
      </c>
      <c r="G484" s="80" t="s">
        <v>6423</v>
      </c>
      <c r="H484" s="463" t="str">
        <f>IFERROR(VLOOKUP(B484,'03. THIẾT BỊ'!$B$1:$S$836,7,0),"")</f>
        <v>XN Chuối DP2</v>
      </c>
      <c r="I484" s="474" t="str">
        <f>IFERROR(VLOOKUP(B484,'03. THIẾT BỊ'!$B$1:$S$836,8,0),"")</f>
        <v/>
      </c>
      <c r="J484" s="471"/>
      <c r="K484" s="463" t="str">
        <f>IFERROR(VLOOKUP(B484,'03. THIẾT BỊ'!$B$1:$S$836,10,0),"")</f>
        <v>Bình thường</v>
      </c>
      <c r="L484" s="468" t="str">
        <f>IFERROR(VLOOKUP(B484,'03. THIẾT BỊ'!$B$1:$S$836,11,0),"")</f>
        <v/>
      </c>
      <c r="M484" s="472" t="str">
        <f>IFERROR(VLOOKUP(B484,'03. THIẾT BỊ'!$B$1:$S$836,12,0),"")</f>
        <v/>
      </c>
      <c r="N484" s="468" t="str">
        <f>IFERROR(VLOOKUP(B484,'03. THIẾT BỊ'!$B$1:$S$836,13,0),"")</f>
        <v>THACO AGRI</v>
      </c>
      <c r="O484" s="470" t="str">
        <f>IFERROR(VLOOKUP(B484,'03. THIẾT BỊ'!$B$1:$S$836,14,0),"")</f>
        <v/>
      </c>
      <c r="P484" s="468" t="str">
        <f>IFERROR(VLOOKUP(B484,'03. THIẾT BỊ'!$B$1:$S$836,15,0),"")</f>
        <v>CK-CGH</v>
      </c>
      <c r="Q484" s="48" t="str">
        <f>IFERROR(VLOOKUP(B484,'03. THIẾT BỊ'!$B$1:$S$836,16,0),"")</f>
        <v/>
      </c>
      <c r="R484" s="471" t="str">
        <f>IFERROR(VLOOKUP(B484,'03. THIẾT BỊ'!$B$1:$S$836,17,0),"")</f>
        <v/>
      </c>
      <c r="S484" s="468" t="str">
        <f>IFERROR(VLOOKUP(B484,'03. THIẾT BỊ'!$B$1:$S$836,18,0),"")</f>
        <v/>
      </c>
      <c r="T484" s="812"/>
    </row>
    <row r="485" ht="15.0" customHeight="1">
      <c r="A485" s="475">
        <f t="shared" si="24"/>
        <v>13</v>
      </c>
      <c r="B485" s="464" t="s">
        <v>4192</v>
      </c>
      <c r="C485" s="869" t="str">
        <f>IFERROR(VLOOKUP(B485,'03. THIẾT BỊ'!$B$1:$S$836,2,0),"")</f>
        <v/>
      </c>
      <c r="D485" s="470" t="str">
        <f>IFERROR(VLOOKUP(B485,'03. THIẾT BỊ'!$B$1:$S$836,3,0),"")</f>
        <v>A23-MXM-012</v>
      </c>
      <c r="E485" s="464" t="str">
        <f>IFERROR(VLOOKUP(B485,'03. THIẾT BỊ'!$B$1:$S$836,4,0),"")</f>
        <v>ĐQSD</v>
      </c>
      <c r="F485" s="464" t="str">
        <f>IFERROR(VLOOKUP(B485,'03. THIẾT BỊ'!$B$1:$S$836,5,0),"")</f>
        <v>Rơ mooc gắn sau xe máy</v>
      </c>
      <c r="G485" s="80" t="s">
        <v>6423</v>
      </c>
      <c r="H485" s="463" t="str">
        <f>IFERROR(VLOOKUP(B485,'03. THIẾT BỊ'!$B$1:$S$836,7,0),"")</f>
        <v>XN Chuối DP2</v>
      </c>
      <c r="I485" s="474" t="str">
        <f>IFERROR(VLOOKUP(B485,'03. THIẾT BỊ'!$B$1:$S$836,8,0),"")</f>
        <v/>
      </c>
      <c r="J485" s="471"/>
      <c r="K485" s="463" t="str">
        <f>IFERROR(VLOOKUP(B485,'03. THIẾT BỊ'!$B$1:$S$836,10,0),"")</f>
        <v>Bình thường</v>
      </c>
      <c r="L485" s="468" t="str">
        <f>IFERROR(VLOOKUP(B485,'03. THIẾT BỊ'!$B$1:$S$836,11,0),"")</f>
        <v/>
      </c>
      <c r="M485" s="472" t="str">
        <f>IFERROR(VLOOKUP(B485,'03. THIẾT BỊ'!$B$1:$S$836,12,0),"")</f>
        <v/>
      </c>
      <c r="N485" s="468" t="str">
        <f>IFERROR(VLOOKUP(B485,'03. THIẾT BỊ'!$B$1:$S$836,13,0),"")</f>
        <v>THACO AGRI</v>
      </c>
      <c r="O485" s="470" t="str">
        <f>IFERROR(VLOOKUP(B485,'03. THIẾT BỊ'!$B$1:$S$836,14,0),"")</f>
        <v/>
      </c>
      <c r="P485" s="468" t="str">
        <f>IFERROR(VLOOKUP(B485,'03. THIẾT BỊ'!$B$1:$S$836,15,0),"")</f>
        <v>CK-CGH</v>
      </c>
      <c r="Q485" s="48" t="str">
        <f>IFERROR(VLOOKUP(B485,'03. THIẾT BỊ'!$B$1:$S$836,16,0),"")</f>
        <v/>
      </c>
      <c r="R485" s="471" t="str">
        <f>IFERROR(VLOOKUP(B485,'03. THIẾT BỊ'!$B$1:$S$836,17,0),"")</f>
        <v/>
      </c>
      <c r="S485" s="468" t="str">
        <f>IFERROR(VLOOKUP(B485,'03. THIẾT BỊ'!$B$1:$S$836,18,0),"")</f>
        <v/>
      </c>
      <c r="T485" s="812"/>
    </row>
    <row r="486" ht="15.0" customHeight="1">
      <c r="A486" s="475">
        <f t="shared" si="24"/>
        <v>14</v>
      </c>
      <c r="B486" s="464" t="s">
        <v>4194</v>
      </c>
      <c r="C486" s="869" t="str">
        <f>IFERROR(VLOOKUP(B486,'03. THIẾT BỊ'!$B$1:$S$836,2,0),"")</f>
        <v/>
      </c>
      <c r="D486" s="470" t="str">
        <f>IFERROR(VLOOKUP(B486,'03. THIẾT BỊ'!$B$1:$S$836,3,0),"")</f>
        <v>A23-MXM-013</v>
      </c>
      <c r="E486" s="464" t="str">
        <f>IFERROR(VLOOKUP(B486,'03. THIẾT BỊ'!$B$1:$S$836,4,0),"")</f>
        <v>ĐQSD</v>
      </c>
      <c r="F486" s="464" t="str">
        <f>IFERROR(VLOOKUP(B486,'03. THIẾT BỊ'!$B$1:$S$836,5,0),"")</f>
        <v>Rơ mooc gắn sau xe máy</v>
      </c>
      <c r="G486" s="80" t="s">
        <v>6423</v>
      </c>
      <c r="H486" s="463" t="str">
        <f>IFERROR(VLOOKUP(B486,'03. THIẾT BỊ'!$B$1:$S$836,7,0),"")</f>
        <v>XN Chuối DP2</v>
      </c>
      <c r="I486" s="474" t="str">
        <f>IFERROR(VLOOKUP(B486,'03. THIẾT BỊ'!$B$1:$S$836,8,0),"")</f>
        <v/>
      </c>
      <c r="J486" s="471"/>
      <c r="K486" s="463" t="str">
        <f>IFERROR(VLOOKUP(B486,'03. THIẾT BỊ'!$B$1:$S$836,10,0),"")</f>
        <v>Bình thường</v>
      </c>
      <c r="L486" s="468" t="str">
        <f>IFERROR(VLOOKUP(B486,'03. THIẾT BỊ'!$B$1:$S$836,11,0),"")</f>
        <v/>
      </c>
      <c r="M486" s="472" t="str">
        <f>IFERROR(VLOOKUP(B486,'03. THIẾT BỊ'!$B$1:$S$836,12,0),"")</f>
        <v/>
      </c>
      <c r="N486" s="468" t="str">
        <f>IFERROR(VLOOKUP(B486,'03. THIẾT BỊ'!$B$1:$S$836,13,0),"")</f>
        <v>THACO AGRI</v>
      </c>
      <c r="O486" s="470" t="str">
        <f>IFERROR(VLOOKUP(B486,'03. THIẾT BỊ'!$B$1:$S$836,14,0),"")</f>
        <v/>
      </c>
      <c r="P486" s="468" t="str">
        <f>IFERROR(VLOOKUP(B486,'03. THIẾT BỊ'!$B$1:$S$836,15,0),"")</f>
        <v>CK-CGH</v>
      </c>
      <c r="Q486" s="48" t="str">
        <f>IFERROR(VLOOKUP(B486,'03. THIẾT BỊ'!$B$1:$S$836,16,0),"")</f>
        <v/>
      </c>
      <c r="R486" s="471" t="str">
        <f>IFERROR(VLOOKUP(B486,'03. THIẾT BỊ'!$B$1:$S$836,17,0),"")</f>
        <v/>
      </c>
      <c r="S486" s="468" t="str">
        <f>IFERROR(VLOOKUP(B486,'03. THIẾT BỊ'!$B$1:$S$836,18,0),"")</f>
        <v/>
      </c>
      <c r="T486" s="812"/>
    </row>
    <row r="487" ht="15.0" customHeight="1">
      <c r="A487" s="475">
        <f t="shared" si="24"/>
        <v>15</v>
      </c>
      <c r="B487" s="464" t="s">
        <v>4196</v>
      </c>
      <c r="C487" s="869" t="str">
        <f>IFERROR(VLOOKUP(B487,'03. THIẾT BỊ'!$B$1:$S$836,2,0),"")</f>
        <v/>
      </c>
      <c r="D487" s="470" t="str">
        <f>IFERROR(VLOOKUP(B487,'03. THIẾT BỊ'!$B$1:$S$836,3,0),"")</f>
        <v>A23-MXM-014</v>
      </c>
      <c r="E487" s="464" t="str">
        <f>IFERROR(VLOOKUP(B487,'03. THIẾT BỊ'!$B$1:$S$836,4,0),"")</f>
        <v>ĐQSD</v>
      </c>
      <c r="F487" s="464" t="str">
        <f>IFERROR(VLOOKUP(B487,'03. THIẾT BỊ'!$B$1:$S$836,5,0),"")</f>
        <v>Rơ mooc gắn sau xe máy</v>
      </c>
      <c r="G487" s="80" t="s">
        <v>6423</v>
      </c>
      <c r="H487" s="463" t="str">
        <f>IFERROR(VLOOKUP(B487,'03. THIẾT BỊ'!$B$1:$S$836,7,0),"")</f>
        <v>XN Chuối DP2</v>
      </c>
      <c r="I487" s="474" t="str">
        <f>IFERROR(VLOOKUP(B487,'03. THIẾT BỊ'!$B$1:$S$836,8,0),"")</f>
        <v/>
      </c>
      <c r="J487" s="471"/>
      <c r="K487" s="463" t="str">
        <f>IFERROR(VLOOKUP(B487,'03. THIẾT BỊ'!$B$1:$S$836,10,0),"")</f>
        <v>Bình thường</v>
      </c>
      <c r="L487" s="468" t="str">
        <f>IFERROR(VLOOKUP(B487,'03. THIẾT BỊ'!$B$1:$S$836,11,0),"")</f>
        <v/>
      </c>
      <c r="M487" s="472" t="str">
        <f>IFERROR(VLOOKUP(B487,'03. THIẾT BỊ'!$B$1:$S$836,12,0),"")</f>
        <v/>
      </c>
      <c r="N487" s="468" t="str">
        <f>IFERROR(VLOOKUP(B487,'03. THIẾT BỊ'!$B$1:$S$836,13,0),"")</f>
        <v>THACO AGRI</v>
      </c>
      <c r="O487" s="470" t="str">
        <f>IFERROR(VLOOKUP(B487,'03. THIẾT BỊ'!$B$1:$S$836,14,0),"")</f>
        <v/>
      </c>
      <c r="P487" s="468" t="str">
        <f>IFERROR(VLOOKUP(B487,'03. THIẾT BỊ'!$B$1:$S$836,15,0),"")</f>
        <v>CK-CGH</v>
      </c>
      <c r="Q487" s="48" t="str">
        <f>IFERROR(VLOOKUP(B487,'03. THIẾT BỊ'!$B$1:$S$836,16,0),"")</f>
        <v/>
      </c>
      <c r="R487" s="471" t="str">
        <f>IFERROR(VLOOKUP(B487,'03. THIẾT BỊ'!$B$1:$S$836,17,0),"")</f>
        <v/>
      </c>
      <c r="S487" s="468" t="str">
        <f>IFERROR(VLOOKUP(B487,'03. THIẾT BỊ'!$B$1:$S$836,18,0),"")</f>
        <v/>
      </c>
      <c r="T487" s="812"/>
    </row>
    <row r="488" ht="15.0" customHeight="1">
      <c r="A488" s="475">
        <f t="shared" si="24"/>
        <v>16</v>
      </c>
      <c r="B488" s="464" t="s">
        <v>4198</v>
      </c>
      <c r="C488" s="869" t="str">
        <f>IFERROR(VLOOKUP(B488,'03. THIẾT BỊ'!$B$1:$S$836,2,0),"")</f>
        <v/>
      </c>
      <c r="D488" s="470" t="str">
        <f>IFERROR(VLOOKUP(B488,'03. THIẾT BỊ'!$B$1:$S$836,3,0),"")</f>
        <v>A23-MXM-015</v>
      </c>
      <c r="E488" s="464" t="str">
        <f>IFERROR(VLOOKUP(B488,'03. THIẾT BỊ'!$B$1:$S$836,4,0),"")</f>
        <v>ĐQSD</v>
      </c>
      <c r="F488" s="464" t="str">
        <f>IFERROR(VLOOKUP(B488,'03. THIẾT BỊ'!$B$1:$S$836,5,0),"")</f>
        <v>Rơ mooc gắn sau xe máy</v>
      </c>
      <c r="G488" s="80" t="s">
        <v>6423</v>
      </c>
      <c r="H488" s="463" t="str">
        <f>IFERROR(VLOOKUP(B488,'03. THIẾT BỊ'!$B$1:$S$836,7,0),"")</f>
        <v>XN Chuối DP2</v>
      </c>
      <c r="I488" s="474" t="str">
        <f>IFERROR(VLOOKUP(B488,'03. THIẾT BỊ'!$B$1:$S$836,8,0),"")</f>
        <v/>
      </c>
      <c r="J488" s="471"/>
      <c r="K488" s="463" t="str">
        <f>IFERROR(VLOOKUP(B488,'03. THIẾT BỊ'!$B$1:$S$836,10,0),"")</f>
        <v>Bình thường</v>
      </c>
      <c r="L488" s="468" t="str">
        <f>IFERROR(VLOOKUP(B488,'03. THIẾT BỊ'!$B$1:$S$836,11,0),"")</f>
        <v/>
      </c>
      <c r="M488" s="472" t="str">
        <f>IFERROR(VLOOKUP(B488,'03. THIẾT BỊ'!$B$1:$S$836,12,0),"")</f>
        <v/>
      </c>
      <c r="N488" s="468" t="str">
        <f>IFERROR(VLOOKUP(B488,'03. THIẾT BỊ'!$B$1:$S$836,13,0),"")</f>
        <v>THACO AGRI</v>
      </c>
      <c r="O488" s="470" t="str">
        <f>IFERROR(VLOOKUP(B488,'03. THIẾT BỊ'!$B$1:$S$836,14,0),"")</f>
        <v/>
      </c>
      <c r="P488" s="468" t="str">
        <f>IFERROR(VLOOKUP(B488,'03. THIẾT BỊ'!$B$1:$S$836,15,0),"")</f>
        <v>CK-CGH</v>
      </c>
      <c r="Q488" s="48" t="str">
        <f>IFERROR(VLOOKUP(B488,'03. THIẾT BỊ'!$B$1:$S$836,16,0),"")</f>
        <v/>
      </c>
      <c r="R488" s="471" t="str">
        <f>IFERROR(VLOOKUP(B488,'03. THIẾT BỊ'!$B$1:$S$836,17,0),"")</f>
        <v/>
      </c>
      <c r="S488" s="468" t="str">
        <f>IFERROR(VLOOKUP(B488,'03. THIẾT BỊ'!$B$1:$S$836,18,0),"")</f>
        <v/>
      </c>
      <c r="T488" s="812"/>
    </row>
    <row r="489" ht="15.0" customHeight="1">
      <c r="A489" s="475">
        <f t="shared" si="24"/>
        <v>17</v>
      </c>
      <c r="B489" s="464" t="s">
        <v>4317</v>
      </c>
      <c r="C489" s="869" t="str">
        <f>IFERROR(VLOOKUP(B489,'03. THIẾT BỊ'!$B$1:$S$836,2,0),"")</f>
        <v/>
      </c>
      <c r="D489" s="470" t="str">
        <f>IFERROR(VLOOKUP(B489,'03. THIẾT BỊ'!$B$1:$S$836,3,0),"")</f>
        <v>A23-MXM-016</v>
      </c>
      <c r="E489" s="464" t="str">
        <f>IFERROR(VLOOKUP(B489,'03. THIẾT BỊ'!$B$1:$S$836,4,0),"")</f>
        <v>ĐQSD</v>
      </c>
      <c r="F489" s="464" t="str">
        <f>IFERROR(VLOOKUP(B489,'03. THIẾT BỊ'!$B$1:$S$836,5,0),"")</f>
        <v>Rơ mooc gắn sau xe máy</v>
      </c>
      <c r="G489" s="80" t="s">
        <v>6423</v>
      </c>
      <c r="H489" s="463" t="str">
        <f>IFERROR(VLOOKUP(B489,'03. THIẾT BỊ'!$B$1:$S$836,7,0),"")</f>
        <v>XN Chuối DP3</v>
      </c>
      <c r="I489" s="474" t="str">
        <f>IFERROR(VLOOKUP(B489,'03. THIẾT BỊ'!$B$1:$S$836,8,0),"")</f>
        <v/>
      </c>
      <c r="J489" s="471"/>
      <c r="K489" s="463" t="str">
        <f>IFERROR(VLOOKUP(B489,'03. THIẾT BỊ'!$B$1:$S$836,10,0),"")</f>
        <v>Bình thường</v>
      </c>
      <c r="L489" s="468" t="str">
        <f>IFERROR(VLOOKUP(B489,'03. THIẾT BỊ'!$B$1:$S$836,11,0),"")</f>
        <v/>
      </c>
      <c r="M489" s="472" t="str">
        <f>IFERROR(VLOOKUP(B489,'03. THIẾT BỊ'!$B$1:$S$836,12,0),"")</f>
        <v/>
      </c>
      <c r="N489" s="468" t="str">
        <f>IFERROR(VLOOKUP(B489,'03. THIẾT BỊ'!$B$1:$S$836,13,0),"")</f>
        <v>THACO AGRI</v>
      </c>
      <c r="O489" s="470" t="str">
        <f>IFERROR(VLOOKUP(B489,'03. THIẾT BỊ'!$B$1:$S$836,14,0),"")</f>
        <v/>
      </c>
      <c r="P489" s="468" t="str">
        <f>IFERROR(VLOOKUP(B489,'03. THIẾT BỊ'!$B$1:$S$836,15,0),"")</f>
        <v>CK-CGH</v>
      </c>
      <c r="Q489" s="48" t="str">
        <f>IFERROR(VLOOKUP(B489,'03. THIẾT BỊ'!$B$1:$S$836,16,0),"")</f>
        <v/>
      </c>
      <c r="R489" s="471" t="str">
        <f>IFERROR(VLOOKUP(B489,'03. THIẾT BỊ'!$B$1:$S$836,17,0),"")</f>
        <v/>
      </c>
      <c r="S489" s="468" t="str">
        <f>IFERROR(VLOOKUP(B489,'03. THIẾT BỊ'!$B$1:$S$836,18,0),"")</f>
        <v/>
      </c>
      <c r="T489" s="959"/>
    </row>
    <row r="490" ht="15.0" customHeight="1">
      <c r="A490" s="475">
        <f t="shared" si="24"/>
        <v>18</v>
      </c>
      <c r="B490" s="464" t="s">
        <v>4319</v>
      </c>
      <c r="C490" s="869" t="str">
        <f>IFERROR(VLOOKUP(B490,'03. THIẾT BỊ'!$B$1:$S$836,2,0),"")</f>
        <v/>
      </c>
      <c r="D490" s="470" t="str">
        <f>IFERROR(VLOOKUP(B490,'03. THIẾT BỊ'!$B$1:$S$836,3,0),"")</f>
        <v>A23-MXM-017</v>
      </c>
      <c r="E490" s="464" t="str">
        <f>IFERROR(VLOOKUP(B490,'03. THIẾT BỊ'!$B$1:$S$836,4,0),"")</f>
        <v>ĐQSD</v>
      </c>
      <c r="F490" s="464" t="str">
        <f>IFERROR(VLOOKUP(B490,'03. THIẾT BỊ'!$B$1:$S$836,5,0),"")</f>
        <v>Rơ mooc gắn sau xe máy</v>
      </c>
      <c r="G490" s="80" t="s">
        <v>6423</v>
      </c>
      <c r="H490" s="463" t="str">
        <f>IFERROR(VLOOKUP(B490,'03. THIẾT BỊ'!$B$1:$S$836,7,0),"")</f>
        <v>XN Chuối DP3</v>
      </c>
      <c r="I490" s="474" t="str">
        <f>IFERROR(VLOOKUP(B490,'03. THIẾT BỊ'!$B$1:$S$836,8,0),"")</f>
        <v/>
      </c>
      <c r="J490" s="471"/>
      <c r="K490" s="463" t="str">
        <f>IFERROR(VLOOKUP(B490,'03. THIẾT BỊ'!$B$1:$S$836,10,0),"")</f>
        <v>Bình thường</v>
      </c>
      <c r="L490" s="468" t="str">
        <f>IFERROR(VLOOKUP(B490,'03. THIẾT BỊ'!$B$1:$S$836,11,0),"")</f>
        <v/>
      </c>
      <c r="M490" s="472" t="str">
        <f>IFERROR(VLOOKUP(B490,'03. THIẾT BỊ'!$B$1:$S$836,12,0),"")</f>
        <v/>
      </c>
      <c r="N490" s="468" t="str">
        <f>IFERROR(VLOOKUP(B490,'03. THIẾT BỊ'!$B$1:$S$836,13,0),"")</f>
        <v>THACO AGRI</v>
      </c>
      <c r="O490" s="470" t="str">
        <f>IFERROR(VLOOKUP(B490,'03. THIẾT BỊ'!$B$1:$S$836,14,0),"")</f>
        <v/>
      </c>
      <c r="P490" s="468" t="str">
        <f>IFERROR(VLOOKUP(B490,'03. THIẾT BỊ'!$B$1:$S$836,15,0),"")</f>
        <v>CK-CGH</v>
      </c>
      <c r="Q490" s="48" t="str">
        <f>IFERROR(VLOOKUP(B490,'03. THIẾT BỊ'!$B$1:$S$836,16,0),"")</f>
        <v/>
      </c>
      <c r="R490" s="471" t="str">
        <f>IFERROR(VLOOKUP(B490,'03. THIẾT BỊ'!$B$1:$S$836,17,0),"")</f>
        <v/>
      </c>
      <c r="S490" s="468" t="str">
        <f>IFERROR(VLOOKUP(B490,'03. THIẾT BỊ'!$B$1:$S$836,18,0),"")</f>
        <v/>
      </c>
      <c r="T490" s="959"/>
    </row>
    <row r="491" ht="15.0" customHeight="1">
      <c r="A491" s="475">
        <f t="shared" si="24"/>
        <v>19</v>
      </c>
      <c r="B491" s="464" t="s">
        <v>4321</v>
      </c>
      <c r="C491" s="869" t="str">
        <f>IFERROR(VLOOKUP(B491,'03. THIẾT BỊ'!$B$1:$S$836,2,0),"")</f>
        <v/>
      </c>
      <c r="D491" s="470" t="str">
        <f>IFERROR(VLOOKUP(B491,'03. THIẾT BỊ'!$B$1:$S$836,3,0),"")</f>
        <v>A23-MXM-018</v>
      </c>
      <c r="E491" s="464" t="str">
        <f>IFERROR(VLOOKUP(B491,'03. THIẾT BỊ'!$B$1:$S$836,4,0),"")</f>
        <v>ĐQSD</v>
      </c>
      <c r="F491" s="464" t="str">
        <f>IFERROR(VLOOKUP(B491,'03. THIẾT BỊ'!$B$1:$S$836,5,0),"")</f>
        <v>Rơ mooc gắn sau xe máy</v>
      </c>
      <c r="G491" s="80" t="s">
        <v>6423</v>
      </c>
      <c r="H491" s="463" t="str">
        <f>IFERROR(VLOOKUP(B491,'03. THIẾT BỊ'!$B$1:$S$836,7,0),"")</f>
        <v>XN Chuối DP3</v>
      </c>
      <c r="I491" s="474" t="str">
        <f>IFERROR(VLOOKUP(B491,'03. THIẾT BỊ'!$B$1:$S$836,8,0),"")</f>
        <v/>
      </c>
      <c r="J491" s="471"/>
      <c r="K491" s="463" t="str">
        <f>IFERROR(VLOOKUP(B491,'03. THIẾT BỊ'!$B$1:$S$836,10,0),"")</f>
        <v>Bình thường</v>
      </c>
      <c r="L491" s="468" t="str">
        <f>IFERROR(VLOOKUP(B491,'03. THIẾT BỊ'!$B$1:$S$836,11,0),"")</f>
        <v/>
      </c>
      <c r="M491" s="472" t="str">
        <f>IFERROR(VLOOKUP(B491,'03. THIẾT BỊ'!$B$1:$S$836,12,0),"")</f>
        <v/>
      </c>
      <c r="N491" s="468" t="str">
        <f>IFERROR(VLOOKUP(B491,'03. THIẾT BỊ'!$B$1:$S$836,13,0),"")</f>
        <v>THACO AGRI</v>
      </c>
      <c r="O491" s="470" t="str">
        <f>IFERROR(VLOOKUP(B491,'03. THIẾT BỊ'!$B$1:$S$836,14,0),"")</f>
        <v/>
      </c>
      <c r="P491" s="468" t="str">
        <f>IFERROR(VLOOKUP(B491,'03. THIẾT BỊ'!$B$1:$S$836,15,0),"")</f>
        <v>CK-CGH</v>
      </c>
      <c r="Q491" s="48" t="str">
        <f>IFERROR(VLOOKUP(B491,'03. THIẾT BỊ'!$B$1:$S$836,16,0),"")</f>
        <v/>
      </c>
      <c r="R491" s="471" t="str">
        <f>IFERROR(VLOOKUP(B491,'03. THIẾT BỊ'!$B$1:$S$836,17,0),"")</f>
        <v/>
      </c>
      <c r="S491" s="468" t="str">
        <f>IFERROR(VLOOKUP(B491,'03. THIẾT BỊ'!$B$1:$S$836,18,0),"")</f>
        <v/>
      </c>
      <c r="T491" s="959"/>
    </row>
    <row r="492" ht="15.0" customHeight="1">
      <c r="A492" s="475">
        <f t="shared" si="24"/>
        <v>20</v>
      </c>
      <c r="B492" s="464" t="s">
        <v>4323</v>
      </c>
      <c r="C492" s="869" t="str">
        <f>IFERROR(VLOOKUP(B492,'03. THIẾT BỊ'!$B$1:$S$836,2,0),"")</f>
        <v/>
      </c>
      <c r="D492" s="470" t="str">
        <f>IFERROR(VLOOKUP(B492,'03. THIẾT BỊ'!$B$1:$S$836,3,0),"")</f>
        <v>A23-MXM-019</v>
      </c>
      <c r="E492" s="464" t="str">
        <f>IFERROR(VLOOKUP(B492,'03. THIẾT BỊ'!$B$1:$S$836,4,0),"")</f>
        <v>ĐQSD</v>
      </c>
      <c r="F492" s="464" t="str">
        <f>IFERROR(VLOOKUP(B492,'03. THIẾT BỊ'!$B$1:$S$836,5,0),"")</f>
        <v>Rơ mooc gắn sau xe máy</v>
      </c>
      <c r="G492" s="80" t="s">
        <v>6423</v>
      </c>
      <c r="H492" s="463" t="str">
        <f>IFERROR(VLOOKUP(B492,'03. THIẾT BỊ'!$B$1:$S$836,7,0),"")</f>
        <v>XN Chuối DP3</v>
      </c>
      <c r="I492" s="474" t="str">
        <f>IFERROR(VLOOKUP(B492,'03. THIẾT BỊ'!$B$1:$S$836,8,0),"")</f>
        <v/>
      </c>
      <c r="J492" s="471"/>
      <c r="K492" s="463" t="str">
        <f>IFERROR(VLOOKUP(B492,'03. THIẾT BỊ'!$B$1:$S$836,10,0),"")</f>
        <v>Bình thường</v>
      </c>
      <c r="L492" s="468" t="str">
        <f>IFERROR(VLOOKUP(B492,'03. THIẾT BỊ'!$B$1:$S$836,11,0),"")</f>
        <v/>
      </c>
      <c r="M492" s="472" t="str">
        <f>IFERROR(VLOOKUP(B492,'03. THIẾT BỊ'!$B$1:$S$836,12,0),"")</f>
        <v/>
      </c>
      <c r="N492" s="468" t="str">
        <f>IFERROR(VLOOKUP(B492,'03. THIẾT BỊ'!$B$1:$S$836,13,0),"")</f>
        <v>THACO AGRI</v>
      </c>
      <c r="O492" s="470" t="str">
        <f>IFERROR(VLOOKUP(B492,'03. THIẾT BỊ'!$B$1:$S$836,14,0),"")</f>
        <v/>
      </c>
      <c r="P492" s="468" t="str">
        <f>IFERROR(VLOOKUP(B492,'03. THIẾT BỊ'!$B$1:$S$836,15,0),"")</f>
        <v>CK-CGH</v>
      </c>
      <c r="Q492" s="48" t="str">
        <f>IFERROR(VLOOKUP(B492,'03. THIẾT BỊ'!$B$1:$S$836,16,0),"")</f>
        <v/>
      </c>
      <c r="R492" s="471" t="str">
        <f>IFERROR(VLOOKUP(B492,'03. THIẾT BỊ'!$B$1:$S$836,17,0),"")</f>
        <v/>
      </c>
      <c r="S492" s="468" t="str">
        <f>IFERROR(VLOOKUP(B492,'03. THIẾT BỊ'!$B$1:$S$836,18,0),"")</f>
        <v/>
      </c>
      <c r="T492" s="959"/>
    </row>
    <row r="493" ht="15.0" customHeight="1">
      <c r="A493" s="475">
        <f t="shared" si="24"/>
        <v>21</v>
      </c>
      <c r="B493" s="464" t="s">
        <v>4325</v>
      </c>
      <c r="C493" s="869" t="str">
        <f>IFERROR(VLOOKUP(B493,'03. THIẾT BỊ'!$B$1:$S$836,2,0),"")</f>
        <v/>
      </c>
      <c r="D493" s="470" t="str">
        <f>IFERROR(VLOOKUP(B493,'03. THIẾT BỊ'!$B$1:$S$836,3,0),"")</f>
        <v>A23-MXM-020</v>
      </c>
      <c r="E493" s="464" t="str">
        <f>IFERROR(VLOOKUP(B493,'03. THIẾT BỊ'!$B$1:$S$836,4,0),"")</f>
        <v>ĐQSD</v>
      </c>
      <c r="F493" s="464" t="str">
        <f>IFERROR(VLOOKUP(B493,'03. THIẾT BỊ'!$B$1:$S$836,5,0),"")</f>
        <v>Rơ mooc gắn sau xe máy</v>
      </c>
      <c r="G493" s="80" t="s">
        <v>6423</v>
      </c>
      <c r="H493" s="463" t="str">
        <f>IFERROR(VLOOKUP(B493,'03. THIẾT BỊ'!$B$1:$S$836,7,0),"")</f>
        <v>XN Chuối DP3</v>
      </c>
      <c r="I493" s="474" t="str">
        <f>IFERROR(VLOOKUP(B493,'03. THIẾT BỊ'!$B$1:$S$836,8,0),"")</f>
        <v/>
      </c>
      <c r="J493" s="471"/>
      <c r="K493" s="463" t="str">
        <f>IFERROR(VLOOKUP(B493,'03. THIẾT BỊ'!$B$1:$S$836,10,0),"")</f>
        <v>Bình thường</v>
      </c>
      <c r="L493" s="468" t="str">
        <f>IFERROR(VLOOKUP(B493,'03. THIẾT BỊ'!$B$1:$S$836,11,0),"")</f>
        <v/>
      </c>
      <c r="M493" s="472" t="str">
        <f>IFERROR(VLOOKUP(B493,'03. THIẾT BỊ'!$B$1:$S$836,12,0),"")</f>
        <v/>
      </c>
      <c r="N493" s="468" t="str">
        <f>IFERROR(VLOOKUP(B493,'03. THIẾT BỊ'!$B$1:$S$836,13,0),"")</f>
        <v>THACO AGRI</v>
      </c>
      <c r="O493" s="470" t="str">
        <f>IFERROR(VLOOKUP(B493,'03. THIẾT BỊ'!$B$1:$S$836,14,0),"")</f>
        <v/>
      </c>
      <c r="P493" s="468" t="str">
        <f>IFERROR(VLOOKUP(B493,'03. THIẾT BỊ'!$B$1:$S$836,15,0),"")</f>
        <v>CK-CGH</v>
      </c>
      <c r="Q493" s="48" t="str">
        <f>IFERROR(VLOOKUP(B493,'03. THIẾT BỊ'!$B$1:$S$836,16,0),"")</f>
        <v/>
      </c>
      <c r="R493" s="471" t="str">
        <f>IFERROR(VLOOKUP(B493,'03. THIẾT BỊ'!$B$1:$S$836,17,0),"")</f>
        <v/>
      </c>
      <c r="S493" s="468" t="str">
        <f>IFERROR(VLOOKUP(B493,'03. THIẾT BỊ'!$B$1:$S$836,18,0),"")</f>
        <v/>
      </c>
      <c r="T493" s="959"/>
    </row>
    <row r="494" ht="15.0" customHeight="1">
      <c r="A494" s="475">
        <f t="shared" si="24"/>
        <v>22</v>
      </c>
      <c r="B494" s="464" t="s">
        <v>4327</v>
      </c>
      <c r="C494" s="869" t="str">
        <f>IFERROR(VLOOKUP(B494,'03. THIẾT BỊ'!$B$1:$S$836,2,0),"")</f>
        <v/>
      </c>
      <c r="D494" s="470" t="str">
        <f>IFERROR(VLOOKUP(B494,'03. THIẾT BỊ'!$B$1:$S$836,3,0),"")</f>
        <v>A23-MXM-021</v>
      </c>
      <c r="E494" s="464" t="str">
        <f>IFERROR(VLOOKUP(B494,'03. THIẾT BỊ'!$B$1:$S$836,4,0),"")</f>
        <v>ĐQSD</v>
      </c>
      <c r="F494" s="464" t="str">
        <f>IFERROR(VLOOKUP(B494,'03. THIẾT BỊ'!$B$1:$S$836,5,0),"")</f>
        <v>Rơ mooc gắn sau xe máy</v>
      </c>
      <c r="G494" s="80" t="s">
        <v>6423</v>
      </c>
      <c r="H494" s="463" t="str">
        <f>IFERROR(VLOOKUP(B494,'03. THIẾT BỊ'!$B$1:$S$836,7,0),"")</f>
        <v>XN Chuối DP3</v>
      </c>
      <c r="I494" s="474" t="str">
        <f>IFERROR(VLOOKUP(B494,'03. THIẾT BỊ'!$B$1:$S$836,8,0),"")</f>
        <v/>
      </c>
      <c r="J494" s="471"/>
      <c r="K494" s="463" t="str">
        <f>IFERROR(VLOOKUP(B494,'03. THIẾT BỊ'!$B$1:$S$836,10,0),"")</f>
        <v>Bình thường</v>
      </c>
      <c r="L494" s="468" t="str">
        <f>IFERROR(VLOOKUP(B494,'03. THIẾT BỊ'!$B$1:$S$836,11,0),"")</f>
        <v/>
      </c>
      <c r="M494" s="472" t="str">
        <f>IFERROR(VLOOKUP(B494,'03. THIẾT BỊ'!$B$1:$S$836,12,0),"")</f>
        <v/>
      </c>
      <c r="N494" s="468" t="str">
        <f>IFERROR(VLOOKUP(B494,'03. THIẾT BỊ'!$B$1:$S$836,13,0),"")</f>
        <v>THACO AGRI</v>
      </c>
      <c r="O494" s="470" t="str">
        <f>IFERROR(VLOOKUP(B494,'03. THIẾT BỊ'!$B$1:$S$836,14,0),"")</f>
        <v/>
      </c>
      <c r="P494" s="468" t="str">
        <f>IFERROR(VLOOKUP(B494,'03. THIẾT BỊ'!$B$1:$S$836,15,0),"")</f>
        <v>CK-CGH</v>
      </c>
      <c r="Q494" s="48" t="str">
        <f>IFERROR(VLOOKUP(B494,'03. THIẾT BỊ'!$B$1:$S$836,16,0),"")</f>
        <v/>
      </c>
      <c r="R494" s="471" t="str">
        <f>IFERROR(VLOOKUP(B494,'03. THIẾT BỊ'!$B$1:$S$836,17,0),"")</f>
        <v/>
      </c>
      <c r="S494" s="468" t="str">
        <f>IFERROR(VLOOKUP(B494,'03. THIẾT BỊ'!$B$1:$S$836,18,0),"")</f>
        <v/>
      </c>
      <c r="T494" s="959"/>
    </row>
    <row r="495" ht="15.0" customHeight="1">
      <c r="A495" s="475">
        <f t="shared" si="24"/>
        <v>23</v>
      </c>
      <c r="B495" s="464" t="s">
        <v>4483</v>
      </c>
      <c r="C495" s="869" t="str">
        <f>IFERROR(VLOOKUP(B495,'03. THIẾT BỊ'!$B$1:$S$836,2,0),"")</f>
        <v/>
      </c>
      <c r="D495" s="470" t="str">
        <f>IFERROR(VLOOKUP(B495,'03. THIẾT BỊ'!$B$1:$S$836,3,0),"")</f>
        <v>A24-MXM-009</v>
      </c>
      <c r="E495" s="464" t="str">
        <f>IFERROR(VLOOKUP(B495,'03. THIẾT BỊ'!$B$1:$S$836,4,0),"")</f>
        <v>ĐQSD</v>
      </c>
      <c r="F495" s="464" t="str">
        <f>IFERROR(VLOOKUP(B495,'03. THIẾT BỊ'!$B$1:$S$836,5,0),"")</f>
        <v>Rơ mooc gắn sau xe máy </v>
      </c>
      <c r="G495" s="80" t="s">
        <v>6423</v>
      </c>
      <c r="H495" s="463" t="str">
        <f>IFERROR(VLOOKUP(B495,'03. THIẾT BỊ'!$B$1:$S$836,7,0),"")</f>
        <v>XN Chuối LP1</v>
      </c>
      <c r="I495" s="474" t="str">
        <f>IFERROR(VLOOKUP(B495,'03. THIẾT BỊ'!$B$1:$S$836,8,0),"")</f>
        <v>16/07/2024</v>
      </c>
      <c r="J495" s="471"/>
      <c r="K495" s="463" t="str">
        <f>IFERROR(VLOOKUP(B495,'03. THIẾT BỊ'!$B$1:$S$836,10,0),"")</f>
        <v>Bình thường</v>
      </c>
      <c r="L495" s="468" t="str">
        <f>IFERROR(VLOOKUP(B495,'03. THIẾT BỊ'!$B$1:$S$836,11,0),"")</f>
        <v>Đ.chuyển từ XN LP4 ngày 16/07/2024</v>
      </c>
      <c r="M495" s="472" t="str">
        <f>IFERROR(VLOOKUP(B495,'03. THIẾT BỊ'!$B$1:$S$836,12,0),"")</f>
        <v/>
      </c>
      <c r="N495" s="468" t="str">
        <f>IFERROR(VLOOKUP(B495,'03. THIẾT BỊ'!$B$1:$S$836,13,0),"")</f>
        <v>THACO AGRI</v>
      </c>
      <c r="O495" s="470" t="str">
        <f>IFERROR(VLOOKUP(B495,'03. THIẾT BỊ'!$B$1:$S$836,14,0),"")</f>
        <v/>
      </c>
      <c r="P495" s="468" t="str">
        <f>IFERROR(VLOOKUP(B495,'03. THIẾT BỊ'!$B$1:$S$836,15,0),"")</f>
        <v>CK-CGH</v>
      </c>
      <c r="Q495" s="48" t="str">
        <f>IFERROR(VLOOKUP(B495,'03. THIẾT BỊ'!$B$1:$S$836,16,0),"")</f>
        <v/>
      </c>
      <c r="R495" s="471" t="str">
        <f>IFERROR(VLOOKUP(B495,'03. THIẾT BỊ'!$B$1:$S$836,17,0),"")</f>
        <v/>
      </c>
      <c r="S495" s="468" t="str">
        <f>IFERROR(VLOOKUP(B495,'03. THIẾT BỊ'!$B$1:$S$836,18,0),"")</f>
        <v/>
      </c>
      <c r="T495" s="807"/>
    </row>
    <row r="496" ht="15.0" customHeight="1">
      <c r="A496" s="475">
        <f t="shared" si="24"/>
        <v>24</v>
      </c>
      <c r="B496" s="464" t="s">
        <v>4485</v>
      </c>
      <c r="C496" s="869" t="str">
        <f>IFERROR(VLOOKUP(B496,'03. THIẾT BỊ'!$B$1:$S$836,2,0),"")</f>
        <v>XA2-MXM-001</v>
      </c>
      <c r="D496" s="470" t="str">
        <f>IFERROR(VLOOKUP(B496,'03. THIẾT BỊ'!$B$1:$S$836,3,0),"")</f>
        <v>A22-MXM-001</v>
      </c>
      <c r="E496" s="464" t="str">
        <f>IFERROR(VLOOKUP(B496,'03. THIẾT BỊ'!$B$1:$S$836,4,0),"")</f>
        <v>ĐQSD</v>
      </c>
      <c r="F496" s="464" t="str">
        <f>IFERROR(VLOOKUP(B496,'03. THIẾT BỊ'!$B$1:$S$836,5,0),"")</f>
        <v>Rơ mooc gắn sau xe máy </v>
      </c>
      <c r="G496" s="80" t="s">
        <v>6423</v>
      </c>
      <c r="H496" s="463" t="str">
        <f>IFERROR(VLOOKUP(B496,'03. THIẾT BỊ'!$B$1:$S$836,7,0),"")</f>
        <v>XN Chuối LP1</v>
      </c>
      <c r="I496" s="474" t="str">
        <f>IFERROR(VLOOKUP(B496,'03. THIẾT BỊ'!$B$1:$S$836,8,0),"")</f>
        <v>20/02/2025</v>
      </c>
      <c r="J496" s="471"/>
      <c r="K496" s="463" t="str">
        <f>IFERROR(VLOOKUP(B496,'03. THIẾT BỊ'!$B$1:$S$836,10,0),"")</f>
        <v>Bình thường</v>
      </c>
      <c r="L496" s="468" t="str">
        <f>IFERROR(VLOOKUP(B496,'03. THIẾT BỊ'!$B$1:$S$836,11,0),"")</f>
        <v>Đ.chuyển từ XN AD2 ngày 20/02/2025</v>
      </c>
      <c r="M496" s="472" t="str">
        <f>IFERROR(VLOOKUP(B496,'03. THIẾT BỊ'!$B$1:$S$836,12,0),"")</f>
        <v/>
      </c>
      <c r="N496" s="468" t="str">
        <f>IFERROR(VLOOKUP(B496,'03. THIẾT BỊ'!$B$1:$S$836,13,0),"")</f>
        <v>THACO AGRI</v>
      </c>
      <c r="O496" s="470" t="str">
        <f>IFERROR(VLOOKUP(B496,'03. THIẾT BỊ'!$B$1:$S$836,14,0),"")</f>
        <v/>
      </c>
      <c r="P496" s="468" t="str">
        <f>IFERROR(VLOOKUP(B496,'03. THIẾT BỊ'!$B$1:$S$836,15,0),"")</f>
        <v>CK-CGH</v>
      </c>
      <c r="Q496" s="48" t="str">
        <f>IFERROR(VLOOKUP(B496,'03. THIẾT BỊ'!$B$1:$S$836,16,0),"")</f>
        <v/>
      </c>
      <c r="R496" s="471" t="str">
        <f>IFERROR(VLOOKUP(B496,'03. THIẾT BỊ'!$B$1:$S$836,17,0),"")</f>
        <v/>
      </c>
      <c r="S496" s="468" t="str">
        <f>IFERROR(VLOOKUP(B496,'03. THIẾT BỊ'!$B$1:$S$836,18,0),"")</f>
        <v/>
      </c>
      <c r="T496" s="807"/>
    </row>
    <row r="497" ht="15.0" customHeight="1">
      <c r="A497" s="475">
        <f t="shared" si="24"/>
        <v>25</v>
      </c>
      <c r="B497" s="464" t="s">
        <v>4490</v>
      </c>
      <c r="C497" s="869" t="str">
        <f>IFERROR(VLOOKUP(B497,'03. THIẾT BỊ'!$B$1:$S$836,2,0),"")</f>
        <v>XA2-MXM-002</v>
      </c>
      <c r="D497" s="470" t="str">
        <f>IFERROR(VLOOKUP(B497,'03. THIẾT BỊ'!$B$1:$S$836,3,0),"")</f>
        <v>A22-MXM-002</v>
      </c>
      <c r="E497" s="464" t="str">
        <f>IFERROR(VLOOKUP(B497,'03. THIẾT BỊ'!$B$1:$S$836,4,0),"")</f>
        <v>ĐQSD</v>
      </c>
      <c r="F497" s="464" t="str">
        <f>IFERROR(VLOOKUP(B497,'03. THIẾT BỊ'!$B$1:$S$836,5,0),"")</f>
        <v>Rơ mooc gắn sau xe máy </v>
      </c>
      <c r="G497" s="80" t="s">
        <v>6423</v>
      </c>
      <c r="H497" s="463" t="str">
        <f>IFERROR(VLOOKUP(B497,'03. THIẾT BỊ'!$B$1:$S$836,7,0),"")</f>
        <v>XN Chuối LP1</v>
      </c>
      <c r="I497" s="474" t="str">
        <f>IFERROR(VLOOKUP(B497,'03. THIẾT BỊ'!$B$1:$S$836,8,0),"")</f>
        <v>20/02/2025</v>
      </c>
      <c r="J497" s="471"/>
      <c r="K497" s="463" t="str">
        <f>IFERROR(VLOOKUP(B497,'03. THIẾT BỊ'!$B$1:$S$836,10,0),"")</f>
        <v>Bình thường</v>
      </c>
      <c r="L497" s="468" t="str">
        <f>IFERROR(VLOOKUP(B497,'03. THIẾT BỊ'!$B$1:$S$836,11,0),"")</f>
        <v>Đ.chuyển từ XN AD2 ngày 20/02/2025</v>
      </c>
      <c r="M497" s="472" t="str">
        <f>IFERROR(VLOOKUP(B497,'03. THIẾT BỊ'!$B$1:$S$836,12,0),"")</f>
        <v/>
      </c>
      <c r="N497" s="468" t="str">
        <f>IFERROR(VLOOKUP(B497,'03. THIẾT BỊ'!$B$1:$S$836,13,0),"")</f>
        <v>THACO AGRI</v>
      </c>
      <c r="O497" s="470" t="str">
        <f>IFERROR(VLOOKUP(B497,'03. THIẾT BỊ'!$B$1:$S$836,14,0),"")</f>
        <v/>
      </c>
      <c r="P497" s="468" t="str">
        <f>IFERROR(VLOOKUP(B497,'03. THIẾT BỊ'!$B$1:$S$836,15,0),"")</f>
        <v>CK-CGH</v>
      </c>
      <c r="Q497" s="48" t="str">
        <f>IFERROR(VLOOKUP(B497,'03. THIẾT BỊ'!$B$1:$S$836,16,0),"")</f>
        <v/>
      </c>
      <c r="R497" s="471" t="str">
        <f>IFERROR(VLOOKUP(B497,'03. THIẾT BỊ'!$B$1:$S$836,17,0),"")</f>
        <v/>
      </c>
      <c r="S497" s="468" t="str">
        <f>IFERROR(VLOOKUP(B497,'03. THIẾT BỊ'!$B$1:$S$836,18,0),"")</f>
        <v/>
      </c>
      <c r="T497" s="807"/>
    </row>
    <row r="498" ht="15.0" customHeight="1">
      <c r="A498" s="475">
        <f t="shared" si="24"/>
        <v>26</v>
      </c>
      <c r="B498" s="464" t="s">
        <v>4493</v>
      </c>
      <c r="C498" s="869" t="str">
        <f>IFERROR(VLOOKUP(B498,'03. THIẾT BỊ'!$B$1:$S$836,2,0),"")</f>
        <v>XA2-MXM-003</v>
      </c>
      <c r="D498" s="470" t="str">
        <f>IFERROR(VLOOKUP(B498,'03. THIẾT BỊ'!$B$1:$S$836,3,0),"")</f>
        <v>A22-MXM-003</v>
      </c>
      <c r="E498" s="464" t="str">
        <f>IFERROR(VLOOKUP(B498,'03. THIẾT BỊ'!$B$1:$S$836,4,0),"")</f>
        <v>ĐQSD</v>
      </c>
      <c r="F498" s="464" t="str">
        <f>IFERROR(VLOOKUP(B498,'03. THIẾT BỊ'!$B$1:$S$836,5,0),"")</f>
        <v>Rơ mooc gắn sau xe máy </v>
      </c>
      <c r="G498" s="80" t="s">
        <v>6423</v>
      </c>
      <c r="H498" s="463" t="str">
        <f>IFERROR(VLOOKUP(B498,'03. THIẾT BỊ'!$B$1:$S$836,7,0),"")</f>
        <v>XN Chuối LP1</v>
      </c>
      <c r="I498" s="474" t="str">
        <f>IFERROR(VLOOKUP(B498,'03. THIẾT BỊ'!$B$1:$S$836,8,0),"")</f>
        <v>20/02/2025</v>
      </c>
      <c r="J498" s="471"/>
      <c r="K498" s="463" t="str">
        <f>IFERROR(VLOOKUP(B498,'03. THIẾT BỊ'!$B$1:$S$836,10,0),"")</f>
        <v>Bình thường</v>
      </c>
      <c r="L498" s="468" t="str">
        <f>IFERROR(VLOOKUP(B498,'03. THIẾT BỊ'!$B$1:$S$836,11,0),"")</f>
        <v>Đ.chuyển từ XN AD2 ngày 20/02/2025</v>
      </c>
      <c r="M498" s="472" t="str">
        <f>IFERROR(VLOOKUP(B498,'03. THIẾT BỊ'!$B$1:$S$836,12,0),"")</f>
        <v/>
      </c>
      <c r="N498" s="468" t="str">
        <f>IFERROR(VLOOKUP(B498,'03. THIẾT BỊ'!$B$1:$S$836,13,0),"")</f>
        <v>THACO AGRI</v>
      </c>
      <c r="O498" s="470" t="str">
        <f>IFERROR(VLOOKUP(B498,'03. THIẾT BỊ'!$B$1:$S$836,14,0),"")</f>
        <v/>
      </c>
      <c r="P498" s="468" t="str">
        <f>IFERROR(VLOOKUP(B498,'03. THIẾT BỊ'!$B$1:$S$836,15,0),"")</f>
        <v>CK-CGH</v>
      </c>
      <c r="Q498" s="48" t="str">
        <f>IFERROR(VLOOKUP(B498,'03. THIẾT BỊ'!$B$1:$S$836,16,0),"")</f>
        <v/>
      </c>
      <c r="R498" s="471" t="str">
        <f>IFERROR(VLOOKUP(B498,'03. THIẾT BỊ'!$B$1:$S$836,17,0),"")</f>
        <v/>
      </c>
      <c r="S498" s="468" t="str">
        <f>IFERROR(VLOOKUP(B498,'03. THIẾT BỊ'!$B$1:$S$836,18,0),"")</f>
        <v/>
      </c>
      <c r="T498" s="807"/>
    </row>
    <row r="499" ht="15.0" customHeight="1">
      <c r="A499" s="475">
        <f t="shared" si="24"/>
        <v>27</v>
      </c>
      <c r="B499" s="464" t="s">
        <v>4655</v>
      </c>
      <c r="C499" s="869" t="str">
        <f>IFERROR(VLOOKUP(B499,'03. THIẾT BỊ'!$B$1:$S$836,2,0),"")</f>
        <v>CK-MXM-33 </v>
      </c>
      <c r="D499" s="470" t="str">
        <f>IFERROR(VLOOKUP(B499,'03. THIẾT BỊ'!$B$1:$S$836,3,0),"")</f>
        <v>A24-MXM-001</v>
      </c>
      <c r="E499" s="464" t="str">
        <f>IFERROR(VLOOKUP(B499,'03. THIẾT BỊ'!$B$1:$S$836,4,0),"")</f>
        <v>ĐQSD</v>
      </c>
      <c r="F499" s="464" t="str">
        <f>IFERROR(VLOOKUP(B499,'03. THIẾT BỊ'!$B$1:$S$836,5,0),"")</f>
        <v>Rơ mooc gắn sau xe máy </v>
      </c>
      <c r="G499" s="80" t="s">
        <v>6423</v>
      </c>
      <c r="H499" s="463" t="str">
        <f>IFERROR(VLOOKUP(B499,'03. THIẾT BỊ'!$B$1:$S$836,7,0),"")</f>
        <v>XN Chuối LP3</v>
      </c>
      <c r="I499" s="474" t="str">
        <f>IFERROR(VLOOKUP(B499,'03. THIẾT BỊ'!$B$1:$S$836,8,0),"")</f>
        <v>26/04/2024</v>
      </c>
      <c r="J499" s="471"/>
      <c r="K499" s="463" t="str">
        <f>IFERROR(VLOOKUP(B499,'03. THIẾT BỊ'!$B$1:$S$836,10,0),"")</f>
        <v>Bình thường</v>
      </c>
      <c r="L499" s="468" t="str">
        <f>IFERROR(VLOOKUP(B499,'03. THIẾT BỊ'!$B$1:$S$836,11,0),"")</f>
        <v/>
      </c>
      <c r="M499" s="472" t="str">
        <f>IFERROR(VLOOKUP(B499,'03. THIẾT BỊ'!$B$1:$S$836,12,0),"")</f>
        <v>Gia công mới</v>
      </c>
      <c r="N499" s="468" t="str">
        <f>IFERROR(VLOOKUP(B499,'03. THIẾT BỊ'!$B$1:$S$836,13,0),"")</f>
        <v>THACO AGRI</v>
      </c>
      <c r="O499" s="470" t="str">
        <f>IFERROR(VLOOKUP(B499,'03. THIẾT BỊ'!$B$1:$S$836,14,0),"")</f>
        <v/>
      </c>
      <c r="P499" s="468" t="str">
        <f>IFERROR(VLOOKUP(B499,'03. THIẾT BỊ'!$B$1:$S$836,15,0),"")</f>
        <v>CK-CGH</v>
      </c>
      <c r="Q499" s="48" t="str">
        <f>IFERROR(VLOOKUP(B499,'03. THIẾT BỊ'!$B$1:$S$836,16,0),"")</f>
        <v/>
      </c>
      <c r="R499" s="471" t="str">
        <f>IFERROR(VLOOKUP(B499,'03. THIẾT BỊ'!$B$1:$S$836,17,0),"")</f>
        <v>DxRxC: 3m*1.6m*1.2m</v>
      </c>
      <c r="S499" s="468" t="str">
        <f>IFERROR(VLOOKUP(B499,'03. THIẾT BỊ'!$B$1:$S$836,18,0),"")</f>
        <v/>
      </c>
      <c r="T499" s="807"/>
    </row>
    <row r="500" ht="15.0" customHeight="1">
      <c r="A500" s="475">
        <f t="shared" si="24"/>
        <v>28</v>
      </c>
      <c r="B500" s="464" t="s">
        <v>4660</v>
      </c>
      <c r="C500" s="869" t="str">
        <f>IFERROR(VLOOKUP(B500,'03. THIẾT BỊ'!$B$1:$S$836,2,0),"")</f>
        <v>CK-MXM-34</v>
      </c>
      <c r="D500" s="470" t="str">
        <f>IFERROR(VLOOKUP(B500,'03. THIẾT BỊ'!$B$1:$S$836,3,0),"")</f>
        <v>A24-MXM-002</v>
      </c>
      <c r="E500" s="464" t="str">
        <f>IFERROR(VLOOKUP(B500,'03. THIẾT BỊ'!$B$1:$S$836,4,0),"")</f>
        <v>ĐQSD</v>
      </c>
      <c r="F500" s="464" t="str">
        <f>IFERROR(VLOOKUP(B500,'03. THIẾT BỊ'!$B$1:$S$836,5,0),"")</f>
        <v>Rơ mooc gắn sau xe máy </v>
      </c>
      <c r="G500" s="80" t="s">
        <v>6423</v>
      </c>
      <c r="H500" s="463" t="str">
        <f>IFERROR(VLOOKUP(B500,'03. THIẾT BỊ'!$B$1:$S$836,7,0),"")</f>
        <v>XN Chuối LP3</v>
      </c>
      <c r="I500" s="474" t="str">
        <f>IFERROR(VLOOKUP(B500,'03. THIẾT BỊ'!$B$1:$S$836,8,0),"")</f>
        <v>26/04/2024</v>
      </c>
      <c r="J500" s="471"/>
      <c r="K500" s="463" t="str">
        <f>IFERROR(VLOOKUP(B500,'03. THIẾT BỊ'!$B$1:$S$836,10,0),"")</f>
        <v>Bình thường</v>
      </c>
      <c r="L500" s="468" t="str">
        <f>IFERROR(VLOOKUP(B500,'03. THIẾT BỊ'!$B$1:$S$836,11,0),"")</f>
        <v/>
      </c>
      <c r="M500" s="472" t="str">
        <f>IFERROR(VLOOKUP(B500,'03. THIẾT BỊ'!$B$1:$S$836,12,0),"")</f>
        <v>Gia công mới</v>
      </c>
      <c r="N500" s="468" t="str">
        <f>IFERROR(VLOOKUP(B500,'03. THIẾT BỊ'!$B$1:$S$836,13,0),"")</f>
        <v>THACO AGRI</v>
      </c>
      <c r="O500" s="470" t="str">
        <f>IFERROR(VLOOKUP(B500,'03. THIẾT BỊ'!$B$1:$S$836,14,0),"")</f>
        <v/>
      </c>
      <c r="P500" s="468" t="str">
        <f>IFERROR(VLOOKUP(B500,'03. THIẾT BỊ'!$B$1:$S$836,15,0),"")</f>
        <v>CK-CGH</v>
      </c>
      <c r="Q500" s="48" t="str">
        <f>IFERROR(VLOOKUP(B500,'03. THIẾT BỊ'!$B$1:$S$836,16,0),"")</f>
        <v/>
      </c>
      <c r="R500" s="471" t="str">
        <f>IFERROR(VLOOKUP(B500,'03. THIẾT BỊ'!$B$1:$S$836,17,0),"")</f>
        <v>DxRxC: 3m*1.6m*1.2m</v>
      </c>
      <c r="S500" s="468" t="str">
        <f>IFERROR(VLOOKUP(B500,'03. THIẾT BỊ'!$B$1:$S$836,18,0),"")</f>
        <v/>
      </c>
      <c r="T500" s="807"/>
    </row>
    <row r="501" ht="15.0" customHeight="1">
      <c r="A501" s="475">
        <f t="shared" si="24"/>
        <v>29</v>
      </c>
      <c r="B501" s="464" t="s">
        <v>4663</v>
      </c>
      <c r="C501" s="869" t="str">
        <f>IFERROR(VLOOKUP(B501,'03. THIẾT BỊ'!$B$1:$S$836,2,0),"")</f>
        <v>CK-MXM-35</v>
      </c>
      <c r="D501" s="470" t="str">
        <f>IFERROR(VLOOKUP(B501,'03. THIẾT BỊ'!$B$1:$S$836,3,0),"")</f>
        <v>A24-MXM-003</v>
      </c>
      <c r="E501" s="464" t="str">
        <f>IFERROR(VLOOKUP(B501,'03. THIẾT BỊ'!$B$1:$S$836,4,0),"")</f>
        <v>ĐQSD</v>
      </c>
      <c r="F501" s="464" t="str">
        <f>IFERROR(VLOOKUP(B501,'03. THIẾT BỊ'!$B$1:$S$836,5,0),"")</f>
        <v>Rơ mooc gắn sau xe máy </v>
      </c>
      <c r="G501" s="80" t="s">
        <v>6423</v>
      </c>
      <c r="H501" s="463" t="str">
        <f>IFERROR(VLOOKUP(B501,'03. THIẾT BỊ'!$B$1:$S$836,7,0),"")</f>
        <v>XN Chuối LP3</v>
      </c>
      <c r="I501" s="474" t="str">
        <f>IFERROR(VLOOKUP(B501,'03. THIẾT BỊ'!$B$1:$S$836,8,0),"")</f>
        <v>26/04/2024</v>
      </c>
      <c r="J501" s="471"/>
      <c r="K501" s="463" t="str">
        <f>IFERROR(VLOOKUP(B501,'03. THIẾT BỊ'!$B$1:$S$836,10,0),"")</f>
        <v>Bình thường</v>
      </c>
      <c r="L501" s="468" t="str">
        <f>IFERROR(VLOOKUP(B501,'03. THIẾT BỊ'!$B$1:$S$836,11,0),"")</f>
        <v/>
      </c>
      <c r="M501" s="472" t="str">
        <f>IFERROR(VLOOKUP(B501,'03. THIẾT BỊ'!$B$1:$S$836,12,0),"")</f>
        <v>Gia công mới</v>
      </c>
      <c r="N501" s="468" t="str">
        <f>IFERROR(VLOOKUP(B501,'03. THIẾT BỊ'!$B$1:$S$836,13,0),"")</f>
        <v>THACO AGRI</v>
      </c>
      <c r="O501" s="470" t="str">
        <f>IFERROR(VLOOKUP(B501,'03. THIẾT BỊ'!$B$1:$S$836,14,0),"")</f>
        <v/>
      </c>
      <c r="P501" s="468" t="str">
        <f>IFERROR(VLOOKUP(B501,'03. THIẾT BỊ'!$B$1:$S$836,15,0),"")</f>
        <v>CK-CGH</v>
      </c>
      <c r="Q501" s="48" t="str">
        <f>IFERROR(VLOOKUP(B501,'03. THIẾT BỊ'!$B$1:$S$836,16,0),"")</f>
        <v/>
      </c>
      <c r="R501" s="471" t="str">
        <f>IFERROR(VLOOKUP(B501,'03. THIẾT BỊ'!$B$1:$S$836,17,0),"")</f>
        <v>DxRxC: 3m*1.6m*1.2m</v>
      </c>
      <c r="S501" s="468" t="str">
        <f>IFERROR(VLOOKUP(B501,'03. THIẾT BỊ'!$B$1:$S$836,18,0),"")</f>
        <v/>
      </c>
      <c r="T501" s="807"/>
    </row>
    <row r="502" ht="15.0" customHeight="1">
      <c r="A502" s="475">
        <f t="shared" si="24"/>
        <v>30</v>
      </c>
      <c r="B502" s="464" t="s">
        <v>4666</v>
      </c>
      <c r="C502" s="869" t="str">
        <f>IFERROR(VLOOKUP(B502,'03. THIẾT BỊ'!$B$1:$S$836,2,0),"")</f>
        <v>CK-MXM-36</v>
      </c>
      <c r="D502" s="470" t="str">
        <f>IFERROR(VLOOKUP(B502,'03. THIẾT BỊ'!$B$1:$S$836,3,0),"")</f>
        <v>A24-MXM-004</v>
      </c>
      <c r="E502" s="464" t="str">
        <f>IFERROR(VLOOKUP(B502,'03. THIẾT BỊ'!$B$1:$S$836,4,0),"")</f>
        <v>ĐQSD</v>
      </c>
      <c r="F502" s="464" t="str">
        <f>IFERROR(VLOOKUP(B502,'03. THIẾT BỊ'!$B$1:$S$836,5,0),"")</f>
        <v>Rơ mooc gắn sau xe máy </v>
      </c>
      <c r="G502" s="80" t="s">
        <v>6423</v>
      </c>
      <c r="H502" s="463" t="str">
        <f>IFERROR(VLOOKUP(B502,'03. THIẾT BỊ'!$B$1:$S$836,7,0),"")</f>
        <v>XN Chuối LP3</v>
      </c>
      <c r="I502" s="474" t="str">
        <f>IFERROR(VLOOKUP(B502,'03. THIẾT BỊ'!$B$1:$S$836,8,0),"")</f>
        <v>26/04/2024</v>
      </c>
      <c r="J502" s="471"/>
      <c r="K502" s="463" t="str">
        <f>IFERROR(VLOOKUP(B502,'03. THIẾT BỊ'!$B$1:$S$836,10,0),"")</f>
        <v>Bình thường</v>
      </c>
      <c r="L502" s="468" t="str">
        <f>IFERROR(VLOOKUP(B502,'03. THIẾT BỊ'!$B$1:$S$836,11,0),"")</f>
        <v/>
      </c>
      <c r="M502" s="472" t="str">
        <f>IFERROR(VLOOKUP(B502,'03. THIẾT BỊ'!$B$1:$S$836,12,0),"")</f>
        <v>Gia công mới</v>
      </c>
      <c r="N502" s="468" t="str">
        <f>IFERROR(VLOOKUP(B502,'03. THIẾT BỊ'!$B$1:$S$836,13,0),"")</f>
        <v>THACO AGRI</v>
      </c>
      <c r="O502" s="470" t="str">
        <f>IFERROR(VLOOKUP(B502,'03. THIẾT BỊ'!$B$1:$S$836,14,0),"")</f>
        <v/>
      </c>
      <c r="P502" s="468" t="str">
        <f>IFERROR(VLOOKUP(B502,'03. THIẾT BỊ'!$B$1:$S$836,15,0),"")</f>
        <v>CK-CGH</v>
      </c>
      <c r="Q502" s="48" t="str">
        <f>IFERROR(VLOOKUP(B502,'03. THIẾT BỊ'!$B$1:$S$836,16,0),"")</f>
        <v/>
      </c>
      <c r="R502" s="471" t="str">
        <f>IFERROR(VLOOKUP(B502,'03. THIẾT BỊ'!$B$1:$S$836,17,0),"")</f>
        <v>DxRxC: 3m*1.6m*1.2m</v>
      </c>
      <c r="S502" s="468" t="str">
        <f>IFERROR(VLOOKUP(B502,'03. THIẾT BỊ'!$B$1:$S$836,18,0),"")</f>
        <v/>
      </c>
      <c r="T502" s="807"/>
    </row>
    <row r="503" ht="15.0" customHeight="1">
      <c r="A503" s="475">
        <f t="shared" si="24"/>
        <v>31</v>
      </c>
      <c r="B503" s="464" t="s">
        <v>4669</v>
      </c>
      <c r="C503" s="869" t="str">
        <f>IFERROR(VLOOKUP(B503,'03. THIẾT BỊ'!$B$1:$S$836,2,0),"")</f>
        <v>CK-MXM-37</v>
      </c>
      <c r="D503" s="470" t="str">
        <f>IFERROR(VLOOKUP(B503,'03. THIẾT BỊ'!$B$1:$S$836,3,0),"")</f>
        <v>A24-MXM-005</v>
      </c>
      <c r="E503" s="464" t="str">
        <f>IFERROR(VLOOKUP(B503,'03. THIẾT BỊ'!$B$1:$S$836,4,0),"")</f>
        <v>ĐQSD</v>
      </c>
      <c r="F503" s="464" t="str">
        <f>IFERROR(VLOOKUP(B503,'03. THIẾT BỊ'!$B$1:$S$836,5,0),"")</f>
        <v>Rơ mooc gắn sau xe máy </v>
      </c>
      <c r="G503" s="80" t="s">
        <v>6423</v>
      </c>
      <c r="H503" s="463" t="str">
        <f>IFERROR(VLOOKUP(B503,'03. THIẾT BỊ'!$B$1:$S$836,7,0),"")</f>
        <v>XN Chuối LP3</v>
      </c>
      <c r="I503" s="474" t="str">
        <f>IFERROR(VLOOKUP(B503,'03. THIẾT BỊ'!$B$1:$S$836,8,0),"")</f>
        <v>26/04/2024</v>
      </c>
      <c r="J503" s="471"/>
      <c r="K503" s="463" t="str">
        <f>IFERROR(VLOOKUP(B503,'03. THIẾT BỊ'!$B$1:$S$836,10,0),"")</f>
        <v>Bình thường</v>
      </c>
      <c r="L503" s="468" t="str">
        <f>IFERROR(VLOOKUP(B503,'03. THIẾT BỊ'!$B$1:$S$836,11,0),"")</f>
        <v/>
      </c>
      <c r="M503" s="472" t="str">
        <f>IFERROR(VLOOKUP(B503,'03. THIẾT BỊ'!$B$1:$S$836,12,0),"")</f>
        <v>Gia công mới</v>
      </c>
      <c r="N503" s="468" t="str">
        <f>IFERROR(VLOOKUP(B503,'03. THIẾT BỊ'!$B$1:$S$836,13,0),"")</f>
        <v>THACO AGRI</v>
      </c>
      <c r="O503" s="470" t="str">
        <f>IFERROR(VLOOKUP(B503,'03. THIẾT BỊ'!$B$1:$S$836,14,0),"")</f>
        <v/>
      </c>
      <c r="P503" s="468" t="str">
        <f>IFERROR(VLOOKUP(B503,'03. THIẾT BỊ'!$B$1:$S$836,15,0),"")</f>
        <v>CK-CGH</v>
      </c>
      <c r="Q503" s="48" t="str">
        <f>IFERROR(VLOOKUP(B503,'03. THIẾT BỊ'!$B$1:$S$836,16,0),"")</f>
        <v/>
      </c>
      <c r="R503" s="471" t="str">
        <f>IFERROR(VLOOKUP(B503,'03. THIẾT BỊ'!$B$1:$S$836,17,0),"")</f>
        <v>DxRxC: 3m*1.6m*1.2m</v>
      </c>
      <c r="S503" s="468" t="str">
        <f>IFERROR(VLOOKUP(B503,'03. THIẾT BỊ'!$B$1:$S$836,18,0),"")</f>
        <v/>
      </c>
      <c r="T503" s="807"/>
    </row>
    <row r="504" ht="15.0" customHeight="1">
      <c r="A504" s="475">
        <f t="shared" si="24"/>
        <v>32</v>
      </c>
      <c r="B504" s="464" t="s">
        <v>4672</v>
      </c>
      <c r="C504" s="869" t="str">
        <f>IFERROR(VLOOKUP(B504,'03. THIẾT BỊ'!$B$1:$S$836,2,0),"")</f>
        <v>CK-MXM-38</v>
      </c>
      <c r="D504" s="470" t="str">
        <f>IFERROR(VLOOKUP(B504,'03. THIẾT BỊ'!$B$1:$S$836,3,0),"")</f>
        <v>A24-MXM-006</v>
      </c>
      <c r="E504" s="464" t="str">
        <f>IFERROR(VLOOKUP(B504,'03. THIẾT BỊ'!$B$1:$S$836,4,0),"")</f>
        <v>ĐQSD</v>
      </c>
      <c r="F504" s="464" t="str">
        <f>IFERROR(VLOOKUP(B504,'03. THIẾT BỊ'!$B$1:$S$836,5,0),"")</f>
        <v>Rơ mooc gắn sau xe máy </v>
      </c>
      <c r="G504" s="80" t="s">
        <v>6423</v>
      </c>
      <c r="H504" s="463" t="str">
        <f>IFERROR(VLOOKUP(B504,'03. THIẾT BỊ'!$B$1:$S$836,7,0),"")</f>
        <v>XN Chuối LP3</v>
      </c>
      <c r="I504" s="474" t="str">
        <f>IFERROR(VLOOKUP(B504,'03. THIẾT BỊ'!$B$1:$S$836,8,0),"")</f>
        <v>26/04/2024</v>
      </c>
      <c r="J504" s="471"/>
      <c r="K504" s="463" t="str">
        <f>IFERROR(VLOOKUP(B504,'03. THIẾT BỊ'!$B$1:$S$836,10,0),"")</f>
        <v>Bình thường</v>
      </c>
      <c r="L504" s="468" t="str">
        <f>IFERROR(VLOOKUP(B504,'03. THIẾT BỊ'!$B$1:$S$836,11,0),"")</f>
        <v/>
      </c>
      <c r="M504" s="472" t="str">
        <f>IFERROR(VLOOKUP(B504,'03. THIẾT BỊ'!$B$1:$S$836,12,0),"")</f>
        <v>Gia công mới</v>
      </c>
      <c r="N504" s="468" t="str">
        <f>IFERROR(VLOOKUP(B504,'03. THIẾT BỊ'!$B$1:$S$836,13,0),"")</f>
        <v>THACO AGRI</v>
      </c>
      <c r="O504" s="470" t="str">
        <f>IFERROR(VLOOKUP(B504,'03. THIẾT BỊ'!$B$1:$S$836,14,0),"")</f>
        <v/>
      </c>
      <c r="P504" s="468" t="str">
        <f>IFERROR(VLOOKUP(B504,'03. THIẾT BỊ'!$B$1:$S$836,15,0),"")</f>
        <v>CK-CGH</v>
      </c>
      <c r="Q504" s="48" t="str">
        <f>IFERROR(VLOOKUP(B504,'03. THIẾT BỊ'!$B$1:$S$836,16,0),"")</f>
        <v/>
      </c>
      <c r="R504" s="471" t="str">
        <f>IFERROR(VLOOKUP(B504,'03. THIẾT BỊ'!$B$1:$S$836,17,0),"")</f>
        <v>DxRxC: 3m*1.6m*1.2m</v>
      </c>
      <c r="S504" s="468" t="str">
        <f>IFERROR(VLOOKUP(B504,'03. THIẾT BỊ'!$B$1:$S$836,18,0),"")</f>
        <v/>
      </c>
      <c r="T504" s="807"/>
    </row>
    <row r="505" ht="15.0" customHeight="1">
      <c r="A505" s="475">
        <f t="shared" si="24"/>
        <v>33</v>
      </c>
      <c r="B505" s="464" t="s">
        <v>4675</v>
      </c>
      <c r="C505" s="869" t="str">
        <f>IFERROR(VLOOKUP(B505,'03. THIẾT BỊ'!$B$1:$S$836,2,0),"")</f>
        <v>CK-MXM-39</v>
      </c>
      <c r="D505" s="470" t="str">
        <f>IFERROR(VLOOKUP(B505,'03. THIẾT BỊ'!$B$1:$S$836,3,0),"")</f>
        <v>A24-MXM-007</v>
      </c>
      <c r="E505" s="464" t="str">
        <f>IFERROR(VLOOKUP(B505,'03. THIẾT BỊ'!$B$1:$S$836,4,0),"")</f>
        <v>ĐQSD</v>
      </c>
      <c r="F505" s="464" t="str">
        <f>IFERROR(VLOOKUP(B505,'03. THIẾT BỊ'!$B$1:$S$836,5,0),"")</f>
        <v>Rơ mooc gắn sau xe máy </v>
      </c>
      <c r="G505" s="80" t="s">
        <v>6423</v>
      </c>
      <c r="H505" s="463" t="str">
        <f>IFERROR(VLOOKUP(B505,'03. THIẾT BỊ'!$B$1:$S$836,7,0),"")</f>
        <v>XN Chuối LP3</v>
      </c>
      <c r="I505" s="474" t="str">
        <f>IFERROR(VLOOKUP(B505,'03. THIẾT BỊ'!$B$1:$S$836,8,0),"")</f>
        <v>26/04/2024</v>
      </c>
      <c r="J505" s="471"/>
      <c r="K505" s="463" t="str">
        <f>IFERROR(VLOOKUP(B505,'03. THIẾT BỊ'!$B$1:$S$836,10,0),"")</f>
        <v>Bình thường</v>
      </c>
      <c r="L505" s="468" t="str">
        <f>IFERROR(VLOOKUP(B505,'03. THIẾT BỊ'!$B$1:$S$836,11,0),"")</f>
        <v/>
      </c>
      <c r="M505" s="472" t="str">
        <f>IFERROR(VLOOKUP(B505,'03. THIẾT BỊ'!$B$1:$S$836,12,0),"")</f>
        <v>Gia công mới</v>
      </c>
      <c r="N505" s="468" t="str">
        <f>IFERROR(VLOOKUP(B505,'03. THIẾT BỊ'!$B$1:$S$836,13,0),"")</f>
        <v>THACO AGRI</v>
      </c>
      <c r="O505" s="470" t="str">
        <f>IFERROR(VLOOKUP(B505,'03. THIẾT BỊ'!$B$1:$S$836,14,0),"")</f>
        <v/>
      </c>
      <c r="P505" s="468" t="str">
        <f>IFERROR(VLOOKUP(B505,'03. THIẾT BỊ'!$B$1:$S$836,15,0),"")</f>
        <v>CK-CGH</v>
      </c>
      <c r="Q505" s="48" t="str">
        <f>IFERROR(VLOOKUP(B505,'03. THIẾT BỊ'!$B$1:$S$836,16,0),"")</f>
        <v/>
      </c>
      <c r="R505" s="471" t="str">
        <f>IFERROR(VLOOKUP(B505,'03. THIẾT BỊ'!$B$1:$S$836,17,0),"")</f>
        <v>DxRxC: 3m*1.6m*1.2m</v>
      </c>
      <c r="S505" s="468" t="str">
        <f>IFERROR(VLOOKUP(B505,'03. THIẾT BỊ'!$B$1:$S$836,18,0),"")</f>
        <v/>
      </c>
      <c r="T505" s="807"/>
    </row>
    <row r="506" ht="15.0" customHeight="1">
      <c r="A506" s="475">
        <f t="shared" si="24"/>
        <v>34</v>
      </c>
      <c r="B506" s="464" t="s">
        <v>4678</v>
      </c>
      <c r="C506" s="869" t="str">
        <f>IFERROR(VLOOKUP(B506,'03. THIẾT BỊ'!$B$1:$S$836,2,0),"")</f>
        <v>CK-MXM-40</v>
      </c>
      <c r="D506" s="470" t="str">
        <f>IFERROR(VLOOKUP(B506,'03. THIẾT BỊ'!$B$1:$S$836,3,0),"")</f>
        <v>A24-MXM-008</v>
      </c>
      <c r="E506" s="464" t="str">
        <f>IFERROR(VLOOKUP(B506,'03. THIẾT BỊ'!$B$1:$S$836,4,0),"")</f>
        <v>ĐQSD</v>
      </c>
      <c r="F506" s="464" t="str">
        <f>IFERROR(VLOOKUP(B506,'03. THIẾT BỊ'!$B$1:$S$836,5,0),"")</f>
        <v>Rơ mooc gắn sau xe máy </v>
      </c>
      <c r="G506" s="80" t="s">
        <v>6423</v>
      </c>
      <c r="H506" s="463" t="str">
        <f>IFERROR(VLOOKUP(B506,'03. THIẾT BỊ'!$B$1:$S$836,7,0),"")</f>
        <v>XN Chuối LP3</v>
      </c>
      <c r="I506" s="474" t="str">
        <f>IFERROR(VLOOKUP(B506,'03. THIẾT BỊ'!$B$1:$S$836,8,0),"")</f>
        <v>26/04/2024</v>
      </c>
      <c r="J506" s="471"/>
      <c r="K506" s="463" t="str">
        <f>IFERROR(VLOOKUP(B506,'03. THIẾT BỊ'!$B$1:$S$836,10,0),"")</f>
        <v>Bình thường</v>
      </c>
      <c r="L506" s="468" t="str">
        <f>IFERROR(VLOOKUP(B506,'03. THIẾT BỊ'!$B$1:$S$836,11,0),"")</f>
        <v/>
      </c>
      <c r="M506" s="472" t="str">
        <f>IFERROR(VLOOKUP(B506,'03. THIẾT BỊ'!$B$1:$S$836,12,0),"")</f>
        <v>Gia công mới</v>
      </c>
      <c r="N506" s="468" t="str">
        <f>IFERROR(VLOOKUP(B506,'03. THIẾT BỊ'!$B$1:$S$836,13,0),"")</f>
        <v>THACO AGRI</v>
      </c>
      <c r="O506" s="470" t="str">
        <f>IFERROR(VLOOKUP(B506,'03. THIẾT BỊ'!$B$1:$S$836,14,0),"")</f>
        <v/>
      </c>
      <c r="P506" s="468" t="str">
        <f>IFERROR(VLOOKUP(B506,'03. THIẾT BỊ'!$B$1:$S$836,15,0),"")</f>
        <v>CK-CGH</v>
      </c>
      <c r="Q506" s="48" t="str">
        <f>IFERROR(VLOOKUP(B506,'03. THIẾT BỊ'!$B$1:$S$836,16,0),"")</f>
        <v/>
      </c>
      <c r="R506" s="471" t="str">
        <f>IFERROR(VLOOKUP(B506,'03. THIẾT BỊ'!$B$1:$S$836,17,0),"")</f>
        <v>DxRxC: 3m*1.6m*1.2m</v>
      </c>
      <c r="S506" s="468" t="str">
        <f>IFERROR(VLOOKUP(B506,'03. THIẾT BỊ'!$B$1:$S$836,18,0),"")</f>
        <v/>
      </c>
      <c r="T506" s="807"/>
    </row>
    <row r="507" ht="15.0" customHeight="1">
      <c r="A507" s="475">
        <f t="shared" si="24"/>
        <v>35</v>
      </c>
      <c r="B507" s="464" t="s">
        <v>4796</v>
      </c>
      <c r="C507" s="869" t="str">
        <f>IFERROR(VLOOKUP(B507,'03. THIẾT BỊ'!$B$1:$S$836,2,0),"")</f>
        <v/>
      </c>
      <c r="D507" s="470" t="str">
        <f>IFERROR(VLOOKUP(B507,'03. THIẾT BỊ'!$B$1:$S$836,3,0),"")</f>
        <v>A24-MXM-010</v>
      </c>
      <c r="E507" s="464" t="str">
        <f>IFERROR(VLOOKUP(B507,'03. THIẾT BỊ'!$B$1:$S$836,4,0),"")</f>
        <v/>
      </c>
      <c r="F507" s="464" t="str">
        <f>IFERROR(VLOOKUP(B507,'03. THIẾT BỊ'!$B$1:$S$836,5,0),"")</f>
        <v>Rơ mooc gắn sau xe máy </v>
      </c>
      <c r="G507" s="80" t="s">
        <v>6423</v>
      </c>
      <c r="H507" s="463" t="str">
        <f>IFERROR(VLOOKUP(B507,'03. THIẾT BỊ'!$B$1:$S$836,7,0),"")</f>
        <v>XN Chuối LP4</v>
      </c>
      <c r="I507" s="474" t="str">
        <f>IFERROR(VLOOKUP(B507,'03. THIẾT BỊ'!$B$1:$S$836,8,0),"")</f>
        <v/>
      </c>
      <c r="J507" s="471"/>
      <c r="K507" s="463" t="str">
        <f>IFERROR(VLOOKUP(B507,'03. THIẾT BỊ'!$B$1:$S$836,10,0),"")</f>
        <v>Bình thường</v>
      </c>
      <c r="L507" s="468" t="str">
        <f>IFERROR(VLOOKUP(B507,'03. THIẾT BỊ'!$B$1:$S$836,11,0),"")</f>
        <v/>
      </c>
      <c r="M507" s="472" t="str">
        <f>IFERROR(VLOOKUP(B507,'03. THIẾT BỊ'!$B$1:$S$836,12,0),"")</f>
        <v/>
      </c>
      <c r="N507" s="468" t="str">
        <f>IFERROR(VLOOKUP(B507,'03. THIẾT BỊ'!$B$1:$S$836,13,0),"")</f>
        <v>THACO AGRI</v>
      </c>
      <c r="O507" s="470" t="str">
        <f>IFERROR(VLOOKUP(B507,'03. THIẾT BỊ'!$B$1:$S$836,14,0),"")</f>
        <v/>
      </c>
      <c r="P507" s="468" t="str">
        <f>IFERROR(VLOOKUP(B507,'03. THIẾT BỊ'!$B$1:$S$836,15,0),"")</f>
        <v>CK-CGH</v>
      </c>
      <c r="Q507" s="48" t="str">
        <f>IFERROR(VLOOKUP(B507,'03. THIẾT BỊ'!$B$1:$S$836,16,0),"")</f>
        <v/>
      </c>
      <c r="R507" s="471" t="str">
        <f>IFERROR(VLOOKUP(B507,'03. THIẾT BỊ'!$B$1:$S$836,17,0),"")</f>
        <v/>
      </c>
      <c r="S507" s="468" t="str">
        <f>IFERROR(VLOOKUP(B507,'03. THIẾT BỊ'!$B$1:$S$836,18,0),"")</f>
        <v/>
      </c>
      <c r="T507" s="807"/>
    </row>
    <row r="508" ht="15.0" customHeight="1">
      <c r="A508" s="475">
        <f t="shared" si="24"/>
        <v>36</v>
      </c>
      <c r="B508" s="464" t="s">
        <v>4798</v>
      </c>
      <c r="C508" s="869" t="str">
        <f>IFERROR(VLOOKUP(B508,'03. THIẾT BỊ'!$B$1:$S$836,2,0),"")</f>
        <v/>
      </c>
      <c r="D508" s="470" t="str">
        <f>IFERROR(VLOOKUP(B508,'03. THIẾT BỊ'!$B$1:$S$836,3,0),"")</f>
        <v>A24-MXM-011</v>
      </c>
      <c r="E508" s="464" t="str">
        <f>IFERROR(VLOOKUP(B508,'03. THIẾT BỊ'!$B$1:$S$836,4,0),"")</f>
        <v/>
      </c>
      <c r="F508" s="464" t="str">
        <f>IFERROR(VLOOKUP(B508,'03. THIẾT BỊ'!$B$1:$S$836,5,0),"")</f>
        <v>Rơ mooc gắn sau xe máy </v>
      </c>
      <c r="G508" s="80" t="s">
        <v>6423</v>
      </c>
      <c r="H508" s="463" t="str">
        <f>IFERROR(VLOOKUP(B508,'03. THIẾT BỊ'!$B$1:$S$836,7,0),"")</f>
        <v>XN Chuối LP4</v>
      </c>
      <c r="I508" s="474" t="str">
        <f>IFERROR(VLOOKUP(B508,'03. THIẾT BỊ'!$B$1:$S$836,8,0),"")</f>
        <v/>
      </c>
      <c r="J508" s="471"/>
      <c r="K508" s="463" t="str">
        <f>IFERROR(VLOOKUP(B508,'03. THIẾT BỊ'!$B$1:$S$836,10,0),"")</f>
        <v>Bình thường</v>
      </c>
      <c r="L508" s="468" t="str">
        <f>IFERROR(VLOOKUP(B508,'03. THIẾT BỊ'!$B$1:$S$836,11,0),"")</f>
        <v/>
      </c>
      <c r="M508" s="472" t="str">
        <f>IFERROR(VLOOKUP(B508,'03. THIẾT BỊ'!$B$1:$S$836,12,0),"")</f>
        <v/>
      </c>
      <c r="N508" s="468" t="str">
        <f>IFERROR(VLOOKUP(B508,'03. THIẾT BỊ'!$B$1:$S$836,13,0),"")</f>
        <v>THACO AGRI</v>
      </c>
      <c r="O508" s="470" t="str">
        <f>IFERROR(VLOOKUP(B508,'03. THIẾT BỊ'!$B$1:$S$836,14,0),"")</f>
        <v/>
      </c>
      <c r="P508" s="468" t="str">
        <f>IFERROR(VLOOKUP(B508,'03. THIẾT BỊ'!$B$1:$S$836,15,0),"")</f>
        <v>CK-CGH</v>
      </c>
      <c r="Q508" s="48" t="str">
        <f>IFERROR(VLOOKUP(B508,'03. THIẾT BỊ'!$B$1:$S$836,16,0),"")</f>
        <v/>
      </c>
      <c r="R508" s="471" t="str">
        <f>IFERROR(VLOOKUP(B508,'03. THIẾT BỊ'!$B$1:$S$836,17,0),"")</f>
        <v/>
      </c>
      <c r="S508" s="468" t="str">
        <f>IFERROR(VLOOKUP(B508,'03. THIẾT BỊ'!$B$1:$S$836,18,0),"")</f>
        <v/>
      </c>
      <c r="T508" s="807"/>
    </row>
    <row r="509" ht="15.0" customHeight="1">
      <c r="A509" s="475">
        <f t="shared" si="24"/>
        <v>37</v>
      </c>
      <c r="B509" s="464" t="s">
        <v>4800</v>
      </c>
      <c r="C509" s="869" t="str">
        <f>IFERROR(VLOOKUP(B509,'03. THIẾT BỊ'!$B$1:$S$836,2,0),"")</f>
        <v/>
      </c>
      <c r="D509" s="470" t="str">
        <f>IFERROR(VLOOKUP(B509,'03. THIẾT BỊ'!$B$1:$S$836,3,0),"")</f>
        <v>A24-MXM-012</v>
      </c>
      <c r="E509" s="464" t="str">
        <f>IFERROR(VLOOKUP(B509,'03. THIẾT BỊ'!$B$1:$S$836,4,0),"")</f>
        <v/>
      </c>
      <c r="F509" s="464" t="str">
        <f>IFERROR(VLOOKUP(B509,'03. THIẾT BỊ'!$B$1:$S$836,5,0),"")</f>
        <v>Rơ mooc gắn sau xe máy </v>
      </c>
      <c r="G509" s="80" t="s">
        <v>6423</v>
      </c>
      <c r="H509" s="463" t="str">
        <f>IFERROR(VLOOKUP(B509,'03. THIẾT BỊ'!$B$1:$S$836,7,0),"")</f>
        <v>XN Chuối LP4</v>
      </c>
      <c r="I509" s="474" t="str">
        <f>IFERROR(VLOOKUP(B509,'03. THIẾT BỊ'!$B$1:$S$836,8,0),"")</f>
        <v/>
      </c>
      <c r="J509" s="471"/>
      <c r="K509" s="463" t="str">
        <f>IFERROR(VLOOKUP(B509,'03. THIẾT BỊ'!$B$1:$S$836,10,0),"")</f>
        <v>Bình thường</v>
      </c>
      <c r="L509" s="468" t="str">
        <f>IFERROR(VLOOKUP(B509,'03. THIẾT BỊ'!$B$1:$S$836,11,0),"")</f>
        <v/>
      </c>
      <c r="M509" s="472" t="str">
        <f>IFERROR(VLOOKUP(B509,'03. THIẾT BỊ'!$B$1:$S$836,12,0),"")</f>
        <v/>
      </c>
      <c r="N509" s="468" t="str">
        <f>IFERROR(VLOOKUP(B509,'03. THIẾT BỊ'!$B$1:$S$836,13,0),"")</f>
        <v>THACO AGRI</v>
      </c>
      <c r="O509" s="470" t="str">
        <f>IFERROR(VLOOKUP(B509,'03. THIẾT BỊ'!$B$1:$S$836,14,0),"")</f>
        <v/>
      </c>
      <c r="P509" s="468" t="str">
        <f>IFERROR(VLOOKUP(B509,'03. THIẾT BỊ'!$B$1:$S$836,15,0),"")</f>
        <v>CK-CGH</v>
      </c>
      <c r="Q509" s="48" t="str">
        <f>IFERROR(VLOOKUP(B509,'03. THIẾT BỊ'!$B$1:$S$836,16,0),"")</f>
        <v/>
      </c>
      <c r="R509" s="471" t="str">
        <f>IFERROR(VLOOKUP(B509,'03. THIẾT BỊ'!$B$1:$S$836,17,0),"")</f>
        <v/>
      </c>
      <c r="S509" s="468" t="str">
        <f>IFERROR(VLOOKUP(B509,'03. THIẾT BỊ'!$B$1:$S$836,18,0),"")</f>
        <v/>
      </c>
      <c r="T509" s="807"/>
    </row>
    <row r="510" ht="15.0" customHeight="1">
      <c r="A510" s="475">
        <f t="shared" si="24"/>
        <v>38</v>
      </c>
      <c r="B510" s="464" t="s">
        <v>5463</v>
      </c>
      <c r="C510" s="869" t="str">
        <f>IFERROR(VLOOKUP(B510,'03. THIẾT BỊ'!$B$1:$S$836,2,0),"")</f>
        <v>XA2-MXM-005</v>
      </c>
      <c r="D510" s="470" t="str">
        <f>IFERROR(VLOOKUP(B510,'03. THIẾT BỊ'!$B$1:$S$836,3,0),"")</f>
        <v>A22-MXM-005</v>
      </c>
      <c r="E510" s="464" t="str">
        <f>IFERROR(VLOOKUP(B510,'03. THIẾT BỊ'!$B$1:$S$836,4,0),"")</f>
        <v>ĐQSD</v>
      </c>
      <c r="F510" s="464" t="str">
        <f>IFERROR(VLOOKUP(B510,'03. THIẾT BỊ'!$B$1:$S$836,5,0),"")</f>
        <v>Rơ mooc gắn sau xe máy </v>
      </c>
      <c r="G510" s="80" t="s">
        <v>6423</v>
      </c>
      <c r="H510" s="463" t="str">
        <f>IFERROR(VLOOKUP(B510,'03. THIẾT BỊ'!$B$1:$S$836,7,0),"")</f>
        <v>XN Bò AD</v>
      </c>
      <c r="I510" s="474">
        <f>IFERROR(VLOOKUP(B510,'03. THIẾT BỊ'!$B$1:$S$836,8,0),"")</f>
        <v>45719</v>
      </c>
      <c r="J510" s="471"/>
      <c r="K510" s="463" t="str">
        <f>IFERROR(VLOOKUP(B510,'03. THIẾT BỊ'!$B$1:$S$836,10,0),"")</f>
        <v>Bình thường</v>
      </c>
      <c r="L510" s="468" t="str">
        <f>IFERROR(VLOOKUP(B510,'03. THIẾT BỊ'!$B$1:$S$836,11,0),"")</f>
        <v>Đ.chuyen từ XN AD2 ngày 03/03/2025</v>
      </c>
      <c r="M510" s="472" t="str">
        <f>IFERROR(VLOOKUP(B510,'03. THIẾT BỊ'!$B$1:$S$836,12,0),"")</f>
        <v/>
      </c>
      <c r="N510" s="468" t="str">
        <f>IFERROR(VLOOKUP(B510,'03. THIẾT BỊ'!$B$1:$S$836,13,0),"")</f>
        <v>THACO AGRI</v>
      </c>
      <c r="O510" s="470" t="str">
        <f>IFERROR(VLOOKUP(B510,'03. THIẾT BỊ'!$B$1:$S$836,14,0),"")</f>
        <v/>
      </c>
      <c r="P510" s="468" t="str">
        <f>IFERROR(VLOOKUP(B510,'03. THIẾT BỊ'!$B$1:$S$836,15,0),"")</f>
        <v>CK-CGH</v>
      </c>
      <c r="Q510" s="48" t="str">
        <f>IFERROR(VLOOKUP(B510,'03. THIẾT BỊ'!$B$1:$S$836,16,0),"")</f>
        <v/>
      </c>
      <c r="R510" s="471" t="str">
        <f>IFERROR(VLOOKUP(B510,'03. THIẾT BỊ'!$B$1:$S$836,17,0),"")</f>
        <v/>
      </c>
      <c r="S510" s="468" t="str">
        <f>IFERROR(VLOOKUP(B510,'03. THIẾT BỊ'!$B$1:$S$836,18,0),"")</f>
        <v/>
      </c>
      <c r="T510" s="807"/>
    </row>
    <row r="511" ht="15.0" customHeight="1">
      <c r="A511" s="475">
        <f t="shared" si="24"/>
        <v>39</v>
      </c>
      <c r="B511" s="464" t="s">
        <v>5467</v>
      </c>
      <c r="C511" s="869" t="str">
        <f>IFERROR(VLOOKUP(B511,'03. THIẾT BỊ'!$B$1:$S$836,2,0),"")</f>
        <v>XA2-MXM-006</v>
      </c>
      <c r="D511" s="470" t="str">
        <f>IFERROR(VLOOKUP(B511,'03. THIẾT BỊ'!$B$1:$S$836,3,0),"")</f>
        <v>A22-MXM-006</v>
      </c>
      <c r="E511" s="464" t="str">
        <f>IFERROR(VLOOKUP(B511,'03. THIẾT BỊ'!$B$1:$S$836,4,0),"")</f>
        <v>ĐQSD</v>
      </c>
      <c r="F511" s="464" t="str">
        <f>IFERROR(VLOOKUP(B511,'03. THIẾT BỊ'!$B$1:$S$836,5,0),"")</f>
        <v>Rơ mooc gắn sau xe máy </v>
      </c>
      <c r="G511" s="80" t="s">
        <v>6423</v>
      </c>
      <c r="H511" s="463" t="str">
        <f>IFERROR(VLOOKUP(B511,'03. THIẾT BỊ'!$B$1:$S$836,7,0),"")</f>
        <v>XN Bò AD</v>
      </c>
      <c r="I511" s="474" t="str">
        <f>IFERROR(VLOOKUP(B511,'03. THIẾT BỊ'!$B$1:$S$836,8,0),"")</f>
        <v>29/03/2025</v>
      </c>
      <c r="J511" s="471"/>
      <c r="K511" s="463" t="str">
        <f>IFERROR(VLOOKUP(B511,'03. THIẾT BỊ'!$B$1:$S$836,10,0),"")</f>
        <v>Bình thường</v>
      </c>
      <c r="L511" s="468" t="str">
        <f>IFERROR(VLOOKUP(B511,'03. THIẾT BỊ'!$B$1:$S$836,11,0),"")</f>
        <v>Đ.chuyen từ XN AD2 ngày 29/03/2025</v>
      </c>
      <c r="M511" s="472" t="str">
        <f>IFERROR(VLOOKUP(B511,'03. THIẾT BỊ'!$B$1:$S$836,12,0),"")</f>
        <v/>
      </c>
      <c r="N511" s="468" t="str">
        <f>IFERROR(VLOOKUP(B511,'03. THIẾT BỊ'!$B$1:$S$836,13,0),"")</f>
        <v>THACO AGRI</v>
      </c>
      <c r="O511" s="470" t="str">
        <f>IFERROR(VLOOKUP(B511,'03. THIẾT BỊ'!$B$1:$S$836,14,0),"")</f>
        <v/>
      </c>
      <c r="P511" s="468" t="str">
        <f>IFERROR(VLOOKUP(B511,'03. THIẾT BỊ'!$B$1:$S$836,15,0),"")</f>
        <v>CK-CGH</v>
      </c>
      <c r="Q511" s="48" t="str">
        <f>IFERROR(VLOOKUP(B511,'03. THIẾT BỊ'!$B$1:$S$836,16,0),"")</f>
        <v/>
      </c>
      <c r="R511" s="471" t="str">
        <f>IFERROR(VLOOKUP(B511,'03. THIẾT BỊ'!$B$1:$S$836,17,0),"")</f>
        <v/>
      </c>
      <c r="S511" s="468" t="str">
        <f>IFERROR(VLOOKUP(B511,'03. THIẾT BỊ'!$B$1:$S$836,18,0),"")</f>
        <v/>
      </c>
      <c r="T511" s="807"/>
    </row>
    <row r="512">
      <c r="A512" s="463"/>
      <c r="C512" s="869" t="str">
        <f>IFERROR(VLOOKUP(B512,'03. THIẾT BỊ'!$B$1:$S$836,2,0),"")</f>
        <v/>
      </c>
      <c r="D512" s="470" t="str">
        <f>IFERROR(VLOOKUP(B512,'03. THIẾT BỊ'!$B$1:$S$836,3,0),"")</f>
        <v/>
      </c>
      <c r="E512" s="464" t="str">
        <f>IFERROR(VLOOKUP(B512,'03. THIẾT BỊ'!$B$1:$S$836,4,0),"")</f>
        <v/>
      </c>
      <c r="F512" s="464" t="str">
        <f>IFERROR(VLOOKUP(B512,'03. THIẾT BỊ'!$B$1:$S$836,5,0),"")</f>
        <v/>
      </c>
      <c r="G512" s="80" t="s">
        <v>6423</v>
      </c>
      <c r="H512" s="463" t="str">
        <f>IFERROR(VLOOKUP(B512,'03. THIẾT BỊ'!$B$1:$S$836,7,0),"")</f>
        <v/>
      </c>
      <c r="I512" s="474" t="str">
        <f>IFERROR(VLOOKUP(B512,'03. THIẾT BỊ'!$B$1:$S$836,8,0),"")</f>
        <v/>
      </c>
      <c r="J512" s="471"/>
      <c r="K512" s="463" t="str">
        <f>IFERROR(VLOOKUP(B512,'03. THIẾT BỊ'!$B$1:$S$836,10,0),"")</f>
        <v/>
      </c>
      <c r="L512" s="468" t="str">
        <f>IFERROR(VLOOKUP(B512,'03. THIẾT BỊ'!$B$1:$S$836,11,0),"")</f>
        <v/>
      </c>
      <c r="M512" s="472" t="str">
        <f>IFERROR(VLOOKUP(B512,'03. THIẾT BỊ'!$B$1:$S$836,12,0),"")</f>
        <v/>
      </c>
      <c r="N512" s="468" t="str">
        <f>IFERROR(VLOOKUP(B512,'03. THIẾT BỊ'!$B$1:$S$836,13,0),"")</f>
        <v/>
      </c>
      <c r="O512" s="470" t="str">
        <f>IFERROR(VLOOKUP(B512,'03. THIẾT BỊ'!$B$1:$S$836,14,0),"")</f>
        <v/>
      </c>
      <c r="P512" s="468" t="str">
        <f>IFERROR(VLOOKUP(B512,'03. THIẾT BỊ'!$B$1:$S$836,15,0),"")</f>
        <v/>
      </c>
      <c r="Q512" s="48" t="str">
        <f>IFERROR(VLOOKUP(B512,'03. THIẾT BỊ'!$B$1:$S$836,16,0),"")</f>
        <v/>
      </c>
      <c r="R512" s="471" t="str">
        <f>IFERROR(VLOOKUP(B512,'03. THIẾT BỊ'!$B$1:$S$836,17,0),"")</f>
        <v/>
      </c>
      <c r="S512" s="468" t="str">
        <f>IFERROR(VLOOKUP(B512,'03. THIẾT BỊ'!$B$1:$S$836,18,0),"")</f>
        <v/>
      </c>
    </row>
    <row r="513" hidden="1">
      <c r="C513" s="869" t="str">
        <f>IFERROR(VLOOKUP(B513,'03. THIẾT BỊ'!$B$1:$S$836,2,0),"")</f>
        <v/>
      </c>
      <c r="D513" s="470" t="str">
        <f>IFERROR(VLOOKUP(B513,'03. THIẾT BỊ'!$B$1:$S$836,3,0),"")</f>
        <v/>
      </c>
      <c r="E513" s="464" t="str">
        <f>IFERROR(VLOOKUP(B513,'03. THIẾT BỊ'!$B$1:$S$836,4,0),"")</f>
        <v/>
      </c>
      <c r="F513" s="464" t="str">
        <f>IFERROR(VLOOKUP(B513,'03. THIẾT BỊ'!$B$1:$S$836,5,0),"")</f>
        <v/>
      </c>
      <c r="G513" s="80" t="s">
        <v>6423</v>
      </c>
      <c r="H513" s="463" t="str">
        <f>IFERROR(VLOOKUP(B513,'03. THIẾT BỊ'!$B$1:$S$836,7,0),"")</f>
        <v/>
      </c>
      <c r="I513" s="474" t="str">
        <f>IFERROR(VLOOKUP(B513,'03. THIẾT BỊ'!$B$1:$S$836,8,0),"")</f>
        <v/>
      </c>
      <c r="J513" s="471"/>
      <c r="K513" s="463" t="str">
        <f>IFERROR(VLOOKUP(B513,'03. THIẾT BỊ'!$B$1:$S$836,10,0),"")</f>
        <v/>
      </c>
      <c r="L513" s="468" t="str">
        <f>IFERROR(VLOOKUP(B513,'03. THIẾT BỊ'!$B$1:$S$836,11,0),"")</f>
        <v/>
      </c>
      <c r="M513" s="472" t="str">
        <f>IFERROR(VLOOKUP(B513,'03. THIẾT BỊ'!$B$1:$S$836,12,0),"")</f>
        <v/>
      </c>
      <c r="N513" s="468" t="str">
        <f>IFERROR(VLOOKUP(B513,'03. THIẾT BỊ'!$B$1:$S$836,13,0),"")</f>
        <v/>
      </c>
      <c r="O513" s="470" t="str">
        <f>IFERROR(VLOOKUP(B513,'03. THIẾT BỊ'!$B$1:$S$836,14,0),"")</f>
        <v/>
      </c>
      <c r="P513" s="468" t="str">
        <f>IFERROR(VLOOKUP(B513,'03. THIẾT BỊ'!$B$1:$S$836,15,0),"")</f>
        <v/>
      </c>
      <c r="Q513" s="48" t="str">
        <f>IFERROR(VLOOKUP(B513,'03. THIẾT BỊ'!$B$1:$S$836,16,0),"")</f>
        <v/>
      </c>
      <c r="R513" s="471" t="str">
        <f>IFERROR(VLOOKUP(B513,'03. THIẾT BỊ'!$B$1:$S$836,17,0),"")</f>
        <v/>
      </c>
      <c r="S513" s="468" t="str">
        <f>IFERROR(VLOOKUP(B513,'03. THIẾT BỊ'!$B$1:$S$836,18,0),"")</f>
        <v/>
      </c>
    </row>
    <row r="514" hidden="1">
      <c r="C514" s="869" t="str">
        <f>IFERROR(VLOOKUP(B514,'03. THIẾT BỊ'!$B$1:$S$836,2,0),"")</f>
        <v/>
      </c>
      <c r="D514" s="470" t="str">
        <f>IFERROR(VLOOKUP(B514,'03. THIẾT BỊ'!$B$1:$S$836,3,0),"")</f>
        <v/>
      </c>
      <c r="E514" s="464" t="str">
        <f>IFERROR(VLOOKUP(B514,'03. THIẾT BỊ'!$B$1:$S$836,4,0),"")</f>
        <v/>
      </c>
      <c r="F514" s="464" t="str">
        <f>IFERROR(VLOOKUP(B514,'03. THIẾT BỊ'!$B$1:$S$836,5,0),"")</f>
        <v/>
      </c>
      <c r="G514" s="80" t="s">
        <v>6423</v>
      </c>
      <c r="H514" s="463" t="str">
        <f>IFERROR(VLOOKUP(B514,'03. THIẾT BỊ'!$B$1:$S$836,7,0),"")</f>
        <v/>
      </c>
      <c r="I514" s="474" t="str">
        <f>IFERROR(VLOOKUP(B514,'03. THIẾT BỊ'!$B$1:$S$836,8,0),"")</f>
        <v/>
      </c>
      <c r="J514" s="471"/>
      <c r="K514" s="463" t="str">
        <f>IFERROR(VLOOKUP(B514,'03. THIẾT BỊ'!$B$1:$S$836,10,0),"")</f>
        <v/>
      </c>
      <c r="L514" s="468" t="str">
        <f>IFERROR(VLOOKUP(B514,'03. THIẾT BỊ'!$B$1:$S$836,11,0),"")</f>
        <v/>
      </c>
      <c r="M514" s="472" t="str">
        <f>IFERROR(VLOOKUP(B514,'03. THIẾT BỊ'!$B$1:$S$836,12,0),"")</f>
        <v/>
      </c>
      <c r="N514" s="468" t="str">
        <f>IFERROR(VLOOKUP(B514,'03. THIẾT BỊ'!$B$1:$S$836,13,0),"")</f>
        <v/>
      </c>
      <c r="O514" s="470" t="str">
        <f>IFERROR(VLOOKUP(B514,'03. THIẾT BỊ'!$B$1:$S$836,14,0),"")</f>
        <v/>
      </c>
      <c r="P514" s="468" t="str">
        <f>IFERROR(VLOOKUP(B514,'03. THIẾT BỊ'!$B$1:$S$836,15,0),"")</f>
        <v/>
      </c>
      <c r="Q514" s="48" t="str">
        <f>IFERROR(VLOOKUP(B514,'03. THIẾT BỊ'!$B$1:$S$836,16,0),"")</f>
        <v/>
      </c>
      <c r="R514" s="471" t="str">
        <f>IFERROR(VLOOKUP(B514,'03. THIẾT BỊ'!$B$1:$S$836,17,0),"")</f>
        <v/>
      </c>
      <c r="S514" s="468" t="str">
        <f>IFERROR(VLOOKUP(B514,'03. THIẾT BỊ'!$B$1:$S$836,18,0),"")</f>
        <v/>
      </c>
    </row>
    <row r="515" hidden="1">
      <c r="C515" s="869" t="str">
        <f>IFERROR(VLOOKUP(B515,'03. THIẾT BỊ'!$B$1:$S$836,2,0),"")</f>
        <v/>
      </c>
      <c r="D515" s="470" t="str">
        <f>IFERROR(VLOOKUP(B515,'03. THIẾT BỊ'!$B$1:$S$836,3,0),"")</f>
        <v/>
      </c>
      <c r="E515" s="464" t="str">
        <f>IFERROR(VLOOKUP(B515,'03. THIẾT BỊ'!$B$1:$S$836,4,0),"")</f>
        <v/>
      </c>
      <c r="F515" s="464" t="str">
        <f>IFERROR(VLOOKUP(B515,'03. THIẾT BỊ'!$B$1:$S$836,5,0),"")</f>
        <v/>
      </c>
      <c r="G515" s="80" t="s">
        <v>6423</v>
      </c>
      <c r="H515" s="463" t="str">
        <f>IFERROR(VLOOKUP(B515,'03. THIẾT BỊ'!$B$1:$S$836,7,0),"")</f>
        <v/>
      </c>
      <c r="I515" s="474" t="str">
        <f>IFERROR(VLOOKUP(B515,'03. THIẾT BỊ'!$B$1:$S$836,8,0),"")</f>
        <v/>
      </c>
      <c r="J515" s="471"/>
      <c r="K515" s="463" t="str">
        <f>IFERROR(VLOOKUP(B515,'03. THIẾT BỊ'!$B$1:$S$836,10,0),"")</f>
        <v/>
      </c>
      <c r="L515" s="468" t="str">
        <f>IFERROR(VLOOKUP(B515,'03. THIẾT BỊ'!$B$1:$S$836,11,0),"")</f>
        <v/>
      </c>
      <c r="M515" s="472" t="str">
        <f>IFERROR(VLOOKUP(B515,'03. THIẾT BỊ'!$B$1:$S$836,12,0),"")</f>
        <v/>
      </c>
      <c r="N515" s="468" t="str">
        <f>IFERROR(VLOOKUP(B515,'03. THIẾT BỊ'!$B$1:$S$836,13,0),"")</f>
        <v/>
      </c>
      <c r="O515" s="470" t="str">
        <f>IFERROR(VLOOKUP(B515,'03. THIẾT BỊ'!$B$1:$S$836,14,0),"")</f>
        <v/>
      </c>
      <c r="P515" s="468" t="str">
        <f>IFERROR(VLOOKUP(B515,'03. THIẾT BỊ'!$B$1:$S$836,15,0),"")</f>
        <v/>
      </c>
      <c r="Q515" s="48" t="str">
        <f>IFERROR(VLOOKUP(B515,'03. THIẾT BỊ'!$B$1:$S$836,16,0),"")</f>
        <v/>
      </c>
      <c r="R515" s="471" t="str">
        <f>IFERROR(VLOOKUP(B515,'03. THIẾT BỊ'!$B$1:$S$836,17,0),"")</f>
        <v/>
      </c>
      <c r="S515" s="468" t="str">
        <f>IFERROR(VLOOKUP(B515,'03. THIẾT BỊ'!$B$1:$S$836,18,0),"")</f>
        <v/>
      </c>
    </row>
    <row r="516" hidden="1">
      <c r="C516" s="869" t="str">
        <f>IFERROR(VLOOKUP(B516,'03. THIẾT BỊ'!$B$1:$S$836,2,0),"")</f>
        <v/>
      </c>
      <c r="D516" s="470" t="str">
        <f>IFERROR(VLOOKUP(B516,'03. THIẾT BỊ'!$B$1:$S$836,3,0),"")</f>
        <v/>
      </c>
      <c r="E516" s="464" t="str">
        <f>IFERROR(VLOOKUP(B516,'03. THIẾT BỊ'!$B$1:$S$836,4,0),"")</f>
        <v/>
      </c>
      <c r="F516" s="464" t="str">
        <f>IFERROR(VLOOKUP(B516,'03. THIẾT BỊ'!$B$1:$S$836,5,0),"")</f>
        <v/>
      </c>
      <c r="G516" s="80" t="s">
        <v>6423</v>
      </c>
      <c r="H516" s="463" t="str">
        <f>IFERROR(VLOOKUP(B516,'03. THIẾT BỊ'!$B$1:$S$836,7,0),"")</f>
        <v/>
      </c>
      <c r="I516" s="474" t="str">
        <f>IFERROR(VLOOKUP(B516,'03. THIẾT BỊ'!$B$1:$S$836,8,0),"")</f>
        <v/>
      </c>
      <c r="J516" s="471"/>
      <c r="K516" s="463" t="str">
        <f>IFERROR(VLOOKUP(B516,'03. THIẾT BỊ'!$B$1:$S$836,10,0),"")</f>
        <v/>
      </c>
      <c r="L516" s="468" t="str">
        <f>IFERROR(VLOOKUP(B516,'03. THIẾT BỊ'!$B$1:$S$836,11,0),"")</f>
        <v/>
      </c>
      <c r="M516" s="472" t="str">
        <f>IFERROR(VLOOKUP(B516,'03. THIẾT BỊ'!$B$1:$S$836,12,0),"")</f>
        <v/>
      </c>
      <c r="N516" s="468" t="str">
        <f>IFERROR(VLOOKUP(B516,'03. THIẾT BỊ'!$B$1:$S$836,13,0),"")</f>
        <v/>
      </c>
      <c r="O516" s="470" t="str">
        <f>IFERROR(VLOOKUP(B516,'03. THIẾT BỊ'!$B$1:$S$836,14,0),"")</f>
        <v/>
      </c>
      <c r="P516" s="468" t="str">
        <f>IFERROR(VLOOKUP(B516,'03. THIẾT BỊ'!$B$1:$S$836,15,0),"")</f>
        <v/>
      </c>
      <c r="Q516" s="48" t="str">
        <f>IFERROR(VLOOKUP(B516,'03. THIẾT BỊ'!$B$1:$S$836,16,0),"")</f>
        <v/>
      </c>
      <c r="R516" s="471" t="str">
        <f>IFERROR(VLOOKUP(B516,'03. THIẾT BỊ'!$B$1:$S$836,17,0),"")</f>
        <v/>
      </c>
      <c r="S516" s="468" t="str">
        <f>IFERROR(VLOOKUP(B516,'03. THIẾT BỊ'!$B$1:$S$836,18,0),"")</f>
        <v/>
      </c>
    </row>
    <row r="517" ht="15.0" customHeight="1">
      <c r="A517" s="455" t="s">
        <v>76</v>
      </c>
      <c r="B517" s="456" t="s">
        <v>8708</v>
      </c>
      <c r="C517" s="457">
        <f>COUNTA(B518:B582)</f>
        <v>62</v>
      </c>
      <c r="D517" s="458" t="str">
        <f>IFERROR(VLOOKUP(B517,'03. THIẾT BỊ'!$B$1:$S$836,3,0),"")</f>
        <v/>
      </c>
      <c r="E517" s="464" t="str">
        <f>IFERROR(VLOOKUP(B517,'03. THIẾT BỊ'!$B$1:$S$836,4,0),"")</f>
        <v/>
      </c>
      <c r="F517" s="458" t="str">
        <f>IFERROR(VLOOKUP(B517,'03. THIẾT BỊ'!$B$1:$S$836,5,0),"")</f>
        <v/>
      </c>
      <c r="G517" s="459" t="s">
        <v>6423</v>
      </c>
      <c r="H517" s="459" t="str">
        <f>IFERROR(VLOOKUP(B517,'03. THIẾT BỊ'!$B$1:$S$836,7,0),"")</f>
        <v/>
      </c>
      <c r="I517" s="457" t="str">
        <f>IFERROR(VLOOKUP(B517,'03. THIẾT BỊ'!$B$1:$S$836,8,0),"")</f>
        <v/>
      </c>
      <c r="J517" s="460"/>
      <c r="K517" s="457" t="str">
        <f>IFERROR(VLOOKUP(B517,'03. THIẾT BỊ'!$B$1:$S$836,10,0),"")</f>
        <v/>
      </c>
      <c r="L517" s="458" t="str">
        <f>IFERROR(VLOOKUP(B517,'03. THIẾT BỊ'!$B$1:$S$836,11,0),"")</f>
        <v/>
      </c>
      <c r="M517" s="461" t="str">
        <f>IFERROR(VLOOKUP(B517,'03. THIẾT BỊ'!$B$1:$S$836,12,0),"")</f>
        <v/>
      </c>
      <c r="N517" s="458" t="str">
        <f>IFERROR(VLOOKUP(B517,'03. THIẾT BỊ'!$B$1:$S$836,13,0),"")</f>
        <v/>
      </c>
      <c r="O517" s="461" t="str">
        <f>IFERROR(VLOOKUP(B517,'03. THIẾT BỊ'!$B$1:$S$836,14,0),"")</f>
        <v/>
      </c>
      <c r="P517" s="458" t="str">
        <f>IFERROR(VLOOKUP(B517,'03. THIẾT BỊ'!$B$1:$S$836,15,0),"")</f>
        <v/>
      </c>
      <c r="Q517" s="459" t="str">
        <f>IFERROR(VLOOKUP(B517,'03. THIẾT BỊ'!$B$1:$S$836,16,0),"")</f>
        <v/>
      </c>
      <c r="R517" s="458" t="str">
        <f>IFERROR(VLOOKUP(B517,'03. THIẾT BỊ'!$B$1:$S$836,17,0),"")</f>
        <v/>
      </c>
      <c r="S517" s="458" t="str">
        <f>IFERROR(VLOOKUP(B517,'03. THIẾT BỊ'!$B$1:$S$836,18,0),"")</f>
        <v/>
      </c>
      <c r="T517" s="866"/>
    </row>
    <row r="518" ht="15.0" customHeight="1">
      <c r="A518" s="463">
        <v>1.0</v>
      </c>
      <c r="B518" s="464" t="s">
        <v>3987</v>
      </c>
      <c r="C518" s="869" t="str">
        <f>IFERROR(VLOOKUP(B518,'03. THIẾT BỊ'!$B$1:$S$836,2,0),"")</f>
        <v/>
      </c>
      <c r="D518" s="470" t="str">
        <f>IFERROR(VLOOKUP(B518,'03. THIẾT BỊ'!$B$1:$S$836,3,0),"")</f>
        <v>A23-MKC-004</v>
      </c>
      <c r="E518" s="464" t="str">
        <f>IFERROR(VLOOKUP(B518,'03. THIẾT BỊ'!$B$1:$S$836,4,0),"")</f>
        <v>ĐQSD</v>
      </c>
      <c r="F518" s="464" t="str">
        <f>IFERROR(VLOOKUP(B518,'03. THIẾT BỊ'!$B$1:$S$836,5,0),"")</f>
        <v>Máy kéo chuối (Xăng)</v>
      </c>
      <c r="G518" s="80" t="s">
        <v>6423</v>
      </c>
      <c r="H518" s="463" t="str">
        <f>IFERROR(VLOOKUP(B518,'03. THIẾT BỊ'!$B$1:$S$836,7,0),"")</f>
        <v>XN Chuối DP1</v>
      </c>
      <c r="I518" s="474">
        <f>IFERROR(VLOOKUP(B518,'03. THIẾT BỊ'!$B$1:$S$836,8,0),"")</f>
        <v>45933</v>
      </c>
      <c r="J518" s="471"/>
      <c r="K518" s="463" t="str">
        <f>IFERROR(VLOOKUP(B518,'03. THIẾT BỊ'!$B$1:$S$836,10,0),"")</f>
        <v>Bình thường</v>
      </c>
      <c r="L518" s="468" t="str">
        <f>IFERROR(VLOOKUP(B518,'03. THIẾT BỊ'!$B$1:$S$836,11,0),"")</f>
        <v/>
      </c>
      <c r="M518" s="472" t="str">
        <f>IFERROR(VLOOKUP(B518,'03. THIẾT BỊ'!$B$1:$S$836,12,0),"")</f>
        <v/>
      </c>
      <c r="N518" s="468" t="str">
        <f>IFERROR(VLOOKUP(B518,'03. THIẾT BỊ'!$B$1:$S$836,13,0),"")</f>
        <v>DREAM</v>
      </c>
      <c r="O518" s="470" t="str">
        <f>IFERROR(VLOOKUP(B518,'03. THIẾT BỊ'!$B$1:$S$836,14,0),"")</f>
        <v>CGH-MKC-DREAM</v>
      </c>
      <c r="P518" s="468" t="str">
        <f>IFERROR(VLOOKUP(B518,'03. THIẾT BỊ'!$B$1:$S$836,15,0),"")</f>
        <v>CK-CGH</v>
      </c>
      <c r="Q518" s="48">
        <f>IFERROR(VLOOKUP(B518,'03. THIẾT BỊ'!$B$1:$S$836,16,0),"")</f>
        <v>2025</v>
      </c>
      <c r="R518" s="471" t="str">
        <f>IFERROR(VLOOKUP(B518,'03. THIẾT BỊ'!$B$1:$S$836,17,0),"")</f>
        <v/>
      </c>
      <c r="S518" s="468">
        <f>IFERROR(VLOOKUP(B518,'03. THIẾT BỊ'!$B$1:$S$836,18,0),"")</f>
        <v>10</v>
      </c>
      <c r="T518" s="807">
        <v>0.56</v>
      </c>
    </row>
    <row r="519" ht="15.0" customHeight="1">
      <c r="A519" s="463">
        <f t="shared" ref="A519:A530" si="25">A518+1</f>
        <v>2</v>
      </c>
      <c r="B519" s="464" t="s">
        <v>3993</v>
      </c>
      <c r="C519" s="869" t="str">
        <f>IFERROR(VLOOKUP(B519,'03. THIẾT BỊ'!$B$1:$S$836,2,0),"")</f>
        <v/>
      </c>
      <c r="D519" s="470" t="str">
        <f>IFERROR(VLOOKUP(B519,'03. THIẾT BỊ'!$B$1:$S$836,3,0),"")</f>
        <v>A23-MKC-005</v>
      </c>
      <c r="E519" s="464" t="str">
        <f>IFERROR(VLOOKUP(B519,'03. THIẾT BỊ'!$B$1:$S$836,4,0),"")</f>
        <v>ĐQSD</v>
      </c>
      <c r="F519" s="464" t="str">
        <f>IFERROR(VLOOKUP(B519,'03. THIẾT BỊ'!$B$1:$S$836,5,0),"")</f>
        <v>Máy kéo chuối (Xăng)</v>
      </c>
      <c r="G519" s="80" t="s">
        <v>6423</v>
      </c>
      <c r="H519" s="463" t="str">
        <f>IFERROR(VLOOKUP(B519,'03. THIẾT BỊ'!$B$1:$S$836,7,0),"")</f>
        <v>XN Chuối DP1</v>
      </c>
      <c r="I519" s="474">
        <f>IFERROR(VLOOKUP(B519,'03. THIẾT BỊ'!$B$1:$S$836,8,0),"")</f>
        <v>45933</v>
      </c>
      <c r="J519" s="471"/>
      <c r="K519" s="463" t="str">
        <f>IFERROR(VLOOKUP(B519,'03. THIẾT BỊ'!$B$1:$S$836,10,0),"")</f>
        <v>Bình thường</v>
      </c>
      <c r="L519" s="468" t="str">
        <f>IFERROR(VLOOKUP(B519,'03. THIẾT BỊ'!$B$1:$S$836,11,0),"")</f>
        <v/>
      </c>
      <c r="M519" s="472" t="str">
        <f>IFERROR(VLOOKUP(B519,'03. THIẾT BỊ'!$B$1:$S$836,12,0),"")</f>
        <v/>
      </c>
      <c r="N519" s="468" t="str">
        <f>IFERROR(VLOOKUP(B519,'03. THIẾT BỊ'!$B$1:$S$836,13,0),"")</f>
        <v>DREAM</v>
      </c>
      <c r="O519" s="470" t="str">
        <f>IFERROR(VLOOKUP(B519,'03. THIẾT BỊ'!$B$1:$S$836,14,0),"")</f>
        <v>CGH-MKC-DREAM</v>
      </c>
      <c r="P519" s="468" t="str">
        <f>IFERROR(VLOOKUP(B519,'03. THIẾT BỊ'!$B$1:$S$836,15,0),"")</f>
        <v>CK-CGH</v>
      </c>
      <c r="Q519" s="48">
        <f>IFERROR(VLOOKUP(B519,'03. THIẾT BỊ'!$B$1:$S$836,16,0),"")</f>
        <v>2025</v>
      </c>
      <c r="R519" s="471" t="str">
        <f>IFERROR(VLOOKUP(B519,'03. THIẾT BỊ'!$B$1:$S$836,17,0),"")</f>
        <v/>
      </c>
      <c r="S519" s="468">
        <f>IFERROR(VLOOKUP(B519,'03. THIẾT BỊ'!$B$1:$S$836,18,0),"")</f>
        <v>11</v>
      </c>
      <c r="T519" s="807">
        <v>0.56</v>
      </c>
    </row>
    <row r="520" ht="15.0" customHeight="1">
      <c r="A520" s="463">
        <f t="shared" si="25"/>
        <v>3</v>
      </c>
      <c r="B520" s="464" t="s">
        <v>3995</v>
      </c>
      <c r="C520" s="869" t="str">
        <f>IFERROR(VLOOKUP(B520,'03. THIẾT BỊ'!$B$1:$S$836,2,0),"")</f>
        <v/>
      </c>
      <c r="D520" s="470" t="str">
        <f>IFERROR(VLOOKUP(B520,'03. THIẾT BỊ'!$B$1:$S$836,3,0),"")</f>
        <v>A23-MKC-007</v>
      </c>
      <c r="E520" s="464" t="str">
        <f>IFERROR(VLOOKUP(B520,'03. THIẾT BỊ'!$B$1:$S$836,4,0),"")</f>
        <v>ĐQSD</v>
      </c>
      <c r="F520" s="464" t="str">
        <f>IFERROR(VLOOKUP(B520,'03. THIẾT BỊ'!$B$1:$S$836,5,0),"")</f>
        <v>Máy kéo chuối (Xăng)</v>
      </c>
      <c r="G520" s="80" t="s">
        <v>6423</v>
      </c>
      <c r="H520" s="463" t="str">
        <f>IFERROR(VLOOKUP(B520,'03. THIẾT BỊ'!$B$1:$S$836,7,0),"")</f>
        <v>XN Chuối DP1</v>
      </c>
      <c r="I520" s="474" t="str">
        <f>IFERROR(VLOOKUP(B520,'03. THIẾT BỊ'!$B$1:$S$836,8,0),"")</f>
        <v>20/03/2025</v>
      </c>
      <c r="J520" s="471"/>
      <c r="K520" s="463" t="str">
        <f>IFERROR(VLOOKUP(B520,'03. THIẾT BỊ'!$B$1:$S$836,10,0),"")</f>
        <v>Bình thường</v>
      </c>
      <c r="L520" s="468" t="str">
        <f>IFERROR(VLOOKUP(B520,'03. THIẾT BỊ'!$B$1:$S$836,11,0),"")</f>
        <v/>
      </c>
      <c r="M520" s="472" t="str">
        <f>IFERROR(VLOOKUP(B520,'03. THIẾT BỊ'!$B$1:$S$836,12,0),"")</f>
        <v>Gia công mới</v>
      </c>
      <c r="N520" s="468" t="str">
        <f>IFERROR(VLOOKUP(B520,'03. THIẾT BỊ'!$B$1:$S$836,13,0),"")</f>
        <v>DREAM</v>
      </c>
      <c r="O520" s="470" t="str">
        <f>IFERROR(VLOOKUP(B520,'03. THIẾT BỊ'!$B$1:$S$836,14,0),"")</f>
        <v>CGH-MKC-DREAM</v>
      </c>
      <c r="P520" s="468" t="str">
        <f>IFERROR(VLOOKUP(B520,'03. THIẾT BỊ'!$B$1:$S$836,15,0),"")</f>
        <v>CK-CGH</v>
      </c>
      <c r="Q520" s="48">
        <f>IFERROR(VLOOKUP(B520,'03. THIẾT BỊ'!$B$1:$S$836,16,0),"")</f>
        <v>2024</v>
      </c>
      <c r="R520" s="471" t="str">
        <f>IFERROR(VLOOKUP(B520,'03. THIẾT BỊ'!$B$1:$S$836,17,0),"")</f>
        <v>9.25HP</v>
      </c>
      <c r="S520" s="468" t="str">
        <f>IFERROR(VLOOKUP(B520,'03. THIẾT BỊ'!$B$1:$S$836,18,0),"")</f>
        <v>13L05694</v>
      </c>
      <c r="T520" s="807">
        <v>0.56</v>
      </c>
    </row>
    <row r="521" ht="15.0" customHeight="1">
      <c r="A521" s="463">
        <f t="shared" si="25"/>
        <v>4</v>
      </c>
      <c r="B521" s="464" t="s">
        <v>3999</v>
      </c>
      <c r="C521" s="869" t="str">
        <f>IFERROR(VLOOKUP(B521,'03. THIẾT BỊ'!$B$1:$S$836,2,0),"")</f>
        <v/>
      </c>
      <c r="D521" s="470" t="str">
        <f>IFERROR(VLOOKUP(B521,'03. THIẾT BỊ'!$B$1:$S$836,3,0),"")</f>
        <v>A23-MKC-008</v>
      </c>
      <c r="E521" s="464" t="str">
        <f>IFERROR(VLOOKUP(B521,'03. THIẾT BỊ'!$B$1:$S$836,4,0),"")</f>
        <v>ĐQSD</v>
      </c>
      <c r="F521" s="464" t="str">
        <f>IFERROR(VLOOKUP(B521,'03. THIẾT BỊ'!$B$1:$S$836,5,0),"")</f>
        <v>Máy kéo chuối (Xăng)</v>
      </c>
      <c r="G521" s="80" t="s">
        <v>6423</v>
      </c>
      <c r="H521" s="463" t="str">
        <f>IFERROR(VLOOKUP(B521,'03. THIẾT BỊ'!$B$1:$S$836,7,0),"")</f>
        <v>XN Chuối DP1</v>
      </c>
      <c r="I521" s="474">
        <f>IFERROR(VLOOKUP(B521,'03. THIẾT BỊ'!$B$1:$S$836,8,0),"")</f>
        <v>45995</v>
      </c>
      <c r="J521" s="471"/>
      <c r="K521" s="463" t="str">
        <f>IFERROR(VLOOKUP(B521,'03. THIẾT BỊ'!$B$1:$S$836,10,0),"")</f>
        <v>Bình thường</v>
      </c>
      <c r="L521" s="468" t="str">
        <f>IFERROR(VLOOKUP(B521,'03. THIẾT BỊ'!$B$1:$S$836,11,0),"")</f>
        <v/>
      </c>
      <c r="M521" s="472" t="str">
        <f>IFERROR(VLOOKUP(B521,'03. THIẾT BỊ'!$B$1:$S$836,12,0),"")</f>
        <v>Gia công mới</v>
      </c>
      <c r="N521" s="468" t="str">
        <f>IFERROR(VLOOKUP(B521,'03. THIẾT BỊ'!$B$1:$S$836,13,0),"")</f>
        <v>DREAM</v>
      </c>
      <c r="O521" s="470" t="str">
        <f>IFERROR(VLOOKUP(B521,'03. THIẾT BỊ'!$B$1:$S$836,14,0),"")</f>
        <v>CGH-MKC-DREAM</v>
      </c>
      <c r="P521" s="468" t="str">
        <f>IFERROR(VLOOKUP(B521,'03. THIẾT BỊ'!$B$1:$S$836,15,0),"")</f>
        <v>CK-CGH</v>
      </c>
      <c r="Q521" s="48">
        <f>IFERROR(VLOOKUP(B521,'03. THIẾT BỊ'!$B$1:$S$836,16,0),"")</f>
        <v>2025</v>
      </c>
      <c r="R521" s="471" t="str">
        <f>IFERROR(VLOOKUP(B521,'03. THIẾT BỊ'!$B$1:$S$836,17,0),"")</f>
        <v>9.25HP</v>
      </c>
      <c r="S521" s="468" t="str">
        <f>IFERROR(VLOOKUP(B521,'03. THIẾT BỊ'!$B$1:$S$836,18,0),"")</f>
        <v>11h02011A</v>
      </c>
      <c r="T521" s="807">
        <v>0.56</v>
      </c>
    </row>
    <row r="522" ht="15.0" customHeight="1">
      <c r="A522" s="463">
        <f t="shared" si="25"/>
        <v>5</v>
      </c>
      <c r="B522" s="464" t="s">
        <v>4002</v>
      </c>
      <c r="C522" s="869" t="str">
        <f>IFERROR(VLOOKUP(B522,'03. THIẾT BỊ'!$B$1:$S$836,2,0),"")</f>
        <v/>
      </c>
      <c r="D522" s="470" t="str">
        <f>IFERROR(VLOOKUP(B522,'03. THIẾT BỊ'!$B$1:$S$836,3,0),"")</f>
        <v>A23-MKC-014</v>
      </c>
      <c r="E522" s="464" t="str">
        <f>IFERROR(VLOOKUP(B522,'03. THIẾT BỊ'!$B$1:$S$836,4,0),"")</f>
        <v>ĐQSD</v>
      </c>
      <c r="F522" s="464" t="str">
        <f>IFERROR(VLOOKUP(B522,'03. THIẾT BỊ'!$B$1:$S$836,5,0),"")</f>
        <v>Máy kéo chuối (Xăng)</v>
      </c>
      <c r="G522" s="80" t="s">
        <v>6423</v>
      </c>
      <c r="H522" s="463" t="str">
        <f>IFERROR(VLOOKUP(B522,'03. THIẾT BỊ'!$B$1:$S$836,7,0),"")</f>
        <v>XN Chuối DP1</v>
      </c>
      <c r="I522" s="474" t="str">
        <f>IFERROR(VLOOKUP(B522,'03. THIẾT BỊ'!$B$1:$S$836,8,0),"")</f>
        <v>19/06/2025</v>
      </c>
      <c r="J522" s="471"/>
      <c r="K522" s="463" t="str">
        <f>IFERROR(VLOOKUP(B522,'03. THIẾT BỊ'!$B$1:$S$836,10,0),"")</f>
        <v>Bình thường</v>
      </c>
      <c r="L522" s="468" t="str">
        <f>IFERROR(VLOOKUP(B522,'03. THIẾT BỊ'!$B$1:$S$836,11,0),"")</f>
        <v/>
      </c>
      <c r="M522" s="472" t="str">
        <f>IFERROR(VLOOKUP(B522,'03. THIẾT BỊ'!$B$1:$S$836,12,0),"")</f>
        <v>Gia công mới</v>
      </c>
      <c r="N522" s="468" t="str">
        <f>IFERROR(VLOOKUP(B522,'03. THIẾT BỊ'!$B$1:$S$836,13,0),"")</f>
        <v>DREAM</v>
      </c>
      <c r="O522" s="470" t="str">
        <f>IFERROR(VLOOKUP(B522,'03. THIẾT BỊ'!$B$1:$S$836,14,0),"")</f>
        <v>CGH-MKC-DREAM</v>
      </c>
      <c r="P522" s="468" t="str">
        <f>IFERROR(VLOOKUP(B522,'03. THIẾT BỊ'!$B$1:$S$836,15,0),"")</f>
        <v>CK-CGH</v>
      </c>
      <c r="Q522" s="48">
        <f>IFERROR(VLOOKUP(B522,'03. THIẾT BỊ'!$B$1:$S$836,16,0),"")</f>
        <v>2025</v>
      </c>
      <c r="R522" s="471" t="str">
        <f>IFERROR(VLOOKUP(B522,'03. THIẾT BỊ'!$B$1:$S$836,17,0),"")</f>
        <v>9.25HP</v>
      </c>
      <c r="S522" s="468" t="str">
        <f>IFERROR(VLOOKUP(B522,'03. THIẾT BỊ'!$B$1:$S$836,18,0),"")</f>
        <v/>
      </c>
      <c r="T522" s="807">
        <v>0.56</v>
      </c>
    </row>
    <row r="523">
      <c r="A523" s="463">
        <f t="shared" si="25"/>
        <v>6</v>
      </c>
      <c r="B523" s="464" t="s">
        <v>4005</v>
      </c>
      <c r="C523" s="869" t="str">
        <f>IFERROR(VLOOKUP(B523,'03. THIẾT BỊ'!$B$1:$S$836,2,0),"")</f>
        <v/>
      </c>
      <c r="D523" s="470" t="str">
        <f>IFERROR(VLOOKUP(B523,'03. THIẾT BỊ'!$B$1:$S$836,3,0),"")</f>
        <v>A23-MKC-015</v>
      </c>
      <c r="E523" s="464" t="str">
        <f>IFERROR(VLOOKUP(B523,'03. THIẾT BỊ'!$B$1:$S$836,4,0),"")</f>
        <v>ĐQSD</v>
      </c>
      <c r="F523" s="464" t="str">
        <f>IFERROR(VLOOKUP(B523,'03. THIẾT BỊ'!$B$1:$S$836,5,0),"")</f>
        <v>Máy kéo chuối (Xăng)</v>
      </c>
      <c r="G523" s="80" t="s">
        <v>6423</v>
      </c>
      <c r="H523" s="463" t="str">
        <f>IFERROR(VLOOKUP(B523,'03. THIẾT BỊ'!$B$1:$S$836,7,0),"")</f>
        <v>XN Chuối DP1</v>
      </c>
      <c r="I523" s="474" t="str">
        <f>IFERROR(VLOOKUP(B523,'03. THIẾT BỊ'!$B$1:$S$836,8,0),"")</f>
        <v>25/08/2025</v>
      </c>
      <c r="J523" s="471"/>
      <c r="K523" s="463" t="str">
        <f>IFERROR(VLOOKUP(B523,'03. THIẾT BỊ'!$B$1:$S$836,10,0),"")</f>
        <v>Bình thường</v>
      </c>
      <c r="L523" s="468" t="str">
        <f>IFERROR(VLOOKUP(B523,'03. THIẾT BỊ'!$B$1:$S$836,11,0),"")</f>
        <v/>
      </c>
      <c r="M523" s="472" t="str">
        <f>IFERROR(VLOOKUP(B523,'03. THIẾT BỊ'!$B$1:$S$836,12,0),"")</f>
        <v>Gia công mới</v>
      </c>
      <c r="N523" s="468" t="str">
        <f>IFERROR(VLOOKUP(B523,'03. THIẾT BỊ'!$B$1:$S$836,13,0),"")</f>
        <v>DREAM</v>
      </c>
      <c r="O523" s="470" t="str">
        <f>IFERROR(VLOOKUP(B523,'03. THIẾT BỊ'!$B$1:$S$836,14,0),"")</f>
        <v>XKC-11</v>
      </c>
      <c r="P523" s="468" t="str">
        <f>IFERROR(VLOOKUP(B523,'03. THIẾT BỊ'!$B$1:$S$836,15,0),"")</f>
        <v>CK-CGH</v>
      </c>
      <c r="Q523" s="48">
        <f>IFERROR(VLOOKUP(B523,'03. THIẾT BỊ'!$B$1:$S$836,16,0),"")</f>
        <v>2025</v>
      </c>
      <c r="R523" s="471" t="str">
        <f>IFERROR(VLOOKUP(B523,'03. THIẾT BỊ'!$B$1:$S$836,17,0),"")</f>
        <v>9.25HP</v>
      </c>
      <c r="S523" s="468">
        <f>IFERROR(VLOOKUP(B523,'03. THIẾT BỊ'!$B$1:$S$836,18,0),"")</f>
        <v>11</v>
      </c>
    </row>
    <row r="524">
      <c r="A524" s="463">
        <f t="shared" si="25"/>
        <v>7</v>
      </c>
      <c r="B524" s="464" t="s">
        <v>4008</v>
      </c>
      <c r="C524" s="869" t="str">
        <f>IFERROR(VLOOKUP(B524,'03. THIẾT BỊ'!$B$1:$S$836,2,0),"")</f>
        <v/>
      </c>
      <c r="D524" s="470" t="str">
        <f>IFERROR(VLOOKUP(B524,'03. THIẾT BỊ'!$B$1:$S$836,3,0),"")</f>
        <v>A23-MKC-018</v>
      </c>
      <c r="E524" s="464" t="str">
        <f>IFERROR(VLOOKUP(B524,'03. THIẾT BỊ'!$B$1:$S$836,4,0),"")</f>
        <v>ĐQSD</v>
      </c>
      <c r="F524" s="464" t="str">
        <f>IFERROR(VLOOKUP(B524,'03. THIẾT BỊ'!$B$1:$S$836,5,0),"")</f>
        <v>Máy kéo chuối (Xăng)</v>
      </c>
      <c r="G524" s="80" t="s">
        <v>6423</v>
      </c>
      <c r="H524" s="463" t="str">
        <f>IFERROR(VLOOKUP(B524,'03. THIẾT BỊ'!$B$1:$S$836,7,0),"")</f>
        <v>XN Chuối DP1</v>
      </c>
      <c r="I524" s="474" t="str">
        <f>IFERROR(VLOOKUP(B524,'03. THIẾT BỊ'!$B$1:$S$836,8,0),"")</f>
        <v>25/08/2025</v>
      </c>
      <c r="J524" s="471"/>
      <c r="K524" s="463" t="str">
        <f>IFERROR(VLOOKUP(B524,'03. THIẾT BỊ'!$B$1:$S$836,10,0),"")</f>
        <v>Bình thường</v>
      </c>
      <c r="L524" s="468" t="str">
        <f>IFERROR(VLOOKUP(B524,'03. THIẾT BỊ'!$B$1:$S$836,11,0),"")</f>
        <v/>
      </c>
      <c r="M524" s="472" t="str">
        <f>IFERROR(VLOOKUP(B524,'03. THIẾT BỊ'!$B$1:$S$836,12,0),"")</f>
        <v>Gia công mới</v>
      </c>
      <c r="N524" s="468" t="str">
        <f>IFERROR(VLOOKUP(B524,'03. THIẾT BỊ'!$B$1:$S$836,13,0),"")</f>
        <v>DREAM</v>
      </c>
      <c r="O524" s="470" t="str">
        <f>IFERROR(VLOOKUP(B524,'03. THIẾT BỊ'!$B$1:$S$836,14,0),"")</f>
        <v>XKC-11</v>
      </c>
      <c r="P524" s="468" t="str">
        <f>IFERROR(VLOOKUP(B524,'03. THIẾT BỊ'!$B$1:$S$836,15,0),"")</f>
        <v>CK-CGH</v>
      </c>
      <c r="Q524" s="48">
        <f>IFERROR(VLOOKUP(B524,'03. THIẾT BỊ'!$B$1:$S$836,16,0),"")</f>
        <v>2025</v>
      </c>
      <c r="R524" s="471" t="str">
        <f>IFERROR(VLOOKUP(B524,'03. THIẾT BỊ'!$B$1:$S$836,17,0),"")</f>
        <v>9.25HP</v>
      </c>
      <c r="S524" s="468">
        <f>IFERROR(VLOOKUP(B524,'03. THIẾT BỊ'!$B$1:$S$836,18,0),"")</f>
        <v>11</v>
      </c>
    </row>
    <row r="525" ht="15.0" customHeight="1">
      <c r="A525" s="463">
        <f t="shared" si="25"/>
        <v>8</v>
      </c>
      <c r="B525" s="464" t="s">
        <v>4010</v>
      </c>
      <c r="C525" s="869" t="str">
        <f>IFERROR(VLOOKUP(B525,'03. THIẾT BỊ'!$B$1:$S$836,2,0),"")</f>
        <v/>
      </c>
      <c r="D525" s="470" t="str">
        <f>IFERROR(VLOOKUP(B525,'03. THIẾT BỊ'!$B$1:$S$836,3,0),"")</f>
        <v>A23-MKC-019</v>
      </c>
      <c r="E525" s="464" t="str">
        <f>IFERROR(VLOOKUP(B525,'03. THIẾT BỊ'!$B$1:$S$836,4,0),"")</f>
        <v>ĐQSD</v>
      </c>
      <c r="F525" s="464" t="str">
        <f>IFERROR(VLOOKUP(B525,'03. THIẾT BỊ'!$B$1:$S$836,5,0),"")</f>
        <v>Máy kéo chuối (Xăng)</v>
      </c>
      <c r="G525" s="80" t="s">
        <v>6423</v>
      </c>
      <c r="H525" s="463" t="str">
        <f>IFERROR(VLOOKUP(B525,'03. THIẾT BỊ'!$B$1:$S$836,7,0),"")</f>
        <v>XN Chuối DP1</v>
      </c>
      <c r="I525" s="474">
        <f>IFERROR(VLOOKUP(B525,'03. THIẾT BỊ'!$B$1:$S$836,8,0),"")</f>
        <v>45906</v>
      </c>
      <c r="J525" s="471"/>
      <c r="K525" s="463" t="str">
        <f>IFERROR(VLOOKUP(B525,'03. THIẾT BỊ'!$B$1:$S$836,10,0),"")</f>
        <v>Bình thường</v>
      </c>
      <c r="L525" s="468" t="str">
        <f>IFERROR(VLOOKUP(B525,'03. THIẾT BỊ'!$B$1:$S$836,11,0),"")</f>
        <v>Gc mới</v>
      </c>
      <c r="M525" s="472" t="str">
        <f>IFERROR(VLOOKUP(B525,'03. THIẾT BỊ'!$B$1:$S$836,12,0),"")</f>
        <v>Gia công mới</v>
      </c>
      <c r="N525" s="468" t="str">
        <f>IFERROR(VLOOKUP(B525,'03. THIẾT BỊ'!$B$1:$S$836,13,0),"")</f>
        <v>DREAM</v>
      </c>
      <c r="O525" s="470" t="str">
        <f>IFERROR(VLOOKUP(B525,'03. THIẾT BỊ'!$B$1:$S$836,14,0),"")</f>
        <v>XKC-16</v>
      </c>
      <c r="P525" s="468" t="str">
        <f>IFERROR(VLOOKUP(B525,'03. THIẾT BỊ'!$B$1:$S$836,15,0),"")</f>
        <v>CK-CGH</v>
      </c>
      <c r="Q525" s="48">
        <f>IFERROR(VLOOKUP(B525,'03. THIẾT BỊ'!$B$1:$S$836,16,0),"")</f>
        <v>2025</v>
      </c>
      <c r="R525" s="471" t="str">
        <f>IFERROR(VLOOKUP(B525,'03. THIẾT BỊ'!$B$1:$S$836,17,0),"")</f>
        <v>9,5 HP</v>
      </c>
      <c r="S525" s="468">
        <f>IFERROR(VLOOKUP(B525,'03. THIẾT BỊ'!$B$1:$S$836,18,0),"")</f>
        <v>18</v>
      </c>
    </row>
    <row r="526" ht="15.0" customHeight="1">
      <c r="A526" s="463">
        <f t="shared" si="25"/>
        <v>9</v>
      </c>
      <c r="B526" s="464" t="s">
        <v>4018</v>
      </c>
      <c r="C526" s="869" t="str">
        <f>IFERROR(VLOOKUP(B526,'03. THIẾT BỊ'!$B$1:$S$836,2,0),"")</f>
        <v/>
      </c>
      <c r="D526" s="470" t="str">
        <f>IFERROR(VLOOKUP(B526,'03. THIẾT BỊ'!$B$1:$S$836,3,0),"")</f>
        <v>A23-MKC-026</v>
      </c>
      <c r="E526" s="464" t="str">
        <f>IFERROR(VLOOKUP(B526,'03. THIẾT BỊ'!$B$1:$S$836,4,0),"")</f>
        <v>ĐQSD</v>
      </c>
      <c r="F526" s="464" t="str">
        <f>IFERROR(VLOOKUP(B526,'03. THIẾT BỊ'!$B$1:$S$836,5,0),"")</f>
        <v>Máy kéo chuối (Xăng)</v>
      </c>
      <c r="G526" s="80" t="s">
        <v>6423</v>
      </c>
      <c r="H526" s="463" t="str">
        <f>IFERROR(VLOOKUP(B526,'03. THIẾT BỊ'!$B$1:$S$836,7,0),"")</f>
        <v>XN Chuối DP1</v>
      </c>
      <c r="I526" s="474" t="str">
        <f>IFERROR(VLOOKUP(B526,'03. THIẾT BỊ'!$B$1:$S$836,8,0),"")</f>
        <v>13/10/2025</v>
      </c>
      <c r="J526" s="471"/>
      <c r="K526" s="463" t="str">
        <f>IFERROR(VLOOKUP(B526,'03. THIẾT BỊ'!$B$1:$S$836,10,0),"")</f>
        <v>Bình thường</v>
      </c>
      <c r="L526" s="468" t="str">
        <f>IFERROR(VLOOKUP(B526,'03. THIẾT BỊ'!$B$1:$S$836,11,0),"")</f>
        <v/>
      </c>
      <c r="M526" s="472" t="str">
        <f>IFERROR(VLOOKUP(B526,'03. THIẾT BỊ'!$B$1:$S$836,12,0),"")</f>
        <v>Gia công mới</v>
      </c>
      <c r="N526" s="468" t="str">
        <f>IFERROR(VLOOKUP(B526,'03. THIẾT BỊ'!$B$1:$S$836,13,0),"")</f>
        <v>DREAM</v>
      </c>
      <c r="O526" s="470" t="str">
        <f>IFERROR(VLOOKUP(B526,'03. THIẾT BỊ'!$B$1:$S$836,14,0),"")</f>
        <v>XKC-30</v>
      </c>
      <c r="P526" s="468" t="str">
        <f>IFERROR(VLOOKUP(B526,'03. THIẾT BỊ'!$B$1:$S$836,15,0),"")</f>
        <v>CK-CGH</v>
      </c>
      <c r="Q526" s="48">
        <f>IFERROR(VLOOKUP(B526,'03. THIẾT BỊ'!$B$1:$S$836,16,0),"")</f>
        <v>2025</v>
      </c>
      <c r="R526" s="471" t="str">
        <f>IFERROR(VLOOKUP(B526,'03. THIẾT BỊ'!$B$1:$S$836,17,0),"")</f>
        <v/>
      </c>
      <c r="S526" s="468" t="str">
        <f>IFERROR(VLOOKUP(B526,'03. THIẾT BỊ'!$B$1:$S$836,18,0),"")</f>
        <v/>
      </c>
    </row>
    <row r="527" ht="15.0" customHeight="1">
      <c r="A527" s="463">
        <f t="shared" si="25"/>
        <v>10</v>
      </c>
      <c r="B527" s="464" t="s">
        <v>4022</v>
      </c>
      <c r="C527" s="869" t="str">
        <f>IFERROR(VLOOKUP(B527,'03. THIẾT BỊ'!$B$1:$S$836,2,0),"")</f>
        <v/>
      </c>
      <c r="D527" s="470" t="str">
        <f>IFERROR(VLOOKUP(B527,'03. THIẾT BỊ'!$B$1:$S$836,3,0),"")</f>
        <v>A23-MKC-028</v>
      </c>
      <c r="E527" s="464" t="str">
        <f>IFERROR(VLOOKUP(B527,'03. THIẾT BỊ'!$B$1:$S$836,4,0),"")</f>
        <v>ĐQSD</v>
      </c>
      <c r="F527" s="464" t="str">
        <f>IFERROR(VLOOKUP(B527,'03. THIẾT BỊ'!$B$1:$S$836,5,0),"")</f>
        <v>Máy kéo chuối (Xăng)</v>
      </c>
      <c r="G527" s="80" t="s">
        <v>6423</v>
      </c>
      <c r="H527" s="463" t="str">
        <f>IFERROR(VLOOKUP(B527,'03. THIẾT BỊ'!$B$1:$S$836,7,0),"")</f>
        <v>XN Chuối DP1</v>
      </c>
      <c r="I527" s="474" t="str">
        <f>IFERROR(VLOOKUP(B527,'03. THIẾT BỊ'!$B$1:$S$836,8,0),"")</f>
        <v>29/09/2025</v>
      </c>
      <c r="J527" s="471"/>
      <c r="K527" s="463" t="str">
        <f>IFERROR(VLOOKUP(B527,'03. THIẾT BỊ'!$B$1:$S$836,10,0),"")</f>
        <v>Bình thường</v>
      </c>
      <c r="L527" s="468" t="str">
        <f>IFERROR(VLOOKUP(B527,'03. THIẾT BỊ'!$B$1:$S$836,11,0),"")</f>
        <v/>
      </c>
      <c r="M527" s="472" t="str">
        <f>IFERROR(VLOOKUP(B527,'03. THIẾT BỊ'!$B$1:$S$836,12,0),"")</f>
        <v>Gia công mới</v>
      </c>
      <c r="N527" s="468" t="str">
        <f>IFERROR(VLOOKUP(B527,'03. THIẾT BỊ'!$B$1:$S$836,13,0),"")</f>
        <v>DREAM</v>
      </c>
      <c r="O527" s="470" t="str">
        <f>IFERROR(VLOOKUP(B527,'03. THIẾT BỊ'!$B$1:$S$836,14,0),"")</f>
        <v>XKC-28</v>
      </c>
      <c r="P527" s="468" t="str">
        <f>IFERROR(VLOOKUP(B527,'03. THIẾT BỊ'!$B$1:$S$836,15,0),"")</f>
        <v>CK-CGH</v>
      </c>
      <c r="Q527" s="48">
        <f>IFERROR(VLOOKUP(B527,'03. THIẾT BỊ'!$B$1:$S$836,16,0),"")</f>
        <v>2025</v>
      </c>
      <c r="R527" s="471" t="str">
        <f>IFERROR(VLOOKUP(B527,'03. THIẾT BỊ'!$B$1:$S$836,17,0),"")</f>
        <v/>
      </c>
      <c r="S527" s="468" t="str">
        <f>IFERROR(VLOOKUP(B527,'03. THIẾT BỊ'!$B$1:$S$836,18,0),"")</f>
        <v/>
      </c>
    </row>
    <row r="528" ht="15.0" customHeight="1">
      <c r="A528" s="463">
        <f t="shared" si="25"/>
        <v>11</v>
      </c>
      <c r="B528" s="464" t="s">
        <v>4026</v>
      </c>
      <c r="C528" s="869" t="str">
        <f>IFERROR(VLOOKUP(B528,'03. THIẾT BỊ'!$B$1:$S$836,2,0),"")</f>
        <v/>
      </c>
      <c r="D528" s="470" t="str">
        <f>IFERROR(VLOOKUP(B528,'03. THIẾT BỊ'!$B$1:$S$836,3,0),"")</f>
        <v>A23-MKC-030</v>
      </c>
      <c r="E528" s="464" t="str">
        <f>IFERROR(VLOOKUP(B528,'03. THIẾT BỊ'!$B$1:$S$836,4,0),"")</f>
        <v>ĐQSD</v>
      </c>
      <c r="F528" s="464" t="str">
        <f>IFERROR(VLOOKUP(B528,'03. THIẾT BỊ'!$B$1:$S$836,5,0),"")</f>
        <v>Máy kéo chuối (Xăng)</v>
      </c>
      <c r="G528" s="80" t="s">
        <v>6423</v>
      </c>
      <c r="H528" s="463" t="str">
        <f>IFERROR(VLOOKUP(B528,'03. THIẾT BỊ'!$B$1:$S$836,7,0),"")</f>
        <v>XN Chuối DP1</v>
      </c>
      <c r="I528" s="474" t="str">
        <f>IFERROR(VLOOKUP(B528,'03. THIẾT BỊ'!$B$1:$S$836,8,0),"")</f>
        <v>20/10/2025</v>
      </c>
      <c r="J528" s="471"/>
      <c r="K528" s="463" t="str">
        <f>IFERROR(VLOOKUP(B528,'03. THIẾT BỊ'!$B$1:$S$836,10,0),"")</f>
        <v>Bình thường</v>
      </c>
      <c r="L528" s="468" t="str">
        <f>IFERROR(VLOOKUP(B528,'03. THIẾT BỊ'!$B$1:$S$836,11,0),"")</f>
        <v/>
      </c>
      <c r="M528" s="472" t="str">
        <f>IFERROR(VLOOKUP(B528,'03. THIẾT BỊ'!$B$1:$S$836,12,0),"")</f>
        <v>Gia công mới</v>
      </c>
      <c r="N528" s="468" t="str">
        <f>IFERROR(VLOOKUP(B528,'03. THIẾT BỊ'!$B$1:$S$836,13,0),"")</f>
        <v>DREAM</v>
      </c>
      <c r="O528" s="470" t="str">
        <f>IFERROR(VLOOKUP(B528,'03. THIẾT BỊ'!$B$1:$S$836,14,0),"")</f>
        <v>XKC-033</v>
      </c>
      <c r="P528" s="468" t="str">
        <f>IFERROR(VLOOKUP(B528,'03. THIẾT BỊ'!$B$1:$S$836,15,0),"")</f>
        <v>CK-CGH</v>
      </c>
      <c r="Q528" s="48">
        <f>IFERROR(VLOOKUP(B528,'03. THIẾT BỊ'!$B$1:$S$836,16,0),"")</f>
        <v>2025</v>
      </c>
      <c r="R528" s="471" t="str">
        <f>IFERROR(VLOOKUP(B528,'03. THIẾT BỊ'!$B$1:$S$836,17,0),"")</f>
        <v/>
      </c>
      <c r="S528" s="468" t="str">
        <f>IFERROR(VLOOKUP(B528,'03. THIẾT BỊ'!$B$1:$S$836,18,0),"")</f>
        <v/>
      </c>
    </row>
    <row r="529" ht="15.0" customHeight="1">
      <c r="A529" s="463">
        <f t="shared" si="25"/>
        <v>12</v>
      </c>
      <c r="B529" s="464" t="s">
        <v>4030</v>
      </c>
      <c r="C529" s="869" t="str">
        <f>IFERROR(VLOOKUP(B529,'03. THIẾT BỊ'!$B$1:$S$836,2,0),"")</f>
        <v/>
      </c>
      <c r="D529" s="470" t="str">
        <f>IFERROR(VLOOKUP(B529,'03. THIẾT BỊ'!$B$1:$S$836,3,0),"")</f>
        <v>A23-MKC-034</v>
      </c>
      <c r="E529" s="464" t="str">
        <f>IFERROR(VLOOKUP(B529,'03. THIẾT BỊ'!$B$1:$S$836,4,0),"")</f>
        <v>ĐQSD</v>
      </c>
      <c r="F529" s="464" t="str">
        <f>IFERROR(VLOOKUP(B529,'03. THIẾT BỊ'!$B$1:$S$836,5,0),"")</f>
        <v>Máy kéo chuối (Xăng)</v>
      </c>
      <c r="G529" s="80" t="s">
        <v>6423</v>
      </c>
      <c r="H529" s="463" t="str">
        <f>IFERROR(VLOOKUP(B529,'03. THIẾT BỊ'!$B$1:$S$836,7,0),"")</f>
        <v>XN Chuối DP1</v>
      </c>
      <c r="I529" s="474">
        <f>IFERROR(VLOOKUP(B529,'03. THIẾT BỊ'!$B$1:$S$836,8,0),"")</f>
        <v>45758</v>
      </c>
      <c r="J529" s="471"/>
      <c r="K529" s="463" t="str">
        <f>IFERROR(VLOOKUP(B529,'03. THIẾT BỊ'!$B$1:$S$836,10,0),"")</f>
        <v>Bình thường</v>
      </c>
      <c r="L529" s="468" t="str">
        <f>IFERROR(VLOOKUP(B529,'03. THIẾT BỊ'!$B$1:$S$836,11,0),"")</f>
        <v/>
      </c>
      <c r="M529" s="472" t="str">
        <f>IFERROR(VLOOKUP(B529,'03. THIẾT BỊ'!$B$1:$S$836,12,0),"")</f>
        <v>Gia công mới</v>
      </c>
      <c r="N529" s="468" t="str">
        <f>IFERROR(VLOOKUP(B529,'03. THIẾT BỊ'!$B$1:$S$836,13,0),"")</f>
        <v>DREAM</v>
      </c>
      <c r="O529" s="470" t="str">
        <f>IFERROR(VLOOKUP(B529,'03. THIẾT BỊ'!$B$1:$S$836,14,0),"")</f>
        <v>XKC-39</v>
      </c>
      <c r="P529" s="468" t="str">
        <f>IFERROR(VLOOKUP(B529,'03. THIẾT BỊ'!$B$1:$S$836,15,0),"")</f>
        <v>CK-CGH</v>
      </c>
      <c r="Q529" s="48">
        <f>IFERROR(VLOOKUP(B529,'03. THIẾT BỊ'!$B$1:$S$836,16,0),"")</f>
        <v>2025</v>
      </c>
      <c r="R529" s="471" t="str">
        <f>IFERROR(VLOOKUP(B529,'03. THIẾT BỊ'!$B$1:$S$836,17,0),"")</f>
        <v/>
      </c>
      <c r="S529" s="468" t="str">
        <f>IFERROR(VLOOKUP(B529,'03. THIẾT BỊ'!$B$1:$S$836,18,0),"")</f>
        <v/>
      </c>
    </row>
    <row r="530" ht="15.0" customHeight="1">
      <c r="A530" s="463">
        <f t="shared" si="25"/>
        <v>13</v>
      </c>
      <c r="B530" s="464" t="s">
        <v>4033</v>
      </c>
      <c r="C530" s="869" t="str">
        <f>IFERROR(VLOOKUP(B530,'03. THIẾT BỊ'!$B$1:$S$836,2,0),"")</f>
        <v/>
      </c>
      <c r="D530" s="470" t="str">
        <f>IFERROR(VLOOKUP(B530,'03. THIẾT BỊ'!$B$1:$S$836,3,0),"")</f>
        <v>A23-MKC-040</v>
      </c>
      <c r="E530" s="464" t="str">
        <f>IFERROR(VLOOKUP(B530,'03. THIẾT BỊ'!$B$1:$S$836,4,0),"")</f>
        <v>ĐQSD</v>
      </c>
      <c r="F530" s="464" t="str">
        <f>IFERROR(VLOOKUP(B530,'03. THIẾT BỊ'!$B$1:$S$836,5,0),"")</f>
        <v>Máy kéo chuối (Xăng)</v>
      </c>
      <c r="G530" s="80" t="s">
        <v>6423</v>
      </c>
      <c r="H530" s="463" t="str">
        <f>IFERROR(VLOOKUP(B530,'03. THIẾT BỊ'!$B$1:$S$836,7,0),"")</f>
        <v>XN Chuối DP1</v>
      </c>
      <c r="I530" s="474">
        <f>IFERROR(VLOOKUP(B530,'03. THIẾT BỊ'!$B$1:$S$836,8,0),"")</f>
        <v>45912</v>
      </c>
      <c r="J530" s="471"/>
      <c r="K530" s="463" t="str">
        <f>IFERROR(VLOOKUP(B530,'03. THIẾT BỊ'!$B$1:$S$836,10,0),"")</f>
        <v>Bình thường</v>
      </c>
      <c r="L530" s="468" t="str">
        <f>IFERROR(VLOOKUP(B530,'03. THIẾT BỊ'!$B$1:$S$836,11,0),"")</f>
        <v/>
      </c>
      <c r="M530" s="472" t="str">
        <f>IFERROR(VLOOKUP(B530,'03. THIẾT BỊ'!$B$1:$S$836,12,0),"")</f>
        <v>Gia công mới</v>
      </c>
      <c r="N530" s="468" t="str">
        <f>IFERROR(VLOOKUP(B530,'03. THIẾT BỊ'!$B$1:$S$836,13,0),"")</f>
        <v>DREAM</v>
      </c>
      <c r="O530" s="470" t="str">
        <f>IFERROR(VLOOKUP(B530,'03. THIẾT BỊ'!$B$1:$S$836,14,0),"")</f>
        <v>XKC-46</v>
      </c>
      <c r="P530" s="468" t="str">
        <f>IFERROR(VLOOKUP(B530,'03. THIẾT BỊ'!$B$1:$S$836,15,0),"")</f>
        <v>CK-CGH</v>
      </c>
      <c r="Q530" s="48">
        <f>IFERROR(VLOOKUP(B530,'03. THIẾT BỊ'!$B$1:$S$836,16,0),"")</f>
        <v>2025</v>
      </c>
      <c r="R530" s="471" t="str">
        <f>IFERROR(VLOOKUP(B530,'03. THIẾT BỊ'!$B$1:$S$836,17,0),"")</f>
        <v/>
      </c>
      <c r="S530" s="468" t="str">
        <f>IFERROR(VLOOKUP(B530,'03. THIẾT BỊ'!$B$1:$S$836,18,0),"")</f>
        <v/>
      </c>
    </row>
    <row r="531" ht="15.0" customHeight="1">
      <c r="A531" s="463">
        <f>A528+1</f>
        <v>12</v>
      </c>
      <c r="B531" s="464" t="s">
        <v>4207</v>
      </c>
      <c r="C531" s="869" t="str">
        <f>IFERROR(VLOOKUP(B531,'03. THIẾT BỊ'!$B$1:$S$836,2,0),"")</f>
        <v>CK-XKC-05</v>
      </c>
      <c r="D531" s="470" t="str">
        <f>IFERROR(VLOOKUP(B531,'03. THIẾT BỊ'!$B$1:$S$836,3,0),"")</f>
        <v>A23-MKC-001</v>
      </c>
      <c r="E531" s="464" t="str">
        <f>IFERROR(VLOOKUP(B531,'03. THIẾT BỊ'!$B$1:$S$836,4,0),"")</f>
        <v>ĐQSD</v>
      </c>
      <c r="F531" s="464" t="str">
        <f>IFERROR(VLOOKUP(B531,'03. THIẾT BỊ'!$B$1:$S$836,5,0),"")</f>
        <v>Máy kéo chuối (Xăng)</v>
      </c>
      <c r="G531" s="80" t="s">
        <v>6423</v>
      </c>
      <c r="H531" s="463" t="str">
        <f>IFERROR(VLOOKUP(B531,'03. THIẾT BỊ'!$B$1:$S$836,7,0),"")</f>
        <v>XN Chuối DP2</v>
      </c>
      <c r="I531" s="474">
        <f>IFERROR(VLOOKUP(B531,'03. THIẾT BỊ'!$B$1:$S$836,8,0),"")</f>
        <v>45574</v>
      </c>
      <c r="J531" s="471"/>
      <c r="K531" s="463" t="str">
        <f>IFERROR(VLOOKUP(B531,'03. THIẾT BỊ'!$B$1:$S$836,10,0),"")</f>
        <v>Bình thường</v>
      </c>
      <c r="L531" s="468" t="str">
        <f>IFERROR(VLOOKUP(B531,'03. THIẾT BỊ'!$B$1:$S$836,11,0),"")</f>
        <v/>
      </c>
      <c r="M531" s="472" t="str">
        <f>IFERROR(VLOOKUP(B531,'03. THIẾT BỊ'!$B$1:$S$836,12,0),"")</f>
        <v/>
      </c>
      <c r="N531" s="468" t="str">
        <f>IFERROR(VLOOKUP(B531,'03. THIẾT BỊ'!$B$1:$S$836,13,0),"")</f>
        <v>DREAM</v>
      </c>
      <c r="O531" s="470" t="str">
        <f>IFERROR(VLOOKUP(B531,'03. THIẾT BỊ'!$B$1:$S$836,14,0),"")</f>
        <v>CGH-MKC-DREAM</v>
      </c>
      <c r="P531" s="468" t="str">
        <f>IFERROR(VLOOKUP(B531,'03. THIẾT BỊ'!$B$1:$S$836,15,0),"")</f>
        <v>CK-CGH</v>
      </c>
      <c r="Q531" s="48">
        <f>IFERROR(VLOOKUP(B531,'03. THIẾT BỊ'!$B$1:$S$836,16,0),"")</f>
        <v>2024</v>
      </c>
      <c r="R531" s="471" t="str">
        <f>IFERROR(VLOOKUP(B531,'03. THIẾT BỊ'!$B$1:$S$836,17,0),"")</f>
        <v>9.25HP</v>
      </c>
      <c r="S531" s="468" t="str">
        <f>IFERROR(VLOOKUP(B531,'03. THIẾT BỊ'!$B$1:$S$836,18,0),"")</f>
        <v>10H05075</v>
      </c>
      <c r="T531" s="807">
        <v>0.56</v>
      </c>
    </row>
    <row r="532" ht="15.0" customHeight="1">
      <c r="A532" s="463">
        <f t="shared" ref="A532:A541" si="26">A531+1</f>
        <v>13</v>
      </c>
      <c r="B532" s="464" t="s">
        <v>4211</v>
      </c>
      <c r="C532" s="869" t="str">
        <f>IFERROR(VLOOKUP(B532,'03. THIẾT BỊ'!$B$1:$S$836,2,0),"")</f>
        <v>CK-XKC-07</v>
      </c>
      <c r="D532" s="470" t="str">
        <f>IFERROR(VLOOKUP(B532,'03. THIẾT BỊ'!$B$1:$S$836,3,0),"")</f>
        <v>A23-MKC-003</v>
      </c>
      <c r="E532" s="464" t="str">
        <f>IFERROR(VLOOKUP(B532,'03. THIẾT BỊ'!$B$1:$S$836,4,0),"")</f>
        <v>ĐQSD</v>
      </c>
      <c r="F532" s="464" t="str">
        <f>IFERROR(VLOOKUP(B532,'03. THIẾT BỊ'!$B$1:$S$836,5,0),"")</f>
        <v>Máy kéo chuối (Xăng)</v>
      </c>
      <c r="G532" s="80" t="s">
        <v>6423</v>
      </c>
      <c r="H532" s="463" t="str">
        <f>IFERROR(VLOOKUP(B532,'03. THIẾT BỊ'!$B$1:$S$836,7,0),"")</f>
        <v>XN Chuối DP2</v>
      </c>
      <c r="I532" s="474" t="str">
        <f>IFERROR(VLOOKUP(B532,'03. THIẾT BỊ'!$B$1:$S$836,8,0),"")</f>
        <v>19/11/2024</v>
      </c>
      <c r="J532" s="471"/>
      <c r="K532" s="463" t="str">
        <f>IFERROR(VLOOKUP(B532,'03. THIẾT BỊ'!$B$1:$S$836,10,0),"")</f>
        <v>Bình thường</v>
      </c>
      <c r="L532" s="468" t="str">
        <f>IFERROR(VLOOKUP(B532,'03. THIẾT BỊ'!$B$1:$S$836,11,0),"")</f>
        <v/>
      </c>
      <c r="M532" s="472" t="str">
        <f>IFERROR(VLOOKUP(B532,'03. THIẾT BỊ'!$B$1:$S$836,12,0),"")</f>
        <v/>
      </c>
      <c r="N532" s="468" t="str">
        <f>IFERROR(VLOOKUP(B532,'03. THIẾT BỊ'!$B$1:$S$836,13,0),"")</f>
        <v>DREAM</v>
      </c>
      <c r="O532" s="470" t="str">
        <f>IFERROR(VLOOKUP(B532,'03. THIẾT BỊ'!$B$1:$S$836,14,0),"")</f>
        <v>CGH-MKC-DREAM</v>
      </c>
      <c r="P532" s="468" t="str">
        <f>IFERROR(VLOOKUP(B532,'03. THIẾT BỊ'!$B$1:$S$836,15,0),"")</f>
        <v>CK-CGH</v>
      </c>
      <c r="Q532" s="48">
        <f>IFERROR(VLOOKUP(B532,'03. THIẾT BỊ'!$B$1:$S$836,16,0),"")</f>
        <v>2024</v>
      </c>
      <c r="R532" s="471" t="str">
        <f>IFERROR(VLOOKUP(B532,'03. THIẾT BỊ'!$B$1:$S$836,17,0),"")</f>
        <v>9.25HP</v>
      </c>
      <c r="S532" s="468" t="str">
        <f>IFERROR(VLOOKUP(B532,'03. THIẾT BỊ'!$B$1:$S$836,18,0),"")</f>
        <v>10D66471</v>
      </c>
      <c r="T532" s="807">
        <v>0.56</v>
      </c>
    </row>
    <row r="533" ht="15.0" customHeight="1">
      <c r="A533" s="463">
        <f t="shared" si="26"/>
        <v>14</v>
      </c>
      <c r="B533" s="464" t="s">
        <v>4216</v>
      </c>
      <c r="C533" s="869" t="str">
        <f>IFERROR(VLOOKUP(B533,'03. THIẾT BỊ'!$B$1:$S$836,2,0),"")</f>
        <v>CK-XKC-17</v>
      </c>
      <c r="D533" s="470" t="str">
        <f>IFERROR(VLOOKUP(B533,'03. THIẾT BỊ'!$B$1:$S$836,3,0),"")</f>
        <v>A23-MKC-009</v>
      </c>
      <c r="E533" s="464" t="str">
        <f>IFERROR(VLOOKUP(B533,'03. THIẾT BỊ'!$B$1:$S$836,4,0),"")</f>
        <v>ĐQSD</v>
      </c>
      <c r="F533" s="464" t="str">
        <f>IFERROR(VLOOKUP(B533,'03. THIẾT BỊ'!$B$1:$S$836,5,0),"")</f>
        <v>Máy kéo chuối (Xăng)</v>
      </c>
      <c r="G533" s="80" t="s">
        <v>6423</v>
      </c>
      <c r="H533" s="463" t="str">
        <f>IFERROR(VLOOKUP(B533,'03. THIẾT BỊ'!$B$1:$S$836,7,0),"")</f>
        <v>XN Chuối DP2</v>
      </c>
      <c r="I533" s="474">
        <f>IFERROR(VLOOKUP(B533,'03. THIẾT BỊ'!$B$1:$S$836,8,0),"")</f>
        <v>45995</v>
      </c>
      <c r="J533" s="471"/>
      <c r="K533" s="463" t="str">
        <f>IFERROR(VLOOKUP(B533,'03. THIẾT BỊ'!$B$1:$S$836,10,0),"")</f>
        <v>Bình thường</v>
      </c>
      <c r="L533" s="468" t="str">
        <f>IFERROR(VLOOKUP(B533,'03. THIẾT BỊ'!$B$1:$S$836,11,0),"")</f>
        <v/>
      </c>
      <c r="M533" s="472" t="str">
        <f>IFERROR(VLOOKUP(B533,'03. THIẾT BỊ'!$B$1:$S$836,12,0),"")</f>
        <v/>
      </c>
      <c r="N533" s="468" t="str">
        <f>IFERROR(VLOOKUP(B533,'03. THIẾT BỊ'!$B$1:$S$836,13,0),"")</f>
        <v>DREAM</v>
      </c>
      <c r="O533" s="470" t="str">
        <f>IFERROR(VLOOKUP(B533,'03. THIẾT BỊ'!$B$1:$S$836,14,0),"")</f>
        <v>CGH-MKC-DREAM</v>
      </c>
      <c r="P533" s="468" t="str">
        <f>IFERROR(VLOOKUP(B533,'03. THIẾT BỊ'!$B$1:$S$836,15,0),"")</f>
        <v>CK-CGH</v>
      </c>
      <c r="Q533" s="48">
        <f>IFERROR(VLOOKUP(B533,'03. THIẾT BỊ'!$B$1:$S$836,16,0),"")</f>
        <v>2025</v>
      </c>
      <c r="R533" s="471" t="str">
        <f>IFERROR(VLOOKUP(B533,'03. THIẾT BỊ'!$B$1:$S$836,17,0),"")</f>
        <v>9.25HP</v>
      </c>
      <c r="S533" s="468" t="str">
        <f>IFERROR(VLOOKUP(B533,'03. THIẾT BỊ'!$B$1:$S$836,18,0),"")</f>
        <v>Mất sm</v>
      </c>
      <c r="T533" s="807">
        <v>0.56</v>
      </c>
    </row>
    <row r="534" ht="15.0" customHeight="1">
      <c r="A534" s="463">
        <f t="shared" si="26"/>
        <v>15</v>
      </c>
      <c r="B534" s="464" t="s">
        <v>4220</v>
      </c>
      <c r="C534" s="869" t="str">
        <f>IFERROR(VLOOKUP(B534,'03. THIẾT BỊ'!$B$1:$S$836,2,0),"")</f>
        <v>CK-XKC-18</v>
      </c>
      <c r="D534" s="470" t="str">
        <f>IFERROR(VLOOKUP(B534,'03. THIẾT BỊ'!$B$1:$S$836,3,0),"")</f>
        <v>A23-MKC-010</v>
      </c>
      <c r="E534" s="464" t="str">
        <f>IFERROR(VLOOKUP(B534,'03. THIẾT BỊ'!$B$1:$S$836,4,0),"")</f>
        <v>ĐQSD</v>
      </c>
      <c r="F534" s="464" t="str">
        <f>IFERROR(VLOOKUP(B534,'03. THIẾT BỊ'!$B$1:$S$836,5,0),"")</f>
        <v>Máy kéo chuối (Xăng)</v>
      </c>
      <c r="G534" s="80" t="s">
        <v>6423</v>
      </c>
      <c r="H534" s="463" t="str">
        <f>IFERROR(VLOOKUP(B534,'03. THIẾT BỊ'!$B$1:$S$836,7,0),"")</f>
        <v>XN Chuối DP2</v>
      </c>
      <c r="I534" s="474">
        <f>IFERROR(VLOOKUP(B534,'03. THIẾT BỊ'!$B$1:$S$836,8,0),"")</f>
        <v>45995</v>
      </c>
      <c r="J534" s="471"/>
      <c r="K534" s="463" t="str">
        <f>IFERROR(VLOOKUP(B534,'03. THIẾT BỊ'!$B$1:$S$836,10,0),"")</f>
        <v>Bình thường</v>
      </c>
      <c r="L534" s="468" t="str">
        <f>IFERROR(VLOOKUP(B534,'03. THIẾT BỊ'!$B$1:$S$836,11,0),"")</f>
        <v/>
      </c>
      <c r="M534" s="472" t="str">
        <f>IFERROR(VLOOKUP(B534,'03. THIẾT BỊ'!$B$1:$S$836,12,0),"")</f>
        <v/>
      </c>
      <c r="N534" s="468" t="str">
        <f>IFERROR(VLOOKUP(B534,'03. THIẾT BỊ'!$B$1:$S$836,13,0),"")</f>
        <v>DREAM</v>
      </c>
      <c r="O534" s="470" t="str">
        <f>IFERROR(VLOOKUP(B534,'03. THIẾT BỊ'!$B$1:$S$836,14,0),"")</f>
        <v>CGH-MKC-DREAM</v>
      </c>
      <c r="P534" s="468" t="str">
        <f>IFERROR(VLOOKUP(B534,'03. THIẾT BỊ'!$B$1:$S$836,15,0),"")</f>
        <v>CK-CGH</v>
      </c>
      <c r="Q534" s="48">
        <f>IFERROR(VLOOKUP(B534,'03. THIẾT BỊ'!$B$1:$S$836,16,0),"")</f>
        <v>2025</v>
      </c>
      <c r="R534" s="471" t="str">
        <f>IFERROR(VLOOKUP(B534,'03. THIẾT BỊ'!$B$1:$S$836,17,0),"")</f>
        <v>9.25HP</v>
      </c>
      <c r="S534" s="468" t="str">
        <f>IFERROR(VLOOKUP(B534,'03. THIẾT BỊ'!$B$1:$S$836,18,0),"")</f>
        <v>09H71220</v>
      </c>
      <c r="T534" s="807">
        <v>0.56</v>
      </c>
    </row>
    <row r="535" ht="15.0" customHeight="1">
      <c r="A535" s="463">
        <f t="shared" si="26"/>
        <v>16</v>
      </c>
      <c r="B535" s="464" t="s">
        <v>4224</v>
      </c>
      <c r="C535" s="869" t="str">
        <f>IFERROR(VLOOKUP(B535,'03. THIẾT BỊ'!$B$1:$S$836,2,0),"")</f>
        <v/>
      </c>
      <c r="D535" s="470" t="str">
        <f>IFERROR(VLOOKUP(B535,'03. THIẾT BỊ'!$B$1:$S$836,3,0),"")</f>
        <v>A23-MKC-024</v>
      </c>
      <c r="E535" s="464" t="str">
        <f>IFERROR(VLOOKUP(B535,'03. THIẾT BỊ'!$B$1:$S$836,4,0),"")</f>
        <v>ĐQSD</v>
      </c>
      <c r="F535" s="464" t="str">
        <f>IFERROR(VLOOKUP(B535,'03. THIẾT BỊ'!$B$1:$S$836,5,0),"")</f>
        <v>Máy kéo chuối (Xăng)</v>
      </c>
      <c r="G535" s="80" t="s">
        <v>6423</v>
      </c>
      <c r="H535" s="463" t="str">
        <f>IFERROR(VLOOKUP(B535,'03. THIẾT BỊ'!$B$1:$S$836,7,0),"")</f>
        <v>XN Chuối DP2</v>
      </c>
      <c r="I535" s="474" t="str">
        <f>IFERROR(VLOOKUP(B535,'03. THIẾT BỊ'!$B$1:$S$836,8,0),"")</f>
        <v>25/09/2025</v>
      </c>
      <c r="J535" s="471"/>
      <c r="K535" s="463" t="str">
        <f>IFERROR(VLOOKUP(B535,'03. THIẾT BỊ'!$B$1:$S$836,10,0),"")</f>
        <v>Bình thường</v>
      </c>
      <c r="L535" s="468" t="str">
        <f>IFERROR(VLOOKUP(B535,'03. THIẾT BỊ'!$B$1:$S$836,11,0),"")</f>
        <v/>
      </c>
      <c r="M535" s="472" t="str">
        <f>IFERROR(VLOOKUP(B535,'03. THIẾT BỊ'!$B$1:$S$836,12,0),"")</f>
        <v>Gia công mới</v>
      </c>
      <c r="N535" s="468" t="str">
        <f>IFERROR(VLOOKUP(B535,'03. THIẾT BỊ'!$B$1:$S$836,13,0),"")</f>
        <v>DREAM</v>
      </c>
      <c r="O535" s="470" t="str">
        <f>IFERROR(VLOOKUP(B535,'03. THIẾT BỊ'!$B$1:$S$836,14,0),"")</f>
        <v>XKC-25</v>
      </c>
      <c r="P535" s="468" t="str">
        <f>IFERROR(VLOOKUP(B535,'03. THIẾT BỊ'!$B$1:$S$836,15,0),"")</f>
        <v>CK-CGH</v>
      </c>
      <c r="Q535" s="48">
        <f>IFERROR(VLOOKUP(B535,'03. THIẾT BỊ'!$B$1:$S$836,16,0),"")</f>
        <v>2025</v>
      </c>
      <c r="R535" s="471" t="str">
        <f>IFERROR(VLOOKUP(B535,'03. THIẾT BỊ'!$B$1:$S$836,17,0),"")</f>
        <v>9.25HP</v>
      </c>
      <c r="S535" s="468">
        <f>IFERROR(VLOOKUP(B535,'03. THIẾT BỊ'!$B$1:$S$836,18,0),"")</f>
        <v>25</v>
      </c>
      <c r="T535" s="807">
        <v>0.56</v>
      </c>
    </row>
    <row r="536" ht="15.0" customHeight="1">
      <c r="A536" s="463">
        <f t="shared" si="26"/>
        <v>17</v>
      </c>
      <c r="B536" s="464" t="s">
        <v>4228</v>
      </c>
      <c r="C536" s="869" t="str">
        <f>IFERROR(VLOOKUP(B536,'03. THIẾT BỊ'!$B$1:$S$836,2,0),"")</f>
        <v/>
      </c>
      <c r="D536" s="470" t="str">
        <f>IFERROR(VLOOKUP(B536,'03. THIẾT BỊ'!$B$1:$S$836,3,0),"")</f>
        <v>A23-MKC-025</v>
      </c>
      <c r="E536" s="464" t="str">
        <f>IFERROR(VLOOKUP(B536,'03. THIẾT BỊ'!$B$1:$S$836,4,0),"")</f>
        <v>ĐQSD</v>
      </c>
      <c r="F536" s="464" t="str">
        <f>IFERROR(VLOOKUP(B536,'03. THIẾT BỊ'!$B$1:$S$836,5,0),"")</f>
        <v>Máy kéo chuối (Xăng)</v>
      </c>
      <c r="G536" s="80" t="s">
        <v>6423</v>
      </c>
      <c r="H536" s="463" t="str">
        <f>IFERROR(VLOOKUP(B536,'03. THIẾT BỊ'!$B$1:$S$836,7,0),"")</f>
        <v>XN Chuối DP2</v>
      </c>
      <c r="I536" s="474" t="str">
        <f>IFERROR(VLOOKUP(B536,'03. THIẾT BỊ'!$B$1:$S$836,8,0),"")</f>
        <v>25/09/2025</v>
      </c>
      <c r="J536" s="471"/>
      <c r="K536" s="463" t="str">
        <f>IFERROR(VLOOKUP(B536,'03. THIẾT BỊ'!$B$1:$S$836,10,0),"")</f>
        <v>Bình thường</v>
      </c>
      <c r="L536" s="468" t="str">
        <f>IFERROR(VLOOKUP(B536,'03. THIẾT BỊ'!$B$1:$S$836,11,0),"")</f>
        <v/>
      </c>
      <c r="M536" s="472" t="str">
        <f>IFERROR(VLOOKUP(B536,'03. THIẾT BỊ'!$B$1:$S$836,12,0),"")</f>
        <v>Gia công mới</v>
      </c>
      <c r="N536" s="468" t="str">
        <f>IFERROR(VLOOKUP(B536,'03. THIẾT BỊ'!$B$1:$S$836,13,0),"")</f>
        <v>DREAM</v>
      </c>
      <c r="O536" s="470" t="str">
        <f>IFERROR(VLOOKUP(B536,'03. THIẾT BỊ'!$B$1:$S$836,14,0),"")</f>
        <v>XKC-27</v>
      </c>
      <c r="P536" s="468" t="str">
        <f>IFERROR(VLOOKUP(B536,'03. THIẾT BỊ'!$B$1:$S$836,15,0),"")</f>
        <v>CK-CGH</v>
      </c>
      <c r="Q536" s="48">
        <f>IFERROR(VLOOKUP(B536,'03. THIẾT BỊ'!$B$1:$S$836,16,0),"")</f>
        <v>2025</v>
      </c>
      <c r="R536" s="471" t="str">
        <f>IFERROR(VLOOKUP(B536,'03. THIẾT BỊ'!$B$1:$S$836,17,0),"")</f>
        <v>9.25HP</v>
      </c>
      <c r="S536" s="468">
        <f>IFERROR(VLOOKUP(B536,'03. THIẾT BỊ'!$B$1:$S$836,18,0),"")</f>
        <v>27</v>
      </c>
      <c r="T536" s="807">
        <v>0.56</v>
      </c>
    </row>
    <row r="537" ht="15.0" customHeight="1">
      <c r="A537" s="463">
        <f t="shared" si="26"/>
        <v>18</v>
      </c>
      <c r="B537" s="464" t="s">
        <v>4231</v>
      </c>
      <c r="C537" s="869" t="str">
        <f>IFERROR(VLOOKUP(B537,'03. THIẾT BỊ'!$B$1:$S$836,2,0),"")</f>
        <v/>
      </c>
      <c r="D537" s="470" t="str">
        <f>IFERROR(VLOOKUP(B537,'03. THIẾT BỊ'!$B$1:$S$836,3,0),"")</f>
        <v>A23-MKC-032</v>
      </c>
      <c r="E537" s="464" t="str">
        <f>IFERROR(VLOOKUP(B537,'03. THIẾT BỊ'!$B$1:$S$836,4,0),"")</f>
        <v>ĐQSD</v>
      </c>
      <c r="F537" s="464" t="str">
        <f>IFERROR(VLOOKUP(B537,'03. THIẾT BỊ'!$B$1:$S$836,5,0),"")</f>
        <v>Máy kéo chuối (Xăng)</v>
      </c>
      <c r="G537" s="80" t="s">
        <v>6423</v>
      </c>
      <c r="H537" s="463" t="str">
        <f>IFERROR(VLOOKUP(B537,'03. THIẾT BỊ'!$B$1:$S$836,7,0),"")</f>
        <v>XN Chuối DP2</v>
      </c>
      <c r="I537" s="474" t="str">
        <f>IFERROR(VLOOKUP(B537,'03. THIẾT BỊ'!$B$1:$S$836,8,0),"")</f>
        <v>27/10/2025</v>
      </c>
      <c r="J537" s="471"/>
      <c r="K537" s="463" t="str">
        <f>IFERROR(VLOOKUP(B537,'03. THIẾT BỊ'!$B$1:$S$836,10,0),"")</f>
        <v>Bình thường</v>
      </c>
      <c r="L537" s="468" t="str">
        <f>IFERROR(VLOOKUP(B537,'03. THIẾT BỊ'!$B$1:$S$836,11,0),"")</f>
        <v/>
      </c>
      <c r="M537" s="472" t="str">
        <f>IFERROR(VLOOKUP(B537,'03. THIẾT BỊ'!$B$1:$S$836,12,0),"")</f>
        <v>Gia công mới</v>
      </c>
      <c r="N537" s="468" t="str">
        <f>IFERROR(VLOOKUP(B537,'03. THIẾT BỊ'!$B$1:$S$836,13,0),"")</f>
        <v>DREAM</v>
      </c>
      <c r="O537" s="470" t="str">
        <f>IFERROR(VLOOKUP(B537,'03. THIẾT BỊ'!$B$1:$S$836,14,0),"")</f>
        <v>XKC-37</v>
      </c>
      <c r="P537" s="468" t="str">
        <f>IFERROR(VLOOKUP(B537,'03. THIẾT BỊ'!$B$1:$S$836,15,0),"")</f>
        <v>CK-CGH</v>
      </c>
      <c r="Q537" s="48">
        <f>IFERROR(VLOOKUP(B537,'03. THIẾT BỊ'!$B$1:$S$836,16,0),"")</f>
        <v>2025</v>
      </c>
      <c r="R537" s="471" t="str">
        <f>IFERROR(VLOOKUP(B537,'03. THIẾT BỊ'!$B$1:$S$836,17,0),"")</f>
        <v>9.25HP</v>
      </c>
      <c r="S537" s="468" t="str">
        <f>IFERROR(VLOOKUP(B537,'03. THIẾT BỊ'!$B$1:$S$836,18,0),"")</f>
        <v/>
      </c>
      <c r="T537" s="807">
        <v>0.56</v>
      </c>
    </row>
    <row r="538" ht="15.0" customHeight="1">
      <c r="A538" s="463">
        <f t="shared" si="26"/>
        <v>19</v>
      </c>
      <c r="B538" s="464" t="s">
        <v>4235</v>
      </c>
      <c r="C538" s="869" t="str">
        <f>IFERROR(VLOOKUP(B538,'03. THIẾT BỊ'!$B$1:$S$836,2,0),"")</f>
        <v/>
      </c>
      <c r="D538" s="470" t="str">
        <f>IFERROR(VLOOKUP(B538,'03. THIẾT BỊ'!$B$1:$S$836,3,0),"")</f>
        <v>A23-MKC-036</v>
      </c>
      <c r="E538" s="464" t="str">
        <f>IFERROR(VLOOKUP(B538,'03. THIẾT BỊ'!$B$1:$S$836,4,0),"")</f>
        <v>ĐQSD</v>
      </c>
      <c r="F538" s="464" t="str">
        <f>IFERROR(VLOOKUP(B538,'03. THIẾT BỊ'!$B$1:$S$836,5,0),"")</f>
        <v>Máy kéo chuối (Xăng)</v>
      </c>
      <c r="G538" s="80" t="s">
        <v>6423</v>
      </c>
      <c r="H538" s="463" t="str">
        <f>IFERROR(VLOOKUP(B538,'03. THIẾT BỊ'!$B$1:$S$836,7,0),"")</f>
        <v>XN Chuối DP2</v>
      </c>
      <c r="I538" s="474">
        <f>IFERROR(VLOOKUP(B538,'03. THIẾT BỊ'!$B$1:$S$836,8,0),"")</f>
        <v>45880</v>
      </c>
      <c r="J538" s="471"/>
      <c r="K538" s="463" t="str">
        <f>IFERROR(VLOOKUP(B538,'03. THIẾT BỊ'!$B$1:$S$836,10,0),"")</f>
        <v>Bình thường</v>
      </c>
      <c r="L538" s="468" t="str">
        <f>IFERROR(VLOOKUP(B538,'03. THIẾT BỊ'!$B$1:$S$836,11,0),"")</f>
        <v/>
      </c>
      <c r="M538" s="472" t="str">
        <f>IFERROR(VLOOKUP(B538,'03. THIẾT BỊ'!$B$1:$S$836,12,0),"")</f>
        <v>Gia công mới</v>
      </c>
      <c r="N538" s="468" t="str">
        <f>IFERROR(VLOOKUP(B538,'03. THIẾT BỊ'!$B$1:$S$836,13,0),"")</f>
        <v>DREAM</v>
      </c>
      <c r="O538" s="470" t="str">
        <f>IFERROR(VLOOKUP(B538,'03. THIẾT BỊ'!$B$1:$S$836,14,0),"")</f>
        <v>XKC-42</v>
      </c>
      <c r="P538" s="468" t="str">
        <f>IFERROR(VLOOKUP(B538,'03. THIẾT BỊ'!$B$1:$S$836,15,0),"")</f>
        <v>CK-CGH</v>
      </c>
      <c r="Q538" s="48">
        <f>IFERROR(VLOOKUP(B538,'03. THIẾT BỊ'!$B$1:$S$836,16,0),"")</f>
        <v>2025</v>
      </c>
      <c r="R538" s="471" t="str">
        <f>IFERROR(VLOOKUP(B538,'03. THIẾT BỊ'!$B$1:$S$836,17,0),"")</f>
        <v>9.25HP</v>
      </c>
      <c r="S538" s="468" t="str">
        <f>IFERROR(VLOOKUP(B538,'03. THIẾT BỊ'!$B$1:$S$836,18,0),"")</f>
        <v/>
      </c>
      <c r="T538" s="807">
        <v>0.56</v>
      </c>
    </row>
    <row r="539" ht="15.0" customHeight="1">
      <c r="A539" s="463">
        <f t="shared" si="26"/>
        <v>20</v>
      </c>
      <c r="B539" s="464" t="s">
        <v>4238</v>
      </c>
      <c r="C539" s="869" t="str">
        <f>IFERROR(VLOOKUP(B539,'03. THIẾT BỊ'!$B$1:$S$836,2,0),"")</f>
        <v/>
      </c>
      <c r="D539" s="470" t="str">
        <f>IFERROR(VLOOKUP(B539,'03. THIẾT BỊ'!$B$1:$S$836,3,0),"")</f>
        <v>A23-MKC-037</v>
      </c>
      <c r="E539" s="464" t="str">
        <f>IFERROR(VLOOKUP(B539,'03. THIẾT BỊ'!$B$1:$S$836,4,0),"")</f>
        <v>ĐQSD</v>
      </c>
      <c r="F539" s="464" t="str">
        <f>IFERROR(VLOOKUP(B539,'03. THIẾT BỊ'!$B$1:$S$836,5,0),"")</f>
        <v>Máy kéo chuối (Xăng)</v>
      </c>
      <c r="G539" s="80" t="s">
        <v>6423</v>
      </c>
      <c r="H539" s="463" t="str">
        <f>IFERROR(VLOOKUP(B539,'03. THIẾT BỊ'!$B$1:$S$836,7,0),"")</f>
        <v>XN Chuối DP2</v>
      </c>
      <c r="I539" s="474" t="str">
        <f>IFERROR(VLOOKUP(B539,'03. THIẾT BỊ'!$B$1:$S$836,8,0),"")</f>
        <v>20/11/2025</v>
      </c>
      <c r="J539" s="471"/>
      <c r="K539" s="463" t="str">
        <f>IFERROR(VLOOKUP(B539,'03. THIẾT BỊ'!$B$1:$S$836,10,0),"")</f>
        <v>Bình thường</v>
      </c>
      <c r="L539" s="468" t="str">
        <f>IFERROR(VLOOKUP(B539,'03. THIẾT BỊ'!$B$1:$S$836,11,0),"")</f>
        <v/>
      </c>
      <c r="M539" s="472" t="str">
        <f>IFERROR(VLOOKUP(B539,'03. THIẾT BỊ'!$B$1:$S$836,12,0),"")</f>
        <v>Gia công mới</v>
      </c>
      <c r="N539" s="468" t="str">
        <f>IFERROR(VLOOKUP(B539,'03. THIẾT BỊ'!$B$1:$S$836,13,0),"")</f>
        <v>DREAM</v>
      </c>
      <c r="O539" s="470" t="str">
        <f>IFERROR(VLOOKUP(B539,'03. THIẾT BỊ'!$B$1:$S$836,14,0),"")</f>
        <v>XKC-43</v>
      </c>
      <c r="P539" s="468" t="str">
        <f>IFERROR(VLOOKUP(B539,'03. THIẾT BỊ'!$B$1:$S$836,15,0),"")</f>
        <v>CK-CGH</v>
      </c>
      <c r="Q539" s="48">
        <f>IFERROR(VLOOKUP(B539,'03. THIẾT BỊ'!$B$1:$S$836,16,0),"")</f>
        <v>2025</v>
      </c>
      <c r="R539" s="471" t="str">
        <f>IFERROR(VLOOKUP(B539,'03. THIẾT BỊ'!$B$1:$S$836,17,0),"")</f>
        <v>9.25HP</v>
      </c>
      <c r="S539" s="468" t="str">
        <f>IFERROR(VLOOKUP(B539,'03. THIẾT BỊ'!$B$1:$S$836,18,0),"")</f>
        <v/>
      </c>
      <c r="T539" s="807">
        <v>0.56</v>
      </c>
    </row>
    <row r="540" ht="15.0" customHeight="1">
      <c r="A540" s="463">
        <f t="shared" si="26"/>
        <v>21</v>
      </c>
      <c r="B540" s="464" t="s">
        <v>4243</v>
      </c>
      <c r="C540" s="869" t="str">
        <f>IFERROR(VLOOKUP(B540,'03. THIẾT BỊ'!$B$1:$S$836,2,0),"")</f>
        <v/>
      </c>
      <c r="D540" s="470" t="str">
        <f>IFERROR(VLOOKUP(B540,'03. THIẾT BỊ'!$B$1:$S$836,3,0),"")</f>
        <v>A23-MKC-038</v>
      </c>
      <c r="E540" s="464" t="str">
        <f>IFERROR(VLOOKUP(B540,'03. THIẾT BỊ'!$B$1:$S$836,4,0),"")</f>
        <v>ĐQSD</v>
      </c>
      <c r="F540" s="464" t="str">
        <f>IFERROR(VLOOKUP(B540,'03. THIẾT BỊ'!$B$1:$S$836,5,0),"")</f>
        <v>Máy kéo chuối (Xăng)</v>
      </c>
      <c r="G540" s="80" t="s">
        <v>6423</v>
      </c>
      <c r="H540" s="463" t="str">
        <f>IFERROR(VLOOKUP(B540,'03. THIẾT BỊ'!$B$1:$S$836,7,0),"")</f>
        <v>XN Chuối DP2</v>
      </c>
      <c r="I540" s="474">
        <f>IFERROR(VLOOKUP(B540,'03. THIẾT BỊ'!$B$1:$S$836,8,0),"")</f>
        <v>45759</v>
      </c>
      <c r="J540" s="471"/>
      <c r="K540" s="463" t="str">
        <f>IFERROR(VLOOKUP(B540,'03. THIẾT BỊ'!$B$1:$S$836,10,0),"")</f>
        <v>Bình thường</v>
      </c>
      <c r="L540" s="468" t="str">
        <f>IFERROR(VLOOKUP(B540,'03. THIẾT BỊ'!$B$1:$S$836,11,0),"")</f>
        <v/>
      </c>
      <c r="M540" s="472" t="str">
        <f>IFERROR(VLOOKUP(B540,'03. THIẾT BỊ'!$B$1:$S$836,12,0),"")</f>
        <v>Gia công mới</v>
      </c>
      <c r="N540" s="468" t="str">
        <f>IFERROR(VLOOKUP(B540,'03. THIẾT BỊ'!$B$1:$S$836,13,0),"")</f>
        <v>DREAM</v>
      </c>
      <c r="O540" s="470" t="str">
        <f>IFERROR(VLOOKUP(B540,'03. THIẾT BỊ'!$B$1:$S$836,14,0),"")</f>
        <v>XKC-44</v>
      </c>
      <c r="P540" s="468" t="str">
        <f>IFERROR(VLOOKUP(B540,'03. THIẾT BỊ'!$B$1:$S$836,15,0),"")</f>
        <v>CK-CGH</v>
      </c>
      <c r="Q540" s="48">
        <f>IFERROR(VLOOKUP(B540,'03. THIẾT BỊ'!$B$1:$S$836,16,0),"")</f>
        <v>2025</v>
      </c>
      <c r="R540" s="471" t="str">
        <f>IFERROR(VLOOKUP(B540,'03. THIẾT BỊ'!$B$1:$S$836,17,0),"")</f>
        <v>9.25HP</v>
      </c>
      <c r="S540" s="468" t="str">
        <f>IFERROR(VLOOKUP(B540,'03. THIẾT BỊ'!$B$1:$S$836,18,0),"")</f>
        <v/>
      </c>
      <c r="T540" s="807">
        <v>0.56</v>
      </c>
    </row>
    <row r="541" ht="15.0" customHeight="1">
      <c r="A541" s="463">
        <f t="shared" si="26"/>
        <v>22</v>
      </c>
      <c r="B541" s="464" t="s">
        <v>4246</v>
      </c>
      <c r="C541" s="869" t="str">
        <f>IFERROR(VLOOKUP(B541,'03. THIẾT BỊ'!$B$1:$S$836,2,0),"")</f>
        <v/>
      </c>
      <c r="D541" s="470" t="str">
        <f>IFERROR(VLOOKUP(B541,'03. THIẾT BỊ'!$B$1:$S$836,3,0),"")</f>
        <v>A23-MKC-039</v>
      </c>
      <c r="E541" s="464" t="str">
        <f>IFERROR(VLOOKUP(B541,'03. THIẾT BỊ'!$B$1:$S$836,4,0),"")</f>
        <v>ĐQSD</v>
      </c>
      <c r="F541" s="464" t="str">
        <f>IFERROR(VLOOKUP(B541,'03. THIẾT BỊ'!$B$1:$S$836,5,0),"")</f>
        <v>Máy kéo chuối (Xăng)</v>
      </c>
      <c r="G541" s="80" t="s">
        <v>6423</v>
      </c>
      <c r="H541" s="463" t="str">
        <f>IFERROR(VLOOKUP(B541,'03. THIẾT BỊ'!$B$1:$S$836,7,0),"")</f>
        <v>XN Chuối DP2</v>
      </c>
      <c r="I541" s="474">
        <f>IFERROR(VLOOKUP(B541,'03. THIẾT BỊ'!$B$1:$S$836,8,0),"")</f>
        <v>45759</v>
      </c>
      <c r="J541" s="471"/>
      <c r="K541" s="463" t="str">
        <f>IFERROR(VLOOKUP(B541,'03. THIẾT BỊ'!$B$1:$S$836,10,0),"")</f>
        <v>Bình thường</v>
      </c>
      <c r="L541" s="468" t="str">
        <f>IFERROR(VLOOKUP(B541,'03. THIẾT BỊ'!$B$1:$S$836,11,0),"")</f>
        <v/>
      </c>
      <c r="M541" s="472" t="str">
        <f>IFERROR(VLOOKUP(B541,'03. THIẾT BỊ'!$B$1:$S$836,12,0),"")</f>
        <v>Gia công mới</v>
      </c>
      <c r="N541" s="468" t="str">
        <f>IFERROR(VLOOKUP(B541,'03. THIẾT BỊ'!$B$1:$S$836,13,0),"")</f>
        <v>DREAM</v>
      </c>
      <c r="O541" s="470" t="str">
        <f>IFERROR(VLOOKUP(B541,'03. THIẾT BỊ'!$B$1:$S$836,14,0),"")</f>
        <v>XKC-45</v>
      </c>
      <c r="P541" s="468" t="str">
        <f>IFERROR(VLOOKUP(B541,'03. THIẾT BỊ'!$B$1:$S$836,15,0),"")</f>
        <v>CK-CGH</v>
      </c>
      <c r="Q541" s="48">
        <f>IFERROR(VLOOKUP(B541,'03. THIẾT BỊ'!$B$1:$S$836,16,0),"")</f>
        <v>2025</v>
      </c>
      <c r="R541" s="471" t="str">
        <f>IFERROR(VLOOKUP(B541,'03. THIẾT BỊ'!$B$1:$S$836,17,0),"")</f>
        <v>9.25HP</v>
      </c>
      <c r="S541" s="468" t="str">
        <f>IFERROR(VLOOKUP(B541,'03. THIẾT BỊ'!$B$1:$S$836,18,0),"")</f>
        <v/>
      </c>
      <c r="T541" s="807">
        <v>0.56</v>
      </c>
    </row>
    <row r="542" ht="15.0" customHeight="1">
      <c r="A542" s="463">
        <f>A536+1</f>
        <v>18</v>
      </c>
      <c r="B542" s="464" t="s">
        <v>4354</v>
      </c>
      <c r="C542" s="869" t="str">
        <f>IFERROR(VLOOKUP(B542,'03. THIẾT BỊ'!$B$1:$S$836,2,0),"")</f>
        <v/>
      </c>
      <c r="D542" s="470" t="str">
        <f>IFERROR(VLOOKUP(B542,'03. THIẾT BỊ'!$B$1:$S$836,3,0),"")</f>
        <v>A23-MKC-006</v>
      </c>
      <c r="E542" s="464" t="str">
        <f>IFERROR(VLOOKUP(B542,'03. THIẾT BỊ'!$B$1:$S$836,4,0),"")</f>
        <v>ĐQSD</v>
      </c>
      <c r="F542" s="464" t="str">
        <f>IFERROR(VLOOKUP(B542,'03. THIẾT BỊ'!$B$1:$S$836,5,0),"")</f>
        <v>Máy kéo chuối (Xăng)</v>
      </c>
      <c r="G542" s="80" t="s">
        <v>6423</v>
      </c>
      <c r="H542" s="463" t="str">
        <f>IFERROR(VLOOKUP(B542,'03. THIẾT BỊ'!$B$1:$S$836,7,0),"")</f>
        <v>XN Chuối DP3</v>
      </c>
      <c r="I542" s="474" t="str">
        <f>IFERROR(VLOOKUP(B542,'03. THIẾT BỊ'!$B$1:$S$836,8,0),"")</f>
        <v>20/03/2025</v>
      </c>
      <c r="J542" s="471"/>
      <c r="K542" s="463" t="str">
        <f>IFERROR(VLOOKUP(B542,'03. THIẾT BỊ'!$B$1:$S$836,10,0),"")</f>
        <v>Bình thường</v>
      </c>
      <c r="L542" s="468" t="str">
        <f>IFERROR(VLOOKUP(B542,'03. THIẾT BỊ'!$B$1:$S$836,11,0),"")</f>
        <v/>
      </c>
      <c r="M542" s="472" t="str">
        <f>IFERROR(VLOOKUP(B542,'03. THIẾT BỊ'!$B$1:$S$836,12,0),"")</f>
        <v/>
      </c>
      <c r="N542" s="468" t="str">
        <f>IFERROR(VLOOKUP(B542,'03. THIẾT BỊ'!$B$1:$S$836,13,0),"")</f>
        <v>THACO AGRI</v>
      </c>
      <c r="O542" s="470" t="str">
        <f>IFERROR(VLOOKUP(B542,'03. THIẾT BỊ'!$B$1:$S$836,14,0),"")</f>
        <v>CGH-MKC-DREAM</v>
      </c>
      <c r="P542" s="468" t="str">
        <f>IFERROR(VLOOKUP(B542,'03. THIẾT BỊ'!$B$1:$S$836,15,0),"")</f>
        <v>CK-CGH</v>
      </c>
      <c r="Q542" s="48">
        <f>IFERROR(VLOOKUP(B542,'03. THIẾT BỊ'!$B$1:$S$836,16,0),"")</f>
        <v>2025</v>
      </c>
      <c r="R542" s="471" t="str">
        <f>IFERROR(VLOOKUP(B542,'03. THIẾT BỊ'!$B$1:$S$836,17,0),"")</f>
        <v>9.25HP</v>
      </c>
      <c r="S542" s="468" t="str">
        <f>IFERROR(VLOOKUP(B542,'03. THIẾT BỊ'!$B$1:$S$836,18,0),"")</f>
        <v>Mất</v>
      </c>
      <c r="T542" s="807">
        <v>0.56</v>
      </c>
    </row>
    <row r="543" ht="15.0" customHeight="1">
      <c r="A543" s="463">
        <f t="shared" ref="A543:A555" si="27">A542+1</f>
        <v>19</v>
      </c>
      <c r="B543" s="464" t="s">
        <v>4357</v>
      </c>
      <c r="C543" s="869" t="str">
        <f>IFERROR(VLOOKUP(B543,'03. THIẾT BỊ'!$B$1:$S$836,2,0),"")</f>
        <v/>
      </c>
      <c r="D543" s="470" t="str">
        <f>IFERROR(VLOOKUP(B543,'03. THIẾT BỊ'!$B$1:$S$836,3,0),"")</f>
        <v>A23-MKC-013</v>
      </c>
      <c r="E543" s="464" t="str">
        <f>IFERROR(VLOOKUP(B543,'03. THIẾT BỊ'!$B$1:$S$836,4,0),"")</f>
        <v>ĐQSD</v>
      </c>
      <c r="F543" s="464" t="str">
        <f>IFERROR(VLOOKUP(B543,'03. THIẾT BỊ'!$B$1:$S$836,5,0),"")</f>
        <v>Máy kéo chuối (Xăng)</v>
      </c>
      <c r="G543" s="80" t="s">
        <v>6423</v>
      </c>
      <c r="H543" s="463" t="str">
        <f>IFERROR(VLOOKUP(B543,'03. THIẾT BỊ'!$B$1:$S$836,7,0),"")</f>
        <v>XN Chuối DP3</v>
      </c>
      <c r="I543" s="474" t="str">
        <f>IFERROR(VLOOKUP(B543,'03. THIẾT BỊ'!$B$1:$S$836,8,0),"")</f>
        <v>13/06/2025</v>
      </c>
      <c r="J543" s="471"/>
      <c r="K543" s="463" t="str">
        <f>IFERROR(VLOOKUP(B543,'03. THIẾT BỊ'!$B$1:$S$836,10,0),"")</f>
        <v>Bình thường</v>
      </c>
      <c r="L543" s="468" t="str">
        <f>IFERROR(VLOOKUP(B543,'03. THIẾT BỊ'!$B$1:$S$836,11,0),"")</f>
        <v/>
      </c>
      <c r="M543" s="472" t="str">
        <f>IFERROR(VLOOKUP(B543,'03. THIẾT BỊ'!$B$1:$S$836,12,0),"")</f>
        <v/>
      </c>
      <c r="N543" s="468" t="str">
        <f>IFERROR(VLOOKUP(B543,'03. THIẾT BỊ'!$B$1:$S$836,13,0),"")</f>
        <v>THACO AGRI</v>
      </c>
      <c r="O543" s="470" t="str">
        <f>IFERROR(VLOOKUP(B543,'03. THIẾT BỊ'!$B$1:$S$836,14,0),"")</f>
        <v>CGH-MKC-DREAM</v>
      </c>
      <c r="P543" s="468" t="str">
        <f>IFERROR(VLOOKUP(B543,'03. THIẾT BỊ'!$B$1:$S$836,15,0),"")</f>
        <v>CK-CGH</v>
      </c>
      <c r="Q543" s="48">
        <f>IFERROR(VLOOKUP(B543,'03. THIẾT BỊ'!$B$1:$S$836,16,0),"")</f>
        <v>2025</v>
      </c>
      <c r="R543" s="471" t="str">
        <f>IFERROR(VLOOKUP(B543,'03. THIẾT BỊ'!$B$1:$S$836,17,0),"")</f>
        <v>9.25HP</v>
      </c>
      <c r="S543" s="468" t="str">
        <f>IFERROR(VLOOKUP(B543,'03. THIẾT BỊ'!$B$1:$S$836,18,0),"")</f>
        <v/>
      </c>
      <c r="T543" s="807">
        <v>0.56</v>
      </c>
    </row>
    <row r="544" ht="15.0" customHeight="1">
      <c r="A544" s="463">
        <f t="shared" si="27"/>
        <v>20</v>
      </c>
      <c r="B544" s="464" t="s">
        <v>4359</v>
      </c>
      <c r="C544" s="869" t="str">
        <f>IFERROR(VLOOKUP(B544,'03. THIẾT BỊ'!$B$1:$S$836,2,0),"")</f>
        <v/>
      </c>
      <c r="D544" s="470" t="str">
        <f>IFERROR(VLOOKUP(B544,'03. THIẾT BỊ'!$B$1:$S$836,3,0),"")</f>
        <v>A23-MKC-012</v>
      </c>
      <c r="E544" s="464" t="str">
        <f>IFERROR(VLOOKUP(B544,'03. THIẾT BỊ'!$B$1:$S$836,4,0),"")</f>
        <v>ĐQSD</v>
      </c>
      <c r="F544" s="464" t="str">
        <f>IFERROR(VLOOKUP(B544,'03. THIẾT BỊ'!$B$1:$S$836,5,0),"")</f>
        <v>Máy kéo chuối (Xăng)</v>
      </c>
      <c r="G544" s="80" t="s">
        <v>6423</v>
      </c>
      <c r="H544" s="463" t="str">
        <f>IFERROR(VLOOKUP(B544,'03. THIẾT BỊ'!$B$1:$S$836,7,0),"")</f>
        <v>XN Chuối DP3</v>
      </c>
      <c r="I544" s="474" t="str">
        <f>IFERROR(VLOOKUP(B544,'03. THIẾT BỊ'!$B$1:$S$836,8,0),"")</f>
        <v>13/06/2025</v>
      </c>
      <c r="J544" s="471"/>
      <c r="K544" s="463" t="str">
        <f>IFERROR(VLOOKUP(B544,'03. THIẾT BỊ'!$B$1:$S$836,10,0),"")</f>
        <v>Bình thường</v>
      </c>
      <c r="L544" s="468" t="str">
        <f>IFERROR(VLOOKUP(B544,'03. THIẾT BỊ'!$B$1:$S$836,11,0),"")</f>
        <v/>
      </c>
      <c r="M544" s="472" t="str">
        <f>IFERROR(VLOOKUP(B544,'03. THIẾT BỊ'!$B$1:$S$836,12,0),"")</f>
        <v/>
      </c>
      <c r="N544" s="468" t="str">
        <f>IFERROR(VLOOKUP(B544,'03. THIẾT BỊ'!$B$1:$S$836,13,0),"")</f>
        <v>THACO AGRI</v>
      </c>
      <c r="O544" s="470" t="str">
        <f>IFERROR(VLOOKUP(B544,'03. THIẾT BỊ'!$B$1:$S$836,14,0),"")</f>
        <v>CGH-MKC-DREAM</v>
      </c>
      <c r="P544" s="468" t="str">
        <f>IFERROR(VLOOKUP(B544,'03. THIẾT BỊ'!$B$1:$S$836,15,0),"")</f>
        <v>CK-CGH</v>
      </c>
      <c r="Q544" s="48">
        <f>IFERROR(VLOOKUP(B544,'03. THIẾT BỊ'!$B$1:$S$836,16,0),"")</f>
        <v>2025</v>
      </c>
      <c r="R544" s="471" t="str">
        <f>IFERROR(VLOOKUP(B544,'03. THIẾT BỊ'!$B$1:$S$836,17,0),"")</f>
        <v>9.25HP</v>
      </c>
      <c r="S544" s="468" t="str">
        <f>IFERROR(VLOOKUP(B544,'03. THIẾT BỊ'!$B$1:$S$836,18,0),"")</f>
        <v/>
      </c>
      <c r="T544" s="807">
        <v>0.56</v>
      </c>
    </row>
    <row r="545" ht="15.0" customHeight="1">
      <c r="A545" s="463">
        <f t="shared" si="27"/>
        <v>21</v>
      </c>
      <c r="B545" s="464" t="s">
        <v>4361</v>
      </c>
      <c r="C545" s="869" t="str">
        <f>IFERROR(VLOOKUP(B545,'03. THIẾT BỊ'!$B$1:$S$836,2,0),"")</f>
        <v/>
      </c>
      <c r="D545" s="470" t="str">
        <f>IFERROR(VLOOKUP(B545,'03. THIẾT BỊ'!$B$1:$S$836,3,0),"")</f>
        <v>A23-MKC-016</v>
      </c>
      <c r="E545" s="464" t="str">
        <f>IFERROR(VLOOKUP(B545,'03. THIẾT BỊ'!$B$1:$S$836,4,0),"")</f>
        <v>ĐQSD</v>
      </c>
      <c r="F545" s="464" t="str">
        <f>IFERROR(VLOOKUP(B545,'03. THIẾT BỊ'!$B$1:$S$836,5,0),"")</f>
        <v>Máy kéo chuối (Xăng)</v>
      </c>
      <c r="G545" s="80" t="s">
        <v>6423</v>
      </c>
      <c r="H545" s="463" t="str">
        <f>IFERROR(VLOOKUP(B545,'03. THIẾT BỊ'!$B$1:$S$836,7,0),"")</f>
        <v>XN Chuối DP3</v>
      </c>
      <c r="I545" s="474" t="str">
        <f>IFERROR(VLOOKUP(B545,'03. THIẾT BỊ'!$B$1:$S$836,8,0),"")</f>
        <v>25/08/2025</v>
      </c>
      <c r="J545" s="471"/>
      <c r="K545" s="463" t="str">
        <f>IFERROR(VLOOKUP(B545,'03. THIẾT BỊ'!$B$1:$S$836,10,0),"")</f>
        <v>Bình thường</v>
      </c>
      <c r="L545" s="468" t="str">
        <f>IFERROR(VLOOKUP(B545,'03. THIẾT BỊ'!$B$1:$S$836,11,0),"")</f>
        <v/>
      </c>
      <c r="M545" s="472" t="str">
        <f>IFERROR(VLOOKUP(B545,'03. THIẾT BỊ'!$B$1:$S$836,12,0),"")</f>
        <v/>
      </c>
      <c r="N545" s="468" t="str">
        <f>IFERROR(VLOOKUP(B545,'03. THIẾT BỊ'!$B$1:$S$836,13,0),"")</f>
        <v>THACO AGRI</v>
      </c>
      <c r="O545" s="470" t="str">
        <f>IFERROR(VLOOKUP(B545,'03. THIẾT BỊ'!$B$1:$S$836,14,0),"")</f>
        <v>XKC-12</v>
      </c>
      <c r="P545" s="468" t="str">
        <f>IFERROR(VLOOKUP(B545,'03. THIẾT BỊ'!$B$1:$S$836,15,0),"")</f>
        <v>CK-CGH</v>
      </c>
      <c r="Q545" s="48">
        <f>IFERROR(VLOOKUP(B545,'03. THIẾT BỊ'!$B$1:$S$836,16,0),"")</f>
        <v>2025</v>
      </c>
      <c r="R545" s="471" t="str">
        <f>IFERROR(VLOOKUP(B545,'03. THIẾT BỊ'!$B$1:$S$836,17,0),"")</f>
        <v>9.25HP</v>
      </c>
      <c r="S545" s="468">
        <f>IFERROR(VLOOKUP(B545,'03. THIẾT BỊ'!$B$1:$S$836,18,0),"")</f>
        <v>12</v>
      </c>
      <c r="T545" s="807">
        <v>0.56</v>
      </c>
    </row>
    <row r="546" ht="15.0" customHeight="1">
      <c r="A546" s="463">
        <f t="shared" si="27"/>
        <v>22</v>
      </c>
      <c r="B546" s="464" t="s">
        <v>4364</v>
      </c>
      <c r="C546" s="869" t="str">
        <f>IFERROR(VLOOKUP(B546,'03. THIẾT BỊ'!$B$1:$S$836,2,0),"")</f>
        <v/>
      </c>
      <c r="D546" s="470" t="str">
        <f>IFERROR(VLOOKUP(B546,'03. THIẾT BỊ'!$B$1:$S$836,3,0),"")</f>
        <v>A23-MKC-017</v>
      </c>
      <c r="E546" s="464" t="str">
        <f>IFERROR(VLOOKUP(B546,'03. THIẾT BỊ'!$B$1:$S$836,4,0),"")</f>
        <v>ĐQSD</v>
      </c>
      <c r="F546" s="464" t="str">
        <f>IFERROR(VLOOKUP(B546,'03. THIẾT BỊ'!$B$1:$S$836,5,0),"")</f>
        <v>Máy kéo chuối (Xăng)</v>
      </c>
      <c r="G546" s="80" t="s">
        <v>6423</v>
      </c>
      <c r="H546" s="463" t="str">
        <f>IFERROR(VLOOKUP(B546,'03. THIẾT BỊ'!$B$1:$S$836,7,0),"")</f>
        <v>XN Chuối DP3</v>
      </c>
      <c r="I546" s="474" t="str">
        <f>IFERROR(VLOOKUP(B546,'03. THIẾT BỊ'!$B$1:$S$836,8,0),"")</f>
        <v>25/08/2025</v>
      </c>
      <c r="J546" s="471"/>
      <c r="K546" s="463" t="str">
        <f>IFERROR(VLOOKUP(B546,'03. THIẾT BỊ'!$B$1:$S$836,10,0),"")</f>
        <v>Bình thường</v>
      </c>
      <c r="L546" s="468" t="str">
        <f>IFERROR(VLOOKUP(B546,'03. THIẾT BỊ'!$B$1:$S$836,11,0),"")</f>
        <v/>
      </c>
      <c r="M546" s="472" t="str">
        <f>IFERROR(VLOOKUP(B546,'03. THIẾT BỊ'!$B$1:$S$836,12,0),"")</f>
        <v/>
      </c>
      <c r="N546" s="468" t="str">
        <f>IFERROR(VLOOKUP(B546,'03. THIẾT BỊ'!$B$1:$S$836,13,0),"")</f>
        <v>THACO AGRI</v>
      </c>
      <c r="O546" s="470" t="str">
        <f>IFERROR(VLOOKUP(B546,'03. THIẾT BỊ'!$B$1:$S$836,14,0),"")</f>
        <v>XKC-13</v>
      </c>
      <c r="P546" s="468" t="str">
        <f>IFERROR(VLOOKUP(B546,'03. THIẾT BỊ'!$B$1:$S$836,15,0),"")</f>
        <v>CK-CGH</v>
      </c>
      <c r="Q546" s="48">
        <f>IFERROR(VLOOKUP(B546,'03. THIẾT BỊ'!$B$1:$S$836,16,0),"")</f>
        <v>2025</v>
      </c>
      <c r="R546" s="471" t="str">
        <f>IFERROR(VLOOKUP(B546,'03. THIẾT BỊ'!$B$1:$S$836,17,0),"")</f>
        <v>9.25HP</v>
      </c>
      <c r="S546" s="468">
        <f>IFERROR(VLOOKUP(B546,'03. THIẾT BỊ'!$B$1:$S$836,18,0),"")</f>
        <v>13</v>
      </c>
      <c r="T546" s="807">
        <v>0.56</v>
      </c>
    </row>
    <row r="547" ht="15.0" customHeight="1">
      <c r="A547" s="463">
        <f t="shared" si="27"/>
        <v>23</v>
      </c>
      <c r="B547" s="464" t="s">
        <v>4367</v>
      </c>
      <c r="C547" s="869" t="str">
        <f>IFERROR(VLOOKUP(B547,'03. THIẾT BỊ'!$B$1:$S$836,2,0),"")</f>
        <v/>
      </c>
      <c r="D547" s="470" t="str">
        <f>IFERROR(VLOOKUP(B547,'03. THIẾT BỊ'!$B$1:$S$836,3,0),"")</f>
        <v>A23-MKC-020</v>
      </c>
      <c r="E547" s="464" t="str">
        <f>IFERROR(VLOOKUP(B547,'03. THIẾT BỊ'!$B$1:$S$836,4,0),"")</f>
        <v>ĐQSD</v>
      </c>
      <c r="F547" s="464" t="str">
        <f>IFERROR(VLOOKUP(B547,'03. THIẾT BỊ'!$B$1:$S$836,5,0),"")</f>
        <v>Máy kéo chuối (Xăng)</v>
      </c>
      <c r="G547" s="80" t="s">
        <v>6423</v>
      </c>
      <c r="H547" s="463" t="str">
        <f>IFERROR(VLOOKUP(B547,'03. THIẾT BỊ'!$B$1:$S$836,7,0),"")</f>
        <v>XN Chuối DP3</v>
      </c>
      <c r="I547" s="474">
        <f>IFERROR(VLOOKUP(B547,'03. THIẾT BỊ'!$B$1:$S$836,8,0),"")</f>
        <v>45909</v>
      </c>
      <c r="J547" s="471"/>
      <c r="K547" s="463" t="str">
        <f>IFERROR(VLOOKUP(B547,'03. THIẾT BỊ'!$B$1:$S$836,10,0),"")</f>
        <v>Bình thường</v>
      </c>
      <c r="L547" s="468" t="str">
        <f>IFERROR(VLOOKUP(B547,'03. THIẾT BỊ'!$B$1:$S$836,11,0),"")</f>
        <v/>
      </c>
      <c r="M547" s="472" t="str">
        <f>IFERROR(VLOOKUP(B547,'03. THIẾT BỊ'!$B$1:$S$836,12,0),"")</f>
        <v/>
      </c>
      <c r="N547" s="468" t="str">
        <f>IFERROR(VLOOKUP(B547,'03. THIẾT BỊ'!$B$1:$S$836,13,0),"")</f>
        <v>THACO AGRI</v>
      </c>
      <c r="O547" s="470" t="str">
        <f>IFERROR(VLOOKUP(B547,'03. THIẾT BỊ'!$B$1:$S$836,14,0),"")</f>
        <v>XKC-13</v>
      </c>
      <c r="P547" s="468" t="str">
        <f>IFERROR(VLOOKUP(B547,'03. THIẾT BỊ'!$B$1:$S$836,15,0),"")</f>
        <v>CK-CGH</v>
      </c>
      <c r="Q547" s="48">
        <f>IFERROR(VLOOKUP(B547,'03. THIẾT BỊ'!$B$1:$S$836,16,0),"")</f>
        <v>2025</v>
      </c>
      <c r="R547" s="471" t="str">
        <f>IFERROR(VLOOKUP(B547,'03. THIẾT BỊ'!$B$1:$S$836,17,0),"")</f>
        <v>9,5 HP</v>
      </c>
      <c r="S547" s="468" t="str">
        <f>IFERROR(VLOOKUP(B547,'03. THIẾT BỊ'!$B$1:$S$836,18,0),"")</f>
        <v/>
      </c>
      <c r="T547" s="807">
        <v>0.56</v>
      </c>
    </row>
    <row r="548" ht="15.0" customHeight="1">
      <c r="A548" s="463">
        <f t="shared" si="27"/>
        <v>24</v>
      </c>
      <c r="B548" s="464" t="s">
        <v>4369</v>
      </c>
      <c r="C548" s="869" t="str">
        <f>IFERROR(VLOOKUP(B548,'03. THIẾT BỊ'!$B$1:$S$836,2,0),"")</f>
        <v/>
      </c>
      <c r="D548" s="470" t="str">
        <f>IFERROR(VLOOKUP(B548,'03. THIẾT BỊ'!$B$1:$S$836,3,0),"")</f>
        <v>A23-MKC-021</v>
      </c>
      <c r="E548" s="464" t="str">
        <f>IFERROR(VLOOKUP(B548,'03. THIẾT BỊ'!$B$1:$S$836,4,0),"")</f>
        <v>ĐQSD</v>
      </c>
      <c r="F548" s="464" t="str">
        <f>IFERROR(VLOOKUP(B548,'03. THIẾT BỊ'!$B$1:$S$836,5,0),"")</f>
        <v>Máy kéo chuối (Xăng)</v>
      </c>
      <c r="G548" s="80" t="s">
        <v>6423</v>
      </c>
      <c r="H548" s="463" t="str">
        <f>IFERROR(VLOOKUP(B548,'03. THIẾT BỊ'!$B$1:$S$836,7,0),"")</f>
        <v>XN Chuối DP3</v>
      </c>
      <c r="I548" s="474" t="str">
        <f>IFERROR(VLOOKUP(B548,'03. THIẾT BỊ'!$B$1:$S$836,8,0),"")</f>
        <v>17/09/2025</v>
      </c>
      <c r="J548" s="471"/>
      <c r="K548" s="463" t="str">
        <f>IFERROR(VLOOKUP(B548,'03. THIẾT BỊ'!$B$1:$S$836,10,0),"")</f>
        <v>Bình thường</v>
      </c>
      <c r="L548" s="468" t="str">
        <f>IFERROR(VLOOKUP(B548,'03. THIẾT BỊ'!$B$1:$S$836,11,0),"")</f>
        <v/>
      </c>
      <c r="M548" s="472" t="str">
        <f>IFERROR(VLOOKUP(B548,'03. THIẾT BỊ'!$B$1:$S$836,12,0),"")</f>
        <v/>
      </c>
      <c r="N548" s="468" t="str">
        <f>IFERROR(VLOOKUP(B548,'03. THIẾT BỊ'!$B$1:$S$836,13,0),"")</f>
        <v>THACO AGRI</v>
      </c>
      <c r="O548" s="470" t="str">
        <f>IFERROR(VLOOKUP(B548,'03. THIẾT BỊ'!$B$1:$S$836,14,0),"")</f>
        <v>XKC-23</v>
      </c>
      <c r="P548" s="468" t="str">
        <f>IFERROR(VLOOKUP(B548,'03. THIẾT BỊ'!$B$1:$S$836,15,0),"")</f>
        <v>CK-CGH</v>
      </c>
      <c r="Q548" s="48">
        <f>IFERROR(VLOOKUP(B548,'03. THIẾT BỊ'!$B$1:$S$836,16,0),"")</f>
        <v>2025</v>
      </c>
      <c r="R548" s="471" t="str">
        <f>IFERROR(VLOOKUP(B548,'03. THIẾT BỊ'!$B$1:$S$836,17,0),"")</f>
        <v>9,5 HP</v>
      </c>
      <c r="S548" s="468" t="str">
        <f>IFERROR(VLOOKUP(B548,'03. THIẾT BỊ'!$B$1:$S$836,18,0),"")</f>
        <v/>
      </c>
      <c r="T548" s="807">
        <v>0.56</v>
      </c>
    </row>
    <row r="549" ht="15.0" customHeight="1">
      <c r="A549" s="463">
        <f t="shared" si="27"/>
        <v>25</v>
      </c>
      <c r="B549" s="464" t="s">
        <v>4373</v>
      </c>
      <c r="C549" s="869" t="str">
        <f>IFERROR(VLOOKUP(B549,'03. THIẾT BỊ'!$B$1:$S$836,2,0),"")</f>
        <v/>
      </c>
      <c r="D549" s="470" t="str">
        <f>IFERROR(VLOOKUP(B549,'03. THIẾT BỊ'!$B$1:$S$836,3,0),"")</f>
        <v>A23-MKC-027</v>
      </c>
      <c r="E549" s="464" t="str">
        <f>IFERROR(VLOOKUP(B549,'03. THIẾT BỊ'!$B$1:$S$836,4,0),"")</f>
        <v>MUA MỚI</v>
      </c>
      <c r="F549" s="464" t="str">
        <f>IFERROR(VLOOKUP(B549,'03. THIẾT BỊ'!$B$1:$S$836,5,0),"")</f>
        <v>Máy kéo chuối (Điện)</v>
      </c>
      <c r="G549" s="80" t="s">
        <v>6423</v>
      </c>
      <c r="H549" s="463" t="str">
        <f>IFERROR(VLOOKUP(B549,'03. THIẾT BỊ'!$B$1:$S$836,7,0),"")</f>
        <v>XN Chuối DP3</v>
      </c>
      <c r="I549" s="474">
        <f>IFERROR(VLOOKUP(B549,'03. THIẾT BỊ'!$B$1:$S$836,8,0),"")</f>
        <v>45818</v>
      </c>
      <c r="J549" s="471"/>
      <c r="K549" s="463" t="str">
        <f>IFERROR(VLOOKUP(B549,'03. THIẾT BỊ'!$B$1:$S$836,10,0),"")</f>
        <v>Bình thường</v>
      </c>
      <c r="L549" s="468" t="str">
        <f>IFERROR(VLOOKUP(B549,'03. THIẾT BỊ'!$B$1:$S$836,11,0),"")</f>
        <v/>
      </c>
      <c r="M549" s="472" t="str">
        <f>IFERROR(VLOOKUP(B549,'03. THIẾT BỊ'!$B$1:$S$836,12,0),"")</f>
        <v/>
      </c>
      <c r="N549" s="468" t="str">
        <f>IFERROR(VLOOKUP(B549,'03. THIẾT BỊ'!$B$1:$S$836,13,0),"")</f>
        <v>THACO AGRI</v>
      </c>
      <c r="O549" s="470" t="str">
        <f>IFERROR(VLOOKUP(B549,'03. THIẾT BỊ'!$B$1:$S$836,14,0),"")</f>
        <v/>
      </c>
      <c r="P549" s="468" t="str">
        <f>IFERROR(VLOOKUP(B549,'03. THIẾT BỊ'!$B$1:$S$836,15,0),"")</f>
        <v>CK-CGH</v>
      </c>
      <c r="Q549" s="48">
        <f>IFERROR(VLOOKUP(B549,'03. THIẾT BỊ'!$B$1:$S$836,16,0),"")</f>
        <v>2025</v>
      </c>
      <c r="R549" s="471" t="str">
        <f>IFERROR(VLOOKUP(B549,'03. THIẾT BỊ'!$B$1:$S$836,17,0),"")</f>
        <v>1500W</v>
      </c>
      <c r="S549" s="468" t="str">
        <f>IFERROR(VLOOKUP(B549,'03. THIẾT BỊ'!$B$1:$S$836,18,0),"")</f>
        <v>60A-4CÁI</v>
      </c>
      <c r="T549" s="807">
        <v>0.56</v>
      </c>
    </row>
    <row r="550" ht="15.0" customHeight="1">
      <c r="A550" s="463">
        <f t="shared" si="27"/>
        <v>26</v>
      </c>
      <c r="B550" s="464" t="s">
        <v>4378</v>
      </c>
      <c r="C550" s="869" t="str">
        <f>IFERROR(VLOOKUP(B550,'03. THIẾT BỊ'!$B$1:$S$836,2,0),"")</f>
        <v/>
      </c>
      <c r="D550" s="470" t="str">
        <f>IFERROR(VLOOKUP(B550,'03. THIẾT BỊ'!$B$1:$S$836,3,0),"")</f>
        <v>A23-MKC-023</v>
      </c>
      <c r="E550" s="464" t="str">
        <f>IFERROR(VLOOKUP(B550,'03. THIẾT BỊ'!$B$1:$S$836,4,0),"")</f>
        <v>ĐQSD</v>
      </c>
      <c r="F550" s="464" t="str">
        <f>IFERROR(VLOOKUP(B550,'03. THIẾT BỊ'!$B$1:$S$836,5,0),"")</f>
        <v>Máy kéo chuối (Xăng)</v>
      </c>
      <c r="G550" s="80" t="s">
        <v>6423</v>
      </c>
      <c r="H550" s="463" t="str">
        <f>IFERROR(VLOOKUP(B550,'03. THIẾT BỊ'!$B$1:$S$836,7,0),"")</f>
        <v>XN Chuối DP3</v>
      </c>
      <c r="I550" s="474">
        <f>IFERROR(VLOOKUP(B550,'03. THIẾT BỊ'!$B$1:$S$836,8,0),"")</f>
        <v>45818</v>
      </c>
      <c r="J550" s="471"/>
      <c r="K550" s="463" t="str">
        <f>IFERROR(VLOOKUP(B550,'03. THIẾT BỊ'!$B$1:$S$836,10,0),"")</f>
        <v>Bình thường</v>
      </c>
      <c r="L550" s="468" t="str">
        <f>IFERROR(VLOOKUP(B550,'03. THIẾT BỊ'!$B$1:$S$836,11,0),"")</f>
        <v/>
      </c>
      <c r="M550" s="472" t="str">
        <f>IFERROR(VLOOKUP(B550,'03. THIẾT BỊ'!$B$1:$S$836,12,0),"")</f>
        <v/>
      </c>
      <c r="N550" s="468" t="str">
        <f>IFERROR(VLOOKUP(B550,'03. THIẾT BỊ'!$B$1:$S$836,13,0),"")</f>
        <v>THACO AGRI</v>
      </c>
      <c r="O550" s="470" t="str">
        <f>IFERROR(VLOOKUP(B550,'03. THIẾT BỊ'!$B$1:$S$836,14,0),"")</f>
        <v>XKC-26</v>
      </c>
      <c r="P550" s="468" t="str">
        <f>IFERROR(VLOOKUP(B550,'03. THIẾT BỊ'!$B$1:$S$836,15,0),"")</f>
        <v>CK-CGH</v>
      </c>
      <c r="Q550" s="48">
        <f>IFERROR(VLOOKUP(B550,'03. THIẾT BỊ'!$B$1:$S$836,16,0),"")</f>
        <v>2025</v>
      </c>
      <c r="R550" s="471" t="str">
        <f>IFERROR(VLOOKUP(B550,'03. THIẾT BỊ'!$B$1:$S$836,17,0),"")</f>
        <v/>
      </c>
      <c r="S550" s="468" t="str">
        <f>IFERROR(VLOOKUP(B550,'03. THIẾT BỊ'!$B$1:$S$836,18,0),"")</f>
        <v/>
      </c>
      <c r="T550" s="807">
        <v>0.56</v>
      </c>
    </row>
    <row r="551" ht="15.0" customHeight="1">
      <c r="A551" s="463">
        <f t="shared" si="27"/>
        <v>27</v>
      </c>
      <c r="B551" s="464" t="s">
        <v>4381</v>
      </c>
      <c r="C551" s="869" t="str">
        <f>IFERROR(VLOOKUP(B551,'03. THIẾT BỊ'!$B$1:$S$836,2,0),"")</f>
        <v/>
      </c>
      <c r="D551" s="470" t="str">
        <f>IFERROR(VLOOKUP(B551,'03. THIẾT BỊ'!$B$1:$S$836,3,0),"")</f>
        <v>A23-MKC-029</v>
      </c>
      <c r="E551" s="464" t="str">
        <f>IFERROR(VLOOKUP(B551,'03. THIẾT BỊ'!$B$1:$S$836,4,0),"")</f>
        <v>ĐQSD</v>
      </c>
      <c r="F551" s="464" t="str">
        <f>IFERROR(VLOOKUP(B551,'03. THIẾT BỊ'!$B$1:$S$836,5,0),"")</f>
        <v>Máy kéo chuối (Xăng)</v>
      </c>
      <c r="G551" s="80" t="s">
        <v>6423</v>
      </c>
      <c r="H551" s="463" t="str">
        <f>IFERROR(VLOOKUP(B551,'03. THIẾT BỊ'!$B$1:$S$836,7,0),"")</f>
        <v>XN Chuối DP3</v>
      </c>
      <c r="I551" s="474" t="str">
        <f>IFERROR(VLOOKUP(B551,'03. THIẾT BỊ'!$B$1:$S$836,8,0),"")</f>
        <v>13/10/2025</v>
      </c>
      <c r="J551" s="471"/>
      <c r="K551" s="463" t="str">
        <f>IFERROR(VLOOKUP(B551,'03. THIẾT BỊ'!$B$1:$S$836,10,0),"")</f>
        <v>Bình thường</v>
      </c>
      <c r="L551" s="468" t="str">
        <f>IFERROR(VLOOKUP(B551,'03. THIẾT BỊ'!$B$1:$S$836,11,0),"")</f>
        <v/>
      </c>
      <c r="M551" s="472" t="str">
        <f>IFERROR(VLOOKUP(B551,'03. THIẾT BỊ'!$B$1:$S$836,12,0),"")</f>
        <v/>
      </c>
      <c r="N551" s="468" t="str">
        <f>IFERROR(VLOOKUP(B551,'03. THIẾT BỊ'!$B$1:$S$836,13,0),"")</f>
        <v>THACO AGRI</v>
      </c>
      <c r="O551" s="470" t="str">
        <f>IFERROR(VLOOKUP(B551,'03. THIẾT BỊ'!$B$1:$S$836,14,0),"")</f>
        <v>XKC-31</v>
      </c>
      <c r="P551" s="468" t="str">
        <f>IFERROR(VLOOKUP(B551,'03. THIẾT BỊ'!$B$1:$S$836,15,0),"")</f>
        <v>CK-CGH</v>
      </c>
      <c r="Q551" s="48">
        <f>IFERROR(VLOOKUP(B551,'03. THIẾT BỊ'!$B$1:$S$836,16,0),"")</f>
        <v>2025</v>
      </c>
      <c r="R551" s="471" t="str">
        <f>IFERROR(VLOOKUP(B551,'03. THIẾT BỊ'!$B$1:$S$836,17,0),"")</f>
        <v/>
      </c>
      <c r="S551" s="468" t="str">
        <f>IFERROR(VLOOKUP(B551,'03. THIẾT BỊ'!$B$1:$S$836,18,0),"")</f>
        <v/>
      </c>
      <c r="T551" s="807">
        <v>0.56</v>
      </c>
    </row>
    <row r="552" ht="15.0" customHeight="1">
      <c r="A552" s="463">
        <f t="shared" si="27"/>
        <v>28</v>
      </c>
      <c r="B552" s="464" t="s">
        <v>4385</v>
      </c>
      <c r="C552" s="869" t="str">
        <f>IFERROR(VLOOKUP(B552,'03. THIẾT BỊ'!$B$1:$S$836,2,0),"")</f>
        <v/>
      </c>
      <c r="D552" s="470" t="str">
        <f>IFERROR(VLOOKUP(B552,'03. THIẾT BỊ'!$B$1:$S$836,3,0),"")</f>
        <v>A23-MKC-031</v>
      </c>
      <c r="E552" s="464" t="str">
        <f>IFERROR(VLOOKUP(B552,'03. THIẾT BỊ'!$B$1:$S$836,4,0),"")</f>
        <v>ĐQSD</v>
      </c>
      <c r="F552" s="464" t="str">
        <f>IFERROR(VLOOKUP(B552,'03. THIẾT BỊ'!$B$1:$S$836,5,0),"")</f>
        <v>Máy kéo chuối (Xăng)</v>
      </c>
      <c r="G552" s="80" t="s">
        <v>6423</v>
      </c>
      <c r="H552" s="463" t="str">
        <f>IFERROR(VLOOKUP(B552,'03. THIẾT BỊ'!$B$1:$S$836,7,0),"")</f>
        <v>XN Chuối DP3</v>
      </c>
      <c r="I552" s="474" t="str">
        <f>IFERROR(VLOOKUP(B552,'03. THIẾT BỊ'!$B$1:$S$836,8,0),"")</f>
        <v>20/10/2025</v>
      </c>
      <c r="J552" s="471"/>
      <c r="K552" s="463" t="str">
        <f>IFERROR(VLOOKUP(B552,'03. THIẾT BỊ'!$B$1:$S$836,10,0),"")</f>
        <v>Bình thường</v>
      </c>
      <c r="L552" s="468" t="str">
        <f>IFERROR(VLOOKUP(B552,'03. THIẾT BỊ'!$B$1:$S$836,11,0),"")</f>
        <v/>
      </c>
      <c r="M552" s="472" t="str">
        <f>IFERROR(VLOOKUP(B552,'03. THIẾT BỊ'!$B$1:$S$836,12,0),"")</f>
        <v/>
      </c>
      <c r="N552" s="468" t="str">
        <f>IFERROR(VLOOKUP(B552,'03. THIẾT BỊ'!$B$1:$S$836,13,0),"")</f>
        <v>THACO AGRI</v>
      </c>
      <c r="O552" s="470" t="str">
        <f>IFERROR(VLOOKUP(B552,'03. THIẾT BỊ'!$B$1:$S$836,14,0),"")</f>
        <v>XKC-034</v>
      </c>
      <c r="P552" s="468" t="str">
        <f>IFERROR(VLOOKUP(B552,'03. THIẾT BỊ'!$B$1:$S$836,15,0),"")</f>
        <v>CK-CGH</v>
      </c>
      <c r="Q552" s="48">
        <f>IFERROR(VLOOKUP(B552,'03. THIẾT BỊ'!$B$1:$S$836,16,0),"")</f>
        <v>2025</v>
      </c>
      <c r="R552" s="471" t="str">
        <f>IFERROR(VLOOKUP(B552,'03. THIẾT BỊ'!$B$1:$S$836,17,0),"")</f>
        <v/>
      </c>
      <c r="S552" s="468" t="str">
        <f>IFERROR(VLOOKUP(B552,'03. THIẾT BỊ'!$B$1:$S$836,18,0),"")</f>
        <v/>
      </c>
      <c r="T552" s="807">
        <v>0.56</v>
      </c>
    </row>
    <row r="553" ht="15.0" customHeight="1">
      <c r="A553" s="463">
        <f t="shared" si="27"/>
        <v>29</v>
      </c>
      <c r="B553" s="464" t="s">
        <v>4388</v>
      </c>
      <c r="C553" s="869" t="str">
        <f>IFERROR(VLOOKUP(B553,'03. THIẾT BỊ'!$B$1:$S$836,2,0),"")</f>
        <v/>
      </c>
      <c r="D553" s="470" t="str">
        <f>IFERROR(VLOOKUP(B553,'03. THIẾT BỊ'!$B$1:$S$836,3,0),"")</f>
        <v>A23-MKC-033</v>
      </c>
      <c r="E553" s="464" t="str">
        <f>IFERROR(VLOOKUP(B553,'03. THIẾT BỊ'!$B$1:$S$836,4,0),"")</f>
        <v>ĐQSD</v>
      </c>
      <c r="F553" s="464" t="str">
        <f>IFERROR(VLOOKUP(B553,'03. THIẾT BỊ'!$B$1:$S$836,5,0),"")</f>
        <v>Máy kéo chuối (Xăng)</v>
      </c>
      <c r="G553" s="80" t="s">
        <v>6423</v>
      </c>
      <c r="H553" s="463" t="str">
        <f>IFERROR(VLOOKUP(B553,'03. THIẾT BỊ'!$B$1:$S$836,7,0),"")</f>
        <v>XN Chuối DP3</v>
      </c>
      <c r="I553" s="474" t="str">
        <f>IFERROR(VLOOKUP(B553,'03. THIẾT BỊ'!$B$1:$S$836,8,0),"")</f>
        <v>31/10/2025</v>
      </c>
      <c r="J553" s="471"/>
      <c r="K553" s="463" t="str">
        <f>IFERROR(VLOOKUP(B553,'03. THIẾT BỊ'!$B$1:$S$836,10,0),"")</f>
        <v>Bình thường</v>
      </c>
      <c r="L553" s="468" t="str">
        <f>IFERROR(VLOOKUP(B553,'03. THIẾT BỊ'!$B$1:$S$836,11,0),"")</f>
        <v/>
      </c>
      <c r="M553" s="472" t="str">
        <f>IFERROR(VLOOKUP(B553,'03. THIẾT BỊ'!$B$1:$S$836,12,0),"")</f>
        <v/>
      </c>
      <c r="N553" s="468" t="str">
        <f>IFERROR(VLOOKUP(B553,'03. THIẾT BỊ'!$B$1:$S$836,13,0),"")</f>
        <v>THACO AGRI</v>
      </c>
      <c r="O553" s="470" t="str">
        <f>IFERROR(VLOOKUP(B553,'03. THIẾT BỊ'!$B$1:$S$836,14,0),"")</f>
        <v>XKC-38</v>
      </c>
      <c r="P553" s="468" t="str">
        <f>IFERROR(VLOOKUP(B553,'03. THIẾT BỊ'!$B$1:$S$836,15,0),"")</f>
        <v>CK-CGH</v>
      </c>
      <c r="Q553" s="48">
        <f>IFERROR(VLOOKUP(B553,'03. THIẾT BỊ'!$B$1:$S$836,16,0),"")</f>
        <v>2025</v>
      </c>
      <c r="R553" s="471" t="str">
        <f>IFERROR(VLOOKUP(B553,'03. THIẾT BỊ'!$B$1:$S$836,17,0),"")</f>
        <v/>
      </c>
      <c r="S553" s="468" t="str">
        <f>IFERROR(VLOOKUP(B553,'03. THIẾT BỊ'!$B$1:$S$836,18,0),"")</f>
        <v/>
      </c>
      <c r="T553" s="807">
        <v>0.56</v>
      </c>
    </row>
    <row r="554" ht="15.0" customHeight="1">
      <c r="A554" s="463">
        <f t="shared" si="27"/>
        <v>30</v>
      </c>
      <c r="B554" s="464" t="s">
        <v>4391</v>
      </c>
      <c r="C554" s="869" t="str">
        <f>IFERROR(VLOOKUP(B554,'03. THIẾT BỊ'!$B$1:$S$836,2,0),"")</f>
        <v/>
      </c>
      <c r="D554" s="470" t="str">
        <f>IFERROR(VLOOKUP(B554,'03. THIẾT BỊ'!$B$1:$S$836,3,0),"")</f>
        <v>A23-MKC-035</v>
      </c>
      <c r="E554" s="464" t="str">
        <f>IFERROR(VLOOKUP(B554,'03. THIẾT BỊ'!$B$1:$S$836,4,0),"")</f>
        <v>ĐQSD</v>
      </c>
      <c r="F554" s="464" t="str">
        <f>IFERROR(VLOOKUP(B554,'03. THIẾT BỊ'!$B$1:$S$836,5,0),"")</f>
        <v>Máy kéo chuối (Xăng)</v>
      </c>
      <c r="G554" s="80" t="s">
        <v>6423</v>
      </c>
      <c r="H554" s="463" t="str">
        <f>IFERROR(VLOOKUP(B554,'03. THIẾT BỊ'!$B$1:$S$836,7,0),"")</f>
        <v>XN Chuối DP3</v>
      </c>
      <c r="I554" s="474">
        <f>IFERROR(VLOOKUP(B554,'03. THIẾT BỊ'!$B$1:$S$836,8,0),"")</f>
        <v>45819</v>
      </c>
      <c r="J554" s="471"/>
      <c r="K554" s="463" t="str">
        <f>IFERROR(VLOOKUP(B554,'03. THIẾT BỊ'!$B$1:$S$836,10,0),"")</f>
        <v>Bình thường</v>
      </c>
      <c r="L554" s="468" t="str">
        <f>IFERROR(VLOOKUP(B554,'03. THIẾT BỊ'!$B$1:$S$836,11,0),"")</f>
        <v/>
      </c>
      <c r="M554" s="472" t="str">
        <f>IFERROR(VLOOKUP(B554,'03. THIẾT BỊ'!$B$1:$S$836,12,0),"")</f>
        <v/>
      </c>
      <c r="N554" s="468" t="str">
        <f>IFERROR(VLOOKUP(B554,'03. THIẾT BỊ'!$B$1:$S$836,13,0),"")</f>
        <v>THACO AGRI</v>
      </c>
      <c r="O554" s="470" t="str">
        <f>IFERROR(VLOOKUP(B554,'03. THIẾT BỊ'!$B$1:$S$836,14,0),"")</f>
        <v>XKC-40</v>
      </c>
      <c r="P554" s="468" t="str">
        <f>IFERROR(VLOOKUP(B554,'03. THIẾT BỊ'!$B$1:$S$836,15,0),"")</f>
        <v>CK-CGH</v>
      </c>
      <c r="Q554" s="48">
        <f>IFERROR(VLOOKUP(B554,'03. THIẾT BỊ'!$B$1:$S$836,16,0),"")</f>
        <v>2025</v>
      </c>
      <c r="R554" s="471" t="str">
        <f>IFERROR(VLOOKUP(B554,'03. THIẾT BỊ'!$B$1:$S$836,17,0),"")</f>
        <v/>
      </c>
      <c r="S554" s="468" t="str">
        <f>IFERROR(VLOOKUP(B554,'03. THIẾT BỊ'!$B$1:$S$836,18,0),"")</f>
        <v/>
      </c>
      <c r="T554" s="807">
        <v>0.56</v>
      </c>
    </row>
    <row r="555" ht="15.0" customHeight="1">
      <c r="A555" s="463">
        <f t="shared" si="27"/>
        <v>31</v>
      </c>
      <c r="B555" s="464" t="s">
        <v>4394</v>
      </c>
      <c r="C555" s="869" t="str">
        <f>IFERROR(VLOOKUP(B555,'03. THIẾT BỊ'!$B$1:$S$836,2,0),"")</f>
        <v/>
      </c>
      <c r="D555" s="470" t="str">
        <f>IFERROR(VLOOKUP(B555,'03. THIẾT BỊ'!$B$1:$S$836,3,0),"")</f>
        <v>A23-MKC-041</v>
      </c>
      <c r="E555" s="464" t="str">
        <f>IFERROR(VLOOKUP(B555,'03. THIẾT BỊ'!$B$1:$S$836,4,0),"")</f>
        <v>ĐQSD</v>
      </c>
      <c r="F555" s="464" t="str">
        <f>IFERROR(VLOOKUP(B555,'03. THIẾT BỊ'!$B$1:$S$836,5,0),"")</f>
        <v>Máy kéo chuối (Xăng)</v>
      </c>
      <c r="G555" s="80" t="s">
        <v>6423</v>
      </c>
      <c r="H555" s="463" t="str">
        <f>IFERROR(VLOOKUP(B555,'03. THIẾT BỊ'!$B$1:$S$836,7,0),"")</f>
        <v>XN Chuối DP3</v>
      </c>
      <c r="I555" s="474">
        <f>IFERROR(VLOOKUP(B555,'03. THIẾT BỊ'!$B$1:$S$836,8,0),"")</f>
        <v>46004</v>
      </c>
      <c r="J555" s="471"/>
      <c r="K555" s="463" t="str">
        <f>IFERROR(VLOOKUP(B555,'03. THIẾT BỊ'!$B$1:$S$836,10,0),"")</f>
        <v>Bình thường</v>
      </c>
      <c r="L555" s="468" t="str">
        <f>IFERROR(VLOOKUP(B555,'03. THIẾT BỊ'!$B$1:$S$836,11,0),"")</f>
        <v/>
      </c>
      <c r="M555" s="472" t="str">
        <f>IFERROR(VLOOKUP(B555,'03. THIẾT BỊ'!$B$1:$S$836,12,0),"")</f>
        <v/>
      </c>
      <c r="N555" s="468" t="str">
        <f>IFERROR(VLOOKUP(B555,'03. THIẾT BỊ'!$B$1:$S$836,13,0),"")</f>
        <v>THACO AGRI</v>
      </c>
      <c r="O555" s="470" t="str">
        <f>IFERROR(VLOOKUP(B555,'03. THIẾT BỊ'!$B$1:$S$836,14,0),"")</f>
        <v>XKC-47</v>
      </c>
      <c r="P555" s="468" t="str">
        <f>IFERROR(VLOOKUP(B555,'03. THIẾT BỊ'!$B$1:$S$836,15,0),"")</f>
        <v>CK-CGH</v>
      </c>
      <c r="Q555" s="48">
        <f>IFERROR(VLOOKUP(B555,'03. THIẾT BỊ'!$B$1:$S$836,16,0),"")</f>
        <v>2025</v>
      </c>
      <c r="R555" s="471" t="str">
        <f>IFERROR(VLOOKUP(B555,'03. THIẾT BỊ'!$B$1:$S$836,17,0),"")</f>
        <v>9.5HP</v>
      </c>
      <c r="S555" s="468">
        <f>IFERROR(VLOOKUP(B555,'03. THIẾT BỊ'!$B$1:$S$836,18,0),"")</f>
        <v>47</v>
      </c>
      <c r="T555" s="807">
        <v>0.56</v>
      </c>
    </row>
    <row r="556" ht="15.0" customHeight="1">
      <c r="A556" s="463">
        <f>A548+1</f>
        <v>25</v>
      </c>
      <c r="B556" s="464" t="s">
        <v>4500</v>
      </c>
      <c r="C556" s="869" t="str">
        <f>IFERROR(VLOOKUP(B556,'03. THIẾT BỊ'!$B$1:$S$836,2,0),"")</f>
        <v/>
      </c>
      <c r="D556" s="470" t="str">
        <f>IFERROR(VLOOKUP(B556,'03. THIẾT BỊ'!$B$1:$S$836,3,0),"")</f>
        <v>A24-MKC-004</v>
      </c>
      <c r="E556" s="464" t="str">
        <f>IFERROR(VLOOKUP(B556,'03. THIẾT BỊ'!$B$1:$S$836,4,0),"")</f>
        <v>ĐQSD</v>
      </c>
      <c r="F556" s="464" t="str">
        <f>IFERROR(VLOOKUP(B556,'03. THIẾT BỊ'!$B$1:$S$836,5,0),"")</f>
        <v>Máy kéo chuối (Xăng)</v>
      </c>
      <c r="G556" s="80" t="s">
        <v>6423</v>
      </c>
      <c r="H556" s="463" t="str">
        <f>IFERROR(VLOOKUP(B556,'03. THIẾT BỊ'!$B$1:$S$836,7,0),"")</f>
        <v>XN Chuối LP1</v>
      </c>
      <c r="I556" s="474" t="str">
        <f>IFERROR(VLOOKUP(B556,'03. THIẾT BỊ'!$B$1:$S$836,8,0),"")</f>
        <v>24/01/2025</v>
      </c>
      <c r="J556" s="471"/>
      <c r="K556" s="463" t="str">
        <f>IFERROR(VLOOKUP(B556,'03. THIẾT BỊ'!$B$1:$S$836,10,0),"")</f>
        <v>Bình thường</v>
      </c>
      <c r="L556" s="468" t="str">
        <f>IFERROR(VLOOKUP(B556,'03. THIẾT BỊ'!$B$1:$S$836,11,0),"")</f>
        <v>GC mới</v>
      </c>
      <c r="M556" s="472" t="str">
        <f>IFERROR(VLOOKUP(B556,'03. THIẾT BỊ'!$B$1:$S$836,12,0),"")</f>
        <v/>
      </c>
      <c r="N556" s="468" t="str">
        <f>IFERROR(VLOOKUP(B556,'03. THIẾT BỊ'!$B$1:$S$836,13,0),"")</f>
        <v>THACO AGRI</v>
      </c>
      <c r="O556" s="470" t="str">
        <f>IFERROR(VLOOKUP(B556,'03. THIẾT BỊ'!$B$1:$S$836,14,0),"")</f>
        <v>CGH-MKC-DREAM</v>
      </c>
      <c r="P556" s="468" t="str">
        <f>IFERROR(VLOOKUP(B556,'03. THIẾT BỊ'!$B$1:$S$836,15,0),"")</f>
        <v>CK-CGH</v>
      </c>
      <c r="Q556" s="48">
        <f>IFERROR(VLOOKUP(B556,'03. THIẾT BỊ'!$B$1:$S$836,16,0),"")</f>
        <v>2025</v>
      </c>
      <c r="R556" s="471" t="str">
        <f>IFERROR(VLOOKUP(B556,'03. THIẾT BỊ'!$B$1:$S$836,17,0),"")</f>
        <v>9.25HP</v>
      </c>
      <c r="S556" s="468" t="str">
        <f>IFERROR(VLOOKUP(B556,'03. THIẾT BỊ'!$B$1:$S$836,18,0),"")</f>
        <v>14C04017</v>
      </c>
      <c r="T556" s="807">
        <v>0.56</v>
      </c>
    </row>
    <row r="557" ht="15.0" customHeight="1">
      <c r="A557" s="463">
        <f t="shared" ref="A557:A566" si="28">A556+1</f>
        <v>26</v>
      </c>
      <c r="B557" s="464" t="s">
        <v>4505</v>
      </c>
      <c r="C557" s="869" t="str">
        <f>IFERROR(VLOOKUP(B557,'03. THIẾT BỊ'!$B$1:$S$836,2,0),"")</f>
        <v/>
      </c>
      <c r="D557" s="470" t="str">
        <f>IFERROR(VLOOKUP(B557,'03. THIẾT BỊ'!$B$1:$S$836,3,0),"")</f>
        <v>A24-MKC-007</v>
      </c>
      <c r="E557" s="464" t="str">
        <f>IFERROR(VLOOKUP(B557,'03. THIẾT BỊ'!$B$1:$S$836,4,0),"")</f>
        <v>ĐQSD</v>
      </c>
      <c r="F557" s="464" t="str">
        <f>IFERROR(VLOOKUP(B557,'03. THIẾT BỊ'!$B$1:$S$836,5,0),"")</f>
        <v>Máy kéo chuối (Xăng)</v>
      </c>
      <c r="G557" s="80" t="s">
        <v>6423</v>
      </c>
      <c r="H557" s="463" t="str">
        <f>IFERROR(VLOOKUP(B557,'03. THIẾT BỊ'!$B$1:$S$836,7,0),"")</f>
        <v>XN Chuối LP1</v>
      </c>
      <c r="I557" s="474" t="str">
        <f>IFERROR(VLOOKUP(B557,'03. THIẾT BỊ'!$B$1:$S$836,8,0),"")</f>
        <v>20/03/2025</v>
      </c>
      <c r="J557" s="471"/>
      <c r="K557" s="463" t="str">
        <f>IFERROR(VLOOKUP(B557,'03. THIẾT BỊ'!$B$1:$S$836,10,0),"")</f>
        <v>Bình thường</v>
      </c>
      <c r="L557" s="468" t="str">
        <f>IFERROR(VLOOKUP(B557,'03. THIẾT BỊ'!$B$1:$S$836,11,0),"")</f>
        <v>GC mới</v>
      </c>
      <c r="M557" s="472" t="str">
        <f>IFERROR(VLOOKUP(B557,'03. THIẾT BỊ'!$B$1:$S$836,12,0),"")</f>
        <v/>
      </c>
      <c r="N557" s="468" t="str">
        <f>IFERROR(VLOOKUP(B557,'03. THIẾT BỊ'!$B$1:$S$836,13,0),"")</f>
        <v>THACO AGRI</v>
      </c>
      <c r="O557" s="470" t="str">
        <f>IFERROR(VLOOKUP(B557,'03. THIẾT BỊ'!$B$1:$S$836,14,0),"")</f>
        <v>CGH-MKC-DREAM</v>
      </c>
      <c r="P557" s="468" t="str">
        <f>IFERROR(VLOOKUP(B557,'03. THIẾT BỊ'!$B$1:$S$836,15,0),"")</f>
        <v>CK-CGH</v>
      </c>
      <c r="Q557" s="48">
        <f>IFERROR(VLOOKUP(B557,'03. THIẾT BỊ'!$B$1:$S$836,16,0),"")</f>
        <v>2025</v>
      </c>
      <c r="R557" s="471" t="str">
        <f>IFERROR(VLOOKUP(B557,'03. THIẾT BỊ'!$B$1:$S$836,17,0),"")</f>
        <v>9.25HP</v>
      </c>
      <c r="S557" s="468" t="str">
        <f>IFERROR(VLOOKUP(B557,'03. THIẾT BỊ'!$B$1:$S$836,18,0),"")</f>
        <v>09G72821</v>
      </c>
      <c r="T557" s="807">
        <v>0.56</v>
      </c>
    </row>
    <row r="558" ht="15.0" customHeight="1">
      <c r="A558" s="463">
        <f t="shared" si="28"/>
        <v>27</v>
      </c>
      <c r="B558" s="464" t="s">
        <v>4508</v>
      </c>
      <c r="C558" s="869" t="str">
        <f>IFERROR(VLOOKUP(B558,'03. THIẾT BỊ'!$B$1:$S$836,2,0),"")</f>
        <v/>
      </c>
      <c r="D558" s="470" t="str">
        <f>IFERROR(VLOOKUP(B558,'03. THIẾT BỊ'!$B$1:$S$836,3,0),"")</f>
        <v>A24-MKC-010</v>
      </c>
      <c r="E558" s="464" t="str">
        <f>IFERROR(VLOOKUP(B558,'03. THIẾT BỊ'!$B$1:$S$836,4,0),"")</f>
        <v>ĐQSD</v>
      </c>
      <c r="F558" s="464" t="str">
        <f>IFERROR(VLOOKUP(B558,'03. THIẾT BỊ'!$B$1:$S$836,5,0),"")</f>
        <v>Máy kéo chuối (Xăng)</v>
      </c>
      <c r="G558" s="80" t="s">
        <v>6423</v>
      </c>
      <c r="H558" s="463" t="str">
        <f>IFERROR(VLOOKUP(B558,'03. THIẾT BỊ'!$B$1:$S$836,7,0),"")</f>
        <v>XN Chuối LP1</v>
      </c>
      <c r="I558" s="474" t="str">
        <f>IFERROR(VLOOKUP(B558,'03. THIẾT BỊ'!$B$1:$S$836,8,0),"")</f>
        <v>19/06/2025</v>
      </c>
      <c r="J558" s="471"/>
      <c r="K558" s="463" t="str">
        <f>IFERROR(VLOOKUP(B558,'03. THIẾT BỊ'!$B$1:$S$836,10,0),"")</f>
        <v>Bình thường</v>
      </c>
      <c r="L558" s="468" t="str">
        <f>IFERROR(VLOOKUP(B558,'03. THIẾT BỊ'!$B$1:$S$836,11,0),"")</f>
        <v>GC mới</v>
      </c>
      <c r="M558" s="472" t="str">
        <f>IFERROR(VLOOKUP(B558,'03. THIẾT BỊ'!$B$1:$S$836,12,0),"")</f>
        <v/>
      </c>
      <c r="N558" s="468" t="str">
        <f>IFERROR(VLOOKUP(B558,'03. THIẾT BỊ'!$B$1:$S$836,13,0),"")</f>
        <v>THACO AGRI</v>
      </c>
      <c r="O558" s="470" t="str">
        <f>IFERROR(VLOOKUP(B558,'03. THIẾT BỊ'!$B$1:$S$836,14,0),"")</f>
        <v/>
      </c>
      <c r="P558" s="468" t="str">
        <f>IFERROR(VLOOKUP(B558,'03. THIẾT BỊ'!$B$1:$S$836,15,0),"")</f>
        <v>CK-CGH</v>
      </c>
      <c r="Q558" s="48">
        <f>IFERROR(VLOOKUP(B558,'03. THIẾT BỊ'!$B$1:$S$836,16,0),"")</f>
        <v>2025</v>
      </c>
      <c r="R558" s="471" t="str">
        <f>IFERROR(VLOOKUP(B558,'03. THIẾT BỊ'!$B$1:$S$836,17,0),"")</f>
        <v/>
      </c>
      <c r="S558" s="468" t="str">
        <f>IFERROR(VLOOKUP(B558,'03. THIẾT BỊ'!$B$1:$S$836,18,0),"")</f>
        <v/>
      </c>
      <c r="T558" s="807">
        <v>0.56</v>
      </c>
    </row>
    <row r="559" ht="15.0" customHeight="1">
      <c r="A559" s="463">
        <f t="shared" si="28"/>
        <v>28</v>
      </c>
      <c r="B559" s="464" t="s">
        <v>4510</v>
      </c>
      <c r="C559" s="869" t="str">
        <f>IFERROR(VLOOKUP(B559,'03. THIẾT BỊ'!$B$1:$S$836,2,0),"")</f>
        <v/>
      </c>
      <c r="D559" s="470" t="str">
        <f>IFERROR(VLOOKUP(B559,'03. THIẾT BỊ'!$B$1:$S$836,3,0),"")</f>
        <v>A24-MKC-012</v>
      </c>
      <c r="E559" s="464" t="str">
        <f>IFERROR(VLOOKUP(B559,'03. THIẾT BỊ'!$B$1:$S$836,4,0),"")</f>
        <v>ĐQSD</v>
      </c>
      <c r="F559" s="464" t="str">
        <f>IFERROR(VLOOKUP(B559,'03. THIẾT BỊ'!$B$1:$S$836,5,0),"")</f>
        <v>Máy kéo chuối (Xăng)</v>
      </c>
      <c r="G559" s="80" t="s">
        <v>6423</v>
      </c>
      <c r="H559" s="463" t="str">
        <f>IFERROR(VLOOKUP(B559,'03. THIẾT BỊ'!$B$1:$S$836,7,0),"")</f>
        <v>XN Chuối LP1</v>
      </c>
      <c r="I559" s="474">
        <f>IFERROR(VLOOKUP(B559,'03. THIẾT BỊ'!$B$1:$S$836,8,0),"")</f>
        <v>45725</v>
      </c>
      <c r="J559" s="471"/>
      <c r="K559" s="463" t="str">
        <f>IFERROR(VLOOKUP(B559,'03. THIẾT BỊ'!$B$1:$S$836,10,0),"")</f>
        <v>Bình thường</v>
      </c>
      <c r="L559" s="468" t="str">
        <f>IFERROR(VLOOKUP(B559,'03. THIẾT BỊ'!$B$1:$S$836,11,0),"")</f>
        <v>GC mới</v>
      </c>
      <c r="M559" s="472" t="str">
        <f>IFERROR(VLOOKUP(B559,'03. THIẾT BỊ'!$B$1:$S$836,12,0),"")</f>
        <v/>
      </c>
      <c r="N559" s="468" t="str">
        <f>IFERROR(VLOOKUP(B559,'03. THIẾT BỊ'!$B$1:$S$836,13,0),"")</f>
        <v>THACO AGRI</v>
      </c>
      <c r="O559" s="470" t="str">
        <f>IFERROR(VLOOKUP(B559,'03. THIẾT BỊ'!$B$1:$S$836,14,0),"")</f>
        <v>XKC-016</v>
      </c>
      <c r="P559" s="468" t="str">
        <f>IFERROR(VLOOKUP(B559,'03. THIẾT BỊ'!$B$1:$S$836,15,0),"")</f>
        <v>CK-CGH</v>
      </c>
      <c r="Q559" s="48">
        <f>IFERROR(VLOOKUP(B559,'03. THIẾT BỊ'!$B$1:$S$836,16,0),"")</f>
        <v>2025</v>
      </c>
      <c r="R559" s="471" t="str">
        <f>IFERROR(VLOOKUP(B559,'03. THIẾT BỊ'!$B$1:$S$836,17,0),"")</f>
        <v/>
      </c>
      <c r="S559" s="468">
        <f>IFERROR(VLOOKUP(B559,'03. THIẾT BỊ'!$B$1:$S$836,18,0),"")</f>
        <v>16</v>
      </c>
      <c r="T559" s="807">
        <v>0.56</v>
      </c>
    </row>
    <row r="560" ht="15.0" customHeight="1">
      <c r="A560" s="463">
        <f t="shared" si="28"/>
        <v>29</v>
      </c>
      <c r="B560" s="464" t="s">
        <v>4513</v>
      </c>
      <c r="C560" s="869" t="str">
        <f>IFERROR(VLOOKUP(B560,'03. THIẾT BỊ'!$B$1:$S$836,2,0),"")</f>
        <v/>
      </c>
      <c r="D560" s="470" t="str">
        <f>IFERROR(VLOOKUP(B560,'03. THIẾT BỊ'!$B$1:$S$836,3,0),"")</f>
        <v>A24-MKC-013</v>
      </c>
      <c r="E560" s="464" t="str">
        <f>IFERROR(VLOOKUP(B560,'03. THIẾT BỊ'!$B$1:$S$836,4,0),"")</f>
        <v>ĐQSD</v>
      </c>
      <c r="F560" s="464" t="str">
        <f>IFERROR(VLOOKUP(B560,'03. THIẾT BỊ'!$B$1:$S$836,5,0),"")</f>
        <v>Máy kéo chuối (Xăng)</v>
      </c>
      <c r="G560" s="80" t="s">
        <v>6423</v>
      </c>
      <c r="H560" s="463" t="str">
        <f>IFERROR(VLOOKUP(B560,'03. THIẾT BỊ'!$B$1:$S$836,7,0),"")</f>
        <v>XN Chuối LP1</v>
      </c>
      <c r="I560" s="474">
        <f>IFERROR(VLOOKUP(B560,'03. THIẾT BỊ'!$B$1:$S$836,8,0),"")</f>
        <v>45725</v>
      </c>
      <c r="J560" s="471"/>
      <c r="K560" s="463" t="str">
        <f>IFERROR(VLOOKUP(B560,'03. THIẾT BỊ'!$B$1:$S$836,10,0),"")</f>
        <v>Bình thường</v>
      </c>
      <c r="L560" s="468" t="str">
        <f>IFERROR(VLOOKUP(B560,'03. THIẾT BỊ'!$B$1:$S$836,11,0),"")</f>
        <v>GC mới</v>
      </c>
      <c r="M560" s="472" t="str">
        <f>IFERROR(VLOOKUP(B560,'03. THIẾT BỊ'!$B$1:$S$836,12,0),"")</f>
        <v/>
      </c>
      <c r="N560" s="468" t="str">
        <f>IFERROR(VLOOKUP(B560,'03. THIẾT BỊ'!$B$1:$S$836,13,0),"")</f>
        <v>THACO AGRI</v>
      </c>
      <c r="O560" s="470" t="str">
        <f>IFERROR(VLOOKUP(B560,'03. THIẾT BỊ'!$B$1:$S$836,14,0),"")</f>
        <v>XKC-016</v>
      </c>
      <c r="P560" s="468" t="str">
        <f>IFERROR(VLOOKUP(B560,'03. THIẾT BỊ'!$B$1:$S$836,15,0),"")</f>
        <v>CK-CGH</v>
      </c>
      <c r="Q560" s="48">
        <f>IFERROR(VLOOKUP(B560,'03. THIẾT BỊ'!$B$1:$S$836,16,0),"")</f>
        <v>2025</v>
      </c>
      <c r="R560" s="471" t="str">
        <f>IFERROR(VLOOKUP(B560,'03. THIẾT BỊ'!$B$1:$S$836,17,0),"")</f>
        <v/>
      </c>
      <c r="S560" s="468">
        <f>IFERROR(VLOOKUP(B560,'03. THIẾT BỊ'!$B$1:$S$836,18,0),"")</f>
        <v>17</v>
      </c>
      <c r="T560" s="807">
        <v>0.56</v>
      </c>
    </row>
    <row r="561" ht="15.0" customHeight="1">
      <c r="A561" s="463">
        <f t="shared" si="28"/>
        <v>30</v>
      </c>
      <c r="B561" s="464" t="s">
        <v>4515</v>
      </c>
      <c r="C561" s="869" t="str">
        <f>IFERROR(VLOOKUP(B561,'03. THIẾT BỊ'!$B$1:$S$836,2,0),"")</f>
        <v/>
      </c>
      <c r="D561" s="470" t="str">
        <f>IFERROR(VLOOKUP(B561,'03. THIẾT BỊ'!$B$1:$S$836,3,0),"")</f>
        <v>A24-MKC-014</v>
      </c>
      <c r="E561" s="464" t="str">
        <f>IFERROR(VLOOKUP(B561,'03. THIẾT BỊ'!$B$1:$S$836,4,0),"")</f>
        <v>ĐQSD</v>
      </c>
      <c r="F561" s="464" t="str">
        <f>IFERROR(VLOOKUP(B561,'03. THIẾT BỊ'!$B$1:$S$836,5,0),"")</f>
        <v>Máy kéo chuối (Xăng)</v>
      </c>
      <c r="G561" s="80" t="s">
        <v>6423</v>
      </c>
      <c r="H561" s="463" t="str">
        <f>IFERROR(VLOOKUP(B561,'03. THIẾT BỊ'!$B$1:$S$836,7,0),"")</f>
        <v>XN Chuối LP1</v>
      </c>
      <c r="I561" s="474">
        <f>IFERROR(VLOOKUP(B561,'03. THIẾT BỊ'!$B$1:$S$836,8,0),"")</f>
        <v>45878</v>
      </c>
      <c r="J561" s="471"/>
      <c r="K561" s="463" t="str">
        <f>IFERROR(VLOOKUP(B561,'03. THIẾT BỊ'!$B$1:$S$836,10,0),"")</f>
        <v>Bình thường</v>
      </c>
      <c r="L561" s="468" t="str">
        <f>IFERROR(VLOOKUP(B561,'03. THIẾT BỊ'!$B$1:$S$836,11,0),"")</f>
        <v>GC mới</v>
      </c>
      <c r="M561" s="472" t="str">
        <f>IFERROR(VLOOKUP(B561,'03. THIẾT BỊ'!$B$1:$S$836,12,0),"")</f>
        <v/>
      </c>
      <c r="N561" s="468" t="str">
        <f>IFERROR(VLOOKUP(B561,'03. THIẾT BỊ'!$B$1:$S$836,13,0),"")</f>
        <v>THACO AGRI</v>
      </c>
      <c r="O561" s="470" t="str">
        <f>IFERROR(VLOOKUP(B561,'03. THIẾT BỊ'!$B$1:$S$836,14,0),"")</f>
        <v>XKC-20</v>
      </c>
      <c r="P561" s="468" t="str">
        <f>IFERROR(VLOOKUP(B561,'03. THIẾT BỊ'!$B$1:$S$836,15,0),"")</f>
        <v>CK-CGH</v>
      </c>
      <c r="Q561" s="48">
        <f>IFERROR(VLOOKUP(B561,'03. THIẾT BỊ'!$B$1:$S$836,16,0),"")</f>
        <v>2025</v>
      </c>
      <c r="R561" s="471" t="str">
        <f>IFERROR(VLOOKUP(B561,'03. THIẾT BỊ'!$B$1:$S$836,17,0),"")</f>
        <v/>
      </c>
      <c r="S561" s="468" t="str">
        <f>IFERROR(VLOOKUP(B561,'03. THIẾT BỊ'!$B$1:$S$836,18,0),"")</f>
        <v/>
      </c>
      <c r="T561" s="807">
        <v>0.56</v>
      </c>
    </row>
    <row r="562" ht="15.0" customHeight="1">
      <c r="A562" s="463">
        <f t="shared" si="28"/>
        <v>31</v>
      </c>
      <c r="B562" s="464" t="s">
        <v>4518</v>
      </c>
      <c r="C562" s="869" t="str">
        <f>IFERROR(VLOOKUP(B562,'03. THIẾT BỊ'!$B$1:$S$836,2,0),"")</f>
        <v/>
      </c>
      <c r="D562" s="470" t="str">
        <f>IFERROR(VLOOKUP(B562,'03. THIẾT BỊ'!$B$1:$S$836,3,0),"")</f>
        <v>A24-MKC-016</v>
      </c>
      <c r="E562" s="464" t="str">
        <f>IFERROR(VLOOKUP(B562,'03. THIẾT BỊ'!$B$1:$S$836,4,0),"")</f>
        <v>ĐQSD</v>
      </c>
      <c r="F562" s="464" t="str">
        <f>IFERROR(VLOOKUP(B562,'03. THIẾT BỊ'!$B$1:$S$836,5,0),"")</f>
        <v>Máy kéo chuối (Xăng)</v>
      </c>
      <c r="G562" s="80" t="s">
        <v>6423</v>
      </c>
      <c r="H562" s="463" t="str">
        <f>IFERROR(VLOOKUP(B562,'03. THIẾT BỊ'!$B$1:$S$836,7,0),"")</f>
        <v>XN Chuối LP1</v>
      </c>
      <c r="I562" s="474" t="str">
        <f>IFERROR(VLOOKUP(B562,'03. THIẾT BỊ'!$B$1:$S$836,8,0),"")</f>
        <v>17/09/2025</v>
      </c>
      <c r="J562" s="471"/>
      <c r="K562" s="463" t="str">
        <f>IFERROR(VLOOKUP(B562,'03. THIẾT BỊ'!$B$1:$S$836,10,0),"")</f>
        <v>Bình thường</v>
      </c>
      <c r="L562" s="468" t="str">
        <f>IFERROR(VLOOKUP(B562,'03. THIẾT BỊ'!$B$1:$S$836,11,0),"")</f>
        <v>GC mới</v>
      </c>
      <c r="M562" s="472" t="str">
        <f>IFERROR(VLOOKUP(B562,'03. THIẾT BỊ'!$B$1:$S$836,12,0),"")</f>
        <v/>
      </c>
      <c r="N562" s="468" t="str">
        <f>IFERROR(VLOOKUP(B562,'03. THIẾT BỊ'!$B$1:$S$836,13,0),"")</f>
        <v>THACO AGRI</v>
      </c>
      <c r="O562" s="470" t="str">
        <f>IFERROR(VLOOKUP(B562,'03. THIẾT BỊ'!$B$1:$S$836,14,0),"")</f>
        <v>XKC-21</v>
      </c>
      <c r="P562" s="468" t="str">
        <f>IFERROR(VLOOKUP(B562,'03. THIẾT BỊ'!$B$1:$S$836,15,0),"")</f>
        <v>CK-CGH</v>
      </c>
      <c r="Q562" s="48">
        <f>IFERROR(VLOOKUP(B562,'03. THIẾT BỊ'!$B$1:$S$836,16,0),"")</f>
        <v>2025</v>
      </c>
      <c r="R562" s="471" t="str">
        <f>IFERROR(VLOOKUP(B562,'03. THIẾT BỊ'!$B$1:$S$836,17,0),"")</f>
        <v/>
      </c>
      <c r="S562" s="468" t="str">
        <f>IFERROR(VLOOKUP(B562,'03. THIẾT BỊ'!$B$1:$S$836,18,0),"")</f>
        <v/>
      </c>
      <c r="T562" s="807">
        <v>0.56</v>
      </c>
    </row>
    <row r="563" ht="15.0" customHeight="1">
      <c r="A563" s="463">
        <f t="shared" si="28"/>
        <v>32</v>
      </c>
      <c r="B563" s="464" t="s">
        <v>4521</v>
      </c>
      <c r="C563" s="869" t="str">
        <f>IFERROR(VLOOKUP(B563,'03. THIẾT BỊ'!$B$1:$S$836,2,0),"")</f>
        <v>XD1-MKC-009</v>
      </c>
      <c r="D563" s="470" t="str">
        <f>IFERROR(VLOOKUP(B563,'03. THIẾT BỊ'!$B$1:$S$836,3,0),"")</f>
        <v>A23-MKC-022</v>
      </c>
      <c r="E563" s="464" t="str">
        <f>IFERROR(VLOOKUP(B563,'03. THIẾT BỊ'!$B$1:$S$836,4,0),"")</f>
        <v>ĐQSD</v>
      </c>
      <c r="F563" s="464" t="str">
        <f>IFERROR(VLOOKUP(B563,'03. THIẾT BỊ'!$B$1:$S$836,5,0),"")</f>
        <v>Máy kéo chuối (Xăng)</v>
      </c>
      <c r="G563" s="80" t="s">
        <v>6423</v>
      </c>
      <c r="H563" s="463" t="str">
        <f>IFERROR(VLOOKUP(B563,'03. THIẾT BỊ'!$B$1:$S$836,7,0),"")</f>
        <v>XN Chuối LP1</v>
      </c>
      <c r="I563" s="474">
        <f>IFERROR(VLOOKUP(B563,'03. THIẾT BỊ'!$B$1:$S$836,8,0),"")</f>
        <v>45726</v>
      </c>
      <c r="J563" s="471"/>
      <c r="K563" s="463" t="str">
        <f>IFERROR(VLOOKUP(B563,'03. THIẾT BỊ'!$B$1:$S$836,10,0),"")</f>
        <v>Bình thường</v>
      </c>
      <c r="L563" s="468" t="str">
        <f>IFERROR(VLOOKUP(B563,'03. THIẾT BỊ'!$B$1:$S$836,11,0),"")</f>
        <v>Đchuyen từ DP1 ngày 03/10/2025</v>
      </c>
      <c r="M563" s="472" t="str">
        <f>IFERROR(VLOOKUP(B563,'03. THIẾT BỊ'!$B$1:$S$836,12,0),"")</f>
        <v/>
      </c>
      <c r="N563" s="468" t="str">
        <f>IFERROR(VLOOKUP(B563,'03. THIẾT BỊ'!$B$1:$S$836,13,0),"")</f>
        <v>DREAM</v>
      </c>
      <c r="O563" s="470" t="str">
        <f>IFERROR(VLOOKUP(B563,'03. THIẾT BỊ'!$B$1:$S$836,14,0),"")</f>
        <v>XKC-24</v>
      </c>
      <c r="P563" s="468" t="str">
        <f>IFERROR(VLOOKUP(B563,'03. THIẾT BỊ'!$B$1:$S$836,15,0),"")</f>
        <v>CK-CGH</v>
      </c>
      <c r="Q563" s="48">
        <f>IFERROR(VLOOKUP(B563,'03. THIẾT BỊ'!$B$1:$S$836,16,0),"")</f>
        <v>2025</v>
      </c>
      <c r="R563" s="471" t="str">
        <f>IFERROR(VLOOKUP(B563,'03. THIẾT BỊ'!$B$1:$S$836,17,0),"")</f>
        <v/>
      </c>
      <c r="S563" s="468" t="str">
        <f>IFERROR(VLOOKUP(B563,'03. THIẾT BỊ'!$B$1:$S$836,18,0),"")</f>
        <v/>
      </c>
      <c r="T563" s="807">
        <v>0.56</v>
      </c>
    </row>
    <row r="564" ht="15.0" customHeight="1">
      <c r="A564" s="463">
        <f t="shared" si="28"/>
        <v>33</v>
      </c>
      <c r="B564" s="464" t="s">
        <v>4523</v>
      </c>
      <c r="C564" s="869" t="str">
        <f>IFERROR(VLOOKUP(B564,'03. THIẾT BỊ'!$B$1:$S$836,2,0),"")</f>
        <v/>
      </c>
      <c r="D564" s="470" t="str">
        <f>IFERROR(VLOOKUP(B564,'03. THIẾT BỊ'!$B$1:$S$836,3,0),"")</f>
        <v>A24-MKC-019</v>
      </c>
      <c r="E564" s="464" t="str">
        <f>IFERROR(VLOOKUP(B564,'03. THIẾT BỊ'!$B$1:$S$836,4,0),"")</f>
        <v>ĐQSD</v>
      </c>
      <c r="F564" s="464" t="str">
        <f>IFERROR(VLOOKUP(B564,'03. THIẾT BỊ'!$B$1:$S$836,5,0),"")</f>
        <v>Máy kéo chuối (Xăng)</v>
      </c>
      <c r="G564" s="80" t="s">
        <v>6423</v>
      </c>
      <c r="H564" s="463" t="str">
        <f>IFERROR(VLOOKUP(B564,'03. THIẾT BỊ'!$B$1:$S$836,7,0),"")</f>
        <v>XN Chuối LP1</v>
      </c>
      <c r="I564" s="474" t="str">
        <f>IFERROR(VLOOKUP(B564,'03. THIẾT BỊ'!$B$1:$S$836,8,0),"")</f>
        <v>16/10/2025</v>
      </c>
      <c r="J564" s="471"/>
      <c r="K564" s="463" t="str">
        <f>IFERROR(VLOOKUP(B564,'03. THIẾT BỊ'!$B$1:$S$836,10,0),"")</f>
        <v>Bình thường</v>
      </c>
      <c r="L564" s="468" t="str">
        <f>IFERROR(VLOOKUP(B564,'03. THIẾT BỊ'!$B$1:$S$836,11,0),"")</f>
        <v>GC mới</v>
      </c>
      <c r="M564" s="472" t="str">
        <f>IFERROR(VLOOKUP(B564,'03. THIẾT BỊ'!$B$1:$S$836,12,0),"")</f>
        <v/>
      </c>
      <c r="N564" s="468" t="str">
        <f>IFERROR(VLOOKUP(B564,'03. THIẾT BỊ'!$B$1:$S$836,13,0),"")</f>
        <v>DREAM</v>
      </c>
      <c r="O564" s="470" t="str">
        <f>IFERROR(VLOOKUP(B564,'03. THIẾT BỊ'!$B$1:$S$836,14,0),"")</f>
        <v>XKC-32</v>
      </c>
      <c r="P564" s="468" t="str">
        <f>IFERROR(VLOOKUP(B564,'03. THIẾT BỊ'!$B$1:$S$836,15,0),"")</f>
        <v>CK-CGH</v>
      </c>
      <c r="Q564" s="48">
        <f>IFERROR(VLOOKUP(B564,'03. THIẾT BỊ'!$B$1:$S$836,16,0),"")</f>
        <v>2025</v>
      </c>
      <c r="R564" s="471" t="str">
        <f>IFERROR(VLOOKUP(B564,'03. THIẾT BỊ'!$B$1:$S$836,17,0),"")</f>
        <v/>
      </c>
      <c r="S564" s="468" t="str">
        <f>IFERROR(VLOOKUP(B564,'03. THIẾT BỊ'!$B$1:$S$836,18,0),"")</f>
        <v/>
      </c>
      <c r="T564" s="807">
        <v>0.56</v>
      </c>
    </row>
    <row r="565" ht="15.0" customHeight="1">
      <c r="A565" s="463">
        <f t="shared" si="28"/>
        <v>34</v>
      </c>
      <c r="B565" s="464" t="s">
        <v>4528</v>
      </c>
      <c r="C565" s="869" t="str">
        <f>IFERROR(VLOOKUP(B565,'03. THIẾT BỊ'!$B$1:$S$836,2,0),"")</f>
        <v/>
      </c>
      <c r="D565" s="470" t="str">
        <f>IFERROR(VLOOKUP(B565,'03. THIẾT BỊ'!$B$1:$S$836,3,0),"")</f>
        <v>A24-MKC-020</v>
      </c>
      <c r="E565" s="464" t="str">
        <f>IFERROR(VLOOKUP(B565,'03. THIẾT BỊ'!$B$1:$S$836,4,0),"")</f>
        <v>ĐQSD</v>
      </c>
      <c r="F565" s="464" t="str">
        <f>IFERROR(VLOOKUP(B565,'03. THIẾT BỊ'!$B$1:$S$836,5,0),"")</f>
        <v>Máy kéo chuối (Xăng)</v>
      </c>
      <c r="G565" s="80" t="s">
        <v>6423</v>
      </c>
      <c r="H565" s="463" t="str">
        <f>IFERROR(VLOOKUP(B565,'03. THIẾT BỊ'!$B$1:$S$836,7,0),"")</f>
        <v>XN Chuối LP1</v>
      </c>
      <c r="I565" s="474" t="str">
        <f>IFERROR(VLOOKUP(B565,'03. THIẾT BỊ'!$B$1:$S$836,8,0),"")</f>
        <v>21/10/2025</v>
      </c>
      <c r="J565" s="471"/>
      <c r="K565" s="463" t="str">
        <f>IFERROR(VLOOKUP(B565,'03. THIẾT BỊ'!$B$1:$S$836,10,0),"")</f>
        <v>Bình thường</v>
      </c>
      <c r="L565" s="468" t="str">
        <f>IFERROR(VLOOKUP(B565,'03. THIẾT BỊ'!$B$1:$S$836,11,0),"")</f>
        <v>GC mới</v>
      </c>
      <c r="M565" s="472" t="str">
        <f>IFERROR(VLOOKUP(B565,'03. THIẾT BỊ'!$B$1:$S$836,12,0),"")</f>
        <v/>
      </c>
      <c r="N565" s="468" t="str">
        <f>IFERROR(VLOOKUP(B565,'03. THIẾT BỊ'!$B$1:$S$836,13,0),"")</f>
        <v>DREAM</v>
      </c>
      <c r="O565" s="470" t="str">
        <f>IFERROR(VLOOKUP(B565,'03. THIẾT BỊ'!$B$1:$S$836,14,0),"")</f>
        <v>XKC-35</v>
      </c>
      <c r="P565" s="468" t="str">
        <f>IFERROR(VLOOKUP(B565,'03. THIẾT BỊ'!$B$1:$S$836,15,0),"")</f>
        <v>CK-CGH</v>
      </c>
      <c r="Q565" s="48">
        <f>IFERROR(VLOOKUP(B565,'03. THIẾT BỊ'!$B$1:$S$836,16,0),"")</f>
        <v>2025</v>
      </c>
      <c r="R565" s="471" t="str">
        <f>IFERROR(VLOOKUP(B565,'03. THIẾT BỊ'!$B$1:$S$836,17,0),"")</f>
        <v/>
      </c>
      <c r="S565" s="468" t="str">
        <f>IFERROR(VLOOKUP(B565,'03. THIẾT BỊ'!$B$1:$S$836,18,0),"")</f>
        <v/>
      </c>
      <c r="T565" s="807">
        <v>0.56</v>
      </c>
    </row>
    <row r="566" ht="15.0" customHeight="1">
      <c r="A566" s="463">
        <f t="shared" si="28"/>
        <v>35</v>
      </c>
      <c r="B566" s="464" t="s">
        <v>4532</v>
      </c>
      <c r="C566" s="869" t="str">
        <f>IFERROR(VLOOKUP(B566,'03. THIẾT BỊ'!$B$1:$S$836,2,0),"")</f>
        <v/>
      </c>
      <c r="D566" s="470" t="str">
        <f>IFERROR(VLOOKUP(B566,'03. THIẾT BỊ'!$B$1:$S$836,3,0),"")</f>
        <v>A24-MKC-021</v>
      </c>
      <c r="E566" s="464" t="str">
        <f>IFERROR(VLOOKUP(B566,'03. THIẾT BỊ'!$B$1:$S$836,4,0),"")</f>
        <v>ĐQSD</v>
      </c>
      <c r="F566" s="464" t="str">
        <f>IFERROR(VLOOKUP(B566,'03. THIẾT BỊ'!$B$1:$S$836,5,0),"")</f>
        <v>Máy kéo chuối (Xăng)</v>
      </c>
      <c r="G566" s="80" t="s">
        <v>6423</v>
      </c>
      <c r="H566" s="463" t="str">
        <f>IFERROR(VLOOKUP(B566,'03. THIẾT BỊ'!$B$1:$S$836,7,0),"")</f>
        <v>XN Chuối LP1</v>
      </c>
      <c r="I566" s="474" t="str">
        <f>IFERROR(VLOOKUP(B566,'03. THIẾT BỊ'!$B$1:$S$836,8,0),"")</f>
        <v>21/10/2025</v>
      </c>
      <c r="J566" s="471"/>
      <c r="K566" s="463" t="str">
        <f>IFERROR(VLOOKUP(B566,'03. THIẾT BỊ'!$B$1:$S$836,10,0),"")</f>
        <v>Bình thường</v>
      </c>
      <c r="L566" s="468" t="str">
        <f>IFERROR(VLOOKUP(B566,'03. THIẾT BỊ'!$B$1:$S$836,11,0),"")</f>
        <v>GC mới</v>
      </c>
      <c r="M566" s="472" t="str">
        <f>IFERROR(VLOOKUP(B566,'03. THIẾT BỊ'!$B$1:$S$836,12,0),"")</f>
        <v/>
      </c>
      <c r="N566" s="468" t="str">
        <f>IFERROR(VLOOKUP(B566,'03. THIẾT BỊ'!$B$1:$S$836,13,0),"")</f>
        <v>DREAM</v>
      </c>
      <c r="O566" s="470" t="str">
        <f>IFERROR(VLOOKUP(B566,'03. THIẾT BỊ'!$B$1:$S$836,14,0),"")</f>
        <v>XKC-36</v>
      </c>
      <c r="P566" s="468" t="str">
        <f>IFERROR(VLOOKUP(B566,'03. THIẾT BỊ'!$B$1:$S$836,15,0),"")</f>
        <v>CK-CGH</v>
      </c>
      <c r="Q566" s="48">
        <f>IFERROR(VLOOKUP(B566,'03. THIẾT BỊ'!$B$1:$S$836,16,0),"")</f>
        <v>2025</v>
      </c>
      <c r="R566" s="471" t="str">
        <f>IFERROR(VLOOKUP(B566,'03. THIẾT BỊ'!$B$1:$S$836,17,0),"")</f>
        <v/>
      </c>
      <c r="S566" s="468" t="str">
        <f>IFERROR(VLOOKUP(B566,'03. THIẾT BỊ'!$B$1:$S$836,18,0),"")</f>
        <v/>
      </c>
      <c r="T566" s="807">
        <v>0.56</v>
      </c>
    </row>
    <row r="567" ht="15.0" customHeight="1">
      <c r="A567" s="463">
        <f>A562+1</f>
        <v>32</v>
      </c>
      <c r="B567" s="464" t="s">
        <v>4685</v>
      </c>
      <c r="C567" s="869" t="str">
        <f>IFERROR(VLOOKUP(B567,'03. THIẾT BỊ'!$B$1:$S$836,2,0),"")</f>
        <v>CK-XKC-02</v>
      </c>
      <c r="D567" s="470" t="str">
        <f>IFERROR(VLOOKUP(B567,'03. THIẾT BỊ'!$B$1:$S$836,3,0),"")</f>
        <v>A24-MKC-001</v>
      </c>
      <c r="E567" s="464" t="str">
        <f>IFERROR(VLOOKUP(B567,'03. THIẾT BỊ'!$B$1:$S$836,4,0),"")</f>
        <v>ĐQSD</v>
      </c>
      <c r="F567" s="464" t="str">
        <f>IFERROR(VLOOKUP(B567,'03. THIẾT BỊ'!$B$1:$S$836,5,0),"")</f>
        <v>Máy kéo chuối (Xăng)</v>
      </c>
      <c r="G567" s="80" t="s">
        <v>6423</v>
      </c>
      <c r="H567" s="463" t="str">
        <f>IFERROR(VLOOKUP(B567,'03. THIẾT BỊ'!$B$1:$S$836,7,0),"")</f>
        <v>XN Chuối LP3</v>
      </c>
      <c r="I567" s="474">
        <f>IFERROR(VLOOKUP(B567,'03. THIẾT BỊ'!$B$1:$S$836,8,0),"")</f>
        <v>45359</v>
      </c>
      <c r="J567" s="471"/>
      <c r="K567" s="463" t="str">
        <f>IFERROR(VLOOKUP(B567,'03. THIẾT BỊ'!$B$1:$S$836,10,0),"")</f>
        <v>Bình thường</v>
      </c>
      <c r="L567" s="468" t="str">
        <f>IFERROR(VLOOKUP(B567,'03. THIẾT BỊ'!$B$1:$S$836,11,0),"")</f>
        <v/>
      </c>
      <c r="M567" s="472" t="str">
        <f>IFERROR(VLOOKUP(B567,'03. THIẾT BỊ'!$B$1:$S$836,12,0),"")</f>
        <v>Gia công mới</v>
      </c>
      <c r="N567" s="468" t="str">
        <f>IFERROR(VLOOKUP(B567,'03. THIẾT BỊ'!$B$1:$S$836,13,0),"")</f>
        <v>DREAM</v>
      </c>
      <c r="O567" s="470" t="str">
        <f>IFERROR(VLOOKUP(B567,'03. THIẾT BỊ'!$B$1:$S$836,14,0),"")</f>
        <v>CGH-MKC-DREAM</v>
      </c>
      <c r="P567" s="468" t="str">
        <f>IFERROR(VLOOKUP(B567,'03. THIẾT BỊ'!$B$1:$S$836,15,0),"")</f>
        <v>CK-CGH</v>
      </c>
      <c r="Q567" s="48">
        <f>IFERROR(VLOOKUP(B567,'03. THIẾT BỊ'!$B$1:$S$836,16,0),"")</f>
        <v>2024</v>
      </c>
      <c r="R567" s="471" t="str">
        <f>IFERROR(VLOOKUP(B567,'03. THIẾT BỊ'!$B$1:$S$836,17,0),"")</f>
        <v>125CC-9.25HP</v>
      </c>
      <c r="S567" s="468" t="str">
        <f>IFERROR(VLOOKUP(B567,'03. THIẾT BỊ'!$B$1:$S$836,18,0),"")</f>
        <v/>
      </c>
      <c r="T567" s="807">
        <v>0.56</v>
      </c>
    </row>
    <row r="568" ht="15.0" customHeight="1">
      <c r="A568" s="463">
        <f t="shared" ref="A568:A579" si="29">A567+1</f>
        <v>33</v>
      </c>
      <c r="B568" s="464" t="s">
        <v>4689</v>
      </c>
      <c r="C568" s="869" t="str">
        <f>IFERROR(VLOOKUP(B568,'03. THIẾT BỊ'!$B$1:$S$836,2,0),"")</f>
        <v>CK-XKC-03</v>
      </c>
      <c r="D568" s="470" t="str">
        <f>IFERROR(VLOOKUP(B568,'03. THIẾT BỊ'!$B$1:$S$836,3,0),"")</f>
        <v>A24-MKC-002</v>
      </c>
      <c r="E568" s="464" t="str">
        <f>IFERROR(VLOOKUP(B568,'03. THIẾT BỊ'!$B$1:$S$836,4,0),"")</f>
        <v>ĐQSD</v>
      </c>
      <c r="F568" s="464" t="str">
        <f>IFERROR(VLOOKUP(B568,'03. THIẾT BỊ'!$B$1:$S$836,5,0),"")</f>
        <v>Máy kéo chuối (Xăng)</v>
      </c>
      <c r="G568" s="80" t="s">
        <v>6423</v>
      </c>
      <c r="H568" s="463" t="str">
        <f>IFERROR(VLOOKUP(B568,'03. THIẾT BỊ'!$B$1:$S$836,7,0),"")</f>
        <v>XN Chuối LP3</v>
      </c>
      <c r="I568" s="474" t="str">
        <f>IFERROR(VLOOKUP(B568,'03. THIẾT BỊ'!$B$1:$S$836,8,0),"")</f>
        <v>27/08/2024</v>
      </c>
      <c r="J568" s="471"/>
      <c r="K568" s="463" t="str">
        <f>IFERROR(VLOOKUP(B568,'03. THIẾT BỊ'!$B$1:$S$836,10,0),"")</f>
        <v>Bình thường</v>
      </c>
      <c r="L568" s="468" t="str">
        <f>IFERROR(VLOOKUP(B568,'03. THIẾT BỊ'!$B$1:$S$836,11,0),"")</f>
        <v/>
      </c>
      <c r="M568" s="472" t="str">
        <f>IFERROR(VLOOKUP(B568,'03. THIẾT BỊ'!$B$1:$S$836,12,0),"")</f>
        <v>Gia công mới</v>
      </c>
      <c r="N568" s="468" t="str">
        <f>IFERROR(VLOOKUP(B568,'03. THIẾT BỊ'!$B$1:$S$836,13,0),"")</f>
        <v>DREAM</v>
      </c>
      <c r="O568" s="470" t="str">
        <f>IFERROR(VLOOKUP(B568,'03. THIẾT BỊ'!$B$1:$S$836,14,0),"")</f>
        <v>CGH-MKC-DREAM</v>
      </c>
      <c r="P568" s="468" t="str">
        <f>IFERROR(VLOOKUP(B568,'03. THIẾT BỊ'!$B$1:$S$836,15,0),"")</f>
        <v>CK-CGH</v>
      </c>
      <c r="Q568" s="48">
        <f>IFERROR(VLOOKUP(B568,'03. THIẾT BỊ'!$B$1:$S$836,16,0),"")</f>
        <v>2024</v>
      </c>
      <c r="R568" s="471" t="str">
        <f>IFERROR(VLOOKUP(B568,'03. THIẾT BỊ'!$B$1:$S$836,17,0),"")</f>
        <v>125CC-9.25HP</v>
      </c>
      <c r="S568" s="468" t="str">
        <f>IFERROR(VLOOKUP(B568,'03. THIẾT BỊ'!$B$1:$S$836,18,0),"")</f>
        <v>11F06426</v>
      </c>
      <c r="T568" s="807">
        <v>0.56</v>
      </c>
    </row>
    <row r="569" ht="15.0" customHeight="1">
      <c r="A569" s="463">
        <f t="shared" si="29"/>
        <v>34</v>
      </c>
      <c r="B569" s="464" t="s">
        <v>4694</v>
      </c>
      <c r="C569" s="869" t="str">
        <f>IFERROR(VLOOKUP(B569,'03. THIẾT BỊ'!$B$1:$S$836,2,0),"")</f>
        <v/>
      </c>
      <c r="D569" s="470" t="str">
        <f>IFERROR(VLOOKUP(B569,'03. THIẾT BỊ'!$B$1:$S$836,3,0),"")</f>
        <v>A24-MKC-003</v>
      </c>
      <c r="E569" s="464" t="str">
        <f>IFERROR(VLOOKUP(B569,'03. THIẾT BỊ'!$B$1:$S$836,4,0),"")</f>
        <v>ĐQSD</v>
      </c>
      <c r="F569" s="464" t="str">
        <f>IFERROR(VLOOKUP(B569,'03. THIẾT BỊ'!$B$1:$S$836,5,0),"")</f>
        <v>Máy kéo chuối (Xăng)</v>
      </c>
      <c r="G569" s="80" t="s">
        <v>6423</v>
      </c>
      <c r="H569" s="463" t="str">
        <f>IFERROR(VLOOKUP(B569,'03. THIẾT BỊ'!$B$1:$S$836,7,0),"")</f>
        <v>XN Chuối LP3</v>
      </c>
      <c r="I569" s="474" t="str">
        <f>IFERROR(VLOOKUP(B569,'03. THIẾT BỊ'!$B$1:$S$836,8,0),"")</f>
        <v>23/10/2024</v>
      </c>
      <c r="J569" s="471"/>
      <c r="K569" s="463" t="str">
        <f>IFERROR(VLOOKUP(B569,'03. THIẾT BỊ'!$B$1:$S$836,10,0),"")</f>
        <v>Bình thường</v>
      </c>
      <c r="L569" s="468" t="str">
        <f>IFERROR(VLOOKUP(B569,'03. THIẾT BỊ'!$B$1:$S$836,11,0),"")</f>
        <v/>
      </c>
      <c r="M569" s="472" t="str">
        <f>IFERROR(VLOOKUP(B569,'03. THIẾT BỊ'!$B$1:$S$836,12,0),"")</f>
        <v>Gia công mới</v>
      </c>
      <c r="N569" s="468" t="str">
        <f>IFERROR(VLOOKUP(B569,'03. THIẾT BỊ'!$B$1:$S$836,13,0),"")</f>
        <v>DREAM</v>
      </c>
      <c r="O569" s="470" t="str">
        <f>IFERROR(VLOOKUP(B569,'03. THIẾT BỊ'!$B$1:$S$836,14,0),"")</f>
        <v>CGH-MKC-DREAM</v>
      </c>
      <c r="P569" s="468" t="str">
        <f>IFERROR(VLOOKUP(B569,'03. THIẾT BỊ'!$B$1:$S$836,15,0),"")</f>
        <v>CK-CGH</v>
      </c>
      <c r="Q569" s="48">
        <f>IFERROR(VLOOKUP(B569,'03. THIẾT BỊ'!$B$1:$S$836,16,0),"")</f>
        <v>2024</v>
      </c>
      <c r="R569" s="471" t="str">
        <f>IFERROR(VLOOKUP(B569,'03. THIẾT BỊ'!$B$1:$S$836,17,0),"")</f>
        <v>125CC-9.25HP</v>
      </c>
      <c r="S569" s="468" t="str">
        <f>IFERROR(VLOOKUP(B569,'03. THIẾT BỊ'!$B$1:$S$836,18,0),"")</f>
        <v>13F05237</v>
      </c>
      <c r="T569" s="807">
        <v>0.56</v>
      </c>
    </row>
    <row r="570" ht="15.0" customHeight="1">
      <c r="A570" s="463">
        <f t="shared" si="29"/>
        <v>35</v>
      </c>
      <c r="B570" s="464" t="s">
        <v>4697</v>
      </c>
      <c r="C570" s="869" t="str">
        <f>IFERROR(VLOOKUP(B570,'03. THIẾT BỊ'!$B$1:$S$836,2,0),"")</f>
        <v>CK-MKC-08</v>
      </c>
      <c r="D570" s="470" t="str">
        <f>IFERROR(VLOOKUP(B570,'03. THIẾT BỊ'!$B$1:$S$836,3,0),"")</f>
        <v>A24-MKC-004</v>
      </c>
      <c r="E570" s="464" t="str">
        <f>IFERROR(VLOOKUP(B570,'03. THIẾT BỊ'!$B$1:$S$836,4,0),"")</f>
        <v>ĐQSD</v>
      </c>
      <c r="F570" s="464" t="str">
        <f>IFERROR(VLOOKUP(B570,'03. THIẾT BỊ'!$B$1:$S$836,5,0),"")</f>
        <v>Máy kéo chuối (Xăng)</v>
      </c>
      <c r="G570" s="80" t="s">
        <v>6423</v>
      </c>
      <c r="H570" s="463" t="str">
        <f>IFERROR(VLOOKUP(B570,'03. THIẾT BỊ'!$B$1:$S$836,7,0),"")</f>
        <v>XN Chuối LP3</v>
      </c>
      <c r="I570" s="474" t="str">
        <f>IFERROR(VLOOKUP(B570,'03. THIẾT BỊ'!$B$1:$S$836,8,0),"")</f>
        <v>21/11/2024</v>
      </c>
      <c r="J570" s="471"/>
      <c r="K570" s="463" t="str">
        <f>IFERROR(VLOOKUP(B570,'03. THIẾT BỊ'!$B$1:$S$836,10,0),"")</f>
        <v>Bình thường</v>
      </c>
      <c r="L570" s="468" t="str">
        <f>IFERROR(VLOOKUP(B570,'03. THIẾT BỊ'!$B$1:$S$836,11,0),"")</f>
        <v/>
      </c>
      <c r="M570" s="472" t="str">
        <f>IFERROR(VLOOKUP(B570,'03. THIẾT BỊ'!$B$1:$S$836,12,0),"")</f>
        <v>Gia công mới</v>
      </c>
      <c r="N570" s="468" t="str">
        <f>IFERROR(VLOOKUP(B570,'03. THIẾT BỊ'!$B$1:$S$836,13,0),"")</f>
        <v>DREAM</v>
      </c>
      <c r="O570" s="470" t="str">
        <f>IFERROR(VLOOKUP(B570,'03. THIẾT BỊ'!$B$1:$S$836,14,0),"")</f>
        <v>CGH-MKC-DREAM</v>
      </c>
      <c r="P570" s="468" t="str">
        <f>IFERROR(VLOOKUP(B570,'03. THIẾT BỊ'!$B$1:$S$836,15,0),"")</f>
        <v>CK-CGH</v>
      </c>
      <c r="Q570" s="48">
        <f>IFERROR(VLOOKUP(B570,'03. THIẾT BỊ'!$B$1:$S$836,16,0),"")</f>
        <v>2024</v>
      </c>
      <c r="R570" s="471" t="str">
        <f>IFERROR(VLOOKUP(B570,'03. THIẾT BỊ'!$B$1:$S$836,17,0),"")</f>
        <v>125CC-9.25HP</v>
      </c>
      <c r="S570" s="468" t="str">
        <f>IFERROR(VLOOKUP(B570,'03. THIẾT BỊ'!$B$1:$S$836,18,0),"")</f>
        <v>2D01842</v>
      </c>
      <c r="T570" s="807">
        <v>0.56</v>
      </c>
    </row>
    <row r="571" ht="28.5" customHeight="1">
      <c r="A571" s="463">
        <f t="shared" si="29"/>
        <v>36</v>
      </c>
      <c r="B571" s="464" t="s">
        <v>4701</v>
      </c>
      <c r="C571" s="1361" t="str">
        <f>IFERROR(VLOOKUP(B571,'03. THIẾT BỊ'!$B$1:$S$836,2,0),"")</f>
        <v>XD3-MKC-001</v>
      </c>
      <c r="D571" s="470" t="str">
        <f>IFERROR(VLOOKUP(B571,'03. THIẾT BỊ'!$B$1:$S$836,3,0),"")</f>
        <v>A24-MKC-005</v>
      </c>
      <c r="E571" s="464" t="str">
        <f>IFERROR(VLOOKUP(B571,'03. THIẾT BỊ'!$B$1:$S$836,4,0),"")</f>
        <v>ĐQSD</v>
      </c>
      <c r="F571" s="464" t="str">
        <f>IFERROR(VLOOKUP(B571,'03. THIẾT BỊ'!$B$1:$S$836,5,0),"")</f>
        <v>Máy kéo chuối (Xăng)</v>
      </c>
      <c r="G571" s="80" t="s">
        <v>6423</v>
      </c>
      <c r="H571" s="463" t="str">
        <f>IFERROR(VLOOKUP(B571,'03. THIẾT BỊ'!$B$1:$S$836,7,0),"")</f>
        <v>XN Chuối LP3</v>
      </c>
      <c r="I571" s="474" t="str">
        <f>IFERROR(VLOOKUP(B571,'03. THIẾT BỊ'!$B$1:$S$836,8,0),"")</f>
        <v>27/08/2024</v>
      </c>
      <c r="J571" s="471"/>
      <c r="K571" s="463" t="str">
        <f>IFERROR(VLOOKUP(B571,'03. THIẾT BỊ'!$B$1:$S$836,10,0),"")</f>
        <v>Bình thường</v>
      </c>
      <c r="L571" s="468" t="str">
        <f>IFERROR(VLOOKUP(B571,'03. THIẾT BỊ'!$B$1:$S$836,11,0),"")</f>
        <v>-DP3 dchuyen sang LP3 ngày 21/11/2024</v>
      </c>
      <c r="M571" s="472" t="str">
        <f>IFERROR(VLOOKUP(B571,'03. THIẾT BỊ'!$B$1:$S$836,12,0),"")</f>
        <v>Gia công mới</v>
      </c>
      <c r="N571" s="468" t="str">
        <f>IFERROR(VLOOKUP(B571,'03. THIẾT BỊ'!$B$1:$S$836,13,0),"")</f>
        <v>DREAM</v>
      </c>
      <c r="O571" s="470" t="str">
        <f>IFERROR(VLOOKUP(B571,'03. THIẾT BỊ'!$B$1:$S$836,14,0),"")</f>
        <v>CGH-MKC-DREAM</v>
      </c>
      <c r="P571" s="468" t="str">
        <f>IFERROR(VLOOKUP(B571,'03. THIẾT BỊ'!$B$1:$S$836,15,0),"")</f>
        <v>CK-CGH</v>
      </c>
      <c r="Q571" s="48">
        <f>IFERROR(VLOOKUP(B571,'03. THIẾT BỊ'!$B$1:$S$836,16,0),"")</f>
        <v>2024</v>
      </c>
      <c r="R571" s="471" t="str">
        <f>IFERROR(VLOOKUP(B571,'03. THIẾT BỊ'!$B$1:$S$836,17,0),"")</f>
        <v>125cc</v>
      </c>
      <c r="S571" s="468" t="str">
        <f>IFERROR(VLOOKUP(B571,'03. THIẾT BỊ'!$B$1:$S$836,18,0),"")</f>
        <v>lốc cũ: 12A07675
lốc mới 14.03.2025: 09G72821</v>
      </c>
      <c r="T571" s="807">
        <v>0.56</v>
      </c>
    </row>
    <row r="572" ht="15.0" customHeight="1">
      <c r="A572" s="463">
        <f t="shared" si="29"/>
        <v>37</v>
      </c>
      <c r="B572" s="464" t="s">
        <v>4708</v>
      </c>
      <c r="C572" s="869" t="str">
        <f>IFERROR(VLOOKUP(B572,'03. THIẾT BỊ'!$B$1:$S$836,2,0),"")</f>
        <v/>
      </c>
      <c r="D572" s="470" t="str">
        <f>IFERROR(VLOOKUP(B572,'03. THIẾT BỊ'!$B$1:$S$836,3,0),"")</f>
        <v>A24-MKC-006</v>
      </c>
      <c r="E572" s="464" t="str">
        <f>IFERROR(VLOOKUP(B572,'03. THIẾT BỊ'!$B$1:$S$836,4,0),"")</f>
        <v>ĐQSD</v>
      </c>
      <c r="F572" s="464" t="str">
        <f>IFERROR(VLOOKUP(B572,'03. THIẾT BỊ'!$B$1:$S$836,5,0),"")</f>
        <v>Máy kéo chuối (Xăng)</v>
      </c>
      <c r="G572" s="80" t="s">
        <v>6423</v>
      </c>
      <c r="H572" s="463" t="str">
        <f>IFERROR(VLOOKUP(B572,'03. THIẾT BỊ'!$B$1:$S$836,7,0),"")</f>
        <v>XN Chuối LP3</v>
      </c>
      <c r="I572" s="474">
        <f>IFERROR(VLOOKUP(B572,'03. THIẾT BỊ'!$B$1:$S$836,8,0),"")</f>
        <v>45933</v>
      </c>
      <c r="J572" s="471"/>
      <c r="K572" s="463" t="str">
        <f>IFERROR(VLOOKUP(B572,'03. THIẾT BỊ'!$B$1:$S$836,10,0),"")</f>
        <v>Bình thường</v>
      </c>
      <c r="L572" s="468" t="str">
        <f>IFERROR(VLOOKUP(B572,'03. THIẾT BỊ'!$B$1:$S$836,11,0),"")</f>
        <v/>
      </c>
      <c r="M572" s="472" t="str">
        <f>IFERROR(VLOOKUP(B572,'03. THIẾT BỊ'!$B$1:$S$836,12,0),"")</f>
        <v>Gia công mới</v>
      </c>
      <c r="N572" s="468" t="str">
        <f>IFERROR(VLOOKUP(B572,'03. THIẾT BỊ'!$B$1:$S$836,13,0),"")</f>
        <v>DREAM</v>
      </c>
      <c r="O572" s="470" t="str">
        <f>IFERROR(VLOOKUP(B572,'03. THIẾT BỊ'!$B$1:$S$836,14,0),"")</f>
        <v>CGH-MKC-DREAM</v>
      </c>
      <c r="P572" s="468" t="str">
        <f>IFERROR(VLOOKUP(B572,'03. THIẾT BỊ'!$B$1:$S$836,15,0),"")</f>
        <v>CK-CGH</v>
      </c>
      <c r="Q572" s="48">
        <f>IFERROR(VLOOKUP(B572,'03. THIẾT BỊ'!$B$1:$S$836,16,0),"")</f>
        <v>2025</v>
      </c>
      <c r="R572" s="471" t="str">
        <f>IFERROR(VLOOKUP(B572,'03. THIẾT BỊ'!$B$1:$S$836,17,0),"")</f>
        <v>125cc</v>
      </c>
      <c r="S572" s="468" t="str">
        <f>IFERROR(VLOOKUP(B572,'03. THIẾT BỊ'!$B$1:$S$836,18,0),"")</f>
        <v>12K06124</v>
      </c>
      <c r="T572" s="807">
        <v>0.56</v>
      </c>
    </row>
    <row r="573" ht="15.0" customHeight="1">
      <c r="A573" s="463">
        <f t="shared" si="29"/>
        <v>38</v>
      </c>
      <c r="B573" s="464" t="s">
        <v>4711</v>
      </c>
      <c r="C573" s="869" t="str">
        <f>IFERROR(VLOOKUP(B573,'03. THIẾT BỊ'!$B$1:$S$836,2,0),"")</f>
        <v/>
      </c>
      <c r="D573" s="470" t="str">
        <f>IFERROR(VLOOKUP(B573,'03. THIẾT BỊ'!$B$1:$S$836,3,0),"")</f>
        <v>A24-MKC-009</v>
      </c>
      <c r="E573" s="464" t="str">
        <f>IFERROR(VLOOKUP(B573,'03. THIẾT BỊ'!$B$1:$S$836,4,0),"")</f>
        <v>ĐQSD</v>
      </c>
      <c r="F573" s="464" t="str">
        <f>IFERROR(VLOOKUP(B573,'03. THIẾT BỊ'!$B$1:$S$836,5,0),"")</f>
        <v>Máy kéo chuối (Xăng)</v>
      </c>
      <c r="G573" s="80" t="s">
        <v>6423</v>
      </c>
      <c r="H573" s="463" t="str">
        <f>IFERROR(VLOOKUP(B573,'03. THIẾT BỊ'!$B$1:$S$836,7,0),"")</f>
        <v>XN Chuối LP3</v>
      </c>
      <c r="I573" s="474" t="str">
        <f>IFERROR(VLOOKUP(B573,'03. THIẾT BỊ'!$B$1:$S$836,8,0),"")</f>
        <v>15/06/2025</v>
      </c>
      <c r="J573" s="471"/>
      <c r="K573" s="463" t="str">
        <f>IFERROR(VLOOKUP(B573,'03. THIẾT BỊ'!$B$1:$S$836,10,0),"")</f>
        <v>Bình thường</v>
      </c>
      <c r="L573" s="468" t="str">
        <f>IFERROR(VLOOKUP(B573,'03. THIẾT BỊ'!$B$1:$S$836,11,0),"")</f>
        <v/>
      </c>
      <c r="M573" s="472" t="str">
        <f>IFERROR(VLOOKUP(B573,'03. THIẾT BỊ'!$B$1:$S$836,12,0),"")</f>
        <v>Gia công mới</v>
      </c>
      <c r="N573" s="468" t="str">
        <f>IFERROR(VLOOKUP(B573,'03. THIẾT BỊ'!$B$1:$S$836,13,0),"")</f>
        <v>DREAM</v>
      </c>
      <c r="O573" s="470" t="str">
        <f>IFERROR(VLOOKUP(B573,'03. THIẾT BỊ'!$B$1:$S$836,14,0),"")</f>
        <v>CGH-MKC-DREAM</v>
      </c>
      <c r="P573" s="468" t="str">
        <f>IFERROR(VLOOKUP(B573,'03. THIẾT BỊ'!$B$1:$S$836,15,0),"")</f>
        <v>CK-CGH</v>
      </c>
      <c r="Q573" s="48">
        <f>IFERROR(VLOOKUP(B573,'03. THIẾT BỊ'!$B$1:$S$836,16,0),"")</f>
        <v>2025</v>
      </c>
      <c r="R573" s="471" t="str">
        <f>IFERROR(VLOOKUP(B573,'03. THIẾT BỊ'!$B$1:$S$836,17,0),"")</f>
        <v>125cc</v>
      </c>
      <c r="S573" s="468" t="str">
        <f>IFERROR(VLOOKUP(B573,'03. THIẾT BỊ'!$B$1:$S$836,18,0),"")</f>
        <v/>
      </c>
      <c r="T573" s="807">
        <v>0.56</v>
      </c>
    </row>
    <row r="574" ht="15.0" customHeight="1">
      <c r="A574" s="463">
        <f t="shared" si="29"/>
        <v>39</v>
      </c>
      <c r="B574" s="464" t="s">
        <v>4714</v>
      </c>
      <c r="C574" s="869" t="str">
        <f>IFERROR(VLOOKUP(B574,'03. THIẾT BỊ'!$B$1:$S$836,2,0),"")</f>
        <v/>
      </c>
      <c r="D574" s="470" t="str">
        <f>IFERROR(VLOOKUP(B574,'03. THIẾT BỊ'!$B$1:$S$836,3,0),"")</f>
        <v>A24-MKC-008</v>
      </c>
      <c r="E574" s="464" t="str">
        <f>IFERROR(VLOOKUP(B574,'03. THIẾT BỊ'!$B$1:$S$836,4,0),"")</f>
        <v>ĐQSD</v>
      </c>
      <c r="F574" s="464" t="str">
        <f>IFERROR(VLOOKUP(B574,'03. THIẾT BỊ'!$B$1:$S$836,5,0),"")</f>
        <v>Máy kéo chuối (Xăng)</v>
      </c>
      <c r="G574" s="80" t="s">
        <v>6423</v>
      </c>
      <c r="H574" s="463" t="str">
        <f>IFERROR(VLOOKUP(B574,'03. THIẾT BỊ'!$B$1:$S$836,7,0),"")</f>
        <v>XN Chuối LP3</v>
      </c>
      <c r="I574" s="474" t="str">
        <f>IFERROR(VLOOKUP(B574,'03. THIẾT BỊ'!$B$1:$S$836,8,0),"")</f>
        <v>15/06/2025</v>
      </c>
      <c r="J574" s="471"/>
      <c r="K574" s="463" t="str">
        <f>IFERROR(VLOOKUP(B574,'03. THIẾT BỊ'!$B$1:$S$836,10,0),"")</f>
        <v>Bình thường</v>
      </c>
      <c r="L574" s="468" t="str">
        <f>IFERROR(VLOOKUP(B574,'03. THIẾT BỊ'!$B$1:$S$836,11,0),"")</f>
        <v/>
      </c>
      <c r="M574" s="472" t="str">
        <f>IFERROR(VLOOKUP(B574,'03. THIẾT BỊ'!$B$1:$S$836,12,0),"")</f>
        <v>Gia công mới</v>
      </c>
      <c r="N574" s="468" t="str">
        <f>IFERROR(VLOOKUP(B574,'03. THIẾT BỊ'!$B$1:$S$836,13,0),"")</f>
        <v>DREAM</v>
      </c>
      <c r="O574" s="470" t="str">
        <f>IFERROR(VLOOKUP(B574,'03. THIẾT BỊ'!$B$1:$S$836,14,0),"")</f>
        <v>CGH-MKC-DREAM</v>
      </c>
      <c r="P574" s="468" t="str">
        <f>IFERROR(VLOOKUP(B574,'03. THIẾT BỊ'!$B$1:$S$836,15,0),"")</f>
        <v>CK-CGH</v>
      </c>
      <c r="Q574" s="48">
        <f>IFERROR(VLOOKUP(B574,'03. THIẾT BỊ'!$B$1:$S$836,16,0),"")</f>
        <v>2025</v>
      </c>
      <c r="R574" s="471" t="str">
        <f>IFERROR(VLOOKUP(B574,'03. THIẾT BỊ'!$B$1:$S$836,17,0),"")</f>
        <v>125cc</v>
      </c>
      <c r="S574" s="468" t="str">
        <f>IFERROR(VLOOKUP(B574,'03. THIẾT BỊ'!$B$1:$S$836,18,0),"")</f>
        <v/>
      </c>
      <c r="T574" s="807">
        <v>0.56</v>
      </c>
    </row>
    <row r="575">
      <c r="A575" s="463">
        <f t="shared" si="29"/>
        <v>40</v>
      </c>
      <c r="B575" s="464" t="s">
        <v>4716</v>
      </c>
      <c r="C575" s="869" t="str">
        <f>IFERROR(VLOOKUP(B575,'03. THIẾT BỊ'!$B$1:$S$836,2,0),"")</f>
        <v/>
      </c>
      <c r="D575" s="470" t="str">
        <f>IFERROR(VLOOKUP(B575,'03. THIẾT BỊ'!$B$1:$S$836,3,0),"")</f>
        <v>A24-MKC-011</v>
      </c>
      <c r="E575" s="464" t="str">
        <f>IFERROR(VLOOKUP(B575,'03. THIẾT BỊ'!$B$1:$S$836,4,0),"")</f>
        <v>ĐQSD</v>
      </c>
      <c r="F575" s="464" t="str">
        <f>IFERROR(VLOOKUP(B575,'03. THIẾT BỊ'!$B$1:$S$836,5,0),"")</f>
        <v>Máy kéo chuối (Xăng)</v>
      </c>
      <c r="G575" s="80" t="s">
        <v>6423</v>
      </c>
      <c r="H575" s="463" t="str">
        <f>IFERROR(VLOOKUP(B575,'03. THIẾT BỊ'!$B$1:$S$836,7,0),"")</f>
        <v>XN Chuối LP3</v>
      </c>
      <c r="I575" s="474" t="str">
        <f>IFERROR(VLOOKUP(B575,'03. THIẾT BỊ'!$B$1:$S$836,8,0),"")</f>
        <v>25/08/2025</v>
      </c>
      <c r="J575" s="471"/>
      <c r="K575" s="463" t="str">
        <f>IFERROR(VLOOKUP(B575,'03. THIẾT BỊ'!$B$1:$S$836,10,0),"")</f>
        <v>Bình thường</v>
      </c>
      <c r="L575" s="468" t="str">
        <f>IFERROR(VLOOKUP(B575,'03. THIẾT BỊ'!$B$1:$S$836,11,0),"")</f>
        <v/>
      </c>
      <c r="M575" s="472" t="str">
        <f>IFERROR(VLOOKUP(B575,'03. THIẾT BỊ'!$B$1:$S$836,12,0),"")</f>
        <v>Gia công mới</v>
      </c>
      <c r="N575" s="468" t="str">
        <f>IFERROR(VLOOKUP(B575,'03. THIẾT BỊ'!$B$1:$S$836,13,0),"")</f>
        <v>DREAM</v>
      </c>
      <c r="O575" s="470" t="str">
        <f>IFERROR(VLOOKUP(B575,'03. THIẾT BỊ'!$B$1:$S$836,14,0),"")</f>
        <v>XKC-14</v>
      </c>
      <c r="P575" s="468" t="str">
        <f>IFERROR(VLOOKUP(B575,'03. THIẾT BỊ'!$B$1:$S$836,15,0),"")</f>
        <v>CK-CGH</v>
      </c>
      <c r="Q575" s="48">
        <f>IFERROR(VLOOKUP(B575,'03. THIẾT BỊ'!$B$1:$S$836,16,0),"")</f>
        <v>2025</v>
      </c>
      <c r="R575" s="471" t="str">
        <f>IFERROR(VLOOKUP(B575,'03. THIẾT BỊ'!$B$1:$S$836,17,0),"")</f>
        <v>125cc</v>
      </c>
      <c r="S575" s="468">
        <f>IFERROR(VLOOKUP(B575,'03. THIẾT BỊ'!$B$1:$S$836,18,0),"")</f>
        <v>14</v>
      </c>
      <c r="T575" s="807">
        <v>0.56</v>
      </c>
    </row>
    <row r="576">
      <c r="A576" s="463">
        <f t="shared" si="29"/>
        <v>41</v>
      </c>
      <c r="B576" s="464" t="s">
        <v>4719</v>
      </c>
      <c r="C576" s="869" t="str">
        <f>IFERROR(VLOOKUP(B576,'03. THIẾT BỊ'!$B$1:$S$836,2,0),"")</f>
        <v/>
      </c>
      <c r="D576" s="470" t="str">
        <f>IFERROR(VLOOKUP(B576,'03. THIẾT BỊ'!$B$1:$S$836,3,0),"")</f>
        <v>A24-MKC-015</v>
      </c>
      <c r="E576" s="464" t="str">
        <f>IFERROR(VLOOKUP(B576,'03. THIẾT BỊ'!$B$1:$S$836,4,0),"")</f>
        <v>ĐQSD</v>
      </c>
      <c r="F576" s="464" t="str">
        <f>IFERROR(VLOOKUP(B576,'03. THIẾT BỊ'!$B$1:$S$836,5,0),"")</f>
        <v>Máy kéo chuối (Xăng)</v>
      </c>
      <c r="G576" s="80" t="s">
        <v>6423</v>
      </c>
      <c r="H576" s="463" t="str">
        <f>IFERROR(VLOOKUP(B576,'03. THIẾT BỊ'!$B$1:$S$836,7,0),"")</f>
        <v>XN Chuối LP3</v>
      </c>
      <c r="I576" s="474" t="str">
        <f>IFERROR(VLOOKUP(B576,'03. THIẾT BỊ'!$B$1:$S$836,8,0),"")</f>
        <v>15/09/2025</v>
      </c>
      <c r="J576" s="471"/>
      <c r="K576" s="463" t="str">
        <f>IFERROR(VLOOKUP(B576,'03. THIẾT BỊ'!$B$1:$S$836,10,0),"")</f>
        <v>Bình thường</v>
      </c>
      <c r="L576" s="468" t="str">
        <f>IFERROR(VLOOKUP(B576,'03. THIẾT BỊ'!$B$1:$S$836,11,0),"")</f>
        <v/>
      </c>
      <c r="M576" s="472" t="str">
        <f>IFERROR(VLOOKUP(B576,'03. THIẾT BỊ'!$B$1:$S$836,12,0),"")</f>
        <v>Gia công mới</v>
      </c>
      <c r="N576" s="468" t="str">
        <f>IFERROR(VLOOKUP(B576,'03. THIẾT BỊ'!$B$1:$S$836,13,0),"")</f>
        <v>DREAM</v>
      </c>
      <c r="O576" s="470" t="str">
        <f>IFERROR(VLOOKUP(B576,'03. THIẾT BỊ'!$B$1:$S$836,14,0),"")</f>
        <v>XKC-22</v>
      </c>
      <c r="P576" s="468" t="str">
        <f>IFERROR(VLOOKUP(B576,'03. THIẾT BỊ'!$B$1:$S$836,15,0),"")</f>
        <v>CK-CGH</v>
      </c>
      <c r="Q576" s="48">
        <f>IFERROR(VLOOKUP(B576,'03. THIẾT BỊ'!$B$1:$S$836,16,0),"")</f>
        <v>2025</v>
      </c>
      <c r="R576" s="471" t="str">
        <f>IFERROR(VLOOKUP(B576,'03. THIẾT BỊ'!$B$1:$S$836,17,0),"")</f>
        <v>125cc</v>
      </c>
      <c r="S576" s="468" t="str">
        <f>IFERROR(VLOOKUP(B576,'03. THIẾT BỊ'!$B$1:$S$836,18,0),"")</f>
        <v/>
      </c>
      <c r="T576" s="807">
        <v>0.56</v>
      </c>
    </row>
    <row r="577">
      <c r="A577" s="463">
        <f t="shared" si="29"/>
        <v>42</v>
      </c>
      <c r="B577" s="464" t="s">
        <v>4723</v>
      </c>
      <c r="C577" s="869" t="str">
        <f>IFERROR(VLOOKUP(B577,'03. THIẾT BỊ'!$B$1:$S$836,2,0),"")</f>
        <v/>
      </c>
      <c r="D577" s="470" t="str">
        <f>IFERROR(VLOOKUP(B577,'03. THIẾT BỊ'!$B$1:$S$836,3,0),"")</f>
        <v>A24-MKC-017</v>
      </c>
      <c r="E577" s="464" t="str">
        <f>IFERROR(VLOOKUP(B577,'03. THIẾT BỊ'!$B$1:$S$836,4,0),"")</f>
        <v>ĐQSD</v>
      </c>
      <c r="F577" s="464" t="str">
        <f>IFERROR(VLOOKUP(B577,'03. THIẾT BỊ'!$B$1:$S$836,5,0),"")</f>
        <v>Máy kéo chuối (Xăng)</v>
      </c>
      <c r="G577" s="80" t="s">
        <v>6423</v>
      </c>
      <c r="H577" s="463" t="str">
        <f>IFERROR(VLOOKUP(B577,'03. THIẾT BỊ'!$B$1:$S$836,7,0),"")</f>
        <v>XN Chuối LP3</v>
      </c>
      <c r="I577" s="474">
        <f>IFERROR(VLOOKUP(B577,'03. THIẾT BỊ'!$B$1:$S$836,8,0),"")</f>
        <v>45848</v>
      </c>
      <c r="J577" s="471"/>
      <c r="K577" s="463" t="str">
        <f>IFERROR(VLOOKUP(B577,'03. THIẾT BỊ'!$B$1:$S$836,10,0),"")</f>
        <v>Bình thường</v>
      </c>
      <c r="L577" s="468" t="str">
        <f>IFERROR(VLOOKUP(B577,'03. THIẾT BỊ'!$B$1:$S$836,11,0),"")</f>
        <v/>
      </c>
      <c r="M577" s="472" t="str">
        <f>IFERROR(VLOOKUP(B577,'03. THIẾT BỊ'!$B$1:$S$836,12,0),"")</f>
        <v>Gia công mới</v>
      </c>
      <c r="N577" s="468" t="str">
        <f>IFERROR(VLOOKUP(B577,'03. THIẾT BỊ'!$B$1:$S$836,13,0),"")</f>
        <v>DREAM</v>
      </c>
      <c r="O577" s="470" t="str">
        <f>IFERROR(VLOOKUP(B577,'03. THIẾT BỊ'!$B$1:$S$836,14,0),"")</f>
        <v>XKC-29</v>
      </c>
      <c r="P577" s="468" t="str">
        <f>IFERROR(VLOOKUP(B577,'03. THIẾT BỊ'!$B$1:$S$836,15,0),"")</f>
        <v>CK-CGH</v>
      </c>
      <c r="Q577" s="48">
        <f>IFERROR(VLOOKUP(B577,'03. THIẾT BỊ'!$B$1:$S$836,16,0),"")</f>
        <v>2025</v>
      </c>
      <c r="R577" s="471" t="str">
        <f>IFERROR(VLOOKUP(B577,'03. THIẾT BỊ'!$B$1:$S$836,17,0),"")</f>
        <v>125cc</v>
      </c>
      <c r="S577" s="468" t="str">
        <f>IFERROR(VLOOKUP(B577,'03. THIẾT BỊ'!$B$1:$S$836,18,0),"")</f>
        <v/>
      </c>
      <c r="T577" s="807">
        <v>0.56</v>
      </c>
    </row>
    <row r="578">
      <c r="A578" s="463">
        <f t="shared" si="29"/>
        <v>43</v>
      </c>
      <c r="B578" s="464" t="s">
        <v>4726</v>
      </c>
      <c r="C578" s="869" t="str">
        <f>IFERROR(VLOOKUP(B578,'03. THIẾT BỊ'!$B$1:$S$836,2,0),"")</f>
        <v/>
      </c>
      <c r="D578" s="470" t="str">
        <f>IFERROR(VLOOKUP(B578,'03. THIẾT BỊ'!$B$1:$S$836,3,0),"")</f>
        <v>A24-MKC-018</v>
      </c>
      <c r="E578" s="464" t="str">
        <f>IFERROR(VLOOKUP(B578,'03. THIẾT BỊ'!$B$1:$S$836,4,0),"")</f>
        <v>ĐQSD</v>
      </c>
      <c r="F578" s="464" t="str">
        <f>IFERROR(VLOOKUP(B578,'03. THIẾT BỊ'!$B$1:$S$836,5,0),"")</f>
        <v>Máy kéo chuối (Điện)</v>
      </c>
      <c r="G578" s="80" t="s">
        <v>6423</v>
      </c>
      <c r="H578" s="463" t="str">
        <f>IFERROR(VLOOKUP(B578,'03. THIẾT BỊ'!$B$1:$S$836,7,0),"")</f>
        <v>XN Chuối LP3</v>
      </c>
      <c r="I578" s="474" t="str">
        <f>IFERROR(VLOOKUP(B578,'03. THIẾT BỊ'!$B$1:$S$836,8,0),"")</f>
        <v>29/10/2025</v>
      </c>
      <c r="J578" s="471"/>
      <c r="K578" s="463" t="str">
        <f>IFERROR(VLOOKUP(B578,'03. THIẾT BỊ'!$B$1:$S$836,10,0),"")</f>
        <v>Bình thường</v>
      </c>
      <c r="L578" s="468" t="str">
        <f>IFERROR(VLOOKUP(B578,'03. THIẾT BỊ'!$B$1:$S$836,11,0),"")</f>
        <v/>
      </c>
      <c r="M578" s="472" t="str">
        <f>IFERROR(VLOOKUP(B578,'03. THIẾT BỊ'!$B$1:$S$836,12,0),"")</f>
        <v>Gia công mới</v>
      </c>
      <c r="N578" s="468" t="str">
        <f>IFERROR(VLOOKUP(B578,'03. THIẾT BỊ'!$B$1:$S$836,13,0),"")</f>
        <v>ĐC ĐIỆN</v>
      </c>
      <c r="O578" s="470" t="str">
        <f>IFERROR(VLOOKUP(B578,'03. THIẾT BỊ'!$B$1:$S$836,14,0),"")</f>
        <v/>
      </c>
      <c r="P578" s="468" t="str">
        <f>IFERROR(VLOOKUP(B578,'03. THIẾT BỊ'!$B$1:$S$836,15,0),"")</f>
        <v/>
      </c>
      <c r="Q578" s="48">
        <f>IFERROR(VLOOKUP(B578,'03. THIẾT BỊ'!$B$1:$S$836,16,0),"")</f>
        <v>2025</v>
      </c>
      <c r="R578" s="471" t="str">
        <f>IFERROR(VLOOKUP(B578,'03. THIẾT BỊ'!$B$1:$S$836,17,0),"")</f>
        <v>1500W</v>
      </c>
      <c r="S578" s="468" t="str">
        <f>IFERROR(VLOOKUP(B578,'03. THIẾT BỊ'!$B$1:$S$836,18,0),"")</f>
        <v>60A-4CÁI</v>
      </c>
      <c r="T578" s="807">
        <v>0.56</v>
      </c>
    </row>
    <row r="579">
      <c r="A579" s="463">
        <f t="shared" si="29"/>
        <v>44</v>
      </c>
      <c r="B579" s="464" t="s">
        <v>4730</v>
      </c>
      <c r="C579" s="869" t="str">
        <f>IFERROR(VLOOKUP(B579,'03. THIẾT BỊ'!$B$1:$S$836,2,0),"")</f>
        <v/>
      </c>
      <c r="D579" s="470" t="str">
        <f>IFERROR(VLOOKUP(B579,'03. THIẾT BỊ'!$B$1:$S$836,3,0),"")</f>
        <v>A24-MKC-022</v>
      </c>
      <c r="E579" s="464" t="str">
        <f>IFERROR(VLOOKUP(B579,'03. THIẾT BỊ'!$B$1:$S$836,4,0),"")</f>
        <v>ĐQSD</v>
      </c>
      <c r="F579" s="464" t="str">
        <f>IFERROR(VLOOKUP(B579,'03. THIẾT BỊ'!$B$1:$S$836,5,0),"")</f>
        <v>Máy kéo chuối (Xăng)</v>
      </c>
      <c r="G579" s="80" t="s">
        <v>6423</v>
      </c>
      <c r="H579" s="463" t="str">
        <f>IFERROR(VLOOKUP(B579,'03. THIẾT BỊ'!$B$1:$S$836,7,0),"")</f>
        <v>XN Chuối LP3</v>
      </c>
      <c r="I579" s="474">
        <f>IFERROR(VLOOKUP(B579,'03. THIẾT BỊ'!$B$1:$S$836,8,0),"")</f>
        <v>45880</v>
      </c>
      <c r="J579" s="471"/>
      <c r="K579" s="463" t="str">
        <f>IFERROR(VLOOKUP(B579,'03. THIẾT BỊ'!$B$1:$S$836,10,0),"")</f>
        <v>Bình thường</v>
      </c>
      <c r="L579" s="468" t="str">
        <f>IFERROR(VLOOKUP(B579,'03. THIẾT BỊ'!$B$1:$S$836,11,0),"")</f>
        <v/>
      </c>
      <c r="M579" s="472" t="str">
        <f>IFERROR(VLOOKUP(B579,'03. THIẾT BỊ'!$B$1:$S$836,12,0),"")</f>
        <v>Gia công mới</v>
      </c>
      <c r="N579" s="468" t="str">
        <f>IFERROR(VLOOKUP(B579,'03. THIẾT BỊ'!$B$1:$S$836,13,0),"")</f>
        <v>DREAM</v>
      </c>
      <c r="O579" s="470" t="str">
        <f>IFERROR(VLOOKUP(B579,'03. THIẾT BỊ'!$B$1:$S$836,14,0),"")</f>
        <v>XKC-41</v>
      </c>
      <c r="P579" s="468" t="str">
        <f>IFERROR(VLOOKUP(B579,'03. THIẾT BỊ'!$B$1:$S$836,15,0),"")</f>
        <v>CK-CGH</v>
      </c>
      <c r="Q579" s="48">
        <f>IFERROR(VLOOKUP(B579,'03. THIẾT BỊ'!$B$1:$S$836,16,0),"")</f>
        <v>2025</v>
      </c>
      <c r="R579" s="471" t="str">
        <f>IFERROR(VLOOKUP(B579,'03. THIẾT BỊ'!$B$1:$S$836,17,0),"")</f>
        <v>125cc</v>
      </c>
      <c r="S579" s="468" t="str">
        <f>IFERROR(VLOOKUP(B579,'03. THIẾT BỊ'!$B$1:$S$836,18,0),"")</f>
        <v/>
      </c>
      <c r="T579" s="807">
        <v>0.56</v>
      </c>
    </row>
    <row r="580">
      <c r="C580" s="869" t="str">
        <f>IFERROR(VLOOKUP(B580,'03. THIẾT BỊ'!$B$1:$S$836,2,0),"")</f>
        <v/>
      </c>
      <c r="D580" s="470" t="str">
        <f>IFERROR(VLOOKUP(B580,'03. THIẾT BỊ'!$B$1:$S$836,3,0),"")</f>
        <v/>
      </c>
      <c r="E580" s="464" t="str">
        <f>IFERROR(VLOOKUP(B580,'03. THIẾT BỊ'!$B$1:$S$836,4,0),"")</f>
        <v/>
      </c>
      <c r="F580" s="464" t="str">
        <f>IFERROR(VLOOKUP(B580,'03. THIẾT BỊ'!$B$1:$S$836,5,0),"")</f>
        <v/>
      </c>
      <c r="G580" s="80" t="s">
        <v>6423</v>
      </c>
      <c r="H580" s="463" t="str">
        <f>IFERROR(VLOOKUP(B580,'03. THIẾT BỊ'!$B$1:$S$836,7,0),"")</f>
        <v/>
      </c>
      <c r="I580" s="474" t="str">
        <f>IFERROR(VLOOKUP(B580,'03. THIẾT BỊ'!$B$1:$S$836,8,0),"")</f>
        <v/>
      </c>
      <c r="J580" s="471"/>
      <c r="K580" s="463" t="str">
        <f>IFERROR(VLOOKUP(B580,'03. THIẾT BỊ'!$B$1:$S$836,10,0),"")</f>
        <v/>
      </c>
      <c r="L580" s="468" t="str">
        <f>IFERROR(VLOOKUP(B580,'03. THIẾT BỊ'!$B$1:$S$836,11,0),"")</f>
        <v/>
      </c>
      <c r="M580" s="472" t="str">
        <f>IFERROR(VLOOKUP(B580,'03. THIẾT BỊ'!$B$1:$S$836,12,0),"")</f>
        <v/>
      </c>
      <c r="N580" s="468" t="str">
        <f>IFERROR(VLOOKUP(B580,'03. THIẾT BỊ'!$B$1:$S$836,13,0),"")</f>
        <v/>
      </c>
      <c r="O580" s="470" t="str">
        <f>IFERROR(VLOOKUP(B580,'03. THIẾT BỊ'!$B$1:$S$836,14,0),"")</f>
        <v/>
      </c>
      <c r="P580" s="468" t="str">
        <f>IFERROR(VLOOKUP(B580,'03. THIẾT BỊ'!$B$1:$S$836,15,0),"")</f>
        <v/>
      </c>
      <c r="Q580" s="48" t="str">
        <f>IFERROR(VLOOKUP(B580,'03. THIẾT BỊ'!$B$1:$S$836,16,0),"")</f>
        <v/>
      </c>
      <c r="R580" s="471" t="str">
        <f>IFERROR(VLOOKUP(B580,'03. THIẾT BỊ'!$B$1:$S$836,17,0),"")</f>
        <v/>
      </c>
      <c r="S580" s="468" t="str">
        <f>IFERROR(VLOOKUP(B580,'03. THIẾT BỊ'!$B$1:$S$836,18,0),"")</f>
        <v/>
      </c>
    </row>
    <row r="581">
      <c r="C581" s="869" t="str">
        <f>IFERROR(VLOOKUP(B581,'03. THIẾT BỊ'!$B$1:$S$836,2,0),"")</f>
        <v/>
      </c>
      <c r="D581" s="470" t="str">
        <f>IFERROR(VLOOKUP(B581,'03. THIẾT BỊ'!$B$1:$S$836,3,0),"")</f>
        <v/>
      </c>
      <c r="E581" s="464" t="str">
        <f>IFERROR(VLOOKUP(B581,'03. THIẾT BỊ'!$B$1:$S$836,4,0),"")</f>
        <v/>
      </c>
      <c r="F581" s="464" t="str">
        <f>IFERROR(VLOOKUP(B581,'03. THIẾT BỊ'!$B$1:$S$836,5,0),"")</f>
        <v/>
      </c>
      <c r="G581" s="80" t="s">
        <v>6423</v>
      </c>
      <c r="H581" s="463" t="str">
        <f>IFERROR(VLOOKUP(B581,'03. THIẾT BỊ'!$B$1:$S$836,7,0),"")</f>
        <v/>
      </c>
      <c r="I581" s="474" t="str">
        <f>IFERROR(VLOOKUP(B581,'03. THIẾT BỊ'!$B$1:$S$836,8,0),"")</f>
        <v/>
      </c>
      <c r="J581" s="471"/>
      <c r="K581" s="463" t="str">
        <f>IFERROR(VLOOKUP(B581,'03. THIẾT BỊ'!$B$1:$S$836,10,0),"")</f>
        <v/>
      </c>
      <c r="L581" s="468" t="str">
        <f>IFERROR(VLOOKUP(B581,'03. THIẾT BỊ'!$B$1:$S$836,11,0),"")</f>
        <v/>
      </c>
      <c r="M581" s="472" t="str">
        <f>IFERROR(VLOOKUP(B581,'03. THIẾT BỊ'!$B$1:$S$836,12,0),"")</f>
        <v/>
      </c>
      <c r="N581" s="468" t="str">
        <f>IFERROR(VLOOKUP(B581,'03. THIẾT BỊ'!$B$1:$S$836,13,0),"")</f>
        <v/>
      </c>
      <c r="O581" s="470" t="str">
        <f>IFERROR(VLOOKUP(B581,'03. THIẾT BỊ'!$B$1:$S$836,14,0),"")</f>
        <v/>
      </c>
      <c r="P581" s="468" t="str">
        <f>IFERROR(VLOOKUP(B581,'03. THIẾT BỊ'!$B$1:$S$836,15,0),"")</f>
        <v/>
      </c>
      <c r="Q581" s="48" t="str">
        <f>IFERROR(VLOOKUP(B581,'03. THIẾT BỊ'!$B$1:$S$836,16,0),"")</f>
        <v/>
      </c>
      <c r="R581" s="471" t="str">
        <f>IFERROR(VLOOKUP(B581,'03. THIẾT BỊ'!$B$1:$S$836,17,0),"")</f>
        <v/>
      </c>
      <c r="S581" s="468" t="str">
        <f>IFERROR(VLOOKUP(B581,'03. THIẾT BỊ'!$B$1:$S$836,18,0),"")</f>
        <v/>
      </c>
    </row>
    <row r="582">
      <c r="C582" s="869" t="str">
        <f>IFERROR(VLOOKUP(B582,'03. THIẾT BỊ'!$B$1:$S$836,2,0),"")</f>
        <v/>
      </c>
      <c r="D582" s="470" t="str">
        <f>IFERROR(VLOOKUP(B582,'03. THIẾT BỊ'!$B$1:$S$836,3,0),"")</f>
        <v/>
      </c>
      <c r="E582" s="464" t="str">
        <f>IFERROR(VLOOKUP(B582,'03. THIẾT BỊ'!$B$1:$S$836,4,0),"")</f>
        <v/>
      </c>
      <c r="F582" s="464" t="str">
        <f>IFERROR(VLOOKUP(B582,'03. THIẾT BỊ'!$B$1:$S$836,5,0),"")</f>
        <v/>
      </c>
      <c r="G582" s="80" t="s">
        <v>6423</v>
      </c>
      <c r="H582" s="463" t="str">
        <f>IFERROR(VLOOKUP(B582,'03. THIẾT BỊ'!$B$1:$S$836,7,0),"")</f>
        <v/>
      </c>
      <c r="I582" s="474" t="str">
        <f>IFERROR(VLOOKUP(B582,'03. THIẾT BỊ'!$B$1:$S$836,8,0),"")</f>
        <v/>
      </c>
      <c r="J582" s="471"/>
      <c r="K582" s="463" t="str">
        <f>IFERROR(VLOOKUP(B582,'03. THIẾT BỊ'!$B$1:$S$836,10,0),"")</f>
        <v/>
      </c>
      <c r="L582" s="468" t="str">
        <f>IFERROR(VLOOKUP(B582,'03. THIẾT BỊ'!$B$1:$S$836,11,0),"")</f>
        <v/>
      </c>
      <c r="M582" s="472" t="str">
        <f>IFERROR(VLOOKUP(B582,'03. THIẾT BỊ'!$B$1:$S$836,12,0),"")</f>
        <v/>
      </c>
      <c r="N582" s="468" t="str">
        <f>IFERROR(VLOOKUP(B582,'03. THIẾT BỊ'!$B$1:$S$836,13,0),"")</f>
        <v/>
      </c>
      <c r="O582" s="470" t="str">
        <f>IFERROR(VLOOKUP(B582,'03. THIẾT BỊ'!$B$1:$S$836,14,0),"")</f>
        <v/>
      </c>
      <c r="P582" s="468" t="str">
        <f>IFERROR(VLOOKUP(B582,'03. THIẾT BỊ'!$B$1:$S$836,15,0),"")</f>
        <v/>
      </c>
      <c r="Q582" s="48" t="str">
        <f>IFERROR(VLOOKUP(B582,'03. THIẾT BỊ'!$B$1:$S$836,16,0),"")</f>
        <v/>
      </c>
      <c r="R582" s="471" t="str">
        <f>IFERROR(VLOOKUP(B582,'03. THIẾT BỊ'!$B$1:$S$836,17,0),"")</f>
        <v/>
      </c>
      <c r="S582" s="468" t="str">
        <f>IFERROR(VLOOKUP(B582,'03. THIẾT BỊ'!$B$1:$S$836,18,0),"")</f>
        <v/>
      </c>
    </row>
    <row r="583" ht="15.0" customHeight="1">
      <c r="A583" s="455" t="s">
        <v>76</v>
      </c>
      <c r="B583" s="456" t="s">
        <v>8709</v>
      </c>
      <c r="C583" s="457">
        <f>COUNTA(B584:B641)</f>
        <v>57</v>
      </c>
      <c r="D583" s="458" t="str">
        <f>IFERROR(VLOOKUP(B583,'03. THIẾT BỊ'!$B$1:$S$836,3,0),"")</f>
        <v/>
      </c>
      <c r="E583" s="464" t="str">
        <f>IFERROR(VLOOKUP(B583,'03. THIẾT BỊ'!$B$1:$S$836,4,0),"")</f>
        <v/>
      </c>
      <c r="F583" s="458" t="str">
        <f>IFERROR(VLOOKUP(B583,'03. THIẾT BỊ'!$B$1:$S$836,5,0),"")</f>
        <v/>
      </c>
      <c r="G583" s="459" t="s">
        <v>6423</v>
      </c>
      <c r="H583" s="459" t="str">
        <f>IFERROR(VLOOKUP(B583,'03. THIẾT BỊ'!$B$1:$S$836,7,0),"")</f>
        <v/>
      </c>
      <c r="I583" s="457" t="str">
        <f>IFERROR(VLOOKUP(B583,'03. THIẾT BỊ'!$B$1:$S$836,8,0),"")</f>
        <v/>
      </c>
      <c r="J583" s="460"/>
      <c r="K583" s="457" t="str">
        <f>IFERROR(VLOOKUP(B583,'03. THIẾT BỊ'!$B$1:$S$836,10,0),"")</f>
        <v/>
      </c>
      <c r="L583" s="458" t="str">
        <f>IFERROR(VLOOKUP(B583,'03. THIẾT BỊ'!$B$1:$S$836,11,0),"")</f>
        <v/>
      </c>
      <c r="M583" s="461" t="str">
        <f>IFERROR(VLOOKUP(B583,'03. THIẾT BỊ'!$B$1:$S$836,12,0),"")</f>
        <v/>
      </c>
      <c r="N583" s="458" t="str">
        <f>IFERROR(VLOOKUP(B583,'03. THIẾT BỊ'!$B$1:$S$836,13,0),"")</f>
        <v/>
      </c>
      <c r="O583" s="461" t="str">
        <f>IFERROR(VLOOKUP(B583,'03. THIẾT BỊ'!$B$1:$S$836,14,0),"")</f>
        <v/>
      </c>
      <c r="P583" s="458" t="str">
        <f>IFERROR(VLOOKUP(B583,'03. THIẾT BỊ'!$B$1:$S$836,15,0),"")</f>
        <v/>
      </c>
      <c r="Q583" s="459" t="str">
        <f>IFERROR(VLOOKUP(B583,'03. THIẾT BỊ'!$B$1:$S$836,16,0),"")</f>
        <v/>
      </c>
      <c r="R583" s="458" t="str">
        <f>IFERROR(VLOOKUP(B583,'03. THIẾT BỊ'!$B$1:$S$836,17,0),"")</f>
        <v/>
      </c>
      <c r="S583" s="458" t="str">
        <f>IFERROR(VLOOKUP(B583,'03. THIẾT BỊ'!$B$1:$S$836,18,0),"")</f>
        <v/>
      </c>
      <c r="T583" s="866"/>
    </row>
    <row r="584" ht="15.0" customHeight="1">
      <c r="A584" s="463">
        <v>1.0</v>
      </c>
      <c r="B584" s="464" t="s">
        <v>3897</v>
      </c>
      <c r="C584" s="869" t="str">
        <f>IFERROR(VLOOKUP(B584,'03. THIẾT BỊ'!$B$1:$S$836,2,0),"")</f>
        <v/>
      </c>
      <c r="D584" s="470" t="str">
        <f>IFERROR(VLOOKUP(B584,'03. THIẾT BỊ'!$B$1:$S$836,3,0),"")</f>
        <v>A23-MCA-001</v>
      </c>
      <c r="E584" s="464" t="str">
        <f>IFERROR(VLOOKUP(B584,'03. THIẾT BỊ'!$B$1:$S$836,4,0),"")</f>
        <v>ĐQSD</v>
      </c>
      <c r="F584" s="464" t="str">
        <f>IFERROR(VLOOKUP(B584,'03. THIẾT BỊ'!$B$1:$S$836,5,0),"")</f>
        <v>Máy cao áp phun thuốc</v>
      </c>
      <c r="G584" s="80" t="s">
        <v>6423</v>
      </c>
      <c r="H584" s="463" t="str">
        <f>IFERROR(VLOOKUP(B584,'03. THIẾT BỊ'!$B$1:$S$836,7,0),"")</f>
        <v>XN Chuối DP1</v>
      </c>
      <c r="I584" s="474" t="str">
        <f>IFERROR(VLOOKUP(B584,'03. THIẾT BỊ'!$B$1:$S$836,8,0),"")</f>
        <v/>
      </c>
      <c r="J584" s="471"/>
      <c r="K584" s="463" t="str">
        <f>IFERROR(VLOOKUP(B584,'03. THIẾT BỊ'!$B$1:$S$836,10,0),"")</f>
        <v>Bình thường</v>
      </c>
      <c r="L584" s="468" t="str">
        <f>IFERROR(VLOOKUP(B584,'03. THIẾT BỊ'!$B$1:$S$836,11,0),"")</f>
        <v/>
      </c>
      <c r="M584" s="472" t="str">
        <f>IFERROR(VLOOKUP(B584,'03. THIẾT BỊ'!$B$1:$S$836,12,0),"")</f>
        <v/>
      </c>
      <c r="N584" s="468" t="str">
        <f>IFERROR(VLOOKUP(B584,'03. THIẾT BỊ'!$B$1:$S$836,13,0),"")</f>
        <v>CAMBODIA</v>
      </c>
      <c r="O584" s="470" t="str">
        <f>IFERROR(VLOOKUP(B584,'03. THIẾT BỊ'!$B$1:$S$836,14,0),"")</f>
        <v/>
      </c>
      <c r="P584" s="468" t="str">
        <f>IFERROR(VLOOKUP(B584,'03. THIẾT BỊ'!$B$1:$S$836,15,0),"")</f>
        <v>CAMBODIA</v>
      </c>
      <c r="Q584" s="48" t="str">
        <f>IFERROR(VLOOKUP(B584,'03. THIẾT BỊ'!$B$1:$S$836,16,0),"")</f>
        <v/>
      </c>
      <c r="R584" s="471" t="str">
        <f>IFERROR(VLOOKUP(B584,'03. THIẾT BỊ'!$B$1:$S$836,17,0),"")</f>
        <v/>
      </c>
      <c r="S584" s="468" t="str">
        <f>IFERROR(VLOOKUP(B584,'03. THIẾT BỊ'!$B$1:$S$836,18,0),"")</f>
        <v/>
      </c>
      <c r="T584" s="807"/>
    </row>
    <row r="585" ht="15.0" customHeight="1">
      <c r="A585" s="463">
        <f t="shared" ref="A585:A640" si="30">A584+1</f>
        <v>2</v>
      </c>
      <c r="B585" s="464" t="s">
        <v>3900</v>
      </c>
      <c r="C585" s="869" t="str">
        <f>IFERROR(VLOOKUP(B585,'03. THIẾT BỊ'!$B$1:$S$836,2,0),"")</f>
        <v/>
      </c>
      <c r="D585" s="470" t="str">
        <f>IFERROR(VLOOKUP(B585,'03. THIẾT BỊ'!$B$1:$S$836,3,0),"")</f>
        <v>A23-MCA-002</v>
      </c>
      <c r="E585" s="464" t="str">
        <f>IFERROR(VLOOKUP(B585,'03. THIẾT BỊ'!$B$1:$S$836,4,0),"")</f>
        <v>ĐQSD</v>
      </c>
      <c r="F585" s="464" t="str">
        <f>IFERROR(VLOOKUP(B585,'03. THIẾT BỊ'!$B$1:$S$836,5,0),"")</f>
        <v>Máy cao áp phun thuốc</v>
      </c>
      <c r="G585" s="80" t="s">
        <v>6423</v>
      </c>
      <c r="H585" s="463" t="str">
        <f>IFERROR(VLOOKUP(B585,'03. THIẾT BỊ'!$B$1:$S$836,7,0),"")</f>
        <v>XN Chuối DP1</v>
      </c>
      <c r="I585" s="474" t="str">
        <f>IFERROR(VLOOKUP(B585,'03. THIẾT BỊ'!$B$1:$S$836,8,0),"")</f>
        <v/>
      </c>
      <c r="J585" s="471"/>
      <c r="K585" s="463" t="str">
        <f>IFERROR(VLOOKUP(B585,'03. THIẾT BỊ'!$B$1:$S$836,10,0),"")</f>
        <v>Bình thường</v>
      </c>
      <c r="L585" s="468" t="str">
        <f>IFERROR(VLOOKUP(B585,'03. THIẾT BỊ'!$B$1:$S$836,11,0),"")</f>
        <v/>
      </c>
      <c r="M585" s="472" t="str">
        <f>IFERROR(VLOOKUP(B585,'03. THIẾT BỊ'!$B$1:$S$836,12,0),"")</f>
        <v/>
      </c>
      <c r="N585" s="468" t="str">
        <f>IFERROR(VLOOKUP(B585,'03. THIẾT BỊ'!$B$1:$S$836,13,0),"")</f>
        <v>CAMBODIA</v>
      </c>
      <c r="O585" s="470" t="str">
        <f>IFERROR(VLOOKUP(B585,'03. THIẾT BỊ'!$B$1:$S$836,14,0),"")</f>
        <v/>
      </c>
      <c r="P585" s="468" t="str">
        <f>IFERROR(VLOOKUP(B585,'03. THIẾT BỊ'!$B$1:$S$836,15,0),"")</f>
        <v>CAMBODIA</v>
      </c>
      <c r="Q585" s="48" t="str">
        <f>IFERROR(VLOOKUP(B585,'03. THIẾT BỊ'!$B$1:$S$836,16,0),"")</f>
        <v/>
      </c>
      <c r="R585" s="471" t="str">
        <f>IFERROR(VLOOKUP(B585,'03. THIẾT BỊ'!$B$1:$S$836,17,0),"")</f>
        <v/>
      </c>
      <c r="S585" s="468" t="str">
        <f>IFERROR(VLOOKUP(B585,'03. THIẾT BỊ'!$B$1:$S$836,18,0),"")</f>
        <v/>
      </c>
      <c r="T585" s="807"/>
    </row>
    <row r="586" ht="15.0" customHeight="1">
      <c r="A586" s="463">
        <f t="shared" si="30"/>
        <v>3</v>
      </c>
      <c r="B586" s="464" t="s">
        <v>3902</v>
      </c>
      <c r="C586" s="869" t="str">
        <f>IFERROR(VLOOKUP(B586,'03. THIẾT BỊ'!$B$1:$S$836,2,0),"")</f>
        <v/>
      </c>
      <c r="D586" s="470" t="str">
        <f>IFERROR(VLOOKUP(B586,'03. THIẾT BỊ'!$B$1:$S$836,3,0),"")</f>
        <v>A23-MCA-003</v>
      </c>
      <c r="E586" s="464" t="str">
        <f>IFERROR(VLOOKUP(B586,'03. THIẾT BỊ'!$B$1:$S$836,4,0),"")</f>
        <v>ĐQSD</v>
      </c>
      <c r="F586" s="464" t="str">
        <f>IFERROR(VLOOKUP(B586,'03. THIẾT BỊ'!$B$1:$S$836,5,0),"")</f>
        <v>Máy cao áp phun thuốc</v>
      </c>
      <c r="G586" s="80" t="s">
        <v>6423</v>
      </c>
      <c r="H586" s="463" t="str">
        <f>IFERROR(VLOOKUP(B586,'03. THIẾT BỊ'!$B$1:$S$836,7,0),"")</f>
        <v>XN Chuối DP1</v>
      </c>
      <c r="I586" s="474" t="str">
        <f>IFERROR(VLOOKUP(B586,'03. THIẾT BỊ'!$B$1:$S$836,8,0),"")</f>
        <v/>
      </c>
      <c r="J586" s="471"/>
      <c r="K586" s="463" t="str">
        <f>IFERROR(VLOOKUP(B586,'03. THIẾT BỊ'!$B$1:$S$836,10,0),"")</f>
        <v>Bình thường</v>
      </c>
      <c r="L586" s="468" t="str">
        <f>IFERROR(VLOOKUP(B586,'03. THIẾT BỊ'!$B$1:$S$836,11,0),"")</f>
        <v/>
      </c>
      <c r="M586" s="472" t="str">
        <f>IFERROR(VLOOKUP(B586,'03. THIẾT BỊ'!$B$1:$S$836,12,0),"")</f>
        <v/>
      </c>
      <c r="N586" s="468" t="str">
        <f>IFERROR(VLOOKUP(B586,'03. THIẾT BỊ'!$B$1:$S$836,13,0),"")</f>
        <v>CAMBODIA</v>
      </c>
      <c r="O586" s="470" t="str">
        <f>IFERROR(VLOOKUP(B586,'03. THIẾT BỊ'!$B$1:$S$836,14,0),"")</f>
        <v/>
      </c>
      <c r="P586" s="468" t="str">
        <f>IFERROR(VLOOKUP(B586,'03. THIẾT BỊ'!$B$1:$S$836,15,0),"")</f>
        <v>CAMBODIA</v>
      </c>
      <c r="Q586" s="48" t="str">
        <f>IFERROR(VLOOKUP(B586,'03. THIẾT BỊ'!$B$1:$S$836,16,0),"")</f>
        <v/>
      </c>
      <c r="R586" s="471" t="str">
        <f>IFERROR(VLOOKUP(B586,'03. THIẾT BỊ'!$B$1:$S$836,17,0),"")</f>
        <v/>
      </c>
      <c r="S586" s="468" t="str">
        <f>IFERROR(VLOOKUP(B586,'03. THIẾT BỊ'!$B$1:$S$836,18,0),"")</f>
        <v/>
      </c>
      <c r="T586" s="807"/>
    </row>
    <row r="587" ht="15.0" customHeight="1">
      <c r="A587" s="463">
        <f t="shared" si="30"/>
        <v>4</v>
      </c>
      <c r="B587" s="464" t="s">
        <v>3904</v>
      </c>
      <c r="C587" s="869" t="str">
        <f>IFERROR(VLOOKUP(B587,'03. THIẾT BỊ'!$B$1:$S$836,2,0),"")</f>
        <v/>
      </c>
      <c r="D587" s="470" t="str">
        <f>IFERROR(VLOOKUP(B587,'03. THIẾT BỊ'!$B$1:$S$836,3,0),"")</f>
        <v>A23-MCA-004</v>
      </c>
      <c r="E587" s="464" t="str">
        <f>IFERROR(VLOOKUP(B587,'03. THIẾT BỊ'!$B$1:$S$836,4,0),"")</f>
        <v>ĐQSD</v>
      </c>
      <c r="F587" s="464" t="str">
        <f>IFERROR(VLOOKUP(B587,'03. THIẾT BỊ'!$B$1:$S$836,5,0),"")</f>
        <v>Máy cao áp phun thuốc</v>
      </c>
      <c r="G587" s="80" t="s">
        <v>6423</v>
      </c>
      <c r="H587" s="463" t="str">
        <f>IFERROR(VLOOKUP(B587,'03. THIẾT BỊ'!$B$1:$S$836,7,0),"")</f>
        <v>XN Chuối DP1</v>
      </c>
      <c r="I587" s="474" t="str">
        <f>IFERROR(VLOOKUP(B587,'03. THIẾT BỊ'!$B$1:$S$836,8,0),"")</f>
        <v/>
      </c>
      <c r="J587" s="471"/>
      <c r="K587" s="463" t="str">
        <f>IFERROR(VLOOKUP(B587,'03. THIẾT BỊ'!$B$1:$S$836,10,0),"")</f>
        <v>Bình thường</v>
      </c>
      <c r="L587" s="468" t="str">
        <f>IFERROR(VLOOKUP(B587,'03. THIẾT BỊ'!$B$1:$S$836,11,0),"")</f>
        <v/>
      </c>
      <c r="M587" s="472" t="str">
        <f>IFERROR(VLOOKUP(B587,'03. THIẾT BỊ'!$B$1:$S$836,12,0),"")</f>
        <v/>
      </c>
      <c r="N587" s="468" t="str">
        <f>IFERROR(VLOOKUP(B587,'03. THIẾT BỊ'!$B$1:$S$836,13,0),"")</f>
        <v>CAMBODIA</v>
      </c>
      <c r="O587" s="470" t="str">
        <f>IFERROR(VLOOKUP(B587,'03. THIẾT BỊ'!$B$1:$S$836,14,0),"")</f>
        <v/>
      </c>
      <c r="P587" s="468" t="str">
        <f>IFERROR(VLOOKUP(B587,'03. THIẾT BỊ'!$B$1:$S$836,15,0),"")</f>
        <v>CAMBODIA</v>
      </c>
      <c r="Q587" s="48" t="str">
        <f>IFERROR(VLOOKUP(B587,'03. THIẾT BỊ'!$B$1:$S$836,16,0),"")</f>
        <v/>
      </c>
      <c r="R587" s="471" t="str">
        <f>IFERROR(VLOOKUP(B587,'03. THIẾT BỊ'!$B$1:$S$836,17,0),"")</f>
        <v/>
      </c>
      <c r="S587" s="468" t="str">
        <f>IFERROR(VLOOKUP(B587,'03. THIẾT BỊ'!$B$1:$S$836,18,0),"")</f>
        <v/>
      </c>
      <c r="T587" s="807"/>
    </row>
    <row r="588" ht="15.0" customHeight="1">
      <c r="A588" s="463">
        <f t="shared" si="30"/>
        <v>5</v>
      </c>
      <c r="B588" s="464" t="s">
        <v>3906</v>
      </c>
      <c r="C588" s="869" t="str">
        <f>IFERROR(VLOOKUP(B588,'03. THIẾT BỊ'!$B$1:$S$836,2,0),"")</f>
        <v/>
      </c>
      <c r="D588" s="470" t="str">
        <f>IFERROR(VLOOKUP(B588,'03. THIẾT BỊ'!$B$1:$S$836,3,0),"")</f>
        <v>A23-MCA-005</v>
      </c>
      <c r="E588" s="464" t="str">
        <f>IFERROR(VLOOKUP(B588,'03. THIẾT BỊ'!$B$1:$S$836,4,0),"")</f>
        <v>ĐQSD</v>
      </c>
      <c r="F588" s="464" t="str">
        <f>IFERROR(VLOOKUP(B588,'03. THIẾT BỊ'!$B$1:$S$836,5,0),"")</f>
        <v>Máy cao áp phun thuốc</v>
      </c>
      <c r="G588" s="80" t="s">
        <v>6423</v>
      </c>
      <c r="H588" s="463" t="str">
        <f>IFERROR(VLOOKUP(B588,'03. THIẾT BỊ'!$B$1:$S$836,7,0),"")</f>
        <v>XN Chuối DP1</v>
      </c>
      <c r="I588" s="474" t="str">
        <f>IFERROR(VLOOKUP(B588,'03. THIẾT BỊ'!$B$1:$S$836,8,0),"")</f>
        <v/>
      </c>
      <c r="J588" s="471"/>
      <c r="K588" s="463" t="str">
        <f>IFERROR(VLOOKUP(B588,'03. THIẾT BỊ'!$B$1:$S$836,10,0),"")</f>
        <v>Bình thường</v>
      </c>
      <c r="L588" s="468" t="str">
        <f>IFERROR(VLOOKUP(B588,'03. THIẾT BỊ'!$B$1:$S$836,11,0),"")</f>
        <v/>
      </c>
      <c r="M588" s="472" t="str">
        <f>IFERROR(VLOOKUP(B588,'03. THIẾT BỊ'!$B$1:$S$836,12,0),"")</f>
        <v/>
      </c>
      <c r="N588" s="468" t="str">
        <f>IFERROR(VLOOKUP(B588,'03. THIẾT BỊ'!$B$1:$S$836,13,0),"")</f>
        <v>CAMBODIA</v>
      </c>
      <c r="O588" s="470" t="str">
        <f>IFERROR(VLOOKUP(B588,'03. THIẾT BỊ'!$B$1:$S$836,14,0),"")</f>
        <v/>
      </c>
      <c r="P588" s="468" t="str">
        <f>IFERROR(VLOOKUP(B588,'03. THIẾT BỊ'!$B$1:$S$836,15,0),"")</f>
        <v>CAMBODIA</v>
      </c>
      <c r="Q588" s="48" t="str">
        <f>IFERROR(VLOOKUP(B588,'03. THIẾT BỊ'!$B$1:$S$836,16,0),"")</f>
        <v/>
      </c>
      <c r="R588" s="471" t="str">
        <f>IFERROR(VLOOKUP(B588,'03. THIẾT BỊ'!$B$1:$S$836,17,0),"")</f>
        <v/>
      </c>
      <c r="S588" s="468" t="str">
        <f>IFERROR(VLOOKUP(B588,'03. THIẾT BỊ'!$B$1:$S$836,18,0),"")</f>
        <v/>
      </c>
      <c r="T588" s="807"/>
    </row>
    <row r="589" ht="15.0" customHeight="1">
      <c r="A589" s="463">
        <f t="shared" si="30"/>
        <v>6</v>
      </c>
      <c r="B589" s="464" t="s">
        <v>3908</v>
      </c>
      <c r="C589" s="869" t="str">
        <f>IFERROR(VLOOKUP(B589,'03. THIẾT BỊ'!$B$1:$S$836,2,0),"")</f>
        <v/>
      </c>
      <c r="D589" s="470" t="str">
        <f>IFERROR(VLOOKUP(B589,'03. THIẾT BỊ'!$B$1:$S$836,3,0),"")</f>
        <v>A23-MCA-006</v>
      </c>
      <c r="E589" s="464" t="str">
        <f>IFERROR(VLOOKUP(B589,'03. THIẾT BỊ'!$B$1:$S$836,4,0),"")</f>
        <v>ĐQSD</v>
      </c>
      <c r="F589" s="464" t="str">
        <f>IFERROR(VLOOKUP(B589,'03. THIẾT BỊ'!$B$1:$S$836,5,0),"")</f>
        <v>Máy cao áp phun thuốc</v>
      </c>
      <c r="G589" s="80" t="s">
        <v>6423</v>
      </c>
      <c r="H589" s="463" t="str">
        <f>IFERROR(VLOOKUP(B589,'03. THIẾT BỊ'!$B$1:$S$836,7,0),"")</f>
        <v>XN Chuối DP1</v>
      </c>
      <c r="I589" s="474" t="str">
        <f>IFERROR(VLOOKUP(B589,'03. THIẾT BỊ'!$B$1:$S$836,8,0),"")</f>
        <v/>
      </c>
      <c r="J589" s="471"/>
      <c r="K589" s="463" t="str">
        <f>IFERROR(VLOOKUP(B589,'03. THIẾT BỊ'!$B$1:$S$836,10,0),"")</f>
        <v>Bình thường</v>
      </c>
      <c r="L589" s="468" t="str">
        <f>IFERROR(VLOOKUP(B589,'03. THIẾT BỊ'!$B$1:$S$836,11,0),"")</f>
        <v/>
      </c>
      <c r="M589" s="472" t="str">
        <f>IFERROR(VLOOKUP(B589,'03. THIẾT BỊ'!$B$1:$S$836,12,0),"")</f>
        <v/>
      </c>
      <c r="N589" s="468" t="str">
        <f>IFERROR(VLOOKUP(B589,'03. THIẾT BỊ'!$B$1:$S$836,13,0),"")</f>
        <v>CAMBODIA</v>
      </c>
      <c r="O589" s="470" t="str">
        <f>IFERROR(VLOOKUP(B589,'03. THIẾT BỊ'!$B$1:$S$836,14,0),"")</f>
        <v/>
      </c>
      <c r="P589" s="468" t="str">
        <f>IFERROR(VLOOKUP(B589,'03. THIẾT BỊ'!$B$1:$S$836,15,0),"")</f>
        <v>CAMBODIA</v>
      </c>
      <c r="Q589" s="48" t="str">
        <f>IFERROR(VLOOKUP(B589,'03. THIẾT BỊ'!$B$1:$S$836,16,0),"")</f>
        <v/>
      </c>
      <c r="R589" s="471" t="str">
        <f>IFERROR(VLOOKUP(B589,'03. THIẾT BỊ'!$B$1:$S$836,17,0),"")</f>
        <v/>
      </c>
      <c r="S589" s="468" t="str">
        <f>IFERROR(VLOOKUP(B589,'03. THIẾT BỊ'!$B$1:$S$836,18,0),"")</f>
        <v/>
      </c>
      <c r="T589" s="807"/>
    </row>
    <row r="590" ht="15.0" customHeight="1">
      <c r="A590" s="463">
        <f t="shared" si="30"/>
        <v>7</v>
      </c>
      <c r="B590" s="464" t="s">
        <v>3910</v>
      </c>
      <c r="C590" s="869" t="str">
        <f>IFERROR(VLOOKUP(B590,'03. THIẾT BỊ'!$B$1:$S$836,2,0),"")</f>
        <v/>
      </c>
      <c r="D590" s="470" t="str">
        <f>IFERROR(VLOOKUP(B590,'03. THIẾT BỊ'!$B$1:$S$836,3,0),"")</f>
        <v>A23-MCA-007</v>
      </c>
      <c r="E590" s="464" t="str">
        <f>IFERROR(VLOOKUP(B590,'03. THIẾT BỊ'!$B$1:$S$836,4,0),"")</f>
        <v>ĐQSD</v>
      </c>
      <c r="F590" s="464" t="str">
        <f>IFERROR(VLOOKUP(B590,'03. THIẾT BỊ'!$B$1:$S$836,5,0),"")</f>
        <v>Máy cao áp phun thuốc</v>
      </c>
      <c r="G590" s="80" t="s">
        <v>6423</v>
      </c>
      <c r="H590" s="463" t="str">
        <f>IFERROR(VLOOKUP(B590,'03. THIẾT BỊ'!$B$1:$S$836,7,0),"")</f>
        <v>XN Chuối DP1</v>
      </c>
      <c r="I590" s="474" t="str">
        <f>IFERROR(VLOOKUP(B590,'03. THIẾT BỊ'!$B$1:$S$836,8,0),"")</f>
        <v/>
      </c>
      <c r="J590" s="471"/>
      <c r="K590" s="463" t="str">
        <f>IFERROR(VLOOKUP(B590,'03. THIẾT BỊ'!$B$1:$S$836,10,0),"")</f>
        <v>Bình thường</v>
      </c>
      <c r="L590" s="468" t="str">
        <f>IFERROR(VLOOKUP(B590,'03. THIẾT BỊ'!$B$1:$S$836,11,0),"")</f>
        <v/>
      </c>
      <c r="M590" s="472" t="str">
        <f>IFERROR(VLOOKUP(B590,'03. THIẾT BỊ'!$B$1:$S$836,12,0),"")</f>
        <v/>
      </c>
      <c r="N590" s="468" t="str">
        <f>IFERROR(VLOOKUP(B590,'03. THIẾT BỊ'!$B$1:$S$836,13,0),"")</f>
        <v>CAMBODIA</v>
      </c>
      <c r="O590" s="470" t="str">
        <f>IFERROR(VLOOKUP(B590,'03. THIẾT BỊ'!$B$1:$S$836,14,0),"")</f>
        <v/>
      </c>
      <c r="P590" s="468" t="str">
        <f>IFERROR(VLOOKUP(B590,'03. THIẾT BỊ'!$B$1:$S$836,15,0),"")</f>
        <v>CAMBODIA</v>
      </c>
      <c r="Q590" s="48" t="str">
        <f>IFERROR(VLOOKUP(B590,'03. THIẾT BỊ'!$B$1:$S$836,16,0),"")</f>
        <v/>
      </c>
      <c r="R590" s="471" t="str">
        <f>IFERROR(VLOOKUP(B590,'03. THIẾT BỊ'!$B$1:$S$836,17,0),"")</f>
        <v/>
      </c>
      <c r="S590" s="468" t="str">
        <f>IFERROR(VLOOKUP(B590,'03. THIẾT BỊ'!$B$1:$S$836,18,0),"")</f>
        <v/>
      </c>
      <c r="T590" s="807"/>
    </row>
    <row r="591" ht="15.0" customHeight="1">
      <c r="A591" s="463">
        <f t="shared" si="30"/>
        <v>8</v>
      </c>
      <c r="B591" s="464" t="s">
        <v>3912</v>
      </c>
      <c r="C591" s="869" t="str">
        <f>IFERROR(VLOOKUP(B591,'03. THIẾT BỊ'!$B$1:$S$836,2,0),"")</f>
        <v/>
      </c>
      <c r="D591" s="470" t="str">
        <f>IFERROR(VLOOKUP(B591,'03. THIẾT BỊ'!$B$1:$S$836,3,0),"")</f>
        <v>A23-MCA-008</v>
      </c>
      <c r="E591" s="464" t="str">
        <f>IFERROR(VLOOKUP(B591,'03. THIẾT BỊ'!$B$1:$S$836,4,0),"")</f>
        <v>ĐQSD</v>
      </c>
      <c r="F591" s="464" t="str">
        <f>IFERROR(VLOOKUP(B591,'03. THIẾT BỊ'!$B$1:$S$836,5,0),"")</f>
        <v>Máy cao áp phun thuốc</v>
      </c>
      <c r="G591" s="80" t="s">
        <v>6423</v>
      </c>
      <c r="H591" s="463" t="str">
        <f>IFERROR(VLOOKUP(B591,'03. THIẾT BỊ'!$B$1:$S$836,7,0),"")</f>
        <v>XN Chuối DP1</v>
      </c>
      <c r="I591" s="474" t="str">
        <f>IFERROR(VLOOKUP(B591,'03. THIẾT BỊ'!$B$1:$S$836,8,0),"")</f>
        <v/>
      </c>
      <c r="J591" s="471"/>
      <c r="K591" s="463" t="str">
        <f>IFERROR(VLOOKUP(B591,'03. THIẾT BỊ'!$B$1:$S$836,10,0),"")</f>
        <v>Bình thường</v>
      </c>
      <c r="L591" s="468" t="str">
        <f>IFERROR(VLOOKUP(B591,'03. THIẾT BỊ'!$B$1:$S$836,11,0),"")</f>
        <v/>
      </c>
      <c r="M591" s="472" t="str">
        <f>IFERROR(VLOOKUP(B591,'03. THIẾT BỊ'!$B$1:$S$836,12,0),"")</f>
        <v/>
      </c>
      <c r="N591" s="468" t="str">
        <f>IFERROR(VLOOKUP(B591,'03. THIẾT BỊ'!$B$1:$S$836,13,0),"")</f>
        <v>CAMBODIA</v>
      </c>
      <c r="O591" s="470" t="str">
        <f>IFERROR(VLOOKUP(B591,'03. THIẾT BỊ'!$B$1:$S$836,14,0),"")</f>
        <v/>
      </c>
      <c r="P591" s="468" t="str">
        <f>IFERROR(VLOOKUP(B591,'03. THIẾT BỊ'!$B$1:$S$836,15,0),"")</f>
        <v>CAMBODIA</v>
      </c>
      <c r="Q591" s="48" t="str">
        <f>IFERROR(VLOOKUP(B591,'03. THIẾT BỊ'!$B$1:$S$836,16,0),"")</f>
        <v/>
      </c>
      <c r="R591" s="471" t="str">
        <f>IFERROR(VLOOKUP(B591,'03. THIẾT BỊ'!$B$1:$S$836,17,0),"")</f>
        <v/>
      </c>
      <c r="S591" s="468" t="str">
        <f>IFERROR(VLOOKUP(B591,'03. THIẾT BỊ'!$B$1:$S$836,18,0),"")</f>
        <v/>
      </c>
      <c r="T591" s="807"/>
    </row>
    <row r="592" ht="15.0" customHeight="1">
      <c r="A592" s="463">
        <f t="shared" si="30"/>
        <v>9</v>
      </c>
      <c r="B592" s="464" t="s">
        <v>3914</v>
      </c>
      <c r="C592" s="869" t="str">
        <f>IFERROR(VLOOKUP(B592,'03. THIẾT BỊ'!$B$1:$S$836,2,0),"")</f>
        <v/>
      </c>
      <c r="D592" s="470" t="str">
        <f>IFERROR(VLOOKUP(B592,'03. THIẾT BỊ'!$B$1:$S$836,3,0),"")</f>
        <v>A23-MCA-009</v>
      </c>
      <c r="E592" s="464" t="str">
        <f>IFERROR(VLOOKUP(B592,'03. THIẾT BỊ'!$B$1:$S$836,4,0),"")</f>
        <v>ĐQSD</v>
      </c>
      <c r="F592" s="464" t="str">
        <f>IFERROR(VLOOKUP(B592,'03. THIẾT BỊ'!$B$1:$S$836,5,0),"")</f>
        <v>Máy cao áp phun thuốc</v>
      </c>
      <c r="G592" s="80" t="s">
        <v>6423</v>
      </c>
      <c r="H592" s="463" t="str">
        <f>IFERROR(VLOOKUP(B592,'03. THIẾT BỊ'!$B$1:$S$836,7,0),"")</f>
        <v>XN Chuối DP1</v>
      </c>
      <c r="I592" s="474" t="str">
        <f>IFERROR(VLOOKUP(B592,'03. THIẾT BỊ'!$B$1:$S$836,8,0),"")</f>
        <v/>
      </c>
      <c r="J592" s="471"/>
      <c r="K592" s="463" t="str">
        <f>IFERROR(VLOOKUP(B592,'03. THIẾT BỊ'!$B$1:$S$836,10,0),"")</f>
        <v>Bình thường</v>
      </c>
      <c r="L592" s="468" t="str">
        <f>IFERROR(VLOOKUP(B592,'03. THIẾT BỊ'!$B$1:$S$836,11,0),"")</f>
        <v/>
      </c>
      <c r="M592" s="472" t="str">
        <f>IFERROR(VLOOKUP(B592,'03. THIẾT BỊ'!$B$1:$S$836,12,0),"")</f>
        <v/>
      </c>
      <c r="N592" s="468" t="str">
        <f>IFERROR(VLOOKUP(B592,'03. THIẾT BỊ'!$B$1:$S$836,13,0),"")</f>
        <v>CAMBODIA</v>
      </c>
      <c r="O592" s="470" t="str">
        <f>IFERROR(VLOOKUP(B592,'03. THIẾT BỊ'!$B$1:$S$836,14,0),"")</f>
        <v/>
      </c>
      <c r="P592" s="468" t="str">
        <f>IFERROR(VLOOKUP(B592,'03. THIẾT BỊ'!$B$1:$S$836,15,0),"")</f>
        <v>CAMBODIA</v>
      </c>
      <c r="Q592" s="48" t="str">
        <f>IFERROR(VLOOKUP(B592,'03. THIẾT BỊ'!$B$1:$S$836,16,0),"")</f>
        <v/>
      </c>
      <c r="R592" s="471" t="str">
        <f>IFERROR(VLOOKUP(B592,'03. THIẾT BỊ'!$B$1:$S$836,17,0),"")</f>
        <v/>
      </c>
      <c r="S592" s="468" t="str">
        <f>IFERROR(VLOOKUP(B592,'03. THIẾT BỊ'!$B$1:$S$836,18,0),"")</f>
        <v/>
      </c>
      <c r="T592" s="807"/>
    </row>
    <row r="593" ht="15.0" customHeight="1">
      <c r="A593" s="463">
        <f t="shared" si="30"/>
        <v>10</v>
      </c>
      <c r="B593" s="464" t="s">
        <v>4136</v>
      </c>
      <c r="C593" s="869" t="str">
        <f>IFERROR(VLOOKUP(B593,'03. THIẾT BỊ'!$B$1:$S$836,2,0),"")</f>
        <v/>
      </c>
      <c r="D593" s="470" t="str">
        <f>IFERROR(VLOOKUP(B593,'03. THIẾT BỊ'!$B$1:$S$836,3,0),"")</f>
        <v/>
      </c>
      <c r="E593" s="464" t="str">
        <f>IFERROR(VLOOKUP(B593,'03. THIẾT BỊ'!$B$1:$S$836,4,0),"")</f>
        <v>ĐQSD</v>
      </c>
      <c r="F593" s="464" t="str">
        <f>IFERROR(VLOOKUP(B593,'03. THIẾT BỊ'!$B$1:$S$836,5,0),"")</f>
        <v>Máy cao áp phun thuốc</v>
      </c>
      <c r="G593" s="80" t="s">
        <v>6423</v>
      </c>
      <c r="H593" s="463" t="str">
        <f>IFERROR(VLOOKUP(B593,'03. THIẾT BỊ'!$B$1:$S$836,7,0),"")</f>
        <v>XN Chuối DP2</v>
      </c>
      <c r="I593" s="474" t="str">
        <f>IFERROR(VLOOKUP(B593,'03. THIẾT BỊ'!$B$1:$S$836,8,0),"")</f>
        <v/>
      </c>
      <c r="J593" s="471"/>
      <c r="K593" s="463" t="str">
        <f>IFERROR(VLOOKUP(B593,'03. THIẾT BỊ'!$B$1:$S$836,10,0),"")</f>
        <v>Bình thường</v>
      </c>
      <c r="L593" s="468" t="str">
        <f>IFERROR(VLOOKUP(B593,'03. THIẾT BỊ'!$B$1:$S$836,11,0),"")</f>
        <v/>
      </c>
      <c r="M593" s="472" t="str">
        <f>IFERROR(VLOOKUP(B593,'03. THIẾT BỊ'!$B$1:$S$836,12,0),"")</f>
        <v>Phun nấm lá, Rệp, Vi sinh</v>
      </c>
      <c r="N593" s="468" t="str">
        <f>IFERROR(VLOOKUP(B593,'03. THIẾT BỊ'!$B$1:$S$836,13,0),"")</f>
        <v>CAMBODIA</v>
      </c>
      <c r="O593" s="470" t="str">
        <f>IFERROR(VLOOKUP(B593,'03. THIẾT BỊ'!$B$1:$S$836,14,0),"")</f>
        <v>NILE N-680A</v>
      </c>
      <c r="P593" s="468" t="str">
        <f>IFERROR(VLOOKUP(B593,'03. THIẾT BỊ'!$B$1:$S$836,15,0),"")</f>
        <v>CAMBODIA</v>
      </c>
      <c r="Q593" s="48" t="str">
        <f>IFERROR(VLOOKUP(B593,'03. THIẾT BỊ'!$B$1:$S$836,16,0),"")</f>
        <v/>
      </c>
      <c r="R593" s="471" t="str">
        <f>IFERROR(VLOOKUP(B593,'03. THIẾT BỊ'!$B$1:$S$836,17,0),"")</f>
        <v>7.5HP</v>
      </c>
      <c r="S593" s="468" t="str">
        <f>IFERROR(VLOOKUP(B593,'03. THIẾT BỊ'!$B$1:$S$836,18,0),"")</f>
        <v/>
      </c>
      <c r="T593" s="812"/>
    </row>
    <row r="594" ht="15.0" customHeight="1">
      <c r="A594" s="463">
        <f t="shared" si="30"/>
        <v>11</v>
      </c>
      <c r="B594" s="464" t="s">
        <v>4140</v>
      </c>
      <c r="C594" s="869" t="str">
        <f>IFERROR(VLOOKUP(B594,'03. THIẾT BỊ'!$B$1:$S$836,2,0),"")</f>
        <v/>
      </c>
      <c r="D594" s="470" t="str">
        <f>IFERROR(VLOOKUP(B594,'03. THIẾT BỊ'!$B$1:$S$836,3,0),"")</f>
        <v/>
      </c>
      <c r="E594" s="464" t="str">
        <f>IFERROR(VLOOKUP(B594,'03. THIẾT BỊ'!$B$1:$S$836,4,0),"")</f>
        <v>ĐQSD</v>
      </c>
      <c r="F594" s="464" t="str">
        <f>IFERROR(VLOOKUP(B594,'03. THIẾT BỊ'!$B$1:$S$836,5,0),"")</f>
        <v>Máy cao áp phun thuốc</v>
      </c>
      <c r="G594" s="80" t="s">
        <v>6423</v>
      </c>
      <c r="H594" s="463" t="str">
        <f>IFERROR(VLOOKUP(B594,'03. THIẾT BỊ'!$B$1:$S$836,7,0),"")</f>
        <v>XN Chuối DP2</v>
      </c>
      <c r="I594" s="474" t="str">
        <f>IFERROR(VLOOKUP(B594,'03. THIẾT BỊ'!$B$1:$S$836,8,0),"")</f>
        <v/>
      </c>
      <c r="J594" s="471"/>
      <c r="K594" s="463" t="str">
        <f>IFERROR(VLOOKUP(B594,'03. THIẾT BỊ'!$B$1:$S$836,10,0),"")</f>
        <v>Bình thường</v>
      </c>
      <c r="L594" s="468" t="str">
        <f>IFERROR(VLOOKUP(B594,'03. THIẾT BỊ'!$B$1:$S$836,11,0),"")</f>
        <v/>
      </c>
      <c r="M594" s="472" t="str">
        <f>IFERROR(VLOOKUP(B594,'03. THIẾT BỊ'!$B$1:$S$836,12,0),"")</f>
        <v>Phun nấm lá, Rệp, Vi sinh</v>
      </c>
      <c r="N594" s="468" t="str">
        <f>IFERROR(VLOOKUP(B594,'03. THIẾT BỊ'!$B$1:$S$836,13,0),"")</f>
        <v>CAMBODIA</v>
      </c>
      <c r="O594" s="470" t="str">
        <f>IFERROR(VLOOKUP(B594,'03. THIẾT BỊ'!$B$1:$S$836,14,0),"")</f>
        <v>NILE N-680A</v>
      </c>
      <c r="P594" s="468" t="str">
        <f>IFERROR(VLOOKUP(B594,'03. THIẾT BỊ'!$B$1:$S$836,15,0),"")</f>
        <v>CAMBODIA</v>
      </c>
      <c r="Q594" s="48" t="str">
        <f>IFERROR(VLOOKUP(B594,'03. THIẾT BỊ'!$B$1:$S$836,16,0),"")</f>
        <v/>
      </c>
      <c r="R594" s="471" t="str">
        <f>IFERROR(VLOOKUP(B594,'03. THIẾT BỊ'!$B$1:$S$836,17,0),"")</f>
        <v>7.5HP</v>
      </c>
      <c r="S594" s="468" t="str">
        <f>IFERROR(VLOOKUP(B594,'03. THIẾT BỊ'!$B$1:$S$836,18,0),"")</f>
        <v/>
      </c>
      <c r="T594" s="812"/>
    </row>
    <row r="595" ht="15.0" customHeight="1">
      <c r="A595" s="463">
        <f t="shared" si="30"/>
        <v>12</v>
      </c>
      <c r="B595" s="464" t="s">
        <v>4141</v>
      </c>
      <c r="C595" s="869" t="str">
        <f>IFERROR(VLOOKUP(B595,'03. THIẾT BỊ'!$B$1:$S$836,2,0),"")</f>
        <v/>
      </c>
      <c r="D595" s="470" t="str">
        <f>IFERROR(VLOOKUP(B595,'03. THIẾT BỊ'!$B$1:$S$836,3,0),"")</f>
        <v/>
      </c>
      <c r="E595" s="464" t="str">
        <f>IFERROR(VLOOKUP(B595,'03. THIẾT BỊ'!$B$1:$S$836,4,0),"")</f>
        <v>ĐQSD</v>
      </c>
      <c r="F595" s="464" t="str">
        <f>IFERROR(VLOOKUP(B595,'03. THIẾT BỊ'!$B$1:$S$836,5,0),"")</f>
        <v>Máy cao áp phun thuốc</v>
      </c>
      <c r="G595" s="80" t="s">
        <v>6423</v>
      </c>
      <c r="H595" s="463" t="str">
        <f>IFERROR(VLOOKUP(B595,'03. THIẾT BỊ'!$B$1:$S$836,7,0),"")</f>
        <v>XN Chuối DP2</v>
      </c>
      <c r="I595" s="474" t="str">
        <f>IFERROR(VLOOKUP(B595,'03. THIẾT BỊ'!$B$1:$S$836,8,0),"")</f>
        <v/>
      </c>
      <c r="J595" s="471"/>
      <c r="K595" s="463" t="str">
        <f>IFERROR(VLOOKUP(B595,'03. THIẾT BỊ'!$B$1:$S$836,10,0),"")</f>
        <v>Bình thường</v>
      </c>
      <c r="L595" s="468" t="str">
        <f>IFERROR(VLOOKUP(B595,'03. THIẾT BỊ'!$B$1:$S$836,11,0),"")</f>
        <v/>
      </c>
      <c r="M595" s="472" t="str">
        <f>IFERROR(VLOOKUP(B595,'03. THIẾT BỊ'!$B$1:$S$836,12,0),"")</f>
        <v>Phun thuốc bảo quản, xử lý rệp sáp</v>
      </c>
      <c r="N595" s="468" t="str">
        <f>IFERROR(VLOOKUP(B595,'03. THIẾT BỊ'!$B$1:$S$836,13,0),"")</f>
        <v>CAMBODIA</v>
      </c>
      <c r="O595" s="470" t="str">
        <f>IFERROR(VLOOKUP(B595,'03. THIẾT BỊ'!$B$1:$S$836,14,0),"")</f>
        <v>MR-48</v>
      </c>
      <c r="P595" s="468" t="str">
        <f>IFERROR(VLOOKUP(B595,'03. THIẾT BỊ'!$B$1:$S$836,15,0),"")</f>
        <v>CAMBODIA</v>
      </c>
      <c r="Q595" s="48" t="str">
        <f>IFERROR(VLOOKUP(B595,'03. THIẾT BỊ'!$B$1:$S$836,16,0),"")</f>
        <v/>
      </c>
      <c r="R595" s="471" t="str">
        <f>IFERROR(VLOOKUP(B595,'03. THIẾT BỊ'!$B$1:$S$836,17,0),"")</f>
        <v>3HP</v>
      </c>
      <c r="S595" s="468" t="str">
        <f>IFERROR(VLOOKUP(B595,'03. THIẾT BỊ'!$B$1:$S$836,18,0),"")</f>
        <v/>
      </c>
      <c r="T595" s="812"/>
    </row>
    <row r="596" ht="15.0" customHeight="1">
      <c r="A596" s="463">
        <f t="shared" si="30"/>
        <v>13</v>
      </c>
      <c r="B596" s="464" t="s">
        <v>4145</v>
      </c>
      <c r="C596" s="869" t="str">
        <f>IFERROR(VLOOKUP(B596,'03. THIẾT BỊ'!$B$1:$S$836,2,0),"")</f>
        <v/>
      </c>
      <c r="D596" s="470" t="str">
        <f>IFERROR(VLOOKUP(B596,'03. THIẾT BỊ'!$B$1:$S$836,3,0),"")</f>
        <v/>
      </c>
      <c r="E596" s="464" t="str">
        <f>IFERROR(VLOOKUP(B596,'03. THIẾT BỊ'!$B$1:$S$836,4,0),"")</f>
        <v>ĐQSD</v>
      </c>
      <c r="F596" s="464" t="str">
        <f>IFERROR(VLOOKUP(B596,'03. THIẾT BỊ'!$B$1:$S$836,5,0),"")</f>
        <v>Máy cao áp phun thuốc</v>
      </c>
      <c r="G596" s="80" t="s">
        <v>6423</v>
      </c>
      <c r="H596" s="463" t="str">
        <f>IFERROR(VLOOKUP(B596,'03. THIẾT BỊ'!$B$1:$S$836,7,0),"")</f>
        <v>XN Chuối DP2</v>
      </c>
      <c r="I596" s="474" t="str">
        <f>IFERROR(VLOOKUP(B596,'03. THIẾT BỊ'!$B$1:$S$836,8,0),"")</f>
        <v/>
      </c>
      <c r="J596" s="471"/>
      <c r="K596" s="463" t="str">
        <f>IFERROR(VLOOKUP(B596,'03. THIẾT BỊ'!$B$1:$S$836,10,0),"")</f>
        <v>Bình thường</v>
      </c>
      <c r="L596" s="468" t="str">
        <f>IFERROR(VLOOKUP(B596,'03. THIẾT BỊ'!$B$1:$S$836,11,0),"")</f>
        <v/>
      </c>
      <c r="M596" s="472" t="str">
        <f>IFERROR(VLOOKUP(B596,'03. THIẾT BỊ'!$B$1:$S$836,12,0),"")</f>
        <v>phun thuốc bảo quản, xử lý rệp sáp</v>
      </c>
      <c r="N596" s="468" t="str">
        <f>IFERROR(VLOOKUP(B596,'03. THIẾT BỊ'!$B$1:$S$836,13,0),"")</f>
        <v>CAMBODIA</v>
      </c>
      <c r="O596" s="470" t="str">
        <f>IFERROR(VLOOKUP(B596,'03. THIẾT BỊ'!$B$1:$S$836,14,0),"")</f>
        <v>MR-48</v>
      </c>
      <c r="P596" s="468" t="str">
        <f>IFERROR(VLOOKUP(B596,'03. THIẾT BỊ'!$B$1:$S$836,15,0),"")</f>
        <v>CAMBODIA</v>
      </c>
      <c r="Q596" s="48" t="str">
        <f>IFERROR(VLOOKUP(B596,'03. THIẾT BỊ'!$B$1:$S$836,16,0),"")</f>
        <v/>
      </c>
      <c r="R596" s="471" t="str">
        <f>IFERROR(VLOOKUP(B596,'03. THIẾT BỊ'!$B$1:$S$836,17,0),"")</f>
        <v>3HP</v>
      </c>
      <c r="S596" s="468" t="str">
        <f>IFERROR(VLOOKUP(B596,'03. THIẾT BỊ'!$B$1:$S$836,18,0),"")</f>
        <v/>
      </c>
      <c r="T596" s="812"/>
    </row>
    <row r="597" ht="15.0" customHeight="1">
      <c r="A597" s="463">
        <f t="shared" si="30"/>
        <v>14</v>
      </c>
      <c r="B597" s="464" t="s">
        <v>4147</v>
      </c>
      <c r="C597" s="869" t="str">
        <f>IFERROR(VLOOKUP(B597,'03. THIẾT BỊ'!$B$1:$S$836,2,0),"")</f>
        <v/>
      </c>
      <c r="D597" s="470" t="str">
        <f>IFERROR(VLOOKUP(B597,'03. THIẾT BỊ'!$B$1:$S$836,3,0),"")</f>
        <v/>
      </c>
      <c r="E597" s="464" t="str">
        <f>IFERROR(VLOOKUP(B597,'03. THIẾT BỊ'!$B$1:$S$836,4,0),"")</f>
        <v>ĐQSD</v>
      </c>
      <c r="F597" s="464" t="str">
        <f>IFERROR(VLOOKUP(B597,'03. THIẾT BỊ'!$B$1:$S$836,5,0),"")</f>
        <v>Máy cao áp phun thuốc</v>
      </c>
      <c r="G597" s="80" t="s">
        <v>6423</v>
      </c>
      <c r="H597" s="463" t="str">
        <f>IFERROR(VLOOKUP(B597,'03. THIẾT BỊ'!$B$1:$S$836,7,0),"")</f>
        <v>XN Chuối DP2</v>
      </c>
      <c r="I597" s="474" t="str">
        <f>IFERROR(VLOOKUP(B597,'03. THIẾT BỊ'!$B$1:$S$836,8,0),"")</f>
        <v/>
      </c>
      <c r="J597" s="471"/>
      <c r="K597" s="463" t="str">
        <f>IFERROR(VLOOKUP(B597,'03. THIẾT BỊ'!$B$1:$S$836,10,0),"")</f>
        <v>Bình thường</v>
      </c>
      <c r="L597" s="468" t="str">
        <f>IFERROR(VLOOKUP(B597,'03. THIẾT BỊ'!$B$1:$S$836,11,0),"")</f>
        <v/>
      </c>
      <c r="M597" s="472" t="str">
        <f>IFERROR(VLOOKUP(B597,'03. THIẾT BỊ'!$B$1:$S$836,12,0),"")</f>
        <v>phun thuốc bảo quản, xử lý rệp sáp</v>
      </c>
      <c r="N597" s="468" t="str">
        <f>IFERROR(VLOOKUP(B597,'03. THIẾT BỊ'!$B$1:$S$836,13,0),"")</f>
        <v>CAMBODIA</v>
      </c>
      <c r="O597" s="470" t="str">
        <f>IFERROR(VLOOKUP(B597,'03. THIẾT BỊ'!$B$1:$S$836,14,0),"")</f>
        <v>MR-48</v>
      </c>
      <c r="P597" s="468" t="str">
        <f>IFERROR(VLOOKUP(B597,'03. THIẾT BỊ'!$B$1:$S$836,15,0),"")</f>
        <v>CAMBODIA</v>
      </c>
      <c r="Q597" s="48" t="str">
        <f>IFERROR(VLOOKUP(B597,'03. THIẾT BỊ'!$B$1:$S$836,16,0),"")</f>
        <v/>
      </c>
      <c r="R597" s="471" t="str">
        <f>IFERROR(VLOOKUP(B597,'03. THIẾT BỊ'!$B$1:$S$836,17,0),"")</f>
        <v>3HP</v>
      </c>
      <c r="S597" s="468" t="str">
        <f>IFERROR(VLOOKUP(B597,'03. THIẾT BỊ'!$B$1:$S$836,18,0),"")</f>
        <v/>
      </c>
      <c r="T597" s="812"/>
    </row>
    <row r="598" ht="15.0" customHeight="1">
      <c r="A598" s="463">
        <f t="shared" si="30"/>
        <v>15</v>
      </c>
      <c r="B598" s="464" t="s">
        <v>4148</v>
      </c>
      <c r="C598" s="869" t="str">
        <f>IFERROR(VLOOKUP(B598,'03. THIẾT BỊ'!$B$1:$S$836,2,0),"")</f>
        <v/>
      </c>
      <c r="D598" s="470" t="str">
        <f>IFERROR(VLOOKUP(B598,'03. THIẾT BỊ'!$B$1:$S$836,3,0),"")</f>
        <v/>
      </c>
      <c r="E598" s="464" t="str">
        <f>IFERROR(VLOOKUP(B598,'03. THIẾT BỊ'!$B$1:$S$836,4,0),"")</f>
        <v>ĐQSD</v>
      </c>
      <c r="F598" s="464" t="str">
        <f>IFERROR(VLOOKUP(B598,'03. THIẾT BỊ'!$B$1:$S$836,5,0),"")</f>
        <v>Máy cao áp phun thuốc</v>
      </c>
      <c r="G598" s="80" t="s">
        <v>6423</v>
      </c>
      <c r="H598" s="463" t="str">
        <f>IFERROR(VLOOKUP(B598,'03. THIẾT BỊ'!$B$1:$S$836,7,0),"")</f>
        <v>XN Chuối DP2</v>
      </c>
      <c r="I598" s="474" t="str">
        <f>IFERROR(VLOOKUP(B598,'03. THIẾT BỊ'!$B$1:$S$836,8,0),"")</f>
        <v/>
      </c>
      <c r="J598" s="471"/>
      <c r="K598" s="463" t="str">
        <f>IFERROR(VLOOKUP(B598,'03. THIẾT BỊ'!$B$1:$S$836,10,0),"")</f>
        <v>Bình thường</v>
      </c>
      <c r="L598" s="468" t="str">
        <f>IFERROR(VLOOKUP(B598,'03. THIẾT BỊ'!$B$1:$S$836,11,0),"")</f>
        <v/>
      </c>
      <c r="M598" s="472" t="str">
        <f>IFERROR(VLOOKUP(B598,'03. THIẾT BỊ'!$B$1:$S$836,12,0),"")</f>
        <v>Phun nấm lá, Rệp, Vi sinh, thuốc BVTV</v>
      </c>
      <c r="N598" s="468" t="str">
        <f>IFERROR(VLOOKUP(B598,'03. THIẾT BỊ'!$B$1:$S$836,13,0),"")</f>
        <v>CAMBODIA</v>
      </c>
      <c r="O598" s="470" t="str">
        <f>IFERROR(VLOOKUP(B598,'03. THIẾT BỊ'!$B$1:$S$836,14,0),"")</f>
        <v>MR-48</v>
      </c>
      <c r="P598" s="468" t="str">
        <f>IFERROR(VLOOKUP(B598,'03. THIẾT BỊ'!$B$1:$S$836,15,0),"")</f>
        <v>CAMBODIA</v>
      </c>
      <c r="Q598" s="48" t="str">
        <f>IFERROR(VLOOKUP(B598,'03. THIẾT BỊ'!$B$1:$S$836,16,0),"")</f>
        <v/>
      </c>
      <c r="R598" s="471" t="str">
        <f>IFERROR(VLOOKUP(B598,'03. THIẾT BỊ'!$B$1:$S$836,17,0),"")</f>
        <v>3HP</v>
      </c>
      <c r="S598" s="468" t="str">
        <f>IFERROR(VLOOKUP(B598,'03. THIẾT BỊ'!$B$1:$S$836,18,0),"")</f>
        <v/>
      </c>
      <c r="T598" s="812"/>
    </row>
    <row r="599" ht="15.0" customHeight="1">
      <c r="A599" s="463">
        <f t="shared" si="30"/>
        <v>16</v>
      </c>
      <c r="B599" s="464" t="s">
        <v>4150</v>
      </c>
      <c r="C599" s="869" t="str">
        <f>IFERROR(VLOOKUP(B599,'03. THIẾT BỊ'!$B$1:$S$836,2,0),"")</f>
        <v/>
      </c>
      <c r="D599" s="470" t="str">
        <f>IFERROR(VLOOKUP(B599,'03. THIẾT BỊ'!$B$1:$S$836,3,0),"")</f>
        <v/>
      </c>
      <c r="E599" s="464" t="str">
        <f>IFERROR(VLOOKUP(B599,'03. THIẾT BỊ'!$B$1:$S$836,4,0),"")</f>
        <v>ĐQSD</v>
      </c>
      <c r="F599" s="464" t="str">
        <f>IFERROR(VLOOKUP(B599,'03. THIẾT BỊ'!$B$1:$S$836,5,0),"")</f>
        <v>Máy cao áp phun thuốc</v>
      </c>
      <c r="G599" s="80" t="s">
        <v>6423</v>
      </c>
      <c r="H599" s="463" t="str">
        <f>IFERROR(VLOOKUP(B599,'03. THIẾT BỊ'!$B$1:$S$836,7,0),"")</f>
        <v>XN Chuối DP2</v>
      </c>
      <c r="I599" s="474" t="str">
        <f>IFERROR(VLOOKUP(B599,'03. THIẾT BỊ'!$B$1:$S$836,8,0),"")</f>
        <v/>
      </c>
      <c r="J599" s="471"/>
      <c r="K599" s="463" t="str">
        <f>IFERROR(VLOOKUP(B599,'03. THIẾT BỊ'!$B$1:$S$836,10,0),"")</f>
        <v>Bình thường</v>
      </c>
      <c r="L599" s="468" t="str">
        <f>IFERROR(VLOOKUP(B599,'03. THIẾT BỊ'!$B$1:$S$836,11,0),"")</f>
        <v/>
      </c>
      <c r="M599" s="472" t="str">
        <f>IFERROR(VLOOKUP(B599,'03. THIẾT BỊ'!$B$1:$S$836,12,0),"")</f>
        <v>Phun nấm lá, Rệp, Vi sinh, thuốc BVTV</v>
      </c>
      <c r="N599" s="468" t="str">
        <f>IFERROR(VLOOKUP(B599,'03. THIẾT BỊ'!$B$1:$S$836,13,0),"")</f>
        <v>CAMBODIA</v>
      </c>
      <c r="O599" s="470" t="str">
        <f>IFERROR(VLOOKUP(B599,'03. THIẾT BỊ'!$B$1:$S$836,14,0),"")</f>
        <v>MR-28</v>
      </c>
      <c r="P599" s="468" t="str">
        <f>IFERROR(VLOOKUP(B599,'03. THIẾT BỊ'!$B$1:$S$836,15,0),"")</f>
        <v>CAMBODIA</v>
      </c>
      <c r="Q599" s="48" t="str">
        <f>IFERROR(VLOOKUP(B599,'03. THIẾT BỊ'!$B$1:$S$836,16,0),"")</f>
        <v/>
      </c>
      <c r="R599" s="471" t="str">
        <f>IFERROR(VLOOKUP(B599,'03. THIẾT BỊ'!$B$1:$S$836,17,0),"")</f>
        <v>1.5HP</v>
      </c>
      <c r="S599" s="468" t="str">
        <f>IFERROR(VLOOKUP(B599,'03. THIẾT BỊ'!$B$1:$S$836,18,0),"")</f>
        <v/>
      </c>
      <c r="T599" s="812"/>
    </row>
    <row r="600" ht="15.0" customHeight="1">
      <c r="A600" s="463">
        <f t="shared" si="30"/>
        <v>17</v>
      </c>
      <c r="B600" s="464" t="s">
        <v>4153</v>
      </c>
      <c r="C600" s="869" t="str">
        <f>IFERROR(VLOOKUP(B600,'03. THIẾT BỊ'!$B$1:$S$836,2,0),"")</f>
        <v/>
      </c>
      <c r="D600" s="470" t="str">
        <f>IFERROR(VLOOKUP(B600,'03. THIẾT BỊ'!$B$1:$S$836,3,0),"")</f>
        <v/>
      </c>
      <c r="E600" s="464" t="str">
        <f>IFERROR(VLOOKUP(B600,'03. THIẾT BỊ'!$B$1:$S$836,4,0),"")</f>
        <v>ĐQSD</v>
      </c>
      <c r="F600" s="464" t="str">
        <f>IFERROR(VLOOKUP(B600,'03. THIẾT BỊ'!$B$1:$S$836,5,0),"")</f>
        <v>Máy cao áp phun thuốc</v>
      </c>
      <c r="G600" s="80" t="s">
        <v>6423</v>
      </c>
      <c r="H600" s="463" t="str">
        <f>IFERROR(VLOOKUP(B600,'03. THIẾT BỊ'!$B$1:$S$836,7,0),"")</f>
        <v>XN Chuối DP2</v>
      </c>
      <c r="I600" s="474" t="str">
        <f>IFERROR(VLOOKUP(B600,'03. THIẾT BỊ'!$B$1:$S$836,8,0),"")</f>
        <v>20/12/2024</v>
      </c>
      <c r="J600" s="471"/>
      <c r="K600" s="463" t="str">
        <f>IFERROR(VLOOKUP(B600,'03. THIẾT BỊ'!$B$1:$S$836,10,0),"")</f>
        <v>Bình thường</v>
      </c>
      <c r="L600" s="468" t="str">
        <f>IFERROR(VLOOKUP(B600,'03. THIẾT BỊ'!$B$1:$S$836,11,0),"")</f>
        <v/>
      </c>
      <c r="M600" s="472" t="str">
        <f>IFERROR(VLOOKUP(B600,'03. THIẾT BỊ'!$B$1:$S$836,12,0),"")</f>
        <v>XĐG</v>
      </c>
      <c r="N600" s="468" t="str">
        <f>IFERROR(VLOOKUP(B600,'03. THIẾT BỊ'!$B$1:$S$836,13,0),"")</f>
        <v>CAMBODIA</v>
      </c>
      <c r="O600" s="470" t="str">
        <f>IFERROR(VLOOKUP(B600,'03. THIẾT BỊ'!$B$1:$S$836,14,0),"")</f>
        <v>KB-530 + Motor</v>
      </c>
      <c r="P600" s="468" t="str">
        <f>IFERROR(VLOOKUP(B600,'03. THIẾT BỊ'!$B$1:$S$836,15,0),"")</f>
        <v>CAMBODIA</v>
      </c>
      <c r="Q600" s="48" t="str">
        <f>IFERROR(VLOOKUP(B600,'03. THIẾT BỊ'!$B$1:$S$836,16,0),"")</f>
        <v/>
      </c>
      <c r="R600" s="471" t="str">
        <f>IFERROR(VLOOKUP(B600,'03. THIẾT BỊ'!$B$1:$S$836,17,0),"")</f>
        <v>2HP</v>
      </c>
      <c r="S600" s="468" t="str">
        <f>IFERROR(VLOOKUP(B600,'03. THIẾT BỊ'!$B$1:$S$836,18,0),"")</f>
        <v/>
      </c>
      <c r="T600" s="812"/>
    </row>
    <row r="601" ht="15.0" customHeight="1">
      <c r="A601" s="463">
        <f t="shared" si="30"/>
        <v>18</v>
      </c>
      <c r="B601" s="464" t="s">
        <v>4159</v>
      </c>
      <c r="C601" s="869" t="str">
        <f>IFERROR(VLOOKUP(B601,'03. THIẾT BỊ'!$B$1:$S$836,2,0),"")</f>
        <v/>
      </c>
      <c r="D601" s="470" t="str">
        <f>IFERROR(VLOOKUP(B601,'03. THIẾT BỊ'!$B$1:$S$836,3,0),"")</f>
        <v/>
      </c>
      <c r="E601" s="464" t="str">
        <f>IFERROR(VLOOKUP(B601,'03. THIẾT BỊ'!$B$1:$S$836,4,0),"")</f>
        <v>ĐQSD</v>
      </c>
      <c r="F601" s="464" t="str">
        <f>IFERROR(VLOOKUP(B601,'03. THIẾT BỊ'!$B$1:$S$836,5,0),"")</f>
        <v>Máy cao áp phun thuốc</v>
      </c>
      <c r="G601" s="80" t="s">
        <v>6423</v>
      </c>
      <c r="H601" s="463" t="str">
        <f>IFERROR(VLOOKUP(B601,'03. THIẾT BỊ'!$B$1:$S$836,7,0),"")</f>
        <v>XN Chuối DP2</v>
      </c>
      <c r="I601" s="474" t="str">
        <f>IFERROR(VLOOKUP(B601,'03. THIẾT BỊ'!$B$1:$S$836,8,0),"")</f>
        <v>20/12/2024</v>
      </c>
      <c r="J601" s="471"/>
      <c r="K601" s="463" t="str">
        <f>IFERROR(VLOOKUP(B601,'03. THIẾT BỊ'!$B$1:$S$836,10,0),"")</f>
        <v>Bình thường</v>
      </c>
      <c r="L601" s="468" t="str">
        <f>IFERROR(VLOOKUP(B601,'03. THIẾT BỊ'!$B$1:$S$836,11,0),"")</f>
        <v/>
      </c>
      <c r="M601" s="472" t="str">
        <f>IFERROR(VLOOKUP(B601,'03. THIẾT BỊ'!$B$1:$S$836,12,0),"")</f>
        <v>XĐG</v>
      </c>
      <c r="N601" s="468" t="str">
        <f>IFERROR(VLOOKUP(B601,'03. THIẾT BỊ'!$B$1:$S$836,13,0),"")</f>
        <v>CAMBODIA</v>
      </c>
      <c r="O601" s="470" t="str">
        <f>IFERROR(VLOOKUP(B601,'03. THIẾT BỊ'!$B$1:$S$836,14,0),"")</f>
        <v>KB-530 + Motor</v>
      </c>
      <c r="P601" s="468" t="str">
        <f>IFERROR(VLOOKUP(B601,'03. THIẾT BỊ'!$B$1:$S$836,15,0),"")</f>
        <v>CAMBODIA</v>
      </c>
      <c r="Q601" s="48" t="str">
        <f>IFERROR(VLOOKUP(B601,'03. THIẾT BỊ'!$B$1:$S$836,16,0),"")</f>
        <v/>
      </c>
      <c r="R601" s="471" t="str">
        <f>IFERROR(VLOOKUP(B601,'03. THIẾT BỊ'!$B$1:$S$836,17,0),"")</f>
        <v>2HP</v>
      </c>
      <c r="S601" s="468" t="str">
        <f>IFERROR(VLOOKUP(B601,'03. THIẾT BỊ'!$B$1:$S$836,18,0),"")</f>
        <v/>
      </c>
      <c r="T601" s="812"/>
    </row>
    <row r="602" ht="15.0" customHeight="1">
      <c r="A602" s="463">
        <f t="shared" si="30"/>
        <v>19</v>
      </c>
      <c r="B602" s="464" t="s">
        <v>4160</v>
      </c>
      <c r="C602" s="869" t="str">
        <f>IFERROR(VLOOKUP(B602,'03. THIẾT BỊ'!$B$1:$S$836,2,0),"")</f>
        <v/>
      </c>
      <c r="D602" s="470" t="str">
        <f>IFERROR(VLOOKUP(B602,'03. THIẾT BỊ'!$B$1:$S$836,3,0),"")</f>
        <v/>
      </c>
      <c r="E602" s="464" t="str">
        <f>IFERROR(VLOOKUP(B602,'03. THIẾT BỊ'!$B$1:$S$836,4,0),"")</f>
        <v>ĐQSD</v>
      </c>
      <c r="F602" s="464" t="str">
        <f>IFERROR(VLOOKUP(B602,'03. THIẾT BỊ'!$B$1:$S$836,5,0),"")</f>
        <v>Máy cao áp phun thuốc</v>
      </c>
      <c r="G602" s="80" t="s">
        <v>6423</v>
      </c>
      <c r="H602" s="463" t="str">
        <f>IFERROR(VLOOKUP(B602,'03. THIẾT BỊ'!$B$1:$S$836,7,0),"")</f>
        <v>XN Chuối DP2</v>
      </c>
      <c r="I602" s="474" t="str">
        <f>IFERROR(VLOOKUP(B602,'03. THIẾT BỊ'!$B$1:$S$836,8,0),"")</f>
        <v>20/12/2024</v>
      </c>
      <c r="J602" s="471"/>
      <c r="K602" s="463" t="str">
        <f>IFERROR(VLOOKUP(B602,'03. THIẾT BỊ'!$B$1:$S$836,10,0),"")</f>
        <v>Bình thường</v>
      </c>
      <c r="L602" s="468" t="str">
        <f>IFERROR(VLOOKUP(B602,'03. THIẾT BỊ'!$B$1:$S$836,11,0),"")</f>
        <v/>
      </c>
      <c r="M602" s="472" t="str">
        <f>IFERROR(VLOOKUP(B602,'03. THIẾT BỊ'!$B$1:$S$836,12,0),"")</f>
        <v>XĐG</v>
      </c>
      <c r="N602" s="468" t="str">
        <f>IFERROR(VLOOKUP(B602,'03. THIẾT BỊ'!$B$1:$S$836,13,0),"")</f>
        <v>CAMBODIA</v>
      </c>
      <c r="O602" s="470" t="str">
        <f>IFERROR(VLOOKUP(B602,'03. THIẾT BỊ'!$B$1:$S$836,14,0),"")</f>
        <v>KB-530 + Motor</v>
      </c>
      <c r="P602" s="468" t="str">
        <f>IFERROR(VLOOKUP(B602,'03. THIẾT BỊ'!$B$1:$S$836,15,0),"")</f>
        <v>CAMBODIA</v>
      </c>
      <c r="Q602" s="48" t="str">
        <f>IFERROR(VLOOKUP(B602,'03. THIẾT BỊ'!$B$1:$S$836,16,0),"")</f>
        <v/>
      </c>
      <c r="R602" s="471" t="str">
        <f>IFERROR(VLOOKUP(B602,'03. THIẾT BỊ'!$B$1:$S$836,17,0),"")</f>
        <v>2HP</v>
      </c>
      <c r="S602" s="468" t="str">
        <f>IFERROR(VLOOKUP(B602,'03. THIẾT BỊ'!$B$1:$S$836,18,0),"")</f>
        <v/>
      </c>
      <c r="T602" s="812"/>
    </row>
    <row r="603" ht="15.0" customHeight="1">
      <c r="A603" s="463">
        <f t="shared" si="30"/>
        <v>20</v>
      </c>
      <c r="B603" s="464" t="s">
        <v>4161</v>
      </c>
      <c r="C603" s="869" t="str">
        <f>IFERROR(VLOOKUP(B603,'03. THIẾT BỊ'!$B$1:$S$836,2,0),"")</f>
        <v/>
      </c>
      <c r="D603" s="470" t="str">
        <f>IFERROR(VLOOKUP(B603,'03. THIẾT BỊ'!$B$1:$S$836,3,0),"")</f>
        <v/>
      </c>
      <c r="E603" s="464" t="str">
        <f>IFERROR(VLOOKUP(B603,'03. THIẾT BỊ'!$B$1:$S$836,4,0),"")</f>
        <v>ĐQSD</v>
      </c>
      <c r="F603" s="464" t="str">
        <f>IFERROR(VLOOKUP(B603,'03. THIẾT BỊ'!$B$1:$S$836,5,0),"")</f>
        <v>Máy cao áp phun thuốc</v>
      </c>
      <c r="G603" s="80" t="s">
        <v>6423</v>
      </c>
      <c r="H603" s="463" t="str">
        <f>IFERROR(VLOOKUP(B603,'03. THIẾT BỊ'!$B$1:$S$836,7,0),"")</f>
        <v>XN Chuối DP2</v>
      </c>
      <c r="I603" s="474" t="str">
        <f>IFERROR(VLOOKUP(B603,'03. THIẾT BỊ'!$B$1:$S$836,8,0),"")</f>
        <v>20/12/2024</v>
      </c>
      <c r="J603" s="471"/>
      <c r="K603" s="463" t="str">
        <f>IFERROR(VLOOKUP(B603,'03. THIẾT BỊ'!$B$1:$S$836,10,0),"")</f>
        <v>Bình thường</v>
      </c>
      <c r="L603" s="468" t="str">
        <f>IFERROR(VLOOKUP(B603,'03. THIẾT BỊ'!$B$1:$S$836,11,0),"")</f>
        <v/>
      </c>
      <c r="M603" s="472" t="str">
        <f>IFERROR(VLOOKUP(B603,'03. THIẾT BỊ'!$B$1:$S$836,12,0),"")</f>
        <v>XĐG</v>
      </c>
      <c r="N603" s="468" t="str">
        <f>IFERROR(VLOOKUP(B603,'03. THIẾT BỊ'!$B$1:$S$836,13,0),"")</f>
        <v>CAMBODIA</v>
      </c>
      <c r="O603" s="470" t="str">
        <f>IFERROR(VLOOKUP(B603,'03. THIẾT BỊ'!$B$1:$S$836,14,0),"")</f>
        <v>KB-530 + Motor</v>
      </c>
      <c r="P603" s="468" t="str">
        <f>IFERROR(VLOOKUP(B603,'03. THIẾT BỊ'!$B$1:$S$836,15,0),"")</f>
        <v>CAMBODIA</v>
      </c>
      <c r="Q603" s="48" t="str">
        <f>IFERROR(VLOOKUP(B603,'03. THIẾT BỊ'!$B$1:$S$836,16,0),"")</f>
        <v/>
      </c>
      <c r="R603" s="471" t="str">
        <f>IFERROR(VLOOKUP(B603,'03. THIẾT BỊ'!$B$1:$S$836,17,0),"")</f>
        <v>2HP</v>
      </c>
      <c r="S603" s="468" t="str">
        <f>IFERROR(VLOOKUP(B603,'03. THIẾT BỊ'!$B$1:$S$836,18,0),"")</f>
        <v/>
      </c>
      <c r="T603" s="812"/>
    </row>
    <row r="604" ht="15.0" customHeight="1">
      <c r="A604" s="463">
        <f t="shared" si="30"/>
        <v>21</v>
      </c>
      <c r="B604" s="464" t="s">
        <v>4162</v>
      </c>
      <c r="C604" s="869" t="str">
        <f>IFERROR(VLOOKUP(B604,'03. THIẾT BỊ'!$B$1:$S$836,2,0),"")</f>
        <v/>
      </c>
      <c r="D604" s="470" t="str">
        <f>IFERROR(VLOOKUP(B604,'03. THIẾT BỊ'!$B$1:$S$836,3,0),"")</f>
        <v/>
      </c>
      <c r="E604" s="464" t="str">
        <f>IFERROR(VLOOKUP(B604,'03. THIẾT BỊ'!$B$1:$S$836,4,0),"")</f>
        <v>ĐQSD</v>
      </c>
      <c r="F604" s="464" t="str">
        <f>IFERROR(VLOOKUP(B604,'03. THIẾT BỊ'!$B$1:$S$836,5,0),"")</f>
        <v>Máy cao áp phun thuốc</v>
      </c>
      <c r="G604" s="80" t="s">
        <v>6423</v>
      </c>
      <c r="H604" s="463" t="str">
        <f>IFERROR(VLOOKUP(B604,'03. THIẾT BỊ'!$B$1:$S$836,7,0),"")</f>
        <v>XN Chuối DP2</v>
      </c>
      <c r="I604" s="474" t="str">
        <f>IFERROR(VLOOKUP(B604,'03. THIẾT BỊ'!$B$1:$S$836,8,0),"")</f>
        <v>20/12/2024</v>
      </c>
      <c r="J604" s="471"/>
      <c r="K604" s="463" t="str">
        <f>IFERROR(VLOOKUP(B604,'03. THIẾT BỊ'!$B$1:$S$836,10,0),"")</f>
        <v>Bình thường</v>
      </c>
      <c r="L604" s="468" t="str">
        <f>IFERROR(VLOOKUP(B604,'03. THIẾT BỊ'!$B$1:$S$836,11,0),"")</f>
        <v/>
      </c>
      <c r="M604" s="472" t="str">
        <f>IFERROR(VLOOKUP(B604,'03. THIẾT BỊ'!$B$1:$S$836,12,0),"")</f>
        <v>Các NT</v>
      </c>
      <c r="N604" s="468" t="str">
        <f>IFERROR(VLOOKUP(B604,'03. THIẾT BỊ'!$B$1:$S$836,13,0),"")</f>
        <v>CAMBODIA</v>
      </c>
      <c r="O604" s="470" t="str">
        <f>IFERROR(VLOOKUP(B604,'03. THIẾT BỊ'!$B$1:$S$836,14,0),"")</f>
        <v>KB-80</v>
      </c>
      <c r="P604" s="468" t="str">
        <f>IFERROR(VLOOKUP(B604,'03. THIẾT BỊ'!$B$1:$S$836,15,0),"")</f>
        <v>CAMBODIA</v>
      </c>
      <c r="Q604" s="48" t="str">
        <f>IFERROR(VLOOKUP(B604,'03. THIẾT BỊ'!$B$1:$S$836,16,0),"")</f>
        <v/>
      </c>
      <c r="R604" s="471" t="str">
        <f>IFERROR(VLOOKUP(B604,'03. THIẾT BỊ'!$B$1:$S$836,17,0),"")</f>
        <v>7.5HP</v>
      </c>
      <c r="S604" s="468" t="str">
        <f>IFERROR(VLOOKUP(B604,'03. THIẾT BỊ'!$B$1:$S$836,18,0),"")</f>
        <v/>
      </c>
      <c r="T604" s="812"/>
    </row>
    <row r="605" ht="15.0" customHeight="1">
      <c r="A605" s="463">
        <f t="shared" si="30"/>
        <v>22</v>
      </c>
      <c r="B605" s="464" t="s">
        <v>4166</v>
      </c>
      <c r="C605" s="869" t="str">
        <f>IFERROR(VLOOKUP(B605,'03. THIẾT BỊ'!$B$1:$S$836,2,0),"")</f>
        <v/>
      </c>
      <c r="D605" s="470" t="str">
        <f>IFERROR(VLOOKUP(B605,'03. THIẾT BỊ'!$B$1:$S$836,3,0),"")</f>
        <v/>
      </c>
      <c r="E605" s="464" t="str">
        <f>IFERROR(VLOOKUP(B605,'03. THIẾT BỊ'!$B$1:$S$836,4,0),"")</f>
        <v>ĐQSD</v>
      </c>
      <c r="F605" s="464" t="str">
        <f>IFERROR(VLOOKUP(B605,'03. THIẾT BỊ'!$B$1:$S$836,5,0),"")</f>
        <v>Máy cao áp phun thuốc</v>
      </c>
      <c r="G605" s="80" t="s">
        <v>6423</v>
      </c>
      <c r="H605" s="463" t="str">
        <f>IFERROR(VLOOKUP(B605,'03. THIẾT BỊ'!$B$1:$S$836,7,0),"")</f>
        <v>XN Chuối DP2</v>
      </c>
      <c r="I605" s="474" t="str">
        <f>IFERROR(VLOOKUP(B605,'03. THIẾT BỊ'!$B$1:$S$836,8,0),"")</f>
        <v>20/12/2024</v>
      </c>
      <c r="J605" s="471"/>
      <c r="K605" s="463" t="str">
        <f>IFERROR(VLOOKUP(B605,'03. THIẾT BỊ'!$B$1:$S$836,10,0),"")</f>
        <v>Bình thường</v>
      </c>
      <c r="L605" s="468" t="str">
        <f>IFERROR(VLOOKUP(B605,'03. THIẾT BỊ'!$B$1:$S$836,11,0),"")</f>
        <v/>
      </c>
      <c r="M605" s="472" t="str">
        <f>IFERROR(VLOOKUP(B605,'03. THIẾT BỊ'!$B$1:$S$836,12,0),"")</f>
        <v>Các NT</v>
      </c>
      <c r="N605" s="468" t="str">
        <f>IFERROR(VLOOKUP(B605,'03. THIẾT BỊ'!$B$1:$S$836,13,0),"")</f>
        <v>CAMBODIA</v>
      </c>
      <c r="O605" s="470" t="str">
        <f>IFERROR(VLOOKUP(B605,'03. THIẾT BỊ'!$B$1:$S$836,14,0),"")</f>
        <v>KB-80</v>
      </c>
      <c r="P605" s="468" t="str">
        <f>IFERROR(VLOOKUP(B605,'03. THIẾT BỊ'!$B$1:$S$836,15,0),"")</f>
        <v>CAMBODIA</v>
      </c>
      <c r="Q605" s="48" t="str">
        <f>IFERROR(VLOOKUP(B605,'03. THIẾT BỊ'!$B$1:$S$836,16,0),"")</f>
        <v/>
      </c>
      <c r="R605" s="471" t="str">
        <f>IFERROR(VLOOKUP(B605,'03. THIẾT BỊ'!$B$1:$S$836,17,0),"")</f>
        <v>7.5HP</v>
      </c>
      <c r="S605" s="468" t="str">
        <f>IFERROR(VLOOKUP(B605,'03. THIẾT BỊ'!$B$1:$S$836,18,0),"")</f>
        <v/>
      </c>
      <c r="T605" s="812"/>
    </row>
    <row r="606" ht="15.0" customHeight="1">
      <c r="A606" s="463">
        <f t="shared" si="30"/>
        <v>23</v>
      </c>
      <c r="B606" s="464" t="s">
        <v>4167</v>
      </c>
      <c r="C606" s="869" t="str">
        <f>IFERROR(VLOOKUP(B606,'03. THIẾT BỊ'!$B$1:$S$836,2,0),"")</f>
        <v/>
      </c>
      <c r="D606" s="470" t="str">
        <f>IFERROR(VLOOKUP(B606,'03. THIẾT BỊ'!$B$1:$S$836,3,0),"")</f>
        <v/>
      </c>
      <c r="E606" s="464" t="str">
        <f>IFERROR(VLOOKUP(B606,'03. THIẾT BỊ'!$B$1:$S$836,4,0),"")</f>
        <v>ĐQSD</v>
      </c>
      <c r="F606" s="464" t="str">
        <f>IFERROR(VLOOKUP(B606,'03. THIẾT BỊ'!$B$1:$S$836,5,0),"")</f>
        <v>Máy cao áp phun thuốc</v>
      </c>
      <c r="G606" s="80" t="s">
        <v>6423</v>
      </c>
      <c r="H606" s="463" t="str">
        <f>IFERROR(VLOOKUP(B606,'03. THIẾT BỊ'!$B$1:$S$836,7,0),"")</f>
        <v>XN Chuối DP2</v>
      </c>
      <c r="I606" s="474" t="str">
        <f>IFERROR(VLOOKUP(B606,'03. THIẾT BỊ'!$B$1:$S$836,8,0),"")</f>
        <v>20/12/2024</v>
      </c>
      <c r="J606" s="471"/>
      <c r="K606" s="463" t="str">
        <f>IFERROR(VLOOKUP(B606,'03. THIẾT BỊ'!$B$1:$S$836,10,0),"")</f>
        <v>Bình thường</v>
      </c>
      <c r="L606" s="468" t="str">
        <f>IFERROR(VLOOKUP(B606,'03. THIẾT BỊ'!$B$1:$S$836,11,0),"")</f>
        <v/>
      </c>
      <c r="M606" s="472" t="str">
        <f>IFERROR(VLOOKUP(B606,'03. THIẾT BỊ'!$B$1:$S$836,12,0),"")</f>
        <v>Các NT</v>
      </c>
      <c r="N606" s="468" t="str">
        <f>IFERROR(VLOOKUP(B606,'03. THIẾT BỊ'!$B$1:$S$836,13,0),"")</f>
        <v>CAMBODIA</v>
      </c>
      <c r="O606" s="470" t="str">
        <f>IFERROR(VLOOKUP(B606,'03. THIẾT BỊ'!$B$1:$S$836,14,0),"")</f>
        <v>KB-80</v>
      </c>
      <c r="P606" s="468" t="str">
        <f>IFERROR(VLOOKUP(B606,'03. THIẾT BỊ'!$B$1:$S$836,15,0),"")</f>
        <v>CAMBODIA</v>
      </c>
      <c r="Q606" s="48" t="str">
        <f>IFERROR(VLOOKUP(B606,'03. THIẾT BỊ'!$B$1:$S$836,16,0),"")</f>
        <v/>
      </c>
      <c r="R606" s="471" t="str">
        <f>IFERROR(VLOOKUP(B606,'03. THIẾT BỊ'!$B$1:$S$836,17,0),"")</f>
        <v>7.5HP</v>
      </c>
      <c r="S606" s="468" t="str">
        <f>IFERROR(VLOOKUP(B606,'03. THIẾT BỊ'!$B$1:$S$836,18,0),"")</f>
        <v/>
      </c>
      <c r="T606" s="812"/>
    </row>
    <row r="607" ht="15.0" customHeight="1">
      <c r="A607" s="463">
        <f t="shared" si="30"/>
        <v>24</v>
      </c>
      <c r="B607" s="464" t="s">
        <v>4168</v>
      </c>
      <c r="C607" s="869" t="str">
        <f>IFERROR(VLOOKUP(B607,'03. THIẾT BỊ'!$B$1:$S$836,2,0),"")</f>
        <v/>
      </c>
      <c r="D607" s="470" t="str">
        <f>IFERROR(VLOOKUP(B607,'03. THIẾT BỊ'!$B$1:$S$836,3,0),"")</f>
        <v/>
      </c>
      <c r="E607" s="464" t="str">
        <f>IFERROR(VLOOKUP(B607,'03. THIẾT BỊ'!$B$1:$S$836,4,0),"")</f>
        <v>ĐQSD</v>
      </c>
      <c r="F607" s="464" t="str">
        <f>IFERROR(VLOOKUP(B607,'03. THIẾT BỊ'!$B$1:$S$836,5,0),"")</f>
        <v>Máy cao áp phun thuốc</v>
      </c>
      <c r="G607" s="80" t="s">
        <v>6423</v>
      </c>
      <c r="H607" s="463" t="str">
        <f>IFERROR(VLOOKUP(B607,'03. THIẾT BỊ'!$B$1:$S$836,7,0),"")</f>
        <v>XN Chuối DP2</v>
      </c>
      <c r="I607" s="474" t="str">
        <f>IFERROR(VLOOKUP(B607,'03. THIẾT BỊ'!$B$1:$S$836,8,0),"")</f>
        <v>20/12/2024</v>
      </c>
      <c r="J607" s="471"/>
      <c r="K607" s="463" t="str">
        <f>IFERROR(VLOOKUP(B607,'03. THIẾT BỊ'!$B$1:$S$836,10,0),"")</f>
        <v>Bình thường</v>
      </c>
      <c r="L607" s="468" t="str">
        <f>IFERROR(VLOOKUP(B607,'03. THIẾT BỊ'!$B$1:$S$836,11,0),"")</f>
        <v/>
      </c>
      <c r="M607" s="472" t="str">
        <f>IFERROR(VLOOKUP(B607,'03. THIẾT BỊ'!$B$1:$S$836,12,0),"")</f>
        <v>Các NT</v>
      </c>
      <c r="N607" s="468" t="str">
        <f>IFERROR(VLOOKUP(B607,'03. THIẾT BỊ'!$B$1:$S$836,13,0),"")</f>
        <v>CAMBODIA</v>
      </c>
      <c r="O607" s="470" t="str">
        <f>IFERROR(VLOOKUP(B607,'03. THIẾT BỊ'!$B$1:$S$836,14,0),"")</f>
        <v>KB-80</v>
      </c>
      <c r="P607" s="468" t="str">
        <f>IFERROR(VLOOKUP(B607,'03. THIẾT BỊ'!$B$1:$S$836,15,0),"")</f>
        <v>CAMBODIA</v>
      </c>
      <c r="Q607" s="48" t="str">
        <f>IFERROR(VLOOKUP(B607,'03. THIẾT BỊ'!$B$1:$S$836,16,0),"")</f>
        <v/>
      </c>
      <c r="R607" s="471" t="str">
        <f>IFERROR(VLOOKUP(B607,'03. THIẾT BỊ'!$B$1:$S$836,17,0),"")</f>
        <v>7.5HP</v>
      </c>
      <c r="S607" s="468" t="str">
        <f>IFERROR(VLOOKUP(B607,'03. THIẾT BỊ'!$B$1:$S$836,18,0),"")</f>
        <v/>
      </c>
      <c r="T607" s="812"/>
    </row>
    <row r="608" ht="15.0" customHeight="1">
      <c r="A608" s="463">
        <f t="shared" si="30"/>
        <v>25</v>
      </c>
      <c r="B608" s="464" t="s">
        <v>4169</v>
      </c>
      <c r="C608" s="869" t="str">
        <f>IFERROR(VLOOKUP(B608,'03. THIẾT BỊ'!$B$1:$S$836,2,0),"")</f>
        <v/>
      </c>
      <c r="D608" s="470" t="str">
        <f>IFERROR(VLOOKUP(B608,'03. THIẾT BỊ'!$B$1:$S$836,3,0),"")</f>
        <v/>
      </c>
      <c r="E608" s="464" t="str">
        <f>IFERROR(VLOOKUP(B608,'03. THIẾT BỊ'!$B$1:$S$836,4,0),"")</f>
        <v>ĐQSD</v>
      </c>
      <c r="F608" s="464" t="str">
        <f>IFERROR(VLOOKUP(B608,'03. THIẾT BỊ'!$B$1:$S$836,5,0),"")</f>
        <v>Máy cao áp phun thuốc</v>
      </c>
      <c r="G608" s="80" t="s">
        <v>6423</v>
      </c>
      <c r="H608" s="463" t="str">
        <f>IFERROR(VLOOKUP(B608,'03. THIẾT BỊ'!$B$1:$S$836,7,0),"")</f>
        <v>XN Chuối DP2</v>
      </c>
      <c r="I608" s="474">
        <f>IFERROR(VLOOKUP(B608,'03. THIẾT BỊ'!$B$1:$S$836,8,0),"")</f>
        <v>45809</v>
      </c>
      <c r="J608" s="471"/>
      <c r="K608" s="463" t="str">
        <f>IFERROR(VLOOKUP(B608,'03. THIẾT BỊ'!$B$1:$S$836,10,0),"")</f>
        <v>Bình thường</v>
      </c>
      <c r="L608" s="468" t="str">
        <f>IFERROR(VLOOKUP(B608,'03. THIẾT BỊ'!$B$1:$S$836,11,0),"")</f>
        <v/>
      </c>
      <c r="M608" s="472" t="str">
        <f>IFERROR(VLOOKUP(B608,'03. THIẾT BỊ'!$B$1:$S$836,12,0),"")</f>
        <v>Phun nấm lá, Rệp, Vi sinh, thuốc BVTV</v>
      </c>
      <c r="N608" s="468" t="str">
        <f>IFERROR(VLOOKUP(B608,'03. THIẾT BỊ'!$B$1:$S$836,13,0),"")</f>
        <v>CAMBODIA</v>
      </c>
      <c r="O608" s="470" t="str">
        <f>IFERROR(VLOOKUP(B608,'03. THIẾT BỊ'!$B$1:$S$836,14,0),"")</f>
        <v>1.5HP</v>
      </c>
      <c r="P608" s="468" t="str">
        <f>IFERROR(VLOOKUP(B608,'03. THIẾT BỊ'!$B$1:$S$836,15,0),"")</f>
        <v>CAMBODIA</v>
      </c>
      <c r="Q608" s="48" t="str">
        <f>IFERROR(VLOOKUP(B608,'03. THIẾT BỊ'!$B$1:$S$836,16,0),"")</f>
        <v/>
      </c>
      <c r="R608" s="471" t="str">
        <f>IFERROR(VLOOKUP(B608,'03. THIẾT BỊ'!$B$1:$S$836,17,0),"")</f>
        <v>1.5HP</v>
      </c>
      <c r="S608" s="468" t="str">
        <f>IFERROR(VLOOKUP(B608,'03. THIẾT BỊ'!$B$1:$S$836,18,0),"")</f>
        <v/>
      </c>
      <c r="T608" s="812"/>
    </row>
    <row r="609" ht="15.0" customHeight="1">
      <c r="A609" s="463">
        <f t="shared" si="30"/>
        <v>26</v>
      </c>
      <c r="B609" s="464" t="s">
        <v>4170</v>
      </c>
      <c r="C609" s="869" t="str">
        <f>IFERROR(VLOOKUP(B609,'03. THIẾT BỊ'!$B$1:$S$836,2,0),"")</f>
        <v/>
      </c>
      <c r="D609" s="470" t="str">
        <f>IFERROR(VLOOKUP(B609,'03. THIẾT BỊ'!$B$1:$S$836,3,0),"")</f>
        <v/>
      </c>
      <c r="E609" s="464" t="str">
        <f>IFERROR(VLOOKUP(B609,'03. THIẾT BỊ'!$B$1:$S$836,4,0),"")</f>
        <v>ĐQSD</v>
      </c>
      <c r="F609" s="464" t="str">
        <f>IFERROR(VLOOKUP(B609,'03. THIẾT BỊ'!$B$1:$S$836,5,0),"")</f>
        <v>Máy cao áp phun thuốc</v>
      </c>
      <c r="G609" s="80" t="s">
        <v>6423</v>
      </c>
      <c r="H609" s="463" t="str">
        <f>IFERROR(VLOOKUP(B609,'03. THIẾT BỊ'!$B$1:$S$836,7,0),"")</f>
        <v>XN Chuối DP2</v>
      </c>
      <c r="I609" s="474">
        <f>IFERROR(VLOOKUP(B609,'03. THIẾT BỊ'!$B$1:$S$836,8,0),"")</f>
        <v>45809</v>
      </c>
      <c r="J609" s="471"/>
      <c r="K609" s="463" t="str">
        <f>IFERROR(VLOOKUP(B609,'03. THIẾT BỊ'!$B$1:$S$836,10,0),"")</f>
        <v>Bình thường</v>
      </c>
      <c r="L609" s="468" t="str">
        <f>IFERROR(VLOOKUP(B609,'03. THIẾT BỊ'!$B$1:$S$836,11,0),"")</f>
        <v/>
      </c>
      <c r="M609" s="472" t="str">
        <f>IFERROR(VLOOKUP(B609,'03. THIẾT BỊ'!$B$1:$S$836,12,0),"")</f>
        <v>Phun nấm lá, Rệp, Vi sinh, thuốc BVTV</v>
      </c>
      <c r="N609" s="468" t="str">
        <f>IFERROR(VLOOKUP(B609,'03. THIẾT BỊ'!$B$1:$S$836,13,0),"")</f>
        <v>CAMBODIA</v>
      </c>
      <c r="O609" s="470" t="str">
        <f>IFERROR(VLOOKUP(B609,'03. THIẾT BỊ'!$B$1:$S$836,14,0),"")</f>
        <v>1.5HP</v>
      </c>
      <c r="P609" s="468" t="str">
        <f>IFERROR(VLOOKUP(B609,'03. THIẾT BỊ'!$B$1:$S$836,15,0),"")</f>
        <v>CAMBODIA</v>
      </c>
      <c r="Q609" s="48" t="str">
        <f>IFERROR(VLOOKUP(B609,'03. THIẾT BỊ'!$B$1:$S$836,16,0),"")</f>
        <v/>
      </c>
      <c r="R609" s="471" t="str">
        <f>IFERROR(VLOOKUP(B609,'03. THIẾT BỊ'!$B$1:$S$836,17,0),"")</f>
        <v>1.5HP</v>
      </c>
      <c r="S609" s="468" t="str">
        <f>IFERROR(VLOOKUP(B609,'03. THIẾT BỊ'!$B$1:$S$836,18,0),"")</f>
        <v/>
      </c>
      <c r="T609" s="812"/>
    </row>
    <row r="610" ht="15.0" customHeight="1">
      <c r="A610" s="463">
        <f t="shared" si="30"/>
        <v>27</v>
      </c>
      <c r="B610" s="464" t="s">
        <v>4171</v>
      </c>
      <c r="C610" s="869" t="str">
        <f>IFERROR(VLOOKUP(B610,'03. THIẾT BỊ'!$B$1:$S$836,2,0),"")</f>
        <v/>
      </c>
      <c r="D610" s="470" t="str">
        <f>IFERROR(VLOOKUP(B610,'03. THIẾT BỊ'!$B$1:$S$836,3,0),"")</f>
        <v/>
      </c>
      <c r="E610" s="464" t="str">
        <f>IFERROR(VLOOKUP(B610,'03. THIẾT BỊ'!$B$1:$S$836,4,0),"")</f>
        <v>ĐQSD</v>
      </c>
      <c r="F610" s="464" t="str">
        <f>IFERROR(VLOOKUP(B610,'03. THIẾT BỊ'!$B$1:$S$836,5,0),"")</f>
        <v>Máy cao áp phun thuốc</v>
      </c>
      <c r="G610" s="80" t="s">
        <v>6423</v>
      </c>
      <c r="H610" s="463" t="str">
        <f>IFERROR(VLOOKUP(B610,'03. THIẾT BỊ'!$B$1:$S$836,7,0),"")</f>
        <v>XN Chuối DP2</v>
      </c>
      <c r="I610" s="474">
        <f>IFERROR(VLOOKUP(B610,'03. THIẾT BỊ'!$B$1:$S$836,8,0),"")</f>
        <v>45809</v>
      </c>
      <c r="J610" s="471"/>
      <c r="K610" s="463" t="str">
        <f>IFERROR(VLOOKUP(B610,'03. THIẾT BỊ'!$B$1:$S$836,10,0),"")</f>
        <v>Bình thường</v>
      </c>
      <c r="L610" s="468" t="str">
        <f>IFERROR(VLOOKUP(B610,'03. THIẾT BỊ'!$B$1:$S$836,11,0),"")</f>
        <v/>
      </c>
      <c r="M610" s="472" t="str">
        <f>IFERROR(VLOOKUP(B610,'03. THIẾT BỊ'!$B$1:$S$836,12,0),"")</f>
        <v>Phun nấm lá, Rệp, Vi sinh, thuốc BVTV</v>
      </c>
      <c r="N610" s="468" t="str">
        <f>IFERROR(VLOOKUP(B610,'03. THIẾT BỊ'!$B$1:$S$836,13,0),"")</f>
        <v>CAMBODIA</v>
      </c>
      <c r="O610" s="470" t="str">
        <f>IFERROR(VLOOKUP(B610,'03. THIẾT BỊ'!$B$1:$S$836,14,0),"")</f>
        <v>1.5HP</v>
      </c>
      <c r="P610" s="468" t="str">
        <f>IFERROR(VLOOKUP(B610,'03. THIẾT BỊ'!$B$1:$S$836,15,0),"")</f>
        <v>CAMBODIA</v>
      </c>
      <c r="Q610" s="48" t="str">
        <f>IFERROR(VLOOKUP(B610,'03. THIẾT BỊ'!$B$1:$S$836,16,0),"")</f>
        <v/>
      </c>
      <c r="R610" s="471" t="str">
        <f>IFERROR(VLOOKUP(B610,'03. THIẾT BỊ'!$B$1:$S$836,17,0),"")</f>
        <v>1.5HP</v>
      </c>
      <c r="S610" s="468" t="str">
        <f>IFERROR(VLOOKUP(B610,'03. THIẾT BỊ'!$B$1:$S$836,18,0),"")</f>
        <v/>
      </c>
      <c r="T610" s="812"/>
    </row>
    <row r="611" ht="15.0" customHeight="1">
      <c r="A611" s="463">
        <f t="shared" si="30"/>
        <v>28</v>
      </c>
      <c r="B611" s="464" t="s">
        <v>4172</v>
      </c>
      <c r="C611" s="869" t="str">
        <f>IFERROR(VLOOKUP(B611,'03. THIẾT BỊ'!$B$1:$S$836,2,0),"")</f>
        <v/>
      </c>
      <c r="D611" s="470" t="str">
        <f>IFERROR(VLOOKUP(B611,'03. THIẾT BỊ'!$B$1:$S$836,3,0),"")</f>
        <v/>
      </c>
      <c r="E611" s="464" t="str">
        <f>IFERROR(VLOOKUP(B611,'03. THIẾT BỊ'!$B$1:$S$836,4,0),"")</f>
        <v>ĐQSD</v>
      </c>
      <c r="F611" s="464" t="str">
        <f>IFERROR(VLOOKUP(B611,'03. THIẾT BỊ'!$B$1:$S$836,5,0),"")</f>
        <v>Máy cao áp phun thuốc</v>
      </c>
      <c r="G611" s="80" t="s">
        <v>6423</v>
      </c>
      <c r="H611" s="463" t="str">
        <f>IFERROR(VLOOKUP(B611,'03. THIẾT BỊ'!$B$1:$S$836,7,0),"")</f>
        <v>XN Chuối DP2</v>
      </c>
      <c r="I611" s="474">
        <f>IFERROR(VLOOKUP(B611,'03. THIẾT BỊ'!$B$1:$S$836,8,0),"")</f>
        <v>45809</v>
      </c>
      <c r="J611" s="471"/>
      <c r="K611" s="463" t="str">
        <f>IFERROR(VLOOKUP(B611,'03. THIẾT BỊ'!$B$1:$S$836,10,0),"")</f>
        <v>Bình thường</v>
      </c>
      <c r="L611" s="468" t="str">
        <f>IFERROR(VLOOKUP(B611,'03. THIẾT BỊ'!$B$1:$S$836,11,0),"")</f>
        <v/>
      </c>
      <c r="M611" s="472" t="str">
        <f>IFERROR(VLOOKUP(B611,'03. THIẾT BỊ'!$B$1:$S$836,12,0),"")</f>
        <v>Phun nấm lá, Rệp, Vi sinh, thuốc BVTV</v>
      </c>
      <c r="N611" s="468" t="str">
        <f>IFERROR(VLOOKUP(B611,'03. THIẾT BỊ'!$B$1:$S$836,13,0),"")</f>
        <v>CAMBODIA</v>
      </c>
      <c r="O611" s="470" t="str">
        <f>IFERROR(VLOOKUP(B611,'03. THIẾT BỊ'!$B$1:$S$836,14,0),"")</f>
        <v>1.5HP</v>
      </c>
      <c r="P611" s="468" t="str">
        <f>IFERROR(VLOOKUP(B611,'03. THIẾT BỊ'!$B$1:$S$836,15,0),"")</f>
        <v>CAMBODIA</v>
      </c>
      <c r="Q611" s="48" t="str">
        <f>IFERROR(VLOOKUP(B611,'03. THIẾT BỊ'!$B$1:$S$836,16,0),"")</f>
        <v/>
      </c>
      <c r="R611" s="471" t="str">
        <f>IFERROR(VLOOKUP(B611,'03. THIẾT BỊ'!$B$1:$S$836,17,0),"")</f>
        <v>1.5HP</v>
      </c>
      <c r="S611" s="468" t="str">
        <f>IFERROR(VLOOKUP(B611,'03. THIẾT BỊ'!$B$1:$S$836,18,0),"")</f>
        <v/>
      </c>
      <c r="T611" s="812"/>
    </row>
    <row r="612" ht="15.0" customHeight="1">
      <c r="A612" s="463">
        <f t="shared" si="30"/>
        <v>29</v>
      </c>
      <c r="B612" s="486" t="s">
        <v>4255</v>
      </c>
      <c r="C612" s="869" t="str">
        <f>IFERROR(VLOOKUP(B612,'03. THIẾT BỊ'!$B$1:$S$836,2,0),"")</f>
        <v/>
      </c>
      <c r="D612" s="470" t="str">
        <f>IFERROR(VLOOKUP(B612,'03. THIẾT BỊ'!$B$1:$S$836,3,0),"")</f>
        <v/>
      </c>
      <c r="E612" s="464" t="str">
        <f>IFERROR(VLOOKUP(B612,'03. THIẾT BỊ'!$B$1:$S$836,4,0),"")</f>
        <v>ĐQSD</v>
      </c>
      <c r="F612" s="464" t="str">
        <f>IFERROR(VLOOKUP(B612,'03. THIẾT BỊ'!$B$1:$S$836,5,0),"")</f>
        <v>Máy cao áp phun thuốc</v>
      </c>
      <c r="G612" s="80" t="s">
        <v>6423</v>
      </c>
      <c r="H612" s="463" t="str">
        <f>IFERROR(VLOOKUP(B612,'03. THIẾT BỊ'!$B$1:$S$836,7,0),"")</f>
        <v>XN Chuối DP3</v>
      </c>
      <c r="I612" s="474" t="str">
        <f>IFERROR(VLOOKUP(B612,'03. THIẾT BỊ'!$B$1:$S$836,8,0),"")</f>
        <v/>
      </c>
      <c r="J612" s="471"/>
      <c r="K612" s="463" t="str">
        <f>IFERROR(VLOOKUP(B612,'03. THIẾT BỊ'!$B$1:$S$836,10,0),"")</f>
        <v>Bình thường</v>
      </c>
      <c r="L612" s="468" t="str">
        <f>IFERROR(VLOOKUP(B612,'03. THIẾT BỊ'!$B$1:$S$836,11,0),"")</f>
        <v/>
      </c>
      <c r="M612" s="472" t="str">
        <f>IFERROR(VLOOKUP(B612,'03. THIẾT BỊ'!$B$1:$S$836,12,0),"")</f>
        <v>XĐG</v>
      </c>
      <c r="N612" s="468" t="str">
        <f>IFERROR(VLOOKUP(B612,'03. THIẾT BỊ'!$B$1:$S$836,13,0),"")</f>
        <v>CAMBODIA</v>
      </c>
      <c r="O612" s="470" t="str">
        <f>IFERROR(VLOOKUP(B612,'03. THIẾT BỊ'!$B$1:$S$836,14,0),"")</f>
        <v>3HP</v>
      </c>
      <c r="P612" s="468" t="str">
        <f>IFERROR(VLOOKUP(B612,'03. THIẾT BỊ'!$B$1:$S$836,15,0),"")</f>
        <v>CAMBODIA</v>
      </c>
      <c r="Q612" s="48" t="str">
        <f>IFERROR(VLOOKUP(B612,'03. THIẾT BỊ'!$B$1:$S$836,16,0),"")</f>
        <v/>
      </c>
      <c r="R612" s="471" t="str">
        <f>IFERROR(VLOOKUP(B612,'03. THIẾT BỊ'!$B$1:$S$836,17,0),"")</f>
        <v>3HP</v>
      </c>
      <c r="S612" s="468" t="str">
        <f>IFERROR(VLOOKUP(B612,'03. THIẾT BỊ'!$B$1:$S$836,18,0),"")</f>
        <v/>
      </c>
      <c r="T612" s="1495"/>
    </row>
    <row r="613" ht="15.0" customHeight="1">
      <c r="A613" s="463">
        <f t="shared" si="30"/>
        <v>30</v>
      </c>
      <c r="B613" s="486" t="s">
        <v>4257</v>
      </c>
      <c r="C613" s="869" t="str">
        <f>IFERROR(VLOOKUP(B613,'03. THIẾT BỊ'!$B$1:$S$836,2,0),"")</f>
        <v/>
      </c>
      <c r="D613" s="470" t="str">
        <f>IFERROR(VLOOKUP(B613,'03. THIẾT BỊ'!$B$1:$S$836,3,0),"")</f>
        <v/>
      </c>
      <c r="E613" s="464" t="str">
        <f>IFERROR(VLOOKUP(B613,'03. THIẾT BỊ'!$B$1:$S$836,4,0),"")</f>
        <v>ĐQSD</v>
      </c>
      <c r="F613" s="464" t="str">
        <f>IFERROR(VLOOKUP(B613,'03. THIẾT BỊ'!$B$1:$S$836,5,0),"")</f>
        <v>Máy cao áp phun thuốc</v>
      </c>
      <c r="G613" s="80" t="s">
        <v>6423</v>
      </c>
      <c r="H613" s="463" t="str">
        <f>IFERROR(VLOOKUP(B613,'03. THIẾT BỊ'!$B$1:$S$836,7,0),"")</f>
        <v>XN Chuối DP3</v>
      </c>
      <c r="I613" s="474" t="str">
        <f>IFERROR(VLOOKUP(B613,'03. THIẾT BỊ'!$B$1:$S$836,8,0),"")</f>
        <v/>
      </c>
      <c r="J613" s="471"/>
      <c r="K613" s="463" t="str">
        <f>IFERROR(VLOOKUP(B613,'03. THIẾT BỊ'!$B$1:$S$836,10,0),"")</f>
        <v>Bình thường</v>
      </c>
      <c r="L613" s="468" t="str">
        <f>IFERROR(VLOOKUP(B613,'03. THIẾT BỊ'!$B$1:$S$836,11,0),"")</f>
        <v/>
      </c>
      <c r="M613" s="472" t="str">
        <f>IFERROR(VLOOKUP(B613,'03. THIẾT BỊ'!$B$1:$S$836,12,0),"")</f>
        <v>XĐG</v>
      </c>
      <c r="N613" s="468" t="str">
        <f>IFERROR(VLOOKUP(B613,'03. THIẾT BỊ'!$B$1:$S$836,13,0),"")</f>
        <v>CAMBODIA</v>
      </c>
      <c r="O613" s="470" t="str">
        <f>IFERROR(VLOOKUP(B613,'03. THIẾT BỊ'!$B$1:$S$836,14,0),"")</f>
        <v>3HP</v>
      </c>
      <c r="P613" s="468" t="str">
        <f>IFERROR(VLOOKUP(B613,'03. THIẾT BỊ'!$B$1:$S$836,15,0),"")</f>
        <v>CAMBODIA</v>
      </c>
      <c r="Q613" s="48" t="str">
        <f>IFERROR(VLOOKUP(B613,'03. THIẾT BỊ'!$B$1:$S$836,16,0),"")</f>
        <v/>
      </c>
      <c r="R613" s="471" t="str">
        <f>IFERROR(VLOOKUP(B613,'03. THIẾT BỊ'!$B$1:$S$836,17,0),"")</f>
        <v>3HP</v>
      </c>
      <c r="S613" s="468" t="str">
        <f>IFERROR(VLOOKUP(B613,'03. THIẾT BỊ'!$B$1:$S$836,18,0),"")</f>
        <v/>
      </c>
      <c r="T613" s="1495"/>
    </row>
    <row r="614" ht="15.0" customHeight="1">
      <c r="A614" s="463">
        <f t="shared" si="30"/>
        <v>31</v>
      </c>
      <c r="B614" s="486" t="s">
        <v>4258</v>
      </c>
      <c r="C614" s="869" t="str">
        <f>IFERROR(VLOOKUP(B614,'03. THIẾT BỊ'!$B$1:$S$836,2,0),"")</f>
        <v/>
      </c>
      <c r="D614" s="470" t="str">
        <f>IFERROR(VLOOKUP(B614,'03. THIẾT BỊ'!$B$1:$S$836,3,0),"")</f>
        <v/>
      </c>
      <c r="E614" s="464" t="str">
        <f>IFERROR(VLOOKUP(B614,'03. THIẾT BỊ'!$B$1:$S$836,4,0),"")</f>
        <v>ĐQSD</v>
      </c>
      <c r="F614" s="464" t="str">
        <f>IFERROR(VLOOKUP(B614,'03. THIẾT BỊ'!$B$1:$S$836,5,0),"")</f>
        <v>Máy cao áp phun thuốc</v>
      </c>
      <c r="G614" s="80" t="s">
        <v>6423</v>
      </c>
      <c r="H614" s="463" t="str">
        <f>IFERROR(VLOOKUP(B614,'03. THIẾT BỊ'!$B$1:$S$836,7,0),"")</f>
        <v>XN Chuối DP3</v>
      </c>
      <c r="I614" s="474" t="str">
        <f>IFERROR(VLOOKUP(B614,'03. THIẾT BỊ'!$B$1:$S$836,8,0),"")</f>
        <v/>
      </c>
      <c r="J614" s="471"/>
      <c r="K614" s="463" t="str">
        <f>IFERROR(VLOOKUP(B614,'03. THIẾT BỊ'!$B$1:$S$836,10,0),"")</f>
        <v>Bình thường</v>
      </c>
      <c r="L614" s="468" t="str">
        <f>IFERROR(VLOOKUP(B614,'03. THIẾT BỊ'!$B$1:$S$836,11,0),"")</f>
        <v/>
      </c>
      <c r="M614" s="472" t="str">
        <f>IFERROR(VLOOKUP(B614,'03. THIẾT BỊ'!$B$1:$S$836,12,0),"")</f>
        <v>XĐG</v>
      </c>
      <c r="N614" s="468" t="str">
        <f>IFERROR(VLOOKUP(B614,'03. THIẾT BỊ'!$B$1:$S$836,13,0),"")</f>
        <v>CAMBODIA</v>
      </c>
      <c r="O614" s="470" t="str">
        <f>IFERROR(VLOOKUP(B614,'03. THIẾT BỊ'!$B$1:$S$836,14,0),"")</f>
        <v>3HP</v>
      </c>
      <c r="P614" s="468" t="str">
        <f>IFERROR(VLOOKUP(B614,'03. THIẾT BỊ'!$B$1:$S$836,15,0),"")</f>
        <v>CAMBODIA</v>
      </c>
      <c r="Q614" s="48" t="str">
        <f>IFERROR(VLOOKUP(B614,'03. THIẾT BỊ'!$B$1:$S$836,16,0),"")</f>
        <v/>
      </c>
      <c r="R614" s="471" t="str">
        <f>IFERROR(VLOOKUP(B614,'03. THIẾT BỊ'!$B$1:$S$836,17,0),"")</f>
        <v>3HP</v>
      </c>
      <c r="S614" s="468" t="str">
        <f>IFERROR(VLOOKUP(B614,'03. THIẾT BỊ'!$B$1:$S$836,18,0),"")</f>
        <v/>
      </c>
      <c r="T614" s="1495"/>
    </row>
    <row r="615" ht="15.0" customHeight="1">
      <c r="A615" s="463">
        <f t="shared" si="30"/>
        <v>32</v>
      </c>
      <c r="B615" s="486" t="s">
        <v>4259</v>
      </c>
      <c r="C615" s="869" t="str">
        <f>IFERROR(VLOOKUP(B615,'03. THIẾT BỊ'!$B$1:$S$836,2,0),"")</f>
        <v/>
      </c>
      <c r="D615" s="470" t="str">
        <f>IFERROR(VLOOKUP(B615,'03. THIẾT BỊ'!$B$1:$S$836,3,0),"")</f>
        <v/>
      </c>
      <c r="E615" s="464" t="str">
        <f>IFERROR(VLOOKUP(B615,'03. THIẾT BỊ'!$B$1:$S$836,4,0),"")</f>
        <v>ĐQSD</v>
      </c>
      <c r="F615" s="464" t="str">
        <f>IFERROR(VLOOKUP(B615,'03. THIẾT BỊ'!$B$1:$S$836,5,0),"")</f>
        <v>Máy cao áp phun thuốc</v>
      </c>
      <c r="G615" s="80" t="s">
        <v>6423</v>
      </c>
      <c r="H615" s="463" t="str">
        <f>IFERROR(VLOOKUP(B615,'03. THIẾT BỊ'!$B$1:$S$836,7,0),"")</f>
        <v>XN Chuối DP3</v>
      </c>
      <c r="I615" s="474" t="str">
        <f>IFERROR(VLOOKUP(B615,'03. THIẾT BỊ'!$B$1:$S$836,8,0),"")</f>
        <v/>
      </c>
      <c r="J615" s="471"/>
      <c r="K615" s="463" t="str">
        <f>IFERROR(VLOOKUP(B615,'03. THIẾT BỊ'!$B$1:$S$836,10,0),"")</f>
        <v>Bình thường</v>
      </c>
      <c r="L615" s="468" t="str">
        <f>IFERROR(VLOOKUP(B615,'03. THIẾT BỊ'!$B$1:$S$836,11,0),"")</f>
        <v/>
      </c>
      <c r="M615" s="472" t="str">
        <f>IFERROR(VLOOKUP(B615,'03. THIẾT BỊ'!$B$1:$S$836,12,0),"")</f>
        <v>XĐG</v>
      </c>
      <c r="N615" s="468" t="str">
        <f>IFERROR(VLOOKUP(B615,'03. THIẾT BỊ'!$B$1:$S$836,13,0),"")</f>
        <v>CAMBODIA</v>
      </c>
      <c r="O615" s="470" t="str">
        <f>IFERROR(VLOOKUP(B615,'03. THIẾT BỊ'!$B$1:$S$836,14,0),"")</f>
        <v>3HP</v>
      </c>
      <c r="P615" s="468" t="str">
        <f>IFERROR(VLOOKUP(B615,'03. THIẾT BỊ'!$B$1:$S$836,15,0),"")</f>
        <v>CAMBODIA</v>
      </c>
      <c r="Q615" s="48" t="str">
        <f>IFERROR(VLOOKUP(B615,'03. THIẾT BỊ'!$B$1:$S$836,16,0),"")</f>
        <v/>
      </c>
      <c r="R615" s="471" t="str">
        <f>IFERROR(VLOOKUP(B615,'03. THIẾT BỊ'!$B$1:$S$836,17,0),"")</f>
        <v>3HP</v>
      </c>
      <c r="S615" s="468" t="str">
        <f>IFERROR(VLOOKUP(B615,'03. THIẾT BỊ'!$B$1:$S$836,18,0),"")</f>
        <v/>
      </c>
      <c r="T615" s="1495"/>
    </row>
    <row r="616" ht="15.0" customHeight="1">
      <c r="A616" s="463">
        <f t="shared" si="30"/>
        <v>33</v>
      </c>
      <c r="B616" s="486" t="s">
        <v>4260</v>
      </c>
      <c r="C616" s="869" t="str">
        <f>IFERROR(VLOOKUP(B616,'03. THIẾT BỊ'!$B$1:$S$836,2,0),"")</f>
        <v/>
      </c>
      <c r="D616" s="470" t="str">
        <f>IFERROR(VLOOKUP(B616,'03. THIẾT BỊ'!$B$1:$S$836,3,0),"")</f>
        <v/>
      </c>
      <c r="E616" s="464" t="str">
        <f>IFERROR(VLOOKUP(B616,'03. THIẾT BỊ'!$B$1:$S$836,4,0),"")</f>
        <v>ĐQSD</v>
      </c>
      <c r="F616" s="464" t="str">
        <f>IFERROR(VLOOKUP(B616,'03. THIẾT BỊ'!$B$1:$S$836,5,0),"")</f>
        <v>Máy cao áp phun thuốc</v>
      </c>
      <c r="G616" s="80" t="s">
        <v>6423</v>
      </c>
      <c r="H616" s="463" t="str">
        <f>IFERROR(VLOOKUP(B616,'03. THIẾT BỊ'!$B$1:$S$836,7,0),"")</f>
        <v>XN Chuối DP3</v>
      </c>
      <c r="I616" s="474" t="str">
        <f>IFERROR(VLOOKUP(B616,'03. THIẾT BỊ'!$B$1:$S$836,8,0),"")</f>
        <v/>
      </c>
      <c r="J616" s="471"/>
      <c r="K616" s="463" t="str">
        <f>IFERROR(VLOOKUP(B616,'03. THIẾT BỊ'!$B$1:$S$836,10,0),"")</f>
        <v>Bình thường</v>
      </c>
      <c r="L616" s="468" t="str">
        <f>IFERROR(VLOOKUP(B616,'03. THIẾT BỊ'!$B$1:$S$836,11,0),"")</f>
        <v/>
      </c>
      <c r="M616" s="472" t="str">
        <f>IFERROR(VLOOKUP(B616,'03. THIẾT BỊ'!$B$1:$S$836,12,0),"")</f>
        <v>Ntr phun bệnh chuối</v>
      </c>
      <c r="N616" s="468" t="str">
        <f>IFERROR(VLOOKUP(B616,'03. THIẾT BỊ'!$B$1:$S$836,13,0),"")</f>
        <v>CAMBODIA</v>
      </c>
      <c r="O616" s="470" t="str">
        <f>IFERROR(VLOOKUP(B616,'03. THIẾT BỊ'!$B$1:$S$836,14,0),"")</f>
        <v>3HP</v>
      </c>
      <c r="P616" s="468" t="str">
        <f>IFERROR(VLOOKUP(B616,'03. THIẾT BỊ'!$B$1:$S$836,15,0),"")</f>
        <v>CAMBODIA</v>
      </c>
      <c r="Q616" s="48" t="str">
        <f>IFERROR(VLOOKUP(B616,'03. THIẾT BỊ'!$B$1:$S$836,16,0),"")</f>
        <v/>
      </c>
      <c r="R616" s="471" t="str">
        <f>IFERROR(VLOOKUP(B616,'03. THIẾT BỊ'!$B$1:$S$836,17,0),"")</f>
        <v>3HP</v>
      </c>
      <c r="S616" s="468" t="str">
        <f>IFERROR(VLOOKUP(B616,'03. THIẾT BỊ'!$B$1:$S$836,18,0),"")</f>
        <v/>
      </c>
      <c r="T616" s="1495"/>
    </row>
    <row r="617" ht="15.0" customHeight="1">
      <c r="A617" s="463">
        <f t="shared" si="30"/>
        <v>34</v>
      </c>
      <c r="B617" s="486" t="s">
        <v>4262</v>
      </c>
      <c r="C617" s="869" t="str">
        <f>IFERROR(VLOOKUP(B617,'03. THIẾT BỊ'!$B$1:$S$836,2,0),"")</f>
        <v/>
      </c>
      <c r="D617" s="470" t="str">
        <f>IFERROR(VLOOKUP(B617,'03. THIẾT BỊ'!$B$1:$S$836,3,0),"")</f>
        <v/>
      </c>
      <c r="E617" s="464" t="str">
        <f>IFERROR(VLOOKUP(B617,'03. THIẾT BỊ'!$B$1:$S$836,4,0),"")</f>
        <v>ĐQSD</v>
      </c>
      <c r="F617" s="464" t="str">
        <f>IFERROR(VLOOKUP(B617,'03. THIẾT BỊ'!$B$1:$S$836,5,0),"")</f>
        <v>Máy cao áp phun thuốc</v>
      </c>
      <c r="G617" s="80" t="s">
        <v>6423</v>
      </c>
      <c r="H617" s="463" t="str">
        <f>IFERROR(VLOOKUP(B617,'03. THIẾT BỊ'!$B$1:$S$836,7,0),"")</f>
        <v>XN Chuối DP3</v>
      </c>
      <c r="I617" s="474" t="str">
        <f>IFERROR(VLOOKUP(B617,'03. THIẾT BỊ'!$B$1:$S$836,8,0),"")</f>
        <v/>
      </c>
      <c r="J617" s="471"/>
      <c r="K617" s="463" t="str">
        <f>IFERROR(VLOOKUP(B617,'03. THIẾT BỊ'!$B$1:$S$836,10,0),"")</f>
        <v>Bình thường</v>
      </c>
      <c r="L617" s="468" t="str">
        <f>IFERROR(VLOOKUP(B617,'03. THIẾT BỊ'!$B$1:$S$836,11,0),"")</f>
        <v/>
      </c>
      <c r="M617" s="472" t="str">
        <f>IFERROR(VLOOKUP(B617,'03. THIẾT BỊ'!$B$1:$S$836,12,0),"")</f>
        <v>Ntr phun bệnh chuối</v>
      </c>
      <c r="N617" s="468" t="str">
        <f>IFERROR(VLOOKUP(B617,'03. THIẾT BỊ'!$B$1:$S$836,13,0),"")</f>
        <v>CAMBODIA</v>
      </c>
      <c r="O617" s="470" t="str">
        <f>IFERROR(VLOOKUP(B617,'03. THIẾT BỊ'!$B$1:$S$836,14,0),"")</f>
        <v>3HP</v>
      </c>
      <c r="P617" s="468" t="str">
        <f>IFERROR(VLOOKUP(B617,'03. THIẾT BỊ'!$B$1:$S$836,15,0),"")</f>
        <v>CAMBODIA</v>
      </c>
      <c r="Q617" s="48" t="str">
        <f>IFERROR(VLOOKUP(B617,'03. THIẾT BỊ'!$B$1:$S$836,16,0),"")</f>
        <v/>
      </c>
      <c r="R617" s="471" t="str">
        <f>IFERROR(VLOOKUP(B617,'03. THIẾT BỊ'!$B$1:$S$836,17,0),"")</f>
        <v>3HP</v>
      </c>
      <c r="S617" s="468" t="str">
        <f>IFERROR(VLOOKUP(B617,'03. THIẾT BỊ'!$B$1:$S$836,18,0),"")</f>
        <v/>
      </c>
      <c r="T617" s="1495"/>
    </row>
    <row r="618" ht="15.0" customHeight="1">
      <c r="A618" s="463">
        <f t="shared" si="30"/>
        <v>35</v>
      </c>
      <c r="B618" s="486" t="s">
        <v>4263</v>
      </c>
      <c r="C618" s="869" t="str">
        <f>IFERROR(VLOOKUP(B618,'03. THIẾT BỊ'!$B$1:$S$836,2,0),"")</f>
        <v/>
      </c>
      <c r="D618" s="470" t="str">
        <f>IFERROR(VLOOKUP(B618,'03. THIẾT BỊ'!$B$1:$S$836,3,0),"")</f>
        <v/>
      </c>
      <c r="E618" s="464" t="str">
        <f>IFERROR(VLOOKUP(B618,'03. THIẾT BỊ'!$B$1:$S$836,4,0),"")</f>
        <v>ĐQSD</v>
      </c>
      <c r="F618" s="464" t="str">
        <f>IFERROR(VLOOKUP(B618,'03. THIẾT BỊ'!$B$1:$S$836,5,0),"")</f>
        <v>Máy cao áp phun thuốc</v>
      </c>
      <c r="G618" s="80" t="s">
        <v>6423</v>
      </c>
      <c r="H618" s="463" t="str">
        <f>IFERROR(VLOOKUP(B618,'03. THIẾT BỊ'!$B$1:$S$836,7,0),"")</f>
        <v>XN Chuối DP3</v>
      </c>
      <c r="I618" s="474" t="str">
        <f>IFERROR(VLOOKUP(B618,'03. THIẾT BỊ'!$B$1:$S$836,8,0),"")</f>
        <v/>
      </c>
      <c r="J618" s="471"/>
      <c r="K618" s="463" t="str">
        <f>IFERROR(VLOOKUP(B618,'03. THIẾT BỊ'!$B$1:$S$836,10,0),"")</f>
        <v>Bình thường</v>
      </c>
      <c r="L618" s="468" t="str">
        <f>IFERROR(VLOOKUP(B618,'03. THIẾT BỊ'!$B$1:$S$836,11,0),"")</f>
        <v/>
      </c>
      <c r="M618" s="472" t="str">
        <f>IFERROR(VLOOKUP(B618,'03. THIẾT BỊ'!$B$1:$S$836,12,0),"")</f>
        <v>Ntr phun bệnh chuối</v>
      </c>
      <c r="N618" s="468" t="str">
        <f>IFERROR(VLOOKUP(B618,'03. THIẾT BỊ'!$B$1:$S$836,13,0),"")</f>
        <v>CAMBODIA</v>
      </c>
      <c r="O618" s="470" t="str">
        <f>IFERROR(VLOOKUP(B618,'03. THIẾT BỊ'!$B$1:$S$836,14,0),"")</f>
        <v>3HP</v>
      </c>
      <c r="P618" s="468" t="str">
        <f>IFERROR(VLOOKUP(B618,'03. THIẾT BỊ'!$B$1:$S$836,15,0),"")</f>
        <v>CAMBODIA</v>
      </c>
      <c r="Q618" s="48" t="str">
        <f>IFERROR(VLOOKUP(B618,'03. THIẾT BỊ'!$B$1:$S$836,16,0),"")</f>
        <v/>
      </c>
      <c r="R618" s="471" t="str">
        <f>IFERROR(VLOOKUP(B618,'03. THIẾT BỊ'!$B$1:$S$836,17,0),"")</f>
        <v>3HP</v>
      </c>
      <c r="S618" s="468" t="str">
        <f>IFERROR(VLOOKUP(B618,'03. THIẾT BỊ'!$B$1:$S$836,18,0),"")</f>
        <v/>
      </c>
      <c r="T618" s="1495"/>
    </row>
    <row r="619" ht="15.0" customHeight="1">
      <c r="A619" s="463">
        <f t="shared" si="30"/>
        <v>36</v>
      </c>
      <c r="B619" s="486" t="s">
        <v>4264</v>
      </c>
      <c r="C619" s="869" t="str">
        <f>IFERROR(VLOOKUP(B619,'03. THIẾT BỊ'!$B$1:$S$836,2,0),"")</f>
        <v/>
      </c>
      <c r="D619" s="470" t="str">
        <f>IFERROR(VLOOKUP(B619,'03. THIẾT BỊ'!$B$1:$S$836,3,0),"")</f>
        <v/>
      </c>
      <c r="E619" s="464" t="str">
        <f>IFERROR(VLOOKUP(B619,'03. THIẾT BỊ'!$B$1:$S$836,4,0),"")</f>
        <v>ĐQSD</v>
      </c>
      <c r="F619" s="464" t="str">
        <f>IFERROR(VLOOKUP(B619,'03. THIẾT BỊ'!$B$1:$S$836,5,0),"")</f>
        <v>Máy cao áp phun thuốc</v>
      </c>
      <c r="G619" s="80" t="s">
        <v>6423</v>
      </c>
      <c r="H619" s="463" t="str">
        <f>IFERROR(VLOOKUP(B619,'03. THIẾT BỊ'!$B$1:$S$836,7,0),"")</f>
        <v>XN Chuối DP3</v>
      </c>
      <c r="I619" s="474" t="str">
        <f>IFERROR(VLOOKUP(B619,'03. THIẾT BỊ'!$B$1:$S$836,8,0),"")</f>
        <v/>
      </c>
      <c r="J619" s="471"/>
      <c r="K619" s="463" t="str">
        <f>IFERROR(VLOOKUP(B619,'03. THIẾT BỊ'!$B$1:$S$836,10,0),"")</f>
        <v>Bình thường</v>
      </c>
      <c r="L619" s="468" t="str">
        <f>IFERROR(VLOOKUP(B619,'03. THIẾT BỊ'!$B$1:$S$836,11,0),"")</f>
        <v/>
      </c>
      <c r="M619" s="472" t="str">
        <f>IFERROR(VLOOKUP(B619,'03. THIẾT BỊ'!$B$1:$S$836,12,0),"")</f>
        <v>Ntr phun bệnh chuối</v>
      </c>
      <c r="N619" s="468" t="str">
        <f>IFERROR(VLOOKUP(B619,'03. THIẾT BỊ'!$B$1:$S$836,13,0),"")</f>
        <v>CAMBODIA</v>
      </c>
      <c r="O619" s="470" t="str">
        <f>IFERROR(VLOOKUP(B619,'03. THIẾT BỊ'!$B$1:$S$836,14,0),"")</f>
        <v>3HP</v>
      </c>
      <c r="P619" s="468" t="str">
        <f>IFERROR(VLOOKUP(B619,'03. THIẾT BỊ'!$B$1:$S$836,15,0),"")</f>
        <v>CAMBODIA</v>
      </c>
      <c r="Q619" s="48" t="str">
        <f>IFERROR(VLOOKUP(B619,'03. THIẾT BỊ'!$B$1:$S$836,16,0),"")</f>
        <v/>
      </c>
      <c r="R619" s="471" t="str">
        <f>IFERROR(VLOOKUP(B619,'03. THIẾT BỊ'!$B$1:$S$836,17,0),"")</f>
        <v>3HP</v>
      </c>
      <c r="S619" s="468" t="str">
        <f>IFERROR(VLOOKUP(B619,'03. THIẾT BỊ'!$B$1:$S$836,18,0),"")</f>
        <v/>
      </c>
      <c r="T619" s="1495"/>
    </row>
    <row r="620" ht="15.0" customHeight="1">
      <c r="A620" s="463">
        <f t="shared" si="30"/>
        <v>37</v>
      </c>
      <c r="B620" s="486" t="s">
        <v>4265</v>
      </c>
      <c r="C620" s="869" t="str">
        <f>IFERROR(VLOOKUP(B620,'03. THIẾT BỊ'!$B$1:$S$836,2,0),"")</f>
        <v/>
      </c>
      <c r="D620" s="470" t="str">
        <f>IFERROR(VLOOKUP(B620,'03. THIẾT BỊ'!$B$1:$S$836,3,0),"")</f>
        <v/>
      </c>
      <c r="E620" s="464" t="str">
        <f>IFERROR(VLOOKUP(B620,'03. THIẾT BỊ'!$B$1:$S$836,4,0),"")</f>
        <v>ĐQSD</v>
      </c>
      <c r="F620" s="464" t="str">
        <f>IFERROR(VLOOKUP(B620,'03. THIẾT BỊ'!$B$1:$S$836,5,0),"")</f>
        <v>Máy cao áp phun thuốc</v>
      </c>
      <c r="G620" s="80" t="s">
        <v>6423</v>
      </c>
      <c r="H620" s="463" t="str">
        <f>IFERROR(VLOOKUP(B620,'03. THIẾT BỊ'!$B$1:$S$836,7,0),"")</f>
        <v>XN Chuối DP3</v>
      </c>
      <c r="I620" s="474" t="str">
        <f>IFERROR(VLOOKUP(B620,'03. THIẾT BỊ'!$B$1:$S$836,8,0),"")</f>
        <v/>
      </c>
      <c r="J620" s="471"/>
      <c r="K620" s="463" t="str">
        <f>IFERROR(VLOOKUP(B620,'03. THIẾT BỊ'!$B$1:$S$836,10,0),"")</f>
        <v>Bình thường</v>
      </c>
      <c r="L620" s="468" t="str">
        <f>IFERROR(VLOOKUP(B620,'03. THIẾT BỊ'!$B$1:$S$836,11,0),"")</f>
        <v/>
      </c>
      <c r="M620" s="472" t="str">
        <f>IFERROR(VLOOKUP(B620,'03. THIẾT BỊ'!$B$1:$S$836,12,0),"")</f>
        <v>Ntr phun bệnh chuối</v>
      </c>
      <c r="N620" s="468" t="str">
        <f>IFERROR(VLOOKUP(B620,'03. THIẾT BỊ'!$B$1:$S$836,13,0),"")</f>
        <v>CAMBODIA</v>
      </c>
      <c r="O620" s="470" t="str">
        <f>IFERROR(VLOOKUP(B620,'03. THIẾT BỊ'!$B$1:$S$836,14,0),"")</f>
        <v>3HP</v>
      </c>
      <c r="P620" s="468" t="str">
        <f>IFERROR(VLOOKUP(B620,'03. THIẾT BỊ'!$B$1:$S$836,15,0),"")</f>
        <v>CAMBODIA</v>
      </c>
      <c r="Q620" s="48" t="str">
        <f>IFERROR(VLOOKUP(B620,'03. THIẾT BỊ'!$B$1:$S$836,16,0),"")</f>
        <v/>
      </c>
      <c r="R620" s="471" t="str">
        <f>IFERROR(VLOOKUP(B620,'03. THIẾT BỊ'!$B$1:$S$836,17,0),"")</f>
        <v>3HP</v>
      </c>
      <c r="S620" s="468" t="str">
        <f>IFERROR(VLOOKUP(B620,'03. THIẾT BỊ'!$B$1:$S$836,18,0),"")</f>
        <v/>
      </c>
      <c r="T620" s="1495"/>
    </row>
    <row r="621" ht="15.0" customHeight="1">
      <c r="A621" s="463">
        <f t="shared" si="30"/>
        <v>38</v>
      </c>
      <c r="B621" s="486" t="s">
        <v>4266</v>
      </c>
      <c r="C621" s="869" t="str">
        <f>IFERROR(VLOOKUP(B621,'03. THIẾT BỊ'!$B$1:$S$836,2,0),"")</f>
        <v/>
      </c>
      <c r="D621" s="470" t="str">
        <f>IFERROR(VLOOKUP(B621,'03. THIẾT BỊ'!$B$1:$S$836,3,0),"")</f>
        <v/>
      </c>
      <c r="E621" s="464" t="str">
        <f>IFERROR(VLOOKUP(B621,'03. THIẾT BỊ'!$B$1:$S$836,4,0),"")</f>
        <v>ĐQSD</v>
      </c>
      <c r="F621" s="464" t="str">
        <f>IFERROR(VLOOKUP(B621,'03. THIẾT BỊ'!$B$1:$S$836,5,0),"")</f>
        <v>Máy cao áp phun thuốc</v>
      </c>
      <c r="G621" s="80" t="s">
        <v>6423</v>
      </c>
      <c r="H621" s="463" t="str">
        <f>IFERROR(VLOOKUP(B621,'03. THIẾT BỊ'!$B$1:$S$836,7,0),"")</f>
        <v>XN Chuối DP3</v>
      </c>
      <c r="I621" s="474" t="str">
        <f>IFERROR(VLOOKUP(B621,'03. THIẾT BỊ'!$B$1:$S$836,8,0),"")</f>
        <v/>
      </c>
      <c r="J621" s="471"/>
      <c r="K621" s="463" t="str">
        <f>IFERROR(VLOOKUP(B621,'03. THIẾT BỊ'!$B$1:$S$836,10,0),"")</f>
        <v>Bình thường</v>
      </c>
      <c r="L621" s="468" t="str">
        <f>IFERROR(VLOOKUP(B621,'03. THIẾT BỊ'!$B$1:$S$836,11,0),"")</f>
        <v/>
      </c>
      <c r="M621" s="472" t="str">
        <f>IFERROR(VLOOKUP(B621,'03. THIẾT BỊ'!$B$1:$S$836,12,0),"")</f>
        <v>Ntr phun bệnh chuối</v>
      </c>
      <c r="N621" s="468" t="str">
        <f>IFERROR(VLOOKUP(B621,'03. THIẾT BỊ'!$B$1:$S$836,13,0),"")</f>
        <v>CAMBODIA</v>
      </c>
      <c r="O621" s="470" t="str">
        <f>IFERROR(VLOOKUP(B621,'03. THIẾT BỊ'!$B$1:$S$836,14,0),"")</f>
        <v>3HP</v>
      </c>
      <c r="P621" s="468" t="str">
        <f>IFERROR(VLOOKUP(B621,'03. THIẾT BỊ'!$B$1:$S$836,15,0),"")</f>
        <v>CAMBODIA</v>
      </c>
      <c r="Q621" s="48" t="str">
        <f>IFERROR(VLOOKUP(B621,'03. THIẾT BỊ'!$B$1:$S$836,16,0),"")</f>
        <v/>
      </c>
      <c r="R621" s="471" t="str">
        <f>IFERROR(VLOOKUP(B621,'03. THIẾT BỊ'!$B$1:$S$836,17,0),"")</f>
        <v>3HP</v>
      </c>
      <c r="S621" s="468" t="str">
        <f>IFERROR(VLOOKUP(B621,'03. THIẾT BỊ'!$B$1:$S$836,18,0),"")</f>
        <v/>
      </c>
      <c r="T621" s="1495"/>
    </row>
    <row r="622" ht="15.0" customHeight="1">
      <c r="A622" s="463">
        <f t="shared" si="30"/>
        <v>39</v>
      </c>
      <c r="B622" s="486" t="s">
        <v>4268</v>
      </c>
      <c r="C622" s="869" t="str">
        <f>IFERROR(VLOOKUP(B622,'03. THIẾT BỊ'!$B$1:$S$836,2,0),"")</f>
        <v/>
      </c>
      <c r="D622" s="470" t="str">
        <f>IFERROR(VLOOKUP(B622,'03. THIẾT BỊ'!$B$1:$S$836,3,0),"")</f>
        <v/>
      </c>
      <c r="E622" s="464" t="str">
        <f>IFERROR(VLOOKUP(B622,'03. THIẾT BỊ'!$B$1:$S$836,4,0),"")</f>
        <v>ĐQSD</v>
      </c>
      <c r="F622" s="464" t="str">
        <f>IFERROR(VLOOKUP(B622,'03. THIẾT BỊ'!$B$1:$S$836,5,0),"")</f>
        <v>Máy cao áp phun thuốc</v>
      </c>
      <c r="G622" s="80" t="s">
        <v>6423</v>
      </c>
      <c r="H622" s="463" t="str">
        <f>IFERROR(VLOOKUP(B622,'03. THIẾT BỊ'!$B$1:$S$836,7,0),"")</f>
        <v>XN Chuối DP3</v>
      </c>
      <c r="I622" s="474" t="str">
        <f>IFERROR(VLOOKUP(B622,'03. THIẾT BỊ'!$B$1:$S$836,8,0),"")</f>
        <v/>
      </c>
      <c r="J622" s="471"/>
      <c r="K622" s="463" t="str">
        <f>IFERROR(VLOOKUP(B622,'03. THIẾT BỊ'!$B$1:$S$836,10,0),"")</f>
        <v>Bình thường</v>
      </c>
      <c r="L622" s="468" t="str">
        <f>IFERROR(VLOOKUP(B622,'03. THIẾT BỊ'!$B$1:$S$836,11,0),"")</f>
        <v/>
      </c>
      <c r="M622" s="472" t="str">
        <f>IFERROR(VLOOKUP(B622,'03. THIẾT BỊ'!$B$1:$S$836,12,0),"")</f>
        <v/>
      </c>
      <c r="N622" s="468" t="str">
        <f>IFERROR(VLOOKUP(B622,'03. THIẾT BỊ'!$B$1:$S$836,13,0),"")</f>
        <v>CAMBODIA</v>
      </c>
      <c r="O622" s="470" t="str">
        <f>IFERROR(VLOOKUP(B622,'03. THIẾT BỊ'!$B$1:$S$836,14,0),"")</f>
        <v>1.5HP</v>
      </c>
      <c r="P622" s="468" t="str">
        <f>IFERROR(VLOOKUP(B622,'03. THIẾT BỊ'!$B$1:$S$836,15,0),"")</f>
        <v>CAMBODIA</v>
      </c>
      <c r="Q622" s="48" t="str">
        <f>IFERROR(VLOOKUP(B622,'03. THIẾT BỊ'!$B$1:$S$836,16,0),"")</f>
        <v/>
      </c>
      <c r="R622" s="471" t="str">
        <f>IFERROR(VLOOKUP(B622,'03. THIẾT BỊ'!$B$1:$S$836,17,0),"")</f>
        <v>1.5HP</v>
      </c>
      <c r="S622" s="468" t="str">
        <f>IFERROR(VLOOKUP(B622,'03. THIẾT BỊ'!$B$1:$S$836,18,0),"")</f>
        <v/>
      </c>
      <c r="T622" s="1495"/>
    </row>
    <row r="623" ht="15.0" customHeight="1">
      <c r="A623" s="463">
        <f t="shared" si="30"/>
        <v>40</v>
      </c>
      <c r="B623" s="486" t="s">
        <v>4269</v>
      </c>
      <c r="C623" s="869" t="str">
        <f>IFERROR(VLOOKUP(B623,'03. THIẾT BỊ'!$B$1:$S$836,2,0),"")</f>
        <v/>
      </c>
      <c r="D623" s="470" t="str">
        <f>IFERROR(VLOOKUP(B623,'03. THIẾT BỊ'!$B$1:$S$836,3,0),"")</f>
        <v/>
      </c>
      <c r="E623" s="464" t="str">
        <f>IFERROR(VLOOKUP(B623,'03. THIẾT BỊ'!$B$1:$S$836,4,0),"")</f>
        <v>ĐQSD</v>
      </c>
      <c r="F623" s="464" t="str">
        <f>IFERROR(VLOOKUP(B623,'03. THIẾT BỊ'!$B$1:$S$836,5,0),"")</f>
        <v>Máy cao áp phun thuốc</v>
      </c>
      <c r="G623" s="80" t="s">
        <v>6423</v>
      </c>
      <c r="H623" s="463" t="str">
        <f>IFERROR(VLOOKUP(B623,'03. THIẾT BỊ'!$B$1:$S$836,7,0),"")</f>
        <v>XN Chuối DP3</v>
      </c>
      <c r="I623" s="474" t="str">
        <f>IFERROR(VLOOKUP(B623,'03. THIẾT BỊ'!$B$1:$S$836,8,0),"")</f>
        <v/>
      </c>
      <c r="J623" s="471"/>
      <c r="K623" s="463" t="str">
        <f>IFERROR(VLOOKUP(B623,'03. THIẾT BỊ'!$B$1:$S$836,10,0),"")</f>
        <v>Bình thường</v>
      </c>
      <c r="L623" s="468" t="str">
        <f>IFERROR(VLOOKUP(B623,'03. THIẾT BỊ'!$B$1:$S$836,11,0),"")</f>
        <v/>
      </c>
      <c r="M623" s="472" t="str">
        <f>IFERROR(VLOOKUP(B623,'03. THIẾT BỊ'!$B$1:$S$836,12,0),"")</f>
        <v/>
      </c>
      <c r="N623" s="468" t="str">
        <f>IFERROR(VLOOKUP(B623,'03. THIẾT BỊ'!$B$1:$S$836,13,0),"")</f>
        <v>CAMBODIA</v>
      </c>
      <c r="O623" s="470" t="str">
        <f>IFERROR(VLOOKUP(B623,'03. THIẾT BỊ'!$B$1:$S$836,14,0),"")</f>
        <v>1.5HP</v>
      </c>
      <c r="P623" s="468" t="str">
        <f>IFERROR(VLOOKUP(B623,'03. THIẾT BỊ'!$B$1:$S$836,15,0),"")</f>
        <v>CAMBODIA</v>
      </c>
      <c r="Q623" s="48" t="str">
        <f>IFERROR(VLOOKUP(B623,'03. THIẾT BỊ'!$B$1:$S$836,16,0),"")</f>
        <v/>
      </c>
      <c r="R623" s="471" t="str">
        <f>IFERROR(VLOOKUP(B623,'03. THIẾT BỊ'!$B$1:$S$836,17,0),"")</f>
        <v>1.5HP</v>
      </c>
      <c r="S623" s="468" t="str">
        <f>IFERROR(VLOOKUP(B623,'03. THIẾT BỊ'!$B$1:$S$836,18,0),"")</f>
        <v/>
      </c>
      <c r="T623" s="1495"/>
    </row>
    <row r="624" ht="15.0" customHeight="1">
      <c r="A624" s="463">
        <f t="shared" si="30"/>
        <v>41</v>
      </c>
      <c r="B624" s="486" t="s">
        <v>4270</v>
      </c>
      <c r="C624" s="869" t="str">
        <f>IFERROR(VLOOKUP(B624,'03. THIẾT BỊ'!$B$1:$S$836,2,0),"")</f>
        <v/>
      </c>
      <c r="D624" s="470" t="str">
        <f>IFERROR(VLOOKUP(B624,'03. THIẾT BỊ'!$B$1:$S$836,3,0),"")</f>
        <v/>
      </c>
      <c r="E624" s="464" t="str">
        <f>IFERROR(VLOOKUP(B624,'03. THIẾT BỊ'!$B$1:$S$836,4,0),"")</f>
        <v>ĐQSD</v>
      </c>
      <c r="F624" s="464" t="str">
        <f>IFERROR(VLOOKUP(B624,'03. THIẾT BỊ'!$B$1:$S$836,5,0),"")</f>
        <v>Máy cao áp phun thuốc</v>
      </c>
      <c r="G624" s="80" t="s">
        <v>6423</v>
      </c>
      <c r="H624" s="463" t="str">
        <f>IFERROR(VLOOKUP(B624,'03. THIẾT BỊ'!$B$1:$S$836,7,0),"")</f>
        <v>XN Chuối DP3</v>
      </c>
      <c r="I624" s="474" t="str">
        <f>IFERROR(VLOOKUP(B624,'03. THIẾT BỊ'!$B$1:$S$836,8,0),"")</f>
        <v/>
      </c>
      <c r="J624" s="471"/>
      <c r="K624" s="463" t="str">
        <f>IFERROR(VLOOKUP(B624,'03. THIẾT BỊ'!$B$1:$S$836,10,0),"")</f>
        <v>Bình thường</v>
      </c>
      <c r="L624" s="468" t="str">
        <f>IFERROR(VLOOKUP(B624,'03. THIẾT BỊ'!$B$1:$S$836,11,0),"")</f>
        <v/>
      </c>
      <c r="M624" s="472" t="str">
        <f>IFERROR(VLOOKUP(B624,'03. THIẾT BỊ'!$B$1:$S$836,12,0),"")</f>
        <v/>
      </c>
      <c r="N624" s="468" t="str">
        <f>IFERROR(VLOOKUP(B624,'03. THIẾT BỊ'!$B$1:$S$836,13,0),"")</f>
        <v>CAMBODIA</v>
      </c>
      <c r="O624" s="470" t="str">
        <f>IFERROR(VLOOKUP(B624,'03. THIẾT BỊ'!$B$1:$S$836,14,0),"")</f>
        <v>1.5HP</v>
      </c>
      <c r="P624" s="468" t="str">
        <f>IFERROR(VLOOKUP(B624,'03. THIẾT BỊ'!$B$1:$S$836,15,0),"")</f>
        <v>CAMBODIA</v>
      </c>
      <c r="Q624" s="48" t="str">
        <f>IFERROR(VLOOKUP(B624,'03. THIẾT BỊ'!$B$1:$S$836,16,0),"")</f>
        <v/>
      </c>
      <c r="R624" s="471" t="str">
        <f>IFERROR(VLOOKUP(B624,'03. THIẾT BỊ'!$B$1:$S$836,17,0),"")</f>
        <v>1.5HP</v>
      </c>
      <c r="S624" s="468" t="str">
        <f>IFERROR(VLOOKUP(B624,'03. THIẾT BỊ'!$B$1:$S$836,18,0),"")</f>
        <v/>
      </c>
      <c r="T624" s="1495"/>
    </row>
    <row r="625" ht="15.0" customHeight="1">
      <c r="A625" s="463">
        <f t="shared" si="30"/>
        <v>42</v>
      </c>
      <c r="B625" s="486" t="s">
        <v>4271</v>
      </c>
      <c r="C625" s="869" t="str">
        <f>IFERROR(VLOOKUP(B625,'03. THIẾT BỊ'!$B$1:$S$836,2,0),"")</f>
        <v/>
      </c>
      <c r="D625" s="470" t="str">
        <f>IFERROR(VLOOKUP(B625,'03. THIẾT BỊ'!$B$1:$S$836,3,0),"")</f>
        <v/>
      </c>
      <c r="E625" s="464" t="str">
        <f>IFERROR(VLOOKUP(B625,'03. THIẾT BỊ'!$B$1:$S$836,4,0),"")</f>
        <v>ĐQSD</v>
      </c>
      <c r="F625" s="464" t="str">
        <f>IFERROR(VLOOKUP(B625,'03. THIẾT BỊ'!$B$1:$S$836,5,0),"")</f>
        <v>Máy cao áp phun thuốc</v>
      </c>
      <c r="G625" s="80" t="s">
        <v>6423</v>
      </c>
      <c r="H625" s="463" t="str">
        <f>IFERROR(VLOOKUP(B625,'03. THIẾT BỊ'!$B$1:$S$836,7,0),"")</f>
        <v>XN Chuối DP3</v>
      </c>
      <c r="I625" s="474" t="str">
        <f>IFERROR(VLOOKUP(B625,'03. THIẾT BỊ'!$B$1:$S$836,8,0),"")</f>
        <v/>
      </c>
      <c r="J625" s="471"/>
      <c r="K625" s="463" t="str">
        <f>IFERROR(VLOOKUP(B625,'03. THIẾT BỊ'!$B$1:$S$836,10,0),"")</f>
        <v>Bình thường</v>
      </c>
      <c r="L625" s="468" t="str">
        <f>IFERROR(VLOOKUP(B625,'03. THIẾT BỊ'!$B$1:$S$836,11,0),"")</f>
        <v/>
      </c>
      <c r="M625" s="472" t="str">
        <f>IFERROR(VLOOKUP(B625,'03. THIẾT BỊ'!$B$1:$S$836,12,0),"")</f>
        <v/>
      </c>
      <c r="N625" s="468" t="str">
        <f>IFERROR(VLOOKUP(B625,'03. THIẾT BỊ'!$B$1:$S$836,13,0),"")</f>
        <v>CAMBODIA</v>
      </c>
      <c r="O625" s="470" t="str">
        <f>IFERROR(VLOOKUP(B625,'03. THIẾT BỊ'!$B$1:$S$836,14,0),"")</f>
        <v>1.5HP</v>
      </c>
      <c r="P625" s="468" t="str">
        <f>IFERROR(VLOOKUP(B625,'03. THIẾT BỊ'!$B$1:$S$836,15,0),"")</f>
        <v>CAMBODIA</v>
      </c>
      <c r="Q625" s="48" t="str">
        <f>IFERROR(VLOOKUP(B625,'03. THIẾT BỊ'!$B$1:$S$836,16,0),"")</f>
        <v/>
      </c>
      <c r="R625" s="471" t="str">
        <f>IFERROR(VLOOKUP(B625,'03. THIẾT BỊ'!$B$1:$S$836,17,0),"")</f>
        <v>1.5HP</v>
      </c>
      <c r="S625" s="468" t="str">
        <f>IFERROR(VLOOKUP(B625,'03. THIẾT BỊ'!$B$1:$S$836,18,0),"")</f>
        <v/>
      </c>
      <c r="T625" s="1495"/>
    </row>
    <row r="626" ht="15.0" customHeight="1">
      <c r="A626" s="463">
        <f t="shared" si="30"/>
        <v>43</v>
      </c>
      <c r="B626" s="486" t="s">
        <v>4272</v>
      </c>
      <c r="C626" s="869" t="str">
        <f>IFERROR(VLOOKUP(B626,'03. THIẾT BỊ'!$B$1:$S$836,2,0),"")</f>
        <v/>
      </c>
      <c r="D626" s="470" t="str">
        <f>IFERROR(VLOOKUP(B626,'03. THIẾT BỊ'!$B$1:$S$836,3,0),"")</f>
        <v/>
      </c>
      <c r="E626" s="464" t="str">
        <f>IFERROR(VLOOKUP(B626,'03. THIẾT BỊ'!$B$1:$S$836,4,0),"")</f>
        <v>ĐQSD</v>
      </c>
      <c r="F626" s="464" t="str">
        <f>IFERROR(VLOOKUP(B626,'03. THIẾT BỊ'!$B$1:$S$836,5,0),"")</f>
        <v>Máy cao áp phun thuốc</v>
      </c>
      <c r="G626" s="80" t="s">
        <v>6423</v>
      </c>
      <c r="H626" s="463" t="str">
        <f>IFERROR(VLOOKUP(B626,'03. THIẾT BỊ'!$B$1:$S$836,7,0),"")</f>
        <v>XN Chuối DP3</v>
      </c>
      <c r="I626" s="474" t="str">
        <f>IFERROR(VLOOKUP(B626,'03. THIẾT BỊ'!$B$1:$S$836,8,0),"")</f>
        <v/>
      </c>
      <c r="J626" s="471"/>
      <c r="K626" s="463" t="str">
        <f>IFERROR(VLOOKUP(B626,'03. THIẾT BỊ'!$B$1:$S$836,10,0),"")</f>
        <v>Bình thường</v>
      </c>
      <c r="L626" s="468" t="str">
        <f>IFERROR(VLOOKUP(B626,'03. THIẾT BỊ'!$B$1:$S$836,11,0),"")</f>
        <v/>
      </c>
      <c r="M626" s="472" t="str">
        <f>IFERROR(VLOOKUP(B626,'03. THIẾT BỊ'!$B$1:$S$836,12,0),"")</f>
        <v/>
      </c>
      <c r="N626" s="468" t="str">
        <f>IFERROR(VLOOKUP(B626,'03. THIẾT BỊ'!$B$1:$S$836,13,0),"")</f>
        <v>CAMBODIA</v>
      </c>
      <c r="O626" s="470" t="str">
        <f>IFERROR(VLOOKUP(B626,'03. THIẾT BỊ'!$B$1:$S$836,14,0),"")</f>
        <v>1.5HP</v>
      </c>
      <c r="P626" s="468" t="str">
        <f>IFERROR(VLOOKUP(B626,'03. THIẾT BỊ'!$B$1:$S$836,15,0),"")</f>
        <v>CAMBODIA</v>
      </c>
      <c r="Q626" s="48" t="str">
        <f>IFERROR(VLOOKUP(B626,'03. THIẾT BỊ'!$B$1:$S$836,16,0),"")</f>
        <v/>
      </c>
      <c r="R626" s="471" t="str">
        <f>IFERROR(VLOOKUP(B626,'03. THIẾT BỊ'!$B$1:$S$836,17,0),"")</f>
        <v>1.5HP</v>
      </c>
      <c r="S626" s="468" t="str">
        <f>IFERROR(VLOOKUP(B626,'03. THIẾT BỊ'!$B$1:$S$836,18,0),"")</f>
        <v/>
      </c>
      <c r="T626" s="1495"/>
    </row>
    <row r="627" ht="15.0" customHeight="1">
      <c r="A627" s="463">
        <f t="shared" si="30"/>
        <v>44</v>
      </c>
      <c r="B627" s="486" t="s">
        <v>4273</v>
      </c>
      <c r="C627" s="869" t="str">
        <f>IFERROR(VLOOKUP(B627,'03. THIẾT BỊ'!$B$1:$S$836,2,0),"")</f>
        <v/>
      </c>
      <c r="D627" s="470" t="str">
        <f>IFERROR(VLOOKUP(B627,'03. THIẾT BỊ'!$B$1:$S$836,3,0),"")</f>
        <v/>
      </c>
      <c r="E627" s="464" t="str">
        <f>IFERROR(VLOOKUP(B627,'03. THIẾT BỊ'!$B$1:$S$836,4,0),"")</f>
        <v>ĐQSD</v>
      </c>
      <c r="F627" s="464" t="str">
        <f>IFERROR(VLOOKUP(B627,'03. THIẾT BỊ'!$B$1:$S$836,5,0),"")</f>
        <v>Máy cao áp phun thuốc</v>
      </c>
      <c r="G627" s="80" t="s">
        <v>6423</v>
      </c>
      <c r="H627" s="463" t="str">
        <f>IFERROR(VLOOKUP(B627,'03. THIẾT BỊ'!$B$1:$S$836,7,0),"")</f>
        <v>XN Chuối DP3</v>
      </c>
      <c r="I627" s="474" t="str">
        <f>IFERROR(VLOOKUP(B627,'03. THIẾT BỊ'!$B$1:$S$836,8,0),"")</f>
        <v/>
      </c>
      <c r="J627" s="471"/>
      <c r="K627" s="463" t="str">
        <f>IFERROR(VLOOKUP(B627,'03. THIẾT BỊ'!$B$1:$S$836,10,0),"")</f>
        <v>Bình thường</v>
      </c>
      <c r="L627" s="468" t="str">
        <f>IFERROR(VLOOKUP(B627,'03. THIẾT BỊ'!$B$1:$S$836,11,0),"")</f>
        <v/>
      </c>
      <c r="M627" s="472" t="str">
        <f>IFERROR(VLOOKUP(B627,'03. THIẾT BỊ'!$B$1:$S$836,12,0),"")</f>
        <v/>
      </c>
      <c r="N627" s="468" t="str">
        <f>IFERROR(VLOOKUP(B627,'03. THIẾT BỊ'!$B$1:$S$836,13,0),"")</f>
        <v>CAMBODIA</v>
      </c>
      <c r="O627" s="470" t="str">
        <f>IFERROR(VLOOKUP(B627,'03. THIẾT BỊ'!$B$1:$S$836,14,0),"")</f>
        <v>1.5HP</v>
      </c>
      <c r="P627" s="468" t="str">
        <f>IFERROR(VLOOKUP(B627,'03. THIẾT BỊ'!$B$1:$S$836,15,0),"")</f>
        <v>CAMBODIA</v>
      </c>
      <c r="Q627" s="48" t="str">
        <f>IFERROR(VLOOKUP(B627,'03. THIẾT BỊ'!$B$1:$S$836,16,0),"")</f>
        <v/>
      </c>
      <c r="R627" s="471" t="str">
        <f>IFERROR(VLOOKUP(B627,'03. THIẾT BỊ'!$B$1:$S$836,17,0),"")</f>
        <v>1.5HP</v>
      </c>
      <c r="S627" s="468" t="str">
        <f>IFERROR(VLOOKUP(B627,'03. THIẾT BỊ'!$B$1:$S$836,18,0),"")</f>
        <v/>
      </c>
      <c r="T627" s="1495"/>
    </row>
    <row r="628" ht="15.0" customHeight="1">
      <c r="A628" s="463">
        <f t="shared" si="30"/>
        <v>45</v>
      </c>
      <c r="B628" s="486" t="s">
        <v>4274</v>
      </c>
      <c r="C628" s="869" t="str">
        <f>IFERROR(VLOOKUP(B628,'03. THIẾT BỊ'!$B$1:$S$836,2,0),"")</f>
        <v/>
      </c>
      <c r="D628" s="470" t="str">
        <f>IFERROR(VLOOKUP(B628,'03. THIẾT BỊ'!$B$1:$S$836,3,0),"")</f>
        <v/>
      </c>
      <c r="E628" s="464" t="str">
        <f>IFERROR(VLOOKUP(B628,'03. THIẾT BỊ'!$B$1:$S$836,4,0),"")</f>
        <v>ĐQSD</v>
      </c>
      <c r="F628" s="464" t="str">
        <f>IFERROR(VLOOKUP(B628,'03. THIẾT BỊ'!$B$1:$S$836,5,0),"")</f>
        <v>Máy cao áp phun thuốc</v>
      </c>
      <c r="G628" s="80" t="s">
        <v>6423</v>
      </c>
      <c r="H628" s="463" t="str">
        <f>IFERROR(VLOOKUP(B628,'03. THIẾT BỊ'!$B$1:$S$836,7,0),"")</f>
        <v>XN Chuối DP3</v>
      </c>
      <c r="I628" s="474" t="str">
        <f>IFERROR(VLOOKUP(B628,'03. THIẾT BỊ'!$B$1:$S$836,8,0),"")</f>
        <v/>
      </c>
      <c r="J628" s="471"/>
      <c r="K628" s="463" t="str">
        <f>IFERROR(VLOOKUP(B628,'03. THIẾT BỊ'!$B$1:$S$836,10,0),"")</f>
        <v>Bình thường</v>
      </c>
      <c r="L628" s="468" t="str">
        <f>IFERROR(VLOOKUP(B628,'03. THIẾT BỊ'!$B$1:$S$836,11,0),"")</f>
        <v/>
      </c>
      <c r="M628" s="472" t="str">
        <f>IFERROR(VLOOKUP(B628,'03. THIẾT BỊ'!$B$1:$S$836,12,0),"")</f>
        <v/>
      </c>
      <c r="N628" s="468" t="str">
        <f>IFERROR(VLOOKUP(B628,'03. THIẾT BỊ'!$B$1:$S$836,13,0),"")</f>
        <v>CAMBODIA</v>
      </c>
      <c r="O628" s="470" t="str">
        <f>IFERROR(VLOOKUP(B628,'03. THIẾT BỊ'!$B$1:$S$836,14,0),"")</f>
        <v>7HP</v>
      </c>
      <c r="P628" s="468" t="str">
        <f>IFERROR(VLOOKUP(B628,'03. THIẾT BỊ'!$B$1:$S$836,15,0),"")</f>
        <v>CAMBODIA</v>
      </c>
      <c r="Q628" s="48" t="str">
        <f>IFERROR(VLOOKUP(B628,'03. THIẾT BỊ'!$B$1:$S$836,16,0),"")</f>
        <v/>
      </c>
      <c r="R628" s="471" t="str">
        <f>IFERROR(VLOOKUP(B628,'03. THIẾT BỊ'!$B$1:$S$836,17,0),"")</f>
        <v/>
      </c>
      <c r="S628" s="468" t="str">
        <f>IFERROR(VLOOKUP(B628,'03. THIẾT BỊ'!$B$1:$S$836,18,0),"")</f>
        <v/>
      </c>
      <c r="T628" s="1495"/>
    </row>
    <row r="629" ht="15.0" customHeight="1">
      <c r="A629" s="463">
        <f t="shared" si="30"/>
        <v>46</v>
      </c>
      <c r="B629" s="584" t="s">
        <v>4883</v>
      </c>
      <c r="C629" s="869" t="str">
        <f>IFERROR(VLOOKUP(B629,'03. THIẾT BỊ'!$B$1:$S$836,2,0),"")</f>
        <v>CC-2805</v>
      </c>
      <c r="D629" s="470" t="str">
        <f>IFERROR(VLOOKUP(B629,'03. THIẾT BỊ'!$B$1:$S$836,3,0),"")</f>
        <v>A22-MCA-001</v>
      </c>
      <c r="E629" s="464" t="str">
        <f>IFERROR(VLOOKUP(B629,'03. THIẾT BỊ'!$B$1:$S$836,4,0),"")</f>
        <v>ĐQSD</v>
      </c>
      <c r="F629" s="464" t="str">
        <f>IFERROR(VLOOKUP(B629,'03. THIẾT BỊ'!$B$1:$S$836,5,0),"")</f>
        <v>Máy cao áp phun thuốc</v>
      </c>
      <c r="G629" s="80" t="s">
        <v>6423</v>
      </c>
      <c r="H629" s="463" t="str">
        <f>IFERROR(VLOOKUP(B629,'03. THIẾT BỊ'!$B$1:$S$836,7,0),"")</f>
        <v>Xoài AD</v>
      </c>
      <c r="I629" s="474" t="str">
        <f>IFERROR(VLOOKUP(B629,'03. THIẾT BỊ'!$B$1:$S$836,8,0),"")</f>
        <v/>
      </c>
      <c r="J629" s="471"/>
      <c r="K629" s="463" t="str">
        <f>IFERROR(VLOOKUP(B629,'03. THIẾT BỊ'!$B$1:$S$836,10,0),"")</f>
        <v>Bình thường</v>
      </c>
      <c r="L629" s="468" t="str">
        <f>IFERROR(VLOOKUP(B629,'03. THIẾT BỊ'!$B$1:$S$836,11,0),"")</f>
        <v/>
      </c>
      <c r="M629" s="472" t="str">
        <f>IFERROR(VLOOKUP(B629,'03. THIẾT BỊ'!$B$1:$S$836,12,0),"")</f>
        <v/>
      </c>
      <c r="N629" s="468" t="str">
        <f>IFERROR(VLOOKUP(B629,'03. THIẾT BỊ'!$B$1:$S$836,13,0),"")</f>
        <v>CAMBODIA</v>
      </c>
      <c r="O629" s="470" t="str">
        <f>IFERROR(VLOOKUP(B629,'03. THIẾT BỊ'!$B$1:$S$836,14,0),"")</f>
        <v>3.5HP</v>
      </c>
      <c r="P629" s="468" t="str">
        <f>IFERROR(VLOOKUP(B629,'03. THIẾT BỊ'!$B$1:$S$836,15,0),"")</f>
        <v>CAMBODIA</v>
      </c>
      <c r="Q629" s="48" t="str">
        <f>IFERROR(VLOOKUP(B629,'03. THIẾT BỊ'!$B$1:$S$836,16,0),"")</f>
        <v/>
      </c>
      <c r="R629" s="471" t="str">
        <f>IFERROR(VLOOKUP(B629,'03. THIẾT BỊ'!$B$1:$S$836,17,0),"")</f>
        <v/>
      </c>
      <c r="S629" s="468" t="str">
        <f>IFERROR(VLOOKUP(B629,'03. THIẾT BỊ'!$B$1:$S$836,18,0),"")</f>
        <v/>
      </c>
      <c r="T629" s="959"/>
    </row>
    <row r="630" ht="15.0" customHeight="1">
      <c r="A630" s="463">
        <f t="shared" si="30"/>
        <v>47</v>
      </c>
      <c r="B630" s="584" t="s">
        <v>4887</v>
      </c>
      <c r="C630" s="869" t="str">
        <f>IFERROR(VLOOKUP(B630,'03. THIẾT BỊ'!$B$1:$S$836,2,0),"")</f>
        <v/>
      </c>
      <c r="D630" s="470" t="str">
        <f>IFERROR(VLOOKUP(B630,'03. THIẾT BỊ'!$B$1:$S$836,3,0),"")</f>
        <v>A22-MCA-002</v>
      </c>
      <c r="E630" s="464" t="str">
        <f>IFERROR(VLOOKUP(B630,'03. THIẾT BỊ'!$B$1:$S$836,4,0),"")</f>
        <v>ĐQSD</v>
      </c>
      <c r="F630" s="464" t="str">
        <f>IFERROR(VLOOKUP(B630,'03. THIẾT BỊ'!$B$1:$S$836,5,0),"")</f>
        <v>Máy cao áp phun thuốc</v>
      </c>
      <c r="G630" s="80" t="s">
        <v>6423</v>
      </c>
      <c r="H630" s="463" t="str">
        <f>IFERROR(VLOOKUP(B630,'03. THIẾT BỊ'!$B$1:$S$836,7,0),"")</f>
        <v>Xoài AD</v>
      </c>
      <c r="I630" s="474" t="str">
        <f>IFERROR(VLOOKUP(B630,'03. THIẾT BỊ'!$B$1:$S$836,8,0),"")</f>
        <v/>
      </c>
      <c r="J630" s="471"/>
      <c r="K630" s="463" t="str">
        <f>IFERROR(VLOOKUP(B630,'03. THIẾT BỊ'!$B$1:$S$836,10,0),"")</f>
        <v>Bình thường</v>
      </c>
      <c r="L630" s="468" t="str">
        <f>IFERROR(VLOOKUP(B630,'03. THIẾT BỊ'!$B$1:$S$836,11,0),"")</f>
        <v/>
      </c>
      <c r="M630" s="472" t="str">
        <f>IFERROR(VLOOKUP(B630,'03. THIẾT BỊ'!$B$1:$S$836,12,0),"")</f>
        <v/>
      </c>
      <c r="N630" s="468" t="str">
        <f>IFERROR(VLOOKUP(B630,'03. THIẾT BỊ'!$B$1:$S$836,13,0),"")</f>
        <v>CAMBODIA</v>
      </c>
      <c r="O630" s="470" t="str">
        <f>IFERROR(VLOOKUP(B630,'03. THIẾT BỊ'!$B$1:$S$836,14,0),"")</f>
        <v>7HP</v>
      </c>
      <c r="P630" s="468" t="str">
        <f>IFERROR(VLOOKUP(B630,'03. THIẾT BỊ'!$B$1:$S$836,15,0),"")</f>
        <v>CAMBODIA</v>
      </c>
      <c r="Q630" s="48" t="str">
        <f>IFERROR(VLOOKUP(B630,'03. THIẾT BỊ'!$B$1:$S$836,16,0),"")</f>
        <v/>
      </c>
      <c r="R630" s="471" t="str">
        <f>IFERROR(VLOOKUP(B630,'03. THIẾT BỊ'!$B$1:$S$836,17,0),"")</f>
        <v/>
      </c>
      <c r="S630" s="468" t="str">
        <f>IFERROR(VLOOKUP(B630,'03. THIẾT BỊ'!$B$1:$S$836,18,0),"")</f>
        <v/>
      </c>
      <c r="T630" s="959"/>
    </row>
    <row r="631" ht="15.0" customHeight="1">
      <c r="A631" s="463">
        <f t="shared" si="30"/>
        <v>48</v>
      </c>
      <c r="B631" s="584" t="s">
        <v>4889</v>
      </c>
      <c r="C631" s="869" t="str">
        <f>IFERROR(VLOOKUP(B631,'03. THIẾT BỊ'!$B$1:$S$836,2,0),"")</f>
        <v>AD2-BAL-001</v>
      </c>
      <c r="D631" s="470" t="str">
        <f>IFERROR(VLOOKUP(B631,'03. THIẾT BỊ'!$B$1:$S$836,3,0),"")</f>
        <v>A22-MCA-003</v>
      </c>
      <c r="E631" s="464" t="str">
        <f>IFERROR(VLOOKUP(B631,'03. THIẾT BỊ'!$B$1:$S$836,4,0),"")</f>
        <v>ĐQSD</v>
      </c>
      <c r="F631" s="464" t="str">
        <f>IFERROR(VLOOKUP(B631,'03. THIẾT BỊ'!$B$1:$S$836,5,0),"")</f>
        <v>Máy cao áp phun thuốc</v>
      </c>
      <c r="G631" s="80" t="s">
        <v>6423</v>
      </c>
      <c r="H631" s="463" t="str">
        <f>IFERROR(VLOOKUP(B631,'03. THIẾT BỊ'!$B$1:$S$836,7,0),"")</f>
        <v>Xoài AD</v>
      </c>
      <c r="I631" s="474" t="str">
        <f>IFERROR(VLOOKUP(B631,'03. THIẾT BỊ'!$B$1:$S$836,8,0),"")</f>
        <v/>
      </c>
      <c r="J631" s="471"/>
      <c r="K631" s="463" t="str">
        <f>IFERROR(VLOOKUP(B631,'03. THIẾT BỊ'!$B$1:$S$836,10,0),"")</f>
        <v>Bình thường</v>
      </c>
      <c r="L631" s="468" t="str">
        <f>IFERROR(VLOOKUP(B631,'03. THIẾT BỊ'!$B$1:$S$836,11,0),"")</f>
        <v/>
      </c>
      <c r="M631" s="472" t="str">
        <f>IFERROR(VLOOKUP(B631,'03. THIẾT BỊ'!$B$1:$S$836,12,0),"")</f>
        <v>Mới cấp</v>
      </c>
      <c r="N631" s="468" t="str">
        <f>IFERROR(VLOOKUP(B631,'03. THIẾT BỊ'!$B$1:$S$836,13,0),"")</f>
        <v>CAMBODIA</v>
      </c>
      <c r="O631" s="470" t="str">
        <f>IFERROR(VLOOKUP(B631,'03. THIẾT BỊ'!$B$1:$S$836,14,0),"")</f>
        <v>3.5HP</v>
      </c>
      <c r="P631" s="468" t="str">
        <f>IFERROR(VLOOKUP(B631,'03. THIẾT BỊ'!$B$1:$S$836,15,0),"")</f>
        <v>CAMBODIA</v>
      </c>
      <c r="Q631" s="48" t="str">
        <f>IFERROR(VLOOKUP(B631,'03. THIẾT BỊ'!$B$1:$S$836,16,0),"")</f>
        <v/>
      </c>
      <c r="R631" s="471" t="str">
        <f>IFERROR(VLOOKUP(B631,'03. THIẾT BỊ'!$B$1:$S$836,17,0),"")</f>
        <v/>
      </c>
      <c r="S631" s="468" t="str">
        <f>IFERROR(VLOOKUP(B631,'03. THIẾT BỊ'!$B$1:$S$836,18,0),"")</f>
        <v/>
      </c>
      <c r="T631" s="959"/>
    </row>
    <row r="632" ht="15.0" customHeight="1">
      <c r="A632" s="463">
        <f t="shared" si="30"/>
        <v>49</v>
      </c>
      <c r="B632" s="584" t="s">
        <v>4893</v>
      </c>
      <c r="C632" s="869" t="str">
        <f>IFERROR(VLOOKUP(B632,'03. THIẾT BỊ'!$B$1:$S$836,2,0),"")</f>
        <v>AD2-BAL-002</v>
      </c>
      <c r="D632" s="470" t="str">
        <f>IFERROR(VLOOKUP(B632,'03. THIẾT BỊ'!$B$1:$S$836,3,0),"")</f>
        <v>A22-MCA-004</v>
      </c>
      <c r="E632" s="464" t="str">
        <f>IFERROR(VLOOKUP(B632,'03. THIẾT BỊ'!$B$1:$S$836,4,0),"")</f>
        <v>ĐQSD</v>
      </c>
      <c r="F632" s="464" t="str">
        <f>IFERROR(VLOOKUP(B632,'03. THIẾT BỊ'!$B$1:$S$836,5,0),"")</f>
        <v>Máy cao áp phun thuốc</v>
      </c>
      <c r="G632" s="80" t="s">
        <v>6423</v>
      </c>
      <c r="H632" s="463" t="str">
        <f>IFERROR(VLOOKUP(B632,'03. THIẾT BỊ'!$B$1:$S$836,7,0),"")</f>
        <v>Xoài AD</v>
      </c>
      <c r="I632" s="474" t="str">
        <f>IFERROR(VLOOKUP(B632,'03. THIẾT BỊ'!$B$1:$S$836,8,0),"")</f>
        <v/>
      </c>
      <c r="J632" s="471"/>
      <c r="K632" s="463" t="str">
        <f>IFERROR(VLOOKUP(B632,'03. THIẾT BỊ'!$B$1:$S$836,10,0),"")</f>
        <v>Bình thường</v>
      </c>
      <c r="L632" s="468" t="str">
        <f>IFERROR(VLOOKUP(B632,'03. THIẾT BỊ'!$B$1:$S$836,11,0),"")</f>
        <v/>
      </c>
      <c r="M632" s="472" t="str">
        <f>IFERROR(VLOOKUP(B632,'03. THIẾT BỊ'!$B$1:$S$836,12,0),"")</f>
        <v/>
      </c>
      <c r="N632" s="468" t="str">
        <f>IFERROR(VLOOKUP(B632,'03. THIẾT BỊ'!$B$1:$S$836,13,0),"")</f>
        <v>CAMBODIA</v>
      </c>
      <c r="O632" s="470" t="str">
        <f>IFERROR(VLOOKUP(B632,'03. THIẾT BỊ'!$B$1:$S$836,14,0),"")</f>
        <v>3.5HP</v>
      </c>
      <c r="P632" s="468" t="str">
        <f>IFERROR(VLOOKUP(B632,'03. THIẾT BỊ'!$B$1:$S$836,15,0),"")</f>
        <v>CAMBODIA</v>
      </c>
      <c r="Q632" s="48" t="str">
        <f>IFERROR(VLOOKUP(B632,'03. THIẾT BỊ'!$B$1:$S$836,16,0),"")</f>
        <v/>
      </c>
      <c r="R632" s="471" t="str">
        <f>IFERROR(VLOOKUP(B632,'03. THIẾT BỊ'!$B$1:$S$836,17,0),"")</f>
        <v/>
      </c>
      <c r="S632" s="468" t="str">
        <f>IFERROR(VLOOKUP(B632,'03. THIẾT BỊ'!$B$1:$S$836,18,0),"")</f>
        <v/>
      </c>
      <c r="T632" s="959"/>
    </row>
    <row r="633" ht="15.0" customHeight="1">
      <c r="A633" s="463">
        <f t="shared" si="30"/>
        <v>50</v>
      </c>
      <c r="B633" s="584" t="s">
        <v>4896</v>
      </c>
      <c r="C633" s="869" t="str">
        <f>IFERROR(VLOOKUP(B633,'03. THIẾT BỊ'!$B$1:$S$836,2,0),"")</f>
        <v>AD2-BAL-003</v>
      </c>
      <c r="D633" s="470" t="str">
        <f>IFERROR(VLOOKUP(B633,'03. THIẾT BỊ'!$B$1:$S$836,3,0),"")</f>
        <v>A22-MCA-005</v>
      </c>
      <c r="E633" s="464" t="str">
        <f>IFERROR(VLOOKUP(B633,'03. THIẾT BỊ'!$B$1:$S$836,4,0),"")</f>
        <v>ĐQSD</v>
      </c>
      <c r="F633" s="464" t="str">
        <f>IFERROR(VLOOKUP(B633,'03. THIẾT BỊ'!$B$1:$S$836,5,0),"")</f>
        <v>Máy cao áp phun thuốc</v>
      </c>
      <c r="G633" s="80" t="s">
        <v>6423</v>
      </c>
      <c r="H633" s="463" t="str">
        <f>IFERROR(VLOOKUP(B633,'03. THIẾT BỊ'!$B$1:$S$836,7,0),"")</f>
        <v>Xoài AD</v>
      </c>
      <c r="I633" s="474" t="str">
        <f>IFERROR(VLOOKUP(B633,'03. THIẾT BỊ'!$B$1:$S$836,8,0),"")</f>
        <v/>
      </c>
      <c r="J633" s="471"/>
      <c r="K633" s="463" t="str">
        <f>IFERROR(VLOOKUP(B633,'03. THIẾT BỊ'!$B$1:$S$836,10,0),"")</f>
        <v>Bình thường</v>
      </c>
      <c r="L633" s="468" t="str">
        <f>IFERROR(VLOOKUP(B633,'03. THIẾT BỊ'!$B$1:$S$836,11,0),"")</f>
        <v/>
      </c>
      <c r="M633" s="472" t="str">
        <f>IFERROR(VLOOKUP(B633,'03. THIẾT BỊ'!$B$1:$S$836,12,0),"")</f>
        <v/>
      </c>
      <c r="N633" s="468" t="str">
        <f>IFERROR(VLOOKUP(B633,'03. THIẾT BỊ'!$B$1:$S$836,13,0),"")</f>
        <v>CAMBODIA</v>
      </c>
      <c r="O633" s="470" t="str">
        <f>IFERROR(VLOOKUP(B633,'03. THIẾT BỊ'!$B$1:$S$836,14,0),"")</f>
        <v>3.5HP</v>
      </c>
      <c r="P633" s="468" t="str">
        <f>IFERROR(VLOOKUP(B633,'03. THIẾT BỊ'!$B$1:$S$836,15,0),"")</f>
        <v>CAMBODIA</v>
      </c>
      <c r="Q633" s="48" t="str">
        <f>IFERROR(VLOOKUP(B633,'03. THIẾT BỊ'!$B$1:$S$836,16,0),"")</f>
        <v/>
      </c>
      <c r="R633" s="471" t="str">
        <f>IFERROR(VLOOKUP(B633,'03. THIẾT BỊ'!$B$1:$S$836,17,0),"")</f>
        <v/>
      </c>
      <c r="S633" s="468" t="str">
        <f>IFERROR(VLOOKUP(B633,'03. THIẾT BỊ'!$B$1:$S$836,18,0),"")</f>
        <v/>
      </c>
      <c r="T633" s="959"/>
    </row>
    <row r="634" ht="15.0" customHeight="1">
      <c r="A634" s="463">
        <f t="shared" si="30"/>
        <v>51</v>
      </c>
      <c r="B634" s="464" t="s">
        <v>4953</v>
      </c>
      <c r="C634" s="869" t="str">
        <f>IFERROR(VLOOKUP(B634,'03. THIẾT BỊ'!$B$1:$S$836,2,0),"")</f>
        <v/>
      </c>
      <c r="D634" s="470" t="str">
        <f>IFERROR(VLOOKUP(B634,'03. THIẾT BỊ'!$B$1:$S$836,3,0),"")</f>
        <v>A23-MCA-001</v>
      </c>
      <c r="E634" s="464" t="str">
        <f>IFERROR(VLOOKUP(B634,'03. THIẾT BỊ'!$B$1:$S$836,4,0),"")</f>
        <v>ĐQSD</v>
      </c>
      <c r="F634" s="464" t="str">
        <f>IFERROR(VLOOKUP(B634,'03. THIẾT BỊ'!$B$1:$S$836,5,0),"")</f>
        <v>Máy cao áp phun thuốc</v>
      </c>
      <c r="G634" s="80" t="s">
        <v>6423</v>
      </c>
      <c r="H634" s="463" t="str">
        <f>IFERROR(VLOOKUP(B634,'03. THIẾT BỊ'!$B$1:$S$836,7,0),"")</f>
        <v>Xoài DP</v>
      </c>
      <c r="I634" s="474" t="str">
        <f>IFERROR(VLOOKUP(B634,'03. THIẾT BỊ'!$B$1:$S$836,8,0),"")</f>
        <v/>
      </c>
      <c r="J634" s="471"/>
      <c r="K634" s="463" t="str">
        <f>IFERROR(VLOOKUP(B634,'03. THIẾT BỊ'!$B$1:$S$836,10,0),"")</f>
        <v>Bình thường</v>
      </c>
      <c r="L634" s="468" t="str">
        <f>IFERROR(VLOOKUP(B634,'03. THIẾT BỊ'!$B$1:$S$836,11,0),"")</f>
        <v/>
      </c>
      <c r="M634" s="472" t="str">
        <f>IFERROR(VLOOKUP(B634,'03. THIẾT BỊ'!$B$1:$S$836,12,0),"")</f>
        <v/>
      </c>
      <c r="N634" s="468" t="str">
        <f>IFERROR(VLOOKUP(B634,'03. THIẾT BỊ'!$B$1:$S$836,13,0),"")</f>
        <v>CAMBODIA</v>
      </c>
      <c r="O634" s="470" t="str">
        <f>IFERROR(VLOOKUP(B634,'03. THIẾT BỊ'!$B$1:$S$836,14,0),"")</f>
        <v>3HP</v>
      </c>
      <c r="P634" s="468" t="str">
        <f>IFERROR(VLOOKUP(B634,'03. THIẾT BỊ'!$B$1:$S$836,15,0),"")</f>
        <v>CAMBODIA</v>
      </c>
      <c r="Q634" s="48" t="str">
        <f>IFERROR(VLOOKUP(B634,'03. THIẾT BỊ'!$B$1:$S$836,16,0),"")</f>
        <v/>
      </c>
      <c r="R634" s="471" t="str">
        <f>IFERROR(VLOOKUP(B634,'03. THIẾT BỊ'!$B$1:$S$836,17,0),"")</f>
        <v>3HP</v>
      </c>
      <c r="S634" s="468" t="str">
        <f>IFERROR(VLOOKUP(B634,'03. THIẾT BỊ'!$B$1:$S$836,18,0),"")</f>
        <v/>
      </c>
      <c r="T634" s="959"/>
    </row>
    <row r="635" ht="15.0" customHeight="1">
      <c r="A635" s="463">
        <f t="shared" si="30"/>
        <v>52</v>
      </c>
      <c r="B635" s="464" t="s">
        <v>4954</v>
      </c>
      <c r="C635" s="869" t="str">
        <f>IFERROR(VLOOKUP(B635,'03. THIẾT BỊ'!$B$1:$S$836,2,0),"")</f>
        <v/>
      </c>
      <c r="D635" s="470" t="str">
        <f>IFERROR(VLOOKUP(B635,'03. THIẾT BỊ'!$B$1:$S$836,3,0),"")</f>
        <v>A23-MCA-002</v>
      </c>
      <c r="E635" s="464" t="str">
        <f>IFERROR(VLOOKUP(B635,'03. THIẾT BỊ'!$B$1:$S$836,4,0),"")</f>
        <v>ĐQSD</v>
      </c>
      <c r="F635" s="464" t="str">
        <f>IFERROR(VLOOKUP(B635,'03. THIẾT BỊ'!$B$1:$S$836,5,0),"")</f>
        <v>Máy cao áp phun thuốc</v>
      </c>
      <c r="G635" s="80" t="s">
        <v>6423</v>
      </c>
      <c r="H635" s="463" t="str">
        <f>IFERROR(VLOOKUP(B635,'03. THIẾT BỊ'!$B$1:$S$836,7,0),"")</f>
        <v>Xoài DP</v>
      </c>
      <c r="I635" s="474" t="str">
        <f>IFERROR(VLOOKUP(B635,'03. THIẾT BỊ'!$B$1:$S$836,8,0),"")</f>
        <v/>
      </c>
      <c r="J635" s="471"/>
      <c r="K635" s="463" t="str">
        <f>IFERROR(VLOOKUP(B635,'03. THIẾT BỊ'!$B$1:$S$836,10,0),"")</f>
        <v>Bình thường</v>
      </c>
      <c r="L635" s="468" t="str">
        <f>IFERROR(VLOOKUP(B635,'03. THIẾT BỊ'!$B$1:$S$836,11,0),"")</f>
        <v/>
      </c>
      <c r="M635" s="472" t="str">
        <f>IFERROR(VLOOKUP(B635,'03. THIẾT BỊ'!$B$1:$S$836,12,0),"")</f>
        <v/>
      </c>
      <c r="N635" s="468" t="str">
        <f>IFERROR(VLOOKUP(B635,'03. THIẾT BỊ'!$B$1:$S$836,13,0),"")</f>
        <v>CAMBODIA</v>
      </c>
      <c r="O635" s="470" t="str">
        <f>IFERROR(VLOOKUP(B635,'03. THIẾT BỊ'!$B$1:$S$836,14,0),"")</f>
        <v>3HP</v>
      </c>
      <c r="P635" s="468" t="str">
        <f>IFERROR(VLOOKUP(B635,'03. THIẾT BỊ'!$B$1:$S$836,15,0),"")</f>
        <v>CAMBODIA</v>
      </c>
      <c r="Q635" s="48" t="str">
        <f>IFERROR(VLOOKUP(B635,'03. THIẾT BỊ'!$B$1:$S$836,16,0),"")</f>
        <v/>
      </c>
      <c r="R635" s="471" t="str">
        <f>IFERROR(VLOOKUP(B635,'03. THIẾT BỊ'!$B$1:$S$836,17,0),"")</f>
        <v>3HP</v>
      </c>
      <c r="S635" s="468" t="str">
        <f>IFERROR(VLOOKUP(B635,'03. THIẾT BỊ'!$B$1:$S$836,18,0),"")</f>
        <v/>
      </c>
      <c r="T635" s="959"/>
    </row>
    <row r="636" ht="15.0" customHeight="1">
      <c r="A636" s="463">
        <f t="shared" si="30"/>
        <v>53</v>
      </c>
      <c r="B636" s="464" t="s">
        <v>4955</v>
      </c>
      <c r="C636" s="869" t="str">
        <f>IFERROR(VLOOKUP(B636,'03. THIẾT BỊ'!$B$1:$S$836,2,0),"")</f>
        <v/>
      </c>
      <c r="D636" s="470" t="str">
        <f>IFERROR(VLOOKUP(B636,'03. THIẾT BỊ'!$B$1:$S$836,3,0),"")</f>
        <v>A23-MCA-001</v>
      </c>
      <c r="E636" s="464" t="str">
        <f>IFERROR(VLOOKUP(B636,'03. THIẾT BỊ'!$B$1:$S$836,4,0),"")</f>
        <v>ĐQSD</v>
      </c>
      <c r="F636" s="464" t="str">
        <f>IFERROR(VLOOKUP(B636,'03. THIẾT BỊ'!$B$1:$S$836,5,0),"")</f>
        <v>Máy cao áp phun thuốc</v>
      </c>
      <c r="G636" s="80" t="s">
        <v>6423</v>
      </c>
      <c r="H636" s="463" t="str">
        <f>IFERROR(VLOOKUP(B636,'03. THIẾT BỊ'!$B$1:$S$836,7,0),"")</f>
        <v>Xoài DP</v>
      </c>
      <c r="I636" s="474" t="str">
        <f>IFERROR(VLOOKUP(B636,'03. THIẾT BỊ'!$B$1:$S$836,8,0),"")</f>
        <v/>
      </c>
      <c r="J636" s="471"/>
      <c r="K636" s="463" t="str">
        <f>IFERROR(VLOOKUP(B636,'03. THIẾT BỊ'!$B$1:$S$836,10,0),"")</f>
        <v>Bình thường</v>
      </c>
      <c r="L636" s="468" t="str">
        <f>IFERROR(VLOOKUP(B636,'03. THIẾT BỊ'!$B$1:$S$836,11,0),"")</f>
        <v>Nhãn DP Đã Đ.chuyển sang Xoài DP 06.08.2024</v>
      </c>
      <c r="M636" s="472" t="str">
        <f>IFERROR(VLOOKUP(B636,'03. THIẾT BỊ'!$B$1:$S$836,12,0),"")</f>
        <v/>
      </c>
      <c r="N636" s="468" t="str">
        <f>IFERROR(VLOOKUP(B636,'03. THIẾT BỊ'!$B$1:$S$836,13,0),"")</f>
        <v>CAMBODIA</v>
      </c>
      <c r="O636" s="470" t="str">
        <f>IFERROR(VLOOKUP(B636,'03. THIẾT BỊ'!$B$1:$S$836,14,0),"")</f>
        <v>3HP</v>
      </c>
      <c r="P636" s="468" t="str">
        <f>IFERROR(VLOOKUP(B636,'03. THIẾT BỊ'!$B$1:$S$836,15,0),"")</f>
        <v>CAMBODIA</v>
      </c>
      <c r="Q636" s="48" t="str">
        <f>IFERROR(VLOOKUP(B636,'03. THIẾT BỊ'!$B$1:$S$836,16,0),"")</f>
        <v/>
      </c>
      <c r="R636" s="471" t="str">
        <f>IFERROR(VLOOKUP(B636,'03. THIẾT BỊ'!$B$1:$S$836,17,0),"")</f>
        <v>3HP</v>
      </c>
      <c r="S636" s="468" t="str">
        <f>IFERROR(VLOOKUP(B636,'03. THIẾT BỊ'!$B$1:$S$836,18,0),"")</f>
        <v/>
      </c>
      <c r="T636" s="959"/>
    </row>
    <row r="637" ht="15.0" customHeight="1">
      <c r="A637" s="463">
        <f t="shared" si="30"/>
        <v>54</v>
      </c>
      <c r="B637" s="464" t="s">
        <v>4957</v>
      </c>
      <c r="C637" s="869" t="str">
        <f>IFERROR(VLOOKUP(B637,'03. THIẾT BỊ'!$B$1:$S$836,2,0),"")</f>
        <v/>
      </c>
      <c r="D637" s="470" t="str">
        <f>IFERROR(VLOOKUP(B637,'03. THIẾT BỊ'!$B$1:$S$836,3,0),"")</f>
        <v>A23-MCA-002</v>
      </c>
      <c r="E637" s="464" t="str">
        <f>IFERROR(VLOOKUP(B637,'03. THIẾT BỊ'!$B$1:$S$836,4,0),"")</f>
        <v>ĐQSD</v>
      </c>
      <c r="F637" s="464" t="str">
        <f>IFERROR(VLOOKUP(B637,'03. THIẾT BỊ'!$B$1:$S$836,5,0),"")</f>
        <v>Máy cao áp phun thuốc</v>
      </c>
      <c r="G637" s="80" t="s">
        <v>6423</v>
      </c>
      <c r="H637" s="463" t="str">
        <f>IFERROR(VLOOKUP(B637,'03. THIẾT BỊ'!$B$1:$S$836,7,0),"")</f>
        <v>Xoài DP</v>
      </c>
      <c r="I637" s="474" t="str">
        <f>IFERROR(VLOOKUP(B637,'03. THIẾT BỊ'!$B$1:$S$836,8,0),"")</f>
        <v/>
      </c>
      <c r="J637" s="471"/>
      <c r="K637" s="463" t="str">
        <f>IFERROR(VLOOKUP(B637,'03. THIẾT BỊ'!$B$1:$S$836,10,0),"")</f>
        <v>Bình thường</v>
      </c>
      <c r="L637" s="468" t="str">
        <f>IFERROR(VLOOKUP(B637,'03. THIẾT BỊ'!$B$1:$S$836,11,0),"")</f>
        <v>Nhãn DP Đã Đ.chuyển sang Xoài DP 06.08.2024</v>
      </c>
      <c r="M637" s="472" t="str">
        <f>IFERROR(VLOOKUP(B637,'03. THIẾT BỊ'!$B$1:$S$836,12,0),"")</f>
        <v/>
      </c>
      <c r="N637" s="468" t="str">
        <f>IFERROR(VLOOKUP(B637,'03. THIẾT BỊ'!$B$1:$S$836,13,0),"")</f>
        <v>CAMBODIA</v>
      </c>
      <c r="O637" s="470" t="str">
        <f>IFERROR(VLOOKUP(B637,'03. THIẾT BỊ'!$B$1:$S$836,14,0),"")</f>
        <v>3HP</v>
      </c>
      <c r="P637" s="468" t="str">
        <f>IFERROR(VLOOKUP(B637,'03. THIẾT BỊ'!$B$1:$S$836,15,0),"")</f>
        <v>CAMBODIA</v>
      </c>
      <c r="Q637" s="48" t="str">
        <f>IFERROR(VLOOKUP(B637,'03. THIẾT BỊ'!$B$1:$S$836,16,0),"")</f>
        <v/>
      </c>
      <c r="R637" s="471" t="str">
        <f>IFERROR(VLOOKUP(B637,'03. THIẾT BỊ'!$B$1:$S$836,17,0),"")</f>
        <v>3HP</v>
      </c>
      <c r="S637" s="468" t="str">
        <f>IFERROR(VLOOKUP(B637,'03. THIẾT BỊ'!$B$1:$S$836,18,0),"")</f>
        <v/>
      </c>
      <c r="T637" s="959"/>
    </row>
    <row r="638" ht="15.0" customHeight="1">
      <c r="A638" s="463">
        <f t="shared" si="30"/>
        <v>55</v>
      </c>
      <c r="B638" s="464" t="s">
        <v>5285</v>
      </c>
      <c r="C638" s="869" t="str">
        <f>IFERROR(VLOOKUP(B638,'03. THIẾT BỊ'!$B$1:$S$836,2,0),"")</f>
        <v/>
      </c>
      <c r="D638" s="470" t="str">
        <f>IFERROR(VLOOKUP(B638,'03. THIẾT BỊ'!$B$1:$S$836,3,0),"")</f>
        <v/>
      </c>
      <c r="E638" s="464" t="str">
        <f>IFERROR(VLOOKUP(B638,'03. THIẾT BỊ'!$B$1:$S$836,4,0),"")</f>
        <v>ĐQSD</v>
      </c>
      <c r="F638" s="464" t="str">
        <f>IFERROR(VLOOKUP(B638,'03. THIẾT BỊ'!$B$1:$S$836,5,0),"")</f>
        <v>Máy cao áp phun thuốc</v>
      </c>
      <c r="G638" s="80" t="s">
        <v>6423</v>
      </c>
      <c r="H638" s="463" t="str">
        <f>IFERROR(VLOOKUP(B638,'03. THIẾT BỊ'!$B$1:$S$836,7,0),"")</f>
        <v>XN Bò AD</v>
      </c>
      <c r="I638" s="474">
        <f>IFERROR(VLOOKUP(B638,'03. THIẾT BỊ'!$B$1:$S$836,8,0),"")</f>
        <v>45514</v>
      </c>
      <c r="J638" s="471"/>
      <c r="K638" s="463" t="str">
        <f>IFERROR(VLOOKUP(B638,'03. THIẾT BỊ'!$B$1:$S$836,10,0),"")</f>
        <v>Bình thường</v>
      </c>
      <c r="L638" s="468" t="str">
        <f>IFERROR(VLOOKUP(B638,'03. THIẾT BỊ'!$B$1:$S$836,11,0),"")</f>
        <v/>
      </c>
      <c r="M638" s="472" t="str">
        <f>IFERROR(VLOOKUP(B638,'03. THIẾT BỊ'!$B$1:$S$836,12,0),"")</f>
        <v>Đầu tư mới</v>
      </c>
      <c r="N638" s="468" t="str">
        <f>IFERROR(VLOOKUP(B638,'03. THIẾT BỊ'!$B$1:$S$836,13,0),"")</f>
        <v>NILE</v>
      </c>
      <c r="O638" s="470" t="str">
        <f>IFERROR(VLOOKUP(B638,'03. THIẾT BỊ'!$B$1:$S$836,14,0),"")</f>
        <v>N680A</v>
      </c>
      <c r="P638" s="468" t="str">
        <f>IFERROR(VLOOKUP(B638,'03. THIẾT BỊ'!$B$1:$S$836,15,0),"")</f>
        <v>TRUNG QUỐC</v>
      </c>
      <c r="Q638" s="48" t="str">
        <f>IFERROR(VLOOKUP(B638,'03. THIẾT BỊ'!$B$1:$S$836,16,0),"")</f>
        <v/>
      </c>
      <c r="R638" s="471" t="str">
        <f>IFERROR(VLOOKUP(B638,'03. THIẾT BỊ'!$B$1:$S$836,17,0),"")</f>
        <v/>
      </c>
      <c r="S638" s="468" t="str">
        <f>IFERROR(VLOOKUP(B638,'03. THIẾT BỊ'!$B$1:$S$836,18,0),"")</f>
        <v>N680A-240014</v>
      </c>
      <c r="T638" s="807"/>
    </row>
    <row r="639" ht="15.0" customHeight="1">
      <c r="A639" s="463">
        <f t="shared" si="30"/>
        <v>56</v>
      </c>
      <c r="B639" s="464" t="s">
        <v>5289</v>
      </c>
      <c r="C639" s="869" t="str">
        <f>IFERROR(VLOOKUP(B639,'03. THIẾT BỊ'!$B$1:$S$836,2,0),"")</f>
        <v/>
      </c>
      <c r="D639" s="470" t="str">
        <f>IFERROR(VLOOKUP(B639,'03. THIẾT BỊ'!$B$1:$S$836,3,0),"")</f>
        <v/>
      </c>
      <c r="E639" s="464" t="str">
        <f>IFERROR(VLOOKUP(B639,'03. THIẾT BỊ'!$B$1:$S$836,4,0),"")</f>
        <v>ĐQSD</v>
      </c>
      <c r="F639" s="464" t="str">
        <f>IFERROR(VLOOKUP(B639,'03. THIẾT BỊ'!$B$1:$S$836,5,0),"")</f>
        <v>Máy cao áp phun thuốc</v>
      </c>
      <c r="G639" s="80" t="s">
        <v>6423</v>
      </c>
      <c r="H639" s="463" t="str">
        <f>IFERROR(VLOOKUP(B639,'03. THIẾT BỊ'!$B$1:$S$836,7,0),"")</f>
        <v>XN Bò AD</v>
      </c>
      <c r="I639" s="474">
        <f>IFERROR(VLOOKUP(B639,'03. THIẾT BỊ'!$B$1:$S$836,8,0),"")</f>
        <v>45514</v>
      </c>
      <c r="J639" s="471"/>
      <c r="K639" s="463" t="str">
        <f>IFERROR(VLOOKUP(B639,'03. THIẾT BỊ'!$B$1:$S$836,10,0),"")</f>
        <v>Bình thường</v>
      </c>
      <c r="L639" s="468" t="str">
        <f>IFERROR(VLOOKUP(B639,'03. THIẾT BỊ'!$B$1:$S$836,11,0),"")</f>
        <v/>
      </c>
      <c r="M639" s="472" t="str">
        <f>IFERROR(VLOOKUP(B639,'03. THIẾT BỊ'!$B$1:$S$836,12,0),"")</f>
        <v>Đầu tư mới</v>
      </c>
      <c r="N639" s="468" t="str">
        <f>IFERROR(VLOOKUP(B639,'03. THIẾT BỊ'!$B$1:$S$836,13,0),"")</f>
        <v>NILE</v>
      </c>
      <c r="O639" s="470" t="str">
        <f>IFERROR(VLOOKUP(B639,'03. THIẾT BỊ'!$B$1:$S$836,14,0),"")</f>
        <v>N680A</v>
      </c>
      <c r="P639" s="468" t="str">
        <f>IFERROR(VLOOKUP(B639,'03. THIẾT BỊ'!$B$1:$S$836,15,0),"")</f>
        <v>TRUNG QUỐC</v>
      </c>
      <c r="Q639" s="48" t="str">
        <f>IFERROR(VLOOKUP(B639,'03. THIẾT BỊ'!$B$1:$S$836,16,0),"")</f>
        <v/>
      </c>
      <c r="R639" s="471" t="str">
        <f>IFERROR(VLOOKUP(B639,'03. THIẾT BỊ'!$B$1:$S$836,17,0),"")</f>
        <v/>
      </c>
      <c r="S639" s="468" t="str">
        <f>IFERROR(VLOOKUP(B639,'03. THIẾT BỊ'!$B$1:$S$836,18,0),"")</f>
        <v>N680A-240012</v>
      </c>
      <c r="T639" s="807"/>
    </row>
    <row r="640" ht="15.0" customHeight="1">
      <c r="A640" s="463">
        <f t="shared" si="30"/>
        <v>57</v>
      </c>
      <c r="B640" s="464" t="s">
        <v>5291</v>
      </c>
      <c r="C640" s="869" t="str">
        <f>IFERROR(VLOOKUP(B640,'03. THIẾT BỊ'!$B$1:$S$836,2,0),"")</f>
        <v/>
      </c>
      <c r="D640" s="470" t="str">
        <f>IFERROR(VLOOKUP(B640,'03. THIẾT BỊ'!$B$1:$S$836,3,0),"")</f>
        <v/>
      </c>
      <c r="E640" s="464" t="str">
        <f>IFERROR(VLOOKUP(B640,'03. THIẾT BỊ'!$B$1:$S$836,4,0),"")</f>
        <v>ĐQSD</v>
      </c>
      <c r="F640" s="464" t="str">
        <f>IFERROR(VLOOKUP(B640,'03. THIẾT BỊ'!$B$1:$S$836,5,0),"")</f>
        <v>Máy cao áp phun thuốc</v>
      </c>
      <c r="G640" s="80" t="s">
        <v>6423</v>
      </c>
      <c r="H640" s="463" t="str">
        <f>IFERROR(VLOOKUP(B640,'03. THIẾT BỊ'!$B$1:$S$836,7,0),"")</f>
        <v>XN Bò AD</v>
      </c>
      <c r="I640" s="474">
        <f>IFERROR(VLOOKUP(B640,'03. THIẾT BỊ'!$B$1:$S$836,8,0),"")</f>
        <v>45514</v>
      </c>
      <c r="J640" s="471"/>
      <c r="K640" s="463" t="str">
        <f>IFERROR(VLOOKUP(B640,'03. THIẾT BỊ'!$B$1:$S$836,10,0),"")</f>
        <v>Bình thường</v>
      </c>
      <c r="L640" s="468" t="str">
        <f>IFERROR(VLOOKUP(B640,'03. THIẾT BỊ'!$B$1:$S$836,11,0),"")</f>
        <v/>
      </c>
      <c r="M640" s="472" t="str">
        <f>IFERROR(VLOOKUP(B640,'03. THIẾT BỊ'!$B$1:$S$836,12,0),"")</f>
        <v>Đầu tư mới</v>
      </c>
      <c r="N640" s="468" t="str">
        <f>IFERROR(VLOOKUP(B640,'03. THIẾT BỊ'!$B$1:$S$836,13,0),"")</f>
        <v>NILE</v>
      </c>
      <c r="O640" s="470" t="str">
        <f>IFERROR(VLOOKUP(B640,'03. THIẾT BỊ'!$B$1:$S$836,14,0),"")</f>
        <v>N680A</v>
      </c>
      <c r="P640" s="468" t="str">
        <f>IFERROR(VLOOKUP(B640,'03. THIẾT BỊ'!$B$1:$S$836,15,0),"")</f>
        <v>TRUNG QUỐC</v>
      </c>
      <c r="Q640" s="48" t="str">
        <f>IFERROR(VLOOKUP(B640,'03. THIẾT BỊ'!$B$1:$S$836,16,0),"")</f>
        <v/>
      </c>
      <c r="R640" s="471" t="str">
        <f>IFERROR(VLOOKUP(B640,'03. THIẾT BỊ'!$B$1:$S$836,17,0),"")</f>
        <v/>
      </c>
      <c r="S640" s="468" t="str">
        <f>IFERROR(VLOOKUP(B640,'03. THIẾT BỊ'!$B$1:$S$836,18,0),"")</f>
        <v>N680A-240010</v>
      </c>
      <c r="T640" s="807"/>
    </row>
    <row r="641">
      <c r="C641" s="869" t="str">
        <f>IFERROR(VLOOKUP(B641,'03. THIẾT BỊ'!$B$1:$S$836,2,0),"")</f>
        <v/>
      </c>
      <c r="D641" s="470" t="str">
        <f>IFERROR(VLOOKUP(B641,'03. THIẾT BỊ'!$B$1:$S$836,3,0),"")</f>
        <v/>
      </c>
      <c r="E641" s="464" t="str">
        <f>IFERROR(VLOOKUP(B641,'03. THIẾT BỊ'!$B$1:$S$836,4,0),"")</f>
        <v/>
      </c>
      <c r="F641" s="464" t="str">
        <f>IFERROR(VLOOKUP(B641,'03. THIẾT BỊ'!$B$1:$S$836,5,0),"")</f>
        <v/>
      </c>
      <c r="G641" s="80" t="s">
        <v>6423</v>
      </c>
      <c r="H641" s="463" t="str">
        <f>IFERROR(VLOOKUP(B641,'03. THIẾT BỊ'!$B$1:$S$836,7,0),"")</f>
        <v/>
      </c>
      <c r="I641" s="474" t="str">
        <f>IFERROR(VLOOKUP(B641,'03. THIẾT BỊ'!$B$1:$S$836,8,0),"")</f>
        <v/>
      </c>
      <c r="J641" s="471"/>
      <c r="K641" s="463" t="str">
        <f>IFERROR(VLOOKUP(B641,'03. THIẾT BỊ'!$B$1:$S$836,10,0),"")</f>
        <v/>
      </c>
      <c r="L641" s="468" t="str">
        <f>IFERROR(VLOOKUP(B641,'03. THIẾT BỊ'!$B$1:$S$836,11,0),"")</f>
        <v/>
      </c>
      <c r="M641" s="472" t="str">
        <f>IFERROR(VLOOKUP(B641,'03. THIẾT BỊ'!$B$1:$S$836,12,0),"")</f>
        <v/>
      </c>
      <c r="N641" s="468" t="str">
        <f>IFERROR(VLOOKUP(B641,'03. THIẾT BỊ'!$B$1:$S$836,13,0),"")</f>
        <v/>
      </c>
      <c r="O641" s="470" t="str">
        <f>IFERROR(VLOOKUP(B641,'03. THIẾT BỊ'!$B$1:$S$836,14,0),"")</f>
        <v/>
      </c>
      <c r="P641" s="468" t="str">
        <f>IFERROR(VLOOKUP(B641,'03. THIẾT BỊ'!$B$1:$S$836,15,0),"")</f>
        <v/>
      </c>
      <c r="Q641" s="48" t="str">
        <f>IFERROR(VLOOKUP(B641,'03. THIẾT BỊ'!$B$1:$S$836,16,0),"")</f>
        <v/>
      </c>
      <c r="R641" s="471" t="str">
        <f>IFERROR(VLOOKUP(B641,'03. THIẾT BỊ'!$B$1:$S$836,17,0),"")</f>
        <v/>
      </c>
      <c r="S641" s="468" t="str">
        <f>IFERROR(VLOOKUP(B641,'03. THIẾT BỊ'!$B$1:$S$836,18,0),"")</f>
        <v/>
      </c>
    </row>
    <row r="642" hidden="1">
      <c r="C642" s="869" t="str">
        <f>IFERROR(VLOOKUP(B642,'03. THIẾT BỊ'!$B$1:$S$836,2,0),"")</f>
        <v/>
      </c>
      <c r="D642" s="470" t="str">
        <f>IFERROR(VLOOKUP(B642,'03. THIẾT BỊ'!$B$1:$S$836,3,0),"")</f>
        <v/>
      </c>
      <c r="E642" s="464" t="str">
        <f>IFERROR(VLOOKUP(B642,'03. THIẾT BỊ'!$B$1:$S$836,4,0),"")</f>
        <v/>
      </c>
      <c r="F642" s="464" t="str">
        <f>IFERROR(VLOOKUP(B642,'03. THIẾT BỊ'!$B$1:$S$836,5,0),"")</f>
        <v/>
      </c>
      <c r="G642" s="80" t="s">
        <v>6423</v>
      </c>
      <c r="H642" s="463" t="str">
        <f>IFERROR(VLOOKUP(B642,'03. THIẾT BỊ'!$B$1:$S$836,7,0),"")</f>
        <v/>
      </c>
      <c r="I642" s="474" t="str">
        <f>IFERROR(VLOOKUP(B642,'03. THIẾT BỊ'!$B$1:$S$836,8,0),"")</f>
        <v/>
      </c>
      <c r="J642" s="471"/>
      <c r="K642" s="463" t="str">
        <f>IFERROR(VLOOKUP(B642,'03. THIẾT BỊ'!$B$1:$S$836,10,0),"")</f>
        <v/>
      </c>
      <c r="L642" s="468" t="str">
        <f>IFERROR(VLOOKUP(B642,'03. THIẾT BỊ'!$B$1:$S$836,11,0),"")</f>
        <v/>
      </c>
      <c r="M642" s="472" t="str">
        <f>IFERROR(VLOOKUP(B642,'03. THIẾT BỊ'!$B$1:$S$836,12,0),"")</f>
        <v/>
      </c>
      <c r="N642" s="468" t="str">
        <f>IFERROR(VLOOKUP(B642,'03. THIẾT BỊ'!$B$1:$S$836,13,0),"")</f>
        <v/>
      </c>
      <c r="O642" s="470" t="str">
        <f>IFERROR(VLOOKUP(B642,'03. THIẾT BỊ'!$B$1:$S$836,14,0),"")</f>
        <v/>
      </c>
      <c r="P642" s="468" t="str">
        <f>IFERROR(VLOOKUP(B642,'03. THIẾT BỊ'!$B$1:$S$836,15,0),"")</f>
        <v/>
      </c>
      <c r="Q642" s="48" t="str">
        <f>IFERROR(VLOOKUP(B642,'03. THIẾT BỊ'!$B$1:$S$836,16,0),"")</f>
        <v/>
      </c>
      <c r="R642" s="471" t="str">
        <f>IFERROR(VLOOKUP(B642,'03. THIẾT BỊ'!$B$1:$S$836,17,0),"")</f>
        <v/>
      </c>
      <c r="S642" s="468" t="str">
        <f>IFERROR(VLOOKUP(B642,'03. THIẾT BỊ'!$B$1:$S$836,18,0),"")</f>
        <v/>
      </c>
    </row>
    <row r="643" hidden="1">
      <c r="C643" s="869" t="str">
        <f>IFERROR(VLOOKUP(B643,'03. THIẾT BỊ'!$B$1:$S$836,2,0),"")</f>
        <v/>
      </c>
      <c r="D643" s="470" t="str">
        <f>IFERROR(VLOOKUP(B643,'03. THIẾT BỊ'!$B$1:$S$836,3,0),"")</f>
        <v/>
      </c>
      <c r="E643" s="464" t="str">
        <f>IFERROR(VLOOKUP(B643,'03. THIẾT BỊ'!$B$1:$S$836,4,0),"")</f>
        <v/>
      </c>
      <c r="F643" s="464" t="str">
        <f>IFERROR(VLOOKUP(B643,'03. THIẾT BỊ'!$B$1:$S$836,5,0),"")</f>
        <v/>
      </c>
      <c r="G643" s="80" t="s">
        <v>6423</v>
      </c>
      <c r="H643" s="463" t="str">
        <f>IFERROR(VLOOKUP(B643,'03. THIẾT BỊ'!$B$1:$S$836,7,0),"")</f>
        <v/>
      </c>
      <c r="I643" s="474" t="str">
        <f>IFERROR(VLOOKUP(B643,'03. THIẾT BỊ'!$B$1:$S$836,8,0),"")</f>
        <v/>
      </c>
      <c r="J643" s="471"/>
      <c r="K643" s="463" t="str">
        <f>IFERROR(VLOOKUP(B643,'03. THIẾT BỊ'!$B$1:$S$836,10,0),"")</f>
        <v/>
      </c>
      <c r="L643" s="468" t="str">
        <f>IFERROR(VLOOKUP(B643,'03. THIẾT BỊ'!$B$1:$S$836,11,0),"")</f>
        <v/>
      </c>
      <c r="M643" s="472" t="str">
        <f>IFERROR(VLOOKUP(B643,'03. THIẾT BỊ'!$B$1:$S$836,12,0),"")</f>
        <v/>
      </c>
      <c r="N643" s="468" t="str">
        <f>IFERROR(VLOOKUP(B643,'03. THIẾT BỊ'!$B$1:$S$836,13,0),"")</f>
        <v/>
      </c>
      <c r="O643" s="470" t="str">
        <f>IFERROR(VLOOKUP(B643,'03. THIẾT BỊ'!$B$1:$S$836,14,0),"")</f>
        <v/>
      </c>
      <c r="P643" s="468" t="str">
        <f>IFERROR(VLOOKUP(B643,'03. THIẾT BỊ'!$B$1:$S$836,15,0),"")</f>
        <v/>
      </c>
      <c r="Q643" s="48" t="str">
        <f>IFERROR(VLOOKUP(B643,'03. THIẾT BỊ'!$B$1:$S$836,16,0),"")</f>
        <v/>
      </c>
      <c r="R643" s="471" t="str">
        <f>IFERROR(VLOOKUP(B643,'03. THIẾT BỊ'!$B$1:$S$836,17,0),"")</f>
        <v/>
      </c>
      <c r="S643" s="468" t="str">
        <f>IFERROR(VLOOKUP(B643,'03. THIẾT BỊ'!$B$1:$S$836,18,0),"")</f>
        <v/>
      </c>
    </row>
    <row r="644" ht="15.0" customHeight="1">
      <c r="A644" s="455" t="s">
        <v>76</v>
      </c>
      <c r="B644" s="456" t="s">
        <v>8710</v>
      </c>
      <c r="C644" s="457">
        <f>COUNTA(B645:B656)</f>
        <v>10</v>
      </c>
      <c r="D644" s="458" t="str">
        <f>IFERROR(VLOOKUP(B644,'03. THIẾT BỊ'!$B$1:$S$836,3,0),"")</f>
        <v/>
      </c>
      <c r="E644" s="464" t="str">
        <f>IFERROR(VLOOKUP(B644,'03. THIẾT BỊ'!$B$1:$S$836,4,0),"")</f>
        <v/>
      </c>
      <c r="F644" s="458" t="str">
        <f>IFERROR(VLOOKUP(B644,'03. THIẾT BỊ'!$B$1:$S$836,5,0),"")</f>
        <v/>
      </c>
      <c r="G644" s="459" t="s">
        <v>6423</v>
      </c>
      <c r="H644" s="459" t="str">
        <f>IFERROR(VLOOKUP(B644,'03. THIẾT BỊ'!$B$1:$S$836,7,0),"")</f>
        <v/>
      </c>
      <c r="I644" s="457" t="str">
        <f>IFERROR(VLOOKUP(B644,'03. THIẾT BỊ'!$B$1:$S$836,8,0),"")</f>
        <v/>
      </c>
      <c r="J644" s="460"/>
      <c r="K644" s="457" t="str">
        <f>IFERROR(VLOOKUP(B644,'03. THIẾT BỊ'!$B$1:$S$836,10,0),"")</f>
        <v/>
      </c>
      <c r="L644" s="458" t="str">
        <f>IFERROR(VLOOKUP(B644,'03. THIẾT BỊ'!$B$1:$S$836,11,0),"")</f>
        <v/>
      </c>
      <c r="M644" s="461" t="str">
        <f>IFERROR(VLOOKUP(B644,'03. THIẾT BỊ'!$B$1:$S$836,12,0),"")</f>
        <v/>
      </c>
      <c r="N644" s="458" t="str">
        <f>IFERROR(VLOOKUP(B644,'03. THIẾT BỊ'!$B$1:$S$836,13,0),"")</f>
        <v/>
      </c>
      <c r="O644" s="461" t="str">
        <f>IFERROR(VLOOKUP(B644,'03. THIẾT BỊ'!$B$1:$S$836,14,0),"")</f>
        <v/>
      </c>
      <c r="P644" s="458" t="str">
        <f>IFERROR(VLOOKUP(B644,'03. THIẾT BỊ'!$B$1:$S$836,15,0),"")</f>
        <v/>
      </c>
      <c r="Q644" s="459" t="str">
        <f>IFERROR(VLOOKUP(B644,'03. THIẾT BỊ'!$B$1:$S$836,16,0),"")</f>
        <v/>
      </c>
      <c r="R644" s="458" t="str">
        <f>IFERROR(VLOOKUP(B644,'03. THIẾT BỊ'!$B$1:$S$836,17,0),"")</f>
        <v/>
      </c>
      <c r="S644" s="458" t="str">
        <f>IFERROR(VLOOKUP(B644,'03. THIẾT BỊ'!$B$1:$S$836,18,0),"")</f>
        <v/>
      </c>
      <c r="T644" s="866"/>
    </row>
    <row r="645" ht="15.0" customHeight="1">
      <c r="A645" s="463">
        <v>1.0</v>
      </c>
      <c r="B645" s="464" t="s">
        <v>4805</v>
      </c>
      <c r="C645" s="869" t="str">
        <f>IFERROR(VLOOKUP(B645,'03. THIẾT BỊ'!$B$1:$S$836,2,0),"")</f>
        <v>RT140DI-19080180</v>
      </c>
      <c r="D645" s="470" t="str">
        <f>IFERROR(VLOOKUP(B645,'03. THIẾT BỊ'!$B$1:$S$836,3,0),"")</f>
        <v>A22-MNO-001</v>
      </c>
      <c r="E645" s="464" t="str">
        <f>IFERROR(VLOOKUP(B645,'03. THIẾT BỊ'!$B$1:$S$836,4,0),"")</f>
        <v>ĐQSD</v>
      </c>
      <c r="F645" s="464" t="str">
        <f>IFERROR(VLOOKUP(B645,'03. THIẾT BỊ'!$B$1:$S$836,5,0),"")</f>
        <v>Máy nổ 140</v>
      </c>
      <c r="G645" s="80" t="s">
        <v>6423</v>
      </c>
      <c r="H645" s="463" t="str">
        <f>IFERROR(VLOOKUP(B645,'03. THIẾT BỊ'!$B$1:$S$836,7,0),"")</f>
        <v>Xoài AD</v>
      </c>
      <c r="I645" s="474" t="str">
        <f>IFERROR(VLOOKUP(B645,'03. THIẾT BỊ'!$B$1:$S$836,8,0),"")</f>
        <v/>
      </c>
      <c r="J645" s="471"/>
      <c r="K645" s="463" t="str">
        <f>IFERROR(VLOOKUP(B645,'03. THIẾT BỊ'!$B$1:$S$836,10,0),"")</f>
        <v>Bình thường</v>
      </c>
      <c r="L645" s="468" t="str">
        <f>IFERROR(VLOOKUP(B645,'03. THIẾT BỊ'!$B$1:$S$836,11,0),"")</f>
        <v/>
      </c>
      <c r="M645" s="472" t="str">
        <f>IFERROR(VLOOKUP(B645,'03. THIẾT BỊ'!$B$1:$S$836,12,0),"")</f>
        <v/>
      </c>
      <c r="N645" s="468" t="str">
        <f>IFERROR(VLOOKUP(B645,'03. THIẾT BỊ'!$B$1:$S$836,13,0),"")</f>
        <v>CAMBODIA</v>
      </c>
      <c r="O645" s="470">
        <f>IFERROR(VLOOKUP(B645,'03. THIẾT BỊ'!$B$1:$S$836,14,0),"")</f>
        <v>140</v>
      </c>
      <c r="P645" s="468" t="str">
        <f>IFERROR(VLOOKUP(B645,'03. THIẾT BỊ'!$B$1:$S$836,15,0),"")</f>
        <v>CAMBODIA</v>
      </c>
      <c r="Q645" s="48" t="str">
        <f>IFERROR(VLOOKUP(B645,'03. THIẾT BỊ'!$B$1:$S$836,16,0),"")</f>
        <v/>
      </c>
      <c r="R645" s="471" t="str">
        <f>IFERROR(VLOOKUP(B645,'03. THIẾT BỊ'!$B$1:$S$836,17,0),"")</f>
        <v/>
      </c>
      <c r="S645" s="468" t="str">
        <f>IFERROR(VLOOKUP(B645,'03. THIẾT BỊ'!$B$1:$S$836,18,0),"")</f>
        <v/>
      </c>
      <c r="T645" s="1493">
        <v>2.0</v>
      </c>
    </row>
    <row r="646" ht="15.0" customHeight="1">
      <c r="A646" s="463">
        <v>2.0</v>
      </c>
      <c r="B646" s="464" t="s">
        <v>4810</v>
      </c>
      <c r="C646" s="869" t="str">
        <f>IFERROR(VLOOKUP(B646,'03. THIẾT BỊ'!$B$1:$S$836,2,0),"")</f>
        <v>RT140-KH13091019</v>
      </c>
      <c r="D646" s="470" t="str">
        <f>IFERROR(VLOOKUP(B646,'03. THIẾT BỊ'!$B$1:$S$836,3,0),"")</f>
        <v>A22-MNO-002</v>
      </c>
      <c r="E646" s="464" t="str">
        <f>IFERROR(VLOOKUP(B646,'03. THIẾT BỊ'!$B$1:$S$836,4,0),"")</f>
        <v>ĐQSD</v>
      </c>
      <c r="F646" s="464" t="str">
        <f>IFERROR(VLOOKUP(B646,'03. THIẾT BỊ'!$B$1:$S$836,5,0),"")</f>
        <v>Máy nổ 140</v>
      </c>
      <c r="G646" s="80" t="s">
        <v>6423</v>
      </c>
      <c r="H646" s="463" t="str">
        <f>IFERROR(VLOOKUP(B646,'03. THIẾT BỊ'!$B$1:$S$836,7,0),"")</f>
        <v>Xoài AD</v>
      </c>
      <c r="I646" s="474" t="str">
        <f>IFERROR(VLOOKUP(B646,'03. THIẾT BỊ'!$B$1:$S$836,8,0),"")</f>
        <v/>
      </c>
      <c r="J646" s="471"/>
      <c r="K646" s="463" t="str">
        <f>IFERROR(VLOOKUP(B646,'03. THIẾT BỊ'!$B$1:$S$836,10,0),"")</f>
        <v>Bình thường</v>
      </c>
      <c r="L646" s="468" t="str">
        <f>IFERROR(VLOOKUP(B646,'03. THIẾT BỊ'!$B$1:$S$836,11,0),"")</f>
        <v/>
      </c>
      <c r="M646" s="472" t="str">
        <f>IFERROR(VLOOKUP(B646,'03. THIẾT BỊ'!$B$1:$S$836,12,0),"")</f>
        <v/>
      </c>
      <c r="N646" s="468" t="str">
        <f>IFERROR(VLOOKUP(B646,'03. THIẾT BỊ'!$B$1:$S$836,13,0),"")</f>
        <v>CAMBODIA</v>
      </c>
      <c r="O646" s="470">
        <f>IFERROR(VLOOKUP(B646,'03. THIẾT BỊ'!$B$1:$S$836,14,0),"")</f>
        <v>140</v>
      </c>
      <c r="P646" s="468" t="str">
        <f>IFERROR(VLOOKUP(B646,'03. THIẾT BỊ'!$B$1:$S$836,15,0),"")</f>
        <v>CAMBODIA</v>
      </c>
      <c r="Q646" s="48" t="str">
        <f>IFERROR(VLOOKUP(B646,'03. THIẾT BỊ'!$B$1:$S$836,16,0),"")</f>
        <v/>
      </c>
      <c r="R646" s="471" t="str">
        <f>IFERROR(VLOOKUP(B646,'03. THIẾT BỊ'!$B$1:$S$836,17,0),"")</f>
        <v/>
      </c>
      <c r="S646" s="468" t="str">
        <f>IFERROR(VLOOKUP(B646,'03. THIẾT BỊ'!$B$1:$S$836,18,0),"")</f>
        <v/>
      </c>
      <c r="T646" s="1493">
        <v>2.0</v>
      </c>
    </row>
    <row r="647" ht="15.0" customHeight="1">
      <c r="A647" s="463">
        <v>3.0</v>
      </c>
      <c r="B647" s="464" t="s">
        <v>4813</v>
      </c>
      <c r="C647" s="869">
        <f>IFERROR(VLOOKUP(B647,'03. THIẾT BỊ'!$B$1:$S$836,2,0),"")</f>
        <v>282102260096</v>
      </c>
      <c r="D647" s="470" t="str">
        <f>IFERROR(VLOOKUP(B647,'03. THIẾT BỊ'!$B$1:$S$836,3,0),"")</f>
        <v>A22-MNO-003</v>
      </c>
      <c r="E647" s="464" t="str">
        <f>IFERROR(VLOOKUP(B647,'03. THIẾT BỊ'!$B$1:$S$836,4,0),"")</f>
        <v>ĐQSD</v>
      </c>
      <c r="F647" s="464" t="str">
        <f>IFERROR(VLOOKUP(B647,'03. THIẾT BỊ'!$B$1:$S$836,5,0),"")</f>
        <v>Máy nổ D8</v>
      </c>
      <c r="G647" s="80" t="s">
        <v>6423</v>
      </c>
      <c r="H647" s="463" t="str">
        <f>IFERROR(VLOOKUP(B647,'03. THIẾT BỊ'!$B$1:$S$836,7,0),"")</f>
        <v>Xoài AD</v>
      </c>
      <c r="I647" s="474" t="str">
        <f>IFERROR(VLOOKUP(B647,'03. THIẾT BỊ'!$B$1:$S$836,8,0),"")</f>
        <v/>
      </c>
      <c r="J647" s="471"/>
      <c r="K647" s="463" t="str">
        <f>IFERROR(VLOOKUP(B647,'03. THIẾT BỊ'!$B$1:$S$836,10,0),"")</f>
        <v>Bình thường</v>
      </c>
      <c r="L647" s="468" t="str">
        <f>IFERROR(VLOOKUP(B647,'03. THIẾT BỊ'!$B$1:$S$836,11,0),"")</f>
        <v/>
      </c>
      <c r="M647" s="472" t="str">
        <f>IFERROR(VLOOKUP(B647,'03. THIẾT BỊ'!$B$1:$S$836,12,0),"")</f>
        <v/>
      </c>
      <c r="N647" s="468" t="str">
        <f>IFERROR(VLOOKUP(B647,'03. THIẾT BỊ'!$B$1:$S$836,13,0),"")</f>
        <v>CAMBODIA</v>
      </c>
      <c r="O647" s="470" t="str">
        <f>IFERROR(VLOOKUP(B647,'03. THIẾT BỊ'!$B$1:$S$836,14,0),"")</f>
        <v>D8</v>
      </c>
      <c r="P647" s="468" t="str">
        <f>IFERROR(VLOOKUP(B647,'03. THIẾT BỊ'!$B$1:$S$836,15,0),"")</f>
        <v>CAMBODIA</v>
      </c>
      <c r="Q647" s="48" t="str">
        <f>IFERROR(VLOOKUP(B647,'03. THIẾT BỊ'!$B$1:$S$836,16,0),"")</f>
        <v/>
      </c>
      <c r="R647" s="471" t="str">
        <f>IFERROR(VLOOKUP(B647,'03. THIẾT BỊ'!$B$1:$S$836,17,0),"")</f>
        <v/>
      </c>
      <c r="S647" s="468" t="str">
        <f>IFERROR(VLOOKUP(B647,'03. THIẾT BỊ'!$B$1:$S$836,18,0),"")</f>
        <v/>
      </c>
      <c r="T647" s="1493">
        <v>3.0</v>
      </c>
    </row>
    <row r="648" ht="15.0" customHeight="1">
      <c r="A648" s="463">
        <v>4.0</v>
      </c>
      <c r="B648" s="464" t="s">
        <v>4817</v>
      </c>
      <c r="C648" s="869">
        <f>IFERROR(VLOOKUP(B648,'03. THIẾT BỊ'!$B$1:$S$836,2,0),"")</f>
        <v>281903220106</v>
      </c>
      <c r="D648" s="470" t="str">
        <f>IFERROR(VLOOKUP(B648,'03. THIẾT BỊ'!$B$1:$S$836,3,0),"")</f>
        <v>A22-MNO-004</v>
      </c>
      <c r="E648" s="464" t="str">
        <f>IFERROR(VLOOKUP(B648,'03. THIẾT BỊ'!$B$1:$S$836,4,0),"")</f>
        <v>ĐQSD</v>
      </c>
      <c r="F648" s="464" t="str">
        <f>IFERROR(VLOOKUP(B648,'03. THIẾT BỊ'!$B$1:$S$836,5,0),"")</f>
        <v>Máy nổ D8</v>
      </c>
      <c r="G648" s="80" t="s">
        <v>6423</v>
      </c>
      <c r="H648" s="463" t="str">
        <f>IFERROR(VLOOKUP(B648,'03. THIẾT BỊ'!$B$1:$S$836,7,0),"")</f>
        <v>Xoài AD</v>
      </c>
      <c r="I648" s="474" t="str">
        <f>IFERROR(VLOOKUP(B648,'03. THIẾT BỊ'!$B$1:$S$836,8,0),"")</f>
        <v/>
      </c>
      <c r="J648" s="471"/>
      <c r="K648" s="463" t="str">
        <f>IFERROR(VLOOKUP(B648,'03. THIẾT BỊ'!$B$1:$S$836,10,0),"")</f>
        <v>Bình thường</v>
      </c>
      <c r="L648" s="468" t="str">
        <f>IFERROR(VLOOKUP(B648,'03. THIẾT BỊ'!$B$1:$S$836,11,0),"")</f>
        <v/>
      </c>
      <c r="M648" s="472" t="str">
        <f>IFERROR(VLOOKUP(B648,'03. THIẾT BỊ'!$B$1:$S$836,12,0),"")</f>
        <v/>
      </c>
      <c r="N648" s="468" t="str">
        <f>IFERROR(VLOOKUP(B648,'03. THIẾT BỊ'!$B$1:$S$836,13,0),"")</f>
        <v>CAMBODIA</v>
      </c>
      <c r="O648" s="470" t="str">
        <f>IFERROR(VLOOKUP(B648,'03. THIẾT BỊ'!$B$1:$S$836,14,0),"")</f>
        <v>D8</v>
      </c>
      <c r="P648" s="468" t="str">
        <f>IFERROR(VLOOKUP(B648,'03. THIẾT BỊ'!$B$1:$S$836,15,0),"")</f>
        <v>CAMBODIA</v>
      </c>
      <c r="Q648" s="48" t="str">
        <f>IFERROR(VLOOKUP(B648,'03. THIẾT BỊ'!$B$1:$S$836,16,0),"")</f>
        <v/>
      </c>
      <c r="R648" s="471" t="str">
        <f>IFERROR(VLOOKUP(B648,'03. THIẾT BỊ'!$B$1:$S$836,17,0),"")</f>
        <v/>
      </c>
      <c r="S648" s="468" t="str">
        <f>IFERROR(VLOOKUP(B648,'03. THIẾT BỊ'!$B$1:$S$836,18,0),"")</f>
        <v/>
      </c>
      <c r="T648" s="1493">
        <v>3.0</v>
      </c>
    </row>
    <row r="649" ht="15.0" customHeight="1">
      <c r="A649" s="463">
        <v>5.0</v>
      </c>
      <c r="B649" s="464" t="s">
        <v>4819</v>
      </c>
      <c r="C649" s="869" t="str">
        <f>IFERROR(VLOOKUP(B649,'03. THIẾT BỊ'!$B$1:$S$836,2,0),"")</f>
        <v/>
      </c>
      <c r="D649" s="470" t="str">
        <f>IFERROR(VLOOKUP(B649,'03. THIẾT BỊ'!$B$1:$S$836,3,0),"")</f>
        <v>A22-MNO-005</v>
      </c>
      <c r="E649" s="464" t="str">
        <f>IFERROR(VLOOKUP(B649,'03. THIẾT BỊ'!$B$1:$S$836,4,0),"")</f>
        <v>ĐQSD</v>
      </c>
      <c r="F649" s="464" t="str">
        <f>IFERROR(VLOOKUP(B649,'03. THIẾT BỊ'!$B$1:$S$836,5,0),"")</f>
        <v>Máy nổ D8</v>
      </c>
      <c r="G649" s="80" t="s">
        <v>6423</v>
      </c>
      <c r="H649" s="463" t="str">
        <f>IFERROR(VLOOKUP(B649,'03. THIẾT BỊ'!$B$1:$S$836,7,0),"")</f>
        <v>Xoài AD</v>
      </c>
      <c r="I649" s="474" t="str">
        <f>IFERROR(VLOOKUP(B649,'03. THIẾT BỊ'!$B$1:$S$836,8,0),"")</f>
        <v/>
      </c>
      <c r="J649" s="471"/>
      <c r="K649" s="463" t="str">
        <f>IFERROR(VLOOKUP(B649,'03. THIẾT BỊ'!$B$1:$S$836,10,0),"")</f>
        <v>Bình thường</v>
      </c>
      <c r="L649" s="468" t="str">
        <f>IFERROR(VLOOKUP(B649,'03. THIẾT BỊ'!$B$1:$S$836,11,0),"")</f>
        <v/>
      </c>
      <c r="M649" s="472" t="str">
        <f>IFERROR(VLOOKUP(B649,'03. THIẾT BỊ'!$B$1:$S$836,12,0),"")</f>
        <v/>
      </c>
      <c r="N649" s="468" t="str">
        <f>IFERROR(VLOOKUP(B649,'03. THIẾT BỊ'!$B$1:$S$836,13,0),"")</f>
        <v>CAMBODIA</v>
      </c>
      <c r="O649" s="470" t="str">
        <f>IFERROR(VLOOKUP(B649,'03. THIẾT BỊ'!$B$1:$S$836,14,0),"")</f>
        <v>D8</v>
      </c>
      <c r="P649" s="468" t="str">
        <f>IFERROR(VLOOKUP(B649,'03. THIẾT BỊ'!$B$1:$S$836,15,0),"")</f>
        <v>CAMBODIA</v>
      </c>
      <c r="Q649" s="48" t="str">
        <f>IFERROR(VLOOKUP(B649,'03. THIẾT BỊ'!$B$1:$S$836,16,0),"")</f>
        <v/>
      </c>
      <c r="R649" s="471" t="str">
        <f>IFERROR(VLOOKUP(B649,'03. THIẾT BỊ'!$B$1:$S$836,17,0),"")</f>
        <v/>
      </c>
      <c r="S649" s="468" t="str">
        <f>IFERROR(VLOOKUP(B649,'03. THIẾT BỊ'!$B$1:$S$836,18,0),"")</f>
        <v/>
      </c>
      <c r="T649" s="1493">
        <v>3.0</v>
      </c>
    </row>
    <row r="650" ht="15.0" customHeight="1">
      <c r="A650" s="463">
        <v>6.0</v>
      </c>
      <c r="B650" s="464" t="s">
        <v>4821</v>
      </c>
      <c r="C650" s="869" t="str">
        <f>IFERROR(VLOOKUP(B650,'03. THIẾT BỊ'!$B$1:$S$836,2,0),"")</f>
        <v/>
      </c>
      <c r="D650" s="470" t="str">
        <f>IFERROR(VLOOKUP(B650,'03. THIẾT BỊ'!$B$1:$S$836,3,0),"")</f>
        <v>A22-MNO-006</v>
      </c>
      <c r="E650" s="464" t="str">
        <f>IFERROR(VLOOKUP(B650,'03. THIẾT BỊ'!$B$1:$S$836,4,0),"")</f>
        <v>ĐQSD</v>
      </c>
      <c r="F650" s="464" t="str">
        <f>IFERROR(VLOOKUP(B650,'03. THIẾT BỊ'!$B$1:$S$836,5,0),"")</f>
        <v>Máy nổ D8</v>
      </c>
      <c r="G650" s="80" t="s">
        <v>6423</v>
      </c>
      <c r="H650" s="463" t="str">
        <f>IFERROR(VLOOKUP(B650,'03. THIẾT BỊ'!$B$1:$S$836,7,0),"")</f>
        <v>Xoài AD</v>
      </c>
      <c r="I650" s="474" t="str">
        <f>IFERROR(VLOOKUP(B650,'03. THIẾT BỊ'!$B$1:$S$836,8,0),"")</f>
        <v/>
      </c>
      <c r="J650" s="471"/>
      <c r="K650" s="463" t="str">
        <f>IFERROR(VLOOKUP(B650,'03. THIẾT BỊ'!$B$1:$S$836,10,0),"")</f>
        <v>Bình thường</v>
      </c>
      <c r="L650" s="468" t="str">
        <f>IFERROR(VLOOKUP(B650,'03. THIẾT BỊ'!$B$1:$S$836,11,0),"")</f>
        <v/>
      </c>
      <c r="M650" s="472" t="str">
        <f>IFERROR(VLOOKUP(B650,'03. THIẾT BỊ'!$B$1:$S$836,12,0),"")</f>
        <v/>
      </c>
      <c r="N650" s="468" t="str">
        <f>IFERROR(VLOOKUP(B650,'03. THIẾT BỊ'!$B$1:$S$836,13,0),"")</f>
        <v>CAMBODIA</v>
      </c>
      <c r="O650" s="470" t="str">
        <f>IFERROR(VLOOKUP(B650,'03. THIẾT BỊ'!$B$1:$S$836,14,0),"")</f>
        <v>D8</v>
      </c>
      <c r="P650" s="468" t="str">
        <f>IFERROR(VLOOKUP(B650,'03. THIẾT BỊ'!$B$1:$S$836,15,0),"")</f>
        <v>CAMBODIA</v>
      </c>
      <c r="Q650" s="48" t="str">
        <f>IFERROR(VLOOKUP(B650,'03. THIẾT BỊ'!$B$1:$S$836,16,0),"")</f>
        <v/>
      </c>
      <c r="R650" s="471" t="str">
        <f>IFERROR(VLOOKUP(B650,'03. THIẾT BỊ'!$B$1:$S$836,17,0),"")</f>
        <v/>
      </c>
      <c r="S650" s="468" t="str">
        <f>IFERROR(VLOOKUP(B650,'03. THIẾT BỊ'!$B$1:$S$836,18,0),"")</f>
        <v/>
      </c>
      <c r="T650" s="1493">
        <v>3.0</v>
      </c>
    </row>
    <row r="651" ht="15.0" customHeight="1">
      <c r="A651" s="463">
        <v>7.0</v>
      </c>
      <c r="B651" s="464" t="s">
        <v>4823</v>
      </c>
      <c r="C651" s="869" t="str">
        <f>IFERROR(VLOOKUP(B651,'03. THIẾT BỊ'!$B$1:$S$836,2,0),"")</f>
        <v>CAT-MNO-005</v>
      </c>
      <c r="D651" s="470" t="str">
        <f>IFERROR(VLOOKUP(B651,'03. THIẾT BỊ'!$B$1:$S$836,3,0),"")</f>
        <v>A22-MNO-007</v>
      </c>
      <c r="E651" s="464" t="str">
        <f>IFERROR(VLOOKUP(B651,'03. THIẾT BỊ'!$B$1:$S$836,4,0),"")</f>
        <v>ĐQSD</v>
      </c>
      <c r="F651" s="464" t="str">
        <f>IFERROR(VLOOKUP(B651,'03. THIẾT BỊ'!$B$1:$S$836,5,0),"")</f>
        <v>Máy nổ D8</v>
      </c>
      <c r="G651" s="80" t="s">
        <v>6423</v>
      </c>
      <c r="H651" s="463" t="str">
        <f>IFERROR(VLOOKUP(B651,'03. THIẾT BỊ'!$B$1:$S$836,7,0),"")</f>
        <v>Xoài AD</v>
      </c>
      <c r="I651" s="474" t="str">
        <f>IFERROR(VLOOKUP(B651,'03. THIẾT BỊ'!$B$1:$S$836,8,0),"")</f>
        <v/>
      </c>
      <c r="J651" s="471"/>
      <c r="K651" s="463" t="str">
        <f>IFERROR(VLOOKUP(B651,'03. THIẾT BỊ'!$B$1:$S$836,10,0),"")</f>
        <v>Bình thường</v>
      </c>
      <c r="L651" s="468" t="str">
        <f>IFERROR(VLOOKUP(B651,'03. THIẾT BỊ'!$B$1:$S$836,11,0),"")</f>
        <v/>
      </c>
      <c r="M651" s="472" t="str">
        <f>IFERROR(VLOOKUP(B651,'03. THIẾT BỊ'!$B$1:$S$836,12,0),"")</f>
        <v/>
      </c>
      <c r="N651" s="468" t="str">
        <f>IFERROR(VLOOKUP(B651,'03. THIẾT BỊ'!$B$1:$S$836,13,0),"")</f>
        <v>CAMBODIA</v>
      </c>
      <c r="O651" s="470" t="str">
        <f>IFERROR(VLOOKUP(B651,'03. THIẾT BỊ'!$B$1:$S$836,14,0),"")</f>
        <v>D8</v>
      </c>
      <c r="P651" s="468" t="str">
        <f>IFERROR(VLOOKUP(B651,'03. THIẾT BỊ'!$B$1:$S$836,15,0),"")</f>
        <v>CAMBODIA</v>
      </c>
      <c r="Q651" s="48" t="str">
        <f>IFERROR(VLOOKUP(B651,'03. THIẾT BỊ'!$B$1:$S$836,16,0),"")</f>
        <v/>
      </c>
      <c r="R651" s="471" t="str">
        <f>IFERROR(VLOOKUP(B651,'03. THIẾT BỊ'!$B$1:$S$836,17,0),"")</f>
        <v/>
      </c>
      <c r="S651" s="468" t="str">
        <f>IFERROR(VLOOKUP(B651,'03. THIẾT BỊ'!$B$1:$S$836,18,0),"")</f>
        <v/>
      </c>
      <c r="T651" s="1493">
        <v>3.0</v>
      </c>
    </row>
    <row r="652" ht="15.0" customHeight="1">
      <c r="A652" s="463">
        <v>8.0</v>
      </c>
      <c r="B652" s="464" t="s">
        <v>4826</v>
      </c>
      <c r="C652" s="869" t="str">
        <f>IFERROR(VLOOKUP(B652,'03. THIẾT BỊ'!$B$1:$S$836,2,0),"")</f>
        <v>CAT-MNO-006</v>
      </c>
      <c r="D652" s="470" t="str">
        <f>IFERROR(VLOOKUP(B652,'03. THIẾT BỊ'!$B$1:$S$836,3,0),"")</f>
        <v>A22-MNO-008</v>
      </c>
      <c r="E652" s="464" t="str">
        <f>IFERROR(VLOOKUP(B652,'03. THIẾT BỊ'!$B$1:$S$836,4,0),"")</f>
        <v>ĐQSD</v>
      </c>
      <c r="F652" s="464" t="str">
        <f>IFERROR(VLOOKUP(B652,'03. THIẾT BỊ'!$B$1:$S$836,5,0),"")</f>
        <v>Máy nổ D8</v>
      </c>
      <c r="G652" s="80" t="s">
        <v>6423</v>
      </c>
      <c r="H652" s="463" t="str">
        <f>IFERROR(VLOOKUP(B652,'03. THIẾT BỊ'!$B$1:$S$836,7,0),"")</f>
        <v>Xoài AD</v>
      </c>
      <c r="I652" s="474" t="str">
        <f>IFERROR(VLOOKUP(B652,'03. THIẾT BỊ'!$B$1:$S$836,8,0),"")</f>
        <v/>
      </c>
      <c r="J652" s="471"/>
      <c r="K652" s="463" t="str">
        <f>IFERROR(VLOOKUP(B652,'03. THIẾT BỊ'!$B$1:$S$836,10,0),"")</f>
        <v>Bình thường</v>
      </c>
      <c r="L652" s="468" t="str">
        <f>IFERROR(VLOOKUP(B652,'03. THIẾT BỊ'!$B$1:$S$836,11,0),"")</f>
        <v/>
      </c>
      <c r="M652" s="472" t="str">
        <f>IFERROR(VLOOKUP(B652,'03. THIẾT BỊ'!$B$1:$S$836,12,0),"")</f>
        <v/>
      </c>
      <c r="N652" s="468" t="str">
        <f>IFERROR(VLOOKUP(B652,'03. THIẾT BỊ'!$B$1:$S$836,13,0),"")</f>
        <v>CAMBODIA</v>
      </c>
      <c r="O652" s="470" t="str">
        <f>IFERROR(VLOOKUP(B652,'03. THIẾT BỊ'!$B$1:$S$836,14,0),"")</f>
        <v>D8</v>
      </c>
      <c r="P652" s="468" t="str">
        <f>IFERROR(VLOOKUP(B652,'03. THIẾT BỊ'!$B$1:$S$836,15,0),"")</f>
        <v>CAMBODIA</v>
      </c>
      <c r="Q652" s="48" t="str">
        <f>IFERROR(VLOOKUP(B652,'03. THIẾT BỊ'!$B$1:$S$836,16,0),"")</f>
        <v/>
      </c>
      <c r="R652" s="471" t="str">
        <f>IFERROR(VLOOKUP(B652,'03. THIẾT BỊ'!$B$1:$S$836,17,0),"")</f>
        <v/>
      </c>
      <c r="S652" s="468" t="str">
        <f>IFERROR(VLOOKUP(B652,'03. THIẾT BỊ'!$B$1:$S$836,18,0),"")</f>
        <v/>
      </c>
      <c r="T652" s="1493">
        <v>3.0</v>
      </c>
    </row>
    <row r="653" ht="15.0" customHeight="1">
      <c r="A653" s="463">
        <v>9.0</v>
      </c>
      <c r="B653" s="464" t="s">
        <v>4829</v>
      </c>
      <c r="C653" s="869" t="str">
        <f>IFERROR(VLOOKUP(B653,'03. THIẾT BỊ'!$B$1:$S$836,2,0),"")</f>
        <v>XXA-MNO-009</v>
      </c>
      <c r="D653" s="470" t="str">
        <f>IFERROR(VLOOKUP(B653,'03. THIẾT BỊ'!$B$1:$S$836,3,0),"")</f>
        <v>A22-MNO-009</v>
      </c>
      <c r="E653" s="464" t="str">
        <f>IFERROR(VLOOKUP(B653,'03. THIẾT BỊ'!$B$1:$S$836,4,0),"")</f>
        <v>ĐQSD</v>
      </c>
      <c r="F653" s="464" t="str">
        <f>IFERROR(VLOOKUP(B653,'03. THIẾT BỊ'!$B$1:$S$836,5,0),"")</f>
        <v>Máy nổ D8</v>
      </c>
      <c r="G653" s="80" t="s">
        <v>6423</v>
      </c>
      <c r="H653" s="463" t="str">
        <f>IFERROR(VLOOKUP(B653,'03. THIẾT BỊ'!$B$1:$S$836,7,0),"")</f>
        <v>Xoài AD</v>
      </c>
      <c r="I653" s="474" t="str">
        <f>IFERROR(VLOOKUP(B653,'03. THIẾT BỊ'!$B$1:$S$836,8,0),"")</f>
        <v/>
      </c>
      <c r="J653" s="471"/>
      <c r="K653" s="463" t="str">
        <f>IFERROR(VLOOKUP(B653,'03. THIẾT BỊ'!$B$1:$S$836,10,0),"")</f>
        <v>Bình thường</v>
      </c>
      <c r="L653" s="468" t="str">
        <f>IFERROR(VLOOKUP(B653,'03. THIẾT BỊ'!$B$1:$S$836,11,0),"")</f>
        <v/>
      </c>
      <c r="M653" s="472" t="str">
        <f>IFERROR(VLOOKUP(B653,'03. THIẾT BỊ'!$B$1:$S$836,12,0),"")</f>
        <v/>
      </c>
      <c r="N653" s="468" t="str">
        <f>IFERROR(VLOOKUP(B653,'03. THIẾT BỊ'!$B$1:$S$836,13,0),"")</f>
        <v>CAMBODIA</v>
      </c>
      <c r="O653" s="470" t="str">
        <f>IFERROR(VLOOKUP(B653,'03. THIẾT BỊ'!$B$1:$S$836,14,0),"")</f>
        <v>D8</v>
      </c>
      <c r="P653" s="468" t="str">
        <f>IFERROR(VLOOKUP(B653,'03. THIẾT BỊ'!$B$1:$S$836,15,0),"")</f>
        <v>CAMBODIA</v>
      </c>
      <c r="Q653" s="48" t="str">
        <f>IFERROR(VLOOKUP(B653,'03. THIẾT BỊ'!$B$1:$S$836,16,0),"")</f>
        <v/>
      </c>
      <c r="R653" s="471" t="str">
        <f>IFERROR(VLOOKUP(B653,'03. THIẾT BỊ'!$B$1:$S$836,17,0),"")</f>
        <v/>
      </c>
      <c r="S653" s="468">
        <f>IFERROR(VLOOKUP(B653,'03. THIẾT BỊ'!$B$1:$S$836,18,0),"")</f>
        <v>281906170429</v>
      </c>
      <c r="T653" s="1493">
        <v>3.0</v>
      </c>
    </row>
    <row r="654" ht="15.0" customHeight="1">
      <c r="A654" s="463">
        <v>10.0</v>
      </c>
      <c r="B654" s="464" t="s">
        <v>4832</v>
      </c>
      <c r="C654" s="869" t="str">
        <f>IFERROR(VLOOKUP(B654,'03. THIẾT BỊ'!$B$1:$S$836,2,0),"")</f>
        <v/>
      </c>
      <c r="D654" s="470" t="str">
        <f>IFERROR(VLOOKUP(B654,'03. THIẾT BỊ'!$B$1:$S$836,3,0),"")</f>
        <v>A22-MNO-010</v>
      </c>
      <c r="E654" s="464" t="str">
        <f>IFERROR(VLOOKUP(B654,'03. THIẾT BỊ'!$B$1:$S$836,4,0),"")</f>
        <v>ĐQSD</v>
      </c>
      <c r="F654" s="464" t="str">
        <f>IFERROR(VLOOKUP(B654,'03. THIẾT BỊ'!$B$1:$S$836,5,0),"")</f>
        <v>Máy nổ D8</v>
      </c>
      <c r="G654" s="80" t="s">
        <v>6423</v>
      </c>
      <c r="H654" s="463" t="str">
        <f>IFERROR(VLOOKUP(B654,'03. THIẾT BỊ'!$B$1:$S$836,7,0),"")</f>
        <v>Xoài AD</v>
      </c>
      <c r="I654" s="474" t="str">
        <f>IFERROR(VLOOKUP(B654,'03. THIẾT BỊ'!$B$1:$S$836,8,0),"")</f>
        <v/>
      </c>
      <c r="J654" s="471"/>
      <c r="K654" s="463" t="str">
        <f>IFERROR(VLOOKUP(B654,'03. THIẾT BỊ'!$B$1:$S$836,10,0),"")</f>
        <v>Bình thường</v>
      </c>
      <c r="L654" s="468" t="str">
        <f>IFERROR(VLOOKUP(B654,'03. THIẾT BỊ'!$B$1:$S$836,11,0),"")</f>
        <v/>
      </c>
      <c r="M654" s="472" t="str">
        <f>IFERROR(VLOOKUP(B654,'03. THIẾT BỊ'!$B$1:$S$836,12,0),"")</f>
        <v/>
      </c>
      <c r="N654" s="468" t="str">
        <f>IFERROR(VLOOKUP(B654,'03. THIẾT BỊ'!$B$1:$S$836,13,0),"")</f>
        <v>CAMBODIA</v>
      </c>
      <c r="O654" s="470" t="str">
        <f>IFERROR(VLOOKUP(B654,'03. THIẾT BỊ'!$B$1:$S$836,14,0),"")</f>
        <v>D8</v>
      </c>
      <c r="P654" s="468" t="str">
        <f>IFERROR(VLOOKUP(B654,'03. THIẾT BỊ'!$B$1:$S$836,15,0),"")</f>
        <v>CAMBODIA</v>
      </c>
      <c r="Q654" s="48" t="str">
        <f>IFERROR(VLOOKUP(B654,'03. THIẾT BỊ'!$B$1:$S$836,16,0),"")</f>
        <v/>
      </c>
      <c r="R654" s="471" t="str">
        <f>IFERROR(VLOOKUP(B654,'03. THIẾT BỊ'!$B$1:$S$836,17,0),"")</f>
        <v/>
      </c>
      <c r="S654" s="468" t="str">
        <f>IFERROR(VLOOKUP(B654,'03. THIẾT BỊ'!$B$1:$S$836,18,0),"")</f>
        <v/>
      </c>
      <c r="T654" s="1493">
        <v>3.0</v>
      </c>
    </row>
    <row r="655" ht="15.0" customHeight="1">
      <c r="A655" s="463"/>
      <c r="B655" s="464"/>
      <c r="C655" s="869" t="str">
        <f>IFERROR(VLOOKUP(B655,'03. THIẾT BỊ'!$B$1:$S$836,2,0),"")</f>
        <v/>
      </c>
      <c r="D655" s="470" t="str">
        <f>IFERROR(VLOOKUP(B655,'03. THIẾT BỊ'!$B$1:$S$836,3,0),"")</f>
        <v/>
      </c>
      <c r="E655" s="464" t="str">
        <f>IFERROR(VLOOKUP(B655,'03. THIẾT BỊ'!$B$1:$S$836,4,0),"")</f>
        <v/>
      </c>
      <c r="F655" s="464" t="str">
        <f>IFERROR(VLOOKUP(B655,'03. THIẾT BỊ'!$B$1:$S$836,5,0),"")</f>
        <v/>
      </c>
      <c r="G655" s="80" t="s">
        <v>6423</v>
      </c>
      <c r="H655" s="463" t="str">
        <f>IFERROR(VLOOKUP(B655,'03. THIẾT BỊ'!$B$1:$S$836,7,0),"")</f>
        <v/>
      </c>
      <c r="I655" s="474" t="str">
        <f>IFERROR(VLOOKUP(B655,'03. THIẾT BỊ'!$B$1:$S$836,8,0),"")</f>
        <v/>
      </c>
      <c r="J655" s="471"/>
      <c r="K655" s="463" t="str">
        <f>IFERROR(VLOOKUP(B655,'03. THIẾT BỊ'!$B$1:$S$836,10,0),"")</f>
        <v/>
      </c>
      <c r="L655" s="468" t="str">
        <f>IFERROR(VLOOKUP(B655,'03. THIẾT BỊ'!$B$1:$S$836,11,0),"")</f>
        <v/>
      </c>
      <c r="M655" s="472" t="str">
        <f>IFERROR(VLOOKUP(B655,'03. THIẾT BỊ'!$B$1:$S$836,12,0),"")</f>
        <v/>
      </c>
      <c r="N655" s="468" t="str">
        <f>IFERROR(VLOOKUP(B655,'03. THIẾT BỊ'!$B$1:$S$836,13,0),"")</f>
        <v/>
      </c>
      <c r="O655" s="470" t="str">
        <f>IFERROR(VLOOKUP(B655,'03. THIẾT BỊ'!$B$1:$S$836,14,0),"")</f>
        <v/>
      </c>
      <c r="P655" s="468" t="str">
        <f>IFERROR(VLOOKUP(B655,'03. THIẾT BỊ'!$B$1:$S$836,15,0),"")</f>
        <v/>
      </c>
      <c r="Q655" s="48" t="str">
        <f>IFERROR(VLOOKUP(B655,'03. THIẾT BỊ'!$B$1:$S$836,16,0),"")</f>
        <v/>
      </c>
      <c r="R655" s="471" t="str">
        <f>IFERROR(VLOOKUP(B655,'03. THIẾT BỊ'!$B$1:$S$836,17,0),"")</f>
        <v/>
      </c>
      <c r="S655" s="468" t="str">
        <f>IFERROR(VLOOKUP(B655,'03. THIẾT BỊ'!$B$1:$S$836,18,0),"")</f>
        <v/>
      </c>
      <c r="T655" s="807"/>
    </row>
    <row r="656" ht="15.0" customHeight="1">
      <c r="A656" s="463"/>
      <c r="B656" s="464"/>
      <c r="C656" s="869" t="str">
        <f>IFERROR(VLOOKUP(B656,'03. THIẾT BỊ'!$B$1:$S$836,2,0),"")</f>
        <v/>
      </c>
      <c r="D656" s="470" t="str">
        <f>IFERROR(VLOOKUP(B656,'03. THIẾT BỊ'!$B$1:$S$836,3,0),"")</f>
        <v/>
      </c>
      <c r="E656" s="464" t="str">
        <f>IFERROR(VLOOKUP(B656,'03. THIẾT BỊ'!$B$1:$S$836,4,0),"")</f>
        <v/>
      </c>
      <c r="F656" s="464" t="str">
        <f>IFERROR(VLOOKUP(B656,'03. THIẾT BỊ'!$B$1:$S$836,5,0),"")</f>
        <v/>
      </c>
      <c r="G656" s="80" t="s">
        <v>6423</v>
      </c>
      <c r="H656" s="463" t="str">
        <f>IFERROR(VLOOKUP(B656,'03. THIẾT BỊ'!$B$1:$S$836,7,0),"")</f>
        <v/>
      </c>
      <c r="I656" s="474" t="str">
        <f>IFERROR(VLOOKUP(B656,'03. THIẾT BỊ'!$B$1:$S$836,8,0),"")</f>
        <v/>
      </c>
      <c r="J656" s="471"/>
      <c r="K656" s="463" t="str">
        <f>IFERROR(VLOOKUP(B656,'03. THIẾT BỊ'!$B$1:$S$836,10,0),"")</f>
        <v/>
      </c>
      <c r="L656" s="468" t="str">
        <f>IFERROR(VLOOKUP(B656,'03. THIẾT BỊ'!$B$1:$S$836,11,0),"")</f>
        <v/>
      </c>
      <c r="M656" s="472" t="str">
        <f>IFERROR(VLOOKUP(B656,'03. THIẾT BỊ'!$B$1:$S$836,12,0),"")</f>
        <v/>
      </c>
      <c r="N656" s="468" t="str">
        <f>IFERROR(VLOOKUP(B656,'03. THIẾT BỊ'!$B$1:$S$836,13,0),"")</f>
        <v/>
      </c>
      <c r="O656" s="470" t="str">
        <f>IFERROR(VLOOKUP(B656,'03. THIẾT BỊ'!$B$1:$S$836,14,0),"")</f>
        <v/>
      </c>
      <c r="P656" s="468" t="str">
        <f>IFERROR(VLOOKUP(B656,'03. THIẾT BỊ'!$B$1:$S$836,15,0),"")</f>
        <v/>
      </c>
      <c r="Q656" s="48" t="str">
        <f>IFERROR(VLOOKUP(B656,'03. THIẾT BỊ'!$B$1:$S$836,16,0),"")</f>
        <v/>
      </c>
      <c r="R656" s="471" t="str">
        <f>IFERROR(VLOOKUP(B656,'03. THIẾT BỊ'!$B$1:$S$836,17,0),"")</f>
        <v/>
      </c>
      <c r="S656" s="468" t="str">
        <f>IFERROR(VLOOKUP(B656,'03. THIẾT BỊ'!$B$1:$S$836,18,0),"")</f>
        <v/>
      </c>
      <c r="T656" s="807"/>
    </row>
    <row r="657" ht="15.0" customHeight="1">
      <c r="A657" s="455" t="s">
        <v>76</v>
      </c>
      <c r="B657" s="456" t="s">
        <v>8711</v>
      </c>
      <c r="C657" s="457">
        <f>COUNTA(B658:B672)</f>
        <v>15</v>
      </c>
      <c r="D657" s="458" t="str">
        <f>IFERROR(VLOOKUP(B657,'03. THIẾT BỊ'!$B$1:$S$836,3,0),"")</f>
        <v/>
      </c>
      <c r="E657" s="464" t="str">
        <f>IFERROR(VLOOKUP(B657,'03. THIẾT BỊ'!$B$1:$S$836,4,0),"")</f>
        <v/>
      </c>
      <c r="F657" s="458" t="str">
        <f>IFERROR(VLOOKUP(B657,'03. THIẾT BỊ'!$B$1:$S$836,5,0),"")</f>
        <v/>
      </c>
      <c r="G657" s="459" t="s">
        <v>6423</v>
      </c>
      <c r="H657" s="459" t="str">
        <f>IFERROR(VLOOKUP(B657,'03. THIẾT BỊ'!$B$1:$S$836,7,0),"")</f>
        <v/>
      </c>
      <c r="I657" s="457" t="str">
        <f>IFERROR(VLOOKUP(B657,'03. THIẾT BỊ'!$B$1:$S$836,8,0),"")</f>
        <v/>
      </c>
      <c r="J657" s="460"/>
      <c r="K657" s="457" t="str">
        <f>IFERROR(VLOOKUP(B657,'03. THIẾT BỊ'!$B$1:$S$836,10,0),"")</f>
        <v/>
      </c>
      <c r="L657" s="458" t="str">
        <f>IFERROR(VLOOKUP(B657,'03. THIẾT BỊ'!$B$1:$S$836,11,0),"")</f>
        <v/>
      </c>
      <c r="M657" s="461" t="str">
        <f>IFERROR(VLOOKUP(B657,'03. THIẾT BỊ'!$B$1:$S$836,12,0),"")</f>
        <v/>
      </c>
      <c r="N657" s="458" t="str">
        <f>IFERROR(VLOOKUP(B657,'03. THIẾT BỊ'!$B$1:$S$836,13,0),"")</f>
        <v/>
      </c>
      <c r="O657" s="461" t="str">
        <f>IFERROR(VLOOKUP(B657,'03. THIẾT BỊ'!$B$1:$S$836,14,0),"")</f>
        <v/>
      </c>
      <c r="P657" s="458" t="str">
        <f>IFERROR(VLOOKUP(B657,'03. THIẾT BỊ'!$B$1:$S$836,15,0),"")</f>
        <v/>
      </c>
      <c r="Q657" s="459" t="str">
        <f>IFERROR(VLOOKUP(B657,'03. THIẾT BỊ'!$B$1:$S$836,16,0),"")</f>
        <v/>
      </c>
      <c r="R657" s="458" t="str">
        <f>IFERROR(VLOOKUP(B657,'03. THIẾT BỊ'!$B$1:$S$836,17,0),"")</f>
        <v/>
      </c>
      <c r="S657" s="458" t="str">
        <f>IFERROR(VLOOKUP(B657,'03. THIẾT BỊ'!$B$1:$S$836,18,0),"")</f>
        <v/>
      </c>
      <c r="T657" s="866"/>
    </row>
    <row r="658" ht="15.0" customHeight="1">
      <c r="A658" s="463">
        <v>1.0</v>
      </c>
      <c r="B658" s="486" t="s">
        <v>4276</v>
      </c>
      <c r="C658" s="869" t="str">
        <f>IFERROR(VLOOKUP(B658,'03. THIẾT BỊ'!$B$1:$S$836,2,0),"")</f>
        <v/>
      </c>
      <c r="D658" s="470" t="str">
        <f>IFERROR(VLOOKUP(B658,'03. THIẾT BỊ'!$B$1:$S$836,3,0),"")</f>
        <v/>
      </c>
      <c r="E658" s="464" t="str">
        <f>IFERROR(VLOOKUP(B658,'03. THIẾT BỊ'!$B$1:$S$836,4,0),"")</f>
        <v>MUA MỚI</v>
      </c>
      <c r="F658" s="464" t="str">
        <f>IFERROR(VLOOKUP(B658,'03. THIẾT BỊ'!$B$1:$S$836,5,0),"")</f>
        <v>Máy phun thuốc RELOAD 7045</v>
      </c>
      <c r="G658" s="80" t="s">
        <v>6423</v>
      </c>
      <c r="H658" s="463" t="str">
        <f>IFERROR(VLOOKUP(B658,'03. THIẾT BỊ'!$B$1:$S$836,7,0),"")</f>
        <v>XN Chuối DP3</v>
      </c>
      <c r="I658" s="474" t="str">
        <f>IFERROR(VLOOKUP(B658,'03. THIẾT BỊ'!$B$1:$S$836,8,0),"")</f>
        <v/>
      </c>
      <c r="J658" s="471"/>
      <c r="K658" s="463" t="str">
        <f>IFERROR(VLOOKUP(B658,'03. THIẾT BỊ'!$B$1:$S$836,10,0),"")</f>
        <v>Bình thường</v>
      </c>
      <c r="L658" s="468" t="str">
        <f>IFERROR(VLOOKUP(B658,'03. THIẾT BỊ'!$B$1:$S$836,11,0),"")</f>
        <v/>
      </c>
      <c r="M658" s="472" t="str">
        <f>IFERROR(VLOOKUP(B658,'03. THIẾT BỊ'!$B$1:$S$836,12,0),"")</f>
        <v/>
      </c>
      <c r="N658" s="468" t="str">
        <f>IFERROR(VLOOKUP(B658,'03. THIẾT BỊ'!$B$1:$S$836,13,0),"")</f>
        <v>RELOAD</v>
      </c>
      <c r="O658" s="470">
        <f>IFERROR(VLOOKUP(B658,'03. THIẾT BỊ'!$B$1:$S$836,14,0),"")</f>
        <v>7045</v>
      </c>
      <c r="P658" s="468" t="str">
        <f>IFERROR(VLOOKUP(B658,'03. THIẾT BỊ'!$B$1:$S$836,15,0),"")</f>
        <v>VIETNAM</v>
      </c>
      <c r="Q658" s="48">
        <f>IFERROR(VLOOKUP(B658,'03. THIẾT BỊ'!$B$1:$S$836,16,0),"")</f>
        <v>2025</v>
      </c>
      <c r="R658" s="471" t="str">
        <f>IFERROR(VLOOKUP(B658,'03. THIẾT BỊ'!$B$1:$S$836,17,0),"")</f>
        <v>7 Hp</v>
      </c>
      <c r="S658" s="468" t="str">
        <f>IFERROR(VLOOKUP(B658,'03. THIẾT BỊ'!$B$1:$S$836,18,0),"")</f>
        <v>H0058772</v>
      </c>
      <c r="T658" s="1495"/>
    </row>
    <row r="659" ht="15.0" customHeight="1">
      <c r="A659" s="463">
        <f t="shared" ref="A659:A668" si="31">A658+1</f>
        <v>2</v>
      </c>
      <c r="B659" s="486" t="s">
        <v>4278</v>
      </c>
      <c r="C659" s="869" t="str">
        <f>IFERROR(VLOOKUP(B659,'03. THIẾT BỊ'!$B$1:$S$836,2,0),"")</f>
        <v/>
      </c>
      <c r="D659" s="470" t="str">
        <f>IFERROR(VLOOKUP(B659,'03. THIẾT BỊ'!$B$1:$S$836,3,0),"")</f>
        <v/>
      </c>
      <c r="E659" s="464" t="str">
        <f>IFERROR(VLOOKUP(B659,'03. THIẾT BỊ'!$B$1:$S$836,4,0),"")</f>
        <v>MUA MỚI</v>
      </c>
      <c r="F659" s="464" t="str">
        <f>IFERROR(VLOOKUP(B659,'03. THIẾT BỊ'!$B$1:$S$836,5,0),"")</f>
        <v>Máy phun thuốc RELOAD 7045</v>
      </c>
      <c r="G659" s="80" t="s">
        <v>6423</v>
      </c>
      <c r="H659" s="463" t="str">
        <f>IFERROR(VLOOKUP(B659,'03. THIẾT BỊ'!$B$1:$S$836,7,0),"")</f>
        <v>XN Chuối DP3</v>
      </c>
      <c r="I659" s="474" t="str">
        <f>IFERROR(VLOOKUP(B659,'03. THIẾT BỊ'!$B$1:$S$836,8,0),"")</f>
        <v/>
      </c>
      <c r="J659" s="471"/>
      <c r="K659" s="463" t="str">
        <f>IFERROR(VLOOKUP(B659,'03. THIẾT BỊ'!$B$1:$S$836,10,0),"")</f>
        <v>Bình thường</v>
      </c>
      <c r="L659" s="468" t="str">
        <f>IFERROR(VLOOKUP(B659,'03. THIẾT BỊ'!$B$1:$S$836,11,0),"")</f>
        <v/>
      </c>
      <c r="M659" s="472" t="str">
        <f>IFERROR(VLOOKUP(B659,'03. THIẾT BỊ'!$B$1:$S$836,12,0),"")</f>
        <v/>
      </c>
      <c r="N659" s="468" t="str">
        <f>IFERROR(VLOOKUP(B659,'03. THIẾT BỊ'!$B$1:$S$836,13,0),"")</f>
        <v>RELOAD</v>
      </c>
      <c r="O659" s="470">
        <f>IFERROR(VLOOKUP(B659,'03. THIẾT BỊ'!$B$1:$S$836,14,0),"")</f>
        <v>7045</v>
      </c>
      <c r="P659" s="468" t="str">
        <f>IFERROR(VLOOKUP(B659,'03. THIẾT BỊ'!$B$1:$S$836,15,0),"")</f>
        <v>VIETNAM</v>
      </c>
      <c r="Q659" s="48">
        <f>IFERROR(VLOOKUP(B659,'03. THIẾT BỊ'!$B$1:$S$836,16,0),"")</f>
        <v>2025</v>
      </c>
      <c r="R659" s="471" t="str">
        <f>IFERROR(VLOOKUP(B659,'03. THIẾT BỊ'!$B$1:$S$836,17,0),"")</f>
        <v>7 Hp</v>
      </c>
      <c r="S659" s="468" t="str">
        <f>IFERROR(VLOOKUP(B659,'03. THIẾT BỊ'!$B$1:$S$836,18,0),"")</f>
        <v>H0058807</v>
      </c>
      <c r="T659" s="1495"/>
    </row>
    <row r="660" ht="15.0" customHeight="1">
      <c r="A660" s="463">
        <f t="shared" si="31"/>
        <v>3</v>
      </c>
      <c r="B660" s="486" t="s">
        <v>4281</v>
      </c>
      <c r="C660" s="869" t="str">
        <f>IFERROR(VLOOKUP(B660,'03. THIẾT BỊ'!$B$1:$S$836,2,0),"")</f>
        <v/>
      </c>
      <c r="D660" s="470" t="str">
        <f>IFERROR(VLOOKUP(B660,'03. THIẾT BỊ'!$B$1:$S$836,3,0),"")</f>
        <v/>
      </c>
      <c r="E660" s="464" t="str">
        <f>IFERROR(VLOOKUP(B660,'03. THIẾT BỊ'!$B$1:$S$836,4,0),"")</f>
        <v>MUA MỚI</v>
      </c>
      <c r="F660" s="464" t="str">
        <f>IFERROR(VLOOKUP(B660,'03. THIẾT BỊ'!$B$1:$S$836,5,0),"")</f>
        <v>Máy phun thuốc RELOAD 7045</v>
      </c>
      <c r="G660" s="80" t="s">
        <v>6423</v>
      </c>
      <c r="H660" s="463" t="str">
        <f>IFERROR(VLOOKUP(B660,'03. THIẾT BỊ'!$B$1:$S$836,7,0),"")</f>
        <v>XN Chuối DP3</v>
      </c>
      <c r="I660" s="474" t="str">
        <f>IFERROR(VLOOKUP(B660,'03. THIẾT BỊ'!$B$1:$S$836,8,0),"")</f>
        <v/>
      </c>
      <c r="J660" s="471"/>
      <c r="K660" s="463" t="str">
        <f>IFERROR(VLOOKUP(B660,'03. THIẾT BỊ'!$B$1:$S$836,10,0),"")</f>
        <v>Bình thường</v>
      </c>
      <c r="L660" s="468" t="str">
        <f>IFERROR(VLOOKUP(B660,'03. THIẾT BỊ'!$B$1:$S$836,11,0),"")</f>
        <v/>
      </c>
      <c r="M660" s="472" t="str">
        <f>IFERROR(VLOOKUP(B660,'03. THIẾT BỊ'!$B$1:$S$836,12,0),"")</f>
        <v/>
      </c>
      <c r="N660" s="468" t="str">
        <f>IFERROR(VLOOKUP(B660,'03. THIẾT BỊ'!$B$1:$S$836,13,0),"")</f>
        <v>RELOAD</v>
      </c>
      <c r="O660" s="470">
        <f>IFERROR(VLOOKUP(B660,'03. THIẾT BỊ'!$B$1:$S$836,14,0),"")</f>
        <v>7045</v>
      </c>
      <c r="P660" s="468" t="str">
        <f>IFERROR(VLOOKUP(B660,'03. THIẾT BỊ'!$B$1:$S$836,15,0),"")</f>
        <v>VIETNAM</v>
      </c>
      <c r="Q660" s="48">
        <f>IFERROR(VLOOKUP(B660,'03. THIẾT BỊ'!$B$1:$S$836,16,0),"")</f>
        <v>2025</v>
      </c>
      <c r="R660" s="471" t="str">
        <f>IFERROR(VLOOKUP(B660,'03. THIẾT BỊ'!$B$1:$S$836,17,0),"")</f>
        <v>7 Hp</v>
      </c>
      <c r="S660" s="468" t="str">
        <f>IFERROR(VLOOKUP(B660,'03. THIẾT BỊ'!$B$1:$S$836,18,0),"")</f>
        <v>H0058809</v>
      </c>
      <c r="T660" s="1495"/>
    </row>
    <row r="661" ht="15.0" customHeight="1">
      <c r="A661" s="463">
        <f t="shared" si="31"/>
        <v>4</v>
      </c>
      <c r="B661" s="486" t="s">
        <v>4283</v>
      </c>
      <c r="C661" s="869" t="str">
        <f>IFERROR(VLOOKUP(B661,'03. THIẾT BỊ'!$B$1:$S$836,2,0),"")</f>
        <v/>
      </c>
      <c r="D661" s="470" t="str">
        <f>IFERROR(VLOOKUP(B661,'03. THIẾT BỊ'!$B$1:$S$836,3,0),"")</f>
        <v/>
      </c>
      <c r="E661" s="464" t="str">
        <f>IFERROR(VLOOKUP(B661,'03. THIẾT BỊ'!$B$1:$S$836,4,0),"")</f>
        <v>MUA MỚI</v>
      </c>
      <c r="F661" s="464" t="str">
        <f>IFERROR(VLOOKUP(B661,'03. THIẾT BỊ'!$B$1:$S$836,5,0),"")</f>
        <v>Máy phun thuốc RELOAD 7045</v>
      </c>
      <c r="G661" s="80" t="s">
        <v>6423</v>
      </c>
      <c r="H661" s="463" t="str">
        <f>IFERROR(VLOOKUP(B661,'03. THIẾT BỊ'!$B$1:$S$836,7,0),"")</f>
        <v>XN Chuối DP3</v>
      </c>
      <c r="I661" s="474" t="str">
        <f>IFERROR(VLOOKUP(B661,'03. THIẾT BỊ'!$B$1:$S$836,8,0),"")</f>
        <v/>
      </c>
      <c r="J661" s="471"/>
      <c r="K661" s="463" t="str">
        <f>IFERROR(VLOOKUP(B661,'03. THIẾT BỊ'!$B$1:$S$836,10,0),"")</f>
        <v>Bình thường</v>
      </c>
      <c r="L661" s="468" t="str">
        <f>IFERROR(VLOOKUP(B661,'03. THIẾT BỊ'!$B$1:$S$836,11,0),"")</f>
        <v/>
      </c>
      <c r="M661" s="472" t="str">
        <f>IFERROR(VLOOKUP(B661,'03. THIẾT BỊ'!$B$1:$S$836,12,0),"")</f>
        <v/>
      </c>
      <c r="N661" s="468" t="str">
        <f>IFERROR(VLOOKUP(B661,'03. THIẾT BỊ'!$B$1:$S$836,13,0),"")</f>
        <v>RELOAD</v>
      </c>
      <c r="O661" s="470">
        <f>IFERROR(VLOOKUP(B661,'03. THIẾT BỊ'!$B$1:$S$836,14,0),"")</f>
        <v>7045</v>
      </c>
      <c r="P661" s="468" t="str">
        <f>IFERROR(VLOOKUP(B661,'03. THIẾT BỊ'!$B$1:$S$836,15,0),"")</f>
        <v>VIETNAM</v>
      </c>
      <c r="Q661" s="48">
        <f>IFERROR(VLOOKUP(B661,'03. THIẾT BỊ'!$B$1:$S$836,16,0),"")</f>
        <v>2025</v>
      </c>
      <c r="R661" s="471" t="str">
        <f>IFERROR(VLOOKUP(B661,'03. THIẾT BỊ'!$B$1:$S$836,17,0),"")</f>
        <v>7 Hp</v>
      </c>
      <c r="S661" s="468" t="str">
        <f>IFERROR(VLOOKUP(B661,'03. THIẾT BỊ'!$B$1:$S$836,18,0),"")</f>
        <v>H0058817</v>
      </c>
      <c r="T661" s="1495"/>
    </row>
    <row r="662" ht="15.0" customHeight="1">
      <c r="A662" s="463">
        <f t="shared" si="31"/>
        <v>5</v>
      </c>
      <c r="B662" s="486" t="s">
        <v>4285</v>
      </c>
      <c r="C662" s="869" t="str">
        <f>IFERROR(VLOOKUP(B662,'03. THIẾT BỊ'!$B$1:$S$836,2,0),"")</f>
        <v/>
      </c>
      <c r="D662" s="470" t="str">
        <f>IFERROR(VLOOKUP(B662,'03. THIẾT BỊ'!$B$1:$S$836,3,0),"")</f>
        <v/>
      </c>
      <c r="E662" s="464" t="str">
        <f>IFERROR(VLOOKUP(B662,'03. THIẾT BỊ'!$B$1:$S$836,4,0),"")</f>
        <v>MUA MỚI</v>
      </c>
      <c r="F662" s="464" t="str">
        <f>IFERROR(VLOOKUP(B662,'03. THIẾT BỊ'!$B$1:$S$836,5,0),"")</f>
        <v>Máy phun thuốc RELOAD 7045</v>
      </c>
      <c r="G662" s="80" t="s">
        <v>6423</v>
      </c>
      <c r="H662" s="463" t="str">
        <f>IFERROR(VLOOKUP(B662,'03. THIẾT BỊ'!$B$1:$S$836,7,0),"")</f>
        <v>XN Chuối DP3</v>
      </c>
      <c r="I662" s="474" t="str">
        <f>IFERROR(VLOOKUP(B662,'03. THIẾT BỊ'!$B$1:$S$836,8,0),"")</f>
        <v/>
      </c>
      <c r="J662" s="471"/>
      <c r="K662" s="463" t="str">
        <f>IFERROR(VLOOKUP(B662,'03. THIẾT BỊ'!$B$1:$S$836,10,0),"")</f>
        <v>Bình thường</v>
      </c>
      <c r="L662" s="468" t="str">
        <f>IFERROR(VLOOKUP(B662,'03. THIẾT BỊ'!$B$1:$S$836,11,0),"")</f>
        <v/>
      </c>
      <c r="M662" s="472" t="str">
        <f>IFERROR(VLOOKUP(B662,'03. THIẾT BỊ'!$B$1:$S$836,12,0),"")</f>
        <v/>
      </c>
      <c r="N662" s="468" t="str">
        <f>IFERROR(VLOOKUP(B662,'03. THIẾT BỊ'!$B$1:$S$836,13,0),"")</f>
        <v>RELOAD</v>
      </c>
      <c r="O662" s="470">
        <f>IFERROR(VLOOKUP(B662,'03. THIẾT BỊ'!$B$1:$S$836,14,0),"")</f>
        <v>7045</v>
      </c>
      <c r="P662" s="468" t="str">
        <f>IFERROR(VLOOKUP(B662,'03. THIẾT BỊ'!$B$1:$S$836,15,0),"")</f>
        <v>VIETNAM</v>
      </c>
      <c r="Q662" s="48">
        <f>IFERROR(VLOOKUP(B662,'03. THIẾT BỊ'!$B$1:$S$836,16,0),"")</f>
        <v>2025</v>
      </c>
      <c r="R662" s="471" t="str">
        <f>IFERROR(VLOOKUP(B662,'03. THIẾT BỊ'!$B$1:$S$836,17,0),"")</f>
        <v>7 Hp</v>
      </c>
      <c r="S662" s="468" t="str">
        <f>IFERROR(VLOOKUP(B662,'03. THIẾT BỊ'!$B$1:$S$836,18,0),"")</f>
        <v>H0058822</v>
      </c>
      <c r="T662" s="1495"/>
    </row>
    <row r="663" ht="15.0" customHeight="1">
      <c r="A663" s="463">
        <f t="shared" si="31"/>
        <v>6</v>
      </c>
      <c r="B663" s="464" t="s">
        <v>4564</v>
      </c>
      <c r="C663" s="869" t="str">
        <f>IFERROR(VLOOKUP(B663,'03. THIẾT BỊ'!$B$1:$S$836,2,0),"")</f>
        <v/>
      </c>
      <c r="D663" s="470" t="str">
        <f>IFERROR(VLOOKUP(B663,'03. THIẾT BỊ'!$B$1:$S$836,3,0),"")</f>
        <v/>
      </c>
      <c r="E663" s="464" t="str">
        <f>IFERROR(VLOOKUP(B663,'03. THIẾT BỊ'!$B$1:$S$836,4,0),"")</f>
        <v>MUA MỚI</v>
      </c>
      <c r="F663" s="464" t="str">
        <f>IFERROR(VLOOKUP(B663,'03. THIẾT BỊ'!$B$1:$S$836,5,0),"")</f>
        <v>Máy phun thuốc RELOAD 7045</v>
      </c>
      <c r="G663" s="80" t="s">
        <v>6423</v>
      </c>
      <c r="H663" s="463" t="str">
        <f>IFERROR(VLOOKUP(B663,'03. THIẾT BỊ'!$B$1:$S$836,7,0),"")</f>
        <v>XN Chuối LP1</v>
      </c>
      <c r="I663" s="474">
        <f>IFERROR(VLOOKUP(B663,'03. THIẾT BỊ'!$B$1:$S$836,8,0),"")</f>
        <v>45723</v>
      </c>
      <c r="J663" s="471"/>
      <c r="K663" s="463" t="str">
        <f>IFERROR(VLOOKUP(B663,'03. THIẾT BỊ'!$B$1:$S$836,10,0),"")</f>
        <v>Bình thường</v>
      </c>
      <c r="L663" s="468" t="str">
        <f>IFERROR(VLOOKUP(B663,'03. THIẾT BỊ'!$B$1:$S$836,11,0),"")</f>
        <v/>
      </c>
      <c r="M663" s="472" t="str">
        <f>IFERROR(VLOOKUP(B663,'03. THIẾT BỊ'!$B$1:$S$836,12,0),"")</f>
        <v/>
      </c>
      <c r="N663" s="468" t="str">
        <f>IFERROR(VLOOKUP(B663,'03. THIẾT BỊ'!$B$1:$S$836,13,0),"")</f>
        <v>RELOAD</v>
      </c>
      <c r="O663" s="470">
        <f>IFERROR(VLOOKUP(B663,'03. THIẾT BỊ'!$B$1:$S$836,14,0),"")</f>
        <v>7045</v>
      </c>
      <c r="P663" s="468" t="str">
        <f>IFERROR(VLOOKUP(B663,'03. THIẾT BỊ'!$B$1:$S$836,15,0),"")</f>
        <v>VIETNAM</v>
      </c>
      <c r="Q663" s="48">
        <f>IFERROR(VLOOKUP(B663,'03. THIẾT BỊ'!$B$1:$S$836,16,0),"")</f>
        <v>2025</v>
      </c>
      <c r="R663" s="471" t="str">
        <f>IFERROR(VLOOKUP(B663,'03. THIẾT BỊ'!$B$1:$S$836,17,0),"")</f>
        <v>7 Hp</v>
      </c>
      <c r="S663" s="468" t="str">
        <f>IFERROR(VLOOKUP(B663,'03. THIẾT BỊ'!$B$1:$S$836,18,0),"")</f>
        <v>H0058741</v>
      </c>
      <c r="T663" s="807"/>
    </row>
    <row r="664" ht="15.0" customHeight="1">
      <c r="A664" s="463">
        <f t="shared" si="31"/>
        <v>7</v>
      </c>
      <c r="B664" s="464" t="s">
        <v>4566</v>
      </c>
      <c r="C664" s="869" t="str">
        <f>IFERROR(VLOOKUP(B664,'03. THIẾT BỊ'!$B$1:$S$836,2,0),"")</f>
        <v/>
      </c>
      <c r="D664" s="470" t="str">
        <f>IFERROR(VLOOKUP(B664,'03. THIẾT BỊ'!$B$1:$S$836,3,0),"")</f>
        <v/>
      </c>
      <c r="E664" s="464" t="str">
        <f>IFERROR(VLOOKUP(B664,'03. THIẾT BỊ'!$B$1:$S$836,4,0),"")</f>
        <v>MUA MỚI</v>
      </c>
      <c r="F664" s="464" t="str">
        <f>IFERROR(VLOOKUP(B664,'03. THIẾT BỊ'!$B$1:$S$836,5,0),"")</f>
        <v>Máy phun thuốc RELOAD 7045</v>
      </c>
      <c r="G664" s="80" t="s">
        <v>6423</v>
      </c>
      <c r="H664" s="463" t="str">
        <f>IFERROR(VLOOKUP(B664,'03. THIẾT BỊ'!$B$1:$S$836,7,0),"")</f>
        <v>XN Chuối LP1</v>
      </c>
      <c r="I664" s="474">
        <f>IFERROR(VLOOKUP(B664,'03. THIẾT BỊ'!$B$1:$S$836,8,0),"")</f>
        <v>45723</v>
      </c>
      <c r="J664" s="471"/>
      <c r="K664" s="463" t="str">
        <f>IFERROR(VLOOKUP(B664,'03. THIẾT BỊ'!$B$1:$S$836,10,0),"")</f>
        <v>Bình thường</v>
      </c>
      <c r="L664" s="468" t="str">
        <f>IFERROR(VLOOKUP(B664,'03. THIẾT BỊ'!$B$1:$S$836,11,0),"")</f>
        <v/>
      </c>
      <c r="M664" s="472" t="str">
        <f>IFERROR(VLOOKUP(B664,'03. THIẾT BỊ'!$B$1:$S$836,12,0),"")</f>
        <v/>
      </c>
      <c r="N664" s="468" t="str">
        <f>IFERROR(VLOOKUP(B664,'03. THIẾT BỊ'!$B$1:$S$836,13,0),"")</f>
        <v>RELOAD</v>
      </c>
      <c r="O664" s="470">
        <f>IFERROR(VLOOKUP(B664,'03. THIẾT BỊ'!$B$1:$S$836,14,0),"")</f>
        <v>7045</v>
      </c>
      <c r="P664" s="468" t="str">
        <f>IFERROR(VLOOKUP(B664,'03. THIẾT BỊ'!$B$1:$S$836,15,0),"")</f>
        <v>VIETNAM</v>
      </c>
      <c r="Q664" s="48">
        <f>IFERROR(VLOOKUP(B664,'03. THIẾT BỊ'!$B$1:$S$836,16,0),"")</f>
        <v>2025</v>
      </c>
      <c r="R664" s="471" t="str">
        <f>IFERROR(VLOOKUP(B664,'03. THIẾT BỊ'!$B$1:$S$836,17,0),"")</f>
        <v>7 Hp</v>
      </c>
      <c r="S664" s="468" t="str">
        <f>IFERROR(VLOOKUP(B664,'03. THIẾT BỊ'!$B$1:$S$836,18,0),"")</f>
        <v>H0058808</v>
      </c>
      <c r="T664" s="807"/>
    </row>
    <row r="665" ht="15.0" customHeight="1">
      <c r="A665" s="463">
        <f t="shared" si="31"/>
        <v>8</v>
      </c>
      <c r="B665" s="464" t="s">
        <v>4569</v>
      </c>
      <c r="C665" s="869" t="str">
        <f>IFERROR(VLOOKUP(B665,'03. THIẾT BỊ'!$B$1:$S$836,2,0),"")</f>
        <v/>
      </c>
      <c r="D665" s="470" t="str">
        <f>IFERROR(VLOOKUP(B665,'03. THIẾT BỊ'!$B$1:$S$836,3,0),"")</f>
        <v/>
      </c>
      <c r="E665" s="464" t="str">
        <f>IFERROR(VLOOKUP(B665,'03. THIẾT BỊ'!$B$1:$S$836,4,0),"")</f>
        <v>MUA MỚI</v>
      </c>
      <c r="F665" s="464" t="str">
        <f>IFERROR(VLOOKUP(B665,'03. THIẾT BỊ'!$B$1:$S$836,5,0),"")</f>
        <v>Máy phun thuốc RELOAD 7045</v>
      </c>
      <c r="G665" s="80" t="s">
        <v>6423</v>
      </c>
      <c r="H665" s="463" t="str">
        <f>IFERROR(VLOOKUP(B665,'03. THIẾT BỊ'!$B$1:$S$836,7,0),"")</f>
        <v>XN Chuối LP1</v>
      </c>
      <c r="I665" s="474">
        <f>IFERROR(VLOOKUP(B665,'03. THIẾT BỊ'!$B$1:$S$836,8,0),"")</f>
        <v>45723</v>
      </c>
      <c r="J665" s="471"/>
      <c r="K665" s="463" t="str">
        <f>IFERROR(VLOOKUP(B665,'03. THIẾT BỊ'!$B$1:$S$836,10,0),"")</f>
        <v>Bình thường</v>
      </c>
      <c r="L665" s="468" t="str">
        <f>IFERROR(VLOOKUP(B665,'03. THIẾT BỊ'!$B$1:$S$836,11,0),"")</f>
        <v/>
      </c>
      <c r="M665" s="472" t="str">
        <f>IFERROR(VLOOKUP(B665,'03. THIẾT BỊ'!$B$1:$S$836,12,0),"")</f>
        <v/>
      </c>
      <c r="N665" s="468" t="str">
        <f>IFERROR(VLOOKUP(B665,'03. THIẾT BỊ'!$B$1:$S$836,13,0),"")</f>
        <v>RELOAD</v>
      </c>
      <c r="O665" s="470">
        <f>IFERROR(VLOOKUP(B665,'03. THIẾT BỊ'!$B$1:$S$836,14,0),"")</f>
        <v>7045</v>
      </c>
      <c r="P665" s="468" t="str">
        <f>IFERROR(VLOOKUP(B665,'03. THIẾT BỊ'!$B$1:$S$836,15,0),"")</f>
        <v>VIETNAM</v>
      </c>
      <c r="Q665" s="48">
        <f>IFERROR(VLOOKUP(B665,'03. THIẾT BỊ'!$B$1:$S$836,16,0),"")</f>
        <v>2025</v>
      </c>
      <c r="R665" s="471" t="str">
        <f>IFERROR(VLOOKUP(B665,'03. THIẾT BỊ'!$B$1:$S$836,17,0),"")</f>
        <v>7 Hp</v>
      </c>
      <c r="S665" s="468" t="str">
        <f>IFERROR(VLOOKUP(B665,'03. THIẾT BỊ'!$B$1:$S$836,18,0),"")</f>
        <v>H0058778</v>
      </c>
      <c r="T665" s="807"/>
    </row>
    <row r="666" ht="15.0" customHeight="1">
      <c r="A666" s="463">
        <f t="shared" si="31"/>
        <v>9</v>
      </c>
      <c r="B666" s="464" t="s">
        <v>4571</v>
      </c>
      <c r="C666" s="869" t="str">
        <f>IFERROR(VLOOKUP(B666,'03. THIẾT BỊ'!$B$1:$S$836,2,0),"")</f>
        <v/>
      </c>
      <c r="D666" s="470" t="str">
        <f>IFERROR(VLOOKUP(B666,'03. THIẾT BỊ'!$B$1:$S$836,3,0),"")</f>
        <v/>
      </c>
      <c r="E666" s="464" t="str">
        <f>IFERROR(VLOOKUP(B666,'03. THIẾT BỊ'!$B$1:$S$836,4,0),"")</f>
        <v>MUA MỚI</v>
      </c>
      <c r="F666" s="464" t="str">
        <f>IFERROR(VLOOKUP(B666,'03. THIẾT BỊ'!$B$1:$S$836,5,0),"")</f>
        <v>Máy phun thuốc RELOAD 7045</v>
      </c>
      <c r="G666" s="80" t="s">
        <v>6423</v>
      </c>
      <c r="H666" s="463" t="str">
        <f>IFERROR(VLOOKUP(B666,'03. THIẾT BỊ'!$B$1:$S$836,7,0),"")</f>
        <v>XN Chuối LP1</v>
      </c>
      <c r="I666" s="474">
        <f>IFERROR(VLOOKUP(B666,'03. THIẾT BỊ'!$B$1:$S$836,8,0),"")</f>
        <v>45723</v>
      </c>
      <c r="J666" s="471"/>
      <c r="K666" s="463" t="str">
        <f>IFERROR(VLOOKUP(B666,'03. THIẾT BỊ'!$B$1:$S$836,10,0),"")</f>
        <v>Bình thường</v>
      </c>
      <c r="L666" s="468" t="str">
        <f>IFERROR(VLOOKUP(B666,'03. THIẾT BỊ'!$B$1:$S$836,11,0),"")</f>
        <v/>
      </c>
      <c r="M666" s="472" t="str">
        <f>IFERROR(VLOOKUP(B666,'03. THIẾT BỊ'!$B$1:$S$836,12,0),"")</f>
        <v/>
      </c>
      <c r="N666" s="468" t="str">
        <f>IFERROR(VLOOKUP(B666,'03. THIẾT BỊ'!$B$1:$S$836,13,0),"")</f>
        <v>RELOAD</v>
      </c>
      <c r="O666" s="470">
        <f>IFERROR(VLOOKUP(B666,'03. THIẾT BỊ'!$B$1:$S$836,14,0),"")</f>
        <v>7045</v>
      </c>
      <c r="P666" s="468" t="str">
        <f>IFERROR(VLOOKUP(B666,'03. THIẾT BỊ'!$B$1:$S$836,15,0),"")</f>
        <v>VIETNAM</v>
      </c>
      <c r="Q666" s="48">
        <f>IFERROR(VLOOKUP(B666,'03. THIẾT BỊ'!$B$1:$S$836,16,0),"")</f>
        <v>2025</v>
      </c>
      <c r="R666" s="471" t="str">
        <f>IFERROR(VLOOKUP(B666,'03. THIẾT BỊ'!$B$1:$S$836,17,0),"")</f>
        <v>7 Hp</v>
      </c>
      <c r="S666" s="468" t="str">
        <f>IFERROR(VLOOKUP(B666,'03. THIẾT BỊ'!$B$1:$S$836,18,0),"")</f>
        <v>H0058732</v>
      </c>
      <c r="T666" s="807"/>
    </row>
    <row r="667" ht="15.0" customHeight="1">
      <c r="A667" s="463">
        <f t="shared" si="31"/>
        <v>10</v>
      </c>
      <c r="B667" s="464" t="s">
        <v>4776</v>
      </c>
      <c r="C667" s="869" t="str">
        <f>IFERROR(VLOOKUP(B667,'03. THIẾT BỊ'!$B$1:$S$836,2,0),"")</f>
        <v/>
      </c>
      <c r="D667" s="470" t="str">
        <f>IFERROR(VLOOKUP(B667,'03. THIẾT BỊ'!$B$1:$S$836,3,0),"")</f>
        <v/>
      </c>
      <c r="E667" s="464" t="str">
        <f>IFERROR(VLOOKUP(B667,'03. THIẾT BỊ'!$B$1:$S$836,4,0),"")</f>
        <v>MUA MỚI</v>
      </c>
      <c r="F667" s="464" t="str">
        <f>IFERROR(VLOOKUP(B667,'03. THIẾT BỊ'!$B$1:$S$836,5,0),"")</f>
        <v>Máy phun thuốc RELOAD 7045</v>
      </c>
      <c r="G667" s="80" t="s">
        <v>6423</v>
      </c>
      <c r="H667" s="463" t="str">
        <f>IFERROR(VLOOKUP(B667,'03. THIẾT BỊ'!$B$1:$S$836,7,0),"")</f>
        <v>XN Chuối LP3</v>
      </c>
      <c r="I667" s="474">
        <f>IFERROR(VLOOKUP(B667,'03. THIẾT BỊ'!$B$1:$S$836,8,0),"")</f>
        <v>46357</v>
      </c>
      <c r="J667" s="471"/>
      <c r="K667" s="463" t="str">
        <f>IFERROR(VLOOKUP(B667,'03. THIẾT BỊ'!$B$1:$S$836,10,0),"")</f>
        <v>Bình thường</v>
      </c>
      <c r="L667" s="468" t="str">
        <f>IFERROR(VLOOKUP(B667,'03. THIẾT BỊ'!$B$1:$S$836,11,0),"")</f>
        <v/>
      </c>
      <c r="M667" s="472" t="str">
        <f>IFERROR(VLOOKUP(B667,'03. THIẾT BỊ'!$B$1:$S$836,12,0),"")</f>
        <v/>
      </c>
      <c r="N667" s="468" t="str">
        <f>IFERROR(VLOOKUP(B667,'03. THIẾT BỊ'!$B$1:$S$836,13,0),"")</f>
        <v>RELOAD</v>
      </c>
      <c r="O667" s="470">
        <f>IFERROR(VLOOKUP(B667,'03. THIẾT BỊ'!$B$1:$S$836,14,0),"")</f>
        <v>7045</v>
      </c>
      <c r="P667" s="468" t="str">
        <f>IFERROR(VLOOKUP(B667,'03. THIẾT BỊ'!$B$1:$S$836,15,0),"")</f>
        <v>VIETNAM</v>
      </c>
      <c r="Q667" s="48">
        <f>IFERROR(VLOOKUP(B667,'03. THIẾT BỊ'!$B$1:$S$836,16,0),"")</f>
        <v>2025</v>
      </c>
      <c r="R667" s="471" t="str">
        <f>IFERROR(VLOOKUP(B667,'03. THIẾT BỊ'!$B$1:$S$836,17,0),"")</f>
        <v>7 Hp</v>
      </c>
      <c r="S667" s="468" t="str">
        <f>IFERROR(VLOOKUP(B667,'03. THIẾT BỊ'!$B$1:$S$836,18,0),"")</f>
        <v>2412094A0021</v>
      </c>
      <c r="T667" s="807"/>
    </row>
    <row r="668" ht="15.0" customHeight="1">
      <c r="A668" s="463">
        <f t="shared" si="31"/>
        <v>11</v>
      </c>
      <c r="B668" s="464" t="s">
        <v>4778</v>
      </c>
      <c r="C668" s="869" t="str">
        <f>IFERROR(VLOOKUP(B668,'03. THIẾT BỊ'!$B$1:$S$836,2,0),"")</f>
        <v/>
      </c>
      <c r="D668" s="470" t="str">
        <f>IFERROR(VLOOKUP(B668,'03. THIẾT BỊ'!$B$1:$S$836,3,0),"")</f>
        <v/>
      </c>
      <c r="E668" s="464" t="str">
        <f>IFERROR(VLOOKUP(B668,'03. THIẾT BỊ'!$B$1:$S$836,4,0),"")</f>
        <v>MUA MỚI</v>
      </c>
      <c r="F668" s="464" t="str">
        <f>IFERROR(VLOOKUP(B668,'03. THIẾT BỊ'!$B$1:$S$836,5,0),"")</f>
        <v>Máy phun thuốc RELOAD 7045</v>
      </c>
      <c r="G668" s="80" t="s">
        <v>6423</v>
      </c>
      <c r="H668" s="463" t="str">
        <f>IFERROR(VLOOKUP(B668,'03. THIẾT BỊ'!$B$1:$S$836,7,0),"")</f>
        <v>XN Chuối LP3</v>
      </c>
      <c r="I668" s="474">
        <f>IFERROR(VLOOKUP(B668,'03. THIẾT BỊ'!$B$1:$S$836,8,0),"")</f>
        <v>46357</v>
      </c>
      <c r="J668" s="471"/>
      <c r="K668" s="463" t="str">
        <f>IFERROR(VLOOKUP(B668,'03. THIẾT BỊ'!$B$1:$S$836,10,0),"")</f>
        <v>Bình thường</v>
      </c>
      <c r="L668" s="468" t="str">
        <f>IFERROR(VLOOKUP(B668,'03. THIẾT BỊ'!$B$1:$S$836,11,0),"")</f>
        <v/>
      </c>
      <c r="M668" s="472" t="str">
        <f>IFERROR(VLOOKUP(B668,'03. THIẾT BỊ'!$B$1:$S$836,12,0),"")</f>
        <v/>
      </c>
      <c r="N668" s="468" t="str">
        <f>IFERROR(VLOOKUP(B668,'03. THIẾT BỊ'!$B$1:$S$836,13,0),"")</f>
        <v>RELOAD</v>
      </c>
      <c r="O668" s="470">
        <f>IFERROR(VLOOKUP(B668,'03. THIẾT BỊ'!$B$1:$S$836,14,0),"")</f>
        <v>7045</v>
      </c>
      <c r="P668" s="468" t="str">
        <f>IFERROR(VLOOKUP(B668,'03. THIẾT BỊ'!$B$1:$S$836,15,0),"")</f>
        <v>VIETNAM</v>
      </c>
      <c r="Q668" s="48">
        <f>IFERROR(VLOOKUP(B668,'03. THIẾT BỊ'!$B$1:$S$836,16,0),"")</f>
        <v>2025</v>
      </c>
      <c r="R668" s="471" t="str">
        <f>IFERROR(VLOOKUP(B668,'03. THIẾT BỊ'!$B$1:$S$836,17,0),"")</f>
        <v>7 Hp</v>
      </c>
      <c r="S668" s="468" t="str">
        <f>IFERROR(VLOOKUP(B668,'03. THIẾT BỊ'!$B$1:$S$836,18,0),"")</f>
        <v>2412094A0014</v>
      </c>
      <c r="T668" s="807"/>
    </row>
    <row r="669" ht="15.0" customHeight="1">
      <c r="A669" s="463">
        <f>A666+1</f>
        <v>10</v>
      </c>
      <c r="B669" s="464" t="s">
        <v>4052</v>
      </c>
      <c r="C669" s="869" t="str">
        <f>IFERROR(VLOOKUP(B669,'03. THIẾT BỊ'!$B$1:$S$836,2,0),"")</f>
        <v/>
      </c>
      <c r="D669" s="470" t="str">
        <f>IFERROR(VLOOKUP(B669,'03. THIẾT BỊ'!$B$1:$S$836,3,0),"")</f>
        <v/>
      </c>
      <c r="E669" s="464" t="str">
        <f>IFERROR(VLOOKUP(B669,'03. THIẾT BỊ'!$B$1:$S$836,4,0),"")</f>
        <v>MUA MỚI</v>
      </c>
      <c r="F669" s="464" t="str">
        <f>IFERROR(VLOOKUP(B669,'03. THIẾT BỊ'!$B$1:$S$836,5,0),"")</f>
        <v>Máy phun thuốc RELOAD 7045</v>
      </c>
      <c r="G669" s="80" t="s">
        <v>6423</v>
      </c>
      <c r="H669" s="463" t="str">
        <f>IFERROR(VLOOKUP(B669,'03. THIẾT BỊ'!$B$1:$S$836,7,0),"")</f>
        <v>XN Chuối DP1</v>
      </c>
      <c r="I669" s="474">
        <f>IFERROR(VLOOKUP(B669,'03. THIẾT BỊ'!$B$1:$S$836,8,0),"")</f>
        <v>45884</v>
      </c>
      <c r="J669" s="471"/>
      <c r="K669" s="463" t="str">
        <f>IFERROR(VLOOKUP(B669,'03. THIẾT BỊ'!$B$1:$S$836,10,0),"")</f>
        <v>Bình thường</v>
      </c>
      <c r="L669" s="468" t="str">
        <f>IFERROR(VLOOKUP(B669,'03. THIẾT BỊ'!$B$1:$S$836,11,0),"")</f>
        <v/>
      </c>
      <c r="M669" s="472" t="str">
        <f>IFERROR(VLOOKUP(B669,'03. THIẾT BỊ'!$B$1:$S$836,12,0),"")</f>
        <v/>
      </c>
      <c r="N669" s="468" t="str">
        <f>IFERROR(VLOOKUP(B669,'03. THIẾT BỊ'!$B$1:$S$836,13,0),"")</f>
        <v>RELOAD</v>
      </c>
      <c r="O669" s="470">
        <f>IFERROR(VLOOKUP(B669,'03. THIẾT BỊ'!$B$1:$S$836,14,0),"")</f>
        <v>7045</v>
      </c>
      <c r="P669" s="468" t="str">
        <f>IFERROR(VLOOKUP(B669,'03. THIẾT BỊ'!$B$1:$S$836,15,0),"")</f>
        <v>VIETNAM</v>
      </c>
      <c r="Q669" s="48">
        <f>IFERROR(VLOOKUP(B669,'03. THIẾT BỊ'!$B$1:$S$836,16,0),"")</f>
        <v>2025</v>
      </c>
      <c r="R669" s="471" t="str">
        <f>IFERROR(VLOOKUP(B669,'03. THIẾT BỊ'!$B$1:$S$836,17,0),"")</f>
        <v>7 Hp</v>
      </c>
      <c r="S669" s="468" t="str">
        <f>IFERROR(VLOOKUP(B669,'03. THIẾT BỊ'!$B$1:$S$836,18,0),"")</f>
        <v>H0058740</v>
      </c>
      <c r="T669" s="807"/>
    </row>
    <row r="670" ht="15.0" customHeight="1">
      <c r="A670" s="463">
        <f t="shared" ref="A670:A672" si="32">A669+1</f>
        <v>11</v>
      </c>
      <c r="B670" s="464" t="s">
        <v>4057</v>
      </c>
      <c r="C670" s="869" t="str">
        <f>IFERROR(VLOOKUP(B670,'03. THIẾT BỊ'!$B$1:$S$836,2,0),"")</f>
        <v/>
      </c>
      <c r="D670" s="470" t="str">
        <f>IFERROR(VLOOKUP(B670,'03. THIẾT BỊ'!$B$1:$S$836,3,0),"")</f>
        <v/>
      </c>
      <c r="E670" s="464" t="str">
        <f>IFERROR(VLOOKUP(B670,'03. THIẾT BỊ'!$B$1:$S$836,4,0),"")</f>
        <v>MUA MỚI</v>
      </c>
      <c r="F670" s="464" t="str">
        <f>IFERROR(VLOOKUP(B670,'03. THIẾT BỊ'!$B$1:$S$836,5,0),"")</f>
        <v>Máy phun thuốc RELOAD 7045</v>
      </c>
      <c r="G670" s="80" t="s">
        <v>6423</v>
      </c>
      <c r="H670" s="463" t="str">
        <f>IFERROR(VLOOKUP(B670,'03. THIẾT BỊ'!$B$1:$S$836,7,0),"")</f>
        <v>XN Chuối DP1</v>
      </c>
      <c r="I670" s="474">
        <f>IFERROR(VLOOKUP(B670,'03. THIẾT BỊ'!$B$1:$S$836,8,0),"")</f>
        <v>45884</v>
      </c>
      <c r="J670" s="471"/>
      <c r="K670" s="463" t="str">
        <f>IFERROR(VLOOKUP(B670,'03. THIẾT BỊ'!$B$1:$S$836,10,0),"")</f>
        <v>Bình thường</v>
      </c>
      <c r="L670" s="468" t="str">
        <f>IFERROR(VLOOKUP(B670,'03. THIẾT BỊ'!$B$1:$S$836,11,0),"")</f>
        <v/>
      </c>
      <c r="M670" s="472" t="str">
        <f>IFERROR(VLOOKUP(B670,'03. THIẾT BỊ'!$B$1:$S$836,12,0),"")</f>
        <v/>
      </c>
      <c r="N670" s="468" t="str">
        <f>IFERROR(VLOOKUP(B670,'03. THIẾT BỊ'!$B$1:$S$836,13,0),"")</f>
        <v>RELOAD</v>
      </c>
      <c r="O670" s="470">
        <f>IFERROR(VLOOKUP(B670,'03. THIẾT BỊ'!$B$1:$S$836,14,0),"")</f>
        <v>7045</v>
      </c>
      <c r="P670" s="468" t="str">
        <f>IFERROR(VLOOKUP(B670,'03. THIẾT BỊ'!$B$1:$S$836,15,0),"")</f>
        <v>VIETNAM</v>
      </c>
      <c r="Q670" s="48">
        <f>IFERROR(VLOOKUP(B670,'03. THIẾT BỊ'!$B$1:$S$836,16,0),"")</f>
        <v>2025</v>
      </c>
      <c r="R670" s="471" t="str">
        <f>IFERROR(VLOOKUP(B670,'03. THIẾT BỊ'!$B$1:$S$836,17,0),"")</f>
        <v>7 Hp</v>
      </c>
      <c r="S670" s="468" t="str">
        <f>IFERROR(VLOOKUP(B670,'03. THIẾT BỊ'!$B$1:$S$836,18,0),"")</f>
        <v>H0058744</v>
      </c>
      <c r="T670" s="807"/>
    </row>
    <row r="671" ht="15.0" customHeight="1">
      <c r="A671" s="463">
        <f t="shared" si="32"/>
        <v>12</v>
      </c>
      <c r="B671" s="464" t="s">
        <v>4059</v>
      </c>
      <c r="C671" s="869" t="str">
        <f>IFERROR(VLOOKUP(B671,'03. THIẾT BỊ'!$B$1:$S$836,2,0),"")</f>
        <v/>
      </c>
      <c r="D671" s="470" t="str">
        <f>IFERROR(VLOOKUP(B671,'03. THIẾT BỊ'!$B$1:$S$836,3,0),"")</f>
        <v/>
      </c>
      <c r="E671" s="464" t="str">
        <f>IFERROR(VLOOKUP(B671,'03. THIẾT BỊ'!$B$1:$S$836,4,0),"")</f>
        <v>MUA MỚI</v>
      </c>
      <c r="F671" s="464" t="str">
        <f>IFERROR(VLOOKUP(B671,'03. THIẾT BỊ'!$B$1:$S$836,5,0),"")</f>
        <v>Máy phun thuốc RELOAD 7045</v>
      </c>
      <c r="G671" s="80" t="s">
        <v>6423</v>
      </c>
      <c r="H671" s="463" t="str">
        <f>IFERROR(VLOOKUP(B671,'03. THIẾT BỊ'!$B$1:$S$836,7,0),"")</f>
        <v>XN Chuối DP1</v>
      </c>
      <c r="I671" s="474">
        <f>IFERROR(VLOOKUP(B671,'03. THIẾT BỊ'!$B$1:$S$836,8,0),"")</f>
        <v>45884</v>
      </c>
      <c r="J671" s="471"/>
      <c r="K671" s="463" t="str">
        <f>IFERROR(VLOOKUP(B671,'03. THIẾT BỊ'!$B$1:$S$836,10,0),"")</f>
        <v>Bình thường</v>
      </c>
      <c r="L671" s="468" t="str">
        <f>IFERROR(VLOOKUP(B671,'03. THIẾT BỊ'!$B$1:$S$836,11,0),"")</f>
        <v/>
      </c>
      <c r="M671" s="472" t="str">
        <f>IFERROR(VLOOKUP(B671,'03. THIẾT BỊ'!$B$1:$S$836,12,0),"")</f>
        <v/>
      </c>
      <c r="N671" s="468" t="str">
        <f>IFERROR(VLOOKUP(B671,'03. THIẾT BỊ'!$B$1:$S$836,13,0),"")</f>
        <v>RELOAD</v>
      </c>
      <c r="O671" s="470">
        <f>IFERROR(VLOOKUP(B671,'03. THIẾT BỊ'!$B$1:$S$836,14,0),"")</f>
        <v>7045</v>
      </c>
      <c r="P671" s="468" t="str">
        <f>IFERROR(VLOOKUP(B671,'03. THIẾT BỊ'!$B$1:$S$836,15,0),"")</f>
        <v>VIETNAM</v>
      </c>
      <c r="Q671" s="48">
        <f>IFERROR(VLOOKUP(B671,'03. THIẾT BỊ'!$B$1:$S$836,16,0),"")</f>
        <v>2025</v>
      </c>
      <c r="R671" s="471" t="str">
        <f>IFERROR(VLOOKUP(B671,'03. THIẾT BỊ'!$B$1:$S$836,17,0),"")</f>
        <v>7 Hp</v>
      </c>
      <c r="S671" s="468" t="str">
        <f>IFERROR(VLOOKUP(B671,'03. THIẾT BỊ'!$B$1:$S$836,18,0),"")</f>
        <v>H0058759</v>
      </c>
      <c r="T671" s="807"/>
    </row>
    <row r="672" ht="15.0" customHeight="1">
      <c r="A672" s="463">
        <f t="shared" si="32"/>
        <v>13</v>
      </c>
      <c r="B672" s="464" t="s">
        <v>4061</v>
      </c>
      <c r="C672" s="869" t="str">
        <f>IFERROR(VLOOKUP(B672,'03. THIẾT BỊ'!$B$1:$S$836,2,0),"")</f>
        <v/>
      </c>
      <c r="D672" s="470" t="str">
        <f>IFERROR(VLOOKUP(B672,'03. THIẾT BỊ'!$B$1:$S$836,3,0),"")</f>
        <v/>
      </c>
      <c r="E672" s="464" t="str">
        <f>IFERROR(VLOOKUP(B672,'03. THIẾT BỊ'!$B$1:$S$836,4,0),"")</f>
        <v>MUA MỚI</v>
      </c>
      <c r="F672" s="464" t="str">
        <f>IFERROR(VLOOKUP(B672,'03. THIẾT BỊ'!$B$1:$S$836,5,0),"")</f>
        <v>Máy phun thuốc RELOAD 7045</v>
      </c>
      <c r="G672" s="80" t="s">
        <v>6423</v>
      </c>
      <c r="H672" s="463" t="str">
        <f>IFERROR(VLOOKUP(B672,'03. THIẾT BỊ'!$B$1:$S$836,7,0),"")</f>
        <v>XN Chuối DP1</v>
      </c>
      <c r="I672" s="474">
        <f>IFERROR(VLOOKUP(B672,'03. THIẾT BỊ'!$B$1:$S$836,8,0),"")</f>
        <v>45884</v>
      </c>
      <c r="J672" s="471"/>
      <c r="K672" s="463" t="str">
        <f>IFERROR(VLOOKUP(B672,'03. THIẾT BỊ'!$B$1:$S$836,10,0),"")</f>
        <v>Bình thường</v>
      </c>
      <c r="L672" s="468" t="str">
        <f>IFERROR(VLOOKUP(B672,'03. THIẾT BỊ'!$B$1:$S$836,11,0),"")</f>
        <v/>
      </c>
      <c r="M672" s="472" t="str">
        <f>IFERROR(VLOOKUP(B672,'03. THIẾT BỊ'!$B$1:$S$836,12,0),"")</f>
        <v/>
      </c>
      <c r="N672" s="468" t="str">
        <f>IFERROR(VLOOKUP(B672,'03. THIẾT BỊ'!$B$1:$S$836,13,0),"")</f>
        <v>RELOAD</v>
      </c>
      <c r="O672" s="470">
        <f>IFERROR(VLOOKUP(B672,'03. THIẾT BỊ'!$B$1:$S$836,14,0),"")</f>
        <v>7045</v>
      </c>
      <c r="P672" s="468" t="str">
        <f>IFERROR(VLOOKUP(B672,'03. THIẾT BỊ'!$B$1:$S$836,15,0),"")</f>
        <v>VIETNAM</v>
      </c>
      <c r="Q672" s="48">
        <f>IFERROR(VLOOKUP(B672,'03. THIẾT BỊ'!$B$1:$S$836,16,0),"")</f>
        <v>2025</v>
      </c>
      <c r="R672" s="471" t="str">
        <f>IFERROR(VLOOKUP(B672,'03. THIẾT BỊ'!$B$1:$S$836,17,0),"")</f>
        <v>7 Hp</v>
      </c>
      <c r="S672" s="468" t="str">
        <f>IFERROR(VLOOKUP(B672,'03. THIẾT BỊ'!$B$1:$S$836,18,0),"")</f>
        <v>H0058786</v>
      </c>
      <c r="T672" s="807"/>
    </row>
    <row r="673" ht="15.0" hidden="1" customHeight="1">
      <c r="A673" s="463"/>
      <c r="B673" s="464"/>
      <c r="C673" s="869" t="str">
        <f>IFERROR(VLOOKUP(B673,'03. THIẾT BỊ'!$B$1:$S$836,2,0),"")</f>
        <v/>
      </c>
      <c r="D673" s="470" t="str">
        <f>IFERROR(VLOOKUP(B673,'03. THIẾT BỊ'!$B$1:$S$836,3,0),"")</f>
        <v/>
      </c>
      <c r="E673" s="464" t="str">
        <f>IFERROR(VLOOKUP(B673,'03. THIẾT BỊ'!$B$1:$S$836,4,0),"")</f>
        <v/>
      </c>
      <c r="F673" s="464" t="str">
        <f>IFERROR(VLOOKUP(B673,'03. THIẾT BỊ'!$B$1:$S$836,5,0),"")</f>
        <v/>
      </c>
      <c r="G673" s="80" t="s">
        <v>6423</v>
      </c>
      <c r="H673" s="463" t="str">
        <f>IFERROR(VLOOKUP(B673,'03. THIẾT BỊ'!$B$1:$S$836,7,0),"")</f>
        <v/>
      </c>
      <c r="I673" s="474" t="str">
        <f>IFERROR(VLOOKUP(B673,'03. THIẾT BỊ'!$B$1:$S$836,8,0),"")</f>
        <v/>
      </c>
      <c r="J673" s="471"/>
      <c r="K673" s="463" t="str">
        <f>IFERROR(VLOOKUP(B673,'03. THIẾT BỊ'!$B$1:$S$836,10,0),"")</f>
        <v/>
      </c>
      <c r="L673" s="468" t="str">
        <f>IFERROR(VLOOKUP(B673,'03. THIẾT BỊ'!$B$1:$S$836,11,0),"")</f>
        <v/>
      </c>
      <c r="M673" s="472" t="str">
        <f>IFERROR(VLOOKUP(B673,'03. THIẾT BỊ'!$B$1:$S$836,12,0),"")</f>
        <v/>
      </c>
      <c r="N673" s="468" t="str">
        <f>IFERROR(VLOOKUP(B673,'03. THIẾT BỊ'!$B$1:$S$836,13,0),"")</f>
        <v/>
      </c>
      <c r="O673" s="470" t="str">
        <f>IFERROR(VLOOKUP(B673,'03. THIẾT BỊ'!$B$1:$S$836,14,0),"")</f>
        <v/>
      </c>
      <c r="P673" s="468" t="str">
        <f>IFERROR(VLOOKUP(B673,'03. THIẾT BỊ'!$B$1:$S$836,15,0),"")</f>
        <v/>
      </c>
      <c r="Q673" s="48" t="str">
        <f>IFERROR(VLOOKUP(B673,'03. THIẾT BỊ'!$B$1:$S$836,16,0),"")</f>
        <v/>
      </c>
      <c r="R673" s="471" t="str">
        <f>IFERROR(VLOOKUP(B673,'03. THIẾT BỊ'!$B$1:$S$836,17,0),"")</f>
        <v/>
      </c>
      <c r="S673" s="468" t="str">
        <f>IFERROR(VLOOKUP(B673,'03. THIẾT BỊ'!$B$1:$S$836,18,0),"")</f>
        <v/>
      </c>
      <c r="T673" s="807"/>
    </row>
    <row r="674" hidden="1">
      <c r="C674" s="869" t="str">
        <f>IFERROR(VLOOKUP(B674,'03. THIẾT BỊ'!$B$1:$S$836,2,0),"")</f>
        <v/>
      </c>
      <c r="D674" s="470" t="str">
        <f>IFERROR(VLOOKUP(B674,'03. THIẾT BỊ'!$B$1:$S$836,3,0),"")</f>
        <v/>
      </c>
      <c r="E674" s="464" t="str">
        <f>IFERROR(VLOOKUP(B674,'03. THIẾT BỊ'!$B$1:$S$836,4,0),"")</f>
        <v/>
      </c>
      <c r="F674" s="464" t="str">
        <f>IFERROR(VLOOKUP(B674,'03. THIẾT BỊ'!$B$1:$S$836,5,0),"")</f>
        <v/>
      </c>
      <c r="G674" s="80" t="s">
        <v>6423</v>
      </c>
      <c r="H674" s="463" t="str">
        <f>IFERROR(VLOOKUP(B674,'03. THIẾT BỊ'!$B$1:$S$836,7,0),"")</f>
        <v/>
      </c>
      <c r="I674" s="474" t="str">
        <f>IFERROR(VLOOKUP(B674,'03. THIẾT BỊ'!$B$1:$S$836,8,0),"")</f>
        <v/>
      </c>
      <c r="J674" s="471"/>
      <c r="K674" s="463" t="str">
        <f>IFERROR(VLOOKUP(B674,'03. THIẾT BỊ'!$B$1:$S$836,10,0),"")</f>
        <v/>
      </c>
      <c r="L674" s="468" t="str">
        <f>IFERROR(VLOOKUP(B674,'03. THIẾT BỊ'!$B$1:$S$836,11,0),"")</f>
        <v/>
      </c>
      <c r="M674" s="472" t="str">
        <f>IFERROR(VLOOKUP(B674,'03. THIẾT BỊ'!$B$1:$S$836,12,0),"")</f>
        <v/>
      </c>
      <c r="N674" s="468" t="str">
        <f>IFERROR(VLOOKUP(B674,'03. THIẾT BỊ'!$B$1:$S$836,13,0),"")</f>
        <v/>
      </c>
      <c r="O674" s="470" t="str">
        <f>IFERROR(VLOOKUP(B674,'03. THIẾT BỊ'!$B$1:$S$836,14,0),"")</f>
        <v/>
      </c>
      <c r="P674" s="468" t="str">
        <f>IFERROR(VLOOKUP(B674,'03. THIẾT BỊ'!$B$1:$S$836,15,0),"")</f>
        <v/>
      </c>
      <c r="Q674" s="48" t="str">
        <f>IFERROR(VLOOKUP(B674,'03. THIẾT BỊ'!$B$1:$S$836,16,0),"")</f>
        <v/>
      </c>
      <c r="R674" s="471" t="str">
        <f>IFERROR(VLOOKUP(B674,'03. THIẾT BỊ'!$B$1:$S$836,17,0),"")</f>
        <v/>
      </c>
      <c r="S674" s="468" t="str">
        <f>IFERROR(VLOOKUP(B674,'03. THIẾT BỊ'!$B$1:$S$836,18,0),"")</f>
        <v/>
      </c>
    </row>
    <row r="675" hidden="1">
      <c r="C675" s="869" t="str">
        <f>IFERROR(VLOOKUP(B675,'03. THIẾT BỊ'!$B$1:$S$836,2,0),"")</f>
        <v/>
      </c>
      <c r="D675" s="470" t="str">
        <f>IFERROR(VLOOKUP(B675,'03. THIẾT BỊ'!$B$1:$S$836,3,0),"")</f>
        <v/>
      </c>
      <c r="E675" s="464" t="str">
        <f>IFERROR(VLOOKUP(B675,'03. THIẾT BỊ'!$B$1:$S$836,4,0),"")</f>
        <v/>
      </c>
      <c r="F675" s="464" t="str">
        <f>IFERROR(VLOOKUP(B675,'03. THIẾT BỊ'!$B$1:$S$836,5,0),"")</f>
        <v/>
      </c>
      <c r="G675" s="80" t="s">
        <v>6423</v>
      </c>
      <c r="H675" s="463" t="str">
        <f>IFERROR(VLOOKUP(B675,'03. THIẾT BỊ'!$B$1:$S$836,7,0),"")</f>
        <v/>
      </c>
      <c r="I675" s="474" t="str">
        <f>IFERROR(VLOOKUP(B675,'03. THIẾT BỊ'!$B$1:$S$836,8,0),"")</f>
        <v/>
      </c>
      <c r="J675" s="471"/>
      <c r="K675" s="463" t="str">
        <f>IFERROR(VLOOKUP(B675,'03. THIẾT BỊ'!$B$1:$S$836,10,0),"")</f>
        <v/>
      </c>
      <c r="L675" s="468" t="str">
        <f>IFERROR(VLOOKUP(B675,'03. THIẾT BỊ'!$B$1:$S$836,11,0),"")</f>
        <v/>
      </c>
      <c r="M675" s="472" t="str">
        <f>IFERROR(VLOOKUP(B675,'03. THIẾT BỊ'!$B$1:$S$836,12,0),"")</f>
        <v/>
      </c>
      <c r="N675" s="468" t="str">
        <f>IFERROR(VLOOKUP(B675,'03. THIẾT BỊ'!$B$1:$S$836,13,0),"")</f>
        <v/>
      </c>
      <c r="O675" s="470" t="str">
        <f>IFERROR(VLOOKUP(B675,'03. THIẾT BỊ'!$B$1:$S$836,14,0),"")</f>
        <v/>
      </c>
      <c r="P675" s="468" t="str">
        <f>IFERROR(VLOOKUP(B675,'03. THIẾT BỊ'!$B$1:$S$836,15,0),"")</f>
        <v/>
      </c>
      <c r="Q675" s="48" t="str">
        <f>IFERROR(VLOOKUP(B675,'03. THIẾT BỊ'!$B$1:$S$836,16,0),"")</f>
        <v/>
      </c>
      <c r="R675" s="471" t="str">
        <f>IFERROR(VLOOKUP(B675,'03. THIẾT BỊ'!$B$1:$S$836,17,0),"")</f>
        <v/>
      </c>
      <c r="S675" s="468" t="str">
        <f>IFERROR(VLOOKUP(B675,'03. THIẾT BỊ'!$B$1:$S$836,18,0),"")</f>
        <v/>
      </c>
    </row>
    <row r="676" ht="15.0" customHeight="1">
      <c r="A676" s="455" t="s">
        <v>76</v>
      </c>
      <c r="B676" s="456" t="s">
        <v>8712</v>
      </c>
      <c r="C676" s="457">
        <f>COUNTA(B677:B685)</f>
        <v>8</v>
      </c>
      <c r="D676" s="458" t="str">
        <f>IFERROR(VLOOKUP(B676,'03. THIẾT BỊ'!$B$1:$S$836,3,0),"")</f>
        <v/>
      </c>
      <c r="E676" s="464" t="str">
        <f>IFERROR(VLOOKUP(B676,'03. THIẾT BỊ'!$B$1:$S$836,4,0),"")</f>
        <v/>
      </c>
      <c r="F676" s="458" t="str">
        <f>IFERROR(VLOOKUP(B676,'03. THIẾT BỊ'!$B$1:$S$836,5,0),"")</f>
        <v/>
      </c>
      <c r="G676" s="459" t="s">
        <v>6423</v>
      </c>
      <c r="H676" s="459" t="str">
        <f>IFERROR(VLOOKUP(B676,'03. THIẾT BỊ'!$B$1:$S$836,7,0),"")</f>
        <v/>
      </c>
      <c r="I676" s="457" t="str">
        <f>IFERROR(VLOOKUP(B676,'03. THIẾT BỊ'!$B$1:$S$836,8,0),"")</f>
        <v/>
      </c>
      <c r="J676" s="460"/>
      <c r="K676" s="457" t="str">
        <f>IFERROR(VLOOKUP(B676,'03. THIẾT BỊ'!$B$1:$S$836,10,0),"")</f>
        <v/>
      </c>
      <c r="L676" s="458" t="str">
        <f>IFERROR(VLOOKUP(B676,'03. THIẾT BỊ'!$B$1:$S$836,11,0),"")</f>
        <v/>
      </c>
      <c r="M676" s="461" t="str">
        <f>IFERROR(VLOOKUP(B676,'03. THIẾT BỊ'!$B$1:$S$836,12,0),"")</f>
        <v/>
      </c>
      <c r="N676" s="458" t="str">
        <f>IFERROR(VLOOKUP(B676,'03. THIẾT BỊ'!$B$1:$S$836,13,0),"")</f>
        <v/>
      </c>
      <c r="O676" s="461" t="str">
        <f>IFERROR(VLOOKUP(B676,'03. THIẾT BỊ'!$B$1:$S$836,14,0),"")</f>
        <v/>
      </c>
      <c r="P676" s="458" t="str">
        <f>IFERROR(VLOOKUP(B676,'03. THIẾT BỊ'!$B$1:$S$836,15,0),"")</f>
        <v/>
      </c>
      <c r="Q676" s="459" t="str">
        <f>IFERROR(VLOOKUP(B676,'03. THIẾT BỊ'!$B$1:$S$836,16,0),"")</f>
        <v/>
      </c>
      <c r="R676" s="458" t="str">
        <f>IFERROR(VLOOKUP(B676,'03. THIẾT BỊ'!$B$1:$S$836,17,0),"")</f>
        <v/>
      </c>
      <c r="S676" s="458" t="str">
        <f>IFERROR(VLOOKUP(B676,'03. THIẾT BỊ'!$B$1:$S$836,18,0),"")</f>
        <v/>
      </c>
      <c r="T676" s="866"/>
    </row>
    <row r="677" ht="15.0" customHeight="1">
      <c r="A677" s="463">
        <v>1.0</v>
      </c>
      <c r="B677" s="464" t="s">
        <v>4434</v>
      </c>
      <c r="C677" s="869" t="str">
        <f>IFERROR(VLOOKUP(B677,'03. THIẾT BỊ'!$B$1:$S$836,2,0),"")</f>
        <v/>
      </c>
      <c r="D677" s="470" t="str">
        <f>IFERROR(VLOOKUP(B677,'03. THIẾT BỊ'!$B$1:$S$836,3,0),"")</f>
        <v>A24-MCO-001</v>
      </c>
      <c r="E677" s="464" t="str">
        <f>IFERROR(VLOOKUP(B677,'03. THIẾT BỊ'!$B$1:$S$836,4,0),"")</f>
        <v>ĐQSD</v>
      </c>
      <c r="F677" s="464" t="str">
        <f>IFERROR(VLOOKUP(B677,'03. THIẾT BỊ'!$B$1:$S$836,5,0),"")</f>
        <v>Máy cuộn cỏ (gắn sau máy kéo)</v>
      </c>
      <c r="G677" s="80" t="s">
        <v>6423</v>
      </c>
      <c r="H677" s="463" t="str">
        <f>IFERROR(VLOOKUP(B677,'03. THIẾT BỊ'!$B$1:$S$836,7,0),"")</f>
        <v>XN Chuối LP1</v>
      </c>
      <c r="I677" s="474">
        <f>IFERROR(VLOOKUP(B677,'03. THIẾT BỊ'!$B$1:$S$836,8,0),"")</f>
        <v>45363</v>
      </c>
      <c r="J677" s="471"/>
      <c r="K677" s="463" t="str">
        <f>IFERROR(VLOOKUP(B677,'03. THIẾT BỊ'!$B$1:$S$836,10,0),"")</f>
        <v>Bình thường</v>
      </c>
      <c r="L677" s="468" t="str">
        <f>IFERROR(VLOOKUP(B677,'03. THIẾT BỊ'!$B$1:$S$836,11,0),"")</f>
        <v/>
      </c>
      <c r="M677" s="472" t="str">
        <f>IFERROR(VLOOKUP(B677,'03. THIẾT BỊ'!$B$1:$S$836,12,0),"")</f>
        <v/>
      </c>
      <c r="N677" s="468" t="str">
        <f>IFERROR(VLOOKUP(B677,'03. THIẾT BỊ'!$B$1:$S$836,13,0),"")</f>
        <v>TAMICO-S</v>
      </c>
      <c r="O677" s="470" t="str">
        <f>IFERROR(VLOOKUP(B677,'03. THIẾT BỊ'!$B$1:$S$836,14,0),"")</f>
        <v>YTAMI</v>
      </c>
      <c r="P677" s="468" t="str">
        <f>IFERROR(VLOOKUP(B677,'03. THIẾT BỊ'!$B$1:$S$836,15,0),"")</f>
        <v>TRUNG QUỐC</v>
      </c>
      <c r="Q677" s="48">
        <f>IFERROR(VLOOKUP(B677,'03. THIẾT BỊ'!$B$1:$S$836,16,0),"")</f>
        <v>2023</v>
      </c>
      <c r="R677" s="471" t="str">
        <f>IFERROR(VLOOKUP(B677,'03. THIẾT BỊ'!$B$1:$S$836,17,0),"")</f>
        <v/>
      </c>
      <c r="S677" s="468" t="str">
        <f>IFERROR(VLOOKUP(B677,'03. THIẾT BỊ'!$B$1:$S$836,18,0),"")</f>
        <v/>
      </c>
      <c r="T677" s="812"/>
    </row>
    <row r="678" ht="15.0" customHeight="1">
      <c r="A678" s="463">
        <f t="shared" ref="A678:A684" si="33">A677+1</f>
        <v>2</v>
      </c>
      <c r="B678" s="584" t="s">
        <v>4899</v>
      </c>
      <c r="C678" s="869" t="str">
        <f>IFERROR(VLOOKUP(B678,'03. THIẾT BỊ'!$B$1:$S$836,2,0),"")</f>
        <v/>
      </c>
      <c r="D678" s="470" t="str">
        <f>IFERROR(VLOOKUP(B678,'03. THIẾT BỊ'!$B$1:$S$836,3,0),"")</f>
        <v>A22-CT-0194</v>
      </c>
      <c r="E678" s="464" t="str">
        <f>IFERROR(VLOOKUP(B678,'03. THIẾT BỊ'!$B$1:$S$836,4,0),"")</f>
        <v>ĐQSD</v>
      </c>
      <c r="F678" s="464" t="str">
        <f>IFERROR(VLOOKUP(B678,'03. THIẾT BỊ'!$B$1:$S$836,5,0),"")</f>
        <v>Máy cuộn cỏ (gắn sau máy kéo)</v>
      </c>
      <c r="G678" s="80" t="s">
        <v>6423</v>
      </c>
      <c r="H678" s="463" t="str">
        <f>IFERROR(VLOOKUP(B678,'03. THIẾT BỊ'!$B$1:$S$836,7,0),"")</f>
        <v>Xoài AD</v>
      </c>
      <c r="I678" s="474" t="str">
        <f>IFERROR(VLOOKUP(B678,'03. THIẾT BỊ'!$B$1:$S$836,8,0),"")</f>
        <v>28/02/2024</v>
      </c>
      <c r="J678" s="471"/>
      <c r="K678" s="463" t="str">
        <f>IFERROR(VLOOKUP(B678,'03. THIẾT BỊ'!$B$1:$S$836,10,0),"")</f>
        <v>Bình thường</v>
      </c>
      <c r="L678" s="468" t="str">
        <f>IFERROR(VLOOKUP(B678,'03. THIẾT BỊ'!$B$1:$S$836,11,0),"")</f>
        <v/>
      </c>
      <c r="M678" s="472" t="str">
        <f>IFERROR(VLOOKUP(B678,'03. THIẾT BỊ'!$B$1:$S$836,12,0),"")</f>
        <v/>
      </c>
      <c r="N678" s="468" t="str">
        <f>IFERROR(VLOOKUP(B678,'03. THIẾT BỊ'!$B$1:$S$836,13,0),"")</f>
        <v>TAMICO-S</v>
      </c>
      <c r="O678" s="470" t="str">
        <f>IFERROR(VLOOKUP(B678,'03. THIẾT BỊ'!$B$1:$S$836,14,0),"")</f>
        <v>YTAMI</v>
      </c>
      <c r="P678" s="468" t="str">
        <f>IFERROR(VLOOKUP(B678,'03. THIẾT BỊ'!$B$1:$S$836,15,0),"")</f>
        <v>VIỆT NAM</v>
      </c>
      <c r="Q678" s="48">
        <f>IFERROR(VLOOKUP(B678,'03. THIẾT BỊ'!$B$1:$S$836,16,0),"")</f>
        <v>2024</v>
      </c>
      <c r="R678" s="471" t="str">
        <f>IFERROR(VLOOKUP(B678,'03. THIẾT BỊ'!$B$1:$S$836,17,0),"")</f>
        <v>20-50HP</v>
      </c>
      <c r="S678" s="468">
        <f>IFERROR(VLOOKUP(B678,'03. THIẾT BỊ'!$B$1:$S$836,18,0),"")</f>
        <v>14290</v>
      </c>
      <c r="T678" s="1493"/>
    </row>
    <row r="679" ht="15.0" customHeight="1">
      <c r="A679" s="463">
        <f t="shared" si="33"/>
        <v>3</v>
      </c>
      <c r="B679" s="584" t="s">
        <v>4902</v>
      </c>
      <c r="C679" s="869" t="str">
        <f>IFERROR(VLOOKUP(B679,'03. THIẾT BỊ'!$B$1:$S$836,2,0),"")</f>
        <v/>
      </c>
      <c r="D679" s="470" t="str">
        <f>IFERROR(VLOOKUP(B679,'03. THIẾT BỊ'!$B$1:$S$836,3,0),"")</f>
        <v>A22-CT-0194</v>
      </c>
      <c r="E679" s="464" t="str">
        <f>IFERROR(VLOOKUP(B679,'03. THIẾT BỊ'!$B$1:$S$836,4,0),"")</f>
        <v>ĐQSD</v>
      </c>
      <c r="F679" s="464" t="str">
        <f>IFERROR(VLOOKUP(B679,'03. THIẾT BỊ'!$B$1:$S$836,5,0),"")</f>
        <v>Máy cuộn cỏ (gắn sau máy kéo)</v>
      </c>
      <c r="G679" s="80" t="s">
        <v>6423</v>
      </c>
      <c r="H679" s="463" t="str">
        <f>IFERROR(VLOOKUP(B679,'03. THIẾT BỊ'!$B$1:$S$836,7,0),"")</f>
        <v>Xoài AD</v>
      </c>
      <c r="I679" s="474">
        <f>IFERROR(VLOOKUP(B679,'03. THIẾT BỊ'!$B$1:$S$836,8,0),"")</f>
        <v>45572</v>
      </c>
      <c r="J679" s="471"/>
      <c r="K679" s="463" t="str">
        <f>IFERROR(VLOOKUP(B679,'03. THIẾT BỊ'!$B$1:$S$836,10,0),"")</f>
        <v>Bình thường</v>
      </c>
      <c r="L679" s="468" t="str">
        <f>IFERROR(VLOOKUP(B679,'03. THIẾT BỊ'!$B$1:$S$836,11,0),"")</f>
        <v/>
      </c>
      <c r="M679" s="472" t="str">
        <f>IFERROR(VLOOKUP(B679,'03. THIẾT BỊ'!$B$1:$S$836,12,0),"")</f>
        <v/>
      </c>
      <c r="N679" s="468" t="str">
        <f>IFERROR(VLOOKUP(B679,'03. THIẾT BỊ'!$B$1:$S$836,13,0),"")</f>
        <v>TAMICO-S</v>
      </c>
      <c r="O679" s="470" t="str">
        <f>IFERROR(VLOOKUP(B679,'03. THIẾT BỊ'!$B$1:$S$836,14,0),"")</f>
        <v>YTAMI</v>
      </c>
      <c r="P679" s="468" t="str">
        <f>IFERROR(VLOOKUP(B679,'03. THIẾT BỊ'!$B$1:$S$836,15,0),"")</f>
        <v>VIỆT NAM</v>
      </c>
      <c r="Q679" s="48">
        <f>IFERROR(VLOOKUP(B679,'03. THIẾT BỊ'!$B$1:$S$836,16,0),"")</f>
        <v>2024</v>
      </c>
      <c r="R679" s="471" t="str">
        <f>IFERROR(VLOOKUP(B679,'03. THIẾT BỊ'!$B$1:$S$836,17,0),"")</f>
        <v>20-50HP</v>
      </c>
      <c r="S679" s="468">
        <f>IFERROR(VLOOKUP(B679,'03. THIẾT BỊ'!$B$1:$S$836,18,0),"")</f>
        <v>630745</v>
      </c>
      <c r="T679" s="1493"/>
    </row>
    <row r="680" ht="15.0" customHeight="1">
      <c r="A680" s="463">
        <f t="shared" si="33"/>
        <v>4</v>
      </c>
      <c r="B680" s="467" t="s">
        <v>5255</v>
      </c>
      <c r="C680" s="869" t="str">
        <f>IFERROR(VLOOKUP(B680,'03. THIẾT BỊ'!$B$1:$S$836,2,0),"")</f>
        <v/>
      </c>
      <c r="D680" s="470" t="str">
        <f>IFERROR(VLOOKUP(B680,'03. THIẾT BỊ'!$B$1:$S$836,3,0),"")</f>
        <v>ATM-A22-0128</v>
      </c>
      <c r="E680" s="464" t="str">
        <f>IFERROR(VLOOKUP(B680,'03. THIẾT BỊ'!$B$1:$S$836,4,0),"")</f>
        <v>ĐQSD</v>
      </c>
      <c r="F680" s="464" t="str">
        <f>IFERROR(VLOOKUP(B680,'03. THIẾT BỊ'!$B$1:$S$836,5,0),"")</f>
        <v>Máy cuộn cỏ (gắn sau máy kéo)</v>
      </c>
      <c r="G680" s="80" t="s">
        <v>6423</v>
      </c>
      <c r="H680" s="463" t="str">
        <f>IFERROR(VLOOKUP(B680,'03. THIẾT BỊ'!$B$1:$S$836,7,0),"")</f>
        <v>XN Bò AD</v>
      </c>
      <c r="I680" s="474">
        <f>IFERROR(VLOOKUP(B680,'03. THIẾT BỊ'!$B$1:$S$836,8,0),"")</f>
        <v>45413</v>
      </c>
      <c r="J680" s="471"/>
      <c r="K680" s="463" t="str">
        <f>IFERROR(VLOOKUP(B680,'03. THIẾT BỊ'!$B$1:$S$836,10,0),"")</f>
        <v>Bình thường</v>
      </c>
      <c r="L680" s="468" t="str">
        <f>IFERROR(VLOOKUP(B680,'03. THIẾT BỊ'!$B$1:$S$836,11,0),"")</f>
        <v/>
      </c>
      <c r="M680" s="472" t="str">
        <f>IFERROR(VLOOKUP(B680,'03. THIẾT BỊ'!$B$1:$S$836,12,0),"")</f>
        <v>Đầu tư mới</v>
      </c>
      <c r="N680" s="468" t="str">
        <f>IFERROR(VLOOKUP(B680,'03. THIẾT BỊ'!$B$1:$S$836,13,0),"")</f>
        <v>TAMICO-S</v>
      </c>
      <c r="O680" s="470" t="str">
        <f>IFERROR(VLOOKUP(B680,'03. THIẾT BỊ'!$B$1:$S$836,14,0),"")</f>
        <v>YTAMI</v>
      </c>
      <c r="P680" s="468" t="str">
        <f>IFERROR(VLOOKUP(B680,'03. THIẾT BỊ'!$B$1:$S$836,15,0),"")</f>
        <v>TRUNG QUỐC</v>
      </c>
      <c r="Q680" s="48">
        <f>IFERROR(VLOOKUP(B680,'03. THIẾT BỊ'!$B$1:$S$836,16,0),"")</f>
        <v>2023</v>
      </c>
      <c r="R680" s="471" t="str">
        <f>IFERROR(VLOOKUP(B680,'03. THIẾT BỊ'!$B$1:$S$836,17,0),"")</f>
        <v>- Công suất: 20-50HP
- YTAMI_0870</v>
      </c>
      <c r="S680" s="468" t="str">
        <f>IFERROR(VLOOKUP(B680,'03. THIẾT BỊ'!$B$1:$S$836,18,0),"")</f>
        <v>YTAMI-MRB0870-03/CB-14290</v>
      </c>
      <c r="T680" s="807"/>
    </row>
    <row r="681" ht="15.0" customHeight="1">
      <c r="A681" s="463">
        <f t="shared" si="33"/>
        <v>5</v>
      </c>
      <c r="B681" s="467" t="s">
        <v>5260</v>
      </c>
      <c r="C681" s="869" t="str">
        <f>IFERROR(VLOOKUP(B681,'03. THIẾT BỊ'!$B$1:$S$836,2,0),"")</f>
        <v/>
      </c>
      <c r="D681" s="470" t="str">
        <f>IFERROR(VLOOKUP(B681,'03. THIẾT BỊ'!$B$1:$S$836,3,0),"")</f>
        <v>A22-MCO-002</v>
      </c>
      <c r="E681" s="464" t="str">
        <f>IFERROR(VLOOKUP(B681,'03. THIẾT BỊ'!$B$1:$S$836,4,0),"")</f>
        <v>ĐQSD</v>
      </c>
      <c r="F681" s="464" t="str">
        <f>IFERROR(VLOOKUP(B681,'03. THIẾT BỊ'!$B$1:$S$836,5,0),"")</f>
        <v>Máy cuộn cỏ (gắn sau máy kéo)</v>
      </c>
      <c r="G681" s="80" t="s">
        <v>6423</v>
      </c>
      <c r="H681" s="463" t="str">
        <f>IFERROR(VLOOKUP(B681,'03. THIẾT BỊ'!$B$1:$S$836,7,0),"")</f>
        <v>XN Bò AD</v>
      </c>
      <c r="I681" s="474" t="str">
        <f>IFERROR(VLOOKUP(B681,'03. THIẾT BỊ'!$B$1:$S$836,8,0),"")</f>
        <v>16/07/2024</v>
      </c>
      <c r="J681" s="471"/>
      <c r="K681" s="463" t="str">
        <f>IFERROR(VLOOKUP(B681,'03. THIẾT BỊ'!$B$1:$S$836,10,0),"")</f>
        <v>Bình thường</v>
      </c>
      <c r="L681" s="468" t="str">
        <f>IFERROR(VLOOKUP(B681,'03. THIẾT BỊ'!$B$1:$S$836,11,0),"")</f>
        <v/>
      </c>
      <c r="M681" s="472" t="str">
        <f>IFERROR(VLOOKUP(B681,'03. THIẾT BỊ'!$B$1:$S$836,12,0),"")</f>
        <v>Đầu tư mới</v>
      </c>
      <c r="N681" s="468" t="str">
        <f>IFERROR(VLOOKUP(B681,'03. THIẾT BỊ'!$B$1:$S$836,13,0),"")</f>
        <v>TAMICO-S</v>
      </c>
      <c r="O681" s="470" t="str">
        <f>IFERROR(VLOOKUP(B681,'03. THIẾT BỊ'!$B$1:$S$836,14,0),"")</f>
        <v>YTAMI</v>
      </c>
      <c r="P681" s="468" t="str">
        <f>IFERROR(VLOOKUP(B681,'03. THIẾT BỊ'!$B$1:$S$836,15,0),"")</f>
        <v>TRUNG QUỐC</v>
      </c>
      <c r="Q681" s="48">
        <f>IFERROR(VLOOKUP(B681,'03. THIẾT BỊ'!$B$1:$S$836,16,0),"")</f>
        <v>2023</v>
      </c>
      <c r="R681" s="471" t="str">
        <f>IFERROR(VLOOKUP(B681,'03. THIẾT BỊ'!$B$1:$S$836,17,0),"")</f>
        <v>- Công suất: 20-50HP
- YTAMI_0870</v>
      </c>
      <c r="S681" s="468">
        <f>IFERROR(VLOOKUP(B681,'03. THIẾT BỊ'!$B$1:$S$836,18,0),"")</f>
        <v>631513</v>
      </c>
      <c r="T681" s="807"/>
    </row>
    <row r="682" ht="15.0" customHeight="1">
      <c r="A682" s="463">
        <f t="shared" si="33"/>
        <v>6</v>
      </c>
      <c r="B682" s="467" t="s">
        <v>5262</v>
      </c>
      <c r="C682" s="869" t="str">
        <f>IFERROR(VLOOKUP(B682,'03. THIẾT BỊ'!$B$1:$S$836,2,0),"")</f>
        <v/>
      </c>
      <c r="D682" s="470" t="str">
        <f>IFERROR(VLOOKUP(B682,'03. THIẾT BỊ'!$B$1:$S$836,3,0),"")</f>
        <v>A22-MCO-003</v>
      </c>
      <c r="E682" s="464" t="str">
        <f>IFERROR(VLOOKUP(B682,'03. THIẾT BỊ'!$B$1:$S$836,4,0),"")</f>
        <v>ĐQSD</v>
      </c>
      <c r="F682" s="464" t="str">
        <f>IFERROR(VLOOKUP(B682,'03. THIẾT BỊ'!$B$1:$S$836,5,0),"")</f>
        <v>Máy cuộn cỏ (gắn sau máy kéo)</v>
      </c>
      <c r="G682" s="80" t="s">
        <v>6423</v>
      </c>
      <c r="H682" s="463" t="str">
        <f>IFERROR(VLOOKUP(B682,'03. THIẾT BỊ'!$B$1:$S$836,7,0),"")</f>
        <v>XN Bò AD</v>
      </c>
      <c r="I682" s="474" t="str">
        <f>IFERROR(VLOOKUP(B682,'03. THIẾT BỊ'!$B$1:$S$836,8,0),"")</f>
        <v>29/07/2024</v>
      </c>
      <c r="J682" s="471"/>
      <c r="K682" s="463" t="str">
        <f>IFERROR(VLOOKUP(B682,'03. THIẾT BỊ'!$B$1:$S$836,10,0),"")</f>
        <v>Hư hỏng</v>
      </c>
      <c r="L682" s="468" t="str">
        <f>IFERROR(VLOOKUP(B682,'03. THIẾT BỊ'!$B$1:$S$836,11,0),"")</f>
        <v/>
      </c>
      <c r="M682" s="472" t="str">
        <f>IFERROR(VLOOKUP(B682,'03. THIẾT BỊ'!$B$1:$S$836,12,0),"")</f>
        <v>Đầu tư mới</v>
      </c>
      <c r="N682" s="468" t="str">
        <f>IFERROR(VLOOKUP(B682,'03. THIẾT BỊ'!$B$1:$S$836,13,0),"")</f>
        <v>TAMICO-S</v>
      </c>
      <c r="O682" s="470" t="str">
        <f>IFERROR(VLOOKUP(B682,'03. THIẾT BỊ'!$B$1:$S$836,14,0),"")</f>
        <v>YTAMI</v>
      </c>
      <c r="P682" s="468" t="str">
        <f>IFERROR(VLOOKUP(B682,'03. THIẾT BỊ'!$B$1:$S$836,15,0),"")</f>
        <v>TRUNG QUỐC</v>
      </c>
      <c r="Q682" s="48">
        <f>IFERROR(VLOOKUP(B682,'03. THIẾT BỊ'!$B$1:$S$836,16,0),"")</f>
        <v>2023</v>
      </c>
      <c r="R682" s="471" t="str">
        <f>IFERROR(VLOOKUP(B682,'03. THIẾT BỊ'!$B$1:$S$836,17,0),"")</f>
        <v>- Công suất: 20-50HP
- YTAMI_0870</v>
      </c>
      <c r="S682" s="468">
        <f>IFERROR(VLOOKUP(B682,'03. THIẾT BỊ'!$B$1:$S$836,18,0),"")</f>
        <v>631514</v>
      </c>
      <c r="T682" s="807"/>
    </row>
    <row r="683" ht="15.0" customHeight="1">
      <c r="A683" s="463">
        <f t="shared" si="33"/>
        <v>7</v>
      </c>
      <c r="B683" s="467" t="s">
        <v>5264</v>
      </c>
      <c r="C683" s="869" t="str">
        <f>IFERROR(VLOOKUP(B683,'03. THIẾT BỊ'!$B$1:$S$836,2,0),"")</f>
        <v/>
      </c>
      <c r="D683" s="470" t="str">
        <f>IFERROR(VLOOKUP(B683,'03. THIẾT BỊ'!$B$1:$S$836,3,0),"")</f>
        <v>A22-MCO-004</v>
      </c>
      <c r="E683" s="464" t="str">
        <f>IFERROR(VLOOKUP(B683,'03. THIẾT BỊ'!$B$1:$S$836,4,0),"")</f>
        <v>ĐQSD</v>
      </c>
      <c r="F683" s="464" t="str">
        <f>IFERROR(VLOOKUP(B683,'03. THIẾT BỊ'!$B$1:$S$836,5,0),"")</f>
        <v>Máy cuộn cỏ (gắn sau máy kéo)</v>
      </c>
      <c r="G683" s="80" t="s">
        <v>6423</v>
      </c>
      <c r="H683" s="463" t="str">
        <f>IFERROR(VLOOKUP(B683,'03. THIẾT BỊ'!$B$1:$S$836,7,0),"")</f>
        <v>XN Bò AD</v>
      </c>
      <c r="I683" s="474" t="str">
        <f>IFERROR(VLOOKUP(B683,'03. THIẾT BỊ'!$B$1:$S$836,8,0),"")</f>
        <v>28/08/2024</v>
      </c>
      <c r="J683" s="471"/>
      <c r="K683" s="463" t="str">
        <f>IFERROR(VLOOKUP(B683,'03. THIẾT BỊ'!$B$1:$S$836,10,0),"")</f>
        <v>Bình thường</v>
      </c>
      <c r="L683" s="468" t="str">
        <f>IFERROR(VLOOKUP(B683,'03. THIẾT BỊ'!$B$1:$S$836,11,0),"")</f>
        <v/>
      </c>
      <c r="M683" s="472" t="str">
        <f>IFERROR(VLOOKUP(B683,'03. THIẾT BỊ'!$B$1:$S$836,12,0),"")</f>
        <v>Đầu tư mới</v>
      </c>
      <c r="N683" s="468" t="str">
        <f>IFERROR(VLOOKUP(B683,'03. THIẾT BỊ'!$B$1:$S$836,13,0),"")</f>
        <v>TAMICO-S</v>
      </c>
      <c r="O683" s="470" t="str">
        <f>IFERROR(VLOOKUP(B683,'03. THIẾT BỊ'!$B$1:$S$836,14,0),"")</f>
        <v>YTAMI</v>
      </c>
      <c r="P683" s="468" t="str">
        <f>IFERROR(VLOOKUP(B683,'03. THIẾT BỊ'!$B$1:$S$836,15,0),"")</f>
        <v>TRUNG QUỐC</v>
      </c>
      <c r="Q683" s="48">
        <f>IFERROR(VLOOKUP(B683,'03. THIẾT BỊ'!$B$1:$S$836,16,0),"")</f>
        <v>2024</v>
      </c>
      <c r="R683" s="471" t="str">
        <f>IFERROR(VLOOKUP(B683,'03. THIẾT BỊ'!$B$1:$S$836,17,0),"")</f>
        <v>- Công suất: 20-50HP
- YTAMI_0870</v>
      </c>
      <c r="S683" s="468">
        <f>IFERROR(VLOOKUP(B683,'03. THIẾT BỊ'!$B$1:$S$836,18,0),"")</f>
        <v>631512</v>
      </c>
      <c r="T683" s="1496"/>
    </row>
    <row r="684" ht="15.0" customHeight="1">
      <c r="A684" s="463">
        <f t="shared" si="33"/>
        <v>8</v>
      </c>
      <c r="B684" s="467" t="s">
        <v>5267</v>
      </c>
      <c r="C684" s="869" t="str">
        <f>IFERROR(VLOOKUP(B684,'03. THIẾT BỊ'!$B$1:$S$836,2,0),"")</f>
        <v>XXA-MCO-003</v>
      </c>
      <c r="D684" s="470" t="str">
        <f>IFERROR(VLOOKUP(B684,'03. THIẾT BỊ'!$B$1:$S$836,3,0),"")</f>
        <v>A22-CT-0194</v>
      </c>
      <c r="E684" s="464" t="str">
        <f>IFERROR(VLOOKUP(B684,'03. THIẾT BỊ'!$B$1:$S$836,4,0),"")</f>
        <v>ĐQSD</v>
      </c>
      <c r="F684" s="464" t="str">
        <f>IFERROR(VLOOKUP(B684,'03. THIẾT BỊ'!$B$1:$S$836,5,0),"")</f>
        <v>Máy cuộn cỏ (gắn sau máy kéo)</v>
      </c>
      <c r="G684" s="80" t="s">
        <v>6423</v>
      </c>
      <c r="H684" s="463" t="str">
        <f>IFERROR(VLOOKUP(B684,'03. THIẾT BỊ'!$B$1:$S$836,7,0),"")</f>
        <v>XN Bò AD</v>
      </c>
      <c r="I684" s="474" t="str">
        <f>IFERROR(VLOOKUP(B684,'03. THIẾT BỊ'!$B$1:$S$836,8,0),"")</f>
        <v>21/12/2024</v>
      </c>
      <c r="J684" s="471"/>
      <c r="K684" s="463" t="str">
        <f>IFERROR(VLOOKUP(B684,'03. THIẾT BỊ'!$B$1:$S$836,10,0),"")</f>
        <v>Hư hỏng</v>
      </c>
      <c r="L684" s="468" t="str">
        <f>IFERROR(VLOOKUP(B684,'03. THIẾT BỊ'!$B$1:$S$836,11,0),"")</f>
        <v>XN Xoài AD đ.chuyen 21/12/2024</v>
      </c>
      <c r="M684" s="472" t="str">
        <f>IFERROR(VLOOKUP(B684,'03. THIẾT BỊ'!$B$1:$S$836,12,0),"")</f>
        <v>Đã qua SD</v>
      </c>
      <c r="N684" s="468" t="str">
        <f>IFERROR(VLOOKUP(B684,'03. THIẾT BỊ'!$B$1:$S$836,13,0),"")</f>
        <v>TAMICO-S</v>
      </c>
      <c r="O684" s="470" t="str">
        <f>IFERROR(VLOOKUP(B684,'03. THIẾT BỊ'!$B$1:$S$836,14,0),"")</f>
        <v>YTAMI</v>
      </c>
      <c r="P684" s="468" t="str">
        <f>IFERROR(VLOOKUP(B684,'03. THIẾT BỊ'!$B$1:$S$836,15,0),"")</f>
        <v>VIỆT NAM</v>
      </c>
      <c r="Q684" s="48">
        <f>IFERROR(VLOOKUP(B684,'03. THIẾT BỊ'!$B$1:$S$836,16,0),"")</f>
        <v>2024</v>
      </c>
      <c r="R684" s="471" t="str">
        <f>IFERROR(VLOOKUP(B684,'03. THIẾT BỊ'!$B$1:$S$836,17,0),"")</f>
        <v>20-50HP</v>
      </c>
      <c r="S684" s="468">
        <f>IFERROR(VLOOKUP(B684,'03. THIẾT BỊ'!$B$1:$S$836,18,0),"")</f>
        <v>631511</v>
      </c>
      <c r="T684" s="1493"/>
    </row>
    <row r="685">
      <c r="C685" s="869" t="str">
        <f>IFERROR(VLOOKUP(B685,'03. THIẾT BỊ'!$B$1:$S$836,2,0),"")</f>
        <v/>
      </c>
      <c r="D685" s="470" t="str">
        <f>IFERROR(VLOOKUP(B685,'03. THIẾT BỊ'!$B$1:$S$836,3,0),"")</f>
        <v/>
      </c>
      <c r="E685" s="464" t="str">
        <f>IFERROR(VLOOKUP(B685,'03. THIẾT BỊ'!$B$1:$S$836,4,0),"")</f>
        <v/>
      </c>
      <c r="F685" s="464" t="str">
        <f>IFERROR(VLOOKUP(B685,'03. THIẾT BỊ'!$B$1:$S$836,5,0),"")</f>
        <v/>
      </c>
      <c r="G685" s="80" t="s">
        <v>6423</v>
      </c>
      <c r="H685" s="463" t="str">
        <f>IFERROR(VLOOKUP(B685,'03. THIẾT BỊ'!$B$1:$S$836,7,0),"")</f>
        <v/>
      </c>
      <c r="I685" s="474" t="str">
        <f>IFERROR(VLOOKUP(B685,'03. THIẾT BỊ'!$B$1:$S$836,8,0),"")</f>
        <v/>
      </c>
      <c r="J685" s="471"/>
      <c r="K685" s="463" t="str">
        <f>IFERROR(VLOOKUP(B685,'03. THIẾT BỊ'!$B$1:$S$836,10,0),"")</f>
        <v/>
      </c>
      <c r="L685" s="468" t="str">
        <f>IFERROR(VLOOKUP(B685,'03. THIẾT BỊ'!$B$1:$S$836,11,0),"")</f>
        <v/>
      </c>
      <c r="M685" s="472" t="str">
        <f>IFERROR(VLOOKUP(B685,'03. THIẾT BỊ'!$B$1:$S$836,12,0),"")</f>
        <v/>
      </c>
      <c r="N685" s="468" t="str">
        <f>IFERROR(VLOOKUP(B685,'03. THIẾT BỊ'!$B$1:$S$836,13,0),"")</f>
        <v/>
      </c>
      <c r="O685" s="470" t="str">
        <f>IFERROR(VLOOKUP(B685,'03. THIẾT BỊ'!$B$1:$S$836,14,0),"")</f>
        <v/>
      </c>
      <c r="P685" s="468" t="str">
        <f>IFERROR(VLOOKUP(B685,'03. THIẾT BỊ'!$B$1:$S$836,15,0),"")</f>
        <v/>
      </c>
      <c r="Q685" s="48" t="str">
        <f>IFERROR(VLOOKUP(B685,'03. THIẾT BỊ'!$B$1:$S$836,16,0),"")</f>
        <v/>
      </c>
      <c r="R685" s="471" t="str">
        <f>IFERROR(VLOOKUP(B685,'03. THIẾT BỊ'!$B$1:$S$836,17,0),"")</f>
        <v/>
      </c>
      <c r="S685" s="468" t="str">
        <f>IFERROR(VLOOKUP(B685,'03. THIẾT BỊ'!$B$1:$S$836,18,0),"")</f>
        <v/>
      </c>
    </row>
    <row r="686" hidden="1">
      <c r="C686" s="869" t="str">
        <f>IFERROR(VLOOKUP(B686,'03. THIẾT BỊ'!$B$1:$S$836,2,0),"")</f>
        <v/>
      </c>
      <c r="D686" s="470" t="str">
        <f>IFERROR(VLOOKUP(B686,'03. THIẾT BỊ'!$B$1:$S$836,3,0),"")</f>
        <v/>
      </c>
      <c r="E686" s="464" t="str">
        <f>IFERROR(VLOOKUP(B686,'03. THIẾT BỊ'!$B$1:$S$836,4,0),"")</f>
        <v/>
      </c>
      <c r="F686" s="464" t="str">
        <f>IFERROR(VLOOKUP(B686,'03. THIẾT BỊ'!$B$1:$S$836,5,0),"")</f>
        <v/>
      </c>
      <c r="G686" s="80" t="s">
        <v>6423</v>
      </c>
      <c r="H686" s="463" t="str">
        <f>IFERROR(VLOOKUP(B686,'03. THIẾT BỊ'!$B$1:$S$836,7,0),"")</f>
        <v/>
      </c>
      <c r="I686" s="474" t="str">
        <f>IFERROR(VLOOKUP(B686,'03. THIẾT BỊ'!$B$1:$S$836,8,0),"")</f>
        <v/>
      </c>
      <c r="J686" s="471"/>
      <c r="K686" s="463" t="str">
        <f>IFERROR(VLOOKUP(B686,'03. THIẾT BỊ'!$B$1:$S$836,10,0),"")</f>
        <v/>
      </c>
      <c r="L686" s="468" t="str">
        <f>IFERROR(VLOOKUP(B686,'03. THIẾT BỊ'!$B$1:$S$836,11,0),"")</f>
        <v/>
      </c>
      <c r="M686" s="472" t="str">
        <f>IFERROR(VLOOKUP(B686,'03. THIẾT BỊ'!$B$1:$S$836,12,0),"")</f>
        <v/>
      </c>
      <c r="N686" s="468" t="str">
        <f>IFERROR(VLOOKUP(B686,'03. THIẾT BỊ'!$B$1:$S$836,13,0),"")</f>
        <v/>
      </c>
      <c r="O686" s="470" t="str">
        <f>IFERROR(VLOOKUP(B686,'03. THIẾT BỊ'!$B$1:$S$836,14,0),"")</f>
        <v/>
      </c>
      <c r="P686" s="468" t="str">
        <f>IFERROR(VLOOKUP(B686,'03. THIẾT BỊ'!$B$1:$S$836,15,0),"")</f>
        <v/>
      </c>
      <c r="Q686" s="48" t="str">
        <f>IFERROR(VLOOKUP(B686,'03. THIẾT BỊ'!$B$1:$S$836,16,0),"")</f>
        <v/>
      </c>
      <c r="R686" s="471" t="str">
        <f>IFERROR(VLOOKUP(B686,'03. THIẾT BỊ'!$B$1:$S$836,17,0),"")</f>
        <v/>
      </c>
      <c r="S686" s="468" t="str">
        <f>IFERROR(VLOOKUP(B686,'03. THIẾT BỊ'!$B$1:$S$836,18,0),"")</f>
        <v/>
      </c>
    </row>
    <row r="687" hidden="1">
      <c r="C687" s="869" t="str">
        <f>IFERROR(VLOOKUP(B687,'03. THIẾT BỊ'!$B$1:$S$836,2,0),"")</f>
        <v/>
      </c>
      <c r="D687" s="470" t="str">
        <f>IFERROR(VLOOKUP(B687,'03. THIẾT BỊ'!$B$1:$S$836,3,0),"")</f>
        <v/>
      </c>
      <c r="E687" s="464" t="str">
        <f>IFERROR(VLOOKUP(B687,'03. THIẾT BỊ'!$B$1:$S$836,4,0),"")</f>
        <v/>
      </c>
      <c r="F687" s="464" t="str">
        <f>IFERROR(VLOOKUP(B687,'03. THIẾT BỊ'!$B$1:$S$836,5,0),"")</f>
        <v/>
      </c>
      <c r="G687" s="80" t="s">
        <v>6423</v>
      </c>
      <c r="H687" s="463" t="str">
        <f>IFERROR(VLOOKUP(B687,'03. THIẾT BỊ'!$B$1:$S$836,7,0),"")</f>
        <v/>
      </c>
      <c r="I687" s="474" t="str">
        <f>IFERROR(VLOOKUP(B687,'03. THIẾT BỊ'!$B$1:$S$836,8,0),"")</f>
        <v/>
      </c>
      <c r="J687" s="471"/>
      <c r="K687" s="463" t="str">
        <f>IFERROR(VLOOKUP(B687,'03. THIẾT BỊ'!$B$1:$S$836,10,0),"")</f>
        <v/>
      </c>
      <c r="L687" s="468" t="str">
        <f>IFERROR(VLOOKUP(B687,'03. THIẾT BỊ'!$B$1:$S$836,11,0),"")</f>
        <v/>
      </c>
      <c r="M687" s="472" t="str">
        <f>IFERROR(VLOOKUP(B687,'03. THIẾT BỊ'!$B$1:$S$836,12,0),"")</f>
        <v/>
      </c>
      <c r="N687" s="468" t="str">
        <f>IFERROR(VLOOKUP(B687,'03. THIẾT BỊ'!$B$1:$S$836,13,0),"")</f>
        <v/>
      </c>
      <c r="O687" s="470" t="str">
        <f>IFERROR(VLOOKUP(B687,'03. THIẾT BỊ'!$B$1:$S$836,14,0),"")</f>
        <v/>
      </c>
      <c r="P687" s="468" t="str">
        <f>IFERROR(VLOOKUP(B687,'03. THIẾT BỊ'!$B$1:$S$836,15,0),"")</f>
        <v/>
      </c>
      <c r="Q687" s="48" t="str">
        <f>IFERROR(VLOOKUP(B687,'03. THIẾT BỊ'!$B$1:$S$836,16,0),"")</f>
        <v/>
      </c>
      <c r="R687" s="471" t="str">
        <f>IFERROR(VLOOKUP(B687,'03. THIẾT BỊ'!$B$1:$S$836,17,0),"")</f>
        <v/>
      </c>
      <c r="S687" s="468" t="str">
        <f>IFERROR(VLOOKUP(B687,'03. THIẾT BỊ'!$B$1:$S$836,18,0),"")</f>
        <v/>
      </c>
    </row>
    <row r="688" hidden="1">
      <c r="C688" s="869" t="str">
        <f>IFERROR(VLOOKUP(B688,'03. THIẾT BỊ'!$B$1:$S$836,2,0),"")</f>
        <v/>
      </c>
      <c r="D688" s="470" t="str">
        <f>IFERROR(VLOOKUP(B688,'03. THIẾT BỊ'!$B$1:$S$836,3,0),"")</f>
        <v/>
      </c>
      <c r="E688" s="464" t="str">
        <f>IFERROR(VLOOKUP(B688,'03. THIẾT BỊ'!$B$1:$S$836,4,0),"")</f>
        <v/>
      </c>
      <c r="F688" s="464" t="str">
        <f>IFERROR(VLOOKUP(B688,'03. THIẾT BỊ'!$B$1:$S$836,5,0),"")</f>
        <v/>
      </c>
      <c r="G688" s="80" t="s">
        <v>6423</v>
      </c>
      <c r="H688" s="463" t="str">
        <f>IFERROR(VLOOKUP(B688,'03. THIẾT BỊ'!$B$1:$S$836,7,0),"")</f>
        <v/>
      </c>
      <c r="I688" s="474" t="str">
        <f>IFERROR(VLOOKUP(B688,'03. THIẾT BỊ'!$B$1:$S$836,8,0),"")</f>
        <v/>
      </c>
      <c r="J688" s="471"/>
      <c r="K688" s="463" t="str">
        <f>IFERROR(VLOOKUP(B688,'03. THIẾT BỊ'!$B$1:$S$836,10,0),"")</f>
        <v/>
      </c>
      <c r="L688" s="468" t="str">
        <f>IFERROR(VLOOKUP(B688,'03. THIẾT BỊ'!$B$1:$S$836,11,0),"")</f>
        <v/>
      </c>
      <c r="M688" s="472" t="str">
        <f>IFERROR(VLOOKUP(B688,'03. THIẾT BỊ'!$B$1:$S$836,12,0),"")</f>
        <v/>
      </c>
      <c r="N688" s="468" t="str">
        <f>IFERROR(VLOOKUP(B688,'03. THIẾT BỊ'!$B$1:$S$836,13,0),"")</f>
        <v/>
      </c>
      <c r="O688" s="470" t="str">
        <f>IFERROR(VLOOKUP(B688,'03. THIẾT BỊ'!$B$1:$S$836,14,0),"")</f>
        <v/>
      </c>
      <c r="P688" s="468" t="str">
        <f>IFERROR(VLOOKUP(B688,'03. THIẾT BỊ'!$B$1:$S$836,15,0),"")</f>
        <v/>
      </c>
      <c r="Q688" s="48" t="str">
        <f>IFERROR(VLOOKUP(B688,'03. THIẾT BỊ'!$B$1:$S$836,16,0),"")</f>
        <v/>
      </c>
      <c r="R688" s="471" t="str">
        <f>IFERROR(VLOOKUP(B688,'03. THIẾT BỊ'!$B$1:$S$836,17,0),"")</f>
        <v/>
      </c>
      <c r="S688" s="468" t="str">
        <f>IFERROR(VLOOKUP(B688,'03. THIẾT BỊ'!$B$1:$S$836,18,0),"")</f>
        <v/>
      </c>
    </row>
    <row r="689" ht="15.0" customHeight="1">
      <c r="A689" s="455" t="s">
        <v>76</v>
      </c>
      <c r="B689" s="456" t="s">
        <v>5329</v>
      </c>
      <c r="C689" s="457">
        <f>COUNTA(B690:B717)</f>
        <v>26</v>
      </c>
      <c r="D689" s="458" t="str">
        <f>IFERROR(VLOOKUP(B689,'03. THIẾT BỊ'!$B$1:$S$836,3,0),"")</f>
        <v/>
      </c>
      <c r="E689" s="464" t="str">
        <f>IFERROR(VLOOKUP(B689,'03. THIẾT BỊ'!$B$1:$S$836,4,0),"")</f>
        <v/>
      </c>
      <c r="F689" s="458" t="str">
        <f>IFERROR(VLOOKUP(B689,'03. THIẾT BỊ'!$B$1:$S$836,5,0),"")</f>
        <v/>
      </c>
      <c r="G689" s="459" t="s">
        <v>6423</v>
      </c>
      <c r="H689" s="459" t="str">
        <f>IFERROR(VLOOKUP(B689,'03. THIẾT BỊ'!$B$1:$S$836,7,0),"")</f>
        <v/>
      </c>
      <c r="I689" s="457" t="str">
        <f>IFERROR(VLOOKUP(B689,'03. THIẾT BỊ'!$B$1:$S$836,8,0),"")</f>
        <v/>
      </c>
      <c r="J689" s="460"/>
      <c r="K689" s="457" t="str">
        <f>IFERROR(VLOOKUP(B689,'03. THIẾT BỊ'!$B$1:$S$836,10,0),"")</f>
        <v/>
      </c>
      <c r="L689" s="458" t="str">
        <f>IFERROR(VLOOKUP(B689,'03. THIẾT BỊ'!$B$1:$S$836,11,0),"")</f>
        <v/>
      </c>
      <c r="M689" s="461" t="str">
        <f>IFERROR(VLOOKUP(B689,'03. THIẾT BỊ'!$B$1:$S$836,12,0),"")</f>
        <v/>
      </c>
      <c r="N689" s="458" t="str">
        <f>IFERROR(VLOOKUP(B689,'03. THIẾT BỊ'!$B$1:$S$836,13,0),"")</f>
        <v/>
      </c>
      <c r="O689" s="461" t="str">
        <f>IFERROR(VLOOKUP(B689,'03. THIẾT BỊ'!$B$1:$S$836,14,0),"")</f>
        <v/>
      </c>
      <c r="P689" s="458" t="str">
        <f>IFERROR(VLOOKUP(B689,'03. THIẾT BỊ'!$B$1:$S$836,15,0),"")</f>
        <v/>
      </c>
      <c r="Q689" s="459" t="str">
        <f>IFERROR(VLOOKUP(B689,'03. THIẾT BỊ'!$B$1:$S$836,16,0),"")</f>
        <v/>
      </c>
      <c r="R689" s="458" t="str">
        <f>IFERROR(VLOOKUP(B689,'03. THIẾT BỊ'!$B$1:$S$836,17,0),"")</f>
        <v/>
      </c>
      <c r="S689" s="458" t="str">
        <f>IFERROR(VLOOKUP(B689,'03. THIẾT BỊ'!$B$1:$S$836,18,0),"")</f>
        <v/>
      </c>
      <c r="T689" s="866"/>
    </row>
    <row r="690" ht="15.0" customHeight="1">
      <c r="A690" s="463">
        <v>1.0</v>
      </c>
      <c r="B690" s="464" t="s">
        <v>4042</v>
      </c>
      <c r="C690" s="869" t="str">
        <f>IFERROR(VLOOKUP(B690,'03. THIẾT BỊ'!$B$1:$S$836,2,0),"")</f>
        <v>XD2-MBC-001</v>
      </c>
      <c r="D690" s="470" t="str">
        <f>IFERROR(VLOOKUP(B690,'03. THIẾT BỊ'!$B$1:$S$836,3,0),"")</f>
        <v/>
      </c>
      <c r="E690" s="464" t="str">
        <f>IFERROR(VLOOKUP(B690,'03. THIẾT BỊ'!$B$1:$S$836,4,0),"")</f>
        <v>ĐQSD</v>
      </c>
      <c r="F690" s="464" t="str">
        <f>IFERROR(VLOOKUP(B690,'03. THIẾT BỊ'!$B$1:$S$836,5,0),"")</f>
        <v>Máy băm công nghiệp cố định 15Kw</v>
      </c>
      <c r="G690" s="80" t="s">
        <v>6423</v>
      </c>
      <c r="H690" s="463" t="str">
        <f>IFERROR(VLOOKUP(B690,'03. THIẾT BỊ'!$B$1:$S$836,7,0),"")</f>
        <v>XN Chuối DP1</v>
      </c>
      <c r="I690" s="474" t="str">
        <f>IFERROR(VLOOKUP(B690,'03. THIẾT BỊ'!$B$1:$S$836,8,0),"")</f>
        <v>24/08/2024</v>
      </c>
      <c r="J690" s="471"/>
      <c r="K690" s="463" t="str">
        <f>IFERROR(VLOOKUP(B690,'03. THIẾT BỊ'!$B$1:$S$836,10,0),"")</f>
        <v>Bình thường</v>
      </c>
      <c r="L690" s="468" t="str">
        <f>IFERROR(VLOOKUP(B690,'03. THIẾT BỊ'!$B$1:$S$836,11,0),"")</f>
        <v>-Đ.chuyển từ DP2 kèm KDP-MFD-021</v>
      </c>
      <c r="M690" s="472" t="str">
        <f>IFERROR(VLOOKUP(B690,'03. THIẾT BỊ'!$B$1:$S$836,12,0),"")</f>
        <v>Gia công mới</v>
      </c>
      <c r="N690" s="468" t="str">
        <f>IFERROR(VLOOKUP(B690,'03. THIẾT BỊ'!$B$1:$S$836,13,0),"")</f>
        <v>THACO AGRI</v>
      </c>
      <c r="O690" s="470" t="str">
        <f>IFERROR(VLOOKUP(B690,'03. THIẾT BỊ'!$B$1:$S$836,14,0),"")</f>
        <v>15Kw</v>
      </c>
      <c r="P690" s="468" t="str">
        <f>IFERROR(VLOOKUP(B690,'03. THIẾT BỊ'!$B$1:$S$836,15,0),"")</f>
        <v>CK-CGH</v>
      </c>
      <c r="Q690" s="48" t="str">
        <f>IFERROR(VLOOKUP(B690,'03. THIẾT BỊ'!$B$1:$S$836,16,0),"")</f>
        <v/>
      </c>
      <c r="R690" s="471" t="str">
        <f>IFERROR(VLOOKUP(B690,'03. THIẾT BỊ'!$B$1:$S$836,17,0),"")</f>
        <v/>
      </c>
      <c r="S690" s="468" t="str">
        <f>IFERROR(VLOOKUP(B690,'03. THIẾT BỊ'!$B$1:$S$836,18,0),"")</f>
        <v/>
      </c>
      <c r="T690" s="807"/>
    </row>
    <row r="691" ht="15.0" customHeight="1">
      <c r="A691" s="475">
        <f t="shared" ref="A691:A715" si="34">A690+1</f>
        <v>2</v>
      </c>
      <c r="B691" s="464" t="s">
        <v>4048</v>
      </c>
      <c r="C691" s="869" t="str">
        <f>IFERROR(VLOOKUP(B691,'03. THIẾT BỊ'!$B$1:$S$836,2,0),"")</f>
        <v>CK-MB-24</v>
      </c>
      <c r="D691" s="470" t="str">
        <f>IFERROR(VLOOKUP(B691,'03. THIẾT BỊ'!$B$1:$S$836,3,0),"")</f>
        <v>A23-MBC-003</v>
      </c>
      <c r="E691" s="464" t="str">
        <f>IFERROR(VLOOKUP(B691,'03. THIẾT BỊ'!$B$1:$S$836,4,0),"")</f>
        <v>ĐQSD</v>
      </c>
      <c r="F691" s="464" t="str">
        <f>IFERROR(VLOOKUP(B691,'03. THIẾT BỊ'!$B$1:$S$836,5,0),"")</f>
        <v>Máy băm cố định</v>
      </c>
      <c r="G691" s="80" t="s">
        <v>6423</v>
      </c>
      <c r="H691" s="463" t="str">
        <f>IFERROR(VLOOKUP(B691,'03. THIẾT BỊ'!$B$1:$S$836,7,0),"")</f>
        <v>XN Chuối DP1</v>
      </c>
      <c r="I691" s="474" t="str">
        <f>IFERROR(VLOOKUP(B691,'03. THIẾT BỊ'!$B$1:$S$836,8,0),"")</f>
        <v>25/12/2024</v>
      </c>
      <c r="J691" s="471"/>
      <c r="K691" s="463" t="str">
        <f>IFERROR(VLOOKUP(B691,'03. THIẾT BỊ'!$B$1:$S$836,10,0),"")</f>
        <v>Bình thường</v>
      </c>
      <c r="L691" s="468" t="str">
        <f>IFERROR(VLOOKUP(B691,'03. THIẾT BỊ'!$B$1:$S$836,11,0),"")</f>
        <v/>
      </c>
      <c r="M691" s="472" t="str">
        <f>IFERROR(VLOOKUP(B691,'03. THIẾT BỊ'!$B$1:$S$836,12,0),"")</f>
        <v/>
      </c>
      <c r="N691" s="468" t="str">
        <f>IFERROR(VLOOKUP(B691,'03. THIẾT BỊ'!$B$1:$S$836,13,0),"")</f>
        <v>THACO AGRI</v>
      </c>
      <c r="O691" s="470" t="str">
        <f>IFERROR(VLOOKUP(B691,'03. THIẾT BỊ'!$B$1:$S$836,14,0),"")</f>
        <v/>
      </c>
      <c r="P691" s="468" t="str">
        <f>IFERROR(VLOOKUP(B691,'03. THIẾT BỊ'!$B$1:$S$836,15,0),"")</f>
        <v>CK-CGH</v>
      </c>
      <c r="Q691" s="48" t="str">
        <f>IFERROR(VLOOKUP(B691,'03. THIẾT BỊ'!$B$1:$S$836,16,0),"")</f>
        <v/>
      </c>
      <c r="R691" s="471" t="str">
        <f>IFERROR(VLOOKUP(B691,'03. THIẾT BỊ'!$B$1:$S$836,17,0),"")</f>
        <v/>
      </c>
      <c r="S691" s="468" t="str">
        <f>IFERROR(VLOOKUP(B691,'03. THIẾT BỊ'!$B$1:$S$836,18,0),"")</f>
        <v/>
      </c>
      <c r="T691" s="807"/>
    </row>
    <row r="692" ht="15.0" customHeight="1">
      <c r="A692" s="475">
        <f t="shared" si="34"/>
        <v>3</v>
      </c>
      <c r="B692" s="464" t="s">
        <v>4173</v>
      </c>
      <c r="C692" s="869" t="str">
        <f>IFERROR(VLOOKUP(B692,'03. THIẾT BỊ'!$B$1:$S$836,2,0),"")</f>
        <v>CK-MB-22</v>
      </c>
      <c r="D692" s="470" t="str">
        <f>IFERROR(VLOOKUP(B692,'03. THIẾT BỊ'!$B$1:$S$836,3,0),"")</f>
        <v>A23-MBC-005</v>
      </c>
      <c r="E692" s="464" t="str">
        <f>IFERROR(VLOOKUP(B692,'03. THIẾT BỊ'!$B$1:$S$836,4,0),"")</f>
        <v>ĐQSD</v>
      </c>
      <c r="F692" s="464" t="str">
        <f>IFERROR(VLOOKUP(B692,'03. THIẾT BỊ'!$B$1:$S$836,5,0),"")</f>
        <v>Máy băm cố định</v>
      </c>
      <c r="G692" s="80" t="s">
        <v>6423</v>
      </c>
      <c r="H692" s="463" t="str">
        <f>IFERROR(VLOOKUP(B692,'03. THIẾT BỊ'!$B$1:$S$836,7,0),"")</f>
        <v>XN Chuối DP2</v>
      </c>
      <c r="I692" s="474">
        <f>IFERROR(VLOOKUP(B692,'03. THIẾT BỊ'!$B$1:$S$836,8,0),"")</f>
        <v>45547</v>
      </c>
      <c r="J692" s="471"/>
      <c r="K692" s="463" t="str">
        <f>IFERROR(VLOOKUP(B692,'03. THIẾT BỊ'!$B$1:$S$836,10,0),"")</f>
        <v>Bình thường</v>
      </c>
      <c r="L692" s="468" t="str">
        <f>IFERROR(VLOOKUP(B692,'03. THIẾT BỊ'!$B$1:$S$836,11,0),"")</f>
        <v/>
      </c>
      <c r="M692" s="472" t="str">
        <f>IFERROR(VLOOKUP(B692,'03. THIẾT BỊ'!$B$1:$S$836,12,0),"")</f>
        <v/>
      </c>
      <c r="N692" s="468" t="str">
        <f>IFERROR(VLOOKUP(B692,'03. THIẾT BỊ'!$B$1:$S$836,13,0),"")</f>
        <v>THACO AGRI</v>
      </c>
      <c r="O692" s="470" t="str">
        <f>IFERROR(VLOOKUP(B692,'03. THIẾT BỊ'!$B$1:$S$836,14,0),"")</f>
        <v>CK-MB-22</v>
      </c>
      <c r="P692" s="468" t="str">
        <f>IFERROR(VLOOKUP(B692,'03. THIẾT BỊ'!$B$1:$S$836,15,0),"")</f>
        <v>CK-CGH</v>
      </c>
      <c r="Q692" s="48">
        <f>IFERROR(VLOOKUP(B692,'03. THIẾT BỊ'!$B$1:$S$836,16,0),"")</f>
        <v>2024</v>
      </c>
      <c r="R692" s="471" t="str">
        <f>IFERROR(VLOOKUP(B692,'03. THIẾT BỊ'!$B$1:$S$836,17,0),"")</f>
        <v>Đ.CƠ điện 380v</v>
      </c>
      <c r="S692" s="468" t="str">
        <f>IFERROR(VLOOKUP(B692,'03. THIẾT BỊ'!$B$1:$S$836,18,0),"")</f>
        <v/>
      </c>
      <c r="T692" s="812"/>
    </row>
    <row r="693" ht="15.0" customHeight="1">
      <c r="A693" s="475">
        <f t="shared" si="34"/>
        <v>4</v>
      </c>
      <c r="B693" s="464" t="s">
        <v>4177</v>
      </c>
      <c r="C693" s="869" t="str">
        <f>IFERROR(VLOOKUP(B693,'03. THIẾT BỊ'!$B$1:$S$836,2,0),"")</f>
        <v/>
      </c>
      <c r="D693" s="470" t="str">
        <f>IFERROR(VLOOKUP(B693,'03. THIẾT BỊ'!$B$1:$S$836,3,0),"")</f>
        <v>A23-MBC-006</v>
      </c>
      <c r="E693" s="464" t="str">
        <f>IFERROR(VLOOKUP(B693,'03. THIẾT BỊ'!$B$1:$S$836,4,0),"")</f>
        <v>ĐQSD</v>
      </c>
      <c r="F693" s="464" t="str">
        <f>IFERROR(VLOOKUP(B693,'03. THIẾT BỊ'!$B$1:$S$836,5,0),"")</f>
        <v>Máy băm cố định</v>
      </c>
      <c r="G693" s="80" t="s">
        <v>6423</v>
      </c>
      <c r="H693" s="463" t="str">
        <f>IFERROR(VLOOKUP(B693,'03. THIẾT BỊ'!$B$1:$S$836,7,0),"")</f>
        <v>XN Chuối DP2</v>
      </c>
      <c r="I693" s="474" t="str">
        <f>IFERROR(VLOOKUP(B693,'03. THIẾT BỊ'!$B$1:$S$836,8,0),"")</f>
        <v>29/09/2025</v>
      </c>
      <c r="J693" s="471"/>
      <c r="K693" s="463" t="str">
        <f>IFERROR(VLOOKUP(B693,'03. THIẾT BỊ'!$B$1:$S$836,10,0),"")</f>
        <v>Bình thường</v>
      </c>
      <c r="L693" s="468" t="str">
        <f>IFERROR(VLOOKUP(B693,'03. THIẾT BỊ'!$B$1:$S$836,11,0),"")</f>
        <v/>
      </c>
      <c r="M693" s="472" t="str">
        <f>IFERROR(VLOOKUP(B693,'03. THIẾT BỊ'!$B$1:$S$836,12,0),"")</f>
        <v/>
      </c>
      <c r="N693" s="468" t="str">
        <f>IFERROR(VLOOKUP(B693,'03. THIẾT BỊ'!$B$1:$S$836,13,0),"")</f>
        <v>THACO AGRI</v>
      </c>
      <c r="O693" s="470" t="str">
        <f>IFERROR(VLOOKUP(B693,'03. THIẾT BỊ'!$B$1:$S$836,14,0),"")</f>
        <v>CK-MB-22</v>
      </c>
      <c r="P693" s="468" t="str">
        <f>IFERROR(VLOOKUP(B693,'03. THIẾT BỊ'!$B$1:$S$836,15,0),"")</f>
        <v>CK-CGH</v>
      </c>
      <c r="Q693" s="48">
        <f>IFERROR(VLOOKUP(B693,'03. THIẾT BỊ'!$B$1:$S$836,16,0),"")</f>
        <v>2025</v>
      </c>
      <c r="R693" s="471" t="str">
        <f>IFERROR(VLOOKUP(B693,'03. THIẾT BỊ'!$B$1:$S$836,17,0),"")</f>
        <v>2,25x0,8x3,7m</v>
      </c>
      <c r="S693" s="468" t="str">
        <f>IFERROR(VLOOKUP(B693,'03. THIẾT BỊ'!$B$1:$S$836,18,0),"")</f>
        <v/>
      </c>
      <c r="T693" s="812"/>
    </row>
    <row r="694" ht="15.0" customHeight="1">
      <c r="A694" s="475">
        <f t="shared" si="34"/>
        <v>5</v>
      </c>
      <c r="B694" s="464" t="s">
        <v>4180</v>
      </c>
      <c r="C694" s="869" t="str">
        <f>IFERROR(VLOOKUP(B694,'03. THIẾT BỊ'!$B$1:$S$836,2,0),"")</f>
        <v/>
      </c>
      <c r="D694" s="470" t="str">
        <f>IFERROR(VLOOKUP(B694,'03. THIẾT BỊ'!$B$1:$S$836,3,0),"")</f>
        <v>A23-MBC-007</v>
      </c>
      <c r="E694" s="464" t="str">
        <f>IFERROR(VLOOKUP(B694,'03. THIẾT BỊ'!$B$1:$S$836,4,0),"")</f>
        <v>ĐQSD</v>
      </c>
      <c r="F694" s="464" t="str">
        <f>IFERROR(VLOOKUP(B694,'03. THIẾT BỊ'!$B$1:$S$836,5,0),"")</f>
        <v>Máy băm cố định</v>
      </c>
      <c r="G694" s="80" t="s">
        <v>6423</v>
      </c>
      <c r="H694" s="463" t="str">
        <f>IFERROR(VLOOKUP(B694,'03. THIẾT BỊ'!$B$1:$S$836,7,0),"")</f>
        <v>XN Chuối DP2</v>
      </c>
      <c r="I694" s="474" t="str">
        <f>IFERROR(VLOOKUP(B694,'03. THIẾT BỊ'!$B$1:$S$836,8,0),"")</f>
        <v>26/11/2025</v>
      </c>
      <c r="J694" s="471"/>
      <c r="K694" s="463" t="str">
        <f>IFERROR(VLOOKUP(B694,'03. THIẾT BỊ'!$B$1:$S$836,10,0),"")</f>
        <v>Bình thường</v>
      </c>
      <c r="L694" s="468" t="str">
        <f>IFERROR(VLOOKUP(B694,'03. THIẾT BỊ'!$B$1:$S$836,11,0),"")</f>
        <v/>
      </c>
      <c r="M694" s="472" t="str">
        <f>IFERROR(VLOOKUP(B694,'03. THIẾT BỊ'!$B$1:$S$836,12,0),"")</f>
        <v/>
      </c>
      <c r="N694" s="468" t="str">
        <f>IFERROR(VLOOKUP(B694,'03. THIẾT BỊ'!$B$1:$S$836,13,0),"")</f>
        <v>THACO AGRI</v>
      </c>
      <c r="O694" s="470" t="str">
        <f>IFERROR(VLOOKUP(B694,'03. THIẾT BỊ'!$B$1:$S$836,14,0),"")</f>
        <v/>
      </c>
      <c r="P694" s="468" t="str">
        <f>IFERROR(VLOOKUP(B694,'03. THIẾT BỊ'!$B$1:$S$836,15,0),"")</f>
        <v/>
      </c>
      <c r="Q694" s="48" t="str">
        <f>IFERROR(VLOOKUP(B694,'03. THIẾT BỊ'!$B$1:$S$836,16,0),"")</f>
        <v/>
      </c>
      <c r="R694" s="471" t="str">
        <f>IFERROR(VLOOKUP(B694,'03. THIẾT BỊ'!$B$1:$S$836,17,0),"")</f>
        <v/>
      </c>
      <c r="S694" s="468" t="str">
        <f>IFERROR(VLOOKUP(B694,'03. THIẾT BỊ'!$B$1:$S$836,18,0),"")</f>
        <v/>
      </c>
      <c r="T694" s="812"/>
    </row>
    <row r="695" ht="15.0" customHeight="1">
      <c r="A695" s="475">
        <f t="shared" si="34"/>
        <v>6</v>
      </c>
      <c r="B695" s="464" t="s">
        <v>4344</v>
      </c>
      <c r="C695" s="869" t="str">
        <f>IFERROR(VLOOKUP(B695,'03. THIẾT BỊ'!$B$1:$S$836,2,0),"")</f>
        <v>CK-MB-23</v>
      </c>
      <c r="D695" s="470" t="str">
        <f>IFERROR(VLOOKUP(B695,'03. THIẾT BỊ'!$B$1:$S$836,3,0),"")</f>
        <v>A23-MBC-001</v>
      </c>
      <c r="E695" s="464" t="str">
        <f>IFERROR(VLOOKUP(B695,'03. THIẾT BỊ'!$B$1:$S$836,4,0),"")</f>
        <v>ĐQSD</v>
      </c>
      <c r="F695" s="464" t="str">
        <f>IFERROR(VLOOKUP(B695,'03. THIẾT BỊ'!$B$1:$S$836,5,0),"")</f>
        <v>Máy băm cố định</v>
      </c>
      <c r="G695" s="80" t="s">
        <v>6423</v>
      </c>
      <c r="H695" s="463" t="str">
        <f>IFERROR(VLOOKUP(B695,'03. THIẾT BỊ'!$B$1:$S$836,7,0),"")</f>
        <v>XN Chuối DP3</v>
      </c>
      <c r="I695" s="474">
        <f>IFERROR(VLOOKUP(B695,'03. THIẾT BỊ'!$B$1:$S$836,8,0),"")</f>
        <v>45638</v>
      </c>
      <c r="J695" s="471"/>
      <c r="K695" s="463" t="str">
        <f>IFERROR(VLOOKUP(B695,'03. THIẾT BỊ'!$B$1:$S$836,10,0),"")</f>
        <v>Bình thường</v>
      </c>
      <c r="L695" s="468" t="str">
        <f>IFERROR(VLOOKUP(B695,'03. THIẾT BỊ'!$B$1:$S$836,11,0),"")</f>
        <v/>
      </c>
      <c r="M695" s="472" t="str">
        <f>IFERROR(VLOOKUP(B695,'03. THIẾT BỊ'!$B$1:$S$836,12,0),"")</f>
        <v/>
      </c>
      <c r="N695" s="468" t="str">
        <f>IFERROR(VLOOKUP(B695,'03. THIẾT BỊ'!$B$1:$S$836,13,0),"")</f>
        <v>THACO AGRI</v>
      </c>
      <c r="O695" s="470" t="str">
        <f>IFERROR(VLOOKUP(B695,'03. THIẾT BỊ'!$B$1:$S$836,14,0),"")</f>
        <v>CK-MB-23</v>
      </c>
      <c r="P695" s="468" t="str">
        <f>IFERROR(VLOOKUP(B695,'03. THIẾT BỊ'!$B$1:$S$836,15,0),"")</f>
        <v>CK-CGH</v>
      </c>
      <c r="Q695" s="48">
        <f>IFERROR(VLOOKUP(B695,'03. THIẾT BỊ'!$B$1:$S$836,16,0),"")</f>
        <v>2024</v>
      </c>
      <c r="R695" s="471" t="str">
        <f>IFERROR(VLOOKUP(B695,'03. THIẾT BỊ'!$B$1:$S$836,17,0),"")</f>
        <v>đcơ điện 380v</v>
      </c>
      <c r="S695" s="468" t="str">
        <f>IFERROR(VLOOKUP(B695,'03. THIẾT BỊ'!$B$1:$S$836,18,0),"")</f>
        <v/>
      </c>
      <c r="T695" s="959"/>
    </row>
    <row r="696" ht="15.0" customHeight="1">
      <c r="A696" s="475">
        <f t="shared" si="34"/>
        <v>7</v>
      </c>
      <c r="B696" s="464" t="s">
        <v>4348</v>
      </c>
      <c r="C696" s="869" t="str">
        <f>IFERROR(VLOOKUP(B696,'03. THIẾT BỊ'!$B$1:$S$836,2,0),"")</f>
        <v>XB1-MBC -017</v>
      </c>
      <c r="D696" s="470" t="str">
        <f>IFERROR(VLOOKUP(B696,'03. THIẾT BỊ'!$B$1:$S$836,3,0),"")</f>
        <v>A23-MBC-002</v>
      </c>
      <c r="E696" s="464" t="str">
        <f>IFERROR(VLOOKUP(B696,'03. THIẾT BỊ'!$B$1:$S$836,4,0),"")</f>
        <v>ĐQSD</v>
      </c>
      <c r="F696" s="464" t="str">
        <f>IFERROR(VLOOKUP(B696,'03. THIẾT BỊ'!$B$1:$S$836,5,0),"")</f>
        <v>Máy băm cố định</v>
      </c>
      <c r="G696" s="80" t="s">
        <v>6423</v>
      </c>
      <c r="H696" s="463" t="str">
        <f>IFERROR(VLOOKUP(B696,'03. THIẾT BỊ'!$B$1:$S$836,7,0),"")</f>
        <v>XN Chuối DP3</v>
      </c>
      <c r="I696" s="474" t="str">
        <f>IFERROR(VLOOKUP(B696,'03. THIẾT BỊ'!$B$1:$S$836,8,0),"")</f>
        <v>26/08/2025</v>
      </c>
      <c r="J696" s="471"/>
      <c r="K696" s="463" t="str">
        <f>IFERROR(VLOOKUP(B696,'03. THIẾT BỊ'!$B$1:$S$836,10,0),"")</f>
        <v>Bình thường</v>
      </c>
      <c r="L696" s="468" t="str">
        <f>IFERROR(VLOOKUP(B696,'03. THIẾT BỊ'!$B$1:$S$836,11,0),"")</f>
        <v/>
      </c>
      <c r="M696" s="472" t="str">
        <f>IFERROR(VLOOKUP(B696,'03. THIẾT BỊ'!$B$1:$S$836,12,0),"")</f>
        <v>Gia công lại</v>
      </c>
      <c r="N696" s="468" t="str">
        <f>IFERROR(VLOOKUP(B696,'03. THIẾT BỊ'!$B$1:$S$836,13,0),"")</f>
        <v>THACO AGRI</v>
      </c>
      <c r="O696" s="470" t="str">
        <f>IFERROR(VLOOKUP(B696,'03. THIẾT BỊ'!$B$1:$S$836,14,0),"")</f>
        <v>CK-MB</v>
      </c>
      <c r="P696" s="468" t="str">
        <f>IFERROR(VLOOKUP(B696,'03. THIẾT BỊ'!$B$1:$S$836,15,0),"")</f>
        <v>CK-CGH</v>
      </c>
      <c r="Q696" s="48">
        <f>IFERROR(VLOOKUP(B696,'03. THIẾT BỊ'!$B$1:$S$836,16,0),"")</f>
        <v>2025</v>
      </c>
      <c r="R696" s="471" t="str">
        <f>IFERROR(VLOOKUP(B696,'03. THIẾT BỊ'!$B$1:$S$836,17,0),"")</f>
        <v/>
      </c>
      <c r="S696" s="468" t="str">
        <f>IFERROR(VLOOKUP(B696,'03. THIẾT BỊ'!$B$1:$S$836,18,0),"")</f>
        <v/>
      </c>
      <c r="T696" s="959"/>
    </row>
    <row r="697" ht="15.0" customHeight="1">
      <c r="A697" s="475">
        <f t="shared" si="34"/>
        <v>8</v>
      </c>
      <c r="B697" s="464" t="s">
        <v>4746</v>
      </c>
      <c r="C697" s="869" t="str">
        <f>IFERROR(VLOOKUP(B697,'03. THIẾT BỊ'!$B$1:$S$836,2,0),"")</f>
        <v>XD3-MBC-001 (CK-MB15)</v>
      </c>
      <c r="D697" s="470" t="str">
        <f>IFERROR(VLOOKUP(B697,'03. THIẾT BỊ'!$B$1:$S$836,3,0),"")</f>
        <v/>
      </c>
      <c r="E697" s="464" t="str">
        <f>IFERROR(VLOOKUP(B697,'03. THIẾT BỊ'!$B$1:$S$836,4,0),"")</f>
        <v>ĐQSD</v>
      </c>
      <c r="F697" s="464" t="str">
        <f>IFERROR(VLOOKUP(B697,'03. THIẾT BỊ'!$B$1:$S$836,5,0),"")</f>
        <v>Máy băm công nghiệp cố định 30Kw</v>
      </c>
      <c r="G697" s="80" t="s">
        <v>6423</v>
      </c>
      <c r="H697" s="463" t="str">
        <f>IFERROR(VLOOKUP(B697,'03. THIẾT BỊ'!$B$1:$S$836,7,0),"")</f>
        <v>XN Chuối LP3</v>
      </c>
      <c r="I697" s="474" t="str">
        <f>IFERROR(VLOOKUP(B697,'03. THIẾT BỊ'!$B$1:$S$836,8,0),"")</f>
        <v>24/08/2024</v>
      </c>
      <c r="J697" s="471"/>
      <c r="K697" s="463" t="str">
        <f>IFERROR(VLOOKUP(B697,'03. THIẾT BỊ'!$B$1:$S$836,10,0),"")</f>
        <v>Bình thường</v>
      </c>
      <c r="L697" s="468" t="str">
        <f>IFERROR(VLOOKUP(B697,'03. THIẾT BỊ'!$B$1:$S$836,11,0),"")</f>
        <v>Kèm XD3-RMK-001</v>
      </c>
      <c r="M697" s="472" t="str">
        <f>IFERROR(VLOOKUP(B697,'03. THIẾT BỊ'!$B$1:$S$836,12,0),"")</f>
        <v>Đã qua SD</v>
      </c>
      <c r="N697" s="468" t="str">
        <f>IFERROR(VLOOKUP(B697,'03. THIẾT BỊ'!$B$1:$S$836,13,0),"")</f>
        <v>THACO AGRI</v>
      </c>
      <c r="O697" s="470" t="str">
        <f>IFERROR(VLOOKUP(B697,'03. THIẾT BỊ'!$B$1:$S$836,14,0),"")</f>
        <v>30KW</v>
      </c>
      <c r="P697" s="468" t="str">
        <f>IFERROR(VLOOKUP(B697,'03. THIẾT BỊ'!$B$1:$S$836,15,0),"")</f>
        <v>CK-CGH</v>
      </c>
      <c r="Q697" s="48" t="str">
        <f>IFERROR(VLOOKUP(B697,'03. THIẾT BỊ'!$B$1:$S$836,16,0),"")</f>
        <v/>
      </c>
      <c r="R697" s="471" t="str">
        <f>IFERROR(VLOOKUP(B697,'03. THIẾT BỊ'!$B$1:$S$836,17,0),"")</f>
        <v>3 dao băm, motor 30kw</v>
      </c>
      <c r="S697" s="468" t="str">
        <f>IFERROR(VLOOKUP(B697,'03. THIẾT BỊ'!$B$1:$S$836,18,0),"")</f>
        <v/>
      </c>
      <c r="T697" s="807"/>
    </row>
    <row r="698" ht="15.0" customHeight="1">
      <c r="A698" s="475">
        <f t="shared" si="34"/>
        <v>9</v>
      </c>
      <c r="B698" s="464" t="s">
        <v>4753</v>
      </c>
      <c r="C698" s="869" t="str">
        <f>IFERROR(VLOOKUP(B698,'03. THIẾT BỊ'!$B$1:$S$836,2,0),"")</f>
        <v>XD3-MBC-002 (CK-MB16)</v>
      </c>
      <c r="D698" s="470" t="str">
        <f>IFERROR(VLOOKUP(B698,'03. THIẾT BỊ'!$B$1:$S$836,3,0),"")</f>
        <v/>
      </c>
      <c r="E698" s="464" t="str">
        <f>IFERROR(VLOOKUP(B698,'03. THIẾT BỊ'!$B$1:$S$836,4,0),"")</f>
        <v>ĐQSD</v>
      </c>
      <c r="F698" s="464" t="str">
        <f>IFERROR(VLOOKUP(B698,'03. THIẾT BỊ'!$B$1:$S$836,5,0),"")</f>
        <v>Máy băm công nghiệp cố định 30Kw</v>
      </c>
      <c r="G698" s="80" t="s">
        <v>6423</v>
      </c>
      <c r="H698" s="463" t="str">
        <f>IFERROR(VLOOKUP(B698,'03. THIẾT BỊ'!$B$1:$S$836,7,0),"")</f>
        <v>XN Chuối LP3</v>
      </c>
      <c r="I698" s="474" t="str">
        <f>IFERROR(VLOOKUP(B698,'03. THIẾT BỊ'!$B$1:$S$836,8,0),"")</f>
        <v>24/08/2024</v>
      </c>
      <c r="J698" s="471"/>
      <c r="K698" s="463" t="str">
        <f>IFERROR(VLOOKUP(B698,'03. THIẾT BỊ'!$B$1:$S$836,10,0),"")</f>
        <v>Bình thường</v>
      </c>
      <c r="L698" s="468" t="str">
        <f>IFERROR(VLOOKUP(B698,'03. THIẾT BỊ'!$B$1:$S$836,11,0),"")</f>
        <v/>
      </c>
      <c r="M698" s="472" t="str">
        <f>IFERROR(VLOOKUP(B698,'03. THIẾT BỊ'!$B$1:$S$836,12,0),"")</f>
        <v>Đã qua SD</v>
      </c>
      <c r="N698" s="468" t="str">
        <f>IFERROR(VLOOKUP(B698,'03. THIẾT BỊ'!$B$1:$S$836,13,0),"")</f>
        <v>THACO AGRI</v>
      </c>
      <c r="O698" s="470" t="str">
        <f>IFERROR(VLOOKUP(B698,'03. THIẾT BỊ'!$B$1:$S$836,14,0),"")</f>
        <v>30KW</v>
      </c>
      <c r="P698" s="468" t="str">
        <f>IFERROR(VLOOKUP(B698,'03. THIẾT BỊ'!$B$1:$S$836,15,0),"")</f>
        <v>CK-CGH</v>
      </c>
      <c r="Q698" s="48" t="str">
        <f>IFERROR(VLOOKUP(B698,'03. THIẾT BỊ'!$B$1:$S$836,16,0),"")</f>
        <v/>
      </c>
      <c r="R698" s="471" t="str">
        <f>IFERROR(VLOOKUP(B698,'03. THIẾT BỊ'!$B$1:$S$836,17,0),"")</f>
        <v>3 dao băm, motor 30kw</v>
      </c>
      <c r="S698" s="468" t="str">
        <f>IFERROR(VLOOKUP(B698,'03. THIẾT BỊ'!$B$1:$S$836,18,0),"")</f>
        <v/>
      </c>
      <c r="T698" s="807"/>
    </row>
    <row r="699" ht="15.0" customHeight="1">
      <c r="A699" s="475">
        <f t="shared" si="34"/>
        <v>10</v>
      </c>
      <c r="B699" s="464" t="s">
        <v>4755</v>
      </c>
      <c r="C699" s="869" t="str">
        <f>IFERROR(VLOOKUP(B699,'03. THIẾT BỊ'!$B$1:$S$836,2,0),"")</f>
        <v>XD2-MBC-002</v>
      </c>
      <c r="D699" s="470" t="str">
        <f>IFERROR(VLOOKUP(B699,'03. THIẾT BỊ'!$B$1:$S$836,3,0),"")</f>
        <v/>
      </c>
      <c r="E699" s="464" t="str">
        <f>IFERROR(VLOOKUP(B699,'03. THIẾT BỊ'!$B$1:$S$836,4,0),"")</f>
        <v>ĐQSD</v>
      </c>
      <c r="F699" s="464" t="str">
        <f>IFERROR(VLOOKUP(B699,'03. THIẾT BỊ'!$B$1:$S$836,5,0),"")</f>
        <v>Máy băm công nghiệp cố định 15Kw</v>
      </c>
      <c r="G699" s="80" t="s">
        <v>6423</v>
      </c>
      <c r="H699" s="463" t="str">
        <f>IFERROR(VLOOKUP(B699,'03. THIẾT BỊ'!$B$1:$S$836,7,0),"")</f>
        <v>XN Chuối LP3</v>
      </c>
      <c r="I699" s="474" t="str">
        <f>IFERROR(VLOOKUP(B699,'03. THIẾT BỊ'!$B$1:$S$836,8,0),"")</f>
        <v>24/08/2024</v>
      </c>
      <c r="J699" s="471"/>
      <c r="K699" s="463" t="str">
        <f>IFERROR(VLOOKUP(B699,'03. THIẾT BỊ'!$B$1:$S$836,10,0),"")</f>
        <v>Bình thường</v>
      </c>
      <c r="L699" s="468" t="str">
        <f>IFERROR(VLOOKUP(B699,'03. THIẾT BỊ'!$B$1:$S$836,11,0),"")</f>
        <v/>
      </c>
      <c r="M699" s="472" t="str">
        <f>IFERROR(VLOOKUP(B699,'03. THIẾT BỊ'!$B$1:$S$836,12,0),"")</f>
        <v>Đã qua SD</v>
      </c>
      <c r="N699" s="468" t="str">
        <f>IFERROR(VLOOKUP(B699,'03. THIẾT BỊ'!$B$1:$S$836,13,0),"")</f>
        <v>THACO AGRI</v>
      </c>
      <c r="O699" s="470" t="str">
        <f>IFERROR(VLOOKUP(B699,'03. THIẾT BỊ'!$B$1:$S$836,14,0),"")</f>
        <v>15KW</v>
      </c>
      <c r="P699" s="468" t="str">
        <f>IFERROR(VLOOKUP(B699,'03. THIẾT BỊ'!$B$1:$S$836,15,0),"")</f>
        <v>CK-CGH</v>
      </c>
      <c r="Q699" s="48">
        <f>IFERROR(VLOOKUP(B699,'03. THIẾT BỊ'!$B$1:$S$836,16,0),"")</f>
        <v>2023</v>
      </c>
      <c r="R699" s="471" t="str">
        <f>IFERROR(VLOOKUP(B699,'03. THIẾT BỊ'!$B$1:$S$836,17,0),"")</f>
        <v>3 dao băm, motor 15kw</v>
      </c>
      <c r="S699" s="468" t="str">
        <f>IFERROR(VLOOKUP(B699,'03. THIẾT BỊ'!$B$1:$S$836,18,0),"")</f>
        <v/>
      </c>
      <c r="T699" s="807"/>
    </row>
    <row r="700">
      <c r="A700" s="475">
        <f t="shared" si="34"/>
        <v>11</v>
      </c>
      <c r="B700" s="464" t="s">
        <v>4759</v>
      </c>
      <c r="C700" s="869" t="str">
        <f>IFERROR(VLOOKUP(B700,'03. THIẾT BỊ'!$B$1:$S$836,2,0),"")</f>
        <v>XB1-MBC -019</v>
      </c>
      <c r="D700" s="470" t="str">
        <f>IFERROR(VLOOKUP(B700,'03. THIẾT BỊ'!$B$1:$S$836,3,0),"")</f>
        <v>A24-MBC-005</v>
      </c>
      <c r="E700" s="464" t="str">
        <f>IFERROR(VLOOKUP(B700,'03. THIẾT BỊ'!$B$1:$S$836,4,0),"")</f>
        <v>ĐQSD</v>
      </c>
      <c r="F700" s="464" t="str">
        <f>IFERROR(VLOOKUP(B700,'03. THIẾT BỊ'!$B$1:$S$836,5,0),"")</f>
        <v>Máy băm cố định</v>
      </c>
      <c r="G700" s="80" t="s">
        <v>6423</v>
      </c>
      <c r="H700" s="463" t="str">
        <f>IFERROR(VLOOKUP(B700,'03. THIẾT BỊ'!$B$1:$S$836,7,0),"")</f>
        <v>XN Chuối LP3</v>
      </c>
      <c r="I700" s="474" t="str">
        <f>IFERROR(VLOOKUP(B700,'03. THIẾT BỊ'!$B$1:$S$836,8,0),"")</f>
        <v>14/08/2025</v>
      </c>
      <c r="J700" s="471"/>
      <c r="K700" s="463" t="str">
        <f>IFERROR(VLOOKUP(B700,'03. THIẾT BỊ'!$B$1:$S$836,10,0),"")</f>
        <v>Bình thường</v>
      </c>
      <c r="L700" s="468" t="str">
        <f>IFERROR(VLOOKUP(B700,'03. THIẾT BỊ'!$B$1:$S$836,11,0),"")</f>
        <v>`</v>
      </c>
      <c r="M700" s="472" t="str">
        <f>IFERROR(VLOOKUP(B700,'03. THIẾT BỊ'!$B$1:$S$836,12,0),"")</f>
        <v>Gia công lại</v>
      </c>
      <c r="N700" s="468" t="str">
        <f>IFERROR(VLOOKUP(B700,'03. THIẾT BỊ'!$B$1:$S$836,13,0),"")</f>
        <v>THACO AGRI</v>
      </c>
      <c r="O700" s="470" t="str">
        <f>IFERROR(VLOOKUP(B700,'03. THIẾT BỊ'!$B$1:$S$836,14,0),"")</f>
        <v>CK-MB-19 </v>
      </c>
      <c r="P700" s="468" t="str">
        <f>IFERROR(VLOOKUP(B700,'03. THIẾT BỊ'!$B$1:$S$836,15,0),"")</f>
        <v>CK-CGH</v>
      </c>
      <c r="Q700" s="48">
        <f>IFERROR(VLOOKUP(B700,'03. THIẾT BỊ'!$B$1:$S$836,16,0),"")</f>
        <v>2025</v>
      </c>
      <c r="R700" s="471" t="str">
        <f>IFERROR(VLOOKUP(B700,'03. THIẾT BỊ'!$B$1:$S$836,17,0),"")</f>
        <v/>
      </c>
      <c r="S700" s="468" t="str">
        <f>IFERROR(VLOOKUP(B700,'03. THIẾT BỊ'!$B$1:$S$836,18,0),"")</f>
        <v/>
      </c>
    </row>
    <row r="701" ht="15.0" customHeight="1">
      <c r="A701" s="475">
        <f t="shared" si="34"/>
        <v>12</v>
      </c>
      <c r="B701" s="464" t="s">
        <v>4765</v>
      </c>
      <c r="C701" s="869" t="str">
        <f>IFERROR(VLOOKUP(B701,'03. THIẾT BỊ'!$B$1:$S$836,2,0),"")</f>
        <v/>
      </c>
      <c r="D701" s="470" t="str">
        <f>IFERROR(VLOOKUP(B701,'03. THIẾT BỊ'!$B$1:$S$836,3,0),"")</f>
        <v>A24-MBC-007</v>
      </c>
      <c r="E701" s="464" t="str">
        <f>IFERROR(VLOOKUP(B701,'03. THIẾT BỊ'!$B$1:$S$836,4,0),"")</f>
        <v>ĐQSD</v>
      </c>
      <c r="F701" s="464" t="str">
        <f>IFERROR(VLOOKUP(B701,'03. THIẾT BỊ'!$B$1:$S$836,5,0),"")</f>
        <v>Máy băm cố định</v>
      </c>
      <c r="G701" s="80" t="s">
        <v>6423</v>
      </c>
      <c r="H701" s="463" t="str">
        <f>IFERROR(VLOOKUP(B701,'03. THIẾT BỊ'!$B$1:$S$836,7,0),"")</f>
        <v>XN Chuối LP3</v>
      </c>
      <c r="I701" s="474" t="str">
        <f>IFERROR(VLOOKUP(B701,'03. THIẾT BỊ'!$B$1:$S$836,8,0),"")</f>
        <v>27/11/2025</v>
      </c>
      <c r="J701" s="471"/>
      <c r="K701" s="463" t="str">
        <f>IFERROR(VLOOKUP(B701,'03. THIẾT BỊ'!$B$1:$S$836,10,0),"")</f>
        <v>Bình thường</v>
      </c>
      <c r="L701" s="468" t="str">
        <f>IFERROR(VLOOKUP(B701,'03. THIẾT BỊ'!$B$1:$S$836,11,0),"")</f>
        <v/>
      </c>
      <c r="M701" s="472" t="str">
        <f>IFERROR(VLOOKUP(B701,'03. THIẾT BỊ'!$B$1:$S$836,12,0),"")</f>
        <v>Gia công mới</v>
      </c>
      <c r="N701" s="468" t="str">
        <f>IFERROR(VLOOKUP(B701,'03. THIẾT BỊ'!$B$1:$S$836,13,0),"")</f>
        <v/>
      </c>
      <c r="O701" s="470" t="str">
        <f>IFERROR(VLOOKUP(B701,'03. THIẾT BỊ'!$B$1:$S$836,14,0),"")</f>
        <v/>
      </c>
      <c r="P701" s="468" t="str">
        <f>IFERROR(VLOOKUP(B701,'03. THIẾT BỊ'!$B$1:$S$836,15,0),"")</f>
        <v/>
      </c>
      <c r="Q701" s="48" t="str">
        <f>IFERROR(VLOOKUP(B701,'03. THIẾT BỊ'!$B$1:$S$836,16,0),"")</f>
        <v/>
      </c>
      <c r="R701" s="471" t="str">
        <f>IFERROR(VLOOKUP(B701,'03. THIẾT BỊ'!$B$1:$S$836,17,0),"")</f>
        <v/>
      </c>
      <c r="S701" s="468" t="str">
        <f>IFERROR(VLOOKUP(B701,'03. THIẾT BỊ'!$B$1:$S$836,18,0),"")</f>
        <v/>
      </c>
    </row>
    <row r="702" ht="15.0" customHeight="1">
      <c r="A702" s="475">
        <f t="shared" si="34"/>
        <v>13</v>
      </c>
      <c r="B702" s="464" t="s">
        <v>4573</v>
      </c>
      <c r="C702" s="869" t="str">
        <f>IFERROR(VLOOKUP(B702,'03. THIẾT BỊ'!$B$1:$S$836,2,0),"")</f>
        <v/>
      </c>
      <c r="D702" s="470" t="str">
        <f>IFERROR(VLOOKUP(B702,'03. THIẾT BỊ'!$B$1:$S$836,3,0),"")</f>
        <v>A24-MBC-006</v>
      </c>
      <c r="E702" s="464" t="str">
        <f>IFERROR(VLOOKUP(B702,'03. THIẾT BỊ'!$B$1:$S$836,4,0),"")</f>
        <v>ĐQSD</v>
      </c>
      <c r="F702" s="464" t="str">
        <f>IFERROR(VLOOKUP(B702,'03. THIẾT BỊ'!$B$1:$S$836,5,0),"")</f>
        <v>Máy băm cố định</v>
      </c>
      <c r="G702" s="80" t="s">
        <v>6423</v>
      </c>
      <c r="H702" s="463" t="str">
        <f>IFERROR(VLOOKUP(B702,'03. THIẾT BỊ'!$B$1:$S$836,7,0),"")</f>
        <v>XN Chuối LP1</v>
      </c>
      <c r="I702" s="474">
        <f>IFERROR(VLOOKUP(B702,'03. THIẾT BỊ'!$B$1:$S$836,8,0),"")</f>
        <v>45905</v>
      </c>
      <c r="J702" s="471"/>
      <c r="K702" s="463" t="str">
        <f>IFERROR(VLOOKUP(B702,'03. THIẾT BỊ'!$B$1:$S$836,10,0),"")</f>
        <v>Bình thường</v>
      </c>
      <c r="L702" s="468" t="str">
        <f>IFERROR(VLOOKUP(B702,'03. THIẾT BỊ'!$B$1:$S$836,11,0),"")</f>
        <v>GC mới</v>
      </c>
      <c r="M702" s="472" t="str">
        <f>IFERROR(VLOOKUP(B702,'03. THIẾT BỊ'!$B$1:$S$836,12,0),"")</f>
        <v/>
      </c>
      <c r="N702" s="468" t="str">
        <f>IFERROR(VLOOKUP(B702,'03. THIẾT BỊ'!$B$1:$S$836,13,0),"")</f>
        <v>THACO AGRI</v>
      </c>
      <c r="O702" s="470" t="str">
        <f>IFERROR(VLOOKUP(B702,'03. THIẾT BỊ'!$B$1:$S$836,14,0),"")</f>
        <v>CK-MB</v>
      </c>
      <c r="P702" s="468" t="str">
        <f>IFERROR(VLOOKUP(B702,'03. THIẾT BỊ'!$B$1:$S$836,15,0),"")</f>
        <v>VIETNAM</v>
      </c>
      <c r="Q702" s="48">
        <f>IFERROR(VLOOKUP(B702,'03. THIẾT BỊ'!$B$1:$S$836,16,0),"")</f>
        <v>2025</v>
      </c>
      <c r="R702" s="471" t="str">
        <f>IFERROR(VLOOKUP(B702,'03. THIẾT BỊ'!$B$1:$S$836,17,0),"")</f>
        <v/>
      </c>
      <c r="S702" s="468" t="str">
        <f>IFERROR(VLOOKUP(B702,'03. THIẾT BỊ'!$B$1:$S$836,18,0),"")</f>
        <v/>
      </c>
    </row>
    <row r="703" ht="15.0" customHeight="1">
      <c r="A703" s="475">
        <f t="shared" si="34"/>
        <v>14</v>
      </c>
      <c r="B703" s="468" t="s">
        <v>5049</v>
      </c>
      <c r="C703" s="869" t="str">
        <f>IFERROR(VLOOKUP(B703,'03. THIẾT BỊ'!$B$1:$S$836,2,0),"")</f>
        <v/>
      </c>
      <c r="D703" s="470" t="str">
        <f>IFERROR(VLOOKUP(B703,'03. THIẾT BỊ'!$B$1:$S$836,3,0),"")</f>
        <v>A22-MBC-001</v>
      </c>
      <c r="E703" s="464" t="str">
        <f>IFERROR(VLOOKUP(B703,'03. THIẾT BỊ'!$B$1:$S$836,4,0),"")</f>
        <v>ĐQSD</v>
      </c>
      <c r="F703" s="464" t="str">
        <f>IFERROR(VLOOKUP(B703,'03. THIẾT BỊ'!$B$1:$S$836,5,0),"")</f>
        <v>Máy băm cỏ cố định</v>
      </c>
      <c r="G703" s="80" t="s">
        <v>6423</v>
      </c>
      <c r="H703" s="463" t="str">
        <f>IFERROR(VLOOKUP(B703,'03. THIẾT BỊ'!$B$1:$S$836,7,0),"")</f>
        <v>XN Bò AD</v>
      </c>
      <c r="I703" s="474" t="str">
        <f>IFERROR(VLOOKUP(B703,'03. THIẾT BỊ'!$B$1:$S$836,8,0),"")</f>
        <v/>
      </c>
      <c r="J703" s="471"/>
      <c r="K703" s="463" t="str">
        <f>IFERROR(VLOOKUP(B703,'03. THIẾT BỊ'!$B$1:$S$836,10,0),"")</f>
        <v>Bình thường</v>
      </c>
      <c r="L703" s="468" t="str">
        <f>IFERROR(VLOOKUP(B703,'03. THIẾT BỊ'!$B$1:$S$836,11,0),"")</f>
        <v/>
      </c>
      <c r="M703" s="472" t="str">
        <f>IFERROR(VLOOKUP(B703,'03. THIẾT BỊ'!$B$1:$S$836,12,0),"")</f>
        <v/>
      </c>
      <c r="N703" s="468" t="str">
        <f>IFERROR(VLOOKUP(B703,'03. THIẾT BỊ'!$B$1:$S$836,13,0),"")</f>
        <v>THACO AGRI</v>
      </c>
      <c r="O703" s="470" t="str">
        <f>IFERROR(VLOOKUP(B703,'03. THIẾT BỊ'!$B$1:$S$836,14,0),"")</f>
        <v>Cố định</v>
      </c>
      <c r="P703" s="468" t="str">
        <f>IFERROR(VLOOKUP(B703,'03. THIẾT BỊ'!$B$1:$S$836,15,0),"")</f>
        <v>CK-CGH</v>
      </c>
      <c r="Q703" s="48" t="str">
        <f>IFERROR(VLOOKUP(B703,'03. THIẾT BỊ'!$B$1:$S$836,16,0),"")</f>
        <v/>
      </c>
      <c r="R703" s="471" t="str">
        <f>IFERROR(VLOOKUP(B703,'03. THIẾT BỊ'!$B$1:$S$836,17,0),"")</f>
        <v/>
      </c>
      <c r="S703" s="468" t="str">
        <f>IFERROR(VLOOKUP(B703,'03. THIẾT BỊ'!$B$1:$S$836,18,0),"")</f>
        <v/>
      </c>
      <c r="T703" s="812"/>
    </row>
    <row r="704" ht="15.0" customHeight="1">
      <c r="A704" s="475">
        <f t="shared" si="34"/>
        <v>15</v>
      </c>
      <c r="B704" s="468" t="s">
        <v>5053</v>
      </c>
      <c r="C704" s="869" t="str">
        <f>IFERROR(VLOOKUP(B704,'03. THIẾT BỊ'!$B$1:$S$836,2,0),"")</f>
        <v/>
      </c>
      <c r="D704" s="470" t="str">
        <f>IFERROR(VLOOKUP(B704,'03. THIẾT BỊ'!$B$1:$S$836,3,0),"")</f>
        <v>A22-MBC-002</v>
      </c>
      <c r="E704" s="464" t="str">
        <f>IFERROR(VLOOKUP(B704,'03. THIẾT BỊ'!$B$1:$S$836,4,0),"")</f>
        <v>ĐQSD</v>
      </c>
      <c r="F704" s="464" t="str">
        <f>IFERROR(VLOOKUP(B704,'03. THIẾT BỊ'!$B$1:$S$836,5,0),"")</f>
        <v>Máy băm cỏ cố định</v>
      </c>
      <c r="G704" s="80" t="s">
        <v>6423</v>
      </c>
      <c r="H704" s="463" t="str">
        <f>IFERROR(VLOOKUP(B704,'03. THIẾT BỊ'!$B$1:$S$836,7,0),"")</f>
        <v>XN Bò AD</v>
      </c>
      <c r="I704" s="474" t="str">
        <f>IFERROR(VLOOKUP(B704,'03. THIẾT BỊ'!$B$1:$S$836,8,0),"")</f>
        <v/>
      </c>
      <c r="J704" s="471"/>
      <c r="K704" s="463" t="str">
        <f>IFERROR(VLOOKUP(B704,'03. THIẾT BỊ'!$B$1:$S$836,10,0),"")</f>
        <v>Bình thường</v>
      </c>
      <c r="L704" s="468" t="str">
        <f>IFERROR(VLOOKUP(B704,'03. THIẾT BỊ'!$B$1:$S$836,11,0),"")</f>
        <v/>
      </c>
      <c r="M704" s="472" t="str">
        <f>IFERROR(VLOOKUP(B704,'03. THIẾT BỊ'!$B$1:$S$836,12,0),"")</f>
        <v/>
      </c>
      <c r="N704" s="468" t="str">
        <f>IFERROR(VLOOKUP(B704,'03. THIẾT BỊ'!$B$1:$S$836,13,0),"")</f>
        <v>THACO AGRI</v>
      </c>
      <c r="O704" s="470" t="str">
        <f>IFERROR(VLOOKUP(B704,'03. THIẾT BỊ'!$B$1:$S$836,14,0),"")</f>
        <v>Cố định</v>
      </c>
      <c r="P704" s="468" t="str">
        <f>IFERROR(VLOOKUP(B704,'03. THIẾT BỊ'!$B$1:$S$836,15,0),"")</f>
        <v>CK-CGH</v>
      </c>
      <c r="Q704" s="48" t="str">
        <f>IFERROR(VLOOKUP(B704,'03. THIẾT BỊ'!$B$1:$S$836,16,0),"")</f>
        <v/>
      </c>
      <c r="R704" s="471" t="str">
        <f>IFERROR(VLOOKUP(B704,'03. THIẾT BỊ'!$B$1:$S$836,17,0),"")</f>
        <v/>
      </c>
      <c r="S704" s="468" t="str">
        <f>IFERROR(VLOOKUP(B704,'03. THIẾT BỊ'!$B$1:$S$836,18,0),"")</f>
        <v/>
      </c>
      <c r="T704" s="812"/>
    </row>
    <row r="705" ht="15.0" customHeight="1">
      <c r="A705" s="475">
        <f t="shared" si="34"/>
        <v>16</v>
      </c>
      <c r="B705" s="468" t="s">
        <v>5055</v>
      </c>
      <c r="C705" s="869" t="str">
        <f>IFERROR(VLOOKUP(B705,'03. THIẾT BỊ'!$B$1:$S$836,2,0),"")</f>
        <v/>
      </c>
      <c r="D705" s="470" t="str">
        <f>IFERROR(VLOOKUP(B705,'03. THIẾT BỊ'!$B$1:$S$836,3,0),"")</f>
        <v>A22-MBC-003</v>
      </c>
      <c r="E705" s="464" t="str">
        <f>IFERROR(VLOOKUP(B705,'03. THIẾT BỊ'!$B$1:$S$836,4,0),"")</f>
        <v>ĐQSD</v>
      </c>
      <c r="F705" s="464" t="str">
        <f>IFERROR(VLOOKUP(B705,'03. THIẾT BỊ'!$B$1:$S$836,5,0),"")</f>
        <v>Máy băm cỏ cố định</v>
      </c>
      <c r="G705" s="80" t="s">
        <v>6423</v>
      </c>
      <c r="H705" s="463" t="str">
        <f>IFERROR(VLOOKUP(B705,'03. THIẾT BỊ'!$B$1:$S$836,7,0),"")</f>
        <v>XN Bò AD</v>
      </c>
      <c r="I705" s="474" t="str">
        <f>IFERROR(VLOOKUP(B705,'03. THIẾT BỊ'!$B$1:$S$836,8,0),"")</f>
        <v/>
      </c>
      <c r="J705" s="471"/>
      <c r="K705" s="463" t="str">
        <f>IFERROR(VLOOKUP(B705,'03. THIẾT BỊ'!$B$1:$S$836,10,0),"")</f>
        <v>Bình thường</v>
      </c>
      <c r="L705" s="468" t="str">
        <f>IFERROR(VLOOKUP(B705,'03. THIẾT BỊ'!$B$1:$S$836,11,0),"")</f>
        <v/>
      </c>
      <c r="M705" s="472" t="str">
        <f>IFERROR(VLOOKUP(B705,'03. THIẾT BỊ'!$B$1:$S$836,12,0),"")</f>
        <v/>
      </c>
      <c r="N705" s="468" t="str">
        <f>IFERROR(VLOOKUP(B705,'03. THIẾT BỊ'!$B$1:$S$836,13,0),"")</f>
        <v>THACO AGRI</v>
      </c>
      <c r="O705" s="470" t="str">
        <f>IFERROR(VLOOKUP(B705,'03. THIẾT BỊ'!$B$1:$S$836,14,0),"")</f>
        <v>Cố định</v>
      </c>
      <c r="P705" s="468" t="str">
        <f>IFERROR(VLOOKUP(B705,'03. THIẾT BỊ'!$B$1:$S$836,15,0),"")</f>
        <v>CK-CGH</v>
      </c>
      <c r="Q705" s="48" t="str">
        <f>IFERROR(VLOOKUP(B705,'03. THIẾT BỊ'!$B$1:$S$836,16,0),"")</f>
        <v/>
      </c>
      <c r="R705" s="471" t="str">
        <f>IFERROR(VLOOKUP(B705,'03. THIẾT BỊ'!$B$1:$S$836,17,0),"")</f>
        <v/>
      </c>
      <c r="S705" s="468" t="str">
        <f>IFERROR(VLOOKUP(B705,'03. THIẾT BỊ'!$B$1:$S$836,18,0),"")</f>
        <v/>
      </c>
      <c r="T705" s="812"/>
    </row>
    <row r="706" ht="15.0" customHeight="1">
      <c r="A706" s="475">
        <f t="shared" si="34"/>
        <v>17</v>
      </c>
      <c r="B706" s="468" t="s">
        <v>5057</v>
      </c>
      <c r="C706" s="869" t="str">
        <f>IFERROR(VLOOKUP(B706,'03. THIẾT BỊ'!$B$1:$S$836,2,0),"")</f>
        <v/>
      </c>
      <c r="D706" s="470" t="str">
        <f>IFERROR(VLOOKUP(B706,'03. THIẾT BỊ'!$B$1:$S$836,3,0),"")</f>
        <v>A22-MBC-004</v>
      </c>
      <c r="E706" s="464" t="str">
        <f>IFERROR(VLOOKUP(B706,'03. THIẾT BỊ'!$B$1:$S$836,4,0),"")</f>
        <v>ĐQSD</v>
      </c>
      <c r="F706" s="464" t="str">
        <f>IFERROR(VLOOKUP(B706,'03. THIẾT BỊ'!$B$1:$S$836,5,0),"")</f>
        <v>Máy băm cỏ cố định</v>
      </c>
      <c r="G706" s="80" t="s">
        <v>6423</v>
      </c>
      <c r="H706" s="463" t="str">
        <f>IFERROR(VLOOKUP(B706,'03. THIẾT BỊ'!$B$1:$S$836,7,0),"")</f>
        <v>XN Bò AD</v>
      </c>
      <c r="I706" s="474" t="str">
        <f>IFERROR(VLOOKUP(B706,'03. THIẾT BỊ'!$B$1:$S$836,8,0),"")</f>
        <v/>
      </c>
      <c r="J706" s="471"/>
      <c r="K706" s="463" t="str">
        <f>IFERROR(VLOOKUP(B706,'03. THIẾT BỊ'!$B$1:$S$836,10,0),"")</f>
        <v>Bình thường</v>
      </c>
      <c r="L706" s="468" t="str">
        <f>IFERROR(VLOOKUP(B706,'03. THIẾT BỊ'!$B$1:$S$836,11,0),"")</f>
        <v/>
      </c>
      <c r="M706" s="472" t="str">
        <f>IFERROR(VLOOKUP(B706,'03. THIẾT BỊ'!$B$1:$S$836,12,0),"")</f>
        <v/>
      </c>
      <c r="N706" s="468" t="str">
        <f>IFERROR(VLOOKUP(B706,'03. THIẾT BỊ'!$B$1:$S$836,13,0),"")</f>
        <v>THACO AGRI</v>
      </c>
      <c r="O706" s="470" t="str">
        <f>IFERROR(VLOOKUP(B706,'03. THIẾT BỊ'!$B$1:$S$836,14,0),"")</f>
        <v>Cố định</v>
      </c>
      <c r="P706" s="468" t="str">
        <f>IFERROR(VLOOKUP(B706,'03. THIẾT BỊ'!$B$1:$S$836,15,0),"")</f>
        <v>CK-CGH</v>
      </c>
      <c r="Q706" s="48" t="str">
        <f>IFERROR(VLOOKUP(B706,'03. THIẾT BỊ'!$B$1:$S$836,16,0),"")</f>
        <v/>
      </c>
      <c r="R706" s="471" t="str">
        <f>IFERROR(VLOOKUP(B706,'03. THIẾT BỊ'!$B$1:$S$836,17,0),"")</f>
        <v/>
      </c>
      <c r="S706" s="468" t="str">
        <f>IFERROR(VLOOKUP(B706,'03. THIẾT BỊ'!$B$1:$S$836,18,0),"")</f>
        <v/>
      </c>
      <c r="T706" s="812"/>
    </row>
    <row r="707" ht="15.0" customHeight="1">
      <c r="A707" s="475">
        <f t="shared" si="34"/>
        <v>18</v>
      </c>
      <c r="B707" s="468" t="s">
        <v>5059</v>
      </c>
      <c r="C707" s="869" t="str">
        <f>IFERROR(VLOOKUP(B707,'03. THIẾT BỊ'!$B$1:$S$836,2,0),"")</f>
        <v/>
      </c>
      <c r="D707" s="470" t="str">
        <f>IFERROR(VLOOKUP(B707,'03. THIẾT BỊ'!$B$1:$S$836,3,0),"")</f>
        <v>A22-MBC-006</v>
      </c>
      <c r="E707" s="464" t="str">
        <f>IFERROR(VLOOKUP(B707,'03. THIẾT BỊ'!$B$1:$S$836,4,0),"")</f>
        <v>ĐQSD</v>
      </c>
      <c r="F707" s="464" t="str">
        <f>IFERROR(VLOOKUP(B707,'03. THIẾT BỊ'!$B$1:$S$836,5,0),"")</f>
        <v>Máy băm cỏ cố định</v>
      </c>
      <c r="G707" s="80" t="s">
        <v>6423</v>
      </c>
      <c r="H707" s="463" t="str">
        <f>IFERROR(VLOOKUP(B707,'03. THIẾT BỊ'!$B$1:$S$836,7,0),"")</f>
        <v>XN Bò AD</v>
      </c>
      <c r="I707" s="474" t="str">
        <f>IFERROR(VLOOKUP(B707,'03. THIẾT BỊ'!$B$1:$S$836,8,0),"")</f>
        <v/>
      </c>
      <c r="J707" s="471"/>
      <c r="K707" s="463" t="str">
        <f>IFERROR(VLOOKUP(B707,'03. THIẾT BỊ'!$B$1:$S$836,10,0),"")</f>
        <v>Bình thường</v>
      </c>
      <c r="L707" s="468" t="str">
        <f>IFERROR(VLOOKUP(B707,'03. THIẾT BỊ'!$B$1:$S$836,11,0),"")</f>
        <v/>
      </c>
      <c r="M707" s="472" t="str">
        <f>IFERROR(VLOOKUP(B707,'03. THIẾT BỊ'!$B$1:$S$836,12,0),"")</f>
        <v/>
      </c>
      <c r="N707" s="468" t="str">
        <f>IFERROR(VLOOKUP(B707,'03. THIẾT BỊ'!$B$1:$S$836,13,0),"")</f>
        <v>THACO AGRI</v>
      </c>
      <c r="O707" s="470" t="str">
        <f>IFERROR(VLOOKUP(B707,'03. THIẾT BỊ'!$B$1:$S$836,14,0),"")</f>
        <v>Cố định</v>
      </c>
      <c r="P707" s="468" t="str">
        <f>IFERROR(VLOOKUP(B707,'03. THIẾT BỊ'!$B$1:$S$836,15,0),"")</f>
        <v>CK-CGH</v>
      </c>
      <c r="Q707" s="48" t="str">
        <f>IFERROR(VLOOKUP(B707,'03. THIẾT BỊ'!$B$1:$S$836,16,0),"")</f>
        <v/>
      </c>
      <c r="R707" s="471" t="str">
        <f>IFERROR(VLOOKUP(B707,'03. THIẾT BỊ'!$B$1:$S$836,17,0),"")</f>
        <v/>
      </c>
      <c r="S707" s="468" t="str">
        <f>IFERROR(VLOOKUP(B707,'03. THIẾT BỊ'!$B$1:$S$836,18,0),"")</f>
        <v/>
      </c>
      <c r="T707" s="812"/>
    </row>
    <row r="708" ht="15.0" customHeight="1">
      <c r="A708" s="475">
        <f t="shared" si="34"/>
        <v>19</v>
      </c>
      <c r="B708" s="464" t="s">
        <v>4760</v>
      </c>
      <c r="C708" s="869" t="str">
        <f>IFERROR(VLOOKUP(B708,'03. THIẾT BỊ'!$B$1:$S$836,2,0),"")</f>
        <v>XD2-MBC-004</v>
      </c>
      <c r="D708" s="470" t="str">
        <f>IFERROR(VLOOKUP(B708,'03. THIẾT BỊ'!$B$1:$S$836,3,0),"")</f>
        <v>A23-MBC-004</v>
      </c>
      <c r="E708" s="464" t="str">
        <f>IFERROR(VLOOKUP(B708,'03. THIẾT BỊ'!$B$1:$S$836,4,0),"")</f>
        <v>ĐQSD</v>
      </c>
      <c r="F708" s="464" t="str">
        <f>IFERROR(VLOOKUP(B708,'03. THIẾT BỊ'!$B$1:$S$836,5,0),"")</f>
        <v>Máy băm cố định</v>
      </c>
      <c r="G708" s="80" t="s">
        <v>6423</v>
      </c>
      <c r="H708" s="463" t="str">
        <f>IFERROR(VLOOKUP(B708,'03. THIẾT BỊ'!$B$1:$S$836,7,0),"")</f>
        <v>XN Chuối DP2</v>
      </c>
      <c r="I708" s="474">
        <f>IFERROR(VLOOKUP(B708,'03. THIẾT BỊ'!$B$1:$S$836,8,0),"")</f>
        <v>45666</v>
      </c>
      <c r="J708" s="471"/>
      <c r="K708" s="463" t="str">
        <f>IFERROR(VLOOKUP(B708,'03. THIẾT BỊ'!$B$1:$S$836,10,0),"")</f>
        <v>Bình thường</v>
      </c>
      <c r="L708" s="468" t="str">
        <f>IFERROR(VLOOKUP(B708,'03. THIẾT BỊ'!$B$1:$S$836,11,0),"")</f>
        <v/>
      </c>
      <c r="M708" s="472" t="str">
        <f>IFERROR(VLOOKUP(B708,'03. THIẾT BỊ'!$B$1:$S$836,12,0),"")</f>
        <v/>
      </c>
      <c r="N708" s="468" t="str">
        <f>IFERROR(VLOOKUP(B708,'03. THIẾT BỊ'!$B$1:$S$836,13,0),"")</f>
        <v>THACO AGRI</v>
      </c>
      <c r="O708" s="470" t="str">
        <f>IFERROR(VLOOKUP(B708,'03. THIẾT BỊ'!$B$1:$S$836,14,0),"")</f>
        <v>CK-MB-22</v>
      </c>
      <c r="P708" s="468" t="str">
        <f>IFERROR(VLOOKUP(B708,'03. THIẾT BỊ'!$B$1:$S$836,15,0),"")</f>
        <v>CK-CGH</v>
      </c>
      <c r="Q708" s="48">
        <f>IFERROR(VLOOKUP(B708,'03. THIẾT BỊ'!$B$1:$S$836,16,0),"")</f>
        <v>2024</v>
      </c>
      <c r="R708" s="471" t="str">
        <f>IFERROR(VLOOKUP(B708,'03. THIẾT BỊ'!$B$1:$S$836,17,0),"")</f>
        <v>2,25x0,8x3,7m</v>
      </c>
      <c r="S708" s="468" t="str">
        <f>IFERROR(VLOOKUP(B708,'03. THIẾT BỊ'!$B$1:$S$836,18,0),"")</f>
        <v/>
      </c>
      <c r="T708" s="812"/>
    </row>
    <row r="709" ht="15.0" customHeight="1">
      <c r="A709" s="475">
        <f t="shared" si="34"/>
        <v>20</v>
      </c>
      <c r="B709" s="468" t="s">
        <v>5063</v>
      </c>
      <c r="C709" s="869" t="str">
        <f>IFERROR(VLOOKUP(B709,'03. THIẾT BỊ'!$B$1:$S$836,2,0),"")</f>
        <v/>
      </c>
      <c r="D709" s="470" t="str">
        <f>IFERROR(VLOOKUP(B709,'03. THIẾT BỊ'!$B$1:$S$836,3,0),"")</f>
        <v>A22-MBD-001</v>
      </c>
      <c r="E709" s="464" t="str">
        <f>IFERROR(VLOOKUP(B709,'03. THIẾT BỊ'!$B$1:$S$836,4,0),"")</f>
        <v>ĐQSD</v>
      </c>
      <c r="F709" s="464" t="str">
        <f>IFERROR(VLOOKUP(B709,'03. THIẾT BỊ'!$B$1:$S$836,5,0),"")</f>
        <v>Máy băm cỏ di động</v>
      </c>
      <c r="G709" s="80" t="s">
        <v>6423</v>
      </c>
      <c r="H709" s="463" t="str">
        <f>IFERROR(VLOOKUP(B709,'03. THIẾT BỊ'!$B$1:$S$836,7,0),"")</f>
        <v>XN Bò AD</v>
      </c>
      <c r="I709" s="474" t="str">
        <f>IFERROR(VLOOKUP(B709,'03. THIẾT BỊ'!$B$1:$S$836,8,0),"")</f>
        <v/>
      </c>
      <c r="J709" s="471"/>
      <c r="K709" s="463" t="str">
        <f>IFERROR(VLOOKUP(B709,'03. THIẾT BỊ'!$B$1:$S$836,10,0),"")</f>
        <v>Bình thường</v>
      </c>
      <c r="L709" s="468" t="str">
        <f>IFERROR(VLOOKUP(B709,'03. THIẾT BỊ'!$B$1:$S$836,11,0),"")</f>
        <v/>
      </c>
      <c r="M709" s="472" t="str">
        <f>IFERROR(VLOOKUP(B709,'03. THIẾT BỊ'!$B$1:$S$836,12,0),"")</f>
        <v/>
      </c>
      <c r="N709" s="468" t="str">
        <f>IFERROR(VLOOKUP(B709,'03. THIẾT BỊ'!$B$1:$S$836,13,0),"")</f>
        <v>THACO AGRI</v>
      </c>
      <c r="O709" s="470" t="str">
        <f>IFERROR(VLOOKUP(B709,'03. THIẾT BỊ'!$B$1:$S$836,14,0),"")</f>
        <v>Di động</v>
      </c>
      <c r="P709" s="468" t="str">
        <f>IFERROR(VLOOKUP(B709,'03. THIẾT BỊ'!$B$1:$S$836,15,0),"")</f>
        <v>CK-CGH</v>
      </c>
      <c r="Q709" s="48" t="str">
        <f>IFERROR(VLOOKUP(B709,'03. THIẾT BỊ'!$B$1:$S$836,16,0),"")</f>
        <v/>
      </c>
      <c r="R709" s="471" t="str">
        <f>IFERROR(VLOOKUP(B709,'03. THIẾT BỊ'!$B$1:$S$836,17,0),"")</f>
        <v/>
      </c>
      <c r="S709" s="468" t="str">
        <f>IFERROR(VLOOKUP(B709,'03. THIẾT BỊ'!$B$1:$S$836,18,0),"")</f>
        <v/>
      </c>
      <c r="T709" s="812"/>
    </row>
    <row r="710" ht="15.0" customHeight="1">
      <c r="A710" s="475">
        <f t="shared" si="34"/>
        <v>21</v>
      </c>
      <c r="B710" s="468" t="s">
        <v>5067</v>
      </c>
      <c r="C710" s="869" t="str">
        <f>IFERROR(VLOOKUP(B710,'03. THIẾT BỊ'!$B$1:$S$836,2,0),"")</f>
        <v/>
      </c>
      <c r="D710" s="470" t="str">
        <f>IFERROR(VLOOKUP(B710,'03. THIẾT BỊ'!$B$1:$S$836,3,0),"")</f>
        <v>A22-MBD-002</v>
      </c>
      <c r="E710" s="464" t="str">
        <f>IFERROR(VLOOKUP(B710,'03. THIẾT BỊ'!$B$1:$S$836,4,0),"")</f>
        <v>ĐQSD</v>
      </c>
      <c r="F710" s="464" t="str">
        <f>IFERROR(VLOOKUP(B710,'03. THIẾT BỊ'!$B$1:$S$836,5,0),"")</f>
        <v>Máy băm cỏ di động</v>
      </c>
      <c r="G710" s="80" t="s">
        <v>6423</v>
      </c>
      <c r="H710" s="463" t="str">
        <f>IFERROR(VLOOKUP(B710,'03. THIẾT BỊ'!$B$1:$S$836,7,0),"")</f>
        <v>XN Bò AD</v>
      </c>
      <c r="I710" s="474" t="str">
        <f>IFERROR(VLOOKUP(B710,'03. THIẾT BỊ'!$B$1:$S$836,8,0),"")</f>
        <v/>
      </c>
      <c r="J710" s="471"/>
      <c r="K710" s="463" t="str">
        <f>IFERROR(VLOOKUP(B710,'03. THIẾT BỊ'!$B$1:$S$836,10,0),"")</f>
        <v>Bình thường</v>
      </c>
      <c r="L710" s="468" t="str">
        <f>IFERROR(VLOOKUP(B710,'03. THIẾT BỊ'!$B$1:$S$836,11,0),"")</f>
        <v/>
      </c>
      <c r="M710" s="472" t="str">
        <f>IFERROR(VLOOKUP(B710,'03. THIẾT BỊ'!$B$1:$S$836,12,0),"")</f>
        <v/>
      </c>
      <c r="N710" s="468" t="str">
        <f>IFERROR(VLOOKUP(B710,'03. THIẾT BỊ'!$B$1:$S$836,13,0),"")</f>
        <v>THACO AGRI</v>
      </c>
      <c r="O710" s="470" t="str">
        <f>IFERROR(VLOOKUP(B710,'03. THIẾT BỊ'!$B$1:$S$836,14,0),"")</f>
        <v>Di động</v>
      </c>
      <c r="P710" s="468" t="str">
        <f>IFERROR(VLOOKUP(B710,'03. THIẾT BỊ'!$B$1:$S$836,15,0),"")</f>
        <v>CK-CGH</v>
      </c>
      <c r="Q710" s="48" t="str">
        <f>IFERROR(VLOOKUP(B710,'03. THIẾT BỊ'!$B$1:$S$836,16,0),"")</f>
        <v/>
      </c>
      <c r="R710" s="471" t="str">
        <f>IFERROR(VLOOKUP(B710,'03. THIẾT BỊ'!$B$1:$S$836,17,0),"")</f>
        <v/>
      </c>
      <c r="S710" s="468" t="str">
        <f>IFERROR(VLOOKUP(B710,'03. THIẾT BỊ'!$B$1:$S$836,18,0),"")</f>
        <v/>
      </c>
      <c r="T710" s="812"/>
    </row>
    <row r="711" ht="15.0" customHeight="1">
      <c r="A711" s="475">
        <f t="shared" si="34"/>
        <v>22</v>
      </c>
      <c r="B711" s="471" t="s">
        <v>5023</v>
      </c>
      <c r="C711" s="869" t="str">
        <f>IFERROR(VLOOKUP(B711,'03. THIẾT BỊ'!$B$1:$S$836,2,0),"")</f>
        <v/>
      </c>
      <c r="D711" s="470" t="str">
        <f>IFERROR(VLOOKUP(B711,'03. THIẾT BỊ'!$B$1:$S$836,3,0),"")</f>
        <v>A22-MBG-001</v>
      </c>
      <c r="E711" s="464" t="str">
        <f>IFERROR(VLOOKUP(B711,'03. THIẾT BỊ'!$B$1:$S$836,4,0),"")</f>
        <v>MUA MỚI</v>
      </c>
      <c r="F711" s="464" t="str">
        <f>IFERROR(VLOOKUP(B711,'03. THIẾT BỊ'!$B$1:$S$836,5,0),"")</f>
        <v>Máy băm gỗ DIESEL-VMECH</v>
      </c>
      <c r="G711" s="80" t="s">
        <v>6423</v>
      </c>
      <c r="H711" s="463" t="str">
        <f>IFERROR(VLOOKUP(B711,'03. THIẾT BỊ'!$B$1:$S$836,7,0),"")</f>
        <v>XN Bò AD</v>
      </c>
      <c r="I711" s="474">
        <f>IFERROR(VLOOKUP(B711,'03. THIẾT BỊ'!$B$1:$S$836,8,0),"")</f>
        <v>45292</v>
      </c>
      <c r="J711" s="471"/>
      <c r="K711" s="463" t="str">
        <f>IFERROR(VLOOKUP(B711,'03. THIẾT BỊ'!$B$1:$S$836,10,0),"")</f>
        <v>Bình thường</v>
      </c>
      <c r="L711" s="468" t="str">
        <f>IFERROR(VLOOKUP(B711,'03. THIẾT BỊ'!$B$1:$S$836,11,0),"")</f>
        <v/>
      </c>
      <c r="M711" s="472" t="str">
        <f>IFERROR(VLOOKUP(B711,'03. THIẾT BỊ'!$B$1:$S$836,12,0),"")</f>
        <v/>
      </c>
      <c r="N711" s="468" t="str">
        <f>IFERROR(VLOOKUP(B711,'03. THIẾT BỊ'!$B$1:$S$836,13,0),"")</f>
        <v>CAMBODIA</v>
      </c>
      <c r="O711" s="470" t="str">
        <f>IFERROR(VLOOKUP(B711,'03. THIẾT BỊ'!$B$1:$S$836,14,0),"")</f>
        <v/>
      </c>
      <c r="P711" s="468" t="str">
        <f>IFERROR(VLOOKUP(B711,'03. THIẾT BỊ'!$B$1:$S$836,15,0),"")</f>
        <v>CAMBODIA</v>
      </c>
      <c r="Q711" s="48" t="str">
        <f>IFERROR(VLOOKUP(B711,'03. THIẾT BỊ'!$B$1:$S$836,16,0),"")</f>
        <v/>
      </c>
      <c r="R711" s="471" t="str">
        <f>IFERROR(VLOOKUP(B711,'03. THIẾT BỊ'!$B$1:$S$836,17,0),"")</f>
        <v/>
      </c>
      <c r="S711" s="468" t="str">
        <f>IFERROR(VLOOKUP(B711,'03. THIẾT BỊ'!$B$1:$S$836,18,0),"")</f>
        <v/>
      </c>
      <c r="T711" s="812"/>
    </row>
    <row r="712" ht="30.0" customHeight="1">
      <c r="A712" s="475">
        <f t="shared" si="34"/>
        <v>23</v>
      </c>
      <c r="B712" s="468" t="s">
        <v>5026</v>
      </c>
      <c r="C712" s="869" t="str">
        <f>IFERROR(VLOOKUP(B712,'03. THIẾT BỊ'!$B$1:$S$836,2,0),"")</f>
        <v/>
      </c>
      <c r="D712" s="470" t="str">
        <f>IFERROR(VLOOKUP(B712,'03. THIẾT BỊ'!$B$1:$S$836,3,0),"")</f>
        <v>A22-MBG-002</v>
      </c>
      <c r="E712" s="464" t="str">
        <f>IFERROR(VLOOKUP(B712,'03. THIẾT BỊ'!$B$1:$S$836,4,0),"")</f>
        <v>ĐQSD</v>
      </c>
      <c r="F712" s="464" t="str">
        <f>IFERROR(VLOOKUP(B712,'03. THIẾT BỊ'!$B$1:$S$836,5,0),"")</f>
        <v>Máy băm gỗ cố định 185KW</v>
      </c>
      <c r="G712" s="80" t="s">
        <v>6423</v>
      </c>
      <c r="H712" s="463" t="str">
        <f>IFERROR(VLOOKUP(B712,'03. THIẾT BỊ'!$B$1:$S$836,7,0),"")</f>
        <v>XN Bò AD</v>
      </c>
      <c r="I712" s="474">
        <f>IFERROR(VLOOKUP(B712,'03. THIẾT BỊ'!$B$1:$S$836,8,0),"")</f>
        <v>45391</v>
      </c>
      <c r="J712" s="471"/>
      <c r="K712" s="463" t="str">
        <f>IFERROR(VLOOKUP(B712,'03. THIẾT BỊ'!$B$1:$S$836,10,0),"")</f>
        <v>Bình thường</v>
      </c>
      <c r="L712" s="468" t="str">
        <f>IFERROR(VLOOKUP(B712,'03. THIẾT BỊ'!$B$1:$S$836,11,0),"")</f>
        <v/>
      </c>
      <c r="M712" s="472" t="str">
        <f>IFERROR(VLOOKUP(B712,'03. THIẾT BỊ'!$B$1:$S$836,12,0),"")</f>
        <v>Gia công mới</v>
      </c>
      <c r="N712" s="468" t="str">
        <f>IFERROR(VLOOKUP(B712,'03. THIẾT BỊ'!$B$1:$S$836,13,0),"")</f>
        <v>THACO AGRI</v>
      </c>
      <c r="O712" s="470" t="str">
        <f>IFERROR(VLOOKUP(B712,'03. THIẾT BỊ'!$B$1:$S$836,14,0),"")</f>
        <v>CK-MBG-01</v>
      </c>
      <c r="P712" s="468" t="str">
        <f>IFERROR(VLOOKUP(B712,'03. THIẾT BỊ'!$B$1:$S$836,15,0),"")</f>
        <v>CK-CGH</v>
      </c>
      <c r="Q712" s="48">
        <f>IFERROR(VLOOKUP(B712,'03. THIẾT BỊ'!$B$1:$S$836,16,0),"")</f>
        <v>2024</v>
      </c>
      <c r="R712" s="471" t="str">
        <f>IFERROR(VLOOKUP(B712,'03. THIẾT BỊ'!$B$1:$S$836,17,0),"")</f>
        <v>3x3x2.4, 8 dao băm, motor 185 KW
-380V</v>
      </c>
      <c r="S712" s="468" t="str">
        <f>IFERROR(VLOOKUP(B712,'03. THIẾT BỊ'!$B$1:$S$836,18,0),"")</f>
        <v/>
      </c>
      <c r="T712" s="812"/>
    </row>
    <row r="713" ht="15.0" customHeight="1">
      <c r="A713" s="475">
        <f t="shared" si="34"/>
        <v>24</v>
      </c>
      <c r="B713" s="468" t="s">
        <v>5031</v>
      </c>
      <c r="C713" s="869" t="str">
        <f>IFERROR(VLOOKUP(B713,'03. THIẾT BỊ'!$B$1:$S$836,2,0),"")</f>
        <v/>
      </c>
      <c r="D713" s="470" t="str">
        <f>IFERROR(VLOOKUP(B713,'03. THIẾT BỊ'!$B$1:$S$836,3,0),"")</f>
        <v>A22-MBG-003</v>
      </c>
      <c r="E713" s="464" t="str">
        <f>IFERROR(VLOOKUP(B713,'03. THIẾT BỊ'!$B$1:$S$836,4,0),"")</f>
        <v>ĐQSD</v>
      </c>
      <c r="F713" s="464" t="str">
        <f>IFERROR(VLOOKUP(B713,'03. THIẾT BỊ'!$B$1:$S$836,5,0),"")</f>
        <v>Máy băm gỗ</v>
      </c>
      <c r="G713" s="80" t="s">
        <v>6423</v>
      </c>
      <c r="H713" s="463" t="str">
        <f>IFERROR(VLOOKUP(B713,'03. THIẾT BỊ'!$B$1:$S$836,7,0),"")</f>
        <v>XN Bò AD</v>
      </c>
      <c r="I713" s="474" t="str">
        <f>IFERROR(VLOOKUP(B713,'03. THIẾT BỊ'!$B$1:$S$836,8,0),"")</f>
        <v>14/10/2024</v>
      </c>
      <c r="J713" s="471"/>
      <c r="K713" s="463" t="str">
        <f>IFERROR(VLOOKUP(B713,'03. THIẾT BỊ'!$B$1:$S$836,10,0),"")</f>
        <v>Bình thường</v>
      </c>
      <c r="L713" s="468" t="str">
        <f>IFERROR(VLOOKUP(B713,'03. THIẾT BỊ'!$B$1:$S$836,11,0),"")</f>
        <v/>
      </c>
      <c r="M713" s="472" t="str">
        <f>IFERROR(VLOOKUP(B713,'03. THIẾT BỊ'!$B$1:$S$836,12,0),"")</f>
        <v>Mới</v>
      </c>
      <c r="N713" s="468" t="str">
        <f>IFERROR(VLOOKUP(B713,'03. THIẾT BỊ'!$B$1:$S$836,13,0),"")</f>
        <v>WEHAI</v>
      </c>
      <c r="O713" s="470" t="str">
        <f>IFERROR(VLOOKUP(B713,'03. THIẾT BỊ'!$B$1:$S$836,14,0),"")</f>
        <v>WP10D238E200</v>
      </c>
      <c r="P713" s="468" t="str">
        <f>IFERROR(VLOOKUP(B713,'03. THIẾT BỊ'!$B$1:$S$836,15,0),"")</f>
        <v>TRUNG QUỐC</v>
      </c>
      <c r="Q713" s="48">
        <f>IFERROR(VLOOKUP(B713,'03. THIẾT BỊ'!$B$1:$S$836,16,0),"")</f>
        <v>2024</v>
      </c>
      <c r="R713" s="471" t="str">
        <f>IFERROR(VLOOKUP(B713,'03. THIẾT BỊ'!$B$1:$S$836,17,0),"")</f>
        <v/>
      </c>
      <c r="S713" s="468" t="str">
        <f>IFERROR(VLOOKUP(B713,'03. THIẾT BỊ'!$B$1:$S$836,18,0),"")</f>
        <v>1624C014353</v>
      </c>
      <c r="T713" s="812"/>
    </row>
    <row r="714" ht="15.0" customHeight="1">
      <c r="A714" s="475">
        <f t="shared" si="34"/>
        <v>25</v>
      </c>
      <c r="B714" s="464" t="s">
        <v>5326</v>
      </c>
      <c r="C714" s="869" t="str">
        <f>IFERROR(VLOOKUP(B714,'03. THIẾT BỊ'!$B$1:$S$836,2,0),"")</f>
        <v>CK-MB-19</v>
      </c>
      <c r="D714" s="470" t="str">
        <f>IFERROR(VLOOKUP(B714,'03. THIẾT BỊ'!$B$1:$S$836,3,0),"")</f>
        <v>A22-TBB-001</v>
      </c>
      <c r="E714" s="464" t="str">
        <f>IFERROR(VLOOKUP(B714,'03. THIẾT BỊ'!$B$1:$S$836,4,0),"")</f>
        <v>ĐQSD</v>
      </c>
      <c r="F714" s="464" t="str">
        <f>IFERROR(VLOOKUP(B714,'03. THIẾT BỊ'!$B$1:$S$836,5,0),"")</f>
        <v>Máy băm công nghiệp</v>
      </c>
      <c r="G714" s="80" t="s">
        <v>6423</v>
      </c>
      <c r="H714" s="463" t="str">
        <f>IFERROR(VLOOKUP(B714,'03. THIẾT BỊ'!$B$1:$S$836,7,0),"")</f>
        <v>XN Bò AD</v>
      </c>
      <c r="I714" s="474" t="str">
        <f>IFERROR(VLOOKUP(B714,'03. THIẾT BỊ'!$B$1:$S$836,8,0),"")</f>
        <v>17/04/2024</v>
      </c>
      <c r="J714" s="471"/>
      <c r="K714" s="463" t="str">
        <f>IFERROR(VLOOKUP(B714,'03. THIẾT BỊ'!$B$1:$S$836,10,0),"")</f>
        <v>Bình thường</v>
      </c>
      <c r="L714" s="468" t="str">
        <f>IFERROR(VLOOKUP(B714,'03. THIẾT BỊ'!$B$1:$S$836,11,0),"")</f>
        <v/>
      </c>
      <c r="M714" s="472" t="str">
        <f>IFERROR(VLOOKUP(B714,'03. THIẾT BỊ'!$B$1:$S$836,12,0),"")</f>
        <v>Gia công mới</v>
      </c>
      <c r="N714" s="468" t="str">
        <f>IFERROR(VLOOKUP(B714,'03. THIẾT BỊ'!$B$1:$S$836,13,0),"")</f>
        <v>THACO AGRI</v>
      </c>
      <c r="O714" s="470" t="str">
        <f>IFERROR(VLOOKUP(B714,'03. THIẾT BỊ'!$B$1:$S$836,14,0),"")</f>
        <v/>
      </c>
      <c r="P714" s="468" t="str">
        <f>IFERROR(VLOOKUP(B714,'03. THIẾT BỊ'!$B$1:$S$836,15,0),"")</f>
        <v>THACO</v>
      </c>
      <c r="Q714" s="48" t="str">
        <f>IFERROR(VLOOKUP(B714,'03. THIẾT BỊ'!$B$1:$S$836,16,0),"")</f>
        <v/>
      </c>
      <c r="R714" s="471" t="str">
        <f>IFERROR(VLOOKUP(B714,'03. THIẾT BỊ'!$B$1:$S$836,17,0),"")</f>
        <v>DxRxC: 2.5m*1.8m*3m</v>
      </c>
      <c r="S714" s="468" t="str">
        <f>IFERROR(VLOOKUP(B714,'03. THIẾT BỊ'!$B$1:$S$836,18,0),"")</f>
        <v/>
      </c>
      <c r="T714" s="807"/>
    </row>
    <row r="715">
      <c r="A715" s="475">
        <f t="shared" si="34"/>
        <v>26</v>
      </c>
      <c r="B715" s="464" t="s">
        <v>4348</v>
      </c>
      <c r="C715" s="869" t="str">
        <f>IFERROR(VLOOKUP(B715,'03. THIẾT BỊ'!$B$1:$S$836,2,0),"")</f>
        <v>XB1-MBC -017</v>
      </c>
      <c r="D715" s="470" t="str">
        <f>IFERROR(VLOOKUP(B715,'03. THIẾT BỊ'!$B$1:$S$836,3,0),"")</f>
        <v>A23-MBC-002</v>
      </c>
      <c r="E715" s="464" t="str">
        <f>IFERROR(VLOOKUP(B715,'03. THIẾT BỊ'!$B$1:$S$836,4,0),"")</f>
        <v>ĐQSD</v>
      </c>
      <c r="F715" s="464" t="str">
        <f>IFERROR(VLOOKUP(B715,'03. THIẾT BỊ'!$B$1:$S$836,5,0),"")</f>
        <v>Máy băm cố định</v>
      </c>
      <c r="G715" s="80" t="s">
        <v>6423</v>
      </c>
      <c r="H715" s="463" t="str">
        <f>IFERROR(VLOOKUP(B715,'03. THIẾT BỊ'!$B$1:$S$836,7,0),"")</f>
        <v>XN Chuối DP3</v>
      </c>
      <c r="I715" s="474" t="str">
        <f>IFERROR(VLOOKUP(B715,'03. THIẾT BỊ'!$B$1:$S$836,8,0),"")</f>
        <v>26/08/2025</v>
      </c>
      <c r="J715" s="471"/>
      <c r="K715" s="463" t="str">
        <f>IFERROR(VLOOKUP(B715,'03. THIẾT BỊ'!$B$1:$S$836,10,0),"")</f>
        <v>Bình thường</v>
      </c>
      <c r="L715" s="468" t="str">
        <f>IFERROR(VLOOKUP(B715,'03. THIẾT BỊ'!$B$1:$S$836,11,0),"")</f>
        <v/>
      </c>
      <c r="M715" s="472" t="str">
        <f>IFERROR(VLOOKUP(B715,'03. THIẾT BỊ'!$B$1:$S$836,12,0),"")</f>
        <v>Gia công lại</v>
      </c>
      <c r="N715" s="468" t="str">
        <f>IFERROR(VLOOKUP(B715,'03. THIẾT BỊ'!$B$1:$S$836,13,0),"")</f>
        <v>THACO AGRI</v>
      </c>
      <c r="O715" s="470" t="str">
        <f>IFERROR(VLOOKUP(B715,'03. THIẾT BỊ'!$B$1:$S$836,14,0),"")</f>
        <v>CK-MB</v>
      </c>
      <c r="P715" s="468" t="str">
        <f>IFERROR(VLOOKUP(B715,'03. THIẾT BỊ'!$B$1:$S$836,15,0),"")</f>
        <v>CK-CGH</v>
      </c>
      <c r="Q715" s="48">
        <f>IFERROR(VLOOKUP(B715,'03. THIẾT BỊ'!$B$1:$S$836,16,0),"")</f>
        <v>2025</v>
      </c>
      <c r="R715" s="471" t="str">
        <f>IFERROR(VLOOKUP(B715,'03. THIẾT BỊ'!$B$1:$S$836,17,0),"")</f>
        <v/>
      </c>
      <c r="S715" s="468" t="str">
        <f>IFERROR(VLOOKUP(B715,'03. THIẾT BỊ'!$B$1:$S$836,18,0),"")</f>
        <v/>
      </c>
    </row>
    <row r="716">
      <c r="E716" s="464" t="str">
        <f>IFERROR(VLOOKUP(B716,'03. THIẾT BỊ'!$B$1:$S$836,4,0),"")</f>
        <v/>
      </c>
    </row>
    <row r="717">
      <c r="C717" s="869" t="str">
        <f>IFERROR(VLOOKUP(B717,'03. THIẾT BỊ'!$B$1:$S$836,2,0),"")</f>
        <v/>
      </c>
      <c r="D717" s="470" t="str">
        <f>IFERROR(VLOOKUP(B717,'03. THIẾT BỊ'!$B$1:$S$836,3,0),"")</f>
        <v/>
      </c>
      <c r="E717" s="464" t="str">
        <f>IFERROR(VLOOKUP(B717,'03. THIẾT BỊ'!$B$1:$S$836,4,0),"")</f>
        <v/>
      </c>
      <c r="F717" s="464" t="str">
        <f>IFERROR(VLOOKUP(B717,'03. THIẾT BỊ'!$B$1:$S$836,5,0),"")</f>
        <v/>
      </c>
      <c r="G717" s="80" t="s">
        <v>6423</v>
      </c>
      <c r="H717" s="463" t="str">
        <f>IFERROR(VLOOKUP(B717,'03. THIẾT BỊ'!$B$1:$S$836,7,0),"")</f>
        <v/>
      </c>
      <c r="I717" s="474" t="str">
        <f>IFERROR(VLOOKUP(B717,'03. THIẾT BỊ'!$B$1:$S$836,8,0),"")</f>
        <v/>
      </c>
      <c r="J717" s="471"/>
      <c r="K717" s="463" t="str">
        <f>IFERROR(VLOOKUP(B717,'03. THIẾT BỊ'!$B$1:$S$836,10,0),"")</f>
        <v/>
      </c>
      <c r="L717" s="468" t="str">
        <f>IFERROR(VLOOKUP(B717,'03. THIẾT BỊ'!$B$1:$S$836,11,0),"")</f>
        <v/>
      </c>
      <c r="M717" s="472" t="str">
        <f>IFERROR(VLOOKUP(B717,'03. THIẾT BỊ'!$B$1:$S$836,12,0),"")</f>
        <v/>
      </c>
      <c r="N717" s="468" t="str">
        <f>IFERROR(VLOOKUP(B717,'03. THIẾT BỊ'!$B$1:$S$836,13,0),"")</f>
        <v/>
      </c>
      <c r="O717" s="470" t="str">
        <f>IFERROR(VLOOKUP(B717,'03. THIẾT BỊ'!$B$1:$S$836,14,0),"")</f>
        <v/>
      </c>
      <c r="P717" s="468" t="str">
        <f>IFERROR(VLOOKUP(B717,'03. THIẾT BỊ'!$B$1:$S$836,15,0),"")</f>
        <v/>
      </c>
      <c r="Q717" s="48" t="str">
        <f>IFERROR(VLOOKUP(B717,'03. THIẾT BỊ'!$B$1:$S$836,16,0),"")</f>
        <v/>
      </c>
      <c r="R717" s="471" t="str">
        <f>IFERROR(VLOOKUP(B717,'03. THIẾT BỊ'!$B$1:$S$836,17,0),"")</f>
        <v/>
      </c>
      <c r="S717" s="468" t="str">
        <f>IFERROR(VLOOKUP(B717,'03. THIẾT BỊ'!$B$1:$S$836,18,0),"")</f>
        <v/>
      </c>
    </row>
    <row r="718" ht="15.0" customHeight="1">
      <c r="A718" s="455" t="s">
        <v>76</v>
      </c>
      <c r="B718" s="456" t="s">
        <v>8713</v>
      </c>
      <c r="C718" s="457">
        <f>COUNTA(B719:B726)</f>
        <v>6</v>
      </c>
      <c r="D718" s="458" t="str">
        <f>IFERROR(VLOOKUP(B718,'03. THIẾT BỊ'!$B$1:$S$836,3,0),"")</f>
        <v/>
      </c>
      <c r="E718" s="464" t="str">
        <f>IFERROR(VLOOKUP(B718,'03. THIẾT BỊ'!$B$1:$S$836,4,0),"")</f>
        <v/>
      </c>
      <c r="F718" s="458" t="str">
        <f>IFERROR(VLOOKUP(B718,'03. THIẾT BỊ'!$B$1:$S$836,5,0),"")</f>
        <v/>
      </c>
      <c r="G718" s="459" t="s">
        <v>6423</v>
      </c>
      <c r="H718" s="459" t="str">
        <f>IFERROR(VLOOKUP(B718,'03. THIẾT BỊ'!$B$1:$S$836,7,0),"")</f>
        <v/>
      </c>
      <c r="I718" s="457" t="str">
        <f>IFERROR(VLOOKUP(B718,'03. THIẾT BỊ'!$B$1:$S$836,8,0),"")</f>
        <v/>
      </c>
      <c r="J718" s="460"/>
      <c r="K718" s="457" t="str">
        <f>IFERROR(VLOOKUP(B718,'03. THIẾT BỊ'!$B$1:$S$836,10,0),"")</f>
        <v/>
      </c>
      <c r="L718" s="458" t="str">
        <f>IFERROR(VLOOKUP(B718,'03. THIẾT BỊ'!$B$1:$S$836,11,0),"")</f>
        <v/>
      </c>
      <c r="M718" s="461" t="str">
        <f>IFERROR(VLOOKUP(B718,'03. THIẾT BỊ'!$B$1:$S$836,12,0),"")</f>
        <v/>
      </c>
      <c r="N718" s="458" t="str">
        <f>IFERROR(VLOOKUP(B718,'03. THIẾT BỊ'!$B$1:$S$836,13,0),"")</f>
        <v/>
      </c>
      <c r="O718" s="461" t="str">
        <f>IFERROR(VLOOKUP(B718,'03. THIẾT BỊ'!$B$1:$S$836,14,0),"")</f>
        <v/>
      </c>
      <c r="P718" s="458" t="str">
        <f>IFERROR(VLOOKUP(B718,'03. THIẾT BỊ'!$B$1:$S$836,15,0),"")</f>
        <v/>
      </c>
      <c r="Q718" s="459" t="str">
        <f>IFERROR(VLOOKUP(B718,'03. THIẾT BỊ'!$B$1:$S$836,16,0),"")</f>
        <v/>
      </c>
      <c r="R718" s="458" t="str">
        <f>IFERROR(VLOOKUP(B718,'03. THIẾT BỊ'!$B$1:$S$836,17,0),"")</f>
        <v/>
      </c>
      <c r="S718" s="458" t="str">
        <f>IFERROR(VLOOKUP(B718,'03. THIẾT BỊ'!$B$1:$S$836,18,0),"")</f>
        <v/>
      </c>
      <c r="T718" s="866"/>
    </row>
    <row r="719" ht="15.0" customHeight="1">
      <c r="A719" s="463">
        <v>1.0</v>
      </c>
      <c r="B719" s="464" t="s">
        <v>4087</v>
      </c>
      <c r="C719" s="869" t="str">
        <f>IFERROR(VLOOKUP(B719,'03. THIẾT BỊ'!$B$1:$S$836,2,0),"")</f>
        <v>SPT09</v>
      </c>
      <c r="D719" s="470" t="str">
        <f>IFERROR(VLOOKUP(B719,'03. THIẾT BỊ'!$B$1:$S$836,3,0),"")</f>
        <v>A23-SPT-002</v>
      </c>
      <c r="E719" s="464" t="str">
        <f>IFERROR(VLOOKUP(B719,'03. THIẾT BỊ'!$B$1:$S$836,4,0),"")</f>
        <v>ĐQSD</v>
      </c>
      <c r="F719" s="464" t="str">
        <f>IFERROR(VLOOKUP(B719,'03. THIẾT BỊ'!$B$1:$S$836,5,0),"")</f>
        <v>Súng phun thuốc Hansung</v>
      </c>
      <c r="G719" s="80" t="s">
        <v>6423</v>
      </c>
      <c r="H719" s="463" t="str">
        <f>IFERROR(VLOOKUP(B719,'03. THIẾT BỊ'!$B$1:$S$836,7,0),"")</f>
        <v>XN Chuối DP2</v>
      </c>
      <c r="I719" s="474" t="str">
        <f>IFERROR(VLOOKUP(B719,'03. THIẾT BỊ'!$B$1:$S$836,8,0),"")</f>
        <v/>
      </c>
      <c r="J719" s="471"/>
      <c r="K719" s="463" t="str">
        <f>IFERROR(VLOOKUP(B719,'03. THIẾT BỊ'!$B$1:$S$836,10,0),"")</f>
        <v>Bình thường</v>
      </c>
      <c r="L719" s="468" t="str">
        <f>IFERROR(VLOOKUP(B719,'03. THIẾT BỊ'!$B$1:$S$836,11,0),"")</f>
        <v/>
      </c>
      <c r="M719" s="472" t="str">
        <f>IFERROR(VLOOKUP(B719,'03. THIẾT BỊ'!$B$1:$S$836,12,0),"")</f>
        <v/>
      </c>
      <c r="N719" s="468" t="str">
        <f>IFERROR(VLOOKUP(B719,'03. THIẾT BỊ'!$B$1:$S$836,13,0),"")</f>
        <v>THACO AGRI</v>
      </c>
      <c r="O719" s="470" t="str">
        <f>IFERROR(VLOOKUP(B719,'03. THIẾT BỊ'!$B$1:$S$836,14,0),"")</f>
        <v>HANSUNG</v>
      </c>
      <c r="P719" s="468" t="str">
        <f>IFERROR(VLOOKUP(B719,'03. THIẾT BỊ'!$B$1:$S$836,15,0),"")</f>
        <v>CK-CGH</v>
      </c>
      <c r="Q719" s="48" t="str">
        <f>IFERROR(VLOOKUP(B719,'03. THIẾT BỊ'!$B$1:$S$836,16,0),"")</f>
        <v/>
      </c>
      <c r="R719" s="471" t="str">
        <f>IFERROR(VLOOKUP(B719,'03. THIẾT BỊ'!$B$1:$S$836,17,0),"")</f>
        <v/>
      </c>
      <c r="S719" s="468" t="str">
        <f>IFERROR(VLOOKUP(B719,'03. THIẾT BỊ'!$B$1:$S$836,18,0),"")</f>
        <v>HS128-DK335</v>
      </c>
      <c r="T719" s="1495">
        <v>8.47</v>
      </c>
    </row>
    <row r="720" ht="15.0" customHeight="1">
      <c r="A720" s="463">
        <f t="shared" ref="A720:A724" si="35">A719+1</f>
        <v>2</v>
      </c>
      <c r="B720" s="486" t="s">
        <v>3916</v>
      </c>
      <c r="C720" s="869" t="str">
        <f>IFERROR(VLOOKUP(B720,'03. THIẾT BỊ'!$B$1:$S$836,2,0),"")</f>
        <v>SPT003(XD3-SPT-002)</v>
      </c>
      <c r="D720" s="470" t="str">
        <f>IFERROR(VLOOKUP(B720,'03. THIẾT BỊ'!$B$1:$S$836,3,0),"")</f>
        <v>A23-SPT-001</v>
      </c>
      <c r="E720" s="464" t="str">
        <f>IFERROR(VLOOKUP(B720,'03. THIẾT BỊ'!$B$1:$S$836,4,0),"")</f>
        <v>ĐQSD</v>
      </c>
      <c r="F720" s="464" t="str">
        <f>IFERROR(VLOOKUP(B720,'03. THIẾT BỊ'!$B$1:$S$836,5,0),"")</f>
        <v>Súng phun thuốc Hansung</v>
      </c>
      <c r="G720" s="80" t="s">
        <v>6423</v>
      </c>
      <c r="H720" s="463" t="str">
        <f>IFERROR(VLOOKUP(B720,'03. THIẾT BỊ'!$B$1:$S$836,7,0),"")</f>
        <v>XN Chuối DP1</v>
      </c>
      <c r="I720" s="474">
        <f>IFERROR(VLOOKUP(B720,'03. THIẾT BỊ'!$B$1:$S$836,8,0),"")</f>
        <v>45446</v>
      </c>
      <c r="J720" s="471"/>
      <c r="K720" s="463" t="str">
        <f>IFERROR(VLOOKUP(B720,'03. THIẾT BỊ'!$B$1:$S$836,10,0),"")</f>
        <v>Bình thường</v>
      </c>
      <c r="L720" s="468" t="str">
        <f>IFERROR(VLOOKUP(B720,'03. THIẾT BỊ'!$B$1:$S$836,11,0),"")</f>
        <v/>
      </c>
      <c r="M720" s="472" t="str">
        <f>IFERROR(VLOOKUP(B720,'03. THIẾT BỊ'!$B$1:$S$836,12,0),"")</f>
        <v/>
      </c>
      <c r="N720" s="468" t="str">
        <f>IFERROR(VLOOKUP(B720,'03. THIẾT BỊ'!$B$1:$S$836,13,0),"")</f>
        <v>HÀN QUỐC</v>
      </c>
      <c r="O720" s="470" t="str">
        <f>IFERROR(VLOOKUP(B720,'03. THIẾT BỊ'!$B$1:$S$836,14,0),"")</f>
        <v>HANSUNG</v>
      </c>
      <c r="P720" s="468" t="str">
        <f>IFERROR(VLOOKUP(B720,'03. THIẾT BỊ'!$B$1:$S$836,15,0),"")</f>
        <v>HÀN QUỐC</v>
      </c>
      <c r="Q720" s="48" t="str">
        <f>IFERROR(VLOOKUP(B720,'03. THIẾT BỊ'!$B$1:$S$836,16,0),"")</f>
        <v/>
      </c>
      <c r="R720" s="471" t="str">
        <f>IFERROR(VLOOKUP(B720,'03. THIẾT BỊ'!$B$1:$S$836,17,0),"")</f>
        <v/>
      </c>
      <c r="S720" s="468" t="str">
        <f>IFERROR(VLOOKUP(B720,'03. THIẾT BỊ'!$B$1:$S$836,18,0),"")</f>
        <v>HS128-TK317</v>
      </c>
      <c r="T720" s="1495">
        <v>8.47</v>
      </c>
    </row>
    <row r="721" ht="15.0" customHeight="1">
      <c r="A721" s="463">
        <f t="shared" si="35"/>
        <v>3</v>
      </c>
      <c r="B721" s="486" t="s">
        <v>4289</v>
      </c>
      <c r="C721" s="869" t="str">
        <f>IFERROR(VLOOKUP(B721,'03. THIẾT BỊ'!$B$1:$S$836,2,0),"")</f>
        <v>SPT002</v>
      </c>
      <c r="D721" s="470" t="str">
        <f>IFERROR(VLOOKUP(B721,'03. THIẾT BỊ'!$B$1:$S$836,3,0),"")</f>
        <v>A23-SPT-001</v>
      </c>
      <c r="E721" s="464" t="str">
        <f>IFERROR(VLOOKUP(B721,'03. THIẾT BỊ'!$B$1:$S$836,4,0),"")</f>
        <v>ĐQSD</v>
      </c>
      <c r="F721" s="464" t="str">
        <f>IFERROR(VLOOKUP(B721,'03. THIẾT BỊ'!$B$1:$S$836,5,0),"")</f>
        <v>Súng phun thuốc Hansung</v>
      </c>
      <c r="G721" s="80" t="s">
        <v>6423</v>
      </c>
      <c r="H721" s="463" t="str">
        <f>IFERROR(VLOOKUP(B721,'03. THIẾT BỊ'!$B$1:$S$836,7,0),"")</f>
        <v>XN Chuối DP3</v>
      </c>
      <c r="I721" s="474" t="str">
        <f>IFERROR(VLOOKUP(B721,'03. THIẾT BỊ'!$B$1:$S$836,8,0),"")</f>
        <v/>
      </c>
      <c r="J721" s="471"/>
      <c r="K721" s="463" t="str">
        <f>IFERROR(VLOOKUP(B721,'03. THIẾT BỊ'!$B$1:$S$836,10,0),"")</f>
        <v>Bình thường</v>
      </c>
      <c r="L721" s="468" t="str">
        <f>IFERROR(VLOOKUP(B721,'03. THIẾT BỊ'!$B$1:$S$836,11,0),"")</f>
        <v/>
      </c>
      <c r="M721" s="472" t="str">
        <f>IFERROR(VLOOKUP(B721,'03. THIẾT BỊ'!$B$1:$S$836,12,0),"")</f>
        <v/>
      </c>
      <c r="N721" s="468" t="str">
        <f>IFERROR(VLOOKUP(B721,'03. THIẾT BỊ'!$B$1:$S$836,13,0),"")</f>
        <v>HANSUNG</v>
      </c>
      <c r="O721" s="470" t="str">
        <f>IFERROR(VLOOKUP(B721,'03. THIẾT BỊ'!$B$1:$S$836,14,0),"")</f>
        <v>THACO</v>
      </c>
      <c r="P721" s="468" t="str">
        <f>IFERROR(VLOOKUP(B721,'03. THIẾT BỊ'!$B$1:$S$836,15,0),"")</f>
        <v>HÀN QUỐC</v>
      </c>
      <c r="Q721" s="48" t="str">
        <f>IFERROR(VLOOKUP(B721,'03. THIẾT BỊ'!$B$1:$S$836,16,0),"")</f>
        <v/>
      </c>
      <c r="R721" s="471" t="str">
        <f>IFERROR(VLOOKUP(B721,'03. THIẾT BỊ'!$B$1:$S$836,17,0),"")</f>
        <v/>
      </c>
      <c r="S721" s="468" t="str">
        <f>IFERROR(VLOOKUP(B721,'03. THIẾT BỊ'!$B$1:$S$836,18,0),"")</f>
        <v>HS 128-DP342</v>
      </c>
      <c r="T721" s="1495">
        <v>8.47</v>
      </c>
    </row>
    <row r="722" ht="15.0" customHeight="1">
      <c r="A722" s="463">
        <f t="shared" si="35"/>
        <v>4</v>
      </c>
      <c r="B722" s="464" t="s">
        <v>4541</v>
      </c>
      <c r="C722" s="869" t="str">
        <f>IFERROR(VLOOKUP(B722,'03. THIẾT BỊ'!$B$1:$S$836,2,0),"")</f>
        <v>LP4-SPT-001</v>
      </c>
      <c r="D722" s="470" t="str">
        <f>IFERROR(VLOOKUP(B722,'03. THIẾT BỊ'!$B$1:$S$836,3,0),"")</f>
        <v>A24-SPT-001</v>
      </c>
      <c r="E722" s="464" t="str">
        <f>IFERROR(VLOOKUP(B722,'03. THIẾT BỊ'!$B$1:$S$836,4,0),"")</f>
        <v>ĐQSD</v>
      </c>
      <c r="F722" s="464" t="str">
        <f>IFERROR(VLOOKUP(B722,'03. THIẾT BỊ'!$B$1:$S$836,5,0),"")</f>
        <v>Súng phun thuốc Hansung</v>
      </c>
      <c r="G722" s="80" t="s">
        <v>6423</v>
      </c>
      <c r="H722" s="463" t="str">
        <f>IFERROR(VLOOKUP(B722,'03. THIẾT BỊ'!$B$1:$S$836,7,0),"")</f>
        <v>XN Chuối LP1</v>
      </c>
      <c r="I722" s="474" t="str">
        <f>IFERROR(VLOOKUP(B722,'03. THIẾT BỊ'!$B$1:$S$836,8,0),"")</f>
        <v>22/11/2024</v>
      </c>
      <c r="J722" s="471"/>
      <c r="K722" s="463" t="str">
        <f>IFERROR(VLOOKUP(B722,'03. THIẾT BỊ'!$B$1:$S$836,10,0),"")</f>
        <v>Bình thường</v>
      </c>
      <c r="L722" s="468" t="str">
        <f>IFERROR(VLOOKUP(B722,'03. THIẾT BỊ'!$B$1:$S$836,11,0),"")</f>
        <v>Đ.chuyển từ XN LP4 ngày 22/11/2024</v>
      </c>
      <c r="M722" s="472" t="str">
        <f>IFERROR(VLOOKUP(B722,'03. THIẾT BỊ'!$B$1:$S$836,12,0),"")</f>
        <v/>
      </c>
      <c r="N722" s="468" t="str">
        <f>IFERROR(VLOOKUP(B722,'03. THIẾT BỊ'!$B$1:$S$836,13,0),"")</f>
        <v>HÀN QUỐC</v>
      </c>
      <c r="O722" s="470" t="str">
        <f>IFERROR(VLOOKUP(B722,'03. THIẾT BỊ'!$B$1:$S$836,14,0),"")</f>
        <v>HANSUNG</v>
      </c>
      <c r="P722" s="468" t="str">
        <f>IFERROR(VLOOKUP(B722,'03. THIẾT BỊ'!$B$1:$S$836,15,0),"")</f>
        <v>HÀN QUỐC</v>
      </c>
      <c r="Q722" s="48" t="str">
        <f>IFERROR(VLOOKUP(B722,'03. THIẾT BỊ'!$B$1:$S$836,16,0),"")</f>
        <v/>
      </c>
      <c r="R722" s="471" t="str">
        <f>IFERROR(VLOOKUP(B722,'03. THIẾT BỊ'!$B$1:$S$836,17,0),"")</f>
        <v/>
      </c>
      <c r="S722" s="468" t="str">
        <f>IFERROR(VLOOKUP(B722,'03. THIẾT BỊ'!$B$1:$S$836,18,0),"")</f>
        <v/>
      </c>
      <c r="T722" s="1495">
        <v>8.47</v>
      </c>
    </row>
    <row r="723" ht="15.0" customHeight="1">
      <c r="A723" s="463">
        <f t="shared" si="35"/>
        <v>5</v>
      </c>
      <c r="B723" s="464" t="s">
        <v>4635</v>
      </c>
      <c r="C723" s="869" t="str">
        <f>IFERROR(VLOOKUP(B723,'03. THIẾT BỊ'!$B$1:$S$836,2,0),"")</f>
        <v>LP1-SPT-001(SPT05)</v>
      </c>
      <c r="D723" s="470" t="str">
        <f>IFERROR(VLOOKUP(B723,'03. THIẾT BỊ'!$B$1:$S$836,3,0),"")</f>
        <v>A24-SPT-001</v>
      </c>
      <c r="E723" s="464" t="str">
        <f>IFERROR(VLOOKUP(B723,'03. THIẾT BỊ'!$B$1:$S$836,4,0),"")</f>
        <v>ĐQSD</v>
      </c>
      <c r="F723" s="464" t="str">
        <f>IFERROR(VLOOKUP(B723,'03. THIẾT BỊ'!$B$1:$S$836,5,0),"")</f>
        <v>Súng phun thuốc Hansung</v>
      </c>
      <c r="G723" s="80" t="s">
        <v>6423</v>
      </c>
      <c r="H723" s="463" t="str">
        <f>IFERROR(VLOOKUP(B723,'03. THIẾT BỊ'!$B$1:$S$836,7,0),"")</f>
        <v>XN Chuối LP3</v>
      </c>
      <c r="I723" s="474" t="str">
        <f>IFERROR(VLOOKUP(B723,'03. THIẾT BỊ'!$B$1:$S$836,8,0),"")</f>
        <v/>
      </c>
      <c r="J723" s="471"/>
      <c r="K723" s="463" t="str">
        <f>IFERROR(VLOOKUP(B723,'03. THIẾT BỊ'!$B$1:$S$836,10,0),"")</f>
        <v>Bình thường</v>
      </c>
      <c r="L723" s="468" t="str">
        <f>IFERROR(VLOOKUP(B723,'03. THIẾT BỊ'!$B$1:$S$836,11,0),"")</f>
        <v/>
      </c>
      <c r="M723" s="472" t="str">
        <f>IFERROR(VLOOKUP(B723,'03. THIẾT BỊ'!$B$1:$S$836,12,0),"")</f>
        <v/>
      </c>
      <c r="N723" s="468" t="str">
        <f>IFERROR(VLOOKUP(B723,'03. THIẾT BỊ'!$B$1:$S$836,13,0),"")</f>
        <v>HÀN QUỐC</v>
      </c>
      <c r="O723" s="470" t="str">
        <f>IFERROR(VLOOKUP(B723,'03. THIẾT BỊ'!$B$1:$S$836,14,0),"")</f>
        <v>HANSUNG</v>
      </c>
      <c r="P723" s="468" t="str">
        <f>IFERROR(VLOOKUP(B723,'03. THIẾT BỊ'!$B$1:$S$836,15,0),"")</f>
        <v>HÀN QUỐC</v>
      </c>
      <c r="Q723" s="48" t="str">
        <f>IFERROR(VLOOKUP(B723,'03. THIẾT BỊ'!$B$1:$S$836,16,0),"")</f>
        <v/>
      </c>
      <c r="R723" s="471" t="str">
        <f>IFERROR(VLOOKUP(B723,'03. THIẾT BỊ'!$B$1:$S$836,17,0),"")</f>
        <v/>
      </c>
      <c r="S723" s="468" t="str">
        <f>IFERROR(VLOOKUP(B723,'03. THIẾT BỊ'!$B$1:$S$836,18,0),"")</f>
        <v>HS128-NS305</v>
      </c>
      <c r="T723" s="1495">
        <v>8.47</v>
      </c>
    </row>
    <row r="724" ht="15.0" customHeight="1">
      <c r="A724" s="463">
        <f t="shared" si="35"/>
        <v>6</v>
      </c>
      <c r="B724" s="464" t="s">
        <v>4638</v>
      </c>
      <c r="C724" s="869" t="str">
        <f>IFERROR(VLOOKUP(B724,'03. THIẾT BỊ'!$B$1:$S$836,2,0),"")</f>
        <v>XAD-SPT-004(SPT10)</v>
      </c>
      <c r="D724" s="470" t="str">
        <f>IFERROR(VLOOKUP(B724,'03. THIẾT BỊ'!$B$1:$S$836,3,0),"")</f>
        <v>A22-SPT-002</v>
      </c>
      <c r="E724" s="464" t="str">
        <f>IFERROR(VLOOKUP(B724,'03. THIẾT BỊ'!$B$1:$S$836,4,0),"")</f>
        <v>ĐQSD</v>
      </c>
      <c r="F724" s="464" t="str">
        <f>IFERROR(VLOOKUP(B724,'03. THIẾT BỊ'!$B$1:$S$836,5,0),"")</f>
        <v>Súng phun thuốc Hansung</v>
      </c>
      <c r="G724" s="80" t="s">
        <v>6423</v>
      </c>
      <c r="H724" s="463" t="str">
        <f>IFERROR(VLOOKUP(B724,'03. THIẾT BỊ'!$B$1:$S$836,7,0),"")</f>
        <v>XN Chuối LP3</v>
      </c>
      <c r="I724" s="474" t="str">
        <f>IFERROR(VLOOKUP(B724,'03. THIẾT BỊ'!$B$1:$S$836,8,0),"")</f>
        <v/>
      </c>
      <c r="J724" s="471"/>
      <c r="K724" s="463" t="str">
        <f>IFERROR(VLOOKUP(B724,'03. THIẾT BỊ'!$B$1:$S$836,10,0),"")</f>
        <v>Bình thường</v>
      </c>
      <c r="L724" s="468" t="str">
        <f>IFERROR(VLOOKUP(B724,'03. THIẾT BỊ'!$B$1:$S$836,11,0),"")</f>
        <v>Đ.chuyển từ AD2 20/11/2024</v>
      </c>
      <c r="M724" s="472" t="str">
        <f>IFERROR(VLOOKUP(B724,'03. THIẾT BỊ'!$B$1:$S$836,12,0),"")</f>
        <v/>
      </c>
      <c r="N724" s="468" t="str">
        <f>IFERROR(VLOOKUP(B724,'03. THIẾT BỊ'!$B$1:$S$836,13,0),"")</f>
        <v>HÀN QUỐC</v>
      </c>
      <c r="O724" s="470" t="str">
        <f>IFERROR(VLOOKUP(B724,'03. THIẾT BỊ'!$B$1:$S$836,14,0),"")</f>
        <v>HANSUNG</v>
      </c>
      <c r="P724" s="468" t="str">
        <f>IFERROR(VLOOKUP(B724,'03. THIẾT BỊ'!$B$1:$S$836,15,0),"")</f>
        <v>HÀN QUỐC</v>
      </c>
      <c r="Q724" s="48" t="str">
        <f>IFERROR(VLOOKUP(B724,'03. THIẾT BỊ'!$B$1:$S$836,16,0),"")</f>
        <v/>
      </c>
      <c r="R724" s="471" t="str">
        <f>IFERROR(VLOOKUP(B724,'03. THIẾT BỊ'!$B$1:$S$836,17,0),"")</f>
        <v/>
      </c>
      <c r="S724" s="468" t="str">
        <f>IFERROR(VLOOKUP(B724,'03. THIẾT BỊ'!$B$1:$S$836,18,0),"")</f>
        <v>HS128-DP343</v>
      </c>
      <c r="T724" s="1495">
        <v>8.47</v>
      </c>
    </row>
    <row r="725">
      <c r="C725" s="869" t="str">
        <f>IFERROR(VLOOKUP(B725,'03. THIẾT BỊ'!$B$1:$S$836,2,0),"")</f>
        <v/>
      </c>
      <c r="D725" s="470" t="str">
        <f>IFERROR(VLOOKUP(B725,'03. THIẾT BỊ'!$B$1:$S$836,3,0),"")</f>
        <v/>
      </c>
      <c r="E725" s="464" t="str">
        <f>IFERROR(VLOOKUP(B725,'03. THIẾT BỊ'!$B$1:$S$836,4,0),"")</f>
        <v/>
      </c>
      <c r="F725" s="464" t="str">
        <f>IFERROR(VLOOKUP(B725,'03. THIẾT BỊ'!$B$1:$S$836,5,0),"")</f>
        <v/>
      </c>
      <c r="G725" s="80" t="s">
        <v>6423</v>
      </c>
      <c r="H725" s="463" t="str">
        <f>IFERROR(VLOOKUP(B725,'03. THIẾT BỊ'!$B$1:$S$836,7,0),"")</f>
        <v/>
      </c>
      <c r="I725" s="474" t="str">
        <f>IFERROR(VLOOKUP(B725,'03. THIẾT BỊ'!$B$1:$S$836,8,0),"")</f>
        <v/>
      </c>
      <c r="J725" s="471"/>
      <c r="K725" s="463" t="str">
        <f>IFERROR(VLOOKUP(B725,'03. THIẾT BỊ'!$B$1:$S$836,10,0),"")</f>
        <v/>
      </c>
      <c r="L725" s="468" t="str">
        <f>IFERROR(VLOOKUP(B725,'03. THIẾT BỊ'!$B$1:$S$836,11,0),"")</f>
        <v/>
      </c>
      <c r="M725" s="472" t="str">
        <f>IFERROR(VLOOKUP(B725,'03. THIẾT BỊ'!$B$1:$S$836,12,0),"")</f>
        <v/>
      </c>
      <c r="N725" s="468" t="str">
        <f>IFERROR(VLOOKUP(B725,'03. THIẾT BỊ'!$B$1:$S$836,13,0),"")</f>
        <v/>
      </c>
      <c r="O725" s="470" t="str">
        <f>IFERROR(VLOOKUP(B725,'03. THIẾT BỊ'!$B$1:$S$836,14,0),"")</f>
        <v/>
      </c>
      <c r="P725" s="468" t="str">
        <f>IFERROR(VLOOKUP(B725,'03. THIẾT BỊ'!$B$1:$S$836,15,0),"")</f>
        <v/>
      </c>
      <c r="Q725" s="48" t="str">
        <f>IFERROR(VLOOKUP(B725,'03. THIẾT BỊ'!$B$1:$S$836,16,0),"")</f>
        <v/>
      </c>
      <c r="R725" s="471" t="str">
        <f>IFERROR(VLOOKUP(B725,'03. THIẾT BỊ'!$B$1:$S$836,17,0),"")</f>
        <v/>
      </c>
      <c r="S725" s="468" t="str">
        <f>IFERROR(VLOOKUP(B725,'03. THIẾT BỊ'!$B$1:$S$836,18,0),"")</f>
        <v/>
      </c>
    </row>
    <row r="726">
      <c r="C726" s="869" t="str">
        <f>IFERROR(VLOOKUP(B726,'03. THIẾT BỊ'!$B$1:$S$836,2,0),"")</f>
        <v/>
      </c>
      <c r="D726" s="470" t="str">
        <f>IFERROR(VLOOKUP(B726,'03. THIẾT BỊ'!$B$1:$S$836,3,0),"")</f>
        <v/>
      </c>
      <c r="E726" s="464" t="str">
        <f>IFERROR(VLOOKUP(B726,'03. THIẾT BỊ'!$B$1:$S$836,4,0),"")</f>
        <v/>
      </c>
      <c r="F726" s="464" t="str">
        <f>IFERROR(VLOOKUP(B726,'03. THIẾT BỊ'!$B$1:$S$836,5,0),"")</f>
        <v/>
      </c>
      <c r="G726" s="80" t="s">
        <v>6423</v>
      </c>
      <c r="H726" s="463" t="str">
        <f>IFERROR(VLOOKUP(B726,'03. THIẾT BỊ'!$B$1:$S$836,7,0),"")</f>
        <v/>
      </c>
      <c r="I726" s="474" t="str">
        <f>IFERROR(VLOOKUP(B726,'03. THIẾT BỊ'!$B$1:$S$836,8,0),"")</f>
        <v/>
      </c>
      <c r="J726" s="471"/>
      <c r="K726" s="463" t="str">
        <f>IFERROR(VLOOKUP(B726,'03. THIẾT BỊ'!$B$1:$S$836,10,0),"")</f>
        <v/>
      </c>
      <c r="L726" s="468" t="str">
        <f>IFERROR(VLOOKUP(B726,'03. THIẾT BỊ'!$B$1:$S$836,11,0),"")</f>
        <v/>
      </c>
      <c r="M726" s="472" t="str">
        <f>IFERROR(VLOOKUP(B726,'03. THIẾT BỊ'!$B$1:$S$836,12,0),"")</f>
        <v/>
      </c>
      <c r="N726" s="468" t="str">
        <f>IFERROR(VLOOKUP(B726,'03. THIẾT BỊ'!$B$1:$S$836,13,0),"")</f>
        <v/>
      </c>
      <c r="O726" s="470" t="str">
        <f>IFERROR(VLOOKUP(B726,'03. THIẾT BỊ'!$B$1:$S$836,14,0),"")</f>
        <v/>
      </c>
      <c r="P726" s="468" t="str">
        <f>IFERROR(VLOOKUP(B726,'03. THIẾT BỊ'!$B$1:$S$836,15,0),"")</f>
        <v/>
      </c>
      <c r="Q726" s="48" t="str">
        <f>IFERROR(VLOOKUP(B726,'03. THIẾT BỊ'!$B$1:$S$836,16,0),"")</f>
        <v/>
      </c>
      <c r="R726" s="471" t="str">
        <f>IFERROR(VLOOKUP(B726,'03. THIẾT BỊ'!$B$1:$S$836,17,0),"")</f>
        <v/>
      </c>
      <c r="S726" s="468" t="str">
        <f>IFERROR(VLOOKUP(B726,'03. THIẾT BỊ'!$B$1:$S$836,18,0),"")</f>
        <v/>
      </c>
    </row>
    <row r="727" ht="15.0" customHeight="1">
      <c r="A727" s="455" t="s">
        <v>76</v>
      </c>
      <c r="B727" s="456" t="s">
        <v>8714</v>
      </c>
      <c r="C727" s="457">
        <f>COUNTA(B728:B740)</f>
        <v>12</v>
      </c>
      <c r="D727" s="458" t="str">
        <f>IFERROR(VLOOKUP(B727,'03. THIẾT BỊ'!$B$1:$S$836,3,0),"")</f>
        <v/>
      </c>
      <c r="E727" s="464" t="str">
        <f>IFERROR(VLOOKUP(B727,'03. THIẾT BỊ'!$B$1:$S$836,4,0),"")</f>
        <v/>
      </c>
      <c r="F727" s="458" t="str">
        <f>IFERROR(VLOOKUP(B727,'03. THIẾT BỊ'!$B$1:$S$836,5,0),"")</f>
        <v/>
      </c>
      <c r="G727" s="459" t="s">
        <v>6423</v>
      </c>
      <c r="H727" s="459" t="str">
        <f>IFERROR(VLOOKUP(B727,'03. THIẾT BỊ'!$B$1:$S$836,7,0),"")</f>
        <v/>
      </c>
      <c r="I727" s="457" t="str">
        <f>IFERROR(VLOOKUP(B727,'03. THIẾT BỊ'!$B$1:$S$836,8,0),"")</f>
        <v/>
      </c>
      <c r="J727" s="460"/>
      <c r="K727" s="457" t="str">
        <f>IFERROR(VLOOKUP(B727,'03. THIẾT BỊ'!$B$1:$S$836,10,0),"")</f>
        <v/>
      </c>
      <c r="L727" s="458" t="str">
        <f>IFERROR(VLOOKUP(B727,'03. THIẾT BỊ'!$B$1:$S$836,11,0),"")</f>
        <v/>
      </c>
      <c r="M727" s="461" t="str">
        <f>IFERROR(VLOOKUP(B727,'03. THIẾT BỊ'!$B$1:$S$836,12,0),"")</f>
        <v/>
      </c>
      <c r="N727" s="458" t="str">
        <f>IFERROR(VLOOKUP(B727,'03. THIẾT BỊ'!$B$1:$S$836,13,0),"")</f>
        <v/>
      </c>
      <c r="O727" s="461" t="str">
        <f>IFERROR(VLOOKUP(B727,'03. THIẾT BỊ'!$B$1:$S$836,14,0),"")</f>
        <v/>
      </c>
      <c r="P727" s="458" t="str">
        <f>IFERROR(VLOOKUP(B727,'03. THIẾT BỊ'!$B$1:$S$836,15,0),"")</f>
        <v/>
      </c>
      <c r="Q727" s="459" t="str">
        <f>IFERROR(VLOOKUP(B727,'03. THIẾT BỊ'!$B$1:$S$836,16,0),"")</f>
        <v/>
      </c>
      <c r="R727" s="458" t="str">
        <f>IFERROR(VLOOKUP(B727,'03. THIẾT BỊ'!$B$1:$S$836,17,0),"")</f>
        <v/>
      </c>
      <c r="S727" s="458" t="str">
        <f>IFERROR(VLOOKUP(B727,'03. THIẾT BỊ'!$B$1:$S$836,18,0),"")</f>
        <v/>
      </c>
      <c r="T727" s="866"/>
    </row>
    <row r="728" ht="15.0" customHeight="1">
      <c r="A728" s="463">
        <v>1.0</v>
      </c>
      <c r="B728" s="468" t="s">
        <v>4960</v>
      </c>
      <c r="C728" s="869" t="str">
        <f>IFERROR(VLOOKUP(B728,'03. THIẾT BỊ'!$B$1:$S$836,2,0),"")</f>
        <v/>
      </c>
      <c r="D728" s="470" t="str">
        <f>IFERROR(VLOOKUP(B728,'03. THIẾT BỊ'!$B$1:$S$836,3,0),"")</f>
        <v>A22-THC-001</v>
      </c>
      <c r="E728" s="464" t="str">
        <f>IFERROR(VLOOKUP(B728,'03. THIẾT BỊ'!$B$1:$S$836,4,0),"")</f>
        <v>MUA MỚI</v>
      </c>
      <c r="F728" s="464" t="str">
        <f>IFERROR(VLOOKUP(B728,'03. THIẾT BỊ'!$B$1:$S$836,5,0),"")</f>
        <v>Thiết bị thu hoạch cỏ CHALLENGER II</v>
      </c>
      <c r="G728" s="80" t="s">
        <v>6423</v>
      </c>
      <c r="H728" s="463" t="str">
        <f>IFERROR(VLOOKUP(B728,'03. THIẾT BỊ'!$B$1:$S$836,7,0),"")</f>
        <v>XN Bò AD</v>
      </c>
      <c r="I728" s="474">
        <f>IFERROR(VLOOKUP(B728,'03. THIẾT BỊ'!$B$1:$S$836,8,0),"")</f>
        <v>45292</v>
      </c>
      <c r="J728" s="471"/>
      <c r="K728" s="463" t="str">
        <f>IFERROR(VLOOKUP(B728,'03. THIẾT BỊ'!$B$1:$S$836,10,0),"")</f>
        <v>Hư hỏng</v>
      </c>
      <c r="L728" s="468" t="str">
        <f>IFERROR(VLOOKUP(B728,'03. THIẾT BỊ'!$B$1:$S$836,11,0),"")</f>
        <v/>
      </c>
      <c r="M728" s="472" t="str">
        <f>IFERROR(VLOOKUP(B728,'03. THIẾT BỊ'!$B$1:$S$836,12,0),"")</f>
        <v/>
      </c>
      <c r="N728" s="468" t="str">
        <f>IFERROR(VLOOKUP(B728,'03. THIẾT BỊ'!$B$1:$S$836,13,0),"")</f>
        <v>CELIKEL</v>
      </c>
      <c r="O728" s="470" t="str">
        <f>IFERROR(VLOOKUP(B728,'03. THIẾT BỊ'!$B$1:$S$836,14,0),"")</f>
        <v>CHALLENGER II</v>
      </c>
      <c r="P728" s="468" t="str">
        <f>IFERROR(VLOOKUP(B728,'03. THIẾT BỊ'!$B$1:$S$836,15,0),"")</f>
        <v>THỔ NHỈ KỲ</v>
      </c>
      <c r="Q728" s="48">
        <f>IFERROR(VLOOKUP(B728,'03. THIẾT BỊ'!$B$1:$S$836,16,0),"")</f>
        <v>2019</v>
      </c>
      <c r="R728" s="471" t="str">
        <f>IFERROR(VLOOKUP(B728,'03. THIẾT BỊ'!$B$1:$S$836,17,0),"")</f>
        <v/>
      </c>
      <c r="S728" s="468" t="str">
        <f>IFERROR(VLOOKUP(B728,'03. THIẾT BỊ'!$B$1:$S$836,18,0),"")</f>
        <v/>
      </c>
      <c r="T728" s="812"/>
    </row>
    <row r="729" ht="15.0" customHeight="1">
      <c r="A729" s="463">
        <f t="shared" ref="A729:A739" si="36">A728+1</f>
        <v>2</v>
      </c>
      <c r="B729" s="468" t="s">
        <v>4967</v>
      </c>
      <c r="C729" s="869" t="str">
        <f>IFERROR(VLOOKUP(B729,'03. THIẾT BỊ'!$B$1:$S$836,2,0),"")</f>
        <v/>
      </c>
      <c r="D729" s="470" t="str">
        <f>IFERROR(VLOOKUP(B729,'03. THIẾT BỊ'!$B$1:$S$836,3,0),"")</f>
        <v>A22-THC-002</v>
      </c>
      <c r="E729" s="464" t="str">
        <f>IFERROR(VLOOKUP(B729,'03. THIẾT BỊ'!$B$1:$S$836,4,0),"")</f>
        <v>MUA MỚI</v>
      </c>
      <c r="F729" s="464" t="str">
        <f>IFERROR(VLOOKUP(B729,'03. THIẾT BỊ'!$B$1:$S$836,5,0),"")</f>
        <v>Thiết bị thu hoạch cỏ CHALLENGER II</v>
      </c>
      <c r="G729" s="80" t="s">
        <v>6423</v>
      </c>
      <c r="H729" s="463" t="str">
        <f>IFERROR(VLOOKUP(B729,'03. THIẾT BỊ'!$B$1:$S$836,7,0),"")</f>
        <v>XN Bò AD</v>
      </c>
      <c r="I729" s="474">
        <f>IFERROR(VLOOKUP(B729,'03. THIẾT BỊ'!$B$1:$S$836,8,0),"")</f>
        <v>45292</v>
      </c>
      <c r="J729" s="471"/>
      <c r="K729" s="463" t="str">
        <f>IFERROR(VLOOKUP(B729,'03. THIẾT BỊ'!$B$1:$S$836,10,0),"")</f>
        <v>Bình thường</v>
      </c>
      <c r="L729" s="468" t="str">
        <f>IFERROR(VLOOKUP(B729,'03. THIẾT BỊ'!$B$1:$S$836,11,0),"")</f>
        <v/>
      </c>
      <c r="M729" s="472" t="str">
        <f>IFERROR(VLOOKUP(B729,'03. THIẾT BỊ'!$B$1:$S$836,12,0),"")</f>
        <v/>
      </c>
      <c r="N729" s="468" t="str">
        <f>IFERROR(VLOOKUP(B729,'03. THIẾT BỊ'!$B$1:$S$836,13,0),"")</f>
        <v>CELIKEL</v>
      </c>
      <c r="O729" s="470" t="str">
        <f>IFERROR(VLOOKUP(B729,'03. THIẾT BỊ'!$B$1:$S$836,14,0),"")</f>
        <v>CHALLENGER II</v>
      </c>
      <c r="P729" s="468" t="str">
        <f>IFERROR(VLOOKUP(B729,'03. THIẾT BỊ'!$B$1:$S$836,15,0),"")</f>
        <v>THỔ NHỈ KỲ</v>
      </c>
      <c r="Q729" s="48">
        <f>IFERROR(VLOOKUP(B729,'03. THIẾT BỊ'!$B$1:$S$836,16,0),"")</f>
        <v>2022</v>
      </c>
      <c r="R729" s="471" t="str">
        <f>IFERROR(VLOOKUP(B729,'03. THIẾT BỊ'!$B$1:$S$836,17,0),"")</f>
        <v/>
      </c>
      <c r="S729" s="468" t="str">
        <f>IFERROR(VLOOKUP(B729,'03. THIẾT BỊ'!$B$1:$S$836,18,0),"")</f>
        <v>SBM-220038</v>
      </c>
      <c r="T729" s="812"/>
    </row>
    <row r="730" ht="15.0" customHeight="1">
      <c r="A730" s="463">
        <f t="shared" si="36"/>
        <v>3</v>
      </c>
      <c r="B730" s="468" t="s">
        <v>4970</v>
      </c>
      <c r="C730" s="869" t="str">
        <f>IFERROR(VLOOKUP(B730,'03. THIẾT BỊ'!$B$1:$S$836,2,0),"")</f>
        <v/>
      </c>
      <c r="D730" s="470" t="str">
        <f>IFERROR(VLOOKUP(B730,'03. THIẾT BỊ'!$B$1:$S$836,3,0),"")</f>
        <v>A22-THC-003</v>
      </c>
      <c r="E730" s="464" t="str">
        <f>IFERROR(VLOOKUP(B730,'03. THIẾT BỊ'!$B$1:$S$836,4,0),"")</f>
        <v>MUA MỚI</v>
      </c>
      <c r="F730" s="464" t="str">
        <f>IFERROR(VLOOKUP(B730,'03. THIẾT BỊ'!$B$1:$S$836,5,0),"")</f>
        <v>Thiết bị thu hoạch cỏ CHALLENGER II PLUS</v>
      </c>
      <c r="G730" s="80" t="s">
        <v>6423</v>
      </c>
      <c r="H730" s="463" t="str">
        <f>IFERROR(VLOOKUP(B730,'03. THIẾT BỊ'!$B$1:$S$836,7,0),"")</f>
        <v>XN Bò AD</v>
      </c>
      <c r="I730" s="474" t="str">
        <f>IFERROR(VLOOKUP(B730,'03. THIẾT BỊ'!$B$1:$S$836,8,0),"")</f>
        <v>16/08/2024</v>
      </c>
      <c r="J730" s="471"/>
      <c r="K730" s="463" t="str">
        <f>IFERROR(VLOOKUP(B730,'03. THIẾT BỊ'!$B$1:$S$836,10,0),"")</f>
        <v>Bình thường</v>
      </c>
      <c r="L730" s="468" t="str">
        <f>IFERROR(VLOOKUP(B730,'03. THIẾT BỊ'!$B$1:$S$836,11,0),"")</f>
        <v/>
      </c>
      <c r="M730" s="472" t="str">
        <f>IFERROR(VLOOKUP(B730,'03. THIẾT BỊ'!$B$1:$S$836,12,0),"")</f>
        <v/>
      </c>
      <c r="N730" s="468" t="str">
        <f>IFERROR(VLOOKUP(B730,'03. THIẾT BỊ'!$B$1:$S$836,13,0),"")</f>
        <v>CELIKEL</v>
      </c>
      <c r="O730" s="470" t="str">
        <f>IFERROR(VLOOKUP(B730,'03. THIẾT BỊ'!$B$1:$S$836,14,0),"")</f>
        <v>CHALLENGER II PLUS</v>
      </c>
      <c r="P730" s="468" t="str">
        <f>IFERROR(VLOOKUP(B730,'03. THIẾT BỊ'!$B$1:$S$836,15,0),"")</f>
        <v>THỔ NHỈ KỲ</v>
      </c>
      <c r="Q730" s="48">
        <f>IFERROR(VLOOKUP(B730,'03. THIẾT BỊ'!$B$1:$S$836,16,0),"")</f>
        <v>2022</v>
      </c>
      <c r="R730" s="471" t="str">
        <f>IFERROR(VLOOKUP(B730,'03. THIẾT BỊ'!$B$1:$S$836,17,0),"")</f>
        <v>- Kèm trục các đăng </v>
      </c>
      <c r="S730" s="468" t="str">
        <f>IFERROR(VLOOKUP(B730,'03. THIẾT BỊ'!$B$1:$S$836,18,0),"")</f>
        <v>SBM-221203</v>
      </c>
      <c r="T730" s="812"/>
    </row>
    <row r="731" ht="15.0" customHeight="1">
      <c r="A731" s="463">
        <f t="shared" si="36"/>
        <v>4</v>
      </c>
      <c r="B731" s="468" t="s">
        <v>4976</v>
      </c>
      <c r="C731" s="869" t="str">
        <f>IFERROR(VLOOKUP(B731,'03. THIẾT BỊ'!$B$1:$S$836,2,0),"")</f>
        <v/>
      </c>
      <c r="D731" s="470" t="str">
        <f>IFERROR(VLOOKUP(B731,'03. THIẾT BỊ'!$B$1:$S$836,3,0),"")</f>
        <v>A22-THC-004</v>
      </c>
      <c r="E731" s="464" t="str">
        <f>IFERROR(VLOOKUP(B731,'03. THIẾT BỊ'!$B$1:$S$836,4,0),"")</f>
        <v>MUA MỚI</v>
      </c>
      <c r="F731" s="464" t="str">
        <f>IFERROR(VLOOKUP(B731,'03. THIẾT BỊ'!$B$1:$S$836,5,0),"")</f>
        <v>Thiết bị thu hoạch cỏ CHALLENGER II PLUS</v>
      </c>
      <c r="G731" s="80" t="s">
        <v>6423</v>
      </c>
      <c r="H731" s="463" t="str">
        <f>IFERROR(VLOOKUP(B731,'03. THIẾT BỊ'!$B$1:$S$836,7,0),"")</f>
        <v>XN Bò AD</v>
      </c>
      <c r="I731" s="474" t="str">
        <f>IFERROR(VLOOKUP(B731,'03. THIẾT BỊ'!$B$1:$S$836,8,0),"")</f>
        <v>16/08/2024</v>
      </c>
      <c r="J731" s="471"/>
      <c r="K731" s="463" t="str">
        <f>IFERROR(VLOOKUP(B731,'03. THIẾT BỊ'!$B$1:$S$836,10,0),"")</f>
        <v>Bình thường</v>
      </c>
      <c r="L731" s="468" t="str">
        <f>IFERROR(VLOOKUP(B731,'03. THIẾT BỊ'!$B$1:$S$836,11,0),"")</f>
        <v/>
      </c>
      <c r="M731" s="472" t="str">
        <f>IFERROR(VLOOKUP(B731,'03. THIẾT BỊ'!$B$1:$S$836,12,0),"")</f>
        <v/>
      </c>
      <c r="N731" s="468" t="str">
        <f>IFERROR(VLOOKUP(B731,'03. THIẾT BỊ'!$B$1:$S$836,13,0),"")</f>
        <v>CELIKEL</v>
      </c>
      <c r="O731" s="470" t="str">
        <f>IFERROR(VLOOKUP(B731,'03. THIẾT BỊ'!$B$1:$S$836,14,0),"")</f>
        <v>CHALLENGER II PLUS</v>
      </c>
      <c r="P731" s="468" t="str">
        <f>IFERROR(VLOOKUP(B731,'03. THIẾT BỊ'!$B$1:$S$836,15,0),"")</f>
        <v>THỔ NHỈ KỲ</v>
      </c>
      <c r="Q731" s="48">
        <f>IFERROR(VLOOKUP(B731,'03. THIẾT BỊ'!$B$1:$S$836,16,0),"")</f>
        <v>2022</v>
      </c>
      <c r="R731" s="471" t="str">
        <f>IFERROR(VLOOKUP(B731,'03. THIẾT BỊ'!$B$1:$S$836,17,0),"")</f>
        <v>- Kèm trục các đăng </v>
      </c>
      <c r="S731" s="468" t="str">
        <f>IFERROR(VLOOKUP(B731,'03. THIẾT BỊ'!$B$1:$S$836,18,0),"")</f>
        <v>SBM-221211</v>
      </c>
      <c r="T731" s="812"/>
    </row>
    <row r="732" ht="15.0" customHeight="1">
      <c r="A732" s="463">
        <f t="shared" si="36"/>
        <v>5</v>
      </c>
      <c r="B732" s="468" t="s">
        <v>4979</v>
      </c>
      <c r="C732" s="869" t="str">
        <f>IFERROR(VLOOKUP(B732,'03. THIẾT BỊ'!$B$1:$S$836,2,0),"")</f>
        <v/>
      </c>
      <c r="D732" s="470" t="str">
        <f>IFERROR(VLOOKUP(B732,'03. THIẾT BỊ'!$B$1:$S$836,3,0),"")</f>
        <v>A22-THC-005</v>
      </c>
      <c r="E732" s="464" t="str">
        <f>IFERROR(VLOOKUP(B732,'03. THIẾT BỊ'!$B$1:$S$836,4,0),"")</f>
        <v>MUA MỚI</v>
      </c>
      <c r="F732" s="464" t="str">
        <f>IFERROR(VLOOKUP(B732,'03. THIẾT BỊ'!$B$1:$S$836,5,0),"")</f>
        <v>Thiết bị thu hoạch cỏ thân mềm Calabria 1800</v>
      </c>
      <c r="G732" s="80" t="s">
        <v>6423</v>
      </c>
      <c r="H732" s="463" t="str">
        <f>IFERROR(VLOOKUP(B732,'03. THIẾT BỊ'!$B$1:$S$836,7,0),"")</f>
        <v>XN Bò AD</v>
      </c>
      <c r="I732" s="474" t="str">
        <f>IFERROR(VLOOKUP(B732,'03. THIẾT BỊ'!$B$1:$S$836,8,0),"")</f>
        <v>30/09/2024</v>
      </c>
      <c r="J732" s="471"/>
      <c r="K732" s="463" t="str">
        <f>IFERROR(VLOOKUP(B732,'03. THIẾT BỊ'!$B$1:$S$836,10,0),"")</f>
        <v>Bình thường</v>
      </c>
      <c r="L732" s="468" t="str">
        <f>IFERROR(VLOOKUP(B732,'03. THIẾT BỊ'!$B$1:$S$836,11,0),"")</f>
        <v/>
      </c>
      <c r="M732" s="472" t="str">
        <f>IFERROR(VLOOKUP(B732,'03. THIẾT BỊ'!$B$1:$S$836,12,0),"")</f>
        <v/>
      </c>
      <c r="N732" s="468" t="str">
        <f>IFERROR(VLOOKUP(B732,'03. THIẾT BỊ'!$B$1:$S$836,13,0),"")</f>
        <v>CELIKEL</v>
      </c>
      <c r="O732" s="470" t="str">
        <f>IFERROR(VLOOKUP(B732,'03. THIẾT BỊ'!$B$1:$S$836,14,0),"")</f>
        <v>CALABRIA 1800</v>
      </c>
      <c r="P732" s="468" t="str">
        <f>IFERROR(VLOOKUP(B732,'03. THIẾT BỊ'!$B$1:$S$836,15,0),"")</f>
        <v>THỔ NHỈ KỲ</v>
      </c>
      <c r="Q732" s="48">
        <f>IFERROR(VLOOKUP(B732,'03. THIẾT BỊ'!$B$1:$S$836,16,0),"")</f>
        <v>2024</v>
      </c>
      <c r="R732" s="471" t="str">
        <f>IFERROR(VLOOKUP(B732,'03. THIẾT BỊ'!$B$1:$S$836,17,0),"")</f>
        <v>- Kèm trục các đăng </v>
      </c>
      <c r="S732" s="468" t="str">
        <f>IFERROR(VLOOKUP(B732,'03. THIẾT BỊ'!$B$1:$S$836,18,0),"")</f>
        <v>CKM-240010</v>
      </c>
      <c r="T732" s="812"/>
    </row>
    <row r="733" ht="15.0" customHeight="1">
      <c r="A733" s="463">
        <f t="shared" si="36"/>
        <v>6</v>
      </c>
      <c r="B733" s="468" t="s">
        <v>4985</v>
      </c>
      <c r="C733" s="869" t="str">
        <f>IFERROR(VLOOKUP(B733,'03. THIẾT BỊ'!$B$1:$S$836,2,0),"")</f>
        <v/>
      </c>
      <c r="D733" s="470" t="str">
        <f>IFERROR(VLOOKUP(B733,'03. THIẾT BỊ'!$B$1:$S$836,3,0),"")</f>
        <v>A22-THC-006</v>
      </c>
      <c r="E733" s="464" t="str">
        <f>IFERROR(VLOOKUP(B733,'03. THIẾT BỊ'!$B$1:$S$836,4,0),"")</f>
        <v>MUA MỚI</v>
      </c>
      <c r="F733" s="464" t="str">
        <f>IFERROR(VLOOKUP(B733,'03. THIẾT BỊ'!$B$1:$S$836,5,0),"")</f>
        <v>Thiết bị thu hoạch cỏ CHALLENGER IV</v>
      </c>
      <c r="G733" s="80" t="s">
        <v>6423</v>
      </c>
      <c r="H733" s="463" t="str">
        <f>IFERROR(VLOOKUP(B733,'03. THIẾT BỊ'!$B$1:$S$836,7,0),"")</f>
        <v>XN Bò AD</v>
      </c>
      <c r="I733" s="474" t="str">
        <f>IFERROR(VLOOKUP(B733,'03. THIẾT BỊ'!$B$1:$S$836,8,0),"")</f>
        <v>30/10/2024</v>
      </c>
      <c r="J733" s="471"/>
      <c r="K733" s="463" t="str">
        <f>IFERROR(VLOOKUP(B733,'03. THIẾT BỊ'!$B$1:$S$836,10,0),"")</f>
        <v>Bình thường</v>
      </c>
      <c r="L733" s="468" t="str">
        <f>IFERROR(VLOOKUP(B733,'03. THIẾT BỊ'!$B$1:$S$836,11,0),"")</f>
        <v/>
      </c>
      <c r="M733" s="472" t="str">
        <f>IFERROR(VLOOKUP(B733,'03. THIẾT BỊ'!$B$1:$S$836,12,0),"")</f>
        <v/>
      </c>
      <c r="N733" s="468" t="str">
        <f>IFERROR(VLOOKUP(B733,'03. THIẾT BỊ'!$B$1:$S$836,13,0),"")</f>
        <v>CELIKEL</v>
      </c>
      <c r="O733" s="470" t="str">
        <f>IFERROR(VLOOKUP(B733,'03. THIẾT BỊ'!$B$1:$S$836,14,0),"")</f>
        <v>CHALLENGER IV</v>
      </c>
      <c r="P733" s="468" t="str">
        <f>IFERROR(VLOOKUP(B733,'03. THIẾT BỊ'!$B$1:$S$836,15,0),"")</f>
        <v>THỔ NHỈ KỲ</v>
      </c>
      <c r="Q733" s="48">
        <f>IFERROR(VLOOKUP(B733,'03. THIẾT BỊ'!$B$1:$S$836,16,0),"")</f>
        <v>2024</v>
      </c>
      <c r="R733" s="471" t="str">
        <f>IFERROR(VLOOKUP(B733,'03. THIẾT BỊ'!$B$1:$S$836,17,0),"")</f>
        <v>- Kèm trục các đăng </v>
      </c>
      <c r="S733" s="468" t="str">
        <f>IFERROR(VLOOKUP(B733,'03. THIẾT BỊ'!$B$1:$S$836,18,0),"")</f>
        <v>4SSM-240003</v>
      </c>
      <c r="T733" s="812"/>
    </row>
    <row r="734" ht="15.0" customHeight="1">
      <c r="A734" s="463">
        <f t="shared" si="36"/>
        <v>7</v>
      </c>
      <c r="B734" s="468" t="s">
        <v>4991</v>
      </c>
      <c r="C734" s="869" t="str">
        <f>IFERROR(VLOOKUP(B734,'03. THIẾT BỊ'!$B$1:$S$836,2,0),"")</f>
        <v/>
      </c>
      <c r="D734" s="470" t="str">
        <f>IFERROR(VLOOKUP(B734,'03. THIẾT BỊ'!$B$1:$S$836,3,0),"")</f>
        <v>A22-THC-007</v>
      </c>
      <c r="E734" s="464" t="str">
        <f>IFERROR(VLOOKUP(B734,'03. THIẾT BỊ'!$B$1:$S$836,4,0),"")</f>
        <v>MUA MỚI</v>
      </c>
      <c r="F734" s="464" t="str">
        <f>IFERROR(VLOOKUP(B734,'03. THIẾT BỊ'!$B$1:$S$836,5,0),"")</f>
        <v>Thiết bị thu hoạch cỏ CHALLENGER IV</v>
      </c>
      <c r="G734" s="80" t="s">
        <v>6423</v>
      </c>
      <c r="H734" s="463" t="str">
        <f>IFERROR(VLOOKUP(B734,'03. THIẾT BỊ'!$B$1:$S$836,7,0),"")</f>
        <v>XN Bò AD</v>
      </c>
      <c r="I734" s="474" t="str">
        <f>IFERROR(VLOOKUP(B734,'03. THIẾT BỊ'!$B$1:$S$836,8,0),"")</f>
        <v>26/02/2025</v>
      </c>
      <c r="J734" s="471"/>
      <c r="K734" s="463" t="str">
        <f>IFERROR(VLOOKUP(B734,'03. THIẾT BỊ'!$B$1:$S$836,10,0),"")</f>
        <v>Bình thường</v>
      </c>
      <c r="L734" s="468" t="str">
        <f>IFERROR(VLOOKUP(B734,'03. THIẾT BỊ'!$B$1:$S$836,11,0),"")</f>
        <v/>
      </c>
      <c r="M734" s="472" t="str">
        <f>IFERROR(VLOOKUP(B734,'03. THIẾT BỊ'!$B$1:$S$836,12,0),"")</f>
        <v/>
      </c>
      <c r="N734" s="468" t="str">
        <f>IFERROR(VLOOKUP(B734,'03. THIẾT BỊ'!$B$1:$S$836,13,0),"")</f>
        <v>CELIKEL</v>
      </c>
      <c r="O734" s="470" t="str">
        <f>IFERROR(VLOOKUP(B734,'03. THIẾT BỊ'!$B$1:$S$836,14,0),"")</f>
        <v>CHALLENGER IV</v>
      </c>
      <c r="P734" s="468" t="str">
        <f>IFERROR(VLOOKUP(B734,'03. THIẾT BỊ'!$B$1:$S$836,15,0),"")</f>
        <v>THỔ NHỈ KỲ</v>
      </c>
      <c r="Q734" s="48">
        <f>IFERROR(VLOOKUP(B734,'03. THIẾT BỊ'!$B$1:$S$836,16,0),"")</f>
        <v>2024</v>
      </c>
      <c r="R734" s="471" t="str">
        <f>IFERROR(VLOOKUP(B734,'03. THIẾT BỊ'!$B$1:$S$836,17,0),"")</f>
        <v>- Kèm trục các đăng </v>
      </c>
      <c r="S734" s="468" t="str">
        <f>IFERROR(VLOOKUP(B734,'03. THIẾT BỊ'!$B$1:$S$836,18,0),"")</f>
        <v>4SSM-240001</v>
      </c>
      <c r="T734" s="812"/>
    </row>
    <row r="735" ht="15.0" customHeight="1">
      <c r="A735" s="463">
        <f t="shared" si="36"/>
        <v>8</v>
      </c>
      <c r="B735" s="468" t="s">
        <v>4995</v>
      </c>
      <c r="C735" s="869" t="str">
        <f>IFERROR(VLOOKUP(B735,'03. THIẾT BỊ'!$B$1:$S$836,2,0),"")</f>
        <v/>
      </c>
      <c r="D735" s="470" t="str">
        <f>IFERROR(VLOOKUP(B735,'03. THIẾT BỊ'!$B$1:$S$836,3,0),"")</f>
        <v>A22-THC-008</v>
      </c>
      <c r="E735" s="464" t="str">
        <f>IFERROR(VLOOKUP(B735,'03. THIẾT BỊ'!$B$1:$S$836,4,0),"")</f>
        <v>MUA MỚI</v>
      </c>
      <c r="F735" s="464" t="str">
        <f>IFERROR(VLOOKUP(B735,'03. THIẾT BỊ'!$B$1:$S$836,5,0),"")</f>
        <v>Thiết bị thu hoạch cỏ thân mềm Calabria 1800</v>
      </c>
      <c r="G735" s="80" t="s">
        <v>6423</v>
      </c>
      <c r="H735" s="463" t="str">
        <f>IFERROR(VLOOKUP(B735,'03. THIẾT BỊ'!$B$1:$S$836,7,0),"")</f>
        <v>XN Bò AD</v>
      </c>
      <c r="I735" s="474" t="str">
        <f>IFERROR(VLOOKUP(B735,'03. THIẾT BỊ'!$B$1:$S$836,8,0),"")</f>
        <v>18/03/2025</v>
      </c>
      <c r="J735" s="471"/>
      <c r="K735" s="463" t="str">
        <f>IFERROR(VLOOKUP(B735,'03. THIẾT BỊ'!$B$1:$S$836,10,0),"")</f>
        <v>Bình thường</v>
      </c>
      <c r="L735" s="468" t="str">
        <f>IFERROR(VLOOKUP(B735,'03. THIẾT BỊ'!$B$1:$S$836,11,0),"")</f>
        <v/>
      </c>
      <c r="M735" s="472" t="str">
        <f>IFERROR(VLOOKUP(B735,'03. THIẾT BỊ'!$B$1:$S$836,12,0),"")</f>
        <v/>
      </c>
      <c r="N735" s="468" t="str">
        <f>IFERROR(VLOOKUP(B735,'03. THIẾT BỊ'!$B$1:$S$836,13,0),"")</f>
        <v>CELIKEL</v>
      </c>
      <c r="O735" s="470" t="str">
        <f>IFERROR(VLOOKUP(B735,'03. THIẾT BỊ'!$B$1:$S$836,14,0),"")</f>
        <v>CALABRIA 1800</v>
      </c>
      <c r="P735" s="468" t="str">
        <f>IFERROR(VLOOKUP(B735,'03. THIẾT BỊ'!$B$1:$S$836,15,0),"")</f>
        <v>THỔ NHỈ KỲ</v>
      </c>
      <c r="Q735" s="48">
        <f>IFERROR(VLOOKUP(B735,'03. THIẾT BỊ'!$B$1:$S$836,16,0),"")</f>
        <v>2025</v>
      </c>
      <c r="R735" s="471" t="str">
        <f>IFERROR(VLOOKUP(B735,'03. THIẾT BỊ'!$B$1:$S$836,17,0),"")</f>
        <v>- Kèm trục các đăng </v>
      </c>
      <c r="S735" s="468" t="str">
        <f>IFERROR(VLOOKUP(B735,'03. THIẾT BỊ'!$B$1:$S$836,18,0),"")</f>
        <v>CKM-240063</v>
      </c>
      <c r="T735" s="812"/>
    </row>
    <row r="736" ht="15.0" customHeight="1">
      <c r="A736" s="463">
        <f t="shared" si="36"/>
        <v>9</v>
      </c>
      <c r="B736" s="468" t="s">
        <v>4998</v>
      </c>
      <c r="C736" s="869" t="str">
        <f>IFERROR(VLOOKUP(B736,'03. THIẾT BỊ'!$B$1:$S$836,2,0),"")</f>
        <v/>
      </c>
      <c r="D736" s="470" t="str">
        <f>IFERROR(VLOOKUP(B736,'03. THIẾT BỊ'!$B$1:$S$836,3,0),"")</f>
        <v>A22-THC-009</v>
      </c>
      <c r="E736" s="464" t="str">
        <f>IFERROR(VLOOKUP(B736,'03. THIẾT BỊ'!$B$1:$S$836,4,0),"")</f>
        <v>MUA MỚI</v>
      </c>
      <c r="F736" s="464" t="str">
        <f>IFERROR(VLOOKUP(B736,'03. THIẾT BỊ'!$B$1:$S$836,5,0),"")</f>
        <v>Thiết bị thu hoạch cỏ thân mềm Calabria 1800</v>
      </c>
      <c r="G736" s="80" t="s">
        <v>6423</v>
      </c>
      <c r="H736" s="463" t="str">
        <f>IFERROR(VLOOKUP(B736,'03. THIẾT BỊ'!$B$1:$S$836,7,0),"")</f>
        <v>XN Bò AD</v>
      </c>
      <c r="I736" s="474" t="str">
        <f>IFERROR(VLOOKUP(B736,'03. THIẾT BỊ'!$B$1:$S$836,8,0),"")</f>
        <v>18/03/2025</v>
      </c>
      <c r="J736" s="471"/>
      <c r="K736" s="463" t="str">
        <f>IFERROR(VLOOKUP(B736,'03. THIẾT BỊ'!$B$1:$S$836,10,0),"")</f>
        <v>Bình thường</v>
      </c>
      <c r="L736" s="468" t="str">
        <f>IFERROR(VLOOKUP(B736,'03. THIẾT BỊ'!$B$1:$S$836,11,0),"")</f>
        <v/>
      </c>
      <c r="M736" s="472" t="str">
        <f>IFERROR(VLOOKUP(B736,'03. THIẾT BỊ'!$B$1:$S$836,12,0),"")</f>
        <v/>
      </c>
      <c r="N736" s="468" t="str">
        <f>IFERROR(VLOOKUP(B736,'03. THIẾT BỊ'!$B$1:$S$836,13,0),"")</f>
        <v>CELIKEL</v>
      </c>
      <c r="O736" s="470" t="str">
        <f>IFERROR(VLOOKUP(B736,'03. THIẾT BỊ'!$B$1:$S$836,14,0),"")</f>
        <v>CALABRIA 1800</v>
      </c>
      <c r="P736" s="468" t="str">
        <f>IFERROR(VLOOKUP(B736,'03. THIẾT BỊ'!$B$1:$S$836,15,0),"")</f>
        <v>THỔ NHỈ KỲ</v>
      </c>
      <c r="Q736" s="48">
        <f>IFERROR(VLOOKUP(B736,'03. THIẾT BỊ'!$B$1:$S$836,16,0),"")</f>
        <v>2025</v>
      </c>
      <c r="R736" s="471" t="str">
        <f>IFERROR(VLOOKUP(B736,'03. THIẾT BỊ'!$B$1:$S$836,17,0),"")</f>
        <v>- Kèm trục các đăng </v>
      </c>
      <c r="S736" s="468" t="str">
        <f>IFERROR(VLOOKUP(B736,'03. THIẾT BỊ'!$B$1:$S$836,18,0),"")</f>
        <v>CKM-240064</v>
      </c>
      <c r="T736" s="812"/>
    </row>
    <row r="737" ht="15.0" customHeight="1">
      <c r="A737" s="463">
        <f t="shared" si="36"/>
        <v>10</v>
      </c>
      <c r="B737" s="468" t="s">
        <v>5001</v>
      </c>
      <c r="C737" s="869" t="str">
        <f>IFERROR(VLOOKUP(B737,'03. THIẾT BỊ'!$B$1:$S$836,2,0),"")</f>
        <v/>
      </c>
      <c r="D737" s="470" t="str">
        <f>IFERROR(VLOOKUP(B737,'03. THIẾT BỊ'!$B$1:$S$836,3,0),"")</f>
        <v>A22-THC-010</v>
      </c>
      <c r="E737" s="464" t="str">
        <f>IFERROR(VLOOKUP(B737,'03. THIẾT BỊ'!$B$1:$S$836,4,0),"")</f>
        <v>MUA MỚI</v>
      </c>
      <c r="F737" s="464" t="str">
        <f>IFERROR(VLOOKUP(B737,'03. THIẾT BỊ'!$B$1:$S$836,5,0),"")</f>
        <v>Thiết bị thu hoạch cỏ CHALLENGER IV</v>
      </c>
      <c r="G737" s="80" t="s">
        <v>6423</v>
      </c>
      <c r="H737" s="463" t="str">
        <f>IFERROR(VLOOKUP(B737,'03. THIẾT BỊ'!$B$1:$S$836,7,0),"")</f>
        <v>XN Bò AD</v>
      </c>
      <c r="I737" s="474" t="str">
        <f>IFERROR(VLOOKUP(B737,'03. THIẾT BỊ'!$B$1:$S$836,8,0),"")</f>
        <v>19/01/2026</v>
      </c>
      <c r="J737" s="471"/>
      <c r="K737" s="463" t="str">
        <f>IFERROR(VLOOKUP(B737,'03. THIẾT BỊ'!$B$1:$S$836,10,0),"")</f>
        <v>Bình thường</v>
      </c>
      <c r="L737" s="468" t="str">
        <f>IFERROR(VLOOKUP(B737,'03. THIẾT BỊ'!$B$1:$S$836,11,0),"")</f>
        <v/>
      </c>
      <c r="M737" s="472" t="str">
        <f>IFERROR(VLOOKUP(B737,'03. THIẾT BỊ'!$B$1:$S$836,12,0),"")</f>
        <v/>
      </c>
      <c r="N737" s="468" t="str">
        <f>IFERROR(VLOOKUP(B737,'03. THIẾT BỊ'!$B$1:$S$836,13,0),"")</f>
        <v>CELIKEL</v>
      </c>
      <c r="O737" s="470" t="str">
        <f>IFERROR(VLOOKUP(B737,'03. THIẾT BỊ'!$B$1:$S$836,14,0),"")</f>
        <v>CHALLENGER IV</v>
      </c>
      <c r="P737" s="468" t="str">
        <f>IFERROR(VLOOKUP(B737,'03. THIẾT BỊ'!$B$1:$S$836,15,0),"")</f>
        <v>THỔ NHỈ KỲ</v>
      </c>
      <c r="Q737" s="48">
        <f>IFERROR(VLOOKUP(B737,'03. THIẾT BỊ'!$B$1:$S$836,16,0),"")</f>
        <v>2025</v>
      </c>
      <c r="R737" s="471" t="str">
        <f>IFERROR(VLOOKUP(B737,'03. THIẾT BỊ'!$B$1:$S$836,17,0),"")</f>
        <v>- Kèm trục các đăng </v>
      </c>
      <c r="S737" s="468" t="str">
        <f>IFERROR(VLOOKUP(B737,'03. THIẾT BỊ'!$B$1:$S$836,18,0),"")</f>
        <v>4SSM-250016</v>
      </c>
      <c r="T737" s="812"/>
    </row>
    <row r="738" ht="15.0" customHeight="1">
      <c r="A738" s="463">
        <f t="shared" si="36"/>
        <v>11</v>
      </c>
      <c r="B738" s="468" t="s">
        <v>5007</v>
      </c>
      <c r="C738" s="869" t="str">
        <f>IFERROR(VLOOKUP(B738,'03. THIẾT BỊ'!$B$1:$S$836,2,0),"")</f>
        <v/>
      </c>
      <c r="D738" s="470" t="str">
        <f>IFERROR(VLOOKUP(B738,'03. THIẾT BỊ'!$B$1:$S$836,3,0),"")</f>
        <v>A22-THC-012</v>
      </c>
      <c r="E738" s="464" t="str">
        <f>IFERROR(VLOOKUP(B738,'03. THIẾT BỊ'!$B$1:$S$836,4,0),"")</f>
        <v>MUA MỚI</v>
      </c>
      <c r="F738" s="464" t="str">
        <f>IFERROR(VLOOKUP(B738,'03. THIẾT BỊ'!$B$1:$S$836,5,0),"")</f>
        <v>Thiết bị thu hoạch cỏ thân mềm Calabria 1800</v>
      </c>
      <c r="G738" s="80" t="s">
        <v>6423</v>
      </c>
      <c r="H738" s="463" t="str">
        <f>IFERROR(VLOOKUP(B738,'03. THIẾT BỊ'!$B$1:$S$836,7,0),"")</f>
        <v>XN Bò AD</v>
      </c>
      <c r="I738" s="474" t="str">
        <f>IFERROR(VLOOKUP(B738,'03. THIẾT BỊ'!$B$1:$S$836,8,0),"")</f>
        <v>24/07/2026</v>
      </c>
      <c r="J738" s="471"/>
      <c r="K738" s="463" t="str">
        <f>IFERROR(VLOOKUP(B738,'03. THIẾT BỊ'!$B$1:$S$836,10,0),"")</f>
        <v>Bình thường</v>
      </c>
      <c r="L738" s="468" t="str">
        <f>IFERROR(VLOOKUP(B738,'03. THIẾT BỊ'!$B$1:$S$836,11,0),"")</f>
        <v/>
      </c>
      <c r="M738" s="472" t="str">
        <f>IFERROR(VLOOKUP(B738,'03. THIẾT BỊ'!$B$1:$S$836,12,0),"")</f>
        <v>Đầu tư mới</v>
      </c>
      <c r="N738" s="468" t="str">
        <f>IFERROR(VLOOKUP(B738,'03. THIẾT BỊ'!$B$1:$S$836,13,0),"")</f>
        <v>CELIKEL</v>
      </c>
      <c r="O738" s="470" t="str">
        <f>IFERROR(VLOOKUP(B738,'03. THIẾT BỊ'!$B$1:$S$836,14,0),"")</f>
        <v>THỔ NHỈ KỲ</v>
      </c>
      <c r="P738" s="468">
        <f>IFERROR(VLOOKUP(B738,'03. THIẾT BỊ'!$B$1:$S$836,15,0),"")</f>
        <v>2026</v>
      </c>
      <c r="Q738" s="48" t="str">
        <f>IFERROR(VLOOKUP(B738,'03. THIẾT BỊ'!$B$1:$S$836,16,0),"")</f>
        <v>CALABRIA 1800</v>
      </c>
      <c r="R738" s="471" t="str">
        <f>IFERROR(VLOOKUP(B738,'03. THIẾT BỊ'!$B$1:$S$836,17,0),"")</f>
        <v>90 HP ~</v>
      </c>
      <c r="S738" s="468" t="str">
        <f>IFERROR(VLOOKUP(B738,'03. THIẾT BỊ'!$B$1:$S$836,18,0),"")</f>
        <v>CKM-260004</v>
      </c>
      <c r="T738" s="812"/>
    </row>
    <row r="739" ht="15.0" customHeight="1">
      <c r="A739" s="463">
        <f t="shared" si="36"/>
        <v>12</v>
      </c>
      <c r="B739" s="468" t="s">
        <v>5012</v>
      </c>
      <c r="C739" s="869" t="str">
        <f>IFERROR(VLOOKUP(B739,'03. THIẾT BỊ'!$B$1:$S$836,2,0),"")</f>
        <v/>
      </c>
      <c r="D739" s="470" t="str">
        <f>IFERROR(VLOOKUP(B739,'03. THIẾT BỊ'!$B$1:$S$836,3,0),"")</f>
        <v>A22-THC-013</v>
      </c>
      <c r="E739" s="464" t="str">
        <f>IFERROR(VLOOKUP(B739,'03. THIẾT BỊ'!$B$1:$S$836,4,0),"")</f>
        <v>MUA MỚI</v>
      </c>
      <c r="F739" s="464" t="str">
        <f>IFERROR(VLOOKUP(B739,'03. THIẾT BỊ'!$B$1:$S$836,5,0),"")</f>
        <v>Thiết bị thu hoạch cỏ thân mềm Calabria 2100</v>
      </c>
      <c r="G739" s="80" t="s">
        <v>6423</v>
      </c>
      <c r="H739" s="463" t="str">
        <f>IFERROR(VLOOKUP(B739,'03. THIẾT BỊ'!$B$1:$S$836,7,0),"")</f>
        <v>XN Bò AD</v>
      </c>
      <c r="I739" s="474" t="str">
        <f>IFERROR(VLOOKUP(B739,'03. THIẾT BỊ'!$B$1:$S$836,8,0),"")</f>
        <v>24/07/2026</v>
      </c>
      <c r="J739" s="471"/>
      <c r="K739" s="463" t="str">
        <f>IFERROR(VLOOKUP(B739,'03. THIẾT BỊ'!$B$1:$S$836,10,0),"")</f>
        <v>Bình thường</v>
      </c>
      <c r="L739" s="468" t="str">
        <f>IFERROR(VLOOKUP(B739,'03. THIẾT BỊ'!$B$1:$S$836,11,0),"")</f>
        <v/>
      </c>
      <c r="M739" s="472" t="str">
        <f>IFERROR(VLOOKUP(B739,'03. THIẾT BỊ'!$B$1:$S$836,12,0),"")</f>
        <v>Đầu tư mới</v>
      </c>
      <c r="N739" s="468" t="str">
        <f>IFERROR(VLOOKUP(B739,'03. THIẾT BỊ'!$B$1:$S$836,13,0),"")</f>
        <v>CELIKEL</v>
      </c>
      <c r="O739" s="470" t="str">
        <f>IFERROR(VLOOKUP(B739,'03. THIẾT BỊ'!$B$1:$S$836,14,0),"")</f>
        <v>THỔ NHỈ KỲ</v>
      </c>
      <c r="P739" s="468">
        <f>IFERROR(VLOOKUP(B739,'03. THIẾT BỊ'!$B$1:$S$836,15,0),"")</f>
        <v>2026</v>
      </c>
      <c r="Q739" s="48" t="str">
        <f>IFERROR(VLOOKUP(B739,'03. THIẾT BỊ'!$B$1:$S$836,16,0),"")</f>
        <v>CALABRIA 2100</v>
      </c>
      <c r="R739" s="471" t="str">
        <f>IFERROR(VLOOKUP(B739,'03. THIẾT BỊ'!$B$1:$S$836,17,0),"")</f>
        <v>120 HP ~</v>
      </c>
      <c r="S739" s="468" t="str">
        <f>IFERROR(VLOOKUP(B739,'03. THIẾT BỊ'!$B$1:$S$836,18,0),"")</f>
        <v>CKM-260004</v>
      </c>
      <c r="T739" s="812"/>
    </row>
    <row r="740" ht="15.0" customHeight="1">
      <c r="A740" s="463"/>
      <c r="B740" s="464"/>
      <c r="C740" s="869" t="str">
        <f>IFERROR(VLOOKUP(B740,'03. THIẾT BỊ'!$B$1:$S$836,2,0),"")</f>
        <v/>
      </c>
      <c r="D740" s="470" t="str">
        <f>IFERROR(VLOOKUP(B740,'03. THIẾT BỊ'!$B$1:$S$836,3,0),"")</f>
        <v/>
      </c>
      <c r="E740" s="464" t="str">
        <f>IFERROR(VLOOKUP(B740,'03. THIẾT BỊ'!$B$1:$S$836,4,0),"")</f>
        <v/>
      </c>
      <c r="F740" s="464" t="str">
        <f>IFERROR(VLOOKUP(B740,'03. THIẾT BỊ'!$B$1:$S$836,5,0),"")</f>
        <v/>
      </c>
      <c r="G740" s="80" t="s">
        <v>6423</v>
      </c>
      <c r="H740" s="463" t="str">
        <f>IFERROR(VLOOKUP(B740,'03. THIẾT BỊ'!$B$1:$S$836,7,0),"")</f>
        <v/>
      </c>
      <c r="I740" s="474" t="str">
        <f>IFERROR(VLOOKUP(B740,'03. THIẾT BỊ'!$B$1:$S$836,8,0),"")</f>
        <v/>
      </c>
      <c r="J740" s="471"/>
      <c r="K740" s="463" t="str">
        <f>IFERROR(VLOOKUP(B740,'03. THIẾT BỊ'!$B$1:$S$836,10,0),"")</f>
        <v/>
      </c>
      <c r="L740" s="468" t="str">
        <f>IFERROR(VLOOKUP(B740,'03. THIẾT BỊ'!$B$1:$S$836,11,0),"")</f>
        <v/>
      </c>
      <c r="M740" s="472" t="str">
        <f>IFERROR(VLOOKUP(B740,'03. THIẾT BỊ'!$B$1:$S$836,12,0),"")</f>
        <v/>
      </c>
      <c r="N740" s="468" t="str">
        <f>IFERROR(VLOOKUP(B740,'03. THIẾT BỊ'!$B$1:$S$836,13,0),"")</f>
        <v/>
      </c>
      <c r="O740" s="470" t="str">
        <f>IFERROR(VLOOKUP(B740,'03. THIẾT BỊ'!$B$1:$S$836,14,0),"")</f>
        <v/>
      </c>
      <c r="P740" s="468" t="str">
        <f>IFERROR(VLOOKUP(B740,'03. THIẾT BỊ'!$B$1:$S$836,15,0),"")</f>
        <v/>
      </c>
      <c r="Q740" s="48" t="str">
        <f>IFERROR(VLOOKUP(B740,'03. THIẾT BỊ'!$B$1:$S$836,16,0),"")</f>
        <v/>
      </c>
      <c r="R740" s="471" t="str">
        <f>IFERROR(VLOOKUP(B740,'03. THIẾT BỊ'!$B$1:$S$836,17,0),"")</f>
        <v/>
      </c>
      <c r="S740" s="468" t="str">
        <f>IFERROR(VLOOKUP(B740,'03. THIẾT BỊ'!$B$1:$S$836,18,0),"")</f>
        <v/>
      </c>
      <c r="T740" s="1495"/>
    </row>
    <row r="741" ht="15.0" customHeight="1">
      <c r="A741" s="455" t="s">
        <v>76</v>
      </c>
      <c r="B741" s="456" t="s">
        <v>8715</v>
      </c>
      <c r="C741" s="457">
        <f>COUNTA(B742:B744)</f>
        <v>1</v>
      </c>
      <c r="D741" s="458" t="str">
        <f>IFERROR(VLOOKUP(B741,'03. THIẾT BỊ'!$B$1:$S$836,3,0),"")</f>
        <v/>
      </c>
      <c r="E741" s="464" t="str">
        <f>IFERROR(VLOOKUP(B741,'03. THIẾT BỊ'!$B$1:$S$836,4,0),"")</f>
        <v/>
      </c>
      <c r="F741" s="458" t="str">
        <f>IFERROR(VLOOKUP(B741,'03. THIẾT BỊ'!$B$1:$S$836,5,0),"")</f>
        <v/>
      </c>
      <c r="G741" s="459" t="s">
        <v>6423</v>
      </c>
      <c r="H741" s="459" t="str">
        <f>IFERROR(VLOOKUP(B741,'03. THIẾT BỊ'!$B$1:$S$836,7,0),"")</f>
        <v/>
      </c>
      <c r="I741" s="457" t="str">
        <f>IFERROR(VLOOKUP(B741,'03. THIẾT BỊ'!$B$1:$S$836,8,0),"")</f>
        <v/>
      </c>
      <c r="J741" s="460"/>
      <c r="K741" s="457" t="str">
        <f>IFERROR(VLOOKUP(B741,'03. THIẾT BỊ'!$B$1:$S$836,10,0),"")</f>
        <v/>
      </c>
      <c r="L741" s="458" t="str">
        <f>IFERROR(VLOOKUP(B741,'03. THIẾT BỊ'!$B$1:$S$836,11,0),"")</f>
        <v/>
      </c>
      <c r="M741" s="461" t="str">
        <f>IFERROR(VLOOKUP(B741,'03. THIẾT BỊ'!$B$1:$S$836,12,0),"")</f>
        <v/>
      </c>
      <c r="N741" s="458" t="str">
        <f>IFERROR(VLOOKUP(B741,'03. THIẾT BỊ'!$B$1:$S$836,13,0),"")</f>
        <v/>
      </c>
      <c r="O741" s="461" t="str">
        <f>IFERROR(VLOOKUP(B741,'03. THIẾT BỊ'!$B$1:$S$836,14,0),"")</f>
        <v/>
      </c>
      <c r="P741" s="458" t="str">
        <f>IFERROR(VLOOKUP(B741,'03. THIẾT BỊ'!$B$1:$S$836,15,0),"")</f>
        <v/>
      </c>
      <c r="Q741" s="459" t="str">
        <f>IFERROR(VLOOKUP(B741,'03. THIẾT BỊ'!$B$1:$S$836,16,0),"")</f>
        <v/>
      </c>
      <c r="R741" s="458" t="str">
        <f>IFERROR(VLOOKUP(B741,'03. THIẾT BỊ'!$B$1:$S$836,17,0),"")</f>
        <v/>
      </c>
      <c r="S741" s="458" t="str">
        <f>IFERROR(VLOOKUP(B741,'03. THIẾT BỊ'!$B$1:$S$836,18,0),"")</f>
        <v/>
      </c>
      <c r="T741" s="866"/>
    </row>
    <row r="742" ht="15.0" customHeight="1">
      <c r="A742" s="463">
        <v>1.0</v>
      </c>
      <c r="B742" s="468" t="s">
        <v>5017</v>
      </c>
      <c r="C742" s="869" t="str">
        <f>IFERROR(VLOOKUP(B742,'03. THIẾT BỊ'!$B$1:$S$836,2,0),"")</f>
        <v/>
      </c>
      <c r="D742" s="470" t="str">
        <f>IFERROR(VLOOKUP(B742,'03. THIẾT BỊ'!$B$1:$S$836,3,0),"")</f>
        <v>A22-ĐBC-001</v>
      </c>
      <c r="E742" s="464" t="str">
        <f>IFERROR(VLOOKUP(B742,'03. THIẾT BỊ'!$B$1:$S$836,4,0),"")</f>
        <v>MUA MỚI</v>
      </c>
      <c r="F742" s="464" t="str">
        <f>IFERROR(VLOOKUP(B742,'03. THIẾT BỊ'!$B$1:$S$836,5,0),"")</f>
        <v>Thiết bị đóng bánh cỏ Balentine</v>
      </c>
      <c r="G742" s="80" t="s">
        <v>6423</v>
      </c>
      <c r="H742" s="463" t="str">
        <f>IFERROR(VLOOKUP(B742,'03. THIẾT BỊ'!$B$1:$S$836,7,0),"")</f>
        <v>XN Bò AD</v>
      </c>
      <c r="I742" s="474">
        <f>IFERROR(VLOOKUP(B742,'03. THIẾT BỊ'!$B$1:$S$836,8,0),"")</f>
        <v>45303</v>
      </c>
      <c r="J742" s="471"/>
      <c r="K742" s="463" t="str">
        <f>IFERROR(VLOOKUP(B742,'03. THIẾT BỊ'!$B$1:$S$836,10,0),"")</f>
        <v>Bình thường</v>
      </c>
      <c r="L742" s="468" t="str">
        <f>IFERROR(VLOOKUP(B742,'03. THIẾT BỊ'!$B$1:$S$836,11,0),"")</f>
        <v/>
      </c>
      <c r="M742" s="472" t="str">
        <f>IFERROR(VLOOKUP(B742,'03. THIẾT BỊ'!$B$1:$S$836,12,0),"")</f>
        <v/>
      </c>
      <c r="N742" s="468" t="str">
        <f>IFERROR(VLOOKUP(B742,'03. THIẾT BỊ'!$B$1:$S$836,13,0),"")</f>
        <v>CELIKEL</v>
      </c>
      <c r="O742" s="470" t="str">
        <f>IFERROR(VLOOKUP(B742,'03. THIẾT BỊ'!$B$1:$S$836,14,0),"")</f>
        <v>BALENTINE 4</v>
      </c>
      <c r="P742" s="468" t="str">
        <f>IFERROR(VLOOKUP(B742,'03. THIẾT BỊ'!$B$1:$S$836,15,0),"")</f>
        <v>THỔ NHỈ KỲ</v>
      </c>
      <c r="Q742" s="48">
        <f>IFERROR(VLOOKUP(B742,'03. THIẾT BỊ'!$B$1:$S$836,16,0),"")</f>
        <v>2024</v>
      </c>
      <c r="R742" s="471" t="str">
        <f>IFERROR(VLOOKUP(B742,'03. THIẾT BỊ'!$B$1:$S$836,17,0),"")</f>
        <v>100~150HP</v>
      </c>
      <c r="S742" s="468" t="str">
        <f>IFERROR(VLOOKUP(B742,'03. THIẾT BỊ'!$B$1:$S$836,18,0),"")</f>
        <v>PBM-240131</v>
      </c>
      <c r="T742" s="812"/>
    </row>
    <row r="743" ht="15.0" customHeight="1">
      <c r="A743" s="463"/>
      <c r="B743" s="464"/>
      <c r="C743" s="869" t="str">
        <f>IFERROR(VLOOKUP(B743,'03. THIẾT BỊ'!$B$1:$S$836,2,0),"")</f>
        <v/>
      </c>
      <c r="D743" s="470" t="str">
        <f>IFERROR(VLOOKUP(B743,'03. THIẾT BỊ'!$B$1:$S$836,3,0),"")</f>
        <v/>
      </c>
      <c r="E743" s="464" t="str">
        <f>IFERROR(VLOOKUP(B743,'03. THIẾT BỊ'!$B$1:$S$836,4,0),"")</f>
        <v/>
      </c>
      <c r="F743" s="464" t="str">
        <f>IFERROR(VLOOKUP(B743,'03. THIẾT BỊ'!$B$1:$S$836,5,0),"")</f>
        <v/>
      </c>
      <c r="G743" s="80" t="s">
        <v>6423</v>
      </c>
      <c r="H743" s="463" t="str">
        <f>IFERROR(VLOOKUP(B743,'03. THIẾT BỊ'!$B$1:$S$836,7,0),"")</f>
        <v/>
      </c>
      <c r="I743" s="474" t="str">
        <f>IFERROR(VLOOKUP(B743,'03. THIẾT BỊ'!$B$1:$S$836,8,0),"")</f>
        <v/>
      </c>
      <c r="J743" s="471"/>
      <c r="K743" s="463" t="str">
        <f>IFERROR(VLOOKUP(B743,'03. THIẾT BỊ'!$B$1:$S$836,10,0),"")</f>
        <v/>
      </c>
      <c r="L743" s="468" t="str">
        <f>IFERROR(VLOOKUP(B743,'03. THIẾT BỊ'!$B$1:$S$836,11,0),"")</f>
        <v/>
      </c>
      <c r="M743" s="472" t="str">
        <f>IFERROR(VLOOKUP(B743,'03. THIẾT BỊ'!$B$1:$S$836,12,0),"")</f>
        <v/>
      </c>
      <c r="N743" s="468" t="str">
        <f>IFERROR(VLOOKUP(B743,'03. THIẾT BỊ'!$B$1:$S$836,13,0),"")</f>
        <v/>
      </c>
      <c r="O743" s="470" t="str">
        <f>IFERROR(VLOOKUP(B743,'03. THIẾT BỊ'!$B$1:$S$836,14,0),"")</f>
        <v/>
      </c>
      <c r="P743" s="468" t="str">
        <f>IFERROR(VLOOKUP(B743,'03. THIẾT BỊ'!$B$1:$S$836,15,0),"")</f>
        <v/>
      </c>
      <c r="Q743" s="48" t="str">
        <f>IFERROR(VLOOKUP(B743,'03. THIẾT BỊ'!$B$1:$S$836,16,0),"")</f>
        <v/>
      </c>
      <c r="R743" s="471" t="str">
        <f>IFERROR(VLOOKUP(B743,'03. THIẾT BỊ'!$B$1:$S$836,17,0),"")</f>
        <v/>
      </c>
      <c r="S743" s="468" t="str">
        <f>IFERROR(VLOOKUP(B743,'03. THIẾT BỊ'!$B$1:$S$836,18,0),"")</f>
        <v/>
      </c>
      <c r="T743" s="1495"/>
    </row>
    <row r="744" ht="15.0" customHeight="1">
      <c r="A744" s="463"/>
      <c r="B744" s="464"/>
      <c r="C744" s="869" t="str">
        <f>IFERROR(VLOOKUP(B744,'03. THIẾT BỊ'!$B$1:$S$836,2,0),"")</f>
        <v/>
      </c>
      <c r="D744" s="470" t="str">
        <f>IFERROR(VLOOKUP(B744,'03. THIẾT BỊ'!$B$1:$S$836,3,0),"")</f>
        <v/>
      </c>
      <c r="E744" s="464" t="str">
        <f>IFERROR(VLOOKUP(B744,'03. THIẾT BỊ'!$B$1:$S$836,4,0),"")</f>
        <v/>
      </c>
      <c r="F744" s="464" t="str">
        <f>IFERROR(VLOOKUP(B744,'03. THIẾT BỊ'!$B$1:$S$836,5,0),"")</f>
        <v/>
      </c>
      <c r="G744" s="80" t="s">
        <v>6423</v>
      </c>
      <c r="H744" s="463" t="str">
        <f>IFERROR(VLOOKUP(B744,'03. THIẾT BỊ'!$B$1:$S$836,7,0),"")</f>
        <v/>
      </c>
      <c r="I744" s="474" t="str">
        <f>IFERROR(VLOOKUP(B744,'03. THIẾT BỊ'!$B$1:$S$836,8,0),"")</f>
        <v/>
      </c>
      <c r="J744" s="471"/>
      <c r="K744" s="463" t="str">
        <f>IFERROR(VLOOKUP(B744,'03. THIẾT BỊ'!$B$1:$S$836,10,0),"")</f>
        <v/>
      </c>
      <c r="L744" s="468" t="str">
        <f>IFERROR(VLOOKUP(B744,'03. THIẾT BỊ'!$B$1:$S$836,11,0),"")</f>
        <v/>
      </c>
      <c r="M744" s="472" t="str">
        <f>IFERROR(VLOOKUP(B744,'03. THIẾT BỊ'!$B$1:$S$836,12,0),"")</f>
        <v/>
      </c>
      <c r="N744" s="468" t="str">
        <f>IFERROR(VLOOKUP(B744,'03. THIẾT BỊ'!$B$1:$S$836,13,0),"")</f>
        <v/>
      </c>
      <c r="O744" s="470" t="str">
        <f>IFERROR(VLOOKUP(B744,'03. THIẾT BỊ'!$B$1:$S$836,14,0),"")</f>
        <v/>
      </c>
      <c r="P744" s="468" t="str">
        <f>IFERROR(VLOOKUP(B744,'03. THIẾT BỊ'!$B$1:$S$836,15,0),"")</f>
        <v/>
      </c>
      <c r="Q744" s="48" t="str">
        <f>IFERROR(VLOOKUP(B744,'03. THIẾT BỊ'!$B$1:$S$836,16,0),"")</f>
        <v/>
      </c>
      <c r="R744" s="471" t="str">
        <f>IFERROR(VLOOKUP(B744,'03. THIẾT BỊ'!$B$1:$S$836,17,0),"")</f>
        <v/>
      </c>
      <c r="S744" s="468" t="str">
        <f>IFERROR(VLOOKUP(B744,'03. THIẾT BỊ'!$B$1:$S$836,18,0),"")</f>
        <v/>
      </c>
      <c r="T744" s="1495"/>
    </row>
    <row r="745" ht="15.0" customHeight="1">
      <c r="A745" s="455" t="s">
        <v>76</v>
      </c>
      <c r="B745" s="456" t="s">
        <v>8716</v>
      </c>
      <c r="C745" s="457">
        <f>COUNTA(B746:B748)</f>
        <v>2</v>
      </c>
      <c r="D745" s="458" t="str">
        <f>IFERROR(VLOOKUP(B745,'03. THIẾT BỊ'!$B$1:$S$836,3,0),"")</f>
        <v/>
      </c>
      <c r="E745" s="464" t="str">
        <f>IFERROR(VLOOKUP(B745,'03. THIẾT BỊ'!$B$1:$S$836,4,0),"")</f>
        <v/>
      </c>
      <c r="F745" s="458" t="str">
        <f>IFERROR(VLOOKUP(B745,'03. THIẾT BỊ'!$B$1:$S$836,5,0),"")</f>
        <v/>
      </c>
      <c r="G745" s="459" t="s">
        <v>6423</v>
      </c>
      <c r="H745" s="459" t="str">
        <f>IFERROR(VLOOKUP(B745,'03. THIẾT BỊ'!$B$1:$S$836,7,0),"")</f>
        <v/>
      </c>
      <c r="I745" s="457" t="str">
        <f>IFERROR(VLOOKUP(B745,'03. THIẾT BỊ'!$B$1:$S$836,8,0),"")</f>
        <v/>
      </c>
      <c r="J745" s="460"/>
      <c r="K745" s="457" t="str">
        <f>IFERROR(VLOOKUP(B745,'03. THIẾT BỊ'!$B$1:$S$836,10,0),"")</f>
        <v/>
      </c>
      <c r="L745" s="458" t="str">
        <f>IFERROR(VLOOKUP(B745,'03. THIẾT BỊ'!$B$1:$S$836,11,0),"")</f>
        <v/>
      </c>
      <c r="M745" s="461" t="str">
        <f>IFERROR(VLOOKUP(B745,'03. THIẾT BỊ'!$B$1:$S$836,12,0),"")</f>
        <v/>
      </c>
      <c r="N745" s="458" t="str">
        <f>IFERROR(VLOOKUP(B745,'03. THIẾT BỊ'!$B$1:$S$836,13,0),"")</f>
        <v/>
      </c>
      <c r="O745" s="461" t="str">
        <f>IFERROR(VLOOKUP(B745,'03. THIẾT BỊ'!$B$1:$S$836,14,0),"")</f>
        <v/>
      </c>
      <c r="P745" s="458" t="str">
        <f>IFERROR(VLOOKUP(B745,'03. THIẾT BỊ'!$B$1:$S$836,15,0),"")</f>
        <v/>
      </c>
      <c r="Q745" s="459" t="str">
        <f>IFERROR(VLOOKUP(B745,'03. THIẾT BỊ'!$B$1:$S$836,16,0),"")</f>
        <v/>
      </c>
      <c r="R745" s="458" t="str">
        <f>IFERROR(VLOOKUP(B745,'03. THIẾT BỊ'!$B$1:$S$836,17,0),"")</f>
        <v/>
      </c>
      <c r="S745" s="458" t="str">
        <f>IFERROR(VLOOKUP(B745,'03. THIẾT BỊ'!$B$1:$S$836,18,0),"")</f>
        <v/>
      </c>
      <c r="T745" s="866"/>
    </row>
    <row r="746" ht="27.0" customHeight="1">
      <c r="A746" s="463">
        <v>1.0</v>
      </c>
      <c r="B746" s="486" t="s">
        <v>5394</v>
      </c>
      <c r="C746" s="869" t="str">
        <f>IFERROR(VLOOKUP(B746,'03. THIẾT BỊ'!$B$1:$S$836,2,0),"")</f>
        <v>CK-MND-01</v>
      </c>
      <c r="D746" s="470" t="str">
        <f>IFERROR(VLOOKUP(B746,'03. THIẾT BỊ'!$B$1:$S$836,3,0),"")</f>
        <v>A22-TBN-001</v>
      </c>
      <c r="E746" s="464" t="str">
        <f>IFERROR(VLOOKUP(B746,'03. THIẾT BỊ'!$B$1:$S$836,4,0),"")</f>
        <v>ĐQSD</v>
      </c>
      <c r="F746" s="464" t="str">
        <f>IFERROR(VLOOKUP(B746,'03. THIẾT BỊ'!$B$1:$S$836,5,0),"")</f>
        <v>Thiết bị nghiền dăm gỗ</v>
      </c>
      <c r="G746" s="80" t="s">
        <v>6423</v>
      </c>
      <c r="H746" s="463" t="str">
        <f>IFERROR(VLOOKUP(B746,'03. THIẾT BỊ'!$B$1:$S$836,7,0),"")</f>
        <v>XN Bò AD</v>
      </c>
      <c r="I746" s="474">
        <f>IFERROR(VLOOKUP(B746,'03. THIẾT BỊ'!$B$1:$S$836,8,0),"")</f>
        <v>45512</v>
      </c>
      <c r="J746" s="471"/>
      <c r="K746" s="463" t="str">
        <f>IFERROR(VLOOKUP(B746,'03. THIẾT BỊ'!$B$1:$S$836,10,0),"")</f>
        <v>Bình thường</v>
      </c>
      <c r="L746" s="468" t="str">
        <f>IFERROR(VLOOKUP(B746,'03. THIẾT BỊ'!$B$1:$S$836,11,0),"")</f>
        <v/>
      </c>
      <c r="M746" s="472" t="str">
        <f>IFERROR(VLOOKUP(B746,'03. THIẾT BỊ'!$B$1:$S$836,12,0),"")</f>
        <v>Gia công mới</v>
      </c>
      <c r="N746" s="468" t="str">
        <f>IFERROR(VLOOKUP(B746,'03. THIẾT BỊ'!$B$1:$S$836,13,0),"")</f>
        <v>THACO AGRI</v>
      </c>
      <c r="O746" s="470" t="str">
        <f>IFERROR(VLOOKUP(B746,'03. THIẾT BỊ'!$B$1:$S$836,14,0),"")</f>
        <v/>
      </c>
      <c r="P746" s="468" t="str">
        <f>IFERROR(VLOOKUP(B746,'03. THIẾT BỊ'!$B$1:$S$836,15,0),"")</f>
        <v>CK-CGH</v>
      </c>
      <c r="Q746" s="48">
        <f>IFERROR(VLOOKUP(B746,'03. THIẾT BỊ'!$B$1:$S$836,16,0),"")</f>
        <v>2024</v>
      </c>
      <c r="R746" s="471" t="str">
        <f>IFERROR(VLOOKUP(B746,'03. THIẾT BỊ'!$B$1:$S$836,17,0),"")</f>
        <v/>
      </c>
      <c r="S746" s="468" t="str">
        <f>IFERROR(VLOOKUP(B746,'03. THIẾT BỊ'!$B$1:$S$836,18,0),"")</f>
        <v/>
      </c>
      <c r="T746" s="807"/>
    </row>
    <row r="747" ht="15.0" customHeight="1">
      <c r="A747" s="463">
        <v>2.0</v>
      </c>
      <c r="B747" s="464" t="s">
        <v>4915</v>
      </c>
      <c r="C747" s="869" t="str">
        <f>IFERROR(VLOOKUP(B747,'03. THIẾT BỊ'!$B$1:$S$836,2,0),"")</f>
        <v/>
      </c>
      <c r="D747" s="470" t="str">
        <f>IFERROR(VLOOKUP(B747,'03. THIẾT BỊ'!$B$1:$S$836,3,0),"")</f>
        <v>A22-MBX-001</v>
      </c>
      <c r="E747" s="464" t="str">
        <f>IFERROR(VLOOKUP(B747,'03. THIẾT BỊ'!$B$1:$S$836,4,0),"")</f>
        <v>ĐQSD</v>
      </c>
      <c r="F747" s="464" t="str">
        <f>IFERROR(VLOOKUP(B747,'03. THIẾT BỊ'!$B$1:$S$836,5,0),"")</f>
        <v>Thiết bị băm cành xoài</v>
      </c>
      <c r="G747" s="80" t="s">
        <v>6423</v>
      </c>
      <c r="H747" s="463" t="str">
        <f>IFERROR(VLOOKUP(B747,'03. THIẾT BỊ'!$B$1:$S$836,7,0),"")</f>
        <v>Xoài AD</v>
      </c>
      <c r="I747" s="474" t="str">
        <f>IFERROR(VLOOKUP(B747,'03. THIẾT BỊ'!$B$1:$S$836,8,0),"")</f>
        <v>17/09/2024</v>
      </c>
      <c r="J747" s="471"/>
      <c r="K747" s="463" t="str">
        <f>IFERROR(VLOOKUP(B747,'03. THIẾT BỊ'!$B$1:$S$836,10,0),"")</f>
        <v>Bình thường</v>
      </c>
      <c r="L747" s="468" t="str">
        <f>IFERROR(VLOOKUP(B747,'03. THIẾT BỊ'!$B$1:$S$836,11,0),"")</f>
        <v/>
      </c>
      <c r="M747" s="472" t="str">
        <f>IFERROR(VLOOKUP(B747,'03. THIẾT BỊ'!$B$1:$S$836,12,0),"")</f>
        <v>Gia công mới</v>
      </c>
      <c r="N747" s="468" t="str">
        <f>IFERROR(VLOOKUP(B747,'03. THIẾT BỊ'!$B$1:$S$836,13,0),"")</f>
        <v>THACO AGRI</v>
      </c>
      <c r="O747" s="470" t="str">
        <f>IFERROR(VLOOKUP(B747,'03. THIẾT BỊ'!$B$1:$S$836,14,0),"")</f>
        <v>CK-MBC-01</v>
      </c>
      <c r="P747" s="468" t="str">
        <f>IFERROR(VLOOKUP(B747,'03. THIẾT BỊ'!$B$1:$S$836,15,0),"")</f>
        <v>X.CGH</v>
      </c>
      <c r="Q747" s="48">
        <f>IFERROR(VLOOKUP(B747,'03. THIẾT BỊ'!$B$1:$S$836,16,0),"")</f>
        <v>2024</v>
      </c>
      <c r="R747" s="471" t="str">
        <f>IFERROR(VLOOKUP(B747,'03. THIẾT BỊ'!$B$1:$S$836,17,0),"")</f>
        <v>3x1.7x2.1 </v>
      </c>
      <c r="S747" s="468" t="str">
        <f>IFERROR(VLOOKUP(B747,'03. THIẾT BỊ'!$B$1:$S$836,18,0),"")</f>
        <v/>
      </c>
      <c r="T747" s="959"/>
    </row>
    <row r="748" ht="15.0" customHeight="1">
      <c r="A748" s="463"/>
      <c r="B748" s="464"/>
      <c r="C748" s="869" t="str">
        <f>IFERROR(VLOOKUP(B748,'03. THIẾT BỊ'!$B$1:$S$836,2,0),"")</f>
        <v/>
      </c>
      <c r="D748" s="470" t="str">
        <f>IFERROR(VLOOKUP(B748,'03. THIẾT BỊ'!$B$1:$S$836,3,0),"")</f>
        <v/>
      </c>
      <c r="E748" s="464" t="str">
        <f>IFERROR(VLOOKUP(B748,'03. THIẾT BỊ'!$B$1:$S$836,4,0),"")</f>
        <v/>
      </c>
      <c r="F748" s="464" t="str">
        <f>IFERROR(VLOOKUP(B748,'03. THIẾT BỊ'!$B$1:$S$836,5,0),"")</f>
        <v/>
      </c>
      <c r="G748" s="80" t="s">
        <v>6423</v>
      </c>
      <c r="H748" s="463" t="str">
        <f>IFERROR(VLOOKUP(B748,'03. THIẾT BỊ'!$B$1:$S$836,7,0),"")</f>
        <v/>
      </c>
      <c r="I748" s="474" t="str">
        <f>IFERROR(VLOOKUP(B748,'03. THIẾT BỊ'!$B$1:$S$836,8,0),"")</f>
        <v/>
      </c>
      <c r="J748" s="471"/>
      <c r="K748" s="463" t="str">
        <f>IFERROR(VLOOKUP(B748,'03. THIẾT BỊ'!$B$1:$S$836,10,0),"")</f>
        <v/>
      </c>
      <c r="L748" s="468" t="str">
        <f>IFERROR(VLOOKUP(B748,'03. THIẾT BỊ'!$B$1:$S$836,11,0),"")</f>
        <v/>
      </c>
      <c r="M748" s="472" t="str">
        <f>IFERROR(VLOOKUP(B748,'03. THIẾT BỊ'!$B$1:$S$836,12,0),"")</f>
        <v/>
      </c>
      <c r="N748" s="468" t="str">
        <f>IFERROR(VLOOKUP(B748,'03. THIẾT BỊ'!$B$1:$S$836,13,0),"")</f>
        <v/>
      </c>
      <c r="O748" s="470" t="str">
        <f>IFERROR(VLOOKUP(B748,'03. THIẾT BỊ'!$B$1:$S$836,14,0),"")</f>
        <v/>
      </c>
      <c r="P748" s="468" t="str">
        <f>IFERROR(VLOOKUP(B748,'03. THIẾT BỊ'!$B$1:$S$836,15,0),"")</f>
        <v/>
      </c>
      <c r="Q748" s="48" t="str">
        <f>IFERROR(VLOOKUP(B748,'03. THIẾT BỊ'!$B$1:$S$836,16,0),"")</f>
        <v/>
      </c>
      <c r="R748" s="471" t="str">
        <f>IFERROR(VLOOKUP(B748,'03. THIẾT BỊ'!$B$1:$S$836,17,0),"")</f>
        <v/>
      </c>
      <c r="S748" s="468" t="str">
        <f>IFERROR(VLOOKUP(B748,'03. THIẾT BỊ'!$B$1:$S$836,18,0),"")</f>
        <v/>
      </c>
      <c r="T748" s="1495"/>
    </row>
    <row r="749" ht="15.0" hidden="1" customHeight="1">
      <c r="A749" s="463"/>
      <c r="B749" s="464"/>
      <c r="C749" s="869" t="str">
        <f>IFERROR(VLOOKUP(B749,'03. THIẾT BỊ'!$B$1:$S$836,2,0),"")</f>
        <v/>
      </c>
      <c r="D749" s="470" t="str">
        <f>IFERROR(VLOOKUP(B749,'03. THIẾT BỊ'!$B$1:$S$836,3,0),"")</f>
        <v/>
      </c>
      <c r="E749" s="464" t="str">
        <f>IFERROR(VLOOKUP(B749,'03. THIẾT BỊ'!$B$1:$S$836,4,0),"")</f>
        <v/>
      </c>
      <c r="F749" s="464" t="str">
        <f>IFERROR(VLOOKUP(B749,'03. THIẾT BỊ'!$B$1:$S$836,5,0),"")</f>
        <v/>
      </c>
      <c r="G749" s="80" t="s">
        <v>6423</v>
      </c>
      <c r="H749" s="463" t="str">
        <f>IFERROR(VLOOKUP(B749,'03. THIẾT BỊ'!$B$1:$S$836,7,0),"")</f>
        <v/>
      </c>
      <c r="I749" s="474" t="str">
        <f>IFERROR(VLOOKUP(B749,'03. THIẾT BỊ'!$B$1:$S$836,8,0),"")</f>
        <v/>
      </c>
      <c r="J749" s="471"/>
      <c r="K749" s="463" t="str">
        <f>IFERROR(VLOOKUP(B749,'03. THIẾT BỊ'!$B$1:$S$836,10,0),"")</f>
        <v/>
      </c>
      <c r="L749" s="468" t="str">
        <f>IFERROR(VLOOKUP(B749,'03. THIẾT BỊ'!$B$1:$S$836,11,0),"")</f>
        <v/>
      </c>
      <c r="M749" s="472" t="str">
        <f>IFERROR(VLOOKUP(B749,'03. THIẾT BỊ'!$B$1:$S$836,12,0),"")</f>
        <v/>
      </c>
      <c r="N749" s="468" t="str">
        <f>IFERROR(VLOOKUP(B749,'03. THIẾT BỊ'!$B$1:$S$836,13,0),"")</f>
        <v/>
      </c>
      <c r="O749" s="470" t="str">
        <f>IFERROR(VLOOKUP(B749,'03. THIẾT BỊ'!$B$1:$S$836,14,0),"")</f>
        <v/>
      </c>
      <c r="P749" s="468" t="str">
        <f>IFERROR(VLOOKUP(B749,'03. THIẾT BỊ'!$B$1:$S$836,15,0),"")</f>
        <v/>
      </c>
      <c r="Q749" s="48" t="str">
        <f>IFERROR(VLOOKUP(B749,'03. THIẾT BỊ'!$B$1:$S$836,16,0),"")</f>
        <v/>
      </c>
      <c r="R749" s="471" t="str">
        <f>IFERROR(VLOOKUP(B749,'03. THIẾT BỊ'!$B$1:$S$836,17,0),"")</f>
        <v/>
      </c>
      <c r="S749" s="468" t="str">
        <f>IFERROR(VLOOKUP(B749,'03. THIẾT BỊ'!$B$1:$S$836,18,0),"")</f>
        <v/>
      </c>
      <c r="T749" s="1495"/>
    </row>
    <row r="750" ht="15.0" hidden="1" customHeight="1">
      <c r="A750" s="463"/>
      <c r="B750" s="464"/>
      <c r="C750" s="869" t="str">
        <f>IFERROR(VLOOKUP(B750,'03. THIẾT BỊ'!$B$1:$S$836,2,0),"")</f>
        <v/>
      </c>
      <c r="D750" s="470" t="str">
        <f>IFERROR(VLOOKUP(B750,'03. THIẾT BỊ'!$B$1:$S$836,3,0),"")</f>
        <v/>
      </c>
      <c r="E750" s="464" t="str">
        <f>IFERROR(VLOOKUP(B750,'03. THIẾT BỊ'!$B$1:$S$836,4,0),"")</f>
        <v/>
      </c>
      <c r="F750" s="464" t="str">
        <f>IFERROR(VLOOKUP(B750,'03. THIẾT BỊ'!$B$1:$S$836,5,0),"")</f>
        <v/>
      </c>
      <c r="G750" s="80" t="s">
        <v>6423</v>
      </c>
      <c r="H750" s="463" t="str">
        <f>IFERROR(VLOOKUP(B750,'03. THIẾT BỊ'!$B$1:$S$836,7,0),"")</f>
        <v/>
      </c>
      <c r="I750" s="474" t="str">
        <f>IFERROR(VLOOKUP(B750,'03. THIẾT BỊ'!$B$1:$S$836,8,0),"")</f>
        <v/>
      </c>
      <c r="J750" s="471"/>
      <c r="K750" s="463" t="str">
        <f>IFERROR(VLOOKUP(B750,'03. THIẾT BỊ'!$B$1:$S$836,10,0),"")</f>
        <v/>
      </c>
      <c r="L750" s="468" t="str">
        <f>IFERROR(VLOOKUP(B750,'03. THIẾT BỊ'!$B$1:$S$836,11,0),"")</f>
        <v/>
      </c>
      <c r="M750" s="472" t="str">
        <f>IFERROR(VLOOKUP(B750,'03. THIẾT BỊ'!$B$1:$S$836,12,0),"")</f>
        <v/>
      </c>
      <c r="N750" s="468" t="str">
        <f>IFERROR(VLOOKUP(B750,'03. THIẾT BỊ'!$B$1:$S$836,13,0),"")</f>
        <v/>
      </c>
      <c r="O750" s="470" t="str">
        <f>IFERROR(VLOOKUP(B750,'03. THIẾT BỊ'!$B$1:$S$836,14,0),"")</f>
        <v/>
      </c>
      <c r="P750" s="468" t="str">
        <f>IFERROR(VLOOKUP(B750,'03. THIẾT BỊ'!$B$1:$S$836,15,0),"")</f>
        <v/>
      </c>
      <c r="Q750" s="48" t="str">
        <f>IFERROR(VLOOKUP(B750,'03. THIẾT BỊ'!$B$1:$S$836,16,0),"")</f>
        <v/>
      </c>
      <c r="R750" s="471" t="str">
        <f>IFERROR(VLOOKUP(B750,'03. THIẾT BỊ'!$B$1:$S$836,17,0),"")</f>
        <v/>
      </c>
      <c r="S750" s="468" t="str">
        <f>IFERROR(VLOOKUP(B750,'03. THIẾT BỊ'!$B$1:$S$836,18,0),"")</f>
        <v/>
      </c>
      <c r="T750" s="1495"/>
    </row>
    <row r="751" ht="15.0" hidden="1" customHeight="1">
      <c r="A751" s="463"/>
      <c r="B751" s="464"/>
      <c r="C751" s="869" t="str">
        <f>IFERROR(VLOOKUP(B751,'03. THIẾT BỊ'!$B$1:$S$836,2,0),"")</f>
        <v/>
      </c>
      <c r="D751" s="470" t="str">
        <f>IFERROR(VLOOKUP(B751,'03. THIẾT BỊ'!$B$1:$S$836,3,0),"")</f>
        <v/>
      </c>
      <c r="E751" s="464" t="str">
        <f>IFERROR(VLOOKUP(B751,'03. THIẾT BỊ'!$B$1:$S$836,4,0),"")</f>
        <v/>
      </c>
      <c r="F751" s="464" t="str">
        <f>IFERROR(VLOOKUP(B751,'03. THIẾT BỊ'!$B$1:$S$836,5,0),"")</f>
        <v/>
      </c>
      <c r="G751" s="80" t="s">
        <v>6423</v>
      </c>
      <c r="H751" s="463" t="str">
        <f>IFERROR(VLOOKUP(B751,'03. THIẾT BỊ'!$B$1:$S$836,7,0),"")</f>
        <v/>
      </c>
      <c r="I751" s="474" t="str">
        <f>IFERROR(VLOOKUP(B751,'03. THIẾT BỊ'!$B$1:$S$836,8,0),"")</f>
        <v/>
      </c>
      <c r="J751" s="471"/>
      <c r="K751" s="463" t="str">
        <f>IFERROR(VLOOKUP(B751,'03. THIẾT BỊ'!$B$1:$S$836,10,0),"")</f>
        <v/>
      </c>
      <c r="L751" s="468" t="str">
        <f>IFERROR(VLOOKUP(B751,'03. THIẾT BỊ'!$B$1:$S$836,11,0),"")</f>
        <v/>
      </c>
      <c r="M751" s="472" t="str">
        <f>IFERROR(VLOOKUP(B751,'03. THIẾT BỊ'!$B$1:$S$836,12,0),"")</f>
        <v/>
      </c>
      <c r="N751" s="468" t="str">
        <f>IFERROR(VLOOKUP(B751,'03. THIẾT BỊ'!$B$1:$S$836,13,0),"")</f>
        <v/>
      </c>
      <c r="O751" s="470" t="str">
        <f>IFERROR(VLOOKUP(B751,'03. THIẾT BỊ'!$B$1:$S$836,14,0),"")</f>
        <v/>
      </c>
      <c r="P751" s="468" t="str">
        <f>IFERROR(VLOOKUP(B751,'03. THIẾT BỊ'!$B$1:$S$836,15,0),"")</f>
        <v/>
      </c>
      <c r="Q751" s="48" t="str">
        <f>IFERROR(VLOOKUP(B751,'03. THIẾT BỊ'!$B$1:$S$836,16,0),"")</f>
        <v/>
      </c>
      <c r="R751" s="471" t="str">
        <f>IFERROR(VLOOKUP(B751,'03. THIẾT BỊ'!$B$1:$S$836,17,0),"")</f>
        <v/>
      </c>
      <c r="S751" s="468" t="str">
        <f>IFERROR(VLOOKUP(B751,'03. THIẾT BỊ'!$B$1:$S$836,18,0),"")</f>
        <v/>
      </c>
      <c r="T751" s="1495"/>
    </row>
    <row r="752" ht="15.0" hidden="1" customHeight="1">
      <c r="A752" s="463"/>
      <c r="B752" s="464"/>
      <c r="C752" s="869" t="str">
        <f>IFERROR(VLOOKUP(B752,'03. THIẾT BỊ'!$B$1:$S$836,2,0),"")</f>
        <v/>
      </c>
      <c r="D752" s="470" t="str">
        <f>IFERROR(VLOOKUP(B752,'03. THIẾT BỊ'!$B$1:$S$836,3,0),"")</f>
        <v/>
      </c>
      <c r="E752" s="464" t="str">
        <f>IFERROR(VLOOKUP(B752,'03. THIẾT BỊ'!$B$1:$S$836,4,0),"")</f>
        <v/>
      </c>
      <c r="F752" s="464" t="str">
        <f>IFERROR(VLOOKUP(B752,'03. THIẾT BỊ'!$B$1:$S$836,5,0),"")</f>
        <v/>
      </c>
      <c r="G752" s="80" t="s">
        <v>6423</v>
      </c>
      <c r="H752" s="463" t="str">
        <f>IFERROR(VLOOKUP(B752,'03. THIẾT BỊ'!$B$1:$S$836,7,0),"")</f>
        <v/>
      </c>
      <c r="I752" s="474" t="str">
        <f>IFERROR(VLOOKUP(B752,'03. THIẾT BỊ'!$B$1:$S$836,8,0),"")</f>
        <v/>
      </c>
      <c r="J752" s="471"/>
      <c r="K752" s="463" t="str">
        <f>IFERROR(VLOOKUP(B752,'03. THIẾT BỊ'!$B$1:$S$836,10,0),"")</f>
        <v/>
      </c>
      <c r="L752" s="468" t="str">
        <f>IFERROR(VLOOKUP(B752,'03. THIẾT BỊ'!$B$1:$S$836,11,0),"")</f>
        <v/>
      </c>
      <c r="M752" s="472" t="str">
        <f>IFERROR(VLOOKUP(B752,'03. THIẾT BỊ'!$B$1:$S$836,12,0),"")</f>
        <v/>
      </c>
      <c r="N752" s="468" t="str">
        <f>IFERROR(VLOOKUP(B752,'03. THIẾT BỊ'!$B$1:$S$836,13,0),"")</f>
        <v/>
      </c>
      <c r="O752" s="470" t="str">
        <f>IFERROR(VLOOKUP(B752,'03. THIẾT BỊ'!$B$1:$S$836,14,0),"")</f>
        <v/>
      </c>
      <c r="P752" s="468" t="str">
        <f>IFERROR(VLOOKUP(B752,'03. THIẾT BỊ'!$B$1:$S$836,15,0),"")</f>
        <v/>
      </c>
      <c r="Q752" s="48" t="str">
        <f>IFERROR(VLOOKUP(B752,'03. THIẾT BỊ'!$B$1:$S$836,16,0),"")</f>
        <v/>
      </c>
      <c r="R752" s="471" t="str">
        <f>IFERROR(VLOOKUP(B752,'03. THIẾT BỊ'!$B$1:$S$836,17,0),"")</f>
        <v/>
      </c>
      <c r="S752" s="468" t="str">
        <f>IFERROR(VLOOKUP(B752,'03. THIẾT BỊ'!$B$1:$S$836,18,0),"")</f>
        <v/>
      </c>
      <c r="T752" s="1495"/>
    </row>
    <row r="753" ht="15.0" customHeight="1">
      <c r="A753" s="455" t="s">
        <v>76</v>
      </c>
      <c r="B753" s="456" t="s">
        <v>8717</v>
      </c>
      <c r="C753" s="457">
        <f>COUNTA(B754:B762)</f>
        <v>7</v>
      </c>
      <c r="D753" s="458" t="str">
        <f>IFERROR(VLOOKUP(B753,'03. THIẾT BỊ'!$B$1:$S$836,3,0),"")</f>
        <v/>
      </c>
      <c r="E753" s="464" t="str">
        <f>IFERROR(VLOOKUP(B753,'03. THIẾT BỊ'!$B$1:$S$836,4,0),"")</f>
        <v/>
      </c>
      <c r="F753" s="458" t="str">
        <f>IFERROR(VLOOKUP(B753,'03. THIẾT BỊ'!$B$1:$S$836,5,0),"")</f>
        <v/>
      </c>
      <c r="G753" s="459" t="s">
        <v>6423</v>
      </c>
      <c r="H753" s="459" t="str">
        <f>IFERROR(VLOOKUP(B753,'03. THIẾT BỊ'!$B$1:$S$836,7,0),"")</f>
        <v/>
      </c>
      <c r="I753" s="457" t="str">
        <f>IFERROR(VLOOKUP(B753,'03. THIẾT BỊ'!$B$1:$S$836,8,0),"")</f>
        <v/>
      </c>
      <c r="J753" s="460"/>
      <c r="K753" s="457" t="str">
        <f>IFERROR(VLOOKUP(B753,'03. THIẾT BỊ'!$B$1:$S$836,10,0),"")</f>
        <v/>
      </c>
      <c r="L753" s="458" t="str">
        <f>IFERROR(VLOOKUP(B753,'03. THIẾT BỊ'!$B$1:$S$836,11,0),"")</f>
        <v/>
      </c>
      <c r="M753" s="461" t="str">
        <f>IFERROR(VLOOKUP(B753,'03. THIẾT BỊ'!$B$1:$S$836,12,0),"")</f>
        <v/>
      </c>
      <c r="N753" s="458" t="str">
        <f>IFERROR(VLOOKUP(B753,'03. THIẾT BỊ'!$B$1:$S$836,13,0),"")</f>
        <v/>
      </c>
      <c r="O753" s="461" t="str">
        <f>IFERROR(VLOOKUP(B753,'03. THIẾT BỊ'!$B$1:$S$836,14,0),"")</f>
        <v/>
      </c>
      <c r="P753" s="458" t="str">
        <f>IFERROR(VLOOKUP(B753,'03. THIẾT BỊ'!$B$1:$S$836,15,0),"")</f>
        <v/>
      </c>
      <c r="Q753" s="459" t="str">
        <f>IFERROR(VLOOKUP(B753,'03. THIẾT BỊ'!$B$1:$S$836,16,0),"")</f>
        <v/>
      </c>
      <c r="R753" s="458" t="str">
        <f>IFERROR(VLOOKUP(B753,'03. THIẾT BỊ'!$B$1:$S$836,17,0),"")</f>
        <v/>
      </c>
      <c r="S753" s="458" t="str">
        <f>IFERROR(VLOOKUP(B753,'03. THIẾT BỊ'!$B$1:$S$836,18,0),"")</f>
        <v/>
      </c>
      <c r="T753" s="866"/>
    </row>
    <row r="754" ht="15.0" customHeight="1">
      <c r="A754" s="463">
        <v>1.0</v>
      </c>
      <c r="B754" s="468" t="s">
        <v>5039</v>
      </c>
      <c r="C754" s="869" t="str">
        <f>IFERROR(VLOOKUP(B754,'03. THIẾT BỊ'!$B$1:$S$836,2,0),"")</f>
        <v/>
      </c>
      <c r="D754" s="470" t="str">
        <f>IFERROR(VLOOKUP(B754,'03. THIẾT BỊ'!$B$1:$S$836,3,0),"")</f>
        <v>A22-TTA-001</v>
      </c>
      <c r="E754" s="464" t="str">
        <f>IFERROR(VLOOKUP(B754,'03. THIẾT BỊ'!$B$1:$S$836,4,0),"")</f>
        <v>ĐQSD</v>
      </c>
      <c r="F754" s="464" t="str">
        <f>IFERROR(VLOOKUP(B754,'03. THIẾT BỊ'!$B$1:$S$836,5,0),"")</f>
        <v>Cối trộn thức ăn TMR</v>
      </c>
      <c r="G754" s="80" t="s">
        <v>6423</v>
      </c>
      <c r="H754" s="463" t="str">
        <f>IFERROR(VLOOKUP(B754,'03. THIẾT BỊ'!$B$1:$S$836,7,0),"")</f>
        <v>XN Bò AD</v>
      </c>
      <c r="I754" s="474" t="str">
        <f>IFERROR(VLOOKUP(B754,'03. THIẾT BỊ'!$B$1:$S$836,8,0),"")</f>
        <v/>
      </c>
      <c r="J754" s="471"/>
      <c r="K754" s="463" t="str">
        <f>IFERROR(VLOOKUP(B754,'03. THIẾT BỊ'!$B$1:$S$836,10,0),"")</f>
        <v>Bình thường</v>
      </c>
      <c r="L754" s="468" t="str">
        <f>IFERROR(VLOOKUP(B754,'03. THIẾT BỊ'!$B$1:$S$836,11,0),"")</f>
        <v/>
      </c>
      <c r="M754" s="472" t="str">
        <f>IFERROR(VLOOKUP(B754,'03. THIẾT BỊ'!$B$1:$S$836,12,0),"")</f>
        <v>TTCBTA</v>
      </c>
      <c r="N754" s="468" t="str">
        <f>IFERROR(VLOOKUP(B754,'03. THIẾT BỊ'!$B$1:$S$836,13,0),"")</f>
        <v>CAMBODIA</v>
      </c>
      <c r="O754" s="470" t="str">
        <f>IFERROR(VLOOKUP(B754,'03. THIẾT BỊ'!$B$1:$S$836,14,0),"")</f>
        <v>TMR</v>
      </c>
      <c r="P754" s="468" t="str">
        <f>IFERROR(VLOOKUP(B754,'03. THIẾT BỊ'!$B$1:$S$836,15,0),"")</f>
        <v>CAMBODIA</v>
      </c>
      <c r="Q754" s="48" t="str">
        <f>IFERROR(VLOOKUP(B754,'03. THIẾT BỊ'!$B$1:$S$836,16,0),"")</f>
        <v/>
      </c>
      <c r="R754" s="471" t="str">
        <f>IFERROR(VLOOKUP(B754,'03. THIẾT BỊ'!$B$1:$S$836,17,0),"")</f>
        <v/>
      </c>
      <c r="S754" s="468" t="str">
        <f>IFERROR(VLOOKUP(B754,'03. THIẾT BỊ'!$B$1:$S$836,18,0),"")</f>
        <v/>
      </c>
      <c r="T754" s="812"/>
    </row>
    <row r="755" ht="15.0" customHeight="1">
      <c r="A755" s="463">
        <f t="shared" ref="A755:A760" si="37">A754+1</f>
        <v>2</v>
      </c>
      <c r="B755" s="468" t="s">
        <v>5044</v>
      </c>
      <c r="C755" s="869" t="str">
        <f>IFERROR(VLOOKUP(B755,'03. THIẾT BỊ'!$B$1:$S$836,2,0),"")</f>
        <v/>
      </c>
      <c r="D755" s="470" t="str">
        <f>IFERROR(VLOOKUP(B755,'03. THIẾT BỊ'!$B$1:$S$836,3,0),"")</f>
        <v>A22-TTA-002</v>
      </c>
      <c r="E755" s="464" t="str">
        <f>IFERROR(VLOOKUP(B755,'03. THIẾT BỊ'!$B$1:$S$836,4,0),"")</f>
        <v>ĐQSD</v>
      </c>
      <c r="F755" s="464" t="str">
        <f>IFERROR(VLOOKUP(B755,'03. THIẾT BỊ'!$B$1:$S$836,5,0),"")</f>
        <v>Cối trộn thức ăn TMR</v>
      </c>
      <c r="G755" s="80" t="s">
        <v>6423</v>
      </c>
      <c r="H755" s="463" t="str">
        <f>IFERROR(VLOOKUP(B755,'03. THIẾT BỊ'!$B$1:$S$836,7,0),"")</f>
        <v>XN Bò AD</v>
      </c>
      <c r="I755" s="474" t="str">
        <f>IFERROR(VLOOKUP(B755,'03. THIẾT BỊ'!$B$1:$S$836,8,0),"")</f>
        <v/>
      </c>
      <c r="J755" s="471"/>
      <c r="K755" s="463" t="str">
        <f>IFERROR(VLOOKUP(B755,'03. THIẾT BỊ'!$B$1:$S$836,10,0),"")</f>
        <v>Bình thường</v>
      </c>
      <c r="L755" s="468" t="str">
        <f>IFERROR(VLOOKUP(B755,'03. THIẾT BỊ'!$B$1:$S$836,11,0),"")</f>
        <v/>
      </c>
      <c r="M755" s="472" t="str">
        <f>IFERROR(VLOOKUP(B755,'03. THIẾT BỊ'!$B$1:$S$836,12,0),"")</f>
        <v>TTCBTA</v>
      </c>
      <c r="N755" s="468" t="str">
        <f>IFERROR(VLOOKUP(B755,'03. THIẾT BỊ'!$B$1:$S$836,13,0),"")</f>
        <v>CAMBODIA</v>
      </c>
      <c r="O755" s="470" t="str">
        <f>IFERROR(VLOOKUP(B755,'03. THIẾT BỊ'!$B$1:$S$836,14,0),"")</f>
        <v>TMR</v>
      </c>
      <c r="P755" s="468" t="str">
        <f>IFERROR(VLOOKUP(B755,'03. THIẾT BỊ'!$B$1:$S$836,15,0),"")</f>
        <v>CAMBODIA</v>
      </c>
      <c r="Q755" s="48" t="str">
        <f>IFERROR(VLOOKUP(B755,'03. THIẾT BỊ'!$B$1:$S$836,16,0),"")</f>
        <v/>
      </c>
      <c r="R755" s="471" t="str">
        <f>IFERROR(VLOOKUP(B755,'03. THIẾT BỊ'!$B$1:$S$836,17,0),"")</f>
        <v/>
      </c>
      <c r="S755" s="468" t="str">
        <f>IFERROR(VLOOKUP(B755,'03. THIẾT BỊ'!$B$1:$S$836,18,0),"")</f>
        <v/>
      </c>
      <c r="T755" s="812"/>
    </row>
    <row r="756" ht="15.0" customHeight="1">
      <c r="A756" s="463">
        <f t="shared" si="37"/>
        <v>3</v>
      </c>
      <c r="B756" s="468" t="s">
        <v>5047</v>
      </c>
      <c r="C756" s="869" t="str">
        <f>IFERROR(VLOOKUP(B756,'03. THIẾT BỊ'!$B$1:$S$836,2,0),"")</f>
        <v/>
      </c>
      <c r="D756" s="470" t="str">
        <f>IFERROR(VLOOKUP(B756,'03. THIẾT BỊ'!$B$1:$S$836,3,0),"")</f>
        <v>A22-TTA-003</v>
      </c>
      <c r="E756" s="464" t="str">
        <f>IFERROR(VLOOKUP(B756,'03. THIẾT BỊ'!$B$1:$S$836,4,0),"")</f>
        <v>ĐQSD</v>
      </c>
      <c r="F756" s="464" t="str">
        <f>IFERROR(VLOOKUP(B756,'03. THIẾT BỊ'!$B$1:$S$836,5,0),"")</f>
        <v>Cối trộn thức ăn TMR</v>
      </c>
      <c r="G756" s="80" t="s">
        <v>6423</v>
      </c>
      <c r="H756" s="463" t="str">
        <f>IFERROR(VLOOKUP(B756,'03. THIẾT BỊ'!$B$1:$S$836,7,0),"")</f>
        <v>XN Bò AD</v>
      </c>
      <c r="I756" s="474" t="str">
        <f>IFERROR(VLOOKUP(B756,'03. THIẾT BỊ'!$B$1:$S$836,8,0),"")</f>
        <v/>
      </c>
      <c r="J756" s="471"/>
      <c r="K756" s="463" t="str">
        <f>IFERROR(VLOOKUP(B756,'03. THIẾT BỊ'!$B$1:$S$836,10,0),"")</f>
        <v>Bình thường</v>
      </c>
      <c r="L756" s="468" t="str">
        <f>IFERROR(VLOOKUP(B756,'03. THIẾT BỊ'!$B$1:$S$836,11,0),"")</f>
        <v/>
      </c>
      <c r="M756" s="472" t="str">
        <f>IFERROR(VLOOKUP(B756,'03. THIẾT BỊ'!$B$1:$S$836,12,0),"")</f>
        <v>TTCBTA</v>
      </c>
      <c r="N756" s="468" t="str">
        <f>IFERROR(VLOOKUP(B756,'03. THIẾT BỊ'!$B$1:$S$836,13,0),"")</f>
        <v>CAMBODIA</v>
      </c>
      <c r="O756" s="470" t="str">
        <f>IFERROR(VLOOKUP(B756,'03. THIẾT BỊ'!$B$1:$S$836,14,0),"")</f>
        <v>TMR</v>
      </c>
      <c r="P756" s="468" t="str">
        <f>IFERROR(VLOOKUP(B756,'03. THIẾT BỊ'!$B$1:$S$836,15,0),"")</f>
        <v>CAMBODIA</v>
      </c>
      <c r="Q756" s="48" t="str">
        <f>IFERROR(VLOOKUP(B756,'03. THIẾT BỊ'!$B$1:$S$836,16,0),"")</f>
        <v/>
      </c>
      <c r="R756" s="471" t="str">
        <f>IFERROR(VLOOKUP(B756,'03. THIẾT BỊ'!$B$1:$S$836,17,0),"")</f>
        <v/>
      </c>
      <c r="S756" s="468" t="str">
        <f>IFERROR(VLOOKUP(B756,'03. THIẾT BỊ'!$B$1:$S$836,18,0),"")</f>
        <v/>
      </c>
      <c r="T756" s="812"/>
    </row>
    <row r="757" ht="15.0" customHeight="1">
      <c r="A757" s="463">
        <f t="shared" si="37"/>
        <v>4</v>
      </c>
      <c r="B757" s="464" t="s">
        <v>5226</v>
      </c>
      <c r="C757" s="869" t="str">
        <f>IFERROR(VLOOKUP(B757,'03. THIẾT BỊ'!$B$1:$S$836,2,0),"")</f>
        <v/>
      </c>
      <c r="D757" s="470" t="str">
        <f>IFERROR(VLOOKUP(B757,'03. THIẾT BỊ'!$B$1:$S$836,3,0),"")</f>
        <v>A22-MTP-001</v>
      </c>
      <c r="E757" s="464" t="str">
        <f>IFERROR(VLOOKUP(B757,'03. THIẾT BỊ'!$B$1:$S$836,4,0),"")</f>
        <v>ĐQSD</v>
      </c>
      <c r="F757" s="464" t="str">
        <f>IFERROR(VLOOKUP(B757,'03. THIẾT BỊ'!$B$1:$S$836,5,0),"")</f>
        <v>Máy trộn premix </v>
      </c>
      <c r="G757" s="80" t="s">
        <v>6423</v>
      </c>
      <c r="H757" s="463" t="str">
        <f>IFERROR(VLOOKUP(B757,'03. THIẾT BỊ'!$B$1:$S$836,7,0),"")</f>
        <v>XN Bò AD</v>
      </c>
      <c r="I757" s="474" t="str">
        <f>IFERROR(VLOOKUP(B757,'03. THIẾT BỊ'!$B$1:$S$836,8,0),"")</f>
        <v/>
      </c>
      <c r="J757" s="471"/>
      <c r="K757" s="463" t="str">
        <f>IFERROR(VLOOKUP(B757,'03. THIẾT BỊ'!$B$1:$S$836,10,0),"")</f>
        <v>Bình thường</v>
      </c>
      <c r="L757" s="468" t="str">
        <f>IFERROR(VLOOKUP(B757,'03. THIẾT BỊ'!$B$1:$S$836,11,0),"")</f>
        <v/>
      </c>
      <c r="M757" s="472" t="str">
        <f>IFERROR(VLOOKUP(B757,'03. THIẾT BỊ'!$B$1:$S$836,12,0),"")</f>
        <v>TTCBTA</v>
      </c>
      <c r="N757" s="468" t="str">
        <f>IFERROR(VLOOKUP(B757,'03. THIẾT BỊ'!$B$1:$S$836,13,0),"")</f>
        <v>THACO AGRI</v>
      </c>
      <c r="O757" s="470" t="str">
        <f>IFERROR(VLOOKUP(B757,'03. THIẾT BỊ'!$B$1:$S$836,14,0),"")</f>
        <v>Premix</v>
      </c>
      <c r="P757" s="468" t="str">
        <f>IFERROR(VLOOKUP(B757,'03. THIẾT BỊ'!$B$1:$S$836,15,0),"")</f>
        <v>CK-CGH</v>
      </c>
      <c r="Q757" s="48" t="str">
        <f>IFERROR(VLOOKUP(B757,'03. THIẾT BỊ'!$B$1:$S$836,16,0),"")</f>
        <v/>
      </c>
      <c r="R757" s="471" t="str">
        <f>IFERROR(VLOOKUP(B757,'03. THIẾT BỊ'!$B$1:$S$836,17,0),"")</f>
        <v/>
      </c>
      <c r="S757" s="468" t="str">
        <f>IFERROR(VLOOKUP(B757,'03. THIẾT BỊ'!$B$1:$S$836,18,0),"")</f>
        <v/>
      </c>
      <c r="T757" s="812"/>
    </row>
    <row r="758" ht="15.0" customHeight="1">
      <c r="A758" s="463">
        <f t="shared" si="37"/>
        <v>5</v>
      </c>
      <c r="B758" s="464" t="s">
        <v>5230</v>
      </c>
      <c r="C758" s="869" t="str">
        <f>IFERROR(VLOOKUP(B758,'03. THIẾT BỊ'!$B$1:$S$836,2,0),"")</f>
        <v/>
      </c>
      <c r="D758" s="470" t="str">
        <f>IFERROR(VLOOKUP(B758,'03. THIẾT BỊ'!$B$1:$S$836,3,0),"")</f>
        <v>A22-MTP-002</v>
      </c>
      <c r="E758" s="464" t="str">
        <f>IFERROR(VLOOKUP(B758,'03. THIẾT BỊ'!$B$1:$S$836,4,0),"")</f>
        <v>ĐQSD</v>
      </c>
      <c r="F758" s="464" t="str">
        <f>IFERROR(VLOOKUP(B758,'03. THIẾT BỊ'!$B$1:$S$836,5,0),"")</f>
        <v>Máy trộn premix </v>
      </c>
      <c r="G758" s="80" t="s">
        <v>6423</v>
      </c>
      <c r="H758" s="463" t="str">
        <f>IFERROR(VLOOKUP(B758,'03. THIẾT BỊ'!$B$1:$S$836,7,0),"")</f>
        <v>XN Bò AD</v>
      </c>
      <c r="I758" s="474" t="str">
        <f>IFERROR(VLOOKUP(B758,'03. THIẾT BỊ'!$B$1:$S$836,8,0),"")</f>
        <v/>
      </c>
      <c r="J758" s="471"/>
      <c r="K758" s="463" t="str">
        <f>IFERROR(VLOOKUP(B758,'03. THIẾT BỊ'!$B$1:$S$836,10,0),"")</f>
        <v>Bình thường</v>
      </c>
      <c r="L758" s="468" t="str">
        <f>IFERROR(VLOOKUP(B758,'03. THIẾT BỊ'!$B$1:$S$836,11,0),"")</f>
        <v/>
      </c>
      <c r="M758" s="472" t="str">
        <f>IFERROR(VLOOKUP(B758,'03. THIẾT BỊ'!$B$1:$S$836,12,0),"")</f>
        <v>TTCBTA</v>
      </c>
      <c r="N758" s="468" t="str">
        <f>IFERROR(VLOOKUP(B758,'03. THIẾT BỊ'!$B$1:$S$836,13,0),"")</f>
        <v>THACO AGRI</v>
      </c>
      <c r="O758" s="470" t="str">
        <f>IFERROR(VLOOKUP(B758,'03. THIẾT BỊ'!$B$1:$S$836,14,0),"")</f>
        <v>Premix</v>
      </c>
      <c r="P758" s="468" t="str">
        <f>IFERROR(VLOOKUP(B758,'03. THIẾT BỊ'!$B$1:$S$836,15,0),"")</f>
        <v>CK-CGH</v>
      </c>
      <c r="Q758" s="48" t="str">
        <f>IFERROR(VLOOKUP(B758,'03. THIẾT BỊ'!$B$1:$S$836,16,0),"")</f>
        <v/>
      </c>
      <c r="R758" s="471" t="str">
        <f>IFERROR(VLOOKUP(B758,'03. THIẾT BỊ'!$B$1:$S$836,17,0),"")</f>
        <v/>
      </c>
      <c r="S758" s="468" t="str">
        <f>IFERROR(VLOOKUP(B758,'03. THIẾT BỊ'!$B$1:$S$836,18,0),"")</f>
        <v/>
      </c>
      <c r="T758" s="812"/>
    </row>
    <row r="759" ht="15.0" customHeight="1">
      <c r="A759" s="463">
        <f t="shared" si="37"/>
        <v>6</v>
      </c>
      <c r="B759" s="464" t="s">
        <v>5232</v>
      </c>
      <c r="C759" s="869" t="str">
        <f>IFERROR(VLOOKUP(B759,'03. THIẾT BỊ'!$B$1:$S$836,2,0),"")</f>
        <v/>
      </c>
      <c r="D759" s="470" t="str">
        <f>IFERROR(VLOOKUP(B759,'03. THIẾT BỊ'!$B$1:$S$836,3,0),"")</f>
        <v>A22-TCT-001</v>
      </c>
      <c r="E759" s="464" t="str">
        <f>IFERROR(VLOOKUP(B759,'03. THIẾT BỊ'!$B$1:$S$836,4,0),"")</f>
        <v>ĐQSD</v>
      </c>
      <c r="F759" s="464" t="str">
        <f>IFERROR(VLOOKUP(B759,'03. THIẾT BỊ'!$B$1:$S$836,5,0),"")</f>
        <v>Máy trộn thức ăn tinh </v>
      </c>
      <c r="G759" s="80" t="s">
        <v>6423</v>
      </c>
      <c r="H759" s="463" t="str">
        <f>IFERROR(VLOOKUP(B759,'03. THIẾT BỊ'!$B$1:$S$836,7,0),"")</f>
        <v>XN Bò AD</v>
      </c>
      <c r="I759" s="474" t="str">
        <f>IFERROR(VLOOKUP(B759,'03. THIẾT BỊ'!$B$1:$S$836,8,0),"")</f>
        <v/>
      </c>
      <c r="J759" s="471"/>
      <c r="K759" s="463" t="str">
        <f>IFERROR(VLOOKUP(B759,'03. THIẾT BỊ'!$B$1:$S$836,10,0),"")</f>
        <v>Bình thường</v>
      </c>
      <c r="L759" s="468" t="str">
        <f>IFERROR(VLOOKUP(B759,'03. THIẾT BỊ'!$B$1:$S$836,11,0),"")</f>
        <v/>
      </c>
      <c r="M759" s="472" t="str">
        <f>IFERROR(VLOOKUP(B759,'03. THIẾT BỊ'!$B$1:$S$836,12,0),"")</f>
        <v>TTCBTA</v>
      </c>
      <c r="N759" s="468" t="str">
        <f>IFERROR(VLOOKUP(B759,'03. THIẾT BỊ'!$B$1:$S$836,13,0),"")</f>
        <v>THACO AGRI</v>
      </c>
      <c r="O759" s="470" t="str">
        <f>IFERROR(VLOOKUP(B759,'03. THIẾT BỊ'!$B$1:$S$836,14,0),"")</f>
        <v/>
      </c>
      <c r="P759" s="468" t="str">
        <f>IFERROR(VLOOKUP(B759,'03. THIẾT BỊ'!$B$1:$S$836,15,0),"")</f>
        <v>CK-CGH</v>
      </c>
      <c r="Q759" s="48" t="str">
        <f>IFERROR(VLOOKUP(B759,'03. THIẾT BỊ'!$B$1:$S$836,16,0),"")</f>
        <v/>
      </c>
      <c r="R759" s="471" t="str">
        <f>IFERROR(VLOOKUP(B759,'03. THIẾT BỊ'!$B$1:$S$836,17,0),"")</f>
        <v/>
      </c>
      <c r="S759" s="468" t="str">
        <f>IFERROR(VLOOKUP(B759,'03. THIẾT BỊ'!$B$1:$S$836,18,0),"")</f>
        <v/>
      </c>
      <c r="T759" s="812"/>
    </row>
    <row r="760" ht="15.0" customHeight="1">
      <c r="A760" s="463">
        <f t="shared" si="37"/>
        <v>7</v>
      </c>
      <c r="B760" s="464" t="s">
        <v>5235</v>
      </c>
      <c r="C760" s="869" t="str">
        <f>IFERROR(VLOOKUP(B760,'03. THIẾT BỊ'!$B$1:$S$836,2,0),"")</f>
        <v/>
      </c>
      <c r="D760" s="470" t="str">
        <f>IFERROR(VLOOKUP(B760,'03. THIẾT BỊ'!$B$1:$S$836,3,0),"")</f>
        <v>A22-TCT-002</v>
      </c>
      <c r="E760" s="464" t="str">
        <f>IFERROR(VLOOKUP(B760,'03. THIẾT BỊ'!$B$1:$S$836,4,0),"")</f>
        <v>ĐQSD</v>
      </c>
      <c r="F760" s="464" t="str">
        <f>IFERROR(VLOOKUP(B760,'03. THIẾT BỊ'!$B$1:$S$836,5,0),"")</f>
        <v>Máy trộn thức ăn tinh</v>
      </c>
      <c r="G760" s="80" t="s">
        <v>6423</v>
      </c>
      <c r="H760" s="463" t="str">
        <f>IFERROR(VLOOKUP(B760,'03. THIẾT BỊ'!$B$1:$S$836,7,0),"")</f>
        <v>XN Bò AD</v>
      </c>
      <c r="I760" s="474" t="str">
        <f>IFERROR(VLOOKUP(B760,'03. THIẾT BỊ'!$B$1:$S$836,8,0),"")</f>
        <v/>
      </c>
      <c r="J760" s="471"/>
      <c r="K760" s="463" t="str">
        <f>IFERROR(VLOOKUP(B760,'03. THIẾT BỊ'!$B$1:$S$836,10,0),"")</f>
        <v>Bình thường</v>
      </c>
      <c r="L760" s="468" t="str">
        <f>IFERROR(VLOOKUP(B760,'03. THIẾT BỊ'!$B$1:$S$836,11,0),"")</f>
        <v/>
      </c>
      <c r="M760" s="472" t="str">
        <f>IFERROR(VLOOKUP(B760,'03. THIẾT BỊ'!$B$1:$S$836,12,0),"")</f>
        <v>TTCBTA</v>
      </c>
      <c r="N760" s="468" t="str">
        <f>IFERROR(VLOOKUP(B760,'03. THIẾT BỊ'!$B$1:$S$836,13,0),"")</f>
        <v>THACO AGRI</v>
      </c>
      <c r="O760" s="470" t="str">
        <f>IFERROR(VLOOKUP(B760,'03. THIẾT BỊ'!$B$1:$S$836,14,0),"")</f>
        <v/>
      </c>
      <c r="P760" s="468" t="str">
        <f>IFERROR(VLOOKUP(B760,'03. THIẾT BỊ'!$B$1:$S$836,15,0),"")</f>
        <v>CK-CGH</v>
      </c>
      <c r="Q760" s="48" t="str">
        <f>IFERROR(VLOOKUP(B760,'03. THIẾT BỊ'!$B$1:$S$836,16,0),"")</f>
        <v/>
      </c>
      <c r="R760" s="471" t="str">
        <f>IFERROR(VLOOKUP(B760,'03. THIẾT BỊ'!$B$1:$S$836,17,0),"")</f>
        <v/>
      </c>
      <c r="S760" s="468" t="str">
        <f>IFERROR(VLOOKUP(B760,'03. THIẾT BỊ'!$B$1:$S$836,18,0),"")</f>
        <v/>
      </c>
      <c r="T760" s="812"/>
    </row>
    <row r="761" ht="15.0" customHeight="1">
      <c r="A761" s="463"/>
      <c r="B761" s="464"/>
      <c r="C761" s="869" t="str">
        <f>IFERROR(VLOOKUP(B761,'03. THIẾT BỊ'!$B$1:$S$836,2,0),"")</f>
        <v/>
      </c>
      <c r="D761" s="470" t="str">
        <f>IFERROR(VLOOKUP(B761,'03. THIẾT BỊ'!$B$1:$S$836,3,0),"")</f>
        <v/>
      </c>
      <c r="E761" s="464" t="str">
        <f>IFERROR(VLOOKUP(B761,'03. THIẾT BỊ'!$B$1:$S$836,4,0),"")</f>
        <v/>
      </c>
      <c r="F761" s="464" t="str">
        <f>IFERROR(VLOOKUP(B761,'03. THIẾT BỊ'!$B$1:$S$836,5,0),"")</f>
        <v/>
      </c>
      <c r="G761" s="80" t="s">
        <v>6423</v>
      </c>
      <c r="H761" s="463" t="str">
        <f>IFERROR(VLOOKUP(B761,'03. THIẾT BỊ'!$B$1:$S$836,7,0),"")</f>
        <v/>
      </c>
      <c r="I761" s="474" t="str">
        <f>IFERROR(VLOOKUP(B761,'03. THIẾT BỊ'!$B$1:$S$836,8,0),"")</f>
        <v/>
      </c>
      <c r="J761" s="471"/>
      <c r="K761" s="463" t="str">
        <f>IFERROR(VLOOKUP(B761,'03. THIẾT BỊ'!$B$1:$S$836,10,0),"")</f>
        <v/>
      </c>
      <c r="L761" s="468" t="str">
        <f>IFERROR(VLOOKUP(B761,'03. THIẾT BỊ'!$B$1:$S$836,11,0),"")</f>
        <v/>
      </c>
      <c r="M761" s="472" t="str">
        <f>IFERROR(VLOOKUP(B761,'03. THIẾT BỊ'!$B$1:$S$836,12,0),"")</f>
        <v/>
      </c>
      <c r="N761" s="468" t="str">
        <f>IFERROR(VLOOKUP(B761,'03. THIẾT BỊ'!$B$1:$S$836,13,0),"")</f>
        <v/>
      </c>
      <c r="O761" s="470" t="str">
        <f>IFERROR(VLOOKUP(B761,'03. THIẾT BỊ'!$B$1:$S$836,14,0),"")</f>
        <v/>
      </c>
      <c r="P761" s="468" t="str">
        <f>IFERROR(VLOOKUP(B761,'03. THIẾT BỊ'!$B$1:$S$836,15,0),"")</f>
        <v/>
      </c>
      <c r="Q761" s="48" t="str">
        <f>IFERROR(VLOOKUP(B761,'03. THIẾT BỊ'!$B$1:$S$836,16,0),"")</f>
        <v/>
      </c>
      <c r="R761" s="471" t="str">
        <f>IFERROR(VLOOKUP(B761,'03. THIẾT BỊ'!$B$1:$S$836,17,0),"")</f>
        <v/>
      </c>
      <c r="S761" s="468" t="str">
        <f>IFERROR(VLOOKUP(B761,'03. THIẾT BỊ'!$B$1:$S$836,18,0),"")</f>
        <v/>
      </c>
      <c r="T761" s="1495"/>
    </row>
    <row r="762" ht="15.0" customHeight="1">
      <c r="A762" s="463"/>
      <c r="B762" s="464"/>
      <c r="C762" s="869" t="str">
        <f>IFERROR(VLOOKUP(B762,'03. THIẾT BỊ'!$B$1:$S$836,2,0),"")</f>
        <v/>
      </c>
      <c r="D762" s="470" t="str">
        <f>IFERROR(VLOOKUP(B762,'03. THIẾT BỊ'!$B$1:$S$836,3,0),"")</f>
        <v/>
      </c>
      <c r="E762" s="464" t="str">
        <f>IFERROR(VLOOKUP(B762,'03. THIẾT BỊ'!$B$1:$S$836,4,0),"")</f>
        <v/>
      </c>
      <c r="F762" s="464" t="str">
        <f>IFERROR(VLOOKUP(B762,'03. THIẾT BỊ'!$B$1:$S$836,5,0),"")</f>
        <v/>
      </c>
      <c r="G762" s="80" t="s">
        <v>6423</v>
      </c>
      <c r="H762" s="463" t="str">
        <f>IFERROR(VLOOKUP(B762,'03. THIẾT BỊ'!$B$1:$S$836,7,0),"")</f>
        <v/>
      </c>
      <c r="I762" s="474" t="str">
        <f>IFERROR(VLOOKUP(B762,'03. THIẾT BỊ'!$B$1:$S$836,8,0),"")</f>
        <v/>
      </c>
      <c r="J762" s="471"/>
      <c r="K762" s="463" t="str">
        <f>IFERROR(VLOOKUP(B762,'03. THIẾT BỊ'!$B$1:$S$836,10,0),"")</f>
        <v/>
      </c>
      <c r="L762" s="468" t="str">
        <f>IFERROR(VLOOKUP(B762,'03. THIẾT BỊ'!$B$1:$S$836,11,0),"")</f>
        <v/>
      </c>
      <c r="M762" s="472" t="str">
        <f>IFERROR(VLOOKUP(B762,'03. THIẾT BỊ'!$B$1:$S$836,12,0),"")</f>
        <v/>
      </c>
      <c r="N762" s="468" t="str">
        <f>IFERROR(VLOOKUP(B762,'03. THIẾT BỊ'!$B$1:$S$836,13,0),"")</f>
        <v/>
      </c>
      <c r="O762" s="470" t="str">
        <f>IFERROR(VLOOKUP(B762,'03. THIẾT BỊ'!$B$1:$S$836,14,0),"")</f>
        <v/>
      </c>
      <c r="P762" s="468" t="str">
        <f>IFERROR(VLOOKUP(B762,'03. THIẾT BỊ'!$B$1:$S$836,15,0),"")</f>
        <v/>
      </c>
      <c r="Q762" s="48" t="str">
        <f>IFERROR(VLOOKUP(B762,'03. THIẾT BỊ'!$B$1:$S$836,16,0),"")</f>
        <v/>
      </c>
      <c r="R762" s="471" t="str">
        <f>IFERROR(VLOOKUP(B762,'03. THIẾT BỊ'!$B$1:$S$836,17,0),"")</f>
        <v/>
      </c>
      <c r="S762" s="468" t="str">
        <f>IFERROR(VLOOKUP(B762,'03. THIẾT BỊ'!$B$1:$S$836,18,0),"")</f>
        <v/>
      </c>
      <c r="T762" s="1495"/>
    </row>
    <row r="763" ht="15.0" customHeight="1">
      <c r="A763" s="455" t="s">
        <v>76</v>
      </c>
      <c r="B763" s="456" t="s">
        <v>8718</v>
      </c>
      <c r="C763" s="457">
        <f>COUNTA(B764:B771)</f>
        <v>6</v>
      </c>
      <c r="D763" s="458" t="str">
        <f>IFERROR(VLOOKUP(B763,'03. THIẾT BỊ'!$B$1:$S$836,3,0),"")</f>
        <v/>
      </c>
      <c r="E763" s="464" t="str">
        <f>IFERROR(VLOOKUP(B763,'03. THIẾT BỊ'!$B$1:$S$836,4,0),"")</f>
        <v/>
      </c>
      <c r="F763" s="458" t="str">
        <f>IFERROR(VLOOKUP(B763,'03. THIẾT BỊ'!$B$1:$S$836,5,0),"")</f>
        <v/>
      </c>
      <c r="G763" s="459" t="s">
        <v>6423</v>
      </c>
      <c r="H763" s="459" t="str">
        <f>IFERROR(VLOOKUP(B763,'03. THIẾT BỊ'!$B$1:$S$836,7,0),"")</f>
        <v/>
      </c>
      <c r="I763" s="457" t="str">
        <f>IFERROR(VLOOKUP(B763,'03. THIẾT BỊ'!$B$1:$S$836,8,0),"")</f>
        <v/>
      </c>
      <c r="J763" s="460"/>
      <c r="K763" s="457" t="str">
        <f>IFERROR(VLOOKUP(B763,'03. THIẾT BỊ'!$B$1:$S$836,10,0),"")</f>
        <v/>
      </c>
      <c r="L763" s="458" t="str">
        <f>IFERROR(VLOOKUP(B763,'03. THIẾT BỊ'!$B$1:$S$836,11,0),"")</f>
        <v/>
      </c>
      <c r="M763" s="461" t="str">
        <f>IFERROR(VLOOKUP(B763,'03. THIẾT BỊ'!$B$1:$S$836,12,0),"")</f>
        <v/>
      </c>
      <c r="N763" s="458" t="str">
        <f>IFERROR(VLOOKUP(B763,'03. THIẾT BỊ'!$B$1:$S$836,13,0),"")</f>
        <v/>
      </c>
      <c r="O763" s="461" t="str">
        <f>IFERROR(VLOOKUP(B763,'03. THIẾT BỊ'!$B$1:$S$836,14,0),"")</f>
        <v/>
      </c>
      <c r="P763" s="458" t="str">
        <f>IFERROR(VLOOKUP(B763,'03. THIẾT BỊ'!$B$1:$S$836,15,0),"")</f>
        <v/>
      </c>
      <c r="Q763" s="459" t="str">
        <f>IFERROR(VLOOKUP(B763,'03. THIẾT BỊ'!$B$1:$S$836,16,0),"")</f>
        <v/>
      </c>
      <c r="R763" s="458" t="str">
        <f>IFERROR(VLOOKUP(B763,'03. THIẾT BỊ'!$B$1:$S$836,17,0),"")</f>
        <v/>
      </c>
      <c r="S763" s="458" t="str">
        <f>IFERROR(VLOOKUP(B763,'03. THIẾT BỊ'!$B$1:$S$836,18,0),"")</f>
        <v/>
      </c>
      <c r="T763" s="866"/>
    </row>
    <row r="764" ht="15.0" customHeight="1">
      <c r="A764" s="463">
        <v>1.0</v>
      </c>
      <c r="B764" s="467" t="s">
        <v>5272</v>
      </c>
      <c r="C764" s="869" t="str">
        <f>IFERROR(VLOOKUP(B764,'03. THIẾT BỊ'!$B$1:$S$836,2,0),"")</f>
        <v/>
      </c>
      <c r="D764" s="470" t="str">
        <f>IFERROR(VLOOKUP(B764,'03. THIẾT BỊ'!$B$1:$S$836,3,0),"")</f>
        <v/>
      </c>
      <c r="E764" s="464" t="str">
        <f>IFERROR(VLOOKUP(B764,'03. THIẾT BỊ'!$B$1:$S$836,4,0),"")</f>
        <v>ĐQSD</v>
      </c>
      <c r="F764" s="464" t="str">
        <f>IFERROR(VLOOKUP(B764,'03. THIẾT BỊ'!$B$1:$S$836,5,0),"")</f>
        <v>Máy tời xe máy 3.5T</v>
      </c>
      <c r="G764" s="80" t="s">
        <v>6423</v>
      </c>
      <c r="H764" s="463" t="str">
        <f>IFERROR(VLOOKUP(B764,'03. THIẾT BỊ'!$B$1:$S$836,7,0),"")</f>
        <v>XN Bò AD</v>
      </c>
      <c r="I764" s="474">
        <f>IFERROR(VLOOKUP(B764,'03. THIẾT BỊ'!$B$1:$S$836,8,0),"")</f>
        <v>45422</v>
      </c>
      <c r="J764" s="471"/>
      <c r="K764" s="463" t="str">
        <f>IFERROR(VLOOKUP(B764,'03. THIẾT BỊ'!$B$1:$S$836,10,0),"")</f>
        <v>Bình thường</v>
      </c>
      <c r="L764" s="468" t="str">
        <f>IFERROR(VLOOKUP(B764,'03. THIẾT BỊ'!$B$1:$S$836,11,0),"")</f>
        <v/>
      </c>
      <c r="M764" s="472" t="str">
        <f>IFERROR(VLOOKUP(B764,'03. THIẾT BỊ'!$B$1:$S$836,12,0),"")</f>
        <v>Đầu tư mới</v>
      </c>
      <c r="N764" s="468" t="str">
        <f>IFERROR(VLOOKUP(B764,'03. THIẾT BỊ'!$B$1:$S$836,13,0),"")</f>
        <v>SYM</v>
      </c>
      <c r="O764" s="470" t="str">
        <f>IFERROR(VLOOKUP(B764,'03. THIẾT BỊ'!$B$1:$S$836,14,0),"")</f>
        <v>SANYANG MOTOR</v>
      </c>
      <c r="P764" s="468" t="str">
        <f>IFERROR(VLOOKUP(B764,'03. THIẾT BỊ'!$B$1:$S$836,15,0),"")</f>
        <v>TRUNG QUỐC</v>
      </c>
      <c r="Q764" s="48" t="str">
        <f>IFERROR(VLOOKUP(B764,'03. THIẾT BỊ'!$B$1:$S$836,16,0),"")</f>
        <v>-</v>
      </c>
      <c r="R764" s="471" t="str">
        <f>IFERROR(VLOOKUP(B764,'03. THIẾT BỊ'!$B$1:$S$836,17,0),"")</f>
        <v/>
      </c>
      <c r="S764" s="468" t="str">
        <f>IFERROR(VLOOKUP(B764,'03. THIẾT BỊ'!$B$1:$S$836,18,0),"")</f>
        <v>VAVLC152FMH009586</v>
      </c>
      <c r="T764" s="1496"/>
    </row>
    <row r="765" ht="15.0" customHeight="1">
      <c r="A765" s="463">
        <f t="shared" ref="A765:A769" si="38">A764+1</f>
        <v>2</v>
      </c>
      <c r="B765" s="467" t="s">
        <v>5277</v>
      </c>
      <c r="C765" s="869" t="str">
        <f>IFERROR(VLOOKUP(B765,'03. THIẾT BỊ'!$B$1:$S$836,2,0),"")</f>
        <v/>
      </c>
      <c r="D765" s="470" t="str">
        <f>IFERROR(VLOOKUP(B765,'03. THIẾT BỊ'!$B$1:$S$836,3,0),"")</f>
        <v/>
      </c>
      <c r="E765" s="464" t="str">
        <f>IFERROR(VLOOKUP(B765,'03. THIẾT BỊ'!$B$1:$S$836,4,0),"")</f>
        <v>ĐQSD</v>
      </c>
      <c r="F765" s="464" t="str">
        <f>IFERROR(VLOOKUP(B765,'03. THIẾT BỊ'!$B$1:$S$836,5,0),"")</f>
        <v>Máy tời xe máy 3.5T</v>
      </c>
      <c r="G765" s="80" t="s">
        <v>6423</v>
      </c>
      <c r="H765" s="463" t="str">
        <f>IFERROR(VLOOKUP(B765,'03. THIẾT BỊ'!$B$1:$S$836,7,0),"")</f>
        <v>XN Bò AD</v>
      </c>
      <c r="I765" s="474">
        <f>IFERROR(VLOOKUP(B765,'03. THIẾT BỊ'!$B$1:$S$836,8,0),"")</f>
        <v>45422</v>
      </c>
      <c r="J765" s="471"/>
      <c r="K765" s="463" t="str">
        <f>IFERROR(VLOOKUP(B765,'03. THIẾT BỊ'!$B$1:$S$836,10,0),"")</f>
        <v>Bình thường</v>
      </c>
      <c r="L765" s="468" t="str">
        <f>IFERROR(VLOOKUP(B765,'03. THIẾT BỊ'!$B$1:$S$836,11,0),"")</f>
        <v/>
      </c>
      <c r="M765" s="472" t="str">
        <f>IFERROR(VLOOKUP(B765,'03. THIẾT BỊ'!$B$1:$S$836,12,0),"")</f>
        <v>Đầu tư mới</v>
      </c>
      <c r="N765" s="468" t="str">
        <f>IFERROR(VLOOKUP(B765,'03. THIẾT BỊ'!$B$1:$S$836,13,0),"")</f>
        <v>SYM</v>
      </c>
      <c r="O765" s="470" t="str">
        <f>IFERROR(VLOOKUP(B765,'03. THIẾT BỊ'!$B$1:$S$836,14,0),"")</f>
        <v>SANYANG MOTOR</v>
      </c>
      <c r="P765" s="468" t="str">
        <f>IFERROR(VLOOKUP(B765,'03. THIẾT BỊ'!$B$1:$S$836,15,0),"")</f>
        <v>TRUNG QUỐC</v>
      </c>
      <c r="Q765" s="48" t="str">
        <f>IFERROR(VLOOKUP(B765,'03. THIẾT BỊ'!$B$1:$S$836,16,0),"")</f>
        <v/>
      </c>
      <c r="R765" s="471" t="str">
        <f>IFERROR(VLOOKUP(B765,'03. THIẾT BỊ'!$B$1:$S$836,17,0),"")</f>
        <v>-</v>
      </c>
      <c r="S765" s="468" t="str">
        <f>IFERROR(VLOOKUP(B765,'03. THIẾT BỊ'!$B$1:$S$836,18,0),"")</f>
        <v>-</v>
      </c>
      <c r="T765" s="1496"/>
    </row>
    <row r="766" ht="15.0" customHeight="1">
      <c r="A766" s="463">
        <f t="shared" si="38"/>
        <v>3</v>
      </c>
      <c r="B766" s="467" t="s">
        <v>5278</v>
      </c>
      <c r="C766" s="869" t="str">
        <f>IFERROR(VLOOKUP(B766,'03. THIẾT BỊ'!$B$1:$S$836,2,0),"")</f>
        <v/>
      </c>
      <c r="D766" s="470" t="str">
        <f>IFERROR(VLOOKUP(B766,'03. THIẾT BỊ'!$B$1:$S$836,3,0),"")</f>
        <v/>
      </c>
      <c r="E766" s="464" t="str">
        <f>IFERROR(VLOOKUP(B766,'03. THIẾT BỊ'!$B$1:$S$836,4,0),"")</f>
        <v>ĐQSD</v>
      </c>
      <c r="F766" s="464" t="str">
        <f>IFERROR(VLOOKUP(B766,'03. THIẾT BỊ'!$B$1:$S$836,5,0),"")</f>
        <v>Máy tời xe máy 3.5T</v>
      </c>
      <c r="G766" s="80" t="s">
        <v>6423</v>
      </c>
      <c r="H766" s="463" t="str">
        <f>IFERROR(VLOOKUP(B766,'03. THIẾT BỊ'!$B$1:$S$836,7,0),"")</f>
        <v>XN Bò AD</v>
      </c>
      <c r="I766" s="474" t="str">
        <f>IFERROR(VLOOKUP(B766,'03. THIẾT BỊ'!$B$1:$S$836,8,0),"")</f>
        <v>26/10/2024</v>
      </c>
      <c r="J766" s="471"/>
      <c r="K766" s="463" t="str">
        <f>IFERROR(VLOOKUP(B766,'03. THIẾT BỊ'!$B$1:$S$836,10,0),"")</f>
        <v>Bình thường</v>
      </c>
      <c r="L766" s="468" t="str">
        <f>IFERROR(VLOOKUP(B766,'03. THIẾT BỊ'!$B$1:$S$836,11,0),"")</f>
        <v/>
      </c>
      <c r="M766" s="472" t="str">
        <f>IFERROR(VLOOKUP(B766,'03. THIẾT BỊ'!$B$1:$S$836,12,0),"")</f>
        <v>Đầu tư mới</v>
      </c>
      <c r="N766" s="468" t="str">
        <f>IFERROR(VLOOKUP(B766,'03. THIẾT BỊ'!$B$1:$S$836,13,0),"")</f>
        <v>SYM</v>
      </c>
      <c r="O766" s="470" t="str">
        <f>IFERROR(VLOOKUP(B766,'03. THIẾT BỊ'!$B$1:$S$836,14,0),"")</f>
        <v>SANYANG MOTOR</v>
      </c>
      <c r="P766" s="468" t="str">
        <f>IFERROR(VLOOKUP(B766,'03. THIẾT BỊ'!$B$1:$S$836,15,0),"")</f>
        <v>TRUNG QUỐC</v>
      </c>
      <c r="Q766" s="48" t="str">
        <f>IFERROR(VLOOKUP(B766,'03. THIẾT BỊ'!$B$1:$S$836,16,0),"")</f>
        <v/>
      </c>
      <c r="R766" s="471" t="str">
        <f>IFERROR(VLOOKUP(B766,'03. THIẾT BỊ'!$B$1:$S$836,17,0),"")</f>
        <v/>
      </c>
      <c r="S766" s="468" t="str">
        <f>IFERROR(VLOOKUP(B766,'03. THIẾT BỊ'!$B$1:$S$836,18,0),"")</f>
        <v>LC150FM-00085896</v>
      </c>
      <c r="T766" s="807"/>
    </row>
    <row r="767" ht="15.0" customHeight="1">
      <c r="A767" s="463">
        <f t="shared" si="38"/>
        <v>4</v>
      </c>
      <c r="B767" s="467" t="s">
        <v>5280</v>
      </c>
      <c r="C767" s="869" t="str">
        <f>IFERROR(VLOOKUP(B767,'03. THIẾT BỊ'!$B$1:$S$836,2,0),"")</f>
        <v/>
      </c>
      <c r="D767" s="470" t="str">
        <f>IFERROR(VLOOKUP(B767,'03. THIẾT BỊ'!$B$1:$S$836,3,0),"")</f>
        <v/>
      </c>
      <c r="E767" s="464" t="str">
        <f>IFERROR(VLOOKUP(B767,'03. THIẾT BỊ'!$B$1:$S$836,4,0),"")</f>
        <v>ĐQSD</v>
      </c>
      <c r="F767" s="464" t="str">
        <f>IFERROR(VLOOKUP(B767,'03. THIẾT BỊ'!$B$1:$S$836,5,0),"")</f>
        <v>Máy tời xe máy 3.5T</v>
      </c>
      <c r="G767" s="80" t="s">
        <v>6423</v>
      </c>
      <c r="H767" s="463" t="str">
        <f>IFERROR(VLOOKUP(B767,'03. THIẾT BỊ'!$B$1:$S$836,7,0),"")</f>
        <v>XN Bò AD</v>
      </c>
      <c r="I767" s="474" t="str">
        <f>IFERROR(VLOOKUP(B767,'03. THIẾT BỊ'!$B$1:$S$836,8,0),"")</f>
        <v>26/10/2024</v>
      </c>
      <c r="J767" s="471"/>
      <c r="K767" s="463" t="str">
        <f>IFERROR(VLOOKUP(B767,'03. THIẾT BỊ'!$B$1:$S$836,10,0),"")</f>
        <v>Bình thường</v>
      </c>
      <c r="L767" s="468" t="str">
        <f>IFERROR(VLOOKUP(B767,'03. THIẾT BỊ'!$B$1:$S$836,11,0),"")</f>
        <v/>
      </c>
      <c r="M767" s="472" t="str">
        <f>IFERROR(VLOOKUP(B767,'03. THIẾT BỊ'!$B$1:$S$836,12,0),"")</f>
        <v>Đầu tư mới</v>
      </c>
      <c r="N767" s="468" t="str">
        <f>IFERROR(VLOOKUP(B767,'03. THIẾT BỊ'!$B$1:$S$836,13,0),"")</f>
        <v>SYM</v>
      </c>
      <c r="O767" s="470" t="str">
        <f>IFERROR(VLOOKUP(B767,'03. THIẾT BỊ'!$B$1:$S$836,14,0),"")</f>
        <v>SANYANG MOTOR</v>
      </c>
      <c r="P767" s="468" t="str">
        <f>IFERROR(VLOOKUP(B767,'03. THIẾT BỊ'!$B$1:$S$836,15,0),"")</f>
        <v>TRUNG QUỐC</v>
      </c>
      <c r="Q767" s="48" t="str">
        <f>IFERROR(VLOOKUP(B767,'03. THIẾT BỊ'!$B$1:$S$836,16,0),"")</f>
        <v/>
      </c>
      <c r="R767" s="471" t="str">
        <f>IFERROR(VLOOKUP(B767,'03. THIẾT BỊ'!$B$1:$S$836,17,0),"")</f>
        <v/>
      </c>
      <c r="S767" s="468">
        <f>IFERROR(VLOOKUP(B767,'03. THIẾT BỊ'!$B$1:$S$836,18,0),"")</f>
        <v>46200892</v>
      </c>
      <c r="T767" s="807"/>
    </row>
    <row r="768" ht="15.0" customHeight="1">
      <c r="A768" s="463">
        <f t="shared" si="38"/>
        <v>5</v>
      </c>
      <c r="B768" s="467" t="s">
        <v>5281</v>
      </c>
      <c r="C768" s="869" t="str">
        <f>IFERROR(VLOOKUP(B768,'03. THIẾT BỊ'!$B$1:$S$836,2,0),"")</f>
        <v/>
      </c>
      <c r="D768" s="470" t="str">
        <f>IFERROR(VLOOKUP(B768,'03. THIẾT BỊ'!$B$1:$S$836,3,0),"")</f>
        <v/>
      </c>
      <c r="E768" s="464" t="str">
        <f>IFERROR(VLOOKUP(B768,'03. THIẾT BỊ'!$B$1:$S$836,4,0),"")</f>
        <v>ĐQSD</v>
      </c>
      <c r="F768" s="464" t="str">
        <f>IFERROR(VLOOKUP(B768,'03. THIẾT BỊ'!$B$1:$S$836,5,0),"")</f>
        <v>Máy tời xe máy 3.5T</v>
      </c>
      <c r="G768" s="80" t="s">
        <v>6423</v>
      </c>
      <c r="H768" s="463" t="str">
        <f>IFERROR(VLOOKUP(B768,'03. THIẾT BỊ'!$B$1:$S$836,7,0),"")</f>
        <v>XN Bò AD</v>
      </c>
      <c r="I768" s="474" t="str">
        <f>IFERROR(VLOOKUP(B768,'03. THIẾT BỊ'!$B$1:$S$836,8,0),"")</f>
        <v>26/10/2024</v>
      </c>
      <c r="J768" s="471"/>
      <c r="K768" s="463" t="str">
        <f>IFERROR(VLOOKUP(B768,'03. THIẾT BỊ'!$B$1:$S$836,10,0),"")</f>
        <v>Bình thường</v>
      </c>
      <c r="L768" s="468" t="str">
        <f>IFERROR(VLOOKUP(B768,'03. THIẾT BỊ'!$B$1:$S$836,11,0),"")</f>
        <v/>
      </c>
      <c r="M768" s="472" t="str">
        <f>IFERROR(VLOOKUP(B768,'03. THIẾT BỊ'!$B$1:$S$836,12,0),"")</f>
        <v>Đầu tư mới</v>
      </c>
      <c r="N768" s="468" t="str">
        <f>IFERROR(VLOOKUP(B768,'03. THIẾT BỊ'!$B$1:$S$836,13,0),"")</f>
        <v>SYM</v>
      </c>
      <c r="O768" s="470" t="str">
        <f>IFERROR(VLOOKUP(B768,'03. THIẾT BỊ'!$B$1:$S$836,14,0),"")</f>
        <v>SANYANG MOTOR</v>
      </c>
      <c r="P768" s="468" t="str">
        <f>IFERROR(VLOOKUP(B768,'03. THIẾT BỊ'!$B$1:$S$836,15,0),"")</f>
        <v>TRUNG QUỐC</v>
      </c>
      <c r="Q768" s="48" t="str">
        <f>IFERROR(VLOOKUP(B768,'03. THIẾT BỊ'!$B$1:$S$836,16,0),"")</f>
        <v/>
      </c>
      <c r="R768" s="471" t="str">
        <f>IFERROR(VLOOKUP(B768,'03. THIẾT BỊ'!$B$1:$S$836,17,0),"")</f>
        <v/>
      </c>
      <c r="S768" s="468" t="str">
        <f>IFERROR(VLOOKUP(B768,'03. THIẾT BỊ'!$B$1:$S$836,18,0),"")</f>
        <v>VTTJL1P52FMH-E001739</v>
      </c>
      <c r="T768" s="807"/>
    </row>
    <row r="769" ht="15.0" customHeight="1">
      <c r="A769" s="463">
        <f t="shared" si="38"/>
        <v>6</v>
      </c>
      <c r="B769" s="467" t="s">
        <v>5283</v>
      </c>
      <c r="C769" s="869" t="str">
        <f>IFERROR(VLOOKUP(B769,'03. THIẾT BỊ'!$B$1:$S$836,2,0),"")</f>
        <v/>
      </c>
      <c r="D769" s="470" t="str">
        <f>IFERROR(VLOOKUP(B769,'03. THIẾT BỊ'!$B$1:$S$836,3,0),"")</f>
        <v/>
      </c>
      <c r="E769" s="464" t="str">
        <f>IFERROR(VLOOKUP(B769,'03. THIẾT BỊ'!$B$1:$S$836,4,0),"")</f>
        <v>ĐQSD</v>
      </c>
      <c r="F769" s="464" t="str">
        <f>IFERROR(VLOOKUP(B769,'03. THIẾT BỊ'!$B$1:$S$836,5,0),"")</f>
        <v>Máy tời xe máy 3.5T</v>
      </c>
      <c r="G769" s="80" t="s">
        <v>6423</v>
      </c>
      <c r="H769" s="463" t="str">
        <f>IFERROR(VLOOKUP(B769,'03. THIẾT BỊ'!$B$1:$S$836,7,0),"")</f>
        <v>XN Bò AD</v>
      </c>
      <c r="I769" s="474">
        <f>IFERROR(VLOOKUP(B769,'03. THIẾT BỊ'!$B$1:$S$836,8,0),"")</f>
        <v>45323</v>
      </c>
      <c r="J769" s="471"/>
      <c r="K769" s="463" t="str">
        <f>IFERROR(VLOOKUP(B769,'03. THIẾT BỊ'!$B$1:$S$836,10,0),"")</f>
        <v>Bình thường</v>
      </c>
      <c r="L769" s="468" t="str">
        <f>IFERROR(VLOOKUP(B769,'03. THIẾT BỊ'!$B$1:$S$836,11,0),"")</f>
        <v/>
      </c>
      <c r="M769" s="472" t="str">
        <f>IFERROR(VLOOKUP(B769,'03. THIẾT BỊ'!$B$1:$S$836,12,0),"")</f>
        <v>Đầu tư mới</v>
      </c>
      <c r="N769" s="468" t="str">
        <f>IFERROR(VLOOKUP(B769,'03. THIẾT BỊ'!$B$1:$S$836,13,0),"")</f>
        <v>SYM</v>
      </c>
      <c r="O769" s="470" t="str">
        <f>IFERROR(VLOOKUP(B769,'03. THIẾT BỊ'!$B$1:$S$836,14,0),"")</f>
        <v>SANYANG MOTOR</v>
      </c>
      <c r="P769" s="468" t="str">
        <f>IFERROR(VLOOKUP(B769,'03. THIẾT BỊ'!$B$1:$S$836,15,0),"")</f>
        <v>TRUNG QUỐC</v>
      </c>
      <c r="Q769" s="48" t="str">
        <f>IFERROR(VLOOKUP(B769,'03. THIẾT BỊ'!$B$1:$S$836,16,0),"")</f>
        <v/>
      </c>
      <c r="R769" s="471" t="str">
        <f>IFERROR(VLOOKUP(B769,'03. THIẾT BỊ'!$B$1:$S$836,17,0),"")</f>
        <v/>
      </c>
      <c r="S769" s="468" t="str">
        <f>IFERROR(VLOOKUP(B769,'03. THIẾT BỊ'!$B$1:$S$836,18,0),"")</f>
        <v>VTTJL1P52FMH-E4001768</v>
      </c>
      <c r="T769" s="807"/>
    </row>
    <row r="770" ht="15.0" customHeight="1">
      <c r="A770" s="463"/>
      <c r="B770" s="464"/>
      <c r="C770" s="869" t="str">
        <f>IFERROR(VLOOKUP(B770,'03. THIẾT BỊ'!$B$1:$S$836,2,0),"")</f>
        <v/>
      </c>
      <c r="D770" s="470" t="str">
        <f>IFERROR(VLOOKUP(B770,'03. THIẾT BỊ'!$B$1:$S$836,3,0),"")</f>
        <v/>
      </c>
      <c r="E770" s="464" t="str">
        <f>IFERROR(VLOOKUP(B770,'03. THIẾT BỊ'!$B$1:$S$836,4,0),"")</f>
        <v/>
      </c>
      <c r="F770" s="464" t="str">
        <f>IFERROR(VLOOKUP(B770,'03. THIẾT BỊ'!$B$1:$S$836,5,0),"")</f>
        <v/>
      </c>
      <c r="G770" s="80" t="s">
        <v>6423</v>
      </c>
      <c r="H770" s="463" t="str">
        <f>IFERROR(VLOOKUP(B770,'03. THIẾT BỊ'!$B$1:$S$836,7,0),"")</f>
        <v/>
      </c>
      <c r="I770" s="474" t="str">
        <f>IFERROR(VLOOKUP(B770,'03. THIẾT BỊ'!$B$1:$S$836,8,0),"")</f>
        <v/>
      </c>
      <c r="J770" s="471"/>
      <c r="K770" s="463" t="str">
        <f>IFERROR(VLOOKUP(B770,'03. THIẾT BỊ'!$B$1:$S$836,10,0),"")</f>
        <v/>
      </c>
      <c r="L770" s="468" t="str">
        <f>IFERROR(VLOOKUP(B770,'03. THIẾT BỊ'!$B$1:$S$836,11,0),"")</f>
        <v/>
      </c>
      <c r="M770" s="472" t="str">
        <f>IFERROR(VLOOKUP(B770,'03. THIẾT BỊ'!$B$1:$S$836,12,0),"")</f>
        <v/>
      </c>
      <c r="N770" s="468" t="str">
        <f>IFERROR(VLOOKUP(B770,'03. THIẾT BỊ'!$B$1:$S$836,13,0),"")</f>
        <v/>
      </c>
      <c r="O770" s="470" t="str">
        <f>IFERROR(VLOOKUP(B770,'03. THIẾT BỊ'!$B$1:$S$836,14,0),"")</f>
        <v/>
      </c>
      <c r="P770" s="468" t="str">
        <f>IFERROR(VLOOKUP(B770,'03. THIẾT BỊ'!$B$1:$S$836,15,0),"")</f>
        <v/>
      </c>
      <c r="Q770" s="48" t="str">
        <f>IFERROR(VLOOKUP(B770,'03. THIẾT BỊ'!$B$1:$S$836,16,0),"")</f>
        <v/>
      </c>
      <c r="R770" s="471" t="str">
        <f>IFERROR(VLOOKUP(B770,'03. THIẾT BỊ'!$B$1:$S$836,17,0),"")</f>
        <v/>
      </c>
      <c r="S770" s="468" t="str">
        <f>IFERROR(VLOOKUP(B770,'03. THIẾT BỊ'!$B$1:$S$836,18,0),"")</f>
        <v/>
      </c>
      <c r="T770" s="1495"/>
    </row>
    <row r="771" ht="15.0" customHeight="1">
      <c r="A771" s="463"/>
      <c r="B771" s="464"/>
      <c r="C771" s="869" t="str">
        <f>IFERROR(VLOOKUP(B771,'03. THIẾT BỊ'!$B$1:$S$836,2,0),"")</f>
        <v/>
      </c>
      <c r="D771" s="470" t="str">
        <f>IFERROR(VLOOKUP(B771,'03. THIẾT BỊ'!$B$1:$S$836,3,0),"")</f>
        <v/>
      </c>
      <c r="E771" s="464" t="str">
        <f>IFERROR(VLOOKUP(B771,'03. THIẾT BỊ'!$B$1:$S$836,4,0),"")</f>
        <v/>
      </c>
      <c r="F771" s="464" t="str">
        <f>IFERROR(VLOOKUP(B771,'03. THIẾT BỊ'!$B$1:$S$836,5,0),"")</f>
        <v/>
      </c>
      <c r="G771" s="80" t="s">
        <v>6423</v>
      </c>
      <c r="H771" s="463" t="str">
        <f>IFERROR(VLOOKUP(B771,'03. THIẾT BỊ'!$B$1:$S$836,7,0),"")</f>
        <v/>
      </c>
      <c r="I771" s="474" t="str">
        <f>IFERROR(VLOOKUP(B771,'03. THIẾT BỊ'!$B$1:$S$836,8,0),"")</f>
        <v/>
      </c>
      <c r="J771" s="471"/>
      <c r="K771" s="463" t="str">
        <f>IFERROR(VLOOKUP(B771,'03. THIẾT BỊ'!$B$1:$S$836,10,0),"")</f>
        <v/>
      </c>
      <c r="L771" s="468" t="str">
        <f>IFERROR(VLOOKUP(B771,'03. THIẾT BỊ'!$B$1:$S$836,11,0),"")</f>
        <v/>
      </c>
      <c r="M771" s="472" t="str">
        <f>IFERROR(VLOOKUP(B771,'03. THIẾT BỊ'!$B$1:$S$836,12,0),"")</f>
        <v/>
      </c>
      <c r="N771" s="468" t="str">
        <f>IFERROR(VLOOKUP(B771,'03. THIẾT BỊ'!$B$1:$S$836,13,0),"")</f>
        <v/>
      </c>
      <c r="O771" s="470" t="str">
        <f>IFERROR(VLOOKUP(B771,'03. THIẾT BỊ'!$B$1:$S$836,14,0),"")</f>
        <v/>
      </c>
      <c r="P771" s="468" t="str">
        <f>IFERROR(VLOOKUP(B771,'03. THIẾT BỊ'!$B$1:$S$836,15,0),"")</f>
        <v/>
      </c>
      <c r="Q771" s="48" t="str">
        <f>IFERROR(VLOOKUP(B771,'03. THIẾT BỊ'!$B$1:$S$836,16,0),"")</f>
        <v/>
      </c>
      <c r="R771" s="471" t="str">
        <f>IFERROR(VLOOKUP(B771,'03. THIẾT BỊ'!$B$1:$S$836,17,0),"")</f>
        <v/>
      </c>
      <c r="S771" s="468" t="str">
        <f>IFERROR(VLOOKUP(B771,'03. THIẾT BỊ'!$B$1:$S$836,18,0),"")</f>
        <v/>
      </c>
      <c r="T771" s="1495"/>
    </row>
    <row r="772" ht="15.0" customHeight="1">
      <c r="A772" s="455" t="s">
        <v>76</v>
      </c>
      <c r="B772" s="456" t="s">
        <v>8719</v>
      </c>
      <c r="C772" s="457">
        <f>COUNTA(B773:B807)</f>
        <v>33</v>
      </c>
      <c r="D772" s="458" t="str">
        <f>IFERROR(VLOOKUP(B772,'03. THIẾT BỊ'!$B$1:$S$836,3,0),"")</f>
        <v/>
      </c>
      <c r="E772" s="464" t="str">
        <f>IFERROR(VLOOKUP(B772,'03. THIẾT BỊ'!$B$1:$S$836,4,0),"")</f>
        <v/>
      </c>
      <c r="F772" s="458" t="str">
        <f>IFERROR(VLOOKUP(B772,'03. THIẾT BỊ'!$B$1:$S$836,5,0),"")</f>
        <v/>
      </c>
      <c r="G772" s="459" t="s">
        <v>6423</v>
      </c>
      <c r="H772" s="459" t="str">
        <f>IFERROR(VLOOKUP(B772,'03. THIẾT BỊ'!$B$1:$S$836,7,0),"")</f>
        <v/>
      </c>
      <c r="I772" s="457" t="str">
        <f>IFERROR(VLOOKUP(B772,'03. THIẾT BỊ'!$B$1:$S$836,8,0),"")</f>
        <v/>
      </c>
      <c r="J772" s="460"/>
      <c r="K772" s="457" t="str">
        <f>IFERROR(VLOOKUP(B772,'03. THIẾT BỊ'!$B$1:$S$836,10,0),"")</f>
        <v/>
      </c>
      <c r="L772" s="458" t="str">
        <f>IFERROR(VLOOKUP(B772,'03. THIẾT BỊ'!$B$1:$S$836,11,0),"")</f>
        <v/>
      </c>
      <c r="M772" s="461" t="str">
        <f>IFERROR(VLOOKUP(B772,'03. THIẾT BỊ'!$B$1:$S$836,12,0),"")</f>
        <v/>
      </c>
      <c r="N772" s="458" t="str">
        <f>IFERROR(VLOOKUP(B772,'03. THIẾT BỊ'!$B$1:$S$836,13,0),"")</f>
        <v/>
      </c>
      <c r="O772" s="461" t="str">
        <f>IFERROR(VLOOKUP(B772,'03. THIẾT BỊ'!$B$1:$S$836,14,0),"")</f>
        <v/>
      </c>
      <c r="P772" s="458" t="str">
        <f>IFERROR(VLOOKUP(B772,'03. THIẾT BỊ'!$B$1:$S$836,15,0),"")</f>
        <v/>
      </c>
      <c r="Q772" s="459" t="str">
        <f>IFERROR(VLOOKUP(B772,'03. THIẾT BỊ'!$B$1:$S$836,16,0),"")</f>
        <v/>
      </c>
      <c r="R772" s="458" t="str">
        <f>IFERROR(VLOOKUP(B772,'03. THIẾT BỊ'!$B$1:$S$836,17,0),"")</f>
        <v/>
      </c>
      <c r="S772" s="458" t="str">
        <f>IFERROR(VLOOKUP(B772,'03. THIẾT BỊ'!$B$1:$S$836,18,0),"")</f>
        <v/>
      </c>
      <c r="T772" s="866"/>
    </row>
    <row r="773" ht="15.0" customHeight="1">
      <c r="A773" s="463">
        <v>1.0</v>
      </c>
      <c r="B773" s="471" t="s">
        <v>5069</v>
      </c>
      <c r="C773" s="869" t="str">
        <f>IFERROR(VLOOKUP(B773,'03. THIẾT BỊ'!$B$1:$S$836,2,0),"")</f>
        <v/>
      </c>
      <c r="D773" s="470" t="str">
        <f>IFERROR(VLOOKUP(B773,'03. THIẾT BỊ'!$B$1:$S$836,3,0),"")</f>
        <v>A22-PVS-001</v>
      </c>
      <c r="E773" s="464" t="str">
        <f>IFERROR(VLOOKUP(B773,'03. THIẾT BỊ'!$B$1:$S$836,4,0),"")</f>
        <v>ĐQSD</v>
      </c>
      <c r="F773" s="464" t="str">
        <f>IFERROR(VLOOKUP(B773,'03. THIẾT BỊ'!$B$1:$S$836,5,0),"")</f>
        <v>Bồn phun vi sinh, khử trùng</v>
      </c>
      <c r="G773" s="80" t="s">
        <v>6423</v>
      </c>
      <c r="H773" s="463" t="str">
        <f>IFERROR(VLOOKUP(B773,'03. THIẾT BỊ'!$B$1:$S$836,7,0),"")</f>
        <v>XN Bò AD</v>
      </c>
      <c r="I773" s="474" t="str">
        <f>IFERROR(VLOOKUP(B773,'03. THIẾT BỊ'!$B$1:$S$836,8,0),"")</f>
        <v/>
      </c>
      <c r="J773" s="471"/>
      <c r="K773" s="463" t="str">
        <f>IFERROR(VLOOKUP(B773,'03. THIẾT BỊ'!$B$1:$S$836,10,0),"")</f>
        <v>Bình thường</v>
      </c>
      <c r="L773" s="468" t="str">
        <f>IFERROR(VLOOKUP(B773,'03. THIẾT BỊ'!$B$1:$S$836,11,0),"")</f>
        <v/>
      </c>
      <c r="M773" s="472" t="str">
        <f>IFERROR(VLOOKUP(B773,'03. THIẾT BỊ'!$B$1:$S$836,12,0),"")</f>
        <v/>
      </c>
      <c r="N773" s="468" t="str">
        <f>IFERROR(VLOOKUP(B773,'03. THIẾT BỊ'!$B$1:$S$836,13,0),"")</f>
        <v>CAMBODIA</v>
      </c>
      <c r="O773" s="470" t="str">
        <f>IFERROR(VLOOKUP(B773,'03. THIẾT BỊ'!$B$1:$S$836,14,0),"")</f>
        <v/>
      </c>
      <c r="P773" s="468" t="str">
        <f>IFERROR(VLOOKUP(B773,'03. THIẾT BỊ'!$B$1:$S$836,15,0),"")</f>
        <v>CAMBODIA</v>
      </c>
      <c r="Q773" s="48" t="str">
        <f>IFERROR(VLOOKUP(B773,'03. THIẾT BỊ'!$B$1:$S$836,16,0),"")</f>
        <v/>
      </c>
      <c r="R773" s="471" t="str">
        <f>IFERROR(VLOOKUP(B773,'03. THIẾT BỊ'!$B$1:$S$836,17,0),"")</f>
        <v/>
      </c>
      <c r="S773" s="468" t="str">
        <f>IFERROR(VLOOKUP(B773,'03. THIẾT BỊ'!$B$1:$S$836,18,0),"")</f>
        <v/>
      </c>
      <c r="T773" s="812"/>
    </row>
    <row r="774" ht="15.0" customHeight="1">
      <c r="A774" s="463">
        <f t="shared" ref="A774:A805" si="39">A773+1</f>
        <v>2</v>
      </c>
      <c r="B774" s="471" t="s">
        <v>5072</v>
      </c>
      <c r="C774" s="869" t="str">
        <f>IFERROR(VLOOKUP(B774,'03. THIẾT BỊ'!$B$1:$S$836,2,0),"")</f>
        <v/>
      </c>
      <c r="D774" s="470" t="str">
        <f>IFERROR(VLOOKUP(B774,'03. THIẾT BỊ'!$B$1:$S$836,3,0),"")</f>
        <v>A22-PVS-002</v>
      </c>
      <c r="E774" s="464" t="str">
        <f>IFERROR(VLOOKUP(B774,'03. THIẾT BỊ'!$B$1:$S$836,4,0),"")</f>
        <v>ĐQSD</v>
      </c>
      <c r="F774" s="464" t="str">
        <f>IFERROR(VLOOKUP(B774,'03. THIẾT BỊ'!$B$1:$S$836,5,0),"")</f>
        <v>Bồn phun vi sinh, khử trùng</v>
      </c>
      <c r="G774" s="80" t="s">
        <v>6423</v>
      </c>
      <c r="H774" s="463" t="str">
        <f>IFERROR(VLOOKUP(B774,'03. THIẾT BỊ'!$B$1:$S$836,7,0),"")</f>
        <v>XN Bò AD</v>
      </c>
      <c r="I774" s="474" t="str">
        <f>IFERROR(VLOOKUP(B774,'03. THIẾT BỊ'!$B$1:$S$836,8,0),"")</f>
        <v/>
      </c>
      <c r="J774" s="471"/>
      <c r="K774" s="463" t="str">
        <f>IFERROR(VLOOKUP(B774,'03. THIẾT BỊ'!$B$1:$S$836,10,0),"")</f>
        <v>Bình thường</v>
      </c>
      <c r="L774" s="468" t="str">
        <f>IFERROR(VLOOKUP(B774,'03. THIẾT BỊ'!$B$1:$S$836,11,0),"")</f>
        <v/>
      </c>
      <c r="M774" s="472" t="str">
        <f>IFERROR(VLOOKUP(B774,'03. THIẾT BỊ'!$B$1:$S$836,12,0),"")</f>
        <v/>
      </c>
      <c r="N774" s="468" t="str">
        <f>IFERROR(VLOOKUP(B774,'03. THIẾT BỊ'!$B$1:$S$836,13,0),"")</f>
        <v>CAMBODIA</v>
      </c>
      <c r="O774" s="470" t="str">
        <f>IFERROR(VLOOKUP(B774,'03. THIẾT BỊ'!$B$1:$S$836,14,0),"")</f>
        <v/>
      </c>
      <c r="P774" s="468" t="str">
        <f>IFERROR(VLOOKUP(B774,'03. THIẾT BỊ'!$B$1:$S$836,15,0),"")</f>
        <v>CAMBODIA</v>
      </c>
      <c r="Q774" s="48" t="str">
        <f>IFERROR(VLOOKUP(B774,'03. THIẾT BỊ'!$B$1:$S$836,16,0),"")</f>
        <v/>
      </c>
      <c r="R774" s="471" t="str">
        <f>IFERROR(VLOOKUP(B774,'03. THIẾT BỊ'!$B$1:$S$836,17,0),"")</f>
        <v/>
      </c>
      <c r="S774" s="468" t="str">
        <f>IFERROR(VLOOKUP(B774,'03. THIẾT BỊ'!$B$1:$S$836,18,0),"")</f>
        <v/>
      </c>
      <c r="T774" s="812"/>
    </row>
    <row r="775" ht="15.0" customHeight="1">
      <c r="A775" s="463">
        <f t="shared" si="39"/>
        <v>3</v>
      </c>
      <c r="B775" s="467" t="s">
        <v>5194</v>
      </c>
      <c r="C775" s="869" t="str">
        <f>IFERROR(VLOOKUP(B775,'03. THIẾT BỊ'!$B$1:$S$836,2,0),"")</f>
        <v/>
      </c>
      <c r="D775" s="470" t="str">
        <f>IFERROR(VLOOKUP(B775,'03. THIẾT BỊ'!$B$1:$S$836,3,0),"")</f>
        <v>A22-BRN-001</v>
      </c>
      <c r="E775" s="464" t="str">
        <f>IFERROR(VLOOKUP(B775,'03. THIẾT BỊ'!$B$1:$S$836,4,0),"")</f>
        <v>ATM-A22-0125</v>
      </c>
      <c r="F775" s="464" t="str">
        <f>IFERROR(VLOOKUP(B775,'03. THIẾT BỊ'!$B$1:$S$836,5,0),"")</f>
        <v>Bồn rỉ mật 5m3</v>
      </c>
      <c r="G775" s="80" t="s">
        <v>6423</v>
      </c>
      <c r="H775" s="463" t="str">
        <f>IFERROR(VLOOKUP(B775,'03. THIẾT BỊ'!$B$1:$S$836,7,0),"")</f>
        <v>XN Bò AD</v>
      </c>
      <c r="I775" s="474">
        <f>IFERROR(VLOOKUP(B775,'03. THIẾT BỊ'!$B$1:$S$836,8,0),"")</f>
        <v>45292</v>
      </c>
      <c r="J775" s="471"/>
      <c r="K775" s="463" t="str">
        <f>IFERROR(VLOOKUP(B775,'03. THIẾT BỊ'!$B$1:$S$836,10,0),"")</f>
        <v>Bình thường</v>
      </c>
      <c r="L775" s="468" t="str">
        <f>IFERROR(VLOOKUP(B775,'03. THIẾT BỊ'!$B$1:$S$836,11,0),"")</f>
        <v/>
      </c>
      <c r="M775" s="472" t="str">
        <f>IFERROR(VLOOKUP(B775,'03. THIẾT BỊ'!$B$1:$S$836,12,0),"")</f>
        <v/>
      </c>
      <c r="N775" s="468" t="str">
        <f>IFERROR(VLOOKUP(B775,'03. THIẾT BỊ'!$B$1:$S$836,13,0),"")</f>
        <v>THACO AGRI</v>
      </c>
      <c r="O775" s="470" t="str">
        <f>IFERROR(VLOOKUP(B775,'03. THIẾT BỊ'!$B$1:$S$836,14,0),"")</f>
        <v>5M3</v>
      </c>
      <c r="P775" s="468" t="str">
        <f>IFERROR(VLOOKUP(B775,'03. THIẾT BỊ'!$B$1:$S$836,15,0),"")</f>
        <v>CK-CGH</v>
      </c>
      <c r="Q775" s="48" t="str">
        <f>IFERROR(VLOOKUP(B775,'03. THIẾT BỊ'!$B$1:$S$836,16,0),"")</f>
        <v/>
      </c>
      <c r="R775" s="471" t="str">
        <f>IFERROR(VLOOKUP(B775,'03. THIẾT BỊ'!$B$1:$S$836,17,0),"")</f>
        <v/>
      </c>
      <c r="S775" s="468" t="str">
        <f>IFERROR(VLOOKUP(B775,'03. THIẾT BỊ'!$B$1:$S$836,18,0),"")</f>
        <v/>
      </c>
      <c r="T775" s="812"/>
    </row>
    <row r="776" ht="15.0" customHeight="1">
      <c r="A776" s="463">
        <f t="shared" si="39"/>
        <v>4</v>
      </c>
      <c r="B776" s="467" t="s">
        <v>5253</v>
      </c>
      <c r="C776" s="869" t="str">
        <f>IFERROR(VLOOKUP(B776,'03. THIẾT BỊ'!$B$1:$S$836,2,0),"")</f>
        <v/>
      </c>
      <c r="D776" s="470" t="str">
        <f>IFERROR(VLOOKUP(B776,'03. THIẾT BỊ'!$B$1:$S$836,3,0),"")</f>
        <v> </v>
      </c>
      <c r="E776" s="464" t="str">
        <f>IFERROR(VLOOKUP(B776,'03. THIẾT BỊ'!$B$1:$S$836,4,0),"")</f>
        <v>ĐQSD</v>
      </c>
      <c r="F776" s="464" t="str">
        <f>IFERROR(VLOOKUP(B776,'03. THIẾT BỊ'!$B$1:$S$836,5,0),"")</f>
        <v>Máy cắt lát chuối cho bê</v>
      </c>
      <c r="G776" s="80" t="s">
        <v>6423</v>
      </c>
      <c r="H776" s="463" t="str">
        <f>IFERROR(VLOOKUP(B776,'03. THIẾT BỊ'!$B$1:$S$836,7,0),"")</f>
        <v>XN Bò AD</v>
      </c>
      <c r="I776" s="474" t="str">
        <f>IFERROR(VLOOKUP(B776,'03. THIẾT BỊ'!$B$1:$S$836,8,0),"")</f>
        <v/>
      </c>
      <c r="J776" s="471"/>
      <c r="K776" s="463" t="str">
        <f>IFERROR(VLOOKUP(B776,'03. THIẾT BỊ'!$B$1:$S$836,10,0),"")</f>
        <v>Bình thường</v>
      </c>
      <c r="L776" s="468" t="str">
        <f>IFERROR(VLOOKUP(B776,'03. THIẾT BỊ'!$B$1:$S$836,11,0),"")</f>
        <v/>
      </c>
      <c r="M776" s="472" t="str">
        <f>IFERROR(VLOOKUP(B776,'03. THIẾT BỊ'!$B$1:$S$836,12,0),"")</f>
        <v>Gia công mới</v>
      </c>
      <c r="N776" s="468" t="str">
        <f>IFERROR(VLOOKUP(B776,'03. THIẾT BỊ'!$B$1:$S$836,13,0),"")</f>
        <v>THACO AGRI</v>
      </c>
      <c r="O776" s="470" t="str">
        <f>IFERROR(VLOOKUP(B776,'03. THIẾT BỊ'!$B$1:$S$836,14,0),"")</f>
        <v/>
      </c>
      <c r="P776" s="468" t="str">
        <f>IFERROR(VLOOKUP(B776,'03. THIẾT BỊ'!$B$1:$S$836,15,0),"")</f>
        <v>CK-CGH</v>
      </c>
      <c r="Q776" s="48" t="str">
        <f>IFERROR(VLOOKUP(B776,'03. THIẾT BỊ'!$B$1:$S$836,16,0),"")</f>
        <v/>
      </c>
      <c r="R776" s="471" t="str">
        <f>IFERROR(VLOOKUP(B776,'03. THIẾT BỊ'!$B$1:$S$836,17,0),"")</f>
        <v/>
      </c>
      <c r="S776" s="468" t="str">
        <f>IFERROR(VLOOKUP(B776,'03. THIẾT BỊ'!$B$1:$S$836,18,0),"")</f>
        <v/>
      </c>
      <c r="T776" s="812"/>
    </row>
    <row r="777" ht="15.0" customHeight="1">
      <c r="A777" s="463">
        <f t="shared" si="39"/>
        <v>5</v>
      </c>
      <c r="B777" s="464" t="s">
        <v>7133</v>
      </c>
      <c r="C777" s="869" t="str">
        <f>IFERROR(VLOOKUP(B777,'03. THIẾT BỊ'!$B$1:$S$836,2,0),"")</f>
        <v/>
      </c>
      <c r="D777" s="470" t="str">
        <f>IFERROR(VLOOKUP(B777,'03. THIẾT BỊ'!$B$1:$S$836,3,0),"")</f>
        <v/>
      </c>
      <c r="E777" s="464" t="str">
        <f>IFERROR(VLOOKUP(B777,'03. THIẾT BỊ'!$B$1:$S$836,4,0),"")</f>
        <v/>
      </c>
      <c r="F777" s="464" t="str">
        <f>IFERROR(VLOOKUP(B777,'03. THIẾT BỊ'!$B$1:$S$836,5,0),"")</f>
        <v/>
      </c>
      <c r="G777" s="80" t="s">
        <v>6423</v>
      </c>
      <c r="H777" s="463" t="str">
        <f>IFERROR(VLOOKUP(B777,'03. THIẾT BỊ'!$B$1:$S$836,7,0),"")</f>
        <v/>
      </c>
      <c r="I777" s="474" t="str">
        <f>IFERROR(VLOOKUP(B777,'03. THIẾT BỊ'!$B$1:$S$836,8,0),"")</f>
        <v/>
      </c>
      <c r="J777" s="471"/>
      <c r="K777" s="463" t="str">
        <f>IFERROR(VLOOKUP(B777,'03. THIẾT BỊ'!$B$1:$S$836,10,0),"")</f>
        <v/>
      </c>
      <c r="L777" s="468" t="str">
        <f>IFERROR(VLOOKUP(B777,'03. THIẾT BỊ'!$B$1:$S$836,11,0),"")</f>
        <v/>
      </c>
      <c r="M777" s="472" t="str">
        <f>IFERROR(VLOOKUP(B777,'03. THIẾT BỊ'!$B$1:$S$836,12,0),"")</f>
        <v/>
      </c>
      <c r="N777" s="468" t="str">
        <f>IFERROR(VLOOKUP(B777,'03. THIẾT BỊ'!$B$1:$S$836,13,0),"")</f>
        <v/>
      </c>
      <c r="O777" s="470" t="str">
        <f>IFERROR(VLOOKUP(B777,'03. THIẾT BỊ'!$B$1:$S$836,14,0),"")</f>
        <v/>
      </c>
      <c r="P777" s="468" t="str">
        <f>IFERROR(VLOOKUP(B777,'03. THIẾT BỊ'!$B$1:$S$836,15,0),"")</f>
        <v/>
      </c>
      <c r="Q777" s="48" t="str">
        <f>IFERROR(VLOOKUP(B777,'03. THIẾT BỊ'!$B$1:$S$836,16,0),"")</f>
        <v/>
      </c>
      <c r="R777" s="471" t="str">
        <f>IFERROR(VLOOKUP(B777,'03. THIẾT BỊ'!$B$1:$S$836,17,0),"")</f>
        <v/>
      </c>
      <c r="S777" s="468" t="str">
        <f>IFERROR(VLOOKUP(B777,'03. THIẾT BỊ'!$B$1:$S$836,18,0),"")</f>
        <v/>
      </c>
      <c r="T777" s="807"/>
    </row>
    <row r="778" ht="15.0" customHeight="1">
      <c r="A778" s="463">
        <f t="shared" si="39"/>
        <v>6</v>
      </c>
      <c r="B778" s="464" t="s">
        <v>7135</v>
      </c>
      <c r="C778" s="869" t="str">
        <f>IFERROR(VLOOKUP(B778,'03. THIẾT BỊ'!$B$1:$S$836,2,0),"")</f>
        <v/>
      </c>
      <c r="D778" s="470" t="str">
        <f>IFERROR(VLOOKUP(B778,'03. THIẾT BỊ'!$B$1:$S$836,3,0),"")</f>
        <v/>
      </c>
      <c r="E778" s="464" t="str">
        <f>IFERROR(VLOOKUP(B778,'03. THIẾT BỊ'!$B$1:$S$836,4,0),"")</f>
        <v/>
      </c>
      <c r="F778" s="464" t="str">
        <f>IFERROR(VLOOKUP(B778,'03. THIẾT BỊ'!$B$1:$S$836,5,0),"")</f>
        <v/>
      </c>
      <c r="G778" s="80" t="s">
        <v>6423</v>
      </c>
      <c r="H778" s="463" t="str">
        <f>IFERROR(VLOOKUP(B778,'03. THIẾT BỊ'!$B$1:$S$836,7,0),"")</f>
        <v/>
      </c>
      <c r="I778" s="474" t="str">
        <f>IFERROR(VLOOKUP(B778,'03. THIẾT BỊ'!$B$1:$S$836,8,0),"")</f>
        <v/>
      </c>
      <c r="J778" s="471"/>
      <c r="K778" s="463" t="str">
        <f>IFERROR(VLOOKUP(B778,'03. THIẾT BỊ'!$B$1:$S$836,10,0),"")</f>
        <v/>
      </c>
      <c r="L778" s="468" t="str">
        <f>IFERROR(VLOOKUP(B778,'03. THIẾT BỊ'!$B$1:$S$836,11,0),"")</f>
        <v/>
      </c>
      <c r="M778" s="472" t="str">
        <f>IFERROR(VLOOKUP(B778,'03. THIẾT BỊ'!$B$1:$S$836,12,0),"")</f>
        <v/>
      </c>
      <c r="N778" s="468" t="str">
        <f>IFERROR(VLOOKUP(B778,'03. THIẾT BỊ'!$B$1:$S$836,13,0),"")</f>
        <v/>
      </c>
      <c r="O778" s="470" t="str">
        <f>IFERROR(VLOOKUP(B778,'03. THIẾT BỊ'!$B$1:$S$836,14,0),"")</f>
        <v/>
      </c>
      <c r="P778" s="468" t="str">
        <f>IFERROR(VLOOKUP(B778,'03. THIẾT BỊ'!$B$1:$S$836,15,0),"")</f>
        <v/>
      </c>
      <c r="Q778" s="48" t="str">
        <f>IFERROR(VLOOKUP(B778,'03. THIẾT BỊ'!$B$1:$S$836,16,0),"")</f>
        <v/>
      </c>
      <c r="R778" s="471" t="str">
        <f>IFERROR(VLOOKUP(B778,'03. THIẾT BỊ'!$B$1:$S$836,17,0),"")</f>
        <v/>
      </c>
      <c r="S778" s="468" t="str">
        <f>IFERROR(VLOOKUP(B778,'03. THIẾT BỊ'!$B$1:$S$836,18,0),"")</f>
        <v/>
      </c>
      <c r="T778" s="807"/>
    </row>
    <row r="779" ht="15.0" customHeight="1">
      <c r="A779" s="463">
        <f t="shared" si="39"/>
        <v>7</v>
      </c>
      <c r="B779" s="464" t="s">
        <v>7136</v>
      </c>
      <c r="C779" s="869" t="str">
        <f>IFERROR(VLOOKUP(B779,'03. THIẾT BỊ'!$B$1:$S$836,2,0),"")</f>
        <v/>
      </c>
      <c r="D779" s="470" t="str">
        <f>IFERROR(VLOOKUP(B779,'03. THIẾT BỊ'!$B$1:$S$836,3,0),"")</f>
        <v/>
      </c>
      <c r="E779" s="464" t="str">
        <f>IFERROR(VLOOKUP(B779,'03. THIẾT BỊ'!$B$1:$S$836,4,0),"")</f>
        <v/>
      </c>
      <c r="F779" s="464" t="str">
        <f>IFERROR(VLOOKUP(B779,'03. THIẾT BỊ'!$B$1:$S$836,5,0),"")</f>
        <v/>
      </c>
      <c r="G779" s="80" t="s">
        <v>6423</v>
      </c>
      <c r="H779" s="463" t="str">
        <f>IFERROR(VLOOKUP(B779,'03. THIẾT BỊ'!$B$1:$S$836,7,0),"")</f>
        <v/>
      </c>
      <c r="I779" s="474" t="str">
        <f>IFERROR(VLOOKUP(B779,'03. THIẾT BỊ'!$B$1:$S$836,8,0),"")</f>
        <v/>
      </c>
      <c r="J779" s="471"/>
      <c r="K779" s="463" t="str">
        <f>IFERROR(VLOOKUP(B779,'03. THIẾT BỊ'!$B$1:$S$836,10,0),"")</f>
        <v/>
      </c>
      <c r="L779" s="468" t="str">
        <f>IFERROR(VLOOKUP(B779,'03. THIẾT BỊ'!$B$1:$S$836,11,0),"")</f>
        <v/>
      </c>
      <c r="M779" s="472" t="str">
        <f>IFERROR(VLOOKUP(B779,'03. THIẾT BỊ'!$B$1:$S$836,12,0),"")</f>
        <v/>
      </c>
      <c r="N779" s="468" t="str">
        <f>IFERROR(VLOOKUP(B779,'03. THIẾT BỊ'!$B$1:$S$836,13,0),"")</f>
        <v/>
      </c>
      <c r="O779" s="470" t="str">
        <f>IFERROR(VLOOKUP(B779,'03. THIẾT BỊ'!$B$1:$S$836,14,0),"")</f>
        <v/>
      </c>
      <c r="P779" s="468" t="str">
        <f>IFERROR(VLOOKUP(B779,'03. THIẾT BỊ'!$B$1:$S$836,15,0),"")</f>
        <v/>
      </c>
      <c r="Q779" s="48" t="str">
        <f>IFERROR(VLOOKUP(B779,'03. THIẾT BỊ'!$B$1:$S$836,16,0),"")</f>
        <v/>
      </c>
      <c r="R779" s="471" t="str">
        <f>IFERROR(VLOOKUP(B779,'03. THIẾT BỊ'!$B$1:$S$836,17,0),"")</f>
        <v/>
      </c>
      <c r="S779" s="468" t="str">
        <f>IFERROR(VLOOKUP(B779,'03. THIẾT BỊ'!$B$1:$S$836,18,0),"")</f>
        <v/>
      </c>
      <c r="T779" s="807"/>
    </row>
    <row r="780" ht="15.0" customHeight="1">
      <c r="A780" s="463">
        <f t="shared" si="39"/>
        <v>8</v>
      </c>
      <c r="B780" s="464" t="s">
        <v>5318</v>
      </c>
      <c r="C780" s="869" t="str">
        <f>IFERROR(VLOOKUP(B780,'03. THIẾT BỊ'!$B$1:$S$836,2,0),"")</f>
        <v>CK-DNL-01</v>
      </c>
      <c r="D780" s="470" t="str">
        <f>IFERROR(VLOOKUP(B780,'03. THIẾT BỊ'!$B$1:$S$836,3,0),"")</f>
        <v>A22-DNL-001</v>
      </c>
      <c r="E780" s="464" t="str">
        <f>IFERROR(VLOOKUP(B780,'03. THIẾT BỊ'!$B$1:$S$836,4,0),"")</f>
        <v>ĐQSD</v>
      </c>
      <c r="F780" s="464" t="str">
        <f>IFERROR(VLOOKUP(B780,'03. THIẾT BỊ'!$B$1:$S$836,5,0),"")</f>
        <v>Thiết bị nén lá chuối khô</v>
      </c>
      <c r="G780" s="80" t="s">
        <v>6423</v>
      </c>
      <c r="H780" s="463" t="str">
        <f>IFERROR(VLOOKUP(B780,'03. THIẾT BỊ'!$B$1:$S$836,7,0),"")</f>
        <v>XN Bò AD</v>
      </c>
      <c r="I780" s="474" t="str">
        <f>IFERROR(VLOOKUP(B780,'03. THIẾT BỊ'!$B$1:$S$836,8,0),"")</f>
        <v>23/03/2024</v>
      </c>
      <c r="J780" s="471"/>
      <c r="K780" s="463" t="str">
        <f>IFERROR(VLOOKUP(B780,'03. THIẾT BỊ'!$B$1:$S$836,10,0),"")</f>
        <v>Bình thường</v>
      </c>
      <c r="L780" s="468" t="str">
        <f>IFERROR(VLOOKUP(B780,'03. THIẾT BỊ'!$B$1:$S$836,11,0),"")</f>
        <v/>
      </c>
      <c r="M780" s="472" t="str">
        <f>IFERROR(VLOOKUP(B780,'03. THIẾT BỊ'!$B$1:$S$836,12,0),"")</f>
        <v>Gia công mới</v>
      </c>
      <c r="N780" s="468" t="str">
        <f>IFERROR(VLOOKUP(B780,'03. THIẾT BỊ'!$B$1:$S$836,13,0),"")</f>
        <v>THACO AGRI</v>
      </c>
      <c r="O780" s="470" t="str">
        <f>IFERROR(VLOOKUP(B780,'03. THIẾT BỊ'!$B$1:$S$836,14,0),"")</f>
        <v/>
      </c>
      <c r="P780" s="468" t="str">
        <f>IFERROR(VLOOKUP(B780,'03. THIẾT BỊ'!$B$1:$S$836,15,0),"")</f>
        <v>THACO</v>
      </c>
      <c r="Q780" s="48" t="str">
        <f>IFERROR(VLOOKUP(B780,'03. THIẾT BỊ'!$B$1:$S$836,16,0),"")</f>
        <v/>
      </c>
      <c r="R780" s="471" t="str">
        <f>IFERROR(VLOOKUP(B780,'03. THIẾT BỊ'!$B$1:$S$836,17,0),"")</f>
        <v>3.8*2*3.6</v>
      </c>
      <c r="S780" s="468" t="str">
        <f>IFERROR(VLOOKUP(B780,'03. THIẾT BỊ'!$B$1:$S$836,18,0),"")</f>
        <v/>
      </c>
      <c r="T780" s="807"/>
    </row>
    <row r="781" ht="15.0" customHeight="1">
      <c r="A781" s="463">
        <f t="shared" si="39"/>
        <v>9</v>
      </c>
      <c r="B781" s="464" t="s">
        <v>7139</v>
      </c>
      <c r="C781" s="869" t="str">
        <f>IFERROR(VLOOKUP(B781,'03. THIẾT BỊ'!$B$1:$S$836,2,0),"")</f>
        <v/>
      </c>
      <c r="D781" s="470" t="str">
        <f>IFERROR(VLOOKUP(B781,'03. THIẾT BỊ'!$B$1:$S$836,3,0),"")</f>
        <v/>
      </c>
      <c r="E781" s="464" t="str">
        <f>IFERROR(VLOOKUP(B781,'03. THIẾT BỊ'!$B$1:$S$836,4,0),"")</f>
        <v/>
      </c>
      <c r="F781" s="464" t="str">
        <f>IFERROR(VLOOKUP(B781,'03. THIẾT BỊ'!$B$1:$S$836,5,0),"")</f>
        <v/>
      </c>
      <c r="G781" s="80" t="s">
        <v>6423</v>
      </c>
      <c r="H781" s="463" t="str">
        <f>IFERROR(VLOOKUP(B781,'03. THIẾT BỊ'!$B$1:$S$836,7,0),"")</f>
        <v/>
      </c>
      <c r="I781" s="474" t="str">
        <f>IFERROR(VLOOKUP(B781,'03. THIẾT BỊ'!$B$1:$S$836,8,0),"")</f>
        <v/>
      </c>
      <c r="J781" s="471"/>
      <c r="K781" s="463" t="str">
        <f>IFERROR(VLOOKUP(B781,'03. THIẾT BỊ'!$B$1:$S$836,10,0),"")</f>
        <v/>
      </c>
      <c r="L781" s="468" t="str">
        <f>IFERROR(VLOOKUP(B781,'03. THIẾT BỊ'!$B$1:$S$836,11,0),"")</f>
        <v/>
      </c>
      <c r="M781" s="472" t="str">
        <f>IFERROR(VLOOKUP(B781,'03. THIẾT BỊ'!$B$1:$S$836,12,0),"")</f>
        <v/>
      </c>
      <c r="N781" s="468" t="str">
        <f>IFERROR(VLOOKUP(B781,'03. THIẾT BỊ'!$B$1:$S$836,13,0),"")</f>
        <v/>
      </c>
      <c r="O781" s="470" t="str">
        <f>IFERROR(VLOOKUP(B781,'03. THIẾT BỊ'!$B$1:$S$836,14,0),"")</f>
        <v/>
      </c>
      <c r="P781" s="468" t="str">
        <f>IFERROR(VLOOKUP(B781,'03. THIẾT BỊ'!$B$1:$S$836,15,0),"")</f>
        <v/>
      </c>
      <c r="Q781" s="48" t="str">
        <f>IFERROR(VLOOKUP(B781,'03. THIẾT BỊ'!$B$1:$S$836,16,0),"")</f>
        <v/>
      </c>
      <c r="R781" s="471" t="str">
        <f>IFERROR(VLOOKUP(B781,'03. THIẾT BỊ'!$B$1:$S$836,17,0),"")</f>
        <v/>
      </c>
      <c r="S781" s="468" t="str">
        <f>IFERROR(VLOOKUP(B781,'03. THIẾT BỊ'!$B$1:$S$836,18,0),"")</f>
        <v/>
      </c>
      <c r="T781" s="807"/>
    </row>
    <row r="782" ht="15.0" customHeight="1">
      <c r="A782" s="463">
        <f t="shared" si="39"/>
        <v>10</v>
      </c>
      <c r="B782" s="467" t="s">
        <v>5221</v>
      </c>
      <c r="C782" s="869" t="str">
        <f>IFERROR(VLOOKUP(B782,'03. THIẾT BỊ'!$B$1:$S$836,2,0),"")</f>
        <v/>
      </c>
      <c r="D782" s="470" t="str">
        <f>IFERROR(VLOOKUP(B782,'03. THIẾT BỊ'!$B$1:$S$836,3,0),"")</f>
        <v>A22-GTB-001</v>
      </c>
      <c r="E782" s="464" t="str">
        <f>IFERROR(VLOOKUP(B782,'03. THIẾT BỊ'!$B$1:$S$836,4,0),"")</f>
        <v>ĐQSD</v>
      </c>
      <c r="F782" s="464" t="str">
        <f>IFERROR(VLOOKUP(B782,'03. THIẾT BỊ'!$B$1:$S$836,5,0),"")</f>
        <v>Thiết bị tỉa bắp</v>
      </c>
      <c r="G782" s="80" t="s">
        <v>6423</v>
      </c>
      <c r="H782" s="463" t="str">
        <f>IFERROR(VLOOKUP(B782,'03. THIẾT BỊ'!$B$1:$S$836,7,0),"")</f>
        <v>XN Bò AD</v>
      </c>
      <c r="I782" s="474" t="str">
        <f>IFERROR(VLOOKUP(B782,'03. THIẾT BỊ'!$B$1:$S$836,8,0),"")</f>
        <v/>
      </c>
      <c r="J782" s="471"/>
      <c r="K782" s="463" t="str">
        <f>IFERROR(VLOOKUP(B782,'03. THIẾT BỊ'!$B$1:$S$836,10,0),"")</f>
        <v>Bình thường</v>
      </c>
      <c r="L782" s="468" t="str">
        <f>IFERROR(VLOOKUP(B782,'03. THIẾT BỊ'!$B$1:$S$836,11,0),"")</f>
        <v/>
      </c>
      <c r="M782" s="472" t="str">
        <f>IFERROR(VLOOKUP(B782,'03. THIẾT BỊ'!$B$1:$S$836,12,0),"")</f>
        <v/>
      </c>
      <c r="N782" s="468" t="str">
        <f>IFERROR(VLOOKUP(B782,'03. THIẾT BỊ'!$B$1:$S$836,13,0),"")</f>
        <v>THACO AGRI</v>
      </c>
      <c r="O782" s="470" t="str">
        <f>IFERROR(VLOOKUP(B782,'03. THIẾT BỊ'!$B$1:$S$836,14,0),"")</f>
        <v/>
      </c>
      <c r="P782" s="468" t="str">
        <f>IFERROR(VLOOKUP(B782,'03. THIẾT BỊ'!$B$1:$S$836,15,0),"")</f>
        <v>CK-CGH</v>
      </c>
      <c r="Q782" s="48" t="str">
        <f>IFERROR(VLOOKUP(B782,'03. THIẾT BỊ'!$B$1:$S$836,16,0),"")</f>
        <v/>
      </c>
      <c r="R782" s="471" t="str">
        <f>IFERROR(VLOOKUP(B782,'03. THIẾT BỊ'!$B$1:$S$836,17,0),"")</f>
        <v/>
      </c>
      <c r="S782" s="468" t="str">
        <f>IFERROR(VLOOKUP(B782,'03. THIẾT BỊ'!$B$1:$S$836,18,0),"")</f>
        <v/>
      </c>
      <c r="T782" s="812"/>
    </row>
    <row r="783" ht="15.0" customHeight="1">
      <c r="A783" s="463">
        <f t="shared" si="39"/>
        <v>11</v>
      </c>
      <c r="B783" s="467" t="s">
        <v>5224</v>
      </c>
      <c r="C783" s="869" t="str">
        <f>IFERROR(VLOOKUP(B783,'03. THIẾT BỊ'!$B$1:$S$836,2,0),"")</f>
        <v/>
      </c>
      <c r="D783" s="470" t="str">
        <f>IFERROR(VLOOKUP(B783,'03. THIẾT BỊ'!$B$1:$S$836,3,0),"")</f>
        <v>A22-GTB-002</v>
      </c>
      <c r="E783" s="464" t="str">
        <f>IFERROR(VLOOKUP(B783,'03. THIẾT BỊ'!$B$1:$S$836,4,0),"")</f>
        <v>ĐQSD</v>
      </c>
      <c r="F783" s="464" t="str">
        <f>IFERROR(VLOOKUP(B783,'03. THIẾT BỊ'!$B$1:$S$836,5,0),"")</f>
        <v>Thiết bị tỉa bắp</v>
      </c>
      <c r="G783" s="80" t="s">
        <v>6423</v>
      </c>
      <c r="H783" s="463" t="str">
        <f>IFERROR(VLOOKUP(B783,'03. THIẾT BỊ'!$B$1:$S$836,7,0),"")</f>
        <v>XN Bò AD</v>
      </c>
      <c r="I783" s="474" t="str">
        <f>IFERROR(VLOOKUP(B783,'03. THIẾT BỊ'!$B$1:$S$836,8,0),"")</f>
        <v/>
      </c>
      <c r="J783" s="471"/>
      <c r="K783" s="463" t="str">
        <f>IFERROR(VLOOKUP(B783,'03. THIẾT BỊ'!$B$1:$S$836,10,0),"")</f>
        <v>Bình thường</v>
      </c>
      <c r="L783" s="468" t="str">
        <f>IFERROR(VLOOKUP(B783,'03. THIẾT BỊ'!$B$1:$S$836,11,0),"")</f>
        <v/>
      </c>
      <c r="M783" s="472" t="str">
        <f>IFERROR(VLOOKUP(B783,'03. THIẾT BỊ'!$B$1:$S$836,12,0),"")</f>
        <v/>
      </c>
      <c r="N783" s="468" t="str">
        <f>IFERROR(VLOOKUP(B783,'03. THIẾT BỊ'!$B$1:$S$836,13,0),"")</f>
        <v>THACO AGRI</v>
      </c>
      <c r="O783" s="470" t="str">
        <f>IFERROR(VLOOKUP(B783,'03. THIẾT BỊ'!$B$1:$S$836,14,0),"")</f>
        <v/>
      </c>
      <c r="P783" s="468" t="str">
        <f>IFERROR(VLOOKUP(B783,'03. THIẾT BỊ'!$B$1:$S$836,15,0),"")</f>
        <v>CK-CGH</v>
      </c>
      <c r="Q783" s="48" t="str">
        <f>IFERROR(VLOOKUP(B783,'03. THIẾT BỊ'!$B$1:$S$836,16,0),"")</f>
        <v/>
      </c>
      <c r="R783" s="471" t="str">
        <f>IFERROR(VLOOKUP(B783,'03. THIẾT BỊ'!$B$1:$S$836,17,0),"")</f>
        <v/>
      </c>
      <c r="S783" s="468" t="str">
        <f>IFERROR(VLOOKUP(B783,'03. THIẾT BỊ'!$B$1:$S$836,18,0),"")</f>
        <v/>
      </c>
      <c r="T783" s="812"/>
    </row>
    <row r="784" ht="15.0" customHeight="1">
      <c r="A784" s="463">
        <f t="shared" si="39"/>
        <v>12</v>
      </c>
      <c r="B784" s="464" t="s">
        <v>5238</v>
      </c>
      <c r="C784" s="869" t="str">
        <f>IFERROR(VLOOKUP(B784,'03. THIẾT BỊ'!$B$1:$S$836,2,0),"")</f>
        <v/>
      </c>
      <c r="D784" s="470" t="str">
        <f>IFERROR(VLOOKUP(B784,'03. THIẾT BỊ'!$B$1:$S$836,3,0),"")</f>
        <v>A22-XĐL-002</v>
      </c>
      <c r="E784" s="464" t="str">
        <f>IFERROR(VLOOKUP(B784,'03. THIẾT BỊ'!$B$1:$S$836,4,0),"")</f>
        <v>ĐQSD</v>
      </c>
      <c r="F784" s="464" t="str">
        <f>IFERROR(VLOOKUP(B784,'03. THIẾT BỊ'!$B$1:$S$836,5,0),"")</f>
        <v>Máy xay đậu lupin</v>
      </c>
      <c r="G784" s="80" t="s">
        <v>6423</v>
      </c>
      <c r="H784" s="463" t="str">
        <f>IFERROR(VLOOKUP(B784,'03. THIẾT BỊ'!$B$1:$S$836,7,0),"")</f>
        <v>XN Bò AD</v>
      </c>
      <c r="I784" s="474" t="str">
        <f>IFERROR(VLOOKUP(B784,'03. THIẾT BỊ'!$B$1:$S$836,8,0),"")</f>
        <v/>
      </c>
      <c r="J784" s="471"/>
      <c r="K784" s="463" t="str">
        <f>IFERROR(VLOOKUP(B784,'03. THIẾT BỊ'!$B$1:$S$836,10,0),"")</f>
        <v>Bình thường</v>
      </c>
      <c r="L784" s="468" t="str">
        <f>IFERROR(VLOOKUP(B784,'03. THIẾT BỊ'!$B$1:$S$836,11,0),"")</f>
        <v/>
      </c>
      <c r="M784" s="472" t="str">
        <f>IFERROR(VLOOKUP(B784,'03. THIẾT BỊ'!$B$1:$S$836,12,0),"")</f>
        <v>TTCBTA</v>
      </c>
      <c r="N784" s="468" t="str">
        <f>IFERROR(VLOOKUP(B784,'03. THIẾT BỊ'!$B$1:$S$836,13,0),"")</f>
        <v>THACO AGRI</v>
      </c>
      <c r="O784" s="470" t="str">
        <f>IFERROR(VLOOKUP(B784,'03. THIẾT BỊ'!$B$1:$S$836,14,0),"")</f>
        <v/>
      </c>
      <c r="P784" s="468" t="str">
        <f>IFERROR(VLOOKUP(B784,'03. THIẾT BỊ'!$B$1:$S$836,15,0),"")</f>
        <v>CK-CGH</v>
      </c>
      <c r="Q784" s="48" t="str">
        <f>IFERROR(VLOOKUP(B784,'03. THIẾT BỊ'!$B$1:$S$836,16,0),"")</f>
        <v/>
      </c>
      <c r="R784" s="471" t="str">
        <f>IFERROR(VLOOKUP(B784,'03. THIẾT BỊ'!$B$1:$S$836,17,0),"")</f>
        <v/>
      </c>
      <c r="S784" s="468" t="str">
        <f>IFERROR(VLOOKUP(B784,'03. THIẾT BỊ'!$B$1:$S$836,18,0),"")</f>
        <v/>
      </c>
      <c r="T784" s="812"/>
    </row>
    <row r="785" ht="15.0" customHeight="1">
      <c r="A785" s="463">
        <f t="shared" si="39"/>
        <v>13</v>
      </c>
      <c r="B785" s="464" t="s">
        <v>5477</v>
      </c>
      <c r="C785" s="869" t="str">
        <f>IFERROR(VLOOKUP(B785,'03. THIẾT BỊ'!$B$1:$S$836,2,0),"")</f>
        <v/>
      </c>
      <c r="D785" s="470" t="str">
        <f>IFERROR(VLOOKUP(B785,'03. THIẾT BỊ'!$B$1:$S$836,3,0),"")</f>
        <v>A22-PTB-001</v>
      </c>
      <c r="E785" s="464" t="str">
        <f>IFERROR(VLOOKUP(B785,'03. THIẾT BỊ'!$B$1:$S$836,4,0),"")</f>
        <v>MUA MỚI</v>
      </c>
      <c r="F785" s="464" t="str">
        <f>IFERROR(VLOOKUP(B785,'03. THIẾT BỊ'!$B$1:$S$836,5,0),"")</f>
        <v>Thiết bị phun thuốc bắp</v>
      </c>
      <c r="G785" s="80" t="s">
        <v>6423</v>
      </c>
      <c r="H785" s="463" t="str">
        <f>IFERROR(VLOOKUP(B785,'03. THIẾT BỊ'!$B$1:$S$836,7,0),"")</f>
        <v>XN Bò AD</v>
      </c>
      <c r="I785" s="474" t="str">
        <f>IFERROR(VLOOKUP(B785,'03. THIẾT BỊ'!$B$1:$S$836,8,0),"")</f>
        <v>16/08/2025</v>
      </c>
      <c r="J785" s="471"/>
      <c r="K785" s="463" t="str">
        <f>IFERROR(VLOOKUP(B785,'03. THIẾT BỊ'!$B$1:$S$836,10,0),"")</f>
        <v>Bình thường</v>
      </c>
      <c r="L785" s="468" t="str">
        <f>IFERROR(VLOOKUP(B785,'03. THIẾT BỊ'!$B$1:$S$836,11,0),"")</f>
        <v/>
      </c>
      <c r="M785" s="472" t="str">
        <f>IFERROR(VLOOKUP(B785,'03. THIẾT BỊ'!$B$1:$S$836,12,0),"")</f>
        <v>Đầu tư mới</v>
      </c>
      <c r="N785" s="468" t="str">
        <f>IFERROR(VLOOKUP(B785,'03. THIẾT BỊ'!$B$1:$S$836,13,0),"")</f>
        <v>CHOKTAWEE</v>
      </c>
      <c r="O785" s="470" t="str">
        <f>IFERROR(VLOOKUP(B785,'03. THIẾT BỊ'!$B$1:$S$836,14,0),"")</f>
        <v>ARN-SPY600</v>
      </c>
      <c r="P785" s="468" t="str">
        <f>IFERROR(VLOOKUP(B785,'03. THIẾT BỊ'!$B$1:$S$836,15,0),"")</f>
        <v>VIỆ̣T NAM</v>
      </c>
      <c r="Q785" s="48">
        <f>IFERROR(VLOOKUP(B785,'03. THIẾT BỊ'!$B$1:$S$836,16,0),"")</f>
        <v>2025</v>
      </c>
      <c r="R785" s="471" t="str">
        <f>IFERROR(VLOOKUP(B785,'03. THIẾT BỊ'!$B$1:$S$836,17,0),"")</f>
        <v>600 LÍT - 50HP</v>
      </c>
      <c r="S785" s="468" t="str">
        <f>IFERROR(VLOOKUP(B785,'03. THIẾT BỊ'!$B$1:$S$836,18,0),"")</f>
        <v/>
      </c>
      <c r="T785" s="1495"/>
    </row>
    <row r="786" ht="15.0" customHeight="1">
      <c r="A786" s="463">
        <f t="shared" si="39"/>
        <v>14</v>
      </c>
      <c r="B786" s="464" t="s">
        <v>5484</v>
      </c>
      <c r="C786" s="869" t="str">
        <f>IFERROR(VLOOKUP(B786,'03. THIẾT BỊ'!$B$1:$S$836,2,0),"")</f>
        <v/>
      </c>
      <c r="D786" s="470" t="str">
        <f>IFERROR(VLOOKUP(B786,'03. THIẾT BỊ'!$B$1:$S$836,3,0),"")</f>
        <v>A22-PTB-002</v>
      </c>
      <c r="E786" s="464" t="str">
        <f>IFERROR(VLOOKUP(B786,'03. THIẾT BỊ'!$B$1:$S$836,4,0),"")</f>
        <v>MUA MỚI</v>
      </c>
      <c r="F786" s="464" t="str">
        <f>IFERROR(VLOOKUP(B786,'03. THIẾT BỊ'!$B$1:$S$836,5,0),"")</f>
        <v>Thiết bị phun thuốc bắp</v>
      </c>
      <c r="G786" s="80" t="s">
        <v>6423</v>
      </c>
      <c r="H786" s="463" t="str">
        <f>IFERROR(VLOOKUP(B786,'03. THIẾT BỊ'!$B$1:$S$836,7,0),"")</f>
        <v>XN Bò AD</v>
      </c>
      <c r="I786" s="474" t="str">
        <f>IFERROR(VLOOKUP(B786,'03. THIẾT BỊ'!$B$1:$S$836,8,0),"")</f>
        <v>16/08/2025</v>
      </c>
      <c r="J786" s="471"/>
      <c r="K786" s="463" t="str">
        <f>IFERROR(VLOOKUP(B786,'03. THIẾT BỊ'!$B$1:$S$836,10,0),"")</f>
        <v>Bình thường</v>
      </c>
      <c r="L786" s="468" t="str">
        <f>IFERROR(VLOOKUP(B786,'03. THIẾT BỊ'!$B$1:$S$836,11,0),"")</f>
        <v/>
      </c>
      <c r="M786" s="472" t="str">
        <f>IFERROR(VLOOKUP(B786,'03. THIẾT BỊ'!$B$1:$S$836,12,0),"")</f>
        <v>Đầu tư mới</v>
      </c>
      <c r="N786" s="468" t="str">
        <f>IFERROR(VLOOKUP(B786,'03. THIẾT BỊ'!$B$1:$S$836,13,0),"")</f>
        <v>CHOKTAWEE</v>
      </c>
      <c r="O786" s="470" t="str">
        <f>IFERROR(VLOOKUP(B786,'03. THIẾT BỊ'!$B$1:$S$836,14,0),"")</f>
        <v>ARN-SPY600</v>
      </c>
      <c r="P786" s="468" t="str">
        <f>IFERROR(VLOOKUP(B786,'03. THIẾT BỊ'!$B$1:$S$836,15,0),"")</f>
        <v>VIỆ̣T NAM</v>
      </c>
      <c r="Q786" s="48">
        <f>IFERROR(VLOOKUP(B786,'03. THIẾT BỊ'!$B$1:$S$836,16,0),"")</f>
        <v>2025</v>
      </c>
      <c r="R786" s="471" t="str">
        <f>IFERROR(VLOOKUP(B786,'03. THIẾT BỊ'!$B$1:$S$836,17,0),"")</f>
        <v>600 LÍT - 50HP</v>
      </c>
      <c r="S786" s="468" t="str">
        <f>IFERROR(VLOOKUP(B786,'03. THIẾT BỊ'!$B$1:$S$836,18,0),"")</f>
        <v/>
      </c>
      <c r="T786" s="1495"/>
    </row>
    <row r="787" ht="15.0" customHeight="1">
      <c r="A787" s="463">
        <f t="shared" si="39"/>
        <v>15</v>
      </c>
      <c r="B787" s="464" t="s">
        <v>5486</v>
      </c>
      <c r="C787" s="869" t="str">
        <f>IFERROR(VLOOKUP(B787,'03. THIẾT BỊ'!$B$1:$S$836,2,0),"")</f>
        <v/>
      </c>
      <c r="D787" s="470" t="str">
        <f>IFERROR(VLOOKUP(B787,'03. THIẾT BỊ'!$B$1:$S$836,3,0),"")</f>
        <v>A22-GHC-001</v>
      </c>
      <c r="E787" s="464" t="str">
        <f>IFERROR(VLOOKUP(B787,'03. THIẾT BỊ'!$B$1:$S$836,4,0),"")</f>
        <v>MUA MỚI</v>
      </c>
      <c r="F787" s="464" t="str">
        <f>IFERROR(VLOOKUP(B787,'03. THIẾT BỊ'!$B$1:$S$836,5,0),"")</f>
        <v>Thiết bị gieo hạt cỏ</v>
      </c>
      <c r="G787" s="80" t="s">
        <v>6423</v>
      </c>
      <c r="H787" s="463" t="str">
        <f>IFERROR(VLOOKUP(B787,'03. THIẾT BỊ'!$B$1:$S$836,7,0),"")</f>
        <v>XN Bò AD</v>
      </c>
      <c r="I787" s="474" t="str">
        <f>IFERROR(VLOOKUP(B787,'03. THIẾT BỊ'!$B$1:$S$836,8,0),"")</f>
        <v>15/08/2025</v>
      </c>
      <c r="J787" s="471"/>
      <c r="K787" s="463" t="str">
        <f>IFERROR(VLOOKUP(B787,'03. THIẾT BỊ'!$B$1:$S$836,10,0),"")</f>
        <v>Bình thường</v>
      </c>
      <c r="L787" s="468" t="str">
        <f>IFERROR(VLOOKUP(B787,'03. THIẾT BỊ'!$B$1:$S$836,11,0),"")</f>
        <v/>
      </c>
      <c r="M787" s="472" t="str">
        <f>IFERROR(VLOOKUP(B787,'03. THIẾT BỊ'!$B$1:$S$836,12,0),"")</f>
        <v>Đầu tư mới</v>
      </c>
      <c r="N787" s="468" t="str">
        <f>IFERROR(VLOOKUP(B787,'03. THIẾT BỊ'!$B$1:$S$836,13,0),"")</f>
        <v>VIRDI</v>
      </c>
      <c r="O787" s="470" t="str">
        <f>IFERROR(VLOOKUP(B787,'03. THIẾT BỊ'!$B$1:$S$836,14,0),"")</f>
        <v>GRASS MAESTRO</v>
      </c>
      <c r="P787" s="468" t="str">
        <f>IFERROR(VLOOKUP(B787,'03. THIẾT BỊ'!$B$1:$S$836,15,0),"")</f>
        <v>Ấn Độ</v>
      </c>
      <c r="Q787" s="48">
        <f>IFERROR(VLOOKUP(B787,'03. THIẾT BỊ'!$B$1:$S$836,16,0),"")</f>
        <v>2025</v>
      </c>
      <c r="R787" s="471" t="str">
        <f>IFERROR(VLOOKUP(B787,'03. THIẾT BỊ'!$B$1:$S$836,17,0),"")</f>
        <v>35HP</v>
      </c>
      <c r="S787" s="468" t="str">
        <f>IFERROR(VLOOKUP(B787,'03. THIẾT BỊ'!$B$1:$S$836,18,0),"")</f>
        <v>GM2502</v>
      </c>
      <c r="T787" s="1495"/>
    </row>
    <row r="788" ht="15.0" customHeight="1">
      <c r="A788" s="463">
        <f t="shared" si="39"/>
        <v>16</v>
      </c>
      <c r="B788" s="464" t="s">
        <v>5497</v>
      </c>
      <c r="C788" s="869" t="str">
        <f>IFERROR(VLOOKUP(B788,'03. THIẾT BỊ'!$B$1:$S$836,2,0),"")</f>
        <v/>
      </c>
      <c r="D788" s="470" t="str">
        <f>IFERROR(VLOOKUP(B788,'03. THIẾT BỊ'!$B$1:$S$836,3,0),"")</f>
        <v>A22-GHC-002</v>
      </c>
      <c r="E788" s="464" t="str">
        <f>IFERROR(VLOOKUP(B788,'03. THIẾT BỊ'!$B$1:$S$836,4,0),"")</f>
        <v>ĐQSD</v>
      </c>
      <c r="F788" s="464" t="str">
        <f>IFERROR(VLOOKUP(B788,'03. THIẾT BỊ'!$B$1:$S$836,5,0),"")</f>
        <v>Thiết bị gieo hạt cỏ</v>
      </c>
      <c r="G788" s="80" t="s">
        <v>6423</v>
      </c>
      <c r="H788" s="463" t="str">
        <f>IFERROR(VLOOKUP(B788,'03. THIẾT BỊ'!$B$1:$S$836,7,0),"")</f>
        <v>XN Bò AD</v>
      </c>
      <c r="I788" s="474" t="str">
        <f>IFERROR(VLOOKUP(B788,'03. THIẾT BỊ'!$B$1:$S$836,8,0),"")</f>
        <v>28/01/2026</v>
      </c>
      <c r="J788" s="471"/>
      <c r="K788" s="463" t="str">
        <f>IFERROR(VLOOKUP(B788,'03. THIẾT BỊ'!$B$1:$S$836,10,0),"")</f>
        <v>Bình thường</v>
      </c>
      <c r="L788" s="468" t="str">
        <f>IFERROR(VLOOKUP(B788,'03. THIẾT BỊ'!$B$1:$S$836,11,0),"")</f>
        <v/>
      </c>
      <c r="M788" s="472" t="str">
        <f>IFERROR(VLOOKUP(B788,'03. THIẾT BỊ'!$B$1:$S$836,12,0),"")</f>
        <v>ĐCHUYEN TỪ KLH SN</v>
      </c>
      <c r="N788" s="468" t="str">
        <f>IFERROR(VLOOKUP(B788,'03. THIẾT BỊ'!$B$1:$S$836,13,0),"")</f>
        <v>VIRDI</v>
      </c>
      <c r="O788" s="470" t="str">
        <f>IFERROR(VLOOKUP(B788,'03. THIẾT BỊ'!$B$1:$S$836,14,0),"")</f>
        <v>GRASS MAESTRO</v>
      </c>
      <c r="P788" s="468" t="str">
        <f>IFERROR(VLOOKUP(B788,'03. THIẾT BỊ'!$B$1:$S$836,15,0),"")</f>
        <v>ẤN ĐỘ</v>
      </c>
      <c r="Q788" s="48">
        <f>IFERROR(VLOOKUP(B788,'03. THIẾT BỊ'!$B$1:$S$836,16,0),"")</f>
        <v>2025</v>
      </c>
      <c r="R788" s="471" t="str">
        <f>IFERROR(VLOOKUP(B788,'03. THIẾT BỊ'!$B$1:$S$836,17,0),"")</f>
        <v>35Hp ~</v>
      </c>
      <c r="S788" s="468" t="str">
        <f>IFERROR(VLOOKUP(B788,'03. THIẾT BỊ'!$B$1:$S$836,18,0),"")</f>
        <v>GM2501</v>
      </c>
      <c r="T788" s="1495"/>
    </row>
    <row r="789" ht="15.0" customHeight="1">
      <c r="A789" s="463">
        <f t="shared" si="39"/>
        <v>17</v>
      </c>
      <c r="B789" s="464" t="s">
        <v>5117</v>
      </c>
      <c r="C789" s="869" t="str">
        <f>IFERROR(VLOOKUP(B789,'03. THIẾT BỊ'!$B$1:$S$836,2,0),"")</f>
        <v/>
      </c>
      <c r="D789" s="470" t="str">
        <f>IFERROR(VLOOKUP(B789,'03. THIẾT BỊ'!$B$1:$S$836,3,0),"")</f>
        <v>A22-SMR-001</v>
      </c>
      <c r="E789" s="464" t="str">
        <f>IFERROR(VLOOKUP(B789,'03. THIẾT BỊ'!$B$1:$S$836,4,0),"")</f>
        <v>MUA MỚI</v>
      </c>
      <c r="F789" s="464" t="str">
        <f>IFERROR(VLOOKUP(B789,'03. THIẾT BỊ'!$B$1:$S$836,5,0),"")</f>
        <v>SMRM vận chuyển 50M3</v>
      </c>
      <c r="G789" s="80" t="s">
        <v>6423</v>
      </c>
      <c r="H789" s="463" t="str">
        <f>IFERROR(VLOOKUP(B789,'03. THIẾT BỊ'!$B$1:$S$836,7,0),"")</f>
        <v>XN Bò AD</v>
      </c>
      <c r="I789" s="474" t="str">
        <f>IFERROR(VLOOKUP(B789,'03. THIẾT BỊ'!$B$1:$S$836,8,0),"")</f>
        <v>29/10/2024</v>
      </c>
      <c r="J789" s="471"/>
      <c r="K789" s="463" t="str">
        <f>IFERROR(VLOOKUP(B789,'03. THIẾT BỊ'!$B$1:$S$836,10,0),"")</f>
        <v>Bình thường</v>
      </c>
      <c r="L789" s="468" t="str">
        <f>IFERROR(VLOOKUP(B789,'03. THIẾT BỊ'!$B$1:$S$836,11,0),"")</f>
        <v/>
      </c>
      <c r="M789" s="472" t="str">
        <f>IFERROR(VLOOKUP(B789,'03. THIẾT BỊ'!$B$1:$S$836,12,0),"")</f>
        <v/>
      </c>
      <c r="N789" s="468" t="str">
        <f>IFERROR(VLOOKUP(B789,'03. THIẾT BỊ'!$B$1:$S$836,13,0),"")</f>
        <v>INDUSTRY</v>
      </c>
      <c r="O789" s="470" t="str">
        <f>IFERROR(VLOOKUP(B789,'03. THIẾT BỊ'!$B$1:$S$836,14,0),"")</f>
        <v>50m3</v>
      </c>
      <c r="P789" s="468" t="str">
        <f>IFERROR(VLOOKUP(B789,'03. THIẾT BỊ'!$B$1:$S$836,15,0),"")</f>
        <v>VIET NAM</v>
      </c>
      <c r="Q789" s="48">
        <f>IFERROR(VLOOKUP(B789,'03. THIẾT BỊ'!$B$1:$S$836,16,0),"")</f>
        <v>2017</v>
      </c>
      <c r="R789" s="471" t="str">
        <f>IFERROR(VLOOKUP(B789,'03. THIẾT BỊ'!$B$1:$S$836,17,0),"")</f>
        <v>50M3</v>
      </c>
      <c r="S789" s="468" t="str">
        <f>IFERROR(VLOOKUP(B789,'03. THIẾT BỊ'!$B$1:$S$836,18,0),"")</f>
        <v>RN0GA339BK004311</v>
      </c>
      <c r="T789" s="1495"/>
    </row>
    <row r="790" ht="15.0" customHeight="1">
      <c r="A790" s="463">
        <f t="shared" si="39"/>
        <v>18</v>
      </c>
      <c r="B790" s="464" t="s">
        <v>5125</v>
      </c>
      <c r="C790" s="869" t="str">
        <f>IFERROR(VLOOKUP(B790,'03. THIẾT BỊ'!$B$1:$S$836,2,0),"")</f>
        <v/>
      </c>
      <c r="D790" s="470" t="str">
        <f>IFERROR(VLOOKUP(B790,'03. THIẾT BỊ'!$B$1:$S$836,3,0),"")</f>
        <v>A22-MRT-002</v>
      </c>
      <c r="E790" s="464" t="str">
        <f>IFERROR(VLOOKUP(B790,'03. THIẾT BỊ'!$B$1:$S$836,4,0),"")</f>
        <v>MUA MỚI</v>
      </c>
      <c r="F790" s="464" t="str">
        <f>IFERROR(VLOOKUP(B790,'03. THIẾT BỊ'!$B$1:$S$836,5,0),"")</f>
        <v>SMRM rải thức ăn TMR 50M3</v>
      </c>
      <c r="G790" s="80" t="s">
        <v>6423</v>
      </c>
      <c r="H790" s="463" t="str">
        <f>IFERROR(VLOOKUP(B790,'03. THIẾT BỊ'!$B$1:$S$836,7,0),"")</f>
        <v>XN Bò AD</v>
      </c>
      <c r="I790" s="474">
        <f>IFERROR(VLOOKUP(B790,'03. THIẾT BỊ'!$B$1:$S$836,8,0),"")</f>
        <v>45692</v>
      </c>
      <c r="J790" s="471"/>
      <c r="K790" s="463" t="str">
        <f>IFERROR(VLOOKUP(B790,'03. THIẾT BỊ'!$B$1:$S$836,10,0),"")</f>
        <v>Bình thường</v>
      </c>
      <c r="L790" s="468" t="str">
        <f>IFERROR(VLOOKUP(B790,'03. THIẾT BỊ'!$B$1:$S$836,11,0),"")</f>
        <v/>
      </c>
      <c r="M790" s="472" t="str">
        <f>IFERROR(VLOOKUP(B790,'03. THIẾT BỊ'!$B$1:$S$836,12,0),"")</f>
        <v/>
      </c>
      <c r="N790" s="468" t="str">
        <f>IFERROR(VLOOKUP(B790,'03. THIẾT BỊ'!$B$1:$S$836,13,0),"")</f>
        <v>INDUSTRY</v>
      </c>
      <c r="O790" s="470" t="str">
        <f>IFERROR(VLOOKUP(B790,'03. THIẾT BỊ'!$B$1:$S$836,14,0),"")</f>
        <v>50m3</v>
      </c>
      <c r="P790" s="468" t="str">
        <f>IFERROR(VLOOKUP(B790,'03. THIẾT BỊ'!$B$1:$S$836,15,0),"")</f>
        <v>VIET NAM</v>
      </c>
      <c r="Q790" s="48">
        <f>IFERROR(VLOOKUP(B790,'03. THIẾT BỊ'!$B$1:$S$836,16,0),"")</f>
        <v>2025</v>
      </c>
      <c r="R790" s="471" t="str">
        <f>IFERROR(VLOOKUP(B790,'03. THIẾT BỊ'!$B$1:$S$836,17,0),"")</f>
        <v>50M3</v>
      </c>
      <c r="S790" s="468" t="str">
        <f>IFERROR(VLOOKUP(B790,'03. THIẾT BỊ'!$B$1:$S$836,18,0),"")</f>
        <v>RN0GA339BK1344231</v>
      </c>
      <c r="T790" s="1495"/>
    </row>
    <row r="791" ht="15.0" customHeight="1">
      <c r="A791" s="463">
        <f t="shared" si="39"/>
        <v>19</v>
      </c>
      <c r="B791" s="464" t="s">
        <v>5130</v>
      </c>
      <c r="C791" s="869" t="str">
        <f>IFERROR(VLOOKUP(B791,'03. THIẾT BỊ'!$B$1:$S$836,2,0),"")</f>
        <v/>
      </c>
      <c r="D791" s="470" t="str">
        <f>IFERROR(VLOOKUP(B791,'03. THIẾT BỊ'!$B$1:$S$836,3,0),"")</f>
        <v>A22-MRT-003</v>
      </c>
      <c r="E791" s="464" t="str">
        <f>IFERROR(VLOOKUP(B791,'03. THIẾT BỊ'!$B$1:$S$836,4,0),"")</f>
        <v>MUA MỚI</v>
      </c>
      <c r="F791" s="464" t="str">
        <f>IFERROR(VLOOKUP(B791,'03. THIẾT BỊ'!$B$1:$S$836,5,0),"")</f>
        <v>SMRM rải thức ăn TMR 50M3</v>
      </c>
      <c r="G791" s="80" t="s">
        <v>6423</v>
      </c>
      <c r="H791" s="463" t="str">
        <f>IFERROR(VLOOKUP(B791,'03. THIẾT BỊ'!$B$1:$S$836,7,0),"")</f>
        <v>XN Bò AD</v>
      </c>
      <c r="I791" s="474">
        <f>IFERROR(VLOOKUP(B791,'03. THIẾT BỊ'!$B$1:$S$836,8,0),"")</f>
        <v>45697</v>
      </c>
      <c r="J791" s="471"/>
      <c r="K791" s="463" t="str">
        <f>IFERROR(VLOOKUP(B791,'03. THIẾT BỊ'!$B$1:$S$836,10,0),"")</f>
        <v>Bình thường</v>
      </c>
      <c r="L791" s="468" t="str">
        <f>IFERROR(VLOOKUP(B791,'03. THIẾT BỊ'!$B$1:$S$836,11,0),"")</f>
        <v/>
      </c>
      <c r="M791" s="472" t="str">
        <f>IFERROR(VLOOKUP(B791,'03. THIẾT BỊ'!$B$1:$S$836,12,0),"")</f>
        <v/>
      </c>
      <c r="N791" s="468" t="str">
        <f>IFERROR(VLOOKUP(B791,'03. THIẾT BỊ'!$B$1:$S$836,13,0),"")</f>
        <v>INDUSTRY</v>
      </c>
      <c r="O791" s="470" t="str">
        <f>IFERROR(VLOOKUP(B791,'03. THIẾT BỊ'!$B$1:$S$836,14,0),"")</f>
        <v>50m3</v>
      </c>
      <c r="P791" s="468" t="str">
        <f>IFERROR(VLOOKUP(B791,'03. THIẾT BỊ'!$B$1:$S$836,15,0),"")</f>
        <v>VIET NAM</v>
      </c>
      <c r="Q791" s="48">
        <f>IFERROR(VLOOKUP(B791,'03. THIẾT BỊ'!$B$1:$S$836,16,0),"")</f>
        <v>2025</v>
      </c>
      <c r="R791" s="471" t="str">
        <f>IFERROR(VLOOKUP(B791,'03. THIẾT BỊ'!$B$1:$S$836,17,0),"")</f>
        <v>50M3</v>
      </c>
      <c r="S791" s="468" t="str">
        <f>IFERROR(VLOOKUP(B791,'03. THIẾT BỊ'!$B$1:$S$836,18,0),"")</f>
        <v>RMFLS232ASC001299</v>
      </c>
      <c r="T791" s="1495"/>
    </row>
    <row r="792" ht="15.0" customHeight="1">
      <c r="A792" s="463">
        <f t="shared" si="39"/>
        <v>20</v>
      </c>
      <c r="B792" s="464" t="s">
        <v>5133</v>
      </c>
      <c r="C792" s="869" t="str">
        <f>IFERROR(VLOOKUP(B792,'03. THIẾT BỊ'!$B$1:$S$836,2,0),"")</f>
        <v/>
      </c>
      <c r="D792" s="470" t="str">
        <f>IFERROR(VLOOKUP(B792,'03. THIẾT BỊ'!$B$1:$S$836,3,0),"")</f>
        <v>A22-MRT-004</v>
      </c>
      <c r="E792" s="464" t="str">
        <f>IFERROR(VLOOKUP(B792,'03. THIẾT BỊ'!$B$1:$S$836,4,0),"")</f>
        <v>MUA MỚI</v>
      </c>
      <c r="F792" s="464" t="str">
        <f>IFERROR(VLOOKUP(B792,'03. THIẾT BỊ'!$B$1:$S$836,5,0),"")</f>
        <v>SMRM rải thức ăn TMR 50M3</v>
      </c>
      <c r="G792" s="80" t="s">
        <v>6423</v>
      </c>
      <c r="H792" s="463" t="str">
        <f>IFERROR(VLOOKUP(B792,'03. THIẾT BỊ'!$B$1:$S$836,7,0),"")</f>
        <v>XN Bò AD</v>
      </c>
      <c r="I792" s="474">
        <f>IFERROR(VLOOKUP(B792,'03. THIẾT BỊ'!$B$1:$S$836,8,0),"")</f>
        <v>45879</v>
      </c>
      <c r="J792" s="471"/>
      <c r="K792" s="463" t="str">
        <f>IFERROR(VLOOKUP(B792,'03. THIẾT BỊ'!$B$1:$S$836,10,0),"")</f>
        <v>Bình thường</v>
      </c>
      <c r="L792" s="468" t="str">
        <f>IFERROR(VLOOKUP(B792,'03. THIẾT BỊ'!$B$1:$S$836,11,0),"")</f>
        <v/>
      </c>
      <c r="M792" s="472" t="str">
        <f>IFERROR(VLOOKUP(B792,'03. THIẾT BỊ'!$B$1:$S$836,12,0),"")</f>
        <v/>
      </c>
      <c r="N792" s="468" t="str">
        <f>IFERROR(VLOOKUP(B792,'03. THIẾT BỊ'!$B$1:$S$836,13,0),"")</f>
        <v>INDUSTRY</v>
      </c>
      <c r="O792" s="470" t="str">
        <f>IFERROR(VLOOKUP(B792,'03. THIẾT BỊ'!$B$1:$S$836,14,0),"")</f>
        <v>50m3</v>
      </c>
      <c r="P792" s="468" t="str">
        <f>IFERROR(VLOOKUP(B792,'03. THIẾT BỊ'!$B$1:$S$836,15,0),"")</f>
        <v>VIET NAM</v>
      </c>
      <c r="Q792" s="48">
        <f>IFERROR(VLOOKUP(B792,'03. THIẾT BỊ'!$B$1:$S$836,16,0),"")</f>
        <v>2025</v>
      </c>
      <c r="R792" s="471" t="str">
        <f>IFERROR(VLOOKUP(B792,'03. THIẾT BỊ'!$B$1:$S$836,17,0),"")</f>
        <v>50M3</v>
      </c>
      <c r="S792" s="468" t="str">
        <f>IFERROR(VLOOKUP(B792,'03. THIẾT BỊ'!$B$1:$S$836,18,0),"")</f>
        <v>RMFLS232ASC001303</v>
      </c>
      <c r="T792" s="1495"/>
    </row>
    <row r="793" ht="15.0" customHeight="1">
      <c r="A793" s="463">
        <f t="shared" si="39"/>
        <v>21</v>
      </c>
      <c r="B793" s="464" t="s">
        <v>5136</v>
      </c>
      <c r="C793" s="869" t="str">
        <f>IFERROR(VLOOKUP(B793,'03. THIẾT BỊ'!$B$1:$S$836,2,0),"")</f>
        <v/>
      </c>
      <c r="D793" s="470" t="str">
        <f>IFERROR(VLOOKUP(B793,'03. THIẾT BỊ'!$B$1:$S$836,3,0),"")</f>
        <v>A22-MRT-005</v>
      </c>
      <c r="E793" s="464" t="str">
        <f>IFERROR(VLOOKUP(B793,'03. THIẾT BỊ'!$B$1:$S$836,4,0),"")</f>
        <v>MUA MỚI</v>
      </c>
      <c r="F793" s="464" t="str">
        <f>IFERROR(VLOOKUP(B793,'03. THIẾT BỊ'!$B$1:$S$836,5,0),"")</f>
        <v>SMRM rải thức ăn TMR 50M3</v>
      </c>
      <c r="G793" s="80" t="s">
        <v>6423</v>
      </c>
      <c r="H793" s="463" t="str">
        <f>IFERROR(VLOOKUP(B793,'03. THIẾT BỊ'!$B$1:$S$836,7,0),"")</f>
        <v>XN Bò AD</v>
      </c>
      <c r="I793" s="474">
        <f>IFERROR(VLOOKUP(B793,'03. THIẾT BỊ'!$B$1:$S$836,8,0),"")</f>
        <v>45879</v>
      </c>
      <c r="J793" s="471"/>
      <c r="K793" s="463" t="str">
        <f>IFERROR(VLOOKUP(B793,'03. THIẾT BỊ'!$B$1:$S$836,10,0),"")</f>
        <v>Bình thường</v>
      </c>
      <c r="L793" s="468" t="str">
        <f>IFERROR(VLOOKUP(B793,'03. THIẾT BỊ'!$B$1:$S$836,11,0),"")</f>
        <v/>
      </c>
      <c r="M793" s="472" t="str">
        <f>IFERROR(VLOOKUP(B793,'03. THIẾT BỊ'!$B$1:$S$836,12,0),"")</f>
        <v/>
      </c>
      <c r="N793" s="468" t="str">
        <f>IFERROR(VLOOKUP(B793,'03. THIẾT BỊ'!$B$1:$S$836,13,0),"")</f>
        <v>INDUSTRY</v>
      </c>
      <c r="O793" s="470" t="str">
        <f>IFERROR(VLOOKUP(B793,'03. THIẾT BỊ'!$B$1:$S$836,14,0),"")</f>
        <v>50m3</v>
      </c>
      <c r="P793" s="468" t="str">
        <f>IFERROR(VLOOKUP(B793,'03. THIẾT BỊ'!$B$1:$S$836,15,0),"")</f>
        <v>VIET NAM</v>
      </c>
      <c r="Q793" s="48">
        <f>IFERROR(VLOOKUP(B793,'03. THIẾT BỊ'!$B$1:$S$836,16,0),"")</f>
        <v>2025</v>
      </c>
      <c r="R793" s="471" t="str">
        <f>IFERROR(VLOOKUP(B793,'03. THIẾT BỊ'!$B$1:$S$836,17,0),"")</f>
        <v>50M3</v>
      </c>
      <c r="S793" s="468" t="str">
        <f>IFERROR(VLOOKUP(B793,'03. THIẾT BỊ'!$B$1:$S$836,18,0),"")</f>
        <v>RMFLS232ASC001304</v>
      </c>
      <c r="T793" s="1495"/>
    </row>
    <row r="794" ht="15.0" customHeight="1">
      <c r="A794" s="463">
        <f t="shared" si="39"/>
        <v>22</v>
      </c>
      <c r="B794" s="464" t="s">
        <v>5139</v>
      </c>
      <c r="C794" s="869" t="str">
        <f>IFERROR(VLOOKUP(B794,'03. THIẾT BỊ'!$B$1:$S$836,2,0),"")</f>
        <v/>
      </c>
      <c r="D794" s="470" t="str">
        <f>IFERROR(VLOOKUP(B794,'03. THIẾT BỊ'!$B$1:$S$836,3,0),"")</f>
        <v>A22-MRT-006</v>
      </c>
      <c r="E794" s="464" t="str">
        <f>IFERROR(VLOOKUP(B794,'03. THIẾT BỊ'!$B$1:$S$836,4,0),"")</f>
        <v>MUA MỚI</v>
      </c>
      <c r="F794" s="464" t="str">
        <f>IFERROR(VLOOKUP(B794,'03. THIẾT BỊ'!$B$1:$S$836,5,0),"")</f>
        <v>SMRM rải thức ăn TMR 50M3</v>
      </c>
      <c r="G794" s="80" t="s">
        <v>6423</v>
      </c>
      <c r="H794" s="463" t="str">
        <f>IFERROR(VLOOKUP(B794,'03. THIẾT BỊ'!$B$1:$S$836,7,0),"")</f>
        <v>XN Bò AD</v>
      </c>
      <c r="I794" s="474" t="str">
        <f>IFERROR(VLOOKUP(B794,'03. THIẾT BỊ'!$B$1:$S$836,8,0),"")</f>
        <v>31/10/2025</v>
      </c>
      <c r="J794" s="471"/>
      <c r="K794" s="463" t="str">
        <f>IFERROR(VLOOKUP(B794,'03. THIẾT BỊ'!$B$1:$S$836,10,0),"")</f>
        <v>Bình thường</v>
      </c>
      <c r="L794" s="468" t="str">
        <f>IFERROR(VLOOKUP(B794,'03. THIẾT BỊ'!$B$1:$S$836,11,0),"")</f>
        <v/>
      </c>
      <c r="M794" s="472" t="str">
        <f>IFERROR(VLOOKUP(B794,'03. THIẾT BỊ'!$B$1:$S$836,12,0),"")</f>
        <v/>
      </c>
      <c r="N794" s="468" t="str">
        <f>IFERROR(VLOOKUP(B794,'03. THIẾT BỊ'!$B$1:$S$836,13,0),"")</f>
        <v>INDUSTRY</v>
      </c>
      <c r="O794" s="470" t="str">
        <f>IFERROR(VLOOKUP(B794,'03. THIẾT BỊ'!$B$1:$S$836,14,0),"")</f>
        <v>50m3</v>
      </c>
      <c r="P794" s="468" t="str">
        <f>IFERROR(VLOOKUP(B794,'03. THIẾT BỊ'!$B$1:$S$836,15,0),"")</f>
        <v>VIET NAM</v>
      </c>
      <c r="Q794" s="48">
        <f>IFERROR(VLOOKUP(B794,'03. THIẾT BỊ'!$B$1:$S$836,16,0),"")</f>
        <v>2025</v>
      </c>
      <c r="R794" s="471" t="str">
        <f>IFERROR(VLOOKUP(B794,'03. THIẾT BỊ'!$B$1:$S$836,17,0),"")</f>
        <v>50M3</v>
      </c>
      <c r="S794" s="468" t="str">
        <f>IFERROR(VLOOKUP(B794,'03. THIẾT BỊ'!$B$1:$S$836,18,0),"")</f>
        <v>RMFLS232ASC001305</v>
      </c>
      <c r="T794" s="1495"/>
    </row>
    <row r="795" ht="15.0" customHeight="1">
      <c r="A795" s="463">
        <f t="shared" si="39"/>
        <v>23</v>
      </c>
      <c r="B795" s="464" t="s">
        <v>5142</v>
      </c>
      <c r="C795" s="869" t="str">
        <f>IFERROR(VLOOKUP(B795,'03. THIẾT BỊ'!$B$1:$S$836,2,0),"")</f>
        <v/>
      </c>
      <c r="D795" s="470" t="str">
        <f>IFERROR(VLOOKUP(B795,'03. THIẾT BỊ'!$B$1:$S$836,3,0),"")</f>
        <v>A22-MRT-007</v>
      </c>
      <c r="E795" s="464" t="str">
        <f>IFERROR(VLOOKUP(B795,'03. THIẾT BỊ'!$B$1:$S$836,4,0),"")</f>
        <v>MUA MỚI</v>
      </c>
      <c r="F795" s="464" t="str">
        <f>IFERROR(VLOOKUP(B795,'03. THIẾT BỊ'!$B$1:$S$836,5,0),"")</f>
        <v>SMRM rải thức ăn TMR 50M3</v>
      </c>
      <c r="G795" s="80" t="s">
        <v>6423</v>
      </c>
      <c r="H795" s="463" t="str">
        <f>IFERROR(VLOOKUP(B795,'03. THIẾT BỊ'!$B$1:$S$836,7,0),"")</f>
        <v>XN Bò AD</v>
      </c>
      <c r="I795" s="474" t="str">
        <f>IFERROR(VLOOKUP(B795,'03. THIẾT BỊ'!$B$1:$S$836,8,0),"")</f>
        <v>31/10/2025</v>
      </c>
      <c r="J795" s="471"/>
      <c r="K795" s="463" t="str">
        <f>IFERROR(VLOOKUP(B795,'03. THIẾT BỊ'!$B$1:$S$836,10,0),"")</f>
        <v>Bình thường</v>
      </c>
      <c r="L795" s="468" t="str">
        <f>IFERROR(VLOOKUP(B795,'03. THIẾT BỊ'!$B$1:$S$836,11,0),"")</f>
        <v/>
      </c>
      <c r="M795" s="472" t="str">
        <f>IFERROR(VLOOKUP(B795,'03. THIẾT BỊ'!$B$1:$S$836,12,0),"")</f>
        <v/>
      </c>
      <c r="N795" s="468" t="str">
        <f>IFERROR(VLOOKUP(B795,'03. THIẾT BỊ'!$B$1:$S$836,13,0),"")</f>
        <v>INDUSTRY</v>
      </c>
      <c r="O795" s="470" t="str">
        <f>IFERROR(VLOOKUP(B795,'03. THIẾT BỊ'!$B$1:$S$836,14,0),"")</f>
        <v>50m3</v>
      </c>
      <c r="P795" s="468" t="str">
        <f>IFERROR(VLOOKUP(B795,'03. THIẾT BỊ'!$B$1:$S$836,15,0),"")</f>
        <v>VIET NAM</v>
      </c>
      <c r="Q795" s="48">
        <f>IFERROR(VLOOKUP(B795,'03. THIẾT BỊ'!$B$1:$S$836,16,0),"")</f>
        <v>2025</v>
      </c>
      <c r="R795" s="471" t="str">
        <f>IFERROR(VLOOKUP(B795,'03. THIẾT BỊ'!$B$1:$S$836,17,0),"")</f>
        <v>50M3</v>
      </c>
      <c r="S795" s="468" t="str">
        <f>IFERROR(VLOOKUP(B795,'03. THIẾT BỊ'!$B$1:$S$836,18,0),"")</f>
        <v>RMFLS232ASC001306</v>
      </c>
      <c r="T795" s="1495"/>
    </row>
    <row r="796" ht="15.0" customHeight="1">
      <c r="A796" s="463">
        <f t="shared" si="39"/>
        <v>24</v>
      </c>
      <c r="B796" s="464" t="s">
        <v>5151</v>
      </c>
      <c r="C796" s="869" t="str">
        <f>IFERROR(VLOOKUP(B796,'03. THIẾT BỊ'!$B$1:$S$836,2,0),"")</f>
        <v/>
      </c>
      <c r="D796" s="470" t="str">
        <f>IFERROR(VLOOKUP(B796,'03. THIẾT BỊ'!$B$1:$S$836,3,0),"")</f>
        <v>A22-TPC-001</v>
      </c>
      <c r="E796" s="464" t="str">
        <f>IFERROR(VLOOKUP(B796,'03. THIẾT BỊ'!$B$1:$S$836,4,0),"")</f>
        <v>MUA MỚI</v>
      </c>
      <c r="F796" s="464" t="str">
        <f>IFERROR(VLOOKUP(B796,'03. THIẾT BỊ'!$B$1:$S$836,5,0),"")</f>
        <v>SMRM trung chuyển phân - CĐC 18/23M3</v>
      </c>
      <c r="G796" s="80" t="s">
        <v>6423</v>
      </c>
      <c r="H796" s="463" t="str">
        <f>IFERROR(VLOOKUP(B796,'03. THIẾT BỊ'!$B$1:$S$836,7,0),"")</f>
        <v>XN Bò AD</v>
      </c>
      <c r="I796" s="474">
        <f>IFERROR(VLOOKUP(B796,'03. THIẾT BỊ'!$B$1:$S$836,8,0),"")</f>
        <v>45727</v>
      </c>
      <c r="J796" s="471"/>
      <c r="K796" s="463" t="str">
        <f>IFERROR(VLOOKUP(B796,'03. THIẾT BỊ'!$B$1:$S$836,10,0),"")</f>
        <v>Bình thường</v>
      </c>
      <c r="L796" s="468" t="str">
        <f>IFERROR(VLOOKUP(B796,'03. THIẾT BỊ'!$B$1:$S$836,11,0),"")</f>
        <v/>
      </c>
      <c r="M796" s="472" t="str">
        <f>IFERROR(VLOOKUP(B796,'03. THIẾT BỊ'!$B$1:$S$836,12,0),"")</f>
        <v/>
      </c>
      <c r="N796" s="468" t="str">
        <f>IFERROR(VLOOKUP(B796,'03. THIẾT BỊ'!$B$1:$S$836,13,0),"")</f>
        <v>INDUSTRY</v>
      </c>
      <c r="O796" s="470" t="str">
        <f>IFERROR(VLOOKUP(B796,'03. THIẾT BỊ'!$B$1:$S$836,14,0),"")</f>
        <v>18/23M3</v>
      </c>
      <c r="P796" s="468" t="str">
        <f>IFERROR(VLOOKUP(B796,'03. THIẾT BỊ'!$B$1:$S$836,15,0),"")</f>
        <v>VIET NAM</v>
      </c>
      <c r="Q796" s="48">
        <f>IFERROR(VLOOKUP(B796,'03. THIẾT BỊ'!$B$1:$S$836,16,0),"")</f>
        <v>2025</v>
      </c>
      <c r="R796" s="471" t="str">
        <f>IFERROR(VLOOKUP(B796,'03. THIẾT BỊ'!$B$1:$S$836,17,0),"")</f>
        <v>18/23M3</v>
      </c>
      <c r="S796" s="468">
        <f>IFERROR(VLOOKUP(B796,'03. THIẾT BỊ'!$B$1:$S$836,18,0),"")</f>
        <v>202410001</v>
      </c>
      <c r="T796" s="1495"/>
    </row>
    <row r="797" ht="15.0" customHeight="1">
      <c r="A797" s="463">
        <f t="shared" si="39"/>
        <v>25</v>
      </c>
      <c r="B797" s="464" t="s">
        <v>5155</v>
      </c>
      <c r="C797" s="869" t="str">
        <f>IFERROR(VLOOKUP(B797,'03. THIẾT BỊ'!$B$1:$S$836,2,0),"")</f>
        <v/>
      </c>
      <c r="D797" s="470" t="str">
        <f>IFERROR(VLOOKUP(B797,'03. THIẾT BỊ'!$B$1:$S$836,3,0),"")</f>
        <v>A22-TPC-002</v>
      </c>
      <c r="E797" s="464" t="str">
        <f>IFERROR(VLOOKUP(B797,'03. THIẾT BỊ'!$B$1:$S$836,4,0),"")</f>
        <v>MUA MỚI</v>
      </c>
      <c r="F797" s="464" t="str">
        <f>IFERROR(VLOOKUP(B797,'03. THIẾT BỊ'!$B$1:$S$836,5,0),"")</f>
        <v>SMRM trung chuyển phân - CĐC 45M3</v>
      </c>
      <c r="G797" s="80" t="s">
        <v>6423</v>
      </c>
      <c r="H797" s="463" t="str">
        <f>IFERROR(VLOOKUP(B797,'03. THIẾT BỊ'!$B$1:$S$836,7,0),"")</f>
        <v>XN Bò AD</v>
      </c>
      <c r="I797" s="474" t="str">
        <f>IFERROR(VLOOKUP(B797,'03. THIẾT BỊ'!$B$1:$S$836,8,0),"")</f>
        <v>23/12/2025</v>
      </c>
      <c r="J797" s="471"/>
      <c r="K797" s="463" t="str">
        <f>IFERROR(VLOOKUP(B797,'03. THIẾT BỊ'!$B$1:$S$836,10,0),"")</f>
        <v>Bình thường</v>
      </c>
      <c r="L797" s="468" t="str">
        <f>IFERROR(VLOOKUP(B797,'03. THIẾT BỊ'!$B$1:$S$836,11,0),"")</f>
        <v/>
      </c>
      <c r="M797" s="472" t="str">
        <f>IFERROR(VLOOKUP(B797,'03. THIẾT BỊ'!$B$1:$S$836,12,0),"")</f>
        <v/>
      </c>
      <c r="N797" s="468" t="str">
        <f>IFERROR(VLOOKUP(B797,'03. THIẾT BỊ'!$B$1:$S$836,13,0),"")</f>
        <v>INDUSTRY</v>
      </c>
      <c r="O797" s="470" t="str">
        <f>IFERROR(VLOOKUP(B797,'03. THIẾT BỊ'!$B$1:$S$836,14,0),"")</f>
        <v>45M3</v>
      </c>
      <c r="P797" s="468" t="str">
        <f>IFERROR(VLOOKUP(B797,'03. THIẾT BỊ'!$B$1:$S$836,15,0),"")</f>
        <v>VIET NAM</v>
      </c>
      <c r="Q797" s="48">
        <f>IFERROR(VLOOKUP(B797,'03. THIẾT BỊ'!$B$1:$S$836,16,0),"")</f>
        <v>2025</v>
      </c>
      <c r="R797" s="471" t="str">
        <f>IFERROR(VLOOKUP(B797,'03. THIẾT BỊ'!$B$1:$S$836,17,0),"")</f>
        <v>45M3</v>
      </c>
      <c r="S797" s="468" t="str">
        <f>IFERROR(VLOOKUP(B797,'03. THIẾT BỊ'!$B$1:$S$836,18,0),"")</f>
        <v>RMFNU241ASC001750</v>
      </c>
      <c r="T797" s="1495"/>
    </row>
    <row r="798" ht="15.0" customHeight="1">
      <c r="A798" s="463">
        <f t="shared" si="39"/>
        <v>26</v>
      </c>
      <c r="B798" s="464" t="s">
        <v>5160</v>
      </c>
      <c r="C798" s="869" t="str">
        <f>IFERROR(VLOOKUP(B798,'03. THIẾT BỊ'!$B$1:$S$836,2,0),"")</f>
        <v/>
      </c>
      <c r="D798" s="470" t="str">
        <f>IFERROR(VLOOKUP(B798,'03. THIẾT BỊ'!$B$1:$S$836,3,0),"")</f>
        <v>A22-TPC-003</v>
      </c>
      <c r="E798" s="464" t="str">
        <f>IFERROR(VLOOKUP(B798,'03. THIẾT BỊ'!$B$1:$S$836,4,0),"")</f>
        <v>MUA MỚI</v>
      </c>
      <c r="F798" s="464" t="str">
        <f>IFERROR(VLOOKUP(B798,'03. THIẾT BỊ'!$B$1:$S$836,5,0),"")</f>
        <v>SMRM trung chuyển phân - CĐC 45M3</v>
      </c>
      <c r="G798" s="80" t="s">
        <v>6423</v>
      </c>
      <c r="H798" s="463" t="str">
        <f>IFERROR(VLOOKUP(B798,'03. THIẾT BỊ'!$B$1:$S$836,7,0),"")</f>
        <v>XN Bò AD</v>
      </c>
      <c r="I798" s="474">
        <f>IFERROR(VLOOKUP(B798,'03. THIẾT BỊ'!$B$1:$S$836,8,0),"")</f>
        <v>46176</v>
      </c>
      <c r="J798" s="471"/>
      <c r="K798" s="463" t="str">
        <f>IFERROR(VLOOKUP(B798,'03. THIẾT BỊ'!$B$1:$S$836,10,0),"")</f>
        <v>Bình thường</v>
      </c>
      <c r="L798" s="468" t="str">
        <f>IFERROR(VLOOKUP(B798,'03. THIẾT BỊ'!$B$1:$S$836,11,0),"")</f>
        <v/>
      </c>
      <c r="M798" s="472" t="str">
        <f>IFERROR(VLOOKUP(B798,'03. THIẾT BỊ'!$B$1:$S$836,12,0),"")</f>
        <v/>
      </c>
      <c r="N798" s="468" t="str">
        <f>IFERROR(VLOOKUP(B798,'03. THIẾT BỊ'!$B$1:$S$836,13,0),"")</f>
        <v>INDUSTRY</v>
      </c>
      <c r="O798" s="470" t="str">
        <f>IFERROR(VLOOKUP(B798,'03. THIẾT BỊ'!$B$1:$S$836,14,0),"")</f>
        <v>45M3</v>
      </c>
      <c r="P798" s="468" t="str">
        <f>IFERROR(VLOOKUP(B798,'03. THIẾT BỊ'!$B$1:$S$836,15,0),"")</f>
        <v>VIET NAM</v>
      </c>
      <c r="Q798" s="48">
        <f>IFERROR(VLOOKUP(B798,'03. THIẾT BỊ'!$B$1:$S$836,16,0),"")</f>
        <v>2025</v>
      </c>
      <c r="R798" s="471" t="str">
        <f>IFERROR(VLOOKUP(B798,'03. THIẾT BỊ'!$B$1:$S$836,17,0),"")</f>
        <v>45M3</v>
      </c>
      <c r="S798" s="468" t="str">
        <f>IFERROR(VLOOKUP(B798,'03. THIẾT BỊ'!$B$1:$S$836,18,0),"")</f>
        <v>RNONU241ASC002592</v>
      </c>
      <c r="T798" s="1495"/>
    </row>
    <row r="799" ht="15.0" customHeight="1">
      <c r="A799" s="463">
        <f t="shared" si="39"/>
        <v>27</v>
      </c>
      <c r="B799" s="464" t="s">
        <v>5163</v>
      </c>
      <c r="C799" s="869" t="str">
        <f>IFERROR(VLOOKUP(B799,'03. THIẾT BỊ'!$B$1:$S$836,2,0),"")</f>
        <v/>
      </c>
      <c r="D799" s="470" t="str">
        <f>IFERROR(VLOOKUP(B799,'03. THIẾT BỊ'!$B$1:$S$836,3,0),"")</f>
        <v>A22-TPC-004</v>
      </c>
      <c r="E799" s="464" t="str">
        <f>IFERROR(VLOOKUP(B799,'03. THIẾT BỊ'!$B$1:$S$836,4,0),"")</f>
        <v>MUA MỚI</v>
      </c>
      <c r="F799" s="464" t="str">
        <f>IFERROR(VLOOKUP(B799,'03. THIẾT BỊ'!$B$1:$S$836,5,0),"")</f>
        <v>SMRM trung chuyển phân - CĐC 45M3</v>
      </c>
      <c r="G799" s="80" t="s">
        <v>6423</v>
      </c>
      <c r="H799" s="463" t="str">
        <f>IFERROR(VLOOKUP(B799,'03. THIẾT BỊ'!$B$1:$S$836,7,0),"")</f>
        <v>XN Bò AD</v>
      </c>
      <c r="I799" s="474">
        <f>IFERROR(VLOOKUP(B799,'03. THIẾT BỊ'!$B$1:$S$836,8,0),"")</f>
        <v>46176</v>
      </c>
      <c r="J799" s="471"/>
      <c r="K799" s="463" t="str">
        <f>IFERROR(VLOOKUP(B799,'03. THIẾT BỊ'!$B$1:$S$836,10,0),"")</f>
        <v>Bình thường</v>
      </c>
      <c r="L799" s="468" t="str">
        <f>IFERROR(VLOOKUP(B799,'03. THIẾT BỊ'!$B$1:$S$836,11,0),"")</f>
        <v/>
      </c>
      <c r="M799" s="472" t="str">
        <f>IFERROR(VLOOKUP(B799,'03. THIẾT BỊ'!$B$1:$S$836,12,0),"")</f>
        <v/>
      </c>
      <c r="N799" s="468" t="str">
        <f>IFERROR(VLOOKUP(B799,'03. THIẾT BỊ'!$B$1:$S$836,13,0),"")</f>
        <v>INDUSTRY</v>
      </c>
      <c r="O799" s="470" t="str">
        <f>IFERROR(VLOOKUP(B799,'03. THIẾT BỊ'!$B$1:$S$836,14,0),"")</f>
        <v>45M3</v>
      </c>
      <c r="P799" s="468" t="str">
        <f>IFERROR(VLOOKUP(B799,'03. THIẾT BỊ'!$B$1:$S$836,15,0),"")</f>
        <v>VIET NAM</v>
      </c>
      <c r="Q799" s="48">
        <f>IFERROR(VLOOKUP(B799,'03. THIẾT BỊ'!$B$1:$S$836,16,0),"")</f>
        <v>2025</v>
      </c>
      <c r="R799" s="471" t="str">
        <f>IFERROR(VLOOKUP(B799,'03. THIẾT BỊ'!$B$1:$S$836,17,0),"")</f>
        <v>45M3</v>
      </c>
      <c r="S799" s="468" t="str">
        <f>IFERROR(VLOOKUP(B799,'03. THIẾT BỊ'!$B$1:$S$836,18,0),"")</f>
        <v>RNONU241ASC002593</v>
      </c>
      <c r="T799" s="1495"/>
    </row>
    <row r="800" ht="15.0" customHeight="1">
      <c r="A800" s="463">
        <f t="shared" si="39"/>
        <v>28</v>
      </c>
      <c r="B800" s="464" t="s">
        <v>5166</v>
      </c>
      <c r="C800" s="869" t="str">
        <f>IFERROR(VLOOKUP(B800,'03. THIẾT BỊ'!$B$1:$S$836,2,0),"")</f>
        <v/>
      </c>
      <c r="D800" s="470" t="str">
        <f>IFERROR(VLOOKUP(B800,'03. THIẾT BỊ'!$B$1:$S$836,3,0),"")</f>
        <v>A22-TPC-005</v>
      </c>
      <c r="E800" s="464" t="str">
        <f>IFERROR(VLOOKUP(B800,'03. THIẾT BỊ'!$B$1:$S$836,4,0),"")</f>
        <v>MUA MỚI</v>
      </c>
      <c r="F800" s="464" t="str">
        <f>IFERROR(VLOOKUP(B800,'03. THIẾT BỊ'!$B$1:$S$836,5,0),"")</f>
        <v>SMRM trung chuyển phân - CĐC 45M3</v>
      </c>
      <c r="G800" s="80" t="s">
        <v>6423</v>
      </c>
      <c r="H800" s="463" t="str">
        <f>IFERROR(VLOOKUP(B800,'03. THIẾT BỊ'!$B$1:$S$836,7,0),"")</f>
        <v>XN Bò AD</v>
      </c>
      <c r="I800" s="474">
        <f>IFERROR(VLOOKUP(B800,'03. THIẾT BỊ'!$B$1:$S$836,8,0),"")</f>
        <v>46267</v>
      </c>
      <c r="J800" s="471"/>
      <c r="K800" s="463" t="str">
        <f>IFERROR(VLOOKUP(B800,'03. THIẾT BỊ'!$B$1:$S$836,10,0),"")</f>
        <v>Bình thường</v>
      </c>
      <c r="L800" s="468" t="str">
        <f>IFERROR(VLOOKUP(B800,'03. THIẾT BỊ'!$B$1:$S$836,11,0),"")</f>
        <v/>
      </c>
      <c r="M800" s="472" t="str">
        <f>IFERROR(VLOOKUP(B800,'03. THIẾT BỊ'!$B$1:$S$836,12,0),"")</f>
        <v/>
      </c>
      <c r="N800" s="468" t="str">
        <f>IFERROR(VLOOKUP(B800,'03. THIẾT BỊ'!$B$1:$S$836,13,0),"")</f>
        <v>INDUSTRY</v>
      </c>
      <c r="O800" s="470" t="str">
        <f>IFERROR(VLOOKUP(B800,'03. THIẾT BỊ'!$B$1:$S$836,14,0),"")</f>
        <v>45M3</v>
      </c>
      <c r="P800" s="468" t="str">
        <f>IFERROR(VLOOKUP(B800,'03. THIẾT BỊ'!$B$1:$S$836,15,0),"")</f>
        <v>VIET NAM</v>
      </c>
      <c r="Q800" s="48">
        <f>IFERROR(VLOOKUP(B800,'03. THIẾT BỊ'!$B$1:$S$836,16,0),"")</f>
        <v>2025</v>
      </c>
      <c r="R800" s="471" t="str">
        <f>IFERROR(VLOOKUP(B800,'03. THIẾT BỊ'!$B$1:$S$836,17,0),"")</f>
        <v>45M3</v>
      </c>
      <c r="S800" s="468" t="str">
        <f>IFERROR(VLOOKUP(B800,'03. THIẾT BỊ'!$B$1:$S$836,18,0),"")</f>
        <v>RNONU241ASC002594</v>
      </c>
      <c r="T800" s="1495"/>
    </row>
    <row r="801" ht="15.0" customHeight="1">
      <c r="A801" s="463">
        <f t="shared" si="39"/>
        <v>29</v>
      </c>
      <c r="B801" s="464" t="s">
        <v>5169</v>
      </c>
      <c r="C801" s="869" t="str">
        <f>IFERROR(VLOOKUP(B801,'03. THIẾT BỊ'!$B$1:$S$836,2,0),"")</f>
        <v/>
      </c>
      <c r="D801" s="470" t="str">
        <f>IFERROR(VLOOKUP(B801,'03. THIẾT BỊ'!$B$1:$S$836,3,0),"")</f>
        <v>A22-TPC-006</v>
      </c>
      <c r="E801" s="464" t="str">
        <f>IFERROR(VLOOKUP(B801,'03. THIẾT BỊ'!$B$1:$S$836,4,0),"")</f>
        <v>MUA MỚI</v>
      </c>
      <c r="F801" s="464" t="str">
        <f>IFERROR(VLOOKUP(B801,'03. THIẾT BỊ'!$B$1:$S$836,5,0),"")</f>
        <v>SMRM trung chuyển phân - CĐC 45M3</v>
      </c>
      <c r="G801" s="80" t="s">
        <v>6423</v>
      </c>
      <c r="H801" s="463" t="str">
        <f>IFERROR(VLOOKUP(B801,'03. THIẾT BỊ'!$B$1:$S$836,7,0),"")</f>
        <v>XN Bò AD</v>
      </c>
      <c r="I801" s="474">
        <f>IFERROR(VLOOKUP(B801,'03. THIẾT BỊ'!$B$1:$S$836,8,0),"")</f>
        <v>46176</v>
      </c>
      <c r="J801" s="471"/>
      <c r="K801" s="463" t="str">
        <f>IFERROR(VLOOKUP(B801,'03. THIẾT BỊ'!$B$1:$S$836,10,0),"")</f>
        <v>Bình thường</v>
      </c>
      <c r="L801" s="468" t="str">
        <f>IFERROR(VLOOKUP(B801,'03. THIẾT BỊ'!$B$1:$S$836,11,0),"")</f>
        <v/>
      </c>
      <c r="M801" s="472" t="str">
        <f>IFERROR(VLOOKUP(B801,'03. THIẾT BỊ'!$B$1:$S$836,12,0),"")</f>
        <v/>
      </c>
      <c r="N801" s="468" t="str">
        <f>IFERROR(VLOOKUP(B801,'03. THIẾT BỊ'!$B$1:$S$836,13,0),"")</f>
        <v>INDUSTRY</v>
      </c>
      <c r="O801" s="470" t="str">
        <f>IFERROR(VLOOKUP(B801,'03. THIẾT BỊ'!$B$1:$S$836,14,0),"")</f>
        <v>45M3</v>
      </c>
      <c r="P801" s="468" t="str">
        <f>IFERROR(VLOOKUP(B801,'03. THIẾT BỊ'!$B$1:$S$836,15,0),"")</f>
        <v>VIET NAM</v>
      </c>
      <c r="Q801" s="48">
        <f>IFERROR(VLOOKUP(B801,'03. THIẾT BỊ'!$B$1:$S$836,16,0),"")</f>
        <v>2025</v>
      </c>
      <c r="R801" s="471" t="str">
        <f>IFERROR(VLOOKUP(B801,'03. THIẾT BỊ'!$B$1:$S$836,17,0),"")</f>
        <v>45M3</v>
      </c>
      <c r="S801" s="468" t="str">
        <f>IFERROR(VLOOKUP(B801,'03. THIẾT BỊ'!$B$1:$S$836,18,0),"")</f>
        <v>RNONU241ASC002595</v>
      </c>
      <c r="T801" s="1495"/>
    </row>
    <row r="802" ht="15.0" customHeight="1">
      <c r="A802" s="463">
        <f t="shared" si="39"/>
        <v>30</v>
      </c>
      <c r="B802" s="464" t="s">
        <v>5172</v>
      </c>
      <c r="C802" s="869" t="str">
        <f>IFERROR(VLOOKUP(B802,'03. THIẾT BỊ'!$B$1:$S$836,2,0),"")</f>
        <v/>
      </c>
      <c r="D802" s="470" t="str">
        <f>IFERROR(VLOOKUP(B802,'03. THIẾT BỊ'!$B$1:$S$836,3,0),"")</f>
        <v>A22-TPC-007</v>
      </c>
      <c r="E802" s="464" t="str">
        <f>IFERROR(VLOOKUP(B802,'03. THIẾT BỊ'!$B$1:$S$836,4,0),"")</f>
        <v>MUA MỚI</v>
      </c>
      <c r="F802" s="464" t="str">
        <f>IFERROR(VLOOKUP(B802,'03. THIẾT BỊ'!$B$1:$S$836,5,0),"")</f>
        <v>SMRM trung chuyển phân - CĐC 45M3</v>
      </c>
      <c r="G802" s="80" t="s">
        <v>6423</v>
      </c>
      <c r="H802" s="463" t="str">
        <f>IFERROR(VLOOKUP(B802,'03. THIẾT BỊ'!$B$1:$S$836,7,0),"")</f>
        <v>XN Bò AD</v>
      </c>
      <c r="I802" s="474">
        <f>IFERROR(VLOOKUP(B802,'03. THIẾT BỊ'!$B$1:$S$836,8,0),"")</f>
        <v>46176</v>
      </c>
      <c r="J802" s="471"/>
      <c r="K802" s="463" t="str">
        <f>IFERROR(VLOOKUP(B802,'03. THIẾT BỊ'!$B$1:$S$836,10,0),"")</f>
        <v>Bình thường</v>
      </c>
      <c r="L802" s="468" t="str">
        <f>IFERROR(VLOOKUP(B802,'03. THIẾT BỊ'!$B$1:$S$836,11,0),"")</f>
        <v/>
      </c>
      <c r="M802" s="472" t="str">
        <f>IFERROR(VLOOKUP(B802,'03. THIẾT BỊ'!$B$1:$S$836,12,0),"")</f>
        <v/>
      </c>
      <c r="N802" s="468" t="str">
        <f>IFERROR(VLOOKUP(B802,'03. THIẾT BỊ'!$B$1:$S$836,13,0),"")</f>
        <v>INDUSTRY</v>
      </c>
      <c r="O802" s="470" t="str">
        <f>IFERROR(VLOOKUP(B802,'03. THIẾT BỊ'!$B$1:$S$836,14,0),"")</f>
        <v>45M3</v>
      </c>
      <c r="P802" s="468" t="str">
        <f>IFERROR(VLOOKUP(B802,'03. THIẾT BỊ'!$B$1:$S$836,15,0),"")</f>
        <v>VIET NAM</v>
      </c>
      <c r="Q802" s="48">
        <f>IFERROR(VLOOKUP(B802,'03. THIẾT BỊ'!$B$1:$S$836,16,0),"")</f>
        <v>2025</v>
      </c>
      <c r="R802" s="471" t="str">
        <f>IFERROR(VLOOKUP(B802,'03. THIẾT BỊ'!$B$1:$S$836,17,0),"")</f>
        <v>45M3</v>
      </c>
      <c r="S802" s="468" t="str">
        <f>IFERROR(VLOOKUP(B802,'03. THIẾT BỊ'!$B$1:$S$836,18,0),"")</f>
        <v>RNONU241ASC002596</v>
      </c>
      <c r="T802" s="1495"/>
    </row>
    <row r="803" ht="15.0" customHeight="1">
      <c r="A803" s="463">
        <f t="shared" si="39"/>
        <v>31</v>
      </c>
      <c r="B803" s="464" t="s">
        <v>5175</v>
      </c>
      <c r="C803" s="869" t="str">
        <f>IFERROR(VLOOKUP(B803,'03. THIẾT BỊ'!$B$1:$S$836,2,0),"")</f>
        <v/>
      </c>
      <c r="D803" s="470" t="str">
        <f>IFERROR(VLOOKUP(B803,'03. THIẾT BỊ'!$B$1:$S$836,3,0),"")</f>
        <v>A22-TPC-008</v>
      </c>
      <c r="E803" s="464" t="str">
        <f>IFERROR(VLOOKUP(B803,'03. THIẾT BỊ'!$B$1:$S$836,4,0),"")</f>
        <v>MUA MỚI</v>
      </c>
      <c r="F803" s="464" t="str">
        <f>IFERROR(VLOOKUP(B803,'03. THIẾT BỊ'!$B$1:$S$836,5,0),"")</f>
        <v>SMRM trung chuyển phân - CĐC 45M3</v>
      </c>
      <c r="G803" s="80" t="s">
        <v>6423</v>
      </c>
      <c r="H803" s="463" t="str">
        <f>IFERROR(VLOOKUP(B803,'03. THIẾT BỊ'!$B$1:$S$836,7,0),"")</f>
        <v>XN Bò AD</v>
      </c>
      <c r="I803" s="474">
        <f>IFERROR(VLOOKUP(B803,'03. THIẾT BỊ'!$B$1:$S$836,8,0),"")</f>
        <v>46176</v>
      </c>
      <c r="J803" s="471"/>
      <c r="K803" s="463" t="str">
        <f>IFERROR(VLOOKUP(B803,'03. THIẾT BỊ'!$B$1:$S$836,10,0),"")</f>
        <v>Bình thường</v>
      </c>
      <c r="L803" s="468" t="str">
        <f>IFERROR(VLOOKUP(B803,'03. THIẾT BỊ'!$B$1:$S$836,11,0),"")</f>
        <v/>
      </c>
      <c r="M803" s="472" t="str">
        <f>IFERROR(VLOOKUP(B803,'03. THIẾT BỊ'!$B$1:$S$836,12,0),"")</f>
        <v/>
      </c>
      <c r="N803" s="468" t="str">
        <f>IFERROR(VLOOKUP(B803,'03. THIẾT BỊ'!$B$1:$S$836,13,0),"")</f>
        <v>INDUSTRY</v>
      </c>
      <c r="O803" s="470" t="str">
        <f>IFERROR(VLOOKUP(B803,'03. THIẾT BỊ'!$B$1:$S$836,14,0),"")</f>
        <v>45M3</v>
      </c>
      <c r="P803" s="468" t="str">
        <f>IFERROR(VLOOKUP(B803,'03. THIẾT BỊ'!$B$1:$S$836,15,0),"")</f>
        <v>VIET NAM</v>
      </c>
      <c r="Q803" s="48">
        <f>IFERROR(VLOOKUP(B803,'03. THIẾT BỊ'!$B$1:$S$836,16,0),"")</f>
        <v>2025</v>
      </c>
      <c r="R803" s="471" t="str">
        <f>IFERROR(VLOOKUP(B803,'03. THIẾT BỊ'!$B$1:$S$836,17,0),"")</f>
        <v>45M3</v>
      </c>
      <c r="S803" s="468" t="str">
        <f>IFERROR(VLOOKUP(B803,'03. THIẾT BỊ'!$B$1:$S$836,18,0),"")</f>
        <v>RNONU241ASC002598</v>
      </c>
      <c r="T803" s="1495"/>
    </row>
    <row r="804" ht="15.0" customHeight="1">
      <c r="A804" s="463">
        <f t="shared" si="39"/>
        <v>32</v>
      </c>
      <c r="B804" s="464" t="s">
        <v>5178</v>
      </c>
      <c r="C804" s="869" t="str">
        <f>IFERROR(VLOOKUP(B804,'03. THIẾT BỊ'!$B$1:$S$836,2,0),"")</f>
        <v/>
      </c>
      <c r="D804" s="470" t="str">
        <f>IFERROR(VLOOKUP(B804,'03. THIẾT BỊ'!$B$1:$S$836,3,0),"")</f>
        <v>A22-TPC-009</v>
      </c>
      <c r="E804" s="464" t="str">
        <f>IFERROR(VLOOKUP(B804,'03. THIẾT BỊ'!$B$1:$S$836,4,0),"")</f>
        <v>MUA MỚI</v>
      </c>
      <c r="F804" s="464" t="str">
        <f>IFERROR(VLOOKUP(B804,'03. THIẾT BỊ'!$B$1:$S$836,5,0),"")</f>
        <v>SMRM trung chuyển phân - CĐC 45M3</v>
      </c>
      <c r="G804" s="80" t="s">
        <v>6423</v>
      </c>
      <c r="H804" s="463" t="str">
        <f>IFERROR(VLOOKUP(B804,'03. THIẾT BỊ'!$B$1:$S$836,7,0),"")</f>
        <v>XN Bò AD</v>
      </c>
      <c r="I804" s="474">
        <f>IFERROR(VLOOKUP(B804,'03. THIẾT BỊ'!$B$1:$S$836,8,0),"")</f>
        <v>46176</v>
      </c>
      <c r="J804" s="471"/>
      <c r="K804" s="463" t="str">
        <f>IFERROR(VLOOKUP(B804,'03. THIẾT BỊ'!$B$1:$S$836,10,0),"")</f>
        <v>Bình thường</v>
      </c>
      <c r="L804" s="468" t="str">
        <f>IFERROR(VLOOKUP(B804,'03. THIẾT BỊ'!$B$1:$S$836,11,0),"")</f>
        <v/>
      </c>
      <c r="M804" s="472" t="str">
        <f>IFERROR(VLOOKUP(B804,'03. THIẾT BỊ'!$B$1:$S$836,12,0),"")</f>
        <v/>
      </c>
      <c r="N804" s="468" t="str">
        <f>IFERROR(VLOOKUP(B804,'03. THIẾT BỊ'!$B$1:$S$836,13,0),"")</f>
        <v>INDUSTRY</v>
      </c>
      <c r="O804" s="470" t="str">
        <f>IFERROR(VLOOKUP(B804,'03. THIẾT BỊ'!$B$1:$S$836,14,0),"")</f>
        <v>45M3</v>
      </c>
      <c r="P804" s="468" t="str">
        <f>IFERROR(VLOOKUP(B804,'03. THIẾT BỊ'!$B$1:$S$836,15,0),"")</f>
        <v>VIET NAM</v>
      </c>
      <c r="Q804" s="48">
        <f>IFERROR(VLOOKUP(B804,'03. THIẾT BỊ'!$B$1:$S$836,16,0),"")</f>
        <v>2025</v>
      </c>
      <c r="R804" s="471" t="str">
        <f>IFERROR(VLOOKUP(B804,'03. THIẾT BỊ'!$B$1:$S$836,17,0),"")</f>
        <v>45M3</v>
      </c>
      <c r="S804" s="468" t="str">
        <f>IFERROR(VLOOKUP(B804,'03. THIẾT BỊ'!$B$1:$S$836,18,0),"")</f>
        <v>RNONU241ASC002599</v>
      </c>
      <c r="T804" s="1495"/>
    </row>
    <row r="805" ht="15.0" customHeight="1">
      <c r="A805" s="463">
        <f t="shared" si="39"/>
        <v>33</v>
      </c>
      <c r="B805" s="464" t="s">
        <v>5181</v>
      </c>
      <c r="C805" s="869" t="str">
        <f>IFERROR(VLOOKUP(B805,'03. THIẾT BỊ'!$B$1:$S$836,2,0),"")</f>
        <v/>
      </c>
      <c r="D805" s="470" t="str">
        <f>IFERROR(VLOOKUP(B805,'03. THIẾT BỊ'!$B$1:$S$836,3,0),"")</f>
        <v>A22-TPC-010</v>
      </c>
      <c r="E805" s="464" t="str">
        <f>IFERROR(VLOOKUP(B805,'03. THIẾT BỊ'!$B$1:$S$836,4,0),"")</f>
        <v>MUA MỚI</v>
      </c>
      <c r="F805" s="464" t="str">
        <f>IFERROR(VLOOKUP(B805,'03. THIẾT BỊ'!$B$1:$S$836,5,0),"")</f>
        <v>SMRM trung chuyển phân - CĐC 45M3</v>
      </c>
      <c r="G805" s="80" t="s">
        <v>6423</v>
      </c>
      <c r="H805" s="463" t="str">
        <f>IFERROR(VLOOKUP(B805,'03. THIẾT BỊ'!$B$1:$S$836,7,0),"")</f>
        <v>XN Bò AD</v>
      </c>
      <c r="I805" s="474">
        <f>IFERROR(VLOOKUP(B805,'03. THIẾT BỊ'!$B$1:$S$836,8,0),"")</f>
        <v>46176</v>
      </c>
      <c r="J805" s="471"/>
      <c r="K805" s="463" t="str">
        <f>IFERROR(VLOOKUP(B805,'03. THIẾT BỊ'!$B$1:$S$836,10,0),"")</f>
        <v>Bình thường</v>
      </c>
      <c r="L805" s="468" t="str">
        <f>IFERROR(VLOOKUP(B805,'03. THIẾT BỊ'!$B$1:$S$836,11,0),"")</f>
        <v/>
      </c>
      <c r="M805" s="472" t="str">
        <f>IFERROR(VLOOKUP(B805,'03. THIẾT BỊ'!$B$1:$S$836,12,0),"")</f>
        <v/>
      </c>
      <c r="N805" s="468" t="str">
        <f>IFERROR(VLOOKUP(B805,'03. THIẾT BỊ'!$B$1:$S$836,13,0),"")</f>
        <v>INDUSTRY</v>
      </c>
      <c r="O805" s="470" t="str">
        <f>IFERROR(VLOOKUP(B805,'03. THIẾT BỊ'!$B$1:$S$836,14,0),"")</f>
        <v>45M3</v>
      </c>
      <c r="P805" s="468" t="str">
        <f>IFERROR(VLOOKUP(B805,'03. THIẾT BỊ'!$B$1:$S$836,15,0),"")</f>
        <v>VIET NAM</v>
      </c>
      <c r="Q805" s="48">
        <f>IFERROR(VLOOKUP(B805,'03. THIẾT BỊ'!$B$1:$S$836,16,0),"")</f>
        <v>2025</v>
      </c>
      <c r="R805" s="471" t="str">
        <f>IFERROR(VLOOKUP(B805,'03. THIẾT BỊ'!$B$1:$S$836,17,0),"")</f>
        <v>45M3</v>
      </c>
      <c r="S805" s="468" t="str">
        <f>IFERROR(VLOOKUP(B805,'03. THIẾT BỊ'!$B$1:$S$836,18,0),"")</f>
        <v>RNONU241ASC002600</v>
      </c>
      <c r="T805" s="1495"/>
    </row>
    <row r="806" ht="15.0" customHeight="1">
      <c r="A806" s="463"/>
      <c r="B806" s="464"/>
      <c r="C806" s="869" t="str">
        <f>IFERROR(VLOOKUP(B806,'03. THIẾT BỊ'!$B$1:$S$836,2,0),"")</f>
        <v/>
      </c>
      <c r="D806" s="470" t="str">
        <f>IFERROR(VLOOKUP(B806,'03. THIẾT BỊ'!$B$1:$S$836,3,0),"")</f>
        <v/>
      </c>
      <c r="E806" s="464" t="str">
        <f>IFERROR(VLOOKUP(B806,'03. THIẾT BỊ'!$B$1:$S$836,4,0),"")</f>
        <v/>
      </c>
      <c r="F806" s="464" t="str">
        <f>IFERROR(VLOOKUP(B806,'03. THIẾT BỊ'!$B$1:$S$836,5,0),"")</f>
        <v/>
      </c>
      <c r="G806" s="80" t="s">
        <v>6423</v>
      </c>
      <c r="H806" s="463" t="str">
        <f>IFERROR(VLOOKUP(B806,'03. THIẾT BỊ'!$B$1:$S$836,7,0),"")</f>
        <v/>
      </c>
      <c r="I806" s="474" t="str">
        <f>IFERROR(VLOOKUP(B806,'03. THIẾT BỊ'!$B$1:$S$836,8,0),"")</f>
        <v/>
      </c>
      <c r="J806" s="471"/>
      <c r="K806" s="463" t="str">
        <f>IFERROR(VLOOKUP(B806,'03. THIẾT BỊ'!$B$1:$S$836,10,0),"")</f>
        <v/>
      </c>
      <c r="L806" s="468" t="str">
        <f>IFERROR(VLOOKUP(B806,'03. THIẾT BỊ'!$B$1:$S$836,11,0),"")</f>
        <v/>
      </c>
      <c r="M806" s="472" t="str">
        <f>IFERROR(VLOOKUP(B806,'03. THIẾT BỊ'!$B$1:$S$836,12,0),"")</f>
        <v/>
      </c>
      <c r="N806" s="468" t="str">
        <f>IFERROR(VLOOKUP(B806,'03. THIẾT BỊ'!$B$1:$S$836,13,0),"")</f>
        <v/>
      </c>
      <c r="O806" s="470" t="str">
        <f>IFERROR(VLOOKUP(B806,'03. THIẾT BỊ'!$B$1:$S$836,14,0),"")</f>
        <v/>
      </c>
      <c r="P806" s="468" t="str">
        <f>IFERROR(VLOOKUP(B806,'03. THIẾT BỊ'!$B$1:$S$836,15,0),"")</f>
        <v/>
      </c>
      <c r="Q806" s="48" t="str">
        <f>IFERROR(VLOOKUP(B806,'03. THIẾT BỊ'!$B$1:$S$836,16,0),"")</f>
        <v/>
      </c>
      <c r="R806" s="471" t="str">
        <f>IFERROR(VLOOKUP(B806,'03. THIẾT BỊ'!$B$1:$S$836,17,0),"")</f>
        <v/>
      </c>
      <c r="S806" s="468" t="str">
        <f>IFERROR(VLOOKUP(B806,'03. THIẾT BỊ'!$B$1:$S$836,18,0),"")</f>
        <v/>
      </c>
      <c r="T806" s="1495"/>
    </row>
    <row r="807" ht="15.0" customHeight="1">
      <c r="A807" s="463"/>
      <c r="B807" s="464"/>
      <c r="C807" s="869" t="str">
        <f>IFERROR(VLOOKUP(B807,'03. THIẾT BỊ'!$B$1:$S$836,2,0),"")</f>
        <v/>
      </c>
      <c r="D807" s="470" t="str">
        <f>IFERROR(VLOOKUP(B807,'03. THIẾT BỊ'!$B$1:$S$836,3,0),"")</f>
        <v/>
      </c>
      <c r="E807" s="464" t="str">
        <f>IFERROR(VLOOKUP(B807,'03. THIẾT BỊ'!$B$1:$S$836,4,0),"")</f>
        <v/>
      </c>
      <c r="F807" s="464" t="str">
        <f>IFERROR(VLOOKUP(B807,'03. THIẾT BỊ'!$B$1:$S$836,5,0),"")</f>
        <v/>
      </c>
      <c r="G807" s="80" t="s">
        <v>6423</v>
      </c>
      <c r="H807" s="463" t="str">
        <f>IFERROR(VLOOKUP(B807,'03. THIẾT BỊ'!$B$1:$S$836,7,0),"")</f>
        <v/>
      </c>
      <c r="I807" s="474" t="str">
        <f>IFERROR(VLOOKUP(B807,'03. THIẾT BỊ'!$B$1:$S$836,8,0),"")</f>
        <v/>
      </c>
      <c r="J807" s="471"/>
      <c r="K807" s="463" t="str">
        <f>IFERROR(VLOOKUP(B807,'03. THIẾT BỊ'!$B$1:$S$836,10,0),"")</f>
        <v/>
      </c>
      <c r="L807" s="468" t="str">
        <f>IFERROR(VLOOKUP(B807,'03. THIẾT BỊ'!$B$1:$S$836,11,0),"")</f>
        <v/>
      </c>
      <c r="M807" s="472" t="str">
        <f>IFERROR(VLOOKUP(B807,'03. THIẾT BỊ'!$B$1:$S$836,12,0),"")</f>
        <v/>
      </c>
      <c r="N807" s="468" t="str">
        <f>IFERROR(VLOOKUP(B807,'03. THIẾT BỊ'!$B$1:$S$836,13,0),"")</f>
        <v/>
      </c>
      <c r="O807" s="470" t="str">
        <f>IFERROR(VLOOKUP(B807,'03. THIẾT BỊ'!$B$1:$S$836,14,0),"")</f>
        <v/>
      </c>
      <c r="P807" s="468" t="str">
        <f>IFERROR(VLOOKUP(B807,'03. THIẾT BỊ'!$B$1:$S$836,15,0),"")</f>
        <v/>
      </c>
      <c r="Q807" s="48" t="str">
        <f>IFERROR(VLOOKUP(B807,'03. THIẾT BỊ'!$B$1:$S$836,16,0),"")</f>
        <v/>
      </c>
      <c r="R807" s="471" t="str">
        <f>IFERROR(VLOOKUP(B807,'03. THIẾT BỊ'!$B$1:$S$836,17,0),"")</f>
        <v/>
      </c>
      <c r="S807" s="468" t="str">
        <f>IFERROR(VLOOKUP(B807,'03. THIẾT BỊ'!$B$1:$S$836,18,0),"")</f>
        <v/>
      </c>
      <c r="T807" s="1495"/>
    </row>
    <row r="808" ht="15.0" customHeight="1">
      <c r="A808" s="455" t="s">
        <v>76</v>
      </c>
      <c r="B808" s="456" t="s">
        <v>7121</v>
      </c>
      <c r="C808" s="457">
        <f>COUNTA(B809:B829)</f>
        <v>20</v>
      </c>
      <c r="D808" s="458" t="str">
        <f>IFERROR(VLOOKUP(B808,'03. THIẾT BỊ'!$B$1:$S$836,3,0),"")</f>
        <v/>
      </c>
      <c r="E808" s="464" t="str">
        <f>IFERROR(VLOOKUP(B808,'03. THIẾT BỊ'!$B$1:$S$836,4,0),"")</f>
        <v/>
      </c>
      <c r="F808" s="458" t="str">
        <f>IFERROR(VLOOKUP(B808,'03. THIẾT BỊ'!$B$1:$S$836,5,0),"")</f>
        <v/>
      </c>
      <c r="G808" s="459" t="s">
        <v>6423</v>
      </c>
      <c r="H808" s="459" t="str">
        <f>IFERROR(VLOOKUP(B808,'03. THIẾT BỊ'!$B$1:$S$836,7,0),"")</f>
        <v/>
      </c>
      <c r="I808" s="457" t="str">
        <f>IFERROR(VLOOKUP(B808,'03. THIẾT BỊ'!$B$1:$S$836,8,0),"")</f>
        <v/>
      </c>
      <c r="J808" s="460"/>
      <c r="K808" s="457" t="str">
        <f>IFERROR(VLOOKUP(B808,'03. THIẾT BỊ'!$B$1:$S$836,10,0),"")</f>
        <v/>
      </c>
      <c r="L808" s="458" t="str">
        <f>IFERROR(VLOOKUP(B808,'03. THIẾT BỊ'!$B$1:$S$836,11,0),"")</f>
        <v/>
      </c>
      <c r="M808" s="461" t="str">
        <f>IFERROR(VLOOKUP(B808,'03. THIẾT BỊ'!$B$1:$S$836,12,0),"")</f>
        <v/>
      </c>
      <c r="N808" s="458" t="str">
        <f>IFERROR(VLOOKUP(B808,'03. THIẾT BỊ'!$B$1:$S$836,13,0),"")</f>
        <v/>
      </c>
      <c r="O808" s="461" t="str">
        <f>IFERROR(VLOOKUP(B808,'03. THIẾT BỊ'!$B$1:$S$836,14,0),"")</f>
        <v/>
      </c>
      <c r="P808" s="458" t="str">
        <f>IFERROR(VLOOKUP(B808,'03. THIẾT BỊ'!$B$1:$S$836,15,0),"")</f>
        <v/>
      </c>
      <c r="Q808" s="459" t="str">
        <f>IFERROR(VLOOKUP(B808,'03. THIẾT BỊ'!$B$1:$S$836,16,0),"")</f>
        <v/>
      </c>
      <c r="R808" s="458" t="str">
        <f>IFERROR(VLOOKUP(B808,'03. THIẾT BỊ'!$B$1:$S$836,17,0),"")</f>
        <v/>
      </c>
      <c r="S808" s="458" t="str">
        <f>IFERROR(VLOOKUP(B808,'03. THIẾT BỊ'!$B$1:$S$836,18,0),"")</f>
        <v/>
      </c>
      <c r="T808" s="866"/>
    </row>
    <row r="809" ht="15.0" customHeight="1">
      <c r="A809" s="463">
        <v>1.0</v>
      </c>
      <c r="B809" s="464" t="s">
        <v>3568</v>
      </c>
      <c r="C809" s="869" t="str">
        <f>IFERROR(VLOOKUP(B809,'03. THIẾT BỊ'!$B$1:$S$836,2,0),"")</f>
        <v/>
      </c>
      <c r="D809" s="470" t="str">
        <f>IFERROR(VLOOKUP(B809,'03. THIẾT BỊ'!$B$1:$S$836,3,0),"")</f>
        <v>A23-PKK-001</v>
      </c>
      <c r="E809" s="464" t="str">
        <f>IFERROR(VLOOKUP(B809,'03. THIẾT BỊ'!$B$1:$S$836,4,0),"")</f>
        <v>ĐQSD</v>
      </c>
      <c r="F809" s="464" t="str">
        <f>IFERROR(VLOOKUP(B809,'03. THIẾT BỊ'!$B$1:$S$836,5,0),"")</f>
        <v>Thiết bị phun khử khuẩn</v>
      </c>
      <c r="G809" s="80" t="s">
        <v>6423</v>
      </c>
      <c r="H809" s="463" t="str">
        <f>IFERROR(VLOOKUP(B809,'03. THIẾT BỊ'!$B$1:$S$836,7,0),"")</f>
        <v>CGLĐ DP</v>
      </c>
      <c r="I809" s="474" t="str">
        <f>IFERROR(VLOOKUP(B809,'03. THIẾT BỊ'!$B$1:$S$836,8,0),"")</f>
        <v/>
      </c>
      <c r="J809" s="471"/>
      <c r="K809" s="463" t="str">
        <f>IFERROR(VLOOKUP(B809,'03. THIẾT BỊ'!$B$1:$S$836,10,0),"")</f>
        <v>Bình thường</v>
      </c>
      <c r="L809" s="468" t="str">
        <f>IFERROR(VLOOKUP(B809,'03. THIẾT BỊ'!$B$1:$S$836,11,0),"")</f>
        <v/>
      </c>
      <c r="M809" s="472" t="str">
        <f>IFERROR(VLOOKUP(B809,'03. THIẾT BỊ'!$B$1:$S$836,12,0),"")</f>
        <v/>
      </c>
      <c r="N809" s="468" t="str">
        <f>IFERROR(VLOOKUP(B809,'03. THIẾT BỊ'!$B$1:$S$836,13,0),"")</f>
        <v>TRUNG QUỐC</v>
      </c>
      <c r="O809" s="470" t="str">
        <f>IFERROR(VLOOKUP(B809,'03. THIẾT BỊ'!$B$1:$S$836,14,0),"")</f>
        <v/>
      </c>
      <c r="P809" s="468" t="str">
        <f>IFERROR(VLOOKUP(B809,'03. THIẾT BỊ'!$B$1:$S$836,15,0),"")</f>
        <v>TRUNG QUỐC</v>
      </c>
      <c r="Q809" s="48" t="str">
        <f>IFERROR(VLOOKUP(B809,'03. THIẾT BỊ'!$B$1:$S$836,16,0),"")</f>
        <v/>
      </c>
      <c r="R809" s="471" t="str">
        <f>IFERROR(VLOOKUP(B809,'03. THIẾT BỊ'!$B$1:$S$836,17,0),"")</f>
        <v/>
      </c>
      <c r="S809" s="468" t="str">
        <f>IFERROR(VLOOKUP(B809,'03. THIẾT BỊ'!$B$1:$S$836,18,0),"")</f>
        <v/>
      </c>
      <c r="T809" s="812"/>
    </row>
    <row r="810" ht="15.0" customHeight="1">
      <c r="A810" s="463">
        <v>2.0</v>
      </c>
      <c r="B810" s="464" t="s">
        <v>3805</v>
      </c>
      <c r="C810" s="869" t="str">
        <f>IFERROR(VLOOKUP(B810,'03. THIẾT BỊ'!$B$1:$S$836,2,0),"")</f>
        <v>CK-DUL-01</v>
      </c>
      <c r="D810" s="470" t="str">
        <f>IFERROR(VLOOKUP(B810,'03. THIẾT BỊ'!$B$1:$S$836,3,0),"")</f>
        <v>A24-DUL-001</v>
      </c>
      <c r="E810" s="464" t="str">
        <f>IFERROR(VLOOKUP(B810,'03. THIẾT BỊ'!$B$1:$S$836,4,0),"")</f>
        <v>MUA MỚI</v>
      </c>
      <c r="F810" s="464" t="str">
        <f>IFERROR(VLOOKUP(B810,'03. THIẾT BỊ'!$B$1:$S$836,5,0),"")</f>
        <v>Thiết bị úp luống 6 chảo đôi</v>
      </c>
      <c r="G810" s="80" t="s">
        <v>6423</v>
      </c>
      <c r="H810" s="463" t="str">
        <f>IFERROR(VLOOKUP(B810,'03. THIẾT BỊ'!$B$1:$S$836,7,0),"")</f>
        <v>CGLĐ LP</v>
      </c>
      <c r="I810" s="474" t="str">
        <f>IFERROR(VLOOKUP(B810,'03. THIẾT BỊ'!$B$1:$S$836,8,0),"")</f>
        <v>24/12/2024</v>
      </c>
      <c r="J810" s="471"/>
      <c r="K810" s="463" t="str">
        <f>IFERROR(VLOOKUP(B810,'03. THIẾT BỊ'!$B$1:$S$836,10,0),"")</f>
        <v>Bình thường</v>
      </c>
      <c r="L810" s="468" t="str">
        <f>IFERROR(VLOOKUP(B810,'03. THIẾT BỊ'!$B$1:$S$836,11,0),"")</f>
        <v>Gia công mới</v>
      </c>
      <c r="M810" s="472" t="str">
        <f>IFERROR(VLOOKUP(B810,'03. THIẾT BỊ'!$B$1:$S$836,12,0),"")</f>
        <v/>
      </c>
      <c r="N810" s="468" t="str">
        <f>IFERROR(VLOOKUP(B810,'03. THIẾT BỊ'!$B$1:$S$836,13,0),"")</f>
        <v>THACO AGRI</v>
      </c>
      <c r="O810" s="470" t="str">
        <f>IFERROR(VLOOKUP(B810,'03. THIẾT BỊ'!$B$1:$S$836,14,0),"")</f>
        <v>CK-DUL-01</v>
      </c>
      <c r="P810" s="468" t="str">
        <f>IFERROR(VLOOKUP(B810,'03. THIẾT BỊ'!$B$1:$S$836,15,0),"")</f>
        <v>CK-CGH</v>
      </c>
      <c r="Q810" s="48">
        <f>IFERROR(VLOOKUP(B810,'03. THIẾT BỊ'!$B$1:$S$836,16,0),"")</f>
        <v>2024</v>
      </c>
      <c r="R810" s="471" t="str">
        <f>IFERROR(VLOOKUP(B810,'03. THIẾT BỊ'!$B$1:$S$836,17,0),"")</f>
        <v/>
      </c>
      <c r="S810" s="468" t="str">
        <f>IFERROR(VLOOKUP(B810,'03. THIẾT BỊ'!$B$1:$S$836,18,0),"")</f>
        <v/>
      </c>
      <c r="T810" s="807"/>
    </row>
    <row r="811" ht="15.0" customHeight="1">
      <c r="A811" s="488">
        <f t="shared" ref="A811:A833" si="40">A810+1</f>
        <v>3</v>
      </c>
      <c r="B811" s="486" t="s">
        <v>7106</v>
      </c>
      <c r="C811" s="869" t="str">
        <f>IFERROR(VLOOKUP(B811,'03. THIẾT BỊ'!$B$1:$S$836,2,0),"")</f>
        <v/>
      </c>
      <c r="D811" s="470" t="str">
        <f>IFERROR(VLOOKUP(B811,'03. THIẾT BỊ'!$B$1:$S$836,3,0),"")</f>
        <v/>
      </c>
      <c r="E811" s="464" t="str">
        <f>IFERROR(VLOOKUP(B811,'03. THIẾT BỊ'!$B$1:$S$836,4,0),"")</f>
        <v/>
      </c>
      <c r="F811" s="464" t="str">
        <f>IFERROR(VLOOKUP(B811,'03. THIẾT BỊ'!$B$1:$S$836,5,0),"")</f>
        <v/>
      </c>
      <c r="G811" s="80" t="s">
        <v>6423</v>
      </c>
      <c r="H811" s="463" t="str">
        <f>IFERROR(VLOOKUP(B811,'03. THIẾT BỊ'!$B$1:$S$836,7,0),"")</f>
        <v/>
      </c>
      <c r="I811" s="474" t="str">
        <f>IFERROR(VLOOKUP(B811,'03. THIẾT BỊ'!$B$1:$S$836,8,0),"")</f>
        <v/>
      </c>
      <c r="J811" s="471"/>
      <c r="K811" s="463" t="str">
        <f>IFERROR(VLOOKUP(B811,'03. THIẾT BỊ'!$B$1:$S$836,10,0),"")</f>
        <v/>
      </c>
      <c r="L811" s="468" t="str">
        <f>IFERROR(VLOOKUP(B811,'03. THIẾT BỊ'!$B$1:$S$836,11,0),"")</f>
        <v/>
      </c>
      <c r="M811" s="472" t="str">
        <f>IFERROR(VLOOKUP(B811,'03. THIẾT BỊ'!$B$1:$S$836,12,0),"")</f>
        <v/>
      </c>
      <c r="N811" s="468" t="str">
        <f>IFERROR(VLOOKUP(B811,'03. THIẾT BỊ'!$B$1:$S$836,13,0),"")</f>
        <v/>
      </c>
      <c r="O811" s="470" t="str">
        <f>IFERROR(VLOOKUP(B811,'03. THIẾT BỊ'!$B$1:$S$836,14,0),"")</f>
        <v/>
      </c>
      <c r="P811" s="468" t="str">
        <f>IFERROR(VLOOKUP(B811,'03. THIẾT BỊ'!$B$1:$S$836,15,0),"")</f>
        <v/>
      </c>
      <c r="Q811" s="48" t="str">
        <f>IFERROR(VLOOKUP(B811,'03. THIẾT BỊ'!$B$1:$S$836,16,0),"")</f>
        <v/>
      </c>
      <c r="R811" s="471" t="str">
        <f>IFERROR(VLOOKUP(B811,'03. THIẾT BỊ'!$B$1:$S$836,17,0),"")</f>
        <v/>
      </c>
      <c r="S811" s="468" t="str">
        <f>IFERROR(VLOOKUP(B811,'03. THIẾT BỊ'!$B$1:$S$836,18,0),"")</f>
        <v/>
      </c>
      <c r="T811" s="826"/>
    </row>
    <row r="812" ht="15.0" customHeight="1">
      <c r="A812" s="488">
        <f t="shared" si="40"/>
        <v>4</v>
      </c>
      <c r="B812" s="489" t="s">
        <v>3877</v>
      </c>
      <c r="C812" s="869" t="str">
        <f>IFERROR(VLOOKUP(B812,'03. THIẾT BỊ'!$B$1:$S$836,2,0),"")</f>
        <v>CNN-BLC-001</v>
      </c>
      <c r="D812" s="470" t="str">
        <f>IFERROR(VLOOKUP(B812,'03. THIẾT BỊ'!$B$1:$S$836,3,0),"")</f>
        <v>A22-BLC-052</v>
      </c>
      <c r="E812" s="464" t="str">
        <f>IFERROR(VLOOKUP(B812,'03. THIẾT BỊ'!$B$1:$S$836,4,0),"")</f>
        <v>ĐQSD</v>
      </c>
      <c r="F812" s="464" t="str">
        <f>IFERROR(VLOOKUP(B812,'03. THIẾT BỊ'!$B$1:$S$836,5,0),"")</f>
        <v>Thiết bị trang mặt bằng luống chuối</v>
      </c>
      <c r="G812" s="80" t="s">
        <v>6423</v>
      </c>
      <c r="H812" s="463" t="str">
        <f>IFERROR(VLOOKUP(B812,'03. THIẾT BỊ'!$B$1:$S$836,7,0),"")</f>
        <v>XN Bò AD</v>
      </c>
      <c r="I812" s="474" t="str">
        <f>IFERROR(VLOOKUP(B812,'03. THIẾT BỊ'!$B$1:$S$836,8,0),"")</f>
        <v/>
      </c>
      <c r="J812" s="471"/>
      <c r="K812" s="463" t="str">
        <f>IFERROR(VLOOKUP(B812,'03. THIẾT BỊ'!$B$1:$S$836,10,0),"")</f>
        <v>Bình thường</v>
      </c>
      <c r="L812" s="468" t="str">
        <f>IFERROR(VLOOKUP(B812,'03. THIẾT BỊ'!$B$1:$S$836,11,0),"")</f>
        <v/>
      </c>
      <c r="M812" s="472" t="str">
        <f>IFERROR(VLOOKUP(B812,'03. THIẾT BỊ'!$B$1:$S$836,12,0),"")</f>
        <v/>
      </c>
      <c r="N812" s="468" t="str">
        <f>IFERROR(VLOOKUP(B812,'03. THIẾT BỊ'!$B$1:$S$836,13,0),"")</f>
        <v>CAMBODIA</v>
      </c>
      <c r="O812" s="470" t="str">
        <f>IFERROR(VLOOKUP(B812,'03. THIẾT BỊ'!$B$1:$S$836,14,0),"")</f>
        <v/>
      </c>
      <c r="P812" s="468" t="str">
        <f>IFERROR(VLOOKUP(B812,'03. THIẾT BỊ'!$B$1:$S$836,15,0),"")</f>
        <v>CAMBODIA</v>
      </c>
      <c r="Q812" s="48" t="str">
        <f>IFERROR(VLOOKUP(B812,'03. THIẾT BỊ'!$B$1:$S$836,16,0),"")</f>
        <v/>
      </c>
      <c r="R812" s="471" t="str">
        <f>IFERROR(VLOOKUP(B812,'03. THIẾT BỊ'!$B$1:$S$836,17,0),"")</f>
        <v/>
      </c>
      <c r="S812" s="468" t="str">
        <f>IFERROR(VLOOKUP(B812,'03. THIẾT BỊ'!$B$1:$S$836,18,0),"")</f>
        <v/>
      </c>
      <c r="T812" s="826"/>
    </row>
    <row r="813" ht="15.0" customHeight="1">
      <c r="A813" s="488">
        <f t="shared" si="40"/>
        <v>5</v>
      </c>
      <c r="B813" s="464" t="s">
        <v>4908</v>
      </c>
      <c r="C813" s="869" t="str">
        <f>IFERROR(VLOOKUP(B813,'03. THIẾT BỊ'!$B$1:$S$836,2,0),"")</f>
        <v/>
      </c>
      <c r="D813" s="470" t="str">
        <f>IFERROR(VLOOKUP(B813,'03. THIẾT BỊ'!$B$1:$S$836,3,0),"")</f>
        <v>A22-DCR-001</v>
      </c>
      <c r="E813" s="464" t="str">
        <f>IFERROR(VLOOKUP(B813,'03. THIẾT BỊ'!$B$1:$S$836,4,0),"")</f>
        <v>ĐQSD</v>
      </c>
      <c r="F813" s="464" t="str">
        <f>IFERROR(VLOOKUP(B813,'03. THIẾT BỊ'!$B$1:$S$836,5,0),"")</f>
        <v>Thiết bị cày đánh rãnh bón phân</v>
      </c>
      <c r="G813" s="80" t="s">
        <v>6423</v>
      </c>
      <c r="H813" s="463" t="str">
        <f>IFERROR(VLOOKUP(B813,'03. THIẾT BỊ'!$B$1:$S$836,7,0),"")</f>
        <v>Xoài AD</v>
      </c>
      <c r="I813" s="474" t="str">
        <f>IFERROR(VLOOKUP(B813,'03. THIẾT BỊ'!$B$1:$S$836,8,0),"")</f>
        <v>17/09/2024</v>
      </c>
      <c r="J813" s="471"/>
      <c r="K813" s="463" t="str">
        <f>IFERROR(VLOOKUP(B813,'03. THIẾT BỊ'!$B$1:$S$836,10,0),"")</f>
        <v>Bình thường</v>
      </c>
      <c r="L813" s="468" t="str">
        <f>IFERROR(VLOOKUP(B813,'03. THIẾT BỊ'!$B$1:$S$836,11,0),"")</f>
        <v/>
      </c>
      <c r="M813" s="472" t="str">
        <f>IFERROR(VLOOKUP(B813,'03. THIẾT BỊ'!$B$1:$S$836,12,0),"")</f>
        <v>Gia công mới</v>
      </c>
      <c r="N813" s="468" t="str">
        <f>IFERROR(VLOOKUP(B813,'03. THIẾT BỊ'!$B$1:$S$836,13,0),"")</f>
        <v>THACO AGRI</v>
      </c>
      <c r="O813" s="470" t="str">
        <f>IFERROR(VLOOKUP(B813,'03. THIẾT BỊ'!$B$1:$S$836,14,0),"")</f>
        <v>CK-MLB-01</v>
      </c>
      <c r="P813" s="468" t="str">
        <f>IFERROR(VLOOKUP(B813,'03. THIẾT BỊ'!$B$1:$S$836,15,0),"")</f>
        <v>X.CGH</v>
      </c>
      <c r="Q813" s="48">
        <f>IFERROR(VLOOKUP(B813,'03. THIẾT BỊ'!$B$1:$S$836,16,0),"")</f>
        <v>2024</v>
      </c>
      <c r="R813" s="471" t="str">
        <f>IFERROR(VLOOKUP(B813,'03. THIẾT BỊ'!$B$1:$S$836,17,0),"")</f>
        <v>KT: 1x4x1.2 (DxRxC)</v>
      </c>
      <c r="S813" s="468" t="str">
        <f>IFERROR(VLOOKUP(B813,'03. THIẾT BỊ'!$B$1:$S$836,18,0),"")</f>
        <v/>
      </c>
      <c r="T813" s="959"/>
    </row>
    <row r="814" ht="15.0" customHeight="1">
      <c r="A814" s="488">
        <f t="shared" si="40"/>
        <v>6</v>
      </c>
      <c r="B814" s="464" t="s">
        <v>3984</v>
      </c>
      <c r="C814" s="869" t="str">
        <f>IFERROR(VLOOKUP(B814,'03. THIẾT BỊ'!$B$1:$S$836,2,0),"")</f>
        <v/>
      </c>
      <c r="D814" s="470" t="str">
        <f>IFERROR(VLOOKUP(B814,'03. THIẾT BỊ'!$B$1:$S$836,3,0),"")</f>
        <v>A23-TBG-001</v>
      </c>
      <c r="E814" s="464" t="str">
        <f>IFERROR(VLOOKUP(B814,'03. THIẾT BỊ'!$B$1:$S$836,4,0),"")</f>
        <v>ĐQSD</v>
      </c>
      <c r="F814" s="464" t="str">
        <f>IFERROR(VLOOKUP(B814,'03. THIẾT BỊ'!$B$1:$S$836,5,0),"")</f>
        <v>Thiết bị gắp lá chuối</v>
      </c>
      <c r="G814" s="80" t="s">
        <v>6423</v>
      </c>
      <c r="H814" s="463" t="str">
        <f>IFERROR(VLOOKUP(B814,'03. THIẾT BỊ'!$B$1:$S$836,7,0),"")</f>
        <v>XN Chuối DP1</v>
      </c>
      <c r="I814" s="474">
        <f>IFERROR(VLOOKUP(B814,'03. THIẾT BỊ'!$B$1:$S$836,8,0),"")</f>
        <v>45419</v>
      </c>
      <c r="J814" s="471"/>
      <c r="K814" s="463" t="str">
        <f>IFERROR(VLOOKUP(B814,'03. THIẾT BỊ'!$B$1:$S$836,10,0),"")</f>
        <v>Bình thường</v>
      </c>
      <c r="L814" s="468" t="str">
        <f>IFERROR(VLOOKUP(B814,'03. THIẾT BỊ'!$B$1:$S$836,11,0),"")</f>
        <v/>
      </c>
      <c r="M814" s="472" t="str">
        <f>IFERROR(VLOOKUP(B814,'03. THIẾT BỊ'!$B$1:$S$836,12,0),"")</f>
        <v/>
      </c>
      <c r="N814" s="468" t="str">
        <f>IFERROR(VLOOKUP(B814,'03. THIẾT BỊ'!$B$1:$S$836,13,0),"")</f>
        <v>THACO AGRI</v>
      </c>
      <c r="O814" s="470" t="str">
        <f>IFERROR(VLOOKUP(B814,'03. THIẾT BỊ'!$B$1:$S$836,14,0),"")</f>
        <v/>
      </c>
      <c r="P814" s="468" t="str">
        <f>IFERROR(VLOOKUP(B814,'03. THIẾT BỊ'!$B$1:$S$836,15,0),"")</f>
        <v>CK-CGH</v>
      </c>
      <c r="Q814" s="48" t="str">
        <f>IFERROR(VLOOKUP(B814,'03. THIẾT BỊ'!$B$1:$S$836,16,0),"")</f>
        <v/>
      </c>
      <c r="R814" s="471" t="str">
        <f>IFERROR(VLOOKUP(B814,'03. THIẾT BỊ'!$B$1:$S$836,17,0),"")</f>
        <v>Dài 1m x Rộng 0.35m</v>
      </c>
      <c r="S814" s="468" t="str">
        <f>IFERROR(VLOOKUP(B814,'03. THIẾT BỊ'!$B$1:$S$836,18,0),"")</f>
        <v/>
      </c>
      <c r="T814" s="807"/>
    </row>
    <row r="815" ht="15.0" customHeight="1">
      <c r="A815" s="488">
        <f t="shared" si="40"/>
        <v>7</v>
      </c>
      <c r="B815" s="464" t="s">
        <v>3979</v>
      </c>
      <c r="C815" s="869" t="str">
        <f>IFERROR(VLOOKUP(B815,'03. THIẾT BỊ'!$B$1:$S$836,2,0),"")</f>
        <v/>
      </c>
      <c r="D815" s="470" t="str">
        <f>IFERROR(VLOOKUP(B815,'03. THIẾT BỊ'!$B$1:$S$836,3,0),"")</f>
        <v>A23-DNL-001</v>
      </c>
      <c r="E815" s="464" t="str">
        <f>IFERROR(VLOOKUP(B815,'03. THIẾT BỊ'!$B$1:$S$836,4,0),"")</f>
        <v>ĐQSD</v>
      </c>
      <c r="F815" s="464" t="str">
        <f>IFERROR(VLOOKUP(B815,'03. THIẾT BỊ'!$B$1:$S$836,5,0),"")</f>
        <v>Thiết bị nén lá chuối khô</v>
      </c>
      <c r="G815" s="80" t="s">
        <v>6423</v>
      </c>
      <c r="H815" s="463" t="str">
        <f>IFERROR(VLOOKUP(B815,'03. THIẾT BỊ'!$B$1:$S$836,7,0),"")</f>
        <v>XN Chuối DP1</v>
      </c>
      <c r="I815" s="474">
        <f>IFERROR(VLOOKUP(B815,'03. THIẾT BỊ'!$B$1:$S$836,8,0),"")</f>
        <v>45419</v>
      </c>
      <c r="J815" s="471"/>
      <c r="K815" s="463" t="str">
        <f>IFERROR(VLOOKUP(B815,'03. THIẾT BỊ'!$B$1:$S$836,10,0),"")</f>
        <v>Bình thường</v>
      </c>
      <c r="L815" s="468" t="str">
        <f>IFERROR(VLOOKUP(B815,'03. THIẾT BỊ'!$B$1:$S$836,11,0),"")</f>
        <v/>
      </c>
      <c r="M815" s="472" t="str">
        <f>IFERROR(VLOOKUP(B815,'03. THIẾT BỊ'!$B$1:$S$836,12,0),"")</f>
        <v/>
      </c>
      <c r="N815" s="468" t="str">
        <f>IFERROR(VLOOKUP(B815,'03. THIẾT BỊ'!$B$1:$S$836,13,0),"")</f>
        <v>THACO AGRI</v>
      </c>
      <c r="O815" s="470" t="str">
        <f>IFERROR(VLOOKUP(B815,'03. THIẾT BỊ'!$B$1:$S$836,14,0),"")</f>
        <v>THACOAGRI</v>
      </c>
      <c r="P815" s="468" t="str">
        <f>IFERROR(VLOOKUP(B815,'03. THIẾT BỊ'!$B$1:$S$836,15,0),"")</f>
        <v>CK-CGH</v>
      </c>
      <c r="Q815" s="48">
        <f>IFERROR(VLOOKUP(B815,'03. THIẾT BỊ'!$B$1:$S$836,16,0),"")</f>
        <v>2024</v>
      </c>
      <c r="R815" s="471" t="str">
        <f>IFERROR(VLOOKUP(B815,'03. THIẾT BỊ'!$B$1:$S$836,17,0),"")</f>
        <v>3,8x2x3,6m</v>
      </c>
      <c r="S815" s="468" t="str">
        <f>IFERROR(VLOOKUP(B815,'03. THIẾT BỊ'!$B$1:$S$836,18,0),"")</f>
        <v/>
      </c>
      <c r="T815" s="807"/>
    </row>
    <row r="816" ht="15.0" customHeight="1">
      <c r="A816" s="488">
        <f t="shared" si="40"/>
        <v>8</v>
      </c>
      <c r="B816" s="464" t="s">
        <v>3974</v>
      </c>
      <c r="C816" s="869" t="str">
        <f>IFERROR(VLOOKUP(B816,'03. THIẾT BỊ'!$B$1:$S$836,2,0),"")</f>
        <v/>
      </c>
      <c r="D816" s="470" t="str">
        <f>IFERROR(VLOOKUP(B816,'03. THIẾT BỊ'!$B$1:$S$836,3,0),"")</f>
        <v>A23-MNK-001</v>
      </c>
      <c r="E816" s="464" t="str">
        <f>IFERROR(VLOOKUP(B816,'03. THIẾT BỊ'!$B$1:$S$836,4,0),"")</f>
        <v>ĐQSD</v>
      </c>
      <c r="F816" s="464" t="str">
        <f>IFERROR(VLOOKUP(B816,'03. THIẾT BỊ'!$B$1:$S$836,5,0),"")</f>
        <v>Máy nén khí 5HP</v>
      </c>
      <c r="G816" s="80" t="s">
        <v>6423</v>
      </c>
      <c r="H816" s="463" t="str">
        <f>IFERROR(VLOOKUP(B816,'03. THIẾT BỊ'!$B$1:$S$836,7,0),"")</f>
        <v>XN Chuối DP1</v>
      </c>
      <c r="I816" s="474" t="str">
        <f>IFERROR(VLOOKUP(B816,'03. THIẾT BỊ'!$B$1:$S$836,8,0),"")</f>
        <v>28/06/2024</v>
      </c>
      <c r="J816" s="471"/>
      <c r="K816" s="463" t="str">
        <f>IFERROR(VLOOKUP(B816,'03. THIẾT BỊ'!$B$1:$S$836,10,0),"")</f>
        <v>Bình thường</v>
      </c>
      <c r="L816" s="468" t="str">
        <f>IFERROR(VLOOKUP(B816,'03. THIẾT BỊ'!$B$1:$S$836,11,0),"")</f>
        <v/>
      </c>
      <c r="M816" s="472" t="str">
        <f>IFERROR(VLOOKUP(B816,'03. THIẾT BỊ'!$B$1:$S$836,12,0),"")</f>
        <v/>
      </c>
      <c r="N816" s="468" t="str">
        <f>IFERROR(VLOOKUP(B816,'03. THIẾT BỊ'!$B$1:$S$836,13,0),"")</f>
        <v>CAMBODIA</v>
      </c>
      <c r="O816" s="470" t="str">
        <f>IFERROR(VLOOKUP(B816,'03. THIẾT BỊ'!$B$1:$S$836,14,0),"")</f>
        <v>SWAN-5HP</v>
      </c>
      <c r="P816" s="468" t="str">
        <f>IFERROR(VLOOKUP(B816,'03. THIẾT BỊ'!$B$1:$S$836,15,0),"")</f>
        <v>CAMBODIA</v>
      </c>
      <c r="Q816" s="48" t="str">
        <f>IFERROR(VLOOKUP(B816,'03. THIẾT BỊ'!$B$1:$S$836,16,0),"")</f>
        <v/>
      </c>
      <c r="R816" s="471" t="str">
        <f>IFERROR(VLOOKUP(B816,'03. THIẾT BỊ'!$B$1:$S$836,17,0),"")</f>
        <v>125psi</v>
      </c>
      <c r="S816" s="468" t="str">
        <f>IFERROR(VLOOKUP(B816,'03. THIẾT BỊ'!$B$1:$S$836,18,0),"")</f>
        <v/>
      </c>
      <c r="T816" s="807"/>
    </row>
    <row r="817" ht="15.0" customHeight="1">
      <c r="A817" s="488">
        <f t="shared" si="40"/>
        <v>9</v>
      </c>
      <c r="B817" s="464" t="s">
        <v>4422</v>
      </c>
      <c r="C817" s="869" t="str">
        <f>IFERROR(VLOOKUP(B817,'03. THIẾT BỊ'!$B$1:$S$836,2,0),"")</f>
        <v/>
      </c>
      <c r="D817" s="470" t="str">
        <f>IFERROR(VLOOKUP(B817,'03. THIẾT BỊ'!$B$1:$S$836,3,0),"")</f>
        <v>A24-MNK-001</v>
      </c>
      <c r="E817" s="464" t="str">
        <f>IFERROR(VLOOKUP(B817,'03. THIẾT BỊ'!$B$1:$S$836,4,0),"")</f>
        <v>ĐQSD</v>
      </c>
      <c r="F817" s="464" t="str">
        <f>IFERROR(VLOOKUP(B817,'03. THIẾT BỊ'!$B$1:$S$836,5,0),"")</f>
        <v>Máy nén khí 10HP</v>
      </c>
      <c r="G817" s="80" t="s">
        <v>6423</v>
      </c>
      <c r="H817" s="463" t="str">
        <f>IFERROR(VLOOKUP(B817,'03. THIẾT BỊ'!$B$1:$S$836,7,0),"")</f>
        <v>XN Chuối LP1</v>
      </c>
      <c r="I817" s="474">
        <f>IFERROR(VLOOKUP(B817,'03. THIẾT BỊ'!$B$1:$S$836,8,0),"")</f>
        <v>45419</v>
      </c>
      <c r="J817" s="471"/>
      <c r="K817" s="463" t="str">
        <f>IFERROR(VLOOKUP(B817,'03. THIẾT BỊ'!$B$1:$S$836,10,0),"")</f>
        <v>Bình thường</v>
      </c>
      <c r="L817" s="468" t="str">
        <f>IFERROR(VLOOKUP(B817,'03. THIẾT BỊ'!$B$1:$S$836,11,0),"")</f>
        <v>Điều chuyển từ nhà máy xốp AD</v>
      </c>
      <c r="M817" s="472" t="str">
        <f>IFERROR(VLOOKUP(B817,'03. THIẾT BỊ'!$B$1:$S$836,12,0),"")</f>
        <v/>
      </c>
      <c r="N817" s="468" t="str">
        <f>IFERROR(VLOOKUP(B817,'03. THIẾT BỊ'!$B$1:$S$836,13,0),"")</f>
        <v>TRUNG QUỐC</v>
      </c>
      <c r="O817" s="470" t="str">
        <f>IFERROR(VLOOKUP(B817,'03. THIẾT BỊ'!$B$1:$S$836,14,0),"")</f>
        <v>SVP205</v>
      </c>
      <c r="P817" s="468" t="str">
        <f>IFERROR(VLOOKUP(B817,'03. THIẾT BỊ'!$B$1:$S$836,15,0),"")</f>
        <v>TRUNG QUỐC</v>
      </c>
      <c r="Q817" s="48">
        <f>IFERROR(VLOOKUP(B817,'03. THIẾT BỊ'!$B$1:$S$836,16,0),"")</f>
        <v>2014</v>
      </c>
      <c r="R817" s="471" t="str">
        <f>IFERROR(VLOOKUP(B817,'03. THIẾT BỊ'!$B$1:$S$836,17,0),"")</f>
        <v>Dung tích: 155</v>
      </c>
      <c r="S817" s="468">
        <f>IFERROR(VLOOKUP(B817,'03. THIẾT BỊ'!$B$1:$S$836,18,0),"")</f>
        <v>14163379</v>
      </c>
      <c r="T817" s="807"/>
    </row>
    <row r="818" ht="15.0" customHeight="1">
      <c r="A818" s="488">
        <f t="shared" si="40"/>
        <v>10</v>
      </c>
      <c r="B818" s="464" t="s">
        <v>4428</v>
      </c>
      <c r="C818" s="869" t="str">
        <f>IFERROR(VLOOKUP(B818,'03. THIẾT BỊ'!$B$1:$S$836,2,0),"")</f>
        <v/>
      </c>
      <c r="D818" s="470" t="str">
        <f>IFERROR(VLOOKUP(B818,'03. THIẾT BỊ'!$B$1:$S$836,3,0),"")</f>
        <v>A24-TBL-001</v>
      </c>
      <c r="E818" s="464" t="str">
        <f>IFERROR(VLOOKUP(B818,'03. THIẾT BỊ'!$B$1:$S$836,4,0),"")</f>
        <v>ĐQSD</v>
      </c>
      <c r="F818" s="464" t="str">
        <f>IFERROR(VLOOKUP(B818,'03. THIẾT BỊ'!$B$1:$S$836,5,0),"")</f>
        <v>Thiết bị lu</v>
      </c>
      <c r="G818" s="80" t="s">
        <v>6423</v>
      </c>
      <c r="H818" s="463" t="str">
        <f>IFERROR(VLOOKUP(B818,'03. THIẾT BỊ'!$B$1:$S$836,7,0),"")</f>
        <v>XN Chuối LP1</v>
      </c>
      <c r="I818" s="474">
        <f>IFERROR(VLOOKUP(B818,'03. THIẾT BỊ'!$B$1:$S$836,8,0),"")</f>
        <v>45332</v>
      </c>
      <c r="J818" s="471"/>
      <c r="K818" s="463" t="str">
        <f>IFERROR(VLOOKUP(B818,'03. THIẾT BỊ'!$B$1:$S$836,10,0),"")</f>
        <v>Bình thường</v>
      </c>
      <c r="L818" s="468" t="str">
        <f>IFERROR(VLOOKUP(B818,'03. THIẾT BỊ'!$B$1:$S$836,11,0),"")</f>
        <v>GC mới</v>
      </c>
      <c r="M818" s="472" t="str">
        <f>IFERROR(VLOOKUP(B818,'03. THIẾT BỊ'!$B$1:$S$836,12,0),"")</f>
        <v/>
      </c>
      <c r="N818" s="468" t="str">
        <f>IFERROR(VLOOKUP(B818,'03. THIẾT BỊ'!$B$1:$S$836,13,0),"")</f>
        <v>THACO AGRI</v>
      </c>
      <c r="O818" s="470" t="str">
        <f>IFERROR(VLOOKUP(B818,'03. THIẾT BỊ'!$B$1:$S$836,14,0),"")</f>
        <v>CK-MPC-03</v>
      </c>
      <c r="P818" s="468" t="str">
        <f>IFERROR(VLOOKUP(B818,'03. THIẾT BỊ'!$B$1:$S$836,15,0),"")</f>
        <v>CK-CGH</v>
      </c>
      <c r="Q818" s="48">
        <f>IFERROR(VLOOKUP(B818,'03. THIẾT BỊ'!$B$1:$S$836,16,0),"")</f>
        <v>2024</v>
      </c>
      <c r="R818" s="471" t="str">
        <f>IFERROR(VLOOKUP(B818,'03. THIẾT BỊ'!$B$1:$S$836,17,0),"")</f>
        <v>3x2.4x1.4m</v>
      </c>
      <c r="S818" s="468" t="str">
        <f>IFERROR(VLOOKUP(B818,'03. THIẾT BỊ'!$B$1:$S$836,18,0),"")</f>
        <v/>
      </c>
      <c r="T818" s="812"/>
    </row>
    <row r="819" ht="15.0" customHeight="1">
      <c r="A819" s="488">
        <f t="shared" si="40"/>
        <v>11</v>
      </c>
      <c r="B819" s="464" t="s">
        <v>4768</v>
      </c>
      <c r="C819" s="869" t="str">
        <f>IFERROR(VLOOKUP(B819,'03. THIẾT BỊ'!$B$1:$S$836,2,0),"")</f>
        <v>CK-MXL-02</v>
      </c>
      <c r="D819" s="470" t="str">
        <f>IFERROR(VLOOKUP(B819,'03. THIẾT BỊ'!$B$1:$S$836,3,0),"")</f>
        <v/>
      </c>
      <c r="E819" s="464" t="str">
        <f>IFERROR(VLOOKUP(B819,'03. THIẾT BỊ'!$B$1:$S$836,4,0),"")</f>
        <v>ĐQSD</v>
      </c>
      <c r="F819" s="464" t="str">
        <f>IFERROR(VLOOKUP(B819,'03. THIẾT BỊ'!$B$1:$S$836,5,0),"")</f>
        <v>Thiết bị xắt lát</v>
      </c>
      <c r="G819" s="80" t="s">
        <v>6423</v>
      </c>
      <c r="H819" s="463" t="str">
        <f>IFERROR(VLOOKUP(B819,'03. THIẾT BỊ'!$B$1:$S$836,7,0),"")</f>
        <v>XN Chuối LP3</v>
      </c>
      <c r="I819" s="474" t="str">
        <f>IFERROR(VLOOKUP(B819,'03. THIẾT BỊ'!$B$1:$S$836,8,0),"")</f>
        <v>13/08/2024</v>
      </c>
      <c r="J819" s="471"/>
      <c r="K819" s="463" t="str">
        <f>IFERROR(VLOOKUP(B819,'03. THIẾT BỊ'!$B$1:$S$836,10,0),"")</f>
        <v>Bình thường</v>
      </c>
      <c r="L819" s="468" t="str">
        <f>IFERROR(VLOOKUP(B819,'03. THIẾT BỊ'!$B$1:$S$836,11,0),"")</f>
        <v/>
      </c>
      <c r="M819" s="472" t="str">
        <f>IFERROR(VLOOKUP(B819,'03. THIẾT BỊ'!$B$1:$S$836,12,0),"")</f>
        <v>Gia công mới</v>
      </c>
      <c r="N819" s="468" t="str">
        <f>IFERROR(VLOOKUP(B819,'03. THIẾT BỊ'!$B$1:$S$836,13,0),"")</f>
        <v>THACO AGRI</v>
      </c>
      <c r="O819" s="470" t="str">
        <f>IFERROR(VLOOKUP(B819,'03. THIẾT BỊ'!$B$1:$S$836,14,0),"")</f>
        <v/>
      </c>
      <c r="P819" s="468" t="str">
        <f>IFERROR(VLOOKUP(B819,'03. THIẾT BỊ'!$B$1:$S$836,15,0),"")</f>
        <v>CK-CGH</v>
      </c>
      <c r="Q819" s="48">
        <f>IFERROR(VLOOKUP(B819,'03. THIẾT BỊ'!$B$1:$S$836,16,0),"")</f>
        <v>2024</v>
      </c>
      <c r="R819" s="471" t="str">
        <f>IFERROR(VLOOKUP(B819,'03. THIẾT BỊ'!$B$1:$S$836,17,0),"")</f>
        <v>0.9x1x1m</v>
      </c>
      <c r="S819" s="468" t="str">
        <f>IFERROR(VLOOKUP(B819,'03. THIẾT BỊ'!$B$1:$S$836,18,0),"")</f>
        <v/>
      </c>
      <c r="T819" s="807"/>
    </row>
    <row r="820" ht="15.0" customHeight="1">
      <c r="A820" s="488">
        <f t="shared" si="40"/>
        <v>12</v>
      </c>
      <c r="B820" s="464" t="s">
        <v>4773</v>
      </c>
      <c r="C820" s="869" t="str">
        <f>IFERROR(VLOOKUP(B820,'03. THIẾT BỊ'!$B$1:$S$836,2,0),"")</f>
        <v/>
      </c>
      <c r="D820" s="470" t="str">
        <f>IFERROR(VLOOKUP(B820,'03. THIẾT BỊ'!$B$1:$S$836,3,0),"")</f>
        <v>A24-GXP-001</v>
      </c>
      <c r="E820" s="464" t="str">
        <f>IFERROR(VLOOKUP(B820,'03. THIẾT BỊ'!$B$1:$S$836,4,0),"")</f>
        <v>ĐQSD</v>
      </c>
      <c r="F820" s="464" t="str">
        <f>IFERROR(VLOOKUP(B820,'03. THIẾT BỊ'!$B$1:$S$836,5,0),"")</f>
        <v>Gàu xúc phân</v>
      </c>
      <c r="G820" s="80" t="s">
        <v>6423</v>
      </c>
      <c r="H820" s="463" t="str">
        <f>IFERROR(VLOOKUP(B820,'03. THIẾT BỊ'!$B$1:$S$836,7,0),"")</f>
        <v>XN Chuối LP3</v>
      </c>
      <c r="I820" s="474">
        <f>IFERROR(VLOOKUP(B820,'03. THIẾT BỊ'!$B$1:$S$836,8,0),"")</f>
        <v>45871</v>
      </c>
      <c r="J820" s="471"/>
      <c r="K820" s="463" t="str">
        <f>IFERROR(VLOOKUP(B820,'03. THIẾT BỊ'!$B$1:$S$836,10,0),"")</f>
        <v>Bình thường</v>
      </c>
      <c r="L820" s="468" t="str">
        <f>IFERROR(VLOOKUP(B820,'03. THIẾT BỊ'!$B$1:$S$836,11,0),"")</f>
        <v/>
      </c>
      <c r="M820" s="472" t="str">
        <f>IFERROR(VLOOKUP(B820,'03. THIẾT BỊ'!$B$1:$S$836,12,0),"")</f>
        <v>Gia công mới</v>
      </c>
      <c r="N820" s="468" t="str">
        <f>IFERROR(VLOOKUP(B820,'03. THIẾT BỊ'!$B$1:$S$836,13,0),"")</f>
        <v>THACO AGRI</v>
      </c>
      <c r="O820" s="470" t="str">
        <f>IFERROR(VLOOKUP(B820,'03. THIẾT BỊ'!$B$1:$S$836,14,0),"")</f>
        <v/>
      </c>
      <c r="P820" s="468" t="str">
        <f>IFERROR(VLOOKUP(B820,'03. THIẾT BỊ'!$B$1:$S$836,15,0),"")</f>
        <v>CK-CGH</v>
      </c>
      <c r="Q820" s="48">
        <f>IFERROR(VLOOKUP(B820,'03. THIẾT BỊ'!$B$1:$S$836,16,0),"")</f>
        <v>2025</v>
      </c>
      <c r="R820" s="471" t="str">
        <f>IFERROR(VLOOKUP(B820,'03. THIẾT BỊ'!$B$1:$S$836,17,0),"")</f>
        <v/>
      </c>
      <c r="S820" s="468" t="str">
        <f>IFERROR(VLOOKUP(B820,'03. THIẾT BỊ'!$B$1:$S$836,18,0),"")</f>
        <v/>
      </c>
      <c r="T820" s="807"/>
    </row>
    <row r="821" ht="15.0" customHeight="1">
      <c r="A821" s="488">
        <f t="shared" si="40"/>
        <v>13</v>
      </c>
      <c r="B821" s="464" t="s">
        <v>5368</v>
      </c>
      <c r="C821" s="869" t="str">
        <f>IFERROR(VLOOKUP(B821,'03. THIẾT BỊ'!$B$1:$S$836,2,0),"")</f>
        <v/>
      </c>
      <c r="D821" s="470" t="str">
        <f>IFERROR(VLOOKUP(B821,'03. THIẾT BỊ'!$B$1:$S$836,3,0),"")</f>
        <v>A22-KGX-001</v>
      </c>
      <c r="E821" s="464" t="str">
        <f>IFERROR(VLOOKUP(B821,'03. THIẾT BỊ'!$B$1:$S$836,4,0),"")</f>
        <v>ĐQSD</v>
      </c>
      <c r="F821" s="464" t="str">
        <f>IFERROR(VLOOKUP(B821,'03. THIẾT BỊ'!$B$1:$S$836,5,0),"")</f>
        <v>Kẹp gỗ xoay 360 độ</v>
      </c>
      <c r="G821" s="80" t="s">
        <v>6423</v>
      </c>
      <c r="H821" s="463" t="str">
        <f>IFERROR(VLOOKUP(B821,'03. THIẾT BỊ'!$B$1:$S$836,7,0),"")</f>
        <v>XN Bò AD</v>
      </c>
      <c r="I821" s="474" t="str">
        <f>IFERROR(VLOOKUP(B821,'03. THIẾT BỊ'!$B$1:$S$836,8,0),"")</f>
        <v>23/05/2024</v>
      </c>
      <c r="J821" s="471"/>
      <c r="K821" s="463" t="str">
        <f>IFERROR(VLOOKUP(B821,'03. THIẾT BỊ'!$B$1:$S$836,10,0),"")</f>
        <v>Bình thường</v>
      </c>
      <c r="L821" s="468" t="str">
        <f>IFERROR(VLOOKUP(B821,'03. THIẾT BỊ'!$B$1:$S$836,11,0),"")</f>
        <v/>
      </c>
      <c r="M821" s="472" t="str">
        <f>IFERROR(VLOOKUP(B821,'03. THIẾT BỊ'!$B$1:$S$836,12,0),"")</f>
        <v>Đã qua SD</v>
      </c>
      <c r="N821" s="468" t="str">
        <f>IFERROR(VLOOKUP(B821,'03. THIẾT BỊ'!$B$1:$S$836,13,0),"")</f>
        <v>HÀN QUỐC</v>
      </c>
      <c r="O821" s="470" t="str">
        <f>IFERROR(VLOOKUP(B821,'03. THIẾT BỊ'!$B$1:$S$836,14,0),"")</f>
        <v>HYUNG JE</v>
      </c>
      <c r="P821" s="468" t="str">
        <f>IFERROR(VLOOKUP(B821,'03. THIẾT BỊ'!$B$1:$S$836,15,0),"")</f>
        <v>HÀN QUỐC</v>
      </c>
      <c r="Q821" s="48" t="str">
        <f>IFERROR(VLOOKUP(B821,'03. THIẾT BỊ'!$B$1:$S$836,16,0),"")</f>
        <v/>
      </c>
      <c r="R821" s="471" t="str">
        <f>IFERROR(VLOOKUP(B821,'03. THIẾT BỊ'!$B$1:$S$836,17,0),"")</f>
        <v>Có đường kim</v>
      </c>
      <c r="S821" s="468" t="str">
        <f>IFERROR(VLOOKUP(B821,'03. THIẾT BỊ'!$B$1:$S$836,18,0),"")</f>
        <v/>
      </c>
      <c r="T821" s="807"/>
    </row>
    <row r="822" ht="15.0" customHeight="1">
      <c r="A822" s="488">
        <f t="shared" si="40"/>
        <v>14</v>
      </c>
      <c r="B822" s="464" t="s">
        <v>5375</v>
      </c>
      <c r="C822" s="869" t="str">
        <f>IFERROR(VLOOKUP(B822,'03. THIẾT BỊ'!$B$1:$S$836,2,0),"")</f>
        <v/>
      </c>
      <c r="D822" s="470" t="str">
        <f>IFERROR(VLOOKUP(B822,'03. THIẾT BỊ'!$B$1:$S$836,3,0),"")</f>
        <v>A22-MCL-001</v>
      </c>
      <c r="E822" s="464" t="str">
        <f>IFERROR(VLOOKUP(B822,'03. THIẾT BỊ'!$B$1:$S$836,4,0),"")</f>
        <v>ĐQSD</v>
      </c>
      <c r="F822" s="464" t="str">
        <f>IFERROR(VLOOKUP(B822,'03. THIẾT BỊ'!$B$1:$S$836,5,0),"")</f>
        <v>Rơ mooc clethon</v>
      </c>
      <c r="G822" s="80" t="s">
        <v>6423</v>
      </c>
      <c r="H822" s="463" t="str">
        <f>IFERROR(VLOOKUP(B822,'03. THIẾT BỊ'!$B$1:$S$836,7,0),"")</f>
        <v>XN Bò AD</v>
      </c>
      <c r="I822" s="474">
        <f>IFERROR(VLOOKUP(B822,'03. THIẾT BỊ'!$B$1:$S$836,8,0),"")</f>
        <v>45362</v>
      </c>
      <c r="J822" s="471"/>
      <c r="K822" s="463" t="str">
        <f>IFERROR(VLOOKUP(B822,'03. THIẾT BỊ'!$B$1:$S$836,10,0),"")</f>
        <v>Bình thường</v>
      </c>
      <c r="L822" s="468" t="str">
        <f>IFERROR(VLOOKUP(B822,'03. THIẾT BỊ'!$B$1:$S$836,11,0),"")</f>
        <v/>
      </c>
      <c r="M822" s="472" t="str">
        <f>IFERROR(VLOOKUP(B822,'03. THIẾT BỊ'!$B$1:$S$836,12,0),"")</f>
        <v>Gia công mới</v>
      </c>
      <c r="N822" s="468" t="str">
        <f>IFERROR(VLOOKUP(B822,'03. THIẾT BỊ'!$B$1:$S$836,13,0),"")</f>
        <v>THACO AGRI</v>
      </c>
      <c r="O822" s="470" t="str">
        <f>IFERROR(VLOOKUP(B822,'03. THIẾT BỊ'!$B$1:$S$836,14,0),"")</f>
        <v>CLT</v>
      </c>
      <c r="P822" s="468" t="str">
        <f>IFERROR(VLOOKUP(B822,'03. THIẾT BỊ'!$B$1:$S$836,15,0),"")</f>
        <v>CK-CGH</v>
      </c>
      <c r="Q822" s="48">
        <f>IFERROR(VLOOKUP(B822,'03. THIẾT BỊ'!$B$1:$S$836,16,0),"")</f>
        <v>2024</v>
      </c>
      <c r="R822" s="471" t="str">
        <f>IFERROR(VLOOKUP(B822,'03. THIẾT BỊ'!$B$1:$S$836,17,0),"")</f>
        <v>5,5x1,9x2,21m</v>
      </c>
      <c r="S822" s="468" t="str">
        <f>IFERROR(VLOOKUP(B822,'03. THIẾT BỊ'!$B$1:$S$836,18,0),"")</f>
        <v/>
      </c>
      <c r="T822" s="807"/>
    </row>
    <row r="823" ht="15.0" customHeight="1">
      <c r="A823" s="488">
        <f t="shared" si="40"/>
        <v>15</v>
      </c>
      <c r="B823" s="464" t="s">
        <v>5379</v>
      </c>
      <c r="C823" s="869" t="str">
        <f>IFERROR(VLOOKUP(B823,'03. THIẾT BỊ'!$B$1:$S$836,2,0),"")</f>
        <v/>
      </c>
      <c r="D823" s="470" t="str">
        <f>IFERROR(VLOOKUP(B823,'03. THIẾT BỊ'!$B$1:$S$836,3,0),"")</f>
        <v>A22-MCL-002</v>
      </c>
      <c r="E823" s="464" t="str">
        <f>IFERROR(VLOOKUP(B823,'03. THIẾT BỊ'!$B$1:$S$836,4,0),"")</f>
        <v>ĐQSD</v>
      </c>
      <c r="F823" s="464" t="str">
        <f>IFERROR(VLOOKUP(B823,'03. THIẾT BỊ'!$B$1:$S$836,5,0),"")</f>
        <v>Rơ mooc clethon</v>
      </c>
      <c r="G823" s="80" t="s">
        <v>6423</v>
      </c>
      <c r="H823" s="463" t="str">
        <f>IFERROR(VLOOKUP(B823,'03. THIẾT BỊ'!$B$1:$S$836,7,0),"")</f>
        <v>XN Bò AD</v>
      </c>
      <c r="I823" s="474">
        <f>IFERROR(VLOOKUP(B823,'03. THIẾT BỊ'!$B$1:$S$836,8,0),"")</f>
        <v>45362</v>
      </c>
      <c r="J823" s="471"/>
      <c r="K823" s="463" t="str">
        <f>IFERROR(VLOOKUP(B823,'03. THIẾT BỊ'!$B$1:$S$836,10,0),"")</f>
        <v>Bình thường</v>
      </c>
      <c r="L823" s="468" t="str">
        <f>IFERROR(VLOOKUP(B823,'03. THIẾT BỊ'!$B$1:$S$836,11,0),"")</f>
        <v/>
      </c>
      <c r="M823" s="472" t="str">
        <f>IFERROR(VLOOKUP(B823,'03. THIẾT BỊ'!$B$1:$S$836,12,0),"")</f>
        <v>Gia công mới</v>
      </c>
      <c r="N823" s="468" t="str">
        <f>IFERROR(VLOOKUP(B823,'03. THIẾT BỊ'!$B$1:$S$836,13,0),"")</f>
        <v>THACO AGRI</v>
      </c>
      <c r="O823" s="470" t="str">
        <f>IFERROR(VLOOKUP(B823,'03. THIẾT BỊ'!$B$1:$S$836,14,0),"")</f>
        <v>CLT</v>
      </c>
      <c r="P823" s="468" t="str">
        <f>IFERROR(VLOOKUP(B823,'03. THIẾT BỊ'!$B$1:$S$836,15,0),"")</f>
        <v>CK-CGH</v>
      </c>
      <c r="Q823" s="48">
        <f>IFERROR(VLOOKUP(B823,'03. THIẾT BỊ'!$B$1:$S$836,16,0),"")</f>
        <v>2024</v>
      </c>
      <c r="R823" s="471" t="str">
        <f>IFERROR(VLOOKUP(B823,'03. THIẾT BỊ'!$B$1:$S$836,17,0),"")</f>
        <v>5,5x1,9x2,21m</v>
      </c>
      <c r="S823" s="468" t="str">
        <f>IFERROR(VLOOKUP(B823,'03. THIẾT BỊ'!$B$1:$S$836,18,0),"")</f>
        <v/>
      </c>
      <c r="T823" s="807"/>
    </row>
    <row r="824">
      <c r="A824" s="488">
        <f t="shared" si="40"/>
        <v>16</v>
      </c>
      <c r="B824" s="464" t="s">
        <v>4624</v>
      </c>
      <c r="C824" s="869" t="str">
        <f>IFERROR(VLOOKUP(B824,'03. THIẾT BỊ'!$B$1:$S$836,2,0),"")</f>
        <v/>
      </c>
      <c r="D824" s="470" t="str">
        <f>IFERROR(VLOOKUP(B824,'03. THIẾT BỊ'!$B$1:$S$836,3,0),"")</f>
        <v>A24-MCL-001</v>
      </c>
      <c r="E824" s="464" t="str">
        <f>IFERROR(VLOOKUP(B824,'03. THIẾT BỊ'!$B$1:$S$836,4,0),"")</f>
        <v>ĐQSD</v>
      </c>
      <c r="F824" s="464" t="str">
        <f>IFERROR(VLOOKUP(B824,'03. THIẾT BỊ'!$B$1:$S$836,5,0),"")</f>
        <v>Rơ mooc clethon</v>
      </c>
      <c r="G824" s="80" t="s">
        <v>6423</v>
      </c>
      <c r="H824" s="463" t="str">
        <f>IFERROR(VLOOKUP(B824,'03. THIẾT BỊ'!$B$1:$S$836,7,0),"")</f>
        <v>XN Chuối LP3</v>
      </c>
      <c r="I824" s="474" t="str">
        <f>IFERROR(VLOOKUP(B824,'03. THIẾT BỊ'!$B$1:$S$836,8,0),"")</f>
        <v>29/09/2025</v>
      </c>
      <c r="J824" s="471"/>
      <c r="K824" s="463" t="str">
        <f>IFERROR(VLOOKUP(B824,'03. THIẾT BỊ'!$B$1:$S$836,10,0),"")</f>
        <v>Bình thường</v>
      </c>
      <c r="L824" s="468" t="str">
        <f>IFERROR(VLOOKUP(B824,'03. THIẾT BỊ'!$B$1:$S$836,11,0),"")</f>
        <v/>
      </c>
      <c r="M824" s="472" t="str">
        <f>IFERROR(VLOOKUP(B824,'03. THIẾT BỊ'!$B$1:$S$836,12,0),"")</f>
        <v>Gia công mới</v>
      </c>
      <c r="N824" s="468" t="str">
        <f>IFERROR(VLOOKUP(B824,'03. THIẾT BỊ'!$B$1:$S$836,13,0),"")</f>
        <v>THACO AGRI</v>
      </c>
      <c r="O824" s="470" t="str">
        <f>IFERROR(VLOOKUP(B824,'03. THIẾT BỊ'!$B$1:$S$836,14,0),"")</f>
        <v>CK-MCL</v>
      </c>
      <c r="P824" s="468" t="str">
        <f>IFERROR(VLOOKUP(B824,'03. THIẾT BỊ'!$B$1:$S$836,15,0),"")</f>
        <v>CK-CGH</v>
      </c>
      <c r="Q824" s="48" t="str">
        <f>IFERROR(VLOOKUP(B824,'03. THIẾT BỊ'!$B$1:$S$836,16,0),"")</f>
        <v/>
      </c>
      <c r="R824" s="471" t="str">
        <f>IFERROR(VLOOKUP(B824,'03. THIẾT BỊ'!$B$1:$S$836,17,0),"")</f>
        <v/>
      </c>
      <c r="S824" s="468" t="str">
        <f>IFERROR(VLOOKUP(B824,'03. THIẾT BỊ'!$B$1:$S$836,18,0),"")</f>
        <v>5,4x1,8x0,9</v>
      </c>
      <c r="T824" s="807"/>
    </row>
    <row r="825">
      <c r="A825" s="488">
        <f t="shared" si="40"/>
        <v>17</v>
      </c>
      <c r="B825" s="464" t="s">
        <v>4628</v>
      </c>
      <c r="C825" s="869" t="str">
        <f>IFERROR(VLOOKUP(B825,'03. THIẾT BỊ'!$B$1:$S$836,2,0),"")</f>
        <v/>
      </c>
      <c r="D825" s="470" t="str">
        <f>IFERROR(VLOOKUP(B825,'03. THIẾT BỊ'!$B$1:$S$836,3,0),"")</f>
        <v>A24-MCL-002</v>
      </c>
      <c r="E825" s="464" t="str">
        <f>IFERROR(VLOOKUP(B825,'03. THIẾT BỊ'!$B$1:$S$836,4,0),"")</f>
        <v>ĐQSD</v>
      </c>
      <c r="F825" s="464" t="str">
        <f>IFERROR(VLOOKUP(B825,'03. THIẾT BỊ'!$B$1:$S$836,5,0),"")</f>
        <v>Rơ mooc clethon</v>
      </c>
      <c r="G825" s="80" t="s">
        <v>6423</v>
      </c>
      <c r="H825" s="463" t="str">
        <f>IFERROR(VLOOKUP(B825,'03. THIẾT BỊ'!$B$1:$S$836,7,0),"")</f>
        <v>XN Chuối LP3</v>
      </c>
      <c r="I825" s="474" t="str">
        <f>IFERROR(VLOOKUP(B825,'03. THIẾT BỊ'!$B$1:$S$836,8,0),"")</f>
        <v>26/11/2025</v>
      </c>
      <c r="J825" s="471"/>
      <c r="K825" s="463" t="str">
        <f>IFERROR(VLOOKUP(B825,'03. THIẾT BỊ'!$B$1:$S$836,10,0),"")</f>
        <v>Bình thường</v>
      </c>
      <c r="L825" s="468" t="str">
        <f>IFERROR(VLOOKUP(B825,'03. THIẾT BỊ'!$B$1:$S$836,11,0),"")</f>
        <v/>
      </c>
      <c r="M825" s="472" t="str">
        <f>IFERROR(VLOOKUP(B825,'03. THIẾT BỊ'!$B$1:$S$836,12,0),"")</f>
        <v>Gia công mới</v>
      </c>
      <c r="N825" s="468" t="str">
        <f>IFERROR(VLOOKUP(B825,'03. THIẾT BỊ'!$B$1:$S$836,13,0),"")</f>
        <v>THACO AGRI</v>
      </c>
      <c r="O825" s="470" t="str">
        <f>IFERROR(VLOOKUP(B825,'03. THIẾT BỊ'!$B$1:$S$836,14,0),"")</f>
        <v>CK-MCL</v>
      </c>
      <c r="P825" s="468" t="str">
        <f>IFERROR(VLOOKUP(B825,'03. THIẾT BỊ'!$B$1:$S$836,15,0),"")</f>
        <v>CK-CGH</v>
      </c>
      <c r="Q825" s="48" t="str">
        <f>IFERROR(VLOOKUP(B825,'03. THIẾT BỊ'!$B$1:$S$836,16,0),"")</f>
        <v/>
      </c>
      <c r="R825" s="471" t="str">
        <f>IFERROR(VLOOKUP(B825,'03. THIẾT BỊ'!$B$1:$S$836,17,0),"")</f>
        <v/>
      </c>
      <c r="S825" s="468" t="str">
        <f>IFERROR(VLOOKUP(B825,'03. THIẾT BỊ'!$B$1:$S$836,18,0),"")</f>
        <v/>
      </c>
      <c r="T825" s="807"/>
    </row>
    <row r="826">
      <c r="A826" s="488">
        <f t="shared" si="40"/>
        <v>18</v>
      </c>
      <c r="B826" s="464" t="s">
        <v>4630</v>
      </c>
      <c r="C826" s="869" t="str">
        <f>IFERROR(VLOOKUP(B826,'03. THIẾT BỊ'!$B$1:$S$836,2,0),"")</f>
        <v/>
      </c>
      <c r="D826" s="470" t="str">
        <f>IFERROR(VLOOKUP(B826,'03. THIẾT BỊ'!$B$1:$S$836,3,0),"")</f>
        <v>A24-MCL-003</v>
      </c>
      <c r="E826" s="464" t="str">
        <f>IFERROR(VLOOKUP(B826,'03. THIẾT BỊ'!$B$1:$S$836,4,0),"")</f>
        <v>ĐQSD</v>
      </c>
      <c r="F826" s="464" t="str">
        <f>IFERROR(VLOOKUP(B826,'03. THIẾT BỊ'!$B$1:$S$836,5,0),"")</f>
        <v>Rơ mooc clethon</v>
      </c>
      <c r="G826" s="80" t="s">
        <v>6423</v>
      </c>
      <c r="H826" s="463" t="str">
        <f>IFERROR(VLOOKUP(B826,'03. THIẾT BỊ'!$B$1:$S$836,7,0),"")</f>
        <v>XN Chuối LP3</v>
      </c>
      <c r="I826" s="474" t="str">
        <f>IFERROR(VLOOKUP(B826,'03. THIẾT BỊ'!$B$1:$S$836,8,0),"")</f>
        <v>26/11/2025</v>
      </c>
      <c r="J826" s="471"/>
      <c r="K826" s="463" t="str">
        <f>IFERROR(VLOOKUP(B826,'03. THIẾT BỊ'!$B$1:$S$836,10,0),"")</f>
        <v>Bình thường</v>
      </c>
      <c r="L826" s="468" t="str">
        <f>IFERROR(VLOOKUP(B826,'03. THIẾT BỊ'!$B$1:$S$836,11,0),"")</f>
        <v/>
      </c>
      <c r="M826" s="472" t="str">
        <f>IFERROR(VLOOKUP(B826,'03. THIẾT BỊ'!$B$1:$S$836,12,0),"")</f>
        <v>Gia công mới</v>
      </c>
      <c r="N826" s="468" t="str">
        <f>IFERROR(VLOOKUP(B826,'03. THIẾT BỊ'!$B$1:$S$836,13,0),"")</f>
        <v>THACO AGRI</v>
      </c>
      <c r="O826" s="470" t="str">
        <f>IFERROR(VLOOKUP(B826,'03. THIẾT BỊ'!$B$1:$S$836,14,0),"")</f>
        <v>CK-MCL</v>
      </c>
      <c r="P826" s="468" t="str">
        <f>IFERROR(VLOOKUP(B826,'03. THIẾT BỊ'!$B$1:$S$836,15,0),"")</f>
        <v>CK-CGH</v>
      </c>
      <c r="Q826" s="48" t="str">
        <f>IFERROR(VLOOKUP(B826,'03. THIẾT BỊ'!$B$1:$S$836,16,0),"")</f>
        <v/>
      </c>
      <c r="R826" s="471" t="str">
        <f>IFERROR(VLOOKUP(B826,'03. THIẾT BỊ'!$B$1:$S$836,17,0),"")</f>
        <v/>
      </c>
      <c r="S826" s="468" t="str">
        <f>IFERROR(VLOOKUP(B826,'03. THIẾT BỊ'!$B$1:$S$836,18,0),"")</f>
        <v/>
      </c>
      <c r="T826" s="807"/>
    </row>
    <row r="827">
      <c r="A827" s="488">
        <f t="shared" si="40"/>
        <v>19</v>
      </c>
      <c r="B827" s="464" t="s">
        <v>4200</v>
      </c>
      <c r="C827" s="869" t="str">
        <f>IFERROR(VLOOKUP(B827,'03. THIẾT BỊ'!$B$1:$S$836,2,0),"")</f>
        <v/>
      </c>
      <c r="D827" s="470" t="str">
        <f>IFERROR(VLOOKUP(B827,'03. THIẾT BỊ'!$B$1:$S$836,3,0),"")</f>
        <v>A23-MCL-001</v>
      </c>
      <c r="E827" s="464" t="str">
        <f>IFERROR(VLOOKUP(B827,'03. THIẾT BỊ'!$B$1:$S$836,4,0),"")</f>
        <v>ĐQSD</v>
      </c>
      <c r="F827" s="464" t="str">
        <f>IFERROR(VLOOKUP(B827,'03. THIẾT BỊ'!$B$1:$S$836,5,0),"")</f>
        <v>Rơ mooc clethon</v>
      </c>
      <c r="G827" s="80" t="s">
        <v>6423</v>
      </c>
      <c r="H827" s="463" t="str">
        <f>IFERROR(VLOOKUP(B827,'03. THIẾT BỊ'!$B$1:$S$836,7,0),"")</f>
        <v>XN Chuối DP2</v>
      </c>
      <c r="I827" s="474" t="str">
        <f>IFERROR(VLOOKUP(B827,'03. THIẾT BỊ'!$B$1:$S$836,8,0),"")</f>
        <v/>
      </c>
      <c r="J827" s="471"/>
      <c r="K827" s="463" t="str">
        <f>IFERROR(VLOOKUP(B827,'03. THIẾT BỊ'!$B$1:$S$836,10,0),"")</f>
        <v>Bình thường</v>
      </c>
      <c r="L827" s="468" t="str">
        <f>IFERROR(VLOOKUP(B827,'03. THIẾT BỊ'!$B$1:$S$836,11,0),"")</f>
        <v/>
      </c>
      <c r="M827" s="472" t="str">
        <f>IFERROR(VLOOKUP(B827,'03. THIẾT BỊ'!$B$1:$S$836,12,0),"")</f>
        <v/>
      </c>
      <c r="N827" s="468" t="str">
        <f>IFERROR(VLOOKUP(B827,'03. THIẾT BỊ'!$B$1:$S$836,13,0),"")</f>
        <v>THACO AGRI</v>
      </c>
      <c r="O827" s="470" t="str">
        <f>IFERROR(VLOOKUP(B827,'03. THIẾT BỊ'!$B$1:$S$836,14,0),"")</f>
        <v/>
      </c>
      <c r="P827" s="468" t="str">
        <f>IFERROR(VLOOKUP(B827,'03. THIẾT BỊ'!$B$1:$S$836,15,0),"")</f>
        <v>CK-CGH</v>
      </c>
      <c r="Q827" s="48" t="str">
        <f>IFERROR(VLOOKUP(B827,'03. THIẾT BỊ'!$B$1:$S$836,16,0),"")</f>
        <v/>
      </c>
      <c r="R827" s="471" t="str">
        <f>IFERROR(VLOOKUP(B827,'03. THIẾT BỊ'!$B$1:$S$836,17,0),"")</f>
        <v>4.5x2.5x1.4</v>
      </c>
      <c r="S827" s="468" t="str">
        <f>IFERROR(VLOOKUP(B827,'03. THIẾT BỊ'!$B$1:$S$836,18,0),"")</f>
        <v/>
      </c>
      <c r="T827" s="807"/>
    </row>
    <row r="828">
      <c r="A828" s="488">
        <f t="shared" si="40"/>
        <v>20</v>
      </c>
      <c r="B828" s="464" t="s">
        <v>4204</v>
      </c>
      <c r="C828" s="869" t="str">
        <f>IFERROR(VLOOKUP(B828,'03. THIẾT BỊ'!$B$1:$S$836,2,0),"")</f>
        <v/>
      </c>
      <c r="D828" s="470" t="str">
        <f>IFERROR(VLOOKUP(B828,'03. THIẾT BỊ'!$B$1:$S$836,3,0),"")</f>
        <v>A23-MCL-002</v>
      </c>
      <c r="E828" s="464" t="str">
        <f>IFERROR(VLOOKUP(B828,'03. THIẾT BỊ'!$B$1:$S$836,4,0),"")</f>
        <v>ĐQSD</v>
      </c>
      <c r="F828" s="464" t="str">
        <f>IFERROR(VLOOKUP(B828,'03. THIẾT BỊ'!$B$1:$S$836,5,0),"")</f>
        <v>Rơ mooc clethon</v>
      </c>
      <c r="G828" s="80" t="s">
        <v>6423</v>
      </c>
      <c r="H828" s="463" t="str">
        <f>IFERROR(VLOOKUP(B828,'03. THIẾT BỊ'!$B$1:$S$836,7,0),"")</f>
        <v>XN Chuối DP2</v>
      </c>
      <c r="I828" s="474" t="str">
        <f>IFERROR(VLOOKUP(B828,'03. THIẾT BỊ'!$B$1:$S$836,8,0),"")</f>
        <v/>
      </c>
      <c r="J828" s="471"/>
      <c r="K828" s="463" t="str">
        <f>IFERROR(VLOOKUP(B828,'03. THIẾT BỊ'!$B$1:$S$836,10,0),"")</f>
        <v>Bình thường</v>
      </c>
      <c r="L828" s="468" t="str">
        <f>IFERROR(VLOOKUP(B828,'03. THIẾT BỊ'!$B$1:$S$836,11,0),"")</f>
        <v/>
      </c>
      <c r="M828" s="472" t="str">
        <f>IFERROR(VLOOKUP(B828,'03. THIẾT BỊ'!$B$1:$S$836,12,0),"")</f>
        <v/>
      </c>
      <c r="N828" s="468" t="str">
        <f>IFERROR(VLOOKUP(B828,'03. THIẾT BỊ'!$B$1:$S$836,13,0),"")</f>
        <v>THACO AGRI</v>
      </c>
      <c r="O828" s="470" t="str">
        <f>IFERROR(VLOOKUP(B828,'03. THIẾT BỊ'!$B$1:$S$836,14,0),"")</f>
        <v/>
      </c>
      <c r="P828" s="468" t="str">
        <f>IFERROR(VLOOKUP(B828,'03. THIẾT BỊ'!$B$1:$S$836,15,0),"")</f>
        <v>CK-CGH</v>
      </c>
      <c r="Q828" s="48" t="str">
        <f>IFERROR(VLOOKUP(B828,'03. THIẾT BỊ'!$B$1:$S$836,16,0),"")</f>
        <v/>
      </c>
      <c r="R828" s="471" t="str">
        <f>IFERROR(VLOOKUP(B828,'03. THIẾT BỊ'!$B$1:$S$836,17,0),"")</f>
        <v>4.5x2.5x1.4</v>
      </c>
      <c r="S828" s="468" t="str">
        <f>IFERROR(VLOOKUP(B828,'03. THIẾT BỊ'!$B$1:$S$836,18,0),"")</f>
        <v/>
      </c>
      <c r="T828" s="807"/>
    </row>
    <row r="829">
      <c r="A829" s="488">
        <f t="shared" si="40"/>
        <v>21</v>
      </c>
      <c r="B829" s="464"/>
      <c r="C829" s="869" t="str">
        <f>IFERROR(VLOOKUP(B829,'03. THIẾT BỊ'!$B$1:$S$836,2,0),"")</f>
        <v/>
      </c>
      <c r="D829" s="470" t="str">
        <f>IFERROR(VLOOKUP(B829,'03. THIẾT BỊ'!$B$1:$S$836,3,0),"")</f>
        <v/>
      </c>
      <c r="E829" s="464" t="str">
        <f>IFERROR(VLOOKUP(B829,'03. THIẾT BỊ'!$B$1:$S$836,4,0),"")</f>
        <v/>
      </c>
      <c r="F829" s="464" t="str">
        <f>IFERROR(VLOOKUP(B829,'03. THIẾT BỊ'!$B$1:$S$836,5,0),"")</f>
        <v/>
      </c>
      <c r="G829" s="80" t="s">
        <v>6423</v>
      </c>
      <c r="H829" s="463" t="str">
        <f>IFERROR(VLOOKUP(B829,'03. THIẾT BỊ'!$B$1:$S$836,7,0),"")</f>
        <v/>
      </c>
      <c r="I829" s="474" t="str">
        <f>IFERROR(VLOOKUP(B829,'03. THIẾT BỊ'!$B$1:$S$836,8,0),"")</f>
        <v/>
      </c>
      <c r="J829" s="471"/>
      <c r="K829" s="463" t="str">
        <f>IFERROR(VLOOKUP(B829,'03. THIẾT BỊ'!$B$1:$S$836,10,0),"")</f>
        <v/>
      </c>
      <c r="L829" s="468" t="str">
        <f>IFERROR(VLOOKUP(B829,'03. THIẾT BỊ'!$B$1:$S$836,11,0),"")</f>
        <v/>
      </c>
      <c r="M829" s="472" t="str">
        <f>IFERROR(VLOOKUP(B829,'03. THIẾT BỊ'!$B$1:$S$836,12,0),"")</f>
        <v/>
      </c>
      <c r="N829" s="468" t="str">
        <f>IFERROR(VLOOKUP(B829,'03. THIẾT BỊ'!$B$1:$S$836,13,0),"")</f>
        <v/>
      </c>
      <c r="O829" s="470" t="str">
        <f>IFERROR(VLOOKUP(B829,'03. THIẾT BỊ'!$B$1:$S$836,14,0),"")</f>
        <v/>
      </c>
      <c r="P829" s="468" t="str">
        <f>IFERROR(VLOOKUP(B829,'03. THIẾT BỊ'!$B$1:$S$836,15,0),"")</f>
        <v/>
      </c>
      <c r="Q829" s="48" t="str">
        <f>IFERROR(VLOOKUP(B829,'03. THIẾT BỊ'!$B$1:$S$836,16,0),"")</f>
        <v/>
      </c>
      <c r="R829" s="471" t="str">
        <f>IFERROR(VLOOKUP(B829,'03. THIẾT BỊ'!$B$1:$S$836,17,0),"")</f>
        <v/>
      </c>
      <c r="S829" s="468" t="str">
        <f>IFERROR(VLOOKUP(B829,'03. THIẾT BỊ'!$B$1:$S$836,18,0),"")</f>
        <v/>
      </c>
      <c r="T829" s="807"/>
    </row>
    <row r="830">
      <c r="A830" s="488">
        <f t="shared" si="40"/>
        <v>22</v>
      </c>
      <c r="B830" s="464"/>
      <c r="C830" s="869" t="str">
        <f>IFERROR(VLOOKUP(B830,'03. THIẾT BỊ'!$B$1:$S$836,2,0),"")</f>
        <v/>
      </c>
      <c r="D830" s="470" t="str">
        <f>IFERROR(VLOOKUP(B830,'03. THIẾT BỊ'!$B$1:$S$836,3,0),"")</f>
        <v/>
      </c>
      <c r="E830" s="464" t="str">
        <f>IFERROR(VLOOKUP(B830,'03. THIẾT BỊ'!$B$1:$S$836,4,0),"")</f>
        <v/>
      </c>
      <c r="F830" s="464" t="str">
        <f>IFERROR(VLOOKUP(B830,'03. THIẾT BỊ'!$B$1:$S$836,5,0),"")</f>
        <v/>
      </c>
      <c r="G830" s="80" t="s">
        <v>6423</v>
      </c>
      <c r="H830" s="463" t="str">
        <f>IFERROR(VLOOKUP(B830,'03. THIẾT BỊ'!$B$1:$S$836,7,0),"")</f>
        <v/>
      </c>
      <c r="I830" s="474" t="str">
        <f>IFERROR(VLOOKUP(B830,'03. THIẾT BỊ'!$B$1:$S$836,8,0),"")</f>
        <v/>
      </c>
      <c r="J830" s="471"/>
      <c r="K830" s="463" t="str">
        <f>IFERROR(VLOOKUP(B830,'03. THIẾT BỊ'!$B$1:$S$836,10,0),"")</f>
        <v/>
      </c>
      <c r="L830" s="468" t="str">
        <f>IFERROR(VLOOKUP(B830,'03. THIẾT BỊ'!$B$1:$S$836,11,0),"")</f>
        <v/>
      </c>
      <c r="M830" s="472" t="str">
        <f>IFERROR(VLOOKUP(B830,'03. THIẾT BỊ'!$B$1:$S$836,12,0),"")</f>
        <v/>
      </c>
      <c r="N830" s="468" t="str">
        <f>IFERROR(VLOOKUP(B830,'03. THIẾT BỊ'!$B$1:$S$836,13,0),"")</f>
        <v/>
      </c>
      <c r="O830" s="470" t="str">
        <f>IFERROR(VLOOKUP(B830,'03. THIẾT BỊ'!$B$1:$S$836,14,0),"")</f>
        <v/>
      </c>
      <c r="P830" s="468" t="str">
        <f>IFERROR(VLOOKUP(B830,'03. THIẾT BỊ'!$B$1:$S$836,15,0),"")</f>
        <v/>
      </c>
      <c r="Q830" s="48" t="str">
        <f>IFERROR(VLOOKUP(B830,'03. THIẾT BỊ'!$B$1:$S$836,16,0),"")</f>
        <v/>
      </c>
      <c r="R830" s="471" t="str">
        <f>IFERROR(VLOOKUP(B830,'03. THIẾT BỊ'!$B$1:$S$836,17,0),"")</f>
        <v/>
      </c>
      <c r="S830" s="468" t="str">
        <f>IFERROR(VLOOKUP(B830,'03. THIẾT BỊ'!$B$1:$S$836,18,0),"")</f>
        <v/>
      </c>
      <c r="T830" s="807"/>
    </row>
    <row r="831">
      <c r="A831" s="488">
        <f t="shared" si="40"/>
        <v>23</v>
      </c>
      <c r="B831" s="464"/>
      <c r="C831" s="869" t="str">
        <f>IFERROR(VLOOKUP(B831,'03. THIẾT BỊ'!$B$1:$S$836,2,0),"")</f>
        <v/>
      </c>
      <c r="D831" s="470" t="str">
        <f>IFERROR(VLOOKUP(B831,'03. THIẾT BỊ'!$B$1:$S$836,3,0),"")</f>
        <v/>
      </c>
      <c r="E831" s="464" t="str">
        <f>IFERROR(VLOOKUP(B831,'03. THIẾT BỊ'!$B$1:$S$836,4,0),"")</f>
        <v/>
      </c>
      <c r="F831" s="464" t="str">
        <f>IFERROR(VLOOKUP(B831,'03. THIẾT BỊ'!$B$1:$S$836,5,0),"")</f>
        <v/>
      </c>
      <c r="G831" s="80" t="s">
        <v>6423</v>
      </c>
      <c r="H831" s="463" t="str">
        <f>IFERROR(VLOOKUP(B831,'03. THIẾT BỊ'!$B$1:$S$836,7,0),"")</f>
        <v/>
      </c>
      <c r="I831" s="474" t="str">
        <f>IFERROR(VLOOKUP(B831,'03. THIẾT BỊ'!$B$1:$S$836,8,0),"")</f>
        <v/>
      </c>
      <c r="J831" s="471"/>
      <c r="K831" s="463" t="str">
        <f>IFERROR(VLOOKUP(B831,'03. THIẾT BỊ'!$B$1:$S$836,10,0),"")</f>
        <v/>
      </c>
      <c r="L831" s="468" t="str">
        <f>IFERROR(VLOOKUP(B831,'03. THIẾT BỊ'!$B$1:$S$836,11,0),"")</f>
        <v/>
      </c>
      <c r="M831" s="472" t="str">
        <f>IFERROR(VLOOKUP(B831,'03. THIẾT BỊ'!$B$1:$S$836,12,0),"")</f>
        <v/>
      </c>
      <c r="N831" s="468" t="str">
        <f>IFERROR(VLOOKUP(B831,'03. THIẾT BỊ'!$B$1:$S$836,13,0),"")</f>
        <v/>
      </c>
      <c r="O831" s="470" t="str">
        <f>IFERROR(VLOOKUP(B831,'03. THIẾT BỊ'!$B$1:$S$836,14,0),"")</f>
        <v/>
      </c>
      <c r="P831" s="468" t="str">
        <f>IFERROR(VLOOKUP(B831,'03. THIẾT BỊ'!$B$1:$S$836,15,0),"")</f>
        <v/>
      </c>
      <c r="Q831" s="48" t="str">
        <f>IFERROR(VLOOKUP(B831,'03. THIẾT BỊ'!$B$1:$S$836,16,0),"")</f>
        <v/>
      </c>
      <c r="R831" s="471" t="str">
        <f>IFERROR(VLOOKUP(B831,'03. THIẾT BỊ'!$B$1:$S$836,17,0),"")</f>
        <v/>
      </c>
      <c r="S831" s="468" t="str">
        <f>IFERROR(VLOOKUP(B831,'03. THIẾT BỊ'!$B$1:$S$836,18,0),"")</f>
        <v/>
      </c>
      <c r="T831" s="807"/>
    </row>
    <row r="832">
      <c r="A832" s="488">
        <f t="shared" si="40"/>
        <v>24</v>
      </c>
      <c r="B832" s="464"/>
      <c r="C832" s="869" t="str">
        <f>IFERROR(VLOOKUP(B832,'03. THIẾT BỊ'!$B$1:$S$836,2,0),"")</f>
        <v/>
      </c>
      <c r="D832" s="470" t="str">
        <f>IFERROR(VLOOKUP(B832,'03. THIẾT BỊ'!$B$1:$S$836,3,0),"")</f>
        <v/>
      </c>
      <c r="E832" s="464" t="str">
        <f>IFERROR(VLOOKUP(B832,'03. THIẾT BỊ'!$B$1:$S$836,4,0),"")</f>
        <v/>
      </c>
      <c r="F832" s="464" t="str">
        <f>IFERROR(VLOOKUP(B832,'03. THIẾT BỊ'!$B$1:$S$836,5,0),"")</f>
        <v/>
      </c>
      <c r="G832" s="80" t="s">
        <v>6423</v>
      </c>
      <c r="H832" s="463" t="str">
        <f>IFERROR(VLOOKUP(B832,'03. THIẾT BỊ'!$B$1:$S$836,7,0),"")</f>
        <v/>
      </c>
      <c r="I832" s="474" t="str">
        <f>IFERROR(VLOOKUP(B832,'03. THIẾT BỊ'!$B$1:$S$836,8,0),"")</f>
        <v/>
      </c>
      <c r="J832" s="471"/>
      <c r="K832" s="463" t="str">
        <f>IFERROR(VLOOKUP(B832,'03. THIẾT BỊ'!$B$1:$S$836,10,0),"")</f>
        <v/>
      </c>
      <c r="L832" s="468" t="str">
        <f>IFERROR(VLOOKUP(B832,'03. THIẾT BỊ'!$B$1:$S$836,11,0),"")</f>
        <v/>
      </c>
      <c r="M832" s="472" t="str">
        <f>IFERROR(VLOOKUP(B832,'03. THIẾT BỊ'!$B$1:$S$836,12,0),"")</f>
        <v/>
      </c>
      <c r="N832" s="468" t="str">
        <f>IFERROR(VLOOKUP(B832,'03. THIẾT BỊ'!$B$1:$S$836,13,0),"")</f>
        <v/>
      </c>
      <c r="O832" s="470" t="str">
        <f>IFERROR(VLOOKUP(B832,'03. THIẾT BỊ'!$B$1:$S$836,14,0),"")</f>
        <v/>
      </c>
      <c r="P832" s="468" t="str">
        <f>IFERROR(VLOOKUP(B832,'03. THIẾT BỊ'!$B$1:$S$836,15,0),"")</f>
        <v/>
      </c>
      <c r="Q832" s="48" t="str">
        <f>IFERROR(VLOOKUP(B832,'03. THIẾT BỊ'!$B$1:$S$836,16,0),"")</f>
        <v/>
      </c>
      <c r="R832" s="471" t="str">
        <f>IFERROR(VLOOKUP(B832,'03. THIẾT BỊ'!$B$1:$S$836,17,0),"")</f>
        <v/>
      </c>
      <c r="S832" s="468" t="str">
        <f>IFERROR(VLOOKUP(B832,'03. THIẾT BỊ'!$B$1:$S$836,18,0),"")</f>
        <v/>
      </c>
      <c r="T832" s="807"/>
    </row>
    <row r="833">
      <c r="A833" s="488">
        <f t="shared" si="40"/>
        <v>25</v>
      </c>
      <c r="B833" s="464"/>
      <c r="C833" s="869" t="str">
        <f>IFERROR(VLOOKUP(B833,'03. THIẾT BỊ'!$B$1:$S$836,2,0),"")</f>
        <v/>
      </c>
      <c r="D833" s="470" t="str">
        <f>IFERROR(VLOOKUP(B833,'03. THIẾT BỊ'!$B$1:$S$836,3,0),"")</f>
        <v/>
      </c>
      <c r="E833" s="464" t="str">
        <f>IFERROR(VLOOKUP(B833,'03. THIẾT BỊ'!$B$1:$S$836,4,0),"")</f>
        <v/>
      </c>
      <c r="F833" s="464" t="str">
        <f>IFERROR(VLOOKUP(B833,'03. THIẾT BỊ'!$B$1:$S$836,5,0),"")</f>
        <v/>
      </c>
      <c r="G833" s="80" t="s">
        <v>6423</v>
      </c>
      <c r="H833" s="463" t="str">
        <f>IFERROR(VLOOKUP(B833,'03. THIẾT BỊ'!$B$1:$S$836,7,0),"")</f>
        <v/>
      </c>
      <c r="I833" s="474" t="str">
        <f>IFERROR(VLOOKUP(B833,'03. THIẾT BỊ'!$B$1:$S$836,8,0),"")</f>
        <v/>
      </c>
      <c r="J833" s="471"/>
      <c r="K833" s="463" t="str">
        <f>IFERROR(VLOOKUP(B833,'03. THIẾT BỊ'!$B$1:$S$836,10,0),"")</f>
        <v/>
      </c>
      <c r="L833" s="468" t="str">
        <f>IFERROR(VLOOKUP(B833,'03. THIẾT BỊ'!$B$1:$S$836,11,0),"")</f>
        <v/>
      </c>
      <c r="M833" s="472" t="str">
        <f>IFERROR(VLOOKUP(B833,'03. THIẾT BỊ'!$B$1:$S$836,12,0),"")</f>
        <v/>
      </c>
      <c r="N833" s="468" t="str">
        <f>IFERROR(VLOOKUP(B833,'03. THIẾT BỊ'!$B$1:$S$836,13,0),"")</f>
        <v/>
      </c>
      <c r="O833" s="470" t="str">
        <f>IFERROR(VLOOKUP(B833,'03. THIẾT BỊ'!$B$1:$S$836,14,0),"")</f>
        <v/>
      </c>
      <c r="P833" s="468" t="str">
        <f>IFERROR(VLOOKUP(B833,'03. THIẾT BỊ'!$B$1:$S$836,15,0),"")</f>
        <v/>
      </c>
      <c r="Q833" s="48" t="str">
        <f>IFERROR(VLOOKUP(B833,'03. THIẾT BỊ'!$B$1:$S$836,16,0),"")</f>
        <v/>
      </c>
      <c r="R833" s="471" t="str">
        <f>IFERROR(VLOOKUP(B833,'03. THIẾT BỊ'!$B$1:$S$836,17,0),"")</f>
        <v/>
      </c>
      <c r="S833" s="468" t="str">
        <f>IFERROR(VLOOKUP(B833,'03. THIẾT BỊ'!$B$1:$S$836,18,0),"")</f>
        <v/>
      </c>
      <c r="T833" s="807"/>
    </row>
    <row r="834">
      <c r="C834" s="869" t="str">
        <f>IFERROR(VLOOKUP(B834,'03. THIẾT BỊ'!$B$1:$S$836,2,0),"")</f>
        <v/>
      </c>
      <c r="D834" s="470" t="str">
        <f>IFERROR(VLOOKUP(B834,'03. THIẾT BỊ'!$B$1:$S$836,3,0),"")</f>
        <v/>
      </c>
      <c r="E834" s="464" t="str">
        <f>IFERROR(VLOOKUP(B834,'03. THIẾT BỊ'!$B$1:$S$836,4,0),"")</f>
        <v/>
      </c>
      <c r="F834" s="464" t="str">
        <f>IFERROR(VLOOKUP(B834,'03. THIẾT BỊ'!$B$1:$S$836,5,0),"")</f>
        <v/>
      </c>
      <c r="G834" s="80" t="s">
        <v>6423</v>
      </c>
      <c r="H834" s="463" t="str">
        <f>IFERROR(VLOOKUP(B834,'03. THIẾT BỊ'!$B$1:$S$836,7,0),"")</f>
        <v/>
      </c>
      <c r="I834" s="474" t="str">
        <f>IFERROR(VLOOKUP(B834,'03. THIẾT BỊ'!$B$1:$S$836,8,0),"")</f>
        <v/>
      </c>
      <c r="J834" s="471"/>
      <c r="K834" s="463" t="str">
        <f>IFERROR(VLOOKUP(B834,'03. THIẾT BỊ'!$B$1:$S$836,10,0),"")</f>
        <v/>
      </c>
      <c r="L834" s="468" t="str">
        <f>IFERROR(VLOOKUP(B834,'03. THIẾT BỊ'!$B$1:$S$836,11,0),"")</f>
        <v/>
      </c>
      <c r="M834" s="472" t="str">
        <f>IFERROR(VLOOKUP(B834,'03. THIẾT BỊ'!$B$1:$S$836,12,0),"")</f>
        <v/>
      </c>
      <c r="N834" s="468" t="str">
        <f>IFERROR(VLOOKUP(B834,'03. THIẾT BỊ'!$B$1:$S$836,13,0),"")</f>
        <v/>
      </c>
      <c r="O834" s="470" t="str">
        <f>IFERROR(VLOOKUP(B834,'03. THIẾT BỊ'!$B$1:$S$836,14,0),"")</f>
        <v/>
      </c>
      <c r="P834" s="468" t="str">
        <f>IFERROR(VLOOKUP(B834,'03. THIẾT BỊ'!$B$1:$S$836,15,0),"")</f>
        <v/>
      </c>
      <c r="Q834" s="48" t="str">
        <f>IFERROR(VLOOKUP(B834,'03. THIẾT BỊ'!$B$1:$S$836,16,0),"")</f>
        <v/>
      </c>
      <c r="R834" s="471" t="str">
        <f>IFERROR(VLOOKUP(B834,'03. THIẾT BỊ'!$B$1:$S$836,17,0),"")</f>
        <v/>
      </c>
      <c r="S834" s="468" t="str">
        <f>IFERROR(VLOOKUP(B834,'03. THIẾT BỊ'!$B$1:$S$836,18,0),"")</f>
        <v/>
      </c>
    </row>
    <row r="835">
      <c r="C835" s="869" t="str">
        <f>IFERROR(VLOOKUP(B835,'03. THIẾT BỊ'!$B$1:$S$836,2,0),"")</f>
        <v/>
      </c>
      <c r="D835" s="470" t="str">
        <f>IFERROR(VLOOKUP(B835,'03. THIẾT BỊ'!$B$1:$S$836,3,0),"")</f>
        <v/>
      </c>
      <c r="E835" s="464" t="str">
        <f>IFERROR(VLOOKUP(B835,'03. THIẾT BỊ'!$B$1:$S$836,4,0),"")</f>
        <v/>
      </c>
      <c r="F835" s="464" t="str">
        <f>IFERROR(VLOOKUP(B835,'03. THIẾT BỊ'!$B$1:$S$836,5,0),"")</f>
        <v/>
      </c>
      <c r="G835" s="80" t="s">
        <v>6423</v>
      </c>
      <c r="H835" s="463" t="str">
        <f>IFERROR(VLOOKUP(B835,'03. THIẾT BỊ'!$B$1:$S$836,7,0),"")</f>
        <v/>
      </c>
      <c r="I835" s="474" t="str">
        <f>IFERROR(VLOOKUP(B835,'03. THIẾT BỊ'!$B$1:$S$836,8,0),"")</f>
        <v/>
      </c>
      <c r="J835" s="471"/>
      <c r="K835" s="463" t="str">
        <f>IFERROR(VLOOKUP(B835,'03. THIẾT BỊ'!$B$1:$S$836,10,0),"")</f>
        <v/>
      </c>
      <c r="L835" s="468" t="str">
        <f>IFERROR(VLOOKUP(B835,'03. THIẾT BỊ'!$B$1:$S$836,11,0),"")</f>
        <v/>
      </c>
      <c r="M835" s="472" t="str">
        <f>IFERROR(VLOOKUP(B835,'03. THIẾT BỊ'!$B$1:$S$836,12,0),"")</f>
        <v/>
      </c>
      <c r="N835" s="468" t="str">
        <f>IFERROR(VLOOKUP(B835,'03. THIẾT BỊ'!$B$1:$S$836,13,0),"")</f>
        <v/>
      </c>
      <c r="O835" s="470" t="str">
        <f>IFERROR(VLOOKUP(B835,'03. THIẾT BỊ'!$B$1:$S$836,14,0),"")</f>
        <v/>
      </c>
      <c r="P835" s="468" t="str">
        <f>IFERROR(VLOOKUP(B835,'03. THIẾT BỊ'!$B$1:$S$836,15,0),"")</f>
        <v/>
      </c>
      <c r="Q835" s="48" t="str">
        <f>IFERROR(VLOOKUP(B835,'03. THIẾT BỊ'!$B$1:$S$836,16,0),"")</f>
        <v/>
      </c>
      <c r="R835" s="471" t="str">
        <f>IFERROR(VLOOKUP(B835,'03. THIẾT BỊ'!$B$1:$S$836,17,0),"")</f>
        <v/>
      </c>
      <c r="S835" s="468" t="str">
        <f>IFERROR(VLOOKUP(B835,'03. THIẾT BỊ'!$B$1:$S$836,18,0),"")</f>
        <v/>
      </c>
    </row>
    <row r="836">
      <c r="A836" s="859" t="s">
        <v>76</v>
      </c>
      <c r="B836" s="860" t="s">
        <v>8720</v>
      </c>
      <c r="C836" s="1062">
        <f>COUNTA(B837:B851)</f>
        <v>14</v>
      </c>
      <c r="D836" s="1063" t="str">
        <f>IFERROR(VLOOKUP(B836,'03. THIẾT BỊ'!$B$1:$S$836,3,0),"")</f>
        <v/>
      </c>
      <c r="E836" s="464" t="str">
        <f>IFERROR(VLOOKUP(B836,'03. THIẾT BỊ'!$B$1:$S$836,4,0),"")</f>
        <v/>
      </c>
      <c r="F836" s="1065" t="str">
        <f>IFERROR(VLOOKUP(B836,'03. THIẾT BỊ'!$B$1:$S$836,5,0),"")</f>
        <v/>
      </c>
      <c r="G836" s="1066" t="s">
        <v>6423</v>
      </c>
      <c r="H836" s="1067" t="str">
        <f>IFERROR(VLOOKUP(B836,'03. THIẾT BỊ'!$B$1:$S$836,7,0),"")</f>
        <v/>
      </c>
      <c r="I836" s="1068" t="str">
        <f>IFERROR(VLOOKUP(B836,'03. THIẾT BỊ'!$B$1:$S$836,8,0),"")</f>
        <v/>
      </c>
      <c r="J836" s="1069"/>
      <c r="K836" s="1067" t="str">
        <f>IFERROR(VLOOKUP(B836,'03. THIẾT BỊ'!$B$1:$S$836,10,0),"")</f>
        <v/>
      </c>
      <c r="L836" s="1065" t="str">
        <f>IFERROR(VLOOKUP(B836,'03. THIẾT BỊ'!$B$1:$S$836,11,0),"")</f>
        <v/>
      </c>
      <c r="M836" s="1070" t="str">
        <f>IFERROR(VLOOKUP(B836,'03. THIẾT BỊ'!$B$1:$S$836,12,0),"")</f>
        <v/>
      </c>
      <c r="N836" s="1065" t="str">
        <f>IFERROR(VLOOKUP(B836,'03. THIẾT BỊ'!$B$1:$S$836,13,0),"")</f>
        <v/>
      </c>
      <c r="O836" s="1063" t="str">
        <f>IFERROR(VLOOKUP(B836,'03. THIẾT BỊ'!$B$1:$S$836,14,0),"")</f>
        <v/>
      </c>
      <c r="P836" s="1065" t="str">
        <f>IFERROR(VLOOKUP(B836,'03. THIẾT BỊ'!$B$1:$S$836,15,0),"")</f>
        <v/>
      </c>
      <c r="Q836" s="1067" t="str">
        <f>IFERROR(VLOOKUP(B836,'03. THIẾT BỊ'!$B$1:$S$836,16,0),"")</f>
        <v/>
      </c>
      <c r="R836" s="1069" t="str">
        <f>IFERROR(VLOOKUP(B836,'03. THIẾT BỊ'!$B$1:$S$836,17,0),"")</f>
        <v/>
      </c>
      <c r="S836" s="1065" t="str">
        <f>IFERROR(VLOOKUP(B836,'03. THIẾT BỊ'!$B$1:$S$836,18,0),"")</f>
        <v/>
      </c>
      <c r="T836" s="1497"/>
    </row>
    <row r="837" ht="15.0" customHeight="1">
      <c r="A837" s="475">
        <v>1.0</v>
      </c>
      <c r="B837" s="467" t="s">
        <v>5555</v>
      </c>
      <c r="C837" s="869" t="str">
        <f>IFERROR(VLOOKUP(B837,'03. THIẾT BỊ'!$B$1:$S$836,2,0),"")</f>
        <v>92R-00402</v>
      </c>
      <c r="D837" s="470" t="str">
        <f>IFERROR(VLOOKUP(B837,'03. THIẾT BỊ'!$B$1:$S$836,3,0),"")</f>
        <v/>
      </c>
      <c r="E837" s="464" t="str">
        <f>IFERROR(VLOOKUP(B837,'03. THIẾT BỊ'!$B$1:$S$836,4,0),"")</f>
        <v>THUÊ THILOGI</v>
      </c>
      <c r="F837" s="464" t="str">
        <f>IFERROR(VLOOKUP(B837,'03. THIẾT BỊ'!$B$1:$S$836,5,0),"")</f>
        <v>SMRM LCD</v>
      </c>
      <c r="G837" s="80" t="s">
        <v>6423</v>
      </c>
      <c r="H837" s="463" t="str">
        <f>IFERROR(VLOOKUP(B837,'03. THIẾT BỊ'!$B$1:$S$836,7,0),"")</f>
        <v>Phòng GNVC</v>
      </c>
      <c r="I837" s="474" t="str">
        <f>IFERROR(VLOOKUP(B837,'03. THIẾT BỊ'!$B$1:$S$836,8,0),"")</f>
        <v/>
      </c>
      <c r="J837" s="471"/>
      <c r="K837" s="463" t="str">
        <f>IFERROR(VLOOKUP(B837,'03. THIẾT BỊ'!$B$1:$S$836,10,0),"")</f>
        <v>Bình thường</v>
      </c>
      <c r="L837" s="468" t="str">
        <f>IFERROR(VLOOKUP(B837,'03. THIẾT BỊ'!$B$1:$S$836,11,0),"")</f>
        <v/>
      </c>
      <c r="M837" s="472" t="str">
        <f>IFERROR(VLOOKUP(B837,'03. THIẾT BỊ'!$B$1:$S$836,12,0),"")</f>
        <v/>
      </c>
      <c r="N837" s="468" t="str">
        <f>IFERROR(VLOOKUP(B837,'03. THIẾT BỊ'!$B$1:$S$836,13,0),"")</f>
        <v>CAMBODIA</v>
      </c>
      <c r="O837" s="470" t="str">
        <f>IFERROR(VLOOKUP(B837,'03. THIẾT BỊ'!$B$1:$S$836,14,0),"")</f>
        <v>Mooc LCD 2T</v>
      </c>
      <c r="P837" s="468" t="str">
        <f>IFERROR(VLOOKUP(B837,'03. THIẾT BỊ'!$B$1:$S$836,15,0),"")</f>
        <v>CAMBODIA</v>
      </c>
      <c r="Q837" s="48" t="str">
        <f>IFERROR(VLOOKUP(B837,'03. THIẾT BỊ'!$B$1:$S$836,16,0),"")</f>
        <v/>
      </c>
      <c r="R837" s="471" t="str">
        <f>IFERROR(VLOOKUP(B837,'03. THIẾT BỊ'!$B$1:$S$836,17,0),"")</f>
        <v/>
      </c>
      <c r="S837" s="468" t="str">
        <f>IFERROR(VLOOKUP(B837,'03. THIẾT BỊ'!$B$1:$S$836,18,0),"")</f>
        <v>RN0PD230AKC000913</v>
      </c>
      <c r="T837" s="812"/>
    </row>
    <row r="838" ht="15.0" customHeight="1">
      <c r="A838" s="463">
        <v>2.0</v>
      </c>
      <c r="B838" s="467" t="s">
        <v>5560</v>
      </c>
      <c r="C838" s="869" t="str">
        <f>IFERROR(VLOOKUP(B838,'03. THIẾT BỊ'!$B$1:$S$836,2,0),"")</f>
        <v>92R-00457</v>
      </c>
      <c r="D838" s="470" t="str">
        <f>IFERROR(VLOOKUP(B838,'03. THIẾT BỊ'!$B$1:$S$836,3,0),"")</f>
        <v/>
      </c>
      <c r="E838" s="464" t="str">
        <f>IFERROR(VLOOKUP(B838,'03. THIẾT BỊ'!$B$1:$S$836,4,0),"")</f>
        <v>THUÊ THILOGI</v>
      </c>
      <c r="F838" s="464" t="str">
        <f>IFERROR(VLOOKUP(B838,'03. THIẾT BỊ'!$B$1:$S$836,5,0),"")</f>
        <v>SMRM LCD</v>
      </c>
      <c r="G838" s="80" t="s">
        <v>6423</v>
      </c>
      <c r="H838" s="463" t="str">
        <f>IFERROR(VLOOKUP(B838,'03. THIẾT BỊ'!$B$1:$S$836,7,0),"")</f>
        <v>Phòng GNVC</v>
      </c>
      <c r="I838" s="474" t="str">
        <f>IFERROR(VLOOKUP(B838,'03. THIẾT BỊ'!$B$1:$S$836,8,0),"")</f>
        <v/>
      </c>
      <c r="J838" s="471"/>
      <c r="K838" s="463" t="str">
        <f>IFERROR(VLOOKUP(B838,'03. THIẾT BỊ'!$B$1:$S$836,10,0),"")</f>
        <v>Bình thường</v>
      </c>
      <c r="L838" s="468" t="str">
        <f>IFERROR(VLOOKUP(B838,'03. THIẾT BỊ'!$B$1:$S$836,11,0),"")</f>
        <v/>
      </c>
      <c r="M838" s="472" t="str">
        <f>IFERROR(VLOOKUP(B838,'03. THIẾT BỊ'!$B$1:$S$836,12,0),"")</f>
        <v/>
      </c>
      <c r="N838" s="468" t="str">
        <f>IFERROR(VLOOKUP(B838,'03. THIẾT BỊ'!$B$1:$S$836,13,0),"")</f>
        <v>CAMBODIA</v>
      </c>
      <c r="O838" s="470" t="str">
        <f>IFERROR(VLOOKUP(B838,'03. THIẾT BỊ'!$B$1:$S$836,14,0),"")</f>
        <v>Mooc LCD 2T</v>
      </c>
      <c r="P838" s="468" t="str">
        <f>IFERROR(VLOOKUP(B838,'03. THIẾT BỊ'!$B$1:$S$836,15,0),"")</f>
        <v>CAMBODIA</v>
      </c>
      <c r="Q838" s="48" t="str">
        <f>IFERROR(VLOOKUP(B838,'03. THIẾT BỊ'!$B$1:$S$836,16,0),"")</f>
        <v/>
      </c>
      <c r="R838" s="471" t="str">
        <f>IFERROR(VLOOKUP(B838,'03. THIẾT BỊ'!$B$1:$S$836,17,0),"")</f>
        <v/>
      </c>
      <c r="S838" s="468" t="str">
        <f>IFERROR(VLOOKUP(B838,'03. THIẾT BỊ'!$B$1:$S$836,18,0),"")</f>
        <v>RN0PD230AKC000920</v>
      </c>
      <c r="T838" s="812"/>
    </row>
    <row r="839" ht="15.0" customHeight="1">
      <c r="A839" s="475">
        <v>3.0</v>
      </c>
      <c r="B839" s="467" t="s">
        <v>5564</v>
      </c>
      <c r="C839" s="869" t="str">
        <f>IFERROR(VLOOKUP(B839,'03. THIẾT BỊ'!$B$1:$S$836,2,0),"")</f>
        <v>92R-00465</v>
      </c>
      <c r="D839" s="470" t="str">
        <f>IFERROR(VLOOKUP(B839,'03. THIẾT BỊ'!$B$1:$S$836,3,0),"")</f>
        <v/>
      </c>
      <c r="E839" s="464" t="str">
        <f>IFERROR(VLOOKUP(B839,'03. THIẾT BỊ'!$B$1:$S$836,4,0),"")</f>
        <v>THUÊ THILOGI</v>
      </c>
      <c r="F839" s="464" t="str">
        <f>IFERROR(VLOOKUP(B839,'03. THIẾT BỊ'!$B$1:$S$836,5,0),"")</f>
        <v>SMRM LCD</v>
      </c>
      <c r="G839" s="80" t="s">
        <v>6423</v>
      </c>
      <c r="H839" s="463" t="str">
        <f>IFERROR(VLOOKUP(B839,'03. THIẾT BỊ'!$B$1:$S$836,7,0),"")</f>
        <v>Phòng GNVC</v>
      </c>
      <c r="I839" s="474" t="str">
        <f>IFERROR(VLOOKUP(B839,'03. THIẾT BỊ'!$B$1:$S$836,8,0),"")</f>
        <v/>
      </c>
      <c r="J839" s="471"/>
      <c r="K839" s="463" t="str">
        <f>IFERROR(VLOOKUP(B839,'03. THIẾT BỊ'!$B$1:$S$836,10,0),"")</f>
        <v>Bình thường</v>
      </c>
      <c r="L839" s="468" t="str">
        <f>IFERROR(VLOOKUP(B839,'03. THIẾT BỊ'!$B$1:$S$836,11,0),"")</f>
        <v/>
      </c>
      <c r="M839" s="472" t="str">
        <f>IFERROR(VLOOKUP(B839,'03. THIẾT BỊ'!$B$1:$S$836,12,0),"")</f>
        <v/>
      </c>
      <c r="N839" s="468" t="str">
        <f>IFERROR(VLOOKUP(B839,'03. THIẾT BỊ'!$B$1:$S$836,13,0),"")</f>
        <v>CAMBODIA</v>
      </c>
      <c r="O839" s="470" t="str">
        <f>IFERROR(VLOOKUP(B839,'03. THIẾT BỊ'!$B$1:$S$836,14,0),"")</f>
        <v>Mooc LCD 2T</v>
      </c>
      <c r="P839" s="468" t="str">
        <f>IFERROR(VLOOKUP(B839,'03. THIẾT BỊ'!$B$1:$S$836,15,0),"")</f>
        <v>CAMBODIA</v>
      </c>
      <c r="Q839" s="48" t="str">
        <f>IFERROR(VLOOKUP(B839,'03. THIẾT BỊ'!$B$1:$S$836,16,0),"")</f>
        <v/>
      </c>
      <c r="R839" s="471" t="str">
        <f>IFERROR(VLOOKUP(B839,'03. THIẾT BỊ'!$B$1:$S$836,17,0),"")</f>
        <v/>
      </c>
      <c r="S839" s="468" t="str">
        <f>IFERROR(VLOOKUP(B839,'03. THIẾT BỊ'!$B$1:$S$836,18,0),"")</f>
        <v>RN0PD230AKC000915</v>
      </c>
      <c r="T839" s="812"/>
    </row>
    <row r="840" ht="15.0" customHeight="1">
      <c r="A840" s="463">
        <v>4.0</v>
      </c>
      <c r="B840" s="467" t="s">
        <v>5567</v>
      </c>
      <c r="C840" s="869" t="str">
        <f>IFERROR(VLOOKUP(B840,'03. THIẾT BỊ'!$B$1:$S$836,2,0),"")</f>
        <v>92R-00446</v>
      </c>
      <c r="D840" s="470" t="str">
        <f>IFERROR(VLOOKUP(B840,'03. THIẾT BỊ'!$B$1:$S$836,3,0),"")</f>
        <v/>
      </c>
      <c r="E840" s="464" t="str">
        <f>IFERROR(VLOOKUP(B840,'03. THIẾT BỊ'!$B$1:$S$836,4,0),"")</f>
        <v>THUÊ THILOGI</v>
      </c>
      <c r="F840" s="464" t="str">
        <f>IFERROR(VLOOKUP(B840,'03. THIẾT BỊ'!$B$1:$S$836,5,0),"")</f>
        <v>SMRM LCD</v>
      </c>
      <c r="G840" s="80" t="s">
        <v>6423</v>
      </c>
      <c r="H840" s="463" t="str">
        <f>IFERROR(VLOOKUP(B840,'03. THIẾT BỊ'!$B$1:$S$836,7,0),"")</f>
        <v>Phòng GNVC</v>
      </c>
      <c r="I840" s="474" t="str">
        <f>IFERROR(VLOOKUP(B840,'03. THIẾT BỊ'!$B$1:$S$836,8,0),"")</f>
        <v/>
      </c>
      <c r="J840" s="471"/>
      <c r="K840" s="463" t="str">
        <f>IFERROR(VLOOKUP(B840,'03. THIẾT BỊ'!$B$1:$S$836,10,0),"")</f>
        <v>Bình thường</v>
      </c>
      <c r="L840" s="468" t="str">
        <f>IFERROR(VLOOKUP(B840,'03. THIẾT BỊ'!$B$1:$S$836,11,0),"")</f>
        <v/>
      </c>
      <c r="M840" s="472" t="str">
        <f>IFERROR(VLOOKUP(B840,'03. THIẾT BỊ'!$B$1:$S$836,12,0),"")</f>
        <v/>
      </c>
      <c r="N840" s="468" t="str">
        <f>IFERROR(VLOOKUP(B840,'03. THIẾT BỊ'!$B$1:$S$836,13,0),"")</f>
        <v>CAMBODIA</v>
      </c>
      <c r="O840" s="470" t="str">
        <f>IFERROR(VLOOKUP(B840,'03. THIẾT BỊ'!$B$1:$S$836,14,0),"")</f>
        <v>Mooc LCD 2T</v>
      </c>
      <c r="P840" s="468" t="str">
        <f>IFERROR(VLOOKUP(B840,'03. THIẾT BỊ'!$B$1:$S$836,15,0),"")</f>
        <v>CAMBODIA</v>
      </c>
      <c r="Q840" s="48" t="str">
        <f>IFERROR(VLOOKUP(B840,'03. THIẾT BỊ'!$B$1:$S$836,16,0),"")</f>
        <v/>
      </c>
      <c r="R840" s="471" t="str">
        <f>IFERROR(VLOOKUP(B840,'03. THIẾT BỊ'!$B$1:$S$836,17,0),"")</f>
        <v/>
      </c>
      <c r="S840" s="468" t="str">
        <f>IFERROR(VLOOKUP(B840,'03. THIẾT BỊ'!$B$1:$S$836,18,0),"")</f>
        <v>RN0PD230AKC000918</v>
      </c>
      <c r="T840" s="812"/>
    </row>
    <row r="841" ht="15.0" customHeight="1">
      <c r="A841" s="475">
        <v>5.0</v>
      </c>
      <c r="B841" s="467" t="s">
        <v>5570</v>
      </c>
      <c r="C841" s="869" t="str">
        <f>IFERROR(VLOOKUP(B841,'03. THIẾT BỊ'!$B$1:$S$836,2,0),"")</f>
        <v>92R-00409</v>
      </c>
      <c r="D841" s="470" t="str">
        <f>IFERROR(VLOOKUP(B841,'03. THIẾT BỊ'!$B$1:$S$836,3,0),"")</f>
        <v/>
      </c>
      <c r="E841" s="464" t="str">
        <f>IFERROR(VLOOKUP(B841,'03. THIẾT BỊ'!$B$1:$S$836,4,0),"")</f>
        <v>THUÊ THILOGI</v>
      </c>
      <c r="F841" s="464" t="str">
        <f>IFERROR(VLOOKUP(B841,'03. THIẾT BỊ'!$B$1:$S$836,5,0),"")</f>
        <v>SMRM LCD</v>
      </c>
      <c r="G841" s="80" t="s">
        <v>6423</v>
      </c>
      <c r="H841" s="463" t="str">
        <f>IFERROR(VLOOKUP(B841,'03. THIẾT BỊ'!$B$1:$S$836,7,0),"")</f>
        <v>Phòng GNVC</v>
      </c>
      <c r="I841" s="474" t="str">
        <f>IFERROR(VLOOKUP(B841,'03. THIẾT BỊ'!$B$1:$S$836,8,0),"")</f>
        <v/>
      </c>
      <c r="J841" s="471"/>
      <c r="K841" s="463" t="str">
        <f>IFERROR(VLOOKUP(B841,'03. THIẾT BỊ'!$B$1:$S$836,10,0),"")</f>
        <v>Bình thường</v>
      </c>
      <c r="L841" s="468" t="str">
        <f>IFERROR(VLOOKUP(B841,'03. THIẾT BỊ'!$B$1:$S$836,11,0),"")</f>
        <v/>
      </c>
      <c r="M841" s="472" t="str">
        <f>IFERROR(VLOOKUP(B841,'03. THIẾT BỊ'!$B$1:$S$836,12,0),"")</f>
        <v/>
      </c>
      <c r="N841" s="468" t="str">
        <f>IFERROR(VLOOKUP(B841,'03. THIẾT BỊ'!$B$1:$S$836,13,0),"")</f>
        <v>CAMBODIA</v>
      </c>
      <c r="O841" s="470" t="str">
        <f>IFERROR(VLOOKUP(B841,'03. THIẾT BỊ'!$B$1:$S$836,14,0),"")</f>
        <v>Mooc LCD 2T</v>
      </c>
      <c r="P841" s="468" t="str">
        <f>IFERROR(VLOOKUP(B841,'03. THIẾT BỊ'!$B$1:$S$836,15,0),"")</f>
        <v>CAMBODIA</v>
      </c>
      <c r="Q841" s="48" t="str">
        <f>IFERROR(VLOOKUP(B841,'03. THIẾT BỊ'!$B$1:$S$836,16,0),"")</f>
        <v/>
      </c>
      <c r="R841" s="471" t="str">
        <f>IFERROR(VLOOKUP(B841,'03. THIẾT BỊ'!$B$1:$S$836,17,0),"")</f>
        <v/>
      </c>
      <c r="S841" s="468" t="str">
        <f>IFERROR(VLOOKUP(B841,'03. THIẾT BỊ'!$B$1:$S$836,18,0),"")</f>
        <v>RN0PD230AKC000904</v>
      </c>
      <c r="T841" s="812"/>
    </row>
    <row r="842" ht="15.0" customHeight="1">
      <c r="A842" s="463">
        <v>6.0</v>
      </c>
      <c r="B842" s="467" t="s">
        <v>5573</v>
      </c>
      <c r="C842" s="869" t="str">
        <f>IFERROR(VLOOKUP(B842,'03. THIẾT BỊ'!$B$1:$S$836,2,0),"")</f>
        <v>92R-00528</v>
      </c>
      <c r="D842" s="470" t="str">
        <f>IFERROR(VLOOKUP(B842,'03. THIẾT BỊ'!$B$1:$S$836,3,0),"")</f>
        <v/>
      </c>
      <c r="E842" s="464" t="str">
        <f>IFERROR(VLOOKUP(B842,'03. THIẾT BỊ'!$B$1:$S$836,4,0),"")</f>
        <v>THUÊ THILOGI</v>
      </c>
      <c r="F842" s="464" t="str">
        <f>IFERROR(VLOOKUP(B842,'03. THIẾT BỊ'!$B$1:$S$836,5,0),"")</f>
        <v>SMRM LCD</v>
      </c>
      <c r="G842" s="80" t="s">
        <v>6423</v>
      </c>
      <c r="H842" s="463" t="str">
        <f>IFERROR(VLOOKUP(B842,'03. THIẾT BỊ'!$B$1:$S$836,7,0),"")</f>
        <v>Phòng GNVC</v>
      </c>
      <c r="I842" s="474" t="str">
        <f>IFERROR(VLOOKUP(B842,'03. THIẾT BỊ'!$B$1:$S$836,8,0),"")</f>
        <v/>
      </c>
      <c r="J842" s="471"/>
      <c r="K842" s="463" t="str">
        <f>IFERROR(VLOOKUP(B842,'03. THIẾT BỊ'!$B$1:$S$836,10,0),"")</f>
        <v>Bình thường</v>
      </c>
      <c r="L842" s="468" t="str">
        <f>IFERROR(VLOOKUP(B842,'03. THIẾT BỊ'!$B$1:$S$836,11,0),"")</f>
        <v/>
      </c>
      <c r="M842" s="472" t="str">
        <f>IFERROR(VLOOKUP(B842,'03. THIẾT BỊ'!$B$1:$S$836,12,0),"")</f>
        <v/>
      </c>
      <c r="N842" s="468" t="str">
        <f>IFERROR(VLOOKUP(B842,'03. THIẾT BỊ'!$B$1:$S$836,13,0),"")</f>
        <v>CAMBODIA</v>
      </c>
      <c r="O842" s="470" t="str">
        <f>IFERROR(VLOOKUP(B842,'03. THIẾT BỊ'!$B$1:$S$836,14,0),"")</f>
        <v>Mooc LCD 2T</v>
      </c>
      <c r="P842" s="468" t="str">
        <f>IFERROR(VLOOKUP(B842,'03. THIẾT BỊ'!$B$1:$S$836,15,0),"")</f>
        <v>CAMBODIA</v>
      </c>
      <c r="Q842" s="48" t="str">
        <f>IFERROR(VLOOKUP(B842,'03. THIẾT BỊ'!$B$1:$S$836,16,0),"")</f>
        <v/>
      </c>
      <c r="R842" s="471" t="str">
        <f>IFERROR(VLOOKUP(B842,'03. THIẾT BỊ'!$B$1:$S$836,17,0),"")</f>
        <v/>
      </c>
      <c r="S842" s="468" t="str">
        <f>IFERROR(VLOOKUP(B842,'03. THIẾT BỊ'!$B$1:$S$836,18,0),"")</f>
        <v>RN0PD230AKC000926</v>
      </c>
      <c r="T842" s="812"/>
    </row>
    <row r="843" ht="15.0" customHeight="1">
      <c r="A843" s="475">
        <v>7.0</v>
      </c>
      <c r="B843" s="467" t="s">
        <v>5576</v>
      </c>
      <c r="C843" s="869" t="str">
        <f>IFERROR(VLOOKUP(B843,'03. THIẾT BỊ'!$B$1:$S$836,2,0),"")</f>
        <v>92R-00538</v>
      </c>
      <c r="D843" s="470" t="str">
        <f>IFERROR(VLOOKUP(B843,'03. THIẾT BỊ'!$B$1:$S$836,3,0),"")</f>
        <v/>
      </c>
      <c r="E843" s="464" t="str">
        <f>IFERROR(VLOOKUP(B843,'03. THIẾT BỊ'!$B$1:$S$836,4,0),"")</f>
        <v>THUÊ THILOGI</v>
      </c>
      <c r="F843" s="464" t="str">
        <f>IFERROR(VLOOKUP(B843,'03. THIẾT BỊ'!$B$1:$S$836,5,0),"")</f>
        <v>SMRM LCD</v>
      </c>
      <c r="G843" s="80" t="s">
        <v>6423</v>
      </c>
      <c r="H843" s="463" t="str">
        <f>IFERROR(VLOOKUP(B843,'03. THIẾT BỊ'!$B$1:$S$836,7,0),"")</f>
        <v>Phòng GNVC</v>
      </c>
      <c r="I843" s="474" t="str">
        <f>IFERROR(VLOOKUP(B843,'03. THIẾT BỊ'!$B$1:$S$836,8,0),"")</f>
        <v/>
      </c>
      <c r="J843" s="471"/>
      <c r="K843" s="463" t="str">
        <f>IFERROR(VLOOKUP(B843,'03. THIẾT BỊ'!$B$1:$S$836,10,0),"")</f>
        <v>Bình thường</v>
      </c>
      <c r="L843" s="468" t="str">
        <f>IFERROR(VLOOKUP(B843,'03. THIẾT BỊ'!$B$1:$S$836,11,0),"")</f>
        <v/>
      </c>
      <c r="M843" s="472" t="str">
        <f>IFERROR(VLOOKUP(B843,'03. THIẾT BỊ'!$B$1:$S$836,12,0),"")</f>
        <v/>
      </c>
      <c r="N843" s="468" t="str">
        <f>IFERROR(VLOOKUP(B843,'03. THIẾT BỊ'!$B$1:$S$836,13,0),"")</f>
        <v>CAMBODIA</v>
      </c>
      <c r="O843" s="470" t="str">
        <f>IFERROR(VLOOKUP(B843,'03. THIẾT BỊ'!$B$1:$S$836,14,0),"")</f>
        <v>Mooc LCD 2T</v>
      </c>
      <c r="P843" s="468" t="str">
        <f>IFERROR(VLOOKUP(B843,'03. THIẾT BỊ'!$B$1:$S$836,15,0),"")</f>
        <v>CAMBODIA</v>
      </c>
      <c r="Q843" s="48" t="str">
        <f>IFERROR(VLOOKUP(B843,'03. THIẾT BỊ'!$B$1:$S$836,16,0),"")</f>
        <v/>
      </c>
      <c r="R843" s="471" t="str">
        <f>IFERROR(VLOOKUP(B843,'03. THIẾT BỊ'!$B$1:$S$836,17,0),"")</f>
        <v/>
      </c>
      <c r="S843" s="468" t="str">
        <f>IFERROR(VLOOKUP(B843,'03. THIẾT BỊ'!$B$1:$S$836,18,0),"")</f>
        <v>RN0PD230AKC000927</v>
      </c>
      <c r="T843" s="812"/>
    </row>
    <row r="844" ht="15.0" customHeight="1">
      <c r="A844" s="463">
        <v>8.0</v>
      </c>
      <c r="B844" s="467" t="s">
        <v>5579</v>
      </c>
      <c r="C844" s="869" t="str">
        <f>IFERROR(VLOOKUP(B844,'03. THIẾT BỊ'!$B$1:$S$836,2,0),"")</f>
        <v>92R-00413</v>
      </c>
      <c r="D844" s="470" t="str">
        <f>IFERROR(VLOOKUP(B844,'03. THIẾT BỊ'!$B$1:$S$836,3,0),"")</f>
        <v/>
      </c>
      <c r="E844" s="464" t="str">
        <f>IFERROR(VLOOKUP(B844,'03. THIẾT BỊ'!$B$1:$S$836,4,0),"")</f>
        <v>THUÊ THILOGI</v>
      </c>
      <c r="F844" s="464" t="str">
        <f>IFERROR(VLOOKUP(B844,'03. THIẾT BỊ'!$B$1:$S$836,5,0),"")</f>
        <v>SMRM xương sàn/mooc OPT</v>
      </c>
      <c r="G844" s="80" t="s">
        <v>6423</v>
      </c>
      <c r="H844" s="463" t="str">
        <f>IFERROR(VLOOKUP(B844,'03. THIẾT BỊ'!$B$1:$S$836,7,0),"")</f>
        <v>Phòng GNVC</v>
      </c>
      <c r="I844" s="474" t="str">
        <f>IFERROR(VLOOKUP(B844,'03. THIẾT BỊ'!$B$1:$S$836,8,0),"")</f>
        <v/>
      </c>
      <c r="J844" s="471"/>
      <c r="K844" s="463" t="str">
        <f>IFERROR(VLOOKUP(B844,'03. THIẾT BỊ'!$B$1:$S$836,10,0),"")</f>
        <v>Bình thường</v>
      </c>
      <c r="L844" s="468" t="str">
        <f>IFERROR(VLOOKUP(B844,'03. THIẾT BỊ'!$B$1:$S$836,11,0),"")</f>
        <v/>
      </c>
      <c r="M844" s="472" t="str">
        <f>IFERROR(VLOOKUP(B844,'03. THIẾT BỊ'!$B$1:$S$836,12,0),"")</f>
        <v/>
      </c>
      <c r="N844" s="468" t="str">
        <f>IFERROR(VLOOKUP(B844,'03. THIẾT BỊ'!$B$1:$S$836,13,0),"")</f>
        <v>CAMBODIA</v>
      </c>
      <c r="O844" s="470" t="str">
        <f>IFERROR(VLOOKUP(B844,'03. THIẾT BỊ'!$B$1:$S$836,14,0),"")</f>
        <v>SMRM 3T</v>
      </c>
      <c r="P844" s="468" t="str">
        <f>IFERROR(VLOOKUP(B844,'03. THIẾT BỊ'!$B$1:$S$836,15,0),"")</f>
        <v>CAMBODIA</v>
      </c>
      <c r="Q844" s="48" t="str">
        <f>IFERROR(VLOOKUP(B844,'03. THIẾT BỊ'!$B$1:$S$836,16,0),"")</f>
        <v/>
      </c>
      <c r="R844" s="471" t="str">
        <f>IFERROR(VLOOKUP(B844,'03. THIẾT BỊ'!$B$1:$S$836,17,0),"")</f>
        <v/>
      </c>
      <c r="S844" s="468" t="str">
        <f>IFERROR(VLOOKUP(B844,'03. THIẾT BỊ'!$B$1:$S$836,18,0),"")</f>
        <v>RN0P3800AFC063963</v>
      </c>
      <c r="T844" s="812"/>
    </row>
    <row r="845" ht="15.0" customHeight="1">
      <c r="A845" s="475">
        <v>9.0</v>
      </c>
      <c r="B845" s="467" t="s">
        <v>5584</v>
      </c>
      <c r="C845" s="869" t="str">
        <f>IFERROR(VLOOKUP(B845,'03. THIẾT BỊ'!$B$1:$S$836,2,0),"")</f>
        <v>92R-00443</v>
      </c>
      <c r="D845" s="470" t="str">
        <f>IFERROR(VLOOKUP(B845,'03. THIẾT BỊ'!$B$1:$S$836,3,0),"")</f>
        <v/>
      </c>
      <c r="E845" s="464" t="str">
        <f>IFERROR(VLOOKUP(B845,'03. THIẾT BỊ'!$B$1:$S$836,4,0),"")</f>
        <v>THUÊ THILOGI</v>
      </c>
      <c r="F845" s="464" t="str">
        <f>IFERROR(VLOOKUP(B845,'03. THIẾT BỊ'!$B$1:$S$836,5,0),"")</f>
        <v>SMRM xương sàn/mooc OPT</v>
      </c>
      <c r="G845" s="80" t="s">
        <v>6423</v>
      </c>
      <c r="H845" s="463" t="str">
        <f>IFERROR(VLOOKUP(B845,'03. THIẾT BỊ'!$B$1:$S$836,7,0),"")</f>
        <v>Phòng GNVC</v>
      </c>
      <c r="I845" s="474" t="str">
        <f>IFERROR(VLOOKUP(B845,'03. THIẾT BỊ'!$B$1:$S$836,8,0),"")</f>
        <v/>
      </c>
      <c r="J845" s="471"/>
      <c r="K845" s="463" t="str">
        <f>IFERROR(VLOOKUP(B845,'03. THIẾT BỊ'!$B$1:$S$836,10,0),"")</f>
        <v>Bình thường</v>
      </c>
      <c r="L845" s="468" t="str">
        <f>IFERROR(VLOOKUP(B845,'03. THIẾT BỊ'!$B$1:$S$836,11,0),"")</f>
        <v/>
      </c>
      <c r="M845" s="472" t="str">
        <f>IFERROR(VLOOKUP(B845,'03. THIẾT BỊ'!$B$1:$S$836,12,0),"")</f>
        <v/>
      </c>
      <c r="N845" s="468" t="str">
        <f>IFERROR(VLOOKUP(B845,'03. THIẾT BỊ'!$B$1:$S$836,13,0),"")</f>
        <v>CAMBODIA</v>
      </c>
      <c r="O845" s="470" t="str">
        <f>IFERROR(VLOOKUP(B845,'03. THIẾT BỊ'!$B$1:$S$836,14,0),"")</f>
        <v>SMRM 2T</v>
      </c>
      <c r="P845" s="468" t="str">
        <f>IFERROR(VLOOKUP(B845,'03. THIẾT BỊ'!$B$1:$S$836,15,0),"")</f>
        <v>CAMBODIA</v>
      </c>
      <c r="Q845" s="48" t="str">
        <f>IFERROR(VLOOKUP(B845,'03. THIẾT BỊ'!$B$1:$S$836,16,0),"")</f>
        <v/>
      </c>
      <c r="R845" s="471" t="str">
        <f>IFERROR(VLOOKUP(B845,'03. THIẾT BỊ'!$B$1:$S$836,17,0),"")</f>
        <v/>
      </c>
      <c r="S845" s="468" t="str">
        <f>IFERROR(VLOOKUP(B845,'03. THIẾT BỊ'!$B$1:$S$836,18,0),"")</f>
        <v>RN0AA232AKC000909</v>
      </c>
      <c r="T845" s="812"/>
    </row>
    <row r="846" ht="15.0" customHeight="1">
      <c r="A846" s="463">
        <v>10.0</v>
      </c>
      <c r="B846" s="467" t="s">
        <v>5588</v>
      </c>
      <c r="C846" s="869" t="str">
        <f>IFERROR(VLOOKUP(B846,'03. THIẾT BỊ'!$B$1:$S$836,2,0),"")</f>
        <v>92R-00353</v>
      </c>
      <c r="D846" s="470" t="str">
        <f>IFERROR(VLOOKUP(B846,'03. THIẾT BỊ'!$B$1:$S$836,3,0),"")</f>
        <v/>
      </c>
      <c r="E846" s="464" t="str">
        <f>IFERROR(VLOOKUP(B846,'03. THIẾT BỊ'!$B$1:$S$836,4,0),"")</f>
        <v>THUÊ THILOGI</v>
      </c>
      <c r="F846" s="464" t="str">
        <f>IFERROR(VLOOKUP(B846,'03. THIẾT BỊ'!$B$1:$S$836,5,0),"")</f>
        <v>SMRM LCD</v>
      </c>
      <c r="G846" s="80" t="s">
        <v>6423</v>
      </c>
      <c r="H846" s="463" t="str">
        <f>IFERROR(VLOOKUP(B846,'03. THIẾT BỊ'!$B$1:$S$836,7,0),"")</f>
        <v>Phòng GNVC</v>
      </c>
      <c r="I846" s="474" t="str">
        <f>IFERROR(VLOOKUP(B846,'03. THIẾT BỊ'!$B$1:$S$836,8,0),"")</f>
        <v/>
      </c>
      <c r="J846" s="471"/>
      <c r="K846" s="463" t="str">
        <f>IFERROR(VLOOKUP(B846,'03. THIẾT BỊ'!$B$1:$S$836,10,0),"")</f>
        <v>Bình thường</v>
      </c>
      <c r="L846" s="468" t="str">
        <f>IFERROR(VLOOKUP(B846,'03. THIẾT BỊ'!$B$1:$S$836,11,0),"")</f>
        <v/>
      </c>
      <c r="M846" s="472" t="str">
        <f>IFERROR(VLOOKUP(B846,'03. THIẾT BỊ'!$B$1:$S$836,12,0),"")</f>
        <v/>
      </c>
      <c r="N846" s="468" t="str">
        <f>IFERROR(VLOOKUP(B846,'03. THIẾT BỊ'!$B$1:$S$836,13,0),"")</f>
        <v>CAMBODIA</v>
      </c>
      <c r="O846" s="470" t="str">
        <f>IFERROR(VLOOKUP(B846,'03. THIẾT BỊ'!$B$1:$S$836,14,0),"")</f>
        <v>Mooc LCD 2T</v>
      </c>
      <c r="P846" s="468" t="str">
        <f>IFERROR(VLOOKUP(B846,'03. THIẾT BỊ'!$B$1:$S$836,15,0),"")</f>
        <v>CAMBODIA</v>
      </c>
      <c r="Q846" s="48" t="str">
        <f>IFERROR(VLOOKUP(B846,'03. THIẾT BỊ'!$B$1:$S$836,16,0),"")</f>
        <v/>
      </c>
      <c r="R846" s="471" t="str">
        <f>IFERROR(VLOOKUP(B846,'03. THIẾT BỊ'!$B$1:$S$836,17,0),"")</f>
        <v/>
      </c>
      <c r="S846" s="468" t="str">
        <f>IFERROR(VLOOKUP(B846,'03. THIẾT BỊ'!$B$1:$S$836,18,0),"")</f>
        <v>RN0PD230AKC000928</v>
      </c>
      <c r="T846" s="812"/>
    </row>
    <row r="847" ht="15.0" customHeight="1">
      <c r="A847" s="475">
        <v>11.0</v>
      </c>
      <c r="B847" s="467" t="s">
        <v>5591</v>
      </c>
      <c r="C847" s="869" t="str">
        <f>IFERROR(VLOOKUP(B847,'03. THIẾT BỊ'!$B$1:$S$836,2,0),"")</f>
        <v>92R-00406</v>
      </c>
      <c r="D847" s="470" t="str">
        <f>IFERROR(VLOOKUP(B847,'03. THIẾT BỊ'!$B$1:$S$836,3,0),"")</f>
        <v/>
      </c>
      <c r="E847" s="464" t="str">
        <f>IFERROR(VLOOKUP(B847,'03. THIẾT BỊ'!$B$1:$S$836,4,0),"")</f>
        <v>THUÊ THILOGI</v>
      </c>
      <c r="F847" s="464" t="str">
        <f>IFERROR(VLOOKUP(B847,'03. THIẾT BỊ'!$B$1:$S$836,5,0),"")</f>
        <v>SMRM xương sàn/mooc OPT</v>
      </c>
      <c r="G847" s="80" t="s">
        <v>6423</v>
      </c>
      <c r="H847" s="463" t="str">
        <f>IFERROR(VLOOKUP(B847,'03. THIẾT BỊ'!$B$1:$S$836,7,0),"")</f>
        <v>Phòng GNVC</v>
      </c>
      <c r="I847" s="474" t="str">
        <f>IFERROR(VLOOKUP(B847,'03. THIẾT BỊ'!$B$1:$S$836,8,0),"")</f>
        <v/>
      </c>
      <c r="J847" s="471"/>
      <c r="K847" s="463" t="str">
        <f>IFERROR(VLOOKUP(B847,'03. THIẾT BỊ'!$B$1:$S$836,10,0),"")</f>
        <v>Bình thường</v>
      </c>
      <c r="L847" s="468" t="str">
        <f>IFERROR(VLOOKUP(B847,'03. THIẾT BỊ'!$B$1:$S$836,11,0),"")</f>
        <v/>
      </c>
      <c r="M847" s="472" t="str">
        <f>IFERROR(VLOOKUP(B847,'03. THIẾT BỊ'!$B$1:$S$836,12,0),"")</f>
        <v/>
      </c>
      <c r="N847" s="468" t="str">
        <f>IFERROR(VLOOKUP(B847,'03. THIẾT BỊ'!$B$1:$S$836,13,0),"")</f>
        <v>CAMBODIA</v>
      </c>
      <c r="O847" s="470" t="str">
        <f>IFERROR(VLOOKUP(B847,'03. THIẾT BỊ'!$B$1:$S$836,14,0),"")</f>
        <v>SMRM 2T</v>
      </c>
      <c r="P847" s="468" t="str">
        <f>IFERROR(VLOOKUP(B847,'03. THIẾT BỊ'!$B$1:$S$836,15,0),"")</f>
        <v>CAMBODIA</v>
      </c>
      <c r="Q847" s="48" t="str">
        <f>IFERROR(VLOOKUP(B847,'03. THIẾT BỊ'!$B$1:$S$836,16,0),"")</f>
        <v/>
      </c>
      <c r="R847" s="471" t="str">
        <f>IFERROR(VLOOKUP(B847,'03. THIẾT BỊ'!$B$1:$S$836,17,0),"")</f>
        <v/>
      </c>
      <c r="S847" s="468" t="str">
        <f>IFERROR(VLOOKUP(B847,'03. THIẾT BỊ'!$B$1:$S$836,18,0),"")</f>
        <v>RN0AA232AKC000911</v>
      </c>
      <c r="T847" s="812"/>
    </row>
    <row r="848" ht="15.0" customHeight="1">
      <c r="A848" s="463">
        <v>12.0</v>
      </c>
      <c r="B848" s="464" t="s">
        <v>5594</v>
      </c>
      <c r="C848" s="869" t="str">
        <f>IFERROR(VLOOKUP(B848,'03. THIẾT BỊ'!$B$1:$S$836,2,0),"")</f>
        <v>92R-00647</v>
      </c>
      <c r="D848" s="470" t="str">
        <f>IFERROR(VLOOKUP(B848,'03. THIẾT BỊ'!$B$1:$S$836,3,0),"")</f>
        <v/>
      </c>
      <c r="E848" s="464" t="str">
        <f>IFERROR(VLOOKUP(B848,'03. THIẾT BỊ'!$B$1:$S$836,4,0),"")</f>
        <v>THUÊ THILOGI</v>
      </c>
      <c r="F848" s="464" t="str">
        <f>IFERROR(VLOOKUP(B848,'03. THIẾT BỊ'!$B$1:$S$836,5,0),"")</f>
        <v>SMRM xương sàn/mooc OPT</v>
      </c>
      <c r="G848" s="80" t="s">
        <v>6423</v>
      </c>
      <c r="H848" s="463" t="str">
        <f>IFERROR(VLOOKUP(B848,'03. THIẾT BỊ'!$B$1:$S$836,7,0),"")</f>
        <v>Phòng GNVC</v>
      </c>
      <c r="I848" s="474" t="str">
        <f>IFERROR(VLOOKUP(B848,'03. THIẾT BỊ'!$B$1:$S$836,8,0),"")</f>
        <v/>
      </c>
      <c r="J848" s="471"/>
      <c r="K848" s="463" t="str">
        <f>IFERROR(VLOOKUP(B848,'03. THIẾT BỊ'!$B$1:$S$836,10,0),"")</f>
        <v>Bình thường</v>
      </c>
      <c r="L848" s="468" t="str">
        <f>IFERROR(VLOOKUP(B848,'03. THIẾT BỊ'!$B$1:$S$836,11,0),"")</f>
        <v/>
      </c>
      <c r="M848" s="472" t="str">
        <f>IFERROR(VLOOKUP(B848,'03. THIẾT BỊ'!$B$1:$S$836,12,0),"")</f>
        <v/>
      </c>
      <c r="N848" s="468" t="str">
        <f>IFERROR(VLOOKUP(B848,'03. THIẾT BỊ'!$B$1:$S$836,13,0),"")</f>
        <v>CAMBODIA</v>
      </c>
      <c r="O848" s="470" t="str">
        <f>IFERROR(VLOOKUP(B848,'03. THIẾT BỊ'!$B$1:$S$836,14,0),"")</f>
        <v>SMRM 3T</v>
      </c>
      <c r="P848" s="468" t="str">
        <f>IFERROR(VLOOKUP(B848,'03. THIẾT BỊ'!$B$1:$S$836,15,0),"")</f>
        <v>CAMBODIA</v>
      </c>
      <c r="Q848" s="48" t="str">
        <f>IFERROR(VLOOKUP(B848,'03. THIẾT BỊ'!$B$1:$S$836,16,0),"")</f>
        <v/>
      </c>
      <c r="R848" s="471" t="str">
        <f>IFERROR(VLOOKUP(B848,'03. THIẾT BỊ'!$B$1:$S$836,17,0),"")</f>
        <v/>
      </c>
      <c r="S848" s="468" t="str">
        <f>IFERROR(VLOOKUP(B848,'03. THIẾT BỊ'!$B$1:$S$836,18,0),"")</f>
        <v>RN0AA339DJC000778</v>
      </c>
      <c r="T848" s="812"/>
    </row>
    <row r="849" ht="15.0" customHeight="1">
      <c r="A849" s="463">
        <v>13.0</v>
      </c>
      <c r="B849" s="464" t="s">
        <v>5598</v>
      </c>
      <c r="C849" s="869" t="str">
        <f>IFERROR(VLOOKUP(B849,'03. THIẾT BỊ'!$B$1:$S$836,2,0),"")</f>
        <v>92R-00602
</v>
      </c>
      <c r="D849" s="470" t="str">
        <f>IFERROR(VLOOKUP(B849,'03. THIẾT BỊ'!$B$1:$S$836,3,0),"")</f>
        <v/>
      </c>
      <c r="E849" s="464" t="str">
        <f>IFERROR(VLOOKUP(B849,'03. THIẾT BỊ'!$B$1:$S$836,4,0),"")</f>
        <v>THUÊ THILOGI</v>
      </c>
      <c r="F849" s="464" t="str">
        <f>IFERROR(VLOOKUP(B849,'03. THIẾT BỊ'!$B$1:$S$836,5,0),"")</f>
        <v>SMRM xương sàn/mooc OPT</v>
      </c>
      <c r="G849" s="80" t="s">
        <v>6423</v>
      </c>
      <c r="H849" s="463" t="str">
        <f>IFERROR(VLOOKUP(B849,'03. THIẾT BỊ'!$B$1:$S$836,7,0),"")</f>
        <v>Phòng GNVC</v>
      </c>
      <c r="I849" s="474" t="str">
        <f>IFERROR(VLOOKUP(B849,'03. THIẾT BỊ'!$B$1:$S$836,8,0),"")</f>
        <v/>
      </c>
      <c r="J849" s="471"/>
      <c r="K849" s="463" t="str">
        <f>IFERROR(VLOOKUP(B849,'03. THIẾT BỊ'!$B$1:$S$836,10,0),"")</f>
        <v>Bình thường</v>
      </c>
      <c r="L849" s="468" t="str">
        <f>IFERROR(VLOOKUP(B849,'03. THIẾT BỊ'!$B$1:$S$836,11,0),"")</f>
        <v/>
      </c>
      <c r="M849" s="472" t="str">
        <f>IFERROR(VLOOKUP(B849,'03. THIẾT BỊ'!$B$1:$S$836,12,0),"")</f>
        <v/>
      </c>
      <c r="N849" s="468" t="str">
        <f>IFERROR(VLOOKUP(B849,'03. THIẾT BỊ'!$B$1:$S$836,13,0),"")</f>
        <v>CAMBODIA</v>
      </c>
      <c r="O849" s="470" t="str">
        <f>IFERROR(VLOOKUP(B849,'03. THIẾT BỊ'!$B$1:$S$836,14,0),"")</f>
        <v>SMRM 3T</v>
      </c>
      <c r="P849" s="468" t="str">
        <f>IFERROR(VLOOKUP(B849,'03. THIẾT BỊ'!$B$1:$S$836,15,0),"")</f>
        <v>CAMBODIA</v>
      </c>
      <c r="Q849" s="48" t="str">
        <f>IFERROR(VLOOKUP(B849,'03. THIẾT BỊ'!$B$1:$S$836,16,0),"")</f>
        <v/>
      </c>
      <c r="R849" s="471" t="str">
        <f>IFERROR(VLOOKUP(B849,'03. THIẾT BỊ'!$B$1:$S$836,17,0),"")</f>
        <v/>
      </c>
      <c r="S849" s="468" t="str">
        <f>IFERROR(VLOOKUP(B849,'03. THIẾT BỊ'!$B$1:$S$836,18,0),"")</f>
        <v>RN0AA339DJC000777</v>
      </c>
      <c r="T849" s="1498"/>
    </row>
    <row r="850" ht="15.0" customHeight="1">
      <c r="A850" s="463">
        <v>14.0</v>
      </c>
      <c r="B850" s="464" t="s">
        <v>5601</v>
      </c>
      <c r="C850" s="869" t="str">
        <f>IFERROR(VLOOKUP(B850,'03. THIẾT BỊ'!$B$1:$S$836,2,0),"")</f>
        <v>92R-00642</v>
      </c>
      <c r="D850" s="470" t="str">
        <f>IFERROR(VLOOKUP(B850,'03. THIẾT BỊ'!$B$1:$S$836,3,0),"")</f>
        <v/>
      </c>
      <c r="E850" s="464" t="str">
        <f>IFERROR(VLOOKUP(B850,'03. THIẾT BỊ'!$B$1:$S$836,4,0),"")</f>
        <v>THUÊ THILOGI</v>
      </c>
      <c r="F850" s="464" t="str">
        <f>IFERROR(VLOOKUP(B850,'03. THIẾT BỊ'!$B$1:$S$836,5,0),"")</f>
        <v>SMRM xương sàn/mooc OPT</v>
      </c>
      <c r="G850" s="80" t="s">
        <v>6423</v>
      </c>
      <c r="H850" s="463" t="str">
        <f>IFERROR(VLOOKUP(B850,'03. THIẾT BỊ'!$B$1:$S$836,7,0),"")</f>
        <v>Phòng GNVC</v>
      </c>
      <c r="I850" s="474" t="str">
        <f>IFERROR(VLOOKUP(B850,'03. THIẾT BỊ'!$B$1:$S$836,8,0),"")</f>
        <v/>
      </c>
      <c r="J850" s="471"/>
      <c r="K850" s="463" t="str">
        <f>IFERROR(VLOOKUP(B850,'03. THIẾT BỊ'!$B$1:$S$836,10,0),"")</f>
        <v>Bình thường</v>
      </c>
      <c r="L850" s="468" t="str">
        <f>IFERROR(VLOOKUP(B850,'03. THIẾT BỊ'!$B$1:$S$836,11,0),"")</f>
        <v/>
      </c>
      <c r="M850" s="472" t="str">
        <f>IFERROR(VLOOKUP(B850,'03. THIẾT BỊ'!$B$1:$S$836,12,0),"")</f>
        <v/>
      </c>
      <c r="N850" s="468" t="str">
        <f>IFERROR(VLOOKUP(B850,'03. THIẾT BỊ'!$B$1:$S$836,13,0),"")</f>
        <v>CAMBODIA</v>
      </c>
      <c r="O850" s="470" t="str">
        <f>IFERROR(VLOOKUP(B850,'03. THIẾT BỊ'!$B$1:$S$836,14,0),"")</f>
        <v>SMRM 3T</v>
      </c>
      <c r="P850" s="468" t="str">
        <f>IFERROR(VLOOKUP(B850,'03. THIẾT BỊ'!$B$1:$S$836,15,0),"")</f>
        <v>CAMBODIA</v>
      </c>
      <c r="Q850" s="48" t="str">
        <f>IFERROR(VLOOKUP(B850,'03. THIẾT BỊ'!$B$1:$S$836,16,0),"")</f>
        <v/>
      </c>
      <c r="R850" s="471" t="str">
        <f>IFERROR(VLOOKUP(B850,'03. THIẾT BỊ'!$B$1:$S$836,17,0),"")</f>
        <v/>
      </c>
      <c r="S850" s="468" t="str">
        <f>IFERROR(VLOOKUP(B850,'03. THIẾT BỊ'!$B$1:$S$836,18,0),"")</f>
        <v>RNHR3910AGC063968</v>
      </c>
      <c r="T850" s="812"/>
    </row>
    <row r="851" ht="15.0" customHeight="1">
      <c r="A851" s="463"/>
      <c r="B851" s="464"/>
      <c r="C851" s="869"/>
      <c r="D851" s="470"/>
      <c r="E851" s="464" t="str">
        <f>IFERROR(VLOOKUP(B851,'03. THIẾT BỊ'!$B$1:$S$836,4,0),"")</f>
        <v/>
      </c>
      <c r="F851" s="464"/>
      <c r="G851" s="80"/>
      <c r="H851" s="463"/>
      <c r="I851" s="474"/>
      <c r="J851" s="471"/>
      <c r="K851" s="463"/>
      <c r="L851" s="468"/>
      <c r="M851" s="472"/>
      <c r="N851" s="468"/>
      <c r="O851" s="470"/>
      <c r="P851" s="468"/>
      <c r="Q851" s="48"/>
      <c r="R851" s="471"/>
      <c r="S851" s="468"/>
      <c r="T851" s="812"/>
    </row>
    <row r="852">
      <c r="A852" s="859" t="s">
        <v>76</v>
      </c>
      <c r="B852" s="860" t="s">
        <v>8721</v>
      </c>
      <c r="C852" s="1062">
        <f>COUNTA(B853:B855)</f>
        <v>2</v>
      </c>
      <c r="D852" s="1063" t="str">
        <f>IFERROR(VLOOKUP(B852,'03. THIẾT BỊ'!$B$1:$S$836,3,0),"")</f>
        <v/>
      </c>
      <c r="E852" s="464" t="str">
        <f>IFERROR(VLOOKUP(B852,'03. THIẾT BỊ'!$B$1:$S$836,4,0),"")</f>
        <v/>
      </c>
      <c r="F852" s="1065" t="str">
        <f>IFERROR(VLOOKUP(B852,'03. THIẾT BỊ'!$B$1:$S$836,5,0),"")</f>
        <v/>
      </c>
      <c r="G852" s="1066" t="s">
        <v>6423</v>
      </c>
      <c r="H852" s="1067" t="str">
        <f>IFERROR(VLOOKUP(B852,'03. THIẾT BỊ'!$B$1:$S$836,7,0),"")</f>
        <v/>
      </c>
      <c r="I852" s="1068" t="str">
        <f>IFERROR(VLOOKUP(B852,'03. THIẾT BỊ'!$B$1:$S$836,8,0),"")</f>
        <v/>
      </c>
      <c r="J852" s="1069"/>
      <c r="K852" s="1067" t="str">
        <f>IFERROR(VLOOKUP(B852,'03. THIẾT BỊ'!$B$1:$S$836,10,0),"")</f>
        <v/>
      </c>
      <c r="L852" s="1065" t="str">
        <f>IFERROR(VLOOKUP(B852,'03. THIẾT BỊ'!$B$1:$S$836,11,0),"")</f>
        <v/>
      </c>
      <c r="M852" s="1070" t="str">
        <f>IFERROR(VLOOKUP(B852,'03. THIẾT BỊ'!$B$1:$S$836,12,0),"")</f>
        <v/>
      </c>
      <c r="N852" s="1065" t="str">
        <f>IFERROR(VLOOKUP(B852,'03. THIẾT BỊ'!$B$1:$S$836,13,0),"")</f>
        <v/>
      </c>
      <c r="O852" s="1063" t="str">
        <f>IFERROR(VLOOKUP(B852,'03. THIẾT BỊ'!$B$1:$S$836,14,0),"")</f>
        <v/>
      </c>
      <c r="P852" s="1065" t="str">
        <f>IFERROR(VLOOKUP(B852,'03. THIẾT BỊ'!$B$1:$S$836,15,0),"")</f>
        <v/>
      </c>
      <c r="Q852" s="1067" t="str">
        <f>IFERROR(VLOOKUP(B852,'03. THIẾT BỊ'!$B$1:$S$836,16,0),"")</f>
        <v/>
      </c>
      <c r="R852" s="1069" t="str">
        <f>IFERROR(VLOOKUP(B852,'03. THIẾT BỊ'!$B$1:$S$836,17,0),"")</f>
        <v/>
      </c>
      <c r="S852" s="1065" t="str">
        <f>IFERROR(VLOOKUP(B852,'03. THIẾT BỊ'!$B$1:$S$836,18,0),"")</f>
        <v/>
      </c>
      <c r="T852" s="1497"/>
    </row>
    <row r="853" ht="15.0" customHeight="1">
      <c r="A853" s="463">
        <v>1.0</v>
      </c>
      <c r="B853" s="464" t="s">
        <v>5604</v>
      </c>
      <c r="C853" s="869" t="str">
        <f>IFERROR(VLOOKUP(B853,'03. THIẾT BỊ'!$B$1:$S$836,2,0),"")</f>
        <v>92R-00524</v>
      </c>
      <c r="D853" s="470" t="str">
        <f>IFERROR(VLOOKUP(B853,'03. THIẾT BỊ'!$B$1:$S$836,3,0),"")</f>
        <v/>
      </c>
      <c r="E853" s="464" t="str">
        <f>IFERROR(VLOOKUP(B853,'03. THIẾT BỊ'!$B$1:$S$836,4,0),"")</f>
        <v>THUÊ THILOGI</v>
      </c>
      <c r="F853" s="464" t="str">
        <f>IFERROR(VLOOKUP(B853,'03. THIẾT BỊ'!$B$1:$S$836,5,0),"")</f>
        <v>SMRM LCD</v>
      </c>
      <c r="G853" s="80" t="s">
        <v>6423</v>
      </c>
      <c r="H853" s="463" t="str">
        <f>IFERROR(VLOOKUP(B853,'03. THIẾT BỊ'!$B$1:$S$836,7,0),"")</f>
        <v>Phòng GNVC</v>
      </c>
      <c r="I853" s="474">
        <f>IFERROR(VLOOKUP(B853,'03. THIẾT BỊ'!$B$1:$S$836,8,0),"")</f>
        <v>45940</v>
      </c>
      <c r="J853" s="471"/>
      <c r="K853" s="463" t="str">
        <f>IFERROR(VLOOKUP(B853,'03. THIẾT BỊ'!$B$1:$S$836,10,0),"")</f>
        <v>Bình thường</v>
      </c>
      <c r="L853" s="468" t="str">
        <f>IFERROR(VLOOKUP(B853,'03. THIẾT BỊ'!$B$1:$S$836,11,0),"")</f>
        <v/>
      </c>
      <c r="M853" s="472" t="str">
        <f>IFERROR(VLOOKUP(B853,'03. THIẾT BỊ'!$B$1:$S$836,12,0),"")</f>
        <v/>
      </c>
      <c r="N853" s="468" t="str">
        <f>IFERROR(VLOOKUP(B853,'03. THIẾT BỊ'!$B$1:$S$836,13,0),"")</f>
        <v/>
      </c>
      <c r="O853" s="470" t="str">
        <f>IFERROR(VLOOKUP(B853,'03. THIẾT BỊ'!$B$1:$S$836,14,0),"")</f>
        <v>SMRM 3T</v>
      </c>
      <c r="P853" s="468" t="str">
        <f>IFERROR(VLOOKUP(B853,'03. THIẾT BỊ'!$B$1:$S$836,15,0),"")</f>
        <v/>
      </c>
      <c r="Q853" s="48" t="str">
        <f>IFERROR(VLOOKUP(B853,'03. THIẾT BỊ'!$B$1:$S$836,16,0),"")</f>
        <v/>
      </c>
      <c r="R853" s="471" t="str">
        <f>IFERROR(VLOOKUP(B853,'03. THIẾT BỊ'!$B$1:$S$836,17,0),"")</f>
        <v/>
      </c>
      <c r="S853" s="468" t="str">
        <f>IFERROR(VLOOKUP(B853,'03. THIẾT BỊ'!$B$1:$S$836,18,0),"")</f>
        <v>RN0PD230AKC000973</v>
      </c>
      <c r="T853" s="812"/>
    </row>
    <row r="854" ht="15.0" customHeight="1">
      <c r="A854" s="463">
        <v>2.0</v>
      </c>
      <c r="B854" s="464" t="s">
        <v>5607</v>
      </c>
      <c r="C854" s="869" t="str">
        <f>IFERROR(VLOOKUP(B854,'03. THIẾT BỊ'!$B$1:$S$836,2,0),"")</f>
        <v>92R-00503</v>
      </c>
      <c r="D854" s="470" t="str">
        <f>IFERROR(VLOOKUP(B854,'03. THIẾT BỊ'!$B$1:$S$836,3,0),"")</f>
        <v/>
      </c>
      <c r="E854" s="464" t="str">
        <f>IFERROR(VLOOKUP(B854,'03. THIẾT BỊ'!$B$1:$S$836,4,0),"")</f>
        <v>THUÊ THILOGI</v>
      </c>
      <c r="F854" s="464" t="str">
        <f>IFERROR(VLOOKUP(B854,'03. THIẾT BỊ'!$B$1:$S$836,5,0),"")</f>
        <v>SMRM LCD</v>
      </c>
      <c r="G854" s="80" t="s">
        <v>6423</v>
      </c>
      <c r="H854" s="463" t="str">
        <f>IFERROR(VLOOKUP(B854,'03. THIẾT BỊ'!$B$1:$S$836,7,0),"")</f>
        <v>Phòng GNVC</v>
      </c>
      <c r="I854" s="474">
        <f>IFERROR(VLOOKUP(B854,'03. THIẾT BỊ'!$B$1:$S$836,8,0),"")</f>
        <v>45940</v>
      </c>
      <c r="J854" s="471"/>
      <c r="K854" s="463" t="str">
        <f>IFERROR(VLOOKUP(B854,'03. THIẾT BỊ'!$B$1:$S$836,10,0),"")</f>
        <v>Bình thường</v>
      </c>
      <c r="L854" s="468" t="str">
        <f>IFERROR(VLOOKUP(B854,'03. THIẾT BỊ'!$B$1:$S$836,11,0),"")</f>
        <v/>
      </c>
      <c r="M854" s="472" t="str">
        <f>IFERROR(VLOOKUP(B854,'03. THIẾT BỊ'!$B$1:$S$836,12,0),"")</f>
        <v/>
      </c>
      <c r="N854" s="468" t="str">
        <f>IFERROR(VLOOKUP(B854,'03. THIẾT BỊ'!$B$1:$S$836,13,0),"")</f>
        <v/>
      </c>
      <c r="O854" s="470" t="str">
        <f>IFERROR(VLOOKUP(B854,'03. THIẾT BỊ'!$B$1:$S$836,14,0),"")</f>
        <v>SMRM 3T</v>
      </c>
      <c r="P854" s="468" t="str">
        <f>IFERROR(VLOOKUP(B854,'03. THIẾT BỊ'!$B$1:$S$836,15,0),"")</f>
        <v/>
      </c>
      <c r="Q854" s="48" t="str">
        <f>IFERROR(VLOOKUP(B854,'03. THIẾT BỊ'!$B$1:$S$836,16,0),"")</f>
        <v/>
      </c>
      <c r="R854" s="471" t="str">
        <f>IFERROR(VLOOKUP(B854,'03. THIẾT BỊ'!$B$1:$S$836,17,0),"")</f>
        <v/>
      </c>
      <c r="S854" s="468" t="str">
        <f>IFERROR(VLOOKUP(B854,'03. THIẾT BỊ'!$B$1:$S$836,18,0),"")</f>
        <v>RN0PD230AKC000929</v>
      </c>
      <c r="T854" s="812"/>
    </row>
    <row r="855" ht="15.0" customHeight="1">
      <c r="A855" s="475"/>
      <c r="C855" s="869" t="str">
        <f>IFERROR(VLOOKUP(B855,'03. THIẾT BỊ'!$B$1:$S$836,2,0),"")</f>
        <v/>
      </c>
      <c r="D855" s="470" t="str">
        <f>IFERROR(VLOOKUP(B855,'03. THIẾT BỊ'!$B$1:$S$836,3,0),"")</f>
        <v/>
      </c>
      <c r="E855" s="464" t="str">
        <f>IFERROR(VLOOKUP(B855,'03. THIẾT BỊ'!$B$1:$S$836,4,0),"")</f>
        <v/>
      </c>
      <c r="F855" s="464" t="str">
        <f>IFERROR(VLOOKUP(B855,'03. THIẾT BỊ'!$B$1:$S$836,5,0),"")</f>
        <v/>
      </c>
      <c r="G855" s="80" t="s">
        <v>6423</v>
      </c>
      <c r="H855" s="463" t="str">
        <f>IFERROR(VLOOKUP(B855,'03. THIẾT BỊ'!$B$1:$S$836,7,0),"")</f>
        <v/>
      </c>
      <c r="I855" s="474" t="str">
        <f>IFERROR(VLOOKUP(B855,'03. THIẾT BỊ'!$B$1:$S$836,8,0),"")</f>
        <v/>
      </c>
      <c r="J855" s="471"/>
      <c r="K855" s="463" t="str">
        <f>IFERROR(VLOOKUP(B855,'03. THIẾT BỊ'!$B$1:$S$836,10,0),"")</f>
        <v/>
      </c>
      <c r="L855" s="468" t="str">
        <f>IFERROR(VLOOKUP(B855,'03. THIẾT BỊ'!$B$1:$S$836,11,0),"")</f>
        <v/>
      </c>
      <c r="M855" s="472" t="str">
        <f>IFERROR(VLOOKUP(B855,'03. THIẾT BỊ'!$B$1:$S$836,12,0),"")</f>
        <v/>
      </c>
      <c r="N855" s="468" t="str">
        <f>IFERROR(VLOOKUP(B855,'03. THIẾT BỊ'!$B$1:$S$836,13,0),"")</f>
        <v/>
      </c>
      <c r="O855" s="470" t="str">
        <f>IFERROR(VLOOKUP(B855,'03. THIẾT BỊ'!$B$1:$S$836,14,0),"")</f>
        <v/>
      </c>
      <c r="P855" s="468" t="str">
        <f>IFERROR(VLOOKUP(B855,'03. THIẾT BỊ'!$B$1:$S$836,15,0),"")</f>
        <v/>
      </c>
      <c r="Q855" s="48" t="str">
        <f>IFERROR(VLOOKUP(B855,'03. THIẾT BỊ'!$B$1:$S$836,16,0),"")</f>
        <v/>
      </c>
      <c r="R855" s="471" t="str">
        <f>IFERROR(VLOOKUP(B855,'03. THIẾT BỊ'!$B$1:$S$836,17,0),"")</f>
        <v/>
      </c>
      <c r="S855" s="468" t="str">
        <f>IFERROR(VLOOKUP(B855,'03. THIẾT BỊ'!$B$1:$S$836,18,0),"")</f>
        <v/>
      </c>
      <c r="T855" s="812"/>
    </row>
    <row r="856">
      <c r="A856" s="859" t="s">
        <v>76</v>
      </c>
      <c r="B856" s="860" t="s">
        <v>5626</v>
      </c>
      <c r="C856" s="1062">
        <f>COUNTA(B857:B873)</f>
        <v>16</v>
      </c>
      <c r="D856" s="1063" t="str">
        <f>IFERROR(VLOOKUP(B856,'03. THIẾT BỊ'!$B$1:$S$836,3,0),"")</f>
        <v/>
      </c>
      <c r="E856" s="464" t="str">
        <f>IFERROR(VLOOKUP(B856,'03. THIẾT BỊ'!$B$1:$S$836,4,0),"")</f>
        <v/>
      </c>
      <c r="F856" s="1065" t="str">
        <f>IFERROR(VLOOKUP(B856,'03. THIẾT BỊ'!$B$1:$S$836,5,0),"")</f>
        <v/>
      </c>
      <c r="G856" s="1066" t="s">
        <v>6423</v>
      </c>
      <c r="H856" s="1067" t="str">
        <f>IFERROR(VLOOKUP(B856,'03. THIẾT BỊ'!$B$1:$S$836,7,0),"")</f>
        <v/>
      </c>
      <c r="I856" s="1068" t="str">
        <f>IFERROR(VLOOKUP(B856,'03. THIẾT BỊ'!$B$1:$S$836,8,0),"")</f>
        <v/>
      </c>
      <c r="J856" s="1069"/>
      <c r="K856" s="1067" t="str">
        <f>IFERROR(VLOOKUP(B856,'03. THIẾT BỊ'!$B$1:$S$836,10,0),"")</f>
        <v/>
      </c>
      <c r="L856" s="1065" t="str">
        <f>IFERROR(VLOOKUP(B856,'03. THIẾT BỊ'!$B$1:$S$836,11,0),"")</f>
        <v/>
      </c>
      <c r="M856" s="1070" t="str">
        <f>IFERROR(VLOOKUP(B856,'03. THIẾT BỊ'!$B$1:$S$836,12,0),"")</f>
        <v/>
      </c>
      <c r="N856" s="1065" t="str">
        <f>IFERROR(VLOOKUP(B856,'03. THIẾT BỊ'!$B$1:$S$836,13,0),"")</f>
        <v/>
      </c>
      <c r="O856" s="1063" t="str">
        <f>IFERROR(VLOOKUP(B856,'03. THIẾT BỊ'!$B$1:$S$836,14,0),"")</f>
        <v/>
      </c>
      <c r="P856" s="1065" t="str">
        <f>IFERROR(VLOOKUP(B856,'03. THIẾT BỊ'!$B$1:$S$836,15,0),"")</f>
        <v/>
      </c>
      <c r="Q856" s="1067" t="str">
        <f>IFERROR(VLOOKUP(B856,'03. THIẾT BỊ'!$B$1:$S$836,16,0),"")</f>
        <v/>
      </c>
      <c r="R856" s="1069" t="str">
        <f>IFERROR(VLOOKUP(B856,'03. THIẾT BỊ'!$B$1:$S$836,17,0),"")</f>
        <v/>
      </c>
      <c r="S856" s="1065" t="str">
        <f>IFERROR(VLOOKUP(B856,'03. THIẾT BỊ'!$B$1:$S$836,18,0),"")</f>
        <v/>
      </c>
      <c r="T856" s="1497"/>
    </row>
    <row r="857" ht="15.0" customHeight="1">
      <c r="A857" s="48">
        <v>1.0</v>
      </c>
      <c r="B857" s="467" t="s">
        <v>5627</v>
      </c>
      <c r="C857" s="869" t="str">
        <f>IFERROR(VLOOKUP(B857,'03. THIẾT BỊ'!$B$1:$S$836,2,0),"")</f>
        <v/>
      </c>
      <c r="D857" s="470" t="str">
        <f>IFERROR(VLOOKUP(B857,'03. THIẾT BỊ'!$B$1:$S$836,3,0),"")</f>
        <v/>
      </c>
      <c r="E857" s="464" t="str">
        <f>IFERROR(VLOOKUP(B857,'03. THIẾT BỊ'!$B$1:$S$836,4,0),"")</f>
        <v/>
      </c>
      <c r="F857" s="464" t="str">
        <f>IFERROR(VLOOKUP(B857,'03. THIẾT BỊ'!$B$1:$S$836,5,0),"")</f>
        <v>Rơ mooc gắn máy kéo</v>
      </c>
      <c r="G857" s="80" t="s">
        <v>6423</v>
      </c>
      <c r="H857" s="463" t="str">
        <f>IFERROR(VLOOKUP(B857,'03. THIẾT BỊ'!$B$1:$S$836,7,0),"")</f>
        <v>Hành chính KLH</v>
      </c>
      <c r="I857" s="474" t="str">
        <f>IFERROR(VLOOKUP(B857,'03. THIẾT BỊ'!$B$1:$S$836,8,0),"")</f>
        <v/>
      </c>
      <c r="J857" s="471"/>
      <c r="K857" s="463" t="str">
        <f>IFERROR(VLOOKUP(B857,'03. THIẾT BỊ'!$B$1:$S$836,10,0),"")</f>
        <v>Bình thường</v>
      </c>
      <c r="L857" s="468" t="str">
        <f>IFERROR(VLOOKUP(B857,'03. THIẾT BỊ'!$B$1:$S$836,11,0),"")</f>
        <v/>
      </c>
      <c r="M857" s="472" t="str">
        <f>IFERROR(VLOOKUP(B857,'03. THIẾT BỊ'!$B$1:$S$836,12,0),"")</f>
        <v/>
      </c>
      <c r="N857" s="468" t="str">
        <f>IFERROR(VLOOKUP(B857,'03. THIẾT BỊ'!$B$1:$S$836,13,0),"")</f>
        <v>THACO AGRI</v>
      </c>
      <c r="O857" s="470" t="str">
        <f>IFERROR(VLOOKUP(B857,'03. THIẾT BỊ'!$B$1:$S$836,14,0),"")</f>
        <v/>
      </c>
      <c r="P857" s="468" t="str">
        <f>IFERROR(VLOOKUP(B857,'03. THIẾT BỊ'!$B$1:$S$836,15,0),"")</f>
        <v>CK-CGH</v>
      </c>
      <c r="Q857" s="48" t="str">
        <f>IFERROR(VLOOKUP(B857,'03. THIẾT BỊ'!$B$1:$S$836,16,0),"")</f>
        <v/>
      </c>
      <c r="R857" s="471" t="str">
        <f>IFERROR(VLOOKUP(B857,'03. THIẾT BỊ'!$B$1:$S$836,17,0),"")</f>
        <v>2x4x0.7m</v>
      </c>
      <c r="S857" s="468" t="str">
        <f>IFERROR(VLOOKUP(B857,'03. THIẾT BỊ'!$B$1:$S$836,18,0),"")</f>
        <v/>
      </c>
      <c r="T857" s="959"/>
    </row>
    <row r="858" ht="15.0" customHeight="1">
      <c r="A858" s="48">
        <v>2.0</v>
      </c>
      <c r="B858" s="464" t="s">
        <v>5630</v>
      </c>
      <c r="C858" s="869" t="str">
        <f>IFERROR(VLOOKUP(B858,'03. THIẾT BỊ'!$B$1:$S$836,2,0),"")</f>
        <v>RMHA - 01</v>
      </c>
      <c r="D858" s="470" t="str">
        <f>IFERROR(VLOOKUP(B858,'03. THIẾT BỊ'!$B$1:$S$836,3,0),"")</f>
        <v/>
      </c>
      <c r="E858" s="464" t="str">
        <f>IFERROR(VLOOKUP(B858,'03. THIẾT BỊ'!$B$1:$S$836,4,0),"")</f>
        <v/>
      </c>
      <c r="F858" s="464" t="str">
        <f>IFERROR(VLOOKUP(B858,'03. THIẾT BỊ'!$B$1:$S$836,5,0),"")</f>
        <v>Rơ mooc RMHA</v>
      </c>
      <c r="G858" s="80" t="s">
        <v>6423</v>
      </c>
      <c r="H858" s="463" t="str">
        <f>IFERROR(VLOOKUP(B858,'03. THIẾT BỊ'!$B$1:$S$836,7,0),"")</f>
        <v>Xưởng Cơ khí DP</v>
      </c>
      <c r="I858" s="474" t="str">
        <f>IFERROR(VLOOKUP(B858,'03. THIẾT BỊ'!$B$1:$S$836,8,0),"")</f>
        <v/>
      </c>
      <c r="J858" s="471"/>
      <c r="K858" s="463" t="str">
        <f>IFERROR(VLOOKUP(B858,'03. THIẾT BỊ'!$B$1:$S$836,10,0),"")</f>
        <v>Bình thường</v>
      </c>
      <c r="L858" s="468" t="str">
        <f>IFERROR(VLOOKUP(B858,'03. THIẾT BỊ'!$B$1:$S$836,11,0),"")</f>
        <v/>
      </c>
      <c r="M858" s="472" t="str">
        <f>IFERROR(VLOOKUP(B858,'03. THIẾT BỊ'!$B$1:$S$836,12,0),"")</f>
        <v>Chở vật tư, máy phát điện</v>
      </c>
      <c r="N858" s="468" t="str">
        <f>IFERROR(VLOOKUP(B858,'03. THIẾT BỊ'!$B$1:$S$836,13,0),"")</f>
        <v>THACO AGRI</v>
      </c>
      <c r="O858" s="470" t="str">
        <f>IFERROR(VLOOKUP(B858,'03. THIẾT BỊ'!$B$1:$S$836,14,0),"")</f>
        <v/>
      </c>
      <c r="P858" s="468" t="str">
        <f>IFERROR(VLOOKUP(B858,'03. THIẾT BỊ'!$B$1:$S$836,15,0),"")</f>
        <v>CK-CGH</v>
      </c>
      <c r="Q858" s="48" t="str">
        <f>IFERROR(VLOOKUP(B858,'03. THIẾT BỊ'!$B$1:$S$836,16,0),"")</f>
        <v/>
      </c>
      <c r="R858" s="471" t="str">
        <f>IFERROR(VLOOKUP(B858,'03. THIẾT BỊ'!$B$1:$S$836,17,0),"")</f>
        <v/>
      </c>
      <c r="S858" s="468" t="str">
        <f>IFERROR(VLOOKUP(B858,'03. THIẾT BỊ'!$B$1:$S$836,18,0),"")</f>
        <v/>
      </c>
      <c r="T858" s="959"/>
    </row>
    <row r="859" ht="15.0" customHeight="1">
      <c r="A859" s="48">
        <v>3.0</v>
      </c>
      <c r="B859" s="464" t="s">
        <v>5634</v>
      </c>
      <c r="C859" s="869" t="str">
        <f>IFERROR(VLOOKUP(B859,'03. THIẾT BỊ'!$B$1:$S$836,2,0),"")</f>
        <v>RMHA - 02</v>
      </c>
      <c r="D859" s="470" t="str">
        <f>IFERROR(VLOOKUP(B859,'03. THIẾT BỊ'!$B$1:$S$836,3,0),"")</f>
        <v/>
      </c>
      <c r="E859" s="464" t="str">
        <f>IFERROR(VLOOKUP(B859,'03. THIẾT BỊ'!$B$1:$S$836,4,0),"")</f>
        <v/>
      </c>
      <c r="F859" s="464" t="str">
        <f>IFERROR(VLOOKUP(B859,'03. THIẾT BỊ'!$B$1:$S$836,5,0),"")</f>
        <v>Rơ mooc RMHA</v>
      </c>
      <c r="G859" s="80" t="s">
        <v>6423</v>
      </c>
      <c r="H859" s="463" t="str">
        <f>IFERROR(VLOOKUP(B859,'03. THIẾT BỊ'!$B$1:$S$836,7,0),"")</f>
        <v>Xưởng Cơ khí DP</v>
      </c>
      <c r="I859" s="474" t="str">
        <f>IFERROR(VLOOKUP(B859,'03. THIẾT BỊ'!$B$1:$S$836,8,0),"")</f>
        <v/>
      </c>
      <c r="J859" s="471"/>
      <c r="K859" s="463" t="str">
        <f>IFERROR(VLOOKUP(B859,'03. THIẾT BỊ'!$B$1:$S$836,10,0),"")</f>
        <v>Bình thường</v>
      </c>
      <c r="L859" s="468" t="str">
        <f>IFERROR(VLOOKUP(B859,'03. THIẾT BỊ'!$B$1:$S$836,11,0),"")</f>
        <v/>
      </c>
      <c r="M859" s="472" t="str">
        <f>IFERROR(VLOOKUP(B859,'03. THIẾT BỊ'!$B$1:$S$836,12,0),"")</f>
        <v>Chở vật tư, máy phát điện</v>
      </c>
      <c r="N859" s="468" t="str">
        <f>IFERROR(VLOOKUP(B859,'03. THIẾT BỊ'!$B$1:$S$836,13,0),"")</f>
        <v>THACO AGRI</v>
      </c>
      <c r="O859" s="470" t="str">
        <f>IFERROR(VLOOKUP(B859,'03. THIẾT BỊ'!$B$1:$S$836,14,0),"")</f>
        <v/>
      </c>
      <c r="P859" s="468" t="str">
        <f>IFERROR(VLOOKUP(B859,'03. THIẾT BỊ'!$B$1:$S$836,15,0),"")</f>
        <v>CK-CGH</v>
      </c>
      <c r="Q859" s="48" t="str">
        <f>IFERROR(VLOOKUP(B859,'03. THIẾT BỊ'!$B$1:$S$836,16,0),"")</f>
        <v/>
      </c>
      <c r="R859" s="471" t="str">
        <f>IFERROR(VLOOKUP(B859,'03. THIẾT BỊ'!$B$1:$S$836,17,0),"")</f>
        <v/>
      </c>
      <c r="S859" s="468" t="str">
        <f>IFERROR(VLOOKUP(B859,'03. THIẾT BỊ'!$B$1:$S$836,18,0),"")</f>
        <v/>
      </c>
      <c r="T859" s="959"/>
    </row>
    <row r="860" ht="15.0" customHeight="1">
      <c r="A860" s="48">
        <v>4.0</v>
      </c>
      <c r="B860" s="464" t="s">
        <v>5636</v>
      </c>
      <c r="C860" s="869" t="str">
        <f>IFERROR(VLOOKUP(B860,'03. THIẾT BỊ'!$B$1:$S$836,2,0),"")</f>
        <v>RMHA - 03</v>
      </c>
      <c r="D860" s="470" t="str">
        <f>IFERROR(VLOOKUP(B860,'03. THIẾT BỊ'!$B$1:$S$836,3,0),"")</f>
        <v/>
      </c>
      <c r="E860" s="464" t="str">
        <f>IFERROR(VLOOKUP(B860,'03. THIẾT BỊ'!$B$1:$S$836,4,0),"")</f>
        <v/>
      </c>
      <c r="F860" s="464" t="str">
        <f>IFERROR(VLOOKUP(B860,'03. THIẾT BỊ'!$B$1:$S$836,5,0),"")</f>
        <v>Rơ mooc RMHA</v>
      </c>
      <c r="G860" s="80" t="s">
        <v>6423</v>
      </c>
      <c r="H860" s="463" t="str">
        <f>IFERROR(VLOOKUP(B860,'03. THIẾT BỊ'!$B$1:$S$836,7,0),"")</f>
        <v>Xưởng Cơ khí DP</v>
      </c>
      <c r="I860" s="474" t="str">
        <f>IFERROR(VLOOKUP(B860,'03. THIẾT BỊ'!$B$1:$S$836,8,0),"")</f>
        <v/>
      </c>
      <c r="J860" s="471"/>
      <c r="K860" s="463" t="str">
        <f>IFERROR(VLOOKUP(B860,'03. THIẾT BỊ'!$B$1:$S$836,10,0),"")</f>
        <v>Bình thường</v>
      </c>
      <c r="L860" s="468" t="str">
        <f>IFERROR(VLOOKUP(B860,'03. THIẾT BỊ'!$B$1:$S$836,11,0),"")</f>
        <v/>
      </c>
      <c r="M860" s="472" t="str">
        <f>IFERROR(VLOOKUP(B860,'03. THIẾT BỊ'!$B$1:$S$836,12,0),"")</f>
        <v>Chở vật tư, máy phát điện</v>
      </c>
      <c r="N860" s="468" t="str">
        <f>IFERROR(VLOOKUP(B860,'03. THIẾT BỊ'!$B$1:$S$836,13,0),"")</f>
        <v>THACO AGRI</v>
      </c>
      <c r="O860" s="470" t="str">
        <f>IFERROR(VLOOKUP(B860,'03. THIẾT BỊ'!$B$1:$S$836,14,0),"")</f>
        <v/>
      </c>
      <c r="P860" s="468" t="str">
        <f>IFERROR(VLOOKUP(B860,'03. THIẾT BỊ'!$B$1:$S$836,15,0),"")</f>
        <v>CK-CGH</v>
      </c>
      <c r="Q860" s="48" t="str">
        <f>IFERROR(VLOOKUP(B860,'03. THIẾT BỊ'!$B$1:$S$836,16,0),"")</f>
        <v/>
      </c>
      <c r="R860" s="471" t="str">
        <f>IFERROR(VLOOKUP(B860,'03. THIẾT BỊ'!$B$1:$S$836,17,0),"")</f>
        <v/>
      </c>
      <c r="S860" s="468" t="str">
        <f>IFERROR(VLOOKUP(B860,'03. THIẾT BỊ'!$B$1:$S$836,18,0),"")</f>
        <v/>
      </c>
      <c r="T860" s="959"/>
    </row>
    <row r="861" ht="15.0" customHeight="1">
      <c r="A861" s="48">
        <v>5.0</v>
      </c>
      <c r="B861" s="464" t="s">
        <v>5638</v>
      </c>
      <c r="C861" s="869" t="str">
        <f>IFERROR(VLOOKUP(B861,'03. THIẾT BỊ'!$B$1:$S$836,2,0),"")</f>
        <v>RMHA - 04</v>
      </c>
      <c r="D861" s="470" t="str">
        <f>IFERROR(VLOOKUP(B861,'03. THIẾT BỊ'!$B$1:$S$836,3,0),"")</f>
        <v/>
      </c>
      <c r="E861" s="464" t="str">
        <f>IFERROR(VLOOKUP(B861,'03. THIẾT BỊ'!$B$1:$S$836,4,0),"")</f>
        <v/>
      </c>
      <c r="F861" s="464" t="str">
        <f>IFERROR(VLOOKUP(B861,'03. THIẾT BỊ'!$B$1:$S$836,5,0),"")</f>
        <v>Rơ mooc RMHA</v>
      </c>
      <c r="G861" s="80" t="s">
        <v>6423</v>
      </c>
      <c r="H861" s="463" t="str">
        <f>IFERROR(VLOOKUP(B861,'03. THIẾT BỊ'!$B$1:$S$836,7,0),"")</f>
        <v>Xưởng Cơ khí DP</v>
      </c>
      <c r="I861" s="474" t="str">
        <f>IFERROR(VLOOKUP(B861,'03. THIẾT BỊ'!$B$1:$S$836,8,0),"")</f>
        <v/>
      </c>
      <c r="J861" s="471"/>
      <c r="K861" s="463" t="str">
        <f>IFERROR(VLOOKUP(B861,'03. THIẾT BỊ'!$B$1:$S$836,10,0),"")</f>
        <v>Bình thường</v>
      </c>
      <c r="L861" s="468" t="str">
        <f>IFERROR(VLOOKUP(B861,'03. THIẾT BỊ'!$B$1:$S$836,11,0),"")</f>
        <v/>
      </c>
      <c r="M861" s="472" t="str">
        <f>IFERROR(VLOOKUP(B861,'03. THIẾT BỊ'!$B$1:$S$836,12,0),"")</f>
        <v>Chở vật tư, máy phát điện</v>
      </c>
      <c r="N861" s="468" t="str">
        <f>IFERROR(VLOOKUP(B861,'03. THIẾT BỊ'!$B$1:$S$836,13,0),"")</f>
        <v>THACO AGRI</v>
      </c>
      <c r="O861" s="470" t="str">
        <f>IFERROR(VLOOKUP(B861,'03. THIẾT BỊ'!$B$1:$S$836,14,0),"")</f>
        <v/>
      </c>
      <c r="P861" s="468" t="str">
        <f>IFERROR(VLOOKUP(B861,'03. THIẾT BỊ'!$B$1:$S$836,15,0),"")</f>
        <v>CK-CGH</v>
      </c>
      <c r="Q861" s="48" t="str">
        <f>IFERROR(VLOOKUP(B861,'03. THIẾT BỊ'!$B$1:$S$836,16,0),"")</f>
        <v/>
      </c>
      <c r="R861" s="471" t="str">
        <f>IFERROR(VLOOKUP(B861,'03. THIẾT BỊ'!$B$1:$S$836,17,0),"")</f>
        <v/>
      </c>
      <c r="S861" s="468" t="str">
        <f>IFERROR(VLOOKUP(B861,'03. THIẾT BỊ'!$B$1:$S$836,18,0),"")</f>
        <v/>
      </c>
      <c r="T861" s="959"/>
    </row>
    <row r="862" ht="15.0" customHeight="1">
      <c r="A862" s="48">
        <v>6.0</v>
      </c>
      <c r="B862" s="464" t="s">
        <v>5640</v>
      </c>
      <c r="C862" s="869" t="str">
        <f>IFERROR(VLOOKUP(B862,'03. THIẾT BỊ'!$B$1:$S$836,2,0),"")</f>
        <v/>
      </c>
      <c r="D862" s="470" t="str">
        <f>IFERROR(VLOOKUP(B862,'03. THIẾT BỊ'!$B$1:$S$836,3,0),"")</f>
        <v>A23-MKC-011</v>
      </c>
      <c r="E862" s="464" t="str">
        <f>IFERROR(VLOOKUP(B862,'03. THIẾT BỊ'!$B$1:$S$836,4,0),"")</f>
        <v/>
      </c>
      <c r="F862" s="464" t="str">
        <f>IFERROR(VLOOKUP(B862,'03. THIẾT BỊ'!$B$1:$S$836,5,0),"")</f>
        <v>Máy kéo chuối</v>
      </c>
      <c r="G862" s="80" t="s">
        <v>6423</v>
      </c>
      <c r="H862" s="463" t="str">
        <f>IFERROR(VLOOKUP(B862,'03. THIẾT BỊ'!$B$1:$S$836,7,0),"")</f>
        <v>Xưởng Cơ khí DP</v>
      </c>
      <c r="I862" s="474" t="str">
        <f>IFERROR(VLOOKUP(B862,'03. THIẾT BỊ'!$B$1:$S$836,8,0),"")</f>
        <v>24/05/2025</v>
      </c>
      <c r="J862" s="471"/>
      <c r="K862" s="463" t="str">
        <f>IFERROR(VLOOKUP(B862,'03. THIẾT BỊ'!$B$1:$S$836,10,0),"")</f>
        <v>Bình thường</v>
      </c>
      <c r="L862" s="468" t="str">
        <f>IFERROR(VLOOKUP(B862,'03. THIẾT BỊ'!$B$1:$S$836,11,0),"")</f>
        <v/>
      </c>
      <c r="M862" s="472" t="str">
        <f>IFERROR(VLOOKUP(B862,'03. THIẾT BỊ'!$B$1:$S$836,12,0),"")</f>
        <v/>
      </c>
      <c r="N862" s="468" t="str">
        <f>IFERROR(VLOOKUP(B862,'03. THIẾT BỊ'!$B$1:$S$836,13,0),"")</f>
        <v>THACO AGRI</v>
      </c>
      <c r="O862" s="470" t="str">
        <f>IFERROR(VLOOKUP(B862,'03. THIẾT BỊ'!$B$1:$S$836,14,0),"")</f>
        <v/>
      </c>
      <c r="P862" s="468" t="str">
        <f>IFERROR(VLOOKUP(B862,'03. THIẾT BỊ'!$B$1:$S$836,15,0),"")</f>
        <v>CK-CGH</v>
      </c>
      <c r="Q862" s="48" t="str">
        <f>IFERROR(VLOOKUP(B862,'03. THIẾT BỊ'!$B$1:$S$836,16,0),"")</f>
        <v/>
      </c>
      <c r="R862" s="471" t="str">
        <f>IFERROR(VLOOKUP(B862,'03. THIẾT BỊ'!$B$1:$S$836,17,0),"")</f>
        <v/>
      </c>
      <c r="S862" s="468" t="str">
        <f>IFERROR(VLOOKUP(B862,'03. THIẾT BỊ'!$B$1:$S$836,18,0),"")</f>
        <v/>
      </c>
      <c r="T862" s="807">
        <v>0.56</v>
      </c>
    </row>
    <row r="863" ht="15.0" customHeight="1">
      <c r="A863" s="48">
        <v>7.0</v>
      </c>
      <c r="B863" s="464" t="s">
        <v>5644</v>
      </c>
      <c r="C863" s="869" t="str">
        <f>IFERROR(VLOOKUP(B863,'03. THIẾT BỊ'!$B$1:$S$836,2,0),"")</f>
        <v>XAD-RMC-018</v>
      </c>
      <c r="D863" s="470" t="str">
        <f>IFERROR(VLOOKUP(B863,'03. THIẾT BỊ'!$B$1:$S$836,3,0),"")</f>
        <v>A22-RMC-005</v>
      </c>
      <c r="E863" s="464" t="str">
        <f>IFERROR(VLOOKUP(B863,'03. THIẾT BỊ'!$B$1:$S$836,4,0),"")</f>
        <v/>
      </c>
      <c r="F863" s="464" t="str">
        <f>IFERROR(VLOOKUP(B863,'03. THIẾT BỊ'!$B$1:$S$836,5,0),"")</f>
        <v>Rơ mooc thu hoạch</v>
      </c>
      <c r="G863" s="80" t="s">
        <v>6423</v>
      </c>
      <c r="H863" s="463" t="str">
        <f>IFERROR(VLOOKUP(B863,'03. THIẾT BỊ'!$B$1:$S$836,7,0),"")</f>
        <v>XN Chuối AD2</v>
      </c>
      <c r="I863" s="474">
        <f>IFERROR(VLOOKUP(B863,'03. THIẾT BỊ'!$B$1:$S$836,8,0),"")</f>
        <v>45779</v>
      </c>
      <c r="J863" s="471"/>
      <c r="K863" s="463" t="str">
        <f>IFERROR(VLOOKUP(B863,'03. THIẾT BỊ'!$B$1:$S$836,10,0),"")</f>
        <v>Bình thường</v>
      </c>
      <c r="L863" s="468" t="str">
        <f>IFERROR(VLOOKUP(B863,'03. THIẾT BỊ'!$B$1:$S$836,11,0),"")</f>
        <v>Đ.chuyển từ AD2 ngày 05/02/2025</v>
      </c>
      <c r="M863" s="472" t="str">
        <f>IFERROR(VLOOKUP(B863,'03. THIẾT BỊ'!$B$1:$S$836,12,0),"")</f>
        <v/>
      </c>
      <c r="N863" s="468" t="str">
        <f>IFERROR(VLOOKUP(B863,'03. THIẾT BỊ'!$B$1:$S$836,13,0),"")</f>
        <v>THACO AGRI</v>
      </c>
      <c r="O863" s="470" t="str">
        <f>IFERROR(VLOOKUP(B863,'03. THIẾT BỊ'!$B$1:$S$836,14,0),"")</f>
        <v/>
      </c>
      <c r="P863" s="468" t="str">
        <f>IFERROR(VLOOKUP(B863,'03. THIẾT BỊ'!$B$1:$S$836,15,0),"")</f>
        <v>CK-CGH</v>
      </c>
      <c r="Q863" s="48" t="str">
        <f>IFERROR(VLOOKUP(B863,'03. THIẾT BỊ'!$B$1:$S$836,16,0),"")</f>
        <v/>
      </c>
      <c r="R863" s="471" t="str">
        <f>IFERROR(VLOOKUP(B863,'03. THIẾT BỊ'!$B$1:$S$836,17,0),"")</f>
        <v/>
      </c>
      <c r="S863" s="468" t="str">
        <f>IFERROR(VLOOKUP(B863,'03. THIẾT BỊ'!$B$1:$S$836,18,0),"")</f>
        <v>40 BUỒNG</v>
      </c>
      <c r="T863" s="812"/>
    </row>
    <row r="864" ht="15.0" customHeight="1">
      <c r="A864" s="48">
        <v>8.0</v>
      </c>
      <c r="B864" s="464" t="s">
        <v>5648</v>
      </c>
      <c r="C864" s="869" t="str">
        <f>IFERROR(VLOOKUP(B864,'03. THIẾT BỊ'!$B$1:$S$836,2,0),"")</f>
        <v/>
      </c>
      <c r="D864" s="470" t="str">
        <f>IFERROR(VLOOKUP(B864,'03. THIẾT BỊ'!$B$1:$S$836,3,0),"")</f>
        <v/>
      </c>
      <c r="E864" s="464" t="str">
        <f>IFERROR(VLOOKUP(B864,'03. THIẾT BỊ'!$B$1:$S$836,4,0),"")</f>
        <v/>
      </c>
      <c r="F864" s="464" t="str">
        <f>IFERROR(VLOOKUP(B864,'03. THIẾT BỊ'!$B$1:$S$836,5,0),"")</f>
        <v>Rơ mooc RMHA</v>
      </c>
      <c r="G864" s="80" t="s">
        <v>6423</v>
      </c>
      <c r="H864" s="463" t="str">
        <f>IFERROR(VLOOKUP(B864,'03. THIẾT BỊ'!$B$1:$S$836,7,0),"")</f>
        <v>Ban Điện nước</v>
      </c>
      <c r="I864" s="474" t="str">
        <f>IFERROR(VLOOKUP(B864,'03. THIẾT BỊ'!$B$1:$S$836,8,0),"")</f>
        <v/>
      </c>
      <c r="J864" s="471"/>
      <c r="K864" s="463" t="str">
        <f>IFERROR(VLOOKUP(B864,'03. THIẾT BỊ'!$B$1:$S$836,10,0),"")</f>
        <v>Bình thường</v>
      </c>
      <c r="L864" s="468" t="str">
        <f>IFERROR(VLOOKUP(B864,'03. THIẾT BỊ'!$B$1:$S$836,11,0),"")</f>
        <v/>
      </c>
      <c r="M864" s="472" t="str">
        <f>IFERROR(VLOOKUP(B864,'03. THIẾT BỊ'!$B$1:$S$836,12,0),"")</f>
        <v>Rơ móc kéo MFĐ, BƠM NƯỚC</v>
      </c>
      <c r="N864" s="468" t="str">
        <f>IFERROR(VLOOKUP(B864,'03. THIẾT BỊ'!$B$1:$S$836,13,0),"")</f>
        <v>THACO AGRI</v>
      </c>
      <c r="O864" s="470" t="str">
        <f>IFERROR(VLOOKUP(B864,'03. THIẾT BỊ'!$B$1:$S$836,14,0),"")</f>
        <v/>
      </c>
      <c r="P864" s="468" t="str">
        <f>IFERROR(VLOOKUP(B864,'03. THIẾT BỊ'!$B$1:$S$836,15,0),"")</f>
        <v>CK-CGH</v>
      </c>
      <c r="Q864" s="48" t="str">
        <f>IFERROR(VLOOKUP(B864,'03. THIẾT BỊ'!$B$1:$S$836,16,0),"")</f>
        <v/>
      </c>
      <c r="R864" s="471" t="str">
        <f>IFERROR(VLOOKUP(B864,'03. THIẾT BỊ'!$B$1:$S$836,17,0),"")</f>
        <v/>
      </c>
      <c r="S864" s="468" t="str">
        <f>IFERROR(VLOOKUP(B864,'03. THIẾT BỊ'!$B$1:$S$836,18,0),"")</f>
        <v/>
      </c>
      <c r="T864" s="959"/>
    </row>
    <row r="865" ht="15.0" customHeight="1">
      <c r="A865" s="48">
        <v>9.0</v>
      </c>
      <c r="B865" s="464" t="s">
        <v>5651</v>
      </c>
      <c r="C865" s="869" t="str">
        <f>IFERROR(VLOOKUP(B865,'03. THIẾT BỊ'!$B$1:$S$836,2,0),"")</f>
        <v/>
      </c>
      <c r="D865" s="470" t="str">
        <f>IFERROR(VLOOKUP(B865,'03. THIẾT BỊ'!$B$1:$S$836,3,0),"")</f>
        <v>A22-GĐH-001</v>
      </c>
      <c r="E865" s="464" t="str">
        <f>IFERROR(VLOOKUP(B865,'03. THIẾT BỊ'!$B$1:$S$836,4,0),"")</f>
        <v>A22-GĐH-001</v>
      </c>
      <c r="F865" s="464" t="str">
        <f>IFERROR(VLOOKUP(B865,'03. THIẾT BỊ'!$B$1:$S$836,5,0),"")</f>
        <v>Gàu định hình đào rãnh bỏ ống nước</v>
      </c>
      <c r="G865" s="80" t="s">
        <v>6423</v>
      </c>
      <c r="H865" s="463" t="str">
        <f>IFERROR(VLOOKUP(B865,'03. THIẾT BỊ'!$B$1:$S$836,7,0),"")</f>
        <v>Ban Điện nước</v>
      </c>
      <c r="I865" s="474">
        <f>IFERROR(VLOOKUP(B865,'03. THIẾT BỊ'!$B$1:$S$836,8,0),"")</f>
        <v>45483</v>
      </c>
      <c r="J865" s="471"/>
      <c r="K865" s="463" t="str">
        <f>IFERROR(VLOOKUP(B865,'03. THIẾT BỊ'!$B$1:$S$836,10,0),"")</f>
        <v>Bình thường</v>
      </c>
      <c r="L865" s="468" t="str">
        <f>IFERROR(VLOOKUP(B865,'03. THIẾT BỊ'!$B$1:$S$836,11,0),"")</f>
        <v/>
      </c>
      <c r="M865" s="472" t="str">
        <f>IFERROR(VLOOKUP(B865,'03. THIẾT BỊ'!$B$1:$S$836,12,0),"")</f>
        <v/>
      </c>
      <c r="N865" s="468" t="str">
        <f>IFERROR(VLOOKUP(B865,'03. THIẾT BỊ'!$B$1:$S$836,13,0),"")</f>
        <v>THACO AGRI</v>
      </c>
      <c r="O865" s="470" t="str">
        <f>IFERROR(VLOOKUP(B865,'03. THIẾT BỊ'!$B$1:$S$836,14,0),"")</f>
        <v/>
      </c>
      <c r="P865" s="468" t="str">
        <f>IFERROR(VLOOKUP(B865,'03. THIẾT BỊ'!$B$1:$S$836,15,0),"")</f>
        <v>CK-CGH</v>
      </c>
      <c r="Q865" s="48">
        <f>IFERROR(VLOOKUP(B865,'03. THIẾT BỊ'!$B$1:$S$836,16,0),"")</f>
        <v>2024</v>
      </c>
      <c r="R865" s="471" t="str">
        <f>IFERROR(VLOOKUP(B865,'03. THIẾT BỊ'!$B$1:$S$836,17,0),"")</f>
        <v>350x200x400</v>
      </c>
      <c r="S865" s="468" t="str">
        <f>IFERROR(VLOOKUP(B865,'03. THIẾT BỊ'!$B$1:$S$836,18,0),"")</f>
        <v/>
      </c>
      <c r="T865" s="959"/>
    </row>
    <row r="866" ht="15.0" customHeight="1">
      <c r="A866" s="48">
        <v>10.0</v>
      </c>
      <c r="B866" s="464" t="s">
        <v>5654</v>
      </c>
      <c r="C866" s="869" t="str">
        <f>IFERROR(VLOOKUP(B866,'03. THIẾT BỊ'!$B$1:$S$836,2,0),"")</f>
        <v/>
      </c>
      <c r="D866" s="470" t="str">
        <f>IFERROR(VLOOKUP(B866,'03. THIẾT BỊ'!$B$1:$S$836,3,0),"")</f>
        <v>A22-GĐH-002</v>
      </c>
      <c r="E866" s="464" t="str">
        <f>IFERROR(VLOOKUP(B866,'03. THIẾT BỊ'!$B$1:$S$836,4,0),"")</f>
        <v>A22-GĐH-002</v>
      </c>
      <c r="F866" s="464" t="str">
        <f>IFERROR(VLOOKUP(B866,'03. THIẾT BỊ'!$B$1:$S$836,5,0),"")</f>
        <v>Gàu định hình đào rãnh bỏ ống nước</v>
      </c>
      <c r="G866" s="80" t="s">
        <v>6423</v>
      </c>
      <c r="H866" s="463" t="str">
        <f>IFERROR(VLOOKUP(B866,'03. THIẾT BỊ'!$B$1:$S$836,7,0),"")</f>
        <v>Ban Điện nước</v>
      </c>
      <c r="I866" s="474">
        <f>IFERROR(VLOOKUP(B866,'03. THIẾT BỊ'!$B$1:$S$836,8,0),"")</f>
        <v>45483</v>
      </c>
      <c r="J866" s="471"/>
      <c r="K866" s="463" t="str">
        <f>IFERROR(VLOOKUP(B866,'03. THIẾT BỊ'!$B$1:$S$836,10,0),"")</f>
        <v>Bình thường</v>
      </c>
      <c r="L866" s="468" t="str">
        <f>IFERROR(VLOOKUP(B866,'03. THIẾT BỊ'!$B$1:$S$836,11,0),"")</f>
        <v/>
      </c>
      <c r="M866" s="472" t="str">
        <f>IFERROR(VLOOKUP(B866,'03. THIẾT BỊ'!$B$1:$S$836,12,0),"")</f>
        <v/>
      </c>
      <c r="N866" s="468" t="str">
        <f>IFERROR(VLOOKUP(B866,'03. THIẾT BỊ'!$B$1:$S$836,13,0),"")</f>
        <v>THACO AGRI</v>
      </c>
      <c r="O866" s="470" t="str">
        <f>IFERROR(VLOOKUP(B866,'03. THIẾT BỊ'!$B$1:$S$836,14,0),"")</f>
        <v/>
      </c>
      <c r="P866" s="468" t="str">
        <f>IFERROR(VLOOKUP(B866,'03. THIẾT BỊ'!$B$1:$S$836,15,0),"")</f>
        <v>CK-CGH</v>
      </c>
      <c r="Q866" s="48">
        <f>IFERROR(VLOOKUP(B866,'03. THIẾT BỊ'!$B$1:$S$836,16,0),"")</f>
        <v>2024</v>
      </c>
      <c r="R866" s="471" t="str">
        <f>IFERROR(VLOOKUP(B866,'03. THIẾT BỊ'!$B$1:$S$836,17,0),"")</f>
        <v>350x200x400</v>
      </c>
      <c r="S866" s="468" t="str">
        <f>IFERROR(VLOOKUP(B866,'03. THIẾT BỊ'!$B$1:$S$836,18,0),"")</f>
        <v/>
      </c>
      <c r="T866" s="959"/>
    </row>
    <row r="867" ht="15.0" customHeight="1">
      <c r="A867" s="48">
        <v>11.0</v>
      </c>
      <c r="B867" s="464" t="s">
        <v>5656</v>
      </c>
      <c r="C867" s="869" t="str">
        <f>IFERROR(VLOOKUP(B867,'03. THIẾT BỊ'!$B$1:$S$836,2,0),"")</f>
        <v/>
      </c>
      <c r="D867" s="470" t="str">
        <f>IFERROR(VLOOKUP(B867,'03. THIẾT BỊ'!$B$1:$S$836,3,0),"")</f>
        <v>A23-GĐH-003</v>
      </c>
      <c r="E867" s="464" t="str">
        <f>IFERROR(VLOOKUP(B867,'03. THIẾT BỊ'!$B$1:$S$836,4,0),"")</f>
        <v>A23-GĐH-003</v>
      </c>
      <c r="F867" s="464" t="str">
        <f>IFERROR(VLOOKUP(B867,'03. THIẾT BỊ'!$B$1:$S$836,5,0),"")</f>
        <v>Gàu định hình đào rãnh bỏ ống nước</v>
      </c>
      <c r="G867" s="80" t="s">
        <v>6423</v>
      </c>
      <c r="H867" s="463" t="str">
        <f>IFERROR(VLOOKUP(B867,'03. THIẾT BỊ'!$B$1:$S$836,7,0),"")</f>
        <v>Ban Điện nước</v>
      </c>
      <c r="I867" s="474">
        <f>IFERROR(VLOOKUP(B867,'03. THIẾT BỊ'!$B$1:$S$836,8,0),"")</f>
        <v>45483</v>
      </c>
      <c r="J867" s="471"/>
      <c r="K867" s="463" t="str">
        <f>IFERROR(VLOOKUP(B867,'03. THIẾT BỊ'!$B$1:$S$836,10,0),"")</f>
        <v>Bình thường</v>
      </c>
      <c r="L867" s="468" t="str">
        <f>IFERROR(VLOOKUP(B867,'03. THIẾT BỊ'!$B$1:$S$836,11,0),"")</f>
        <v/>
      </c>
      <c r="M867" s="472" t="str">
        <f>IFERROR(VLOOKUP(B867,'03. THIẾT BỊ'!$B$1:$S$836,12,0),"")</f>
        <v/>
      </c>
      <c r="N867" s="468" t="str">
        <f>IFERROR(VLOOKUP(B867,'03. THIẾT BỊ'!$B$1:$S$836,13,0),"")</f>
        <v>THACO AGRI</v>
      </c>
      <c r="O867" s="470" t="str">
        <f>IFERROR(VLOOKUP(B867,'03. THIẾT BỊ'!$B$1:$S$836,14,0),"")</f>
        <v/>
      </c>
      <c r="P867" s="468" t="str">
        <f>IFERROR(VLOOKUP(B867,'03. THIẾT BỊ'!$B$1:$S$836,15,0),"")</f>
        <v>CK-CGH</v>
      </c>
      <c r="Q867" s="48">
        <f>IFERROR(VLOOKUP(B867,'03. THIẾT BỊ'!$B$1:$S$836,16,0),"")</f>
        <v>2024</v>
      </c>
      <c r="R867" s="471" t="str">
        <f>IFERROR(VLOOKUP(B867,'03. THIẾT BỊ'!$B$1:$S$836,17,0),"")</f>
        <v>350x200x400</v>
      </c>
      <c r="S867" s="468" t="str">
        <f>IFERROR(VLOOKUP(B867,'03. THIẾT BỊ'!$B$1:$S$836,18,0),"")</f>
        <v/>
      </c>
      <c r="T867" s="959"/>
    </row>
    <row r="868" ht="15.0" customHeight="1">
      <c r="A868" s="48">
        <v>12.0</v>
      </c>
      <c r="B868" s="464" t="s">
        <v>5658</v>
      </c>
      <c r="C868" s="869" t="str">
        <f>IFERROR(VLOOKUP(B868,'03. THIẾT BỊ'!$B$1:$S$836,2,0),"")</f>
        <v/>
      </c>
      <c r="D868" s="470" t="str">
        <f>IFERROR(VLOOKUP(B868,'03. THIẾT BỊ'!$B$1:$S$836,3,0),"")</f>
        <v>A23-GĐH-004</v>
      </c>
      <c r="E868" s="464" t="str">
        <f>IFERROR(VLOOKUP(B868,'03. THIẾT BỊ'!$B$1:$S$836,4,0),"")</f>
        <v>A23-GĐH-004</v>
      </c>
      <c r="F868" s="464" t="str">
        <f>IFERROR(VLOOKUP(B868,'03. THIẾT BỊ'!$B$1:$S$836,5,0),"")</f>
        <v>Gàu định hình đào rãnh bỏ ống nước</v>
      </c>
      <c r="G868" s="80" t="s">
        <v>6423</v>
      </c>
      <c r="H868" s="463" t="str">
        <f>IFERROR(VLOOKUP(B868,'03. THIẾT BỊ'!$B$1:$S$836,7,0),"")</f>
        <v>Ban Điện nước</v>
      </c>
      <c r="I868" s="474">
        <f>IFERROR(VLOOKUP(B868,'03. THIẾT BỊ'!$B$1:$S$836,8,0),"")</f>
        <v>45483</v>
      </c>
      <c r="J868" s="471"/>
      <c r="K868" s="463" t="str">
        <f>IFERROR(VLOOKUP(B868,'03. THIẾT BỊ'!$B$1:$S$836,10,0),"")</f>
        <v>Bình thường</v>
      </c>
      <c r="L868" s="468" t="str">
        <f>IFERROR(VLOOKUP(B868,'03. THIẾT BỊ'!$B$1:$S$836,11,0),"")</f>
        <v/>
      </c>
      <c r="M868" s="472" t="str">
        <f>IFERROR(VLOOKUP(B868,'03. THIẾT BỊ'!$B$1:$S$836,12,0),"")</f>
        <v/>
      </c>
      <c r="N868" s="468" t="str">
        <f>IFERROR(VLOOKUP(B868,'03. THIẾT BỊ'!$B$1:$S$836,13,0),"")</f>
        <v>THACO AGRI</v>
      </c>
      <c r="O868" s="470" t="str">
        <f>IFERROR(VLOOKUP(B868,'03. THIẾT BỊ'!$B$1:$S$836,14,0),"")</f>
        <v/>
      </c>
      <c r="P868" s="468" t="str">
        <f>IFERROR(VLOOKUP(B868,'03. THIẾT BỊ'!$B$1:$S$836,15,0),"")</f>
        <v>CK-CGH</v>
      </c>
      <c r="Q868" s="48">
        <f>IFERROR(VLOOKUP(B868,'03. THIẾT BỊ'!$B$1:$S$836,16,0),"")</f>
        <v>2024</v>
      </c>
      <c r="R868" s="471" t="str">
        <f>IFERROR(VLOOKUP(B868,'03. THIẾT BỊ'!$B$1:$S$836,17,0),"")</f>
        <v>350x200x400</v>
      </c>
      <c r="S868" s="468" t="str">
        <f>IFERROR(VLOOKUP(B868,'03. THIẾT BỊ'!$B$1:$S$836,18,0),"")</f>
        <v/>
      </c>
      <c r="T868" s="959"/>
    </row>
    <row r="869" ht="15.0" customHeight="1">
      <c r="A869" s="48">
        <v>13.0</v>
      </c>
      <c r="B869" s="464" t="s">
        <v>5660</v>
      </c>
      <c r="C869" s="869" t="str">
        <f>IFERROR(VLOOKUP(B869,'03. THIẾT BỊ'!$B$1:$S$836,2,0),"")</f>
        <v/>
      </c>
      <c r="D869" s="470" t="str">
        <f>IFERROR(VLOOKUP(B869,'03. THIẾT BỊ'!$B$1:$S$836,3,0),"")</f>
        <v>A23-GĐH-005</v>
      </c>
      <c r="E869" s="464" t="str">
        <f>IFERROR(VLOOKUP(B869,'03. THIẾT BỊ'!$B$1:$S$836,4,0),"")</f>
        <v>A23-GĐH-005</v>
      </c>
      <c r="F869" s="464" t="str">
        <f>IFERROR(VLOOKUP(B869,'03. THIẾT BỊ'!$B$1:$S$836,5,0),"")</f>
        <v>Gàu định hình đào rãnh bỏ ống nước</v>
      </c>
      <c r="G869" s="80" t="s">
        <v>6423</v>
      </c>
      <c r="H869" s="463" t="str">
        <f>IFERROR(VLOOKUP(B869,'03. THIẾT BỊ'!$B$1:$S$836,7,0),"")</f>
        <v>Ban Điện nước</v>
      </c>
      <c r="I869" s="474">
        <f>IFERROR(VLOOKUP(B869,'03. THIẾT BỊ'!$B$1:$S$836,8,0),"")</f>
        <v>45483</v>
      </c>
      <c r="J869" s="471"/>
      <c r="K869" s="463" t="str">
        <f>IFERROR(VLOOKUP(B869,'03. THIẾT BỊ'!$B$1:$S$836,10,0),"")</f>
        <v>Bình thường</v>
      </c>
      <c r="L869" s="468" t="str">
        <f>IFERROR(VLOOKUP(B869,'03. THIẾT BỊ'!$B$1:$S$836,11,0),"")</f>
        <v/>
      </c>
      <c r="M869" s="472" t="str">
        <f>IFERROR(VLOOKUP(B869,'03. THIẾT BỊ'!$B$1:$S$836,12,0),"")</f>
        <v/>
      </c>
      <c r="N869" s="468" t="str">
        <f>IFERROR(VLOOKUP(B869,'03. THIẾT BỊ'!$B$1:$S$836,13,0),"")</f>
        <v>THACO AGRI</v>
      </c>
      <c r="O869" s="470" t="str">
        <f>IFERROR(VLOOKUP(B869,'03. THIẾT BỊ'!$B$1:$S$836,14,0),"")</f>
        <v/>
      </c>
      <c r="P869" s="468" t="str">
        <f>IFERROR(VLOOKUP(B869,'03. THIẾT BỊ'!$B$1:$S$836,15,0),"")</f>
        <v>CK-CGH</v>
      </c>
      <c r="Q869" s="48">
        <f>IFERROR(VLOOKUP(B869,'03. THIẾT BỊ'!$B$1:$S$836,16,0),"")</f>
        <v>2024</v>
      </c>
      <c r="R869" s="471" t="str">
        <f>IFERROR(VLOOKUP(B869,'03. THIẾT BỊ'!$B$1:$S$836,17,0),"")</f>
        <v>350x200x400</v>
      </c>
      <c r="S869" s="468" t="str">
        <f>IFERROR(VLOOKUP(B869,'03. THIẾT BỊ'!$B$1:$S$836,18,0),"")</f>
        <v/>
      </c>
      <c r="T869" s="959"/>
    </row>
    <row r="870" ht="15.0" customHeight="1">
      <c r="A870" s="48">
        <v>14.0</v>
      </c>
      <c r="B870" s="464" t="s">
        <v>5662</v>
      </c>
      <c r="C870" s="869" t="str">
        <f>IFERROR(VLOOKUP(B870,'03. THIẾT BỊ'!$B$1:$S$836,2,0),"")</f>
        <v/>
      </c>
      <c r="D870" s="470" t="str">
        <f>IFERROR(VLOOKUP(B870,'03. THIẾT BỊ'!$B$1:$S$836,3,0),"")</f>
        <v>A23-GĐH-006</v>
      </c>
      <c r="E870" s="464" t="str">
        <f>IFERROR(VLOOKUP(B870,'03. THIẾT BỊ'!$B$1:$S$836,4,0),"")</f>
        <v>A23-GĐH-006</v>
      </c>
      <c r="F870" s="464" t="str">
        <f>IFERROR(VLOOKUP(B870,'03. THIẾT BỊ'!$B$1:$S$836,5,0),"")</f>
        <v>Gàu định hình đào rãnh bỏ ống nước</v>
      </c>
      <c r="G870" s="80" t="s">
        <v>6423</v>
      </c>
      <c r="H870" s="463" t="str">
        <f>IFERROR(VLOOKUP(B870,'03. THIẾT BỊ'!$B$1:$S$836,7,0),"")</f>
        <v>Ban Điện nước</v>
      </c>
      <c r="I870" s="474">
        <f>IFERROR(VLOOKUP(B870,'03. THIẾT BỊ'!$B$1:$S$836,8,0),"")</f>
        <v>45483</v>
      </c>
      <c r="J870" s="471"/>
      <c r="K870" s="463" t="str">
        <f>IFERROR(VLOOKUP(B870,'03. THIẾT BỊ'!$B$1:$S$836,10,0),"")</f>
        <v>Bình thường</v>
      </c>
      <c r="L870" s="468" t="str">
        <f>IFERROR(VLOOKUP(B870,'03. THIẾT BỊ'!$B$1:$S$836,11,0),"")</f>
        <v/>
      </c>
      <c r="M870" s="472" t="str">
        <f>IFERROR(VLOOKUP(B870,'03. THIẾT BỊ'!$B$1:$S$836,12,0),"")</f>
        <v/>
      </c>
      <c r="N870" s="468" t="str">
        <f>IFERROR(VLOOKUP(B870,'03. THIẾT BỊ'!$B$1:$S$836,13,0),"")</f>
        <v>THACO AGRI</v>
      </c>
      <c r="O870" s="470" t="str">
        <f>IFERROR(VLOOKUP(B870,'03. THIẾT BỊ'!$B$1:$S$836,14,0),"")</f>
        <v/>
      </c>
      <c r="P870" s="468" t="str">
        <f>IFERROR(VLOOKUP(B870,'03. THIẾT BỊ'!$B$1:$S$836,15,0),"")</f>
        <v>CK-CGH</v>
      </c>
      <c r="Q870" s="48">
        <f>IFERROR(VLOOKUP(B870,'03. THIẾT BỊ'!$B$1:$S$836,16,0),"")</f>
        <v>2024</v>
      </c>
      <c r="R870" s="471" t="str">
        <f>IFERROR(VLOOKUP(B870,'03. THIẾT BỊ'!$B$1:$S$836,17,0),"")</f>
        <v>350x200x400</v>
      </c>
      <c r="S870" s="468" t="str">
        <f>IFERROR(VLOOKUP(B870,'03. THIẾT BỊ'!$B$1:$S$836,18,0),"")</f>
        <v/>
      </c>
      <c r="T870" s="959"/>
    </row>
    <row r="871" ht="15.0" customHeight="1">
      <c r="A871" s="48">
        <v>15.0</v>
      </c>
      <c r="B871" s="464" t="s">
        <v>5664</v>
      </c>
      <c r="C871" s="869" t="str">
        <f>IFERROR(VLOOKUP(B871,'03. THIẾT BỊ'!$B$1:$S$836,2,0),"")</f>
        <v/>
      </c>
      <c r="D871" s="470" t="str">
        <f>IFERROR(VLOOKUP(B871,'03. THIẾT BỊ'!$B$1:$S$836,3,0),"")</f>
        <v>A23-GĐH-007</v>
      </c>
      <c r="E871" s="464" t="str">
        <f>IFERROR(VLOOKUP(B871,'03. THIẾT BỊ'!$B$1:$S$836,4,0),"")</f>
        <v>A23-GĐH-007</v>
      </c>
      <c r="F871" s="464" t="str">
        <f>IFERROR(VLOOKUP(B871,'03. THIẾT BỊ'!$B$1:$S$836,5,0),"")</f>
        <v>Gàu định hình đào rãnh bỏ ống nước</v>
      </c>
      <c r="G871" s="80" t="s">
        <v>6423</v>
      </c>
      <c r="H871" s="463" t="str">
        <f>IFERROR(VLOOKUP(B871,'03. THIẾT BỊ'!$B$1:$S$836,7,0),"")</f>
        <v>Ban Điện nước</v>
      </c>
      <c r="I871" s="474">
        <f>IFERROR(VLOOKUP(B871,'03. THIẾT BỊ'!$B$1:$S$836,8,0),"")</f>
        <v>45483</v>
      </c>
      <c r="J871" s="471"/>
      <c r="K871" s="463" t="str">
        <f>IFERROR(VLOOKUP(B871,'03. THIẾT BỊ'!$B$1:$S$836,10,0),"")</f>
        <v>Bình thường</v>
      </c>
      <c r="L871" s="468" t="str">
        <f>IFERROR(VLOOKUP(B871,'03. THIẾT BỊ'!$B$1:$S$836,11,0),"")</f>
        <v/>
      </c>
      <c r="M871" s="472" t="str">
        <f>IFERROR(VLOOKUP(B871,'03. THIẾT BỊ'!$B$1:$S$836,12,0),"")</f>
        <v/>
      </c>
      <c r="N871" s="468" t="str">
        <f>IFERROR(VLOOKUP(B871,'03. THIẾT BỊ'!$B$1:$S$836,13,0),"")</f>
        <v>THACO AGRI</v>
      </c>
      <c r="O871" s="470" t="str">
        <f>IFERROR(VLOOKUP(B871,'03. THIẾT BỊ'!$B$1:$S$836,14,0),"")</f>
        <v/>
      </c>
      <c r="P871" s="468" t="str">
        <f>IFERROR(VLOOKUP(B871,'03. THIẾT BỊ'!$B$1:$S$836,15,0),"")</f>
        <v>CK-CGH</v>
      </c>
      <c r="Q871" s="48">
        <f>IFERROR(VLOOKUP(B871,'03. THIẾT BỊ'!$B$1:$S$836,16,0),"")</f>
        <v>2024</v>
      </c>
      <c r="R871" s="471" t="str">
        <f>IFERROR(VLOOKUP(B871,'03. THIẾT BỊ'!$B$1:$S$836,17,0),"")</f>
        <v>350x200x400</v>
      </c>
      <c r="S871" s="468" t="str">
        <f>IFERROR(VLOOKUP(B871,'03. THIẾT BỊ'!$B$1:$S$836,18,0),"")</f>
        <v/>
      </c>
      <c r="T871" s="959"/>
    </row>
    <row r="872" ht="15.0" customHeight="1">
      <c r="A872" s="48">
        <v>16.0</v>
      </c>
      <c r="B872" s="464" t="s">
        <v>5665</v>
      </c>
      <c r="C872" s="869" t="str">
        <f>IFERROR(VLOOKUP(B872,'03. THIẾT BỊ'!$B$1:$S$836,2,0),"")</f>
        <v/>
      </c>
      <c r="D872" s="470" t="str">
        <f>IFERROR(VLOOKUP(B872,'03. THIẾT BỊ'!$B$1:$S$836,3,0),"")</f>
        <v>A23-GĐH-008</v>
      </c>
      <c r="E872" s="464" t="str">
        <f>IFERROR(VLOOKUP(B872,'03. THIẾT BỊ'!$B$1:$S$836,4,0),"")</f>
        <v>A23-GĐH-008</v>
      </c>
      <c r="F872" s="464" t="str">
        <f>IFERROR(VLOOKUP(B872,'03. THIẾT BỊ'!$B$1:$S$836,5,0),"")</f>
        <v>Gàu định hình đào rãnh bỏ ống nước</v>
      </c>
      <c r="G872" s="80" t="s">
        <v>6423</v>
      </c>
      <c r="H872" s="463" t="str">
        <f>IFERROR(VLOOKUP(B872,'03. THIẾT BỊ'!$B$1:$S$836,7,0),"")</f>
        <v>Ban Điện nước</v>
      </c>
      <c r="I872" s="474">
        <f>IFERROR(VLOOKUP(B872,'03. THIẾT BỊ'!$B$1:$S$836,8,0),"")</f>
        <v>45483</v>
      </c>
      <c r="J872" s="471"/>
      <c r="K872" s="463" t="str">
        <f>IFERROR(VLOOKUP(B872,'03. THIẾT BỊ'!$B$1:$S$836,10,0),"")</f>
        <v>Bình thường</v>
      </c>
      <c r="L872" s="468" t="str">
        <f>IFERROR(VLOOKUP(B872,'03. THIẾT BỊ'!$B$1:$S$836,11,0),"")</f>
        <v/>
      </c>
      <c r="M872" s="472" t="str">
        <f>IFERROR(VLOOKUP(B872,'03. THIẾT BỊ'!$B$1:$S$836,12,0),"")</f>
        <v/>
      </c>
      <c r="N872" s="468" t="str">
        <f>IFERROR(VLOOKUP(B872,'03. THIẾT BỊ'!$B$1:$S$836,13,0),"")</f>
        <v>THACO AGRI</v>
      </c>
      <c r="O872" s="470" t="str">
        <f>IFERROR(VLOOKUP(B872,'03. THIẾT BỊ'!$B$1:$S$836,14,0),"")</f>
        <v/>
      </c>
      <c r="P872" s="468" t="str">
        <f>IFERROR(VLOOKUP(B872,'03. THIẾT BỊ'!$B$1:$S$836,15,0),"")</f>
        <v>CK-CGH</v>
      </c>
      <c r="Q872" s="48">
        <f>IFERROR(VLOOKUP(B872,'03. THIẾT BỊ'!$B$1:$S$836,16,0),"")</f>
        <v>2024</v>
      </c>
      <c r="R872" s="471" t="str">
        <f>IFERROR(VLOOKUP(B872,'03. THIẾT BỊ'!$B$1:$S$836,17,0),"")</f>
        <v>350x200x400</v>
      </c>
      <c r="S872" s="468" t="str">
        <f>IFERROR(VLOOKUP(B872,'03. THIẾT BỊ'!$B$1:$S$836,18,0),"")</f>
        <v/>
      </c>
      <c r="T872" s="959"/>
    </row>
    <row r="873" ht="15.0" customHeight="1">
      <c r="A873" s="48"/>
      <c r="B873" s="464"/>
      <c r="C873" s="869"/>
      <c r="D873" s="470"/>
      <c r="E873" s="464" t="str">
        <f>IFERROR(VLOOKUP(B873,'03. THIẾT BỊ'!$B$1:$S$836,4,0),"")</f>
        <v/>
      </c>
      <c r="F873" s="464"/>
      <c r="G873" s="80"/>
      <c r="H873" s="463"/>
      <c r="I873" s="474"/>
      <c r="J873" s="471"/>
      <c r="K873" s="463"/>
      <c r="L873" s="468"/>
      <c r="M873" s="472"/>
      <c r="N873" s="468"/>
      <c r="O873" s="470"/>
      <c r="P873" s="468"/>
      <c r="Q873" s="48"/>
      <c r="R873" s="471"/>
      <c r="S873" s="468"/>
      <c r="T873" s="959"/>
    </row>
    <row r="874" ht="15.0" customHeight="1">
      <c r="A874" s="617" t="s">
        <v>2944</v>
      </c>
      <c r="B874" s="618" t="s">
        <v>2945</v>
      </c>
      <c r="C874" s="1499" t="str">
        <f>IFERROR(VLOOKUP(B874,'03. THIẾT BỊ'!$B$1:$S$836,2,0),"")</f>
        <v/>
      </c>
      <c r="D874" s="1500" t="str">
        <f>IFERROR(VLOOKUP(B874,'03. THIẾT BỊ'!$B$1:$S$836,3,0),"")</f>
        <v/>
      </c>
      <c r="E874" s="464" t="str">
        <f>IFERROR(VLOOKUP(B874,'03. THIẾT BỊ'!$B$1:$S$836,4,0),"")</f>
        <v/>
      </c>
      <c r="F874" s="1501" t="str">
        <f>IFERROR(VLOOKUP(B874,'03. THIẾT BỊ'!$B$1:$S$836,5,0),"")</f>
        <v/>
      </c>
      <c r="G874" s="1502" t="s">
        <v>6423</v>
      </c>
      <c r="H874" s="1503" t="str">
        <f>IFERROR(VLOOKUP(B874,'03. THIẾT BỊ'!$B$1:$S$836,7,0),"")</f>
        <v/>
      </c>
      <c r="I874" s="1504" t="str">
        <f>IFERROR(VLOOKUP(B874,'03. THIẾT BỊ'!$B$1:$S$836,8,0),"")</f>
        <v/>
      </c>
      <c r="J874" s="1505"/>
      <c r="K874" s="1503" t="str">
        <f>IFERROR(VLOOKUP(B874,'03. THIẾT BỊ'!$B$1:$S$836,10,0),"")</f>
        <v/>
      </c>
      <c r="L874" s="1501" t="str">
        <f>IFERROR(VLOOKUP(B874,'03. THIẾT BỊ'!$B$1:$S$836,11,0),"")</f>
        <v/>
      </c>
      <c r="M874" s="1506" t="str">
        <f>IFERROR(VLOOKUP(B874,'03. THIẾT BỊ'!$B$1:$S$836,12,0),"")</f>
        <v/>
      </c>
      <c r="N874" s="1501" t="str">
        <f>IFERROR(VLOOKUP(B874,'03. THIẾT BỊ'!$B$1:$S$836,13,0),"")</f>
        <v/>
      </c>
      <c r="O874" s="1500" t="str">
        <f>IFERROR(VLOOKUP(B874,'03. THIẾT BỊ'!$B$1:$S$836,14,0),"")</f>
        <v/>
      </c>
      <c r="P874" s="1501" t="str">
        <f>IFERROR(VLOOKUP(B874,'03. THIẾT BỊ'!$B$1:$S$836,15,0),"")</f>
        <v/>
      </c>
      <c r="Q874" s="1503" t="str">
        <f>IFERROR(VLOOKUP(B874,'03. THIẾT BỊ'!$B$1:$S$836,16,0),"")</f>
        <v/>
      </c>
      <c r="R874" s="1505" t="str">
        <f>IFERROR(VLOOKUP(B874,'03. THIẾT BỊ'!$B$1:$S$836,17,0),"")</f>
        <v/>
      </c>
      <c r="S874" s="1501" t="str">
        <f>IFERROR(VLOOKUP(B874,'03. THIẾT BỊ'!$B$1:$S$836,18,0),"")</f>
        <v/>
      </c>
      <c r="T874" s="1507"/>
    </row>
    <row r="875" ht="13.5" customHeight="1">
      <c r="A875" s="621" t="s">
        <v>2947</v>
      </c>
      <c r="B875" s="622" t="s">
        <v>5672</v>
      </c>
      <c r="C875" s="1508">
        <f>COUNTA(B876:B890)</f>
        <v>13</v>
      </c>
      <c r="D875" s="1509" t="str">
        <f>IFERROR(VLOOKUP(B875,'03. THIẾT BỊ'!$B$1:$S$836,3,0),"")</f>
        <v/>
      </c>
      <c r="E875" s="464" t="str">
        <f>IFERROR(VLOOKUP(B875,'03. THIẾT BỊ'!$B$1:$S$836,4,0),"")</f>
        <v/>
      </c>
      <c r="F875" s="1510" t="str">
        <f>IFERROR(VLOOKUP(B875,'03. THIẾT BỊ'!$B$1:$S$836,5,0),"")</f>
        <v/>
      </c>
      <c r="G875" s="1511" t="s">
        <v>6423</v>
      </c>
      <c r="H875" s="1512" t="str">
        <f>IFERROR(VLOOKUP(B875,'03. THIẾT BỊ'!$B$1:$S$836,7,0),"")</f>
        <v/>
      </c>
      <c r="I875" s="1513" t="str">
        <f>IFERROR(VLOOKUP(B875,'03. THIẾT BỊ'!$B$1:$S$836,8,0),"")</f>
        <v/>
      </c>
      <c r="J875" s="1514"/>
      <c r="K875" s="1512" t="str">
        <f>IFERROR(VLOOKUP(B875,'03. THIẾT BỊ'!$B$1:$S$836,10,0),"")</f>
        <v/>
      </c>
      <c r="L875" s="1510" t="str">
        <f>IFERROR(VLOOKUP(B875,'03. THIẾT BỊ'!$B$1:$S$836,11,0),"")</f>
        <v/>
      </c>
      <c r="M875" s="1515" t="str">
        <f>IFERROR(VLOOKUP(B875,'03. THIẾT BỊ'!$B$1:$S$836,12,0),"")</f>
        <v/>
      </c>
      <c r="N875" s="1510" t="str">
        <f>IFERROR(VLOOKUP(B875,'03. THIẾT BỊ'!$B$1:$S$836,13,0),"")</f>
        <v/>
      </c>
      <c r="O875" s="1509" t="str">
        <f>IFERROR(VLOOKUP(B875,'03. THIẾT BỊ'!$B$1:$S$836,14,0),"")</f>
        <v/>
      </c>
      <c r="P875" s="1510" t="str">
        <f>IFERROR(VLOOKUP(B875,'03. THIẾT BỊ'!$B$1:$S$836,15,0),"")</f>
        <v/>
      </c>
      <c r="Q875" s="1512" t="str">
        <f>IFERROR(VLOOKUP(B875,'03. THIẾT BỊ'!$B$1:$S$836,16,0),"")</f>
        <v/>
      </c>
      <c r="R875" s="1514" t="str">
        <f>IFERROR(VLOOKUP(B875,'03. THIẾT BỊ'!$B$1:$S$836,17,0),"")</f>
        <v/>
      </c>
      <c r="S875" s="1510" t="str">
        <f>IFERROR(VLOOKUP(B875,'03. THIẾT BỊ'!$B$1:$S$836,18,0),"")</f>
        <v/>
      </c>
      <c r="T875" s="867"/>
    </row>
    <row r="876" ht="15.0" customHeight="1">
      <c r="A876" s="463">
        <v>1.0</v>
      </c>
      <c r="B876" s="464" t="s">
        <v>5673</v>
      </c>
      <c r="C876" s="869" t="str">
        <f>IFERROR(VLOOKUP(B876,'03. THIẾT BỊ'!$B$1:$S$836,2,0),"")</f>
        <v>RMC 01-VC KLH</v>
      </c>
      <c r="D876" s="470" t="str">
        <f>IFERROR(VLOOKUP(B876,'03. THIẾT BỊ'!$B$1:$S$836,3,0),"")</f>
        <v/>
      </c>
      <c r="E876" s="464" t="str">
        <f>IFERROR(VLOOKUP(B876,'03. THIẾT BỊ'!$B$1:$S$836,4,0),"")</f>
        <v/>
      </c>
      <c r="F876" s="464" t="str">
        <f>IFERROR(VLOOKUP(B876,'03. THIẾT BỊ'!$B$1:$S$836,5,0),"")</f>
        <v>Rơ mooc thu hoạch</v>
      </c>
      <c r="G876" s="80" t="s">
        <v>6423</v>
      </c>
      <c r="H876" s="463" t="str">
        <f>IFERROR(VLOOKUP(B876,'03. THIẾT BỊ'!$B$1:$S$836,7,0),"")</f>
        <v>XN Chuối DP2</v>
      </c>
      <c r="I876" s="474" t="str">
        <f>IFERROR(VLOOKUP(B876,'03. THIẾT BỊ'!$B$1:$S$836,8,0),"")</f>
        <v>15/05/2024</v>
      </c>
      <c r="J876" s="471"/>
      <c r="K876" s="463" t="str">
        <f>IFERROR(VLOOKUP(B876,'03. THIẾT BỊ'!$B$1:$S$836,10,0),"")</f>
        <v>Đã qua SD</v>
      </c>
      <c r="L876" s="468" t="str">
        <f>IFERROR(VLOOKUP(B876,'03. THIẾT BỊ'!$B$1:$S$836,11,0),"")</f>
        <v/>
      </c>
      <c r="M876" s="472" t="str">
        <f>IFERROR(VLOOKUP(B876,'03. THIẾT BỊ'!$B$1:$S$836,12,0),"")</f>
        <v/>
      </c>
      <c r="N876" s="468" t="str">
        <f>IFERROR(VLOOKUP(B876,'03. THIẾT BỊ'!$B$1:$S$836,13,0),"")</f>
        <v>THACO AGRI</v>
      </c>
      <c r="O876" s="470" t="str">
        <f>IFERROR(VLOOKUP(B876,'03. THIẾT BỊ'!$B$1:$S$836,14,0),"")</f>
        <v/>
      </c>
      <c r="P876" s="468" t="str">
        <f>IFERROR(VLOOKUP(B876,'03. THIẾT BỊ'!$B$1:$S$836,15,0),"")</f>
        <v>CK-CGH</v>
      </c>
      <c r="Q876" s="48" t="str">
        <f>IFERROR(VLOOKUP(B876,'03. THIẾT BỊ'!$B$1:$S$836,16,0),"")</f>
        <v/>
      </c>
      <c r="R876" s="471" t="str">
        <f>IFERROR(VLOOKUP(B876,'03. THIẾT BỊ'!$B$1:$S$836,17,0),"")</f>
        <v/>
      </c>
      <c r="S876" s="468" t="str">
        <f>IFERROR(VLOOKUP(B876,'03. THIẾT BỊ'!$B$1:$S$836,18,0),"")</f>
        <v/>
      </c>
      <c r="T876" s="812"/>
    </row>
    <row r="877" ht="15.0" customHeight="1">
      <c r="A877" s="463">
        <f t="shared" ref="A877:A888" si="41">A876+1</f>
        <v>2</v>
      </c>
      <c r="B877" s="464" t="s">
        <v>5676</v>
      </c>
      <c r="C877" s="869" t="str">
        <f>IFERROR(VLOOKUP(B877,'03. THIẾT BỊ'!$B$1:$S$836,2,0),"")</f>
        <v>RMC 89-VC KLH</v>
      </c>
      <c r="D877" s="470" t="str">
        <f>IFERROR(VLOOKUP(B877,'03. THIẾT BỊ'!$B$1:$S$836,3,0),"")</f>
        <v/>
      </c>
      <c r="E877" s="464" t="str">
        <f>IFERROR(VLOOKUP(B877,'03. THIẾT BỊ'!$B$1:$S$836,4,0),"")</f>
        <v/>
      </c>
      <c r="F877" s="464" t="str">
        <f>IFERROR(VLOOKUP(B877,'03. THIẾT BỊ'!$B$1:$S$836,5,0),"")</f>
        <v>Rơ mooc thùng ben</v>
      </c>
      <c r="G877" s="80" t="s">
        <v>6423</v>
      </c>
      <c r="H877" s="463" t="str">
        <f>IFERROR(VLOOKUP(B877,'03. THIẾT BỊ'!$B$1:$S$836,7,0),"")</f>
        <v>XN Chuối DP2</v>
      </c>
      <c r="I877" s="474" t="str">
        <f>IFERROR(VLOOKUP(B877,'03. THIẾT BỊ'!$B$1:$S$836,8,0),"")</f>
        <v>15/05/2024</v>
      </c>
      <c r="J877" s="471"/>
      <c r="K877" s="463" t="str">
        <f>IFERROR(VLOOKUP(B877,'03. THIẾT BỊ'!$B$1:$S$836,10,0),"")</f>
        <v>Đã qua SD</v>
      </c>
      <c r="L877" s="468" t="str">
        <f>IFERROR(VLOOKUP(B877,'03. THIẾT BỊ'!$B$1:$S$836,11,0),"")</f>
        <v/>
      </c>
      <c r="M877" s="472" t="str">
        <f>IFERROR(VLOOKUP(B877,'03. THIẾT BỊ'!$B$1:$S$836,12,0),"")</f>
        <v/>
      </c>
      <c r="N877" s="468" t="str">
        <f>IFERROR(VLOOKUP(B877,'03. THIẾT BỊ'!$B$1:$S$836,13,0),"")</f>
        <v>THACO AGRI</v>
      </c>
      <c r="O877" s="470" t="str">
        <f>IFERROR(VLOOKUP(B877,'03. THIẾT BỊ'!$B$1:$S$836,14,0),"")</f>
        <v/>
      </c>
      <c r="P877" s="468" t="str">
        <f>IFERROR(VLOOKUP(B877,'03. THIẾT BỊ'!$B$1:$S$836,15,0),"")</f>
        <v>CK-CGH</v>
      </c>
      <c r="Q877" s="48" t="str">
        <f>IFERROR(VLOOKUP(B877,'03. THIẾT BỊ'!$B$1:$S$836,16,0),"")</f>
        <v/>
      </c>
      <c r="R877" s="471" t="str">
        <f>IFERROR(VLOOKUP(B877,'03. THIẾT BỊ'!$B$1:$S$836,17,0),"")</f>
        <v/>
      </c>
      <c r="S877" s="468" t="str">
        <f>IFERROR(VLOOKUP(B877,'03. THIẾT BỊ'!$B$1:$S$836,18,0),"")</f>
        <v/>
      </c>
      <c r="T877" s="812"/>
    </row>
    <row r="878" ht="15.0" customHeight="1">
      <c r="A878" s="463">
        <f t="shared" si="41"/>
        <v>3</v>
      </c>
      <c r="B878" s="464" t="s">
        <v>5678</v>
      </c>
      <c r="C878" s="869" t="str">
        <f>IFERROR(VLOOKUP(B878,'03. THIẾT BỊ'!$B$1:$S$836,2,0),"")</f>
        <v>RMC 98-VC KLH</v>
      </c>
      <c r="D878" s="470" t="str">
        <f>IFERROR(VLOOKUP(B878,'03. THIẾT BỊ'!$B$1:$S$836,3,0),"")</f>
        <v/>
      </c>
      <c r="E878" s="464" t="str">
        <f>IFERROR(VLOOKUP(B878,'03. THIẾT BỊ'!$B$1:$S$836,4,0),"")</f>
        <v/>
      </c>
      <c r="F878" s="464" t="str">
        <f>IFERROR(VLOOKUP(B878,'03. THIẾT BỊ'!$B$1:$S$836,5,0),"")</f>
        <v>Rơ mooc thùng ben</v>
      </c>
      <c r="G878" s="80" t="s">
        <v>6423</v>
      </c>
      <c r="H878" s="463" t="str">
        <f>IFERROR(VLOOKUP(B878,'03. THIẾT BỊ'!$B$1:$S$836,7,0),"")</f>
        <v>XN Chuối DP2</v>
      </c>
      <c r="I878" s="474" t="str">
        <f>IFERROR(VLOOKUP(B878,'03. THIẾT BỊ'!$B$1:$S$836,8,0),"")</f>
        <v>15/05/2024</v>
      </c>
      <c r="J878" s="471"/>
      <c r="K878" s="463" t="str">
        <f>IFERROR(VLOOKUP(B878,'03. THIẾT BỊ'!$B$1:$S$836,10,0),"")</f>
        <v>Đã qua SD</v>
      </c>
      <c r="L878" s="468" t="str">
        <f>IFERROR(VLOOKUP(B878,'03. THIẾT BỊ'!$B$1:$S$836,11,0),"")</f>
        <v/>
      </c>
      <c r="M878" s="472" t="str">
        <f>IFERROR(VLOOKUP(B878,'03. THIẾT BỊ'!$B$1:$S$836,12,0),"")</f>
        <v/>
      </c>
      <c r="N878" s="468" t="str">
        <f>IFERROR(VLOOKUP(B878,'03. THIẾT BỊ'!$B$1:$S$836,13,0),"")</f>
        <v>THACO AGRI</v>
      </c>
      <c r="O878" s="470" t="str">
        <f>IFERROR(VLOOKUP(B878,'03. THIẾT BỊ'!$B$1:$S$836,14,0),"")</f>
        <v/>
      </c>
      <c r="P878" s="468" t="str">
        <f>IFERROR(VLOOKUP(B878,'03. THIẾT BỊ'!$B$1:$S$836,15,0),"")</f>
        <v>CK-CGH</v>
      </c>
      <c r="Q878" s="48" t="str">
        <f>IFERROR(VLOOKUP(B878,'03. THIẾT BỊ'!$B$1:$S$836,16,0),"")</f>
        <v/>
      </c>
      <c r="R878" s="471" t="str">
        <f>IFERROR(VLOOKUP(B878,'03. THIẾT BỊ'!$B$1:$S$836,17,0),"")</f>
        <v/>
      </c>
      <c r="S878" s="468" t="str">
        <f>IFERROR(VLOOKUP(B878,'03. THIẾT BỊ'!$B$1:$S$836,18,0),"")</f>
        <v/>
      </c>
      <c r="T878" s="812"/>
    </row>
    <row r="879" ht="15.0" customHeight="1">
      <c r="A879" s="463">
        <f t="shared" si="41"/>
        <v>4</v>
      </c>
      <c r="B879" s="1449" t="s">
        <v>5680</v>
      </c>
      <c r="C879" s="869" t="str">
        <f>IFERROR(VLOOKUP(B879,'03. THIẾT BỊ'!$B$1:$S$836,2,0),"")</f>
        <v>RMC 26 VC-KLH</v>
      </c>
      <c r="D879" s="470" t="str">
        <f>IFERROR(VLOOKUP(B879,'03. THIẾT BỊ'!$B$1:$S$836,3,0),"")</f>
        <v/>
      </c>
      <c r="E879" s="464" t="str">
        <f>IFERROR(VLOOKUP(B879,'03. THIẾT BỊ'!$B$1:$S$836,4,0),"")</f>
        <v/>
      </c>
      <c r="F879" s="464" t="str">
        <f>IFERROR(VLOOKUP(B879,'03. THIẾT BỊ'!$B$1:$S$836,5,0),"")</f>
        <v>Rơ mooc thu hoạch</v>
      </c>
      <c r="G879" s="80" t="s">
        <v>6423</v>
      </c>
      <c r="H879" s="463" t="str">
        <f>IFERROR(VLOOKUP(B879,'03. THIẾT BỊ'!$B$1:$S$836,7,0),"")</f>
        <v>XN Chuối DP3</v>
      </c>
      <c r="I879" s="474" t="str">
        <f>IFERROR(VLOOKUP(B879,'03. THIẾT BỊ'!$B$1:$S$836,8,0),"")</f>
        <v>15/05/2024</v>
      </c>
      <c r="J879" s="471"/>
      <c r="K879" s="463" t="str">
        <f>IFERROR(VLOOKUP(B879,'03. THIẾT BỊ'!$B$1:$S$836,10,0),"")</f>
        <v>Đã qua sử dụng</v>
      </c>
      <c r="L879" s="468" t="str">
        <f>IFERROR(VLOOKUP(B879,'03. THIẾT BỊ'!$B$1:$S$836,11,0),"")</f>
        <v/>
      </c>
      <c r="M879" s="472" t="str">
        <f>IFERROR(VLOOKUP(B879,'03. THIẾT BỊ'!$B$1:$S$836,12,0),"")</f>
        <v/>
      </c>
      <c r="N879" s="468" t="str">
        <f>IFERROR(VLOOKUP(B879,'03. THIẾT BỊ'!$B$1:$S$836,13,0),"")</f>
        <v>THACO AGRI</v>
      </c>
      <c r="O879" s="470" t="str">
        <f>IFERROR(VLOOKUP(B879,'03. THIẾT BỊ'!$B$1:$S$836,14,0),"")</f>
        <v/>
      </c>
      <c r="P879" s="468" t="str">
        <f>IFERROR(VLOOKUP(B879,'03. THIẾT BỊ'!$B$1:$S$836,15,0),"")</f>
        <v>CK-CGH</v>
      </c>
      <c r="Q879" s="48" t="str">
        <f>IFERROR(VLOOKUP(B879,'03. THIẾT BỊ'!$B$1:$S$836,16,0),"")</f>
        <v/>
      </c>
      <c r="R879" s="471" t="str">
        <f>IFERROR(VLOOKUP(B879,'03. THIẾT BỊ'!$B$1:$S$836,17,0),"")</f>
        <v/>
      </c>
      <c r="S879" s="468" t="str">
        <f>IFERROR(VLOOKUP(B879,'03. THIẾT BỊ'!$B$1:$S$836,18,0),"")</f>
        <v/>
      </c>
      <c r="T879" s="1516"/>
    </row>
    <row r="880" ht="15.0" customHeight="1">
      <c r="A880" s="463">
        <f t="shared" si="41"/>
        <v>5</v>
      </c>
      <c r="B880" s="1456" t="s">
        <v>5682</v>
      </c>
      <c r="C880" s="869" t="str">
        <f>IFERROR(VLOOKUP(B880,'03. THIẾT BỊ'!$B$1:$S$836,2,0),"")</f>
        <v>RMC 75-VC KLH</v>
      </c>
      <c r="D880" s="470" t="str">
        <f>IFERROR(VLOOKUP(B880,'03. THIẾT BỊ'!$B$1:$S$836,3,0),"")</f>
        <v/>
      </c>
      <c r="E880" s="464" t="str">
        <f>IFERROR(VLOOKUP(B880,'03. THIẾT BỊ'!$B$1:$S$836,4,0),"")</f>
        <v/>
      </c>
      <c r="F880" s="464" t="str">
        <f>IFERROR(VLOOKUP(B880,'03. THIẾT BỊ'!$B$1:$S$836,5,0),"")</f>
        <v>Rơ mooc thu hoạch</v>
      </c>
      <c r="G880" s="80" t="s">
        <v>6423</v>
      </c>
      <c r="H880" s="463" t="str">
        <f>IFERROR(VLOOKUP(B880,'03. THIẾT BỊ'!$B$1:$S$836,7,0),"")</f>
        <v>XN Chuối DP3</v>
      </c>
      <c r="I880" s="474" t="str">
        <f>IFERROR(VLOOKUP(B880,'03. THIẾT BỊ'!$B$1:$S$836,8,0),"")</f>
        <v>15/05/2024</v>
      </c>
      <c r="J880" s="471"/>
      <c r="K880" s="463" t="str">
        <f>IFERROR(VLOOKUP(B880,'03. THIẾT BỊ'!$B$1:$S$836,10,0),"")</f>
        <v>Đã qua sử dụng</v>
      </c>
      <c r="L880" s="468" t="str">
        <f>IFERROR(VLOOKUP(B880,'03. THIẾT BỊ'!$B$1:$S$836,11,0),"")</f>
        <v/>
      </c>
      <c r="M880" s="472" t="str">
        <f>IFERROR(VLOOKUP(B880,'03. THIẾT BỊ'!$B$1:$S$836,12,0),"")</f>
        <v/>
      </c>
      <c r="N880" s="468" t="str">
        <f>IFERROR(VLOOKUP(B880,'03. THIẾT BỊ'!$B$1:$S$836,13,0),"")</f>
        <v>THACO AGRI</v>
      </c>
      <c r="O880" s="470" t="str">
        <f>IFERROR(VLOOKUP(B880,'03. THIẾT BỊ'!$B$1:$S$836,14,0),"")</f>
        <v/>
      </c>
      <c r="P880" s="468" t="str">
        <f>IFERROR(VLOOKUP(B880,'03. THIẾT BỊ'!$B$1:$S$836,15,0),"")</f>
        <v>CK-CGH</v>
      </c>
      <c r="Q880" s="48" t="str">
        <f>IFERROR(VLOOKUP(B880,'03. THIẾT BỊ'!$B$1:$S$836,16,0),"")</f>
        <v/>
      </c>
      <c r="R880" s="471" t="str">
        <f>IFERROR(VLOOKUP(B880,'03. THIẾT BỊ'!$B$1:$S$836,17,0),"")</f>
        <v/>
      </c>
      <c r="S880" s="468" t="str">
        <f>IFERROR(VLOOKUP(B880,'03. THIẾT BỊ'!$B$1:$S$836,18,0),"")</f>
        <v/>
      </c>
      <c r="T880" s="1516"/>
    </row>
    <row r="881" ht="15.0" customHeight="1">
      <c r="A881" s="463">
        <f t="shared" si="41"/>
        <v>6</v>
      </c>
      <c r="B881" s="1456" t="s">
        <v>5088</v>
      </c>
      <c r="C881" s="869" t="str">
        <f>IFERROR(VLOOKUP(B881,'03. THIẾT BỊ'!$B$1:$S$836,2,0),"")</f>
        <v>RMC 98-VC KLH</v>
      </c>
      <c r="D881" s="470" t="str">
        <f>IFERROR(VLOOKUP(B881,'03. THIẾT BỊ'!$B$1:$S$836,3,0),"")</f>
        <v/>
      </c>
      <c r="E881" s="464" t="str">
        <f>IFERROR(VLOOKUP(B881,'03. THIẾT BỊ'!$B$1:$S$836,4,0),"")</f>
        <v/>
      </c>
      <c r="F881" s="464" t="str">
        <f>IFERROR(VLOOKUP(B881,'03. THIẾT BỊ'!$B$1:$S$836,5,0),"")</f>
        <v>Rơ mooc thu hoạch</v>
      </c>
      <c r="G881" s="80" t="s">
        <v>6423</v>
      </c>
      <c r="H881" s="463" t="str">
        <f>IFERROR(VLOOKUP(B881,'03. THIẾT BỊ'!$B$1:$S$836,7,0),"")</f>
        <v>XN Chuối DP3</v>
      </c>
      <c r="I881" s="474" t="str">
        <f>IFERROR(VLOOKUP(B881,'03. THIẾT BỊ'!$B$1:$S$836,8,0),"")</f>
        <v>15/05/2024</v>
      </c>
      <c r="J881" s="471"/>
      <c r="K881" s="463" t="str">
        <f>IFERROR(VLOOKUP(B881,'03. THIẾT BỊ'!$B$1:$S$836,10,0),"")</f>
        <v>Đã qua sử dụng</v>
      </c>
      <c r="L881" s="468" t="str">
        <f>IFERROR(VLOOKUP(B881,'03. THIẾT BỊ'!$B$1:$S$836,11,0),"")</f>
        <v/>
      </c>
      <c r="M881" s="472" t="str">
        <f>IFERROR(VLOOKUP(B881,'03. THIẾT BỊ'!$B$1:$S$836,12,0),"")</f>
        <v/>
      </c>
      <c r="N881" s="468" t="str">
        <f>IFERROR(VLOOKUP(B881,'03. THIẾT BỊ'!$B$1:$S$836,13,0),"")</f>
        <v>THACO AGRI</v>
      </c>
      <c r="O881" s="470" t="str">
        <f>IFERROR(VLOOKUP(B881,'03. THIẾT BỊ'!$B$1:$S$836,14,0),"")</f>
        <v/>
      </c>
      <c r="P881" s="468" t="str">
        <f>IFERROR(VLOOKUP(B881,'03. THIẾT BỊ'!$B$1:$S$836,15,0),"")</f>
        <v>CK-CGH</v>
      </c>
      <c r="Q881" s="48" t="str">
        <f>IFERROR(VLOOKUP(B881,'03. THIẾT BỊ'!$B$1:$S$836,16,0),"")</f>
        <v/>
      </c>
      <c r="R881" s="471" t="str">
        <f>IFERROR(VLOOKUP(B881,'03. THIẾT BỊ'!$B$1:$S$836,17,0),"")</f>
        <v/>
      </c>
      <c r="S881" s="468" t="str">
        <f>IFERROR(VLOOKUP(B881,'03. THIẾT BỊ'!$B$1:$S$836,18,0),"")</f>
        <v/>
      </c>
      <c r="T881" s="1516"/>
    </row>
    <row r="882" ht="15.0" customHeight="1">
      <c r="A882" s="463">
        <f t="shared" si="41"/>
        <v>7</v>
      </c>
      <c r="B882" s="464" t="s">
        <v>5684</v>
      </c>
      <c r="C882" s="869" t="str">
        <f>IFERROR(VLOOKUP(B882,'03. THIẾT BỊ'!$B$1:$S$836,2,0),"")</f>
        <v>RMC 76-VC KLH</v>
      </c>
      <c r="D882" s="470" t="str">
        <f>IFERROR(VLOOKUP(B882,'03. THIẾT BỊ'!$B$1:$S$836,3,0),"")</f>
        <v>A23-RMC-011</v>
      </c>
      <c r="E882" s="464" t="str">
        <f>IFERROR(VLOOKUP(B882,'03. THIẾT BỊ'!$B$1:$S$836,4,0),"")</f>
        <v/>
      </c>
      <c r="F882" s="464" t="str">
        <f>IFERROR(VLOOKUP(B882,'03. THIẾT BỊ'!$B$1:$S$836,5,0),"")</f>
        <v>Rơ mooc thu hoạch</v>
      </c>
      <c r="G882" s="80" t="s">
        <v>6423</v>
      </c>
      <c r="H882" s="463" t="str">
        <f>IFERROR(VLOOKUP(B882,'03. THIẾT BỊ'!$B$1:$S$836,7,0),"")</f>
        <v>XN Chuối DP3</v>
      </c>
      <c r="I882" s="474" t="str">
        <f>IFERROR(VLOOKUP(B882,'03. THIẾT BỊ'!$B$1:$S$836,8,0),"")</f>
        <v/>
      </c>
      <c r="J882" s="471"/>
      <c r="K882" s="463" t="str">
        <f>IFERROR(VLOOKUP(B882,'03. THIẾT BỊ'!$B$1:$S$836,10,0),"")</f>
        <v>Bình thường</v>
      </c>
      <c r="L882" s="468" t="str">
        <f>IFERROR(VLOOKUP(B882,'03. THIẾT BỊ'!$B$1:$S$836,11,0),"")</f>
        <v/>
      </c>
      <c r="M882" s="472" t="str">
        <f>IFERROR(VLOOKUP(B882,'03. THIẾT BỊ'!$B$1:$S$836,12,0),"")</f>
        <v/>
      </c>
      <c r="N882" s="468" t="str">
        <f>IFERROR(VLOOKUP(B882,'03. THIẾT BỊ'!$B$1:$S$836,13,0),"")</f>
        <v>THACO AGRI</v>
      </c>
      <c r="O882" s="470" t="str">
        <f>IFERROR(VLOOKUP(B882,'03. THIẾT BỊ'!$B$1:$S$836,14,0),"")</f>
        <v>THACO</v>
      </c>
      <c r="P882" s="468" t="str">
        <f>IFERROR(VLOOKUP(B882,'03. THIẾT BỊ'!$B$1:$S$836,15,0),"")</f>
        <v>CK-CGH</v>
      </c>
      <c r="Q882" s="48" t="str">
        <f>IFERROR(VLOOKUP(B882,'03. THIẾT BỊ'!$B$1:$S$836,16,0),"")</f>
        <v/>
      </c>
      <c r="R882" s="471" t="str">
        <f>IFERROR(VLOOKUP(B882,'03. THIẾT BỊ'!$B$1:$S$836,17,0),"")</f>
        <v/>
      </c>
      <c r="S882" s="468">
        <f>IFERROR(VLOOKUP(B882,'03. THIẾT BỊ'!$B$1:$S$836,18,0),"")</f>
        <v>44</v>
      </c>
      <c r="T882" s="959"/>
    </row>
    <row r="883" ht="15.0" customHeight="1">
      <c r="A883" s="463">
        <f t="shared" si="41"/>
        <v>8</v>
      </c>
      <c r="B883" s="464" t="s">
        <v>5687</v>
      </c>
      <c r="C883" s="869" t="str">
        <f>IFERROR(VLOOKUP(B883,'03. THIẾT BỊ'!$B$1:$S$836,2,0),"")</f>
        <v>SPT01</v>
      </c>
      <c r="D883" s="470" t="str">
        <f>IFERROR(VLOOKUP(B883,'03. THIẾT BỊ'!$B$1:$S$836,3,0),"")</f>
        <v/>
      </c>
      <c r="E883" s="464" t="str">
        <f>IFERROR(VLOOKUP(B883,'03. THIẾT BỊ'!$B$1:$S$836,4,0),"")</f>
        <v/>
      </c>
      <c r="F883" s="464" t="str">
        <f>IFERROR(VLOOKUP(B883,'03. THIẾT BỊ'!$B$1:$S$836,5,0),"")</f>
        <v>Súng phun thuốc Hansung</v>
      </c>
      <c r="G883" s="80" t="s">
        <v>6423</v>
      </c>
      <c r="H883" s="463" t="str">
        <f>IFERROR(VLOOKUP(B883,'03. THIẾT BỊ'!$B$1:$S$836,7,0),"")</f>
        <v>XN Chuối DP2</v>
      </c>
      <c r="I883" s="474">
        <f>IFERROR(VLOOKUP(B883,'03. THIẾT BỊ'!$B$1:$S$836,8,0),"")</f>
        <v>45357</v>
      </c>
      <c r="J883" s="471"/>
      <c r="K883" s="463" t="str">
        <f>IFERROR(VLOOKUP(B883,'03. THIẾT BỊ'!$B$1:$S$836,10,0),"")</f>
        <v>Đã qua sử dụng</v>
      </c>
      <c r="L883" s="468" t="str">
        <f>IFERROR(VLOOKUP(B883,'03. THIẾT BỊ'!$B$1:$S$836,11,0),"")</f>
        <v/>
      </c>
      <c r="M883" s="472" t="str">
        <f>IFERROR(VLOOKUP(B883,'03. THIẾT BỊ'!$B$1:$S$836,12,0),"")</f>
        <v/>
      </c>
      <c r="N883" s="468" t="str">
        <f>IFERROR(VLOOKUP(B883,'03. THIẾT BỊ'!$B$1:$S$836,13,0),"")</f>
        <v/>
      </c>
      <c r="O883" s="470" t="str">
        <f>IFERROR(VLOOKUP(B883,'03. THIẾT BỊ'!$B$1:$S$836,14,0),"")</f>
        <v>THACO</v>
      </c>
      <c r="P883" s="468" t="str">
        <f>IFERROR(VLOOKUP(B883,'03. THIẾT BỊ'!$B$1:$S$836,15,0),"")</f>
        <v>HÀN QUỐC</v>
      </c>
      <c r="Q883" s="48" t="str">
        <f>IFERROR(VLOOKUP(B883,'03. THIẾT BỊ'!$B$1:$S$836,16,0),"")</f>
        <v/>
      </c>
      <c r="R883" s="471" t="str">
        <f>IFERROR(VLOOKUP(B883,'03. THIẾT BỊ'!$B$1:$S$836,17,0),"")</f>
        <v/>
      </c>
      <c r="S883" s="468" t="str">
        <f>IFERROR(VLOOKUP(B883,'03. THIẾT BỊ'!$B$1:$S$836,18,0),"")</f>
        <v>SK;HS128.DP344</v>
      </c>
      <c r="T883" s="1495">
        <v>8.47</v>
      </c>
    </row>
    <row r="884" ht="15.0" customHeight="1">
      <c r="A884" s="463">
        <f t="shared" si="41"/>
        <v>9</v>
      </c>
      <c r="B884" s="503" t="s">
        <v>5690</v>
      </c>
      <c r="C884" s="869" t="str">
        <f>IFERROR(VLOOKUP(B884,'03. THIẾT BỊ'!$B$1:$S$836,2,0),"")</f>
        <v/>
      </c>
      <c r="D884" s="470" t="str">
        <f>IFERROR(VLOOKUP(B884,'03. THIẾT BỊ'!$B$1:$S$836,3,0),"")</f>
        <v/>
      </c>
      <c r="E884" s="464" t="str">
        <f>IFERROR(VLOOKUP(B884,'03. THIẾT BỊ'!$B$1:$S$836,4,0),"")</f>
        <v/>
      </c>
      <c r="F884" s="464" t="str">
        <f>IFERROR(VLOOKUP(B884,'03. THIẾT BỊ'!$B$1:$S$836,5,0),"")</f>
        <v>Càng xúc lật gắn máy cày (0.68m3)</v>
      </c>
      <c r="G884" s="80" t="s">
        <v>6423</v>
      </c>
      <c r="H884" s="463" t="str">
        <f>IFERROR(VLOOKUP(B884,'03. THIẾT BỊ'!$B$1:$S$836,7,0),"")</f>
        <v>XN Bò AD</v>
      </c>
      <c r="I884" s="474">
        <f>IFERROR(VLOOKUP(B884,'03. THIẾT BỊ'!$B$1:$S$836,8,0),"")</f>
        <v>45388</v>
      </c>
      <c r="J884" s="471"/>
      <c r="K884" s="463" t="str">
        <f>IFERROR(VLOOKUP(B884,'03. THIẾT BỊ'!$B$1:$S$836,10,0),"")</f>
        <v>Đã qua SD</v>
      </c>
      <c r="L884" s="468" t="str">
        <f>IFERROR(VLOOKUP(B884,'03. THIẾT BỊ'!$B$1:$S$836,11,0),"")</f>
        <v/>
      </c>
      <c r="M884" s="472" t="str">
        <f>IFERROR(VLOOKUP(B884,'03. THIẾT BỊ'!$B$1:$S$836,12,0),"")</f>
        <v>CHỜ PHÂN BỔ</v>
      </c>
      <c r="N884" s="468" t="str">
        <f>IFERROR(VLOOKUP(B884,'03. THIẾT BỊ'!$B$1:$S$836,13,0),"")</f>
        <v>THACO AGRI</v>
      </c>
      <c r="O884" s="470" t="str">
        <f>IFERROR(VLOOKUP(B884,'03. THIẾT BỊ'!$B$1:$S$836,14,0),"")</f>
        <v/>
      </c>
      <c r="P884" s="468" t="str">
        <f>IFERROR(VLOOKUP(B884,'03. THIẾT BỊ'!$B$1:$S$836,15,0),"")</f>
        <v>CK-CGH</v>
      </c>
      <c r="Q884" s="48" t="str">
        <f>IFERROR(VLOOKUP(B884,'03. THIẾT BỊ'!$B$1:$S$836,16,0),"")</f>
        <v/>
      </c>
      <c r="R884" s="471" t="str">
        <f>IFERROR(VLOOKUP(B884,'03. THIẾT BỊ'!$B$1:$S$836,17,0),"")</f>
        <v/>
      </c>
      <c r="S884" s="468" t="str">
        <f>IFERROR(VLOOKUP(B884,'03. THIẾT BỊ'!$B$1:$S$836,18,0),"")</f>
        <v/>
      </c>
      <c r="T884" s="807"/>
    </row>
    <row r="885" ht="15.0" customHeight="1">
      <c r="A885" s="463">
        <f t="shared" si="41"/>
        <v>10</v>
      </c>
      <c r="B885" s="464" t="s">
        <v>5693</v>
      </c>
      <c r="C885" s="869" t="str">
        <f>IFERROR(VLOOKUP(B885,'03. THIẾT BỊ'!$B$1:$S$836,2,0),"")</f>
        <v>RMC 94-VC KLH</v>
      </c>
      <c r="D885" s="470" t="str">
        <f>IFERROR(VLOOKUP(B885,'03. THIẾT BỊ'!$B$1:$S$836,3,0),"")</f>
        <v>A24-RMB-002</v>
      </c>
      <c r="E885" s="464" t="str">
        <f>IFERROR(VLOOKUP(B885,'03. THIẾT BỊ'!$B$1:$S$836,4,0),"")</f>
        <v/>
      </c>
      <c r="F885" s="464" t="str">
        <f>IFERROR(VLOOKUP(B885,'03. THIẾT BỊ'!$B$1:$S$836,5,0),"")</f>
        <v>Rơ mooc thùng ben</v>
      </c>
      <c r="G885" s="80" t="s">
        <v>6423</v>
      </c>
      <c r="H885" s="463" t="str">
        <f>IFERROR(VLOOKUP(B885,'03. THIẾT BỊ'!$B$1:$S$836,7,0),"")</f>
        <v>XN Chuối DP3</v>
      </c>
      <c r="I885" s="474">
        <f>IFERROR(VLOOKUP(B885,'03. THIẾT BỊ'!$B$1:$S$836,8,0),"")</f>
        <v>45330</v>
      </c>
      <c r="J885" s="471"/>
      <c r="K885" s="463" t="str">
        <f>IFERROR(VLOOKUP(B885,'03. THIẾT BỊ'!$B$1:$S$836,10,0),"")</f>
        <v>Đã qua SD</v>
      </c>
      <c r="L885" s="468" t="str">
        <f>IFERROR(VLOOKUP(B885,'03. THIẾT BỊ'!$B$1:$S$836,11,0),"")</f>
        <v/>
      </c>
      <c r="M885" s="472" t="str">
        <f>IFERROR(VLOOKUP(B885,'03. THIẾT BỊ'!$B$1:$S$836,12,0),"")</f>
        <v>Thu hồi cải tiến</v>
      </c>
      <c r="N885" s="468" t="str">
        <f>IFERROR(VLOOKUP(B885,'03. THIẾT BỊ'!$B$1:$S$836,13,0),"")</f>
        <v>THACO AGRI</v>
      </c>
      <c r="O885" s="470" t="str">
        <f>IFERROR(VLOOKUP(B885,'03. THIẾT BỊ'!$B$1:$S$836,14,0),"")</f>
        <v>THACO</v>
      </c>
      <c r="P885" s="468" t="str">
        <f>IFERROR(VLOOKUP(B885,'03. THIẾT BỊ'!$B$1:$S$836,15,0),"")</f>
        <v>CK-CGH</v>
      </c>
      <c r="Q885" s="48" t="str">
        <f>IFERROR(VLOOKUP(B885,'03. THIẾT BỊ'!$B$1:$S$836,16,0),"")</f>
        <v/>
      </c>
      <c r="R885" s="471" t="str">
        <f>IFERROR(VLOOKUP(B885,'03. THIẾT BỊ'!$B$1:$S$836,17,0),"")</f>
        <v/>
      </c>
      <c r="S885" s="468" t="str">
        <f>IFERROR(VLOOKUP(B885,'03. THIẾT BỊ'!$B$1:$S$836,18,0),"")</f>
        <v>Thùng ben 2m3</v>
      </c>
      <c r="T885" s="959"/>
    </row>
    <row r="886" ht="15.0" customHeight="1">
      <c r="A886" s="463">
        <f t="shared" si="41"/>
        <v>11</v>
      </c>
      <c r="B886" s="477" t="s">
        <v>5696</v>
      </c>
      <c r="C886" s="869" t="str">
        <f>IFERROR(VLOOKUP(B886,'03. THIẾT BỊ'!$B$1:$S$836,2,0),"")</f>
        <v/>
      </c>
      <c r="D886" s="470" t="str">
        <f>IFERROR(VLOOKUP(B886,'03. THIẾT BỊ'!$B$1:$S$836,3,0),"")</f>
        <v>A24-RMC-001</v>
      </c>
      <c r="E886" s="464" t="str">
        <f>IFERROR(VLOOKUP(B886,'03. THIẾT BỊ'!$B$1:$S$836,4,0),"")</f>
        <v/>
      </c>
      <c r="F886" s="464" t="str">
        <f>IFERROR(VLOOKUP(B886,'03. THIẾT BỊ'!$B$1:$S$836,5,0),"")</f>
        <v>Rơ mooc thu hoạch</v>
      </c>
      <c r="G886" s="80" t="s">
        <v>6423</v>
      </c>
      <c r="H886" s="463" t="str">
        <f>IFERROR(VLOOKUP(B886,'03. THIẾT BỊ'!$B$1:$S$836,7,0),"")</f>
        <v>XN Chuối AD2</v>
      </c>
      <c r="I886" s="474" t="str">
        <f>IFERROR(VLOOKUP(B886,'03. THIẾT BỊ'!$B$1:$S$836,8,0),"")</f>
        <v>28/06/2024</v>
      </c>
      <c r="J886" s="471"/>
      <c r="K886" s="463" t="str">
        <f>IFERROR(VLOOKUP(B886,'03. THIẾT BỊ'!$B$1:$S$836,10,0),"")</f>
        <v>Bình thường</v>
      </c>
      <c r="L886" s="468" t="str">
        <f>IFERROR(VLOOKUP(B886,'03. THIẾT BỊ'!$B$1:$S$836,11,0),"")</f>
        <v/>
      </c>
      <c r="M886" s="472" t="str">
        <f>IFERROR(VLOOKUP(B886,'03. THIẾT BỊ'!$B$1:$S$836,12,0),"")</f>
        <v>CHỜ PHÂN BỔ</v>
      </c>
      <c r="N886" s="468" t="str">
        <f>IFERROR(VLOOKUP(B886,'03. THIẾT BỊ'!$B$1:$S$836,13,0),"")</f>
        <v>THACO AGRI</v>
      </c>
      <c r="O886" s="470" t="str">
        <f>IFERROR(VLOOKUP(B886,'03. THIẾT BỊ'!$B$1:$S$836,14,0),"")</f>
        <v/>
      </c>
      <c r="P886" s="468" t="str">
        <f>IFERROR(VLOOKUP(B886,'03. THIẾT BỊ'!$B$1:$S$836,15,0),"")</f>
        <v>CK-CGH</v>
      </c>
      <c r="Q886" s="48" t="str">
        <f>IFERROR(VLOOKUP(B886,'03. THIẾT BỊ'!$B$1:$S$836,16,0),"")</f>
        <v/>
      </c>
      <c r="R886" s="471" t="str">
        <f>IFERROR(VLOOKUP(B886,'03. THIẾT BỊ'!$B$1:$S$836,17,0),"")</f>
        <v/>
      </c>
      <c r="S886" s="468" t="str">
        <f>IFERROR(VLOOKUP(B886,'03. THIẾT BỊ'!$B$1:$S$836,18,0),"")</f>
        <v>40 BUỒNG</v>
      </c>
      <c r="T886" s="812"/>
    </row>
    <row r="887" ht="15.0" customHeight="1">
      <c r="A887" s="463">
        <f t="shared" si="41"/>
        <v>12</v>
      </c>
      <c r="B887" s="464" t="s">
        <v>5698</v>
      </c>
      <c r="C887" s="869" t="str">
        <f>IFERROR(VLOOKUP(B887,'03. THIẾT BỊ'!$B$1:$S$836,2,0),"")</f>
        <v>XAD-RMC-010</v>
      </c>
      <c r="D887" s="470" t="str">
        <f>IFERROR(VLOOKUP(B887,'03. THIẾT BỊ'!$B$1:$S$836,3,0),"")</f>
        <v>A22-RMC-007</v>
      </c>
      <c r="E887" s="464" t="str">
        <f>IFERROR(VLOOKUP(B887,'03. THIẾT BỊ'!$B$1:$S$836,4,0),"")</f>
        <v/>
      </c>
      <c r="F887" s="464" t="str">
        <f>IFERROR(VLOOKUP(B887,'03. THIẾT BỊ'!$B$1:$S$836,5,0),"")</f>
        <v>Rơ mooc thu hoạch</v>
      </c>
      <c r="G887" s="80" t="s">
        <v>6423</v>
      </c>
      <c r="H887" s="463" t="str">
        <f>IFERROR(VLOOKUP(B887,'03. THIẾT BỊ'!$B$1:$S$836,7,0),"")</f>
        <v>XN Chuối AD2</v>
      </c>
      <c r="I887" s="474" t="str">
        <f>IFERROR(VLOOKUP(B887,'03. THIẾT BỊ'!$B$1:$S$836,8,0),"")</f>
        <v/>
      </c>
      <c r="J887" s="471"/>
      <c r="K887" s="463" t="str">
        <f>IFERROR(VLOOKUP(B887,'03. THIẾT BỊ'!$B$1:$S$836,10,0),"")</f>
        <v>Bình thường</v>
      </c>
      <c r="L887" s="468" t="str">
        <f>IFERROR(VLOOKUP(B887,'03. THIẾT BỊ'!$B$1:$S$836,11,0),"")</f>
        <v/>
      </c>
      <c r="M887" s="472" t="str">
        <f>IFERROR(VLOOKUP(B887,'03. THIẾT BỊ'!$B$1:$S$836,12,0),"")</f>
        <v>CHỜ PHÂN BỔ</v>
      </c>
      <c r="N887" s="468" t="str">
        <f>IFERROR(VLOOKUP(B887,'03. THIẾT BỊ'!$B$1:$S$836,13,0),"")</f>
        <v>THACO AGRI</v>
      </c>
      <c r="O887" s="470" t="str">
        <f>IFERROR(VLOOKUP(B887,'03. THIẾT BỊ'!$B$1:$S$836,14,0),"")</f>
        <v/>
      </c>
      <c r="P887" s="468" t="str">
        <f>IFERROR(VLOOKUP(B887,'03. THIẾT BỊ'!$B$1:$S$836,15,0),"")</f>
        <v>CK-CGH</v>
      </c>
      <c r="Q887" s="48" t="str">
        <f>IFERROR(VLOOKUP(B887,'03. THIẾT BỊ'!$B$1:$S$836,16,0),"")</f>
        <v/>
      </c>
      <c r="R887" s="471" t="str">
        <f>IFERROR(VLOOKUP(B887,'03. THIẾT BỊ'!$B$1:$S$836,17,0),"")</f>
        <v/>
      </c>
      <c r="S887" s="468" t="str">
        <f>IFERROR(VLOOKUP(B887,'03. THIẾT BỊ'!$B$1:$S$836,18,0),"")</f>
        <v>44 BUỒNG</v>
      </c>
      <c r="T887" s="812"/>
    </row>
    <row r="888" ht="15.0" customHeight="1">
      <c r="A888" s="463">
        <f t="shared" si="41"/>
        <v>13</v>
      </c>
      <c r="B888" s="464" t="s">
        <v>5702</v>
      </c>
      <c r="C888" s="869" t="str">
        <f>IFERROR(VLOOKUP(B888,'03. THIẾT BỊ'!$B$1:$S$836,2,0),"")</f>
        <v>XAD-SPT-002(SPT08)</v>
      </c>
      <c r="D888" s="470" t="str">
        <f>IFERROR(VLOOKUP(B888,'03. THIẾT BỊ'!$B$1:$S$836,3,0),"")</f>
        <v>A22-SPT-001</v>
      </c>
      <c r="E888" s="464" t="str">
        <f>IFERROR(VLOOKUP(B888,'03. THIẾT BỊ'!$B$1:$S$836,4,0),"")</f>
        <v/>
      </c>
      <c r="F888" s="464" t="str">
        <f>IFERROR(VLOOKUP(B888,'03. THIẾT BỊ'!$B$1:$S$836,5,0),"")</f>
        <v>Súng phun thuốc Hansung</v>
      </c>
      <c r="G888" s="80" t="s">
        <v>6423</v>
      </c>
      <c r="H888" s="463" t="str">
        <f>IFERROR(VLOOKUP(B888,'03. THIẾT BỊ'!$B$1:$S$836,7,0),"")</f>
        <v>XN Chuối AD2</v>
      </c>
      <c r="I888" s="474" t="str">
        <f>IFERROR(VLOOKUP(B888,'03. THIẾT BỊ'!$B$1:$S$836,8,0),"")</f>
        <v/>
      </c>
      <c r="J888" s="471"/>
      <c r="K888" s="463" t="str">
        <f>IFERROR(VLOOKUP(B888,'03. THIẾT BỊ'!$B$1:$S$836,10,0),"")</f>
        <v>Bình thường</v>
      </c>
      <c r="L888" s="468" t="str">
        <f>IFERROR(VLOOKUP(B888,'03. THIẾT BỊ'!$B$1:$S$836,11,0),"")</f>
        <v/>
      </c>
      <c r="M888" s="472" t="str">
        <f>IFERROR(VLOOKUP(B888,'03. THIẾT BỊ'!$B$1:$S$836,12,0),"")</f>
        <v>CHỜ PHÂN BỔ</v>
      </c>
      <c r="N888" s="468" t="str">
        <f>IFERROR(VLOOKUP(B888,'03. THIẾT BỊ'!$B$1:$S$836,13,0),"")</f>
        <v/>
      </c>
      <c r="O888" s="470" t="str">
        <f>IFERROR(VLOOKUP(B888,'03. THIẾT BỊ'!$B$1:$S$836,14,0),"")</f>
        <v/>
      </c>
      <c r="P888" s="468" t="str">
        <f>IFERROR(VLOOKUP(B888,'03. THIẾT BỊ'!$B$1:$S$836,15,0),"")</f>
        <v>HÀN QUỐC</v>
      </c>
      <c r="Q888" s="48" t="str">
        <f>IFERROR(VLOOKUP(B888,'03. THIẾT BỊ'!$B$1:$S$836,16,0),"")</f>
        <v/>
      </c>
      <c r="R888" s="471" t="str">
        <f>IFERROR(VLOOKUP(B888,'03. THIẾT BỊ'!$B$1:$S$836,17,0),"")</f>
        <v/>
      </c>
      <c r="S888" s="468" t="str">
        <f>IFERROR(VLOOKUP(B888,'03. THIẾT BỊ'!$B$1:$S$836,18,0),"")</f>
        <v>HS128-TH313</v>
      </c>
      <c r="T888" s="1495">
        <v>8.47</v>
      </c>
    </row>
    <row r="889" ht="15.0" customHeight="1">
      <c r="A889" s="463"/>
      <c r="B889" s="464"/>
      <c r="C889" s="869" t="str">
        <f>IFERROR(VLOOKUP(B889,'03. THIẾT BỊ'!$B$1:$S$836,2,0),"")</f>
        <v/>
      </c>
      <c r="D889" s="470" t="str">
        <f>IFERROR(VLOOKUP(B889,'03. THIẾT BỊ'!$B$1:$S$836,3,0),"")</f>
        <v/>
      </c>
      <c r="E889" s="464" t="str">
        <f>IFERROR(VLOOKUP(B889,'03. THIẾT BỊ'!$B$1:$S$836,4,0),"")</f>
        <v/>
      </c>
      <c r="F889" s="464" t="str">
        <f>IFERROR(VLOOKUP(B889,'03. THIẾT BỊ'!$B$1:$S$836,5,0),"")</f>
        <v/>
      </c>
      <c r="G889" s="80" t="s">
        <v>6423</v>
      </c>
      <c r="H889" s="463" t="str">
        <f>IFERROR(VLOOKUP(B889,'03. THIẾT BỊ'!$B$1:$S$836,7,0),"")</f>
        <v/>
      </c>
      <c r="I889" s="474" t="str">
        <f>IFERROR(VLOOKUP(B889,'03. THIẾT BỊ'!$B$1:$S$836,8,0),"")</f>
        <v/>
      </c>
      <c r="J889" s="471"/>
      <c r="K889" s="463" t="str">
        <f>IFERROR(VLOOKUP(B889,'03. THIẾT BỊ'!$B$1:$S$836,10,0),"")</f>
        <v/>
      </c>
      <c r="L889" s="468" t="str">
        <f>IFERROR(VLOOKUP(B889,'03. THIẾT BỊ'!$B$1:$S$836,11,0),"")</f>
        <v/>
      </c>
      <c r="M889" s="472" t="str">
        <f>IFERROR(VLOOKUP(B889,'03. THIẾT BỊ'!$B$1:$S$836,12,0),"")</f>
        <v/>
      </c>
      <c r="N889" s="468" t="str">
        <f>IFERROR(VLOOKUP(B889,'03. THIẾT BỊ'!$B$1:$S$836,13,0),"")</f>
        <v/>
      </c>
      <c r="O889" s="470" t="str">
        <f>IFERROR(VLOOKUP(B889,'03. THIẾT BỊ'!$B$1:$S$836,14,0),"")</f>
        <v/>
      </c>
      <c r="P889" s="468" t="str">
        <f>IFERROR(VLOOKUP(B889,'03. THIẾT BỊ'!$B$1:$S$836,15,0),"")</f>
        <v/>
      </c>
      <c r="Q889" s="48" t="str">
        <f>IFERROR(VLOOKUP(B889,'03. THIẾT BỊ'!$B$1:$S$836,16,0),"")</f>
        <v/>
      </c>
      <c r="R889" s="471" t="str">
        <f>IFERROR(VLOOKUP(B889,'03. THIẾT BỊ'!$B$1:$S$836,17,0),"")</f>
        <v/>
      </c>
      <c r="S889" s="468" t="str">
        <f>IFERROR(VLOOKUP(B889,'03. THIẾT BỊ'!$B$1:$S$836,18,0),"")</f>
        <v/>
      </c>
      <c r="T889" s="959"/>
    </row>
    <row r="890" ht="15.0" customHeight="1">
      <c r="A890" s="463"/>
      <c r="B890" s="464"/>
      <c r="C890" s="869" t="str">
        <f>IFERROR(VLOOKUP(B890,'03. THIẾT BỊ'!$B$1:$S$836,2,0),"")</f>
        <v/>
      </c>
      <c r="D890" s="470" t="str">
        <f>IFERROR(VLOOKUP(B890,'03. THIẾT BỊ'!$B$1:$S$836,3,0),"")</f>
        <v/>
      </c>
      <c r="E890" s="464" t="str">
        <f>IFERROR(VLOOKUP(B890,'03. THIẾT BỊ'!$B$1:$S$836,4,0),"")</f>
        <v/>
      </c>
      <c r="F890" s="464" t="str">
        <f>IFERROR(VLOOKUP(B890,'03. THIẾT BỊ'!$B$1:$S$836,5,0),"")</f>
        <v/>
      </c>
      <c r="G890" s="80" t="s">
        <v>6423</v>
      </c>
      <c r="H890" s="463" t="str">
        <f>IFERROR(VLOOKUP(B890,'03. THIẾT BỊ'!$B$1:$S$836,7,0),"")</f>
        <v/>
      </c>
      <c r="I890" s="474" t="str">
        <f>IFERROR(VLOOKUP(B890,'03. THIẾT BỊ'!$B$1:$S$836,8,0),"")</f>
        <v/>
      </c>
      <c r="J890" s="471"/>
      <c r="K890" s="463" t="str">
        <f>IFERROR(VLOOKUP(B890,'03. THIẾT BỊ'!$B$1:$S$836,10,0),"")</f>
        <v/>
      </c>
      <c r="L890" s="468" t="str">
        <f>IFERROR(VLOOKUP(B890,'03. THIẾT BỊ'!$B$1:$S$836,11,0),"")</f>
        <v/>
      </c>
      <c r="M890" s="472" t="str">
        <f>IFERROR(VLOOKUP(B890,'03. THIẾT BỊ'!$B$1:$S$836,12,0),"")</f>
        <v/>
      </c>
      <c r="N890" s="468" t="str">
        <f>IFERROR(VLOOKUP(B890,'03. THIẾT BỊ'!$B$1:$S$836,13,0),"")</f>
        <v/>
      </c>
      <c r="O890" s="470" t="str">
        <f>IFERROR(VLOOKUP(B890,'03. THIẾT BỊ'!$B$1:$S$836,14,0),"")</f>
        <v/>
      </c>
      <c r="P890" s="468" t="str">
        <f>IFERROR(VLOOKUP(B890,'03. THIẾT BỊ'!$B$1:$S$836,15,0),"")</f>
        <v/>
      </c>
      <c r="Q890" s="48" t="str">
        <f>IFERROR(VLOOKUP(B890,'03. THIẾT BỊ'!$B$1:$S$836,16,0),"")</f>
        <v/>
      </c>
      <c r="R890" s="471" t="str">
        <f>IFERROR(VLOOKUP(B890,'03. THIẾT BỊ'!$B$1:$S$836,17,0),"")</f>
        <v/>
      </c>
      <c r="S890" s="468" t="str">
        <f>IFERROR(VLOOKUP(B890,'03. THIẾT BỊ'!$B$1:$S$836,18,0),"")</f>
        <v/>
      </c>
      <c r="T890" s="959"/>
    </row>
    <row r="891" ht="13.5" customHeight="1">
      <c r="A891" s="621" t="s">
        <v>1974</v>
      </c>
      <c r="B891" s="622" t="s">
        <v>5729</v>
      </c>
      <c r="C891" s="1508">
        <f>COUNTA(B892:B894)</f>
        <v>1</v>
      </c>
      <c r="D891" s="1509" t="str">
        <f>IFERROR(VLOOKUP(B891,'03. THIẾT BỊ'!$B$1:$S$836,3,0),"")</f>
        <v/>
      </c>
      <c r="E891" s="464" t="str">
        <f>IFERROR(VLOOKUP(B891,'03. THIẾT BỊ'!$B$1:$S$836,4,0),"")</f>
        <v/>
      </c>
      <c r="F891" s="1510" t="str">
        <f>IFERROR(VLOOKUP(B891,'03. THIẾT BỊ'!$B$1:$S$836,5,0),"")</f>
        <v/>
      </c>
      <c r="G891" s="1511" t="s">
        <v>6423</v>
      </c>
      <c r="H891" s="1512" t="str">
        <f>IFERROR(VLOOKUP(B891,'03. THIẾT BỊ'!$B$1:$S$836,7,0),"")</f>
        <v/>
      </c>
      <c r="I891" s="1513" t="str">
        <f>IFERROR(VLOOKUP(B891,'03. THIẾT BỊ'!$B$1:$S$836,8,0),"")</f>
        <v/>
      </c>
      <c r="J891" s="1514"/>
      <c r="K891" s="1512" t="str">
        <f>IFERROR(VLOOKUP(B891,'03. THIẾT BỊ'!$B$1:$S$836,10,0),"")</f>
        <v/>
      </c>
      <c r="L891" s="1510" t="str">
        <f>IFERROR(VLOOKUP(B891,'03. THIẾT BỊ'!$B$1:$S$836,11,0),"")</f>
        <v/>
      </c>
      <c r="M891" s="1515" t="str">
        <f>IFERROR(VLOOKUP(B891,'03. THIẾT BỊ'!$B$1:$S$836,12,0),"")</f>
        <v/>
      </c>
      <c r="N891" s="1510" t="str">
        <f>IFERROR(VLOOKUP(B891,'03. THIẾT BỊ'!$B$1:$S$836,13,0),"")</f>
        <v/>
      </c>
      <c r="O891" s="1509" t="str">
        <f>IFERROR(VLOOKUP(B891,'03. THIẾT BỊ'!$B$1:$S$836,14,0),"")</f>
        <v/>
      </c>
      <c r="P891" s="1510" t="str">
        <f>IFERROR(VLOOKUP(B891,'03. THIẾT BỊ'!$B$1:$S$836,15,0),"")</f>
        <v/>
      </c>
      <c r="Q891" s="1512" t="str">
        <f>IFERROR(VLOOKUP(B891,'03. THIẾT BỊ'!$B$1:$S$836,16,0),"")</f>
        <v/>
      </c>
      <c r="R891" s="1514" t="str">
        <f>IFERROR(VLOOKUP(B891,'03. THIẾT BỊ'!$B$1:$S$836,17,0),"")</f>
        <v/>
      </c>
      <c r="S891" s="1510" t="str">
        <f>IFERROR(VLOOKUP(B891,'03. THIẾT BỊ'!$B$1:$S$836,18,0),"")</f>
        <v/>
      </c>
      <c r="T891" s="867"/>
    </row>
    <row r="892" ht="40.5" customHeight="1">
      <c r="A892" s="463">
        <v>1.0</v>
      </c>
      <c r="B892" s="464" t="s">
        <v>5730</v>
      </c>
      <c r="C892" s="869" t="str">
        <f>IFERROR(VLOOKUP(B892,'03. THIẾT BỊ'!$B$1:$S$836,2,0),"")</f>
        <v>XL3-MBC-001</v>
      </c>
      <c r="D892" s="470" t="str">
        <f>IFERROR(VLOOKUP(B892,'03. THIẾT BỊ'!$B$1:$S$836,3,0),"")</f>
        <v/>
      </c>
      <c r="E892" s="464" t="str">
        <f>IFERROR(VLOOKUP(B892,'03. THIẾT BỊ'!$B$1:$S$836,4,0),"")</f>
        <v/>
      </c>
      <c r="F892" s="464" t="str">
        <f>IFERROR(VLOOKUP(B892,'03. THIẾT BỊ'!$B$1:$S$836,5,0),"")</f>
        <v>Máy băm công nghiệp cố định 30Kw</v>
      </c>
      <c r="G892" s="80" t="s">
        <v>6423</v>
      </c>
      <c r="H892" s="463" t="str">
        <f>IFERROR(VLOOKUP(B892,'03. THIẾT BỊ'!$B$1:$S$836,7,0),"")</f>
        <v>KLH SNOUL</v>
      </c>
      <c r="I892" s="474" t="str">
        <f>IFERROR(VLOOKUP(B892,'03. THIẾT BỊ'!$B$1:$S$836,8,0),"")</f>
        <v>13/08/2024</v>
      </c>
      <c r="J892" s="471"/>
      <c r="K892" s="463" t="str">
        <f>IFERROR(VLOOKUP(B892,'03. THIẾT BỊ'!$B$1:$S$836,10,0),"")</f>
        <v/>
      </c>
      <c r="L892" s="468" t="str">
        <f>IFERROR(VLOOKUP(B892,'03. THIẾT BỊ'!$B$1:$S$836,11,0),"")</f>
        <v>-Đ,chuyển từ LP3 24.08.2024
-ĐC KLH SNOUL ngày 11/06/2025</v>
      </c>
      <c r="M892" s="472" t="str">
        <f>IFERROR(VLOOKUP(B892,'03. THIẾT BỊ'!$B$1:$S$836,12,0),"")</f>
        <v>-</v>
      </c>
      <c r="N892" s="468" t="str">
        <f>IFERROR(VLOOKUP(B892,'03. THIẾT BỊ'!$B$1:$S$836,13,0),"")</f>
        <v/>
      </c>
      <c r="O892" s="470" t="str">
        <f>IFERROR(VLOOKUP(B892,'03. THIẾT BỊ'!$B$1:$S$836,14,0),"")</f>
        <v/>
      </c>
      <c r="P892" s="468" t="str">
        <f>IFERROR(VLOOKUP(B892,'03. THIẾT BỊ'!$B$1:$S$836,15,0),"")</f>
        <v/>
      </c>
      <c r="Q892" s="48">
        <f>IFERROR(VLOOKUP(B892,'03. THIẾT BỊ'!$B$1:$S$836,16,0),"")</f>
        <v>2024</v>
      </c>
      <c r="R892" s="471" t="str">
        <f>IFERROR(VLOOKUP(B892,'03. THIẾT BỊ'!$B$1:$S$836,17,0),"")</f>
        <v>2.5x1.8x3.6</v>
      </c>
      <c r="S892" s="468" t="str">
        <f>IFERROR(VLOOKUP(B892,'03. THIẾT BỊ'!$B$1:$S$836,18,0),"")</f>
        <v/>
      </c>
      <c r="T892" s="807"/>
    </row>
    <row r="893" ht="15.0" customHeight="1">
      <c r="A893" s="1296"/>
      <c r="B893" s="846"/>
      <c r="C893" s="869" t="str">
        <f>IFERROR(VLOOKUP(B893,'03. THIẾT BỊ'!$B$1:$S$836,2,0),"")</f>
        <v/>
      </c>
      <c r="D893" s="470" t="str">
        <f>IFERROR(VLOOKUP(B893,'03. THIẾT BỊ'!$B$1:$S$836,3,0),"")</f>
        <v/>
      </c>
      <c r="E893" s="464" t="str">
        <f>IFERROR(VLOOKUP(B893,'03. THIẾT BỊ'!$B$1:$S$836,4,0),"")</f>
        <v/>
      </c>
      <c r="F893" s="464" t="str">
        <f>IFERROR(VLOOKUP(B893,'03. THIẾT BỊ'!$B$1:$S$836,5,0),"")</f>
        <v/>
      </c>
      <c r="G893" s="80" t="s">
        <v>6423</v>
      </c>
      <c r="H893" s="463" t="str">
        <f>IFERROR(VLOOKUP(B893,'03. THIẾT BỊ'!$B$1:$S$836,7,0),"")</f>
        <v/>
      </c>
      <c r="I893" s="474" t="str">
        <f>IFERROR(VLOOKUP(B893,'03. THIẾT BỊ'!$B$1:$S$836,8,0),"")</f>
        <v/>
      </c>
      <c r="J893" s="471"/>
      <c r="K893" s="463" t="str">
        <f>IFERROR(VLOOKUP(B893,'03. THIẾT BỊ'!$B$1:$S$836,10,0),"")</f>
        <v/>
      </c>
      <c r="L893" s="468" t="str">
        <f>IFERROR(VLOOKUP(B893,'03. THIẾT BỊ'!$B$1:$S$836,11,0),"")</f>
        <v/>
      </c>
      <c r="M893" s="472" t="str">
        <f>IFERROR(VLOOKUP(B893,'03. THIẾT BỊ'!$B$1:$S$836,12,0),"")</f>
        <v/>
      </c>
      <c r="N893" s="468" t="str">
        <f>IFERROR(VLOOKUP(B893,'03. THIẾT BỊ'!$B$1:$S$836,13,0),"")</f>
        <v/>
      </c>
      <c r="O893" s="470" t="str">
        <f>IFERROR(VLOOKUP(B893,'03. THIẾT BỊ'!$B$1:$S$836,14,0),"")</f>
        <v/>
      </c>
      <c r="P893" s="468" t="str">
        <f>IFERROR(VLOOKUP(B893,'03. THIẾT BỊ'!$B$1:$S$836,15,0),"")</f>
        <v/>
      </c>
      <c r="Q893" s="48" t="str">
        <f>IFERROR(VLOOKUP(B893,'03. THIẾT BỊ'!$B$1:$S$836,16,0),"")</f>
        <v/>
      </c>
      <c r="R893" s="471" t="str">
        <f>IFERROR(VLOOKUP(B893,'03. THIẾT BỊ'!$B$1:$S$836,17,0),"")</f>
        <v/>
      </c>
      <c r="S893" s="468" t="str">
        <f>IFERROR(VLOOKUP(B893,'03. THIẾT BỊ'!$B$1:$S$836,18,0),"")</f>
        <v/>
      </c>
      <c r="T893" s="846"/>
    </row>
    <row r="894" ht="15.0" customHeight="1">
      <c r="A894" s="1296"/>
      <c r="B894" s="846"/>
      <c r="C894" s="869" t="str">
        <f>IFERROR(VLOOKUP(B894,'03. THIẾT BỊ'!$B$1:$S$836,2,0),"")</f>
        <v/>
      </c>
      <c r="D894" s="470" t="str">
        <f>IFERROR(VLOOKUP(B894,'03. THIẾT BỊ'!$B$1:$S$836,3,0),"")</f>
        <v/>
      </c>
      <c r="E894" s="464" t="str">
        <f>IFERROR(VLOOKUP(B894,'03. THIẾT BỊ'!$B$1:$S$836,4,0),"")</f>
        <v/>
      </c>
      <c r="F894" s="464" t="str">
        <f>IFERROR(VLOOKUP(B894,'03. THIẾT BỊ'!$B$1:$S$836,5,0),"")</f>
        <v/>
      </c>
      <c r="G894" s="80" t="s">
        <v>6423</v>
      </c>
      <c r="H894" s="463" t="str">
        <f>IFERROR(VLOOKUP(B894,'03. THIẾT BỊ'!$B$1:$S$836,7,0),"")</f>
        <v/>
      </c>
      <c r="I894" s="474" t="str">
        <f>IFERROR(VLOOKUP(B894,'03. THIẾT BỊ'!$B$1:$S$836,8,0),"")</f>
        <v/>
      </c>
      <c r="J894" s="471"/>
      <c r="K894" s="463" t="str">
        <f>IFERROR(VLOOKUP(B894,'03. THIẾT BỊ'!$B$1:$S$836,10,0),"")</f>
        <v/>
      </c>
      <c r="L894" s="468" t="str">
        <f>IFERROR(VLOOKUP(B894,'03. THIẾT BỊ'!$B$1:$S$836,11,0),"")</f>
        <v/>
      </c>
      <c r="M894" s="472" t="str">
        <f>IFERROR(VLOOKUP(B894,'03. THIẾT BỊ'!$B$1:$S$836,12,0),"")</f>
        <v/>
      </c>
      <c r="N894" s="468" t="str">
        <f>IFERROR(VLOOKUP(B894,'03. THIẾT BỊ'!$B$1:$S$836,13,0),"")</f>
        <v/>
      </c>
      <c r="O894" s="470" t="str">
        <f>IFERROR(VLOOKUP(B894,'03. THIẾT BỊ'!$B$1:$S$836,14,0),"")</f>
        <v/>
      </c>
      <c r="P894" s="468" t="str">
        <f>IFERROR(VLOOKUP(B894,'03. THIẾT BỊ'!$B$1:$S$836,15,0),"")</f>
        <v/>
      </c>
      <c r="Q894" s="48" t="str">
        <f>IFERROR(VLOOKUP(B894,'03. THIẾT BỊ'!$B$1:$S$836,16,0),"")</f>
        <v/>
      </c>
      <c r="R894" s="471" t="str">
        <f>IFERROR(VLOOKUP(B894,'03. THIẾT BỊ'!$B$1:$S$836,17,0),"")</f>
        <v/>
      </c>
      <c r="S894" s="468" t="str">
        <f>IFERROR(VLOOKUP(B894,'03. THIẾT BỊ'!$B$1:$S$836,18,0),"")</f>
        <v/>
      </c>
      <c r="T894" s="846"/>
    </row>
    <row r="895" ht="13.5" customHeight="1">
      <c r="A895" s="621"/>
      <c r="B895" s="622"/>
      <c r="C895" s="622" t="s">
        <v>5734</v>
      </c>
      <c r="D895" s="623"/>
      <c r="E895" s="464" t="str">
        <f>IFERROR(VLOOKUP(B895,'03. THIẾT BỊ'!$B$1:$S$836,4,0),"")</f>
        <v/>
      </c>
      <c r="F895" s="623"/>
      <c r="G895" s="623"/>
      <c r="H895" s="623"/>
      <c r="I895" s="624"/>
      <c r="J895" s="623"/>
      <c r="K895" s="623"/>
      <c r="L895" s="623"/>
      <c r="M895" s="625"/>
      <c r="N895" s="625"/>
      <c r="O895" s="625"/>
      <c r="P895" s="625"/>
      <c r="Q895" s="623"/>
      <c r="R895" s="623"/>
      <c r="S895" s="623"/>
      <c r="T895" s="867"/>
    </row>
    <row r="896" ht="15.0" customHeight="1">
      <c r="A896" s="1296"/>
      <c r="B896" s="846"/>
      <c r="C896" s="1517"/>
      <c r="D896" s="846"/>
      <c r="E896" s="464" t="str">
        <f>IFERROR(VLOOKUP(B896,'03. THIẾT BỊ'!$B$1:$S$836,4,0),"")</f>
        <v/>
      </c>
      <c r="F896" s="846"/>
      <c r="G896" s="846"/>
      <c r="H896" s="846"/>
      <c r="I896" s="1296"/>
      <c r="J896" s="846"/>
      <c r="K896" s="1296"/>
      <c r="L896" s="846"/>
      <c r="M896" s="1517"/>
      <c r="N896" s="846"/>
      <c r="O896" s="1517"/>
      <c r="P896" s="846"/>
      <c r="Q896" s="1296"/>
      <c r="R896" s="846"/>
      <c r="S896" s="846"/>
      <c r="T896" s="846"/>
    </row>
    <row r="897" ht="15.0" customHeight="1">
      <c r="A897" s="1296"/>
      <c r="B897" s="846"/>
      <c r="C897" s="1517"/>
      <c r="D897" s="846"/>
      <c r="E897" s="464" t="str">
        <f>IFERROR(VLOOKUP(B897,'03. THIẾT BỊ'!$B$1:$S$836,4,0),"")</f>
        <v/>
      </c>
      <c r="F897" s="846"/>
      <c r="G897" s="846"/>
      <c r="H897" s="846"/>
      <c r="I897" s="1296"/>
      <c r="J897" s="846"/>
      <c r="K897" s="1296"/>
      <c r="L897" s="846"/>
      <c r="M897" s="1517"/>
      <c r="N897" s="846"/>
      <c r="O897" s="1517"/>
      <c r="P897" s="846"/>
      <c r="Q897" s="1296"/>
      <c r="R897" s="846"/>
      <c r="S897" s="846"/>
      <c r="T897" s="846"/>
    </row>
    <row r="898" ht="15.0" customHeight="1">
      <c r="A898" s="1296"/>
      <c r="B898" s="846"/>
      <c r="C898" s="1517"/>
      <c r="D898" s="846"/>
      <c r="E898" s="464" t="str">
        <f>IFERROR(VLOOKUP(B898,'03. THIẾT BỊ'!$B$1:$S$836,4,0),"")</f>
        <v/>
      </c>
      <c r="F898" s="846"/>
      <c r="G898" s="846"/>
      <c r="H898" s="846"/>
      <c r="I898" s="1296"/>
      <c r="J898" s="846"/>
      <c r="K898" s="1296"/>
      <c r="L898" s="846"/>
      <c r="M898" s="1517"/>
      <c r="N898" s="846"/>
      <c r="O898" s="1517"/>
      <c r="P898" s="846"/>
      <c r="Q898" s="1296"/>
      <c r="R898" s="846"/>
      <c r="S898" s="846"/>
      <c r="T898" s="846"/>
    </row>
    <row r="899" ht="15.0" customHeight="1">
      <c r="A899" s="1296"/>
      <c r="B899" s="846"/>
      <c r="C899" s="1517"/>
      <c r="D899" s="846"/>
      <c r="E899" s="464" t="str">
        <f>IFERROR(VLOOKUP(B899,'03. THIẾT BỊ'!$B$1:$S$836,4,0),"")</f>
        <v/>
      </c>
      <c r="F899" s="846"/>
      <c r="G899" s="846"/>
      <c r="H899" s="846"/>
      <c r="I899" s="1296"/>
      <c r="J899" s="846"/>
      <c r="K899" s="1296"/>
      <c r="L899" s="846"/>
      <c r="M899" s="1517"/>
      <c r="N899" s="846"/>
      <c r="O899" s="1517"/>
      <c r="P899" s="846"/>
      <c r="Q899" s="1296"/>
      <c r="R899" s="846"/>
      <c r="S899" s="846"/>
      <c r="T899" s="846"/>
    </row>
    <row r="900" ht="15.0" customHeight="1">
      <c r="A900" s="1296"/>
      <c r="B900" s="846"/>
      <c r="C900" s="1517"/>
      <c r="D900" s="846"/>
      <c r="E900" s="464" t="str">
        <f>IFERROR(VLOOKUP(B900,'03. THIẾT BỊ'!$B$1:$S$836,4,0),"")</f>
        <v/>
      </c>
      <c r="F900" s="846"/>
      <c r="G900" s="846"/>
      <c r="H900" s="846"/>
      <c r="I900" s="1296"/>
      <c r="J900" s="846"/>
      <c r="K900" s="1296"/>
      <c r="L900" s="846"/>
      <c r="M900" s="1517"/>
      <c r="N900" s="846"/>
      <c r="O900" s="1517"/>
      <c r="P900" s="846"/>
      <c r="Q900" s="1296"/>
      <c r="R900" s="846"/>
      <c r="S900" s="846"/>
      <c r="T900" s="846"/>
    </row>
    <row r="901" ht="15.0" customHeight="1">
      <c r="A901" s="1296"/>
      <c r="B901" s="846"/>
      <c r="C901" s="1517"/>
      <c r="D901" s="846"/>
      <c r="E901" s="464" t="str">
        <f>IFERROR(VLOOKUP(B901,'03. THIẾT BỊ'!$B$1:$S$836,4,0),"")</f>
        <v/>
      </c>
      <c r="F901" s="846"/>
      <c r="G901" s="846"/>
      <c r="H901" s="846"/>
      <c r="I901" s="1296"/>
      <c r="J901" s="846"/>
      <c r="K901" s="1296"/>
      <c r="L901" s="846"/>
      <c r="M901" s="1517"/>
      <c r="N901" s="846"/>
      <c r="O901" s="1517"/>
      <c r="P901" s="846"/>
      <c r="Q901" s="1296"/>
      <c r="R901" s="846"/>
      <c r="S901" s="846"/>
      <c r="T901" s="846"/>
    </row>
    <row r="902" ht="15.0" customHeight="1">
      <c r="A902" s="1296"/>
      <c r="B902" s="846"/>
      <c r="C902" s="1517"/>
      <c r="D902" s="846"/>
      <c r="E902" s="464" t="str">
        <f>IFERROR(VLOOKUP(B902,'03. THIẾT BỊ'!$B$1:$S$836,4,0),"")</f>
        <v/>
      </c>
      <c r="F902" s="846"/>
      <c r="G902" s="846"/>
      <c r="H902" s="846"/>
      <c r="I902" s="1296"/>
      <c r="J902" s="846"/>
      <c r="K902" s="1296"/>
      <c r="L902" s="846"/>
      <c r="M902" s="1517"/>
      <c r="N902" s="846"/>
      <c r="O902" s="1517"/>
      <c r="P902" s="846"/>
      <c r="Q902" s="1296"/>
      <c r="R902" s="846"/>
      <c r="S902" s="846"/>
      <c r="T902" s="846"/>
    </row>
    <row r="903" ht="15.0" customHeight="1">
      <c r="A903" s="1296"/>
      <c r="B903" s="846"/>
      <c r="C903" s="1517"/>
      <c r="D903" s="846"/>
      <c r="E903" s="464" t="str">
        <f>IFERROR(VLOOKUP(B903,'03. THIẾT BỊ'!$B$1:$S$836,4,0),"")</f>
        <v/>
      </c>
      <c r="F903" s="846"/>
      <c r="G903" s="846"/>
      <c r="H903" s="846"/>
      <c r="I903" s="1296"/>
      <c r="J903" s="846"/>
      <c r="K903" s="1296"/>
      <c r="L903" s="846"/>
      <c r="M903" s="1517"/>
      <c r="N903" s="846"/>
      <c r="O903" s="1517"/>
      <c r="P903" s="846"/>
      <c r="Q903" s="1296"/>
      <c r="R903" s="846"/>
      <c r="S903" s="846"/>
      <c r="T903" s="846"/>
    </row>
    <row r="904" ht="15.0" customHeight="1">
      <c r="A904" s="1296"/>
      <c r="B904" s="846"/>
      <c r="C904" s="1517"/>
      <c r="D904" s="846"/>
      <c r="E904" s="464" t="str">
        <f>IFERROR(VLOOKUP(B904,'03. THIẾT BỊ'!$B$1:$S$836,4,0),"")</f>
        <v/>
      </c>
      <c r="F904" s="846"/>
      <c r="G904" s="846"/>
      <c r="H904" s="846"/>
      <c r="I904" s="1296"/>
      <c r="J904" s="846"/>
      <c r="K904" s="1296"/>
      <c r="L904" s="846"/>
      <c r="M904" s="1517"/>
      <c r="N904" s="846"/>
      <c r="O904" s="1517"/>
      <c r="P904" s="846"/>
      <c r="Q904" s="1296"/>
      <c r="R904" s="846"/>
      <c r="S904" s="846"/>
      <c r="T904" s="846"/>
    </row>
    <row r="905" ht="15.0" customHeight="1">
      <c r="A905" s="1296"/>
      <c r="B905" s="846"/>
      <c r="C905" s="1517"/>
      <c r="D905" s="846"/>
      <c r="E905" s="464" t="str">
        <f>IFERROR(VLOOKUP(B905,'03. THIẾT BỊ'!$B$1:$S$836,4,0),"")</f>
        <v/>
      </c>
      <c r="F905" s="846"/>
      <c r="G905" s="846"/>
      <c r="H905" s="846"/>
      <c r="I905" s="1296"/>
      <c r="J905" s="846"/>
      <c r="K905" s="1296"/>
      <c r="L905" s="846"/>
      <c r="M905" s="1517"/>
      <c r="N905" s="846"/>
      <c r="O905" s="1517"/>
      <c r="P905" s="846"/>
      <c r="Q905" s="1296"/>
      <c r="R905" s="846"/>
      <c r="S905" s="846"/>
      <c r="T905" s="846"/>
    </row>
    <row r="906" ht="15.0" customHeight="1">
      <c r="A906" s="1296"/>
      <c r="B906" s="846"/>
      <c r="C906" s="1517"/>
      <c r="D906" s="846"/>
      <c r="E906" s="464" t="str">
        <f>IFERROR(VLOOKUP(B906,'03. THIẾT BỊ'!$B$1:$S$836,4,0),"")</f>
        <v/>
      </c>
      <c r="F906" s="846"/>
      <c r="G906" s="846"/>
      <c r="H906" s="846"/>
      <c r="I906" s="1296"/>
      <c r="J906" s="846"/>
      <c r="K906" s="1296"/>
      <c r="L906" s="846"/>
      <c r="M906" s="1517"/>
      <c r="N906" s="846"/>
      <c r="O906" s="1517"/>
      <c r="P906" s="846"/>
      <c r="Q906" s="1296"/>
      <c r="R906" s="846"/>
      <c r="S906" s="846"/>
      <c r="T906" s="846"/>
    </row>
    <row r="907" ht="15.0" customHeight="1">
      <c r="A907" s="1296"/>
      <c r="B907" s="846"/>
      <c r="C907" s="1517"/>
      <c r="D907" s="846"/>
      <c r="E907" s="464" t="str">
        <f>IFERROR(VLOOKUP(B907,'03. THIẾT BỊ'!$B$1:$S$836,4,0),"")</f>
        <v/>
      </c>
      <c r="F907" s="846"/>
      <c r="G907" s="846"/>
      <c r="H907" s="846"/>
      <c r="I907" s="1296"/>
      <c r="J907" s="846"/>
      <c r="K907" s="1296"/>
      <c r="L907" s="846"/>
      <c r="M907" s="1517"/>
      <c r="N907" s="846"/>
      <c r="O907" s="1517"/>
      <c r="P907" s="846"/>
      <c r="Q907" s="1296"/>
      <c r="R907" s="846"/>
      <c r="S907" s="846"/>
      <c r="T907" s="846"/>
    </row>
    <row r="908" ht="15.0" customHeight="1">
      <c r="A908" s="1296"/>
      <c r="B908" s="846"/>
      <c r="C908" s="1517"/>
      <c r="D908" s="846"/>
      <c r="E908" s="464" t="str">
        <f>IFERROR(VLOOKUP(B908,'03. THIẾT BỊ'!$B$1:$S$836,4,0),"")</f>
        <v/>
      </c>
      <c r="F908" s="846"/>
      <c r="G908" s="846"/>
      <c r="H908" s="846"/>
      <c r="I908" s="1296"/>
      <c r="J908" s="846"/>
      <c r="K908" s="1296"/>
      <c r="L908" s="846"/>
      <c r="M908" s="1517"/>
      <c r="N908" s="846"/>
      <c r="O908" s="1517"/>
      <c r="P908" s="846"/>
      <c r="Q908" s="1296"/>
      <c r="R908" s="846"/>
      <c r="S908" s="846"/>
      <c r="T908" s="846"/>
    </row>
    <row r="909" ht="15.0" customHeight="1">
      <c r="A909" s="1296"/>
      <c r="B909" s="846"/>
      <c r="C909" s="1517"/>
      <c r="D909" s="846"/>
      <c r="E909" s="464" t="str">
        <f>IFERROR(VLOOKUP(B909,'03. THIẾT BỊ'!$B$1:$S$836,4,0),"")</f>
        <v/>
      </c>
      <c r="F909" s="846"/>
      <c r="G909" s="846"/>
      <c r="H909" s="846"/>
      <c r="I909" s="1296"/>
      <c r="J909" s="846"/>
      <c r="K909" s="1296"/>
      <c r="L909" s="846"/>
      <c r="M909" s="1517"/>
      <c r="N909" s="846"/>
      <c r="O909" s="1517"/>
      <c r="P909" s="846"/>
      <c r="Q909" s="1296"/>
      <c r="R909" s="846"/>
      <c r="S909" s="846"/>
      <c r="T909" s="846"/>
    </row>
    <row r="910" ht="15.0" customHeight="1">
      <c r="A910" s="1296"/>
      <c r="B910" s="846"/>
      <c r="C910" s="1517"/>
      <c r="D910" s="846"/>
      <c r="E910" s="464" t="str">
        <f>IFERROR(VLOOKUP(B910,'03. THIẾT BỊ'!$B$1:$S$836,4,0),"")</f>
        <v/>
      </c>
      <c r="F910" s="846"/>
      <c r="G910" s="846"/>
      <c r="H910" s="846"/>
      <c r="I910" s="1296"/>
      <c r="J910" s="846"/>
      <c r="K910" s="1296"/>
      <c r="L910" s="846"/>
      <c r="M910" s="1517"/>
      <c r="N910" s="846"/>
      <c r="O910" s="1517"/>
      <c r="P910" s="846"/>
      <c r="Q910" s="1296"/>
      <c r="R910" s="846"/>
      <c r="S910" s="846"/>
      <c r="T910" s="846"/>
    </row>
    <row r="911" ht="15.0" customHeight="1">
      <c r="A911" s="1296"/>
      <c r="B911" s="846"/>
      <c r="C911" s="1517"/>
      <c r="D911" s="846"/>
      <c r="E911" s="464" t="str">
        <f>IFERROR(VLOOKUP(B911,'03. THIẾT BỊ'!$B$1:$S$836,4,0),"")</f>
        <v/>
      </c>
      <c r="F911" s="846"/>
      <c r="G911" s="846"/>
      <c r="H911" s="846"/>
      <c r="I911" s="1296"/>
      <c r="J911" s="846"/>
      <c r="K911" s="1296"/>
      <c r="L911" s="846"/>
      <c r="M911" s="1517"/>
      <c r="N911" s="846"/>
      <c r="O911" s="1517"/>
      <c r="P911" s="846"/>
      <c r="Q911" s="1296"/>
      <c r="R911" s="846"/>
      <c r="S911" s="846"/>
      <c r="T911" s="846"/>
    </row>
    <row r="912" ht="15.0" customHeight="1">
      <c r="A912" s="1296"/>
      <c r="B912" s="846"/>
      <c r="C912" s="1517"/>
      <c r="D912" s="846"/>
      <c r="E912" s="464" t="str">
        <f>IFERROR(VLOOKUP(B912,'03. THIẾT BỊ'!$B$1:$S$836,4,0),"")</f>
        <v/>
      </c>
      <c r="F912" s="846"/>
      <c r="G912" s="846"/>
      <c r="H912" s="846"/>
      <c r="I912" s="1296"/>
      <c r="J912" s="846"/>
      <c r="K912" s="1296"/>
      <c r="L912" s="846"/>
      <c r="M912" s="1517"/>
      <c r="N912" s="846"/>
      <c r="O912" s="1517"/>
      <c r="P912" s="846"/>
      <c r="Q912" s="1296"/>
      <c r="R912" s="846"/>
      <c r="S912" s="846"/>
      <c r="T912" s="846"/>
    </row>
    <row r="913" ht="15.0" customHeight="1">
      <c r="A913" s="1296"/>
      <c r="B913" s="846"/>
      <c r="C913" s="1517"/>
      <c r="D913" s="846"/>
      <c r="E913" s="464" t="str">
        <f>IFERROR(VLOOKUP(B913,'03. THIẾT BỊ'!$B$1:$S$836,4,0),"")</f>
        <v/>
      </c>
      <c r="F913" s="846"/>
      <c r="G913" s="846"/>
      <c r="H913" s="846"/>
      <c r="I913" s="1296"/>
      <c r="J913" s="846"/>
      <c r="K913" s="1296"/>
      <c r="L913" s="846"/>
      <c r="M913" s="1517"/>
      <c r="N913" s="846"/>
      <c r="O913" s="1517"/>
      <c r="P913" s="846"/>
      <c r="Q913" s="1296"/>
      <c r="R913" s="846"/>
      <c r="S913" s="846"/>
      <c r="T913" s="846"/>
    </row>
    <row r="914" ht="15.0" customHeight="1">
      <c r="A914" s="1296"/>
      <c r="B914" s="846"/>
      <c r="C914" s="1517"/>
      <c r="D914" s="846"/>
      <c r="E914" s="464" t="str">
        <f>IFERROR(VLOOKUP(B914,'03. THIẾT BỊ'!$B$1:$S$836,4,0),"")</f>
        <v/>
      </c>
      <c r="F914" s="846"/>
      <c r="G914" s="846"/>
      <c r="H914" s="846"/>
      <c r="I914" s="1296"/>
      <c r="J914" s="846"/>
      <c r="K914" s="1296"/>
      <c r="L914" s="846"/>
      <c r="M914" s="1517"/>
      <c r="N914" s="846"/>
      <c r="O914" s="1517"/>
      <c r="P914" s="846"/>
      <c r="Q914" s="1296"/>
      <c r="R914" s="846"/>
      <c r="S914" s="846"/>
      <c r="T914" s="846"/>
    </row>
    <row r="915" ht="15.0" customHeight="1">
      <c r="A915" s="1296"/>
      <c r="B915" s="846"/>
      <c r="C915" s="1517"/>
      <c r="D915" s="846"/>
      <c r="E915" s="464" t="str">
        <f>IFERROR(VLOOKUP(B915,'03. THIẾT BỊ'!$B$1:$S$836,4,0),"")</f>
        <v/>
      </c>
      <c r="F915" s="846"/>
      <c r="G915" s="846"/>
      <c r="H915" s="846"/>
      <c r="I915" s="1296"/>
      <c r="J915" s="846"/>
      <c r="K915" s="1296"/>
      <c r="L915" s="846"/>
      <c r="M915" s="1517"/>
      <c r="N915" s="846"/>
      <c r="O915" s="1517"/>
      <c r="P915" s="846"/>
      <c r="Q915" s="1296"/>
      <c r="R915" s="846"/>
      <c r="S915" s="846"/>
      <c r="T915" s="846"/>
    </row>
    <row r="916" ht="15.0" customHeight="1">
      <c r="A916" s="1296"/>
      <c r="B916" s="846"/>
      <c r="C916" s="1517"/>
      <c r="D916" s="846"/>
      <c r="E916" s="464" t="str">
        <f>IFERROR(VLOOKUP(B916,'03. THIẾT BỊ'!$B$1:$S$836,4,0),"")</f>
        <v/>
      </c>
      <c r="F916" s="846"/>
      <c r="G916" s="846"/>
      <c r="H916" s="846"/>
      <c r="I916" s="1296"/>
      <c r="J916" s="846"/>
      <c r="K916" s="1296"/>
      <c r="L916" s="846"/>
      <c r="M916" s="1517"/>
      <c r="N916" s="846"/>
      <c r="O916" s="1517"/>
      <c r="P916" s="846"/>
      <c r="Q916" s="1296"/>
      <c r="R916" s="846"/>
      <c r="S916" s="846"/>
      <c r="T916" s="846"/>
    </row>
    <row r="917" ht="15.0" customHeight="1">
      <c r="A917" s="1296"/>
      <c r="B917" s="846"/>
      <c r="C917" s="1517"/>
      <c r="D917" s="846"/>
      <c r="E917" s="464" t="str">
        <f>IFERROR(VLOOKUP(B917,'03. THIẾT BỊ'!$B$1:$S$836,4,0),"")</f>
        <v/>
      </c>
      <c r="F917" s="846"/>
      <c r="G917" s="846"/>
      <c r="H917" s="846"/>
      <c r="I917" s="1296"/>
      <c r="J917" s="846"/>
      <c r="K917" s="1296"/>
      <c r="L917" s="846"/>
      <c r="M917" s="1517"/>
      <c r="N917" s="846"/>
      <c r="O917" s="1517"/>
      <c r="P917" s="846"/>
      <c r="Q917" s="1296"/>
      <c r="R917" s="846"/>
      <c r="S917" s="846"/>
      <c r="T917" s="846"/>
    </row>
    <row r="918" ht="15.0" customHeight="1">
      <c r="A918" s="1296"/>
      <c r="B918" s="846"/>
      <c r="C918" s="1517"/>
      <c r="D918" s="846"/>
      <c r="E918" s="464" t="str">
        <f>IFERROR(VLOOKUP(B918,'03. THIẾT BỊ'!$B$1:$S$836,4,0),"")</f>
        <v/>
      </c>
      <c r="F918" s="846"/>
      <c r="G918" s="846"/>
      <c r="H918" s="846"/>
      <c r="I918" s="1296"/>
      <c r="J918" s="846"/>
      <c r="K918" s="1296"/>
      <c r="L918" s="846"/>
      <c r="M918" s="1517"/>
      <c r="N918" s="846"/>
      <c r="O918" s="1517"/>
      <c r="P918" s="846"/>
      <c r="Q918" s="1296"/>
      <c r="R918" s="846"/>
      <c r="S918" s="846"/>
      <c r="T918" s="846"/>
    </row>
    <row r="919" ht="15.0" customHeight="1">
      <c r="A919" s="1296"/>
      <c r="B919" s="846"/>
      <c r="C919" s="1517"/>
      <c r="D919" s="846"/>
      <c r="E919" s="464" t="str">
        <f>IFERROR(VLOOKUP(B919,'03. THIẾT BỊ'!$B$1:$S$836,4,0),"")</f>
        <v/>
      </c>
      <c r="F919" s="846"/>
      <c r="G919" s="846"/>
      <c r="H919" s="846"/>
      <c r="I919" s="1296"/>
      <c r="J919" s="846"/>
      <c r="K919" s="1296"/>
      <c r="L919" s="846"/>
      <c r="M919" s="1517"/>
      <c r="N919" s="846"/>
      <c r="O919" s="1517"/>
      <c r="P919" s="846"/>
      <c r="Q919" s="1296"/>
      <c r="R919" s="846"/>
      <c r="S919" s="846"/>
      <c r="T919" s="846"/>
    </row>
    <row r="920" ht="15.0" customHeight="1">
      <c r="A920" s="1296"/>
      <c r="B920" s="846"/>
      <c r="C920" s="1517"/>
      <c r="D920" s="846"/>
      <c r="E920" s="464" t="str">
        <f>IFERROR(VLOOKUP(B920,'03. THIẾT BỊ'!$B$1:$S$836,4,0),"")</f>
        <v/>
      </c>
      <c r="F920" s="846"/>
      <c r="G920" s="846"/>
      <c r="H920" s="846"/>
      <c r="I920" s="1296"/>
      <c r="J920" s="846"/>
      <c r="K920" s="1296"/>
      <c r="L920" s="846"/>
      <c r="M920" s="1517"/>
      <c r="N920" s="846"/>
      <c r="O920" s="1517"/>
      <c r="P920" s="846"/>
      <c r="Q920" s="1296"/>
      <c r="R920" s="846"/>
      <c r="S920" s="846"/>
      <c r="T920" s="846"/>
    </row>
    <row r="921" ht="15.0" customHeight="1">
      <c r="A921" s="1296"/>
      <c r="B921" s="846"/>
      <c r="C921" s="1517"/>
      <c r="D921" s="846"/>
      <c r="E921" s="464" t="str">
        <f>IFERROR(VLOOKUP(B921,'03. THIẾT BỊ'!$B$1:$S$836,4,0),"")</f>
        <v/>
      </c>
      <c r="F921" s="846"/>
      <c r="G921" s="846"/>
      <c r="H921" s="846"/>
      <c r="I921" s="1296"/>
      <c r="J921" s="846"/>
      <c r="K921" s="1296"/>
      <c r="L921" s="846"/>
      <c r="M921" s="1517"/>
      <c r="N921" s="846"/>
      <c r="O921" s="1517"/>
      <c r="P921" s="846"/>
      <c r="Q921" s="1296"/>
      <c r="R921" s="846"/>
      <c r="S921" s="846"/>
      <c r="T921" s="846"/>
    </row>
    <row r="922" ht="15.0" customHeight="1">
      <c r="A922" s="1296"/>
      <c r="B922" s="846"/>
      <c r="C922" s="1517"/>
      <c r="D922" s="846"/>
      <c r="E922" s="464" t="str">
        <f>IFERROR(VLOOKUP(B922,'03. THIẾT BỊ'!$B$1:$S$836,4,0),"")</f>
        <v/>
      </c>
      <c r="F922" s="846"/>
      <c r="G922" s="846"/>
      <c r="H922" s="846"/>
      <c r="I922" s="1296"/>
      <c r="J922" s="846"/>
      <c r="K922" s="1296"/>
      <c r="L922" s="846"/>
      <c r="M922" s="1517"/>
      <c r="N922" s="846"/>
      <c r="O922" s="1517"/>
      <c r="P922" s="846"/>
      <c r="Q922" s="1296"/>
      <c r="R922" s="846"/>
      <c r="S922" s="846"/>
      <c r="T922" s="846"/>
    </row>
    <row r="923" ht="15.0" customHeight="1">
      <c r="A923" s="1296"/>
      <c r="B923" s="846"/>
      <c r="C923" s="1517"/>
      <c r="D923" s="846"/>
      <c r="E923" s="464" t="str">
        <f>IFERROR(VLOOKUP(B923,'03. THIẾT BỊ'!$B$1:$S$836,4,0),"")</f>
        <v/>
      </c>
      <c r="F923" s="846"/>
      <c r="G923" s="846"/>
      <c r="H923" s="846"/>
      <c r="I923" s="1296"/>
      <c r="J923" s="846"/>
      <c r="K923" s="1296"/>
      <c r="L923" s="846"/>
      <c r="M923" s="1517"/>
      <c r="N923" s="846"/>
      <c r="O923" s="1517"/>
      <c r="P923" s="846"/>
      <c r="Q923" s="1296"/>
      <c r="R923" s="846"/>
      <c r="S923" s="846"/>
      <c r="T923" s="846"/>
    </row>
    <row r="924" ht="15.0" customHeight="1">
      <c r="A924" s="1296"/>
      <c r="B924" s="846"/>
      <c r="C924" s="1517"/>
      <c r="D924" s="846"/>
      <c r="E924" s="464" t="str">
        <f>IFERROR(VLOOKUP(B924,'03. THIẾT BỊ'!$B$1:$S$836,4,0),"")</f>
        <v/>
      </c>
      <c r="F924" s="846"/>
      <c r="G924" s="846"/>
      <c r="H924" s="846"/>
      <c r="I924" s="1296"/>
      <c r="J924" s="846"/>
      <c r="K924" s="1296"/>
      <c r="L924" s="846"/>
      <c r="M924" s="1517"/>
      <c r="N924" s="846"/>
      <c r="O924" s="1517"/>
      <c r="P924" s="846"/>
      <c r="Q924" s="1296"/>
      <c r="R924" s="846"/>
      <c r="S924" s="846"/>
      <c r="T924" s="846"/>
    </row>
    <row r="925" ht="15.0" customHeight="1">
      <c r="A925" s="1296"/>
      <c r="B925" s="846"/>
      <c r="C925" s="1517"/>
      <c r="D925" s="846"/>
      <c r="E925" s="464" t="str">
        <f>IFERROR(VLOOKUP(B925,'03. THIẾT BỊ'!$B$1:$S$836,4,0),"")</f>
        <v/>
      </c>
      <c r="F925" s="846"/>
      <c r="G925" s="846"/>
      <c r="H925" s="846"/>
      <c r="I925" s="1296"/>
      <c r="J925" s="846"/>
      <c r="K925" s="1296"/>
      <c r="L925" s="846"/>
      <c r="M925" s="1517"/>
      <c r="N925" s="846"/>
      <c r="O925" s="1517"/>
      <c r="P925" s="846"/>
      <c r="Q925" s="1296"/>
      <c r="R925" s="846"/>
      <c r="S925" s="846"/>
      <c r="T925" s="846"/>
    </row>
    <row r="926" ht="15.0" customHeight="1">
      <c r="A926" s="1296"/>
      <c r="B926" s="846"/>
      <c r="C926" s="1517"/>
      <c r="D926" s="846"/>
      <c r="E926" s="464" t="str">
        <f>IFERROR(VLOOKUP(B926,'03. THIẾT BỊ'!$B$1:$S$836,4,0),"")</f>
        <v/>
      </c>
      <c r="F926" s="846"/>
      <c r="G926" s="846"/>
      <c r="H926" s="846"/>
      <c r="I926" s="1296"/>
      <c r="J926" s="846"/>
      <c r="K926" s="1296"/>
      <c r="L926" s="846"/>
      <c r="M926" s="1517"/>
      <c r="N926" s="846"/>
      <c r="O926" s="1517"/>
      <c r="P926" s="846"/>
      <c r="Q926" s="1296"/>
      <c r="R926" s="846"/>
      <c r="S926" s="846"/>
      <c r="T926" s="846"/>
    </row>
    <row r="927" ht="15.0" customHeight="1">
      <c r="A927" s="1296"/>
      <c r="B927" s="846"/>
      <c r="C927" s="1517"/>
      <c r="D927" s="846"/>
      <c r="E927" s="464" t="str">
        <f>IFERROR(VLOOKUP(B927,'03. THIẾT BỊ'!$B$1:$S$836,4,0),"")</f>
        <v/>
      </c>
      <c r="F927" s="846"/>
      <c r="G927" s="846"/>
      <c r="H927" s="846"/>
      <c r="I927" s="1296"/>
      <c r="J927" s="846"/>
      <c r="K927" s="1296"/>
      <c r="L927" s="846"/>
      <c r="M927" s="1517"/>
      <c r="N927" s="846"/>
      <c r="O927" s="1517"/>
      <c r="P927" s="846"/>
      <c r="Q927" s="1296"/>
      <c r="R927" s="846"/>
      <c r="S927" s="846"/>
      <c r="T927" s="846"/>
    </row>
    <row r="928" ht="15.0" customHeight="1">
      <c r="A928" s="1296"/>
      <c r="B928" s="846"/>
      <c r="C928" s="1517"/>
      <c r="D928" s="846"/>
      <c r="E928" s="464" t="str">
        <f>IFERROR(VLOOKUP(B928,'03. THIẾT BỊ'!$B$1:$S$836,4,0),"")</f>
        <v/>
      </c>
      <c r="F928" s="846"/>
      <c r="G928" s="846"/>
      <c r="H928" s="846"/>
      <c r="I928" s="1296"/>
      <c r="J928" s="846"/>
      <c r="K928" s="1296"/>
      <c r="L928" s="846"/>
      <c r="M928" s="1517"/>
      <c r="N928" s="846"/>
      <c r="O928" s="1517"/>
      <c r="P928" s="846"/>
      <c r="Q928" s="1296"/>
      <c r="R928" s="846"/>
      <c r="S928" s="846"/>
      <c r="T928" s="846"/>
    </row>
    <row r="929" ht="15.0" customHeight="1">
      <c r="A929" s="1296"/>
      <c r="B929" s="846"/>
      <c r="C929" s="1517"/>
      <c r="D929" s="846"/>
      <c r="E929" s="464" t="str">
        <f>IFERROR(VLOOKUP(B929,'03. THIẾT BỊ'!$B$1:$S$836,4,0),"")</f>
        <v/>
      </c>
      <c r="F929" s="846"/>
      <c r="G929" s="846"/>
      <c r="H929" s="846"/>
      <c r="I929" s="1296"/>
      <c r="J929" s="846"/>
      <c r="K929" s="1296"/>
      <c r="L929" s="846"/>
      <c r="M929" s="1517"/>
      <c r="N929" s="846"/>
      <c r="O929" s="1517"/>
      <c r="P929" s="846"/>
      <c r="Q929" s="1296"/>
      <c r="R929" s="846"/>
      <c r="S929" s="846"/>
      <c r="T929" s="846"/>
    </row>
    <row r="930" ht="15.0" customHeight="1">
      <c r="A930" s="1296"/>
      <c r="B930" s="846"/>
      <c r="C930" s="1517"/>
      <c r="D930" s="846"/>
      <c r="E930" s="464" t="str">
        <f>IFERROR(VLOOKUP(B930,'03. THIẾT BỊ'!$B$1:$S$836,4,0),"")</f>
        <v/>
      </c>
      <c r="F930" s="846"/>
      <c r="G930" s="846"/>
      <c r="H930" s="846"/>
      <c r="I930" s="1296"/>
      <c r="J930" s="846"/>
      <c r="K930" s="1296"/>
      <c r="L930" s="846"/>
      <c r="M930" s="1517"/>
      <c r="N930" s="846"/>
      <c r="O930" s="1517"/>
      <c r="P930" s="846"/>
      <c r="Q930" s="1296"/>
      <c r="R930" s="846"/>
      <c r="S930" s="846"/>
      <c r="T930" s="846"/>
    </row>
    <row r="931" ht="15.0" customHeight="1">
      <c r="A931" s="1296"/>
      <c r="B931" s="846"/>
      <c r="C931" s="1517"/>
      <c r="D931" s="846"/>
      <c r="E931" s="464" t="str">
        <f>IFERROR(VLOOKUP(B931,'03. THIẾT BỊ'!$B$1:$S$836,4,0),"")</f>
        <v/>
      </c>
      <c r="F931" s="846"/>
      <c r="G931" s="846"/>
      <c r="H931" s="846"/>
      <c r="I931" s="1296"/>
      <c r="J931" s="846"/>
      <c r="K931" s="1296"/>
      <c r="L931" s="846"/>
      <c r="M931" s="1517"/>
      <c r="N931" s="846"/>
      <c r="O931" s="1517"/>
      <c r="P931" s="846"/>
      <c r="Q931" s="1296"/>
      <c r="R931" s="846"/>
      <c r="S931" s="846"/>
      <c r="T931" s="846"/>
    </row>
    <row r="932" ht="15.0" customHeight="1">
      <c r="A932" s="1296"/>
      <c r="B932" s="846"/>
      <c r="C932" s="1517"/>
      <c r="D932" s="846"/>
      <c r="E932" s="464" t="str">
        <f>IFERROR(VLOOKUP(B932,'03. THIẾT BỊ'!$B$1:$S$836,4,0),"")</f>
        <v/>
      </c>
      <c r="F932" s="846"/>
      <c r="G932" s="846"/>
      <c r="H932" s="846"/>
      <c r="I932" s="1296"/>
      <c r="J932" s="846"/>
      <c r="K932" s="1296"/>
      <c r="L932" s="846"/>
      <c r="M932" s="1517"/>
      <c r="N932" s="846"/>
      <c r="O932" s="1517"/>
      <c r="P932" s="846"/>
      <c r="Q932" s="1296"/>
      <c r="R932" s="846"/>
      <c r="S932" s="846"/>
      <c r="T932" s="846"/>
    </row>
    <row r="933" ht="15.0" customHeight="1">
      <c r="A933" s="1296"/>
      <c r="B933" s="846"/>
      <c r="C933" s="1517"/>
      <c r="D933" s="846"/>
      <c r="E933" s="464" t="str">
        <f>IFERROR(VLOOKUP(B933,'03. THIẾT BỊ'!$B$1:$S$836,4,0),"")</f>
        <v/>
      </c>
      <c r="F933" s="846"/>
      <c r="G933" s="846"/>
      <c r="H933" s="846"/>
      <c r="I933" s="1296"/>
      <c r="J933" s="846"/>
      <c r="K933" s="1296"/>
      <c r="L933" s="846"/>
      <c r="M933" s="1517"/>
      <c r="N933" s="846"/>
      <c r="O933" s="1517"/>
      <c r="P933" s="846"/>
      <c r="Q933" s="1296"/>
      <c r="R933" s="846"/>
      <c r="S933" s="846"/>
      <c r="T933" s="846"/>
    </row>
    <row r="934" ht="15.0" customHeight="1">
      <c r="A934" s="1296"/>
      <c r="B934" s="846"/>
      <c r="C934" s="1517"/>
      <c r="D934" s="846"/>
      <c r="E934" s="464" t="str">
        <f>IFERROR(VLOOKUP(B934,'03. THIẾT BỊ'!$B$1:$S$836,4,0),"")</f>
        <v/>
      </c>
      <c r="F934" s="846"/>
      <c r="G934" s="846"/>
      <c r="H934" s="846"/>
      <c r="I934" s="1296"/>
      <c r="J934" s="846"/>
      <c r="K934" s="1296"/>
      <c r="L934" s="846"/>
      <c r="M934" s="1517"/>
      <c r="N934" s="846"/>
      <c r="O934" s="1517"/>
      <c r="P934" s="846"/>
      <c r="Q934" s="1296"/>
      <c r="R934" s="846"/>
      <c r="S934" s="846"/>
      <c r="T934" s="846"/>
    </row>
    <row r="935" ht="15.0" customHeight="1">
      <c r="A935" s="1296"/>
      <c r="B935" s="846"/>
      <c r="C935" s="1517"/>
      <c r="D935" s="846"/>
      <c r="E935" s="464" t="str">
        <f>IFERROR(VLOOKUP(B935,'03. THIẾT BỊ'!$B$1:$S$836,4,0),"")</f>
        <v/>
      </c>
      <c r="F935" s="846"/>
      <c r="G935" s="846"/>
      <c r="H935" s="846"/>
      <c r="I935" s="1296"/>
      <c r="J935" s="846"/>
      <c r="K935" s="1296"/>
      <c r="L935" s="846"/>
      <c r="M935" s="1517"/>
      <c r="N935" s="846"/>
      <c r="O935" s="1517"/>
      <c r="P935" s="846"/>
      <c r="Q935" s="1296"/>
      <c r="R935" s="846"/>
      <c r="S935" s="846"/>
      <c r="T935" s="846"/>
    </row>
    <row r="936" ht="15.0" customHeight="1">
      <c r="A936" s="1296"/>
      <c r="B936" s="846"/>
      <c r="C936" s="1517"/>
      <c r="D936" s="846"/>
      <c r="E936" s="464" t="str">
        <f>IFERROR(VLOOKUP(B936,'03. THIẾT BỊ'!$B$1:$S$836,4,0),"")</f>
        <v/>
      </c>
      <c r="F936" s="846"/>
      <c r="G936" s="846"/>
      <c r="H936" s="846"/>
      <c r="I936" s="1296"/>
      <c r="J936" s="846"/>
      <c r="K936" s="1296"/>
      <c r="L936" s="846"/>
      <c r="M936" s="1517"/>
      <c r="N936" s="846"/>
      <c r="O936" s="1517"/>
      <c r="P936" s="846"/>
      <c r="Q936" s="1296"/>
      <c r="R936" s="846"/>
      <c r="S936" s="846"/>
      <c r="T936" s="846"/>
    </row>
    <row r="937" ht="15.0" customHeight="1">
      <c r="A937" s="1296"/>
      <c r="B937" s="846"/>
      <c r="C937" s="1517"/>
      <c r="D937" s="846"/>
      <c r="E937" s="464" t="str">
        <f>IFERROR(VLOOKUP(B937,'03. THIẾT BỊ'!$B$1:$S$836,4,0),"")</f>
        <v/>
      </c>
      <c r="F937" s="846"/>
      <c r="G937" s="846"/>
      <c r="H937" s="846"/>
      <c r="I937" s="1296"/>
      <c r="J937" s="846"/>
      <c r="K937" s="1296"/>
      <c r="L937" s="846"/>
      <c r="M937" s="1517"/>
      <c r="N937" s="846"/>
      <c r="O937" s="1517"/>
      <c r="P937" s="846"/>
      <c r="Q937" s="1296"/>
      <c r="R937" s="846"/>
      <c r="S937" s="846"/>
      <c r="T937" s="846"/>
    </row>
    <row r="938" ht="15.0" customHeight="1">
      <c r="A938" s="1296"/>
      <c r="B938" s="846"/>
      <c r="C938" s="1517"/>
      <c r="D938" s="846"/>
      <c r="E938" s="464" t="str">
        <f>IFERROR(VLOOKUP(B938,'03. THIẾT BỊ'!$B$1:$S$836,4,0),"")</f>
        <v/>
      </c>
      <c r="F938" s="846"/>
      <c r="G938" s="846"/>
      <c r="H938" s="846"/>
      <c r="I938" s="1296"/>
      <c r="J938" s="846"/>
      <c r="K938" s="1296"/>
      <c r="L938" s="846"/>
      <c r="M938" s="1517"/>
      <c r="N938" s="846"/>
      <c r="O938" s="1517"/>
      <c r="P938" s="846"/>
      <c r="Q938" s="1296"/>
      <c r="R938" s="846"/>
      <c r="S938" s="846"/>
      <c r="T938" s="846"/>
    </row>
    <row r="939" ht="15.0" customHeight="1">
      <c r="A939" s="1296"/>
      <c r="B939" s="846"/>
      <c r="C939" s="1517"/>
      <c r="D939" s="846"/>
      <c r="E939" s="464" t="str">
        <f>IFERROR(VLOOKUP(B939,'03. THIẾT BỊ'!$B$1:$S$836,4,0),"")</f>
        <v/>
      </c>
      <c r="F939" s="846"/>
      <c r="G939" s="846"/>
      <c r="H939" s="846"/>
      <c r="I939" s="1296"/>
      <c r="J939" s="846"/>
      <c r="K939" s="1296"/>
      <c r="L939" s="846"/>
      <c r="M939" s="1517"/>
      <c r="N939" s="846"/>
      <c r="O939" s="1517"/>
      <c r="P939" s="846"/>
      <c r="Q939" s="1296"/>
      <c r="R939" s="846"/>
      <c r="S939" s="846"/>
      <c r="T939" s="846"/>
    </row>
    <row r="940" ht="15.0" customHeight="1">
      <c r="A940" s="1296"/>
      <c r="B940" s="846"/>
      <c r="C940" s="1517"/>
      <c r="D940" s="846"/>
      <c r="E940" s="464" t="str">
        <f>IFERROR(VLOOKUP(B940,'03. THIẾT BỊ'!$B$1:$S$836,4,0),"")</f>
        <v/>
      </c>
      <c r="F940" s="846"/>
      <c r="G940" s="846"/>
      <c r="H940" s="846"/>
      <c r="I940" s="1296"/>
      <c r="J940" s="846"/>
      <c r="K940" s="1296"/>
      <c r="L940" s="846"/>
      <c r="M940" s="1517"/>
      <c r="N940" s="846"/>
      <c r="O940" s="1517"/>
      <c r="P940" s="846"/>
      <c r="Q940" s="1296"/>
      <c r="R940" s="846"/>
      <c r="S940" s="846"/>
      <c r="T940" s="846"/>
    </row>
    <row r="941" ht="15.0" customHeight="1">
      <c r="A941" s="1296"/>
      <c r="B941" s="846"/>
      <c r="C941" s="1517"/>
      <c r="D941" s="846"/>
      <c r="E941" s="464" t="str">
        <f>IFERROR(VLOOKUP(B941,'03. THIẾT BỊ'!$B$1:$S$836,4,0),"")</f>
        <v/>
      </c>
      <c r="F941" s="846"/>
      <c r="G941" s="846"/>
      <c r="H941" s="846"/>
      <c r="I941" s="1296"/>
      <c r="J941" s="846"/>
      <c r="K941" s="1296"/>
      <c r="L941" s="846"/>
      <c r="M941" s="1517"/>
      <c r="N941" s="846"/>
      <c r="O941" s="1517"/>
      <c r="P941" s="846"/>
      <c r="Q941" s="1296"/>
      <c r="R941" s="846"/>
      <c r="S941" s="846"/>
      <c r="T941" s="846"/>
    </row>
    <row r="942" ht="15.0" customHeight="1">
      <c r="A942" s="1296"/>
      <c r="B942" s="846"/>
      <c r="C942" s="1517"/>
      <c r="D942" s="846"/>
      <c r="E942" s="464" t="str">
        <f>IFERROR(VLOOKUP(B942,'03. THIẾT BỊ'!$B$1:$S$836,4,0),"")</f>
        <v/>
      </c>
      <c r="F942" s="846"/>
      <c r="G942" s="846"/>
      <c r="H942" s="846"/>
      <c r="I942" s="1296"/>
      <c r="J942" s="846"/>
      <c r="K942" s="1296"/>
      <c r="L942" s="846"/>
      <c r="M942" s="1517"/>
      <c r="N942" s="846"/>
      <c r="O942" s="1517"/>
      <c r="P942" s="846"/>
      <c r="Q942" s="1296"/>
      <c r="R942" s="846"/>
      <c r="S942" s="846"/>
      <c r="T942" s="846"/>
    </row>
    <row r="943" ht="15.0" customHeight="1">
      <c r="A943" s="1296"/>
      <c r="B943" s="846"/>
      <c r="C943" s="1517"/>
      <c r="D943" s="846"/>
      <c r="E943" s="464" t="str">
        <f>IFERROR(VLOOKUP(B943,'03. THIẾT BỊ'!$B$1:$S$836,4,0),"")</f>
        <v/>
      </c>
      <c r="F943" s="846"/>
      <c r="G943" s="846"/>
      <c r="H943" s="846"/>
      <c r="I943" s="1296"/>
      <c r="J943" s="846"/>
      <c r="K943" s="1296"/>
      <c r="L943" s="846"/>
      <c r="M943" s="1517"/>
      <c r="N943" s="846"/>
      <c r="O943" s="1517"/>
      <c r="P943" s="846"/>
      <c r="Q943" s="1296"/>
      <c r="R943" s="846"/>
      <c r="S943" s="846"/>
      <c r="T943" s="846"/>
    </row>
    <row r="944" ht="15.0" customHeight="1">
      <c r="A944" s="1296"/>
      <c r="B944" s="846"/>
      <c r="C944" s="1517"/>
      <c r="D944" s="846"/>
      <c r="E944" s="464" t="str">
        <f>IFERROR(VLOOKUP(B944,'03. THIẾT BỊ'!$B$1:$S$836,4,0),"")</f>
        <v/>
      </c>
      <c r="F944" s="846"/>
      <c r="G944" s="846"/>
      <c r="H944" s="846"/>
      <c r="I944" s="1296"/>
      <c r="J944" s="846"/>
      <c r="K944" s="1296"/>
      <c r="L944" s="846"/>
      <c r="M944" s="1517"/>
      <c r="N944" s="846"/>
      <c r="O944" s="1517"/>
      <c r="P944" s="846"/>
      <c r="Q944" s="1296"/>
      <c r="R944" s="846"/>
      <c r="S944" s="846"/>
      <c r="T944" s="846"/>
    </row>
    <row r="945" ht="15.0" customHeight="1">
      <c r="A945" s="1296"/>
      <c r="B945" s="846"/>
      <c r="C945" s="1517"/>
      <c r="D945" s="846"/>
      <c r="E945" s="464" t="str">
        <f>IFERROR(VLOOKUP(B945,'03. THIẾT BỊ'!$B$1:$S$836,4,0),"")</f>
        <v/>
      </c>
      <c r="F945" s="846"/>
      <c r="G945" s="846"/>
      <c r="H945" s="846"/>
      <c r="I945" s="1296"/>
      <c r="J945" s="846"/>
      <c r="K945" s="1296"/>
      <c r="L945" s="846"/>
      <c r="M945" s="1517"/>
      <c r="N945" s="846"/>
      <c r="O945" s="1517"/>
      <c r="P945" s="846"/>
      <c r="Q945" s="1296"/>
      <c r="R945" s="846"/>
      <c r="S945" s="846"/>
      <c r="T945" s="846"/>
    </row>
    <row r="946" ht="15.0" customHeight="1">
      <c r="A946" s="1296"/>
      <c r="B946" s="846"/>
      <c r="C946" s="1517"/>
      <c r="D946" s="846"/>
      <c r="E946" s="464" t="str">
        <f>IFERROR(VLOOKUP(B946,'03. THIẾT BỊ'!$B$1:$S$836,4,0),"")</f>
        <v/>
      </c>
      <c r="F946" s="846"/>
      <c r="G946" s="846"/>
      <c r="H946" s="846"/>
      <c r="I946" s="1296"/>
      <c r="J946" s="846"/>
      <c r="K946" s="1296"/>
      <c r="L946" s="846"/>
      <c r="M946" s="1517"/>
      <c r="N946" s="846"/>
      <c r="O946" s="1517"/>
      <c r="P946" s="846"/>
      <c r="Q946" s="1296"/>
      <c r="R946" s="846"/>
      <c r="S946" s="846"/>
      <c r="T946" s="846"/>
    </row>
    <row r="947" ht="15.0" customHeight="1">
      <c r="A947" s="1296"/>
      <c r="B947" s="846"/>
      <c r="C947" s="1517"/>
      <c r="D947" s="846"/>
      <c r="E947" s="464" t="str">
        <f>IFERROR(VLOOKUP(B947,'03. THIẾT BỊ'!$B$1:$S$836,4,0),"")</f>
        <v/>
      </c>
      <c r="F947" s="846"/>
      <c r="G947" s="846"/>
      <c r="H947" s="846"/>
      <c r="I947" s="1296"/>
      <c r="J947" s="846"/>
      <c r="K947" s="1296"/>
      <c r="L947" s="846"/>
      <c r="M947" s="1517"/>
      <c r="N947" s="846"/>
      <c r="O947" s="1517"/>
      <c r="P947" s="846"/>
      <c r="Q947" s="1296"/>
      <c r="R947" s="846"/>
      <c r="S947" s="846"/>
      <c r="T947" s="846"/>
    </row>
    <row r="948" ht="15.0" customHeight="1">
      <c r="A948" s="1296"/>
      <c r="B948" s="846"/>
      <c r="C948" s="1517"/>
      <c r="D948" s="846"/>
      <c r="E948" s="464" t="str">
        <f>IFERROR(VLOOKUP(B948,'03. THIẾT BỊ'!$B$1:$S$836,4,0),"")</f>
        <v/>
      </c>
      <c r="F948" s="846"/>
      <c r="G948" s="846"/>
      <c r="H948" s="846"/>
      <c r="I948" s="1296"/>
      <c r="J948" s="846"/>
      <c r="K948" s="1296"/>
      <c r="L948" s="846"/>
      <c r="M948" s="1517"/>
      <c r="N948" s="846"/>
      <c r="O948" s="1517"/>
      <c r="P948" s="846"/>
      <c r="Q948" s="1296"/>
      <c r="R948" s="846"/>
      <c r="S948" s="846"/>
      <c r="T948" s="846"/>
    </row>
    <row r="949" ht="15.0" customHeight="1">
      <c r="A949" s="1296"/>
      <c r="B949" s="846"/>
      <c r="C949" s="1517"/>
      <c r="D949" s="846"/>
      <c r="E949" s="846"/>
      <c r="F949" s="846"/>
      <c r="G949" s="846"/>
      <c r="H949" s="846"/>
      <c r="I949" s="1296"/>
      <c r="J949" s="846"/>
      <c r="K949" s="1296"/>
      <c r="L949" s="846"/>
      <c r="M949" s="1517"/>
      <c r="N949" s="846"/>
      <c r="O949" s="1517"/>
      <c r="P949" s="846"/>
      <c r="Q949" s="1296"/>
      <c r="R949" s="846"/>
      <c r="S949" s="846"/>
      <c r="T949" s="846"/>
    </row>
    <row r="950" ht="15.0" customHeight="1">
      <c r="A950" s="1296"/>
      <c r="B950" s="846"/>
      <c r="C950" s="1517"/>
      <c r="D950" s="846"/>
      <c r="E950" s="846"/>
      <c r="F950" s="846"/>
      <c r="G950" s="846"/>
      <c r="H950" s="846"/>
      <c r="I950" s="1296"/>
      <c r="J950" s="846"/>
      <c r="K950" s="1296"/>
      <c r="L950" s="846"/>
      <c r="M950" s="1517"/>
      <c r="N950" s="846"/>
      <c r="O950" s="1517"/>
      <c r="P950" s="846"/>
      <c r="Q950" s="1296"/>
      <c r="R950" s="846"/>
      <c r="S950" s="846"/>
      <c r="T950" s="846"/>
    </row>
    <row r="951" ht="15.0" customHeight="1">
      <c r="A951" s="1296"/>
      <c r="B951" s="846"/>
      <c r="C951" s="1517"/>
      <c r="D951" s="846"/>
      <c r="E951" s="846"/>
      <c r="F951" s="846"/>
      <c r="G951" s="846"/>
      <c r="H951" s="846"/>
      <c r="I951" s="1296"/>
      <c r="J951" s="846"/>
      <c r="K951" s="1296"/>
      <c r="L951" s="846"/>
      <c r="M951" s="1517"/>
      <c r="N951" s="846"/>
      <c r="O951" s="1517"/>
      <c r="P951" s="846"/>
      <c r="Q951" s="1296"/>
      <c r="R951" s="846"/>
      <c r="S951" s="846"/>
      <c r="T951" s="846"/>
    </row>
    <row r="952" ht="15.0" customHeight="1">
      <c r="A952" s="1296"/>
      <c r="B952" s="846"/>
      <c r="C952" s="1517"/>
      <c r="D952" s="846"/>
      <c r="E952" s="846"/>
      <c r="F952" s="846"/>
      <c r="G952" s="846"/>
      <c r="H952" s="846"/>
      <c r="I952" s="1296"/>
      <c r="J952" s="846"/>
      <c r="K952" s="1296"/>
      <c r="L952" s="846"/>
      <c r="M952" s="1517"/>
      <c r="N952" s="846"/>
      <c r="O952" s="1517"/>
      <c r="P952" s="846"/>
      <c r="Q952" s="1296"/>
      <c r="R952" s="846"/>
      <c r="S952" s="846"/>
      <c r="T952" s="846"/>
    </row>
    <row r="953" ht="15.0" customHeight="1">
      <c r="A953" s="1296"/>
      <c r="B953" s="846"/>
      <c r="C953" s="1517"/>
      <c r="D953" s="846"/>
      <c r="E953" s="846"/>
      <c r="F953" s="846"/>
      <c r="G953" s="846"/>
      <c r="H953" s="846"/>
      <c r="I953" s="1296"/>
      <c r="J953" s="846"/>
      <c r="K953" s="1296"/>
      <c r="L953" s="846"/>
      <c r="M953" s="1517"/>
      <c r="N953" s="846"/>
      <c r="O953" s="1517"/>
      <c r="P953" s="846"/>
      <c r="Q953" s="1296"/>
      <c r="R953" s="846"/>
      <c r="S953" s="846"/>
      <c r="T953" s="846"/>
    </row>
    <row r="954" ht="15.0" customHeight="1">
      <c r="A954" s="1296"/>
      <c r="B954" s="846"/>
      <c r="C954" s="1517"/>
      <c r="D954" s="846"/>
      <c r="E954" s="846"/>
      <c r="F954" s="846"/>
      <c r="G954" s="846"/>
      <c r="H954" s="846"/>
      <c r="I954" s="1296"/>
      <c r="J954" s="846"/>
      <c r="K954" s="1296"/>
      <c r="L954" s="846"/>
      <c r="M954" s="1517"/>
      <c r="N954" s="846"/>
      <c r="O954" s="1517"/>
      <c r="P954" s="846"/>
      <c r="Q954" s="1296"/>
      <c r="R954" s="846"/>
      <c r="S954" s="846"/>
      <c r="T954" s="846"/>
    </row>
    <row r="955" ht="15.0" customHeight="1">
      <c r="A955" s="1296"/>
      <c r="B955" s="846"/>
      <c r="C955" s="1517"/>
      <c r="D955" s="846"/>
      <c r="E955" s="846"/>
      <c r="F955" s="846"/>
      <c r="G955" s="846"/>
      <c r="H955" s="846"/>
      <c r="I955" s="1296"/>
      <c r="J955" s="846"/>
      <c r="K955" s="1296"/>
      <c r="L955" s="846"/>
      <c r="M955" s="1517"/>
      <c r="N955" s="846"/>
      <c r="O955" s="1517"/>
      <c r="P955" s="846"/>
      <c r="Q955" s="1296"/>
      <c r="R955" s="846"/>
      <c r="S955" s="846"/>
      <c r="T955" s="846"/>
    </row>
    <row r="956" ht="15.0" customHeight="1">
      <c r="A956" s="1296"/>
      <c r="B956" s="846"/>
      <c r="C956" s="1517"/>
      <c r="D956" s="846"/>
      <c r="E956" s="846"/>
      <c r="F956" s="846"/>
      <c r="G956" s="846"/>
      <c r="H956" s="846"/>
      <c r="I956" s="1296"/>
      <c r="J956" s="846"/>
      <c r="K956" s="1296"/>
      <c r="L956" s="846"/>
      <c r="M956" s="1517"/>
      <c r="N956" s="846"/>
      <c r="O956" s="1517"/>
      <c r="P956" s="846"/>
      <c r="Q956" s="1296"/>
      <c r="R956" s="846"/>
      <c r="S956" s="846"/>
      <c r="T956" s="846"/>
    </row>
    <row r="957" ht="15.0" customHeight="1">
      <c r="A957" s="1296"/>
      <c r="B957" s="846"/>
      <c r="C957" s="1517"/>
      <c r="D957" s="846"/>
      <c r="E957" s="846"/>
      <c r="F957" s="846"/>
      <c r="G957" s="846"/>
      <c r="H957" s="846"/>
      <c r="I957" s="1296"/>
      <c r="J957" s="846"/>
      <c r="K957" s="1296"/>
      <c r="L957" s="846"/>
      <c r="M957" s="1517"/>
      <c r="N957" s="846"/>
      <c r="O957" s="1517"/>
      <c r="P957" s="846"/>
      <c r="Q957" s="1296"/>
      <c r="R957" s="846"/>
      <c r="S957" s="846"/>
      <c r="T957" s="846"/>
    </row>
    <row r="958" ht="15.0" customHeight="1">
      <c r="A958" s="1296"/>
      <c r="B958" s="846"/>
      <c r="C958" s="1517"/>
      <c r="D958" s="846"/>
      <c r="E958" s="846"/>
      <c r="F958" s="846"/>
      <c r="G958" s="846"/>
      <c r="H958" s="846"/>
      <c r="I958" s="1296"/>
      <c r="J958" s="846"/>
      <c r="K958" s="1296"/>
      <c r="L958" s="846"/>
      <c r="M958" s="1517"/>
      <c r="N958" s="846"/>
      <c r="O958" s="1517"/>
      <c r="P958" s="846"/>
      <c r="Q958" s="1296"/>
      <c r="R958" s="846"/>
      <c r="S958" s="846"/>
      <c r="T958" s="846"/>
    </row>
    <row r="959" ht="15.0" customHeight="1">
      <c r="A959" s="1296"/>
      <c r="B959" s="846"/>
      <c r="C959" s="1517"/>
      <c r="D959" s="846"/>
      <c r="E959" s="846"/>
      <c r="F959" s="846"/>
      <c r="G959" s="846"/>
      <c r="H959" s="846"/>
      <c r="I959" s="1296"/>
      <c r="J959" s="846"/>
      <c r="K959" s="1296"/>
      <c r="L959" s="846"/>
      <c r="M959" s="1517"/>
      <c r="N959" s="846"/>
      <c r="O959" s="1517"/>
      <c r="P959" s="846"/>
      <c r="Q959" s="1296"/>
      <c r="R959" s="846"/>
      <c r="S959" s="846"/>
      <c r="T959" s="846"/>
    </row>
    <row r="960" ht="15.0" customHeight="1">
      <c r="A960" s="1296"/>
      <c r="B960" s="846"/>
      <c r="C960" s="1517"/>
      <c r="D960" s="846"/>
      <c r="E960" s="846"/>
      <c r="F960" s="846"/>
      <c r="G960" s="846"/>
      <c r="H960" s="846"/>
      <c r="I960" s="1296"/>
      <c r="J960" s="846"/>
      <c r="K960" s="1296"/>
      <c r="L960" s="846"/>
      <c r="M960" s="1517"/>
      <c r="N960" s="846"/>
      <c r="O960" s="1517"/>
      <c r="P960" s="846"/>
      <c r="Q960" s="1296"/>
      <c r="R960" s="846"/>
      <c r="S960" s="846"/>
      <c r="T960" s="846"/>
    </row>
    <row r="961" ht="15.0" customHeight="1">
      <c r="A961" s="1296"/>
      <c r="B961" s="846"/>
      <c r="C961" s="1517"/>
      <c r="D961" s="846"/>
      <c r="E961" s="846"/>
      <c r="F961" s="846"/>
      <c r="G961" s="846"/>
      <c r="H961" s="846"/>
      <c r="I961" s="1296"/>
      <c r="J961" s="846"/>
      <c r="K961" s="1296"/>
      <c r="L961" s="846"/>
      <c r="M961" s="1517"/>
      <c r="N961" s="846"/>
      <c r="O961" s="1517"/>
      <c r="P961" s="846"/>
      <c r="Q961" s="1296"/>
      <c r="R961" s="846"/>
      <c r="S961" s="846"/>
      <c r="T961" s="846"/>
    </row>
    <row r="962" ht="15.0" customHeight="1">
      <c r="A962" s="1296"/>
      <c r="B962" s="846"/>
      <c r="C962" s="1517"/>
      <c r="D962" s="846"/>
      <c r="E962" s="846"/>
      <c r="F962" s="846"/>
      <c r="G962" s="846"/>
      <c r="H962" s="846"/>
      <c r="I962" s="1296"/>
      <c r="J962" s="846"/>
      <c r="K962" s="1296"/>
      <c r="L962" s="846"/>
      <c r="M962" s="1517"/>
      <c r="N962" s="846"/>
      <c r="O962" s="1517"/>
      <c r="P962" s="846"/>
      <c r="Q962" s="1296"/>
      <c r="R962" s="846"/>
      <c r="S962" s="846"/>
      <c r="T962" s="846"/>
    </row>
    <row r="963" ht="15.0" customHeight="1">
      <c r="A963" s="1296"/>
      <c r="B963" s="846"/>
      <c r="C963" s="1517"/>
      <c r="D963" s="846"/>
      <c r="E963" s="846"/>
      <c r="F963" s="846"/>
      <c r="G963" s="846"/>
      <c r="H963" s="846"/>
      <c r="I963" s="1296"/>
      <c r="J963" s="846"/>
      <c r="K963" s="1296"/>
      <c r="L963" s="846"/>
      <c r="M963" s="1517"/>
      <c r="N963" s="846"/>
      <c r="O963" s="1517"/>
      <c r="P963" s="846"/>
      <c r="Q963" s="1296"/>
      <c r="R963" s="846"/>
      <c r="S963" s="846"/>
      <c r="T963" s="846"/>
    </row>
    <row r="964" ht="15.0" customHeight="1">
      <c r="A964" s="1296"/>
      <c r="B964" s="846"/>
      <c r="C964" s="1517"/>
      <c r="D964" s="846"/>
      <c r="E964" s="846"/>
      <c r="F964" s="846"/>
      <c r="G964" s="846"/>
      <c r="H964" s="846"/>
      <c r="I964" s="1296"/>
      <c r="J964" s="846"/>
      <c r="K964" s="1296"/>
      <c r="L964" s="846"/>
      <c r="M964" s="1517"/>
      <c r="N964" s="846"/>
      <c r="O964" s="1517"/>
      <c r="P964" s="846"/>
      <c r="Q964" s="1296"/>
      <c r="R964" s="846"/>
      <c r="S964" s="846"/>
      <c r="T964" s="846"/>
    </row>
    <row r="965" ht="15.0" customHeight="1">
      <c r="A965" s="1296"/>
      <c r="B965" s="846"/>
      <c r="C965" s="1517"/>
      <c r="D965" s="846"/>
      <c r="E965" s="846"/>
      <c r="F965" s="846"/>
      <c r="G965" s="846"/>
      <c r="H965" s="846"/>
      <c r="I965" s="1296"/>
      <c r="J965" s="846"/>
      <c r="K965" s="1296"/>
      <c r="L965" s="846"/>
      <c r="M965" s="1517"/>
      <c r="N965" s="846"/>
      <c r="O965" s="1517"/>
      <c r="P965" s="846"/>
      <c r="Q965" s="1296"/>
      <c r="R965" s="846"/>
      <c r="S965" s="846"/>
      <c r="T965" s="846"/>
    </row>
    <row r="966" ht="15.0" customHeight="1">
      <c r="A966" s="1296"/>
      <c r="B966" s="846"/>
      <c r="C966" s="1517"/>
      <c r="D966" s="846"/>
      <c r="E966" s="846"/>
      <c r="F966" s="846"/>
      <c r="G966" s="846"/>
      <c r="H966" s="846"/>
      <c r="I966" s="1296"/>
      <c r="J966" s="846"/>
      <c r="K966" s="1296"/>
      <c r="L966" s="846"/>
      <c r="M966" s="1517"/>
      <c r="N966" s="846"/>
      <c r="O966" s="1517"/>
      <c r="P966" s="846"/>
      <c r="Q966" s="1296"/>
      <c r="R966" s="846"/>
      <c r="S966" s="846"/>
      <c r="T966" s="846"/>
    </row>
    <row r="967" ht="15.0" customHeight="1">
      <c r="A967" s="1296"/>
      <c r="B967" s="846"/>
      <c r="C967" s="1517"/>
      <c r="D967" s="846"/>
      <c r="E967" s="846"/>
      <c r="F967" s="846"/>
      <c r="G967" s="846"/>
      <c r="H967" s="846"/>
      <c r="I967" s="1296"/>
      <c r="J967" s="846"/>
      <c r="K967" s="1296"/>
      <c r="L967" s="846"/>
      <c r="M967" s="1517"/>
      <c r="N967" s="846"/>
      <c r="O967" s="1517"/>
      <c r="P967" s="846"/>
      <c r="Q967" s="1296"/>
      <c r="R967" s="846"/>
      <c r="S967" s="846"/>
      <c r="T967" s="846"/>
    </row>
    <row r="968" ht="15.0" customHeight="1">
      <c r="A968" s="1296"/>
      <c r="B968" s="846"/>
      <c r="C968" s="1517"/>
      <c r="D968" s="846"/>
      <c r="E968" s="846"/>
      <c r="F968" s="846"/>
      <c r="G968" s="846"/>
      <c r="H968" s="846"/>
      <c r="I968" s="1296"/>
      <c r="J968" s="846"/>
      <c r="K968" s="1296"/>
      <c r="L968" s="846"/>
      <c r="M968" s="1517"/>
      <c r="N968" s="846"/>
      <c r="O968" s="1517"/>
      <c r="P968" s="846"/>
      <c r="Q968" s="1296"/>
      <c r="R968" s="846"/>
      <c r="S968" s="846"/>
      <c r="T968" s="846"/>
    </row>
    <row r="969" ht="15.0" customHeight="1">
      <c r="A969" s="1296"/>
      <c r="B969" s="846"/>
      <c r="C969" s="1517"/>
      <c r="D969" s="846"/>
      <c r="E969" s="846"/>
      <c r="F969" s="846"/>
      <c r="G969" s="846"/>
      <c r="H969" s="846"/>
      <c r="I969" s="1296"/>
      <c r="J969" s="846"/>
      <c r="K969" s="1296"/>
      <c r="L969" s="846"/>
      <c r="M969" s="1517"/>
      <c r="N969" s="846"/>
      <c r="O969" s="1517"/>
      <c r="P969" s="846"/>
      <c r="Q969" s="1296"/>
      <c r="R969" s="846"/>
      <c r="S969" s="846"/>
      <c r="T969" s="846"/>
    </row>
    <row r="970" ht="15.0" customHeight="1">
      <c r="A970" s="1296"/>
      <c r="B970" s="846"/>
      <c r="C970" s="1517"/>
      <c r="D970" s="846"/>
      <c r="E970" s="846"/>
      <c r="F970" s="846"/>
      <c r="G970" s="846"/>
      <c r="H970" s="846"/>
      <c r="I970" s="1296"/>
      <c r="J970" s="846"/>
      <c r="K970" s="1296"/>
      <c r="L970" s="846"/>
      <c r="M970" s="1517"/>
      <c r="N970" s="846"/>
      <c r="O970" s="1517"/>
      <c r="P970" s="846"/>
      <c r="Q970" s="1296"/>
      <c r="R970" s="846"/>
      <c r="S970" s="846"/>
      <c r="T970" s="846"/>
    </row>
    <row r="971" ht="15.0" customHeight="1">
      <c r="A971" s="1296"/>
      <c r="B971" s="846"/>
      <c r="C971" s="1517"/>
      <c r="D971" s="846"/>
      <c r="E971" s="846"/>
      <c r="F971" s="846"/>
      <c r="G971" s="846"/>
      <c r="H971" s="846"/>
      <c r="I971" s="1296"/>
      <c r="J971" s="846"/>
      <c r="K971" s="1296"/>
      <c r="L971" s="846"/>
      <c r="M971" s="1517"/>
      <c r="N971" s="846"/>
      <c r="O971" s="1517"/>
      <c r="P971" s="846"/>
      <c r="Q971" s="1296"/>
      <c r="R971" s="846"/>
      <c r="S971" s="846"/>
      <c r="T971" s="846"/>
    </row>
    <row r="972" ht="15.0" customHeight="1">
      <c r="A972" s="1296"/>
      <c r="B972" s="846"/>
      <c r="C972" s="1517"/>
      <c r="D972" s="846"/>
      <c r="E972" s="846"/>
      <c r="F972" s="846"/>
      <c r="G972" s="846"/>
      <c r="H972" s="846"/>
      <c r="I972" s="1296"/>
      <c r="J972" s="846"/>
      <c r="K972" s="1296"/>
      <c r="L972" s="846"/>
      <c r="M972" s="1517"/>
      <c r="N972" s="846"/>
      <c r="O972" s="1517"/>
      <c r="P972" s="846"/>
      <c r="Q972" s="1296"/>
      <c r="R972" s="846"/>
      <c r="S972" s="846"/>
      <c r="T972" s="846"/>
    </row>
    <row r="973" ht="15.0" customHeight="1">
      <c r="A973" s="1296"/>
      <c r="B973" s="846"/>
      <c r="C973" s="1517"/>
      <c r="D973" s="846"/>
      <c r="E973" s="846"/>
      <c r="F973" s="846"/>
      <c r="G973" s="846"/>
      <c r="H973" s="846"/>
      <c r="I973" s="1296"/>
      <c r="J973" s="846"/>
      <c r="K973" s="1296"/>
      <c r="L973" s="846"/>
      <c r="M973" s="1517"/>
      <c r="N973" s="846"/>
      <c r="O973" s="1517"/>
      <c r="P973" s="846"/>
      <c r="Q973" s="1296"/>
      <c r="R973" s="846"/>
      <c r="S973" s="846"/>
      <c r="T973" s="846"/>
    </row>
    <row r="974" ht="15.0" customHeight="1">
      <c r="A974" s="1296"/>
      <c r="B974" s="846"/>
      <c r="C974" s="1517"/>
      <c r="D974" s="846"/>
      <c r="E974" s="846"/>
      <c r="F974" s="846"/>
      <c r="G974" s="846"/>
      <c r="H974" s="846"/>
      <c r="I974" s="1296"/>
      <c r="J974" s="846"/>
      <c r="K974" s="1296"/>
      <c r="L974" s="846"/>
      <c r="M974" s="1517"/>
      <c r="N974" s="846"/>
      <c r="O974" s="1517"/>
      <c r="P974" s="846"/>
      <c r="Q974" s="1296"/>
      <c r="R974" s="846"/>
      <c r="S974" s="846"/>
      <c r="T974" s="846"/>
    </row>
    <row r="975" ht="15.0" customHeight="1">
      <c r="A975" s="1296"/>
      <c r="B975" s="846"/>
      <c r="C975" s="1517"/>
      <c r="D975" s="846"/>
      <c r="E975" s="846"/>
      <c r="F975" s="846"/>
      <c r="G975" s="846"/>
      <c r="H975" s="846"/>
      <c r="I975" s="1296"/>
      <c r="J975" s="846"/>
      <c r="K975" s="1296"/>
      <c r="L975" s="846"/>
      <c r="M975" s="1517"/>
      <c r="N975" s="846"/>
      <c r="O975" s="1517"/>
      <c r="P975" s="846"/>
      <c r="Q975" s="1296"/>
      <c r="R975" s="846"/>
      <c r="S975" s="846"/>
      <c r="T975" s="846"/>
    </row>
    <row r="976" ht="15.0" customHeight="1">
      <c r="A976" s="1296"/>
      <c r="B976" s="846"/>
      <c r="C976" s="1517"/>
      <c r="D976" s="846"/>
      <c r="E976" s="846"/>
      <c r="F976" s="846"/>
      <c r="G976" s="846"/>
      <c r="H976" s="846"/>
      <c r="I976" s="1296"/>
      <c r="J976" s="846"/>
      <c r="K976" s="1296"/>
      <c r="L976" s="846"/>
      <c r="M976" s="1517"/>
      <c r="N976" s="846"/>
      <c r="O976" s="1517"/>
      <c r="P976" s="846"/>
      <c r="Q976" s="1296"/>
      <c r="R976" s="846"/>
      <c r="S976" s="846"/>
      <c r="T976" s="846"/>
    </row>
    <row r="977" ht="15.0" customHeight="1">
      <c r="A977" s="1296"/>
      <c r="B977" s="846"/>
      <c r="C977" s="1517"/>
      <c r="D977" s="846"/>
      <c r="E977" s="846"/>
      <c r="F977" s="846"/>
      <c r="G977" s="846"/>
      <c r="H977" s="846"/>
      <c r="I977" s="1296"/>
      <c r="J977" s="846"/>
      <c r="K977" s="1296"/>
      <c r="L977" s="846"/>
      <c r="M977" s="1517"/>
      <c r="N977" s="846"/>
      <c r="O977" s="1517"/>
      <c r="P977" s="846"/>
      <c r="Q977" s="1296"/>
      <c r="R977" s="846"/>
      <c r="S977" s="846"/>
      <c r="T977" s="846"/>
    </row>
    <row r="978" ht="15.0" customHeight="1">
      <c r="A978" s="1296"/>
      <c r="B978" s="846"/>
      <c r="C978" s="1517"/>
      <c r="D978" s="846"/>
      <c r="E978" s="846"/>
      <c r="F978" s="846"/>
      <c r="G978" s="846"/>
      <c r="H978" s="846"/>
      <c r="I978" s="1296"/>
      <c r="J978" s="846"/>
      <c r="K978" s="1296"/>
      <c r="L978" s="846"/>
      <c r="M978" s="1517"/>
      <c r="N978" s="846"/>
      <c r="O978" s="1517"/>
      <c r="P978" s="846"/>
      <c r="Q978" s="1296"/>
      <c r="R978" s="846"/>
      <c r="S978" s="846"/>
      <c r="T978" s="846"/>
    </row>
    <row r="979" ht="15.0" customHeight="1">
      <c r="A979" s="1296"/>
      <c r="B979" s="846"/>
      <c r="C979" s="1517"/>
      <c r="D979" s="846"/>
      <c r="E979" s="846"/>
      <c r="F979" s="846"/>
      <c r="G979" s="846"/>
      <c r="H979" s="846"/>
      <c r="I979" s="1296"/>
      <c r="J979" s="846"/>
      <c r="K979" s="1296"/>
      <c r="L979" s="846"/>
      <c r="M979" s="1517"/>
      <c r="N979" s="846"/>
      <c r="O979" s="1517"/>
      <c r="P979" s="846"/>
      <c r="Q979" s="1296"/>
      <c r="R979" s="846"/>
      <c r="S979" s="846"/>
      <c r="T979" s="846"/>
    </row>
    <row r="980" ht="15.0" customHeight="1">
      <c r="A980" s="1296"/>
      <c r="B980" s="846"/>
      <c r="C980" s="1517"/>
      <c r="D980" s="846"/>
      <c r="E980" s="846"/>
      <c r="F980" s="846"/>
      <c r="G980" s="846"/>
      <c r="H980" s="846"/>
      <c r="I980" s="1296"/>
      <c r="J980" s="846"/>
      <c r="K980" s="1296"/>
      <c r="L980" s="846"/>
      <c r="M980" s="1517"/>
      <c r="N980" s="846"/>
      <c r="O980" s="1517"/>
      <c r="P980" s="846"/>
      <c r="Q980" s="1296"/>
      <c r="R980" s="846"/>
      <c r="S980" s="846"/>
      <c r="T980" s="846"/>
    </row>
    <row r="981" ht="15.0" customHeight="1">
      <c r="A981" s="1296"/>
      <c r="B981" s="846"/>
      <c r="C981" s="1517"/>
      <c r="D981" s="846"/>
      <c r="E981" s="846"/>
      <c r="F981" s="846"/>
      <c r="G981" s="846"/>
      <c r="H981" s="846"/>
      <c r="I981" s="1296"/>
      <c r="J981" s="846"/>
      <c r="K981" s="1296"/>
      <c r="L981" s="846"/>
      <c r="M981" s="1517"/>
      <c r="N981" s="846"/>
      <c r="O981" s="1517"/>
      <c r="P981" s="846"/>
      <c r="Q981" s="1296"/>
      <c r="R981" s="846"/>
      <c r="S981" s="846"/>
      <c r="T981" s="846"/>
    </row>
    <row r="982" ht="15.0" customHeight="1">
      <c r="A982" s="1296"/>
      <c r="B982" s="846"/>
      <c r="C982" s="1517"/>
      <c r="D982" s="846"/>
      <c r="E982" s="846"/>
      <c r="F982" s="846"/>
      <c r="G982" s="846"/>
      <c r="H982" s="846"/>
      <c r="I982" s="1296"/>
      <c r="J982" s="846"/>
      <c r="K982" s="1296"/>
      <c r="L982" s="846"/>
      <c r="M982" s="1517"/>
      <c r="N982" s="846"/>
      <c r="O982" s="1517"/>
      <c r="P982" s="846"/>
      <c r="Q982" s="1296"/>
      <c r="R982" s="846"/>
      <c r="S982" s="846"/>
      <c r="T982" s="846"/>
    </row>
    <row r="983" ht="15.0" customHeight="1">
      <c r="A983" s="1296"/>
      <c r="B983" s="846"/>
      <c r="C983" s="1517"/>
      <c r="D983" s="846"/>
      <c r="E983" s="846"/>
      <c r="F983" s="846"/>
      <c r="G983" s="846"/>
      <c r="H983" s="846"/>
      <c r="I983" s="1296"/>
      <c r="J983" s="846"/>
      <c r="K983" s="1296"/>
      <c r="L983" s="846"/>
      <c r="M983" s="1517"/>
      <c r="N983" s="846"/>
      <c r="O983" s="1517"/>
      <c r="P983" s="846"/>
      <c r="Q983" s="1296"/>
      <c r="R983" s="846"/>
      <c r="S983" s="846"/>
      <c r="T983" s="846"/>
    </row>
    <row r="984" ht="15.0" customHeight="1">
      <c r="A984" s="1296"/>
      <c r="B984" s="846"/>
      <c r="C984" s="1517"/>
      <c r="D984" s="846"/>
      <c r="E984" s="846"/>
      <c r="F984" s="846"/>
      <c r="G984" s="846"/>
      <c r="H984" s="846"/>
      <c r="I984" s="1296"/>
      <c r="J984" s="846"/>
      <c r="K984" s="1296"/>
      <c r="L984" s="846"/>
      <c r="M984" s="1517"/>
      <c r="N984" s="846"/>
      <c r="O984" s="1517"/>
      <c r="P984" s="846"/>
      <c r="Q984" s="1296"/>
      <c r="R984" s="846"/>
      <c r="S984" s="846"/>
      <c r="T984" s="846"/>
    </row>
    <row r="985" ht="15.0" customHeight="1">
      <c r="A985" s="1296"/>
      <c r="B985" s="846"/>
      <c r="C985" s="1517"/>
      <c r="D985" s="846"/>
      <c r="E985" s="846"/>
      <c r="F985" s="846"/>
      <c r="G985" s="846"/>
      <c r="H985" s="846"/>
      <c r="I985" s="1296"/>
      <c r="J985" s="846"/>
      <c r="K985" s="1296"/>
      <c r="L985" s="846"/>
      <c r="M985" s="1517"/>
      <c r="N985" s="846"/>
      <c r="O985" s="1517"/>
      <c r="P985" s="846"/>
      <c r="Q985" s="1296"/>
      <c r="R985" s="846"/>
      <c r="S985" s="846"/>
      <c r="T985" s="846"/>
    </row>
    <row r="986" ht="15.0" customHeight="1">
      <c r="A986" s="1296"/>
      <c r="B986" s="846"/>
      <c r="C986" s="1517"/>
      <c r="D986" s="846"/>
      <c r="E986" s="846"/>
      <c r="F986" s="846"/>
      <c r="G986" s="846"/>
      <c r="H986" s="846"/>
      <c r="I986" s="1296"/>
      <c r="J986" s="846"/>
      <c r="K986" s="1296"/>
      <c r="L986" s="846"/>
      <c r="M986" s="1517"/>
      <c r="N986" s="846"/>
      <c r="O986" s="1517"/>
      <c r="P986" s="846"/>
      <c r="Q986" s="1296"/>
      <c r="R986" s="846"/>
      <c r="S986" s="846"/>
      <c r="T986" s="846"/>
    </row>
    <row r="987" ht="15.0" customHeight="1">
      <c r="A987" s="1296"/>
      <c r="B987" s="846"/>
      <c r="C987" s="1517"/>
      <c r="D987" s="846"/>
      <c r="E987" s="846"/>
      <c r="F987" s="846"/>
      <c r="G987" s="846"/>
      <c r="H987" s="846"/>
      <c r="I987" s="1296"/>
      <c r="J987" s="846"/>
      <c r="K987" s="1296"/>
      <c r="L987" s="846"/>
      <c r="M987" s="1517"/>
      <c r="N987" s="846"/>
      <c r="O987" s="1517"/>
      <c r="P987" s="846"/>
      <c r="Q987" s="1296"/>
      <c r="R987" s="846"/>
      <c r="S987" s="846"/>
      <c r="T987" s="846"/>
    </row>
    <row r="988" ht="15.0" customHeight="1">
      <c r="A988" s="1296"/>
      <c r="B988" s="846"/>
      <c r="C988" s="1517"/>
      <c r="D988" s="846"/>
      <c r="E988" s="846"/>
      <c r="F988" s="846"/>
      <c r="G988" s="846"/>
      <c r="H988" s="846"/>
      <c r="I988" s="1296"/>
      <c r="J988" s="846"/>
      <c r="K988" s="1296"/>
      <c r="L988" s="846"/>
      <c r="M988" s="1517"/>
      <c r="N988" s="846"/>
      <c r="O988" s="1517"/>
      <c r="P988" s="846"/>
      <c r="Q988" s="1296"/>
      <c r="R988" s="846"/>
      <c r="S988" s="846"/>
      <c r="T988" s="846"/>
    </row>
    <row r="989" ht="15.0" customHeight="1">
      <c r="A989" s="1296"/>
      <c r="B989" s="846"/>
      <c r="C989" s="1517"/>
      <c r="D989" s="846"/>
      <c r="E989" s="846"/>
      <c r="F989" s="846"/>
      <c r="G989" s="846"/>
      <c r="H989" s="846"/>
      <c r="I989" s="1296"/>
      <c r="J989" s="846"/>
      <c r="K989" s="1296"/>
      <c r="L989" s="846"/>
      <c r="M989" s="1517"/>
      <c r="N989" s="846"/>
      <c r="O989" s="1517"/>
      <c r="P989" s="846"/>
      <c r="Q989" s="1296"/>
      <c r="R989" s="846"/>
      <c r="S989" s="846"/>
      <c r="T989" s="846"/>
    </row>
    <row r="990" ht="15.0" customHeight="1">
      <c r="A990" s="1296"/>
      <c r="B990" s="846"/>
      <c r="C990" s="1517"/>
      <c r="D990" s="846"/>
      <c r="E990" s="846"/>
      <c r="F990" s="846"/>
      <c r="G990" s="846"/>
      <c r="H990" s="846"/>
      <c r="I990" s="1296"/>
      <c r="J990" s="846"/>
      <c r="K990" s="1296"/>
      <c r="L990" s="846"/>
      <c r="M990" s="1517"/>
      <c r="N990" s="846"/>
      <c r="O990" s="1517"/>
      <c r="P990" s="846"/>
      <c r="Q990" s="1296"/>
      <c r="R990" s="846"/>
      <c r="S990" s="846"/>
      <c r="T990" s="846"/>
    </row>
    <row r="991" ht="15.0" customHeight="1">
      <c r="A991" s="1296"/>
      <c r="B991" s="846"/>
      <c r="C991" s="1517"/>
      <c r="D991" s="846"/>
      <c r="E991" s="846"/>
      <c r="F991" s="846"/>
      <c r="G991" s="846"/>
      <c r="H991" s="846"/>
      <c r="I991" s="1296"/>
      <c r="J991" s="846"/>
      <c r="K991" s="1296"/>
      <c r="L991" s="846"/>
      <c r="M991" s="1517"/>
      <c r="N991" s="846"/>
      <c r="O991" s="1517"/>
      <c r="P991" s="846"/>
      <c r="Q991" s="1296"/>
      <c r="R991" s="846"/>
      <c r="S991" s="846"/>
      <c r="T991" s="846"/>
    </row>
    <row r="992" ht="15.0" customHeight="1">
      <c r="A992" s="1296"/>
      <c r="B992" s="846"/>
      <c r="C992" s="1517"/>
      <c r="D992" s="846"/>
      <c r="E992" s="846"/>
      <c r="F992" s="846"/>
      <c r="G992" s="846"/>
      <c r="H992" s="846"/>
      <c r="I992" s="1296"/>
      <c r="J992" s="846"/>
      <c r="K992" s="1296"/>
      <c r="L992" s="846"/>
      <c r="M992" s="1517"/>
      <c r="N992" s="846"/>
      <c r="O992" s="1517"/>
      <c r="P992" s="846"/>
      <c r="Q992" s="1296"/>
      <c r="R992" s="846"/>
      <c r="S992" s="846"/>
      <c r="T992" s="846"/>
    </row>
    <row r="993" ht="15.0" customHeight="1">
      <c r="A993" s="1296"/>
      <c r="B993" s="846"/>
      <c r="C993" s="1517"/>
      <c r="D993" s="846"/>
      <c r="E993" s="846"/>
      <c r="F993" s="846"/>
      <c r="G993" s="846"/>
      <c r="H993" s="846"/>
      <c r="I993" s="1296"/>
      <c r="J993" s="846"/>
      <c r="K993" s="1296"/>
      <c r="L993" s="846"/>
      <c r="M993" s="1517"/>
      <c r="N993" s="846"/>
      <c r="O993" s="1517"/>
      <c r="P993" s="846"/>
      <c r="Q993" s="1296"/>
      <c r="R993" s="846"/>
      <c r="S993" s="846"/>
      <c r="T993" s="846"/>
    </row>
    <row r="994" ht="15.0" customHeight="1">
      <c r="A994" s="1296"/>
      <c r="B994" s="846"/>
      <c r="C994" s="1517"/>
      <c r="D994" s="846"/>
      <c r="E994" s="846"/>
      <c r="F994" s="846"/>
      <c r="G994" s="846"/>
      <c r="H994" s="846"/>
      <c r="I994" s="1296"/>
      <c r="J994" s="846"/>
      <c r="K994" s="1296"/>
      <c r="L994" s="846"/>
      <c r="M994" s="1517"/>
      <c r="N994" s="846"/>
      <c r="O994" s="1517"/>
      <c r="P994" s="846"/>
      <c r="Q994" s="1296"/>
      <c r="R994" s="846"/>
      <c r="S994" s="846"/>
      <c r="T994" s="846"/>
    </row>
    <row r="995" ht="15.0" customHeight="1">
      <c r="A995" s="1296"/>
      <c r="B995" s="846"/>
      <c r="C995" s="1517"/>
      <c r="D995" s="846"/>
      <c r="E995" s="846"/>
      <c r="F995" s="846"/>
      <c r="G995" s="846"/>
      <c r="H995" s="846"/>
      <c r="I995" s="1296"/>
      <c r="J995" s="846"/>
      <c r="K995" s="1296"/>
      <c r="L995" s="846"/>
      <c r="M995" s="1517"/>
      <c r="N995" s="846"/>
      <c r="O995" s="1517"/>
      <c r="P995" s="846"/>
      <c r="Q995" s="1296"/>
      <c r="R995" s="846"/>
      <c r="S995" s="846"/>
      <c r="T995" s="846"/>
    </row>
    <row r="996" ht="15.0" customHeight="1">
      <c r="A996" s="1296"/>
      <c r="B996" s="846"/>
      <c r="C996" s="1517"/>
      <c r="D996" s="846"/>
      <c r="E996" s="846"/>
      <c r="F996" s="846"/>
      <c r="G996" s="846"/>
      <c r="H996" s="846"/>
      <c r="I996" s="1296"/>
      <c r="J996" s="846"/>
      <c r="K996" s="1296"/>
      <c r="L996" s="846"/>
      <c r="M996" s="1517"/>
      <c r="N996" s="846"/>
      <c r="O996" s="1517"/>
      <c r="P996" s="846"/>
      <c r="Q996" s="1296"/>
      <c r="R996" s="846"/>
      <c r="S996" s="846"/>
      <c r="T996" s="846"/>
    </row>
    <row r="997" ht="15.0" customHeight="1">
      <c r="A997" s="1296"/>
      <c r="B997" s="846"/>
      <c r="C997" s="1517"/>
      <c r="D997" s="846"/>
      <c r="E997" s="846"/>
      <c r="F997" s="846"/>
      <c r="G997" s="846"/>
      <c r="H997" s="846"/>
      <c r="I997" s="1296"/>
      <c r="J997" s="846"/>
      <c r="K997" s="1296"/>
      <c r="L997" s="846"/>
      <c r="M997" s="1517"/>
      <c r="N997" s="846"/>
      <c r="O997" s="1517"/>
      <c r="P997" s="846"/>
      <c r="Q997" s="1296"/>
      <c r="R997" s="846"/>
      <c r="S997" s="846"/>
      <c r="T997" s="846"/>
    </row>
    <row r="998" ht="15.0" customHeight="1">
      <c r="A998" s="1296"/>
      <c r="B998" s="846"/>
      <c r="C998" s="1517"/>
      <c r="D998" s="846"/>
      <c r="E998" s="846"/>
      <c r="F998" s="846"/>
      <c r="G998" s="846"/>
      <c r="H998" s="846"/>
      <c r="I998" s="1296"/>
      <c r="J998" s="846"/>
      <c r="K998" s="1296"/>
      <c r="L998" s="846"/>
      <c r="M998" s="1517"/>
      <c r="N998" s="846"/>
      <c r="O998" s="1517"/>
      <c r="P998" s="846"/>
      <c r="Q998" s="1296"/>
      <c r="R998" s="846"/>
      <c r="S998" s="846"/>
      <c r="T998" s="846"/>
    </row>
    <row r="999" ht="15.0" customHeight="1">
      <c r="A999" s="1296"/>
      <c r="B999" s="846"/>
      <c r="C999" s="1517"/>
      <c r="D999" s="846"/>
      <c r="E999" s="846"/>
      <c r="F999" s="846"/>
      <c r="G999" s="846"/>
      <c r="H999" s="846"/>
      <c r="I999" s="1296"/>
      <c r="J999" s="846"/>
      <c r="K999" s="1296"/>
      <c r="L999" s="846"/>
      <c r="M999" s="1517"/>
      <c r="N999" s="846"/>
      <c r="O999" s="1517"/>
      <c r="P999" s="846"/>
      <c r="Q999" s="1296"/>
      <c r="R999" s="846"/>
      <c r="S999" s="846"/>
      <c r="T999" s="846"/>
    </row>
    <row r="1000" ht="15.0" customHeight="1">
      <c r="A1000" s="1296"/>
      <c r="B1000" s="846"/>
      <c r="C1000" s="1517"/>
      <c r="D1000" s="846"/>
      <c r="E1000" s="846"/>
      <c r="F1000" s="846"/>
      <c r="G1000" s="846"/>
      <c r="H1000" s="846"/>
      <c r="I1000" s="1296"/>
      <c r="J1000" s="846"/>
      <c r="K1000" s="1296"/>
      <c r="L1000" s="846"/>
      <c r="M1000" s="1517"/>
      <c r="N1000" s="846"/>
      <c r="O1000" s="1517"/>
      <c r="P1000" s="846"/>
      <c r="Q1000" s="1296"/>
      <c r="R1000" s="846"/>
      <c r="S1000" s="846"/>
      <c r="T1000" s="846"/>
    </row>
    <row r="1001" ht="15.0" customHeight="1">
      <c r="A1001" s="1296"/>
      <c r="B1001" s="846"/>
      <c r="C1001" s="1517"/>
      <c r="D1001" s="846"/>
      <c r="E1001" s="846"/>
      <c r="F1001" s="846"/>
      <c r="G1001" s="846"/>
      <c r="H1001" s="846"/>
      <c r="I1001" s="1296"/>
      <c r="J1001" s="846"/>
      <c r="K1001" s="1296"/>
      <c r="L1001" s="846"/>
      <c r="M1001" s="1517"/>
      <c r="N1001" s="846"/>
      <c r="O1001" s="1517"/>
      <c r="P1001" s="846"/>
      <c r="Q1001" s="1296"/>
      <c r="R1001" s="846"/>
      <c r="S1001" s="846"/>
      <c r="T1001" s="846"/>
    </row>
    <row r="1002" ht="15.0" customHeight="1">
      <c r="A1002" s="1296"/>
      <c r="B1002" s="846"/>
      <c r="C1002" s="1517"/>
      <c r="D1002" s="846"/>
      <c r="E1002" s="846"/>
      <c r="F1002" s="846"/>
      <c r="G1002" s="846"/>
      <c r="H1002" s="846"/>
      <c r="I1002" s="1296"/>
      <c r="J1002" s="846"/>
      <c r="K1002" s="1296"/>
      <c r="L1002" s="846"/>
      <c r="M1002" s="1517"/>
      <c r="N1002" s="846"/>
      <c r="O1002" s="1517"/>
      <c r="P1002" s="846"/>
      <c r="Q1002" s="1296"/>
      <c r="R1002" s="846"/>
      <c r="S1002" s="846"/>
      <c r="T1002" s="846"/>
    </row>
    <row r="1003" ht="15.0" customHeight="1">
      <c r="A1003" s="1296"/>
      <c r="B1003" s="846"/>
      <c r="C1003" s="1517"/>
      <c r="D1003" s="846"/>
      <c r="E1003" s="846"/>
      <c r="F1003" s="846"/>
      <c r="G1003" s="846"/>
      <c r="H1003" s="846"/>
      <c r="I1003" s="1296"/>
      <c r="J1003" s="846"/>
      <c r="K1003" s="1296"/>
      <c r="L1003" s="846"/>
      <c r="M1003" s="1517"/>
      <c r="N1003" s="846"/>
      <c r="O1003" s="1517"/>
      <c r="P1003" s="846"/>
      <c r="Q1003" s="1296"/>
      <c r="R1003" s="846"/>
      <c r="S1003" s="846"/>
      <c r="T1003" s="846"/>
    </row>
    <row r="1004" ht="15.0" customHeight="1">
      <c r="A1004" s="1296"/>
      <c r="B1004" s="846"/>
      <c r="C1004" s="1517"/>
      <c r="D1004" s="846"/>
      <c r="E1004" s="846"/>
      <c r="F1004" s="846"/>
      <c r="G1004" s="846"/>
      <c r="H1004" s="846"/>
      <c r="I1004" s="1296"/>
      <c r="J1004" s="846"/>
      <c r="K1004" s="1296"/>
      <c r="L1004" s="846"/>
      <c r="M1004" s="1517"/>
      <c r="N1004" s="846"/>
      <c r="O1004" s="1517"/>
      <c r="P1004" s="846"/>
      <c r="Q1004" s="1296"/>
      <c r="R1004" s="846"/>
      <c r="S1004" s="846"/>
      <c r="T1004" s="846"/>
    </row>
    <row r="1005" ht="15.0" customHeight="1">
      <c r="A1005" s="1296"/>
      <c r="B1005" s="846"/>
      <c r="C1005" s="1517"/>
      <c r="D1005" s="846"/>
      <c r="E1005" s="846"/>
      <c r="F1005" s="846"/>
      <c r="G1005" s="846"/>
      <c r="H1005" s="846"/>
      <c r="I1005" s="1296"/>
      <c r="J1005" s="846"/>
      <c r="K1005" s="1296"/>
      <c r="L1005" s="846"/>
      <c r="M1005" s="1517"/>
      <c r="N1005" s="846"/>
      <c r="O1005" s="1517"/>
      <c r="P1005" s="846"/>
      <c r="Q1005" s="1296"/>
      <c r="R1005" s="846"/>
      <c r="S1005" s="846"/>
      <c r="T1005" s="846"/>
    </row>
    <row r="1006" ht="15.0" customHeight="1">
      <c r="A1006" s="1296"/>
      <c r="B1006" s="846"/>
      <c r="C1006" s="1517"/>
      <c r="D1006" s="846"/>
      <c r="E1006" s="846"/>
      <c r="F1006" s="846"/>
      <c r="G1006" s="846"/>
      <c r="H1006" s="846"/>
      <c r="I1006" s="1296"/>
      <c r="J1006" s="846"/>
      <c r="K1006" s="1296"/>
      <c r="L1006" s="846"/>
      <c r="M1006" s="1517"/>
      <c r="N1006" s="846"/>
      <c r="O1006" s="1517"/>
      <c r="P1006" s="846"/>
      <c r="Q1006" s="1296"/>
      <c r="R1006" s="846"/>
      <c r="S1006" s="846"/>
      <c r="T1006" s="846"/>
    </row>
    <row r="1007" ht="15.0" customHeight="1">
      <c r="A1007" s="1296"/>
      <c r="B1007" s="846"/>
      <c r="C1007" s="1517"/>
      <c r="D1007" s="846"/>
      <c r="E1007" s="846"/>
      <c r="F1007" s="846"/>
      <c r="G1007" s="846"/>
      <c r="H1007" s="846"/>
      <c r="I1007" s="1296"/>
      <c r="J1007" s="846"/>
      <c r="K1007" s="1296"/>
      <c r="L1007" s="846"/>
      <c r="M1007" s="1517"/>
      <c r="N1007" s="846"/>
      <c r="O1007" s="1517"/>
      <c r="P1007" s="846"/>
      <c r="Q1007" s="1296"/>
      <c r="R1007" s="846"/>
      <c r="S1007" s="846"/>
      <c r="T1007" s="846"/>
    </row>
    <row r="1008" ht="15.0" customHeight="1">
      <c r="A1008" s="1296"/>
      <c r="B1008" s="846"/>
      <c r="C1008" s="1517"/>
      <c r="D1008" s="846"/>
      <c r="E1008" s="846"/>
      <c r="F1008" s="846"/>
      <c r="G1008" s="846"/>
      <c r="H1008" s="846"/>
      <c r="I1008" s="1296"/>
      <c r="J1008" s="846"/>
      <c r="K1008" s="1296"/>
      <c r="L1008" s="846"/>
      <c r="M1008" s="1517"/>
      <c r="N1008" s="846"/>
      <c r="O1008" s="1517"/>
      <c r="P1008" s="846"/>
      <c r="Q1008" s="1296"/>
      <c r="R1008" s="846"/>
      <c r="S1008" s="846"/>
      <c r="T1008" s="846"/>
    </row>
    <row r="1009" ht="15.0" customHeight="1">
      <c r="A1009" s="1296"/>
      <c r="B1009" s="846"/>
      <c r="C1009" s="1517"/>
      <c r="D1009" s="846"/>
      <c r="E1009" s="846"/>
      <c r="F1009" s="846"/>
      <c r="G1009" s="846"/>
      <c r="H1009" s="846"/>
      <c r="I1009" s="1296"/>
      <c r="J1009" s="846"/>
      <c r="K1009" s="1296"/>
      <c r="L1009" s="846"/>
      <c r="M1009" s="1517"/>
      <c r="N1009" s="846"/>
      <c r="O1009" s="1517"/>
      <c r="P1009" s="846"/>
      <c r="Q1009" s="1296"/>
      <c r="R1009" s="846"/>
      <c r="S1009" s="846"/>
      <c r="T1009" s="846"/>
    </row>
    <row r="1010" ht="15.0" customHeight="1">
      <c r="A1010" s="1296"/>
      <c r="B1010" s="846"/>
      <c r="C1010" s="1517"/>
      <c r="D1010" s="846"/>
      <c r="E1010" s="846"/>
      <c r="F1010" s="846"/>
      <c r="G1010" s="846"/>
      <c r="H1010" s="846"/>
      <c r="I1010" s="1296"/>
      <c r="J1010" s="846"/>
      <c r="K1010" s="1296"/>
      <c r="L1010" s="846"/>
      <c r="M1010" s="1517"/>
      <c r="N1010" s="846"/>
      <c r="O1010" s="1517"/>
      <c r="P1010" s="846"/>
      <c r="Q1010" s="1296"/>
      <c r="R1010" s="846"/>
      <c r="S1010" s="846"/>
      <c r="T1010" s="846"/>
    </row>
    <row r="1011" ht="15.0" customHeight="1">
      <c r="A1011" s="1296"/>
      <c r="B1011" s="846"/>
      <c r="C1011" s="1517"/>
      <c r="D1011" s="846"/>
      <c r="E1011" s="846"/>
      <c r="F1011" s="846"/>
      <c r="G1011" s="846"/>
      <c r="H1011" s="846"/>
      <c r="I1011" s="1296"/>
      <c r="J1011" s="846"/>
      <c r="K1011" s="1296"/>
      <c r="L1011" s="846"/>
      <c r="M1011" s="1517"/>
      <c r="N1011" s="846"/>
      <c r="O1011" s="1517"/>
      <c r="P1011" s="846"/>
      <c r="Q1011" s="1296"/>
      <c r="R1011" s="846"/>
      <c r="S1011" s="846"/>
      <c r="T1011" s="846"/>
    </row>
    <row r="1012" ht="15.0" customHeight="1">
      <c r="A1012" s="1296"/>
      <c r="B1012" s="846"/>
      <c r="C1012" s="1517"/>
      <c r="D1012" s="846"/>
      <c r="E1012" s="846"/>
      <c r="F1012" s="846"/>
      <c r="G1012" s="846"/>
      <c r="H1012" s="846"/>
      <c r="I1012" s="1296"/>
      <c r="J1012" s="846"/>
      <c r="K1012" s="1296"/>
      <c r="L1012" s="846"/>
      <c r="M1012" s="1517"/>
      <c r="N1012" s="846"/>
      <c r="O1012" s="1517"/>
      <c r="P1012" s="846"/>
      <c r="Q1012" s="1296"/>
      <c r="R1012" s="846"/>
      <c r="S1012" s="846"/>
      <c r="T1012" s="846"/>
    </row>
    <row r="1013" ht="15.0" customHeight="1">
      <c r="A1013" s="1296"/>
      <c r="B1013" s="846"/>
      <c r="C1013" s="1517"/>
      <c r="D1013" s="846"/>
      <c r="E1013" s="846"/>
      <c r="F1013" s="846"/>
      <c r="G1013" s="846"/>
      <c r="H1013" s="846"/>
      <c r="I1013" s="1296"/>
      <c r="J1013" s="846"/>
      <c r="K1013" s="1296"/>
      <c r="L1013" s="846"/>
      <c r="M1013" s="1517"/>
      <c r="N1013" s="846"/>
      <c r="O1013" s="1517"/>
      <c r="P1013" s="846"/>
      <c r="Q1013" s="1296"/>
      <c r="R1013" s="846"/>
      <c r="S1013" s="846"/>
      <c r="T1013" s="846"/>
    </row>
    <row r="1014" ht="15.0" customHeight="1">
      <c r="A1014" s="1296"/>
      <c r="B1014" s="846"/>
      <c r="C1014" s="1517"/>
      <c r="D1014" s="846"/>
      <c r="E1014" s="846"/>
      <c r="F1014" s="846"/>
      <c r="G1014" s="846"/>
      <c r="H1014" s="846"/>
      <c r="I1014" s="1296"/>
      <c r="J1014" s="846"/>
      <c r="K1014" s="1296"/>
      <c r="L1014" s="846"/>
      <c r="M1014" s="1517"/>
      <c r="N1014" s="846"/>
      <c r="O1014" s="1517"/>
      <c r="P1014" s="846"/>
      <c r="Q1014" s="1296"/>
      <c r="R1014" s="846"/>
      <c r="S1014" s="846"/>
      <c r="T1014" s="846"/>
    </row>
    <row r="1015" ht="15.0" customHeight="1">
      <c r="A1015" s="1296"/>
      <c r="B1015" s="846"/>
      <c r="C1015" s="1517"/>
      <c r="D1015" s="846"/>
      <c r="E1015" s="846"/>
      <c r="F1015" s="846"/>
      <c r="G1015" s="846"/>
      <c r="H1015" s="846"/>
      <c r="I1015" s="1296"/>
      <c r="J1015" s="846"/>
      <c r="K1015" s="1296"/>
      <c r="L1015" s="846"/>
      <c r="M1015" s="1517"/>
      <c r="N1015" s="846"/>
      <c r="O1015" s="1517"/>
      <c r="P1015" s="846"/>
      <c r="Q1015" s="1296"/>
      <c r="R1015" s="846"/>
      <c r="S1015" s="846"/>
      <c r="T1015" s="846"/>
    </row>
    <row r="1016" ht="15.0" customHeight="1">
      <c r="A1016" s="1296"/>
      <c r="B1016" s="846"/>
      <c r="C1016" s="1517"/>
      <c r="D1016" s="846"/>
      <c r="E1016" s="846"/>
      <c r="F1016" s="846"/>
      <c r="G1016" s="846"/>
      <c r="H1016" s="846"/>
      <c r="I1016" s="1296"/>
      <c r="J1016" s="846"/>
      <c r="K1016" s="1296"/>
      <c r="L1016" s="846"/>
      <c r="M1016" s="1517"/>
      <c r="N1016" s="846"/>
      <c r="O1016" s="1517"/>
      <c r="P1016" s="846"/>
      <c r="Q1016" s="1296"/>
      <c r="R1016" s="846"/>
      <c r="S1016" s="846"/>
      <c r="T1016" s="846"/>
    </row>
    <row r="1017" ht="15.0" customHeight="1">
      <c r="A1017" s="1296"/>
      <c r="B1017" s="846"/>
      <c r="C1017" s="1517"/>
      <c r="D1017" s="846"/>
      <c r="E1017" s="846"/>
      <c r="F1017" s="846"/>
      <c r="G1017" s="846"/>
      <c r="H1017" s="846"/>
      <c r="I1017" s="1296"/>
      <c r="J1017" s="846"/>
      <c r="K1017" s="1296"/>
      <c r="L1017" s="846"/>
      <c r="M1017" s="1517"/>
      <c r="N1017" s="846"/>
      <c r="O1017" s="1517"/>
      <c r="P1017" s="846"/>
      <c r="Q1017" s="1296"/>
      <c r="R1017" s="846"/>
      <c r="S1017" s="846"/>
      <c r="T1017" s="846"/>
    </row>
    <row r="1018" ht="15.0" customHeight="1">
      <c r="A1018" s="1296"/>
      <c r="B1018" s="846"/>
      <c r="C1018" s="1517"/>
      <c r="D1018" s="846"/>
      <c r="E1018" s="846"/>
      <c r="F1018" s="846"/>
      <c r="G1018" s="846"/>
      <c r="H1018" s="846"/>
      <c r="I1018" s="1296"/>
      <c r="J1018" s="846"/>
      <c r="K1018" s="1296"/>
      <c r="L1018" s="846"/>
      <c r="M1018" s="1517"/>
      <c r="N1018" s="846"/>
      <c r="O1018" s="1517"/>
      <c r="P1018" s="846"/>
      <c r="Q1018" s="1296"/>
      <c r="R1018" s="846"/>
      <c r="S1018" s="846"/>
      <c r="T1018" s="846"/>
    </row>
    <row r="1019" ht="15.0" customHeight="1">
      <c r="A1019" s="1296"/>
      <c r="B1019" s="846"/>
      <c r="C1019" s="1517"/>
      <c r="D1019" s="846"/>
      <c r="E1019" s="846"/>
      <c r="F1019" s="846"/>
      <c r="G1019" s="846"/>
      <c r="H1019" s="846"/>
      <c r="I1019" s="1296"/>
      <c r="J1019" s="846"/>
      <c r="K1019" s="1296"/>
      <c r="L1019" s="846"/>
      <c r="M1019" s="1517"/>
      <c r="N1019" s="846"/>
      <c r="O1019" s="1517"/>
      <c r="P1019" s="846"/>
      <c r="Q1019" s="1296"/>
      <c r="R1019" s="846"/>
      <c r="S1019" s="846"/>
      <c r="T1019" s="846"/>
    </row>
    <row r="1020" ht="15.0" customHeight="1">
      <c r="A1020" s="1296"/>
      <c r="B1020" s="846"/>
      <c r="C1020" s="1517"/>
      <c r="D1020" s="846"/>
      <c r="E1020" s="846"/>
      <c r="F1020" s="846"/>
      <c r="G1020" s="846"/>
      <c r="H1020" s="846"/>
      <c r="I1020" s="1296"/>
      <c r="J1020" s="846"/>
      <c r="K1020" s="1296"/>
      <c r="L1020" s="846"/>
      <c r="M1020" s="1517"/>
      <c r="N1020" s="846"/>
      <c r="O1020" s="1517"/>
      <c r="P1020" s="846"/>
      <c r="Q1020" s="1296"/>
      <c r="R1020" s="846"/>
      <c r="S1020" s="846"/>
      <c r="T1020" s="846"/>
    </row>
    <row r="1021" ht="15.0" customHeight="1">
      <c r="A1021" s="1296"/>
      <c r="B1021" s="846"/>
      <c r="C1021" s="1517"/>
      <c r="D1021" s="846"/>
      <c r="E1021" s="846"/>
      <c r="F1021" s="846"/>
      <c r="G1021" s="846"/>
      <c r="H1021" s="846"/>
      <c r="I1021" s="1296"/>
      <c r="J1021" s="846"/>
      <c r="K1021" s="1296"/>
      <c r="L1021" s="846"/>
      <c r="M1021" s="1517"/>
      <c r="N1021" s="846"/>
      <c r="O1021" s="1517"/>
      <c r="P1021" s="846"/>
      <c r="Q1021" s="1296"/>
      <c r="R1021" s="846"/>
      <c r="S1021" s="846"/>
      <c r="T1021" s="846"/>
    </row>
    <row r="1022" ht="15.0" customHeight="1">
      <c r="A1022" s="1296"/>
      <c r="B1022" s="846"/>
      <c r="C1022" s="1517"/>
      <c r="D1022" s="846"/>
      <c r="E1022" s="846"/>
      <c r="F1022" s="846"/>
      <c r="G1022" s="846"/>
      <c r="H1022" s="846"/>
      <c r="I1022" s="1296"/>
      <c r="J1022" s="846"/>
      <c r="K1022" s="1296"/>
      <c r="L1022" s="846"/>
      <c r="M1022" s="1517"/>
      <c r="N1022" s="846"/>
      <c r="O1022" s="1517"/>
      <c r="P1022" s="846"/>
      <c r="Q1022" s="1296"/>
      <c r="R1022" s="846"/>
      <c r="S1022" s="846"/>
      <c r="T1022" s="846"/>
    </row>
    <row r="1023" ht="15.0" customHeight="1">
      <c r="A1023" s="1296"/>
      <c r="B1023" s="846"/>
      <c r="C1023" s="1517"/>
      <c r="D1023" s="846"/>
      <c r="E1023" s="846"/>
      <c r="F1023" s="846"/>
      <c r="G1023" s="846"/>
      <c r="H1023" s="846"/>
      <c r="I1023" s="1296"/>
      <c r="J1023" s="846"/>
      <c r="K1023" s="1296"/>
      <c r="L1023" s="846"/>
      <c r="M1023" s="1517"/>
      <c r="N1023" s="846"/>
      <c r="O1023" s="1517"/>
      <c r="P1023" s="846"/>
      <c r="Q1023" s="1296"/>
      <c r="R1023" s="846"/>
      <c r="S1023" s="846"/>
      <c r="T1023" s="846"/>
    </row>
    <row r="1024" ht="15.0" customHeight="1">
      <c r="A1024" s="1296"/>
      <c r="B1024" s="846"/>
      <c r="C1024" s="1517"/>
      <c r="D1024" s="846"/>
      <c r="E1024" s="846"/>
      <c r="F1024" s="846"/>
      <c r="G1024" s="846"/>
      <c r="H1024" s="846"/>
      <c r="I1024" s="1296"/>
      <c r="J1024" s="846"/>
      <c r="K1024" s="1296"/>
      <c r="L1024" s="846"/>
      <c r="M1024" s="1517"/>
      <c r="N1024" s="846"/>
      <c r="O1024" s="1517"/>
      <c r="P1024" s="846"/>
      <c r="Q1024" s="1296"/>
      <c r="R1024" s="846"/>
      <c r="S1024" s="846"/>
      <c r="T1024" s="846"/>
    </row>
    <row r="1025" ht="15.0" customHeight="1">
      <c r="A1025" s="1296"/>
      <c r="B1025" s="846"/>
      <c r="C1025" s="1517"/>
      <c r="D1025" s="846"/>
      <c r="E1025" s="846"/>
      <c r="F1025" s="846"/>
      <c r="G1025" s="846"/>
      <c r="H1025" s="846"/>
      <c r="I1025" s="1296"/>
      <c r="J1025" s="846"/>
      <c r="K1025" s="1296"/>
      <c r="L1025" s="846"/>
      <c r="M1025" s="1517"/>
      <c r="N1025" s="846"/>
      <c r="O1025" s="1517"/>
      <c r="P1025" s="846"/>
      <c r="Q1025" s="1296"/>
      <c r="R1025" s="846"/>
      <c r="S1025" s="846"/>
      <c r="T1025" s="846"/>
    </row>
    <row r="1026" ht="15.0" customHeight="1">
      <c r="A1026" s="1296"/>
      <c r="B1026" s="846"/>
      <c r="C1026" s="1517"/>
      <c r="D1026" s="846"/>
      <c r="E1026" s="846"/>
      <c r="F1026" s="846"/>
      <c r="G1026" s="846"/>
      <c r="H1026" s="846"/>
      <c r="I1026" s="1296"/>
      <c r="J1026" s="846"/>
      <c r="K1026" s="1296"/>
      <c r="L1026" s="846"/>
      <c r="M1026" s="1517"/>
      <c r="N1026" s="846"/>
      <c r="O1026" s="1517"/>
      <c r="P1026" s="846"/>
      <c r="Q1026" s="1296"/>
      <c r="R1026" s="846"/>
      <c r="S1026" s="846"/>
      <c r="T1026" s="846"/>
    </row>
    <row r="1027" ht="15.0" customHeight="1">
      <c r="A1027" s="1296"/>
      <c r="B1027" s="846"/>
      <c r="C1027" s="1517"/>
      <c r="D1027" s="846"/>
      <c r="E1027" s="846"/>
      <c r="F1027" s="846"/>
      <c r="G1027" s="846"/>
      <c r="H1027" s="846"/>
      <c r="I1027" s="1296"/>
      <c r="J1027" s="846"/>
      <c r="K1027" s="1296"/>
      <c r="L1027" s="846"/>
      <c r="M1027" s="1517"/>
      <c r="N1027" s="846"/>
      <c r="O1027" s="1517"/>
      <c r="P1027" s="846"/>
      <c r="Q1027" s="1296"/>
      <c r="R1027" s="846"/>
      <c r="S1027" s="846"/>
      <c r="T1027" s="846"/>
    </row>
    <row r="1028" ht="15.0" customHeight="1">
      <c r="A1028" s="1296"/>
      <c r="B1028" s="846"/>
      <c r="C1028" s="1517"/>
      <c r="D1028" s="846"/>
      <c r="E1028" s="846"/>
      <c r="F1028" s="846"/>
      <c r="G1028" s="846"/>
      <c r="H1028" s="846"/>
      <c r="I1028" s="1296"/>
      <c r="J1028" s="846"/>
      <c r="K1028" s="1296"/>
      <c r="L1028" s="846"/>
      <c r="M1028" s="1517"/>
      <c r="N1028" s="846"/>
      <c r="O1028" s="1517"/>
      <c r="P1028" s="846"/>
      <c r="Q1028" s="1296"/>
      <c r="R1028" s="846"/>
      <c r="S1028" s="846"/>
      <c r="T1028" s="846"/>
    </row>
    <row r="1029" ht="15.0" customHeight="1">
      <c r="A1029" s="1296"/>
      <c r="B1029" s="846"/>
      <c r="C1029" s="1517"/>
      <c r="D1029" s="846"/>
      <c r="E1029" s="846"/>
      <c r="F1029" s="846"/>
      <c r="G1029" s="846"/>
      <c r="H1029" s="846"/>
      <c r="I1029" s="1296"/>
      <c r="J1029" s="846"/>
      <c r="K1029" s="1296"/>
      <c r="L1029" s="846"/>
      <c r="M1029" s="1517"/>
      <c r="N1029" s="846"/>
      <c r="O1029" s="1517"/>
      <c r="P1029" s="846"/>
      <c r="Q1029" s="1296"/>
      <c r="R1029" s="846"/>
      <c r="S1029" s="846"/>
      <c r="T1029" s="846"/>
    </row>
    <row r="1030" ht="15.0" customHeight="1">
      <c r="A1030" s="1296"/>
      <c r="B1030" s="846"/>
      <c r="C1030" s="1517"/>
      <c r="D1030" s="846"/>
      <c r="E1030" s="846"/>
      <c r="F1030" s="846"/>
      <c r="G1030" s="846"/>
      <c r="H1030" s="846"/>
      <c r="I1030" s="1296"/>
      <c r="J1030" s="846"/>
      <c r="K1030" s="1296"/>
      <c r="L1030" s="846"/>
      <c r="M1030" s="1517"/>
      <c r="N1030" s="846"/>
      <c r="O1030" s="1517"/>
      <c r="P1030" s="846"/>
      <c r="Q1030" s="1296"/>
      <c r="R1030" s="846"/>
      <c r="S1030" s="846"/>
      <c r="T1030" s="846"/>
    </row>
    <row r="1031" ht="15.0" customHeight="1">
      <c r="A1031" s="1296"/>
      <c r="B1031" s="846"/>
      <c r="C1031" s="1517"/>
      <c r="D1031" s="846"/>
      <c r="E1031" s="846"/>
      <c r="F1031" s="846"/>
      <c r="G1031" s="846"/>
      <c r="H1031" s="846"/>
      <c r="I1031" s="1296"/>
      <c r="J1031" s="846"/>
      <c r="K1031" s="1296"/>
      <c r="L1031" s="846"/>
      <c r="M1031" s="1517"/>
      <c r="N1031" s="846"/>
      <c r="O1031" s="1517"/>
      <c r="P1031" s="846"/>
      <c r="Q1031" s="1296"/>
      <c r="R1031" s="846"/>
      <c r="S1031" s="846"/>
      <c r="T1031" s="846"/>
    </row>
    <row r="1032" ht="15.0" customHeight="1">
      <c r="A1032" s="1296"/>
      <c r="B1032" s="846"/>
      <c r="C1032" s="1517"/>
      <c r="D1032" s="846"/>
      <c r="E1032" s="846"/>
      <c r="F1032" s="846"/>
      <c r="G1032" s="846"/>
      <c r="H1032" s="846"/>
      <c r="I1032" s="1296"/>
      <c r="J1032" s="846"/>
      <c r="K1032" s="1296"/>
      <c r="L1032" s="846"/>
      <c r="M1032" s="1517"/>
      <c r="N1032" s="846"/>
      <c r="O1032" s="1517"/>
      <c r="P1032" s="846"/>
      <c r="Q1032" s="1296"/>
      <c r="R1032" s="846"/>
      <c r="S1032" s="846"/>
      <c r="T1032" s="846"/>
    </row>
    <row r="1033" ht="15.0" customHeight="1">
      <c r="A1033" s="1296"/>
      <c r="B1033" s="846"/>
      <c r="C1033" s="1517"/>
      <c r="D1033" s="846"/>
      <c r="E1033" s="846"/>
      <c r="F1033" s="846"/>
      <c r="G1033" s="846"/>
      <c r="H1033" s="846"/>
      <c r="I1033" s="1296"/>
      <c r="J1033" s="846"/>
      <c r="K1033" s="1296"/>
      <c r="L1033" s="846"/>
      <c r="M1033" s="1517"/>
      <c r="N1033" s="846"/>
      <c r="O1033" s="1517"/>
      <c r="P1033" s="846"/>
      <c r="Q1033" s="1296"/>
      <c r="R1033" s="846"/>
      <c r="S1033" s="846"/>
      <c r="T1033" s="846"/>
    </row>
    <row r="1034" ht="15.0" customHeight="1">
      <c r="A1034" s="1296"/>
      <c r="B1034" s="846"/>
      <c r="C1034" s="1517"/>
      <c r="D1034" s="846"/>
      <c r="E1034" s="846"/>
      <c r="F1034" s="846"/>
      <c r="G1034" s="846"/>
      <c r="H1034" s="846"/>
      <c r="I1034" s="1296"/>
      <c r="J1034" s="846"/>
      <c r="K1034" s="1296"/>
      <c r="L1034" s="846"/>
      <c r="M1034" s="1517"/>
      <c r="N1034" s="846"/>
      <c r="O1034" s="1517"/>
      <c r="P1034" s="846"/>
      <c r="Q1034" s="1296"/>
      <c r="R1034" s="846"/>
      <c r="S1034" s="846"/>
      <c r="T1034" s="846"/>
    </row>
    <row r="1035" ht="15.0" customHeight="1">
      <c r="A1035" s="1296"/>
      <c r="B1035" s="846"/>
      <c r="C1035" s="1517"/>
      <c r="D1035" s="846"/>
      <c r="E1035" s="846"/>
      <c r="F1035" s="846"/>
      <c r="G1035" s="846"/>
      <c r="H1035" s="846"/>
      <c r="I1035" s="1296"/>
      <c r="J1035" s="846"/>
      <c r="K1035" s="1296"/>
      <c r="L1035" s="846"/>
      <c r="M1035" s="1517"/>
      <c r="N1035" s="846"/>
      <c r="O1035" s="1517"/>
      <c r="P1035" s="846"/>
      <c r="Q1035" s="1296"/>
      <c r="R1035" s="846"/>
      <c r="S1035" s="846"/>
      <c r="T1035" s="846"/>
    </row>
    <row r="1036" ht="15.0" customHeight="1">
      <c r="A1036" s="1296"/>
      <c r="B1036" s="846"/>
      <c r="C1036" s="1517"/>
      <c r="D1036" s="846"/>
      <c r="E1036" s="846"/>
      <c r="F1036" s="846"/>
      <c r="G1036" s="846"/>
      <c r="H1036" s="846"/>
      <c r="I1036" s="1296"/>
      <c r="J1036" s="846"/>
      <c r="K1036" s="1296"/>
      <c r="L1036" s="846"/>
      <c r="M1036" s="1517"/>
      <c r="N1036" s="846"/>
      <c r="O1036" s="1517"/>
      <c r="P1036" s="846"/>
      <c r="Q1036" s="1296"/>
      <c r="R1036" s="846"/>
      <c r="S1036" s="846"/>
      <c r="T1036" s="846"/>
    </row>
    <row r="1037" ht="15.0" customHeight="1">
      <c r="A1037" s="1296"/>
      <c r="B1037" s="846"/>
      <c r="C1037" s="1517"/>
      <c r="D1037" s="846"/>
      <c r="E1037" s="846"/>
      <c r="F1037" s="846"/>
      <c r="G1037" s="846"/>
      <c r="H1037" s="846"/>
      <c r="I1037" s="1296"/>
      <c r="J1037" s="846"/>
      <c r="K1037" s="1296"/>
      <c r="L1037" s="846"/>
      <c r="M1037" s="1517"/>
      <c r="N1037" s="846"/>
      <c r="O1037" s="1517"/>
      <c r="P1037" s="846"/>
      <c r="Q1037" s="1296"/>
      <c r="R1037" s="846"/>
      <c r="S1037" s="846"/>
      <c r="T1037" s="846"/>
    </row>
    <row r="1038" ht="15.0" customHeight="1">
      <c r="A1038" s="1296"/>
      <c r="B1038" s="846"/>
      <c r="C1038" s="1517"/>
      <c r="D1038" s="846"/>
      <c r="E1038" s="846"/>
      <c r="F1038" s="846"/>
      <c r="G1038" s="846"/>
      <c r="H1038" s="846"/>
      <c r="I1038" s="1296"/>
      <c r="J1038" s="846"/>
      <c r="K1038" s="1296"/>
      <c r="L1038" s="846"/>
      <c r="M1038" s="1517"/>
      <c r="N1038" s="846"/>
      <c r="O1038" s="1517"/>
      <c r="P1038" s="846"/>
      <c r="Q1038" s="1296"/>
      <c r="R1038" s="846"/>
      <c r="S1038" s="846"/>
      <c r="T1038" s="846"/>
    </row>
    <row r="1039" ht="15.0" customHeight="1">
      <c r="A1039" s="1296"/>
      <c r="B1039" s="846"/>
      <c r="C1039" s="1517"/>
      <c r="D1039" s="846"/>
      <c r="E1039" s="846"/>
      <c r="F1039" s="846"/>
      <c r="G1039" s="846"/>
      <c r="H1039" s="846"/>
      <c r="I1039" s="1296"/>
      <c r="J1039" s="846"/>
      <c r="K1039" s="1296"/>
      <c r="L1039" s="846"/>
      <c r="M1039" s="1517"/>
      <c r="N1039" s="846"/>
      <c r="O1039" s="1517"/>
      <c r="P1039" s="846"/>
      <c r="Q1039" s="1296"/>
      <c r="R1039" s="846"/>
      <c r="S1039" s="846"/>
      <c r="T1039" s="846"/>
    </row>
    <row r="1040" ht="15.0" customHeight="1">
      <c r="A1040" s="1296"/>
      <c r="B1040" s="846"/>
      <c r="C1040" s="1517"/>
      <c r="D1040" s="846"/>
      <c r="E1040" s="846"/>
      <c r="F1040" s="846"/>
      <c r="G1040" s="846"/>
      <c r="H1040" s="846"/>
      <c r="I1040" s="1296"/>
      <c r="J1040" s="846"/>
      <c r="K1040" s="1296"/>
      <c r="L1040" s="846"/>
      <c r="M1040" s="1517"/>
      <c r="N1040" s="846"/>
      <c r="O1040" s="1517"/>
      <c r="P1040" s="846"/>
      <c r="Q1040" s="1296"/>
      <c r="R1040" s="846"/>
      <c r="S1040" s="846"/>
      <c r="T1040" s="846"/>
    </row>
    <row r="1041" ht="15.0" customHeight="1">
      <c r="A1041" s="1296"/>
      <c r="B1041" s="846"/>
      <c r="C1041" s="1517"/>
      <c r="D1041" s="846"/>
      <c r="E1041" s="846"/>
      <c r="F1041" s="846"/>
      <c r="G1041" s="846"/>
      <c r="H1041" s="846"/>
      <c r="I1041" s="1296"/>
      <c r="J1041" s="846"/>
      <c r="K1041" s="1296"/>
      <c r="L1041" s="846"/>
      <c r="M1041" s="1517"/>
      <c r="N1041" s="846"/>
      <c r="O1041" s="1517"/>
      <c r="P1041" s="846"/>
      <c r="Q1041" s="1296"/>
      <c r="R1041" s="846"/>
      <c r="S1041" s="846"/>
      <c r="T1041" s="846"/>
    </row>
    <row r="1042" ht="15.0" customHeight="1">
      <c r="A1042" s="1296"/>
      <c r="B1042" s="846"/>
      <c r="C1042" s="1517"/>
      <c r="D1042" s="846"/>
      <c r="E1042" s="846"/>
      <c r="F1042" s="846"/>
      <c r="G1042" s="846"/>
      <c r="H1042" s="846"/>
      <c r="I1042" s="1296"/>
      <c r="J1042" s="846"/>
      <c r="K1042" s="1296"/>
      <c r="L1042" s="846"/>
      <c r="M1042" s="1517"/>
      <c r="N1042" s="846"/>
      <c r="O1042" s="1517"/>
      <c r="P1042" s="846"/>
      <c r="Q1042" s="1296"/>
      <c r="R1042" s="846"/>
      <c r="S1042" s="846"/>
      <c r="T1042" s="846"/>
    </row>
    <row r="1043" ht="15.0" customHeight="1">
      <c r="A1043" s="1296"/>
      <c r="B1043" s="846"/>
      <c r="C1043" s="1517"/>
      <c r="D1043" s="846"/>
      <c r="E1043" s="846"/>
      <c r="F1043" s="846"/>
      <c r="G1043" s="846"/>
      <c r="H1043" s="846"/>
      <c r="I1043" s="1296"/>
      <c r="J1043" s="846"/>
      <c r="K1043" s="1296"/>
      <c r="L1043" s="846"/>
      <c r="M1043" s="1517"/>
      <c r="N1043" s="846"/>
      <c r="O1043" s="1517"/>
      <c r="P1043" s="846"/>
      <c r="Q1043" s="1296"/>
      <c r="R1043" s="846"/>
      <c r="S1043" s="846"/>
      <c r="T1043" s="846"/>
    </row>
    <row r="1044" ht="15.0" customHeight="1">
      <c r="A1044" s="1296"/>
      <c r="B1044" s="846"/>
      <c r="C1044" s="1517"/>
      <c r="D1044" s="846"/>
      <c r="E1044" s="846"/>
      <c r="F1044" s="846"/>
      <c r="G1044" s="846"/>
      <c r="H1044" s="846"/>
      <c r="I1044" s="1296"/>
      <c r="J1044" s="846"/>
      <c r="K1044" s="1296"/>
      <c r="L1044" s="846"/>
      <c r="M1044" s="1517"/>
      <c r="N1044" s="846"/>
      <c r="O1044" s="1517"/>
      <c r="P1044" s="846"/>
      <c r="Q1044" s="1296"/>
      <c r="R1044" s="846"/>
      <c r="S1044" s="846"/>
      <c r="T1044" s="846"/>
    </row>
    <row r="1045" ht="15.0" customHeight="1">
      <c r="A1045" s="1296"/>
      <c r="B1045" s="846"/>
      <c r="C1045" s="1517"/>
      <c r="D1045" s="846"/>
      <c r="E1045" s="846"/>
      <c r="F1045" s="846"/>
      <c r="G1045" s="846"/>
      <c r="H1045" s="846"/>
      <c r="I1045" s="1296"/>
      <c r="J1045" s="846"/>
      <c r="K1045" s="1296"/>
      <c r="L1045" s="846"/>
      <c r="M1045" s="1517"/>
      <c r="N1045" s="846"/>
      <c r="O1045" s="1517"/>
      <c r="P1045" s="846"/>
      <c r="Q1045" s="1296"/>
      <c r="R1045" s="846"/>
      <c r="S1045" s="846"/>
      <c r="T1045" s="846"/>
    </row>
    <row r="1046" ht="15.0" customHeight="1">
      <c r="A1046" s="1296"/>
      <c r="B1046" s="846"/>
      <c r="C1046" s="1517"/>
      <c r="D1046" s="846"/>
      <c r="E1046" s="846"/>
      <c r="F1046" s="846"/>
      <c r="G1046" s="846"/>
      <c r="H1046" s="846"/>
      <c r="I1046" s="1296"/>
      <c r="J1046" s="846"/>
      <c r="K1046" s="1296"/>
      <c r="L1046" s="846"/>
      <c r="M1046" s="1517"/>
      <c r="N1046" s="846"/>
      <c r="O1046" s="1517"/>
      <c r="P1046" s="846"/>
      <c r="Q1046" s="1296"/>
      <c r="R1046" s="846"/>
      <c r="S1046" s="846"/>
      <c r="T1046" s="846"/>
    </row>
    <row r="1047" ht="15.0" customHeight="1">
      <c r="A1047" s="1296"/>
      <c r="B1047" s="846"/>
      <c r="C1047" s="1517"/>
      <c r="D1047" s="846"/>
      <c r="E1047" s="846"/>
      <c r="F1047" s="846"/>
      <c r="G1047" s="846"/>
      <c r="H1047" s="846"/>
      <c r="I1047" s="1296"/>
      <c r="J1047" s="846"/>
      <c r="K1047" s="1296"/>
      <c r="L1047" s="846"/>
      <c r="M1047" s="1517"/>
      <c r="N1047" s="846"/>
      <c r="O1047" s="1517"/>
      <c r="P1047" s="846"/>
      <c r="Q1047" s="1296"/>
      <c r="R1047" s="846"/>
      <c r="S1047" s="846"/>
      <c r="T1047" s="846"/>
    </row>
    <row r="1048" ht="15.0" customHeight="1">
      <c r="A1048" s="1296"/>
      <c r="B1048" s="846"/>
      <c r="C1048" s="1517"/>
      <c r="D1048" s="846"/>
      <c r="E1048" s="846"/>
      <c r="F1048" s="846"/>
      <c r="G1048" s="846"/>
      <c r="H1048" s="846"/>
      <c r="I1048" s="1296"/>
      <c r="J1048" s="846"/>
      <c r="K1048" s="1296"/>
      <c r="L1048" s="846"/>
      <c r="M1048" s="1517"/>
      <c r="N1048" s="846"/>
      <c r="O1048" s="1517"/>
      <c r="P1048" s="846"/>
      <c r="Q1048" s="1296"/>
      <c r="R1048" s="846"/>
      <c r="S1048" s="846"/>
      <c r="T1048" s="846"/>
    </row>
    <row r="1049" ht="15.0" customHeight="1">
      <c r="A1049" s="1296"/>
      <c r="B1049" s="846"/>
      <c r="C1049" s="1517"/>
      <c r="D1049" s="846"/>
      <c r="E1049" s="846"/>
      <c r="F1049" s="846"/>
      <c r="G1049" s="846"/>
      <c r="H1049" s="846"/>
      <c r="I1049" s="1296"/>
      <c r="J1049" s="846"/>
      <c r="K1049" s="1296"/>
      <c r="L1049" s="846"/>
      <c r="M1049" s="1517"/>
      <c r="N1049" s="846"/>
      <c r="O1049" s="1517"/>
      <c r="P1049" s="846"/>
      <c r="Q1049" s="1296"/>
      <c r="R1049" s="846"/>
      <c r="S1049" s="846"/>
      <c r="T1049" s="846"/>
    </row>
    <row r="1050" ht="15.0" customHeight="1">
      <c r="A1050" s="1296"/>
      <c r="B1050" s="846"/>
      <c r="C1050" s="1517"/>
      <c r="D1050" s="846"/>
      <c r="E1050" s="846"/>
      <c r="F1050" s="846"/>
      <c r="G1050" s="846"/>
      <c r="H1050" s="846"/>
      <c r="I1050" s="1296"/>
      <c r="J1050" s="846"/>
      <c r="K1050" s="1296"/>
      <c r="L1050" s="846"/>
      <c r="M1050" s="1517"/>
      <c r="N1050" s="846"/>
      <c r="O1050" s="1517"/>
      <c r="P1050" s="846"/>
      <c r="Q1050" s="1296"/>
      <c r="R1050" s="846"/>
      <c r="S1050" s="846"/>
      <c r="T1050" s="846"/>
    </row>
    <row r="1051" ht="15.0" customHeight="1">
      <c r="A1051" s="1296"/>
      <c r="B1051" s="846"/>
      <c r="C1051" s="1517"/>
      <c r="D1051" s="846"/>
      <c r="E1051" s="846"/>
      <c r="F1051" s="846"/>
      <c r="G1051" s="846"/>
      <c r="H1051" s="846"/>
      <c r="I1051" s="1296"/>
      <c r="J1051" s="846"/>
      <c r="K1051" s="1296"/>
      <c r="L1051" s="846"/>
      <c r="M1051" s="1517"/>
      <c r="N1051" s="846"/>
      <c r="O1051" s="1517"/>
      <c r="P1051" s="846"/>
      <c r="Q1051" s="1296"/>
      <c r="R1051" s="846"/>
      <c r="S1051" s="846"/>
      <c r="T1051" s="846"/>
    </row>
    <row r="1052" ht="15.0" customHeight="1">
      <c r="A1052" s="1296"/>
      <c r="B1052" s="846"/>
      <c r="C1052" s="1517"/>
      <c r="D1052" s="846"/>
      <c r="E1052" s="846"/>
      <c r="F1052" s="846"/>
      <c r="G1052" s="846"/>
      <c r="H1052" s="846"/>
      <c r="I1052" s="1296"/>
      <c r="J1052" s="846"/>
      <c r="K1052" s="1296"/>
      <c r="L1052" s="846"/>
      <c r="M1052" s="1517"/>
      <c r="N1052" s="846"/>
      <c r="O1052" s="1517"/>
      <c r="P1052" s="846"/>
      <c r="Q1052" s="1296"/>
      <c r="R1052" s="846"/>
      <c r="S1052" s="846"/>
      <c r="T1052" s="846"/>
    </row>
    <row r="1053" ht="15.0" customHeight="1">
      <c r="A1053" s="1296"/>
      <c r="B1053" s="846"/>
      <c r="C1053" s="1517"/>
      <c r="D1053" s="846"/>
      <c r="E1053" s="846"/>
      <c r="F1053" s="846"/>
      <c r="G1053" s="846"/>
      <c r="H1053" s="846"/>
      <c r="I1053" s="1296"/>
      <c r="J1053" s="846"/>
      <c r="K1053" s="1296"/>
      <c r="L1053" s="846"/>
      <c r="M1053" s="1517"/>
      <c r="N1053" s="846"/>
      <c r="O1053" s="1517"/>
      <c r="P1053" s="846"/>
      <c r="Q1053" s="1296"/>
      <c r="R1053" s="846"/>
      <c r="S1053" s="846"/>
      <c r="T1053" s="846"/>
    </row>
    <row r="1054" ht="15.0" customHeight="1">
      <c r="A1054" s="1296"/>
      <c r="B1054" s="846"/>
      <c r="C1054" s="1517"/>
      <c r="D1054" s="846"/>
      <c r="E1054" s="846"/>
      <c r="F1054" s="846"/>
      <c r="G1054" s="846"/>
      <c r="H1054" s="846"/>
      <c r="I1054" s="1296"/>
      <c r="J1054" s="846"/>
      <c r="K1054" s="1296"/>
      <c r="L1054" s="846"/>
      <c r="M1054" s="1517"/>
      <c r="N1054" s="846"/>
      <c r="O1054" s="1517"/>
      <c r="P1054" s="846"/>
      <c r="Q1054" s="1296"/>
      <c r="R1054" s="846"/>
      <c r="S1054" s="846"/>
      <c r="T1054" s="846"/>
    </row>
    <row r="1055" ht="15.0" customHeight="1">
      <c r="A1055" s="1296"/>
      <c r="B1055" s="846"/>
      <c r="C1055" s="1517"/>
      <c r="D1055" s="846"/>
      <c r="E1055" s="846"/>
      <c r="F1055" s="846"/>
      <c r="G1055" s="846"/>
      <c r="H1055" s="846"/>
      <c r="I1055" s="1296"/>
      <c r="J1055" s="846"/>
      <c r="K1055" s="1296"/>
      <c r="L1055" s="846"/>
      <c r="M1055" s="1517"/>
      <c r="N1055" s="846"/>
      <c r="O1055" s="1517"/>
      <c r="P1055" s="846"/>
      <c r="Q1055" s="1296"/>
      <c r="R1055" s="846"/>
      <c r="S1055" s="846"/>
      <c r="T1055" s="846"/>
    </row>
    <row r="1056" ht="15.0" customHeight="1">
      <c r="A1056" s="1296"/>
      <c r="B1056" s="846"/>
      <c r="C1056" s="1517"/>
      <c r="D1056" s="846"/>
      <c r="E1056" s="846"/>
      <c r="F1056" s="846"/>
      <c r="G1056" s="846"/>
      <c r="H1056" s="846"/>
      <c r="I1056" s="1296"/>
      <c r="J1056" s="846"/>
      <c r="K1056" s="1296"/>
      <c r="L1056" s="846"/>
      <c r="M1056" s="1517"/>
      <c r="N1056" s="846"/>
      <c r="O1056" s="1517"/>
      <c r="P1056" s="846"/>
      <c r="Q1056" s="1296"/>
      <c r="R1056" s="846"/>
      <c r="S1056" s="846"/>
      <c r="T1056" s="846"/>
    </row>
    <row r="1057" ht="15.0" customHeight="1">
      <c r="A1057" s="1296"/>
      <c r="B1057" s="846"/>
      <c r="C1057" s="1517"/>
      <c r="D1057" s="846"/>
      <c r="E1057" s="846"/>
      <c r="F1057" s="846"/>
      <c r="G1057" s="846"/>
      <c r="H1057" s="846"/>
      <c r="I1057" s="1296"/>
      <c r="J1057" s="846"/>
      <c r="K1057" s="1296"/>
      <c r="L1057" s="846"/>
      <c r="M1057" s="1517"/>
      <c r="N1057" s="846"/>
      <c r="O1057" s="1517"/>
      <c r="P1057" s="846"/>
      <c r="Q1057" s="1296"/>
      <c r="R1057" s="846"/>
      <c r="S1057" s="846"/>
      <c r="T1057" s="846"/>
    </row>
    <row r="1058" ht="15.0" customHeight="1">
      <c r="A1058" s="1296"/>
      <c r="B1058" s="846"/>
      <c r="C1058" s="1517"/>
      <c r="D1058" s="846"/>
      <c r="E1058" s="846"/>
      <c r="F1058" s="846"/>
      <c r="G1058" s="846"/>
      <c r="H1058" s="846"/>
      <c r="I1058" s="1296"/>
      <c r="J1058" s="846"/>
      <c r="K1058" s="1296"/>
      <c r="L1058" s="846"/>
      <c r="M1058" s="1517"/>
      <c r="N1058" s="846"/>
      <c r="O1058" s="1517"/>
      <c r="P1058" s="846"/>
      <c r="Q1058" s="1296"/>
      <c r="R1058" s="846"/>
      <c r="S1058" s="846"/>
      <c r="T1058" s="846"/>
    </row>
    <row r="1059" ht="15.0" customHeight="1">
      <c r="A1059" s="1296"/>
      <c r="B1059" s="846"/>
      <c r="C1059" s="1517"/>
      <c r="D1059" s="846"/>
      <c r="E1059" s="846"/>
      <c r="F1059" s="846"/>
      <c r="G1059" s="846"/>
      <c r="H1059" s="846"/>
      <c r="I1059" s="1296"/>
      <c r="J1059" s="846"/>
      <c r="K1059" s="1296"/>
      <c r="L1059" s="846"/>
      <c r="M1059" s="1517"/>
      <c r="N1059" s="846"/>
      <c r="O1059" s="1517"/>
      <c r="P1059" s="846"/>
      <c r="Q1059" s="1296"/>
      <c r="R1059" s="846"/>
      <c r="S1059" s="846"/>
      <c r="T1059" s="846"/>
    </row>
    <row r="1060" ht="15.0" customHeight="1">
      <c r="A1060" s="1296"/>
      <c r="B1060" s="846"/>
      <c r="C1060" s="1517"/>
      <c r="D1060" s="846"/>
      <c r="E1060" s="846"/>
      <c r="F1060" s="846"/>
      <c r="G1060" s="846"/>
      <c r="H1060" s="846"/>
      <c r="I1060" s="1296"/>
      <c r="J1060" s="846"/>
      <c r="K1060" s="1296"/>
      <c r="L1060" s="846"/>
      <c r="M1060" s="1517"/>
      <c r="N1060" s="846"/>
      <c r="O1060" s="1517"/>
      <c r="P1060" s="846"/>
      <c r="Q1060" s="1296"/>
      <c r="R1060" s="846"/>
      <c r="S1060" s="846"/>
      <c r="T1060" s="846"/>
    </row>
    <row r="1061" ht="15.0" customHeight="1">
      <c r="A1061" s="1296"/>
      <c r="B1061" s="846"/>
      <c r="C1061" s="1517"/>
      <c r="D1061" s="846"/>
      <c r="E1061" s="846"/>
      <c r="F1061" s="846"/>
      <c r="G1061" s="846"/>
      <c r="H1061" s="846"/>
      <c r="I1061" s="1296"/>
      <c r="J1061" s="846"/>
      <c r="K1061" s="1296"/>
      <c r="L1061" s="846"/>
      <c r="M1061" s="1517"/>
      <c r="N1061" s="846"/>
      <c r="O1061" s="1517"/>
      <c r="P1061" s="846"/>
      <c r="Q1061" s="1296"/>
      <c r="R1061" s="846"/>
      <c r="S1061" s="846"/>
      <c r="T1061" s="846"/>
    </row>
    <row r="1062" ht="15.0" customHeight="1">
      <c r="A1062" s="1296"/>
      <c r="B1062" s="846"/>
      <c r="C1062" s="1517"/>
      <c r="D1062" s="846"/>
      <c r="E1062" s="846"/>
      <c r="F1062" s="846"/>
      <c r="G1062" s="846"/>
      <c r="H1062" s="846"/>
      <c r="I1062" s="1296"/>
      <c r="J1062" s="846"/>
      <c r="K1062" s="1296"/>
      <c r="L1062" s="846"/>
      <c r="M1062" s="1517"/>
      <c r="N1062" s="846"/>
      <c r="O1062" s="1517"/>
      <c r="P1062" s="846"/>
      <c r="Q1062" s="1296"/>
      <c r="R1062" s="846"/>
      <c r="S1062" s="846"/>
      <c r="T1062" s="846"/>
    </row>
    <row r="1063" ht="15.0" customHeight="1">
      <c r="A1063" s="1296"/>
      <c r="B1063" s="846"/>
      <c r="C1063" s="1517"/>
      <c r="D1063" s="846"/>
      <c r="E1063" s="846"/>
      <c r="F1063" s="846"/>
      <c r="G1063" s="846"/>
      <c r="H1063" s="846"/>
      <c r="I1063" s="1296"/>
      <c r="J1063" s="846"/>
      <c r="K1063" s="1296"/>
      <c r="L1063" s="846"/>
      <c r="M1063" s="1517"/>
      <c r="N1063" s="846"/>
      <c r="O1063" s="1517"/>
      <c r="P1063" s="846"/>
      <c r="Q1063" s="1296"/>
      <c r="R1063" s="846"/>
      <c r="S1063" s="846"/>
      <c r="T1063" s="846"/>
    </row>
    <row r="1064" ht="15.0" customHeight="1">
      <c r="A1064" s="1296"/>
      <c r="B1064" s="846"/>
      <c r="C1064" s="1517"/>
      <c r="D1064" s="846"/>
      <c r="E1064" s="846"/>
      <c r="F1064" s="846"/>
      <c r="G1064" s="846"/>
      <c r="H1064" s="846"/>
      <c r="I1064" s="1296"/>
      <c r="J1064" s="846"/>
      <c r="K1064" s="1296"/>
      <c r="L1064" s="846"/>
      <c r="M1064" s="1517"/>
      <c r="N1064" s="846"/>
      <c r="O1064" s="1517"/>
      <c r="P1064" s="846"/>
      <c r="Q1064" s="1296"/>
      <c r="R1064" s="846"/>
      <c r="S1064" s="846"/>
      <c r="T1064" s="846"/>
    </row>
    <row r="1065" ht="15.0" customHeight="1">
      <c r="A1065" s="1296"/>
      <c r="B1065" s="846"/>
      <c r="C1065" s="1517"/>
      <c r="D1065" s="846"/>
      <c r="E1065" s="846"/>
      <c r="F1065" s="846"/>
      <c r="G1065" s="846"/>
      <c r="H1065" s="846"/>
      <c r="I1065" s="1296"/>
      <c r="J1065" s="846"/>
      <c r="K1065" s="1296"/>
      <c r="L1065" s="846"/>
      <c r="M1065" s="1517"/>
      <c r="N1065" s="846"/>
      <c r="O1065" s="1517"/>
      <c r="P1065" s="846"/>
      <c r="Q1065" s="1296"/>
      <c r="R1065" s="846"/>
      <c r="S1065" s="846"/>
      <c r="T1065" s="846"/>
    </row>
    <row r="1066" ht="15.0" customHeight="1">
      <c r="A1066" s="1296"/>
      <c r="B1066" s="846"/>
      <c r="C1066" s="1517"/>
      <c r="D1066" s="846"/>
      <c r="E1066" s="846"/>
      <c r="F1066" s="846"/>
      <c r="G1066" s="846"/>
      <c r="H1066" s="846"/>
      <c r="I1066" s="1296"/>
      <c r="J1066" s="846"/>
      <c r="K1066" s="1296"/>
      <c r="L1066" s="846"/>
      <c r="M1066" s="1517"/>
      <c r="N1066" s="846"/>
      <c r="O1066" s="1517"/>
      <c r="P1066" s="846"/>
      <c r="Q1066" s="1296"/>
      <c r="R1066" s="846"/>
      <c r="S1066" s="846"/>
      <c r="T1066" s="846"/>
    </row>
    <row r="1067" ht="15.0" customHeight="1">
      <c r="A1067" s="1296"/>
      <c r="B1067" s="846"/>
      <c r="C1067" s="1517"/>
      <c r="D1067" s="846"/>
      <c r="E1067" s="846"/>
      <c r="F1067" s="846"/>
      <c r="G1067" s="846"/>
      <c r="H1067" s="846"/>
      <c r="I1067" s="1296"/>
      <c r="J1067" s="846"/>
      <c r="K1067" s="1296"/>
      <c r="L1067" s="846"/>
      <c r="M1067" s="1517"/>
      <c r="N1067" s="846"/>
      <c r="O1067" s="1517"/>
      <c r="P1067" s="846"/>
      <c r="Q1067" s="1296"/>
      <c r="R1067" s="846"/>
      <c r="S1067" s="846"/>
      <c r="T1067" s="846"/>
    </row>
    <row r="1068" ht="15.0" customHeight="1">
      <c r="A1068" s="1296"/>
      <c r="B1068" s="846"/>
      <c r="C1068" s="1517"/>
      <c r="D1068" s="846"/>
      <c r="E1068" s="846"/>
      <c r="F1068" s="846"/>
      <c r="G1068" s="846"/>
      <c r="H1068" s="846"/>
      <c r="I1068" s="1296"/>
      <c r="J1068" s="846"/>
      <c r="K1068" s="1296"/>
      <c r="L1068" s="846"/>
      <c r="M1068" s="1517"/>
      <c r="N1068" s="846"/>
      <c r="O1068" s="1517"/>
      <c r="P1068" s="846"/>
      <c r="Q1068" s="1296"/>
      <c r="R1068" s="846"/>
      <c r="S1068" s="846"/>
      <c r="T1068" s="846"/>
    </row>
    <row r="1069" ht="15.0" customHeight="1">
      <c r="A1069" s="1296"/>
      <c r="B1069" s="846"/>
      <c r="C1069" s="1517"/>
      <c r="D1069" s="846"/>
      <c r="E1069" s="846"/>
      <c r="F1069" s="846"/>
      <c r="G1069" s="846"/>
      <c r="H1069" s="846"/>
      <c r="I1069" s="1296"/>
      <c r="J1069" s="846"/>
      <c r="K1069" s="1296"/>
      <c r="L1069" s="846"/>
      <c r="M1069" s="1517"/>
      <c r="N1069" s="846"/>
      <c r="O1069" s="1517"/>
      <c r="P1069" s="846"/>
      <c r="Q1069" s="1296"/>
      <c r="R1069" s="846"/>
      <c r="S1069" s="846"/>
      <c r="T1069" s="846"/>
    </row>
    <row r="1070" ht="15.0" customHeight="1">
      <c r="A1070" s="1296"/>
      <c r="B1070" s="846"/>
      <c r="C1070" s="1517"/>
      <c r="D1070" s="846"/>
      <c r="E1070" s="846"/>
      <c r="F1070" s="846"/>
      <c r="G1070" s="846"/>
      <c r="H1070" s="846"/>
      <c r="I1070" s="1296"/>
      <c r="J1070" s="846"/>
      <c r="K1070" s="1296"/>
      <c r="L1070" s="846"/>
      <c r="M1070" s="1517"/>
      <c r="N1070" s="846"/>
      <c r="O1070" s="1517"/>
      <c r="P1070" s="846"/>
      <c r="Q1070" s="1296"/>
      <c r="R1070" s="846"/>
      <c r="S1070" s="846"/>
      <c r="T1070" s="846"/>
    </row>
    <row r="1071" ht="15.0" customHeight="1">
      <c r="A1071" s="1296"/>
      <c r="B1071" s="846"/>
      <c r="C1071" s="1517"/>
      <c r="D1071" s="846"/>
      <c r="E1071" s="846"/>
      <c r="F1071" s="846"/>
      <c r="G1071" s="846"/>
      <c r="H1071" s="846"/>
      <c r="I1071" s="1296"/>
      <c r="J1071" s="846"/>
      <c r="K1071" s="1296"/>
      <c r="L1071" s="846"/>
      <c r="M1071" s="1517"/>
      <c r="N1071" s="846"/>
      <c r="O1071" s="1517"/>
      <c r="P1071" s="846"/>
      <c r="Q1071" s="1296"/>
      <c r="R1071" s="846"/>
      <c r="S1071" s="846"/>
      <c r="T1071" s="846"/>
    </row>
    <row r="1072" ht="15.0" customHeight="1">
      <c r="A1072" s="1296"/>
      <c r="B1072" s="846"/>
      <c r="C1072" s="1517"/>
      <c r="D1072" s="846"/>
      <c r="E1072" s="846"/>
      <c r="F1072" s="846"/>
      <c r="G1072" s="846"/>
      <c r="H1072" s="846"/>
      <c r="I1072" s="1296"/>
      <c r="J1072" s="846"/>
      <c r="K1072" s="1296"/>
      <c r="L1072" s="846"/>
      <c r="M1072" s="1517"/>
      <c r="N1072" s="846"/>
      <c r="O1072" s="1517"/>
      <c r="P1072" s="846"/>
      <c r="Q1072" s="1296"/>
      <c r="R1072" s="846"/>
      <c r="S1072" s="846"/>
      <c r="T1072" s="846"/>
    </row>
    <row r="1073" ht="15.0" customHeight="1">
      <c r="A1073" s="1296"/>
      <c r="B1073" s="846"/>
      <c r="C1073" s="1517"/>
      <c r="D1073" s="846"/>
      <c r="E1073" s="846"/>
      <c r="F1073" s="846"/>
      <c r="G1073" s="846"/>
      <c r="H1073" s="846"/>
      <c r="I1073" s="1296"/>
      <c r="J1073" s="846"/>
      <c r="K1073" s="1296"/>
      <c r="L1073" s="846"/>
      <c r="M1073" s="1517"/>
      <c r="N1073" s="846"/>
      <c r="O1073" s="1517"/>
      <c r="P1073" s="846"/>
      <c r="Q1073" s="1296"/>
      <c r="R1073" s="846"/>
      <c r="S1073" s="846"/>
      <c r="T1073" s="846"/>
    </row>
    <row r="1074" ht="15.0" customHeight="1">
      <c r="A1074" s="1296"/>
      <c r="B1074" s="846"/>
      <c r="C1074" s="1517"/>
      <c r="D1074" s="846"/>
      <c r="E1074" s="846"/>
      <c r="F1074" s="846"/>
      <c r="G1074" s="846"/>
      <c r="H1074" s="846"/>
      <c r="I1074" s="1296"/>
      <c r="J1074" s="846"/>
      <c r="K1074" s="1296"/>
      <c r="L1074" s="846"/>
      <c r="M1074" s="1517"/>
      <c r="N1074" s="846"/>
      <c r="O1074" s="1517"/>
      <c r="P1074" s="846"/>
      <c r="Q1074" s="1296"/>
      <c r="R1074" s="846"/>
      <c r="S1074" s="846"/>
      <c r="T1074" s="846"/>
    </row>
    <row r="1075" ht="15.0" customHeight="1">
      <c r="A1075" s="1296"/>
      <c r="B1075" s="846"/>
      <c r="C1075" s="1517"/>
      <c r="D1075" s="846"/>
      <c r="E1075" s="846"/>
      <c r="F1075" s="846"/>
      <c r="G1075" s="846"/>
      <c r="H1075" s="846"/>
      <c r="I1075" s="1296"/>
      <c r="J1075" s="846"/>
      <c r="K1075" s="1296"/>
      <c r="L1075" s="846"/>
      <c r="M1075" s="1517"/>
      <c r="N1075" s="846"/>
      <c r="O1075" s="1517"/>
      <c r="P1075" s="846"/>
      <c r="Q1075" s="1296"/>
      <c r="R1075" s="846"/>
      <c r="S1075" s="846"/>
      <c r="T1075" s="846"/>
    </row>
    <row r="1076" ht="15.0" customHeight="1">
      <c r="A1076" s="1296"/>
      <c r="B1076" s="846"/>
      <c r="C1076" s="1517"/>
      <c r="D1076" s="846"/>
      <c r="E1076" s="846"/>
      <c r="F1076" s="846"/>
      <c r="G1076" s="846"/>
      <c r="H1076" s="846"/>
      <c r="I1076" s="1296"/>
      <c r="J1076" s="846"/>
      <c r="K1076" s="1296"/>
      <c r="L1076" s="846"/>
      <c r="M1076" s="1517"/>
      <c r="N1076" s="846"/>
      <c r="O1076" s="1517"/>
      <c r="P1076" s="846"/>
      <c r="Q1076" s="1296"/>
      <c r="R1076" s="846"/>
      <c r="S1076" s="846"/>
      <c r="T1076" s="846"/>
    </row>
    <row r="1077" ht="15.0" customHeight="1">
      <c r="A1077" s="1296"/>
      <c r="B1077" s="846"/>
      <c r="C1077" s="1517"/>
      <c r="D1077" s="846"/>
      <c r="E1077" s="846"/>
      <c r="F1077" s="846"/>
      <c r="G1077" s="846"/>
      <c r="H1077" s="846"/>
      <c r="I1077" s="1296"/>
      <c r="J1077" s="846"/>
      <c r="K1077" s="1296"/>
      <c r="L1077" s="846"/>
      <c r="M1077" s="1517"/>
      <c r="N1077" s="846"/>
      <c r="O1077" s="1517"/>
      <c r="P1077" s="846"/>
      <c r="Q1077" s="1296"/>
      <c r="R1077" s="846"/>
      <c r="S1077" s="846"/>
      <c r="T1077" s="846"/>
    </row>
    <row r="1078" ht="15.0" customHeight="1">
      <c r="A1078" s="1296"/>
      <c r="B1078" s="846"/>
      <c r="C1078" s="1517"/>
      <c r="D1078" s="846"/>
      <c r="E1078" s="846"/>
      <c r="F1078" s="846"/>
      <c r="G1078" s="846"/>
      <c r="H1078" s="846"/>
      <c r="I1078" s="1296"/>
      <c r="J1078" s="846"/>
      <c r="K1078" s="1296"/>
      <c r="L1078" s="846"/>
      <c r="M1078" s="1517"/>
      <c r="N1078" s="846"/>
      <c r="O1078" s="1517"/>
      <c r="P1078" s="846"/>
      <c r="Q1078" s="1296"/>
      <c r="R1078" s="846"/>
      <c r="S1078" s="846"/>
      <c r="T1078" s="846"/>
    </row>
    <row r="1079" ht="15.0" customHeight="1">
      <c r="A1079" s="1296"/>
      <c r="B1079" s="846"/>
      <c r="C1079" s="1517"/>
      <c r="D1079" s="846"/>
      <c r="E1079" s="846"/>
      <c r="F1079" s="846"/>
      <c r="G1079" s="846"/>
      <c r="H1079" s="846"/>
      <c r="I1079" s="1296"/>
      <c r="J1079" s="846"/>
      <c r="K1079" s="1296"/>
      <c r="L1079" s="846"/>
      <c r="M1079" s="1517"/>
      <c r="N1079" s="846"/>
      <c r="O1079" s="1517"/>
      <c r="P1079" s="846"/>
      <c r="Q1079" s="1296"/>
      <c r="R1079" s="846"/>
      <c r="S1079" s="846"/>
      <c r="T1079" s="846"/>
    </row>
    <row r="1080" ht="15.0" customHeight="1">
      <c r="A1080" s="1296"/>
      <c r="B1080" s="846"/>
      <c r="C1080" s="1517"/>
      <c r="D1080" s="846"/>
      <c r="E1080" s="846"/>
      <c r="F1080" s="846"/>
      <c r="G1080" s="846"/>
      <c r="H1080" s="846"/>
      <c r="I1080" s="1296"/>
      <c r="J1080" s="846"/>
      <c r="K1080" s="1296"/>
      <c r="L1080" s="846"/>
      <c r="M1080" s="1517"/>
      <c r="N1080" s="846"/>
      <c r="O1080" s="1517"/>
      <c r="P1080" s="846"/>
      <c r="Q1080" s="1296"/>
      <c r="R1080" s="846"/>
      <c r="S1080" s="846"/>
      <c r="T1080" s="846"/>
    </row>
    <row r="1081" ht="15.0" customHeight="1">
      <c r="A1081" s="1296"/>
      <c r="B1081" s="846"/>
      <c r="C1081" s="1517"/>
      <c r="D1081" s="846"/>
      <c r="E1081" s="846"/>
      <c r="F1081" s="846"/>
      <c r="G1081" s="846"/>
      <c r="H1081" s="846"/>
      <c r="I1081" s="1296"/>
      <c r="J1081" s="846"/>
      <c r="K1081" s="1296"/>
      <c r="L1081" s="846"/>
      <c r="M1081" s="1517"/>
      <c r="N1081" s="846"/>
      <c r="O1081" s="1517"/>
      <c r="P1081" s="846"/>
      <c r="Q1081" s="1296"/>
      <c r="R1081" s="846"/>
      <c r="S1081" s="846"/>
      <c r="T1081" s="846"/>
    </row>
    <row r="1082" ht="15.0" customHeight="1">
      <c r="A1082" s="1296"/>
      <c r="B1082" s="846"/>
      <c r="C1082" s="1517"/>
      <c r="D1082" s="846"/>
      <c r="E1082" s="846"/>
      <c r="F1082" s="846"/>
      <c r="G1082" s="846"/>
      <c r="H1082" s="846"/>
      <c r="I1082" s="1296"/>
      <c r="J1082" s="846"/>
      <c r="K1082" s="1296"/>
      <c r="L1082" s="846"/>
      <c r="M1082" s="1517"/>
      <c r="N1082" s="846"/>
      <c r="O1082" s="1517"/>
      <c r="P1082" s="846"/>
      <c r="Q1082" s="1296"/>
      <c r="R1082" s="846"/>
      <c r="S1082" s="846"/>
      <c r="T1082" s="846"/>
    </row>
    <row r="1083" ht="15.0" customHeight="1">
      <c r="A1083" s="1296"/>
      <c r="B1083" s="846"/>
      <c r="C1083" s="1517"/>
      <c r="D1083" s="846"/>
      <c r="E1083" s="846"/>
      <c r="F1083" s="846"/>
      <c r="G1083" s="846"/>
      <c r="H1083" s="846"/>
      <c r="I1083" s="1296"/>
      <c r="J1083" s="846"/>
      <c r="K1083" s="1296"/>
      <c r="L1083" s="846"/>
      <c r="M1083" s="1517"/>
      <c r="N1083" s="846"/>
      <c r="O1083" s="1517"/>
      <c r="P1083" s="846"/>
      <c r="Q1083" s="1296"/>
      <c r="R1083" s="846"/>
      <c r="S1083" s="846"/>
      <c r="T1083" s="846"/>
    </row>
    <row r="1084" ht="15.0" customHeight="1">
      <c r="A1084" s="1296"/>
      <c r="B1084" s="846"/>
      <c r="C1084" s="1517"/>
      <c r="D1084" s="846"/>
      <c r="E1084" s="846"/>
      <c r="F1084" s="846"/>
      <c r="G1084" s="846"/>
      <c r="H1084" s="846"/>
      <c r="I1084" s="1296"/>
      <c r="J1084" s="846"/>
      <c r="K1084" s="1296"/>
      <c r="L1084" s="846"/>
      <c r="M1084" s="1517"/>
      <c r="N1084" s="846"/>
      <c r="O1084" s="1517"/>
      <c r="P1084" s="846"/>
      <c r="Q1084" s="1296"/>
      <c r="R1084" s="846"/>
      <c r="S1084" s="846"/>
      <c r="T1084" s="846"/>
    </row>
    <row r="1085" ht="15.0" customHeight="1">
      <c r="A1085" s="1296"/>
      <c r="B1085" s="846"/>
      <c r="C1085" s="1517"/>
      <c r="D1085" s="846"/>
      <c r="E1085" s="846"/>
      <c r="F1085" s="846"/>
      <c r="G1085" s="846"/>
      <c r="H1085" s="846"/>
      <c r="I1085" s="1296"/>
      <c r="J1085" s="846"/>
      <c r="K1085" s="1296"/>
      <c r="L1085" s="846"/>
      <c r="M1085" s="1517"/>
      <c r="N1085" s="846"/>
      <c r="O1085" s="1517"/>
      <c r="P1085" s="846"/>
      <c r="Q1085" s="1296"/>
      <c r="R1085" s="846"/>
      <c r="S1085" s="846"/>
      <c r="T1085" s="846"/>
    </row>
    <row r="1086" ht="15.0" customHeight="1">
      <c r="A1086" s="1296"/>
      <c r="B1086" s="846"/>
      <c r="C1086" s="1517"/>
      <c r="D1086" s="846"/>
      <c r="E1086" s="846"/>
      <c r="F1086" s="846"/>
      <c r="G1086" s="846"/>
      <c r="H1086" s="846"/>
      <c r="I1086" s="1296"/>
      <c r="J1086" s="846"/>
      <c r="K1086" s="1296"/>
      <c r="L1086" s="846"/>
      <c r="M1086" s="1517"/>
      <c r="N1086" s="846"/>
      <c r="O1086" s="1517"/>
      <c r="P1086" s="846"/>
      <c r="Q1086" s="1296"/>
      <c r="R1086" s="846"/>
      <c r="S1086" s="846"/>
      <c r="T1086" s="846"/>
    </row>
    <row r="1087" ht="15.0" customHeight="1">
      <c r="A1087" s="1296"/>
      <c r="B1087" s="846"/>
      <c r="C1087" s="1517"/>
      <c r="D1087" s="846"/>
      <c r="E1087" s="846"/>
      <c r="F1087" s="846"/>
      <c r="G1087" s="846"/>
      <c r="H1087" s="846"/>
      <c r="I1087" s="1296"/>
      <c r="J1087" s="846"/>
      <c r="K1087" s="1296"/>
      <c r="L1087" s="846"/>
      <c r="M1087" s="1517"/>
      <c r="N1087" s="846"/>
      <c r="O1087" s="1517"/>
      <c r="P1087" s="846"/>
      <c r="Q1087" s="1296"/>
      <c r="R1087" s="846"/>
      <c r="S1087" s="846"/>
      <c r="T1087" s="846"/>
    </row>
    <row r="1088" ht="15.0" customHeight="1">
      <c r="A1088" s="1296"/>
      <c r="B1088" s="846"/>
      <c r="C1088" s="1517"/>
      <c r="D1088" s="846"/>
      <c r="E1088" s="846"/>
      <c r="F1088" s="846"/>
      <c r="G1088" s="846"/>
      <c r="H1088" s="846"/>
      <c r="I1088" s="1296"/>
      <c r="J1088" s="846"/>
      <c r="K1088" s="1296"/>
      <c r="L1088" s="846"/>
      <c r="M1088" s="1517"/>
      <c r="N1088" s="846"/>
      <c r="O1088" s="1517"/>
      <c r="P1088" s="846"/>
      <c r="Q1088" s="1296"/>
      <c r="R1088" s="846"/>
      <c r="S1088" s="846"/>
      <c r="T1088" s="846"/>
    </row>
    <row r="1089" ht="15.0" customHeight="1">
      <c r="A1089" s="1296"/>
      <c r="B1089" s="846"/>
      <c r="C1089" s="1517"/>
      <c r="D1089" s="846"/>
      <c r="E1089" s="846"/>
      <c r="F1089" s="846"/>
      <c r="G1089" s="846"/>
      <c r="H1089" s="846"/>
      <c r="I1089" s="1296"/>
      <c r="J1089" s="846"/>
      <c r="K1089" s="1296"/>
      <c r="L1089" s="846"/>
      <c r="M1089" s="1517"/>
      <c r="N1089" s="846"/>
      <c r="O1089" s="1517"/>
      <c r="P1089" s="846"/>
      <c r="Q1089" s="1296"/>
      <c r="R1089" s="846"/>
      <c r="S1089" s="846"/>
      <c r="T1089" s="846"/>
    </row>
    <row r="1090" ht="15.0" customHeight="1">
      <c r="A1090" s="1296"/>
      <c r="B1090" s="846"/>
      <c r="C1090" s="1517"/>
      <c r="D1090" s="846"/>
      <c r="E1090" s="846"/>
      <c r="F1090" s="846"/>
      <c r="G1090" s="846"/>
      <c r="H1090" s="846"/>
      <c r="I1090" s="1296"/>
      <c r="J1090" s="846"/>
      <c r="K1090" s="1296"/>
      <c r="L1090" s="846"/>
      <c r="M1090" s="1517"/>
      <c r="N1090" s="846"/>
      <c r="O1090" s="1517"/>
      <c r="P1090" s="846"/>
      <c r="Q1090" s="1296"/>
      <c r="R1090" s="846"/>
      <c r="S1090" s="846"/>
      <c r="T1090" s="846"/>
    </row>
    <row r="1091" ht="15.0" customHeight="1">
      <c r="A1091" s="1296"/>
      <c r="B1091" s="846"/>
      <c r="C1091" s="1517"/>
      <c r="D1091" s="846"/>
      <c r="E1091" s="846"/>
      <c r="F1091" s="846"/>
      <c r="G1091" s="846"/>
      <c r="H1091" s="846"/>
      <c r="I1091" s="1296"/>
      <c r="J1091" s="846"/>
      <c r="K1091" s="1296"/>
      <c r="L1091" s="846"/>
      <c r="M1091" s="1517"/>
      <c r="N1091" s="846"/>
      <c r="O1091" s="1517"/>
      <c r="P1091" s="846"/>
      <c r="Q1091" s="1296"/>
      <c r="R1091" s="846"/>
      <c r="S1091" s="846"/>
      <c r="T1091" s="846"/>
    </row>
    <row r="1092" ht="15.0" customHeight="1">
      <c r="A1092" s="1296"/>
      <c r="B1092" s="846"/>
      <c r="C1092" s="1517"/>
      <c r="D1092" s="846"/>
      <c r="E1092" s="846"/>
      <c r="F1092" s="846"/>
      <c r="G1092" s="846"/>
      <c r="H1092" s="846"/>
      <c r="I1092" s="1296"/>
      <c r="J1092" s="846"/>
      <c r="K1092" s="1296"/>
      <c r="L1092" s="846"/>
      <c r="M1092" s="1517"/>
      <c r="N1092" s="846"/>
      <c r="O1092" s="1517"/>
      <c r="P1092" s="846"/>
      <c r="Q1092" s="1296"/>
      <c r="R1092" s="846"/>
      <c r="S1092" s="846"/>
      <c r="T1092" s="846"/>
    </row>
    <row r="1093" ht="15.0" customHeight="1">
      <c r="A1093" s="1296"/>
      <c r="B1093" s="846"/>
      <c r="C1093" s="1517"/>
      <c r="D1093" s="846"/>
      <c r="E1093" s="846"/>
      <c r="F1093" s="846"/>
      <c r="G1093" s="846"/>
      <c r="H1093" s="846"/>
      <c r="I1093" s="1296"/>
      <c r="J1093" s="846"/>
      <c r="K1093" s="1296"/>
      <c r="L1093" s="846"/>
      <c r="M1093" s="1517"/>
      <c r="N1093" s="846"/>
      <c r="O1093" s="1517"/>
      <c r="P1093" s="846"/>
      <c r="Q1093" s="1296"/>
      <c r="R1093" s="846"/>
      <c r="S1093" s="846"/>
      <c r="T1093" s="846"/>
    </row>
    <row r="1094" ht="15.0" customHeight="1">
      <c r="A1094" s="1296"/>
      <c r="B1094" s="846"/>
      <c r="C1094" s="1517"/>
      <c r="D1094" s="846"/>
      <c r="E1094" s="846"/>
      <c r="F1094" s="846"/>
      <c r="G1094" s="846"/>
      <c r="H1094" s="846"/>
      <c r="I1094" s="1296"/>
      <c r="J1094" s="846"/>
      <c r="K1094" s="1296"/>
      <c r="L1094" s="846"/>
      <c r="M1094" s="1517"/>
      <c r="N1094" s="846"/>
      <c r="O1094" s="1517"/>
      <c r="P1094" s="846"/>
      <c r="Q1094" s="1296"/>
      <c r="R1094" s="846"/>
      <c r="S1094" s="846"/>
      <c r="T1094" s="846"/>
    </row>
    <row r="1095" ht="15.0" customHeight="1">
      <c r="A1095" s="1296"/>
      <c r="B1095" s="846"/>
      <c r="C1095" s="1517"/>
      <c r="D1095" s="846"/>
      <c r="E1095" s="846"/>
      <c r="F1095" s="846"/>
      <c r="G1095" s="846"/>
      <c r="H1095" s="846"/>
      <c r="I1095" s="1296"/>
      <c r="J1095" s="846"/>
      <c r="K1095" s="1296"/>
      <c r="L1095" s="846"/>
      <c r="M1095" s="1517"/>
      <c r="N1095" s="846"/>
      <c r="O1095" s="1517"/>
      <c r="P1095" s="846"/>
      <c r="Q1095" s="1296"/>
      <c r="R1095" s="846"/>
      <c r="S1095" s="846"/>
      <c r="T1095" s="846"/>
    </row>
    <row r="1096" ht="15.0" customHeight="1">
      <c r="A1096" s="1296"/>
      <c r="B1096" s="846"/>
      <c r="C1096" s="1517"/>
      <c r="D1096" s="846"/>
      <c r="E1096" s="846"/>
      <c r="F1096" s="846"/>
      <c r="G1096" s="846"/>
      <c r="H1096" s="846"/>
      <c r="I1096" s="1296"/>
      <c r="J1096" s="846"/>
      <c r="K1096" s="1296"/>
      <c r="L1096" s="846"/>
      <c r="M1096" s="1517"/>
      <c r="N1096" s="846"/>
      <c r="O1096" s="1517"/>
      <c r="P1096" s="846"/>
      <c r="Q1096" s="1296"/>
      <c r="R1096" s="846"/>
      <c r="S1096" s="846"/>
      <c r="T1096" s="846"/>
    </row>
    <row r="1097" ht="15.0" customHeight="1">
      <c r="A1097" s="1296"/>
      <c r="B1097" s="846"/>
      <c r="C1097" s="1517"/>
      <c r="D1097" s="846"/>
      <c r="E1097" s="846"/>
      <c r="F1097" s="846"/>
      <c r="G1097" s="846"/>
      <c r="H1097" s="846"/>
      <c r="I1097" s="1296"/>
      <c r="J1097" s="846"/>
      <c r="K1097" s="1296"/>
      <c r="L1097" s="846"/>
      <c r="M1097" s="1517"/>
      <c r="N1097" s="846"/>
      <c r="O1097" s="1517"/>
      <c r="P1097" s="846"/>
      <c r="Q1097" s="1296"/>
      <c r="R1097" s="846"/>
      <c r="S1097" s="846"/>
      <c r="T1097" s="846"/>
    </row>
    <row r="1098" ht="15.0" customHeight="1">
      <c r="A1098" s="1296"/>
      <c r="B1098" s="846"/>
      <c r="C1098" s="1517"/>
      <c r="D1098" s="846"/>
      <c r="E1098" s="846"/>
      <c r="F1098" s="846"/>
      <c r="G1098" s="846"/>
      <c r="H1098" s="846"/>
      <c r="I1098" s="1296"/>
      <c r="J1098" s="846"/>
      <c r="K1098" s="1296"/>
      <c r="L1098" s="846"/>
      <c r="M1098" s="1517"/>
      <c r="N1098" s="846"/>
      <c r="O1098" s="1517"/>
      <c r="P1098" s="846"/>
      <c r="Q1098" s="1296"/>
      <c r="R1098" s="846"/>
      <c r="S1098" s="846"/>
      <c r="T1098" s="846"/>
    </row>
    <row r="1099" ht="15.0" customHeight="1">
      <c r="A1099" s="1296"/>
      <c r="B1099" s="846"/>
      <c r="C1099" s="1517"/>
      <c r="D1099" s="846"/>
      <c r="E1099" s="846"/>
      <c r="F1099" s="846"/>
      <c r="G1099" s="846"/>
      <c r="H1099" s="846"/>
      <c r="I1099" s="1296"/>
      <c r="J1099" s="846"/>
      <c r="K1099" s="1296"/>
      <c r="L1099" s="846"/>
      <c r="M1099" s="1517"/>
      <c r="N1099" s="846"/>
      <c r="O1099" s="1517"/>
      <c r="P1099" s="846"/>
      <c r="Q1099" s="1296"/>
      <c r="R1099" s="846"/>
      <c r="S1099" s="846"/>
      <c r="T1099" s="846"/>
    </row>
    <row r="1100" ht="15.0" customHeight="1">
      <c r="A1100" s="1296"/>
      <c r="B1100" s="846"/>
      <c r="C1100" s="1517"/>
      <c r="D1100" s="846"/>
      <c r="E1100" s="846"/>
      <c r="F1100" s="846"/>
      <c r="G1100" s="846"/>
      <c r="H1100" s="846"/>
      <c r="I1100" s="1296"/>
      <c r="J1100" s="846"/>
      <c r="K1100" s="1296"/>
      <c r="L1100" s="846"/>
      <c r="M1100" s="1517"/>
      <c r="N1100" s="846"/>
      <c r="O1100" s="1517"/>
      <c r="P1100" s="846"/>
      <c r="Q1100" s="1296"/>
      <c r="R1100" s="846"/>
      <c r="S1100" s="846"/>
      <c r="T1100" s="846"/>
    </row>
    <row r="1101" ht="15.0" customHeight="1">
      <c r="A1101" s="1296"/>
      <c r="B1101" s="846"/>
      <c r="C1101" s="1517"/>
      <c r="D1101" s="846"/>
      <c r="E1101" s="846"/>
      <c r="F1101" s="846"/>
      <c r="G1101" s="846"/>
      <c r="H1101" s="846"/>
      <c r="I1101" s="1296"/>
      <c r="J1101" s="846"/>
      <c r="K1101" s="1296"/>
      <c r="L1101" s="846"/>
      <c r="M1101" s="1517"/>
      <c r="N1101" s="846"/>
      <c r="O1101" s="1517"/>
      <c r="P1101" s="846"/>
      <c r="Q1101" s="1296"/>
      <c r="R1101" s="846"/>
      <c r="S1101" s="846"/>
      <c r="T1101" s="846"/>
    </row>
    <row r="1102" ht="15.0" customHeight="1">
      <c r="A1102" s="1296"/>
      <c r="B1102" s="846"/>
      <c r="C1102" s="1517"/>
      <c r="D1102" s="846"/>
      <c r="E1102" s="846"/>
      <c r="F1102" s="846"/>
      <c r="G1102" s="846"/>
      <c r="H1102" s="846"/>
      <c r="I1102" s="1296"/>
      <c r="J1102" s="846"/>
      <c r="K1102" s="1296"/>
      <c r="L1102" s="846"/>
      <c r="M1102" s="1517"/>
      <c r="N1102" s="846"/>
      <c r="O1102" s="1517"/>
      <c r="P1102" s="846"/>
      <c r="Q1102" s="1296"/>
      <c r="R1102" s="846"/>
      <c r="S1102" s="846"/>
      <c r="T1102" s="846"/>
    </row>
    <row r="1103" ht="15.0" customHeight="1">
      <c r="A1103" s="1296"/>
      <c r="B1103" s="846"/>
      <c r="C1103" s="1517"/>
      <c r="D1103" s="846"/>
      <c r="E1103" s="846"/>
      <c r="F1103" s="846"/>
      <c r="G1103" s="846"/>
      <c r="H1103" s="846"/>
      <c r="I1103" s="1296"/>
      <c r="J1103" s="846"/>
      <c r="K1103" s="1296"/>
      <c r="L1103" s="846"/>
      <c r="M1103" s="1517"/>
      <c r="N1103" s="846"/>
      <c r="O1103" s="1517"/>
      <c r="P1103" s="846"/>
      <c r="Q1103" s="1296"/>
      <c r="R1103" s="846"/>
      <c r="S1103" s="846"/>
      <c r="T1103" s="846"/>
    </row>
    <row r="1104" ht="15.0" customHeight="1">
      <c r="A1104" s="1296"/>
      <c r="B1104" s="846"/>
      <c r="C1104" s="1517"/>
      <c r="D1104" s="846"/>
      <c r="E1104" s="846"/>
      <c r="F1104" s="846"/>
      <c r="G1104" s="846"/>
      <c r="H1104" s="846"/>
      <c r="I1104" s="1296"/>
      <c r="J1104" s="846"/>
      <c r="K1104" s="1296"/>
      <c r="L1104" s="846"/>
      <c r="M1104" s="1517"/>
      <c r="N1104" s="846"/>
      <c r="O1104" s="1517"/>
      <c r="P1104" s="846"/>
      <c r="Q1104" s="1296"/>
      <c r="R1104" s="846"/>
      <c r="S1104" s="846"/>
      <c r="T1104" s="846"/>
    </row>
    <row r="1105" ht="15.0" customHeight="1">
      <c r="A1105" s="1296"/>
      <c r="B1105" s="846"/>
      <c r="C1105" s="1517"/>
      <c r="D1105" s="846"/>
      <c r="E1105" s="846"/>
      <c r="F1105" s="846"/>
      <c r="G1105" s="846"/>
      <c r="H1105" s="846"/>
      <c r="I1105" s="1296"/>
      <c r="J1105" s="846"/>
      <c r="K1105" s="1296"/>
      <c r="L1105" s="846"/>
      <c r="M1105" s="1517"/>
      <c r="N1105" s="846"/>
      <c r="O1105" s="1517"/>
      <c r="P1105" s="846"/>
      <c r="Q1105" s="1296"/>
      <c r="R1105" s="846"/>
      <c r="S1105" s="846"/>
      <c r="T1105" s="846"/>
    </row>
    <row r="1106" ht="15.0" customHeight="1">
      <c r="A1106" s="1296"/>
      <c r="B1106" s="846"/>
      <c r="C1106" s="1517"/>
      <c r="D1106" s="846"/>
      <c r="E1106" s="846"/>
      <c r="F1106" s="846"/>
      <c r="G1106" s="846"/>
      <c r="H1106" s="846"/>
      <c r="I1106" s="1296"/>
      <c r="J1106" s="846"/>
      <c r="K1106" s="1296"/>
      <c r="L1106" s="846"/>
      <c r="M1106" s="1517"/>
      <c r="N1106" s="846"/>
      <c r="O1106" s="1517"/>
      <c r="P1106" s="846"/>
      <c r="Q1106" s="1296"/>
      <c r="R1106" s="846"/>
      <c r="S1106" s="846"/>
      <c r="T1106" s="846"/>
    </row>
    <row r="1107" ht="15.0" customHeight="1">
      <c r="A1107" s="1296"/>
      <c r="B1107" s="846"/>
      <c r="C1107" s="1517"/>
      <c r="D1107" s="846"/>
      <c r="E1107" s="846"/>
      <c r="F1107" s="846"/>
      <c r="G1107" s="846"/>
      <c r="H1107" s="846"/>
      <c r="I1107" s="1296"/>
      <c r="J1107" s="846"/>
      <c r="K1107" s="1296"/>
      <c r="L1107" s="846"/>
      <c r="M1107" s="1517"/>
      <c r="N1107" s="846"/>
      <c r="O1107" s="1517"/>
      <c r="P1107" s="846"/>
      <c r="Q1107" s="1296"/>
      <c r="R1107" s="846"/>
      <c r="S1107" s="846"/>
      <c r="T1107" s="846"/>
    </row>
    <row r="1108" ht="15.0" customHeight="1">
      <c r="A1108" s="1296"/>
      <c r="B1108" s="846"/>
      <c r="C1108" s="1517"/>
      <c r="D1108" s="846"/>
      <c r="E1108" s="846"/>
      <c r="F1108" s="846"/>
      <c r="G1108" s="846"/>
      <c r="H1108" s="846"/>
      <c r="I1108" s="1296"/>
      <c r="J1108" s="846"/>
      <c r="K1108" s="1296"/>
      <c r="L1108" s="846"/>
      <c r="M1108" s="1517"/>
      <c r="N1108" s="846"/>
      <c r="O1108" s="1517"/>
      <c r="P1108" s="846"/>
      <c r="Q1108" s="1296"/>
      <c r="R1108" s="846"/>
      <c r="S1108" s="846"/>
      <c r="T1108" s="846"/>
    </row>
    <row r="1109" ht="15.0" customHeight="1">
      <c r="A1109" s="1296"/>
      <c r="B1109" s="846"/>
      <c r="C1109" s="1517"/>
      <c r="D1109" s="846"/>
      <c r="E1109" s="846"/>
      <c r="F1109" s="846"/>
      <c r="G1109" s="846"/>
      <c r="H1109" s="846"/>
      <c r="I1109" s="1296"/>
      <c r="J1109" s="846"/>
      <c r="K1109" s="1296"/>
      <c r="L1109" s="846"/>
      <c r="M1109" s="1517"/>
      <c r="N1109" s="846"/>
      <c r="O1109" s="1517"/>
      <c r="P1109" s="846"/>
      <c r="Q1109" s="1296"/>
      <c r="R1109" s="846"/>
      <c r="S1109" s="846"/>
      <c r="T1109" s="846"/>
    </row>
    <row r="1110" ht="15.0" customHeight="1">
      <c r="A1110" s="1296"/>
      <c r="B1110" s="846"/>
      <c r="C1110" s="1517"/>
      <c r="D1110" s="846"/>
      <c r="E1110" s="846"/>
      <c r="F1110" s="846"/>
      <c r="G1110" s="846"/>
      <c r="H1110" s="846"/>
      <c r="I1110" s="1296"/>
      <c r="J1110" s="846"/>
      <c r="K1110" s="1296"/>
      <c r="L1110" s="846"/>
      <c r="M1110" s="1517"/>
      <c r="N1110" s="846"/>
      <c r="O1110" s="1517"/>
      <c r="P1110" s="846"/>
      <c r="Q1110" s="1296"/>
      <c r="R1110" s="846"/>
      <c r="S1110" s="846"/>
      <c r="T1110" s="846"/>
    </row>
    <row r="1111" ht="15.0" customHeight="1">
      <c r="A1111" s="1296"/>
      <c r="B1111" s="846"/>
      <c r="C1111" s="1517"/>
      <c r="D1111" s="846"/>
      <c r="E1111" s="846"/>
      <c r="F1111" s="846"/>
      <c r="G1111" s="846"/>
      <c r="H1111" s="846"/>
      <c r="I1111" s="1296"/>
      <c r="J1111" s="846"/>
      <c r="K1111" s="1296"/>
      <c r="L1111" s="846"/>
      <c r="M1111" s="1517"/>
      <c r="N1111" s="846"/>
      <c r="O1111" s="1517"/>
      <c r="P1111" s="846"/>
      <c r="Q1111" s="1296"/>
      <c r="R1111" s="846"/>
      <c r="S1111" s="846"/>
      <c r="T1111" s="846"/>
    </row>
    <row r="1112" ht="15.0" customHeight="1">
      <c r="A1112" s="1296"/>
      <c r="B1112" s="846"/>
      <c r="C1112" s="1517"/>
      <c r="D1112" s="846"/>
      <c r="E1112" s="846"/>
      <c r="F1112" s="846"/>
      <c r="G1112" s="846"/>
      <c r="H1112" s="846"/>
      <c r="I1112" s="1296"/>
      <c r="J1112" s="846"/>
      <c r="K1112" s="1296"/>
      <c r="L1112" s="846"/>
      <c r="M1112" s="1517"/>
      <c r="N1112" s="846"/>
      <c r="O1112" s="1517"/>
      <c r="P1112" s="846"/>
      <c r="Q1112" s="1296"/>
      <c r="R1112" s="846"/>
      <c r="S1112" s="846"/>
      <c r="T1112" s="846"/>
    </row>
    <row r="1113" ht="15.0" customHeight="1">
      <c r="A1113" s="1296"/>
      <c r="B1113" s="846"/>
      <c r="C1113" s="1517"/>
      <c r="D1113" s="846"/>
      <c r="E1113" s="846"/>
      <c r="F1113" s="846"/>
      <c r="G1113" s="846"/>
      <c r="H1113" s="846"/>
      <c r="I1113" s="1296"/>
      <c r="J1113" s="846"/>
      <c r="K1113" s="1296"/>
      <c r="L1113" s="846"/>
      <c r="M1113" s="1517"/>
      <c r="N1113" s="846"/>
      <c r="O1113" s="1517"/>
      <c r="P1113" s="846"/>
      <c r="Q1113" s="1296"/>
      <c r="R1113" s="846"/>
      <c r="S1113" s="846"/>
      <c r="T1113" s="846"/>
    </row>
    <row r="1114" ht="15.0" customHeight="1">
      <c r="A1114" s="1296"/>
      <c r="B1114" s="846"/>
      <c r="C1114" s="1517"/>
      <c r="D1114" s="846"/>
      <c r="E1114" s="846"/>
      <c r="F1114" s="846"/>
      <c r="G1114" s="846"/>
      <c r="H1114" s="846"/>
      <c r="I1114" s="1296"/>
      <c r="J1114" s="846"/>
      <c r="K1114" s="1296"/>
      <c r="L1114" s="846"/>
      <c r="M1114" s="1517"/>
      <c r="N1114" s="846"/>
      <c r="O1114" s="1517"/>
      <c r="P1114" s="846"/>
      <c r="Q1114" s="1296"/>
      <c r="R1114" s="846"/>
      <c r="S1114" s="846"/>
      <c r="T1114" s="846"/>
    </row>
    <row r="1115" ht="15.0" customHeight="1">
      <c r="A1115" s="1296"/>
      <c r="B1115" s="846"/>
      <c r="C1115" s="1517"/>
      <c r="D1115" s="846"/>
      <c r="E1115" s="846"/>
      <c r="F1115" s="846"/>
      <c r="G1115" s="846"/>
      <c r="H1115" s="846"/>
      <c r="I1115" s="1296"/>
      <c r="J1115" s="846"/>
      <c r="K1115" s="1296"/>
      <c r="L1115" s="846"/>
      <c r="M1115" s="1517"/>
      <c r="N1115" s="846"/>
      <c r="O1115" s="1517"/>
      <c r="P1115" s="846"/>
      <c r="Q1115" s="1296"/>
      <c r="R1115" s="846"/>
      <c r="S1115" s="846"/>
      <c r="T1115" s="846"/>
    </row>
    <row r="1116" ht="15.0" customHeight="1">
      <c r="A1116" s="1296"/>
      <c r="B1116" s="846"/>
      <c r="C1116" s="1517"/>
      <c r="D1116" s="846"/>
      <c r="E1116" s="846"/>
      <c r="F1116" s="846"/>
      <c r="G1116" s="846"/>
      <c r="H1116" s="846"/>
      <c r="I1116" s="1296"/>
      <c r="J1116" s="846"/>
      <c r="K1116" s="1296"/>
      <c r="L1116" s="846"/>
      <c r="M1116" s="1517"/>
      <c r="N1116" s="846"/>
      <c r="O1116" s="1517"/>
      <c r="P1116" s="846"/>
      <c r="Q1116" s="1296"/>
      <c r="R1116" s="846"/>
      <c r="S1116" s="846"/>
      <c r="T1116" s="846"/>
    </row>
    <row r="1117" ht="15.0" customHeight="1">
      <c r="A1117" s="1296"/>
      <c r="B1117" s="846"/>
      <c r="C1117" s="1517"/>
      <c r="D1117" s="846"/>
      <c r="E1117" s="846"/>
      <c r="F1117" s="846"/>
      <c r="G1117" s="846"/>
      <c r="H1117" s="846"/>
      <c r="I1117" s="1296"/>
      <c r="J1117" s="846"/>
      <c r="K1117" s="1296"/>
      <c r="L1117" s="846"/>
      <c r="M1117" s="1517"/>
      <c r="N1117" s="846"/>
      <c r="O1117" s="1517"/>
      <c r="P1117" s="846"/>
      <c r="Q1117" s="1296"/>
      <c r="R1117" s="846"/>
      <c r="S1117" s="846"/>
      <c r="T1117" s="846"/>
    </row>
    <row r="1118" ht="15.0" customHeight="1">
      <c r="A1118" s="1296"/>
      <c r="B1118" s="846"/>
      <c r="C1118" s="1517"/>
      <c r="D1118" s="846"/>
      <c r="E1118" s="846"/>
      <c r="F1118" s="846"/>
      <c r="G1118" s="846"/>
      <c r="H1118" s="846"/>
      <c r="I1118" s="1296"/>
      <c r="J1118" s="846"/>
      <c r="K1118" s="1296"/>
      <c r="L1118" s="846"/>
      <c r="M1118" s="1517"/>
      <c r="N1118" s="846"/>
      <c r="O1118" s="1517"/>
      <c r="P1118" s="846"/>
      <c r="Q1118" s="1296"/>
      <c r="R1118" s="846"/>
      <c r="S1118" s="846"/>
      <c r="T1118" s="846"/>
    </row>
    <row r="1119" ht="15.0" customHeight="1">
      <c r="A1119" s="1296"/>
      <c r="B1119" s="846"/>
      <c r="C1119" s="1517"/>
      <c r="D1119" s="846"/>
      <c r="E1119" s="846"/>
      <c r="F1119" s="846"/>
      <c r="G1119" s="846"/>
      <c r="H1119" s="846"/>
      <c r="I1119" s="1296"/>
      <c r="J1119" s="846"/>
      <c r="K1119" s="1296"/>
      <c r="L1119" s="846"/>
      <c r="M1119" s="1517"/>
      <c r="N1119" s="846"/>
      <c r="O1119" s="1517"/>
      <c r="P1119" s="846"/>
      <c r="Q1119" s="1296"/>
      <c r="R1119" s="846"/>
      <c r="S1119" s="846"/>
      <c r="T1119" s="846"/>
    </row>
    <row r="1120" ht="15.0" customHeight="1">
      <c r="A1120" s="1296"/>
      <c r="B1120" s="846"/>
      <c r="C1120" s="1517"/>
      <c r="D1120" s="846"/>
      <c r="E1120" s="846"/>
      <c r="F1120" s="846"/>
      <c r="G1120" s="846"/>
      <c r="H1120" s="846"/>
      <c r="I1120" s="1296"/>
      <c r="J1120" s="846"/>
      <c r="K1120" s="1296"/>
      <c r="L1120" s="846"/>
      <c r="M1120" s="1517"/>
      <c r="N1120" s="846"/>
      <c r="O1120" s="1517"/>
      <c r="P1120" s="846"/>
      <c r="Q1120" s="1296"/>
      <c r="R1120" s="846"/>
      <c r="S1120" s="846"/>
      <c r="T1120" s="846"/>
    </row>
    <row r="1121" ht="15.0" customHeight="1">
      <c r="A1121" s="1296"/>
      <c r="B1121" s="846"/>
      <c r="C1121" s="1517"/>
      <c r="D1121" s="846"/>
      <c r="E1121" s="846"/>
      <c r="F1121" s="846"/>
      <c r="G1121" s="846"/>
      <c r="H1121" s="846"/>
      <c r="I1121" s="1296"/>
      <c r="J1121" s="846"/>
      <c r="K1121" s="1296"/>
      <c r="L1121" s="846"/>
      <c r="M1121" s="1517"/>
      <c r="N1121" s="846"/>
      <c r="O1121" s="1517"/>
      <c r="P1121" s="846"/>
      <c r="Q1121" s="1296"/>
      <c r="R1121" s="846"/>
      <c r="S1121" s="846"/>
      <c r="T1121" s="846"/>
    </row>
    <row r="1122" ht="15.0" customHeight="1">
      <c r="A1122" s="1296"/>
      <c r="B1122" s="846"/>
      <c r="C1122" s="1517"/>
      <c r="D1122" s="846"/>
      <c r="E1122" s="846"/>
      <c r="F1122" s="846"/>
      <c r="G1122" s="846"/>
      <c r="H1122" s="846"/>
      <c r="I1122" s="1296"/>
      <c r="J1122" s="846"/>
      <c r="K1122" s="1296"/>
      <c r="L1122" s="846"/>
      <c r="M1122" s="1517"/>
      <c r="N1122" s="846"/>
      <c r="O1122" s="1517"/>
      <c r="P1122" s="846"/>
      <c r="Q1122" s="1296"/>
      <c r="R1122" s="846"/>
      <c r="S1122" s="846"/>
      <c r="T1122" s="846"/>
    </row>
    <row r="1123" ht="15.0" customHeight="1">
      <c r="A1123" s="1296"/>
      <c r="B1123" s="846"/>
      <c r="C1123" s="1517"/>
      <c r="D1123" s="846"/>
      <c r="E1123" s="846"/>
      <c r="F1123" s="846"/>
      <c r="G1123" s="846"/>
      <c r="H1123" s="846"/>
      <c r="I1123" s="1296"/>
      <c r="J1123" s="846"/>
      <c r="K1123" s="1296"/>
      <c r="L1123" s="846"/>
      <c r="M1123" s="1517"/>
      <c r="N1123" s="846"/>
      <c r="O1123" s="1517"/>
      <c r="P1123" s="846"/>
      <c r="Q1123" s="1296"/>
      <c r="R1123" s="846"/>
      <c r="S1123" s="846"/>
      <c r="T1123" s="846"/>
    </row>
    <row r="1124" ht="15.0" customHeight="1">
      <c r="A1124" s="1296"/>
      <c r="B1124" s="846"/>
      <c r="C1124" s="1517"/>
      <c r="D1124" s="846"/>
      <c r="E1124" s="846"/>
      <c r="F1124" s="846"/>
      <c r="G1124" s="846"/>
      <c r="H1124" s="846"/>
      <c r="I1124" s="1296"/>
      <c r="J1124" s="846"/>
      <c r="K1124" s="1296"/>
      <c r="L1124" s="846"/>
      <c r="M1124" s="1517"/>
      <c r="N1124" s="846"/>
      <c r="O1124" s="1517"/>
      <c r="P1124" s="846"/>
      <c r="Q1124" s="1296"/>
      <c r="R1124" s="846"/>
      <c r="S1124" s="846"/>
      <c r="T1124" s="846"/>
    </row>
    <row r="1125" ht="15.0" customHeight="1">
      <c r="A1125" s="1296"/>
      <c r="B1125" s="846"/>
      <c r="C1125" s="1517"/>
      <c r="D1125" s="846"/>
      <c r="E1125" s="846"/>
      <c r="F1125" s="846"/>
      <c r="G1125" s="846"/>
      <c r="H1125" s="846"/>
      <c r="I1125" s="1296"/>
      <c r="J1125" s="846"/>
      <c r="K1125" s="1296"/>
      <c r="L1125" s="846"/>
      <c r="M1125" s="1517"/>
      <c r="N1125" s="846"/>
      <c r="O1125" s="1517"/>
      <c r="P1125" s="846"/>
      <c r="Q1125" s="1296"/>
      <c r="R1125" s="846"/>
      <c r="S1125" s="846"/>
      <c r="T1125" s="846"/>
    </row>
    <row r="1126" ht="15.0" customHeight="1">
      <c r="A1126" s="1296"/>
      <c r="B1126" s="846"/>
      <c r="C1126" s="1517"/>
      <c r="D1126" s="846"/>
      <c r="E1126" s="846"/>
      <c r="F1126" s="846"/>
      <c r="G1126" s="846"/>
      <c r="H1126" s="846"/>
      <c r="I1126" s="1296"/>
      <c r="J1126" s="846"/>
      <c r="K1126" s="1296"/>
      <c r="L1126" s="846"/>
      <c r="M1126" s="1517"/>
      <c r="N1126" s="846"/>
      <c r="O1126" s="1517"/>
      <c r="P1126" s="846"/>
      <c r="Q1126" s="1296"/>
      <c r="R1126" s="846"/>
      <c r="S1126" s="846"/>
      <c r="T1126" s="846"/>
    </row>
    <row r="1127" ht="15.0" customHeight="1">
      <c r="A1127" s="1296"/>
      <c r="B1127" s="846"/>
      <c r="C1127" s="1517"/>
      <c r="D1127" s="846"/>
      <c r="E1127" s="846"/>
      <c r="F1127" s="846"/>
      <c r="G1127" s="846"/>
      <c r="H1127" s="846"/>
      <c r="I1127" s="1296"/>
      <c r="J1127" s="846"/>
      <c r="K1127" s="1296"/>
      <c r="L1127" s="846"/>
      <c r="M1127" s="1517"/>
      <c r="N1127" s="846"/>
      <c r="O1127" s="1517"/>
      <c r="P1127" s="846"/>
      <c r="Q1127" s="1296"/>
      <c r="R1127" s="846"/>
      <c r="S1127" s="846"/>
      <c r="T1127" s="846"/>
    </row>
    <row r="1128" ht="15.0" customHeight="1">
      <c r="A1128" s="1296"/>
      <c r="B1128" s="846"/>
      <c r="C1128" s="1517"/>
      <c r="D1128" s="846"/>
      <c r="E1128" s="846"/>
      <c r="F1128" s="846"/>
      <c r="G1128" s="846"/>
      <c r="H1128" s="846"/>
      <c r="I1128" s="1296"/>
      <c r="J1128" s="846"/>
      <c r="K1128" s="1296"/>
      <c r="L1128" s="846"/>
      <c r="M1128" s="1517"/>
      <c r="N1128" s="846"/>
      <c r="O1128" s="1517"/>
      <c r="P1128" s="846"/>
      <c r="Q1128" s="1296"/>
      <c r="R1128" s="846"/>
      <c r="S1128" s="846"/>
      <c r="T1128" s="846"/>
    </row>
    <row r="1129" ht="15.0" customHeight="1">
      <c r="A1129" s="1296"/>
      <c r="B1129" s="846"/>
      <c r="C1129" s="1517"/>
      <c r="D1129" s="846"/>
      <c r="E1129" s="846"/>
      <c r="F1129" s="846"/>
      <c r="G1129" s="846"/>
      <c r="H1129" s="846"/>
      <c r="I1129" s="1296"/>
      <c r="J1129" s="846"/>
      <c r="K1129" s="1296"/>
      <c r="L1129" s="846"/>
      <c r="M1129" s="1517"/>
      <c r="N1129" s="846"/>
      <c r="O1129" s="1517"/>
      <c r="P1129" s="846"/>
      <c r="Q1129" s="1296"/>
      <c r="R1129" s="846"/>
      <c r="S1129" s="846"/>
      <c r="T1129" s="846"/>
    </row>
    <row r="1130" ht="15.0" customHeight="1">
      <c r="A1130" s="1296"/>
      <c r="B1130" s="846"/>
      <c r="C1130" s="1517"/>
      <c r="D1130" s="846"/>
      <c r="E1130" s="846"/>
      <c r="F1130" s="846"/>
      <c r="G1130" s="846"/>
      <c r="H1130" s="846"/>
      <c r="I1130" s="1296"/>
      <c r="J1130" s="846"/>
      <c r="K1130" s="1296"/>
      <c r="L1130" s="846"/>
      <c r="M1130" s="1517"/>
      <c r="N1130" s="846"/>
      <c r="O1130" s="1517"/>
      <c r="P1130" s="846"/>
      <c r="Q1130" s="1296"/>
      <c r="R1130" s="846"/>
      <c r="S1130" s="846"/>
      <c r="T1130" s="846"/>
    </row>
    <row r="1131" ht="15.0" customHeight="1">
      <c r="A1131" s="1296"/>
      <c r="B1131" s="846"/>
      <c r="C1131" s="1517"/>
      <c r="D1131" s="846"/>
      <c r="E1131" s="846"/>
      <c r="F1131" s="846"/>
      <c r="G1131" s="846"/>
      <c r="H1131" s="846"/>
      <c r="I1131" s="1296"/>
      <c r="J1131" s="846"/>
      <c r="K1131" s="1296"/>
      <c r="L1131" s="846"/>
      <c r="M1131" s="1517"/>
      <c r="N1131" s="846"/>
      <c r="O1131" s="1517"/>
      <c r="P1131" s="846"/>
      <c r="Q1131" s="1296"/>
      <c r="R1131" s="846"/>
      <c r="S1131" s="846"/>
      <c r="T1131" s="846"/>
    </row>
    <row r="1132" ht="15.0" customHeight="1">
      <c r="A1132" s="1296"/>
      <c r="B1132" s="846"/>
      <c r="C1132" s="1517"/>
      <c r="D1132" s="846"/>
      <c r="E1132" s="846"/>
      <c r="F1132" s="846"/>
      <c r="G1132" s="846"/>
      <c r="H1132" s="846"/>
      <c r="I1132" s="1296"/>
      <c r="J1132" s="846"/>
      <c r="K1132" s="1296"/>
      <c r="L1132" s="846"/>
      <c r="M1132" s="1517"/>
      <c r="N1132" s="846"/>
      <c r="O1132" s="1517"/>
      <c r="P1132" s="846"/>
      <c r="Q1132" s="1296"/>
      <c r="R1132" s="846"/>
      <c r="S1132" s="846"/>
      <c r="T1132" s="846"/>
    </row>
    <row r="1133" ht="15.0" customHeight="1">
      <c r="A1133" s="1296"/>
      <c r="B1133" s="846"/>
      <c r="C1133" s="1517"/>
      <c r="D1133" s="846"/>
      <c r="E1133" s="846"/>
      <c r="F1133" s="846"/>
      <c r="G1133" s="846"/>
      <c r="H1133" s="846"/>
      <c r="I1133" s="1296"/>
      <c r="J1133" s="846"/>
      <c r="K1133" s="1296"/>
      <c r="L1133" s="846"/>
      <c r="M1133" s="1517"/>
      <c r="N1133" s="846"/>
      <c r="O1133" s="1517"/>
      <c r="P1133" s="846"/>
      <c r="Q1133" s="1296"/>
      <c r="R1133" s="846"/>
      <c r="S1133" s="846"/>
      <c r="T1133" s="846"/>
    </row>
    <row r="1134" ht="15.0" customHeight="1">
      <c r="A1134" s="1296"/>
      <c r="B1134" s="846"/>
      <c r="C1134" s="1517"/>
      <c r="D1134" s="846"/>
      <c r="E1134" s="846"/>
      <c r="F1134" s="846"/>
      <c r="G1134" s="846"/>
      <c r="H1134" s="846"/>
      <c r="I1134" s="1296"/>
      <c r="J1134" s="846"/>
      <c r="K1134" s="1296"/>
      <c r="L1134" s="846"/>
      <c r="M1134" s="1517"/>
      <c r="N1134" s="846"/>
      <c r="O1134" s="1517"/>
      <c r="P1134" s="846"/>
      <c r="Q1134" s="1296"/>
      <c r="R1134" s="846"/>
      <c r="S1134" s="846"/>
      <c r="T1134" s="846"/>
    </row>
    <row r="1135" ht="15.0" customHeight="1">
      <c r="A1135" s="1296"/>
      <c r="B1135" s="846"/>
      <c r="C1135" s="1517"/>
      <c r="D1135" s="846"/>
      <c r="E1135" s="846"/>
      <c r="F1135" s="846"/>
      <c r="G1135" s="846"/>
      <c r="H1135" s="846"/>
      <c r="I1135" s="1296"/>
      <c r="J1135" s="846"/>
      <c r="K1135" s="1296"/>
      <c r="L1135" s="846"/>
      <c r="M1135" s="1517"/>
      <c r="N1135" s="846"/>
      <c r="O1135" s="1517"/>
      <c r="P1135" s="846"/>
      <c r="Q1135" s="1296"/>
      <c r="R1135" s="846"/>
      <c r="S1135" s="846"/>
      <c r="T1135" s="846"/>
    </row>
    <row r="1136" ht="15.0" customHeight="1">
      <c r="A1136" s="1296"/>
      <c r="B1136" s="846"/>
      <c r="C1136" s="1517"/>
      <c r="D1136" s="846"/>
      <c r="E1136" s="846"/>
      <c r="F1136" s="846"/>
      <c r="G1136" s="846"/>
      <c r="H1136" s="846"/>
      <c r="I1136" s="1296"/>
      <c r="J1136" s="846"/>
      <c r="K1136" s="1296"/>
      <c r="L1136" s="846"/>
      <c r="M1136" s="1517"/>
      <c r="N1136" s="846"/>
      <c r="O1136" s="1517"/>
      <c r="P1136" s="846"/>
      <c r="Q1136" s="1296"/>
      <c r="R1136" s="846"/>
      <c r="S1136" s="846"/>
      <c r="T1136" s="846"/>
    </row>
    <row r="1137" ht="15.0" customHeight="1">
      <c r="A1137" s="1296"/>
      <c r="B1137" s="846"/>
      <c r="C1137" s="1517"/>
      <c r="D1137" s="846"/>
      <c r="E1137" s="846"/>
      <c r="F1137" s="846"/>
      <c r="G1137" s="846"/>
      <c r="H1137" s="846"/>
      <c r="I1137" s="1296"/>
      <c r="J1137" s="846"/>
      <c r="K1137" s="1296"/>
      <c r="L1137" s="846"/>
      <c r="M1137" s="1517"/>
      <c r="N1137" s="846"/>
      <c r="O1137" s="1517"/>
      <c r="P1137" s="846"/>
      <c r="Q1137" s="1296"/>
      <c r="R1137" s="846"/>
      <c r="S1137" s="846"/>
      <c r="T1137" s="846"/>
    </row>
    <row r="1138" ht="15.0" customHeight="1">
      <c r="A1138" s="1296"/>
      <c r="B1138" s="846"/>
      <c r="C1138" s="1517"/>
      <c r="D1138" s="846"/>
      <c r="E1138" s="846"/>
      <c r="F1138" s="846"/>
      <c r="G1138" s="846"/>
      <c r="H1138" s="846"/>
      <c r="I1138" s="1296"/>
      <c r="J1138" s="846"/>
      <c r="K1138" s="1296"/>
      <c r="L1138" s="846"/>
      <c r="M1138" s="1517"/>
      <c r="N1138" s="846"/>
      <c r="O1138" s="1517"/>
      <c r="P1138" s="846"/>
      <c r="Q1138" s="1296"/>
      <c r="R1138" s="846"/>
      <c r="S1138" s="846"/>
      <c r="T1138" s="846"/>
    </row>
    <row r="1139" ht="15.0" customHeight="1">
      <c r="A1139" s="1296"/>
      <c r="B1139" s="846"/>
      <c r="C1139" s="1517"/>
      <c r="D1139" s="846"/>
      <c r="E1139" s="846"/>
      <c r="F1139" s="846"/>
      <c r="G1139" s="846"/>
      <c r="H1139" s="846"/>
      <c r="I1139" s="1296"/>
      <c r="J1139" s="846"/>
      <c r="K1139" s="1296"/>
      <c r="L1139" s="846"/>
      <c r="M1139" s="1517"/>
      <c r="N1139" s="846"/>
      <c r="O1139" s="1517"/>
      <c r="P1139" s="846"/>
      <c r="Q1139" s="1296"/>
      <c r="R1139" s="846"/>
      <c r="S1139" s="846"/>
      <c r="T1139" s="846"/>
    </row>
    <row r="1140" ht="15.0" customHeight="1">
      <c r="A1140" s="1296"/>
      <c r="B1140" s="846"/>
      <c r="C1140" s="1517"/>
      <c r="D1140" s="846"/>
      <c r="E1140" s="846"/>
      <c r="F1140" s="846"/>
      <c r="G1140" s="846"/>
      <c r="H1140" s="846"/>
      <c r="I1140" s="1296"/>
      <c r="J1140" s="846"/>
      <c r="K1140" s="1296"/>
      <c r="L1140" s="846"/>
      <c r="M1140" s="1517"/>
      <c r="N1140" s="846"/>
      <c r="O1140" s="1517"/>
      <c r="P1140" s="846"/>
      <c r="Q1140" s="1296"/>
      <c r="R1140" s="846"/>
      <c r="S1140" s="846"/>
      <c r="T1140" s="846"/>
    </row>
    <row r="1141" ht="15.0" customHeight="1">
      <c r="A1141" s="1296"/>
      <c r="B1141" s="846"/>
      <c r="C1141" s="1517"/>
      <c r="D1141" s="846"/>
      <c r="E1141" s="846"/>
      <c r="F1141" s="846"/>
      <c r="G1141" s="846"/>
      <c r="H1141" s="846"/>
      <c r="I1141" s="1296"/>
      <c r="J1141" s="846"/>
      <c r="K1141" s="1296"/>
      <c r="L1141" s="846"/>
      <c r="M1141" s="1517"/>
      <c r="N1141" s="846"/>
      <c r="O1141" s="1517"/>
      <c r="P1141" s="846"/>
      <c r="Q1141" s="1296"/>
      <c r="R1141" s="846"/>
      <c r="S1141" s="846"/>
      <c r="T1141" s="846"/>
    </row>
    <row r="1142" ht="15.0" customHeight="1">
      <c r="A1142" s="1296"/>
      <c r="B1142" s="846"/>
      <c r="C1142" s="1517"/>
      <c r="D1142" s="846"/>
      <c r="E1142" s="846"/>
      <c r="F1142" s="846"/>
      <c r="G1142" s="846"/>
      <c r="H1142" s="846"/>
      <c r="I1142" s="1296"/>
      <c r="J1142" s="846"/>
      <c r="K1142" s="1296"/>
      <c r="L1142" s="846"/>
      <c r="M1142" s="1517"/>
      <c r="N1142" s="846"/>
      <c r="O1142" s="1517"/>
      <c r="P1142" s="846"/>
      <c r="Q1142" s="1296"/>
      <c r="R1142" s="846"/>
      <c r="S1142" s="846"/>
      <c r="T1142" s="846"/>
    </row>
    <row r="1143" ht="15.0" customHeight="1">
      <c r="A1143" s="1296"/>
      <c r="B1143" s="846"/>
      <c r="C1143" s="1517"/>
      <c r="D1143" s="846"/>
      <c r="E1143" s="846"/>
      <c r="F1143" s="846"/>
      <c r="G1143" s="846"/>
      <c r="H1143" s="846"/>
      <c r="I1143" s="1296"/>
      <c r="J1143" s="846"/>
      <c r="K1143" s="1296"/>
      <c r="L1143" s="846"/>
      <c r="M1143" s="1517"/>
      <c r="N1143" s="846"/>
      <c r="O1143" s="1517"/>
      <c r="P1143" s="846"/>
      <c r="Q1143" s="1296"/>
      <c r="R1143" s="846"/>
      <c r="S1143" s="846"/>
      <c r="T1143" s="846"/>
    </row>
    <row r="1144" ht="15.0" customHeight="1">
      <c r="A1144" s="1296"/>
      <c r="B1144" s="846"/>
      <c r="C1144" s="1517"/>
      <c r="D1144" s="846"/>
      <c r="E1144" s="846"/>
      <c r="F1144" s="846"/>
      <c r="G1144" s="846"/>
      <c r="H1144" s="846"/>
      <c r="I1144" s="1296"/>
      <c r="J1144" s="846"/>
      <c r="K1144" s="1296"/>
      <c r="L1144" s="846"/>
      <c r="M1144" s="1517"/>
      <c r="N1144" s="846"/>
      <c r="O1144" s="1517"/>
      <c r="P1144" s="846"/>
      <c r="Q1144" s="1296"/>
      <c r="R1144" s="846"/>
      <c r="S1144" s="846"/>
      <c r="T1144" s="846"/>
    </row>
    <row r="1145" ht="15.0" customHeight="1">
      <c r="A1145" s="1296"/>
      <c r="B1145" s="846"/>
      <c r="C1145" s="1517"/>
      <c r="D1145" s="846"/>
      <c r="E1145" s="846"/>
      <c r="F1145" s="846"/>
      <c r="G1145" s="846"/>
      <c r="H1145" s="846"/>
      <c r="I1145" s="1296"/>
      <c r="J1145" s="846"/>
      <c r="K1145" s="1296"/>
      <c r="L1145" s="846"/>
      <c r="M1145" s="1517"/>
      <c r="N1145" s="846"/>
      <c r="O1145" s="1517"/>
      <c r="P1145" s="846"/>
      <c r="Q1145" s="1296"/>
      <c r="R1145" s="846"/>
      <c r="S1145" s="846"/>
      <c r="T1145" s="846"/>
    </row>
    <row r="1146" ht="15.0" customHeight="1">
      <c r="A1146" s="1296"/>
      <c r="B1146" s="846"/>
      <c r="C1146" s="1517"/>
      <c r="D1146" s="846"/>
      <c r="E1146" s="846"/>
      <c r="F1146" s="846"/>
      <c r="G1146" s="846"/>
      <c r="H1146" s="846"/>
      <c r="I1146" s="1296"/>
      <c r="J1146" s="846"/>
      <c r="K1146" s="1296"/>
      <c r="L1146" s="846"/>
      <c r="M1146" s="1517"/>
      <c r="N1146" s="846"/>
      <c r="O1146" s="1517"/>
      <c r="P1146" s="846"/>
      <c r="Q1146" s="1296"/>
      <c r="R1146" s="846"/>
      <c r="S1146" s="846"/>
      <c r="T1146" s="846"/>
    </row>
    <row r="1147" ht="15.0" customHeight="1">
      <c r="A1147" s="1296"/>
      <c r="B1147" s="846"/>
      <c r="C1147" s="1517"/>
      <c r="D1147" s="846"/>
      <c r="E1147" s="846"/>
      <c r="F1147" s="846"/>
      <c r="G1147" s="846"/>
      <c r="H1147" s="846"/>
      <c r="I1147" s="1296"/>
      <c r="J1147" s="846"/>
      <c r="K1147" s="1296"/>
      <c r="L1147" s="846"/>
      <c r="M1147" s="1517"/>
      <c r="N1147" s="846"/>
      <c r="O1147" s="1517"/>
      <c r="P1147" s="846"/>
      <c r="Q1147" s="1296"/>
      <c r="R1147" s="846"/>
      <c r="S1147" s="846"/>
      <c r="T1147" s="846"/>
    </row>
    <row r="1148" ht="15.0" customHeight="1">
      <c r="A1148" s="1296"/>
      <c r="B1148" s="846"/>
      <c r="C1148" s="1517"/>
      <c r="D1148" s="846"/>
      <c r="E1148" s="846"/>
      <c r="F1148" s="846"/>
      <c r="G1148" s="846"/>
      <c r="H1148" s="846"/>
      <c r="I1148" s="1296"/>
      <c r="J1148" s="846"/>
      <c r="K1148" s="1296"/>
      <c r="L1148" s="846"/>
      <c r="M1148" s="1517"/>
      <c r="N1148" s="846"/>
      <c r="O1148" s="1517"/>
      <c r="P1148" s="846"/>
      <c r="Q1148" s="1296"/>
      <c r="R1148" s="846"/>
      <c r="S1148" s="846"/>
      <c r="T1148" s="846"/>
    </row>
    <row r="1149" ht="15.0" customHeight="1">
      <c r="A1149" s="1296"/>
      <c r="B1149" s="846"/>
      <c r="C1149" s="1517"/>
      <c r="D1149" s="846"/>
      <c r="E1149" s="846"/>
      <c r="F1149" s="846"/>
      <c r="G1149" s="846"/>
      <c r="H1149" s="846"/>
      <c r="I1149" s="1296"/>
      <c r="J1149" s="846"/>
      <c r="K1149" s="1296"/>
      <c r="L1149" s="846"/>
      <c r="M1149" s="1517"/>
      <c r="N1149" s="846"/>
      <c r="O1149" s="1517"/>
      <c r="P1149" s="846"/>
      <c r="Q1149" s="1296"/>
      <c r="R1149" s="846"/>
      <c r="S1149" s="846"/>
      <c r="T1149" s="846"/>
    </row>
    <row r="1150" ht="15.0" customHeight="1">
      <c r="A1150" s="1296"/>
      <c r="B1150" s="846"/>
      <c r="C1150" s="1517"/>
      <c r="D1150" s="846"/>
      <c r="E1150" s="846"/>
      <c r="F1150" s="846"/>
      <c r="G1150" s="846"/>
      <c r="H1150" s="846"/>
      <c r="I1150" s="1296"/>
      <c r="J1150" s="846"/>
      <c r="K1150" s="1296"/>
      <c r="L1150" s="846"/>
      <c r="M1150" s="1517"/>
      <c r="N1150" s="846"/>
      <c r="O1150" s="1517"/>
      <c r="P1150" s="846"/>
      <c r="Q1150" s="1296"/>
      <c r="R1150" s="846"/>
      <c r="S1150" s="846"/>
      <c r="T1150" s="846"/>
    </row>
    <row r="1151" ht="15.0" customHeight="1">
      <c r="A1151" s="1296"/>
      <c r="B1151" s="846"/>
      <c r="C1151" s="1517"/>
      <c r="D1151" s="846"/>
      <c r="E1151" s="846"/>
      <c r="F1151" s="846"/>
      <c r="G1151" s="846"/>
      <c r="H1151" s="846"/>
      <c r="I1151" s="1296"/>
      <c r="J1151" s="846"/>
      <c r="K1151" s="1296"/>
      <c r="L1151" s="846"/>
      <c r="M1151" s="1517"/>
      <c r="N1151" s="846"/>
      <c r="O1151" s="1517"/>
      <c r="P1151" s="846"/>
      <c r="Q1151" s="1296"/>
      <c r="R1151" s="846"/>
      <c r="S1151" s="846"/>
      <c r="T1151" s="846"/>
    </row>
    <row r="1152" ht="15.0" customHeight="1">
      <c r="A1152" s="1296"/>
      <c r="B1152" s="846"/>
      <c r="C1152" s="1517"/>
      <c r="D1152" s="846"/>
      <c r="E1152" s="846"/>
      <c r="F1152" s="846"/>
      <c r="G1152" s="846"/>
      <c r="H1152" s="846"/>
      <c r="I1152" s="1296"/>
      <c r="J1152" s="846"/>
      <c r="K1152" s="1296"/>
      <c r="L1152" s="846"/>
      <c r="M1152" s="1517"/>
      <c r="N1152" s="846"/>
      <c r="O1152" s="1517"/>
      <c r="P1152" s="846"/>
      <c r="Q1152" s="1296"/>
      <c r="R1152" s="846"/>
      <c r="S1152" s="846"/>
      <c r="T1152" s="846"/>
    </row>
    <row r="1153" ht="15.0" customHeight="1">
      <c r="A1153" s="1296"/>
      <c r="B1153" s="846"/>
      <c r="C1153" s="1517"/>
      <c r="D1153" s="846"/>
      <c r="E1153" s="846"/>
      <c r="F1153" s="846"/>
      <c r="G1153" s="846"/>
      <c r="H1153" s="846"/>
      <c r="I1153" s="1296"/>
      <c r="J1153" s="846"/>
      <c r="K1153" s="1296"/>
      <c r="L1153" s="846"/>
      <c r="M1153" s="1517"/>
      <c r="N1153" s="846"/>
      <c r="O1153" s="1517"/>
      <c r="P1153" s="846"/>
      <c r="Q1153" s="1296"/>
      <c r="R1153" s="846"/>
      <c r="S1153" s="846"/>
      <c r="T1153" s="846"/>
    </row>
    <row r="1154" ht="15.0" customHeight="1">
      <c r="A1154" s="1296"/>
      <c r="B1154" s="846"/>
      <c r="C1154" s="1517"/>
      <c r="D1154" s="846"/>
      <c r="E1154" s="846"/>
      <c r="F1154" s="846"/>
      <c r="G1154" s="846"/>
      <c r="H1154" s="846"/>
      <c r="I1154" s="1296"/>
      <c r="J1154" s="846"/>
      <c r="K1154" s="1296"/>
      <c r="L1154" s="846"/>
      <c r="M1154" s="1517"/>
      <c r="N1154" s="846"/>
      <c r="O1154" s="1517"/>
      <c r="P1154" s="846"/>
      <c r="Q1154" s="1296"/>
      <c r="R1154" s="846"/>
      <c r="S1154" s="846"/>
      <c r="T1154" s="846"/>
    </row>
    <row r="1155" ht="15.0" customHeight="1">
      <c r="A1155" s="1296"/>
      <c r="B1155" s="846"/>
      <c r="C1155" s="1517"/>
      <c r="D1155" s="846"/>
      <c r="E1155" s="846"/>
      <c r="F1155" s="846"/>
      <c r="G1155" s="846"/>
      <c r="H1155" s="846"/>
      <c r="I1155" s="1296"/>
      <c r="J1155" s="846"/>
      <c r="K1155" s="1296"/>
      <c r="L1155" s="846"/>
      <c r="M1155" s="1517"/>
      <c r="N1155" s="846"/>
      <c r="O1155" s="1517"/>
      <c r="P1155" s="846"/>
      <c r="Q1155" s="1296"/>
      <c r="R1155" s="846"/>
      <c r="S1155" s="846"/>
      <c r="T1155" s="846"/>
    </row>
    <row r="1156" ht="15.0" customHeight="1">
      <c r="A1156" s="1296"/>
      <c r="B1156" s="846"/>
      <c r="C1156" s="1517"/>
      <c r="D1156" s="846"/>
      <c r="E1156" s="846"/>
      <c r="F1156" s="846"/>
      <c r="G1156" s="846"/>
      <c r="H1156" s="846"/>
      <c r="I1156" s="1296"/>
      <c r="J1156" s="846"/>
      <c r="K1156" s="1296"/>
      <c r="L1156" s="846"/>
      <c r="M1156" s="1517"/>
      <c r="N1156" s="846"/>
      <c r="O1156" s="1517"/>
      <c r="P1156" s="846"/>
      <c r="Q1156" s="1296"/>
      <c r="R1156" s="846"/>
      <c r="S1156" s="846"/>
      <c r="T1156" s="846"/>
    </row>
    <row r="1157" ht="15.0" customHeight="1">
      <c r="A1157" s="1296"/>
      <c r="B1157" s="846"/>
      <c r="C1157" s="1517"/>
      <c r="D1157" s="846"/>
      <c r="E1157" s="846"/>
      <c r="F1157" s="846"/>
      <c r="G1157" s="846"/>
      <c r="H1157" s="846"/>
      <c r="I1157" s="1296"/>
      <c r="J1157" s="846"/>
      <c r="K1157" s="1296"/>
      <c r="L1157" s="846"/>
      <c r="M1157" s="1517"/>
      <c r="N1157" s="846"/>
      <c r="O1157" s="1517"/>
      <c r="P1157" s="846"/>
      <c r="Q1157" s="1296"/>
      <c r="R1157" s="846"/>
      <c r="S1157" s="846"/>
      <c r="T1157" s="846"/>
    </row>
    <row r="1158" ht="15.0" customHeight="1">
      <c r="A1158" s="1296"/>
      <c r="B1158" s="846"/>
      <c r="C1158" s="1517"/>
      <c r="D1158" s="846"/>
      <c r="E1158" s="846"/>
      <c r="F1158" s="846"/>
      <c r="G1158" s="846"/>
      <c r="H1158" s="846"/>
      <c r="I1158" s="1296"/>
      <c r="J1158" s="846"/>
      <c r="K1158" s="1296"/>
      <c r="L1158" s="846"/>
      <c r="M1158" s="1517"/>
      <c r="N1158" s="846"/>
      <c r="O1158" s="1517"/>
      <c r="P1158" s="846"/>
      <c r="Q1158" s="1296"/>
      <c r="R1158" s="846"/>
      <c r="S1158" s="846"/>
      <c r="T1158" s="846"/>
    </row>
    <row r="1159" ht="15.0" customHeight="1">
      <c r="A1159" s="1296"/>
      <c r="B1159" s="846"/>
      <c r="C1159" s="1517"/>
      <c r="D1159" s="846"/>
      <c r="E1159" s="846"/>
      <c r="F1159" s="846"/>
      <c r="G1159" s="846"/>
      <c r="H1159" s="846"/>
      <c r="I1159" s="1296"/>
      <c r="J1159" s="846"/>
      <c r="K1159" s="1296"/>
      <c r="L1159" s="846"/>
      <c r="M1159" s="1517"/>
      <c r="N1159" s="846"/>
      <c r="O1159" s="1517"/>
      <c r="P1159" s="846"/>
      <c r="Q1159" s="1296"/>
      <c r="R1159" s="846"/>
      <c r="S1159" s="846"/>
      <c r="T1159" s="846"/>
    </row>
    <row r="1160" ht="15.0" customHeight="1">
      <c r="A1160" s="1296"/>
      <c r="B1160" s="846"/>
      <c r="C1160" s="1517"/>
      <c r="D1160" s="846"/>
      <c r="E1160" s="846"/>
      <c r="F1160" s="846"/>
      <c r="G1160" s="846"/>
      <c r="H1160" s="846"/>
      <c r="I1160" s="1296"/>
      <c r="J1160" s="846"/>
      <c r="K1160" s="1296"/>
      <c r="L1160" s="846"/>
      <c r="M1160" s="1517"/>
      <c r="N1160" s="846"/>
      <c r="O1160" s="1517"/>
      <c r="P1160" s="846"/>
      <c r="Q1160" s="1296"/>
      <c r="R1160" s="846"/>
      <c r="S1160" s="846"/>
      <c r="T1160" s="846"/>
    </row>
    <row r="1161" ht="15.0" customHeight="1">
      <c r="A1161" s="1296"/>
      <c r="B1161" s="846"/>
      <c r="C1161" s="1517"/>
      <c r="D1161" s="846"/>
      <c r="E1161" s="846"/>
      <c r="F1161" s="846"/>
      <c r="G1161" s="846"/>
      <c r="H1161" s="846"/>
      <c r="I1161" s="1296"/>
      <c r="J1161" s="846"/>
      <c r="K1161" s="1296"/>
      <c r="L1161" s="846"/>
      <c r="M1161" s="1517"/>
      <c r="N1161" s="846"/>
      <c r="O1161" s="1517"/>
      <c r="P1161" s="846"/>
      <c r="Q1161" s="1296"/>
      <c r="R1161" s="846"/>
      <c r="S1161" s="846"/>
      <c r="T1161" s="846"/>
    </row>
    <row r="1162" ht="15.0" customHeight="1">
      <c r="A1162" s="1296"/>
      <c r="B1162" s="846"/>
      <c r="C1162" s="1517"/>
      <c r="D1162" s="846"/>
      <c r="E1162" s="846"/>
      <c r="F1162" s="846"/>
      <c r="G1162" s="846"/>
      <c r="H1162" s="846"/>
      <c r="I1162" s="1296"/>
      <c r="J1162" s="846"/>
      <c r="K1162" s="1296"/>
      <c r="L1162" s="846"/>
      <c r="M1162" s="1517"/>
      <c r="N1162" s="846"/>
      <c r="O1162" s="1517"/>
      <c r="P1162" s="846"/>
      <c r="Q1162" s="1296"/>
      <c r="R1162" s="846"/>
      <c r="S1162" s="846"/>
      <c r="T1162" s="846"/>
    </row>
    <row r="1163" ht="15.0" customHeight="1">
      <c r="A1163" s="1296"/>
      <c r="B1163" s="846"/>
      <c r="C1163" s="1517"/>
      <c r="D1163" s="846"/>
      <c r="E1163" s="846"/>
      <c r="F1163" s="846"/>
      <c r="G1163" s="846"/>
      <c r="H1163" s="846"/>
      <c r="I1163" s="1296"/>
      <c r="J1163" s="846"/>
      <c r="K1163" s="1296"/>
      <c r="L1163" s="846"/>
      <c r="M1163" s="1517"/>
      <c r="N1163" s="846"/>
      <c r="O1163" s="1517"/>
      <c r="P1163" s="846"/>
      <c r="Q1163" s="1296"/>
      <c r="R1163" s="846"/>
      <c r="S1163" s="846"/>
      <c r="T1163" s="846"/>
    </row>
    <row r="1164" ht="15.0" customHeight="1">
      <c r="A1164" s="1296"/>
      <c r="B1164" s="846"/>
      <c r="C1164" s="1517"/>
      <c r="D1164" s="846"/>
      <c r="E1164" s="846"/>
      <c r="F1164" s="846"/>
      <c r="G1164" s="846"/>
      <c r="H1164" s="846"/>
      <c r="I1164" s="1296"/>
      <c r="J1164" s="846"/>
      <c r="K1164" s="1296"/>
      <c r="L1164" s="846"/>
      <c r="M1164" s="1517"/>
      <c r="N1164" s="846"/>
      <c r="O1164" s="1517"/>
      <c r="P1164" s="846"/>
      <c r="Q1164" s="1296"/>
      <c r="R1164" s="846"/>
      <c r="S1164" s="846"/>
      <c r="T1164" s="846"/>
    </row>
    <row r="1165" ht="15.0" customHeight="1">
      <c r="A1165" s="1296"/>
      <c r="B1165" s="846"/>
      <c r="C1165" s="1517"/>
      <c r="D1165" s="846"/>
      <c r="E1165" s="846"/>
      <c r="F1165" s="846"/>
      <c r="G1165" s="846"/>
      <c r="H1165" s="846"/>
      <c r="I1165" s="1296"/>
      <c r="J1165" s="846"/>
      <c r="K1165" s="1296"/>
      <c r="L1165" s="846"/>
      <c r="M1165" s="1517"/>
      <c r="N1165" s="846"/>
      <c r="O1165" s="1517"/>
      <c r="P1165" s="846"/>
      <c r="Q1165" s="1296"/>
      <c r="R1165" s="846"/>
      <c r="S1165" s="846"/>
      <c r="T1165" s="846"/>
    </row>
    <row r="1166" ht="15.0" customHeight="1">
      <c r="A1166" s="1296"/>
      <c r="B1166" s="846"/>
      <c r="C1166" s="1517"/>
      <c r="D1166" s="846"/>
      <c r="E1166" s="846"/>
      <c r="F1166" s="846"/>
      <c r="G1166" s="846"/>
      <c r="H1166" s="846"/>
      <c r="I1166" s="1296"/>
      <c r="J1166" s="846"/>
      <c r="K1166" s="1296"/>
      <c r="L1166" s="846"/>
      <c r="M1166" s="1517"/>
      <c r="N1166" s="846"/>
      <c r="O1166" s="1517"/>
      <c r="P1166" s="846"/>
      <c r="Q1166" s="1296"/>
      <c r="R1166" s="846"/>
      <c r="S1166" s="846"/>
      <c r="T1166" s="846"/>
    </row>
    <row r="1167" ht="15.0" customHeight="1">
      <c r="A1167" s="1296"/>
      <c r="B1167" s="846"/>
      <c r="C1167" s="1517"/>
      <c r="D1167" s="846"/>
      <c r="E1167" s="846"/>
      <c r="F1167" s="846"/>
      <c r="G1167" s="846"/>
      <c r="H1167" s="846"/>
      <c r="I1167" s="1296"/>
      <c r="J1167" s="846"/>
      <c r="K1167" s="1296"/>
      <c r="L1167" s="846"/>
      <c r="M1167" s="1517"/>
      <c r="N1167" s="846"/>
      <c r="O1167" s="1517"/>
      <c r="P1167" s="846"/>
      <c r="Q1167" s="1296"/>
      <c r="R1167" s="846"/>
      <c r="S1167" s="846"/>
      <c r="T1167" s="846"/>
    </row>
    <row r="1168" ht="15.0" customHeight="1">
      <c r="A1168" s="1296"/>
      <c r="B1168" s="846"/>
      <c r="C1168" s="1517"/>
      <c r="D1168" s="846"/>
      <c r="E1168" s="846"/>
      <c r="F1168" s="846"/>
      <c r="G1168" s="846"/>
      <c r="H1168" s="846"/>
      <c r="I1168" s="1296"/>
      <c r="J1168" s="846"/>
      <c r="K1168" s="1296"/>
      <c r="L1168" s="846"/>
      <c r="M1168" s="1517"/>
      <c r="N1168" s="846"/>
      <c r="O1168" s="1517"/>
      <c r="P1168" s="846"/>
      <c r="Q1168" s="1296"/>
      <c r="R1168" s="846"/>
      <c r="S1168" s="846"/>
      <c r="T1168" s="846"/>
    </row>
    <row r="1169" ht="15.0" customHeight="1">
      <c r="A1169" s="1296"/>
      <c r="B1169" s="846"/>
      <c r="C1169" s="1517"/>
      <c r="D1169" s="846"/>
      <c r="E1169" s="846"/>
      <c r="F1169" s="846"/>
      <c r="G1169" s="846"/>
      <c r="H1169" s="846"/>
      <c r="I1169" s="1296"/>
      <c r="J1169" s="846"/>
      <c r="K1169" s="1296"/>
      <c r="L1169" s="846"/>
      <c r="M1169" s="1517"/>
      <c r="N1169" s="846"/>
      <c r="O1169" s="1517"/>
      <c r="P1169" s="846"/>
      <c r="Q1169" s="1296"/>
      <c r="R1169" s="846"/>
      <c r="S1169" s="846"/>
      <c r="T1169" s="846"/>
    </row>
    <row r="1170" ht="15.0" customHeight="1">
      <c r="A1170" s="1296"/>
      <c r="B1170" s="846"/>
      <c r="C1170" s="1517"/>
      <c r="D1170" s="846"/>
      <c r="E1170" s="846"/>
      <c r="F1170" s="846"/>
      <c r="G1170" s="846"/>
      <c r="H1170" s="846"/>
      <c r="I1170" s="1296"/>
      <c r="J1170" s="846"/>
      <c r="K1170" s="1296"/>
      <c r="L1170" s="846"/>
      <c r="M1170" s="1517"/>
      <c r="N1170" s="846"/>
      <c r="O1170" s="1517"/>
      <c r="P1170" s="846"/>
      <c r="Q1170" s="1296"/>
      <c r="R1170" s="846"/>
      <c r="S1170" s="846"/>
      <c r="T1170" s="846"/>
    </row>
    <row r="1171" ht="15.0" customHeight="1">
      <c r="A1171" s="1296"/>
      <c r="B1171" s="846"/>
      <c r="C1171" s="1517"/>
      <c r="D1171" s="846"/>
      <c r="E1171" s="846"/>
      <c r="F1171" s="846"/>
      <c r="G1171" s="846"/>
      <c r="H1171" s="846"/>
      <c r="I1171" s="1296"/>
      <c r="J1171" s="846"/>
      <c r="K1171" s="1296"/>
      <c r="L1171" s="846"/>
      <c r="M1171" s="1517"/>
      <c r="N1171" s="846"/>
      <c r="O1171" s="1517"/>
      <c r="P1171" s="846"/>
      <c r="Q1171" s="1296"/>
      <c r="R1171" s="846"/>
      <c r="S1171" s="846"/>
      <c r="T1171" s="846"/>
    </row>
    <row r="1172" ht="15.0" customHeight="1">
      <c r="A1172" s="1296"/>
      <c r="B1172" s="846"/>
      <c r="C1172" s="1517"/>
      <c r="D1172" s="846"/>
      <c r="E1172" s="846"/>
      <c r="F1172" s="846"/>
      <c r="G1172" s="846"/>
      <c r="H1172" s="846"/>
      <c r="I1172" s="1296"/>
      <c r="J1172" s="846"/>
      <c r="K1172" s="1296"/>
      <c r="L1172" s="846"/>
      <c r="M1172" s="1517"/>
      <c r="N1172" s="846"/>
      <c r="O1172" s="1517"/>
      <c r="P1172" s="846"/>
      <c r="Q1172" s="1296"/>
      <c r="R1172" s="846"/>
      <c r="S1172" s="846"/>
      <c r="T1172" s="846"/>
    </row>
    <row r="1173" ht="15.0" customHeight="1">
      <c r="A1173" s="1296"/>
      <c r="B1173" s="846"/>
      <c r="C1173" s="1517"/>
      <c r="D1173" s="846"/>
      <c r="E1173" s="846"/>
      <c r="F1173" s="846"/>
      <c r="G1173" s="846"/>
      <c r="H1173" s="846"/>
      <c r="I1173" s="1296"/>
      <c r="J1173" s="846"/>
      <c r="K1173" s="1296"/>
      <c r="L1173" s="846"/>
      <c r="M1173" s="1517"/>
      <c r="N1173" s="846"/>
      <c r="O1173" s="1517"/>
      <c r="P1173" s="846"/>
      <c r="Q1173" s="1296"/>
      <c r="R1173" s="846"/>
      <c r="S1173" s="846"/>
      <c r="T1173" s="846"/>
    </row>
    <row r="1174" ht="15.0" customHeight="1">
      <c r="A1174" s="1296"/>
      <c r="B1174" s="846"/>
      <c r="C1174" s="1517"/>
      <c r="D1174" s="846"/>
      <c r="E1174" s="846"/>
      <c r="F1174" s="846"/>
      <c r="G1174" s="846"/>
      <c r="H1174" s="846"/>
      <c r="I1174" s="1296"/>
      <c r="J1174" s="846"/>
      <c r="K1174" s="1296"/>
      <c r="L1174" s="846"/>
      <c r="M1174" s="1517"/>
      <c r="N1174" s="846"/>
      <c r="O1174" s="1517"/>
      <c r="P1174" s="846"/>
      <c r="Q1174" s="1296"/>
      <c r="R1174" s="846"/>
      <c r="S1174" s="846"/>
      <c r="T1174" s="846"/>
    </row>
    <row r="1175" ht="15.0" customHeight="1">
      <c r="A1175" s="1296"/>
      <c r="B1175" s="846"/>
      <c r="C1175" s="1517"/>
      <c r="D1175" s="846"/>
      <c r="E1175" s="846"/>
      <c r="F1175" s="846"/>
      <c r="G1175" s="846"/>
      <c r="H1175" s="846"/>
      <c r="I1175" s="1296"/>
      <c r="J1175" s="846"/>
      <c r="K1175" s="1296"/>
      <c r="L1175" s="846"/>
      <c r="M1175" s="1517"/>
      <c r="N1175" s="846"/>
      <c r="O1175" s="1517"/>
      <c r="P1175" s="846"/>
      <c r="Q1175" s="1296"/>
      <c r="R1175" s="846"/>
      <c r="S1175" s="846"/>
      <c r="T1175" s="846"/>
    </row>
    <row r="1176" ht="15.0" customHeight="1">
      <c r="A1176" s="1296"/>
      <c r="B1176" s="846"/>
      <c r="C1176" s="1517"/>
      <c r="D1176" s="846"/>
      <c r="E1176" s="846"/>
      <c r="F1176" s="846"/>
      <c r="G1176" s="846"/>
      <c r="H1176" s="846"/>
      <c r="I1176" s="1296"/>
      <c r="J1176" s="846"/>
      <c r="K1176" s="1296"/>
      <c r="L1176" s="846"/>
      <c r="M1176" s="1517"/>
      <c r="N1176" s="846"/>
      <c r="O1176" s="1517"/>
      <c r="P1176" s="846"/>
      <c r="Q1176" s="1296"/>
      <c r="R1176" s="846"/>
      <c r="S1176" s="846"/>
      <c r="T1176" s="846"/>
    </row>
    <row r="1177" ht="15.0" customHeight="1">
      <c r="A1177" s="1296"/>
      <c r="B1177" s="846"/>
      <c r="C1177" s="1517"/>
      <c r="D1177" s="846"/>
      <c r="E1177" s="846"/>
      <c r="F1177" s="846"/>
      <c r="G1177" s="846"/>
      <c r="H1177" s="846"/>
      <c r="I1177" s="1296"/>
      <c r="J1177" s="846"/>
      <c r="K1177" s="1296"/>
      <c r="L1177" s="846"/>
      <c r="M1177" s="1517"/>
      <c r="N1177" s="846"/>
      <c r="O1177" s="1517"/>
      <c r="P1177" s="846"/>
      <c r="Q1177" s="1296"/>
      <c r="R1177" s="846"/>
      <c r="S1177" s="846"/>
      <c r="T1177" s="846"/>
    </row>
    <row r="1178" ht="15.0" customHeight="1">
      <c r="A1178" s="1296"/>
      <c r="B1178" s="846"/>
      <c r="C1178" s="1517"/>
      <c r="D1178" s="846"/>
      <c r="E1178" s="846"/>
      <c r="F1178" s="846"/>
      <c r="G1178" s="846"/>
      <c r="H1178" s="846"/>
      <c r="I1178" s="1296"/>
      <c r="J1178" s="846"/>
      <c r="K1178" s="1296"/>
      <c r="L1178" s="846"/>
      <c r="M1178" s="1517"/>
      <c r="N1178" s="846"/>
      <c r="O1178" s="1517"/>
      <c r="P1178" s="846"/>
      <c r="Q1178" s="1296"/>
      <c r="R1178" s="846"/>
      <c r="S1178" s="846"/>
      <c r="T1178" s="846"/>
    </row>
    <row r="1179" ht="15.0" customHeight="1">
      <c r="A1179" s="1296"/>
      <c r="B1179" s="846"/>
      <c r="C1179" s="1517"/>
      <c r="D1179" s="846"/>
      <c r="E1179" s="846"/>
      <c r="F1179" s="846"/>
      <c r="G1179" s="846"/>
      <c r="H1179" s="846"/>
      <c r="I1179" s="1296"/>
      <c r="J1179" s="846"/>
      <c r="K1179" s="1296"/>
      <c r="L1179" s="846"/>
      <c r="M1179" s="1517"/>
      <c r="N1179" s="846"/>
      <c r="O1179" s="1517"/>
      <c r="P1179" s="846"/>
      <c r="Q1179" s="1296"/>
      <c r="R1179" s="846"/>
      <c r="S1179" s="846"/>
      <c r="T1179" s="846"/>
    </row>
    <row r="1180" ht="15.0" customHeight="1">
      <c r="A1180" s="1296"/>
      <c r="B1180" s="846"/>
      <c r="C1180" s="1517"/>
      <c r="D1180" s="846"/>
      <c r="E1180" s="846"/>
      <c r="F1180" s="846"/>
      <c r="G1180" s="846"/>
      <c r="H1180" s="846"/>
      <c r="I1180" s="1296"/>
      <c r="J1180" s="846"/>
      <c r="K1180" s="1296"/>
      <c r="L1180" s="846"/>
      <c r="M1180" s="1517"/>
      <c r="N1180" s="846"/>
      <c r="O1180" s="1517"/>
      <c r="P1180" s="846"/>
      <c r="Q1180" s="1296"/>
      <c r="R1180" s="846"/>
      <c r="S1180" s="846"/>
      <c r="T1180" s="846"/>
    </row>
    <row r="1181" ht="15.0" customHeight="1">
      <c r="A1181" s="1296"/>
      <c r="B1181" s="846"/>
      <c r="C1181" s="1517"/>
      <c r="D1181" s="846"/>
      <c r="E1181" s="846"/>
      <c r="F1181" s="846"/>
      <c r="G1181" s="846"/>
      <c r="H1181" s="846"/>
      <c r="I1181" s="1296"/>
      <c r="J1181" s="846"/>
      <c r="K1181" s="1296"/>
      <c r="L1181" s="846"/>
      <c r="M1181" s="1517"/>
      <c r="N1181" s="846"/>
      <c r="O1181" s="1517"/>
      <c r="P1181" s="846"/>
      <c r="Q1181" s="1296"/>
      <c r="R1181" s="846"/>
      <c r="S1181" s="846"/>
      <c r="T1181" s="846"/>
    </row>
    <row r="1182" ht="15.0" customHeight="1">
      <c r="A1182" s="1296"/>
      <c r="B1182" s="846"/>
      <c r="C1182" s="1517"/>
      <c r="D1182" s="846"/>
      <c r="E1182" s="846"/>
      <c r="F1182" s="846"/>
      <c r="G1182" s="846"/>
      <c r="H1182" s="846"/>
      <c r="I1182" s="1296"/>
      <c r="J1182" s="846"/>
      <c r="K1182" s="1296"/>
      <c r="L1182" s="846"/>
      <c r="M1182" s="1517"/>
      <c r="N1182" s="846"/>
      <c r="O1182" s="1517"/>
      <c r="P1182" s="846"/>
      <c r="Q1182" s="1296"/>
      <c r="R1182" s="846"/>
      <c r="S1182" s="846"/>
      <c r="T1182" s="846"/>
    </row>
    <row r="1183" ht="15.0" customHeight="1">
      <c r="A1183" s="1296"/>
      <c r="B1183" s="846"/>
      <c r="C1183" s="1517"/>
      <c r="D1183" s="846"/>
      <c r="E1183" s="846"/>
      <c r="F1183" s="846"/>
      <c r="G1183" s="846"/>
      <c r="H1183" s="846"/>
      <c r="I1183" s="1296"/>
      <c r="J1183" s="846"/>
      <c r="K1183" s="1296"/>
      <c r="L1183" s="846"/>
      <c r="M1183" s="1517"/>
      <c r="N1183" s="846"/>
      <c r="O1183" s="1517"/>
      <c r="P1183" s="846"/>
      <c r="Q1183" s="1296"/>
      <c r="R1183" s="846"/>
      <c r="S1183" s="846"/>
      <c r="T1183" s="846"/>
    </row>
    <row r="1184" ht="15.0" customHeight="1">
      <c r="A1184" s="1296"/>
      <c r="B1184" s="846"/>
      <c r="C1184" s="1517"/>
      <c r="D1184" s="846"/>
      <c r="E1184" s="846"/>
      <c r="F1184" s="846"/>
      <c r="G1184" s="846"/>
      <c r="H1184" s="846"/>
      <c r="I1184" s="1296"/>
      <c r="J1184" s="846"/>
      <c r="K1184" s="1296"/>
      <c r="L1184" s="846"/>
      <c r="M1184" s="1517"/>
      <c r="N1184" s="846"/>
      <c r="O1184" s="1517"/>
      <c r="P1184" s="846"/>
      <c r="Q1184" s="1296"/>
      <c r="R1184" s="846"/>
      <c r="S1184" s="846"/>
      <c r="T1184" s="846"/>
    </row>
    <row r="1185" ht="15.0" customHeight="1">
      <c r="A1185" s="1296"/>
      <c r="B1185" s="846"/>
      <c r="C1185" s="1517"/>
      <c r="D1185" s="846"/>
      <c r="E1185" s="846"/>
      <c r="F1185" s="846"/>
      <c r="G1185" s="846"/>
      <c r="H1185" s="846"/>
      <c r="I1185" s="1296"/>
      <c r="J1185" s="846"/>
      <c r="K1185" s="1296"/>
      <c r="L1185" s="846"/>
      <c r="M1185" s="1517"/>
      <c r="N1185" s="846"/>
      <c r="O1185" s="1517"/>
      <c r="P1185" s="846"/>
      <c r="Q1185" s="1296"/>
      <c r="R1185" s="846"/>
      <c r="S1185" s="846"/>
      <c r="T1185" s="846"/>
    </row>
    <row r="1186" ht="15.0" customHeight="1">
      <c r="A1186" s="1296"/>
      <c r="B1186" s="846"/>
      <c r="C1186" s="1517"/>
      <c r="D1186" s="846"/>
      <c r="E1186" s="846"/>
      <c r="F1186" s="846"/>
      <c r="G1186" s="846"/>
      <c r="H1186" s="846"/>
      <c r="I1186" s="1296"/>
      <c r="J1186" s="846"/>
      <c r="K1186" s="1296"/>
      <c r="L1186" s="846"/>
      <c r="M1186" s="1517"/>
      <c r="N1186" s="846"/>
      <c r="O1186" s="1517"/>
      <c r="P1186" s="846"/>
      <c r="Q1186" s="1296"/>
      <c r="R1186" s="846"/>
      <c r="S1186" s="846"/>
      <c r="T1186" s="846"/>
    </row>
    <row r="1187" ht="15.0" customHeight="1">
      <c r="A1187" s="1296"/>
      <c r="B1187" s="846"/>
      <c r="C1187" s="1517"/>
      <c r="D1187" s="846"/>
      <c r="E1187" s="846"/>
      <c r="F1187" s="846"/>
      <c r="G1187" s="846"/>
      <c r="H1187" s="846"/>
      <c r="I1187" s="1296"/>
      <c r="J1187" s="846"/>
      <c r="K1187" s="1296"/>
      <c r="L1187" s="846"/>
      <c r="M1187" s="1517"/>
      <c r="N1187" s="846"/>
      <c r="O1187" s="1517"/>
      <c r="P1187" s="846"/>
      <c r="Q1187" s="1296"/>
      <c r="R1187" s="846"/>
      <c r="S1187" s="846"/>
      <c r="T1187" s="846"/>
    </row>
    <row r="1188" ht="15.0" customHeight="1">
      <c r="A1188" s="1296"/>
      <c r="B1188" s="846"/>
      <c r="C1188" s="1517"/>
      <c r="D1188" s="846"/>
      <c r="E1188" s="846"/>
      <c r="F1188" s="846"/>
      <c r="G1188" s="846"/>
      <c r="H1188" s="846"/>
      <c r="I1188" s="1296"/>
      <c r="J1188" s="846"/>
      <c r="K1188" s="1296"/>
      <c r="L1188" s="846"/>
      <c r="M1188" s="1517"/>
      <c r="N1188" s="846"/>
      <c r="O1188" s="1517"/>
      <c r="P1188" s="846"/>
      <c r="Q1188" s="1296"/>
      <c r="R1188" s="846"/>
      <c r="S1188" s="846"/>
      <c r="T1188" s="846"/>
    </row>
    <row r="1189" ht="15.0" customHeight="1">
      <c r="A1189" s="1296"/>
      <c r="B1189" s="846"/>
      <c r="C1189" s="1517"/>
      <c r="D1189" s="846"/>
      <c r="E1189" s="846"/>
      <c r="F1189" s="846"/>
      <c r="G1189" s="846"/>
      <c r="H1189" s="846"/>
      <c r="I1189" s="1296"/>
      <c r="J1189" s="846"/>
      <c r="K1189" s="1296"/>
      <c r="L1189" s="846"/>
      <c r="M1189" s="1517"/>
      <c r="N1189" s="846"/>
      <c r="O1189" s="1517"/>
      <c r="P1189" s="846"/>
      <c r="Q1189" s="1296"/>
      <c r="R1189" s="846"/>
      <c r="S1189" s="846"/>
      <c r="T1189" s="846"/>
    </row>
    <row r="1190" ht="15.0" customHeight="1">
      <c r="A1190" s="1296"/>
      <c r="B1190" s="846"/>
      <c r="C1190" s="1517"/>
      <c r="D1190" s="846"/>
      <c r="E1190" s="846"/>
      <c r="F1190" s="846"/>
      <c r="G1190" s="846"/>
      <c r="H1190" s="846"/>
      <c r="I1190" s="1296"/>
      <c r="J1190" s="846"/>
      <c r="K1190" s="1296"/>
      <c r="L1190" s="846"/>
      <c r="M1190" s="1517"/>
      <c r="N1190" s="846"/>
      <c r="O1190" s="1517"/>
      <c r="P1190" s="846"/>
      <c r="Q1190" s="1296"/>
      <c r="R1190" s="846"/>
      <c r="S1190" s="846"/>
      <c r="T1190" s="846"/>
    </row>
    <row r="1191" ht="15.0" customHeight="1">
      <c r="A1191" s="1296"/>
      <c r="B1191" s="846"/>
      <c r="C1191" s="1517"/>
      <c r="D1191" s="846"/>
      <c r="E1191" s="846"/>
      <c r="F1191" s="846"/>
      <c r="G1191" s="846"/>
      <c r="H1191" s="846"/>
      <c r="I1191" s="1296"/>
      <c r="J1191" s="846"/>
      <c r="K1191" s="1296"/>
      <c r="L1191" s="846"/>
      <c r="M1191" s="1517"/>
      <c r="N1191" s="846"/>
      <c r="O1191" s="1517"/>
      <c r="P1191" s="846"/>
      <c r="Q1191" s="1296"/>
      <c r="R1191" s="846"/>
      <c r="S1191" s="846"/>
      <c r="T1191" s="846"/>
    </row>
    <row r="1192" ht="15.0" customHeight="1">
      <c r="A1192" s="1296"/>
      <c r="B1192" s="846"/>
      <c r="C1192" s="1517"/>
      <c r="D1192" s="846"/>
      <c r="E1192" s="846"/>
      <c r="F1192" s="846"/>
      <c r="G1192" s="846"/>
      <c r="H1192" s="846"/>
      <c r="I1192" s="1296"/>
      <c r="J1192" s="846"/>
      <c r="K1192" s="1296"/>
      <c r="L1192" s="846"/>
      <c r="M1192" s="1517"/>
      <c r="N1192" s="846"/>
      <c r="O1192" s="1517"/>
      <c r="P1192" s="846"/>
      <c r="Q1192" s="1296"/>
      <c r="R1192" s="846"/>
      <c r="S1192" s="846"/>
      <c r="T1192" s="846"/>
    </row>
    <row r="1193" ht="15.0" customHeight="1">
      <c r="A1193" s="1296"/>
      <c r="B1193" s="846"/>
      <c r="C1193" s="1517"/>
      <c r="D1193" s="846"/>
      <c r="E1193" s="846"/>
      <c r="F1193" s="846"/>
      <c r="G1193" s="846"/>
      <c r="H1193" s="846"/>
      <c r="I1193" s="1296"/>
      <c r="J1193" s="846"/>
      <c r="K1193" s="1296"/>
      <c r="L1193" s="846"/>
      <c r="M1193" s="1517"/>
      <c r="N1193" s="846"/>
      <c r="O1193" s="1517"/>
      <c r="P1193" s="846"/>
      <c r="Q1193" s="1296"/>
      <c r="R1193" s="846"/>
      <c r="S1193" s="846"/>
      <c r="T1193" s="846"/>
    </row>
    <row r="1194" ht="15.0" customHeight="1">
      <c r="A1194" s="1296"/>
      <c r="B1194" s="846"/>
      <c r="C1194" s="1517"/>
      <c r="D1194" s="846"/>
      <c r="E1194" s="846"/>
      <c r="F1194" s="846"/>
      <c r="G1194" s="846"/>
      <c r="H1194" s="846"/>
      <c r="I1194" s="1296"/>
      <c r="J1194" s="846"/>
      <c r="K1194" s="1296"/>
      <c r="L1194" s="846"/>
      <c r="M1194" s="1517"/>
      <c r="N1194" s="846"/>
      <c r="O1194" s="1517"/>
      <c r="P1194" s="846"/>
      <c r="Q1194" s="1296"/>
      <c r="R1194" s="846"/>
      <c r="S1194" s="846"/>
      <c r="T1194" s="846"/>
    </row>
    <row r="1195" ht="15.0" customHeight="1">
      <c r="A1195" s="1296"/>
      <c r="B1195" s="846"/>
      <c r="C1195" s="1517"/>
      <c r="D1195" s="846"/>
      <c r="E1195" s="846"/>
      <c r="F1195" s="846"/>
      <c r="G1195" s="846"/>
      <c r="H1195" s="846"/>
      <c r="I1195" s="1296"/>
      <c r="J1195" s="846"/>
      <c r="K1195" s="1296"/>
      <c r="L1195" s="846"/>
      <c r="M1195" s="1517"/>
      <c r="N1195" s="846"/>
      <c r="O1195" s="1517"/>
      <c r="P1195" s="846"/>
      <c r="Q1195" s="1296"/>
      <c r="R1195" s="846"/>
      <c r="S1195" s="846"/>
      <c r="T1195" s="846"/>
    </row>
    <row r="1196" ht="15.0" customHeight="1">
      <c r="A1196" s="1296"/>
      <c r="B1196" s="846"/>
      <c r="C1196" s="1517"/>
      <c r="D1196" s="846"/>
      <c r="E1196" s="846"/>
      <c r="F1196" s="846"/>
      <c r="G1196" s="846"/>
      <c r="H1196" s="846"/>
      <c r="I1196" s="1296"/>
      <c r="J1196" s="846"/>
      <c r="K1196" s="1296"/>
      <c r="L1196" s="846"/>
      <c r="M1196" s="1517"/>
      <c r="N1196" s="846"/>
      <c r="O1196" s="1517"/>
      <c r="P1196" s="846"/>
      <c r="Q1196" s="1296"/>
      <c r="R1196" s="846"/>
      <c r="S1196" s="846"/>
      <c r="T1196" s="846"/>
    </row>
    <row r="1197" ht="15.0" customHeight="1">
      <c r="A1197" s="1296"/>
      <c r="B1197" s="846"/>
      <c r="C1197" s="1517"/>
      <c r="D1197" s="846"/>
      <c r="E1197" s="846"/>
      <c r="F1197" s="846"/>
      <c r="G1197" s="846"/>
      <c r="H1197" s="846"/>
      <c r="I1197" s="1296"/>
      <c r="J1197" s="846"/>
      <c r="K1197" s="1296"/>
      <c r="L1197" s="846"/>
      <c r="M1197" s="1517"/>
      <c r="N1197" s="846"/>
      <c r="O1197" s="1517"/>
      <c r="P1197" s="846"/>
      <c r="Q1197" s="1296"/>
      <c r="R1197" s="846"/>
      <c r="S1197" s="846"/>
      <c r="T1197" s="846"/>
    </row>
    <row r="1198" ht="15.0" customHeight="1">
      <c r="A1198" s="1296"/>
      <c r="B1198" s="846"/>
      <c r="C1198" s="1517"/>
      <c r="D1198" s="846"/>
      <c r="E1198" s="846"/>
      <c r="F1198" s="846"/>
      <c r="G1198" s="846"/>
      <c r="H1198" s="846"/>
      <c r="I1198" s="1296"/>
      <c r="J1198" s="846"/>
      <c r="K1198" s="1296"/>
      <c r="L1198" s="846"/>
      <c r="M1198" s="1517"/>
      <c r="N1198" s="846"/>
      <c r="O1198" s="1517"/>
      <c r="P1198" s="846"/>
      <c r="Q1198" s="1296"/>
      <c r="R1198" s="846"/>
      <c r="S1198" s="846"/>
      <c r="T1198" s="846"/>
    </row>
    <row r="1199" ht="15.0" customHeight="1">
      <c r="A1199" s="1296"/>
      <c r="B1199" s="846"/>
      <c r="C1199" s="1517"/>
      <c r="D1199" s="846"/>
      <c r="E1199" s="846"/>
      <c r="F1199" s="846"/>
      <c r="G1199" s="846"/>
      <c r="H1199" s="846"/>
      <c r="I1199" s="1296"/>
      <c r="J1199" s="846"/>
      <c r="K1199" s="1296"/>
      <c r="L1199" s="846"/>
      <c r="M1199" s="1517"/>
      <c r="N1199" s="846"/>
      <c r="O1199" s="1517"/>
      <c r="P1199" s="846"/>
      <c r="Q1199" s="1296"/>
      <c r="R1199" s="846"/>
      <c r="S1199" s="846"/>
      <c r="T1199" s="846"/>
    </row>
    <row r="1200" ht="15.0" customHeight="1">
      <c r="A1200" s="1296"/>
      <c r="B1200" s="846"/>
      <c r="C1200" s="1517"/>
      <c r="D1200" s="846"/>
      <c r="E1200" s="846"/>
      <c r="F1200" s="846"/>
      <c r="G1200" s="846"/>
      <c r="H1200" s="846"/>
      <c r="I1200" s="1296"/>
      <c r="J1200" s="846"/>
      <c r="K1200" s="1296"/>
      <c r="L1200" s="846"/>
      <c r="M1200" s="1517"/>
      <c r="N1200" s="846"/>
      <c r="O1200" s="1517"/>
      <c r="P1200" s="846"/>
      <c r="Q1200" s="1296"/>
      <c r="R1200" s="846"/>
      <c r="S1200" s="846"/>
      <c r="T1200" s="846"/>
    </row>
    <row r="1201" ht="15.0" customHeight="1">
      <c r="A1201" s="1296"/>
      <c r="B1201" s="846"/>
      <c r="C1201" s="1517"/>
      <c r="D1201" s="846"/>
      <c r="E1201" s="846"/>
      <c r="F1201" s="846"/>
      <c r="G1201" s="846"/>
      <c r="H1201" s="846"/>
      <c r="I1201" s="1296"/>
      <c r="J1201" s="846"/>
      <c r="K1201" s="1296"/>
      <c r="L1201" s="846"/>
      <c r="M1201" s="1517"/>
      <c r="N1201" s="846"/>
      <c r="O1201" s="1517"/>
      <c r="P1201" s="846"/>
      <c r="Q1201" s="1296"/>
      <c r="R1201" s="846"/>
      <c r="S1201" s="846"/>
      <c r="T1201" s="846"/>
    </row>
    <row r="1202" ht="15.0" customHeight="1">
      <c r="A1202" s="1296"/>
      <c r="B1202" s="846"/>
      <c r="C1202" s="1517"/>
      <c r="D1202" s="846"/>
      <c r="E1202" s="846"/>
      <c r="F1202" s="846"/>
      <c r="G1202" s="846"/>
      <c r="H1202" s="846"/>
      <c r="I1202" s="1296"/>
      <c r="J1202" s="846"/>
      <c r="K1202" s="1296"/>
      <c r="L1202" s="846"/>
      <c r="M1202" s="1517"/>
      <c r="N1202" s="846"/>
      <c r="O1202" s="1517"/>
      <c r="P1202" s="846"/>
      <c r="Q1202" s="1296"/>
      <c r="R1202" s="846"/>
      <c r="S1202" s="846"/>
      <c r="T1202" s="846"/>
    </row>
    <row r="1203" ht="15.0" customHeight="1">
      <c r="A1203" s="1296"/>
      <c r="B1203" s="846"/>
      <c r="C1203" s="1517"/>
      <c r="D1203" s="846"/>
      <c r="E1203" s="846"/>
      <c r="F1203" s="846"/>
      <c r="G1203" s="846"/>
      <c r="H1203" s="846"/>
      <c r="I1203" s="1296"/>
      <c r="J1203" s="846"/>
      <c r="K1203" s="1296"/>
      <c r="L1203" s="846"/>
      <c r="M1203" s="1517"/>
      <c r="N1203" s="846"/>
      <c r="O1203" s="1517"/>
      <c r="P1203" s="846"/>
      <c r="Q1203" s="1296"/>
      <c r="R1203" s="846"/>
      <c r="S1203" s="846"/>
      <c r="T1203" s="846"/>
    </row>
    <row r="1204" ht="15.0" customHeight="1">
      <c r="A1204" s="1296"/>
      <c r="B1204" s="846"/>
      <c r="C1204" s="1517"/>
      <c r="D1204" s="846"/>
      <c r="E1204" s="846"/>
      <c r="F1204" s="846"/>
      <c r="G1204" s="846"/>
      <c r="H1204" s="846"/>
      <c r="I1204" s="1296"/>
      <c r="J1204" s="846"/>
      <c r="K1204" s="1296"/>
      <c r="L1204" s="846"/>
      <c r="M1204" s="1517"/>
      <c r="N1204" s="846"/>
      <c r="O1204" s="1517"/>
      <c r="P1204" s="846"/>
      <c r="Q1204" s="1296"/>
      <c r="R1204" s="846"/>
      <c r="S1204" s="846"/>
      <c r="T1204" s="846"/>
    </row>
    <row r="1205" ht="15.0" customHeight="1">
      <c r="A1205" s="1296"/>
      <c r="B1205" s="846"/>
      <c r="C1205" s="1517"/>
      <c r="D1205" s="846"/>
      <c r="E1205" s="846"/>
      <c r="F1205" s="846"/>
      <c r="G1205" s="846"/>
      <c r="H1205" s="846"/>
      <c r="I1205" s="1296"/>
      <c r="J1205" s="846"/>
      <c r="K1205" s="1296"/>
      <c r="L1205" s="846"/>
      <c r="M1205" s="1517"/>
      <c r="N1205" s="846"/>
      <c r="O1205" s="1517"/>
      <c r="P1205" s="846"/>
      <c r="Q1205" s="1296"/>
      <c r="R1205" s="846"/>
      <c r="S1205" s="846"/>
      <c r="T1205" s="846"/>
    </row>
    <row r="1206" ht="15.0" customHeight="1">
      <c r="A1206" s="1296"/>
      <c r="B1206" s="846"/>
      <c r="C1206" s="1517"/>
      <c r="D1206" s="846"/>
      <c r="E1206" s="846"/>
      <c r="F1206" s="846"/>
      <c r="G1206" s="846"/>
      <c r="H1206" s="846"/>
      <c r="I1206" s="1296"/>
      <c r="J1206" s="846"/>
      <c r="K1206" s="1296"/>
      <c r="L1206" s="846"/>
      <c r="M1206" s="1517"/>
      <c r="N1206" s="846"/>
      <c r="O1206" s="1517"/>
      <c r="P1206" s="846"/>
      <c r="Q1206" s="1296"/>
      <c r="R1206" s="846"/>
      <c r="S1206" s="846"/>
      <c r="T1206" s="846"/>
    </row>
    <row r="1207" ht="15.0" customHeight="1">
      <c r="A1207" s="1296"/>
      <c r="B1207" s="846"/>
      <c r="C1207" s="1517"/>
      <c r="D1207" s="846"/>
      <c r="E1207" s="846"/>
      <c r="F1207" s="846"/>
      <c r="G1207" s="846"/>
      <c r="H1207" s="846"/>
      <c r="I1207" s="1296"/>
      <c r="J1207" s="846"/>
      <c r="K1207" s="1296"/>
      <c r="L1207" s="846"/>
      <c r="M1207" s="1517"/>
      <c r="N1207" s="846"/>
      <c r="O1207" s="1517"/>
      <c r="P1207" s="846"/>
      <c r="Q1207" s="1296"/>
      <c r="R1207" s="846"/>
      <c r="S1207" s="846"/>
      <c r="T1207" s="846"/>
    </row>
    <row r="1208" ht="15.0" customHeight="1">
      <c r="A1208" s="1296"/>
      <c r="B1208" s="846"/>
      <c r="C1208" s="1517"/>
      <c r="D1208" s="846"/>
      <c r="E1208" s="846"/>
      <c r="F1208" s="846"/>
      <c r="G1208" s="846"/>
      <c r="H1208" s="846"/>
      <c r="I1208" s="1296"/>
      <c r="J1208" s="846"/>
      <c r="K1208" s="1296"/>
      <c r="L1208" s="846"/>
      <c r="M1208" s="1517"/>
      <c r="N1208" s="846"/>
      <c r="O1208" s="1517"/>
      <c r="P1208" s="846"/>
      <c r="Q1208" s="1296"/>
      <c r="R1208" s="846"/>
      <c r="S1208" s="846"/>
      <c r="T1208" s="846"/>
    </row>
    <row r="1209" ht="15.0" customHeight="1">
      <c r="A1209" s="1296"/>
      <c r="B1209" s="846"/>
      <c r="C1209" s="1517"/>
      <c r="D1209" s="846"/>
      <c r="E1209" s="846"/>
      <c r="F1209" s="846"/>
      <c r="G1209" s="846"/>
      <c r="H1209" s="846"/>
      <c r="I1209" s="1296"/>
      <c r="J1209" s="846"/>
      <c r="K1209" s="1296"/>
      <c r="L1209" s="846"/>
      <c r="M1209" s="1517"/>
      <c r="N1209" s="846"/>
      <c r="O1209" s="1517"/>
      <c r="P1209" s="846"/>
      <c r="Q1209" s="1296"/>
      <c r="R1209" s="846"/>
      <c r="S1209" s="846"/>
      <c r="T1209" s="846"/>
    </row>
    <row r="1210" ht="15.0" customHeight="1">
      <c r="A1210" s="1296"/>
      <c r="B1210" s="846"/>
      <c r="C1210" s="1517"/>
      <c r="D1210" s="846"/>
      <c r="E1210" s="846"/>
      <c r="F1210" s="846"/>
      <c r="G1210" s="846"/>
      <c r="H1210" s="846"/>
      <c r="I1210" s="1296"/>
      <c r="J1210" s="846"/>
      <c r="K1210" s="1296"/>
      <c r="L1210" s="846"/>
      <c r="M1210" s="1517"/>
      <c r="N1210" s="846"/>
      <c r="O1210" s="1517"/>
      <c r="P1210" s="846"/>
      <c r="Q1210" s="1296"/>
      <c r="R1210" s="846"/>
      <c r="S1210" s="846"/>
      <c r="T1210" s="846"/>
    </row>
    <row r="1211" ht="15.0" customHeight="1">
      <c r="A1211" s="1296"/>
      <c r="B1211" s="846"/>
      <c r="C1211" s="1517"/>
      <c r="D1211" s="846"/>
      <c r="E1211" s="846"/>
      <c r="F1211" s="846"/>
      <c r="G1211" s="846"/>
      <c r="H1211" s="846"/>
      <c r="I1211" s="1296"/>
      <c r="J1211" s="846"/>
      <c r="K1211" s="1296"/>
      <c r="L1211" s="846"/>
      <c r="M1211" s="1517"/>
      <c r="N1211" s="846"/>
      <c r="O1211" s="1517"/>
      <c r="P1211" s="846"/>
      <c r="Q1211" s="1296"/>
      <c r="R1211" s="846"/>
      <c r="S1211" s="846"/>
      <c r="T1211" s="846"/>
    </row>
    <row r="1212" ht="15.0" customHeight="1">
      <c r="A1212" s="1296"/>
      <c r="B1212" s="846"/>
      <c r="C1212" s="1517"/>
      <c r="D1212" s="846"/>
      <c r="E1212" s="846"/>
      <c r="F1212" s="846"/>
      <c r="G1212" s="846"/>
      <c r="H1212" s="846"/>
      <c r="I1212" s="1296"/>
      <c r="J1212" s="846"/>
      <c r="K1212" s="1296"/>
      <c r="L1212" s="846"/>
      <c r="M1212" s="1517"/>
      <c r="N1212" s="846"/>
      <c r="O1212" s="1517"/>
      <c r="P1212" s="846"/>
      <c r="Q1212" s="1296"/>
      <c r="R1212" s="846"/>
      <c r="S1212" s="846"/>
      <c r="T1212" s="846"/>
    </row>
    <row r="1213" ht="15.0" customHeight="1">
      <c r="A1213" s="1296"/>
      <c r="B1213" s="846"/>
      <c r="C1213" s="1517"/>
      <c r="D1213" s="846"/>
      <c r="E1213" s="846"/>
      <c r="F1213" s="846"/>
      <c r="G1213" s="846"/>
      <c r="H1213" s="846"/>
      <c r="I1213" s="1296"/>
      <c r="J1213" s="846"/>
      <c r="K1213" s="1296"/>
      <c r="L1213" s="846"/>
      <c r="M1213" s="1517"/>
      <c r="N1213" s="846"/>
      <c r="O1213" s="1517"/>
      <c r="P1213" s="846"/>
      <c r="Q1213" s="1296"/>
      <c r="R1213" s="846"/>
      <c r="S1213" s="846"/>
      <c r="T1213" s="846"/>
    </row>
    <row r="1214" ht="15.0" customHeight="1">
      <c r="A1214" s="1296"/>
      <c r="B1214" s="846"/>
      <c r="C1214" s="1517"/>
      <c r="D1214" s="846"/>
      <c r="E1214" s="846"/>
      <c r="F1214" s="846"/>
      <c r="G1214" s="846"/>
      <c r="H1214" s="846"/>
      <c r="I1214" s="1296"/>
      <c r="J1214" s="846"/>
      <c r="K1214" s="1296"/>
      <c r="L1214" s="846"/>
      <c r="M1214" s="1517"/>
      <c r="N1214" s="846"/>
      <c r="O1214" s="1517"/>
      <c r="P1214" s="846"/>
      <c r="Q1214" s="1296"/>
      <c r="R1214" s="846"/>
      <c r="S1214" s="846"/>
      <c r="T1214" s="846"/>
    </row>
    <row r="1215" ht="15.0" customHeight="1">
      <c r="A1215" s="1296"/>
      <c r="B1215" s="846"/>
      <c r="C1215" s="1517"/>
      <c r="D1215" s="846"/>
      <c r="E1215" s="846"/>
      <c r="F1215" s="846"/>
      <c r="G1215" s="846"/>
      <c r="H1215" s="846"/>
      <c r="I1215" s="1296"/>
      <c r="J1215" s="846"/>
      <c r="K1215" s="1296"/>
      <c r="L1215" s="846"/>
      <c r="M1215" s="1517"/>
      <c r="N1215" s="846"/>
      <c r="O1215" s="1517"/>
      <c r="P1215" s="846"/>
      <c r="Q1215" s="1296"/>
      <c r="R1215" s="846"/>
      <c r="S1215" s="846"/>
      <c r="T1215" s="846"/>
    </row>
    <row r="1216" ht="15.0" customHeight="1">
      <c r="A1216" s="1296"/>
      <c r="B1216" s="846"/>
      <c r="C1216" s="1517"/>
      <c r="D1216" s="846"/>
      <c r="E1216" s="846"/>
      <c r="F1216" s="846"/>
      <c r="G1216" s="846"/>
      <c r="H1216" s="846"/>
      <c r="I1216" s="1296"/>
      <c r="J1216" s="846"/>
      <c r="K1216" s="1296"/>
      <c r="L1216" s="846"/>
      <c r="M1216" s="1517"/>
      <c r="N1216" s="846"/>
      <c r="O1216" s="1517"/>
      <c r="P1216" s="846"/>
      <c r="Q1216" s="1296"/>
      <c r="R1216" s="846"/>
      <c r="S1216" s="846"/>
      <c r="T1216" s="846"/>
    </row>
    <row r="1217" ht="15.0" customHeight="1">
      <c r="A1217" s="1296"/>
      <c r="B1217" s="846"/>
      <c r="C1217" s="1517"/>
      <c r="D1217" s="846"/>
      <c r="E1217" s="846"/>
      <c r="F1217" s="846"/>
      <c r="G1217" s="846"/>
      <c r="H1217" s="846"/>
      <c r="I1217" s="1296"/>
      <c r="J1217" s="846"/>
      <c r="K1217" s="1296"/>
      <c r="L1217" s="846"/>
      <c r="M1217" s="1517"/>
      <c r="N1217" s="846"/>
      <c r="O1217" s="1517"/>
      <c r="P1217" s="846"/>
      <c r="Q1217" s="1296"/>
      <c r="R1217" s="846"/>
      <c r="S1217" s="846"/>
      <c r="T1217" s="846"/>
    </row>
    <row r="1218" ht="15.0" customHeight="1">
      <c r="A1218" s="1296"/>
      <c r="B1218" s="846"/>
      <c r="C1218" s="1517"/>
      <c r="D1218" s="846"/>
      <c r="E1218" s="846"/>
      <c r="F1218" s="846"/>
      <c r="G1218" s="846"/>
      <c r="H1218" s="846"/>
      <c r="I1218" s="1296"/>
      <c r="J1218" s="846"/>
      <c r="K1218" s="1296"/>
      <c r="L1218" s="846"/>
      <c r="M1218" s="1517"/>
      <c r="N1218" s="846"/>
      <c r="O1218" s="1517"/>
      <c r="P1218" s="846"/>
      <c r="Q1218" s="1296"/>
      <c r="R1218" s="846"/>
      <c r="S1218" s="846"/>
      <c r="T1218" s="846"/>
    </row>
    <row r="1219" ht="15.0" customHeight="1">
      <c r="A1219" s="1296"/>
      <c r="B1219" s="846"/>
      <c r="C1219" s="1517"/>
      <c r="D1219" s="846"/>
      <c r="E1219" s="846"/>
      <c r="F1219" s="846"/>
      <c r="G1219" s="846"/>
      <c r="H1219" s="846"/>
      <c r="I1219" s="1296"/>
      <c r="J1219" s="846"/>
      <c r="K1219" s="1296"/>
      <c r="L1219" s="846"/>
      <c r="M1219" s="1517"/>
      <c r="N1219" s="846"/>
      <c r="O1219" s="1517"/>
      <c r="P1219" s="846"/>
      <c r="Q1219" s="1296"/>
      <c r="R1219" s="846"/>
      <c r="S1219" s="846"/>
      <c r="T1219" s="846"/>
    </row>
    <row r="1220" ht="15.0" customHeight="1">
      <c r="A1220" s="1296"/>
      <c r="B1220" s="846"/>
      <c r="C1220" s="1517"/>
      <c r="D1220" s="846"/>
      <c r="E1220" s="846"/>
      <c r="F1220" s="846"/>
      <c r="G1220" s="846"/>
      <c r="H1220" s="846"/>
      <c r="I1220" s="1296"/>
      <c r="J1220" s="846"/>
      <c r="K1220" s="1296"/>
      <c r="L1220" s="846"/>
      <c r="M1220" s="1517"/>
      <c r="N1220" s="846"/>
      <c r="O1220" s="1517"/>
      <c r="P1220" s="846"/>
      <c r="Q1220" s="1296"/>
      <c r="R1220" s="846"/>
      <c r="S1220" s="846"/>
      <c r="T1220" s="846"/>
    </row>
    <row r="1221" ht="15.0" customHeight="1">
      <c r="A1221" s="1296"/>
      <c r="B1221" s="846"/>
      <c r="C1221" s="1517"/>
      <c r="D1221" s="846"/>
      <c r="E1221" s="846"/>
      <c r="F1221" s="846"/>
      <c r="G1221" s="846"/>
      <c r="H1221" s="846"/>
      <c r="I1221" s="1296"/>
      <c r="J1221" s="846"/>
      <c r="K1221" s="1296"/>
      <c r="L1221" s="846"/>
      <c r="M1221" s="1517"/>
      <c r="N1221" s="846"/>
      <c r="O1221" s="1517"/>
      <c r="P1221" s="846"/>
      <c r="Q1221" s="1296"/>
      <c r="R1221" s="846"/>
      <c r="S1221" s="846"/>
      <c r="T1221" s="846"/>
    </row>
    <row r="1222" ht="15.0" customHeight="1">
      <c r="A1222" s="1296"/>
      <c r="B1222" s="846"/>
      <c r="C1222" s="1517"/>
      <c r="D1222" s="846"/>
      <c r="E1222" s="846"/>
      <c r="F1222" s="846"/>
      <c r="G1222" s="846"/>
      <c r="H1222" s="846"/>
      <c r="I1222" s="1296"/>
      <c r="J1222" s="846"/>
      <c r="K1222" s="1296"/>
      <c r="L1222" s="846"/>
      <c r="M1222" s="1517"/>
      <c r="N1222" s="846"/>
      <c r="O1222" s="1517"/>
      <c r="P1222" s="846"/>
      <c r="Q1222" s="1296"/>
      <c r="R1222" s="846"/>
      <c r="S1222" s="846"/>
      <c r="T1222" s="846"/>
    </row>
    <row r="1223" ht="15.0" customHeight="1">
      <c r="A1223" s="1296"/>
      <c r="B1223" s="846"/>
      <c r="C1223" s="1517"/>
      <c r="D1223" s="846"/>
      <c r="E1223" s="846"/>
      <c r="F1223" s="846"/>
      <c r="G1223" s="846"/>
      <c r="H1223" s="846"/>
      <c r="I1223" s="1296"/>
      <c r="J1223" s="846"/>
      <c r="K1223" s="1296"/>
      <c r="L1223" s="846"/>
      <c r="M1223" s="1517"/>
      <c r="N1223" s="846"/>
      <c r="O1223" s="1517"/>
      <c r="P1223" s="846"/>
      <c r="Q1223" s="1296"/>
      <c r="R1223" s="846"/>
      <c r="S1223" s="846"/>
      <c r="T1223" s="846"/>
    </row>
    <row r="1224" ht="15.0" customHeight="1">
      <c r="A1224" s="1296"/>
      <c r="B1224" s="846"/>
      <c r="C1224" s="1517"/>
      <c r="D1224" s="846"/>
      <c r="E1224" s="846"/>
      <c r="F1224" s="846"/>
      <c r="G1224" s="846"/>
      <c r="H1224" s="846"/>
      <c r="I1224" s="1296"/>
      <c r="J1224" s="846"/>
      <c r="K1224" s="1296"/>
      <c r="L1224" s="846"/>
      <c r="M1224" s="1517"/>
      <c r="N1224" s="846"/>
      <c r="O1224" s="1517"/>
      <c r="P1224" s="846"/>
      <c r="Q1224" s="1296"/>
      <c r="R1224" s="846"/>
      <c r="S1224" s="846"/>
      <c r="T1224" s="846"/>
    </row>
    <row r="1225" ht="15.0" customHeight="1">
      <c r="A1225" s="1296"/>
      <c r="B1225" s="846"/>
      <c r="C1225" s="1517"/>
      <c r="D1225" s="846"/>
      <c r="E1225" s="846"/>
      <c r="F1225" s="846"/>
      <c r="G1225" s="846"/>
      <c r="H1225" s="846"/>
      <c r="I1225" s="1296"/>
      <c r="J1225" s="846"/>
      <c r="K1225" s="1296"/>
      <c r="L1225" s="846"/>
      <c r="M1225" s="1517"/>
      <c r="N1225" s="846"/>
      <c r="O1225" s="1517"/>
      <c r="P1225" s="846"/>
      <c r="Q1225" s="1296"/>
      <c r="R1225" s="846"/>
      <c r="S1225" s="846"/>
      <c r="T1225" s="846"/>
    </row>
    <row r="1226" ht="15.0" customHeight="1">
      <c r="A1226" s="1296"/>
      <c r="B1226" s="846"/>
      <c r="C1226" s="1517"/>
      <c r="D1226" s="846"/>
      <c r="E1226" s="846"/>
      <c r="F1226" s="846"/>
      <c r="G1226" s="846"/>
      <c r="H1226" s="846"/>
      <c r="I1226" s="1296"/>
      <c r="J1226" s="846"/>
      <c r="K1226" s="1296"/>
      <c r="L1226" s="846"/>
      <c r="M1226" s="1517"/>
      <c r="N1226" s="846"/>
      <c r="O1226" s="1517"/>
      <c r="P1226" s="846"/>
      <c r="Q1226" s="1296"/>
      <c r="R1226" s="846"/>
      <c r="S1226" s="846"/>
      <c r="T1226" s="846"/>
    </row>
    <row r="1227" ht="15.0" customHeight="1">
      <c r="A1227" s="1296"/>
      <c r="B1227" s="846"/>
      <c r="C1227" s="1517"/>
      <c r="D1227" s="846"/>
      <c r="E1227" s="846"/>
      <c r="F1227" s="846"/>
      <c r="G1227" s="846"/>
      <c r="H1227" s="846"/>
      <c r="I1227" s="1296"/>
      <c r="J1227" s="846"/>
      <c r="K1227" s="1296"/>
      <c r="L1227" s="846"/>
      <c r="M1227" s="1517"/>
      <c r="N1227" s="846"/>
      <c r="O1227" s="1517"/>
      <c r="P1227" s="846"/>
      <c r="Q1227" s="1296"/>
      <c r="R1227" s="846"/>
      <c r="S1227" s="846"/>
      <c r="T1227" s="846"/>
    </row>
    <row r="1228" ht="15.0" customHeight="1">
      <c r="A1228" s="1296"/>
      <c r="B1228" s="846"/>
      <c r="C1228" s="1517"/>
      <c r="D1228" s="846"/>
      <c r="E1228" s="846"/>
      <c r="F1228" s="846"/>
      <c r="G1228" s="846"/>
      <c r="H1228" s="846"/>
      <c r="I1228" s="1296"/>
      <c r="J1228" s="846"/>
      <c r="K1228" s="1296"/>
      <c r="L1228" s="846"/>
      <c r="M1228" s="1517"/>
      <c r="N1228" s="846"/>
      <c r="O1228" s="1517"/>
      <c r="P1228" s="846"/>
      <c r="Q1228" s="1296"/>
      <c r="R1228" s="846"/>
      <c r="S1228" s="846"/>
      <c r="T1228" s="846"/>
    </row>
    <row r="1229" ht="15.0" customHeight="1">
      <c r="A1229" s="1296"/>
      <c r="B1229" s="846"/>
      <c r="C1229" s="1517"/>
      <c r="D1229" s="846"/>
      <c r="E1229" s="846"/>
      <c r="F1229" s="846"/>
      <c r="G1229" s="846"/>
      <c r="H1229" s="846"/>
      <c r="I1229" s="1296"/>
      <c r="J1229" s="846"/>
      <c r="K1229" s="1296"/>
      <c r="L1229" s="846"/>
      <c r="M1229" s="1517"/>
      <c r="N1229" s="846"/>
      <c r="O1229" s="1517"/>
      <c r="P1229" s="846"/>
      <c r="Q1229" s="1296"/>
      <c r="R1229" s="846"/>
      <c r="S1229" s="846"/>
      <c r="T1229" s="846"/>
    </row>
    <row r="1230" ht="15.0" customHeight="1">
      <c r="A1230" s="1296"/>
      <c r="B1230" s="846"/>
      <c r="C1230" s="1517"/>
      <c r="D1230" s="846"/>
      <c r="E1230" s="846"/>
      <c r="F1230" s="846"/>
      <c r="G1230" s="846"/>
      <c r="H1230" s="846"/>
      <c r="I1230" s="1296"/>
      <c r="J1230" s="846"/>
      <c r="K1230" s="1296"/>
      <c r="L1230" s="846"/>
      <c r="M1230" s="1517"/>
      <c r="N1230" s="846"/>
      <c r="O1230" s="1517"/>
      <c r="P1230" s="846"/>
      <c r="Q1230" s="1296"/>
      <c r="R1230" s="846"/>
      <c r="S1230" s="846"/>
      <c r="T1230" s="846"/>
    </row>
    <row r="1231" ht="15.0" customHeight="1">
      <c r="A1231" s="1296"/>
      <c r="B1231" s="846"/>
      <c r="C1231" s="1517"/>
      <c r="D1231" s="846"/>
      <c r="E1231" s="846"/>
      <c r="F1231" s="846"/>
      <c r="G1231" s="846"/>
      <c r="H1231" s="846"/>
      <c r="I1231" s="1296"/>
      <c r="J1231" s="846"/>
      <c r="K1231" s="1296"/>
      <c r="L1231" s="846"/>
      <c r="M1231" s="1517"/>
      <c r="N1231" s="846"/>
      <c r="O1231" s="1517"/>
      <c r="P1231" s="846"/>
      <c r="Q1231" s="1296"/>
      <c r="R1231" s="846"/>
      <c r="S1231" s="846"/>
      <c r="T1231" s="846"/>
    </row>
    <row r="1232" ht="15.0" customHeight="1">
      <c r="A1232" s="1296"/>
      <c r="B1232" s="846"/>
      <c r="C1232" s="1517"/>
      <c r="D1232" s="846"/>
      <c r="E1232" s="846"/>
      <c r="F1232" s="846"/>
      <c r="G1232" s="846"/>
      <c r="H1232" s="846"/>
      <c r="I1232" s="1296"/>
      <c r="J1232" s="846"/>
      <c r="K1232" s="1296"/>
      <c r="L1232" s="846"/>
      <c r="M1232" s="1517"/>
      <c r="N1232" s="846"/>
      <c r="O1232" s="1517"/>
      <c r="P1232" s="846"/>
      <c r="Q1232" s="1296"/>
      <c r="R1232" s="846"/>
      <c r="S1232" s="846"/>
      <c r="T1232" s="846"/>
    </row>
    <row r="1233" ht="15.0" customHeight="1">
      <c r="A1233" s="1296"/>
      <c r="B1233" s="846"/>
      <c r="C1233" s="1517"/>
      <c r="D1233" s="846"/>
      <c r="E1233" s="846"/>
      <c r="F1233" s="846"/>
      <c r="G1233" s="846"/>
      <c r="H1233" s="846"/>
      <c r="I1233" s="1296"/>
      <c r="J1233" s="846"/>
      <c r="K1233" s="1296"/>
      <c r="L1233" s="846"/>
      <c r="M1233" s="1517"/>
      <c r="N1233" s="846"/>
      <c r="O1233" s="1517"/>
      <c r="P1233" s="846"/>
      <c r="Q1233" s="1296"/>
      <c r="R1233" s="846"/>
      <c r="S1233" s="846"/>
      <c r="T1233" s="846"/>
    </row>
    <row r="1234" ht="15.0" customHeight="1">
      <c r="A1234" s="1296"/>
      <c r="B1234" s="846"/>
      <c r="C1234" s="1517"/>
      <c r="D1234" s="846"/>
      <c r="E1234" s="846"/>
      <c r="F1234" s="846"/>
      <c r="G1234" s="846"/>
      <c r="H1234" s="846"/>
      <c r="I1234" s="1296"/>
      <c r="J1234" s="846"/>
      <c r="K1234" s="1296"/>
      <c r="L1234" s="846"/>
      <c r="M1234" s="1517"/>
      <c r="N1234" s="846"/>
      <c r="O1234" s="1517"/>
      <c r="P1234" s="846"/>
      <c r="Q1234" s="1296"/>
      <c r="R1234" s="846"/>
      <c r="S1234" s="846"/>
      <c r="T1234" s="846"/>
    </row>
    <row r="1235" ht="15.0" customHeight="1">
      <c r="A1235" s="1296"/>
      <c r="B1235" s="846"/>
      <c r="C1235" s="1517"/>
      <c r="D1235" s="846"/>
      <c r="E1235" s="846"/>
      <c r="F1235" s="846"/>
      <c r="G1235" s="846"/>
      <c r="H1235" s="846"/>
      <c r="I1235" s="1296"/>
      <c r="J1235" s="846"/>
      <c r="K1235" s="1296"/>
      <c r="L1235" s="846"/>
      <c r="M1235" s="1517"/>
      <c r="N1235" s="846"/>
      <c r="O1235" s="1517"/>
      <c r="P1235" s="846"/>
      <c r="Q1235" s="1296"/>
      <c r="R1235" s="846"/>
      <c r="S1235" s="846"/>
      <c r="T1235" s="846"/>
    </row>
    <row r="1236" ht="15.0" customHeight="1">
      <c r="A1236" s="1296"/>
      <c r="B1236" s="846"/>
      <c r="C1236" s="1517"/>
      <c r="D1236" s="846"/>
      <c r="E1236" s="846"/>
      <c r="F1236" s="846"/>
      <c r="G1236" s="846"/>
      <c r="H1236" s="846"/>
      <c r="I1236" s="1296"/>
      <c r="J1236" s="846"/>
      <c r="K1236" s="1296"/>
      <c r="L1236" s="846"/>
      <c r="M1236" s="1517"/>
      <c r="N1236" s="846"/>
      <c r="O1236" s="1517"/>
      <c r="P1236" s="846"/>
      <c r="Q1236" s="1296"/>
      <c r="R1236" s="846"/>
      <c r="S1236" s="846"/>
      <c r="T1236" s="846"/>
    </row>
    <row r="1237" ht="15.0" customHeight="1">
      <c r="A1237" s="1296"/>
      <c r="B1237" s="846"/>
      <c r="C1237" s="1517"/>
      <c r="D1237" s="846"/>
      <c r="E1237" s="846"/>
      <c r="F1237" s="846"/>
      <c r="G1237" s="846"/>
      <c r="H1237" s="846"/>
      <c r="I1237" s="1296"/>
      <c r="J1237" s="846"/>
      <c r="K1237" s="1296"/>
      <c r="L1237" s="846"/>
      <c r="M1237" s="1517"/>
      <c r="N1237" s="846"/>
      <c r="O1237" s="1517"/>
      <c r="P1237" s="846"/>
      <c r="Q1237" s="1296"/>
      <c r="R1237" s="846"/>
      <c r="S1237" s="846"/>
      <c r="T1237" s="846"/>
    </row>
    <row r="1238" ht="15.0" customHeight="1">
      <c r="A1238" s="1296"/>
      <c r="B1238" s="846"/>
      <c r="C1238" s="1517"/>
      <c r="D1238" s="846"/>
      <c r="E1238" s="846"/>
      <c r="F1238" s="846"/>
      <c r="G1238" s="846"/>
      <c r="H1238" s="846"/>
      <c r="I1238" s="1296"/>
      <c r="J1238" s="846"/>
      <c r="K1238" s="1296"/>
      <c r="L1238" s="846"/>
      <c r="M1238" s="1517"/>
      <c r="N1238" s="846"/>
      <c r="O1238" s="1517"/>
      <c r="P1238" s="846"/>
      <c r="Q1238" s="1296"/>
      <c r="R1238" s="846"/>
      <c r="S1238" s="846"/>
      <c r="T1238" s="846"/>
    </row>
    <row r="1239" ht="15.0" customHeight="1">
      <c r="A1239" s="1296"/>
      <c r="B1239" s="846"/>
      <c r="C1239" s="1517"/>
      <c r="D1239" s="846"/>
      <c r="E1239" s="846"/>
      <c r="F1239" s="846"/>
      <c r="G1239" s="846"/>
      <c r="H1239" s="846"/>
      <c r="I1239" s="1296"/>
      <c r="J1239" s="846"/>
      <c r="K1239" s="1296"/>
      <c r="L1239" s="846"/>
      <c r="M1239" s="1517"/>
      <c r="N1239" s="846"/>
      <c r="O1239" s="1517"/>
      <c r="P1239" s="846"/>
      <c r="Q1239" s="1296"/>
      <c r="R1239" s="846"/>
      <c r="S1239" s="846"/>
      <c r="T1239" s="846"/>
    </row>
    <row r="1240" ht="15.0" customHeight="1">
      <c r="A1240" s="1296"/>
      <c r="B1240" s="846"/>
      <c r="C1240" s="1517"/>
      <c r="D1240" s="846"/>
      <c r="E1240" s="846"/>
      <c r="F1240" s="846"/>
      <c r="G1240" s="846"/>
      <c r="H1240" s="846"/>
      <c r="I1240" s="1296"/>
      <c r="J1240" s="846"/>
      <c r="K1240" s="1296"/>
      <c r="L1240" s="846"/>
      <c r="M1240" s="1517"/>
      <c r="N1240" s="846"/>
      <c r="O1240" s="1517"/>
      <c r="P1240" s="846"/>
      <c r="Q1240" s="1296"/>
      <c r="R1240" s="846"/>
      <c r="S1240" s="846"/>
      <c r="T1240" s="846"/>
    </row>
    <row r="1241" ht="15.0" customHeight="1">
      <c r="A1241" s="1296"/>
      <c r="B1241" s="846"/>
      <c r="C1241" s="1517"/>
      <c r="D1241" s="846"/>
      <c r="E1241" s="846"/>
      <c r="F1241" s="846"/>
      <c r="G1241" s="846"/>
      <c r="H1241" s="846"/>
      <c r="I1241" s="1296"/>
      <c r="J1241" s="846"/>
      <c r="K1241" s="1296"/>
      <c r="L1241" s="846"/>
      <c r="M1241" s="1517"/>
      <c r="N1241" s="846"/>
      <c r="O1241" s="1517"/>
      <c r="P1241" s="846"/>
      <c r="Q1241" s="1296"/>
      <c r="R1241" s="846"/>
      <c r="S1241" s="846"/>
      <c r="T1241" s="846"/>
    </row>
    <row r="1242" ht="15.0" customHeight="1">
      <c r="A1242" s="1296"/>
      <c r="B1242" s="846"/>
      <c r="C1242" s="1517"/>
      <c r="D1242" s="846"/>
      <c r="E1242" s="846"/>
      <c r="F1242" s="846"/>
      <c r="G1242" s="846"/>
      <c r="H1242" s="846"/>
      <c r="I1242" s="1296"/>
      <c r="J1242" s="846"/>
      <c r="K1242" s="1296"/>
      <c r="L1242" s="846"/>
      <c r="M1242" s="1517"/>
      <c r="N1242" s="846"/>
      <c r="O1242" s="1517"/>
      <c r="P1242" s="846"/>
      <c r="Q1242" s="1296"/>
      <c r="R1242" s="846"/>
      <c r="S1242" s="846"/>
      <c r="T1242" s="846"/>
    </row>
    <row r="1243" ht="15.0" customHeight="1">
      <c r="A1243" s="1296"/>
      <c r="B1243" s="846"/>
      <c r="C1243" s="1517"/>
      <c r="D1243" s="846"/>
      <c r="E1243" s="846"/>
      <c r="F1243" s="846"/>
      <c r="G1243" s="846"/>
      <c r="H1243" s="846"/>
      <c r="I1243" s="1296"/>
      <c r="J1243" s="846"/>
      <c r="K1243" s="1296"/>
      <c r="L1243" s="846"/>
      <c r="M1243" s="1517"/>
      <c r="N1243" s="846"/>
      <c r="O1243" s="1517"/>
      <c r="P1243" s="846"/>
      <c r="Q1243" s="1296"/>
      <c r="R1243" s="846"/>
      <c r="S1243" s="846"/>
      <c r="T1243" s="846"/>
    </row>
    <row r="1244" ht="15.0" customHeight="1">
      <c r="A1244" s="1296"/>
      <c r="B1244" s="846"/>
      <c r="C1244" s="1517"/>
      <c r="D1244" s="846"/>
      <c r="E1244" s="846"/>
      <c r="F1244" s="846"/>
      <c r="G1244" s="846"/>
      <c r="H1244" s="846"/>
      <c r="I1244" s="1296"/>
      <c r="J1244" s="846"/>
      <c r="K1244" s="1296"/>
      <c r="L1244" s="846"/>
      <c r="M1244" s="1517"/>
      <c r="N1244" s="846"/>
      <c r="O1244" s="1517"/>
      <c r="P1244" s="846"/>
      <c r="Q1244" s="1296"/>
      <c r="R1244" s="846"/>
      <c r="S1244" s="846"/>
      <c r="T1244" s="846"/>
    </row>
    <row r="1245" ht="15.0" customHeight="1">
      <c r="A1245" s="1296"/>
      <c r="B1245" s="846"/>
      <c r="C1245" s="1517"/>
      <c r="D1245" s="846"/>
      <c r="E1245" s="846"/>
      <c r="F1245" s="846"/>
      <c r="G1245" s="846"/>
      <c r="H1245" s="846"/>
      <c r="I1245" s="1296"/>
      <c r="J1245" s="846"/>
      <c r="K1245" s="1296"/>
      <c r="L1245" s="846"/>
      <c r="M1245" s="1517"/>
      <c r="N1245" s="846"/>
      <c r="O1245" s="1517"/>
      <c r="P1245" s="846"/>
      <c r="Q1245" s="1296"/>
      <c r="R1245" s="846"/>
      <c r="S1245" s="846"/>
      <c r="T1245" s="846"/>
    </row>
    <row r="1246" ht="15.0" customHeight="1">
      <c r="A1246" s="1296"/>
      <c r="B1246" s="846"/>
      <c r="C1246" s="1517"/>
      <c r="D1246" s="846"/>
      <c r="E1246" s="846"/>
      <c r="F1246" s="846"/>
      <c r="G1246" s="846"/>
      <c r="H1246" s="846"/>
      <c r="I1246" s="1296"/>
      <c r="J1246" s="846"/>
      <c r="K1246" s="1296"/>
      <c r="L1246" s="846"/>
      <c r="M1246" s="1517"/>
      <c r="N1246" s="846"/>
      <c r="O1246" s="1517"/>
      <c r="P1246" s="846"/>
      <c r="Q1246" s="1296"/>
      <c r="R1246" s="846"/>
      <c r="S1246" s="846"/>
      <c r="T1246" s="846"/>
    </row>
    <row r="1247" ht="15.0" customHeight="1">
      <c r="A1247" s="1296"/>
      <c r="B1247" s="846"/>
      <c r="C1247" s="1517"/>
      <c r="D1247" s="846"/>
      <c r="E1247" s="846"/>
      <c r="F1247" s="846"/>
      <c r="G1247" s="846"/>
      <c r="H1247" s="846"/>
      <c r="I1247" s="1296"/>
      <c r="J1247" s="846"/>
      <c r="K1247" s="1296"/>
      <c r="L1247" s="846"/>
      <c r="M1247" s="1517"/>
      <c r="N1247" s="846"/>
      <c r="O1247" s="1517"/>
      <c r="P1247" s="846"/>
      <c r="Q1247" s="1296"/>
      <c r="R1247" s="846"/>
      <c r="S1247" s="846"/>
      <c r="T1247" s="846"/>
    </row>
    <row r="1248" ht="15.0" customHeight="1">
      <c r="A1248" s="1296"/>
      <c r="B1248" s="846"/>
      <c r="C1248" s="1517"/>
      <c r="D1248" s="846"/>
      <c r="E1248" s="846"/>
      <c r="F1248" s="846"/>
      <c r="G1248" s="846"/>
      <c r="H1248" s="846"/>
      <c r="I1248" s="1296"/>
      <c r="J1248" s="846"/>
      <c r="K1248" s="1296"/>
      <c r="L1248" s="846"/>
      <c r="M1248" s="1517"/>
      <c r="N1248" s="846"/>
      <c r="O1248" s="1517"/>
      <c r="P1248" s="846"/>
      <c r="Q1248" s="1296"/>
      <c r="R1248" s="846"/>
      <c r="S1248" s="846"/>
      <c r="T1248" s="846"/>
    </row>
    <row r="1249" ht="15.0" customHeight="1">
      <c r="A1249" s="1296"/>
      <c r="B1249" s="846"/>
      <c r="C1249" s="1517"/>
      <c r="D1249" s="846"/>
      <c r="E1249" s="846"/>
      <c r="F1249" s="846"/>
      <c r="G1249" s="846"/>
      <c r="H1249" s="846"/>
      <c r="I1249" s="1296"/>
      <c r="J1249" s="846"/>
      <c r="K1249" s="1296"/>
      <c r="L1249" s="846"/>
      <c r="M1249" s="1517"/>
      <c r="N1249" s="846"/>
      <c r="O1249" s="1517"/>
      <c r="P1249" s="846"/>
      <c r="Q1249" s="1296"/>
      <c r="R1249" s="846"/>
      <c r="S1249" s="846"/>
      <c r="T1249" s="846"/>
    </row>
    <row r="1250" ht="15.0" customHeight="1">
      <c r="A1250" s="1296"/>
      <c r="B1250" s="846"/>
      <c r="C1250" s="1517"/>
      <c r="D1250" s="846"/>
      <c r="E1250" s="846"/>
      <c r="F1250" s="846"/>
      <c r="G1250" s="846"/>
      <c r="H1250" s="846"/>
      <c r="I1250" s="1296"/>
      <c r="J1250" s="846"/>
      <c r="K1250" s="1296"/>
      <c r="L1250" s="846"/>
      <c r="M1250" s="1517"/>
      <c r="N1250" s="846"/>
      <c r="O1250" s="1517"/>
      <c r="P1250" s="846"/>
      <c r="Q1250" s="1296"/>
      <c r="R1250" s="846"/>
      <c r="S1250" s="846"/>
      <c r="T1250" s="846"/>
    </row>
    <row r="1251" ht="15.0" customHeight="1">
      <c r="A1251" s="1296"/>
      <c r="B1251" s="846"/>
      <c r="C1251" s="1517"/>
      <c r="D1251" s="846"/>
      <c r="E1251" s="846"/>
      <c r="F1251" s="846"/>
      <c r="G1251" s="846"/>
      <c r="H1251" s="846"/>
      <c r="I1251" s="1296"/>
      <c r="J1251" s="846"/>
      <c r="K1251" s="1296"/>
      <c r="L1251" s="846"/>
      <c r="M1251" s="1517"/>
      <c r="N1251" s="846"/>
      <c r="O1251" s="1517"/>
      <c r="P1251" s="846"/>
      <c r="Q1251" s="1296"/>
      <c r="R1251" s="846"/>
      <c r="S1251" s="846"/>
      <c r="T1251" s="846"/>
    </row>
    <row r="1252" ht="15.0" customHeight="1">
      <c r="A1252" s="1296"/>
      <c r="B1252" s="846"/>
      <c r="C1252" s="1517"/>
      <c r="D1252" s="846"/>
      <c r="E1252" s="846"/>
      <c r="F1252" s="846"/>
      <c r="G1252" s="846"/>
      <c r="H1252" s="846"/>
      <c r="I1252" s="1296"/>
      <c r="J1252" s="846"/>
      <c r="K1252" s="1296"/>
      <c r="L1252" s="846"/>
      <c r="M1252" s="1517"/>
      <c r="N1252" s="846"/>
      <c r="O1252" s="1517"/>
      <c r="P1252" s="846"/>
      <c r="Q1252" s="1296"/>
      <c r="R1252" s="846"/>
      <c r="S1252" s="846"/>
      <c r="T1252" s="846"/>
    </row>
    <row r="1253" ht="15.0" customHeight="1">
      <c r="A1253" s="1296"/>
      <c r="B1253" s="846"/>
      <c r="C1253" s="1517"/>
      <c r="D1253" s="846"/>
      <c r="E1253" s="846"/>
      <c r="F1253" s="846"/>
      <c r="G1253" s="846"/>
      <c r="H1253" s="846"/>
      <c r="I1253" s="1296"/>
      <c r="J1253" s="846"/>
      <c r="K1253" s="1296"/>
      <c r="L1253" s="846"/>
      <c r="M1253" s="1517"/>
      <c r="N1253" s="846"/>
      <c r="O1253" s="1517"/>
      <c r="P1253" s="846"/>
      <c r="Q1253" s="1296"/>
      <c r="R1253" s="846"/>
      <c r="S1253" s="846"/>
      <c r="T1253" s="846"/>
    </row>
    <row r="1254" ht="15.0" customHeight="1">
      <c r="A1254" s="1296"/>
      <c r="B1254" s="846"/>
      <c r="C1254" s="1517"/>
      <c r="D1254" s="846"/>
      <c r="E1254" s="846"/>
      <c r="F1254" s="846"/>
      <c r="G1254" s="846"/>
      <c r="H1254" s="846"/>
      <c r="I1254" s="1296"/>
      <c r="J1254" s="846"/>
      <c r="K1254" s="1296"/>
      <c r="L1254" s="846"/>
      <c r="M1254" s="1517"/>
      <c r="N1254" s="846"/>
      <c r="O1254" s="1517"/>
      <c r="P1254" s="846"/>
      <c r="Q1254" s="1296"/>
      <c r="R1254" s="846"/>
      <c r="S1254" s="846"/>
      <c r="T1254" s="846"/>
    </row>
    <row r="1255" ht="15.0" customHeight="1">
      <c r="A1255" s="1296"/>
      <c r="B1255" s="846"/>
      <c r="C1255" s="1517"/>
      <c r="D1255" s="846"/>
      <c r="E1255" s="846"/>
      <c r="F1255" s="846"/>
      <c r="G1255" s="846"/>
      <c r="H1255" s="846"/>
      <c r="I1255" s="1296"/>
      <c r="J1255" s="846"/>
      <c r="K1255" s="1296"/>
      <c r="L1255" s="846"/>
      <c r="M1255" s="1517"/>
      <c r="N1255" s="846"/>
      <c r="O1255" s="1517"/>
      <c r="P1255" s="846"/>
      <c r="Q1255" s="1296"/>
      <c r="R1255" s="846"/>
      <c r="S1255" s="846"/>
      <c r="T1255" s="846"/>
    </row>
    <row r="1256" ht="15.0" customHeight="1">
      <c r="A1256" s="1296"/>
      <c r="B1256" s="846"/>
      <c r="C1256" s="1517"/>
      <c r="D1256" s="846"/>
      <c r="E1256" s="846"/>
      <c r="F1256" s="846"/>
      <c r="G1256" s="846"/>
      <c r="H1256" s="846"/>
      <c r="I1256" s="1296"/>
      <c r="J1256" s="846"/>
      <c r="K1256" s="1296"/>
      <c r="L1256" s="846"/>
      <c r="M1256" s="1517"/>
      <c r="N1256" s="846"/>
      <c r="O1256" s="1517"/>
      <c r="P1256" s="846"/>
      <c r="Q1256" s="1296"/>
      <c r="R1256" s="846"/>
      <c r="S1256" s="846"/>
      <c r="T1256" s="846"/>
    </row>
    <row r="1257" ht="15.0" customHeight="1">
      <c r="A1257" s="1296"/>
      <c r="B1257" s="846"/>
      <c r="C1257" s="1517"/>
      <c r="D1257" s="846"/>
      <c r="E1257" s="846"/>
      <c r="F1257" s="846"/>
      <c r="G1257" s="846"/>
      <c r="H1257" s="846"/>
      <c r="I1257" s="1296"/>
      <c r="J1257" s="846"/>
      <c r="K1257" s="1296"/>
      <c r="L1257" s="846"/>
      <c r="M1257" s="1517"/>
      <c r="N1257" s="846"/>
      <c r="O1257" s="1517"/>
      <c r="P1257" s="846"/>
      <c r="Q1257" s="1296"/>
      <c r="R1257" s="846"/>
      <c r="S1257" s="846"/>
      <c r="T1257" s="846"/>
    </row>
    <row r="1258" ht="15.0" customHeight="1">
      <c r="A1258" s="1296"/>
      <c r="B1258" s="846"/>
      <c r="C1258" s="1517"/>
      <c r="D1258" s="846"/>
      <c r="E1258" s="846"/>
      <c r="F1258" s="846"/>
      <c r="G1258" s="846"/>
      <c r="H1258" s="846"/>
      <c r="I1258" s="1296"/>
      <c r="J1258" s="846"/>
      <c r="K1258" s="1296"/>
      <c r="L1258" s="846"/>
      <c r="M1258" s="1517"/>
      <c r="N1258" s="846"/>
      <c r="O1258" s="1517"/>
      <c r="P1258" s="846"/>
      <c r="Q1258" s="1296"/>
      <c r="R1258" s="846"/>
      <c r="S1258" s="846"/>
      <c r="T1258" s="846"/>
    </row>
    <row r="1259" ht="15.0" customHeight="1">
      <c r="A1259" s="1296"/>
      <c r="B1259" s="846"/>
      <c r="C1259" s="1517"/>
      <c r="D1259" s="846"/>
      <c r="E1259" s="846"/>
      <c r="F1259" s="846"/>
      <c r="G1259" s="846"/>
      <c r="H1259" s="846"/>
      <c r="I1259" s="1296"/>
      <c r="J1259" s="846"/>
      <c r="K1259" s="1296"/>
      <c r="L1259" s="846"/>
      <c r="M1259" s="1517"/>
      <c r="N1259" s="846"/>
      <c r="O1259" s="1517"/>
      <c r="P1259" s="846"/>
      <c r="Q1259" s="1296"/>
      <c r="R1259" s="846"/>
      <c r="S1259" s="846"/>
      <c r="T1259" s="846"/>
    </row>
    <row r="1260" ht="15.0" customHeight="1">
      <c r="A1260" s="1296"/>
      <c r="B1260" s="846"/>
      <c r="C1260" s="1517"/>
      <c r="D1260" s="846"/>
      <c r="E1260" s="846"/>
      <c r="F1260" s="846"/>
      <c r="G1260" s="846"/>
      <c r="H1260" s="846"/>
      <c r="I1260" s="1296"/>
      <c r="J1260" s="846"/>
      <c r="K1260" s="1296"/>
      <c r="L1260" s="846"/>
      <c r="M1260" s="1517"/>
      <c r="N1260" s="846"/>
      <c r="O1260" s="1517"/>
      <c r="P1260" s="846"/>
      <c r="Q1260" s="1296"/>
      <c r="R1260" s="846"/>
      <c r="S1260" s="846"/>
      <c r="T1260" s="846"/>
    </row>
    <row r="1261" ht="15.0" customHeight="1">
      <c r="A1261" s="1296"/>
      <c r="B1261" s="846"/>
      <c r="C1261" s="1517"/>
      <c r="D1261" s="846"/>
      <c r="E1261" s="846"/>
      <c r="F1261" s="846"/>
      <c r="G1261" s="846"/>
      <c r="H1261" s="846"/>
      <c r="I1261" s="1296"/>
      <c r="J1261" s="846"/>
      <c r="K1261" s="1296"/>
      <c r="L1261" s="846"/>
      <c r="M1261" s="1517"/>
      <c r="N1261" s="846"/>
      <c r="O1261" s="1517"/>
      <c r="P1261" s="846"/>
      <c r="Q1261" s="1296"/>
      <c r="R1261" s="846"/>
      <c r="S1261" s="846"/>
      <c r="T1261" s="846"/>
    </row>
    <row r="1262" ht="15.0" customHeight="1">
      <c r="A1262" s="1296"/>
      <c r="B1262" s="846"/>
      <c r="C1262" s="1517"/>
      <c r="D1262" s="846"/>
      <c r="E1262" s="846"/>
      <c r="F1262" s="846"/>
      <c r="G1262" s="846"/>
      <c r="H1262" s="846"/>
      <c r="I1262" s="1296"/>
      <c r="J1262" s="846"/>
      <c r="K1262" s="1296"/>
      <c r="L1262" s="846"/>
      <c r="M1262" s="1517"/>
      <c r="N1262" s="846"/>
      <c r="O1262" s="1517"/>
      <c r="P1262" s="846"/>
      <c r="Q1262" s="1296"/>
      <c r="R1262" s="846"/>
      <c r="S1262" s="846"/>
      <c r="T1262" s="846"/>
    </row>
    <row r="1263" ht="15.0" customHeight="1">
      <c r="A1263" s="1296"/>
      <c r="B1263" s="846"/>
      <c r="C1263" s="1517"/>
      <c r="D1263" s="846"/>
      <c r="E1263" s="846"/>
      <c r="F1263" s="846"/>
      <c r="G1263" s="846"/>
      <c r="H1263" s="846"/>
      <c r="I1263" s="1296"/>
      <c r="J1263" s="846"/>
      <c r="K1263" s="1296"/>
      <c r="L1263" s="846"/>
      <c r="M1263" s="1517"/>
      <c r="N1263" s="846"/>
      <c r="O1263" s="1517"/>
      <c r="P1263" s="846"/>
      <c r="Q1263" s="1296"/>
      <c r="R1263" s="846"/>
      <c r="S1263" s="846"/>
      <c r="T1263" s="846"/>
    </row>
    <row r="1264" ht="15.0" customHeight="1">
      <c r="A1264" s="1296"/>
      <c r="B1264" s="846"/>
      <c r="C1264" s="1517"/>
      <c r="D1264" s="846"/>
      <c r="E1264" s="846"/>
      <c r="F1264" s="846"/>
      <c r="G1264" s="846"/>
      <c r="H1264" s="846"/>
      <c r="I1264" s="1296"/>
      <c r="J1264" s="846"/>
      <c r="K1264" s="1296"/>
      <c r="L1264" s="846"/>
      <c r="M1264" s="1517"/>
      <c r="N1264" s="846"/>
      <c r="O1264" s="1517"/>
      <c r="P1264" s="846"/>
      <c r="Q1264" s="1296"/>
      <c r="R1264" s="846"/>
      <c r="S1264" s="846"/>
      <c r="T1264" s="846"/>
    </row>
    <row r="1265" ht="15.0" customHeight="1">
      <c r="A1265" s="1296"/>
      <c r="B1265" s="846"/>
      <c r="C1265" s="1517"/>
      <c r="D1265" s="846"/>
      <c r="E1265" s="846"/>
      <c r="F1265" s="846"/>
      <c r="G1265" s="846"/>
      <c r="H1265" s="846"/>
      <c r="I1265" s="1296"/>
      <c r="J1265" s="846"/>
      <c r="K1265" s="1296"/>
      <c r="L1265" s="846"/>
      <c r="M1265" s="1517"/>
      <c r="N1265" s="846"/>
      <c r="O1265" s="1517"/>
      <c r="P1265" s="846"/>
      <c r="Q1265" s="1296"/>
      <c r="R1265" s="846"/>
      <c r="S1265" s="846"/>
      <c r="T1265" s="846"/>
    </row>
    <row r="1266" ht="15.0" customHeight="1">
      <c r="A1266" s="1296"/>
      <c r="B1266" s="846"/>
      <c r="C1266" s="1517"/>
      <c r="D1266" s="846"/>
      <c r="E1266" s="846"/>
      <c r="F1266" s="846"/>
      <c r="G1266" s="846"/>
      <c r="H1266" s="846"/>
      <c r="I1266" s="1296"/>
      <c r="J1266" s="846"/>
      <c r="K1266" s="1296"/>
      <c r="L1266" s="846"/>
      <c r="M1266" s="1517"/>
      <c r="N1266" s="846"/>
      <c r="O1266" s="1517"/>
      <c r="P1266" s="846"/>
      <c r="Q1266" s="1296"/>
      <c r="R1266" s="846"/>
      <c r="S1266" s="846"/>
      <c r="T1266" s="846"/>
    </row>
    <row r="1267" ht="15.0" customHeight="1">
      <c r="A1267" s="1296"/>
      <c r="B1267" s="846"/>
      <c r="C1267" s="1517"/>
      <c r="D1267" s="846"/>
      <c r="E1267" s="846"/>
      <c r="F1267" s="846"/>
      <c r="G1267" s="846"/>
      <c r="H1267" s="846"/>
      <c r="I1267" s="1296"/>
      <c r="J1267" s="846"/>
      <c r="K1267" s="1296"/>
      <c r="L1267" s="846"/>
      <c r="M1267" s="1517"/>
      <c r="N1267" s="846"/>
      <c r="O1267" s="1517"/>
      <c r="P1267" s="846"/>
      <c r="Q1267" s="1296"/>
      <c r="R1267" s="846"/>
      <c r="S1267" s="846"/>
      <c r="T1267" s="846"/>
    </row>
    <row r="1268" ht="15.0" customHeight="1">
      <c r="A1268" s="1296"/>
      <c r="B1268" s="846"/>
      <c r="C1268" s="1517"/>
      <c r="D1268" s="846"/>
      <c r="E1268" s="846"/>
      <c r="F1268" s="846"/>
      <c r="G1268" s="846"/>
      <c r="H1268" s="846"/>
      <c r="I1268" s="1296"/>
      <c r="J1268" s="846"/>
      <c r="K1268" s="1296"/>
      <c r="L1268" s="846"/>
      <c r="M1268" s="1517"/>
      <c r="N1268" s="846"/>
      <c r="O1268" s="1517"/>
      <c r="P1268" s="846"/>
      <c r="Q1268" s="1296"/>
      <c r="R1268" s="846"/>
      <c r="S1268" s="846"/>
      <c r="T1268" s="846"/>
    </row>
    <row r="1269" ht="15.0" customHeight="1">
      <c r="A1269" s="1296"/>
      <c r="B1269" s="846"/>
      <c r="C1269" s="1517"/>
      <c r="D1269" s="846"/>
      <c r="E1269" s="846"/>
      <c r="F1269" s="846"/>
      <c r="G1269" s="846"/>
      <c r="H1269" s="846"/>
      <c r="I1269" s="1296"/>
      <c r="J1269" s="846"/>
      <c r="K1269" s="1296"/>
      <c r="L1269" s="846"/>
      <c r="M1269" s="1517"/>
      <c r="N1269" s="846"/>
      <c r="O1269" s="1517"/>
      <c r="P1269" s="846"/>
      <c r="Q1269" s="1296"/>
      <c r="R1269" s="846"/>
      <c r="S1269" s="846"/>
      <c r="T1269" s="846"/>
    </row>
    <row r="1270" ht="15.0" customHeight="1">
      <c r="A1270" s="1296"/>
      <c r="B1270" s="846"/>
      <c r="C1270" s="1517"/>
      <c r="D1270" s="846"/>
      <c r="E1270" s="846"/>
      <c r="F1270" s="846"/>
      <c r="G1270" s="846"/>
      <c r="H1270" s="846"/>
      <c r="I1270" s="1296"/>
      <c r="J1270" s="846"/>
      <c r="K1270" s="1296"/>
      <c r="L1270" s="846"/>
      <c r="M1270" s="1517"/>
      <c r="N1270" s="846"/>
      <c r="O1270" s="1517"/>
      <c r="P1270" s="846"/>
      <c r="Q1270" s="1296"/>
      <c r="R1270" s="846"/>
      <c r="S1270" s="846"/>
      <c r="T1270" s="846"/>
    </row>
    <row r="1271" ht="15.0" customHeight="1">
      <c r="A1271" s="1296"/>
      <c r="B1271" s="846"/>
      <c r="C1271" s="1517"/>
      <c r="D1271" s="846"/>
      <c r="E1271" s="846"/>
      <c r="F1271" s="846"/>
      <c r="G1271" s="846"/>
      <c r="H1271" s="846"/>
      <c r="I1271" s="1296"/>
      <c r="J1271" s="846"/>
      <c r="K1271" s="1296"/>
      <c r="L1271" s="846"/>
      <c r="M1271" s="1517"/>
      <c r="N1271" s="846"/>
      <c r="O1271" s="1517"/>
      <c r="P1271" s="846"/>
      <c r="Q1271" s="1296"/>
      <c r="R1271" s="846"/>
      <c r="S1271" s="846"/>
      <c r="T1271" s="846"/>
    </row>
    <row r="1272" ht="15.0" customHeight="1">
      <c r="A1272" s="1296"/>
      <c r="B1272" s="846"/>
      <c r="C1272" s="1517"/>
      <c r="D1272" s="846"/>
      <c r="E1272" s="846"/>
      <c r="F1272" s="846"/>
      <c r="G1272" s="846"/>
      <c r="H1272" s="846"/>
      <c r="I1272" s="1296"/>
      <c r="J1272" s="846"/>
      <c r="K1272" s="1296"/>
      <c r="L1272" s="846"/>
      <c r="M1272" s="1517"/>
      <c r="N1272" s="846"/>
      <c r="O1272" s="1517"/>
      <c r="P1272" s="846"/>
      <c r="Q1272" s="1296"/>
      <c r="R1272" s="846"/>
      <c r="S1272" s="846"/>
      <c r="T1272" s="846"/>
    </row>
    <row r="1273" ht="15.0" customHeight="1">
      <c r="A1273" s="1296"/>
      <c r="B1273" s="846"/>
      <c r="C1273" s="1517"/>
      <c r="D1273" s="846"/>
      <c r="E1273" s="846"/>
      <c r="F1273" s="846"/>
      <c r="G1273" s="846"/>
      <c r="H1273" s="846"/>
      <c r="I1273" s="1296"/>
      <c r="J1273" s="846"/>
      <c r="K1273" s="1296"/>
      <c r="L1273" s="846"/>
      <c r="M1273" s="1517"/>
      <c r="N1273" s="846"/>
      <c r="O1273" s="1517"/>
      <c r="P1273" s="846"/>
      <c r="Q1273" s="1296"/>
      <c r="R1273" s="846"/>
      <c r="S1273" s="846"/>
      <c r="T1273" s="846"/>
    </row>
    <row r="1274" ht="15.0" customHeight="1">
      <c r="A1274" s="1296"/>
      <c r="B1274" s="846"/>
      <c r="C1274" s="1517"/>
      <c r="D1274" s="846"/>
      <c r="E1274" s="846"/>
      <c r="F1274" s="846"/>
      <c r="G1274" s="846"/>
      <c r="H1274" s="846"/>
      <c r="I1274" s="1296"/>
      <c r="J1274" s="846"/>
      <c r="K1274" s="1296"/>
      <c r="L1274" s="846"/>
      <c r="M1274" s="1517"/>
      <c r="N1274" s="846"/>
      <c r="O1274" s="1517"/>
      <c r="P1274" s="846"/>
      <c r="Q1274" s="1296"/>
      <c r="R1274" s="846"/>
      <c r="S1274" s="846"/>
      <c r="T1274" s="846"/>
    </row>
    <row r="1275" ht="15.0" customHeight="1">
      <c r="A1275" s="1296"/>
      <c r="B1275" s="846"/>
      <c r="C1275" s="1517"/>
      <c r="D1275" s="846"/>
      <c r="E1275" s="846"/>
      <c r="F1275" s="846"/>
      <c r="G1275" s="846"/>
      <c r="H1275" s="846"/>
      <c r="I1275" s="1296"/>
      <c r="J1275" s="846"/>
      <c r="K1275" s="1296"/>
      <c r="L1275" s="846"/>
      <c r="M1275" s="1517"/>
      <c r="N1275" s="846"/>
      <c r="O1275" s="1517"/>
      <c r="P1275" s="846"/>
      <c r="Q1275" s="1296"/>
      <c r="R1275" s="846"/>
      <c r="S1275" s="846"/>
      <c r="T1275" s="846"/>
    </row>
    <row r="1276" ht="15.0" customHeight="1">
      <c r="A1276" s="1296"/>
      <c r="B1276" s="846"/>
      <c r="C1276" s="1517"/>
      <c r="D1276" s="846"/>
      <c r="E1276" s="846"/>
      <c r="F1276" s="846"/>
      <c r="G1276" s="846"/>
      <c r="H1276" s="846"/>
      <c r="I1276" s="1296"/>
      <c r="J1276" s="846"/>
      <c r="K1276" s="1296"/>
      <c r="L1276" s="846"/>
      <c r="M1276" s="1517"/>
      <c r="N1276" s="846"/>
      <c r="O1276" s="1517"/>
      <c r="P1276" s="846"/>
      <c r="Q1276" s="1296"/>
      <c r="R1276" s="846"/>
      <c r="S1276" s="846"/>
      <c r="T1276" s="846"/>
    </row>
    <row r="1277" ht="15.0" customHeight="1">
      <c r="A1277" s="1296"/>
      <c r="B1277" s="846"/>
      <c r="C1277" s="1517"/>
      <c r="D1277" s="846"/>
      <c r="E1277" s="846"/>
      <c r="F1277" s="846"/>
      <c r="G1277" s="846"/>
      <c r="H1277" s="846"/>
      <c r="I1277" s="1296"/>
      <c r="J1277" s="846"/>
      <c r="K1277" s="1296"/>
      <c r="L1277" s="846"/>
      <c r="M1277" s="1517"/>
      <c r="N1277" s="846"/>
      <c r="O1277" s="1517"/>
      <c r="P1277" s="846"/>
      <c r="Q1277" s="1296"/>
      <c r="R1277" s="846"/>
      <c r="S1277" s="846"/>
      <c r="T1277" s="846"/>
    </row>
    <row r="1278" ht="15.0" customHeight="1">
      <c r="A1278" s="1296"/>
      <c r="B1278" s="846"/>
      <c r="C1278" s="1517"/>
      <c r="D1278" s="846"/>
      <c r="E1278" s="846"/>
      <c r="F1278" s="846"/>
      <c r="G1278" s="846"/>
      <c r="H1278" s="846"/>
      <c r="I1278" s="1296"/>
      <c r="J1278" s="846"/>
      <c r="K1278" s="1296"/>
      <c r="L1278" s="846"/>
      <c r="M1278" s="1517"/>
      <c r="N1278" s="846"/>
      <c r="O1278" s="1517"/>
      <c r="P1278" s="846"/>
      <c r="Q1278" s="1296"/>
      <c r="R1278" s="846"/>
      <c r="S1278" s="846"/>
      <c r="T1278" s="846"/>
    </row>
    <row r="1279" ht="15.0" customHeight="1">
      <c r="A1279" s="1296"/>
      <c r="B1279" s="846"/>
      <c r="C1279" s="1517"/>
      <c r="D1279" s="846"/>
      <c r="E1279" s="846"/>
      <c r="F1279" s="846"/>
      <c r="G1279" s="846"/>
      <c r="H1279" s="846"/>
      <c r="I1279" s="1296"/>
      <c r="J1279" s="846"/>
      <c r="K1279" s="1296"/>
      <c r="L1279" s="846"/>
      <c r="M1279" s="1517"/>
      <c r="N1279" s="846"/>
      <c r="O1279" s="1517"/>
      <c r="P1279" s="846"/>
      <c r="Q1279" s="1296"/>
      <c r="R1279" s="846"/>
      <c r="S1279" s="846"/>
      <c r="T1279" s="846"/>
    </row>
    <row r="1280" ht="15.0" customHeight="1">
      <c r="A1280" s="1296"/>
      <c r="B1280" s="846"/>
      <c r="C1280" s="1517"/>
      <c r="D1280" s="846"/>
      <c r="E1280" s="846"/>
      <c r="F1280" s="846"/>
      <c r="G1280" s="846"/>
      <c r="H1280" s="846"/>
      <c r="I1280" s="1296"/>
      <c r="J1280" s="846"/>
      <c r="K1280" s="1296"/>
      <c r="L1280" s="846"/>
      <c r="M1280" s="1517"/>
      <c r="N1280" s="846"/>
      <c r="O1280" s="1517"/>
      <c r="P1280" s="846"/>
      <c r="Q1280" s="1296"/>
      <c r="R1280" s="846"/>
      <c r="S1280" s="846"/>
      <c r="T1280" s="846"/>
    </row>
    <row r="1281" ht="15.0" customHeight="1">
      <c r="A1281" s="1296"/>
      <c r="B1281" s="846"/>
      <c r="C1281" s="1517"/>
      <c r="D1281" s="846"/>
      <c r="E1281" s="846"/>
      <c r="F1281" s="846"/>
      <c r="G1281" s="846"/>
      <c r="H1281" s="846"/>
      <c r="I1281" s="1296"/>
      <c r="J1281" s="846"/>
      <c r="K1281" s="1296"/>
      <c r="L1281" s="846"/>
      <c r="M1281" s="1517"/>
      <c r="N1281" s="846"/>
      <c r="O1281" s="1517"/>
      <c r="P1281" s="846"/>
      <c r="Q1281" s="1296"/>
      <c r="R1281" s="846"/>
      <c r="S1281" s="846"/>
      <c r="T1281" s="846"/>
    </row>
    <row r="1282" ht="15.0" customHeight="1">
      <c r="A1282" s="1296"/>
      <c r="B1282" s="846"/>
      <c r="C1282" s="1517"/>
      <c r="D1282" s="846"/>
      <c r="E1282" s="846"/>
      <c r="F1282" s="846"/>
      <c r="G1282" s="846"/>
      <c r="H1282" s="846"/>
      <c r="I1282" s="1296"/>
      <c r="J1282" s="846"/>
      <c r="K1282" s="1296"/>
      <c r="L1282" s="846"/>
      <c r="M1282" s="1517"/>
      <c r="N1282" s="846"/>
      <c r="O1282" s="1517"/>
      <c r="P1282" s="846"/>
      <c r="Q1282" s="1296"/>
      <c r="R1282" s="846"/>
      <c r="S1282" s="846"/>
      <c r="T1282" s="846"/>
    </row>
    <row r="1283" ht="15.0" customHeight="1">
      <c r="A1283" s="1296"/>
      <c r="B1283" s="846"/>
      <c r="C1283" s="1517"/>
      <c r="D1283" s="846"/>
      <c r="E1283" s="846"/>
      <c r="F1283" s="846"/>
      <c r="G1283" s="846"/>
      <c r="H1283" s="846"/>
      <c r="I1283" s="1296"/>
      <c r="J1283" s="846"/>
      <c r="K1283" s="1296"/>
      <c r="L1283" s="846"/>
      <c r="M1283" s="1517"/>
      <c r="N1283" s="846"/>
      <c r="O1283" s="1517"/>
      <c r="P1283" s="846"/>
      <c r="Q1283" s="1296"/>
      <c r="R1283" s="846"/>
      <c r="S1283" s="846"/>
      <c r="T1283" s="846"/>
    </row>
    <row r="1284" ht="15.0" customHeight="1">
      <c r="A1284" s="1296"/>
      <c r="B1284" s="846"/>
      <c r="C1284" s="1517"/>
      <c r="D1284" s="846"/>
      <c r="E1284" s="846"/>
      <c r="F1284" s="846"/>
      <c r="G1284" s="846"/>
      <c r="H1284" s="846"/>
      <c r="I1284" s="1296"/>
      <c r="J1284" s="846"/>
      <c r="K1284" s="1296"/>
      <c r="L1284" s="846"/>
      <c r="M1284" s="1517"/>
      <c r="N1284" s="846"/>
      <c r="O1284" s="1517"/>
      <c r="P1284" s="846"/>
      <c r="Q1284" s="1296"/>
      <c r="R1284" s="846"/>
      <c r="S1284" s="846"/>
      <c r="T1284" s="846"/>
    </row>
    <row r="1285" ht="15.0" customHeight="1">
      <c r="A1285" s="1296"/>
      <c r="B1285" s="846"/>
      <c r="C1285" s="1517"/>
      <c r="D1285" s="846"/>
      <c r="E1285" s="846"/>
      <c r="F1285" s="846"/>
      <c r="G1285" s="846"/>
      <c r="H1285" s="846"/>
      <c r="I1285" s="1296"/>
      <c r="J1285" s="846"/>
      <c r="K1285" s="1296"/>
      <c r="L1285" s="846"/>
      <c r="M1285" s="1517"/>
      <c r="N1285" s="846"/>
      <c r="O1285" s="1517"/>
      <c r="P1285" s="846"/>
      <c r="Q1285" s="1296"/>
      <c r="R1285" s="846"/>
      <c r="S1285" s="846"/>
      <c r="T1285" s="846"/>
    </row>
    <row r="1286" ht="15.0" customHeight="1">
      <c r="A1286" s="1296"/>
      <c r="B1286" s="846"/>
      <c r="C1286" s="1517"/>
      <c r="D1286" s="846"/>
      <c r="E1286" s="846"/>
      <c r="F1286" s="846"/>
      <c r="G1286" s="846"/>
      <c r="H1286" s="846"/>
      <c r="I1286" s="1296"/>
      <c r="J1286" s="846"/>
      <c r="K1286" s="1296"/>
      <c r="L1286" s="846"/>
      <c r="M1286" s="1517"/>
      <c r="N1286" s="846"/>
      <c r="O1286" s="1517"/>
      <c r="P1286" s="846"/>
      <c r="Q1286" s="1296"/>
      <c r="R1286" s="846"/>
      <c r="S1286" s="846"/>
      <c r="T1286" s="846"/>
    </row>
    <row r="1287" ht="15.0" customHeight="1">
      <c r="A1287" s="1296"/>
      <c r="B1287" s="846"/>
      <c r="C1287" s="1517"/>
      <c r="D1287" s="846"/>
      <c r="E1287" s="846"/>
      <c r="F1287" s="846"/>
      <c r="G1287" s="846"/>
      <c r="H1287" s="846"/>
      <c r="I1287" s="1296"/>
      <c r="J1287" s="846"/>
      <c r="K1287" s="1296"/>
      <c r="L1287" s="846"/>
      <c r="M1287" s="1517"/>
      <c r="N1287" s="846"/>
      <c r="O1287" s="1517"/>
      <c r="P1287" s="846"/>
      <c r="Q1287" s="1296"/>
      <c r="R1287" s="846"/>
      <c r="S1287" s="846"/>
      <c r="T1287" s="846"/>
    </row>
    <row r="1288" ht="15.0" customHeight="1">
      <c r="A1288" s="1296"/>
      <c r="B1288" s="846"/>
      <c r="C1288" s="1517"/>
      <c r="D1288" s="846"/>
      <c r="E1288" s="846"/>
      <c r="F1288" s="846"/>
      <c r="G1288" s="846"/>
      <c r="H1288" s="846"/>
      <c r="I1288" s="1296"/>
      <c r="J1288" s="846"/>
      <c r="K1288" s="1296"/>
      <c r="L1288" s="846"/>
      <c r="M1288" s="1517"/>
      <c r="N1288" s="846"/>
      <c r="O1288" s="1517"/>
      <c r="P1288" s="846"/>
      <c r="Q1288" s="1296"/>
      <c r="R1288" s="846"/>
      <c r="S1288" s="846"/>
      <c r="T1288" s="846"/>
    </row>
    <row r="1289" ht="15.0" customHeight="1">
      <c r="A1289" s="1296"/>
      <c r="B1289" s="846"/>
      <c r="C1289" s="1517"/>
      <c r="D1289" s="846"/>
      <c r="E1289" s="846"/>
      <c r="F1289" s="846"/>
      <c r="G1289" s="846"/>
      <c r="H1289" s="846"/>
      <c r="I1289" s="1296"/>
      <c r="J1289" s="846"/>
      <c r="K1289" s="1296"/>
      <c r="L1289" s="846"/>
      <c r="M1289" s="1517"/>
      <c r="N1289" s="846"/>
      <c r="O1289" s="1517"/>
      <c r="P1289" s="846"/>
      <c r="Q1289" s="1296"/>
      <c r="R1289" s="846"/>
      <c r="S1289" s="846"/>
      <c r="T1289" s="846"/>
    </row>
    <row r="1290" ht="15.0" customHeight="1">
      <c r="A1290" s="1296"/>
      <c r="B1290" s="846"/>
      <c r="C1290" s="1517"/>
      <c r="D1290" s="846"/>
      <c r="E1290" s="846"/>
      <c r="F1290" s="846"/>
      <c r="G1290" s="846"/>
      <c r="H1290" s="846"/>
      <c r="I1290" s="1296"/>
      <c r="J1290" s="846"/>
      <c r="K1290" s="1296"/>
      <c r="L1290" s="846"/>
      <c r="M1290" s="1517"/>
      <c r="N1290" s="846"/>
      <c r="O1290" s="1517"/>
      <c r="P1290" s="846"/>
      <c r="Q1290" s="1296"/>
      <c r="R1290" s="846"/>
      <c r="S1290" s="846"/>
      <c r="T1290" s="846"/>
    </row>
    <row r="1291" ht="15.0" customHeight="1">
      <c r="A1291" s="1296"/>
      <c r="B1291" s="846"/>
      <c r="C1291" s="1517"/>
      <c r="D1291" s="846"/>
      <c r="E1291" s="846"/>
      <c r="F1291" s="846"/>
      <c r="G1291" s="846"/>
      <c r="H1291" s="846"/>
      <c r="I1291" s="1296"/>
      <c r="J1291" s="846"/>
      <c r="K1291" s="1296"/>
      <c r="L1291" s="846"/>
      <c r="M1291" s="1517"/>
      <c r="N1291" s="846"/>
      <c r="O1291" s="1517"/>
      <c r="P1291" s="846"/>
      <c r="Q1291" s="1296"/>
      <c r="R1291" s="846"/>
      <c r="S1291" s="846"/>
      <c r="T1291" s="846"/>
    </row>
    <row r="1292" ht="15.0" customHeight="1">
      <c r="A1292" s="1296"/>
      <c r="B1292" s="846"/>
      <c r="C1292" s="1517"/>
      <c r="D1292" s="846"/>
      <c r="E1292" s="846"/>
      <c r="F1292" s="846"/>
      <c r="G1292" s="846"/>
      <c r="H1292" s="846"/>
      <c r="I1292" s="1296"/>
      <c r="J1292" s="846"/>
      <c r="K1292" s="1296"/>
      <c r="L1292" s="846"/>
      <c r="M1292" s="1517"/>
      <c r="N1292" s="846"/>
      <c r="O1292" s="1517"/>
      <c r="P1292" s="846"/>
      <c r="Q1292" s="1296"/>
      <c r="R1292" s="846"/>
      <c r="S1292" s="846"/>
      <c r="T1292" s="846"/>
    </row>
    <row r="1293" ht="15.0" customHeight="1">
      <c r="A1293" s="1296"/>
      <c r="B1293" s="846"/>
      <c r="C1293" s="1517"/>
      <c r="D1293" s="846"/>
      <c r="E1293" s="846"/>
      <c r="F1293" s="846"/>
      <c r="G1293" s="846"/>
      <c r="H1293" s="846"/>
      <c r="I1293" s="1296"/>
      <c r="J1293" s="846"/>
      <c r="K1293" s="1296"/>
      <c r="L1293" s="846"/>
      <c r="M1293" s="1517"/>
      <c r="N1293" s="846"/>
      <c r="O1293" s="1517"/>
      <c r="P1293" s="846"/>
      <c r="Q1293" s="1296"/>
      <c r="R1293" s="846"/>
      <c r="S1293" s="846"/>
      <c r="T1293" s="846"/>
    </row>
    <row r="1294" ht="15.0" customHeight="1">
      <c r="A1294" s="1296"/>
      <c r="B1294" s="846"/>
      <c r="C1294" s="1517"/>
      <c r="D1294" s="846"/>
      <c r="E1294" s="846"/>
      <c r="F1294" s="846"/>
      <c r="G1294" s="846"/>
      <c r="H1294" s="846"/>
      <c r="I1294" s="1296"/>
      <c r="J1294" s="846"/>
      <c r="K1294" s="1296"/>
      <c r="L1294" s="846"/>
      <c r="M1294" s="1517"/>
      <c r="N1294" s="846"/>
      <c r="O1294" s="1517"/>
      <c r="P1294" s="846"/>
      <c r="Q1294" s="1296"/>
      <c r="R1294" s="846"/>
      <c r="S1294" s="846"/>
      <c r="T1294" s="846"/>
    </row>
    <row r="1295" ht="15.0" customHeight="1">
      <c r="A1295" s="1296"/>
      <c r="B1295" s="846"/>
      <c r="C1295" s="1517"/>
      <c r="D1295" s="846"/>
      <c r="E1295" s="846"/>
      <c r="F1295" s="846"/>
      <c r="G1295" s="846"/>
      <c r="H1295" s="846"/>
      <c r="I1295" s="1296"/>
      <c r="J1295" s="846"/>
      <c r="K1295" s="1296"/>
      <c r="L1295" s="846"/>
      <c r="M1295" s="1517"/>
      <c r="N1295" s="846"/>
      <c r="O1295" s="1517"/>
      <c r="P1295" s="846"/>
      <c r="Q1295" s="1296"/>
      <c r="R1295" s="846"/>
      <c r="S1295" s="846"/>
      <c r="T1295" s="846"/>
    </row>
    <row r="1296" ht="15.0" customHeight="1">
      <c r="A1296" s="1296"/>
      <c r="B1296" s="846"/>
      <c r="C1296" s="1517"/>
      <c r="D1296" s="846"/>
      <c r="E1296" s="846"/>
      <c r="F1296" s="846"/>
      <c r="G1296" s="846"/>
      <c r="H1296" s="846"/>
      <c r="I1296" s="1296"/>
      <c r="J1296" s="846"/>
      <c r="K1296" s="1296"/>
      <c r="L1296" s="846"/>
      <c r="M1296" s="1517"/>
      <c r="N1296" s="846"/>
      <c r="O1296" s="1517"/>
      <c r="P1296" s="846"/>
      <c r="Q1296" s="1296"/>
      <c r="R1296" s="846"/>
      <c r="S1296" s="846"/>
      <c r="T1296" s="846"/>
    </row>
    <row r="1297" ht="15.0" customHeight="1">
      <c r="A1297" s="1296"/>
      <c r="B1297" s="846"/>
      <c r="C1297" s="1517"/>
      <c r="D1297" s="846"/>
      <c r="E1297" s="846"/>
      <c r="F1297" s="846"/>
      <c r="G1297" s="846"/>
      <c r="H1297" s="846"/>
      <c r="I1297" s="1296"/>
      <c r="J1297" s="846"/>
      <c r="K1297" s="1296"/>
      <c r="L1297" s="846"/>
      <c r="M1297" s="1517"/>
      <c r="N1297" s="846"/>
      <c r="O1297" s="1517"/>
      <c r="P1297" s="846"/>
      <c r="Q1297" s="1296"/>
      <c r="R1297" s="846"/>
      <c r="S1297" s="846"/>
      <c r="T1297" s="846"/>
    </row>
    <row r="1298" ht="15.0" customHeight="1">
      <c r="A1298" s="1296"/>
      <c r="B1298" s="846"/>
      <c r="C1298" s="1517"/>
      <c r="D1298" s="846"/>
      <c r="E1298" s="846"/>
      <c r="F1298" s="846"/>
      <c r="G1298" s="846"/>
      <c r="H1298" s="846"/>
      <c r="I1298" s="1296"/>
      <c r="J1298" s="846"/>
      <c r="K1298" s="1296"/>
      <c r="L1298" s="846"/>
      <c r="M1298" s="1517"/>
      <c r="N1298" s="846"/>
      <c r="O1298" s="1517"/>
      <c r="P1298" s="846"/>
      <c r="Q1298" s="1296"/>
      <c r="R1298" s="846"/>
      <c r="S1298" s="846"/>
      <c r="T1298" s="846"/>
    </row>
    <row r="1299" ht="15.0" customHeight="1">
      <c r="A1299" s="1296"/>
      <c r="B1299" s="846"/>
      <c r="C1299" s="1517"/>
      <c r="D1299" s="846"/>
      <c r="E1299" s="846"/>
      <c r="F1299" s="846"/>
      <c r="G1299" s="846"/>
      <c r="H1299" s="846"/>
      <c r="I1299" s="1296"/>
      <c r="J1299" s="846"/>
      <c r="K1299" s="1296"/>
      <c r="L1299" s="846"/>
      <c r="M1299" s="1517"/>
      <c r="N1299" s="846"/>
      <c r="O1299" s="1517"/>
      <c r="P1299" s="846"/>
      <c r="Q1299" s="1296"/>
      <c r="R1299" s="846"/>
      <c r="S1299" s="846"/>
      <c r="T1299" s="846"/>
    </row>
    <row r="1300" ht="15.0" customHeight="1">
      <c r="A1300" s="1296"/>
      <c r="B1300" s="846"/>
      <c r="C1300" s="1517"/>
      <c r="D1300" s="846"/>
      <c r="E1300" s="846"/>
      <c r="F1300" s="846"/>
      <c r="G1300" s="846"/>
      <c r="H1300" s="846"/>
      <c r="I1300" s="1296"/>
      <c r="J1300" s="846"/>
      <c r="K1300" s="1296"/>
      <c r="L1300" s="846"/>
      <c r="M1300" s="1517"/>
      <c r="N1300" s="846"/>
      <c r="O1300" s="1517"/>
      <c r="P1300" s="846"/>
      <c r="Q1300" s="1296"/>
      <c r="R1300" s="846"/>
      <c r="S1300" s="846"/>
      <c r="T1300" s="846"/>
    </row>
    <row r="1301" ht="15.0" customHeight="1">
      <c r="A1301" s="1296"/>
      <c r="B1301" s="846"/>
      <c r="C1301" s="1517"/>
      <c r="D1301" s="846"/>
      <c r="E1301" s="846"/>
      <c r="F1301" s="846"/>
      <c r="G1301" s="846"/>
      <c r="H1301" s="846"/>
      <c r="I1301" s="1296"/>
      <c r="J1301" s="846"/>
      <c r="K1301" s="1296"/>
      <c r="L1301" s="846"/>
      <c r="M1301" s="1517"/>
      <c r="N1301" s="846"/>
      <c r="O1301" s="1517"/>
      <c r="P1301" s="846"/>
      <c r="Q1301" s="1296"/>
      <c r="R1301" s="846"/>
      <c r="S1301" s="846"/>
      <c r="T1301" s="846"/>
    </row>
    <row r="1302" ht="15.0" customHeight="1">
      <c r="A1302" s="1296"/>
      <c r="B1302" s="846"/>
      <c r="C1302" s="1517"/>
      <c r="D1302" s="846"/>
      <c r="E1302" s="846"/>
      <c r="F1302" s="846"/>
      <c r="G1302" s="846"/>
      <c r="H1302" s="846"/>
      <c r="I1302" s="1296"/>
      <c r="J1302" s="846"/>
      <c r="K1302" s="1296"/>
      <c r="L1302" s="846"/>
      <c r="M1302" s="1517"/>
      <c r="N1302" s="846"/>
      <c r="O1302" s="1517"/>
      <c r="P1302" s="846"/>
      <c r="Q1302" s="1296"/>
      <c r="R1302" s="846"/>
      <c r="S1302" s="846"/>
      <c r="T1302" s="846"/>
    </row>
    <row r="1303" ht="15.0" customHeight="1">
      <c r="A1303" s="1296"/>
      <c r="B1303" s="846"/>
      <c r="C1303" s="1517"/>
      <c r="D1303" s="846"/>
      <c r="E1303" s="846"/>
      <c r="F1303" s="846"/>
      <c r="G1303" s="846"/>
      <c r="H1303" s="846"/>
      <c r="I1303" s="1296"/>
      <c r="J1303" s="846"/>
      <c r="K1303" s="1296"/>
      <c r="L1303" s="846"/>
      <c r="M1303" s="1517"/>
      <c r="N1303" s="846"/>
      <c r="O1303" s="1517"/>
      <c r="P1303" s="846"/>
      <c r="Q1303" s="1296"/>
      <c r="R1303" s="846"/>
      <c r="S1303" s="846"/>
      <c r="T1303" s="846"/>
    </row>
    <row r="1304" ht="15.0" customHeight="1">
      <c r="A1304" s="1296"/>
      <c r="B1304" s="846"/>
      <c r="C1304" s="1517"/>
      <c r="D1304" s="846"/>
      <c r="E1304" s="846"/>
      <c r="F1304" s="846"/>
      <c r="G1304" s="846"/>
      <c r="H1304" s="846"/>
      <c r="I1304" s="1296"/>
      <c r="J1304" s="846"/>
      <c r="K1304" s="1296"/>
      <c r="L1304" s="846"/>
      <c r="M1304" s="1517"/>
      <c r="N1304" s="846"/>
      <c r="O1304" s="1517"/>
      <c r="P1304" s="846"/>
      <c r="Q1304" s="1296"/>
      <c r="R1304" s="846"/>
      <c r="S1304" s="846"/>
      <c r="T1304" s="846"/>
    </row>
    <row r="1305" ht="15.0" customHeight="1">
      <c r="A1305" s="1296"/>
      <c r="B1305" s="846"/>
      <c r="C1305" s="1517"/>
      <c r="D1305" s="846"/>
      <c r="E1305" s="846"/>
      <c r="F1305" s="846"/>
      <c r="G1305" s="846"/>
      <c r="H1305" s="846"/>
      <c r="I1305" s="1296"/>
      <c r="J1305" s="846"/>
      <c r="K1305" s="1296"/>
      <c r="L1305" s="846"/>
      <c r="M1305" s="1517"/>
      <c r="N1305" s="846"/>
      <c r="O1305" s="1517"/>
      <c r="P1305" s="846"/>
      <c r="Q1305" s="1296"/>
      <c r="R1305" s="846"/>
      <c r="S1305" s="846"/>
      <c r="T1305" s="846"/>
    </row>
    <row r="1306" ht="15.0" customHeight="1">
      <c r="A1306" s="1296"/>
      <c r="B1306" s="846"/>
      <c r="C1306" s="1517"/>
      <c r="D1306" s="846"/>
      <c r="E1306" s="846"/>
      <c r="F1306" s="846"/>
      <c r="G1306" s="846"/>
      <c r="H1306" s="846"/>
      <c r="I1306" s="1296"/>
      <c r="J1306" s="846"/>
      <c r="K1306" s="1296"/>
      <c r="L1306" s="846"/>
      <c r="M1306" s="1517"/>
      <c r="N1306" s="846"/>
      <c r="O1306" s="1517"/>
      <c r="P1306" s="846"/>
      <c r="Q1306" s="1296"/>
      <c r="R1306" s="846"/>
      <c r="S1306" s="846"/>
      <c r="T1306" s="846"/>
    </row>
    <row r="1307" ht="15.0" customHeight="1">
      <c r="A1307" s="1296"/>
      <c r="B1307" s="846"/>
      <c r="C1307" s="1517"/>
      <c r="D1307" s="846"/>
      <c r="E1307" s="846"/>
      <c r="F1307" s="846"/>
      <c r="G1307" s="846"/>
      <c r="H1307" s="846"/>
      <c r="I1307" s="1296"/>
      <c r="J1307" s="846"/>
      <c r="K1307" s="1296"/>
      <c r="L1307" s="846"/>
      <c r="M1307" s="1517"/>
      <c r="N1307" s="846"/>
      <c r="O1307" s="1517"/>
      <c r="P1307" s="846"/>
      <c r="Q1307" s="1296"/>
      <c r="R1307" s="846"/>
      <c r="S1307" s="846"/>
      <c r="T1307" s="846"/>
    </row>
    <row r="1308" ht="15.0" customHeight="1">
      <c r="A1308" s="1296"/>
      <c r="B1308" s="846"/>
      <c r="C1308" s="1517"/>
      <c r="D1308" s="846"/>
      <c r="E1308" s="846"/>
      <c r="F1308" s="846"/>
      <c r="G1308" s="846"/>
      <c r="H1308" s="846"/>
      <c r="I1308" s="1296"/>
      <c r="J1308" s="846"/>
      <c r="K1308" s="1296"/>
      <c r="L1308" s="846"/>
      <c r="M1308" s="1517"/>
      <c r="N1308" s="846"/>
      <c r="O1308" s="1517"/>
      <c r="P1308" s="846"/>
      <c r="Q1308" s="1296"/>
      <c r="R1308" s="846"/>
      <c r="S1308" s="846"/>
      <c r="T1308" s="846"/>
    </row>
    <row r="1309" ht="15.0" customHeight="1">
      <c r="A1309" s="1296"/>
      <c r="B1309" s="846"/>
      <c r="C1309" s="1517"/>
      <c r="D1309" s="846"/>
      <c r="E1309" s="846"/>
      <c r="F1309" s="846"/>
      <c r="G1309" s="846"/>
      <c r="H1309" s="846"/>
      <c r="I1309" s="1296"/>
      <c r="J1309" s="846"/>
      <c r="K1309" s="1296"/>
      <c r="L1309" s="846"/>
      <c r="M1309" s="1517"/>
      <c r="N1309" s="846"/>
      <c r="O1309" s="1517"/>
      <c r="P1309" s="846"/>
      <c r="Q1309" s="1296"/>
      <c r="R1309" s="846"/>
      <c r="S1309" s="846"/>
      <c r="T1309" s="846"/>
    </row>
    <row r="1310" ht="15.0" customHeight="1">
      <c r="A1310" s="1296"/>
      <c r="B1310" s="846"/>
      <c r="C1310" s="1517"/>
      <c r="D1310" s="846"/>
      <c r="E1310" s="846"/>
      <c r="F1310" s="846"/>
      <c r="G1310" s="846"/>
      <c r="H1310" s="846"/>
      <c r="I1310" s="1296"/>
      <c r="J1310" s="846"/>
      <c r="K1310" s="1296"/>
      <c r="L1310" s="846"/>
      <c r="M1310" s="1517"/>
      <c r="N1310" s="846"/>
      <c r="O1310" s="1517"/>
      <c r="P1310" s="846"/>
      <c r="Q1310" s="1296"/>
      <c r="R1310" s="846"/>
      <c r="S1310" s="846"/>
      <c r="T1310" s="846"/>
    </row>
    <row r="1311" ht="15.0" customHeight="1">
      <c r="A1311" s="1296"/>
      <c r="B1311" s="846"/>
      <c r="C1311" s="1517"/>
      <c r="D1311" s="846"/>
      <c r="E1311" s="846"/>
      <c r="F1311" s="846"/>
      <c r="G1311" s="846"/>
      <c r="H1311" s="846"/>
      <c r="I1311" s="1296"/>
      <c r="J1311" s="846"/>
      <c r="K1311" s="1296"/>
      <c r="L1311" s="846"/>
      <c r="M1311" s="1517"/>
      <c r="N1311" s="846"/>
      <c r="O1311" s="1517"/>
      <c r="P1311" s="846"/>
      <c r="Q1311" s="1296"/>
      <c r="R1311" s="846"/>
      <c r="S1311" s="846"/>
      <c r="T1311" s="846"/>
    </row>
    <row r="1312" ht="15.0" customHeight="1">
      <c r="A1312" s="1296"/>
      <c r="B1312" s="846"/>
      <c r="C1312" s="1517"/>
      <c r="D1312" s="846"/>
      <c r="E1312" s="846"/>
      <c r="F1312" s="846"/>
      <c r="G1312" s="846"/>
      <c r="H1312" s="846"/>
      <c r="I1312" s="1296"/>
      <c r="J1312" s="846"/>
      <c r="K1312" s="1296"/>
      <c r="L1312" s="846"/>
      <c r="M1312" s="1517"/>
      <c r="N1312" s="846"/>
      <c r="O1312" s="1517"/>
      <c r="P1312" s="846"/>
      <c r="Q1312" s="1296"/>
      <c r="R1312" s="846"/>
      <c r="S1312" s="846"/>
      <c r="T1312" s="846"/>
    </row>
    <row r="1313" ht="15.0" customHeight="1">
      <c r="A1313" s="1296"/>
      <c r="B1313" s="846"/>
      <c r="C1313" s="1517"/>
      <c r="D1313" s="846"/>
      <c r="E1313" s="846"/>
      <c r="F1313" s="846"/>
      <c r="G1313" s="846"/>
      <c r="H1313" s="846"/>
      <c r="I1313" s="1296"/>
      <c r="J1313" s="846"/>
      <c r="K1313" s="1296"/>
      <c r="L1313" s="846"/>
      <c r="M1313" s="1517"/>
      <c r="N1313" s="846"/>
      <c r="O1313" s="1517"/>
      <c r="P1313" s="846"/>
      <c r="Q1313" s="1296"/>
      <c r="R1313" s="846"/>
      <c r="S1313" s="846"/>
      <c r="T1313" s="846"/>
    </row>
    <row r="1314" ht="15.0" customHeight="1">
      <c r="A1314" s="1296"/>
      <c r="B1314" s="846"/>
      <c r="C1314" s="1517"/>
      <c r="D1314" s="846"/>
      <c r="E1314" s="846"/>
      <c r="F1314" s="846"/>
      <c r="G1314" s="846"/>
      <c r="H1314" s="846"/>
      <c r="I1314" s="1296"/>
      <c r="J1314" s="846"/>
      <c r="K1314" s="1296"/>
      <c r="L1314" s="846"/>
      <c r="M1314" s="1517"/>
      <c r="N1314" s="846"/>
      <c r="O1314" s="1517"/>
      <c r="P1314" s="846"/>
      <c r="Q1314" s="1296"/>
      <c r="R1314" s="846"/>
      <c r="S1314" s="846"/>
      <c r="T1314" s="846"/>
    </row>
    <row r="1315" ht="15.0" customHeight="1">
      <c r="A1315" s="1296"/>
      <c r="B1315" s="846"/>
      <c r="C1315" s="1517"/>
      <c r="D1315" s="846"/>
      <c r="E1315" s="846"/>
      <c r="F1315" s="846"/>
      <c r="G1315" s="846"/>
      <c r="H1315" s="846"/>
      <c r="I1315" s="1296"/>
      <c r="J1315" s="846"/>
      <c r="K1315" s="1296"/>
      <c r="L1315" s="846"/>
      <c r="M1315" s="1517"/>
      <c r="N1315" s="846"/>
      <c r="O1315" s="1517"/>
      <c r="P1315" s="846"/>
      <c r="Q1315" s="1296"/>
      <c r="R1315" s="846"/>
      <c r="S1315" s="846"/>
      <c r="T1315" s="846"/>
    </row>
    <row r="1316" ht="15.0" customHeight="1">
      <c r="A1316" s="1296"/>
      <c r="B1316" s="846"/>
      <c r="C1316" s="1517"/>
      <c r="D1316" s="846"/>
      <c r="E1316" s="846"/>
      <c r="F1316" s="846"/>
      <c r="G1316" s="846"/>
      <c r="H1316" s="846"/>
      <c r="I1316" s="1296"/>
      <c r="J1316" s="846"/>
      <c r="K1316" s="1296"/>
      <c r="L1316" s="846"/>
      <c r="M1316" s="1517"/>
      <c r="N1316" s="846"/>
      <c r="O1316" s="1517"/>
      <c r="P1316" s="846"/>
      <c r="Q1316" s="1296"/>
      <c r="R1316" s="846"/>
      <c r="S1316" s="846"/>
      <c r="T1316" s="846"/>
    </row>
    <row r="1317" ht="15.0" customHeight="1">
      <c r="A1317" s="1296"/>
      <c r="B1317" s="846"/>
      <c r="C1317" s="1517"/>
      <c r="D1317" s="846"/>
      <c r="E1317" s="846"/>
      <c r="F1317" s="846"/>
      <c r="G1317" s="846"/>
      <c r="H1317" s="846"/>
      <c r="I1317" s="1296"/>
      <c r="J1317" s="846"/>
      <c r="K1317" s="1296"/>
      <c r="L1317" s="846"/>
      <c r="M1317" s="1517"/>
      <c r="N1317" s="846"/>
      <c r="O1317" s="1517"/>
      <c r="P1317" s="846"/>
      <c r="Q1317" s="1296"/>
      <c r="R1317" s="846"/>
      <c r="S1317" s="846"/>
      <c r="T1317" s="846"/>
    </row>
    <row r="1318" ht="15.0" customHeight="1">
      <c r="A1318" s="1296"/>
      <c r="B1318" s="846"/>
      <c r="C1318" s="1517"/>
      <c r="D1318" s="846"/>
      <c r="E1318" s="846"/>
      <c r="F1318" s="846"/>
      <c r="G1318" s="846"/>
      <c r="H1318" s="846"/>
      <c r="I1318" s="1296"/>
      <c r="J1318" s="846"/>
      <c r="K1318" s="1296"/>
      <c r="L1318" s="846"/>
      <c r="M1318" s="1517"/>
      <c r="N1318" s="846"/>
      <c r="O1318" s="1517"/>
      <c r="P1318" s="846"/>
      <c r="Q1318" s="1296"/>
      <c r="R1318" s="846"/>
      <c r="S1318" s="846"/>
      <c r="T1318" s="846"/>
    </row>
    <row r="1319" ht="15.0" customHeight="1">
      <c r="A1319" s="1296"/>
      <c r="B1319" s="846"/>
      <c r="C1319" s="1517"/>
      <c r="D1319" s="846"/>
      <c r="E1319" s="846"/>
      <c r="F1319" s="846"/>
      <c r="G1319" s="846"/>
      <c r="H1319" s="846"/>
      <c r="I1319" s="1296"/>
      <c r="J1319" s="846"/>
      <c r="K1319" s="1296"/>
      <c r="L1319" s="846"/>
      <c r="M1319" s="1517"/>
      <c r="N1319" s="846"/>
      <c r="O1319" s="1517"/>
      <c r="P1319" s="846"/>
      <c r="Q1319" s="1296"/>
      <c r="R1319" s="846"/>
      <c r="S1319" s="846"/>
      <c r="T1319" s="846"/>
    </row>
    <row r="1320" ht="15.0" customHeight="1">
      <c r="A1320" s="1296"/>
      <c r="B1320" s="846"/>
      <c r="C1320" s="1517"/>
      <c r="D1320" s="846"/>
      <c r="E1320" s="846"/>
      <c r="F1320" s="846"/>
      <c r="G1320" s="846"/>
      <c r="H1320" s="846"/>
      <c r="I1320" s="1296"/>
      <c r="J1320" s="846"/>
      <c r="K1320" s="1296"/>
      <c r="L1320" s="846"/>
      <c r="M1320" s="1517"/>
      <c r="N1320" s="846"/>
      <c r="O1320" s="1517"/>
      <c r="P1320" s="846"/>
      <c r="Q1320" s="1296"/>
      <c r="R1320" s="846"/>
      <c r="S1320" s="846"/>
      <c r="T1320" s="846"/>
    </row>
    <row r="1321" ht="15.0" customHeight="1">
      <c r="A1321" s="1296"/>
      <c r="B1321" s="846"/>
      <c r="C1321" s="1517"/>
      <c r="D1321" s="846"/>
      <c r="E1321" s="846"/>
      <c r="F1321" s="846"/>
      <c r="G1321" s="846"/>
      <c r="H1321" s="846"/>
      <c r="I1321" s="1296"/>
      <c r="J1321" s="846"/>
      <c r="K1321" s="1296"/>
      <c r="L1321" s="846"/>
      <c r="M1321" s="1517"/>
      <c r="N1321" s="846"/>
      <c r="O1321" s="1517"/>
      <c r="P1321" s="846"/>
      <c r="Q1321" s="1296"/>
      <c r="R1321" s="846"/>
      <c r="S1321" s="846"/>
      <c r="T1321" s="846"/>
    </row>
    <row r="1322" ht="15.0" customHeight="1">
      <c r="A1322" s="1296"/>
      <c r="B1322" s="846"/>
      <c r="C1322" s="1517"/>
      <c r="D1322" s="846"/>
      <c r="E1322" s="846"/>
      <c r="F1322" s="846"/>
      <c r="G1322" s="846"/>
      <c r="H1322" s="846"/>
      <c r="I1322" s="1296"/>
      <c r="J1322" s="846"/>
      <c r="K1322" s="1296"/>
      <c r="L1322" s="846"/>
      <c r="M1322" s="1517"/>
      <c r="N1322" s="846"/>
      <c r="O1322" s="1517"/>
      <c r="P1322" s="846"/>
      <c r="Q1322" s="1296"/>
      <c r="R1322" s="846"/>
      <c r="S1322" s="846"/>
      <c r="T1322" s="846"/>
    </row>
    <row r="1323" ht="15.0" customHeight="1">
      <c r="A1323" s="1296"/>
      <c r="B1323" s="846"/>
      <c r="C1323" s="1517"/>
      <c r="D1323" s="846"/>
      <c r="E1323" s="846"/>
      <c r="F1323" s="846"/>
      <c r="G1323" s="846"/>
      <c r="H1323" s="846"/>
      <c r="I1323" s="1296"/>
      <c r="J1323" s="846"/>
      <c r="K1323" s="1296"/>
      <c r="L1323" s="846"/>
      <c r="M1323" s="1517"/>
      <c r="N1323" s="846"/>
      <c r="O1323" s="1517"/>
      <c r="P1323" s="846"/>
      <c r="Q1323" s="1296"/>
      <c r="R1323" s="846"/>
      <c r="S1323" s="846"/>
      <c r="T1323" s="846"/>
    </row>
    <row r="1324" ht="15.0" customHeight="1">
      <c r="A1324" s="1296"/>
      <c r="B1324" s="846"/>
      <c r="C1324" s="1517"/>
      <c r="D1324" s="846"/>
      <c r="E1324" s="846"/>
      <c r="F1324" s="846"/>
      <c r="G1324" s="846"/>
      <c r="H1324" s="846"/>
      <c r="I1324" s="1296"/>
      <c r="J1324" s="846"/>
      <c r="K1324" s="1296"/>
      <c r="L1324" s="846"/>
      <c r="M1324" s="1517"/>
      <c r="N1324" s="846"/>
      <c r="O1324" s="1517"/>
      <c r="P1324" s="846"/>
      <c r="Q1324" s="1296"/>
      <c r="R1324" s="846"/>
      <c r="S1324" s="846"/>
      <c r="T1324" s="846"/>
    </row>
    <row r="1325" ht="15.0" customHeight="1">
      <c r="A1325" s="1296"/>
      <c r="B1325" s="846"/>
      <c r="C1325" s="1517"/>
      <c r="D1325" s="846"/>
      <c r="E1325" s="846"/>
      <c r="F1325" s="846"/>
      <c r="G1325" s="846"/>
      <c r="H1325" s="846"/>
      <c r="I1325" s="1296"/>
      <c r="J1325" s="846"/>
      <c r="K1325" s="1296"/>
      <c r="L1325" s="846"/>
      <c r="M1325" s="1517"/>
      <c r="N1325" s="846"/>
      <c r="O1325" s="1517"/>
      <c r="P1325" s="846"/>
      <c r="Q1325" s="1296"/>
      <c r="R1325" s="846"/>
      <c r="S1325" s="846"/>
      <c r="T1325" s="846"/>
    </row>
    <row r="1326" ht="15.0" customHeight="1">
      <c r="A1326" s="1296"/>
      <c r="B1326" s="846"/>
      <c r="C1326" s="1517"/>
      <c r="D1326" s="846"/>
      <c r="E1326" s="846"/>
      <c r="F1326" s="846"/>
      <c r="G1326" s="846"/>
      <c r="H1326" s="846"/>
      <c r="I1326" s="1296"/>
      <c r="J1326" s="846"/>
      <c r="K1326" s="1296"/>
      <c r="L1326" s="846"/>
      <c r="M1326" s="1517"/>
      <c r="N1326" s="846"/>
      <c r="O1326" s="1517"/>
      <c r="P1326" s="846"/>
      <c r="Q1326" s="1296"/>
      <c r="R1326" s="846"/>
      <c r="S1326" s="846"/>
      <c r="T1326" s="846"/>
    </row>
    <row r="1327" ht="15.0" customHeight="1">
      <c r="A1327" s="1296"/>
      <c r="B1327" s="846"/>
      <c r="C1327" s="1517"/>
      <c r="D1327" s="846"/>
      <c r="E1327" s="846"/>
      <c r="F1327" s="846"/>
      <c r="G1327" s="846"/>
      <c r="H1327" s="846"/>
      <c r="I1327" s="1296"/>
      <c r="J1327" s="846"/>
      <c r="K1327" s="1296"/>
      <c r="L1327" s="846"/>
      <c r="M1327" s="1517"/>
      <c r="N1327" s="846"/>
      <c r="O1327" s="1517"/>
      <c r="P1327" s="846"/>
      <c r="Q1327" s="1296"/>
      <c r="R1327" s="846"/>
      <c r="S1327" s="846"/>
      <c r="T1327" s="846"/>
    </row>
    <row r="1328" ht="15.0" customHeight="1">
      <c r="A1328" s="1296"/>
      <c r="B1328" s="846"/>
      <c r="C1328" s="1517"/>
      <c r="D1328" s="846"/>
      <c r="E1328" s="846"/>
      <c r="F1328" s="846"/>
      <c r="G1328" s="846"/>
      <c r="H1328" s="846"/>
      <c r="I1328" s="1296"/>
      <c r="J1328" s="846"/>
      <c r="K1328" s="1296"/>
      <c r="L1328" s="846"/>
      <c r="M1328" s="1517"/>
      <c r="N1328" s="846"/>
      <c r="O1328" s="1517"/>
      <c r="P1328" s="846"/>
      <c r="Q1328" s="1296"/>
      <c r="R1328" s="846"/>
      <c r="S1328" s="846"/>
      <c r="T1328" s="846"/>
    </row>
    <row r="1329" ht="15.0" customHeight="1">
      <c r="A1329" s="1296"/>
      <c r="B1329" s="846"/>
      <c r="C1329" s="1517"/>
      <c r="D1329" s="846"/>
      <c r="E1329" s="846"/>
      <c r="F1329" s="846"/>
      <c r="G1329" s="846"/>
      <c r="H1329" s="846"/>
      <c r="I1329" s="1296"/>
      <c r="J1329" s="846"/>
      <c r="K1329" s="1296"/>
      <c r="L1329" s="846"/>
      <c r="M1329" s="1517"/>
      <c r="N1329" s="846"/>
      <c r="O1329" s="1517"/>
      <c r="P1329" s="846"/>
      <c r="Q1329" s="1296"/>
      <c r="R1329" s="846"/>
      <c r="S1329" s="846"/>
      <c r="T1329" s="846"/>
    </row>
    <row r="1330" ht="15.0" customHeight="1">
      <c r="A1330" s="1296"/>
      <c r="B1330" s="846"/>
      <c r="C1330" s="1517"/>
      <c r="D1330" s="846"/>
      <c r="E1330" s="846"/>
      <c r="F1330" s="846"/>
      <c r="G1330" s="846"/>
      <c r="H1330" s="846"/>
      <c r="I1330" s="1296"/>
      <c r="J1330" s="846"/>
      <c r="K1330" s="1296"/>
      <c r="L1330" s="846"/>
      <c r="M1330" s="1517"/>
      <c r="N1330" s="846"/>
      <c r="O1330" s="1517"/>
      <c r="P1330" s="846"/>
      <c r="Q1330" s="1296"/>
      <c r="R1330" s="846"/>
      <c r="S1330" s="846"/>
      <c r="T1330" s="846"/>
    </row>
    <row r="1331" ht="15.0" customHeight="1">
      <c r="A1331" s="1296"/>
      <c r="B1331" s="846"/>
      <c r="C1331" s="1517"/>
      <c r="D1331" s="846"/>
      <c r="E1331" s="846"/>
      <c r="F1331" s="846"/>
      <c r="G1331" s="846"/>
      <c r="H1331" s="846"/>
      <c r="I1331" s="1296"/>
      <c r="J1331" s="846"/>
      <c r="K1331" s="1296"/>
      <c r="L1331" s="846"/>
      <c r="M1331" s="1517"/>
      <c r="N1331" s="846"/>
      <c r="O1331" s="1517"/>
      <c r="P1331" s="846"/>
      <c r="Q1331" s="1296"/>
      <c r="R1331" s="846"/>
      <c r="S1331" s="846"/>
      <c r="T1331" s="846"/>
    </row>
    <row r="1332" ht="15.0" customHeight="1">
      <c r="A1332" s="1296"/>
      <c r="B1332" s="846"/>
      <c r="C1332" s="1517"/>
      <c r="D1332" s="846"/>
      <c r="E1332" s="846"/>
      <c r="F1332" s="846"/>
      <c r="G1332" s="846"/>
      <c r="H1332" s="846"/>
      <c r="I1332" s="1296"/>
      <c r="J1332" s="846"/>
      <c r="K1332" s="1296"/>
      <c r="L1332" s="846"/>
      <c r="M1332" s="1517"/>
      <c r="N1332" s="846"/>
      <c r="O1332" s="1517"/>
      <c r="P1332" s="846"/>
      <c r="Q1332" s="1296"/>
      <c r="R1332" s="846"/>
      <c r="S1332" s="846"/>
      <c r="T1332" s="846"/>
    </row>
    <row r="1333" ht="15.0" customHeight="1">
      <c r="A1333" s="1296"/>
      <c r="B1333" s="846"/>
      <c r="C1333" s="1517"/>
      <c r="D1333" s="846"/>
      <c r="E1333" s="846"/>
      <c r="F1333" s="846"/>
      <c r="G1333" s="846"/>
      <c r="H1333" s="846"/>
      <c r="I1333" s="1296"/>
      <c r="J1333" s="846"/>
      <c r="K1333" s="1296"/>
      <c r="L1333" s="846"/>
      <c r="M1333" s="1517"/>
      <c r="N1333" s="846"/>
      <c r="O1333" s="1517"/>
      <c r="P1333" s="846"/>
      <c r="Q1333" s="1296"/>
      <c r="R1333" s="846"/>
      <c r="S1333" s="846"/>
      <c r="T1333" s="846"/>
    </row>
    <row r="1334" ht="15.0" customHeight="1">
      <c r="A1334" s="1296"/>
      <c r="B1334" s="846"/>
      <c r="C1334" s="1517"/>
      <c r="D1334" s="846"/>
      <c r="E1334" s="846"/>
      <c r="F1334" s="846"/>
      <c r="G1334" s="846"/>
      <c r="H1334" s="846"/>
      <c r="I1334" s="1296"/>
      <c r="J1334" s="846"/>
      <c r="K1334" s="1296"/>
      <c r="L1334" s="846"/>
      <c r="M1334" s="1517"/>
      <c r="N1334" s="846"/>
      <c r="O1334" s="1517"/>
      <c r="P1334" s="846"/>
      <c r="Q1334" s="1296"/>
      <c r="R1334" s="846"/>
      <c r="S1334" s="846"/>
      <c r="T1334" s="846"/>
    </row>
    <row r="1335" ht="15.0" customHeight="1">
      <c r="A1335" s="1296"/>
      <c r="B1335" s="846"/>
      <c r="C1335" s="1517"/>
      <c r="D1335" s="846"/>
      <c r="E1335" s="846"/>
      <c r="F1335" s="846"/>
      <c r="G1335" s="846"/>
      <c r="H1335" s="846"/>
      <c r="I1335" s="1296"/>
      <c r="J1335" s="846"/>
      <c r="K1335" s="1296"/>
      <c r="L1335" s="846"/>
      <c r="M1335" s="1517"/>
      <c r="N1335" s="846"/>
      <c r="O1335" s="1517"/>
      <c r="P1335" s="846"/>
      <c r="Q1335" s="1296"/>
      <c r="R1335" s="846"/>
      <c r="S1335" s="846"/>
      <c r="T1335" s="846"/>
    </row>
    <row r="1336" ht="15.0" customHeight="1">
      <c r="A1336" s="1296"/>
      <c r="B1336" s="846"/>
      <c r="C1336" s="1517"/>
      <c r="D1336" s="846"/>
      <c r="E1336" s="846"/>
      <c r="F1336" s="846"/>
      <c r="G1336" s="846"/>
      <c r="H1336" s="846"/>
      <c r="I1336" s="1296"/>
      <c r="J1336" s="846"/>
      <c r="K1336" s="1296"/>
      <c r="L1336" s="846"/>
      <c r="M1336" s="1517"/>
      <c r="N1336" s="846"/>
      <c r="O1336" s="1517"/>
      <c r="P1336" s="846"/>
      <c r="Q1336" s="1296"/>
      <c r="R1336" s="846"/>
      <c r="S1336" s="846"/>
      <c r="T1336" s="846"/>
    </row>
    <row r="1337" ht="15.0" customHeight="1">
      <c r="A1337" s="1296"/>
      <c r="B1337" s="846"/>
      <c r="C1337" s="1517"/>
      <c r="D1337" s="846"/>
      <c r="E1337" s="846"/>
      <c r="F1337" s="846"/>
      <c r="G1337" s="846"/>
      <c r="H1337" s="846"/>
      <c r="I1337" s="1296"/>
      <c r="J1337" s="846"/>
      <c r="K1337" s="1296"/>
      <c r="L1337" s="846"/>
      <c r="M1337" s="1517"/>
      <c r="N1337" s="846"/>
      <c r="O1337" s="1517"/>
      <c r="P1337" s="846"/>
      <c r="Q1337" s="1296"/>
      <c r="R1337" s="846"/>
      <c r="S1337" s="846"/>
      <c r="T1337" s="846"/>
    </row>
    <row r="1338" ht="15.0" customHeight="1">
      <c r="A1338" s="1296"/>
      <c r="B1338" s="846"/>
      <c r="C1338" s="1517"/>
      <c r="D1338" s="846"/>
      <c r="E1338" s="846"/>
      <c r="F1338" s="846"/>
      <c r="G1338" s="846"/>
      <c r="H1338" s="846"/>
      <c r="I1338" s="1296"/>
      <c r="J1338" s="846"/>
      <c r="K1338" s="1296"/>
      <c r="L1338" s="846"/>
      <c r="M1338" s="1517"/>
      <c r="N1338" s="846"/>
      <c r="O1338" s="1517"/>
      <c r="P1338" s="846"/>
      <c r="Q1338" s="1296"/>
      <c r="R1338" s="846"/>
      <c r="S1338" s="846"/>
      <c r="T1338" s="846"/>
    </row>
    <row r="1339" ht="15.0" customHeight="1">
      <c r="A1339" s="1296"/>
      <c r="B1339" s="846"/>
      <c r="C1339" s="1517"/>
      <c r="D1339" s="846"/>
      <c r="E1339" s="846"/>
      <c r="F1339" s="846"/>
      <c r="G1339" s="846"/>
      <c r="H1339" s="846"/>
      <c r="I1339" s="1296"/>
      <c r="J1339" s="846"/>
      <c r="K1339" s="1296"/>
      <c r="L1339" s="846"/>
      <c r="M1339" s="1517"/>
      <c r="N1339" s="846"/>
      <c r="O1339" s="1517"/>
      <c r="P1339" s="846"/>
      <c r="Q1339" s="1296"/>
      <c r="R1339" s="846"/>
      <c r="S1339" s="846"/>
      <c r="T1339" s="846"/>
    </row>
    <row r="1340" ht="15.0" customHeight="1">
      <c r="A1340" s="1296"/>
      <c r="B1340" s="846"/>
      <c r="C1340" s="1517"/>
      <c r="D1340" s="846"/>
      <c r="E1340" s="846"/>
      <c r="F1340" s="846"/>
      <c r="G1340" s="846"/>
      <c r="H1340" s="846"/>
      <c r="I1340" s="1296"/>
      <c r="J1340" s="846"/>
      <c r="K1340" s="1296"/>
      <c r="L1340" s="846"/>
      <c r="M1340" s="1517"/>
      <c r="N1340" s="846"/>
      <c r="O1340" s="1517"/>
      <c r="P1340" s="846"/>
      <c r="Q1340" s="1296"/>
      <c r="R1340" s="846"/>
      <c r="S1340" s="846"/>
      <c r="T1340" s="846"/>
    </row>
    <row r="1341" ht="15.0" customHeight="1">
      <c r="A1341" s="1296"/>
      <c r="B1341" s="846"/>
      <c r="C1341" s="1517"/>
      <c r="D1341" s="846"/>
      <c r="E1341" s="846"/>
      <c r="F1341" s="846"/>
      <c r="G1341" s="846"/>
      <c r="H1341" s="846"/>
      <c r="I1341" s="1296"/>
      <c r="J1341" s="846"/>
      <c r="K1341" s="1296"/>
      <c r="L1341" s="846"/>
      <c r="M1341" s="1517"/>
      <c r="N1341" s="846"/>
      <c r="O1341" s="1517"/>
      <c r="P1341" s="846"/>
      <c r="Q1341" s="1296"/>
      <c r="R1341" s="846"/>
      <c r="S1341" s="846"/>
      <c r="T1341" s="846"/>
    </row>
    <row r="1342" ht="15.0" customHeight="1">
      <c r="A1342" s="1296"/>
      <c r="B1342" s="846"/>
      <c r="C1342" s="1517"/>
      <c r="D1342" s="846"/>
      <c r="E1342" s="846"/>
      <c r="F1342" s="846"/>
      <c r="G1342" s="846"/>
      <c r="H1342" s="846"/>
      <c r="I1342" s="1296"/>
      <c r="J1342" s="846"/>
      <c r="K1342" s="1296"/>
      <c r="L1342" s="846"/>
      <c r="M1342" s="1517"/>
      <c r="N1342" s="846"/>
      <c r="O1342" s="1517"/>
      <c r="P1342" s="846"/>
      <c r="Q1342" s="1296"/>
      <c r="R1342" s="846"/>
      <c r="S1342" s="846"/>
      <c r="T1342" s="846"/>
    </row>
    <row r="1343" ht="15.0" customHeight="1">
      <c r="A1343" s="1296"/>
      <c r="B1343" s="846"/>
      <c r="C1343" s="1517"/>
      <c r="D1343" s="846"/>
      <c r="E1343" s="846"/>
      <c r="F1343" s="846"/>
      <c r="G1343" s="846"/>
      <c r="H1343" s="846"/>
      <c r="I1343" s="1296"/>
      <c r="J1343" s="846"/>
      <c r="K1343" s="1296"/>
      <c r="L1343" s="846"/>
      <c r="M1343" s="1517"/>
      <c r="N1343" s="846"/>
      <c r="O1343" s="1517"/>
      <c r="P1343" s="846"/>
      <c r="Q1343" s="1296"/>
      <c r="R1343" s="846"/>
      <c r="S1343" s="846"/>
      <c r="T1343" s="846"/>
    </row>
    <row r="1344" ht="15.0" customHeight="1">
      <c r="A1344" s="1296"/>
      <c r="B1344" s="846"/>
      <c r="C1344" s="1517"/>
      <c r="D1344" s="846"/>
      <c r="E1344" s="846"/>
      <c r="F1344" s="846"/>
      <c r="G1344" s="846"/>
      <c r="H1344" s="846"/>
      <c r="I1344" s="1296"/>
      <c r="J1344" s="846"/>
      <c r="K1344" s="1296"/>
      <c r="L1344" s="846"/>
      <c r="M1344" s="1517"/>
      <c r="N1344" s="846"/>
      <c r="O1344" s="1517"/>
      <c r="P1344" s="846"/>
      <c r="Q1344" s="1296"/>
      <c r="R1344" s="846"/>
      <c r="S1344" s="846"/>
      <c r="T1344" s="846"/>
    </row>
    <row r="1345" ht="15.0" customHeight="1">
      <c r="A1345" s="1296"/>
      <c r="B1345" s="846"/>
      <c r="C1345" s="1517"/>
      <c r="D1345" s="846"/>
      <c r="E1345" s="846"/>
      <c r="F1345" s="846"/>
      <c r="G1345" s="846"/>
      <c r="H1345" s="846"/>
      <c r="I1345" s="1296"/>
      <c r="J1345" s="846"/>
      <c r="K1345" s="1296"/>
      <c r="L1345" s="846"/>
      <c r="M1345" s="1517"/>
      <c r="N1345" s="846"/>
      <c r="O1345" s="1517"/>
      <c r="P1345" s="846"/>
      <c r="Q1345" s="1296"/>
      <c r="R1345" s="846"/>
      <c r="S1345" s="846"/>
      <c r="T1345" s="846"/>
    </row>
    <row r="1346" ht="15.0" customHeight="1">
      <c r="A1346" s="1296"/>
      <c r="B1346" s="846"/>
      <c r="C1346" s="1517"/>
      <c r="D1346" s="846"/>
      <c r="E1346" s="846"/>
      <c r="F1346" s="846"/>
      <c r="G1346" s="846"/>
      <c r="H1346" s="846"/>
      <c r="I1346" s="1296"/>
      <c r="J1346" s="846"/>
      <c r="K1346" s="1296"/>
      <c r="L1346" s="846"/>
      <c r="M1346" s="1517"/>
      <c r="N1346" s="846"/>
      <c r="O1346" s="1517"/>
      <c r="P1346" s="846"/>
      <c r="Q1346" s="1296"/>
      <c r="R1346" s="846"/>
      <c r="S1346" s="846"/>
      <c r="T1346" s="846"/>
    </row>
    <row r="1347" ht="15.0" customHeight="1">
      <c r="A1347" s="1296"/>
      <c r="B1347" s="846"/>
      <c r="C1347" s="1517"/>
      <c r="D1347" s="846"/>
      <c r="E1347" s="846"/>
      <c r="F1347" s="846"/>
      <c r="G1347" s="846"/>
      <c r="H1347" s="846"/>
      <c r="I1347" s="1296"/>
      <c r="J1347" s="846"/>
      <c r="K1347" s="1296"/>
      <c r="L1347" s="846"/>
      <c r="M1347" s="1517"/>
      <c r="N1347" s="846"/>
      <c r="O1347" s="1517"/>
      <c r="P1347" s="846"/>
      <c r="Q1347" s="1296"/>
      <c r="R1347" s="846"/>
      <c r="S1347" s="846"/>
      <c r="T1347" s="846"/>
    </row>
    <row r="1348" ht="15.0" customHeight="1">
      <c r="A1348" s="1296"/>
      <c r="B1348" s="846"/>
      <c r="C1348" s="1517"/>
      <c r="D1348" s="846"/>
      <c r="E1348" s="846"/>
      <c r="F1348" s="846"/>
      <c r="G1348" s="846"/>
      <c r="H1348" s="846"/>
      <c r="I1348" s="1296"/>
      <c r="J1348" s="846"/>
      <c r="K1348" s="1296"/>
      <c r="L1348" s="846"/>
      <c r="M1348" s="1517"/>
      <c r="N1348" s="846"/>
      <c r="O1348" s="1517"/>
      <c r="P1348" s="846"/>
      <c r="Q1348" s="1296"/>
      <c r="R1348" s="846"/>
      <c r="S1348" s="846"/>
      <c r="T1348" s="846"/>
    </row>
    <row r="1349" ht="15.0" customHeight="1">
      <c r="A1349" s="1296"/>
      <c r="B1349" s="846"/>
      <c r="C1349" s="1517"/>
      <c r="D1349" s="846"/>
      <c r="E1349" s="846"/>
      <c r="F1349" s="846"/>
      <c r="G1349" s="846"/>
      <c r="H1349" s="846"/>
      <c r="I1349" s="1296"/>
      <c r="J1349" s="846"/>
      <c r="K1349" s="1296"/>
      <c r="L1349" s="846"/>
      <c r="M1349" s="1517"/>
      <c r="N1349" s="846"/>
      <c r="O1349" s="1517"/>
      <c r="P1349" s="846"/>
      <c r="Q1349" s="1296"/>
      <c r="R1349" s="846"/>
      <c r="S1349" s="846"/>
      <c r="T1349" s="846"/>
    </row>
    <row r="1350" ht="15.0" customHeight="1">
      <c r="A1350" s="1296"/>
      <c r="B1350" s="846"/>
      <c r="C1350" s="1517"/>
      <c r="D1350" s="846"/>
      <c r="E1350" s="846"/>
      <c r="F1350" s="846"/>
      <c r="G1350" s="846"/>
      <c r="H1350" s="846"/>
      <c r="I1350" s="1296"/>
      <c r="J1350" s="846"/>
      <c r="K1350" s="1296"/>
      <c r="L1350" s="846"/>
      <c r="M1350" s="1517"/>
      <c r="N1350" s="846"/>
      <c r="O1350" s="1517"/>
      <c r="P1350" s="846"/>
      <c r="Q1350" s="1296"/>
      <c r="R1350" s="846"/>
      <c r="S1350" s="846"/>
      <c r="T1350" s="846"/>
    </row>
    <row r="1351" ht="15.0" customHeight="1">
      <c r="A1351" s="1296"/>
      <c r="B1351" s="846"/>
      <c r="C1351" s="1517"/>
      <c r="D1351" s="846"/>
      <c r="E1351" s="846"/>
      <c r="F1351" s="846"/>
      <c r="G1351" s="846"/>
      <c r="H1351" s="846"/>
      <c r="I1351" s="1296"/>
      <c r="J1351" s="846"/>
      <c r="K1351" s="1296"/>
      <c r="L1351" s="846"/>
      <c r="M1351" s="1517"/>
      <c r="N1351" s="846"/>
      <c r="O1351" s="1517"/>
      <c r="P1351" s="846"/>
      <c r="Q1351" s="1296"/>
      <c r="R1351" s="846"/>
      <c r="S1351" s="846"/>
      <c r="T1351" s="846"/>
    </row>
    <row r="1352" ht="15.0" customHeight="1">
      <c r="A1352" s="1296"/>
      <c r="B1352" s="846"/>
      <c r="C1352" s="1517"/>
      <c r="D1352" s="846"/>
      <c r="E1352" s="846"/>
      <c r="F1352" s="846"/>
      <c r="G1352" s="846"/>
      <c r="H1352" s="846"/>
      <c r="I1352" s="1296"/>
      <c r="J1352" s="846"/>
      <c r="K1352" s="1296"/>
      <c r="L1352" s="846"/>
      <c r="M1352" s="1517"/>
      <c r="N1352" s="846"/>
      <c r="O1352" s="1517"/>
      <c r="P1352" s="846"/>
      <c r="Q1352" s="1296"/>
      <c r="R1352" s="846"/>
      <c r="S1352" s="846"/>
      <c r="T1352" s="846"/>
    </row>
    <row r="1353" ht="15.0" customHeight="1">
      <c r="A1353" s="1296"/>
      <c r="B1353" s="846"/>
      <c r="C1353" s="1517"/>
      <c r="D1353" s="846"/>
      <c r="E1353" s="846"/>
      <c r="F1353" s="846"/>
      <c r="G1353" s="846"/>
      <c r="H1353" s="846"/>
      <c r="I1353" s="1296"/>
      <c r="J1353" s="846"/>
      <c r="K1353" s="1296"/>
      <c r="L1353" s="846"/>
      <c r="M1353" s="1517"/>
      <c r="N1353" s="846"/>
      <c r="O1353" s="1517"/>
      <c r="P1353" s="846"/>
      <c r="Q1353" s="1296"/>
      <c r="R1353" s="846"/>
      <c r="S1353" s="846"/>
      <c r="T1353" s="846"/>
    </row>
    <row r="1354" ht="15.0" customHeight="1">
      <c r="A1354" s="1296"/>
      <c r="B1354" s="846"/>
      <c r="C1354" s="1517"/>
      <c r="D1354" s="846"/>
      <c r="E1354" s="846"/>
      <c r="F1354" s="846"/>
      <c r="G1354" s="846"/>
      <c r="H1354" s="846"/>
      <c r="I1354" s="1296"/>
      <c r="J1354" s="846"/>
      <c r="K1354" s="1296"/>
      <c r="L1354" s="846"/>
      <c r="M1354" s="1517"/>
      <c r="N1354" s="846"/>
      <c r="O1354" s="1517"/>
      <c r="P1354" s="846"/>
      <c r="Q1354" s="1296"/>
      <c r="R1354" s="846"/>
      <c r="S1354" s="846"/>
      <c r="T1354" s="846"/>
    </row>
    <row r="1355" ht="15.0" customHeight="1">
      <c r="A1355" s="1296"/>
      <c r="B1355" s="846"/>
      <c r="C1355" s="1517"/>
      <c r="D1355" s="846"/>
      <c r="E1355" s="846"/>
      <c r="F1355" s="846"/>
      <c r="G1355" s="846"/>
      <c r="H1355" s="846"/>
      <c r="I1355" s="1296"/>
      <c r="J1355" s="846"/>
      <c r="K1355" s="1296"/>
      <c r="L1355" s="846"/>
      <c r="M1355" s="1517"/>
      <c r="N1355" s="846"/>
      <c r="O1355" s="1517"/>
      <c r="P1355" s="846"/>
      <c r="Q1355" s="1296"/>
      <c r="R1355" s="846"/>
      <c r="S1355" s="846"/>
      <c r="T1355" s="846"/>
    </row>
    <row r="1356" ht="15.0" customHeight="1">
      <c r="A1356" s="1296"/>
      <c r="B1356" s="846"/>
      <c r="C1356" s="1517"/>
      <c r="D1356" s="846"/>
      <c r="E1356" s="846"/>
      <c r="F1356" s="846"/>
      <c r="G1356" s="846"/>
      <c r="H1356" s="846"/>
      <c r="I1356" s="1296"/>
      <c r="J1356" s="846"/>
      <c r="K1356" s="1296"/>
      <c r="L1356" s="846"/>
      <c r="M1356" s="1517"/>
      <c r="N1356" s="846"/>
      <c r="O1356" s="1517"/>
      <c r="P1356" s="846"/>
      <c r="Q1356" s="1296"/>
      <c r="R1356" s="846"/>
      <c r="S1356" s="846"/>
      <c r="T1356" s="846"/>
    </row>
    <row r="1357" ht="15.0" customHeight="1">
      <c r="A1357" s="1296"/>
      <c r="B1357" s="846"/>
      <c r="C1357" s="1517"/>
      <c r="D1357" s="846"/>
      <c r="E1357" s="846"/>
      <c r="F1357" s="846"/>
      <c r="G1357" s="846"/>
      <c r="H1357" s="846"/>
      <c r="I1357" s="1296"/>
      <c r="J1357" s="846"/>
      <c r="K1357" s="1296"/>
      <c r="L1357" s="846"/>
      <c r="M1357" s="1517"/>
      <c r="N1357" s="846"/>
      <c r="O1357" s="1517"/>
      <c r="P1357" s="846"/>
      <c r="Q1357" s="1296"/>
      <c r="R1357" s="846"/>
      <c r="S1357" s="846"/>
      <c r="T1357" s="846"/>
    </row>
    <row r="1358" ht="15.0" customHeight="1">
      <c r="A1358" s="1296"/>
      <c r="B1358" s="846"/>
      <c r="C1358" s="1517"/>
      <c r="D1358" s="846"/>
      <c r="E1358" s="846"/>
      <c r="F1358" s="846"/>
      <c r="G1358" s="846"/>
      <c r="H1358" s="846"/>
      <c r="I1358" s="1296"/>
      <c r="J1358" s="846"/>
      <c r="K1358" s="1296"/>
      <c r="L1358" s="846"/>
      <c r="M1358" s="1517"/>
      <c r="N1358" s="846"/>
      <c r="O1358" s="1517"/>
      <c r="P1358" s="846"/>
      <c r="Q1358" s="1296"/>
      <c r="R1358" s="846"/>
      <c r="S1358" s="846"/>
      <c r="T1358" s="846"/>
    </row>
    <row r="1359" ht="15.0" customHeight="1">
      <c r="A1359" s="1296"/>
      <c r="B1359" s="846"/>
      <c r="C1359" s="1517"/>
      <c r="D1359" s="846"/>
      <c r="E1359" s="846"/>
      <c r="F1359" s="846"/>
      <c r="G1359" s="846"/>
      <c r="H1359" s="846"/>
      <c r="I1359" s="1296"/>
      <c r="J1359" s="846"/>
      <c r="K1359" s="1296"/>
      <c r="L1359" s="846"/>
      <c r="M1359" s="1517"/>
      <c r="N1359" s="846"/>
      <c r="O1359" s="1517"/>
      <c r="P1359" s="846"/>
      <c r="Q1359" s="1296"/>
      <c r="R1359" s="846"/>
      <c r="S1359" s="846"/>
      <c r="T1359" s="846"/>
    </row>
    <row r="1360" ht="15.0" customHeight="1">
      <c r="A1360" s="1296"/>
      <c r="B1360" s="846"/>
      <c r="C1360" s="1517"/>
      <c r="D1360" s="846"/>
      <c r="E1360" s="846"/>
      <c r="F1360" s="846"/>
      <c r="G1360" s="846"/>
      <c r="H1360" s="846"/>
      <c r="I1360" s="1296"/>
      <c r="J1360" s="846"/>
      <c r="K1360" s="1296"/>
      <c r="L1360" s="846"/>
      <c r="M1360" s="1517"/>
      <c r="N1360" s="846"/>
      <c r="O1360" s="1517"/>
      <c r="P1360" s="846"/>
      <c r="Q1360" s="1296"/>
      <c r="R1360" s="846"/>
      <c r="S1360" s="846"/>
      <c r="T1360" s="846"/>
    </row>
    <row r="1361" ht="15.0" customHeight="1">
      <c r="A1361" s="1296"/>
      <c r="B1361" s="846"/>
      <c r="C1361" s="1517"/>
      <c r="D1361" s="846"/>
      <c r="E1361" s="846"/>
      <c r="F1361" s="846"/>
      <c r="G1361" s="846"/>
      <c r="H1361" s="846"/>
      <c r="I1361" s="1296"/>
      <c r="J1361" s="846"/>
      <c r="K1361" s="1296"/>
      <c r="L1361" s="846"/>
      <c r="M1361" s="1517"/>
      <c r="N1361" s="846"/>
      <c r="O1361" s="1517"/>
      <c r="P1361" s="846"/>
      <c r="Q1361" s="1296"/>
      <c r="R1361" s="846"/>
      <c r="S1361" s="846"/>
      <c r="T1361" s="846"/>
    </row>
    <row r="1362" ht="15.0" customHeight="1">
      <c r="A1362" s="1296"/>
      <c r="B1362" s="846"/>
      <c r="C1362" s="1517"/>
      <c r="D1362" s="846"/>
      <c r="E1362" s="846"/>
      <c r="F1362" s="846"/>
      <c r="G1362" s="846"/>
      <c r="H1362" s="846"/>
      <c r="I1362" s="1296"/>
      <c r="J1362" s="846"/>
      <c r="K1362" s="1296"/>
      <c r="L1362" s="846"/>
      <c r="M1362" s="1517"/>
      <c r="N1362" s="846"/>
      <c r="O1362" s="1517"/>
      <c r="P1362" s="846"/>
      <c r="Q1362" s="1296"/>
      <c r="R1362" s="846"/>
      <c r="S1362" s="846"/>
      <c r="T1362" s="846"/>
    </row>
    <row r="1363" ht="15.0" customHeight="1">
      <c r="A1363" s="1296"/>
      <c r="B1363" s="846"/>
      <c r="C1363" s="1517"/>
      <c r="D1363" s="846"/>
      <c r="E1363" s="846"/>
      <c r="F1363" s="846"/>
      <c r="G1363" s="846"/>
      <c r="H1363" s="846"/>
      <c r="I1363" s="1296"/>
      <c r="J1363" s="846"/>
      <c r="K1363" s="1296"/>
      <c r="L1363" s="846"/>
      <c r="M1363" s="1517"/>
      <c r="N1363" s="846"/>
      <c r="O1363" s="1517"/>
      <c r="P1363" s="846"/>
      <c r="Q1363" s="1296"/>
      <c r="R1363" s="846"/>
      <c r="S1363" s="846"/>
      <c r="T1363" s="846"/>
    </row>
    <row r="1364" ht="15.0" customHeight="1">
      <c r="A1364" s="1296"/>
      <c r="B1364" s="846"/>
      <c r="C1364" s="1517"/>
      <c r="D1364" s="846"/>
      <c r="E1364" s="846"/>
      <c r="F1364" s="846"/>
      <c r="G1364" s="846"/>
      <c r="H1364" s="846"/>
      <c r="I1364" s="1296"/>
      <c r="J1364" s="846"/>
      <c r="K1364" s="1296"/>
      <c r="L1364" s="846"/>
      <c r="M1364" s="1517"/>
      <c r="N1364" s="846"/>
      <c r="O1364" s="1517"/>
      <c r="P1364" s="846"/>
      <c r="Q1364" s="1296"/>
      <c r="R1364" s="846"/>
      <c r="S1364" s="846"/>
      <c r="T1364" s="846"/>
    </row>
    <row r="1365" ht="15.0" customHeight="1">
      <c r="A1365" s="1296"/>
      <c r="B1365" s="846"/>
      <c r="C1365" s="1517"/>
      <c r="D1365" s="846"/>
      <c r="E1365" s="846"/>
      <c r="F1365" s="846"/>
      <c r="G1365" s="846"/>
      <c r="H1365" s="846"/>
      <c r="I1365" s="1296"/>
      <c r="J1365" s="846"/>
      <c r="K1365" s="1296"/>
      <c r="L1365" s="846"/>
      <c r="M1365" s="1517"/>
      <c r="N1365" s="846"/>
      <c r="O1365" s="1517"/>
      <c r="P1365" s="846"/>
      <c r="Q1365" s="1296"/>
      <c r="R1365" s="846"/>
      <c r="S1365" s="846"/>
      <c r="T1365" s="846"/>
    </row>
    <row r="1366" ht="15.0" customHeight="1">
      <c r="A1366" s="1296"/>
      <c r="B1366" s="846"/>
      <c r="C1366" s="1517"/>
      <c r="D1366" s="846"/>
      <c r="E1366" s="846"/>
      <c r="F1366" s="846"/>
      <c r="G1366" s="846"/>
      <c r="H1366" s="846"/>
      <c r="I1366" s="1296"/>
      <c r="J1366" s="846"/>
      <c r="K1366" s="1296"/>
      <c r="L1366" s="846"/>
      <c r="M1366" s="1517"/>
      <c r="N1366" s="846"/>
      <c r="O1366" s="1517"/>
      <c r="P1366" s="846"/>
      <c r="Q1366" s="1296"/>
      <c r="R1366" s="846"/>
      <c r="S1366" s="846"/>
      <c r="T1366" s="846"/>
    </row>
    <row r="1367" ht="15.0" customHeight="1">
      <c r="A1367" s="1296"/>
      <c r="B1367" s="846"/>
      <c r="C1367" s="1517"/>
      <c r="D1367" s="846"/>
      <c r="E1367" s="846"/>
      <c r="F1367" s="846"/>
      <c r="G1367" s="846"/>
      <c r="H1367" s="846"/>
      <c r="I1367" s="1296"/>
      <c r="J1367" s="846"/>
      <c r="K1367" s="1296"/>
      <c r="L1367" s="846"/>
      <c r="M1367" s="1517"/>
      <c r="N1367" s="846"/>
      <c r="O1367" s="1517"/>
      <c r="P1367" s="846"/>
      <c r="Q1367" s="1296"/>
      <c r="R1367" s="846"/>
      <c r="S1367" s="846"/>
      <c r="T1367" s="846"/>
    </row>
    <row r="1368" ht="15.0" customHeight="1">
      <c r="A1368" s="1296"/>
      <c r="B1368" s="846"/>
      <c r="C1368" s="1517"/>
      <c r="D1368" s="846"/>
      <c r="E1368" s="846"/>
      <c r="F1368" s="846"/>
      <c r="G1368" s="846"/>
      <c r="H1368" s="846"/>
      <c r="I1368" s="1296"/>
      <c r="J1368" s="846"/>
      <c r="K1368" s="1296"/>
      <c r="L1368" s="846"/>
      <c r="M1368" s="1517"/>
      <c r="N1368" s="846"/>
      <c r="O1368" s="1517"/>
      <c r="P1368" s="846"/>
      <c r="Q1368" s="1296"/>
      <c r="R1368" s="846"/>
      <c r="S1368" s="846"/>
      <c r="T1368" s="846"/>
    </row>
    <row r="1369" ht="15.0" customHeight="1">
      <c r="A1369" s="1296"/>
      <c r="B1369" s="846"/>
      <c r="C1369" s="1517"/>
      <c r="D1369" s="846"/>
      <c r="E1369" s="846"/>
      <c r="F1369" s="846"/>
      <c r="G1369" s="846"/>
      <c r="H1369" s="846"/>
      <c r="I1369" s="1296"/>
      <c r="J1369" s="846"/>
      <c r="K1369" s="1296"/>
      <c r="L1369" s="846"/>
      <c r="M1369" s="1517"/>
      <c r="N1369" s="846"/>
      <c r="O1369" s="1517"/>
      <c r="P1369" s="846"/>
      <c r="Q1369" s="1296"/>
      <c r="R1369" s="846"/>
      <c r="S1369" s="846"/>
      <c r="T1369" s="846"/>
    </row>
    <row r="1370" ht="15.0" customHeight="1">
      <c r="A1370" s="1296"/>
      <c r="B1370" s="846"/>
      <c r="C1370" s="1517"/>
      <c r="D1370" s="846"/>
      <c r="E1370" s="846"/>
      <c r="F1370" s="846"/>
      <c r="G1370" s="846"/>
      <c r="H1370" s="846"/>
      <c r="I1370" s="1296"/>
      <c r="J1370" s="846"/>
      <c r="K1370" s="1296"/>
      <c r="L1370" s="846"/>
      <c r="M1370" s="1517"/>
      <c r="N1370" s="846"/>
      <c r="O1370" s="1517"/>
      <c r="P1370" s="846"/>
      <c r="Q1370" s="1296"/>
      <c r="R1370" s="846"/>
      <c r="S1370" s="846"/>
      <c r="T1370" s="846"/>
    </row>
    <row r="1371" ht="15.0" customHeight="1">
      <c r="A1371" s="1296"/>
      <c r="B1371" s="846"/>
      <c r="C1371" s="1517"/>
      <c r="D1371" s="846"/>
      <c r="E1371" s="846"/>
      <c r="F1371" s="846"/>
      <c r="G1371" s="846"/>
      <c r="H1371" s="846"/>
      <c r="I1371" s="1296"/>
      <c r="J1371" s="846"/>
      <c r="K1371" s="1296"/>
      <c r="L1371" s="846"/>
      <c r="M1371" s="1517"/>
      <c r="N1371" s="846"/>
      <c r="O1371" s="1517"/>
      <c r="P1371" s="846"/>
      <c r="Q1371" s="1296"/>
      <c r="R1371" s="846"/>
      <c r="S1371" s="846"/>
      <c r="T1371" s="846"/>
    </row>
    <row r="1372" ht="15.0" customHeight="1">
      <c r="A1372" s="1296"/>
      <c r="B1372" s="846"/>
      <c r="C1372" s="1517"/>
      <c r="D1372" s="846"/>
      <c r="E1372" s="846"/>
      <c r="F1372" s="846"/>
      <c r="G1372" s="846"/>
      <c r="H1372" s="846"/>
      <c r="I1372" s="1296"/>
      <c r="J1372" s="846"/>
      <c r="K1372" s="1296"/>
      <c r="L1372" s="846"/>
      <c r="M1372" s="1517"/>
      <c r="N1372" s="846"/>
      <c r="O1372" s="1517"/>
      <c r="P1372" s="846"/>
      <c r="Q1372" s="1296"/>
      <c r="R1372" s="846"/>
      <c r="S1372" s="846"/>
      <c r="T1372" s="846"/>
    </row>
    <row r="1373" ht="15.0" customHeight="1">
      <c r="A1373" s="1296"/>
      <c r="B1373" s="846"/>
      <c r="C1373" s="1517"/>
      <c r="D1373" s="846"/>
      <c r="E1373" s="846"/>
      <c r="F1373" s="846"/>
      <c r="G1373" s="846"/>
      <c r="H1373" s="846"/>
      <c r="I1373" s="1296"/>
      <c r="J1373" s="846"/>
      <c r="K1373" s="1296"/>
      <c r="L1373" s="846"/>
      <c r="M1373" s="1517"/>
      <c r="N1373" s="846"/>
      <c r="O1373" s="1517"/>
      <c r="P1373" s="846"/>
      <c r="Q1373" s="1296"/>
      <c r="R1373" s="846"/>
      <c r="S1373" s="846"/>
      <c r="T1373" s="846"/>
    </row>
    <row r="1374" ht="15.0" customHeight="1">
      <c r="A1374" s="1296"/>
      <c r="B1374" s="846"/>
      <c r="C1374" s="1517"/>
      <c r="D1374" s="846"/>
      <c r="E1374" s="846"/>
      <c r="F1374" s="846"/>
      <c r="G1374" s="846"/>
      <c r="H1374" s="846"/>
      <c r="I1374" s="1296"/>
      <c r="J1374" s="846"/>
      <c r="K1374" s="1296"/>
      <c r="L1374" s="846"/>
      <c r="M1374" s="1517"/>
      <c r="N1374" s="846"/>
      <c r="O1374" s="1517"/>
      <c r="P1374" s="846"/>
      <c r="Q1374" s="1296"/>
      <c r="R1374" s="846"/>
      <c r="S1374" s="846"/>
      <c r="T1374" s="846"/>
    </row>
    <row r="1375" ht="15.0" customHeight="1">
      <c r="A1375" s="1296"/>
      <c r="B1375" s="846"/>
      <c r="C1375" s="1517"/>
      <c r="D1375" s="846"/>
      <c r="E1375" s="846"/>
      <c r="F1375" s="846"/>
      <c r="G1375" s="846"/>
      <c r="H1375" s="846"/>
      <c r="I1375" s="1296"/>
      <c r="J1375" s="846"/>
      <c r="K1375" s="1296"/>
      <c r="L1375" s="846"/>
      <c r="M1375" s="1517"/>
      <c r="N1375" s="846"/>
      <c r="O1375" s="1517"/>
      <c r="P1375" s="846"/>
      <c r="Q1375" s="1296"/>
      <c r="R1375" s="846"/>
      <c r="S1375" s="846"/>
      <c r="T1375" s="846"/>
    </row>
    <row r="1376" ht="15.0" customHeight="1">
      <c r="A1376" s="1296"/>
      <c r="B1376" s="846"/>
      <c r="C1376" s="1517"/>
      <c r="D1376" s="846"/>
      <c r="E1376" s="846"/>
      <c r="F1376" s="846"/>
      <c r="G1376" s="846"/>
      <c r="H1376" s="846"/>
      <c r="I1376" s="1296"/>
      <c r="J1376" s="846"/>
      <c r="K1376" s="1296"/>
      <c r="L1376" s="846"/>
      <c r="M1376" s="1517"/>
      <c r="N1376" s="846"/>
      <c r="O1376" s="1517"/>
      <c r="P1376" s="846"/>
      <c r="Q1376" s="1296"/>
      <c r="R1376" s="846"/>
      <c r="S1376" s="846"/>
      <c r="T1376" s="846"/>
    </row>
    <row r="1377" ht="15.0" customHeight="1">
      <c r="A1377" s="1296"/>
      <c r="B1377" s="846"/>
      <c r="C1377" s="1517"/>
      <c r="D1377" s="846"/>
      <c r="E1377" s="846"/>
      <c r="F1377" s="846"/>
      <c r="G1377" s="846"/>
      <c r="H1377" s="846"/>
      <c r="I1377" s="1296"/>
      <c r="J1377" s="846"/>
      <c r="K1377" s="1296"/>
      <c r="L1377" s="846"/>
      <c r="M1377" s="1517"/>
      <c r="N1377" s="846"/>
      <c r="O1377" s="1517"/>
      <c r="P1377" s="846"/>
      <c r="Q1377" s="1296"/>
      <c r="R1377" s="846"/>
      <c r="S1377" s="846"/>
      <c r="T1377" s="846"/>
    </row>
    <row r="1378" ht="15.0" customHeight="1">
      <c r="A1378" s="1296"/>
      <c r="B1378" s="846"/>
      <c r="C1378" s="1517"/>
      <c r="D1378" s="846"/>
      <c r="E1378" s="846"/>
      <c r="F1378" s="846"/>
      <c r="G1378" s="846"/>
      <c r="H1378" s="846"/>
      <c r="I1378" s="1296"/>
      <c r="J1378" s="846"/>
      <c r="K1378" s="1296"/>
      <c r="L1378" s="846"/>
      <c r="M1378" s="1517"/>
      <c r="N1378" s="846"/>
      <c r="O1378" s="1517"/>
      <c r="P1378" s="846"/>
      <c r="Q1378" s="1296"/>
      <c r="R1378" s="846"/>
      <c r="S1378" s="846"/>
      <c r="T1378" s="846"/>
    </row>
    <row r="1379" ht="15.0" customHeight="1">
      <c r="A1379" s="1296"/>
      <c r="B1379" s="846"/>
      <c r="C1379" s="1517"/>
      <c r="D1379" s="846"/>
      <c r="E1379" s="846"/>
      <c r="F1379" s="846"/>
      <c r="G1379" s="846"/>
      <c r="H1379" s="846"/>
      <c r="I1379" s="1296"/>
      <c r="J1379" s="846"/>
      <c r="K1379" s="1296"/>
      <c r="L1379" s="846"/>
      <c r="M1379" s="1517"/>
      <c r="N1379" s="846"/>
      <c r="O1379" s="1517"/>
      <c r="P1379" s="846"/>
      <c r="Q1379" s="1296"/>
      <c r="R1379" s="846"/>
      <c r="S1379" s="846"/>
      <c r="T1379" s="846"/>
    </row>
    <row r="1380" ht="15.0" customHeight="1">
      <c r="A1380" s="1296"/>
      <c r="B1380" s="846"/>
      <c r="C1380" s="1517"/>
      <c r="D1380" s="846"/>
      <c r="E1380" s="846"/>
      <c r="F1380" s="846"/>
      <c r="G1380" s="846"/>
      <c r="H1380" s="846"/>
      <c r="I1380" s="1296"/>
      <c r="J1380" s="846"/>
      <c r="K1380" s="1296"/>
      <c r="L1380" s="846"/>
      <c r="M1380" s="1517"/>
      <c r="N1380" s="846"/>
      <c r="O1380" s="1517"/>
      <c r="P1380" s="846"/>
      <c r="Q1380" s="1296"/>
      <c r="R1380" s="846"/>
      <c r="S1380" s="846"/>
      <c r="T1380" s="846"/>
    </row>
    <row r="1381" ht="15.0" customHeight="1">
      <c r="A1381" s="1296"/>
      <c r="B1381" s="846"/>
      <c r="C1381" s="1517"/>
      <c r="D1381" s="846"/>
      <c r="E1381" s="846"/>
      <c r="F1381" s="846"/>
      <c r="G1381" s="846"/>
      <c r="H1381" s="846"/>
      <c r="I1381" s="1296"/>
      <c r="J1381" s="846"/>
      <c r="K1381" s="1296"/>
      <c r="L1381" s="846"/>
      <c r="M1381" s="1517"/>
      <c r="N1381" s="846"/>
      <c r="O1381" s="1517"/>
      <c r="P1381" s="846"/>
      <c r="Q1381" s="1296"/>
      <c r="R1381" s="846"/>
      <c r="S1381" s="846"/>
      <c r="T1381" s="846"/>
    </row>
    <row r="1382" ht="15.0" customHeight="1">
      <c r="A1382" s="1296"/>
      <c r="B1382" s="846"/>
      <c r="C1382" s="1517"/>
      <c r="D1382" s="846"/>
      <c r="E1382" s="846"/>
      <c r="F1382" s="846"/>
      <c r="G1382" s="846"/>
      <c r="H1382" s="846"/>
      <c r="I1382" s="1296"/>
      <c r="J1382" s="846"/>
      <c r="K1382" s="1296"/>
      <c r="L1382" s="846"/>
      <c r="M1382" s="1517"/>
      <c r="N1382" s="846"/>
      <c r="O1382" s="1517"/>
      <c r="P1382" s="846"/>
      <c r="Q1382" s="1296"/>
      <c r="R1382" s="846"/>
      <c r="S1382" s="846"/>
      <c r="T1382" s="846"/>
    </row>
    <row r="1383" ht="15.0" customHeight="1">
      <c r="A1383" s="1296"/>
      <c r="B1383" s="846"/>
      <c r="C1383" s="1517"/>
      <c r="D1383" s="846"/>
      <c r="E1383" s="846"/>
      <c r="F1383" s="846"/>
      <c r="G1383" s="846"/>
      <c r="H1383" s="846"/>
      <c r="I1383" s="1296"/>
      <c r="J1383" s="846"/>
      <c r="K1383" s="1296"/>
      <c r="L1383" s="846"/>
      <c r="M1383" s="1517"/>
      <c r="N1383" s="846"/>
      <c r="O1383" s="1517"/>
      <c r="P1383" s="846"/>
      <c r="Q1383" s="1296"/>
      <c r="R1383" s="846"/>
      <c r="S1383" s="846"/>
      <c r="T1383" s="846"/>
    </row>
    <row r="1384" ht="15.0" customHeight="1">
      <c r="A1384" s="1296"/>
      <c r="B1384" s="846"/>
      <c r="C1384" s="1517"/>
      <c r="D1384" s="846"/>
      <c r="E1384" s="846"/>
      <c r="F1384" s="846"/>
      <c r="G1384" s="846"/>
      <c r="H1384" s="846"/>
      <c r="I1384" s="1296"/>
      <c r="J1384" s="846"/>
      <c r="K1384" s="1296"/>
      <c r="L1384" s="846"/>
      <c r="M1384" s="1517"/>
      <c r="N1384" s="846"/>
      <c r="O1384" s="1517"/>
      <c r="P1384" s="846"/>
      <c r="Q1384" s="1296"/>
      <c r="R1384" s="846"/>
      <c r="S1384" s="846"/>
      <c r="T1384" s="846"/>
    </row>
    <row r="1385" ht="15.0" customHeight="1">
      <c r="A1385" s="1296"/>
      <c r="B1385" s="846"/>
      <c r="C1385" s="1517"/>
      <c r="D1385" s="846"/>
      <c r="E1385" s="846"/>
      <c r="F1385" s="846"/>
      <c r="G1385" s="846"/>
      <c r="H1385" s="846"/>
      <c r="I1385" s="1296"/>
      <c r="J1385" s="846"/>
      <c r="K1385" s="1296"/>
      <c r="L1385" s="846"/>
      <c r="M1385" s="1517"/>
      <c r="N1385" s="846"/>
      <c r="O1385" s="1517"/>
      <c r="P1385" s="846"/>
      <c r="Q1385" s="1296"/>
      <c r="R1385" s="846"/>
      <c r="S1385" s="846"/>
      <c r="T1385" s="846"/>
    </row>
    <row r="1386" ht="15.0" customHeight="1">
      <c r="A1386" s="1296"/>
      <c r="B1386" s="846"/>
      <c r="C1386" s="1517"/>
      <c r="D1386" s="846"/>
      <c r="E1386" s="846"/>
      <c r="F1386" s="846"/>
      <c r="G1386" s="846"/>
      <c r="H1386" s="846"/>
      <c r="I1386" s="1296"/>
      <c r="J1386" s="846"/>
      <c r="K1386" s="1296"/>
      <c r="L1386" s="846"/>
      <c r="M1386" s="1517"/>
      <c r="N1386" s="846"/>
      <c r="O1386" s="1517"/>
      <c r="P1386" s="846"/>
      <c r="Q1386" s="1296"/>
      <c r="R1386" s="846"/>
      <c r="S1386" s="846"/>
      <c r="T1386" s="846"/>
    </row>
    <row r="1387" ht="15.0" customHeight="1">
      <c r="A1387" s="1296"/>
      <c r="B1387" s="846"/>
      <c r="C1387" s="1517"/>
      <c r="D1387" s="846"/>
      <c r="E1387" s="846"/>
      <c r="F1387" s="846"/>
      <c r="G1387" s="846"/>
      <c r="H1387" s="846"/>
      <c r="I1387" s="1296"/>
      <c r="J1387" s="846"/>
      <c r="K1387" s="1296"/>
      <c r="L1387" s="846"/>
      <c r="M1387" s="1517"/>
      <c r="N1387" s="846"/>
      <c r="O1387" s="1517"/>
      <c r="P1387" s="846"/>
      <c r="Q1387" s="1296"/>
      <c r="R1387" s="846"/>
      <c r="S1387" s="846"/>
      <c r="T1387" s="846"/>
    </row>
    <row r="1388" ht="15.0" customHeight="1">
      <c r="A1388" s="1296"/>
      <c r="B1388" s="846"/>
      <c r="C1388" s="1517"/>
      <c r="D1388" s="846"/>
      <c r="E1388" s="846"/>
      <c r="F1388" s="846"/>
      <c r="G1388" s="846"/>
      <c r="H1388" s="846"/>
      <c r="I1388" s="1296"/>
      <c r="J1388" s="846"/>
      <c r="K1388" s="1296"/>
      <c r="L1388" s="846"/>
      <c r="M1388" s="1517"/>
      <c r="N1388" s="846"/>
      <c r="O1388" s="1517"/>
      <c r="P1388" s="846"/>
      <c r="Q1388" s="1296"/>
      <c r="R1388" s="846"/>
      <c r="S1388" s="846"/>
      <c r="T1388" s="846"/>
    </row>
    <row r="1389" ht="15.0" customHeight="1">
      <c r="A1389" s="1296"/>
      <c r="B1389" s="846"/>
      <c r="C1389" s="1517"/>
      <c r="D1389" s="846"/>
      <c r="E1389" s="846"/>
      <c r="F1389" s="846"/>
      <c r="G1389" s="846"/>
      <c r="H1389" s="846"/>
      <c r="I1389" s="1296"/>
      <c r="J1389" s="846"/>
      <c r="K1389" s="1296"/>
      <c r="L1389" s="846"/>
      <c r="M1389" s="1517"/>
      <c r="N1389" s="846"/>
      <c r="O1389" s="1517"/>
      <c r="P1389" s="846"/>
      <c r="Q1389" s="1296"/>
      <c r="R1389" s="846"/>
      <c r="S1389" s="846"/>
      <c r="T1389" s="846"/>
    </row>
    <row r="1390" ht="15.0" customHeight="1">
      <c r="A1390" s="1296"/>
      <c r="B1390" s="846"/>
      <c r="C1390" s="1517"/>
      <c r="D1390" s="846"/>
      <c r="E1390" s="846"/>
      <c r="F1390" s="846"/>
      <c r="G1390" s="846"/>
      <c r="H1390" s="846"/>
      <c r="I1390" s="1296"/>
      <c r="J1390" s="846"/>
      <c r="K1390" s="1296"/>
      <c r="L1390" s="846"/>
      <c r="M1390" s="1517"/>
      <c r="N1390" s="846"/>
      <c r="O1390" s="1517"/>
      <c r="P1390" s="846"/>
      <c r="Q1390" s="1296"/>
      <c r="R1390" s="846"/>
      <c r="S1390" s="846"/>
      <c r="T1390" s="846"/>
    </row>
    <row r="1391" ht="15.0" customHeight="1">
      <c r="A1391" s="1296"/>
      <c r="B1391" s="846"/>
      <c r="C1391" s="1517"/>
      <c r="D1391" s="846"/>
      <c r="E1391" s="846"/>
      <c r="F1391" s="846"/>
      <c r="G1391" s="846"/>
      <c r="H1391" s="846"/>
      <c r="I1391" s="1296"/>
      <c r="J1391" s="846"/>
      <c r="K1391" s="1296"/>
      <c r="L1391" s="846"/>
      <c r="M1391" s="1517"/>
      <c r="N1391" s="846"/>
      <c r="O1391" s="1517"/>
      <c r="P1391" s="846"/>
      <c r="Q1391" s="1296"/>
      <c r="R1391" s="846"/>
      <c r="S1391" s="846"/>
      <c r="T1391" s="846"/>
    </row>
    <row r="1392" ht="15.0" customHeight="1">
      <c r="A1392" s="1296"/>
      <c r="B1392" s="846"/>
      <c r="C1392" s="1517"/>
      <c r="D1392" s="846"/>
      <c r="E1392" s="846"/>
      <c r="F1392" s="846"/>
      <c r="G1392" s="846"/>
      <c r="H1392" s="846"/>
      <c r="I1392" s="1296"/>
      <c r="J1392" s="846"/>
      <c r="K1392" s="1296"/>
      <c r="L1392" s="846"/>
      <c r="M1392" s="1517"/>
      <c r="N1392" s="846"/>
      <c r="O1392" s="1517"/>
      <c r="P1392" s="846"/>
      <c r="Q1392" s="1296"/>
      <c r="R1392" s="846"/>
      <c r="S1392" s="846"/>
      <c r="T1392" s="846"/>
    </row>
    <row r="1393" ht="15.0" customHeight="1">
      <c r="A1393" s="1296"/>
      <c r="B1393" s="846"/>
      <c r="C1393" s="1517"/>
      <c r="D1393" s="846"/>
      <c r="E1393" s="846"/>
      <c r="F1393" s="846"/>
      <c r="G1393" s="846"/>
      <c r="H1393" s="846"/>
      <c r="I1393" s="1296"/>
      <c r="J1393" s="846"/>
      <c r="K1393" s="1296"/>
      <c r="L1393" s="846"/>
      <c r="M1393" s="1517"/>
      <c r="N1393" s="846"/>
      <c r="O1393" s="1517"/>
      <c r="P1393" s="846"/>
      <c r="Q1393" s="1296"/>
      <c r="R1393" s="846"/>
      <c r="S1393" s="846"/>
      <c r="T1393" s="846"/>
    </row>
    <row r="1394" ht="15.0" customHeight="1">
      <c r="A1394" s="1296"/>
      <c r="B1394" s="846"/>
      <c r="C1394" s="1517"/>
      <c r="D1394" s="846"/>
      <c r="E1394" s="846"/>
      <c r="F1394" s="846"/>
      <c r="G1394" s="846"/>
      <c r="H1394" s="846"/>
      <c r="I1394" s="1296"/>
      <c r="J1394" s="846"/>
      <c r="K1394" s="1296"/>
      <c r="L1394" s="846"/>
      <c r="M1394" s="1517"/>
      <c r="N1394" s="846"/>
      <c r="O1394" s="1517"/>
      <c r="P1394" s="846"/>
      <c r="Q1394" s="1296"/>
      <c r="R1394" s="846"/>
      <c r="S1394" s="846"/>
      <c r="T1394" s="846"/>
    </row>
    <row r="1395" ht="15.0" customHeight="1">
      <c r="A1395" s="1296"/>
      <c r="B1395" s="846"/>
      <c r="C1395" s="1517"/>
      <c r="D1395" s="846"/>
      <c r="E1395" s="846"/>
      <c r="F1395" s="846"/>
      <c r="G1395" s="846"/>
      <c r="H1395" s="846"/>
      <c r="I1395" s="1296"/>
      <c r="J1395" s="846"/>
      <c r="K1395" s="1296"/>
      <c r="L1395" s="846"/>
      <c r="M1395" s="1517"/>
      <c r="N1395" s="846"/>
      <c r="O1395" s="1517"/>
      <c r="P1395" s="846"/>
      <c r="Q1395" s="1296"/>
      <c r="R1395" s="846"/>
      <c r="S1395" s="846"/>
      <c r="T1395" s="846"/>
    </row>
    <row r="1396" ht="15.0" customHeight="1">
      <c r="A1396" s="1296"/>
      <c r="B1396" s="846"/>
      <c r="C1396" s="1517"/>
      <c r="D1396" s="846"/>
      <c r="E1396" s="846"/>
      <c r="F1396" s="846"/>
      <c r="G1396" s="846"/>
      <c r="H1396" s="846"/>
      <c r="I1396" s="1296"/>
      <c r="J1396" s="846"/>
      <c r="K1396" s="1296"/>
      <c r="L1396" s="846"/>
      <c r="M1396" s="1517"/>
      <c r="N1396" s="846"/>
      <c r="O1396" s="1517"/>
      <c r="P1396" s="846"/>
      <c r="Q1396" s="1296"/>
      <c r="R1396" s="846"/>
      <c r="S1396" s="846"/>
      <c r="T1396" s="846"/>
    </row>
    <row r="1397" ht="15.0" customHeight="1">
      <c r="A1397" s="1296"/>
      <c r="B1397" s="846"/>
      <c r="C1397" s="1517"/>
      <c r="D1397" s="846"/>
      <c r="E1397" s="846"/>
      <c r="F1397" s="846"/>
      <c r="G1397" s="846"/>
      <c r="H1397" s="846"/>
      <c r="I1397" s="1296"/>
      <c r="J1397" s="846"/>
      <c r="K1397" s="1296"/>
      <c r="L1397" s="846"/>
      <c r="M1397" s="1517"/>
      <c r="N1397" s="846"/>
      <c r="O1397" s="1517"/>
      <c r="P1397" s="846"/>
      <c r="Q1397" s="1296"/>
      <c r="R1397" s="846"/>
      <c r="S1397" s="846"/>
      <c r="T1397" s="846"/>
    </row>
    <row r="1398" ht="15.0" customHeight="1">
      <c r="A1398" s="1296"/>
      <c r="B1398" s="846"/>
      <c r="C1398" s="1517"/>
      <c r="D1398" s="846"/>
      <c r="E1398" s="846"/>
      <c r="F1398" s="846"/>
      <c r="G1398" s="846"/>
      <c r="H1398" s="846"/>
      <c r="I1398" s="1296"/>
      <c r="J1398" s="846"/>
      <c r="K1398" s="1296"/>
      <c r="L1398" s="846"/>
      <c r="M1398" s="1517"/>
      <c r="N1398" s="846"/>
      <c r="O1398" s="1517"/>
      <c r="P1398" s="846"/>
      <c r="Q1398" s="1296"/>
      <c r="R1398" s="846"/>
      <c r="S1398" s="846"/>
      <c r="T1398" s="846"/>
    </row>
    <row r="1399" ht="15.0" customHeight="1">
      <c r="A1399" s="1296"/>
      <c r="B1399" s="846"/>
      <c r="C1399" s="1517"/>
      <c r="D1399" s="846"/>
      <c r="E1399" s="846"/>
      <c r="F1399" s="846"/>
      <c r="G1399" s="846"/>
      <c r="H1399" s="846"/>
      <c r="I1399" s="1296"/>
      <c r="J1399" s="846"/>
      <c r="K1399" s="1296"/>
      <c r="L1399" s="846"/>
      <c r="M1399" s="1517"/>
      <c r="N1399" s="846"/>
      <c r="O1399" s="1517"/>
      <c r="P1399" s="846"/>
      <c r="Q1399" s="1296"/>
      <c r="R1399" s="846"/>
      <c r="S1399" s="846"/>
      <c r="T1399" s="846"/>
    </row>
    <row r="1400" ht="15.0" customHeight="1">
      <c r="A1400" s="1296"/>
      <c r="B1400" s="846"/>
      <c r="C1400" s="1517"/>
      <c r="D1400" s="846"/>
      <c r="E1400" s="846"/>
      <c r="F1400" s="846"/>
      <c r="G1400" s="846"/>
      <c r="H1400" s="846"/>
      <c r="I1400" s="1296"/>
      <c r="J1400" s="846"/>
      <c r="K1400" s="1296"/>
      <c r="L1400" s="846"/>
      <c r="M1400" s="1517"/>
      <c r="N1400" s="846"/>
      <c r="O1400" s="1517"/>
      <c r="P1400" s="846"/>
      <c r="Q1400" s="1296"/>
      <c r="R1400" s="846"/>
      <c r="S1400" s="846"/>
      <c r="T1400" s="846"/>
    </row>
    <row r="1401" ht="15.0" customHeight="1">
      <c r="A1401" s="1296"/>
      <c r="B1401" s="846"/>
      <c r="C1401" s="1517"/>
      <c r="D1401" s="846"/>
      <c r="E1401" s="846"/>
      <c r="F1401" s="846"/>
      <c r="G1401" s="846"/>
      <c r="H1401" s="846"/>
      <c r="I1401" s="1296"/>
      <c r="J1401" s="846"/>
      <c r="K1401" s="1296"/>
      <c r="L1401" s="846"/>
      <c r="M1401" s="1517"/>
      <c r="N1401" s="846"/>
      <c r="O1401" s="1517"/>
      <c r="P1401" s="846"/>
      <c r="Q1401" s="1296"/>
      <c r="R1401" s="846"/>
      <c r="S1401" s="846"/>
      <c r="T1401" s="846"/>
    </row>
    <row r="1402" ht="15.0" customHeight="1">
      <c r="A1402" s="1296"/>
      <c r="B1402" s="846"/>
      <c r="C1402" s="1517"/>
      <c r="D1402" s="846"/>
      <c r="E1402" s="846"/>
      <c r="F1402" s="846"/>
      <c r="G1402" s="846"/>
      <c r="H1402" s="846"/>
      <c r="I1402" s="1296"/>
      <c r="J1402" s="846"/>
      <c r="K1402" s="1296"/>
      <c r="L1402" s="846"/>
      <c r="M1402" s="1517"/>
      <c r="N1402" s="846"/>
      <c r="O1402" s="1517"/>
      <c r="P1402" s="846"/>
      <c r="Q1402" s="1296"/>
      <c r="R1402" s="846"/>
      <c r="S1402" s="846"/>
      <c r="T1402" s="846"/>
    </row>
    <row r="1403" ht="15.0" customHeight="1">
      <c r="A1403" s="1296"/>
      <c r="B1403" s="846"/>
      <c r="C1403" s="1517"/>
      <c r="D1403" s="846"/>
      <c r="E1403" s="846"/>
      <c r="F1403" s="846"/>
      <c r="G1403" s="846"/>
      <c r="H1403" s="846"/>
      <c r="I1403" s="1296"/>
      <c r="J1403" s="846"/>
      <c r="K1403" s="1296"/>
      <c r="L1403" s="846"/>
      <c r="M1403" s="1517"/>
      <c r="N1403" s="846"/>
      <c r="O1403" s="1517"/>
      <c r="P1403" s="846"/>
      <c r="Q1403" s="1296"/>
      <c r="R1403" s="846"/>
      <c r="S1403" s="846"/>
      <c r="T1403" s="846"/>
    </row>
    <row r="1404" ht="15.0" customHeight="1">
      <c r="A1404" s="1296"/>
      <c r="B1404" s="846"/>
      <c r="C1404" s="1517"/>
      <c r="D1404" s="846"/>
      <c r="E1404" s="846"/>
      <c r="F1404" s="846"/>
      <c r="G1404" s="846"/>
      <c r="H1404" s="846"/>
      <c r="I1404" s="1296"/>
      <c r="J1404" s="846"/>
      <c r="K1404" s="1296"/>
      <c r="L1404" s="846"/>
      <c r="M1404" s="1517"/>
      <c r="N1404" s="846"/>
      <c r="O1404" s="1517"/>
      <c r="P1404" s="846"/>
      <c r="Q1404" s="1296"/>
      <c r="R1404" s="846"/>
      <c r="S1404" s="846"/>
      <c r="T1404" s="846"/>
    </row>
    <row r="1405" ht="15.0" customHeight="1">
      <c r="A1405" s="1296"/>
      <c r="B1405" s="846"/>
      <c r="C1405" s="1517"/>
      <c r="D1405" s="846"/>
      <c r="E1405" s="846"/>
      <c r="F1405" s="846"/>
      <c r="G1405" s="846"/>
      <c r="H1405" s="846"/>
      <c r="I1405" s="1296"/>
      <c r="J1405" s="846"/>
      <c r="K1405" s="1296"/>
      <c r="L1405" s="846"/>
      <c r="M1405" s="1517"/>
      <c r="N1405" s="846"/>
      <c r="O1405" s="1517"/>
      <c r="P1405" s="846"/>
      <c r="Q1405" s="1296"/>
      <c r="R1405" s="846"/>
      <c r="S1405" s="846"/>
      <c r="T1405" s="846"/>
    </row>
    <row r="1406" ht="15.0" customHeight="1">
      <c r="A1406" s="1296"/>
      <c r="B1406" s="846"/>
      <c r="C1406" s="1517"/>
      <c r="D1406" s="846"/>
      <c r="E1406" s="846"/>
      <c r="F1406" s="846"/>
      <c r="G1406" s="846"/>
      <c r="H1406" s="846"/>
      <c r="I1406" s="1296"/>
      <c r="J1406" s="846"/>
      <c r="K1406" s="1296"/>
      <c r="L1406" s="846"/>
      <c r="M1406" s="1517"/>
      <c r="N1406" s="846"/>
      <c r="O1406" s="1517"/>
      <c r="P1406" s="846"/>
      <c r="Q1406" s="1296"/>
      <c r="R1406" s="846"/>
      <c r="S1406" s="846"/>
      <c r="T1406" s="846"/>
    </row>
    <row r="1407" ht="15.0" customHeight="1">
      <c r="A1407" s="1296"/>
      <c r="B1407" s="846"/>
      <c r="C1407" s="1517"/>
      <c r="D1407" s="846"/>
      <c r="E1407" s="846"/>
      <c r="F1407" s="846"/>
      <c r="G1407" s="846"/>
      <c r="H1407" s="846"/>
      <c r="I1407" s="1296"/>
      <c r="J1407" s="846"/>
      <c r="K1407" s="1296"/>
      <c r="L1407" s="846"/>
      <c r="M1407" s="1517"/>
      <c r="N1407" s="846"/>
      <c r="O1407" s="1517"/>
      <c r="P1407" s="846"/>
      <c r="Q1407" s="1296"/>
      <c r="R1407" s="846"/>
      <c r="S1407" s="846"/>
      <c r="T1407" s="846"/>
    </row>
    <row r="1408" ht="15.0" customHeight="1">
      <c r="A1408" s="1296"/>
      <c r="B1408" s="846"/>
      <c r="C1408" s="1517"/>
      <c r="D1408" s="846"/>
      <c r="E1408" s="846"/>
      <c r="F1408" s="846"/>
      <c r="G1408" s="846"/>
      <c r="H1408" s="846"/>
      <c r="I1408" s="1296"/>
      <c r="J1408" s="846"/>
      <c r="K1408" s="1296"/>
      <c r="L1408" s="846"/>
      <c r="M1408" s="1517"/>
      <c r="N1408" s="846"/>
      <c r="O1408" s="1517"/>
      <c r="P1408" s="846"/>
      <c r="Q1408" s="1296"/>
      <c r="R1408" s="846"/>
      <c r="S1408" s="846"/>
      <c r="T1408" s="846"/>
    </row>
    <row r="1409" ht="15.0" customHeight="1">
      <c r="A1409" s="1296"/>
      <c r="B1409" s="846"/>
      <c r="C1409" s="1517"/>
      <c r="D1409" s="846"/>
      <c r="E1409" s="846"/>
      <c r="F1409" s="846"/>
      <c r="G1409" s="846"/>
      <c r="H1409" s="846"/>
      <c r="I1409" s="1296"/>
      <c r="J1409" s="846"/>
      <c r="K1409" s="1296"/>
      <c r="L1409" s="846"/>
      <c r="M1409" s="1517"/>
      <c r="N1409" s="846"/>
      <c r="O1409" s="1517"/>
      <c r="P1409" s="846"/>
      <c r="Q1409" s="1296"/>
      <c r="R1409" s="846"/>
      <c r="S1409" s="846"/>
      <c r="T1409" s="846"/>
    </row>
    <row r="1410" ht="15.0" customHeight="1">
      <c r="A1410" s="1296"/>
      <c r="B1410" s="846"/>
      <c r="C1410" s="1517"/>
      <c r="D1410" s="846"/>
      <c r="E1410" s="846"/>
      <c r="F1410" s="846"/>
      <c r="G1410" s="846"/>
      <c r="H1410" s="846"/>
      <c r="I1410" s="1296"/>
      <c r="J1410" s="846"/>
      <c r="K1410" s="1296"/>
      <c r="L1410" s="846"/>
      <c r="M1410" s="1517"/>
      <c r="N1410" s="846"/>
      <c r="O1410" s="1517"/>
      <c r="P1410" s="846"/>
      <c r="Q1410" s="1296"/>
      <c r="R1410" s="846"/>
      <c r="S1410" s="846"/>
      <c r="T1410" s="846"/>
    </row>
    <row r="1411" ht="15.0" customHeight="1">
      <c r="A1411" s="1296"/>
      <c r="B1411" s="846"/>
      <c r="C1411" s="1517"/>
      <c r="D1411" s="846"/>
      <c r="E1411" s="846"/>
      <c r="F1411" s="846"/>
      <c r="G1411" s="846"/>
      <c r="H1411" s="846"/>
      <c r="I1411" s="1296"/>
      <c r="J1411" s="846"/>
      <c r="K1411" s="1296"/>
      <c r="L1411" s="846"/>
      <c r="M1411" s="1517"/>
      <c r="N1411" s="846"/>
      <c r="O1411" s="1517"/>
      <c r="P1411" s="846"/>
      <c r="Q1411" s="1296"/>
      <c r="R1411" s="846"/>
      <c r="S1411" s="846"/>
      <c r="T1411" s="846"/>
    </row>
    <row r="1412" ht="15.0" customHeight="1">
      <c r="A1412" s="1296"/>
      <c r="B1412" s="846"/>
      <c r="C1412" s="1517"/>
      <c r="D1412" s="846"/>
      <c r="E1412" s="846"/>
      <c r="F1412" s="846"/>
      <c r="G1412" s="846"/>
      <c r="H1412" s="846"/>
      <c r="I1412" s="1296"/>
      <c r="J1412" s="846"/>
      <c r="K1412" s="1296"/>
      <c r="L1412" s="846"/>
      <c r="M1412" s="1517"/>
      <c r="N1412" s="846"/>
      <c r="O1412" s="1517"/>
      <c r="P1412" s="846"/>
      <c r="Q1412" s="1296"/>
      <c r="R1412" s="846"/>
      <c r="S1412" s="846"/>
      <c r="T1412" s="846"/>
    </row>
    <row r="1413" ht="15.0" customHeight="1">
      <c r="A1413" s="1296"/>
      <c r="B1413" s="846"/>
      <c r="C1413" s="1517"/>
      <c r="D1413" s="846"/>
      <c r="E1413" s="846"/>
      <c r="F1413" s="846"/>
      <c r="G1413" s="846"/>
      <c r="H1413" s="846"/>
      <c r="I1413" s="1296"/>
      <c r="J1413" s="846"/>
      <c r="K1413" s="1296"/>
      <c r="L1413" s="846"/>
      <c r="M1413" s="1517"/>
      <c r="N1413" s="846"/>
      <c r="O1413" s="1517"/>
      <c r="P1413" s="846"/>
      <c r="Q1413" s="1296"/>
      <c r="R1413" s="846"/>
      <c r="S1413" s="846"/>
      <c r="T1413" s="846"/>
    </row>
    <row r="1414" ht="15.0" customHeight="1">
      <c r="A1414" s="1296"/>
      <c r="B1414" s="846"/>
      <c r="C1414" s="1517"/>
      <c r="D1414" s="846"/>
      <c r="E1414" s="846"/>
      <c r="F1414" s="846"/>
      <c r="G1414" s="846"/>
      <c r="H1414" s="846"/>
      <c r="I1414" s="1296"/>
      <c r="J1414" s="846"/>
      <c r="K1414" s="1296"/>
      <c r="L1414" s="846"/>
      <c r="M1414" s="1517"/>
      <c r="N1414" s="846"/>
      <c r="O1414" s="1517"/>
      <c r="P1414" s="846"/>
      <c r="Q1414" s="1296"/>
      <c r="R1414" s="846"/>
      <c r="S1414" s="846"/>
      <c r="T1414" s="846"/>
    </row>
    <row r="1415" ht="15.0" customHeight="1">
      <c r="A1415" s="1296"/>
      <c r="B1415" s="846"/>
      <c r="C1415" s="1517"/>
      <c r="D1415" s="846"/>
      <c r="E1415" s="846"/>
      <c r="F1415" s="846"/>
      <c r="G1415" s="846"/>
      <c r="H1415" s="846"/>
      <c r="I1415" s="1296"/>
      <c r="J1415" s="846"/>
      <c r="K1415" s="1296"/>
      <c r="L1415" s="846"/>
      <c r="M1415" s="1517"/>
      <c r="N1415" s="846"/>
      <c r="O1415" s="1517"/>
      <c r="P1415" s="846"/>
      <c r="Q1415" s="1296"/>
      <c r="R1415" s="846"/>
      <c r="S1415" s="846"/>
      <c r="T1415" s="846"/>
    </row>
    <row r="1416" ht="15.0" customHeight="1">
      <c r="A1416" s="1296"/>
      <c r="B1416" s="846"/>
      <c r="C1416" s="1517"/>
      <c r="D1416" s="846"/>
      <c r="E1416" s="846"/>
      <c r="F1416" s="846"/>
      <c r="G1416" s="846"/>
      <c r="H1416" s="846"/>
      <c r="I1416" s="1296"/>
      <c r="J1416" s="846"/>
      <c r="K1416" s="1296"/>
      <c r="L1416" s="846"/>
      <c r="M1416" s="1517"/>
      <c r="N1416" s="846"/>
      <c r="O1416" s="1517"/>
      <c r="P1416" s="846"/>
      <c r="Q1416" s="1296"/>
      <c r="R1416" s="846"/>
      <c r="S1416" s="846"/>
      <c r="T1416" s="846"/>
    </row>
    <row r="1417" ht="15.0" customHeight="1">
      <c r="A1417" s="1296"/>
      <c r="B1417" s="846"/>
      <c r="C1417" s="1517"/>
      <c r="D1417" s="846"/>
      <c r="E1417" s="846"/>
      <c r="F1417" s="846"/>
      <c r="G1417" s="846"/>
      <c r="H1417" s="846"/>
      <c r="I1417" s="1296"/>
      <c r="J1417" s="846"/>
      <c r="K1417" s="1296"/>
      <c r="L1417" s="846"/>
      <c r="M1417" s="1517"/>
      <c r="N1417" s="846"/>
      <c r="O1417" s="1517"/>
      <c r="P1417" s="846"/>
      <c r="Q1417" s="1296"/>
      <c r="R1417" s="846"/>
      <c r="S1417" s="846"/>
      <c r="T1417" s="846"/>
    </row>
    <row r="1418" ht="15.0" customHeight="1">
      <c r="A1418" s="1296"/>
      <c r="B1418" s="846"/>
      <c r="C1418" s="1517"/>
      <c r="D1418" s="846"/>
      <c r="E1418" s="846"/>
      <c r="F1418" s="846"/>
      <c r="G1418" s="846"/>
      <c r="H1418" s="846"/>
      <c r="I1418" s="1296"/>
      <c r="J1418" s="846"/>
      <c r="K1418" s="1296"/>
      <c r="L1418" s="846"/>
      <c r="M1418" s="1517"/>
      <c r="N1418" s="846"/>
      <c r="O1418" s="1517"/>
      <c r="P1418" s="846"/>
      <c r="Q1418" s="1296"/>
      <c r="R1418" s="846"/>
      <c r="S1418" s="846"/>
      <c r="T1418" s="846"/>
    </row>
    <row r="1419" ht="15.0" customHeight="1">
      <c r="A1419" s="1296"/>
      <c r="B1419" s="846"/>
      <c r="C1419" s="1517"/>
      <c r="D1419" s="846"/>
      <c r="E1419" s="846"/>
      <c r="F1419" s="846"/>
      <c r="G1419" s="846"/>
      <c r="H1419" s="846"/>
      <c r="I1419" s="1296"/>
      <c r="J1419" s="846"/>
      <c r="K1419" s="1296"/>
      <c r="L1419" s="846"/>
      <c r="M1419" s="1517"/>
      <c r="N1419" s="846"/>
      <c r="O1419" s="1517"/>
      <c r="P1419" s="846"/>
      <c r="Q1419" s="1296"/>
      <c r="R1419" s="846"/>
      <c r="S1419" s="846"/>
      <c r="T1419" s="846"/>
    </row>
    <row r="1420" ht="15.0" customHeight="1">
      <c r="A1420" s="1296"/>
      <c r="B1420" s="846"/>
      <c r="C1420" s="1517"/>
      <c r="D1420" s="846"/>
      <c r="E1420" s="846"/>
      <c r="F1420" s="846"/>
      <c r="G1420" s="846"/>
      <c r="H1420" s="846"/>
      <c r="I1420" s="1296"/>
      <c r="J1420" s="846"/>
      <c r="K1420" s="1296"/>
      <c r="L1420" s="846"/>
      <c r="M1420" s="1517"/>
      <c r="N1420" s="846"/>
      <c r="O1420" s="1517"/>
      <c r="P1420" s="846"/>
      <c r="Q1420" s="1296"/>
      <c r="R1420" s="846"/>
      <c r="S1420" s="846"/>
      <c r="T1420" s="846"/>
    </row>
    <row r="1421" ht="15.0" customHeight="1">
      <c r="A1421" s="1296"/>
      <c r="B1421" s="846"/>
      <c r="C1421" s="1517"/>
      <c r="D1421" s="846"/>
      <c r="E1421" s="846"/>
      <c r="F1421" s="846"/>
      <c r="G1421" s="846"/>
      <c r="H1421" s="846"/>
      <c r="I1421" s="1296"/>
      <c r="J1421" s="846"/>
      <c r="K1421" s="1296"/>
      <c r="L1421" s="846"/>
      <c r="M1421" s="1517"/>
      <c r="N1421" s="846"/>
      <c r="O1421" s="1517"/>
      <c r="P1421" s="846"/>
      <c r="Q1421" s="1296"/>
      <c r="R1421" s="846"/>
      <c r="S1421" s="846"/>
      <c r="T1421" s="846"/>
    </row>
    <row r="1422" ht="15.0" customHeight="1">
      <c r="A1422" s="1296"/>
      <c r="B1422" s="846"/>
      <c r="C1422" s="1517"/>
      <c r="D1422" s="846"/>
      <c r="E1422" s="846"/>
      <c r="F1422" s="846"/>
      <c r="G1422" s="846"/>
      <c r="H1422" s="846"/>
      <c r="I1422" s="1296"/>
      <c r="J1422" s="846"/>
      <c r="K1422" s="1296"/>
      <c r="L1422" s="846"/>
      <c r="M1422" s="1517"/>
      <c r="N1422" s="846"/>
      <c r="O1422" s="1517"/>
      <c r="P1422" s="846"/>
      <c r="Q1422" s="1296"/>
      <c r="R1422" s="846"/>
      <c r="S1422" s="846"/>
      <c r="T1422" s="846"/>
    </row>
    <row r="1423" ht="15.0" customHeight="1">
      <c r="A1423" s="1296"/>
      <c r="B1423" s="846"/>
      <c r="C1423" s="1517"/>
      <c r="D1423" s="846"/>
      <c r="E1423" s="846"/>
      <c r="F1423" s="846"/>
      <c r="G1423" s="846"/>
      <c r="H1423" s="846"/>
      <c r="I1423" s="1296"/>
      <c r="J1423" s="846"/>
      <c r="K1423" s="1296"/>
      <c r="L1423" s="846"/>
      <c r="M1423" s="1517"/>
      <c r="N1423" s="846"/>
      <c r="O1423" s="1517"/>
      <c r="P1423" s="846"/>
      <c r="Q1423" s="1296"/>
      <c r="R1423" s="846"/>
      <c r="S1423" s="846"/>
      <c r="T1423" s="846"/>
    </row>
    <row r="1424" ht="15.0" customHeight="1">
      <c r="A1424" s="1296"/>
      <c r="B1424" s="846"/>
      <c r="C1424" s="1517"/>
      <c r="D1424" s="846"/>
      <c r="E1424" s="846"/>
      <c r="F1424" s="846"/>
      <c r="G1424" s="846"/>
      <c r="H1424" s="846"/>
      <c r="I1424" s="1296"/>
      <c r="J1424" s="846"/>
      <c r="K1424" s="1296"/>
      <c r="L1424" s="846"/>
      <c r="M1424" s="1517"/>
      <c r="N1424" s="846"/>
      <c r="O1424" s="1517"/>
      <c r="P1424" s="846"/>
      <c r="Q1424" s="1296"/>
      <c r="R1424" s="846"/>
      <c r="S1424" s="846"/>
      <c r="T1424" s="846"/>
    </row>
    <row r="1425" ht="15.0" customHeight="1">
      <c r="A1425" s="1296"/>
      <c r="B1425" s="846"/>
      <c r="C1425" s="1517"/>
      <c r="D1425" s="846"/>
      <c r="E1425" s="846"/>
      <c r="F1425" s="846"/>
      <c r="G1425" s="846"/>
      <c r="H1425" s="846"/>
      <c r="I1425" s="1296"/>
      <c r="J1425" s="846"/>
      <c r="K1425" s="1296"/>
      <c r="L1425" s="846"/>
      <c r="M1425" s="1517"/>
      <c r="N1425" s="846"/>
      <c r="O1425" s="1517"/>
      <c r="P1425" s="846"/>
      <c r="Q1425" s="1296"/>
      <c r="R1425" s="846"/>
      <c r="S1425" s="846"/>
      <c r="T1425" s="846"/>
    </row>
    <row r="1426" ht="15.0" customHeight="1">
      <c r="A1426" s="1296"/>
      <c r="B1426" s="846"/>
      <c r="C1426" s="1517"/>
      <c r="D1426" s="846"/>
      <c r="E1426" s="846"/>
      <c r="F1426" s="846"/>
      <c r="G1426" s="846"/>
      <c r="H1426" s="846"/>
      <c r="I1426" s="1296"/>
      <c r="J1426" s="846"/>
      <c r="K1426" s="1296"/>
      <c r="L1426" s="846"/>
      <c r="M1426" s="1517"/>
      <c r="N1426" s="846"/>
      <c r="O1426" s="1517"/>
      <c r="P1426" s="846"/>
      <c r="Q1426" s="1296"/>
      <c r="R1426" s="846"/>
      <c r="S1426" s="846"/>
      <c r="T1426" s="846"/>
    </row>
    <row r="1427" ht="15.0" customHeight="1">
      <c r="A1427" s="1296"/>
      <c r="B1427" s="846"/>
      <c r="C1427" s="1517"/>
      <c r="D1427" s="846"/>
      <c r="E1427" s="846"/>
      <c r="F1427" s="846"/>
      <c r="G1427" s="846"/>
      <c r="H1427" s="846"/>
      <c r="I1427" s="1296"/>
      <c r="J1427" s="846"/>
      <c r="K1427" s="1296"/>
      <c r="L1427" s="846"/>
      <c r="M1427" s="1517"/>
      <c r="N1427" s="846"/>
      <c r="O1427" s="1517"/>
      <c r="P1427" s="846"/>
      <c r="Q1427" s="1296"/>
      <c r="R1427" s="846"/>
      <c r="S1427" s="846"/>
      <c r="T1427" s="846"/>
    </row>
    <row r="1428" ht="15.0" customHeight="1">
      <c r="A1428" s="1296"/>
      <c r="B1428" s="846"/>
      <c r="C1428" s="1517"/>
      <c r="D1428" s="846"/>
      <c r="E1428" s="846"/>
      <c r="F1428" s="846"/>
      <c r="G1428" s="846"/>
      <c r="H1428" s="846"/>
      <c r="I1428" s="1296"/>
      <c r="J1428" s="846"/>
      <c r="K1428" s="1296"/>
      <c r="L1428" s="846"/>
      <c r="M1428" s="1517"/>
      <c r="N1428" s="846"/>
      <c r="O1428" s="1517"/>
      <c r="P1428" s="846"/>
      <c r="Q1428" s="1296"/>
      <c r="R1428" s="846"/>
      <c r="S1428" s="846"/>
      <c r="T1428" s="846"/>
    </row>
    <row r="1429" ht="15.0" customHeight="1">
      <c r="A1429" s="1296"/>
      <c r="B1429" s="846"/>
      <c r="C1429" s="1517"/>
      <c r="D1429" s="846"/>
      <c r="E1429" s="846"/>
      <c r="F1429" s="846"/>
      <c r="G1429" s="846"/>
      <c r="H1429" s="846"/>
      <c r="I1429" s="1296"/>
      <c r="J1429" s="846"/>
      <c r="K1429" s="1296"/>
      <c r="L1429" s="846"/>
      <c r="M1429" s="1517"/>
      <c r="N1429" s="846"/>
      <c r="O1429" s="1517"/>
      <c r="P1429" s="846"/>
      <c r="Q1429" s="1296"/>
      <c r="R1429" s="846"/>
      <c r="S1429" s="846"/>
      <c r="T1429" s="846"/>
    </row>
    <row r="1430" ht="15.0" customHeight="1">
      <c r="A1430" s="1296"/>
      <c r="B1430" s="846"/>
      <c r="C1430" s="1517"/>
      <c r="D1430" s="846"/>
      <c r="E1430" s="846"/>
      <c r="F1430" s="846"/>
      <c r="G1430" s="846"/>
      <c r="H1430" s="846"/>
      <c r="I1430" s="1296"/>
      <c r="J1430" s="846"/>
      <c r="K1430" s="1296"/>
      <c r="L1430" s="846"/>
      <c r="M1430" s="1517"/>
      <c r="N1430" s="846"/>
      <c r="O1430" s="1517"/>
      <c r="P1430" s="846"/>
      <c r="Q1430" s="1296"/>
      <c r="R1430" s="846"/>
      <c r="S1430" s="846"/>
      <c r="T1430" s="846"/>
    </row>
    <row r="1431" ht="15.0" customHeight="1">
      <c r="A1431" s="1296"/>
      <c r="B1431" s="846"/>
      <c r="C1431" s="1517"/>
      <c r="D1431" s="846"/>
      <c r="E1431" s="846"/>
      <c r="F1431" s="846"/>
      <c r="G1431" s="846"/>
      <c r="H1431" s="846"/>
      <c r="I1431" s="1296"/>
      <c r="J1431" s="846"/>
      <c r="K1431" s="1296"/>
      <c r="L1431" s="846"/>
      <c r="M1431" s="1517"/>
      <c r="N1431" s="846"/>
      <c r="O1431" s="1517"/>
      <c r="P1431" s="846"/>
      <c r="Q1431" s="1296"/>
      <c r="R1431" s="846"/>
      <c r="S1431" s="846"/>
      <c r="T1431" s="846"/>
    </row>
    <row r="1432" ht="15.0" customHeight="1">
      <c r="A1432" s="1296"/>
      <c r="B1432" s="846"/>
      <c r="C1432" s="1517"/>
      <c r="D1432" s="846"/>
      <c r="E1432" s="846"/>
      <c r="F1432" s="846"/>
      <c r="G1432" s="846"/>
      <c r="H1432" s="846"/>
      <c r="I1432" s="1296"/>
      <c r="J1432" s="846"/>
      <c r="K1432" s="1296"/>
      <c r="L1432" s="846"/>
      <c r="M1432" s="1517"/>
      <c r="N1432" s="846"/>
      <c r="O1432" s="1517"/>
      <c r="P1432" s="846"/>
      <c r="Q1432" s="1296"/>
      <c r="R1432" s="846"/>
      <c r="S1432" s="846"/>
      <c r="T1432" s="846"/>
    </row>
    <row r="1433" ht="15.0" customHeight="1">
      <c r="A1433" s="1296"/>
      <c r="B1433" s="846"/>
      <c r="C1433" s="1517"/>
      <c r="D1433" s="846"/>
      <c r="E1433" s="846"/>
      <c r="F1433" s="846"/>
      <c r="G1433" s="846"/>
      <c r="H1433" s="846"/>
      <c r="I1433" s="1296"/>
      <c r="J1433" s="846"/>
      <c r="K1433" s="1296"/>
      <c r="L1433" s="846"/>
      <c r="M1433" s="1517"/>
      <c r="N1433" s="846"/>
      <c r="O1433" s="1517"/>
      <c r="P1433" s="846"/>
      <c r="Q1433" s="1296"/>
      <c r="R1433" s="846"/>
      <c r="S1433" s="846"/>
      <c r="T1433" s="846"/>
    </row>
    <row r="1434" ht="15.0" customHeight="1">
      <c r="A1434" s="1296"/>
      <c r="B1434" s="846"/>
      <c r="C1434" s="1517"/>
      <c r="D1434" s="846"/>
      <c r="E1434" s="846"/>
      <c r="F1434" s="846"/>
      <c r="G1434" s="846"/>
      <c r="H1434" s="846"/>
      <c r="I1434" s="1296"/>
      <c r="J1434" s="846"/>
      <c r="K1434" s="1296"/>
      <c r="L1434" s="846"/>
      <c r="M1434" s="1517"/>
      <c r="N1434" s="846"/>
      <c r="O1434" s="1517"/>
      <c r="P1434" s="846"/>
      <c r="Q1434" s="1296"/>
      <c r="R1434" s="846"/>
      <c r="S1434" s="846"/>
      <c r="T1434" s="846"/>
    </row>
    <row r="1435" ht="15.0" customHeight="1">
      <c r="A1435" s="1296"/>
      <c r="B1435" s="846"/>
      <c r="C1435" s="1517"/>
      <c r="D1435" s="846"/>
      <c r="E1435" s="846"/>
      <c r="F1435" s="846"/>
      <c r="G1435" s="846"/>
      <c r="H1435" s="846"/>
      <c r="I1435" s="1296"/>
      <c r="J1435" s="846"/>
      <c r="K1435" s="1296"/>
      <c r="L1435" s="846"/>
      <c r="M1435" s="1517"/>
      <c r="N1435" s="846"/>
      <c r="O1435" s="1517"/>
      <c r="P1435" s="846"/>
      <c r="Q1435" s="1296"/>
      <c r="R1435" s="846"/>
      <c r="S1435" s="846"/>
      <c r="T1435" s="846"/>
    </row>
    <row r="1436" ht="15.0" customHeight="1">
      <c r="A1436" s="1296"/>
      <c r="B1436" s="846"/>
      <c r="C1436" s="1517"/>
      <c r="D1436" s="846"/>
      <c r="E1436" s="846"/>
      <c r="F1436" s="846"/>
      <c r="G1436" s="846"/>
      <c r="H1436" s="846"/>
      <c r="I1436" s="1296"/>
      <c r="J1436" s="846"/>
      <c r="K1436" s="1296"/>
      <c r="L1436" s="846"/>
      <c r="M1436" s="1517"/>
      <c r="N1436" s="846"/>
      <c r="O1436" s="1517"/>
      <c r="P1436" s="846"/>
      <c r="Q1436" s="1296"/>
      <c r="R1436" s="846"/>
      <c r="S1436" s="846"/>
      <c r="T1436" s="846"/>
    </row>
    <row r="1437" ht="15.0" customHeight="1">
      <c r="A1437" s="1296"/>
      <c r="B1437" s="846"/>
      <c r="C1437" s="1517"/>
      <c r="D1437" s="846"/>
      <c r="E1437" s="846"/>
      <c r="F1437" s="846"/>
      <c r="G1437" s="846"/>
      <c r="H1437" s="846"/>
      <c r="I1437" s="1296"/>
      <c r="J1437" s="846"/>
      <c r="K1437" s="1296"/>
      <c r="L1437" s="846"/>
      <c r="M1437" s="1517"/>
      <c r="N1437" s="846"/>
      <c r="O1437" s="1517"/>
      <c r="P1437" s="846"/>
      <c r="Q1437" s="1296"/>
      <c r="R1437" s="846"/>
      <c r="S1437" s="846"/>
      <c r="T1437" s="846"/>
    </row>
    <row r="1438" ht="15.0" customHeight="1">
      <c r="A1438" s="1296"/>
      <c r="B1438" s="846"/>
      <c r="C1438" s="1517"/>
      <c r="D1438" s="846"/>
      <c r="E1438" s="846"/>
      <c r="F1438" s="846"/>
      <c r="G1438" s="846"/>
      <c r="H1438" s="846"/>
      <c r="I1438" s="1296"/>
      <c r="J1438" s="846"/>
      <c r="K1438" s="1296"/>
      <c r="L1438" s="846"/>
      <c r="M1438" s="1517"/>
      <c r="N1438" s="846"/>
      <c r="O1438" s="1517"/>
      <c r="P1438" s="846"/>
      <c r="Q1438" s="1296"/>
      <c r="R1438" s="846"/>
      <c r="S1438" s="846"/>
      <c r="T1438" s="846"/>
    </row>
    <row r="1439" ht="15.0" customHeight="1">
      <c r="A1439" s="1296"/>
      <c r="B1439" s="846"/>
      <c r="C1439" s="1517"/>
      <c r="D1439" s="846"/>
      <c r="E1439" s="846"/>
      <c r="F1439" s="846"/>
      <c r="G1439" s="846"/>
      <c r="H1439" s="846"/>
      <c r="I1439" s="1296"/>
      <c r="J1439" s="846"/>
      <c r="K1439" s="1296"/>
      <c r="L1439" s="846"/>
      <c r="M1439" s="1517"/>
      <c r="N1439" s="846"/>
      <c r="O1439" s="1517"/>
      <c r="P1439" s="846"/>
      <c r="Q1439" s="1296"/>
      <c r="R1439" s="846"/>
      <c r="S1439" s="846"/>
      <c r="T1439" s="846"/>
    </row>
    <row r="1440" ht="15.0" customHeight="1">
      <c r="A1440" s="1296"/>
      <c r="B1440" s="846"/>
      <c r="C1440" s="1517"/>
      <c r="D1440" s="846"/>
      <c r="E1440" s="846"/>
      <c r="F1440" s="846"/>
      <c r="G1440" s="846"/>
      <c r="H1440" s="846"/>
      <c r="I1440" s="1296"/>
      <c r="J1440" s="846"/>
      <c r="K1440" s="1296"/>
      <c r="L1440" s="846"/>
      <c r="M1440" s="1517"/>
      <c r="N1440" s="846"/>
      <c r="O1440" s="1517"/>
      <c r="P1440" s="846"/>
      <c r="Q1440" s="1296"/>
      <c r="R1440" s="846"/>
      <c r="S1440" s="846"/>
      <c r="T1440" s="846"/>
    </row>
    <row r="1441" ht="15.0" customHeight="1">
      <c r="A1441" s="1296"/>
      <c r="B1441" s="846"/>
      <c r="C1441" s="1517"/>
      <c r="D1441" s="846"/>
      <c r="E1441" s="846"/>
      <c r="F1441" s="846"/>
      <c r="G1441" s="846"/>
      <c r="H1441" s="846"/>
      <c r="I1441" s="1296"/>
      <c r="J1441" s="846"/>
      <c r="K1441" s="1296"/>
      <c r="L1441" s="846"/>
      <c r="M1441" s="1517"/>
      <c r="N1441" s="846"/>
      <c r="O1441" s="1517"/>
      <c r="P1441" s="846"/>
      <c r="Q1441" s="1296"/>
      <c r="R1441" s="846"/>
      <c r="S1441" s="846"/>
      <c r="T1441" s="846"/>
    </row>
    <row r="1442" ht="15.0" customHeight="1">
      <c r="A1442" s="1296"/>
      <c r="B1442" s="846"/>
      <c r="C1442" s="1517"/>
      <c r="D1442" s="846"/>
      <c r="E1442" s="846"/>
      <c r="F1442" s="846"/>
      <c r="G1442" s="846"/>
      <c r="H1442" s="846"/>
      <c r="I1442" s="1296"/>
      <c r="J1442" s="846"/>
      <c r="K1442" s="1296"/>
      <c r="L1442" s="846"/>
      <c r="M1442" s="1517"/>
      <c r="N1442" s="846"/>
      <c r="O1442" s="1517"/>
      <c r="P1442" s="846"/>
      <c r="Q1442" s="1296"/>
      <c r="R1442" s="846"/>
      <c r="S1442" s="846"/>
      <c r="T1442" s="846"/>
    </row>
    <row r="1443" ht="15.0" customHeight="1">
      <c r="A1443" s="1296"/>
      <c r="B1443" s="846"/>
      <c r="C1443" s="1517"/>
      <c r="D1443" s="846"/>
      <c r="E1443" s="846"/>
      <c r="F1443" s="846"/>
      <c r="G1443" s="846"/>
      <c r="H1443" s="846"/>
      <c r="I1443" s="1296"/>
      <c r="J1443" s="846"/>
      <c r="K1443" s="1296"/>
      <c r="L1443" s="846"/>
      <c r="M1443" s="1517"/>
      <c r="N1443" s="846"/>
      <c r="O1443" s="1517"/>
      <c r="P1443" s="846"/>
      <c r="Q1443" s="1296"/>
      <c r="R1443" s="846"/>
      <c r="S1443" s="846"/>
      <c r="T1443" s="846"/>
    </row>
    <row r="1444" ht="15.0" customHeight="1">
      <c r="A1444" s="1296"/>
      <c r="B1444" s="846"/>
      <c r="C1444" s="1517"/>
      <c r="D1444" s="846"/>
      <c r="E1444" s="846"/>
      <c r="F1444" s="846"/>
      <c r="G1444" s="846"/>
      <c r="H1444" s="846"/>
      <c r="I1444" s="1296"/>
      <c r="J1444" s="846"/>
      <c r="K1444" s="1296"/>
      <c r="L1444" s="846"/>
      <c r="M1444" s="1517"/>
      <c r="N1444" s="846"/>
      <c r="O1444" s="1517"/>
      <c r="P1444" s="846"/>
      <c r="Q1444" s="1296"/>
      <c r="R1444" s="846"/>
      <c r="S1444" s="846"/>
      <c r="T1444" s="846"/>
    </row>
    <row r="1445" ht="15.0" customHeight="1">
      <c r="A1445" s="1296"/>
      <c r="B1445" s="846"/>
      <c r="C1445" s="1517"/>
      <c r="D1445" s="846"/>
      <c r="E1445" s="846"/>
      <c r="F1445" s="846"/>
      <c r="G1445" s="846"/>
      <c r="H1445" s="846"/>
      <c r="I1445" s="1296"/>
      <c r="J1445" s="846"/>
      <c r="K1445" s="1296"/>
      <c r="L1445" s="846"/>
      <c r="M1445" s="1517"/>
      <c r="N1445" s="846"/>
      <c r="O1445" s="1517"/>
      <c r="P1445" s="846"/>
      <c r="Q1445" s="1296"/>
      <c r="R1445" s="846"/>
      <c r="S1445" s="846"/>
      <c r="T1445" s="846"/>
    </row>
    <row r="1446" ht="15.0" customHeight="1">
      <c r="A1446" s="1296"/>
      <c r="B1446" s="846"/>
      <c r="C1446" s="1517"/>
      <c r="D1446" s="846"/>
      <c r="E1446" s="846"/>
      <c r="F1446" s="846"/>
      <c r="G1446" s="846"/>
      <c r="H1446" s="846"/>
      <c r="I1446" s="1296"/>
      <c r="J1446" s="846"/>
      <c r="K1446" s="1296"/>
      <c r="L1446" s="846"/>
      <c r="M1446" s="1517"/>
      <c r="N1446" s="846"/>
      <c r="O1446" s="1517"/>
      <c r="P1446" s="846"/>
      <c r="Q1446" s="1296"/>
      <c r="R1446" s="846"/>
      <c r="S1446" s="846"/>
      <c r="T1446" s="846"/>
    </row>
    <row r="1447" ht="15.0" customHeight="1">
      <c r="A1447" s="1296"/>
      <c r="B1447" s="846"/>
      <c r="C1447" s="1517"/>
      <c r="D1447" s="846"/>
      <c r="E1447" s="846"/>
      <c r="F1447" s="846"/>
      <c r="G1447" s="846"/>
      <c r="H1447" s="846"/>
      <c r="I1447" s="1296"/>
      <c r="J1447" s="846"/>
      <c r="K1447" s="1296"/>
      <c r="L1447" s="846"/>
      <c r="M1447" s="1517"/>
      <c r="N1447" s="846"/>
      <c r="O1447" s="1517"/>
      <c r="P1447" s="846"/>
      <c r="Q1447" s="1296"/>
      <c r="R1447" s="846"/>
      <c r="S1447" s="846"/>
      <c r="T1447" s="846"/>
    </row>
    <row r="1448" ht="15.0" customHeight="1">
      <c r="A1448" s="1296"/>
      <c r="B1448" s="846"/>
      <c r="C1448" s="1517"/>
      <c r="D1448" s="846"/>
      <c r="E1448" s="846"/>
      <c r="F1448" s="846"/>
      <c r="G1448" s="846"/>
      <c r="H1448" s="846"/>
      <c r="I1448" s="1296"/>
      <c r="J1448" s="846"/>
      <c r="K1448" s="1296"/>
      <c r="L1448" s="846"/>
      <c r="M1448" s="1517"/>
      <c r="N1448" s="846"/>
      <c r="O1448" s="1517"/>
      <c r="P1448" s="846"/>
      <c r="Q1448" s="1296"/>
      <c r="R1448" s="846"/>
      <c r="S1448" s="846"/>
      <c r="T1448" s="846"/>
    </row>
    <row r="1449" ht="15.0" customHeight="1">
      <c r="A1449" s="1296"/>
      <c r="B1449" s="846"/>
      <c r="C1449" s="1517"/>
      <c r="D1449" s="846"/>
      <c r="E1449" s="846"/>
      <c r="F1449" s="846"/>
      <c r="G1449" s="846"/>
      <c r="H1449" s="846"/>
      <c r="I1449" s="1296"/>
      <c r="J1449" s="846"/>
      <c r="K1449" s="1296"/>
      <c r="L1449" s="846"/>
      <c r="M1449" s="1517"/>
      <c r="N1449" s="846"/>
      <c r="O1449" s="1517"/>
      <c r="P1449" s="846"/>
      <c r="Q1449" s="1296"/>
      <c r="R1449" s="846"/>
      <c r="S1449" s="846"/>
      <c r="T1449" s="846"/>
    </row>
    <row r="1450" ht="15.0" customHeight="1">
      <c r="A1450" s="1296"/>
      <c r="B1450" s="846"/>
      <c r="C1450" s="1517"/>
      <c r="D1450" s="846"/>
      <c r="E1450" s="846"/>
      <c r="F1450" s="846"/>
      <c r="G1450" s="846"/>
      <c r="H1450" s="846"/>
      <c r="I1450" s="1296"/>
      <c r="J1450" s="846"/>
      <c r="K1450" s="1296"/>
      <c r="L1450" s="846"/>
      <c r="M1450" s="1517"/>
      <c r="N1450" s="846"/>
      <c r="O1450" s="1517"/>
      <c r="P1450" s="846"/>
      <c r="Q1450" s="1296"/>
      <c r="R1450" s="846"/>
      <c r="S1450" s="846"/>
      <c r="T1450" s="846"/>
    </row>
    <row r="1451" ht="15.0" customHeight="1">
      <c r="A1451" s="1296"/>
      <c r="B1451" s="846"/>
      <c r="C1451" s="1517"/>
      <c r="D1451" s="846"/>
      <c r="E1451" s="846"/>
      <c r="F1451" s="846"/>
      <c r="G1451" s="846"/>
      <c r="H1451" s="846"/>
      <c r="I1451" s="1296"/>
      <c r="J1451" s="846"/>
      <c r="K1451" s="1296"/>
      <c r="L1451" s="846"/>
      <c r="M1451" s="1517"/>
      <c r="N1451" s="846"/>
      <c r="O1451" s="1517"/>
      <c r="P1451" s="846"/>
      <c r="Q1451" s="1296"/>
      <c r="R1451" s="846"/>
      <c r="S1451" s="846"/>
      <c r="T1451" s="846"/>
    </row>
    <row r="1452" ht="15.0" customHeight="1">
      <c r="A1452" s="1296"/>
      <c r="B1452" s="846"/>
      <c r="C1452" s="1517"/>
      <c r="D1452" s="846"/>
      <c r="E1452" s="846"/>
      <c r="F1452" s="846"/>
      <c r="G1452" s="846"/>
      <c r="H1452" s="846"/>
      <c r="I1452" s="1296"/>
      <c r="J1452" s="846"/>
      <c r="K1452" s="1296"/>
      <c r="L1452" s="846"/>
      <c r="M1452" s="1517"/>
      <c r="N1452" s="846"/>
      <c r="O1452" s="1517"/>
      <c r="P1452" s="846"/>
      <c r="Q1452" s="1296"/>
      <c r="R1452" s="846"/>
      <c r="S1452" s="846"/>
      <c r="T1452" s="846"/>
    </row>
    <row r="1453" ht="15.0" customHeight="1">
      <c r="A1453" s="1296"/>
      <c r="B1453" s="846"/>
      <c r="C1453" s="1517"/>
      <c r="D1453" s="846"/>
      <c r="E1453" s="846"/>
      <c r="F1453" s="846"/>
      <c r="G1453" s="846"/>
      <c r="H1453" s="846"/>
      <c r="I1453" s="1296"/>
      <c r="J1453" s="846"/>
      <c r="K1453" s="1296"/>
      <c r="L1453" s="846"/>
      <c r="M1453" s="1517"/>
      <c r="N1453" s="846"/>
      <c r="O1453" s="1517"/>
      <c r="P1453" s="846"/>
      <c r="Q1453" s="1296"/>
      <c r="R1453" s="846"/>
      <c r="S1453" s="846"/>
      <c r="T1453" s="846"/>
    </row>
    <row r="1454" ht="15.0" customHeight="1">
      <c r="A1454" s="1296"/>
      <c r="B1454" s="846"/>
      <c r="C1454" s="1517"/>
      <c r="D1454" s="846"/>
      <c r="E1454" s="846"/>
      <c r="F1454" s="846"/>
      <c r="G1454" s="846"/>
      <c r="H1454" s="846"/>
      <c r="I1454" s="1296"/>
      <c r="J1454" s="846"/>
      <c r="K1454" s="1296"/>
      <c r="L1454" s="846"/>
      <c r="M1454" s="1517"/>
      <c r="N1454" s="846"/>
      <c r="O1454" s="1517"/>
      <c r="P1454" s="846"/>
      <c r="Q1454" s="1296"/>
      <c r="R1454" s="846"/>
      <c r="S1454" s="846"/>
      <c r="T1454" s="846"/>
    </row>
    <row r="1455" ht="15.0" customHeight="1">
      <c r="A1455" s="1296"/>
      <c r="B1455" s="846"/>
      <c r="C1455" s="1517"/>
      <c r="D1455" s="846"/>
      <c r="E1455" s="846"/>
      <c r="F1455" s="846"/>
      <c r="G1455" s="846"/>
      <c r="H1455" s="846"/>
      <c r="I1455" s="1296"/>
      <c r="J1455" s="846"/>
      <c r="K1455" s="1296"/>
      <c r="L1455" s="846"/>
      <c r="M1455" s="1517"/>
      <c r="N1455" s="846"/>
      <c r="O1455" s="1517"/>
      <c r="P1455" s="846"/>
      <c r="Q1455" s="1296"/>
      <c r="R1455" s="846"/>
      <c r="S1455" s="846"/>
      <c r="T1455" s="846"/>
    </row>
    <row r="1456" ht="15.0" customHeight="1">
      <c r="A1456" s="1296"/>
      <c r="B1456" s="846"/>
      <c r="C1456" s="1517"/>
      <c r="D1456" s="846"/>
      <c r="E1456" s="846"/>
      <c r="F1456" s="846"/>
      <c r="G1456" s="846"/>
      <c r="H1456" s="846"/>
      <c r="I1456" s="1296"/>
      <c r="J1456" s="846"/>
      <c r="K1456" s="1296"/>
      <c r="L1456" s="846"/>
      <c r="M1456" s="1517"/>
      <c r="N1456" s="846"/>
      <c r="O1456" s="1517"/>
      <c r="P1456" s="846"/>
      <c r="Q1456" s="1296"/>
      <c r="R1456" s="846"/>
      <c r="S1456" s="846"/>
      <c r="T1456" s="846"/>
    </row>
    <row r="1457" ht="15.0" customHeight="1">
      <c r="A1457" s="1296"/>
      <c r="B1457" s="846"/>
      <c r="C1457" s="1517"/>
      <c r="D1457" s="846"/>
      <c r="E1457" s="846"/>
      <c r="F1457" s="846"/>
      <c r="G1457" s="846"/>
      <c r="H1457" s="846"/>
      <c r="I1457" s="1296"/>
      <c r="J1457" s="846"/>
      <c r="K1457" s="1296"/>
      <c r="L1457" s="846"/>
      <c r="M1457" s="1517"/>
      <c r="N1457" s="846"/>
      <c r="O1457" s="1517"/>
      <c r="P1457" s="846"/>
      <c r="Q1457" s="1296"/>
      <c r="R1457" s="846"/>
      <c r="S1457" s="846"/>
      <c r="T1457" s="846"/>
    </row>
    <row r="1458" ht="15.0" customHeight="1">
      <c r="A1458" s="1296"/>
      <c r="B1458" s="846"/>
      <c r="C1458" s="1517"/>
      <c r="D1458" s="846"/>
      <c r="E1458" s="846"/>
      <c r="F1458" s="846"/>
      <c r="G1458" s="846"/>
      <c r="H1458" s="846"/>
      <c r="I1458" s="1296"/>
      <c r="J1458" s="846"/>
      <c r="K1458" s="1296"/>
      <c r="L1458" s="846"/>
      <c r="M1458" s="1517"/>
      <c r="N1458" s="846"/>
      <c r="O1458" s="1517"/>
      <c r="P1458" s="846"/>
      <c r="Q1458" s="1296"/>
      <c r="R1458" s="846"/>
      <c r="S1458" s="846"/>
      <c r="T1458" s="846"/>
    </row>
    <row r="1459" ht="15.0" customHeight="1">
      <c r="A1459" s="1296"/>
      <c r="B1459" s="846"/>
      <c r="C1459" s="1517"/>
      <c r="D1459" s="846"/>
      <c r="E1459" s="846"/>
      <c r="F1459" s="846"/>
      <c r="G1459" s="846"/>
      <c r="H1459" s="846"/>
      <c r="I1459" s="1296"/>
      <c r="J1459" s="846"/>
      <c r="K1459" s="1296"/>
      <c r="L1459" s="846"/>
      <c r="M1459" s="1517"/>
      <c r="N1459" s="846"/>
      <c r="O1459" s="1517"/>
      <c r="P1459" s="846"/>
      <c r="Q1459" s="1296"/>
      <c r="R1459" s="846"/>
      <c r="S1459" s="846"/>
      <c r="T1459" s="846"/>
    </row>
    <row r="1460" ht="15.0" customHeight="1">
      <c r="A1460" s="1296"/>
      <c r="B1460" s="846"/>
      <c r="C1460" s="1517"/>
      <c r="D1460" s="846"/>
      <c r="E1460" s="846"/>
      <c r="F1460" s="846"/>
      <c r="G1460" s="846"/>
      <c r="H1460" s="846"/>
      <c r="I1460" s="1296"/>
      <c r="J1460" s="846"/>
      <c r="K1460" s="1296"/>
      <c r="L1460" s="846"/>
      <c r="M1460" s="1517"/>
      <c r="N1460" s="846"/>
      <c r="O1460" s="1517"/>
      <c r="P1460" s="846"/>
      <c r="Q1460" s="1296"/>
      <c r="R1460" s="846"/>
      <c r="S1460" s="846"/>
      <c r="T1460" s="846"/>
    </row>
    <row r="1461" ht="15.0" customHeight="1">
      <c r="A1461" s="1296"/>
      <c r="B1461" s="846"/>
      <c r="C1461" s="1517"/>
      <c r="D1461" s="846"/>
      <c r="E1461" s="846"/>
      <c r="F1461" s="846"/>
      <c r="G1461" s="846"/>
      <c r="H1461" s="846"/>
      <c r="I1461" s="1296"/>
      <c r="J1461" s="846"/>
      <c r="K1461" s="1296"/>
      <c r="L1461" s="846"/>
      <c r="M1461" s="1517"/>
      <c r="N1461" s="846"/>
      <c r="O1461" s="1517"/>
      <c r="P1461" s="846"/>
      <c r="Q1461" s="1296"/>
      <c r="R1461" s="846"/>
      <c r="S1461" s="846"/>
      <c r="T1461" s="846"/>
    </row>
    <row r="1462" ht="15.0" customHeight="1">
      <c r="A1462" s="1296"/>
      <c r="B1462" s="846"/>
      <c r="C1462" s="1517"/>
      <c r="D1462" s="846"/>
      <c r="E1462" s="846"/>
      <c r="F1462" s="846"/>
      <c r="G1462" s="846"/>
      <c r="H1462" s="846"/>
      <c r="I1462" s="1296"/>
      <c r="J1462" s="846"/>
      <c r="K1462" s="1296"/>
      <c r="L1462" s="846"/>
      <c r="M1462" s="1517"/>
      <c r="N1462" s="846"/>
      <c r="O1462" s="1517"/>
      <c r="P1462" s="846"/>
      <c r="Q1462" s="1296"/>
      <c r="R1462" s="846"/>
      <c r="S1462" s="846"/>
      <c r="T1462" s="846"/>
    </row>
    <row r="1463" ht="15.0" customHeight="1">
      <c r="A1463" s="1296"/>
      <c r="B1463" s="846"/>
      <c r="C1463" s="1517"/>
      <c r="D1463" s="846"/>
      <c r="E1463" s="846"/>
      <c r="F1463" s="846"/>
      <c r="G1463" s="846"/>
      <c r="H1463" s="846"/>
      <c r="I1463" s="1296"/>
      <c r="J1463" s="846"/>
      <c r="K1463" s="1296"/>
      <c r="L1463" s="846"/>
      <c r="M1463" s="1517"/>
      <c r="N1463" s="846"/>
      <c r="O1463" s="1517"/>
      <c r="P1463" s="846"/>
      <c r="Q1463" s="1296"/>
      <c r="R1463" s="846"/>
      <c r="S1463" s="846"/>
      <c r="T1463" s="846"/>
    </row>
    <row r="1464" ht="15.0" customHeight="1">
      <c r="A1464" s="1296"/>
      <c r="B1464" s="846"/>
      <c r="C1464" s="1517"/>
      <c r="D1464" s="846"/>
      <c r="E1464" s="846"/>
      <c r="F1464" s="846"/>
      <c r="G1464" s="846"/>
      <c r="H1464" s="846"/>
      <c r="I1464" s="1296"/>
      <c r="J1464" s="846"/>
      <c r="K1464" s="1296"/>
      <c r="L1464" s="846"/>
      <c r="M1464" s="1517"/>
      <c r="N1464" s="846"/>
      <c r="O1464" s="1517"/>
      <c r="P1464" s="846"/>
      <c r="Q1464" s="1296"/>
      <c r="R1464" s="846"/>
      <c r="S1464" s="846"/>
      <c r="T1464" s="846"/>
    </row>
    <row r="1465" ht="15.0" customHeight="1">
      <c r="A1465" s="1296"/>
      <c r="B1465" s="846"/>
      <c r="C1465" s="1517"/>
      <c r="D1465" s="846"/>
      <c r="E1465" s="846"/>
      <c r="F1465" s="846"/>
      <c r="G1465" s="846"/>
      <c r="H1465" s="846"/>
      <c r="I1465" s="1296"/>
      <c r="J1465" s="846"/>
      <c r="K1465" s="1296"/>
      <c r="L1465" s="846"/>
      <c r="M1465" s="1517"/>
      <c r="N1465" s="846"/>
      <c r="O1465" s="1517"/>
      <c r="P1465" s="846"/>
      <c r="Q1465" s="1296"/>
      <c r="R1465" s="846"/>
      <c r="S1465" s="846"/>
      <c r="T1465" s="846"/>
    </row>
    <row r="1466" ht="15.0" customHeight="1">
      <c r="A1466" s="1296"/>
      <c r="B1466" s="846"/>
      <c r="C1466" s="1517"/>
      <c r="D1466" s="846"/>
      <c r="E1466" s="846"/>
      <c r="F1466" s="846"/>
      <c r="G1466" s="846"/>
      <c r="H1466" s="846"/>
      <c r="I1466" s="1296"/>
      <c r="J1466" s="846"/>
      <c r="K1466" s="1296"/>
      <c r="L1466" s="846"/>
      <c r="M1466" s="1517"/>
      <c r="N1466" s="846"/>
      <c r="O1466" s="1517"/>
      <c r="P1466" s="846"/>
      <c r="Q1466" s="1296"/>
      <c r="R1466" s="846"/>
      <c r="S1466" s="846"/>
      <c r="T1466" s="846"/>
    </row>
    <row r="1467" ht="15.0" customHeight="1">
      <c r="A1467" s="1296"/>
      <c r="B1467" s="846"/>
      <c r="C1467" s="1517"/>
      <c r="D1467" s="846"/>
      <c r="E1467" s="846"/>
      <c r="F1467" s="846"/>
      <c r="G1467" s="846"/>
      <c r="H1467" s="846"/>
      <c r="I1467" s="1296"/>
      <c r="J1467" s="846"/>
      <c r="K1467" s="1296"/>
      <c r="L1467" s="846"/>
      <c r="M1467" s="1517"/>
      <c r="N1467" s="846"/>
      <c r="O1467" s="1517"/>
      <c r="P1467" s="846"/>
      <c r="Q1467" s="1296"/>
      <c r="R1467" s="846"/>
      <c r="S1467" s="846"/>
      <c r="T1467" s="846"/>
    </row>
    <row r="1468" ht="15.0" customHeight="1">
      <c r="A1468" s="1296"/>
      <c r="B1468" s="846"/>
      <c r="C1468" s="1517"/>
      <c r="D1468" s="846"/>
      <c r="E1468" s="846"/>
      <c r="F1468" s="846"/>
      <c r="G1468" s="846"/>
      <c r="H1468" s="846"/>
      <c r="I1468" s="1296"/>
      <c r="J1468" s="846"/>
      <c r="K1468" s="1296"/>
      <c r="L1468" s="846"/>
      <c r="M1468" s="1517"/>
      <c r="N1468" s="846"/>
      <c r="O1468" s="1517"/>
      <c r="P1468" s="846"/>
      <c r="Q1468" s="1296"/>
      <c r="R1468" s="846"/>
      <c r="S1468" s="846"/>
      <c r="T1468" s="846"/>
    </row>
    <row r="1469" ht="15.0" customHeight="1">
      <c r="A1469" s="1296"/>
      <c r="B1469" s="846"/>
      <c r="C1469" s="1517"/>
      <c r="D1469" s="846"/>
      <c r="E1469" s="846"/>
      <c r="F1469" s="846"/>
      <c r="G1469" s="846"/>
      <c r="H1469" s="846"/>
      <c r="I1469" s="1296"/>
      <c r="J1469" s="846"/>
      <c r="K1469" s="1296"/>
      <c r="L1469" s="846"/>
      <c r="M1469" s="1517"/>
      <c r="N1469" s="846"/>
      <c r="O1469" s="1517"/>
      <c r="P1469" s="846"/>
      <c r="Q1469" s="1296"/>
      <c r="R1469" s="846"/>
      <c r="S1469" s="846"/>
      <c r="T1469" s="846"/>
    </row>
    <row r="1470" ht="15.0" customHeight="1">
      <c r="A1470" s="1296"/>
      <c r="B1470" s="846"/>
      <c r="C1470" s="1517"/>
      <c r="D1470" s="846"/>
      <c r="E1470" s="846"/>
      <c r="F1470" s="846"/>
      <c r="G1470" s="846"/>
      <c r="H1470" s="846"/>
      <c r="I1470" s="1296"/>
      <c r="J1470" s="846"/>
      <c r="K1470" s="1296"/>
      <c r="L1470" s="846"/>
      <c r="M1470" s="1517"/>
      <c r="N1470" s="846"/>
      <c r="O1470" s="1517"/>
      <c r="P1470" s="846"/>
      <c r="Q1470" s="1296"/>
      <c r="R1470" s="846"/>
      <c r="S1470" s="846"/>
      <c r="T1470" s="846"/>
    </row>
    <row r="1471" ht="15.0" customHeight="1">
      <c r="A1471" s="1296"/>
      <c r="B1471" s="846"/>
      <c r="C1471" s="1517"/>
      <c r="D1471" s="846"/>
      <c r="E1471" s="846"/>
      <c r="F1471" s="846"/>
      <c r="G1471" s="846"/>
      <c r="H1471" s="846"/>
      <c r="I1471" s="1296"/>
      <c r="J1471" s="846"/>
      <c r="K1471" s="1296"/>
      <c r="L1471" s="846"/>
      <c r="M1471" s="1517"/>
      <c r="N1471" s="846"/>
      <c r="O1471" s="1517"/>
      <c r="P1471" s="846"/>
      <c r="Q1471" s="1296"/>
      <c r="R1471" s="846"/>
      <c r="S1471" s="846"/>
      <c r="T1471" s="846"/>
    </row>
    <row r="1472" ht="15.0" customHeight="1">
      <c r="A1472" s="1296"/>
      <c r="B1472" s="846"/>
      <c r="C1472" s="1517"/>
      <c r="D1472" s="846"/>
      <c r="E1472" s="846"/>
      <c r="F1472" s="846"/>
      <c r="G1472" s="846"/>
      <c r="H1472" s="846"/>
      <c r="I1472" s="1296"/>
      <c r="J1472" s="846"/>
      <c r="K1472" s="1296"/>
      <c r="L1472" s="846"/>
      <c r="M1472" s="1517"/>
      <c r="N1472" s="846"/>
      <c r="O1472" s="1517"/>
      <c r="P1472" s="846"/>
      <c r="Q1472" s="1296"/>
      <c r="R1472" s="846"/>
      <c r="S1472" s="846"/>
      <c r="T1472" s="846"/>
    </row>
    <row r="1473" ht="15.0" customHeight="1">
      <c r="A1473" s="1296"/>
      <c r="B1473" s="846"/>
      <c r="C1473" s="1517"/>
      <c r="D1473" s="846"/>
      <c r="E1473" s="846"/>
      <c r="F1473" s="846"/>
      <c r="G1473" s="846"/>
      <c r="H1473" s="846"/>
      <c r="I1473" s="1296"/>
      <c r="J1473" s="846"/>
      <c r="K1473" s="1296"/>
      <c r="L1473" s="846"/>
      <c r="M1473" s="1517"/>
      <c r="N1473" s="846"/>
      <c r="O1473" s="1517"/>
      <c r="P1473" s="846"/>
      <c r="Q1473" s="1296"/>
      <c r="R1473" s="846"/>
      <c r="S1473" s="846"/>
      <c r="T1473" s="846"/>
    </row>
    <row r="1474" ht="15.0" customHeight="1">
      <c r="A1474" s="1296"/>
      <c r="B1474" s="846"/>
      <c r="C1474" s="1517"/>
      <c r="D1474" s="846"/>
      <c r="E1474" s="846"/>
      <c r="F1474" s="846"/>
      <c r="G1474" s="846"/>
      <c r="H1474" s="846"/>
      <c r="I1474" s="1296"/>
      <c r="J1474" s="846"/>
      <c r="K1474" s="1296"/>
      <c r="L1474" s="846"/>
      <c r="M1474" s="1517"/>
      <c r="N1474" s="846"/>
      <c r="O1474" s="1517"/>
      <c r="P1474" s="846"/>
      <c r="Q1474" s="1296"/>
      <c r="R1474" s="846"/>
      <c r="S1474" s="846"/>
      <c r="T1474" s="846"/>
    </row>
    <row r="1475" ht="15.0" customHeight="1">
      <c r="A1475" s="1296"/>
      <c r="B1475" s="846"/>
      <c r="C1475" s="1517"/>
      <c r="D1475" s="846"/>
      <c r="E1475" s="846"/>
      <c r="F1475" s="846"/>
      <c r="G1475" s="846"/>
      <c r="H1475" s="846"/>
      <c r="I1475" s="1296"/>
      <c r="J1475" s="846"/>
      <c r="K1475" s="1296"/>
      <c r="L1475" s="846"/>
      <c r="M1475" s="1517"/>
      <c r="N1475" s="846"/>
      <c r="O1475" s="1517"/>
      <c r="P1475" s="846"/>
      <c r="Q1475" s="1296"/>
      <c r="R1475" s="846"/>
      <c r="S1475" s="846"/>
      <c r="T1475" s="846"/>
    </row>
    <row r="1476" ht="15.0" customHeight="1">
      <c r="A1476" s="1296"/>
      <c r="B1476" s="846"/>
      <c r="C1476" s="1517"/>
      <c r="D1476" s="846"/>
      <c r="E1476" s="846"/>
      <c r="F1476" s="846"/>
      <c r="G1476" s="846"/>
      <c r="H1476" s="846"/>
      <c r="I1476" s="1296"/>
      <c r="J1476" s="846"/>
      <c r="K1476" s="1296"/>
      <c r="L1476" s="846"/>
      <c r="M1476" s="1517"/>
      <c r="N1476" s="846"/>
      <c r="O1476" s="1517"/>
      <c r="P1476" s="846"/>
      <c r="Q1476" s="1296"/>
      <c r="R1476" s="846"/>
      <c r="S1476" s="846"/>
      <c r="T1476" s="846"/>
    </row>
    <row r="1477" ht="15.0" customHeight="1">
      <c r="A1477" s="1296"/>
      <c r="B1477" s="846"/>
      <c r="C1477" s="1517"/>
      <c r="D1477" s="846"/>
      <c r="E1477" s="846"/>
      <c r="F1477" s="846"/>
      <c r="G1477" s="846"/>
      <c r="H1477" s="846"/>
      <c r="I1477" s="1296"/>
      <c r="J1477" s="846"/>
      <c r="K1477" s="1296"/>
      <c r="L1477" s="846"/>
      <c r="M1477" s="1517"/>
      <c r="N1477" s="846"/>
      <c r="O1477" s="1517"/>
      <c r="P1477" s="846"/>
      <c r="Q1477" s="1296"/>
      <c r="R1477" s="846"/>
      <c r="S1477" s="846"/>
      <c r="T1477" s="846"/>
    </row>
    <row r="1478" ht="15.0" customHeight="1">
      <c r="A1478" s="1296"/>
      <c r="B1478" s="846"/>
      <c r="C1478" s="1517"/>
      <c r="D1478" s="846"/>
      <c r="E1478" s="846"/>
      <c r="F1478" s="846"/>
      <c r="G1478" s="846"/>
      <c r="H1478" s="846"/>
      <c r="I1478" s="1296"/>
      <c r="J1478" s="846"/>
      <c r="K1478" s="1296"/>
      <c r="L1478" s="846"/>
      <c r="M1478" s="1517"/>
      <c r="N1478" s="846"/>
      <c r="O1478" s="1517"/>
      <c r="P1478" s="846"/>
      <c r="Q1478" s="1296"/>
      <c r="R1478" s="846"/>
      <c r="S1478" s="846"/>
      <c r="T1478" s="846"/>
    </row>
    <row r="1479" ht="15.0" customHeight="1">
      <c r="A1479" s="1296"/>
      <c r="B1479" s="846"/>
      <c r="C1479" s="1517"/>
      <c r="D1479" s="846"/>
      <c r="E1479" s="846"/>
      <c r="F1479" s="846"/>
      <c r="G1479" s="846"/>
      <c r="H1479" s="846"/>
      <c r="I1479" s="1296"/>
      <c r="J1479" s="846"/>
      <c r="K1479" s="1296"/>
      <c r="L1479" s="846"/>
      <c r="M1479" s="1517"/>
      <c r="N1479" s="846"/>
      <c r="O1479" s="1517"/>
      <c r="P1479" s="846"/>
      <c r="Q1479" s="1296"/>
      <c r="R1479" s="846"/>
      <c r="S1479" s="846"/>
      <c r="T1479" s="846"/>
    </row>
    <row r="1480" ht="15.0" customHeight="1">
      <c r="A1480" s="1296"/>
      <c r="B1480" s="846"/>
      <c r="C1480" s="1517"/>
      <c r="D1480" s="846"/>
      <c r="E1480" s="846"/>
      <c r="F1480" s="846"/>
      <c r="G1480" s="846"/>
      <c r="H1480" s="846"/>
      <c r="I1480" s="1296"/>
      <c r="J1480" s="846"/>
      <c r="K1480" s="1296"/>
      <c r="L1480" s="846"/>
      <c r="M1480" s="1517"/>
      <c r="N1480" s="846"/>
      <c r="O1480" s="1517"/>
      <c r="P1480" s="846"/>
      <c r="Q1480" s="1296"/>
      <c r="R1480" s="846"/>
      <c r="S1480" s="846"/>
      <c r="T1480" s="846"/>
    </row>
    <row r="1481" ht="15.0" customHeight="1">
      <c r="A1481" s="1296"/>
      <c r="B1481" s="846"/>
      <c r="C1481" s="1517"/>
      <c r="D1481" s="846"/>
      <c r="E1481" s="846"/>
      <c r="F1481" s="846"/>
      <c r="G1481" s="846"/>
      <c r="H1481" s="846"/>
      <c r="I1481" s="1296"/>
      <c r="J1481" s="846"/>
      <c r="K1481" s="1296"/>
      <c r="L1481" s="846"/>
      <c r="M1481" s="1517"/>
      <c r="N1481" s="846"/>
      <c r="O1481" s="1517"/>
      <c r="P1481" s="846"/>
      <c r="Q1481" s="1296"/>
      <c r="R1481" s="846"/>
      <c r="S1481" s="846"/>
      <c r="T1481" s="846"/>
    </row>
    <row r="1482" ht="15.0" customHeight="1">
      <c r="A1482" s="1296"/>
      <c r="B1482" s="846"/>
      <c r="C1482" s="1517"/>
      <c r="D1482" s="846"/>
      <c r="E1482" s="846"/>
      <c r="F1482" s="846"/>
      <c r="G1482" s="846"/>
      <c r="H1482" s="846"/>
      <c r="I1482" s="1296"/>
      <c r="J1482" s="846"/>
      <c r="K1482" s="1296"/>
      <c r="L1482" s="846"/>
      <c r="M1482" s="1517"/>
      <c r="N1482" s="846"/>
      <c r="O1482" s="1517"/>
      <c r="P1482" s="846"/>
      <c r="Q1482" s="1296"/>
      <c r="R1482" s="846"/>
      <c r="S1482" s="846"/>
      <c r="T1482" s="846"/>
    </row>
    <row r="1483" ht="15.0" customHeight="1">
      <c r="A1483" s="1296"/>
      <c r="B1483" s="846"/>
      <c r="C1483" s="1517"/>
      <c r="D1483" s="846"/>
      <c r="E1483" s="846"/>
      <c r="F1483" s="846"/>
      <c r="G1483" s="846"/>
      <c r="H1483" s="846"/>
      <c r="I1483" s="1296"/>
      <c r="J1483" s="846"/>
      <c r="K1483" s="1296"/>
      <c r="L1483" s="846"/>
      <c r="M1483" s="1517"/>
      <c r="N1483" s="846"/>
      <c r="O1483" s="1517"/>
      <c r="P1483" s="846"/>
      <c r="Q1483" s="1296"/>
      <c r="R1483" s="846"/>
      <c r="S1483" s="846"/>
      <c r="T1483" s="846"/>
    </row>
    <row r="1484" ht="15.0" customHeight="1">
      <c r="A1484" s="1296"/>
      <c r="B1484" s="846"/>
      <c r="C1484" s="1517"/>
      <c r="D1484" s="846"/>
      <c r="E1484" s="846"/>
      <c r="F1484" s="846"/>
      <c r="G1484" s="846"/>
      <c r="H1484" s="846"/>
      <c r="I1484" s="1296"/>
      <c r="J1484" s="846"/>
      <c r="K1484" s="1296"/>
      <c r="L1484" s="846"/>
      <c r="M1484" s="1517"/>
      <c r="N1484" s="846"/>
      <c r="O1484" s="1517"/>
      <c r="P1484" s="846"/>
      <c r="Q1484" s="1296"/>
      <c r="R1484" s="846"/>
      <c r="S1484" s="846"/>
      <c r="T1484" s="846"/>
    </row>
    <row r="1485" ht="15.0" customHeight="1">
      <c r="A1485" s="1296"/>
      <c r="B1485" s="846"/>
      <c r="C1485" s="1517"/>
      <c r="D1485" s="846"/>
      <c r="E1485" s="846"/>
      <c r="F1485" s="846"/>
      <c r="G1485" s="846"/>
      <c r="H1485" s="846"/>
      <c r="I1485" s="1296"/>
      <c r="J1485" s="846"/>
      <c r="K1485" s="1296"/>
      <c r="L1485" s="846"/>
      <c r="M1485" s="1517"/>
      <c r="N1485" s="846"/>
      <c r="O1485" s="1517"/>
      <c r="P1485" s="846"/>
      <c r="Q1485" s="1296"/>
      <c r="R1485" s="846"/>
      <c r="S1485" s="846"/>
      <c r="T1485" s="846"/>
    </row>
    <row r="1486" ht="15.0" customHeight="1">
      <c r="A1486" s="1296"/>
      <c r="B1486" s="846"/>
      <c r="C1486" s="1517"/>
      <c r="D1486" s="846"/>
      <c r="E1486" s="846"/>
      <c r="F1486" s="846"/>
      <c r="G1486" s="846"/>
      <c r="H1486" s="846"/>
      <c r="I1486" s="1296"/>
      <c r="J1486" s="846"/>
      <c r="K1486" s="1296"/>
      <c r="L1486" s="846"/>
      <c r="M1486" s="1517"/>
      <c r="N1486" s="846"/>
      <c r="O1486" s="1517"/>
      <c r="P1486" s="846"/>
      <c r="Q1486" s="1296"/>
      <c r="R1486" s="846"/>
      <c r="S1486" s="846"/>
      <c r="T1486" s="846"/>
    </row>
    <row r="1487" ht="15.0" customHeight="1">
      <c r="A1487" s="1296"/>
      <c r="B1487" s="846"/>
      <c r="C1487" s="1517"/>
      <c r="D1487" s="846"/>
      <c r="E1487" s="846"/>
      <c r="F1487" s="846"/>
      <c r="G1487" s="846"/>
      <c r="H1487" s="846"/>
      <c r="I1487" s="1296"/>
      <c r="J1487" s="846"/>
      <c r="K1487" s="1296"/>
      <c r="L1487" s="846"/>
      <c r="M1487" s="1517"/>
      <c r="N1487" s="846"/>
      <c r="O1487" s="1517"/>
      <c r="P1487" s="846"/>
      <c r="Q1487" s="1296"/>
      <c r="R1487" s="846"/>
      <c r="S1487" s="846"/>
      <c r="T1487" s="846"/>
    </row>
    <row r="1488" ht="15.0" customHeight="1">
      <c r="A1488" s="1296"/>
      <c r="B1488" s="846"/>
      <c r="C1488" s="1517"/>
      <c r="D1488" s="846"/>
      <c r="E1488" s="846"/>
      <c r="F1488" s="846"/>
      <c r="G1488" s="846"/>
      <c r="H1488" s="846"/>
      <c r="I1488" s="1296"/>
      <c r="J1488" s="846"/>
      <c r="K1488" s="1296"/>
      <c r="L1488" s="846"/>
      <c r="M1488" s="1517"/>
      <c r="N1488" s="846"/>
      <c r="O1488" s="1517"/>
      <c r="P1488" s="846"/>
      <c r="Q1488" s="1296"/>
      <c r="R1488" s="846"/>
      <c r="S1488" s="846"/>
      <c r="T1488" s="846"/>
    </row>
    <row r="1489" ht="15.0" customHeight="1">
      <c r="A1489" s="1296"/>
      <c r="B1489" s="846"/>
      <c r="C1489" s="1517"/>
      <c r="D1489" s="846"/>
      <c r="E1489" s="846"/>
      <c r="F1489" s="846"/>
      <c r="G1489" s="846"/>
      <c r="H1489" s="846"/>
      <c r="I1489" s="1296"/>
      <c r="J1489" s="846"/>
      <c r="K1489" s="1296"/>
      <c r="L1489" s="846"/>
      <c r="M1489" s="1517"/>
      <c r="N1489" s="846"/>
      <c r="O1489" s="1517"/>
      <c r="P1489" s="846"/>
      <c r="Q1489" s="1296"/>
      <c r="R1489" s="846"/>
      <c r="S1489" s="846"/>
      <c r="T1489" s="846"/>
    </row>
    <row r="1490" ht="15.0" customHeight="1">
      <c r="A1490" s="1296"/>
      <c r="B1490" s="846"/>
      <c r="C1490" s="1517"/>
      <c r="D1490" s="846"/>
      <c r="E1490" s="846"/>
      <c r="F1490" s="846"/>
      <c r="G1490" s="846"/>
      <c r="H1490" s="846"/>
      <c r="I1490" s="1296"/>
      <c r="J1490" s="846"/>
      <c r="K1490" s="1296"/>
      <c r="L1490" s="846"/>
      <c r="M1490" s="1517"/>
      <c r="N1490" s="846"/>
      <c r="O1490" s="1517"/>
      <c r="P1490" s="846"/>
      <c r="Q1490" s="1296"/>
      <c r="R1490" s="846"/>
      <c r="S1490" s="846"/>
      <c r="T1490" s="846"/>
    </row>
    <row r="1491" ht="15.0" customHeight="1">
      <c r="A1491" s="1296"/>
      <c r="B1491" s="846"/>
      <c r="C1491" s="1517"/>
      <c r="D1491" s="846"/>
      <c r="E1491" s="846"/>
      <c r="F1491" s="846"/>
      <c r="G1491" s="846"/>
      <c r="H1491" s="846"/>
      <c r="I1491" s="1296"/>
      <c r="J1491" s="846"/>
      <c r="K1491" s="1296"/>
      <c r="L1491" s="846"/>
      <c r="M1491" s="1517"/>
      <c r="N1491" s="846"/>
      <c r="O1491" s="1517"/>
      <c r="P1491" s="846"/>
      <c r="Q1491" s="1296"/>
      <c r="R1491" s="846"/>
      <c r="S1491" s="846"/>
      <c r="T1491" s="846"/>
    </row>
    <row r="1492" ht="15.0" customHeight="1">
      <c r="A1492" s="1296"/>
      <c r="B1492" s="846"/>
      <c r="C1492" s="1517"/>
      <c r="D1492" s="846"/>
      <c r="E1492" s="846"/>
      <c r="F1492" s="846"/>
      <c r="G1492" s="846"/>
      <c r="H1492" s="846"/>
      <c r="I1492" s="1296"/>
      <c r="J1492" s="846"/>
      <c r="K1492" s="1296"/>
      <c r="L1492" s="846"/>
      <c r="M1492" s="1517"/>
      <c r="N1492" s="846"/>
      <c r="O1492" s="1517"/>
      <c r="P1492" s="846"/>
      <c r="Q1492" s="1296"/>
      <c r="R1492" s="846"/>
      <c r="S1492" s="846"/>
      <c r="T1492" s="846"/>
    </row>
    <row r="1493" ht="15.0" customHeight="1">
      <c r="A1493" s="1296"/>
      <c r="B1493" s="846"/>
      <c r="C1493" s="1517"/>
      <c r="D1493" s="846"/>
      <c r="E1493" s="846"/>
      <c r="F1493" s="846"/>
      <c r="G1493" s="846"/>
      <c r="H1493" s="846"/>
      <c r="I1493" s="1296"/>
      <c r="J1493" s="846"/>
      <c r="K1493" s="1296"/>
      <c r="L1493" s="846"/>
      <c r="M1493" s="1517"/>
      <c r="N1493" s="846"/>
      <c r="O1493" s="1517"/>
      <c r="P1493" s="846"/>
      <c r="Q1493" s="1296"/>
      <c r="R1493" s="846"/>
      <c r="S1493" s="846"/>
      <c r="T1493" s="846"/>
    </row>
    <row r="1494" ht="15.0" customHeight="1">
      <c r="A1494" s="1296"/>
      <c r="B1494" s="846"/>
      <c r="C1494" s="1517"/>
      <c r="D1494" s="846"/>
      <c r="E1494" s="846"/>
      <c r="F1494" s="846"/>
      <c r="G1494" s="846"/>
      <c r="H1494" s="846"/>
      <c r="I1494" s="1296"/>
      <c r="J1494" s="846"/>
      <c r="K1494" s="1296"/>
      <c r="L1494" s="846"/>
      <c r="M1494" s="1517"/>
      <c r="N1494" s="846"/>
      <c r="O1494" s="1517"/>
      <c r="P1494" s="846"/>
      <c r="Q1494" s="1296"/>
      <c r="R1494" s="846"/>
      <c r="S1494" s="846"/>
      <c r="T1494" s="846"/>
    </row>
    <row r="1495" ht="15.0" customHeight="1">
      <c r="A1495" s="1296"/>
      <c r="B1495" s="846"/>
      <c r="C1495" s="1517"/>
      <c r="D1495" s="846"/>
      <c r="E1495" s="846"/>
      <c r="F1495" s="846"/>
      <c r="G1495" s="846"/>
      <c r="H1495" s="846"/>
      <c r="I1495" s="1296"/>
      <c r="J1495" s="846"/>
      <c r="K1495" s="1296"/>
      <c r="L1495" s="846"/>
      <c r="M1495" s="1517"/>
      <c r="N1495" s="846"/>
      <c r="O1495" s="1517"/>
      <c r="P1495" s="846"/>
      <c r="Q1495" s="1296"/>
      <c r="R1495" s="846"/>
      <c r="S1495" s="846"/>
      <c r="T1495" s="846"/>
    </row>
    <row r="1496" ht="15.0" customHeight="1">
      <c r="A1496" s="1296"/>
      <c r="B1496" s="846"/>
      <c r="C1496" s="1517"/>
      <c r="D1496" s="846"/>
      <c r="E1496" s="846"/>
      <c r="F1496" s="846"/>
      <c r="G1496" s="846"/>
      <c r="H1496" s="846"/>
      <c r="I1496" s="1296"/>
      <c r="J1496" s="846"/>
      <c r="K1496" s="1296"/>
      <c r="L1496" s="846"/>
      <c r="M1496" s="1517"/>
      <c r="N1496" s="846"/>
      <c r="O1496" s="1517"/>
      <c r="P1496" s="846"/>
      <c r="Q1496" s="1296"/>
      <c r="R1496" s="846"/>
      <c r="S1496" s="846"/>
      <c r="T1496" s="846"/>
    </row>
    <row r="1497" ht="15.0" customHeight="1">
      <c r="A1497" s="1296"/>
      <c r="B1497" s="846"/>
      <c r="C1497" s="1517"/>
      <c r="D1497" s="846"/>
      <c r="E1497" s="846"/>
      <c r="F1497" s="846"/>
      <c r="G1497" s="846"/>
      <c r="H1497" s="846"/>
      <c r="I1497" s="1296"/>
      <c r="J1497" s="846"/>
      <c r="K1497" s="1296"/>
      <c r="L1497" s="846"/>
      <c r="M1497" s="1517"/>
      <c r="N1497" s="846"/>
      <c r="O1497" s="1517"/>
      <c r="P1497" s="846"/>
      <c r="Q1497" s="1296"/>
      <c r="R1497" s="846"/>
      <c r="S1497" s="846"/>
      <c r="T1497" s="846"/>
    </row>
    <row r="1498" ht="15.0" customHeight="1">
      <c r="A1498" s="1296"/>
      <c r="B1498" s="846"/>
      <c r="C1498" s="1517"/>
      <c r="D1498" s="846"/>
      <c r="E1498" s="846"/>
      <c r="F1498" s="846"/>
      <c r="G1498" s="846"/>
      <c r="H1498" s="846"/>
      <c r="I1498" s="1296"/>
      <c r="J1498" s="846"/>
      <c r="K1498" s="1296"/>
      <c r="L1498" s="846"/>
      <c r="M1498" s="1517"/>
      <c r="N1498" s="846"/>
      <c r="O1498" s="1517"/>
      <c r="P1498" s="846"/>
      <c r="Q1498" s="1296"/>
      <c r="R1498" s="846"/>
      <c r="S1498" s="846"/>
      <c r="T1498" s="846"/>
    </row>
    <row r="1499" ht="15.0" customHeight="1">
      <c r="A1499" s="1296"/>
      <c r="B1499" s="846"/>
      <c r="C1499" s="1517"/>
      <c r="D1499" s="846"/>
      <c r="E1499" s="846"/>
      <c r="F1499" s="846"/>
      <c r="G1499" s="846"/>
      <c r="H1499" s="846"/>
      <c r="I1499" s="1296"/>
      <c r="J1499" s="846"/>
      <c r="K1499" s="1296"/>
      <c r="L1499" s="846"/>
      <c r="M1499" s="1517"/>
      <c r="N1499" s="846"/>
      <c r="O1499" s="1517"/>
      <c r="P1499" s="846"/>
      <c r="Q1499" s="1296"/>
      <c r="R1499" s="846"/>
      <c r="S1499" s="846"/>
      <c r="T1499" s="846"/>
    </row>
    <row r="1500" ht="15.0" customHeight="1">
      <c r="A1500" s="1296"/>
      <c r="B1500" s="846"/>
      <c r="C1500" s="1517"/>
      <c r="D1500" s="846"/>
      <c r="E1500" s="846"/>
      <c r="F1500" s="846"/>
      <c r="G1500" s="846"/>
      <c r="H1500" s="846"/>
      <c r="I1500" s="1296"/>
      <c r="J1500" s="846"/>
      <c r="K1500" s="1296"/>
      <c r="L1500" s="846"/>
      <c r="M1500" s="1517"/>
      <c r="N1500" s="846"/>
      <c r="O1500" s="1517"/>
      <c r="P1500" s="846"/>
      <c r="Q1500" s="1296"/>
      <c r="R1500" s="846"/>
      <c r="S1500" s="846"/>
      <c r="T1500" s="846"/>
    </row>
    <row r="1501" ht="15.0" customHeight="1">
      <c r="A1501" s="1296"/>
      <c r="B1501" s="846"/>
      <c r="C1501" s="1517"/>
      <c r="D1501" s="846"/>
      <c r="E1501" s="846"/>
      <c r="F1501" s="846"/>
      <c r="G1501" s="846"/>
      <c r="H1501" s="846"/>
      <c r="I1501" s="1296"/>
      <c r="J1501" s="846"/>
      <c r="K1501" s="1296"/>
      <c r="L1501" s="846"/>
      <c r="M1501" s="1517"/>
      <c r="N1501" s="846"/>
      <c r="O1501" s="1517"/>
      <c r="P1501" s="846"/>
      <c r="Q1501" s="1296"/>
      <c r="R1501" s="846"/>
      <c r="S1501" s="846"/>
      <c r="T1501" s="846"/>
    </row>
    <row r="1502" ht="15.0" customHeight="1">
      <c r="A1502" s="1296"/>
      <c r="B1502" s="846"/>
      <c r="C1502" s="1517"/>
      <c r="D1502" s="846"/>
      <c r="E1502" s="846"/>
      <c r="F1502" s="846"/>
      <c r="G1502" s="846"/>
      <c r="H1502" s="846"/>
      <c r="I1502" s="1296"/>
      <c r="J1502" s="846"/>
      <c r="K1502" s="1296"/>
      <c r="L1502" s="846"/>
      <c r="M1502" s="1517"/>
      <c r="N1502" s="846"/>
      <c r="O1502" s="1517"/>
      <c r="P1502" s="846"/>
      <c r="Q1502" s="1296"/>
      <c r="R1502" s="846"/>
      <c r="S1502" s="846"/>
      <c r="T1502" s="846"/>
    </row>
    <row r="1503" ht="15.0" customHeight="1">
      <c r="A1503" s="1296"/>
      <c r="B1503" s="846"/>
      <c r="C1503" s="1517"/>
      <c r="D1503" s="846"/>
      <c r="E1503" s="846"/>
      <c r="F1503" s="846"/>
      <c r="G1503" s="846"/>
      <c r="H1503" s="846"/>
      <c r="I1503" s="1296"/>
      <c r="J1503" s="846"/>
      <c r="K1503" s="1296"/>
      <c r="L1503" s="846"/>
      <c r="M1503" s="1517"/>
      <c r="N1503" s="846"/>
      <c r="O1503" s="1517"/>
      <c r="P1503" s="846"/>
      <c r="Q1503" s="1296"/>
      <c r="R1503" s="846"/>
      <c r="S1503" s="846"/>
      <c r="T1503" s="846"/>
    </row>
    <row r="1504" ht="15.0" customHeight="1">
      <c r="A1504" s="1296"/>
      <c r="B1504" s="846"/>
      <c r="C1504" s="1517"/>
      <c r="D1504" s="846"/>
      <c r="E1504" s="846"/>
      <c r="F1504" s="846"/>
      <c r="G1504" s="846"/>
      <c r="H1504" s="846"/>
      <c r="I1504" s="1296"/>
      <c r="J1504" s="846"/>
      <c r="K1504" s="1296"/>
      <c r="L1504" s="846"/>
      <c r="M1504" s="1517"/>
      <c r="N1504" s="846"/>
      <c r="O1504" s="1517"/>
      <c r="P1504" s="846"/>
      <c r="Q1504" s="1296"/>
      <c r="R1504" s="846"/>
      <c r="S1504" s="846"/>
      <c r="T1504" s="846"/>
    </row>
    <row r="1505" ht="15.0" customHeight="1">
      <c r="A1505" s="1296"/>
      <c r="B1505" s="846"/>
      <c r="C1505" s="1517"/>
      <c r="D1505" s="846"/>
      <c r="E1505" s="846"/>
      <c r="F1505" s="846"/>
      <c r="G1505" s="846"/>
      <c r="H1505" s="846"/>
      <c r="I1505" s="1296"/>
      <c r="J1505" s="846"/>
      <c r="K1505" s="1296"/>
      <c r="L1505" s="846"/>
      <c r="M1505" s="1517"/>
      <c r="N1505" s="846"/>
      <c r="O1505" s="1517"/>
      <c r="P1505" s="846"/>
      <c r="Q1505" s="1296"/>
      <c r="R1505" s="846"/>
      <c r="S1505" s="846"/>
      <c r="T1505" s="846"/>
    </row>
    <row r="1506" ht="15.0" customHeight="1">
      <c r="A1506" s="1296"/>
      <c r="B1506" s="846"/>
      <c r="C1506" s="1517"/>
      <c r="D1506" s="846"/>
      <c r="E1506" s="846"/>
      <c r="F1506" s="846"/>
      <c r="G1506" s="846"/>
      <c r="H1506" s="846"/>
      <c r="I1506" s="1296"/>
      <c r="J1506" s="846"/>
      <c r="K1506" s="1296"/>
      <c r="L1506" s="846"/>
      <c r="M1506" s="1517"/>
      <c r="N1506" s="846"/>
      <c r="O1506" s="1517"/>
      <c r="P1506" s="846"/>
      <c r="Q1506" s="1296"/>
      <c r="R1506" s="846"/>
      <c r="S1506" s="846"/>
      <c r="T1506" s="846"/>
    </row>
    <row r="1507" ht="15.0" customHeight="1">
      <c r="A1507" s="1296"/>
      <c r="B1507" s="846"/>
      <c r="C1507" s="1517"/>
      <c r="D1507" s="846"/>
      <c r="E1507" s="846"/>
      <c r="F1507" s="846"/>
      <c r="G1507" s="846"/>
      <c r="H1507" s="846"/>
      <c r="I1507" s="1296"/>
      <c r="J1507" s="846"/>
      <c r="K1507" s="1296"/>
      <c r="L1507" s="846"/>
      <c r="M1507" s="1517"/>
      <c r="N1507" s="846"/>
      <c r="O1507" s="1517"/>
      <c r="P1507" s="846"/>
      <c r="Q1507" s="1296"/>
      <c r="R1507" s="846"/>
      <c r="S1507" s="846"/>
      <c r="T1507" s="846"/>
    </row>
    <row r="1508" ht="15.0" customHeight="1">
      <c r="A1508" s="1296"/>
      <c r="B1508" s="846"/>
      <c r="C1508" s="1517"/>
      <c r="D1508" s="846"/>
      <c r="E1508" s="846"/>
      <c r="F1508" s="846"/>
      <c r="G1508" s="846"/>
      <c r="H1508" s="846"/>
      <c r="I1508" s="1296"/>
      <c r="J1508" s="846"/>
      <c r="K1508" s="1296"/>
      <c r="L1508" s="846"/>
      <c r="M1508" s="1517"/>
      <c r="N1508" s="846"/>
      <c r="O1508" s="1517"/>
      <c r="P1508" s="846"/>
      <c r="Q1508" s="1296"/>
      <c r="R1508" s="846"/>
      <c r="S1508" s="846"/>
      <c r="T1508" s="846"/>
    </row>
    <row r="1509" ht="15.0" customHeight="1">
      <c r="A1509" s="1296"/>
      <c r="B1509" s="846"/>
      <c r="C1509" s="1517"/>
      <c r="D1509" s="846"/>
      <c r="E1509" s="846"/>
      <c r="F1509" s="846"/>
      <c r="G1509" s="846"/>
      <c r="H1509" s="846"/>
      <c r="I1509" s="1296"/>
      <c r="J1509" s="846"/>
      <c r="K1509" s="1296"/>
      <c r="L1509" s="846"/>
      <c r="M1509" s="1517"/>
      <c r="N1509" s="846"/>
      <c r="O1509" s="1517"/>
      <c r="P1509" s="846"/>
      <c r="Q1509" s="1296"/>
      <c r="R1509" s="846"/>
      <c r="S1509" s="846"/>
      <c r="T1509" s="846"/>
    </row>
    <row r="1510" ht="15.0" customHeight="1">
      <c r="A1510" s="1296"/>
      <c r="B1510" s="846"/>
      <c r="C1510" s="1517"/>
      <c r="D1510" s="846"/>
      <c r="E1510" s="846"/>
      <c r="F1510" s="846"/>
      <c r="G1510" s="846"/>
      <c r="H1510" s="846"/>
      <c r="I1510" s="1296"/>
      <c r="J1510" s="846"/>
      <c r="K1510" s="1296"/>
      <c r="L1510" s="846"/>
      <c r="M1510" s="1517"/>
      <c r="N1510" s="846"/>
      <c r="O1510" s="1517"/>
      <c r="P1510" s="846"/>
      <c r="Q1510" s="1296"/>
      <c r="R1510" s="846"/>
      <c r="S1510" s="846"/>
      <c r="T1510" s="846"/>
    </row>
    <row r="1511" ht="15.0" customHeight="1">
      <c r="A1511" s="1296"/>
      <c r="B1511" s="846"/>
      <c r="C1511" s="1517"/>
      <c r="D1511" s="846"/>
      <c r="E1511" s="846"/>
      <c r="F1511" s="846"/>
      <c r="G1511" s="846"/>
      <c r="H1511" s="846"/>
      <c r="I1511" s="1296"/>
      <c r="J1511" s="846"/>
      <c r="K1511" s="1296"/>
      <c r="L1511" s="846"/>
      <c r="M1511" s="1517"/>
      <c r="N1511" s="846"/>
      <c r="O1511" s="1517"/>
      <c r="P1511" s="846"/>
      <c r="Q1511" s="1296"/>
      <c r="R1511" s="846"/>
      <c r="S1511" s="846"/>
      <c r="T1511" s="846"/>
    </row>
    <row r="1512" ht="15.0" customHeight="1">
      <c r="A1512" s="1296"/>
      <c r="B1512" s="846"/>
      <c r="C1512" s="1517"/>
      <c r="D1512" s="846"/>
      <c r="E1512" s="846"/>
      <c r="F1512" s="846"/>
      <c r="G1512" s="846"/>
      <c r="H1512" s="846"/>
      <c r="I1512" s="1296"/>
      <c r="J1512" s="846"/>
      <c r="K1512" s="1296"/>
      <c r="L1512" s="846"/>
      <c r="M1512" s="1517"/>
      <c r="N1512" s="846"/>
      <c r="O1512" s="1517"/>
      <c r="P1512" s="846"/>
      <c r="Q1512" s="1296"/>
      <c r="R1512" s="846"/>
      <c r="S1512" s="846"/>
      <c r="T1512" s="846"/>
    </row>
    <row r="1513" ht="15.0" customHeight="1">
      <c r="A1513" s="1296"/>
      <c r="B1513" s="846"/>
      <c r="C1513" s="1517"/>
      <c r="D1513" s="846"/>
      <c r="E1513" s="846"/>
      <c r="F1513" s="846"/>
      <c r="G1513" s="846"/>
      <c r="H1513" s="846"/>
      <c r="I1513" s="1296"/>
      <c r="J1513" s="846"/>
      <c r="K1513" s="1296"/>
      <c r="L1513" s="846"/>
      <c r="M1513" s="1517"/>
      <c r="N1513" s="846"/>
      <c r="O1513" s="1517"/>
      <c r="P1513" s="846"/>
      <c r="Q1513" s="1296"/>
      <c r="R1513" s="846"/>
      <c r="S1513" s="846"/>
      <c r="T1513" s="846"/>
    </row>
    <row r="1514" ht="15.0" customHeight="1">
      <c r="A1514" s="1296"/>
      <c r="B1514" s="846"/>
      <c r="C1514" s="1517"/>
      <c r="D1514" s="846"/>
      <c r="E1514" s="846"/>
      <c r="F1514" s="846"/>
      <c r="G1514" s="846"/>
      <c r="H1514" s="846"/>
      <c r="I1514" s="1296"/>
      <c r="J1514" s="846"/>
      <c r="K1514" s="1296"/>
      <c r="L1514" s="846"/>
      <c r="M1514" s="1517"/>
      <c r="N1514" s="846"/>
      <c r="O1514" s="1517"/>
      <c r="P1514" s="846"/>
      <c r="Q1514" s="1296"/>
      <c r="R1514" s="846"/>
      <c r="S1514" s="846"/>
      <c r="T1514" s="846"/>
    </row>
    <row r="1515" ht="15.0" customHeight="1">
      <c r="A1515" s="1296"/>
      <c r="B1515" s="846"/>
      <c r="C1515" s="1517"/>
      <c r="D1515" s="846"/>
      <c r="E1515" s="846"/>
      <c r="F1515" s="846"/>
      <c r="G1515" s="846"/>
      <c r="H1515" s="846"/>
      <c r="I1515" s="1296"/>
      <c r="J1515" s="846"/>
      <c r="K1515" s="1296"/>
      <c r="L1515" s="846"/>
      <c r="M1515" s="1517"/>
      <c r="N1515" s="846"/>
      <c r="O1515" s="1517"/>
      <c r="P1515" s="846"/>
      <c r="Q1515" s="1296"/>
      <c r="R1515" s="846"/>
      <c r="S1515" s="846"/>
      <c r="T1515" s="846"/>
    </row>
    <row r="1516" ht="15.0" customHeight="1">
      <c r="A1516" s="1296"/>
      <c r="B1516" s="846"/>
      <c r="C1516" s="1517"/>
      <c r="D1516" s="846"/>
      <c r="E1516" s="846"/>
      <c r="F1516" s="846"/>
      <c r="G1516" s="846"/>
      <c r="H1516" s="846"/>
      <c r="I1516" s="1296"/>
      <c r="J1516" s="846"/>
      <c r="K1516" s="1296"/>
      <c r="L1516" s="846"/>
      <c r="M1516" s="1517"/>
      <c r="N1516" s="846"/>
      <c r="O1516" s="1517"/>
      <c r="P1516" s="846"/>
      <c r="Q1516" s="1296"/>
      <c r="R1516" s="846"/>
      <c r="S1516" s="846"/>
      <c r="T1516" s="846"/>
    </row>
    <row r="1517" ht="15.0" customHeight="1">
      <c r="A1517" s="1296"/>
      <c r="B1517" s="846"/>
      <c r="C1517" s="1517"/>
      <c r="D1517" s="846"/>
      <c r="E1517" s="846"/>
      <c r="F1517" s="846"/>
      <c r="G1517" s="846"/>
      <c r="H1517" s="846"/>
      <c r="I1517" s="1296"/>
      <c r="J1517" s="846"/>
      <c r="K1517" s="1296"/>
      <c r="L1517" s="846"/>
      <c r="M1517" s="1517"/>
      <c r="N1517" s="846"/>
      <c r="O1517" s="1517"/>
      <c r="P1517" s="846"/>
      <c r="Q1517" s="1296"/>
      <c r="R1517" s="846"/>
      <c r="S1517" s="846"/>
      <c r="T1517" s="846"/>
    </row>
    <row r="1518" ht="15.0" customHeight="1">
      <c r="A1518" s="1296"/>
      <c r="B1518" s="846"/>
      <c r="C1518" s="1517"/>
      <c r="D1518" s="846"/>
      <c r="E1518" s="846"/>
      <c r="F1518" s="846"/>
      <c r="G1518" s="846"/>
      <c r="H1518" s="846"/>
      <c r="I1518" s="1296"/>
      <c r="J1518" s="846"/>
      <c r="K1518" s="1296"/>
      <c r="L1518" s="846"/>
      <c r="M1518" s="1517"/>
      <c r="N1518" s="846"/>
      <c r="O1518" s="1517"/>
      <c r="P1518" s="846"/>
      <c r="Q1518" s="1296"/>
      <c r="R1518" s="846"/>
      <c r="S1518" s="846"/>
      <c r="T1518" s="846"/>
    </row>
    <row r="1519" ht="15.0" customHeight="1">
      <c r="A1519" s="1296"/>
      <c r="B1519" s="846"/>
      <c r="C1519" s="1517"/>
      <c r="D1519" s="846"/>
      <c r="E1519" s="846"/>
      <c r="F1519" s="846"/>
      <c r="G1519" s="846"/>
      <c r="H1519" s="846"/>
      <c r="I1519" s="1296"/>
      <c r="J1519" s="846"/>
      <c r="K1519" s="1296"/>
      <c r="L1519" s="846"/>
      <c r="M1519" s="1517"/>
      <c r="N1519" s="846"/>
      <c r="O1519" s="1517"/>
      <c r="P1519" s="846"/>
      <c r="Q1519" s="1296"/>
      <c r="R1519" s="846"/>
      <c r="S1519" s="846"/>
      <c r="T1519" s="846"/>
    </row>
    <row r="1520" ht="15.0" customHeight="1">
      <c r="A1520" s="1296"/>
      <c r="B1520" s="846"/>
      <c r="C1520" s="1517"/>
      <c r="D1520" s="846"/>
      <c r="E1520" s="846"/>
      <c r="F1520" s="846"/>
      <c r="G1520" s="846"/>
      <c r="H1520" s="846"/>
      <c r="I1520" s="1296"/>
      <c r="J1520" s="846"/>
      <c r="K1520" s="1296"/>
      <c r="L1520" s="846"/>
      <c r="M1520" s="1517"/>
      <c r="N1520" s="846"/>
      <c r="O1520" s="1517"/>
      <c r="P1520" s="846"/>
      <c r="Q1520" s="1296"/>
      <c r="R1520" s="846"/>
      <c r="S1520" s="846"/>
      <c r="T1520" s="846"/>
    </row>
    <row r="1521" ht="15.0" customHeight="1">
      <c r="A1521" s="1296"/>
      <c r="B1521" s="846"/>
      <c r="C1521" s="1517"/>
      <c r="D1521" s="846"/>
      <c r="E1521" s="846"/>
      <c r="F1521" s="846"/>
      <c r="G1521" s="846"/>
      <c r="H1521" s="846"/>
      <c r="I1521" s="1296"/>
      <c r="J1521" s="846"/>
      <c r="K1521" s="1296"/>
      <c r="L1521" s="846"/>
      <c r="M1521" s="1517"/>
      <c r="N1521" s="846"/>
      <c r="O1521" s="1517"/>
      <c r="P1521" s="846"/>
      <c r="Q1521" s="1296"/>
      <c r="R1521" s="846"/>
      <c r="S1521" s="846"/>
      <c r="T1521" s="846"/>
    </row>
    <row r="1522" ht="15.0" customHeight="1">
      <c r="A1522" s="1296"/>
      <c r="B1522" s="846"/>
      <c r="C1522" s="1517"/>
      <c r="D1522" s="846"/>
      <c r="E1522" s="846"/>
      <c r="F1522" s="846"/>
      <c r="G1522" s="846"/>
      <c r="H1522" s="846"/>
      <c r="I1522" s="1296"/>
      <c r="J1522" s="846"/>
      <c r="K1522" s="1296"/>
      <c r="L1522" s="846"/>
      <c r="M1522" s="1517"/>
      <c r="N1522" s="846"/>
      <c r="O1522" s="1517"/>
      <c r="P1522" s="846"/>
      <c r="Q1522" s="1296"/>
      <c r="R1522" s="846"/>
      <c r="S1522" s="846"/>
      <c r="T1522" s="846"/>
    </row>
    <row r="1523" ht="15.0" customHeight="1">
      <c r="A1523" s="1296"/>
      <c r="B1523" s="846"/>
      <c r="C1523" s="1517"/>
      <c r="D1523" s="846"/>
      <c r="E1523" s="846"/>
      <c r="F1523" s="846"/>
      <c r="G1523" s="846"/>
      <c r="H1523" s="846"/>
      <c r="I1523" s="1296"/>
      <c r="J1523" s="846"/>
      <c r="K1523" s="1296"/>
      <c r="L1523" s="846"/>
      <c r="M1523" s="1517"/>
      <c r="N1523" s="846"/>
      <c r="O1523" s="1517"/>
      <c r="P1523" s="846"/>
      <c r="Q1523" s="1296"/>
      <c r="R1523" s="846"/>
      <c r="S1523" s="846"/>
      <c r="T1523" s="846"/>
    </row>
    <row r="1524" ht="15.0" customHeight="1">
      <c r="A1524" s="1296"/>
      <c r="B1524" s="846"/>
      <c r="C1524" s="1517"/>
      <c r="D1524" s="846"/>
      <c r="E1524" s="846"/>
      <c r="F1524" s="846"/>
      <c r="G1524" s="846"/>
      <c r="H1524" s="846"/>
      <c r="I1524" s="1296"/>
      <c r="J1524" s="846"/>
      <c r="K1524" s="1296"/>
      <c r="L1524" s="846"/>
      <c r="M1524" s="1517"/>
      <c r="N1524" s="846"/>
      <c r="O1524" s="1517"/>
      <c r="P1524" s="846"/>
      <c r="Q1524" s="1296"/>
      <c r="R1524" s="846"/>
      <c r="S1524" s="846"/>
      <c r="T1524" s="846"/>
    </row>
    <row r="1525" ht="15.0" customHeight="1">
      <c r="A1525" s="1296"/>
      <c r="B1525" s="846"/>
      <c r="C1525" s="1517"/>
      <c r="D1525" s="846"/>
      <c r="E1525" s="846"/>
      <c r="F1525" s="846"/>
      <c r="G1525" s="846"/>
      <c r="H1525" s="846"/>
      <c r="I1525" s="1296"/>
      <c r="J1525" s="846"/>
      <c r="K1525" s="1296"/>
      <c r="L1525" s="846"/>
      <c r="M1525" s="1517"/>
      <c r="N1525" s="846"/>
      <c r="O1525" s="1517"/>
      <c r="P1525" s="846"/>
      <c r="Q1525" s="1296"/>
      <c r="R1525" s="846"/>
      <c r="S1525" s="846"/>
      <c r="T1525" s="846"/>
    </row>
    <row r="1526" ht="15.0" customHeight="1">
      <c r="A1526" s="1296"/>
      <c r="B1526" s="846"/>
      <c r="C1526" s="1517"/>
      <c r="D1526" s="846"/>
      <c r="E1526" s="846"/>
      <c r="F1526" s="846"/>
      <c r="G1526" s="846"/>
      <c r="H1526" s="846"/>
      <c r="I1526" s="1296"/>
      <c r="J1526" s="846"/>
      <c r="K1526" s="1296"/>
      <c r="L1526" s="846"/>
      <c r="M1526" s="1517"/>
      <c r="N1526" s="846"/>
      <c r="O1526" s="1517"/>
      <c r="P1526" s="846"/>
      <c r="Q1526" s="1296"/>
      <c r="R1526" s="846"/>
      <c r="S1526" s="846"/>
      <c r="T1526" s="846"/>
    </row>
    <row r="1527" ht="15.0" customHeight="1">
      <c r="A1527" s="1296"/>
      <c r="B1527" s="846"/>
      <c r="C1527" s="1517"/>
      <c r="D1527" s="846"/>
      <c r="E1527" s="846"/>
      <c r="F1527" s="846"/>
      <c r="G1527" s="846"/>
      <c r="H1527" s="846"/>
      <c r="I1527" s="1296"/>
      <c r="J1527" s="846"/>
      <c r="K1527" s="1296"/>
      <c r="L1527" s="846"/>
      <c r="M1527" s="1517"/>
      <c r="N1527" s="846"/>
      <c r="O1527" s="1517"/>
      <c r="P1527" s="846"/>
      <c r="Q1527" s="1296"/>
      <c r="R1527" s="846"/>
      <c r="S1527" s="846"/>
      <c r="T1527" s="846"/>
    </row>
    <row r="1528" ht="15.0" customHeight="1">
      <c r="A1528" s="1296"/>
      <c r="B1528" s="846"/>
      <c r="C1528" s="1517"/>
      <c r="D1528" s="846"/>
      <c r="E1528" s="846"/>
      <c r="F1528" s="846"/>
      <c r="G1528" s="846"/>
      <c r="H1528" s="846"/>
      <c r="I1528" s="1296"/>
      <c r="J1528" s="846"/>
      <c r="K1528" s="1296"/>
      <c r="L1528" s="846"/>
      <c r="M1528" s="1517"/>
      <c r="N1528" s="846"/>
      <c r="O1528" s="1517"/>
      <c r="P1528" s="846"/>
      <c r="Q1528" s="1296"/>
      <c r="R1528" s="846"/>
      <c r="S1528" s="846"/>
      <c r="T1528" s="846"/>
    </row>
    <row r="1529" ht="15.0" customHeight="1">
      <c r="A1529" s="1296"/>
      <c r="B1529" s="846"/>
      <c r="C1529" s="1517"/>
      <c r="D1529" s="846"/>
      <c r="E1529" s="846"/>
      <c r="F1529" s="846"/>
      <c r="G1529" s="846"/>
      <c r="H1529" s="846"/>
      <c r="I1529" s="1296"/>
      <c r="J1529" s="846"/>
      <c r="K1529" s="1296"/>
      <c r="L1529" s="846"/>
      <c r="M1529" s="1517"/>
      <c r="N1529" s="846"/>
      <c r="O1529" s="1517"/>
      <c r="P1529" s="846"/>
      <c r="Q1529" s="1296"/>
      <c r="R1529" s="846"/>
      <c r="S1529" s="846"/>
      <c r="T1529" s="846"/>
    </row>
    <row r="1530" ht="15.0" customHeight="1">
      <c r="A1530" s="1296"/>
      <c r="B1530" s="846"/>
      <c r="C1530" s="1517"/>
      <c r="D1530" s="846"/>
      <c r="E1530" s="846"/>
      <c r="F1530" s="846"/>
      <c r="G1530" s="846"/>
      <c r="H1530" s="846"/>
      <c r="I1530" s="1296"/>
      <c r="J1530" s="846"/>
      <c r="K1530" s="1296"/>
      <c r="L1530" s="846"/>
      <c r="M1530" s="1517"/>
      <c r="N1530" s="846"/>
      <c r="O1530" s="1517"/>
      <c r="P1530" s="846"/>
      <c r="Q1530" s="1296"/>
      <c r="R1530" s="846"/>
      <c r="S1530" s="846"/>
      <c r="T1530" s="846"/>
    </row>
    <row r="1531" ht="15.0" customHeight="1">
      <c r="A1531" s="1296"/>
      <c r="B1531" s="846"/>
      <c r="C1531" s="1517"/>
      <c r="D1531" s="846"/>
      <c r="E1531" s="846"/>
      <c r="F1531" s="846"/>
      <c r="G1531" s="846"/>
      <c r="H1531" s="846"/>
      <c r="I1531" s="1296"/>
      <c r="J1531" s="846"/>
      <c r="K1531" s="1296"/>
      <c r="L1531" s="846"/>
      <c r="M1531" s="1517"/>
      <c r="N1531" s="846"/>
      <c r="O1531" s="1517"/>
      <c r="P1531" s="846"/>
      <c r="Q1531" s="1296"/>
      <c r="R1531" s="846"/>
      <c r="S1531" s="846"/>
      <c r="T1531" s="846"/>
    </row>
    <row r="1532" ht="15.0" customHeight="1">
      <c r="A1532" s="1296"/>
      <c r="B1532" s="846"/>
      <c r="C1532" s="1517"/>
      <c r="D1532" s="846"/>
      <c r="E1532" s="846"/>
      <c r="F1532" s="846"/>
      <c r="G1532" s="846"/>
      <c r="H1532" s="846"/>
      <c r="I1532" s="1296"/>
      <c r="J1532" s="846"/>
      <c r="K1532" s="1296"/>
      <c r="L1532" s="846"/>
      <c r="M1532" s="1517"/>
      <c r="N1532" s="846"/>
      <c r="O1532" s="1517"/>
      <c r="P1532" s="846"/>
      <c r="Q1532" s="1296"/>
      <c r="R1532" s="846"/>
      <c r="S1532" s="846"/>
      <c r="T1532" s="846"/>
    </row>
    <row r="1533" ht="15.0" customHeight="1">
      <c r="A1533" s="1296"/>
      <c r="B1533" s="846"/>
      <c r="C1533" s="1517"/>
      <c r="D1533" s="846"/>
      <c r="E1533" s="846"/>
      <c r="F1533" s="846"/>
      <c r="G1533" s="846"/>
      <c r="H1533" s="846"/>
      <c r="I1533" s="1296"/>
      <c r="J1533" s="846"/>
      <c r="K1533" s="1296"/>
      <c r="L1533" s="846"/>
      <c r="M1533" s="1517"/>
      <c r="N1533" s="846"/>
      <c r="O1533" s="1517"/>
      <c r="P1533" s="846"/>
      <c r="Q1533" s="1296"/>
      <c r="R1533" s="846"/>
      <c r="S1533" s="846"/>
      <c r="T1533" s="846"/>
    </row>
    <row r="1534" ht="15.0" customHeight="1">
      <c r="A1534" s="1296"/>
      <c r="B1534" s="846"/>
      <c r="C1534" s="1517"/>
      <c r="D1534" s="846"/>
      <c r="E1534" s="846"/>
      <c r="F1534" s="846"/>
      <c r="G1534" s="846"/>
      <c r="H1534" s="846"/>
      <c r="I1534" s="1296"/>
      <c r="J1534" s="846"/>
      <c r="K1534" s="1296"/>
      <c r="L1534" s="846"/>
      <c r="M1534" s="1517"/>
      <c r="N1534" s="846"/>
      <c r="O1534" s="1517"/>
      <c r="P1534" s="846"/>
      <c r="Q1534" s="1296"/>
      <c r="R1534" s="846"/>
      <c r="S1534" s="846"/>
      <c r="T1534" s="846"/>
    </row>
    <row r="1535" ht="15.0" customHeight="1">
      <c r="A1535" s="1296"/>
      <c r="B1535" s="846"/>
      <c r="C1535" s="1517"/>
      <c r="D1535" s="846"/>
      <c r="E1535" s="846"/>
      <c r="F1535" s="846"/>
      <c r="G1535" s="846"/>
      <c r="H1535" s="846"/>
      <c r="I1535" s="1296"/>
      <c r="J1535" s="846"/>
      <c r="K1535" s="1296"/>
      <c r="L1535" s="846"/>
      <c r="M1535" s="1517"/>
      <c r="N1535" s="846"/>
      <c r="O1535" s="1517"/>
      <c r="P1535" s="846"/>
      <c r="Q1535" s="1296"/>
      <c r="R1535" s="846"/>
      <c r="S1535" s="846"/>
      <c r="T1535" s="846"/>
    </row>
    <row r="1536" ht="15.0" customHeight="1">
      <c r="A1536" s="1296"/>
      <c r="B1536" s="846"/>
      <c r="C1536" s="1517"/>
      <c r="D1536" s="846"/>
      <c r="E1536" s="846"/>
      <c r="F1536" s="846"/>
      <c r="G1536" s="846"/>
      <c r="H1536" s="846"/>
      <c r="I1536" s="1296"/>
      <c r="J1536" s="846"/>
      <c r="K1536" s="1296"/>
      <c r="L1536" s="846"/>
      <c r="M1536" s="1517"/>
      <c r="N1536" s="846"/>
      <c r="O1536" s="1517"/>
      <c r="P1536" s="846"/>
      <c r="Q1536" s="1296"/>
      <c r="R1536" s="846"/>
      <c r="S1536" s="846"/>
      <c r="T1536" s="846"/>
    </row>
    <row r="1537" ht="15.0" customHeight="1">
      <c r="A1537" s="1296"/>
      <c r="B1537" s="846"/>
      <c r="C1537" s="1517"/>
      <c r="D1537" s="846"/>
      <c r="E1537" s="846"/>
      <c r="F1537" s="846"/>
      <c r="G1537" s="846"/>
      <c r="H1537" s="846"/>
      <c r="I1537" s="1296"/>
      <c r="J1537" s="846"/>
      <c r="K1537" s="1296"/>
      <c r="L1537" s="846"/>
      <c r="M1537" s="1517"/>
      <c r="N1537" s="846"/>
      <c r="O1537" s="1517"/>
      <c r="P1537" s="846"/>
      <c r="Q1537" s="1296"/>
      <c r="R1537" s="846"/>
      <c r="S1537" s="846"/>
      <c r="T1537" s="846"/>
    </row>
    <row r="1538" ht="15.0" customHeight="1">
      <c r="A1538" s="1296"/>
      <c r="B1538" s="846"/>
      <c r="C1538" s="1517"/>
      <c r="D1538" s="846"/>
      <c r="E1538" s="846"/>
      <c r="F1538" s="846"/>
      <c r="G1538" s="846"/>
      <c r="H1538" s="846"/>
      <c r="I1538" s="1296"/>
      <c r="J1538" s="846"/>
      <c r="K1538" s="1296"/>
      <c r="L1538" s="846"/>
      <c r="M1538" s="1517"/>
      <c r="N1538" s="846"/>
      <c r="O1538" s="1517"/>
      <c r="P1538" s="846"/>
      <c r="Q1538" s="1296"/>
      <c r="R1538" s="846"/>
      <c r="S1538" s="846"/>
      <c r="T1538" s="846"/>
    </row>
    <row r="1539" ht="15.0" customHeight="1">
      <c r="A1539" s="1296"/>
      <c r="B1539" s="846"/>
      <c r="C1539" s="1517"/>
      <c r="D1539" s="846"/>
      <c r="E1539" s="846"/>
      <c r="F1539" s="846"/>
      <c r="G1539" s="846"/>
      <c r="H1539" s="846"/>
      <c r="I1539" s="1296"/>
      <c r="J1539" s="846"/>
      <c r="K1539" s="1296"/>
      <c r="L1539" s="846"/>
      <c r="M1539" s="1517"/>
      <c r="N1539" s="846"/>
      <c r="O1539" s="1517"/>
      <c r="P1539" s="846"/>
      <c r="Q1539" s="1296"/>
      <c r="R1539" s="846"/>
      <c r="S1539" s="846"/>
      <c r="T1539" s="846"/>
    </row>
    <row r="1540" ht="15.0" customHeight="1">
      <c r="A1540" s="1296"/>
      <c r="B1540" s="846"/>
      <c r="C1540" s="1517"/>
      <c r="D1540" s="846"/>
      <c r="E1540" s="846"/>
      <c r="F1540" s="846"/>
      <c r="G1540" s="846"/>
      <c r="H1540" s="846"/>
      <c r="I1540" s="1296"/>
      <c r="J1540" s="846"/>
      <c r="K1540" s="1296"/>
      <c r="L1540" s="846"/>
      <c r="M1540" s="1517"/>
      <c r="N1540" s="846"/>
      <c r="O1540" s="1517"/>
      <c r="P1540" s="846"/>
      <c r="Q1540" s="1296"/>
      <c r="R1540" s="846"/>
      <c r="S1540" s="846"/>
      <c r="T1540" s="846"/>
    </row>
    <row r="1541" ht="15.0" customHeight="1">
      <c r="A1541" s="1296"/>
      <c r="B1541" s="846"/>
      <c r="C1541" s="1517"/>
      <c r="D1541" s="846"/>
      <c r="E1541" s="846"/>
      <c r="F1541" s="846"/>
      <c r="G1541" s="846"/>
      <c r="H1541" s="846"/>
      <c r="I1541" s="1296"/>
      <c r="J1541" s="846"/>
      <c r="K1541" s="1296"/>
      <c r="L1541" s="846"/>
      <c r="M1541" s="1517"/>
      <c r="N1541" s="846"/>
      <c r="O1541" s="1517"/>
      <c r="P1541" s="846"/>
      <c r="Q1541" s="1296"/>
      <c r="R1541" s="846"/>
      <c r="S1541" s="846"/>
      <c r="T1541" s="846"/>
    </row>
    <row r="1542" ht="15.0" customHeight="1">
      <c r="A1542" s="1296"/>
      <c r="B1542" s="846"/>
      <c r="C1542" s="1517"/>
      <c r="D1542" s="846"/>
      <c r="E1542" s="846"/>
      <c r="F1542" s="846"/>
      <c r="G1542" s="846"/>
      <c r="H1542" s="846"/>
      <c r="I1542" s="1296"/>
      <c r="J1542" s="846"/>
      <c r="K1542" s="1296"/>
      <c r="L1542" s="846"/>
      <c r="M1542" s="1517"/>
      <c r="N1542" s="846"/>
      <c r="O1542" s="1517"/>
      <c r="P1542" s="846"/>
      <c r="Q1542" s="1296"/>
      <c r="R1542" s="846"/>
      <c r="S1542" s="846"/>
      <c r="T1542" s="846"/>
    </row>
    <row r="1543" ht="15.0" customHeight="1">
      <c r="A1543" s="1296"/>
      <c r="B1543" s="846"/>
      <c r="C1543" s="1517"/>
      <c r="D1543" s="846"/>
      <c r="E1543" s="846"/>
      <c r="F1543" s="846"/>
      <c r="G1543" s="846"/>
      <c r="H1543" s="846"/>
      <c r="I1543" s="1296"/>
      <c r="J1543" s="846"/>
      <c r="K1543" s="1296"/>
      <c r="L1543" s="846"/>
      <c r="M1543" s="1517"/>
      <c r="N1543" s="846"/>
      <c r="O1543" s="1517"/>
      <c r="P1543" s="846"/>
      <c r="Q1543" s="1296"/>
      <c r="R1543" s="846"/>
      <c r="S1543" s="846"/>
      <c r="T1543" s="846"/>
    </row>
    <row r="1544" ht="15.0" customHeight="1">
      <c r="A1544" s="1296"/>
      <c r="B1544" s="846"/>
      <c r="C1544" s="1517"/>
      <c r="D1544" s="846"/>
      <c r="E1544" s="846"/>
      <c r="F1544" s="846"/>
      <c r="G1544" s="846"/>
      <c r="H1544" s="846"/>
      <c r="I1544" s="1296"/>
      <c r="J1544" s="846"/>
      <c r="K1544" s="1296"/>
      <c r="L1544" s="846"/>
      <c r="M1544" s="1517"/>
      <c r="N1544" s="846"/>
      <c r="O1544" s="1517"/>
      <c r="P1544" s="846"/>
      <c r="Q1544" s="1296"/>
      <c r="R1544" s="846"/>
      <c r="S1544" s="846"/>
      <c r="T1544" s="846"/>
    </row>
    <row r="1545" ht="15.0" customHeight="1">
      <c r="A1545" s="1296"/>
      <c r="B1545" s="846"/>
      <c r="C1545" s="1517"/>
      <c r="D1545" s="846"/>
      <c r="E1545" s="846"/>
      <c r="F1545" s="846"/>
      <c r="G1545" s="846"/>
      <c r="H1545" s="846"/>
      <c r="I1545" s="1296"/>
      <c r="J1545" s="846"/>
      <c r="K1545" s="1296"/>
      <c r="L1545" s="846"/>
      <c r="M1545" s="1517"/>
      <c r="N1545" s="846"/>
      <c r="O1545" s="1517"/>
      <c r="P1545" s="846"/>
      <c r="Q1545" s="1296"/>
      <c r="R1545" s="846"/>
      <c r="S1545" s="846"/>
      <c r="T1545" s="846"/>
    </row>
    <row r="1546" ht="15.0" customHeight="1">
      <c r="A1546" s="1296"/>
      <c r="B1546" s="846"/>
      <c r="C1546" s="1517"/>
      <c r="D1546" s="846"/>
      <c r="E1546" s="846"/>
      <c r="F1546" s="846"/>
      <c r="G1546" s="846"/>
      <c r="H1546" s="846"/>
      <c r="I1546" s="1296"/>
      <c r="J1546" s="846"/>
      <c r="K1546" s="1296"/>
      <c r="L1546" s="846"/>
      <c r="M1546" s="1517"/>
      <c r="N1546" s="846"/>
      <c r="O1546" s="1517"/>
      <c r="P1546" s="846"/>
      <c r="Q1546" s="1296"/>
      <c r="R1546" s="846"/>
      <c r="S1546" s="846"/>
      <c r="T1546" s="846"/>
    </row>
    <row r="1547" ht="15.0" customHeight="1">
      <c r="A1547" s="1296"/>
      <c r="B1547" s="846"/>
      <c r="C1547" s="1517"/>
      <c r="D1547" s="846"/>
      <c r="E1547" s="846"/>
      <c r="F1547" s="846"/>
      <c r="G1547" s="846"/>
      <c r="H1547" s="846"/>
      <c r="I1547" s="1296"/>
      <c r="J1547" s="846"/>
      <c r="K1547" s="1296"/>
      <c r="L1547" s="846"/>
      <c r="M1547" s="1517"/>
      <c r="N1547" s="846"/>
      <c r="O1547" s="1517"/>
      <c r="P1547" s="846"/>
      <c r="Q1547" s="1296"/>
      <c r="R1547" s="846"/>
      <c r="S1547" s="846"/>
      <c r="T1547" s="846"/>
    </row>
    <row r="1548" ht="15.0" customHeight="1">
      <c r="A1548" s="1296"/>
      <c r="B1548" s="846"/>
      <c r="C1548" s="1517"/>
      <c r="D1548" s="846"/>
      <c r="E1548" s="846"/>
      <c r="F1548" s="846"/>
      <c r="G1548" s="846"/>
      <c r="H1548" s="846"/>
      <c r="I1548" s="1296"/>
      <c r="J1548" s="846"/>
      <c r="K1548" s="1296"/>
      <c r="L1548" s="846"/>
      <c r="M1548" s="1517"/>
      <c r="N1548" s="846"/>
      <c r="O1548" s="1517"/>
      <c r="P1548" s="846"/>
      <c r="Q1548" s="1296"/>
      <c r="R1548" s="846"/>
      <c r="S1548" s="846"/>
      <c r="T1548" s="846"/>
    </row>
    <row r="1549" ht="15.0" customHeight="1">
      <c r="A1549" s="1296"/>
      <c r="B1549" s="846"/>
      <c r="C1549" s="1517"/>
      <c r="D1549" s="846"/>
      <c r="E1549" s="846"/>
      <c r="F1549" s="846"/>
      <c r="G1549" s="846"/>
      <c r="H1549" s="846"/>
      <c r="I1549" s="1296"/>
      <c r="J1549" s="846"/>
      <c r="K1549" s="1296"/>
      <c r="L1549" s="846"/>
      <c r="M1549" s="1517"/>
      <c r="N1549" s="846"/>
      <c r="O1549" s="1517"/>
      <c r="P1549" s="846"/>
      <c r="Q1549" s="1296"/>
      <c r="R1549" s="846"/>
      <c r="S1549" s="846"/>
      <c r="T1549" s="846"/>
    </row>
    <row r="1550" ht="15.0" customHeight="1">
      <c r="A1550" s="1296"/>
      <c r="B1550" s="846"/>
      <c r="C1550" s="1517"/>
      <c r="D1550" s="846"/>
      <c r="E1550" s="846"/>
      <c r="F1550" s="846"/>
      <c r="G1550" s="846"/>
      <c r="H1550" s="846"/>
      <c r="I1550" s="1296"/>
      <c r="J1550" s="846"/>
      <c r="K1550" s="1296"/>
      <c r="L1550" s="846"/>
      <c r="M1550" s="1517"/>
      <c r="N1550" s="846"/>
      <c r="O1550" s="1517"/>
      <c r="P1550" s="846"/>
      <c r="Q1550" s="1296"/>
      <c r="R1550" s="846"/>
      <c r="S1550" s="846"/>
      <c r="T1550" s="846"/>
    </row>
    <row r="1551" ht="15.0" customHeight="1">
      <c r="A1551" s="1296"/>
      <c r="B1551" s="846"/>
      <c r="C1551" s="1517"/>
      <c r="D1551" s="846"/>
      <c r="E1551" s="846"/>
      <c r="F1551" s="846"/>
      <c r="G1551" s="846"/>
      <c r="H1551" s="846"/>
      <c r="I1551" s="1296"/>
      <c r="J1551" s="846"/>
      <c r="K1551" s="1296"/>
      <c r="L1551" s="846"/>
      <c r="M1551" s="1517"/>
      <c r="N1551" s="846"/>
      <c r="O1551" s="1517"/>
      <c r="P1551" s="846"/>
      <c r="Q1551" s="1296"/>
      <c r="R1551" s="846"/>
      <c r="S1551" s="846"/>
      <c r="T1551" s="846"/>
    </row>
    <row r="1552" ht="15.0" customHeight="1">
      <c r="A1552" s="1296"/>
      <c r="B1552" s="846"/>
      <c r="C1552" s="1517"/>
      <c r="D1552" s="846"/>
      <c r="E1552" s="846"/>
      <c r="F1552" s="846"/>
      <c r="G1552" s="846"/>
      <c r="H1552" s="846"/>
      <c r="I1552" s="1296"/>
      <c r="J1552" s="846"/>
      <c r="K1552" s="1296"/>
      <c r="L1552" s="846"/>
      <c r="M1552" s="1517"/>
      <c r="N1552" s="846"/>
      <c r="O1552" s="1517"/>
      <c r="P1552" s="846"/>
      <c r="Q1552" s="1296"/>
      <c r="R1552" s="846"/>
      <c r="S1552" s="846"/>
      <c r="T1552" s="846"/>
    </row>
    <row r="1553" ht="15.0" customHeight="1">
      <c r="A1553" s="1296"/>
      <c r="B1553" s="846"/>
      <c r="C1553" s="1517"/>
      <c r="D1553" s="846"/>
      <c r="E1553" s="846"/>
      <c r="F1553" s="846"/>
      <c r="G1553" s="846"/>
      <c r="H1553" s="846"/>
      <c r="I1553" s="1296"/>
      <c r="J1553" s="846"/>
      <c r="K1553" s="1296"/>
      <c r="L1553" s="846"/>
      <c r="M1553" s="1517"/>
      <c r="N1553" s="846"/>
      <c r="O1553" s="1517"/>
      <c r="P1553" s="846"/>
      <c r="Q1553" s="1296"/>
      <c r="R1553" s="846"/>
      <c r="S1553" s="846"/>
      <c r="T1553" s="846"/>
    </row>
    <row r="1554" ht="15.0" customHeight="1">
      <c r="A1554" s="1296"/>
      <c r="B1554" s="846"/>
      <c r="C1554" s="1517"/>
      <c r="D1554" s="846"/>
      <c r="E1554" s="846"/>
      <c r="F1554" s="846"/>
      <c r="G1554" s="846"/>
      <c r="H1554" s="846"/>
      <c r="I1554" s="1296"/>
      <c r="J1554" s="846"/>
      <c r="K1554" s="1296"/>
      <c r="L1554" s="846"/>
      <c r="M1554" s="1517"/>
      <c r="N1554" s="846"/>
      <c r="O1554" s="1517"/>
      <c r="P1554" s="846"/>
      <c r="Q1554" s="1296"/>
      <c r="R1554" s="846"/>
      <c r="S1554" s="846"/>
      <c r="T1554" s="846"/>
    </row>
    <row r="1555" ht="15.0" customHeight="1">
      <c r="A1555" s="1296"/>
      <c r="B1555" s="846"/>
      <c r="C1555" s="1517"/>
      <c r="D1555" s="846"/>
      <c r="E1555" s="846"/>
      <c r="F1555" s="846"/>
      <c r="G1555" s="846"/>
      <c r="H1555" s="846"/>
      <c r="I1555" s="1296"/>
      <c r="J1555" s="846"/>
      <c r="K1555" s="1296"/>
      <c r="L1555" s="846"/>
      <c r="M1555" s="1517"/>
      <c r="N1555" s="846"/>
      <c r="O1555" s="1517"/>
      <c r="P1555" s="846"/>
      <c r="Q1555" s="1296"/>
      <c r="R1555" s="846"/>
      <c r="S1555" s="846"/>
      <c r="T1555" s="846"/>
    </row>
    <row r="1556" ht="15.0" customHeight="1">
      <c r="A1556" s="1296"/>
      <c r="B1556" s="846"/>
      <c r="C1556" s="1517"/>
      <c r="D1556" s="846"/>
      <c r="E1556" s="846"/>
      <c r="F1556" s="846"/>
      <c r="G1556" s="846"/>
      <c r="H1556" s="846"/>
      <c r="I1556" s="1296"/>
      <c r="J1556" s="846"/>
      <c r="K1556" s="1296"/>
      <c r="L1556" s="846"/>
      <c r="M1556" s="1517"/>
      <c r="N1556" s="846"/>
      <c r="O1556" s="1517"/>
      <c r="P1556" s="846"/>
      <c r="Q1556" s="1296"/>
      <c r="R1556" s="846"/>
      <c r="S1556" s="846"/>
      <c r="T1556" s="846"/>
    </row>
    <row r="1557" ht="15.0" customHeight="1">
      <c r="A1557" s="1296"/>
      <c r="B1557" s="846"/>
      <c r="C1557" s="1517"/>
      <c r="D1557" s="846"/>
      <c r="E1557" s="846"/>
      <c r="F1557" s="846"/>
      <c r="G1557" s="846"/>
      <c r="H1557" s="846"/>
      <c r="I1557" s="1296"/>
      <c r="J1557" s="846"/>
      <c r="K1557" s="1296"/>
      <c r="L1557" s="846"/>
      <c r="M1557" s="1517"/>
      <c r="N1557" s="846"/>
      <c r="O1557" s="1517"/>
      <c r="P1557" s="846"/>
      <c r="Q1557" s="1296"/>
      <c r="R1557" s="846"/>
      <c r="S1557" s="846"/>
      <c r="T1557" s="846"/>
    </row>
    <row r="1558" ht="15.0" customHeight="1">
      <c r="A1558" s="1296"/>
      <c r="B1558" s="846"/>
      <c r="C1558" s="1517"/>
      <c r="D1558" s="846"/>
      <c r="E1558" s="846"/>
      <c r="F1558" s="846"/>
      <c r="G1558" s="846"/>
      <c r="H1558" s="846"/>
      <c r="I1558" s="1296"/>
      <c r="J1558" s="846"/>
      <c r="K1558" s="1296"/>
      <c r="L1558" s="846"/>
      <c r="M1558" s="1517"/>
      <c r="N1558" s="846"/>
      <c r="O1558" s="1517"/>
      <c r="P1558" s="846"/>
      <c r="Q1558" s="1296"/>
      <c r="R1558" s="846"/>
      <c r="S1558" s="846"/>
      <c r="T1558" s="846"/>
    </row>
    <row r="1559" ht="15.0" customHeight="1">
      <c r="A1559" s="1296"/>
      <c r="B1559" s="846"/>
      <c r="C1559" s="1517"/>
      <c r="D1559" s="846"/>
      <c r="E1559" s="846"/>
      <c r="F1559" s="846"/>
      <c r="G1559" s="846"/>
      <c r="H1559" s="846"/>
      <c r="I1559" s="1296"/>
      <c r="J1559" s="846"/>
      <c r="K1559" s="1296"/>
      <c r="L1559" s="846"/>
      <c r="M1559" s="1517"/>
      <c r="N1559" s="846"/>
      <c r="O1559" s="1517"/>
      <c r="P1559" s="846"/>
      <c r="Q1559" s="1296"/>
      <c r="R1559" s="846"/>
      <c r="S1559" s="846"/>
      <c r="T1559" s="846"/>
    </row>
    <row r="1560" ht="15.0" customHeight="1">
      <c r="A1560" s="1296"/>
      <c r="B1560" s="846"/>
      <c r="C1560" s="1517"/>
      <c r="D1560" s="846"/>
      <c r="E1560" s="846"/>
      <c r="F1560" s="846"/>
      <c r="G1560" s="846"/>
      <c r="H1560" s="846"/>
      <c r="I1560" s="1296"/>
      <c r="J1560" s="846"/>
      <c r="K1560" s="1296"/>
      <c r="L1560" s="846"/>
      <c r="M1560" s="1517"/>
      <c r="N1560" s="846"/>
      <c r="O1560" s="1517"/>
      <c r="P1560" s="846"/>
      <c r="Q1560" s="1296"/>
      <c r="R1560" s="846"/>
      <c r="S1560" s="846"/>
      <c r="T1560" s="846"/>
    </row>
    <row r="1561" ht="15.0" customHeight="1">
      <c r="A1561" s="1296"/>
      <c r="B1561" s="846"/>
      <c r="C1561" s="1517"/>
      <c r="D1561" s="846"/>
      <c r="E1561" s="846"/>
      <c r="F1561" s="846"/>
      <c r="G1561" s="846"/>
      <c r="H1561" s="846"/>
      <c r="I1561" s="1296"/>
      <c r="J1561" s="846"/>
      <c r="K1561" s="1296"/>
      <c r="L1561" s="846"/>
      <c r="M1561" s="1517"/>
      <c r="N1561" s="846"/>
      <c r="O1561" s="1517"/>
      <c r="P1561" s="846"/>
      <c r="Q1561" s="1296"/>
      <c r="R1561" s="846"/>
      <c r="S1561" s="846"/>
      <c r="T1561" s="846"/>
    </row>
    <row r="1562" ht="15.0" customHeight="1">
      <c r="A1562" s="1296"/>
      <c r="B1562" s="846"/>
      <c r="C1562" s="1517"/>
      <c r="D1562" s="846"/>
      <c r="E1562" s="846"/>
      <c r="F1562" s="846"/>
      <c r="G1562" s="846"/>
      <c r="H1562" s="846"/>
      <c r="I1562" s="1296"/>
      <c r="J1562" s="846"/>
      <c r="K1562" s="1296"/>
      <c r="L1562" s="846"/>
      <c r="M1562" s="1517"/>
      <c r="N1562" s="846"/>
      <c r="O1562" s="1517"/>
      <c r="P1562" s="846"/>
      <c r="Q1562" s="1296"/>
      <c r="R1562" s="846"/>
      <c r="S1562" s="846"/>
      <c r="T1562" s="846"/>
    </row>
    <row r="1563" ht="15.0" customHeight="1">
      <c r="A1563" s="1296"/>
      <c r="B1563" s="846"/>
      <c r="C1563" s="1517"/>
      <c r="D1563" s="846"/>
      <c r="E1563" s="846"/>
      <c r="F1563" s="846"/>
      <c r="G1563" s="846"/>
      <c r="H1563" s="846"/>
      <c r="I1563" s="1296"/>
      <c r="J1563" s="846"/>
      <c r="K1563" s="1296"/>
      <c r="L1563" s="846"/>
      <c r="M1563" s="1517"/>
      <c r="N1563" s="846"/>
      <c r="O1563" s="1517"/>
      <c r="P1563" s="846"/>
      <c r="Q1563" s="1296"/>
      <c r="R1563" s="846"/>
      <c r="S1563" s="846"/>
      <c r="T1563" s="846"/>
    </row>
    <row r="1564" ht="15.0" customHeight="1">
      <c r="A1564" s="1296"/>
      <c r="B1564" s="846"/>
      <c r="C1564" s="1517"/>
      <c r="D1564" s="846"/>
      <c r="E1564" s="846"/>
      <c r="F1564" s="846"/>
      <c r="G1564" s="846"/>
      <c r="H1564" s="846"/>
      <c r="I1564" s="1296"/>
      <c r="J1564" s="846"/>
      <c r="K1564" s="1296"/>
      <c r="L1564" s="846"/>
      <c r="M1564" s="1517"/>
      <c r="N1564" s="846"/>
      <c r="O1564" s="1517"/>
      <c r="P1564" s="846"/>
      <c r="Q1564" s="1296"/>
      <c r="R1564" s="846"/>
      <c r="S1564" s="846"/>
      <c r="T1564" s="846"/>
    </row>
    <row r="1565" ht="15.0" customHeight="1">
      <c r="A1565" s="1296"/>
      <c r="B1565" s="846"/>
      <c r="C1565" s="1517"/>
      <c r="D1565" s="846"/>
      <c r="E1565" s="846"/>
      <c r="F1565" s="846"/>
      <c r="G1565" s="846"/>
      <c r="H1565" s="846"/>
      <c r="I1565" s="1296"/>
      <c r="J1565" s="846"/>
      <c r="K1565" s="1296"/>
      <c r="L1565" s="846"/>
      <c r="M1565" s="1517"/>
      <c r="N1565" s="846"/>
      <c r="O1565" s="1517"/>
      <c r="P1565" s="846"/>
      <c r="Q1565" s="1296"/>
      <c r="R1565" s="846"/>
      <c r="S1565" s="846"/>
      <c r="T1565" s="846"/>
    </row>
    <row r="1566" ht="15.0" customHeight="1">
      <c r="A1566" s="1296"/>
      <c r="B1566" s="846"/>
      <c r="C1566" s="1517"/>
      <c r="D1566" s="846"/>
      <c r="E1566" s="846"/>
      <c r="F1566" s="846"/>
      <c r="G1566" s="846"/>
      <c r="H1566" s="846"/>
      <c r="I1566" s="1296"/>
      <c r="J1566" s="846"/>
      <c r="K1566" s="1296"/>
      <c r="L1566" s="846"/>
      <c r="M1566" s="1517"/>
      <c r="N1566" s="846"/>
      <c r="O1566" s="1517"/>
      <c r="P1566" s="846"/>
      <c r="Q1566" s="1296"/>
      <c r="R1566" s="846"/>
      <c r="S1566" s="846"/>
      <c r="T1566" s="846"/>
    </row>
    <row r="1567" ht="15.0" customHeight="1">
      <c r="A1567" s="1296"/>
      <c r="B1567" s="846"/>
      <c r="C1567" s="1517"/>
      <c r="D1567" s="846"/>
      <c r="E1567" s="846"/>
      <c r="F1567" s="846"/>
      <c r="G1567" s="846"/>
      <c r="H1567" s="846"/>
      <c r="I1567" s="1296"/>
      <c r="J1567" s="846"/>
      <c r="K1567" s="1296"/>
      <c r="L1567" s="846"/>
      <c r="M1567" s="1517"/>
      <c r="N1567" s="846"/>
      <c r="O1567" s="1517"/>
      <c r="P1567" s="846"/>
      <c r="Q1567" s="1296"/>
      <c r="R1567" s="846"/>
      <c r="S1567" s="846"/>
      <c r="T1567" s="846"/>
    </row>
    <row r="1568" ht="15.0" customHeight="1">
      <c r="A1568" s="1296"/>
      <c r="B1568" s="846"/>
      <c r="C1568" s="1517"/>
      <c r="D1568" s="846"/>
      <c r="E1568" s="846"/>
      <c r="F1568" s="846"/>
      <c r="G1568" s="846"/>
      <c r="H1568" s="846"/>
      <c r="I1568" s="1296"/>
      <c r="J1568" s="846"/>
      <c r="K1568" s="1296"/>
      <c r="L1568" s="846"/>
      <c r="M1568" s="1517"/>
      <c r="N1568" s="846"/>
      <c r="O1568" s="1517"/>
      <c r="P1568" s="846"/>
      <c r="Q1568" s="1296"/>
      <c r="R1568" s="846"/>
      <c r="S1568" s="846"/>
      <c r="T1568" s="846"/>
    </row>
    <row r="1569" ht="15.0" customHeight="1">
      <c r="A1569" s="1296"/>
      <c r="B1569" s="846"/>
      <c r="C1569" s="1517"/>
      <c r="D1569" s="846"/>
      <c r="E1569" s="846"/>
      <c r="F1569" s="846"/>
      <c r="G1569" s="846"/>
      <c r="H1569" s="846"/>
      <c r="I1569" s="1296"/>
      <c r="J1569" s="846"/>
      <c r="K1569" s="1296"/>
      <c r="L1569" s="846"/>
      <c r="M1569" s="1517"/>
      <c r="N1569" s="846"/>
      <c r="O1569" s="1517"/>
      <c r="P1569" s="846"/>
      <c r="Q1569" s="1296"/>
      <c r="R1569" s="846"/>
      <c r="S1569" s="846"/>
      <c r="T1569" s="846"/>
    </row>
    <row r="1570" ht="15.0" customHeight="1">
      <c r="A1570" s="1296"/>
      <c r="B1570" s="846"/>
      <c r="C1570" s="1517"/>
      <c r="D1570" s="846"/>
      <c r="E1570" s="846"/>
      <c r="F1570" s="846"/>
      <c r="G1570" s="846"/>
      <c r="H1570" s="846"/>
      <c r="I1570" s="1296"/>
      <c r="J1570" s="846"/>
      <c r="K1570" s="1296"/>
      <c r="L1570" s="846"/>
      <c r="M1570" s="1517"/>
      <c r="N1570" s="846"/>
      <c r="O1570" s="1517"/>
      <c r="P1570" s="846"/>
      <c r="Q1570" s="1296"/>
      <c r="R1570" s="846"/>
      <c r="S1570" s="846"/>
      <c r="T1570" s="846"/>
    </row>
    <row r="1571" ht="15.0" customHeight="1">
      <c r="A1571" s="1296"/>
      <c r="B1571" s="846"/>
      <c r="C1571" s="1517"/>
      <c r="D1571" s="846"/>
      <c r="E1571" s="846"/>
      <c r="F1571" s="846"/>
      <c r="G1571" s="846"/>
      <c r="H1571" s="846"/>
      <c r="I1571" s="1296"/>
      <c r="J1571" s="846"/>
      <c r="K1571" s="1296"/>
      <c r="L1571" s="846"/>
      <c r="M1571" s="1517"/>
      <c r="N1571" s="846"/>
      <c r="O1571" s="1517"/>
      <c r="P1571" s="846"/>
      <c r="Q1571" s="1296"/>
      <c r="R1571" s="846"/>
      <c r="S1571" s="846"/>
      <c r="T1571" s="846"/>
    </row>
    <row r="1572" ht="15.0" customHeight="1">
      <c r="A1572" s="1296"/>
      <c r="B1572" s="846"/>
      <c r="C1572" s="1517"/>
      <c r="D1572" s="846"/>
      <c r="E1572" s="846"/>
      <c r="F1572" s="846"/>
      <c r="G1572" s="846"/>
      <c r="H1572" s="846"/>
      <c r="I1572" s="1296"/>
      <c r="J1572" s="846"/>
      <c r="K1572" s="1296"/>
      <c r="L1572" s="846"/>
      <c r="M1572" s="1517"/>
      <c r="N1572" s="846"/>
      <c r="O1572" s="1517"/>
      <c r="P1572" s="846"/>
      <c r="Q1572" s="1296"/>
      <c r="R1572" s="846"/>
      <c r="S1572" s="846"/>
      <c r="T1572" s="846"/>
    </row>
    <row r="1573" ht="15.0" customHeight="1">
      <c r="A1573" s="1296"/>
      <c r="B1573" s="846"/>
      <c r="C1573" s="1517"/>
      <c r="D1573" s="846"/>
      <c r="E1573" s="846"/>
      <c r="F1573" s="846"/>
      <c r="G1573" s="846"/>
      <c r="H1573" s="846"/>
      <c r="I1573" s="1296"/>
      <c r="J1573" s="846"/>
      <c r="K1573" s="1296"/>
      <c r="L1573" s="846"/>
      <c r="M1573" s="1517"/>
      <c r="N1573" s="846"/>
      <c r="O1573" s="1517"/>
      <c r="P1573" s="846"/>
      <c r="Q1573" s="1296"/>
      <c r="R1573" s="846"/>
      <c r="S1573" s="846"/>
      <c r="T1573" s="846"/>
    </row>
    <row r="1574" ht="15.0" customHeight="1">
      <c r="A1574" s="1296"/>
      <c r="B1574" s="846"/>
      <c r="C1574" s="1517"/>
      <c r="D1574" s="846"/>
      <c r="E1574" s="846"/>
      <c r="F1574" s="846"/>
      <c r="G1574" s="846"/>
      <c r="H1574" s="846"/>
      <c r="I1574" s="1296"/>
      <c r="J1574" s="846"/>
      <c r="K1574" s="1296"/>
      <c r="L1574" s="846"/>
      <c r="M1574" s="1517"/>
      <c r="N1574" s="846"/>
      <c r="O1574" s="1517"/>
      <c r="P1574" s="846"/>
      <c r="Q1574" s="1296"/>
      <c r="R1574" s="846"/>
      <c r="S1574" s="846"/>
      <c r="T1574" s="846"/>
    </row>
    <row r="1575" ht="15.0" customHeight="1">
      <c r="A1575" s="1296"/>
      <c r="B1575" s="846"/>
      <c r="C1575" s="1517"/>
      <c r="D1575" s="846"/>
      <c r="E1575" s="846"/>
      <c r="F1575" s="846"/>
      <c r="G1575" s="846"/>
      <c r="H1575" s="846"/>
      <c r="I1575" s="1296"/>
      <c r="J1575" s="846"/>
      <c r="K1575" s="1296"/>
      <c r="L1575" s="846"/>
      <c r="M1575" s="1517"/>
      <c r="N1575" s="846"/>
      <c r="O1575" s="1517"/>
      <c r="P1575" s="846"/>
      <c r="Q1575" s="1296"/>
      <c r="R1575" s="846"/>
      <c r="S1575" s="846"/>
      <c r="T1575" s="846"/>
    </row>
    <row r="1576" ht="15.0" customHeight="1">
      <c r="A1576" s="1296"/>
      <c r="B1576" s="846"/>
      <c r="C1576" s="1517"/>
      <c r="D1576" s="846"/>
      <c r="E1576" s="846"/>
      <c r="F1576" s="846"/>
      <c r="G1576" s="846"/>
      <c r="H1576" s="846"/>
      <c r="I1576" s="1296"/>
      <c r="J1576" s="846"/>
      <c r="K1576" s="1296"/>
      <c r="L1576" s="846"/>
      <c r="M1576" s="1517"/>
      <c r="N1576" s="846"/>
      <c r="O1576" s="1517"/>
      <c r="P1576" s="846"/>
      <c r="Q1576" s="1296"/>
      <c r="R1576" s="846"/>
      <c r="S1576" s="846"/>
      <c r="T1576" s="846"/>
    </row>
    <row r="1577" ht="15.0" customHeight="1">
      <c r="A1577" s="1296"/>
      <c r="B1577" s="846"/>
      <c r="C1577" s="1517"/>
      <c r="D1577" s="846"/>
      <c r="E1577" s="846"/>
      <c r="F1577" s="846"/>
      <c r="G1577" s="846"/>
      <c r="H1577" s="846"/>
      <c r="I1577" s="1296"/>
      <c r="J1577" s="846"/>
      <c r="K1577" s="1296"/>
      <c r="L1577" s="846"/>
      <c r="M1577" s="1517"/>
      <c r="N1577" s="846"/>
      <c r="O1577" s="1517"/>
      <c r="P1577" s="846"/>
      <c r="Q1577" s="1296"/>
      <c r="R1577" s="846"/>
      <c r="S1577" s="846"/>
      <c r="T1577" s="846"/>
    </row>
    <row r="1578" ht="15.0" customHeight="1">
      <c r="A1578" s="1296"/>
      <c r="B1578" s="846"/>
      <c r="C1578" s="1517"/>
      <c r="D1578" s="846"/>
      <c r="E1578" s="846"/>
      <c r="F1578" s="846"/>
      <c r="G1578" s="846"/>
      <c r="H1578" s="846"/>
      <c r="I1578" s="1296"/>
      <c r="J1578" s="846"/>
      <c r="K1578" s="1296"/>
      <c r="L1578" s="846"/>
      <c r="M1578" s="1517"/>
      <c r="N1578" s="846"/>
      <c r="O1578" s="1517"/>
      <c r="P1578" s="846"/>
      <c r="Q1578" s="1296"/>
      <c r="R1578" s="846"/>
      <c r="S1578" s="846"/>
      <c r="T1578" s="846"/>
    </row>
    <row r="1579" ht="15.0" customHeight="1">
      <c r="A1579" s="1296"/>
      <c r="B1579" s="846"/>
      <c r="C1579" s="1517"/>
      <c r="D1579" s="846"/>
      <c r="E1579" s="846"/>
      <c r="F1579" s="846"/>
      <c r="G1579" s="846"/>
      <c r="H1579" s="846"/>
      <c r="I1579" s="1296"/>
      <c r="J1579" s="846"/>
      <c r="K1579" s="1296"/>
      <c r="L1579" s="846"/>
      <c r="M1579" s="1517"/>
      <c r="N1579" s="846"/>
      <c r="O1579" s="1517"/>
      <c r="P1579" s="846"/>
      <c r="Q1579" s="1296"/>
      <c r="R1579" s="846"/>
      <c r="S1579" s="846"/>
      <c r="T1579" s="846"/>
    </row>
    <row r="1580" ht="15.0" customHeight="1">
      <c r="A1580" s="1296"/>
      <c r="B1580" s="846"/>
      <c r="C1580" s="1517"/>
      <c r="D1580" s="846"/>
      <c r="E1580" s="846"/>
      <c r="F1580" s="846"/>
      <c r="G1580" s="846"/>
      <c r="H1580" s="846"/>
      <c r="I1580" s="1296"/>
      <c r="J1580" s="846"/>
      <c r="K1580" s="1296"/>
      <c r="L1580" s="846"/>
      <c r="M1580" s="1517"/>
      <c r="N1580" s="846"/>
      <c r="O1580" s="1517"/>
      <c r="P1580" s="846"/>
      <c r="Q1580" s="1296"/>
      <c r="R1580" s="846"/>
      <c r="S1580" s="846"/>
      <c r="T1580" s="846"/>
    </row>
    <row r="1581" ht="15.0" customHeight="1">
      <c r="A1581" s="1296"/>
      <c r="B1581" s="846"/>
      <c r="C1581" s="1517"/>
      <c r="D1581" s="846"/>
      <c r="E1581" s="846"/>
      <c r="F1581" s="846"/>
      <c r="G1581" s="846"/>
      <c r="H1581" s="846"/>
      <c r="I1581" s="1296"/>
      <c r="J1581" s="846"/>
      <c r="K1581" s="1296"/>
      <c r="L1581" s="846"/>
      <c r="M1581" s="1517"/>
      <c r="N1581" s="846"/>
      <c r="O1581" s="1517"/>
      <c r="P1581" s="846"/>
      <c r="Q1581" s="1296"/>
      <c r="R1581" s="846"/>
      <c r="S1581" s="846"/>
      <c r="T1581" s="846"/>
    </row>
    <row r="1582" ht="15.0" customHeight="1">
      <c r="A1582" s="1296"/>
      <c r="B1582" s="846"/>
      <c r="C1582" s="1517"/>
      <c r="D1582" s="846"/>
      <c r="E1582" s="846"/>
      <c r="F1582" s="846"/>
      <c r="G1582" s="846"/>
      <c r="H1582" s="846"/>
      <c r="I1582" s="1296"/>
      <c r="J1582" s="846"/>
      <c r="K1582" s="1296"/>
      <c r="L1582" s="846"/>
      <c r="M1582" s="1517"/>
      <c r="N1582" s="846"/>
      <c r="O1582" s="1517"/>
      <c r="P1582" s="846"/>
      <c r="Q1582" s="1296"/>
      <c r="R1582" s="846"/>
      <c r="S1582" s="846"/>
      <c r="T1582" s="846"/>
    </row>
    <row r="1583" ht="15.0" customHeight="1">
      <c r="A1583" s="1296"/>
      <c r="B1583" s="846"/>
      <c r="C1583" s="1517"/>
      <c r="D1583" s="846"/>
      <c r="E1583" s="846"/>
      <c r="F1583" s="846"/>
      <c r="G1583" s="846"/>
      <c r="H1583" s="846"/>
      <c r="I1583" s="1296"/>
      <c r="J1583" s="846"/>
      <c r="K1583" s="1296"/>
      <c r="L1583" s="846"/>
      <c r="M1583" s="1517"/>
      <c r="N1583" s="846"/>
      <c r="O1583" s="1517"/>
      <c r="P1583" s="846"/>
      <c r="Q1583" s="1296"/>
      <c r="R1583" s="846"/>
      <c r="S1583" s="846"/>
      <c r="T1583" s="846"/>
    </row>
    <row r="1584" ht="15.0" customHeight="1">
      <c r="A1584" s="1296"/>
      <c r="B1584" s="846"/>
      <c r="C1584" s="1517"/>
      <c r="D1584" s="846"/>
      <c r="E1584" s="846"/>
      <c r="F1584" s="846"/>
      <c r="G1584" s="846"/>
      <c r="H1584" s="846"/>
      <c r="I1584" s="1296"/>
      <c r="J1584" s="846"/>
      <c r="K1584" s="1296"/>
      <c r="L1584" s="846"/>
      <c r="M1584" s="1517"/>
      <c r="N1584" s="846"/>
      <c r="O1584" s="1517"/>
      <c r="P1584" s="846"/>
      <c r="Q1584" s="1296"/>
      <c r="R1584" s="846"/>
      <c r="S1584" s="846"/>
      <c r="T1584" s="846"/>
    </row>
    <row r="1585" ht="15.0" customHeight="1">
      <c r="A1585" s="1296"/>
      <c r="B1585" s="846"/>
      <c r="C1585" s="1517"/>
      <c r="D1585" s="846"/>
      <c r="E1585" s="846"/>
      <c r="F1585" s="846"/>
      <c r="G1585" s="846"/>
      <c r="H1585" s="846"/>
      <c r="I1585" s="1296"/>
      <c r="J1585" s="846"/>
      <c r="K1585" s="1296"/>
      <c r="L1585" s="846"/>
      <c r="M1585" s="1517"/>
      <c r="N1585" s="846"/>
      <c r="O1585" s="1517"/>
      <c r="P1585" s="846"/>
      <c r="Q1585" s="1296"/>
      <c r="R1585" s="846"/>
      <c r="S1585" s="846"/>
      <c r="T1585" s="846"/>
    </row>
    <row r="1586" ht="15.0" customHeight="1">
      <c r="A1586" s="1296"/>
      <c r="B1586" s="846"/>
      <c r="C1586" s="1517"/>
      <c r="D1586" s="846"/>
      <c r="E1586" s="846"/>
      <c r="F1586" s="846"/>
      <c r="G1586" s="846"/>
      <c r="H1586" s="846"/>
      <c r="I1586" s="1296"/>
      <c r="J1586" s="846"/>
      <c r="K1586" s="1296"/>
      <c r="L1586" s="846"/>
      <c r="M1586" s="1517"/>
      <c r="N1586" s="846"/>
      <c r="O1586" s="1517"/>
      <c r="P1586" s="846"/>
      <c r="Q1586" s="1296"/>
      <c r="R1586" s="846"/>
      <c r="S1586" s="846"/>
      <c r="T1586" s="846"/>
    </row>
    <row r="1587" ht="15.0" customHeight="1">
      <c r="A1587" s="1296"/>
      <c r="B1587" s="846"/>
      <c r="C1587" s="1517"/>
      <c r="D1587" s="846"/>
      <c r="E1587" s="846"/>
      <c r="F1587" s="846"/>
      <c r="G1587" s="846"/>
      <c r="H1587" s="846"/>
      <c r="I1587" s="1296"/>
      <c r="J1587" s="846"/>
      <c r="K1587" s="1296"/>
      <c r="L1587" s="846"/>
      <c r="M1587" s="1517"/>
      <c r="N1587" s="846"/>
      <c r="O1587" s="1517"/>
      <c r="P1587" s="846"/>
      <c r="Q1587" s="1296"/>
      <c r="R1587" s="846"/>
      <c r="S1587" s="846"/>
      <c r="T1587" s="846"/>
    </row>
    <row r="1588" ht="15.0" customHeight="1">
      <c r="A1588" s="1296"/>
      <c r="B1588" s="846"/>
      <c r="C1588" s="1517"/>
      <c r="D1588" s="846"/>
      <c r="E1588" s="846"/>
      <c r="F1588" s="846"/>
      <c r="G1588" s="846"/>
      <c r="H1588" s="846"/>
      <c r="I1588" s="1296"/>
      <c r="J1588" s="846"/>
      <c r="K1588" s="1296"/>
      <c r="L1588" s="846"/>
      <c r="M1588" s="1517"/>
      <c r="N1588" s="846"/>
      <c r="O1588" s="1517"/>
      <c r="P1588" s="846"/>
      <c r="Q1588" s="1296"/>
      <c r="R1588" s="846"/>
      <c r="S1588" s="846"/>
      <c r="T1588" s="846"/>
    </row>
    <row r="1589" ht="15.0" customHeight="1">
      <c r="A1589" s="1296"/>
      <c r="B1589" s="846"/>
      <c r="C1589" s="1517"/>
      <c r="D1589" s="846"/>
      <c r="E1589" s="846"/>
      <c r="F1589" s="846"/>
      <c r="G1589" s="846"/>
      <c r="H1589" s="846"/>
      <c r="I1589" s="1296"/>
      <c r="J1589" s="846"/>
      <c r="K1589" s="1296"/>
      <c r="L1589" s="846"/>
      <c r="M1589" s="1517"/>
      <c r="N1589" s="846"/>
      <c r="O1589" s="1517"/>
      <c r="P1589" s="846"/>
      <c r="Q1589" s="1296"/>
      <c r="R1589" s="846"/>
      <c r="S1589" s="846"/>
      <c r="T1589" s="846"/>
    </row>
    <row r="1590" ht="15.0" customHeight="1">
      <c r="A1590" s="1296"/>
      <c r="B1590" s="846"/>
      <c r="C1590" s="1517"/>
      <c r="D1590" s="846"/>
      <c r="E1590" s="846"/>
      <c r="F1590" s="846"/>
      <c r="G1590" s="846"/>
      <c r="H1590" s="846"/>
      <c r="I1590" s="1296"/>
      <c r="J1590" s="846"/>
      <c r="K1590" s="1296"/>
      <c r="L1590" s="846"/>
      <c r="M1590" s="1517"/>
      <c r="N1590" s="846"/>
      <c r="O1590" s="1517"/>
      <c r="P1590" s="846"/>
      <c r="Q1590" s="1296"/>
      <c r="R1590" s="846"/>
      <c r="S1590" s="846"/>
      <c r="T1590" s="846"/>
    </row>
    <row r="1591" ht="15.0" customHeight="1">
      <c r="A1591" s="1296"/>
      <c r="B1591" s="846"/>
      <c r="C1591" s="1517"/>
      <c r="D1591" s="846"/>
      <c r="E1591" s="846"/>
      <c r="F1591" s="846"/>
      <c r="G1591" s="846"/>
      <c r="H1591" s="846"/>
      <c r="I1591" s="1296"/>
      <c r="J1591" s="846"/>
      <c r="K1591" s="1296"/>
      <c r="L1591" s="846"/>
      <c r="M1591" s="1517"/>
      <c r="N1591" s="846"/>
      <c r="O1591" s="1517"/>
      <c r="P1591" s="846"/>
      <c r="Q1591" s="1296"/>
      <c r="R1591" s="846"/>
      <c r="S1591" s="846"/>
      <c r="T1591" s="846"/>
    </row>
    <row r="1592" ht="15.0" customHeight="1">
      <c r="A1592" s="1296"/>
      <c r="B1592" s="846"/>
      <c r="C1592" s="1517"/>
      <c r="D1592" s="846"/>
      <c r="E1592" s="846"/>
      <c r="F1592" s="846"/>
      <c r="G1592" s="846"/>
      <c r="H1592" s="846"/>
      <c r="I1592" s="1296"/>
      <c r="J1592" s="846"/>
      <c r="K1592" s="1296"/>
      <c r="L1592" s="846"/>
      <c r="M1592" s="1517"/>
      <c r="N1592" s="846"/>
      <c r="O1592" s="1517"/>
      <c r="P1592" s="846"/>
      <c r="Q1592" s="1296"/>
      <c r="R1592" s="846"/>
      <c r="S1592" s="846"/>
      <c r="T1592" s="846"/>
    </row>
    <row r="1593" ht="15.0" customHeight="1">
      <c r="A1593" s="1296"/>
      <c r="B1593" s="846"/>
      <c r="C1593" s="1517"/>
      <c r="D1593" s="846"/>
      <c r="E1593" s="846"/>
      <c r="F1593" s="846"/>
      <c r="G1593" s="846"/>
      <c r="H1593" s="846"/>
      <c r="I1593" s="1296"/>
      <c r="J1593" s="846"/>
      <c r="K1593" s="1296"/>
      <c r="L1593" s="846"/>
      <c r="M1593" s="1517"/>
      <c r="N1593" s="846"/>
      <c r="O1593" s="1517"/>
      <c r="P1593" s="846"/>
      <c r="Q1593" s="1296"/>
      <c r="R1593" s="846"/>
      <c r="S1593" s="846"/>
      <c r="T1593" s="846"/>
    </row>
    <row r="1594" ht="15.0" customHeight="1">
      <c r="A1594" s="1296"/>
      <c r="B1594" s="846"/>
      <c r="C1594" s="1517"/>
      <c r="D1594" s="846"/>
      <c r="E1594" s="846"/>
      <c r="F1594" s="846"/>
      <c r="G1594" s="846"/>
      <c r="H1594" s="846"/>
      <c r="I1594" s="1296"/>
      <c r="J1594" s="846"/>
      <c r="K1594" s="1296"/>
      <c r="L1594" s="846"/>
      <c r="M1594" s="1517"/>
      <c r="N1594" s="846"/>
      <c r="O1594" s="1517"/>
      <c r="P1594" s="846"/>
      <c r="Q1594" s="1296"/>
      <c r="R1594" s="846"/>
      <c r="S1594" s="846"/>
      <c r="T1594" s="846"/>
    </row>
    <row r="1595" ht="15.0" customHeight="1">
      <c r="A1595" s="1296"/>
      <c r="B1595" s="846"/>
      <c r="C1595" s="1517"/>
      <c r="D1595" s="846"/>
      <c r="E1595" s="846"/>
      <c r="F1595" s="846"/>
      <c r="G1595" s="846"/>
      <c r="H1595" s="846"/>
      <c r="I1595" s="1296"/>
      <c r="J1595" s="846"/>
      <c r="K1595" s="1296"/>
      <c r="L1595" s="846"/>
      <c r="M1595" s="1517"/>
      <c r="N1595" s="846"/>
      <c r="O1595" s="1517"/>
      <c r="P1595" s="846"/>
      <c r="Q1595" s="1296"/>
      <c r="R1595" s="846"/>
      <c r="S1595" s="846"/>
      <c r="T1595" s="846"/>
    </row>
    <row r="1596" ht="15.0" customHeight="1">
      <c r="A1596" s="1296"/>
      <c r="B1596" s="846"/>
      <c r="C1596" s="1517"/>
      <c r="D1596" s="846"/>
      <c r="E1596" s="846"/>
      <c r="F1596" s="846"/>
      <c r="G1596" s="846"/>
      <c r="H1596" s="846"/>
      <c r="I1596" s="1296"/>
      <c r="J1596" s="846"/>
      <c r="K1596" s="1296"/>
      <c r="L1596" s="846"/>
      <c r="M1596" s="1517"/>
      <c r="N1596" s="846"/>
      <c r="O1596" s="1517"/>
      <c r="P1596" s="846"/>
      <c r="Q1596" s="1296"/>
      <c r="R1596" s="846"/>
      <c r="S1596" s="846"/>
      <c r="T1596" s="846"/>
    </row>
    <row r="1597" ht="15.0" customHeight="1">
      <c r="A1597" s="1296"/>
      <c r="B1597" s="846"/>
      <c r="C1597" s="1517"/>
      <c r="D1597" s="846"/>
      <c r="E1597" s="846"/>
      <c r="F1597" s="846"/>
      <c r="G1597" s="846"/>
      <c r="H1597" s="846"/>
      <c r="I1597" s="1296"/>
      <c r="J1597" s="846"/>
      <c r="K1597" s="1296"/>
      <c r="L1597" s="846"/>
      <c r="M1597" s="1517"/>
      <c r="N1597" s="846"/>
      <c r="O1597" s="1517"/>
      <c r="P1597" s="846"/>
      <c r="Q1597" s="1296"/>
      <c r="R1597" s="846"/>
      <c r="S1597" s="846"/>
      <c r="T1597" s="846"/>
    </row>
    <row r="1598" ht="15.0" customHeight="1">
      <c r="A1598" s="1296"/>
      <c r="B1598" s="846"/>
      <c r="C1598" s="1517"/>
      <c r="D1598" s="846"/>
      <c r="E1598" s="846"/>
      <c r="F1598" s="846"/>
      <c r="G1598" s="846"/>
      <c r="H1598" s="846"/>
      <c r="I1598" s="1296"/>
      <c r="J1598" s="846"/>
      <c r="K1598" s="1296"/>
      <c r="L1598" s="846"/>
      <c r="M1598" s="1517"/>
      <c r="N1598" s="846"/>
      <c r="O1598" s="1517"/>
      <c r="P1598" s="846"/>
      <c r="Q1598" s="1296"/>
      <c r="R1598" s="846"/>
      <c r="S1598" s="846"/>
      <c r="T1598" s="846"/>
    </row>
    <row r="1599" ht="15.0" customHeight="1">
      <c r="A1599" s="1296"/>
      <c r="B1599" s="846"/>
      <c r="C1599" s="1517"/>
      <c r="D1599" s="846"/>
      <c r="E1599" s="846"/>
      <c r="F1599" s="846"/>
      <c r="G1599" s="846"/>
      <c r="H1599" s="846"/>
      <c r="I1599" s="1296"/>
      <c r="J1599" s="846"/>
      <c r="K1599" s="1296"/>
      <c r="L1599" s="846"/>
      <c r="M1599" s="1517"/>
      <c r="N1599" s="846"/>
      <c r="O1599" s="1517"/>
      <c r="P1599" s="846"/>
      <c r="Q1599" s="1296"/>
      <c r="R1599" s="846"/>
      <c r="S1599" s="846"/>
      <c r="T1599" s="846"/>
    </row>
    <row r="1600" ht="15.0" customHeight="1">
      <c r="A1600" s="1296"/>
      <c r="B1600" s="846"/>
      <c r="C1600" s="1517"/>
      <c r="D1600" s="846"/>
      <c r="E1600" s="846"/>
      <c r="F1600" s="846"/>
      <c r="G1600" s="846"/>
      <c r="H1600" s="846"/>
      <c r="I1600" s="1296"/>
      <c r="J1600" s="846"/>
      <c r="K1600" s="1296"/>
      <c r="L1600" s="846"/>
      <c r="M1600" s="1517"/>
      <c r="N1600" s="846"/>
      <c r="O1600" s="1517"/>
      <c r="P1600" s="846"/>
      <c r="Q1600" s="1296"/>
      <c r="R1600" s="846"/>
      <c r="S1600" s="846"/>
      <c r="T1600" s="846"/>
    </row>
    <row r="1601" ht="15.0" customHeight="1">
      <c r="A1601" s="1296"/>
      <c r="B1601" s="846"/>
      <c r="C1601" s="1517"/>
      <c r="D1601" s="846"/>
      <c r="E1601" s="846"/>
      <c r="F1601" s="846"/>
      <c r="G1601" s="846"/>
      <c r="H1601" s="846"/>
      <c r="I1601" s="1296"/>
      <c r="J1601" s="846"/>
      <c r="K1601" s="1296"/>
      <c r="L1601" s="846"/>
      <c r="M1601" s="1517"/>
      <c r="N1601" s="846"/>
      <c r="O1601" s="1517"/>
      <c r="P1601" s="846"/>
      <c r="Q1601" s="1296"/>
      <c r="R1601" s="846"/>
      <c r="S1601" s="846"/>
      <c r="T1601" s="846"/>
    </row>
    <row r="1602" ht="15.0" customHeight="1">
      <c r="A1602" s="1296"/>
      <c r="B1602" s="846"/>
      <c r="C1602" s="1517"/>
      <c r="D1602" s="846"/>
      <c r="E1602" s="846"/>
      <c r="F1602" s="846"/>
      <c r="G1602" s="846"/>
      <c r="H1602" s="846"/>
      <c r="I1602" s="1296"/>
      <c r="J1602" s="846"/>
      <c r="K1602" s="1296"/>
      <c r="L1602" s="846"/>
      <c r="M1602" s="1517"/>
      <c r="N1602" s="846"/>
      <c r="O1602" s="1517"/>
      <c r="P1602" s="846"/>
      <c r="Q1602" s="1296"/>
      <c r="R1602" s="846"/>
      <c r="S1602" s="846"/>
      <c r="T1602" s="846"/>
    </row>
    <row r="1603" ht="15.0" customHeight="1">
      <c r="A1603" s="1296"/>
      <c r="B1603" s="846"/>
      <c r="C1603" s="1517"/>
      <c r="D1603" s="846"/>
      <c r="E1603" s="846"/>
      <c r="F1603" s="846"/>
      <c r="G1603" s="846"/>
      <c r="H1603" s="846"/>
      <c r="I1603" s="1296"/>
      <c r="J1603" s="846"/>
      <c r="K1603" s="1296"/>
      <c r="L1603" s="846"/>
      <c r="M1603" s="1517"/>
      <c r="N1603" s="846"/>
      <c r="O1603" s="1517"/>
      <c r="P1603" s="846"/>
      <c r="Q1603" s="1296"/>
      <c r="R1603" s="846"/>
      <c r="S1603" s="846"/>
      <c r="T1603" s="846"/>
    </row>
    <row r="1604" ht="15.0" customHeight="1">
      <c r="A1604" s="1296"/>
      <c r="B1604" s="846"/>
      <c r="C1604" s="1517"/>
      <c r="D1604" s="846"/>
      <c r="E1604" s="846"/>
      <c r="F1604" s="846"/>
      <c r="G1604" s="846"/>
      <c r="H1604" s="846"/>
      <c r="I1604" s="1296"/>
      <c r="J1604" s="846"/>
      <c r="K1604" s="1296"/>
      <c r="L1604" s="846"/>
      <c r="M1604" s="1517"/>
      <c r="N1604" s="846"/>
      <c r="O1604" s="1517"/>
      <c r="P1604" s="846"/>
      <c r="Q1604" s="1296"/>
      <c r="R1604" s="846"/>
      <c r="S1604" s="846"/>
      <c r="T1604" s="846"/>
    </row>
    <row r="1605" ht="15.0" customHeight="1">
      <c r="A1605" s="1296"/>
      <c r="B1605" s="846"/>
      <c r="C1605" s="1517"/>
      <c r="D1605" s="846"/>
      <c r="E1605" s="846"/>
      <c r="F1605" s="846"/>
      <c r="G1605" s="846"/>
      <c r="H1605" s="846"/>
      <c r="I1605" s="1296"/>
      <c r="J1605" s="846"/>
      <c r="K1605" s="1296"/>
      <c r="L1605" s="846"/>
      <c r="M1605" s="1517"/>
      <c r="N1605" s="846"/>
      <c r="O1605" s="1517"/>
      <c r="P1605" s="846"/>
      <c r="Q1605" s="1296"/>
      <c r="R1605" s="846"/>
      <c r="S1605" s="846"/>
      <c r="T1605" s="846"/>
    </row>
    <row r="1606" ht="15.0" customHeight="1">
      <c r="A1606" s="1296"/>
      <c r="B1606" s="846"/>
      <c r="C1606" s="1517"/>
      <c r="D1606" s="846"/>
      <c r="E1606" s="846"/>
      <c r="F1606" s="846"/>
      <c r="G1606" s="846"/>
      <c r="H1606" s="846"/>
      <c r="I1606" s="1296"/>
      <c r="J1606" s="846"/>
      <c r="K1606" s="1296"/>
      <c r="L1606" s="846"/>
      <c r="M1606" s="1517"/>
      <c r="N1606" s="846"/>
      <c r="O1606" s="1517"/>
      <c r="P1606" s="846"/>
      <c r="Q1606" s="1296"/>
      <c r="R1606" s="846"/>
      <c r="S1606" s="846"/>
      <c r="T1606" s="846"/>
    </row>
    <row r="1607" ht="15.0" customHeight="1">
      <c r="A1607" s="1296"/>
      <c r="B1607" s="846"/>
      <c r="C1607" s="1517"/>
      <c r="D1607" s="846"/>
      <c r="E1607" s="846"/>
      <c r="F1607" s="846"/>
      <c r="G1607" s="846"/>
      <c r="H1607" s="846"/>
      <c r="I1607" s="1296"/>
      <c r="J1607" s="846"/>
      <c r="K1607" s="1296"/>
      <c r="L1607" s="846"/>
      <c r="M1607" s="1517"/>
      <c r="N1607" s="846"/>
      <c r="O1607" s="1517"/>
      <c r="P1607" s="846"/>
      <c r="Q1607" s="1296"/>
      <c r="R1607" s="846"/>
      <c r="S1607" s="846"/>
      <c r="T1607" s="846"/>
    </row>
    <row r="1608" ht="15.0" customHeight="1">
      <c r="A1608" s="1296"/>
      <c r="B1608" s="846"/>
      <c r="C1608" s="1517"/>
      <c r="D1608" s="846"/>
      <c r="E1608" s="846"/>
      <c r="F1608" s="846"/>
      <c r="G1608" s="846"/>
      <c r="H1608" s="846"/>
      <c r="I1608" s="1296"/>
      <c r="J1608" s="846"/>
      <c r="K1608" s="1296"/>
      <c r="L1608" s="846"/>
      <c r="M1608" s="1517"/>
      <c r="N1608" s="846"/>
      <c r="O1608" s="1517"/>
      <c r="P1608" s="846"/>
      <c r="Q1608" s="1296"/>
      <c r="R1608" s="846"/>
      <c r="S1608" s="846"/>
      <c r="T1608" s="846"/>
    </row>
    <row r="1609" ht="15.0" customHeight="1">
      <c r="A1609" s="1296"/>
      <c r="B1609" s="846"/>
      <c r="C1609" s="1517"/>
      <c r="D1609" s="846"/>
      <c r="E1609" s="846"/>
      <c r="F1609" s="846"/>
      <c r="G1609" s="846"/>
      <c r="H1609" s="846"/>
      <c r="I1609" s="1296"/>
      <c r="J1609" s="846"/>
      <c r="K1609" s="1296"/>
      <c r="L1609" s="846"/>
      <c r="M1609" s="1517"/>
      <c r="N1609" s="846"/>
      <c r="O1609" s="1517"/>
      <c r="P1609" s="846"/>
      <c r="Q1609" s="1296"/>
      <c r="R1609" s="846"/>
      <c r="S1609" s="846"/>
      <c r="T1609" s="846"/>
    </row>
    <row r="1610" ht="15.0" customHeight="1">
      <c r="A1610" s="1296"/>
      <c r="B1610" s="846"/>
      <c r="C1610" s="1517"/>
      <c r="D1610" s="846"/>
      <c r="E1610" s="846"/>
      <c r="F1610" s="846"/>
      <c r="G1610" s="846"/>
      <c r="H1610" s="846"/>
      <c r="I1610" s="1296"/>
      <c r="J1610" s="846"/>
      <c r="K1610" s="1296"/>
      <c r="L1610" s="846"/>
      <c r="M1610" s="1517"/>
      <c r="N1610" s="846"/>
      <c r="O1610" s="1517"/>
      <c r="P1610" s="846"/>
      <c r="Q1610" s="1296"/>
      <c r="R1610" s="846"/>
      <c r="S1610" s="846"/>
      <c r="T1610" s="846"/>
    </row>
    <row r="1611" ht="15.0" customHeight="1">
      <c r="A1611" s="1296"/>
      <c r="B1611" s="846"/>
      <c r="C1611" s="1517"/>
      <c r="D1611" s="846"/>
      <c r="E1611" s="846"/>
      <c r="F1611" s="846"/>
      <c r="G1611" s="846"/>
      <c r="H1611" s="846"/>
      <c r="I1611" s="1296"/>
      <c r="J1611" s="846"/>
      <c r="K1611" s="1296"/>
      <c r="L1611" s="846"/>
      <c r="M1611" s="1517"/>
      <c r="N1611" s="846"/>
      <c r="O1611" s="1517"/>
      <c r="P1611" s="846"/>
      <c r="Q1611" s="1296"/>
      <c r="R1611" s="846"/>
      <c r="S1611" s="846"/>
      <c r="T1611" s="846"/>
    </row>
    <row r="1612" ht="15.0" customHeight="1">
      <c r="A1612" s="1296"/>
      <c r="B1612" s="846"/>
      <c r="C1612" s="1517"/>
      <c r="D1612" s="846"/>
      <c r="E1612" s="846"/>
      <c r="F1612" s="846"/>
      <c r="G1612" s="846"/>
      <c r="H1612" s="846"/>
      <c r="I1612" s="1296"/>
      <c r="J1612" s="846"/>
      <c r="K1612" s="1296"/>
      <c r="L1612" s="846"/>
      <c r="M1612" s="1517"/>
      <c r="N1612" s="846"/>
      <c r="O1612" s="1517"/>
      <c r="P1612" s="846"/>
      <c r="Q1612" s="1296"/>
      <c r="R1612" s="846"/>
      <c r="S1612" s="846"/>
      <c r="T1612" s="846"/>
    </row>
    <row r="1613" ht="15.0" customHeight="1">
      <c r="A1613" s="1296"/>
      <c r="B1613" s="846"/>
      <c r="C1613" s="1517"/>
      <c r="D1613" s="846"/>
      <c r="E1613" s="846"/>
      <c r="F1613" s="846"/>
      <c r="G1613" s="846"/>
      <c r="H1613" s="846"/>
      <c r="I1613" s="1296"/>
      <c r="J1613" s="846"/>
      <c r="K1613" s="1296"/>
      <c r="L1613" s="846"/>
      <c r="M1613" s="1517"/>
      <c r="N1613" s="846"/>
      <c r="O1613" s="1517"/>
      <c r="P1613" s="846"/>
      <c r="Q1613" s="1296"/>
      <c r="R1613" s="846"/>
      <c r="S1613" s="846"/>
      <c r="T1613" s="846"/>
    </row>
    <row r="1614" ht="15.0" customHeight="1">
      <c r="A1614" s="1296"/>
      <c r="B1614" s="846"/>
      <c r="C1614" s="1517"/>
      <c r="D1614" s="846"/>
      <c r="E1614" s="846"/>
      <c r="F1614" s="846"/>
      <c r="G1614" s="846"/>
      <c r="H1614" s="846"/>
      <c r="I1614" s="1296"/>
      <c r="J1614" s="846"/>
      <c r="K1614" s="1296"/>
      <c r="L1614" s="846"/>
      <c r="M1614" s="1517"/>
      <c r="N1614" s="846"/>
      <c r="O1614" s="1517"/>
      <c r="P1614" s="846"/>
      <c r="Q1614" s="1296"/>
      <c r="R1614" s="846"/>
      <c r="S1614" s="846"/>
      <c r="T1614" s="846"/>
    </row>
    <row r="1615" ht="15.0" customHeight="1">
      <c r="A1615" s="1296"/>
      <c r="B1615" s="846"/>
      <c r="C1615" s="1517"/>
      <c r="D1615" s="846"/>
      <c r="E1615" s="846"/>
      <c r="F1615" s="846"/>
      <c r="G1615" s="846"/>
      <c r="H1615" s="846"/>
      <c r="I1615" s="1296"/>
      <c r="J1615" s="846"/>
      <c r="K1615" s="1296"/>
      <c r="L1615" s="846"/>
      <c r="M1615" s="1517"/>
      <c r="N1615" s="846"/>
      <c r="O1615" s="1517"/>
      <c r="P1615" s="846"/>
      <c r="Q1615" s="1296"/>
      <c r="R1615" s="846"/>
      <c r="S1615" s="846"/>
      <c r="T1615" s="846"/>
    </row>
    <row r="1616" ht="15.0" customHeight="1">
      <c r="A1616" s="1296"/>
      <c r="B1616" s="846"/>
      <c r="C1616" s="1517"/>
      <c r="D1616" s="846"/>
      <c r="E1616" s="846"/>
      <c r="F1616" s="846"/>
      <c r="G1616" s="846"/>
      <c r="H1616" s="846"/>
      <c r="I1616" s="1296"/>
      <c r="J1616" s="846"/>
      <c r="K1616" s="1296"/>
      <c r="L1616" s="846"/>
      <c r="M1616" s="1517"/>
      <c r="N1616" s="846"/>
      <c r="O1616" s="1517"/>
      <c r="P1616" s="846"/>
      <c r="Q1616" s="1296"/>
      <c r="R1616" s="846"/>
      <c r="S1616" s="846"/>
      <c r="T1616" s="846"/>
    </row>
    <row r="1617" ht="15.0" customHeight="1">
      <c r="A1617" s="1296"/>
      <c r="B1617" s="846"/>
      <c r="C1617" s="1517"/>
      <c r="D1617" s="846"/>
      <c r="E1617" s="846"/>
      <c r="F1617" s="846"/>
      <c r="G1617" s="846"/>
      <c r="H1617" s="846"/>
      <c r="I1617" s="1296"/>
      <c r="J1617" s="846"/>
      <c r="K1617" s="1296"/>
      <c r="L1617" s="846"/>
      <c r="M1617" s="1517"/>
      <c r="N1617" s="846"/>
      <c r="O1617" s="1517"/>
      <c r="P1617" s="846"/>
      <c r="Q1617" s="1296"/>
      <c r="R1617" s="846"/>
      <c r="S1617" s="846"/>
      <c r="T1617" s="846"/>
    </row>
    <row r="1618" ht="15.0" customHeight="1">
      <c r="A1618" s="1296"/>
      <c r="B1618" s="846"/>
      <c r="C1618" s="1517"/>
      <c r="D1618" s="846"/>
      <c r="E1618" s="846"/>
      <c r="F1618" s="846"/>
      <c r="G1618" s="846"/>
      <c r="H1618" s="846"/>
      <c r="I1618" s="1296"/>
      <c r="J1618" s="846"/>
      <c r="K1618" s="1296"/>
      <c r="L1618" s="846"/>
      <c r="M1618" s="1517"/>
      <c r="N1618" s="846"/>
      <c r="O1618" s="1517"/>
      <c r="P1618" s="846"/>
      <c r="Q1618" s="1296"/>
      <c r="R1618" s="846"/>
      <c r="S1618" s="846"/>
      <c r="T1618" s="846"/>
    </row>
    <row r="1619" ht="15.0" customHeight="1">
      <c r="A1619" s="1296"/>
      <c r="B1619" s="846"/>
      <c r="C1619" s="1517"/>
      <c r="D1619" s="846"/>
      <c r="E1619" s="846"/>
      <c r="F1619" s="846"/>
      <c r="G1619" s="846"/>
      <c r="H1619" s="846"/>
      <c r="I1619" s="1296"/>
      <c r="J1619" s="846"/>
      <c r="K1619" s="1296"/>
      <c r="L1619" s="846"/>
      <c r="M1619" s="1517"/>
      <c r="N1619" s="846"/>
      <c r="O1619" s="1517"/>
      <c r="P1619" s="846"/>
      <c r="Q1619" s="1296"/>
      <c r="R1619" s="846"/>
      <c r="S1619" s="846"/>
      <c r="T1619" s="846"/>
    </row>
    <row r="1620" ht="15.0" customHeight="1">
      <c r="A1620" s="1296"/>
      <c r="B1620" s="846"/>
      <c r="C1620" s="1517"/>
      <c r="D1620" s="846"/>
      <c r="E1620" s="846"/>
      <c r="F1620" s="846"/>
      <c r="G1620" s="846"/>
      <c r="H1620" s="846"/>
      <c r="I1620" s="1296"/>
      <c r="J1620" s="846"/>
      <c r="K1620" s="1296"/>
      <c r="L1620" s="846"/>
      <c r="M1620" s="1517"/>
      <c r="N1620" s="846"/>
      <c r="O1620" s="1517"/>
      <c r="P1620" s="846"/>
      <c r="Q1620" s="1296"/>
      <c r="R1620" s="846"/>
      <c r="S1620" s="846"/>
      <c r="T1620" s="846"/>
    </row>
    <row r="1621" ht="15.0" customHeight="1">
      <c r="A1621" s="1296"/>
      <c r="B1621" s="846"/>
      <c r="C1621" s="1517"/>
      <c r="D1621" s="846"/>
      <c r="E1621" s="846"/>
      <c r="F1621" s="846"/>
      <c r="G1621" s="846"/>
      <c r="H1621" s="846"/>
      <c r="I1621" s="1296"/>
      <c r="J1621" s="846"/>
      <c r="K1621" s="1296"/>
      <c r="L1621" s="846"/>
      <c r="M1621" s="1517"/>
      <c r="N1621" s="846"/>
      <c r="O1621" s="1517"/>
      <c r="P1621" s="846"/>
      <c r="Q1621" s="1296"/>
      <c r="R1621" s="846"/>
      <c r="S1621" s="846"/>
      <c r="T1621" s="846"/>
    </row>
    <row r="1622" ht="15.0" customHeight="1">
      <c r="A1622" s="1296"/>
      <c r="B1622" s="846"/>
      <c r="C1622" s="1517"/>
      <c r="D1622" s="846"/>
      <c r="E1622" s="846"/>
      <c r="F1622" s="846"/>
      <c r="G1622" s="846"/>
      <c r="H1622" s="846"/>
      <c r="I1622" s="1296"/>
      <c r="J1622" s="846"/>
      <c r="K1622" s="1296"/>
      <c r="L1622" s="846"/>
      <c r="M1622" s="1517"/>
      <c r="N1622" s="846"/>
      <c r="O1622" s="1517"/>
      <c r="P1622" s="846"/>
      <c r="Q1622" s="1296"/>
      <c r="R1622" s="846"/>
      <c r="S1622" s="846"/>
      <c r="T1622" s="846"/>
    </row>
    <row r="1623" ht="15.0" customHeight="1">
      <c r="A1623" s="1296"/>
      <c r="B1623" s="846"/>
      <c r="C1623" s="1517"/>
      <c r="D1623" s="846"/>
      <c r="E1623" s="846"/>
      <c r="F1623" s="846"/>
      <c r="G1623" s="846"/>
      <c r="H1623" s="846"/>
      <c r="I1623" s="1296"/>
      <c r="J1623" s="846"/>
      <c r="K1623" s="1296"/>
      <c r="L1623" s="846"/>
      <c r="M1623" s="1517"/>
      <c r="N1623" s="846"/>
      <c r="O1623" s="1517"/>
      <c r="P1623" s="846"/>
      <c r="Q1623" s="1296"/>
      <c r="R1623" s="846"/>
      <c r="S1623" s="846"/>
      <c r="T1623" s="846"/>
    </row>
    <row r="1624" ht="15.0" customHeight="1">
      <c r="A1624" s="1296"/>
      <c r="B1624" s="846"/>
      <c r="C1624" s="1517"/>
      <c r="D1624" s="846"/>
      <c r="E1624" s="846"/>
      <c r="F1624" s="846"/>
      <c r="G1624" s="846"/>
      <c r="H1624" s="846"/>
      <c r="I1624" s="1296"/>
      <c r="J1624" s="846"/>
      <c r="K1624" s="1296"/>
      <c r="L1624" s="846"/>
      <c r="M1624" s="1517"/>
      <c r="N1624" s="846"/>
      <c r="O1624" s="1517"/>
      <c r="P1624" s="846"/>
      <c r="Q1624" s="1296"/>
      <c r="R1624" s="846"/>
      <c r="S1624" s="846"/>
      <c r="T1624" s="846"/>
    </row>
    <row r="1625" ht="15.0" customHeight="1">
      <c r="A1625" s="1296"/>
      <c r="B1625" s="846"/>
      <c r="C1625" s="1517"/>
      <c r="D1625" s="846"/>
      <c r="E1625" s="846"/>
      <c r="F1625" s="846"/>
      <c r="G1625" s="846"/>
      <c r="H1625" s="846"/>
      <c r="I1625" s="1296"/>
      <c r="J1625" s="846"/>
      <c r="K1625" s="1296"/>
      <c r="L1625" s="846"/>
      <c r="M1625" s="1517"/>
      <c r="N1625" s="846"/>
      <c r="O1625" s="1517"/>
      <c r="P1625" s="846"/>
      <c r="Q1625" s="1296"/>
      <c r="R1625" s="846"/>
      <c r="S1625" s="846"/>
      <c r="T1625" s="846"/>
    </row>
    <row r="1626" ht="15.0" customHeight="1">
      <c r="A1626" s="1296"/>
      <c r="B1626" s="846"/>
      <c r="C1626" s="1517"/>
      <c r="D1626" s="846"/>
      <c r="E1626" s="846"/>
      <c r="F1626" s="846"/>
      <c r="G1626" s="846"/>
      <c r="H1626" s="846"/>
      <c r="I1626" s="1296"/>
      <c r="J1626" s="846"/>
      <c r="K1626" s="1296"/>
      <c r="L1626" s="846"/>
      <c r="M1626" s="1517"/>
      <c r="N1626" s="846"/>
      <c r="O1626" s="1517"/>
      <c r="P1626" s="846"/>
      <c r="Q1626" s="1296"/>
      <c r="R1626" s="846"/>
      <c r="S1626" s="846"/>
      <c r="T1626" s="846"/>
    </row>
    <row r="1627" ht="15.0" customHeight="1">
      <c r="A1627" s="1296"/>
      <c r="B1627" s="846"/>
      <c r="C1627" s="1517"/>
      <c r="D1627" s="846"/>
      <c r="E1627" s="846"/>
      <c r="F1627" s="846"/>
      <c r="G1627" s="846"/>
      <c r="H1627" s="846"/>
      <c r="I1627" s="1296"/>
      <c r="J1627" s="846"/>
      <c r="K1627" s="1296"/>
      <c r="L1627" s="846"/>
      <c r="M1627" s="1517"/>
      <c r="N1627" s="846"/>
      <c r="O1627" s="1517"/>
      <c r="P1627" s="846"/>
      <c r="Q1627" s="1296"/>
      <c r="R1627" s="846"/>
      <c r="S1627" s="846"/>
      <c r="T1627" s="846"/>
    </row>
    <row r="1628" ht="15.0" customHeight="1">
      <c r="A1628" s="1296"/>
      <c r="B1628" s="846"/>
      <c r="C1628" s="1517"/>
      <c r="D1628" s="846"/>
      <c r="E1628" s="846"/>
      <c r="F1628" s="846"/>
      <c r="G1628" s="846"/>
      <c r="H1628" s="846"/>
      <c r="I1628" s="1296"/>
      <c r="J1628" s="846"/>
      <c r="K1628" s="1296"/>
      <c r="L1628" s="846"/>
      <c r="M1628" s="1517"/>
      <c r="N1628" s="846"/>
      <c r="O1628" s="1517"/>
      <c r="P1628" s="846"/>
      <c r="Q1628" s="1296"/>
      <c r="R1628" s="846"/>
      <c r="S1628" s="846"/>
      <c r="T1628" s="846"/>
    </row>
    <row r="1629" ht="15.0" customHeight="1">
      <c r="A1629" s="1296"/>
      <c r="B1629" s="846"/>
      <c r="C1629" s="1517"/>
      <c r="D1629" s="846"/>
      <c r="E1629" s="846"/>
      <c r="F1629" s="846"/>
      <c r="G1629" s="846"/>
      <c r="H1629" s="846"/>
      <c r="I1629" s="1296"/>
      <c r="J1629" s="846"/>
      <c r="K1629" s="1296"/>
      <c r="L1629" s="846"/>
      <c r="M1629" s="1517"/>
      <c r="N1629" s="846"/>
      <c r="O1629" s="1517"/>
      <c r="P1629" s="846"/>
      <c r="Q1629" s="1296"/>
      <c r="R1629" s="846"/>
      <c r="S1629" s="846"/>
      <c r="T1629" s="846"/>
    </row>
    <row r="1630" ht="15.0" customHeight="1">
      <c r="A1630" s="1296"/>
      <c r="B1630" s="846"/>
      <c r="C1630" s="1517"/>
      <c r="D1630" s="846"/>
      <c r="E1630" s="846"/>
      <c r="F1630" s="846"/>
      <c r="G1630" s="846"/>
      <c r="H1630" s="846"/>
      <c r="I1630" s="1296"/>
      <c r="J1630" s="846"/>
      <c r="K1630" s="1296"/>
      <c r="L1630" s="846"/>
      <c r="M1630" s="1517"/>
      <c r="N1630" s="846"/>
      <c r="O1630" s="1517"/>
      <c r="P1630" s="846"/>
      <c r="Q1630" s="1296"/>
      <c r="R1630" s="846"/>
      <c r="S1630" s="846"/>
      <c r="T1630" s="846"/>
    </row>
    <row r="1631" ht="15.0" customHeight="1">
      <c r="A1631" s="1296"/>
      <c r="B1631" s="846"/>
      <c r="C1631" s="1517"/>
      <c r="D1631" s="846"/>
      <c r="E1631" s="846"/>
      <c r="F1631" s="846"/>
      <c r="G1631" s="846"/>
      <c r="H1631" s="846"/>
      <c r="I1631" s="1296"/>
      <c r="J1631" s="846"/>
      <c r="K1631" s="1296"/>
      <c r="L1631" s="846"/>
      <c r="M1631" s="1517"/>
      <c r="N1631" s="846"/>
      <c r="O1631" s="1517"/>
      <c r="P1631" s="846"/>
      <c r="Q1631" s="1296"/>
      <c r="R1631" s="846"/>
      <c r="S1631" s="846"/>
      <c r="T1631" s="846"/>
    </row>
    <row r="1632" ht="15.0" customHeight="1">
      <c r="A1632" s="1296"/>
      <c r="B1632" s="846"/>
      <c r="C1632" s="1517"/>
      <c r="D1632" s="846"/>
      <c r="E1632" s="846"/>
      <c r="F1632" s="846"/>
      <c r="G1632" s="846"/>
      <c r="H1632" s="846"/>
      <c r="I1632" s="1296"/>
      <c r="J1632" s="846"/>
      <c r="K1632" s="1296"/>
      <c r="L1632" s="846"/>
      <c r="M1632" s="1517"/>
      <c r="N1632" s="846"/>
      <c r="O1632" s="1517"/>
      <c r="P1632" s="846"/>
      <c r="Q1632" s="1296"/>
      <c r="R1632" s="846"/>
      <c r="S1632" s="846"/>
      <c r="T1632" s="846"/>
    </row>
    <row r="1633" ht="15.0" customHeight="1">
      <c r="A1633" s="1296"/>
      <c r="B1633" s="846"/>
      <c r="C1633" s="1517"/>
      <c r="D1633" s="846"/>
      <c r="E1633" s="846"/>
      <c r="F1633" s="846"/>
      <c r="G1633" s="846"/>
      <c r="H1633" s="846"/>
      <c r="I1633" s="1296"/>
      <c r="J1633" s="846"/>
      <c r="K1633" s="1296"/>
      <c r="L1633" s="846"/>
      <c r="M1633" s="1517"/>
      <c r="N1633" s="846"/>
      <c r="O1633" s="1517"/>
      <c r="P1633" s="846"/>
      <c r="Q1633" s="1296"/>
      <c r="R1633" s="846"/>
      <c r="S1633" s="846"/>
      <c r="T1633" s="846"/>
    </row>
    <row r="1634" ht="15.0" customHeight="1">
      <c r="A1634" s="1296"/>
      <c r="B1634" s="846"/>
      <c r="C1634" s="1517"/>
      <c r="D1634" s="846"/>
      <c r="E1634" s="846"/>
      <c r="F1634" s="846"/>
      <c r="G1634" s="846"/>
      <c r="H1634" s="846"/>
      <c r="I1634" s="1296"/>
      <c r="J1634" s="846"/>
      <c r="K1634" s="1296"/>
      <c r="L1634" s="846"/>
      <c r="M1634" s="1517"/>
      <c r="N1634" s="846"/>
      <c r="O1634" s="1517"/>
      <c r="P1634" s="846"/>
      <c r="Q1634" s="1296"/>
      <c r="R1634" s="846"/>
      <c r="S1634" s="846"/>
      <c r="T1634" s="846"/>
    </row>
    <row r="1635" ht="15.0" customHeight="1">
      <c r="A1635" s="1296"/>
      <c r="B1635" s="846"/>
      <c r="C1635" s="1517"/>
      <c r="D1635" s="846"/>
      <c r="E1635" s="846"/>
      <c r="F1635" s="846"/>
      <c r="G1635" s="846"/>
      <c r="H1635" s="846"/>
      <c r="I1635" s="1296"/>
      <c r="J1635" s="846"/>
      <c r="K1635" s="1296"/>
      <c r="L1635" s="846"/>
      <c r="M1635" s="1517"/>
      <c r="N1635" s="846"/>
      <c r="O1635" s="1517"/>
      <c r="P1635" s="846"/>
      <c r="Q1635" s="1296"/>
      <c r="R1635" s="846"/>
      <c r="S1635" s="846"/>
      <c r="T1635" s="846"/>
    </row>
    <row r="1636" ht="15.0" customHeight="1">
      <c r="A1636" s="1296"/>
      <c r="B1636" s="846"/>
      <c r="C1636" s="1517"/>
      <c r="D1636" s="846"/>
      <c r="E1636" s="846"/>
      <c r="F1636" s="846"/>
      <c r="G1636" s="846"/>
      <c r="H1636" s="846"/>
      <c r="I1636" s="1296"/>
      <c r="J1636" s="846"/>
      <c r="K1636" s="1296"/>
      <c r="L1636" s="846"/>
      <c r="M1636" s="1517"/>
      <c r="N1636" s="846"/>
      <c r="O1636" s="1517"/>
      <c r="P1636" s="846"/>
      <c r="Q1636" s="1296"/>
      <c r="R1636" s="846"/>
      <c r="S1636" s="846"/>
      <c r="T1636" s="846"/>
    </row>
    <row r="1637" ht="15.0" customHeight="1">
      <c r="A1637" s="1296"/>
      <c r="B1637" s="846"/>
      <c r="C1637" s="1517"/>
      <c r="D1637" s="846"/>
      <c r="E1637" s="846"/>
      <c r="F1637" s="846"/>
      <c r="G1637" s="846"/>
      <c r="H1637" s="846"/>
      <c r="I1637" s="1296"/>
      <c r="J1637" s="846"/>
      <c r="K1637" s="1296"/>
      <c r="L1637" s="846"/>
      <c r="M1637" s="1517"/>
      <c r="N1637" s="846"/>
      <c r="O1637" s="1517"/>
      <c r="P1637" s="846"/>
      <c r="Q1637" s="1296"/>
      <c r="R1637" s="846"/>
      <c r="S1637" s="846"/>
      <c r="T1637" s="846"/>
    </row>
    <row r="1638" ht="15.0" customHeight="1">
      <c r="A1638" s="1296"/>
      <c r="B1638" s="846"/>
      <c r="C1638" s="1517"/>
      <c r="D1638" s="846"/>
      <c r="E1638" s="846"/>
      <c r="F1638" s="846"/>
      <c r="G1638" s="846"/>
      <c r="H1638" s="846"/>
      <c r="I1638" s="1296"/>
      <c r="J1638" s="846"/>
      <c r="K1638" s="1296"/>
      <c r="L1638" s="846"/>
      <c r="M1638" s="1517"/>
      <c r="N1638" s="846"/>
      <c r="O1638" s="1517"/>
      <c r="P1638" s="846"/>
      <c r="Q1638" s="1296"/>
      <c r="R1638" s="846"/>
      <c r="S1638" s="846"/>
      <c r="T1638" s="846"/>
    </row>
    <row r="1639" ht="15.0" customHeight="1">
      <c r="A1639" s="1296"/>
      <c r="B1639" s="846"/>
      <c r="C1639" s="1517"/>
      <c r="D1639" s="846"/>
      <c r="E1639" s="846"/>
      <c r="F1639" s="846"/>
      <c r="G1639" s="846"/>
      <c r="H1639" s="846"/>
      <c r="I1639" s="1296"/>
      <c r="J1639" s="846"/>
      <c r="K1639" s="1296"/>
      <c r="L1639" s="846"/>
      <c r="M1639" s="1517"/>
      <c r="N1639" s="846"/>
      <c r="O1639" s="1517"/>
      <c r="P1639" s="846"/>
      <c r="Q1639" s="1296"/>
      <c r="R1639" s="846"/>
      <c r="S1639" s="846"/>
      <c r="T1639" s="846"/>
    </row>
    <row r="1640" ht="15.0" customHeight="1">
      <c r="A1640" s="1296"/>
      <c r="B1640" s="846"/>
      <c r="C1640" s="1517"/>
      <c r="D1640" s="846"/>
      <c r="E1640" s="846"/>
      <c r="F1640" s="846"/>
      <c r="G1640" s="846"/>
      <c r="H1640" s="846"/>
      <c r="I1640" s="1296"/>
      <c r="J1640" s="846"/>
      <c r="K1640" s="1296"/>
      <c r="L1640" s="846"/>
      <c r="M1640" s="1517"/>
      <c r="N1640" s="846"/>
      <c r="O1640" s="1517"/>
      <c r="P1640" s="846"/>
      <c r="Q1640" s="1296"/>
      <c r="R1640" s="846"/>
      <c r="S1640" s="846"/>
      <c r="T1640" s="846"/>
    </row>
    <row r="1641" ht="15.0" customHeight="1">
      <c r="A1641" s="1296"/>
      <c r="B1641" s="846"/>
      <c r="C1641" s="1517"/>
      <c r="D1641" s="846"/>
      <c r="E1641" s="846"/>
      <c r="F1641" s="846"/>
      <c r="G1641" s="846"/>
      <c r="H1641" s="846"/>
      <c r="I1641" s="1296"/>
      <c r="J1641" s="846"/>
      <c r="K1641" s="1296"/>
      <c r="L1641" s="846"/>
      <c r="M1641" s="1517"/>
      <c r="N1641" s="846"/>
      <c r="O1641" s="1517"/>
      <c r="P1641" s="846"/>
      <c r="Q1641" s="1296"/>
      <c r="R1641" s="846"/>
      <c r="S1641" s="846"/>
      <c r="T1641" s="846"/>
    </row>
    <row r="1642" ht="15.0" customHeight="1">
      <c r="A1642" s="1296"/>
      <c r="B1642" s="846"/>
      <c r="C1642" s="1517"/>
      <c r="D1642" s="846"/>
      <c r="E1642" s="846"/>
      <c r="F1642" s="846"/>
      <c r="G1642" s="846"/>
      <c r="H1642" s="846"/>
      <c r="I1642" s="1296"/>
      <c r="J1642" s="846"/>
      <c r="K1642" s="1296"/>
      <c r="L1642" s="846"/>
      <c r="M1642" s="1517"/>
      <c r="N1642" s="846"/>
      <c r="O1642" s="1517"/>
      <c r="P1642" s="846"/>
      <c r="Q1642" s="1296"/>
      <c r="R1642" s="846"/>
      <c r="S1642" s="846"/>
      <c r="T1642" s="846"/>
    </row>
    <row r="1643" ht="15.0" customHeight="1">
      <c r="A1643" s="1296"/>
      <c r="B1643" s="846"/>
      <c r="C1643" s="1517"/>
      <c r="D1643" s="846"/>
      <c r="E1643" s="846"/>
      <c r="F1643" s="846"/>
      <c r="G1643" s="846"/>
      <c r="H1643" s="846"/>
      <c r="I1643" s="1296"/>
      <c r="J1643" s="846"/>
      <c r="K1643" s="1296"/>
      <c r="L1643" s="846"/>
      <c r="M1643" s="1517"/>
      <c r="N1643" s="846"/>
      <c r="O1643" s="1517"/>
      <c r="P1643" s="846"/>
      <c r="Q1643" s="1296"/>
      <c r="R1643" s="846"/>
      <c r="S1643" s="846"/>
      <c r="T1643" s="846"/>
    </row>
    <row r="1644" ht="15.0" customHeight="1">
      <c r="A1644" s="1296"/>
      <c r="B1644" s="846"/>
      <c r="C1644" s="1517"/>
      <c r="D1644" s="846"/>
      <c r="E1644" s="846"/>
      <c r="F1644" s="846"/>
      <c r="G1644" s="846"/>
      <c r="H1644" s="846"/>
      <c r="I1644" s="1296"/>
      <c r="J1644" s="846"/>
      <c r="K1644" s="1296"/>
      <c r="L1644" s="846"/>
      <c r="M1644" s="1517"/>
      <c r="N1644" s="846"/>
      <c r="O1644" s="1517"/>
      <c r="P1644" s="846"/>
      <c r="Q1644" s="1296"/>
      <c r="R1644" s="846"/>
      <c r="S1644" s="846"/>
      <c r="T1644" s="846"/>
    </row>
    <row r="1645" ht="15.0" customHeight="1">
      <c r="A1645" s="1296"/>
      <c r="B1645" s="846"/>
      <c r="C1645" s="1517"/>
      <c r="D1645" s="846"/>
      <c r="E1645" s="846"/>
      <c r="F1645" s="846"/>
      <c r="G1645" s="846"/>
      <c r="H1645" s="846"/>
      <c r="I1645" s="1296"/>
      <c r="J1645" s="846"/>
      <c r="K1645" s="1296"/>
      <c r="L1645" s="846"/>
      <c r="M1645" s="1517"/>
      <c r="N1645" s="846"/>
      <c r="O1645" s="1517"/>
      <c r="P1645" s="846"/>
      <c r="Q1645" s="1296"/>
      <c r="R1645" s="846"/>
      <c r="S1645" s="846"/>
      <c r="T1645" s="846"/>
    </row>
    <row r="1646" ht="15.0" customHeight="1">
      <c r="A1646" s="1296"/>
      <c r="B1646" s="846"/>
      <c r="C1646" s="1517"/>
      <c r="D1646" s="846"/>
      <c r="E1646" s="846"/>
      <c r="F1646" s="846"/>
      <c r="G1646" s="846"/>
      <c r="H1646" s="846"/>
      <c r="I1646" s="1296"/>
      <c r="J1646" s="846"/>
      <c r="K1646" s="1296"/>
      <c r="L1646" s="846"/>
      <c r="M1646" s="1517"/>
      <c r="N1646" s="846"/>
      <c r="O1646" s="1517"/>
      <c r="P1646" s="846"/>
      <c r="Q1646" s="1296"/>
      <c r="R1646" s="846"/>
      <c r="S1646" s="846"/>
      <c r="T1646" s="846"/>
    </row>
    <row r="1647" ht="15.0" customHeight="1">
      <c r="A1647" s="1296"/>
      <c r="B1647" s="846"/>
      <c r="C1647" s="1517"/>
      <c r="D1647" s="846"/>
      <c r="E1647" s="846"/>
      <c r="F1647" s="846"/>
      <c r="G1647" s="846"/>
      <c r="H1647" s="846"/>
      <c r="I1647" s="1296"/>
      <c r="J1647" s="846"/>
      <c r="K1647" s="1296"/>
      <c r="L1647" s="846"/>
      <c r="M1647" s="1517"/>
      <c r="N1647" s="846"/>
      <c r="O1647" s="1517"/>
      <c r="P1647" s="846"/>
      <c r="Q1647" s="1296"/>
      <c r="R1647" s="846"/>
      <c r="S1647" s="846"/>
      <c r="T1647" s="846"/>
    </row>
    <row r="1648" ht="15.0" customHeight="1">
      <c r="A1648" s="1296"/>
      <c r="B1648" s="846"/>
      <c r="C1648" s="1517"/>
      <c r="D1648" s="846"/>
      <c r="E1648" s="846"/>
      <c r="F1648" s="846"/>
      <c r="G1648" s="846"/>
      <c r="H1648" s="846"/>
      <c r="I1648" s="1296"/>
      <c r="J1648" s="846"/>
      <c r="K1648" s="1296"/>
      <c r="L1648" s="846"/>
      <c r="M1648" s="1517"/>
      <c r="N1648" s="846"/>
      <c r="O1648" s="1517"/>
      <c r="P1648" s="846"/>
      <c r="Q1648" s="1296"/>
      <c r="R1648" s="846"/>
      <c r="S1648" s="846"/>
      <c r="T1648" s="846"/>
    </row>
    <row r="1649" ht="15.0" customHeight="1">
      <c r="A1649" s="1296"/>
      <c r="B1649" s="846"/>
      <c r="C1649" s="1517"/>
      <c r="D1649" s="846"/>
      <c r="E1649" s="846"/>
      <c r="F1649" s="846"/>
      <c r="G1649" s="846"/>
      <c r="H1649" s="846"/>
      <c r="I1649" s="1296"/>
      <c r="J1649" s="846"/>
      <c r="K1649" s="1296"/>
      <c r="L1649" s="846"/>
      <c r="M1649" s="1517"/>
      <c r="N1649" s="846"/>
      <c r="O1649" s="1517"/>
      <c r="P1649" s="846"/>
      <c r="Q1649" s="1296"/>
      <c r="R1649" s="846"/>
      <c r="S1649" s="846"/>
      <c r="T1649" s="846"/>
    </row>
    <row r="1650" ht="15.0" customHeight="1">
      <c r="A1650" s="1296"/>
      <c r="B1650" s="846"/>
      <c r="C1650" s="1517"/>
      <c r="D1650" s="846"/>
      <c r="E1650" s="846"/>
      <c r="F1650" s="846"/>
      <c r="G1650" s="846"/>
      <c r="H1650" s="846"/>
      <c r="I1650" s="1296"/>
      <c r="J1650" s="846"/>
      <c r="K1650" s="1296"/>
      <c r="L1650" s="846"/>
      <c r="M1650" s="1517"/>
      <c r="N1650" s="846"/>
      <c r="O1650" s="1517"/>
      <c r="P1650" s="846"/>
      <c r="Q1650" s="1296"/>
      <c r="R1650" s="846"/>
      <c r="S1650" s="846"/>
      <c r="T1650" s="846"/>
    </row>
    <row r="1651" ht="15.0" customHeight="1">
      <c r="A1651" s="1296"/>
      <c r="B1651" s="846"/>
      <c r="C1651" s="1517"/>
      <c r="D1651" s="846"/>
      <c r="E1651" s="846"/>
      <c r="F1651" s="846"/>
      <c r="G1651" s="846"/>
      <c r="H1651" s="846"/>
      <c r="I1651" s="1296"/>
      <c r="J1651" s="846"/>
      <c r="K1651" s="1296"/>
      <c r="L1651" s="846"/>
      <c r="M1651" s="1517"/>
      <c r="N1651" s="846"/>
      <c r="O1651" s="1517"/>
      <c r="P1651" s="846"/>
      <c r="Q1651" s="1296"/>
      <c r="R1651" s="846"/>
      <c r="S1651" s="846"/>
      <c r="T1651" s="846"/>
    </row>
    <row r="1652" ht="15.0" customHeight="1">
      <c r="A1652" s="1296"/>
      <c r="B1652" s="846"/>
      <c r="C1652" s="1517"/>
      <c r="D1652" s="846"/>
      <c r="E1652" s="846"/>
      <c r="F1652" s="846"/>
      <c r="G1652" s="846"/>
      <c r="H1652" s="846"/>
      <c r="I1652" s="1296"/>
      <c r="J1652" s="846"/>
      <c r="K1652" s="1296"/>
      <c r="L1652" s="846"/>
      <c r="M1652" s="1517"/>
      <c r="N1652" s="846"/>
      <c r="O1652" s="1517"/>
      <c r="P1652" s="846"/>
      <c r="Q1652" s="1296"/>
      <c r="R1652" s="846"/>
      <c r="S1652" s="846"/>
      <c r="T1652" s="846"/>
    </row>
    <row r="1653" ht="15.0" customHeight="1">
      <c r="A1653" s="1296"/>
      <c r="B1653" s="846"/>
      <c r="C1653" s="1517"/>
      <c r="D1653" s="846"/>
      <c r="E1653" s="846"/>
      <c r="F1653" s="846"/>
      <c r="G1653" s="846"/>
      <c r="H1653" s="846"/>
      <c r="I1653" s="1296"/>
      <c r="J1653" s="846"/>
      <c r="K1653" s="1296"/>
      <c r="L1653" s="846"/>
      <c r="M1653" s="1517"/>
      <c r="N1653" s="846"/>
      <c r="O1653" s="1517"/>
      <c r="P1653" s="846"/>
      <c r="Q1653" s="1296"/>
      <c r="R1653" s="846"/>
      <c r="S1653" s="846"/>
      <c r="T1653" s="846"/>
    </row>
    <row r="1654" ht="15.0" customHeight="1">
      <c r="A1654" s="1296"/>
      <c r="B1654" s="846"/>
      <c r="C1654" s="1517"/>
      <c r="D1654" s="846"/>
      <c r="E1654" s="846"/>
      <c r="F1654" s="846"/>
      <c r="G1654" s="846"/>
      <c r="H1654" s="846"/>
      <c r="I1654" s="1296"/>
      <c r="J1654" s="846"/>
      <c r="K1654" s="1296"/>
      <c r="L1654" s="846"/>
      <c r="M1654" s="1517"/>
      <c r="N1654" s="846"/>
      <c r="O1654" s="1517"/>
      <c r="P1654" s="846"/>
      <c r="Q1654" s="1296"/>
      <c r="R1654" s="846"/>
      <c r="S1654" s="846"/>
      <c r="T1654" s="846"/>
    </row>
    <row r="1655" ht="15.0" customHeight="1">
      <c r="A1655" s="1296"/>
      <c r="B1655" s="846"/>
      <c r="C1655" s="1517"/>
      <c r="D1655" s="846"/>
      <c r="E1655" s="846"/>
      <c r="F1655" s="846"/>
      <c r="G1655" s="846"/>
      <c r="H1655" s="846"/>
      <c r="I1655" s="1296"/>
      <c r="J1655" s="846"/>
      <c r="K1655" s="1296"/>
      <c r="L1655" s="846"/>
      <c r="M1655" s="1517"/>
      <c r="N1655" s="846"/>
      <c r="O1655" s="1517"/>
      <c r="P1655" s="846"/>
      <c r="Q1655" s="1296"/>
      <c r="R1655" s="846"/>
      <c r="S1655" s="846"/>
      <c r="T1655" s="846"/>
    </row>
    <row r="1656" ht="15.0" customHeight="1">
      <c r="A1656" s="1296"/>
      <c r="B1656" s="846"/>
      <c r="C1656" s="1517"/>
      <c r="D1656" s="846"/>
      <c r="E1656" s="846"/>
      <c r="F1656" s="846"/>
      <c r="G1656" s="846"/>
      <c r="H1656" s="846"/>
      <c r="I1656" s="1296"/>
      <c r="J1656" s="846"/>
      <c r="K1656" s="1296"/>
      <c r="L1656" s="846"/>
      <c r="M1656" s="1517"/>
      <c r="N1656" s="846"/>
      <c r="O1656" s="1517"/>
      <c r="P1656" s="846"/>
      <c r="Q1656" s="1296"/>
      <c r="R1656" s="846"/>
      <c r="S1656" s="846"/>
      <c r="T1656" s="846"/>
    </row>
    <row r="1657" ht="15.0" customHeight="1">
      <c r="A1657" s="1296"/>
      <c r="B1657" s="846"/>
      <c r="C1657" s="1517"/>
      <c r="D1657" s="846"/>
      <c r="E1657" s="846"/>
      <c r="F1657" s="846"/>
      <c r="G1657" s="846"/>
      <c r="H1657" s="846"/>
      <c r="I1657" s="1296"/>
      <c r="J1657" s="846"/>
      <c r="K1657" s="1296"/>
      <c r="L1657" s="846"/>
      <c r="M1657" s="1517"/>
      <c r="N1657" s="846"/>
      <c r="O1657" s="1517"/>
      <c r="P1657" s="846"/>
      <c r="Q1657" s="1296"/>
      <c r="R1657" s="846"/>
      <c r="S1657" s="846"/>
      <c r="T1657" s="846"/>
    </row>
    <row r="1658" ht="15.0" customHeight="1">
      <c r="A1658" s="1296"/>
      <c r="B1658" s="846"/>
      <c r="C1658" s="1517"/>
      <c r="D1658" s="846"/>
      <c r="E1658" s="846"/>
      <c r="F1658" s="846"/>
      <c r="G1658" s="846"/>
      <c r="H1658" s="846"/>
      <c r="I1658" s="1296"/>
      <c r="J1658" s="846"/>
      <c r="K1658" s="1296"/>
      <c r="L1658" s="846"/>
      <c r="M1658" s="1517"/>
      <c r="N1658" s="846"/>
      <c r="O1658" s="1517"/>
      <c r="P1658" s="846"/>
      <c r="Q1658" s="1296"/>
      <c r="R1658" s="846"/>
      <c r="S1658" s="846"/>
      <c r="T1658" s="846"/>
    </row>
    <row r="1659" ht="15.0" customHeight="1">
      <c r="A1659" s="1296"/>
      <c r="B1659" s="846"/>
      <c r="C1659" s="1517"/>
      <c r="D1659" s="846"/>
      <c r="E1659" s="846"/>
      <c r="F1659" s="846"/>
      <c r="G1659" s="846"/>
      <c r="H1659" s="846"/>
      <c r="I1659" s="1296"/>
      <c r="J1659" s="846"/>
      <c r="K1659" s="1296"/>
      <c r="L1659" s="846"/>
      <c r="M1659" s="1517"/>
      <c r="N1659" s="846"/>
      <c r="O1659" s="1517"/>
      <c r="P1659" s="846"/>
      <c r="Q1659" s="1296"/>
      <c r="R1659" s="846"/>
      <c r="S1659" s="846"/>
      <c r="T1659" s="846"/>
    </row>
    <row r="1660" ht="15.0" customHeight="1">
      <c r="A1660" s="1296"/>
      <c r="B1660" s="846"/>
      <c r="C1660" s="1517"/>
      <c r="D1660" s="846"/>
      <c r="E1660" s="846"/>
      <c r="F1660" s="846"/>
      <c r="G1660" s="846"/>
      <c r="H1660" s="846"/>
      <c r="I1660" s="1296"/>
      <c r="J1660" s="846"/>
      <c r="K1660" s="1296"/>
      <c r="L1660" s="846"/>
      <c r="M1660" s="1517"/>
      <c r="N1660" s="846"/>
      <c r="O1660" s="1517"/>
      <c r="P1660" s="846"/>
      <c r="Q1660" s="1296"/>
      <c r="R1660" s="846"/>
      <c r="S1660" s="846"/>
      <c r="T1660" s="846"/>
    </row>
    <row r="1661" ht="15.0" customHeight="1">
      <c r="A1661" s="1296"/>
      <c r="B1661" s="846"/>
      <c r="C1661" s="1517"/>
      <c r="D1661" s="846"/>
      <c r="E1661" s="846"/>
      <c r="F1661" s="846"/>
      <c r="G1661" s="846"/>
      <c r="H1661" s="846"/>
      <c r="I1661" s="1296"/>
      <c r="J1661" s="846"/>
      <c r="K1661" s="1296"/>
      <c r="L1661" s="846"/>
      <c r="M1661" s="1517"/>
      <c r="N1661" s="846"/>
      <c r="O1661" s="1517"/>
      <c r="P1661" s="846"/>
      <c r="Q1661" s="1296"/>
      <c r="R1661" s="846"/>
      <c r="S1661" s="846"/>
      <c r="T1661" s="846"/>
    </row>
  </sheetData>
  <autoFilter ref="$A$2:$S$938"/>
  <mergeCells count="1">
    <mergeCell ref="A1:F1"/>
  </mergeCells>
  <conditionalFormatting sqref="T2">
    <cfRule type="expression" dxfId="4" priority="1">
      <formula>$K2="Hư hỏng"</formula>
    </cfRule>
  </conditionalFormatting>
  <conditionalFormatting sqref="J895:K895">
    <cfRule type="containsText" dxfId="1" priority="2" operator="containsText" text="Hư hỏng">
      <formula>NOT(ISERROR(SEARCH(("Hư hỏng"),(J895))))</formula>
    </cfRule>
  </conditionalFormatting>
  <conditionalFormatting sqref="J895:K895">
    <cfRule type="containsText" dxfId="2" priority="3" operator="containsText" text="Thu hồi">
      <formula>NOT(ISERROR(SEARCH(("Thu hồi"),(J895))))</formula>
    </cfRule>
  </conditionalFormatting>
  <conditionalFormatting sqref="J895:K895">
    <cfRule type="containsText" dxfId="3" priority="4" operator="containsText" text="bình thường">
      <formula>NOT(ISERROR(SEARCH(("bình thường"),(J895))))</formula>
    </cfRule>
  </conditionalFormatting>
  <conditionalFormatting sqref="B875 B891 B895">
    <cfRule type="expression" dxfId="6" priority="5">
      <formula>countif(B:B,B875)&gt;1</formula>
    </cfRule>
  </conditionalFormatting>
  <dataValidations>
    <dataValidation type="list" allowBlank="1" showErrorMessage="1" sqref="G6:G10 G12:G715 G717:G894">
      <formula1>'LOẠI MMTB'!$B$3:$B$167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8.0" ySplit="1.0" topLeftCell="I2" activePane="bottomRight" state="frozen"/>
      <selection activeCell="I1" sqref="I1" pane="topRight"/>
      <selection activeCell="A2" sqref="A2" pane="bottomLeft"/>
      <selection activeCell="I2" sqref="I2" pane="bottomRight"/>
    </sheetView>
  </sheetViews>
  <sheetFormatPr customHeight="1" defaultColWidth="12.63" defaultRowHeight="15.0" outlineLevelRow="1"/>
  <cols>
    <col customWidth="1" min="1" max="1" width="4.13"/>
    <col customWidth="1" min="2" max="2" width="11.63"/>
    <col customWidth="1" hidden="1" min="3" max="4" width="11.63"/>
    <col customWidth="1" hidden="1" min="5" max="6" width="7.63"/>
    <col customWidth="1" min="7" max="7" width="16.63"/>
    <col customWidth="1" hidden="1" min="8" max="8" width="7.63"/>
    <col customWidth="1" min="9" max="9" width="7.63"/>
    <col customWidth="1" hidden="1" min="10" max="10" width="14.75"/>
    <col customWidth="1" hidden="1" min="11" max="13" width="7.63"/>
    <col customWidth="1" min="14" max="20" width="7.63"/>
    <col customWidth="1" min="21" max="21" width="15.38"/>
  </cols>
  <sheetData>
    <row r="1" ht="14.25" customHeight="1">
      <c r="A1" s="876" t="s">
        <v>5</v>
      </c>
      <c r="B1" s="877" t="s">
        <v>6</v>
      </c>
      <c r="C1" s="877" t="s">
        <v>7</v>
      </c>
      <c r="D1" s="877" t="s">
        <v>8</v>
      </c>
      <c r="E1" s="877" t="s">
        <v>9</v>
      </c>
      <c r="F1" s="877" t="s">
        <v>37</v>
      </c>
      <c r="G1" s="877" t="s">
        <v>11</v>
      </c>
      <c r="H1" s="877" t="s">
        <v>12</v>
      </c>
      <c r="I1" s="877" t="s">
        <v>13</v>
      </c>
      <c r="J1" s="877" t="s">
        <v>14</v>
      </c>
      <c r="K1" s="877" t="s">
        <v>6431</v>
      </c>
      <c r="L1" s="877" t="s">
        <v>18</v>
      </c>
      <c r="M1" s="877" t="s">
        <v>19</v>
      </c>
      <c r="N1" s="877" t="s">
        <v>25</v>
      </c>
      <c r="O1" s="877" t="s">
        <v>21</v>
      </c>
      <c r="P1" s="877" t="s">
        <v>22</v>
      </c>
      <c r="Q1" s="877" t="s">
        <v>23</v>
      </c>
      <c r="R1" s="877" t="s">
        <v>26</v>
      </c>
      <c r="S1" s="877" t="s">
        <v>27</v>
      </c>
      <c r="T1" s="877" t="s">
        <v>29</v>
      </c>
      <c r="U1" s="878" t="s">
        <v>6432</v>
      </c>
    </row>
    <row r="2" ht="14.25" customHeight="1">
      <c r="A2" s="879"/>
      <c r="B2" s="880"/>
      <c r="C2" s="881">
        <v>541.0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78">
        <v>21.0</v>
      </c>
    </row>
    <row r="3" ht="14.25" customHeight="1">
      <c r="A3" s="882" t="s">
        <v>42</v>
      </c>
      <c r="B3" s="883"/>
      <c r="C3" s="884">
        <v>111.0</v>
      </c>
      <c r="D3" s="883"/>
      <c r="E3" s="883"/>
      <c r="F3" s="883"/>
      <c r="G3" s="883"/>
      <c r="H3" s="883"/>
      <c r="I3" s="883"/>
      <c r="J3" s="883"/>
      <c r="K3" s="883"/>
      <c r="L3" s="883"/>
      <c r="M3" s="883"/>
      <c r="N3" s="883"/>
      <c r="O3" s="883"/>
      <c r="P3" s="883"/>
      <c r="Q3" s="883"/>
      <c r="R3" s="883"/>
      <c r="S3" s="883"/>
      <c r="T3" s="883"/>
      <c r="U3" s="885" t="str">
        <f>IFERROR(VLOOKUP(O3,'Thông số'!$B:$F,5,0),"")</f>
        <v/>
      </c>
    </row>
    <row r="4" ht="14.25" customHeight="1">
      <c r="A4" s="886" t="s">
        <v>72</v>
      </c>
      <c r="B4" s="887" t="s">
        <v>74</v>
      </c>
      <c r="C4" s="889">
        <v>45.0</v>
      </c>
      <c r="D4" s="890"/>
      <c r="E4" s="890"/>
      <c r="F4" s="890"/>
      <c r="G4" s="890"/>
      <c r="H4" s="890"/>
      <c r="I4" s="890"/>
      <c r="J4" s="890"/>
      <c r="K4" s="890"/>
      <c r="L4" s="890"/>
      <c r="M4" s="890"/>
      <c r="N4" s="890"/>
      <c r="O4" s="890"/>
      <c r="P4" s="890"/>
      <c r="Q4" s="890"/>
      <c r="R4" s="890"/>
      <c r="S4" s="890"/>
      <c r="T4" s="890"/>
      <c r="U4" s="885" t="str">
        <f>IFERROR(VLOOKUP(O4,'Thông số'!$B:$F,5,0),"")</f>
        <v/>
      </c>
    </row>
    <row r="5" ht="14.25" customHeight="1">
      <c r="A5" s="891">
        <v>1.0</v>
      </c>
      <c r="B5" s="892" t="s">
        <v>78</v>
      </c>
      <c r="C5" s="894"/>
      <c r="D5" s="895" t="s">
        <v>91</v>
      </c>
      <c r="E5" s="894"/>
      <c r="F5" s="892" t="s">
        <v>91</v>
      </c>
      <c r="G5" s="892" t="s">
        <v>82</v>
      </c>
      <c r="H5" s="895" t="s">
        <v>6433</v>
      </c>
      <c r="I5" s="895" t="s">
        <v>44</v>
      </c>
      <c r="J5" s="896">
        <v>43952.0</v>
      </c>
      <c r="K5" s="895" t="s">
        <v>865</v>
      </c>
      <c r="L5" s="897">
        <v>0.67</v>
      </c>
      <c r="M5" s="894"/>
      <c r="N5" s="895" t="s">
        <v>85</v>
      </c>
      <c r="O5" s="892" t="s">
        <v>83</v>
      </c>
      <c r="P5" s="892" t="s">
        <v>84</v>
      </c>
      <c r="Q5" s="895">
        <v>2019.0</v>
      </c>
      <c r="R5" s="895" t="s">
        <v>86</v>
      </c>
      <c r="S5" s="892" t="s">
        <v>6434</v>
      </c>
      <c r="T5" s="892" t="s">
        <v>88</v>
      </c>
      <c r="U5" s="885" t="str">
        <f>IFERROR(VLOOKUP(N5,'Thông số'!$B:$F,5,0),"")</f>
        <v>9560 x 2800 x 3160</v>
      </c>
    </row>
    <row r="6" ht="14.25" customHeight="1">
      <c r="A6" s="891">
        <v>2.0</v>
      </c>
      <c r="B6" s="892" t="s">
        <v>89</v>
      </c>
      <c r="C6" s="894"/>
      <c r="D6" s="895" t="s">
        <v>120</v>
      </c>
      <c r="E6" s="894"/>
      <c r="F6" s="892" t="s">
        <v>120</v>
      </c>
      <c r="G6" s="892" t="s">
        <v>90</v>
      </c>
      <c r="H6" s="895" t="s">
        <v>6435</v>
      </c>
      <c r="I6" s="895" t="s">
        <v>44</v>
      </c>
      <c r="J6" s="896">
        <v>43508.0</v>
      </c>
      <c r="K6" s="895" t="s">
        <v>865</v>
      </c>
      <c r="L6" s="897">
        <v>0.4</v>
      </c>
      <c r="M6" s="894"/>
      <c r="N6" s="895" t="s">
        <v>93</v>
      </c>
      <c r="O6" s="892" t="s">
        <v>92</v>
      </c>
      <c r="P6" s="892" t="s">
        <v>84</v>
      </c>
      <c r="Q6" s="895">
        <v>1993.0</v>
      </c>
      <c r="R6" s="895" t="s">
        <v>94</v>
      </c>
      <c r="S6" s="892" t="s">
        <v>95</v>
      </c>
      <c r="T6" s="892" t="s">
        <v>96</v>
      </c>
      <c r="U6" s="885" t="str">
        <f>IFERROR(VLOOKUP(N6,'Thông số'!$B:$F,5,0),"")</f>
        <v>9460 x 2800 x 3200</v>
      </c>
    </row>
    <row r="7" ht="14.25" customHeight="1">
      <c r="A7" s="891">
        <v>3.0</v>
      </c>
      <c r="B7" s="892" t="s">
        <v>98</v>
      </c>
      <c r="C7" s="894"/>
      <c r="D7" s="895" t="s">
        <v>241</v>
      </c>
      <c r="E7" s="894"/>
      <c r="F7" s="892" t="s">
        <v>241</v>
      </c>
      <c r="G7" s="892" t="s">
        <v>99</v>
      </c>
      <c r="H7" s="895" t="s">
        <v>6436</v>
      </c>
      <c r="I7" s="895" t="s">
        <v>44</v>
      </c>
      <c r="J7" s="896">
        <v>43992.0</v>
      </c>
      <c r="K7" s="895" t="s">
        <v>865</v>
      </c>
      <c r="L7" s="897">
        <v>0.68</v>
      </c>
      <c r="M7" s="894"/>
      <c r="N7" s="895" t="s">
        <v>104</v>
      </c>
      <c r="O7" s="892" t="s">
        <v>102</v>
      </c>
      <c r="P7" s="892" t="s">
        <v>103</v>
      </c>
      <c r="Q7" s="895">
        <v>2019.0</v>
      </c>
      <c r="R7" s="895" t="s">
        <v>105</v>
      </c>
      <c r="S7" s="892" t="s">
        <v>106</v>
      </c>
      <c r="T7" s="892" t="s">
        <v>96</v>
      </c>
      <c r="U7" s="885" t="str">
        <f>IFERROR(VLOOKUP(N7,'Thông số'!$B:$F,5,0),"")</f>
        <v>7235 x 2496 x 3351</v>
      </c>
    </row>
    <row r="8" ht="14.25" customHeight="1">
      <c r="A8" s="891">
        <v>4.0</v>
      </c>
      <c r="B8" s="892" t="s">
        <v>107</v>
      </c>
      <c r="C8" s="894"/>
      <c r="D8" s="895" t="s">
        <v>263</v>
      </c>
      <c r="E8" s="894"/>
      <c r="F8" s="892" t="s">
        <v>263</v>
      </c>
      <c r="G8" s="892" t="s">
        <v>99</v>
      </c>
      <c r="H8" s="895" t="s">
        <v>6436</v>
      </c>
      <c r="I8" s="895" t="s">
        <v>44</v>
      </c>
      <c r="J8" s="896">
        <v>43508.0</v>
      </c>
      <c r="K8" s="895" t="s">
        <v>865</v>
      </c>
      <c r="L8" s="897">
        <v>0.4</v>
      </c>
      <c r="M8" s="894"/>
      <c r="N8" s="895" t="s">
        <v>104</v>
      </c>
      <c r="O8" s="892" t="s">
        <v>102</v>
      </c>
      <c r="P8" s="892" t="s">
        <v>103</v>
      </c>
      <c r="Q8" s="895">
        <v>2018.0</v>
      </c>
      <c r="R8" s="895" t="s">
        <v>105</v>
      </c>
      <c r="S8" s="892" t="s">
        <v>109</v>
      </c>
      <c r="T8" s="892" t="s">
        <v>96</v>
      </c>
      <c r="U8" s="885" t="str">
        <f>IFERROR(VLOOKUP(N8,'Thông số'!$B:$F,5,0),"")</f>
        <v>7235 x 2496 x 3351</v>
      </c>
    </row>
    <row r="9" ht="14.25" customHeight="1">
      <c r="A9" s="898">
        <v>5.0</v>
      </c>
      <c r="B9" s="899" t="s">
        <v>110</v>
      </c>
      <c r="C9" s="900"/>
      <c r="D9" s="901" t="s">
        <v>134</v>
      </c>
      <c r="E9" s="902"/>
      <c r="F9" s="899" t="s">
        <v>134</v>
      </c>
      <c r="G9" s="899" t="s">
        <v>90</v>
      </c>
      <c r="H9" s="901" t="s">
        <v>6435</v>
      </c>
      <c r="I9" s="901" t="s">
        <v>44</v>
      </c>
      <c r="J9" s="903">
        <v>44287.0</v>
      </c>
      <c r="K9" s="901" t="s">
        <v>1027</v>
      </c>
      <c r="L9" s="904">
        <v>0.7</v>
      </c>
      <c r="M9" s="902"/>
      <c r="N9" s="901" t="s">
        <v>111</v>
      </c>
      <c r="O9" s="899" t="s">
        <v>92</v>
      </c>
      <c r="P9" s="899" t="s">
        <v>84</v>
      </c>
      <c r="Q9" s="901">
        <v>2020.0</v>
      </c>
      <c r="R9" s="901" t="s">
        <v>112</v>
      </c>
      <c r="S9" s="899" t="s">
        <v>113</v>
      </c>
      <c r="T9" s="899">
        <v>801502.0</v>
      </c>
      <c r="U9" s="885" t="str">
        <f>IFERROR(VLOOKUP(N9,'Thông số'!$B:$F,5,0),"")</f>
        <v>9460 x 2800 x 3200</v>
      </c>
    </row>
    <row r="10" ht="14.25" customHeight="1">
      <c r="A10" s="898">
        <v>6.0</v>
      </c>
      <c r="B10" s="899" t="s">
        <v>114</v>
      </c>
      <c r="C10" s="900"/>
      <c r="D10" s="901" t="s">
        <v>581</v>
      </c>
      <c r="E10" s="902"/>
      <c r="F10" s="899" t="s">
        <v>581</v>
      </c>
      <c r="G10" s="899" t="s">
        <v>115</v>
      </c>
      <c r="H10" s="901" t="s">
        <v>6437</v>
      </c>
      <c r="I10" s="901" t="s">
        <v>44</v>
      </c>
      <c r="J10" s="903">
        <v>44287.0</v>
      </c>
      <c r="K10" s="901" t="s">
        <v>1027</v>
      </c>
      <c r="L10" s="904">
        <v>0.7</v>
      </c>
      <c r="M10" s="902"/>
      <c r="N10" s="901" t="s">
        <v>116</v>
      </c>
      <c r="O10" s="899" t="s">
        <v>92</v>
      </c>
      <c r="P10" s="899" t="s">
        <v>84</v>
      </c>
      <c r="Q10" s="901">
        <v>2021.0</v>
      </c>
      <c r="R10" s="901" t="s">
        <v>117</v>
      </c>
      <c r="S10" s="899" t="s">
        <v>118</v>
      </c>
      <c r="T10" s="899" t="s">
        <v>119</v>
      </c>
      <c r="U10" s="885" t="str">
        <f>IFERROR(VLOOKUP(N10,'Thông số'!$B:$F,5,0),"")</f>
        <v>7640 x 2590 x 2820</v>
      </c>
    </row>
    <row r="11" ht="14.25" customHeight="1">
      <c r="A11" s="891">
        <v>7.0</v>
      </c>
      <c r="B11" s="892" t="s">
        <v>121</v>
      </c>
      <c r="C11" s="894"/>
      <c r="D11" s="895" t="s">
        <v>1289</v>
      </c>
      <c r="E11" s="894"/>
      <c r="F11" s="892" t="s">
        <v>1289</v>
      </c>
      <c r="G11" s="892" t="s">
        <v>122</v>
      </c>
      <c r="H11" s="895" t="s">
        <v>6438</v>
      </c>
      <c r="I11" s="895" t="s">
        <v>44</v>
      </c>
      <c r="J11" s="896">
        <v>43835.0</v>
      </c>
      <c r="K11" s="895" t="s">
        <v>865</v>
      </c>
      <c r="L11" s="894"/>
      <c r="M11" s="894"/>
      <c r="N11" s="895" t="s">
        <v>124</v>
      </c>
      <c r="O11" s="892" t="s">
        <v>123</v>
      </c>
      <c r="P11" s="892" t="s">
        <v>84</v>
      </c>
      <c r="Q11" s="895">
        <v>1997.0</v>
      </c>
      <c r="R11" s="895" t="s">
        <v>125</v>
      </c>
      <c r="S11" s="892" t="s">
        <v>126</v>
      </c>
      <c r="T11" s="892" t="s">
        <v>96</v>
      </c>
      <c r="U11" s="885" t="str">
        <f>IFERROR(VLOOKUP(N11,'Thông số'!$B:$F,5,0),"")</f>
        <v>4200 x 2980 x 2720</v>
      </c>
    </row>
    <row r="12" ht="14.25" customHeight="1">
      <c r="A12" s="891">
        <v>8.0</v>
      </c>
      <c r="B12" s="892" t="s">
        <v>127</v>
      </c>
      <c r="C12" s="894"/>
      <c r="D12" s="895" t="s">
        <v>1438</v>
      </c>
      <c r="E12" s="894"/>
      <c r="F12" s="892" t="s">
        <v>1438</v>
      </c>
      <c r="G12" s="892" t="s">
        <v>128</v>
      </c>
      <c r="H12" s="895" t="s">
        <v>6439</v>
      </c>
      <c r="I12" s="895" t="s">
        <v>44</v>
      </c>
      <c r="J12" s="896">
        <v>44013.0</v>
      </c>
      <c r="K12" s="895" t="s">
        <v>865</v>
      </c>
      <c r="L12" s="894"/>
      <c r="M12" s="894"/>
      <c r="N12" s="895" t="s">
        <v>129</v>
      </c>
      <c r="O12" s="892" t="s">
        <v>123</v>
      </c>
      <c r="P12" s="892" t="s">
        <v>84</v>
      </c>
      <c r="Q12" s="895">
        <v>2002.0</v>
      </c>
      <c r="R12" s="895" t="s">
        <v>130</v>
      </c>
      <c r="S12" s="892" t="s">
        <v>131</v>
      </c>
      <c r="T12" s="892" t="s">
        <v>96</v>
      </c>
      <c r="U12" s="885" t="str">
        <f>IFERROR(VLOOKUP(N12,'Thông số'!$B:$F,5,0),"")</f>
        <v>5585 x 3000 x 3055</v>
      </c>
    </row>
    <row r="13" ht="14.25" customHeight="1">
      <c r="A13" s="898">
        <v>9.0</v>
      </c>
      <c r="B13" s="899" t="s">
        <v>132</v>
      </c>
      <c r="C13" s="902"/>
      <c r="D13" s="901" t="s">
        <v>1455</v>
      </c>
      <c r="E13" s="902"/>
      <c r="F13" s="899" t="s">
        <v>1455</v>
      </c>
      <c r="G13" s="899" t="s">
        <v>133</v>
      </c>
      <c r="H13" s="901" t="s">
        <v>6439</v>
      </c>
      <c r="I13" s="901" t="s">
        <v>44</v>
      </c>
      <c r="J13" s="903">
        <v>44200.0</v>
      </c>
      <c r="K13" s="901" t="s">
        <v>1027</v>
      </c>
      <c r="L13" s="904">
        <v>0.7</v>
      </c>
      <c r="M13" s="902"/>
      <c r="N13" s="901" t="s">
        <v>135</v>
      </c>
      <c r="O13" s="899" t="s">
        <v>123</v>
      </c>
      <c r="P13" s="899" t="s">
        <v>84</v>
      </c>
      <c r="Q13" s="901">
        <v>1992.0</v>
      </c>
      <c r="R13" s="901" t="s">
        <v>130</v>
      </c>
      <c r="S13" s="899" t="s">
        <v>136</v>
      </c>
      <c r="T13" s="899" t="s">
        <v>137</v>
      </c>
      <c r="U13" s="885" t="str">
        <f>IFERROR(VLOOKUP(N13,'Thông số'!$B:$F,5,0),"")</f>
        <v>5550 x 3970 x 3090</v>
      </c>
    </row>
    <row r="14" ht="14.25" customHeight="1">
      <c r="A14" s="898">
        <v>10.0</v>
      </c>
      <c r="B14" s="899" t="s">
        <v>138</v>
      </c>
      <c r="C14" s="905" t="s">
        <v>139</v>
      </c>
      <c r="D14" s="901" t="s">
        <v>140</v>
      </c>
      <c r="E14" s="902"/>
      <c r="F14" s="902"/>
      <c r="G14" s="899" t="s">
        <v>128</v>
      </c>
      <c r="H14" s="901" t="s">
        <v>6439</v>
      </c>
      <c r="I14" s="901" t="s">
        <v>44</v>
      </c>
      <c r="J14" s="903">
        <v>45805.0</v>
      </c>
      <c r="K14" s="901" t="s">
        <v>1027</v>
      </c>
      <c r="L14" s="902"/>
      <c r="M14" s="906" t="s">
        <v>6440</v>
      </c>
      <c r="N14" s="901" t="s">
        <v>129</v>
      </c>
      <c r="O14" s="899" t="s">
        <v>123</v>
      </c>
      <c r="P14" s="899" t="s">
        <v>84</v>
      </c>
      <c r="Q14" s="901">
        <v>1994.0</v>
      </c>
      <c r="R14" s="901" t="s">
        <v>6441</v>
      </c>
      <c r="S14" s="899" t="s">
        <v>143</v>
      </c>
      <c r="T14" s="899" t="s">
        <v>144</v>
      </c>
      <c r="U14" s="885" t="str">
        <f>IFERROR(VLOOKUP(N14,'Thông số'!$B:$F,5,0),"")</f>
        <v>5585 x 3000 x 3055</v>
      </c>
    </row>
    <row r="15" ht="14.25" customHeight="1">
      <c r="A15" s="891">
        <v>11.0</v>
      </c>
      <c r="B15" s="892" t="s">
        <v>145</v>
      </c>
      <c r="C15" s="894"/>
      <c r="D15" s="895" t="s">
        <v>5736</v>
      </c>
      <c r="E15" s="894"/>
      <c r="F15" s="894"/>
      <c r="G15" s="892" t="s">
        <v>146</v>
      </c>
      <c r="H15" s="894"/>
      <c r="I15" s="895" t="s">
        <v>44</v>
      </c>
      <c r="J15" s="894"/>
      <c r="K15" s="895" t="s">
        <v>865</v>
      </c>
      <c r="L15" s="894"/>
      <c r="M15" s="894"/>
      <c r="N15" s="895" t="s">
        <v>149</v>
      </c>
      <c r="O15" s="892" t="s">
        <v>147</v>
      </c>
      <c r="P15" s="892" t="s">
        <v>148</v>
      </c>
      <c r="Q15" s="895">
        <v>2018.0</v>
      </c>
      <c r="R15" s="895" t="s">
        <v>150</v>
      </c>
      <c r="S15" s="892" t="s">
        <v>151</v>
      </c>
      <c r="T15" s="892" t="s">
        <v>96</v>
      </c>
      <c r="U15" s="885" t="str">
        <f>IFERROR(VLOOKUP(N15,'Thông số'!$B:$F,5,0),"")</f>
        <v>9290 x 2500 x 3370</v>
      </c>
    </row>
    <row r="16" ht="14.25" customHeight="1">
      <c r="A16" s="898">
        <v>12.0</v>
      </c>
      <c r="B16" s="899" t="s">
        <v>153</v>
      </c>
      <c r="C16" s="905" t="s">
        <v>154</v>
      </c>
      <c r="D16" s="901" t="s">
        <v>155</v>
      </c>
      <c r="E16" s="901" t="s">
        <v>156</v>
      </c>
      <c r="F16" s="902"/>
      <c r="G16" s="899" t="s">
        <v>157</v>
      </c>
      <c r="H16" s="902"/>
      <c r="I16" s="901" t="s">
        <v>44</v>
      </c>
      <c r="J16" s="903">
        <v>45692.0</v>
      </c>
      <c r="K16" s="901" t="s">
        <v>1027</v>
      </c>
      <c r="L16" s="902"/>
      <c r="M16" s="906" t="s">
        <v>336</v>
      </c>
      <c r="N16" s="901" t="s">
        <v>162</v>
      </c>
      <c r="O16" s="899" t="s">
        <v>161</v>
      </c>
      <c r="P16" s="899" t="s">
        <v>148</v>
      </c>
      <c r="Q16" s="901">
        <v>2022.0</v>
      </c>
      <c r="R16" s="901" t="s">
        <v>6443</v>
      </c>
      <c r="S16" s="899" t="s">
        <v>164</v>
      </c>
      <c r="T16" s="899" t="s">
        <v>165</v>
      </c>
      <c r="U16" s="885" t="str">
        <f>IFERROR(VLOOKUP(N16,'Thông số'!$B:$F,5,0),"")</f>
        <v>7800 x 2500 x 3480</v>
      </c>
    </row>
    <row r="17" ht="14.25" customHeight="1">
      <c r="A17" s="898">
        <v>13.0</v>
      </c>
      <c r="B17" s="899" t="s">
        <v>166</v>
      </c>
      <c r="C17" s="905" t="s">
        <v>154</v>
      </c>
      <c r="D17" s="901" t="s">
        <v>167</v>
      </c>
      <c r="E17" s="901" t="s">
        <v>168</v>
      </c>
      <c r="F17" s="902"/>
      <c r="G17" s="899" t="s">
        <v>157</v>
      </c>
      <c r="H17" s="902"/>
      <c r="I17" s="901" t="s">
        <v>44</v>
      </c>
      <c r="J17" s="903">
        <v>45692.0</v>
      </c>
      <c r="K17" s="901" t="s">
        <v>1027</v>
      </c>
      <c r="L17" s="902"/>
      <c r="M17" s="906" t="s">
        <v>336</v>
      </c>
      <c r="N17" s="901" t="s">
        <v>162</v>
      </c>
      <c r="O17" s="899" t="s">
        <v>161</v>
      </c>
      <c r="P17" s="899" t="s">
        <v>148</v>
      </c>
      <c r="Q17" s="901">
        <v>2022.0</v>
      </c>
      <c r="R17" s="901" t="s">
        <v>6443</v>
      </c>
      <c r="S17" s="899" t="s">
        <v>169</v>
      </c>
      <c r="T17" s="899" t="s">
        <v>170</v>
      </c>
      <c r="U17" s="885" t="str">
        <f>IFERROR(VLOOKUP(N17,'Thông số'!$B:$F,5,0),"")</f>
        <v>7800 x 2500 x 3480</v>
      </c>
    </row>
    <row r="18" ht="14.25" customHeight="1">
      <c r="A18" s="898">
        <v>14.0</v>
      </c>
      <c r="B18" s="899" t="s">
        <v>171</v>
      </c>
      <c r="C18" s="905"/>
      <c r="D18" s="901" t="s">
        <v>173</v>
      </c>
      <c r="E18" s="901" t="s">
        <v>174</v>
      </c>
      <c r="F18" s="902"/>
      <c r="G18" s="899" t="s">
        <v>157</v>
      </c>
      <c r="H18" s="902"/>
      <c r="I18" s="901" t="s">
        <v>44</v>
      </c>
      <c r="J18" s="903">
        <v>45692.0</v>
      </c>
      <c r="K18" s="901" t="s">
        <v>1027</v>
      </c>
      <c r="L18" s="902"/>
      <c r="M18" s="906" t="s">
        <v>6444</v>
      </c>
      <c r="N18" s="901" t="s">
        <v>162</v>
      </c>
      <c r="O18" s="899" t="s">
        <v>161</v>
      </c>
      <c r="P18" s="899" t="s">
        <v>148</v>
      </c>
      <c r="Q18" s="901">
        <v>2022.0</v>
      </c>
      <c r="R18" s="901" t="s">
        <v>6443</v>
      </c>
      <c r="S18" s="899" t="s">
        <v>176</v>
      </c>
      <c r="T18" s="899" t="s">
        <v>177</v>
      </c>
      <c r="U18" s="885" t="str">
        <f>IFERROR(VLOOKUP(N18,'Thông số'!$B:$F,5,0),"")</f>
        <v>7800 x 2500 x 3480</v>
      </c>
    </row>
    <row r="19" ht="14.25" customHeight="1">
      <c r="A19" s="898">
        <v>15.0</v>
      </c>
      <c r="B19" s="905" t="s">
        <v>178</v>
      </c>
      <c r="C19" s="905" t="s">
        <v>154</v>
      </c>
      <c r="D19" s="907" t="s">
        <v>179</v>
      </c>
      <c r="E19" s="907" t="s">
        <v>180</v>
      </c>
      <c r="F19" s="908"/>
      <c r="G19" s="905" t="s">
        <v>157</v>
      </c>
      <c r="H19" s="902"/>
      <c r="I19" s="907" t="s">
        <v>44</v>
      </c>
      <c r="J19" s="909">
        <v>45748.0</v>
      </c>
      <c r="K19" s="901" t="s">
        <v>1027</v>
      </c>
      <c r="L19" s="908"/>
      <c r="M19" s="906" t="s">
        <v>336</v>
      </c>
      <c r="N19" s="907" t="s">
        <v>162</v>
      </c>
      <c r="O19" s="905" t="s">
        <v>161</v>
      </c>
      <c r="P19" s="905" t="s">
        <v>148</v>
      </c>
      <c r="Q19" s="907">
        <v>2022.0</v>
      </c>
      <c r="R19" s="907" t="s">
        <v>6443</v>
      </c>
      <c r="S19" s="905" t="s">
        <v>183</v>
      </c>
      <c r="T19" s="905" t="s">
        <v>184</v>
      </c>
      <c r="U19" s="885" t="str">
        <f>IFERROR(VLOOKUP(N19,'Thông số'!$B:$F,5,0),"")</f>
        <v>7800 x 2500 x 3480</v>
      </c>
    </row>
    <row r="20" ht="14.25" customHeight="1">
      <c r="A20" s="898">
        <v>16.0</v>
      </c>
      <c r="B20" s="899" t="s">
        <v>185</v>
      </c>
      <c r="C20" s="902"/>
      <c r="D20" s="901" t="s">
        <v>1573</v>
      </c>
      <c r="E20" s="902"/>
      <c r="F20" s="899" t="s">
        <v>1573</v>
      </c>
      <c r="G20" s="899" t="s">
        <v>186</v>
      </c>
      <c r="H20" s="902"/>
      <c r="I20" s="901" t="s">
        <v>44</v>
      </c>
      <c r="J20" s="903">
        <v>43952.0</v>
      </c>
      <c r="K20" s="901" t="s">
        <v>1027</v>
      </c>
      <c r="L20" s="904">
        <v>0.67</v>
      </c>
      <c r="M20" s="902"/>
      <c r="N20" s="901" t="s">
        <v>188</v>
      </c>
      <c r="O20" s="899" t="s">
        <v>187</v>
      </c>
      <c r="P20" s="899" t="s">
        <v>84</v>
      </c>
      <c r="Q20" s="901">
        <v>2006.0</v>
      </c>
      <c r="R20" s="901" t="s">
        <v>189</v>
      </c>
      <c r="S20" s="899" t="s">
        <v>190</v>
      </c>
      <c r="T20" s="899" t="s">
        <v>96</v>
      </c>
      <c r="U20" s="885" t="str">
        <f>IFERROR(VLOOKUP(N20,'Thông số'!$B:$F,5,0),"")</f>
        <v>5810 x 2300 x 2860</v>
      </c>
    </row>
    <row r="21" ht="14.25" customHeight="1">
      <c r="A21" s="891">
        <v>17.0</v>
      </c>
      <c r="B21" s="892" t="s">
        <v>191</v>
      </c>
      <c r="C21" s="894"/>
      <c r="D21" s="895" t="s">
        <v>1646</v>
      </c>
      <c r="E21" s="894"/>
      <c r="F21" s="892" t="s">
        <v>1646</v>
      </c>
      <c r="G21" s="892" t="s">
        <v>192</v>
      </c>
      <c r="H21" s="894"/>
      <c r="I21" s="895" t="s">
        <v>44</v>
      </c>
      <c r="J21" s="896">
        <v>43841.0</v>
      </c>
      <c r="K21" s="895" t="s">
        <v>865</v>
      </c>
      <c r="L21" s="897">
        <v>0.5</v>
      </c>
      <c r="M21" s="894"/>
      <c r="N21" s="895" t="s">
        <v>194</v>
      </c>
      <c r="O21" s="892" t="s">
        <v>187</v>
      </c>
      <c r="P21" s="892" t="s">
        <v>84</v>
      </c>
      <c r="Q21" s="895">
        <v>1990.0</v>
      </c>
      <c r="R21" s="895" t="s">
        <v>195</v>
      </c>
      <c r="S21" s="892" t="s">
        <v>196</v>
      </c>
      <c r="T21" s="892" t="s">
        <v>197</v>
      </c>
      <c r="U21" s="885" t="str">
        <f>IFERROR(VLOOKUP(N21,'Thông số'!$B:$F,5,0),"")</f>
        <v>5020 x 2000 x 3115</v>
      </c>
    </row>
    <row r="22" ht="14.25" customHeight="1">
      <c r="A22" s="891">
        <v>18.0</v>
      </c>
      <c r="B22" s="892" t="s">
        <v>199</v>
      </c>
      <c r="C22" s="894"/>
      <c r="D22" s="895" t="s">
        <v>5858</v>
      </c>
      <c r="E22" s="894"/>
      <c r="F22" s="892" t="s">
        <v>5858</v>
      </c>
      <c r="G22" s="892" t="s">
        <v>2708</v>
      </c>
      <c r="H22" s="894"/>
      <c r="I22" s="895" t="s">
        <v>44</v>
      </c>
      <c r="J22" s="895"/>
      <c r="K22" s="895" t="s">
        <v>865</v>
      </c>
      <c r="L22" s="897">
        <v>0.97</v>
      </c>
      <c r="M22" s="894"/>
      <c r="N22" s="895" t="s">
        <v>6445</v>
      </c>
      <c r="O22" s="892" t="s">
        <v>201</v>
      </c>
      <c r="P22" s="892" t="s">
        <v>148</v>
      </c>
      <c r="Q22" s="895">
        <v>2022.0</v>
      </c>
      <c r="R22" s="895" t="s">
        <v>203</v>
      </c>
      <c r="S22" s="892" t="s">
        <v>204</v>
      </c>
      <c r="T22" s="892" t="s">
        <v>205</v>
      </c>
      <c r="U22" s="885" t="str">
        <f>IFERROR(VLOOKUP(N22,'Thông số'!$B:$F,5,0),"")</f>
        <v>9290 x 2500 x 3370</v>
      </c>
    </row>
    <row r="23" ht="14.25" customHeight="1">
      <c r="A23" s="891">
        <v>19.0</v>
      </c>
      <c r="B23" s="892" t="s">
        <v>206</v>
      </c>
      <c r="C23" s="894"/>
      <c r="D23" s="895" t="s">
        <v>1816</v>
      </c>
      <c r="E23" s="894"/>
      <c r="F23" s="892" t="s">
        <v>1816</v>
      </c>
      <c r="G23" s="892" t="s">
        <v>207</v>
      </c>
      <c r="H23" s="894"/>
      <c r="I23" s="895" t="s">
        <v>44</v>
      </c>
      <c r="J23" s="896">
        <v>43842.0</v>
      </c>
      <c r="K23" s="895" t="s">
        <v>865</v>
      </c>
      <c r="L23" s="897">
        <v>0.67</v>
      </c>
      <c r="M23" s="894"/>
      <c r="N23" s="895" t="s">
        <v>208</v>
      </c>
      <c r="O23" s="892" t="s">
        <v>123</v>
      </c>
      <c r="P23" s="892" t="s">
        <v>84</v>
      </c>
      <c r="Q23" s="895">
        <v>1994.0</v>
      </c>
      <c r="R23" s="895" t="s">
        <v>209</v>
      </c>
      <c r="S23" s="892" t="s">
        <v>210</v>
      </c>
      <c r="T23" s="892" t="s">
        <v>211</v>
      </c>
      <c r="U23" s="885" t="str">
        <f>IFERROR(VLOOKUP(N23,'Thông số'!$B:$F,5,0),"")</f>
        <v>8420 x 2375 x 3240</v>
      </c>
    </row>
    <row r="24" ht="14.25" customHeight="1">
      <c r="A24" s="891">
        <v>20.0</v>
      </c>
      <c r="B24" s="892" t="s">
        <v>212</v>
      </c>
      <c r="C24" s="894"/>
      <c r="D24" s="895" t="s">
        <v>1914</v>
      </c>
      <c r="E24" s="894"/>
      <c r="F24" s="892" t="s">
        <v>1914</v>
      </c>
      <c r="G24" s="892" t="s">
        <v>213</v>
      </c>
      <c r="H24" s="894"/>
      <c r="I24" s="895" t="s">
        <v>44</v>
      </c>
      <c r="J24" s="896">
        <v>44013.0</v>
      </c>
      <c r="K24" s="895" t="s">
        <v>865</v>
      </c>
      <c r="L24" s="894"/>
      <c r="M24" s="894"/>
      <c r="N24" s="895" t="s">
        <v>214</v>
      </c>
      <c r="O24" s="892" t="s">
        <v>123</v>
      </c>
      <c r="P24" s="892" t="s">
        <v>84</v>
      </c>
      <c r="Q24" s="895">
        <v>2018.0</v>
      </c>
      <c r="R24" s="895" t="s">
        <v>215</v>
      </c>
      <c r="S24" s="892" t="s">
        <v>216</v>
      </c>
      <c r="T24" s="892" t="s">
        <v>96</v>
      </c>
      <c r="U24" s="885" t="str">
        <f>IFERROR(VLOOKUP(N24,'Thông số'!$B:$F,5,0),"")</f>
        <v>11050 x 2790 x 3260</v>
      </c>
    </row>
    <row r="25" ht="14.25" customHeight="1">
      <c r="A25" s="898">
        <v>21.0</v>
      </c>
      <c r="B25" s="905" t="s">
        <v>217</v>
      </c>
      <c r="C25" s="905" t="s">
        <v>139</v>
      </c>
      <c r="D25" s="907" t="s">
        <v>6448</v>
      </c>
      <c r="E25" s="908"/>
      <c r="F25" s="908"/>
      <c r="G25" s="905" t="s">
        <v>219</v>
      </c>
      <c r="H25" s="901" t="s">
        <v>6449</v>
      </c>
      <c r="I25" s="907" t="s">
        <v>44</v>
      </c>
      <c r="J25" s="909">
        <v>45502.0</v>
      </c>
      <c r="K25" s="901" t="s">
        <v>1027</v>
      </c>
      <c r="L25" s="908"/>
      <c r="M25" s="917" t="s">
        <v>6451</v>
      </c>
      <c r="N25" s="907" t="s">
        <v>223</v>
      </c>
      <c r="O25" s="905" t="s">
        <v>123</v>
      </c>
      <c r="P25" s="905" t="s">
        <v>222</v>
      </c>
      <c r="Q25" s="907">
        <v>2015.0</v>
      </c>
      <c r="R25" s="907" t="s">
        <v>224</v>
      </c>
      <c r="S25" s="905" t="s">
        <v>225</v>
      </c>
      <c r="T25" s="905">
        <v>38204.0</v>
      </c>
      <c r="U25" s="885" t="str">
        <f>IFERROR(VLOOKUP(N25,'Thông số'!$B:$F,5,0),"")</f>
        <v>5260 x 1760 x 2415</v>
      </c>
    </row>
    <row r="26" ht="14.25" customHeight="1">
      <c r="A26" s="891">
        <v>22.0</v>
      </c>
      <c r="B26" s="892" t="s">
        <v>226</v>
      </c>
      <c r="C26" s="892" t="s">
        <v>139</v>
      </c>
      <c r="D26" s="895" t="s">
        <v>6453</v>
      </c>
      <c r="E26" s="894"/>
      <c r="F26" s="894"/>
      <c r="G26" s="892" t="s">
        <v>219</v>
      </c>
      <c r="H26" s="895" t="s">
        <v>6449</v>
      </c>
      <c r="I26" s="895" t="s">
        <v>44</v>
      </c>
      <c r="J26" s="896">
        <v>45499.0</v>
      </c>
      <c r="K26" s="895" t="s">
        <v>865</v>
      </c>
      <c r="L26" s="894"/>
      <c r="M26" s="919" t="s">
        <v>6454</v>
      </c>
      <c r="N26" s="895" t="s">
        <v>223</v>
      </c>
      <c r="O26" s="892" t="s">
        <v>123</v>
      </c>
      <c r="P26" s="892" t="s">
        <v>222</v>
      </c>
      <c r="Q26" s="895">
        <v>2012.0</v>
      </c>
      <c r="R26" s="895" t="s">
        <v>224</v>
      </c>
      <c r="S26" s="892" t="s">
        <v>229</v>
      </c>
      <c r="T26" s="892">
        <v>25866.0</v>
      </c>
      <c r="U26" s="885" t="str">
        <f>IFERROR(VLOOKUP(N26,'Thông số'!$B:$F,5,0),"")</f>
        <v>5260 x 1760 x 2415</v>
      </c>
    </row>
    <row r="27" ht="14.25" customHeight="1">
      <c r="A27" s="898">
        <v>23.0</v>
      </c>
      <c r="B27" s="905" t="s">
        <v>230</v>
      </c>
      <c r="C27" s="905" t="s">
        <v>139</v>
      </c>
      <c r="D27" s="907" t="s">
        <v>6456</v>
      </c>
      <c r="E27" s="908"/>
      <c r="F27" s="908"/>
      <c r="G27" s="905" t="s">
        <v>219</v>
      </c>
      <c r="H27" s="901" t="s">
        <v>6449</v>
      </c>
      <c r="I27" s="907" t="s">
        <v>44</v>
      </c>
      <c r="J27" s="909">
        <v>45502.0</v>
      </c>
      <c r="K27" s="901" t="s">
        <v>1027</v>
      </c>
      <c r="L27" s="908"/>
      <c r="M27" s="917" t="s">
        <v>6457</v>
      </c>
      <c r="N27" s="907" t="s">
        <v>223</v>
      </c>
      <c r="O27" s="905" t="s">
        <v>123</v>
      </c>
      <c r="P27" s="905" t="s">
        <v>222</v>
      </c>
      <c r="Q27" s="907">
        <v>2015.0</v>
      </c>
      <c r="R27" s="907" t="s">
        <v>224</v>
      </c>
      <c r="S27" s="905" t="s">
        <v>232</v>
      </c>
      <c r="T27" s="905">
        <v>36975.0</v>
      </c>
      <c r="U27" s="885" t="str">
        <f>IFERROR(VLOOKUP(N27,'Thông số'!$B:$F,5,0),"")</f>
        <v>5260 x 1760 x 2415</v>
      </c>
    </row>
    <row r="28" ht="14.25" customHeight="1">
      <c r="A28" s="891">
        <v>24.0</v>
      </c>
      <c r="B28" s="892" t="s">
        <v>233</v>
      </c>
      <c r="C28" s="892" t="s">
        <v>139</v>
      </c>
      <c r="D28" s="895" t="s">
        <v>234</v>
      </c>
      <c r="E28" s="894"/>
      <c r="F28" s="894"/>
      <c r="G28" s="892" t="s">
        <v>219</v>
      </c>
      <c r="H28" s="895" t="s">
        <v>6449</v>
      </c>
      <c r="I28" s="895" t="s">
        <v>44</v>
      </c>
      <c r="J28" s="896">
        <v>45597.0</v>
      </c>
      <c r="K28" s="895" t="s">
        <v>865</v>
      </c>
      <c r="L28" s="894"/>
      <c r="M28" s="919" t="s">
        <v>6459</v>
      </c>
      <c r="N28" s="895" t="s">
        <v>237</v>
      </c>
      <c r="O28" s="892" t="s">
        <v>123</v>
      </c>
      <c r="P28" s="892" t="s">
        <v>222</v>
      </c>
      <c r="Q28" s="895">
        <v>2017.0</v>
      </c>
      <c r="R28" s="895" t="s">
        <v>224</v>
      </c>
      <c r="S28" s="892">
        <v>20242.0</v>
      </c>
      <c r="T28" s="892">
        <v>10671.0</v>
      </c>
      <c r="U28" s="885" t="str">
        <f>IFERROR(VLOOKUP(N28,'Thông số'!$B:$F,5,0),"")</f>
        <v>5550 x 1960 x 2550</v>
      </c>
    </row>
    <row r="29" ht="14.25" customHeight="1">
      <c r="A29" s="891">
        <v>25.0</v>
      </c>
      <c r="B29" s="892" t="s">
        <v>239</v>
      </c>
      <c r="C29" s="892" t="s">
        <v>139</v>
      </c>
      <c r="D29" s="895" t="s">
        <v>240</v>
      </c>
      <c r="E29" s="894"/>
      <c r="F29" s="894"/>
      <c r="G29" s="892" t="s">
        <v>219</v>
      </c>
      <c r="H29" s="895" t="s">
        <v>6449</v>
      </c>
      <c r="I29" s="895" t="s">
        <v>44</v>
      </c>
      <c r="J29" s="896">
        <v>45597.0</v>
      </c>
      <c r="K29" s="895" t="s">
        <v>865</v>
      </c>
      <c r="L29" s="894"/>
      <c r="M29" s="919" t="s">
        <v>6459</v>
      </c>
      <c r="N29" s="895" t="s">
        <v>237</v>
      </c>
      <c r="O29" s="892" t="s">
        <v>123</v>
      </c>
      <c r="P29" s="892" t="s">
        <v>222</v>
      </c>
      <c r="Q29" s="895">
        <v>2015.0</v>
      </c>
      <c r="R29" s="895" t="s">
        <v>224</v>
      </c>
      <c r="S29" s="892">
        <v>19139.0</v>
      </c>
      <c r="T29" s="892">
        <v>36094.0</v>
      </c>
      <c r="U29" s="885" t="str">
        <f>IFERROR(VLOOKUP(N29,'Thông số'!$B:$F,5,0),"")</f>
        <v>5550 x 1960 x 2550</v>
      </c>
    </row>
    <row r="30" ht="14.25" customHeight="1">
      <c r="A30" s="898">
        <v>26.0</v>
      </c>
      <c r="B30" s="905" t="s">
        <v>243</v>
      </c>
      <c r="C30" s="905" t="s">
        <v>139</v>
      </c>
      <c r="D30" s="907" t="s">
        <v>6462</v>
      </c>
      <c r="E30" s="908"/>
      <c r="F30" s="908"/>
      <c r="G30" s="905" t="s">
        <v>219</v>
      </c>
      <c r="H30" s="901" t="s">
        <v>6449</v>
      </c>
      <c r="I30" s="907" t="s">
        <v>44</v>
      </c>
      <c r="J30" s="909">
        <v>45474.0</v>
      </c>
      <c r="K30" s="901" t="s">
        <v>1027</v>
      </c>
      <c r="L30" s="908"/>
      <c r="M30" s="917" t="s">
        <v>244</v>
      </c>
      <c r="N30" s="907" t="s">
        <v>223</v>
      </c>
      <c r="O30" s="905" t="s">
        <v>123</v>
      </c>
      <c r="P30" s="905" t="s">
        <v>222</v>
      </c>
      <c r="Q30" s="907">
        <v>2013.0</v>
      </c>
      <c r="R30" s="907" t="s">
        <v>224</v>
      </c>
      <c r="S30" s="905" t="s">
        <v>245</v>
      </c>
      <c r="T30" s="905">
        <v>25275.0</v>
      </c>
      <c r="U30" s="885" t="str">
        <f>IFERROR(VLOOKUP(N30,'Thông số'!$B:$F,5,0),"")</f>
        <v>5260 x 1760 x 2415</v>
      </c>
    </row>
    <row r="31" ht="14.25" customHeight="1">
      <c r="A31" s="898">
        <v>27.0</v>
      </c>
      <c r="B31" s="905" t="s">
        <v>246</v>
      </c>
      <c r="C31" s="905" t="s">
        <v>139</v>
      </c>
      <c r="D31" s="907" t="s">
        <v>6464</v>
      </c>
      <c r="E31" s="908"/>
      <c r="F31" s="908"/>
      <c r="G31" s="905" t="s">
        <v>219</v>
      </c>
      <c r="H31" s="901" t="s">
        <v>6449</v>
      </c>
      <c r="I31" s="907" t="s">
        <v>44</v>
      </c>
      <c r="J31" s="909">
        <v>45474.0</v>
      </c>
      <c r="K31" s="901" t="s">
        <v>1027</v>
      </c>
      <c r="L31" s="908"/>
      <c r="M31" s="917" t="s">
        <v>244</v>
      </c>
      <c r="N31" s="907" t="s">
        <v>223</v>
      </c>
      <c r="O31" s="905" t="s">
        <v>123</v>
      </c>
      <c r="P31" s="905" t="s">
        <v>222</v>
      </c>
      <c r="Q31" s="907">
        <v>2013.0</v>
      </c>
      <c r="R31" s="907" t="s">
        <v>224</v>
      </c>
      <c r="S31" s="905" t="s">
        <v>248</v>
      </c>
      <c r="T31" s="905">
        <v>27440.0</v>
      </c>
      <c r="U31" s="885" t="str">
        <f>IFERROR(VLOOKUP(N31,'Thông số'!$B:$F,5,0),"")</f>
        <v>5260 x 1760 x 2415</v>
      </c>
    </row>
    <row r="32" ht="14.25" customHeight="1">
      <c r="A32" s="898">
        <v>28.0</v>
      </c>
      <c r="B32" s="905" t="s">
        <v>249</v>
      </c>
      <c r="C32" s="905" t="s">
        <v>139</v>
      </c>
      <c r="D32" s="907" t="s">
        <v>250</v>
      </c>
      <c r="E32" s="908"/>
      <c r="F32" s="908"/>
      <c r="G32" s="905" t="s">
        <v>219</v>
      </c>
      <c r="H32" s="901" t="s">
        <v>6449</v>
      </c>
      <c r="I32" s="907" t="s">
        <v>44</v>
      </c>
      <c r="J32" s="909">
        <v>45973.0</v>
      </c>
      <c r="K32" s="901" t="s">
        <v>1027</v>
      </c>
      <c r="L32" s="908"/>
      <c r="M32" s="917" t="s">
        <v>251</v>
      </c>
      <c r="N32" s="907" t="s">
        <v>252</v>
      </c>
      <c r="O32" s="905" t="s">
        <v>123</v>
      </c>
      <c r="P32" s="905" t="s">
        <v>222</v>
      </c>
      <c r="Q32" s="907">
        <v>2015.0</v>
      </c>
      <c r="R32" s="907" t="s">
        <v>224</v>
      </c>
      <c r="S32" s="905" t="s">
        <v>253</v>
      </c>
      <c r="T32" s="905" t="s">
        <v>254</v>
      </c>
      <c r="U32" s="885" t="str">
        <f>IFERROR(VLOOKUP(N32,'Thông số'!$B:$F,5,0),"")</f>
        <v>5260 x 1760 x 2415</v>
      </c>
    </row>
    <row r="33" ht="14.25" customHeight="1">
      <c r="A33" s="898">
        <v>29.0</v>
      </c>
      <c r="B33" s="905" t="s">
        <v>256</v>
      </c>
      <c r="C33" s="905" t="s">
        <v>139</v>
      </c>
      <c r="D33" s="907" t="s">
        <v>6467</v>
      </c>
      <c r="E33" s="908"/>
      <c r="F33" s="908"/>
      <c r="G33" s="905" t="s">
        <v>257</v>
      </c>
      <c r="H33" s="902"/>
      <c r="I33" s="907" t="s">
        <v>44</v>
      </c>
      <c r="J33" s="909">
        <v>45506.0</v>
      </c>
      <c r="K33" s="901" t="s">
        <v>1027</v>
      </c>
      <c r="L33" s="908"/>
      <c r="M33" s="917" t="s">
        <v>258</v>
      </c>
      <c r="N33" s="907" t="s">
        <v>261</v>
      </c>
      <c r="O33" s="905" t="s">
        <v>259</v>
      </c>
      <c r="P33" s="905" t="s">
        <v>260</v>
      </c>
      <c r="Q33" s="907">
        <v>2005.0</v>
      </c>
      <c r="R33" s="907" t="s">
        <v>1546</v>
      </c>
      <c r="S33" s="905" t="s">
        <v>264</v>
      </c>
      <c r="T33" s="905" t="s">
        <v>265</v>
      </c>
      <c r="U33" s="885" t="str">
        <f>IFERROR(VLOOKUP(N33,'Thông số'!$B:$F,5,0),"")</f>
        <v>3100 x 1400 x 1585</v>
      </c>
    </row>
    <row r="34" ht="14.25" customHeight="1">
      <c r="A34" s="891">
        <v>30.0</v>
      </c>
      <c r="B34" s="892" t="s">
        <v>218</v>
      </c>
      <c r="C34" s="892" t="s">
        <v>139</v>
      </c>
      <c r="D34" s="895" t="s">
        <v>266</v>
      </c>
      <c r="E34" s="894"/>
      <c r="F34" s="894"/>
      <c r="G34" s="892" t="s">
        <v>267</v>
      </c>
      <c r="H34" s="895" t="s">
        <v>6470</v>
      </c>
      <c r="I34" s="895" t="s">
        <v>44</v>
      </c>
      <c r="J34" s="896">
        <v>45699.0</v>
      </c>
      <c r="K34" s="895" t="s">
        <v>865</v>
      </c>
      <c r="L34" s="894"/>
      <c r="M34" s="919" t="s">
        <v>268</v>
      </c>
      <c r="N34" s="895" t="s">
        <v>270</v>
      </c>
      <c r="O34" s="892" t="s">
        <v>123</v>
      </c>
      <c r="P34" s="892" t="s">
        <v>269</v>
      </c>
      <c r="Q34" s="895">
        <v>2006.0</v>
      </c>
      <c r="R34" s="895" t="s">
        <v>271</v>
      </c>
      <c r="S34" s="892" t="s">
        <v>272</v>
      </c>
      <c r="T34" s="892">
        <v>2.1721047E7</v>
      </c>
      <c r="U34" s="885" t="str">
        <f>IFERROR(VLOOKUP(N34,'Thông số'!$B:$F,5,0),"")</f>
        <v>8358 x 2540 x 3200</v>
      </c>
    </row>
    <row r="35" ht="14.25" customHeight="1">
      <c r="A35" s="898">
        <v>31.0</v>
      </c>
      <c r="B35" s="905" t="s">
        <v>273</v>
      </c>
      <c r="C35" s="905" t="s">
        <v>139</v>
      </c>
      <c r="D35" s="907" t="s">
        <v>274</v>
      </c>
      <c r="E35" s="908"/>
      <c r="F35" s="908"/>
      <c r="G35" s="905" t="s">
        <v>275</v>
      </c>
      <c r="H35" s="901" t="s">
        <v>6472</v>
      </c>
      <c r="I35" s="907" t="s">
        <v>44</v>
      </c>
      <c r="J35" s="909">
        <v>45699.0</v>
      </c>
      <c r="K35" s="901" t="s">
        <v>1027</v>
      </c>
      <c r="L35" s="908"/>
      <c r="M35" s="917" t="s">
        <v>276</v>
      </c>
      <c r="N35" s="907" t="s">
        <v>277</v>
      </c>
      <c r="O35" s="905" t="s">
        <v>123</v>
      </c>
      <c r="P35" s="905" t="s">
        <v>222</v>
      </c>
      <c r="Q35" s="907">
        <v>2012.0</v>
      </c>
      <c r="R35" s="907" t="s">
        <v>278</v>
      </c>
      <c r="S35" s="905" t="s">
        <v>279</v>
      </c>
      <c r="T35" s="905">
        <v>2.1719691E7</v>
      </c>
      <c r="U35" s="885" t="str">
        <f>IFERROR(VLOOKUP(N35,'Thông số'!$B:$F,5,0),"")</f>
        <v>9660 x 2550 x 3985</v>
      </c>
    </row>
    <row r="36" ht="14.25" customHeight="1">
      <c r="A36" s="898">
        <v>32.0</v>
      </c>
      <c r="B36" s="905" t="s">
        <v>280</v>
      </c>
      <c r="C36" s="905" t="s">
        <v>139</v>
      </c>
      <c r="D36" s="907" t="s">
        <v>281</v>
      </c>
      <c r="E36" s="908"/>
      <c r="F36" s="908"/>
      <c r="G36" s="905" t="s">
        <v>282</v>
      </c>
      <c r="H36" s="901" t="s">
        <v>6475</v>
      </c>
      <c r="I36" s="901" t="s">
        <v>44</v>
      </c>
      <c r="J36" s="909">
        <v>45805.0</v>
      </c>
      <c r="K36" s="901" t="s">
        <v>1027</v>
      </c>
      <c r="L36" s="908"/>
      <c r="M36" s="906" t="s">
        <v>283</v>
      </c>
      <c r="N36" s="907" t="s">
        <v>284</v>
      </c>
      <c r="O36" s="905" t="s">
        <v>123</v>
      </c>
      <c r="P36" s="905" t="s">
        <v>84</v>
      </c>
      <c r="Q36" s="907">
        <v>2005.0</v>
      </c>
      <c r="R36" s="907" t="s">
        <v>209</v>
      </c>
      <c r="S36" s="905" t="s">
        <v>285</v>
      </c>
      <c r="T36" s="905" t="s">
        <v>286</v>
      </c>
      <c r="U36" s="885" t="str">
        <f>IFERROR(VLOOKUP(N36,'Thông số'!$B:$F,5,0),"")</f>
        <v>8700 x 2800 x 3010</v>
      </c>
    </row>
    <row r="37" ht="14.25" customHeight="1">
      <c r="A37" s="898">
        <v>33.0</v>
      </c>
      <c r="B37" s="905" t="s">
        <v>287</v>
      </c>
      <c r="C37" s="905" t="s">
        <v>139</v>
      </c>
      <c r="D37" s="907" t="s">
        <v>288</v>
      </c>
      <c r="E37" s="908"/>
      <c r="F37" s="908"/>
      <c r="G37" s="905" t="s">
        <v>122</v>
      </c>
      <c r="H37" s="901" t="s">
        <v>6438</v>
      </c>
      <c r="I37" s="907" t="s">
        <v>44</v>
      </c>
      <c r="J37" s="909">
        <v>45699.0</v>
      </c>
      <c r="K37" s="901" t="s">
        <v>1027</v>
      </c>
      <c r="L37" s="908"/>
      <c r="M37" s="917" t="s">
        <v>276</v>
      </c>
      <c r="N37" s="907" t="s">
        <v>290</v>
      </c>
      <c r="O37" s="905" t="s">
        <v>123</v>
      </c>
      <c r="P37" s="905" t="s">
        <v>222</v>
      </c>
      <c r="Q37" s="907">
        <v>2003.0</v>
      </c>
      <c r="R37" s="907" t="s">
        <v>6477</v>
      </c>
      <c r="S37" s="905" t="s">
        <v>292</v>
      </c>
      <c r="T37" s="905" t="s">
        <v>293</v>
      </c>
      <c r="U37" s="885" t="str">
        <f>IFERROR(VLOOKUP(N37,'Thông số'!$B:$F,5,0),"")</f>
        <v>4200 x 2980 x 2720</v>
      </c>
    </row>
    <row r="38" ht="14.25" customHeight="1">
      <c r="A38" s="898">
        <v>34.0</v>
      </c>
      <c r="B38" s="905" t="s">
        <v>294</v>
      </c>
      <c r="C38" s="905" t="s">
        <v>154</v>
      </c>
      <c r="D38" s="907" t="s">
        <v>295</v>
      </c>
      <c r="E38" s="907" t="s">
        <v>296</v>
      </c>
      <c r="F38" s="908"/>
      <c r="G38" s="905" t="s">
        <v>297</v>
      </c>
      <c r="H38" s="902"/>
      <c r="I38" s="907" t="s">
        <v>44</v>
      </c>
      <c r="J38" s="909">
        <v>45723.0</v>
      </c>
      <c r="K38" s="901" t="s">
        <v>1027</v>
      </c>
      <c r="L38" s="908"/>
      <c r="M38" s="917" t="s">
        <v>299</v>
      </c>
      <c r="N38" s="907" t="s">
        <v>307</v>
      </c>
      <c r="O38" s="899" t="s">
        <v>300</v>
      </c>
      <c r="P38" s="899" t="s">
        <v>148</v>
      </c>
      <c r="Q38" s="907">
        <v>2024.0</v>
      </c>
      <c r="R38" s="907" t="s">
        <v>278</v>
      </c>
      <c r="S38" s="905" t="s">
        <v>302</v>
      </c>
      <c r="T38" s="905" t="s">
        <v>303</v>
      </c>
      <c r="U38" s="885" t="str">
        <f>IFERROR(VLOOKUP(N38,'Thông số'!$B:$F,5,0),"")</f>
        <v>6160 x 2330 x 2760</v>
      </c>
    </row>
    <row r="39" ht="14.25" customHeight="1">
      <c r="A39" s="898">
        <v>35.0</v>
      </c>
      <c r="B39" s="905" t="s">
        <v>304</v>
      </c>
      <c r="C39" s="905" t="s">
        <v>154</v>
      </c>
      <c r="D39" s="907" t="s">
        <v>305</v>
      </c>
      <c r="E39" s="907" t="s">
        <v>306</v>
      </c>
      <c r="F39" s="908"/>
      <c r="G39" s="905" t="s">
        <v>297</v>
      </c>
      <c r="H39" s="902"/>
      <c r="I39" s="907" t="s">
        <v>44</v>
      </c>
      <c r="J39" s="909">
        <v>45723.0</v>
      </c>
      <c r="K39" s="901" t="s">
        <v>1027</v>
      </c>
      <c r="L39" s="908"/>
      <c r="M39" s="917" t="s">
        <v>299</v>
      </c>
      <c r="N39" s="907" t="s">
        <v>307</v>
      </c>
      <c r="O39" s="899" t="s">
        <v>300</v>
      </c>
      <c r="P39" s="899" t="s">
        <v>148</v>
      </c>
      <c r="Q39" s="907">
        <v>2024.0</v>
      </c>
      <c r="R39" s="907" t="s">
        <v>278</v>
      </c>
      <c r="S39" s="905" t="s">
        <v>308</v>
      </c>
      <c r="T39" s="905" t="s">
        <v>309</v>
      </c>
      <c r="U39" s="885" t="str">
        <f>IFERROR(VLOOKUP(N39,'Thông số'!$B:$F,5,0),"")</f>
        <v>6160 x 2330 x 2760</v>
      </c>
    </row>
    <row r="40" ht="14.25" customHeight="1">
      <c r="A40" s="898">
        <v>36.0</v>
      </c>
      <c r="B40" s="905" t="s">
        <v>310</v>
      </c>
      <c r="C40" s="905" t="s">
        <v>154</v>
      </c>
      <c r="D40" s="907" t="s">
        <v>311</v>
      </c>
      <c r="E40" s="908"/>
      <c r="F40" s="908"/>
      <c r="G40" s="905" t="s">
        <v>312</v>
      </c>
      <c r="H40" s="902"/>
      <c r="I40" s="907" t="s">
        <v>44</v>
      </c>
      <c r="J40" s="909">
        <v>45806.0</v>
      </c>
      <c r="K40" s="901" t="s">
        <v>1027</v>
      </c>
      <c r="L40" s="908"/>
      <c r="M40" s="917" t="s">
        <v>314</v>
      </c>
      <c r="N40" s="907" t="s">
        <v>315</v>
      </c>
      <c r="O40" s="899" t="s">
        <v>300</v>
      </c>
      <c r="P40" s="899" t="s">
        <v>148</v>
      </c>
      <c r="Q40" s="907">
        <v>2024.0</v>
      </c>
      <c r="R40" s="907" t="s">
        <v>278</v>
      </c>
      <c r="S40" s="905" t="s">
        <v>316</v>
      </c>
      <c r="T40" s="905" t="s">
        <v>317</v>
      </c>
      <c r="U40" s="885" t="str">
        <f>IFERROR(VLOOKUP(N40,'Thông số'!$B:$F,5,0),"")</f>
        <v>6160 x 2330 x 2760</v>
      </c>
    </row>
    <row r="41" ht="14.25" customHeight="1">
      <c r="A41" s="898">
        <v>37.0</v>
      </c>
      <c r="B41" s="905" t="s">
        <v>318</v>
      </c>
      <c r="C41" s="905" t="s">
        <v>154</v>
      </c>
      <c r="D41" s="907" t="s">
        <v>319</v>
      </c>
      <c r="E41" s="908"/>
      <c r="F41" s="908"/>
      <c r="G41" s="905" t="s">
        <v>312</v>
      </c>
      <c r="H41" s="902"/>
      <c r="I41" s="907" t="s">
        <v>44</v>
      </c>
      <c r="J41" s="909">
        <v>45806.0</v>
      </c>
      <c r="K41" s="901" t="s">
        <v>1027</v>
      </c>
      <c r="L41" s="908"/>
      <c r="M41" s="917" t="s">
        <v>314</v>
      </c>
      <c r="N41" s="907" t="s">
        <v>315</v>
      </c>
      <c r="O41" s="899" t="s">
        <v>300</v>
      </c>
      <c r="P41" s="899" t="s">
        <v>148</v>
      </c>
      <c r="Q41" s="907">
        <v>2024.0</v>
      </c>
      <c r="R41" s="907" t="s">
        <v>278</v>
      </c>
      <c r="S41" s="905" t="s">
        <v>320</v>
      </c>
      <c r="T41" s="905" t="s">
        <v>321</v>
      </c>
      <c r="U41" s="885" t="str">
        <f>IFERROR(VLOOKUP(N41,'Thông số'!$B:$F,5,0),"")</f>
        <v>6160 x 2330 x 2760</v>
      </c>
    </row>
    <row r="42" ht="14.25" customHeight="1">
      <c r="A42" s="898">
        <v>38.0</v>
      </c>
      <c r="B42" s="905" t="s">
        <v>323</v>
      </c>
      <c r="C42" s="905" t="s">
        <v>154</v>
      </c>
      <c r="D42" s="907" t="s">
        <v>324</v>
      </c>
      <c r="E42" s="908"/>
      <c r="F42" s="908"/>
      <c r="G42" s="905" t="s">
        <v>312</v>
      </c>
      <c r="H42" s="902"/>
      <c r="I42" s="907" t="s">
        <v>44</v>
      </c>
      <c r="J42" s="909">
        <v>45806.0</v>
      </c>
      <c r="K42" s="901" t="s">
        <v>1027</v>
      </c>
      <c r="L42" s="908"/>
      <c r="M42" s="917" t="s">
        <v>314</v>
      </c>
      <c r="N42" s="907" t="s">
        <v>315</v>
      </c>
      <c r="O42" s="899" t="s">
        <v>300</v>
      </c>
      <c r="P42" s="899" t="s">
        <v>148</v>
      </c>
      <c r="Q42" s="907">
        <v>2024.0</v>
      </c>
      <c r="R42" s="907" t="s">
        <v>278</v>
      </c>
      <c r="S42" s="905" t="s">
        <v>325</v>
      </c>
      <c r="T42" s="905" t="s">
        <v>326</v>
      </c>
      <c r="U42" s="885" t="str">
        <f>IFERROR(VLOOKUP(N42,'Thông số'!$B:$F,5,0),"")</f>
        <v>6160 x 2330 x 2760</v>
      </c>
    </row>
    <row r="43" ht="14.25" customHeight="1">
      <c r="A43" s="898">
        <v>39.0</v>
      </c>
      <c r="B43" s="905" t="s">
        <v>327</v>
      </c>
      <c r="C43" s="905" t="s">
        <v>154</v>
      </c>
      <c r="D43" s="907" t="s">
        <v>328</v>
      </c>
      <c r="E43" s="908"/>
      <c r="F43" s="908"/>
      <c r="G43" s="905" t="s">
        <v>312</v>
      </c>
      <c r="H43" s="902"/>
      <c r="I43" s="907" t="s">
        <v>44</v>
      </c>
      <c r="J43" s="909">
        <v>45806.0</v>
      </c>
      <c r="K43" s="901" t="s">
        <v>1027</v>
      </c>
      <c r="L43" s="908"/>
      <c r="M43" s="917" t="s">
        <v>314</v>
      </c>
      <c r="N43" s="907" t="s">
        <v>315</v>
      </c>
      <c r="O43" s="899" t="s">
        <v>300</v>
      </c>
      <c r="P43" s="899" t="s">
        <v>148</v>
      </c>
      <c r="Q43" s="907">
        <v>2024.0</v>
      </c>
      <c r="R43" s="907" t="s">
        <v>1863</v>
      </c>
      <c r="S43" s="905" t="s">
        <v>330</v>
      </c>
      <c r="T43" s="905" t="s">
        <v>331</v>
      </c>
      <c r="U43" s="885" t="str">
        <f>IFERROR(VLOOKUP(N43,'Thông số'!$B:$F,5,0),"")</f>
        <v>6160 x 2330 x 2760</v>
      </c>
    </row>
    <row r="44" ht="14.25" customHeight="1">
      <c r="A44" s="898">
        <v>40.0</v>
      </c>
      <c r="B44" s="905" t="s">
        <v>332</v>
      </c>
      <c r="C44" s="905" t="s">
        <v>154</v>
      </c>
      <c r="D44" s="907" t="s">
        <v>333</v>
      </c>
      <c r="E44" s="907" t="s">
        <v>334</v>
      </c>
      <c r="F44" s="908"/>
      <c r="G44" s="905" t="s">
        <v>335</v>
      </c>
      <c r="H44" s="902"/>
      <c r="I44" s="907" t="s">
        <v>44</v>
      </c>
      <c r="J44" s="909">
        <v>45818.0</v>
      </c>
      <c r="K44" s="901" t="s">
        <v>1027</v>
      </c>
      <c r="L44" s="908"/>
      <c r="M44" s="906" t="s">
        <v>336</v>
      </c>
      <c r="N44" s="907" t="s">
        <v>6487</v>
      </c>
      <c r="O44" s="899" t="s">
        <v>300</v>
      </c>
      <c r="P44" s="899" t="s">
        <v>148</v>
      </c>
      <c r="Q44" s="907">
        <v>2024.0</v>
      </c>
      <c r="R44" s="907" t="s">
        <v>338</v>
      </c>
      <c r="S44" s="905" t="s">
        <v>339</v>
      </c>
      <c r="T44" s="905" t="s">
        <v>340</v>
      </c>
      <c r="U44" s="885" t="str">
        <f>IFERROR(VLOOKUP(N44,'Thông số'!$B:$F,5,0),"")</f>
        <v>5910 x 2310 x 2800</v>
      </c>
    </row>
    <row r="45" ht="14.25" customHeight="1">
      <c r="A45" s="898">
        <v>41.0</v>
      </c>
      <c r="B45" s="905" t="s">
        <v>341</v>
      </c>
      <c r="C45" s="905" t="s">
        <v>154</v>
      </c>
      <c r="D45" s="907" t="s">
        <v>342</v>
      </c>
      <c r="E45" s="907" t="s">
        <v>343</v>
      </c>
      <c r="F45" s="908"/>
      <c r="G45" s="905" t="s">
        <v>335</v>
      </c>
      <c r="H45" s="902"/>
      <c r="I45" s="907" t="s">
        <v>44</v>
      </c>
      <c r="J45" s="909">
        <v>45818.0</v>
      </c>
      <c r="K45" s="901" t="s">
        <v>1027</v>
      </c>
      <c r="L45" s="908"/>
      <c r="M45" s="906" t="s">
        <v>336</v>
      </c>
      <c r="N45" s="907" t="s">
        <v>6487</v>
      </c>
      <c r="O45" s="899" t="s">
        <v>300</v>
      </c>
      <c r="P45" s="899" t="s">
        <v>148</v>
      </c>
      <c r="Q45" s="907">
        <v>2024.0</v>
      </c>
      <c r="R45" s="907" t="s">
        <v>338</v>
      </c>
      <c r="S45" s="905" t="s">
        <v>344</v>
      </c>
      <c r="T45" s="905" t="s">
        <v>345</v>
      </c>
      <c r="U45" s="885" t="str">
        <f>IFERROR(VLOOKUP(N45,'Thông số'!$B:$F,5,0),"")</f>
        <v>5910 x 2310 x 2800</v>
      </c>
    </row>
    <row r="46" ht="14.25" customHeight="1">
      <c r="A46" s="891">
        <v>42.0</v>
      </c>
      <c r="B46" s="892" t="s">
        <v>346</v>
      </c>
      <c r="C46" s="892" t="s">
        <v>154</v>
      </c>
      <c r="D46" s="895" t="s">
        <v>347</v>
      </c>
      <c r="E46" s="895" t="s">
        <v>348</v>
      </c>
      <c r="F46" s="894"/>
      <c r="G46" s="892" t="s">
        <v>335</v>
      </c>
      <c r="H46" s="894"/>
      <c r="I46" s="895" t="s">
        <v>44</v>
      </c>
      <c r="J46" s="896">
        <v>45818.0</v>
      </c>
      <c r="K46" s="895" t="s">
        <v>865</v>
      </c>
      <c r="L46" s="894"/>
      <c r="M46" s="919" t="s">
        <v>336</v>
      </c>
      <c r="N46" s="895" t="s">
        <v>6487</v>
      </c>
      <c r="O46" s="892" t="s">
        <v>300</v>
      </c>
      <c r="P46" s="892" t="s">
        <v>148</v>
      </c>
      <c r="Q46" s="895">
        <v>2024.0</v>
      </c>
      <c r="R46" s="895" t="s">
        <v>338</v>
      </c>
      <c r="S46" s="892" t="s">
        <v>349</v>
      </c>
      <c r="T46" s="892" t="s">
        <v>350</v>
      </c>
      <c r="U46" s="885" t="str">
        <f>IFERROR(VLOOKUP(N46,'Thông số'!$B:$F,5,0),"")</f>
        <v>5910 x 2310 x 2800</v>
      </c>
    </row>
    <row r="47" ht="14.25" customHeight="1">
      <c r="A47" s="898">
        <v>43.0</v>
      </c>
      <c r="B47" s="905" t="s">
        <v>351</v>
      </c>
      <c r="C47" s="905" t="s">
        <v>154</v>
      </c>
      <c r="D47" s="907" t="s">
        <v>352</v>
      </c>
      <c r="E47" s="907" t="s">
        <v>353</v>
      </c>
      <c r="F47" s="908"/>
      <c r="G47" s="905" t="s">
        <v>335</v>
      </c>
      <c r="H47" s="902"/>
      <c r="I47" s="907" t="s">
        <v>44</v>
      </c>
      <c r="J47" s="909">
        <v>45818.0</v>
      </c>
      <c r="K47" s="901" t="s">
        <v>1027</v>
      </c>
      <c r="L47" s="908"/>
      <c r="M47" s="906" t="s">
        <v>336</v>
      </c>
      <c r="N47" s="907" t="s">
        <v>6487</v>
      </c>
      <c r="O47" s="899" t="s">
        <v>300</v>
      </c>
      <c r="P47" s="899" t="s">
        <v>148</v>
      </c>
      <c r="Q47" s="907">
        <v>2024.0</v>
      </c>
      <c r="R47" s="907" t="s">
        <v>338</v>
      </c>
      <c r="S47" s="905" t="s">
        <v>355</v>
      </c>
      <c r="T47" s="905" t="s">
        <v>356</v>
      </c>
      <c r="U47" s="885" t="str">
        <f>IFERROR(VLOOKUP(N47,'Thông số'!$B:$F,5,0),"")</f>
        <v>5910 x 2310 x 2800</v>
      </c>
    </row>
    <row r="48" ht="14.25" customHeight="1">
      <c r="A48" s="898">
        <v>44.0</v>
      </c>
      <c r="B48" s="905" t="s">
        <v>357</v>
      </c>
      <c r="C48" s="905" t="s">
        <v>154</v>
      </c>
      <c r="D48" s="907" t="s">
        <v>358</v>
      </c>
      <c r="E48" s="907" t="s">
        <v>359</v>
      </c>
      <c r="F48" s="908"/>
      <c r="G48" s="905" t="s">
        <v>157</v>
      </c>
      <c r="H48" s="902"/>
      <c r="I48" s="907" t="s">
        <v>44</v>
      </c>
      <c r="J48" s="909">
        <v>45820.0</v>
      </c>
      <c r="K48" s="901" t="s">
        <v>1027</v>
      </c>
      <c r="L48" s="908"/>
      <c r="M48" s="906" t="s">
        <v>336</v>
      </c>
      <c r="N48" s="907" t="s">
        <v>162</v>
      </c>
      <c r="O48" s="905" t="s">
        <v>161</v>
      </c>
      <c r="P48" s="905" t="s">
        <v>148</v>
      </c>
      <c r="Q48" s="907">
        <v>2022.0</v>
      </c>
      <c r="R48" s="907" t="s">
        <v>6443</v>
      </c>
      <c r="S48" s="905" t="s">
        <v>361</v>
      </c>
      <c r="T48" s="905" t="s">
        <v>362</v>
      </c>
      <c r="U48" s="885" t="str">
        <f>IFERROR(VLOOKUP(N48,'Thông số'!$B:$F,5,0),"")</f>
        <v>7800 x 2500 x 3480</v>
      </c>
    </row>
    <row r="49" ht="14.25" customHeight="1">
      <c r="A49" s="898">
        <v>45.0</v>
      </c>
      <c r="B49" s="905" t="s">
        <v>363</v>
      </c>
      <c r="C49" s="905" t="s">
        <v>154</v>
      </c>
      <c r="D49" s="907" t="s">
        <v>364</v>
      </c>
      <c r="E49" s="907" t="s">
        <v>365</v>
      </c>
      <c r="F49" s="908"/>
      <c r="G49" s="905" t="s">
        <v>157</v>
      </c>
      <c r="H49" s="902"/>
      <c r="I49" s="907" t="s">
        <v>44</v>
      </c>
      <c r="J49" s="909">
        <v>45820.0</v>
      </c>
      <c r="K49" s="901" t="s">
        <v>1027</v>
      </c>
      <c r="L49" s="908"/>
      <c r="M49" s="906" t="s">
        <v>336</v>
      </c>
      <c r="N49" s="907" t="s">
        <v>162</v>
      </c>
      <c r="O49" s="905" t="s">
        <v>161</v>
      </c>
      <c r="P49" s="905" t="s">
        <v>148</v>
      </c>
      <c r="Q49" s="907">
        <v>2022.0</v>
      </c>
      <c r="R49" s="907" t="s">
        <v>6443</v>
      </c>
      <c r="S49" s="905" t="s">
        <v>366</v>
      </c>
      <c r="T49" s="905" t="s">
        <v>367</v>
      </c>
      <c r="U49" s="885" t="str">
        <f>IFERROR(VLOOKUP(N49,'Thông số'!$B:$F,5,0),"")</f>
        <v>7800 x 2500 x 3480</v>
      </c>
    </row>
    <row r="50" ht="14.25" customHeight="1">
      <c r="A50" s="886" t="s">
        <v>375</v>
      </c>
      <c r="B50" s="887" t="s">
        <v>376</v>
      </c>
      <c r="C50" s="889">
        <v>34.0</v>
      </c>
      <c r="D50" s="890"/>
      <c r="E50" s="890"/>
      <c r="F50" s="890"/>
      <c r="G50" s="890"/>
      <c r="H50" s="890"/>
      <c r="I50" s="890"/>
      <c r="J50" s="890"/>
      <c r="K50" s="890"/>
      <c r="L50" s="890"/>
      <c r="M50" s="890"/>
      <c r="N50" s="890"/>
      <c r="O50" s="890"/>
      <c r="P50" s="890"/>
      <c r="Q50" s="890"/>
      <c r="R50" s="890"/>
      <c r="S50" s="890"/>
      <c r="T50" s="890"/>
      <c r="U50" s="885" t="str">
        <f>IFERROR(VLOOKUP(N50,'Thông số'!$B:$F,5,0),"")</f>
        <v/>
      </c>
    </row>
    <row r="51" ht="14.25" customHeight="1">
      <c r="A51" s="898">
        <v>1.0</v>
      </c>
      <c r="B51" s="899" t="s">
        <v>378</v>
      </c>
      <c r="C51" s="899" t="s">
        <v>379</v>
      </c>
      <c r="D51" s="901" t="s">
        <v>1848</v>
      </c>
      <c r="E51" s="902"/>
      <c r="F51" s="899" t="s">
        <v>1848</v>
      </c>
      <c r="G51" s="899" t="s">
        <v>207</v>
      </c>
      <c r="H51" s="902"/>
      <c r="I51" s="901" t="s">
        <v>55</v>
      </c>
      <c r="J51" s="903">
        <v>44197.0</v>
      </c>
      <c r="K51" s="901" t="s">
        <v>1027</v>
      </c>
      <c r="L51" s="904">
        <v>0.67</v>
      </c>
      <c r="M51" s="902"/>
      <c r="N51" s="901" t="s">
        <v>208</v>
      </c>
      <c r="O51" s="899" t="s">
        <v>123</v>
      </c>
      <c r="P51" s="899" t="s">
        <v>84</v>
      </c>
      <c r="Q51" s="901">
        <v>1995.0</v>
      </c>
      <c r="R51" s="901" t="s">
        <v>209</v>
      </c>
      <c r="S51" s="899" t="s">
        <v>380</v>
      </c>
      <c r="T51" s="899" t="s">
        <v>381</v>
      </c>
      <c r="U51" s="885" t="str">
        <f>IFERROR(VLOOKUP(N51,'Thông số'!$B:$F,5,0),"")</f>
        <v>8420 x 2375 x 3240</v>
      </c>
    </row>
    <row r="52" ht="14.25" customHeight="1">
      <c r="A52" s="891">
        <v>2.0</v>
      </c>
      <c r="B52" s="892" t="s">
        <v>382</v>
      </c>
      <c r="C52" s="892" t="s">
        <v>383</v>
      </c>
      <c r="D52" s="895" t="s">
        <v>1341</v>
      </c>
      <c r="E52" s="894"/>
      <c r="F52" s="892" t="s">
        <v>1341</v>
      </c>
      <c r="G52" s="892" t="s">
        <v>122</v>
      </c>
      <c r="H52" s="895" t="s">
        <v>6438</v>
      </c>
      <c r="I52" s="895" t="s">
        <v>55</v>
      </c>
      <c r="J52" s="896">
        <v>44197.0</v>
      </c>
      <c r="K52" s="895" t="s">
        <v>865</v>
      </c>
      <c r="L52" s="897">
        <v>0.67</v>
      </c>
      <c r="M52" s="894"/>
      <c r="N52" s="895" t="s">
        <v>290</v>
      </c>
      <c r="O52" s="892" t="s">
        <v>123</v>
      </c>
      <c r="P52" s="892" t="s">
        <v>84</v>
      </c>
      <c r="Q52" s="895">
        <v>2006.0</v>
      </c>
      <c r="R52" s="895" t="s">
        <v>125</v>
      </c>
      <c r="S52" s="892" t="s">
        <v>384</v>
      </c>
      <c r="T52" s="892" t="s">
        <v>385</v>
      </c>
      <c r="U52" s="885" t="str">
        <f>IFERROR(VLOOKUP(N52,'Thông số'!$B:$F,5,0),"")</f>
        <v>4200 x 2980 x 2720</v>
      </c>
    </row>
    <row r="53" ht="14.25" customHeight="1">
      <c r="A53" s="891">
        <v>3.0</v>
      </c>
      <c r="B53" s="892" t="s">
        <v>386</v>
      </c>
      <c r="C53" s="892" t="s">
        <v>387</v>
      </c>
      <c r="D53" s="895" t="s">
        <v>1354</v>
      </c>
      <c r="E53" s="894"/>
      <c r="F53" s="892" t="s">
        <v>1354</v>
      </c>
      <c r="G53" s="892" t="s">
        <v>122</v>
      </c>
      <c r="H53" s="895" t="s">
        <v>6438</v>
      </c>
      <c r="I53" s="895" t="s">
        <v>55</v>
      </c>
      <c r="J53" s="896">
        <v>44197.0</v>
      </c>
      <c r="K53" s="895" t="s">
        <v>865</v>
      </c>
      <c r="L53" s="897">
        <v>0.6</v>
      </c>
      <c r="M53" s="894"/>
      <c r="N53" s="895" t="s">
        <v>290</v>
      </c>
      <c r="O53" s="892" t="s">
        <v>123</v>
      </c>
      <c r="P53" s="892" t="s">
        <v>84</v>
      </c>
      <c r="Q53" s="895">
        <v>2008.0</v>
      </c>
      <c r="R53" s="895" t="s">
        <v>125</v>
      </c>
      <c r="S53" s="892" t="s">
        <v>389</v>
      </c>
      <c r="T53" s="892" t="s">
        <v>390</v>
      </c>
      <c r="U53" s="885" t="str">
        <f>IFERROR(VLOOKUP(N53,'Thông số'!$B:$F,5,0),"")</f>
        <v>4200 x 2980 x 2720</v>
      </c>
    </row>
    <row r="54" ht="14.25" customHeight="1">
      <c r="A54" s="891">
        <v>4.0</v>
      </c>
      <c r="B54" s="892" t="s">
        <v>392</v>
      </c>
      <c r="C54" s="892" t="s">
        <v>393</v>
      </c>
      <c r="D54" s="895" t="s">
        <v>1425</v>
      </c>
      <c r="E54" s="894"/>
      <c r="F54" s="892" t="s">
        <v>1425</v>
      </c>
      <c r="G54" s="892" t="s">
        <v>395</v>
      </c>
      <c r="H54" s="895" t="s">
        <v>6439</v>
      </c>
      <c r="I54" s="895" t="s">
        <v>55</v>
      </c>
      <c r="J54" s="896">
        <v>44198.0</v>
      </c>
      <c r="K54" s="895" t="s">
        <v>865</v>
      </c>
      <c r="L54" s="897">
        <v>0.68</v>
      </c>
      <c r="M54" s="894"/>
      <c r="N54" s="895" t="s">
        <v>396</v>
      </c>
      <c r="O54" s="892" t="s">
        <v>123</v>
      </c>
      <c r="P54" s="892" t="s">
        <v>84</v>
      </c>
      <c r="Q54" s="895">
        <v>1995.0</v>
      </c>
      <c r="R54" s="895" t="s">
        <v>130</v>
      </c>
      <c r="S54" s="892" t="s">
        <v>397</v>
      </c>
      <c r="T54" s="892" t="s">
        <v>398</v>
      </c>
      <c r="U54" s="885" t="str">
        <f>IFERROR(VLOOKUP(N54,'Thông số'!$B:$F,5,0),"")</f>
        <v>5585 x 3000 x 3055</v>
      </c>
    </row>
    <row r="55" ht="14.25" customHeight="1">
      <c r="A55" s="898">
        <v>5.0</v>
      </c>
      <c r="B55" s="899" t="s">
        <v>399</v>
      </c>
      <c r="C55" s="899" t="s">
        <v>400</v>
      </c>
      <c r="D55" s="901" t="s">
        <v>1589</v>
      </c>
      <c r="E55" s="902"/>
      <c r="F55" s="899" t="s">
        <v>1589</v>
      </c>
      <c r="G55" s="899" t="s">
        <v>186</v>
      </c>
      <c r="H55" s="902"/>
      <c r="I55" s="901" t="s">
        <v>55</v>
      </c>
      <c r="J55" s="903">
        <v>44197.0</v>
      </c>
      <c r="K55" s="901" t="s">
        <v>1027</v>
      </c>
      <c r="L55" s="904">
        <v>0.6</v>
      </c>
      <c r="M55" s="902"/>
      <c r="N55" s="901" t="s">
        <v>188</v>
      </c>
      <c r="O55" s="899" t="s">
        <v>187</v>
      </c>
      <c r="P55" s="899" t="s">
        <v>84</v>
      </c>
      <c r="Q55" s="901">
        <v>2020.0</v>
      </c>
      <c r="R55" s="901" t="s">
        <v>189</v>
      </c>
      <c r="S55" s="899" t="s">
        <v>401</v>
      </c>
      <c r="T55" s="899">
        <v>133243.0</v>
      </c>
      <c r="U55" s="885" t="str">
        <f>IFERROR(VLOOKUP(N55,'Thông số'!$B:$F,5,0),"")</f>
        <v>5810 x 2300 x 2860</v>
      </c>
    </row>
    <row r="56" ht="14.25" customHeight="1">
      <c r="A56" s="898">
        <v>6.0</v>
      </c>
      <c r="B56" s="899" t="s">
        <v>402</v>
      </c>
      <c r="C56" s="899" t="s">
        <v>403</v>
      </c>
      <c r="D56" s="901" t="s">
        <v>1629</v>
      </c>
      <c r="E56" s="902"/>
      <c r="F56" s="899" t="s">
        <v>1629</v>
      </c>
      <c r="G56" s="899" t="s">
        <v>192</v>
      </c>
      <c r="H56" s="902"/>
      <c r="I56" s="901" t="s">
        <v>55</v>
      </c>
      <c r="J56" s="903">
        <v>44197.0</v>
      </c>
      <c r="K56" s="901" t="s">
        <v>1027</v>
      </c>
      <c r="L56" s="904">
        <v>0.6</v>
      </c>
      <c r="M56" s="902"/>
      <c r="N56" s="901" t="s">
        <v>404</v>
      </c>
      <c r="O56" s="899" t="s">
        <v>187</v>
      </c>
      <c r="P56" s="899" t="s">
        <v>84</v>
      </c>
      <c r="Q56" s="901">
        <v>2000.0</v>
      </c>
      <c r="R56" s="901" t="s">
        <v>195</v>
      </c>
      <c r="S56" s="899" t="s">
        <v>406</v>
      </c>
      <c r="T56" s="899" t="s">
        <v>407</v>
      </c>
      <c r="U56" s="885" t="str">
        <f>IFERROR(VLOOKUP(N56,'Thông số'!$B:$F,5,0),"")</f>
        <v>5020 x 2000 x 3115</v>
      </c>
    </row>
    <row r="57" ht="14.25" customHeight="1">
      <c r="A57" s="891">
        <v>7.0</v>
      </c>
      <c r="B57" s="892" t="s">
        <v>408</v>
      </c>
      <c r="C57" s="892" t="s">
        <v>409</v>
      </c>
      <c r="D57" s="895" t="s">
        <v>4606</v>
      </c>
      <c r="E57" s="894"/>
      <c r="F57" s="892" t="s">
        <v>4606</v>
      </c>
      <c r="G57" s="892" t="s">
        <v>410</v>
      </c>
      <c r="H57" s="894"/>
      <c r="I57" s="895" t="s">
        <v>55</v>
      </c>
      <c r="J57" s="896">
        <v>44197.0</v>
      </c>
      <c r="K57" s="895" t="s">
        <v>865</v>
      </c>
      <c r="L57" s="897">
        <v>0.68</v>
      </c>
      <c r="M57" s="894"/>
      <c r="N57" s="895" t="s">
        <v>412</v>
      </c>
      <c r="O57" s="892" t="s">
        <v>300</v>
      </c>
      <c r="P57" s="892" t="s">
        <v>148</v>
      </c>
      <c r="Q57" s="895">
        <v>2020.0</v>
      </c>
      <c r="R57" s="895" t="s">
        <v>413</v>
      </c>
      <c r="S57" s="892" t="s">
        <v>414</v>
      </c>
      <c r="T57" s="892" t="s">
        <v>415</v>
      </c>
      <c r="U57" s="885" t="str">
        <f>IFERROR(VLOOKUP(N57,'Thông số'!$B:$F,5,0),"")</f>
        <v>6160 x 2330 x 2750</v>
      </c>
    </row>
    <row r="58" ht="14.25" customHeight="1">
      <c r="A58" s="898">
        <v>8.0</v>
      </c>
      <c r="B58" s="899" t="s">
        <v>417</v>
      </c>
      <c r="C58" s="899" t="s">
        <v>418</v>
      </c>
      <c r="D58" s="901" t="s">
        <v>6495</v>
      </c>
      <c r="E58" s="902"/>
      <c r="F58" s="902"/>
      <c r="G58" s="899" t="s">
        <v>419</v>
      </c>
      <c r="H58" s="902"/>
      <c r="I58" s="901" t="s">
        <v>55</v>
      </c>
      <c r="J58" s="902"/>
      <c r="K58" s="901" t="s">
        <v>1027</v>
      </c>
      <c r="L58" s="902"/>
      <c r="M58" s="902"/>
      <c r="N58" s="901" t="s">
        <v>420</v>
      </c>
      <c r="O58" s="899" t="s">
        <v>300</v>
      </c>
      <c r="P58" s="899" t="s">
        <v>148</v>
      </c>
      <c r="Q58" s="901">
        <v>2020.0</v>
      </c>
      <c r="R58" s="901" t="s">
        <v>413</v>
      </c>
      <c r="S58" s="899" t="s">
        <v>421</v>
      </c>
      <c r="T58" s="899" t="s">
        <v>422</v>
      </c>
      <c r="U58" s="885" t="str">
        <f>IFERROR(VLOOKUP(N58,'Thông số'!$B:$F,5,0),"")</f>
        <v>6170 x 2330 x 2750</v>
      </c>
    </row>
    <row r="59" ht="14.25" customHeight="1">
      <c r="A59" s="898">
        <v>9.0</v>
      </c>
      <c r="B59" s="899" t="s">
        <v>2407</v>
      </c>
      <c r="C59" s="899" t="s">
        <v>6496</v>
      </c>
      <c r="D59" s="901" t="s">
        <v>2408</v>
      </c>
      <c r="E59" s="902"/>
      <c r="F59" s="899" t="s">
        <v>2408</v>
      </c>
      <c r="G59" s="899" t="s">
        <v>146</v>
      </c>
      <c r="H59" s="902"/>
      <c r="I59" s="901" t="s">
        <v>55</v>
      </c>
      <c r="J59" s="903">
        <v>44440.0</v>
      </c>
      <c r="K59" s="901" t="s">
        <v>1027</v>
      </c>
      <c r="L59" s="904">
        <v>0.7</v>
      </c>
      <c r="M59" s="902"/>
      <c r="N59" s="901" t="s">
        <v>149</v>
      </c>
      <c r="O59" s="899" t="s">
        <v>147</v>
      </c>
      <c r="P59" s="899" t="s">
        <v>148</v>
      </c>
      <c r="Q59" s="901">
        <v>2018.0</v>
      </c>
      <c r="R59" s="901" t="s">
        <v>150</v>
      </c>
      <c r="S59" s="899" t="s">
        <v>2410</v>
      </c>
      <c r="T59" s="899" t="s">
        <v>2411</v>
      </c>
      <c r="U59" s="885" t="str">
        <f>IFERROR(VLOOKUP(N59,'Thông số'!$B:$F,5,0),"")</f>
        <v>9290 x 2500 x 3370</v>
      </c>
    </row>
    <row r="60" ht="14.25" customHeight="1">
      <c r="A60" s="898">
        <v>10.0</v>
      </c>
      <c r="B60" s="899" t="s">
        <v>423</v>
      </c>
      <c r="C60" s="899" t="s">
        <v>424</v>
      </c>
      <c r="D60" s="901" t="s">
        <v>4551</v>
      </c>
      <c r="E60" s="902"/>
      <c r="F60" s="899" t="s">
        <v>4551</v>
      </c>
      <c r="G60" s="899" t="s">
        <v>146</v>
      </c>
      <c r="H60" s="902"/>
      <c r="I60" s="901" t="s">
        <v>55</v>
      </c>
      <c r="J60" s="903">
        <v>44440.0</v>
      </c>
      <c r="K60" s="901" t="s">
        <v>1027</v>
      </c>
      <c r="L60" s="904">
        <v>0.7</v>
      </c>
      <c r="M60" s="902"/>
      <c r="N60" s="901" t="s">
        <v>149</v>
      </c>
      <c r="O60" s="899" t="s">
        <v>147</v>
      </c>
      <c r="P60" s="899" t="s">
        <v>148</v>
      </c>
      <c r="Q60" s="901">
        <v>2018.0</v>
      </c>
      <c r="R60" s="901" t="s">
        <v>150</v>
      </c>
      <c r="S60" s="899" t="s">
        <v>425</v>
      </c>
      <c r="T60" s="899" t="s">
        <v>426</v>
      </c>
      <c r="U60" s="885" t="str">
        <f>IFERROR(VLOOKUP(N60,'Thông số'!$B:$F,5,0),"")</f>
        <v>9290 x 2500 x 3370</v>
      </c>
    </row>
    <row r="61" ht="14.25" customHeight="1">
      <c r="A61" s="898">
        <v>11.0</v>
      </c>
      <c r="B61" s="899" t="s">
        <v>631</v>
      </c>
      <c r="C61" s="905" t="s">
        <v>154</v>
      </c>
      <c r="D61" s="901" t="s">
        <v>632</v>
      </c>
      <c r="E61" s="901" t="s">
        <v>633</v>
      </c>
      <c r="F61" s="902"/>
      <c r="G61" s="899" t="s">
        <v>157</v>
      </c>
      <c r="H61" s="902"/>
      <c r="I61" s="901" t="s">
        <v>55</v>
      </c>
      <c r="J61" s="903">
        <v>45692.0</v>
      </c>
      <c r="K61" s="901" t="s">
        <v>1027</v>
      </c>
      <c r="L61" s="902"/>
      <c r="M61" s="906" t="s">
        <v>6497</v>
      </c>
      <c r="N61" s="901" t="s">
        <v>162</v>
      </c>
      <c r="O61" s="899" t="s">
        <v>161</v>
      </c>
      <c r="P61" s="899" t="s">
        <v>148</v>
      </c>
      <c r="Q61" s="901">
        <v>2022.0</v>
      </c>
      <c r="R61" s="901" t="s">
        <v>163</v>
      </c>
      <c r="S61" s="899" t="s">
        <v>635</v>
      </c>
      <c r="T61" s="899" t="s">
        <v>636</v>
      </c>
      <c r="U61" s="885" t="str">
        <f>IFERROR(VLOOKUP(N61,'Thông số'!$B:$F,5,0),"")</f>
        <v>7800 x 2500 x 3480</v>
      </c>
    </row>
    <row r="62" ht="14.25" customHeight="1">
      <c r="A62" s="898">
        <v>12.0</v>
      </c>
      <c r="B62" s="899" t="s">
        <v>427</v>
      </c>
      <c r="C62" s="905" t="s">
        <v>154</v>
      </c>
      <c r="D62" s="901" t="s">
        <v>428</v>
      </c>
      <c r="E62" s="901" t="s">
        <v>429</v>
      </c>
      <c r="F62" s="902"/>
      <c r="G62" s="899" t="s">
        <v>157</v>
      </c>
      <c r="H62" s="902"/>
      <c r="I62" s="901" t="s">
        <v>55</v>
      </c>
      <c r="J62" s="903">
        <v>45692.0</v>
      </c>
      <c r="K62" s="901" t="s">
        <v>1027</v>
      </c>
      <c r="L62" s="902"/>
      <c r="M62" s="906" t="s">
        <v>336</v>
      </c>
      <c r="N62" s="901" t="s">
        <v>162</v>
      </c>
      <c r="O62" s="899" t="s">
        <v>161</v>
      </c>
      <c r="P62" s="899" t="s">
        <v>148</v>
      </c>
      <c r="Q62" s="901">
        <v>2022.0</v>
      </c>
      <c r="R62" s="901" t="s">
        <v>163</v>
      </c>
      <c r="S62" s="899" t="s">
        <v>430</v>
      </c>
      <c r="T62" s="899" t="s">
        <v>431</v>
      </c>
      <c r="U62" s="885" t="str">
        <f>IFERROR(VLOOKUP(N62,'Thông số'!$B:$F,5,0),"")</f>
        <v>7800 x 2500 x 3480</v>
      </c>
    </row>
    <row r="63" ht="14.25" customHeight="1">
      <c r="A63" s="898">
        <v>13.0</v>
      </c>
      <c r="B63" s="899" t="s">
        <v>432</v>
      </c>
      <c r="C63" s="905" t="s">
        <v>154</v>
      </c>
      <c r="D63" s="901" t="s">
        <v>433</v>
      </c>
      <c r="E63" s="901" t="s">
        <v>434</v>
      </c>
      <c r="F63" s="902"/>
      <c r="G63" s="899" t="s">
        <v>157</v>
      </c>
      <c r="H63" s="902"/>
      <c r="I63" s="901" t="s">
        <v>55</v>
      </c>
      <c r="J63" s="903">
        <v>45692.0</v>
      </c>
      <c r="K63" s="901" t="s">
        <v>1027</v>
      </c>
      <c r="L63" s="902"/>
      <c r="M63" s="906" t="s">
        <v>336</v>
      </c>
      <c r="N63" s="901" t="s">
        <v>162</v>
      </c>
      <c r="O63" s="899" t="s">
        <v>161</v>
      </c>
      <c r="P63" s="899" t="s">
        <v>148</v>
      </c>
      <c r="Q63" s="901">
        <v>2022.0</v>
      </c>
      <c r="R63" s="901" t="s">
        <v>163</v>
      </c>
      <c r="S63" s="899" t="s">
        <v>435</v>
      </c>
      <c r="T63" s="899" t="s">
        <v>436</v>
      </c>
      <c r="U63" s="885" t="str">
        <f>IFERROR(VLOOKUP(N63,'Thông số'!$B:$F,5,0),"")</f>
        <v>7800 x 2500 x 3480</v>
      </c>
    </row>
    <row r="64" ht="14.25" customHeight="1">
      <c r="A64" s="891">
        <v>14.0</v>
      </c>
      <c r="B64" s="892" t="s">
        <v>152</v>
      </c>
      <c r="C64" s="892" t="s">
        <v>437</v>
      </c>
      <c r="D64" s="895" t="s">
        <v>159</v>
      </c>
      <c r="E64" s="894"/>
      <c r="F64" s="892" t="s">
        <v>159</v>
      </c>
      <c r="G64" s="892" t="s">
        <v>90</v>
      </c>
      <c r="H64" s="895" t="s">
        <v>6435</v>
      </c>
      <c r="I64" s="895" t="s">
        <v>55</v>
      </c>
      <c r="J64" s="896">
        <v>44197.0</v>
      </c>
      <c r="K64" s="895" t="s">
        <v>865</v>
      </c>
      <c r="L64" s="897">
        <v>0.67</v>
      </c>
      <c r="M64" s="894"/>
      <c r="N64" s="895" t="s">
        <v>111</v>
      </c>
      <c r="O64" s="892" t="s">
        <v>92</v>
      </c>
      <c r="P64" s="892" t="s">
        <v>84</v>
      </c>
      <c r="Q64" s="895">
        <v>2020.0</v>
      </c>
      <c r="R64" s="895" t="s">
        <v>94</v>
      </c>
      <c r="S64" s="892" t="s">
        <v>438</v>
      </c>
      <c r="T64" s="892">
        <v>800391.0</v>
      </c>
      <c r="U64" s="885" t="str">
        <f>IFERROR(VLOOKUP(N64,'Thông số'!$B:$F,5,0),"")</f>
        <v>9460 x 2800 x 3200</v>
      </c>
    </row>
    <row r="65" ht="14.25" customHeight="1">
      <c r="A65" s="898">
        <v>15.0</v>
      </c>
      <c r="B65" s="899" t="s">
        <v>439</v>
      </c>
      <c r="C65" s="899" t="s">
        <v>440</v>
      </c>
      <c r="D65" s="901" t="s">
        <v>601</v>
      </c>
      <c r="E65" s="902"/>
      <c r="F65" s="899" t="s">
        <v>601</v>
      </c>
      <c r="G65" s="899" t="s">
        <v>115</v>
      </c>
      <c r="H65" s="901" t="s">
        <v>6437</v>
      </c>
      <c r="I65" s="901" t="s">
        <v>55</v>
      </c>
      <c r="J65" s="903">
        <v>44197.0</v>
      </c>
      <c r="K65" s="901" t="s">
        <v>1027</v>
      </c>
      <c r="L65" s="904">
        <v>0.67</v>
      </c>
      <c r="M65" s="902"/>
      <c r="N65" s="901" t="s">
        <v>116</v>
      </c>
      <c r="O65" s="899" t="s">
        <v>92</v>
      </c>
      <c r="P65" s="899" t="s">
        <v>84</v>
      </c>
      <c r="Q65" s="901">
        <v>2019.0</v>
      </c>
      <c r="R65" s="901" t="s">
        <v>117</v>
      </c>
      <c r="S65" s="899" t="s">
        <v>441</v>
      </c>
      <c r="T65" s="899" t="s">
        <v>442</v>
      </c>
      <c r="U65" s="885" t="str">
        <f>IFERROR(VLOOKUP(N65,'Thông số'!$B:$F,5,0),"")</f>
        <v>7640 x 2590 x 2820</v>
      </c>
    </row>
    <row r="66" ht="14.25" customHeight="1">
      <c r="A66" s="898">
        <v>16.0</v>
      </c>
      <c r="B66" s="899" t="s">
        <v>289</v>
      </c>
      <c r="C66" s="899" t="s">
        <v>443</v>
      </c>
      <c r="D66" s="901" t="s">
        <v>298</v>
      </c>
      <c r="E66" s="902"/>
      <c r="F66" s="899" t="s">
        <v>298</v>
      </c>
      <c r="G66" s="899" t="s">
        <v>99</v>
      </c>
      <c r="H66" s="901" t="s">
        <v>6436</v>
      </c>
      <c r="I66" s="901" t="s">
        <v>55</v>
      </c>
      <c r="J66" s="903">
        <v>44197.0</v>
      </c>
      <c r="K66" s="901" t="s">
        <v>1027</v>
      </c>
      <c r="L66" s="904">
        <v>0.67</v>
      </c>
      <c r="M66" s="902"/>
      <c r="N66" s="901" t="s">
        <v>104</v>
      </c>
      <c r="O66" s="899" t="s">
        <v>102</v>
      </c>
      <c r="P66" s="899" t="s">
        <v>103</v>
      </c>
      <c r="Q66" s="901">
        <v>2020.0</v>
      </c>
      <c r="R66" s="901" t="s">
        <v>105</v>
      </c>
      <c r="S66" s="899" t="s">
        <v>445</v>
      </c>
      <c r="T66" s="899" t="s">
        <v>446</v>
      </c>
      <c r="U66" s="885" t="str">
        <f>IFERROR(VLOOKUP(N66,'Thông số'!$B:$F,5,0),"")</f>
        <v>7235 x 2496 x 3351</v>
      </c>
    </row>
    <row r="67" ht="14.25" customHeight="1">
      <c r="A67" s="891">
        <v>17.0</v>
      </c>
      <c r="B67" s="892" t="s">
        <v>322</v>
      </c>
      <c r="C67" s="892" t="s">
        <v>447</v>
      </c>
      <c r="D67" s="895" t="s">
        <v>329</v>
      </c>
      <c r="E67" s="894"/>
      <c r="F67" s="892" t="s">
        <v>329</v>
      </c>
      <c r="G67" s="892" t="s">
        <v>99</v>
      </c>
      <c r="H67" s="895" t="s">
        <v>6436</v>
      </c>
      <c r="I67" s="895" t="s">
        <v>55</v>
      </c>
      <c r="J67" s="896">
        <v>44197.0</v>
      </c>
      <c r="K67" s="895" t="s">
        <v>865</v>
      </c>
      <c r="L67" s="897">
        <v>0.67</v>
      </c>
      <c r="M67" s="894"/>
      <c r="N67" s="895" t="s">
        <v>104</v>
      </c>
      <c r="O67" s="892" t="s">
        <v>102</v>
      </c>
      <c r="P67" s="892" t="s">
        <v>103</v>
      </c>
      <c r="Q67" s="895">
        <v>2020.0</v>
      </c>
      <c r="R67" s="895" t="s">
        <v>105</v>
      </c>
      <c r="S67" s="892" t="s">
        <v>448</v>
      </c>
      <c r="T67" s="892" t="s">
        <v>449</v>
      </c>
      <c r="U67" s="885" t="str">
        <f>IFERROR(VLOOKUP(N67,'Thông số'!$B:$F,5,0),"")</f>
        <v>7235 x 2496 x 3351</v>
      </c>
    </row>
    <row r="68" ht="14.25" customHeight="1">
      <c r="A68" s="898">
        <v>18.0</v>
      </c>
      <c r="B68" s="899" t="s">
        <v>2031</v>
      </c>
      <c r="C68" s="905" t="s">
        <v>139</v>
      </c>
      <c r="D68" s="901" t="s">
        <v>2032</v>
      </c>
      <c r="E68" s="902"/>
      <c r="F68" s="902"/>
      <c r="G68" s="899" t="s">
        <v>485</v>
      </c>
      <c r="H68" s="901" t="s">
        <v>6498</v>
      </c>
      <c r="I68" s="901" t="s">
        <v>55</v>
      </c>
      <c r="J68" s="903">
        <v>45644.0</v>
      </c>
      <c r="K68" s="901" t="s">
        <v>1027</v>
      </c>
      <c r="L68" s="902"/>
      <c r="M68" s="906" t="s">
        <v>490</v>
      </c>
      <c r="N68" s="901" t="s">
        <v>2035</v>
      </c>
      <c r="O68" s="899" t="s">
        <v>1032</v>
      </c>
      <c r="P68" s="899" t="s">
        <v>103</v>
      </c>
      <c r="Q68" s="901">
        <v>2012.0</v>
      </c>
      <c r="R68" s="901" t="s">
        <v>105</v>
      </c>
      <c r="S68" s="899" t="s">
        <v>2036</v>
      </c>
      <c r="T68" s="899">
        <v>7.3390872E7</v>
      </c>
      <c r="U68" s="885" t="str">
        <f>IFERROR(VLOOKUP(N68,'Thông số'!$B:$F,5,0),"")</f>
        <v>7820 x 2500 x 3140</v>
      </c>
    </row>
    <row r="69" ht="14.25" customHeight="1">
      <c r="A69" s="891">
        <v>49.0</v>
      </c>
      <c r="B69" s="892" t="s">
        <v>1543</v>
      </c>
      <c r="C69" s="892" t="s">
        <v>139</v>
      </c>
      <c r="D69" s="895" t="s">
        <v>6499</v>
      </c>
      <c r="E69" s="894"/>
      <c r="F69" s="894"/>
      <c r="G69" s="892" t="s">
        <v>257</v>
      </c>
      <c r="H69" s="894"/>
      <c r="I69" s="895" t="s">
        <v>55</v>
      </c>
      <c r="J69" s="896">
        <v>45473.0</v>
      </c>
      <c r="K69" s="895" t="s">
        <v>865</v>
      </c>
      <c r="L69" s="894"/>
      <c r="M69" s="894"/>
      <c r="N69" s="895" t="s">
        <v>1545</v>
      </c>
      <c r="O69" s="892" t="s">
        <v>259</v>
      </c>
      <c r="P69" s="892" t="s">
        <v>84</v>
      </c>
      <c r="Q69" s="895">
        <v>2005.0</v>
      </c>
      <c r="R69" s="895" t="s">
        <v>1546</v>
      </c>
      <c r="S69" s="892" t="s">
        <v>1547</v>
      </c>
      <c r="T69" s="892" t="s">
        <v>1548</v>
      </c>
      <c r="U69" s="885" t="str">
        <f>IFERROR(VLOOKUP(N69,'Thông số'!$B:$F,5,0),"")</f>
        <v>3100 x 1400 x 1585</v>
      </c>
    </row>
    <row r="70" ht="14.25" customHeight="1">
      <c r="A70" s="891">
        <v>50.0</v>
      </c>
      <c r="B70" s="892" t="s">
        <v>859</v>
      </c>
      <c r="C70" s="892" t="s">
        <v>139</v>
      </c>
      <c r="D70" s="895" t="s">
        <v>6500</v>
      </c>
      <c r="E70" s="894"/>
      <c r="F70" s="894"/>
      <c r="G70" s="892" t="s">
        <v>219</v>
      </c>
      <c r="H70" s="895" t="s">
        <v>6449</v>
      </c>
      <c r="I70" s="895" t="s">
        <v>55</v>
      </c>
      <c r="J70" s="896">
        <v>45473.0</v>
      </c>
      <c r="K70" s="895" t="s">
        <v>865</v>
      </c>
      <c r="L70" s="894"/>
      <c r="M70" s="919" t="s">
        <v>6501</v>
      </c>
      <c r="N70" s="895" t="s">
        <v>237</v>
      </c>
      <c r="O70" s="892" t="s">
        <v>123</v>
      </c>
      <c r="P70" s="892" t="s">
        <v>84</v>
      </c>
      <c r="Q70" s="895">
        <v>2005.0</v>
      </c>
      <c r="R70" s="895" t="s">
        <v>1432</v>
      </c>
      <c r="S70" s="892" t="s">
        <v>1433</v>
      </c>
      <c r="T70" s="892">
        <v>27150.0</v>
      </c>
      <c r="U70" s="885" t="str">
        <f>IFERROR(VLOOKUP(N70,'Thông số'!$B:$F,5,0),"")</f>
        <v>5550 x 1960 x 2550</v>
      </c>
    </row>
    <row r="71" ht="14.25" customHeight="1">
      <c r="A71" s="891">
        <v>51.0</v>
      </c>
      <c r="B71" s="892" t="s">
        <v>450</v>
      </c>
      <c r="C71" s="892" t="s">
        <v>451</v>
      </c>
      <c r="D71" s="894"/>
      <c r="E71" s="894"/>
      <c r="F71" s="892" t="s">
        <v>1083</v>
      </c>
      <c r="G71" s="892" t="s">
        <v>452</v>
      </c>
      <c r="H71" s="895" t="s">
        <v>6449</v>
      </c>
      <c r="I71" s="895" t="s">
        <v>55</v>
      </c>
      <c r="J71" s="894"/>
      <c r="K71" s="895" t="s">
        <v>865</v>
      </c>
      <c r="L71" s="894"/>
      <c r="M71" s="919" t="s">
        <v>453</v>
      </c>
      <c r="N71" s="895" t="s">
        <v>455</v>
      </c>
      <c r="O71" s="892" t="s">
        <v>454</v>
      </c>
      <c r="P71" s="892" t="s">
        <v>84</v>
      </c>
      <c r="Q71" s="895">
        <v>2015.0</v>
      </c>
      <c r="R71" s="895" t="s">
        <v>456</v>
      </c>
      <c r="S71" s="892">
        <v>60432.0</v>
      </c>
      <c r="T71" s="892" t="s">
        <v>96</v>
      </c>
      <c r="U71" s="885" t="str">
        <f>IFERROR(VLOOKUP(N71,'Thông số'!$B:$F,5,0),"")</f>
        <v>4749 x 1700 x 2470</v>
      </c>
    </row>
    <row r="72" ht="14.25" customHeight="1">
      <c r="A72" s="898">
        <v>52.0</v>
      </c>
      <c r="B72" s="905" t="s">
        <v>907</v>
      </c>
      <c r="C72" s="905" t="s">
        <v>139</v>
      </c>
      <c r="D72" s="907" t="s">
        <v>6502</v>
      </c>
      <c r="E72" s="908"/>
      <c r="F72" s="908"/>
      <c r="G72" s="905" t="s">
        <v>219</v>
      </c>
      <c r="H72" s="901" t="s">
        <v>6449</v>
      </c>
      <c r="I72" s="907" t="s">
        <v>55</v>
      </c>
      <c r="J72" s="909">
        <v>45502.0</v>
      </c>
      <c r="K72" s="901" t="s">
        <v>1027</v>
      </c>
      <c r="L72" s="908"/>
      <c r="M72" s="917" t="s">
        <v>1291</v>
      </c>
      <c r="N72" s="907" t="s">
        <v>223</v>
      </c>
      <c r="O72" s="905" t="s">
        <v>123</v>
      </c>
      <c r="P72" s="905" t="s">
        <v>222</v>
      </c>
      <c r="Q72" s="907">
        <v>2015.0</v>
      </c>
      <c r="R72" s="907" t="s">
        <v>224</v>
      </c>
      <c r="S72" s="905" t="s">
        <v>1294</v>
      </c>
      <c r="T72" s="905">
        <v>35099.0</v>
      </c>
      <c r="U72" s="885" t="str">
        <f>IFERROR(VLOOKUP(N72,'Thông số'!$B:$F,5,0),"")</f>
        <v>5260 x 1760 x 2415</v>
      </c>
    </row>
    <row r="73" ht="14.25" customHeight="1">
      <c r="A73" s="898">
        <v>53.0</v>
      </c>
      <c r="B73" s="905" t="s">
        <v>933</v>
      </c>
      <c r="C73" s="905" t="s">
        <v>139</v>
      </c>
      <c r="D73" s="907" t="s">
        <v>6503</v>
      </c>
      <c r="E73" s="908"/>
      <c r="F73" s="908"/>
      <c r="G73" s="905" t="s">
        <v>219</v>
      </c>
      <c r="H73" s="901" t="s">
        <v>6449</v>
      </c>
      <c r="I73" s="907" t="s">
        <v>55</v>
      </c>
      <c r="J73" s="909">
        <v>45502.0</v>
      </c>
      <c r="K73" s="901" t="s">
        <v>1027</v>
      </c>
      <c r="L73" s="908"/>
      <c r="M73" s="917" t="s">
        <v>6504</v>
      </c>
      <c r="N73" s="907" t="s">
        <v>223</v>
      </c>
      <c r="O73" s="905" t="s">
        <v>123</v>
      </c>
      <c r="P73" s="905" t="s">
        <v>222</v>
      </c>
      <c r="Q73" s="907">
        <v>2015.0</v>
      </c>
      <c r="R73" s="907" t="s">
        <v>224</v>
      </c>
      <c r="S73" s="905" t="s">
        <v>1436</v>
      </c>
      <c r="T73" s="905">
        <v>20536.0</v>
      </c>
      <c r="U73" s="885" t="str">
        <f>IFERROR(VLOOKUP(N73,'Thông số'!$B:$F,5,0),"")</f>
        <v>5260 x 1760 x 2415</v>
      </c>
    </row>
    <row r="74" ht="14.25" customHeight="1">
      <c r="A74" s="891">
        <v>54.0</v>
      </c>
      <c r="B74" s="892" t="s">
        <v>457</v>
      </c>
      <c r="C74" s="892" t="s">
        <v>458</v>
      </c>
      <c r="D74" s="895" t="s">
        <v>6505</v>
      </c>
      <c r="E74" s="894"/>
      <c r="F74" s="894"/>
      <c r="G74" s="892" t="s">
        <v>219</v>
      </c>
      <c r="H74" s="895" t="s">
        <v>6449</v>
      </c>
      <c r="I74" s="895" t="s">
        <v>55</v>
      </c>
      <c r="J74" s="896">
        <v>45489.0</v>
      </c>
      <c r="K74" s="895" t="s">
        <v>865</v>
      </c>
      <c r="L74" s="894"/>
      <c r="M74" s="919" t="s">
        <v>460</v>
      </c>
      <c r="N74" s="895" t="s">
        <v>461</v>
      </c>
      <c r="O74" s="892" t="s">
        <v>123</v>
      </c>
      <c r="P74" s="892" t="s">
        <v>84</v>
      </c>
      <c r="Q74" s="895">
        <v>2006.0</v>
      </c>
      <c r="R74" s="895" t="s">
        <v>462</v>
      </c>
      <c r="S74" s="892">
        <v>9101.0</v>
      </c>
      <c r="T74" s="892" t="s">
        <v>96</v>
      </c>
      <c r="U74" s="885" t="str">
        <f>IFERROR(VLOOKUP(N74,'Thông số'!$B:$F,5,0),"")</f>
        <v>5260 x 1760 x 2415</v>
      </c>
    </row>
    <row r="75" ht="14.25" customHeight="1">
      <c r="A75" s="898">
        <v>55.0</v>
      </c>
      <c r="B75" s="899" t="s">
        <v>463</v>
      </c>
      <c r="C75" s="899" t="s">
        <v>154</v>
      </c>
      <c r="D75" s="901" t="s">
        <v>464</v>
      </c>
      <c r="E75" s="901" t="s">
        <v>465</v>
      </c>
      <c r="F75" s="902"/>
      <c r="G75" s="905" t="s">
        <v>297</v>
      </c>
      <c r="H75" s="902"/>
      <c r="I75" s="901" t="s">
        <v>55</v>
      </c>
      <c r="J75" s="903">
        <v>45723.0</v>
      </c>
      <c r="K75" s="901" t="s">
        <v>1027</v>
      </c>
      <c r="L75" s="902"/>
      <c r="M75" s="917" t="s">
        <v>299</v>
      </c>
      <c r="N75" s="901" t="s">
        <v>307</v>
      </c>
      <c r="O75" s="899" t="s">
        <v>466</v>
      </c>
      <c r="P75" s="899" t="s">
        <v>148</v>
      </c>
      <c r="Q75" s="901">
        <v>2024.0</v>
      </c>
      <c r="R75" s="901" t="s">
        <v>278</v>
      </c>
      <c r="S75" s="899" t="s">
        <v>467</v>
      </c>
      <c r="T75" s="899" t="s">
        <v>468</v>
      </c>
      <c r="U75" s="885" t="str">
        <f>IFERROR(VLOOKUP(N75,'Thông số'!$B:$F,5,0),"")</f>
        <v>6160 x 2330 x 2760</v>
      </c>
    </row>
    <row r="76" ht="14.25" customHeight="1">
      <c r="A76" s="898">
        <v>56.0</v>
      </c>
      <c r="B76" s="899" t="s">
        <v>469</v>
      </c>
      <c r="C76" s="899" t="s">
        <v>154</v>
      </c>
      <c r="D76" s="901" t="s">
        <v>470</v>
      </c>
      <c r="E76" s="901" t="s">
        <v>471</v>
      </c>
      <c r="F76" s="902"/>
      <c r="G76" s="905" t="s">
        <v>297</v>
      </c>
      <c r="H76" s="902"/>
      <c r="I76" s="901" t="s">
        <v>55</v>
      </c>
      <c r="J76" s="903">
        <v>45723.0</v>
      </c>
      <c r="K76" s="901" t="s">
        <v>1027</v>
      </c>
      <c r="L76" s="902"/>
      <c r="M76" s="917" t="s">
        <v>299</v>
      </c>
      <c r="N76" s="901" t="s">
        <v>307</v>
      </c>
      <c r="O76" s="899" t="s">
        <v>466</v>
      </c>
      <c r="P76" s="899" t="s">
        <v>148</v>
      </c>
      <c r="Q76" s="901">
        <v>2024.0</v>
      </c>
      <c r="R76" s="901" t="s">
        <v>278</v>
      </c>
      <c r="S76" s="899" t="s">
        <v>472</v>
      </c>
      <c r="T76" s="899" t="s">
        <v>473</v>
      </c>
      <c r="U76" s="885" t="str">
        <f>IFERROR(VLOOKUP(N76,'Thông số'!$B:$F,5,0),"")</f>
        <v>6160 x 2330 x 2760</v>
      </c>
    </row>
    <row r="77" ht="14.25" customHeight="1">
      <c r="A77" s="898">
        <v>57.0</v>
      </c>
      <c r="B77" s="899" t="s">
        <v>474</v>
      </c>
      <c r="C77" s="899" t="s">
        <v>154</v>
      </c>
      <c r="D77" s="901" t="s">
        <v>475</v>
      </c>
      <c r="E77" s="902"/>
      <c r="F77" s="902"/>
      <c r="G77" s="905" t="s">
        <v>312</v>
      </c>
      <c r="H77" s="902"/>
      <c r="I77" s="901" t="s">
        <v>55</v>
      </c>
      <c r="J77" s="909">
        <v>45806.0</v>
      </c>
      <c r="K77" s="901" t="s">
        <v>1027</v>
      </c>
      <c r="L77" s="902"/>
      <c r="M77" s="917" t="s">
        <v>314</v>
      </c>
      <c r="N77" s="901" t="s">
        <v>315</v>
      </c>
      <c r="O77" s="899" t="s">
        <v>466</v>
      </c>
      <c r="P77" s="899" t="s">
        <v>148</v>
      </c>
      <c r="Q77" s="901">
        <v>2024.0</v>
      </c>
      <c r="R77" s="901" t="s">
        <v>278</v>
      </c>
      <c r="S77" s="899" t="s">
        <v>476</v>
      </c>
      <c r="T77" s="899" t="s">
        <v>477</v>
      </c>
      <c r="U77" s="885" t="str">
        <f>IFERROR(VLOOKUP(N77,'Thông số'!$B:$F,5,0),"")</f>
        <v>6160 x 2330 x 2760</v>
      </c>
    </row>
    <row r="78" ht="14.25" customHeight="1">
      <c r="A78" s="898">
        <v>58.0</v>
      </c>
      <c r="B78" s="899" t="s">
        <v>478</v>
      </c>
      <c r="C78" s="899" t="s">
        <v>154</v>
      </c>
      <c r="D78" s="901" t="s">
        <v>479</v>
      </c>
      <c r="E78" s="902"/>
      <c r="F78" s="902"/>
      <c r="G78" s="905" t="s">
        <v>312</v>
      </c>
      <c r="H78" s="902"/>
      <c r="I78" s="901" t="s">
        <v>55</v>
      </c>
      <c r="J78" s="909">
        <v>45806.0</v>
      </c>
      <c r="K78" s="901" t="s">
        <v>1027</v>
      </c>
      <c r="L78" s="902"/>
      <c r="M78" s="917" t="s">
        <v>314</v>
      </c>
      <c r="N78" s="901" t="s">
        <v>315</v>
      </c>
      <c r="O78" s="899" t="s">
        <v>466</v>
      </c>
      <c r="P78" s="899" t="s">
        <v>148</v>
      </c>
      <c r="Q78" s="901">
        <v>2024.0</v>
      </c>
      <c r="R78" s="901" t="s">
        <v>278</v>
      </c>
      <c r="S78" s="899" t="s">
        <v>481</v>
      </c>
      <c r="T78" s="899" t="s">
        <v>482</v>
      </c>
      <c r="U78" s="885" t="str">
        <f>IFERROR(VLOOKUP(N78,'Thông số'!$B:$F,5,0),"")</f>
        <v>6160 x 2330 x 2760</v>
      </c>
    </row>
    <row r="79" ht="14.25" customHeight="1">
      <c r="A79" s="898">
        <v>59.0</v>
      </c>
      <c r="B79" s="899" t="s">
        <v>483</v>
      </c>
      <c r="C79" s="899" t="s">
        <v>154</v>
      </c>
      <c r="D79" s="901" t="s">
        <v>484</v>
      </c>
      <c r="E79" s="902"/>
      <c r="F79" s="902"/>
      <c r="G79" s="905" t="s">
        <v>312</v>
      </c>
      <c r="H79" s="902"/>
      <c r="I79" s="901" t="s">
        <v>55</v>
      </c>
      <c r="J79" s="909">
        <v>45806.0</v>
      </c>
      <c r="K79" s="901" t="s">
        <v>1027</v>
      </c>
      <c r="L79" s="902"/>
      <c r="M79" s="917" t="s">
        <v>314</v>
      </c>
      <c r="N79" s="901" t="s">
        <v>315</v>
      </c>
      <c r="O79" s="899" t="s">
        <v>466</v>
      </c>
      <c r="P79" s="899" t="s">
        <v>148</v>
      </c>
      <c r="Q79" s="901">
        <v>2024.0</v>
      </c>
      <c r="R79" s="901" t="s">
        <v>278</v>
      </c>
      <c r="S79" s="899" t="s">
        <v>486</v>
      </c>
      <c r="T79" s="899" t="s">
        <v>487</v>
      </c>
      <c r="U79" s="885" t="str">
        <f>IFERROR(VLOOKUP(N79,'Thông số'!$B:$F,5,0),"")</f>
        <v>6160 x 2330 x 2760</v>
      </c>
    </row>
    <row r="80" ht="14.25" customHeight="1">
      <c r="A80" s="898">
        <v>60.0</v>
      </c>
      <c r="B80" s="899" t="s">
        <v>488</v>
      </c>
      <c r="C80" s="905" t="s">
        <v>139</v>
      </c>
      <c r="D80" s="901" t="s">
        <v>489</v>
      </c>
      <c r="E80" s="902"/>
      <c r="F80" s="902"/>
      <c r="G80" s="905" t="s">
        <v>282</v>
      </c>
      <c r="H80" s="901" t="s">
        <v>6475</v>
      </c>
      <c r="I80" s="901" t="s">
        <v>55</v>
      </c>
      <c r="J80" s="909">
        <v>45811.0</v>
      </c>
      <c r="K80" s="901" t="s">
        <v>1027</v>
      </c>
      <c r="L80" s="902"/>
      <c r="M80" s="906" t="s">
        <v>490</v>
      </c>
      <c r="N80" s="901" t="s">
        <v>491</v>
      </c>
      <c r="O80" s="899" t="s">
        <v>123</v>
      </c>
      <c r="P80" s="899" t="s">
        <v>84</v>
      </c>
      <c r="Q80" s="901">
        <v>2010.0</v>
      </c>
      <c r="R80" s="901" t="s">
        <v>6506</v>
      </c>
      <c r="S80" s="899" t="s">
        <v>492</v>
      </c>
      <c r="T80" s="899" t="s">
        <v>493</v>
      </c>
      <c r="U80" s="885" t="str">
        <f>IFERROR(VLOOKUP(N80,'Thông số'!$B:$F,5,0),"")</f>
        <v>9425 x 2800 x 2970</v>
      </c>
    </row>
    <row r="81" ht="14.25" customHeight="1">
      <c r="A81" s="898">
        <v>61.0</v>
      </c>
      <c r="B81" s="899" t="s">
        <v>1295</v>
      </c>
      <c r="C81" s="905" t="s">
        <v>139</v>
      </c>
      <c r="D81" s="901" t="s">
        <v>1296</v>
      </c>
      <c r="E81" s="902"/>
      <c r="F81" s="902"/>
      <c r="G81" s="905" t="s">
        <v>496</v>
      </c>
      <c r="H81" s="902"/>
      <c r="I81" s="901" t="s">
        <v>55</v>
      </c>
      <c r="J81" s="909">
        <v>45811.0</v>
      </c>
      <c r="K81" s="901" t="s">
        <v>1027</v>
      </c>
      <c r="L81" s="902"/>
      <c r="M81" s="906" t="s">
        <v>490</v>
      </c>
      <c r="N81" s="901" t="s">
        <v>1298</v>
      </c>
      <c r="O81" s="899" t="s">
        <v>187</v>
      </c>
      <c r="P81" s="899" t="s">
        <v>84</v>
      </c>
      <c r="Q81" s="901">
        <v>1998.0</v>
      </c>
      <c r="R81" s="901" t="s">
        <v>6507</v>
      </c>
      <c r="S81" s="899" t="s">
        <v>1300</v>
      </c>
      <c r="T81" s="899">
        <v>256182.0</v>
      </c>
      <c r="U81" s="885" t="str">
        <f>IFERROR(VLOOKUP(N81,'Thông số'!$B:$F,5,0),"")</f>
        <v>2625 x 1290 x 1570</v>
      </c>
    </row>
    <row r="82" ht="14.25" customHeight="1">
      <c r="A82" s="898">
        <v>62.0</v>
      </c>
      <c r="B82" s="899" t="s">
        <v>494</v>
      </c>
      <c r="C82" s="905" t="s">
        <v>139</v>
      </c>
      <c r="D82" s="901" t="s">
        <v>495</v>
      </c>
      <c r="E82" s="902"/>
      <c r="F82" s="902"/>
      <c r="G82" s="905" t="s">
        <v>496</v>
      </c>
      <c r="H82" s="902"/>
      <c r="I82" s="901" t="s">
        <v>55</v>
      </c>
      <c r="J82" s="909">
        <v>45864.0</v>
      </c>
      <c r="K82" s="901" t="s">
        <v>1027</v>
      </c>
      <c r="L82" s="902"/>
      <c r="M82" s="906" t="s">
        <v>490</v>
      </c>
      <c r="N82" s="901" t="s">
        <v>498</v>
      </c>
      <c r="O82" s="899" t="s">
        <v>187</v>
      </c>
      <c r="P82" s="899" t="s">
        <v>84</v>
      </c>
      <c r="Q82" s="901">
        <v>2004.0</v>
      </c>
      <c r="R82" s="901" t="s">
        <v>6508</v>
      </c>
      <c r="S82" s="899" t="s">
        <v>499</v>
      </c>
      <c r="T82" s="899">
        <v>166376.0</v>
      </c>
      <c r="U82" s="885" t="str">
        <f>IFERROR(VLOOKUP(N82,'Thông số'!$B:$F,5,0),"")</f>
        <v>3105 x 1390 x 1700</v>
      </c>
    </row>
    <row r="83" ht="14.25" customHeight="1">
      <c r="A83" s="898">
        <v>63.0</v>
      </c>
      <c r="B83" s="899" t="s">
        <v>388</v>
      </c>
      <c r="C83" s="905" t="s">
        <v>139</v>
      </c>
      <c r="D83" s="901" t="s">
        <v>500</v>
      </c>
      <c r="E83" s="902"/>
      <c r="F83" s="902"/>
      <c r="G83" s="905" t="s">
        <v>501</v>
      </c>
      <c r="H83" s="901" t="s">
        <v>6470</v>
      </c>
      <c r="I83" s="901" t="s">
        <v>55</v>
      </c>
      <c r="J83" s="909">
        <v>45865.0</v>
      </c>
      <c r="K83" s="901" t="s">
        <v>1027</v>
      </c>
      <c r="L83" s="902"/>
      <c r="M83" s="906" t="s">
        <v>490</v>
      </c>
      <c r="N83" s="901" t="s">
        <v>503</v>
      </c>
      <c r="O83" s="899" t="s">
        <v>123</v>
      </c>
      <c r="P83" s="899" t="s">
        <v>84</v>
      </c>
      <c r="Q83" s="901">
        <v>1990.0</v>
      </c>
      <c r="R83" s="901" t="s">
        <v>504</v>
      </c>
      <c r="S83" s="899" t="s">
        <v>505</v>
      </c>
      <c r="T83" s="899" t="s">
        <v>506</v>
      </c>
      <c r="U83" s="885" t="str">
        <f>IFERROR(VLOOKUP(N83,'Thông số'!$B:$F,5,0),"")</f>
        <v>9660 x 2550 x 3985</v>
      </c>
    </row>
    <row r="84" ht="14.25" customHeight="1">
      <c r="A84" s="898">
        <v>64.0</v>
      </c>
      <c r="B84" s="899" t="s">
        <v>507</v>
      </c>
      <c r="C84" s="905" t="s">
        <v>139</v>
      </c>
      <c r="D84" s="901" t="s">
        <v>508</v>
      </c>
      <c r="E84" s="902"/>
      <c r="F84" s="902"/>
      <c r="G84" s="905" t="s">
        <v>509</v>
      </c>
      <c r="H84" s="901" t="s">
        <v>6438</v>
      </c>
      <c r="I84" s="901" t="s">
        <v>55</v>
      </c>
      <c r="J84" s="909">
        <v>45864.0</v>
      </c>
      <c r="K84" s="901" t="s">
        <v>1027</v>
      </c>
      <c r="L84" s="902"/>
      <c r="M84" s="906" t="s">
        <v>490</v>
      </c>
      <c r="N84" s="901" t="s">
        <v>290</v>
      </c>
      <c r="O84" s="899" t="s">
        <v>123</v>
      </c>
      <c r="P84" s="899" t="s">
        <v>510</v>
      </c>
      <c r="Q84" s="901">
        <v>2006.0</v>
      </c>
      <c r="R84" s="901" t="s">
        <v>6509</v>
      </c>
      <c r="S84" s="899" t="s">
        <v>512</v>
      </c>
      <c r="T84" s="899" t="s">
        <v>513</v>
      </c>
      <c r="U84" s="885" t="str">
        <f>IFERROR(VLOOKUP(N84,'Thông số'!$B:$F,5,0),"")</f>
        <v>4200 x 2980 x 2720</v>
      </c>
    </row>
    <row r="85" ht="14.25" customHeight="1">
      <c r="A85" s="886" t="s">
        <v>515</v>
      </c>
      <c r="B85" s="887" t="s">
        <v>516</v>
      </c>
      <c r="C85" s="889">
        <v>32.0</v>
      </c>
      <c r="D85" s="890"/>
      <c r="E85" s="890"/>
      <c r="F85" s="890"/>
      <c r="G85" s="890"/>
      <c r="H85" s="902"/>
      <c r="I85" s="890"/>
      <c r="J85" s="890"/>
      <c r="K85" s="890"/>
      <c r="L85" s="890"/>
      <c r="M85" s="890"/>
      <c r="N85" s="890"/>
      <c r="O85" s="890"/>
      <c r="P85" s="890"/>
      <c r="Q85" s="890"/>
      <c r="R85" s="890"/>
      <c r="S85" s="890"/>
      <c r="T85" s="890"/>
      <c r="U85" s="885" t="str">
        <f>IFERROR(VLOOKUP(N85,'Thông số'!$B:$F,5,0),"")</f>
        <v/>
      </c>
    </row>
    <row r="86" ht="14.25" customHeight="1">
      <c r="A86" s="898">
        <v>1.0</v>
      </c>
      <c r="B86" s="899" t="s">
        <v>517</v>
      </c>
      <c r="C86" s="899" t="s">
        <v>517</v>
      </c>
      <c r="D86" s="901" t="s">
        <v>1886</v>
      </c>
      <c r="E86" s="902"/>
      <c r="F86" s="899" t="s">
        <v>1886</v>
      </c>
      <c r="G86" s="899" t="s">
        <v>207</v>
      </c>
      <c r="H86" s="902"/>
      <c r="I86" s="901" t="s">
        <v>59</v>
      </c>
      <c r="J86" s="903">
        <v>43841.0</v>
      </c>
      <c r="K86" s="901" t="s">
        <v>1027</v>
      </c>
      <c r="L86" s="904">
        <v>0.66</v>
      </c>
      <c r="M86" s="902"/>
      <c r="N86" s="901" t="s">
        <v>208</v>
      </c>
      <c r="O86" s="899" t="s">
        <v>123</v>
      </c>
      <c r="P86" s="899" t="s">
        <v>84</v>
      </c>
      <c r="Q86" s="901">
        <v>1995.0</v>
      </c>
      <c r="R86" s="901" t="s">
        <v>209</v>
      </c>
      <c r="S86" s="899" t="s">
        <v>518</v>
      </c>
      <c r="T86" s="899" t="s">
        <v>519</v>
      </c>
      <c r="U86" s="885" t="str">
        <f>IFERROR(VLOOKUP(N86,'Thông số'!$B:$F,5,0),"")</f>
        <v>8420 x 2375 x 3240</v>
      </c>
    </row>
    <row r="87" ht="14.25" customHeight="1">
      <c r="A87" s="891">
        <v>2.0</v>
      </c>
      <c r="B87" s="892" t="s">
        <v>520</v>
      </c>
      <c r="C87" s="892" t="s">
        <v>520</v>
      </c>
      <c r="D87" s="895" t="s">
        <v>1304</v>
      </c>
      <c r="E87" s="894"/>
      <c r="F87" s="892" t="s">
        <v>1304</v>
      </c>
      <c r="G87" s="892" t="s">
        <v>122</v>
      </c>
      <c r="H87" s="895" t="s">
        <v>6438</v>
      </c>
      <c r="I87" s="895" t="s">
        <v>59</v>
      </c>
      <c r="J87" s="896">
        <v>44136.0</v>
      </c>
      <c r="K87" s="895" t="s">
        <v>865</v>
      </c>
      <c r="L87" s="897">
        <v>0.5</v>
      </c>
      <c r="M87" s="919" t="s">
        <v>521</v>
      </c>
      <c r="N87" s="895" t="s">
        <v>124</v>
      </c>
      <c r="O87" s="892" t="s">
        <v>123</v>
      </c>
      <c r="P87" s="892" t="s">
        <v>84</v>
      </c>
      <c r="Q87" s="895">
        <v>2005.0</v>
      </c>
      <c r="R87" s="895" t="s">
        <v>125</v>
      </c>
      <c r="S87" s="892" t="s">
        <v>522</v>
      </c>
      <c r="T87" s="892" t="s">
        <v>523</v>
      </c>
      <c r="U87" s="885" t="str">
        <f>IFERROR(VLOOKUP(N87,'Thông số'!$B:$F,5,0),"")</f>
        <v>4200 x 2980 x 2720</v>
      </c>
    </row>
    <row r="88" ht="14.25" customHeight="1">
      <c r="A88" s="898">
        <v>3.0</v>
      </c>
      <c r="B88" s="899" t="s">
        <v>524</v>
      </c>
      <c r="C88" s="899" t="s">
        <v>524</v>
      </c>
      <c r="D88" s="901" t="s">
        <v>1320</v>
      </c>
      <c r="E88" s="902"/>
      <c r="F88" s="899" t="s">
        <v>1320</v>
      </c>
      <c r="G88" s="899" t="s">
        <v>122</v>
      </c>
      <c r="H88" s="901" t="s">
        <v>6438</v>
      </c>
      <c r="I88" s="901" t="s">
        <v>59</v>
      </c>
      <c r="J88" s="903">
        <v>44136.0</v>
      </c>
      <c r="K88" s="901" t="s">
        <v>1027</v>
      </c>
      <c r="L88" s="904">
        <v>0.5</v>
      </c>
      <c r="M88" s="902"/>
      <c r="N88" s="901" t="s">
        <v>124</v>
      </c>
      <c r="O88" s="899" t="s">
        <v>123</v>
      </c>
      <c r="P88" s="899" t="s">
        <v>84</v>
      </c>
      <c r="Q88" s="901">
        <v>2004.0</v>
      </c>
      <c r="R88" s="901" t="s">
        <v>125</v>
      </c>
      <c r="S88" s="899" t="s">
        <v>526</v>
      </c>
      <c r="T88" s="899" t="s">
        <v>527</v>
      </c>
      <c r="U88" s="885" t="str">
        <f>IFERROR(VLOOKUP(N88,'Thông số'!$B:$F,5,0),"")</f>
        <v>4200 x 2980 x 2720</v>
      </c>
    </row>
    <row r="89" ht="14.25" customHeight="1">
      <c r="A89" s="891">
        <v>4.0</v>
      </c>
      <c r="B89" s="892" t="s">
        <v>528</v>
      </c>
      <c r="C89" s="892" t="s">
        <v>528</v>
      </c>
      <c r="D89" s="895" t="s">
        <v>1471</v>
      </c>
      <c r="E89" s="894"/>
      <c r="F89" s="892" t="s">
        <v>1471</v>
      </c>
      <c r="G89" s="892" t="s">
        <v>529</v>
      </c>
      <c r="H89" s="895" t="s">
        <v>6439</v>
      </c>
      <c r="I89" s="895" t="s">
        <v>59</v>
      </c>
      <c r="J89" s="896">
        <v>44136.0</v>
      </c>
      <c r="K89" s="895" t="s">
        <v>865</v>
      </c>
      <c r="L89" s="897">
        <v>0.66</v>
      </c>
      <c r="M89" s="894"/>
      <c r="N89" s="895" t="s">
        <v>530</v>
      </c>
      <c r="O89" s="892" t="s">
        <v>123</v>
      </c>
      <c r="P89" s="892" t="s">
        <v>84</v>
      </c>
      <c r="Q89" s="895">
        <v>1996.0</v>
      </c>
      <c r="R89" s="895" t="s">
        <v>531</v>
      </c>
      <c r="S89" s="892" t="s">
        <v>532</v>
      </c>
      <c r="T89" s="892" t="s">
        <v>533</v>
      </c>
      <c r="U89" s="885" t="str">
        <f>IFERROR(VLOOKUP(N89,'Thông số'!$B:$F,5,0),"")</f>
        <v>5550 x 3970 x 3090</v>
      </c>
    </row>
    <row r="90" ht="14.25" customHeight="1">
      <c r="A90" s="891">
        <v>5.0</v>
      </c>
      <c r="B90" s="892" t="s">
        <v>534</v>
      </c>
      <c r="C90" s="892" t="s">
        <v>534</v>
      </c>
      <c r="D90" s="895" t="s">
        <v>1372</v>
      </c>
      <c r="E90" s="894"/>
      <c r="F90" s="892" t="s">
        <v>1372</v>
      </c>
      <c r="G90" s="892" t="s">
        <v>122</v>
      </c>
      <c r="H90" s="895" t="s">
        <v>6438</v>
      </c>
      <c r="I90" s="895" t="s">
        <v>59</v>
      </c>
      <c r="J90" s="896">
        <v>44228.0</v>
      </c>
      <c r="K90" s="895" t="s">
        <v>865</v>
      </c>
      <c r="L90" s="897">
        <v>0.68</v>
      </c>
      <c r="M90" s="894"/>
      <c r="N90" s="895" t="s">
        <v>290</v>
      </c>
      <c r="O90" s="892" t="s">
        <v>123</v>
      </c>
      <c r="P90" s="892" t="s">
        <v>84</v>
      </c>
      <c r="Q90" s="895">
        <v>2006.0</v>
      </c>
      <c r="R90" s="895" t="s">
        <v>262</v>
      </c>
      <c r="S90" s="892" t="s">
        <v>535</v>
      </c>
      <c r="T90" s="892" t="s">
        <v>536</v>
      </c>
      <c r="U90" s="885" t="str">
        <f>IFERROR(VLOOKUP(N90,'Thông số'!$B:$F,5,0),"")</f>
        <v>4200 x 2980 x 2720</v>
      </c>
    </row>
    <row r="91" ht="14.25" customHeight="1">
      <c r="A91" s="898">
        <v>6.0</v>
      </c>
      <c r="B91" s="905" t="s">
        <v>537</v>
      </c>
      <c r="C91" s="905" t="s">
        <v>139</v>
      </c>
      <c r="D91" s="907" t="s">
        <v>538</v>
      </c>
      <c r="E91" s="908"/>
      <c r="F91" s="908"/>
      <c r="G91" s="905" t="s">
        <v>122</v>
      </c>
      <c r="H91" s="901" t="s">
        <v>6438</v>
      </c>
      <c r="I91" s="901" t="s">
        <v>59</v>
      </c>
      <c r="J91" s="909">
        <v>45699.0</v>
      </c>
      <c r="K91" s="901" t="s">
        <v>1027</v>
      </c>
      <c r="L91" s="908"/>
      <c r="M91" s="917" t="s">
        <v>539</v>
      </c>
      <c r="N91" s="907" t="s">
        <v>290</v>
      </c>
      <c r="O91" s="905" t="s">
        <v>123</v>
      </c>
      <c r="P91" s="899" t="s">
        <v>84</v>
      </c>
      <c r="Q91" s="907">
        <v>2006.0</v>
      </c>
      <c r="R91" s="907" t="s">
        <v>6477</v>
      </c>
      <c r="S91" s="905" t="s">
        <v>540</v>
      </c>
      <c r="T91" s="905" t="s">
        <v>541</v>
      </c>
      <c r="U91" s="885" t="str">
        <f>IFERROR(VLOOKUP(N91,'Thông số'!$B:$F,5,0),"")</f>
        <v>4200 x 2980 x 2720</v>
      </c>
    </row>
    <row r="92" ht="14.25" customHeight="1">
      <c r="A92" s="891">
        <v>7.0</v>
      </c>
      <c r="B92" s="892" t="s">
        <v>551</v>
      </c>
      <c r="C92" s="892" t="s">
        <v>551</v>
      </c>
      <c r="D92" s="895" t="s">
        <v>1656</v>
      </c>
      <c r="E92" s="894"/>
      <c r="F92" s="892" t="s">
        <v>1656</v>
      </c>
      <c r="G92" s="892" t="s">
        <v>192</v>
      </c>
      <c r="H92" s="894"/>
      <c r="I92" s="895" t="s">
        <v>59</v>
      </c>
      <c r="J92" s="896">
        <v>43841.0</v>
      </c>
      <c r="K92" s="895" t="s">
        <v>865</v>
      </c>
      <c r="L92" s="897">
        <v>0.66</v>
      </c>
      <c r="M92" s="930"/>
      <c r="N92" s="895" t="s">
        <v>552</v>
      </c>
      <c r="O92" s="892" t="s">
        <v>187</v>
      </c>
      <c r="P92" s="892" t="s">
        <v>84</v>
      </c>
      <c r="Q92" s="895">
        <v>1997.0</v>
      </c>
      <c r="R92" s="895" t="s">
        <v>195</v>
      </c>
      <c r="S92" s="892" t="s">
        <v>553</v>
      </c>
      <c r="T92" s="892" t="s">
        <v>554</v>
      </c>
      <c r="U92" s="885" t="str">
        <f>IFERROR(VLOOKUP(N92,'Thông số'!$B:$F,5,0),"")</f>
        <v>5020 x 2000 x 3115</v>
      </c>
    </row>
    <row r="93" ht="14.25" customHeight="1">
      <c r="A93" s="898">
        <v>8.0</v>
      </c>
      <c r="B93" s="899" t="s">
        <v>555</v>
      </c>
      <c r="C93" s="899" t="s">
        <v>555</v>
      </c>
      <c r="D93" s="901" t="s">
        <v>1604</v>
      </c>
      <c r="E93" s="902"/>
      <c r="F93" s="899" t="s">
        <v>1604</v>
      </c>
      <c r="G93" s="899" t="s">
        <v>186</v>
      </c>
      <c r="H93" s="902"/>
      <c r="I93" s="901" t="s">
        <v>59</v>
      </c>
      <c r="J93" s="903">
        <v>44200.0</v>
      </c>
      <c r="K93" s="901" t="s">
        <v>1027</v>
      </c>
      <c r="L93" s="904">
        <v>0.7</v>
      </c>
      <c r="M93" s="902"/>
      <c r="N93" s="901" t="s">
        <v>188</v>
      </c>
      <c r="O93" s="899" t="s">
        <v>187</v>
      </c>
      <c r="P93" s="899" t="s">
        <v>84</v>
      </c>
      <c r="Q93" s="901">
        <v>2020.0</v>
      </c>
      <c r="R93" s="901" t="s">
        <v>556</v>
      </c>
      <c r="S93" s="899" t="s">
        <v>557</v>
      </c>
      <c r="T93" s="899">
        <v>133945.0</v>
      </c>
      <c r="U93" s="885" t="str">
        <f>IFERROR(VLOOKUP(N93,'Thông số'!$B:$F,5,0),"")</f>
        <v>5810 x 2300 x 2860</v>
      </c>
    </row>
    <row r="94" ht="14.25" customHeight="1">
      <c r="A94" s="898">
        <v>9.0</v>
      </c>
      <c r="B94" s="899" t="s">
        <v>558</v>
      </c>
      <c r="C94" s="899" t="s">
        <v>558</v>
      </c>
      <c r="D94" s="901" t="s">
        <v>4632</v>
      </c>
      <c r="E94" s="902"/>
      <c r="F94" s="899" t="s">
        <v>4632</v>
      </c>
      <c r="G94" s="899" t="s">
        <v>410</v>
      </c>
      <c r="H94" s="902"/>
      <c r="I94" s="901" t="s">
        <v>59</v>
      </c>
      <c r="J94" s="902"/>
      <c r="K94" s="901" t="s">
        <v>1027</v>
      </c>
      <c r="L94" s="904">
        <v>0.68</v>
      </c>
      <c r="M94" s="902"/>
      <c r="N94" s="901" t="s">
        <v>412</v>
      </c>
      <c r="O94" s="899" t="s">
        <v>300</v>
      </c>
      <c r="P94" s="899" t="s">
        <v>148</v>
      </c>
      <c r="Q94" s="901">
        <v>2020.0</v>
      </c>
      <c r="R94" s="901" t="s">
        <v>413</v>
      </c>
      <c r="S94" s="899" t="s">
        <v>559</v>
      </c>
      <c r="T94" s="899" t="s">
        <v>560</v>
      </c>
      <c r="U94" s="885" t="str">
        <f>IFERROR(VLOOKUP(N94,'Thông số'!$B:$F,5,0),"")</f>
        <v>6160 x 2330 x 2750</v>
      </c>
    </row>
    <row r="95" ht="14.25" customHeight="1">
      <c r="A95" s="898">
        <v>10.0</v>
      </c>
      <c r="B95" s="899" t="s">
        <v>561</v>
      </c>
      <c r="C95" s="899" t="s">
        <v>561</v>
      </c>
      <c r="D95" s="901" t="s">
        <v>4567</v>
      </c>
      <c r="E95" s="902"/>
      <c r="F95" s="899" t="s">
        <v>4567</v>
      </c>
      <c r="G95" s="899" t="s">
        <v>146</v>
      </c>
      <c r="H95" s="902"/>
      <c r="I95" s="901" t="s">
        <v>59</v>
      </c>
      <c r="J95" s="903">
        <v>44228.0</v>
      </c>
      <c r="K95" s="901" t="s">
        <v>1027</v>
      </c>
      <c r="L95" s="904">
        <v>0.32</v>
      </c>
      <c r="M95" s="902"/>
      <c r="N95" s="901" t="s">
        <v>149</v>
      </c>
      <c r="O95" s="899" t="s">
        <v>147</v>
      </c>
      <c r="P95" s="899" t="s">
        <v>148</v>
      </c>
      <c r="Q95" s="901">
        <v>2018.0</v>
      </c>
      <c r="R95" s="901" t="s">
        <v>150</v>
      </c>
      <c r="S95" s="899" t="s">
        <v>562</v>
      </c>
      <c r="T95" s="899" t="s">
        <v>563</v>
      </c>
      <c r="U95" s="885" t="str">
        <f>IFERROR(VLOOKUP(N95,'Thông số'!$B:$F,5,0),"")</f>
        <v>9290 x 2500 x 3370</v>
      </c>
    </row>
    <row r="96" ht="14.25" customHeight="1">
      <c r="A96" s="898">
        <v>11.0</v>
      </c>
      <c r="B96" s="899" t="s">
        <v>564</v>
      </c>
      <c r="C96" s="899" t="s">
        <v>564</v>
      </c>
      <c r="D96" s="901" t="s">
        <v>4567</v>
      </c>
      <c r="E96" s="902"/>
      <c r="F96" s="899" t="s">
        <v>4567</v>
      </c>
      <c r="G96" s="899" t="s">
        <v>146</v>
      </c>
      <c r="H96" s="902"/>
      <c r="I96" s="901" t="s">
        <v>59</v>
      </c>
      <c r="J96" s="903">
        <v>44228.0</v>
      </c>
      <c r="K96" s="901" t="s">
        <v>1027</v>
      </c>
      <c r="L96" s="902"/>
      <c r="M96" s="902"/>
      <c r="N96" s="901" t="s">
        <v>149</v>
      </c>
      <c r="O96" s="899" t="s">
        <v>147</v>
      </c>
      <c r="P96" s="899" t="s">
        <v>148</v>
      </c>
      <c r="Q96" s="901">
        <v>2018.0</v>
      </c>
      <c r="R96" s="901" t="s">
        <v>150</v>
      </c>
      <c r="S96" s="899" t="s">
        <v>565</v>
      </c>
      <c r="T96" s="899" t="s">
        <v>566</v>
      </c>
      <c r="U96" s="885" t="str">
        <f>IFERROR(VLOOKUP(N96,'Thông số'!$B:$F,5,0),"")</f>
        <v>9290 x 2500 x 3370</v>
      </c>
    </row>
    <row r="97" ht="14.25" customHeight="1">
      <c r="A97" s="898">
        <v>12.0</v>
      </c>
      <c r="B97" s="899" t="s">
        <v>567</v>
      </c>
      <c r="C97" s="899" t="s">
        <v>567</v>
      </c>
      <c r="D97" s="901" t="s">
        <v>5864</v>
      </c>
      <c r="E97" s="902"/>
      <c r="F97" s="899" t="s">
        <v>5864</v>
      </c>
      <c r="G97" s="899" t="s">
        <v>569</v>
      </c>
      <c r="H97" s="902"/>
      <c r="I97" s="901" t="s">
        <v>59</v>
      </c>
      <c r="J97" s="903">
        <v>44228.0</v>
      </c>
      <c r="K97" s="901" t="s">
        <v>1027</v>
      </c>
      <c r="L97" s="904">
        <v>0.69</v>
      </c>
      <c r="M97" s="902"/>
      <c r="N97" s="901" t="s">
        <v>570</v>
      </c>
      <c r="O97" s="899" t="s">
        <v>147</v>
      </c>
      <c r="P97" s="899" t="s">
        <v>148</v>
      </c>
      <c r="Q97" s="901">
        <v>2019.0</v>
      </c>
      <c r="R97" s="901" t="s">
        <v>571</v>
      </c>
      <c r="S97" s="899" t="s">
        <v>572</v>
      </c>
      <c r="T97" s="899" t="s">
        <v>573</v>
      </c>
      <c r="U97" s="885" t="str">
        <f>IFERROR(VLOOKUP(N97,'Thông số'!$B:$F,5,0),"")</f>
        <v>9290 x 2500 x 3370</v>
      </c>
    </row>
    <row r="98" ht="14.25" customHeight="1">
      <c r="A98" s="898">
        <v>13.0</v>
      </c>
      <c r="B98" s="899" t="s">
        <v>181</v>
      </c>
      <c r="C98" s="899" t="s">
        <v>181</v>
      </c>
      <c r="D98" s="901" t="s">
        <v>182</v>
      </c>
      <c r="E98" s="902"/>
      <c r="F98" s="899" t="s">
        <v>182</v>
      </c>
      <c r="G98" s="899" t="s">
        <v>90</v>
      </c>
      <c r="H98" s="901" t="s">
        <v>6435</v>
      </c>
      <c r="I98" s="901" t="s">
        <v>59</v>
      </c>
      <c r="J98" s="903">
        <v>44200.0</v>
      </c>
      <c r="K98" s="901" t="s">
        <v>1027</v>
      </c>
      <c r="L98" s="904">
        <v>0.7</v>
      </c>
      <c r="M98" s="902"/>
      <c r="N98" s="901" t="s">
        <v>111</v>
      </c>
      <c r="O98" s="899" t="s">
        <v>92</v>
      </c>
      <c r="P98" s="899" t="s">
        <v>84</v>
      </c>
      <c r="Q98" s="901">
        <v>2021.0</v>
      </c>
      <c r="R98" s="901" t="s">
        <v>112</v>
      </c>
      <c r="S98" s="899" t="s">
        <v>574</v>
      </c>
      <c r="T98" s="899">
        <v>816364.0</v>
      </c>
      <c r="U98" s="885" t="str">
        <f>IFERROR(VLOOKUP(N98,'Thông số'!$B:$F,5,0),"")</f>
        <v>9460 x 2800 x 3200</v>
      </c>
    </row>
    <row r="99" ht="14.25" customHeight="1">
      <c r="A99" s="898">
        <v>14.0</v>
      </c>
      <c r="B99" s="899" t="s">
        <v>193</v>
      </c>
      <c r="C99" s="899" t="s">
        <v>193</v>
      </c>
      <c r="D99" s="901" t="s">
        <v>198</v>
      </c>
      <c r="E99" s="902"/>
      <c r="F99" s="899" t="s">
        <v>198</v>
      </c>
      <c r="G99" s="899" t="s">
        <v>90</v>
      </c>
      <c r="H99" s="901" t="s">
        <v>6435</v>
      </c>
      <c r="I99" s="901" t="s">
        <v>59</v>
      </c>
      <c r="J99" s="902"/>
      <c r="K99" s="901" t="s">
        <v>1027</v>
      </c>
      <c r="L99" s="904">
        <v>0.66</v>
      </c>
      <c r="M99" s="902"/>
      <c r="N99" s="901" t="s">
        <v>111</v>
      </c>
      <c r="O99" s="899" t="s">
        <v>92</v>
      </c>
      <c r="P99" s="899" t="s">
        <v>84</v>
      </c>
      <c r="Q99" s="901">
        <v>2020.0</v>
      </c>
      <c r="R99" s="901" t="s">
        <v>94</v>
      </c>
      <c r="S99" s="899" t="s">
        <v>575</v>
      </c>
      <c r="T99" s="899">
        <v>800456.0</v>
      </c>
      <c r="U99" s="885" t="str">
        <f>IFERROR(VLOOKUP(N99,'Thông số'!$B:$F,5,0),"")</f>
        <v>9460 x 2800 x 3200</v>
      </c>
    </row>
    <row r="100" ht="14.25" customHeight="1">
      <c r="A100" s="898">
        <v>15.0</v>
      </c>
      <c r="B100" s="899" t="s">
        <v>354</v>
      </c>
      <c r="C100" s="899" t="s">
        <v>354</v>
      </c>
      <c r="D100" s="901" t="s">
        <v>360</v>
      </c>
      <c r="E100" s="902"/>
      <c r="F100" s="899" t="s">
        <v>360</v>
      </c>
      <c r="G100" s="899" t="s">
        <v>99</v>
      </c>
      <c r="H100" s="901" t="s">
        <v>6436</v>
      </c>
      <c r="I100" s="901" t="s">
        <v>59</v>
      </c>
      <c r="J100" s="903">
        <v>44088.0</v>
      </c>
      <c r="K100" s="901" t="s">
        <v>1027</v>
      </c>
      <c r="L100" s="902"/>
      <c r="M100" s="902"/>
      <c r="N100" s="901" t="s">
        <v>104</v>
      </c>
      <c r="O100" s="899" t="s">
        <v>102</v>
      </c>
      <c r="P100" s="899" t="s">
        <v>103</v>
      </c>
      <c r="Q100" s="901">
        <v>2020.0</v>
      </c>
      <c r="R100" s="901" t="s">
        <v>105</v>
      </c>
      <c r="S100" s="899" t="s">
        <v>577</v>
      </c>
      <c r="T100" s="899" t="s">
        <v>578</v>
      </c>
      <c r="U100" s="885" t="str">
        <f>IFERROR(VLOOKUP(N100,'Thông số'!$B:$F,5,0),"")</f>
        <v>7235 x 2496 x 3351</v>
      </c>
    </row>
    <row r="101" ht="14.25" customHeight="1">
      <c r="A101" s="898">
        <v>16.0</v>
      </c>
      <c r="B101" s="899" t="s">
        <v>377</v>
      </c>
      <c r="C101" s="899" t="s">
        <v>377</v>
      </c>
      <c r="D101" s="901" t="s">
        <v>360</v>
      </c>
      <c r="E101" s="902"/>
      <c r="F101" s="899" t="s">
        <v>360</v>
      </c>
      <c r="G101" s="899" t="s">
        <v>99</v>
      </c>
      <c r="H101" s="901" t="s">
        <v>6436</v>
      </c>
      <c r="I101" s="901" t="s">
        <v>59</v>
      </c>
      <c r="J101" s="903">
        <v>44088.0</v>
      </c>
      <c r="K101" s="901" t="s">
        <v>1027</v>
      </c>
      <c r="L101" s="902"/>
      <c r="M101" s="902"/>
      <c r="N101" s="901" t="s">
        <v>104</v>
      </c>
      <c r="O101" s="899" t="s">
        <v>102</v>
      </c>
      <c r="P101" s="899" t="s">
        <v>103</v>
      </c>
      <c r="Q101" s="901">
        <v>2020.0</v>
      </c>
      <c r="R101" s="901" t="s">
        <v>105</v>
      </c>
      <c r="S101" s="899" t="s">
        <v>579</v>
      </c>
      <c r="T101" s="899" t="s">
        <v>580</v>
      </c>
      <c r="U101" s="885" t="str">
        <f>IFERROR(VLOOKUP(N101,'Thông số'!$B:$F,5,0),"")</f>
        <v>7235 x 2496 x 3351</v>
      </c>
    </row>
    <row r="102" ht="14.25" customHeight="1">
      <c r="A102" s="898">
        <v>17.0</v>
      </c>
      <c r="B102" s="899" t="s">
        <v>582</v>
      </c>
      <c r="C102" s="899" t="s">
        <v>583</v>
      </c>
      <c r="D102" s="901" t="s">
        <v>5996</v>
      </c>
      <c r="E102" s="902"/>
      <c r="F102" s="899" t="s">
        <v>5996</v>
      </c>
      <c r="G102" s="899" t="s">
        <v>584</v>
      </c>
      <c r="H102" s="902"/>
      <c r="I102" s="901" t="s">
        <v>59</v>
      </c>
      <c r="J102" s="903">
        <v>44201.0</v>
      </c>
      <c r="K102" s="901" t="s">
        <v>1027</v>
      </c>
      <c r="L102" s="904">
        <v>0.74</v>
      </c>
      <c r="M102" s="902"/>
      <c r="N102" s="901" t="s">
        <v>587</v>
      </c>
      <c r="O102" s="899" t="s">
        <v>147</v>
      </c>
      <c r="P102" s="899" t="s">
        <v>585</v>
      </c>
      <c r="Q102" s="901">
        <v>2019.0</v>
      </c>
      <c r="R102" s="901" t="s">
        <v>571</v>
      </c>
      <c r="S102" s="899" t="s">
        <v>588</v>
      </c>
      <c r="T102" s="899" t="s">
        <v>589</v>
      </c>
      <c r="U102" s="885" t="str">
        <f>IFERROR(VLOOKUP(N102,'Thông số'!$B:$F,5,0),"")</f>
        <v>11825 x 2500 x 3720</v>
      </c>
    </row>
    <row r="103" ht="14.25" customHeight="1">
      <c r="A103" s="898">
        <v>18.0</v>
      </c>
      <c r="B103" s="899" t="s">
        <v>590</v>
      </c>
      <c r="C103" s="899" t="s">
        <v>591</v>
      </c>
      <c r="D103" s="901" t="s">
        <v>977</v>
      </c>
      <c r="E103" s="902"/>
      <c r="F103" s="899" t="s">
        <v>977</v>
      </c>
      <c r="G103" s="899" t="s">
        <v>219</v>
      </c>
      <c r="H103" s="901" t="s">
        <v>6449</v>
      </c>
      <c r="I103" s="901" t="s">
        <v>59</v>
      </c>
      <c r="J103" s="903">
        <v>44256.0</v>
      </c>
      <c r="K103" s="901" t="s">
        <v>1027</v>
      </c>
      <c r="L103" s="904">
        <v>0.69</v>
      </c>
      <c r="M103" s="906" t="s">
        <v>592</v>
      </c>
      <c r="N103" s="901" t="s">
        <v>223</v>
      </c>
      <c r="O103" s="899" t="s">
        <v>123</v>
      </c>
      <c r="P103" s="899" t="s">
        <v>84</v>
      </c>
      <c r="Q103" s="901">
        <v>2014.0</v>
      </c>
      <c r="R103" s="901" t="s">
        <v>462</v>
      </c>
      <c r="S103" s="899" t="s">
        <v>593</v>
      </c>
      <c r="T103" s="899">
        <v>32816.0</v>
      </c>
      <c r="U103" s="885" t="str">
        <f>IFERROR(VLOOKUP(N103,'Thông số'!$B:$F,5,0),"")</f>
        <v>5260 x 1760 x 2415</v>
      </c>
    </row>
    <row r="104" ht="14.25" customHeight="1">
      <c r="A104" s="891">
        <v>19.0</v>
      </c>
      <c r="B104" s="892" t="s">
        <v>2041</v>
      </c>
      <c r="C104" s="892" t="s">
        <v>1135</v>
      </c>
      <c r="D104" s="895" t="s">
        <v>6510</v>
      </c>
      <c r="E104" s="894"/>
      <c r="F104" s="894"/>
      <c r="G104" s="892" t="s">
        <v>100</v>
      </c>
      <c r="H104" s="895" t="s">
        <v>6449</v>
      </c>
      <c r="I104" s="895" t="s">
        <v>59</v>
      </c>
      <c r="J104" s="896">
        <v>45357.0</v>
      </c>
      <c r="K104" s="895" t="s">
        <v>865</v>
      </c>
      <c r="L104" s="894"/>
      <c r="M104" s="919" t="s">
        <v>6511</v>
      </c>
      <c r="N104" s="895">
        <v>305.0</v>
      </c>
      <c r="O104" s="892" t="s">
        <v>1441</v>
      </c>
      <c r="P104" s="892" t="s">
        <v>84</v>
      </c>
      <c r="Q104" s="894"/>
      <c r="R104" s="895" t="s">
        <v>2043</v>
      </c>
      <c r="S104" s="892" t="s">
        <v>2044</v>
      </c>
      <c r="T104" s="892" t="s">
        <v>2045</v>
      </c>
      <c r="U104" s="885" t="str">
        <f>IFERROR(VLOOKUP(N104,'Thông số'!$B:$F,5,0),"")</f>
        <v>5340 x 1980 x 1895</v>
      </c>
    </row>
    <row r="105" ht="14.25" customHeight="1">
      <c r="A105" s="891">
        <v>20.0</v>
      </c>
      <c r="B105" s="892" t="s">
        <v>594</v>
      </c>
      <c r="C105" s="892" t="s">
        <v>595</v>
      </c>
      <c r="D105" s="895" t="s">
        <v>1102</v>
      </c>
      <c r="E105" s="894"/>
      <c r="F105" s="892" t="s">
        <v>1102</v>
      </c>
      <c r="G105" s="892" t="s">
        <v>452</v>
      </c>
      <c r="H105" s="895" t="s">
        <v>6449</v>
      </c>
      <c r="I105" s="895" t="s">
        <v>59</v>
      </c>
      <c r="J105" s="894"/>
      <c r="K105" s="895" t="s">
        <v>865</v>
      </c>
      <c r="L105" s="897">
        <v>0.4</v>
      </c>
      <c r="M105" s="919" t="s">
        <v>6512</v>
      </c>
      <c r="N105" s="895" t="s">
        <v>455</v>
      </c>
      <c r="O105" s="892" t="s">
        <v>454</v>
      </c>
      <c r="P105" s="892" t="s">
        <v>84</v>
      </c>
      <c r="Q105" s="895">
        <v>2015.0</v>
      </c>
      <c r="R105" s="895" t="s">
        <v>456</v>
      </c>
      <c r="S105" s="892" t="s">
        <v>597</v>
      </c>
      <c r="T105" s="892" t="s">
        <v>598</v>
      </c>
      <c r="U105" s="885" t="str">
        <f>IFERROR(VLOOKUP(N105,'Thông số'!$B:$F,5,0),"")</f>
        <v>4749 x 1700 x 2470</v>
      </c>
    </row>
    <row r="106" ht="14.25" customHeight="1">
      <c r="A106" s="891">
        <v>21.0</v>
      </c>
      <c r="B106" s="892" t="s">
        <v>599</v>
      </c>
      <c r="C106" s="892" t="s">
        <v>600</v>
      </c>
      <c r="D106" s="895" t="s">
        <v>1102</v>
      </c>
      <c r="E106" s="894"/>
      <c r="F106" s="892" t="s">
        <v>1102</v>
      </c>
      <c r="G106" s="892" t="s">
        <v>452</v>
      </c>
      <c r="H106" s="895" t="s">
        <v>6449</v>
      </c>
      <c r="I106" s="895" t="s">
        <v>59</v>
      </c>
      <c r="J106" s="894"/>
      <c r="K106" s="895" t="s">
        <v>865</v>
      </c>
      <c r="L106" s="897">
        <v>0.4</v>
      </c>
      <c r="M106" s="919" t="s">
        <v>6512</v>
      </c>
      <c r="N106" s="895" t="s">
        <v>455</v>
      </c>
      <c r="O106" s="892" t="s">
        <v>454</v>
      </c>
      <c r="P106" s="892" t="s">
        <v>84</v>
      </c>
      <c r="Q106" s="895">
        <v>2015.0</v>
      </c>
      <c r="R106" s="895" t="s">
        <v>456</v>
      </c>
      <c r="S106" s="892" t="s">
        <v>602</v>
      </c>
      <c r="T106" s="892" t="s">
        <v>603</v>
      </c>
      <c r="U106" s="885" t="str">
        <f>IFERROR(VLOOKUP(N106,'Thông số'!$B:$F,5,0),"")</f>
        <v>4749 x 1700 x 2470</v>
      </c>
    </row>
    <row r="107" ht="14.25" customHeight="1">
      <c r="A107" s="891">
        <v>22.0</v>
      </c>
      <c r="B107" s="892" t="s">
        <v>604</v>
      </c>
      <c r="C107" s="892" t="s">
        <v>605</v>
      </c>
      <c r="D107" s="895" t="s">
        <v>6513</v>
      </c>
      <c r="E107" s="894"/>
      <c r="F107" s="892" t="s">
        <v>1102</v>
      </c>
      <c r="G107" s="892" t="s">
        <v>452</v>
      </c>
      <c r="H107" s="895" t="s">
        <v>6449</v>
      </c>
      <c r="I107" s="895" t="s">
        <v>59</v>
      </c>
      <c r="J107" s="896">
        <v>45512.0</v>
      </c>
      <c r="K107" s="895" t="s">
        <v>865</v>
      </c>
      <c r="L107" s="897">
        <v>0.4</v>
      </c>
      <c r="M107" s="919" t="s">
        <v>6514</v>
      </c>
      <c r="N107" s="895" t="s">
        <v>455</v>
      </c>
      <c r="O107" s="892" t="s">
        <v>454</v>
      </c>
      <c r="P107" s="892" t="s">
        <v>84</v>
      </c>
      <c r="Q107" s="895">
        <v>2015.0</v>
      </c>
      <c r="R107" s="895" t="s">
        <v>456</v>
      </c>
      <c r="S107" s="892" t="s">
        <v>607</v>
      </c>
      <c r="T107" s="892" t="s">
        <v>608</v>
      </c>
      <c r="U107" s="885" t="str">
        <f>IFERROR(VLOOKUP(N107,'Thông số'!$B:$F,5,0),"")</f>
        <v>4749 x 1700 x 2470</v>
      </c>
    </row>
    <row r="108" ht="14.25" customHeight="1">
      <c r="A108" s="898">
        <v>23.0</v>
      </c>
      <c r="B108" s="905" t="s">
        <v>609</v>
      </c>
      <c r="C108" s="905" t="s">
        <v>139</v>
      </c>
      <c r="D108" s="907" t="s">
        <v>610</v>
      </c>
      <c r="E108" s="908"/>
      <c r="F108" s="908"/>
      <c r="G108" s="905" t="s">
        <v>219</v>
      </c>
      <c r="H108" s="901" t="s">
        <v>6449</v>
      </c>
      <c r="I108" s="901" t="s">
        <v>59</v>
      </c>
      <c r="J108" s="909">
        <v>45699.0</v>
      </c>
      <c r="K108" s="901" t="s">
        <v>1027</v>
      </c>
      <c r="L108" s="908"/>
      <c r="M108" s="917" t="s">
        <v>539</v>
      </c>
      <c r="N108" s="907" t="s">
        <v>237</v>
      </c>
      <c r="O108" s="905" t="s">
        <v>123</v>
      </c>
      <c r="P108" s="905" t="s">
        <v>222</v>
      </c>
      <c r="Q108" s="907">
        <v>2012.0</v>
      </c>
      <c r="R108" s="907" t="s">
        <v>224</v>
      </c>
      <c r="S108" s="905" t="s">
        <v>611</v>
      </c>
      <c r="T108" s="905">
        <v>26018.0</v>
      </c>
      <c r="U108" s="885" t="str">
        <f>IFERROR(VLOOKUP(N108,'Thông số'!$B:$F,5,0),"")</f>
        <v>5550 x 1960 x 2550</v>
      </c>
    </row>
    <row r="109" ht="14.25" customHeight="1">
      <c r="A109" s="898">
        <v>24.0</v>
      </c>
      <c r="B109" s="899" t="s">
        <v>612</v>
      </c>
      <c r="C109" s="905" t="s">
        <v>139</v>
      </c>
      <c r="D109" s="901" t="s">
        <v>613</v>
      </c>
      <c r="E109" s="902"/>
      <c r="F109" s="902"/>
      <c r="G109" s="899" t="s">
        <v>219</v>
      </c>
      <c r="H109" s="901" t="s">
        <v>6449</v>
      </c>
      <c r="I109" s="901" t="s">
        <v>59</v>
      </c>
      <c r="J109" s="903">
        <v>45717.0</v>
      </c>
      <c r="K109" s="901" t="s">
        <v>1027</v>
      </c>
      <c r="L109" s="902"/>
      <c r="M109" s="917" t="s">
        <v>614</v>
      </c>
      <c r="N109" s="901" t="s">
        <v>237</v>
      </c>
      <c r="O109" s="899" t="s">
        <v>123</v>
      </c>
      <c r="P109" s="899" t="s">
        <v>84</v>
      </c>
      <c r="Q109" s="901">
        <v>2012.0</v>
      </c>
      <c r="R109" s="907" t="s">
        <v>224</v>
      </c>
      <c r="S109" s="899" t="s">
        <v>615</v>
      </c>
      <c r="T109" s="899">
        <v>25186.0</v>
      </c>
      <c r="U109" s="885" t="str">
        <f>IFERROR(VLOOKUP(N109,'Thông số'!$B:$F,5,0),"")</f>
        <v>5550 x 1960 x 2550</v>
      </c>
    </row>
    <row r="110" ht="14.25" customHeight="1">
      <c r="A110" s="898">
        <v>25.0</v>
      </c>
      <c r="B110" s="899" t="s">
        <v>2037</v>
      </c>
      <c r="C110" s="905" t="s">
        <v>139</v>
      </c>
      <c r="D110" s="901" t="s">
        <v>2038</v>
      </c>
      <c r="E110" s="902"/>
      <c r="F110" s="902"/>
      <c r="G110" s="899" t="s">
        <v>267</v>
      </c>
      <c r="H110" s="901" t="s">
        <v>6470</v>
      </c>
      <c r="I110" s="901" t="s">
        <v>59</v>
      </c>
      <c r="J110" s="903">
        <v>45717.0</v>
      </c>
      <c r="K110" s="901" t="s">
        <v>1027</v>
      </c>
      <c r="L110" s="902"/>
      <c r="M110" s="917" t="s">
        <v>614</v>
      </c>
      <c r="N110" s="901" t="s">
        <v>270</v>
      </c>
      <c r="O110" s="899" t="s">
        <v>123</v>
      </c>
      <c r="P110" s="899" t="s">
        <v>269</v>
      </c>
      <c r="Q110" s="901">
        <v>2006.0</v>
      </c>
      <c r="R110" s="901" t="s">
        <v>271</v>
      </c>
      <c r="S110" s="899" t="s">
        <v>2040</v>
      </c>
      <c r="T110" s="899">
        <v>2.1711747E7</v>
      </c>
      <c r="U110" s="885" t="str">
        <f>IFERROR(VLOOKUP(N110,'Thông số'!$B:$F,5,0),"")</f>
        <v>8358 x 2540 x 3200</v>
      </c>
    </row>
    <row r="111" ht="14.25" customHeight="1">
      <c r="A111" s="898">
        <v>26.0</v>
      </c>
      <c r="B111" s="899" t="s">
        <v>444</v>
      </c>
      <c r="C111" s="905" t="s">
        <v>139</v>
      </c>
      <c r="D111" s="901" t="s">
        <v>616</v>
      </c>
      <c r="E111" s="902"/>
      <c r="F111" s="902"/>
      <c r="G111" s="905" t="s">
        <v>282</v>
      </c>
      <c r="H111" s="901" t="s">
        <v>6475</v>
      </c>
      <c r="I111" s="901" t="s">
        <v>59</v>
      </c>
      <c r="J111" s="903">
        <v>45717.0</v>
      </c>
      <c r="K111" s="901" t="s">
        <v>1027</v>
      </c>
      <c r="L111" s="902"/>
      <c r="M111" s="917" t="s">
        <v>614</v>
      </c>
      <c r="N111" s="901" t="s">
        <v>491</v>
      </c>
      <c r="O111" s="899" t="s">
        <v>123</v>
      </c>
      <c r="P111" s="899" t="s">
        <v>84</v>
      </c>
      <c r="Q111" s="901">
        <v>2012.0</v>
      </c>
      <c r="R111" s="901" t="s">
        <v>278</v>
      </c>
      <c r="S111" s="899" t="s">
        <v>618</v>
      </c>
      <c r="T111" s="899" t="s">
        <v>619</v>
      </c>
      <c r="U111" s="885" t="str">
        <f>IFERROR(VLOOKUP(N111,'Thông số'!$B:$F,5,0),"")</f>
        <v>9425 x 2800 x 2970</v>
      </c>
    </row>
    <row r="112" ht="14.25" customHeight="1">
      <c r="A112" s="898">
        <v>27.0</v>
      </c>
      <c r="B112" s="899" t="s">
        <v>620</v>
      </c>
      <c r="C112" s="899" t="s">
        <v>154</v>
      </c>
      <c r="D112" s="901" t="s">
        <v>621</v>
      </c>
      <c r="E112" s="901" t="s">
        <v>622</v>
      </c>
      <c r="F112" s="902"/>
      <c r="G112" s="899" t="s">
        <v>157</v>
      </c>
      <c r="H112" s="902"/>
      <c r="I112" s="901" t="s">
        <v>59</v>
      </c>
      <c r="J112" s="903">
        <v>45748.0</v>
      </c>
      <c r="K112" s="901" t="s">
        <v>1027</v>
      </c>
      <c r="L112" s="902"/>
      <c r="M112" s="917" t="s">
        <v>623</v>
      </c>
      <c r="N112" s="901" t="s">
        <v>162</v>
      </c>
      <c r="O112" s="899" t="s">
        <v>161</v>
      </c>
      <c r="P112" s="899" t="s">
        <v>148</v>
      </c>
      <c r="Q112" s="901">
        <v>2022.0</v>
      </c>
      <c r="R112" s="901" t="s">
        <v>163</v>
      </c>
      <c r="S112" s="899" t="s">
        <v>624</v>
      </c>
      <c r="T112" s="899" t="s">
        <v>625</v>
      </c>
      <c r="U112" s="885" t="str">
        <f>IFERROR(VLOOKUP(N112,'Thông số'!$B:$F,5,0),"")</f>
        <v>7800 x 2500 x 3480</v>
      </c>
    </row>
    <row r="113" ht="14.25" customHeight="1">
      <c r="A113" s="898">
        <v>28.0</v>
      </c>
      <c r="B113" s="899" t="s">
        <v>626</v>
      </c>
      <c r="C113" s="899" t="s">
        <v>154</v>
      </c>
      <c r="D113" s="901" t="s">
        <v>627</v>
      </c>
      <c r="E113" s="901" t="s">
        <v>628</v>
      </c>
      <c r="F113" s="902"/>
      <c r="G113" s="899" t="s">
        <v>157</v>
      </c>
      <c r="H113" s="902"/>
      <c r="I113" s="901" t="s">
        <v>59</v>
      </c>
      <c r="J113" s="903">
        <v>45748.0</v>
      </c>
      <c r="K113" s="901" t="s">
        <v>1027</v>
      </c>
      <c r="L113" s="902"/>
      <c r="M113" s="917" t="s">
        <v>623</v>
      </c>
      <c r="N113" s="901" t="s">
        <v>162</v>
      </c>
      <c r="O113" s="899" t="s">
        <v>161</v>
      </c>
      <c r="P113" s="899" t="s">
        <v>148</v>
      </c>
      <c r="Q113" s="901">
        <v>2022.0</v>
      </c>
      <c r="R113" s="901" t="s">
        <v>163</v>
      </c>
      <c r="S113" s="899" t="s">
        <v>629</v>
      </c>
      <c r="T113" s="899" t="s">
        <v>630</v>
      </c>
      <c r="U113" s="885" t="str">
        <f>IFERROR(VLOOKUP(N113,'Thông số'!$B:$F,5,0),"")</f>
        <v>7800 x 2500 x 3480</v>
      </c>
    </row>
    <row r="114" ht="14.25" customHeight="1">
      <c r="A114" s="898">
        <v>29.0</v>
      </c>
      <c r="B114" s="899" t="s">
        <v>637</v>
      </c>
      <c r="C114" s="905" t="s">
        <v>139</v>
      </c>
      <c r="D114" s="901" t="s">
        <v>638</v>
      </c>
      <c r="E114" s="902"/>
      <c r="F114" s="902"/>
      <c r="G114" s="899" t="s">
        <v>207</v>
      </c>
      <c r="H114" s="902"/>
      <c r="I114" s="901" t="s">
        <v>59</v>
      </c>
      <c r="J114" s="903">
        <v>45805.0</v>
      </c>
      <c r="K114" s="901" t="s">
        <v>1027</v>
      </c>
      <c r="L114" s="902"/>
      <c r="M114" s="906" t="s">
        <v>6515</v>
      </c>
      <c r="N114" s="901" t="s">
        <v>208</v>
      </c>
      <c r="O114" s="899" t="s">
        <v>123</v>
      </c>
      <c r="P114" s="899" t="s">
        <v>84</v>
      </c>
      <c r="Q114" s="901">
        <v>1994.0</v>
      </c>
      <c r="R114" s="901" t="s">
        <v>549</v>
      </c>
      <c r="S114" s="899" t="s">
        <v>640</v>
      </c>
      <c r="T114" s="899" t="s">
        <v>641</v>
      </c>
      <c r="U114" s="885" t="str">
        <f>IFERROR(VLOOKUP(N114,'Thông số'!$B:$F,5,0),"")</f>
        <v>8420 x 2375 x 3240</v>
      </c>
    </row>
    <row r="115" ht="14.25" customHeight="1">
      <c r="A115" s="891">
        <v>30.0</v>
      </c>
      <c r="B115" s="892" t="s">
        <v>480</v>
      </c>
      <c r="C115" s="892" t="s">
        <v>139</v>
      </c>
      <c r="D115" s="895" t="s">
        <v>642</v>
      </c>
      <c r="E115" s="894"/>
      <c r="F115" s="894"/>
      <c r="G115" s="892" t="s">
        <v>282</v>
      </c>
      <c r="H115" s="895" t="s">
        <v>6475</v>
      </c>
      <c r="I115" s="895" t="s">
        <v>59</v>
      </c>
      <c r="J115" s="896">
        <v>45805.0</v>
      </c>
      <c r="K115" s="895" t="s">
        <v>865</v>
      </c>
      <c r="L115" s="894"/>
      <c r="M115" s="919" t="s">
        <v>6515</v>
      </c>
      <c r="N115" s="895" t="s">
        <v>284</v>
      </c>
      <c r="O115" s="892" t="s">
        <v>123</v>
      </c>
      <c r="P115" s="892" t="s">
        <v>84</v>
      </c>
      <c r="Q115" s="895">
        <v>2003.0</v>
      </c>
      <c r="R115" s="895" t="s">
        <v>209</v>
      </c>
      <c r="S115" s="892" t="s">
        <v>643</v>
      </c>
      <c r="T115" s="892" t="s">
        <v>644</v>
      </c>
      <c r="U115" s="885" t="str">
        <f>IFERROR(VLOOKUP(N115,'Thông số'!$B:$F,5,0),"")</f>
        <v>8700 x 2800 x 3010</v>
      </c>
    </row>
    <row r="116" ht="14.25" customHeight="1">
      <c r="A116" s="898">
        <v>31.0</v>
      </c>
      <c r="B116" s="899" t="s">
        <v>645</v>
      </c>
      <c r="C116" s="899" t="s">
        <v>154</v>
      </c>
      <c r="D116" s="901" t="s">
        <v>646</v>
      </c>
      <c r="E116" s="901" t="s">
        <v>647</v>
      </c>
      <c r="F116" s="902"/>
      <c r="G116" s="899" t="s">
        <v>335</v>
      </c>
      <c r="H116" s="902"/>
      <c r="I116" s="901" t="s">
        <v>59</v>
      </c>
      <c r="J116" s="903">
        <v>45818.0</v>
      </c>
      <c r="K116" s="901" t="s">
        <v>1027</v>
      </c>
      <c r="L116" s="902"/>
      <c r="M116" s="906" t="s">
        <v>76</v>
      </c>
      <c r="N116" s="901" t="s">
        <v>6487</v>
      </c>
      <c r="O116" s="899" t="s">
        <v>466</v>
      </c>
      <c r="P116" s="899" t="s">
        <v>648</v>
      </c>
      <c r="Q116" s="901">
        <v>2024.0</v>
      </c>
      <c r="R116" s="901" t="s">
        <v>338</v>
      </c>
      <c r="S116" s="899" t="s">
        <v>649</v>
      </c>
      <c r="T116" s="899" t="s">
        <v>650</v>
      </c>
      <c r="U116" s="885" t="str">
        <f>IFERROR(VLOOKUP(N116,'Thông số'!$B:$F,5,0),"")</f>
        <v>5910 x 2310 x 2800</v>
      </c>
    </row>
    <row r="117" ht="14.25" customHeight="1">
      <c r="A117" s="898">
        <v>32.0</v>
      </c>
      <c r="B117" s="905" t="s">
        <v>2586</v>
      </c>
      <c r="C117" s="905" t="s">
        <v>154</v>
      </c>
      <c r="D117" s="907" t="s">
        <v>2587</v>
      </c>
      <c r="E117" s="908"/>
      <c r="F117" s="908"/>
      <c r="G117" s="905" t="s">
        <v>2580</v>
      </c>
      <c r="H117" s="902"/>
      <c r="I117" s="901" t="s">
        <v>59</v>
      </c>
      <c r="J117" s="909">
        <v>45934.0</v>
      </c>
      <c r="K117" s="901" t="s">
        <v>1027</v>
      </c>
      <c r="L117" s="908"/>
      <c r="M117" s="906" t="s">
        <v>2588</v>
      </c>
      <c r="N117" s="907" t="s">
        <v>2589</v>
      </c>
      <c r="O117" s="905" t="s">
        <v>2582</v>
      </c>
      <c r="P117" s="905" t="s">
        <v>662</v>
      </c>
      <c r="Q117" s="907">
        <v>2023.0</v>
      </c>
      <c r="R117" s="907" t="s">
        <v>2590</v>
      </c>
      <c r="S117" s="905" t="s">
        <v>2591</v>
      </c>
      <c r="T117" s="905" t="s">
        <v>2592</v>
      </c>
      <c r="U117" s="885" t="str">
        <f>IFERROR(VLOOKUP(N117,'Thông số'!$B:$F,5,0),"")</f>
        <v>11845 x 2500 x 3690</v>
      </c>
    </row>
    <row r="118" ht="14.25" customHeight="1">
      <c r="A118" s="882" t="s">
        <v>652</v>
      </c>
      <c r="B118" s="883"/>
      <c r="C118" s="884">
        <v>30.0</v>
      </c>
      <c r="D118" s="883"/>
      <c r="E118" s="883"/>
      <c r="F118" s="883"/>
      <c r="G118" s="883"/>
      <c r="H118" s="883"/>
      <c r="I118" s="883"/>
      <c r="J118" s="883"/>
      <c r="K118" s="883"/>
      <c r="L118" s="883"/>
      <c r="M118" s="883"/>
      <c r="N118" s="883"/>
      <c r="O118" s="883"/>
      <c r="P118" s="883"/>
      <c r="Q118" s="883"/>
      <c r="R118" s="883"/>
      <c r="S118" s="883"/>
      <c r="T118" s="883"/>
      <c r="U118" s="885" t="str">
        <f>IFERROR(VLOOKUP(N118,'Thông số'!$B:$F,5,0),"")</f>
        <v/>
      </c>
    </row>
    <row r="119" ht="14.25" customHeight="1">
      <c r="A119" s="886" t="s">
        <v>653</v>
      </c>
      <c r="B119" s="887" t="s">
        <v>654</v>
      </c>
      <c r="C119" s="889">
        <v>12.0</v>
      </c>
      <c r="D119" s="890"/>
      <c r="E119" s="890"/>
      <c r="F119" s="890"/>
      <c r="G119" s="890"/>
      <c r="H119" s="890"/>
      <c r="I119" s="890"/>
      <c r="J119" s="890"/>
      <c r="K119" s="890"/>
      <c r="L119" s="890"/>
      <c r="M119" s="890"/>
      <c r="N119" s="890"/>
      <c r="O119" s="890"/>
      <c r="P119" s="890"/>
      <c r="Q119" s="890"/>
      <c r="R119" s="890"/>
      <c r="S119" s="890"/>
      <c r="T119" s="890"/>
      <c r="U119" s="885" t="str">
        <f>IFERROR(VLOOKUP(N119,'Thông số'!$B:$F,5,0),"")</f>
        <v/>
      </c>
    </row>
    <row r="120" ht="14.25" customHeight="1">
      <c r="A120" s="898">
        <v>1.0</v>
      </c>
      <c r="B120" s="899" t="s">
        <v>656</v>
      </c>
      <c r="C120" s="908"/>
      <c r="D120" s="901" t="s">
        <v>657</v>
      </c>
      <c r="E120" s="902"/>
      <c r="F120" s="902"/>
      <c r="G120" s="899" t="s">
        <v>658</v>
      </c>
      <c r="H120" s="902"/>
      <c r="I120" s="901" t="s">
        <v>45</v>
      </c>
      <c r="J120" s="903">
        <v>46031.0</v>
      </c>
      <c r="K120" s="901" t="s">
        <v>1027</v>
      </c>
      <c r="L120" s="902"/>
      <c r="M120" s="917" t="s">
        <v>660</v>
      </c>
      <c r="N120" s="901" t="s">
        <v>663</v>
      </c>
      <c r="O120" s="899" t="s">
        <v>661</v>
      </c>
      <c r="P120" s="899" t="s">
        <v>662</v>
      </c>
      <c r="Q120" s="901">
        <v>2024.0</v>
      </c>
      <c r="R120" s="901" t="s">
        <v>664</v>
      </c>
      <c r="S120" s="899" t="s">
        <v>665</v>
      </c>
      <c r="T120" s="899" t="s">
        <v>666</v>
      </c>
      <c r="U120" s="885" t="str">
        <f>IFERROR(VLOOKUP(N120,'Thông số'!$B:$F,5,0),"")</f>
        <v>6380 x 2040 x 2300</v>
      </c>
    </row>
    <row r="121" ht="14.25" customHeight="1">
      <c r="A121" s="898">
        <v>2.0</v>
      </c>
      <c r="B121" s="899" t="s">
        <v>1024</v>
      </c>
      <c r="C121" s="899" t="s">
        <v>6516</v>
      </c>
      <c r="D121" s="901" t="s">
        <v>1025</v>
      </c>
      <c r="E121" s="902"/>
      <c r="F121" s="899" t="s">
        <v>2029</v>
      </c>
      <c r="G121" s="899" t="s">
        <v>788</v>
      </c>
      <c r="H121" s="901" t="s">
        <v>6517</v>
      </c>
      <c r="I121" s="901" t="s">
        <v>45</v>
      </c>
      <c r="J121" s="902"/>
      <c r="K121" s="901" t="s">
        <v>1027</v>
      </c>
      <c r="L121" s="902"/>
      <c r="M121" s="902"/>
      <c r="N121" s="901" t="s">
        <v>791</v>
      </c>
      <c r="O121" s="899" t="s">
        <v>454</v>
      </c>
      <c r="P121" s="899" t="s">
        <v>84</v>
      </c>
      <c r="Q121" s="901">
        <v>2013.0</v>
      </c>
      <c r="R121" s="901" t="s">
        <v>792</v>
      </c>
      <c r="S121" s="899">
        <v>57273.0</v>
      </c>
      <c r="T121" s="899" t="s">
        <v>96</v>
      </c>
      <c r="U121" s="885" t="str">
        <f>IFERROR(VLOOKUP(N121,'Thông số'!$B:$F,5,0),"")</f>
        <v>3445 x 1865 x 2535</v>
      </c>
    </row>
    <row r="122" ht="14.25" customHeight="1">
      <c r="A122" s="891">
        <v>3.0</v>
      </c>
      <c r="B122" s="892" t="s">
        <v>685</v>
      </c>
      <c r="C122" s="892" t="s">
        <v>686</v>
      </c>
      <c r="D122" s="895" t="s">
        <v>6519</v>
      </c>
      <c r="E122" s="894"/>
      <c r="F122" s="892" t="s">
        <v>1747</v>
      </c>
      <c r="G122" s="892" t="s">
        <v>687</v>
      </c>
      <c r="H122" s="895" t="s">
        <v>6520</v>
      </c>
      <c r="I122" s="895" t="s">
        <v>45</v>
      </c>
      <c r="J122" s="894"/>
      <c r="K122" s="895" t="s">
        <v>865</v>
      </c>
      <c r="L122" s="894"/>
      <c r="M122" s="894"/>
      <c r="N122" s="895">
        <v>6603.0</v>
      </c>
      <c r="O122" s="892" t="s">
        <v>689</v>
      </c>
      <c r="P122" s="892" t="s">
        <v>690</v>
      </c>
      <c r="Q122" s="895">
        <v>2018.0</v>
      </c>
      <c r="R122" s="895" t="s">
        <v>271</v>
      </c>
      <c r="S122" s="892">
        <v>33028.0</v>
      </c>
      <c r="T122" s="892" t="s">
        <v>96</v>
      </c>
      <c r="U122" s="885" t="str">
        <f>IFERROR(VLOOKUP(N122,'Thông số'!$B:$F,5,0),"")</f>
        <v>4200 x 2600 x 2900</v>
      </c>
    </row>
    <row r="123" ht="14.25" customHeight="1">
      <c r="A123" s="891">
        <v>4.0</v>
      </c>
      <c r="B123" s="892" t="s">
        <v>691</v>
      </c>
      <c r="C123" s="892" t="s">
        <v>692</v>
      </c>
      <c r="D123" s="895" t="s">
        <v>6521</v>
      </c>
      <c r="E123" s="894"/>
      <c r="F123" s="892" t="s">
        <v>1747</v>
      </c>
      <c r="G123" s="892" t="s">
        <v>687</v>
      </c>
      <c r="H123" s="895" t="s">
        <v>6520</v>
      </c>
      <c r="I123" s="895" t="s">
        <v>45</v>
      </c>
      <c r="J123" s="896">
        <v>43832.0</v>
      </c>
      <c r="K123" s="895" t="s">
        <v>865</v>
      </c>
      <c r="L123" s="897">
        <v>0.5</v>
      </c>
      <c r="M123" s="894"/>
      <c r="N123" s="895">
        <v>6603.0</v>
      </c>
      <c r="O123" s="892" t="s">
        <v>689</v>
      </c>
      <c r="P123" s="892" t="s">
        <v>690</v>
      </c>
      <c r="Q123" s="895">
        <v>2018.0</v>
      </c>
      <c r="R123" s="895" t="s">
        <v>271</v>
      </c>
      <c r="S123" s="892">
        <v>33178.0</v>
      </c>
      <c r="T123" s="892" t="s">
        <v>96</v>
      </c>
      <c r="U123" s="885" t="str">
        <f>IFERROR(VLOOKUP(N123,'Thông số'!$B:$F,5,0),"")</f>
        <v>4200 x 2600 x 2900</v>
      </c>
    </row>
    <row r="124" ht="14.25" customHeight="1">
      <c r="A124" s="898">
        <v>5.0</v>
      </c>
      <c r="B124" s="899" t="s">
        <v>693</v>
      </c>
      <c r="C124" s="899" t="s">
        <v>773</v>
      </c>
      <c r="D124" s="901" t="s">
        <v>6522</v>
      </c>
      <c r="E124" s="902"/>
      <c r="F124" s="899" t="s">
        <v>2288</v>
      </c>
      <c r="G124" s="899" t="s">
        <v>695</v>
      </c>
      <c r="H124" s="901" t="s">
        <v>6520</v>
      </c>
      <c r="I124" s="901" t="s">
        <v>45</v>
      </c>
      <c r="J124" s="903">
        <v>45366.0</v>
      </c>
      <c r="K124" s="901" t="s">
        <v>1027</v>
      </c>
      <c r="L124" s="902"/>
      <c r="M124" s="902"/>
      <c r="N124" s="901" t="s">
        <v>697</v>
      </c>
      <c r="O124" s="899" t="s">
        <v>689</v>
      </c>
      <c r="P124" s="899" t="s">
        <v>690</v>
      </c>
      <c r="Q124" s="901">
        <v>2022.0</v>
      </c>
      <c r="R124" s="901" t="s">
        <v>271</v>
      </c>
      <c r="S124" s="899" t="s">
        <v>698</v>
      </c>
      <c r="T124" s="899" t="s">
        <v>699</v>
      </c>
      <c r="U124" s="885" t="str">
        <f>IFERROR(VLOOKUP(N124,'Thông số'!$B:$F,5,0),"")</f>
        <v>4835 x 2600 x 2965</v>
      </c>
    </row>
    <row r="125" ht="14.25" customHeight="1">
      <c r="A125" s="898">
        <v>6.0</v>
      </c>
      <c r="B125" s="899" t="s">
        <v>700</v>
      </c>
      <c r="C125" s="899" t="s">
        <v>773</v>
      </c>
      <c r="D125" s="901" t="s">
        <v>6523</v>
      </c>
      <c r="E125" s="902"/>
      <c r="F125" s="899" t="s">
        <v>2333</v>
      </c>
      <c r="G125" s="899" t="s">
        <v>701</v>
      </c>
      <c r="H125" s="901" t="s">
        <v>6524</v>
      </c>
      <c r="I125" s="901" t="s">
        <v>45</v>
      </c>
      <c r="J125" s="903">
        <v>45366.0</v>
      </c>
      <c r="K125" s="901" t="s">
        <v>1027</v>
      </c>
      <c r="L125" s="902"/>
      <c r="M125" s="902"/>
      <c r="N125" s="901" t="s">
        <v>704</v>
      </c>
      <c r="O125" s="899" t="s">
        <v>689</v>
      </c>
      <c r="P125" s="899" t="s">
        <v>690</v>
      </c>
      <c r="Q125" s="901">
        <v>2022.0</v>
      </c>
      <c r="R125" s="901" t="s">
        <v>705</v>
      </c>
      <c r="S125" s="899" t="s">
        <v>706</v>
      </c>
      <c r="T125" s="899" t="s">
        <v>707</v>
      </c>
      <c r="U125" s="885" t="str">
        <f>IFERROR(VLOOKUP(N125,'Thông số'!$B:$F,5,0),"")</f>
        <v>4100 x 2100 x 2600</v>
      </c>
    </row>
    <row r="126" ht="14.25" customHeight="1">
      <c r="A126" s="891">
        <v>7.0</v>
      </c>
      <c r="B126" s="892" t="s">
        <v>1833</v>
      </c>
      <c r="C126" s="892" t="s">
        <v>773</v>
      </c>
      <c r="D126" s="895" t="s">
        <v>6525</v>
      </c>
      <c r="E126" s="894"/>
      <c r="F126" s="894"/>
      <c r="G126" s="892" t="s">
        <v>782</v>
      </c>
      <c r="H126" s="895" t="s">
        <v>6526</v>
      </c>
      <c r="I126" s="895" t="s">
        <v>45</v>
      </c>
      <c r="J126" s="896">
        <v>45421.0</v>
      </c>
      <c r="K126" s="895" t="s">
        <v>865</v>
      </c>
      <c r="L126" s="894"/>
      <c r="M126" s="894"/>
      <c r="N126" s="895" t="s">
        <v>783</v>
      </c>
      <c r="O126" s="892" t="s">
        <v>689</v>
      </c>
      <c r="P126" s="892" t="s">
        <v>690</v>
      </c>
      <c r="Q126" s="895">
        <v>2022.0</v>
      </c>
      <c r="R126" s="895" t="s">
        <v>549</v>
      </c>
      <c r="S126" s="892" t="s">
        <v>1835</v>
      </c>
      <c r="T126" s="892" t="s">
        <v>1836</v>
      </c>
      <c r="U126" s="885" t="str">
        <f>IFERROR(VLOOKUP(N126,'Thông số'!$B:$F,5,0),"")</f>
        <v>4780 x 2550 x 3000</v>
      </c>
    </row>
    <row r="127" ht="14.25" customHeight="1">
      <c r="A127" s="898">
        <v>8.0</v>
      </c>
      <c r="B127" s="899" t="s">
        <v>708</v>
      </c>
      <c r="C127" s="905" t="s">
        <v>139</v>
      </c>
      <c r="D127" s="901" t="s">
        <v>709</v>
      </c>
      <c r="E127" s="902"/>
      <c r="F127" s="902"/>
      <c r="G127" s="899" t="s">
        <v>710</v>
      </c>
      <c r="H127" s="901" t="s">
        <v>6520</v>
      </c>
      <c r="I127" s="901" t="s">
        <v>45</v>
      </c>
      <c r="J127" s="903">
        <v>45675.0</v>
      </c>
      <c r="K127" s="901" t="s">
        <v>1027</v>
      </c>
      <c r="L127" s="902"/>
      <c r="M127" s="906" t="s">
        <v>336</v>
      </c>
      <c r="N127" s="901">
        <v>6400.0</v>
      </c>
      <c r="O127" s="899" t="s">
        <v>689</v>
      </c>
      <c r="P127" s="899" t="s">
        <v>690</v>
      </c>
      <c r="Q127" s="901">
        <v>1998.0</v>
      </c>
      <c r="R127" s="901" t="s">
        <v>682</v>
      </c>
      <c r="S127" s="899" t="s">
        <v>712</v>
      </c>
      <c r="T127" s="899" t="s">
        <v>713</v>
      </c>
      <c r="U127" s="885" t="str">
        <f>IFERROR(VLOOKUP(N127,'Thông số'!$B:$F,5,0),"")</f>
        <v>4200 x 2600 x 2900</v>
      </c>
    </row>
    <row r="128" ht="14.25" customHeight="1">
      <c r="A128" s="891">
        <v>9.0</v>
      </c>
      <c r="B128" s="892" t="s">
        <v>714</v>
      </c>
      <c r="C128" s="892" t="s">
        <v>139</v>
      </c>
      <c r="D128" s="895" t="s">
        <v>715</v>
      </c>
      <c r="E128" s="894"/>
      <c r="F128" s="894"/>
      <c r="G128" s="892" t="s">
        <v>710</v>
      </c>
      <c r="H128" s="895" t="s">
        <v>6520</v>
      </c>
      <c r="I128" s="895" t="s">
        <v>45</v>
      </c>
      <c r="J128" s="896">
        <v>45675.0</v>
      </c>
      <c r="K128" s="895" t="s">
        <v>865</v>
      </c>
      <c r="L128" s="894"/>
      <c r="M128" s="919" t="s">
        <v>336</v>
      </c>
      <c r="N128" s="895">
        <v>6400.0</v>
      </c>
      <c r="O128" s="892" t="s">
        <v>689</v>
      </c>
      <c r="P128" s="892" t="s">
        <v>690</v>
      </c>
      <c r="Q128" s="895">
        <v>1998.0</v>
      </c>
      <c r="R128" s="895" t="s">
        <v>682</v>
      </c>
      <c r="S128" s="892" t="s">
        <v>716</v>
      </c>
      <c r="T128" s="892" t="s">
        <v>717</v>
      </c>
      <c r="U128" s="885" t="str">
        <f>IFERROR(VLOOKUP(N128,'Thông số'!$B:$F,5,0),"")</f>
        <v>4200 x 2600 x 2900</v>
      </c>
    </row>
    <row r="129" ht="14.25" customHeight="1">
      <c r="A129" s="891">
        <v>10.0</v>
      </c>
      <c r="B129" s="892" t="s">
        <v>718</v>
      </c>
      <c r="C129" s="892" t="s">
        <v>139</v>
      </c>
      <c r="D129" s="895" t="s">
        <v>719</v>
      </c>
      <c r="E129" s="894"/>
      <c r="F129" s="894"/>
      <c r="G129" s="892" t="s">
        <v>720</v>
      </c>
      <c r="H129" s="895" t="s">
        <v>6524</v>
      </c>
      <c r="I129" s="895" t="s">
        <v>45</v>
      </c>
      <c r="J129" s="896">
        <v>45722.0</v>
      </c>
      <c r="K129" s="895" t="s">
        <v>865</v>
      </c>
      <c r="L129" s="894"/>
      <c r="M129" s="919" t="s">
        <v>336</v>
      </c>
      <c r="N129" s="895">
        <v>2850.0</v>
      </c>
      <c r="O129" s="892" t="s">
        <v>689</v>
      </c>
      <c r="P129" s="892" t="s">
        <v>269</v>
      </c>
      <c r="Q129" s="895">
        <v>1994.0</v>
      </c>
      <c r="R129" s="895" t="s">
        <v>721</v>
      </c>
      <c r="S129" s="892" t="s">
        <v>722</v>
      </c>
      <c r="T129" s="892" t="s">
        <v>723</v>
      </c>
      <c r="U129" s="885" t="str">
        <f>IFERROR(VLOOKUP(N129,'Thông số'!$B:$F,5,0),"")</f>
        <v>4200 x 2600 x 2900</v>
      </c>
    </row>
    <row r="130" ht="14.25" customHeight="1">
      <c r="A130" s="898">
        <v>11.0</v>
      </c>
      <c r="B130" s="899" t="s">
        <v>724</v>
      </c>
      <c r="C130" s="905" t="s">
        <v>139</v>
      </c>
      <c r="D130" s="901" t="s">
        <v>725</v>
      </c>
      <c r="E130" s="902"/>
      <c r="F130" s="902"/>
      <c r="G130" s="899" t="s">
        <v>726</v>
      </c>
      <c r="H130" s="901" t="s">
        <v>6520</v>
      </c>
      <c r="I130" s="901" t="s">
        <v>45</v>
      </c>
      <c r="J130" s="903">
        <v>45722.0</v>
      </c>
      <c r="K130" s="901" t="s">
        <v>1027</v>
      </c>
      <c r="L130" s="902"/>
      <c r="M130" s="906" t="s">
        <v>336</v>
      </c>
      <c r="N130" s="901">
        <v>3350.0</v>
      </c>
      <c r="O130" s="899" t="s">
        <v>689</v>
      </c>
      <c r="P130" s="899" t="s">
        <v>269</v>
      </c>
      <c r="Q130" s="901">
        <v>1993.0</v>
      </c>
      <c r="R130" s="901" t="s">
        <v>1784</v>
      </c>
      <c r="S130" s="899" t="s">
        <v>727</v>
      </c>
      <c r="T130" s="899" t="s">
        <v>728</v>
      </c>
      <c r="U130" s="885" t="str">
        <f>IFERROR(VLOOKUP(N130,'Thông số'!$B:$F,5,0),"")</f>
        <v>4780 x 2030 x 2840</v>
      </c>
    </row>
    <row r="131" ht="14.25" customHeight="1">
      <c r="A131" s="891">
        <v>12.0</v>
      </c>
      <c r="B131" s="892" t="s">
        <v>729</v>
      </c>
      <c r="C131" s="892" t="s">
        <v>139</v>
      </c>
      <c r="D131" s="895" t="s">
        <v>730</v>
      </c>
      <c r="E131" s="894"/>
      <c r="F131" s="894"/>
      <c r="G131" s="892" t="s">
        <v>731</v>
      </c>
      <c r="H131" s="895" t="s">
        <v>6528</v>
      </c>
      <c r="I131" s="895" t="s">
        <v>45</v>
      </c>
      <c r="J131" s="896">
        <v>45722.0</v>
      </c>
      <c r="K131" s="895" t="s">
        <v>865</v>
      </c>
      <c r="L131" s="894"/>
      <c r="M131" s="919" t="s">
        <v>336</v>
      </c>
      <c r="N131" s="895">
        <v>7800.0</v>
      </c>
      <c r="O131" s="892" t="s">
        <v>689</v>
      </c>
      <c r="P131" s="892" t="s">
        <v>732</v>
      </c>
      <c r="Q131" s="895">
        <v>1997.0</v>
      </c>
      <c r="R131" s="895" t="s">
        <v>6529</v>
      </c>
      <c r="S131" s="892" t="s">
        <v>733</v>
      </c>
      <c r="T131" s="892" t="s">
        <v>734</v>
      </c>
      <c r="U131" s="885" t="str">
        <f>IFERROR(VLOOKUP(N131,'Thông số'!$B:$F,5,0),"")</f>
        <v>4750 x 2440 x 3000</v>
      </c>
    </row>
    <row r="132" ht="14.25" customHeight="1">
      <c r="A132" s="898">
        <v>13.0</v>
      </c>
      <c r="B132" s="899" t="s">
        <v>735</v>
      </c>
      <c r="C132" s="902"/>
      <c r="D132" s="901" t="s">
        <v>736</v>
      </c>
      <c r="E132" s="902"/>
      <c r="F132" s="902"/>
      <c r="G132" s="899" t="s">
        <v>737</v>
      </c>
      <c r="H132" s="902"/>
      <c r="I132" s="901" t="s">
        <v>45</v>
      </c>
      <c r="J132" s="903">
        <v>46009.0</v>
      </c>
      <c r="K132" s="901" t="s">
        <v>1027</v>
      </c>
      <c r="L132" s="902"/>
      <c r="M132" s="906" t="s">
        <v>336</v>
      </c>
      <c r="N132" s="901">
        <v>1504.0</v>
      </c>
      <c r="O132" s="899" t="s">
        <v>739</v>
      </c>
      <c r="P132" s="899" t="s">
        <v>740</v>
      </c>
      <c r="Q132" s="901">
        <v>2025.0</v>
      </c>
      <c r="R132" s="901" t="s">
        <v>1863</v>
      </c>
      <c r="S132" s="899" t="s">
        <v>741</v>
      </c>
      <c r="T132" s="899" t="s">
        <v>742</v>
      </c>
      <c r="U132" s="885" t="str">
        <f>IFERROR(VLOOKUP(N132,'Thông số'!$B:$F,5,0),"")</f>
        <v>5300 x 2620 x 3010</v>
      </c>
    </row>
    <row r="133" ht="14.25" customHeight="1">
      <c r="A133" s="886" t="s">
        <v>760</v>
      </c>
      <c r="B133" s="887" t="s">
        <v>761</v>
      </c>
      <c r="C133" s="889">
        <v>14.0</v>
      </c>
      <c r="D133" s="890"/>
      <c r="E133" s="890"/>
      <c r="F133" s="890"/>
      <c r="G133" s="890"/>
      <c r="H133" s="890"/>
      <c r="I133" s="890"/>
      <c r="J133" s="890"/>
      <c r="K133" s="890"/>
      <c r="L133" s="890"/>
      <c r="M133" s="890"/>
      <c r="N133" s="890"/>
      <c r="O133" s="890"/>
      <c r="P133" s="890"/>
      <c r="Q133" s="890"/>
      <c r="R133" s="890"/>
      <c r="S133" s="890"/>
      <c r="T133" s="890"/>
      <c r="U133" s="885" t="str">
        <f>IFERROR(VLOOKUP(N133,'Thông số'!$B:$F,5,0),"")</f>
        <v/>
      </c>
    </row>
    <row r="134" ht="14.25" customHeight="1">
      <c r="A134" s="898">
        <v>1.0</v>
      </c>
      <c r="B134" s="899" t="s">
        <v>762</v>
      </c>
      <c r="C134" s="899" t="s">
        <v>763</v>
      </c>
      <c r="D134" s="901" t="s">
        <v>1747</v>
      </c>
      <c r="E134" s="902"/>
      <c r="F134" s="899" t="s">
        <v>1747</v>
      </c>
      <c r="G134" s="899" t="s">
        <v>687</v>
      </c>
      <c r="H134" s="901" t="s">
        <v>6520</v>
      </c>
      <c r="I134" s="901" t="s">
        <v>56</v>
      </c>
      <c r="J134" s="902"/>
      <c r="K134" s="901" t="s">
        <v>1027</v>
      </c>
      <c r="L134" s="902"/>
      <c r="M134" s="902"/>
      <c r="N134" s="901">
        <v>6603.0</v>
      </c>
      <c r="O134" s="899" t="s">
        <v>689</v>
      </c>
      <c r="P134" s="899" t="s">
        <v>690</v>
      </c>
      <c r="Q134" s="901">
        <v>2018.0</v>
      </c>
      <c r="R134" s="901" t="s">
        <v>271</v>
      </c>
      <c r="S134" s="899">
        <v>32607.0</v>
      </c>
      <c r="T134" s="899" t="s">
        <v>96</v>
      </c>
      <c r="U134" s="885" t="str">
        <f>IFERROR(VLOOKUP(N134,'Thông số'!$B:$F,5,0),"")</f>
        <v>4200 x 2600 x 2900</v>
      </c>
    </row>
    <row r="135" ht="14.25" customHeight="1">
      <c r="A135" s="898">
        <v>2.0</v>
      </c>
      <c r="B135" s="899" t="s">
        <v>764</v>
      </c>
      <c r="C135" s="899" t="s">
        <v>765</v>
      </c>
      <c r="D135" s="901" t="s">
        <v>1747</v>
      </c>
      <c r="E135" s="902"/>
      <c r="F135" s="899" t="s">
        <v>1747</v>
      </c>
      <c r="G135" s="899" t="s">
        <v>687</v>
      </c>
      <c r="H135" s="901" t="s">
        <v>6520</v>
      </c>
      <c r="I135" s="901" t="s">
        <v>56</v>
      </c>
      <c r="J135" s="902"/>
      <c r="K135" s="901" t="s">
        <v>1027</v>
      </c>
      <c r="L135" s="902"/>
      <c r="M135" s="902"/>
      <c r="N135" s="901">
        <v>6603.0</v>
      </c>
      <c r="O135" s="899" t="s">
        <v>689</v>
      </c>
      <c r="P135" s="899" t="s">
        <v>690</v>
      </c>
      <c r="Q135" s="901">
        <v>2018.0</v>
      </c>
      <c r="R135" s="901" t="s">
        <v>271</v>
      </c>
      <c r="S135" s="899" t="s">
        <v>766</v>
      </c>
      <c r="T135" s="899">
        <v>5958.0</v>
      </c>
      <c r="U135" s="885" t="str">
        <f>IFERROR(VLOOKUP(N135,'Thông số'!$B:$F,5,0),"")</f>
        <v>4200 x 2600 x 2900</v>
      </c>
    </row>
    <row r="136" ht="14.25" customHeight="1">
      <c r="A136" s="898">
        <v>3.0</v>
      </c>
      <c r="B136" s="899" t="s">
        <v>768</v>
      </c>
      <c r="C136" s="899" t="s">
        <v>769</v>
      </c>
      <c r="D136" s="901" t="s">
        <v>1747</v>
      </c>
      <c r="E136" s="902"/>
      <c r="F136" s="899" t="s">
        <v>1747</v>
      </c>
      <c r="G136" s="899" t="s">
        <v>687</v>
      </c>
      <c r="H136" s="901" t="s">
        <v>6520</v>
      </c>
      <c r="I136" s="901" t="s">
        <v>56</v>
      </c>
      <c r="J136" s="902"/>
      <c r="K136" s="901" t="s">
        <v>1027</v>
      </c>
      <c r="L136" s="902"/>
      <c r="M136" s="902"/>
      <c r="N136" s="901">
        <v>6603.0</v>
      </c>
      <c r="O136" s="899" t="s">
        <v>689</v>
      </c>
      <c r="P136" s="899" t="s">
        <v>690</v>
      </c>
      <c r="Q136" s="901">
        <v>2018.0</v>
      </c>
      <c r="R136" s="901" t="s">
        <v>271</v>
      </c>
      <c r="S136" s="899" t="s">
        <v>770</v>
      </c>
      <c r="T136" s="899" t="s">
        <v>771</v>
      </c>
      <c r="U136" s="885" t="str">
        <f>IFERROR(VLOOKUP(N136,'Thông số'!$B:$F,5,0),"")</f>
        <v>4200 x 2600 x 2900</v>
      </c>
    </row>
    <row r="137" ht="14.25" customHeight="1">
      <c r="A137" s="898">
        <v>4.0</v>
      </c>
      <c r="B137" s="899" t="s">
        <v>772</v>
      </c>
      <c r="C137" s="899" t="s">
        <v>773</v>
      </c>
      <c r="D137" s="901" t="s">
        <v>2305</v>
      </c>
      <c r="E137" s="902"/>
      <c r="F137" s="899" t="s">
        <v>2305</v>
      </c>
      <c r="G137" s="899" t="s">
        <v>695</v>
      </c>
      <c r="H137" s="901" t="s">
        <v>6520</v>
      </c>
      <c r="I137" s="901" t="s">
        <v>56</v>
      </c>
      <c r="J137" s="903">
        <v>45366.0</v>
      </c>
      <c r="K137" s="901" t="s">
        <v>1027</v>
      </c>
      <c r="L137" s="902"/>
      <c r="M137" s="902"/>
      <c r="N137" s="901" t="s">
        <v>697</v>
      </c>
      <c r="O137" s="899" t="s">
        <v>689</v>
      </c>
      <c r="P137" s="899" t="s">
        <v>690</v>
      </c>
      <c r="Q137" s="901">
        <v>2022.0</v>
      </c>
      <c r="R137" s="901" t="s">
        <v>271</v>
      </c>
      <c r="S137" s="899" t="s">
        <v>774</v>
      </c>
      <c r="T137" s="899" t="s">
        <v>775</v>
      </c>
      <c r="U137" s="885" t="str">
        <f>IFERROR(VLOOKUP(N137,'Thông số'!$B:$F,5,0),"")</f>
        <v>4835 x 2600 x 2965</v>
      </c>
    </row>
    <row r="138" ht="14.25" customHeight="1">
      <c r="A138" s="891">
        <v>5.0</v>
      </c>
      <c r="B138" s="892" t="s">
        <v>776</v>
      </c>
      <c r="C138" s="892" t="s">
        <v>777</v>
      </c>
      <c r="D138" s="895" t="s">
        <v>2356</v>
      </c>
      <c r="E138" s="894"/>
      <c r="F138" s="892" t="s">
        <v>2356</v>
      </c>
      <c r="G138" s="892" t="s">
        <v>701</v>
      </c>
      <c r="H138" s="895" t="s">
        <v>6524</v>
      </c>
      <c r="I138" s="895" t="s">
        <v>56</v>
      </c>
      <c r="J138" s="894"/>
      <c r="K138" s="895" t="s">
        <v>865</v>
      </c>
      <c r="L138" s="897">
        <v>0.97</v>
      </c>
      <c r="M138" s="919" t="s">
        <v>778</v>
      </c>
      <c r="N138" s="895">
        <v>5090.0</v>
      </c>
      <c r="O138" s="892" t="s">
        <v>689</v>
      </c>
      <c r="P138" s="892" t="s">
        <v>690</v>
      </c>
      <c r="Q138" s="895">
        <v>2022.0</v>
      </c>
      <c r="R138" s="895" t="s">
        <v>705</v>
      </c>
      <c r="S138" s="892" t="s">
        <v>779</v>
      </c>
      <c r="T138" s="892" t="s">
        <v>780</v>
      </c>
      <c r="U138" s="885" t="str">
        <f>IFERROR(VLOOKUP(N138,'Thông số'!$B:$F,5,0),"")</f>
        <v>4100 x 2100 x 2600</v>
      </c>
    </row>
    <row r="139" ht="14.25" customHeight="1">
      <c r="A139" s="898">
        <v>6.0</v>
      </c>
      <c r="B139" s="899" t="s">
        <v>781</v>
      </c>
      <c r="C139" s="899" t="s">
        <v>773</v>
      </c>
      <c r="D139" s="901" t="s">
        <v>2382</v>
      </c>
      <c r="E139" s="902"/>
      <c r="F139" s="899" t="s">
        <v>2382</v>
      </c>
      <c r="G139" s="899" t="s">
        <v>782</v>
      </c>
      <c r="H139" s="901" t="s">
        <v>6526</v>
      </c>
      <c r="I139" s="901" t="s">
        <v>56</v>
      </c>
      <c r="J139" s="903">
        <v>45421.0</v>
      </c>
      <c r="K139" s="901" t="s">
        <v>1027</v>
      </c>
      <c r="L139" s="902"/>
      <c r="M139" s="902"/>
      <c r="N139" s="901" t="s">
        <v>783</v>
      </c>
      <c r="O139" s="899" t="s">
        <v>689</v>
      </c>
      <c r="P139" s="899" t="s">
        <v>690</v>
      </c>
      <c r="Q139" s="901">
        <v>2022.0</v>
      </c>
      <c r="R139" s="901" t="s">
        <v>549</v>
      </c>
      <c r="S139" s="899" t="s">
        <v>784</v>
      </c>
      <c r="T139" s="899" t="s">
        <v>785</v>
      </c>
      <c r="U139" s="885" t="str">
        <f>IFERROR(VLOOKUP(N139,'Thông số'!$B:$F,5,0),"")</f>
        <v>4780 x 2550 x 3000</v>
      </c>
    </row>
    <row r="140" ht="14.25" customHeight="1">
      <c r="A140" s="898">
        <v>7.0</v>
      </c>
      <c r="B140" s="899" t="s">
        <v>786</v>
      </c>
      <c r="C140" s="899" t="s">
        <v>787</v>
      </c>
      <c r="D140" s="901" t="s">
        <v>2029</v>
      </c>
      <c r="E140" s="902"/>
      <c r="F140" s="899" t="s">
        <v>2029</v>
      </c>
      <c r="G140" s="899" t="s">
        <v>788</v>
      </c>
      <c r="H140" s="901" t="s">
        <v>6517</v>
      </c>
      <c r="I140" s="901" t="s">
        <v>56</v>
      </c>
      <c r="J140" s="903">
        <v>45381.0</v>
      </c>
      <c r="K140" s="901" t="s">
        <v>1027</v>
      </c>
      <c r="L140" s="902"/>
      <c r="M140" s="906" t="s">
        <v>790</v>
      </c>
      <c r="N140" s="901" t="s">
        <v>791</v>
      </c>
      <c r="O140" s="899" t="s">
        <v>454</v>
      </c>
      <c r="P140" s="899" t="s">
        <v>84</v>
      </c>
      <c r="Q140" s="901">
        <v>2013.0</v>
      </c>
      <c r="R140" s="901" t="s">
        <v>792</v>
      </c>
      <c r="S140" s="899">
        <v>57548.0</v>
      </c>
      <c r="T140" s="899" t="s">
        <v>96</v>
      </c>
      <c r="U140" s="885" t="str">
        <f>IFERROR(VLOOKUP(N140,'Thông số'!$B:$F,5,0),"")</f>
        <v>3445 x 1865 x 2535</v>
      </c>
    </row>
    <row r="141" ht="14.25" customHeight="1">
      <c r="A141" s="891">
        <v>8.0</v>
      </c>
      <c r="B141" s="892" t="s">
        <v>793</v>
      </c>
      <c r="C141" s="892" t="s">
        <v>139</v>
      </c>
      <c r="D141" s="895" t="s">
        <v>794</v>
      </c>
      <c r="E141" s="894"/>
      <c r="F141" s="892" t="s">
        <v>794</v>
      </c>
      <c r="G141" s="892" t="s">
        <v>710</v>
      </c>
      <c r="H141" s="895" t="s">
        <v>6520</v>
      </c>
      <c r="I141" s="895" t="s">
        <v>56</v>
      </c>
      <c r="J141" s="896">
        <v>45538.0</v>
      </c>
      <c r="K141" s="895" t="s">
        <v>865</v>
      </c>
      <c r="L141" s="894"/>
      <c r="M141" s="919" t="s">
        <v>336</v>
      </c>
      <c r="N141" s="895">
        <v>6400.0</v>
      </c>
      <c r="O141" s="892" t="s">
        <v>689</v>
      </c>
      <c r="P141" s="892" t="s">
        <v>795</v>
      </c>
      <c r="Q141" s="895">
        <v>1998.0</v>
      </c>
      <c r="R141" s="895" t="s">
        <v>682</v>
      </c>
      <c r="S141" s="892" t="s">
        <v>796</v>
      </c>
      <c r="T141" s="892" t="s">
        <v>797</v>
      </c>
      <c r="U141" s="885" t="str">
        <f>IFERROR(VLOOKUP(N141,'Thông số'!$B:$F,5,0),"")</f>
        <v>4200 x 2600 x 2900</v>
      </c>
    </row>
    <row r="142" ht="14.25" customHeight="1">
      <c r="A142" s="898">
        <v>9.0</v>
      </c>
      <c r="B142" s="899" t="s">
        <v>798</v>
      </c>
      <c r="C142" s="899" t="s">
        <v>799</v>
      </c>
      <c r="D142" s="901" t="s">
        <v>800</v>
      </c>
      <c r="E142" s="902"/>
      <c r="F142" s="902"/>
      <c r="G142" s="899" t="s">
        <v>737</v>
      </c>
      <c r="H142" s="901" t="s">
        <v>6526</v>
      </c>
      <c r="I142" s="901" t="s">
        <v>56</v>
      </c>
      <c r="J142" s="903">
        <v>45590.0</v>
      </c>
      <c r="K142" s="901" t="s">
        <v>1027</v>
      </c>
      <c r="L142" s="902"/>
      <c r="M142" s="906" t="s">
        <v>803</v>
      </c>
      <c r="N142" s="901">
        <v>1504.0</v>
      </c>
      <c r="O142" s="899" t="s">
        <v>739</v>
      </c>
      <c r="P142" s="899" t="s">
        <v>740</v>
      </c>
      <c r="Q142" s="901">
        <v>2024.0</v>
      </c>
      <c r="R142" s="901" t="s">
        <v>804</v>
      </c>
      <c r="S142" s="899" t="s">
        <v>805</v>
      </c>
      <c r="T142" s="899" t="s">
        <v>96</v>
      </c>
      <c r="U142" s="885" t="str">
        <f>IFERROR(VLOOKUP(N142,'Thông số'!$B:$F,5,0),"")</f>
        <v>5300 x 2620 x 3010</v>
      </c>
    </row>
    <row r="143" ht="14.25" customHeight="1">
      <c r="A143" s="891">
        <v>10.0</v>
      </c>
      <c r="B143" s="892" t="s">
        <v>806</v>
      </c>
      <c r="C143" s="892" t="s">
        <v>139</v>
      </c>
      <c r="D143" s="895" t="s">
        <v>807</v>
      </c>
      <c r="E143" s="894"/>
      <c r="F143" s="894"/>
      <c r="G143" s="892" t="s">
        <v>726</v>
      </c>
      <c r="H143" s="895" t="s">
        <v>6520</v>
      </c>
      <c r="I143" s="895" t="s">
        <v>56</v>
      </c>
      <c r="J143" s="896">
        <v>45700.0</v>
      </c>
      <c r="K143" s="895" t="s">
        <v>865</v>
      </c>
      <c r="L143" s="894"/>
      <c r="M143" s="919" t="s">
        <v>336</v>
      </c>
      <c r="N143" s="895">
        <v>3350.0</v>
      </c>
      <c r="O143" s="892" t="s">
        <v>689</v>
      </c>
      <c r="P143" s="892" t="s">
        <v>795</v>
      </c>
      <c r="Q143" s="895">
        <v>1993.0</v>
      </c>
      <c r="R143" s="895" t="s">
        <v>682</v>
      </c>
      <c r="S143" s="892">
        <v>608107.0</v>
      </c>
      <c r="T143" s="892" t="s">
        <v>808</v>
      </c>
      <c r="U143" s="885" t="str">
        <f>IFERROR(VLOOKUP(N143,'Thông số'!$B:$F,5,0),"")</f>
        <v>4780 x 2030 x 2840</v>
      </c>
    </row>
    <row r="144" ht="14.25" customHeight="1">
      <c r="A144" s="898">
        <v>11.0</v>
      </c>
      <c r="B144" s="899" t="s">
        <v>809</v>
      </c>
      <c r="C144" s="905" t="s">
        <v>139</v>
      </c>
      <c r="D144" s="901" t="s">
        <v>810</v>
      </c>
      <c r="E144" s="902"/>
      <c r="F144" s="902"/>
      <c r="G144" s="899" t="s">
        <v>811</v>
      </c>
      <c r="H144" s="901" t="s">
        <v>6520</v>
      </c>
      <c r="I144" s="901" t="s">
        <v>56</v>
      </c>
      <c r="J144" s="903">
        <v>45713.0</v>
      </c>
      <c r="K144" s="901" t="s">
        <v>1027</v>
      </c>
      <c r="L144" s="902"/>
      <c r="M144" s="906" t="s">
        <v>336</v>
      </c>
      <c r="N144" s="901">
        <v>3650.0</v>
      </c>
      <c r="O144" s="899" t="s">
        <v>689</v>
      </c>
      <c r="P144" s="899" t="s">
        <v>795</v>
      </c>
      <c r="Q144" s="901">
        <v>1993.0</v>
      </c>
      <c r="R144" s="901" t="s">
        <v>504</v>
      </c>
      <c r="S144" s="899" t="s">
        <v>813</v>
      </c>
      <c r="T144" s="899" t="s">
        <v>814</v>
      </c>
      <c r="U144" s="885" t="str">
        <f>IFERROR(VLOOKUP(N144,'Thông số'!$B:$F,5,0),"")</f>
        <v>4890 x 2260 x 2880</v>
      </c>
    </row>
    <row r="145" ht="14.25" customHeight="1">
      <c r="A145" s="891">
        <v>12.0</v>
      </c>
      <c r="B145" s="892" t="s">
        <v>815</v>
      </c>
      <c r="C145" s="892" t="s">
        <v>139</v>
      </c>
      <c r="D145" s="895" t="s">
        <v>816</v>
      </c>
      <c r="E145" s="894"/>
      <c r="F145" s="894"/>
      <c r="G145" s="892" t="s">
        <v>817</v>
      </c>
      <c r="H145" s="895" t="s">
        <v>6520</v>
      </c>
      <c r="I145" s="895" t="s">
        <v>56</v>
      </c>
      <c r="J145" s="896">
        <v>45776.0</v>
      </c>
      <c r="K145" s="895" t="s">
        <v>865</v>
      </c>
      <c r="L145" s="894"/>
      <c r="M145" s="919" t="s">
        <v>336</v>
      </c>
      <c r="N145" s="895">
        <v>3640.0</v>
      </c>
      <c r="O145" s="892" t="s">
        <v>689</v>
      </c>
      <c r="P145" s="892" t="s">
        <v>269</v>
      </c>
      <c r="Q145" s="895">
        <v>1987.0</v>
      </c>
      <c r="R145" s="895" t="s">
        <v>504</v>
      </c>
      <c r="S145" s="892" t="s">
        <v>819</v>
      </c>
      <c r="T145" s="892" t="s">
        <v>820</v>
      </c>
      <c r="U145" s="885" t="str">
        <f>IFERROR(VLOOKUP(N145,'Thông số'!$B:$F,5,0),"")</f>
        <v>4800 x 2150 x 2970</v>
      </c>
    </row>
    <row r="146" ht="14.25" customHeight="1">
      <c r="A146" s="891">
        <v>13.0</v>
      </c>
      <c r="B146" s="892" t="s">
        <v>821</v>
      </c>
      <c r="C146" s="892" t="s">
        <v>139</v>
      </c>
      <c r="D146" s="895" t="s">
        <v>822</v>
      </c>
      <c r="E146" s="894"/>
      <c r="F146" s="894"/>
      <c r="G146" s="892" t="s">
        <v>823</v>
      </c>
      <c r="H146" s="895" t="s">
        <v>6520</v>
      </c>
      <c r="I146" s="895" t="s">
        <v>56</v>
      </c>
      <c r="J146" s="896">
        <v>45776.0</v>
      </c>
      <c r="K146" s="895" t="s">
        <v>865</v>
      </c>
      <c r="L146" s="894"/>
      <c r="M146" s="919" t="s">
        <v>336</v>
      </c>
      <c r="N146" s="895">
        <v>6300.0</v>
      </c>
      <c r="O146" s="892" t="s">
        <v>689</v>
      </c>
      <c r="P146" s="892" t="s">
        <v>269</v>
      </c>
      <c r="Q146" s="895">
        <v>1994.0</v>
      </c>
      <c r="R146" s="895" t="s">
        <v>824</v>
      </c>
      <c r="S146" s="892" t="s">
        <v>825</v>
      </c>
      <c r="T146" s="892" t="s">
        <v>826</v>
      </c>
      <c r="U146" s="885" t="str">
        <f>IFERROR(VLOOKUP(N146,'Thông số'!$B:$F,5,0),"")</f>
        <v>4800 x 2007 x 2743</v>
      </c>
    </row>
    <row r="147" ht="14.25" customHeight="1">
      <c r="A147" s="898">
        <v>14.0</v>
      </c>
      <c r="B147" s="899" t="s">
        <v>827</v>
      </c>
      <c r="C147" s="902"/>
      <c r="D147" s="901" t="s">
        <v>828</v>
      </c>
      <c r="E147" s="902"/>
      <c r="F147" s="902"/>
      <c r="G147" s="899" t="s">
        <v>737</v>
      </c>
      <c r="H147" s="902"/>
      <c r="I147" s="901" t="s">
        <v>56</v>
      </c>
      <c r="J147" s="903">
        <v>46009.0</v>
      </c>
      <c r="K147" s="901" t="s">
        <v>1027</v>
      </c>
      <c r="L147" s="902"/>
      <c r="M147" s="906" t="s">
        <v>336</v>
      </c>
      <c r="N147" s="901">
        <v>1504.0</v>
      </c>
      <c r="O147" s="899" t="s">
        <v>739</v>
      </c>
      <c r="P147" s="899" t="s">
        <v>740</v>
      </c>
      <c r="Q147" s="901">
        <v>2025.0</v>
      </c>
      <c r="R147" s="901" t="s">
        <v>1863</v>
      </c>
      <c r="S147" s="899" t="s">
        <v>829</v>
      </c>
      <c r="T147" s="899" t="s">
        <v>830</v>
      </c>
      <c r="U147" s="885" t="str">
        <f>IFERROR(VLOOKUP(N147,'Thông số'!$B:$F,5,0),"")</f>
        <v>5300 x 2620 x 3010</v>
      </c>
    </row>
    <row r="148" ht="14.25" customHeight="1">
      <c r="A148" s="886" t="s">
        <v>831</v>
      </c>
      <c r="B148" s="887" t="s">
        <v>832</v>
      </c>
      <c r="C148" s="889">
        <v>4.0</v>
      </c>
      <c r="D148" s="890"/>
      <c r="E148" s="890"/>
      <c r="F148" s="890"/>
      <c r="G148" s="890"/>
      <c r="H148" s="890"/>
      <c r="I148" s="890"/>
      <c r="J148" s="890"/>
      <c r="K148" s="890"/>
      <c r="L148" s="890"/>
      <c r="M148" s="890"/>
      <c r="N148" s="890"/>
      <c r="O148" s="890"/>
      <c r="P148" s="890"/>
      <c r="Q148" s="890"/>
      <c r="R148" s="890"/>
      <c r="S148" s="890"/>
      <c r="T148" s="890"/>
      <c r="U148" s="885" t="str">
        <f>IFERROR(VLOOKUP(N148,'Thông số'!$B:$F,5,0),"")</f>
        <v/>
      </c>
    </row>
    <row r="149" ht="14.25" customHeight="1">
      <c r="A149" s="891">
        <v>1.0</v>
      </c>
      <c r="B149" s="892" t="s">
        <v>833</v>
      </c>
      <c r="C149" s="892" t="s">
        <v>834</v>
      </c>
      <c r="D149" s="895" t="s">
        <v>2622</v>
      </c>
      <c r="E149" s="894"/>
      <c r="F149" s="892" t="s">
        <v>2622</v>
      </c>
      <c r="G149" s="892" t="s">
        <v>835</v>
      </c>
      <c r="H149" s="895" t="s">
        <v>6526</v>
      </c>
      <c r="I149" s="895" t="s">
        <v>6530</v>
      </c>
      <c r="J149" s="894"/>
      <c r="K149" s="895" t="s">
        <v>865</v>
      </c>
      <c r="L149" s="894"/>
      <c r="M149" s="894"/>
      <c r="N149" s="895" t="s">
        <v>839</v>
      </c>
      <c r="O149" s="892" t="s">
        <v>837</v>
      </c>
      <c r="P149" s="892" t="s">
        <v>838</v>
      </c>
      <c r="Q149" s="895">
        <v>2018.0</v>
      </c>
      <c r="R149" s="895" t="s">
        <v>278</v>
      </c>
      <c r="S149" s="892">
        <v>73737.0</v>
      </c>
      <c r="T149" s="892" t="s">
        <v>96</v>
      </c>
      <c r="U149" s="885" t="str">
        <f>IFERROR(VLOOKUP(N149,'Thông số'!$B:$F,5,0),"")</f>
        <v/>
      </c>
    </row>
    <row r="150" ht="14.25" customHeight="1">
      <c r="A150" s="891">
        <v>2.0</v>
      </c>
      <c r="B150" s="892" t="s">
        <v>840</v>
      </c>
      <c r="C150" s="892" t="s">
        <v>841</v>
      </c>
      <c r="D150" s="895" t="s">
        <v>1747</v>
      </c>
      <c r="E150" s="894"/>
      <c r="F150" s="892" t="s">
        <v>1747</v>
      </c>
      <c r="G150" s="892" t="s">
        <v>687</v>
      </c>
      <c r="H150" s="895" t="s">
        <v>6520</v>
      </c>
      <c r="I150" s="895" t="s">
        <v>6530</v>
      </c>
      <c r="J150" s="896">
        <v>43832.0</v>
      </c>
      <c r="K150" s="895" t="s">
        <v>865</v>
      </c>
      <c r="L150" s="897">
        <v>0.5</v>
      </c>
      <c r="M150" s="894"/>
      <c r="N150" s="895">
        <v>6603.0</v>
      </c>
      <c r="O150" s="892" t="s">
        <v>689</v>
      </c>
      <c r="P150" s="892" t="s">
        <v>690</v>
      </c>
      <c r="Q150" s="895">
        <v>2018.0</v>
      </c>
      <c r="R150" s="895" t="s">
        <v>271</v>
      </c>
      <c r="S150" s="892">
        <v>33027.0</v>
      </c>
      <c r="T150" s="892" t="s">
        <v>96</v>
      </c>
      <c r="U150" s="885" t="str">
        <f>IFERROR(VLOOKUP(N150,'Thông số'!$B:$F,5,0),"")</f>
        <v>4200 x 2600 x 2900</v>
      </c>
    </row>
    <row r="151" ht="14.25" customHeight="1">
      <c r="A151" s="891">
        <v>3.0</v>
      </c>
      <c r="B151" s="892" t="s">
        <v>842</v>
      </c>
      <c r="C151" s="892" t="s">
        <v>843</v>
      </c>
      <c r="D151" s="895" t="s">
        <v>2053</v>
      </c>
      <c r="E151" s="894"/>
      <c r="F151" s="892" t="s">
        <v>2053</v>
      </c>
      <c r="G151" s="892" t="s">
        <v>844</v>
      </c>
      <c r="H151" s="895" t="s">
        <v>6520</v>
      </c>
      <c r="I151" s="895" t="s">
        <v>6530</v>
      </c>
      <c r="J151" s="894"/>
      <c r="K151" s="895" t="s">
        <v>865</v>
      </c>
      <c r="L151" s="894"/>
      <c r="M151" s="894"/>
      <c r="N151" s="895">
        <v>9540.0</v>
      </c>
      <c r="O151" s="892" t="s">
        <v>454</v>
      </c>
      <c r="P151" s="892" t="s">
        <v>84</v>
      </c>
      <c r="Q151" s="895">
        <v>2011.0</v>
      </c>
      <c r="R151" s="895" t="s">
        <v>845</v>
      </c>
      <c r="S151" s="892" t="s">
        <v>846</v>
      </c>
      <c r="T151" s="892" t="s">
        <v>96</v>
      </c>
      <c r="U151" s="885" t="str">
        <f>IFERROR(VLOOKUP(N151,'Thông số'!$B:$F,5,0),"")</f>
        <v>3760 x 1900 x 2570</v>
      </c>
    </row>
    <row r="152" ht="14.25" customHeight="1">
      <c r="A152" s="898">
        <v>4.0</v>
      </c>
      <c r="B152" s="899" t="s">
        <v>847</v>
      </c>
      <c r="C152" s="899" t="s">
        <v>773</v>
      </c>
      <c r="D152" s="901" t="s">
        <v>2346</v>
      </c>
      <c r="E152" s="902"/>
      <c r="F152" s="899" t="s">
        <v>2346</v>
      </c>
      <c r="G152" s="899" t="s">
        <v>701</v>
      </c>
      <c r="H152" s="901" t="s">
        <v>6524</v>
      </c>
      <c r="I152" s="901" t="s">
        <v>6530</v>
      </c>
      <c r="J152" s="903">
        <v>45366.0</v>
      </c>
      <c r="K152" s="901" t="s">
        <v>1027</v>
      </c>
      <c r="L152" s="902"/>
      <c r="M152" s="906" t="s">
        <v>848</v>
      </c>
      <c r="N152" s="901" t="s">
        <v>704</v>
      </c>
      <c r="O152" s="899" t="s">
        <v>689</v>
      </c>
      <c r="P152" s="899" t="s">
        <v>690</v>
      </c>
      <c r="Q152" s="901">
        <v>2022.0</v>
      </c>
      <c r="R152" s="901" t="s">
        <v>705</v>
      </c>
      <c r="S152" s="899" t="s">
        <v>849</v>
      </c>
      <c r="T152" s="899" t="s">
        <v>850</v>
      </c>
      <c r="U152" s="885" t="str">
        <f>IFERROR(VLOOKUP(N152,'Thông số'!$B:$F,5,0),"")</f>
        <v>4100 x 2100 x 2600</v>
      </c>
    </row>
    <row r="153" ht="14.25" customHeight="1">
      <c r="A153" s="882" t="s">
        <v>852</v>
      </c>
      <c r="B153" s="883"/>
      <c r="C153" s="884">
        <v>155.0</v>
      </c>
      <c r="D153" s="883"/>
      <c r="E153" s="883"/>
      <c r="F153" s="883"/>
      <c r="G153" s="883"/>
      <c r="H153" s="883"/>
      <c r="I153" s="883"/>
      <c r="J153" s="883"/>
      <c r="K153" s="883"/>
      <c r="L153" s="883"/>
      <c r="M153" s="883"/>
      <c r="N153" s="883"/>
      <c r="O153" s="883"/>
      <c r="P153" s="883"/>
      <c r="Q153" s="883"/>
      <c r="R153" s="883"/>
      <c r="S153" s="883"/>
      <c r="T153" s="883"/>
      <c r="U153" s="885" t="str">
        <f>IFERROR(VLOOKUP(N153,'Thông số'!$B:$F,5,0),"")</f>
        <v/>
      </c>
    </row>
    <row r="154" ht="14.25" customHeight="1">
      <c r="A154" s="886" t="s">
        <v>853</v>
      </c>
      <c r="B154" s="887" t="s">
        <v>854</v>
      </c>
      <c r="C154" s="889">
        <v>27.0</v>
      </c>
      <c r="D154" s="890"/>
      <c r="E154" s="890"/>
      <c r="F154" s="890"/>
      <c r="G154" s="890"/>
      <c r="H154" s="890"/>
      <c r="I154" s="890"/>
      <c r="J154" s="890"/>
      <c r="K154" s="890"/>
      <c r="L154" s="890"/>
      <c r="M154" s="890"/>
      <c r="N154" s="890"/>
      <c r="O154" s="890"/>
      <c r="P154" s="890"/>
      <c r="Q154" s="890"/>
      <c r="R154" s="890"/>
      <c r="S154" s="890"/>
      <c r="T154" s="890"/>
      <c r="U154" s="885" t="str">
        <f>IFERROR(VLOOKUP(N154,'Thông số'!$B:$F,5,0),"")</f>
        <v/>
      </c>
    </row>
    <row r="155" ht="14.25" customHeight="1">
      <c r="A155" s="898">
        <v>1.0</v>
      </c>
      <c r="B155" s="899" t="s">
        <v>855</v>
      </c>
      <c r="C155" s="899" t="s">
        <v>856</v>
      </c>
      <c r="D155" s="901" t="s">
        <v>6531</v>
      </c>
      <c r="E155" s="902"/>
      <c r="F155" s="899" t="s">
        <v>1824</v>
      </c>
      <c r="G155" s="899" t="s">
        <v>857</v>
      </c>
      <c r="H155" s="901" t="s">
        <v>6517</v>
      </c>
      <c r="I155" s="901" t="s">
        <v>858</v>
      </c>
      <c r="J155" s="902"/>
      <c r="K155" s="901" t="s">
        <v>1027</v>
      </c>
      <c r="L155" s="902"/>
      <c r="M155" s="902"/>
      <c r="N155" s="901" t="s">
        <v>860</v>
      </c>
      <c r="O155" s="899" t="s">
        <v>743</v>
      </c>
      <c r="P155" s="899" t="s">
        <v>148</v>
      </c>
      <c r="Q155" s="901">
        <v>2018.0</v>
      </c>
      <c r="R155" s="901" t="s">
        <v>861</v>
      </c>
      <c r="S155" s="899" t="s">
        <v>862</v>
      </c>
      <c r="T155" s="899" t="s">
        <v>96</v>
      </c>
      <c r="U155" s="885" t="str">
        <f>IFERROR(VLOOKUP(N155,'Thông số'!$B:$F,5,0),"")</f>
        <v>3226 x 1570 x 1545</v>
      </c>
    </row>
    <row r="156" ht="14.25" customHeight="1">
      <c r="A156" s="898">
        <v>2.0</v>
      </c>
      <c r="B156" s="899" t="s">
        <v>863</v>
      </c>
      <c r="C156" s="899" t="s">
        <v>864</v>
      </c>
      <c r="D156" s="901" t="s">
        <v>6532</v>
      </c>
      <c r="E156" s="902"/>
      <c r="F156" s="899" t="s">
        <v>1824</v>
      </c>
      <c r="G156" s="899" t="s">
        <v>857</v>
      </c>
      <c r="H156" s="901" t="s">
        <v>6517</v>
      </c>
      <c r="I156" s="901" t="s">
        <v>858</v>
      </c>
      <c r="J156" s="902"/>
      <c r="K156" s="901" t="s">
        <v>1027</v>
      </c>
      <c r="L156" s="902"/>
      <c r="M156" s="902"/>
      <c r="N156" s="901" t="s">
        <v>860</v>
      </c>
      <c r="O156" s="899" t="s">
        <v>743</v>
      </c>
      <c r="P156" s="899" t="s">
        <v>148</v>
      </c>
      <c r="Q156" s="901">
        <v>2018.0</v>
      </c>
      <c r="R156" s="901" t="s">
        <v>861</v>
      </c>
      <c r="S156" s="899" t="s">
        <v>867</v>
      </c>
      <c r="T156" s="899" t="s">
        <v>96</v>
      </c>
      <c r="U156" s="885" t="str">
        <f>IFERROR(VLOOKUP(N156,'Thông số'!$B:$F,5,0),"")</f>
        <v>3226 x 1570 x 1545</v>
      </c>
    </row>
    <row r="157" ht="14.25" customHeight="1">
      <c r="A157" s="898">
        <v>3.0</v>
      </c>
      <c r="B157" s="899" t="s">
        <v>868</v>
      </c>
      <c r="C157" s="899" t="s">
        <v>869</v>
      </c>
      <c r="D157" s="901" t="s">
        <v>6533</v>
      </c>
      <c r="E157" s="902"/>
      <c r="F157" s="899" t="s">
        <v>1824</v>
      </c>
      <c r="G157" s="899" t="s">
        <v>857</v>
      </c>
      <c r="H157" s="901" t="s">
        <v>6517</v>
      </c>
      <c r="I157" s="901" t="s">
        <v>858</v>
      </c>
      <c r="J157" s="903">
        <v>45406.0</v>
      </c>
      <c r="K157" s="901" t="s">
        <v>1027</v>
      </c>
      <c r="L157" s="902"/>
      <c r="M157" s="906" t="s">
        <v>871</v>
      </c>
      <c r="N157" s="901" t="s">
        <v>860</v>
      </c>
      <c r="O157" s="899" t="s">
        <v>743</v>
      </c>
      <c r="P157" s="899" t="s">
        <v>148</v>
      </c>
      <c r="Q157" s="901">
        <v>2018.0</v>
      </c>
      <c r="R157" s="901" t="s">
        <v>861</v>
      </c>
      <c r="S157" s="899" t="s">
        <v>872</v>
      </c>
      <c r="T157" s="899" t="s">
        <v>96</v>
      </c>
      <c r="U157" s="885" t="str">
        <f>IFERROR(VLOOKUP(N157,'Thông số'!$B:$F,5,0),"")</f>
        <v>3226 x 1570 x 1545</v>
      </c>
    </row>
    <row r="158" ht="14.25" customHeight="1">
      <c r="A158" s="891">
        <v>4.0</v>
      </c>
      <c r="B158" s="892" t="s">
        <v>873</v>
      </c>
      <c r="C158" s="892" t="s">
        <v>874</v>
      </c>
      <c r="D158" s="894"/>
      <c r="E158" s="894"/>
      <c r="F158" s="892" t="s">
        <v>1422</v>
      </c>
      <c r="G158" s="892" t="s">
        <v>875</v>
      </c>
      <c r="H158" s="895" t="s">
        <v>6517</v>
      </c>
      <c r="I158" s="895" t="s">
        <v>858</v>
      </c>
      <c r="J158" s="894"/>
      <c r="K158" s="895" t="s">
        <v>865</v>
      </c>
      <c r="L158" s="894"/>
      <c r="M158" s="919" t="s">
        <v>876</v>
      </c>
      <c r="N158" s="895" t="s">
        <v>878</v>
      </c>
      <c r="O158" s="892" t="s">
        <v>454</v>
      </c>
      <c r="P158" s="892" t="s">
        <v>84</v>
      </c>
      <c r="Q158" s="895">
        <v>2019.0</v>
      </c>
      <c r="R158" s="895" t="s">
        <v>101</v>
      </c>
      <c r="S158" s="892">
        <v>14793.0</v>
      </c>
      <c r="T158" s="892" t="s">
        <v>96</v>
      </c>
      <c r="U158" s="885" t="str">
        <f>IFERROR(VLOOKUP(N158,'Thông số'!$B:$F,5,0),"")</f>
        <v>3120 x 1495 x 1510</v>
      </c>
    </row>
    <row r="159" ht="14.25" customHeight="1">
      <c r="A159" s="898">
        <v>5.0</v>
      </c>
      <c r="B159" s="899" t="s">
        <v>879</v>
      </c>
      <c r="C159" s="902"/>
      <c r="D159" s="901" t="s">
        <v>5819</v>
      </c>
      <c r="E159" s="902"/>
      <c r="F159" s="899" t="s">
        <v>5819</v>
      </c>
      <c r="G159" s="899" t="s">
        <v>880</v>
      </c>
      <c r="H159" s="901" t="s">
        <v>5841</v>
      </c>
      <c r="I159" s="901" t="s">
        <v>858</v>
      </c>
      <c r="J159" s="902"/>
      <c r="K159" s="901" t="s">
        <v>1027</v>
      </c>
      <c r="L159" s="902"/>
      <c r="M159" s="902"/>
      <c r="N159" s="901" t="s">
        <v>884</v>
      </c>
      <c r="O159" s="899" t="s">
        <v>882</v>
      </c>
      <c r="P159" s="899" t="s">
        <v>883</v>
      </c>
      <c r="Q159" s="901">
        <v>2019.0</v>
      </c>
      <c r="R159" s="901" t="s">
        <v>885</v>
      </c>
      <c r="S159" s="899">
        <v>1.5011901E9</v>
      </c>
      <c r="T159" s="899" t="s">
        <v>886</v>
      </c>
      <c r="U159" s="885" t="str">
        <f>IFERROR(VLOOKUP(N159,'Thông số'!$B:$F,5,0),"")</f>
        <v/>
      </c>
    </row>
    <row r="160" ht="14.25" customHeight="1">
      <c r="A160" s="898">
        <v>6.0</v>
      </c>
      <c r="B160" s="899" t="s">
        <v>894</v>
      </c>
      <c r="C160" s="902"/>
      <c r="D160" s="901" t="s">
        <v>5899</v>
      </c>
      <c r="E160" s="901" t="s">
        <v>895</v>
      </c>
      <c r="F160" s="899" t="s">
        <v>5899</v>
      </c>
      <c r="G160" s="899" t="s">
        <v>896</v>
      </c>
      <c r="H160" s="902"/>
      <c r="I160" s="901" t="s">
        <v>858</v>
      </c>
      <c r="J160" s="903">
        <v>45301.0</v>
      </c>
      <c r="K160" s="901" t="s">
        <v>1027</v>
      </c>
      <c r="L160" s="904">
        <v>0.98</v>
      </c>
      <c r="M160" s="902"/>
      <c r="N160" s="901" t="s">
        <v>898</v>
      </c>
      <c r="O160" s="899" t="s">
        <v>897</v>
      </c>
      <c r="P160" s="899" t="s">
        <v>148</v>
      </c>
      <c r="Q160" s="901">
        <v>2021.0</v>
      </c>
      <c r="R160" s="901" t="s">
        <v>158</v>
      </c>
      <c r="S160" s="899" t="s">
        <v>899</v>
      </c>
      <c r="T160" s="899" t="s">
        <v>900</v>
      </c>
      <c r="U160" s="885" t="str">
        <f>IFERROR(VLOOKUP(N160,'Thông số'!$B:$F,5,0),"")</f>
        <v>4730 x 1750 x 2100</v>
      </c>
    </row>
    <row r="161" ht="14.25" customHeight="1">
      <c r="A161" s="891">
        <v>7.0</v>
      </c>
      <c r="B161" s="892" t="s">
        <v>901</v>
      </c>
      <c r="C161" s="892" t="s">
        <v>902</v>
      </c>
      <c r="D161" s="895" t="s">
        <v>6534</v>
      </c>
      <c r="E161" s="894"/>
      <c r="F161" s="894"/>
      <c r="G161" s="892" t="s">
        <v>6535</v>
      </c>
      <c r="H161" s="895" t="s">
        <v>5892</v>
      </c>
      <c r="I161" s="895" t="s">
        <v>858</v>
      </c>
      <c r="J161" s="896">
        <v>45357.0</v>
      </c>
      <c r="K161" s="895" t="s">
        <v>865</v>
      </c>
      <c r="L161" s="894"/>
      <c r="M161" s="919" t="s">
        <v>904</v>
      </c>
      <c r="N161" s="894"/>
      <c r="O161" s="892" t="s">
        <v>905</v>
      </c>
      <c r="P161" s="892" t="s">
        <v>883</v>
      </c>
      <c r="Q161" s="895">
        <v>2010.0</v>
      </c>
      <c r="R161" s="894"/>
      <c r="S161" s="892" t="s">
        <v>906</v>
      </c>
      <c r="T161" s="892" t="s">
        <v>96</v>
      </c>
      <c r="U161" s="885" t="str">
        <f>IFERROR(VLOOKUP(N161,'Thông số'!$B:$F,5,0),"")</f>
        <v/>
      </c>
    </row>
    <row r="162" ht="14.25" customHeight="1">
      <c r="A162" s="891">
        <v>8.0</v>
      </c>
      <c r="B162" s="892" t="s">
        <v>908</v>
      </c>
      <c r="C162" s="892" t="s">
        <v>909</v>
      </c>
      <c r="D162" s="895" t="s">
        <v>6536</v>
      </c>
      <c r="E162" s="894"/>
      <c r="F162" s="894"/>
      <c r="G162" s="892" t="s">
        <v>910</v>
      </c>
      <c r="H162" s="895" t="s">
        <v>6537</v>
      </c>
      <c r="I162" s="895" t="s">
        <v>858</v>
      </c>
      <c r="J162" s="894"/>
      <c r="K162" s="895" t="s">
        <v>865</v>
      </c>
      <c r="L162" s="894"/>
      <c r="M162" s="894"/>
      <c r="N162" s="894"/>
      <c r="O162" s="892" t="s">
        <v>911</v>
      </c>
      <c r="P162" s="892" t="s">
        <v>912</v>
      </c>
      <c r="Q162" s="894"/>
      <c r="R162" s="895" t="s">
        <v>792</v>
      </c>
      <c r="S162" s="892">
        <v>113819.0</v>
      </c>
      <c r="T162" s="892" t="s">
        <v>96</v>
      </c>
      <c r="U162" s="885" t="str">
        <f>IFERROR(VLOOKUP(N162,'Thông số'!$B:$F,5,0),"")</f>
        <v/>
      </c>
    </row>
    <row r="163" ht="14.25" customHeight="1">
      <c r="A163" s="898">
        <v>9.0</v>
      </c>
      <c r="B163" s="899" t="s">
        <v>913</v>
      </c>
      <c r="C163" s="899" t="s">
        <v>914</v>
      </c>
      <c r="D163" s="901" t="s">
        <v>6538</v>
      </c>
      <c r="E163" s="902"/>
      <c r="F163" s="902"/>
      <c r="G163" s="899" t="s">
        <v>910</v>
      </c>
      <c r="H163" s="901" t="s">
        <v>6537</v>
      </c>
      <c r="I163" s="901" t="s">
        <v>858</v>
      </c>
      <c r="J163" s="903">
        <v>45425.0</v>
      </c>
      <c r="K163" s="901" t="s">
        <v>1027</v>
      </c>
      <c r="L163" s="902"/>
      <c r="M163" s="902"/>
      <c r="N163" s="902"/>
      <c r="O163" s="899" t="s">
        <v>911</v>
      </c>
      <c r="P163" s="899" t="s">
        <v>912</v>
      </c>
      <c r="Q163" s="902"/>
      <c r="R163" s="901" t="s">
        <v>792</v>
      </c>
      <c r="S163" s="899">
        <v>78504.0</v>
      </c>
      <c r="T163" s="899" t="s">
        <v>96</v>
      </c>
      <c r="U163" s="885" t="str">
        <f>IFERROR(VLOOKUP(N163,'Thông số'!$B:$F,5,0),"")</f>
        <v/>
      </c>
    </row>
    <row r="164" ht="14.25" customHeight="1">
      <c r="A164" s="898">
        <v>10.0</v>
      </c>
      <c r="B164" s="899" t="s">
        <v>916</v>
      </c>
      <c r="C164" s="899" t="s">
        <v>917</v>
      </c>
      <c r="D164" s="901" t="s">
        <v>918</v>
      </c>
      <c r="E164" s="902"/>
      <c r="F164" s="899" t="s">
        <v>1054</v>
      </c>
      <c r="G164" s="899" t="s">
        <v>919</v>
      </c>
      <c r="H164" s="901" t="s">
        <v>6539</v>
      </c>
      <c r="I164" s="901" t="s">
        <v>858</v>
      </c>
      <c r="J164" s="903">
        <v>45455.0</v>
      </c>
      <c r="K164" s="901" t="s">
        <v>1027</v>
      </c>
      <c r="L164" s="904">
        <v>1.0</v>
      </c>
      <c r="M164" s="906" t="s">
        <v>920</v>
      </c>
      <c r="N164" s="901" t="s">
        <v>6540</v>
      </c>
      <c r="O164" s="899" t="s">
        <v>743</v>
      </c>
      <c r="P164" s="899" t="s">
        <v>148</v>
      </c>
      <c r="Q164" s="901">
        <v>2024.0</v>
      </c>
      <c r="R164" s="901" t="s">
        <v>922</v>
      </c>
      <c r="S164" s="899" t="s">
        <v>923</v>
      </c>
      <c r="T164" s="899" t="s">
        <v>924</v>
      </c>
      <c r="U164" s="885" t="str">
        <f>IFERROR(VLOOKUP(N164,'Thông số'!$B:$F,5,0),"")</f>
        <v>5250 x 2170 x 2520</v>
      </c>
    </row>
    <row r="165" ht="14.25" customHeight="1">
      <c r="A165" s="891">
        <v>11.0</v>
      </c>
      <c r="B165" s="892" t="s">
        <v>925</v>
      </c>
      <c r="C165" s="892" t="s">
        <v>926</v>
      </c>
      <c r="D165" s="895" t="s">
        <v>927</v>
      </c>
      <c r="E165" s="894"/>
      <c r="F165" s="892" t="s">
        <v>5525</v>
      </c>
      <c r="G165" s="892" t="s">
        <v>919</v>
      </c>
      <c r="H165" s="895" t="s">
        <v>6539</v>
      </c>
      <c r="I165" s="895" t="s">
        <v>858</v>
      </c>
      <c r="J165" s="896">
        <v>45455.0</v>
      </c>
      <c r="K165" s="895" t="s">
        <v>865</v>
      </c>
      <c r="L165" s="897">
        <v>1.0</v>
      </c>
      <c r="M165" s="919" t="s">
        <v>920</v>
      </c>
      <c r="N165" s="895" t="s">
        <v>6540</v>
      </c>
      <c r="O165" s="892" t="s">
        <v>743</v>
      </c>
      <c r="P165" s="892" t="s">
        <v>148</v>
      </c>
      <c r="Q165" s="895">
        <v>2024.0</v>
      </c>
      <c r="R165" s="895" t="s">
        <v>922</v>
      </c>
      <c r="S165" s="892" t="s">
        <v>928</v>
      </c>
      <c r="T165" s="892" t="s">
        <v>929</v>
      </c>
      <c r="U165" s="885" t="str">
        <f>IFERROR(VLOOKUP(N165,'Thông số'!$B:$F,5,0),"")</f>
        <v>5250 x 2170 x 2520</v>
      </c>
    </row>
    <row r="166" ht="14.25" customHeight="1">
      <c r="A166" s="891">
        <v>12.0</v>
      </c>
      <c r="B166" s="892" t="s">
        <v>930</v>
      </c>
      <c r="C166" s="892" t="s">
        <v>931</v>
      </c>
      <c r="D166" s="895" t="s">
        <v>932</v>
      </c>
      <c r="E166" s="894"/>
      <c r="F166" s="892" t="s">
        <v>5562</v>
      </c>
      <c r="G166" s="892" t="s">
        <v>919</v>
      </c>
      <c r="H166" s="895" t="s">
        <v>6539</v>
      </c>
      <c r="I166" s="895" t="s">
        <v>858</v>
      </c>
      <c r="J166" s="896">
        <v>45455.0</v>
      </c>
      <c r="K166" s="895" t="s">
        <v>865</v>
      </c>
      <c r="L166" s="897">
        <v>1.0</v>
      </c>
      <c r="M166" s="919" t="s">
        <v>920</v>
      </c>
      <c r="N166" s="895" t="s">
        <v>6540</v>
      </c>
      <c r="O166" s="892" t="s">
        <v>743</v>
      </c>
      <c r="P166" s="892" t="s">
        <v>148</v>
      </c>
      <c r="Q166" s="895">
        <v>2024.0</v>
      </c>
      <c r="R166" s="895" t="s">
        <v>922</v>
      </c>
      <c r="S166" s="892" t="s">
        <v>934</v>
      </c>
      <c r="T166" s="892" t="s">
        <v>935</v>
      </c>
      <c r="U166" s="885" t="str">
        <f>IFERROR(VLOOKUP(N166,'Thông số'!$B:$F,5,0),"")</f>
        <v>5250 x 2170 x 2520</v>
      </c>
    </row>
    <row r="167" ht="14.25" customHeight="1">
      <c r="A167" s="891">
        <v>13.0</v>
      </c>
      <c r="B167" s="892" t="s">
        <v>936</v>
      </c>
      <c r="C167" s="892" t="s">
        <v>937</v>
      </c>
      <c r="D167" s="895" t="s">
        <v>938</v>
      </c>
      <c r="E167" s="894"/>
      <c r="F167" s="892" t="s">
        <v>5595</v>
      </c>
      <c r="G167" s="892" t="s">
        <v>919</v>
      </c>
      <c r="H167" s="895" t="s">
        <v>6539</v>
      </c>
      <c r="I167" s="895" t="s">
        <v>858</v>
      </c>
      <c r="J167" s="896">
        <v>45455.0</v>
      </c>
      <c r="K167" s="895" t="s">
        <v>865</v>
      </c>
      <c r="L167" s="897">
        <v>1.0</v>
      </c>
      <c r="M167" s="919" t="s">
        <v>920</v>
      </c>
      <c r="N167" s="895" t="s">
        <v>6540</v>
      </c>
      <c r="O167" s="892" t="s">
        <v>743</v>
      </c>
      <c r="P167" s="892" t="s">
        <v>148</v>
      </c>
      <c r="Q167" s="895">
        <v>2024.0</v>
      </c>
      <c r="R167" s="895" t="s">
        <v>922</v>
      </c>
      <c r="S167" s="892" t="s">
        <v>939</v>
      </c>
      <c r="T167" s="892" t="s">
        <v>940</v>
      </c>
      <c r="U167" s="885" t="str">
        <f>IFERROR(VLOOKUP(N167,'Thông số'!$B:$F,5,0),"")</f>
        <v>5250 x 2170 x 2520</v>
      </c>
    </row>
    <row r="168" ht="14.25" customHeight="1">
      <c r="A168" s="898">
        <v>14.0</v>
      </c>
      <c r="B168" s="905" t="s">
        <v>941</v>
      </c>
      <c r="C168" s="905" t="s">
        <v>942</v>
      </c>
      <c r="D168" s="901" t="s">
        <v>1003</v>
      </c>
      <c r="E168" s="902"/>
      <c r="F168" s="899" t="s">
        <v>1003</v>
      </c>
      <c r="G168" s="899" t="s">
        <v>219</v>
      </c>
      <c r="H168" s="901" t="s">
        <v>6449</v>
      </c>
      <c r="I168" s="901" t="s">
        <v>858</v>
      </c>
      <c r="J168" s="903">
        <v>45478.0</v>
      </c>
      <c r="K168" s="901" t="s">
        <v>1027</v>
      </c>
      <c r="L168" s="902"/>
      <c r="M168" s="906" t="s">
        <v>943</v>
      </c>
      <c r="N168" s="902"/>
      <c r="O168" s="899" t="s">
        <v>123</v>
      </c>
      <c r="P168" s="899" t="s">
        <v>84</v>
      </c>
      <c r="Q168" s="901">
        <v>2006.0</v>
      </c>
      <c r="R168" s="901" t="s">
        <v>462</v>
      </c>
      <c r="S168" s="899">
        <v>5288.0</v>
      </c>
      <c r="T168" s="899" t="s">
        <v>96</v>
      </c>
      <c r="U168" s="885" t="str">
        <f>IFERROR(VLOOKUP(N168,'Thông số'!$B:$F,5,0),"")</f>
        <v/>
      </c>
    </row>
    <row r="169" ht="14.25" customHeight="1">
      <c r="A169" s="898">
        <v>15.0</v>
      </c>
      <c r="B169" s="899" t="s">
        <v>944</v>
      </c>
      <c r="C169" s="902"/>
      <c r="D169" s="901" t="s">
        <v>945</v>
      </c>
      <c r="E169" s="902"/>
      <c r="F169" s="902"/>
      <c r="G169" s="899" t="s">
        <v>946</v>
      </c>
      <c r="H169" s="901" t="s">
        <v>6483</v>
      </c>
      <c r="I169" s="901" t="s">
        <v>858</v>
      </c>
      <c r="J169" s="903">
        <v>45862.0</v>
      </c>
      <c r="K169" s="901" t="s">
        <v>1027</v>
      </c>
      <c r="L169" s="902"/>
      <c r="M169" s="917" t="s">
        <v>890</v>
      </c>
      <c r="N169" s="901" t="s">
        <v>949</v>
      </c>
      <c r="O169" s="899" t="s">
        <v>673</v>
      </c>
      <c r="P169" s="899" t="s">
        <v>948</v>
      </c>
      <c r="Q169" s="901">
        <v>2022.0</v>
      </c>
      <c r="R169" s="901" t="s">
        <v>950</v>
      </c>
      <c r="S169" s="899">
        <v>203065.0</v>
      </c>
      <c r="T169" s="899" t="s">
        <v>951</v>
      </c>
      <c r="U169" s="885" t="str">
        <f>IFERROR(VLOOKUP(N169,'Thông số'!$B:$F,5,0),"")</f>
        <v/>
      </c>
    </row>
    <row r="170" ht="14.25" customHeight="1">
      <c r="A170" s="898">
        <v>16.0</v>
      </c>
      <c r="B170" s="899" t="s">
        <v>952</v>
      </c>
      <c r="C170" s="902"/>
      <c r="D170" s="901" t="s">
        <v>953</v>
      </c>
      <c r="E170" s="902"/>
      <c r="F170" s="902"/>
      <c r="G170" s="899" t="s">
        <v>946</v>
      </c>
      <c r="H170" s="901" t="s">
        <v>6483</v>
      </c>
      <c r="I170" s="901" t="s">
        <v>858</v>
      </c>
      <c r="J170" s="903">
        <v>45862.0</v>
      </c>
      <c r="K170" s="901" t="s">
        <v>1027</v>
      </c>
      <c r="L170" s="902"/>
      <c r="M170" s="917" t="s">
        <v>890</v>
      </c>
      <c r="N170" s="901" t="s">
        <v>949</v>
      </c>
      <c r="O170" s="899" t="s">
        <v>673</v>
      </c>
      <c r="P170" s="899" t="s">
        <v>948</v>
      </c>
      <c r="Q170" s="901">
        <v>2022.0</v>
      </c>
      <c r="R170" s="901" t="s">
        <v>950</v>
      </c>
      <c r="S170" s="899">
        <v>203175.0</v>
      </c>
      <c r="T170" s="899" t="s">
        <v>954</v>
      </c>
      <c r="U170" s="885" t="str">
        <f>IFERROR(VLOOKUP(N170,'Thông số'!$B:$F,5,0),"")</f>
        <v/>
      </c>
    </row>
    <row r="171" ht="14.25" customHeight="1">
      <c r="A171" s="898">
        <v>17.0</v>
      </c>
      <c r="B171" s="899" t="s">
        <v>955</v>
      </c>
      <c r="C171" s="902"/>
      <c r="D171" s="901" t="s">
        <v>956</v>
      </c>
      <c r="E171" s="902"/>
      <c r="F171" s="902"/>
      <c r="G171" s="899" t="s">
        <v>946</v>
      </c>
      <c r="H171" s="901" t="s">
        <v>6483</v>
      </c>
      <c r="I171" s="901" t="s">
        <v>858</v>
      </c>
      <c r="J171" s="903">
        <v>45862.0</v>
      </c>
      <c r="K171" s="901" t="s">
        <v>1027</v>
      </c>
      <c r="L171" s="902"/>
      <c r="M171" s="917" t="s">
        <v>890</v>
      </c>
      <c r="N171" s="901" t="s">
        <v>949</v>
      </c>
      <c r="O171" s="899" t="s">
        <v>673</v>
      </c>
      <c r="P171" s="899" t="s">
        <v>948</v>
      </c>
      <c r="Q171" s="901">
        <v>2022.0</v>
      </c>
      <c r="R171" s="901" t="s">
        <v>950</v>
      </c>
      <c r="S171" s="899">
        <v>203079.0</v>
      </c>
      <c r="T171" s="899" t="s">
        <v>957</v>
      </c>
      <c r="U171" s="885" t="str">
        <f>IFERROR(VLOOKUP(N171,'Thông số'!$B:$F,5,0),"")</f>
        <v/>
      </c>
    </row>
    <row r="172" ht="14.25" customHeight="1">
      <c r="A172" s="898">
        <v>18.0</v>
      </c>
      <c r="B172" s="899" t="s">
        <v>958</v>
      </c>
      <c r="C172" s="902"/>
      <c r="D172" s="901" t="s">
        <v>959</v>
      </c>
      <c r="E172" s="902"/>
      <c r="F172" s="902"/>
      <c r="G172" s="899" t="s">
        <v>946</v>
      </c>
      <c r="H172" s="901" t="s">
        <v>6483</v>
      </c>
      <c r="I172" s="901" t="s">
        <v>858</v>
      </c>
      <c r="J172" s="903">
        <v>45862.0</v>
      </c>
      <c r="K172" s="901" t="s">
        <v>1027</v>
      </c>
      <c r="L172" s="902"/>
      <c r="M172" s="917" t="s">
        <v>890</v>
      </c>
      <c r="N172" s="901" t="s">
        <v>949</v>
      </c>
      <c r="O172" s="899" t="s">
        <v>673</v>
      </c>
      <c r="P172" s="899" t="s">
        <v>948</v>
      </c>
      <c r="Q172" s="901">
        <v>2022.0</v>
      </c>
      <c r="R172" s="901" t="s">
        <v>950</v>
      </c>
      <c r="S172" s="899">
        <v>203080.0</v>
      </c>
      <c r="T172" s="899" t="s">
        <v>960</v>
      </c>
      <c r="U172" s="885" t="str">
        <f>IFERROR(VLOOKUP(N172,'Thông số'!$B:$F,5,0),"")</f>
        <v/>
      </c>
    </row>
    <row r="173" ht="14.25" customHeight="1">
      <c r="A173" s="898">
        <v>19.0</v>
      </c>
      <c r="B173" s="899" t="s">
        <v>961</v>
      </c>
      <c r="C173" s="902"/>
      <c r="D173" s="901" t="s">
        <v>962</v>
      </c>
      <c r="E173" s="902"/>
      <c r="F173" s="902"/>
      <c r="G173" s="899" t="s">
        <v>946</v>
      </c>
      <c r="H173" s="901" t="s">
        <v>6483</v>
      </c>
      <c r="I173" s="901" t="s">
        <v>858</v>
      </c>
      <c r="J173" s="903">
        <v>45862.0</v>
      </c>
      <c r="K173" s="901" t="s">
        <v>1027</v>
      </c>
      <c r="L173" s="902"/>
      <c r="M173" s="917" t="s">
        <v>890</v>
      </c>
      <c r="N173" s="901" t="s">
        <v>949</v>
      </c>
      <c r="O173" s="899" t="s">
        <v>673</v>
      </c>
      <c r="P173" s="899" t="s">
        <v>948</v>
      </c>
      <c r="Q173" s="901">
        <v>2022.0</v>
      </c>
      <c r="R173" s="901" t="s">
        <v>950</v>
      </c>
      <c r="S173" s="899">
        <v>203082.0</v>
      </c>
      <c r="T173" s="899" t="s">
        <v>963</v>
      </c>
      <c r="U173" s="885" t="str">
        <f>IFERROR(VLOOKUP(N173,'Thông số'!$B:$F,5,0),"")</f>
        <v/>
      </c>
    </row>
    <row r="174" ht="14.25" customHeight="1">
      <c r="A174" s="891">
        <v>20.0</v>
      </c>
      <c r="B174" s="892" t="s">
        <v>964</v>
      </c>
      <c r="C174" s="894"/>
      <c r="D174" s="895" t="s">
        <v>6541</v>
      </c>
      <c r="E174" s="894"/>
      <c r="F174" s="894"/>
      <c r="G174" s="892" t="s">
        <v>965</v>
      </c>
      <c r="H174" s="895" t="s">
        <v>6187</v>
      </c>
      <c r="I174" s="895" t="s">
        <v>858</v>
      </c>
      <c r="J174" s="896">
        <v>45503.0</v>
      </c>
      <c r="K174" s="895" t="s">
        <v>865</v>
      </c>
      <c r="L174" s="897">
        <v>0.7</v>
      </c>
      <c r="M174" s="919" t="s">
        <v>6542</v>
      </c>
      <c r="N174" s="895" t="s">
        <v>969</v>
      </c>
      <c r="O174" s="892" t="s">
        <v>673</v>
      </c>
      <c r="P174" s="892" t="s">
        <v>968</v>
      </c>
      <c r="Q174" s="894"/>
      <c r="R174" s="895" t="s">
        <v>970</v>
      </c>
      <c r="S174" s="892" t="s">
        <v>971</v>
      </c>
      <c r="T174" s="892" t="s">
        <v>972</v>
      </c>
      <c r="U174" s="885" t="str">
        <f>IFERROR(VLOOKUP(N174,'Thông số'!$B:$F,5,0),"")</f>
        <v/>
      </c>
    </row>
    <row r="175" ht="14.25" customHeight="1">
      <c r="A175" s="898">
        <v>21.0</v>
      </c>
      <c r="B175" s="905" t="s">
        <v>3129</v>
      </c>
      <c r="C175" s="908"/>
      <c r="D175" s="907" t="s">
        <v>3130</v>
      </c>
      <c r="E175" s="908"/>
      <c r="F175" s="908"/>
      <c r="G175" s="899" t="s">
        <v>3082</v>
      </c>
      <c r="H175" s="901" t="s">
        <v>6187</v>
      </c>
      <c r="I175" s="901" t="s">
        <v>858</v>
      </c>
      <c r="J175" s="909">
        <v>45647.0</v>
      </c>
      <c r="K175" s="901" t="s">
        <v>1027</v>
      </c>
      <c r="L175" s="908"/>
      <c r="M175" s="917" t="s">
        <v>890</v>
      </c>
      <c r="N175" s="907" t="s">
        <v>3091</v>
      </c>
      <c r="O175" s="905" t="s">
        <v>3083</v>
      </c>
      <c r="P175" s="905" t="s">
        <v>3084</v>
      </c>
      <c r="Q175" s="907">
        <v>2024.0</v>
      </c>
      <c r="R175" s="907" t="s">
        <v>3086</v>
      </c>
      <c r="S175" s="905" t="s">
        <v>96</v>
      </c>
      <c r="T175" s="905" t="s">
        <v>96</v>
      </c>
      <c r="U175" s="885" t="str">
        <f>IFERROR(VLOOKUP(N175,'Thông số'!$B:$F,5,0),"")</f>
        <v/>
      </c>
    </row>
    <row r="176" ht="14.25" customHeight="1">
      <c r="A176" s="898">
        <v>22.0</v>
      </c>
      <c r="B176" s="905" t="s">
        <v>3131</v>
      </c>
      <c r="C176" s="908"/>
      <c r="D176" s="907" t="s">
        <v>3132</v>
      </c>
      <c r="E176" s="908"/>
      <c r="F176" s="908"/>
      <c r="G176" s="899" t="s">
        <v>3082</v>
      </c>
      <c r="H176" s="901" t="s">
        <v>6187</v>
      </c>
      <c r="I176" s="901" t="s">
        <v>858</v>
      </c>
      <c r="J176" s="909">
        <v>45647.0</v>
      </c>
      <c r="K176" s="901" t="s">
        <v>1027</v>
      </c>
      <c r="L176" s="908"/>
      <c r="M176" s="917" t="s">
        <v>890</v>
      </c>
      <c r="N176" s="907" t="s">
        <v>3091</v>
      </c>
      <c r="O176" s="905" t="s">
        <v>3083</v>
      </c>
      <c r="P176" s="905" t="s">
        <v>3084</v>
      </c>
      <c r="Q176" s="907">
        <v>2024.0</v>
      </c>
      <c r="R176" s="907" t="s">
        <v>3086</v>
      </c>
      <c r="S176" s="905" t="s">
        <v>96</v>
      </c>
      <c r="T176" s="905" t="s">
        <v>96</v>
      </c>
      <c r="U176" s="885" t="str">
        <f>IFERROR(VLOOKUP(N176,'Thông số'!$B:$F,5,0),"")</f>
        <v/>
      </c>
    </row>
    <row r="177" ht="14.25" customHeight="1">
      <c r="A177" s="898">
        <v>23.0</v>
      </c>
      <c r="B177" s="905" t="s">
        <v>973</v>
      </c>
      <c r="C177" s="908"/>
      <c r="D177" s="907" t="s">
        <v>974</v>
      </c>
      <c r="E177" s="908"/>
      <c r="F177" s="908"/>
      <c r="G177" s="899" t="s">
        <v>975</v>
      </c>
      <c r="H177" s="901" t="s">
        <v>6187</v>
      </c>
      <c r="I177" s="901" t="s">
        <v>858</v>
      </c>
      <c r="J177" s="909">
        <v>45680.0</v>
      </c>
      <c r="K177" s="901" t="s">
        <v>1027</v>
      </c>
      <c r="L177" s="908"/>
      <c r="M177" s="917" t="s">
        <v>890</v>
      </c>
      <c r="N177" s="907" t="s">
        <v>980</v>
      </c>
      <c r="O177" s="905" t="s">
        <v>978</v>
      </c>
      <c r="P177" s="905" t="s">
        <v>979</v>
      </c>
      <c r="Q177" s="908"/>
      <c r="R177" s="907" t="s">
        <v>981</v>
      </c>
      <c r="S177" s="905">
        <v>341.0</v>
      </c>
      <c r="T177" s="905" t="s">
        <v>982</v>
      </c>
      <c r="U177" s="885" t="str">
        <f>IFERROR(VLOOKUP(N177,'Thông số'!$B:$F,5,0),"")</f>
        <v/>
      </c>
    </row>
    <row r="178" ht="14.25" customHeight="1">
      <c r="A178" s="898">
        <v>24.0</v>
      </c>
      <c r="B178" s="905" t="s">
        <v>983</v>
      </c>
      <c r="C178" s="908"/>
      <c r="D178" s="907" t="s">
        <v>984</v>
      </c>
      <c r="E178" s="908"/>
      <c r="F178" s="908"/>
      <c r="G178" s="905" t="s">
        <v>985</v>
      </c>
      <c r="H178" s="901" t="s">
        <v>6187</v>
      </c>
      <c r="I178" s="901" t="s">
        <v>858</v>
      </c>
      <c r="J178" s="909">
        <v>45833.0</v>
      </c>
      <c r="K178" s="901" t="s">
        <v>1027</v>
      </c>
      <c r="L178" s="908"/>
      <c r="M178" s="906" t="s">
        <v>890</v>
      </c>
      <c r="N178" s="907" t="s">
        <v>988</v>
      </c>
      <c r="O178" s="905" t="s">
        <v>987</v>
      </c>
      <c r="P178" s="905" t="s">
        <v>148</v>
      </c>
      <c r="Q178" s="907">
        <v>2025.0</v>
      </c>
      <c r="R178" s="907" t="s">
        <v>970</v>
      </c>
      <c r="S178" s="905" t="s">
        <v>989</v>
      </c>
      <c r="T178" s="905" t="s">
        <v>990</v>
      </c>
      <c r="U178" s="885" t="str">
        <f>IFERROR(VLOOKUP(N178,'Thông số'!$B:$F,5,0),"")</f>
        <v/>
      </c>
    </row>
    <row r="179" ht="14.25" customHeight="1">
      <c r="A179" s="898">
        <v>25.0</v>
      </c>
      <c r="B179" s="905" t="s">
        <v>991</v>
      </c>
      <c r="C179" s="908"/>
      <c r="D179" s="907" t="s">
        <v>992</v>
      </c>
      <c r="E179" s="908"/>
      <c r="F179" s="908"/>
      <c r="G179" s="905" t="s">
        <v>985</v>
      </c>
      <c r="H179" s="901" t="s">
        <v>6187</v>
      </c>
      <c r="I179" s="901" t="s">
        <v>858</v>
      </c>
      <c r="J179" s="909">
        <v>45833.0</v>
      </c>
      <c r="K179" s="901" t="s">
        <v>1027</v>
      </c>
      <c r="L179" s="908"/>
      <c r="M179" s="906" t="s">
        <v>890</v>
      </c>
      <c r="N179" s="907" t="s">
        <v>988</v>
      </c>
      <c r="O179" s="905" t="s">
        <v>987</v>
      </c>
      <c r="P179" s="905" t="s">
        <v>148</v>
      </c>
      <c r="Q179" s="907">
        <v>2025.0</v>
      </c>
      <c r="R179" s="907" t="s">
        <v>970</v>
      </c>
      <c r="S179" s="905" t="s">
        <v>993</v>
      </c>
      <c r="T179" s="905" t="s">
        <v>994</v>
      </c>
      <c r="U179" s="885" t="str">
        <f>IFERROR(VLOOKUP(N179,'Thông số'!$B:$F,5,0),"")</f>
        <v/>
      </c>
    </row>
    <row r="180" ht="14.25" customHeight="1">
      <c r="A180" s="898">
        <v>26.0</v>
      </c>
      <c r="B180" s="905" t="s">
        <v>995</v>
      </c>
      <c r="C180" s="908"/>
      <c r="D180" s="907" t="s">
        <v>996</v>
      </c>
      <c r="E180" s="908"/>
      <c r="F180" s="908"/>
      <c r="G180" s="905" t="s">
        <v>985</v>
      </c>
      <c r="H180" s="901" t="s">
        <v>6187</v>
      </c>
      <c r="I180" s="901" t="s">
        <v>858</v>
      </c>
      <c r="J180" s="909">
        <v>45833.0</v>
      </c>
      <c r="K180" s="901" t="s">
        <v>1027</v>
      </c>
      <c r="L180" s="908"/>
      <c r="M180" s="906" t="s">
        <v>890</v>
      </c>
      <c r="N180" s="907" t="s">
        <v>988</v>
      </c>
      <c r="O180" s="905" t="s">
        <v>987</v>
      </c>
      <c r="P180" s="905" t="s">
        <v>148</v>
      </c>
      <c r="Q180" s="907">
        <v>2025.0</v>
      </c>
      <c r="R180" s="907" t="s">
        <v>970</v>
      </c>
      <c r="S180" s="905" t="s">
        <v>997</v>
      </c>
      <c r="T180" s="905" t="s">
        <v>998</v>
      </c>
      <c r="U180" s="885" t="str">
        <f>IFERROR(VLOOKUP(N180,'Thông số'!$B:$F,5,0),"")</f>
        <v/>
      </c>
    </row>
    <row r="181" ht="14.25" customHeight="1">
      <c r="A181" s="898">
        <v>27.0</v>
      </c>
      <c r="B181" s="905" t="s">
        <v>999</v>
      </c>
      <c r="C181" s="908"/>
      <c r="D181" s="907" t="s">
        <v>1000</v>
      </c>
      <c r="E181" s="908"/>
      <c r="F181" s="908"/>
      <c r="G181" s="905" t="s">
        <v>985</v>
      </c>
      <c r="H181" s="901" t="s">
        <v>6187</v>
      </c>
      <c r="I181" s="901" t="s">
        <v>858</v>
      </c>
      <c r="J181" s="909">
        <v>45833.0</v>
      </c>
      <c r="K181" s="901" t="s">
        <v>1027</v>
      </c>
      <c r="L181" s="908"/>
      <c r="M181" s="906" t="s">
        <v>890</v>
      </c>
      <c r="N181" s="907" t="s">
        <v>988</v>
      </c>
      <c r="O181" s="905" t="s">
        <v>987</v>
      </c>
      <c r="P181" s="905" t="s">
        <v>148</v>
      </c>
      <c r="Q181" s="907">
        <v>2025.0</v>
      </c>
      <c r="R181" s="907" t="s">
        <v>970</v>
      </c>
      <c r="S181" s="905" t="s">
        <v>1001</v>
      </c>
      <c r="T181" s="905" t="s">
        <v>1002</v>
      </c>
      <c r="U181" s="885" t="str">
        <f>IFERROR(VLOOKUP(N181,'Thông số'!$B:$F,5,0),"")</f>
        <v/>
      </c>
    </row>
    <row r="182" ht="14.25" customHeight="1">
      <c r="A182" s="886" t="s">
        <v>1005</v>
      </c>
      <c r="B182" s="887" t="s">
        <v>1006</v>
      </c>
      <c r="C182" s="889">
        <v>25.0</v>
      </c>
      <c r="D182" s="890"/>
      <c r="E182" s="890"/>
      <c r="F182" s="890"/>
      <c r="G182" s="890"/>
      <c r="H182" s="902"/>
      <c r="I182" s="890"/>
      <c r="J182" s="890"/>
      <c r="K182" s="890"/>
      <c r="L182" s="890"/>
      <c r="M182" s="890"/>
      <c r="N182" s="890"/>
      <c r="O182" s="890"/>
      <c r="P182" s="890"/>
      <c r="Q182" s="890"/>
      <c r="R182" s="890"/>
      <c r="S182" s="890"/>
      <c r="T182" s="890"/>
      <c r="U182" s="885" t="str">
        <f>IFERROR(VLOOKUP(N182,'Thông số'!$B:$F,5,0),"")</f>
        <v/>
      </c>
    </row>
    <row r="183" ht="14.25" customHeight="1">
      <c r="A183" s="898">
        <v>1.0</v>
      </c>
      <c r="B183" s="899" t="s">
        <v>1007</v>
      </c>
      <c r="C183" s="899" t="s">
        <v>1008</v>
      </c>
      <c r="D183" s="901" t="s">
        <v>6543</v>
      </c>
      <c r="E183" s="902"/>
      <c r="F183" s="899" t="s">
        <v>2029</v>
      </c>
      <c r="G183" s="899" t="s">
        <v>788</v>
      </c>
      <c r="H183" s="901" t="s">
        <v>6517</v>
      </c>
      <c r="I183" s="901" t="s">
        <v>1010</v>
      </c>
      <c r="J183" s="902"/>
      <c r="K183" s="901" t="s">
        <v>1027</v>
      </c>
      <c r="L183" s="902"/>
      <c r="M183" s="902"/>
      <c r="N183" s="901" t="s">
        <v>791</v>
      </c>
      <c r="O183" s="899" t="s">
        <v>454</v>
      </c>
      <c r="P183" s="899" t="s">
        <v>84</v>
      </c>
      <c r="Q183" s="901">
        <v>2013.0</v>
      </c>
      <c r="R183" s="901" t="s">
        <v>792</v>
      </c>
      <c r="S183" s="899">
        <v>57646.0</v>
      </c>
      <c r="T183" s="899" t="s">
        <v>96</v>
      </c>
      <c r="U183" s="885" t="str">
        <f>IFERROR(VLOOKUP(N183,'Thông số'!$B:$F,5,0),"")</f>
        <v>3445 x 1865 x 2535</v>
      </c>
    </row>
    <row r="184" ht="14.25" customHeight="1">
      <c r="A184" s="898">
        <v>2.0</v>
      </c>
      <c r="B184" s="899" t="s">
        <v>1012</v>
      </c>
      <c r="C184" s="899" t="s">
        <v>1013</v>
      </c>
      <c r="D184" s="901" t="s">
        <v>6544</v>
      </c>
      <c r="E184" s="902"/>
      <c r="F184" s="899" t="s">
        <v>2029</v>
      </c>
      <c r="G184" s="899" t="s">
        <v>788</v>
      </c>
      <c r="H184" s="901" t="s">
        <v>6517</v>
      </c>
      <c r="I184" s="901" t="s">
        <v>1010</v>
      </c>
      <c r="J184" s="902"/>
      <c r="K184" s="901" t="s">
        <v>1027</v>
      </c>
      <c r="L184" s="902"/>
      <c r="M184" s="902"/>
      <c r="N184" s="901" t="s">
        <v>791</v>
      </c>
      <c r="O184" s="899" t="s">
        <v>454</v>
      </c>
      <c r="P184" s="899" t="s">
        <v>84</v>
      </c>
      <c r="Q184" s="901">
        <v>2013.0</v>
      </c>
      <c r="R184" s="901" t="s">
        <v>792</v>
      </c>
      <c r="S184" s="899">
        <v>56797.0</v>
      </c>
      <c r="T184" s="899" t="s">
        <v>96</v>
      </c>
      <c r="U184" s="885" t="str">
        <f>IFERROR(VLOOKUP(N184,'Thông số'!$B:$F,5,0),"")</f>
        <v>3445 x 1865 x 2535</v>
      </c>
    </row>
    <row r="185" ht="14.25" customHeight="1">
      <c r="A185" s="898">
        <v>3.0</v>
      </c>
      <c r="B185" s="905" t="s">
        <v>1014</v>
      </c>
      <c r="C185" s="905" t="s">
        <v>1015</v>
      </c>
      <c r="D185" s="901" t="s">
        <v>6545</v>
      </c>
      <c r="E185" s="908"/>
      <c r="F185" s="905" t="s">
        <v>1824</v>
      </c>
      <c r="G185" s="899" t="s">
        <v>857</v>
      </c>
      <c r="H185" s="901" t="s">
        <v>6517</v>
      </c>
      <c r="I185" s="907" t="s">
        <v>1010</v>
      </c>
      <c r="J185" s="908"/>
      <c r="K185" s="901" t="s">
        <v>1027</v>
      </c>
      <c r="L185" s="908"/>
      <c r="M185" s="908"/>
      <c r="N185" s="907" t="s">
        <v>860</v>
      </c>
      <c r="O185" s="905" t="s">
        <v>743</v>
      </c>
      <c r="P185" s="905" t="s">
        <v>148</v>
      </c>
      <c r="Q185" s="907">
        <v>2018.0</v>
      </c>
      <c r="R185" s="907" t="s">
        <v>861</v>
      </c>
      <c r="S185" s="905" t="s">
        <v>1016</v>
      </c>
      <c r="T185" s="905" t="s">
        <v>96</v>
      </c>
      <c r="U185" s="885" t="str">
        <f>IFERROR(VLOOKUP(N185,'Thông số'!$B:$F,5,0),"")</f>
        <v>3226 x 1570 x 1545</v>
      </c>
    </row>
    <row r="186" ht="14.25" customHeight="1">
      <c r="A186" s="891">
        <v>4.0</v>
      </c>
      <c r="B186" s="892" t="s">
        <v>1017</v>
      </c>
      <c r="C186" s="892" t="s">
        <v>1018</v>
      </c>
      <c r="D186" s="895" t="s">
        <v>6546</v>
      </c>
      <c r="E186" s="894"/>
      <c r="F186" s="892" t="s">
        <v>1824</v>
      </c>
      <c r="G186" s="892" t="s">
        <v>857</v>
      </c>
      <c r="H186" s="895" t="s">
        <v>6517</v>
      </c>
      <c r="I186" s="895" t="s">
        <v>1010</v>
      </c>
      <c r="J186" s="894"/>
      <c r="K186" s="895" t="s">
        <v>865</v>
      </c>
      <c r="L186" s="894"/>
      <c r="M186" s="894"/>
      <c r="N186" s="895" t="s">
        <v>860</v>
      </c>
      <c r="O186" s="892" t="s">
        <v>743</v>
      </c>
      <c r="P186" s="892" t="s">
        <v>148</v>
      </c>
      <c r="Q186" s="895">
        <v>2018.0</v>
      </c>
      <c r="R186" s="895" t="s">
        <v>861</v>
      </c>
      <c r="S186" s="892" t="s">
        <v>1022</v>
      </c>
      <c r="T186" s="892" t="s">
        <v>96</v>
      </c>
      <c r="U186" s="885" t="str">
        <f>IFERROR(VLOOKUP(N186,'Thông số'!$B:$F,5,0),"")</f>
        <v>3226 x 1570 x 1545</v>
      </c>
    </row>
    <row r="187" ht="14.25" customHeight="1">
      <c r="A187" s="891">
        <v>5.0</v>
      </c>
      <c r="B187" s="892" t="s">
        <v>1029</v>
      </c>
      <c r="C187" s="892" t="s">
        <v>1030</v>
      </c>
      <c r="D187" s="895" t="s">
        <v>6547</v>
      </c>
      <c r="E187" s="894"/>
      <c r="F187" s="894"/>
      <c r="G187" s="892" t="s">
        <v>1031</v>
      </c>
      <c r="H187" s="895" t="s">
        <v>5892</v>
      </c>
      <c r="I187" s="895" t="s">
        <v>1010</v>
      </c>
      <c r="J187" s="894"/>
      <c r="K187" s="895" t="s">
        <v>865</v>
      </c>
      <c r="L187" s="894"/>
      <c r="M187" s="894"/>
      <c r="N187" s="895" t="s">
        <v>1033</v>
      </c>
      <c r="O187" s="892" t="s">
        <v>1032</v>
      </c>
      <c r="P187" s="892" t="s">
        <v>103</v>
      </c>
      <c r="Q187" s="895">
        <v>1992.0</v>
      </c>
      <c r="R187" s="894"/>
      <c r="S187" s="892" t="s">
        <v>1034</v>
      </c>
      <c r="T187" s="892" t="s">
        <v>1035</v>
      </c>
      <c r="U187" s="885" t="str">
        <f>IFERROR(VLOOKUP(N187,'Thông số'!$B:$F,5,0),"")</f>
        <v/>
      </c>
    </row>
    <row r="188" ht="14.25" customHeight="1">
      <c r="A188" s="891">
        <v>6.0</v>
      </c>
      <c r="B188" s="892" t="s">
        <v>1009</v>
      </c>
      <c r="C188" s="892" t="s">
        <v>1036</v>
      </c>
      <c r="D188" s="895" t="s">
        <v>1011</v>
      </c>
      <c r="E188" s="894"/>
      <c r="F188" s="892" t="s">
        <v>1011</v>
      </c>
      <c r="G188" s="892" t="s">
        <v>219</v>
      </c>
      <c r="H188" s="895" t="s">
        <v>6449</v>
      </c>
      <c r="I188" s="895" t="s">
        <v>1010</v>
      </c>
      <c r="J188" s="894"/>
      <c r="K188" s="895" t="s">
        <v>865</v>
      </c>
      <c r="L188" s="894"/>
      <c r="M188" s="894"/>
      <c r="N188" s="894"/>
      <c r="O188" s="892" t="s">
        <v>123</v>
      </c>
      <c r="P188" s="892" t="s">
        <v>84</v>
      </c>
      <c r="Q188" s="895">
        <v>2006.0</v>
      </c>
      <c r="R188" s="895" t="s">
        <v>462</v>
      </c>
      <c r="S188" s="892">
        <v>8332.0</v>
      </c>
      <c r="T188" s="892" t="s">
        <v>96</v>
      </c>
      <c r="U188" s="885" t="str">
        <f>IFERROR(VLOOKUP(N188,'Thông số'!$B:$F,5,0),"")</f>
        <v/>
      </c>
    </row>
    <row r="189" ht="14.25" customHeight="1">
      <c r="A189" s="898">
        <v>7.0</v>
      </c>
      <c r="B189" s="899" t="s">
        <v>1037</v>
      </c>
      <c r="C189" s="902"/>
      <c r="D189" s="901" t="s">
        <v>5901</v>
      </c>
      <c r="E189" s="901" t="s">
        <v>1038</v>
      </c>
      <c r="F189" s="899" t="s">
        <v>5901</v>
      </c>
      <c r="G189" s="899" t="s">
        <v>896</v>
      </c>
      <c r="H189" s="902"/>
      <c r="I189" s="901" t="s">
        <v>1010</v>
      </c>
      <c r="J189" s="903">
        <v>45301.0</v>
      </c>
      <c r="K189" s="901" t="s">
        <v>1027</v>
      </c>
      <c r="L189" s="904">
        <v>0.98</v>
      </c>
      <c r="M189" s="902"/>
      <c r="N189" s="901" t="s">
        <v>898</v>
      </c>
      <c r="O189" s="899" t="s">
        <v>897</v>
      </c>
      <c r="P189" s="899" t="s">
        <v>148</v>
      </c>
      <c r="Q189" s="901">
        <v>2021.0</v>
      </c>
      <c r="R189" s="901" t="s">
        <v>158</v>
      </c>
      <c r="S189" s="899" t="s">
        <v>1041</v>
      </c>
      <c r="T189" s="899" t="s">
        <v>1042</v>
      </c>
      <c r="U189" s="885" t="str">
        <f>IFERROR(VLOOKUP(N189,'Thông số'!$B:$F,5,0),"")</f>
        <v>4730 x 1750 x 2100</v>
      </c>
    </row>
    <row r="190" ht="14.25" customHeight="1">
      <c r="A190" s="891">
        <v>8.0</v>
      </c>
      <c r="B190" s="892" t="s">
        <v>1043</v>
      </c>
      <c r="C190" s="892" t="s">
        <v>154</v>
      </c>
      <c r="D190" s="895" t="s">
        <v>6548</v>
      </c>
      <c r="E190" s="894"/>
      <c r="F190" s="894"/>
      <c r="G190" s="892" t="s">
        <v>919</v>
      </c>
      <c r="H190" s="895" t="s">
        <v>6539</v>
      </c>
      <c r="I190" s="895" t="s">
        <v>1010</v>
      </c>
      <c r="J190" s="896">
        <v>45503.0</v>
      </c>
      <c r="K190" s="895" t="s">
        <v>865</v>
      </c>
      <c r="L190" s="894"/>
      <c r="M190" s="919" t="s">
        <v>6549</v>
      </c>
      <c r="N190" s="895" t="s">
        <v>6540</v>
      </c>
      <c r="O190" s="892" t="s">
        <v>466</v>
      </c>
      <c r="P190" s="892" t="s">
        <v>648</v>
      </c>
      <c r="Q190" s="895">
        <v>2024.0</v>
      </c>
      <c r="R190" s="895" t="s">
        <v>922</v>
      </c>
      <c r="S190" s="892" t="s">
        <v>1046</v>
      </c>
      <c r="T190" s="892" t="s">
        <v>1047</v>
      </c>
      <c r="U190" s="885" t="str">
        <f>IFERROR(VLOOKUP(N190,'Thông số'!$B:$F,5,0),"")</f>
        <v>5250 x 2170 x 2520</v>
      </c>
    </row>
    <row r="191" ht="14.25" customHeight="1">
      <c r="A191" s="891">
        <v>9.0</v>
      </c>
      <c r="B191" s="892" t="s">
        <v>1048</v>
      </c>
      <c r="C191" s="892" t="s">
        <v>154</v>
      </c>
      <c r="D191" s="895" t="s">
        <v>6550</v>
      </c>
      <c r="E191" s="894"/>
      <c r="F191" s="894"/>
      <c r="G191" s="892" t="s">
        <v>919</v>
      </c>
      <c r="H191" s="895" t="s">
        <v>6539</v>
      </c>
      <c r="I191" s="895" t="s">
        <v>1010</v>
      </c>
      <c r="J191" s="896">
        <v>45503.0</v>
      </c>
      <c r="K191" s="895" t="s">
        <v>865</v>
      </c>
      <c r="L191" s="894"/>
      <c r="M191" s="919" t="s">
        <v>1049</v>
      </c>
      <c r="N191" s="895" t="s">
        <v>6540</v>
      </c>
      <c r="O191" s="892" t="s">
        <v>466</v>
      </c>
      <c r="P191" s="892" t="s">
        <v>648</v>
      </c>
      <c r="Q191" s="895">
        <v>2024.0</v>
      </c>
      <c r="R191" s="895" t="s">
        <v>922</v>
      </c>
      <c r="S191" s="892" t="s">
        <v>1050</v>
      </c>
      <c r="T191" s="892" t="s">
        <v>1051</v>
      </c>
      <c r="U191" s="885" t="str">
        <f>IFERROR(VLOOKUP(N191,'Thông số'!$B:$F,5,0),"")</f>
        <v>5250 x 2170 x 2520</v>
      </c>
    </row>
    <row r="192" ht="14.25" customHeight="1">
      <c r="A192" s="891">
        <v>10.0</v>
      </c>
      <c r="B192" s="892" t="s">
        <v>1052</v>
      </c>
      <c r="C192" s="892" t="s">
        <v>1053</v>
      </c>
      <c r="D192" s="895" t="s">
        <v>1054</v>
      </c>
      <c r="E192" s="894"/>
      <c r="F192" s="894"/>
      <c r="G192" s="892" t="s">
        <v>919</v>
      </c>
      <c r="H192" s="895" t="s">
        <v>6539</v>
      </c>
      <c r="I192" s="895" t="s">
        <v>1010</v>
      </c>
      <c r="J192" s="896">
        <v>45392.0</v>
      </c>
      <c r="K192" s="895" t="s">
        <v>865</v>
      </c>
      <c r="L192" s="894"/>
      <c r="M192" s="919" t="s">
        <v>1055</v>
      </c>
      <c r="N192" s="895" t="s">
        <v>6540</v>
      </c>
      <c r="O192" s="892" t="s">
        <v>300</v>
      </c>
      <c r="P192" s="892" t="s">
        <v>148</v>
      </c>
      <c r="Q192" s="895">
        <v>2023.0</v>
      </c>
      <c r="R192" s="895" t="s">
        <v>682</v>
      </c>
      <c r="S192" s="892" t="s">
        <v>1056</v>
      </c>
      <c r="T192" s="892" t="s">
        <v>1057</v>
      </c>
      <c r="U192" s="885" t="str">
        <f>IFERROR(VLOOKUP(N192,'Thông số'!$B:$F,5,0),"")</f>
        <v>5250 x 2170 x 2520</v>
      </c>
    </row>
    <row r="193" ht="14.25" customHeight="1">
      <c r="A193" s="898">
        <v>11.0</v>
      </c>
      <c r="B193" s="905" t="s">
        <v>1058</v>
      </c>
      <c r="C193" s="908"/>
      <c r="D193" s="901" t="s">
        <v>1059</v>
      </c>
      <c r="E193" s="908"/>
      <c r="F193" s="908"/>
      <c r="G193" s="899" t="s">
        <v>658</v>
      </c>
      <c r="H193" s="902"/>
      <c r="I193" s="907" t="s">
        <v>1010</v>
      </c>
      <c r="J193" s="909">
        <v>46027.0</v>
      </c>
      <c r="K193" s="901" t="s">
        <v>1027</v>
      </c>
      <c r="L193" s="908"/>
      <c r="M193" s="917" t="s">
        <v>890</v>
      </c>
      <c r="N193" s="907" t="s">
        <v>663</v>
      </c>
      <c r="O193" s="905" t="s">
        <v>661</v>
      </c>
      <c r="P193" s="905" t="s">
        <v>662</v>
      </c>
      <c r="Q193" s="907">
        <v>2024.0</v>
      </c>
      <c r="R193" s="907" t="s">
        <v>664</v>
      </c>
      <c r="S193" s="905" t="s">
        <v>1061</v>
      </c>
      <c r="T193" s="905" t="s">
        <v>1062</v>
      </c>
      <c r="U193" s="885" t="str">
        <f>IFERROR(VLOOKUP(N193,'Thông số'!$B:$F,5,0),"")</f>
        <v>6380 x 2040 x 2300</v>
      </c>
    </row>
    <row r="194" ht="14.25" customHeight="1">
      <c r="A194" s="898">
        <v>12.0</v>
      </c>
      <c r="B194" s="905" t="s">
        <v>1063</v>
      </c>
      <c r="C194" s="908"/>
      <c r="D194" s="901" t="s">
        <v>1065</v>
      </c>
      <c r="E194" s="908"/>
      <c r="F194" s="908"/>
      <c r="G194" s="899" t="s">
        <v>6551</v>
      </c>
      <c r="H194" s="902"/>
      <c r="I194" s="907" t="s">
        <v>1010</v>
      </c>
      <c r="J194" s="909">
        <v>45996.0</v>
      </c>
      <c r="K194" s="901" t="s">
        <v>1027</v>
      </c>
      <c r="L194" s="908"/>
      <c r="M194" s="917" t="s">
        <v>890</v>
      </c>
      <c r="N194" s="907" t="s">
        <v>891</v>
      </c>
      <c r="O194" s="905" t="s">
        <v>739</v>
      </c>
      <c r="P194" s="905" t="s">
        <v>260</v>
      </c>
      <c r="Q194" s="907">
        <v>2025.0</v>
      </c>
      <c r="R194" s="907" t="s">
        <v>1066</v>
      </c>
      <c r="S194" s="905" t="s">
        <v>1067</v>
      </c>
      <c r="T194" s="905" t="s">
        <v>1068</v>
      </c>
      <c r="U194" s="885" t="str">
        <f>IFERROR(VLOOKUP(N194,'Thông số'!$B:$F,5,0),"")</f>
        <v/>
      </c>
    </row>
    <row r="195" ht="14.25" customHeight="1">
      <c r="A195" s="898">
        <v>13.0</v>
      </c>
      <c r="B195" s="905" t="s">
        <v>1074</v>
      </c>
      <c r="C195" s="908"/>
      <c r="D195" s="901" t="s">
        <v>1075</v>
      </c>
      <c r="E195" s="908"/>
      <c r="F195" s="908"/>
      <c r="G195" s="899" t="s">
        <v>946</v>
      </c>
      <c r="H195" s="901" t="s">
        <v>6483</v>
      </c>
      <c r="I195" s="907" t="s">
        <v>1010</v>
      </c>
      <c r="J195" s="909">
        <v>45862.0</v>
      </c>
      <c r="K195" s="901" t="s">
        <v>1027</v>
      </c>
      <c r="L195" s="908"/>
      <c r="M195" s="917" t="s">
        <v>890</v>
      </c>
      <c r="N195" s="907" t="s">
        <v>949</v>
      </c>
      <c r="O195" s="905" t="s">
        <v>673</v>
      </c>
      <c r="P195" s="905" t="s">
        <v>948</v>
      </c>
      <c r="Q195" s="907">
        <v>2022.0</v>
      </c>
      <c r="R195" s="907" t="s">
        <v>950</v>
      </c>
      <c r="S195" s="905">
        <v>203050.0</v>
      </c>
      <c r="T195" s="905" t="s">
        <v>1077</v>
      </c>
      <c r="U195" s="885" t="str">
        <f>IFERROR(VLOOKUP(N195,'Thông số'!$B:$F,5,0),"")</f>
        <v/>
      </c>
    </row>
    <row r="196" ht="14.25" customHeight="1">
      <c r="A196" s="898">
        <v>14.0</v>
      </c>
      <c r="B196" s="905" t="s">
        <v>1078</v>
      </c>
      <c r="C196" s="908"/>
      <c r="D196" s="901" t="s">
        <v>1079</v>
      </c>
      <c r="E196" s="908"/>
      <c r="F196" s="908"/>
      <c r="G196" s="899" t="s">
        <v>946</v>
      </c>
      <c r="H196" s="901" t="s">
        <v>6483</v>
      </c>
      <c r="I196" s="907" t="s">
        <v>1010</v>
      </c>
      <c r="J196" s="909">
        <v>45862.0</v>
      </c>
      <c r="K196" s="901" t="s">
        <v>1027</v>
      </c>
      <c r="L196" s="908"/>
      <c r="M196" s="917" t="s">
        <v>890</v>
      </c>
      <c r="N196" s="907" t="s">
        <v>949</v>
      </c>
      <c r="O196" s="905" t="s">
        <v>673</v>
      </c>
      <c r="P196" s="905" t="s">
        <v>948</v>
      </c>
      <c r="Q196" s="907">
        <v>2022.0</v>
      </c>
      <c r="R196" s="907" t="s">
        <v>950</v>
      </c>
      <c r="S196" s="905">
        <v>203054.0</v>
      </c>
      <c r="T196" s="905" t="s">
        <v>1080</v>
      </c>
      <c r="U196" s="885" t="str">
        <f>IFERROR(VLOOKUP(N196,'Thông số'!$B:$F,5,0),"")</f>
        <v/>
      </c>
    </row>
    <row r="197" ht="14.25" customHeight="1">
      <c r="A197" s="898">
        <v>15.0</v>
      </c>
      <c r="B197" s="905" t="s">
        <v>1081</v>
      </c>
      <c r="C197" s="908"/>
      <c r="D197" s="901" t="s">
        <v>1082</v>
      </c>
      <c r="E197" s="908"/>
      <c r="F197" s="908"/>
      <c r="G197" s="899" t="s">
        <v>946</v>
      </c>
      <c r="H197" s="901" t="s">
        <v>6483</v>
      </c>
      <c r="I197" s="907" t="s">
        <v>1010</v>
      </c>
      <c r="J197" s="909">
        <v>45862.0</v>
      </c>
      <c r="K197" s="901" t="s">
        <v>1027</v>
      </c>
      <c r="L197" s="908"/>
      <c r="M197" s="917" t="s">
        <v>890</v>
      </c>
      <c r="N197" s="907" t="s">
        <v>949</v>
      </c>
      <c r="O197" s="905" t="s">
        <v>673</v>
      </c>
      <c r="P197" s="905" t="s">
        <v>948</v>
      </c>
      <c r="Q197" s="907">
        <v>2022.0</v>
      </c>
      <c r="R197" s="907" t="s">
        <v>950</v>
      </c>
      <c r="S197" s="905">
        <v>203068.0</v>
      </c>
      <c r="T197" s="905" t="s">
        <v>1084</v>
      </c>
      <c r="U197" s="885" t="str">
        <f>IFERROR(VLOOKUP(N197,'Thông số'!$B:$F,5,0),"")</f>
        <v/>
      </c>
    </row>
    <row r="198" ht="14.25" customHeight="1">
      <c r="A198" s="898">
        <v>16.0</v>
      </c>
      <c r="B198" s="905" t="s">
        <v>1085</v>
      </c>
      <c r="C198" s="908"/>
      <c r="D198" s="901" t="s">
        <v>1086</v>
      </c>
      <c r="E198" s="908"/>
      <c r="F198" s="908"/>
      <c r="G198" s="899" t="s">
        <v>946</v>
      </c>
      <c r="H198" s="901" t="s">
        <v>6483</v>
      </c>
      <c r="I198" s="907" t="s">
        <v>1010</v>
      </c>
      <c r="J198" s="909">
        <v>45862.0</v>
      </c>
      <c r="K198" s="901" t="s">
        <v>1027</v>
      </c>
      <c r="L198" s="908"/>
      <c r="M198" s="917" t="s">
        <v>890</v>
      </c>
      <c r="N198" s="907" t="s">
        <v>949</v>
      </c>
      <c r="O198" s="905" t="s">
        <v>673</v>
      </c>
      <c r="P198" s="905" t="s">
        <v>948</v>
      </c>
      <c r="Q198" s="907">
        <v>2022.0</v>
      </c>
      <c r="R198" s="907" t="s">
        <v>950</v>
      </c>
      <c r="S198" s="905">
        <v>203075.0</v>
      </c>
      <c r="T198" s="905" t="s">
        <v>1087</v>
      </c>
      <c r="U198" s="885" t="str">
        <f>IFERROR(VLOOKUP(N198,'Thông số'!$B:$F,5,0),"")</f>
        <v/>
      </c>
    </row>
    <row r="199" ht="14.25" customHeight="1">
      <c r="A199" s="898">
        <v>17.0</v>
      </c>
      <c r="B199" s="905" t="s">
        <v>1088</v>
      </c>
      <c r="C199" s="908"/>
      <c r="D199" s="901" t="s">
        <v>1089</v>
      </c>
      <c r="E199" s="908"/>
      <c r="F199" s="908"/>
      <c r="G199" s="899" t="s">
        <v>946</v>
      </c>
      <c r="H199" s="901" t="s">
        <v>6483</v>
      </c>
      <c r="I199" s="907" t="s">
        <v>1010</v>
      </c>
      <c r="J199" s="909">
        <v>45862.0</v>
      </c>
      <c r="K199" s="901" t="s">
        <v>1027</v>
      </c>
      <c r="L199" s="908"/>
      <c r="M199" s="917" t="s">
        <v>890</v>
      </c>
      <c r="N199" s="907" t="s">
        <v>949</v>
      </c>
      <c r="O199" s="905" t="s">
        <v>673</v>
      </c>
      <c r="P199" s="905" t="s">
        <v>948</v>
      </c>
      <c r="Q199" s="907">
        <v>2022.0</v>
      </c>
      <c r="R199" s="907" t="s">
        <v>950</v>
      </c>
      <c r="S199" s="905">
        <v>203086.0</v>
      </c>
      <c r="T199" s="905" t="s">
        <v>1090</v>
      </c>
      <c r="U199" s="885" t="str">
        <f>IFERROR(VLOOKUP(N199,'Thông số'!$B:$F,5,0),"")</f>
        <v/>
      </c>
    </row>
    <row r="200" ht="14.25" customHeight="1">
      <c r="A200" s="898">
        <v>18.0</v>
      </c>
      <c r="B200" s="905" t="s">
        <v>3133</v>
      </c>
      <c r="C200" s="908"/>
      <c r="D200" s="901" t="s">
        <v>3134</v>
      </c>
      <c r="E200" s="908"/>
      <c r="F200" s="908"/>
      <c r="G200" s="899" t="s">
        <v>3082</v>
      </c>
      <c r="H200" s="901" t="s">
        <v>6187</v>
      </c>
      <c r="I200" s="907" t="s">
        <v>1010</v>
      </c>
      <c r="J200" s="909">
        <v>45647.0</v>
      </c>
      <c r="K200" s="901" t="s">
        <v>1027</v>
      </c>
      <c r="L200" s="908"/>
      <c r="M200" s="917" t="s">
        <v>890</v>
      </c>
      <c r="N200" s="907" t="s">
        <v>3091</v>
      </c>
      <c r="O200" s="905" t="s">
        <v>3083</v>
      </c>
      <c r="P200" s="905" t="s">
        <v>3084</v>
      </c>
      <c r="Q200" s="907">
        <v>2024.0</v>
      </c>
      <c r="R200" s="907" t="s">
        <v>3086</v>
      </c>
      <c r="S200" s="905" t="s">
        <v>96</v>
      </c>
      <c r="T200" s="905" t="s">
        <v>96</v>
      </c>
      <c r="U200" s="885" t="str">
        <f>IFERROR(VLOOKUP(N200,'Thông số'!$B:$F,5,0),"")</f>
        <v/>
      </c>
    </row>
    <row r="201" ht="14.25" customHeight="1">
      <c r="A201" s="898">
        <v>19.0</v>
      </c>
      <c r="B201" s="905" t="s">
        <v>3135</v>
      </c>
      <c r="C201" s="908"/>
      <c r="D201" s="901" t="s">
        <v>3136</v>
      </c>
      <c r="E201" s="908"/>
      <c r="F201" s="908"/>
      <c r="G201" s="899" t="s">
        <v>3082</v>
      </c>
      <c r="H201" s="901" t="s">
        <v>6187</v>
      </c>
      <c r="I201" s="907" t="s">
        <v>1010</v>
      </c>
      <c r="J201" s="909">
        <v>45647.0</v>
      </c>
      <c r="K201" s="901" t="s">
        <v>1027</v>
      </c>
      <c r="L201" s="908"/>
      <c r="M201" s="917" t="s">
        <v>890</v>
      </c>
      <c r="N201" s="907" t="s">
        <v>3091</v>
      </c>
      <c r="O201" s="905" t="s">
        <v>3083</v>
      </c>
      <c r="P201" s="905" t="s">
        <v>3084</v>
      </c>
      <c r="Q201" s="907">
        <v>2024.0</v>
      </c>
      <c r="R201" s="907" t="s">
        <v>3086</v>
      </c>
      <c r="S201" s="905" t="s">
        <v>96</v>
      </c>
      <c r="T201" s="905" t="s">
        <v>96</v>
      </c>
      <c r="U201" s="885" t="str">
        <f>IFERROR(VLOOKUP(N201,'Thông số'!$B:$F,5,0),"")</f>
        <v/>
      </c>
    </row>
    <row r="202" ht="14.25" customHeight="1">
      <c r="A202" s="898">
        <v>20.0</v>
      </c>
      <c r="B202" s="905" t="s">
        <v>1091</v>
      </c>
      <c r="C202" s="908"/>
      <c r="D202" s="901" t="s">
        <v>1092</v>
      </c>
      <c r="E202" s="908"/>
      <c r="F202" s="908"/>
      <c r="G202" s="905" t="s">
        <v>975</v>
      </c>
      <c r="H202" s="901" t="s">
        <v>6187</v>
      </c>
      <c r="I202" s="907" t="s">
        <v>1010</v>
      </c>
      <c r="J202" s="909">
        <v>45680.0</v>
      </c>
      <c r="K202" s="901" t="s">
        <v>1027</v>
      </c>
      <c r="L202" s="908"/>
      <c r="M202" s="917" t="s">
        <v>890</v>
      </c>
      <c r="N202" s="907" t="s">
        <v>1094</v>
      </c>
      <c r="O202" s="905" t="s">
        <v>1093</v>
      </c>
      <c r="P202" s="905" t="s">
        <v>979</v>
      </c>
      <c r="Q202" s="908"/>
      <c r="R202" s="907" t="s">
        <v>981</v>
      </c>
      <c r="S202" s="905" t="s">
        <v>96</v>
      </c>
      <c r="T202" s="905">
        <v>4418343.0</v>
      </c>
      <c r="U202" s="885" t="str">
        <f>IFERROR(VLOOKUP(N202,'Thông số'!$B:$F,5,0),"")</f>
        <v/>
      </c>
    </row>
    <row r="203" ht="14.25" customHeight="1">
      <c r="A203" s="898">
        <v>21.0</v>
      </c>
      <c r="B203" s="905" t="s">
        <v>1095</v>
      </c>
      <c r="C203" s="908"/>
      <c r="D203" s="901" t="s">
        <v>1096</v>
      </c>
      <c r="E203" s="908"/>
      <c r="F203" s="908"/>
      <c r="G203" s="905" t="s">
        <v>975</v>
      </c>
      <c r="H203" s="901" t="s">
        <v>6187</v>
      </c>
      <c r="I203" s="907" t="s">
        <v>1010</v>
      </c>
      <c r="J203" s="909">
        <v>45680.0</v>
      </c>
      <c r="K203" s="901" t="s">
        <v>1027</v>
      </c>
      <c r="L203" s="908"/>
      <c r="M203" s="917" t="s">
        <v>890</v>
      </c>
      <c r="N203" s="907" t="s">
        <v>1097</v>
      </c>
      <c r="O203" s="905" t="s">
        <v>673</v>
      </c>
      <c r="P203" s="905" t="s">
        <v>979</v>
      </c>
      <c r="Q203" s="908"/>
      <c r="R203" s="907" t="s">
        <v>981</v>
      </c>
      <c r="S203" s="905">
        <v>871668.0</v>
      </c>
      <c r="T203" s="905">
        <v>20189.0</v>
      </c>
      <c r="U203" s="885" t="str">
        <f>IFERROR(VLOOKUP(N203,'Thông số'!$B:$F,5,0),"")</f>
        <v/>
      </c>
    </row>
    <row r="204" ht="14.25" customHeight="1">
      <c r="A204" s="898">
        <v>22.0</v>
      </c>
      <c r="B204" s="905" t="s">
        <v>1098</v>
      </c>
      <c r="C204" s="908"/>
      <c r="D204" s="901" t="s">
        <v>1099</v>
      </c>
      <c r="E204" s="908"/>
      <c r="F204" s="908"/>
      <c r="G204" s="905" t="s">
        <v>985</v>
      </c>
      <c r="H204" s="901" t="s">
        <v>6187</v>
      </c>
      <c r="I204" s="907" t="s">
        <v>1010</v>
      </c>
      <c r="J204" s="909">
        <v>45833.0</v>
      </c>
      <c r="K204" s="901" t="s">
        <v>1027</v>
      </c>
      <c r="L204" s="908"/>
      <c r="M204" s="917" t="s">
        <v>890</v>
      </c>
      <c r="N204" s="907" t="s">
        <v>988</v>
      </c>
      <c r="O204" s="905" t="s">
        <v>987</v>
      </c>
      <c r="P204" s="905" t="s">
        <v>148</v>
      </c>
      <c r="Q204" s="907">
        <v>2025.0</v>
      </c>
      <c r="R204" s="907" t="s">
        <v>970</v>
      </c>
      <c r="S204" s="905" t="s">
        <v>1100</v>
      </c>
      <c r="T204" s="905" t="s">
        <v>1101</v>
      </c>
      <c r="U204" s="885" t="str">
        <f>IFERROR(VLOOKUP(N204,'Thông số'!$B:$F,5,0),"")</f>
        <v/>
      </c>
    </row>
    <row r="205" ht="14.25" customHeight="1">
      <c r="A205" s="898">
        <v>23.0</v>
      </c>
      <c r="B205" s="905" t="s">
        <v>1103</v>
      </c>
      <c r="C205" s="908"/>
      <c r="D205" s="901" t="s">
        <v>1104</v>
      </c>
      <c r="E205" s="908"/>
      <c r="F205" s="908"/>
      <c r="G205" s="905" t="s">
        <v>985</v>
      </c>
      <c r="H205" s="901" t="s">
        <v>6187</v>
      </c>
      <c r="I205" s="907" t="s">
        <v>1010</v>
      </c>
      <c r="J205" s="909">
        <v>45833.0</v>
      </c>
      <c r="K205" s="901" t="s">
        <v>1027</v>
      </c>
      <c r="L205" s="908"/>
      <c r="M205" s="917" t="s">
        <v>890</v>
      </c>
      <c r="N205" s="907" t="s">
        <v>988</v>
      </c>
      <c r="O205" s="905" t="s">
        <v>987</v>
      </c>
      <c r="P205" s="905" t="s">
        <v>148</v>
      </c>
      <c r="Q205" s="907">
        <v>2025.0</v>
      </c>
      <c r="R205" s="907" t="s">
        <v>970</v>
      </c>
      <c r="S205" s="905" t="s">
        <v>1105</v>
      </c>
      <c r="T205" s="905" t="s">
        <v>1106</v>
      </c>
      <c r="U205" s="885" t="str">
        <f>IFERROR(VLOOKUP(N205,'Thông số'!$B:$F,5,0),"")</f>
        <v/>
      </c>
    </row>
    <row r="206" ht="14.25" customHeight="1">
      <c r="A206" s="898">
        <v>24.0</v>
      </c>
      <c r="B206" s="905" t="s">
        <v>1107</v>
      </c>
      <c r="C206" s="908"/>
      <c r="D206" s="901" t="s">
        <v>1108</v>
      </c>
      <c r="E206" s="908"/>
      <c r="F206" s="908"/>
      <c r="G206" s="905" t="s">
        <v>985</v>
      </c>
      <c r="H206" s="901" t="s">
        <v>6187</v>
      </c>
      <c r="I206" s="907" t="s">
        <v>1010</v>
      </c>
      <c r="J206" s="909">
        <v>45833.0</v>
      </c>
      <c r="K206" s="901" t="s">
        <v>1027</v>
      </c>
      <c r="L206" s="908"/>
      <c r="M206" s="917" t="s">
        <v>890</v>
      </c>
      <c r="N206" s="907" t="s">
        <v>988</v>
      </c>
      <c r="O206" s="905" t="s">
        <v>987</v>
      </c>
      <c r="P206" s="905" t="s">
        <v>148</v>
      </c>
      <c r="Q206" s="907">
        <v>2025.0</v>
      </c>
      <c r="R206" s="907" t="s">
        <v>970</v>
      </c>
      <c r="S206" s="905" t="s">
        <v>1109</v>
      </c>
      <c r="T206" s="905" t="s">
        <v>1110</v>
      </c>
      <c r="U206" s="885" t="str">
        <f>IFERROR(VLOOKUP(N206,'Thông số'!$B:$F,5,0),"")</f>
        <v/>
      </c>
    </row>
    <row r="207" ht="14.25" customHeight="1">
      <c r="A207" s="898">
        <v>25.0</v>
      </c>
      <c r="B207" s="905" t="s">
        <v>1111</v>
      </c>
      <c r="C207" s="908"/>
      <c r="D207" s="901" t="s">
        <v>1112</v>
      </c>
      <c r="E207" s="908"/>
      <c r="F207" s="908"/>
      <c r="G207" s="905" t="s">
        <v>985</v>
      </c>
      <c r="H207" s="901" t="s">
        <v>6187</v>
      </c>
      <c r="I207" s="907" t="s">
        <v>1010</v>
      </c>
      <c r="J207" s="909">
        <v>45833.0</v>
      </c>
      <c r="K207" s="901" t="s">
        <v>1027</v>
      </c>
      <c r="L207" s="908"/>
      <c r="M207" s="917" t="s">
        <v>890</v>
      </c>
      <c r="N207" s="907" t="s">
        <v>988</v>
      </c>
      <c r="O207" s="905" t="s">
        <v>987</v>
      </c>
      <c r="P207" s="905" t="s">
        <v>148</v>
      </c>
      <c r="Q207" s="907">
        <v>2025.0</v>
      </c>
      <c r="R207" s="907" t="s">
        <v>970</v>
      </c>
      <c r="S207" s="905" t="s">
        <v>1114</v>
      </c>
      <c r="T207" s="905" t="s">
        <v>1115</v>
      </c>
      <c r="U207" s="885" t="str">
        <f>IFERROR(VLOOKUP(N207,'Thông số'!$B:$F,5,0),"")</f>
        <v/>
      </c>
    </row>
    <row r="208" ht="14.25" customHeight="1">
      <c r="A208" s="886" t="s">
        <v>1116</v>
      </c>
      <c r="B208" s="887" t="s">
        <v>1117</v>
      </c>
      <c r="C208" s="889">
        <v>28.0</v>
      </c>
      <c r="D208" s="890"/>
      <c r="E208" s="890"/>
      <c r="F208" s="890"/>
      <c r="G208" s="890"/>
      <c r="H208" s="902"/>
      <c r="I208" s="890"/>
      <c r="J208" s="890"/>
      <c r="K208" s="890"/>
      <c r="L208" s="890"/>
      <c r="M208" s="890"/>
      <c r="N208" s="890"/>
      <c r="O208" s="890"/>
      <c r="P208" s="890"/>
      <c r="Q208" s="890"/>
      <c r="R208" s="890"/>
      <c r="S208" s="890"/>
      <c r="T208" s="890"/>
      <c r="U208" s="885" t="str">
        <f>IFERROR(VLOOKUP(N208,'Thông số'!$B:$F,5,0),"")</f>
        <v/>
      </c>
    </row>
    <row r="209" ht="14.25" customHeight="1">
      <c r="A209" s="898">
        <v>1.0</v>
      </c>
      <c r="B209" s="899" t="s">
        <v>1118</v>
      </c>
      <c r="C209" s="899" t="s">
        <v>1119</v>
      </c>
      <c r="D209" s="901" t="s">
        <v>6553</v>
      </c>
      <c r="E209" s="902"/>
      <c r="F209" s="902"/>
      <c r="G209" s="899" t="s">
        <v>875</v>
      </c>
      <c r="H209" s="901" t="s">
        <v>6517</v>
      </c>
      <c r="I209" s="901" t="s">
        <v>1120</v>
      </c>
      <c r="J209" s="902"/>
      <c r="K209" s="901" t="s">
        <v>1027</v>
      </c>
      <c r="L209" s="902"/>
      <c r="M209" s="902"/>
      <c r="N209" s="901" t="s">
        <v>878</v>
      </c>
      <c r="O209" s="899" t="s">
        <v>454</v>
      </c>
      <c r="P209" s="899" t="s">
        <v>84</v>
      </c>
      <c r="Q209" s="901">
        <v>2019.0</v>
      </c>
      <c r="R209" s="901" t="s">
        <v>101</v>
      </c>
      <c r="S209" s="899">
        <v>14720.0</v>
      </c>
      <c r="T209" s="899" t="s">
        <v>96</v>
      </c>
      <c r="U209" s="885" t="str">
        <f>IFERROR(VLOOKUP(N209,'Thông số'!$B:$F,5,0),"")</f>
        <v>3120 x 1495 x 1510</v>
      </c>
    </row>
    <row r="210" ht="14.25" customHeight="1">
      <c r="A210" s="898">
        <v>2.0</v>
      </c>
      <c r="B210" s="899" t="s">
        <v>1121</v>
      </c>
      <c r="C210" s="899" t="s">
        <v>1122</v>
      </c>
      <c r="D210" s="901" t="s">
        <v>6554</v>
      </c>
      <c r="E210" s="902"/>
      <c r="F210" s="899" t="s">
        <v>1824</v>
      </c>
      <c r="G210" s="899" t="s">
        <v>857</v>
      </c>
      <c r="H210" s="901" t="s">
        <v>6517</v>
      </c>
      <c r="I210" s="901" t="s">
        <v>1120</v>
      </c>
      <c r="J210" s="903">
        <v>43468.0</v>
      </c>
      <c r="K210" s="901" t="s">
        <v>1027</v>
      </c>
      <c r="L210" s="904">
        <v>0.4</v>
      </c>
      <c r="M210" s="902"/>
      <c r="N210" s="901" t="s">
        <v>860</v>
      </c>
      <c r="O210" s="899" t="s">
        <v>743</v>
      </c>
      <c r="P210" s="899" t="s">
        <v>148</v>
      </c>
      <c r="Q210" s="901">
        <v>2018.0</v>
      </c>
      <c r="R210" s="901" t="s">
        <v>861</v>
      </c>
      <c r="S210" s="899" t="s">
        <v>1123</v>
      </c>
      <c r="T210" s="899" t="s">
        <v>96</v>
      </c>
      <c r="U210" s="885" t="str">
        <f>IFERROR(VLOOKUP(N210,'Thông số'!$B:$F,5,0),"")</f>
        <v>3226 x 1570 x 1545</v>
      </c>
    </row>
    <row r="211" ht="14.25" customHeight="1">
      <c r="A211" s="898">
        <v>3.0</v>
      </c>
      <c r="B211" s="899" t="s">
        <v>1124</v>
      </c>
      <c r="C211" s="899" t="s">
        <v>1125</v>
      </c>
      <c r="D211" s="901" t="s">
        <v>6555</v>
      </c>
      <c r="E211" s="902"/>
      <c r="F211" s="899" t="s">
        <v>1824</v>
      </c>
      <c r="G211" s="899" t="s">
        <v>857</v>
      </c>
      <c r="H211" s="901" t="s">
        <v>6517</v>
      </c>
      <c r="I211" s="901" t="s">
        <v>1120</v>
      </c>
      <c r="J211" s="903">
        <v>43468.0</v>
      </c>
      <c r="K211" s="901" t="s">
        <v>1027</v>
      </c>
      <c r="L211" s="904">
        <v>0.4</v>
      </c>
      <c r="M211" s="902"/>
      <c r="N211" s="901" t="s">
        <v>860</v>
      </c>
      <c r="O211" s="899" t="s">
        <v>743</v>
      </c>
      <c r="P211" s="899" t="s">
        <v>148</v>
      </c>
      <c r="Q211" s="901">
        <v>2018.0</v>
      </c>
      <c r="R211" s="901" t="s">
        <v>861</v>
      </c>
      <c r="S211" s="899" t="s">
        <v>1126</v>
      </c>
      <c r="T211" s="899" t="s">
        <v>96</v>
      </c>
      <c r="U211" s="885" t="str">
        <f>IFERROR(VLOOKUP(N211,'Thông số'!$B:$F,5,0),"")</f>
        <v>3226 x 1570 x 1545</v>
      </c>
    </row>
    <row r="212" ht="14.25" customHeight="1">
      <c r="A212" s="898">
        <v>4.0</v>
      </c>
      <c r="B212" s="899" t="s">
        <v>1127</v>
      </c>
      <c r="C212" s="899" t="s">
        <v>1128</v>
      </c>
      <c r="D212" s="901" t="s">
        <v>6556</v>
      </c>
      <c r="E212" s="902"/>
      <c r="F212" s="899" t="s">
        <v>1824</v>
      </c>
      <c r="G212" s="899" t="s">
        <v>857</v>
      </c>
      <c r="H212" s="901" t="s">
        <v>6517</v>
      </c>
      <c r="I212" s="901" t="s">
        <v>1120</v>
      </c>
      <c r="J212" s="903">
        <v>43468.0</v>
      </c>
      <c r="K212" s="901" t="s">
        <v>1027</v>
      </c>
      <c r="L212" s="904">
        <v>0.4</v>
      </c>
      <c r="M212" s="902"/>
      <c r="N212" s="901" t="s">
        <v>860</v>
      </c>
      <c r="O212" s="899" t="s">
        <v>743</v>
      </c>
      <c r="P212" s="899" t="s">
        <v>148</v>
      </c>
      <c r="Q212" s="901">
        <v>2018.0</v>
      </c>
      <c r="R212" s="901" t="s">
        <v>861</v>
      </c>
      <c r="S212" s="899" t="s">
        <v>1129</v>
      </c>
      <c r="T212" s="899" t="s">
        <v>96</v>
      </c>
      <c r="U212" s="885" t="str">
        <f>IFERROR(VLOOKUP(N212,'Thông số'!$B:$F,5,0),"")</f>
        <v>3226 x 1570 x 1545</v>
      </c>
    </row>
    <row r="213" ht="14.25" customHeight="1">
      <c r="A213" s="898">
        <v>5.0</v>
      </c>
      <c r="B213" s="899" t="s">
        <v>1130</v>
      </c>
      <c r="C213" s="899" t="s">
        <v>1131</v>
      </c>
      <c r="D213" s="901" t="s">
        <v>6557</v>
      </c>
      <c r="E213" s="902"/>
      <c r="F213" s="899" t="s">
        <v>1824</v>
      </c>
      <c r="G213" s="899" t="s">
        <v>857</v>
      </c>
      <c r="H213" s="901" t="s">
        <v>6517</v>
      </c>
      <c r="I213" s="901" t="s">
        <v>1120</v>
      </c>
      <c r="J213" s="903">
        <v>43468.0</v>
      </c>
      <c r="K213" s="901" t="s">
        <v>1027</v>
      </c>
      <c r="L213" s="904">
        <v>0.4</v>
      </c>
      <c r="M213" s="902"/>
      <c r="N213" s="901" t="s">
        <v>860</v>
      </c>
      <c r="O213" s="899" t="s">
        <v>743</v>
      </c>
      <c r="P213" s="899" t="s">
        <v>148</v>
      </c>
      <c r="Q213" s="901">
        <v>2018.0</v>
      </c>
      <c r="R213" s="901" t="s">
        <v>861</v>
      </c>
      <c r="S213" s="899" t="s">
        <v>1132</v>
      </c>
      <c r="T213" s="899" t="s">
        <v>96</v>
      </c>
      <c r="U213" s="885" t="str">
        <f>IFERROR(VLOOKUP(N213,'Thông số'!$B:$F,5,0),"")</f>
        <v>3226 x 1570 x 1545</v>
      </c>
    </row>
    <row r="214" ht="14.25" customHeight="1">
      <c r="A214" s="891">
        <v>6.0</v>
      </c>
      <c r="B214" s="892" t="s">
        <v>1020</v>
      </c>
      <c r="C214" s="892" t="s">
        <v>1133</v>
      </c>
      <c r="D214" s="895" t="s">
        <v>1021</v>
      </c>
      <c r="E214" s="894"/>
      <c r="F214" s="892" t="s">
        <v>1021</v>
      </c>
      <c r="G214" s="892" t="s">
        <v>219</v>
      </c>
      <c r="H214" s="895" t="s">
        <v>6449</v>
      </c>
      <c r="I214" s="895" t="s">
        <v>1120</v>
      </c>
      <c r="J214" s="894"/>
      <c r="K214" s="895" t="s">
        <v>865</v>
      </c>
      <c r="L214" s="894"/>
      <c r="M214" s="894"/>
      <c r="N214" s="894"/>
      <c r="O214" s="892" t="s">
        <v>123</v>
      </c>
      <c r="P214" s="892" t="s">
        <v>84</v>
      </c>
      <c r="Q214" s="895">
        <v>2006.0</v>
      </c>
      <c r="R214" s="895" t="s">
        <v>462</v>
      </c>
      <c r="S214" s="892">
        <v>8608.0</v>
      </c>
      <c r="T214" s="892" t="s">
        <v>96</v>
      </c>
      <c r="U214" s="885" t="str">
        <f>IFERROR(VLOOKUP(N214,'Thông số'!$B:$F,5,0),"")</f>
        <v/>
      </c>
    </row>
    <row r="215" ht="14.25" customHeight="1">
      <c r="A215" s="898">
        <v>7.0</v>
      </c>
      <c r="B215" s="899" t="s">
        <v>1134</v>
      </c>
      <c r="C215" s="899" t="s">
        <v>1136</v>
      </c>
      <c r="D215" s="901" t="s">
        <v>6558</v>
      </c>
      <c r="E215" s="902"/>
      <c r="F215" s="899" t="s">
        <v>1824</v>
      </c>
      <c r="G215" s="899" t="s">
        <v>857</v>
      </c>
      <c r="H215" s="901" t="s">
        <v>6517</v>
      </c>
      <c r="I215" s="901" t="s">
        <v>1120</v>
      </c>
      <c r="J215" s="902"/>
      <c r="K215" s="901" t="s">
        <v>1027</v>
      </c>
      <c r="L215" s="902"/>
      <c r="M215" s="902"/>
      <c r="N215" s="901" t="s">
        <v>860</v>
      </c>
      <c r="O215" s="899" t="s">
        <v>743</v>
      </c>
      <c r="P215" s="899" t="s">
        <v>148</v>
      </c>
      <c r="Q215" s="901">
        <v>2018.0</v>
      </c>
      <c r="R215" s="901" t="s">
        <v>861</v>
      </c>
      <c r="S215" s="899" t="s">
        <v>1137</v>
      </c>
      <c r="T215" s="899" t="s">
        <v>96</v>
      </c>
      <c r="U215" s="885" t="str">
        <f>IFERROR(VLOOKUP(N215,'Thông số'!$B:$F,5,0),"")</f>
        <v>3226 x 1570 x 1545</v>
      </c>
    </row>
    <row r="216" ht="14.25" customHeight="1">
      <c r="A216" s="898">
        <v>8.0</v>
      </c>
      <c r="B216" s="899" t="s">
        <v>1138</v>
      </c>
      <c r="C216" s="899" t="s">
        <v>1139</v>
      </c>
      <c r="D216" s="901" t="s">
        <v>6559</v>
      </c>
      <c r="E216" s="902"/>
      <c r="F216" s="902"/>
      <c r="G216" s="899" t="s">
        <v>875</v>
      </c>
      <c r="H216" s="901" t="s">
        <v>6517</v>
      </c>
      <c r="I216" s="901" t="s">
        <v>1120</v>
      </c>
      <c r="J216" s="902"/>
      <c r="K216" s="901" t="s">
        <v>1027</v>
      </c>
      <c r="L216" s="902"/>
      <c r="M216" s="906" t="s">
        <v>1140</v>
      </c>
      <c r="N216" s="901" t="s">
        <v>878</v>
      </c>
      <c r="O216" s="899" t="s">
        <v>454</v>
      </c>
      <c r="P216" s="899" t="s">
        <v>84</v>
      </c>
      <c r="Q216" s="901">
        <v>2019.0</v>
      </c>
      <c r="R216" s="901" t="s">
        <v>101</v>
      </c>
      <c r="S216" s="899">
        <v>14716.0</v>
      </c>
      <c r="T216" s="899" t="s">
        <v>96</v>
      </c>
      <c r="U216" s="885" t="str">
        <f>IFERROR(VLOOKUP(N216,'Thông số'!$B:$F,5,0),"")</f>
        <v>3120 x 1495 x 1510</v>
      </c>
    </row>
    <row r="217" ht="14.25" customHeight="1">
      <c r="A217" s="891">
        <v>9.0</v>
      </c>
      <c r="B217" s="892" t="s">
        <v>1141</v>
      </c>
      <c r="C217" s="892" t="s">
        <v>1142</v>
      </c>
      <c r="D217" s="895" t="s">
        <v>6560</v>
      </c>
      <c r="E217" s="894"/>
      <c r="F217" s="894"/>
      <c r="G217" s="892" t="s">
        <v>6561</v>
      </c>
      <c r="H217" s="895" t="s">
        <v>5892</v>
      </c>
      <c r="I217" s="895" t="s">
        <v>1120</v>
      </c>
      <c r="J217" s="894"/>
      <c r="K217" s="895" t="s">
        <v>865</v>
      </c>
      <c r="L217" s="894"/>
      <c r="M217" s="894"/>
      <c r="N217" s="895" t="s">
        <v>1144</v>
      </c>
      <c r="O217" s="892" t="s">
        <v>300</v>
      </c>
      <c r="P217" s="892" t="s">
        <v>148</v>
      </c>
      <c r="Q217" s="895">
        <v>2018.0</v>
      </c>
      <c r="R217" s="895" t="s">
        <v>112</v>
      </c>
      <c r="S217" s="892" t="s">
        <v>1146</v>
      </c>
      <c r="T217" s="892" t="s">
        <v>1147</v>
      </c>
      <c r="U217" s="885" t="str">
        <f>IFERROR(VLOOKUP(N217,'Thông số'!$B:$F,5,0),"")</f>
        <v>8800 x 2500 x 3700</v>
      </c>
    </row>
    <row r="218" ht="14.25" customHeight="1">
      <c r="A218" s="898">
        <v>10.0</v>
      </c>
      <c r="B218" s="899" t="s">
        <v>1148</v>
      </c>
      <c r="C218" s="902"/>
      <c r="D218" s="901" t="s">
        <v>5902</v>
      </c>
      <c r="E218" s="901" t="s">
        <v>1149</v>
      </c>
      <c r="F218" s="899" t="s">
        <v>5902</v>
      </c>
      <c r="G218" s="899" t="s">
        <v>896</v>
      </c>
      <c r="H218" s="902"/>
      <c r="I218" s="901" t="s">
        <v>1120</v>
      </c>
      <c r="J218" s="903">
        <v>45301.0</v>
      </c>
      <c r="K218" s="901" t="s">
        <v>1027</v>
      </c>
      <c r="L218" s="904">
        <v>0.98</v>
      </c>
      <c r="M218" s="902"/>
      <c r="N218" s="901" t="s">
        <v>898</v>
      </c>
      <c r="O218" s="899" t="s">
        <v>897</v>
      </c>
      <c r="P218" s="899" t="s">
        <v>148</v>
      </c>
      <c r="Q218" s="901">
        <v>2021.0</v>
      </c>
      <c r="R218" s="901" t="s">
        <v>158</v>
      </c>
      <c r="S218" s="899" t="s">
        <v>1151</v>
      </c>
      <c r="T218" s="899" t="s">
        <v>1152</v>
      </c>
      <c r="U218" s="885" t="str">
        <f>IFERROR(VLOOKUP(N218,'Thông số'!$B:$F,5,0),"")</f>
        <v>4730 x 1750 x 2100</v>
      </c>
    </row>
    <row r="219" ht="14.25" customHeight="1">
      <c r="A219" s="898">
        <v>11.0</v>
      </c>
      <c r="B219" s="899" t="s">
        <v>1153</v>
      </c>
      <c r="C219" s="902"/>
      <c r="D219" s="901" t="s">
        <v>5819</v>
      </c>
      <c r="E219" s="902"/>
      <c r="F219" s="899" t="s">
        <v>5819</v>
      </c>
      <c r="G219" s="899" t="s">
        <v>1154</v>
      </c>
      <c r="H219" s="901" t="s">
        <v>5841</v>
      </c>
      <c r="I219" s="901" t="s">
        <v>1120</v>
      </c>
      <c r="J219" s="902"/>
      <c r="K219" s="901" t="s">
        <v>1027</v>
      </c>
      <c r="L219" s="902"/>
      <c r="M219" s="906" t="s">
        <v>1156</v>
      </c>
      <c r="N219" s="901" t="s">
        <v>1158</v>
      </c>
      <c r="O219" s="899" t="s">
        <v>1157</v>
      </c>
      <c r="P219" s="899" t="s">
        <v>260</v>
      </c>
      <c r="Q219" s="901">
        <v>2022.0</v>
      </c>
      <c r="R219" s="901" t="s">
        <v>1159</v>
      </c>
      <c r="S219" s="899" t="s">
        <v>1160</v>
      </c>
      <c r="T219" s="899" t="s">
        <v>1161</v>
      </c>
      <c r="U219" s="885" t="str">
        <f>IFERROR(VLOOKUP(N219,'Thông số'!$B:$F,5,0),"")</f>
        <v/>
      </c>
    </row>
    <row r="220" ht="14.25" customHeight="1">
      <c r="A220" s="898">
        <v>12.0</v>
      </c>
      <c r="B220" s="899" t="s">
        <v>1162</v>
      </c>
      <c r="C220" s="902"/>
      <c r="D220" s="901" t="s">
        <v>5819</v>
      </c>
      <c r="E220" s="902"/>
      <c r="F220" s="899" t="s">
        <v>5819</v>
      </c>
      <c r="G220" s="899" t="s">
        <v>880</v>
      </c>
      <c r="H220" s="901" t="s">
        <v>5841</v>
      </c>
      <c r="I220" s="901" t="s">
        <v>1120</v>
      </c>
      <c r="J220" s="902"/>
      <c r="K220" s="901" t="s">
        <v>1027</v>
      </c>
      <c r="L220" s="902"/>
      <c r="M220" s="902"/>
      <c r="N220" s="901" t="s">
        <v>1163</v>
      </c>
      <c r="O220" s="899" t="s">
        <v>123</v>
      </c>
      <c r="P220" s="899" t="s">
        <v>222</v>
      </c>
      <c r="Q220" s="901">
        <v>2008.0</v>
      </c>
      <c r="R220" s="902"/>
      <c r="S220" s="899">
        <v>809168.0</v>
      </c>
      <c r="T220" s="899" t="s">
        <v>6562</v>
      </c>
      <c r="U220" s="885" t="str">
        <f>IFERROR(VLOOKUP(N220,'Thông số'!$B:$F,5,0),"")</f>
        <v/>
      </c>
    </row>
    <row r="221" ht="14.25" customHeight="1">
      <c r="A221" s="898">
        <v>13.0</v>
      </c>
      <c r="B221" s="899" t="s">
        <v>1164</v>
      </c>
      <c r="C221" s="902"/>
      <c r="D221" s="901" t="s">
        <v>1165</v>
      </c>
      <c r="E221" s="902"/>
      <c r="F221" s="902"/>
      <c r="G221" s="899" t="s">
        <v>6563</v>
      </c>
      <c r="H221" s="902"/>
      <c r="I221" s="901" t="s">
        <v>1120</v>
      </c>
      <c r="J221" s="903">
        <v>45992.0</v>
      </c>
      <c r="K221" s="901" t="s">
        <v>1027</v>
      </c>
      <c r="L221" s="902"/>
      <c r="M221" s="917" t="s">
        <v>890</v>
      </c>
      <c r="N221" s="901" t="s">
        <v>1071</v>
      </c>
      <c r="O221" s="899" t="s">
        <v>739</v>
      </c>
      <c r="P221" s="899" t="s">
        <v>260</v>
      </c>
      <c r="Q221" s="901">
        <v>2025.0</v>
      </c>
      <c r="R221" s="901" t="s">
        <v>1166</v>
      </c>
      <c r="S221" s="899" t="s">
        <v>1167</v>
      </c>
      <c r="T221" s="899" t="s">
        <v>1168</v>
      </c>
      <c r="U221" s="885" t="str">
        <f>IFERROR(VLOOKUP(N221,'Thông số'!$B:$F,5,0),"")</f>
        <v/>
      </c>
    </row>
    <row r="222" ht="14.25" customHeight="1">
      <c r="A222" s="898">
        <v>14.0</v>
      </c>
      <c r="B222" s="899" t="s">
        <v>1172</v>
      </c>
      <c r="C222" s="902"/>
      <c r="D222" s="901" t="s">
        <v>6564</v>
      </c>
      <c r="E222" s="901" t="s">
        <v>1173</v>
      </c>
      <c r="F222" s="902"/>
      <c r="G222" s="899" t="s">
        <v>919</v>
      </c>
      <c r="H222" s="901" t="s">
        <v>6539</v>
      </c>
      <c r="I222" s="901" t="s">
        <v>1120</v>
      </c>
      <c r="J222" s="903">
        <v>45503.0</v>
      </c>
      <c r="K222" s="901" t="s">
        <v>1027</v>
      </c>
      <c r="L222" s="902"/>
      <c r="M222" s="906" t="s">
        <v>1174</v>
      </c>
      <c r="N222" s="901" t="s">
        <v>6540</v>
      </c>
      <c r="O222" s="899" t="s">
        <v>466</v>
      </c>
      <c r="P222" s="899" t="s">
        <v>648</v>
      </c>
      <c r="Q222" s="901">
        <v>2024.0</v>
      </c>
      <c r="R222" s="901" t="s">
        <v>922</v>
      </c>
      <c r="S222" s="899" t="s">
        <v>1175</v>
      </c>
      <c r="T222" s="899" t="s">
        <v>1176</v>
      </c>
      <c r="U222" s="885" t="str">
        <f>IFERROR(VLOOKUP(N222,'Thông số'!$B:$F,5,0),"")</f>
        <v>5250 x 2170 x 2520</v>
      </c>
    </row>
    <row r="223" ht="14.25" customHeight="1">
      <c r="A223" s="898">
        <v>15.0</v>
      </c>
      <c r="B223" s="899" t="s">
        <v>1177</v>
      </c>
      <c r="C223" s="902"/>
      <c r="D223" s="901" t="s">
        <v>6565</v>
      </c>
      <c r="E223" s="901" t="s">
        <v>1178</v>
      </c>
      <c r="F223" s="902"/>
      <c r="G223" s="899" t="s">
        <v>919</v>
      </c>
      <c r="H223" s="901" t="s">
        <v>6539</v>
      </c>
      <c r="I223" s="901" t="s">
        <v>1120</v>
      </c>
      <c r="J223" s="903">
        <v>45503.0</v>
      </c>
      <c r="K223" s="901" t="s">
        <v>1027</v>
      </c>
      <c r="L223" s="902"/>
      <c r="M223" s="906" t="s">
        <v>1174</v>
      </c>
      <c r="N223" s="901" t="s">
        <v>6540</v>
      </c>
      <c r="O223" s="899" t="s">
        <v>466</v>
      </c>
      <c r="P223" s="899" t="s">
        <v>648</v>
      </c>
      <c r="Q223" s="901">
        <v>2024.0</v>
      </c>
      <c r="R223" s="901" t="s">
        <v>922</v>
      </c>
      <c r="S223" s="899" t="s">
        <v>1179</v>
      </c>
      <c r="T223" s="899" t="s">
        <v>1180</v>
      </c>
      <c r="U223" s="885" t="str">
        <f>IFERROR(VLOOKUP(N223,'Thông số'!$B:$F,5,0),"")</f>
        <v>5250 x 2170 x 2520</v>
      </c>
    </row>
    <row r="224" ht="14.25" customHeight="1">
      <c r="A224" s="891">
        <v>16.0</v>
      </c>
      <c r="B224" s="892" t="s">
        <v>1181</v>
      </c>
      <c r="C224" s="892" t="s">
        <v>1182</v>
      </c>
      <c r="D224" s="895" t="s">
        <v>5595</v>
      </c>
      <c r="E224" s="894"/>
      <c r="F224" s="894"/>
      <c r="G224" s="892" t="s">
        <v>919</v>
      </c>
      <c r="H224" s="895" t="s">
        <v>6539</v>
      </c>
      <c r="I224" s="895" t="s">
        <v>1120</v>
      </c>
      <c r="J224" s="896">
        <v>45392.0</v>
      </c>
      <c r="K224" s="895" t="s">
        <v>865</v>
      </c>
      <c r="L224" s="894"/>
      <c r="M224" s="919" t="s">
        <v>1183</v>
      </c>
      <c r="N224" s="895" t="s">
        <v>6540</v>
      </c>
      <c r="O224" s="892" t="s">
        <v>300</v>
      </c>
      <c r="P224" s="892" t="s">
        <v>148</v>
      </c>
      <c r="Q224" s="895">
        <v>2023.0</v>
      </c>
      <c r="R224" s="895" t="s">
        <v>682</v>
      </c>
      <c r="S224" s="892" t="s">
        <v>1184</v>
      </c>
      <c r="T224" s="892" t="s">
        <v>1185</v>
      </c>
      <c r="U224" s="885" t="str">
        <f>IFERROR(VLOOKUP(N224,'Thông số'!$B:$F,5,0),"")</f>
        <v>5250 x 2170 x 2520</v>
      </c>
    </row>
    <row r="225" ht="14.25" customHeight="1">
      <c r="A225" s="891">
        <v>17.0</v>
      </c>
      <c r="B225" s="892" t="s">
        <v>1186</v>
      </c>
      <c r="C225" s="892" t="s">
        <v>1187</v>
      </c>
      <c r="D225" s="895" t="s">
        <v>6566</v>
      </c>
      <c r="E225" s="894"/>
      <c r="F225" s="894"/>
      <c r="G225" s="892" t="s">
        <v>919</v>
      </c>
      <c r="H225" s="895" t="s">
        <v>6539</v>
      </c>
      <c r="I225" s="895" t="s">
        <v>1120</v>
      </c>
      <c r="J225" s="896">
        <v>45392.0</v>
      </c>
      <c r="K225" s="895" t="s">
        <v>865</v>
      </c>
      <c r="L225" s="894"/>
      <c r="M225" s="919" t="s">
        <v>1188</v>
      </c>
      <c r="N225" s="895" t="s">
        <v>6540</v>
      </c>
      <c r="O225" s="892" t="s">
        <v>300</v>
      </c>
      <c r="P225" s="892" t="s">
        <v>148</v>
      </c>
      <c r="Q225" s="895">
        <v>2023.0</v>
      </c>
      <c r="R225" s="895" t="s">
        <v>682</v>
      </c>
      <c r="S225" s="892" t="s">
        <v>1189</v>
      </c>
      <c r="T225" s="892" t="s">
        <v>1190</v>
      </c>
      <c r="U225" s="885" t="str">
        <f>IFERROR(VLOOKUP(N225,'Thông số'!$B:$F,5,0),"")</f>
        <v>5250 x 2170 x 2520</v>
      </c>
    </row>
    <row r="226" ht="14.25" customHeight="1">
      <c r="A226" s="898">
        <v>18.0</v>
      </c>
      <c r="B226" s="899" t="s">
        <v>1197</v>
      </c>
      <c r="C226" s="902"/>
      <c r="D226" s="901" t="s">
        <v>1198</v>
      </c>
      <c r="E226" s="902"/>
      <c r="F226" s="902"/>
      <c r="G226" s="899" t="s">
        <v>946</v>
      </c>
      <c r="H226" s="901" t="s">
        <v>6483</v>
      </c>
      <c r="I226" s="901" t="s">
        <v>1120</v>
      </c>
      <c r="J226" s="909">
        <v>45862.0</v>
      </c>
      <c r="K226" s="901" t="s">
        <v>1027</v>
      </c>
      <c r="L226" s="902"/>
      <c r="M226" s="917" t="s">
        <v>890</v>
      </c>
      <c r="N226" s="901" t="s">
        <v>949</v>
      </c>
      <c r="O226" s="899" t="s">
        <v>673</v>
      </c>
      <c r="P226" s="899" t="s">
        <v>948</v>
      </c>
      <c r="Q226" s="901">
        <v>2022.0</v>
      </c>
      <c r="R226" s="901" t="s">
        <v>950</v>
      </c>
      <c r="S226" s="899">
        <v>203055.0</v>
      </c>
      <c r="T226" s="899" t="s">
        <v>1199</v>
      </c>
      <c r="U226" s="885" t="str">
        <f>IFERROR(VLOOKUP(N226,'Thông số'!$B:$F,5,0),"")</f>
        <v/>
      </c>
    </row>
    <row r="227" ht="14.25" customHeight="1">
      <c r="A227" s="898">
        <v>19.0</v>
      </c>
      <c r="B227" s="899" t="s">
        <v>1200</v>
      </c>
      <c r="C227" s="902"/>
      <c r="D227" s="901" t="s">
        <v>1201</v>
      </c>
      <c r="E227" s="902"/>
      <c r="F227" s="902"/>
      <c r="G227" s="899" t="s">
        <v>946</v>
      </c>
      <c r="H227" s="901" t="s">
        <v>6483</v>
      </c>
      <c r="I227" s="901" t="s">
        <v>1120</v>
      </c>
      <c r="J227" s="909">
        <v>45862.0</v>
      </c>
      <c r="K227" s="901" t="s">
        <v>1027</v>
      </c>
      <c r="L227" s="902"/>
      <c r="M227" s="917" t="s">
        <v>890</v>
      </c>
      <c r="N227" s="901" t="s">
        <v>949</v>
      </c>
      <c r="O227" s="899" t="s">
        <v>673</v>
      </c>
      <c r="P227" s="899" t="s">
        <v>948</v>
      </c>
      <c r="Q227" s="901">
        <v>2022.0</v>
      </c>
      <c r="R227" s="901" t="s">
        <v>950</v>
      </c>
      <c r="S227" s="899">
        <v>203059.0</v>
      </c>
      <c r="T227" s="899" t="s">
        <v>1202</v>
      </c>
      <c r="U227" s="885" t="str">
        <f>IFERROR(VLOOKUP(N227,'Thông số'!$B:$F,5,0),"")</f>
        <v/>
      </c>
    </row>
    <row r="228" ht="14.25" customHeight="1">
      <c r="A228" s="898">
        <v>20.0</v>
      </c>
      <c r="B228" s="899" t="s">
        <v>1203</v>
      </c>
      <c r="C228" s="902"/>
      <c r="D228" s="901" t="s">
        <v>1204</v>
      </c>
      <c r="E228" s="902"/>
      <c r="F228" s="902"/>
      <c r="G228" s="899" t="s">
        <v>946</v>
      </c>
      <c r="H228" s="901" t="s">
        <v>6483</v>
      </c>
      <c r="I228" s="901" t="s">
        <v>1120</v>
      </c>
      <c r="J228" s="909">
        <v>45862.0</v>
      </c>
      <c r="K228" s="901" t="s">
        <v>1027</v>
      </c>
      <c r="L228" s="902"/>
      <c r="M228" s="917" t="s">
        <v>890</v>
      </c>
      <c r="N228" s="901" t="s">
        <v>949</v>
      </c>
      <c r="O228" s="899" t="s">
        <v>673</v>
      </c>
      <c r="P228" s="899" t="s">
        <v>948</v>
      </c>
      <c r="Q228" s="901">
        <v>2022.0</v>
      </c>
      <c r="R228" s="901" t="s">
        <v>950</v>
      </c>
      <c r="S228" s="899">
        <v>203061.0</v>
      </c>
      <c r="T228" s="899" t="s">
        <v>1205</v>
      </c>
      <c r="U228" s="885" t="str">
        <f>IFERROR(VLOOKUP(N228,'Thông số'!$B:$F,5,0),"")</f>
        <v/>
      </c>
    </row>
    <row r="229" ht="14.25" customHeight="1">
      <c r="A229" s="898">
        <v>21.0</v>
      </c>
      <c r="B229" s="899" t="s">
        <v>1206</v>
      </c>
      <c r="C229" s="902"/>
      <c r="D229" s="901" t="s">
        <v>1207</v>
      </c>
      <c r="E229" s="902"/>
      <c r="F229" s="902"/>
      <c r="G229" s="899" t="s">
        <v>946</v>
      </c>
      <c r="H229" s="901" t="s">
        <v>6483</v>
      </c>
      <c r="I229" s="901" t="s">
        <v>1120</v>
      </c>
      <c r="J229" s="909">
        <v>45862.0</v>
      </c>
      <c r="K229" s="901" t="s">
        <v>1027</v>
      </c>
      <c r="L229" s="902"/>
      <c r="M229" s="917" t="s">
        <v>890</v>
      </c>
      <c r="N229" s="901" t="s">
        <v>949</v>
      </c>
      <c r="O229" s="899" t="s">
        <v>673</v>
      </c>
      <c r="P229" s="899" t="s">
        <v>948</v>
      </c>
      <c r="Q229" s="901">
        <v>2022.0</v>
      </c>
      <c r="R229" s="901" t="s">
        <v>950</v>
      </c>
      <c r="S229" s="899">
        <v>203176.0</v>
      </c>
      <c r="T229" s="899" t="s">
        <v>1208</v>
      </c>
      <c r="U229" s="885" t="str">
        <f>IFERROR(VLOOKUP(N229,'Thông số'!$B:$F,5,0),"")</f>
        <v/>
      </c>
    </row>
    <row r="230" ht="14.25" customHeight="1">
      <c r="A230" s="898">
        <v>22.0</v>
      </c>
      <c r="B230" s="899" t="s">
        <v>3137</v>
      </c>
      <c r="C230" s="902"/>
      <c r="D230" s="901" t="s">
        <v>3138</v>
      </c>
      <c r="E230" s="902"/>
      <c r="F230" s="902"/>
      <c r="G230" s="899" t="s">
        <v>3082</v>
      </c>
      <c r="H230" s="901" t="s">
        <v>6187</v>
      </c>
      <c r="I230" s="901" t="s">
        <v>1120</v>
      </c>
      <c r="J230" s="909">
        <v>45647.0</v>
      </c>
      <c r="K230" s="901" t="s">
        <v>1027</v>
      </c>
      <c r="L230" s="902"/>
      <c r="M230" s="917" t="s">
        <v>890</v>
      </c>
      <c r="N230" s="901" t="s">
        <v>3091</v>
      </c>
      <c r="O230" s="899" t="s">
        <v>3083</v>
      </c>
      <c r="P230" s="899" t="s">
        <v>3084</v>
      </c>
      <c r="Q230" s="901">
        <v>2024.0</v>
      </c>
      <c r="R230" s="901" t="s">
        <v>3086</v>
      </c>
      <c r="S230" s="899" t="s">
        <v>96</v>
      </c>
      <c r="T230" s="899" t="s">
        <v>96</v>
      </c>
      <c r="U230" s="885" t="str">
        <f>IFERROR(VLOOKUP(N230,'Thông số'!$B:$F,5,0),"")</f>
        <v/>
      </c>
    </row>
    <row r="231" ht="14.25" customHeight="1">
      <c r="A231" s="898">
        <v>23.0</v>
      </c>
      <c r="B231" s="899" t="s">
        <v>3139</v>
      </c>
      <c r="C231" s="902"/>
      <c r="D231" s="901" t="s">
        <v>3140</v>
      </c>
      <c r="E231" s="902"/>
      <c r="F231" s="902"/>
      <c r="G231" s="899" t="s">
        <v>3082</v>
      </c>
      <c r="H231" s="901" t="s">
        <v>6187</v>
      </c>
      <c r="I231" s="901" t="s">
        <v>1120</v>
      </c>
      <c r="J231" s="909">
        <v>45647.0</v>
      </c>
      <c r="K231" s="901" t="s">
        <v>1027</v>
      </c>
      <c r="L231" s="902"/>
      <c r="M231" s="917" t="s">
        <v>890</v>
      </c>
      <c r="N231" s="901" t="s">
        <v>3091</v>
      </c>
      <c r="O231" s="899" t="s">
        <v>3083</v>
      </c>
      <c r="P231" s="899" t="s">
        <v>3084</v>
      </c>
      <c r="Q231" s="901">
        <v>2024.0</v>
      </c>
      <c r="R231" s="901" t="s">
        <v>3086</v>
      </c>
      <c r="S231" s="899" t="s">
        <v>96</v>
      </c>
      <c r="T231" s="899" t="s">
        <v>96</v>
      </c>
      <c r="U231" s="885" t="str">
        <f>IFERROR(VLOOKUP(N231,'Thông số'!$B:$F,5,0),"")</f>
        <v/>
      </c>
    </row>
    <row r="232" ht="14.25" customHeight="1">
      <c r="A232" s="898">
        <v>24.0</v>
      </c>
      <c r="B232" s="899" t="s">
        <v>1209</v>
      </c>
      <c r="C232" s="902"/>
      <c r="D232" s="901" t="s">
        <v>1210</v>
      </c>
      <c r="E232" s="902"/>
      <c r="F232" s="902"/>
      <c r="G232" s="899" t="s">
        <v>975</v>
      </c>
      <c r="H232" s="901" t="s">
        <v>6187</v>
      </c>
      <c r="I232" s="901" t="s">
        <v>1120</v>
      </c>
      <c r="J232" s="903">
        <v>45680.0</v>
      </c>
      <c r="K232" s="901" t="s">
        <v>1027</v>
      </c>
      <c r="L232" s="902"/>
      <c r="M232" s="917" t="s">
        <v>890</v>
      </c>
      <c r="N232" s="901" t="s">
        <v>1213</v>
      </c>
      <c r="O232" s="899" t="s">
        <v>1212</v>
      </c>
      <c r="P232" s="899" t="s">
        <v>979</v>
      </c>
      <c r="Q232" s="902"/>
      <c r="R232" s="901" t="s">
        <v>981</v>
      </c>
      <c r="S232" s="899" t="s">
        <v>1214</v>
      </c>
      <c r="T232" s="899">
        <v>12168.0</v>
      </c>
      <c r="U232" s="885" t="str">
        <f>IFERROR(VLOOKUP(N232,'Thông số'!$B:$F,5,0),"")</f>
        <v/>
      </c>
    </row>
    <row r="233" ht="14.25" customHeight="1">
      <c r="A233" s="898">
        <v>25.0</v>
      </c>
      <c r="B233" s="899" t="s">
        <v>1215</v>
      </c>
      <c r="C233" s="902"/>
      <c r="D233" s="901" t="s">
        <v>1216</v>
      </c>
      <c r="E233" s="902"/>
      <c r="F233" s="902"/>
      <c r="G233" s="905" t="s">
        <v>985</v>
      </c>
      <c r="H233" s="901" t="s">
        <v>6187</v>
      </c>
      <c r="I233" s="901" t="s">
        <v>1120</v>
      </c>
      <c r="J233" s="909">
        <v>45833.0</v>
      </c>
      <c r="K233" s="901" t="s">
        <v>1027</v>
      </c>
      <c r="L233" s="902"/>
      <c r="M233" s="906" t="s">
        <v>890</v>
      </c>
      <c r="N233" s="901" t="s">
        <v>988</v>
      </c>
      <c r="O233" s="899" t="s">
        <v>987</v>
      </c>
      <c r="P233" s="899" t="s">
        <v>148</v>
      </c>
      <c r="Q233" s="901">
        <v>2025.0</v>
      </c>
      <c r="R233" s="901" t="s">
        <v>970</v>
      </c>
      <c r="S233" s="899" t="s">
        <v>1217</v>
      </c>
      <c r="T233" s="899" t="s">
        <v>1218</v>
      </c>
      <c r="U233" s="885" t="str">
        <f>IFERROR(VLOOKUP(N233,'Thông số'!$B:$F,5,0),"")</f>
        <v/>
      </c>
    </row>
    <row r="234" ht="14.25" customHeight="1">
      <c r="A234" s="898">
        <v>26.0</v>
      </c>
      <c r="B234" s="899" t="s">
        <v>1219</v>
      </c>
      <c r="C234" s="902"/>
      <c r="D234" s="901" t="s">
        <v>1220</v>
      </c>
      <c r="E234" s="902"/>
      <c r="F234" s="902"/>
      <c r="G234" s="905" t="s">
        <v>985</v>
      </c>
      <c r="H234" s="901" t="s">
        <v>6187</v>
      </c>
      <c r="I234" s="901" t="s">
        <v>1120</v>
      </c>
      <c r="J234" s="909">
        <v>45833.0</v>
      </c>
      <c r="K234" s="901" t="s">
        <v>1027</v>
      </c>
      <c r="L234" s="902"/>
      <c r="M234" s="906" t="s">
        <v>890</v>
      </c>
      <c r="N234" s="901" t="s">
        <v>988</v>
      </c>
      <c r="O234" s="899" t="s">
        <v>987</v>
      </c>
      <c r="P234" s="899" t="s">
        <v>148</v>
      </c>
      <c r="Q234" s="901">
        <v>2025.0</v>
      </c>
      <c r="R234" s="901" t="s">
        <v>970</v>
      </c>
      <c r="S234" s="899" t="s">
        <v>1221</v>
      </c>
      <c r="T234" s="899" t="s">
        <v>1222</v>
      </c>
      <c r="U234" s="885" t="str">
        <f>IFERROR(VLOOKUP(N234,'Thông số'!$B:$F,5,0),"")</f>
        <v/>
      </c>
    </row>
    <row r="235" ht="14.25" customHeight="1">
      <c r="A235" s="898">
        <v>27.0</v>
      </c>
      <c r="B235" s="899" t="s">
        <v>1223</v>
      </c>
      <c r="C235" s="902"/>
      <c r="D235" s="901" t="s">
        <v>1224</v>
      </c>
      <c r="E235" s="902"/>
      <c r="F235" s="902"/>
      <c r="G235" s="905" t="s">
        <v>985</v>
      </c>
      <c r="H235" s="901" t="s">
        <v>6187</v>
      </c>
      <c r="I235" s="901" t="s">
        <v>1120</v>
      </c>
      <c r="J235" s="909">
        <v>45833.0</v>
      </c>
      <c r="K235" s="901" t="s">
        <v>1027</v>
      </c>
      <c r="L235" s="902"/>
      <c r="M235" s="906" t="s">
        <v>890</v>
      </c>
      <c r="N235" s="901" t="s">
        <v>988</v>
      </c>
      <c r="O235" s="899" t="s">
        <v>987</v>
      </c>
      <c r="P235" s="899" t="s">
        <v>148</v>
      </c>
      <c r="Q235" s="901">
        <v>2025.0</v>
      </c>
      <c r="R235" s="901" t="s">
        <v>970</v>
      </c>
      <c r="S235" s="899" t="s">
        <v>1225</v>
      </c>
      <c r="T235" s="899" t="s">
        <v>1226</v>
      </c>
      <c r="U235" s="885" t="str">
        <f>IFERROR(VLOOKUP(N235,'Thông số'!$B:$F,5,0),"")</f>
        <v/>
      </c>
    </row>
    <row r="236" ht="14.25" customHeight="1">
      <c r="A236" s="898">
        <v>28.0</v>
      </c>
      <c r="B236" s="899" t="s">
        <v>1227</v>
      </c>
      <c r="C236" s="902"/>
      <c r="D236" s="901" t="s">
        <v>1228</v>
      </c>
      <c r="E236" s="902"/>
      <c r="F236" s="902"/>
      <c r="G236" s="905" t="s">
        <v>985</v>
      </c>
      <c r="H236" s="901" t="s">
        <v>6187</v>
      </c>
      <c r="I236" s="901" t="s">
        <v>1120</v>
      </c>
      <c r="J236" s="909">
        <v>45833.0</v>
      </c>
      <c r="K236" s="901" t="s">
        <v>1027</v>
      </c>
      <c r="L236" s="902"/>
      <c r="M236" s="906" t="s">
        <v>890</v>
      </c>
      <c r="N236" s="901" t="s">
        <v>988</v>
      </c>
      <c r="O236" s="899" t="s">
        <v>987</v>
      </c>
      <c r="P236" s="899" t="s">
        <v>148</v>
      </c>
      <c r="Q236" s="901">
        <v>2025.0</v>
      </c>
      <c r="R236" s="901" t="s">
        <v>970</v>
      </c>
      <c r="S236" s="899" t="s">
        <v>1229</v>
      </c>
      <c r="T236" s="899" t="s">
        <v>1230</v>
      </c>
      <c r="U236" s="885" t="str">
        <f>IFERROR(VLOOKUP(N236,'Thông số'!$B:$F,5,0),"")</f>
        <v/>
      </c>
    </row>
    <row r="237" ht="14.25" customHeight="1">
      <c r="A237" s="886" t="s">
        <v>1247</v>
      </c>
      <c r="B237" s="887" t="s">
        <v>1248</v>
      </c>
      <c r="C237" s="889">
        <v>23.0</v>
      </c>
      <c r="D237" s="890"/>
      <c r="E237" s="890"/>
      <c r="F237" s="890"/>
      <c r="G237" s="890"/>
      <c r="H237" s="902"/>
      <c r="I237" s="890"/>
      <c r="J237" s="890"/>
      <c r="K237" s="890"/>
      <c r="L237" s="890"/>
      <c r="M237" s="890"/>
      <c r="N237" s="890"/>
      <c r="O237" s="890"/>
      <c r="P237" s="890"/>
      <c r="Q237" s="890"/>
      <c r="R237" s="890"/>
      <c r="S237" s="890"/>
      <c r="T237" s="890"/>
      <c r="U237" s="885" t="str">
        <f>IFERROR(VLOOKUP(N237,'Thông số'!$B:$F,5,0),"")</f>
        <v/>
      </c>
    </row>
    <row r="238" ht="14.25" customHeight="1">
      <c r="A238" s="898">
        <v>1.0</v>
      </c>
      <c r="B238" s="899" t="s">
        <v>1249</v>
      </c>
      <c r="C238" s="902"/>
      <c r="D238" s="901" t="s">
        <v>1250</v>
      </c>
      <c r="E238" s="901" t="s">
        <v>1251</v>
      </c>
      <c r="F238" s="902"/>
      <c r="G238" s="899" t="s">
        <v>1252</v>
      </c>
      <c r="H238" s="902"/>
      <c r="I238" s="901" t="s">
        <v>1253</v>
      </c>
      <c r="J238" s="903">
        <v>45575.0</v>
      </c>
      <c r="K238" s="901" t="s">
        <v>1027</v>
      </c>
      <c r="L238" s="904">
        <v>0.99</v>
      </c>
      <c r="M238" s="906" t="s">
        <v>1254</v>
      </c>
      <c r="N238" s="901" t="s">
        <v>1256</v>
      </c>
      <c r="O238" s="899" t="s">
        <v>1255</v>
      </c>
      <c r="P238" s="899" t="s">
        <v>148</v>
      </c>
      <c r="Q238" s="901">
        <v>2021.0</v>
      </c>
      <c r="R238" s="901" t="s">
        <v>158</v>
      </c>
      <c r="S238" s="899" t="s">
        <v>1257</v>
      </c>
      <c r="T238" s="899" t="s">
        <v>1258</v>
      </c>
      <c r="U238" s="885" t="str">
        <f>IFERROR(VLOOKUP(N238,'Thông số'!$B:$F,5,0),"")</f>
        <v>4730 x 1750 x 2100</v>
      </c>
    </row>
    <row r="239" ht="14.25" customHeight="1">
      <c r="A239" s="898">
        <v>2.0</v>
      </c>
      <c r="B239" s="899" t="s">
        <v>1259</v>
      </c>
      <c r="C239" s="899" t="s">
        <v>1260</v>
      </c>
      <c r="D239" s="901" t="s">
        <v>6567</v>
      </c>
      <c r="E239" s="902"/>
      <c r="F239" s="902"/>
      <c r="G239" s="899" t="s">
        <v>857</v>
      </c>
      <c r="H239" s="901" t="s">
        <v>6517</v>
      </c>
      <c r="I239" s="901" t="s">
        <v>1253</v>
      </c>
      <c r="J239" s="903">
        <v>45471.0</v>
      </c>
      <c r="K239" s="901" t="s">
        <v>1027</v>
      </c>
      <c r="L239" s="902"/>
      <c r="M239" s="906" t="s">
        <v>1262</v>
      </c>
      <c r="N239" s="901" t="s">
        <v>860</v>
      </c>
      <c r="O239" s="899" t="s">
        <v>743</v>
      </c>
      <c r="P239" s="899" t="s">
        <v>148</v>
      </c>
      <c r="Q239" s="901">
        <v>2018.0</v>
      </c>
      <c r="R239" s="901" t="s">
        <v>861</v>
      </c>
      <c r="S239" s="899" t="s">
        <v>1263</v>
      </c>
      <c r="T239" s="899" t="s">
        <v>96</v>
      </c>
      <c r="U239" s="885" t="str">
        <f>IFERROR(VLOOKUP(N239,'Thông số'!$B:$F,5,0),"")</f>
        <v>3226 x 1570 x 1545</v>
      </c>
    </row>
    <row r="240" ht="14.25" customHeight="1">
      <c r="A240" s="898">
        <v>3.0</v>
      </c>
      <c r="B240" s="899" t="s">
        <v>1264</v>
      </c>
      <c r="C240" s="899" t="s">
        <v>1265</v>
      </c>
      <c r="D240" s="901" t="s">
        <v>6568</v>
      </c>
      <c r="E240" s="902"/>
      <c r="F240" s="902"/>
      <c r="G240" s="899" t="s">
        <v>857</v>
      </c>
      <c r="H240" s="901" t="s">
        <v>6517</v>
      </c>
      <c r="I240" s="901" t="s">
        <v>1253</v>
      </c>
      <c r="J240" s="902"/>
      <c r="K240" s="901" t="s">
        <v>1027</v>
      </c>
      <c r="L240" s="902"/>
      <c r="M240" s="906" t="s">
        <v>1266</v>
      </c>
      <c r="N240" s="901" t="s">
        <v>860</v>
      </c>
      <c r="O240" s="899" t="s">
        <v>743</v>
      </c>
      <c r="P240" s="899" t="s">
        <v>148</v>
      </c>
      <c r="Q240" s="901">
        <v>2018.0</v>
      </c>
      <c r="R240" s="901" t="s">
        <v>861</v>
      </c>
      <c r="S240" s="899" t="s">
        <v>1267</v>
      </c>
      <c r="T240" s="899" t="s">
        <v>96</v>
      </c>
      <c r="U240" s="885" t="str">
        <f>IFERROR(VLOOKUP(N240,'Thông số'!$B:$F,5,0),"")</f>
        <v>3226 x 1570 x 1545</v>
      </c>
    </row>
    <row r="241" ht="14.25" customHeight="1">
      <c r="A241" s="898">
        <v>4.0</v>
      </c>
      <c r="B241" s="899" t="s">
        <v>1268</v>
      </c>
      <c r="C241" s="899" t="s">
        <v>1269</v>
      </c>
      <c r="D241" s="901" t="s">
        <v>6569</v>
      </c>
      <c r="E241" s="902"/>
      <c r="F241" s="902"/>
      <c r="G241" s="899" t="s">
        <v>857</v>
      </c>
      <c r="H241" s="901" t="s">
        <v>6517</v>
      </c>
      <c r="I241" s="901" t="s">
        <v>1253</v>
      </c>
      <c r="J241" s="902"/>
      <c r="K241" s="901" t="s">
        <v>1027</v>
      </c>
      <c r="L241" s="902"/>
      <c r="M241" s="906" t="s">
        <v>1266</v>
      </c>
      <c r="N241" s="901" t="s">
        <v>860</v>
      </c>
      <c r="O241" s="899" t="s">
        <v>743</v>
      </c>
      <c r="P241" s="899" t="s">
        <v>148</v>
      </c>
      <c r="Q241" s="901">
        <v>2018.0</v>
      </c>
      <c r="R241" s="901" t="s">
        <v>861</v>
      </c>
      <c r="S241" s="899" t="s">
        <v>1271</v>
      </c>
      <c r="T241" s="899" t="s">
        <v>96</v>
      </c>
      <c r="U241" s="885" t="str">
        <f>IFERROR(VLOOKUP(N241,'Thông số'!$B:$F,5,0),"")</f>
        <v>3226 x 1570 x 1545</v>
      </c>
    </row>
    <row r="242" ht="14.25" customHeight="1">
      <c r="A242" s="898">
        <v>5.0</v>
      </c>
      <c r="B242" s="899" t="s">
        <v>1272</v>
      </c>
      <c r="C242" s="899" t="s">
        <v>1273</v>
      </c>
      <c r="D242" s="901" t="s">
        <v>6570</v>
      </c>
      <c r="E242" s="902"/>
      <c r="F242" s="902"/>
      <c r="G242" s="899" t="s">
        <v>1274</v>
      </c>
      <c r="H242" s="901" t="s">
        <v>6571</v>
      </c>
      <c r="I242" s="901" t="s">
        <v>1253</v>
      </c>
      <c r="J242" s="903">
        <v>45314.0</v>
      </c>
      <c r="K242" s="901" t="s">
        <v>1027</v>
      </c>
      <c r="L242" s="902"/>
      <c r="M242" s="906" t="s">
        <v>1266</v>
      </c>
      <c r="N242" s="901" t="s">
        <v>1276</v>
      </c>
      <c r="O242" s="899" t="s">
        <v>454</v>
      </c>
      <c r="P242" s="899" t="s">
        <v>148</v>
      </c>
      <c r="Q242" s="902"/>
      <c r="R242" s="901" t="s">
        <v>1277</v>
      </c>
      <c r="S242" s="899" t="s">
        <v>96</v>
      </c>
      <c r="T242" s="899">
        <v>11368.0</v>
      </c>
      <c r="U242" s="885" t="str">
        <f>IFERROR(VLOOKUP(N242,'Thông số'!$B:$F,5,0),"")</f>
        <v>2570 x 1200 x 1950</v>
      </c>
    </row>
    <row r="243" ht="14.25" customHeight="1">
      <c r="A243" s="898">
        <v>6.0</v>
      </c>
      <c r="B243" s="899" t="s">
        <v>1278</v>
      </c>
      <c r="C243" s="899" t="s">
        <v>1279</v>
      </c>
      <c r="D243" s="901" t="s">
        <v>6572</v>
      </c>
      <c r="E243" s="902"/>
      <c r="F243" s="902"/>
      <c r="G243" s="899" t="s">
        <v>875</v>
      </c>
      <c r="H243" s="901" t="s">
        <v>6517</v>
      </c>
      <c r="I243" s="901" t="s">
        <v>1253</v>
      </c>
      <c r="J243" s="902"/>
      <c r="K243" s="901" t="s">
        <v>1027</v>
      </c>
      <c r="L243" s="902"/>
      <c r="M243" s="906" t="s">
        <v>1280</v>
      </c>
      <c r="N243" s="901" t="s">
        <v>878</v>
      </c>
      <c r="O243" s="899" t="s">
        <v>454</v>
      </c>
      <c r="P243" s="899" t="s">
        <v>84</v>
      </c>
      <c r="Q243" s="901">
        <v>2019.0</v>
      </c>
      <c r="R243" s="901" t="s">
        <v>101</v>
      </c>
      <c r="S243" s="899" t="s">
        <v>1281</v>
      </c>
      <c r="T243" s="899" t="s">
        <v>96</v>
      </c>
      <c r="U243" s="885" t="str">
        <f>IFERROR(VLOOKUP(N243,'Thông số'!$B:$F,5,0),"")</f>
        <v>3120 x 1495 x 1510</v>
      </c>
    </row>
    <row r="244" ht="14.25" customHeight="1">
      <c r="A244" s="898">
        <v>7.0</v>
      </c>
      <c r="B244" s="899" t="s">
        <v>1211</v>
      </c>
      <c r="C244" s="905" t="s">
        <v>139</v>
      </c>
      <c r="D244" s="901" t="s">
        <v>1282</v>
      </c>
      <c r="E244" s="902"/>
      <c r="F244" s="902"/>
      <c r="G244" s="905" t="s">
        <v>1283</v>
      </c>
      <c r="H244" s="901" t="s">
        <v>6449</v>
      </c>
      <c r="I244" s="901" t="s">
        <v>1253</v>
      </c>
      <c r="J244" s="909">
        <v>45865.0</v>
      </c>
      <c r="K244" s="901" t="s">
        <v>1027</v>
      </c>
      <c r="L244" s="902"/>
      <c r="M244" s="906" t="s">
        <v>1285</v>
      </c>
      <c r="N244" s="901" t="s">
        <v>223</v>
      </c>
      <c r="O244" s="899" t="s">
        <v>123</v>
      </c>
      <c r="P244" s="899" t="s">
        <v>84</v>
      </c>
      <c r="Q244" s="901">
        <v>2013.0</v>
      </c>
      <c r="R244" s="901" t="s">
        <v>462</v>
      </c>
      <c r="S244" s="899" t="s">
        <v>1286</v>
      </c>
      <c r="T244" s="899">
        <v>27539.0</v>
      </c>
      <c r="U244" s="885" t="str">
        <f>IFERROR(VLOOKUP(N244,'Thông số'!$B:$F,5,0),"")</f>
        <v>5260 x 1760 x 2415</v>
      </c>
    </row>
    <row r="245" ht="14.25" customHeight="1">
      <c r="A245" s="898">
        <v>8.0</v>
      </c>
      <c r="B245" s="899" t="s">
        <v>1233</v>
      </c>
      <c r="C245" s="905" t="s">
        <v>139</v>
      </c>
      <c r="D245" s="901" t="s">
        <v>1287</v>
      </c>
      <c r="E245" s="902"/>
      <c r="F245" s="902"/>
      <c r="G245" s="905" t="s">
        <v>1283</v>
      </c>
      <c r="H245" s="901" t="s">
        <v>6449</v>
      </c>
      <c r="I245" s="901" t="s">
        <v>1253</v>
      </c>
      <c r="J245" s="909">
        <v>45865.0</v>
      </c>
      <c r="K245" s="901" t="s">
        <v>1027</v>
      </c>
      <c r="L245" s="902"/>
      <c r="M245" s="906" t="s">
        <v>1285</v>
      </c>
      <c r="N245" s="901" t="s">
        <v>223</v>
      </c>
      <c r="O245" s="899" t="s">
        <v>123</v>
      </c>
      <c r="P245" s="899" t="s">
        <v>84</v>
      </c>
      <c r="Q245" s="901">
        <v>2013.0</v>
      </c>
      <c r="R245" s="901" t="s">
        <v>462</v>
      </c>
      <c r="S245" s="899" t="s">
        <v>1288</v>
      </c>
      <c r="T245" s="899">
        <v>29346.0</v>
      </c>
      <c r="U245" s="885" t="str">
        <f>IFERROR(VLOOKUP(N245,'Thông số'!$B:$F,5,0),"")</f>
        <v>5260 x 1760 x 2415</v>
      </c>
    </row>
    <row r="246" ht="14.25" customHeight="1">
      <c r="A246" s="898">
        <v>9.0</v>
      </c>
      <c r="B246" s="899" t="s">
        <v>1301</v>
      </c>
      <c r="C246" s="899" t="s">
        <v>1302</v>
      </c>
      <c r="D246" s="901" t="s">
        <v>1303</v>
      </c>
      <c r="E246" s="902"/>
      <c r="F246" s="902"/>
      <c r="G246" s="899" t="s">
        <v>946</v>
      </c>
      <c r="H246" s="901" t="s">
        <v>6483</v>
      </c>
      <c r="I246" s="901" t="s">
        <v>1253</v>
      </c>
      <c r="J246" s="909">
        <v>45867.0</v>
      </c>
      <c r="K246" s="901" t="s">
        <v>1027</v>
      </c>
      <c r="L246" s="902"/>
      <c r="M246" s="917" t="s">
        <v>1306</v>
      </c>
      <c r="N246" s="901" t="s">
        <v>949</v>
      </c>
      <c r="O246" s="899" t="s">
        <v>673</v>
      </c>
      <c r="P246" s="899" t="s">
        <v>948</v>
      </c>
      <c r="Q246" s="901">
        <v>2022.0</v>
      </c>
      <c r="R246" s="901" t="s">
        <v>950</v>
      </c>
      <c r="S246" s="899">
        <v>203084.0</v>
      </c>
      <c r="T246" s="899" t="s">
        <v>1307</v>
      </c>
      <c r="U246" s="885" t="str">
        <f>IFERROR(VLOOKUP(N246,'Thông số'!$B:$F,5,0),"")</f>
        <v/>
      </c>
    </row>
    <row r="247" ht="14.25" customHeight="1">
      <c r="A247" s="898">
        <v>10.0</v>
      </c>
      <c r="B247" s="899" t="s">
        <v>1308</v>
      </c>
      <c r="C247" s="899" t="s">
        <v>1309</v>
      </c>
      <c r="D247" s="901" t="s">
        <v>1310</v>
      </c>
      <c r="E247" s="902"/>
      <c r="F247" s="899" t="s">
        <v>5735</v>
      </c>
      <c r="G247" s="899" t="s">
        <v>919</v>
      </c>
      <c r="H247" s="901" t="s">
        <v>6539</v>
      </c>
      <c r="I247" s="901" t="s">
        <v>1253</v>
      </c>
      <c r="J247" s="903">
        <v>45455.0</v>
      </c>
      <c r="K247" s="901" t="s">
        <v>1027</v>
      </c>
      <c r="L247" s="904">
        <v>1.0</v>
      </c>
      <c r="M247" s="906" t="s">
        <v>1311</v>
      </c>
      <c r="N247" s="901" t="s">
        <v>6540</v>
      </c>
      <c r="O247" s="899" t="s">
        <v>300</v>
      </c>
      <c r="P247" s="899" t="s">
        <v>148</v>
      </c>
      <c r="Q247" s="933">
        <v>2024.0</v>
      </c>
      <c r="R247" s="901" t="s">
        <v>922</v>
      </c>
      <c r="S247" s="899" t="s">
        <v>1312</v>
      </c>
      <c r="T247" s="899" t="s">
        <v>1313</v>
      </c>
      <c r="U247" s="885" t="str">
        <f>IFERROR(VLOOKUP(N247,'Thông số'!$B:$F,5,0),"")</f>
        <v>5250 x 2170 x 2520</v>
      </c>
    </row>
    <row r="248" ht="14.25" customHeight="1">
      <c r="A248" s="898">
        <v>11.0</v>
      </c>
      <c r="B248" s="899" t="s">
        <v>1314</v>
      </c>
      <c r="C248" s="899" t="s">
        <v>1315</v>
      </c>
      <c r="D248" s="901" t="s">
        <v>1316</v>
      </c>
      <c r="E248" s="902"/>
      <c r="F248" s="899" t="s">
        <v>5736</v>
      </c>
      <c r="G248" s="899" t="s">
        <v>919</v>
      </c>
      <c r="H248" s="901" t="s">
        <v>6539</v>
      </c>
      <c r="I248" s="901" t="s">
        <v>1253</v>
      </c>
      <c r="J248" s="903">
        <v>45455.0</v>
      </c>
      <c r="K248" s="901" t="s">
        <v>1027</v>
      </c>
      <c r="L248" s="904">
        <v>0.99</v>
      </c>
      <c r="M248" s="906" t="s">
        <v>1311</v>
      </c>
      <c r="N248" s="901" t="s">
        <v>6540</v>
      </c>
      <c r="O248" s="899" t="s">
        <v>300</v>
      </c>
      <c r="P248" s="899" t="s">
        <v>148</v>
      </c>
      <c r="Q248" s="933">
        <v>2024.0</v>
      </c>
      <c r="R248" s="901" t="s">
        <v>922</v>
      </c>
      <c r="S248" s="899" t="s">
        <v>1317</v>
      </c>
      <c r="T248" s="899" t="s">
        <v>1318</v>
      </c>
      <c r="U248" s="885" t="str">
        <f>IFERROR(VLOOKUP(N248,'Thông số'!$B:$F,5,0),"")</f>
        <v>5250 x 2170 x 2520</v>
      </c>
    </row>
    <row r="249" ht="14.25" customHeight="1">
      <c r="A249" s="898">
        <v>12.0</v>
      </c>
      <c r="B249" s="899" t="s">
        <v>1319</v>
      </c>
      <c r="C249" s="902"/>
      <c r="D249" s="901" t="s">
        <v>6573</v>
      </c>
      <c r="E249" s="901" t="s">
        <v>1321</v>
      </c>
      <c r="F249" s="902"/>
      <c r="G249" s="899" t="s">
        <v>919</v>
      </c>
      <c r="H249" s="901" t="s">
        <v>6539</v>
      </c>
      <c r="I249" s="901" t="s">
        <v>1253</v>
      </c>
      <c r="J249" s="903">
        <v>45503.0</v>
      </c>
      <c r="K249" s="901" t="s">
        <v>1027</v>
      </c>
      <c r="L249" s="902"/>
      <c r="M249" s="906" t="s">
        <v>1322</v>
      </c>
      <c r="N249" s="901" t="s">
        <v>6540</v>
      </c>
      <c r="O249" s="899" t="s">
        <v>300</v>
      </c>
      <c r="P249" s="899" t="s">
        <v>148</v>
      </c>
      <c r="Q249" s="901">
        <v>2024.0</v>
      </c>
      <c r="R249" s="901" t="s">
        <v>922</v>
      </c>
      <c r="S249" s="899" t="s">
        <v>1323</v>
      </c>
      <c r="T249" s="899" t="s">
        <v>1324</v>
      </c>
      <c r="U249" s="885" t="str">
        <f>IFERROR(VLOOKUP(N249,'Thông số'!$B:$F,5,0),"")</f>
        <v>5250 x 2170 x 2520</v>
      </c>
    </row>
    <row r="250" ht="14.25" customHeight="1">
      <c r="A250" s="898">
        <v>13.0</v>
      </c>
      <c r="B250" s="899" t="s">
        <v>4575</v>
      </c>
      <c r="C250" s="902"/>
      <c r="D250" s="901" t="s">
        <v>4576</v>
      </c>
      <c r="E250" s="902"/>
      <c r="F250" s="902"/>
      <c r="G250" s="899" t="s">
        <v>4577</v>
      </c>
      <c r="H250" s="902"/>
      <c r="I250" s="901" t="s">
        <v>1253</v>
      </c>
      <c r="J250" s="902"/>
      <c r="K250" s="901" t="s">
        <v>1027</v>
      </c>
      <c r="L250" s="902"/>
      <c r="M250" s="906" t="s">
        <v>890</v>
      </c>
      <c r="N250" s="901" t="s">
        <v>6574</v>
      </c>
      <c r="O250" s="899" t="s">
        <v>4578</v>
      </c>
      <c r="P250" s="899" t="s">
        <v>148</v>
      </c>
      <c r="Q250" s="901">
        <v>2024.0</v>
      </c>
      <c r="R250" s="901" t="s">
        <v>1166</v>
      </c>
      <c r="S250" s="902"/>
      <c r="T250" s="899">
        <v>2.10311293E8</v>
      </c>
      <c r="U250" s="885" t="str">
        <f>IFERROR(VLOOKUP(N250,'Thông số'!$B:$F,5,0),"")</f>
        <v/>
      </c>
    </row>
    <row r="251" ht="14.25" customHeight="1">
      <c r="A251" s="898">
        <v>14.0</v>
      </c>
      <c r="B251" s="899" t="s">
        <v>1332</v>
      </c>
      <c r="C251" s="899" t="s">
        <v>1333</v>
      </c>
      <c r="D251" s="901" t="s">
        <v>1334</v>
      </c>
      <c r="E251" s="902"/>
      <c r="F251" s="899" t="s">
        <v>1334</v>
      </c>
      <c r="G251" s="899" t="s">
        <v>910</v>
      </c>
      <c r="H251" s="901" t="s">
        <v>6537</v>
      </c>
      <c r="I251" s="901" t="s">
        <v>1253</v>
      </c>
      <c r="J251" s="903">
        <v>41974.0</v>
      </c>
      <c r="K251" s="901" t="s">
        <v>1027</v>
      </c>
      <c r="L251" s="902"/>
      <c r="M251" s="906" t="s">
        <v>1335</v>
      </c>
      <c r="N251" s="902"/>
      <c r="O251" s="899" t="s">
        <v>911</v>
      </c>
      <c r="P251" s="899" t="s">
        <v>912</v>
      </c>
      <c r="Q251" s="902"/>
      <c r="R251" s="901" t="s">
        <v>792</v>
      </c>
      <c r="S251" s="899">
        <v>29823.0</v>
      </c>
      <c r="T251" s="899" t="s">
        <v>96</v>
      </c>
      <c r="U251" s="885" t="str">
        <f>IFERROR(VLOOKUP(N251,'Thông số'!$B:$F,5,0),"")</f>
        <v/>
      </c>
    </row>
    <row r="252" ht="14.25" customHeight="1">
      <c r="A252" s="898">
        <v>15.0</v>
      </c>
      <c r="B252" s="899" t="s">
        <v>1336</v>
      </c>
      <c r="C252" s="899" t="s">
        <v>1337</v>
      </c>
      <c r="D252" s="901" t="s">
        <v>1338</v>
      </c>
      <c r="E252" s="902"/>
      <c r="F252" s="899" t="s">
        <v>1338</v>
      </c>
      <c r="G252" s="899" t="s">
        <v>910</v>
      </c>
      <c r="H252" s="901" t="s">
        <v>6537</v>
      </c>
      <c r="I252" s="901" t="s">
        <v>1253</v>
      </c>
      <c r="J252" s="903">
        <v>41974.0</v>
      </c>
      <c r="K252" s="901" t="s">
        <v>1027</v>
      </c>
      <c r="L252" s="902"/>
      <c r="M252" s="906" t="s">
        <v>1335</v>
      </c>
      <c r="N252" s="902"/>
      <c r="O252" s="899" t="s">
        <v>911</v>
      </c>
      <c r="P252" s="899" t="s">
        <v>912</v>
      </c>
      <c r="Q252" s="902"/>
      <c r="R252" s="901" t="s">
        <v>792</v>
      </c>
      <c r="S252" s="899">
        <v>101437.0</v>
      </c>
      <c r="T252" s="899" t="s">
        <v>96</v>
      </c>
      <c r="U252" s="885" t="str">
        <f>IFERROR(VLOOKUP(N252,'Thông số'!$B:$F,5,0),"")</f>
        <v/>
      </c>
    </row>
    <row r="253" ht="14.25" customHeight="1">
      <c r="A253" s="898">
        <v>16.0</v>
      </c>
      <c r="B253" s="899" t="s">
        <v>1339</v>
      </c>
      <c r="C253" s="899" t="s">
        <v>1340</v>
      </c>
      <c r="D253" s="902"/>
      <c r="E253" s="902"/>
      <c r="F253" s="902"/>
      <c r="G253" s="899" t="s">
        <v>1031</v>
      </c>
      <c r="H253" s="901" t="s">
        <v>5892</v>
      </c>
      <c r="I253" s="901" t="s">
        <v>1253</v>
      </c>
      <c r="J253" s="902"/>
      <c r="K253" s="901" t="s">
        <v>1027</v>
      </c>
      <c r="L253" s="902"/>
      <c r="M253" s="906" t="s">
        <v>1342</v>
      </c>
      <c r="N253" s="902"/>
      <c r="O253" s="899" t="s">
        <v>1032</v>
      </c>
      <c r="P253" s="899" t="s">
        <v>103</v>
      </c>
      <c r="Q253" s="902"/>
      <c r="R253" s="901" t="s">
        <v>1343</v>
      </c>
      <c r="S253" s="899">
        <v>6958.0</v>
      </c>
      <c r="T253" s="899" t="s">
        <v>96</v>
      </c>
      <c r="U253" s="885" t="str">
        <f>IFERROR(VLOOKUP(N253,'Thông số'!$B:$F,5,0),"")</f>
        <v/>
      </c>
    </row>
    <row r="254" ht="14.25" customHeight="1">
      <c r="A254" s="898">
        <v>17.0</v>
      </c>
      <c r="B254" s="899" t="s">
        <v>1344</v>
      </c>
      <c r="C254" s="899" t="s">
        <v>1345</v>
      </c>
      <c r="D254" s="902"/>
      <c r="E254" s="902"/>
      <c r="F254" s="902"/>
      <c r="G254" s="899" t="s">
        <v>1346</v>
      </c>
      <c r="H254" s="902"/>
      <c r="I254" s="901" t="s">
        <v>1253</v>
      </c>
      <c r="J254" s="902"/>
      <c r="K254" s="901" t="s">
        <v>1027</v>
      </c>
      <c r="L254" s="902"/>
      <c r="M254" s="906" t="s">
        <v>1342</v>
      </c>
      <c r="N254" s="901" t="s">
        <v>884</v>
      </c>
      <c r="O254" s="899" t="s">
        <v>882</v>
      </c>
      <c r="P254" s="899" t="s">
        <v>883</v>
      </c>
      <c r="Q254" s="901">
        <v>2019.0</v>
      </c>
      <c r="R254" s="901" t="s">
        <v>1347</v>
      </c>
      <c r="S254" s="899">
        <v>1.50119001E9</v>
      </c>
      <c r="T254" s="899" t="s">
        <v>96</v>
      </c>
      <c r="U254" s="885" t="str">
        <f>IFERROR(VLOOKUP(N254,'Thông số'!$B:$F,5,0),"")</f>
        <v/>
      </c>
    </row>
    <row r="255" ht="14.25" customHeight="1">
      <c r="A255" s="898">
        <v>18.0</v>
      </c>
      <c r="B255" s="899" t="s">
        <v>1355</v>
      </c>
      <c r="C255" s="899" t="s">
        <v>1356</v>
      </c>
      <c r="D255" s="902"/>
      <c r="E255" s="902"/>
      <c r="F255" s="899" t="s">
        <v>6428</v>
      </c>
      <c r="G255" s="899" t="s">
        <v>1357</v>
      </c>
      <c r="H255" s="902"/>
      <c r="I255" s="901" t="s">
        <v>1253</v>
      </c>
      <c r="J255" s="903">
        <v>45269.0</v>
      </c>
      <c r="K255" s="901" t="s">
        <v>1027</v>
      </c>
      <c r="L255" s="902"/>
      <c r="M255" s="906" t="s">
        <v>1358</v>
      </c>
      <c r="N255" s="901" t="s">
        <v>1360</v>
      </c>
      <c r="O255" s="899" t="s">
        <v>1359</v>
      </c>
      <c r="P255" s="899" t="s">
        <v>883</v>
      </c>
      <c r="Q255" s="901">
        <v>2022.0</v>
      </c>
      <c r="R255" s="901" t="s">
        <v>1361</v>
      </c>
      <c r="S255" s="899" t="s">
        <v>96</v>
      </c>
      <c r="T255" s="899" t="s">
        <v>1362</v>
      </c>
      <c r="U255" s="885" t="str">
        <f>IFERROR(VLOOKUP(N255,'Thông số'!$B:$F,5,0),"")</f>
        <v/>
      </c>
    </row>
    <row r="256" ht="14.25" customHeight="1">
      <c r="A256" s="898">
        <v>19.0</v>
      </c>
      <c r="B256" s="899" t="s">
        <v>1363</v>
      </c>
      <c r="C256" s="902"/>
      <c r="D256" s="901" t="s">
        <v>1364</v>
      </c>
      <c r="E256" s="902"/>
      <c r="F256" s="902"/>
      <c r="G256" s="905" t="s">
        <v>985</v>
      </c>
      <c r="H256" s="901" t="s">
        <v>6187</v>
      </c>
      <c r="I256" s="901" t="s">
        <v>1253</v>
      </c>
      <c r="J256" s="909">
        <v>45833.0</v>
      </c>
      <c r="K256" s="901" t="s">
        <v>1027</v>
      </c>
      <c r="L256" s="902"/>
      <c r="M256" s="906" t="s">
        <v>890</v>
      </c>
      <c r="N256" s="901" t="s">
        <v>988</v>
      </c>
      <c r="O256" s="899" t="s">
        <v>987</v>
      </c>
      <c r="P256" s="899" t="s">
        <v>148</v>
      </c>
      <c r="Q256" s="901">
        <v>2025.0</v>
      </c>
      <c r="R256" s="901" t="s">
        <v>6575</v>
      </c>
      <c r="S256" s="899" t="s">
        <v>1365</v>
      </c>
      <c r="T256" s="899" t="s">
        <v>1366</v>
      </c>
      <c r="U256" s="885" t="str">
        <f>IFERROR(VLOOKUP(N256,'Thông số'!$B:$F,5,0),"")</f>
        <v/>
      </c>
    </row>
    <row r="257" ht="14.25" customHeight="1">
      <c r="A257" s="898">
        <v>20.0</v>
      </c>
      <c r="B257" s="899" t="s">
        <v>1367</v>
      </c>
      <c r="C257" s="902"/>
      <c r="D257" s="901" t="s">
        <v>1368</v>
      </c>
      <c r="E257" s="902"/>
      <c r="F257" s="902"/>
      <c r="G257" s="905" t="s">
        <v>985</v>
      </c>
      <c r="H257" s="901" t="s">
        <v>6187</v>
      </c>
      <c r="I257" s="901" t="s">
        <v>1253</v>
      </c>
      <c r="J257" s="909">
        <v>45833.0</v>
      </c>
      <c r="K257" s="901" t="s">
        <v>1027</v>
      </c>
      <c r="L257" s="902"/>
      <c r="M257" s="906" t="s">
        <v>890</v>
      </c>
      <c r="N257" s="901" t="s">
        <v>988</v>
      </c>
      <c r="O257" s="899" t="s">
        <v>987</v>
      </c>
      <c r="P257" s="899" t="s">
        <v>148</v>
      </c>
      <c r="Q257" s="901">
        <v>2025.0</v>
      </c>
      <c r="R257" s="901" t="s">
        <v>6575</v>
      </c>
      <c r="S257" s="899" t="s">
        <v>1369</v>
      </c>
      <c r="T257" s="899" t="s">
        <v>1370</v>
      </c>
      <c r="U257" s="885" t="str">
        <f>IFERROR(VLOOKUP(N257,'Thông số'!$B:$F,5,0),"")</f>
        <v/>
      </c>
    </row>
    <row r="258" ht="14.25" customHeight="1">
      <c r="A258" s="898">
        <v>21.0</v>
      </c>
      <c r="B258" s="899" t="s">
        <v>1371</v>
      </c>
      <c r="C258" s="902"/>
      <c r="D258" s="901" t="s">
        <v>1373</v>
      </c>
      <c r="E258" s="902"/>
      <c r="F258" s="902"/>
      <c r="G258" s="905" t="s">
        <v>985</v>
      </c>
      <c r="H258" s="901" t="s">
        <v>6187</v>
      </c>
      <c r="I258" s="901" t="s">
        <v>1253</v>
      </c>
      <c r="J258" s="909">
        <v>45833.0</v>
      </c>
      <c r="K258" s="901" t="s">
        <v>1027</v>
      </c>
      <c r="L258" s="902"/>
      <c r="M258" s="906" t="s">
        <v>890</v>
      </c>
      <c r="N258" s="901" t="s">
        <v>988</v>
      </c>
      <c r="O258" s="899" t="s">
        <v>987</v>
      </c>
      <c r="P258" s="899" t="s">
        <v>148</v>
      </c>
      <c r="Q258" s="901">
        <v>2025.0</v>
      </c>
      <c r="R258" s="901" t="s">
        <v>6575</v>
      </c>
      <c r="S258" s="899" t="s">
        <v>1374</v>
      </c>
      <c r="T258" s="899" t="s">
        <v>1366</v>
      </c>
      <c r="U258" s="885" t="str">
        <f>IFERROR(VLOOKUP(N258,'Thông số'!$B:$F,5,0),"")</f>
        <v/>
      </c>
    </row>
    <row r="259" ht="14.25" customHeight="1">
      <c r="A259" s="898">
        <v>22.0</v>
      </c>
      <c r="B259" s="899" t="s">
        <v>1375</v>
      </c>
      <c r="C259" s="902"/>
      <c r="D259" s="901" t="s">
        <v>1376</v>
      </c>
      <c r="E259" s="902"/>
      <c r="F259" s="902"/>
      <c r="G259" s="905" t="s">
        <v>985</v>
      </c>
      <c r="H259" s="901" t="s">
        <v>6187</v>
      </c>
      <c r="I259" s="901" t="s">
        <v>1253</v>
      </c>
      <c r="J259" s="909">
        <v>45833.0</v>
      </c>
      <c r="K259" s="901" t="s">
        <v>1027</v>
      </c>
      <c r="L259" s="902"/>
      <c r="M259" s="906" t="s">
        <v>890</v>
      </c>
      <c r="N259" s="901" t="s">
        <v>988</v>
      </c>
      <c r="O259" s="899" t="s">
        <v>987</v>
      </c>
      <c r="P259" s="899" t="s">
        <v>148</v>
      </c>
      <c r="Q259" s="901">
        <v>2025.0</v>
      </c>
      <c r="R259" s="901" t="s">
        <v>6575</v>
      </c>
      <c r="S259" s="899" t="s">
        <v>1377</v>
      </c>
      <c r="T259" s="899" t="s">
        <v>1378</v>
      </c>
      <c r="U259" s="885" t="str">
        <f>IFERROR(VLOOKUP(N259,'Thông số'!$B:$F,5,0),"")</f>
        <v/>
      </c>
    </row>
    <row r="260" ht="14.25" customHeight="1">
      <c r="A260" s="898">
        <v>23.0</v>
      </c>
      <c r="B260" s="899" t="s">
        <v>1379</v>
      </c>
      <c r="C260" s="899" t="s">
        <v>1380</v>
      </c>
      <c r="D260" s="902"/>
      <c r="E260" s="902"/>
      <c r="F260" s="902"/>
      <c r="G260" s="905" t="s">
        <v>1381</v>
      </c>
      <c r="H260" s="901" t="s">
        <v>5892</v>
      </c>
      <c r="I260" s="901" t="s">
        <v>1253</v>
      </c>
      <c r="J260" s="908"/>
      <c r="K260" s="901" t="s">
        <v>1027</v>
      </c>
      <c r="L260" s="902"/>
      <c r="M260" s="906" t="s">
        <v>1382</v>
      </c>
      <c r="N260" s="901" t="s">
        <v>1383</v>
      </c>
      <c r="O260" s="899" t="s">
        <v>300</v>
      </c>
      <c r="P260" s="899" t="s">
        <v>148</v>
      </c>
      <c r="Q260" s="901">
        <v>2018.0</v>
      </c>
      <c r="R260" s="901" t="s">
        <v>511</v>
      </c>
      <c r="S260" s="899">
        <v>380096.0</v>
      </c>
      <c r="T260" s="899" t="s">
        <v>96</v>
      </c>
      <c r="U260" s="885" t="str">
        <f>IFERROR(VLOOKUP(N260,'Thông số'!$B:$F,5,0),"")</f>
        <v>4890 x 2015 x 2500</v>
      </c>
    </row>
    <row r="261" ht="14.25" customHeight="1">
      <c r="A261" s="886" t="s">
        <v>1385</v>
      </c>
      <c r="B261" s="887" t="s">
        <v>1386</v>
      </c>
      <c r="C261" s="889">
        <v>35.0</v>
      </c>
      <c r="D261" s="890"/>
      <c r="E261" s="890"/>
      <c r="F261" s="890"/>
      <c r="G261" s="890"/>
      <c r="H261" s="902"/>
      <c r="I261" s="890"/>
      <c r="J261" s="890"/>
      <c r="K261" s="890"/>
      <c r="L261" s="890"/>
      <c r="M261" s="890"/>
      <c r="N261" s="890"/>
      <c r="O261" s="890"/>
      <c r="P261" s="890"/>
      <c r="Q261" s="890"/>
      <c r="R261" s="890"/>
      <c r="S261" s="890"/>
      <c r="T261" s="890"/>
      <c r="U261" s="885" t="str">
        <f>IFERROR(VLOOKUP(N261,'Thông số'!$B:$F,5,0),"")</f>
        <v/>
      </c>
    </row>
    <row r="262" ht="14.25" customHeight="1">
      <c r="A262" s="898">
        <v>1.0</v>
      </c>
      <c r="B262" s="899" t="s">
        <v>1387</v>
      </c>
      <c r="C262" s="899" t="s">
        <v>1388</v>
      </c>
      <c r="D262" s="901" t="s">
        <v>6576</v>
      </c>
      <c r="E262" s="902"/>
      <c r="F262" s="902"/>
      <c r="G262" s="899" t="s">
        <v>857</v>
      </c>
      <c r="H262" s="901" t="s">
        <v>6517</v>
      </c>
      <c r="I262" s="901" t="s">
        <v>1389</v>
      </c>
      <c r="J262" s="902"/>
      <c r="K262" s="901" t="s">
        <v>1027</v>
      </c>
      <c r="L262" s="902"/>
      <c r="M262" s="902"/>
      <c r="N262" s="901" t="s">
        <v>860</v>
      </c>
      <c r="O262" s="899" t="s">
        <v>743</v>
      </c>
      <c r="P262" s="899" t="s">
        <v>148</v>
      </c>
      <c r="Q262" s="901">
        <v>2018.0</v>
      </c>
      <c r="R262" s="901" t="s">
        <v>861</v>
      </c>
      <c r="S262" s="899" t="s">
        <v>1390</v>
      </c>
      <c r="T262" s="899" t="s">
        <v>96</v>
      </c>
      <c r="U262" s="885" t="str">
        <f>IFERROR(VLOOKUP(N262,'Thông số'!$B:$F,5,0),"")</f>
        <v>3226 x 1570 x 1545</v>
      </c>
    </row>
    <row r="263" ht="14.25" customHeight="1">
      <c r="A263" s="898">
        <v>2.0</v>
      </c>
      <c r="B263" s="899" t="s">
        <v>1391</v>
      </c>
      <c r="C263" s="899" t="s">
        <v>1392</v>
      </c>
      <c r="D263" s="901" t="s">
        <v>6577</v>
      </c>
      <c r="E263" s="902"/>
      <c r="F263" s="902"/>
      <c r="G263" s="899" t="s">
        <v>857</v>
      </c>
      <c r="H263" s="901" t="s">
        <v>6517</v>
      </c>
      <c r="I263" s="901" t="s">
        <v>1389</v>
      </c>
      <c r="J263" s="902"/>
      <c r="K263" s="901" t="s">
        <v>1027</v>
      </c>
      <c r="L263" s="902"/>
      <c r="M263" s="902"/>
      <c r="N263" s="901" t="s">
        <v>860</v>
      </c>
      <c r="O263" s="899" t="s">
        <v>743</v>
      </c>
      <c r="P263" s="899" t="s">
        <v>148</v>
      </c>
      <c r="Q263" s="901">
        <v>2018.0</v>
      </c>
      <c r="R263" s="901" t="s">
        <v>861</v>
      </c>
      <c r="S263" s="899" t="s">
        <v>1393</v>
      </c>
      <c r="T263" s="899" t="s">
        <v>96</v>
      </c>
      <c r="U263" s="885" t="str">
        <f>IFERROR(VLOOKUP(N263,'Thông số'!$B:$F,5,0),"")</f>
        <v>3226 x 1570 x 1545</v>
      </c>
    </row>
    <row r="264" ht="14.25" customHeight="1">
      <c r="A264" s="891">
        <v>3.0</v>
      </c>
      <c r="B264" s="892" t="s">
        <v>1394</v>
      </c>
      <c r="C264" s="892" t="s">
        <v>1395</v>
      </c>
      <c r="D264" s="895" t="s">
        <v>6578</v>
      </c>
      <c r="E264" s="894"/>
      <c r="F264" s="894"/>
      <c r="G264" s="892" t="s">
        <v>857</v>
      </c>
      <c r="H264" s="895" t="s">
        <v>6517</v>
      </c>
      <c r="I264" s="895" t="s">
        <v>1389</v>
      </c>
      <c r="J264" s="894"/>
      <c r="K264" s="895" t="s">
        <v>865</v>
      </c>
      <c r="L264" s="894"/>
      <c r="M264" s="894"/>
      <c r="N264" s="895" t="s">
        <v>860</v>
      </c>
      <c r="O264" s="892" t="s">
        <v>743</v>
      </c>
      <c r="P264" s="892" t="s">
        <v>148</v>
      </c>
      <c r="Q264" s="895">
        <v>2018.0</v>
      </c>
      <c r="R264" s="895" t="s">
        <v>861</v>
      </c>
      <c r="S264" s="892" t="s">
        <v>1397</v>
      </c>
      <c r="T264" s="892" t="s">
        <v>96</v>
      </c>
      <c r="U264" s="885" t="str">
        <f>IFERROR(VLOOKUP(N264,'Thông số'!$B:$F,5,0),"")</f>
        <v>3226 x 1570 x 1545</v>
      </c>
    </row>
    <row r="265" ht="14.25" customHeight="1">
      <c r="A265" s="898">
        <v>4.0</v>
      </c>
      <c r="B265" s="899" t="s">
        <v>1398</v>
      </c>
      <c r="C265" s="899" t="s">
        <v>1399</v>
      </c>
      <c r="D265" s="901" t="s">
        <v>6579</v>
      </c>
      <c r="E265" s="902"/>
      <c r="F265" s="902"/>
      <c r="G265" s="899" t="s">
        <v>875</v>
      </c>
      <c r="H265" s="901" t="s">
        <v>6517</v>
      </c>
      <c r="I265" s="901" t="s">
        <v>1389</v>
      </c>
      <c r="J265" s="902"/>
      <c r="K265" s="901" t="s">
        <v>1027</v>
      </c>
      <c r="L265" s="902"/>
      <c r="M265" s="902"/>
      <c r="N265" s="901" t="s">
        <v>878</v>
      </c>
      <c r="O265" s="899" t="s">
        <v>454</v>
      </c>
      <c r="P265" s="899" t="s">
        <v>84</v>
      </c>
      <c r="Q265" s="901">
        <v>2019.0</v>
      </c>
      <c r="R265" s="901" t="s">
        <v>101</v>
      </c>
      <c r="S265" s="899">
        <v>1665.0</v>
      </c>
      <c r="T265" s="899" t="s">
        <v>96</v>
      </c>
      <c r="U265" s="885" t="str">
        <f>IFERROR(VLOOKUP(N265,'Thông số'!$B:$F,5,0),"")</f>
        <v>3120 x 1495 x 1510</v>
      </c>
    </row>
    <row r="266" ht="14.25" customHeight="1">
      <c r="A266" s="898">
        <v>5.0</v>
      </c>
      <c r="B266" s="905" t="s">
        <v>1400</v>
      </c>
      <c r="C266" s="905" t="s">
        <v>1401</v>
      </c>
      <c r="D266" s="901" t="s">
        <v>6580</v>
      </c>
      <c r="E266" s="908"/>
      <c r="F266" s="908"/>
      <c r="G266" s="905" t="s">
        <v>788</v>
      </c>
      <c r="H266" s="901" t="s">
        <v>6517</v>
      </c>
      <c r="I266" s="907" t="s">
        <v>1389</v>
      </c>
      <c r="J266" s="909">
        <v>45343.0</v>
      </c>
      <c r="K266" s="901" t="s">
        <v>1027</v>
      </c>
      <c r="L266" s="902"/>
      <c r="M266" s="917" t="s">
        <v>1403</v>
      </c>
      <c r="N266" s="907" t="s">
        <v>791</v>
      </c>
      <c r="O266" s="905" t="s">
        <v>454</v>
      </c>
      <c r="P266" s="905" t="s">
        <v>84</v>
      </c>
      <c r="Q266" s="907">
        <v>2013.0</v>
      </c>
      <c r="R266" s="907" t="s">
        <v>792</v>
      </c>
      <c r="S266" s="905" t="s">
        <v>1404</v>
      </c>
      <c r="T266" s="905" t="s">
        <v>96</v>
      </c>
      <c r="U266" s="885" t="str">
        <f>IFERROR(VLOOKUP(N266,'Thông số'!$B:$F,5,0),"")</f>
        <v>3445 x 1865 x 2535</v>
      </c>
    </row>
    <row r="267" ht="14.25" customHeight="1">
      <c r="A267" s="891">
        <v>6.0</v>
      </c>
      <c r="B267" s="892" t="s">
        <v>1405</v>
      </c>
      <c r="C267" s="892" t="s">
        <v>1406</v>
      </c>
      <c r="D267" s="895" t="s">
        <v>6581</v>
      </c>
      <c r="E267" s="894"/>
      <c r="F267" s="894"/>
      <c r="G267" s="892" t="s">
        <v>857</v>
      </c>
      <c r="H267" s="895" t="s">
        <v>6517</v>
      </c>
      <c r="I267" s="895" t="s">
        <v>1389</v>
      </c>
      <c r="J267" s="896">
        <v>45393.0</v>
      </c>
      <c r="K267" s="895" t="s">
        <v>865</v>
      </c>
      <c r="L267" s="894"/>
      <c r="M267" s="919" t="s">
        <v>1408</v>
      </c>
      <c r="N267" s="895" t="s">
        <v>860</v>
      </c>
      <c r="O267" s="892" t="s">
        <v>743</v>
      </c>
      <c r="P267" s="892" t="s">
        <v>148</v>
      </c>
      <c r="Q267" s="895">
        <v>2018.0</v>
      </c>
      <c r="R267" s="895" t="s">
        <v>861</v>
      </c>
      <c r="S267" s="892">
        <v>180046.0</v>
      </c>
      <c r="T267" s="892" t="s">
        <v>96</v>
      </c>
      <c r="U267" s="885" t="str">
        <f>IFERROR(VLOOKUP(N267,'Thông số'!$B:$F,5,0),"")</f>
        <v>3226 x 1570 x 1545</v>
      </c>
    </row>
    <row r="268" ht="14.25" customHeight="1">
      <c r="A268" s="898">
        <v>7.0</v>
      </c>
      <c r="B268" s="899" t="s">
        <v>877</v>
      </c>
      <c r="C268" s="905" t="s">
        <v>1424</v>
      </c>
      <c r="D268" s="901" t="s">
        <v>881</v>
      </c>
      <c r="E268" s="908"/>
      <c r="F268" s="905" t="s">
        <v>881</v>
      </c>
      <c r="G268" s="905" t="s">
        <v>219</v>
      </c>
      <c r="H268" s="901" t="s">
        <v>6449</v>
      </c>
      <c r="I268" s="901" t="s">
        <v>1389</v>
      </c>
      <c r="J268" s="909">
        <v>45343.0</v>
      </c>
      <c r="K268" s="901" t="s">
        <v>1027</v>
      </c>
      <c r="L268" s="934">
        <v>0.69</v>
      </c>
      <c r="M268" s="906" t="s">
        <v>1427</v>
      </c>
      <c r="N268" s="907" t="s">
        <v>1428</v>
      </c>
      <c r="O268" s="905" t="s">
        <v>123</v>
      </c>
      <c r="P268" s="905" t="s">
        <v>84</v>
      </c>
      <c r="Q268" s="907">
        <v>2006.0</v>
      </c>
      <c r="R268" s="907" t="s">
        <v>462</v>
      </c>
      <c r="S268" s="905" t="s">
        <v>1429</v>
      </c>
      <c r="T268" s="905">
        <v>11014.0</v>
      </c>
      <c r="U268" s="885" t="str">
        <f>IFERROR(VLOOKUP(N268,'Thông số'!$B:$F,5,0),"")</f>
        <v>5550 x 1960 x 2625</v>
      </c>
    </row>
    <row r="269" ht="14.25" customHeight="1">
      <c r="A269" s="891">
        <v>8.0</v>
      </c>
      <c r="B269" s="892" t="s">
        <v>1040</v>
      </c>
      <c r="C269" s="892" t="s">
        <v>1437</v>
      </c>
      <c r="D269" s="895" t="s">
        <v>1044</v>
      </c>
      <c r="E269" s="894"/>
      <c r="F269" s="892" t="s">
        <v>1044</v>
      </c>
      <c r="G269" s="892" t="s">
        <v>219</v>
      </c>
      <c r="H269" s="895" t="s">
        <v>6449</v>
      </c>
      <c r="I269" s="895" t="s">
        <v>1389</v>
      </c>
      <c r="J269" s="894"/>
      <c r="K269" s="895" t="s">
        <v>865</v>
      </c>
      <c r="L269" s="897">
        <v>0.69</v>
      </c>
      <c r="M269" s="919" t="s">
        <v>521</v>
      </c>
      <c r="N269" s="895" t="s">
        <v>237</v>
      </c>
      <c r="O269" s="892" t="s">
        <v>123</v>
      </c>
      <c r="P269" s="892" t="s">
        <v>84</v>
      </c>
      <c r="Q269" s="895">
        <v>2010.0</v>
      </c>
      <c r="R269" s="895" t="s">
        <v>462</v>
      </c>
      <c r="S269" s="892" t="s">
        <v>1439</v>
      </c>
      <c r="T269" s="892">
        <v>21629.0</v>
      </c>
      <c r="U269" s="885" t="str">
        <f>IFERROR(VLOOKUP(N269,'Thông số'!$B:$F,5,0),"")</f>
        <v>5550 x 1960 x 2550</v>
      </c>
    </row>
    <row r="270" ht="14.25" customHeight="1">
      <c r="A270" s="891">
        <v>9.0</v>
      </c>
      <c r="B270" s="892" t="s">
        <v>1150</v>
      </c>
      <c r="C270" s="892" t="s">
        <v>1440</v>
      </c>
      <c r="D270" s="895" t="s">
        <v>1155</v>
      </c>
      <c r="E270" s="894"/>
      <c r="F270" s="892" t="s">
        <v>1155</v>
      </c>
      <c r="G270" s="892" t="s">
        <v>100</v>
      </c>
      <c r="H270" s="895" t="s">
        <v>6449</v>
      </c>
      <c r="I270" s="895" t="s">
        <v>1389</v>
      </c>
      <c r="J270" s="896">
        <v>44934.0</v>
      </c>
      <c r="K270" s="895" t="s">
        <v>865</v>
      </c>
      <c r="L270" s="897">
        <v>0.8</v>
      </c>
      <c r="M270" s="919" t="s">
        <v>521</v>
      </c>
      <c r="N270" s="895">
        <v>305.0</v>
      </c>
      <c r="O270" s="892" t="s">
        <v>1441</v>
      </c>
      <c r="P270" s="892" t="s">
        <v>84</v>
      </c>
      <c r="Q270" s="895">
        <v>2006.0</v>
      </c>
      <c r="R270" s="895" t="s">
        <v>224</v>
      </c>
      <c r="S270" s="892">
        <v>2208498.0</v>
      </c>
      <c r="T270" s="892" t="s">
        <v>96</v>
      </c>
      <c r="U270" s="885" t="str">
        <f>IFERROR(VLOOKUP(N270,'Thông số'!$B:$F,5,0),"")</f>
        <v>5340 x 1980 x 1895</v>
      </c>
    </row>
    <row r="271" ht="14.25" customHeight="1">
      <c r="A271" s="898">
        <v>10.0</v>
      </c>
      <c r="B271" s="899" t="s">
        <v>4780</v>
      </c>
      <c r="C271" s="899" t="s">
        <v>4781</v>
      </c>
      <c r="D271" s="901" t="s">
        <v>6582</v>
      </c>
      <c r="E271" s="902"/>
      <c r="F271" s="899" t="s">
        <v>6583</v>
      </c>
      <c r="G271" s="899" t="s">
        <v>4782</v>
      </c>
      <c r="H271" s="902"/>
      <c r="I271" s="901" t="s">
        <v>1389</v>
      </c>
      <c r="J271" s="902"/>
      <c r="K271" s="901" t="s">
        <v>1027</v>
      </c>
      <c r="L271" s="904">
        <v>0.54</v>
      </c>
      <c r="M271" s="902"/>
      <c r="N271" s="901" t="s">
        <v>4783</v>
      </c>
      <c r="O271" s="899" t="s">
        <v>187</v>
      </c>
      <c r="P271" s="899" t="s">
        <v>84</v>
      </c>
      <c r="Q271" s="902"/>
      <c r="R271" s="901" t="s">
        <v>4784</v>
      </c>
      <c r="S271" s="899" t="s">
        <v>4785</v>
      </c>
      <c r="T271" s="899" t="s">
        <v>6584</v>
      </c>
      <c r="U271" s="885" t="str">
        <f>IFERROR(VLOOKUP(N271,'Thông số'!$B:$F,5,0),"")</f>
        <v/>
      </c>
    </row>
    <row r="272" ht="14.25" customHeight="1">
      <c r="A272" s="891">
        <v>11.0</v>
      </c>
      <c r="B272" s="892" t="s">
        <v>1442</v>
      </c>
      <c r="C272" s="894"/>
      <c r="D272" s="895" t="s">
        <v>5904</v>
      </c>
      <c r="E272" s="895" t="s">
        <v>1443</v>
      </c>
      <c r="F272" s="892" t="s">
        <v>5904</v>
      </c>
      <c r="G272" s="892" t="s">
        <v>896</v>
      </c>
      <c r="H272" s="894"/>
      <c r="I272" s="895" t="s">
        <v>1389</v>
      </c>
      <c r="J272" s="896">
        <v>45301.0</v>
      </c>
      <c r="K272" s="895" t="s">
        <v>865</v>
      </c>
      <c r="L272" s="897">
        <v>0.98</v>
      </c>
      <c r="M272" s="919" t="s">
        <v>1444</v>
      </c>
      <c r="N272" s="895" t="s">
        <v>898</v>
      </c>
      <c r="O272" s="892" t="s">
        <v>897</v>
      </c>
      <c r="P272" s="892" t="s">
        <v>148</v>
      </c>
      <c r="Q272" s="895">
        <v>2021.0</v>
      </c>
      <c r="R272" s="895" t="s">
        <v>158</v>
      </c>
      <c r="S272" s="892" t="s">
        <v>1445</v>
      </c>
      <c r="T272" s="892" t="s">
        <v>1446</v>
      </c>
      <c r="U272" s="885" t="str">
        <f>IFERROR(VLOOKUP(N272,'Thông số'!$B:$F,5,0),"")</f>
        <v>4730 x 1750 x 2100</v>
      </c>
    </row>
    <row r="273" ht="14.25" customHeight="1">
      <c r="A273" s="898">
        <v>12.0</v>
      </c>
      <c r="B273" s="899" t="s">
        <v>1447</v>
      </c>
      <c r="C273" s="902"/>
      <c r="D273" s="901" t="s">
        <v>1448</v>
      </c>
      <c r="E273" s="901" t="s">
        <v>1449</v>
      </c>
      <c r="F273" s="902"/>
      <c r="G273" s="899" t="s">
        <v>1252</v>
      </c>
      <c r="H273" s="902"/>
      <c r="I273" s="901" t="s">
        <v>1389</v>
      </c>
      <c r="J273" s="903">
        <v>45578.0</v>
      </c>
      <c r="K273" s="901" t="s">
        <v>1027</v>
      </c>
      <c r="L273" s="902"/>
      <c r="M273" s="902"/>
      <c r="N273" s="901" t="s">
        <v>1256</v>
      </c>
      <c r="O273" s="899" t="s">
        <v>897</v>
      </c>
      <c r="P273" s="899" t="s">
        <v>148</v>
      </c>
      <c r="Q273" s="901">
        <v>2021.0</v>
      </c>
      <c r="R273" s="901" t="s">
        <v>338</v>
      </c>
      <c r="S273" s="899" t="s">
        <v>1451</v>
      </c>
      <c r="T273" s="899" t="s">
        <v>1452</v>
      </c>
      <c r="U273" s="885" t="str">
        <f>IFERROR(VLOOKUP(N273,'Thông số'!$B:$F,5,0),"")</f>
        <v>4730 x 1750 x 2100</v>
      </c>
    </row>
    <row r="274" ht="14.25" customHeight="1">
      <c r="A274" s="891">
        <v>13.0</v>
      </c>
      <c r="B274" s="892" t="s">
        <v>1453</v>
      </c>
      <c r="C274" s="892" t="s">
        <v>1454</v>
      </c>
      <c r="D274" s="895" t="s">
        <v>3047</v>
      </c>
      <c r="E274" s="894"/>
      <c r="F274" s="892" t="s">
        <v>3047</v>
      </c>
      <c r="G274" s="892" t="s">
        <v>910</v>
      </c>
      <c r="H274" s="895" t="s">
        <v>6537</v>
      </c>
      <c r="I274" s="895" t="s">
        <v>1389</v>
      </c>
      <c r="J274" s="896">
        <v>41061.0</v>
      </c>
      <c r="K274" s="895" t="s">
        <v>865</v>
      </c>
      <c r="L274" s="894"/>
      <c r="M274" s="894"/>
      <c r="N274" s="894"/>
      <c r="O274" s="892" t="s">
        <v>911</v>
      </c>
      <c r="P274" s="892" t="s">
        <v>912</v>
      </c>
      <c r="Q274" s="894"/>
      <c r="R274" s="895" t="s">
        <v>792</v>
      </c>
      <c r="S274" s="892" t="s">
        <v>1456</v>
      </c>
      <c r="T274" s="892">
        <v>115002.0</v>
      </c>
      <c r="U274" s="885" t="str">
        <f>IFERROR(VLOOKUP(N274,'Thông số'!$B:$F,5,0),"")</f>
        <v/>
      </c>
    </row>
    <row r="275" ht="14.25" customHeight="1">
      <c r="A275" s="898">
        <v>14.0</v>
      </c>
      <c r="B275" s="899" t="s">
        <v>1457</v>
      </c>
      <c r="C275" s="899" t="s">
        <v>154</v>
      </c>
      <c r="D275" s="901" t="s">
        <v>5525</v>
      </c>
      <c r="E275" s="902"/>
      <c r="F275" s="902"/>
      <c r="G275" s="899" t="s">
        <v>919</v>
      </c>
      <c r="H275" s="901" t="s">
        <v>6539</v>
      </c>
      <c r="I275" s="901" t="s">
        <v>1389</v>
      </c>
      <c r="J275" s="903">
        <v>45392.0</v>
      </c>
      <c r="K275" s="901" t="s">
        <v>1027</v>
      </c>
      <c r="L275" s="902"/>
      <c r="M275" s="902"/>
      <c r="N275" s="901" t="s">
        <v>6540</v>
      </c>
      <c r="O275" s="899" t="s">
        <v>300</v>
      </c>
      <c r="P275" s="899" t="s">
        <v>148</v>
      </c>
      <c r="Q275" s="901">
        <v>2023.0</v>
      </c>
      <c r="R275" s="901" t="s">
        <v>682</v>
      </c>
      <c r="S275" s="899" t="s">
        <v>1458</v>
      </c>
      <c r="T275" s="899" t="s">
        <v>1459</v>
      </c>
      <c r="U275" s="885" t="str">
        <f>IFERROR(VLOOKUP(N275,'Thông số'!$B:$F,5,0),"")</f>
        <v>5250 x 2170 x 2520</v>
      </c>
    </row>
    <row r="276" ht="14.25" customHeight="1">
      <c r="A276" s="898">
        <v>15.0</v>
      </c>
      <c r="B276" s="899" t="s">
        <v>1460</v>
      </c>
      <c r="C276" s="899" t="s">
        <v>154</v>
      </c>
      <c r="D276" s="901" t="s">
        <v>5562</v>
      </c>
      <c r="E276" s="902"/>
      <c r="F276" s="902"/>
      <c r="G276" s="899" t="s">
        <v>919</v>
      </c>
      <c r="H276" s="901" t="s">
        <v>6539</v>
      </c>
      <c r="I276" s="901" t="s">
        <v>1389</v>
      </c>
      <c r="J276" s="903">
        <v>45392.0</v>
      </c>
      <c r="K276" s="901" t="s">
        <v>1027</v>
      </c>
      <c r="L276" s="902"/>
      <c r="M276" s="902"/>
      <c r="N276" s="901" t="s">
        <v>6540</v>
      </c>
      <c r="O276" s="899" t="s">
        <v>300</v>
      </c>
      <c r="P276" s="899" t="s">
        <v>148</v>
      </c>
      <c r="Q276" s="901">
        <v>2023.0</v>
      </c>
      <c r="R276" s="901" t="s">
        <v>682</v>
      </c>
      <c r="S276" s="899" t="s">
        <v>1461</v>
      </c>
      <c r="T276" s="899" t="s">
        <v>1462</v>
      </c>
      <c r="U276" s="885" t="str">
        <f>IFERROR(VLOOKUP(N276,'Thông số'!$B:$F,5,0),"")</f>
        <v>5250 x 2170 x 2520</v>
      </c>
    </row>
    <row r="277" ht="14.25" customHeight="1">
      <c r="A277" s="891">
        <v>16.0</v>
      </c>
      <c r="B277" s="892" t="s">
        <v>1463</v>
      </c>
      <c r="C277" s="892" t="s">
        <v>154</v>
      </c>
      <c r="D277" s="895" t="s">
        <v>6585</v>
      </c>
      <c r="E277" s="894"/>
      <c r="F277" s="894"/>
      <c r="G277" s="892" t="s">
        <v>919</v>
      </c>
      <c r="H277" s="895" t="s">
        <v>6539</v>
      </c>
      <c r="I277" s="895" t="s">
        <v>1389</v>
      </c>
      <c r="J277" s="896">
        <v>45392.0</v>
      </c>
      <c r="K277" s="895" t="s">
        <v>865</v>
      </c>
      <c r="L277" s="894"/>
      <c r="M277" s="919" t="s">
        <v>1466</v>
      </c>
      <c r="N277" s="895" t="s">
        <v>6540</v>
      </c>
      <c r="O277" s="892" t="s">
        <v>300</v>
      </c>
      <c r="P277" s="892" t="s">
        <v>148</v>
      </c>
      <c r="Q277" s="895">
        <v>2023.0</v>
      </c>
      <c r="R277" s="895" t="s">
        <v>682</v>
      </c>
      <c r="S277" s="892" t="s">
        <v>1467</v>
      </c>
      <c r="T277" s="892" t="s">
        <v>1468</v>
      </c>
      <c r="U277" s="885" t="str">
        <f>IFERROR(VLOOKUP(N277,'Thông số'!$B:$F,5,0),"")</f>
        <v>5250 x 2170 x 2520</v>
      </c>
    </row>
    <row r="278" ht="14.25" customHeight="1">
      <c r="A278" s="898">
        <v>17.0</v>
      </c>
      <c r="B278" s="899" t="s">
        <v>1469</v>
      </c>
      <c r="C278" s="899" t="s">
        <v>1470</v>
      </c>
      <c r="D278" s="901" t="s">
        <v>6586</v>
      </c>
      <c r="E278" s="901" t="s">
        <v>1472</v>
      </c>
      <c r="F278" s="902"/>
      <c r="G278" s="899" t="s">
        <v>919</v>
      </c>
      <c r="H278" s="901" t="s">
        <v>6539</v>
      </c>
      <c r="I278" s="901" t="s">
        <v>1389</v>
      </c>
      <c r="J278" s="903">
        <v>45503.0</v>
      </c>
      <c r="K278" s="901" t="s">
        <v>1027</v>
      </c>
      <c r="L278" s="902"/>
      <c r="M278" s="906" t="s">
        <v>1473</v>
      </c>
      <c r="N278" s="901" t="s">
        <v>6540</v>
      </c>
      <c r="O278" s="899" t="s">
        <v>300</v>
      </c>
      <c r="P278" s="899" t="s">
        <v>148</v>
      </c>
      <c r="Q278" s="901">
        <v>2024.0</v>
      </c>
      <c r="R278" s="901" t="s">
        <v>922</v>
      </c>
      <c r="S278" s="899" t="s">
        <v>1474</v>
      </c>
      <c r="T278" s="899" t="s">
        <v>1475</v>
      </c>
      <c r="U278" s="885" t="str">
        <f>IFERROR(VLOOKUP(N278,'Thông số'!$B:$F,5,0),"")</f>
        <v>5250 x 2170 x 2520</v>
      </c>
    </row>
    <row r="279" ht="14.25" customHeight="1">
      <c r="A279" s="898">
        <v>18.0</v>
      </c>
      <c r="B279" s="905" t="s">
        <v>1476</v>
      </c>
      <c r="C279" s="908"/>
      <c r="D279" s="902"/>
      <c r="E279" s="908"/>
      <c r="F279" s="908"/>
      <c r="G279" s="899" t="s">
        <v>658</v>
      </c>
      <c r="H279" s="902"/>
      <c r="I279" s="901" t="s">
        <v>1389</v>
      </c>
      <c r="J279" s="909">
        <v>46032.0</v>
      </c>
      <c r="K279" s="901" t="s">
        <v>1027</v>
      </c>
      <c r="L279" s="908"/>
      <c r="M279" s="906" t="s">
        <v>890</v>
      </c>
      <c r="N279" s="907" t="s">
        <v>663</v>
      </c>
      <c r="O279" s="905" t="s">
        <v>661</v>
      </c>
      <c r="P279" s="905" t="s">
        <v>662</v>
      </c>
      <c r="Q279" s="907">
        <v>2024.0</v>
      </c>
      <c r="R279" s="907" t="s">
        <v>664</v>
      </c>
      <c r="S279" s="905" t="s">
        <v>1478</v>
      </c>
      <c r="T279" s="905" t="s">
        <v>1479</v>
      </c>
      <c r="U279" s="885" t="str">
        <f>IFERROR(VLOOKUP(N279,'Thông số'!$B:$F,5,0),"")</f>
        <v>6380 x 2040 x 2300</v>
      </c>
    </row>
    <row r="280" ht="14.25" customHeight="1">
      <c r="A280" s="898">
        <v>19.0</v>
      </c>
      <c r="B280" s="905" t="s">
        <v>1480</v>
      </c>
      <c r="C280" s="905" t="s">
        <v>1481</v>
      </c>
      <c r="D280" s="901" t="s">
        <v>6587</v>
      </c>
      <c r="E280" s="908"/>
      <c r="F280" s="908"/>
      <c r="G280" s="905" t="s">
        <v>6535</v>
      </c>
      <c r="H280" s="901" t="s">
        <v>5892</v>
      </c>
      <c r="I280" s="907" t="s">
        <v>1389</v>
      </c>
      <c r="J280" s="909">
        <v>45343.0</v>
      </c>
      <c r="K280" s="901" t="s">
        <v>1027</v>
      </c>
      <c r="L280" s="908"/>
      <c r="M280" s="917" t="s">
        <v>1403</v>
      </c>
      <c r="N280" s="908"/>
      <c r="O280" s="905" t="s">
        <v>905</v>
      </c>
      <c r="P280" s="908"/>
      <c r="Q280" s="907">
        <v>2010.0</v>
      </c>
      <c r="R280" s="907" t="s">
        <v>1482</v>
      </c>
      <c r="S280" s="905" t="s">
        <v>1483</v>
      </c>
      <c r="T280" s="905" t="s">
        <v>96</v>
      </c>
      <c r="U280" s="885" t="str">
        <f>IFERROR(VLOOKUP(N280,'Thông số'!$B:$F,5,0),"")</f>
        <v/>
      </c>
    </row>
    <row r="281" ht="14.25" customHeight="1">
      <c r="A281" s="898">
        <v>20.0</v>
      </c>
      <c r="B281" s="905" t="s">
        <v>1484</v>
      </c>
      <c r="C281" s="899" t="s">
        <v>1485</v>
      </c>
      <c r="D281" s="902"/>
      <c r="E281" s="902"/>
      <c r="F281" s="902"/>
      <c r="G281" s="899" t="s">
        <v>1031</v>
      </c>
      <c r="H281" s="901" t="s">
        <v>5892</v>
      </c>
      <c r="I281" s="907" t="s">
        <v>1389</v>
      </c>
      <c r="J281" s="902"/>
      <c r="K281" s="901" t="s">
        <v>1027</v>
      </c>
      <c r="L281" s="902"/>
      <c r="M281" s="906" t="s">
        <v>1486</v>
      </c>
      <c r="N281" s="902"/>
      <c r="O281" s="899" t="s">
        <v>1032</v>
      </c>
      <c r="P281" s="899" t="s">
        <v>103</v>
      </c>
      <c r="Q281" s="902"/>
      <c r="R281" s="902"/>
      <c r="S281" s="899">
        <v>18446.0</v>
      </c>
      <c r="T281" s="899" t="s">
        <v>96</v>
      </c>
      <c r="U281" s="885" t="str">
        <f>IFERROR(VLOOKUP(N281,'Thông số'!$B:$F,5,0),"")</f>
        <v/>
      </c>
    </row>
    <row r="282" ht="14.25" customHeight="1">
      <c r="A282" s="898">
        <v>21.0</v>
      </c>
      <c r="B282" s="905" t="s">
        <v>1488</v>
      </c>
      <c r="C282" s="908"/>
      <c r="D282" s="901" t="s">
        <v>6588</v>
      </c>
      <c r="E282" s="908"/>
      <c r="F282" s="908"/>
      <c r="G282" s="905" t="s">
        <v>880</v>
      </c>
      <c r="H282" s="901" t="s">
        <v>5841</v>
      </c>
      <c r="I282" s="907" t="s">
        <v>1389</v>
      </c>
      <c r="J282" s="908"/>
      <c r="K282" s="901" t="s">
        <v>1027</v>
      </c>
      <c r="L282" s="908"/>
      <c r="M282" s="917" t="s">
        <v>1490</v>
      </c>
      <c r="N282" s="907" t="s">
        <v>1491</v>
      </c>
      <c r="O282" s="905" t="s">
        <v>123</v>
      </c>
      <c r="P282" s="905" t="s">
        <v>222</v>
      </c>
      <c r="Q282" s="907">
        <v>2007.0</v>
      </c>
      <c r="R282" s="908"/>
      <c r="S282" s="905">
        <v>830261.0</v>
      </c>
      <c r="T282" s="905" t="s">
        <v>6589</v>
      </c>
      <c r="U282" s="885" t="str">
        <f>IFERROR(VLOOKUP(N282,'Thông số'!$B:$F,5,0),"")</f>
        <v/>
      </c>
    </row>
    <row r="283" ht="14.25" customHeight="1">
      <c r="A283" s="898">
        <v>22.0</v>
      </c>
      <c r="B283" s="905" t="s">
        <v>1492</v>
      </c>
      <c r="C283" s="908"/>
      <c r="D283" s="902"/>
      <c r="E283" s="908"/>
      <c r="F283" s="908"/>
      <c r="G283" s="905" t="s">
        <v>880</v>
      </c>
      <c r="H283" s="902"/>
      <c r="I283" s="907" t="s">
        <v>1389</v>
      </c>
      <c r="J283" s="908"/>
      <c r="K283" s="901" t="s">
        <v>1027</v>
      </c>
      <c r="L283" s="908"/>
      <c r="M283" s="917" t="s">
        <v>1490</v>
      </c>
      <c r="N283" s="907" t="s">
        <v>884</v>
      </c>
      <c r="O283" s="905" t="s">
        <v>882</v>
      </c>
      <c r="P283" s="905" t="s">
        <v>260</v>
      </c>
      <c r="Q283" s="907">
        <v>2019.0</v>
      </c>
      <c r="R283" s="908"/>
      <c r="S283" s="905">
        <v>1.501190005E9</v>
      </c>
      <c r="T283" s="905" t="s">
        <v>1493</v>
      </c>
      <c r="U283" s="885" t="str">
        <f>IFERROR(VLOOKUP(N283,'Thông số'!$B:$F,5,0),"")</f>
        <v/>
      </c>
    </row>
    <row r="284" ht="14.25" customHeight="1">
      <c r="A284" s="898">
        <v>23.0</v>
      </c>
      <c r="B284" s="905" t="s">
        <v>1496</v>
      </c>
      <c r="C284" s="908"/>
      <c r="D284" s="901" t="s">
        <v>1497</v>
      </c>
      <c r="E284" s="908"/>
      <c r="F284" s="908"/>
      <c r="G284" s="905" t="s">
        <v>946</v>
      </c>
      <c r="H284" s="901" t="s">
        <v>6483</v>
      </c>
      <c r="I284" s="907" t="s">
        <v>1389</v>
      </c>
      <c r="J284" s="909">
        <v>45862.0</v>
      </c>
      <c r="K284" s="901" t="s">
        <v>1027</v>
      </c>
      <c r="L284" s="908"/>
      <c r="M284" s="906" t="s">
        <v>890</v>
      </c>
      <c r="N284" s="907" t="s">
        <v>949</v>
      </c>
      <c r="O284" s="905" t="s">
        <v>673</v>
      </c>
      <c r="P284" s="905" t="s">
        <v>948</v>
      </c>
      <c r="Q284" s="907">
        <v>2022.0</v>
      </c>
      <c r="R284" s="907" t="s">
        <v>950</v>
      </c>
      <c r="S284" s="905">
        <v>203063.0</v>
      </c>
      <c r="T284" s="905" t="s">
        <v>1498</v>
      </c>
      <c r="U284" s="885" t="str">
        <f>IFERROR(VLOOKUP(N284,'Thông số'!$B:$F,5,0),"")</f>
        <v/>
      </c>
    </row>
    <row r="285" ht="14.25" customHeight="1">
      <c r="A285" s="898">
        <v>24.0</v>
      </c>
      <c r="B285" s="905" t="s">
        <v>1499</v>
      </c>
      <c r="C285" s="908"/>
      <c r="D285" s="901" t="s">
        <v>1500</v>
      </c>
      <c r="E285" s="908"/>
      <c r="F285" s="908"/>
      <c r="G285" s="905" t="s">
        <v>946</v>
      </c>
      <c r="H285" s="901" t="s">
        <v>6483</v>
      </c>
      <c r="I285" s="907" t="s">
        <v>1389</v>
      </c>
      <c r="J285" s="909">
        <v>45862.0</v>
      </c>
      <c r="K285" s="901" t="s">
        <v>1027</v>
      </c>
      <c r="L285" s="908"/>
      <c r="M285" s="906" t="s">
        <v>890</v>
      </c>
      <c r="N285" s="907" t="s">
        <v>949</v>
      </c>
      <c r="O285" s="905" t="s">
        <v>673</v>
      </c>
      <c r="P285" s="905" t="s">
        <v>948</v>
      </c>
      <c r="Q285" s="907">
        <v>2022.0</v>
      </c>
      <c r="R285" s="907" t="s">
        <v>950</v>
      </c>
      <c r="S285" s="905">
        <v>203064.0</v>
      </c>
      <c r="T285" s="905" t="s">
        <v>1503</v>
      </c>
      <c r="U285" s="885" t="str">
        <f>IFERROR(VLOOKUP(N285,'Thông số'!$B:$F,5,0),"")</f>
        <v/>
      </c>
    </row>
    <row r="286" ht="14.25" customHeight="1">
      <c r="A286" s="898">
        <v>25.0</v>
      </c>
      <c r="B286" s="905" t="s">
        <v>1504</v>
      </c>
      <c r="C286" s="908"/>
      <c r="D286" s="901" t="s">
        <v>1506</v>
      </c>
      <c r="E286" s="908"/>
      <c r="F286" s="908"/>
      <c r="G286" s="905" t="s">
        <v>946</v>
      </c>
      <c r="H286" s="901" t="s">
        <v>6483</v>
      </c>
      <c r="I286" s="907" t="s">
        <v>1389</v>
      </c>
      <c r="J286" s="909">
        <v>45862.0</v>
      </c>
      <c r="K286" s="901" t="s">
        <v>1027</v>
      </c>
      <c r="L286" s="908"/>
      <c r="M286" s="906" t="s">
        <v>890</v>
      </c>
      <c r="N286" s="907" t="s">
        <v>949</v>
      </c>
      <c r="O286" s="905" t="s">
        <v>673</v>
      </c>
      <c r="P286" s="905" t="s">
        <v>948</v>
      </c>
      <c r="Q286" s="907">
        <v>2022.0</v>
      </c>
      <c r="R286" s="907" t="s">
        <v>950</v>
      </c>
      <c r="S286" s="905">
        <v>203067.0</v>
      </c>
      <c r="T286" s="905" t="s">
        <v>1507</v>
      </c>
      <c r="U286" s="885" t="str">
        <f>IFERROR(VLOOKUP(N286,'Thông số'!$B:$F,5,0),"")</f>
        <v/>
      </c>
    </row>
    <row r="287" ht="14.25" customHeight="1">
      <c r="A287" s="898">
        <v>26.0</v>
      </c>
      <c r="B287" s="905" t="s">
        <v>1508</v>
      </c>
      <c r="C287" s="908"/>
      <c r="D287" s="901" t="s">
        <v>1509</v>
      </c>
      <c r="E287" s="908"/>
      <c r="F287" s="908"/>
      <c r="G287" s="905" t="s">
        <v>946</v>
      </c>
      <c r="H287" s="901" t="s">
        <v>6483</v>
      </c>
      <c r="I287" s="907" t="s">
        <v>1389</v>
      </c>
      <c r="J287" s="909">
        <v>45862.0</v>
      </c>
      <c r="K287" s="901" t="s">
        <v>1027</v>
      </c>
      <c r="L287" s="908"/>
      <c r="M287" s="906" t="s">
        <v>890</v>
      </c>
      <c r="N287" s="907" t="s">
        <v>949</v>
      </c>
      <c r="O287" s="905" t="s">
        <v>673</v>
      </c>
      <c r="P287" s="905" t="s">
        <v>948</v>
      </c>
      <c r="Q287" s="907">
        <v>2022.0</v>
      </c>
      <c r="R287" s="907" t="s">
        <v>950</v>
      </c>
      <c r="S287" s="905">
        <v>203073.0</v>
      </c>
      <c r="T287" s="905" t="s">
        <v>1498</v>
      </c>
      <c r="U287" s="885" t="str">
        <f>IFERROR(VLOOKUP(N287,'Thông số'!$B:$F,5,0),"")</f>
        <v/>
      </c>
    </row>
    <row r="288" ht="14.25" customHeight="1">
      <c r="A288" s="898">
        <v>27.0</v>
      </c>
      <c r="B288" s="905" t="s">
        <v>1510</v>
      </c>
      <c r="C288" s="908"/>
      <c r="D288" s="901" t="s">
        <v>1511</v>
      </c>
      <c r="E288" s="908"/>
      <c r="F288" s="908"/>
      <c r="G288" s="905" t="s">
        <v>946</v>
      </c>
      <c r="H288" s="901" t="s">
        <v>6483</v>
      </c>
      <c r="I288" s="907" t="s">
        <v>1389</v>
      </c>
      <c r="J288" s="909">
        <v>45862.0</v>
      </c>
      <c r="K288" s="901" t="s">
        <v>1027</v>
      </c>
      <c r="L288" s="908"/>
      <c r="M288" s="906" t="s">
        <v>890</v>
      </c>
      <c r="N288" s="907" t="s">
        <v>949</v>
      </c>
      <c r="O288" s="905" t="s">
        <v>673</v>
      </c>
      <c r="P288" s="905" t="s">
        <v>948</v>
      </c>
      <c r="Q288" s="907">
        <v>2022.0</v>
      </c>
      <c r="R288" s="907" t="s">
        <v>950</v>
      </c>
      <c r="S288" s="905">
        <v>203077.0</v>
      </c>
      <c r="T288" s="905" t="s">
        <v>1512</v>
      </c>
      <c r="U288" s="885" t="str">
        <f>IFERROR(VLOOKUP(N288,'Thông số'!$B:$F,5,0),"")</f>
        <v/>
      </c>
    </row>
    <row r="289" ht="14.25" customHeight="1">
      <c r="A289" s="898">
        <v>28.0</v>
      </c>
      <c r="B289" s="905" t="s">
        <v>1513</v>
      </c>
      <c r="C289" s="908"/>
      <c r="D289" s="901" t="s">
        <v>1514</v>
      </c>
      <c r="E289" s="908"/>
      <c r="F289" s="908"/>
      <c r="G289" s="905" t="s">
        <v>1515</v>
      </c>
      <c r="H289" s="901" t="s">
        <v>6187</v>
      </c>
      <c r="I289" s="907" t="s">
        <v>1389</v>
      </c>
      <c r="J289" s="909">
        <v>45611.0</v>
      </c>
      <c r="K289" s="901" t="s">
        <v>1027</v>
      </c>
      <c r="L289" s="908"/>
      <c r="M289" s="906" t="s">
        <v>890</v>
      </c>
      <c r="N289" s="907" t="s">
        <v>1517</v>
      </c>
      <c r="O289" s="905" t="s">
        <v>673</v>
      </c>
      <c r="P289" s="905" t="s">
        <v>510</v>
      </c>
      <c r="Q289" s="908"/>
      <c r="R289" s="907" t="s">
        <v>1243</v>
      </c>
      <c r="S289" s="905">
        <v>31252.0</v>
      </c>
      <c r="T289" s="905">
        <v>13422.0</v>
      </c>
      <c r="U289" s="885" t="str">
        <f>IFERROR(VLOOKUP(N289,'Thông số'!$B:$F,5,0),"")</f>
        <v/>
      </c>
    </row>
    <row r="290" ht="14.25" customHeight="1">
      <c r="A290" s="898">
        <v>29.0</v>
      </c>
      <c r="B290" s="905" t="s">
        <v>3141</v>
      </c>
      <c r="C290" s="908"/>
      <c r="D290" s="901" t="s">
        <v>3142</v>
      </c>
      <c r="E290" s="908"/>
      <c r="F290" s="908"/>
      <c r="G290" s="905" t="s">
        <v>3082</v>
      </c>
      <c r="H290" s="901" t="s">
        <v>6187</v>
      </c>
      <c r="I290" s="907" t="s">
        <v>1389</v>
      </c>
      <c r="J290" s="909">
        <v>45647.0</v>
      </c>
      <c r="K290" s="901" t="s">
        <v>1027</v>
      </c>
      <c r="L290" s="908"/>
      <c r="M290" s="906" t="s">
        <v>890</v>
      </c>
      <c r="N290" s="907" t="s">
        <v>3091</v>
      </c>
      <c r="O290" s="905" t="s">
        <v>3083</v>
      </c>
      <c r="P290" s="905" t="s">
        <v>3084</v>
      </c>
      <c r="Q290" s="907">
        <v>2024.0</v>
      </c>
      <c r="R290" s="907" t="s">
        <v>3086</v>
      </c>
      <c r="S290" s="905" t="s">
        <v>96</v>
      </c>
      <c r="T290" s="905" t="s">
        <v>96</v>
      </c>
      <c r="U290" s="885" t="str">
        <f>IFERROR(VLOOKUP(N290,'Thông số'!$B:$F,5,0),"")</f>
        <v/>
      </c>
    </row>
    <row r="291" ht="14.25" customHeight="1">
      <c r="A291" s="898">
        <v>30.0</v>
      </c>
      <c r="B291" s="905" t="s">
        <v>3144</v>
      </c>
      <c r="C291" s="908"/>
      <c r="D291" s="901" t="s">
        <v>3145</v>
      </c>
      <c r="E291" s="908"/>
      <c r="F291" s="908"/>
      <c r="G291" s="905" t="s">
        <v>3082</v>
      </c>
      <c r="H291" s="901" t="s">
        <v>6187</v>
      </c>
      <c r="I291" s="907" t="s">
        <v>1389</v>
      </c>
      <c r="J291" s="909">
        <v>45647.0</v>
      </c>
      <c r="K291" s="901" t="s">
        <v>1027</v>
      </c>
      <c r="L291" s="908"/>
      <c r="M291" s="906" t="s">
        <v>890</v>
      </c>
      <c r="N291" s="907" t="s">
        <v>3091</v>
      </c>
      <c r="O291" s="905" t="s">
        <v>3083</v>
      </c>
      <c r="P291" s="905" t="s">
        <v>3084</v>
      </c>
      <c r="Q291" s="907">
        <v>2024.0</v>
      </c>
      <c r="R291" s="907" t="s">
        <v>3086</v>
      </c>
      <c r="S291" s="905" t="s">
        <v>96</v>
      </c>
      <c r="T291" s="905" t="s">
        <v>96</v>
      </c>
      <c r="U291" s="885" t="str">
        <f>IFERROR(VLOOKUP(N291,'Thông số'!$B:$F,5,0),"")</f>
        <v/>
      </c>
    </row>
    <row r="292" ht="14.25" customHeight="1">
      <c r="A292" s="898">
        <v>31.0</v>
      </c>
      <c r="B292" s="905" t="s">
        <v>1518</v>
      </c>
      <c r="C292" s="900"/>
      <c r="D292" s="901" t="s">
        <v>1519</v>
      </c>
      <c r="E292" s="908"/>
      <c r="F292" s="908"/>
      <c r="G292" s="905" t="s">
        <v>1520</v>
      </c>
      <c r="H292" s="901" t="s">
        <v>6590</v>
      </c>
      <c r="I292" s="907" t="s">
        <v>1389</v>
      </c>
      <c r="J292" s="909">
        <v>45636.0</v>
      </c>
      <c r="K292" s="901" t="s">
        <v>1027</v>
      </c>
      <c r="L292" s="908"/>
      <c r="M292" s="906" t="s">
        <v>890</v>
      </c>
      <c r="N292" s="907" t="s">
        <v>1522</v>
      </c>
      <c r="O292" s="905" t="s">
        <v>1521</v>
      </c>
      <c r="P292" s="899" t="s">
        <v>662</v>
      </c>
      <c r="Q292" s="907">
        <v>2024.0</v>
      </c>
      <c r="R292" s="907" t="s">
        <v>6591</v>
      </c>
      <c r="S292" s="905" t="s">
        <v>1524</v>
      </c>
      <c r="T292" s="905" t="s">
        <v>1525</v>
      </c>
      <c r="U292" s="885" t="str">
        <f>IFERROR(VLOOKUP(N292,'Thông số'!$B:$F,5,0),"")</f>
        <v/>
      </c>
    </row>
    <row r="293" ht="14.25" customHeight="1">
      <c r="A293" s="898">
        <v>32.0</v>
      </c>
      <c r="B293" s="905" t="s">
        <v>1526</v>
      </c>
      <c r="C293" s="900"/>
      <c r="D293" s="901" t="s">
        <v>1527</v>
      </c>
      <c r="E293" s="908"/>
      <c r="F293" s="908"/>
      <c r="G293" s="905" t="s">
        <v>985</v>
      </c>
      <c r="H293" s="901" t="s">
        <v>6187</v>
      </c>
      <c r="I293" s="907" t="s">
        <v>1389</v>
      </c>
      <c r="J293" s="909">
        <v>45833.0</v>
      </c>
      <c r="K293" s="901" t="s">
        <v>1027</v>
      </c>
      <c r="L293" s="908"/>
      <c r="M293" s="906" t="s">
        <v>890</v>
      </c>
      <c r="N293" s="907" t="s">
        <v>988</v>
      </c>
      <c r="O293" s="905" t="s">
        <v>987</v>
      </c>
      <c r="P293" s="899" t="s">
        <v>148</v>
      </c>
      <c r="Q293" s="907">
        <v>2025.0</v>
      </c>
      <c r="R293" s="907" t="s">
        <v>970</v>
      </c>
      <c r="S293" s="905" t="s">
        <v>1528</v>
      </c>
      <c r="T293" s="905" t="s">
        <v>1529</v>
      </c>
      <c r="U293" s="885" t="str">
        <f>IFERROR(VLOOKUP(N293,'Thông số'!$B:$F,5,0),"")</f>
        <v/>
      </c>
    </row>
    <row r="294" ht="14.25" customHeight="1">
      <c r="A294" s="898">
        <v>33.0</v>
      </c>
      <c r="B294" s="905" t="s">
        <v>1530</v>
      </c>
      <c r="C294" s="900"/>
      <c r="D294" s="901" t="s">
        <v>1531</v>
      </c>
      <c r="E294" s="908"/>
      <c r="F294" s="908"/>
      <c r="G294" s="905" t="s">
        <v>985</v>
      </c>
      <c r="H294" s="901" t="s">
        <v>6187</v>
      </c>
      <c r="I294" s="907" t="s">
        <v>1389</v>
      </c>
      <c r="J294" s="909">
        <v>45833.0</v>
      </c>
      <c r="K294" s="901" t="s">
        <v>1027</v>
      </c>
      <c r="L294" s="908"/>
      <c r="M294" s="906" t="s">
        <v>890</v>
      </c>
      <c r="N294" s="907" t="s">
        <v>988</v>
      </c>
      <c r="O294" s="905" t="s">
        <v>987</v>
      </c>
      <c r="P294" s="899" t="s">
        <v>148</v>
      </c>
      <c r="Q294" s="907">
        <v>2025.0</v>
      </c>
      <c r="R294" s="907" t="s">
        <v>970</v>
      </c>
      <c r="S294" s="905" t="s">
        <v>1532</v>
      </c>
      <c r="T294" s="905" t="s">
        <v>1533</v>
      </c>
      <c r="U294" s="885" t="str">
        <f>IFERROR(VLOOKUP(N294,'Thông số'!$B:$F,5,0),"")</f>
        <v/>
      </c>
    </row>
    <row r="295" ht="14.25" customHeight="1">
      <c r="A295" s="898">
        <v>34.0</v>
      </c>
      <c r="B295" s="905" t="s">
        <v>1534</v>
      </c>
      <c r="C295" s="900"/>
      <c r="D295" s="901" t="s">
        <v>1535</v>
      </c>
      <c r="E295" s="908"/>
      <c r="F295" s="908"/>
      <c r="G295" s="905" t="s">
        <v>985</v>
      </c>
      <c r="H295" s="901" t="s">
        <v>6187</v>
      </c>
      <c r="I295" s="907" t="s">
        <v>1389</v>
      </c>
      <c r="J295" s="909">
        <v>45833.0</v>
      </c>
      <c r="K295" s="901" t="s">
        <v>1027</v>
      </c>
      <c r="L295" s="908"/>
      <c r="M295" s="906" t="s">
        <v>890</v>
      </c>
      <c r="N295" s="907" t="s">
        <v>988</v>
      </c>
      <c r="O295" s="905" t="s">
        <v>987</v>
      </c>
      <c r="P295" s="899" t="s">
        <v>148</v>
      </c>
      <c r="Q295" s="907">
        <v>2025.0</v>
      </c>
      <c r="R295" s="907" t="s">
        <v>970</v>
      </c>
      <c r="S295" s="905" t="s">
        <v>1536</v>
      </c>
      <c r="T295" s="905" t="s">
        <v>1537</v>
      </c>
      <c r="U295" s="885" t="str">
        <f>IFERROR(VLOOKUP(N295,'Thông số'!$B:$F,5,0),"")</f>
        <v/>
      </c>
    </row>
    <row r="296" ht="14.25" customHeight="1">
      <c r="A296" s="898">
        <v>35.0</v>
      </c>
      <c r="B296" s="905" t="s">
        <v>1538</v>
      </c>
      <c r="C296" s="900"/>
      <c r="D296" s="901" t="s">
        <v>1539</v>
      </c>
      <c r="E296" s="908"/>
      <c r="F296" s="908"/>
      <c r="G296" s="905" t="s">
        <v>985</v>
      </c>
      <c r="H296" s="901" t="s">
        <v>6187</v>
      </c>
      <c r="I296" s="907" t="s">
        <v>1389</v>
      </c>
      <c r="J296" s="909">
        <v>45833.0</v>
      </c>
      <c r="K296" s="901" t="s">
        <v>1027</v>
      </c>
      <c r="L296" s="908"/>
      <c r="M296" s="906" t="s">
        <v>890</v>
      </c>
      <c r="N296" s="907" t="s">
        <v>988</v>
      </c>
      <c r="O296" s="905" t="s">
        <v>987</v>
      </c>
      <c r="P296" s="899" t="s">
        <v>148</v>
      </c>
      <c r="Q296" s="907">
        <v>2025.0</v>
      </c>
      <c r="R296" s="907" t="s">
        <v>970</v>
      </c>
      <c r="S296" s="905" t="s">
        <v>1541</v>
      </c>
      <c r="T296" s="905" t="s">
        <v>1542</v>
      </c>
      <c r="U296" s="885" t="str">
        <f>IFERROR(VLOOKUP(N296,'Thông số'!$B:$F,5,0),"")</f>
        <v/>
      </c>
    </row>
    <row r="297" ht="14.25" customHeight="1">
      <c r="A297" s="886" t="s">
        <v>1550</v>
      </c>
      <c r="B297" s="887" t="s">
        <v>1551</v>
      </c>
      <c r="C297" s="890"/>
      <c r="D297" s="890"/>
      <c r="E297" s="890"/>
      <c r="F297" s="890"/>
      <c r="G297" s="890"/>
      <c r="H297" s="902"/>
      <c r="I297" s="890"/>
      <c r="J297" s="890"/>
      <c r="K297" s="890"/>
      <c r="L297" s="890"/>
      <c r="M297" s="890"/>
      <c r="N297" s="890"/>
      <c r="O297" s="890"/>
      <c r="P297" s="890"/>
      <c r="Q297" s="890"/>
      <c r="R297" s="890"/>
      <c r="S297" s="890"/>
      <c r="T297" s="890"/>
      <c r="U297" s="885" t="str">
        <f>IFERROR(VLOOKUP(N297,'Thông số'!$B:$F,5,0),"")</f>
        <v/>
      </c>
    </row>
    <row r="298" ht="14.25" customHeight="1">
      <c r="A298" s="886" t="s">
        <v>1553</v>
      </c>
      <c r="B298" s="887" t="s">
        <v>1554</v>
      </c>
      <c r="C298" s="889">
        <v>0.0</v>
      </c>
      <c r="D298" s="890"/>
      <c r="E298" s="890"/>
      <c r="F298" s="890"/>
      <c r="G298" s="890"/>
      <c r="H298" s="902"/>
      <c r="I298" s="890"/>
      <c r="J298" s="890"/>
      <c r="K298" s="890"/>
      <c r="L298" s="890"/>
      <c r="M298" s="890"/>
      <c r="N298" s="890"/>
      <c r="O298" s="890"/>
      <c r="P298" s="890"/>
      <c r="Q298" s="890"/>
      <c r="R298" s="890"/>
      <c r="S298" s="890"/>
      <c r="T298" s="890"/>
      <c r="U298" s="885" t="str">
        <f>IFERROR(VLOOKUP(N298,'Thông số'!$B:$F,5,0),"")</f>
        <v/>
      </c>
    </row>
    <row r="299" ht="14.25" customHeight="1">
      <c r="A299" s="886" t="s">
        <v>1555</v>
      </c>
      <c r="B299" s="887" t="s">
        <v>1556</v>
      </c>
      <c r="C299" s="889">
        <v>4.0</v>
      </c>
      <c r="D299" s="890"/>
      <c r="E299" s="890"/>
      <c r="F299" s="890"/>
      <c r="G299" s="890"/>
      <c r="H299" s="902"/>
      <c r="I299" s="890"/>
      <c r="J299" s="890"/>
      <c r="K299" s="890"/>
      <c r="L299" s="890"/>
      <c r="M299" s="890"/>
      <c r="N299" s="890"/>
      <c r="O299" s="890"/>
      <c r="P299" s="890"/>
      <c r="Q299" s="890"/>
      <c r="R299" s="890"/>
      <c r="S299" s="890"/>
      <c r="T299" s="890"/>
      <c r="U299" s="885" t="str">
        <f>IFERROR(VLOOKUP(N299,'Thông số'!$B:$F,5,0),"")</f>
        <v/>
      </c>
    </row>
    <row r="300" ht="14.25" customHeight="1">
      <c r="A300" s="898">
        <v>1.0</v>
      </c>
      <c r="B300" s="899" t="s">
        <v>1557</v>
      </c>
      <c r="C300" s="899" t="s">
        <v>1558</v>
      </c>
      <c r="D300" s="902"/>
      <c r="E300" s="902"/>
      <c r="F300" s="902"/>
      <c r="G300" s="899" t="s">
        <v>946</v>
      </c>
      <c r="H300" s="901" t="s">
        <v>6483</v>
      </c>
      <c r="I300" s="901" t="s">
        <v>49</v>
      </c>
      <c r="J300" s="902"/>
      <c r="K300" s="901" t="s">
        <v>1027</v>
      </c>
      <c r="L300" s="902"/>
      <c r="M300" s="906" t="s">
        <v>1560</v>
      </c>
      <c r="N300" s="902"/>
      <c r="O300" s="899" t="s">
        <v>1561</v>
      </c>
      <c r="P300" s="899" t="s">
        <v>912</v>
      </c>
      <c r="Q300" s="902"/>
      <c r="R300" s="901" t="s">
        <v>950</v>
      </c>
      <c r="S300" s="899" t="s">
        <v>1562</v>
      </c>
      <c r="T300" s="899" t="s">
        <v>96</v>
      </c>
      <c r="U300" s="885" t="str">
        <f>IFERROR(VLOOKUP(N300,'Thông số'!$B:$F,5,0),"")</f>
        <v/>
      </c>
    </row>
    <row r="301" ht="14.25" customHeight="1">
      <c r="A301" s="898">
        <v>2.0</v>
      </c>
      <c r="B301" s="899" t="s">
        <v>1563</v>
      </c>
      <c r="C301" s="899" t="s">
        <v>1564</v>
      </c>
      <c r="D301" s="902"/>
      <c r="E301" s="902"/>
      <c r="F301" s="902"/>
      <c r="G301" s="899" t="s">
        <v>946</v>
      </c>
      <c r="H301" s="901" t="s">
        <v>6483</v>
      </c>
      <c r="I301" s="901" t="s">
        <v>49</v>
      </c>
      <c r="J301" s="902"/>
      <c r="K301" s="901" t="s">
        <v>1027</v>
      </c>
      <c r="L301" s="902"/>
      <c r="M301" s="906" t="s">
        <v>1560</v>
      </c>
      <c r="N301" s="902"/>
      <c r="O301" s="899" t="s">
        <v>1561</v>
      </c>
      <c r="P301" s="899" t="s">
        <v>912</v>
      </c>
      <c r="Q301" s="902"/>
      <c r="R301" s="901" t="s">
        <v>950</v>
      </c>
      <c r="S301" s="899" t="s">
        <v>1567</v>
      </c>
      <c r="T301" s="899" t="s">
        <v>96</v>
      </c>
      <c r="U301" s="885" t="str">
        <f>IFERROR(VLOOKUP(N301,'Thông số'!$B:$F,5,0),"")</f>
        <v/>
      </c>
    </row>
    <row r="302" ht="14.25" customHeight="1">
      <c r="A302" s="898">
        <v>3.0</v>
      </c>
      <c r="B302" s="899" t="s">
        <v>1568</v>
      </c>
      <c r="C302" s="899" t="s">
        <v>1569</v>
      </c>
      <c r="D302" s="901" t="s">
        <v>6592</v>
      </c>
      <c r="E302" s="902"/>
      <c r="F302" s="902"/>
      <c r="G302" s="899" t="s">
        <v>1274</v>
      </c>
      <c r="H302" s="901" t="s">
        <v>6571</v>
      </c>
      <c r="I302" s="901" t="s">
        <v>49</v>
      </c>
      <c r="J302" s="902"/>
      <c r="K302" s="901" t="s">
        <v>1027</v>
      </c>
      <c r="L302" s="902"/>
      <c r="M302" s="902"/>
      <c r="N302" s="901" t="s">
        <v>1276</v>
      </c>
      <c r="O302" s="899" t="s">
        <v>454</v>
      </c>
      <c r="P302" s="899" t="s">
        <v>84</v>
      </c>
      <c r="Q302" s="902"/>
      <c r="R302" s="901" t="s">
        <v>1277</v>
      </c>
      <c r="S302" s="899" t="s">
        <v>96</v>
      </c>
      <c r="T302" s="899">
        <v>2250.0</v>
      </c>
      <c r="U302" s="885" t="str">
        <f>IFERROR(VLOOKUP(N302,'Thông số'!$B:$F,5,0),"")</f>
        <v>2570 x 1200 x 1950</v>
      </c>
    </row>
    <row r="303" ht="14.25" customHeight="1">
      <c r="A303" s="898">
        <v>4.0</v>
      </c>
      <c r="B303" s="899" t="s">
        <v>1571</v>
      </c>
      <c r="C303" s="899" t="s">
        <v>1572</v>
      </c>
      <c r="D303" s="901" t="s">
        <v>6593</v>
      </c>
      <c r="E303" s="902"/>
      <c r="F303" s="902"/>
      <c r="G303" s="899" t="s">
        <v>1274</v>
      </c>
      <c r="H303" s="901" t="s">
        <v>6571</v>
      </c>
      <c r="I303" s="901" t="s">
        <v>49</v>
      </c>
      <c r="J303" s="902"/>
      <c r="K303" s="901" t="s">
        <v>1027</v>
      </c>
      <c r="L303" s="902"/>
      <c r="M303" s="935"/>
      <c r="N303" s="901" t="s">
        <v>1276</v>
      </c>
      <c r="O303" s="899" t="s">
        <v>454</v>
      </c>
      <c r="P303" s="899" t="s">
        <v>84</v>
      </c>
      <c r="Q303" s="902"/>
      <c r="R303" s="901" t="s">
        <v>1277</v>
      </c>
      <c r="S303" s="899" t="s">
        <v>96</v>
      </c>
      <c r="T303" s="899">
        <v>3315.0</v>
      </c>
      <c r="U303" s="885" t="str">
        <f>IFERROR(VLOOKUP(N303,'Thông số'!$B:$F,5,0),"")</f>
        <v>2570 x 1200 x 1950</v>
      </c>
    </row>
    <row r="304" ht="14.25" customHeight="1">
      <c r="A304" s="886" t="s">
        <v>1578</v>
      </c>
      <c r="B304" s="887" t="s">
        <v>1579</v>
      </c>
      <c r="C304" s="889">
        <v>13.0</v>
      </c>
      <c r="D304" s="890"/>
      <c r="E304" s="890"/>
      <c r="F304" s="890"/>
      <c r="G304" s="890"/>
      <c r="H304" s="902"/>
      <c r="I304" s="890"/>
      <c r="J304" s="890"/>
      <c r="K304" s="890"/>
      <c r="L304" s="890"/>
      <c r="M304" s="890"/>
      <c r="N304" s="890"/>
      <c r="O304" s="890"/>
      <c r="P304" s="890"/>
      <c r="Q304" s="890"/>
      <c r="R304" s="890"/>
      <c r="S304" s="890"/>
      <c r="T304" s="890"/>
      <c r="U304" s="885" t="str">
        <f>IFERROR(VLOOKUP(N304,'Thông số'!$B:$F,5,0),"")</f>
        <v/>
      </c>
    </row>
    <row r="305" ht="14.25" customHeight="1">
      <c r="A305" s="891">
        <v>1.0</v>
      </c>
      <c r="B305" s="892" t="s">
        <v>1580</v>
      </c>
      <c r="C305" s="892" t="s">
        <v>1581</v>
      </c>
      <c r="D305" s="895" t="s">
        <v>5953</v>
      </c>
      <c r="E305" s="894"/>
      <c r="F305" s="894"/>
      <c r="G305" s="892" t="s">
        <v>946</v>
      </c>
      <c r="H305" s="895" t="s">
        <v>6483</v>
      </c>
      <c r="I305" s="895" t="s">
        <v>61</v>
      </c>
      <c r="J305" s="894"/>
      <c r="K305" s="895" t="s">
        <v>865</v>
      </c>
      <c r="L305" s="894"/>
      <c r="M305" s="894"/>
      <c r="N305" s="894"/>
      <c r="O305" s="892" t="s">
        <v>1561</v>
      </c>
      <c r="P305" s="892" t="s">
        <v>912</v>
      </c>
      <c r="Q305" s="894"/>
      <c r="R305" s="895" t="s">
        <v>950</v>
      </c>
      <c r="S305" s="894"/>
      <c r="T305" s="892" t="s">
        <v>96</v>
      </c>
      <c r="U305" s="885" t="str">
        <f>IFERROR(VLOOKUP(N305,'Thông số'!$B:$F,5,0),"")</f>
        <v/>
      </c>
    </row>
    <row r="306" ht="14.25" customHeight="1">
      <c r="A306" s="898">
        <v>2.0</v>
      </c>
      <c r="B306" s="899" t="s">
        <v>1829</v>
      </c>
      <c r="C306" s="899" t="s">
        <v>6594</v>
      </c>
      <c r="D306" s="902"/>
      <c r="E306" s="902"/>
      <c r="F306" s="899" t="s">
        <v>2029</v>
      </c>
      <c r="G306" s="899" t="s">
        <v>788</v>
      </c>
      <c r="H306" s="901" t="s">
        <v>6517</v>
      </c>
      <c r="I306" s="895" t="s">
        <v>61</v>
      </c>
      <c r="J306" s="902"/>
      <c r="K306" s="901" t="s">
        <v>1027</v>
      </c>
      <c r="L306" s="902"/>
      <c r="M306" s="906" t="s">
        <v>6595</v>
      </c>
      <c r="N306" s="901" t="s">
        <v>791</v>
      </c>
      <c r="O306" s="899" t="s">
        <v>454</v>
      </c>
      <c r="P306" s="899" t="s">
        <v>84</v>
      </c>
      <c r="Q306" s="901">
        <v>2013.0</v>
      </c>
      <c r="R306" s="901" t="s">
        <v>792</v>
      </c>
      <c r="S306" s="899">
        <v>57652.0</v>
      </c>
      <c r="T306" s="899" t="s">
        <v>96</v>
      </c>
      <c r="U306" s="885" t="str">
        <f>IFERROR(VLOOKUP(N306,'Thông số'!$B:$F,5,0),"")</f>
        <v>3445 x 1865 x 2535</v>
      </c>
    </row>
    <row r="307" ht="14.25" customHeight="1">
      <c r="A307" s="898">
        <v>3.0</v>
      </c>
      <c r="B307" s="899" t="s">
        <v>1595</v>
      </c>
      <c r="C307" s="899" t="s">
        <v>1596</v>
      </c>
      <c r="D307" s="901" t="s">
        <v>6596</v>
      </c>
      <c r="E307" s="902"/>
      <c r="F307" s="902"/>
      <c r="G307" s="899" t="s">
        <v>788</v>
      </c>
      <c r="H307" s="901" t="s">
        <v>6517</v>
      </c>
      <c r="I307" s="895" t="s">
        <v>61</v>
      </c>
      <c r="J307" s="902"/>
      <c r="K307" s="901" t="s">
        <v>1027</v>
      </c>
      <c r="L307" s="902"/>
      <c r="M307" s="902"/>
      <c r="N307" s="901" t="s">
        <v>791</v>
      </c>
      <c r="O307" s="899" t="s">
        <v>454</v>
      </c>
      <c r="P307" s="899" t="s">
        <v>84</v>
      </c>
      <c r="Q307" s="901">
        <v>2013.0</v>
      </c>
      <c r="R307" s="901" t="s">
        <v>792</v>
      </c>
      <c r="S307" s="899">
        <v>57123.0</v>
      </c>
      <c r="T307" s="899" t="s">
        <v>96</v>
      </c>
      <c r="U307" s="885" t="str">
        <f>IFERROR(VLOOKUP(N307,'Thông số'!$B:$F,5,0),"")</f>
        <v>3445 x 1865 x 2535</v>
      </c>
    </row>
    <row r="308" ht="14.25" customHeight="1">
      <c r="A308" s="891">
        <v>4.0</v>
      </c>
      <c r="B308" s="892" t="s">
        <v>1591</v>
      </c>
      <c r="C308" s="892" t="s">
        <v>1592</v>
      </c>
      <c r="D308" s="895" t="s">
        <v>6597</v>
      </c>
      <c r="E308" s="894"/>
      <c r="F308" s="894"/>
      <c r="G308" s="892" t="s">
        <v>857</v>
      </c>
      <c r="H308" s="895" t="s">
        <v>6517</v>
      </c>
      <c r="I308" s="895" t="s">
        <v>61</v>
      </c>
      <c r="J308" s="894"/>
      <c r="K308" s="895" t="s">
        <v>865</v>
      </c>
      <c r="L308" s="894"/>
      <c r="M308" s="894"/>
      <c r="N308" s="895" t="s">
        <v>860</v>
      </c>
      <c r="O308" s="892" t="s">
        <v>743</v>
      </c>
      <c r="P308" s="892" t="s">
        <v>148</v>
      </c>
      <c r="Q308" s="895">
        <v>2012.0</v>
      </c>
      <c r="R308" s="895" t="s">
        <v>861</v>
      </c>
      <c r="S308" s="892" t="s">
        <v>1594</v>
      </c>
      <c r="T308" s="892" t="s">
        <v>96</v>
      </c>
      <c r="U308" s="885" t="str">
        <f>IFERROR(VLOOKUP(N308,'Thông số'!$B:$F,5,0),"")</f>
        <v>3226 x 1570 x 1545</v>
      </c>
    </row>
    <row r="309" ht="14.25" customHeight="1">
      <c r="A309" s="891">
        <v>5.0</v>
      </c>
      <c r="B309" s="892" t="s">
        <v>1587</v>
      </c>
      <c r="C309" s="892" t="s">
        <v>1588</v>
      </c>
      <c r="D309" s="895" t="s">
        <v>6598</v>
      </c>
      <c r="E309" s="894"/>
      <c r="F309" s="894"/>
      <c r="G309" s="892" t="s">
        <v>1274</v>
      </c>
      <c r="H309" s="895" t="s">
        <v>6571</v>
      </c>
      <c r="I309" s="895" t="s">
        <v>61</v>
      </c>
      <c r="J309" s="894"/>
      <c r="K309" s="895" t="s">
        <v>865</v>
      </c>
      <c r="L309" s="894"/>
      <c r="M309" s="894"/>
      <c r="N309" s="895" t="s">
        <v>1276</v>
      </c>
      <c r="O309" s="892" t="s">
        <v>454</v>
      </c>
      <c r="P309" s="892" t="s">
        <v>84</v>
      </c>
      <c r="Q309" s="894"/>
      <c r="R309" s="895" t="s">
        <v>1277</v>
      </c>
      <c r="S309" s="892" t="s">
        <v>96</v>
      </c>
      <c r="T309" s="892">
        <v>2216.0</v>
      </c>
      <c r="U309" s="885" t="str">
        <f>IFERROR(VLOOKUP(N309,'Thông số'!$B:$F,5,0),"")</f>
        <v>2570 x 1200 x 1950</v>
      </c>
    </row>
    <row r="310" ht="14.25" customHeight="1">
      <c r="A310" s="891">
        <v>6.0</v>
      </c>
      <c r="B310" s="892" t="s">
        <v>1597</v>
      </c>
      <c r="C310" s="892" t="s">
        <v>1598</v>
      </c>
      <c r="D310" s="895" t="s">
        <v>6599</v>
      </c>
      <c r="E310" s="894"/>
      <c r="F310" s="894"/>
      <c r="G310" s="892" t="s">
        <v>857</v>
      </c>
      <c r="H310" s="895" t="s">
        <v>6517</v>
      </c>
      <c r="I310" s="895" t="s">
        <v>61</v>
      </c>
      <c r="J310" s="896">
        <v>45349.0</v>
      </c>
      <c r="K310" s="895" t="s">
        <v>865</v>
      </c>
      <c r="L310" s="894"/>
      <c r="M310" s="919" t="s">
        <v>1600</v>
      </c>
      <c r="N310" s="895" t="s">
        <v>860</v>
      </c>
      <c r="O310" s="892" t="s">
        <v>743</v>
      </c>
      <c r="P310" s="892" t="s">
        <v>148</v>
      </c>
      <c r="Q310" s="894"/>
      <c r="R310" s="895" t="s">
        <v>861</v>
      </c>
      <c r="S310" s="892" t="s">
        <v>96</v>
      </c>
      <c r="T310" s="892" t="s">
        <v>1601</v>
      </c>
      <c r="U310" s="885" t="str">
        <f>IFERROR(VLOOKUP(N310,'Thông số'!$B:$F,5,0),"")</f>
        <v>3226 x 1570 x 1545</v>
      </c>
    </row>
    <row r="311" ht="14.25" customHeight="1">
      <c r="A311" s="898">
        <v>7.0</v>
      </c>
      <c r="B311" s="899" t="s">
        <v>1627</v>
      </c>
      <c r="C311" s="899" t="s">
        <v>1628</v>
      </c>
      <c r="D311" s="901" t="s">
        <v>5953</v>
      </c>
      <c r="E311" s="902"/>
      <c r="F311" s="899" t="s">
        <v>5953</v>
      </c>
      <c r="G311" s="899" t="s">
        <v>946</v>
      </c>
      <c r="H311" s="901" t="s">
        <v>6483</v>
      </c>
      <c r="I311" s="895" t="s">
        <v>61</v>
      </c>
      <c r="J311" s="902"/>
      <c r="K311" s="901" t="s">
        <v>1027</v>
      </c>
      <c r="L311" s="902"/>
      <c r="M311" s="902"/>
      <c r="N311" s="902"/>
      <c r="O311" s="899" t="s">
        <v>1561</v>
      </c>
      <c r="P311" s="899" t="s">
        <v>912</v>
      </c>
      <c r="Q311" s="902"/>
      <c r="R311" s="902"/>
      <c r="S311" s="899" t="s">
        <v>1630</v>
      </c>
      <c r="T311" s="899" t="s">
        <v>96</v>
      </c>
      <c r="U311" s="885" t="str">
        <f>IFERROR(VLOOKUP(N311,'Thông số'!$B:$F,5,0),"")</f>
        <v/>
      </c>
    </row>
    <row r="312" ht="14.25" customHeight="1">
      <c r="A312" s="898">
        <v>8.0</v>
      </c>
      <c r="B312" s="899" t="s">
        <v>1602</v>
      </c>
      <c r="C312" s="899" t="s">
        <v>1603</v>
      </c>
      <c r="D312" s="902"/>
      <c r="E312" s="902"/>
      <c r="F312" s="902"/>
      <c r="G312" s="899" t="s">
        <v>857</v>
      </c>
      <c r="H312" s="901" t="s">
        <v>6517</v>
      </c>
      <c r="I312" s="895" t="s">
        <v>61</v>
      </c>
      <c r="J312" s="902"/>
      <c r="K312" s="901" t="s">
        <v>1027</v>
      </c>
      <c r="L312" s="902"/>
      <c r="M312" s="906" t="s">
        <v>1607</v>
      </c>
      <c r="N312" s="901" t="s">
        <v>860</v>
      </c>
      <c r="O312" s="899" t="s">
        <v>743</v>
      </c>
      <c r="P312" s="899" t="s">
        <v>148</v>
      </c>
      <c r="Q312" s="901">
        <v>2018.0</v>
      </c>
      <c r="R312" s="901" t="s">
        <v>861</v>
      </c>
      <c r="S312" s="899" t="s">
        <v>1608</v>
      </c>
      <c r="T312" s="899" t="s">
        <v>96</v>
      </c>
      <c r="U312" s="885" t="str">
        <f>IFERROR(VLOOKUP(N312,'Thông số'!$B:$F,5,0),"")</f>
        <v>3226 x 1570 x 1545</v>
      </c>
    </row>
    <row r="313" ht="14.25" customHeight="1">
      <c r="A313" s="898">
        <v>9.0</v>
      </c>
      <c r="B313" s="899" t="s">
        <v>1609</v>
      </c>
      <c r="C313" s="899" t="s">
        <v>1610</v>
      </c>
      <c r="D313" s="902"/>
      <c r="E313" s="902"/>
      <c r="F313" s="902"/>
      <c r="G313" s="899" t="s">
        <v>857</v>
      </c>
      <c r="H313" s="901" t="s">
        <v>6517</v>
      </c>
      <c r="I313" s="895" t="s">
        <v>61</v>
      </c>
      <c r="J313" s="902"/>
      <c r="K313" s="901" t="s">
        <v>1027</v>
      </c>
      <c r="L313" s="902"/>
      <c r="M313" s="906" t="s">
        <v>1611</v>
      </c>
      <c r="N313" s="901" t="s">
        <v>860</v>
      </c>
      <c r="O313" s="899" t="s">
        <v>743</v>
      </c>
      <c r="P313" s="899" t="s">
        <v>148</v>
      </c>
      <c r="Q313" s="901">
        <v>2018.0</v>
      </c>
      <c r="R313" s="901" t="s">
        <v>861</v>
      </c>
      <c r="S313" s="899" t="s">
        <v>1612</v>
      </c>
      <c r="T313" s="899" t="s">
        <v>96</v>
      </c>
      <c r="U313" s="885" t="str">
        <f>IFERROR(VLOOKUP(N313,'Thông số'!$B:$F,5,0),"")</f>
        <v>3226 x 1570 x 1545</v>
      </c>
    </row>
    <row r="314" ht="14.25" customHeight="1">
      <c r="A314" s="898">
        <v>10.0</v>
      </c>
      <c r="B314" s="899" t="s">
        <v>1410</v>
      </c>
      <c r="C314" s="899" t="s">
        <v>154</v>
      </c>
      <c r="D314" s="901" t="s">
        <v>1411</v>
      </c>
      <c r="E314" s="902"/>
      <c r="F314" s="902"/>
      <c r="G314" s="899" t="s">
        <v>4286</v>
      </c>
      <c r="H314" s="901" t="s">
        <v>6517</v>
      </c>
      <c r="I314" s="895" t="s">
        <v>61</v>
      </c>
      <c r="J314" s="903">
        <v>45590.0</v>
      </c>
      <c r="K314" s="901" t="s">
        <v>1027</v>
      </c>
      <c r="L314" s="902"/>
      <c r="M314" s="906" t="s">
        <v>336</v>
      </c>
      <c r="N314" s="901" t="s">
        <v>1416</v>
      </c>
      <c r="O314" s="899" t="s">
        <v>739</v>
      </c>
      <c r="P314" s="899" t="s">
        <v>260</v>
      </c>
      <c r="Q314" s="901">
        <v>2024.0</v>
      </c>
      <c r="R314" s="901" t="s">
        <v>1417</v>
      </c>
      <c r="S314" s="899" t="s">
        <v>1418</v>
      </c>
      <c r="T314" s="899" t="s">
        <v>1419</v>
      </c>
      <c r="U314" s="885" t="str">
        <f>IFERROR(VLOOKUP(N314,'Thông số'!$B:$F,5,0),"")</f>
        <v>3400 x 1570 x 2260</v>
      </c>
    </row>
    <row r="315" ht="14.25" customHeight="1">
      <c r="A315" s="898">
        <v>11.0</v>
      </c>
      <c r="B315" s="899" t="s">
        <v>1823</v>
      </c>
      <c r="C315" s="899" t="s">
        <v>6600</v>
      </c>
      <c r="D315" s="901" t="s">
        <v>1824</v>
      </c>
      <c r="E315" s="902"/>
      <c r="F315" s="899" t="s">
        <v>1824</v>
      </c>
      <c r="G315" s="899" t="s">
        <v>857</v>
      </c>
      <c r="H315" s="901" t="s">
        <v>6517</v>
      </c>
      <c r="I315" s="895" t="s">
        <v>61</v>
      </c>
      <c r="J315" s="902"/>
      <c r="K315" s="901" t="s">
        <v>1027</v>
      </c>
      <c r="L315" s="902"/>
      <c r="M315" s="906" t="s">
        <v>6601</v>
      </c>
      <c r="N315" s="901" t="s">
        <v>860</v>
      </c>
      <c r="O315" s="899" t="s">
        <v>743</v>
      </c>
      <c r="P315" s="899" t="s">
        <v>148</v>
      </c>
      <c r="Q315" s="901">
        <v>2018.0</v>
      </c>
      <c r="R315" s="901" t="s">
        <v>861</v>
      </c>
      <c r="S315" s="899" t="s">
        <v>1827</v>
      </c>
      <c r="T315" s="899" t="s">
        <v>96</v>
      </c>
      <c r="U315" s="885" t="str">
        <f>IFERROR(VLOOKUP(N315,'Thông số'!$B:$F,5,0),"")</f>
        <v>3226 x 1570 x 1545</v>
      </c>
    </row>
    <row r="316" ht="14.25" customHeight="1">
      <c r="A316" s="898">
        <v>12.0</v>
      </c>
      <c r="B316" s="936" t="s">
        <v>1618</v>
      </c>
      <c r="C316" s="937"/>
      <c r="D316" s="938" t="s">
        <v>1619</v>
      </c>
      <c r="E316" s="937"/>
      <c r="F316" s="937"/>
      <c r="G316" s="936" t="s">
        <v>1620</v>
      </c>
      <c r="H316" s="902"/>
      <c r="I316" s="895" t="s">
        <v>61</v>
      </c>
      <c r="J316" s="937"/>
      <c r="K316" s="901" t="s">
        <v>1027</v>
      </c>
      <c r="L316" s="937"/>
      <c r="M316" s="939" t="s">
        <v>336</v>
      </c>
      <c r="N316" s="940">
        <v>6200.0</v>
      </c>
      <c r="O316" s="936" t="s">
        <v>1623</v>
      </c>
      <c r="P316" s="936" t="s">
        <v>1624</v>
      </c>
      <c r="Q316" s="941">
        <v>1997.0</v>
      </c>
      <c r="R316" s="940" t="s">
        <v>4943</v>
      </c>
      <c r="S316" s="936" t="s">
        <v>1625</v>
      </c>
      <c r="T316" s="936" t="s">
        <v>1626</v>
      </c>
      <c r="U316" s="885" t="str">
        <f>IFERROR(VLOOKUP(N316,'Thông số'!$B:$F,5,0),"")</f>
        <v>4190 x 2170 x 2590</v>
      </c>
    </row>
    <row r="317" ht="14.25" customHeight="1">
      <c r="A317" s="898">
        <v>13.0</v>
      </c>
      <c r="B317" s="936" t="s">
        <v>1631</v>
      </c>
      <c r="C317" s="936" t="s">
        <v>1632</v>
      </c>
      <c r="D317" s="900"/>
      <c r="E317" s="937"/>
      <c r="F317" s="937"/>
      <c r="G317" s="936" t="s">
        <v>965</v>
      </c>
      <c r="H317" s="901" t="s">
        <v>6187</v>
      </c>
      <c r="I317" s="895" t="s">
        <v>61</v>
      </c>
      <c r="J317" s="942">
        <v>45503.0</v>
      </c>
      <c r="K317" s="901" t="s">
        <v>1027</v>
      </c>
      <c r="L317" s="943">
        <v>0.7</v>
      </c>
      <c r="M317" s="944" t="s">
        <v>1633</v>
      </c>
      <c r="N317" s="940" t="s">
        <v>969</v>
      </c>
      <c r="O317" s="936" t="s">
        <v>673</v>
      </c>
      <c r="P317" s="936" t="s">
        <v>968</v>
      </c>
      <c r="Q317" s="937"/>
      <c r="R317" s="940" t="s">
        <v>970</v>
      </c>
      <c r="S317" s="936" t="s">
        <v>1634</v>
      </c>
      <c r="T317" s="936" t="s">
        <v>1635</v>
      </c>
      <c r="U317" s="885" t="str">
        <f>IFERROR(VLOOKUP(N317,'Thông số'!$B:$F,5,0),"")</f>
        <v/>
      </c>
    </row>
    <row r="318" ht="14.25" customHeight="1">
      <c r="A318" s="882" t="s">
        <v>1645</v>
      </c>
      <c r="B318" s="883"/>
      <c r="C318" s="884">
        <v>124.0</v>
      </c>
      <c r="D318" s="883"/>
      <c r="E318" s="883"/>
      <c r="F318" s="883"/>
      <c r="G318" s="883"/>
      <c r="H318" s="902"/>
      <c r="I318" s="883"/>
      <c r="J318" s="883"/>
      <c r="K318" s="883"/>
      <c r="L318" s="883"/>
      <c r="M318" s="883"/>
      <c r="N318" s="883"/>
      <c r="O318" s="883"/>
      <c r="P318" s="883"/>
      <c r="Q318" s="883"/>
      <c r="R318" s="883"/>
      <c r="S318" s="883"/>
      <c r="T318" s="883"/>
      <c r="U318" s="885" t="str">
        <f>IFERROR(VLOOKUP(N318,'Thông số'!$B:$F,5,0),"")</f>
        <v/>
      </c>
    </row>
    <row r="319" ht="14.25" customHeight="1">
      <c r="A319" s="898">
        <v>1.0</v>
      </c>
      <c r="B319" s="899" t="s">
        <v>1647</v>
      </c>
      <c r="C319" s="899" t="s">
        <v>1648</v>
      </c>
      <c r="D319" s="901" t="s">
        <v>2053</v>
      </c>
      <c r="E319" s="902"/>
      <c r="F319" s="899" t="s">
        <v>3208</v>
      </c>
      <c r="G319" s="899" t="s">
        <v>844</v>
      </c>
      <c r="H319" s="901" t="s">
        <v>6520</v>
      </c>
      <c r="I319" s="901" t="s">
        <v>836</v>
      </c>
      <c r="J319" s="902"/>
      <c r="K319" s="901" t="s">
        <v>1027</v>
      </c>
      <c r="L319" s="902"/>
      <c r="M319" s="902"/>
      <c r="N319" s="901">
        <v>9540.0</v>
      </c>
      <c r="O319" s="899" t="s">
        <v>454</v>
      </c>
      <c r="P319" s="899" t="s">
        <v>84</v>
      </c>
      <c r="Q319" s="901">
        <v>2011.0</v>
      </c>
      <c r="R319" s="901" t="s">
        <v>845</v>
      </c>
      <c r="S319" s="899">
        <v>2340.0</v>
      </c>
      <c r="T319" s="899" t="s">
        <v>96</v>
      </c>
      <c r="U319" s="885" t="str">
        <f>IFERROR(VLOOKUP(N319,'Thông số'!$B:$F,5,0),"")</f>
        <v>3760 x 1900 x 2570</v>
      </c>
    </row>
    <row r="320" ht="14.25" customHeight="1">
      <c r="A320" s="891">
        <v>2.0</v>
      </c>
      <c r="B320" s="892" t="s">
        <v>1650</v>
      </c>
      <c r="C320" s="892" t="s">
        <v>1651</v>
      </c>
      <c r="D320" s="895" t="s">
        <v>2053</v>
      </c>
      <c r="E320" s="894"/>
      <c r="F320" s="892" t="s">
        <v>3209</v>
      </c>
      <c r="G320" s="892" t="s">
        <v>844</v>
      </c>
      <c r="H320" s="895" t="s">
        <v>6520</v>
      </c>
      <c r="I320" s="895" t="s">
        <v>836</v>
      </c>
      <c r="J320" s="894"/>
      <c r="K320" s="895" t="s">
        <v>865</v>
      </c>
      <c r="L320" s="894"/>
      <c r="M320" s="894"/>
      <c r="N320" s="895">
        <v>9540.0</v>
      </c>
      <c r="O320" s="892" t="s">
        <v>454</v>
      </c>
      <c r="P320" s="892" t="s">
        <v>84</v>
      </c>
      <c r="Q320" s="895">
        <v>2011.0</v>
      </c>
      <c r="R320" s="895" t="s">
        <v>845</v>
      </c>
      <c r="S320" s="892">
        <v>2807.0</v>
      </c>
      <c r="T320" s="892" t="s">
        <v>96</v>
      </c>
      <c r="U320" s="885" t="str">
        <f>IFERROR(VLOOKUP(N320,'Thông số'!$B:$F,5,0),"")</f>
        <v>3760 x 1900 x 2570</v>
      </c>
    </row>
    <row r="321" ht="14.25" customHeight="1">
      <c r="A321" s="891">
        <v>3.0</v>
      </c>
      <c r="B321" s="892" t="s">
        <v>1652</v>
      </c>
      <c r="C321" s="892" t="s">
        <v>1653</v>
      </c>
      <c r="D321" s="895" t="s">
        <v>2053</v>
      </c>
      <c r="E321" s="894"/>
      <c r="F321" s="892" t="s">
        <v>3210</v>
      </c>
      <c r="G321" s="892" t="s">
        <v>844</v>
      </c>
      <c r="H321" s="895" t="s">
        <v>6520</v>
      </c>
      <c r="I321" s="895" t="s">
        <v>836</v>
      </c>
      <c r="J321" s="894"/>
      <c r="K321" s="895" t="s">
        <v>865</v>
      </c>
      <c r="L321" s="894"/>
      <c r="M321" s="894"/>
      <c r="N321" s="895">
        <v>9540.0</v>
      </c>
      <c r="O321" s="892" t="s">
        <v>454</v>
      </c>
      <c r="P321" s="892" t="s">
        <v>84</v>
      </c>
      <c r="Q321" s="895">
        <v>2011.0</v>
      </c>
      <c r="R321" s="895" t="s">
        <v>845</v>
      </c>
      <c r="S321" s="892">
        <v>2796.0</v>
      </c>
      <c r="T321" s="892" t="s">
        <v>96</v>
      </c>
      <c r="U321" s="885" t="str">
        <f>IFERROR(VLOOKUP(N321,'Thông số'!$B:$F,5,0),"")</f>
        <v>3760 x 1900 x 2570</v>
      </c>
    </row>
    <row r="322" ht="14.25" customHeight="1">
      <c r="A322" s="898">
        <v>4.0</v>
      </c>
      <c r="B322" s="899" t="s">
        <v>1654</v>
      </c>
      <c r="C322" s="899" t="s">
        <v>1655</v>
      </c>
      <c r="D322" s="901" t="s">
        <v>1422</v>
      </c>
      <c r="E322" s="902"/>
      <c r="F322" s="902"/>
      <c r="G322" s="899" t="s">
        <v>788</v>
      </c>
      <c r="H322" s="901" t="s">
        <v>6517</v>
      </c>
      <c r="I322" s="901" t="s">
        <v>836</v>
      </c>
      <c r="J322" s="902"/>
      <c r="K322" s="901" t="s">
        <v>1027</v>
      </c>
      <c r="L322" s="902"/>
      <c r="M322" s="902"/>
      <c r="N322" s="901" t="s">
        <v>791</v>
      </c>
      <c r="O322" s="899" t="s">
        <v>454</v>
      </c>
      <c r="P322" s="899" t="s">
        <v>84</v>
      </c>
      <c r="Q322" s="901">
        <v>2013.0</v>
      </c>
      <c r="R322" s="901" t="s">
        <v>792</v>
      </c>
      <c r="S322" s="899">
        <v>57274.0</v>
      </c>
      <c r="T322" s="899">
        <v>9237.0</v>
      </c>
      <c r="U322" s="885" t="str">
        <f>IFERROR(VLOOKUP(N322,'Thông số'!$B:$F,5,0),"")</f>
        <v>3445 x 1865 x 2535</v>
      </c>
    </row>
    <row r="323" ht="14.25" customHeight="1">
      <c r="A323" s="898">
        <v>5.0</v>
      </c>
      <c r="B323" s="899" t="s">
        <v>1421</v>
      </c>
      <c r="C323" s="899" t="s">
        <v>6602</v>
      </c>
      <c r="D323" s="901" t="s">
        <v>1422</v>
      </c>
      <c r="E323" s="902"/>
      <c r="F323" s="902"/>
      <c r="G323" s="899" t="s">
        <v>788</v>
      </c>
      <c r="H323" s="901" t="s">
        <v>6517</v>
      </c>
      <c r="I323" s="901" t="s">
        <v>836</v>
      </c>
      <c r="J323" s="902"/>
      <c r="K323" s="901" t="s">
        <v>1027</v>
      </c>
      <c r="L323" s="902"/>
      <c r="M323" s="902"/>
      <c r="N323" s="901" t="s">
        <v>791</v>
      </c>
      <c r="O323" s="899" t="s">
        <v>454</v>
      </c>
      <c r="P323" s="899" t="s">
        <v>84</v>
      </c>
      <c r="Q323" s="901">
        <v>2013.0</v>
      </c>
      <c r="R323" s="901" t="s">
        <v>792</v>
      </c>
      <c r="S323" s="899">
        <v>57121.0</v>
      </c>
      <c r="T323" s="899">
        <v>7542.0</v>
      </c>
      <c r="U323" s="885" t="str">
        <f>IFERROR(VLOOKUP(N323,'Thông số'!$B:$F,5,0),"")</f>
        <v>3445 x 1865 x 2535</v>
      </c>
    </row>
    <row r="324" ht="14.25" customHeight="1">
      <c r="A324" s="891">
        <v>6.0</v>
      </c>
      <c r="B324" s="892" t="s">
        <v>1657</v>
      </c>
      <c r="C324" s="892" t="s">
        <v>1658</v>
      </c>
      <c r="D324" s="895" t="s">
        <v>6603</v>
      </c>
      <c r="E324" s="894"/>
      <c r="F324" s="894"/>
      <c r="G324" s="892" t="s">
        <v>687</v>
      </c>
      <c r="H324" s="895" t="s">
        <v>6520</v>
      </c>
      <c r="I324" s="895" t="s">
        <v>836</v>
      </c>
      <c r="J324" s="894"/>
      <c r="K324" s="895" t="s">
        <v>865</v>
      </c>
      <c r="L324" s="894"/>
      <c r="M324" s="894"/>
      <c r="N324" s="895">
        <v>6603.0</v>
      </c>
      <c r="O324" s="892" t="s">
        <v>689</v>
      </c>
      <c r="P324" s="892" t="s">
        <v>690</v>
      </c>
      <c r="Q324" s="895">
        <v>2008.0</v>
      </c>
      <c r="R324" s="895" t="s">
        <v>271</v>
      </c>
      <c r="S324" s="892">
        <v>5956.0</v>
      </c>
      <c r="T324" s="892" t="s">
        <v>96</v>
      </c>
      <c r="U324" s="885" t="str">
        <f>IFERROR(VLOOKUP(N324,'Thông số'!$B:$F,5,0),"")</f>
        <v>4200 x 2600 x 2900</v>
      </c>
    </row>
    <row r="325" ht="14.25" customHeight="1">
      <c r="A325" s="891">
        <v>7.0</v>
      </c>
      <c r="B325" s="892" t="s">
        <v>1659</v>
      </c>
      <c r="C325" s="892" t="s">
        <v>1660</v>
      </c>
      <c r="D325" s="895" t="s">
        <v>6604</v>
      </c>
      <c r="E325" s="894"/>
      <c r="F325" s="894"/>
      <c r="G325" s="892" t="s">
        <v>687</v>
      </c>
      <c r="H325" s="895" t="s">
        <v>6520</v>
      </c>
      <c r="I325" s="895" t="s">
        <v>836</v>
      </c>
      <c r="J325" s="894"/>
      <c r="K325" s="895" t="s">
        <v>865</v>
      </c>
      <c r="L325" s="894"/>
      <c r="M325" s="894"/>
      <c r="N325" s="895">
        <v>6603.0</v>
      </c>
      <c r="O325" s="892" t="s">
        <v>689</v>
      </c>
      <c r="P325" s="892" t="s">
        <v>690</v>
      </c>
      <c r="Q325" s="895">
        <v>2008.0</v>
      </c>
      <c r="R325" s="895" t="s">
        <v>271</v>
      </c>
      <c r="S325" s="892">
        <v>32551.0</v>
      </c>
      <c r="T325" s="892" t="s">
        <v>96</v>
      </c>
      <c r="U325" s="885" t="str">
        <f>IFERROR(VLOOKUP(N325,'Thông số'!$B:$F,5,0),"")</f>
        <v>4200 x 2600 x 2900</v>
      </c>
    </row>
    <row r="326" ht="14.25" customHeight="1">
      <c r="A326" s="898">
        <v>8.0</v>
      </c>
      <c r="B326" s="899" t="s">
        <v>1662</v>
      </c>
      <c r="C326" s="899" t="s">
        <v>1663</v>
      </c>
      <c r="D326" s="901" t="s">
        <v>6605</v>
      </c>
      <c r="E326" s="902"/>
      <c r="F326" s="902"/>
      <c r="G326" s="899" t="s">
        <v>857</v>
      </c>
      <c r="H326" s="901" t="s">
        <v>6517</v>
      </c>
      <c r="I326" s="901" t="s">
        <v>836</v>
      </c>
      <c r="J326" s="902"/>
      <c r="K326" s="901" t="s">
        <v>1027</v>
      </c>
      <c r="L326" s="902"/>
      <c r="M326" s="902"/>
      <c r="N326" s="901" t="s">
        <v>860</v>
      </c>
      <c r="O326" s="899" t="s">
        <v>743</v>
      </c>
      <c r="P326" s="899" t="s">
        <v>148</v>
      </c>
      <c r="Q326" s="901">
        <v>2018.0</v>
      </c>
      <c r="R326" s="901" t="s">
        <v>861</v>
      </c>
      <c r="S326" s="899">
        <v>87.0</v>
      </c>
      <c r="T326" s="899">
        <v>80.0</v>
      </c>
      <c r="U326" s="885" t="str">
        <f>IFERROR(VLOOKUP(N326,'Thông số'!$B:$F,5,0),"")</f>
        <v>3226 x 1570 x 1545</v>
      </c>
    </row>
    <row r="327" ht="14.25" customHeight="1">
      <c r="A327" s="898">
        <v>9.0</v>
      </c>
      <c r="B327" s="899" t="s">
        <v>1665</v>
      </c>
      <c r="C327" s="899" t="s">
        <v>1666</v>
      </c>
      <c r="D327" s="901" t="s">
        <v>6606</v>
      </c>
      <c r="E327" s="902"/>
      <c r="F327" s="902"/>
      <c r="G327" s="899" t="s">
        <v>788</v>
      </c>
      <c r="H327" s="901" t="s">
        <v>6517</v>
      </c>
      <c r="I327" s="901" t="s">
        <v>836</v>
      </c>
      <c r="J327" s="902"/>
      <c r="K327" s="901" t="s">
        <v>1027</v>
      </c>
      <c r="L327" s="902"/>
      <c r="M327" s="902"/>
      <c r="N327" s="901" t="s">
        <v>791</v>
      </c>
      <c r="O327" s="899" t="s">
        <v>454</v>
      </c>
      <c r="P327" s="899" t="s">
        <v>84</v>
      </c>
      <c r="Q327" s="901">
        <v>2013.0</v>
      </c>
      <c r="R327" s="901" t="s">
        <v>792</v>
      </c>
      <c r="S327" s="899" t="s">
        <v>1668</v>
      </c>
      <c r="T327" s="899" t="s">
        <v>96</v>
      </c>
      <c r="U327" s="885" t="str">
        <f>IFERROR(VLOOKUP(N327,'Thông số'!$B:$F,5,0),"")</f>
        <v>3445 x 1865 x 2535</v>
      </c>
    </row>
    <row r="328" ht="14.25" customHeight="1">
      <c r="A328" s="891">
        <v>10.0</v>
      </c>
      <c r="B328" s="892" t="s">
        <v>1669</v>
      </c>
      <c r="C328" s="892" t="s">
        <v>1670</v>
      </c>
      <c r="D328" s="895" t="s">
        <v>6607</v>
      </c>
      <c r="E328" s="894"/>
      <c r="F328" s="894"/>
      <c r="G328" s="892" t="s">
        <v>857</v>
      </c>
      <c r="H328" s="895" t="s">
        <v>6517</v>
      </c>
      <c r="I328" s="895" t="s">
        <v>836</v>
      </c>
      <c r="J328" s="894"/>
      <c r="K328" s="895" t="s">
        <v>865</v>
      </c>
      <c r="L328" s="894"/>
      <c r="M328" s="894"/>
      <c r="N328" s="895" t="s">
        <v>860</v>
      </c>
      <c r="O328" s="892" t="s">
        <v>743</v>
      </c>
      <c r="P328" s="892" t="s">
        <v>148</v>
      </c>
      <c r="Q328" s="895">
        <v>2018.0</v>
      </c>
      <c r="R328" s="895" t="s">
        <v>861</v>
      </c>
      <c r="S328" s="892" t="s">
        <v>1673</v>
      </c>
      <c r="T328" s="892">
        <v>180012.0</v>
      </c>
      <c r="U328" s="885" t="str">
        <f>IFERROR(VLOOKUP(N328,'Thông số'!$B:$F,5,0),"")</f>
        <v>3226 x 1570 x 1545</v>
      </c>
    </row>
    <row r="329" ht="14.25" customHeight="1">
      <c r="A329" s="898">
        <v>11.0</v>
      </c>
      <c r="B329" s="899" t="s">
        <v>1584</v>
      </c>
      <c r="C329" s="899" t="s">
        <v>6608</v>
      </c>
      <c r="D329" s="901" t="s">
        <v>6609</v>
      </c>
      <c r="E329" s="902"/>
      <c r="F329" s="902"/>
      <c r="G329" s="899" t="s">
        <v>857</v>
      </c>
      <c r="H329" s="901" t="s">
        <v>6517</v>
      </c>
      <c r="I329" s="901" t="s">
        <v>836</v>
      </c>
      <c r="J329" s="902"/>
      <c r="K329" s="901" t="s">
        <v>1027</v>
      </c>
      <c r="L329" s="902"/>
      <c r="M329" s="902"/>
      <c r="N329" s="901" t="s">
        <v>860</v>
      </c>
      <c r="O329" s="899" t="s">
        <v>743</v>
      </c>
      <c r="P329" s="899" t="s">
        <v>148</v>
      </c>
      <c r="Q329" s="901">
        <v>2018.0</v>
      </c>
      <c r="R329" s="901" t="s">
        <v>861</v>
      </c>
      <c r="S329" s="899" t="s">
        <v>1586</v>
      </c>
      <c r="T329" s="899">
        <v>180001.0</v>
      </c>
      <c r="U329" s="885" t="str">
        <f>IFERROR(VLOOKUP(N329,'Thông số'!$B:$F,5,0),"")</f>
        <v>3226 x 1570 x 1545</v>
      </c>
    </row>
    <row r="330" ht="14.25" customHeight="1">
      <c r="A330" s="891">
        <v>12.0</v>
      </c>
      <c r="B330" s="892" t="s">
        <v>1674</v>
      </c>
      <c r="C330" s="892" t="s">
        <v>1675</v>
      </c>
      <c r="D330" s="895" t="s">
        <v>3212</v>
      </c>
      <c r="E330" s="894"/>
      <c r="F330" s="892" t="s">
        <v>3212</v>
      </c>
      <c r="G330" s="892" t="s">
        <v>701</v>
      </c>
      <c r="H330" s="895" t="s">
        <v>6524</v>
      </c>
      <c r="I330" s="895" t="s">
        <v>836</v>
      </c>
      <c r="J330" s="896">
        <v>45292.0</v>
      </c>
      <c r="K330" s="895" t="s">
        <v>865</v>
      </c>
      <c r="L330" s="897">
        <v>0.97</v>
      </c>
      <c r="M330" s="894"/>
      <c r="N330" s="895">
        <v>5090.0</v>
      </c>
      <c r="O330" s="892" t="s">
        <v>689</v>
      </c>
      <c r="P330" s="892" t="s">
        <v>690</v>
      </c>
      <c r="Q330" s="895">
        <v>2022.0</v>
      </c>
      <c r="R330" s="895" t="s">
        <v>705</v>
      </c>
      <c r="S330" s="892">
        <v>4073059.0</v>
      </c>
      <c r="T330" s="892">
        <v>26911.0</v>
      </c>
      <c r="U330" s="885" t="str">
        <f>IFERROR(VLOOKUP(N330,'Thông số'!$B:$F,5,0),"")</f>
        <v>4100 x 2100 x 2600</v>
      </c>
    </row>
    <row r="331" ht="14.25" customHeight="1">
      <c r="A331" s="898">
        <v>13.0</v>
      </c>
      <c r="B331" s="899" t="s">
        <v>1676</v>
      </c>
      <c r="C331" s="899" t="s">
        <v>1675</v>
      </c>
      <c r="D331" s="901" t="s">
        <v>3213</v>
      </c>
      <c r="E331" s="902"/>
      <c r="F331" s="899" t="s">
        <v>3213</v>
      </c>
      <c r="G331" s="899" t="s">
        <v>701</v>
      </c>
      <c r="H331" s="901" t="s">
        <v>6524</v>
      </c>
      <c r="I331" s="901" t="s">
        <v>836</v>
      </c>
      <c r="J331" s="903">
        <v>45292.0</v>
      </c>
      <c r="K331" s="901" t="s">
        <v>1027</v>
      </c>
      <c r="L331" s="904">
        <v>0.97</v>
      </c>
      <c r="M331" s="902"/>
      <c r="N331" s="901">
        <v>5090.0</v>
      </c>
      <c r="O331" s="899" t="s">
        <v>689</v>
      </c>
      <c r="P331" s="899" t="s">
        <v>690</v>
      </c>
      <c r="Q331" s="901">
        <v>2022.0</v>
      </c>
      <c r="R331" s="901" t="s">
        <v>705</v>
      </c>
      <c r="S331" s="899">
        <v>4073056.0</v>
      </c>
      <c r="T331" s="899">
        <v>27085.0</v>
      </c>
      <c r="U331" s="885" t="str">
        <f>IFERROR(VLOOKUP(N331,'Thông số'!$B:$F,5,0),"")</f>
        <v>4100 x 2100 x 2600</v>
      </c>
    </row>
    <row r="332" ht="14.25" customHeight="1">
      <c r="A332" s="891">
        <v>14.0</v>
      </c>
      <c r="B332" s="892" t="s">
        <v>1677</v>
      </c>
      <c r="C332" s="892" t="s">
        <v>1678</v>
      </c>
      <c r="D332" s="895" t="s">
        <v>6610</v>
      </c>
      <c r="E332" s="894"/>
      <c r="F332" s="894"/>
      <c r="G332" s="892" t="s">
        <v>857</v>
      </c>
      <c r="H332" s="895" t="s">
        <v>6517</v>
      </c>
      <c r="I332" s="895" t="s">
        <v>836</v>
      </c>
      <c r="J332" s="896">
        <v>45258.0</v>
      </c>
      <c r="K332" s="895" t="s">
        <v>865</v>
      </c>
      <c r="L332" s="894"/>
      <c r="M332" s="894"/>
      <c r="N332" s="895" t="s">
        <v>860</v>
      </c>
      <c r="O332" s="892" t="s">
        <v>743</v>
      </c>
      <c r="P332" s="892" t="s">
        <v>148</v>
      </c>
      <c r="Q332" s="895">
        <v>2018.0</v>
      </c>
      <c r="R332" s="895" t="s">
        <v>861</v>
      </c>
      <c r="S332" s="892">
        <v>180090.0</v>
      </c>
      <c r="T332" s="892" t="s">
        <v>96</v>
      </c>
      <c r="U332" s="885" t="str">
        <f>IFERROR(VLOOKUP(N332,'Thông số'!$B:$F,5,0),"")</f>
        <v>3226 x 1570 x 1545</v>
      </c>
    </row>
    <row r="333" ht="14.25" customHeight="1">
      <c r="A333" s="898">
        <v>15.0</v>
      </c>
      <c r="B333" s="899" t="s">
        <v>1681</v>
      </c>
      <c r="C333" s="899" t="s">
        <v>773</v>
      </c>
      <c r="D333" s="901" t="s">
        <v>3214</v>
      </c>
      <c r="E333" s="902"/>
      <c r="F333" s="899" t="s">
        <v>3214</v>
      </c>
      <c r="G333" s="899" t="s">
        <v>695</v>
      </c>
      <c r="H333" s="901" t="s">
        <v>6520</v>
      </c>
      <c r="I333" s="901" t="s">
        <v>836</v>
      </c>
      <c r="J333" s="903">
        <v>45366.0</v>
      </c>
      <c r="K333" s="901" t="s">
        <v>1027</v>
      </c>
      <c r="L333" s="902"/>
      <c r="M333" s="902"/>
      <c r="N333" s="901" t="s">
        <v>697</v>
      </c>
      <c r="O333" s="899" t="s">
        <v>689</v>
      </c>
      <c r="P333" s="899" t="s">
        <v>690</v>
      </c>
      <c r="Q333" s="901">
        <v>2022.0</v>
      </c>
      <c r="R333" s="901" t="s">
        <v>271</v>
      </c>
      <c r="S333" s="899" t="s">
        <v>1682</v>
      </c>
      <c r="T333" s="899" t="s">
        <v>1683</v>
      </c>
      <c r="U333" s="885" t="str">
        <f>IFERROR(VLOOKUP(N333,'Thông số'!$B:$F,5,0),"")</f>
        <v>4835 x 2600 x 2965</v>
      </c>
    </row>
    <row r="334" ht="14.25" customHeight="1">
      <c r="A334" s="898">
        <v>16.0</v>
      </c>
      <c r="B334" s="899" t="s">
        <v>1684</v>
      </c>
      <c r="C334" s="902"/>
      <c r="D334" s="901" t="s">
        <v>4185</v>
      </c>
      <c r="E334" s="902"/>
      <c r="F334" s="899" t="s">
        <v>4185</v>
      </c>
      <c r="G334" s="899" t="s">
        <v>1685</v>
      </c>
      <c r="H334" s="901" t="s">
        <v>6611</v>
      </c>
      <c r="I334" s="901" t="s">
        <v>836</v>
      </c>
      <c r="J334" s="903">
        <v>45355.0</v>
      </c>
      <c r="K334" s="901" t="s">
        <v>1027</v>
      </c>
      <c r="L334" s="904">
        <v>0.97</v>
      </c>
      <c r="M334" s="902"/>
      <c r="N334" s="901" t="s">
        <v>1686</v>
      </c>
      <c r="O334" s="899" t="s">
        <v>978</v>
      </c>
      <c r="P334" s="899" t="s">
        <v>883</v>
      </c>
      <c r="Q334" s="902"/>
      <c r="R334" s="901" t="s">
        <v>271</v>
      </c>
      <c r="S334" s="899" t="s">
        <v>1687</v>
      </c>
      <c r="T334" s="899" t="s">
        <v>1688</v>
      </c>
      <c r="U334" s="885" t="str">
        <f>IFERROR(VLOOKUP(N334,'Thông số'!$B:$F,5,0),"")</f>
        <v/>
      </c>
    </row>
    <row r="335" ht="14.25" customHeight="1">
      <c r="A335" s="898">
        <v>17.0</v>
      </c>
      <c r="B335" s="899" t="s">
        <v>1614</v>
      </c>
      <c r="C335" s="899" t="s">
        <v>6612</v>
      </c>
      <c r="D335" s="901" t="s">
        <v>6613</v>
      </c>
      <c r="E335" s="902"/>
      <c r="F335" s="902"/>
      <c r="G335" s="899" t="s">
        <v>788</v>
      </c>
      <c r="H335" s="901" t="s">
        <v>6517</v>
      </c>
      <c r="I335" s="901" t="s">
        <v>836</v>
      </c>
      <c r="J335" s="903">
        <v>45428.0</v>
      </c>
      <c r="K335" s="901" t="s">
        <v>1027</v>
      </c>
      <c r="L335" s="902"/>
      <c r="M335" s="906" t="s">
        <v>5252</v>
      </c>
      <c r="N335" s="901" t="s">
        <v>791</v>
      </c>
      <c r="O335" s="899" t="s">
        <v>454</v>
      </c>
      <c r="P335" s="899" t="s">
        <v>84</v>
      </c>
      <c r="Q335" s="901">
        <v>2013.0</v>
      </c>
      <c r="R335" s="901" t="s">
        <v>792</v>
      </c>
      <c r="S335" s="899" t="s">
        <v>1617</v>
      </c>
      <c r="T335" s="899" t="s">
        <v>96</v>
      </c>
      <c r="U335" s="885" t="str">
        <f>IFERROR(VLOOKUP(N335,'Thông số'!$B:$F,5,0),"")</f>
        <v>3445 x 1865 x 2535</v>
      </c>
    </row>
    <row r="336" ht="14.25" customHeight="1">
      <c r="A336" s="898">
        <v>18.0</v>
      </c>
      <c r="B336" s="899" t="s">
        <v>1689</v>
      </c>
      <c r="C336" s="899" t="s">
        <v>1690</v>
      </c>
      <c r="D336" s="901" t="s">
        <v>6614</v>
      </c>
      <c r="E336" s="902"/>
      <c r="F336" s="902"/>
      <c r="G336" s="899" t="s">
        <v>857</v>
      </c>
      <c r="H336" s="901" t="s">
        <v>6517</v>
      </c>
      <c r="I336" s="901" t="s">
        <v>836</v>
      </c>
      <c r="J336" s="903">
        <v>45489.0</v>
      </c>
      <c r="K336" s="901" t="s">
        <v>1027</v>
      </c>
      <c r="L336" s="902"/>
      <c r="M336" s="945" t="s">
        <v>1691</v>
      </c>
      <c r="N336" s="901" t="s">
        <v>860</v>
      </c>
      <c r="O336" s="899" t="s">
        <v>743</v>
      </c>
      <c r="P336" s="899" t="s">
        <v>148</v>
      </c>
      <c r="Q336" s="901">
        <v>2018.0</v>
      </c>
      <c r="R336" s="901" t="s">
        <v>861</v>
      </c>
      <c r="S336" s="899" t="s">
        <v>1692</v>
      </c>
      <c r="T336" s="899" t="s">
        <v>96</v>
      </c>
      <c r="U336" s="885" t="str">
        <f>IFERROR(VLOOKUP(N336,'Thông số'!$B:$F,5,0),"")</f>
        <v>3226 x 1570 x 1545</v>
      </c>
    </row>
    <row r="337" ht="14.25" customHeight="1">
      <c r="A337" s="898">
        <v>19.0</v>
      </c>
      <c r="B337" s="899" t="s">
        <v>1693</v>
      </c>
      <c r="C337" s="902"/>
      <c r="D337" s="901" t="s">
        <v>4206</v>
      </c>
      <c r="E337" s="902"/>
      <c r="F337" s="899" t="s">
        <v>4206</v>
      </c>
      <c r="G337" s="899" t="s">
        <v>1694</v>
      </c>
      <c r="H337" s="901" t="s">
        <v>6611</v>
      </c>
      <c r="I337" s="901" t="s">
        <v>836</v>
      </c>
      <c r="J337" s="903">
        <v>45495.0</v>
      </c>
      <c r="K337" s="901" t="s">
        <v>1027</v>
      </c>
      <c r="L337" s="904">
        <v>0.97</v>
      </c>
      <c r="M337" s="902"/>
      <c r="N337" s="901" t="s">
        <v>1697</v>
      </c>
      <c r="O337" s="899" t="s">
        <v>673</v>
      </c>
      <c r="P337" s="899" t="s">
        <v>883</v>
      </c>
      <c r="Q337" s="902"/>
      <c r="R337" s="901" t="s">
        <v>845</v>
      </c>
      <c r="S337" s="899">
        <v>50478.0</v>
      </c>
      <c r="T337" s="899" t="s">
        <v>96</v>
      </c>
      <c r="U337" s="885" t="str">
        <f>IFERROR(VLOOKUP(N337,'Thông số'!$B:$F,5,0),"")</f>
        <v/>
      </c>
    </row>
    <row r="338" ht="14.25" customHeight="1">
      <c r="A338" s="898">
        <v>20.0</v>
      </c>
      <c r="B338" s="905" t="s">
        <v>1698</v>
      </c>
      <c r="C338" s="905" t="s">
        <v>154</v>
      </c>
      <c r="D338" s="907" t="s">
        <v>6615</v>
      </c>
      <c r="E338" s="908"/>
      <c r="F338" s="908"/>
      <c r="G338" s="905" t="s">
        <v>695</v>
      </c>
      <c r="H338" s="901" t="s">
        <v>6520</v>
      </c>
      <c r="I338" s="907" t="s">
        <v>836</v>
      </c>
      <c r="J338" s="909">
        <v>45503.0</v>
      </c>
      <c r="K338" s="901" t="s">
        <v>1027</v>
      </c>
      <c r="L338" s="908"/>
      <c r="M338" s="908"/>
      <c r="N338" s="907" t="s">
        <v>697</v>
      </c>
      <c r="O338" s="899" t="s">
        <v>689</v>
      </c>
      <c r="P338" s="905" t="s">
        <v>732</v>
      </c>
      <c r="Q338" s="907">
        <v>2024.0</v>
      </c>
      <c r="R338" s="907" t="s">
        <v>271</v>
      </c>
      <c r="S338" s="905" t="s">
        <v>1699</v>
      </c>
      <c r="T338" s="905" t="s">
        <v>1700</v>
      </c>
      <c r="U338" s="885" t="str">
        <f>IFERROR(VLOOKUP(N338,'Thông số'!$B:$F,5,0),"")</f>
        <v>4835 x 2600 x 2965</v>
      </c>
    </row>
    <row r="339" ht="14.25" customHeight="1">
      <c r="A339" s="898">
        <v>21.0</v>
      </c>
      <c r="B339" s="905" t="s">
        <v>1701</v>
      </c>
      <c r="C339" s="905" t="s">
        <v>1702</v>
      </c>
      <c r="D339" s="907" t="s">
        <v>6616</v>
      </c>
      <c r="E339" s="908"/>
      <c r="F339" s="908"/>
      <c r="G339" s="905" t="s">
        <v>695</v>
      </c>
      <c r="H339" s="901" t="s">
        <v>6520</v>
      </c>
      <c r="I339" s="907" t="s">
        <v>836</v>
      </c>
      <c r="J339" s="909">
        <v>45503.0</v>
      </c>
      <c r="K339" s="901" t="s">
        <v>1027</v>
      </c>
      <c r="L339" s="908"/>
      <c r="M339" s="908"/>
      <c r="N339" s="907" t="s">
        <v>697</v>
      </c>
      <c r="O339" s="899" t="s">
        <v>689</v>
      </c>
      <c r="P339" s="905" t="s">
        <v>732</v>
      </c>
      <c r="Q339" s="907">
        <v>2024.0</v>
      </c>
      <c r="R339" s="907" t="s">
        <v>271</v>
      </c>
      <c r="S339" s="905" t="s">
        <v>1703</v>
      </c>
      <c r="T339" s="905" t="s">
        <v>1704</v>
      </c>
      <c r="U339" s="885" t="str">
        <f>IFERROR(VLOOKUP(N339,'Thông số'!$B:$F,5,0),"")</f>
        <v>4835 x 2600 x 2965</v>
      </c>
    </row>
    <row r="340" ht="14.25" customHeight="1">
      <c r="A340" s="891">
        <v>22.0</v>
      </c>
      <c r="B340" s="892" t="s">
        <v>1705</v>
      </c>
      <c r="C340" s="892" t="s">
        <v>139</v>
      </c>
      <c r="D340" s="895" t="s">
        <v>6617</v>
      </c>
      <c r="E340" s="894"/>
      <c r="F340" s="894"/>
      <c r="G340" s="892" t="s">
        <v>1706</v>
      </c>
      <c r="H340" s="895" t="s">
        <v>6524</v>
      </c>
      <c r="I340" s="895" t="s">
        <v>836</v>
      </c>
      <c r="J340" s="896">
        <v>45534.0</v>
      </c>
      <c r="K340" s="895" t="s">
        <v>865</v>
      </c>
      <c r="L340" s="894"/>
      <c r="M340" s="894"/>
      <c r="N340" s="895">
        <v>5520.0</v>
      </c>
      <c r="O340" s="892" t="s">
        <v>689</v>
      </c>
      <c r="P340" s="892" t="s">
        <v>690</v>
      </c>
      <c r="Q340" s="895">
        <v>2004.0</v>
      </c>
      <c r="R340" s="895" t="s">
        <v>1708</v>
      </c>
      <c r="S340" s="892" t="s">
        <v>1709</v>
      </c>
      <c r="T340" s="892" t="s">
        <v>1710</v>
      </c>
      <c r="U340" s="885" t="str">
        <f>IFERROR(VLOOKUP(N340,'Thông số'!$B:$F,5,0),"")</f>
        <v>3840 x 1960 x 2550</v>
      </c>
    </row>
    <row r="341" ht="14.25" customHeight="1">
      <c r="A341" s="891">
        <v>23.0</v>
      </c>
      <c r="B341" s="892" t="s">
        <v>1711</v>
      </c>
      <c r="C341" s="892" t="s">
        <v>139</v>
      </c>
      <c r="D341" s="895" t="s">
        <v>6618</v>
      </c>
      <c r="E341" s="894"/>
      <c r="F341" s="894"/>
      <c r="G341" s="892" t="s">
        <v>1712</v>
      </c>
      <c r="H341" s="895" t="s">
        <v>6524</v>
      </c>
      <c r="I341" s="895" t="s">
        <v>836</v>
      </c>
      <c r="J341" s="896">
        <v>45534.0</v>
      </c>
      <c r="K341" s="895" t="s">
        <v>865</v>
      </c>
      <c r="L341" s="894"/>
      <c r="M341" s="894"/>
      <c r="N341" s="895">
        <v>5510.0</v>
      </c>
      <c r="O341" s="892" t="s">
        <v>689</v>
      </c>
      <c r="P341" s="892" t="s">
        <v>690</v>
      </c>
      <c r="Q341" s="895">
        <v>2004.0</v>
      </c>
      <c r="R341" s="895" t="s">
        <v>1708</v>
      </c>
      <c r="S341" s="892" t="s">
        <v>1713</v>
      </c>
      <c r="T341" s="892" t="s">
        <v>1714</v>
      </c>
      <c r="U341" s="885" t="str">
        <f>IFERROR(VLOOKUP(N341,'Thông số'!$B:$F,5,0),"")</f>
        <v>3510 x 1740 x 2550</v>
      </c>
    </row>
    <row r="342" ht="14.25" customHeight="1">
      <c r="A342" s="891">
        <v>24.0</v>
      </c>
      <c r="B342" s="892" t="s">
        <v>1715</v>
      </c>
      <c r="C342" s="892" t="s">
        <v>139</v>
      </c>
      <c r="D342" s="895" t="s">
        <v>6619</v>
      </c>
      <c r="E342" s="894"/>
      <c r="F342" s="894"/>
      <c r="G342" s="892" t="s">
        <v>1620</v>
      </c>
      <c r="H342" s="895" t="s">
        <v>6524</v>
      </c>
      <c r="I342" s="895" t="s">
        <v>836</v>
      </c>
      <c r="J342" s="896">
        <v>45538.0</v>
      </c>
      <c r="K342" s="895" t="s">
        <v>865</v>
      </c>
      <c r="L342" s="894"/>
      <c r="M342" s="894"/>
      <c r="N342" s="895">
        <v>6200.0</v>
      </c>
      <c r="O342" s="892" t="s">
        <v>689</v>
      </c>
      <c r="P342" s="892" t="s">
        <v>795</v>
      </c>
      <c r="Q342" s="895">
        <v>1998.0</v>
      </c>
      <c r="R342" s="895" t="s">
        <v>6620</v>
      </c>
      <c r="S342" s="892" t="s">
        <v>1716</v>
      </c>
      <c r="T342" s="892" t="s">
        <v>1717</v>
      </c>
      <c r="U342" s="885" t="str">
        <f>IFERROR(VLOOKUP(N342,'Thông số'!$B:$F,5,0),"")</f>
        <v>4190 x 2170 x 2590</v>
      </c>
    </row>
    <row r="343" ht="14.25" customHeight="1">
      <c r="A343" s="898">
        <v>25.0</v>
      </c>
      <c r="B343" s="899" t="s">
        <v>1718</v>
      </c>
      <c r="C343" s="905" t="s">
        <v>139</v>
      </c>
      <c r="D343" s="907" t="s">
        <v>6621</v>
      </c>
      <c r="E343" s="908"/>
      <c r="F343" s="902"/>
      <c r="G343" s="899" t="s">
        <v>1720</v>
      </c>
      <c r="H343" s="901" t="s">
        <v>6524</v>
      </c>
      <c r="I343" s="907" t="s">
        <v>836</v>
      </c>
      <c r="J343" s="903">
        <v>45538.0</v>
      </c>
      <c r="K343" s="901" t="s">
        <v>1027</v>
      </c>
      <c r="L343" s="902"/>
      <c r="M343" s="902"/>
      <c r="N343" s="901">
        <v>5425.0</v>
      </c>
      <c r="O343" s="899" t="s">
        <v>689</v>
      </c>
      <c r="P343" s="899" t="s">
        <v>690</v>
      </c>
      <c r="Q343" s="901">
        <v>2006.0</v>
      </c>
      <c r="R343" s="901" t="s">
        <v>1721</v>
      </c>
      <c r="S343" s="899" t="s">
        <v>1722</v>
      </c>
      <c r="T343" s="899" t="s">
        <v>1723</v>
      </c>
      <c r="U343" s="885" t="str">
        <f>IFERROR(VLOOKUP(N343,'Thông số'!$B:$F,5,0),"")</f>
        <v>3840 x 1740 x 2650</v>
      </c>
    </row>
    <row r="344" ht="14.25" customHeight="1">
      <c r="A344" s="898">
        <v>26.0</v>
      </c>
      <c r="B344" s="899" t="s">
        <v>1724</v>
      </c>
      <c r="C344" s="905" t="s">
        <v>1702</v>
      </c>
      <c r="D344" s="901" t="s">
        <v>1725</v>
      </c>
      <c r="E344" s="908"/>
      <c r="F344" s="902"/>
      <c r="G344" s="899" t="s">
        <v>1726</v>
      </c>
      <c r="H344" s="901" t="s">
        <v>6520</v>
      </c>
      <c r="I344" s="907" t="s">
        <v>836</v>
      </c>
      <c r="J344" s="903">
        <v>45590.0</v>
      </c>
      <c r="K344" s="901" t="s">
        <v>1027</v>
      </c>
      <c r="L344" s="902"/>
      <c r="M344" s="945" t="s">
        <v>890</v>
      </c>
      <c r="N344" s="901" t="s">
        <v>1729</v>
      </c>
      <c r="O344" s="899" t="s">
        <v>739</v>
      </c>
      <c r="P344" s="899" t="s">
        <v>260</v>
      </c>
      <c r="Q344" s="901">
        <v>2024.0</v>
      </c>
      <c r="R344" s="901" t="s">
        <v>1730</v>
      </c>
      <c r="S344" s="899" t="s">
        <v>1731</v>
      </c>
      <c r="T344" s="899" t="s">
        <v>1732</v>
      </c>
      <c r="U344" s="885" t="str">
        <f>IFERROR(VLOOKUP(N344,'Thông số'!$B:$F,5,0),"")</f>
        <v>4725 x 1910 x 3160</v>
      </c>
    </row>
    <row r="345" ht="14.25" customHeight="1">
      <c r="A345" s="891">
        <v>27.0</v>
      </c>
      <c r="B345" s="892" t="s">
        <v>1733</v>
      </c>
      <c r="C345" s="892" t="s">
        <v>1702</v>
      </c>
      <c r="D345" s="895" t="s">
        <v>1734</v>
      </c>
      <c r="E345" s="894"/>
      <c r="F345" s="894"/>
      <c r="G345" s="892" t="s">
        <v>1735</v>
      </c>
      <c r="H345" s="895" t="s">
        <v>6528</v>
      </c>
      <c r="I345" s="895" t="s">
        <v>836</v>
      </c>
      <c r="J345" s="896">
        <v>45591.0</v>
      </c>
      <c r="K345" s="895" t="s">
        <v>865</v>
      </c>
      <c r="L345" s="894"/>
      <c r="M345" s="946" t="s">
        <v>890</v>
      </c>
      <c r="N345" s="895" t="s">
        <v>1737</v>
      </c>
      <c r="O345" s="892" t="s">
        <v>739</v>
      </c>
      <c r="P345" s="892" t="s">
        <v>260</v>
      </c>
      <c r="Q345" s="895">
        <v>2024.0</v>
      </c>
      <c r="R345" s="895" t="s">
        <v>1738</v>
      </c>
      <c r="S345" s="892" t="s">
        <v>1739</v>
      </c>
      <c r="T345" s="892" t="s">
        <v>1740</v>
      </c>
      <c r="U345" s="885" t="str">
        <f>IFERROR(VLOOKUP(N345,'Thông số'!$B:$F,5,0),"")</f>
        <v>5300 x 2600 x 3150</v>
      </c>
    </row>
    <row r="346" ht="14.25" customHeight="1">
      <c r="A346" s="891">
        <v>28.0</v>
      </c>
      <c r="B346" s="892" t="s">
        <v>1741</v>
      </c>
      <c r="C346" s="892" t="s">
        <v>1742</v>
      </c>
      <c r="D346" s="894"/>
      <c r="E346" s="894"/>
      <c r="F346" s="892" t="s">
        <v>1824</v>
      </c>
      <c r="G346" s="892" t="s">
        <v>857</v>
      </c>
      <c r="H346" s="895" t="s">
        <v>6517</v>
      </c>
      <c r="I346" s="895" t="s">
        <v>836</v>
      </c>
      <c r="J346" s="896">
        <v>45659.0</v>
      </c>
      <c r="K346" s="895" t="s">
        <v>865</v>
      </c>
      <c r="L346" s="894"/>
      <c r="M346" s="946" t="s">
        <v>1743</v>
      </c>
      <c r="N346" s="895" t="s">
        <v>860</v>
      </c>
      <c r="O346" s="892" t="s">
        <v>743</v>
      </c>
      <c r="P346" s="892" t="s">
        <v>148</v>
      </c>
      <c r="Q346" s="895">
        <v>2018.0</v>
      </c>
      <c r="R346" s="895" t="s">
        <v>861</v>
      </c>
      <c r="S346" s="892" t="s">
        <v>1744</v>
      </c>
      <c r="T346" s="892" t="s">
        <v>96</v>
      </c>
      <c r="U346" s="885" t="str">
        <f>IFERROR(VLOOKUP(N346,'Thông số'!$B:$F,5,0),"")</f>
        <v>3226 x 1570 x 1545</v>
      </c>
    </row>
    <row r="347" ht="14.25" customHeight="1">
      <c r="A347" s="891">
        <v>29.0</v>
      </c>
      <c r="B347" s="892" t="s">
        <v>1745</v>
      </c>
      <c r="C347" s="892" t="s">
        <v>1746</v>
      </c>
      <c r="D347" s="895" t="s">
        <v>1747</v>
      </c>
      <c r="E347" s="894"/>
      <c r="F347" s="892" t="s">
        <v>1747</v>
      </c>
      <c r="G347" s="892" t="s">
        <v>687</v>
      </c>
      <c r="H347" s="895" t="s">
        <v>6520</v>
      </c>
      <c r="I347" s="895" t="s">
        <v>836</v>
      </c>
      <c r="J347" s="894"/>
      <c r="K347" s="895" t="s">
        <v>865</v>
      </c>
      <c r="L347" s="894"/>
      <c r="M347" s="919" t="s">
        <v>6622</v>
      </c>
      <c r="N347" s="895">
        <v>6603.0</v>
      </c>
      <c r="O347" s="892" t="s">
        <v>689</v>
      </c>
      <c r="P347" s="892" t="s">
        <v>690</v>
      </c>
      <c r="Q347" s="895">
        <v>2018.0</v>
      </c>
      <c r="R347" s="895" t="s">
        <v>271</v>
      </c>
      <c r="S347" s="892">
        <v>32550.0</v>
      </c>
      <c r="T347" s="892" t="s">
        <v>96</v>
      </c>
      <c r="U347" s="885" t="str">
        <f>IFERROR(VLOOKUP(N347,'Thông số'!$B:$F,5,0),"")</f>
        <v>4200 x 2600 x 2900</v>
      </c>
    </row>
    <row r="348" ht="14.25" customHeight="1">
      <c r="A348" s="898">
        <v>30.0</v>
      </c>
      <c r="B348" s="899" t="s">
        <v>1749</v>
      </c>
      <c r="C348" s="902"/>
      <c r="D348" s="902"/>
      <c r="E348" s="908"/>
      <c r="F348" s="902"/>
      <c r="G348" s="899" t="s">
        <v>782</v>
      </c>
      <c r="H348" s="901" t="s">
        <v>6526</v>
      </c>
      <c r="I348" s="907" t="s">
        <v>836</v>
      </c>
      <c r="J348" s="903">
        <v>45904.0</v>
      </c>
      <c r="K348" s="901" t="s">
        <v>1027</v>
      </c>
      <c r="L348" s="902"/>
      <c r="M348" s="906" t="s">
        <v>1750</v>
      </c>
      <c r="N348" s="901" t="s">
        <v>783</v>
      </c>
      <c r="O348" s="899" t="s">
        <v>689</v>
      </c>
      <c r="P348" s="899" t="s">
        <v>690</v>
      </c>
      <c r="Q348" s="901">
        <v>2024.0</v>
      </c>
      <c r="R348" s="901" t="s">
        <v>549</v>
      </c>
      <c r="S348" s="899" t="s">
        <v>1751</v>
      </c>
      <c r="T348" s="899" t="s">
        <v>1752</v>
      </c>
      <c r="U348" s="885" t="str">
        <f>IFERROR(VLOOKUP(N348,'Thông số'!$B:$F,5,0),"")</f>
        <v>4780 x 2550 x 3000</v>
      </c>
    </row>
    <row r="349" ht="14.25" customHeight="1">
      <c r="A349" s="898">
        <v>31.0</v>
      </c>
      <c r="B349" s="899" t="s">
        <v>1753</v>
      </c>
      <c r="C349" s="899" t="s">
        <v>1754</v>
      </c>
      <c r="D349" s="901" t="s">
        <v>1755</v>
      </c>
      <c r="E349" s="908"/>
      <c r="F349" s="902"/>
      <c r="G349" s="899" t="s">
        <v>695</v>
      </c>
      <c r="H349" s="901" t="s">
        <v>6520</v>
      </c>
      <c r="I349" s="907" t="s">
        <v>836</v>
      </c>
      <c r="J349" s="903">
        <v>45919.0</v>
      </c>
      <c r="K349" s="901" t="s">
        <v>1027</v>
      </c>
      <c r="L349" s="902"/>
      <c r="M349" s="902"/>
      <c r="N349" s="901" t="s">
        <v>697</v>
      </c>
      <c r="O349" s="899" t="s">
        <v>689</v>
      </c>
      <c r="P349" s="899" t="s">
        <v>260</v>
      </c>
      <c r="Q349" s="901">
        <v>2025.0</v>
      </c>
      <c r="R349" s="901" t="s">
        <v>271</v>
      </c>
      <c r="S349" s="899" t="s">
        <v>1757</v>
      </c>
      <c r="T349" s="899" t="s">
        <v>1758</v>
      </c>
      <c r="U349" s="885" t="str">
        <f>IFERROR(VLOOKUP(N349,'Thông số'!$B:$F,5,0),"")</f>
        <v>4835 x 2600 x 2965</v>
      </c>
    </row>
    <row r="350" ht="14.25" customHeight="1">
      <c r="A350" s="898">
        <v>32.0</v>
      </c>
      <c r="B350" s="899" t="s">
        <v>1759</v>
      </c>
      <c r="C350" s="899" t="s">
        <v>1754</v>
      </c>
      <c r="D350" s="901" t="s">
        <v>1760</v>
      </c>
      <c r="E350" s="908"/>
      <c r="F350" s="902"/>
      <c r="G350" s="899" t="s">
        <v>695</v>
      </c>
      <c r="H350" s="901" t="s">
        <v>6520</v>
      </c>
      <c r="I350" s="907" t="s">
        <v>836</v>
      </c>
      <c r="J350" s="903">
        <v>45919.0</v>
      </c>
      <c r="K350" s="901" t="s">
        <v>1027</v>
      </c>
      <c r="L350" s="902"/>
      <c r="M350" s="902"/>
      <c r="N350" s="901" t="s">
        <v>697</v>
      </c>
      <c r="O350" s="899" t="s">
        <v>689</v>
      </c>
      <c r="P350" s="899" t="s">
        <v>260</v>
      </c>
      <c r="Q350" s="901">
        <v>2025.0</v>
      </c>
      <c r="R350" s="901" t="s">
        <v>271</v>
      </c>
      <c r="S350" s="899" t="s">
        <v>1761</v>
      </c>
      <c r="T350" s="899" t="s">
        <v>1762</v>
      </c>
      <c r="U350" s="885" t="str">
        <f>IFERROR(VLOOKUP(N350,'Thông số'!$B:$F,5,0),"")</f>
        <v>4835 x 2600 x 2965</v>
      </c>
    </row>
    <row r="351" ht="14.25" customHeight="1">
      <c r="A351" s="898">
        <v>33.0</v>
      </c>
      <c r="B351" s="899" t="s">
        <v>1763</v>
      </c>
      <c r="C351" s="902"/>
      <c r="D351" s="901" t="s">
        <v>1764</v>
      </c>
      <c r="E351" s="908"/>
      <c r="F351" s="902"/>
      <c r="G351" s="899" t="s">
        <v>1620</v>
      </c>
      <c r="H351" s="901" t="s">
        <v>6524</v>
      </c>
      <c r="I351" s="907" t="s">
        <v>836</v>
      </c>
      <c r="J351" s="903">
        <v>45926.0</v>
      </c>
      <c r="K351" s="901" t="s">
        <v>1027</v>
      </c>
      <c r="L351" s="902"/>
      <c r="M351" s="902"/>
      <c r="N351" s="901">
        <v>6200.0</v>
      </c>
      <c r="O351" s="899" t="s">
        <v>689</v>
      </c>
      <c r="P351" s="902"/>
      <c r="Q351" s="902"/>
      <c r="R351" s="901" t="s">
        <v>6620</v>
      </c>
      <c r="S351" s="899" t="s">
        <v>1766</v>
      </c>
      <c r="T351" s="899" t="s">
        <v>1767</v>
      </c>
      <c r="U351" s="885" t="str">
        <f>IFERROR(VLOOKUP(N351,'Thông số'!$B:$F,5,0),"")</f>
        <v>4190 x 2170 x 2590</v>
      </c>
    </row>
    <row r="352" ht="14.25" customHeight="1">
      <c r="A352" s="898">
        <v>34.0</v>
      </c>
      <c r="B352" s="899" t="s">
        <v>1768</v>
      </c>
      <c r="C352" s="902"/>
      <c r="D352" s="901" t="s">
        <v>1769</v>
      </c>
      <c r="E352" s="908"/>
      <c r="F352" s="902"/>
      <c r="G352" s="899" t="s">
        <v>1770</v>
      </c>
      <c r="H352" s="901" t="s">
        <v>6520</v>
      </c>
      <c r="I352" s="907" t="s">
        <v>836</v>
      </c>
      <c r="J352" s="903">
        <v>45926.0</v>
      </c>
      <c r="K352" s="901" t="s">
        <v>1027</v>
      </c>
      <c r="L352" s="902"/>
      <c r="M352" s="902"/>
      <c r="N352" s="901">
        <v>6210.0</v>
      </c>
      <c r="O352" s="899" t="s">
        <v>689</v>
      </c>
      <c r="P352" s="902"/>
      <c r="Q352" s="902"/>
      <c r="R352" s="901" t="s">
        <v>6623</v>
      </c>
      <c r="S352" s="899" t="s">
        <v>1771</v>
      </c>
      <c r="T352" s="899" t="s">
        <v>1772</v>
      </c>
      <c r="U352" s="885" t="str">
        <f>IFERROR(VLOOKUP(N352,'Thông số'!$B:$F,5,0),"")</f>
        <v>4130 x 2030 x 2580</v>
      </c>
    </row>
    <row r="353" ht="14.25" customHeight="1">
      <c r="A353" s="898">
        <v>35.0</v>
      </c>
      <c r="B353" s="899" t="s">
        <v>1773</v>
      </c>
      <c r="C353" s="902"/>
      <c r="D353" s="901" t="s">
        <v>1774</v>
      </c>
      <c r="E353" s="908"/>
      <c r="F353" s="902"/>
      <c r="G353" s="899" t="s">
        <v>1775</v>
      </c>
      <c r="H353" s="901" t="s">
        <v>6520</v>
      </c>
      <c r="I353" s="907" t="s">
        <v>836</v>
      </c>
      <c r="J353" s="903">
        <v>45926.0</v>
      </c>
      <c r="K353" s="901" t="s">
        <v>1027</v>
      </c>
      <c r="L353" s="902"/>
      <c r="M353" s="902"/>
      <c r="N353" s="901">
        <v>6620.0</v>
      </c>
      <c r="O353" s="899" t="s">
        <v>689</v>
      </c>
      <c r="P353" s="902"/>
      <c r="Q353" s="902"/>
      <c r="R353" s="901" t="s">
        <v>6624</v>
      </c>
      <c r="S353" s="899" t="s">
        <v>1777</v>
      </c>
      <c r="T353" s="899" t="s">
        <v>1778</v>
      </c>
      <c r="U353" s="885" t="str">
        <f>IFERROR(VLOOKUP(N353,'Thông số'!$B:$F,5,0),"")</f>
        <v>4705 x 2445 x 2864</v>
      </c>
    </row>
    <row r="354" ht="14.25" customHeight="1">
      <c r="A354" s="898">
        <v>36.0</v>
      </c>
      <c r="B354" s="899" t="s">
        <v>1787</v>
      </c>
      <c r="C354" s="899" t="s">
        <v>1754</v>
      </c>
      <c r="D354" s="901" t="s">
        <v>1788</v>
      </c>
      <c r="E354" s="908"/>
      <c r="F354" s="902"/>
      <c r="G354" s="899" t="s">
        <v>737</v>
      </c>
      <c r="H354" s="902"/>
      <c r="I354" s="907" t="s">
        <v>836</v>
      </c>
      <c r="J354" s="903">
        <v>46009.0</v>
      </c>
      <c r="K354" s="901" t="s">
        <v>1027</v>
      </c>
      <c r="L354" s="902"/>
      <c r="M354" s="947"/>
      <c r="N354" s="901">
        <v>1504.0</v>
      </c>
      <c r="O354" s="899" t="s">
        <v>739</v>
      </c>
      <c r="P354" s="899" t="s">
        <v>740</v>
      </c>
      <c r="Q354" s="901">
        <v>2025.0</v>
      </c>
      <c r="R354" s="901" t="s">
        <v>1863</v>
      </c>
      <c r="S354" s="899" t="s">
        <v>1789</v>
      </c>
      <c r="T354" s="899" t="s">
        <v>1790</v>
      </c>
      <c r="U354" s="885" t="str">
        <f>IFERROR(VLOOKUP(N354,'Thông số'!$B:$F,5,0),"")</f>
        <v>5300 x 2620 x 3010</v>
      </c>
    </row>
    <row r="355" ht="14.25" customHeight="1">
      <c r="A355" s="898">
        <v>37.0</v>
      </c>
      <c r="B355" s="899" t="s">
        <v>1795</v>
      </c>
      <c r="C355" s="899" t="s">
        <v>1754</v>
      </c>
      <c r="D355" s="901" t="s">
        <v>1796</v>
      </c>
      <c r="E355" s="908"/>
      <c r="F355" s="902"/>
      <c r="G355" s="899" t="s">
        <v>737</v>
      </c>
      <c r="H355" s="902"/>
      <c r="I355" s="907" t="s">
        <v>836</v>
      </c>
      <c r="J355" s="903">
        <v>46009.0</v>
      </c>
      <c r="K355" s="901" t="s">
        <v>1027</v>
      </c>
      <c r="L355" s="902"/>
      <c r="M355" s="947"/>
      <c r="N355" s="901">
        <v>1504.0</v>
      </c>
      <c r="O355" s="899" t="s">
        <v>739</v>
      </c>
      <c r="P355" s="899" t="s">
        <v>740</v>
      </c>
      <c r="Q355" s="901">
        <v>2025.0</v>
      </c>
      <c r="R355" s="901" t="s">
        <v>1863</v>
      </c>
      <c r="S355" s="899" t="s">
        <v>1797</v>
      </c>
      <c r="T355" s="899" t="s">
        <v>1798</v>
      </c>
      <c r="U355" s="885" t="str">
        <f>IFERROR(VLOOKUP(N355,'Thông số'!$B:$F,5,0),"")</f>
        <v>5300 x 2620 x 3010</v>
      </c>
    </row>
    <row r="356" ht="14.25" customHeight="1">
      <c r="A356" s="898">
        <v>38.0</v>
      </c>
      <c r="B356" s="899" t="s">
        <v>1874</v>
      </c>
      <c r="C356" s="899" t="s">
        <v>1754</v>
      </c>
      <c r="D356" s="901" t="s">
        <v>1875</v>
      </c>
      <c r="E356" s="908"/>
      <c r="F356" s="902"/>
      <c r="G356" s="899" t="s">
        <v>1876</v>
      </c>
      <c r="H356" s="901" t="s">
        <v>6611</v>
      </c>
      <c r="I356" s="907" t="s">
        <v>836</v>
      </c>
      <c r="J356" s="903">
        <v>45894.0</v>
      </c>
      <c r="K356" s="901" t="s">
        <v>1027</v>
      </c>
      <c r="L356" s="902"/>
      <c r="M356" s="947"/>
      <c r="N356" s="901" t="s">
        <v>1878</v>
      </c>
      <c r="O356" s="899" t="s">
        <v>739</v>
      </c>
      <c r="P356" s="899" t="s">
        <v>260</v>
      </c>
      <c r="Q356" s="901">
        <v>2025.0</v>
      </c>
      <c r="R356" s="901" t="s">
        <v>6625</v>
      </c>
      <c r="S356" s="899" t="s">
        <v>1880</v>
      </c>
      <c r="T356" s="899" t="s">
        <v>1881</v>
      </c>
      <c r="U356" s="885" t="str">
        <f>IFERROR(VLOOKUP(N356,'Thông số'!$B:$F,5,0),"")</f>
        <v/>
      </c>
    </row>
    <row r="357" ht="14.25" customHeight="1">
      <c r="A357" s="898">
        <v>39.0</v>
      </c>
      <c r="B357" s="899" t="s">
        <v>1882</v>
      </c>
      <c r="C357" s="899" t="s">
        <v>1883</v>
      </c>
      <c r="D357" s="901" t="s">
        <v>1884</v>
      </c>
      <c r="E357" s="908"/>
      <c r="F357" s="902"/>
      <c r="G357" s="899" t="s">
        <v>1885</v>
      </c>
      <c r="H357" s="901" t="s">
        <v>6611</v>
      </c>
      <c r="I357" s="907" t="s">
        <v>836</v>
      </c>
      <c r="J357" s="903">
        <v>45919.0</v>
      </c>
      <c r="K357" s="901" t="s">
        <v>1027</v>
      </c>
      <c r="L357" s="902"/>
      <c r="M357" s="947"/>
      <c r="N357" s="901" t="s">
        <v>1888</v>
      </c>
      <c r="O357" s="899" t="s">
        <v>1887</v>
      </c>
      <c r="P357" s="899" t="s">
        <v>148</v>
      </c>
      <c r="Q357" s="902"/>
      <c r="R357" s="901" t="s">
        <v>6626</v>
      </c>
      <c r="S357" s="899" t="s">
        <v>1889</v>
      </c>
      <c r="T357" s="899" t="s">
        <v>1890</v>
      </c>
      <c r="U357" s="885" t="str">
        <f>IFERROR(VLOOKUP(N357,'Thông số'!$B:$F,5,0),"")</f>
        <v>6800 x 3200 x 3400</v>
      </c>
    </row>
    <row r="358" ht="14.25" customHeight="1">
      <c r="A358" s="898">
        <v>40.0</v>
      </c>
      <c r="B358" s="899" t="s">
        <v>1891</v>
      </c>
      <c r="C358" s="899" t="s">
        <v>1754</v>
      </c>
      <c r="D358" s="901" t="s">
        <v>1892</v>
      </c>
      <c r="E358" s="908"/>
      <c r="F358" s="902"/>
      <c r="G358" s="899" t="s">
        <v>1893</v>
      </c>
      <c r="H358" s="902"/>
      <c r="I358" s="907" t="s">
        <v>836</v>
      </c>
      <c r="J358" s="903">
        <v>46006.0</v>
      </c>
      <c r="K358" s="901" t="s">
        <v>1027</v>
      </c>
      <c r="L358" s="902"/>
      <c r="M358" s="947"/>
      <c r="N358" s="901" t="s">
        <v>1895</v>
      </c>
      <c r="O358" s="899" t="s">
        <v>739</v>
      </c>
      <c r="P358" s="899" t="s">
        <v>260</v>
      </c>
      <c r="Q358" s="901">
        <v>2025.0</v>
      </c>
      <c r="R358" s="901" t="s">
        <v>1784</v>
      </c>
      <c r="S358" s="899" t="s">
        <v>1896</v>
      </c>
      <c r="T358" s="899" t="s">
        <v>1897</v>
      </c>
      <c r="U358" s="885" t="str">
        <f>IFERROR(VLOOKUP(N358,'Thông số'!$B:$F,5,0),"")</f>
        <v/>
      </c>
    </row>
    <row r="359" ht="14.25" customHeight="1">
      <c r="A359" s="898">
        <v>41.0</v>
      </c>
      <c r="B359" s="899" t="s">
        <v>1912</v>
      </c>
      <c r="C359" s="899" t="s">
        <v>1913</v>
      </c>
      <c r="D359" s="901" t="s">
        <v>5960</v>
      </c>
      <c r="E359" s="908"/>
      <c r="F359" s="899" t="s">
        <v>5960</v>
      </c>
      <c r="G359" s="899" t="s">
        <v>1783</v>
      </c>
      <c r="H359" s="901" t="s">
        <v>5961</v>
      </c>
      <c r="I359" s="901" t="s">
        <v>836</v>
      </c>
      <c r="J359" s="902"/>
      <c r="K359" s="901" t="s">
        <v>1027</v>
      </c>
      <c r="L359" s="902"/>
      <c r="M359" s="902"/>
      <c r="N359" s="901" t="s">
        <v>1916</v>
      </c>
      <c r="O359" s="899" t="s">
        <v>1915</v>
      </c>
      <c r="P359" s="899" t="s">
        <v>883</v>
      </c>
      <c r="Q359" s="902"/>
      <c r="R359" s="901" t="s">
        <v>1917</v>
      </c>
      <c r="S359" s="899">
        <v>90516.0</v>
      </c>
      <c r="T359" s="899" t="s">
        <v>96</v>
      </c>
      <c r="U359" s="885" t="str">
        <f>IFERROR(VLOOKUP(N359,'Thông số'!$B:$F,5,0),"")</f>
        <v/>
      </c>
    </row>
    <row r="360" ht="14.25" customHeight="1">
      <c r="A360" s="891">
        <v>42.0</v>
      </c>
      <c r="B360" s="892" t="s">
        <v>1918</v>
      </c>
      <c r="C360" s="892" t="s">
        <v>1919</v>
      </c>
      <c r="D360" s="895" t="s">
        <v>6627</v>
      </c>
      <c r="E360" s="894"/>
      <c r="F360" s="894"/>
      <c r="G360" s="892" t="s">
        <v>1727</v>
      </c>
      <c r="H360" s="895" t="s">
        <v>5961</v>
      </c>
      <c r="I360" s="895" t="s">
        <v>836</v>
      </c>
      <c r="J360" s="894"/>
      <c r="K360" s="895" t="s">
        <v>865</v>
      </c>
      <c r="L360" s="894"/>
      <c r="M360" s="894"/>
      <c r="N360" s="895" t="s">
        <v>1920</v>
      </c>
      <c r="O360" s="892" t="s">
        <v>123</v>
      </c>
      <c r="P360" s="892" t="s">
        <v>84</v>
      </c>
      <c r="Q360" s="895">
        <v>2020.0</v>
      </c>
      <c r="R360" s="895" t="s">
        <v>1728</v>
      </c>
      <c r="S360" s="892">
        <v>50183.0</v>
      </c>
      <c r="T360" s="892" t="s">
        <v>96</v>
      </c>
      <c r="U360" s="885" t="str">
        <f>IFERROR(VLOOKUP(N360,'Thông số'!$B:$F,5,0),"")</f>
        <v>8259 x 2935 x 3384</v>
      </c>
    </row>
    <row r="361" ht="14.25" customHeight="1">
      <c r="A361" s="898">
        <v>43.0</v>
      </c>
      <c r="B361" s="899" t="s">
        <v>1921</v>
      </c>
      <c r="C361" s="899" t="s">
        <v>1922</v>
      </c>
      <c r="D361" s="901" t="s">
        <v>6628</v>
      </c>
      <c r="E361" s="902"/>
      <c r="F361" s="902"/>
      <c r="G361" s="899" t="s">
        <v>1695</v>
      </c>
      <c r="H361" s="901" t="s">
        <v>5961</v>
      </c>
      <c r="I361" s="901" t="s">
        <v>836</v>
      </c>
      <c r="J361" s="903">
        <v>44531.0</v>
      </c>
      <c r="K361" s="901" t="s">
        <v>1027</v>
      </c>
      <c r="L361" s="902"/>
      <c r="M361" s="902"/>
      <c r="N361" s="901" t="s">
        <v>1923</v>
      </c>
      <c r="O361" s="899" t="s">
        <v>123</v>
      </c>
      <c r="P361" s="899" t="s">
        <v>84</v>
      </c>
      <c r="Q361" s="901">
        <v>2020.0</v>
      </c>
      <c r="R361" s="901" t="s">
        <v>1924</v>
      </c>
      <c r="S361" s="899">
        <v>50100.0</v>
      </c>
      <c r="T361" s="899">
        <v>18033.0</v>
      </c>
      <c r="U361" s="885" t="str">
        <f>IFERROR(VLOOKUP(N361,'Thông số'!$B:$F,5,0),"")</f>
        <v>8020 x 2845 x 3375</v>
      </c>
    </row>
    <row r="362" ht="14.25" customHeight="1">
      <c r="A362" s="891">
        <v>44.0</v>
      </c>
      <c r="B362" s="892" t="s">
        <v>1925</v>
      </c>
      <c r="C362" s="892" t="s">
        <v>1675</v>
      </c>
      <c r="D362" s="895" t="s">
        <v>5965</v>
      </c>
      <c r="E362" s="894"/>
      <c r="F362" s="892" t="s">
        <v>5965</v>
      </c>
      <c r="G362" s="892" t="s">
        <v>1577</v>
      </c>
      <c r="H362" s="895" t="s">
        <v>5961</v>
      </c>
      <c r="I362" s="895" t="s">
        <v>836</v>
      </c>
      <c r="J362" s="896">
        <v>45292.0</v>
      </c>
      <c r="K362" s="895" t="s">
        <v>865</v>
      </c>
      <c r="L362" s="897">
        <v>0.98</v>
      </c>
      <c r="M362" s="894"/>
      <c r="N362" s="895" t="s">
        <v>1928</v>
      </c>
      <c r="O362" s="892" t="s">
        <v>1926</v>
      </c>
      <c r="P362" s="892" t="s">
        <v>1927</v>
      </c>
      <c r="Q362" s="895">
        <v>2018.0</v>
      </c>
      <c r="R362" s="895" t="s">
        <v>262</v>
      </c>
      <c r="S362" s="892" t="s">
        <v>1929</v>
      </c>
      <c r="T362" s="892" t="s">
        <v>6629</v>
      </c>
      <c r="U362" s="885" t="str">
        <f>IFERROR(VLOOKUP(N362,'Thông số'!$B:$F,5,0),"")</f>
        <v>3830 x 1810 x 1920</v>
      </c>
    </row>
    <row r="363" ht="14.25" customHeight="1">
      <c r="A363" s="898">
        <v>45.0</v>
      </c>
      <c r="B363" s="899" t="s">
        <v>1931</v>
      </c>
      <c r="C363" s="899" t="s">
        <v>1675</v>
      </c>
      <c r="D363" s="901" t="s">
        <v>5967</v>
      </c>
      <c r="E363" s="902"/>
      <c r="F363" s="899" t="s">
        <v>5967</v>
      </c>
      <c r="G363" s="899" t="s">
        <v>1434</v>
      </c>
      <c r="H363" s="901" t="s">
        <v>5961</v>
      </c>
      <c r="I363" s="901" t="s">
        <v>836</v>
      </c>
      <c r="J363" s="903">
        <v>45275.0</v>
      </c>
      <c r="K363" s="901" t="s">
        <v>1027</v>
      </c>
      <c r="L363" s="904">
        <v>0.97</v>
      </c>
      <c r="M363" s="906" t="s">
        <v>890</v>
      </c>
      <c r="N363" s="901" t="s">
        <v>1934</v>
      </c>
      <c r="O363" s="899" t="s">
        <v>1933</v>
      </c>
      <c r="P363" s="899" t="s">
        <v>883</v>
      </c>
      <c r="Q363" s="901">
        <v>2023.0</v>
      </c>
      <c r="R363" s="901" t="s">
        <v>6630</v>
      </c>
      <c r="S363" s="899" t="s">
        <v>1935</v>
      </c>
      <c r="T363" s="899" t="s">
        <v>1936</v>
      </c>
      <c r="U363" s="885" t="str">
        <f>IFERROR(VLOOKUP(N363,'Thông số'!$B:$F,5,0),"")</f>
        <v/>
      </c>
    </row>
    <row r="364" ht="14.25" customHeight="1">
      <c r="A364" s="898">
        <v>46.0</v>
      </c>
      <c r="B364" s="899" t="s">
        <v>1937</v>
      </c>
      <c r="C364" s="899" t="s">
        <v>1938</v>
      </c>
      <c r="D364" s="901" t="s">
        <v>5968</v>
      </c>
      <c r="E364" s="902"/>
      <c r="F364" s="899" t="s">
        <v>5968</v>
      </c>
      <c r="G364" s="899" t="s">
        <v>1396</v>
      </c>
      <c r="H364" s="901" t="s">
        <v>5961</v>
      </c>
      <c r="I364" s="901" t="s">
        <v>836</v>
      </c>
      <c r="J364" s="903">
        <v>45321.0</v>
      </c>
      <c r="K364" s="901" t="s">
        <v>1027</v>
      </c>
      <c r="L364" s="904">
        <v>0.98</v>
      </c>
      <c r="M364" s="906" t="s">
        <v>336</v>
      </c>
      <c r="N364" s="901" t="s">
        <v>1941</v>
      </c>
      <c r="O364" s="899" t="s">
        <v>6631</v>
      </c>
      <c r="P364" s="899" t="s">
        <v>260</v>
      </c>
      <c r="Q364" s="901">
        <v>2022.0</v>
      </c>
      <c r="R364" s="901" t="s">
        <v>413</v>
      </c>
      <c r="S364" s="899" t="s">
        <v>1942</v>
      </c>
      <c r="T364" s="899" t="s">
        <v>1943</v>
      </c>
      <c r="U364" s="885" t="str">
        <f>IFERROR(VLOOKUP(N364,'Thông số'!$B:$F,5,0),"")</f>
        <v/>
      </c>
    </row>
    <row r="365" ht="14.25" customHeight="1">
      <c r="A365" s="891">
        <v>47.0</v>
      </c>
      <c r="B365" s="892" t="s">
        <v>1944</v>
      </c>
      <c r="C365" s="892" t="s">
        <v>1938</v>
      </c>
      <c r="D365" s="895" t="s">
        <v>6632</v>
      </c>
      <c r="E365" s="894"/>
      <c r="F365" s="894"/>
      <c r="G365" s="892" t="s">
        <v>1464</v>
      </c>
      <c r="H365" s="895" t="s">
        <v>5961</v>
      </c>
      <c r="I365" s="895" t="s">
        <v>836</v>
      </c>
      <c r="J365" s="896">
        <v>45485.0</v>
      </c>
      <c r="K365" s="895" t="s">
        <v>865</v>
      </c>
      <c r="L365" s="897">
        <v>0.99</v>
      </c>
      <c r="M365" s="919" t="s">
        <v>336</v>
      </c>
      <c r="N365" s="895" t="s">
        <v>1945</v>
      </c>
      <c r="O365" s="892" t="s">
        <v>1933</v>
      </c>
      <c r="P365" s="892" t="s">
        <v>260</v>
      </c>
      <c r="Q365" s="895">
        <v>2024.0</v>
      </c>
      <c r="R365" s="895" t="s">
        <v>1465</v>
      </c>
      <c r="S365" s="892" t="s">
        <v>1946</v>
      </c>
      <c r="T365" s="892" t="s">
        <v>1947</v>
      </c>
      <c r="U365" s="885" t="str">
        <f>IFERROR(VLOOKUP(N365,'Thông số'!$B:$F,5,0),"")</f>
        <v/>
      </c>
    </row>
    <row r="366" ht="14.25" customHeight="1">
      <c r="A366" s="891">
        <v>48.0</v>
      </c>
      <c r="B366" s="892" t="s">
        <v>1948</v>
      </c>
      <c r="C366" s="892" t="s">
        <v>1938</v>
      </c>
      <c r="D366" s="895" t="s">
        <v>1949</v>
      </c>
      <c r="E366" s="894"/>
      <c r="F366" s="894"/>
      <c r="G366" s="892" t="s">
        <v>1540</v>
      </c>
      <c r="H366" s="895" t="s">
        <v>5961</v>
      </c>
      <c r="I366" s="895" t="s">
        <v>836</v>
      </c>
      <c r="J366" s="896">
        <v>45520.0</v>
      </c>
      <c r="K366" s="895" t="s">
        <v>865</v>
      </c>
      <c r="L366" s="894"/>
      <c r="M366" s="919" t="s">
        <v>336</v>
      </c>
      <c r="N366" s="895" t="s">
        <v>1951</v>
      </c>
      <c r="O366" s="892" t="s">
        <v>1933</v>
      </c>
      <c r="P366" s="892" t="s">
        <v>260</v>
      </c>
      <c r="Q366" s="895">
        <v>2024.0</v>
      </c>
      <c r="R366" s="895" t="s">
        <v>1465</v>
      </c>
      <c r="S366" s="892" t="s">
        <v>1952</v>
      </c>
      <c r="T366" s="892" t="s">
        <v>1953</v>
      </c>
      <c r="U366" s="885" t="str">
        <f>IFERROR(VLOOKUP(N366,'Thông số'!$B:$F,5,0),"")</f>
        <v/>
      </c>
    </row>
    <row r="367" ht="14.25" customHeight="1">
      <c r="A367" s="898">
        <v>49.0</v>
      </c>
      <c r="B367" s="899" t="s">
        <v>1954</v>
      </c>
      <c r="C367" s="902"/>
      <c r="D367" s="901" t="s">
        <v>1955</v>
      </c>
      <c r="E367" s="902"/>
      <c r="F367" s="902"/>
      <c r="G367" s="899" t="s">
        <v>1505</v>
      </c>
      <c r="H367" s="901" t="s">
        <v>5961</v>
      </c>
      <c r="I367" s="901" t="s">
        <v>836</v>
      </c>
      <c r="J367" s="903">
        <v>45660.0</v>
      </c>
      <c r="K367" s="901" t="s">
        <v>1027</v>
      </c>
      <c r="L367" s="902"/>
      <c r="M367" s="906" t="s">
        <v>336</v>
      </c>
      <c r="N367" s="901" t="s">
        <v>1956</v>
      </c>
      <c r="O367" s="899" t="s">
        <v>1933</v>
      </c>
      <c r="P367" s="899" t="s">
        <v>260</v>
      </c>
      <c r="Q367" s="901">
        <v>2024.0</v>
      </c>
      <c r="R367" s="901" t="s">
        <v>1465</v>
      </c>
      <c r="S367" s="899" t="s">
        <v>1957</v>
      </c>
      <c r="T367" s="899" t="s">
        <v>1958</v>
      </c>
      <c r="U367" s="885" t="str">
        <f>IFERROR(VLOOKUP(N367,'Thông số'!$B:$F,5,0),"")</f>
        <v/>
      </c>
    </row>
    <row r="368" ht="14.25" customHeight="1">
      <c r="A368" s="891">
        <v>50.0</v>
      </c>
      <c r="B368" s="892" t="s">
        <v>1959</v>
      </c>
      <c r="C368" s="894"/>
      <c r="D368" s="895" t="s">
        <v>1960</v>
      </c>
      <c r="E368" s="894"/>
      <c r="F368" s="894"/>
      <c r="G368" s="892" t="s">
        <v>1505</v>
      </c>
      <c r="H368" s="895" t="s">
        <v>5961</v>
      </c>
      <c r="I368" s="895" t="s">
        <v>836</v>
      </c>
      <c r="J368" s="896">
        <v>45660.0</v>
      </c>
      <c r="K368" s="895" t="s">
        <v>865</v>
      </c>
      <c r="L368" s="894"/>
      <c r="M368" s="919" t="s">
        <v>336</v>
      </c>
      <c r="N368" s="895" t="s">
        <v>1956</v>
      </c>
      <c r="O368" s="892" t="s">
        <v>1933</v>
      </c>
      <c r="P368" s="892" t="s">
        <v>260</v>
      </c>
      <c r="Q368" s="895">
        <v>2024.0</v>
      </c>
      <c r="R368" s="895" t="s">
        <v>1465</v>
      </c>
      <c r="S368" s="892" t="s">
        <v>1961</v>
      </c>
      <c r="T368" s="892" t="s">
        <v>1962</v>
      </c>
      <c r="U368" s="885" t="str">
        <f>IFERROR(VLOOKUP(N368,'Thông số'!$B:$F,5,0),"")</f>
        <v/>
      </c>
    </row>
    <row r="369" ht="14.25" customHeight="1">
      <c r="A369" s="898">
        <v>51.0</v>
      </c>
      <c r="B369" s="899" t="s">
        <v>1963</v>
      </c>
      <c r="C369" s="902"/>
      <c r="D369" s="901" t="s">
        <v>1964</v>
      </c>
      <c r="E369" s="902"/>
      <c r="F369" s="902"/>
      <c r="G369" s="899" t="s">
        <v>1605</v>
      </c>
      <c r="H369" s="902"/>
      <c r="I369" s="901" t="s">
        <v>836</v>
      </c>
      <c r="J369" s="903">
        <v>45910.0</v>
      </c>
      <c r="K369" s="901" t="s">
        <v>1027</v>
      </c>
      <c r="L369" s="902"/>
      <c r="M369" s="906" t="s">
        <v>336</v>
      </c>
      <c r="N369" s="901" t="s">
        <v>1965</v>
      </c>
      <c r="O369" s="899" t="s">
        <v>1940</v>
      </c>
      <c r="P369" s="899" t="s">
        <v>260</v>
      </c>
      <c r="Q369" s="901">
        <v>2025.0</v>
      </c>
      <c r="R369" s="901" t="s">
        <v>1606</v>
      </c>
      <c r="S369" s="899" t="s">
        <v>1966</v>
      </c>
      <c r="T369" s="899" t="s">
        <v>1967</v>
      </c>
      <c r="U369" s="885" t="str">
        <f>IFERROR(VLOOKUP(N369,'Thông số'!$B:$F,5,0),"")</f>
        <v/>
      </c>
    </row>
    <row r="370" ht="14.25" customHeight="1">
      <c r="A370" s="898">
        <v>52.0</v>
      </c>
      <c r="B370" s="899" t="s">
        <v>1968</v>
      </c>
      <c r="C370" s="902"/>
      <c r="D370" s="901" t="s">
        <v>1969</v>
      </c>
      <c r="E370" s="902"/>
      <c r="F370" s="902"/>
      <c r="G370" s="899" t="s">
        <v>1605</v>
      </c>
      <c r="H370" s="902"/>
      <c r="I370" s="901" t="s">
        <v>836</v>
      </c>
      <c r="J370" s="903">
        <v>45910.0</v>
      </c>
      <c r="K370" s="901" t="s">
        <v>1027</v>
      </c>
      <c r="L370" s="902"/>
      <c r="M370" s="906" t="s">
        <v>336</v>
      </c>
      <c r="N370" s="901" t="s">
        <v>1965</v>
      </c>
      <c r="O370" s="899" t="s">
        <v>1940</v>
      </c>
      <c r="P370" s="899" t="s">
        <v>260</v>
      </c>
      <c r="Q370" s="901">
        <v>2025.0</v>
      </c>
      <c r="R370" s="901" t="s">
        <v>1606</v>
      </c>
      <c r="S370" s="899" t="s">
        <v>1970</v>
      </c>
      <c r="T370" s="899" t="s">
        <v>1971</v>
      </c>
      <c r="U370" s="885" t="str">
        <f>IFERROR(VLOOKUP(N370,'Thông số'!$B:$F,5,0),"")</f>
        <v/>
      </c>
    </row>
    <row r="371" ht="14.25" customHeight="1">
      <c r="A371" s="898">
        <v>53.0</v>
      </c>
      <c r="B371" s="899" t="s">
        <v>1972</v>
      </c>
      <c r="C371" s="902"/>
      <c r="D371" s="901" t="s">
        <v>1973</v>
      </c>
      <c r="E371" s="902"/>
      <c r="F371" s="902"/>
      <c r="G371" s="899" t="s">
        <v>1649</v>
      </c>
      <c r="H371" s="902"/>
      <c r="I371" s="901" t="s">
        <v>836</v>
      </c>
      <c r="J371" s="903">
        <v>45924.0</v>
      </c>
      <c r="K371" s="901" t="s">
        <v>1027</v>
      </c>
      <c r="L371" s="902"/>
      <c r="M371" s="906" t="s">
        <v>1977</v>
      </c>
      <c r="N371" s="901" t="s">
        <v>1979</v>
      </c>
      <c r="O371" s="899" t="s">
        <v>1978</v>
      </c>
      <c r="P371" s="899" t="s">
        <v>662</v>
      </c>
      <c r="Q371" s="901">
        <v>2007.0</v>
      </c>
      <c r="R371" s="901" t="s">
        <v>101</v>
      </c>
      <c r="S371" s="899" t="s">
        <v>1980</v>
      </c>
      <c r="T371" s="899" t="s">
        <v>1981</v>
      </c>
      <c r="U371" s="885" t="str">
        <f>IFERROR(VLOOKUP(N371,'Thông số'!$B:$F,5,0),"")</f>
        <v/>
      </c>
    </row>
    <row r="372" ht="14.25" customHeight="1">
      <c r="A372" s="898">
        <v>54.0</v>
      </c>
      <c r="B372" s="899" t="s">
        <v>1982</v>
      </c>
      <c r="C372" s="902"/>
      <c r="D372" s="901" t="s">
        <v>1983</v>
      </c>
      <c r="E372" s="902"/>
      <c r="F372" s="902"/>
      <c r="G372" s="899" t="s">
        <v>1984</v>
      </c>
      <c r="H372" s="902"/>
      <c r="I372" s="901" t="s">
        <v>836</v>
      </c>
      <c r="J372" s="903">
        <v>45973.0</v>
      </c>
      <c r="K372" s="901" t="s">
        <v>1027</v>
      </c>
      <c r="L372" s="902"/>
      <c r="M372" s="906" t="s">
        <v>336</v>
      </c>
      <c r="N372" s="901" t="s">
        <v>1965</v>
      </c>
      <c r="O372" s="899" t="s">
        <v>1940</v>
      </c>
      <c r="P372" s="899" t="s">
        <v>260</v>
      </c>
      <c r="Q372" s="901">
        <v>2025.0</v>
      </c>
      <c r="R372" s="901" t="s">
        <v>6633</v>
      </c>
      <c r="S372" s="899" t="s">
        <v>1986</v>
      </c>
      <c r="T372" s="899" t="s">
        <v>1987</v>
      </c>
      <c r="U372" s="885" t="str">
        <f>IFERROR(VLOOKUP(N372,'Thông số'!$B:$F,5,0),"")</f>
        <v/>
      </c>
    </row>
    <row r="373" ht="14.25" customHeight="1">
      <c r="A373" s="898">
        <v>55.0</v>
      </c>
      <c r="B373" s="899" t="s">
        <v>1988</v>
      </c>
      <c r="C373" s="902"/>
      <c r="D373" s="901" t="s">
        <v>1989</v>
      </c>
      <c r="E373" s="902"/>
      <c r="F373" s="902"/>
      <c r="G373" s="899" t="s">
        <v>1290</v>
      </c>
      <c r="H373" s="902"/>
      <c r="I373" s="901" t="s">
        <v>836</v>
      </c>
      <c r="J373" s="903">
        <v>46025.0</v>
      </c>
      <c r="K373" s="901" t="s">
        <v>1027</v>
      </c>
      <c r="L373" s="902"/>
      <c r="M373" s="906" t="s">
        <v>336</v>
      </c>
      <c r="N373" s="901">
        <v>753.0</v>
      </c>
      <c r="O373" s="899" t="s">
        <v>1990</v>
      </c>
      <c r="P373" s="899" t="s">
        <v>1991</v>
      </c>
      <c r="Q373" s="902"/>
      <c r="R373" s="901" t="s">
        <v>1992</v>
      </c>
      <c r="S373" s="899">
        <v>5.11350401E8</v>
      </c>
      <c r="T373" s="899" t="s">
        <v>1993</v>
      </c>
      <c r="U373" s="885" t="str">
        <f>IFERROR(VLOOKUP(N373,'Thông số'!$B:$F,5,0),"")</f>
        <v/>
      </c>
    </row>
    <row r="374" ht="14.25" customHeight="1">
      <c r="A374" s="898">
        <v>56.0</v>
      </c>
      <c r="B374" s="899" t="s">
        <v>1994</v>
      </c>
      <c r="C374" s="902"/>
      <c r="D374" s="901" t="s">
        <v>1995</v>
      </c>
      <c r="E374" s="902"/>
      <c r="F374" s="902"/>
      <c r="G374" s="899" t="s">
        <v>1351</v>
      </c>
      <c r="H374" s="902"/>
      <c r="I374" s="901" t="s">
        <v>836</v>
      </c>
      <c r="J374" s="903">
        <v>46025.0</v>
      </c>
      <c r="K374" s="901" t="s">
        <v>1027</v>
      </c>
      <c r="L374" s="902"/>
      <c r="M374" s="906" t="s">
        <v>336</v>
      </c>
      <c r="N374" s="901">
        <v>763.0</v>
      </c>
      <c r="O374" s="899" t="s">
        <v>1990</v>
      </c>
      <c r="P374" s="899" t="s">
        <v>1991</v>
      </c>
      <c r="Q374" s="902"/>
      <c r="R374" s="901" t="s">
        <v>1996</v>
      </c>
      <c r="S374" s="899">
        <v>5.122157E8</v>
      </c>
      <c r="T374" s="899" t="s">
        <v>1997</v>
      </c>
      <c r="U374" s="885" t="str">
        <f>IFERROR(VLOOKUP(N374,'Thông số'!$B:$F,5,0),"")</f>
        <v/>
      </c>
    </row>
    <row r="375" ht="14.25" customHeight="1">
      <c r="A375" s="898">
        <v>57.0</v>
      </c>
      <c r="B375" s="899" t="s">
        <v>1998</v>
      </c>
      <c r="C375" s="902"/>
      <c r="D375" s="901" t="s">
        <v>5838</v>
      </c>
      <c r="E375" s="902"/>
      <c r="F375" s="899" t="s">
        <v>5838</v>
      </c>
      <c r="G375" s="899" t="s">
        <v>1346</v>
      </c>
      <c r="H375" s="902"/>
      <c r="I375" s="901" t="s">
        <v>836</v>
      </c>
      <c r="J375" s="902"/>
      <c r="K375" s="901" t="s">
        <v>1027</v>
      </c>
      <c r="L375" s="902"/>
      <c r="M375" s="902"/>
      <c r="N375" s="901" t="s">
        <v>1999</v>
      </c>
      <c r="O375" s="899" t="s">
        <v>123</v>
      </c>
      <c r="P375" s="899" t="s">
        <v>84</v>
      </c>
      <c r="Q375" s="901">
        <v>2015.0</v>
      </c>
      <c r="R375" s="901" t="s">
        <v>2000</v>
      </c>
      <c r="S375" s="899">
        <v>838092.0</v>
      </c>
      <c r="T375" s="899" t="s">
        <v>2001</v>
      </c>
      <c r="U375" s="885" t="str">
        <f>IFERROR(VLOOKUP(N375,'Thông số'!$B:$F,5,0),"")</f>
        <v/>
      </c>
    </row>
    <row r="376" ht="14.25" customHeight="1">
      <c r="A376" s="898">
        <v>58.0</v>
      </c>
      <c r="B376" s="899" t="s">
        <v>2002</v>
      </c>
      <c r="C376" s="899" t="s">
        <v>773</v>
      </c>
      <c r="D376" s="901" t="s">
        <v>5843</v>
      </c>
      <c r="E376" s="902"/>
      <c r="F376" s="899" t="s">
        <v>5843</v>
      </c>
      <c r="G376" s="899" t="s">
        <v>2004</v>
      </c>
      <c r="H376" s="901" t="s">
        <v>5841</v>
      </c>
      <c r="I376" s="901" t="s">
        <v>836</v>
      </c>
      <c r="J376" s="903">
        <v>45275.0</v>
      </c>
      <c r="K376" s="901" t="s">
        <v>1027</v>
      </c>
      <c r="L376" s="904">
        <v>0.97</v>
      </c>
      <c r="M376" s="906" t="s">
        <v>2005</v>
      </c>
      <c r="N376" s="901" t="s">
        <v>2006</v>
      </c>
      <c r="O376" s="899" t="s">
        <v>123</v>
      </c>
      <c r="P376" s="899" t="s">
        <v>84</v>
      </c>
      <c r="Q376" s="901">
        <v>2018.0</v>
      </c>
      <c r="R376" s="901" t="s">
        <v>1145</v>
      </c>
      <c r="S376" s="899">
        <v>308754.0</v>
      </c>
      <c r="T376" s="899" t="s">
        <v>96</v>
      </c>
      <c r="U376" s="885" t="str">
        <f>IFERROR(VLOOKUP(N376,'Thông số'!$B:$F,5,0),"")</f>
        <v/>
      </c>
    </row>
    <row r="377" ht="14.25" customHeight="1">
      <c r="A377" s="898">
        <v>59.0</v>
      </c>
      <c r="B377" s="899" t="s">
        <v>2007</v>
      </c>
      <c r="C377" s="902"/>
      <c r="D377" s="901" t="s">
        <v>5838</v>
      </c>
      <c r="E377" s="902"/>
      <c r="F377" s="899" t="s">
        <v>5838</v>
      </c>
      <c r="G377" s="899" t="s">
        <v>889</v>
      </c>
      <c r="H377" s="901" t="s">
        <v>5841</v>
      </c>
      <c r="I377" s="901" t="s">
        <v>836</v>
      </c>
      <c r="J377" s="902"/>
      <c r="K377" s="901" t="s">
        <v>1027</v>
      </c>
      <c r="L377" s="902"/>
      <c r="M377" s="906" t="s">
        <v>2005</v>
      </c>
      <c r="N377" s="901" t="s">
        <v>2008</v>
      </c>
      <c r="O377" s="899" t="s">
        <v>123</v>
      </c>
      <c r="P377" s="899" t="s">
        <v>84</v>
      </c>
      <c r="Q377" s="902"/>
      <c r="R377" s="901" t="s">
        <v>76</v>
      </c>
      <c r="S377" s="899">
        <v>806003.0</v>
      </c>
      <c r="T377" s="899" t="s">
        <v>96</v>
      </c>
      <c r="U377" s="885" t="str">
        <f>IFERROR(VLOOKUP(N377,'Thông số'!$B:$F,5,0),"")</f>
        <v/>
      </c>
    </row>
    <row r="378" ht="14.25" customHeight="1">
      <c r="A378" s="898">
        <v>60.0</v>
      </c>
      <c r="B378" s="899" t="s">
        <v>2009</v>
      </c>
      <c r="C378" s="902"/>
      <c r="D378" s="901" t="s">
        <v>2010</v>
      </c>
      <c r="E378" s="902"/>
      <c r="F378" s="902"/>
      <c r="G378" s="899" t="s">
        <v>2011</v>
      </c>
      <c r="H378" s="901" t="s">
        <v>5841</v>
      </c>
      <c r="I378" s="901" t="s">
        <v>836</v>
      </c>
      <c r="J378" s="903">
        <v>45674.0</v>
      </c>
      <c r="K378" s="901" t="s">
        <v>1027</v>
      </c>
      <c r="L378" s="902"/>
      <c r="M378" s="906" t="s">
        <v>890</v>
      </c>
      <c r="N378" s="901" t="s">
        <v>2013</v>
      </c>
      <c r="O378" s="899" t="s">
        <v>123</v>
      </c>
      <c r="P378" s="899" t="s">
        <v>84</v>
      </c>
      <c r="Q378" s="901">
        <v>2013.0</v>
      </c>
      <c r="R378" s="901" t="s">
        <v>76</v>
      </c>
      <c r="S378" s="899">
        <v>38377.0</v>
      </c>
      <c r="T378" s="899" t="s">
        <v>96</v>
      </c>
      <c r="U378" s="885" t="str">
        <f>IFERROR(VLOOKUP(N378,'Thông số'!$B:$F,5,0),"")</f>
        <v/>
      </c>
    </row>
    <row r="379" ht="14.25" customHeight="1">
      <c r="A379" s="898">
        <v>61.0</v>
      </c>
      <c r="B379" s="899" t="s">
        <v>2015</v>
      </c>
      <c r="C379" s="902"/>
      <c r="D379" s="901" t="s">
        <v>2016</v>
      </c>
      <c r="E379" s="902"/>
      <c r="F379" s="902"/>
      <c r="G379" s="905" t="s">
        <v>2017</v>
      </c>
      <c r="H379" s="901" t="s">
        <v>5841</v>
      </c>
      <c r="I379" s="901" t="s">
        <v>836</v>
      </c>
      <c r="J379" s="903">
        <v>45783.0</v>
      </c>
      <c r="K379" s="901" t="s">
        <v>1027</v>
      </c>
      <c r="L379" s="902"/>
      <c r="M379" s="906" t="s">
        <v>2018</v>
      </c>
      <c r="N379" s="901" t="s">
        <v>2019</v>
      </c>
      <c r="O379" s="905" t="s">
        <v>1157</v>
      </c>
      <c r="P379" s="899" t="s">
        <v>222</v>
      </c>
      <c r="Q379" s="901">
        <v>2024.0</v>
      </c>
      <c r="R379" s="901" t="s">
        <v>792</v>
      </c>
      <c r="S379" s="899" t="s">
        <v>2020</v>
      </c>
      <c r="T379" s="899" t="s">
        <v>2021</v>
      </c>
      <c r="U379" s="885" t="str">
        <f>IFERROR(VLOOKUP(N379,'Thông số'!$B:$F,5,0),"")</f>
        <v/>
      </c>
    </row>
    <row r="380" ht="14.25" customHeight="1">
      <c r="A380" s="898">
        <v>62.0</v>
      </c>
      <c r="B380" s="899" t="s">
        <v>2022</v>
      </c>
      <c r="C380" s="902"/>
      <c r="D380" s="901" t="s">
        <v>2023</v>
      </c>
      <c r="E380" s="902"/>
      <c r="F380" s="902"/>
      <c r="G380" s="905" t="s">
        <v>2017</v>
      </c>
      <c r="H380" s="901" t="s">
        <v>5841</v>
      </c>
      <c r="I380" s="901" t="s">
        <v>836</v>
      </c>
      <c r="J380" s="903">
        <v>45783.0</v>
      </c>
      <c r="K380" s="901" t="s">
        <v>1027</v>
      </c>
      <c r="L380" s="902"/>
      <c r="M380" s="906" t="s">
        <v>2024</v>
      </c>
      <c r="N380" s="901" t="s">
        <v>2019</v>
      </c>
      <c r="O380" s="905" t="s">
        <v>1157</v>
      </c>
      <c r="P380" s="899" t="s">
        <v>222</v>
      </c>
      <c r="Q380" s="901">
        <v>2024.0</v>
      </c>
      <c r="R380" s="901" t="s">
        <v>792</v>
      </c>
      <c r="S380" s="899" t="s">
        <v>2025</v>
      </c>
      <c r="T380" s="899" t="s">
        <v>2026</v>
      </c>
      <c r="U380" s="885" t="str">
        <f>IFERROR(VLOOKUP(N380,'Thông số'!$B:$F,5,0),"")</f>
        <v/>
      </c>
    </row>
    <row r="381" ht="14.25" customHeight="1">
      <c r="A381" s="898">
        <v>63.0</v>
      </c>
      <c r="B381" s="899" t="s">
        <v>1060</v>
      </c>
      <c r="C381" s="899" t="s">
        <v>2027</v>
      </c>
      <c r="D381" s="901" t="s">
        <v>1064</v>
      </c>
      <c r="E381" s="902"/>
      <c r="F381" s="899" t="s">
        <v>1064</v>
      </c>
      <c r="G381" s="899" t="s">
        <v>219</v>
      </c>
      <c r="H381" s="901" t="s">
        <v>6449</v>
      </c>
      <c r="I381" s="901" t="s">
        <v>836</v>
      </c>
      <c r="J381" s="902"/>
      <c r="K381" s="901" t="s">
        <v>1027</v>
      </c>
      <c r="L381" s="902"/>
      <c r="M381" s="906" t="s">
        <v>2028</v>
      </c>
      <c r="N381" s="901" t="s">
        <v>1428</v>
      </c>
      <c r="O381" s="899" t="s">
        <v>123</v>
      </c>
      <c r="P381" s="899" t="s">
        <v>84</v>
      </c>
      <c r="Q381" s="901">
        <v>2006.0</v>
      </c>
      <c r="R381" s="901" t="s">
        <v>462</v>
      </c>
      <c r="S381" s="899" t="s">
        <v>2030</v>
      </c>
      <c r="T381" s="899" t="s">
        <v>96</v>
      </c>
      <c r="U381" s="885" t="str">
        <f>IFERROR(VLOOKUP(N381,'Thông số'!$B:$F,5,0),"")</f>
        <v>5550 x 1960 x 2625</v>
      </c>
    </row>
    <row r="382" ht="14.25" customHeight="1">
      <c r="A382" s="898">
        <v>64.0</v>
      </c>
      <c r="B382" s="899" t="s">
        <v>2046</v>
      </c>
      <c r="C382" s="899" t="s">
        <v>2047</v>
      </c>
      <c r="D382" s="901" t="s">
        <v>6634</v>
      </c>
      <c r="E382" s="902"/>
      <c r="F382" s="902"/>
      <c r="G382" s="899" t="s">
        <v>2048</v>
      </c>
      <c r="H382" s="902"/>
      <c r="I382" s="901" t="s">
        <v>836</v>
      </c>
      <c r="J382" s="902"/>
      <c r="K382" s="901" t="s">
        <v>1027</v>
      </c>
      <c r="L382" s="902"/>
      <c r="M382" s="902"/>
      <c r="N382" s="901" t="s">
        <v>1144</v>
      </c>
      <c r="O382" s="899" t="s">
        <v>300</v>
      </c>
      <c r="P382" s="899" t="s">
        <v>148</v>
      </c>
      <c r="Q382" s="901">
        <v>2018.0</v>
      </c>
      <c r="R382" s="901" t="s">
        <v>112</v>
      </c>
      <c r="S382" s="899" t="s">
        <v>2049</v>
      </c>
      <c r="T382" s="899" t="s">
        <v>2050</v>
      </c>
      <c r="U382" s="885" t="str">
        <f>IFERROR(VLOOKUP(N382,'Thông số'!$B:$F,5,0),"")</f>
        <v>8800 x 2500 x 3700</v>
      </c>
    </row>
    <row r="383" ht="14.25" customHeight="1">
      <c r="A383" s="891">
        <v>65.0</v>
      </c>
      <c r="B383" s="892" t="s">
        <v>2051</v>
      </c>
      <c r="C383" s="892" t="s">
        <v>1675</v>
      </c>
      <c r="D383" s="895" t="s">
        <v>5988</v>
      </c>
      <c r="E383" s="894"/>
      <c r="F383" s="892" t="s">
        <v>5988</v>
      </c>
      <c r="G383" s="892" t="s">
        <v>2052</v>
      </c>
      <c r="H383" s="894"/>
      <c r="I383" s="895" t="s">
        <v>836</v>
      </c>
      <c r="J383" s="896">
        <v>44927.0</v>
      </c>
      <c r="K383" s="895" t="s">
        <v>865</v>
      </c>
      <c r="L383" s="897">
        <v>0.97</v>
      </c>
      <c r="M383" s="919" t="s">
        <v>890</v>
      </c>
      <c r="N383" s="895" t="s">
        <v>2055</v>
      </c>
      <c r="O383" s="892" t="s">
        <v>300</v>
      </c>
      <c r="P383" s="892" t="s">
        <v>148</v>
      </c>
      <c r="Q383" s="895">
        <v>2017.0</v>
      </c>
      <c r="R383" s="895" t="s">
        <v>2056</v>
      </c>
      <c r="S383" s="892" t="s">
        <v>2057</v>
      </c>
      <c r="T383" s="892" t="s">
        <v>2058</v>
      </c>
      <c r="U383" s="885" t="str">
        <f>IFERROR(VLOOKUP(N383,'Thông số'!$B:$F,5,0),"")</f>
        <v/>
      </c>
    </row>
    <row r="384" ht="14.25" customHeight="1">
      <c r="A384" s="891">
        <v>66.0</v>
      </c>
      <c r="B384" s="892" t="s">
        <v>2059</v>
      </c>
      <c r="C384" s="892" t="s">
        <v>1675</v>
      </c>
      <c r="D384" s="895" t="s">
        <v>5991</v>
      </c>
      <c r="E384" s="894"/>
      <c r="F384" s="892" t="s">
        <v>5991</v>
      </c>
      <c r="G384" s="892" t="s">
        <v>2052</v>
      </c>
      <c r="H384" s="894"/>
      <c r="I384" s="895" t="s">
        <v>836</v>
      </c>
      <c r="J384" s="896">
        <v>44938.0</v>
      </c>
      <c r="K384" s="895" t="s">
        <v>865</v>
      </c>
      <c r="L384" s="897">
        <v>0.97</v>
      </c>
      <c r="M384" s="919" t="s">
        <v>890</v>
      </c>
      <c r="N384" s="895" t="s">
        <v>2055</v>
      </c>
      <c r="O384" s="892" t="s">
        <v>300</v>
      </c>
      <c r="P384" s="892" t="s">
        <v>148</v>
      </c>
      <c r="Q384" s="895">
        <v>2017.0</v>
      </c>
      <c r="R384" s="895" t="s">
        <v>2056</v>
      </c>
      <c r="S384" s="892" t="s">
        <v>2060</v>
      </c>
      <c r="T384" s="892" t="s">
        <v>2061</v>
      </c>
      <c r="U384" s="885" t="str">
        <f>IFERROR(VLOOKUP(N384,'Thông số'!$B:$F,5,0),"")</f>
        <v/>
      </c>
    </row>
    <row r="385" ht="14.25" customHeight="1">
      <c r="A385" s="898">
        <v>67.0</v>
      </c>
      <c r="B385" s="899" t="s">
        <v>2062</v>
      </c>
      <c r="C385" s="899" t="s">
        <v>1675</v>
      </c>
      <c r="D385" s="901" t="s">
        <v>5992</v>
      </c>
      <c r="E385" s="902"/>
      <c r="F385" s="899" t="s">
        <v>5992</v>
      </c>
      <c r="G385" s="899" t="s">
        <v>2052</v>
      </c>
      <c r="H385" s="902"/>
      <c r="I385" s="901" t="s">
        <v>836</v>
      </c>
      <c r="J385" s="903">
        <v>44938.0</v>
      </c>
      <c r="K385" s="901" t="s">
        <v>1027</v>
      </c>
      <c r="L385" s="904">
        <v>0.97</v>
      </c>
      <c r="M385" s="906" t="s">
        <v>890</v>
      </c>
      <c r="N385" s="901" t="s">
        <v>2055</v>
      </c>
      <c r="O385" s="899" t="s">
        <v>300</v>
      </c>
      <c r="P385" s="899" t="s">
        <v>148</v>
      </c>
      <c r="Q385" s="901">
        <v>2017.0</v>
      </c>
      <c r="R385" s="901" t="s">
        <v>2056</v>
      </c>
      <c r="S385" s="899" t="s">
        <v>2063</v>
      </c>
      <c r="T385" s="899" t="s">
        <v>2064</v>
      </c>
      <c r="U385" s="885" t="str">
        <f>IFERROR(VLOOKUP(N385,'Thông số'!$B:$F,5,0),"")</f>
        <v/>
      </c>
    </row>
    <row r="386" ht="14.25" customHeight="1">
      <c r="A386" s="898">
        <v>68.0</v>
      </c>
      <c r="B386" s="899" t="s">
        <v>2065</v>
      </c>
      <c r="C386" s="899" t="s">
        <v>1675</v>
      </c>
      <c r="D386" s="901" t="s">
        <v>6635</v>
      </c>
      <c r="E386" s="902"/>
      <c r="F386" s="902"/>
      <c r="G386" s="899" t="s">
        <v>2052</v>
      </c>
      <c r="H386" s="902"/>
      <c r="I386" s="901" t="s">
        <v>836</v>
      </c>
      <c r="J386" s="903">
        <v>45392.0</v>
      </c>
      <c r="K386" s="901" t="s">
        <v>1027</v>
      </c>
      <c r="L386" s="902"/>
      <c r="M386" s="906" t="s">
        <v>890</v>
      </c>
      <c r="N386" s="901" t="s">
        <v>2055</v>
      </c>
      <c r="O386" s="899" t="s">
        <v>300</v>
      </c>
      <c r="P386" s="899" t="s">
        <v>148</v>
      </c>
      <c r="Q386" s="901">
        <v>2017.0</v>
      </c>
      <c r="R386" s="901" t="s">
        <v>2056</v>
      </c>
      <c r="S386" s="899" t="s">
        <v>2066</v>
      </c>
      <c r="T386" s="899" t="s">
        <v>2067</v>
      </c>
      <c r="U386" s="885" t="str">
        <f>IFERROR(VLOOKUP(N386,'Thông số'!$B:$F,5,0),"")</f>
        <v/>
      </c>
    </row>
    <row r="387" ht="14.25" customHeight="1">
      <c r="A387" s="898">
        <v>69.0</v>
      </c>
      <c r="B387" s="899" t="s">
        <v>2068</v>
      </c>
      <c r="C387" s="899" t="s">
        <v>2069</v>
      </c>
      <c r="D387" s="901" t="s">
        <v>5973</v>
      </c>
      <c r="E387" s="902"/>
      <c r="F387" s="899" t="s">
        <v>5973</v>
      </c>
      <c r="G387" s="899" t="s">
        <v>2070</v>
      </c>
      <c r="H387" s="902"/>
      <c r="I387" s="901" t="s">
        <v>836</v>
      </c>
      <c r="J387" s="903">
        <v>44938.0</v>
      </c>
      <c r="K387" s="901" t="s">
        <v>1027</v>
      </c>
      <c r="L387" s="904">
        <v>0.97</v>
      </c>
      <c r="M387" s="902"/>
      <c r="N387" s="901" t="s">
        <v>315</v>
      </c>
      <c r="O387" s="899" t="s">
        <v>300</v>
      </c>
      <c r="P387" s="899" t="s">
        <v>148</v>
      </c>
      <c r="Q387" s="901">
        <v>2022.0</v>
      </c>
      <c r="R387" s="901" t="s">
        <v>278</v>
      </c>
      <c r="S387" s="899" t="s">
        <v>2071</v>
      </c>
      <c r="T387" s="899" t="s">
        <v>2072</v>
      </c>
      <c r="U387" s="885" t="str">
        <f>IFERROR(VLOOKUP(N387,'Thông số'!$B:$F,5,0),"")</f>
        <v>6160 x 2330 x 2760</v>
      </c>
    </row>
    <row r="388" ht="14.25" customHeight="1">
      <c r="A388" s="898">
        <v>70.0</v>
      </c>
      <c r="B388" s="899" t="s">
        <v>2073</v>
      </c>
      <c r="C388" s="899" t="s">
        <v>1675</v>
      </c>
      <c r="D388" s="901" t="s">
        <v>5975</v>
      </c>
      <c r="E388" s="902"/>
      <c r="F388" s="899" t="s">
        <v>5975</v>
      </c>
      <c r="G388" s="899" t="s">
        <v>2070</v>
      </c>
      <c r="H388" s="902"/>
      <c r="I388" s="901" t="s">
        <v>836</v>
      </c>
      <c r="J388" s="903">
        <v>44938.0</v>
      </c>
      <c r="K388" s="901" t="s">
        <v>1027</v>
      </c>
      <c r="L388" s="904">
        <v>0.97</v>
      </c>
      <c r="M388" s="902"/>
      <c r="N388" s="901" t="s">
        <v>315</v>
      </c>
      <c r="O388" s="899" t="s">
        <v>300</v>
      </c>
      <c r="P388" s="899" t="s">
        <v>148</v>
      </c>
      <c r="Q388" s="901">
        <v>2023.0</v>
      </c>
      <c r="R388" s="901" t="s">
        <v>278</v>
      </c>
      <c r="S388" s="899" t="s">
        <v>2074</v>
      </c>
      <c r="T388" s="899" t="s">
        <v>2075</v>
      </c>
      <c r="U388" s="885" t="str">
        <f>IFERROR(VLOOKUP(N388,'Thông số'!$B:$F,5,0),"")</f>
        <v>6160 x 2330 x 2760</v>
      </c>
    </row>
    <row r="389" ht="14.25" customHeight="1">
      <c r="A389" s="898">
        <v>71.0</v>
      </c>
      <c r="B389" s="899" t="s">
        <v>2076</v>
      </c>
      <c r="C389" s="899" t="s">
        <v>1675</v>
      </c>
      <c r="D389" s="901" t="s">
        <v>5976</v>
      </c>
      <c r="E389" s="902"/>
      <c r="F389" s="899" t="s">
        <v>5976</v>
      </c>
      <c r="G389" s="899" t="s">
        <v>2070</v>
      </c>
      <c r="H389" s="902"/>
      <c r="I389" s="901" t="s">
        <v>836</v>
      </c>
      <c r="J389" s="903">
        <v>44938.0</v>
      </c>
      <c r="K389" s="901" t="s">
        <v>1027</v>
      </c>
      <c r="L389" s="904">
        <v>0.97</v>
      </c>
      <c r="M389" s="906" t="s">
        <v>2077</v>
      </c>
      <c r="N389" s="901" t="s">
        <v>315</v>
      </c>
      <c r="O389" s="899" t="s">
        <v>300</v>
      </c>
      <c r="P389" s="899" t="s">
        <v>148</v>
      </c>
      <c r="Q389" s="901">
        <v>2023.0</v>
      </c>
      <c r="R389" s="901" t="s">
        <v>278</v>
      </c>
      <c r="S389" s="899" t="s">
        <v>2078</v>
      </c>
      <c r="T389" s="899" t="s">
        <v>2079</v>
      </c>
      <c r="U389" s="885" t="str">
        <f>IFERROR(VLOOKUP(N389,'Thông số'!$B:$F,5,0),"")</f>
        <v>6160 x 2330 x 2760</v>
      </c>
    </row>
    <row r="390" ht="14.25" customHeight="1">
      <c r="A390" s="898">
        <v>72.0</v>
      </c>
      <c r="B390" s="899" t="s">
        <v>2080</v>
      </c>
      <c r="C390" s="899" t="s">
        <v>1675</v>
      </c>
      <c r="D390" s="901" t="s">
        <v>5977</v>
      </c>
      <c r="E390" s="902"/>
      <c r="F390" s="899" t="s">
        <v>5977</v>
      </c>
      <c r="G390" s="899" t="s">
        <v>2070</v>
      </c>
      <c r="H390" s="902"/>
      <c r="I390" s="901" t="s">
        <v>836</v>
      </c>
      <c r="J390" s="903">
        <v>44938.0</v>
      </c>
      <c r="K390" s="901" t="s">
        <v>1027</v>
      </c>
      <c r="L390" s="904">
        <v>0.97</v>
      </c>
      <c r="M390" s="902"/>
      <c r="N390" s="901" t="s">
        <v>315</v>
      </c>
      <c r="O390" s="899" t="s">
        <v>300</v>
      </c>
      <c r="P390" s="899" t="s">
        <v>148</v>
      </c>
      <c r="Q390" s="901">
        <v>2023.0</v>
      </c>
      <c r="R390" s="901" t="s">
        <v>278</v>
      </c>
      <c r="S390" s="899" t="s">
        <v>2082</v>
      </c>
      <c r="T390" s="899" t="s">
        <v>2083</v>
      </c>
      <c r="U390" s="885" t="str">
        <f>IFERROR(VLOOKUP(N390,'Thông số'!$B:$F,5,0),"")</f>
        <v>6160 x 2330 x 2760</v>
      </c>
    </row>
    <row r="391" ht="14.25" customHeight="1">
      <c r="A391" s="898">
        <v>73.0</v>
      </c>
      <c r="B391" s="899" t="s">
        <v>2084</v>
      </c>
      <c r="C391" s="899" t="s">
        <v>1675</v>
      </c>
      <c r="D391" s="901" t="s">
        <v>5978</v>
      </c>
      <c r="E391" s="902"/>
      <c r="F391" s="899" t="s">
        <v>5978</v>
      </c>
      <c r="G391" s="899" t="s">
        <v>2070</v>
      </c>
      <c r="H391" s="902"/>
      <c r="I391" s="901" t="s">
        <v>836</v>
      </c>
      <c r="J391" s="903">
        <v>45255.0</v>
      </c>
      <c r="K391" s="901" t="s">
        <v>1027</v>
      </c>
      <c r="L391" s="904">
        <v>0.97</v>
      </c>
      <c r="M391" s="906" t="s">
        <v>890</v>
      </c>
      <c r="N391" s="901" t="s">
        <v>315</v>
      </c>
      <c r="O391" s="899" t="s">
        <v>300</v>
      </c>
      <c r="P391" s="899" t="s">
        <v>148</v>
      </c>
      <c r="Q391" s="901">
        <v>2023.0</v>
      </c>
      <c r="R391" s="901" t="s">
        <v>278</v>
      </c>
      <c r="S391" s="899" t="s">
        <v>2086</v>
      </c>
      <c r="T391" s="899" t="s">
        <v>2087</v>
      </c>
      <c r="U391" s="885" t="str">
        <f>IFERROR(VLOOKUP(N391,'Thông số'!$B:$F,5,0),"")</f>
        <v>6160 x 2330 x 2760</v>
      </c>
    </row>
    <row r="392" ht="14.25" customHeight="1">
      <c r="A392" s="891">
        <v>74.0</v>
      </c>
      <c r="B392" s="892" t="s">
        <v>2088</v>
      </c>
      <c r="C392" s="892" t="s">
        <v>1675</v>
      </c>
      <c r="D392" s="895" t="s">
        <v>5979</v>
      </c>
      <c r="E392" s="894"/>
      <c r="F392" s="892" t="s">
        <v>5979</v>
      </c>
      <c r="G392" s="892" t="s">
        <v>2070</v>
      </c>
      <c r="H392" s="894"/>
      <c r="I392" s="895" t="s">
        <v>836</v>
      </c>
      <c r="J392" s="896">
        <v>45255.0</v>
      </c>
      <c r="K392" s="895" t="s">
        <v>865</v>
      </c>
      <c r="L392" s="897">
        <v>0.97</v>
      </c>
      <c r="M392" s="919" t="s">
        <v>890</v>
      </c>
      <c r="N392" s="895" t="s">
        <v>315</v>
      </c>
      <c r="O392" s="892" t="s">
        <v>300</v>
      </c>
      <c r="P392" s="892" t="s">
        <v>148</v>
      </c>
      <c r="Q392" s="895">
        <v>2023.0</v>
      </c>
      <c r="R392" s="895" t="s">
        <v>278</v>
      </c>
      <c r="S392" s="892" t="s">
        <v>2089</v>
      </c>
      <c r="T392" s="892" t="s">
        <v>2090</v>
      </c>
      <c r="U392" s="885" t="str">
        <f>IFERROR(VLOOKUP(N392,'Thông số'!$B:$F,5,0),"")</f>
        <v>6160 x 2330 x 2760</v>
      </c>
    </row>
    <row r="393" ht="14.25" customHeight="1">
      <c r="A393" s="898">
        <v>75.0</v>
      </c>
      <c r="B393" s="899" t="s">
        <v>2091</v>
      </c>
      <c r="C393" s="899" t="s">
        <v>1675</v>
      </c>
      <c r="D393" s="901" t="s">
        <v>2092</v>
      </c>
      <c r="E393" s="902"/>
      <c r="F393" s="902"/>
      <c r="G393" s="899" t="s">
        <v>2070</v>
      </c>
      <c r="H393" s="902"/>
      <c r="I393" s="901" t="s">
        <v>836</v>
      </c>
      <c r="J393" s="903">
        <v>45751.0</v>
      </c>
      <c r="K393" s="901" t="s">
        <v>1027</v>
      </c>
      <c r="L393" s="902"/>
      <c r="M393" s="906" t="s">
        <v>890</v>
      </c>
      <c r="N393" s="901" t="s">
        <v>315</v>
      </c>
      <c r="O393" s="899" t="s">
        <v>300</v>
      </c>
      <c r="P393" s="899" t="s">
        <v>148</v>
      </c>
      <c r="Q393" s="901">
        <v>2024.0</v>
      </c>
      <c r="R393" s="901" t="s">
        <v>278</v>
      </c>
      <c r="S393" s="899" t="s">
        <v>2093</v>
      </c>
      <c r="T393" s="899" t="s">
        <v>2094</v>
      </c>
      <c r="U393" s="885" t="str">
        <f>IFERROR(VLOOKUP(N393,'Thông số'!$B:$F,5,0),"")</f>
        <v>6160 x 2330 x 2760</v>
      </c>
    </row>
    <row r="394" ht="14.25" customHeight="1">
      <c r="A394" s="898">
        <v>76.0</v>
      </c>
      <c r="B394" s="899" t="s">
        <v>2095</v>
      </c>
      <c r="C394" s="899" t="s">
        <v>1675</v>
      </c>
      <c r="D394" s="901" t="s">
        <v>2096</v>
      </c>
      <c r="E394" s="902"/>
      <c r="F394" s="902"/>
      <c r="G394" s="899" t="s">
        <v>2070</v>
      </c>
      <c r="H394" s="902"/>
      <c r="I394" s="901" t="s">
        <v>836</v>
      </c>
      <c r="J394" s="903">
        <v>45751.0</v>
      </c>
      <c r="K394" s="901" t="s">
        <v>1027</v>
      </c>
      <c r="L394" s="902"/>
      <c r="M394" s="906" t="s">
        <v>890</v>
      </c>
      <c r="N394" s="901" t="s">
        <v>315</v>
      </c>
      <c r="O394" s="899" t="s">
        <v>300</v>
      </c>
      <c r="P394" s="899" t="s">
        <v>148</v>
      </c>
      <c r="Q394" s="901">
        <v>2024.0</v>
      </c>
      <c r="R394" s="901" t="s">
        <v>278</v>
      </c>
      <c r="S394" s="899" t="s">
        <v>2097</v>
      </c>
      <c r="T394" s="899" t="s">
        <v>2098</v>
      </c>
      <c r="U394" s="885" t="str">
        <f>IFERROR(VLOOKUP(N394,'Thông số'!$B:$F,5,0),"")</f>
        <v>6160 x 2330 x 2760</v>
      </c>
    </row>
    <row r="395" ht="14.25" customHeight="1">
      <c r="A395" s="898">
        <v>77.0</v>
      </c>
      <c r="B395" s="899" t="s">
        <v>2099</v>
      </c>
      <c r="C395" s="899" t="s">
        <v>1675</v>
      </c>
      <c r="D395" s="901" t="s">
        <v>2100</v>
      </c>
      <c r="E395" s="902"/>
      <c r="F395" s="902"/>
      <c r="G395" s="899" t="s">
        <v>2070</v>
      </c>
      <c r="H395" s="902"/>
      <c r="I395" s="901" t="s">
        <v>836</v>
      </c>
      <c r="J395" s="903">
        <v>45751.0</v>
      </c>
      <c r="K395" s="901" t="s">
        <v>1027</v>
      </c>
      <c r="L395" s="902"/>
      <c r="M395" s="906" t="s">
        <v>890</v>
      </c>
      <c r="N395" s="901" t="s">
        <v>315</v>
      </c>
      <c r="O395" s="899" t="s">
        <v>300</v>
      </c>
      <c r="P395" s="899" t="s">
        <v>148</v>
      </c>
      <c r="Q395" s="901">
        <v>2024.0</v>
      </c>
      <c r="R395" s="901" t="s">
        <v>278</v>
      </c>
      <c r="S395" s="899" t="s">
        <v>2101</v>
      </c>
      <c r="T395" s="899" t="s">
        <v>2102</v>
      </c>
      <c r="U395" s="885" t="str">
        <f>IFERROR(VLOOKUP(N395,'Thông số'!$B:$F,5,0),"")</f>
        <v>6160 x 2330 x 2760</v>
      </c>
    </row>
    <row r="396" ht="14.25" customHeight="1">
      <c r="A396" s="898">
        <v>78.0</v>
      </c>
      <c r="B396" s="899" t="s">
        <v>2103</v>
      </c>
      <c r="C396" s="899" t="s">
        <v>1675</v>
      </c>
      <c r="D396" s="901" t="s">
        <v>2104</v>
      </c>
      <c r="E396" s="902"/>
      <c r="F396" s="902"/>
      <c r="G396" s="899" t="s">
        <v>2070</v>
      </c>
      <c r="H396" s="902"/>
      <c r="I396" s="901" t="s">
        <v>836</v>
      </c>
      <c r="J396" s="903">
        <v>45751.0</v>
      </c>
      <c r="K396" s="901" t="s">
        <v>1027</v>
      </c>
      <c r="L396" s="902"/>
      <c r="M396" s="906" t="s">
        <v>890</v>
      </c>
      <c r="N396" s="901" t="s">
        <v>315</v>
      </c>
      <c r="O396" s="899" t="s">
        <v>300</v>
      </c>
      <c r="P396" s="899" t="s">
        <v>148</v>
      </c>
      <c r="Q396" s="901">
        <v>2024.0</v>
      </c>
      <c r="R396" s="901" t="s">
        <v>278</v>
      </c>
      <c r="S396" s="899" t="s">
        <v>2105</v>
      </c>
      <c r="T396" s="899" t="s">
        <v>2106</v>
      </c>
      <c r="U396" s="885" t="str">
        <f>IFERROR(VLOOKUP(N396,'Thông số'!$B:$F,5,0),"")</f>
        <v>6160 x 2330 x 2760</v>
      </c>
    </row>
    <row r="397" ht="14.25" customHeight="1">
      <c r="A397" s="898">
        <v>79.0</v>
      </c>
      <c r="B397" s="899" t="s">
        <v>2107</v>
      </c>
      <c r="C397" s="899" t="s">
        <v>1675</v>
      </c>
      <c r="D397" s="901" t="s">
        <v>2108</v>
      </c>
      <c r="E397" s="902"/>
      <c r="F397" s="902"/>
      <c r="G397" s="899" t="s">
        <v>2070</v>
      </c>
      <c r="H397" s="902"/>
      <c r="I397" s="901" t="s">
        <v>836</v>
      </c>
      <c r="J397" s="903">
        <v>45819.0</v>
      </c>
      <c r="K397" s="901" t="s">
        <v>1027</v>
      </c>
      <c r="L397" s="902"/>
      <c r="M397" s="906" t="s">
        <v>890</v>
      </c>
      <c r="N397" s="901" t="s">
        <v>315</v>
      </c>
      <c r="O397" s="899" t="s">
        <v>300</v>
      </c>
      <c r="P397" s="899" t="s">
        <v>148</v>
      </c>
      <c r="Q397" s="901">
        <v>2024.0</v>
      </c>
      <c r="R397" s="901" t="s">
        <v>278</v>
      </c>
      <c r="S397" s="899" t="s">
        <v>2109</v>
      </c>
      <c r="T397" s="899" t="s">
        <v>2110</v>
      </c>
      <c r="U397" s="885" t="str">
        <f>IFERROR(VLOOKUP(N397,'Thông số'!$B:$F,5,0),"")</f>
        <v>6160 x 2330 x 2760</v>
      </c>
    </row>
    <row r="398" ht="14.25" customHeight="1">
      <c r="A398" s="898">
        <v>80.0</v>
      </c>
      <c r="B398" s="899" t="s">
        <v>2111</v>
      </c>
      <c r="C398" s="899" t="s">
        <v>2111</v>
      </c>
      <c r="D398" s="901" t="s">
        <v>5981</v>
      </c>
      <c r="E398" s="902"/>
      <c r="F398" s="899" t="s">
        <v>5981</v>
      </c>
      <c r="G398" s="899" t="s">
        <v>2112</v>
      </c>
      <c r="H398" s="902"/>
      <c r="I398" s="901" t="s">
        <v>836</v>
      </c>
      <c r="J398" s="903">
        <v>44938.0</v>
      </c>
      <c r="K398" s="901" t="s">
        <v>1027</v>
      </c>
      <c r="L398" s="904">
        <v>0.97</v>
      </c>
      <c r="M398" s="902"/>
      <c r="N398" s="901" t="s">
        <v>307</v>
      </c>
      <c r="O398" s="899" t="s">
        <v>300</v>
      </c>
      <c r="P398" s="899" t="s">
        <v>148</v>
      </c>
      <c r="Q398" s="901">
        <v>2022.0</v>
      </c>
      <c r="R398" s="901" t="s">
        <v>278</v>
      </c>
      <c r="S398" s="899" t="s">
        <v>2113</v>
      </c>
      <c r="T398" s="899" t="s">
        <v>2114</v>
      </c>
      <c r="U398" s="885" t="str">
        <f>IFERROR(VLOOKUP(N398,'Thông số'!$B:$F,5,0),"")</f>
        <v>6160 x 2330 x 2760</v>
      </c>
    </row>
    <row r="399" ht="14.25" customHeight="1">
      <c r="A399" s="891">
        <v>81.0</v>
      </c>
      <c r="B399" s="892" t="s">
        <v>2115</v>
      </c>
      <c r="C399" s="892" t="s">
        <v>1675</v>
      </c>
      <c r="D399" s="895" t="s">
        <v>5982</v>
      </c>
      <c r="E399" s="894"/>
      <c r="F399" s="892" t="s">
        <v>5982</v>
      </c>
      <c r="G399" s="892" t="s">
        <v>2112</v>
      </c>
      <c r="H399" s="894"/>
      <c r="I399" s="895" t="s">
        <v>836</v>
      </c>
      <c r="J399" s="896">
        <v>44938.0</v>
      </c>
      <c r="K399" s="895" t="s">
        <v>865</v>
      </c>
      <c r="L399" s="897">
        <v>0.97</v>
      </c>
      <c r="M399" s="894"/>
      <c r="N399" s="895" t="s">
        <v>307</v>
      </c>
      <c r="O399" s="892" t="s">
        <v>300</v>
      </c>
      <c r="P399" s="892" t="s">
        <v>148</v>
      </c>
      <c r="Q399" s="895">
        <v>2022.0</v>
      </c>
      <c r="R399" s="895" t="s">
        <v>278</v>
      </c>
      <c r="S399" s="892" t="s">
        <v>2116</v>
      </c>
      <c r="T399" s="892" t="s">
        <v>2117</v>
      </c>
      <c r="U399" s="885" t="str">
        <f>IFERROR(VLOOKUP(N399,'Thông số'!$B:$F,5,0),"")</f>
        <v>6160 x 2330 x 2760</v>
      </c>
    </row>
    <row r="400" ht="14.25" customHeight="1">
      <c r="A400" s="898">
        <v>82.0</v>
      </c>
      <c r="B400" s="899" t="s">
        <v>2118</v>
      </c>
      <c r="C400" s="899" t="s">
        <v>1675</v>
      </c>
      <c r="D400" s="901" t="s">
        <v>5983</v>
      </c>
      <c r="E400" s="902"/>
      <c r="F400" s="899" t="s">
        <v>5983</v>
      </c>
      <c r="G400" s="899" t="s">
        <v>2112</v>
      </c>
      <c r="H400" s="902"/>
      <c r="I400" s="901" t="s">
        <v>836</v>
      </c>
      <c r="J400" s="903">
        <v>44938.0</v>
      </c>
      <c r="K400" s="901" t="s">
        <v>1027</v>
      </c>
      <c r="L400" s="904">
        <v>0.97</v>
      </c>
      <c r="M400" s="902"/>
      <c r="N400" s="901" t="s">
        <v>307</v>
      </c>
      <c r="O400" s="899" t="s">
        <v>300</v>
      </c>
      <c r="P400" s="899" t="s">
        <v>148</v>
      </c>
      <c r="Q400" s="901">
        <v>2022.0</v>
      </c>
      <c r="R400" s="901" t="s">
        <v>278</v>
      </c>
      <c r="S400" s="899" t="s">
        <v>2119</v>
      </c>
      <c r="T400" s="899" t="s">
        <v>2120</v>
      </c>
      <c r="U400" s="885" t="str">
        <f>IFERROR(VLOOKUP(N400,'Thông số'!$B:$F,5,0),"")</f>
        <v>6160 x 2330 x 2760</v>
      </c>
    </row>
    <row r="401" ht="14.25" customHeight="1">
      <c r="A401" s="891">
        <v>83.0</v>
      </c>
      <c r="B401" s="892" t="s">
        <v>2121</v>
      </c>
      <c r="C401" s="892" t="s">
        <v>1675</v>
      </c>
      <c r="D401" s="895" t="s">
        <v>5984</v>
      </c>
      <c r="E401" s="894"/>
      <c r="F401" s="892" t="s">
        <v>5984</v>
      </c>
      <c r="G401" s="892" t="s">
        <v>2112</v>
      </c>
      <c r="H401" s="894"/>
      <c r="I401" s="895" t="s">
        <v>836</v>
      </c>
      <c r="J401" s="896">
        <v>44938.0</v>
      </c>
      <c r="K401" s="895" t="s">
        <v>865</v>
      </c>
      <c r="L401" s="897">
        <v>0.97</v>
      </c>
      <c r="M401" s="894"/>
      <c r="N401" s="895" t="s">
        <v>307</v>
      </c>
      <c r="O401" s="892" t="s">
        <v>300</v>
      </c>
      <c r="P401" s="892" t="s">
        <v>148</v>
      </c>
      <c r="Q401" s="895">
        <v>2022.0</v>
      </c>
      <c r="R401" s="895" t="s">
        <v>278</v>
      </c>
      <c r="S401" s="892" t="s">
        <v>6636</v>
      </c>
      <c r="T401" s="892" t="s">
        <v>2123</v>
      </c>
      <c r="U401" s="885" t="str">
        <f>IFERROR(VLOOKUP(N401,'Thông số'!$B:$F,5,0),"")</f>
        <v>6160 x 2330 x 2760</v>
      </c>
    </row>
    <row r="402" ht="14.25" customHeight="1">
      <c r="A402" s="898">
        <v>84.0</v>
      </c>
      <c r="B402" s="899" t="s">
        <v>2124</v>
      </c>
      <c r="C402" s="899" t="s">
        <v>1675</v>
      </c>
      <c r="D402" s="901" t="s">
        <v>5985</v>
      </c>
      <c r="E402" s="902"/>
      <c r="F402" s="899" t="s">
        <v>5985</v>
      </c>
      <c r="G402" s="899" t="s">
        <v>2125</v>
      </c>
      <c r="H402" s="902"/>
      <c r="I402" s="901" t="s">
        <v>836</v>
      </c>
      <c r="J402" s="903">
        <v>45255.0</v>
      </c>
      <c r="K402" s="901" t="s">
        <v>1027</v>
      </c>
      <c r="L402" s="904">
        <v>0.97</v>
      </c>
      <c r="M402" s="902"/>
      <c r="N402" s="901" t="s">
        <v>307</v>
      </c>
      <c r="O402" s="899" t="s">
        <v>300</v>
      </c>
      <c r="P402" s="899" t="s">
        <v>148</v>
      </c>
      <c r="Q402" s="901">
        <v>2023.0</v>
      </c>
      <c r="R402" s="901" t="s">
        <v>278</v>
      </c>
      <c r="S402" s="899" t="s">
        <v>2126</v>
      </c>
      <c r="T402" s="899" t="s">
        <v>2127</v>
      </c>
      <c r="U402" s="885" t="str">
        <f>IFERROR(VLOOKUP(N402,'Thông số'!$B:$F,5,0),"")</f>
        <v>6160 x 2330 x 2760</v>
      </c>
    </row>
    <row r="403" ht="14.25" customHeight="1">
      <c r="A403" s="891">
        <v>85.0</v>
      </c>
      <c r="B403" s="892" t="s">
        <v>2128</v>
      </c>
      <c r="C403" s="892" t="s">
        <v>1675</v>
      </c>
      <c r="D403" s="895" t="s">
        <v>5986</v>
      </c>
      <c r="E403" s="894"/>
      <c r="F403" s="892" t="s">
        <v>5986</v>
      </c>
      <c r="G403" s="892" t="s">
        <v>2125</v>
      </c>
      <c r="H403" s="894"/>
      <c r="I403" s="895" t="s">
        <v>836</v>
      </c>
      <c r="J403" s="896">
        <v>45255.0</v>
      </c>
      <c r="K403" s="895" t="s">
        <v>865</v>
      </c>
      <c r="L403" s="897">
        <v>0.97</v>
      </c>
      <c r="M403" s="919" t="s">
        <v>890</v>
      </c>
      <c r="N403" s="895" t="s">
        <v>307</v>
      </c>
      <c r="O403" s="892" t="s">
        <v>300</v>
      </c>
      <c r="P403" s="892" t="s">
        <v>148</v>
      </c>
      <c r="Q403" s="895">
        <v>2023.0</v>
      </c>
      <c r="R403" s="895" t="s">
        <v>278</v>
      </c>
      <c r="S403" s="892" t="s">
        <v>2129</v>
      </c>
      <c r="T403" s="892" t="s">
        <v>2130</v>
      </c>
      <c r="U403" s="885" t="str">
        <f>IFERROR(VLOOKUP(N403,'Thông số'!$B:$F,5,0),"")</f>
        <v>6160 x 2330 x 2760</v>
      </c>
    </row>
    <row r="404" ht="14.25" customHeight="1">
      <c r="A404" s="891">
        <v>86.0</v>
      </c>
      <c r="B404" s="892" t="s">
        <v>2937</v>
      </c>
      <c r="C404" s="892" t="s">
        <v>1675</v>
      </c>
      <c r="D404" s="895" t="s">
        <v>2938</v>
      </c>
      <c r="E404" s="894"/>
      <c r="F404" s="892" t="s">
        <v>2938</v>
      </c>
      <c r="G404" s="892" t="s">
        <v>2125</v>
      </c>
      <c r="H404" s="894"/>
      <c r="I404" s="895" t="s">
        <v>836</v>
      </c>
      <c r="J404" s="896">
        <v>45255.0</v>
      </c>
      <c r="K404" s="895" t="s">
        <v>865</v>
      </c>
      <c r="L404" s="897">
        <v>0.97</v>
      </c>
      <c r="M404" s="919" t="s">
        <v>890</v>
      </c>
      <c r="N404" s="895" t="s">
        <v>307</v>
      </c>
      <c r="O404" s="892" t="s">
        <v>300</v>
      </c>
      <c r="P404" s="892" t="s">
        <v>148</v>
      </c>
      <c r="Q404" s="895">
        <v>2023.0</v>
      </c>
      <c r="R404" s="895" t="s">
        <v>278</v>
      </c>
      <c r="S404" s="892" t="s">
        <v>2942</v>
      </c>
      <c r="T404" s="892" t="s">
        <v>2943</v>
      </c>
      <c r="U404" s="885" t="str">
        <f>IFERROR(VLOOKUP(N404,'Thông số'!$B:$F,5,0),"")</f>
        <v>6160 x 2330 x 2760</v>
      </c>
    </row>
    <row r="405" ht="14.25" customHeight="1">
      <c r="A405" s="898">
        <v>87.0</v>
      </c>
      <c r="B405" s="899" t="s">
        <v>2131</v>
      </c>
      <c r="C405" s="899" t="s">
        <v>1675</v>
      </c>
      <c r="D405" s="901" t="s">
        <v>2132</v>
      </c>
      <c r="E405" s="901" t="s">
        <v>2133</v>
      </c>
      <c r="F405" s="902"/>
      <c r="G405" s="899" t="s">
        <v>2125</v>
      </c>
      <c r="H405" s="902"/>
      <c r="I405" s="901" t="s">
        <v>836</v>
      </c>
      <c r="J405" s="903">
        <v>45541.0</v>
      </c>
      <c r="K405" s="901" t="s">
        <v>1027</v>
      </c>
      <c r="L405" s="902"/>
      <c r="M405" s="906" t="s">
        <v>890</v>
      </c>
      <c r="N405" s="901" t="s">
        <v>307</v>
      </c>
      <c r="O405" s="899" t="s">
        <v>300</v>
      </c>
      <c r="P405" s="899" t="s">
        <v>148</v>
      </c>
      <c r="Q405" s="901">
        <v>2024.0</v>
      </c>
      <c r="R405" s="901" t="s">
        <v>278</v>
      </c>
      <c r="S405" s="899" t="s">
        <v>2134</v>
      </c>
      <c r="T405" s="899" t="s">
        <v>2135</v>
      </c>
      <c r="U405" s="885" t="str">
        <f>IFERROR(VLOOKUP(N405,'Thông số'!$B:$F,5,0),"")</f>
        <v>6160 x 2330 x 2760</v>
      </c>
    </row>
    <row r="406" ht="14.25" customHeight="1">
      <c r="A406" s="898">
        <v>88.0</v>
      </c>
      <c r="B406" s="899" t="s">
        <v>2136</v>
      </c>
      <c r="C406" s="899" t="s">
        <v>1675</v>
      </c>
      <c r="D406" s="901" t="s">
        <v>2137</v>
      </c>
      <c r="E406" s="901" t="s">
        <v>2138</v>
      </c>
      <c r="F406" s="902"/>
      <c r="G406" s="899" t="s">
        <v>2125</v>
      </c>
      <c r="H406" s="902"/>
      <c r="I406" s="901" t="s">
        <v>836</v>
      </c>
      <c r="J406" s="903">
        <v>45541.0</v>
      </c>
      <c r="K406" s="901" t="s">
        <v>1027</v>
      </c>
      <c r="L406" s="902"/>
      <c r="M406" s="906" t="s">
        <v>890</v>
      </c>
      <c r="N406" s="901" t="s">
        <v>307</v>
      </c>
      <c r="O406" s="899" t="s">
        <v>300</v>
      </c>
      <c r="P406" s="899" t="s">
        <v>148</v>
      </c>
      <c r="Q406" s="901">
        <v>2024.0</v>
      </c>
      <c r="R406" s="901" t="s">
        <v>278</v>
      </c>
      <c r="S406" s="899" t="s">
        <v>2139</v>
      </c>
      <c r="T406" s="899" t="s">
        <v>2140</v>
      </c>
      <c r="U406" s="885" t="str">
        <f>IFERROR(VLOOKUP(N406,'Thông số'!$B:$F,5,0),"")</f>
        <v>6160 x 2330 x 2760</v>
      </c>
    </row>
    <row r="407" ht="14.25" customHeight="1">
      <c r="A407" s="898">
        <v>89.0</v>
      </c>
      <c r="B407" s="899" t="s">
        <v>2141</v>
      </c>
      <c r="C407" s="899" t="s">
        <v>1675</v>
      </c>
      <c r="D407" s="901" t="s">
        <v>2142</v>
      </c>
      <c r="E407" s="901" t="s">
        <v>2143</v>
      </c>
      <c r="F407" s="902"/>
      <c r="G407" s="899" t="s">
        <v>2125</v>
      </c>
      <c r="H407" s="902"/>
      <c r="I407" s="901" t="s">
        <v>836</v>
      </c>
      <c r="J407" s="903">
        <v>45541.0</v>
      </c>
      <c r="K407" s="901" t="s">
        <v>1027</v>
      </c>
      <c r="L407" s="902"/>
      <c r="M407" s="906" t="s">
        <v>890</v>
      </c>
      <c r="N407" s="901" t="s">
        <v>307</v>
      </c>
      <c r="O407" s="899" t="s">
        <v>300</v>
      </c>
      <c r="P407" s="899" t="s">
        <v>148</v>
      </c>
      <c r="Q407" s="901">
        <v>2024.0</v>
      </c>
      <c r="R407" s="901" t="s">
        <v>278</v>
      </c>
      <c r="S407" s="899" t="s">
        <v>2144</v>
      </c>
      <c r="T407" s="899" t="s">
        <v>2145</v>
      </c>
      <c r="U407" s="885" t="str">
        <f>IFERROR(VLOOKUP(N407,'Thông số'!$B:$F,5,0),"")</f>
        <v>6160 x 2330 x 2760</v>
      </c>
    </row>
    <row r="408" ht="14.25" customHeight="1">
      <c r="A408" s="898">
        <v>90.0</v>
      </c>
      <c r="B408" s="899" t="s">
        <v>2146</v>
      </c>
      <c r="C408" s="899" t="s">
        <v>1675</v>
      </c>
      <c r="D408" s="901" t="s">
        <v>2147</v>
      </c>
      <c r="E408" s="901" t="s">
        <v>2148</v>
      </c>
      <c r="F408" s="902"/>
      <c r="G408" s="899" t="s">
        <v>2125</v>
      </c>
      <c r="H408" s="902"/>
      <c r="I408" s="901" t="s">
        <v>836</v>
      </c>
      <c r="J408" s="903">
        <v>45541.0</v>
      </c>
      <c r="K408" s="901" t="s">
        <v>1027</v>
      </c>
      <c r="L408" s="902"/>
      <c r="M408" s="906" t="s">
        <v>890</v>
      </c>
      <c r="N408" s="901" t="s">
        <v>307</v>
      </c>
      <c r="O408" s="899" t="s">
        <v>300</v>
      </c>
      <c r="P408" s="899" t="s">
        <v>148</v>
      </c>
      <c r="Q408" s="901">
        <v>2024.0</v>
      </c>
      <c r="R408" s="901" t="s">
        <v>278</v>
      </c>
      <c r="S408" s="899" t="s">
        <v>2149</v>
      </c>
      <c r="T408" s="899" t="s">
        <v>2150</v>
      </c>
      <c r="U408" s="885" t="str">
        <f>IFERROR(VLOOKUP(N408,'Thông số'!$B:$F,5,0),"")</f>
        <v>6160 x 2330 x 2760</v>
      </c>
    </row>
    <row r="409" ht="14.25" customHeight="1">
      <c r="A409" s="898">
        <v>91.0</v>
      </c>
      <c r="B409" s="899" t="s">
        <v>2151</v>
      </c>
      <c r="C409" s="899" t="s">
        <v>1675</v>
      </c>
      <c r="D409" s="901" t="s">
        <v>2152</v>
      </c>
      <c r="E409" s="902"/>
      <c r="F409" s="902"/>
      <c r="G409" s="899" t="s">
        <v>2154</v>
      </c>
      <c r="H409" s="902"/>
      <c r="I409" s="901" t="s">
        <v>836</v>
      </c>
      <c r="J409" s="903">
        <v>45913.0</v>
      </c>
      <c r="K409" s="901" t="s">
        <v>1027</v>
      </c>
      <c r="L409" s="902"/>
      <c r="M409" s="906" t="s">
        <v>890</v>
      </c>
      <c r="N409" s="901" t="s">
        <v>337</v>
      </c>
      <c r="O409" s="899" t="s">
        <v>300</v>
      </c>
      <c r="P409" s="899" t="s">
        <v>148</v>
      </c>
      <c r="Q409" s="901">
        <v>2024.0</v>
      </c>
      <c r="R409" s="901" t="s">
        <v>6637</v>
      </c>
      <c r="S409" s="899" t="s">
        <v>2157</v>
      </c>
      <c r="T409" s="899" t="s">
        <v>2158</v>
      </c>
      <c r="U409" s="885" t="str">
        <f>IFERROR(VLOOKUP(N409,'Thông số'!$B:$F,5,0),"")</f>
        <v>5910 x 2310 x 2800</v>
      </c>
    </row>
    <row r="410" ht="14.25" customHeight="1">
      <c r="A410" s="898">
        <v>92.0</v>
      </c>
      <c r="B410" s="899" t="s">
        <v>2159</v>
      </c>
      <c r="C410" s="899" t="s">
        <v>1675</v>
      </c>
      <c r="D410" s="901" t="s">
        <v>2160</v>
      </c>
      <c r="E410" s="902"/>
      <c r="F410" s="902"/>
      <c r="G410" s="899" t="s">
        <v>2154</v>
      </c>
      <c r="H410" s="902"/>
      <c r="I410" s="901" t="s">
        <v>836</v>
      </c>
      <c r="J410" s="903">
        <v>45913.0</v>
      </c>
      <c r="K410" s="901" t="s">
        <v>1027</v>
      </c>
      <c r="L410" s="902"/>
      <c r="M410" s="906" t="s">
        <v>890</v>
      </c>
      <c r="N410" s="901" t="s">
        <v>337</v>
      </c>
      <c r="O410" s="899" t="s">
        <v>300</v>
      </c>
      <c r="P410" s="899" t="s">
        <v>148</v>
      </c>
      <c r="Q410" s="901">
        <v>2024.0</v>
      </c>
      <c r="R410" s="901" t="s">
        <v>6637</v>
      </c>
      <c r="S410" s="899" t="s">
        <v>2161</v>
      </c>
      <c r="T410" s="899" t="s">
        <v>2162</v>
      </c>
      <c r="U410" s="885" t="str">
        <f>IFERROR(VLOOKUP(N410,'Thông số'!$B:$F,5,0),"")</f>
        <v>5910 x 2310 x 2800</v>
      </c>
    </row>
    <row r="411" ht="14.25" customHeight="1">
      <c r="A411" s="898">
        <v>93.0</v>
      </c>
      <c r="B411" s="899" t="s">
        <v>2163</v>
      </c>
      <c r="C411" s="899" t="s">
        <v>1675</v>
      </c>
      <c r="D411" s="901" t="s">
        <v>2164</v>
      </c>
      <c r="E411" s="902"/>
      <c r="F411" s="902"/>
      <c r="G411" s="899" t="s">
        <v>2154</v>
      </c>
      <c r="H411" s="902"/>
      <c r="I411" s="901" t="s">
        <v>836</v>
      </c>
      <c r="J411" s="903">
        <v>45913.0</v>
      </c>
      <c r="K411" s="901" t="s">
        <v>1027</v>
      </c>
      <c r="L411" s="902"/>
      <c r="M411" s="906" t="s">
        <v>890</v>
      </c>
      <c r="N411" s="901" t="s">
        <v>337</v>
      </c>
      <c r="O411" s="899" t="s">
        <v>300</v>
      </c>
      <c r="P411" s="899" t="s">
        <v>148</v>
      </c>
      <c r="Q411" s="901">
        <v>2024.0</v>
      </c>
      <c r="R411" s="901" t="s">
        <v>6637</v>
      </c>
      <c r="S411" s="899" t="s">
        <v>2166</v>
      </c>
      <c r="T411" s="899" t="s">
        <v>2167</v>
      </c>
      <c r="U411" s="885" t="str">
        <f>IFERROR(VLOOKUP(N411,'Thông số'!$B:$F,5,0),"")</f>
        <v>5910 x 2310 x 2800</v>
      </c>
    </row>
    <row r="412" ht="14.25" customHeight="1">
      <c r="A412" s="898">
        <v>94.0</v>
      </c>
      <c r="B412" s="899" t="s">
        <v>2168</v>
      </c>
      <c r="C412" s="899" t="s">
        <v>2169</v>
      </c>
      <c r="D412" s="901" t="s">
        <v>5748</v>
      </c>
      <c r="E412" s="902"/>
      <c r="F412" s="899" t="s">
        <v>5748</v>
      </c>
      <c r="G412" s="899" t="s">
        <v>2170</v>
      </c>
      <c r="H412" s="901" t="s">
        <v>6638</v>
      </c>
      <c r="I412" s="901" t="s">
        <v>836</v>
      </c>
      <c r="J412" s="903">
        <v>44621.0</v>
      </c>
      <c r="K412" s="901" t="s">
        <v>1027</v>
      </c>
      <c r="L412" s="904">
        <v>0.79</v>
      </c>
      <c r="M412" s="906" t="s">
        <v>6639</v>
      </c>
      <c r="N412" s="901" t="s">
        <v>2172</v>
      </c>
      <c r="O412" s="899" t="s">
        <v>300</v>
      </c>
      <c r="P412" s="899" t="s">
        <v>148</v>
      </c>
      <c r="Q412" s="901">
        <v>2021.0</v>
      </c>
      <c r="R412" s="901" t="s">
        <v>413</v>
      </c>
      <c r="S412" s="899" t="s">
        <v>2173</v>
      </c>
      <c r="T412" s="899" t="s">
        <v>2174</v>
      </c>
      <c r="U412" s="885" t="str">
        <f>IFERROR(VLOOKUP(N412,'Thông số'!$B:$F,5,0),"")</f>
        <v>6160 x 2330 x 2750</v>
      </c>
    </row>
    <row r="413" ht="14.25" customHeight="1">
      <c r="A413" s="898">
        <v>95.0</v>
      </c>
      <c r="B413" s="899" t="s">
        <v>2175</v>
      </c>
      <c r="C413" s="902"/>
      <c r="D413" s="901" t="s">
        <v>2176</v>
      </c>
      <c r="E413" s="901" t="s">
        <v>2177</v>
      </c>
      <c r="F413" s="902"/>
      <c r="G413" s="899" t="s">
        <v>2178</v>
      </c>
      <c r="H413" s="901" t="s">
        <v>6638</v>
      </c>
      <c r="I413" s="901" t="s">
        <v>836</v>
      </c>
      <c r="J413" s="903">
        <v>45577.0</v>
      </c>
      <c r="K413" s="901" t="s">
        <v>1027</v>
      </c>
      <c r="L413" s="902"/>
      <c r="M413" s="906" t="s">
        <v>890</v>
      </c>
      <c r="N413" s="901" t="s">
        <v>315</v>
      </c>
      <c r="O413" s="899" t="s">
        <v>300</v>
      </c>
      <c r="P413" s="899" t="s">
        <v>148</v>
      </c>
      <c r="Q413" s="901">
        <v>2024.0</v>
      </c>
      <c r="R413" s="901" t="s">
        <v>804</v>
      </c>
      <c r="S413" s="899" t="s">
        <v>2179</v>
      </c>
      <c r="T413" s="899" t="s">
        <v>2180</v>
      </c>
      <c r="U413" s="885" t="str">
        <f>IFERROR(VLOOKUP(N413,'Thông số'!$B:$F,5,0),"")</f>
        <v>6160 x 2330 x 2760</v>
      </c>
    </row>
    <row r="414" ht="14.25" customHeight="1">
      <c r="A414" s="898">
        <v>96.0</v>
      </c>
      <c r="B414" s="899" t="s">
        <v>2181</v>
      </c>
      <c r="C414" s="902"/>
      <c r="D414" s="901" t="s">
        <v>2182</v>
      </c>
      <c r="E414" s="902"/>
      <c r="F414" s="902"/>
      <c r="G414" s="899" t="s">
        <v>2183</v>
      </c>
      <c r="H414" s="902"/>
      <c r="I414" s="901" t="s">
        <v>836</v>
      </c>
      <c r="J414" s="903">
        <v>45594.0</v>
      </c>
      <c r="K414" s="901" t="s">
        <v>1027</v>
      </c>
      <c r="L414" s="902"/>
      <c r="M414" s="906" t="s">
        <v>2185</v>
      </c>
      <c r="N414" s="901" t="s">
        <v>2055</v>
      </c>
      <c r="O414" s="899" t="s">
        <v>300</v>
      </c>
      <c r="P414" s="899" t="s">
        <v>148</v>
      </c>
      <c r="Q414" s="901">
        <v>2022.0</v>
      </c>
      <c r="R414" s="901" t="s">
        <v>2186</v>
      </c>
      <c r="S414" s="899" t="s">
        <v>2187</v>
      </c>
      <c r="T414" s="899" t="s">
        <v>2188</v>
      </c>
      <c r="U414" s="885" t="str">
        <f>IFERROR(VLOOKUP(N414,'Thông số'!$B:$F,5,0),"")</f>
        <v/>
      </c>
    </row>
    <row r="415" ht="14.25" customHeight="1">
      <c r="A415" s="898">
        <v>97.0</v>
      </c>
      <c r="B415" s="899" t="s">
        <v>2189</v>
      </c>
      <c r="C415" s="902"/>
      <c r="D415" s="901" t="s">
        <v>2190</v>
      </c>
      <c r="E415" s="901" t="s">
        <v>2191</v>
      </c>
      <c r="F415" s="902"/>
      <c r="G415" s="899" t="s">
        <v>2192</v>
      </c>
      <c r="H415" s="902"/>
      <c r="I415" s="901" t="s">
        <v>836</v>
      </c>
      <c r="J415" s="903">
        <v>45749.0</v>
      </c>
      <c r="K415" s="901" t="s">
        <v>1027</v>
      </c>
      <c r="L415" s="902"/>
      <c r="M415" s="906" t="s">
        <v>2193</v>
      </c>
      <c r="N415" s="901" t="s">
        <v>2194</v>
      </c>
      <c r="O415" s="899" t="s">
        <v>743</v>
      </c>
      <c r="P415" s="899" t="s">
        <v>148</v>
      </c>
      <c r="Q415" s="901">
        <v>2024.0</v>
      </c>
      <c r="R415" s="901" t="s">
        <v>6640</v>
      </c>
      <c r="S415" s="899" t="s">
        <v>2196</v>
      </c>
      <c r="T415" s="899" t="s">
        <v>2197</v>
      </c>
      <c r="U415" s="885" t="str">
        <f>IFERROR(VLOOKUP(N415,'Thông số'!$B:$F,5,0),"")</f>
        <v/>
      </c>
    </row>
    <row r="416" ht="14.25" customHeight="1">
      <c r="A416" s="898">
        <v>98.0</v>
      </c>
      <c r="B416" s="899" t="s">
        <v>2198</v>
      </c>
      <c r="C416" s="902"/>
      <c r="D416" s="901" t="s">
        <v>2199</v>
      </c>
      <c r="E416" s="902"/>
      <c r="F416" s="902"/>
      <c r="G416" s="899" t="s">
        <v>2201</v>
      </c>
      <c r="H416" s="902"/>
      <c r="I416" s="901" t="s">
        <v>836</v>
      </c>
      <c r="J416" s="903">
        <v>45909.0</v>
      </c>
      <c r="K416" s="901" t="s">
        <v>1027</v>
      </c>
      <c r="L416" s="902"/>
      <c r="M416" s="906" t="s">
        <v>2202</v>
      </c>
      <c r="N416" s="901" t="s">
        <v>2204</v>
      </c>
      <c r="O416" s="899" t="s">
        <v>2203</v>
      </c>
      <c r="P416" s="899" t="s">
        <v>260</v>
      </c>
      <c r="Q416" s="901">
        <v>2025.0</v>
      </c>
      <c r="R416" s="901" t="s">
        <v>2251</v>
      </c>
      <c r="S416" s="899" t="s">
        <v>2206</v>
      </c>
      <c r="T416" s="899" t="s">
        <v>2207</v>
      </c>
      <c r="U416" s="885" t="str">
        <f>IFERROR(VLOOKUP(N416,'Thông số'!$B:$F,5,0),"")</f>
        <v/>
      </c>
    </row>
    <row r="417" ht="14.25" customHeight="1">
      <c r="A417" s="898">
        <v>99.0</v>
      </c>
      <c r="B417" s="899" t="s">
        <v>2208</v>
      </c>
      <c r="C417" s="902"/>
      <c r="D417" s="901" t="s">
        <v>2209</v>
      </c>
      <c r="E417" s="902"/>
      <c r="F417" s="902"/>
      <c r="G417" s="899" t="s">
        <v>2201</v>
      </c>
      <c r="H417" s="902"/>
      <c r="I417" s="901" t="s">
        <v>836</v>
      </c>
      <c r="J417" s="903">
        <v>45938.0</v>
      </c>
      <c r="K417" s="901" t="s">
        <v>1027</v>
      </c>
      <c r="L417" s="902"/>
      <c r="M417" s="906" t="s">
        <v>2211</v>
      </c>
      <c r="N417" s="901" t="s">
        <v>2204</v>
      </c>
      <c r="O417" s="899" t="s">
        <v>2203</v>
      </c>
      <c r="P417" s="899" t="s">
        <v>260</v>
      </c>
      <c r="Q417" s="901">
        <v>2025.0</v>
      </c>
      <c r="R417" s="901" t="s">
        <v>2251</v>
      </c>
      <c r="S417" s="899" t="s">
        <v>2212</v>
      </c>
      <c r="T417" s="899" t="s">
        <v>2213</v>
      </c>
      <c r="U417" s="885" t="str">
        <f>IFERROR(VLOOKUP(N417,'Thông số'!$B:$F,5,0),"")</f>
        <v/>
      </c>
    </row>
    <row r="418" ht="14.25" customHeight="1">
      <c r="A418" s="898">
        <v>100.0</v>
      </c>
      <c r="B418" s="899" t="s">
        <v>2214</v>
      </c>
      <c r="C418" s="902"/>
      <c r="D418" s="901" t="s">
        <v>2215</v>
      </c>
      <c r="E418" s="902"/>
      <c r="F418" s="902"/>
      <c r="G418" s="899" t="s">
        <v>2201</v>
      </c>
      <c r="H418" s="902"/>
      <c r="I418" s="901" t="s">
        <v>836</v>
      </c>
      <c r="J418" s="903">
        <v>45938.0</v>
      </c>
      <c r="K418" s="901" t="s">
        <v>1027</v>
      </c>
      <c r="L418" s="902"/>
      <c r="M418" s="906" t="s">
        <v>2217</v>
      </c>
      <c r="N418" s="901" t="s">
        <v>2204</v>
      </c>
      <c r="O418" s="899" t="s">
        <v>2203</v>
      </c>
      <c r="P418" s="899" t="s">
        <v>260</v>
      </c>
      <c r="Q418" s="901">
        <v>2025.0</v>
      </c>
      <c r="R418" s="901" t="s">
        <v>2251</v>
      </c>
      <c r="S418" s="899" t="s">
        <v>2218</v>
      </c>
      <c r="T418" s="899" t="s">
        <v>2219</v>
      </c>
      <c r="U418" s="885" t="str">
        <f>IFERROR(VLOOKUP(N418,'Thông số'!$B:$F,5,0),"")</f>
        <v/>
      </c>
    </row>
    <row r="419" ht="14.25" customHeight="1">
      <c r="A419" s="898">
        <v>101.0</v>
      </c>
      <c r="B419" s="899" t="s">
        <v>2220</v>
      </c>
      <c r="C419" s="902"/>
      <c r="D419" s="901" t="s">
        <v>2221</v>
      </c>
      <c r="E419" s="902"/>
      <c r="F419" s="902"/>
      <c r="G419" s="899" t="s">
        <v>2201</v>
      </c>
      <c r="H419" s="902"/>
      <c r="I419" s="901" t="s">
        <v>836</v>
      </c>
      <c r="J419" s="903">
        <v>45961.0</v>
      </c>
      <c r="K419" s="901" t="s">
        <v>1027</v>
      </c>
      <c r="L419" s="902"/>
      <c r="M419" s="906" t="s">
        <v>2224</v>
      </c>
      <c r="N419" s="901" t="s">
        <v>2204</v>
      </c>
      <c r="O419" s="899" t="s">
        <v>2203</v>
      </c>
      <c r="P419" s="899" t="s">
        <v>740</v>
      </c>
      <c r="Q419" s="901">
        <v>2025.0</v>
      </c>
      <c r="R419" s="901" t="s">
        <v>2251</v>
      </c>
      <c r="S419" s="899" t="s">
        <v>2225</v>
      </c>
      <c r="T419" s="899" t="s">
        <v>2226</v>
      </c>
      <c r="U419" s="885" t="str">
        <f>IFERROR(VLOOKUP(N419,'Thông số'!$B:$F,5,0),"")</f>
        <v/>
      </c>
    </row>
    <row r="420" ht="14.25" customHeight="1">
      <c r="A420" s="898">
        <v>102.0</v>
      </c>
      <c r="B420" s="899" t="s">
        <v>2227</v>
      </c>
      <c r="C420" s="900"/>
      <c r="D420" s="901" t="s">
        <v>2228</v>
      </c>
      <c r="E420" s="900"/>
      <c r="F420" s="900"/>
      <c r="G420" s="948" t="s">
        <v>2201</v>
      </c>
      <c r="H420" s="902"/>
      <c r="I420" s="938" t="s">
        <v>836</v>
      </c>
      <c r="J420" s="903">
        <v>45954.0</v>
      </c>
      <c r="K420" s="901" t="s">
        <v>1027</v>
      </c>
      <c r="L420" s="900"/>
      <c r="M420" s="906" t="s">
        <v>2231</v>
      </c>
      <c r="N420" s="938" t="s">
        <v>2204</v>
      </c>
      <c r="O420" s="948" t="s">
        <v>2203</v>
      </c>
      <c r="P420" s="948" t="s">
        <v>740</v>
      </c>
      <c r="Q420" s="938">
        <v>2025.0</v>
      </c>
      <c r="R420" s="938" t="s">
        <v>2251</v>
      </c>
      <c r="S420" s="948" t="s">
        <v>2232</v>
      </c>
      <c r="T420" s="948" t="s">
        <v>2233</v>
      </c>
      <c r="U420" s="885" t="str">
        <f>IFERROR(VLOOKUP(N420,'Thông số'!$B:$F,5,0),"")</f>
        <v/>
      </c>
    </row>
    <row r="421" ht="14.25" customHeight="1">
      <c r="A421" s="898">
        <v>103.0</v>
      </c>
      <c r="B421" s="899" t="s">
        <v>2234</v>
      </c>
      <c r="C421" s="902"/>
      <c r="D421" s="901" t="s">
        <v>2235</v>
      </c>
      <c r="E421" s="902"/>
      <c r="F421" s="902"/>
      <c r="G421" s="948" t="s">
        <v>2201</v>
      </c>
      <c r="H421" s="902"/>
      <c r="I421" s="938" t="s">
        <v>836</v>
      </c>
      <c r="J421" s="903">
        <v>46025.0</v>
      </c>
      <c r="K421" s="901" t="s">
        <v>1027</v>
      </c>
      <c r="L421" s="902"/>
      <c r="M421" s="906" t="s">
        <v>890</v>
      </c>
      <c r="N421" s="901" t="s">
        <v>2204</v>
      </c>
      <c r="O421" s="899" t="s">
        <v>2203</v>
      </c>
      <c r="P421" s="899" t="s">
        <v>740</v>
      </c>
      <c r="Q421" s="901">
        <v>2025.0</v>
      </c>
      <c r="R421" s="901" t="s">
        <v>2251</v>
      </c>
      <c r="S421" s="899" t="s">
        <v>2238</v>
      </c>
      <c r="T421" s="899" t="s">
        <v>2239</v>
      </c>
      <c r="U421" s="885" t="str">
        <f>IFERROR(VLOOKUP(N421,'Thông số'!$B:$F,5,0),"")</f>
        <v/>
      </c>
    </row>
    <row r="422" ht="14.25" customHeight="1">
      <c r="A422" s="898">
        <v>104.0</v>
      </c>
      <c r="B422" s="899" t="s">
        <v>2240</v>
      </c>
      <c r="C422" s="902"/>
      <c r="D422" s="901" t="s">
        <v>2241</v>
      </c>
      <c r="E422" s="902"/>
      <c r="F422" s="902"/>
      <c r="G422" s="948" t="s">
        <v>2201</v>
      </c>
      <c r="H422" s="902"/>
      <c r="I422" s="938" t="s">
        <v>836</v>
      </c>
      <c r="J422" s="903">
        <v>46014.0</v>
      </c>
      <c r="K422" s="901" t="s">
        <v>1027</v>
      </c>
      <c r="L422" s="902"/>
      <c r="M422" s="906" t="s">
        <v>2244</v>
      </c>
      <c r="N422" s="901" t="s">
        <v>2204</v>
      </c>
      <c r="O422" s="899" t="s">
        <v>2203</v>
      </c>
      <c r="P422" s="899" t="s">
        <v>740</v>
      </c>
      <c r="Q422" s="901">
        <v>2025.0</v>
      </c>
      <c r="R422" s="901" t="s">
        <v>2251</v>
      </c>
      <c r="S422" s="899" t="s">
        <v>2245</v>
      </c>
      <c r="T422" s="899" t="s">
        <v>2246</v>
      </c>
      <c r="U422" s="885" t="str">
        <f>IFERROR(VLOOKUP(N422,'Thông số'!$B:$F,5,0),"")</f>
        <v/>
      </c>
    </row>
    <row r="423" ht="14.25" customHeight="1">
      <c r="A423" s="898">
        <v>105.0</v>
      </c>
      <c r="B423" s="899" t="s">
        <v>2273</v>
      </c>
      <c r="C423" s="902"/>
      <c r="D423" s="901" t="s">
        <v>2274</v>
      </c>
      <c r="E423" s="902"/>
      <c r="F423" s="902"/>
      <c r="G423" s="899" t="s">
        <v>946</v>
      </c>
      <c r="H423" s="901" t="s">
        <v>6483</v>
      </c>
      <c r="I423" s="901" t="s">
        <v>836</v>
      </c>
      <c r="J423" s="903">
        <v>45576.0</v>
      </c>
      <c r="K423" s="901" t="s">
        <v>1027</v>
      </c>
      <c r="L423" s="902"/>
      <c r="M423" s="906" t="s">
        <v>890</v>
      </c>
      <c r="N423" s="901" t="s">
        <v>2275</v>
      </c>
      <c r="O423" s="899" t="s">
        <v>673</v>
      </c>
      <c r="P423" s="899" t="s">
        <v>948</v>
      </c>
      <c r="Q423" s="901">
        <v>2022.0</v>
      </c>
      <c r="R423" s="901" t="s">
        <v>950</v>
      </c>
      <c r="S423" s="899">
        <v>203373.0</v>
      </c>
      <c r="T423" s="899" t="s">
        <v>2276</v>
      </c>
      <c r="U423" s="885" t="str">
        <f>IFERROR(VLOOKUP(N423,'Thông số'!$B:$F,5,0),"")</f>
        <v/>
      </c>
    </row>
    <row r="424" ht="14.25" customHeight="1">
      <c r="A424" s="898">
        <v>106.0</v>
      </c>
      <c r="B424" s="899" t="s">
        <v>2277</v>
      </c>
      <c r="C424" s="902"/>
      <c r="D424" s="901" t="s">
        <v>2278</v>
      </c>
      <c r="E424" s="902"/>
      <c r="F424" s="902"/>
      <c r="G424" s="899" t="s">
        <v>946</v>
      </c>
      <c r="H424" s="901" t="s">
        <v>6483</v>
      </c>
      <c r="I424" s="901" t="s">
        <v>836</v>
      </c>
      <c r="J424" s="903">
        <v>45576.0</v>
      </c>
      <c r="K424" s="901" t="s">
        <v>1027</v>
      </c>
      <c r="L424" s="902"/>
      <c r="M424" s="906" t="s">
        <v>890</v>
      </c>
      <c r="N424" s="901" t="s">
        <v>2275</v>
      </c>
      <c r="O424" s="899" t="s">
        <v>673</v>
      </c>
      <c r="P424" s="899" t="s">
        <v>948</v>
      </c>
      <c r="Q424" s="901">
        <v>2022.0</v>
      </c>
      <c r="R424" s="901" t="s">
        <v>950</v>
      </c>
      <c r="S424" s="899">
        <v>203356.0</v>
      </c>
      <c r="T424" s="899" t="s">
        <v>2279</v>
      </c>
      <c r="U424" s="885" t="str">
        <f>IFERROR(VLOOKUP(N424,'Thông số'!$B:$F,5,0),"")</f>
        <v/>
      </c>
    </row>
    <row r="425" ht="14.25" customHeight="1">
      <c r="A425" s="891">
        <v>107.0</v>
      </c>
      <c r="B425" s="892" t="s">
        <v>2280</v>
      </c>
      <c r="C425" s="894"/>
      <c r="D425" s="895" t="s">
        <v>2281</v>
      </c>
      <c r="E425" s="894"/>
      <c r="F425" s="894"/>
      <c r="G425" s="892" t="s">
        <v>946</v>
      </c>
      <c r="H425" s="895" t="s">
        <v>6483</v>
      </c>
      <c r="I425" s="895" t="s">
        <v>836</v>
      </c>
      <c r="J425" s="896">
        <v>45600.0</v>
      </c>
      <c r="K425" s="895" t="s">
        <v>865</v>
      </c>
      <c r="L425" s="894"/>
      <c r="M425" s="919" t="s">
        <v>890</v>
      </c>
      <c r="N425" s="895" t="s">
        <v>2275</v>
      </c>
      <c r="O425" s="892" t="s">
        <v>673</v>
      </c>
      <c r="P425" s="892" t="s">
        <v>948</v>
      </c>
      <c r="Q425" s="895">
        <v>2022.0</v>
      </c>
      <c r="R425" s="895" t="s">
        <v>950</v>
      </c>
      <c r="S425" s="892">
        <v>202927.0</v>
      </c>
      <c r="T425" s="892" t="s">
        <v>2282</v>
      </c>
      <c r="U425" s="885" t="str">
        <f>IFERROR(VLOOKUP(N425,'Thông số'!$B:$F,5,0),"")</f>
        <v/>
      </c>
    </row>
    <row r="426" ht="14.25" customHeight="1">
      <c r="A426" s="898">
        <v>108.0</v>
      </c>
      <c r="B426" s="899" t="s">
        <v>2283</v>
      </c>
      <c r="C426" s="902"/>
      <c r="D426" s="901" t="s">
        <v>2284</v>
      </c>
      <c r="E426" s="902"/>
      <c r="F426" s="902"/>
      <c r="G426" s="899" t="s">
        <v>946</v>
      </c>
      <c r="H426" s="901" t="s">
        <v>6483</v>
      </c>
      <c r="I426" s="901" t="s">
        <v>836</v>
      </c>
      <c r="J426" s="903">
        <v>45600.0</v>
      </c>
      <c r="K426" s="901" t="s">
        <v>1027</v>
      </c>
      <c r="L426" s="902"/>
      <c r="M426" s="906" t="s">
        <v>890</v>
      </c>
      <c r="N426" s="901" t="s">
        <v>2275</v>
      </c>
      <c r="O426" s="899" t="s">
        <v>673</v>
      </c>
      <c r="P426" s="899" t="s">
        <v>948</v>
      </c>
      <c r="Q426" s="901">
        <v>2022.0</v>
      </c>
      <c r="R426" s="901" t="s">
        <v>950</v>
      </c>
      <c r="S426" s="899">
        <v>202929.0</v>
      </c>
      <c r="T426" s="899" t="s">
        <v>2285</v>
      </c>
      <c r="U426" s="885" t="str">
        <f>IFERROR(VLOOKUP(N426,'Thông số'!$B:$F,5,0),"")</f>
        <v/>
      </c>
    </row>
    <row r="427" ht="14.25" customHeight="1">
      <c r="A427" s="891">
        <v>109.0</v>
      </c>
      <c r="B427" s="892" t="s">
        <v>2286</v>
      </c>
      <c r="C427" s="894"/>
      <c r="D427" s="895" t="s">
        <v>2287</v>
      </c>
      <c r="E427" s="894"/>
      <c r="F427" s="894"/>
      <c r="G427" s="892" t="s">
        <v>946</v>
      </c>
      <c r="H427" s="895" t="s">
        <v>6483</v>
      </c>
      <c r="I427" s="895" t="s">
        <v>836</v>
      </c>
      <c r="J427" s="896">
        <v>45600.0</v>
      </c>
      <c r="K427" s="895" t="s">
        <v>865</v>
      </c>
      <c r="L427" s="894"/>
      <c r="M427" s="919" t="s">
        <v>890</v>
      </c>
      <c r="N427" s="895" t="s">
        <v>2275</v>
      </c>
      <c r="O427" s="892" t="s">
        <v>673</v>
      </c>
      <c r="P427" s="892" t="s">
        <v>948</v>
      </c>
      <c r="Q427" s="895">
        <v>2022.0</v>
      </c>
      <c r="R427" s="895" t="s">
        <v>950</v>
      </c>
      <c r="S427" s="892">
        <v>203359.0</v>
      </c>
      <c r="T427" s="892" t="s">
        <v>2289</v>
      </c>
      <c r="U427" s="885" t="str">
        <f>IFERROR(VLOOKUP(N427,'Thông số'!$B:$F,5,0),"")</f>
        <v/>
      </c>
    </row>
    <row r="428" ht="14.25" customHeight="1">
      <c r="A428" s="898">
        <v>110.0</v>
      </c>
      <c r="B428" s="899" t="s">
        <v>2290</v>
      </c>
      <c r="C428" s="902"/>
      <c r="D428" s="901" t="s">
        <v>5906</v>
      </c>
      <c r="E428" s="901" t="s">
        <v>2291</v>
      </c>
      <c r="F428" s="899" t="s">
        <v>5906</v>
      </c>
      <c r="G428" s="899" t="s">
        <v>896</v>
      </c>
      <c r="H428" s="902"/>
      <c r="I428" s="901" t="s">
        <v>836</v>
      </c>
      <c r="J428" s="903">
        <v>45301.0</v>
      </c>
      <c r="K428" s="901" t="s">
        <v>1027</v>
      </c>
      <c r="L428" s="904">
        <v>0.98</v>
      </c>
      <c r="M428" s="902"/>
      <c r="N428" s="901" t="s">
        <v>898</v>
      </c>
      <c r="O428" s="899" t="s">
        <v>897</v>
      </c>
      <c r="P428" s="899" t="s">
        <v>148</v>
      </c>
      <c r="Q428" s="901">
        <v>2021.0</v>
      </c>
      <c r="R428" s="901" t="s">
        <v>158</v>
      </c>
      <c r="S428" s="899" t="s">
        <v>2292</v>
      </c>
      <c r="T428" s="899" t="s">
        <v>2293</v>
      </c>
      <c r="U428" s="885" t="str">
        <f>IFERROR(VLOOKUP(N428,'Thông số'!$B:$F,5,0),"")</f>
        <v>4730 x 1750 x 2100</v>
      </c>
    </row>
    <row r="429" ht="14.25" customHeight="1">
      <c r="A429" s="898">
        <v>111.0</v>
      </c>
      <c r="B429" s="899" t="s">
        <v>2294</v>
      </c>
      <c r="C429" s="899" t="s">
        <v>773</v>
      </c>
      <c r="D429" s="901" t="s">
        <v>5784</v>
      </c>
      <c r="E429" s="902"/>
      <c r="F429" s="899" t="s">
        <v>5784</v>
      </c>
      <c r="G429" s="899" t="s">
        <v>2295</v>
      </c>
      <c r="H429" s="901" t="s">
        <v>5785</v>
      </c>
      <c r="I429" s="901" t="s">
        <v>836</v>
      </c>
      <c r="J429" s="903">
        <v>45261.0</v>
      </c>
      <c r="K429" s="901" t="s">
        <v>1027</v>
      </c>
      <c r="L429" s="904">
        <v>0.93</v>
      </c>
      <c r="M429" s="906" t="s">
        <v>890</v>
      </c>
      <c r="N429" s="901" t="s">
        <v>2297</v>
      </c>
      <c r="O429" s="899" t="s">
        <v>2296</v>
      </c>
      <c r="P429" s="899" t="s">
        <v>148</v>
      </c>
      <c r="Q429" s="901">
        <v>2020.0</v>
      </c>
      <c r="R429" s="901" t="s">
        <v>950</v>
      </c>
      <c r="S429" s="899" t="s">
        <v>2298</v>
      </c>
      <c r="T429" s="899" t="s">
        <v>96</v>
      </c>
      <c r="U429" s="885" t="str">
        <f>IFERROR(VLOOKUP(N429,'Thông số'!$B:$F,5,0),"")</f>
        <v>3300 x 1300 x 1600</v>
      </c>
    </row>
    <row r="430" ht="14.25" customHeight="1">
      <c r="A430" s="898">
        <v>112.0</v>
      </c>
      <c r="B430" s="899" t="s">
        <v>2299</v>
      </c>
      <c r="C430" s="899" t="s">
        <v>773</v>
      </c>
      <c r="D430" s="901" t="s">
        <v>5787</v>
      </c>
      <c r="E430" s="902"/>
      <c r="F430" s="899" t="s">
        <v>5787</v>
      </c>
      <c r="G430" s="899" t="s">
        <v>2295</v>
      </c>
      <c r="H430" s="901" t="s">
        <v>5785</v>
      </c>
      <c r="I430" s="901" t="s">
        <v>836</v>
      </c>
      <c r="J430" s="903">
        <v>45286.0</v>
      </c>
      <c r="K430" s="901" t="s">
        <v>1027</v>
      </c>
      <c r="L430" s="904">
        <v>0.95</v>
      </c>
      <c r="M430" s="906" t="s">
        <v>890</v>
      </c>
      <c r="N430" s="901" t="s">
        <v>2297</v>
      </c>
      <c r="O430" s="899" t="s">
        <v>2296</v>
      </c>
      <c r="P430" s="899" t="s">
        <v>148</v>
      </c>
      <c r="Q430" s="901">
        <v>2020.0</v>
      </c>
      <c r="R430" s="901" t="s">
        <v>950</v>
      </c>
      <c r="S430" s="899" t="s">
        <v>2302</v>
      </c>
      <c r="T430" s="899" t="s">
        <v>96</v>
      </c>
      <c r="U430" s="885" t="str">
        <f>IFERROR(VLOOKUP(N430,'Thông số'!$B:$F,5,0),"")</f>
        <v>3300 x 1300 x 1600</v>
      </c>
    </row>
    <row r="431" ht="14.25" customHeight="1">
      <c r="A431" s="898">
        <v>113.0</v>
      </c>
      <c r="B431" s="899" t="s">
        <v>2303</v>
      </c>
      <c r="C431" s="902"/>
      <c r="D431" s="901" t="s">
        <v>6641</v>
      </c>
      <c r="E431" s="902"/>
      <c r="F431" s="902"/>
      <c r="G431" s="899" t="s">
        <v>2304</v>
      </c>
      <c r="H431" s="901" t="s">
        <v>5892</v>
      </c>
      <c r="I431" s="901" t="s">
        <v>836</v>
      </c>
      <c r="J431" s="902"/>
      <c r="K431" s="901" t="s">
        <v>1027</v>
      </c>
      <c r="L431" s="902"/>
      <c r="M431" s="906" t="s">
        <v>2306</v>
      </c>
      <c r="N431" s="901" t="s">
        <v>2307</v>
      </c>
      <c r="O431" s="899" t="s">
        <v>673</v>
      </c>
      <c r="P431" s="899" t="s">
        <v>222</v>
      </c>
      <c r="Q431" s="902"/>
      <c r="R431" s="901" t="s">
        <v>2308</v>
      </c>
      <c r="S431" s="899" t="s">
        <v>96</v>
      </c>
      <c r="T431" s="899" t="s">
        <v>2309</v>
      </c>
      <c r="U431" s="885" t="str">
        <f>IFERROR(VLOOKUP(N431,'Thông số'!$B:$F,5,0),"")</f>
        <v/>
      </c>
    </row>
    <row r="432" ht="14.25" customHeight="1">
      <c r="A432" s="898">
        <v>114.0</v>
      </c>
      <c r="B432" s="899" t="s">
        <v>2310</v>
      </c>
      <c r="C432" s="899" t="s">
        <v>2311</v>
      </c>
      <c r="D432" s="901" t="s">
        <v>2312</v>
      </c>
      <c r="E432" s="902"/>
      <c r="F432" s="902"/>
      <c r="G432" s="905" t="s">
        <v>1520</v>
      </c>
      <c r="H432" s="901" t="s">
        <v>6590</v>
      </c>
      <c r="I432" s="901" t="s">
        <v>836</v>
      </c>
      <c r="J432" s="903">
        <v>45602.0</v>
      </c>
      <c r="K432" s="901" t="s">
        <v>1027</v>
      </c>
      <c r="L432" s="902"/>
      <c r="M432" s="906" t="s">
        <v>2313</v>
      </c>
      <c r="N432" s="901" t="s">
        <v>2314</v>
      </c>
      <c r="O432" s="899" t="s">
        <v>1521</v>
      </c>
      <c r="P432" s="899" t="s">
        <v>662</v>
      </c>
      <c r="Q432" s="901">
        <v>2024.0</v>
      </c>
      <c r="R432" s="901" t="s">
        <v>2315</v>
      </c>
      <c r="S432" s="899" t="s">
        <v>2316</v>
      </c>
      <c r="T432" s="899">
        <v>410203.0</v>
      </c>
      <c r="U432" s="885" t="str">
        <f>IFERROR(VLOOKUP(N432,'Thông số'!$B:$F,5,0),"")</f>
        <v/>
      </c>
    </row>
    <row r="433" ht="14.25" customHeight="1">
      <c r="A433" s="898">
        <v>115.0</v>
      </c>
      <c r="B433" s="899" t="s">
        <v>2317</v>
      </c>
      <c r="C433" s="902"/>
      <c r="D433" s="902"/>
      <c r="E433" s="902"/>
      <c r="F433" s="902"/>
      <c r="G433" s="905" t="s">
        <v>1520</v>
      </c>
      <c r="H433" s="901" t="s">
        <v>6590</v>
      </c>
      <c r="I433" s="901" t="s">
        <v>836</v>
      </c>
      <c r="J433" s="902"/>
      <c r="K433" s="901" t="s">
        <v>1027</v>
      </c>
      <c r="L433" s="902"/>
      <c r="M433" s="906" t="s">
        <v>2313</v>
      </c>
      <c r="N433" s="901" t="s">
        <v>1522</v>
      </c>
      <c r="O433" s="905" t="s">
        <v>1521</v>
      </c>
      <c r="P433" s="899" t="s">
        <v>662</v>
      </c>
      <c r="Q433" s="901">
        <v>2024.0</v>
      </c>
      <c r="R433" s="901" t="s">
        <v>1523</v>
      </c>
      <c r="S433" s="899" t="s">
        <v>2318</v>
      </c>
      <c r="T433" s="899" t="s">
        <v>2319</v>
      </c>
      <c r="U433" s="885" t="str">
        <f>IFERROR(VLOOKUP(N433,'Thông số'!$B:$F,5,0),"")</f>
        <v/>
      </c>
    </row>
    <row r="434" ht="14.25" customHeight="1">
      <c r="A434" s="898">
        <v>116.0</v>
      </c>
      <c r="B434" s="899" t="s">
        <v>1719</v>
      </c>
      <c r="C434" s="899" t="s">
        <v>2320</v>
      </c>
      <c r="D434" s="901" t="s">
        <v>2321</v>
      </c>
      <c r="E434" s="902"/>
      <c r="F434" s="902"/>
      <c r="G434" s="905" t="s">
        <v>496</v>
      </c>
      <c r="H434" s="902"/>
      <c r="I434" s="901" t="s">
        <v>836</v>
      </c>
      <c r="J434" s="903">
        <v>45881.0</v>
      </c>
      <c r="K434" s="901" t="s">
        <v>1027</v>
      </c>
      <c r="L434" s="902"/>
      <c r="M434" s="906" t="s">
        <v>2322</v>
      </c>
      <c r="N434" s="901" t="s">
        <v>498</v>
      </c>
      <c r="O434" s="899" t="s">
        <v>187</v>
      </c>
      <c r="P434" s="899" t="s">
        <v>510</v>
      </c>
      <c r="Q434" s="901">
        <v>2004.0</v>
      </c>
      <c r="R434" s="901" t="s">
        <v>6508</v>
      </c>
      <c r="S434" s="899" t="s">
        <v>2323</v>
      </c>
      <c r="T434" s="899">
        <v>161031.0</v>
      </c>
      <c r="U434" s="885" t="str">
        <f>IFERROR(VLOOKUP(N434,'Thông số'!$B:$F,5,0),"")</f>
        <v>3105 x 1390 x 1700</v>
      </c>
    </row>
    <row r="435" ht="14.25" customHeight="1">
      <c r="A435" s="898">
        <v>117.0</v>
      </c>
      <c r="B435" s="899" t="s">
        <v>543</v>
      </c>
      <c r="C435" s="902"/>
      <c r="D435" s="901" t="s">
        <v>544</v>
      </c>
      <c r="E435" s="902"/>
      <c r="F435" s="902"/>
      <c r="G435" s="905" t="s">
        <v>545</v>
      </c>
      <c r="H435" s="902"/>
      <c r="I435" s="901" t="s">
        <v>836</v>
      </c>
      <c r="J435" s="903">
        <v>45973.0</v>
      </c>
      <c r="K435" s="901" t="s">
        <v>1027</v>
      </c>
      <c r="L435" s="902"/>
      <c r="M435" s="906" t="s">
        <v>6642</v>
      </c>
      <c r="N435" s="901" t="s">
        <v>548</v>
      </c>
      <c r="O435" s="899" t="s">
        <v>123</v>
      </c>
      <c r="P435" s="899" t="s">
        <v>510</v>
      </c>
      <c r="Q435" s="901">
        <v>2006.0</v>
      </c>
      <c r="R435" s="901" t="s">
        <v>549</v>
      </c>
      <c r="S435" s="899" t="s">
        <v>550</v>
      </c>
      <c r="T435" s="899">
        <v>3.0559211E7</v>
      </c>
      <c r="U435" s="885" t="str">
        <f>IFERROR(VLOOKUP(N435,'Thông số'!$B:$F,5,0),"")</f>
        <v>5540 x 3860 x 3150</v>
      </c>
    </row>
    <row r="436" ht="14.25" customHeight="1">
      <c r="A436" s="898">
        <v>118.0</v>
      </c>
      <c r="B436" s="899" t="s">
        <v>2324</v>
      </c>
      <c r="C436" s="902"/>
      <c r="D436" s="901" t="s">
        <v>2325</v>
      </c>
      <c r="E436" s="902"/>
      <c r="F436" s="902"/>
      <c r="G436" s="905" t="s">
        <v>2326</v>
      </c>
      <c r="H436" s="901" t="s">
        <v>6590</v>
      </c>
      <c r="I436" s="901" t="s">
        <v>836</v>
      </c>
      <c r="J436" s="903">
        <v>45874.0</v>
      </c>
      <c r="K436" s="901" t="s">
        <v>1027</v>
      </c>
      <c r="L436" s="902"/>
      <c r="M436" s="906" t="s">
        <v>76</v>
      </c>
      <c r="N436" s="901" t="s">
        <v>2327</v>
      </c>
      <c r="O436" s="899" t="s">
        <v>1887</v>
      </c>
      <c r="P436" s="902"/>
      <c r="Q436" s="902"/>
      <c r="R436" s="901" t="s">
        <v>2328</v>
      </c>
      <c r="S436" s="899">
        <v>20265.0</v>
      </c>
      <c r="T436" s="899" t="s">
        <v>2329</v>
      </c>
      <c r="U436" s="885" t="str">
        <f>IFERROR(VLOOKUP(N436,'Thông số'!$B:$F,5,0),"")</f>
        <v>6800 x 3200 x 3400</v>
      </c>
    </row>
    <row r="437" ht="14.25" customHeight="1">
      <c r="A437" s="898">
        <v>119.0</v>
      </c>
      <c r="B437" s="899" t="s">
        <v>2330</v>
      </c>
      <c r="C437" s="902"/>
      <c r="D437" s="901" t="s">
        <v>2331</v>
      </c>
      <c r="E437" s="902"/>
      <c r="F437" s="902"/>
      <c r="G437" s="905" t="s">
        <v>2332</v>
      </c>
      <c r="H437" s="901" t="s">
        <v>6590</v>
      </c>
      <c r="I437" s="901" t="s">
        <v>836</v>
      </c>
      <c r="J437" s="903">
        <v>45874.0</v>
      </c>
      <c r="K437" s="901" t="s">
        <v>1027</v>
      </c>
      <c r="L437" s="902"/>
      <c r="M437" s="906" t="s">
        <v>76</v>
      </c>
      <c r="N437" s="901" t="s">
        <v>2334</v>
      </c>
      <c r="O437" s="899" t="s">
        <v>1887</v>
      </c>
      <c r="P437" s="902"/>
      <c r="Q437" s="901">
        <v>1988.0</v>
      </c>
      <c r="R437" s="901" t="s">
        <v>705</v>
      </c>
      <c r="S437" s="899">
        <v>701114.0</v>
      </c>
      <c r="T437" s="899" t="s">
        <v>2335</v>
      </c>
      <c r="U437" s="885" t="str">
        <f>IFERROR(VLOOKUP(N437,'Thông số'!$B:$F,5,0),"")</f>
        <v/>
      </c>
    </row>
    <row r="438" ht="14.25" customHeight="1">
      <c r="A438" s="898">
        <v>120.0</v>
      </c>
      <c r="B438" s="899" t="s">
        <v>2336</v>
      </c>
      <c r="C438" s="902"/>
      <c r="D438" s="901" t="s">
        <v>2337</v>
      </c>
      <c r="E438" s="902"/>
      <c r="F438" s="902"/>
      <c r="G438" s="905" t="s">
        <v>2338</v>
      </c>
      <c r="H438" s="902"/>
      <c r="I438" s="901" t="s">
        <v>836</v>
      </c>
      <c r="J438" s="903">
        <v>45992.0</v>
      </c>
      <c r="K438" s="901" t="s">
        <v>1027</v>
      </c>
      <c r="L438" s="902"/>
      <c r="M438" s="906" t="s">
        <v>890</v>
      </c>
      <c r="N438" s="901" t="s">
        <v>2340</v>
      </c>
      <c r="O438" s="899" t="s">
        <v>1093</v>
      </c>
      <c r="P438" s="899" t="s">
        <v>2339</v>
      </c>
      <c r="Q438" s="901">
        <v>2025.0</v>
      </c>
      <c r="R438" s="901" t="s">
        <v>2341</v>
      </c>
      <c r="S438" s="899" t="s">
        <v>96</v>
      </c>
      <c r="T438" s="899" t="s">
        <v>96</v>
      </c>
      <c r="U438" s="885" t="str">
        <f>IFERROR(VLOOKUP(N438,'Thông số'!$B:$F,5,0),"")</f>
        <v/>
      </c>
    </row>
    <row r="439" ht="14.25" customHeight="1">
      <c r="A439" s="898">
        <v>121.0</v>
      </c>
      <c r="B439" s="899" t="s">
        <v>2342</v>
      </c>
      <c r="C439" s="902"/>
      <c r="D439" s="901" t="s">
        <v>2337</v>
      </c>
      <c r="E439" s="902"/>
      <c r="F439" s="902"/>
      <c r="G439" s="905" t="s">
        <v>2338</v>
      </c>
      <c r="H439" s="902"/>
      <c r="I439" s="901" t="s">
        <v>836</v>
      </c>
      <c r="J439" s="903">
        <v>45992.0</v>
      </c>
      <c r="K439" s="901" t="s">
        <v>1027</v>
      </c>
      <c r="L439" s="902"/>
      <c r="M439" s="906" t="s">
        <v>890</v>
      </c>
      <c r="N439" s="901" t="s">
        <v>2340</v>
      </c>
      <c r="O439" s="899" t="s">
        <v>1093</v>
      </c>
      <c r="P439" s="899" t="s">
        <v>2339</v>
      </c>
      <c r="Q439" s="901">
        <v>2025.0</v>
      </c>
      <c r="R439" s="901" t="s">
        <v>2341</v>
      </c>
      <c r="S439" s="899" t="s">
        <v>96</v>
      </c>
      <c r="T439" s="899" t="s">
        <v>96</v>
      </c>
      <c r="U439" s="885" t="str">
        <f>IFERROR(VLOOKUP(N439,'Thông số'!$B:$F,5,0),"")</f>
        <v/>
      </c>
    </row>
    <row r="440" ht="14.25" customHeight="1">
      <c r="A440" s="898">
        <v>122.0</v>
      </c>
      <c r="B440" s="899" t="s">
        <v>2343</v>
      </c>
      <c r="C440" s="902"/>
      <c r="D440" s="901" t="s">
        <v>2337</v>
      </c>
      <c r="E440" s="902"/>
      <c r="F440" s="902"/>
      <c r="G440" s="905" t="s">
        <v>2338</v>
      </c>
      <c r="H440" s="902"/>
      <c r="I440" s="901" t="s">
        <v>836</v>
      </c>
      <c r="J440" s="903">
        <v>45992.0</v>
      </c>
      <c r="K440" s="901" t="s">
        <v>1027</v>
      </c>
      <c r="L440" s="902"/>
      <c r="M440" s="906" t="s">
        <v>890</v>
      </c>
      <c r="N440" s="901" t="s">
        <v>2340</v>
      </c>
      <c r="O440" s="899" t="s">
        <v>1093</v>
      </c>
      <c r="P440" s="899" t="s">
        <v>2339</v>
      </c>
      <c r="Q440" s="901">
        <v>2025.0</v>
      </c>
      <c r="R440" s="901" t="s">
        <v>2341</v>
      </c>
      <c r="S440" s="899" t="s">
        <v>96</v>
      </c>
      <c r="T440" s="899" t="s">
        <v>96</v>
      </c>
      <c r="U440" s="885" t="str">
        <f>IFERROR(VLOOKUP(N440,'Thông số'!$B:$F,5,0),"")</f>
        <v/>
      </c>
    </row>
    <row r="441" ht="14.25" customHeight="1">
      <c r="A441" s="898">
        <v>123.0</v>
      </c>
      <c r="B441" s="899" t="s">
        <v>2344</v>
      </c>
      <c r="C441" s="902"/>
      <c r="D441" s="901" t="s">
        <v>2337</v>
      </c>
      <c r="E441" s="902"/>
      <c r="F441" s="902"/>
      <c r="G441" s="905" t="s">
        <v>2338</v>
      </c>
      <c r="H441" s="902"/>
      <c r="I441" s="901" t="s">
        <v>836</v>
      </c>
      <c r="J441" s="903">
        <v>45992.0</v>
      </c>
      <c r="K441" s="901" t="s">
        <v>1027</v>
      </c>
      <c r="L441" s="902"/>
      <c r="M441" s="906" t="s">
        <v>890</v>
      </c>
      <c r="N441" s="901" t="s">
        <v>2340</v>
      </c>
      <c r="O441" s="899" t="s">
        <v>1093</v>
      </c>
      <c r="P441" s="899" t="s">
        <v>2339</v>
      </c>
      <c r="Q441" s="901">
        <v>2025.0</v>
      </c>
      <c r="R441" s="901" t="s">
        <v>2341</v>
      </c>
      <c r="S441" s="899" t="s">
        <v>96</v>
      </c>
      <c r="T441" s="899" t="s">
        <v>96</v>
      </c>
      <c r="U441" s="885" t="str">
        <f>IFERROR(VLOOKUP(N441,'Thông số'!$B:$F,5,0),"")</f>
        <v/>
      </c>
    </row>
    <row r="442" ht="14.25" customHeight="1">
      <c r="A442" s="898">
        <v>124.0</v>
      </c>
      <c r="B442" s="899" t="s">
        <v>2345</v>
      </c>
      <c r="C442" s="902"/>
      <c r="D442" s="901" t="s">
        <v>2337</v>
      </c>
      <c r="E442" s="902"/>
      <c r="F442" s="902"/>
      <c r="G442" s="905" t="s">
        <v>2338</v>
      </c>
      <c r="H442" s="902"/>
      <c r="I442" s="901" t="s">
        <v>836</v>
      </c>
      <c r="J442" s="903">
        <v>45992.0</v>
      </c>
      <c r="K442" s="901" t="s">
        <v>1027</v>
      </c>
      <c r="L442" s="902"/>
      <c r="M442" s="906" t="s">
        <v>890</v>
      </c>
      <c r="N442" s="901" t="s">
        <v>2340</v>
      </c>
      <c r="O442" s="899" t="s">
        <v>1093</v>
      </c>
      <c r="P442" s="899" t="s">
        <v>2339</v>
      </c>
      <c r="Q442" s="901">
        <v>2025.0</v>
      </c>
      <c r="R442" s="901" t="s">
        <v>2341</v>
      </c>
      <c r="S442" s="899" t="s">
        <v>96</v>
      </c>
      <c r="T442" s="899" t="s">
        <v>96</v>
      </c>
      <c r="U442" s="885" t="str">
        <f>IFERROR(VLOOKUP(N442,'Thông số'!$B:$F,5,0),"")</f>
        <v/>
      </c>
    </row>
    <row r="443" ht="14.25" customHeight="1">
      <c r="A443" s="882" t="s">
        <v>2355</v>
      </c>
      <c r="B443" s="883"/>
      <c r="C443" s="884">
        <v>22.0</v>
      </c>
      <c r="D443" s="883"/>
      <c r="E443" s="883"/>
      <c r="F443" s="883"/>
      <c r="G443" s="883"/>
      <c r="H443" s="902"/>
      <c r="I443" s="883"/>
      <c r="J443" s="883"/>
      <c r="K443" s="883"/>
      <c r="L443" s="883"/>
      <c r="M443" s="883"/>
      <c r="N443" s="883"/>
      <c r="O443" s="883"/>
      <c r="P443" s="883"/>
      <c r="Q443" s="883"/>
      <c r="R443" s="883"/>
      <c r="S443" s="883"/>
      <c r="T443" s="883"/>
      <c r="U443" s="885" t="str">
        <f>IFERROR(VLOOKUP(N443,'Thông số'!$B:$F,5,0),"")</f>
        <v/>
      </c>
    </row>
    <row r="444" ht="14.25" customHeight="1">
      <c r="A444" s="891">
        <v>1.0</v>
      </c>
      <c r="B444" s="892" t="s">
        <v>2357</v>
      </c>
      <c r="C444" s="892" t="s">
        <v>2358</v>
      </c>
      <c r="D444" s="895" t="s">
        <v>5750</v>
      </c>
      <c r="E444" s="895" t="s">
        <v>2359</v>
      </c>
      <c r="F444" s="892" t="s">
        <v>5750</v>
      </c>
      <c r="G444" s="892" t="s">
        <v>2360</v>
      </c>
      <c r="H444" s="894"/>
      <c r="I444" s="895" t="s">
        <v>64</v>
      </c>
      <c r="J444" s="896">
        <v>43952.0</v>
      </c>
      <c r="K444" s="895" t="s">
        <v>865</v>
      </c>
      <c r="L444" s="897">
        <v>0.67</v>
      </c>
      <c r="M444" s="894"/>
      <c r="N444" s="895" t="s">
        <v>2361</v>
      </c>
      <c r="O444" s="892" t="s">
        <v>147</v>
      </c>
      <c r="P444" s="892" t="s">
        <v>148</v>
      </c>
      <c r="Q444" s="895">
        <v>2012.0</v>
      </c>
      <c r="R444" s="895" t="s">
        <v>117</v>
      </c>
      <c r="S444" s="892">
        <v>6005.0</v>
      </c>
      <c r="T444" s="892">
        <v>495027.0</v>
      </c>
      <c r="U444" s="885" t="str">
        <f>IFERROR(VLOOKUP(N444,'Thông số'!$B:$F,5,0),"")</f>
        <v>9510 x 2450 x 2840</v>
      </c>
    </row>
    <row r="445" ht="14.25" customHeight="1">
      <c r="A445" s="898">
        <v>2.0</v>
      </c>
      <c r="B445" s="899" t="s">
        <v>2362</v>
      </c>
      <c r="C445" s="899" t="s">
        <v>2363</v>
      </c>
      <c r="D445" s="901" t="s">
        <v>6643</v>
      </c>
      <c r="E445" s="901" t="s">
        <v>2364</v>
      </c>
      <c r="F445" s="902"/>
      <c r="G445" s="899" t="s">
        <v>2360</v>
      </c>
      <c r="H445" s="902"/>
      <c r="I445" s="901" t="s">
        <v>64</v>
      </c>
      <c r="J445" s="902"/>
      <c r="K445" s="901" t="s">
        <v>1027</v>
      </c>
      <c r="L445" s="902"/>
      <c r="M445" s="902"/>
      <c r="N445" s="901" t="s">
        <v>2361</v>
      </c>
      <c r="O445" s="899" t="s">
        <v>147</v>
      </c>
      <c r="P445" s="899" t="s">
        <v>148</v>
      </c>
      <c r="Q445" s="901">
        <v>2012.0</v>
      </c>
      <c r="R445" s="901" t="s">
        <v>117</v>
      </c>
      <c r="S445" s="899" t="s">
        <v>2365</v>
      </c>
      <c r="T445" s="899" t="s">
        <v>96</v>
      </c>
      <c r="U445" s="885" t="str">
        <f>IFERROR(VLOOKUP(N445,'Thông số'!$B:$F,5,0),"")</f>
        <v>9510 x 2450 x 2840</v>
      </c>
    </row>
    <row r="446" ht="14.25" customHeight="1">
      <c r="A446" s="891">
        <v>3.0</v>
      </c>
      <c r="B446" s="892" t="s">
        <v>2366</v>
      </c>
      <c r="C446" s="892" t="s">
        <v>2367</v>
      </c>
      <c r="D446" s="895" t="s">
        <v>5751</v>
      </c>
      <c r="E446" s="895" t="s">
        <v>2368</v>
      </c>
      <c r="F446" s="892" t="s">
        <v>5751</v>
      </c>
      <c r="G446" s="892" t="s">
        <v>2360</v>
      </c>
      <c r="H446" s="894"/>
      <c r="I446" s="895" t="s">
        <v>64</v>
      </c>
      <c r="J446" s="896">
        <v>44114.0</v>
      </c>
      <c r="K446" s="895" t="s">
        <v>865</v>
      </c>
      <c r="L446" s="897">
        <v>0.6</v>
      </c>
      <c r="M446" s="894"/>
      <c r="N446" s="895" t="s">
        <v>2361</v>
      </c>
      <c r="O446" s="892" t="s">
        <v>147</v>
      </c>
      <c r="P446" s="892" t="s">
        <v>148</v>
      </c>
      <c r="Q446" s="895">
        <v>2012.0</v>
      </c>
      <c r="R446" s="895" t="s">
        <v>117</v>
      </c>
      <c r="S446" s="892" t="s">
        <v>2369</v>
      </c>
      <c r="T446" s="892" t="s">
        <v>96</v>
      </c>
      <c r="U446" s="885" t="str">
        <f>IFERROR(VLOOKUP(N446,'Thông số'!$B:$F,5,0),"")</f>
        <v>9510 x 2450 x 2840</v>
      </c>
    </row>
    <row r="447" ht="14.25" customHeight="1">
      <c r="A447" s="898">
        <v>4.0</v>
      </c>
      <c r="B447" s="899" t="s">
        <v>2371</v>
      </c>
      <c r="C447" s="899" t="s">
        <v>2371</v>
      </c>
      <c r="D447" s="901" t="s">
        <v>5752</v>
      </c>
      <c r="E447" s="902"/>
      <c r="F447" s="899" t="s">
        <v>5752</v>
      </c>
      <c r="G447" s="899" t="s">
        <v>2170</v>
      </c>
      <c r="H447" s="901" t="s">
        <v>6638</v>
      </c>
      <c r="I447" s="901" t="s">
        <v>64</v>
      </c>
      <c r="J447" s="903">
        <v>44621.0</v>
      </c>
      <c r="K447" s="901" t="s">
        <v>1027</v>
      </c>
      <c r="L447" s="904">
        <v>0.79</v>
      </c>
      <c r="M447" s="902"/>
      <c r="N447" s="901" t="s">
        <v>2372</v>
      </c>
      <c r="O447" s="899" t="s">
        <v>300</v>
      </c>
      <c r="P447" s="899" t="s">
        <v>148</v>
      </c>
      <c r="Q447" s="901">
        <v>2021.0</v>
      </c>
      <c r="R447" s="901" t="s">
        <v>413</v>
      </c>
      <c r="S447" s="899" t="s">
        <v>2373</v>
      </c>
      <c r="T447" s="899" t="s">
        <v>2374</v>
      </c>
      <c r="U447" s="885" t="str">
        <f>IFERROR(VLOOKUP(N447,'Thông số'!$B:$F,5,0),"")</f>
        <v>6160 x 2330 x 2750</v>
      </c>
    </row>
    <row r="448" ht="14.25" customHeight="1">
      <c r="A448" s="898">
        <v>5.0</v>
      </c>
      <c r="B448" s="899" t="s">
        <v>2375</v>
      </c>
      <c r="C448" s="899" t="s">
        <v>2375</v>
      </c>
      <c r="D448" s="901" t="s">
        <v>5753</v>
      </c>
      <c r="E448" s="902"/>
      <c r="F448" s="899" t="s">
        <v>5753</v>
      </c>
      <c r="G448" s="899" t="s">
        <v>2170</v>
      </c>
      <c r="H448" s="901" t="s">
        <v>6638</v>
      </c>
      <c r="I448" s="901" t="s">
        <v>64</v>
      </c>
      <c r="J448" s="903">
        <v>44621.0</v>
      </c>
      <c r="K448" s="901" t="s">
        <v>1027</v>
      </c>
      <c r="L448" s="904">
        <v>0.79</v>
      </c>
      <c r="M448" s="902"/>
      <c r="N448" s="901" t="s">
        <v>2372</v>
      </c>
      <c r="O448" s="899" t="s">
        <v>300</v>
      </c>
      <c r="P448" s="899" t="s">
        <v>148</v>
      </c>
      <c r="Q448" s="901">
        <v>2021.0</v>
      </c>
      <c r="R448" s="901" t="s">
        <v>413</v>
      </c>
      <c r="S448" s="899" t="s">
        <v>2376</v>
      </c>
      <c r="T448" s="899" t="s">
        <v>2377</v>
      </c>
      <c r="U448" s="885" t="str">
        <f>IFERROR(VLOOKUP(N448,'Thông số'!$B:$F,5,0),"")</f>
        <v>6160 x 2330 x 2750</v>
      </c>
    </row>
    <row r="449" ht="14.25" customHeight="1">
      <c r="A449" s="898">
        <v>6.0</v>
      </c>
      <c r="B449" s="899" t="s">
        <v>2378</v>
      </c>
      <c r="C449" s="899" t="s">
        <v>2378</v>
      </c>
      <c r="D449" s="901" t="s">
        <v>5754</v>
      </c>
      <c r="E449" s="902"/>
      <c r="F449" s="899" t="s">
        <v>5754</v>
      </c>
      <c r="G449" s="899" t="s">
        <v>2170</v>
      </c>
      <c r="H449" s="901" t="s">
        <v>6638</v>
      </c>
      <c r="I449" s="901" t="s">
        <v>64</v>
      </c>
      <c r="J449" s="903">
        <v>44621.0</v>
      </c>
      <c r="K449" s="901" t="s">
        <v>1027</v>
      </c>
      <c r="L449" s="904">
        <v>0.79</v>
      </c>
      <c r="M449" s="902"/>
      <c r="N449" s="901" t="s">
        <v>2372</v>
      </c>
      <c r="O449" s="899" t="s">
        <v>300</v>
      </c>
      <c r="P449" s="899" t="s">
        <v>148</v>
      </c>
      <c r="Q449" s="901">
        <v>2021.0</v>
      </c>
      <c r="R449" s="901" t="s">
        <v>413</v>
      </c>
      <c r="S449" s="899" t="s">
        <v>2379</v>
      </c>
      <c r="T449" s="899" t="s">
        <v>2380</v>
      </c>
      <c r="U449" s="885" t="str">
        <f>IFERROR(VLOOKUP(N449,'Thông số'!$B:$F,5,0),"")</f>
        <v>6160 x 2330 x 2750</v>
      </c>
    </row>
    <row r="450" ht="14.25" customHeight="1">
      <c r="A450" s="898">
        <v>7.0</v>
      </c>
      <c r="B450" s="899" t="s">
        <v>2788</v>
      </c>
      <c r="C450" s="899" t="s">
        <v>2788</v>
      </c>
      <c r="D450" s="901" t="s">
        <v>2789</v>
      </c>
      <c r="E450" s="902"/>
      <c r="F450" s="899" t="s">
        <v>2789</v>
      </c>
      <c r="G450" s="899" t="s">
        <v>2170</v>
      </c>
      <c r="H450" s="901" t="s">
        <v>6638</v>
      </c>
      <c r="I450" s="901" t="s">
        <v>64</v>
      </c>
      <c r="J450" s="903">
        <v>44805.0</v>
      </c>
      <c r="K450" s="901" t="s">
        <v>1027</v>
      </c>
      <c r="L450" s="904">
        <v>0.76</v>
      </c>
      <c r="M450" s="902"/>
      <c r="N450" s="901" t="s">
        <v>2372</v>
      </c>
      <c r="O450" s="899" t="s">
        <v>300</v>
      </c>
      <c r="P450" s="899" t="s">
        <v>148</v>
      </c>
      <c r="Q450" s="901">
        <v>2021.0</v>
      </c>
      <c r="R450" s="901" t="s">
        <v>413</v>
      </c>
      <c r="S450" s="899">
        <v>49596.0</v>
      </c>
      <c r="T450" s="899" t="s">
        <v>96</v>
      </c>
      <c r="U450" s="885" t="str">
        <f>IFERROR(VLOOKUP(N450,'Thông số'!$B:$F,5,0),"")</f>
        <v>6160 x 2330 x 2750</v>
      </c>
    </row>
    <row r="451" ht="14.25" customHeight="1">
      <c r="A451" s="891">
        <v>8.0</v>
      </c>
      <c r="B451" s="892" t="s">
        <v>2381</v>
      </c>
      <c r="C451" s="892" t="s">
        <v>2381</v>
      </c>
      <c r="D451" s="895" t="s">
        <v>5755</v>
      </c>
      <c r="E451" s="894"/>
      <c r="F451" s="892" t="s">
        <v>5755</v>
      </c>
      <c r="G451" s="892" t="s">
        <v>2170</v>
      </c>
      <c r="H451" s="895" t="s">
        <v>6638</v>
      </c>
      <c r="I451" s="895" t="s">
        <v>64</v>
      </c>
      <c r="J451" s="896">
        <v>44805.0</v>
      </c>
      <c r="K451" s="895" t="s">
        <v>865</v>
      </c>
      <c r="L451" s="897">
        <v>0.86</v>
      </c>
      <c r="M451" s="894"/>
      <c r="N451" s="895" t="s">
        <v>2372</v>
      </c>
      <c r="O451" s="892" t="s">
        <v>300</v>
      </c>
      <c r="P451" s="892" t="s">
        <v>148</v>
      </c>
      <c r="Q451" s="895">
        <v>2021.0</v>
      </c>
      <c r="R451" s="895" t="s">
        <v>413</v>
      </c>
      <c r="S451" s="892">
        <v>49595.0</v>
      </c>
      <c r="T451" s="892" t="s">
        <v>96</v>
      </c>
      <c r="U451" s="885" t="str">
        <f>IFERROR(VLOOKUP(N451,'Thông số'!$B:$F,5,0),"")</f>
        <v>6160 x 2330 x 2750</v>
      </c>
    </row>
    <row r="452" ht="14.25" customHeight="1">
      <c r="A452" s="898">
        <v>9.0</v>
      </c>
      <c r="B452" s="899" t="s">
        <v>2383</v>
      </c>
      <c r="C452" s="899" t="s">
        <v>6644</v>
      </c>
      <c r="D452" s="901" t="s">
        <v>6645</v>
      </c>
      <c r="E452" s="902"/>
      <c r="F452" s="902"/>
      <c r="G452" s="899" t="s">
        <v>2385</v>
      </c>
      <c r="H452" s="902"/>
      <c r="I452" s="901" t="s">
        <v>64</v>
      </c>
      <c r="J452" s="902"/>
      <c r="K452" s="901" t="s">
        <v>1027</v>
      </c>
      <c r="L452" s="902"/>
      <c r="M452" s="902"/>
      <c r="N452" s="902"/>
      <c r="O452" s="899" t="s">
        <v>161</v>
      </c>
      <c r="P452" s="902"/>
      <c r="Q452" s="902"/>
      <c r="R452" s="902"/>
      <c r="S452" s="899">
        <v>63965.0</v>
      </c>
      <c r="T452" s="899" t="s">
        <v>96</v>
      </c>
      <c r="U452" s="885" t="str">
        <f>IFERROR(VLOOKUP(N452,'Thông số'!$B:$F,5,0),"")</f>
        <v/>
      </c>
    </row>
    <row r="453" ht="14.25" customHeight="1">
      <c r="A453" s="898">
        <v>10.0</v>
      </c>
      <c r="B453" s="899" t="s">
        <v>2388</v>
      </c>
      <c r="C453" s="899" t="s">
        <v>2389</v>
      </c>
      <c r="D453" s="901" t="s">
        <v>6646</v>
      </c>
      <c r="E453" s="902"/>
      <c r="F453" s="902"/>
      <c r="G453" s="899" t="s">
        <v>2385</v>
      </c>
      <c r="H453" s="902"/>
      <c r="I453" s="901" t="s">
        <v>64</v>
      </c>
      <c r="J453" s="902"/>
      <c r="K453" s="901" t="s">
        <v>1027</v>
      </c>
      <c r="L453" s="902"/>
      <c r="M453" s="902"/>
      <c r="N453" s="902"/>
      <c r="O453" s="899" t="s">
        <v>161</v>
      </c>
      <c r="P453" s="902"/>
      <c r="Q453" s="902"/>
      <c r="R453" s="902"/>
      <c r="S453" s="899">
        <v>933513.0</v>
      </c>
      <c r="T453" s="899" t="s">
        <v>96</v>
      </c>
      <c r="U453" s="885" t="str">
        <f>IFERROR(VLOOKUP(N453,'Thông số'!$B:$F,5,0),"")</f>
        <v/>
      </c>
    </row>
    <row r="454" ht="14.25" customHeight="1">
      <c r="A454" s="898">
        <v>11.0</v>
      </c>
      <c r="B454" s="899" t="s">
        <v>2390</v>
      </c>
      <c r="C454" s="899" t="s">
        <v>2390</v>
      </c>
      <c r="D454" s="901" t="s">
        <v>5885</v>
      </c>
      <c r="E454" s="902"/>
      <c r="F454" s="899" t="s">
        <v>5885</v>
      </c>
      <c r="G454" s="899" t="s">
        <v>2391</v>
      </c>
      <c r="H454" s="902"/>
      <c r="I454" s="901" t="s">
        <v>64</v>
      </c>
      <c r="J454" s="902"/>
      <c r="K454" s="901" t="s">
        <v>1027</v>
      </c>
      <c r="L454" s="902"/>
      <c r="M454" s="902"/>
      <c r="N454" s="901" t="s">
        <v>149</v>
      </c>
      <c r="O454" s="899" t="s">
        <v>6647</v>
      </c>
      <c r="P454" s="899" t="s">
        <v>148</v>
      </c>
      <c r="Q454" s="901">
        <v>2018.0</v>
      </c>
      <c r="R454" s="902"/>
      <c r="S454" s="899" t="s">
        <v>2392</v>
      </c>
      <c r="T454" s="899" t="s">
        <v>96</v>
      </c>
      <c r="U454" s="885" t="str">
        <f>IFERROR(VLOOKUP(N454,'Thông số'!$B:$F,5,0),"")</f>
        <v>9290 x 2500 x 3370</v>
      </c>
    </row>
    <row r="455" ht="14.25" customHeight="1">
      <c r="A455" s="898">
        <v>12.0</v>
      </c>
      <c r="B455" s="899" t="s">
        <v>2393</v>
      </c>
      <c r="C455" s="899" t="s">
        <v>2393</v>
      </c>
      <c r="D455" s="901" t="s">
        <v>5885</v>
      </c>
      <c r="E455" s="902"/>
      <c r="F455" s="899" t="s">
        <v>5885</v>
      </c>
      <c r="G455" s="899" t="s">
        <v>2391</v>
      </c>
      <c r="H455" s="902"/>
      <c r="I455" s="901" t="s">
        <v>64</v>
      </c>
      <c r="J455" s="903">
        <v>44228.0</v>
      </c>
      <c r="K455" s="901" t="s">
        <v>1027</v>
      </c>
      <c r="L455" s="904">
        <v>0.68</v>
      </c>
      <c r="M455" s="902"/>
      <c r="N455" s="901" t="s">
        <v>149</v>
      </c>
      <c r="O455" s="899" t="s">
        <v>147</v>
      </c>
      <c r="P455" s="899" t="s">
        <v>148</v>
      </c>
      <c r="Q455" s="901">
        <v>2018.0</v>
      </c>
      <c r="R455" s="901" t="s">
        <v>150</v>
      </c>
      <c r="S455" s="899" t="s">
        <v>2394</v>
      </c>
      <c r="T455" s="899" t="s">
        <v>2395</v>
      </c>
      <c r="U455" s="885" t="str">
        <f>IFERROR(VLOOKUP(N455,'Thông số'!$B:$F,5,0),"")</f>
        <v>9290 x 2500 x 3370</v>
      </c>
    </row>
    <row r="456" ht="14.25" customHeight="1">
      <c r="A456" s="898">
        <v>13.0</v>
      </c>
      <c r="B456" s="899" t="s">
        <v>2396</v>
      </c>
      <c r="C456" s="899" t="s">
        <v>2397</v>
      </c>
      <c r="D456" s="901" t="s">
        <v>5888</v>
      </c>
      <c r="E456" s="901" t="s">
        <v>2398</v>
      </c>
      <c r="F456" s="899" t="s">
        <v>5888</v>
      </c>
      <c r="G456" s="899" t="s">
        <v>2399</v>
      </c>
      <c r="H456" s="902"/>
      <c r="I456" s="901" t="s">
        <v>64</v>
      </c>
      <c r="J456" s="902"/>
      <c r="K456" s="901" t="s">
        <v>1027</v>
      </c>
      <c r="L456" s="902"/>
      <c r="M456" s="902"/>
      <c r="N456" s="901" t="s">
        <v>2400</v>
      </c>
      <c r="O456" s="899" t="s">
        <v>300</v>
      </c>
      <c r="P456" s="899" t="s">
        <v>148</v>
      </c>
      <c r="Q456" s="901">
        <v>2020.0</v>
      </c>
      <c r="R456" s="901" t="s">
        <v>413</v>
      </c>
      <c r="S456" s="899" t="s">
        <v>2401</v>
      </c>
      <c r="T456" s="899" t="s">
        <v>96</v>
      </c>
      <c r="U456" s="885" t="str">
        <f>IFERROR(VLOOKUP(N456,'Thông số'!$B:$F,5,0),"")</f>
        <v>6170 x 2330 x 2750</v>
      </c>
    </row>
    <row r="457" ht="14.25" customHeight="1">
      <c r="A457" s="898">
        <v>11.0</v>
      </c>
      <c r="B457" s="899" t="s">
        <v>2402</v>
      </c>
      <c r="C457" s="899" t="s">
        <v>2403</v>
      </c>
      <c r="D457" s="901" t="s">
        <v>5735</v>
      </c>
      <c r="E457" s="902"/>
      <c r="F457" s="902"/>
      <c r="G457" s="899" t="s">
        <v>2621</v>
      </c>
      <c r="H457" s="902"/>
      <c r="I457" s="901" t="s">
        <v>64</v>
      </c>
      <c r="J457" s="903">
        <v>44228.0</v>
      </c>
      <c r="K457" s="901" t="s">
        <v>1027</v>
      </c>
      <c r="L457" s="902"/>
      <c r="M457" s="906" t="s">
        <v>6648</v>
      </c>
      <c r="N457" s="901" t="s">
        <v>149</v>
      </c>
      <c r="O457" s="899" t="s">
        <v>147</v>
      </c>
      <c r="P457" s="899" t="s">
        <v>148</v>
      </c>
      <c r="Q457" s="901">
        <v>2018.0</v>
      </c>
      <c r="R457" s="901" t="s">
        <v>150</v>
      </c>
      <c r="S457" s="899" t="s">
        <v>2405</v>
      </c>
      <c r="T457" s="899" t="s">
        <v>96</v>
      </c>
      <c r="U457" s="885" t="str">
        <f>IFERROR(VLOOKUP(N457,'Thông số'!$B:$F,5,0),"")</f>
        <v>9290 x 2500 x 3370</v>
      </c>
    </row>
    <row r="458" ht="14.25" customHeight="1">
      <c r="A458" s="898">
        <v>14.0</v>
      </c>
      <c r="B458" s="899" t="s">
        <v>3194</v>
      </c>
      <c r="C458" s="902"/>
      <c r="D458" s="901" t="s">
        <v>6649</v>
      </c>
      <c r="E458" s="902"/>
      <c r="F458" s="902"/>
      <c r="G458" s="899" t="s">
        <v>3195</v>
      </c>
      <c r="H458" s="902"/>
      <c r="I458" s="901" t="s">
        <v>64</v>
      </c>
      <c r="J458" s="903">
        <v>45315.0</v>
      </c>
      <c r="K458" s="901" t="s">
        <v>1027</v>
      </c>
      <c r="L458" s="902"/>
      <c r="M458" s="902"/>
      <c r="N458" s="901" t="s">
        <v>3197</v>
      </c>
      <c r="O458" s="899" t="s">
        <v>743</v>
      </c>
      <c r="P458" s="899" t="s">
        <v>148</v>
      </c>
      <c r="Q458" s="901">
        <v>2006.0</v>
      </c>
      <c r="R458" s="901" t="s">
        <v>3198</v>
      </c>
      <c r="S458" s="899" t="s">
        <v>3199</v>
      </c>
      <c r="T458" s="899" t="s">
        <v>3200</v>
      </c>
      <c r="U458" s="885" t="str">
        <f>IFERROR(VLOOKUP(N458,'Thông số'!$B:$F,5,0),"")</f>
        <v/>
      </c>
    </row>
    <row r="459" ht="14.25" customHeight="1">
      <c r="A459" s="898">
        <v>15.0</v>
      </c>
      <c r="B459" s="899" t="s">
        <v>3201</v>
      </c>
      <c r="C459" s="902"/>
      <c r="D459" s="901" t="s">
        <v>6650</v>
      </c>
      <c r="E459" s="902"/>
      <c r="F459" s="902"/>
      <c r="G459" s="899" t="s">
        <v>3195</v>
      </c>
      <c r="H459" s="902"/>
      <c r="I459" s="901" t="s">
        <v>64</v>
      </c>
      <c r="J459" s="903">
        <v>45315.0</v>
      </c>
      <c r="K459" s="901" t="s">
        <v>1027</v>
      </c>
      <c r="L459" s="902"/>
      <c r="M459" s="902"/>
      <c r="N459" s="901" t="s">
        <v>3197</v>
      </c>
      <c r="O459" s="899" t="s">
        <v>743</v>
      </c>
      <c r="P459" s="899" t="s">
        <v>148</v>
      </c>
      <c r="Q459" s="901">
        <v>2006.0</v>
      </c>
      <c r="R459" s="901" t="s">
        <v>3198</v>
      </c>
      <c r="S459" s="899" t="s">
        <v>3202</v>
      </c>
      <c r="T459" s="899" t="s">
        <v>3203</v>
      </c>
      <c r="U459" s="885" t="str">
        <f>IFERROR(VLOOKUP(N459,'Thông số'!$B:$F,5,0),"")</f>
        <v/>
      </c>
    </row>
    <row r="460" ht="14.25" customHeight="1">
      <c r="A460" s="898">
        <v>16.0</v>
      </c>
      <c r="B460" s="949" t="s">
        <v>2412</v>
      </c>
      <c r="C460" s="949" t="s">
        <v>2413</v>
      </c>
      <c r="D460" s="901" t="s">
        <v>6651</v>
      </c>
      <c r="E460" s="950"/>
      <c r="F460" s="950"/>
      <c r="G460" s="949" t="s">
        <v>2415</v>
      </c>
      <c r="H460" s="902"/>
      <c r="I460" s="951" t="s">
        <v>64</v>
      </c>
      <c r="J460" s="950"/>
      <c r="K460" s="950"/>
      <c r="L460" s="950"/>
      <c r="M460" s="950"/>
      <c r="N460" s="951" t="s">
        <v>2417</v>
      </c>
      <c r="O460" s="949" t="s">
        <v>2416</v>
      </c>
      <c r="P460" s="950"/>
      <c r="Q460" s="950"/>
      <c r="R460" s="951" t="s">
        <v>2418</v>
      </c>
      <c r="S460" s="949" t="s">
        <v>2419</v>
      </c>
      <c r="T460" s="950"/>
      <c r="U460" s="885" t="str">
        <f>IFERROR(VLOOKUP(N460,'Thông số'!$B:$F,5,0),"")</f>
        <v/>
      </c>
    </row>
    <row r="461" ht="14.25" customHeight="1">
      <c r="A461" s="898">
        <v>17.0</v>
      </c>
      <c r="B461" s="949" t="s">
        <v>2420</v>
      </c>
      <c r="C461" s="949" t="s">
        <v>2421</v>
      </c>
      <c r="D461" s="901" t="s">
        <v>6652</v>
      </c>
      <c r="E461" s="950"/>
      <c r="F461" s="950"/>
      <c r="G461" s="949" t="s">
        <v>2415</v>
      </c>
      <c r="H461" s="902"/>
      <c r="I461" s="951" t="s">
        <v>64</v>
      </c>
      <c r="J461" s="950"/>
      <c r="K461" s="950"/>
      <c r="L461" s="950"/>
      <c r="M461" s="950"/>
      <c r="N461" s="951" t="s">
        <v>2417</v>
      </c>
      <c r="O461" s="949" t="s">
        <v>2416</v>
      </c>
      <c r="P461" s="950"/>
      <c r="Q461" s="950"/>
      <c r="R461" s="951" t="s">
        <v>2418</v>
      </c>
      <c r="S461" s="949" t="s">
        <v>2422</v>
      </c>
      <c r="T461" s="950"/>
      <c r="U461" s="885" t="str">
        <f>IFERROR(VLOOKUP(N461,'Thông số'!$B:$F,5,0),"")</f>
        <v/>
      </c>
    </row>
    <row r="462" ht="14.25" customHeight="1">
      <c r="A462" s="898">
        <v>18.0</v>
      </c>
      <c r="B462" s="949" t="s">
        <v>2423</v>
      </c>
      <c r="C462" s="949" t="s">
        <v>2424</v>
      </c>
      <c r="D462" s="901" t="s">
        <v>6653</v>
      </c>
      <c r="E462" s="950"/>
      <c r="F462" s="950"/>
      <c r="G462" s="949" t="s">
        <v>2415</v>
      </c>
      <c r="H462" s="902"/>
      <c r="I462" s="951" t="s">
        <v>64</v>
      </c>
      <c r="J462" s="950"/>
      <c r="K462" s="950"/>
      <c r="L462" s="950"/>
      <c r="M462" s="950"/>
      <c r="N462" s="951" t="s">
        <v>2417</v>
      </c>
      <c r="O462" s="949" t="s">
        <v>2416</v>
      </c>
      <c r="P462" s="950"/>
      <c r="Q462" s="950"/>
      <c r="R462" s="951" t="s">
        <v>2418</v>
      </c>
      <c r="S462" s="949" t="s">
        <v>2425</v>
      </c>
      <c r="T462" s="950"/>
      <c r="U462" s="885" t="str">
        <f>IFERROR(VLOOKUP(N462,'Thông số'!$B:$F,5,0),"")</f>
        <v/>
      </c>
    </row>
    <row r="463" ht="14.25" customHeight="1">
      <c r="A463" s="898">
        <v>19.0</v>
      </c>
      <c r="B463" s="949" t="s">
        <v>2426</v>
      </c>
      <c r="C463" s="949" t="s">
        <v>2427</v>
      </c>
      <c r="D463" s="901" t="s">
        <v>6654</v>
      </c>
      <c r="E463" s="950"/>
      <c r="F463" s="950"/>
      <c r="G463" s="949" t="s">
        <v>2415</v>
      </c>
      <c r="H463" s="902"/>
      <c r="I463" s="951" t="s">
        <v>64</v>
      </c>
      <c r="J463" s="950"/>
      <c r="K463" s="950"/>
      <c r="L463" s="950"/>
      <c r="M463" s="950"/>
      <c r="N463" s="951" t="s">
        <v>2417</v>
      </c>
      <c r="O463" s="949" t="s">
        <v>2416</v>
      </c>
      <c r="P463" s="950"/>
      <c r="Q463" s="950"/>
      <c r="R463" s="951" t="s">
        <v>2418</v>
      </c>
      <c r="S463" s="949" t="s">
        <v>2428</v>
      </c>
      <c r="T463" s="950"/>
      <c r="U463" s="885" t="str">
        <f>IFERROR(VLOOKUP(N463,'Thông số'!$B:$F,5,0),"")</f>
        <v/>
      </c>
    </row>
    <row r="464" ht="14.25" customHeight="1">
      <c r="A464" s="898">
        <v>20.0</v>
      </c>
      <c r="B464" s="949" t="s">
        <v>2429</v>
      </c>
      <c r="C464" s="949" t="s">
        <v>2430</v>
      </c>
      <c r="D464" s="901" t="s">
        <v>6655</v>
      </c>
      <c r="E464" s="950"/>
      <c r="F464" s="950"/>
      <c r="G464" s="949" t="s">
        <v>2415</v>
      </c>
      <c r="H464" s="902"/>
      <c r="I464" s="951" t="s">
        <v>64</v>
      </c>
      <c r="J464" s="950"/>
      <c r="K464" s="950"/>
      <c r="L464" s="950"/>
      <c r="M464" s="950"/>
      <c r="N464" s="951" t="s">
        <v>2417</v>
      </c>
      <c r="O464" s="949" t="s">
        <v>2416</v>
      </c>
      <c r="P464" s="950"/>
      <c r="Q464" s="950"/>
      <c r="R464" s="951" t="s">
        <v>2418</v>
      </c>
      <c r="S464" s="949" t="s">
        <v>2431</v>
      </c>
      <c r="T464" s="950"/>
      <c r="U464" s="885" t="str">
        <f>IFERROR(VLOOKUP(N464,'Thông số'!$B:$F,5,0),"")</f>
        <v/>
      </c>
    </row>
    <row r="465" ht="14.25" customHeight="1">
      <c r="A465" s="898">
        <v>21.0</v>
      </c>
      <c r="B465" s="949" t="s">
        <v>2432</v>
      </c>
      <c r="C465" s="949" t="s">
        <v>2433</v>
      </c>
      <c r="D465" s="901" t="s">
        <v>6656</v>
      </c>
      <c r="E465" s="950"/>
      <c r="F465" s="950"/>
      <c r="G465" s="949" t="s">
        <v>2415</v>
      </c>
      <c r="H465" s="902"/>
      <c r="I465" s="951" t="s">
        <v>64</v>
      </c>
      <c r="J465" s="950"/>
      <c r="K465" s="950"/>
      <c r="L465" s="950"/>
      <c r="M465" s="950"/>
      <c r="N465" s="951" t="s">
        <v>2417</v>
      </c>
      <c r="O465" s="949" t="s">
        <v>2416</v>
      </c>
      <c r="P465" s="950"/>
      <c r="Q465" s="950"/>
      <c r="R465" s="951" t="s">
        <v>2418</v>
      </c>
      <c r="S465" s="949" t="s">
        <v>2434</v>
      </c>
      <c r="T465" s="949" t="s">
        <v>2435</v>
      </c>
      <c r="U465" s="885" t="str">
        <f>IFERROR(VLOOKUP(N465,'Thông số'!$B:$F,5,0),"")</f>
        <v/>
      </c>
    </row>
    <row r="466" ht="14.25" customHeight="1">
      <c r="A466" s="882" t="s">
        <v>2437</v>
      </c>
      <c r="B466" s="883"/>
      <c r="C466" s="884">
        <v>12.0</v>
      </c>
      <c r="D466" s="883"/>
      <c r="E466" s="883"/>
      <c r="F466" s="883"/>
      <c r="G466" s="883"/>
      <c r="H466" s="902"/>
      <c r="I466" s="883"/>
      <c r="J466" s="883"/>
      <c r="K466" s="883"/>
      <c r="L466" s="883"/>
      <c r="M466" s="883"/>
      <c r="N466" s="883"/>
      <c r="O466" s="883"/>
      <c r="P466" s="883"/>
      <c r="Q466" s="883"/>
      <c r="R466" s="883"/>
      <c r="S466" s="883"/>
      <c r="T466" s="883"/>
      <c r="U466" s="885" t="str">
        <f>IFERROR(VLOOKUP(N466,'Thông số'!$B:$F,5,0),"")</f>
        <v/>
      </c>
    </row>
    <row r="467" ht="14.25" customHeight="1">
      <c r="A467" s="891">
        <v>1.0</v>
      </c>
      <c r="B467" s="892" t="s">
        <v>2438</v>
      </c>
      <c r="C467" s="892" t="s">
        <v>2438</v>
      </c>
      <c r="D467" s="895" t="s">
        <v>5866</v>
      </c>
      <c r="E467" s="894"/>
      <c r="F467" s="892" t="s">
        <v>5866</v>
      </c>
      <c r="G467" s="892" t="s">
        <v>2439</v>
      </c>
      <c r="H467" s="894"/>
      <c r="I467" s="895" t="s">
        <v>65</v>
      </c>
      <c r="J467" s="896">
        <v>44197.0</v>
      </c>
      <c r="K467" s="895" t="s">
        <v>865</v>
      </c>
      <c r="L467" s="897">
        <v>0.67</v>
      </c>
      <c r="M467" s="894"/>
      <c r="N467" s="895" t="s">
        <v>2440</v>
      </c>
      <c r="O467" s="892" t="s">
        <v>1032</v>
      </c>
      <c r="P467" s="892" t="s">
        <v>103</v>
      </c>
      <c r="Q467" s="895">
        <v>2017.0</v>
      </c>
      <c r="R467" s="895" t="s">
        <v>2418</v>
      </c>
      <c r="S467" s="892" t="s">
        <v>2441</v>
      </c>
      <c r="T467" s="892" t="s">
        <v>2442</v>
      </c>
      <c r="U467" s="885" t="str">
        <f>IFERROR(VLOOKUP(N467,'Thông số'!$B:$F,5,0),"")</f>
        <v>8310 x 2495 x 3600</v>
      </c>
    </row>
    <row r="468" ht="14.25" customHeight="1">
      <c r="A468" s="891">
        <v>2.0</v>
      </c>
      <c r="B468" s="892" t="s">
        <v>2443</v>
      </c>
      <c r="C468" s="892" t="s">
        <v>2443</v>
      </c>
      <c r="D468" s="895" t="s">
        <v>5868</v>
      </c>
      <c r="E468" s="894"/>
      <c r="F468" s="892" t="s">
        <v>5868</v>
      </c>
      <c r="G468" s="892" t="s">
        <v>2439</v>
      </c>
      <c r="H468" s="894"/>
      <c r="I468" s="895" t="s">
        <v>65</v>
      </c>
      <c r="J468" s="896">
        <v>44197.0</v>
      </c>
      <c r="K468" s="895" t="s">
        <v>865</v>
      </c>
      <c r="L468" s="897">
        <v>0.67</v>
      </c>
      <c r="M468" s="894"/>
      <c r="N468" s="895" t="s">
        <v>2440</v>
      </c>
      <c r="O468" s="892" t="s">
        <v>1032</v>
      </c>
      <c r="P468" s="892" t="s">
        <v>103</v>
      </c>
      <c r="Q468" s="895">
        <v>2017.0</v>
      </c>
      <c r="R468" s="895" t="s">
        <v>2418</v>
      </c>
      <c r="S468" s="892" t="s">
        <v>2444</v>
      </c>
      <c r="T468" s="892" t="s">
        <v>2445</v>
      </c>
      <c r="U468" s="885" t="str">
        <f>IFERROR(VLOOKUP(N468,'Thông số'!$B:$F,5,0),"")</f>
        <v>8310 x 2495 x 3600</v>
      </c>
    </row>
    <row r="469" ht="14.25" customHeight="1">
      <c r="A469" s="898">
        <v>3.0</v>
      </c>
      <c r="B469" s="899" t="s">
        <v>2446</v>
      </c>
      <c r="C469" s="899" t="s">
        <v>2446</v>
      </c>
      <c r="D469" s="901" t="s">
        <v>5869</v>
      </c>
      <c r="E469" s="902"/>
      <c r="F469" s="899" t="s">
        <v>5869</v>
      </c>
      <c r="G469" s="899" t="s">
        <v>2439</v>
      </c>
      <c r="H469" s="902"/>
      <c r="I469" s="901" t="s">
        <v>65</v>
      </c>
      <c r="J469" s="903">
        <v>44197.0</v>
      </c>
      <c r="K469" s="901" t="s">
        <v>1027</v>
      </c>
      <c r="L469" s="904">
        <v>0.67</v>
      </c>
      <c r="M469" s="902"/>
      <c r="N469" s="901" t="s">
        <v>2440</v>
      </c>
      <c r="O469" s="899" t="s">
        <v>1032</v>
      </c>
      <c r="P469" s="899" t="s">
        <v>103</v>
      </c>
      <c r="Q469" s="901">
        <v>2017.0</v>
      </c>
      <c r="R469" s="901" t="s">
        <v>2418</v>
      </c>
      <c r="S469" s="899" t="s">
        <v>2447</v>
      </c>
      <c r="T469" s="899" t="s">
        <v>2448</v>
      </c>
      <c r="U469" s="885" t="str">
        <f>IFERROR(VLOOKUP(N469,'Thông số'!$B:$F,5,0),"")</f>
        <v>8310 x 2495 x 3600</v>
      </c>
    </row>
    <row r="470" ht="14.25" customHeight="1">
      <c r="A470" s="891">
        <v>4.0</v>
      </c>
      <c r="B470" s="892" t="s">
        <v>2449</v>
      </c>
      <c r="C470" s="892" t="s">
        <v>2449</v>
      </c>
      <c r="D470" s="895" t="s">
        <v>5870</v>
      </c>
      <c r="E470" s="894"/>
      <c r="F470" s="892" t="s">
        <v>5870</v>
      </c>
      <c r="G470" s="892" t="s">
        <v>2450</v>
      </c>
      <c r="H470" s="894"/>
      <c r="I470" s="895" t="s">
        <v>65</v>
      </c>
      <c r="J470" s="896">
        <v>44197.0</v>
      </c>
      <c r="K470" s="895" t="s">
        <v>865</v>
      </c>
      <c r="L470" s="897">
        <v>0.68</v>
      </c>
      <c r="M470" s="894"/>
      <c r="N470" s="895" t="s">
        <v>2452</v>
      </c>
      <c r="O470" s="892" t="s">
        <v>2451</v>
      </c>
      <c r="P470" s="892" t="s">
        <v>883</v>
      </c>
      <c r="Q470" s="895">
        <v>2018.0</v>
      </c>
      <c r="R470" s="895" t="s">
        <v>2453</v>
      </c>
      <c r="S470" s="892" t="s">
        <v>2454</v>
      </c>
      <c r="T470" s="892" t="s">
        <v>2455</v>
      </c>
      <c r="U470" s="885" t="str">
        <f>IFERROR(VLOOKUP(N470,'Thông số'!$B:$F,5,0),"")</f>
        <v>9830 x 2530 x 4000</v>
      </c>
    </row>
    <row r="471" ht="14.25" customHeight="1">
      <c r="A471" s="898">
        <v>5.0</v>
      </c>
      <c r="B471" s="899" t="s">
        <v>2456</v>
      </c>
      <c r="C471" s="902"/>
      <c r="D471" s="901" t="s">
        <v>5872</v>
      </c>
      <c r="E471" s="901" t="s">
        <v>2457</v>
      </c>
      <c r="F471" s="899" t="s">
        <v>5872</v>
      </c>
      <c r="G471" s="899" t="s">
        <v>2458</v>
      </c>
      <c r="H471" s="902"/>
      <c r="I471" s="901" t="s">
        <v>65</v>
      </c>
      <c r="J471" s="903">
        <v>45277.0</v>
      </c>
      <c r="K471" s="901" t="s">
        <v>1027</v>
      </c>
      <c r="L471" s="904">
        <v>0.98</v>
      </c>
      <c r="M471" s="902"/>
      <c r="N471" s="901" t="s">
        <v>2461</v>
      </c>
      <c r="O471" s="899" t="s">
        <v>2460</v>
      </c>
      <c r="P471" s="899" t="s">
        <v>883</v>
      </c>
      <c r="Q471" s="901">
        <v>2023.0</v>
      </c>
      <c r="R471" s="901" t="s">
        <v>2462</v>
      </c>
      <c r="S471" s="899" t="s">
        <v>2463</v>
      </c>
      <c r="T471" s="899" t="s">
        <v>2464</v>
      </c>
      <c r="U471" s="885" t="str">
        <f>IFERROR(VLOOKUP(N471,'Thông số'!$B:$F,5,0),"")</f>
        <v>9270 x 2500 x 3860</v>
      </c>
    </row>
    <row r="472" ht="14.25" customHeight="1">
      <c r="A472" s="898">
        <v>6.0</v>
      </c>
      <c r="B472" s="899" t="s">
        <v>2465</v>
      </c>
      <c r="C472" s="902"/>
      <c r="D472" s="901" t="s">
        <v>5873</v>
      </c>
      <c r="E472" s="901" t="s">
        <v>2466</v>
      </c>
      <c r="F472" s="899" t="s">
        <v>5873</v>
      </c>
      <c r="G472" s="899" t="s">
        <v>2458</v>
      </c>
      <c r="H472" s="902"/>
      <c r="I472" s="901" t="s">
        <v>65</v>
      </c>
      <c r="J472" s="903">
        <v>45268.0</v>
      </c>
      <c r="K472" s="901" t="s">
        <v>1027</v>
      </c>
      <c r="L472" s="904">
        <v>0.98</v>
      </c>
      <c r="M472" s="902"/>
      <c r="N472" s="901" t="s">
        <v>2461</v>
      </c>
      <c r="O472" s="899" t="s">
        <v>2460</v>
      </c>
      <c r="P472" s="899" t="s">
        <v>883</v>
      </c>
      <c r="Q472" s="901">
        <v>2023.0</v>
      </c>
      <c r="R472" s="901" t="s">
        <v>2462</v>
      </c>
      <c r="S472" s="899" t="s">
        <v>2467</v>
      </c>
      <c r="T472" s="899" t="s">
        <v>2468</v>
      </c>
      <c r="U472" s="885" t="str">
        <f>IFERROR(VLOOKUP(N472,'Thông số'!$B:$F,5,0),"")</f>
        <v>9270 x 2500 x 3860</v>
      </c>
    </row>
    <row r="473" ht="14.25" customHeight="1">
      <c r="A473" s="898">
        <v>7.0</v>
      </c>
      <c r="B473" s="899" t="s">
        <v>2469</v>
      </c>
      <c r="C473" s="902"/>
      <c r="D473" s="901" t="s">
        <v>5874</v>
      </c>
      <c r="E473" s="901" t="s">
        <v>2470</v>
      </c>
      <c r="F473" s="899" t="s">
        <v>5874</v>
      </c>
      <c r="G473" s="899" t="s">
        <v>2458</v>
      </c>
      <c r="H473" s="902"/>
      <c r="I473" s="901" t="s">
        <v>65</v>
      </c>
      <c r="J473" s="903">
        <v>45268.0</v>
      </c>
      <c r="K473" s="901" t="s">
        <v>1027</v>
      </c>
      <c r="L473" s="904">
        <v>0.98</v>
      </c>
      <c r="M473" s="902"/>
      <c r="N473" s="901" t="s">
        <v>2461</v>
      </c>
      <c r="O473" s="899" t="s">
        <v>2460</v>
      </c>
      <c r="P473" s="899" t="s">
        <v>883</v>
      </c>
      <c r="Q473" s="901">
        <v>2023.0</v>
      </c>
      <c r="R473" s="901" t="s">
        <v>2462</v>
      </c>
      <c r="S473" s="899" t="s">
        <v>2471</v>
      </c>
      <c r="T473" s="899" t="s">
        <v>2472</v>
      </c>
      <c r="U473" s="885" t="str">
        <f>IFERROR(VLOOKUP(N473,'Thông số'!$B:$F,5,0),"")</f>
        <v>9270 x 2500 x 3860</v>
      </c>
    </row>
    <row r="474" ht="14.25" customHeight="1">
      <c r="A474" s="898">
        <v>8.0</v>
      </c>
      <c r="B474" s="899" t="s">
        <v>2473</v>
      </c>
      <c r="C474" s="902"/>
      <c r="D474" s="901" t="s">
        <v>5876</v>
      </c>
      <c r="E474" s="901" t="s">
        <v>2474</v>
      </c>
      <c r="F474" s="899" t="s">
        <v>5876</v>
      </c>
      <c r="G474" s="899" t="s">
        <v>2458</v>
      </c>
      <c r="H474" s="902"/>
      <c r="I474" s="901" t="s">
        <v>65</v>
      </c>
      <c r="J474" s="903">
        <v>45268.0</v>
      </c>
      <c r="K474" s="901" t="s">
        <v>1027</v>
      </c>
      <c r="L474" s="904">
        <v>0.98</v>
      </c>
      <c r="M474" s="902"/>
      <c r="N474" s="901" t="s">
        <v>2461</v>
      </c>
      <c r="O474" s="899" t="s">
        <v>2460</v>
      </c>
      <c r="P474" s="899" t="s">
        <v>883</v>
      </c>
      <c r="Q474" s="901">
        <v>2023.0</v>
      </c>
      <c r="R474" s="901" t="s">
        <v>2462</v>
      </c>
      <c r="S474" s="899" t="s">
        <v>2475</v>
      </c>
      <c r="T474" s="899" t="s">
        <v>2476</v>
      </c>
      <c r="U474" s="885" t="str">
        <f>IFERROR(VLOOKUP(N474,'Thông số'!$B:$F,5,0),"")</f>
        <v>9270 x 2500 x 3860</v>
      </c>
    </row>
    <row r="475" ht="14.25" customHeight="1">
      <c r="A475" s="898">
        <v>9.0</v>
      </c>
      <c r="B475" s="899" t="s">
        <v>2477</v>
      </c>
      <c r="C475" s="902"/>
      <c r="D475" s="901" t="s">
        <v>5878</v>
      </c>
      <c r="E475" s="901" t="s">
        <v>2479</v>
      </c>
      <c r="F475" s="899" t="s">
        <v>5878</v>
      </c>
      <c r="G475" s="899" t="s">
        <v>2458</v>
      </c>
      <c r="H475" s="902"/>
      <c r="I475" s="901" t="s">
        <v>65</v>
      </c>
      <c r="J475" s="903">
        <v>45268.0</v>
      </c>
      <c r="K475" s="901" t="s">
        <v>1027</v>
      </c>
      <c r="L475" s="904">
        <v>0.98</v>
      </c>
      <c r="M475" s="902"/>
      <c r="N475" s="901" t="s">
        <v>2461</v>
      </c>
      <c r="O475" s="899" t="s">
        <v>2460</v>
      </c>
      <c r="P475" s="899" t="s">
        <v>883</v>
      </c>
      <c r="Q475" s="901">
        <v>2023.0</v>
      </c>
      <c r="R475" s="901" t="s">
        <v>2462</v>
      </c>
      <c r="S475" s="899" t="s">
        <v>2480</v>
      </c>
      <c r="T475" s="899" t="s">
        <v>2481</v>
      </c>
      <c r="U475" s="885" t="str">
        <f>IFERROR(VLOOKUP(N475,'Thông số'!$B:$F,5,0),"")</f>
        <v>9270 x 2500 x 3860</v>
      </c>
    </row>
    <row r="476" ht="14.25" customHeight="1">
      <c r="A476" s="898">
        <v>10.0</v>
      </c>
      <c r="B476" s="899" t="s">
        <v>2482</v>
      </c>
      <c r="C476" s="902"/>
      <c r="D476" s="901" t="s">
        <v>5882</v>
      </c>
      <c r="E476" s="901" t="s">
        <v>2483</v>
      </c>
      <c r="F476" s="899" t="s">
        <v>5882</v>
      </c>
      <c r="G476" s="899" t="s">
        <v>2458</v>
      </c>
      <c r="H476" s="902"/>
      <c r="I476" s="901" t="s">
        <v>65</v>
      </c>
      <c r="J476" s="903">
        <v>45268.0</v>
      </c>
      <c r="K476" s="901" t="s">
        <v>1027</v>
      </c>
      <c r="L476" s="904">
        <v>0.98</v>
      </c>
      <c r="M476" s="902"/>
      <c r="N476" s="901" t="s">
        <v>2461</v>
      </c>
      <c r="O476" s="899" t="s">
        <v>2460</v>
      </c>
      <c r="P476" s="899" t="s">
        <v>883</v>
      </c>
      <c r="Q476" s="901">
        <v>2023.0</v>
      </c>
      <c r="R476" s="901" t="s">
        <v>2462</v>
      </c>
      <c r="S476" s="899" t="s">
        <v>2484</v>
      </c>
      <c r="T476" s="899" t="s">
        <v>2485</v>
      </c>
      <c r="U476" s="885" t="str">
        <f>IFERROR(VLOOKUP(N476,'Thông số'!$B:$F,5,0),"")</f>
        <v>9270 x 2500 x 3860</v>
      </c>
    </row>
    <row r="477" ht="14.25" customHeight="1">
      <c r="A477" s="898">
        <v>11.0</v>
      </c>
      <c r="B477" s="899" t="s">
        <v>2486</v>
      </c>
      <c r="C477" s="899" t="s">
        <v>2486</v>
      </c>
      <c r="D477" s="901" t="s">
        <v>5970</v>
      </c>
      <c r="E477" s="902"/>
      <c r="F477" s="899" t="s">
        <v>5970</v>
      </c>
      <c r="G477" s="899" t="s">
        <v>1671</v>
      </c>
      <c r="H477" s="902"/>
      <c r="I477" s="901" t="s">
        <v>65</v>
      </c>
      <c r="J477" s="903">
        <v>44197.0</v>
      </c>
      <c r="K477" s="901" t="s">
        <v>1027</v>
      </c>
      <c r="L477" s="904">
        <v>0.68</v>
      </c>
      <c r="M477" s="902"/>
      <c r="N477" s="901" t="s">
        <v>2487</v>
      </c>
      <c r="O477" s="899" t="s">
        <v>123</v>
      </c>
      <c r="P477" s="899" t="s">
        <v>84</v>
      </c>
      <c r="Q477" s="901">
        <v>1994.0</v>
      </c>
      <c r="R477" s="901" t="s">
        <v>1917</v>
      </c>
      <c r="S477" s="899" t="s">
        <v>2488</v>
      </c>
      <c r="T477" s="899" t="s">
        <v>2489</v>
      </c>
      <c r="U477" s="885" t="str">
        <f>IFERROR(VLOOKUP(N477,'Thông số'!$B:$F,5,0),"")</f>
        <v>6895 x 2470 x 3180</v>
      </c>
    </row>
    <row r="478" ht="14.25" customHeight="1">
      <c r="A478" s="898">
        <v>12.0</v>
      </c>
      <c r="B478" s="899" t="s">
        <v>2490</v>
      </c>
      <c r="C478" s="902"/>
      <c r="D478" s="901" t="s">
        <v>5971</v>
      </c>
      <c r="E478" s="902"/>
      <c r="F478" s="899" t="s">
        <v>5971</v>
      </c>
      <c r="G478" s="899" t="s">
        <v>2491</v>
      </c>
      <c r="H478" s="902"/>
      <c r="I478" s="901" t="s">
        <v>65</v>
      </c>
      <c r="J478" s="903">
        <v>45315.0</v>
      </c>
      <c r="K478" s="901" t="s">
        <v>1027</v>
      </c>
      <c r="L478" s="904">
        <v>0.97</v>
      </c>
      <c r="M478" s="902"/>
      <c r="N478" s="901" t="s">
        <v>2487</v>
      </c>
      <c r="O478" s="899" t="s">
        <v>123</v>
      </c>
      <c r="P478" s="899" t="s">
        <v>222</v>
      </c>
      <c r="Q478" s="901">
        <v>2021.0</v>
      </c>
      <c r="R478" s="901" t="s">
        <v>1672</v>
      </c>
      <c r="S478" s="899" t="s">
        <v>2493</v>
      </c>
      <c r="T478" s="899" t="s">
        <v>2494</v>
      </c>
      <c r="U478" s="885" t="str">
        <f>IFERROR(VLOOKUP(N478,'Thông số'!$B:$F,5,0),"")</f>
        <v>6895 x 2470 x 3180</v>
      </c>
    </row>
    <row r="479" ht="14.25" customHeight="1">
      <c r="A479" s="952" t="s">
        <v>2496</v>
      </c>
      <c r="B479" s="880"/>
      <c r="C479" s="881">
        <v>7.0</v>
      </c>
      <c r="D479" s="880"/>
      <c r="E479" s="880"/>
      <c r="F479" s="880"/>
      <c r="G479" s="880"/>
      <c r="H479" s="902"/>
      <c r="I479" s="880"/>
      <c r="J479" s="880"/>
      <c r="K479" s="880"/>
      <c r="L479" s="880"/>
      <c r="M479" s="880"/>
      <c r="N479" s="880"/>
      <c r="O479" s="880"/>
      <c r="P479" s="880"/>
      <c r="Q479" s="880"/>
      <c r="R479" s="880"/>
      <c r="S479" s="880"/>
      <c r="T479" s="880"/>
      <c r="U479" s="885" t="str">
        <f>IFERROR(VLOOKUP(N479,'Thông số'!$B:$F,5,0),"")</f>
        <v/>
      </c>
    </row>
    <row r="480" ht="14.25" customHeight="1">
      <c r="A480" s="898">
        <v>1.0</v>
      </c>
      <c r="B480" s="899" t="s">
        <v>2497</v>
      </c>
      <c r="C480" s="899" t="s">
        <v>2497</v>
      </c>
      <c r="D480" s="901" t="s">
        <v>6657</v>
      </c>
      <c r="E480" s="902"/>
      <c r="F480" s="902"/>
      <c r="G480" s="899" t="s">
        <v>857</v>
      </c>
      <c r="H480" s="901" t="s">
        <v>6517</v>
      </c>
      <c r="I480" s="901" t="s">
        <v>66</v>
      </c>
      <c r="J480" s="902"/>
      <c r="K480" s="901" t="s">
        <v>1027</v>
      </c>
      <c r="L480" s="902"/>
      <c r="M480" s="902"/>
      <c r="N480" s="901" t="s">
        <v>860</v>
      </c>
      <c r="O480" s="899" t="s">
        <v>743</v>
      </c>
      <c r="P480" s="899" t="s">
        <v>148</v>
      </c>
      <c r="Q480" s="901">
        <v>2018.0</v>
      </c>
      <c r="R480" s="901" t="s">
        <v>861</v>
      </c>
      <c r="S480" s="899">
        <v>180069.0</v>
      </c>
      <c r="T480" s="899" t="s">
        <v>96</v>
      </c>
      <c r="U480" s="885" t="str">
        <f>IFERROR(VLOOKUP(N480,'Thông số'!$B:$F,5,0),"")</f>
        <v>3226 x 1570 x 1545</v>
      </c>
    </row>
    <row r="481" ht="14.25" customHeight="1">
      <c r="A481" s="898">
        <v>2.0</v>
      </c>
      <c r="B481" s="899" t="s">
        <v>2498</v>
      </c>
      <c r="C481" s="899" t="s">
        <v>2499</v>
      </c>
      <c r="D481" s="902"/>
      <c r="E481" s="902"/>
      <c r="F481" s="899" t="s">
        <v>1422</v>
      </c>
      <c r="G481" s="899" t="s">
        <v>875</v>
      </c>
      <c r="H481" s="901" t="s">
        <v>6517</v>
      </c>
      <c r="I481" s="901" t="s">
        <v>66</v>
      </c>
      <c r="J481" s="902"/>
      <c r="K481" s="901" t="s">
        <v>1027</v>
      </c>
      <c r="L481" s="902"/>
      <c r="M481" s="906" t="s">
        <v>2500</v>
      </c>
      <c r="N481" s="901" t="s">
        <v>878</v>
      </c>
      <c r="O481" s="899" t="s">
        <v>454</v>
      </c>
      <c r="P481" s="899" t="s">
        <v>84</v>
      </c>
      <c r="Q481" s="901">
        <v>2019.0</v>
      </c>
      <c r="R481" s="901" t="s">
        <v>101</v>
      </c>
      <c r="S481" s="899">
        <v>950.0</v>
      </c>
      <c r="T481" s="899" t="s">
        <v>96</v>
      </c>
      <c r="U481" s="885" t="str">
        <f>IFERROR(VLOOKUP(N481,'Thông số'!$B:$F,5,0),"")</f>
        <v>3120 x 1495 x 1510</v>
      </c>
    </row>
    <row r="482" ht="14.25" customHeight="1">
      <c r="A482" s="891">
        <v>3.0</v>
      </c>
      <c r="B482" s="892" t="s">
        <v>2502</v>
      </c>
      <c r="C482" s="892" t="s">
        <v>2503</v>
      </c>
      <c r="D482" s="894"/>
      <c r="E482" s="894"/>
      <c r="F482" s="892" t="s">
        <v>5999</v>
      </c>
      <c r="G482" s="892" t="s">
        <v>2504</v>
      </c>
      <c r="H482" s="894"/>
      <c r="I482" s="895" t="s">
        <v>66</v>
      </c>
      <c r="J482" s="896">
        <v>43832.0</v>
      </c>
      <c r="K482" s="895" t="s">
        <v>865</v>
      </c>
      <c r="L482" s="897">
        <v>0.61</v>
      </c>
      <c r="M482" s="919" t="s">
        <v>2505</v>
      </c>
      <c r="N482" s="894"/>
      <c r="O482" s="892" t="s">
        <v>1032</v>
      </c>
      <c r="P482" s="894"/>
      <c r="Q482" s="895">
        <v>2000.0</v>
      </c>
      <c r="R482" s="894"/>
      <c r="S482" s="892" t="s">
        <v>2506</v>
      </c>
      <c r="T482" s="892">
        <v>227.0</v>
      </c>
      <c r="U482" s="885" t="str">
        <f>IFERROR(VLOOKUP(N482,'Thông số'!$B:$F,5,0),"")</f>
        <v/>
      </c>
    </row>
    <row r="483" ht="14.25" customHeight="1">
      <c r="A483" s="891">
        <v>4.0</v>
      </c>
      <c r="B483" s="892" t="s">
        <v>2508</v>
      </c>
      <c r="C483" s="892" t="s">
        <v>2509</v>
      </c>
      <c r="D483" s="894"/>
      <c r="E483" s="894"/>
      <c r="F483" s="894"/>
      <c r="G483" s="892" t="s">
        <v>2510</v>
      </c>
      <c r="H483" s="894"/>
      <c r="I483" s="895" t="s">
        <v>66</v>
      </c>
      <c r="J483" s="894"/>
      <c r="K483" s="895" t="s">
        <v>865</v>
      </c>
      <c r="L483" s="894"/>
      <c r="M483" s="894"/>
      <c r="N483" s="895" t="s">
        <v>2512</v>
      </c>
      <c r="O483" s="892" t="s">
        <v>743</v>
      </c>
      <c r="P483" s="892" t="s">
        <v>148</v>
      </c>
      <c r="Q483" s="895">
        <v>2017.0</v>
      </c>
      <c r="R483" s="895" t="s">
        <v>112</v>
      </c>
      <c r="S483" s="892" t="s">
        <v>2513</v>
      </c>
      <c r="T483" s="892" t="s">
        <v>96</v>
      </c>
      <c r="U483" s="885" t="str">
        <f>IFERROR(VLOOKUP(N483,'Thông số'!$B:$F,5,0),"")</f>
        <v>9120 x 2450 x 3160</v>
      </c>
    </row>
    <row r="484" ht="14.25" customHeight="1">
      <c r="A484" s="898">
        <v>5.0</v>
      </c>
      <c r="B484" s="899" t="s">
        <v>2514</v>
      </c>
      <c r="C484" s="902"/>
      <c r="D484" s="902"/>
      <c r="E484" s="902"/>
      <c r="F484" s="902"/>
      <c r="G484" s="899" t="s">
        <v>2295</v>
      </c>
      <c r="H484" s="901" t="s">
        <v>5785</v>
      </c>
      <c r="I484" s="901" t="s">
        <v>66</v>
      </c>
      <c r="J484" s="903">
        <v>45699.0</v>
      </c>
      <c r="K484" s="901" t="s">
        <v>1027</v>
      </c>
      <c r="L484" s="902"/>
      <c r="M484" s="906" t="s">
        <v>336</v>
      </c>
      <c r="N484" s="901" t="s">
        <v>2515</v>
      </c>
      <c r="O484" s="902"/>
      <c r="P484" s="899" t="s">
        <v>883</v>
      </c>
      <c r="Q484" s="902"/>
      <c r="R484" s="901" t="s">
        <v>2516</v>
      </c>
      <c r="S484" s="899" t="s">
        <v>2517</v>
      </c>
      <c r="T484" s="899" t="s">
        <v>2518</v>
      </c>
      <c r="U484" s="885" t="str">
        <f>IFERROR(VLOOKUP(N484,'Thông số'!$B:$F,5,0),"")</f>
        <v/>
      </c>
    </row>
    <row r="485" ht="14.25" customHeight="1">
      <c r="A485" s="898">
        <v>6.0</v>
      </c>
      <c r="B485" s="899" t="s">
        <v>2519</v>
      </c>
      <c r="C485" s="902"/>
      <c r="D485" s="902"/>
      <c r="E485" s="902"/>
      <c r="F485" s="902"/>
      <c r="G485" s="899" t="s">
        <v>2295</v>
      </c>
      <c r="H485" s="901" t="s">
        <v>5785</v>
      </c>
      <c r="I485" s="901" t="s">
        <v>66</v>
      </c>
      <c r="J485" s="903">
        <v>45699.0</v>
      </c>
      <c r="K485" s="901" t="s">
        <v>1027</v>
      </c>
      <c r="L485" s="902"/>
      <c r="M485" s="906" t="s">
        <v>336</v>
      </c>
      <c r="N485" s="901" t="s">
        <v>2515</v>
      </c>
      <c r="O485" s="902"/>
      <c r="P485" s="899" t="s">
        <v>883</v>
      </c>
      <c r="Q485" s="902"/>
      <c r="R485" s="901" t="s">
        <v>2516</v>
      </c>
      <c r="S485" s="899" t="s">
        <v>2520</v>
      </c>
      <c r="T485" s="899" t="s">
        <v>2521</v>
      </c>
      <c r="U485" s="885" t="str">
        <f>IFERROR(VLOOKUP(N485,'Thông số'!$B:$F,5,0),"")</f>
        <v/>
      </c>
    </row>
    <row r="486" ht="14.25" customHeight="1">
      <c r="A486" s="898">
        <v>7.0</v>
      </c>
      <c r="B486" s="899" t="s">
        <v>2522</v>
      </c>
      <c r="C486" s="902"/>
      <c r="D486" s="902"/>
      <c r="E486" s="902"/>
      <c r="F486" s="902"/>
      <c r="G486" s="899" t="s">
        <v>2295</v>
      </c>
      <c r="H486" s="901" t="s">
        <v>5785</v>
      </c>
      <c r="I486" s="901" t="s">
        <v>66</v>
      </c>
      <c r="J486" s="903">
        <v>45699.0</v>
      </c>
      <c r="K486" s="901" t="s">
        <v>1027</v>
      </c>
      <c r="L486" s="902"/>
      <c r="M486" s="906" t="s">
        <v>336</v>
      </c>
      <c r="N486" s="901" t="s">
        <v>2515</v>
      </c>
      <c r="O486" s="902"/>
      <c r="P486" s="899" t="s">
        <v>883</v>
      </c>
      <c r="Q486" s="902"/>
      <c r="R486" s="901" t="s">
        <v>2516</v>
      </c>
      <c r="S486" s="899" t="s">
        <v>2523</v>
      </c>
      <c r="T486" s="899" t="s">
        <v>2524</v>
      </c>
      <c r="U486" s="885" t="str">
        <f>IFERROR(VLOOKUP(N486,'Thông số'!$B:$F,5,0),"")</f>
        <v/>
      </c>
    </row>
    <row r="487" ht="14.25" customHeight="1">
      <c r="A487" s="952" t="s">
        <v>2525</v>
      </c>
      <c r="B487" s="880"/>
      <c r="C487" s="881">
        <v>4.0</v>
      </c>
      <c r="D487" s="880"/>
      <c r="E487" s="880"/>
      <c r="F487" s="880"/>
      <c r="G487" s="880"/>
      <c r="H487" s="902"/>
      <c r="I487" s="880"/>
      <c r="J487" s="880"/>
      <c r="K487" s="880"/>
      <c r="L487" s="880"/>
      <c r="M487" s="880"/>
      <c r="N487" s="880"/>
      <c r="O487" s="880"/>
      <c r="P487" s="880"/>
      <c r="Q487" s="880"/>
      <c r="R487" s="880"/>
      <c r="S487" s="880"/>
      <c r="T487" s="880"/>
      <c r="U487" s="885" t="str">
        <f>IFERROR(VLOOKUP(N487,'Thông số'!$B:$F,5,0),"")</f>
        <v/>
      </c>
    </row>
    <row r="488" ht="14.25" customHeight="1">
      <c r="A488" s="898">
        <v>1.0</v>
      </c>
      <c r="B488" s="899" t="s">
        <v>2526</v>
      </c>
      <c r="C488" s="899" t="s">
        <v>2527</v>
      </c>
      <c r="D488" s="901" t="s">
        <v>6658</v>
      </c>
      <c r="E488" s="902"/>
      <c r="F488" s="902"/>
      <c r="G488" s="899" t="s">
        <v>2295</v>
      </c>
      <c r="H488" s="901" t="s">
        <v>5785</v>
      </c>
      <c r="I488" s="953" t="s">
        <v>63</v>
      </c>
      <c r="J488" s="902"/>
      <c r="K488" s="901" t="s">
        <v>1027</v>
      </c>
      <c r="L488" s="902"/>
      <c r="M488" s="902"/>
      <c r="N488" s="902"/>
      <c r="O488" s="902"/>
      <c r="P488" s="902"/>
      <c r="Q488" s="902"/>
      <c r="R488" s="901" t="s">
        <v>2528</v>
      </c>
      <c r="S488" s="899" t="s">
        <v>2529</v>
      </c>
      <c r="T488" s="899" t="s">
        <v>96</v>
      </c>
      <c r="U488" s="885" t="str">
        <f>IFERROR(VLOOKUP(N488,'Thông số'!$B:$F,5,0),"")</f>
        <v/>
      </c>
    </row>
    <row r="489" ht="14.25" customHeight="1">
      <c r="A489" s="898">
        <v>2.0</v>
      </c>
      <c r="B489" s="899" t="s">
        <v>2527</v>
      </c>
      <c r="C489" s="899" t="s">
        <v>2530</v>
      </c>
      <c r="D489" s="901" t="s">
        <v>6659</v>
      </c>
      <c r="E489" s="902"/>
      <c r="F489" s="902"/>
      <c r="G489" s="899" t="s">
        <v>2295</v>
      </c>
      <c r="H489" s="901" t="s">
        <v>5785</v>
      </c>
      <c r="I489" s="953" t="s">
        <v>63</v>
      </c>
      <c r="J489" s="902"/>
      <c r="K489" s="901" t="s">
        <v>1027</v>
      </c>
      <c r="L489" s="902"/>
      <c r="M489" s="902"/>
      <c r="N489" s="902"/>
      <c r="O489" s="902"/>
      <c r="P489" s="902"/>
      <c r="Q489" s="902"/>
      <c r="R489" s="901" t="s">
        <v>2528</v>
      </c>
      <c r="S489" s="899" t="s">
        <v>2531</v>
      </c>
      <c r="T489" s="899" t="s">
        <v>96</v>
      </c>
      <c r="U489" s="885" t="str">
        <f>IFERROR(VLOOKUP(N489,'Thông số'!$B:$F,5,0),"")</f>
        <v/>
      </c>
    </row>
    <row r="490" ht="14.25" customHeight="1">
      <c r="A490" s="898">
        <v>3.0</v>
      </c>
      <c r="B490" s="899" t="s">
        <v>2530</v>
      </c>
      <c r="C490" s="899" t="s">
        <v>2532</v>
      </c>
      <c r="D490" s="901" t="s">
        <v>6660</v>
      </c>
      <c r="E490" s="902"/>
      <c r="F490" s="902"/>
      <c r="G490" s="899" t="s">
        <v>2295</v>
      </c>
      <c r="H490" s="901" t="s">
        <v>5785</v>
      </c>
      <c r="I490" s="953" t="s">
        <v>63</v>
      </c>
      <c r="J490" s="902"/>
      <c r="K490" s="901" t="s">
        <v>1027</v>
      </c>
      <c r="L490" s="902"/>
      <c r="M490" s="902"/>
      <c r="N490" s="902"/>
      <c r="O490" s="902"/>
      <c r="P490" s="902"/>
      <c r="Q490" s="902"/>
      <c r="R490" s="901" t="s">
        <v>2528</v>
      </c>
      <c r="S490" s="899" t="s">
        <v>2533</v>
      </c>
      <c r="T490" s="899" t="s">
        <v>96</v>
      </c>
      <c r="U490" s="885" t="str">
        <f>IFERROR(VLOOKUP(N490,'Thông số'!$B:$F,5,0),"")</f>
        <v/>
      </c>
    </row>
    <row r="491" ht="14.25" customHeight="1">
      <c r="A491" s="898">
        <v>4.0</v>
      </c>
      <c r="B491" s="899" t="s">
        <v>2534</v>
      </c>
      <c r="C491" s="902"/>
      <c r="D491" s="901" t="s">
        <v>2535</v>
      </c>
      <c r="E491" s="902"/>
      <c r="F491" s="902"/>
      <c r="G491" s="899" t="s">
        <v>2017</v>
      </c>
      <c r="H491" s="901" t="s">
        <v>5841</v>
      </c>
      <c r="I491" s="901" t="s">
        <v>63</v>
      </c>
      <c r="J491" s="903">
        <v>45734.0</v>
      </c>
      <c r="K491" s="901" t="s">
        <v>1027</v>
      </c>
      <c r="L491" s="902"/>
      <c r="M491" s="902"/>
      <c r="N491" s="901" t="s">
        <v>2019</v>
      </c>
      <c r="O491" s="899" t="s">
        <v>1157</v>
      </c>
      <c r="P491" s="899" t="s">
        <v>260</v>
      </c>
      <c r="Q491" s="901">
        <v>2024.0</v>
      </c>
      <c r="R491" s="901" t="s">
        <v>792</v>
      </c>
      <c r="S491" s="899" t="s">
        <v>2537</v>
      </c>
      <c r="T491" s="899" t="s">
        <v>96</v>
      </c>
      <c r="U491" s="885" t="str">
        <f>IFERROR(VLOOKUP(N491,'Thông số'!$B:$F,5,0),"")</f>
        <v/>
      </c>
    </row>
    <row r="492" ht="14.25" customHeight="1">
      <c r="A492" s="952" t="s">
        <v>2544</v>
      </c>
      <c r="B492" s="880"/>
      <c r="C492" s="881">
        <v>4.0</v>
      </c>
      <c r="D492" s="880"/>
      <c r="E492" s="880"/>
      <c r="F492" s="880"/>
      <c r="G492" s="880"/>
      <c r="H492" s="902"/>
      <c r="I492" s="880"/>
      <c r="J492" s="880"/>
      <c r="K492" s="880"/>
      <c r="L492" s="880"/>
      <c r="M492" s="880"/>
      <c r="N492" s="880"/>
      <c r="O492" s="880"/>
      <c r="P492" s="880"/>
      <c r="Q492" s="880"/>
      <c r="R492" s="880"/>
      <c r="S492" s="880"/>
      <c r="T492" s="880"/>
      <c r="U492" s="885" t="str">
        <f>IFERROR(VLOOKUP(N492,'Thông số'!$B:$F,5,0),"")</f>
        <v/>
      </c>
    </row>
    <row r="493" ht="14.25" customHeight="1">
      <c r="A493" s="898">
        <v>1.0</v>
      </c>
      <c r="B493" s="899" t="s">
        <v>2545</v>
      </c>
      <c r="C493" s="899" t="s">
        <v>2546</v>
      </c>
      <c r="D493" s="901" t="s">
        <v>6661</v>
      </c>
      <c r="E493" s="902"/>
      <c r="F493" s="899" t="s">
        <v>3143</v>
      </c>
      <c r="G493" s="899" t="s">
        <v>857</v>
      </c>
      <c r="H493" s="901" t="s">
        <v>6517</v>
      </c>
      <c r="I493" s="901" t="s">
        <v>50</v>
      </c>
      <c r="J493" s="902"/>
      <c r="K493" s="901" t="s">
        <v>1027</v>
      </c>
      <c r="L493" s="902"/>
      <c r="M493" s="902"/>
      <c r="N493" s="901" t="s">
        <v>860</v>
      </c>
      <c r="O493" s="899" t="s">
        <v>743</v>
      </c>
      <c r="P493" s="899" t="s">
        <v>148</v>
      </c>
      <c r="Q493" s="902"/>
      <c r="R493" s="901" t="s">
        <v>861</v>
      </c>
      <c r="S493" s="899" t="s">
        <v>2547</v>
      </c>
      <c r="T493" s="902"/>
      <c r="U493" s="885" t="str">
        <f>IFERROR(VLOOKUP(N493,'Thông số'!$B:$F,5,0),"")</f>
        <v>3226 x 1570 x 1545</v>
      </c>
    </row>
    <row r="494" ht="14.25" customHeight="1">
      <c r="A494" s="898">
        <v>2.0</v>
      </c>
      <c r="B494" s="899" t="s">
        <v>2548</v>
      </c>
      <c r="C494" s="899" t="s">
        <v>2549</v>
      </c>
      <c r="D494" s="901" t="s">
        <v>6662</v>
      </c>
      <c r="E494" s="902"/>
      <c r="F494" s="899" t="s">
        <v>3143</v>
      </c>
      <c r="G494" s="899" t="s">
        <v>857</v>
      </c>
      <c r="H494" s="901" t="s">
        <v>6517</v>
      </c>
      <c r="I494" s="901" t="s">
        <v>50</v>
      </c>
      <c r="J494" s="902"/>
      <c r="K494" s="901" t="s">
        <v>1027</v>
      </c>
      <c r="L494" s="902"/>
      <c r="M494" s="902"/>
      <c r="N494" s="901" t="s">
        <v>860</v>
      </c>
      <c r="O494" s="899" t="s">
        <v>743</v>
      </c>
      <c r="P494" s="899" t="s">
        <v>148</v>
      </c>
      <c r="Q494" s="902"/>
      <c r="R494" s="901" t="s">
        <v>861</v>
      </c>
      <c r="S494" s="899" t="s">
        <v>2550</v>
      </c>
      <c r="T494" s="902"/>
      <c r="U494" s="885" t="str">
        <f>IFERROR(VLOOKUP(N494,'Thông số'!$B:$F,5,0),"")</f>
        <v>3226 x 1570 x 1545</v>
      </c>
    </row>
    <row r="495" ht="14.25" customHeight="1">
      <c r="A495" s="898">
        <v>3.0</v>
      </c>
      <c r="B495" s="899" t="s">
        <v>2551</v>
      </c>
      <c r="C495" s="899" t="s">
        <v>2552</v>
      </c>
      <c r="D495" s="901" t="s">
        <v>6663</v>
      </c>
      <c r="E495" s="902"/>
      <c r="F495" s="902"/>
      <c r="G495" s="899" t="s">
        <v>857</v>
      </c>
      <c r="H495" s="901" t="s">
        <v>6517</v>
      </c>
      <c r="I495" s="901" t="s">
        <v>50</v>
      </c>
      <c r="J495" s="902"/>
      <c r="K495" s="901" t="s">
        <v>1027</v>
      </c>
      <c r="L495" s="902"/>
      <c r="M495" s="902"/>
      <c r="N495" s="901" t="s">
        <v>860</v>
      </c>
      <c r="O495" s="899" t="s">
        <v>743</v>
      </c>
      <c r="P495" s="899" t="s">
        <v>148</v>
      </c>
      <c r="Q495" s="901">
        <v>2012.0</v>
      </c>
      <c r="R495" s="901" t="s">
        <v>861</v>
      </c>
      <c r="S495" s="899" t="s">
        <v>2553</v>
      </c>
      <c r="T495" s="899" t="s">
        <v>96</v>
      </c>
      <c r="U495" s="885" t="str">
        <f>IFERROR(VLOOKUP(N495,'Thông số'!$B:$F,5,0),"")</f>
        <v>3226 x 1570 x 1545</v>
      </c>
    </row>
    <row r="496" ht="14.25" customHeight="1">
      <c r="A496" s="891">
        <v>4.0</v>
      </c>
      <c r="B496" s="892" t="s">
        <v>2554</v>
      </c>
      <c r="C496" s="892" t="s">
        <v>2555</v>
      </c>
      <c r="D496" s="894"/>
      <c r="E496" s="894"/>
      <c r="F496" s="892" t="s">
        <v>6003</v>
      </c>
      <c r="G496" s="892" t="s">
        <v>2510</v>
      </c>
      <c r="H496" s="894"/>
      <c r="I496" s="895" t="s">
        <v>50</v>
      </c>
      <c r="J496" s="896">
        <v>45656.0</v>
      </c>
      <c r="K496" s="895" t="s">
        <v>865</v>
      </c>
      <c r="L496" s="897">
        <v>0.65</v>
      </c>
      <c r="M496" s="919" t="s">
        <v>2557</v>
      </c>
      <c r="N496" s="895" t="s">
        <v>2512</v>
      </c>
      <c r="O496" s="892" t="s">
        <v>743</v>
      </c>
      <c r="P496" s="892" t="s">
        <v>148</v>
      </c>
      <c r="Q496" s="895">
        <v>2018.0</v>
      </c>
      <c r="R496" s="895" t="s">
        <v>112</v>
      </c>
      <c r="S496" s="892" t="s">
        <v>2558</v>
      </c>
      <c r="T496" s="892" t="s">
        <v>2559</v>
      </c>
      <c r="U496" s="885" t="str">
        <f>IFERROR(VLOOKUP(N496,'Thông số'!$B:$F,5,0),"")</f>
        <v>9120 x 2450 x 3160</v>
      </c>
    </row>
    <row r="497" ht="14.25" customHeight="1">
      <c r="A497" s="954"/>
      <c r="B497" s="902"/>
      <c r="C497" s="899" t="s">
        <v>759</v>
      </c>
      <c r="D497" s="902"/>
      <c r="E497" s="902"/>
      <c r="F497" s="902"/>
      <c r="G497" s="902"/>
      <c r="H497" s="902"/>
      <c r="I497" s="902"/>
      <c r="J497" s="902"/>
      <c r="K497" s="901" t="s">
        <v>1027</v>
      </c>
      <c r="L497" s="902"/>
      <c r="M497" s="902"/>
      <c r="N497" s="902"/>
      <c r="O497" s="902"/>
      <c r="P497" s="902"/>
      <c r="Q497" s="902"/>
      <c r="R497" s="902"/>
      <c r="S497" s="902"/>
      <c r="T497" s="902"/>
      <c r="U497" s="885" t="str">
        <f>IFERROR(VLOOKUP(N497,'Thông số'!$B:$F,5,0),"")</f>
        <v/>
      </c>
    </row>
    <row r="498" ht="14.25" customHeight="1">
      <c r="A498" s="952" t="s">
        <v>6664</v>
      </c>
      <c r="B498" s="880"/>
      <c r="C498" s="881">
        <v>19.0</v>
      </c>
      <c r="D498" s="880"/>
      <c r="E498" s="880"/>
      <c r="F498" s="880"/>
      <c r="G498" s="880"/>
      <c r="H498" s="902"/>
      <c r="I498" s="880"/>
      <c r="J498" s="880"/>
      <c r="K498" s="880"/>
      <c r="L498" s="880"/>
      <c r="M498" s="880"/>
      <c r="N498" s="880"/>
      <c r="O498" s="880"/>
      <c r="P498" s="880"/>
      <c r="Q498" s="880"/>
      <c r="R498" s="880"/>
      <c r="S498" s="880"/>
      <c r="T498" s="880"/>
      <c r="U498" s="885" t="str">
        <f>IFERROR(VLOOKUP(N498,'Thông số'!$B:$F,5,0),"")</f>
        <v/>
      </c>
    </row>
    <row r="499" ht="14.25" customHeight="1">
      <c r="A499" s="891">
        <v>1.0</v>
      </c>
      <c r="B499" s="892" t="s">
        <v>2561</v>
      </c>
      <c r="C499" s="892" t="s">
        <v>582</v>
      </c>
      <c r="D499" s="895" t="s">
        <v>6665</v>
      </c>
      <c r="E499" s="894"/>
      <c r="F499" s="894"/>
      <c r="G499" s="892" t="s">
        <v>2562</v>
      </c>
      <c r="H499" s="894"/>
      <c r="I499" s="895" t="s">
        <v>67</v>
      </c>
      <c r="J499" s="894"/>
      <c r="K499" s="895" t="s">
        <v>865</v>
      </c>
      <c r="L499" s="894"/>
      <c r="M499" s="894"/>
      <c r="N499" s="894"/>
      <c r="O499" s="892" t="s">
        <v>1032</v>
      </c>
      <c r="P499" s="892" t="s">
        <v>103</v>
      </c>
      <c r="Q499" s="894"/>
      <c r="R499" s="894"/>
      <c r="S499" s="892" t="s">
        <v>96</v>
      </c>
      <c r="T499" s="892">
        <v>107291.0</v>
      </c>
      <c r="U499" s="885" t="str">
        <f>IFERROR(VLOOKUP(N499,'Thông số'!$B:$F,5,0),"")</f>
        <v/>
      </c>
    </row>
    <row r="500" ht="14.25" customHeight="1">
      <c r="A500" s="898">
        <v>2.0</v>
      </c>
      <c r="B500" s="899" t="s">
        <v>2564</v>
      </c>
      <c r="C500" s="899" t="s">
        <v>2565</v>
      </c>
      <c r="D500" s="901" t="s">
        <v>6666</v>
      </c>
      <c r="E500" s="902"/>
      <c r="F500" s="902"/>
      <c r="G500" s="899" t="s">
        <v>2566</v>
      </c>
      <c r="H500" s="902"/>
      <c r="I500" s="901" t="s">
        <v>67</v>
      </c>
      <c r="J500" s="903">
        <v>45419.0</v>
      </c>
      <c r="K500" s="901" t="s">
        <v>1027</v>
      </c>
      <c r="L500" s="904">
        <v>1.0</v>
      </c>
      <c r="M500" s="906" t="s">
        <v>6667</v>
      </c>
      <c r="N500" s="901" t="s">
        <v>2569</v>
      </c>
      <c r="O500" s="899" t="s">
        <v>2568</v>
      </c>
      <c r="P500" s="899" t="s">
        <v>260</v>
      </c>
      <c r="Q500" s="901">
        <v>2023.0</v>
      </c>
      <c r="R500" s="901" t="s">
        <v>571</v>
      </c>
      <c r="S500" s="899" t="s">
        <v>2570</v>
      </c>
      <c r="T500" s="899" t="s">
        <v>2571</v>
      </c>
      <c r="U500" s="885" t="str">
        <f>IFERROR(VLOOKUP(N500,'Thông số'!$B:$F,5,0),"")</f>
        <v>13530 x 2600 x 3700</v>
      </c>
    </row>
    <row r="501" ht="14.25" customHeight="1">
      <c r="A501" s="898">
        <v>3.0</v>
      </c>
      <c r="B501" s="899" t="s">
        <v>2572</v>
      </c>
      <c r="C501" s="905" t="s">
        <v>2573</v>
      </c>
      <c r="D501" s="901" t="s">
        <v>6668</v>
      </c>
      <c r="E501" s="908"/>
      <c r="F501" s="907" t="s">
        <v>6004</v>
      </c>
      <c r="G501" s="905" t="s">
        <v>2574</v>
      </c>
      <c r="H501" s="902"/>
      <c r="I501" s="901" t="s">
        <v>67</v>
      </c>
      <c r="J501" s="909">
        <v>45475.0</v>
      </c>
      <c r="K501" s="901" t="s">
        <v>1027</v>
      </c>
      <c r="L501" s="908"/>
      <c r="M501" s="917" t="s">
        <v>2575</v>
      </c>
      <c r="N501" s="901" t="s">
        <v>2512</v>
      </c>
      <c r="O501" s="905" t="s">
        <v>743</v>
      </c>
      <c r="P501" s="899" t="s">
        <v>148</v>
      </c>
      <c r="Q501" s="907">
        <v>2018.0</v>
      </c>
      <c r="R501" s="901" t="s">
        <v>112</v>
      </c>
      <c r="S501" s="955" t="s">
        <v>2576</v>
      </c>
      <c r="T501" s="955" t="s">
        <v>2577</v>
      </c>
      <c r="U501" s="885" t="str">
        <f>IFERROR(VLOOKUP(N501,'Thông số'!$B:$F,5,0),"")</f>
        <v>9120 x 2450 x 3160</v>
      </c>
    </row>
    <row r="502" ht="14.25" customHeight="1">
      <c r="A502" s="898">
        <v>4.0</v>
      </c>
      <c r="B502" s="899" t="s">
        <v>2578</v>
      </c>
      <c r="C502" s="908"/>
      <c r="D502" s="901" t="s">
        <v>2579</v>
      </c>
      <c r="E502" s="908"/>
      <c r="F502" s="908"/>
      <c r="G502" s="905" t="s">
        <v>2580</v>
      </c>
      <c r="H502" s="902"/>
      <c r="I502" s="901" t="s">
        <v>67</v>
      </c>
      <c r="J502" s="909">
        <v>45586.0</v>
      </c>
      <c r="K502" s="901" t="s">
        <v>1027</v>
      </c>
      <c r="L502" s="908"/>
      <c r="M502" s="906" t="s">
        <v>890</v>
      </c>
      <c r="N502" s="901" t="s">
        <v>2589</v>
      </c>
      <c r="O502" s="905" t="s">
        <v>2582</v>
      </c>
      <c r="P502" s="899" t="s">
        <v>648</v>
      </c>
      <c r="Q502" s="907">
        <v>2022.0</v>
      </c>
      <c r="R502" s="901" t="s">
        <v>2584</v>
      </c>
      <c r="S502" s="955" t="s">
        <v>2585</v>
      </c>
      <c r="T502" s="955">
        <v>8.2162916E7</v>
      </c>
      <c r="U502" s="885" t="str">
        <f>IFERROR(VLOOKUP(N502,'Thông số'!$B:$F,5,0),"")</f>
        <v>11845 x 2500 x 3690</v>
      </c>
    </row>
    <row r="503" ht="14.25" customHeight="1">
      <c r="A503" s="891">
        <v>5.0</v>
      </c>
      <c r="B503" s="892" t="s">
        <v>2593</v>
      </c>
      <c r="C503" s="892" t="s">
        <v>2594</v>
      </c>
      <c r="D503" s="894"/>
      <c r="E503" s="894"/>
      <c r="F503" s="894"/>
      <c r="G503" s="892" t="s">
        <v>2595</v>
      </c>
      <c r="H503" s="894"/>
      <c r="I503" s="895" t="s">
        <v>67</v>
      </c>
      <c r="J503" s="894"/>
      <c r="K503" s="895" t="s">
        <v>865</v>
      </c>
      <c r="L503" s="894"/>
      <c r="M503" s="919" t="s">
        <v>6669</v>
      </c>
      <c r="N503" s="895" t="s">
        <v>2596</v>
      </c>
      <c r="O503" s="892" t="s">
        <v>201</v>
      </c>
      <c r="P503" s="892" t="s">
        <v>148</v>
      </c>
      <c r="Q503" s="894"/>
      <c r="R503" s="895" t="s">
        <v>2453</v>
      </c>
      <c r="S503" s="956" t="s">
        <v>6670</v>
      </c>
      <c r="T503" s="892" t="s">
        <v>2598</v>
      </c>
      <c r="U503" s="885" t="str">
        <f>IFERROR(VLOOKUP(N503,'Thông số'!$B:$F,5,0),"")</f>
        <v>12160 x 2500 x 3950</v>
      </c>
    </row>
    <row r="504" ht="14.25" customHeight="1">
      <c r="A504" s="898">
        <v>6.0</v>
      </c>
      <c r="B504" s="899" t="s">
        <v>2599</v>
      </c>
      <c r="C504" s="899" t="s">
        <v>2600</v>
      </c>
      <c r="D504" s="901" t="s">
        <v>6671</v>
      </c>
      <c r="E504" s="902"/>
      <c r="F504" s="902"/>
      <c r="G504" s="899" t="s">
        <v>2601</v>
      </c>
      <c r="H504" s="901" t="s">
        <v>5841</v>
      </c>
      <c r="I504" s="901" t="s">
        <v>67</v>
      </c>
      <c r="J504" s="902"/>
      <c r="K504" s="901" t="s">
        <v>1027</v>
      </c>
      <c r="L504" s="902"/>
      <c r="M504" s="902"/>
      <c r="N504" s="902"/>
      <c r="O504" s="902"/>
      <c r="P504" s="902"/>
      <c r="Q504" s="902"/>
      <c r="R504" s="902"/>
      <c r="S504" s="899" t="s">
        <v>2602</v>
      </c>
      <c r="T504" s="899" t="s">
        <v>96</v>
      </c>
      <c r="U504" s="885" t="str">
        <f>IFERROR(VLOOKUP(N504,'Thông số'!$B:$F,5,0),"")</f>
        <v/>
      </c>
    </row>
    <row r="505" ht="14.25" customHeight="1">
      <c r="A505" s="891">
        <v>7.0</v>
      </c>
      <c r="B505" s="892" t="s">
        <v>2604</v>
      </c>
      <c r="C505" s="892" t="s">
        <v>2604</v>
      </c>
      <c r="D505" s="895" t="s">
        <v>6672</v>
      </c>
      <c r="E505" s="894"/>
      <c r="F505" s="894"/>
      <c r="G505" s="892" t="s">
        <v>788</v>
      </c>
      <c r="H505" s="895" t="s">
        <v>6517</v>
      </c>
      <c r="I505" s="895" t="s">
        <v>67</v>
      </c>
      <c r="J505" s="894"/>
      <c r="K505" s="895" t="s">
        <v>865</v>
      </c>
      <c r="L505" s="894"/>
      <c r="M505" s="894"/>
      <c r="N505" s="895" t="s">
        <v>791</v>
      </c>
      <c r="O505" s="892" t="s">
        <v>454</v>
      </c>
      <c r="P505" s="892" t="s">
        <v>84</v>
      </c>
      <c r="Q505" s="895">
        <v>2013.0</v>
      </c>
      <c r="R505" s="895" t="s">
        <v>792</v>
      </c>
      <c r="S505" s="892" t="s">
        <v>2605</v>
      </c>
      <c r="T505" s="892" t="s">
        <v>96</v>
      </c>
      <c r="U505" s="885" t="str">
        <f>IFERROR(VLOOKUP(N505,'Thông số'!$B:$F,5,0),"")</f>
        <v>3445 x 1865 x 2535</v>
      </c>
    </row>
    <row r="506" ht="14.25" customHeight="1">
      <c r="A506" s="898">
        <v>8.0</v>
      </c>
      <c r="B506" s="899" t="s">
        <v>2606</v>
      </c>
      <c r="C506" s="899" t="s">
        <v>2607</v>
      </c>
      <c r="D506" s="901" t="s">
        <v>6673</v>
      </c>
      <c r="E506" s="902"/>
      <c r="F506" s="902"/>
      <c r="G506" s="899" t="s">
        <v>2608</v>
      </c>
      <c r="H506" s="901" t="s">
        <v>6571</v>
      </c>
      <c r="I506" s="901" t="s">
        <v>67</v>
      </c>
      <c r="J506" s="902"/>
      <c r="K506" s="901" t="s">
        <v>1027</v>
      </c>
      <c r="L506" s="902"/>
      <c r="M506" s="902"/>
      <c r="N506" s="902"/>
      <c r="O506" s="899" t="s">
        <v>2609</v>
      </c>
      <c r="P506" s="899" t="s">
        <v>84</v>
      </c>
      <c r="Q506" s="902"/>
      <c r="R506" s="907" t="s">
        <v>1277</v>
      </c>
      <c r="S506" s="899" t="s">
        <v>2610</v>
      </c>
      <c r="T506" s="899" t="s">
        <v>96</v>
      </c>
      <c r="U506" s="885" t="str">
        <f>IFERROR(VLOOKUP(N506,'Thông số'!$B:$F,5,0),"")</f>
        <v/>
      </c>
    </row>
    <row r="507" ht="14.25" customHeight="1">
      <c r="A507" s="898">
        <v>9.0</v>
      </c>
      <c r="B507" s="899" t="s">
        <v>2611</v>
      </c>
      <c r="C507" s="902"/>
      <c r="D507" s="901" t="s">
        <v>6674</v>
      </c>
      <c r="E507" s="902"/>
      <c r="F507" s="902"/>
      <c r="G507" s="899" t="s">
        <v>857</v>
      </c>
      <c r="H507" s="901" t="s">
        <v>6517</v>
      </c>
      <c r="I507" s="901" t="s">
        <v>67</v>
      </c>
      <c r="J507" s="902"/>
      <c r="K507" s="901" t="s">
        <v>1027</v>
      </c>
      <c r="L507" s="902"/>
      <c r="M507" s="902"/>
      <c r="N507" s="901" t="s">
        <v>860</v>
      </c>
      <c r="O507" s="899" t="s">
        <v>743</v>
      </c>
      <c r="P507" s="899" t="s">
        <v>148</v>
      </c>
      <c r="Q507" s="901">
        <v>2012.0</v>
      </c>
      <c r="R507" s="901" t="s">
        <v>861</v>
      </c>
      <c r="S507" s="899" t="s">
        <v>2612</v>
      </c>
      <c r="T507" s="899" t="s">
        <v>96</v>
      </c>
      <c r="U507" s="885" t="str">
        <f>IFERROR(VLOOKUP(N507,'Thông số'!$B:$F,5,0),"")</f>
        <v>3226 x 1570 x 1545</v>
      </c>
    </row>
    <row r="508" ht="14.25" customHeight="1">
      <c r="A508" s="898">
        <v>10.0</v>
      </c>
      <c r="B508" s="899" t="s">
        <v>2614</v>
      </c>
      <c r="C508" s="899" t="s">
        <v>2615</v>
      </c>
      <c r="D508" s="901" t="s">
        <v>6675</v>
      </c>
      <c r="E508" s="902"/>
      <c r="F508" s="902"/>
      <c r="G508" s="899" t="s">
        <v>2616</v>
      </c>
      <c r="H508" s="901" t="s">
        <v>5841</v>
      </c>
      <c r="I508" s="901" t="s">
        <v>67</v>
      </c>
      <c r="J508" s="902"/>
      <c r="K508" s="901" t="s">
        <v>1027</v>
      </c>
      <c r="L508" s="902"/>
      <c r="M508" s="902"/>
      <c r="N508" s="902"/>
      <c r="O508" s="899" t="s">
        <v>2617</v>
      </c>
      <c r="P508" s="899" t="s">
        <v>84</v>
      </c>
      <c r="Q508" s="902"/>
      <c r="R508" s="902"/>
      <c r="S508" s="899">
        <v>31059.0</v>
      </c>
      <c r="T508" s="899" t="s">
        <v>2618</v>
      </c>
      <c r="U508" s="885" t="str">
        <f>IFERROR(VLOOKUP(N508,'Thông số'!$B:$F,5,0),"")</f>
        <v/>
      </c>
    </row>
    <row r="509" ht="14.25" customHeight="1">
      <c r="A509" s="898">
        <v>11.0</v>
      </c>
      <c r="B509" s="899" t="s">
        <v>2619</v>
      </c>
      <c r="C509" s="899" t="s">
        <v>2620</v>
      </c>
      <c r="D509" s="901" t="s">
        <v>5791</v>
      </c>
      <c r="E509" s="902"/>
      <c r="F509" s="899" t="s">
        <v>5791</v>
      </c>
      <c r="G509" s="899" t="s">
        <v>2295</v>
      </c>
      <c r="H509" s="901" t="s">
        <v>5785</v>
      </c>
      <c r="I509" s="901" t="s">
        <v>67</v>
      </c>
      <c r="J509" s="903">
        <v>45200.0</v>
      </c>
      <c r="K509" s="901" t="s">
        <v>1027</v>
      </c>
      <c r="L509" s="904">
        <v>0.95</v>
      </c>
      <c r="M509" s="902"/>
      <c r="N509" s="901" t="s">
        <v>2623</v>
      </c>
      <c r="O509" s="899" t="s">
        <v>2296</v>
      </c>
      <c r="P509" s="899" t="s">
        <v>148</v>
      </c>
      <c r="Q509" s="902"/>
      <c r="R509" s="901" t="s">
        <v>278</v>
      </c>
      <c r="S509" s="899" t="s">
        <v>2624</v>
      </c>
      <c r="T509" s="899" t="s">
        <v>96</v>
      </c>
      <c r="U509" s="885" t="str">
        <f>IFERROR(VLOOKUP(N509,'Thông số'!$B:$F,5,0),"")</f>
        <v/>
      </c>
    </row>
    <row r="510" ht="14.25" customHeight="1">
      <c r="A510" s="898">
        <v>12.0</v>
      </c>
      <c r="B510" s="899" t="s">
        <v>2625</v>
      </c>
      <c r="C510" s="902"/>
      <c r="D510" s="901" t="s">
        <v>5792</v>
      </c>
      <c r="E510" s="902"/>
      <c r="F510" s="899" t="s">
        <v>5792</v>
      </c>
      <c r="G510" s="899" t="s">
        <v>2295</v>
      </c>
      <c r="H510" s="901" t="s">
        <v>5785</v>
      </c>
      <c r="I510" s="901" t="s">
        <v>67</v>
      </c>
      <c r="J510" s="903">
        <v>45244.0</v>
      </c>
      <c r="K510" s="901" t="s">
        <v>1027</v>
      </c>
      <c r="L510" s="904">
        <v>0.94</v>
      </c>
      <c r="M510" s="902"/>
      <c r="N510" s="901" t="s">
        <v>2623</v>
      </c>
      <c r="O510" s="899" t="s">
        <v>2296</v>
      </c>
      <c r="P510" s="899" t="s">
        <v>148</v>
      </c>
      <c r="Q510" s="902"/>
      <c r="R510" s="901" t="s">
        <v>278</v>
      </c>
      <c r="S510" s="899" t="s">
        <v>2627</v>
      </c>
      <c r="T510" s="899" t="s">
        <v>96</v>
      </c>
      <c r="U510" s="885" t="str">
        <f>IFERROR(VLOOKUP(N510,'Thông số'!$B:$F,5,0),"")</f>
        <v/>
      </c>
    </row>
    <row r="511" ht="14.25" customHeight="1">
      <c r="A511" s="898">
        <v>13.0</v>
      </c>
      <c r="B511" s="899" t="s">
        <v>2628</v>
      </c>
      <c r="C511" s="902"/>
      <c r="D511" s="901" t="s">
        <v>5793</v>
      </c>
      <c r="E511" s="902"/>
      <c r="F511" s="899" t="s">
        <v>5793</v>
      </c>
      <c r="G511" s="899" t="s">
        <v>2295</v>
      </c>
      <c r="H511" s="901" t="s">
        <v>5785</v>
      </c>
      <c r="I511" s="901" t="s">
        <v>67</v>
      </c>
      <c r="J511" s="903">
        <v>45244.0</v>
      </c>
      <c r="K511" s="901" t="s">
        <v>1027</v>
      </c>
      <c r="L511" s="904">
        <v>0.94</v>
      </c>
      <c r="M511" s="902"/>
      <c r="N511" s="901" t="s">
        <v>2623</v>
      </c>
      <c r="O511" s="899" t="s">
        <v>2296</v>
      </c>
      <c r="P511" s="899" t="s">
        <v>148</v>
      </c>
      <c r="Q511" s="902"/>
      <c r="R511" s="901" t="s">
        <v>278</v>
      </c>
      <c r="S511" s="899" t="s">
        <v>2629</v>
      </c>
      <c r="T511" s="899" t="s">
        <v>96</v>
      </c>
      <c r="U511" s="885" t="str">
        <f>IFERROR(VLOOKUP(N511,'Thông số'!$B:$F,5,0),"")</f>
        <v/>
      </c>
    </row>
    <row r="512" ht="14.25" customHeight="1">
      <c r="A512" s="898">
        <v>14.0</v>
      </c>
      <c r="B512" s="899" t="s">
        <v>2630</v>
      </c>
      <c r="C512" s="902"/>
      <c r="D512" s="901" t="s">
        <v>5794</v>
      </c>
      <c r="E512" s="902"/>
      <c r="F512" s="899" t="s">
        <v>5794</v>
      </c>
      <c r="G512" s="899" t="s">
        <v>2295</v>
      </c>
      <c r="H512" s="901" t="s">
        <v>5785</v>
      </c>
      <c r="I512" s="901" t="s">
        <v>67</v>
      </c>
      <c r="J512" s="903">
        <v>45298.0</v>
      </c>
      <c r="K512" s="901" t="s">
        <v>1027</v>
      </c>
      <c r="L512" s="904">
        <v>0.98</v>
      </c>
      <c r="M512" s="902"/>
      <c r="N512" s="901" t="s">
        <v>2623</v>
      </c>
      <c r="O512" s="899" t="s">
        <v>2296</v>
      </c>
      <c r="P512" s="899" t="s">
        <v>148</v>
      </c>
      <c r="Q512" s="902"/>
      <c r="R512" s="901" t="s">
        <v>278</v>
      </c>
      <c r="S512" s="899" t="s">
        <v>2631</v>
      </c>
      <c r="T512" s="899" t="s">
        <v>96</v>
      </c>
      <c r="U512" s="885" t="str">
        <f>IFERROR(VLOOKUP(N512,'Thông số'!$B:$F,5,0),"")</f>
        <v/>
      </c>
    </row>
    <row r="513" ht="14.25" customHeight="1">
      <c r="A513" s="898">
        <v>15.0</v>
      </c>
      <c r="B513" s="899" t="s">
        <v>2620</v>
      </c>
      <c r="C513" s="902"/>
      <c r="D513" s="901" t="s">
        <v>5795</v>
      </c>
      <c r="E513" s="902"/>
      <c r="F513" s="899" t="s">
        <v>5795</v>
      </c>
      <c r="G513" s="899" t="s">
        <v>2295</v>
      </c>
      <c r="H513" s="901" t="s">
        <v>5785</v>
      </c>
      <c r="I513" s="901" t="s">
        <v>67</v>
      </c>
      <c r="J513" s="903">
        <v>45294.0</v>
      </c>
      <c r="K513" s="901" t="s">
        <v>1027</v>
      </c>
      <c r="L513" s="904">
        <v>0.95</v>
      </c>
      <c r="M513" s="902"/>
      <c r="N513" s="901" t="s">
        <v>2623</v>
      </c>
      <c r="O513" s="899" t="s">
        <v>2296</v>
      </c>
      <c r="P513" s="899" t="s">
        <v>148</v>
      </c>
      <c r="Q513" s="902"/>
      <c r="R513" s="901" t="s">
        <v>278</v>
      </c>
      <c r="S513" s="899" t="s">
        <v>2632</v>
      </c>
      <c r="T513" s="899" t="s">
        <v>96</v>
      </c>
      <c r="U513" s="885" t="str">
        <f>IFERROR(VLOOKUP(N513,'Thông số'!$B:$F,5,0),"")</f>
        <v/>
      </c>
    </row>
    <row r="514" ht="14.25" customHeight="1">
      <c r="A514" s="898">
        <v>16.0</v>
      </c>
      <c r="B514" s="899" t="s">
        <v>2633</v>
      </c>
      <c r="C514" s="899" t="s">
        <v>2633</v>
      </c>
      <c r="D514" s="901" t="s">
        <v>5796</v>
      </c>
      <c r="E514" s="902"/>
      <c r="F514" s="899" t="s">
        <v>5796</v>
      </c>
      <c r="G514" s="899" t="s">
        <v>2295</v>
      </c>
      <c r="H514" s="901" t="s">
        <v>5785</v>
      </c>
      <c r="I514" s="901" t="s">
        <v>67</v>
      </c>
      <c r="J514" s="903">
        <v>45200.0</v>
      </c>
      <c r="K514" s="901" t="s">
        <v>1027</v>
      </c>
      <c r="L514" s="904">
        <v>0.95</v>
      </c>
      <c r="M514" s="902"/>
      <c r="N514" s="901" t="s">
        <v>2623</v>
      </c>
      <c r="O514" s="899" t="s">
        <v>2296</v>
      </c>
      <c r="P514" s="899" t="s">
        <v>148</v>
      </c>
      <c r="Q514" s="902"/>
      <c r="R514" s="901" t="s">
        <v>278</v>
      </c>
      <c r="S514" s="899" t="s">
        <v>2634</v>
      </c>
      <c r="T514" s="899" t="s">
        <v>96</v>
      </c>
      <c r="U514" s="885" t="str">
        <f>IFERROR(VLOOKUP(N514,'Thông số'!$B:$F,5,0),"")</f>
        <v/>
      </c>
    </row>
    <row r="515" ht="14.25" customHeight="1">
      <c r="A515" s="898">
        <v>17.0</v>
      </c>
      <c r="B515" s="899" t="s">
        <v>2635</v>
      </c>
      <c r="C515" s="899" t="s">
        <v>2625</v>
      </c>
      <c r="D515" s="901" t="s">
        <v>6676</v>
      </c>
      <c r="E515" s="902"/>
      <c r="F515" s="902"/>
      <c r="G515" s="899" t="s">
        <v>2295</v>
      </c>
      <c r="H515" s="901" t="s">
        <v>5785</v>
      </c>
      <c r="I515" s="901" t="s">
        <v>67</v>
      </c>
      <c r="J515" s="902"/>
      <c r="K515" s="901" t="s">
        <v>1027</v>
      </c>
      <c r="L515" s="902"/>
      <c r="M515" s="902"/>
      <c r="N515" s="901" t="s">
        <v>2623</v>
      </c>
      <c r="O515" s="899" t="s">
        <v>2636</v>
      </c>
      <c r="P515" s="899" t="s">
        <v>148</v>
      </c>
      <c r="Q515" s="902"/>
      <c r="R515" s="901" t="s">
        <v>278</v>
      </c>
      <c r="S515" s="899" t="s">
        <v>2637</v>
      </c>
      <c r="T515" s="899" t="s">
        <v>96</v>
      </c>
      <c r="U515" s="885" t="str">
        <f>IFERROR(VLOOKUP(N515,'Thông số'!$B:$F,5,0),"")</f>
        <v/>
      </c>
    </row>
    <row r="516" ht="14.25" customHeight="1">
      <c r="A516" s="898">
        <v>18.0</v>
      </c>
      <c r="B516" s="899" t="s">
        <v>2638</v>
      </c>
      <c r="C516" s="902"/>
      <c r="D516" s="901" t="s">
        <v>6677</v>
      </c>
      <c r="E516" s="902"/>
      <c r="F516" s="902"/>
      <c r="G516" s="899" t="s">
        <v>2295</v>
      </c>
      <c r="H516" s="901" t="s">
        <v>5785</v>
      </c>
      <c r="I516" s="901" t="s">
        <v>67</v>
      </c>
      <c r="J516" s="902"/>
      <c r="K516" s="901" t="s">
        <v>1027</v>
      </c>
      <c r="L516" s="902"/>
      <c r="M516" s="902"/>
      <c r="N516" s="901" t="s">
        <v>2623</v>
      </c>
      <c r="O516" s="899" t="s">
        <v>2639</v>
      </c>
      <c r="P516" s="902"/>
      <c r="Q516" s="902"/>
      <c r="R516" s="901" t="s">
        <v>278</v>
      </c>
      <c r="S516" s="899" t="s">
        <v>2640</v>
      </c>
      <c r="T516" s="899" t="s">
        <v>96</v>
      </c>
      <c r="U516" s="885" t="str">
        <f>IFERROR(VLOOKUP(N516,'Thông số'!$B:$F,5,0),"")</f>
        <v/>
      </c>
    </row>
    <row r="517" ht="14.25" customHeight="1">
      <c r="A517" s="898">
        <v>19.0</v>
      </c>
      <c r="B517" s="899" t="s">
        <v>2641</v>
      </c>
      <c r="C517" s="899" t="s">
        <v>2628</v>
      </c>
      <c r="D517" s="901" t="s">
        <v>6678</v>
      </c>
      <c r="E517" s="902"/>
      <c r="F517" s="902"/>
      <c r="G517" s="899" t="s">
        <v>2295</v>
      </c>
      <c r="H517" s="901" t="s">
        <v>5785</v>
      </c>
      <c r="I517" s="901" t="s">
        <v>67</v>
      </c>
      <c r="J517" s="902"/>
      <c r="K517" s="901" t="s">
        <v>1027</v>
      </c>
      <c r="L517" s="902"/>
      <c r="M517" s="935"/>
      <c r="N517" s="901" t="s">
        <v>2623</v>
      </c>
      <c r="O517" s="899" t="s">
        <v>2639</v>
      </c>
      <c r="P517" s="902"/>
      <c r="Q517" s="902"/>
      <c r="R517" s="901" t="s">
        <v>278</v>
      </c>
      <c r="S517" s="899" t="s">
        <v>2644</v>
      </c>
      <c r="T517" s="899" t="s">
        <v>96</v>
      </c>
      <c r="U517" s="885" t="str">
        <f>IFERROR(VLOOKUP(N517,'Thông số'!$B:$F,5,0),"")</f>
        <v/>
      </c>
    </row>
    <row r="518" ht="14.25" customHeight="1">
      <c r="A518" s="954"/>
      <c r="B518" s="902"/>
      <c r="C518" s="899" t="s">
        <v>759</v>
      </c>
      <c r="D518" s="902"/>
      <c r="E518" s="902"/>
      <c r="F518" s="902"/>
      <c r="G518" s="902"/>
      <c r="H518" s="902"/>
      <c r="I518" s="902"/>
      <c r="J518" s="902"/>
      <c r="K518" s="901" t="s">
        <v>1027</v>
      </c>
      <c r="L518" s="902"/>
      <c r="M518" s="902"/>
      <c r="N518" s="902"/>
      <c r="O518" s="902"/>
      <c r="P518" s="902"/>
      <c r="Q518" s="902"/>
      <c r="R518" s="902"/>
      <c r="S518" s="902"/>
      <c r="T518" s="902"/>
      <c r="U518" s="885" t="str">
        <f>IFERROR(VLOOKUP(N518,'Thông số'!$B:$F,5,0),"")</f>
        <v/>
      </c>
    </row>
    <row r="519" ht="14.25" customHeight="1">
      <c r="A519" s="882" t="s">
        <v>2645</v>
      </c>
      <c r="B519" s="883"/>
      <c r="C519" s="884">
        <v>23.0</v>
      </c>
      <c r="D519" s="883"/>
      <c r="E519" s="883"/>
      <c r="F519" s="883"/>
      <c r="G519" s="883"/>
      <c r="H519" s="902"/>
      <c r="I519" s="883"/>
      <c r="J519" s="883"/>
      <c r="K519" s="883"/>
      <c r="L519" s="883"/>
      <c r="M519" s="883"/>
      <c r="N519" s="883"/>
      <c r="O519" s="883"/>
      <c r="P519" s="883"/>
      <c r="Q519" s="883"/>
      <c r="R519" s="883"/>
      <c r="S519" s="883"/>
      <c r="T519" s="883"/>
      <c r="U519" s="885" t="str">
        <f>IFERROR(VLOOKUP(N519,'Thông số'!$B:$F,5,0),"")</f>
        <v/>
      </c>
    </row>
    <row r="520" ht="14.25" customHeight="1">
      <c r="A520" s="898">
        <v>1.0</v>
      </c>
      <c r="B520" s="899" t="s">
        <v>2646</v>
      </c>
      <c r="C520" s="899" t="s">
        <v>2647</v>
      </c>
      <c r="D520" s="902"/>
      <c r="E520" s="902"/>
      <c r="F520" s="899" t="s">
        <v>1422</v>
      </c>
      <c r="G520" s="899" t="s">
        <v>875</v>
      </c>
      <c r="H520" s="901" t="s">
        <v>6517</v>
      </c>
      <c r="I520" s="901" t="s">
        <v>2649</v>
      </c>
      <c r="J520" s="903">
        <v>42186.0</v>
      </c>
      <c r="K520" s="901" t="s">
        <v>1027</v>
      </c>
      <c r="L520" s="904">
        <v>0.0</v>
      </c>
      <c r="M520" s="906" t="s">
        <v>2648</v>
      </c>
      <c r="N520" s="901" t="s">
        <v>878</v>
      </c>
      <c r="O520" s="899" t="s">
        <v>454</v>
      </c>
      <c r="P520" s="899" t="s">
        <v>84</v>
      </c>
      <c r="Q520" s="901">
        <v>2015.0</v>
      </c>
      <c r="R520" s="901" t="s">
        <v>101</v>
      </c>
      <c r="S520" s="899">
        <v>1659.0</v>
      </c>
      <c r="T520" s="899" t="s">
        <v>96</v>
      </c>
      <c r="U520" s="885" t="str">
        <f>IFERROR(VLOOKUP(N520,'Thông số'!$B:$F,5,0),"")</f>
        <v>3120 x 1495 x 1510</v>
      </c>
    </row>
    <row r="521" ht="14.25" customHeight="1">
      <c r="A521" s="898">
        <v>2.0</v>
      </c>
      <c r="B521" s="899" t="s">
        <v>2650</v>
      </c>
      <c r="C521" s="899" t="s">
        <v>2651</v>
      </c>
      <c r="D521" s="901" t="s">
        <v>2652</v>
      </c>
      <c r="E521" s="901" t="s">
        <v>2653</v>
      </c>
      <c r="F521" s="899" t="s">
        <v>2652</v>
      </c>
      <c r="G521" s="899" t="s">
        <v>896</v>
      </c>
      <c r="H521" s="902"/>
      <c r="I521" s="901" t="s">
        <v>2657</v>
      </c>
      <c r="J521" s="903">
        <v>45301.0</v>
      </c>
      <c r="K521" s="901" t="s">
        <v>1027</v>
      </c>
      <c r="L521" s="904">
        <v>0.98</v>
      </c>
      <c r="M521" s="906" t="s">
        <v>2654</v>
      </c>
      <c r="N521" s="901" t="s">
        <v>898</v>
      </c>
      <c r="O521" s="899" t="s">
        <v>897</v>
      </c>
      <c r="P521" s="899" t="s">
        <v>148</v>
      </c>
      <c r="Q521" s="901">
        <v>2021.0</v>
      </c>
      <c r="R521" s="901" t="s">
        <v>158</v>
      </c>
      <c r="S521" s="899" t="s">
        <v>2655</v>
      </c>
      <c r="T521" s="899" t="s">
        <v>2656</v>
      </c>
      <c r="U521" s="885" t="str">
        <f>IFERROR(VLOOKUP(N521,'Thông số'!$B:$F,5,0),"")</f>
        <v>4730 x 1750 x 2100</v>
      </c>
    </row>
    <row r="522" ht="14.25" customHeight="1">
      <c r="A522" s="891">
        <v>3.0</v>
      </c>
      <c r="B522" s="892" t="s">
        <v>2658</v>
      </c>
      <c r="C522" s="894"/>
      <c r="D522" s="894"/>
      <c r="E522" s="894"/>
      <c r="F522" s="894"/>
      <c r="G522" s="892" t="s">
        <v>875</v>
      </c>
      <c r="H522" s="895" t="s">
        <v>6517</v>
      </c>
      <c r="I522" s="895" t="s">
        <v>2649</v>
      </c>
      <c r="J522" s="894"/>
      <c r="K522" s="895" t="s">
        <v>865</v>
      </c>
      <c r="L522" s="894"/>
      <c r="M522" s="894"/>
      <c r="N522" s="895" t="s">
        <v>878</v>
      </c>
      <c r="O522" s="892" t="s">
        <v>454</v>
      </c>
      <c r="P522" s="892" t="s">
        <v>84</v>
      </c>
      <c r="Q522" s="895">
        <v>2015.0</v>
      </c>
      <c r="R522" s="895" t="s">
        <v>101</v>
      </c>
      <c r="S522" s="892">
        <v>1720.0</v>
      </c>
      <c r="T522" s="892" t="s">
        <v>96</v>
      </c>
      <c r="U522" s="885" t="str">
        <f>IFERROR(VLOOKUP(N522,'Thông số'!$B:$F,5,0),"")</f>
        <v>3120 x 1495 x 1510</v>
      </c>
    </row>
    <row r="523" ht="14.25" customHeight="1">
      <c r="A523" s="891">
        <v>4.0</v>
      </c>
      <c r="B523" s="892" t="s">
        <v>1192</v>
      </c>
      <c r="C523" s="894"/>
      <c r="D523" s="895" t="s">
        <v>6679</v>
      </c>
      <c r="E523" s="894"/>
      <c r="F523" s="894"/>
      <c r="G523" s="892" t="s">
        <v>6680</v>
      </c>
      <c r="H523" s="894"/>
      <c r="I523" s="895" t="s">
        <v>44</v>
      </c>
      <c r="J523" s="896">
        <v>45322.0</v>
      </c>
      <c r="K523" s="895" t="s">
        <v>865</v>
      </c>
      <c r="L523" s="894"/>
      <c r="M523" s="919" t="s">
        <v>6681</v>
      </c>
      <c r="N523" s="895" t="s">
        <v>1195</v>
      </c>
      <c r="O523" s="892" t="s">
        <v>300</v>
      </c>
      <c r="P523" s="892" t="s">
        <v>148</v>
      </c>
      <c r="Q523" s="895">
        <v>2010.0</v>
      </c>
      <c r="R523" s="895" t="s">
        <v>413</v>
      </c>
      <c r="S523" s="892" t="s">
        <v>6682</v>
      </c>
      <c r="T523" s="892" t="s">
        <v>96</v>
      </c>
      <c r="U523" s="885" t="str">
        <f>IFERROR(VLOOKUP(N523,'Thông số'!$B:$F,5,0),"")</f>
        <v>6170 x 2330 x 2750</v>
      </c>
    </row>
    <row r="524" ht="14.25" customHeight="1">
      <c r="A524" s="898">
        <v>5.0</v>
      </c>
      <c r="B524" s="899" t="s">
        <v>2661</v>
      </c>
      <c r="C524" s="902"/>
      <c r="D524" s="902"/>
      <c r="E524" s="901" t="s">
        <v>2662</v>
      </c>
      <c r="F524" s="902"/>
      <c r="G524" s="899" t="s">
        <v>2663</v>
      </c>
      <c r="H524" s="902"/>
      <c r="I524" s="901" t="s">
        <v>68</v>
      </c>
      <c r="J524" s="902"/>
      <c r="K524" s="901" t="s">
        <v>1027</v>
      </c>
      <c r="L524" s="902"/>
      <c r="M524" s="906" t="s">
        <v>2664</v>
      </c>
      <c r="N524" s="901" t="s">
        <v>2667</v>
      </c>
      <c r="O524" s="899" t="s">
        <v>2665</v>
      </c>
      <c r="P524" s="899" t="s">
        <v>2666</v>
      </c>
      <c r="Q524" s="901">
        <v>2018.0</v>
      </c>
      <c r="R524" s="901" t="s">
        <v>2668</v>
      </c>
      <c r="S524" s="899" t="s">
        <v>2669</v>
      </c>
      <c r="T524" s="899" t="s">
        <v>2670</v>
      </c>
      <c r="U524" s="885" t="str">
        <f>IFERROR(VLOOKUP(N524,'Thông số'!$B:$F,5,0),"")</f>
        <v/>
      </c>
    </row>
    <row r="525" ht="14.25" customHeight="1">
      <c r="A525" s="898">
        <v>6.0</v>
      </c>
      <c r="B525" s="899" t="s">
        <v>2672</v>
      </c>
      <c r="C525" s="902"/>
      <c r="D525" s="902"/>
      <c r="E525" s="901" t="s">
        <v>2673</v>
      </c>
      <c r="F525" s="902"/>
      <c r="G525" s="899" t="s">
        <v>2663</v>
      </c>
      <c r="H525" s="902"/>
      <c r="I525" s="901" t="s">
        <v>68</v>
      </c>
      <c r="J525" s="902"/>
      <c r="K525" s="901" t="s">
        <v>1027</v>
      </c>
      <c r="L525" s="902"/>
      <c r="M525" s="906" t="s">
        <v>2674</v>
      </c>
      <c r="N525" s="901" t="s">
        <v>2667</v>
      </c>
      <c r="O525" s="899" t="s">
        <v>2665</v>
      </c>
      <c r="P525" s="899" t="s">
        <v>2666</v>
      </c>
      <c r="Q525" s="901">
        <v>2018.0</v>
      </c>
      <c r="R525" s="901" t="s">
        <v>2668</v>
      </c>
      <c r="S525" s="899" t="s">
        <v>2675</v>
      </c>
      <c r="T525" s="899" t="s">
        <v>2676</v>
      </c>
      <c r="U525" s="885" t="str">
        <f>IFERROR(VLOOKUP(N525,'Thông số'!$B:$F,5,0),"")</f>
        <v/>
      </c>
    </row>
    <row r="526" ht="14.25" customHeight="1">
      <c r="A526" s="898">
        <v>7.0</v>
      </c>
      <c r="B526" s="899" t="s">
        <v>2677</v>
      </c>
      <c r="C526" s="902"/>
      <c r="D526" s="902"/>
      <c r="E526" s="901" t="s">
        <v>2678</v>
      </c>
      <c r="F526" s="902"/>
      <c r="G526" s="899" t="s">
        <v>2663</v>
      </c>
      <c r="H526" s="902"/>
      <c r="I526" s="901" t="s">
        <v>68</v>
      </c>
      <c r="J526" s="902"/>
      <c r="K526" s="901" t="s">
        <v>1027</v>
      </c>
      <c r="L526" s="902"/>
      <c r="M526" s="906" t="s">
        <v>2679</v>
      </c>
      <c r="N526" s="901" t="s">
        <v>2667</v>
      </c>
      <c r="O526" s="899" t="s">
        <v>2665</v>
      </c>
      <c r="P526" s="899" t="s">
        <v>2666</v>
      </c>
      <c r="Q526" s="901">
        <v>2018.0</v>
      </c>
      <c r="R526" s="901" t="s">
        <v>2668</v>
      </c>
      <c r="S526" s="902"/>
      <c r="T526" s="902"/>
      <c r="U526" s="885" t="str">
        <f>IFERROR(VLOOKUP(N526,'Thông số'!$B:$F,5,0),"")</f>
        <v/>
      </c>
    </row>
    <row r="527" ht="14.25" customHeight="1">
      <c r="A527" s="898">
        <v>8.0</v>
      </c>
      <c r="B527" s="899" t="s">
        <v>2681</v>
      </c>
      <c r="C527" s="902"/>
      <c r="D527" s="902"/>
      <c r="E527" s="901" t="s">
        <v>2682</v>
      </c>
      <c r="F527" s="902"/>
      <c r="G527" s="899" t="s">
        <v>2663</v>
      </c>
      <c r="H527" s="902"/>
      <c r="I527" s="901" t="s">
        <v>68</v>
      </c>
      <c r="J527" s="902"/>
      <c r="K527" s="901" t="s">
        <v>1027</v>
      </c>
      <c r="L527" s="902"/>
      <c r="M527" s="906" t="s">
        <v>2683</v>
      </c>
      <c r="N527" s="901" t="s">
        <v>2667</v>
      </c>
      <c r="O527" s="899" t="s">
        <v>2665</v>
      </c>
      <c r="P527" s="899" t="s">
        <v>2666</v>
      </c>
      <c r="Q527" s="901">
        <v>2018.0</v>
      </c>
      <c r="R527" s="901" t="s">
        <v>2668</v>
      </c>
      <c r="S527" s="899" t="s">
        <v>2684</v>
      </c>
      <c r="T527" s="899" t="s">
        <v>2685</v>
      </c>
      <c r="U527" s="885" t="str">
        <f>IFERROR(VLOOKUP(N527,'Thông số'!$B:$F,5,0),"")</f>
        <v/>
      </c>
    </row>
    <row r="528" ht="14.25" customHeight="1">
      <c r="A528" s="898">
        <v>9.0</v>
      </c>
      <c r="B528" s="899" t="s">
        <v>2686</v>
      </c>
      <c r="C528" s="902"/>
      <c r="D528" s="902"/>
      <c r="E528" s="901" t="s">
        <v>2687</v>
      </c>
      <c r="F528" s="902"/>
      <c r="G528" s="899" t="s">
        <v>2663</v>
      </c>
      <c r="H528" s="902"/>
      <c r="I528" s="901" t="s">
        <v>68</v>
      </c>
      <c r="J528" s="902"/>
      <c r="K528" s="901" t="s">
        <v>1027</v>
      </c>
      <c r="L528" s="902"/>
      <c r="M528" s="906" t="s">
        <v>2688</v>
      </c>
      <c r="N528" s="901" t="s">
        <v>2667</v>
      </c>
      <c r="O528" s="899" t="s">
        <v>2665</v>
      </c>
      <c r="P528" s="899" t="s">
        <v>2666</v>
      </c>
      <c r="Q528" s="901">
        <v>2017.0</v>
      </c>
      <c r="R528" s="901" t="s">
        <v>2668</v>
      </c>
      <c r="S528" s="899" t="s">
        <v>2689</v>
      </c>
      <c r="T528" s="899" t="s">
        <v>2690</v>
      </c>
      <c r="U528" s="885" t="str">
        <f>IFERROR(VLOOKUP(N528,'Thông số'!$B:$F,5,0),"")</f>
        <v/>
      </c>
    </row>
    <row r="529" ht="14.25" customHeight="1">
      <c r="A529" s="898">
        <v>10.0</v>
      </c>
      <c r="B529" s="899" t="s">
        <v>2692</v>
      </c>
      <c r="C529" s="902"/>
      <c r="D529" s="902"/>
      <c r="E529" s="901" t="s">
        <v>2693</v>
      </c>
      <c r="F529" s="902"/>
      <c r="G529" s="899" t="s">
        <v>2694</v>
      </c>
      <c r="H529" s="902"/>
      <c r="I529" s="901" t="s">
        <v>68</v>
      </c>
      <c r="J529" s="902"/>
      <c r="K529" s="901" t="s">
        <v>1027</v>
      </c>
      <c r="L529" s="902"/>
      <c r="M529" s="906" t="s">
        <v>2695</v>
      </c>
      <c r="N529" s="901" t="s">
        <v>2697</v>
      </c>
      <c r="O529" s="899" t="s">
        <v>2696</v>
      </c>
      <c r="P529" s="899" t="s">
        <v>732</v>
      </c>
      <c r="Q529" s="901">
        <v>2014.0</v>
      </c>
      <c r="R529" s="901" t="s">
        <v>2698</v>
      </c>
      <c r="S529" s="902"/>
      <c r="T529" s="902"/>
      <c r="U529" s="885" t="str">
        <f>IFERROR(VLOOKUP(N529,'Thông số'!$B:$F,5,0),"")</f>
        <v/>
      </c>
    </row>
    <row r="530" ht="14.25" customHeight="1">
      <c r="A530" s="898">
        <v>11.0</v>
      </c>
      <c r="B530" s="899" t="s">
        <v>2700</v>
      </c>
      <c r="C530" s="902"/>
      <c r="D530" s="902"/>
      <c r="E530" s="901" t="s">
        <v>2701</v>
      </c>
      <c r="F530" s="902"/>
      <c r="G530" s="899" t="s">
        <v>2663</v>
      </c>
      <c r="H530" s="902"/>
      <c r="I530" s="901" t="s">
        <v>68</v>
      </c>
      <c r="J530" s="902"/>
      <c r="K530" s="901" t="s">
        <v>1027</v>
      </c>
      <c r="L530" s="902"/>
      <c r="M530" s="906" t="s">
        <v>2702</v>
      </c>
      <c r="N530" s="901" t="s">
        <v>2667</v>
      </c>
      <c r="O530" s="899" t="s">
        <v>2665</v>
      </c>
      <c r="P530" s="899" t="s">
        <v>2666</v>
      </c>
      <c r="Q530" s="901">
        <v>2018.0</v>
      </c>
      <c r="R530" s="901" t="s">
        <v>2668</v>
      </c>
      <c r="S530" s="899" t="s">
        <v>2703</v>
      </c>
      <c r="T530" s="899" t="s">
        <v>2704</v>
      </c>
      <c r="U530" s="885" t="str">
        <f>IFERROR(VLOOKUP(N530,'Thông số'!$B:$F,5,0),"")</f>
        <v/>
      </c>
    </row>
    <row r="531" ht="14.25" customHeight="1">
      <c r="A531" s="898">
        <v>12.0</v>
      </c>
      <c r="B531" s="899" t="s">
        <v>2705</v>
      </c>
      <c r="C531" s="902"/>
      <c r="D531" s="902"/>
      <c r="E531" s="901" t="s">
        <v>2706</v>
      </c>
      <c r="F531" s="902"/>
      <c r="G531" s="899" t="s">
        <v>2707</v>
      </c>
      <c r="H531" s="902"/>
      <c r="I531" s="901" t="s">
        <v>68</v>
      </c>
      <c r="J531" s="902"/>
      <c r="K531" s="901" t="s">
        <v>1027</v>
      </c>
      <c r="L531" s="902"/>
      <c r="M531" s="906" t="s">
        <v>2702</v>
      </c>
      <c r="N531" s="901" t="s">
        <v>2709</v>
      </c>
      <c r="O531" s="899" t="s">
        <v>1255</v>
      </c>
      <c r="P531" s="899" t="s">
        <v>2666</v>
      </c>
      <c r="Q531" s="901">
        <v>2019.0</v>
      </c>
      <c r="R531" s="901" t="s">
        <v>2584</v>
      </c>
      <c r="S531" s="899" t="s">
        <v>2710</v>
      </c>
      <c r="T531" s="899" t="s">
        <v>2711</v>
      </c>
      <c r="U531" s="885" t="str">
        <f>IFERROR(VLOOKUP(N531,'Thông số'!$B:$F,5,0),"")</f>
        <v/>
      </c>
    </row>
    <row r="532" ht="14.25" customHeight="1">
      <c r="A532" s="898">
        <v>13.0</v>
      </c>
      <c r="B532" s="899" t="s">
        <v>2712</v>
      </c>
      <c r="C532" s="902"/>
      <c r="D532" s="902"/>
      <c r="E532" s="901" t="s">
        <v>2713</v>
      </c>
      <c r="F532" s="902"/>
      <c r="G532" s="899" t="s">
        <v>2714</v>
      </c>
      <c r="H532" s="902"/>
      <c r="I532" s="901" t="s">
        <v>68</v>
      </c>
      <c r="J532" s="902"/>
      <c r="K532" s="901" t="s">
        <v>1027</v>
      </c>
      <c r="L532" s="902"/>
      <c r="M532" s="906" t="s">
        <v>2715</v>
      </c>
      <c r="N532" s="901" t="s">
        <v>2717</v>
      </c>
      <c r="O532" s="899" t="s">
        <v>2716</v>
      </c>
      <c r="P532" s="899" t="s">
        <v>222</v>
      </c>
      <c r="Q532" s="901">
        <v>2009.0</v>
      </c>
      <c r="R532" s="901" t="s">
        <v>2718</v>
      </c>
      <c r="S532" s="899" t="s">
        <v>2719</v>
      </c>
      <c r="T532" s="899" t="s">
        <v>2720</v>
      </c>
      <c r="U532" s="885" t="str">
        <f>IFERROR(VLOOKUP(N532,'Thông số'!$B:$F,5,0),"")</f>
        <v/>
      </c>
    </row>
    <row r="533" ht="14.25" customHeight="1">
      <c r="A533" s="898">
        <v>14.0</v>
      </c>
      <c r="B533" s="899" t="s">
        <v>2722</v>
      </c>
      <c r="C533" s="902"/>
      <c r="D533" s="902"/>
      <c r="E533" s="901" t="s">
        <v>2723</v>
      </c>
      <c r="F533" s="902"/>
      <c r="G533" s="899" t="s">
        <v>2724</v>
      </c>
      <c r="H533" s="902"/>
      <c r="I533" s="901" t="s">
        <v>68</v>
      </c>
      <c r="J533" s="902"/>
      <c r="K533" s="901" t="s">
        <v>1027</v>
      </c>
      <c r="L533" s="902"/>
      <c r="M533" s="906" t="s">
        <v>2725</v>
      </c>
      <c r="N533" s="901" t="s">
        <v>2726</v>
      </c>
      <c r="O533" s="899" t="s">
        <v>2716</v>
      </c>
      <c r="P533" s="899" t="s">
        <v>222</v>
      </c>
      <c r="Q533" s="901">
        <v>2013.0</v>
      </c>
      <c r="R533" s="901" t="s">
        <v>2668</v>
      </c>
      <c r="S533" s="899" t="s">
        <v>2727</v>
      </c>
      <c r="T533" s="899" t="s">
        <v>2728</v>
      </c>
      <c r="U533" s="885" t="str">
        <f>IFERROR(VLOOKUP(N533,'Thông số'!$B:$F,5,0),"")</f>
        <v/>
      </c>
    </row>
    <row r="534" ht="14.25" customHeight="1">
      <c r="A534" s="898">
        <v>15.0</v>
      </c>
      <c r="B534" s="899" t="s">
        <v>2730</v>
      </c>
      <c r="C534" s="902"/>
      <c r="D534" s="902"/>
      <c r="E534" s="901" t="s">
        <v>2731</v>
      </c>
      <c r="F534" s="902"/>
      <c r="G534" s="899" t="s">
        <v>2732</v>
      </c>
      <c r="H534" s="902"/>
      <c r="I534" s="901" t="s">
        <v>68</v>
      </c>
      <c r="J534" s="902"/>
      <c r="K534" s="901" t="s">
        <v>1027</v>
      </c>
      <c r="L534" s="902"/>
      <c r="M534" s="906" t="s">
        <v>2715</v>
      </c>
      <c r="N534" s="901" t="s">
        <v>2733</v>
      </c>
      <c r="O534" s="899" t="s">
        <v>2665</v>
      </c>
      <c r="P534" s="899" t="s">
        <v>2666</v>
      </c>
      <c r="Q534" s="901">
        <v>2019.0</v>
      </c>
      <c r="R534" s="901" t="s">
        <v>2734</v>
      </c>
      <c r="S534" s="899" t="s">
        <v>2735</v>
      </c>
      <c r="T534" s="899" t="s">
        <v>2736</v>
      </c>
      <c r="U534" s="885" t="str">
        <f>IFERROR(VLOOKUP(N534,'Thông số'!$B:$F,5,0),"")</f>
        <v/>
      </c>
    </row>
    <row r="535" ht="14.25" customHeight="1">
      <c r="A535" s="898">
        <v>16.0</v>
      </c>
      <c r="B535" s="899" t="s">
        <v>2738</v>
      </c>
      <c r="C535" s="902"/>
      <c r="D535" s="902"/>
      <c r="E535" s="901" t="s">
        <v>2739</v>
      </c>
      <c r="F535" s="902"/>
      <c r="G535" s="899" t="s">
        <v>2740</v>
      </c>
      <c r="H535" s="902"/>
      <c r="I535" s="901" t="s">
        <v>68</v>
      </c>
      <c r="J535" s="902"/>
      <c r="K535" s="901" t="s">
        <v>1027</v>
      </c>
      <c r="L535" s="902"/>
      <c r="M535" s="906" t="s">
        <v>2741</v>
      </c>
      <c r="N535" s="901" t="s">
        <v>2742</v>
      </c>
      <c r="O535" s="899" t="s">
        <v>1032</v>
      </c>
      <c r="P535" s="899" t="s">
        <v>2666</v>
      </c>
      <c r="Q535" s="901">
        <v>2016.0</v>
      </c>
      <c r="R535" s="901" t="s">
        <v>682</v>
      </c>
      <c r="S535" s="902"/>
      <c r="T535" s="902"/>
      <c r="U535" s="885" t="str">
        <f>IFERROR(VLOOKUP(N535,'Thông số'!$B:$F,5,0),"")</f>
        <v/>
      </c>
    </row>
    <row r="536" ht="14.25" customHeight="1">
      <c r="A536" s="898">
        <v>17.0</v>
      </c>
      <c r="B536" s="899" t="s">
        <v>2743</v>
      </c>
      <c r="C536" s="902"/>
      <c r="D536" s="902"/>
      <c r="E536" s="901" t="s">
        <v>2744</v>
      </c>
      <c r="F536" s="902"/>
      <c r="G536" s="899" t="s">
        <v>2694</v>
      </c>
      <c r="H536" s="902"/>
      <c r="I536" s="901" t="s">
        <v>68</v>
      </c>
      <c r="J536" s="902"/>
      <c r="K536" s="901" t="s">
        <v>1027</v>
      </c>
      <c r="L536" s="902"/>
      <c r="M536" s="906" t="s">
        <v>2745</v>
      </c>
      <c r="N536" s="901" t="s">
        <v>2697</v>
      </c>
      <c r="O536" s="899" t="s">
        <v>2696</v>
      </c>
      <c r="P536" s="899" t="s">
        <v>732</v>
      </c>
      <c r="Q536" s="901">
        <v>2024.0</v>
      </c>
      <c r="R536" s="901" t="s">
        <v>2698</v>
      </c>
      <c r="S536" s="899" t="s">
        <v>2746</v>
      </c>
      <c r="T536" s="899" t="s">
        <v>2747</v>
      </c>
      <c r="U536" s="885" t="str">
        <f>IFERROR(VLOOKUP(N536,'Thông số'!$B:$F,5,0),"")</f>
        <v/>
      </c>
    </row>
    <row r="537" ht="14.25" customHeight="1">
      <c r="A537" s="898">
        <v>18.0</v>
      </c>
      <c r="B537" s="899" t="s">
        <v>2749</v>
      </c>
      <c r="C537" s="902"/>
      <c r="D537" s="902"/>
      <c r="E537" s="901" t="s">
        <v>2750</v>
      </c>
      <c r="F537" s="902"/>
      <c r="G537" s="899" t="s">
        <v>2663</v>
      </c>
      <c r="H537" s="902"/>
      <c r="I537" s="901" t="s">
        <v>68</v>
      </c>
      <c r="J537" s="902"/>
      <c r="K537" s="901" t="s">
        <v>1027</v>
      </c>
      <c r="L537" s="902"/>
      <c r="M537" s="906" t="s">
        <v>2751</v>
      </c>
      <c r="N537" s="901" t="s">
        <v>2667</v>
      </c>
      <c r="O537" s="899" t="s">
        <v>2665</v>
      </c>
      <c r="P537" s="899" t="s">
        <v>2666</v>
      </c>
      <c r="Q537" s="901">
        <v>2018.0</v>
      </c>
      <c r="R537" s="901" t="s">
        <v>2668</v>
      </c>
      <c r="S537" s="899" t="s">
        <v>2752</v>
      </c>
      <c r="T537" s="899" t="s">
        <v>2753</v>
      </c>
      <c r="U537" s="885" t="str">
        <f>IFERROR(VLOOKUP(N537,'Thông số'!$B:$F,5,0),"")</f>
        <v/>
      </c>
    </row>
    <row r="538" ht="14.25" customHeight="1">
      <c r="A538" s="898">
        <v>19.0</v>
      </c>
      <c r="B538" s="899" t="s">
        <v>2754</v>
      </c>
      <c r="C538" s="902"/>
      <c r="D538" s="902"/>
      <c r="E538" s="901" t="s">
        <v>2755</v>
      </c>
      <c r="F538" s="902"/>
      <c r="G538" s="899" t="s">
        <v>2756</v>
      </c>
      <c r="H538" s="902"/>
      <c r="I538" s="901" t="s">
        <v>68</v>
      </c>
      <c r="J538" s="902"/>
      <c r="K538" s="901" t="s">
        <v>1027</v>
      </c>
      <c r="L538" s="902"/>
      <c r="M538" s="902"/>
      <c r="N538" s="902"/>
      <c r="O538" s="899" t="s">
        <v>2757</v>
      </c>
      <c r="P538" s="902"/>
      <c r="Q538" s="902"/>
      <c r="R538" s="902"/>
      <c r="S538" s="902"/>
      <c r="T538" s="902"/>
      <c r="U538" s="885" t="str">
        <f>IFERROR(VLOOKUP(N538,'Thông số'!$B:$F,5,0),"")</f>
        <v/>
      </c>
    </row>
    <row r="539" ht="14.25" customHeight="1">
      <c r="A539" s="898">
        <v>20.0</v>
      </c>
      <c r="B539" s="899" t="s">
        <v>2758</v>
      </c>
      <c r="C539" s="902"/>
      <c r="D539" s="901" t="s">
        <v>2759</v>
      </c>
      <c r="E539" s="901" t="s">
        <v>2760</v>
      </c>
      <c r="F539" s="902"/>
      <c r="G539" s="899" t="s">
        <v>2761</v>
      </c>
      <c r="H539" s="902"/>
      <c r="I539" s="901" t="s">
        <v>68</v>
      </c>
      <c r="J539" s="903">
        <v>45541.0</v>
      </c>
      <c r="K539" s="901" t="s">
        <v>1027</v>
      </c>
      <c r="L539" s="902"/>
      <c r="M539" s="906" t="s">
        <v>890</v>
      </c>
      <c r="N539" s="901" t="s">
        <v>2762</v>
      </c>
      <c r="O539" s="899" t="s">
        <v>897</v>
      </c>
      <c r="P539" s="899" t="s">
        <v>148</v>
      </c>
      <c r="Q539" s="901">
        <v>2024.0</v>
      </c>
      <c r="R539" s="901" t="s">
        <v>158</v>
      </c>
      <c r="S539" s="899" t="s">
        <v>2763</v>
      </c>
      <c r="T539" s="899" t="s">
        <v>2764</v>
      </c>
      <c r="U539" s="885" t="str">
        <f>IFERROR(VLOOKUP(N539,'Thông số'!$B:$F,5,0),"")</f>
        <v>4730 x 1750 x 2100</v>
      </c>
    </row>
    <row r="540" ht="14.25" customHeight="1">
      <c r="A540" s="898">
        <v>21.0</v>
      </c>
      <c r="B540" s="899" t="s">
        <v>2765</v>
      </c>
      <c r="C540" s="902"/>
      <c r="D540" s="901" t="s">
        <v>2766</v>
      </c>
      <c r="E540" s="901" t="s">
        <v>2767</v>
      </c>
      <c r="F540" s="902"/>
      <c r="G540" s="899" t="s">
        <v>2761</v>
      </c>
      <c r="H540" s="902"/>
      <c r="I540" s="901" t="s">
        <v>68</v>
      </c>
      <c r="J540" s="903">
        <v>45541.0</v>
      </c>
      <c r="K540" s="901" t="s">
        <v>1027</v>
      </c>
      <c r="L540" s="902"/>
      <c r="M540" s="906" t="s">
        <v>890</v>
      </c>
      <c r="N540" s="901" t="s">
        <v>2762</v>
      </c>
      <c r="O540" s="899" t="s">
        <v>897</v>
      </c>
      <c r="P540" s="899" t="s">
        <v>148</v>
      </c>
      <c r="Q540" s="901">
        <v>2024.0</v>
      </c>
      <c r="R540" s="901" t="s">
        <v>158</v>
      </c>
      <c r="S540" s="899" t="s">
        <v>2768</v>
      </c>
      <c r="T540" s="899" t="s">
        <v>2769</v>
      </c>
      <c r="U540" s="885" t="str">
        <f>IFERROR(VLOOKUP(N540,'Thông số'!$B:$F,5,0),"")</f>
        <v>4730 x 1750 x 2100</v>
      </c>
    </row>
    <row r="541" ht="14.25" customHeight="1">
      <c r="A541" s="898">
        <v>22.0</v>
      </c>
      <c r="B541" s="899" t="s">
        <v>2770</v>
      </c>
      <c r="C541" s="902"/>
      <c r="D541" s="901" t="s">
        <v>2771</v>
      </c>
      <c r="E541" s="901" t="s">
        <v>2772</v>
      </c>
      <c r="F541" s="902"/>
      <c r="G541" s="899" t="s">
        <v>2761</v>
      </c>
      <c r="H541" s="902"/>
      <c r="I541" s="901" t="s">
        <v>68</v>
      </c>
      <c r="J541" s="903">
        <v>45541.0</v>
      </c>
      <c r="K541" s="901" t="s">
        <v>1027</v>
      </c>
      <c r="L541" s="902"/>
      <c r="M541" s="906" t="s">
        <v>890</v>
      </c>
      <c r="N541" s="901" t="s">
        <v>2762</v>
      </c>
      <c r="O541" s="899" t="s">
        <v>897</v>
      </c>
      <c r="P541" s="899" t="s">
        <v>148</v>
      </c>
      <c r="Q541" s="901">
        <v>2024.0</v>
      </c>
      <c r="R541" s="901" t="s">
        <v>158</v>
      </c>
      <c r="S541" s="899" t="s">
        <v>2773</v>
      </c>
      <c r="T541" s="899" t="s">
        <v>2774</v>
      </c>
      <c r="U541" s="885" t="str">
        <f>IFERROR(VLOOKUP(N541,'Thông số'!$B:$F,5,0),"")</f>
        <v>4730 x 1750 x 2100</v>
      </c>
    </row>
    <row r="542" ht="14.25" customHeight="1">
      <c r="A542" s="891">
        <v>23.0</v>
      </c>
      <c r="B542" s="892" t="s">
        <v>2775</v>
      </c>
      <c r="C542" s="894"/>
      <c r="D542" s="895" t="s">
        <v>2776</v>
      </c>
      <c r="E542" s="894"/>
      <c r="F542" s="894"/>
      <c r="G542" s="892" t="s">
        <v>2777</v>
      </c>
      <c r="H542" s="894"/>
      <c r="I542" s="895" t="s">
        <v>68</v>
      </c>
      <c r="J542" s="896">
        <v>45541.0</v>
      </c>
      <c r="K542" s="895" t="s">
        <v>865</v>
      </c>
      <c r="L542" s="894"/>
      <c r="M542" s="919" t="s">
        <v>890</v>
      </c>
      <c r="N542" s="895" t="s">
        <v>2778</v>
      </c>
      <c r="O542" s="892" t="s">
        <v>897</v>
      </c>
      <c r="P542" s="892" t="s">
        <v>148</v>
      </c>
      <c r="Q542" s="895">
        <v>2023.0</v>
      </c>
      <c r="R542" s="895" t="s">
        <v>158</v>
      </c>
      <c r="S542" s="892" t="s">
        <v>2779</v>
      </c>
      <c r="T542" s="892" t="s">
        <v>2780</v>
      </c>
      <c r="U542" s="885" t="str">
        <f>IFERROR(VLOOKUP(N542,'Thông số'!$B:$F,5,0),"")</f>
        <v>4730 x 1750 x 2100</v>
      </c>
    </row>
    <row r="543" ht="14.25" customHeight="1">
      <c r="A543" s="954"/>
      <c r="B543" s="902"/>
      <c r="C543" s="899" t="s">
        <v>759</v>
      </c>
      <c r="D543" s="902"/>
      <c r="E543" s="902"/>
      <c r="F543" s="902"/>
      <c r="G543" s="902"/>
      <c r="H543" s="902"/>
      <c r="I543" s="902"/>
      <c r="J543" s="902"/>
      <c r="K543" s="901" t="s">
        <v>1027</v>
      </c>
      <c r="L543" s="902"/>
      <c r="M543" s="902"/>
      <c r="N543" s="902"/>
      <c r="O543" s="902"/>
      <c r="P543" s="902"/>
      <c r="Q543" s="902"/>
      <c r="R543" s="902"/>
      <c r="S543" s="902"/>
      <c r="T543" s="902"/>
      <c r="U543" s="885" t="str">
        <f>IFERROR(VLOOKUP(N543,'Thông số'!$B:$F,5,0),"")</f>
        <v/>
      </c>
    </row>
    <row r="544" ht="14.25" customHeight="1">
      <c r="A544" s="882" t="s">
        <v>2791</v>
      </c>
      <c r="B544" s="883"/>
      <c r="C544" s="884">
        <v>11.0</v>
      </c>
      <c r="D544" s="883"/>
      <c r="E544" s="883"/>
      <c r="F544" s="883"/>
      <c r="G544" s="883"/>
      <c r="H544" s="902"/>
      <c r="I544" s="883"/>
      <c r="J544" s="883"/>
      <c r="K544" s="883"/>
      <c r="L544" s="883"/>
      <c r="M544" s="883"/>
      <c r="N544" s="883"/>
      <c r="O544" s="883"/>
      <c r="P544" s="883"/>
      <c r="Q544" s="883"/>
      <c r="R544" s="883"/>
      <c r="S544" s="883"/>
      <c r="T544" s="883"/>
      <c r="U544" s="885" t="str">
        <f>IFERROR(VLOOKUP(N544,'Thông số'!$B:$F,5,0),"")</f>
        <v/>
      </c>
    </row>
    <row r="545" ht="14.25" customHeight="1">
      <c r="A545" s="891">
        <v>1.0</v>
      </c>
      <c r="B545" s="892" t="s">
        <v>2792</v>
      </c>
      <c r="C545" s="892" t="s">
        <v>6683</v>
      </c>
      <c r="D545" s="895" t="s">
        <v>76</v>
      </c>
      <c r="E545" s="894"/>
      <c r="F545" s="894"/>
      <c r="G545" s="892" t="s">
        <v>2263</v>
      </c>
      <c r="H545" s="894"/>
      <c r="I545" s="895" t="s">
        <v>2794</v>
      </c>
      <c r="J545" s="895" t="s">
        <v>2795</v>
      </c>
      <c r="K545" s="895" t="s">
        <v>865</v>
      </c>
      <c r="L545" s="894"/>
      <c r="M545" s="894"/>
      <c r="N545" s="895" t="s">
        <v>2372</v>
      </c>
      <c r="O545" s="892" t="s">
        <v>743</v>
      </c>
      <c r="P545" s="892" t="s">
        <v>148</v>
      </c>
      <c r="Q545" s="894"/>
      <c r="R545" s="895" t="s">
        <v>413</v>
      </c>
      <c r="S545" s="892" t="s">
        <v>2796</v>
      </c>
      <c r="T545" s="892" t="s">
        <v>96</v>
      </c>
      <c r="U545" s="885" t="str">
        <f>IFERROR(VLOOKUP(N545,'Thông số'!$B:$F,5,0),"")</f>
        <v>6160 x 2330 x 2750</v>
      </c>
    </row>
    <row r="546" ht="14.25" customHeight="1">
      <c r="A546" s="898">
        <v>2.0</v>
      </c>
      <c r="B546" s="899" t="s">
        <v>2797</v>
      </c>
      <c r="C546" s="908"/>
      <c r="D546" s="901" t="s">
        <v>76</v>
      </c>
      <c r="E546" s="908"/>
      <c r="F546" s="908"/>
      <c r="G546" s="899" t="s">
        <v>2478</v>
      </c>
      <c r="H546" s="902"/>
      <c r="I546" s="901" t="s">
        <v>2794</v>
      </c>
      <c r="J546" s="958" t="s">
        <v>1675</v>
      </c>
      <c r="K546" s="901" t="s">
        <v>1027</v>
      </c>
      <c r="L546" s="908"/>
      <c r="M546" s="902"/>
      <c r="N546" s="908"/>
      <c r="O546" s="899" t="s">
        <v>743</v>
      </c>
      <c r="P546" s="899" t="s">
        <v>148</v>
      </c>
      <c r="Q546" s="908"/>
      <c r="R546" s="908"/>
      <c r="S546" s="908"/>
      <c r="T546" s="908"/>
      <c r="U546" s="885" t="str">
        <f>IFERROR(VLOOKUP(N546,'Thông số'!$B:$F,5,0),"")</f>
        <v/>
      </c>
    </row>
    <row r="547" ht="14.25" customHeight="1">
      <c r="A547" s="898">
        <v>3.0</v>
      </c>
      <c r="B547" s="899" t="s">
        <v>2800</v>
      </c>
      <c r="C547" s="908"/>
      <c r="D547" s="901" t="s">
        <v>76</v>
      </c>
      <c r="E547" s="908"/>
      <c r="F547" s="908"/>
      <c r="G547" s="899" t="s">
        <v>2511</v>
      </c>
      <c r="H547" s="902"/>
      <c r="I547" s="901" t="s">
        <v>2794</v>
      </c>
      <c r="J547" s="901" t="s">
        <v>2795</v>
      </c>
      <c r="K547" s="901" t="s">
        <v>1027</v>
      </c>
      <c r="L547" s="908"/>
      <c r="M547" s="902"/>
      <c r="N547" s="908"/>
      <c r="O547" s="899" t="s">
        <v>743</v>
      </c>
      <c r="P547" s="899" t="s">
        <v>148</v>
      </c>
      <c r="Q547" s="908"/>
      <c r="R547" s="908"/>
      <c r="S547" s="908"/>
      <c r="T547" s="908"/>
      <c r="U547" s="885" t="str">
        <f>IFERROR(VLOOKUP(N547,'Thông số'!$B:$F,5,0),"")</f>
        <v/>
      </c>
    </row>
    <row r="548" ht="14.25" customHeight="1">
      <c r="A548" s="898">
        <v>4.0</v>
      </c>
      <c r="B548" s="899" t="s">
        <v>2802</v>
      </c>
      <c r="C548" s="908"/>
      <c r="D548" s="901" t="s">
        <v>76</v>
      </c>
      <c r="E548" s="908"/>
      <c r="F548" s="908"/>
      <c r="G548" s="899" t="s">
        <v>2803</v>
      </c>
      <c r="H548" s="901" t="s">
        <v>5841</v>
      </c>
      <c r="I548" s="901" t="s">
        <v>2794</v>
      </c>
      <c r="J548" s="901" t="s">
        <v>2795</v>
      </c>
      <c r="K548" s="901" t="s">
        <v>1027</v>
      </c>
      <c r="L548" s="908"/>
      <c r="M548" s="902"/>
      <c r="N548" s="908"/>
      <c r="O548" s="908"/>
      <c r="P548" s="908"/>
      <c r="Q548" s="908"/>
      <c r="R548" s="908"/>
      <c r="S548" s="908"/>
      <c r="T548" s="908"/>
      <c r="U548" s="885" t="str">
        <f>IFERROR(VLOOKUP(N548,'Thông số'!$B:$F,5,0),"")</f>
        <v/>
      </c>
    </row>
    <row r="549" ht="14.25" customHeight="1">
      <c r="A549" s="898">
        <v>5.0</v>
      </c>
      <c r="B549" s="899" t="s">
        <v>2804</v>
      </c>
      <c r="C549" s="908"/>
      <c r="D549" s="901" t="s">
        <v>76</v>
      </c>
      <c r="E549" s="907" t="s">
        <v>2805</v>
      </c>
      <c r="F549" s="908"/>
      <c r="G549" s="899" t="s">
        <v>2806</v>
      </c>
      <c r="H549" s="902"/>
      <c r="I549" s="901" t="s">
        <v>2794</v>
      </c>
      <c r="J549" s="901" t="s">
        <v>2795</v>
      </c>
      <c r="K549" s="901" t="s">
        <v>1027</v>
      </c>
      <c r="L549" s="908"/>
      <c r="M549" s="902"/>
      <c r="N549" s="908"/>
      <c r="O549" s="917" t="s">
        <v>2807</v>
      </c>
      <c r="P549" s="917" t="s">
        <v>84</v>
      </c>
      <c r="Q549" s="908"/>
      <c r="R549" s="908"/>
      <c r="S549" s="908"/>
      <c r="T549" s="908"/>
      <c r="U549" s="885" t="str">
        <f>IFERROR(VLOOKUP(N549,'Thông số'!$B:$F,5,0),"")</f>
        <v/>
      </c>
    </row>
    <row r="550" ht="14.25" customHeight="1">
      <c r="A550" s="898">
        <v>6.0</v>
      </c>
      <c r="B550" s="899" t="s">
        <v>2809</v>
      </c>
      <c r="C550" s="908"/>
      <c r="D550" s="901" t="s">
        <v>5798</v>
      </c>
      <c r="E550" s="902"/>
      <c r="F550" s="899" t="s">
        <v>5798</v>
      </c>
      <c r="G550" s="899" t="s">
        <v>2295</v>
      </c>
      <c r="H550" s="901" t="s">
        <v>5785</v>
      </c>
      <c r="I550" s="901" t="s">
        <v>2794</v>
      </c>
      <c r="J550" s="909">
        <v>45244.0</v>
      </c>
      <c r="K550" s="901" t="s">
        <v>1027</v>
      </c>
      <c r="L550" s="934">
        <v>0.94</v>
      </c>
      <c r="M550" s="902"/>
      <c r="N550" s="901" t="s">
        <v>2623</v>
      </c>
      <c r="O550" s="908"/>
      <c r="P550" s="899" t="s">
        <v>883</v>
      </c>
      <c r="Q550" s="958">
        <v>2021.0</v>
      </c>
      <c r="R550" s="901" t="s">
        <v>278</v>
      </c>
      <c r="S550" s="955" t="s">
        <v>2810</v>
      </c>
      <c r="T550" s="955" t="s">
        <v>2811</v>
      </c>
      <c r="U550" s="885" t="str">
        <f>IFERROR(VLOOKUP(N550,'Thông số'!$B:$F,5,0),"")</f>
        <v/>
      </c>
    </row>
    <row r="551" ht="14.25" customHeight="1">
      <c r="A551" s="898">
        <v>7.0</v>
      </c>
      <c r="B551" s="899" t="s">
        <v>2812</v>
      </c>
      <c r="C551" s="908"/>
      <c r="D551" s="901" t="s">
        <v>5800</v>
      </c>
      <c r="E551" s="902"/>
      <c r="F551" s="899" t="s">
        <v>5800</v>
      </c>
      <c r="G551" s="899" t="s">
        <v>2295</v>
      </c>
      <c r="H551" s="901" t="s">
        <v>5785</v>
      </c>
      <c r="I551" s="901" t="s">
        <v>2794</v>
      </c>
      <c r="J551" s="909">
        <v>45244.0</v>
      </c>
      <c r="K551" s="901" t="s">
        <v>1027</v>
      </c>
      <c r="L551" s="934">
        <v>0.94</v>
      </c>
      <c r="M551" s="902"/>
      <c r="N551" s="901" t="s">
        <v>2623</v>
      </c>
      <c r="O551" s="908"/>
      <c r="P551" s="899" t="s">
        <v>883</v>
      </c>
      <c r="Q551" s="958">
        <v>2021.0</v>
      </c>
      <c r="R551" s="901" t="s">
        <v>278</v>
      </c>
      <c r="S551" s="955" t="s">
        <v>2813</v>
      </c>
      <c r="T551" s="955" t="s">
        <v>2814</v>
      </c>
      <c r="U551" s="885" t="str">
        <f>IFERROR(VLOOKUP(N551,'Thông số'!$B:$F,5,0),"")</f>
        <v/>
      </c>
    </row>
    <row r="552" ht="14.25" customHeight="1">
      <c r="A552" s="898">
        <v>8.0</v>
      </c>
      <c r="B552" s="899" t="s">
        <v>2815</v>
      </c>
      <c r="C552" s="908"/>
      <c r="D552" s="901" t="s">
        <v>5801</v>
      </c>
      <c r="E552" s="902"/>
      <c r="F552" s="905" t="s">
        <v>5801</v>
      </c>
      <c r="G552" s="899" t="s">
        <v>2295</v>
      </c>
      <c r="H552" s="901" t="s">
        <v>5785</v>
      </c>
      <c r="I552" s="901" t="s">
        <v>2794</v>
      </c>
      <c r="J552" s="909">
        <v>45244.0</v>
      </c>
      <c r="K552" s="901" t="s">
        <v>1027</v>
      </c>
      <c r="L552" s="934">
        <v>0.94</v>
      </c>
      <c r="M552" s="902"/>
      <c r="N552" s="901" t="s">
        <v>2623</v>
      </c>
      <c r="O552" s="908"/>
      <c r="P552" s="899" t="s">
        <v>883</v>
      </c>
      <c r="Q552" s="958">
        <v>2021.0</v>
      </c>
      <c r="R552" s="901" t="s">
        <v>278</v>
      </c>
      <c r="S552" s="955">
        <v>2.2060447E7</v>
      </c>
      <c r="T552" s="955" t="s">
        <v>2816</v>
      </c>
      <c r="U552" s="885" t="str">
        <f>IFERROR(VLOOKUP(N552,'Thông số'!$B:$F,5,0),"")</f>
        <v/>
      </c>
    </row>
    <row r="553" ht="14.25" customHeight="1">
      <c r="A553" s="898">
        <v>9.0</v>
      </c>
      <c r="B553" s="899" t="s">
        <v>2817</v>
      </c>
      <c r="C553" s="908"/>
      <c r="D553" s="901" t="s">
        <v>6685</v>
      </c>
      <c r="E553" s="902"/>
      <c r="F553" s="905" t="s">
        <v>5802</v>
      </c>
      <c r="G553" s="899" t="s">
        <v>2295</v>
      </c>
      <c r="H553" s="901" t="s">
        <v>5785</v>
      </c>
      <c r="I553" s="901" t="s">
        <v>2794</v>
      </c>
      <c r="J553" s="909">
        <v>45244.0</v>
      </c>
      <c r="K553" s="901" t="s">
        <v>1027</v>
      </c>
      <c r="L553" s="934">
        <v>0.94</v>
      </c>
      <c r="M553" s="902"/>
      <c r="N553" s="901" t="s">
        <v>2623</v>
      </c>
      <c r="O553" s="908"/>
      <c r="P553" s="899" t="s">
        <v>883</v>
      </c>
      <c r="Q553" s="958">
        <v>2021.0</v>
      </c>
      <c r="R553" s="901" t="s">
        <v>278</v>
      </c>
      <c r="S553" s="955">
        <v>2.206046E7</v>
      </c>
      <c r="T553" s="955" t="s">
        <v>2818</v>
      </c>
      <c r="U553" s="885" t="str">
        <f>IFERROR(VLOOKUP(N553,'Thông số'!$B:$F,5,0),"")</f>
        <v/>
      </c>
    </row>
    <row r="554" ht="14.25" customHeight="1">
      <c r="A554" s="898">
        <v>10.0</v>
      </c>
      <c r="B554" s="899" t="s">
        <v>2819</v>
      </c>
      <c r="C554" s="908"/>
      <c r="D554" s="901" t="s">
        <v>6686</v>
      </c>
      <c r="E554" s="908"/>
      <c r="F554" s="908"/>
      <c r="G554" s="899" t="s">
        <v>2295</v>
      </c>
      <c r="H554" s="901" t="s">
        <v>5785</v>
      </c>
      <c r="I554" s="901" t="s">
        <v>2794</v>
      </c>
      <c r="J554" s="958" t="s">
        <v>1675</v>
      </c>
      <c r="K554" s="901" t="s">
        <v>1027</v>
      </c>
      <c r="L554" s="908"/>
      <c r="M554" s="908"/>
      <c r="N554" s="901" t="s">
        <v>2623</v>
      </c>
      <c r="O554" s="908"/>
      <c r="P554" s="899" t="s">
        <v>883</v>
      </c>
      <c r="Q554" s="958">
        <v>2021.0</v>
      </c>
      <c r="R554" s="901" t="s">
        <v>278</v>
      </c>
      <c r="S554" s="955" t="s">
        <v>2820</v>
      </c>
      <c r="T554" s="955" t="s">
        <v>2821</v>
      </c>
      <c r="U554" s="885" t="str">
        <f>IFERROR(VLOOKUP(N554,'Thông số'!$B:$F,5,0),"")</f>
        <v/>
      </c>
    </row>
    <row r="555" ht="14.25" customHeight="1">
      <c r="A555" s="898">
        <v>11.0</v>
      </c>
      <c r="B555" s="899" t="s">
        <v>5667</v>
      </c>
      <c r="C555" s="902"/>
      <c r="D555" s="902"/>
      <c r="E555" s="902"/>
      <c r="F555" s="902"/>
      <c r="G555" s="899" t="s">
        <v>5668</v>
      </c>
      <c r="H555" s="902"/>
      <c r="I555" s="901" t="s">
        <v>2794</v>
      </c>
      <c r="J555" s="902"/>
      <c r="K555" s="901" t="s">
        <v>1027</v>
      </c>
      <c r="L555" s="902"/>
      <c r="M555" s="906" t="s">
        <v>5669</v>
      </c>
      <c r="N555" s="901" t="s">
        <v>5671</v>
      </c>
      <c r="O555" s="899" t="s">
        <v>5670</v>
      </c>
      <c r="P555" s="899" t="s">
        <v>260</v>
      </c>
      <c r="Q555" s="902"/>
      <c r="R555" s="901" t="s">
        <v>950</v>
      </c>
      <c r="S555" s="899">
        <v>216281.0</v>
      </c>
      <c r="T555" s="902"/>
      <c r="U555" s="885" t="str">
        <f>IFERROR(VLOOKUP(N555,'Thông số'!$B:$F,5,0),"")</f>
        <v/>
      </c>
    </row>
    <row r="556" ht="14.25" customHeight="1">
      <c r="A556" s="954"/>
      <c r="B556" s="902"/>
      <c r="C556" s="899" t="s">
        <v>759</v>
      </c>
      <c r="D556" s="902"/>
      <c r="E556" s="902"/>
      <c r="F556" s="902"/>
      <c r="G556" s="902"/>
      <c r="H556" s="902"/>
      <c r="I556" s="902"/>
      <c r="J556" s="902"/>
      <c r="K556" s="901" t="s">
        <v>1027</v>
      </c>
      <c r="L556" s="902"/>
      <c r="M556" s="902"/>
      <c r="N556" s="902"/>
      <c r="O556" s="902"/>
      <c r="P556" s="902"/>
      <c r="Q556" s="902"/>
      <c r="R556" s="902"/>
      <c r="S556" s="902"/>
      <c r="T556" s="902"/>
      <c r="U556" s="885" t="str">
        <f>IFERROR(VLOOKUP(N556,'Thông số'!$B:$F,5,0),"")</f>
        <v/>
      </c>
    </row>
    <row r="557" ht="14.25" customHeight="1">
      <c r="A557" s="882" t="s">
        <v>6687</v>
      </c>
      <c r="B557" s="883"/>
      <c r="C557" s="884">
        <v>9.0</v>
      </c>
      <c r="D557" s="883"/>
      <c r="E557" s="883"/>
      <c r="F557" s="883"/>
      <c r="G557" s="883"/>
      <c r="H557" s="902"/>
      <c r="I557" s="883"/>
      <c r="J557" s="883"/>
      <c r="K557" s="883"/>
      <c r="L557" s="883"/>
      <c r="M557" s="883"/>
      <c r="N557" s="883"/>
      <c r="O557" s="883"/>
      <c r="P557" s="883"/>
      <c r="Q557" s="883"/>
      <c r="R557" s="883"/>
      <c r="S557" s="883"/>
      <c r="T557" s="883"/>
      <c r="U557" s="885" t="str">
        <f>IFERROR(VLOOKUP(N557,'Thông số'!$B:$F,5,0),"")</f>
        <v/>
      </c>
    </row>
    <row r="558" ht="14.25" customHeight="1">
      <c r="A558" s="898">
        <v>1.0</v>
      </c>
      <c r="B558" s="899" t="s">
        <v>2823</v>
      </c>
      <c r="C558" s="905" t="s">
        <v>2824</v>
      </c>
      <c r="D558" s="901" t="s">
        <v>2825</v>
      </c>
      <c r="E558" s="908"/>
      <c r="F558" s="908"/>
      <c r="G558" s="905" t="s">
        <v>1252</v>
      </c>
      <c r="H558" s="902"/>
      <c r="I558" s="960" t="s">
        <v>70</v>
      </c>
      <c r="J558" s="909">
        <v>45576.0</v>
      </c>
      <c r="K558" s="901" t="s">
        <v>1027</v>
      </c>
      <c r="L558" s="961">
        <v>0.99</v>
      </c>
      <c r="M558" s="908"/>
      <c r="N558" s="901" t="s">
        <v>1256</v>
      </c>
      <c r="O558" s="905" t="s">
        <v>1255</v>
      </c>
      <c r="P558" s="899" t="s">
        <v>648</v>
      </c>
      <c r="Q558" s="907">
        <v>2021.0</v>
      </c>
      <c r="R558" s="901" t="s">
        <v>158</v>
      </c>
      <c r="S558" s="955" t="s">
        <v>2826</v>
      </c>
      <c r="T558" s="955" t="s">
        <v>2827</v>
      </c>
      <c r="U558" s="885" t="str">
        <f>IFERROR(VLOOKUP(N558,'Thông số'!$B:$F,5,0),"")</f>
        <v>4730 x 1750 x 2100</v>
      </c>
    </row>
    <row r="559" ht="14.25" customHeight="1">
      <c r="A559" s="898">
        <v>2.0</v>
      </c>
      <c r="B559" s="899" t="s">
        <v>2829</v>
      </c>
      <c r="C559" s="905" t="s">
        <v>2830</v>
      </c>
      <c r="D559" s="901" t="s">
        <v>2831</v>
      </c>
      <c r="E559" s="908"/>
      <c r="F559" s="908"/>
      <c r="G559" s="905" t="s">
        <v>1252</v>
      </c>
      <c r="H559" s="902"/>
      <c r="I559" s="960" t="s">
        <v>70</v>
      </c>
      <c r="J559" s="909">
        <v>45575.0</v>
      </c>
      <c r="K559" s="901" t="s">
        <v>1027</v>
      </c>
      <c r="L559" s="961">
        <v>0.99</v>
      </c>
      <c r="M559" s="908"/>
      <c r="N559" s="901" t="s">
        <v>1256</v>
      </c>
      <c r="O559" s="905" t="s">
        <v>1255</v>
      </c>
      <c r="P559" s="899" t="s">
        <v>648</v>
      </c>
      <c r="Q559" s="907">
        <v>2021.0</v>
      </c>
      <c r="R559" s="901" t="s">
        <v>158</v>
      </c>
      <c r="S559" s="955" t="s">
        <v>2832</v>
      </c>
      <c r="T559" s="955" t="s">
        <v>2833</v>
      </c>
      <c r="U559" s="885" t="str">
        <f>IFERROR(VLOOKUP(N559,'Thông số'!$B:$F,5,0),"")</f>
        <v>4730 x 1750 x 2100</v>
      </c>
    </row>
    <row r="560" ht="14.25" customHeight="1">
      <c r="A560" s="898">
        <v>3.0</v>
      </c>
      <c r="B560" s="899" t="s">
        <v>2843</v>
      </c>
      <c r="C560" s="908"/>
      <c r="D560" s="901" t="s">
        <v>6688</v>
      </c>
      <c r="E560" s="908"/>
      <c r="F560" s="908"/>
      <c r="G560" s="905" t="s">
        <v>2844</v>
      </c>
      <c r="H560" s="902"/>
      <c r="I560" s="960" t="s">
        <v>70</v>
      </c>
      <c r="J560" s="909">
        <v>45265.0</v>
      </c>
      <c r="K560" s="901" t="s">
        <v>1027</v>
      </c>
      <c r="L560" s="908"/>
      <c r="M560" s="917" t="s">
        <v>2845</v>
      </c>
      <c r="N560" s="901" t="s">
        <v>2846</v>
      </c>
      <c r="O560" s="905" t="s">
        <v>1093</v>
      </c>
      <c r="P560" s="899" t="s">
        <v>148</v>
      </c>
      <c r="Q560" s="908"/>
      <c r="R560" s="901" t="s">
        <v>2847</v>
      </c>
      <c r="S560" s="955" t="s">
        <v>2848</v>
      </c>
      <c r="T560" s="955" t="s">
        <v>2849</v>
      </c>
      <c r="U560" s="885" t="str">
        <f>IFERROR(VLOOKUP(N560,'Thông số'!$B:$F,5,0),"")</f>
        <v/>
      </c>
    </row>
    <row r="561" ht="14.25" customHeight="1">
      <c r="A561" s="898">
        <v>4.0</v>
      </c>
      <c r="B561" s="899" t="s">
        <v>2851</v>
      </c>
      <c r="C561" s="908"/>
      <c r="D561" s="901" t="s">
        <v>6689</v>
      </c>
      <c r="E561" s="908"/>
      <c r="F561" s="908"/>
      <c r="G561" s="905" t="s">
        <v>2844</v>
      </c>
      <c r="H561" s="902"/>
      <c r="I561" s="960" t="s">
        <v>70</v>
      </c>
      <c r="J561" s="908"/>
      <c r="K561" s="901" t="s">
        <v>1027</v>
      </c>
      <c r="L561" s="908"/>
      <c r="M561" s="917" t="s">
        <v>2852</v>
      </c>
      <c r="N561" s="901" t="s">
        <v>2846</v>
      </c>
      <c r="O561" s="905" t="s">
        <v>1093</v>
      </c>
      <c r="P561" s="899" t="s">
        <v>148</v>
      </c>
      <c r="Q561" s="908"/>
      <c r="R561" s="901" t="s">
        <v>2847</v>
      </c>
      <c r="S561" s="955" t="s">
        <v>2853</v>
      </c>
      <c r="T561" s="955" t="s">
        <v>2854</v>
      </c>
      <c r="U561" s="885" t="str">
        <f>IFERROR(VLOOKUP(N561,'Thông số'!$B:$F,5,0),"")</f>
        <v/>
      </c>
    </row>
    <row r="562" ht="14.25" customHeight="1">
      <c r="A562" s="898">
        <v>5.0</v>
      </c>
      <c r="B562" s="899" t="s">
        <v>2855</v>
      </c>
      <c r="C562" s="908"/>
      <c r="D562" s="901" t="s">
        <v>6690</v>
      </c>
      <c r="E562" s="908"/>
      <c r="F562" s="908"/>
      <c r="G562" s="905" t="s">
        <v>2844</v>
      </c>
      <c r="H562" s="902"/>
      <c r="I562" s="960" t="s">
        <v>70</v>
      </c>
      <c r="J562" s="908"/>
      <c r="K562" s="901" t="s">
        <v>1027</v>
      </c>
      <c r="L562" s="908"/>
      <c r="M562" s="917" t="s">
        <v>2856</v>
      </c>
      <c r="N562" s="901" t="s">
        <v>2846</v>
      </c>
      <c r="O562" s="905" t="s">
        <v>1093</v>
      </c>
      <c r="P562" s="899" t="s">
        <v>148</v>
      </c>
      <c r="Q562" s="908"/>
      <c r="R562" s="901" t="s">
        <v>2847</v>
      </c>
      <c r="S562" s="955" t="s">
        <v>96</v>
      </c>
      <c r="T562" s="955" t="s">
        <v>2858</v>
      </c>
      <c r="U562" s="885" t="str">
        <f>IFERROR(VLOOKUP(N562,'Thông số'!$B:$F,5,0),"")</f>
        <v/>
      </c>
    </row>
    <row r="563" ht="14.25" customHeight="1">
      <c r="A563" s="898">
        <v>6.0</v>
      </c>
      <c r="B563" s="899" t="s">
        <v>2859</v>
      </c>
      <c r="C563" s="905" t="s">
        <v>2860</v>
      </c>
      <c r="D563" s="901" t="s">
        <v>2861</v>
      </c>
      <c r="E563" s="908"/>
      <c r="F563" s="907" t="s">
        <v>6295</v>
      </c>
      <c r="G563" s="905" t="s">
        <v>2844</v>
      </c>
      <c r="H563" s="902"/>
      <c r="I563" s="960" t="s">
        <v>70</v>
      </c>
      <c r="J563" s="909">
        <v>45723.0</v>
      </c>
      <c r="K563" s="901" t="s">
        <v>1027</v>
      </c>
      <c r="L563" s="908"/>
      <c r="M563" s="917" t="s">
        <v>2862</v>
      </c>
      <c r="N563" s="901" t="s">
        <v>2846</v>
      </c>
      <c r="O563" s="905" t="s">
        <v>1093</v>
      </c>
      <c r="P563" s="899" t="s">
        <v>148</v>
      </c>
      <c r="Q563" s="908"/>
      <c r="R563" s="901" t="s">
        <v>2847</v>
      </c>
      <c r="S563" s="955" t="s">
        <v>2863</v>
      </c>
      <c r="T563" s="955" t="s">
        <v>2864</v>
      </c>
      <c r="U563" s="885" t="str">
        <f>IFERROR(VLOOKUP(N563,'Thông số'!$B:$F,5,0),"")</f>
        <v/>
      </c>
    </row>
    <row r="564" ht="14.25" customHeight="1">
      <c r="A564" s="898">
        <v>7.0</v>
      </c>
      <c r="B564" s="899" t="s">
        <v>2865</v>
      </c>
      <c r="C564" s="908"/>
      <c r="D564" s="901" t="s">
        <v>6691</v>
      </c>
      <c r="E564" s="907" t="s">
        <v>2866</v>
      </c>
      <c r="F564" s="908"/>
      <c r="G564" s="962" t="s">
        <v>6692</v>
      </c>
      <c r="H564" s="902"/>
      <c r="I564" s="960" t="s">
        <v>70</v>
      </c>
      <c r="J564" s="908"/>
      <c r="K564" s="901" t="s">
        <v>1027</v>
      </c>
      <c r="L564" s="908"/>
      <c r="M564" s="917" t="s">
        <v>2867</v>
      </c>
      <c r="N564" s="902"/>
      <c r="O564" s="905" t="s">
        <v>756</v>
      </c>
      <c r="P564" s="902"/>
      <c r="Q564" s="908"/>
      <c r="R564" s="902"/>
      <c r="S564" s="955" t="s">
        <v>2868</v>
      </c>
      <c r="T564" s="955" t="s">
        <v>96</v>
      </c>
      <c r="U564" s="885" t="str">
        <f>IFERROR(VLOOKUP(N564,'Thông số'!$B:$F,5,0),"")</f>
        <v/>
      </c>
    </row>
    <row r="565" ht="14.25" customHeight="1">
      <c r="A565" s="891">
        <v>8.0</v>
      </c>
      <c r="B565" s="892" t="s">
        <v>2870</v>
      </c>
      <c r="C565" s="894"/>
      <c r="D565" s="895" t="s">
        <v>6693</v>
      </c>
      <c r="E565" s="895" t="s">
        <v>2871</v>
      </c>
      <c r="F565" s="894"/>
      <c r="G565" s="962" t="s">
        <v>6692</v>
      </c>
      <c r="H565" s="894"/>
      <c r="I565" s="960" t="s">
        <v>70</v>
      </c>
      <c r="J565" s="896">
        <v>45577.0</v>
      </c>
      <c r="K565" s="895" t="s">
        <v>865</v>
      </c>
      <c r="L565" s="894"/>
      <c r="M565" s="919" t="s">
        <v>2872</v>
      </c>
      <c r="N565" s="894"/>
      <c r="O565" s="892" t="s">
        <v>756</v>
      </c>
      <c r="P565" s="894"/>
      <c r="Q565" s="894"/>
      <c r="R565" s="894"/>
      <c r="S565" s="894"/>
      <c r="T565" s="894"/>
      <c r="U565" s="885" t="str">
        <f>IFERROR(VLOOKUP(N565,'Thông số'!$B:$F,5,0),"")</f>
        <v/>
      </c>
    </row>
    <row r="566" ht="14.25" customHeight="1">
      <c r="A566" s="898">
        <v>9.0</v>
      </c>
      <c r="B566" s="899" t="s">
        <v>751</v>
      </c>
      <c r="C566" s="908"/>
      <c r="D566" s="901" t="s">
        <v>752</v>
      </c>
      <c r="E566" s="907" t="s">
        <v>753</v>
      </c>
      <c r="F566" s="907" t="s">
        <v>752</v>
      </c>
      <c r="G566" s="962" t="s">
        <v>6692</v>
      </c>
      <c r="H566" s="902"/>
      <c r="I566" s="960" t="s">
        <v>70</v>
      </c>
      <c r="J566" s="908"/>
      <c r="K566" s="901" t="s">
        <v>1027</v>
      </c>
      <c r="L566" s="908"/>
      <c r="M566" s="917" t="s">
        <v>755</v>
      </c>
      <c r="N566" s="902"/>
      <c r="O566" s="905" t="s">
        <v>756</v>
      </c>
      <c r="P566" s="902"/>
      <c r="Q566" s="908"/>
      <c r="R566" s="902"/>
      <c r="S566" s="955" t="s">
        <v>757</v>
      </c>
      <c r="T566" s="955" t="s">
        <v>758</v>
      </c>
      <c r="U566" s="885" t="str">
        <f>IFERROR(VLOOKUP(N566,'Thông số'!$B:$F,5,0),"")</f>
        <v/>
      </c>
    </row>
    <row r="567" ht="14.25" customHeight="1">
      <c r="A567" s="954"/>
      <c r="B567" s="902"/>
      <c r="C567" s="905" t="s">
        <v>759</v>
      </c>
      <c r="D567" s="902"/>
      <c r="E567" s="908"/>
      <c r="F567" s="908"/>
      <c r="G567" s="908"/>
      <c r="H567" s="902"/>
      <c r="I567" s="902"/>
      <c r="J567" s="908"/>
      <c r="K567" s="901" t="s">
        <v>1027</v>
      </c>
      <c r="L567" s="908"/>
      <c r="M567" s="908"/>
      <c r="N567" s="902"/>
      <c r="O567" s="908"/>
      <c r="P567" s="902"/>
      <c r="Q567" s="908"/>
      <c r="R567" s="902"/>
      <c r="S567" s="902"/>
      <c r="T567" s="902"/>
      <c r="U567" s="885" t="str">
        <f>IFERROR(VLOOKUP(N567,'Thông số'!$B:$F,5,0),"")</f>
        <v/>
      </c>
    </row>
    <row r="568" ht="14.25" customHeight="1">
      <c r="A568" s="882" t="s">
        <v>2874</v>
      </c>
      <c r="B568" s="883"/>
      <c r="C568" s="884">
        <v>3.0</v>
      </c>
      <c r="D568" s="883"/>
      <c r="E568" s="883"/>
      <c r="F568" s="883"/>
      <c r="G568" s="883"/>
      <c r="H568" s="902"/>
      <c r="I568" s="883"/>
      <c r="J568" s="883"/>
      <c r="K568" s="883"/>
      <c r="L568" s="883"/>
      <c r="M568" s="883"/>
      <c r="N568" s="883"/>
      <c r="O568" s="883"/>
      <c r="P568" s="883"/>
      <c r="Q568" s="883"/>
      <c r="R568" s="883"/>
      <c r="S568" s="883"/>
      <c r="T568" s="883"/>
      <c r="U568" s="885" t="str">
        <f>IFERROR(VLOOKUP(N568,'Thông số'!$B:$F,5,0),"")</f>
        <v/>
      </c>
    </row>
    <row r="569" ht="14.25" customHeight="1">
      <c r="A569" s="891">
        <v>1.0</v>
      </c>
      <c r="B569" s="892" t="s">
        <v>2875</v>
      </c>
      <c r="C569" s="892" t="s">
        <v>2876</v>
      </c>
      <c r="D569" s="894"/>
      <c r="E569" s="895" t="s">
        <v>2878</v>
      </c>
      <c r="F569" s="895" t="s">
        <v>2877</v>
      </c>
      <c r="G569" s="892" t="s">
        <v>896</v>
      </c>
      <c r="H569" s="894"/>
      <c r="I569" s="895" t="s">
        <v>71</v>
      </c>
      <c r="J569" s="896">
        <v>45580.0</v>
      </c>
      <c r="K569" s="895" t="s">
        <v>865</v>
      </c>
      <c r="L569" s="963">
        <v>0.98</v>
      </c>
      <c r="M569" s="919" t="s">
        <v>2880</v>
      </c>
      <c r="N569" s="895" t="s">
        <v>898</v>
      </c>
      <c r="O569" s="892" t="s">
        <v>897</v>
      </c>
      <c r="P569" s="892" t="s">
        <v>148</v>
      </c>
      <c r="Q569" s="895">
        <v>2021.0</v>
      </c>
      <c r="R569" s="895" t="s">
        <v>158</v>
      </c>
      <c r="S569" s="964" t="s">
        <v>2881</v>
      </c>
      <c r="T569" s="964" t="s">
        <v>2882</v>
      </c>
      <c r="U569" s="885" t="str">
        <f>IFERROR(VLOOKUP(N569,'Thông số'!$B:$F,5,0),"")</f>
        <v>4730 x 1750 x 2100</v>
      </c>
    </row>
    <row r="570" ht="14.25" customHeight="1">
      <c r="A570" s="898">
        <v>2.0</v>
      </c>
      <c r="B570" s="899" t="s">
        <v>2883</v>
      </c>
      <c r="C570" s="905" t="s">
        <v>2884</v>
      </c>
      <c r="D570" s="901" t="s">
        <v>2885</v>
      </c>
      <c r="E570" s="907" t="s">
        <v>2884</v>
      </c>
      <c r="F570" s="908"/>
      <c r="G570" s="899" t="s">
        <v>1252</v>
      </c>
      <c r="H570" s="902"/>
      <c r="I570" s="895" t="s">
        <v>71</v>
      </c>
      <c r="J570" s="909">
        <v>45580.0</v>
      </c>
      <c r="K570" s="901" t="s">
        <v>1027</v>
      </c>
      <c r="L570" s="908"/>
      <c r="M570" s="906" t="s">
        <v>2886</v>
      </c>
      <c r="N570" s="901" t="s">
        <v>1256</v>
      </c>
      <c r="O570" s="905" t="s">
        <v>1255</v>
      </c>
      <c r="P570" s="899" t="s">
        <v>648</v>
      </c>
      <c r="Q570" s="907">
        <v>2021.0</v>
      </c>
      <c r="R570" s="901" t="s">
        <v>158</v>
      </c>
      <c r="S570" s="955" t="s">
        <v>2887</v>
      </c>
      <c r="T570" s="955" t="s">
        <v>2888</v>
      </c>
      <c r="U570" s="885" t="str">
        <f>IFERROR(VLOOKUP(N570,'Thông số'!$B:$F,5,0),"")</f>
        <v>4730 x 1750 x 2100</v>
      </c>
    </row>
    <row r="571" ht="14.25" customHeight="1">
      <c r="A571" s="891">
        <v>3.0</v>
      </c>
      <c r="B571" s="892" t="s">
        <v>2889</v>
      </c>
      <c r="C571" s="892" t="s">
        <v>2890</v>
      </c>
      <c r="D571" s="895" t="s">
        <v>2891</v>
      </c>
      <c r="E571" s="895" t="s">
        <v>2890</v>
      </c>
      <c r="F571" s="894"/>
      <c r="G571" s="892" t="s">
        <v>1252</v>
      </c>
      <c r="H571" s="894"/>
      <c r="I571" s="895" t="s">
        <v>71</v>
      </c>
      <c r="J571" s="896">
        <v>45578.0</v>
      </c>
      <c r="K571" s="895" t="s">
        <v>865</v>
      </c>
      <c r="L571" s="894"/>
      <c r="M571" s="919" t="s">
        <v>2892</v>
      </c>
      <c r="N571" s="895" t="s">
        <v>1256</v>
      </c>
      <c r="O571" s="892" t="s">
        <v>1255</v>
      </c>
      <c r="P571" s="892" t="s">
        <v>648</v>
      </c>
      <c r="Q571" s="895">
        <v>2021.0</v>
      </c>
      <c r="R571" s="895" t="s">
        <v>158</v>
      </c>
      <c r="S571" s="964" t="s">
        <v>2893</v>
      </c>
      <c r="T571" s="964" t="s">
        <v>2894</v>
      </c>
      <c r="U571" s="885" t="str">
        <f>IFERROR(VLOOKUP(N571,'Thông số'!$B:$F,5,0),"")</f>
        <v>4730 x 1750 x 2100</v>
      </c>
    </row>
    <row r="572" ht="14.25" customHeight="1">
      <c r="A572" s="954"/>
      <c r="B572" s="902"/>
      <c r="C572" s="905" t="s">
        <v>759</v>
      </c>
      <c r="D572" s="902"/>
      <c r="E572" s="908"/>
      <c r="F572" s="908"/>
      <c r="G572" s="908"/>
      <c r="H572" s="902"/>
      <c r="I572" s="902"/>
      <c r="J572" s="908"/>
      <c r="K572" s="901" t="s">
        <v>1027</v>
      </c>
      <c r="L572" s="908"/>
      <c r="M572" s="908"/>
      <c r="N572" s="902"/>
      <c r="O572" s="908"/>
      <c r="P572" s="902"/>
      <c r="Q572" s="908"/>
      <c r="R572" s="902"/>
      <c r="S572" s="902"/>
      <c r="T572" s="902"/>
      <c r="U572" s="885" t="str">
        <f>IFERROR(VLOOKUP(N572,'Thông số'!$B:$F,5,0),"")</f>
        <v/>
      </c>
    </row>
    <row r="573" ht="14.25" customHeight="1">
      <c r="A573" s="882" t="s">
        <v>2895</v>
      </c>
      <c r="B573" s="883"/>
      <c r="C573" s="884">
        <v>1.0</v>
      </c>
      <c r="D573" s="883"/>
      <c r="E573" s="883"/>
      <c r="F573" s="883"/>
      <c r="G573" s="883"/>
      <c r="H573" s="883"/>
      <c r="I573" s="883"/>
      <c r="J573" s="883"/>
      <c r="K573" s="883"/>
      <c r="L573" s="883"/>
      <c r="M573" s="883"/>
      <c r="N573" s="883"/>
      <c r="O573" s="883"/>
      <c r="P573" s="883"/>
      <c r="Q573" s="883"/>
      <c r="R573" s="883"/>
      <c r="S573" s="883"/>
      <c r="T573" s="883"/>
      <c r="U573" s="885" t="str">
        <f>IFERROR(VLOOKUP(N573,'Thông số'!$B:$F,5,0),"")</f>
        <v/>
      </c>
    </row>
    <row r="574" ht="14.25" customHeight="1">
      <c r="A574" s="898">
        <v>1.0</v>
      </c>
      <c r="B574" s="899" t="s">
        <v>2896</v>
      </c>
      <c r="C574" s="908"/>
      <c r="D574" s="902"/>
      <c r="E574" s="908"/>
      <c r="F574" s="908"/>
      <c r="G574" s="899" t="s">
        <v>2616</v>
      </c>
      <c r="H574" s="901" t="s">
        <v>5841</v>
      </c>
      <c r="I574" s="901" t="s">
        <v>51</v>
      </c>
      <c r="J574" s="909">
        <v>45667.0</v>
      </c>
      <c r="K574" s="901" t="s">
        <v>1027</v>
      </c>
      <c r="L574" s="908"/>
      <c r="M574" s="906" t="s">
        <v>890</v>
      </c>
      <c r="N574" s="901" t="s">
        <v>2897</v>
      </c>
      <c r="O574" s="905" t="s">
        <v>2617</v>
      </c>
      <c r="P574" s="899" t="s">
        <v>222</v>
      </c>
      <c r="Q574" s="907">
        <v>2022.0</v>
      </c>
      <c r="R574" s="901" t="s">
        <v>2898</v>
      </c>
      <c r="S574" s="955" t="s">
        <v>2899</v>
      </c>
      <c r="T574" s="955" t="s">
        <v>96</v>
      </c>
      <c r="U574" s="885" t="str">
        <f>IFERROR(VLOOKUP(N574,'Thông số'!$B:$F,5,0),"")</f>
        <v/>
      </c>
    </row>
    <row r="575" ht="14.25" customHeight="1">
      <c r="B575" s="965" t="s">
        <v>6092</v>
      </c>
      <c r="G575" s="967" t="s">
        <v>6694</v>
      </c>
      <c r="I575" s="967" t="s">
        <v>858</v>
      </c>
    </row>
    <row r="576" ht="14.25" customHeight="1">
      <c r="B576" s="968" t="s">
        <v>6098</v>
      </c>
      <c r="G576" s="967" t="s">
        <v>6694</v>
      </c>
      <c r="I576" s="969" t="s">
        <v>858</v>
      </c>
    </row>
    <row r="577" ht="14.25" customHeight="1">
      <c r="B577" s="968" t="s">
        <v>6101</v>
      </c>
      <c r="G577" s="967" t="s">
        <v>6694</v>
      </c>
      <c r="I577" s="969" t="s">
        <v>858</v>
      </c>
    </row>
    <row r="578" ht="14.25" customHeight="1">
      <c r="B578" s="968" t="s">
        <v>6104</v>
      </c>
      <c r="G578" s="967" t="s">
        <v>6694</v>
      </c>
      <c r="I578" s="969" t="s">
        <v>858</v>
      </c>
    </row>
    <row r="579" ht="14.25" customHeight="1">
      <c r="B579" s="968" t="s">
        <v>6107</v>
      </c>
      <c r="G579" s="967" t="s">
        <v>6694</v>
      </c>
      <c r="I579" s="969" t="s">
        <v>858</v>
      </c>
    </row>
    <row r="580" ht="14.25" customHeight="1">
      <c r="B580" s="968" t="s">
        <v>6110</v>
      </c>
      <c r="G580" s="967" t="s">
        <v>6694</v>
      </c>
      <c r="I580" s="969" t="s">
        <v>858</v>
      </c>
    </row>
    <row r="581" ht="14.25" customHeight="1">
      <c r="B581" s="968" t="s">
        <v>6117</v>
      </c>
      <c r="G581" s="967" t="s">
        <v>6694</v>
      </c>
      <c r="I581" s="969" t="s">
        <v>858</v>
      </c>
    </row>
    <row r="582" ht="14.25" customHeight="1">
      <c r="B582" s="968" t="s">
        <v>6123</v>
      </c>
      <c r="G582" s="967" t="s">
        <v>6694</v>
      </c>
      <c r="I582" s="969" t="s">
        <v>858</v>
      </c>
    </row>
    <row r="583" ht="14.25" customHeight="1">
      <c r="B583" s="970" t="s">
        <v>6128</v>
      </c>
      <c r="G583" s="971"/>
      <c r="I583" s="971"/>
    </row>
    <row r="584" ht="14.25" customHeight="1">
      <c r="B584" s="968" t="s">
        <v>6129</v>
      </c>
      <c r="G584" s="967" t="s">
        <v>6694</v>
      </c>
      <c r="I584" s="969" t="s">
        <v>1010</v>
      </c>
    </row>
    <row r="585" ht="14.25" customHeight="1">
      <c r="B585" s="968" t="s">
        <v>6132</v>
      </c>
      <c r="G585" s="967" t="s">
        <v>6694</v>
      </c>
      <c r="I585" s="969" t="s">
        <v>1010</v>
      </c>
    </row>
    <row r="586" ht="14.25" customHeight="1">
      <c r="B586" s="968" t="s">
        <v>6135</v>
      </c>
      <c r="G586" s="967" t="s">
        <v>6694</v>
      </c>
      <c r="I586" s="969" t="s">
        <v>1010</v>
      </c>
    </row>
    <row r="587" ht="14.25" customHeight="1">
      <c r="B587" s="968" t="s">
        <v>6138</v>
      </c>
      <c r="G587" s="967" t="s">
        <v>6694</v>
      </c>
      <c r="I587" s="969" t="s">
        <v>1010</v>
      </c>
    </row>
    <row r="588" ht="14.25" customHeight="1">
      <c r="B588" s="968" t="s">
        <v>6141</v>
      </c>
      <c r="G588" s="967" t="s">
        <v>6694</v>
      </c>
      <c r="I588" s="969" t="s">
        <v>1010</v>
      </c>
    </row>
    <row r="589" ht="14.25" customHeight="1">
      <c r="B589" s="968" t="s">
        <v>6144</v>
      </c>
      <c r="G589" s="967" t="s">
        <v>6694</v>
      </c>
      <c r="I589" s="969" t="s">
        <v>1010</v>
      </c>
    </row>
    <row r="590" ht="14.25" customHeight="1">
      <c r="B590" s="968" t="s">
        <v>6147</v>
      </c>
      <c r="G590" s="967" t="s">
        <v>6694</v>
      </c>
      <c r="I590" s="969" t="s">
        <v>1010</v>
      </c>
    </row>
    <row r="591" ht="14.25" customHeight="1">
      <c r="B591" s="968" t="s">
        <v>6150</v>
      </c>
      <c r="G591" s="967" t="s">
        <v>6694</v>
      </c>
      <c r="I591" s="969" t="s">
        <v>1010</v>
      </c>
    </row>
    <row r="592" ht="14.25" customHeight="1">
      <c r="B592" s="972" t="s">
        <v>6153</v>
      </c>
      <c r="G592" s="973"/>
      <c r="I592" s="973"/>
    </row>
    <row r="593" ht="14.25" customHeight="1">
      <c r="B593" s="968" t="s">
        <v>6154</v>
      </c>
      <c r="G593" s="967" t="s">
        <v>6694</v>
      </c>
      <c r="I593" s="969" t="s">
        <v>1120</v>
      </c>
    </row>
    <row r="594" ht="14.25" customHeight="1">
      <c r="B594" s="968" t="s">
        <v>6157</v>
      </c>
      <c r="G594" s="967" t="s">
        <v>6694</v>
      </c>
      <c r="I594" s="969" t="s">
        <v>1120</v>
      </c>
    </row>
    <row r="595" ht="14.25" customHeight="1">
      <c r="B595" s="968" t="s">
        <v>6160</v>
      </c>
      <c r="G595" s="967" t="s">
        <v>6694</v>
      </c>
      <c r="I595" s="969" t="s">
        <v>1120</v>
      </c>
    </row>
    <row r="596" ht="14.25" customHeight="1">
      <c r="B596" s="968" t="s">
        <v>6163</v>
      </c>
      <c r="G596" s="967" t="s">
        <v>6694</v>
      </c>
      <c r="I596" s="969" t="s">
        <v>1120</v>
      </c>
    </row>
    <row r="597" ht="14.25" customHeight="1">
      <c r="B597" s="968" t="s">
        <v>6166</v>
      </c>
      <c r="G597" s="967" t="s">
        <v>6694</v>
      </c>
      <c r="I597" s="969" t="s">
        <v>1120</v>
      </c>
    </row>
    <row r="598" ht="14.25" customHeight="1">
      <c r="B598" s="968" t="s">
        <v>6169</v>
      </c>
      <c r="G598" s="967" t="s">
        <v>6694</v>
      </c>
      <c r="I598" s="969" t="s">
        <v>1120</v>
      </c>
    </row>
    <row r="599" ht="14.25" customHeight="1">
      <c r="B599" s="968" t="s">
        <v>6172</v>
      </c>
      <c r="G599" s="967" t="s">
        <v>6694</v>
      </c>
      <c r="I599" s="969" t="s">
        <v>1120</v>
      </c>
    </row>
    <row r="600" ht="14.25" customHeight="1">
      <c r="B600" s="968" t="s">
        <v>6175</v>
      </c>
      <c r="G600" s="967" t="s">
        <v>6694</v>
      </c>
      <c r="I600" s="969" t="s">
        <v>1120</v>
      </c>
    </row>
    <row r="601" ht="14.25" customHeight="1">
      <c r="B601" s="972" t="s">
        <v>49</v>
      </c>
      <c r="G601" s="973"/>
      <c r="I601" s="973"/>
    </row>
    <row r="602" ht="14.25" customHeight="1">
      <c r="B602" s="970" t="s">
        <v>6183</v>
      </c>
      <c r="G602" s="971"/>
      <c r="I602" s="971"/>
    </row>
    <row r="603" ht="14.25" customHeight="1">
      <c r="B603" s="968" t="s">
        <v>6184</v>
      </c>
      <c r="G603" s="967" t="s">
        <v>6694</v>
      </c>
      <c r="I603" s="969" t="s">
        <v>1253</v>
      </c>
    </row>
    <row r="604" ht="14.25" customHeight="1">
      <c r="B604" s="968" t="s">
        <v>6189</v>
      </c>
      <c r="G604" s="967" t="s">
        <v>6694</v>
      </c>
      <c r="I604" s="969" t="s">
        <v>1253</v>
      </c>
    </row>
    <row r="605" ht="14.25" customHeight="1">
      <c r="B605" s="968" t="s">
        <v>6193</v>
      </c>
      <c r="G605" s="967" t="s">
        <v>6694</v>
      </c>
      <c r="I605" s="969" t="s">
        <v>1253</v>
      </c>
    </row>
    <row r="606" ht="14.25" customHeight="1">
      <c r="B606" s="968" t="s">
        <v>6197</v>
      </c>
      <c r="G606" s="967" t="s">
        <v>6694</v>
      </c>
      <c r="I606" s="969" t="s">
        <v>1253</v>
      </c>
    </row>
    <row r="607" ht="14.25" customHeight="1">
      <c r="B607" s="968" t="s">
        <v>6201</v>
      </c>
      <c r="G607" s="967" t="s">
        <v>6694</v>
      </c>
      <c r="I607" s="969" t="s">
        <v>1253</v>
      </c>
    </row>
    <row r="608" ht="14.25" customHeight="1">
      <c r="B608" s="968" t="s">
        <v>6205</v>
      </c>
      <c r="G608" s="967" t="s">
        <v>6694</v>
      </c>
      <c r="I608" s="969" t="s">
        <v>1253</v>
      </c>
    </row>
    <row r="609" ht="14.25" customHeight="1">
      <c r="B609" s="968" t="s">
        <v>6209</v>
      </c>
      <c r="G609" s="967" t="s">
        <v>6694</v>
      </c>
      <c r="I609" s="969" t="s">
        <v>1253</v>
      </c>
    </row>
    <row r="610" ht="14.25" customHeight="1">
      <c r="B610" s="968" t="s">
        <v>6214</v>
      </c>
      <c r="G610" s="967" t="s">
        <v>6694</v>
      </c>
      <c r="I610" s="969" t="s">
        <v>1253</v>
      </c>
    </row>
    <row r="611" ht="14.25" customHeight="1">
      <c r="B611" s="968" t="s">
        <v>6218</v>
      </c>
      <c r="G611" s="967" t="s">
        <v>6694</v>
      </c>
      <c r="I611" s="969" t="s">
        <v>1253</v>
      </c>
    </row>
    <row r="612" ht="14.25" customHeight="1">
      <c r="B612" s="968" t="s">
        <v>6223</v>
      </c>
      <c r="G612" s="967" t="s">
        <v>6694</v>
      </c>
      <c r="I612" s="969" t="s">
        <v>1253</v>
      </c>
    </row>
    <row r="613" ht="14.25" customHeight="1">
      <c r="B613" s="968" t="s">
        <v>6227</v>
      </c>
      <c r="G613" s="967" t="s">
        <v>6694</v>
      </c>
      <c r="I613" s="969" t="s">
        <v>1253</v>
      </c>
    </row>
    <row r="614" ht="14.25" customHeight="1">
      <c r="B614" s="970" t="s">
        <v>6231</v>
      </c>
      <c r="G614" s="971"/>
      <c r="I614" s="971"/>
    </row>
    <row r="615" ht="14.25" customHeight="1">
      <c r="B615" s="968" t="s">
        <v>6232</v>
      </c>
      <c r="G615" s="967" t="s">
        <v>6694</v>
      </c>
      <c r="I615" s="969" t="s">
        <v>1389</v>
      </c>
    </row>
    <row r="616" ht="14.25" customHeight="1">
      <c r="B616" s="968" t="s">
        <v>6237</v>
      </c>
      <c r="G616" s="967" t="s">
        <v>6694</v>
      </c>
      <c r="I616" s="969" t="s">
        <v>1389</v>
      </c>
    </row>
    <row r="617" ht="14.25" customHeight="1">
      <c r="B617" s="968" t="s">
        <v>6240</v>
      </c>
      <c r="G617" s="967" t="s">
        <v>6694</v>
      </c>
      <c r="I617" s="969" t="s">
        <v>1389</v>
      </c>
    </row>
    <row r="618" ht="14.25" customHeight="1">
      <c r="B618" s="968" t="s">
        <v>6243</v>
      </c>
      <c r="G618" s="967" t="s">
        <v>6694</v>
      </c>
      <c r="I618" s="969" t="s">
        <v>1389</v>
      </c>
    </row>
    <row r="619" ht="14.25" customHeight="1">
      <c r="B619" s="968" t="s">
        <v>6246</v>
      </c>
      <c r="G619" s="967" t="s">
        <v>6694</v>
      </c>
      <c r="I619" s="969" t="s">
        <v>1389</v>
      </c>
    </row>
    <row r="620" ht="14.25" customHeight="1">
      <c r="B620" s="968" t="s">
        <v>6249</v>
      </c>
      <c r="G620" s="967" t="s">
        <v>6694</v>
      </c>
      <c r="I620" s="969" t="s">
        <v>1389</v>
      </c>
    </row>
    <row r="621" ht="14.25" customHeight="1">
      <c r="B621" s="968" t="s">
        <v>6252</v>
      </c>
      <c r="G621" s="967" t="s">
        <v>6694</v>
      </c>
      <c r="I621" s="969" t="s">
        <v>1389</v>
      </c>
    </row>
    <row r="622" ht="14.25" customHeight="1">
      <c r="B622" s="968" t="s">
        <v>6255</v>
      </c>
      <c r="G622" s="967" t="s">
        <v>6694</v>
      </c>
      <c r="I622" s="969" t="s">
        <v>1389</v>
      </c>
    </row>
    <row r="623" ht="14.25" customHeight="1">
      <c r="B623" s="968" t="s">
        <v>6258</v>
      </c>
      <c r="G623" s="967" t="s">
        <v>6694</v>
      </c>
      <c r="I623" s="969" t="s">
        <v>1389</v>
      </c>
    </row>
    <row r="624" ht="14.25" customHeight="1">
      <c r="B624" s="968" t="s">
        <v>6261</v>
      </c>
      <c r="G624" s="967" t="s">
        <v>6694</v>
      </c>
      <c r="I624" s="969" t="s">
        <v>1389</v>
      </c>
    </row>
    <row r="625" ht="14.25" customHeight="1">
      <c r="B625" s="968" t="s">
        <v>6264</v>
      </c>
      <c r="G625" s="967" t="s">
        <v>6694</v>
      </c>
      <c r="I625" s="969" t="s">
        <v>1389</v>
      </c>
    </row>
    <row r="626" ht="14.25" customHeight="1">
      <c r="B626" s="968" t="s">
        <v>6268</v>
      </c>
      <c r="G626" s="967" t="s">
        <v>6694</v>
      </c>
      <c r="I626" s="969" t="s">
        <v>1389</v>
      </c>
    </row>
    <row r="627" ht="14.25" customHeight="1">
      <c r="B627" s="968" t="s">
        <v>6270</v>
      </c>
      <c r="G627" s="967" t="s">
        <v>6694</v>
      </c>
      <c r="I627" s="969" t="s">
        <v>1389</v>
      </c>
    </row>
    <row r="628" ht="14.25" customHeight="1">
      <c r="B628" s="968" t="s">
        <v>6272</v>
      </c>
      <c r="G628" s="967" t="s">
        <v>6694</v>
      </c>
      <c r="I628" s="969" t="s">
        <v>1389</v>
      </c>
    </row>
    <row r="629" ht="14.25" customHeight="1">
      <c r="B629" s="954"/>
      <c r="G629" s="954"/>
      <c r="I629" s="954"/>
    </row>
    <row r="630" ht="14.25" customHeight="1">
      <c r="B630" s="970" t="s">
        <v>6275</v>
      </c>
      <c r="G630" s="971"/>
      <c r="I630" s="971"/>
    </row>
    <row r="631" ht="14.25" customHeight="1">
      <c r="B631" s="968" t="s">
        <v>6276</v>
      </c>
      <c r="G631" s="967" t="s">
        <v>6694</v>
      </c>
      <c r="I631" s="969" t="s">
        <v>4789</v>
      </c>
    </row>
    <row r="632" ht="14.25" customHeight="1">
      <c r="B632" s="968" t="s">
        <v>6280</v>
      </c>
      <c r="G632" s="967" t="s">
        <v>6694</v>
      </c>
      <c r="I632" s="969" t="s">
        <v>4789</v>
      </c>
    </row>
    <row r="633" ht="14.25" customHeight="1">
      <c r="B633" s="968" t="s">
        <v>6284</v>
      </c>
      <c r="G633" s="967" t="s">
        <v>6694</v>
      </c>
      <c r="I633" s="969" t="s">
        <v>4789</v>
      </c>
    </row>
    <row r="634" ht="14.25" customHeight="1">
      <c r="B634" s="968" t="s">
        <v>6289</v>
      </c>
      <c r="G634" s="967" t="s">
        <v>6694</v>
      </c>
      <c r="I634" s="969" t="s">
        <v>4789</v>
      </c>
    </row>
    <row r="635" ht="14.25" customHeight="1">
      <c r="B635" s="954"/>
      <c r="G635" s="954"/>
      <c r="I635" s="954"/>
    </row>
    <row r="636" ht="14.25" customHeight="1">
      <c r="B636" s="970" t="s">
        <v>6294</v>
      </c>
      <c r="G636" s="971"/>
      <c r="I636" s="971"/>
    </row>
    <row r="637" ht="14.25" customHeight="1">
      <c r="B637" s="970" t="s">
        <v>6295</v>
      </c>
      <c r="G637" s="971"/>
      <c r="I637" s="971"/>
    </row>
    <row r="638" ht="14.25" customHeight="1">
      <c r="B638" s="968" t="s">
        <v>6296</v>
      </c>
      <c r="G638" s="967" t="s">
        <v>6694</v>
      </c>
      <c r="I638" s="969" t="s">
        <v>2964</v>
      </c>
    </row>
    <row r="639" ht="14.25" customHeight="1">
      <c r="B639" s="968" t="s">
        <v>6303</v>
      </c>
      <c r="G639" s="967" t="s">
        <v>6694</v>
      </c>
      <c r="I639" s="969" t="s">
        <v>2964</v>
      </c>
    </row>
    <row r="640" ht="14.25" customHeight="1">
      <c r="B640" s="968" t="s">
        <v>6308</v>
      </c>
      <c r="G640" s="967" t="s">
        <v>6694</v>
      </c>
      <c r="I640" s="969" t="s">
        <v>2964</v>
      </c>
    </row>
    <row r="641" ht="14.25" customHeight="1">
      <c r="B641" s="968" t="s">
        <v>6313</v>
      </c>
      <c r="G641" s="967" t="s">
        <v>6694</v>
      </c>
      <c r="I641" s="969" t="s">
        <v>2964</v>
      </c>
    </row>
    <row r="642" ht="14.25" customHeight="1">
      <c r="B642" s="968" t="s">
        <v>6318</v>
      </c>
      <c r="G642" s="967" t="s">
        <v>6694</v>
      </c>
      <c r="I642" s="969" t="s">
        <v>2964</v>
      </c>
    </row>
    <row r="643" ht="14.25" customHeight="1">
      <c r="B643" s="968" t="s">
        <v>6321</v>
      </c>
      <c r="G643" s="967" t="s">
        <v>6694</v>
      </c>
      <c r="I643" s="969" t="s">
        <v>2964</v>
      </c>
    </row>
    <row r="644" ht="14.25" customHeight="1">
      <c r="B644" s="968" t="s">
        <v>6325</v>
      </c>
      <c r="G644" s="967" t="s">
        <v>6694</v>
      </c>
      <c r="I644" s="969" t="s">
        <v>2964</v>
      </c>
    </row>
    <row r="645" ht="14.25" customHeight="1">
      <c r="B645" s="970" t="s">
        <v>6329</v>
      </c>
      <c r="G645" s="971"/>
      <c r="I645" s="971"/>
    </row>
    <row r="646" ht="14.25" customHeight="1">
      <c r="B646" s="968" t="s">
        <v>6330</v>
      </c>
      <c r="G646" s="967" t="s">
        <v>6694</v>
      </c>
      <c r="I646" s="969" t="s">
        <v>62</v>
      </c>
    </row>
    <row r="647" ht="14.25" customHeight="1">
      <c r="B647" s="974" t="s">
        <v>6695</v>
      </c>
      <c r="G647" s="975"/>
      <c r="I647" s="975"/>
    </row>
    <row r="648" ht="14.25" customHeight="1">
      <c r="B648" s="976" t="s">
        <v>6696</v>
      </c>
      <c r="G648" s="977" t="s">
        <v>5809</v>
      </c>
      <c r="I648" s="978" t="s">
        <v>836</v>
      </c>
    </row>
    <row r="649" ht="14.25" customHeight="1">
      <c r="B649" s="976" t="s">
        <v>6697</v>
      </c>
      <c r="G649" s="977" t="s">
        <v>5809</v>
      </c>
      <c r="I649" s="979" t="s">
        <v>836</v>
      </c>
    </row>
    <row r="650" ht="14.25" customHeight="1">
      <c r="B650" s="976" t="s">
        <v>6698</v>
      </c>
      <c r="G650" s="977" t="s">
        <v>5809</v>
      </c>
      <c r="I650" s="979" t="s">
        <v>836</v>
      </c>
    </row>
    <row r="651" ht="14.25" customHeight="1">
      <c r="B651" s="976" t="s">
        <v>6699</v>
      </c>
      <c r="G651" s="977" t="s">
        <v>5809</v>
      </c>
      <c r="I651" s="979" t="s">
        <v>836</v>
      </c>
    </row>
    <row r="652" ht="14.25" customHeight="1">
      <c r="B652" s="976" t="s">
        <v>6700</v>
      </c>
      <c r="G652" s="977" t="s">
        <v>5809</v>
      </c>
      <c r="I652" s="979" t="s">
        <v>836</v>
      </c>
    </row>
    <row r="653" ht="14.25" customHeight="1">
      <c r="B653" s="976" t="s">
        <v>6701</v>
      </c>
      <c r="G653" s="977" t="s">
        <v>5809</v>
      </c>
      <c r="I653" s="979" t="s">
        <v>836</v>
      </c>
    </row>
    <row r="654" ht="14.25" customHeight="1">
      <c r="B654" s="976" t="s">
        <v>6702</v>
      </c>
      <c r="G654" s="977" t="s">
        <v>5809</v>
      </c>
      <c r="I654" s="979" t="s">
        <v>836</v>
      </c>
    </row>
    <row r="655" ht="14.25" customHeight="1">
      <c r="B655" s="976" t="s">
        <v>6703</v>
      </c>
      <c r="G655" s="977" t="s">
        <v>5809</v>
      </c>
      <c r="I655" s="979" t="s">
        <v>836</v>
      </c>
    </row>
    <row r="656" ht="14.25" customHeight="1">
      <c r="B656" s="976" t="s">
        <v>6704</v>
      </c>
      <c r="G656" s="977" t="s">
        <v>5809</v>
      </c>
      <c r="I656" s="979" t="s">
        <v>836</v>
      </c>
    </row>
    <row r="657" ht="14.25" customHeight="1">
      <c r="B657" s="976" t="s">
        <v>6705</v>
      </c>
      <c r="G657" s="977" t="s">
        <v>5809</v>
      </c>
      <c r="I657" s="979" t="s">
        <v>836</v>
      </c>
    </row>
    <row r="658" ht="14.25" customHeight="1">
      <c r="B658" s="976" t="s">
        <v>6706</v>
      </c>
      <c r="G658" s="977" t="s">
        <v>5809</v>
      </c>
      <c r="I658" s="979" t="s">
        <v>836</v>
      </c>
    </row>
    <row r="659" ht="14.25" customHeight="1">
      <c r="B659" s="976" t="s">
        <v>6707</v>
      </c>
      <c r="G659" s="977" t="s">
        <v>5809</v>
      </c>
      <c r="I659" s="979" t="s">
        <v>836</v>
      </c>
    </row>
    <row r="660" ht="14.25" customHeight="1">
      <c r="B660" s="976" t="s">
        <v>6708</v>
      </c>
      <c r="G660" s="977" t="s">
        <v>5809</v>
      </c>
      <c r="I660" s="979" t="s">
        <v>836</v>
      </c>
    </row>
    <row r="661" ht="14.25" customHeight="1">
      <c r="B661" s="976" t="s">
        <v>6709</v>
      </c>
      <c r="G661" s="977" t="s">
        <v>5809</v>
      </c>
      <c r="I661" s="979" t="s">
        <v>836</v>
      </c>
    </row>
    <row r="662" ht="14.25" customHeight="1">
      <c r="B662" s="976" t="s">
        <v>6710</v>
      </c>
      <c r="G662" s="977" t="s">
        <v>5809</v>
      </c>
      <c r="I662" s="979" t="s">
        <v>836</v>
      </c>
    </row>
    <row r="663" ht="14.25" customHeight="1">
      <c r="B663" s="976" t="s">
        <v>6711</v>
      </c>
      <c r="G663" s="977" t="s">
        <v>5809</v>
      </c>
      <c r="I663" s="979" t="s">
        <v>836</v>
      </c>
    </row>
    <row r="664" ht="14.25" customHeight="1">
      <c r="B664" s="976" t="s">
        <v>6712</v>
      </c>
      <c r="G664" s="977" t="s">
        <v>5809</v>
      </c>
      <c r="I664" s="979" t="s">
        <v>836</v>
      </c>
    </row>
    <row r="665" ht="14.25" customHeight="1">
      <c r="B665" s="976" t="s">
        <v>6713</v>
      </c>
      <c r="G665" s="977" t="s">
        <v>5809</v>
      </c>
      <c r="I665" s="979" t="s">
        <v>836</v>
      </c>
    </row>
    <row r="666" ht="14.25" customHeight="1">
      <c r="B666" s="976" t="s">
        <v>6714</v>
      </c>
      <c r="G666" s="977" t="s">
        <v>5809</v>
      </c>
      <c r="I666" s="979" t="s">
        <v>836</v>
      </c>
    </row>
    <row r="667" ht="14.25" customHeight="1">
      <c r="B667" s="976" t="s">
        <v>6715</v>
      </c>
      <c r="G667" s="977" t="s">
        <v>5809</v>
      </c>
      <c r="I667" s="979" t="s">
        <v>836</v>
      </c>
    </row>
    <row r="668" ht="14.25" customHeight="1">
      <c r="B668" s="976" t="s">
        <v>6716</v>
      </c>
      <c r="G668" s="977" t="s">
        <v>5809</v>
      </c>
      <c r="I668" s="979" t="s">
        <v>836</v>
      </c>
    </row>
    <row r="669" ht="14.25" customHeight="1">
      <c r="B669" s="976" t="s">
        <v>6717</v>
      </c>
      <c r="G669" s="977" t="s">
        <v>5809</v>
      </c>
      <c r="I669" s="979" t="s">
        <v>836</v>
      </c>
    </row>
    <row r="670" ht="14.25" customHeight="1">
      <c r="B670" s="976" t="s">
        <v>6718</v>
      </c>
      <c r="G670" s="977" t="s">
        <v>5809</v>
      </c>
      <c r="I670" s="979" t="s">
        <v>836</v>
      </c>
    </row>
    <row r="671" ht="14.25" customHeight="1">
      <c r="B671" s="976" t="s">
        <v>6719</v>
      </c>
      <c r="G671" s="977" t="s">
        <v>5809</v>
      </c>
      <c r="I671" s="979" t="s">
        <v>836</v>
      </c>
    </row>
    <row r="672" ht="14.25" customHeight="1">
      <c r="B672" s="976" t="s">
        <v>6720</v>
      </c>
      <c r="G672" s="977" t="s">
        <v>5809</v>
      </c>
      <c r="I672" s="979" t="s">
        <v>836</v>
      </c>
    </row>
    <row r="673" ht="14.25" customHeight="1">
      <c r="B673" s="976" t="s">
        <v>6721</v>
      </c>
      <c r="G673" s="977" t="s">
        <v>5809</v>
      </c>
      <c r="I673" s="979" t="s">
        <v>836</v>
      </c>
    </row>
    <row r="674" ht="14.25" customHeight="1">
      <c r="B674" s="976" t="s">
        <v>6722</v>
      </c>
      <c r="G674" s="977" t="s">
        <v>5809</v>
      </c>
      <c r="I674" s="979" t="s">
        <v>836</v>
      </c>
    </row>
    <row r="675" ht="14.25" customHeight="1">
      <c r="B675" s="976" t="s">
        <v>6723</v>
      </c>
      <c r="G675" s="977" t="s">
        <v>5809</v>
      </c>
      <c r="I675" s="979" t="s">
        <v>836</v>
      </c>
    </row>
    <row r="676" ht="14.25" customHeight="1">
      <c r="B676" s="976" t="s">
        <v>6724</v>
      </c>
      <c r="G676" s="977" t="s">
        <v>5809</v>
      </c>
      <c r="I676" s="979" t="s">
        <v>836</v>
      </c>
    </row>
    <row r="677" ht="14.25" customHeight="1">
      <c r="B677" s="976" t="s">
        <v>6725</v>
      </c>
      <c r="G677" s="977" t="s">
        <v>5809</v>
      </c>
      <c r="I677" s="979" t="s">
        <v>836</v>
      </c>
    </row>
    <row r="678" ht="14.25" customHeight="1">
      <c r="B678" s="976" t="s">
        <v>6726</v>
      </c>
      <c r="G678" s="977" t="s">
        <v>5809</v>
      </c>
      <c r="I678" s="979" t="s">
        <v>836</v>
      </c>
    </row>
    <row r="679" ht="14.25" customHeight="1">
      <c r="B679" s="976" t="s">
        <v>6727</v>
      </c>
      <c r="G679" s="977" t="s">
        <v>5809</v>
      </c>
      <c r="I679" s="979" t="s">
        <v>836</v>
      </c>
    </row>
    <row r="680" ht="14.25" customHeight="1">
      <c r="B680" s="976" t="s">
        <v>6728</v>
      </c>
      <c r="G680" s="977" t="s">
        <v>5809</v>
      </c>
      <c r="I680" s="979" t="s">
        <v>836</v>
      </c>
    </row>
    <row r="681" ht="14.25" customHeight="1">
      <c r="B681" s="976" t="s">
        <v>6729</v>
      </c>
      <c r="G681" s="977" t="s">
        <v>5809</v>
      </c>
      <c r="I681" s="979" t="s">
        <v>836</v>
      </c>
    </row>
    <row r="682" ht="14.25" customHeight="1">
      <c r="B682" s="976" t="s">
        <v>6730</v>
      </c>
      <c r="G682" s="977" t="s">
        <v>5809</v>
      </c>
      <c r="I682" s="979" t="s">
        <v>836</v>
      </c>
    </row>
    <row r="683" ht="14.25" customHeight="1">
      <c r="B683" s="976" t="s">
        <v>6731</v>
      </c>
      <c r="G683" s="977" t="s">
        <v>5809</v>
      </c>
      <c r="I683" s="979" t="s">
        <v>836</v>
      </c>
    </row>
    <row r="684" ht="14.25" customHeight="1">
      <c r="B684" s="976" t="s">
        <v>6732</v>
      </c>
      <c r="G684" s="977" t="s">
        <v>5809</v>
      </c>
      <c r="I684" s="979" t="s">
        <v>836</v>
      </c>
    </row>
    <row r="685" ht="14.25" customHeight="1">
      <c r="B685" s="976" t="s">
        <v>6733</v>
      </c>
      <c r="G685" s="977" t="s">
        <v>5809</v>
      </c>
      <c r="I685" s="979" t="s">
        <v>836</v>
      </c>
    </row>
    <row r="686" ht="14.25" customHeight="1">
      <c r="B686" s="976" t="s">
        <v>6734</v>
      </c>
      <c r="G686" s="977" t="s">
        <v>5809</v>
      </c>
      <c r="I686" s="979" t="s">
        <v>836</v>
      </c>
    </row>
    <row r="687" ht="14.25" customHeight="1">
      <c r="B687" s="976" t="s">
        <v>6735</v>
      </c>
      <c r="G687" s="977" t="s">
        <v>5809</v>
      </c>
      <c r="I687" s="979" t="s">
        <v>836</v>
      </c>
    </row>
    <row r="688" ht="14.25" customHeight="1">
      <c r="B688" s="976" t="s">
        <v>6736</v>
      </c>
      <c r="G688" s="977" t="s">
        <v>5809</v>
      </c>
      <c r="I688" s="979" t="s">
        <v>836</v>
      </c>
    </row>
    <row r="689" ht="14.25" customHeight="1">
      <c r="B689" s="976" t="s">
        <v>6737</v>
      </c>
      <c r="G689" s="977" t="s">
        <v>5809</v>
      </c>
      <c r="I689" s="979" t="s">
        <v>836</v>
      </c>
    </row>
    <row r="690" ht="14.25" customHeight="1">
      <c r="B690" s="976" t="s">
        <v>6738</v>
      </c>
      <c r="G690" s="977" t="s">
        <v>5809</v>
      </c>
      <c r="I690" s="979" t="s">
        <v>836</v>
      </c>
    </row>
    <row r="691" ht="14.25" customHeight="1">
      <c r="B691" s="976" t="s">
        <v>6739</v>
      </c>
      <c r="G691" s="977" t="s">
        <v>5809</v>
      </c>
      <c r="I691" s="979" t="s">
        <v>836</v>
      </c>
    </row>
    <row r="692" ht="14.25" customHeight="1">
      <c r="B692" s="976" t="s">
        <v>6740</v>
      </c>
      <c r="G692" s="977" t="s">
        <v>5809</v>
      </c>
      <c r="I692" s="979" t="s">
        <v>836</v>
      </c>
    </row>
    <row r="693" ht="14.25" customHeight="1">
      <c r="B693" s="976" t="s">
        <v>6741</v>
      </c>
      <c r="G693" s="977" t="s">
        <v>5809</v>
      </c>
      <c r="I693" s="979" t="s">
        <v>836</v>
      </c>
    </row>
    <row r="694" ht="14.25" customHeight="1">
      <c r="B694" s="976" t="s">
        <v>6742</v>
      </c>
      <c r="G694" s="977" t="s">
        <v>5809</v>
      </c>
      <c r="I694" s="979" t="s">
        <v>836</v>
      </c>
    </row>
    <row r="695" ht="14.25" customHeight="1">
      <c r="B695" s="976" t="s">
        <v>6743</v>
      </c>
      <c r="G695" s="977" t="s">
        <v>5809</v>
      </c>
      <c r="I695" s="979" t="s">
        <v>836</v>
      </c>
    </row>
    <row r="696" ht="14.25" customHeight="1">
      <c r="B696" s="976" t="s">
        <v>6744</v>
      </c>
      <c r="G696" s="977" t="s">
        <v>5809</v>
      </c>
      <c r="I696" s="979" t="s">
        <v>836</v>
      </c>
    </row>
    <row r="697" ht="14.25" customHeight="1">
      <c r="B697" s="976" t="s">
        <v>6745</v>
      </c>
      <c r="G697" s="977" t="s">
        <v>5809</v>
      </c>
      <c r="I697" s="979" t="s">
        <v>836</v>
      </c>
    </row>
    <row r="698" ht="14.25" customHeight="1">
      <c r="B698" s="976" t="s">
        <v>6746</v>
      </c>
      <c r="G698" s="977" t="s">
        <v>5809</v>
      </c>
      <c r="I698" s="979" t="s">
        <v>836</v>
      </c>
    </row>
    <row r="699" ht="14.25" customHeight="1">
      <c r="B699" s="976" t="s">
        <v>6747</v>
      </c>
      <c r="G699" s="977" t="s">
        <v>5809</v>
      </c>
      <c r="I699" s="979" t="s">
        <v>836</v>
      </c>
    </row>
    <row r="700" ht="14.25" customHeight="1">
      <c r="B700" s="976" t="s">
        <v>6748</v>
      </c>
      <c r="G700" s="977" t="s">
        <v>5810</v>
      </c>
      <c r="I700" s="979" t="s">
        <v>836</v>
      </c>
    </row>
    <row r="701" ht="14.25" customHeight="1">
      <c r="B701" s="976" t="s">
        <v>6749</v>
      </c>
      <c r="G701" s="977" t="s">
        <v>5810</v>
      </c>
      <c r="I701" s="979" t="s">
        <v>836</v>
      </c>
    </row>
    <row r="702" ht="14.25" customHeight="1">
      <c r="B702" s="976" t="s">
        <v>6750</v>
      </c>
      <c r="G702" s="977" t="s">
        <v>5810</v>
      </c>
      <c r="I702" s="979" t="s">
        <v>836</v>
      </c>
    </row>
    <row r="703" ht="14.25" customHeight="1">
      <c r="B703" s="976" t="s">
        <v>6751</v>
      </c>
      <c r="G703" s="977" t="s">
        <v>5810</v>
      </c>
      <c r="I703" s="979" t="s">
        <v>836</v>
      </c>
    </row>
    <row r="704" ht="14.25" customHeight="1">
      <c r="B704" s="980" t="s">
        <v>6752</v>
      </c>
      <c r="G704" s="980" t="s">
        <v>5809</v>
      </c>
      <c r="I704" s="981" t="s">
        <v>836</v>
      </c>
    </row>
    <row r="705" ht="14.25" customHeight="1">
      <c r="B705" s="976" t="s">
        <v>6753</v>
      </c>
      <c r="G705" s="977" t="s">
        <v>5809</v>
      </c>
      <c r="I705" s="979" t="s">
        <v>836</v>
      </c>
    </row>
    <row r="706" ht="14.25" customHeight="1">
      <c r="B706" s="976" t="s">
        <v>6754</v>
      </c>
      <c r="G706" s="977" t="s">
        <v>5809</v>
      </c>
      <c r="I706" s="979" t="s">
        <v>836</v>
      </c>
    </row>
    <row r="707" ht="14.25" customHeight="1">
      <c r="B707" s="976" t="s">
        <v>6755</v>
      </c>
      <c r="G707" s="977" t="s">
        <v>5809</v>
      </c>
      <c r="I707" s="979" t="s">
        <v>836</v>
      </c>
    </row>
    <row r="708" ht="14.25" customHeight="1">
      <c r="B708" s="976" t="s">
        <v>6756</v>
      </c>
      <c r="G708" s="977" t="s">
        <v>5809</v>
      </c>
      <c r="I708" s="979" t="s">
        <v>836</v>
      </c>
    </row>
    <row r="709" ht="14.25" customHeight="1">
      <c r="B709" s="976" t="s">
        <v>6757</v>
      </c>
      <c r="G709" s="977" t="s">
        <v>5809</v>
      </c>
      <c r="I709" s="979" t="s">
        <v>836</v>
      </c>
    </row>
    <row r="710" ht="14.25" customHeight="1">
      <c r="B710" s="976" t="s">
        <v>6758</v>
      </c>
      <c r="G710" s="977" t="s">
        <v>5809</v>
      </c>
      <c r="I710" s="979" t="s">
        <v>836</v>
      </c>
    </row>
    <row r="711" ht="14.25" customHeight="1">
      <c r="B711" s="976" t="s">
        <v>6759</v>
      </c>
      <c r="G711" s="977" t="s">
        <v>5809</v>
      </c>
      <c r="I711" s="979" t="s">
        <v>836</v>
      </c>
    </row>
    <row r="712" ht="14.25" customHeight="1">
      <c r="B712" s="976" t="s">
        <v>6760</v>
      </c>
      <c r="G712" s="977" t="s">
        <v>5809</v>
      </c>
      <c r="I712" s="979" t="s">
        <v>836</v>
      </c>
    </row>
    <row r="713" ht="14.25" customHeight="1">
      <c r="B713" s="976" t="s">
        <v>6761</v>
      </c>
      <c r="G713" s="977" t="s">
        <v>5809</v>
      </c>
      <c r="I713" s="979" t="s">
        <v>836</v>
      </c>
    </row>
    <row r="714" ht="14.25" customHeight="1">
      <c r="B714" s="976" t="s">
        <v>6762</v>
      </c>
      <c r="G714" s="977" t="s">
        <v>5809</v>
      </c>
      <c r="I714" s="979" t="s">
        <v>836</v>
      </c>
    </row>
    <row r="715" ht="14.25" customHeight="1">
      <c r="B715" s="976" t="s">
        <v>6763</v>
      </c>
      <c r="G715" s="977" t="s">
        <v>5809</v>
      </c>
      <c r="I715" s="979" t="s">
        <v>836</v>
      </c>
    </row>
    <row r="716" ht="14.25" customHeight="1">
      <c r="B716" s="976" t="s">
        <v>6764</v>
      </c>
      <c r="G716" s="977" t="s">
        <v>5809</v>
      </c>
      <c r="I716" s="979" t="s">
        <v>836</v>
      </c>
    </row>
    <row r="717" ht="14.25" customHeight="1">
      <c r="B717" s="976" t="s">
        <v>6765</v>
      </c>
      <c r="G717" s="977" t="s">
        <v>5809</v>
      </c>
      <c r="I717" s="979" t="s">
        <v>836</v>
      </c>
    </row>
    <row r="718" ht="14.25" customHeight="1">
      <c r="B718" s="976" t="s">
        <v>6766</v>
      </c>
      <c r="G718" s="977" t="s">
        <v>5809</v>
      </c>
      <c r="I718" s="979" t="s">
        <v>836</v>
      </c>
    </row>
    <row r="719" ht="14.25" customHeight="1">
      <c r="B719" s="976" t="s">
        <v>6767</v>
      </c>
      <c r="G719" s="977" t="s">
        <v>5809</v>
      </c>
      <c r="I719" s="979" t="s">
        <v>836</v>
      </c>
    </row>
    <row r="720" ht="14.25" customHeight="1">
      <c r="B720" s="976" t="s">
        <v>6768</v>
      </c>
      <c r="G720" s="977" t="s">
        <v>5809</v>
      </c>
      <c r="I720" s="979" t="s">
        <v>836</v>
      </c>
    </row>
    <row r="721" ht="14.25" customHeight="1">
      <c r="B721" s="976" t="s">
        <v>6769</v>
      </c>
      <c r="G721" s="977" t="s">
        <v>5809</v>
      </c>
      <c r="I721" s="979" t="s">
        <v>836</v>
      </c>
    </row>
    <row r="722" ht="14.25" customHeight="1">
      <c r="B722" s="976" t="s">
        <v>6770</v>
      </c>
      <c r="G722" s="977" t="s">
        <v>5809</v>
      </c>
      <c r="I722" s="979" t="s">
        <v>836</v>
      </c>
    </row>
    <row r="723" ht="14.25" customHeight="1">
      <c r="B723" s="976" t="s">
        <v>6771</v>
      </c>
      <c r="G723" s="977" t="s">
        <v>5809</v>
      </c>
      <c r="I723" s="979" t="s">
        <v>836</v>
      </c>
    </row>
    <row r="724" ht="14.25" customHeight="1">
      <c r="B724" s="976" t="s">
        <v>6772</v>
      </c>
      <c r="G724" s="977" t="s">
        <v>5809</v>
      </c>
      <c r="I724" s="979" t="s">
        <v>836</v>
      </c>
    </row>
    <row r="725" ht="14.25" customHeight="1">
      <c r="B725" s="976" t="s">
        <v>6773</v>
      </c>
      <c r="G725" s="977" t="s">
        <v>5809</v>
      </c>
      <c r="I725" s="979" t="s">
        <v>836</v>
      </c>
    </row>
    <row r="726" ht="14.25" customHeight="1">
      <c r="B726" s="976" t="s">
        <v>6774</v>
      </c>
      <c r="G726" s="977" t="s">
        <v>5809</v>
      </c>
      <c r="I726" s="979" t="s">
        <v>836</v>
      </c>
    </row>
    <row r="727" ht="14.25" customHeight="1">
      <c r="B727" s="976" t="s">
        <v>6775</v>
      </c>
      <c r="G727" s="977" t="s">
        <v>5809</v>
      </c>
      <c r="I727" s="979" t="s">
        <v>836</v>
      </c>
    </row>
    <row r="728" ht="14.25" customHeight="1">
      <c r="B728" s="976" t="s">
        <v>6776</v>
      </c>
      <c r="G728" s="977" t="s">
        <v>5809</v>
      </c>
      <c r="I728" s="979" t="s">
        <v>836</v>
      </c>
    </row>
    <row r="729" ht="14.25" customHeight="1">
      <c r="B729" s="976" t="s">
        <v>6777</v>
      </c>
      <c r="G729" s="977" t="s">
        <v>5809</v>
      </c>
      <c r="I729" s="979" t="s">
        <v>836</v>
      </c>
    </row>
    <row r="730" ht="14.25" customHeight="1">
      <c r="B730" s="976" t="s">
        <v>6778</v>
      </c>
      <c r="G730" s="977" t="s">
        <v>5809</v>
      </c>
      <c r="I730" s="979" t="s">
        <v>836</v>
      </c>
    </row>
    <row r="731" ht="14.25" customHeight="1">
      <c r="B731" s="976" t="s">
        <v>6779</v>
      </c>
      <c r="G731" s="977" t="s">
        <v>5809</v>
      </c>
      <c r="I731" s="979" t="s">
        <v>836</v>
      </c>
    </row>
    <row r="732" ht="14.25" customHeight="1">
      <c r="B732" s="976" t="s">
        <v>6780</v>
      </c>
      <c r="G732" s="977" t="s">
        <v>5809</v>
      </c>
      <c r="I732" s="979" t="s">
        <v>836</v>
      </c>
    </row>
    <row r="733" ht="14.25" customHeight="1">
      <c r="B733" s="976" t="s">
        <v>6781</v>
      </c>
      <c r="G733" s="977" t="s">
        <v>5809</v>
      </c>
      <c r="I733" s="979" t="s">
        <v>836</v>
      </c>
    </row>
    <row r="734" ht="14.25" customHeight="1">
      <c r="B734" s="976" t="s">
        <v>6782</v>
      </c>
      <c r="G734" s="977" t="s">
        <v>5809</v>
      </c>
      <c r="I734" s="979" t="s">
        <v>836</v>
      </c>
    </row>
    <row r="735" ht="14.25" customHeight="1">
      <c r="B735" s="976" t="s">
        <v>6783</v>
      </c>
      <c r="G735" s="977" t="s">
        <v>5809</v>
      </c>
      <c r="I735" s="979" t="s">
        <v>836</v>
      </c>
    </row>
    <row r="736" ht="14.25" customHeight="1">
      <c r="B736" s="976" t="s">
        <v>6784</v>
      </c>
      <c r="G736" s="977" t="s">
        <v>5809</v>
      </c>
      <c r="I736" s="979" t="s">
        <v>836</v>
      </c>
    </row>
    <row r="737" ht="14.25" customHeight="1">
      <c r="B737" s="976" t="s">
        <v>6785</v>
      </c>
      <c r="G737" s="977" t="s">
        <v>5809</v>
      </c>
      <c r="I737" s="979" t="s">
        <v>836</v>
      </c>
    </row>
    <row r="738" ht="14.25" customHeight="1">
      <c r="B738" s="976" t="s">
        <v>6786</v>
      </c>
      <c r="G738" s="977" t="s">
        <v>5809</v>
      </c>
      <c r="I738" s="979" t="s">
        <v>836</v>
      </c>
    </row>
    <row r="739" ht="14.25" customHeight="1">
      <c r="B739" s="976" t="s">
        <v>6787</v>
      </c>
      <c r="G739" s="977" t="s">
        <v>5809</v>
      </c>
      <c r="I739" s="979" t="s">
        <v>836</v>
      </c>
    </row>
    <row r="740" ht="14.25" customHeight="1">
      <c r="B740" s="976" t="s">
        <v>6788</v>
      </c>
      <c r="G740" s="977" t="s">
        <v>5809</v>
      </c>
      <c r="I740" s="979" t="s">
        <v>836</v>
      </c>
    </row>
    <row r="741" ht="14.25" customHeight="1">
      <c r="B741" s="976" t="s">
        <v>6789</v>
      </c>
      <c r="G741" s="977" t="s">
        <v>5809</v>
      </c>
      <c r="I741" s="979" t="s">
        <v>836</v>
      </c>
    </row>
    <row r="742" ht="14.25" customHeight="1">
      <c r="B742" s="976" t="s">
        <v>6790</v>
      </c>
      <c r="G742" s="977" t="s">
        <v>5809</v>
      </c>
      <c r="I742" s="979" t="s">
        <v>836</v>
      </c>
    </row>
    <row r="743" ht="14.25" customHeight="1">
      <c r="B743" s="976" t="s">
        <v>6791</v>
      </c>
      <c r="G743" s="977" t="s">
        <v>5809</v>
      </c>
      <c r="I743" s="979" t="s">
        <v>836</v>
      </c>
    </row>
    <row r="744" ht="14.25" customHeight="1">
      <c r="B744" s="976" t="s">
        <v>6792</v>
      </c>
      <c r="G744" s="977" t="s">
        <v>5809</v>
      </c>
      <c r="I744" s="979" t="s">
        <v>836</v>
      </c>
    </row>
    <row r="745" ht="14.25" customHeight="1">
      <c r="B745" s="976" t="s">
        <v>6793</v>
      </c>
      <c r="G745" s="977" t="s">
        <v>5809</v>
      </c>
      <c r="I745" s="979" t="s">
        <v>836</v>
      </c>
    </row>
    <row r="746" ht="14.25" customHeight="1">
      <c r="B746" s="976" t="s">
        <v>6794</v>
      </c>
      <c r="G746" s="977" t="s">
        <v>5809</v>
      </c>
      <c r="I746" s="979" t="s">
        <v>836</v>
      </c>
    </row>
    <row r="747" ht="14.25" customHeight="1">
      <c r="B747" s="976" t="s">
        <v>6795</v>
      </c>
      <c r="G747" s="977" t="s">
        <v>5809</v>
      </c>
      <c r="I747" s="979" t="s">
        <v>836</v>
      </c>
    </row>
    <row r="748" ht="14.25" customHeight="1">
      <c r="B748" s="976" t="s">
        <v>6796</v>
      </c>
      <c r="G748" s="977" t="s">
        <v>5809</v>
      </c>
      <c r="I748" s="979" t="s">
        <v>836</v>
      </c>
    </row>
    <row r="749" ht="14.25" customHeight="1">
      <c r="B749" s="982" t="s">
        <v>6797</v>
      </c>
      <c r="G749" s="983"/>
      <c r="I749" s="983"/>
    </row>
    <row r="750" ht="14.25" customHeight="1">
      <c r="B750" s="976" t="s">
        <v>6798</v>
      </c>
      <c r="G750" s="977" t="s">
        <v>5810</v>
      </c>
      <c r="I750" s="979" t="s">
        <v>6799</v>
      </c>
    </row>
    <row r="751" ht="14.25" customHeight="1">
      <c r="B751" s="976" t="s">
        <v>6800</v>
      </c>
      <c r="G751" s="977" t="s">
        <v>5810</v>
      </c>
      <c r="I751" s="979" t="s">
        <v>6799</v>
      </c>
    </row>
    <row r="752" ht="14.25" customHeight="1">
      <c r="B752" s="976" t="s">
        <v>6801</v>
      </c>
      <c r="G752" s="977" t="s">
        <v>5810</v>
      </c>
      <c r="I752" s="979" t="s">
        <v>6799</v>
      </c>
    </row>
    <row r="753" ht="14.25" customHeight="1">
      <c r="B753" s="976" t="s">
        <v>6802</v>
      </c>
      <c r="G753" s="977" t="s">
        <v>5810</v>
      </c>
      <c r="I753" s="979" t="s">
        <v>6799</v>
      </c>
    </row>
    <row r="754" ht="14.25" customHeight="1">
      <c r="B754" s="976" t="s">
        <v>6803</v>
      </c>
      <c r="G754" s="977" t="s">
        <v>5810</v>
      </c>
      <c r="I754" s="979" t="s">
        <v>6799</v>
      </c>
    </row>
    <row r="755" ht="14.25" customHeight="1">
      <c r="B755" s="976" t="s">
        <v>6804</v>
      </c>
      <c r="G755" s="977" t="s">
        <v>5810</v>
      </c>
      <c r="I755" s="979" t="s">
        <v>6799</v>
      </c>
    </row>
    <row r="756" ht="14.25" customHeight="1">
      <c r="B756" s="976" t="s">
        <v>6805</v>
      </c>
      <c r="G756" s="977" t="s">
        <v>5810</v>
      </c>
      <c r="I756" s="979" t="s">
        <v>6799</v>
      </c>
    </row>
    <row r="757" ht="14.25" customHeight="1">
      <c r="B757" s="976" t="s">
        <v>6806</v>
      </c>
      <c r="G757" s="977" t="s">
        <v>5810</v>
      </c>
      <c r="I757" s="979" t="s">
        <v>6799</v>
      </c>
    </row>
    <row r="758" ht="14.25" customHeight="1">
      <c r="B758" s="976" t="s">
        <v>6807</v>
      </c>
      <c r="G758" s="977" t="s">
        <v>5810</v>
      </c>
      <c r="I758" s="979" t="s">
        <v>6799</v>
      </c>
    </row>
    <row r="759" ht="14.25" customHeight="1">
      <c r="B759" s="976" t="s">
        <v>6808</v>
      </c>
      <c r="G759" s="977" t="s">
        <v>5955</v>
      </c>
      <c r="I759" s="979" t="s">
        <v>6799</v>
      </c>
    </row>
    <row r="760" ht="14.25" customHeight="1">
      <c r="B760" s="976" t="s">
        <v>6809</v>
      </c>
      <c r="G760" s="977" t="s">
        <v>5955</v>
      </c>
      <c r="I760" s="979" t="s">
        <v>6799</v>
      </c>
    </row>
    <row r="761" ht="14.25" customHeight="1">
      <c r="B761" s="976" t="s">
        <v>6810</v>
      </c>
      <c r="G761" s="977" t="s">
        <v>5955</v>
      </c>
      <c r="I761" s="979" t="s">
        <v>6799</v>
      </c>
    </row>
    <row r="762" ht="14.25" customHeight="1">
      <c r="B762" s="976" t="s">
        <v>6811</v>
      </c>
      <c r="G762" s="977" t="s">
        <v>5955</v>
      </c>
      <c r="I762" s="979" t="s">
        <v>6799</v>
      </c>
    </row>
    <row r="763" ht="14.25" customHeight="1">
      <c r="B763" s="976" t="s">
        <v>6812</v>
      </c>
      <c r="G763" s="977" t="s">
        <v>5955</v>
      </c>
      <c r="I763" s="979" t="s">
        <v>6799</v>
      </c>
    </row>
    <row r="764" ht="14.25" customHeight="1">
      <c r="B764" s="976" t="s">
        <v>6813</v>
      </c>
      <c r="G764" s="977" t="s">
        <v>5955</v>
      </c>
      <c r="I764" s="979" t="s">
        <v>6799</v>
      </c>
    </row>
    <row r="765" ht="14.25" customHeight="1">
      <c r="B765" s="976" t="s">
        <v>6814</v>
      </c>
      <c r="G765" s="977" t="s">
        <v>5955</v>
      </c>
      <c r="I765" s="979" t="s">
        <v>6799</v>
      </c>
    </row>
    <row r="766" ht="14.25" customHeight="1">
      <c r="B766" s="976" t="s">
        <v>6815</v>
      </c>
      <c r="G766" s="977" t="s">
        <v>5955</v>
      </c>
      <c r="I766" s="979" t="s">
        <v>6799</v>
      </c>
    </row>
    <row r="767" ht="14.25" customHeight="1">
      <c r="B767" s="976" t="s">
        <v>6816</v>
      </c>
      <c r="G767" s="977" t="s">
        <v>5955</v>
      </c>
      <c r="I767" s="979" t="s">
        <v>6799</v>
      </c>
    </row>
    <row r="768" ht="14.25" customHeight="1">
      <c r="B768" s="976" t="s">
        <v>6817</v>
      </c>
      <c r="G768" s="977" t="s">
        <v>5955</v>
      </c>
      <c r="I768" s="979" t="s">
        <v>6799</v>
      </c>
    </row>
    <row r="769" ht="14.25" customHeight="1">
      <c r="B769" s="976" t="s">
        <v>6818</v>
      </c>
      <c r="G769" s="977" t="s">
        <v>5955</v>
      </c>
      <c r="I769" s="979" t="s">
        <v>6799</v>
      </c>
    </row>
    <row r="770" ht="14.25" customHeight="1">
      <c r="B770" s="976" t="s">
        <v>6819</v>
      </c>
      <c r="G770" s="977" t="s">
        <v>5955</v>
      </c>
      <c r="I770" s="979" t="s">
        <v>6799</v>
      </c>
    </row>
    <row r="771" ht="14.25" customHeight="1">
      <c r="B771" s="976" t="s">
        <v>6820</v>
      </c>
      <c r="G771" s="977" t="s">
        <v>5955</v>
      </c>
      <c r="I771" s="979" t="s">
        <v>6799</v>
      </c>
    </row>
    <row r="772" ht="14.25" customHeight="1">
      <c r="B772" s="976" t="s">
        <v>6821</v>
      </c>
      <c r="G772" s="977" t="s">
        <v>5955</v>
      </c>
      <c r="I772" s="979" t="s">
        <v>6799</v>
      </c>
    </row>
    <row r="773" ht="14.25" customHeight="1">
      <c r="B773" s="976" t="s">
        <v>6822</v>
      </c>
      <c r="G773" s="977" t="s">
        <v>5955</v>
      </c>
      <c r="I773" s="979" t="s">
        <v>6799</v>
      </c>
    </row>
    <row r="774" ht="14.25" customHeight="1">
      <c r="B774" s="976" t="s">
        <v>6823</v>
      </c>
      <c r="G774" s="977" t="s">
        <v>5955</v>
      </c>
      <c r="I774" s="979" t="s">
        <v>6799</v>
      </c>
    </row>
    <row r="775" ht="14.25" customHeight="1">
      <c r="B775" s="976" t="s">
        <v>6824</v>
      </c>
      <c r="G775" s="977" t="s">
        <v>5955</v>
      </c>
      <c r="I775" s="979" t="s">
        <v>6799</v>
      </c>
    </row>
    <row r="776" ht="14.25" customHeight="1">
      <c r="B776" s="976" t="s">
        <v>6825</v>
      </c>
      <c r="G776" s="977" t="s">
        <v>5955</v>
      </c>
      <c r="I776" s="979" t="s">
        <v>6799</v>
      </c>
    </row>
    <row r="777" ht="14.25" customHeight="1">
      <c r="B777" s="982" t="s">
        <v>6826</v>
      </c>
      <c r="G777" s="983"/>
      <c r="I777" s="983"/>
    </row>
    <row r="778" ht="14.25" customHeight="1">
      <c r="B778" s="976" t="s">
        <v>6827</v>
      </c>
      <c r="G778" s="977" t="s">
        <v>5810</v>
      </c>
      <c r="I778" s="979" t="s">
        <v>6828</v>
      </c>
    </row>
    <row r="779" ht="14.25" customHeight="1">
      <c r="B779" s="976" t="s">
        <v>6829</v>
      </c>
      <c r="G779" s="977" t="s">
        <v>5810</v>
      </c>
      <c r="I779" s="979" t="s">
        <v>6828</v>
      </c>
    </row>
    <row r="780" ht="14.25" customHeight="1">
      <c r="B780" s="976" t="s">
        <v>6830</v>
      </c>
      <c r="G780" s="977" t="s">
        <v>5810</v>
      </c>
      <c r="I780" s="979" t="s">
        <v>6828</v>
      </c>
    </row>
    <row r="781" ht="14.25" customHeight="1">
      <c r="B781" s="976" t="s">
        <v>6831</v>
      </c>
      <c r="G781" s="977" t="s">
        <v>5955</v>
      </c>
      <c r="I781" s="979" t="s">
        <v>6828</v>
      </c>
    </row>
    <row r="782" ht="14.25" customHeight="1">
      <c r="B782" s="976" t="s">
        <v>6832</v>
      </c>
      <c r="G782" s="977" t="s">
        <v>5955</v>
      </c>
      <c r="I782" s="979" t="s">
        <v>6828</v>
      </c>
    </row>
    <row r="783" ht="14.25" customHeight="1">
      <c r="B783" s="976" t="s">
        <v>6833</v>
      </c>
      <c r="G783" s="977" t="s">
        <v>5955</v>
      </c>
      <c r="I783" s="979" t="s">
        <v>6828</v>
      </c>
    </row>
    <row r="784" ht="14.25" customHeight="1">
      <c r="B784" s="976" t="s">
        <v>6834</v>
      </c>
      <c r="G784" s="977" t="s">
        <v>5955</v>
      </c>
      <c r="I784" s="979" t="s">
        <v>6828</v>
      </c>
    </row>
    <row r="785" ht="14.25" customHeight="1">
      <c r="B785" s="976" t="s">
        <v>6835</v>
      </c>
      <c r="G785" s="977" t="s">
        <v>5955</v>
      </c>
      <c r="I785" s="979" t="s">
        <v>6828</v>
      </c>
    </row>
    <row r="786" ht="14.25" customHeight="1">
      <c r="B786" s="976" t="s">
        <v>6836</v>
      </c>
      <c r="G786" s="977" t="s">
        <v>5955</v>
      </c>
      <c r="I786" s="979" t="s">
        <v>6828</v>
      </c>
    </row>
    <row r="787" ht="14.25" customHeight="1">
      <c r="B787" s="976" t="s">
        <v>6837</v>
      </c>
      <c r="G787" s="977" t="s">
        <v>5955</v>
      </c>
      <c r="I787" s="979" t="s">
        <v>6828</v>
      </c>
    </row>
    <row r="788" ht="14.25" customHeight="1">
      <c r="B788" s="976" t="s">
        <v>6838</v>
      </c>
      <c r="G788" s="977" t="s">
        <v>5955</v>
      </c>
      <c r="I788" s="979" t="s">
        <v>6828</v>
      </c>
    </row>
    <row r="789" ht="14.25" customHeight="1">
      <c r="B789" s="976" t="s">
        <v>6839</v>
      </c>
      <c r="G789" s="977" t="s">
        <v>5955</v>
      </c>
      <c r="I789" s="979" t="s">
        <v>6828</v>
      </c>
    </row>
    <row r="790" ht="14.25" customHeight="1">
      <c r="B790" s="976" t="s">
        <v>6840</v>
      </c>
      <c r="G790" s="977" t="s">
        <v>5955</v>
      </c>
      <c r="I790" s="979" t="s">
        <v>6828</v>
      </c>
    </row>
    <row r="791" ht="14.25" customHeight="1">
      <c r="B791" s="984" t="s">
        <v>6182</v>
      </c>
      <c r="G791" s="985"/>
      <c r="I791" s="985"/>
    </row>
    <row r="792" ht="14.25" customHeight="1">
      <c r="B792" s="982" t="s">
        <v>6841</v>
      </c>
      <c r="G792" s="983"/>
      <c r="I792" s="983"/>
    </row>
    <row r="793" ht="14.25" customHeight="1">
      <c r="B793" s="976" t="s">
        <v>6842</v>
      </c>
      <c r="G793" s="977" t="s">
        <v>5810</v>
      </c>
      <c r="I793" s="979" t="s">
        <v>1253</v>
      </c>
    </row>
    <row r="794" ht="14.25" customHeight="1">
      <c r="B794" s="976" t="s">
        <v>6843</v>
      </c>
      <c r="G794" s="977" t="s">
        <v>5810</v>
      </c>
      <c r="I794" s="979" t="s">
        <v>1253</v>
      </c>
    </row>
    <row r="795" ht="14.25" customHeight="1">
      <c r="B795" s="976" t="s">
        <v>6844</v>
      </c>
      <c r="G795" s="977" t="s">
        <v>5810</v>
      </c>
      <c r="I795" s="979" t="s">
        <v>1253</v>
      </c>
    </row>
    <row r="796" ht="14.25" customHeight="1">
      <c r="B796" s="976" t="s">
        <v>6845</v>
      </c>
      <c r="G796" s="977" t="s">
        <v>5810</v>
      </c>
      <c r="I796" s="979" t="s">
        <v>1253</v>
      </c>
    </row>
    <row r="797" ht="14.25" customHeight="1">
      <c r="B797" s="976" t="s">
        <v>6846</v>
      </c>
      <c r="G797" s="977" t="s">
        <v>5810</v>
      </c>
      <c r="I797" s="979" t="s">
        <v>1253</v>
      </c>
    </row>
    <row r="798" ht="14.25" customHeight="1">
      <c r="B798" s="976" t="s">
        <v>6847</v>
      </c>
      <c r="G798" s="977" t="s">
        <v>5810</v>
      </c>
      <c r="I798" s="979" t="s">
        <v>1253</v>
      </c>
    </row>
    <row r="799" ht="14.25" customHeight="1">
      <c r="B799" s="976" t="s">
        <v>6848</v>
      </c>
      <c r="G799" s="977" t="s">
        <v>5810</v>
      </c>
      <c r="I799" s="979" t="s">
        <v>1253</v>
      </c>
    </row>
    <row r="800" ht="14.25" customHeight="1">
      <c r="B800" s="976" t="s">
        <v>6849</v>
      </c>
      <c r="G800" s="977" t="s">
        <v>5810</v>
      </c>
      <c r="I800" s="979" t="s">
        <v>1253</v>
      </c>
    </row>
    <row r="801" ht="14.25" customHeight="1">
      <c r="B801" s="976" t="s">
        <v>6850</v>
      </c>
      <c r="G801" s="977" t="s">
        <v>5810</v>
      </c>
      <c r="I801" s="979" t="s">
        <v>1253</v>
      </c>
    </row>
    <row r="802" ht="14.25" customHeight="1">
      <c r="B802" s="976" t="s">
        <v>6851</v>
      </c>
      <c r="G802" s="977" t="s">
        <v>5810</v>
      </c>
      <c r="I802" s="979" t="s">
        <v>1253</v>
      </c>
    </row>
    <row r="803" ht="14.25" customHeight="1">
      <c r="B803" s="976" t="s">
        <v>6852</v>
      </c>
      <c r="G803" s="977" t="s">
        <v>5810</v>
      </c>
      <c r="I803" s="979" t="s">
        <v>1253</v>
      </c>
    </row>
    <row r="804" ht="14.25" customHeight="1">
      <c r="B804" s="976" t="s">
        <v>6853</v>
      </c>
      <c r="G804" s="977" t="s">
        <v>5810</v>
      </c>
      <c r="I804" s="979" t="s">
        <v>1253</v>
      </c>
    </row>
    <row r="805" ht="14.25" customHeight="1">
      <c r="B805" s="976" t="s">
        <v>6854</v>
      </c>
      <c r="G805" s="977" t="s">
        <v>5809</v>
      </c>
      <c r="I805" s="979" t="s">
        <v>1253</v>
      </c>
    </row>
    <row r="806" ht="14.25" customHeight="1">
      <c r="B806" s="976" t="s">
        <v>6855</v>
      </c>
      <c r="G806" s="977" t="s">
        <v>5809</v>
      </c>
      <c r="I806" s="979" t="s">
        <v>1253</v>
      </c>
    </row>
    <row r="807" ht="14.25" customHeight="1">
      <c r="B807" s="976" t="s">
        <v>6856</v>
      </c>
      <c r="G807" s="977" t="s">
        <v>5809</v>
      </c>
      <c r="I807" s="979" t="s">
        <v>1253</v>
      </c>
    </row>
    <row r="808" ht="14.25" customHeight="1">
      <c r="B808" s="976" t="s">
        <v>6857</v>
      </c>
      <c r="G808" s="977" t="s">
        <v>5809</v>
      </c>
      <c r="I808" s="979" t="s">
        <v>1253</v>
      </c>
    </row>
    <row r="809" ht="14.25" customHeight="1">
      <c r="B809" s="976" t="s">
        <v>6858</v>
      </c>
      <c r="G809" s="977" t="s">
        <v>5809</v>
      </c>
      <c r="I809" s="979" t="s">
        <v>1253</v>
      </c>
    </row>
    <row r="810" ht="14.25" customHeight="1">
      <c r="B810" s="976" t="s">
        <v>6859</v>
      </c>
      <c r="G810" s="977" t="s">
        <v>5809</v>
      </c>
      <c r="I810" s="979" t="s">
        <v>1253</v>
      </c>
    </row>
    <row r="811" ht="14.25" customHeight="1">
      <c r="B811" s="976" t="s">
        <v>6860</v>
      </c>
      <c r="G811" s="977" t="s">
        <v>5809</v>
      </c>
      <c r="I811" s="979" t="s">
        <v>1253</v>
      </c>
    </row>
    <row r="812" ht="14.25" customHeight="1">
      <c r="B812" s="976" t="s">
        <v>6861</v>
      </c>
      <c r="G812" s="977" t="s">
        <v>5809</v>
      </c>
      <c r="I812" s="979" t="s">
        <v>1253</v>
      </c>
    </row>
    <row r="813" ht="14.25" customHeight="1">
      <c r="B813" s="976" t="s">
        <v>6862</v>
      </c>
      <c r="G813" s="977" t="s">
        <v>5809</v>
      </c>
      <c r="I813" s="979" t="s">
        <v>1253</v>
      </c>
    </row>
    <row r="814" ht="14.25" customHeight="1">
      <c r="B814" s="976" t="s">
        <v>6863</v>
      </c>
      <c r="G814" s="977" t="s">
        <v>5809</v>
      </c>
      <c r="I814" s="979" t="s">
        <v>1253</v>
      </c>
    </row>
    <row r="815" ht="14.25" customHeight="1">
      <c r="B815" s="976" t="s">
        <v>6864</v>
      </c>
      <c r="G815" s="977" t="s">
        <v>5809</v>
      </c>
      <c r="I815" s="979" t="s">
        <v>1253</v>
      </c>
    </row>
    <row r="816" ht="14.25" customHeight="1">
      <c r="B816" s="976" t="s">
        <v>6865</v>
      </c>
      <c r="G816" s="977" t="s">
        <v>5809</v>
      </c>
      <c r="I816" s="979" t="s">
        <v>1253</v>
      </c>
    </row>
    <row r="817" ht="14.25" customHeight="1">
      <c r="B817" s="982" t="s">
        <v>6866</v>
      </c>
      <c r="G817" s="983"/>
      <c r="I817" s="983"/>
    </row>
    <row r="818" ht="14.25" customHeight="1">
      <c r="B818" s="976" t="s">
        <v>6867</v>
      </c>
      <c r="G818" s="977" t="s">
        <v>5810</v>
      </c>
      <c r="I818" s="979" t="s">
        <v>1389</v>
      </c>
    </row>
    <row r="819" ht="14.25" customHeight="1">
      <c r="B819" s="976" t="s">
        <v>6868</v>
      </c>
      <c r="G819" s="977" t="s">
        <v>5810</v>
      </c>
      <c r="I819" s="979" t="s">
        <v>1389</v>
      </c>
    </row>
    <row r="820" ht="14.25" customHeight="1">
      <c r="B820" s="976" t="s">
        <v>6869</v>
      </c>
      <c r="G820" s="977" t="s">
        <v>5810</v>
      </c>
      <c r="I820" s="979" t="s">
        <v>1389</v>
      </c>
    </row>
    <row r="821" ht="14.25" customHeight="1">
      <c r="B821" s="976" t="s">
        <v>6870</v>
      </c>
      <c r="G821" s="977" t="s">
        <v>5810</v>
      </c>
      <c r="I821" s="979" t="s">
        <v>1389</v>
      </c>
    </row>
    <row r="822" ht="14.25" customHeight="1">
      <c r="B822" s="976" t="s">
        <v>6871</v>
      </c>
      <c r="G822" s="977" t="s">
        <v>5810</v>
      </c>
      <c r="I822" s="979" t="s">
        <v>1389</v>
      </c>
    </row>
    <row r="823" ht="14.25" customHeight="1">
      <c r="B823" s="976" t="s">
        <v>6872</v>
      </c>
      <c r="G823" s="977" t="s">
        <v>5810</v>
      </c>
      <c r="I823" s="979" t="s">
        <v>1389</v>
      </c>
    </row>
    <row r="824" ht="14.25" customHeight="1">
      <c r="B824" s="976" t="s">
        <v>6873</v>
      </c>
      <c r="G824" s="977" t="s">
        <v>5810</v>
      </c>
      <c r="I824" s="979" t="s">
        <v>1389</v>
      </c>
    </row>
    <row r="825" ht="14.25" customHeight="1">
      <c r="B825" s="976" t="s">
        <v>6874</v>
      </c>
      <c r="G825" s="977" t="s">
        <v>5810</v>
      </c>
      <c r="I825" s="979" t="s">
        <v>1389</v>
      </c>
    </row>
    <row r="826" ht="14.25" customHeight="1">
      <c r="B826" s="976" t="s">
        <v>6875</v>
      </c>
      <c r="G826" s="977" t="s">
        <v>5810</v>
      </c>
      <c r="I826" s="979" t="s">
        <v>1389</v>
      </c>
    </row>
    <row r="827" ht="14.25" customHeight="1">
      <c r="B827" s="976" t="s">
        <v>6876</v>
      </c>
      <c r="G827" s="977" t="s">
        <v>5810</v>
      </c>
      <c r="I827" s="979" t="s">
        <v>1389</v>
      </c>
    </row>
    <row r="828" ht="14.25" customHeight="1">
      <c r="B828" s="976" t="s">
        <v>6877</v>
      </c>
      <c r="G828" s="977" t="s">
        <v>5810</v>
      </c>
      <c r="I828" s="979" t="s">
        <v>1389</v>
      </c>
    </row>
    <row r="829" ht="14.25" customHeight="1">
      <c r="B829" s="976" t="s">
        <v>6878</v>
      </c>
      <c r="G829" s="977" t="s">
        <v>5810</v>
      </c>
      <c r="I829" s="979" t="s">
        <v>1389</v>
      </c>
    </row>
    <row r="830" ht="14.25" customHeight="1">
      <c r="B830" s="976" t="s">
        <v>6879</v>
      </c>
      <c r="G830" s="977" t="s">
        <v>5810</v>
      </c>
      <c r="I830" s="979" t="s">
        <v>1389</v>
      </c>
    </row>
    <row r="831" ht="14.25" customHeight="1">
      <c r="B831" s="976" t="s">
        <v>6880</v>
      </c>
      <c r="G831" s="977" t="s">
        <v>5810</v>
      </c>
      <c r="I831" s="979" t="s">
        <v>1389</v>
      </c>
    </row>
    <row r="832" ht="14.25" customHeight="1">
      <c r="B832" s="976" t="s">
        <v>6881</v>
      </c>
      <c r="G832" s="977" t="s">
        <v>5810</v>
      </c>
      <c r="I832" s="979" t="s">
        <v>1389</v>
      </c>
    </row>
    <row r="833" ht="14.25" customHeight="1">
      <c r="B833" s="976" t="s">
        <v>6882</v>
      </c>
      <c r="G833" s="977" t="s">
        <v>5810</v>
      </c>
      <c r="I833" s="979" t="s">
        <v>1389</v>
      </c>
    </row>
    <row r="834" ht="14.25" customHeight="1">
      <c r="B834" s="976" t="s">
        <v>6883</v>
      </c>
      <c r="G834" s="980" t="s">
        <v>5809</v>
      </c>
      <c r="I834" s="979" t="s">
        <v>1389</v>
      </c>
    </row>
    <row r="835" ht="14.25" customHeight="1">
      <c r="B835" s="976" t="s">
        <v>6884</v>
      </c>
      <c r="G835" s="980" t="s">
        <v>5809</v>
      </c>
      <c r="I835" s="979" t="s">
        <v>1389</v>
      </c>
    </row>
    <row r="836" ht="14.25" customHeight="1">
      <c r="B836" s="976" t="s">
        <v>6885</v>
      </c>
      <c r="G836" s="980" t="s">
        <v>5809</v>
      </c>
      <c r="I836" s="979" t="s">
        <v>1389</v>
      </c>
    </row>
    <row r="837" ht="14.25" customHeight="1">
      <c r="B837" s="976" t="s">
        <v>6886</v>
      </c>
      <c r="G837" s="980" t="s">
        <v>5809</v>
      </c>
      <c r="I837" s="979" t="s">
        <v>1389</v>
      </c>
    </row>
    <row r="838" ht="14.25" customHeight="1">
      <c r="B838" s="976" t="s">
        <v>6887</v>
      </c>
      <c r="G838" s="980" t="s">
        <v>5809</v>
      </c>
      <c r="I838" s="979" t="s">
        <v>1389</v>
      </c>
    </row>
    <row r="839" ht="14.25" customHeight="1">
      <c r="B839" s="976" t="s">
        <v>6888</v>
      </c>
      <c r="G839" s="980" t="s">
        <v>5809</v>
      </c>
      <c r="I839" s="979" t="s">
        <v>1389</v>
      </c>
    </row>
    <row r="840" ht="14.25" customHeight="1">
      <c r="B840" s="976" t="s">
        <v>6889</v>
      </c>
      <c r="G840" s="980" t="s">
        <v>5809</v>
      </c>
      <c r="I840" s="979" t="s">
        <v>1389</v>
      </c>
    </row>
    <row r="841" ht="14.25" customHeight="1">
      <c r="B841" s="976" t="s">
        <v>6890</v>
      </c>
      <c r="G841" s="980" t="s">
        <v>5809</v>
      </c>
      <c r="I841" s="979" t="s">
        <v>1389</v>
      </c>
    </row>
    <row r="842" ht="14.25" customHeight="1">
      <c r="B842" s="976" t="s">
        <v>6891</v>
      </c>
      <c r="G842" s="980" t="s">
        <v>5809</v>
      </c>
      <c r="I842" s="979" t="s">
        <v>1389</v>
      </c>
    </row>
    <row r="843" ht="14.25" customHeight="1">
      <c r="B843" s="976" t="s">
        <v>6892</v>
      </c>
      <c r="G843" s="980" t="s">
        <v>5809</v>
      </c>
      <c r="I843" s="979" t="s">
        <v>1389</v>
      </c>
    </row>
    <row r="844" ht="14.25" customHeight="1">
      <c r="B844" s="976" t="s">
        <v>6893</v>
      </c>
      <c r="G844" s="980" t="s">
        <v>5809</v>
      </c>
      <c r="I844" s="979" t="s">
        <v>1389</v>
      </c>
    </row>
    <row r="845" ht="14.25" customHeight="1">
      <c r="B845" s="976" t="s">
        <v>6894</v>
      </c>
      <c r="G845" s="980" t="s">
        <v>5809</v>
      </c>
      <c r="I845" s="979" t="s">
        <v>1389</v>
      </c>
    </row>
    <row r="846" ht="14.25" customHeight="1">
      <c r="B846" s="976" t="s">
        <v>6895</v>
      </c>
      <c r="G846" s="980" t="s">
        <v>5809</v>
      </c>
      <c r="I846" s="979" t="s">
        <v>1389</v>
      </c>
    </row>
    <row r="847" ht="14.25" customHeight="1">
      <c r="B847" s="976" t="s">
        <v>6896</v>
      </c>
      <c r="G847" s="980" t="s">
        <v>5809</v>
      </c>
      <c r="I847" s="979" t="s">
        <v>1389</v>
      </c>
    </row>
    <row r="848" ht="14.25" customHeight="1">
      <c r="B848" s="976" t="s">
        <v>6897</v>
      </c>
      <c r="G848" s="980" t="s">
        <v>5809</v>
      </c>
      <c r="I848" s="979" t="s">
        <v>1389</v>
      </c>
    </row>
    <row r="849" ht="14.25" customHeight="1">
      <c r="B849" s="976" t="s">
        <v>6898</v>
      </c>
      <c r="G849" s="980" t="s">
        <v>5809</v>
      </c>
      <c r="I849" s="979" t="s">
        <v>1389</v>
      </c>
    </row>
    <row r="850" ht="14.25" customHeight="1">
      <c r="B850" s="976" t="s">
        <v>6899</v>
      </c>
      <c r="G850" s="980" t="s">
        <v>5809</v>
      </c>
      <c r="I850" s="979" t="s">
        <v>1389</v>
      </c>
    </row>
    <row r="851" ht="14.25" customHeight="1">
      <c r="B851" s="976" t="s">
        <v>6900</v>
      </c>
      <c r="G851" s="980" t="s">
        <v>5809</v>
      </c>
      <c r="I851" s="979" t="s">
        <v>1389</v>
      </c>
    </row>
    <row r="852" ht="14.25" customHeight="1">
      <c r="B852" s="976" t="s">
        <v>6901</v>
      </c>
      <c r="G852" s="980" t="s">
        <v>5809</v>
      </c>
      <c r="I852" s="979" t="s">
        <v>1389</v>
      </c>
    </row>
    <row r="853" ht="14.25" customHeight="1">
      <c r="B853" s="976" t="s">
        <v>6902</v>
      </c>
      <c r="G853" s="980" t="s">
        <v>5809</v>
      </c>
      <c r="I853" s="979" t="s">
        <v>1389</v>
      </c>
    </row>
    <row r="854" ht="14.25" customHeight="1">
      <c r="B854" s="976" t="s">
        <v>6903</v>
      </c>
      <c r="G854" s="980" t="s">
        <v>5809</v>
      </c>
      <c r="I854" s="979" t="s">
        <v>1389</v>
      </c>
    </row>
    <row r="855" ht="14.25" customHeight="1">
      <c r="B855" s="976" t="s">
        <v>6904</v>
      </c>
      <c r="G855" s="980" t="s">
        <v>5809</v>
      </c>
      <c r="I855" s="979" t="s">
        <v>1389</v>
      </c>
    </row>
    <row r="856" ht="14.25" customHeight="1">
      <c r="B856" s="976" t="s">
        <v>6905</v>
      </c>
      <c r="G856" s="980" t="s">
        <v>5809</v>
      </c>
      <c r="I856" s="979" t="s">
        <v>1389</v>
      </c>
    </row>
    <row r="857" ht="14.25" customHeight="1">
      <c r="B857" s="976" t="s">
        <v>6906</v>
      </c>
      <c r="G857" s="980" t="s">
        <v>5809</v>
      </c>
      <c r="I857" s="979" t="s">
        <v>1389</v>
      </c>
    </row>
    <row r="858" ht="14.25" customHeight="1">
      <c r="B858" s="976" t="s">
        <v>6907</v>
      </c>
      <c r="G858" s="980" t="s">
        <v>5809</v>
      </c>
      <c r="I858" s="979" t="s">
        <v>1389</v>
      </c>
    </row>
    <row r="859" ht="14.25" customHeight="1">
      <c r="B859" s="976" t="s">
        <v>6908</v>
      </c>
      <c r="G859" s="980" t="s">
        <v>5809</v>
      </c>
      <c r="I859" s="979" t="s">
        <v>1389</v>
      </c>
    </row>
    <row r="860" ht="14.25" customHeight="1">
      <c r="B860" s="976" t="s">
        <v>6909</v>
      </c>
      <c r="G860" s="980" t="s">
        <v>5809</v>
      </c>
      <c r="I860" s="979" t="s">
        <v>1389</v>
      </c>
    </row>
    <row r="861" ht="14.25" customHeight="1">
      <c r="B861" s="976" t="s">
        <v>6910</v>
      </c>
      <c r="G861" s="980" t="s">
        <v>5809</v>
      </c>
      <c r="I861" s="979" t="s">
        <v>1389</v>
      </c>
    </row>
    <row r="862" ht="14.25" customHeight="1">
      <c r="B862" s="976" t="s">
        <v>6911</v>
      </c>
      <c r="G862" s="980" t="s">
        <v>5809</v>
      </c>
      <c r="I862" s="979" t="s">
        <v>1389</v>
      </c>
    </row>
    <row r="863" ht="14.25" customHeight="1">
      <c r="B863" s="976" t="s">
        <v>6912</v>
      </c>
      <c r="G863" s="980" t="s">
        <v>5809</v>
      </c>
      <c r="I863" s="979" t="s">
        <v>1389</v>
      </c>
    </row>
    <row r="864" ht="14.25" customHeight="1">
      <c r="B864" s="984" t="s">
        <v>6090</v>
      </c>
      <c r="G864" s="985"/>
      <c r="I864" s="985"/>
    </row>
    <row r="865" ht="14.25" customHeight="1">
      <c r="B865" s="982" t="s">
        <v>6091</v>
      </c>
      <c r="G865" s="983"/>
      <c r="I865" s="983"/>
    </row>
    <row r="866" ht="14.25" customHeight="1">
      <c r="B866" s="976" t="s">
        <v>6913</v>
      </c>
      <c r="G866" s="977" t="s">
        <v>5810</v>
      </c>
      <c r="I866" s="979" t="s">
        <v>858</v>
      </c>
    </row>
    <row r="867" ht="14.25" customHeight="1">
      <c r="B867" s="976" t="s">
        <v>6914</v>
      </c>
      <c r="G867" s="977" t="s">
        <v>5810</v>
      </c>
      <c r="I867" s="979" t="s">
        <v>858</v>
      </c>
    </row>
    <row r="868" ht="14.25" customHeight="1">
      <c r="B868" s="976" t="s">
        <v>6915</v>
      </c>
      <c r="G868" s="977" t="s">
        <v>5810</v>
      </c>
      <c r="I868" s="979" t="s">
        <v>858</v>
      </c>
    </row>
    <row r="869" ht="14.25" customHeight="1">
      <c r="B869" s="976" t="s">
        <v>6916</v>
      </c>
      <c r="G869" s="977" t="s">
        <v>5810</v>
      </c>
      <c r="I869" s="979" t="s">
        <v>858</v>
      </c>
    </row>
    <row r="870" ht="14.25" customHeight="1">
      <c r="B870" s="976" t="s">
        <v>6917</v>
      </c>
      <c r="G870" s="977" t="s">
        <v>5810</v>
      </c>
      <c r="I870" s="979" t="s">
        <v>858</v>
      </c>
    </row>
    <row r="871" ht="14.25" customHeight="1">
      <c r="B871" s="976" t="s">
        <v>6918</v>
      </c>
      <c r="G871" s="977" t="s">
        <v>5810</v>
      </c>
      <c r="I871" s="979" t="s">
        <v>858</v>
      </c>
    </row>
    <row r="872" ht="14.25" customHeight="1">
      <c r="B872" s="976" t="s">
        <v>6919</v>
      </c>
      <c r="G872" s="977" t="s">
        <v>5810</v>
      </c>
      <c r="I872" s="979" t="s">
        <v>858</v>
      </c>
    </row>
    <row r="873" ht="14.25" customHeight="1">
      <c r="B873" s="976" t="s">
        <v>6920</v>
      </c>
      <c r="G873" s="977" t="s">
        <v>5810</v>
      </c>
      <c r="I873" s="979" t="s">
        <v>858</v>
      </c>
    </row>
    <row r="874" ht="14.25" customHeight="1">
      <c r="B874" s="976" t="s">
        <v>6921</v>
      </c>
      <c r="G874" s="977" t="s">
        <v>5810</v>
      </c>
      <c r="I874" s="979" t="s">
        <v>858</v>
      </c>
    </row>
    <row r="875" ht="14.25" customHeight="1">
      <c r="B875" s="976" t="s">
        <v>6922</v>
      </c>
      <c r="G875" s="977" t="s">
        <v>5810</v>
      </c>
      <c r="I875" s="979" t="s">
        <v>858</v>
      </c>
    </row>
    <row r="876" ht="14.25" customHeight="1">
      <c r="B876" s="976" t="s">
        <v>6923</v>
      </c>
      <c r="G876" s="977" t="s">
        <v>5810</v>
      </c>
      <c r="I876" s="979" t="s">
        <v>858</v>
      </c>
    </row>
    <row r="877" ht="14.25" customHeight="1">
      <c r="B877" s="976" t="s">
        <v>6924</v>
      </c>
      <c r="G877" s="977" t="s">
        <v>5810</v>
      </c>
      <c r="I877" s="979" t="s">
        <v>858</v>
      </c>
    </row>
    <row r="878" ht="14.25" customHeight="1">
      <c r="B878" s="976" t="s">
        <v>6925</v>
      </c>
      <c r="G878" s="977" t="s">
        <v>5810</v>
      </c>
      <c r="I878" s="979" t="s">
        <v>858</v>
      </c>
    </row>
    <row r="879" ht="14.25" customHeight="1">
      <c r="B879" s="976" t="s">
        <v>6926</v>
      </c>
      <c r="G879" s="977" t="s">
        <v>5810</v>
      </c>
      <c r="I879" s="979" t="s">
        <v>858</v>
      </c>
    </row>
    <row r="880" ht="14.25" customHeight="1">
      <c r="B880" s="976" t="s">
        <v>6927</v>
      </c>
      <c r="G880" s="977" t="s">
        <v>5810</v>
      </c>
      <c r="I880" s="979" t="s">
        <v>858</v>
      </c>
    </row>
    <row r="881" ht="14.25" customHeight="1">
      <c r="B881" s="976" t="s">
        <v>6928</v>
      </c>
      <c r="G881" s="977" t="s">
        <v>5810</v>
      </c>
      <c r="I881" s="979" t="s">
        <v>858</v>
      </c>
    </row>
    <row r="882" ht="14.25" customHeight="1">
      <c r="B882" s="976" t="s">
        <v>6929</v>
      </c>
      <c r="G882" s="977" t="s">
        <v>5810</v>
      </c>
      <c r="I882" s="979" t="s">
        <v>858</v>
      </c>
    </row>
    <row r="883" ht="14.25" customHeight="1">
      <c r="B883" s="976" t="s">
        <v>6930</v>
      </c>
      <c r="G883" s="977" t="s">
        <v>5810</v>
      </c>
      <c r="I883" s="979" t="s">
        <v>858</v>
      </c>
    </row>
    <row r="884" ht="14.25" customHeight="1">
      <c r="B884" s="976" t="s">
        <v>6931</v>
      </c>
      <c r="G884" s="977" t="s">
        <v>5809</v>
      </c>
      <c r="I884" s="979" t="s">
        <v>858</v>
      </c>
    </row>
    <row r="885" ht="14.25" customHeight="1">
      <c r="B885" s="976" t="s">
        <v>6932</v>
      </c>
      <c r="G885" s="977" t="s">
        <v>5809</v>
      </c>
      <c r="I885" s="979" t="s">
        <v>858</v>
      </c>
    </row>
    <row r="886" ht="14.25" customHeight="1">
      <c r="B886" s="976" t="s">
        <v>6933</v>
      </c>
      <c r="G886" s="977" t="s">
        <v>5809</v>
      </c>
      <c r="I886" s="979" t="s">
        <v>858</v>
      </c>
    </row>
    <row r="887" ht="14.25" customHeight="1">
      <c r="B887" s="976" t="s">
        <v>6934</v>
      </c>
      <c r="G887" s="977" t="s">
        <v>5809</v>
      </c>
      <c r="I887" s="979" t="s">
        <v>858</v>
      </c>
    </row>
    <row r="888" ht="14.25" customHeight="1">
      <c r="B888" s="976" t="s">
        <v>6935</v>
      </c>
      <c r="G888" s="977" t="s">
        <v>5809</v>
      </c>
      <c r="I888" s="979" t="s">
        <v>858</v>
      </c>
    </row>
    <row r="889" ht="14.25" customHeight="1">
      <c r="B889" s="976" t="s">
        <v>6936</v>
      </c>
      <c r="G889" s="977" t="s">
        <v>5809</v>
      </c>
      <c r="I889" s="979" t="s">
        <v>858</v>
      </c>
    </row>
    <row r="890" ht="14.25" customHeight="1">
      <c r="B890" s="976" t="s">
        <v>6937</v>
      </c>
      <c r="G890" s="977" t="s">
        <v>5809</v>
      </c>
      <c r="I890" s="979" t="s">
        <v>858</v>
      </c>
    </row>
    <row r="891" ht="14.25" customHeight="1">
      <c r="B891" s="976" t="s">
        <v>6938</v>
      </c>
      <c r="G891" s="977" t="s">
        <v>5809</v>
      </c>
      <c r="I891" s="979" t="s">
        <v>858</v>
      </c>
    </row>
    <row r="892" ht="14.25" customHeight="1">
      <c r="B892" s="976" t="s">
        <v>6939</v>
      </c>
      <c r="G892" s="977" t="s">
        <v>5809</v>
      </c>
      <c r="I892" s="979" t="s">
        <v>858</v>
      </c>
    </row>
    <row r="893" ht="14.25" customHeight="1">
      <c r="B893" s="976" t="s">
        <v>6940</v>
      </c>
      <c r="G893" s="977" t="s">
        <v>5809</v>
      </c>
      <c r="I893" s="979" t="s">
        <v>858</v>
      </c>
    </row>
    <row r="894" ht="14.25" customHeight="1">
      <c r="B894" s="976" t="s">
        <v>6941</v>
      </c>
      <c r="G894" s="977" t="s">
        <v>5809</v>
      </c>
      <c r="I894" s="979" t="s">
        <v>858</v>
      </c>
    </row>
    <row r="895" ht="14.25" customHeight="1">
      <c r="B895" s="976" t="s">
        <v>6942</v>
      </c>
      <c r="G895" s="977" t="s">
        <v>5809</v>
      </c>
      <c r="I895" s="979" t="s">
        <v>858</v>
      </c>
    </row>
    <row r="896" ht="14.25" customHeight="1">
      <c r="B896" s="976" t="s">
        <v>6943</v>
      </c>
      <c r="G896" s="977" t="s">
        <v>5809</v>
      </c>
      <c r="I896" s="979" t="s">
        <v>858</v>
      </c>
    </row>
    <row r="897" ht="14.25" customHeight="1">
      <c r="B897" s="976" t="s">
        <v>6944</v>
      </c>
      <c r="G897" s="977" t="s">
        <v>5809</v>
      </c>
      <c r="I897" s="979" t="s">
        <v>858</v>
      </c>
    </row>
    <row r="898" ht="14.25" customHeight="1">
      <c r="B898" s="976" t="s">
        <v>6945</v>
      </c>
      <c r="G898" s="977" t="s">
        <v>5809</v>
      </c>
      <c r="I898" s="979" t="s">
        <v>858</v>
      </c>
    </row>
    <row r="899" ht="14.25" customHeight="1">
      <c r="B899" s="976" t="s">
        <v>6946</v>
      </c>
      <c r="G899" s="977" t="s">
        <v>5809</v>
      </c>
      <c r="I899" s="979" t="s">
        <v>858</v>
      </c>
    </row>
    <row r="900" ht="14.25" customHeight="1">
      <c r="B900" s="976" t="s">
        <v>6947</v>
      </c>
      <c r="G900" s="977" t="s">
        <v>5809</v>
      </c>
      <c r="I900" s="979" t="s">
        <v>858</v>
      </c>
    </row>
    <row r="901" ht="14.25" customHeight="1">
      <c r="B901" s="982" t="s">
        <v>6128</v>
      </c>
      <c r="G901" s="983"/>
      <c r="I901" s="983"/>
    </row>
    <row r="902" ht="14.25" customHeight="1">
      <c r="B902" s="976" t="s">
        <v>6948</v>
      </c>
      <c r="G902" s="977" t="s">
        <v>5810</v>
      </c>
      <c r="I902" s="979" t="s">
        <v>1010</v>
      </c>
    </row>
    <row r="903" ht="14.25" customHeight="1">
      <c r="B903" s="976" t="s">
        <v>6949</v>
      </c>
      <c r="G903" s="977" t="s">
        <v>5810</v>
      </c>
      <c r="I903" s="979" t="s">
        <v>1010</v>
      </c>
    </row>
    <row r="904" ht="14.25" customHeight="1">
      <c r="B904" s="976" t="s">
        <v>6950</v>
      </c>
      <c r="G904" s="977" t="s">
        <v>5810</v>
      </c>
      <c r="I904" s="979" t="s">
        <v>1010</v>
      </c>
    </row>
    <row r="905" ht="14.25" customHeight="1">
      <c r="B905" s="976" t="s">
        <v>6951</v>
      </c>
      <c r="G905" s="977" t="s">
        <v>5810</v>
      </c>
      <c r="I905" s="979" t="s">
        <v>1010</v>
      </c>
    </row>
    <row r="906" ht="14.25" customHeight="1">
      <c r="B906" s="976" t="s">
        <v>6952</v>
      </c>
      <c r="G906" s="977" t="s">
        <v>5810</v>
      </c>
      <c r="I906" s="979" t="s">
        <v>1010</v>
      </c>
    </row>
    <row r="907" ht="14.25" customHeight="1">
      <c r="B907" s="976" t="s">
        <v>6953</v>
      </c>
      <c r="G907" s="977" t="s">
        <v>5810</v>
      </c>
      <c r="I907" s="979" t="s">
        <v>1010</v>
      </c>
    </row>
    <row r="908" ht="14.25" customHeight="1">
      <c r="B908" s="976" t="s">
        <v>6954</v>
      </c>
      <c r="G908" s="977" t="s">
        <v>5810</v>
      </c>
      <c r="I908" s="979" t="s">
        <v>1010</v>
      </c>
    </row>
    <row r="909" ht="14.25" customHeight="1">
      <c r="B909" s="976" t="s">
        <v>6955</v>
      </c>
      <c r="G909" s="977" t="s">
        <v>5810</v>
      </c>
      <c r="I909" s="979" t="s">
        <v>1010</v>
      </c>
    </row>
    <row r="910" ht="14.25" customHeight="1">
      <c r="B910" s="976" t="s">
        <v>6956</v>
      </c>
      <c r="G910" s="977" t="s">
        <v>5810</v>
      </c>
      <c r="I910" s="979" t="s">
        <v>1010</v>
      </c>
    </row>
    <row r="911" ht="14.25" customHeight="1">
      <c r="B911" s="976" t="s">
        <v>6957</v>
      </c>
      <c r="G911" s="977" t="s">
        <v>5810</v>
      </c>
      <c r="I911" s="979" t="s">
        <v>1010</v>
      </c>
    </row>
    <row r="912" ht="14.25" customHeight="1">
      <c r="B912" s="976" t="s">
        <v>6958</v>
      </c>
      <c r="G912" s="977" t="s">
        <v>5810</v>
      </c>
      <c r="I912" s="979" t="s">
        <v>1010</v>
      </c>
    </row>
    <row r="913" ht="14.25" customHeight="1">
      <c r="B913" s="976" t="s">
        <v>6959</v>
      </c>
      <c r="G913" s="977" t="s">
        <v>5809</v>
      </c>
      <c r="I913" s="979" t="s">
        <v>1010</v>
      </c>
    </row>
    <row r="914" ht="14.25" customHeight="1">
      <c r="B914" s="976" t="s">
        <v>6960</v>
      </c>
      <c r="G914" s="977" t="s">
        <v>5809</v>
      </c>
      <c r="I914" s="979" t="s">
        <v>1010</v>
      </c>
    </row>
    <row r="915" ht="14.25" customHeight="1">
      <c r="B915" s="976" t="s">
        <v>6961</v>
      </c>
      <c r="G915" s="977" t="s">
        <v>5809</v>
      </c>
      <c r="I915" s="979" t="s">
        <v>1010</v>
      </c>
    </row>
    <row r="916" ht="14.25" customHeight="1">
      <c r="B916" s="976" t="s">
        <v>6962</v>
      </c>
      <c r="G916" s="977" t="s">
        <v>5809</v>
      </c>
      <c r="I916" s="979" t="s">
        <v>1010</v>
      </c>
    </row>
    <row r="917" ht="14.25" customHeight="1">
      <c r="B917" s="976" t="s">
        <v>6963</v>
      </c>
      <c r="G917" s="977" t="s">
        <v>5809</v>
      </c>
      <c r="I917" s="979" t="s">
        <v>1010</v>
      </c>
    </row>
    <row r="918" ht="14.25" customHeight="1">
      <c r="B918" s="976" t="s">
        <v>6964</v>
      </c>
      <c r="G918" s="977" t="s">
        <v>5809</v>
      </c>
      <c r="I918" s="979" t="s">
        <v>1010</v>
      </c>
    </row>
    <row r="919" ht="14.25" customHeight="1">
      <c r="B919" s="976" t="s">
        <v>6965</v>
      </c>
      <c r="G919" s="977" t="s">
        <v>5809</v>
      </c>
      <c r="I919" s="979" t="s">
        <v>1010</v>
      </c>
    </row>
    <row r="920" ht="14.25" customHeight="1">
      <c r="B920" s="976" t="s">
        <v>6966</v>
      </c>
      <c r="G920" s="977" t="s">
        <v>5809</v>
      </c>
      <c r="I920" s="979" t="s">
        <v>1010</v>
      </c>
    </row>
    <row r="921" ht="14.25" customHeight="1">
      <c r="B921" s="976" t="s">
        <v>6967</v>
      </c>
      <c r="G921" s="977" t="s">
        <v>5809</v>
      </c>
      <c r="I921" s="979" t="s">
        <v>1010</v>
      </c>
    </row>
    <row r="922" ht="14.25" customHeight="1">
      <c r="B922" s="976" t="s">
        <v>6968</v>
      </c>
      <c r="G922" s="977" t="s">
        <v>5809</v>
      </c>
      <c r="I922" s="979" t="s">
        <v>1010</v>
      </c>
    </row>
    <row r="923" ht="14.25" customHeight="1">
      <c r="B923" s="976" t="s">
        <v>6969</v>
      </c>
      <c r="G923" s="977" t="s">
        <v>5809</v>
      </c>
      <c r="I923" s="979" t="s">
        <v>1010</v>
      </c>
    </row>
    <row r="924" ht="14.25" customHeight="1">
      <c r="B924" s="976" t="s">
        <v>6970</v>
      </c>
      <c r="G924" s="977" t="s">
        <v>5809</v>
      </c>
      <c r="I924" s="979" t="s">
        <v>1010</v>
      </c>
    </row>
    <row r="925" ht="14.25" customHeight="1">
      <c r="B925" s="982" t="s">
        <v>6153</v>
      </c>
      <c r="G925" s="983"/>
      <c r="I925" s="983"/>
    </row>
    <row r="926" ht="14.25" customHeight="1">
      <c r="B926" s="976" t="s">
        <v>6971</v>
      </c>
      <c r="G926" s="977" t="s">
        <v>5810</v>
      </c>
      <c r="I926" s="979" t="s">
        <v>1120</v>
      </c>
    </row>
    <row r="927" ht="14.25" customHeight="1">
      <c r="B927" s="976" t="s">
        <v>6972</v>
      </c>
      <c r="G927" s="977" t="s">
        <v>5810</v>
      </c>
      <c r="I927" s="979" t="s">
        <v>1120</v>
      </c>
    </row>
    <row r="928" ht="14.25" customHeight="1">
      <c r="B928" s="976" t="s">
        <v>6973</v>
      </c>
      <c r="G928" s="977" t="s">
        <v>5810</v>
      </c>
      <c r="I928" s="979" t="s">
        <v>1120</v>
      </c>
    </row>
    <row r="929" ht="14.25" customHeight="1">
      <c r="B929" s="976" t="s">
        <v>6974</v>
      </c>
      <c r="G929" s="977" t="s">
        <v>5810</v>
      </c>
      <c r="I929" s="979" t="s">
        <v>1120</v>
      </c>
    </row>
    <row r="930" ht="14.25" customHeight="1">
      <c r="B930" s="976" t="s">
        <v>6975</v>
      </c>
      <c r="G930" s="977" t="s">
        <v>5810</v>
      </c>
      <c r="I930" s="979" t="s">
        <v>1120</v>
      </c>
    </row>
    <row r="931" ht="14.25" customHeight="1">
      <c r="B931" s="976" t="s">
        <v>6976</v>
      </c>
      <c r="G931" s="977" t="s">
        <v>5810</v>
      </c>
      <c r="I931" s="979" t="s">
        <v>1120</v>
      </c>
    </row>
    <row r="932" ht="14.25" customHeight="1">
      <c r="B932" s="976" t="s">
        <v>6977</v>
      </c>
      <c r="G932" s="977" t="s">
        <v>5810</v>
      </c>
      <c r="I932" s="979" t="s">
        <v>1120</v>
      </c>
    </row>
    <row r="933" ht="14.25" customHeight="1">
      <c r="B933" s="976" t="s">
        <v>6978</v>
      </c>
      <c r="G933" s="977" t="s">
        <v>5810</v>
      </c>
      <c r="I933" s="979" t="s">
        <v>1120</v>
      </c>
    </row>
    <row r="934" ht="14.25" customHeight="1">
      <c r="B934" s="976" t="s">
        <v>6979</v>
      </c>
      <c r="G934" s="977" t="s">
        <v>5810</v>
      </c>
      <c r="I934" s="979" t="s">
        <v>1120</v>
      </c>
    </row>
    <row r="935" ht="14.25" customHeight="1">
      <c r="B935" s="976" t="s">
        <v>6980</v>
      </c>
      <c r="G935" s="977" t="s">
        <v>5810</v>
      </c>
      <c r="I935" s="979" t="s">
        <v>1120</v>
      </c>
    </row>
    <row r="936" ht="14.25" customHeight="1">
      <c r="B936" s="976" t="s">
        <v>6981</v>
      </c>
      <c r="G936" s="977" t="s">
        <v>5810</v>
      </c>
      <c r="I936" s="979" t="s">
        <v>1120</v>
      </c>
    </row>
    <row r="937" ht="14.25" customHeight="1">
      <c r="B937" s="976" t="s">
        <v>6982</v>
      </c>
      <c r="G937" s="977" t="s">
        <v>5810</v>
      </c>
      <c r="I937" s="979" t="s">
        <v>1120</v>
      </c>
    </row>
    <row r="938" ht="14.25" customHeight="1">
      <c r="B938" s="976" t="s">
        <v>6983</v>
      </c>
      <c r="G938" s="977" t="s">
        <v>5810</v>
      </c>
      <c r="I938" s="979" t="s">
        <v>1120</v>
      </c>
    </row>
    <row r="939" ht="14.25" customHeight="1">
      <c r="B939" s="976" t="s">
        <v>6984</v>
      </c>
      <c r="G939" s="977" t="s">
        <v>5810</v>
      </c>
      <c r="I939" s="979" t="s">
        <v>1120</v>
      </c>
    </row>
    <row r="940" ht="14.25" customHeight="1">
      <c r="B940" s="976" t="s">
        <v>6985</v>
      </c>
      <c r="G940" s="977" t="s">
        <v>5810</v>
      </c>
      <c r="I940" s="979" t="s">
        <v>1120</v>
      </c>
    </row>
    <row r="941" ht="14.25" customHeight="1">
      <c r="B941" s="976" t="s">
        <v>6986</v>
      </c>
      <c r="G941" s="977" t="s">
        <v>5810</v>
      </c>
      <c r="I941" s="979" t="s">
        <v>1120</v>
      </c>
    </row>
    <row r="942" ht="14.25" customHeight="1">
      <c r="B942" s="976" t="s">
        <v>6987</v>
      </c>
      <c r="G942" s="977" t="s">
        <v>5810</v>
      </c>
      <c r="I942" s="979" t="s">
        <v>1120</v>
      </c>
    </row>
    <row r="943" ht="14.25" customHeight="1">
      <c r="B943" s="976" t="s">
        <v>6988</v>
      </c>
      <c r="G943" s="977" t="s">
        <v>5810</v>
      </c>
      <c r="I943" s="979" t="s">
        <v>1120</v>
      </c>
    </row>
    <row r="944" ht="14.25" customHeight="1">
      <c r="B944" s="976" t="s">
        <v>6989</v>
      </c>
      <c r="G944" s="977" t="s">
        <v>5810</v>
      </c>
      <c r="I944" s="979" t="s">
        <v>1120</v>
      </c>
    </row>
    <row r="945" ht="14.25" customHeight="1">
      <c r="B945" s="976" t="s">
        <v>6990</v>
      </c>
      <c r="G945" s="977" t="s">
        <v>5810</v>
      </c>
      <c r="I945" s="979" t="s">
        <v>1120</v>
      </c>
    </row>
    <row r="946" ht="14.25" customHeight="1">
      <c r="B946" s="976" t="s">
        <v>6991</v>
      </c>
      <c r="G946" s="977" t="s">
        <v>5810</v>
      </c>
      <c r="I946" s="979" t="s">
        <v>1120</v>
      </c>
    </row>
    <row r="947" ht="14.25" customHeight="1">
      <c r="B947" s="976" t="s">
        <v>6992</v>
      </c>
      <c r="G947" s="977" t="s">
        <v>5810</v>
      </c>
      <c r="I947" s="979" t="s">
        <v>1120</v>
      </c>
    </row>
    <row r="948" ht="14.25" customHeight="1">
      <c r="B948" s="976" t="s">
        <v>6993</v>
      </c>
      <c r="G948" s="977" t="s">
        <v>5810</v>
      </c>
      <c r="I948" s="979" t="s">
        <v>1120</v>
      </c>
    </row>
    <row r="949" ht="14.25" customHeight="1">
      <c r="B949" s="976" t="s">
        <v>6994</v>
      </c>
      <c r="G949" s="977" t="s">
        <v>5809</v>
      </c>
      <c r="I949" s="979" t="s">
        <v>1120</v>
      </c>
    </row>
    <row r="950" ht="14.25" customHeight="1">
      <c r="B950" s="976" t="s">
        <v>6995</v>
      </c>
      <c r="G950" s="977" t="s">
        <v>5809</v>
      </c>
      <c r="I950" s="979" t="s">
        <v>1120</v>
      </c>
    </row>
    <row r="951" ht="14.25" customHeight="1">
      <c r="B951" s="976" t="s">
        <v>6996</v>
      </c>
      <c r="G951" s="977" t="s">
        <v>5809</v>
      </c>
      <c r="I951" s="979" t="s">
        <v>1120</v>
      </c>
    </row>
    <row r="952" ht="14.25" customHeight="1">
      <c r="B952" s="976" t="s">
        <v>6997</v>
      </c>
      <c r="G952" s="977" t="s">
        <v>5809</v>
      </c>
      <c r="I952" s="979" t="s">
        <v>1120</v>
      </c>
    </row>
    <row r="953" ht="14.25" customHeight="1">
      <c r="B953" s="976" t="s">
        <v>6998</v>
      </c>
      <c r="G953" s="977" t="s">
        <v>5809</v>
      </c>
      <c r="I953" s="979" t="s">
        <v>1120</v>
      </c>
    </row>
    <row r="954" ht="14.25" customHeight="1">
      <c r="B954" s="976" t="s">
        <v>6999</v>
      </c>
      <c r="G954" s="977" t="s">
        <v>5809</v>
      </c>
      <c r="I954" s="979" t="s">
        <v>1120</v>
      </c>
    </row>
    <row r="955" ht="14.25" customHeight="1">
      <c r="B955" s="976" t="s">
        <v>7000</v>
      </c>
      <c r="G955" s="977" t="s">
        <v>5809</v>
      </c>
      <c r="I955" s="979" t="s">
        <v>1120</v>
      </c>
    </row>
    <row r="956" ht="14.25" customHeight="1">
      <c r="B956" s="976" t="s">
        <v>7001</v>
      </c>
      <c r="G956" s="977" t="s">
        <v>5809</v>
      </c>
      <c r="I956" s="979" t="s">
        <v>1120</v>
      </c>
    </row>
    <row r="957" ht="14.25" customHeight="1">
      <c r="B957" s="976" t="s">
        <v>7002</v>
      </c>
      <c r="G957" s="977" t="s">
        <v>5809</v>
      </c>
      <c r="I957" s="979" t="s">
        <v>1120</v>
      </c>
    </row>
    <row r="958" ht="14.25" customHeight="1">
      <c r="B958" s="976" t="s">
        <v>7003</v>
      </c>
      <c r="G958" s="977" t="s">
        <v>5809</v>
      </c>
      <c r="I958" s="979" t="s">
        <v>1120</v>
      </c>
    </row>
    <row r="959" ht="14.25" customHeight="1">
      <c r="B959" s="976" t="s">
        <v>7004</v>
      </c>
      <c r="G959" s="977" t="s">
        <v>5809</v>
      </c>
      <c r="I959" s="979" t="s">
        <v>1120</v>
      </c>
    </row>
    <row r="960" ht="14.25" customHeight="1">
      <c r="B960" s="976" t="s">
        <v>7005</v>
      </c>
      <c r="G960" s="977" t="s">
        <v>5809</v>
      </c>
      <c r="I960" s="979" t="s">
        <v>1120</v>
      </c>
    </row>
    <row r="961" ht="14.25" customHeight="1">
      <c r="B961" s="976" t="s">
        <v>7006</v>
      </c>
      <c r="G961" s="977" t="s">
        <v>5809</v>
      </c>
      <c r="I961" s="979" t="s">
        <v>1120</v>
      </c>
    </row>
    <row r="962" ht="14.25" customHeight="1">
      <c r="B962" s="976" t="s">
        <v>7007</v>
      </c>
      <c r="G962" s="977" t="s">
        <v>5809</v>
      </c>
      <c r="I962" s="979" t="s">
        <v>1120</v>
      </c>
    </row>
    <row r="963" ht="14.25" customHeight="1">
      <c r="B963" s="976" t="s">
        <v>7008</v>
      </c>
      <c r="G963" s="977" t="s">
        <v>5809</v>
      </c>
      <c r="I963" s="979" t="s">
        <v>1120</v>
      </c>
    </row>
    <row r="964" ht="14.25" customHeight="1">
      <c r="B964" s="976" t="s">
        <v>7009</v>
      </c>
      <c r="G964" s="977" t="s">
        <v>5809</v>
      </c>
      <c r="I964" s="979" t="s">
        <v>1120</v>
      </c>
    </row>
    <row r="965" ht="14.25" customHeight="1">
      <c r="B965" s="976" t="s">
        <v>7010</v>
      </c>
      <c r="G965" s="977" t="s">
        <v>5809</v>
      </c>
      <c r="I965" s="979" t="s">
        <v>1120</v>
      </c>
    </row>
    <row r="966" ht="14.25" customHeight="1">
      <c r="B966" s="976" t="s">
        <v>7011</v>
      </c>
      <c r="G966" s="977" t="s">
        <v>5809</v>
      </c>
      <c r="I966" s="979" t="s">
        <v>1120</v>
      </c>
    </row>
    <row r="967" ht="14.25" customHeight="1">
      <c r="B967" s="976" t="s">
        <v>7012</v>
      </c>
      <c r="G967" s="977" t="s">
        <v>5809</v>
      </c>
      <c r="I967" s="979" t="s">
        <v>1120</v>
      </c>
    </row>
    <row r="968" ht="14.25" customHeight="1">
      <c r="B968" s="976" t="s">
        <v>7013</v>
      </c>
      <c r="G968" s="977" t="s">
        <v>5809</v>
      </c>
      <c r="I968" s="979" t="s">
        <v>1120</v>
      </c>
    </row>
    <row r="969" ht="14.25" customHeight="1">
      <c r="B969" s="976" t="s">
        <v>7014</v>
      </c>
      <c r="G969" s="977" t="s">
        <v>5809</v>
      </c>
      <c r="I969" s="979" t="s">
        <v>1120</v>
      </c>
    </row>
    <row r="970" ht="14.25" customHeight="1">
      <c r="B970" s="976" t="s">
        <v>7015</v>
      </c>
      <c r="G970" s="977" t="s">
        <v>5809</v>
      </c>
      <c r="I970" s="979" t="s">
        <v>1120</v>
      </c>
    </row>
    <row r="971" ht="14.25" customHeight="1">
      <c r="B971" s="976" t="s">
        <v>7016</v>
      </c>
      <c r="G971" s="977" t="s">
        <v>5809</v>
      </c>
      <c r="I971" s="979" t="s">
        <v>1120</v>
      </c>
    </row>
    <row r="972" ht="14.25" customHeight="1">
      <c r="B972" s="976" t="s">
        <v>7017</v>
      </c>
      <c r="G972" s="977" t="s">
        <v>5809</v>
      </c>
      <c r="I972" s="979" t="s">
        <v>1120</v>
      </c>
    </row>
    <row r="973" ht="14.25" customHeight="1">
      <c r="B973" s="976" t="s">
        <v>7018</v>
      </c>
      <c r="G973" s="977" t="s">
        <v>5809</v>
      </c>
      <c r="I973" s="979" t="s">
        <v>1120</v>
      </c>
    </row>
    <row r="974" ht="14.25" customHeight="1">
      <c r="B974" s="982" t="s">
        <v>7019</v>
      </c>
      <c r="G974" s="983"/>
      <c r="I974" s="983"/>
    </row>
    <row r="975" ht="14.25" customHeight="1">
      <c r="B975" s="976" t="s">
        <v>7020</v>
      </c>
      <c r="G975" s="977" t="s">
        <v>5810</v>
      </c>
      <c r="I975" s="901" t="s">
        <v>49</v>
      </c>
    </row>
    <row r="976" ht="14.25" customHeight="1">
      <c r="B976" s="976" t="s">
        <v>7021</v>
      </c>
      <c r="G976" s="977" t="s">
        <v>5810</v>
      </c>
      <c r="I976" s="901" t="s">
        <v>49</v>
      </c>
    </row>
    <row r="977" ht="14.25" customHeight="1">
      <c r="B977" s="976" t="s">
        <v>7022</v>
      </c>
      <c r="G977" s="977" t="s">
        <v>5810</v>
      </c>
      <c r="I977" s="901" t="s">
        <v>49</v>
      </c>
    </row>
    <row r="978" ht="14.25" customHeight="1">
      <c r="B978" s="976" t="s">
        <v>7023</v>
      </c>
      <c r="G978" s="977" t="s">
        <v>5810</v>
      </c>
      <c r="I978" s="901" t="s">
        <v>49</v>
      </c>
    </row>
    <row r="979" ht="14.25" customHeight="1">
      <c r="B979" s="976" t="s">
        <v>7024</v>
      </c>
      <c r="G979" s="977" t="s">
        <v>5810</v>
      </c>
      <c r="I979" s="901" t="s">
        <v>49</v>
      </c>
    </row>
    <row r="980" ht="14.25" customHeight="1">
      <c r="B980" s="976" t="s">
        <v>7025</v>
      </c>
      <c r="G980" s="977" t="s">
        <v>5810</v>
      </c>
      <c r="I980" s="901" t="s">
        <v>49</v>
      </c>
    </row>
    <row r="981" ht="14.25" customHeight="1">
      <c r="B981" s="976" t="s">
        <v>7026</v>
      </c>
      <c r="G981" s="977" t="s">
        <v>5810</v>
      </c>
      <c r="I981" s="901" t="s">
        <v>49</v>
      </c>
    </row>
    <row r="982" ht="14.25" customHeight="1">
      <c r="B982" s="976" t="s">
        <v>7027</v>
      </c>
      <c r="G982" s="977" t="s">
        <v>5810</v>
      </c>
      <c r="I982" s="901" t="s">
        <v>49</v>
      </c>
    </row>
    <row r="983" ht="14.25" customHeight="1">
      <c r="B983" s="976" t="s">
        <v>7028</v>
      </c>
      <c r="G983" s="977" t="s">
        <v>5810</v>
      </c>
      <c r="I983" s="901" t="s">
        <v>49</v>
      </c>
    </row>
    <row r="984" ht="14.25" customHeight="1">
      <c r="B984" s="976" t="s">
        <v>7029</v>
      </c>
      <c r="G984" s="977" t="s">
        <v>5809</v>
      </c>
      <c r="I984" s="901" t="s">
        <v>49</v>
      </c>
    </row>
    <row r="985" ht="14.25" customHeight="1">
      <c r="B985" s="976" t="s">
        <v>7030</v>
      </c>
      <c r="G985" s="977" t="s">
        <v>5809</v>
      </c>
      <c r="I985" s="901" t="s">
        <v>49</v>
      </c>
    </row>
    <row r="986" ht="14.25" customHeight="1">
      <c r="B986" s="990"/>
      <c r="G986" s="991"/>
      <c r="I986" s="990"/>
    </row>
    <row r="987" ht="14.25" customHeight="1">
      <c r="B987" s="982" t="s">
        <v>7031</v>
      </c>
      <c r="G987" s="983"/>
      <c r="I987" s="983"/>
    </row>
    <row r="988" ht="14.25" customHeight="1">
      <c r="B988" s="976" t="s">
        <v>7032</v>
      </c>
      <c r="G988" s="977" t="s">
        <v>5810</v>
      </c>
      <c r="I988" s="901" t="s">
        <v>49</v>
      </c>
    </row>
    <row r="989" ht="14.25" customHeight="1">
      <c r="B989" s="976" t="s">
        <v>7033</v>
      </c>
      <c r="G989" s="977" t="s">
        <v>5810</v>
      </c>
      <c r="I989" s="901" t="s">
        <v>49</v>
      </c>
    </row>
    <row r="990" ht="14.25" customHeight="1">
      <c r="B990" s="976" t="s">
        <v>7034</v>
      </c>
      <c r="G990" s="977" t="s">
        <v>5810</v>
      </c>
      <c r="I990" s="901" t="s">
        <v>49</v>
      </c>
    </row>
    <row r="991" ht="14.25" customHeight="1">
      <c r="B991" s="976" t="s">
        <v>7035</v>
      </c>
      <c r="G991" s="977" t="s">
        <v>5810</v>
      </c>
      <c r="I991" s="901" t="s">
        <v>49</v>
      </c>
    </row>
    <row r="992" ht="14.25" customHeight="1">
      <c r="B992" s="976" t="s">
        <v>7036</v>
      </c>
      <c r="G992" s="977" t="s">
        <v>5810</v>
      </c>
      <c r="I992" s="901" t="s">
        <v>49</v>
      </c>
    </row>
    <row r="993" ht="14.25" customHeight="1">
      <c r="B993" s="976" t="s">
        <v>7037</v>
      </c>
      <c r="G993" s="977" t="s">
        <v>5810</v>
      </c>
      <c r="I993" s="901" t="s">
        <v>49</v>
      </c>
    </row>
    <row r="994" ht="14.25" customHeight="1">
      <c r="B994" s="990"/>
      <c r="G994" s="991"/>
      <c r="I994" s="990"/>
    </row>
    <row r="995" ht="14.25" customHeight="1">
      <c r="B995" s="984" t="s">
        <v>7038</v>
      </c>
      <c r="G995" s="985"/>
      <c r="I995" s="985"/>
    </row>
    <row r="996" ht="14.25" customHeight="1">
      <c r="B996" s="982" t="s">
        <v>7039</v>
      </c>
      <c r="G996" s="983"/>
      <c r="I996" s="983"/>
    </row>
    <row r="997" ht="14.25" customHeight="1">
      <c r="B997" s="976" t="s">
        <v>7040</v>
      </c>
      <c r="G997" s="977" t="s">
        <v>5809</v>
      </c>
      <c r="I997" s="979" t="s">
        <v>68</v>
      </c>
    </row>
    <row r="998" ht="14.25" customHeight="1">
      <c r="B998" s="976" t="s">
        <v>7041</v>
      </c>
      <c r="G998" s="977" t="s">
        <v>5809</v>
      </c>
      <c r="I998" s="979" t="s">
        <v>68</v>
      </c>
    </row>
    <row r="999" ht="14.25" customHeight="1">
      <c r="B999" s="976" t="s">
        <v>7042</v>
      </c>
      <c r="G999" s="977" t="s">
        <v>5809</v>
      </c>
      <c r="I999" s="979" t="s">
        <v>68</v>
      </c>
    </row>
    <row r="1000" ht="14.25" customHeight="1">
      <c r="B1000" s="976" t="s">
        <v>7043</v>
      </c>
      <c r="G1000" s="977" t="s">
        <v>5809</v>
      </c>
      <c r="I1000" s="979" t="s">
        <v>68</v>
      </c>
    </row>
    <row r="1001" ht="14.25" customHeight="1">
      <c r="B1001" s="991"/>
      <c r="G1001" s="991"/>
      <c r="I1001" s="991"/>
    </row>
    <row r="1002" ht="14.25" customHeight="1">
      <c r="B1002" s="983"/>
      <c r="G1002" s="983"/>
      <c r="I1002" s="983"/>
    </row>
    <row r="1003" ht="14.25" customHeight="1">
      <c r="B1003" s="982" t="s">
        <v>7044</v>
      </c>
      <c r="G1003" s="983"/>
      <c r="I1003" s="983"/>
    </row>
    <row r="1004" ht="14.25" customHeight="1">
      <c r="B1004" s="976" t="s">
        <v>7045</v>
      </c>
      <c r="G1004" s="977" t="s">
        <v>5810</v>
      </c>
      <c r="I1004" s="979" t="s">
        <v>7044</v>
      </c>
    </row>
    <row r="1005" ht="14.25" customHeight="1">
      <c r="B1005" s="976" t="s">
        <v>7046</v>
      </c>
      <c r="G1005" s="977" t="s">
        <v>5810</v>
      </c>
      <c r="I1005" s="979" t="s">
        <v>7044</v>
      </c>
    </row>
    <row r="1006" ht="14.25" customHeight="1">
      <c r="B1006" s="976" t="s">
        <v>7047</v>
      </c>
      <c r="G1006" s="977" t="s">
        <v>5810</v>
      </c>
      <c r="I1006" s="979" t="s">
        <v>7044</v>
      </c>
    </row>
    <row r="1007" ht="14.25" customHeight="1">
      <c r="B1007" s="976" t="s">
        <v>7048</v>
      </c>
      <c r="G1007" s="977" t="s">
        <v>5810</v>
      </c>
      <c r="I1007" s="979" t="s">
        <v>7044</v>
      </c>
    </row>
    <row r="1008" ht="14.25" customHeight="1">
      <c r="B1008" s="992" t="s">
        <v>7049</v>
      </c>
      <c r="G1008" s="993"/>
      <c r="I1008" s="993"/>
    </row>
    <row r="1009" ht="14.25" customHeight="1">
      <c r="B1009" s="994" t="s">
        <v>7050</v>
      </c>
      <c r="G1009" s="995"/>
      <c r="I1009" s="995"/>
    </row>
    <row r="1010" ht="14.25" customHeight="1">
      <c r="B1010" s="996" t="s">
        <v>7051</v>
      </c>
      <c r="G1010" s="997" t="s">
        <v>5812</v>
      </c>
      <c r="I1010" s="998" t="s">
        <v>46</v>
      </c>
    </row>
    <row r="1011" ht="14.25" customHeight="1">
      <c r="B1011" s="994" t="s">
        <v>7052</v>
      </c>
      <c r="G1011" s="995"/>
      <c r="I1011" s="995"/>
    </row>
    <row r="1012" ht="14.25" customHeight="1">
      <c r="B1012" s="994" t="s">
        <v>7053</v>
      </c>
      <c r="G1012" s="995"/>
      <c r="I1012" s="995"/>
    </row>
    <row r="1013" ht="14.25" customHeight="1">
      <c r="B1013" s="994" t="s">
        <v>49</v>
      </c>
      <c r="G1013" s="995"/>
      <c r="I1013" s="995"/>
    </row>
    <row r="1014" ht="14.25" customHeight="1">
      <c r="B1014" s="999" t="s">
        <v>7054</v>
      </c>
      <c r="G1014" s="997" t="s">
        <v>5812</v>
      </c>
      <c r="I1014" s="999" t="s">
        <v>49</v>
      </c>
    </row>
    <row r="1015" ht="14.25" customHeight="1">
      <c r="B1015" s="999" t="s">
        <v>7055</v>
      </c>
      <c r="G1015" s="997" t="s">
        <v>5812</v>
      </c>
      <c r="I1015" s="999" t="s">
        <v>49</v>
      </c>
    </row>
    <row r="1016" ht="14.25" customHeight="1">
      <c r="B1016" s="999" t="s">
        <v>7056</v>
      </c>
      <c r="G1016" s="997" t="s">
        <v>5812</v>
      </c>
      <c r="I1016" s="999" t="s">
        <v>49</v>
      </c>
    </row>
    <row r="1017" ht="14.25" customHeight="1">
      <c r="B1017" s="999" t="s">
        <v>7057</v>
      </c>
      <c r="G1017" s="997" t="s">
        <v>5812</v>
      </c>
      <c r="I1017" s="999" t="s">
        <v>49</v>
      </c>
    </row>
    <row r="1018" ht="14.25" customHeight="1">
      <c r="B1018" s="1000" t="s">
        <v>6182</v>
      </c>
      <c r="G1018" s="1001"/>
      <c r="I1018" s="1001"/>
    </row>
    <row r="1019" ht="14.25" customHeight="1">
      <c r="B1019" s="994" t="s">
        <v>6183</v>
      </c>
      <c r="G1019" s="995"/>
      <c r="I1019" s="995"/>
    </row>
    <row r="1020" ht="14.25" customHeight="1">
      <c r="B1020" s="998" t="s">
        <v>7058</v>
      </c>
      <c r="G1020" s="997" t="s">
        <v>5812</v>
      </c>
      <c r="I1020" s="998" t="s">
        <v>57</v>
      </c>
    </row>
    <row r="1021" ht="14.25" customHeight="1">
      <c r="B1021" s="994" t="s">
        <v>6231</v>
      </c>
      <c r="G1021" s="995"/>
      <c r="I1021" s="995"/>
    </row>
    <row r="1022" ht="14.25" customHeight="1">
      <c r="B1022" s="1000" t="s">
        <v>6294</v>
      </c>
      <c r="G1022" s="1001"/>
      <c r="I1022" s="1001"/>
    </row>
    <row r="1023" ht="14.25" customHeight="1">
      <c r="B1023" s="994" t="s">
        <v>6295</v>
      </c>
      <c r="G1023" s="995"/>
      <c r="I1023" s="995"/>
    </row>
    <row r="1024" ht="14.25" customHeight="1">
      <c r="B1024" s="994" t="s">
        <v>61</v>
      </c>
      <c r="G1024" s="995"/>
      <c r="I1024" s="995"/>
    </row>
    <row r="1025" ht="14.25" customHeight="1">
      <c r="B1025" s="998" t="s">
        <v>7059</v>
      </c>
      <c r="G1025" s="997" t="s">
        <v>5812</v>
      </c>
      <c r="I1025" s="998" t="s">
        <v>61</v>
      </c>
    </row>
    <row r="1026" ht="14.25" customHeight="1">
      <c r="B1026" s="998" t="s">
        <v>7060</v>
      </c>
      <c r="G1026" s="997" t="s">
        <v>5812</v>
      </c>
      <c r="I1026" s="998" t="s">
        <v>61</v>
      </c>
    </row>
    <row r="1027" ht="14.25" customHeight="1">
      <c r="B1027" s="998" t="s">
        <v>7061</v>
      </c>
      <c r="G1027" s="997" t="s">
        <v>5812</v>
      </c>
      <c r="I1027" s="998" t="s">
        <v>61</v>
      </c>
    </row>
    <row r="1028" ht="14.25" customHeight="1">
      <c r="B1028" s="998" t="s">
        <v>7062</v>
      </c>
      <c r="G1028" s="997" t="s">
        <v>5812</v>
      </c>
      <c r="I1028" s="998" t="s">
        <v>61</v>
      </c>
    </row>
    <row r="1029" ht="14.25" customHeight="1">
      <c r="B1029" s="998" t="s">
        <v>7063</v>
      </c>
      <c r="G1029" s="997" t="s">
        <v>5812</v>
      </c>
      <c r="I1029" s="998" t="s">
        <v>61</v>
      </c>
    </row>
    <row r="1030" ht="14.25" customHeight="1">
      <c r="B1030" s="994" t="s">
        <v>7064</v>
      </c>
      <c r="G1030" s="995"/>
      <c r="I1030" s="995"/>
    </row>
    <row r="1031" ht="14.25" customHeight="1">
      <c r="B1031" s="998" t="s">
        <v>7065</v>
      </c>
      <c r="G1031" s="997" t="s">
        <v>5812</v>
      </c>
      <c r="I1031" s="998" t="s">
        <v>62</v>
      </c>
    </row>
    <row r="1032" ht="14.25" customHeight="1">
      <c r="B1032" s="998" t="s">
        <v>7066</v>
      </c>
      <c r="G1032" s="997" t="s">
        <v>5812</v>
      </c>
      <c r="I1032" s="998" t="s">
        <v>62</v>
      </c>
    </row>
    <row r="1033" ht="14.25" customHeight="1">
      <c r="B1033" s="998" t="s">
        <v>7067</v>
      </c>
      <c r="G1033" s="997" t="s">
        <v>5812</v>
      </c>
      <c r="I1033" s="998" t="s">
        <v>62</v>
      </c>
    </row>
    <row r="1034" ht="14.25" customHeight="1">
      <c r="B1034" s="998" t="s">
        <v>7068</v>
      </c>
      <c r="G1034" s="997" t="s">
        <v>5812</v>
      </c>
      <c r="I1034" s="998" t="s">
        <v>62</v>
      </c>
    </row>
    <row r="1035" ht="14.25" customHeight="1">
      <c r="B1035" s="998" t="s">
        <v>7069</v>
      </c>
      <c r="G1035" s="997" t="s">
        <v>5812</v>
      </c>
      <c r="I1035" s="998" t="s">
        <v>62</v>
      </c>
    </row>
    <row r="1036" ht="14.25" customHeight="1">
      <c r="B1036" s="998" t="s">
        <v>7070</v>
      </c>
      <c r="G1036" s="997" t="s">
        <v>5812</v>
      </c>
      <c r="I1036" s="998" t="s">
        <v>62</v>
      </c>
    </row>
    <row r="1037" ht="14.25" customHeight="1">
      <c r="B1037" s="998" t="s">
        <v>7071</v>
      </c>
      <c r="G1037" s="997" t="s">
        <v>5812</v>
      </c>
      <c r="I1037" s="998" t="s">
        <v>62</v>
      </c>
    </row>
    <row r="1038" ht="14.25" customHeight="1">
      <c r="B1038" s="998" t="s">
        <v>7072</v>
      </c>
      <c r="G1038" s="997" t="s">
        <v>5812</v>
      </c>
      <c r="I1038" s="998" t="s">
        <v>62</v>
      </c>
    </row>
    <row r="1039" ht="14.25" customHeight="1">
      <c r="B1039" s="998" t="s">
        <v>7073</v>
      </c>
      <c r="G1039" s="997" t="s">
        <v>5812</v>
      </c>
      <c r="I1039" s="998" t="s">
        <v>62</v>
      </c>
    </row>
    <row r="1040" ht="14.25" customHeight="1">
      <c r="B1040" s="998" t="s">
        <v>7074</v>
      </c>
      <c r="G1040" s="997" t="s">
        <v>5812</v>
      </c>
      <c r="I1040" s="998" t="s">
        <v>62</v>
      </c>
    </row>
    <row r="1041" ht="14.25" customHeight="1">
      <c r="B1041" s="998" t="s">
        <v>7075</v>
      </c>
      <c r="G1041" s="997" t="s">
        <v>5812</v>
      </c>
      <c r="I1041" s="998" t="s">
        <v>62</v>
      </c>
    </row>
    <row r="1042" ht="14.25" customHeight="1">
      <c r="B1042" s="1000" t="s">
        <v>7076</v>
      </c>
      <c r="G1042" s="1001"/>
      <c r="I1042" s="1001"/>
    </row>
    <row r="1043" ht="14.25" customHeight="1">
      <c r="B1043" s="994" t="s">
        <v>7044</v>
      </c>
      <c r="G1043" s="995"/>
      <c r="I1043" s="995"/>
    </row>
    <row r="1044" ht="14.25" customHeight="1">
      <c r="B1044" s="998" t="s">
        <v>7077</v>
      </c>
      <c r="G1044" s="997" t="s">
        <v>5812</v>
      </c>
      <c r="I1044" s="998" t="s">
        <v>6062</v>
      </c>
    </row>
    <row r="1045" ht="14.25" customHeight="1">
      <c r="B1045" s="998" t="s">
        <v>7078</v>
      </c>
      <c r="G1045" s="997" t="s">
        <v>5812</v>
      </c>
      <c r="I1045" s="998" t="s">
        <v>6062</v>
      </c>
    </row>
    <row r="1046" ht="14.25" customHeight="1">
      <c r="B1046" s="998" t="s">
        <v>7079</v>
      </c>
      <c r="G1046" s="997" t="s">
        <v>5812</v>
      </c>
      <c r="I1046" s="998" t="s">
        <v>6062</v>
      </c>
    </row>
    <row r="1047" ht="14.25" customHeight="1">
      <c r="B1047" s="1002" t="s">
        <v>7080</v>
      </c>
      <c r="G1047" s="985"/>
      <c r="I1047" s="985"/>
    </row>
    <row r="1048" ht="14.25" customHeight="1">
      <c r="B1048" s="1000" t="s">
        <v>7049</v>
      </c>
      <c r="G1048" s="1001"/>
      <c r="I1048" s="1001"/>
    </row>
    <row r="1049" ht="14.25" customHeight="1">
      <c r="B1049" s="994" t="s">
        <v>7050</v>
      </c>
      <c r="G1049" s="995"/>
      <c r="I1049" s="995"/>
    </row>
    <row r="1050" ht="14.25" customHeight="1">
      <c r="B1050" s="998" t="s">
        <v>7081</v>
      </c>
      <c r="G1050" s="997" t="s">
        <v>5815</v>
      </c>
      <c r="I1050" s="998" t="s">
        <v>46</v>
      </c>
    </row>
    <row r="1051" ht="14.25" customHeight="1">
      <c r="B1051" s="998" t="s">
        <v>7082</v>
      </c>
      <c r="G1051" s="997" t="s">
        <v>5815</v>
      </c>
      <c r="I1051" s="998" t="s">
        <v>46</v>
      </c>
    </row>
    <row r="1052" ht="14.25" customHeight="1">
      <c r="B1052" s="998" t="s">
        <v>7083</v>
      </c>
      <c r="G1052" s="997" t="s">
        <v>5815</v>
      </c>
      <c r="I1052" s="998" t="s">
        <v>46</v>
      </c>
    </row>
    <row r="1053" ht="14.25" customHeight="1">
      <c r="B1053" s="998" t="s">
        <v>7084</v>
      </c>
      <c r="G1053" s="997" t="s">
        <v>5815</v>
      </c>
      <c r="I1053" s="998" t="s">
        <v>46</v>
      </c>
    </row>
    <row r="1054" ht="14.25" customHeight="1">
      <c r="B1054" s="998" t="s">
        <v>7085</v>
      </c>
      <c r="G1054" s="997" t="s">
        <v>5815</v>
      </c>
      <c r="I1054" s="998" t="s">
        <v>46</v>
      </c>
    </row>
    <row r="1055" ht="14.25" customHeight="1">
      <c r="B1055" s="998" t="s">
        <v>7086</v>
      </c>
      <c r="G1055" s="997" t="s">
        <v>5815</v>
      </c>
      <c r="I1055" s="998" t="s">
        <v>46</v>
      </c>
    </row>
    <row r="1056" ht="14.25" customHeight="1">
      <c r="B1056" s="994" t="s">
        <v>7052</v>
      </c>
      <c r="G1056" s="995"/>
      <c r="I1056" s="995"/>
    </row>
    <row r="1057" ht="14.25" customHeight="1">
      <c r="B1057" s="998" t="s">
        <v>7087</v>
      </c>
      <c r="G1057" s="997" t="s">
        <v>5815</v>
      </c>
      <c r="I1057" s="998" t="s">
        <v>47</v>
      </c>
    </row>
    <row r="1058" ht="14.25" customHeight="1">
      <c r="B1058" s="998" t="s">
        <v>7088</v>
      </c>
      <c r="G1058" s="997" t="s">
        <v>5815</v>
      </c>
      <c r="I1058" s="998" t="s">
        <v>47</v>
      </c>
    </row>
    <row r="1059" ht="14.25" customHeight="1">
      <c r="B1059" s="994" t="s">
        <v>7053</v>
      </c>
      <c r="G1059" s="995"/>
      <c r="I1059" s="995"/>
    </row>
    <row r="1060" ht="14.25" customHeight="1">
      <c r="B1060" s="998" t="s">
        <v>7089</v>
      </c>
      <c r="G1060" s="997" t="s">
        <v>5815</v>
      </c>
      <c r="I1060" s="998" t="s">
        <v>48</v>
      </c>
    </row>
    <row r="1061" ht="14.25" customHeight="1">
      <c r="B1061" s="998" t="s">
        <v>7090</v>
      </c>
      <c r="G1061" s="997" t="s">
        <v>5815</v>
      </c>
      <c r="I1061" s="998" t="s">
        <v>48</v>
      </c>
    </row>
    <row r="1062" ht="14.25" customHeight="1">
      <c r="B1062" s="998" t="s">
        <v>7091</v>
      </c>
      <c r="G1062" s="997" t="s">
        <v>5815</v>
      </c>
      <c r="I1062" s="998" t="s">
        <v>48</v>
      </c>
    </row>
    <row r="1063" ht="14.25" customHeight="1">
      <c r="B1063" s="994" t="s">
        <v>49</v>
      </c>
      <c r="G1063" s="995"/>
      <c r="I1063" s="995"/>
    </row>
    <row r="1064" ht="14.25" customHeight="1">
      <c r="B1064" s="1000" t="s">
        <v>6182</v>
      </c>
      <c r="G1064" s="1001"/>
      <c r="I1064" s="1001"/>
    </row>
    <row r="1065" ht="14.25" customHeight="1">
      <c r="B1065" s="994" t="s">
        <v>6183</v>
      </c>
      <c r="G1065" s="995"/>
      <c r="I1065" s="995"/>
    </row>
    <row r="1066" ht="14.25" customHeight="1">
      <c r="B1066" s="998" t="s">
        <v>7092</v>
      </c>
      <c r="G1066" s="997" t="s">
        <v>5815</v>
      </c>
      <c r="I1066" s="998" t="s">
        <v>57</v>
      </c>
    </row>
    <row r="1067" ht="14.25" customHeight="1">
      <c r="B1067" s="998" t="s">
        <v>7093</v>
      </c>
      <c r="G1067" s="997" t="s">
        <v>5815</v>
      </c>
      <c r="I1067" s="998" t="s">
        <v>57</v>
      </c>
    </row>
    <row r="1068" ht="14.25" customHeight="1">
      <c r="B1068" s="998" t="s">
        <v>7094</v>
      </c>
      <c r="G1068" s="997" t="s">
        <v>5815</v>
      </c>
      <c r="I1068" s="998" t="s">
        <v>57</v>
      </c>
    </row>
    <row r="1069" ht="14.25" customHeight="1">
      <c r="B1069" s="994" t="s">
        <v>6231</v>
      </c>
      <c r="G1069" s="995"/>
      <c r="I1069" s="995"/>
    </row>
    <row r="1070" ht="14.25" customHeight="1">
      <c r="B1070" s="999" t="s">
        <v>7095</v>
      </c>
      <c r="G1070" s="997" t="s">
        <v>5815</v>
      </c>
      <c r="I1070" s="998" t="s">
        <v>58</v>
      </c>
    </row>
    <row r="1071" ht="14.25" customHeight="1">
      <c r="B1071" s="999" t="s">
        <v>7096</v>
      </c>
      <c r="G1071" s="997" t="s">
        <v>5815</v>
      </c>
      <c r="I1071" s="998" t="s">
        <v>58</v>
      </c>
    </row>
    <row r="1072" ht="14.25" customHeight="1">
      <c r="B1072" s="994" t="s">
        <v>6275</v>
      </c>
      <c r="G1072" s="995"/>
      <c r="I1072" s="995"/>
    </row>
    <row r="1073" ht="14.25" customHeight="1">
      <c r="B1073" s="998" t="s">
        <v>7097</v>
      </c>
      <c r="G1073" s="997" t="s">
        <v>5815</v>
      </c>
      <c r="I1073" s="998" t="s">
        <v>7098</v>
      </c>
    </row>
    <row r="1074" ht="14.25" customHeight="1">
      <c r="B1074" s="998" t="s">
        <v>7099</v>
      </c>
      <c r="G1074" s="997" t="s">
        <v>5815</v>
      </c>
      <c r="I1074" s="998" t="s">
        <v>7098</v>
      </c>
    </row>
    <row r="1075" ht="14.25" customHeight="1">
      <c r="B1075" s="998" t="s">
        <v>7100</v>
      </c>
      <c r="G1075" s="997" t="s">
        <v>5815</v>
      </c>
      <c r="I1075" s="998" t="s">
        <v>7098</v>
      </c>
    </row>
    <row r="1076" ht="14.25" customHeight="1">
      <c r="B1076" s="998" t="s">
        <v>7101</v>
      </c>
      <c r="G1076" s="997" t="s">
        <v>5815</v>
      </c>
      <c r="I1076" s="998" t="s">
        <v>7098</v>
      </c>
    </row>
    <row r="1077" ht="14.25" customHeight="1">
      <c r="B1077" s="998" t="s">
        <v>7102</v>
      </c>
      <c r="G1077" s="997" t="s">
        <v>5815</v>
      </c>
      <c r="I1077" s="998" t="s">
        <v>7098</v>
      </c>
    </row>
    <row r="1078" ht="14.25" customHeight="1">
      <c r="B1078" s="1000" t="s">
        <v>7103</v>
      </c>
      <c r="G1078" s="1001"/>
      <c r="I1078" s="1001"/>
    </row>
    <row r="1079" ht="14.25" customHeight="1">
      <c r="B1079" s="994" t="s">
        <v>6295</v>
      </c>
      <c r="G1079" s="995"/>
      <c r="I1079" s="995"/>
    </row>
    <row r="1080" ht="14.25" customHeight="1">
      <c r="B1080" s="998" t="s">
        <v>7104</v>
      </c>
      <c r="G1080" s="997" t="s">
        <v>5815</v>
      </c>
      <c r="I1080" s="998" t="s">
        <v>2964</v>
      </c>
    </row>
    <row r="1081" ht="14.25" customHeight="1">
      <c r="A1081" s="1003"/>
      <c r="B1081" s="1003" t="s">
        <v>7105</v>
      </c>
      <c r="C1081" s="1003"/>
      <c r="D1081" s="1003"/>
      <c r="E1081" s="1003"/>
      <c r="F1081" s="1003"/>
      <c r="G1081" s="1003"/>
      <c r="H1081" s="1003"/>
      <c r="I1081" s="1004"/>
      <c r="J1081" s="1003"/>
      <c r="K1081" s="1003"/>
      <c r="L1081" s="1003"/>
      <c r="M1081" s="1003"/>
      <c r="N1081" s="1003"/>
      <c r="O1081" s="1003"/>
      <c r="P1081" s="1003"/>
      <c r="Q1081" s="1003"/>
      <c r="R1081" s="1003"/>
      <c r="S1081" s="1003"/>
      <c r="T1081" s="1003"/>
      <c r="U1081" s="1003"/>
    </row>
    <row r="1082" ht="14.25" customHeight="1">
      <c r="B1082" s="1005" t="s">
        <v>74</v>
      </c>
      <c r="G1082" s="1006"/>
      <c r="I1082" s="1007"/>
    </row>
    <row r="1083" ht="14.25" customHeight="1">
      <c r="B1083" s="997" t="s">
        <v>3230</v>
      </c>
      <c r="G1083" s="965" t="s">
        <v>3470</v>
      </c>
      <c r="I1083" s="1008"/>
      <c r="U1083" s="1009"/>
    </row>
    <row r="1084" ht="14.25" customHeight="1">
      <c r="B1084" s="997" t="s">
        <v>3234</v>
      </c>
      <c r="G1084" s="997" t="s">
        <v>3470</v>
      </c>
      <c r="I1084" s="998" t="s">
        <v>44</v>
      </c>
      <c r="U1084" s="991"/>
    </row>
    <row r="1085" ht="14.25" customHeight="1">
      <c r="B1085" s="997" t="s">
        <v>3236</v>
      </c>
      <c r="G1085" s="997" t="s">
        <v>3239</v>
      </c>
      <c r="I1085" s="998" t="s">
        <v>44</v>
      </c>
      <c r="U1085" s="991"/>
    </row>
    <row r="1086" ht="14.25" customHeight="1">
      <c r="B1086" s="997" t="s">
        <v>3242</v>
      </c>
      <c r="G1086" s="997" t="s">
        <v>3244</v>
      </c>
      <c r="I1086" s="998" t="s">
        <v>44</v>
      </c>
      <c r="U1086" s="991"/>
    </row>
    <row r="1087" ht="14.25" customHeight="1">
      <c r="B1087" s="997" t="s">
        <v>3246</v>
      </c>
      <c r="G1087" s="997" t="s">
        <v>3248</v>
      </c>
      <c r="I1087" s="998" t="s">
        <v>44</v>
      </c>
      <c r="U1087" s="990"/>
    </row>
    <row r="1088" ht="14.25" customHeight="1">
      <c r="B1088" s="997" t="s">
        <v>3250</v>
      </c>
      <c r="G1088" s="1010" t="s">
        <v>3252</v>
      </c>
      <c r="I1088" s="998" t="s">
        <v>44</v>
      </c>
      <c r="U1088" s="991"/>
    </row>
    <row r="1089" ht="14.25" customHeight="1">
      <c r="B1089" s="997" t="s">
        <v>3254</v>
      </c>
      <c r="G1089" s="1010" t="s">
        <v>3256</v>
      </c>
      <c r="I1089" s="998" t="s">
        <v>44</v>
      </c>
      <c r="U1089" s="1010" t="s">
        <v>3261</v>
      </c>
    </row>
    <row r="1090" ht="14.25" customHeight="1">
      <c r="B1090" s="997" t="s">
        <v>3262</v>
      </c>
      <c r="G1090" s="1010" t="s">
        <v>3264</v>
      </c>
      <c r="I1090" s="998" t="s">
        <v>44</v>
      </c>
      <c r="U1090" s="1010" t="s">
        <v>3266</v>
      </c>
    </row>
    <row r="1091" ht="14.25" customHeight="1">
      <c r="B1091" s="997" t="s">
        <v>3267</v>
      </c>
      <c r="G1091" s="1010" t="s">
        <v>3269</v>
      </c>
      <c r="I1091" s="998" t="s">
        <v>44</v>
      </c>
      <c r="U1091" s="1010" t="s">
        <v>3270</v>
      </c>
    </row>
    <row r="1092" ht="14.25" customHeight="1">
      <c r="B1092" s="997" t="s">
        <v>3271</v>
      </c>
      <c r="G1092" s="1010" t="s">
        <v>3269</v>
      </c>
      <c r="I1092" s="998" t="s">
        <v>44</v>
      </c>
      <c r="U1092" s="1010" t="s">
        <v>3270</v>
      </c>
    </row>
    <row r="1093" ht="14.25" customHeight="1">
      <c r="B1093" s="997" t="s">
        <v>3273</v>
      </c>
      <c r="G1093" s="1010" t="s">
        <v>3269</v>
      </c>
      <c r="I1093" s="998" t="s">
        <v>44</v>
      </c>
      <c r="U1093" s="1010" t="s">
        <v>3270</v>
      </c>
    </row>
    <row r="1094" ht="14.25" customHeight="1">
      <c r="B1094" s="997" t="s">
        <v>3275</v>
      </c>
      <c r="G1094" s="1010" t="s">
        <v>3269</v>
      </c>
      <c r="I1094" s="998" t="s">
        <v>44</v>
      </c>
      <c r="U1094" s="1010" t="s">
        <v>3270</v>
      </c>
    </row>
    <row r="1095" ht="14.25" customHeight="1">
      <c r="B1095" s="997" t="s">
        <v>3277</v>
      </c>
      <c r="G1095" s="1010" t="s">
        <v>3279</v>
      </c>
      <c r="I1095" s="998" t="s">
        <v>44</v>
      </c>
      <c r="U1095" s="1010" t="s">
        <v>3280</v>
      </c>
    </row>
    <row r="1096" ht="14.25" customHeight="1">
      <c r="B1096" s="997" t="s">
        <v>3281</v>
      </c>
      <c r="G1096" s="1010" t="s">
        <v>3279</v>
      </c>
      <c r="I1096" s="998" t="s">
        <v>44</v>
      </c>
      <c r="U1096" s="1010" t="s">
        <v>3283</v>
      </c>
    </row>
    <row r="1097" ht="14.25" customHeight="1">
      <c r="B1097" s="997" t="s">
        <v>3284</v>
      </c>
      <c r="G1097" s="1010" t="s">
        <v>3279</v>
      </c>
      <c r="I1097" s="998" t="s">
        <v>44</v>
      </c>
      <c r="U1097" s="1010" t="s">
        <v>3286</v>
      </c>
    </row>
    <row r="1098" ht="14.25" customHeight="1">
      <c r="B1098" s="997" t="s">
        <v>3287</v>
      </c>
      <c r="G1098" s="1010" t="s">
        <v>3279</v>
      </c>
      <c r="I1098" s="998" t="s">
        <v>44</v>
      </c>
      <c r="U1098" s="1010" t="s">
        <v>3286</v>
      </c>
    </row>
    <row r="1099" ht="14.25" customHeight="1">
      <c r="B1099" s="997" t="s">
        <v>3289</v>
      </c>
      <c r="G1099" s="1010" t="s">
        <v>3279</v>
      </c>
      <c r="I1099" s="998" t="s">
        <v>44</v>
      </c>
      <c r="U1099" s="1010" t="s">
        <v>3286</v>
      </c>
    </row>
    <row r="1100" ht="14.25" customHeight="1">
      <c r="B1100" s="997" t="s">
        <v>3291</v>
      </c>
      <c r="G1100" s="1010" t="s">
        <v>3279</v>
      </c>
      <c r="I1100" s="998" t="s">
        <v>44</v>
      </c>
      <c r="U1100" s="1010" t="s">
        <v>3294</v>
      </c>
    </row>
    <row r="1101" ht="14.25" customHeight="1">
      <c r="B1101" s="997" t="s">
        <v>3295</v>
      </c>
      <c r="G1101" s="1010" t="s">
        <v>3279</v>
      </c>
      <c r="I1101" s="998" t="s">
        <v>44</v>
      </c>
      <c r="U1101" s="1010" t="s">
        <v>3286</v>
      </c>
    </row>
    <row r="1102" ht="14.25" customHeight="1">
      <c r="B1102" s="997" t="s">
        <v>3297</v>
      </c>
      <c r="G1102" s="1010" t="s">
        <v>3279</v>
      </c>
      <c r="I1102" s="998" t="s">
        <v>44</v>
      </c>
      <c r="U1102" s="1010" t="s">
        <v>3286</v>
      </c>
    </row>
    <row r="1103" ht="14.25" customHeight="1">
      <c r="B1103" s="997" t="s">
        <v>3299</v>
      </c>
      <c r="G1103" s="1010" t="s">
        <v>3279</v>
      </c>
      <c r="I1103" s="998" t="s">
        <v>44</v>
      </c>
      <c r="U1103" s="1010" t="s">
        <v>3286</v>
      </c>
    </row>
    <row r="1104" ht="14.25" customHeight="1">
      <c r="B1104" s="997" t="s">
        <v>3301</v>
      </c>
      <c r="G1104" s="1010" t="s">
        <v>3303</v>
      </c>
      <c r="I1104" s="998" t="s">
        <v>44</v>
      </c>
      <c r="U1104" s="1010" t="s">
        <v>3305</v>
      </c>
    </row>
    <row r="1105" ht="14.25" customHeight="1">
      <c r="B1105" s="997" t="s">
        <v>3306</v>
      </c>
      <c r="G1105" s="1010" t="s">
        <v>3303</v>
      </c>
      <c r="I1105" s="998" t="s">
        <v>44</v>
      </c>
      <c r="U1105" s="1010" t="s">
        <v>3305</v>
      </c>
    </row>
    <row r="1106" ht="14.25" customHeight="1">
      <c r="B1106" s="997" t="s">
        <v>3308</v>
      </c>
      <c r="G1106" s="1010" t="s">
        <v>3303</v>
      </c>
      <c r="I1106" s="998" t="s">
        <v>44</v>
      </c>
      <c r="U1106" s="1010" t="s">
        <v>3305</v>
      </c>
    </row>
    <row r="1107" ht="14.25" customHeight="1">
      <c r="B1107" s="997" t="s">
        <v>3310</v>
      </c>
      <c r="G1107" s="1010" t="s">
        <v>3303</v>
      </c>
      <c r="I1107" s="998" t="s">
        <v>44</v>
      </c>
      <c r="U1107" s="1010" t="s">
        <v>3305</v>
      </c>
    </row>
    <row r="1108" ht="14.25" customHeight="1">
      <c r="B1108" s="997" t="s">
        <v>3312</v>
      </c>
      <c r="G1108" s="1010" t="s">
        <v>3303</v>
      </c>
      <c r="I1108" s="998" t="s">
        <v>44</v>
      </c>
      <c r="U1108" s="1010" t="s">
        <v>3305</v>
      </c>
    </row>
    <row r="1109" ht="14.25" customHeight="1">
      <c r="B1109" s="997" t="s">
        <v>3314</v>
      </c>
      <c r="G1109" s="1010" t="s">
        <v>3316</v>
      </c>
      <c r="I1109" s="998" t="s">
        <v>44</v>
      </c>
      <c r="U1109" s="1010" t="s">
        <v>3317</v>
      </c>
    </row>
    <row r="1110" ht="14.25" customHeight="1">
      <c r="B1110" s="997" t="s">
        <v>3318</v>
      </c>
      <c r="G1110" s="1010" t="s">
        <v>3316</v>
      </c>
      <c r="I1110" s="998" t="s">
        <v>44</v>
      </c>
      <c r="U1110" s="1010" t="s">
        <v>3317</v>
      </c>
    </row>
    <row r="1111" ht="14.25" customHeight="1">
      <c r="B1111" s="997" t="s">
        <v>3320</v>
      </c>
      <c r="G1111" s="1010" t="s">
        <v>3316</v>
      </c>
      <c r="I1111" s="998" t="s">
        <v>44</v>
      </c>
      <c r="U1111" s="1010" t="s">
        <v>3317</v>
      </c>
    </row>
    <row r="1112" ht="14.25" customHeight="1">
      <c r="B1112" s="997" t="s">
        <v>3322</v>
      </c>
      <c r="G1112" s="1010" t="s">
        <v>3316</v>
      </c>
      <c r="I1112" s="998" t="s">
        <v>44</v>
      </c>
      <c r="U1112" s="1010" t="s">
        <v>3317</v>
      </c>
    </row>
    <row r="1113" ht="14.25" customHeight="1">
      <c r="B1113" s="997" t="s">
        <v>3324</v>
      </c>
      <c r="G1113" s="1010" t="s">
        <v>3316</v>
      </c>
      <c r="I1113" s="998" t="s">
        <v>44</v>
      </c>
      <c r="U1113" s="1010" t="s">
        <v>3317</v>
      </c>
    </row>
    <row r="1114" ht="14.25" customHeight="1">
      <c r="B1114" s="997" t="s">
        <v>3326</v>
      </c>
      <c r="G1114" s="1010" t="s">
        <v>3316</v>
      </c>
      <c r="I1114" s="998" t="s">
        <v>44</v>
      </c>
      <c r="U1114" s="1010" t="s">
        <v>3317</v>
      </c>
    </row>
    <row r="1115" ht="14.25" customHeight="1">
      <c r="B1115" s="997" t="s">
        <v>3328</v>
      </c>
      <c r="G1115" s="1010" t="s">
        <v>3316</v>
      </c>
      <c r="I1115" s="998" t="s">
        <v>44</v>
      </c>
      <c r="U1115" s="1010" t="s">
        <v>3317</v>
      </c>
    </row>
    <row r="1116" ht="14.25" customHeight="1">
      <c r="B1116" s="997" t="s">
        <v>3331</v>
      </c>
      <c r="G1116" s="1010" t="s">
        <v>3316</v>
      </c>
      <c r="I1116" s="998" t="s">
        <v>44</v>
      </c>
      <c r="U1116" s="1010" t="s">
        <v>3317</v>
      </c>
    </row>
    <row r="1117" ht="14.25" customHeight="1">
      <c r="B1117" s="997" t="s">
        <v>3333</v>
      </c>
      <c r="G1117" s="1010" t="s">
        <v>3316</v>
      </c>
      <c r="I1117" s="998" t="s">
        <v>44</v>
      </c>
      <c r="U1117" s="1010" t="s">
        <v>3317</v>
      </c>
    </row>
    <row r="1118" ht="14.25" customHeight="1">
      <c r="B1118" s="997" t="s">
        <v>3335</v>
      </c>
      <c r="G1118" s="1010" t="s">
        <v>3316</v>
      </c>
      <c r="I1118" s="998" t="s">
        <v>44</v>
      </c>
      <c r="U1118" s="1010" t="s">
        <v>3317</v>
      </c>
    </row>
    <row r="1119" ht="14.25" customHeight="1">
      <c r="B1119" s="997" t="s">
        <v>3337</v>
      </c>
      <c r="G1119" s="1010" t="s">
        <v>3339</v>
      </c>
      <c r="I1119" s="998" t="s">
        <v>44</v>
      </c>
      <c r="U1119" s="1010" t="s">
        <v>3317</v>
      </c>
    </row>
    <row r="1120" ht="14.25" customHeight="1">
      <c r="B1120" s="997" t="s">
        <v>3342</v>
      </c>
      <c r="G1120" s="1010" t="s">
        <v>3339</v>
      </c>
      <c r="I1120" s="998" t="s">
        <v>44</v>
      </c>
      <c r="U1120" s="1010" t="s">
        <v>3317</v>
      </c>
    </row>
    <row r="1121" ht="14.25" customHeight="1">
      <c r="B1121" s="990"/>
      <c r="G1121" s="991"/>
      <c r="I1121" s="998" t="s">
        <v>44</v>
      </c>
      <c r="U1121" s="991"/>
    </row>
    <row r="1122" ht="14.25" customHeight="1">
      <c r="B1122" s="990"/>
      <c r="G1122" s="991"/>
      <c r="I1122" s="990"/>
      <c r="U1122" s="991"/>
    </row>
    <row r="1123" ht="14.25" customHeight="1">
      <c r="B1123" s="990"/>
      <c r="G1123" s="991"/>
      <c r="I1123" s="990"/>
      <c r="U1123" s="991"/>
    </row>
    <row r="1124" ht="14.25" customHeight="1">
      <c r="B1124" s="990"/>
      <c r="G1124" s="991"/>
      <c r="I1124" s="990"/>
      <c r="U1124" s="991"/>
    </row>
    <row r="1125" ht="14.25" customHeight="1">
      <c r="B1125" s="990"/>
      <c r="G1125" s="991"/>
      <c r="I1125" s="990"/>
      <c r="U1125" s="991"/>
    </row>
    <row r="1126" ht="14.25" customHeight="1">
      <c r="B1126" s="990"/>
      <c r="G1126" s="991"/>
      <c r="I1126" s="990"/>
      <c r="U1126" s="991"/>
    </row>
    <row r="1127" ht="14.25" customHeight="1">
      <c r="B1127" s="990"/>
      <c r="G1127" s="991"/>
      <c r="I1127" s="990"/>
      <c r="U1127" s="991"/>
    </row>
    <row r="1128" ht="14.25" customHeight="1">
      <c r="B1128" s="990"/>
      <c r="G1128" s="991"/>
      <c r="I1128" s="990"/>
      <c r="U1128" s="991"/>
    </row>
    <row r="1129" ht="14.25" customHeight="1">
      <c r="B1129" s="990"/>
      <c r="G1129" s="991"/>
      <c r="I1129" s="990"/>
      <c r="U1129" s="991"/>
    </row>
    <row r="1130" ht="14.25" customHeight="1">
      <c r="B1130" s="990"/>
      <c r="G1130" s="991"/>
      <c r="I1130" s="990"/>
      <c r="U1130" s="991"/>
    </row>
    <row r="1131" ht="14.25" customHeight="1">
      <c r="B1131" s="990"/>
      <c r="G1131" s="991"/>
      <c r="I1131" s="990"/>
      <c r="U1131" s="991"/>
    </row>
    <row r="1132" ht="14.25" customHeight="1">
      <c r="B1132" s="1011" t="s">
        <v>376</v>
      </c>
      <c r="G1132" s="1012"/>
      <c r="I1132" s="990"/>
      <c r="U1132" s="1012"/>
    </row>
    <row r="1133" ht="14.25" customHeight="1">
      <c r="B1133" s="1010" t="s">
        <v>3369</v>
      </c>
      <c r="G1133" s="997" t="s">
        <v>3239</v>
      </c>
      <c r="I1133" s="1012"/>
      <c r="U1133" s="991"/>
    </row>
    <row r="1134" ht="14.25" customHeight="1">
      <c r="B1134" s="997" t="s">
        <v>3372</v>
      </c>
      <c r="G1134" s="997" t="s">
        <v>3239</v>
      </c>
      <c r="I1134" s="1013" t="s">
        <v>55</v>
      </c>
      <c r="U1134" s="990"/>
    </row>
    <row r="1135" ht="14.25" customHeight="1">
      <c r="B1135" s="997" t="s">
        <v>3377</v>
      </c>
      <c r="G1135" s="1010" t="s">
        <v>3239</v>
      </c>
      <c r="I1135" s="1013" t="s">
        <v>55</v>
      </c>
      <c r="U1135" s="990"/>
    </row>
    <row r="1136" ht="14.25" customHeight="1">
      <c r="B1136" s="997" t="s">
        <v>3382</v>
      </c>
      <c r="G1136" s="1010" t="s">
        <v>3252</v>
      </c>
      <c r="I1136" s="1013" t="s">
        <v>55</v>
      </c>
      <c r="U1136" s="990"/>
    </row>
    <row r="1137" ht="14.25" customHeight="1">
      <c r="B1137" s="997" t="s">
        <v>3385</v>
      </c>
      <c r="G1137" s="997" t="s">
        <v>3387</v>
      </c>
      <c r="I1137" s="998" t="s">
        <v>55</v>
      </c>
      <c r="U1137" s="997" t="s">
        <v>3364</v>
      </c>
    </row>
    <row r="1138" ht="14.25" customHeight="1">
      <c r="B1138" s="997" t="s">
        <v>3389</v>
      </c>
      <c r="G1138" s="997" t="s">
        <v>3391</v>
      </c>
      <c r="I1138" s="998" t="s">
        <v>55</v>
      </c>
      <c r="U1138" s="997" t="s">
        <v>3261</v>
      </c>
    </row>
    <row r="1139" ht="14.25" customHeight="1">
      <c r="B1139" s="997" t="s">
        <v>3392</v>
      </c>
      <c r="G1139" s="997" t="s">
        <v>3391</v>
      </c>
      <c r="I1139" s="998" t="s">
        <v>55</v>
      </c>
      <c r="U1139" s="997" t="s">
        <v>3261</v>
      </c>
    </row>
    <row r="1140" ht="14.25" customHeight="1">
      <c r="B1140" s="997" t="s">
        <v>3394</v>
      </c>
      <c r="G1140" s="997" t="s">
        <v>3391</v>
      </c>
      <c r="I1140" s="998" t="s">
        <v>55</v>
      </c>
      <c r="U1140" s="997" t="s">
        <v>3261</v>
      </c>
    </row>
    <row r="1141" ht="14.25" customHeight="1">
      <c r="B1141" s="997" t="s">
        <v>3396</v>
      </c>
      <c r="G1141" s="997" t="s">
        <v>3391</v>
      </c>
      <c r="I1141" s="998" t="s">
        <v>55</v>
      </c>
      <c r="U1141" s="997" t="s">
        <v>3261</v>
      </c>
    </row>
    <row r="1142" ht="14.25" customHeight="1">
      <c r="B1142" s="997" t="s">
        <v>3398</v>
      </c>
      <c r="G1142" s="997" t="s">
        <v>3391</v>
      </c>
      <c r="I1142" s="998" t="s">
        <v>55</v>
      </c>
      <c r="U1142" s="997" t="s">
        <v>3261</v>
      </c>
    </row>
    <row r="1143" ht="14.25" customHeight="1">
      <c r="B1143" s="997" t="s">
        <v>3400</v>
      </c>
      <c r="G1143" s="997" t="s">
        <v>3402</v>
      </c>
      <c r="I1143" s="998" t="s">
        <v>55</v>
      </c>
      <c r="U1143" s="997" t="s">
        <v>3405</v>
      </c>
    </row>
    <row r="1144" ht="14.25" customHeight="1">
      <c r="B1144" s="997" t="s">
        <v>3406</v>
      </c>
      <c r="G1144" s="997" t="s">
        <v>3402</v>
      </c>
      <c r="I1144" s="998" t="s">
        <v>55</v>
      </c>
      <c r="U1144" s="997" t="s">
        <v>3405</v>
      </c>
    </row>
    <row r="1145" ht="14.25" customHeight="1">
      <c r="B1145" s="997" t="s">
        <v>3408</v>
      </c>
      <c r="G1145" s="997" t="s">
        <v>3264</v>
      </c>
      <c r="I1145" s="998" t="s">
        <v>55</v>
      </c>
      <c r="U1145" s="997" t="s">
        <v>3411</v>
      </c>
    </row>
    <row r="1146" ht="14.25" customHeight="1">
      <c r="B1146" s="997" t="s">
        <v>3412</v>
      </c>
      <c r="G1146" s="997" t="s">
        <v>3264</v>
      </c>
      <c r="I1146" s="998" t="s">
        <v>55</v>
      </c>
      <c r="U1146" s="997" t="s">
        <v>3411</v>
      </c>
    </row>
    <row r="1147" ht="14.25" customHeight="1">
      <c r="B1147" s="997" t="s">
        <v>3414</v>
      </c>
      <c r="G1147" s="997" t="s">
        <v>3416</v>
      </c>
      <c r="I1147" s="998" t="s">
        <v>55</v>
      </c>
      <c r="U1147" s="997" t="s">
        <v>3418</v>
      </c>
    </row>
    <row r="1148" ht="14.25" customHeight="1">
      <c r="B1148" s="997" t="s">
        <v>3419</v>
      </c>
      <c r="G1148" s="997" t="s">
        <v>3421</v>
      </c>
      <c r="I1148" s="998" t="s">
        <v>55</v>
      </c>
      <c r="U1148" s="997" t="s">
        <v>3423</v>
      </c>
    </row>
    <row r="1149" ht="14.25" customHeight="1">
      <c r="B1149" s="997" t="s">
        <v>3424</v>
      </c>
      <c r="G1149" s="997" t="s">
        <v>3421</v>
      </c>
      <c r="I1149" s="998" t="s">
        <v>55</v>
      </c>
      <c r="U1149" s="997" t="s">
        <v>3423</v>
      </c>
    </row>
    <row r="1150" ht="14.25" customHeight="1">
      <c r="B1150" s="997" t="s">
        <v>3426</v>
      </c>
      <c r="G1150" s="997" t="s">
        <v>3428</v>
      </c>
      <c r="I1150" s="998" t="s">
        <v>55</v>
      </c>
      <c r="U1150" s="997" t="s">
        <v>3429</v>
      </c>
    </row>
    <row r="1151" ht="14.25" customHeight="1">
      <c r="B1151" s="997" t="s">
        <v>3430</v>
      </c>
      <c r="G1151" s="997" t="s">
        <v>3428</v>
      </c>
      <c r="I1151" s="998" t="s">
        <v>55</v>
      </c>
      <c r="U1151" s="997" t="s">
        <v>3429</v>
      </c>
    </row>
    <row r="1152" ht="14.25" customHeight="1">
      <c r="B1152" s="997" t="s">
        <v>3432</v>
      </c>
      <c r="G1152" s="997" t="s">
        <v>3428</v>
      </c>
      <c r="I1152" s="998" t="s">
        <v>55</v>
      </c>
      <c r="U1152" s="997" t="s">
        <v>3429</v>
      </c>
    </row>
    <row r="1153" ht="14.25" customHeight="1">
      <c r="B1153" s="997" t="s">
        <v>3434</v>
      </c>
      <c r="G1153" s="997" t="s">
        <v>3428</v>
      </c>
      <c r="I1153" s="998" t="s">
        <v>55</v>
      </c>
      <c r="U1153" s="997" t="s">
        <v>3429</v>
      </c>
    </row>
    <row r="1154" ht="14.25" customHeight="1">
      <c r="B1154" s="997" t="s">
        <v>3436</v>
      </c>
      <c r="G1154" s="997" t="s">
        <v>3428</v>
      </c>
      <c r="I1154" s="998" t="s">
        <v>55</v>
      </c>
      <c r="U1154" s="997" t="s">
        <v>3429</v>
      </c>
    </row>
    <row r="1155" ht="14.25" customHeight="1">
      <c r="B1155" s="997" t="s">
        <v>3438</v>
      </c>
      <c r="G1155" s="997" t="s">
        <v>3440</v>
      </c>
      <c r="I1155" s="998" t="s">
        <v>55</v>
      </c>
      <c r="U1155" s="997" t="s">
        <v>3441</v>
      </c>
    </row>
    <row r="1156" ht="14.25" customHeight="1">
      <c r="B1156" s="997" t="s">
        <v>3442</v>
      </c>
      <c r="G1156" s="1010" t="s">
        <v>3339</v>
      </c>
      <c r="I1156" s="998" t="s">
        <v>55</v>
      </c>
      <c r="U1156" s="997" t="s">
        <v>3317</v>
      </c>
    </row>
    <row r="1157" ht="14.25" customHeight="1">
      <c r="B1157" s="997" t="s">
        <v>3445</v>
      </c>
      <c r="G1157" s="1010" t="s">
        <v>3339</v>
      </c>
      <c r="I1157" s="998" t="s">
        <v>55</v>
      </c>
      <c r="U1157" s="997" t="s">
        <v>3317</v>
      </c>
    </row>
    <row r="1158" ht="14.25" customHeight="1">
      <c r="B1158" s="997" t="s">
        <v>3447</v>
      </c>
      <c r="G1158" s="1010" t="s">
        <v>3339</v>
      </c>
      <c r="I1158" s="998" t="s">
        <v>55</v>
      </c>
      <c r="U1158" s="997" t="s">
        <v>3317</v>
      </c>
    </row>
    <row r="1159" ht="14.25" customHeight="1">
      <c r="B1159" s="997" t="s">
        <v>3449</v>
      </c>
      <c r="G1159" s="1010" t="s">
        <v>3339</v>
      </c>
      <c r="I1159" s="998" t="s">
        <v>55</v>
      </c>
      <c r="U1159" s="997" t="s">
        <v>3317</v>
      </c>
    </row>
    <row r="1160" ht="14.25" customHeight="1">
      <c r="B1160" s="997" t="s">
        <v>3451</v>
      </c>
      <c r="G1160" s="1010" t="s">
        <v>3339</v>
      </c>
      <c r="I1160" s="998" t="s">
        <v>55</v>
      </c>
      <c r="U1160" s="997" t="s">
        <v>3317</v>
      </c>
    </row>
    <row r="1161" ht="14.25" customHeight="1">
      <c r="B1161" s="990"/>
      <c r="G1161" s="990"/>
      <c r="I1161" s="998" t="s">
        <v>55</v>
      </c>
      <c r="U1161" s="990"/>
    </row>
    <row r="1162" ht="14.25" customHeight="1">
      <c r="B1162" s="1011" t="s">
        <v>516</v>
      </c>
      <c r="G1162" s="1012"/>
      <c r="I1162" s="990"/>
      <c r="U1162" s="1012"/>
    </row>
    <row r="1163" ht="14.25" customHeight="1">
      <c r="B1163" s="997" t="s">
        <v>3467</v>
      </c>
      <c r="G1163" s="997" t="s">
        <v>3470</v>
      </c>
      <c r="I1163" s="1012"/>
      <c r="U1163" s="990"/>
    </row>
    <row r="1164" ht="14.25" customHeight="1">
      <c r="B1164" s="997" t="s">
        <v>3471</v>
      </c>
      <c r="G1164" s="997" t="s">
        <v>3473</v>
      </c>
      <c r="I1164" s="998" t="s">
        <v>59</v>
      </c>
      <c r="U1164" s="990"/>
    </row>
    <row r="1165" ht="14.25" customHeight="1">
      <c r="B1165" s="997" t="s">
        <v>3474</v>
      </c>
      <c r="G1165" s="997" t="s">
        <v>3244</v>
      </c>
      <c r="I1165" s="998" t="s">
        <v>59</v>
      </c>
      <c r="U1165" s="990"/>
    </row>
    <row r="1166" ht="14.25" customHeight="1">
      <c r="B1166" s="997" t="s">
        <v>3476</v>
      </c>
      <c r="G1166" s="997" t="s">
        <v>3478</v>
      </c>
      <c r="I1166" s="998" t="s">
        <v>59</v>
      </c>
      <c r="U1166" s="990"/>
    </row>
    <row r="1167" ht="14.25" customHeight="1">
      <c r="B1167" s="1010" t="s">
        <v>3481</v>
      </c>
      <c r="G1167" s="997" t="s">
        <v>3239</v>
      </c>
      <c r="I1167" s="998" t="s">
        <v>59</v>
      </c>
      <c r="U1167" s="990"/>
    </row>
    <row r="1168" ht="14.25" customHeight="1">
      <c r="B1168" s="1010" t="s">
        <v>3483</v>
      </c>
      <c r="G1168" s="997" t="s">
        <v>3239</v>
      </c>
      <c r="I1168" s="998" t="s">
        <v>59</v>
      </c>
      <c r="U1168" s="997" t="s">
        <v>3487</v>
      </c>
    </row>
    <row r="1169" ht="14.25" customHeight="1">
      <c r="B1169" s="997" t="s">
        <v>3489</v>
      </c>
      <c r="G1169" s="997" t="s">
        <v>3239</v>
      </c>
      <c r="I1169" s="998" t="s">
        <v>59</v>
      </c>
      <c r="U1169" s="990"/>
    </row>
    <row r="1170" ht="14.25" customHeight="1">
      <c r="B1170" s="997" t="s">
        <v>3493</v>
      </c>
      <c r="G1170" s="997" t="s">
        <v>3239</v>
      </c>
      <c r="I1170" s="998" t="s">
        <v>59</v>
      </c>
      <c r="U1170" s="990"/>
    </row>
    <row r="1171" ht="14.25" customHeight="1">
      <c r="B1171" s="997" t="s">
        <v>3496</v>
      </c>
      <c r="G1171" s="997" t="s">
        <v>3239</v>
      </c>
      <c r="I1171" s="998" t="s">
        <v>59</v>
      </c>
      <c r="U1171" s="990"/>
    </row>
    <row r="1172" ht="14.25" customHeight="1">
      <c r="B1172" s="997" t="s">
        <v>3500</v>
      </c>
      <c r="G1172" s="997" t="s">
        <v>3239</v>
      </c>
      <c r="I1172" s="998" t="s">
        <v>59</v>
      </c>
      <c r="U1172" s="990"/>
    </row>
    <row r="1173" ht="14.25" customHeight="1">
      <c r="B1173" s="997" t="s">
        <v>3503</v>
      </c>
      <c r="G1173" s="1010" t="s">
        <v>3252</v>
      </c>
      <c r="I1173" s="998" t="s">
        <v>59</v>
      </c>
      <c r="U1173" s="990"/>
    </row>
    <row r="1174" ht="14.25" customHeight="1">
      <c r="B1174" s="997" t="s">
        <v>3505</v>
      </c>
      <c r="G1174" s="1010" t="s">
        <v>3252</v>
      </c>
      <c r="I1174" s="998" t="s">
        <v>59</v>
      </c>
      <c r="U1174" s="997" t="s">
        <v>3509</v>
      </c>
    </row>
    <row r="1175" ht="14.25" customHeight="1">
      <c r="B1175" s="997" t="s">
        <v>3511</v>
      </c>
      <c r="G1175" s="997" t="s">
        <v>3514</v>
      </c>
      <c r="I1175" s="998" t="s">
        <v>59</v>
      </c>
      <c r="U1175" s="990"/>
    </row>
    <row r="1176" ht="14.25" customHeight="1">
      <c r="B1176" s="990"/>
      <c r="G1176" s="990"/>
      <c r="I1176" s="998" t="s">
        <v>59</v>
      </c>
      <c r="U1176" s="990"/>
    </row>
    <row r="1177" ht="14.25" customHeight="1">
      <c r="B1177" s="1014" t="s">
        <v>3517</v>
      </c>
      <c r="G1177" s="1007"/>
      <c r="I1177" s="990"/>
      <c r="U1177" s="1007"/>
    </row>
    <row r="1178" ht="14.25" customHeight="1">
      <c r="B1178" s="1011" t="s">
        <v>654</v>
      </c>
      <c r="G1178" s="1012"/>
      <c r="I1178" s="1007"/>
      <c r="U1178" s="1012"/>
    </row>
    <row r="1179" ht="14.25" customHeight="1">
      <c r="B1179" s="997" t="s">
        <v>3518</v>
      </c>
      <c r="G1179" s="997" t="s">
        <v>3521</v>
      </c>
      <c r="I1179" s="1012"/>
      <c r="U1179" s="990"/>
    </row>
    <row r="1180" ht="14.25" customHeight="1">
      <c r="B1180" s="997" t="s">
        <v>3523</v>
      </c>
      <c r="G1180" s="997" t="s">
        <v>3526</v>
      </c>
      <c r="I1180" s="998" t="s">
        <v>45</v>
      </c>
      <c r="U1180" s="990"/>
    </row>
    <row r="1181" ht="14.25" customHeight="1">
      <c r="B1181" s="997" t="s">
        <v>3528</v>
      </c>
      <c r="G1181" s="997" t="s">
        <v>3526</v>
      </c>
      <c r="I1181" s="998" t="s">
        <v>45</v>
      </c>
      <c r="U1181" s="990"/>
    </row>
    <row r="1182" ht="14.25" customHeight="1">
      <c r="B1182" s="997" t="s">
        <v>3531</v>
      </c>
      <c r="G1182" s="997" t="s">
        <v>3526</v>
      </c>
      <c r="I1182" s="998" t="s">
        <v>45</v>
      </c>
      <c r="U1182" s="990"/>
    </row>
    <row r="1183" ht="14.25" customHeight="1">
      <c r="B1183" s="997" t="s">
        <v>3534</v>
      </c>
      <c r="G1183" s="997" t="s">
        <v>3537</v>
      </c>
      <c r="I1183" s="998" t="s">
        <v>45</v>
      </c>
      <c r="U1183" s="990"/>
    </row>
    <row r="1184" ht="14.25" customHeight="1">
      <c r="B1184" s="997" t="s">
        <v>3540</v>
      </c>
      <c r="G1184" s="997" t="s">
        <v>3537</v>
      </c>
      <c r="I1184" s="998" t="s">
        <v>45</v>
      </c>
      <c r="U1184" s="990"/>
    </row>
    <row r="1185" ht="14.25" customHeight="1">
      <c r="B1185" s="997" t="s">
        <v>3550</v>
      </c>
      <c r="G1185" s="997" t="s">
        <v>3553</v>
      </c>
      <c r="I1185" s="998" t="s">
        <v>45</v>
      </c>
      <c r="U1185" s="990"/>
    </row>
    <row r="1186" ht="14.25" customHeight="1">
      <c r="B1186" s="997" t="s">
        <v>3555</v>
      </c>
      <c r="G1186" s="997" t="s">
        <v>3558</v>
      </c>
      <c r="I1186" s="998" t="s">
        <v>45</v>
      </c>
      <c r="U1186" s="990"/>
    </row>
    <row r="1187" ht="14.25" customHeight="1">
      <c r="B1187" s="997" t="s">
        <v>3560</v>
      </c>
      <c r="G1187" s="997" t="s">
        <v>3558</v>
      </c>
      <c r="I1187" s="998" t="s">
        <v>45</v>
      </c>
      <c r="U1187" s="990"/>
    </row>
    <row r="1188" ht="14.25" customHeight="1">
      <c r="B1188" s="997" t="s">
        <v>3563</v>
      </c>
      <c r="G1188" s="997" t="s">
        <v>3566</v>
      </c>
      <c r="I1188" s="998" t="s">
        <v>45</v>
      </c>
      <c r="U1188" s="990"/>
    </row>
    <row r="1189" ht="14.25" customHeight="1">
      <c r="B1189" s="997" t="s">
        <v>3568</v>
      </c>
      <c r="G1189" s="997" t="s">
        <v>3570</v>
      </c>
      <c r="I1189" s="998" t="s">
        <v>45</v>
      </c>
      <c r="U1189" s="990"/>
    </row>
    <row r="1190" ht="14.25" customHeight="1">
      <c r="B1190" s="997" t="s">
        <v>3571</v>
      </c>
      <c r="G1190" s="997" t="s">
        <v>3574</v>
      </c>
      <c r="I1190" s="998" t="s">
        <v>45</v>
      </c>
      <c r="U1190" s="990"/>
    </row>
    <row r="1191" ht="14.25" customHeight="1">
      <c r="B1191" s="997" t="s">
        <v>3576</v>
      </c>
      <c r="G1191" s="997" t="s">
        <v>3470</v>
      </c>
      <c r="I1191" s="998" t="s">
        <v>45</v>
      </c>
      <c r="U1191" s="990"/>
    </row>
    <row r="1192" ht="14.25" customHeight="1">
      <c r="B1192" s="997" t="s">
        <v>3579</v>
      </c>
      <c r="G1192" s="997" t="s">
        <v>3470</v>
      </c>
      <c r="I1192" s="998" t="s">
        <v>45</v>
      </c>
      <c r="U1192" s="990"/>
    </row>
    <row r="1193" ht="14.25" customHeight="1">
      <c r="B1193" s="997" t="s">
        <v>7106</v>
      </c>
      <c r="G1193" s="997" t="s">
        <v>7107</v>
      </c>
      <c r="I1193" s="998" t="s">
        <v>45</v>
      </c>
      <c r="U1193" s="990"/>
    </row>
    <row r="1194" ht="14.25" customHeight="1">
      <c r="B1194" s="997" t="s">
        <v>3584</v>
      </c>
      <c r="G1194" s="997" t="s">
        <v>7108</v>
      </c>
      <c r="I1194" s="998" t="s">
        <v>45</v>
      </c>
      <c r="U1194" s="990"/>
    </row>
    <row r="1195" ht="14.25" customHeight="1">
      <c r="B1195" s="997" t="s">
        <v>3589</v>
      </c>
      <c r="G1195" s="997" t="s">
        <v>7109</v>
      </c>
      <c r="I1195" s="998" t="s">
        <v>45</v>
      </c>
      <c r="U1195" s="990"/>
    </row>
    <row r="1196" ht="14.25" customHeight="1">
      <c r="B1196" s="997" t="s">
        <v>3596</v>
      </c>
      <c r="G1196" s="997" t="s">
        <v>3599</v>
      </c>
      <c r="I1196" s="998" t="s">
        <v>45</v>
      </c>
      <c r="U1196" s="990"/>
    </row>
    <row r="1197" ht="14.25" customHeight="1">
      <c r="B1197" s="997" t="s">
        <v>3601</v>
      </c>
      <c r="G1197" s="997" t="s">
        <v>3599</v>
      </c>
      <c r="I1197" s="998" t="s">
        <v>45</v>
      </c>
      <c r="U1197" s="990"/>
    </row>
    <row r="1198" ht="14.25" customHeight="1">
      <c r="B1198" s="997" t="s">
        <v>3607</v>
      </c>
      <c r="G1198" s="997" t="s">
        <v>3514</v>
      </c>
      <c r="I1198" s="998" t="s">
        <v>45</v>
      </c>
      <c r="U1198" s="990"/>
    </row>
    <row r="1199" ht="14.25" customHeight="1">
      <c r="B1199" s="997" t="s">
        <v>3610</v>
      </c>
      <c r="G1199" s="997" t="s">
        <v>3613</v>
      </c>
      <c r="I1199" s="998" t="s">
        <v>45</v>
      </c>
      <c r="U1199" s="990"/>
    </row>
    <row r="1200" ht="14.25" customHeight="1">
      <c r="B1200" s="997" t="s">
        <v>3614</v>
      </c>
      <c r="G1200" s="997" t="s">
        <v>3616</v>
      </c>
      <c r="I1200" s="998" t="s">
        <v>45</v>
      </c>
      <c r="U1200" s="1015" t="s">
        <v>3619</v>
      </c>
    </row>
    <row r="1201" ht="14.25" customHeight="1">
      <c r="B1201" s="997" t="s">
        <v>3620</v>
      </c>
      <c r="G1201" s="997" t="s">
        <v>3622</v>
      </c>
      <c r="I1201" s="998" t="s">
        <v>45</v>
      </c>
      <c r="U1201" s="990"/>
    </row>
    <row r="1202" ht="14.25" customHeight="1">
      <c r="B1202" s="997" t="s">
        <v>3627</v>
      </c>
      <c r="G1202" s="997" t="s">
        <v>3622</v>
      </c>
      <c r="I1202" s="998" t="s">
        <v>45</v>
      </c>
      <c r="U1202" s="990"/>
    </row>
    <row r="1203" ht="14.25" customHeight="1">
      <c r="B1203" s="997" t="s">
        <v>3629</v>
      </c>
      <c r="G1203" s="997" t="s">
        <v>3631</v>
      </c>
      <c r="I1203" s="998" t="s">
        <v>45</v>
      </c>
      <c r="U1203" s="990"/>
    </row>
    <row r="1204" ht="14.25" customHeight="1">
      <c r="B1204" s="997" t="s">
        <v>3632</v>
      </c>
      <c r="G1204" s="997" t="s">
        <v>3634</v>
      </c>
      <c r="I1204" s="998" t="s">
        <v>45</v>
      </c>
      <c r="U1204" s="997" t="s">
        <v>3636</v>
      </c>
    </row>
    <row r="1205" ht="14.25" customHeight="1">
      <c r="B1205" s="997" t="s">
        <v>3637</v>
      </c>
      <c r="G1205" s="997" t="s">
        <v>3688</v>
      </c>
      <c r="I1205" s="998" t="s">
        <v>45</v>
      </c>
      <c r="U1205" s="990"/>
    </row>
    <row r="1206" ht="14.25" customHeight="1">
      <c r="B1206" s="997" t="s">
        <v>3642</v>
      </c>
      <c r="G1206" s="997" t="s">
        <v>3644</v>
      </c>
      <c r="I1206" s="998" t="s">
        <v>45</v>
      </c>
      <c r="U1206" s="997" t="s">
        <v>3647</v>
      </c>
    </row>
    <row r="1207" ht="14.25" customHeight="1">
      <c r="B1207" s="997" t="s">
        <v>3648</v>
      </c>
      <c r="G1207" s="997" t="s">
        <v>3644</v>
      </c>
      <c r="I1207" s="998" t="s">
        <v>45</v>
      </c>
      <c r="U1207" s="997" t="s">
        <v>3652</v>
      </c>
    </row>
    <row r="1208" ht="14.25" customHeight="1">
      <c r="B1208" s="997" t="s">
        <v>3653</v>
      </c>
      <c r="G1208" s="997" t="s">
        <v>3558</v>
      </c>
      <c r="I1208" s="998" t="s">
        <v>45</v>
      </c>
      <c r="U1208" s="990"/>
    </row>
    <row r="1209" ht="14.25" customHeight="1">
      <c r="B1209" s="997" t="s">
        <v>3658</v>
      </c>
      <c r="G1209" s="997" t="s">
        <v>3558</v>
      </c>
      <c r="I1209" s="998" t="s">
        <v>45</v>
      </c>
      <c r="U1209" s="990"/>
    </row>
    <row r="1210" ht="14.25" customHeight="1">
      <c r="B1210" s="997" t="s">
        <v>3660</v>
      </c>
      <c r="G1210" s="997" t="s">
        <v>3663</v>
      </c>
      <c r="I1210" s="998" t="s">
        <v>45</v>
      </c>
      <c r="U1210" s="990"/>
    </row>
    <row r="1211" ht="14.25" customHeight="1">
      <c r="B1211" s="997" t="s">
        <v>3665</v>
      </c>
      <c r="G1211" s="997" t="s">
        <v>5856</v>
      </c>
      <c r="I1211" s="998" t="s">
        <v>45</v>
      </c>
      <c r="U1211" s="990"/>
    </row>
    <row r="1212" ht="14.25" customHeight="1">
      <c r="B1212" s="997" t="s">
        <v>3671</v>
      </c>
      <c r="G1212" s="997" t="s">
        <v>5856</v>
      </c>
      <c r="I1212" s="998" t="s">
        <v>45</v>
      </c>
      <c r="U1212" s="997" t="s">
        <v>3675</v>
      </c>
    </row>
    <row r="1213" ht="14.25" customHeight="1">
      <c r="B1213" s="997" t="s">
        <v>3676</v>
      </c>
      <c r="G1213" s="997" t="s">
        <v>5856</v>
      </c>
      <c r="I1213" s="998" t="s">
        <v>45</v>
      </c>
      <c r="U1213" s="990"/>
    </row>
    <row r="1214" ht="14.25" customHeight="1">
      <c r="B1214" s="997" t="s">
        <v>3680</v>
      </c>
      <c r="G1214" s="997" t="s">
        <v>3682</v>
      </c>
      <c r="I1214" s="998" t="s">
        <v>45</v>
      </c>
      <c r="U1214" s="990"/>
    </row>
    <row r="1215" ht="14.25" customHeight="1">
      <c r="B1215" s="997" t="s">
        <v>3684</v>
      </c>
      <c r="G1215" s="997" t="s">
        <v>3682</v>
      </c>
      <c r="I1215" s="998" t="s">
        <v>45</v>
      </c>
      <c r="U1215" s="990"/>
    </row>
    <row r="1216" ht="14.25" customHeight="1">
      <c r="B1216" s="997" t="s">
        <v>3686</v>
      </c>
      <c r="G1216" s="997" t="s">
        <v>3688</v>
      </c>
      <c r="I1216" s="998" t="s">
        <v>45</v>
      </c>
      <c r="U1216" s="990"/>
    </row>
    <row r="1217" ht="14.25" customHeight="1">
      <c r="B1217" s="997" t="s">
        <v>3691</v>
      </c>
      <c r="G1217" s="997" t="s">
        <v>3688</v>
      </c>
      <c r="I1217" s="998" t="s">
        <v>45</v>
      </c>
      <c r="U1217" s="990"/>
    </row>
    <row r="1218" ht="14.25" customHeight="1">
      <c r="B1218" s="997" t="s">
        <v>3700</v>
      </c>
      <c r="G1218" s="997" t="s">
        <v>3702</v>
      </c>
      <c r="I1218" s="998" t="s">
        <v>45</v>
      </c>
      <c r="U1218" s="997" t="s">
        <v>3705</v>
      </c>
    </row>
    <row r="1219" ht="14.25" customHeight="1">
      <c r="B1219" s="997" t="s">
        <v>3706</v>
      </c>
      <c r="G1219" s="1010" t="s">
        <v>3708</v>
      </c>
      <c r="I1219" s="998" t="s">
        <v>45</v>
      </c>
      <c r="U1219" s="997">
        <v>7.0</v>
      </c>
    </row>
    <row r="1220" ht="14.25" customHeight="1">
      <c r="B1220" s="997" t="s">
        <v>3713</v>
      </c>
      <c r="G1220" s="1010" t="s">
        <v>3708</v>
      </c>
      <c r="I1220" s="998" t="s">
        <v>45</v>
      </c>
      <c r="U1220" s="997" t="s">
        <v>3716</v>
      </c>
    </row>
    <row r="1221" ht="14.25" customHeight="1">
      <c r="B1221" s="997" t="s">
        <v>3717</v>
      </c>
      <c r="G1221" s="1010" t="s">
        <v>3708</v>
      </c>
      <c r="I1221" s="998" t="s">
        <v>45</v>
      </c>
      <c r="U1221" s="997" t="s">
        <v>3719</v>
      </c>
    </row>
    <row r="1222" ht="14.25" customHeight="1">
      <c r="B1222" s="997" t="s">
        <v>3724</v>
      </c>
      <c r="G1222" s="997" t="s">
        <v>3726</v>
      </c>
      <c r="I1222" s="998" t="s">
        <v>45</v>
      </c>
      <c r="U1222" s="990"/>
    </row>
    <row r="1223" ht="14.25" customHeight="1">
      <c r="B1223" s="997" t="s">
        <v>3730</v>
      </c>
      <c r="G1223" s="997" t="s">
        <v>3726</v>
      </c>
      <c r="I1223" s="998" t="s">
        <v>45</v>
      </c>
      <c r="U1223" s="990"/>
    </row>
    <row r="1224" ht="14.25" customHeight="1">
      <c r="B1224" s="997" t="s">
        <v>3733</v>
      </c>
      <c r="G1224" s="997" t="s">
        <v>3726</v>
      </c>
      <c r="I1224" s="998" t="s">
        <v>45</v>
      </c>
      <c r="U1224" s="990"/>
    </row>
    <row r="1225" ht="14.25" customHeight="1">
      <c r="B1225" s="990"/>
      <c r="G1225" s="990"/>
      <c r="I1225" s="998" t="s">
        <v>45</v>
      </c>
      <c r="U1225" s="990"/>
    </row>
    <row r="1226" ht="14.25" customHeight="1">
      <c r="B1226" s="990"/>
      <c r="G1226" s="990"/>
      <c r="I1226" s="990"/>
      <c r="U1226" s="990"/>
    </row>
    <row r="1227" ht="14.25" customHeight="1">
      <c r="B1227" s="990"/>
      <c r="G1227" s="990"/>
      <c r="I1227" s="990"/>
      <c r="U1227" s="990"/>
    </row>
    <row r="1228" ht="14.25" customHeight="1">
      <c r="B1228" s="990"/>
      <c r="G1228" s="990"/>
      <c r="I1228" s="990"/>
      <c r="U1228" s="990"/>
    </row>
    <row r="1229" ht="14.25" customHeight="1">
      <c r="B1229" s="990"/>
      <c r="G1229" s="990"/>
      <c r="I1229" s="990"/>
      <c r="U1229" s="990"/>
    </row>
    <row r="1230" ht="14.25" customHeight="1">
      <c r="B1230" s="990"/>
      <c r="G1230" s="990"/>
      <c r="I1230" s="990"/>
      <c r="U1230" s="990"/>
    </row>
    <row r="1231" ht="14.25" customHeight="1">
      <c r="B1231" s="1011" t="s">
        <v>761</v>
      </c>
      <c r="G1231" s="1012"/>
      <c r="I1231" s="990"/>
      <c r="U1231" s="1012"/>
    </row>
    <row r="1232" ht="14.25" customHeight="1">
      <c r="B1232" s="997" t="s">
        <v>3736</v>
      </c>
      <c r="G1232" s="997" t="s">
        <v>3739</v>
      </c>
      <c r="I1232" s="1012"/>
      <c r="U1232" s="990"/>
    </row>
    <row r="1233" ht="14.25" customHeight="1">
      <c r="B1233" s="997" t="s">
        <v>3740</v>
      </c>
      <c r="G1233" s="997" t="s">
        <v>3739</v>
      </c>
      <c r="I1233" s="998" t="s">
        <v>56</v>
      </c>
      <c r="U1233" s="990"/>
    </row>
    <row r="1234" ht="14.25" customHeight="1">
      <c r="B1234" s="997" t="s">
        <v>3743</v>
      </c>
      <c r="G1234" s="997" t="s">
        <v>3739</v>
      </c>
      <c r="I1234" s="998" t="s">
        <v>56</v>
      </c>
      <c r="U1234" s="990"/>
    </row>
    <row r="1235" ht="14.25" customHeight="1">
      <c r="B1235" s="997" t="s">
        <v>3746</v>
      </c>
      <c r="G1235" s="997" t="s">
        <v>3749</v>
      </c>
      <c r="I1235" s="998" t="s">
        <v>56</v>
      </c>
      <c r="U1235" s="990"/>
    </row>
    <row r="1236" ht="14.25" customHeight="1">
      <c r="B1236" s="997" t="s">
        <v>3750</v>
      </c>
      <c r="G1236" s="997" t="s">
        <v>3753</v>
      </c>
      <c r="I1236" s="998" t="s">
        <v>56</v>
      </c>
      <c r="U1236" s="990"/>
    </row>
    <row r="1237" ht="14.25" customHeight="1">
      <c r="B1237" s="997" t="s">
        <v>3755</v>
      </c>
      <c r="G1237" s="997" t="s">
        <v>3622</v>
      </c>
      <c r="I1237" s="998" t="s">
        <v>56</v>
      </c>
      <c r="U1237" s="990"/>
    </row>
    <row r="1238" ht="14.25" customHeight="1">
      <c r="B1238" s="997" t="s">
        <v>3758</v>
      </c>
      <c r="G1238" s="997" t="s">
        <v>3558</v>
      </c>
      <c r="I1238" s="998" t="s">
        <v>56</v>
      </c>
      <c r="U1238" s="990"/>
    </row>
    <row r="1239" ht="14.25" customHeight="1">
      <c r="B1239" s="997" t="s">
        <v>3761</v>
      </c>
      <c r="G1239" s="997" t="s">
        <v>3574</v>
      </c>
      <c r="I1239" s="998" t="s">
        <v>56</v>
      </c>
      <c r="U1239" s="990"/>
    </row>
    <row r="1240" ht="14.25" customHeight="1">
      <c r="B1240" s="997" t="s">
        <v>3765</v>
      </c>
      <c r="G1240" s="997" t="s">
        <v>3470</v>
      </c>
      <c r="I1240" s="998" t="s">
        <v>56</v>
      </c>
      <c r="U1240" s="990"/>
    </row>
    <row r="1241" ht="14.25" customHeight="1">
      <c r="B1241" s="997" t="s">
        <v>3768</v>
      </c>
      <c r="G1241" s="997" t="s">
        <v>3688</v>
      </c>
      <c r="I1241" s="998" t="s">
        <v>56</v>
      </c>
      <c r="U1241" s="990"/>
    </row>
    <row r="1242" ht="14.25" customHeight="1">
      <c r="B1242" s="997" t="s">
        <v>3771</v>
      </c>
      <c r="G1242" s="997" t="s">
        <v>3616</v>
      </c>
      <c r="I1242" s="998" t="s">
        <v>56</v>
      </c>
      <c r="U1242" s="997" t="s">
        <v>3619</v>
      </c>
    </row>
    <row r="1243" ht="14.25" customHeight="1">
      <c r="B1243" s="997" t="s">
        <v>3773</v>
      </c>
      <c r="G1243" s="997" t="s">
        <v>3599</v>
      </c>
      <c r="I1243" s="998" t="s">
        <v>56</v>
      </c>
      <c r="U1243" s="990"/>
    </row>
    <row r="1244" ht="14.25" customHeight="1">
      <c r="B1244" s="997" t="s">
        <v>3776</v>
      </c>
      <c r="G1244" s="997" t="s">
        <v>3599</v>
      </c>
      <c r="I1244" s="998" t="s">
        <v>56</v>
      </c>
      <c r="U1244" s="990"/>
    </row>
    <row r="1245" ht="14.25" customHeight="1">
      <c r="B1245" s="997" t="s">
        <v>3779</v>
      </c>
      <c r="G1245" s="997" t="s">
        <v>3558</v>
      </c>
      <c r="I1245" s="998" t="s">
        <v>56</v>
      </c>
      <c r="U1245" s="990"/>
    </row>
    <row r="1246" ht="14.25" customHeight="1">
      <c r="B1246" s="997" t="s">
        <v>3782</v>
      </c>
      <c r="G1246" s="997" t="s">
        <v>3558</v>
      </c>
      <c r="I1246" s="998" t="s">
        <v>56</v>
      </c>
      <c r="U1246" s="990"/>
    </row>
    <row r="1247" ht="14.25" customHeight="1">
      <c r="B1247" s="997" t="s">
        <v>3784</v>
      </c>
      <c r="G1247" s="997" t="s">
        <v>3470</v>
      </c>
      <c r="I1247" s="998" t="s">
        <v>56</v>
      </c>
      <c r="U1247" s="997" t="s">
        <v>3787</v>
      </c>
    </row>
    <row r="1248" ht="14.25" customHeight="1">
      <c r="B1248" s="997" t="s">
        <v>3788</v>
      </c>
      <c r="G1248" s="997" t="s">
        <v>3470</v>
      </c>
      <c r="I1248" s="998" t="s">
        <v>56</v>
      </c>
      <c r="U1248" s="990"/>
    </row>
    <row r="1249" ht="14.25" customHeight="1">
      <c r="B1249" s="997" t="s">
        <v>3793</v>
      </c>
      <c r="G1249" s="997" t="s">
        <v>3644</v>
      </c>
      <c r="I1249" s="998" t="s">
        <v>56</v>
      </c>
      <c r="U1249" s="997" t="s">
        <v>3796</v>
      </c>
    </row>
    <row r="1250" ht="14.25" customHeight="1">
      <c r="B1250" s="997" t="s">
        <v>3797</v>
      </c>
      <c r="G1250" s="997" t="s">
        <v>3644</v>
      </c>
      <c r="I1250" s="998" t="s">
        <v>56</v>
      </c>
      <c r="U1250" s="997" t="s">
        <v>3800</v>
      </c>
    </row>
    <row r="1251" ht="14.25" customHeight="1">
      <c r="B1251" s="997" t="s">
        <v>3801</v>
      </c>
      <c r="G1251" s="997" t="s">
        <v>3803</v>
      </c>
      <c r="I1251" s="998" t="s">
        <v>56</v>
      </c>
      <c r="U1251" s="990"/>
    </row>
    <row r="1252" ht="14.25" customHeight="1">
      <c r="B1252" s="997" t="s">
        <v>3805</v>
      </c>
      <c r="G1252" s="997" t="s">
        <v>5871</v>
      </c>
      <c r="I1252" s="998" t="s">
        <v>56</v>
      </c>
      <c r="U1252" s="990"/>
    </row>
    <row r="1253" ht="14.25" customHeight="1">
      <c r="B1253" s="997" t="s">
        <v>3810</v>
      </c>
      <c r="G1253" s="997" t="s">
        <v>5849</v>
      </c>
      <c r="I1253" s="998" t="s">
        <v>56</v>
      </c>
      <c r="U1253" s="990"/>
    </row>
    <row r="1254" ht="14.25" customHeight="1">
      <c r="B1254" s="997" t="s">
        <v>3816</v>
      </c>
      <c r="G1254" s="997" t="s">
        <v>3682</v>
      </c>
      <c r="I1254" s="998" t="s">
        <v>56</v>
      </c>
      <c r="U1254" s="990"/>
    </row>
    <row r="1255" ht="14.25" customHeight="1">
      <c r="B1255" s="997" t="s">
        <v>3818</v>
      </c>
      <c r="G1255" s="997" t="s">
        <v>7111</v>
      </c>
      <c r="I1255" s="998" t="s">
        <v>56</v>
      </c>
      <c r="U1255" s="990"/>
    </row>
    <row r="1256" ht="14.25" customHeight="1">
      <c r="B1256" s="997" t="s">
        <v>3822</v>
      </c>
      <c r="G1256" s="997" t="s">
        <v>7111</v>
      </c>
      <c r="I1256" s="998" t="s">
        <v>56</v>
      </c>
      <c r="U1256" s="990"/>
    </row>
    <row r="1257" ht="14.25" customHeight="1">
      <c r="B1257" s="997" t="s">
        <v>3825</v>
      </c>
      <c r="G1257" s="997" t="s">
        <v>3726</v>
      </c>
      <c r="I1257" s="998" t="s">
        <v>56</v>
      </c>
      <c r="U1257" s="990"/>
    </row>
    <row r="1258" ht="14.25" customHeight="1">
      <c r="B1258" s="997" t="s">
        <v>3828</v>
      </c>
      <c r="G1258" s="997" t="s">
        <v>3726</v>
      </c>
      <c r="I1258" s="998" t="s">
        <v>56</v>
      </c>
      <c r="U1258" s="990"/>
    </row>
    <row r="1259" ht="14.25" customHeight="1">
      <c r="B1259" s="997" t="s">
        <v>3831</v>
      </c>
      <c r="G1259" s="997" t="s">
        <v>3688</v>
      </c>
      <c r="I1259" s="998" t="s">
        <v>56</v>
      </c>
      <c r="U1259" s="990"/>
    </row>
    <row r="1260" ht="14.25" customHeight="1">
      <c r="B1260" s="997" t="s">
        <v>3834</v>
      </c>
      <c r="G1260" s="997" t="s">
        <v>3708</v>
      </c>
      <c r="I1260" s="998" t="s">
        <v>56</v>
      </c>
      <c r="U1260" s="997" t="s">
        <v>3837</v>
      </c>
    </row>
    <row r="1261" ht="14.25" customHeight="1">
      <c r="B1261" s="990"/>
      <c r="G1261" s="990"/>
      <c r="I1261" s="998" t="s">
        <v>56</v>
      </c>
      <c r="U1261" s="990"/>
    </row>
    <row r="1262" ht="14.25" customHeight="1">
      <c r="B1262" s="1011" t="s">
        <v>832</v>
      </c>
      <c r="G1262" s="1012"/>
      <c r="I1262" s="990"/>
      <c r="U1262" s="1012"/>
    </row>
    <row r="1263" ht="14.25" customHeight="1">
      <c r="B1263" s="997" t="s">
        <v>3838</v>
      </c>
      <c r="G1263" s="997" t="s">
        <v>3739</v>
      </c>
      <c r="I1263" s="1012"/>
      <c r="U1263" s="990"/>
    </row>
    <row r="1264" ht="14.25" customHeight="1">
      <c r="B1264" s="997" t="s">
        <v>3840</v>
      </c>
      <c r="G1264" s="997" t="s">
        <v>3739</v>
      </c>
      <c r="I1264" s="998" t="s">
        <v>6530</v>
      </c>
      <c r="U1264" s="990"/>
    </row>
    <row r="1265" ht="14.25" customHeight="1">
      <c r="B1265" s="997" t="s">
        <v>3842</v>
      </c>
      <c r="G1265" s="997" t="s">
        <v>3739</v>
      </c>
      <c r="I1265" s="998" t="s">
        <v>6530</v>
      </c>
      <c r="U1265" s="990"/>
    </row>
    <row r="1266" ht="14.25" customHeight="1">
      <c r="B1266" s="997" t="s">
        <v>3737</v>
      </c>
      <c r="G1266" s="997" t="s">
        <v>3739</v>
      </c>
      <c r="I1266" s="998" t="s">
        <v>6530</v>
      </c>
      <c r="U1266" s="990"/>
    </row>
    <row r="1267" ht="14.25" customHeight="1">
      <c r="B1267" s="997" t="s">
        <v>3741</v>
      </c>
      <c r="G1267" s="997" t="s">
        <v>3739</v>
      </c>
      <c r="I1267" s="998" t="s">
        <v>6530</v>
      </c>
      <c r="U1267" s="990"/>
    </row>
    <row r="1268" ht="14.25" customHeight="1">
      <c r="B1268" s="997" t="s">
        <v>3847</v>
      </c>
      <c r="G1268" s="997" t="s">
        <v>3553</v>
      </c>
      <c r="I1268" s="998" t="s">
        <v>6530</v>
      </c>
      <c r="U1268" s="990"/>
    </row>
    <row r="1269" ht="14.25" customHeight="1">
      <c r="B1269" s="997" t="s">
        <v>3751</v>
      </c>
      <c r="G1269" s="997" t="s">
        <v>3553</v>
      </c>
      <c r="I1269" s="998" t="s">
        <v>6530</v>
      </c>
      <c r="U1269" s="990"/>
    </row>
    <row r="1270" ht="14.25" customHeight="1">
      <c r="B1270" s="997" t="s">
        <v>3747</v>
      </c>
      <c r="G1270" s="997" t="s">
        <v>3537</v>
      </c>
      <c r="I1270" s="998" t="s">
        <v>6530</v>
      </c>
      <c r="U1270" s="990"/>
    </row>
    <row r="1271" ht="14.25" customHeight="1">
      <c r="B1271" s="997" t="s">
        <v>3851</v>
      </c>
      <c r="G1271" s="997" t="s">
        <v>3854</v>
      </c>
      <c r="I1271" s="998" t="s">
        <v>6530</v>
      </c>
      <c r="U1271" s="990"/>
    </row>
    <row r="1272" ht="14.25" customHeight="1">
      <c r="B1272" s="997" t="s">
        <v>3759</v>
      </c>
      <c r="G1272" s="997" t="s">
        <v>3558</v>
      </c>
      <c r="I1272" s="998" t="s">
        <v>6530</v>
      </c>
      <c r="U1272" s="990"/>
    </row>
    <row r="1273" ht="14.25" customHeight="1">
      <c r="B1273" s="997" t="s">
        <v>3857</v>
      </c>
      <c r="G1273" s="997" t="s">
        <v>3599</v>
      </c>
      <c r="I1273" s="998" t="s">
        <v>6530</v>
      </c>
      <c r="U1273" s="990"/>
    </row>
    <row r="1274" ht="14.25" customHeight="1">
      <c r="B1274" s="997" t="s">
        <v>3860</v>
      </c>
      <c r="G1274" s="997" t="s">
        <v>3862</v>
      </c>
      <c r="I1274" s="998" t="s">
        <v>6530</v>
      </c>
      <c r="U1274" s="990"/>
    </row>
    <row r="1275" ht="14.25" customHeight="1">
      <c r="B1275" s="997" t="s">
        <v>3864</v>
      </c>
      <c r="G1275" s="997" t="s">
        <v>3862</v>
      </c>
      <c r="I1275" s="998" t="s">
        <v>6530</v>
      </c>
      <c r="U1275" s="990"/>
    </row>
    <row r="1276" ht="14.25" customHeight="1">
      <c r="B1276" s="997" t="s">
        <v>3866</v>
      </c>
      <c r="G1276" s="997" t="s">
        <v>3470</v>
      </c>
      <c r="I1276" s="998" t="s">
        <v>6530</v>
      </c>
      <c r="U1276" s="990"/>
    </row>
    <row r="1277" ht="14.25" customHeight="1">
      <c r="B1277" s="997" t="s">
        <v>3867</v>
      </c>
      <c r="G1277" s="997" t="s">
        <v>7112</v>
      </c>
      <c r="I1277" s="998" t="s">
        <v>6530</v>
      </c>
      <c r="U1277" s="990"/>
    </row>
    <row r="1278" ht="14.25" customHeight="1">
      <c r="B1278" s="997" t="s">
        <v>3870</v>
      </c>
      <c r="G1278" s="997" t="s">
        <v>3566</v>
      </c>
      <c r="I1278" s="998" t="s">
        <v>6530</v>
      </c>
      <c r="U1278" s="990"/>
    </row>
    <row r="1279" ht="14.25" customHeight="1">
      <c r="B1279" s="997" t="s">
        <v>3873</v>
      </c>
      <c r="G1279" s="997" t="s">
        <v>3876</v>
      </c>
      <c r="I1279" s="998" t="s">
        <v>6530</v>
      </c>
      <c r="U1279" s="990"/>
    </row>
    <row r="1280" ht="14.25" customHeight="1">
      <c r="B1280" s="997" t="s">
        <v>3877</v>
      </c>
      <c r="G1280" s="997" t="s">
        <v>3880</v>
      </c>
      <c r="I1280" s="998" t="s">
        <v>6530</v>
      </c>
      <c r="U1280" s="990"/>
    </row>
    <row r="1281" ht="14.25" customHeight="1">
      <c r="B1281" s="997" t="s">
        <v>3881</v>
      </c>
      <c r="G1281" s="1010" t="s">
        <v>3708</v>
      </c>
      <c r="I1281" s="998" t="s">
        <v>6530</v>
      </c>
      <c r="U1281" s="990"/>
    </row>
    <row r="1282" ht="14.25" customHeight="1">
      <c r="B1282" s="990"/>
      <c r="G1282" s="990"/>
      <c r="I1282" s="998" t="s">
        <v>6530</v>
      </c>
      <c r="U1282" s="990"/>
    </row>
    <row r="1283" ht="14.25" customHeight="1">
      <c r="B1283" s="1014" t="s">
        <v>3885</v>
      </c>
      <c r="G1283" s="1007"/>
      <c r="I1283" s="990"/>
      <c r="U1283" s="1007"/>
    </row>
    <row r="1284" ht="14.25" customHeight="1">
      <c r="B1284" s="1011" t="s">
        <v>3886</v>
      </c>
      <c r="G1284" s="1012"/>
      <c r="I1284" s="1007"/>
      <c r="U1284" s="1012"/>
    </row>
    <row r="1285" ht="14.25" customHeight="1">
      <c r="B1285" s="997" t="s">
        <v>3887</v>
      </c>
      <c r="G1285" s="997" t="s">
        <v>3521</v>
      </c>
      <c r="I1285" s="1012"/>
      <c r="U1285" s="990"/>
    </row>
    <row r="1286" ht="14.25" customHeight="1">
      <c r="B1286" s="997" t="s">
        <v>3889</v>
      </c>
      <c r="G1286" s="997" t="s">
        <v>3521</v>
      </c>
      <c r="I1286" s="998" t="s">
        <v>858</v>
      </c>
      <c r="U1286" s="990"/>
    </row>
    <row r="1287" ht="14.25" customHeight="1">
      <c r="B1287" s="997" t="s">
        <v>3892</v>
      </c>
      <c r="G1287" s="997" t="s">
        <v>3521</v>
      </c>
      <c r="I1287" s="998" t="s">
        <v>858</v>
      </c>
      <c r="U1287" s="990"/>
    </row>
    <row r="1288" ht="14.25" customHeight="1">
      <c r="B1288" s="997" t="s">
        <v>3895</v>
      </c>
      <c r="G1288" s="997" t="s">
        <v>3896</v>
      </c>
      <c r="I1288" s="998" t="s">
        <v>858</v>
      </c>
      <c r="U1288" s="990"/>
    </row>
    <row r="1289" ht="14.25" customHeight="1">
      <c r="B1289" s="997" t="s">
        <v>3897</v>
      </c>
      <c r="G1289" s="997" t="s">
        <v>3899</v>
      </c>
      <c r="I1289" s="998" t="s">
        <v>858</v>
      </c>
      <c r="U1289" s="990"/>
    </row>
    <row r="1290" ht="14.25" customHeight="1">
      <c r="B1290" s="997" t="s">
        <v>3900</v>
      </c>
      <c r="G1290" s="997" t="s">
        <v>3899</v>
      </c>
      <c r="I1290" s="998" t="s">
        <v>858</v>
      </c>
      <c r="U1290" s="990"/>
    </row>
    <row r="1291" ht="14.25" customHeight="1">
      <c r="B1291" s="997" t="s">
        <v>3902</v>
      </c>
      <c r="G1291" s="997" t="s">
        <v>3899</v>
      </c>
      <c r="I1291" s="998" t="s">
        <v>858</v>
      </c>
      <c r="U1291" s="990"/>
    </row>
    <row r="1292" ht="14.25" customHeight="1">
      <c r="B1292" s="997" t="s">
        <v>3904</v>
      </c>
      <c r="G1292" s="997" t="s">
        <v>3899</v>
      </c>
      <c r="I1292" s="998" t="s">
        <v>858</v>
      </c>
      <c r="U1292" s="990"/>
    </row>
    <row r="1293" ht="14.25" customHeight="1">
      <c r="B1293" s="997" t="s">
        <v>3906</v>
      </c>
      <c r="G1293" s="997" t="s">
        <v>3899</v>
      </c>
      <c r="I1293" s="998" t="s">
        <v>858</v>
      </c>
      <c r="U1293" s="990"/>
    </row>
    <row r="1294" ht="14.25" customHeight="1">
      <c r="B1294" s="997" t="s">
        <v>3908</v>
      </c>
      <c r="G1294" s="997" t="s">
        <v>3899</v>
      </c>
      <c r="I1294" s="998" t="s">
        <v>858</v>
      </c>
      <c r="U1294" s="990"/>
    </row>
    <row r="1295" ht="14.25" customHeight="1">
      <c r="B1295" s="997" t="s">
        <v>3910</v>
      </c>
      <c r="G1295" s="997" t="s">
        <v>3899</v>
      </c>
      <c r="I1295" s="998" t="s">
        <v>858</v>
      </c>
      <c r="U1295" s="990"/>
    </row>
    <row r="1296" ht="14.25" customHeight="1">
      <c r="B1296" s="997" t="s">
        <v>3912</v>
      </c>
      <c r="G1296" s="997" t="s">
        <v>3899</v>
      </c>
      <c r="I1296" s="998" t="s">
        <v>858</v>
      </c>
      <c r="U1296" s="990"/>
    </row>
    <row r="1297" ht="14.25" customHeight="1">
      <c r="B1297" s="997" t="s">
        <v>3914</v>
      </c>
      <c r="G1297" s="997" t="s">
        <v>3899</v>
      </c>
      <c r="I1297" s="998" t="s">
        <v>858</v>
      </c>
      <c r="U1297" s="990"/>
    </row>
    <row r="1298" ht="14.25" customHeight="1">
      <c r="B1298" s="997" t="s">
        <v>3916</v>
      </c>
      <c r="G1298" s="997" t="s">
        <v>3919</v>
      </c>
      <c r="I1298" s="998" t="s">
        <v>858</v>
      </c>
      <c r="U1298" s="990"/>
    </row>
    <row r="1299" ht="14.25" customHeight="1">
      <c r="B1299" s="997" t="s">
        <v>3922</v>
      </c>
      <c r="G1299" s="997" t="s">
        <v>3925</v>
      </c>
      <c r="I1299" s="998" t="s">
        <v>858</v>
      </c>
      <c r="U1299" s="997" t="s">
        <v>3926</v>
      </c>
    </row>
    <row r="1300" ht="14.25" customHeight="1">
      <c r="B1300" s="997" t="s">
        <v>3927</v>
      </c>
      <c r="G1300" s="997" t="s">
        <v>3925</v>
      </c>
      <c r="I1300" s="998" t="s">
        <v>858</v>
      </c>
      <c r="U1300" s="997" t="s">
        <v>3926</v>
      </c>
    </row>
    <row r="1301" ht="14.25" customHeight="1">
      <c r="B1301" s="997" t="s">
        <v>3930</v>
      </c>
      <c r="G1301" s="997" t="s">
        <v>3925</v>
      </c>
      <c r="I1301" s="998" t="s">
        <v>858</v>
      </c>
      <c r="U1301" s="997" t="s">
        <v>3926</v>
      </c>
    </row>
    <row r="1302" ht="14.25" customHeight="1">
      <c r="B1302" s="997" t="s">
        <v>3933</v>
      </c>
      <c r="G1302" s="997" t="s">
        <v>3925</v>
      </c>
      <c r="I1302" s="998" t="s">
        <v>858</v>
      </c>
      <c r="U1302" s="997" t="s">
        <v>3926</v>
      </c>
    </row>
    <row r="1303" ht="14.25" customHeight="1">
      <c r="B1303" s="997" t="s">
        <v>3936</v>
      </c>
      <c r="G1303" s="997" t="s">
        <v>3925</v>
      </c>
      <c r="I1303" s="998" t="s">
        <v>858</v>
      </c>
      <c r="U1303" s="997" t="s">
        <v>3926</v>
      </c>
    </row>
    <row r="1304" ht="14.25" customHeight="1">
      <c r="B1304" s="997" t="s">
        <v>3939</v>
      </c>
      <c r="G1304" s="997" t="s">
        <v>3925</v>
      </c>
      <c r="I1304" s="998" t="s">
        <v>858</v>
      </c>
      <c r="U1304" s="997" t="s">
        <v>3926</v>
      </c>
    </row>
    <row r="1305" ht="14.25" customHeight="1">
      <c r="B1305" s="997" t="s">
        <v>3942</v>
      </c>
      <c r="G1305" s="997" t="s">
        <v>3925</v>
      </c>
      <c r="I1305" s="998" t="s">
        <v>858</v>
      </c>
      <c r="U1305" s="997" t="s">
        <v>3926</v>
      </c>
    </row>
    <row r="1306" ht="14.25" customHeight="1">
      <c r="B1306" s="997" t="s">
        <v>3945</v>
      </c>
      <c r="G1306" s="997" t="s">
        <v>3925</v>
      </c>
      <c r="I1306" s="998" t="s">
        <v>858</v>
      </c>
      <c r="U1306" s="990"/>
    </row>
    <row r="1307" ht="14.25" customHeight="1">
      <c r="B1307" s="997" t="s">
        <v>3949</v>
      </c>
      <c r="G1307" s="997" t="s">
        <v>3514</v>
      </c>
      <c r="I1307" s="998" t="s">
        <v>858</v>
      </c>
      <c r="U1307" s="997" t="s">
        <v>3951</v>
      </c>
    </row>
    <row r="1308" ht="14.25" customHeight="1">
      <c r="B1308" s="997" t="s">
        <v>3952</v>
      </c>
      <c r="G1308" s="997" t="s">
        <v>3954</v>
      </c>
      <c r="I1308" s="998" t="s">
        <v>858</v>
      </c>
      <c r="U1308" s="1016"/>
    </row>
    <row r="1309" ht="14.25" customHeight="1">
      <c r="B1309" s="997" t="s">
        <v>3956</v>
      </c>
      <c r="G1309" s="997" t="s">
        <v>3958</v>
      </c>
      <c r="I1309" s="998" t="s">
        <v>858</v>
      </c>
      <c r="U1309" s="1016"/>
    </row>
    <row r="1310" ht="14.25" customHeight="1">
      <c r="B1310" s="997" t="s">
        <v>3959</v>
      </c>
      <c r="G1310" s="997" t="s">
        <v>3961</v>
      </c>
      <c r="I1310" s="998" t="s">
        <v>858</v>
      </c>
      <c r="U1310" s="1016"/>
    </row>
    <row r="1311" ht="14.25" customHeight="1">
      <c r="B1311" s="997" t="s">
        <v>3962</v>
      </c>
      <c r="G1311" s="1010" t="s">
        <v>3279</v>
      </c>
      <c r="I1311" s="998" t="s">
        <v>858</v>
      </c>
      <c r="U1311" s="997" t="s">
        <v>3286</v>
      </c>
    </row>
    <row r="1312" ht="14.25" customHeight="1">
      <c r="B1312" s="997" t="s">
        <v>3964</v>
      </c>
      <c r="G1312" s="1010" t="s">
        <v>3279</v>
      </c>
      <c r="I1312" s="998" t="s">
        <v>858</v>
      </c>
      <c r="U1312" s="997" t="s">
        <v>3286</v>
      </c>
    </row>
    <row r="1313" ht="14.25" customHeight="1">
      <c r="B1313" s="997" t="s">
        <v>3966</v>
      </c>
      <c r="G1313" s="1010" t="s">
        <v>3279</v>
      </c>
      <c r="I1313" s="998" t="s">
        <v>858</v>
      </c>
      <c r="U1313" s="997" t="s">
        <v>3286</v>
      </c>
    </row>
    <row r="1314" ht="14.25" customHeight="1">
      <c r="B1314" s="997" t="s">
        <v>3968</v>
      </c>
      <c r="G1314" s="1010" t="s">
        <v>3279</v>
      </c>
      <c r="I1314" s="998" t="s">
        <v>858</v>
      </c>
      <c r="U1314" s="997" t="s">
        <v>3286</v>
      </c>
    </row>
    <row r="1315" ht="14.25" customHeight="1">
      <c r="B1315" s="997" t="s">
        <v>3970</v>
      </c>
      <c r="G1315" s="1010" t="s">
        <v>3279</v>
      </c>
      <c r="I1315" s="998" t="s">
        <v>858</v>
      </c>
      <c r="U1315" s="997" t="s">
        <v>3286</v>
      </c>
    </row>
    <row r="1316" ht="14.25" customHeight="1">
      <c r="B1316" s="997" t="s">
        <v>3972</v>
      </c>
      <c r="G1316" s="1010" t="s">
        <v>3279</v>
      </c>
      <c r="I1316" s="998" t="s">
        <v>858</v>
      </c>
      <c r="U1316" s="997" t="s">
        <v>3286</v>
      </c>
    </row>
    <row r="1317" ht="14.25" customHeight="1">
      <c r="B1317" s="997" t="s">
        <v>3974</v>
      </c>
      <c r="G1317" s="997" t="s">
        <v>3976</v>
      </c>
      <c r="I1317" s="998" t="s">
        <v>858</v>
      </c>
      <c r="U1317" s="997" t="s">
        <v>3978</v>
      </c>
    </row>
    <row r="1318" ht="14.25" customHeight="1">
      <c r="B1318" s="997" t="s">
        <v>3979</v>
      </c>
      <c r="G1318" s="997" t="s">
        <v>3981</v>
      </c>
      <c r="I1318" s="998" t="s">
        <v>858</v>
      </c>
      <c r="U1318" s="997" t="s">
        <v>3983</v>
      </c>
    </row>
    <row r="1319" ht="14.25" customHeight="1">
      <c r="B1319" s="997" t="s">
        <v>3984</v>
      </c>
      <c r="G1319" s="997" t="s">
        <v>3985</v>
      </c>
      <c r="I1319" s="998" t="s">
        <v>858</v>
      </c>
      <c r="U1319" s="997" t="s">
        <v>3986</v>
      </c>
    </row>
    <row r="1320" ht="14.25" customHeight="1">
      <c r="B1320" s="997" t="s">
        <v>3987</v>
      </c>
      <c r="G1320" s="997" t="s">
        <v>5775</v>
      </c>
      <c r="I1320" s="998" t="s">
        <v>858</v>
      </c>
      <c r="U1320" s="990"/>
    </row>
    <row r="1321" ht="14.25" customHeight="1">
      <c r="B1321" s="997" t="s">
        <v>3993</v>
      </c>
      <c r="G1321" s="997" t="s">
        <v>5775</v>
      </c>
      <c r="I1321" s="998" t="s">
        <v>858</v>
      </c>
      <c r="U1321" s="990"/>
    </row>
    <row r="1322" ht="14.25" customHeight="1">
      <c r="B1322" s="997" t="s">
        <v>3995</v>
      </c>
      <c r="G1322" s="997" t="s">
        <v>5775</v>
      </c>
      <c r="I1322" s="998" t="s">
        <v>858</v>
      </c>
      <c r="U1322" s="997" t="s">
        <v>3997</v>
      </c>
    </row>
    <row r="1323" ht="14.25" customHeight="1">
      <c r="B1323" s="997" t="s">
        <v>3999</v>
      </c>
      <c r="G1323" s="997" t="s">
        <v>5775</v>
      </c>
      <c r="I1323" s="998" t="s">
        <v>858</v>
      </c>
      <c r="U1323" s="997" t="s">
        <v>3997</v>
      </c>
    </row>
    <row r="1324" ht="14.25" customHeight="1">
      <c r="B1324" s="997" t="s">
        <v>4002</v>
      </c>
      <c r="G1324" s="997" t="s">
        <v>5775</v>
      </c>
      <c r="I1324" s="998" t="s">
        <v>858</v>
      </c>
      <c r="U1324" s="997" t="s">
        <v>3997</v>
      </c>
    </row>
    <row r="1325" ht="14.25" customHeight="1">
      <c r="B1325" s="997" t="s">
        <v>4005</v>
      </c>
      <c r="G1325" s="997" t="s">
        <v>5775</v>
      </c>
      <c r="I1325" s="998" t="s">
        <v>858</v>
      </c>
      <c r="U1325" s="997" t="s">
        <v>3997</v>
      </c>
    </row>
    <row r="1326" ht="14.25" customHeight="1">
      <c r="B1326" s="997" t="s">
        <v>4008</v>
      </c>
      <c r="G1326" s="997" t="s">
        <v>5775</v>
      </c>
      <c r="I1326" s="998" t="s">
        <v>858</v>
      </c>
      <c r="U1326" s="997" t="s">
        <v>3997</v>
      </c>
    </row>
    <row r="1327" ht="14.25" customHeight="1">
      <c r="B1327" s="997" t="s">
        <v>4010</v>
      </c>
      <c r="G1327" s="997" t="s">
        <v>5775</v>
      </c>
      <c r="I1327" s="998" t="s">
        <v>858</v>
      </c>
      <c r="U1327" s="1013" t="s">
        <v>4014</v>
      </c>
    </row>
    <row r="1328" ht="14.25" customHeight="1">
      <c r="B1328" s="997" t="s">
        <v>4015</v>
      </c>
      <c r="G1328" s="997" t="s">
        <v>5775</v>
      </c>
      <c r="I1328" s="998" t="s">
        <v>858</v>
      </c>
      <c r="U1328" s="1013" t="s">
        <v>4014</v>
      </c>
    </row>
    <row r="1329" ht="14.25" customHeight="1">
      <c r="B1329" s="997" t="s">
        <v>4018</v>
      </c>
      <c r="G1329" s="997" t="s">
        <v>5775</v>
      </c>
      <c r="I1329" s="998" t="s">
        <v>858</v>
      </c>
      <c r="U1329" s="990"/>
    </row>
    <row r="1330" ht="14.25" customHeight="1">
      <c r="B1330" s="997" t="s">
        <v>4022</v>
      </c>
      <c r="G1330" s="997" t="s">
        <v>5775</v>
      </c>
      <c r="I1330" s="998" t="s">
        <v>858</v>
      </c>
      <c r="U1330" s="990"/>
    </row>
    <row r="1331" ht="14.25" customHeight="1">
      <c r="B1331" s="997" t="s">
        <v>4026</v>
      </c>
      <c r="G1331" s="997" t="s">
        <v>5775</v>
      </c>
      <c r="I1331" s="998" t="s">
        <v>858</v>
      </c>
      <c r="U1331" s="990"/>
    </row>
    <row r="1332" ht="14.25" customHeight="1">
      <c r="B1332" s="997" t="s">
        <v>4030</v>
      </c>
      <c r="G1332" s="997" t="s">
        <v>5775</v>
      </c>
      <c r="I1332" s="998" t="s">
        <v>858</v>
      </c>
      <c r="U1332" s="990"/>
    </row>
    <row r="1333" ht="14.25" customHeight="1">
      <c r="B1333" s="997" t="s">
        <v>4033</v>
      </c>
      <c r="G1333" s="997" t="s">
        <v>5775</v>
      </c>
      <c r="I1333" s="998" t="s">
        <v>858</v>
      </c>
      <c r="U1333" s="990"/>
    </row>
    <row r="1334" ht="14.25" customHeight="1">
      <c r="B1334" s="997" t="s">
        <v>4042</v>
      </c>
      <c r="G1334" s="997" t="s">
        <v>4044</v>
      </c>
      <c r="I1334" s="998" t="s">
        <v>858</v>
      </c>
      <c r="U1334" s="990"/>
    </row>
    <row r="1335" ht="14.25" customHeight="1">
      <c r="B1335" s="997" t="s">
        <v>4048</v>
      </c>
      <c r="G1335" s="997" t="s">
        <v>4051</v>
      </c>
      <c r="I1335" s="998" t="s">
        <v>858</v>
      </c>
      <c r="U1335" s="990"/>
    </row>
    <row r="1336" ht="14.25" customHeight="1">
      <c r="B1336" s="997" t="s">
        <v>4052</v>
      </c>
      <c r="G1336" s="997" t="s">
        <v>4053</v>
      </c>
      <c r="I1336" s="998" t="s">
        <v>858</v>
      </c>
      <c r="U1336" s="997" t="s">
        <v>4055</v>
      </c>
    </row>
    <row r="1337" ht="14.25" customHeight="1">
      <c r="B1337" s="997" t="s">
        <v>4057</v>
      </c>
      <c r="G1337" s="997" t="s">
        <v>4053</v>
      </c>
      <c r="I1337" s="998" t="s">
        <v>858</v>
      </c>
      <c r="U1337" s="997" t="s">
        <v>4055</v>
      </c>
    </row>
    <row r="1338" ht="14.25" customHeight="1">
      <c r="B1338" s="997" t="s">
        <v>4059</v>
      </c>
      <c r="G1338" s="997" t="s">
        <v>4053</v>
      </c>
      <c r="I1338" s="998" t="s">
        <v>858</v>
      </c>
      <c r="U1338" s="997" t="s">
        <v>4055</v>
      </c>
    </row>
    <row r="1339" ht="14.25" customHeight="1">
      <c r="B1339" s="997" t="s">
        <v>4061</v>
      </c>
      <c r="G1339" s="997" t="s">
        <v>4053</v>
      </c>
      <c r="I1339" s="998" t="s">
        <v>858</v>
      </c>
      <c r="U1339" s="997" t="s">
        <v>4055</v>
      </c>
    </row>
    <row r="1340" ht="14.25" customHeight="1">
      <c r="B1340" s="990"/>
      <c r="G1340" s="990"/>
      <c r="I1340" s="998" t="s">
        <v>858</v>
      </c>
      <c r="U1340" s="990"/>
    </row>
    <row r="1341" ht="14.25" customHeight="1">
      <c r="B1341" s="1011" t="s">
        <v>4063</v>
      </c>
      <c r="G1341" s="1012"/>
      <c r="I1341" s="990"/>
      <c r="U1341" s="1012"/>
    </row>
    <row r="1342" ht="14.25" customHeight="1">
      <c r="B1342" s="997" t="s">
        <v>4066</v>
      </c>
      <c r="G1342" s="997" t="s">
        <v>3521</v>
      </c>
      <c r="I1342" s="1012"/>
      <c r="U1342" s="990"/>
    </row>
    <row r="1343" ht="14.25" customHeight="1">
      <c r="B1343" s="997" t="s">
        <v>4068</v>
      </c>
      <c r="G1343" s="997" t="s">
        <v>3521</v>
      </c>
      <c r="I1343" s="998" t="s">
        <v>1010</v>
      </c>
      <c r="U1343" s="990"/>
    </row>
    <row r="1344" ht="14.25" customHeight="1">
      <c r="B1344" s="997" t="s">
        <v>4071</v>
      </c>
      <c r="G1344" s="997" t="s">
        <v>3521</v>
      </c>
      <c r="I1344" s="998" t="s">
        <v>1010</v>
      </c>
      <c r="U1344" s="990"/>
    </row>
    <row r="1345" ht="14.25" customHeight="1">
      <c r="B1345" s="997" t="s">
        <v>4074</v>
      </c>
      <c r="G1345" s="997" t="s">
        <v>3521</v>
      </c>
      <c r="I1345" s="998" t="s">
        <v>1010</v>
      </c>
      <c r="U1345" s="990"/>
    </row>
    <row r="1346" ht="14.25" customHeight="1">
      <c r="B1346" s="997" t="s">
        <v>4077</v>
      </c>
      <c r="G1346" s="997" t="s">
        <v>4080</v>
      </c>
      <c r="I1346" s="998" t="s">
        <v>1010</v>
      </c>
      <c r="U1346" s="990"/>
    </row>
    <row r="1347" ht="14.25" customHeight="1">
      <c r="B1347" s="997" t="s">
        <v>4082</v>
      </c>
      <c r="G1347" s="997" t="s">
        <v>4080</v>
      </c>
      <c r="I1347" s="998" t="s">
        <v>1010</v>
      </c>
      <c r="U1347" s="990"/>
    </row>
    <row r="1348" ht="14.25" customHeight="1">
      <c r="B1348" s="997" t="s">
        <v>4087</v>
      </c>
      <c r="G1348" s="997" t="s">
        <v>3919</v>
      </c>
      <c r="I1348" s="998" t="s">
        <v>1010</v>
      </c>
      <c r="U1348" s="990"/>
    </row>
    <row r="1349" ht="14.25" customHeight="1">
      <c r="B1349" s="997" t="s">
        <v>4095</v>
      </c>
      <c r="G1349" s="997" t="s">
        <v>4097</v>
      </c>
      <c r="I1349" s="998" t="s">
        <v>1010</v>
      </c>
      <c r="U1349" s="990"/>
    </row>
    <row r="1350" ht="14.25" customHeight="1">
      <c r="B1350" s="997" t="s">
        <v>4111</v>
      </c>
      <c r="G1350" s="997" t="s">
        <v>3514</v>
      </c>
      <c r="I1350" s="998" t="s">
        <v>1010</v>
      </c>
      <c r="U1350" s="990"/>
    </row>
    <row r="1351" ht="14.25" customHeight="1">
      <c r="B1351" s="997" t="s">
        <v>4119</v>
      </c>
      <c r="G1351" s="997" t="s">
        <v>4123</v>
      </c>
      <c r="I1351" s="998" t="s">
        <v>1010</v>
      </c>
      <c r="U1351" s="997" t="s">
        <v>4131</v>
      </c>
    </row>
    <row r="1352" ht="14.25" customHeight="1">
      <c r="B1352" s="997" t="s">
        <v>4132</v>
      </c>
      <c r="G1352" s="997" t="s">
        <v>3279</v>
      </c>
      <c r="I1352" s="998" t="s">
        <v>1010</v>
      </c>
      <c r="U1352" s="997" t="s">
        <v>3286</v>
      </c>
    </row>
    <row r="1353" ht="14.25" customHeight="1">
      <c r="B1353" s="997" t="s">
        <v>4134</v>
      </c>
      <c r="G1353" s="997" t="s">
        <v>3279</v>
      </c>
      <c r="I1353" s="998" t="s">
        <v>1010</v>
      </c>
      <c r="U1353" s="997" t="s">
        <v>3286</v>
      </c>
    </row>
    <row r="1354" ht="14.25" customHeight="1">
      <c r="B1354" s="997" t="s">
        <v>4136</v>
      </c>
      <c r="G1354" s="997" t="s">
        <v>7113</v>
      </c>
      <c r="I1354" s="998" t="s">
        <v>1010</v>
      </c>
      <c r="U1354" s="990"/>
    </row>
    <row r="1355" ht="14.25" customHeight="1">
      <c r="B1355" s="997" t="s">
        <v>4140</v>
      </c>
      <c r="G1355" s="997" t="s">
        <v>7113</v>
      </c>
      <c r="I1355" s="998" t="s">
        <v>1010</v>
      </c>
      <c r="U1355" s="990"/>
    </row>
    <row r="1356" ht="14.25" customHeight="1">
      <c r="B1356" s="997" t="s">
        <v>4141</v>
      </c>
      <c r="G1356" s="997" t="s">
        <v>7114</v>
      </c>
      <c r="I1356" s="998" t="s">
        <v>1010</v>
      </c>
      <c r="U1356" s="990"/>
    </row>
    <row r="1357" ht="14.25" customHeight="1">
      <c r="B1357" s="997" t="s">
        <v>4145</v>
      </c>
      <c r="G1357" s="997" t="s">
        <v>7114</v>
      </c>
      <c r="I1357" s="998" t="s">
        <v>1010</v>
      </c>
      <c r="U1357" s="990"/>
    </row>
    <row r="1358" ht="14.25" customHeight="1">
      <c r="B1358" s="997" t="s">
        <v>4147</v>
      </c>
      <c r="G1358" s="997" t="s">
        <v>7114</v>
      </c>
      <c r="I1358" s="998" t="s">
        <v>1010</v>
      </c>
      <c r="U1358" s="990"/>
    </row>
    <row r="1359" ht="14.25" customHeight="1">
      <c r="B1359" s="997" t="s">
        <v>4148</v>
      </c>
      <c r="G1359" s="997" t="s">
        <v>7114</v>
      </c>
      <c r="I1359" s="998" t="s">
        <v>1010</v>
      </c>
      <c r="U1359" s="990"/>
    </row>
    <row r="1360" ht="14.25" customHeight="1">
      <c r="B1360" s="997" t="s">
        <v>4150</v>
      </c>
      <c r="G1360" s="997" t="s">
        <v>7115</v>
      </c>
      <c r="I1360" s="998" t="s">
        <v>1010</v>
      </c>
      <c r="U1360" s="990"/>
    </row>
    <row r="1361" ht="14.25" customHeight="1">
      <c r="B1361" s="997" t="s">
        <v>4153</v>
      </c>
      <c r="G1361" s="997" t="s">
        <v>7116</v>
      </c>
      <c r="I1361" s="998" t="s">
        <v>1010</v>
      </c>
      <c r="U1361" s="990"/>
    </row>
    <row r="1362" ht="14.25" customHeight="1">
      <c r="B1362" s="997" t="s">
        <v>4159</v>
      </c>
      <c r="G1362" s="997" t="s">
        <v>7116</v>
      </c>
      <c r="I1362" s="998" t="s">
        <v>1010</v>
      </c>
      <c r="U1362" s="990"/>
    </row>
    <row r="1363" ht="14.25" customHeight="1">
      <c r="B1363" s="997" t="s">
        <v>4160</v>
      </c>
      <c r="G1363" s="997" t="s">
        <v>7116</v>
      </c>
      <c r="I1363" s="998" t="s">
        <v>1010</v>
      </c>
      <c r="U1363" s="990"/>
    </row>
    <row r="1364" ht="14.25" customHeight="1">
      <c r="B1364" s="997" t="s">
        <v>4161</v>
      </c>
      <c r="G1364" s="997" t="s">
        <v>7116</v>
      </c>
      <c r="I1364" s="998" t="s">
        <v>1010</v>
      </c>
      <c r="U1364" s="990"/>
    </row>
    <row r="1365" ht="14.25" customHeight="1">
      <c r="B1365" s="997" t="s">
        <v>4162</v>
      </c>
      <c r="G1365" s="997" t="s">
        <v>7113</v>
      </c>
      <c r="I1365" s="998" t="s">
        <v>1010</v>
      </c>
      <c r="U1365" s="990"/>
    </row>
    <row r="1366" ht="14.25" customHeight="1">
      <c r="B1366" s="997" t="s">
        <v>4166</v>
      </c>
      <c r="G1366" s="997" t="s">
        <v>7113</v>
      </c>
      <c r="I1366" s="998" t="s">
        <v>1010</v>
      </c>
      <c r="U1366" s="990"/>
    </row>
    <row r="1367" ht="14.25" customHeight="1">
      <c r="B1367" s="997" t="s">
        <v>4167</v>
      </c>
      <c r="G1367" s="997" t="s">
        <v>7113</v>
      </c>
      <c r="I1367" s="998" t="s">
        <v>1010</v>
      </c>
      <c r="U1367" s="990"/>
    </row>
    <row r="1368" ht="14.25" customHeight="1">
      <c r="B1368" s="997" t="s">
        <v>4168</v>
      </c>
      <c r="G1368" s="997" t="s">
        <v>7113</v>
      </c>
      <c r="I1368" s="998" t="s">
        <v>1010</v>
      </c>
      <c r="U1368" s="990"/>
    </row>
    <row r="1369" ht="14.25" customHeight="1">
      <c r="B1369" s="997" t="s">
        <v>4169</v>
      </c>
      <c r="G1369" s="997" t="s">
        <v>7115</v>
      </c>
      <c r="I1369" s="998" t="s">
        <v>1010</v>
      </c>
      <c r="U1369" s="990"/>
    </row>
    <row r="1370" ht="14.25" customHeight="1">
      <c r="B1370" s="997" t="s">
        <v>4170</v>
      </c>
      <c r="G1370" s="997" t="s">
        <v>7115</v>
      </c>
      <c r="I1370" s="998" t="s">
        <v>1010</v>
      </c>
      <c r="U1370" s="990"/>
    </row>
    <row r="1371" ht="14.25" customHeight="1">
      <c r="B1371" s="997" t="s">
        <v>4171</v>
      </c>
      <c r="G1371" s="997" t="s">
        <v>7115</v>
      </c>
      <c r="I1371" s="998" t="s">
        <v>1010</v>
      </c>
      <c r="U1371" s="990"/>
    </row>
    <row r="1372" ht="14.25" customHeight="1">
      <c r="B1372" s="997" t="s">
        <v>4172</v>
      </c>
      <c r="G1372" s="997" t="s">
        <v>7115</v>
      </c>
      <c r="I1372" s="998" t="s">
        <v>1010</v>
      </c>
      <c r="U1372" s="990"/>
    </row>
    <row r="1373" ht="14.25" customHeight="1">
      <c r="B1373" s="997" t="s">
        <v>4173</v>
      </c>
      <c r="G1373" s="997" t="s">
        <v>4051</v>
      </c>
      <c r="I1373" s="998" t="s">
        <v>1010</v>
      </c>
      <c r="U1373" s="997" t="s">
        <v>4176</v>
      </c>
    </row>
    <row r="1374" ht="14.25" customHeight="1">
      <c r="B1374" s="997" t="s">
        <v>5061</v>
      </c>
      <c r="G1374" s="997" t="s">
        <v>4051</v>
      </c>
      <c r="I1374" s="998" t="s">
        <v>1010</v>
      </c>
      <c r="U1374" s="997" t="s">
        <v>4179</v>
      </c>
    </row>
    <row r="1375" ht="14.25" customHeight="1">
      <c r="B1375" s="997" t="s">
        <v>4177</v>
      </c>
      <c r="G1375" s="997" t="s">
        <v>4051</v>
      </c>
      <c r="I1375" s="998" t="s">
        <v>1010</v>
      </c>
      <c r="U1375" s="997" t="s">
        <v>4179</v>
      </c>
    </row>
    <row r="1376" ht="14.25" customHeight="1">
      <c r="B1376" s="997" t="s">
        <v>4180</v>
      </c>
      <c r="G1376" s="997" t="s">
        <v>4051</v>
      </c>
      <c r="I1376" s="998" t="s">
        <v>1010</v>
      </c>
      <c r="U1376" s="1016"/>
    </row>
    <row r="1377" ht="14.25" customHeight="1">
      <c r="B1377" s="997" t="s">
        <v>4183</v>
      </c>
      <c r="G1377" s="997" t="s">
        <v>3925</v>
      </c>
      <c r="I1377" s="998" t="s">
        <v>1010</v>
      </c>
      <c r="U1377" s="990"/>
    </row>
    <row r="1378" ht="14.25" customHeight="1">
      <c r="B1378" s="997" t="s">
        <v>4186</v>
      </c>
      <c r="G1378" s="997" t="s">
        <v>3925</v>
      </c>
      <c r="I1378" s="998" t="s">
        <v>1010</v>
      </c>
      <c r="U1378" s="990"/>
    </row>
    <row r="1379" ht="14.25" customHeight="1">
      <c r="B1379" s="997" t="s">
        <v>4188</v>
      </c>
      <c r="G1379" s="997" t="s">
        <v>3925</v>
      </c>
      <c r="I1379" s="998" t="s">
        <v>1010</v>
      </c>
      <c r="U1379" s="990"/>
    </row>
    <row r="1380" ht="14.25" customHeight="1">
      <c r="B1380" s="997" t="s">
        <v>4190</v>
      </c>
      <c r="G1380" s="997" t="s">
        <v>3925</v>
      </c>
      <c r="I1380" s="998" t="s">
        <v>1010</v>
      </c>
      <c r="U1380" s="990"/>
    </row>
    <row r="1381" ht="14.25" customHeight="1">
      <c r="B1381" s="997" t="s">
        <v>4192</v>
      </c>
      <c r="G1381" s="997" t="s">
        <v>3925</v>
      </c>
      <c r="I1381" s="998" t="s">
        <v>1010</v>
      </c>
      <c r="U1381" s="990"/>
    </row>
    <row r="1382" ht="14.25" customHeight="1">
      <c r="B1382" s="997" t="s">
        <v>4194</v>
      </c>
      <c r="G1382" s="997" t="s">
        <v>3925</v>
      </c>
      <c r="I1382" s="998" t="s">
        <v>1010</v>
      </c>
      <c r="U1382" s="990"/>
    </row>
    <row r="1383" ht="14.25" customHeight="1">
      <c r="B1383" s="997" t="s">
        <v>4196</v>
      </c>
      <c r="G1383" s="997" t="s">
        <v>3925</v>
      </c>
      <c r="I1383" s="998" t="s">
        <v>1010</v>
      </c>
      <c r="U1383" s="990"/>
    </row>
    <row r="1384" ht="14.25" customHeight="1">
      <c r="B1384" s="997" t="s">
        <v>4198</v>
      </c>
      <c r="G1384" s="997" t="s">
        <v>3925</v>
      </c>
      <c r="I1384" s="998" t="s">
        <v>1010</v>
      </c>
      <c r="U1384" s="990"/>
    </row>
    <row r="1385" ht="14.25" customHeight="1">
      <c r="B1385" s="997" t="s">
        <v>4200</v>
      </c>
      <c r="G1385" s="997" t="s">
        <v>4202</v>
      </c>
      <c r="I1385" s="998" t="s">
        <v>1010</v>
      </c>
      <c r="U1385" s="997" t="s">
        <v>4203</v>
      </c>
    </row>
    <row r="1386" ht="14.25" customHeight="1">
      <c r="B1386" s="997" t="s">
        <v>4204</v>
      </c>
      <c r="G1386" s="997" t="s">
        <v>4202</v>
      </c>
      <c r="I1386" s="998" t="s">
        <v>1010</v>
      </c>
      <c r="U1386" s="997" t="s">
        <v>4203</v>
      </c>
    </row>
    <row r="1387" ht="14.25" customHeight="1">
      <c r="B1387" s="997" t="s">
        <v>4207</v>
      </c>
      <c r="G1387" s="997" t="s">
        <v>5775</v>
      </c>
      <c r="I1387" s="998" t="s">
        <v>1010</v>
      </c>
      <c r="U1387" s="997" t="s">
        <v>3997</v>
      </c>
    </row>
    <row r="1388" ht="14.25" customHeight="1">
      <c r="B1388" s="997" t="s">
        <v>4211</v>
      </c>
      <c r="G1388" s="997" t="s">
        <v>5775</v>
      </c>
      <c r="I1388" s="998" t="s">
        <v>1010</v>
      </c>
      <c r="U1388" s="997" t="s">
        <v>3997</v>
      </c>
    </row>
    <row r="1389" ht="14.25" customHeight="1">
      <c r="B1389" s="997" t="s">
        <v>4216</v>
      </c>
      <c r="G1389" s="997" t="s">
        <v>5775</v>
      </c>
      <c r="I1389" s="998" t="s">
        <v>1010</v>
      </c>
      <c r="U1389" s="997" t="s">
        <v>3997</v>
      </c>
    </row>
    <row r="1390" ht="14.25" customHeight="1">
      <c r="B1390" s="997" t="s">
        <v>4220</v>
      </c>
      <c r="G1390" s="997" t="s">
        <v>5775</v>
      </c>
      <c r="I1390" s="998" t="s">
        <v>1010</v>
      </c>
      <c r="U1390" s="997" t="s">
        <v>3997</v>
      </c>
    </row>
    <row r="1391" ht="14.25" customHeight="1">
      <c r="B1391" s="997" t="s">
        <v>4224</v>
      </c>
      <c r="G1391" s="997" t="s">
        <v>5775</v>
      </c>
      <c r="I1391" s="998" t="s">
        <v>1010</v>
      </c>
      <c r="U1391" s="997" t="s">
        <v>3997</v>
      </c>
    </row>
    <row r="1392" ht="14.25" customHeight="1">
      <c r="B1392" s="997" t="s">
        <v>4228</v>
      </c>
      <c r="G1392" s="997" t="s">
        <v>5775</v>
      </c>
      <c r="I1392" s="998" t="s">
        <v>1010</v>
      </c>
      <c r="U1392" s="997" t="s">
        <v>3997</v>
      </c>
    </row>
    <row r="1393" ht="14.25" customHeight="1">
      <c r="B1393" s="997" t="s">
        <v>4231</v>
      </c>
      <c r="G1393" s="997" t="s">
        <v>5775</v>
      </c>
      <c r="I1393" s="998" t="s">
        <v>1010</v>
      </c>
      <c r="U1393" s="997" t="s">
        <v>3997</v>
      </c>
    </row>
    <row r="1394" ht="14.25" customHeight="1">
      <c r="B1394" s="997" t="s">
        <v>4235</v>
      </c>
      <c r="G1394" s="997" t="s">
        <v>5775</v>
      </c>
      <c r="I1394" s="998" t="s">
        <v>1010</v>
      </c>
      <c r="U1394" s="997" t="s">
        <v>3997</v>
      </c>
    </row>
    <row r="1395" ht="14.25" customHeight="1">
      <c r="B1395" s="997" t="s">
        <v>4238</v>
      </c>
      <c r="G1395" s="997" t="s">
        <v>5775</v>
      </c>
      <c r="I1395" s="998" t="s">
        <v>1010</v>
      </c>
      <c r="U1395" s="997" t="s">
        <v>3997</v>
      </c>
    </row>
    <row r="1396" ht="14.25" customHeight="1">
      <c r="B1396" s="997" t="s">
        <v>4243</v>
      </c>
      <c r="G1396" s="997" t="s">
        <v>5775</v>
      </c>
      <c r="I1396" s="998" t="s">
        <v>1010</v>
      </c>
      <c r="U1396" s="997" t="s">
        <v>3997</v>
      </c>
    </row>
    <row r="1397" ht="14.25" customHeight="1">
      <c r="B1397" s="997" t="s">
        <v>4246</v>
      </c>
      <c r="G1397" s="997" t="s">
        <v>5775</v>
      </c>
      <c r="I1397" s="998" t="s">
        <v>1010</v>
      </c>
      <c r="U1397" s="997" t="s">
        <v>3997</v>
      </c>
    </row>
    <row r="1398" ht="14.25" customHeight="1">
      <c r="B1398" s="990"/>
      <c r="G1398" s="990"/>
      <c r="I1398" s="998" t="s">
        <v>1010</v>
      </c>
      <c r="U1398" s="990"/>
    </row>
    <row r="1399" ht="14.25" customHeight="1">
      <c r="B1399" s="990"/>
      <c r="G1399" s="990"/>
      <c r="I1399" s="990"/>
      <c r="U1399" s="990"/>
    </row>
    <row r="1400" ht="14.25" customHeight="1">
      <c r="B1400" s="1011" t="s">
        <v>4254</v>
      </c>
      <c r="G1400" s="1017">
        <v>16.0</v>
      </c>
      <c r="I1400" s="990"/>
      <c r="U1400" s="1012"/>
    </row>
    <row r="1401" ht="14.25" customHeight="1">
      <c r="B1401" s="997" t="s">
        <v>4255</v>
      </c>
      <c r="G1401" s="997" t="s">
        <v>7117</v>
      </c>
      <c r="I1401" s="1012"/>
      <c r="U1401" s="990"/>
    </row>
    <row r="1402" ht="14.25" customHeight="1">
      <c r="B1402" s="997" t="s">
        <v>4257</v>
      </c>
      <c r="G1402" s="997" t="s">
        <v>7117</v>
      </c>
      <c r="I1402" s="998" t="s">
        <v>1120</v>
      </c>
      <c r="U1402" s="990"/>
    </row>
    <row r="1403" ht="14.25" customHeight="1">
      <c r="B1403" s="997" t="s">
        <v>4258</v>
      </c>
      <c r="G1403" s="997" t="s">
        <v>7117</v>
      </c>
      <c r="I1403" s="998" t="s">
        <v>1120</v>
      </c>
      <c r="U1403" s="990"/>
    </row>
    <row r="1404" ht="14.25" customHeight="1">
      <c r="B1404" s="997" t="s">
        <v>4259</v>
      </c>
      <c r="G1404" s="997" t="s">
        <v>7117</v>
      </c>
      <c r="I1404" s="998" t="s">
        <v>1120</v>
      </c>
      <c r="U1404" s="990"/>
    </row>
    <row r="1405" ht="14.25" customHeight="1">
      <c r="B1405" s="997" t="s">
        <v>4260</v>
      </c>
      <c r="G1405" s="997" t="s">
        <v>7117</v>
      </c>
      <c r="I1405" s="998" t="s">
        <v>1120</v>
      </c>
      <c r="U1405" s="990"/>
    </row>
    <row r="1406" ht="14.25" customHeight="1">
      <c r="B1406" s="997" t="s">
        <v>4262</v>
      </c>
      <c r="G1406" s="997" t="s">
        <v>7117</v>
      </c>
      <c r="I1406" s="998" t="s">
        <v>1120</v>
      </c>
      <c r="U1406" s="990"/>
    </row>
    <row r="1407" ht="14.25" customHeight="1">
      <c r="B1407" s="997" t="s">
        <v>4263</v>
      </c>
      <c r="G1407" s="997" t="s">
        <v>7117</v>
      </c>
      <c r="I1407" s="998" t="s">
        <v>1120</v>
      </c>
      <c r="U1407" s="990"/>
    </row>
    <row r="1408" ht="14.25" customHeight="1">
      <c r="B1408" s="997" t="s">
        <v>4264</v>
      </c>
      <c r="G1408" s="997" t="s">
        <v>7117</v>
      </c>
      <c r="I1408" s="998" t="s">
        <v>1120</v>
      </c>
      <c r="U1408" s="990"/>
    </row>
    <row r="1409" ht="14.25" customHeight="1">
      <c r="B1409" s="997" t="s">
        <v>4265</v>
      </c>
      <c r="G1409" s="997" t="s">
        <v>7117</v>
      </c>
      <c r="I1409" s="998" t="s">
        <v>1120</v>
      </c>
      <c r="U1409" s="990"/>
    </row>
    <row r="1410" ht="14.25" customHeight="1">
      <c r="B1410" s="997" t="s">
        <v>4266</v>
      </c>
      <c r="G1410" s="997" t="s">
        <v>7117</v>
      </c>
      <c r="I1410" s="998" t="s">
        <v>1120</v>
      </c>
      <c r="U1410" s="990"/>
    </row>
    <row r="1411" ht="14.25" customHeight="1">
      <c r="B1411" s="997" t="s">
        <v>4268</v>
      </c>
      <c r="G1411" s="997" t="s">
        <v>7118</v>
      </c>
      <c r="I1411" s="998" t="s">
        <v>1120</v>
      </c>
      <c r="U1411" s="990"/>
    </row>
    <row r="1412" ht="14.25" customHeight="1">
      <c r="B1412" s="997" t="s">
        <v>4269</v>
      </c>
      <c r="G1412" s="997" t="s">
        <v>7118</v>
      </c>
      <c r="I1412" s="998" t="s">
        <v>1120</v>
      </c>
      <c r="U1412" s="990"/>
    </row>
    <row r="1413" ht="14.25" customHeight="1">
      <c r="B1413" s="997" t="s">
        <v>4270</v>
      </c>
      <c r="G1413" s="997" t="s">
        <v>7118</v>
      </c>
      <c r="I1413" s="998" t="s">
        <v>1120</v>
      </c>
      <c r="U1413" s="990"/>
    </row>
    <row r="1414" ht="14.25" customHeight="1">
      <c r="B1414" s="997" t="s">
        <v>4271</v>
      </c>
      <c r="G1414" s="997" t="s">
        <v>7118</v>
      </c>
      <c r="I1414" s="998" t="s">
        <v>1120</v>
      </c>
      <c r="U1414" s="990"/>
    </row>
    <row r="1415" ht="14.25" customHeight="1">
      <c r="B1415" s="997" t="s">
        <v>4272</v>
      </c>
      <c r="G1415" s="997" t="s">
        <v>7118</v>
      </c>
      <c r="I1415" s="998" t="s">
        <v>1120</v>
      </c>
      <c r="U1415" s="990"/>
    </row>
    <row r="1416" ht="14.25" customHeight="1">
      <c r="B1416" s="997" t="s">
        <v>4273</v>
      </c>
      <c r="G1416" s="997" t="s">
        <v>7118</v>
      </c>
      <c r="I1416" s="998" t="s">
        <v>1120</v>
      </c>
      <c r="U1416" s="990"/>
    </row>
    <row r="1417" ht="14.25" customHeight="1">
      <c r="B1417" s="997" t="s">
        <v>4274</v>
      </c>
      <c r="G1417" s="997" t="s">
        <v>7119</v>
      </c>
      <c r="I1417" s="998" t="s">
        <v>1120</v>
      </c>
      <c r="U1417" s="990"/>
    </row>
    <row r="1418" ht="14.25" customHeight="1">
      <c r="B1418" s="997" t="s">
        <v>4276</v>
      </c>
      <c r="G1418" s="997" t="s">
        <v>4053</v>
      </c>
      <c r="I1418" s="998" t="s">
        <v>1120</v>
      </c>
      <c r="U1418" s="997" t="s">
        <v>4055</v>
      </c>
    </row>
    <row r="1419" ht="14.25" customHeight="1">
      <c r="B1419" s="997" t="s">
        <v>4278</v>
      </c>
      <c r="G1419" s="997" t="s">
        <v>4053</v>
      </c>
      <c r="I1419" s="998" t="s">
        <v>1120</v>
      </c>
      <c r="U1419" s="997" t="s">
        <v>4055</v>
      </c>
    </row>
    <row r="1420" ht="14.25" customHeight="1">
      <c r="B1420" s="997" t="s">
        <v>4281</v>
      </c>
      <c r="G1420" s="997" t="s">
        <v>4053</v>
      </c>
      <c r="I1420" s="998" t="s">
        <v>1120</v>
      </c>
      <c r="U1420" s="997" t="s">
        <v>4055</v>
      </c>
    </row>
    <row r="1421" ht="14.25" customHeight="1">
      <c r="B1421" s="997" t="s">
        <v>4283</v>
      </c>
      <c r="G1421" s="997" t="s">
        <v>4053</v>
      </c>
      <c r="I1421" s="998" t="s">
        <v>1120</v>
      </c>
      <c r="U1421" s="997" t="s">
        <v>4055</v>
      </c>
    </row>
    <row r="1422" ht="14.25" customHeight="1">
      <c r="B1422" s="997" t="s">
        <v>4285</v>
      </c>
      <c r="G1422" s="997" t="s">
        <v>4053</v>
      </c>
      <c r="I1422" s="998" t="s">
        <v>1120</v>
      </c>
      <c r="U1422" s="997" t="s">
        <v>4055</v>
      </c>
    </row>
    <row r="1423" ht="14.25" customHeight="1">
      <c r="B1423" s="997" t="s">
        <v>4289</v>
      </c>
      <c r="G1423" s="997" t="s">
        <v>3919</v>
      </c>
      <c r="I1423" s="998" t="s">
        <v>1120</v>
      </c>
      <c r="U1423" s="990"/>
    </row>
    <row r="1424" ht="14.25" customHeight="1">
      <c r="B1424" s="997" t="s">
        <v>4292</v>
      </c>
      <c r="G1424" s="997" t="s">
        <v>3521</v>
      </c>
      <c r="I1424" s="998" t="s">
        <v>1120</v>
      </c>
      <c r="U1424" s="990"/>
    </row>
    <row r="1425" ht="14.25" customHeight="1">
      <c r="B1425" s="997" t="s">
        <v>4295</v>
      </c>
      <c r="G1425" s="997" t="s">
        <v>3521</v>
      </c>
      <c r="I1425" s="998" t="s">
        <v>1120</v>
      </c>
      <c r="U1425" s="990"/>
    </row>
    <row r="1426" ht="14.25" customHeight="1">
      <c r="B1426" s="997" t="s">
        <v>4298</v>
      </c>
      <c r="G1426" s="997" t="s">
        <v>3521</v>
      </c>
      <c r="I1426" s="998" t="s">
        <v>1120</v>
      </c>
      <c r="U1426" s="990"/>
    </row>
    <row r="1427" ht="14.25" customHeight="1">
      <c r="B1427" s="997" t="s">
        <v>4300</v>
      </c>
      <c r="G1427" s="997" t="s">
        <v>3521</v>
      </c>
      <c r="I1427" s="998" t="s">
        <v>1120</v>
      </c>
      <c r="U1427" s="990"/>
    </row>
    <row r="1428" ht="14.25" customHeight="1">
      <c r="B1428" s="997" t="s">
        <v>4304</v>
      </c>
      <c r="G1428" s="997" t="s">
        <v>4080</v>
      </c>
      <c r="I1428" s="998" t="s">
        <v>1120</v>
      </c>
      <c r="U1428" s="990"/>
    </row>
    <row r="1429" ht="14.25" customHeight="1">
      <c r="B1429" s="997" t="s">
        <v>4306</v>
      </c>
      <c r="G1429" s="997" t="s">
        <v>4080</v>
      </c>
      <c r="I1429" s="998" t="s">
        <v>1120</v>
      </c>
      <c r="U1429" s="990"/>
    </row>
    <row r="1430" ht="14.25" customHeight="1">
      <c r="B1430" s="997" t="s">
        <v>4309</v>
      </c>
      <c r="G1430" s="997" t="s">
        <v>4080</v>
      </c>
      <c r="I1430" s="998" t="s">
        <v>1120</v>
      </c>
      <c r="U1430" s="990"/>
    </row>
    <row r="1431" ht="14.25" customHeight="1">
      <c r="B1431" s="997" t="s">
        <v>4314</v>
      </c>
      <c r="G1431" s="997" t="s">
        <v>4080</v>
      </c>
      <c r="I1431" s="998" t="s">
        <v>1120</v>
      </c>
      <c r="U1431" s="990"/>
    </row>
    <row r="1432" ht="14.25" customHeight="1">
      <c r="B1432" s="997" t="s">
        <v>4317</v>
      </c>
      <c r="G1432" s="997" t="s">
        <v>3925</v>
      </c>
      <c r="I1432" s="998" t="s">
        <v>1120</v>
      </c>
      <c r="U1432" s="990"/>
    </row>
    <row r="1433" ht="14.25" customHeight="1">
      <c r="B1433" s="997" t="s">
        <v>4319</v>
      </c>
      <c r="G1433" s="997" t="s">
        <v>3925</v>
      </c>
      <c r="I1433" s="998" t="s">
        <v>1120</v>
      </c>
      <c r="U1433" s="990"/>
    </row>
    <row r="1434" ht="14.25" customHeight="1">
      <c r="B1434" s="997" t="s">
        <v>4321</v>
      </c>
      <c r="G1434" s="997" t="s">
        <v>3925</v>
      </c>
      <c r="I1434" s="998" t="s">
        <v>1120</v>
      </c>
      <c r="U1434" s="990"/>
    </row>
    <row r="1435" ht="14.25" customHeight="1">
      <c r="B1435" s="997" t="s">
        <v>4323</v>
      </c>
      <c r="G1435" s="997" t="s">
        <v>3925</v>
      </c>
      <c r="I1435" s="998" t="s">
        <v>1120</v>
      </c>
      <c r="U1435" s="990"/>
    </row>
    <row r="1436" ht="14.25" customHeight="1">
      <c r="B1436" s="997" t="s">
        <v>4325</v>
      </c>
      <c r="G1436" s="997" t="s">
        <v>3925</v>
      </c>
      <c r="I1436" s="998" t="s">
        <v>1120</v>
      </c>
      <c r="U1436" s="990"/>
    </row>
    <row r="1437" ht="14.25" customHeight="1">
      <c r="B1437" s="997" t="s">
        <v>4327</v>
      </c>
      <c r="G1437" s="997" t="s">
        <v>3925</v>
      </c>
      <c r="I1437" s="998" t="s">
        <v>1120</v>
      </c>
      <c r="U1437" s="990"/>
    </row>
    <row r="1438" ht="14.25" customHeight="1">
      <c r="B1438" s="997" t="s">
        <v>4329</v>
      </c>
      <c r="G1438" s="997" t="s">
        <v>3514</v>
      </c>
      <c r="I1438" s="998" t="s">
        <v>1120</v>
      </c>
      <c r="U1438" s="997" t="s">
        <v>3951</v>
      </c>
    </row>
    <row r="1439" ht="14.25" customHeight="1">
      <c r="B1439" s="997" t="s">
        <v>4330</v>
      </c>
      <c r="G1439" s="997" t="s">
        <v>4332</v>
      </c>
      <c r="I1439" s="998" t="s">
        <v>1120</v>
      </c>
      <c r="U1439" s="990"/>
    </row>
    <row r="1440" ht="14.25" customHeight="1">
      <c r="B1440" s="997" t="s">
        <v>4336</v>
      </c>
      <c r="G1440" s="997" t="s">
        <v>4339</v>
      </c>
      <c r="I1440" s="998" t="s">
        <v>1120</v>
      </c>
      <c r="U1440" s="997" t="s">
        <v>4342</v>
      </c>
    </row>
    <row r="1441" ht="14.25" customHeight="1">
      <c r="B1441" s="997" t="s">
        <v>4344</v>
      </c>
      <c r="G1441" s="997" t="s">
        <v>4051</v>
      </c>
      <c r="I1441" s="998" t="s">
        <v>1120</v>
      </c>
      <c r="U1441" s="997" t="s">
        <v>4347</v>
      </c>
    </row>
    <row r="1442" ht="14.25" customHeight="1">
      <c r="B1442" s="997" t="s">
        <v>4348</v>
      </c>
      <c r="G1442" s="997" t="s">
        <v>4051</v>
      </c>
      <c r="I1442" s="998" t="s">
        <v>1120</v>
      </c>
      <c r="U1442" s="990"/>
    </row>
    <row r="1443" ht="14.25" customHeight="1">
      <c r="B1443" s="997" t="s">
        <v>4354</v>
      </c>
      <c r="G1443" s="997" t="s">
        <v>5775</v>
      </c>
      <c r="I1443" s="998" t="s">
        <v>1120</v>
      </c>
      <c r="U1443" s="997" t="s">
        <v>3997</v>
      </c>
    </row>
    <row r="1444" ht="14.25" customHeight="1">
      <c r="B1444" s="997" t="s">
        <v>4357</v>
      </c>
      <c r="G1444" s="997" t="s">
        <v>5775</v>
      </c>
      <c r="I1444" s="998" t="s">
        <v>1120</v>
      </c>
      <c r="U1444" s="997" t="s">
        <v>3997</v>
      </c>
    </row>
    <row r="1445" ht="14.25" customHeight="1">
      <c r="B1445" s="997" t="s">
        <v>4359</v>
      </c>
      <c r="G1445" s="997" t="s">
        <v>5775</v>
      </c>
      <c r="I1445" s="998" t="s">
        <v>1120</v>
      </c>
      <c r="U1445" s="997" t="s">
        <v>3997</v>
      </c>
    </row>
    <row r="1446" ht="14.25" customHeight="1">
      <c r="B1446" s="997" t="s">
        <v>4361</v>
      </c>
      <c r="G1446" s="997" t="s">
        <v>5775</v>
      </c>
      <c r="I1446" s="998" t="s">
        <v>1120</v>
      </c>
      <c r="U1446" s="997" t="s">
        <v>3997</v>
      </c>
    </row>
    <row r="1447" ht="14.25" customHeight="1">
      <c r="B1447" s="997" t="s">
        <v>4364</v>
      </c>
      <c r="G1447" s="997" t="s">
        <v>5775</v>
      </c>
      <c r="I1447" s="998" t="s">
        <v>1120</v>
      </c>
      <c r="U1447" s="997" t="s">
        <v>3997</v>
      </c>
    </row>
    <row r="1448" ht="14.25" customHeight="1">
      <c r="B1448" s="997" t="s">
        <v>4367</v>
      </c>
      <c r="G1448" s="997" t="s">
        <v>5775</v>
      </c>
      <c r="I1448" s="998" t="s">
        <v>1120</v>
      </c>
      <c r="U1448" s="1018" t="s">
        <v>4014</v>
      </c>
    </row>
    <row r="1449" ht="14.25" customHeight="1">
      <c r="B1449" s="997" t="s">
        <v>4369</v>
      </c>
      <c r="G1449" s="997" t="s">
        <v>5775</v>
      </c>
      <c r="I1449" s="998" t="s">
        <v>1120</v>
      </c>
      <c r="U1449" s="1018" t="s">
        <v>4014</v>
      </c>
    </row>
    <row r="1450" ht="14.25" customHeight="1">
      <c r="B1450" s="997" t="s">
        <v>4373</v>
      </c>
      <c r="G1450" s="997" t="s">
        <v>5778</v>
      </c>
      <c r="I1450" s="998" t="s">
        <v>1120</v>
      </c>
      <c r="U1450" s="1018" t="s">
        <v>4376</v>
      </c>
    </row>
    <row r="1451" ht="14.25" customHeight="1">
      <c r="B1451" s="997" t="s">
        <v>4378</v>
      </c>
      <c r="G1451" s="997" t="s">
        <v>5775</v>
      </c>
      <c r="I1451" s="998" t="s">
        <v>1120</v>
      </c>
      <c r="U1451" s="1019"/>
    </row>
    <row r="1452" ht="14.25" customHeight="1">
      <c r="B1452" s="997" t="s">
        <v>4381</v>
      </c>
      <c r="G1452" s="997" t="s">
        <v>5775</v>
      </c>
      <c r="I1452" s="998" t="s">
        <v>1120</v>
      </c>
      <c r="U1452" s="990"/>
    </row>
    <row r="1453" ht="14.25" customHeight="1">
      <c r="B1453" s="997" t="s">
        <v>4385</v>
      </c>
      <c r="G1453" s="997" t="s">
        <v>5775</v>
      </c>
      <c r="I1453" s="998" t="s">
        <v>1120</v>
      </c>
      <c r="U1453" s="990"/>
    </row>
    <row r="1454" ht="14.25" customHeight="1">
      <c r="B1454" s="997" t="s">
        <v>4388</v>
      </c>
      <c r="G1454" s="997" t="s">
        <v>5775</v>
      </c>
      <c r="I1454" s="998" t="s">
        <v>1120</v>
      </c>
      <c r="U1454" s="990"/>
    </row>
    <row r="1455" ht="14.25" customHeight="1">
      <c r="B1455" s="997" t="s">
        <v>4391</v>
      </c>
      <c r="G1455" s="997" t="s">
        <v>5775</v>
      </c>
      <c r="I1455" s="998" t="s">
        <v>1120</v>
      </c>
      <c r="U1455" s="990"/>
    </row>
    <row r="1456" ht="14.25" customHeight="1">
      <c r="B1456" s="997" t="s">
        <v>4394</v>
      </c>
      <c r="G1456" s="1010" t="s">
        <v>7120</v>
      </c>
      <c r="I1456" s="998" t="s">
        <v>1120</v>
      </c>
      <c r="U1456" s="997" t="s">
        <v>4397</v>
      </c>
    </row>
    <row r="1457" ht="14.25" customHeight="1">
      <c r="B1457" s="997" t="s">
        <v>4402</v>
      </c>
      <c r="G1457" s="997" t="s">
        <v>4404</v>
      </c>
      <c r="I1457" s="998" t="s">
        <v>1120</v>
      </c>
      <c r="U1457" s="997" t="s">
        <v>3286</v>
      </c>
    </row>
    <row r="1458" ht="14.25" customHeight="1">
      <c r="B1458" s="997" t="s">
        <v>4406</v>
      </c>
      <c r="G1458" s="997" t="s">
        <v>4404</v>
      </c>
      <c r="I1458" s="998" t="s">
        <v>1120</v>
      </c>
      <c r="U1458" s="997" t="s">
        <v>3286</v>
      </c>
    </row>
    <row r="1459" ht="14.25" customHeight="1">
      <c r="B1459" s="997" t="s">
        <v>4408</v>
      </c>
      <c r="G1459" s="997" t="s">
        <v>4404</v>
      </c>
      <c r="I1459" s="998" t="s">
        <v>1120</v>
      </c>
      <c r="U1459" s="997" t="s">
        <v>3286</v>
      </c>
    </row>
    <row r="1460" ht="14.25" customHeight="1">
      <c r="B1460" s="997" t="s">
        <v>4410</v>
      </c>
      <c r="G1460" s="997" t="s">
        <v>4404</v>
      </c>
      <c r="I1460" s="998" t="s">
        <v>1120</v>
      </c>
      <c r="U1460" s="997" t="s">
        <v>3286</v>
      </c>
    </row>
    <row r="1461" ht="14.25" customHeight="1">
      <c r="B1461" s="997" t="s">
        <v>4412</v>
      </c>
      <c r="G1461" s="997" t="s">
        <v>4415</v>
      </c>
      <c r="I1461" s="998" t="s">
        <v>1120</v>
      </c>
      <c r="U1461" s="990"/>
    </row>
    <row r="1462" ht="14.25" customHeight="1">
      <c r="B1462" s="990"/>
      <c r="G1462" s="990"/>
      <c r="I1462" s="998" t="s">
        <v>1120</v>
      </c>
      <c r="U1462" s="990"/>
    </row>
    <row r="1463" ht="14.25" customHeight="1">
      <c r="B1463" s="1011" t="s">
        <v>4421</v>
      </c>
      <c r="G1463" s="1012"/>
      <c r="I1463" s="990"/>
      <c r="U1463" s="1012"/>
    </row>
    <row r="1464" ht="14.25" customHeight="1">
      <c r="B1464" s="997" t="s">
        <v>4422</v>
      </c>
      <c r="G1464" s="997" t="s">
        <v>4424</v>
      </c>
      <c r="I1464" s="1012"/>
      <c r="U1464" s="997" t="s">
        <v>4427</v>
      </c>
    </row>
    <row r="1465" ht="14.25" customHeight="1">
      <c r="B1465" s="997" t="s">
        <v>4428</v>
      </c>
      <c r="G1465" s="997" t="s">
        <v>4430</v>
      </c>
      <c r="I1465" s="998" t="s">
        <v>57</v>
      </c>
      <c r="U1465" s="997" t="s">
        <v>4433</v>
      </c>
    </row>
    <row r="1466" ht="14.25" customHeight="1">
      <c r="B1466" s="997" t="s">
        <v>4434</v>
      </c>
      <c r="G1466" s="997" t="s">
        <v>4436</v>
      </c>
      <c r="I1466" s="998" t="s">
        <v>57</v>
      </c>
      <c r="U1466" s="990"/>
    </row>
    <row r="1467" ht="14.25" customHeight="1">
      <c r="B1467" s="997" t="s">
        <v>4440</v>
      </c>
      <c r="G1467" s="997" t="s">
        <v>3521</v>
      </c>
      <c r="I1467" s="998" t="s">
        <v>57</v>
      </c>
      <c r="U1467" s="990"/>
    </row>
    <row r="1468" ht="14.25" customHeight="1">
      <c r="B1468" s="997" t="s">
        <v>4444</v>
      </c>
      <c r="G1468" s="997" t="s">
        <v>3521</v>
      </c>
      <c r="I1468" s="998" t="s">
        <v>57</v>
      </c>
      <c r="U1468" s="990"/>
    </row>
    <row r="1469" ht="14.25" customHeight="1">
      <c r="B1469" s="997" t="s">
        <v>4449</v>
      </c>
      <c r="G1469" s="997" t="s">
        <v>3521</v>
      </c>
      <c r="I1469" s="998" t="s">
        <v>57</v>
      </c>
      <c r="U1469" s="990"/>
    </row>
    <row r="1470" ht="14.25" customHeight="1">
      <c r="B1470" s="997" t="s">
        <v>4455</v>
      </c>
      <c r="G1470" s="997" t="s">
        <v>4457</v>
      </c>
      <c r="I1470" s="998" t="s">
        <v>57</v>
      </c>
      <c r="U1470" s="997" t="s">
        <v>4459</v>
      </c>
    </row>
    <row r="1471" ht="14.25" customHeight="1">
      <c r="B1471" s="997" t="s">
        <v>4460</v>
      </c>
      <c r="G1471" s="997" t="s">
        <v>4332</v>
      </c>
      <c r="I1471" s="998" t="s">
        <v>57</v>
      </c>
      <c r="U1471" s="997" t="s">
        <v>4464</v>
      </c>
    </row>
    <row r="1472" ht="14.25" customHeight="1">
      <c r="B1472" s="997" t="s">
        <v>4465</v>
      </c>
      <c r="G1472" s="997" t="s">
        <v>4468</v>
      </c>
      <c r="I1472" s="998" t="s">
        <v>57</v>
      </c>
      <c r="U1472" s="990"/>
    </row>
    <row r="1473" ht="14.25" customHeight="1">
      <c r="B1473" s="997" t="s">
        <v>4471</v>
      </c>
      <c r="G1473" s="997" t="s">
        <v>3514</v>
      </c>
      <c r="I1473" s="998" t="s">
        <v>57</v>
      </c>
      <c r="U1473" s="990"/>
    </row>
    <row r="1474" ht="14.25" customHeight="1">
      <c r="B1474" s="997" t="s">
        <v>4478</v>
      </c>
      <c r="G1474" s="997" t="s">
        <v>3644</v>
      </c>
      <c r="I1474" s="998" t="s">
        <v>1253</v>
      </c>
      <c r="U1474" s="997" t="s">
        <v>4482</v>
      </c>
    </row>
    <row r="1475" ht="14.25" customHeight="1">
      <c r="B1475" s="997" t="s">
        <v>4483</v>
      </c>
      <c r="G1475" s="997" t="s">
        <v>3925</v>
      </c>
      <c r="I1475" s="998" t="s">
        <v>57</v>
      </c>
      <c r="U1475" s="990"/>
    </row>
    <row r="1476" ht="14.25" customHeight="1">
      <c r="B1476" s="997" t="s">
        <v>4485</v>
      </c>
      <c r="G1476" s="997" t="s">
        <v>3925</v>
      </c>
      <c r="I1476" s="998" t="s">
        <v>57</v>
      </c>
      <c r="U1476" s="990"/>
    </row>
    <row r="1477" ht="14.25" customHeight="1">
      <c r="B1477" s="997" t="s">
        <v>4490</v>
      </c>
      <c r="G1477" s="997" t="s">
        <v>3925</v>
      </c>
      <c r="I1477" s="998" t="s">
        <v>57</v>
      </c>
      <c r="U1477" s="990"/>
    </row>
    <row r="1478" ht="14.25" customHeight="1">
      <c r="B1478" s="997" t="s">
        <v>4493</v>
      </c>
      <c r="G1478" s="997" t="s">
        <v>3925</v>
      </c>
      <c r="I1478" s="998" t="s">
        <v>57</v>
      </c>
      <c r="U1478" s="990"/>
    </row>
    <row r="1479" ht="14.25" customHeight="1">
      <c r="B1479" s="997" t="s">
        <v>4496</v>
      </c>
      <c r="G1479" s="997" t="s">
        <v>4497</v>
      </c>
      <c r="I1479" s="998" t="s">
        <v>57</v>
      </c>
      <c r="U1479" s="997" t="s">
        <v>4498</v>
      </c>
    </row>
    <row r="1480" ht="14.25" customHeight="1">
      <c r="B1480" s="997" t="s">
        <v>4500</v>
      </c>
      <c r="G1480" s="997" t="s">
        <v>5775</v>
      </c>
      <c r="I1480" s="998" t="s">
        <v>57</v>
      </c>
      <c r="U1480" s="997" t="s">
        <v>3997</v>
      </c>
    </row>
    <row r="1481" ht="14.25" customHeight="1">
      <c r="B1481" s="997" t="s">
        <v>4505</v>
      </c>
      <c r="G1481" s="997" t="s">
        <v>5775</v>
      </c>
      <c r="I1481" s="998" t="s">
        <v>57</v>
      </c>
      <c r="U1481" s="997" t="s">
        <v>3997</v>
      </c>
    </row>
    <row r="1482" ht="14.25" customHeight="1">
      <c r="B1482" s="997" t="s">
        <v>4508</v>
      </c>
      <c r="G1482" s="997" t="s">
        <v>5775</v>
      </c>
      <c r="I1482" s="998" t="s">
        <v>57</v>
      </c>
      <c r="U1482" s="990"/>
    </row>
    <row r="1483" ht="14.25" customHeight="1">
      <c r="B1483" s="997" t="s">
        <v>4510</v>
      </c>
      <c r="G1483" s="997" t="s">
        <v>5775</v>
      </c>
      <c r="I1483" s="998" t="s">
        <v>57</v>
      </c>
      <c r="U1483" s="990"/>
    </row>
    <row r="1484" ht="14.25" customHeight="1">
      <c r="B1484" s="997" t="s">
        <v>4513</v>
      </c>
      <c r="G1484" s="997" t="s">
        <v>5775</v>
      </c>
      <c r="I1484" s="998" t="s">
        <v>57</v>
      </c>
      <c r="U1484" s="990"/>
    </row>
    <row r="1485" ht="14.25" customHeight="1">
      <c r="B1485" s="997" t="s">
        <v>4515</v>
      </c>
      <c r="G1485" s="997" t="s">
        <v>5775</v>
      </c>
      <c r="I1485" s="998" t="s">
        <v>57</v>
      </c>
      <c r="U1485" s="990"/>
    </row>
    <row r="1486" ht="14.25" customHeight="1">
      <c r="B1486" s="997" t="s">
        <v>4518</v>
      </c>
      <c r="G1486" s="997" t="s">
        <v>5775</v>
      </c>
      <c r="I1486" s="998" t="s">
        <v>57</v>
      </c>
      <c r="U1486" s="990"/>
    </row>
    <row r="1487" ht="14.25" customHeight="1">
      <c r="B1487" s="997" t="s">
        <v>4521</v>
      </c>
      <c r="G1487" s="997" t="s">
        <v>5775</v>
      </c>
      <c r="I1487" s="998" t="s">
        <v>57</v>
      </c>
      <c r="U1487" s="990"/>
    </row>
    <row r="1488" ht="14.25" customHeight="1">
      <c r="B1488" s="997" t="s">
        <v>4523</v>
      </c>
      <c r="G1488" s="997" t="s">
        <v>5775</v>
      </c>
      <c r="I1488" s="998" t="s">
        <v>57</v>
      </c>
      <c r="U1488" s="990"/>
    </row>
    <row r="1489" ht="14.25" customHeight="1">
      <c r="B1489" s="997" t="s">
        <v>4528</v>
      </c>
      <c r="G1489" s="997" t="s">
        <v>5775</v>
      </c>
      <c r="I1489" s="998" t="s">
        <v>57</v>
      </c>
      <c r="U1489" s="990"/>
    </row>
    <row r="1490" ht="14.25" customHeight="1">
      <c r="B1490" s="997" t="s">
        <v>4532</v>
      </c>
      <c r="G1490" s="997" t="s">
        <v>5775</v>
      </c>
      <c r="I1490" s="998" t="s">
        <v>57</v>
      </c>
      <c r="U1490" s="990"/>
    </row>
    <row r="1491" ht="14.25" customHeight="1">
      <c r="B1491" s="997" t="s">
        <v>4541</v>
      </c>
      <c r="G1491" s="997" t="s">
        <v>3919</v>
      </c>
      <c r="I1491" s="998" t="s">
        <v>57</v>
      </c>
      <c r="U1491" s="990"/>
    </row>
    <row r="1492" ht="14.25" customHeight="1">
      <c r="B1492" s="997" t="s">
        <v>4547</v>
      </c>
      <c r="G1492" s="997" t="s">
        <v>4404</v>
      </c>
      <c r="I1492" s="998" t="s">
        <v>57</v>
      </c>
      <c r="U1492" s="997" t="s">
        <v>3286</v>
      </c>
    </row>
    <row r="1493" ht="14.25" customHeight="1">
      <c r="B1493" s="997" t="s">
        <v>4549</v>
      </c>
      <c r="G1493" s="997" t="s">
        <v>4404</v>
      </c>
      <c r="I1493" s="998" t="s">
        <v>57</v>
      </c>
      <c r="U1493" s="997" t="s">
        <v>3286</v>
      </c>
    </row>
    <row r="1494" ht="14.25" customHeight="1">
      <c r="B1494" s="997" t="s">
        <v>4552</v>
      </c>
      <c r="G1494" s="997" t="s">
        <v>4404</v>
      </c>
      <c r="I1494" s="998" t="s">
        <v>57</v>
      </c>
      <c r="U1494" s="997" t="s">
        <v>3286</v>
      </c>
    </row>
    <row r="1495" ht="14.25" customHeight="1">
      <c r="B1495" s="997" t="s">
        <v>4554</v>
      </c>
      <c r="G1495" s="997" t="s">
        <v>4404</v>
      </c>
      <c r="I1495" s="998" t="s">
        <v>57</v>
      </c>
      <c r="U1495" s="997" t="s">
        <v>3286</v>
      </c>
    </row>
    <row r="1496" ht="14.25" customHeight="1">
      <c r="B1496" s="997" t="s">
        <v>4556</v>
      </c>
      <c r="G1496" s="1010" t="s">
        <v>3279</v>
      </c>
      <c r="I1496" s="998" t="s">
        <v>57</v>
      </c>
      <c r="U1496" s="997" t="s">
        <v>3286</v>
      </c>
    </row>
    <row r="1497" ht="14.25" customHeight="1">
      <c r="B1497" s="997" t="s">
        <v>4558</v>
      </c>
      <c r="G1497" s="1010" t="s">
        <v>3279</v>
      </c>
      <c r="I1497" s="998" t="s">
        <v>57</v>
      </c>
      <c r="U1497" s="997" t="s">
        <v>3286</v>
      </c>
    </row>
    <row r="1498" ht="14.25" customHeight="1">
      <c r="B1498" s="997" t="s">
        <v>4560</v>
      </c>
      <c r="G1498" s="1010" t="s">
        <v>3279</v>
      </c>
      <c r="I1498" s="998" t="s">
        <v>57</v>
      </c>
      <c r="U1498" s="997" t="s">
        <v>3286</v>
      </c>
    </row>
    <row r="1499" ht="14.25" customHeight="1">
      <c r="B1499" s="997" t="s">
        <v>4562</v>
      </c>
      <c r="G1499" s="1010" t="s">
        <v>3279</v>
      </c>
      <c r="I1499" s="998" t="s">
        <v>57</v>
      </c>
      <c r="U1499" s="997" t="s">
        <v>3286</v>
      </c>
    </row>
    <row r="1500" ht="14.25" customHeight="1">
      <c r="B1500" s="997" t="s">
        <v>4564</v>
      </c>
      <c r="G1500" s="997" t="s">
        <v>4053</v>
      </c>
      <c r="I1500" s="998" t="s">
        <v>57</v>
      </c>
      <c r="U1500" s="997" t="s">
        <v>4055</v>
      </c>
    </row>
    <row r="1501" ht="14.25" customHeight="1">
      <c r="B1501" s="997" t="s">
        <v>4566</v>
      </c>
      <c r="G1501" s="997" t="s">
        <v>4053</v>
      </c>
      <c r="I1501" s="998" t="s">
        <v>57</v>
      </c>
      <c r="U1501" s="997" t="s">
        <v>4055</v>
      </c>
    </row>
    <row r="1502" ht="14.25" customHeight="1">
      <c r="B1502" s="997" t="s">
        <v>4569</v>
      </c>
      <c r="G1502" s="997" t="s">
        <v>4053</v>
      </c>
      <c r="I1502" s="998" t="s">
        <v>57</v>
      </c>
      <c r="U1502" s="997" t="s">
        <v>4055</v>
      </c>
    </row>
    <row r="1503" ht="14.25" customHeight="1">
      <c r="B1503" s="997" t="s">
        <v>4571</v>
      </c>
      <c r="G1503" s="997" t="s">
        <v>4053</v>
      </c>
      <c r="I1503" s="998" t="s">
        <v>57</v>
      </c>
      <c r="U1503" s="997" t="s">
        <v>4055</v>
      </c>
    </row>
    <row r="1504" ht="14.25" customHeight="1">
      <c r="B1504" s="997" t="s">
        <v>4573</v>
      </c>
      <c r="G1504" s="997" t="s">
        <v>4051</v>
      </c>
      <c r="I1504" s="998" t="s">
        <v>57</v>
      </c>
      <c r="U1504" s="990"/>
    </row>
    <row r="1505" ht="14.25" customHeight="1">
      <c r="B1505" s="990"/>
      <c r="G1505" s="990"/>
      <c r="I1505" s="998" t="s">
        <v>57</v>
      </c>
      <c r="U1505" s="990"/>
    </row>
    <row r="1506" ht="14.25" customHeight="1">
      <c r="B1506" s="1011" t="s">
        <v>4582</v>
      </c>
      <c r="G1506" s="1012"/>
      <c r="I1506" s="990"/>
      <c r="U1506" s="1012"/>
    </row>
    <row r="1507" ht="14.25" customHeight="1">
      <c r="B1507" s="997" t="s">
        <v>4583</v>
      </c>
      <c r="G1507" s="997" t="s">
        <v>5719</v>
      </c>
      <c r="I1507" s="1012"/>
      <c r="U1507" s="997" t="s">
        <v>4587</v>
      </c>
    </row>
    <row r="1508" ht="14.25" customHeight="1">
      <c r="B1508" s="997" t="s">
        <v>4588</v>
      </c>
      <c r="G1508" s="997" t="s">
        <v>4589</v>
      </c>
      <c r="I1508" s="998" t="s">
        <v>1389</v>
      </c>
      <c r="U1508" s="997" t="s">
        <v>3286</v>
      </c>
    </row>
    <row r="1509" ht="14.25" customHeight="1">
      <c r="B1509" s="997" t="s">
        <v>4591</v>
      </c>
      <c r="G1509" s="997" t="s">
        <v>4589</v>
      </c>
      <c r="I1509" s="998" t="s">
        <v>1389</v>
      </c>
      <c r="U1509" s="997" t="s">
        <v>4592</v>
      </c>
    </row>
    <row r="1510" ht="14.25" customHeight="1">
      <c r="B1510" s="997" t="s">
        <v>4593</v>
      </c>
      <c r="G1510" s="997" t="s">
        <v>4589</v>
      </c>
      <c r="I1510" s="998" t="s">
        <v>1389</v>
      </c>
      <c r="U1510" s="997" t="s">
        <v>4592</v>
      </c>
    </row>
    <row r="1511" ht="14.25" customHeight="1">
      <c r="B1511" s="997" t="s">
        <v>4594</v>
      </c>
      <c r="G1511" s="997" t="s">
        <v>3279</v>
      </c>
      <c r="I1511" s="998" t="s">
        <v>1389</v>
      </c>
      <c r="U1511" s="997" t="s">
        <v>4596</v>
      </c>
    </row>
    <row r="1512" ht="14.25" customHeight="1">
      <c r="B1512" s="997" t="s">
        <v>4597</v>
      </c>
      <c r="G1512" s="997" t="s">
        <v>3279</v>
      </c>
      <c r="I1512" s="998" t="s">
        <v>1389</v>
      </c>
      <c r="U1512" s="997" t="s">
        <v>4596</v>
      </c>
    </row>
    <row r="1513" ht="14.25" customHeight="1">
      <c r="B1513" s="997" t="s">
        <v>4599</v>
      </c>
      <c r="G1513" s="997" t="s">
        <v>3279</v>
      </c>
      <c r="I1513" s="998" t="s">
        <v>1389</v>
      </c>
      <c r="U1513" s="997" t="s">
        <v>4596</v>
      </c>
    </row>
    <row r="1514" ht="14.25" customHeight="1">
      <c r="B1514" s="997" t="s">
        <v>4601</v>
      </c>
      <c r="G1514" s="997" t="s">
        <v>3521</v>
      </c>
      <c r="I1514" s="998" t="s">
        <v>1389</v>
      </c>
      <c r="U1514" s="990"/>
    </row>
    <row r="1515" ht="14.25" customHeight="1">
      <c r="B1515" s="997" t="s">
        <v>4603</v>
      </c>
      <c r="G1515" s="997" t="s">
        <v>3521</v>
      </c>
      <c r="I1515" s="998" t="s">
        <v>1389</v>
      </c>
      <c r="U1515" s="990"/>
    </row>
    <row r="1516" ht="14.25" customHeight="1">
      <c r="B1516" s="997" t="s">
        <v>4607</v>
      </c>
      <c r="G1516" s="997" t="s">
        <v>3521</v>
      </c>
      <c r="I1516" s="998" t="s">
        <v>1389</v>
      </c>
      <c r="U1516" s="990"/>
    </row>
    <row r="1517" ht="14.25" customHeight="1">
      <c r="B1517" s="997" t="s">
        <v>4610</v>
      </c>
      <c r="G1517" s="997" t="s">
        <v>3521</v>
      </c>
      <c r="I1517" s="998" t="s">
        <v>1389</v>
      </c>
      <c r="U1517" s="990"/>
    </row>
    <row r="1518" ht="14.25" customHeight="1">
      <c r="B1518" s="997" t="s">
        <v>4613</v>
      </c>
      <c r="G1518" s="997" t="s">
        <v>3521</v>
      </c>
      <c r="I1518" s="998" t="s">
        <v>1389</v>
      </c>
      <c r="U1518" s="990"/>
    </row>
    <row r="1519" ht="14.25" customHeight="1">
      <c r="B1519" s="997" t="s">
        <v>4616</v>
      </c>
      <c r="G1519" s="997" t="s">
        <v>4619</v>
      </c>
      <c r="I1519" s="998" t="s">
        <v>1389</v>
      </c>
      <c r="U1519" s="990"/>
    </row>
    <row r="1520" ht="14.25" customHeight="1">
      <c r="B1520" s="997" t="s">
        <v>4621</v>
      </c>
      <c r="G1520" s="997" t="s">
        <v>4623</v>
      </c>
      <c r="I1520" s="998" t="s">
        <v>1389</v>
      </c>
      <c r="U1520" s="990"/>
    </row>
    <row r="1521" ht="14.25" customHeight="1">
      <c r="B1521" s="997" t="s">
        <v>4624</v>
      </c>
      <c r="G1521" s="997" t="s">
        <v>4202</v>
      </c>
      <c r="I1521" s="998" t="s">
        <v>1389</v>
      </c>
      <c r="U1521" s="990"/>
    </row>
    <row r="1522" ht="14.25" customHeight="1">
      <c r="B1522" s="997" t="s">
        <v>4628</v>
      </c>
      <c r="G1522" s="997" t="s">
        <v>4202</v>
      </c>
      <c r="I1522" s="998" t="s">
        <v>1389</v>
      </c>
      <c r="U1522" s="990"/>
    </row>
    <row r="1523" ht="14.25" customHeight="1">
      <c r="B1523" s="997" t="s">
        <v>4630</v>
      </c>
      <c r="G1523" s="997" t="s">
        <v>4202</v>
      </c>
      <c r="I1523" s="998" t="s">
        <v>1389</v>
      </c>
      <c r="U1523" s="990"/>
    </row>
    <row r="1524" ht="14.25" customHeight="1">
      <c r="B1524" s="997" t="s">
        <v>4635</v>
      </c>
      <c r="G1524" s="997" t="s">
        <v>3919</v>
      </c>
      <c r="I1524" s="998" t="s">
        <v>1389</v>
      </c>
      <c r="U1524" s="990"/>
    </row>
    <row r="1525" ht="14.25" customHeight="1">
      <c r="B1525" s="997" t="s">
        <v>4638</v>
      </c>
      <c r="G1525" s="997" t="s">
        <v>3919</v>
      </c>
      <c r="I1525" s="998" t="s">
        <v>1389</v>
      </c>
      <c r="U1525" s="990"/>
    </row>
    <row r="1526" ht="14.25" customHeight="1">
      <c r="B1526" s="997" t="s">
        <v>4643</v>
      </c>
      <c r="G1526" s="997" t="s">
        <v>4097</v>
      </c>
      <c r="I1526" s="998" t="s">
        <v>1389</v>
      </c>
      <c r="U1526" s="997" t="s">
        <v>4646</v>
      </c>
    </row>
    <row r="1527" ht="14.25" customHeight="1">
      <c r="B1527" s="997" t="s">
        <v>4647</v>
      </c>
      <c r="G1527" s="997" t="s">
        <v>4080</v>
      </c>
      <c r="I1527" s="998" t="s">
        <v>1389</v>
      </c>
      <c r="U1527" s="990"/>
    </row>
    <row r="1528" ht="14.25" customHeight="1">
      <c r="B1528" s="997" t="s">
        <v>4651</v>
      </c>
      <c r="G1528" s="997" t="s">
        <v>4339</v>
      </c>
      <c r="I1528" s="998" t="s">
        <v>1389</v>
      </c>
      <c r="U1528" s="997" t="s">
        <v>4654</v>
      </c>
    </row>
    <row r="1529" ht="14.25" customHeight="1">
      <c r="B1529" s="997" t="s">
        <v>4655</v>
      </c>
      <c r="G1529" s="997" t="s">
        <v>3925</v>
      </c>
      <c r="I1529" s="998" t="s">
        <v>1389</v>
      </c>
      <c r="U1529" s="997" t="s">
        <v>4659</v>
      </c>
    </row>
    <row r="1530" ht="14.25" customHeight="1">
      <c r="B1530" s="997" t="s">
        <v>4660</v>
      </c>
      <c r="G1530" s="997" t="s">
        <v>3925</v>
      </c>
      <c r="I1530" s="998" t="s">
        <v>1389</v>
      </c>
      <c r="U1530" s="997" t="s">
        <v>4659</v>
      </c>
    </row>
    <row r="1531" ht="14.25" customHeight="1">
      <c r="B1531" s="997" t="s">
        <v>4663</v>
      </c>
      <c r="G1531" s="997" t="s">
        <v>3925</v>
      </c>
      <c r="I1531" s="998" t="s">
        <v>1389</v>
      </c>
      <c r="U1531" s="997" t="s">
        <v>4659</v>
      </c>
    </row>
    <row r="1532" ht="14.25" customHeight="1">
      <c r="B1532" s="997" t="s">
        <v>4666</v>
      </c>
      <c r="G1532" s="997" t="s">
        <v>3925</v>
      </c>
      <c r="I1532" s="998" t="s">
        <v>1389</v>
      </c>
      <c r="U1532" s="997" t="s">
        <v>4659</v>
      </c>
    </row>
    <row r="1533" ht="14.25" customHeight="1">
      <c r="B1533" s="997" t="s">
        <v>4669</v>
      </c>
      <c r="G1533" s="997" t="s">
        <v>3925</v>
      </c>
      <c r="I1533" s="998" t="s">
        <v>1389</v>
      </c>
      <c r="U1533" s="997" t="s">
        <v>4659</v>
      </c>
    </row>
    <row r="1534" ht="14.25" customHeight="1">
      <c r="B1534" s="997" t="s">
        <v>4672</v>
      </c>
      <c r="G1534" s="997" t="s">
        <v>3925</v>
      </c>
      <c r="I1534" s="998" t="s">
        <v>1389</v>
      </c>
      <c r="U1534" s="997" t="s">
        <v>4659</v>
      </c>
    </row>
    <row r="1535" ht="14.25" customHeight="1">
      <c r="B1535" s="997" t="s">
        <v>4675</v>
      </c>
      <c r="G1535" s="997" t="s">
        <v>3925</v>
      </c>
      <c r="I1535" s="998" t="s">
        <v>1389</v>
      </c>
      <c r="U1535" s="997" t="s">
        <v>4659</v>
      </c>
    </row>
    <row r="1536" ht="14.25" customHeight="1">
      <c r="B1536" s="997" t="s">
        <v>4678</v>
      </c>
      <c r="G1536" s="997" t="s">
        <v>3925</v>
      </c>
      <c r="I1536" s="998" t="s">
        <v>1389</v>
      </c>
      <c r="U1536" s="997" t="s">
        <v>4659</v>
      </c>
    </row>
    <row r="1537" ht="14.25" customHeight="1">
      <c r="B1537" s="997" t="s">
        <v>4681</v>
      </c>
      <c r="G1537" s="997" t="s">
        <v>4683</v>
      </c>
      <c r="I1537" s="998" t="s">
        <v>1389</v>
      </c>
      <c r="U1537" s="997" t="s">
        <v>4684</v>
      </c>
    </row>
    <row r="1538" ht="14.25" customHeight="1">
      <c r="B1538" s="997" t="s">
        <v>4685</v>
      </c>
      <c r="G1538" s="997" t="s">
        <v>5775</v>
      </c>
      <c r="I1538" s="998" t="s">
        <v>1389</v>
      </c>
      <c r="U1538" s="997" t="s">
        <v>4688</v>
      </c>
    </row>
    <row r="1539" ht="14.25" customHeight="1">
      <c r="B1539" s="997" t="s">
        <v>4689</v>
      </c>
      <c r="G1539" s="997" t="s">
        <v>5775</v>
      </c>
      <c r="I1539" s="998" t="s">
        <v>1389</v>
      </c>
      <c r="U1539" s="997" t="s">
        <v>4688</v>
      </c>
    </row>
    <row r="1540" ht="14.25" customHeight="1">
      <c r="B1540" s="997" t="s">
        <v>4694</v>
      </c>
      <c r="G1540" s="997" t="s">
        <v>5775</v>
      </c>
      <c r="I1540" s="998" t="s">
        <v>1389</v>
      </c>
      <c r="U1540" s="997" t="s">
        <v>4688</v>
      </c>
    </row>
    <row r="1541" ht="14.25" customHeight="1">
      <c r="B1541" s="997" t="s">
        <v>4697</v>
      </c>
      <c r="G1541" s="997" t="s">
        <v>5775</v>
      </c>
      <c r="I1541" s="998" t="s">
        <v>1389</v>
      </c>
      <c r="U1541" s="997" t="s">
        <v>4688</v>
      </c>
    </row>
    <row r="1542" ht="14.25" customHeight="1">
      <c r="B1542" s="997" t="s">
        <v>4701</v>
      </c>
      <c r="G1542" s="997" t="s">
        <v>5775</v>
      </c>
      <c r="I1542" s="998" t="s">
        <v>1389</v>
      </c>
      <c r="U1542" s="997" t="s">
        <v>4706</v>
      </c>
    </row>
    <row r="1543" ht="14.25" customHeight="1">
      <c r="B1543" s="997" t="s">
        <v>4708</v>
      </c>
      <c r="G1543" s="997" t="s">
        <v>5775</v>
      </c>
      <c r="I1543" s="998" t="s">
        <v>1389</v>
      </c>
      <c r="U1543" s="997" t="s">
        <v>4706</v>
      </c>
    </row>
    <row r="1544" ht="14.25" customHeight="1">
      <c r="B1544" s="997" t="s">
        <v>4711</v>
      </c>
      <c r="G1544" s="997" t="s">
        <v>5775</v>
      </c>
      <c r="I1544" s="998" t="s">
        <v>1389</v>
      </c>
      <c r="U1544" s="997" t="s">
        <v>4706</v>
      </c>
    </row>
    <row r="1545" ht="14.25" customHeight="1">
      <c r="B1545" s="997" t="s">
        <v>4714</v>
      </c>
      <c r="G1545" s="997" t="s">
        <v>5775</v>
      </c>
      <c r="I1545" s="998" t="s">
        <v>1389</v>
      </c>
      <c r="U1545" s="997" t="s">
        <v>4706</v>
      </c>
    </row>
    <row r="1546" ht="14.25" customHeight="1">
      <c r="B1546" s="997" t="s">
        <v>4716</v>
      </c>
      <c r="G1546" s="997" t="s">
        <v>5775</v>
      </c>
      <c r="I1546" s="998" t="s">
        <v>1389</v>
      </c>
      <c r="U1546" s="997" t="s">
        <v>4706</v>
      </c>
    </row>
    <row r="1547" ht="14.25" customHeight="1">
      <c r="B1547" s="997" t="s">
        <v>4719</v>
      </c>
      <c r="G1547" s="997" t="s">
        <v>5775</v>
      </c>
      <c r="I1547" s="998" t="s">
        <v>1389</v>
      </c>
      <c r="U1547" s="997" t="s">
        <v>4706</v>
      </c>
    </row>
    <row r="1548" ht="14.25" customHeight="1">
      <c r="B1548" s="997" t="s">
        <v>4723</v>
      </c>
      <c r="G1548" s="997" t="s">
        <v>5775</v>
      </c>
      <c r="I1548" s="998" t="s">
        <v>1389</v>
      </c>
      <c r="U1548" s="997" t="s">
        <v>4706</v>
      </c>
    </row>
    <row r="1549" ht="14.25" customHeight="1">
      <c r="B1549" s="997" t="s">
        <v>4726</v>
      </c>
      <c r="G1549" s="997" t="s">
        <v>5778</v>
      </c>
      <c r="I1549" s="998" t="s">
        <v>1389</v>
      </c>
      <c r="U1549" s="997" t="s">
        <v>4376</v>
      </c>
    </row>
    <row r="1550" ht="14.25" customHeight="1">
      <c r="B1550" s="997" t="s">
        <v>4730</v>
      </c>
      <c r="G1550" s="997" t="s">
        <v>5775</v>
      </c>
      <c r="I1550" s="998" t="s">
        <v>1389</v>
      </c>
      <c r="U1550" s="997" t="s">
        <v>4706</v>
      </c>
    </row>
    <row r="1551" ht="14.25" customHeight="1">
      <c r="B1551" s="997" t="s">
        <v>4746</v>
      </c>
      <c r="G1551" s="997" t="s">
        <v>4748</v>
      </c>
      <c r="I1551" s="998" t="s">
        <v>1389</v>
      </c>
      <c r="U1551" s="997" t="s">
        <v>4752</v>
      </c>
    </row>
    <row r="1552" ht="14.25" customHeight="1">
      <c r="B1552" s="997" t="s">
        <v>4753</v>
      </c>
      <c r="G1552" s="997" t="s">
        <v>4748</v>
      </c>
      <c r="I1552" s="998" t="s">
        <v>1389</v>
      </c>
      <c r="U1552" s="997" t="s">
        <v>4752</v>
      </c>
    </row>
    <row r="1553" ht="14.25" customHeight="1">
      <c r="B1553" s="997" t="s">
        <v>4755</v>
      </c>
      <c r="G1553" s="997" t="s">
        <v>4044</v>
      </c>
      <c r="I1553" s="998" t="s">
        <v>1389</v>
      </c>
      <c r="U1553" s="997" t="s">
        <v>4758</v>
      </c>
    </row>
    <row r="1554" ht="14.25" customHeight="1">
      <c r="B1554" s="997" t="s">
        <v>4759</v>
      </c>
      <c r="G1554" s="997" t="s">
        <v>4051</v>
      </c>
      <c r="I1554" s="998" t="s">
        <v>1389</v>
      </c>
      <c r="U1554" s="990"/>
    </row>
    <row r="1555" ht="14.25" customHeight="1">
      <c r="B1555" s="997" t="s">
        <v>4765</v>
      </c>
      <c r="G1555" s="997" t="s">
        <v>4051</v>
      </c>
      <c r="I1555" s="998" t="s">
        <v>1389</v>
      </c>
      <c r="U1555" s="990"/>
    </row>
    <row r="1556" ht="14.25" customHeight="1">
      <c r="B1556" s="997" t="s">
        <v>4768</v>
      </c>
      <c r="G1556" s="997" t="s">
        <v>4770</v>
      </c>
      <c r="I1556" s="998" t="s">
        <v>1389</v>
      </c>
      <c r="U1556" s="997" t="s">
        <v>4772</v>
      </c>
    </row>
    <row r="1557" ht="14.25" customHeight="1">
      <c r="B1557" s="997" t="s">
        <v>4773</v>
      </c>
      <c r="G1557" s="997" t="s">
        <v>4775</v>
      </c>
      <c r="I1557" s="998" t="s">
        <v>1389</v>
      </c>
      <c r="U1557" s="990"/>
    </row>
    <row r="1558" ht="14.25" customHeight="1">
      <c r="B1558" s="997" t="s">
        <v>4776</v>
      </c>
      <c r="G1558" s="997" t="s">
        <v>4053</v>
      </c>
      <c r="I1558" s="998" t="s">
        <v>1389</v>
      </c>
      <c r="U1558" s="997" t="s">
        <v>4055</v>
      </c>
    </row>
    <row r="1559" ht="14.25" customHeight="1">
      <c r="B1559" s="997" t="s">
        <v>4778</v>
      </c>
      <c r="G1559" s="997" t="s">
        <v>4053</v>
      </c>
      <c r="I1559" s="998" t="s">
        <v>1389</v>
      </c>
      <c r="U1559" s="997" t="s">
        <v>4055</v>
      </c>
    </row>
    <row r="1560" ht="14.25" customHeight="1">
      <c r="B1560" s="990"/>
      <c r="G1560" s="990"/>
      <c r="I1560" s="998" t="s">
        <v>1389</v>
      </c>
      <c r="U1560" s="990"/>
    </row>
    <row r="1561" ht="14.25" customHeight="1">
      <c r="B1561" s="990"/>
      <c r="G1561" s="990"/>
      <c r="I1561" s="990"/>
      <c r="U1561" s="990"/>
    </row>
    <row r="1562" ht="14.25" customHeight="1">
      <c r="B1562" s="1011" t="s">
        <v>4786</v>
      </c>
      <c r="G1562" s="1012"/>
      <c r="I1562" s="990"/>
      <c r="U1562" s="1012"/>
    </row>
    <row r="1563" ht="14.25" customHeight="1">
      <c r="B1563" s="997" t="s">
        <v>4787</v>
      </c>
      <c r="G1563" s="997" t="s">
        <v>3521</v>
      </c>
      <c r="I1563" s="1012"/>
      <c r="U1563" s="990"/>
    </row>
    <row r="1564" ht="14.25" customHeight="1">
      <c r="B1564" s="997" t="s">
        <v>4790</v>
      </c>
      <c r="G1564" s="997" t="s">
        <v>4793</v>
      </c>
      <c r="I1564" s="998" t="s">
        <v>4789</v>
      </c>
      <c r="U1564" s="990"/>
    </row>
    <row r="1565" ht="14.25" customHeight="1">
      <c r="B1565" s="997" t="s">
        <v>4794</v>
      </c>
      <c r="G1565" s="997" t="s">
        <v>4080</v>
      </c>
      <c r="I1565" s="998" t="s">
        <v>4789</v>
      </c>
      <c r="U1565" s="990"/>
    </row>
    <row r="1566" ht="14.25" customHeight="1">
      <c r="B1566" s="997" t="s">
        <v>4796</v>
      </c>
      <c r="G1566" s="997" t="s">
        <v>3925</v>
      </c>
      <c r="I1566" s="998" t="s">
        <v>4789</v>
      </c>
      <c r="U1566" s="990"/>
    </row>
    <row r="1567" ht="14.25" customHeight="1">
      <c r="B1567" s="997" t="s">
        <v>4798</v>
      </c>
      <c r="G1567" s="997" t="s">
        <v>3925</v>
      </c>
      <c r="I1567" s="998" t="s">
        <v>4789</v>
      </c>
      <c r="U1567" s="990"/>
    </row>
    <row r="1568" ht="14.25" customHeight="1">
      <c r="B1568" s="997" t="s">
        <v>4800</v>
      </c>
      <c r="G1568" s="997" t="s">
        <v>3925</v>
      </c>
      <c r="I1568" s="998" t="s">
        <v>4789</v>
      </c>
      <c r="U1568" s="990"/>
    </row>
    <row r="1569" ht="14.25" customHeight="1">
      <c r="B1569" s="1020"/>
      <c r="G1569" s="1020"/>
      <c r="I1569" s="998" t="s">
        <v>4789</v>
      </c>
      <c r="U1569" s="1020"/>
    </row>
    <row r="1570" ht="14.25" customHeight="1">
      <c r="B1570" s="990"/>
      <c r="G1570" s="990"/>
      <c r="I1570" s="1020"/>
      <c r="U1570" s="990"/>
    </row>
    <row r="1571" ht="14.25" customHeight="1">
      <c r="B1571" s="1011" t="s">
        <v>4802</v>
      </c>
      <c r="G1571" s="1012"/>
      <c r="I1571" s="990"/>
      <c r="U1571" s="1012"/>
    </row>
    <row r="1572" ht="14.25" customHeight="1">
      <c r="B1572" s="1021" t="s">
        <v>4804</v>
      </c>
      <c r="G1572" s="1022"/>
      <c r="I1572" s="1012"/>
      <c r="U1572" s="1022"/>
    </row>
    <row r="1573" ht="14.25" customHeight="1">
      <c r="B1573" s="997" t="s">
        <v>4805</v>
      </c>
      <c r="G1573" s="997" t="s">
        <v>4808</v>
      </c>
      <c r="I1573" s="1022"/>
      <c r="U1573" s="990"/>
    </row>
    <row r="1574" ht="14.25" customHeight="1">
      <c r="B1574" s="997" t="s">
        <v>4810</v>
      </c>
      <c r="G1574" s="997" t="s">
        <v>4808</v>
      </c>
      <c r="I1574" s="998" t="s">
        <v>4809</v>
      </c>
      <c r="U1574" s="990"/>
    </row>
    <row r="1575" ht="14.25" customHeight="1">
      <c r="B1575" s="997" t="s">
        <v>4813</v>
      </c>
      <c r="G1575" s="997" t="s">
        <v>4815</v>
      </c>
      <c r="I1575" s="998" t="s">
        <v>4809</v>
      </c>
      <c r="U1575" s="990"/>
    </row>
    <row r="1576" ht="14.25" customHeight="1">
      <c r="B1576" s="997" t="s">
        <v>4817</v>
      </c>
      <c r="G1576" s="997" t="s">
        <v>4815</v>
      </c>
      <c r="I1576" s="998" t="s">
        <v>4809</v>
      </c>
      <c r="U1576" s="990"/>
    </row>
    <row r="1577" ht="14.25" customHeight="1">
      <c r="B1577" s="997" t="s">
        <v>4819</v>
      </c>
      <c r="G1577" s="997" t="s">
        <v>4815</v>
      </c>
      <c r="I1577" s="998" t="s">
        <v>4809</v>
      </c>
      <c r="U1577" s="990"/>
    </row>
    <row r="1578" ht="14.25" customHeight="1">
      <c r="B1578" s="997" t="s">
        <v>4821</v>
      </c>
      <c r="G1578" s="997" t="s">
        <v>4815</v>
      </c>
      <c r="I1578" s="998" t="s">
        <v>4809</v>
      </c>
      <c r="U1578" s="990"/>
    </row>
    <row r="1579" ht="14.25" customHeight="1">
      <c r="B1579" s="997" t="s">
        <v>4823</v>
      </c>
      <c r="G1579" s="997" t="s">
        <v>4815</v>
      </c>
      <c r="I1579" s="998" t="s">
        <v>4809</v>
      </c>
      <c r="U1579" s="990"/>
    </row>
    <row r="1580" ht="14.25" customHeight="1">
      <c r="B1580" s="997" t="s">
        <v>4826</v>
      </c>
      <c r="G1580" s="997" t="s">
        <v>4815</v>
      </c>
      <c r="I1580" s="998" t="s">
        <v>4809</v>
      </c>
      <c r="U1580" s="990"/>
    </row>
    <row r="1581" ht="14.25" customHeight="1">
      <c r="B1581" s="997" t="s">
        <v>4829</v>
      </c>
      <c r="G1581" s="997" t="s">
        <v>4815</v>
      </c>
      <c r="I1581" s="998" t="s">
        <v>4809</v>
      </c>
      <c r="U1581" s="990"/>
    </row>
    <row r="1582" ht="14.25" customHeight="1">
      <c r="B1582" s="997" t="s">
        <v>4832</v>
      </c>
      <c r="G1582" s="997" t="s">
        <v>4815</v>
      </c>
      <c r="I1582" s="998" t="s">
        <v>4809</v>
      </c>
      <c r="U1582" s="990"/>
    </row>
    <row r="1583" ht="14.25" customHeight="1">
      <c r="B1583" s="997" t="s">
        <v>4834</v>
      </c>
      <c r="G1583" s="997" t="s">
        <v>4838</v>
      </c>
      <c r="I1583" s="998" t="s">
        <v>4809</v>
      </c>
      <c r="U1583" s="990"/>
    </row>
    <row r="1584" ht="14.25" customHeight="1">
      <c r="B1584" s="997" t="s">
        <v>4840</v>
      </c>
      <c r="G1584" s="997" t="s">
        <v>4838</v>
      </c>
      <c r="I1584" s="998" t="s">
        <v>4809</v>
      </c>
      <c r="U1584" s="990"/>
    </row>
    <row r="1585" ht="14.25" customHeight="1">
      <c r="B1585" s="997" t="s">
        <v>4843</v>
      </c>
      <c r="G1585" s="997" t="s">
        <v>4332</v>
      </c>
      <c r="I1585" s="998" t="s">
        <v>4809</v>
      </c>
      <c r="U1585" s="990"/>
    </row>
    <row r="1586" ht="14.25" customHeight="1">
      <c r="B1586" s="997" t="s">
        <v>4846</v>
      </c>
      <c r="G1586" s="997" t="s">
        <v>4332</v>
      </c>
      <c r="I1586" s="998" t="s">
        <v>4809</v>
      </c>
      <c r="U1586" s="990"/>
    </row>
    <row r="1587" ht="14.25" customHeight="1">
      <c r="B1587" s="997" t="s">
        <v>4849</v>
      </c>
      <c r="G1587" s="997" t="s">
        <v>4332</v>
      </c>
      <c r="I1587" s="998" t="s">
        <v>4809</v>
      </c>
      <c r="U1587" s="997" t="s">
        <v>4853</v>
      </c>
    </row>
    <row r="1588" ht="14.25" customHeight="1">
      <c r="B1588" s="997" t="s">
        <v>4854</v>
      </c>
      <c r="G1588" s="997" t="s">
        <v>4332</v>
      </c>
      <c r="I1588" s="998" t="s">
        <v>4809</v>
      </c>
      <c r="U1588" s="997" t="s">
        <v>4853</v>
      </c>
    </row>
    <row r="1589" ht="14.25" customHeight="1">
      <c r="B1589" s="997" t="s">
        <v>4865</v>
      </c>
      <c r="G1589" s="997" t="s">
        <v>4868</v>
      </c>
      <c r="I1589" s="998" t="s">
        <v>4809</v>
      </c>
      <c r="U1589" s="990"/>
    </row>
    <row r="1590" ht="14.25" customHeight="1">
      <c r="B1590" s="997" t="s">
        <v>4869</v>
      </c>
      <c r="G1590" s="997" t="s">
        <v>4872</v>
      </c>
      <c r="I1590" s="998" t="s">
        <v>4809</v>
      </c>
      <c r="U1590" s="990"/>
    </row>
    <row r="1591" ht="14.25" customHeight="1">
      <c r="B1591" s="997" t="s">
        <v>4873</v>
      </c>
      <c r="G1591" s="997" t="s">
        <v>4872</v>
      </c>
      <c r="I1591" s="998" t="s">
        <v>4809</v>
      </c>
      <c r="U1591" s="990"/>
    </row>
    <row r="1592" ht="14.25" customHeight="1">
      <c r="B1592" s="997" t="s">
        <v>4876</v>
      </c>
      <c r="G1592" s="997" t="s">
        <v>4872</v>
      </c>
      <c r="I1592" s="998" t="s">
        <v>4809</v>
      </c>
      <c r="U1592" s="997" t="s">
        <v>4878</v>
      </c>
    </row>
    <row r="1593" ht="14.25" customHeight="1">
      <c r="B1593" s="1015" t="s">
        <v>4880</v>
      </c>
      <c r="G1593" s="997" t="s">
        <v>4872</v>
      </c>
      <c r="I1593" s="998" t="s">
        <v>4809</v>
      </c>
      <c r="U1593" s="997" t="s">
        <v>4882</v>
      </c>
    </row>
    <row r="1594" ht="14.25" customHeight="1">
      <c r="B1594" s="1015" t="s">
        <v>4883</v>
      </c>
      <c r="G1594" s="997" t="s">
        <v>5709</v>
      </c>
      <c r="I1594" s="998" t="s">
        <v>4809</v>
      </c>
      <c r="U1594" s="990"/>
    </row>
    <row r="1595" ht="14.25" customHeight="1">
      <c r="B1595" s="1015" t="s">
        <v>4887</v>
      </c>
      <c r="G1595" s="997" t="s">
        <v>7119</v>
      </c>
      <c r="I1595" s="998" t="s">
        <v>4809</v>
      </c>
      <c r="U1595" s="990"/>
    </row>
    <row r="1596" ht="14.25" customHeight="1">
      <c r="B1596" s="1015" t="s">
        <v>4889</v>
      </c>
      <c r="G1596" s="997" t="s">
        <v>5709</v>
      </c>
      <c r="I1596" s="998" t="s">
        <v>4809</v>
      </c>
      <c r="U1596" s="990"/>
    </row>
    <row r="1597" ht="14.25" customHeight="1">
      <c r="B1597" s="1015" t="s">
        <v>4893</v>
      </c>
      <c r="G1597" s="997" t="s">
        <v>5709</v>
      </c>
      <c r="I1597" s="998" t="s">
        <v>4809</v>
      </c>
      <c r="U1597" s="990"/>
    </row>
    <row r="1598" ht="14.25" customHeight="1">
      <c r="B1598" s="1015" t="s">
        <v>4896</v>
      </c>
      <c r="G1598" s="997" t="s">
        <v>5709</v>
      </c>
      <c r="I1598" s="998" t="s">
        <v>4809</v>
      </c>
      <c r="U1598" s="990"/>
    </row>
    <row r="1599" ht="14.25" customHeight="1">
      <c r="B1599" s="1015" t="s">
        <v>4899</v>
      </c>
      <c r="G1599" s="997" t="s">
        <v>4436</v>
      </c>
      <c r="I1599" s="998" t="s">
        <v>4809</v>
      </c>
      <c r="U1599" s="997" t="s">
        <v>4901</v>
      </c>
    </row>
    <row r="1600" ht="14.25" customHeight="1">
      <c r="B1600" s="1015" t="s">
        <v>4902</v>
      </c>
      <c r="G1600" s="997" t="s">
        <v>4436</v>
      </c>
      <c r="I1600" s="998" t="s">
        <v>4809</v>
      </c>
      <c r="U1600" s="997" t="s">
        <v>4901</v>
      </c>
    </row>
    <row r="1601" ht="14.25" customHeight="1">
      <c r="B1601" s="997" t="s">
        <v>4903</v>
      </c>
      <c r="G1601" s="997" t="s">
        <v>3558</v>
      </c>
      <c r="I1601" s="998" t="s">
        <v>4809</v>
      </c>
      <c r="U1601" s="990"/>
    </row>
    <row r="1602" ht="14.25" customHeight="1">
      <c r="B1602" s="997" t="s">
        <v>4908</v>
      </c>
      <c r="G1602" s="997" t="s">
        <v>4910</v>
      </c>
      <c r="I1602" s="998" t="s">
        <v>4809</v>
      </c>
      <c r="U1602" s="997" t="s">
        <v>4914</v>
      </c>
    </row>
    <row r="1603" ht="14.25" customHeight="1">
      <c r="B1603" s="997" t="s">
        <v>4915</v>
      </c>
      <c r="G1603" s="997" t="s">
        <v>4917</v>
      </c>
      <c r="I1603" s="998" t="s">
        <v>4809</v>
      </c>
      <c r="U1603" s="997" t="s">
        <v>7128</v>
      </c>
    </row>
    <row r="1604" ht="14.25" customHeight="1">
      <c r="B1604" s="997" t="s">
        <v>4920</v>
      </c>
      <c r="G1604" s="997" t="s">
        <v>4922</v>
      </c>
      <c r="I1604" s="998" t="s">
        <v>4809</v>
      </c>
      <c r="U1604" s="997" t="s">
        <v>4923</v>
      </c>
    </row>
    <row r="1605" ht="14.25" customHeight="1">
      <c r="B1605" s="997" t="s">
        <v>4924</v>
      </c>
      <c r="G1605" s="997" t="s">
        <v>4926</v>
      </c>
      <c r="I1605" s="998" t="s">
        <v>4809</v>
      </c>
      <c r="U1605" s="997" t="s">
        <v>4928</v>
      </c>
    </row>
    <row r="1606" ht="14.25" customHeight="1">
      <c r="B1606" s="997" t="s">
        <v>4929</v>
      </c>
      <c r="G1606" s="997" t="s">
        <v>5849</v>
      </c>
      <c r="I1606" s="998" t="s">
        <v>4809</v>
      </c>
      <c r="U1606" s="990"/>
    </row>
    <row r="1607" ht="14.25" customHeight="1">
      <c r="B1607" s="997" t="s">
        <v>4934</v>
      </c>
      <c r="G1607" s="997" t="s">
        <v>3739</v>
      </c>
      <c r="I1607" s="998" t="s">
        <v>4809</v>
      </c>
      <c r="U1607" s="990"/>
    </row>
    <row r="1608" ht="14.25" customHeight="1">
      <c r="B1608" s="990"/>
      <c r="G1608" s="990"/>
      <c r="I1608" s="998" t="s">
        <v>4809</v>
      </c>
      <c r="U1608" s="990"/>
    </row>
    <row r="1609" ht="14.25" customHeight="1">
      <c r="B1609" s="1021" t="s">
        <v>4945</v>
      </c>
      <c r="G1609" s="1022"/>
      <c r="I1609" s="990"/>
      <c r="U1609" s="1022"/>
    </row>
    <row r="1610" ht="14.25" customHeight="1">
      <c r="B1610" s="997" t="s">
        <v>4946</v>
      </c>
      <c r="G1610" s="997" t="s">
        <v>4332</v>
      </c>
      <c r="I1610" s="1022"/>
      <c r="U1610" s="997" t="s">
        <v>4949</v>
      </c>
    </row>
    <row r="1611" ht="14.25" customHeight="1">
      <c r="B1611" s="997" t="s">
        <v>4950</v>
      </c>
      <c r="G1611" s="997" t="s">
        <v>4332</v>
      </c>
      <c r="I1611" s="998" t="s">
        <v>4948</v>
      </c>
      <c r="U1611" s="997" t="s">
        <v>4949</v>
      </c>
    </row>
    <row r="1612" ht="14.25" customHeight="1">
      <c r="B1612" s="997" t="s">
        <v>4953</v>
      </c>
      <c r="G1612" s="997" t="s">
        <v>7117</v>
      </c>
      <c r="I1612" s="998" t="s">
        <v>4948</v>
      </c>
      <c r="U1612" s="990"/>
    </row>
    <row r="1613" ht="14.25" customHeight="1">
      <c r="B1613" s="997" t="s">
        <v>4954</v>
      </c>
      <c r="G1613" s="997" t="s">
        <v>7117</v>
      </c>
      <c r="I1613" s="998" t="s">
        <v>4948</v>
      </c>
      <c r="U1613" s="990"/>
    </row>
    <row r="1614" ht="14.25" customHeight="1">
      <c r="B1614" s="997" t="s">
        <v>4955</v>
      </c>
      <c r="G1614" s="997" t="s">
        <v>7117</v>
      </c>
      <c r="I1614" s="998" t="s">
        <v>4948</v>
      </c>
      <c r="U1614" s="990"/>
    </row>
    <row r="1615" ht="14.25" customHeight="1">
      <c r="B1615" s="997" t="s">
        <v>4957</v>
      </c>
      <c r="G1615" s="997" t="s">
        <v>7117</v>
      </c>
      <c r="I1615" s="998" t="s">
        <v>4948</v>
      </c>
      <c r="U1615" s="990"/>
    </row>
    <row r="1616" ht="14.25" customHeight="1">
      <c r="B1616" s="990"/>
      <c r="G1616" s="990"/>
      <c r="I1616" s="998" t="s">
        <v>4948</v>
      </c>
      <c r="U1616" s="990"/>
    </row>
    <row r="1617" ht="14.25" customHeight="1">
      <c r="B1617" s="1014" t="s">
        <v>4959</v>
      </c>
      <c r="G1617" s="1031"/>
      <c r="I1617" s="990"/>
      <c r="U1617" s="1031"/>
    </row>
    <row r="1618" ht="14.25" customHeight="1">
      <c r="B1618" s="1010" t="s">
        <v>4960</v>
      </c>
      <c r="G1618" s="997" t="s">
        <v>4962</v>
      </c>
      <c r="I1618" s="1031"/>
      <c r="U1618" s="990"/>
    </row>
    <row r="1619" ht="14.25" customHeight="1">
      <c r="B1619" s="1010" t="s">
        <v>4967</v>
      </c>
      <c r="G1619" s="997" t="s">
        <v>4962</v>
      </c>
      <c r="I1619" s="998" t="s">
        <v>836</v>
      </c>
      <c r="U1619" s="990"/>
    </row>
    <row r="1620" ht="14.25" customHeight="1">
      <c r="B1620" s="1010" t="s">
        <v>4970</v>
      </c>
      <c r="G1620" s="997" t="s">
        <v>4972</v>
      </c>
      <c r="I1620" s="998" t="s">
        <v>836</v>
      </c>
      <c r="U1620" s="997" t="s">
        <v>7129</v>
      </c>
    </row>
    <row r="1621" ht="14.25" customHeight="1">
      <c r="B1621" s="1010" t="s">
        <v>4976</v>
      </c>
      <c r="G1621" s="997" t="s">
        <v>4972</v>
      </c>
      <c r="I1621" s="998" t="s">
        <v>836</v>
      </c>
      <c r="U1621" s="997" t="s">
        <v>7129</v>
      </c>
    </row>
    <row r="1622" ht="14.25" customHeight="1">
      <c r="B1622" s="1010" t="s">
        <v>4979</v>
      </c>
      <c r="G1622" s="997" t="s">
        <v>4981</v>
      </c>
      <c r="I1622" s="998" t="s">
        <v>836</v>
      </c>
      <c r="U1622" s="997" t="s">
        <v>7129</v>
      </c>
    </row>
    <row r="1623" ht="14.25" customHeight="1">
      <c r="B1623" s="1010" t="s">
        <v>4985</v>
      </c>
      <c r="G1623" s="997" t="s">
        <v>4987</v>
      </c>
      <c r="I1623" s="998" t="s">
        <v>836</v>
      </c>
      <c r="U1623" s="997" t="s">
        <v>7129</v>
      </c>
    </row>
    <row r="1624" ht="14.25" customHeight="1">
      <c r="B1624" s="1010" t="s">
        <v>4991</v>
      </c>
      <c r="G1624" s="997" t="s">
        <v>4987</v>
      </c>
      <c r="I1624" s="998" t="s">
        <v>836</v>
      </c>
      <c r="U1624" s="997" t="s">
        <v>7129</v>
      </c>
    </row>
    <row r="1625" ht="14.25" customHeight="1">
      <c r="B1625" s="1010" t="s">
        <v>4995</v>
      </c>
      <c r="G1625" s="997" t="s">
        <v>4981</v>
      </c>
      <c r="I1625" s="998" t="s">
        <v>836</v>
      </c>
      <c r="U1625" s="997" t="s">
        <v>7129</v>
      </c>
    </row>
    <row r="1626" ht="14.25" customHeight="1">
      <c r="B1626" s="1010" t="s">
        <v>4998</v>
      </c>
      <c r="G1626" s="997" t="s">
        <v>4981</v>
      </c>
      <c r="I1626" s="998" t="s">
        <v>836</v>
      </c>
      <c r="U1626" s="997" t="s">
        <v>7129</v>
      </c>
    </row>
    <row r="1627" ht="14.25" customHeight="1">
      <c r="B1627" s="1010" t="s">
        <v>5017</v>
      </c>
      <c r="G1627" s="997" t="s">
        <v>5019</v>
      </c>
      <c r="I1627" s="998" t="s">
        <v>836</v>
      </c>
      <c r="U1627" s="997" t="s">
        <v>5021</v>
      </c>
    </row>
    <row r="1628" ht="14.25" customHeight="1">
      <c r="B1628" s="1010" t="s">
        <v>5023</v>
      </c>
      <c r="G1628" s="997" t="s">
        <v>5025</v>
      </c>
      <c r="I1628" s="998" t="s">
        <v>836</v>
      </c>
      <c r="U1628" s="990"/>
    </row>
    <row r="1629" ht="14.25" customHeight="1">
      <c r="B1629" s="1010" t="s">
        <v>5026</v>
      </c>
      <c r="G1629" s="1010" t="s">
        <v>5028</v>
      </c>
      <c r="I1629" s="998" t="s">
        <v>836</v>
      </c>
      <c r="U1629" s="997" t="s">
        <v>5030</v>
      </c>
    </row>
    <row r="1630" ht="14.25" customHeight="1">
      <c r="B1630" s="1010" t="s">
        <v>5031</v>
      </c>
      <c r="G1630" s="997" t="s">
        <v>5033</v>
      </c>
      <c r="I1630" s="998" t="s">
        <v>836</v>
      </c>
      <c r="U1630" s="990"/>
    </row>
    <row r="1631" ht="14.25" customHeight="1">
      <c r="B1631" s="1010" t="s">
        <v>5039</v>
      </c>
      <c r="G1631" s="997" t="s">
        <v>5041</v>
      </c>
      <c r="I1631" s="998" t="s">
        <v>836</v>
      </c>
      <c r="U1631" s="990"/>
    </row>
    <row r="1632" ht="14.25" customHeight="1">
      <c r="B1632" s="1010" t="s">
        <v>5044</v>
      </c>
      <c r="G1632" s="997" t="s">
        <v>5041</v>
      </c>
      <c r="I1632" s="998" t="s">
        <v>836</v>
      </c>
      <c r="U1632" s="990"/>
    </row>
    <row r="1633" ht="14.25" customHeight="1">
      <c r="B1633" s="1010" t="s">
        <v>5047</v>
      </c>
      <c r="G1633" s="997" t="s">
        <v>5041</v>
      </c>
      <c r="I1633" s="998" t="s">
        <v>836</v>
      </c>
      <c r="U1633" s="990"/>
    </row>
    <row r="1634" ht="14.25" customHeight="1">
      <c r="B1634" s="1010" t="s">
        <v>5049</v>
      </c>
      <c r="G1634" s="997" t="s">
        <v>5051</v>
      </c>
      <c r="I1634" s="998" t="s">
        <v>836</v>
      </c>
      <c r="U1634" s="990"/>
    </row>
    <row r="1635" ht="14.25" customHeight="1">
      <c r="B1635" s="1010" t="s">
        <v>5053</v>
      </c>
      <c r="G1635" s="997" t="s">
        <v>5051</v>
      </c>
      <c r="I1635" s="998" t="s">
        <v>836</v>
      </c>
      <c r="U1635" s="990"/>
    </row>
    <row r="1636" ht="14.25" customHeight="1">
      <c r="B1636" s="1010" t="s">
        <v>5055</v>
      </c>
      <c r="G1636" s="997" t="s">
        <v>5051</v>
      </c>
      <c r="I1636" s="998" t="s">
        <v>836</v>
      </c>
      <c r="U1636" s="990"/>
    </row>
    <row r="1637" ht="14.25" customHeight="1">
      <c r="B1637" s="1010" t="s">
        <v>5057</v>
      </c>
      <c r="G1637" s="997" t="s">
        <v>5051</v>
      </c>
      <c r="I1637" s="998" t="s">
        <v>836</v>
      </c>
      <c r="U1637" s="990"/>
    </row>
    <row r="1638" ht="14.25" customHeight="1">
      <c r="B1638" s="1010" t="s">
        <v>5059</v>
      </c>
      <c r="G1638" s="997" t="s">
        <v>5051</v>
      </c>
      <c r="I1638" s="998" t="s">
        <v>836</v>
      </c>
      <c r="U1638" s="990"/>
    </row>
    <row r="1639" ht="14.25" customHeight="1">
      <c r="B1639" s="1010" t="s">
        <v>5063</v>
      </c>
      <c r="G1639" s="997" t="s">
        <v>5065</v>
      </c>
      <c r="I1639" s="998" t="s">
        <v>836</v>
      </c>
      <c r="U1639" s="990"/>
    </row>
    <row r="1640" ht="14.25" customHeight="1">
      <c r="B1640" s="1010" t="s">
        <v>5067</v>
      </c>
      <c r="G1640" s="997" t="s">
        <v>5065</v>
      </c>
      <c r="I1640" s="998" t="s">
        <v>836</v>
      </c>
      <c r="U1640" s="990"/>
    </row>
    <row r="1641" ht="14.25" customHeight="1">
      <c r="B1641" s="1010" t="s">
        <v>5069</v>
      </c>
      <c r="G1641" s="997" t="s">
        <v>5071</v>
      </c>
      <c r="I1641" s="998" t="s">
        <v>836</v>
      </c>
      <c r="U1641" s="990"/>
    </row>
    <row r="1642" ht="14.25" customHeight="1">
      <c r="B1642" s="1010" t="s">
        <v>5072</v>
      </c>
      <c r="G1642" s="997" t="s">
        <v>5071</v>
      </c>
      <c r="I1642" s="998" t="s">
        <v>836</v>
      </c>
      <c r="U1642" s="990"/>
    </row>
    <row r="1643" ht="14.25" customHeight="1">
      <c r="B1643" s="997" t="s">
        <v>5074</v>
      </c>
      <c r="G1643" s="997" t="s">
        <v>5075</v>
      </c>
      <c r="I1643" s="998" t="s">
        <v>836</v>
      </c>
      <c r="U1643" s="990"/>
    </row>
    <row r="1644" ht="14.25" customHeight="1">
      <c r="B1644" s="997" t="s">
        <v>5078</v>
      </c>
      <c r="G1644" s="997" t="s">
        <v>5075</v>
      </c>
      <c r="I1644" s="998" t="s">
        <v>836</v>
      </c>
      <c r="U1644" s="990"/>
    </row>
    <row r="1645" ht="14.25" customHeight="1">
      <c r="B1645" s="997" t="s">
        <v>5079</v>
      </c>
      <c r="G1645" s="997" t="s">
        <v>5075</v>
      </c>
      <c r="I1645" s="998" t="s">
        <v>836</v>
      </c>
      <c r="U1645" s="990"/>
    </row>
    <row r="1646" ht="14.25" customHeight="1">
      <c r="B1646" s="997" t="s">
        <v>5080</v>
      </c>
      <c r="G1646" s="997" t="s">
        <v>5075</v>
      </c>
      <c r="I1646" s="998" t="s">
        <v>836</v>
      </c>
      <c r="U1646" s="990"/>
    </row>
    <row r="1647" ht="14.25" customHeight="1">
      <c r="B1647" s="997" t="s">
        <v>5081</v>
      </c>
      <c r="G1647" s="997" t="s">
        <v>5082</v>
      </c>
      <c r="I1647" s="998" t="s">
        <v>836</v>
      </c>
      <c r="U1647" s="990"/>
    </row>
    <row r="1648" ht="14.25" customHeight="1">
      <c r="B1648" s="997" t="s">
        <v>5083</v>
      </c>
      <c r="G1648" s="997" t="s">
        <v>3521</v>
      </c>
      <c r="I1648" s="998" t="s">
        <v>836</v>
      </c>
      <c r="U1648" s="990"/>
    </row>
    <row r="1649" ht="14.25" customHeight="1">
      <c r="B1649" s="997" t="s">
        <v>5087</v>
      </c>
      <c r="G1649" s="997" t="s">
        <v>3521</v>
      </c>
      <c r="I1649" s="998" t="s">
        <v>836</v>
      </c>
      <c r="U1649" s="990"/>
    </row>
    <row r="1650" ht="14.25" customHeight="1">
      <c r="B1650" s="997" t="s">
        <v>5089</v>
      </c>
      <c r="G1650" s="997" t="s">
        <v>3521</v>
      </c>
      <c r="I1650" s="998" t="s">
        <v>836</v>
      </c>
      <c r="U1650" s="990"/>
    </row>
    <row r="1651" ht="14.25" customHeight="1">
      <c r="B1651" s="997" t="s">
        <v>5092</v>
      </c>
      <c r="G1651" s="997" t="s">
        <v>4080</v>
      </c>
      <c r="I1651" s="998" t="s">
        <v>836</v>
      </c>
      <c r="U1651" s="990"/>
    </row>
    <row r="1652" ht="14.25" customHeight="1">
      <c r="B1652" s="997" t="s">
        <v>5095</v>
      </c>
      <c r="G1652" s="997" t="s">
        <v>4080</v>
      </c>
      <c r="I1652" s="998" t="s">
        <v>836</v>
      </c>
      <c r="U1652" s="990"/>
    </row>
    <row r="1653" ht="14.25" customHeight="1">
      <c r="B1653" s="997" t="s">
        <v>5097</v>
      </c>
      <c r="G1653" s="997" t="s">
        <v>4332</v>
      </c>
      <c r="I1653" s="998" t="s">
        <v>836</v>
      </c>
      <c r="U1653" s="990"/>
    </row>
    <row r="1654" ht="14.25" customHeight="1">
      <c r="B1654" s="997" t="s">
        <v>5098</v>
      </c>
      <c r="G1654" s="997" t="s">
        <v>4332</v>
      </c>
      <c r="I1654" s="998" t="s">
        <v>836</v>
      </c>
      <c r="U1654" s="990"/>
    </row>
    <row r="1655" ht="14.25" customHeight="1">
      <c r="B1655" s="997" t="s">
        <v>5099</v>
      </c>
      <c r="G1655" s="997" t="s">
        <v>4332</v>
      </c>
      <c r="I1655" s="998" t="s">
        <v>836</v>
      </c>
      <c r="U1655" s="990"/>
    </row>
    <row r="1656" ht="14.25" customHeight="1">
      <c r="B1656" s="997" t="s">
        <v>5100</v>
      </c>
      <c r="G1656" s="997" t="s">
        <v>4332</v>
      </c>
      <c r="I1656" s="998" t="s">
        <v>836</v>
      </c>
      <c r="U1656" s="990"/>
    </row>
    <row r="1657" ht="14.25" customHeight="1">
      <c r="B1657" s="997" t="s">
        <v>5101</v>
      </c>
      <c r="G1657" s="997" t="s">
        <v>4332</v>
      </c>
      <c r="I1657" s="998" t="s">
        <v>836</v>
      </c>
      <c r="U1657" s="990"/>
    </row>
    <row r="1658" ht="14.25" customHeight="1">
      <c r="B1658" s="997" t="s">
        <v>5102</v>
      </c>
      <c r="G1658" s="997" t="s">
        <v>4332</v>
      </c>
      <c r="I1658" s="998" t="s">
        <v>836</v>
      </c>
      <c r="U1658" s="997" t="s">
        <v>5104</v>
      </c>
    </row>
    <row r="1659" ht="14.25" customHeight="1">
      <c r="B1659" s="997" t="s">
        <v>5106</v>
      </c>
      <c r="G1659" s="997" t="s">
        <v>4922</v>
      </c>
      <c r="I1659" s="998" t="s">
        <v>836</v>
      </c>
      <c r="U1659" s="997" t="s">
        <v>5109</v>
      </c>
    </row>
    <row r="1660" ht="14.25" customHeight="1">
      <c r="B1660" s="997" t="s">
        <v>5110</v>
      </c>
      <c r="G1660" s="997" t="s">
        <v>3514</v>
      </c>
      <c r="I1660" s="998" t="s">
        <v>836</v>
      </c>
      <c r="U1660" s="990"/>
    </row>
    <row r="1661" ht="14.25" customHeight="1">
      <c r="B1661" s="997" t="s">
        <v>5117</v>
      </c>
      <c r="G1661" s="997" t="s">
        <v>5119</v>
      </c>
      <c r="I1661" s="998" t="s">
        <v>836</v>
      </c>
      <c r="U1661" s="997" t="s">
        <v>5123</v>
      </c>
    </row>
    <row r="1662" ht="14.25" customHeight="1">
      <c r="B1662" s="997" t="s">
        <v>5125</v>
      </c>
      <c r="G1662" s="997" t="s">
        <v>5127</v>
      </c>
      <c r="I1662" s="998" t="s">
        <v>836</v>
      </c>
      <c r="U1662" s="997" t="s">
        <v>5123</v>
      </c>
    </row>
    <row r="1663" ht="14.25" customHeight="1">
      <c r="B1663" s="997" t="s">
        <v>5130</v>
      </c>
      <c r="G1663" s="997" t="s">
        <v>5127</v>
      </c>
      <c r="I1663" s="998" t="s">
        <v>836</v>
      </c>
      <c r="U1663" s="997" t="s">
        <v>5123</v>
      </c>
    </row>
    <row r="1664" ht="14.25" customHeight="1">
      <c r="B1664" s="997" t="s">
        <v>5133</v>
      </c>
      <c r="G1664" s="997" t="s">
        <v>5127</v>
      </c>
      <c r="I1664" s="998" t="s">
        <v>836</v>
      </c>
      <c r="U1664" s="997" t="s">
        <v>5123</v>
      </c>
    </row>
    <row r="1665" ht="14.25" customHeight="1">
      <c r="B1665" s="997" t="s">
        <v>5136</v>
      </c>
      <c r="G1665" s="997" t="s">
        <v>5127</v>
      </c>
      <c r="I1665" s="998" t="s">
        <v>836</v>
      </c>
      <c r="U1665" s="997" t="s">
        <v>5123</v>
      </c>
    </row>
    <row r="1666" ht="14.25" customHeight="1">
      <c r="B1666" s="997" t="s">
        <v>5139</v>
      </c>
      <c r="G1666" s="997" t="s">
        <v>5127</v>
      </c>
      <c r="I1666" s="998" t="s">
        <v>836</v>
      </c>
      <c r="U1666" s="997" t="s">
        <v>5123</v>
      </c>
    </row>
    <row r="1667" ht="14.25" customHeight="1">
      <c r="B1667" s="997" t="s">
        <v>5142</v>
      </c>
      <c r="G1667" s="997" t="s">
        <v>5127</v>
      </c>
      <c r="I1667" s="998" t="s">
        <v>836</v>
      </c>
      <c r="U1667" s="997" t="s">
        <v>5123</v>
      </c>
    </row>
    <row r="1668" ht="14.25" customHeight="1">
      <c r="B1668" s="997" t="s">
        <v>5151</v>
      </c>
      <c r="G1668" s="997" t="s">
        <v>5153</v>
      </c>
      <c r="I1668" s="998" t="s">
        <v>836</v>
      </c>
      <c r="U1668" s="997" t="s">
        <v>5154</v>
      </c>
    </row>
    <row r="1669" ht="14.25" customHeight="1">
      <c r="B1669" s="997" t="s">
        <v>5155</v>
      </c>
      <c r="G1669" s="997" t="s">
        <v>5157</v>
      </c>
      <c r="I1669" s="998" t="s">
        <v>836</v>
      </c>
      <c r="U1669" s="997" t="s">
        <v>5158</v>
      </c>
    </row>
    <row r="1670" ht="14.25" customHeight="1">
      <c r="B1670" s="997" t="s">
        <v>5184</v>
      </c>
      <c r="G1670" s="997" t="s">
        <v>5186</v>
      </c>
      <c r="I1670" s="998" t="s">
        <v>836</v>
      </c>
      <c r="U1670" s="990"/>
    </row>
    <row r="1671" ht="14.25" customHeight="1">
      <c r="B1671" s="997" t="s">
        <v>5187</v>
      </c>
      <c r="G1671" s="997" t="s">
        <v>3599</v>
      </c>
      <c r="I1671" s="998" t="s">
        <v>836</v>
      </c>
      <c r="U1671" s="990"/>
    </row>
    <row r="1672" ht="14.25" customHeight="1">
      <c r="B1672" s="997" t="s">
        <v>5189</v>
      </c>
      <c r="G1672" s="997" t="s">
        <v>3599</v>
      </c>
      <c r="I1672" s="998" t="s">
        <v>836</v>
      </c>
      <c r="U1672" s="990"/>
    </row>
    <row r="1673" ht="14.25" customHeight="1">
      <c r="B1673" s="997" t="s">
        <v>5191</v>
      </c>
      <c r="G1673" s="997" t="s">
        <v>3599</v>
      </c>
      <c r="I1673" s="998" t="s">
        <v>836</v>
      </c>
      <c r="U1673" s="990"/>
    </row>
    <row r="1674" ht="14.25" customHeight="1">
      <c r="B1674" s="997" t="s">
        <v>5194</v>
      </c>
      <c r="G1674" s="997" t="s">
        <v>5197</v>
      </c>
      <c r="I1674" s="998" t="s">
        <v>836</v>
      </c>
      <c r="U1674" s="990"/>
    </row>
    <row r="1675" ht="14.25" customHeight="1">
      <c r="B1675" s="997" t="s">
        <v>5199</v>
      </c>
      <c r="G1675" s="997" t="s">
        <v>5201</v>
      </c>
      <c r="I1675" s="998" t="s">
        <v>836</v>
      </c>
      <c r="U1675" s="990"/>
    </row>
    <row r="1676" ht="14.25" customHeight="1">
      <c r="B1676" s="997" t="s">
        <v>5202</v>
      </c>
      <c r="G1676" s="997" t="s">
        <v>5204</v>
      </c>
      <c r="I1676" s="998" t="s">
        <v>836</v>
      </c>
      <c r="U1676" s="990"/>
    </row>
    <row r="1677" ht="14.25" customHeight="1">
      <c r="B1677" s="997" t="s">
        <v>5205</v>
      </c>
      <c r="G1677" s="997" t="s">
        <v>5207</v>
      </c>
      <c r="I1677" s="998" t="s">
        <v>836</v>
      </c>
      <c r="U1677" s="990"/>
    </row>
    <row r="1678" ht="14.25" customHeight="1">
      <c r="B1678" s="997" t="s">
        <v>5209</v>
      </c>
      <c r="G1678" s="997" t="s">
        <v>5211</v>
      </c>
      <c r="I1678" s="998" t="s">
        <v>836</v>
      </c>
      <c r="U1678" s="990"/>
    </row>
    <row r="1679" ht="14.25" customHeight="1">
      <c r="B1679" s="997" t="s">
        <v>5213</v>
      </c>
      <c r="G1679" s="997" t="s">
        <v>5215</v>
      </c>
      <c r="I1679" s="998" t="s">
        <v>836</v>
      </c>
      <c r="U1679" s="990"/>
    </row>
    <row r="1680" ht="14.25" customHeight="1">
      <c r="B1680" s="997" t="s">
        <v>5216</v>
      </c>
      <c r="G1680" s="997" t="s">
        <v>5215</v>
      </c>
      <c r="I1680" s="998" t="s">
        <v>836</v>
      </c>
      <c r="U1680" s="990"/>
    </row>
    <row r="1681" ht="14.25" customHeight="1">
      <c r="B1681" s="997" t="s">
        <v>7130</v>
      </c>
      <c r="G1681" s="997" t="s">
        <v>5220</v>
      </c>
      <c r="I1681" s="998" t="s">
        <v>836</v>
      </c>
      <c r="U1681" s="990"/>
    </row>
    <row r="1682" ht="14.25" customHeight="1">
      <c r="B1682" s="997" t="s">
        <v>5221</v>
      </c>
      <c r="G1682" s="997" t="s">
        <v>5223</v>
      </c>
      <c r="I1682" s="998" t="s">
        <v>836</v>
      </c>
      <c r="U1682" s="990"/>
    </row>
    <row r="1683" ht="14.25" customHeight="1">
      <c r="B1683" s="997" t="s">
        <v>5224</v>
      </c>
      <c r="G1683" s="997" t="s">
        <v>5223</v>
      </c>
      <c r="I1683" s="998" t="s">
        <v>836</v>
      </c>
      <c r="U1683" s="990"/>
    </row>
    <row r="1684" ht="14.25" customHeight="1">
      <c r="B1684" s="997" t="s">
        <v>5226</v>
      </c>
      <c r="G1684" s="997" t="s">
        <v>5228</v>
      </c>
      <c r="I1684" s="998" t="s">
        <v>836</v>
      </c>
      <c r="U1684" s="990"/>
    </row>
    <row r="1685" ht="14.25" customHeight="1">
      <c r="B1685" s="997" t="s">
        <v>5230</v>
      </c>
      <c r="G1685" s="997" t="s">
        <v>5228</v>
      </c>
      <c r="I1685" s="998" t="s">
        <v>836</v>
      </c>
      <c r="U1685" s="990"/>
    </row>
    <row r="1686" ht="14.25" customHeight="1">
      <c r="B1686" s="997" t="s">
        <v>5232</v>
      </c>
      <c r="G1686" s="997" t="s">
        <v>5234</v>
      </c>
      <c r="I1686" s="998" t="s">
        <v>836</v>
      </c>
      <c r="U1686" s="990"/>
    </row>
    <row r="1687" ht="14.25" customHeight="1">
      <c r="B1687" s="997" t="s">
        <v>5235</v>
      </c>
      <c r="G1687" s="997" t="s">
        <v>5237</v>
      </c>
      <c r="I1687" s="998" t="s">
        <v>836</v>
      </c>
      <c r="U1687" s="990"/>
    </row>
    <row r="1688" ht="14.25" customHeight="1">
      <c r="B1688" s="997" t="s">
        <v>5238</v>
      </c>
      <c r="G1688" s="997" t="s">
        <v>5240</v>
      </c>
      <c r="I1688" s="998" t="s">
        <v>836</v>
      </c>
      <c r="U1688" s="990"/>
    </row>
    <row r="1689" ht="14.25" customHeight="1">
      <c r="B1689" s="997" t="s">
        <v>5241</v>
      </c>
      <c r="G1689" s="997" t="s">
        <v>5243</v>
      </c>
      <c r="I1689" s="998" t="s">
        <v>836</v>
      </c>
      <c r="U1689" s="990"/>
    </row>
    <row r="1690" ht="14.25" customHeight="1">
      <c r="B1690" s="997" t="s">
        <v>5244</v>
      </c>
      <c r="G1690" s="997" t="s">
        <v>7131</v>
      </c>
      <c r="I1690" s="998" t="s">
        <v>836</v>
      </c>
      <c r="U1690" s="1033" t="s">
        <v>5249</v>
      </c>
    </row>
    <row r="1691" ht="14.25" customHeight="1">
      <c r="B1691" s="997" t="s">
        <v>5250</v>
      </c>
      <c r="G1691" s="997" t="s">
        <v>5247</v>
      </c>
      <c r="I1691" s="998" t="s">
        <v>836</v>
      </c>
      <c r="U1691" s="990"/>
    </row>
    <row r="1692" ht="14.25" customHeight="1">
      <c r="B1692" s="997" t="s">
        <v>5253</v>
      </c>
      <c r="G1692" s="997" t="s">
        <v>5254</v>
      </c>
      <c r="I1692" s="998" t="s">
        <v>836</v>
      </c>
      <c r="U1692" s="990"/>
    </row>
    <row r="1693" ht="14.25" customHeight="1">
      <c r="B1693" s="997" t="s">
        <v>5255</v>
      </c>
      <c r="G1693" s="997" t="s">
        <v>5257</v>
      </c>
      <c r="I1693" s="998" t="s">
        <v>836</v>
      </c>
      <c r="U1693" s="997" t="s">
        <v>5258</v>
      </c>
    </row>
    <row r="1694" ht="14.25" customHeight="1">
      <c r="B1694" s="997" t="s">
        <v>5260</v>
      </c>
      <c r="G1694" s="997" t="s">
        <v>5257</v>
      </c>
      <c r="I1694" s="998" t="s">
        <v>836</v>
      </c>
      <c r="U1694" s="997" t="s">
        <v>5258</v>
      </c>
    </row>
    <row r="1695" ht="14.25" customHeight="1">
      <c r="B1695" s="997" t="s">
        <v>5262</v>
      </c>
      <c r="G1695" s="997" t="s">
        <v>5257</v>
      </c>
      <c r="I1695" s="998" t="s">
        <v>836</v>
      </c>
      <c r="U1695" s="997" t="s">
        <v>5258</v>
      </c>
    </row>
    <row r="1696" ht="14.25" customHeight="1">
      <c r="B1696" s="997" t="s">
        <v>5264</v>
      </c>
      <c r="G1696" s="997" t="s">
        <v>5257</v>
      </c>
      <c r="I1696" s="998" t="s">
        <v>836</v>
      </c>
      <c r="U1696" s="997" t="s">
        <v>5258</v>
      </c>
    </row>
    <row r="1697" ht="14.25" customHeight="1">
      <c r="B1697" s="997" t="s">
        <v>5267</v>
      </c>
      <c r="G1697" s="997" t="s">
        <v>4436</v>
      </c>
      <c r="I1697" s="998" t="s">
        <v>836</v>
      </c>
      <c r="U1697" s="997" t="s">
        <v>4901</v>
      </c>
    </row>
    <row r="1698" ht="14.25" customHeight="1">
      <c r="B1698" s="997" t="s">
        <v>5272</v>
      </c>
      <c r="G1698" s="997" t="s">
        <v>5273</v>
      </c>
      <c r="I1698" s="998" t="s">
        <v>836</v>
      </c>
      <c r="U1698" s="990"/>
    </row>
    <row r="1699" ht="14.25" customHeight="1">
      <c r="B1699" s="997" t="s">
        <v>5277</v>
      </c>
      <c r="G1699" s="997" t="s">
        <v>5273</v>
      </c>
      <c r="I1699" s="998" t="s">
        <v>836</v>
      </c>
      <c r="U1699" s="997" t="s">
        <v>76</v>
      </c>
    </row>
    <row r="1700" ht="14.25" customHeight="1">
      <c r="B1700" s="997" t="s">
        <v>5278</v>
      </c>
      <c r="G1700" s="997" t="s">
        <v>5273</v>
      </c>
      <c r="I1700" s="998" t="s">
        <v>836</v>
      </c>
      <c r="U1700" s="990"/>
    </row>
    <row r="1701" ht="14.25" customHeight="1">
      <c r="B1701" s="997" t="s">
        <v>5280</v>
      </c>
      <c r="G1701" s="997" t="s">
        <v>5273</v>
      </c>
      <c r="I1701" s="998" t="s">
        <v>836</v>
      </c>
      <c r="U1701" s="990"/>
    </row>
    <row r="1702" ht="14.25" customHeight="1">
      <c r="B1702" s="997" t="s">
        <v>5281</v>
      </c>
      <c r="G1702" s="997" t="s">
        <v>5273</v>
      </c>
      <c r="I1702" s="998" t="s">
        <v>836</v>
      </c>
      <c r="U1702" s="990"/>
    </row>
    <row r="1703" ht="14.25" customHeight="1">
      <c r="B1703" s="997" t="s">
        <v>5283</v>
      </c>
      <c r="G1703" s="997" t="s">
        <v>5273</v>
      </c>
      <c r="I1703" s="998" t="s">
        <v>836</v>
      </c>
      <c r="U1703" s="990"/>
    </row>
    <row r="1704" ht="14.25" customHeight="1">
      <c r="B1704" s="997" t="s">
        <v>5285</v>
      </c>
      <c r="G1704" s="997" t="s">
        <v>7132</v>
      </c>
      <c r="I1704" s="998" t="s">
        <v>836</v>
      </c>
      <c r="U1704" s="990"/>
    </row>
    <row r="1705" ht="14.25" customHeight="1">
      <c r="B1705" s="997" t="s">
        <v>5289</v>
      </c>
      <c r="G1705" s="997" t="s">
        <v>7132</v>
      </c>
      <c r="I1705" s="998" t="s">
        <v>836</v>
      </c>
      <c r="U1705" s="990"/>
    </row>
    <row r="1706" ht="14.25" customHeight="1">
      <c r="B1706" s="997" t="s">
        <v>5291</v>
      </c>
      <c r="G1706" s="997" t="s">
        <v>7132</v>
      </c>
      <c r="I1706" s="998" t="s">
        <v>836</v>
      </c>
      <c r="U1706" s="990"/>
    </row>
    <row r="1707" ht="14.25" customHeight="1">
      <c r="B1707" s="997" t="s">
        <v>5293</v>
      </c>
      <c r="G1707" s="997" t="s">
        <v>5296</v>
      </c>
      <c r="I1707" s="998" t="s">
        <v>836</v>
      </c>
      <c r="U1707" s="990"/>
    </row>
    <row r="1708" ht="14.25" customHeight="1">
      <c r="B1708" s="997" t="s">
        <v>5297</v>
      </c>
      <c r="G1708" s="997" t="s">
        <v>5299</v>
      </c>
      <c r="I1708" s="998" t="s">
        <v>836</v>
      </c>
      <c r="U1708" s="990"/>
    </row>
    <row r="1709" ht="14.25" customHeight="1">
      <c r="B1709" s="997" t="s">
        <v>5300</v>
      </c>
      <c r="G1709" s="997" t="s">
        <v>5299</v>
      </c>
      <c r="I1709" s="998" t="s">
        <v>836</v>
      </c>
      <c r="U1709" s="990"/>
    </row>
    <row r="1710" ht="14.25" customHeight="1">
      <c r="B1710" s="997" t="s">
        <v>5302</v>
      </c>
      <c r="G1710" s="997" t="s">
        <v>5304</v>
      </c>
      <c r="I1710" s="998" t="s">
        <v>836</v>
      </c>
      <c r="U1710" s="990"/>
    </row>
    <row r="1711" ht="14.25" customHeight="1">
      <c r="B1711" s="997" t="s">
        <v>5305</v>
      </c>
      <c r="G1711" s="997" t="s">
        <v>5307</v>
      </c>
      <c r="I1711" s="998" t="s">
        <v>836</v>
      </c>
      <c r="U1711" s="990"/>
    </row>
    <row r="1712" ht="14.25" customHeight="1">
      <c r="B1712" s="997" t="s">
        <v>5308</v>
      </c>
      <c r="G1712" s="997" t="s">
        <v>5307</v>
      </c>
      <c r="I1712" s="998" t="s">
        <v>836</v>
      </c>
      <c r="U1712" s="997" t="s">
        <v>5310</v>
      </c>
    </row>
    <row r="1713" ht="14.25" customHeight="1">
      <c r="B1713" s="997" t="s">
        <v>7133</v>
      </c>
      <c r="G1713" s="997" t="s">
        <v>7134</v>
      </c>
      <c r="I1713" s="998" t="s">
        <v>836</v>
      </c>
      <c r="U1713" s="990"/>
    </row>
    <row r="1714" ht="14.25" customHeight="1">
      <c r="B1714" s="997" t="s">
        <v>7135</v>
      </c>
      <c r="G1714" s="997" t="s">
        <v>7134</v>
      </c>
      <c r="I1714" s="998" t="s">
        <v>836</v>
      </c>
      <c r="U1714" s="990"/>
    </row>
    <row r="1715" ht="14.25" customHeight="1">
      <c r="B1715" s="997" t="s">
        <v>7136</v>
      </c>
      <c r="G1715" s="997" t="s">
        <v>7137</v>
      </c>
      <c r="I1715" s="998" t="s">
        <v>836</v>
      </c>
      <c r="U1715" s="997" t="s">
        <v>7138</v>
      </c>
    </row>
    <row r="1716" ht="14.25" customHeight="1">
      <c r="B1716" s="997" t="s">
        <v>5318</v>
      </c>
      <c r="G1716" s="997" t="s">
        <v>3981</v>
      </c>
      <c r="I1716" s="998" t="s">
        <v>836</v>
      </c>
      <c r="U1716" s="997" t="s">
        <v>5322</v>
      </c>
    </row>
    <row r="1717" ht="14.25" customHeight="1">
      <c r="B1717" s="997" t="s">
        <v>5323</v>
      </c>
      <c r="G1717" s="997" t="s">
        <v>5325</v>
      </c>
      <c r="I1717" s="998" t="s">
        <v>836</v>
      </c>
      <c r="U1717" s="990"/>
    </row>
    <row r="1718" ht="14.25" customHeight="1">
      <c r="B1718" s="997" t="s">
        <v>5326</v>
      </c>
      <c r="G1718" s="997" t="s">
        <v>5329</v>
      </c>
      <c r="I1718" s="998" t="s">
        <v>836</v>
      </c>
      <c r="U1718" s="997" t="s">
        <v>5331</v>
      </c>
    </row>
    <row r="1719" ht="14.25" customHeight="1">
      <c r="B1719" s="997" t="s">
        <v>7139</v>
      </c>
      <c r="G1719" s="997" t="s">
        <v>7140</v>
      </c>
      <c r="I1719" s="998" t="s">
        <v>836</v>
      </c>
      <c r="U1719" s="997" t="s">
        <v>7141</v>
      </c>
    </row>
    <row r="1720" ht="14.25" customHeight="1">
      <c r="B1720" s="997" t="s">
        <v>5332</v>
      </c>
      <c r="G1720" s="997" t="s">
        <v>4497</v>
      </c>
      <c r="I1720" s="998" t="s">
        <v>836</v>
      </c>
      <c r="U1720" s="997" t="s">
        <v>5336</v>
      </c>
    </row>
    <row r="1721" ht="14.25" customHeight="1">
      <c r="B1721" s="997" t="s">
        <v>5337</v>
      </c>
      <c r="G1721" s="997" t="s">
        <v>5340</v>
      </c>
      <c r="I1721" s="998" t="s">
        <v>836</v>
      </c>
      <c r="U1721" s="997" t="s">
        <v>5342</v>
      </c>
    </row>
    <row r="1722" ht="14.25" customHeight="1">
      <c r="B1722" s="997" t="s">
        <v>5344</v>
      </c>
      <c r="G1722" s="997" t="s">
        <v>4497</v>
      </c>
      <c r="I1722" s="998" t="s">
        <v>836</v>
      </c>
      <c r="U1722" s="997" t="s">
        <v>5347</v>
      </c>
    </row>
    <row r="1723" ht="14.25" customHeight="1">
      <c r="B1723" s="997" t="s">
        <v>5348</v>
      </c>
      <c r="G1723" s="997" t="s">
        <v>4497</v>
      </c>
      <c r="I1723" s="998" t="s">
        <v>836</v>
      </c>
      <c r="U1723" s="997" t="s">
        <v>5347</v>
      </c>
    </row>
    <row r="1724" ht="14.25" customHeight="1">
      <c r="B1724" s="997" t="s">
        <v>5352</v>
      </c>
      <c r="G1724" s="997" t="s">
        <v>4497</v>
      </c>
      <c r="I1724" s="998" t="s">
        <v>836</v>
      </c>
      <c r="U1724" s="997" t="s">
        <v>5347</v>
      </c>
    </row>
    <row r="1725" ht="14.25" customHeight="1">
      <c r="B1725" s="997" t="s">
        <v>5355</v>
      </c>
      <c r="G1725" s="997" t="s">
        <v>4497</v>
      </c>
      <c r="I1725" s="998" t="s">
        <v>836</v>
      </c>
      <c r="U1725" s="997" t="s">
        <v>5347</v>
      </c>
    </row>
    <row r="1726" ht="14.25" customHeight="1">
      <c r="B1726" s="997" t="s">
        <v>5358</v>
      </c>
      <c r="G1726" s="997" t="s">
        <v>4497</v>
      </c>
      <c r="I1726" s="998" t="s">
        <v>836</v>
      </c>
      <c r="U1726" s="997" t="s">
        <v>5347</v>
      </c>
    </row>
    <row r="1727" ht="14.25" customHeight="1">
      <c r="B1727" s="997" t="s">
        <v>5361</v>
      </c>
      <c r="G1727" s="997" t="s">
        <v>4497</v>
      </c>
      <c r="I1727" s="998" t="s">
        <v>836</v>
      </c>
      <c r="U1727" s="997" t="s">
        <v>5347</v>
      </c>
    </row>
    <row r="1728" ht="14.25" customHeight="1">
      <c r="B1728" s="997" t="s">
        <v>5368</v>
      </c>
      <c r="G1728" s="997" t="s">
        <v>5370</v>
      </c>
      <c r="I1728" s="998" t="s">
        <v>836</v>
      </c>
      <c r="U1728" s="997" t="s">
        <v>5374</v>
      </c>
    </row>
    <row r="1729" ht="14.25" customHeight="1">
      <c r="B1729" s="997" t="s">
        <v>5375</v>
      </c>
      <c r="G1729" s="997" t="s">
        <v>4202</v>
      </c>
      <c r="I1729" s="998" t="s">
        <v>836</v>
      </c>
      <c r="U1729" s="997" t="s">
        <v>5378</v>
      </c>
    </row>
    <row r="1730" ht="14.25" customHeight="1">
      <c r="B1730" s="997" t="s">
        <v>5379</v>
      </c>
      <c r="G1730" s="997" t="s">
        <v>4202</v>
      </c>
      <c r="I1730" s="998" t="s">
        <v>836</v>
      </c>
      <c r="U1730" s="997" t="s">
        <v>5378</v>
      </c>
    </row>
    <row r="1731" ht="14.25" customHeight="1">
      <c r="B1731" s="997" t="s">
        <v>5381</v>
      </c>
      <c r="G1731" s="997" t="s">
        <v>5384</v>
      </c>
      <c r="I1731" s="998" t="s">
        <v>836</v>
      </c>
      <c r="U1731" s="997" t="s">
        <v>5385</v>
      </c>
    </row>
    <row r="1732" ht="14.25" customHeight="1">
      <c r="B1732" s="997" t="s">
        <v>5386</v>
      </c>
      <c r="G1732" s="997" t="s">
        <v>5388</v>
      </c>
      <c r="I1732" s="998" t="s">
        <v>836</v>
      </c>
      <c r="U1732" s="997" t="s">
        <v>5391</v>
      </c>
    </row>
    <row r="1733" ht="14.25" customHeight="1">
      <c r="B1733" s="997" t="s">
        <v>5392</v>
      </c>
      <c r="G1733" s="997" t="s">
        <v>5388</v>
      </c>
      <c r="I1733" s="998" t="s">
        <v>836</v>
      </c>
      <c r="U1733" s="997" t="s">
        <v>5391</v>
      </c>
    </row>
    <row r="1734" ht="14.25" customHeight="1">
      <c r="B1734" s="997" t="s">
        <v>5394</v>
      </c>
      <c r="G1734" s="997" t="s">
        <v>5397</v>
      </c>
      <c r="I1734" s="998" t="s">
        <v>836</v>
      </c>
      <c r="U1734" s="990"/>
    </row>
    <row r="1735" ht="14.25" customHeight="1">
      <c r="B1735" s="997" t="s">
        <v>5398</v>
      </c>
      <c r="G1735" s="997" t="s">
        <v>5401</v>
      </c>
      <c r="I1735" s="998" t="s">
        <v>836</v>
      </c>
      <c r="U1735" s="997" t="s">
        <v>5403</v>
      </c>
    </row>
    <row r="1736" ht="14.25" customHeight="1">
      <c r="B1736" s="997" t="s">
        <v>5404</v>
      </c>
      <c r="G1736" s="997" t="s">
        <v>5401</v>
      </c>
      <c r="I1736" s="998" t="s">
        <v>836</v>
      </c>
      <c r="U1736" s="990"/>
    </row>
    <row r="1737" ht="14.25" customHeight="1">
      <c r="B1737" s="997" t="s">
        <v>5408</v>
      </c>
      <c r="G1737" s="997" t="s">
        <v>5401</v>
      </c>
      <c r="I1737" s="998" t="s">
        <v>836</v>
      </c>
      <c r="U1737" s="997" t="s">
        <v>5412</v>
      </c>
    </row>
    <row r="1738" ht="14.25" customHeight="1">
      <c r="B1738" s="997" t="s">
        <v>5413</v>
      </c>
      <c r="G1738" s="997" t="s">
        <v>5401</v>
      </c>
      <c r="I1738" s="998" t="s">
        <v>836</v>
      </c>
      <c r="U1738" s="990"/>
    </row>
    <row r="1739" ht="14.25" customHeight="1">
      <c r="B1739" s="997" t="s">
        <v>5416</v>
      </c>
      <c r="G1739" s="997" t="s">
        <v>5419</v>
      </c>
      <c r="I1739" s="998" t="s">
        <v>836</v>
      </c>
      <c r="U1739" s="997" t="s">
        <v>5421</v>
      </c>
    </row>
    <row r="1740" ht="14.25" customHeight="1">
      <c r="B1740" s="997" t="s">
        <v>5422</v>
      </c>
      <c r="G1740" s="1010" t="s">
        <v>5424</v>
      </c>
      <c r="I1740" s="998" t="s">
        <v>836</v>
      </c>
      <c r="U1740" s="990"/>
    </row>
    <row r="1741" ht="14.25" customHeight="1">
      <c r="B1741" s="997" t="s">
        <v>5430</v>
      </c>
      <c r="G1741" s="1010" t="s">
        <v>5424</v>
      </c>
      <c r="I1741" s="998" t="s">
        <v>836</v>
      </c>
      <c r="U1741" s="990"/>
    </row>
    <row r="1742" ht="14.25" customHeight="1">
      <c r="B1742" s="997" t="s">
        <v>5433</v>
      </c>
      <c r="G1742" s="997" t="s">
        <v>5434</v>
      </c>
      <c r="I1742" s="998" t="s">
        <v>836</v>
      </c>
      <c r="U1742" s="990"/>
    </row>
    <row r="1743" ht="14.25" customHeight="1">
      <c r="B1743" s="997" t="s">
        <v>5437</v>
      </c>
      <c r="G1743" s="997" t="s">
        <v>5439</v>
      </c>
      <c r="I1743" s="998" t="s">
        <v>836</v>
      </c>
      <c r="U1743" s="990"/>
    </row>
    <row r="1744" ht="14.25" customHeight="1">
      <c r="B1744" s="997" t="s">
        <v>5442</v>
      </c>
      <c r="G1744" s="997" t="s">
        <v>5444</v>
      </c>
      <c r="I1744" s="998" t="s">
        <v>836</v>
      </c>
      <c r="U1744" s="997" t="s">
        <v>5445</v>
      </c>
    </row>
    <row r="1745" ht="14.25" customHeight="1">
      <c r="B1745" s="997" t="s">
        <v>5446</v>
      </c>
      <c r="G1745" s="997" t="s">
        <v>5444</v>
      </c>
      <c r="I1745" s="998" t="s">
        <v>836</v>
      </c>
      <c r="U1745" s="997" t="s">
        <v>5445</v>
      </c>
    </row>
    <row r="1746" ht="14.25" customHeight="1">
      <c r="B1746" s="997" t="s">
        <v>5449</v>
      </c>
      <c r="G1746" s="997" t="s">
        <v>5450</v>
      </c>
      <c r="I1746" s="998" t="s">
        <v>836</v>
      </c>
      <c r="U1746" s="997" t="s">
        <v>5445</v>
      </c>
    </row>
    <row r="1747" ht="14.25" customHeight="1">
      <c r="B1747" s="997" t="s">
        <v>5463</v>
      </c>
      <c r="G1747" s="997" t="s">
        <v>3925</v>
      </c>
      <c r="I1747" s="998" t="s">
        <v>836</v>
      </c>
      <c r="U1747" s="990"/>
    </row>
    <row r="1748" ht="14.25" customHeight="1">
      <c r="B1748" s="997" t="s">
        <v>5467</v>
      </c>
      <c r="G1748" s="997" t="s">
        <v>3925</v>
      </c>
      <c r="I1748" s="998" t="s">
        <v>836</v>
      </c>
      <c r="U1748" s="990"/>
    </row>
    <row r="1749" ht="14.25" customHeight="1">
      <c r="B1749" s="997" t="s">
        <v>5471</v>
      </c>
      <c r="G1749" s="997" t="s">
        <v>5473</v>
      </c>
      <c r="I1749" s="998" t="s">
        <v>836</v>
      </c>
      <c r="U1749" s="997" t="s">
        <v>5476</v>
      </c>
    </row>
    <row r="1750" ht="14.25" customHeight="1">
      <c r="B1750" s="997" t="s">
        <v>5477</v>
      </c>
      <c r="G1750" s="997" t="s">
        <v>5479</v>
      </c>
      <c r="I1750" s="998" t="s">
        <v>836</v>
      </c>
      <c r="U1750" s="997" t="s">
        <v>5483</v>
      </c>
    </row>
    <row r="1751" ht="14.25" customHeight="1">
      <c r="B1751" s="997" t="s">
        <v>5484</v>
      </c>
      <c r="G1751" s="997" t="s">
        <v>5479</v>
      </c>
      <c r="I1751" s="998" t="s">
        <v>836</v>
      </c>
      <c r="U1751" s="997" t="s">
        <v>5483</v>
      </c>
    </row>
    <row r="1752" ht="14.25" customHeight="1">
      <c r="B1752" s="997" t="s">
        <v>5486</v>
      </c>
      <c r="G1752" s="997" t="s">
        <v>5488</v>
      </c>
      <c r="I1752" s="998" t="s">
        <v>836</v>
      </c>
      <c r="U1752" s="997" t="s">
        <v>5495</v>
      </c>
    </row>
    <row r="1753" ht="14.25" customHeight="1">
      <c r="B1753" s="997" t="s">
        <v>5503</v>
      </c>
      <c r="G1753" s="997" t="s">
        <v>5505</v>
      </c>
      <c r="I1753" s="998" t="s">
        <v>836</v>
      </c>
      <c r="U1753" s="990"/>
    </row>
    <row r="1754" ht="14.25" customHeight="1">
      <c r="B1754" s="997" t="s">
        <v>5506</v>
      </c>
      <c r="G1754" s="997" t="s">
        <v>5505</v>
      </c>
      <c r="I1754" s="998" t="s">
        <v>836</v>
      </c>
      <c r="U1754" s="990"/>
    </row>
    <row r="1755" ht="14.25" customHeight="1">
      <c r="B1755" s="997" t="s">
        <v>5508</v>
      </c>
      <c r="G1755" s="997" t="s">
        <v>5510</v>
      </c>
      <c r="I1755" s="998" t="s">
        <v>836</v>
      </c>
      <c r="U1755" s="990"/>
    </row>
    <row r="1756" ht="14.25" customHeight="1">
      <c r="B1756" s="997" t="s">
        <v>5512</v>
      </c>
      <c r="G1756" s="997" t="s">
        <v>5514</v>
      </c>
      <c r="I1756" s="998" t="s">
        <v>836</v>
      </c>
      <c r="U1756" s="997" t="s">
        <v>5516</v>
      </c>
    </row>
    <row r="1757" ht="14.25" customHeight="1">
      <c r="B1757" s="990"/>
      <c r="G1757" s="990"/>
      <c r="I1757" s="998" t="s">
        <v>836</v>
      </c>
      <c r="U1757" s="990"/>
    </row>
    <row r="1758" ht="14.25" customHeight="1">
      <c r="B1758" s="990"/>
      <c r="G1758" s="990"/>
      <c r="I1758" s="990"/>
      <c r="U1758" s="990"/>
    </row>
    <row r="1759" ht="14.25" customHeight="1">
      <c r="B1759" s="1014" t="s">
        <v>5554</v>
      </c>
      <c r="G1759" s="1031"/>
      <c r="I1759" s="990"/>
      <c r="U1759" s="1031"/>
    </row>
    <row r="1760" ht="14.25" customHeight="1">
      <c r="B1760" s="997" t="s">
        <v>5555</v>
      </c>
      <c r="G1760" s="997" t="s">
        <v>5557</v>
      </c>
      <c r="I1760" s="1031"/>
      <c r="U1760" s="1016"/>
    </row>
    <row r="1761" ht="14.25" customHeight="1">
      <c r="B1761" s="997" t="s">
        <v>5560</v>
      </c>
      <c r="G1761" s="997" t="s">
        <v>5557</v>
      </c>
      <c r="I1761" s="998" t="s">
        <v>7142</v>
      </c>
      <c r="U1761" s="1016"/>
    </row>
    <row r="1762" ht="14.25" customHeight="1">
      <c r="B1762" s="997" t="s">
        <v>5564</v>
      </c>
      <c r="G1762" s="997" t="s">
        <v>5557</v>
      </c>
      <c r="I1762" s="998" t="s">
        <v>7142</v>
      </c>
      <c r="U1762" s="1016"/>
    </row>
    <row r="1763" ht="14.25" customHeight="1">
      <c r="B1763" s="997" t="s">
        <v>5567</v>
      </c>
      <c r="G1763" s="997" t="s">
        <v>5557</v>
      </c>
      <c r="I1763" s="998" t="s">
        <v>7142</v>
      </c>
      <c r="U1763" s="1016"/>
    </row>
    <row r="1764" ht="14.25" customHeight="1">
      <c r="B1764" s="997" t="s">
        <v>5570</v>
      </c>
      <c r="G1764" s="997" t="s">
        <v>5557</v>
      </c>
      <c r="I1764" s="998" t="s">
        <v>7142</v>
      </c>
      <c r="U1764" s="1016"/>
    </row>
    <row r="1765" ht="14.25" customHeight="1">
      <c r="B1765" s="997" t="s">
        <v>5573</v>
      </c>
      <c r="G1765" s="997" t="s">
        <v>5557</v>
      </c>
      <c r="I1765" s="998" t="s">
        <v>7142</v>
      </c>
      <c r="U1765" s="1016"/>
    </row>
    <row r="1766" ht="14.25" customHeight="1">
      <c r="B1766" s="997" t="s">
        <v>5576</v>
      </c>
      <c r="G1766" s="997" t="s">
        <v>5557</v>
      </c>
      <c r="I1766" s="998" t="s">
        <v>7142</v>
      </c>
      <c r="U1766" s="1016"/>
    </row>
    <row r="1767" ht="14.25" customHeight="1">
      <c r="B1767" s="997" t="s">
        <v>5579</v>
      </c>
      <c r="G1767" s="997" t="s">
        <v>5581</v>
      </c>
      <c r="I1767" s="998" t="s">
        <v>7142</v>
      </c>
      <c r="U1767" s="1016"/>
    </row>
    <row r="1768" ht="14.25" customHeight="1">
      <c r="B1768" s="997" t="s">
        <v>5584</v>
      </c>
      <c r="G1768" s="997" t="s">
        <v>5581</v>
      </c>
      <c r="I1768" s="998" t="s">
        <v>7142</v>
      </c>
      <c r="U1768" s="1016"/>
    </row>
    <row r="1769" ht="14.25" customHeight="1">
      <c r="B1769" s="997" t="s">
        <v>5588</v>
      </c>
      <c r="G1769" s="997" t="s">
        <v>5557</v>
      </c>
      <c r="I1769" s="998" t="s">
        <v>7142</v>
      </c>
      <c r="U1769" s="1016"/>
    </row>
    <row r="1770" ht="14.25" customHeight="1">
      <c r="B1770" s="997" t="s">
        <v>5591</v>
      </c>
      <c r="G1770" s="997" t="s">
        <v>5581</v>
      </c>
      <c r="I1770" s="998" t="s">
        <v>7142</v>
      </c>
      <c r="U1770" s="1016"/>
    </row>
    <row r="1771" ht="14.25" customHeight="1">
      <c r="B1771" s="997" t="s">
        <v>5594</v>
      </c>
      <c r="G1771" s="997" t="s">
        <v>5581</v>
      </c>
      <c r="I1771" s="998" t="s">
        <v>7142</v>
      </c>
      <c r="U1771" s="1016"/>
    </row>
    <row r="1772" ht="14.25" customHeight="1">
      <c r="B1772" s="997" t="s">
        <v>5598</v>
      </c>
      <c r="G1772" s="997" t="s">
        <v>5581</v>
      </c>
      <c r="I1772" s="998" t="s">
        <v>7142</v>
      </c>
      <c r="U1772" s="1034"/>
    </row>
    <row r="1773" ht="14.25" customHeight="1">
      <c r="B1773" s="997" t="s">
        <v>5601</v>
      </c>
      <c r="G1773" s="997" t="s">
        <v>5581</v>
      </c>
      <c r="I1773" s="998" t="s">
        <v>7142</v>
      </c>
      <c r="U1773" s="1034"/>
    </row>
    <row r="1774" ht="14.25" customHeight="1">
      <c r="B1774" s="997" t="s">
        <v>5604</v>
      </c>
      <c r="G1774" s="997" t="s">
        <v>5557</v>
      </c>
      <c r="I1774" s="998" t="s">
        <v>7142</v>
      </c>
      <c r="U1774" s="1034"/>
    </row>
    <row r="1775" ht="14.25" customHeight="1">
      <c r="B1775" s="997" t="s">
        <v>5607</v>
      </c>
      <c r="G1775" s="997" t="s">
        <v>5557</v>
      </c>
      <c r="I1775" s="998" t="s">
        <v>7142</v>
      </c>
      <c r="U1775" s="1034"/>
    </row>
    <row r="1776" ht="14.25" customHeight="1">
      <c r="B1776" s="997" t="s">
        <v>5610</v>
      </c>
      <c r="G1776" s="997" t="s">
        <v>5557</v>
      </c>
      <c r="I1776" s="998" t="s">
        <v>7142</v>
      </c>
      <c r="U1776" s="1034"/>
    </row>
    <row r="1777" ht="14.25" customHeight="1">
      <c r="B1777" s="990"/>
      <c r="G1777" s="990"/>
      <c r="I1777" s="998" t="s">
        <v>7142</v>
      </c>
      <c r="U1777" s="1016"/>
    </row>
    <row r="1778" ht="14.25" customHeight="1">
      <c r="B1778" s="1014" t="s">
        <v>5617</v>
      </c>
      <c r="G1778" s="1031"/>
      <c r="I1778" s="990"/>
      <c r="U1778" s="1031"/>
    </row>
    <row r="1779" ht="14.25" customHeight="1">
      <c r="B1779" s="997" t="s">
        <v>5604</v>
      </c>
      <c r="G1779" s="997" t="s">
        <v>5581</v>
      </c>
      <c r="I1779" s="1031"/>
      <c r="U1779" s="1034"/>
    </row>
    <row r="1780" ht="14.25" customHeight="1">
      <c r="B1780" s="997" t="s">
        <v>5607</v>
      </c>
      <c r="G1780" s="997" t="s">
        <v>5622</v>
      </c>
      <c r="I1780" s="998" t="s">
        <v>1120</v>
      </c>
      <c r="U1780" s="1034"/>
    </row>
    <row r="1781" ht="14.25" customHeight="1">
      <c r="B1781" s="1016"/>
      <c r="G1781" s="990"/>
      <c r="I1781" s="998" t="s">
        <v>7143</v>
      </c>
      <c r="U1781" s="1016"/>
    </row>
    <row r="1782" ht="14.25" customHeight="1">
      <c r="B1782" s="1014" t="s">
        <v>7144</v>
      </c>
      <c r="G1782" s="1031"/>
      <c r="I1782" s="990"/>
      <c r="U1782" s="1031"/>
    </row>
    <row r="1783" ht="14.25" customHeight="1">
      <c r="B1783" s="997" t="s">
        <v>5627</v>
      </c>
      <c r="G1783" s="997" t="s">
        <v>5628</v>
      </c>
      <c r="I1783" s="1031"/>
      <c r="U1783" s="997" t="s">
        <v>5629</v>
      </c>
    </row>
    <row r="1784" ht="14.25" customHeight="1">
      <c r="B1784" s="997" t="s">
        <v>5630</v>
      </c>
      <c r="G1784" s="997" t="s">
        <v>5632</v>
      </c>
      <c r="I1784" s="998" t="s">
        <v>2657</v>
      </c>
      <c r="U1784" s="990"/>
    </row>
    <row r="1785" ht="14.25" customHeight="1">
      <c r="B1785" s="997" t="s">
        <v>5634</v>
      </c>
      <c r="G1785" s="997" t="s">
        <v>5632</v>
      </c>
      <c r="I1785" s="998" t="s">
        <v>7145</v>
      </c>
      <c r="U1785" s="990"/>
    </row>
    <row r="1786" ht="14.25" customHeight="1">
      <c r="B1786" s="997" t="s">
        <v>5636</v>
      </c>
      <c r="G1786" s="997" t="s">
        <v>5632</v>
      </c>
      <c r="I1786" s="998" t="s">
        <v>7145</v>
      </c>
      <c r="U1786" s="990"/>
    </row>
    <row r="1787" ht="14.25" customHeight="1">
      <c r="B1787" s="997" t="s">
        <v>5638</v>
      </c>
      <c r="G1787" s="997" t="s">
        <v>5632</v>
      </c>
      <c r="I1787" s="998" t="s">
        <v>7145</v>
      </c>
      <c r="U1787" s="990"/>
    </row>
    <row r="1788" ht="14.25" customHeight="1">
      <c r="B1788" s="997" t="s">
        <v>5640</v>
      </c>
      <c r="G1788" s="997" t="s">
        <v>5642</v>
      </c>
      <c r="I1788" s="998" t="s">
        <v>7145</v>
      </c>
      <c r="U1788" s="990"/>
    </row>
    <row r="1789" ht="14.25" customHeight="1">
      <c r="B1789" s="997" t="s">
        <v>5644</v>
      </c>
      <c r="G1789" s="997" t="s">
        <v>3521</v>
      </c>
      <c r="I1789" s="998" t="s">
        <v>7145</v>
      </c>
      <c r="U1789" s="990"/>
    </row>
    <row r="1790" ht="14.25" customHeight="1">
      <c r="B1790" s="997" t="s">
        <v>5648</v>
      </c>
      <c r="G1790" s="997" t="s">
        <v>5632</v>
      </c>
      <c r="I1790" s="998" t="s">
        <v>2964</v>
      </c>
      <c r="U1790" s="990"/>
    </row>
    <row r="1791" ht="14.25" customHeight="1">
      <c r="B1791" s="997" t="s">
        <v>5651</v>
      </c>
      <c r="G1791" s="997" t="s">
        <v>5653</v>
      </c>
      <c r="I1791" s="998" t="s">
        <v>5649</v>
      </c>
      <c r="U1791" s="997" t="s">
        <v>3286</v>
      </c>
    </row>
    <row r="1792" ht="14.25" customHeight="1">
      <c r="B1792" s="997" t="s">
        <v>5654</v>
      </c>
      <c r="G1792" s="997" t="s">
        <v>5653</v>
      </c>
      <c r="I1792" s="998" t="s">
        <v>5649</v>
      </c>
      <c r="U1792" s="997" t="s">
        <v>3286</v>
      </c>
    </row>
    <row r="1793" ht="14.25" customHeight="1">
      <c r="B1793" s="997" t="s">
        <v>5656</v>
      </c>
      <c r="G1793" s="997" t="s">
        <v>5653</v>
      </c>
      <c r="I1793" s="998" t="s">
        <v>5649</v>
      </c>
      <c r="U1793" s="997" t="s">
        <v>3286</v>
      </c>
    </row>
    <row r="1794" ht="14.25" customHeight="1">
      <c r="B1794" s="997" t="s">
        <v>5658</v>
      </c>
      <c r="G1794" s="997" t="s">
        <v>5653</v>
      </c>
      <c r="I1794" s="998" t="s">
        <v>5649</v>
      </c>
      <c r="U1794" s="997" t="s">
        <v>3286</v>
      </c>
    </row>
    <row r="1795" ht="14.25" customHeight="1">
      <c r="B1795" s="997" t="s">
        <v>5660</v>
      </c>
      <c r="G1795" s="997" t="s">
        <v>5653</v>
      </c>
      <c r="I1795" s="998" t="s">
        <v>5649</v>
      </c>
      <c r="U1795" s="997" t="s">
        <v>3286</v>
      </c>
    </row>
    <row r="1796" ht="14.25" customHeight="1">
      <c r="B1796" s="997" t="s">
        <v>5662</v>
      </c>
      <c r="G1796" s="997" t="s">
        <v>5653</v>
      </c>
      <c r="I1796" s="998" t="s">
        <v>5649</v>
      </c>
      <c r="U1796" s="997" t="s">
        <v>3286</v>
      </c>
    </row>
    <row r="1797" ht="14.25" customHeight="1">
      <c r="B1797" s="997" t="s">
        <v>5664</v>
      </c>
      <c r="G1797" s="997" t="s">
        <v>5653</v>
      </c>
      <c r="I1797" s="998" t="s">
        <v>5649</v>
      </c>
      <c r="U1797" s="997" t="s">
        <v>3286</v>
      </c>
    </row>
    <row r="1798" ht="14.25" customHeight="1">
      <c r="B1798" s="997" t="s">
        <v>5665</v>
      </c>
      <c r="G1798" s="997" t="s">
        <v>5653</v>
      </c>
      <c r="I1798" s="998" t="s">
        <v>5649</v>
      </c>
      <c r="U1798" s="997" t="s">
        <v>3286</v>
      </c>
    </row>
    <row r="1799" ht="14.25" customHeight="1">
      <c r="I1799" s="998" t="s">
        <v>5649</v>
      </c>
    </row>
  </sheetData>
  <autoFilter ref="$B$1:$I$1763"/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Row="1"/>
  <cols>
    <col customWidth="1" min="1" max="1" width="12.0"/>
    <col customWidth="1" min="2" max="2" width="30.5"/>
    <col customWidth="1" min="3" max="5" width="10.25"/>
    <col customWidth="1" min="6" max="6" width="16.88"/>
    <col customWidth="1" min="7" max="7" width="7.75"/>
    <col customWidth="1" min="8" max="26" width="7.63"/>
  </cols>
  <sheetData>
    <row r="1" ht="14.25" customHeight="1">
      <c r="A1" s="881" t="s">
        <v>7122</v>
      </c>
      <c r="B1" s="1023" t="s">
        <v>25</v>
      </c>
      <c r="C1" s="1024"/>
      <c r="D1" s="1025" t="s">
        <v>7123</v>
      </c>
      <c r="E1" s="1026"/>
      <c r="F1" s="13"/>
      <c r="G1" s="1027"/>
    </row>
    <row r="2" ht="14.25" customHeight="1">
      <c r="A2" s="881"/>
      <c r="B2" s="1023"/>
      <c r="C2" s="878" t="s">
        <v>7124</v>
      </c>
      <c r="D2" s="878" t="s">
        <v>7125</v>
      </c>
      <c r="E2" s="878" t="s">
        <v>7126</v>
      </c>
      <c r="F2" s="1028" t="s">
        <v>7127</v>
      </c>
    </row>
    <row r="3" ht="14.25" customHeight="1">
      <c r="A3" s="1029" t="str">
        <f>VLOOKUP(B3,'Danh mục'!$O:$P,2,0)</f>
        <v>#N/A</v>
      </c>
      <c r="B3" s="895" t="s">
        <v>85</v>
      </c>
      <c r="C3" s="1030">
        <v>9560.0</v>
      </c>
      <c r="D3" s="13">
        <v>2800.0</v>
      </c>
      <c r="E3" s="13">
        <v>3160.0</v>
      </c>
      <c r="F3" s="13" t="str">
        <f t="shared" ref="F3:F102" si="1">CONCATENATE(C3," x ",D3," x ",E3)</f>
        <v>9560 x 2800 x 3160</v>
      </c>
    </row>
    <row r="4" ht="14.25" customHeight="1">
      <c r="A4" s="1029" t="str">
        <f>VLOOKUP(B4,'Danh mục'!$O:$P,2,0)</f>
        <v>#N/A</v>
      </c>
      <c r="B4" s="895" t="s">
        <v>93</v>
      </c>
      <c r="C4" s="13">
        <v>9460.0</v>
      </c>
      <c r="D4" s="13">
        <v>2800.0</v>
      </c>
      <c r="E4" s="13">
        <v>3200.0</v>
      </c>
      <c r="F4" s="13" t="str">
        <f t="shared" si="1"/>
        <v>9460 x 2800 x 3200</v>
      </c>
    </row>
    <row r="5" ht="14.25" customHeight="1">
      <c r="A5" s="1029" t="str">
        <f>VLOOKUP(B5,'Danh mục'!$O:$P,2,0)</f>
        <v>#N/A</v>
      </c>
      <c r="B5" s="895" t="s">
        <v>104</v>
      </c>
      <c r="C5" s="13">
        <v>7235.0</v>
      </c>
      <c r="D5" s="13">
        <v>2496.0</v>
      </c>
      <c r="E5" s="13">
        <v>3351.0</v>
      </c>
      <c r="F5" s="13" t="str">
        <f t="shared" si="1"/>
        <v>7235 x 2496 x 3351</v>
      </c>
      <c r="G5" s="1032"/>
    </row>
    <row r="6" ht="14.25" customHeight="1">
      <c r="A6" s="1029" t="str">
        <f>VLOOKUP(B6,'Danh mục'!$O:$P,2,0)</f>
        <v>#N/A</v>
      </c>
      <c r="B6" s="901" t="s">
        <v>111</v>
      </c>
      <c r="C6" s="13">
        <v>9460.0</v>
      </c>
      <c r="D6" s="13">
        <v>2800.0</v>
      </c>
      <c r="E6" s="13">
        <v>3200.0</v>
      </c>
      <c r="F6" s="13" t="str">
        <f t="shared" si="1"/>
        <v>9460 x 2800 x 3200</v>
      </c>
    </row>
    <row r="7" ht="14.25" customHeight="1">
      <c r="A7" s="1029" t="str">
        <f>VLOOKUP(B7,'Danh mục'!$O:$P,2,0)</f>
        <v>#N/A</v>
      </c>
      <c r="B7" s="901" t="s">
        <v>116</v>
      </c>
      <c r="C7" s="13">
        <v>7640.0</v>
      </c>
      <c r="D7" s="13">
        <v>2590.0</v>
      </c>
      <c r="E7" s="13">
        <v>2820.0</v>
      </c>
      <c r="F7" s="13" t="str">
        <f t="shared" si="1"/>
        <v>7640 x 2590 x 2820</v>
      </c>
    </row>
    <row r="8" ht="14.25" customHeight="1">
      <c r="A8" s="1029" t="str">
        <f>VLOOKUP(B8,'Danh mục'!$O:$P,2,0)</f>
        <v>#N/A</v>
      </c>
      <c r="B8" s="895" t="s">
        <v>124</v>
      </c>
      <c r="C8" s="13">
        <v>4200.0</v>
      </c>
      <c r="D8" s="13">
        <v>2980.0</v>
      </c>
      <c r="E8" s="13">
        <v>2720.0</v>
      </c>
      <c r="F8" s="13" t="str">
        <f t="shared" si="1"/>
        <v>4200 x 2980 x 2720</v>
      </c>
    </row>
    <row r="9" ht="14.25" customHeight="1">
      <c r="A9" s="1029" t="str">
        <f>VLOOKUP(B9,'Danh mục'!$O:$P,2,0)</f>
        <v>#N/A</v>
      </c>
      <c r="B9" s="895" t="s">
        <v>129</v>
      </c>
      <c r="C9" s="13">
        <v>5585.0</v>
      </c>
      <c r="D9" s="13">
        <v>3000.0</v>
      </c>
      <c r="E9" s="13">
        <v>3055.0</v>
      </c>
      <c r="F9" s="13" t="str">
        <f t="shared" si="1"/>
        <v>5585 x 3000 x 3055</v>
      </c>
    </row>
    <row r="10" ht="14.25" customHeight="1">
      <c r="A10" s="1029" t="str">
        <f>VLOOKUP(B10,'Danh mục'!$O:$P,2,0)</f>
        <v>#N/A</v>
      </c>
      <c r="B10" s="901" t="s">
        <v>135</v>
      </c>
      <c r="C10" s="13">
        <v>5550.0</v>
      </c>
      <c r="D10" s="13">
        <v>3970.0</v>
      </c>
      <c r="E10" s="13">
        <v>3090.0</v>
      </c>
      <c r="F10" s="13" t="str">
        <f t="shared" si="1"/>
        <v>5550 x 3970 x 3090</v>
      </c>
    </row>
    <row r="11" ht="14.25" customHeight="1">
      <c r="A11" s="1029" t="str">
        <f>VLOOKUP(B11,'Danh mục'!$O:$P,2,0)</f>
        <v>#N/A</v>
      </c>
      <c r="B11" s="895" t="s">
        <v>149</v>
      </c>
      <c r="C11" s="13">
        <v>9290.0</v>
      </c>
      <c r="D11" s="13">
        <v>2500.0</v>
      </c>
      <c r="E11" s="13">
        <v>3370.0</v>
      </c>
      <c r="F11" s="13" t="str">
        <f t="shared" si="1"/>
        <v>9290 x 2500 x 3370</v>
      </c>
    </row>
    <row r="12" ht="14.25" customHeight="1">
      <c r="A12" s="1029" t="str">
        <f>VLOOKUP(B12,'Danh mục'!$O:$P,2,0)</f>
        <v>#N/A</v>
      </c>
      <c r="B12" s="901" t="s">
        <v>162</v>
      </c>
      <c r="C12" s="13">
        <v>7800.0</v>
      </c>
      <c r="D12" s="13">
        <v>2500.0</v>
      </c>
      <c r="E12" s="13">
        <v>3480.0</v>
      </c>
      <c r="F12" s="13" t="str">
        <f t="shared" si="1"/>
        <v>7800 x 2500 x 3480</v>
      </c>
    </row>
    <row r="13" ht="14.25" customHeight="1">
      <c r="A13" s="1029" t="str">
        <f>VLOOKUP(B13,'Danh mục'!$O:$P,2,0)</f>
        <v>#N/A</v>
      </c>
      <c r="B13" s="901" t="s">
        <v>188</v>
      </c>
      <c r="C13" s="13">
        <v>5810.0</v>
      </c>
      <c r="D13" s="13">
        <v>2300.0</v>
      </c>
      <c r="E13" s="13">
        <v>2860.0</v>
      </c>
      <c r="F13" s="13" t="str">
        <f t="shared" si="1"/>
        <v>5810 x 2300 x 2860</v>
      </c>
    </row>
    <row r="14" ht="14.25" customHeight="1">
      <c r="A14" s="1029" t="str">
        <f>VLOOKUP(B14,'Danh mục'!$O:$P,2,0)</f>
        <v>#N/A</v>
      </c>
      <c r="B14" s="895" t="s">
        <v>194</v>
      </c>
      <c r="C14" s="13">
        <v>5020.0</v>
      </c>
      <c r="D14" s="13">
        <v>2000.0</v>
      </c>
      <c r="E14" s="13">
        <v>3115.0</v>
      </c>
      <c r="F14" s="13" t="str">
        <f t="shared" si="1"/>
        <v>5020 x 2000 x 3115</v>
      </c>
      <c r="H14" s="1032"/>
    </row>
    <row r="15" ht="14.25" customHeight="1">
      <c r="A15" s="1029" t="str">
        <f>VLOOKUP(B15,'Danh mục'!$O:$P,2,0)</f>
        <v>#N/A</v>
      </c>
      <c r="B15" s="895" t="s">
        <v>6445</v>
      </c>
      <c r="C15" s="13">
        <f t="shared" ref="C15:E15" si="2">C11</f>
        <v>9290</v>
      </c>
      <c r="D15" s="13">
        <f t="shared" si="2"/>
        <v>2500</v>
      </c>
      <c r="E15" s="13">
        <f t="shared" si="2"/>
        <v>3370</v>
      </c>
      <c r="F15" s="13" t="str">
        <f t="shared" si="1"/>
        <v>9290 x 2500 x 3370</v>
      </c>
    </row>
    <row r="16" ht="14.25" customHeight="1">
      <c r="A16" s="1029" t="str">
        <f>VLOOKUP(B16,'Danh mục'!$O:$P,2,0)</f>
        <v>#N/A</v>
      </c>
      <c r="B16" s="895" t="s">
        <v>208</v>
      </c>
      <c r="C16" s="13">
        <v>8420.0</v>
      </c>
      <c r="D16" s="13">
        <v>2375.0</v>
      </c>
      <c r="E16" s="13">
        <v>3240.0</v>
      </c>
      <c r="F16" s="13" t="str">
        <f t="shared" si="1"/>
        <v>8420 x 2375 x 3240</v>
      </c>
    </row>
    <row r="17" ht="14.25" customHeight="1">
      <c r="A17" s="1029" t="str">
        <f>VLOOKUP(B17,'Danh mục'!$O:$P,2,0)</f>
        <v>#N/A</v>
      </c>
      <c r="B17" s="895" t="s">
        <v>214</v>
      </c>
      <c r="C17" s="13">
        <v>11050.0</v>
      </c>
      <c r="D17" s="13">
        <v>2790.0</v>
      </c>
      <c r="E17" s="13">
        <v>3260.0</v>
      </c>
      <c r="F17" s="13" t="str">
        <f t="shared" si="1"/>
        <v>11050 x 2790 x 3260</v>
      </c>
      <c r="G17" s="1027"/>
    </row>
    <row r="18" ht="14.25" customHeight="1">
      <c r="A18" s="1029" t="str">
        <f>VLOOKUP(B18,'Danh mục'!$O:$P,2,0)</f>
        <v>#N/A</v>
      </c>
      <c r="B18" s="907" t="s">
        <v>223</v>
      </c>
      <c r="C18" s="13">
        <v>5260.0</v>
      </c>
      <c r="D18" s="13">
        <v>1760.0</v>
      </c>
      <c r="E18" s="13">
        <v>2415.0</v>
      </c>
      <c r="F18" s="13" t="str">
        <f t="shared" si="1"/>
        <v>5260 x 1760 x 2415</v>
      </c>
      <c r="G18" s="1027"/>
    </row>
    <row r="19" ht="14.25" customHeight="1">
      <c r="A19" s="1029" t="str">
        <f>VLOOKUP(B19,'Danh mục'!$O:$P,2,0)</f>
        <v>#N/A</v>
      </c>
      <c r="B19" s="895" t="s">
        <v>237</v>
      </c>
      <c r="C19" s="13">
        <v>5550.0</v>
      </c>
      <c r="D19" s="13">
        <v>1960.0</v>
      </c>
      <c r="E19" s="13">
        <v>2550.0</v>
      </c>
      <c r="F19" s="13" t="str">
        <f t="shared" si="1"/>
        <v>5550 x 1960 x 2550</v>
      </c>
      <c r="G19" s="1027"/>
    </row>
    <row r="20" ht="14.25" customHeight="1">
      <c r="A20" s="1029" t="str">
        <f>VLOOKUP(B20,'Danh mục'!$O:$P,2,0)</f>
        <v>#N/A</v>
      </c>
      <c r="B20" s="907" t="s">
        <v>252</v>
      </c>
      <c r="C20" s="13">
        <f t="shared" ref="C20:E20" si="3">C18</f>
        <v>5260</v>
      </c>
      <c r="D20" s="13">
        <f t="shared" si="3"/>
        <v>1760</v>
      </c>
      <c r="E20" s="13">
        <f t="shared" si="3"/>
        <v>2415</v>
      </c>
      <c r="F20" s="13" t="str">
        <f t="shared" si="1"/>
        <v>5260 x 1760 x 2415</v>
      </c>
      <c r="G20" s="1027"/>
    </row>
    <row r="21" ht="14.25" customHeight="1">
      <c r="A21" s="1029" t="str">
        <f>VLOOKUP(B21,'Danh mục'!$O:$P,2,0)</f>
        <v>#N/A</v>
      </c>
      <c r="B21" s="907" t="s">
        <v>261</v>
      </c>
      <c r="C21" s="13">
        <v>3100.0</v>
      </c>
      <c r="D21" s="13">
        <v>1400.0</v>
      </c>
      <c r="E21" s="13">
        <v>1585.0</v>
      </c>
      <c r="F21" s="13" t="str">
        <f t="shared" si="1"/>
        <v>3100 x 1400 x 1585</v>
      </c>
      <c r="G21" s="1027"/>
    </row>
    <row r="22" ht="14.25" customHeight="1">
      <c r="A22" s="1029" t="str">
        <f>VLOOKUP(B22,'Danh mục'!$O:$P,2,0)</f>
        <v>#N/A</v>
      </c>
      <c r="B22" s="895" t="s">
        <v>270</v>
      </c>
      <c r="C22" s="13">
        <v>8358.0</v>
      </c>
      <c r="D22" s="13">
        <v>2540.0</v>
      </c>
      <c r="E22" s="13">
        <v>3200.0</v>
      </c>
      <c r="F22" s="13" t="str">
        <f t="shared" si="1"/>
        <v>8358 x 2540 x 3200</v>
      </c>
      <c r="G22" s="1027"/>
    </row>
    <row r="23" ht="14.25" customHeight="1">
      <c r="A23" s="1029" t="str">
        <f>VLOOKUP(B23,'Danh mục'!$O:$P,2,0)</f>
        <v>#N/A</v>
      </c>
      <c r="B23" s="907" t="s">
        <v>277</v>
      </c>
      <c r="C23" s="13">
        <f t="shared" ref="C23:E23" si="4">C40</f>
        <v>9660</v>
      </c>
      <c r="D23" s="13">
        <f t="shared" si="4"/>
        <v>2550</v>
      </c>
      <c r="E23" s="13">
        <f t="shared" si="4"/>
        <v>3985</v>
      </c>
      <c r="F23" s="13" t="str">
        <f t="shared" si="1"/>
        <v>9660 x 2550 x 3985</v>
      </c>
      <c r="G23" s="1027"/>
    </row>
    <row r="24" ht="14.25" customHeight="1">
      <c r="A24" s="1029" t="str">
        <f>VLOOKUP(B24,'Danh mục'!$O:$P,2,0)</f>
        <v>#N/A</v>
      </c>
      <c r="B24" s="907" t="s">
        <v>284</v>
      </c>
      <c r="C24" s="13">
        <v>8700.0</v>
      </c>
      <c r="D24" s="13">
        <v>2800.0</v>
      </c>
      <c r="E24" s="13">
        <v>3010.0</v>
      </c>
      <c r="F24" s="13" t="str">
        <f t="shared" si="1"/>
        <v>8700 x 2800 x 3010</v>
      </c>
      <c r="G24" s="1027"/>
    </row>
    <row r="25" ht="14.25" customHeight="1">
      <c r="A25" s="1029" t="str">
        <f>VLOOKUP(B25,'Danh mục'!$O:$P,2,0)</f>
        <v>#N/A</v>
      </c>
      <c r="B25" s="907" t="s">
        <v>290</v>
      </c>
      <c r="C25" s="13">
        <f t="shared" ref="C25:E25" si="5">C8</f>
        <v>4200</v>
      </c>
      <c r="D25" s="13">
        <f t="shared" si="5"/>
        <v>2980</v>
      </c>
      <c r="E25" s="13">
        <f t="shared" si="5"/>
        <v>2720</v>
      </c>
      <c r="F25" s="13" t="str">
        <f t="shared" si="1"/>
        <v>4200 x 2980 x 2720</v>
      </c>
      <c r="G25" s="1027"/>
    </row>
    <row r="26" ht="14.25" customHeight="1">
      <c r="A26" s="1029" t="str">
        <f>VLOOKUP(B26,'Danh mục'!$O:$P,2,0)</f>
        <v>#N/A</v>
      </c>
      <c r="B26" s="907" t="s">
        <v>307</v>
      </c>
      <c r="C26" s="13">
        <v>6160.0</v>
      </c>
      <c r="D26" s="13">
        <v>2330.0</v>
      </c>
      <c r="E26" s="13">
        <v>2760.0</v>
      </c>
      <c r="F26" s="13" t="str">
        <f t="shared" si="1"/>
        <v>6160 x 2330 x 2760</v>
      </c>
      <c r="G26" s="1027"/>
    </row>
    <row r="27" ht="14.25" customHeight="1">
      <c r="A27" s="1029" t="str">
        <f>VLOOKUP(B27,'Danh mục'!$O:$P,2,0)</f>
        <v>#N/A</v>
      </c>
      <c r="B27" s="907" t="s">
        <v>315</v>
      </c>
      <c r="C27" s="13">
        <f t="shared" ref="C27:E27" si="6">C26</f>
        <v>6160</v>
      </c>
      <c r="D27" s="13">
        <f t="shared" si="6"/>
        <v>2330</v>
      </c>
      <c r="E27" s="13">
        <f t="shared" si="6"/>
        <v>2760</v>
      </c>
      <c r="F27" s="13" t="str">
        <f t="shared" si="1"/>
        <v>6160 x 2330 x 2760</v>
      </c>
      <c r="G27" s="1027"/>
    </row>
    <row r="28" ht="14.25" customHeight="1">
      <c r="A28" s="1029" t="str">
        <f>VLOOKUP(B28,'Danh mục'!$O:$P,2,0)</f>
        <v>#N/A</v>
      </c>
      <c r="B28" s="907" t="s">
        <v>6487</v>
      </c>
      <c r="C28" s="13">
        <v>5910.0</v>
      </c>
      <c r="D28" s="13">
        <v>2310.0</v>
      </c>
      <c r="E28" s="13">
        <v>2800.0</v>
      </c>
      <c r="F28" s="13" t="str">
        <f t="shared" si="1"/>
        <v>5910 x 2310 x 2800</v>
      </c>
      <c r="G28" s="1027"/>
    </row>
    <row r="29" ht="14.25" customHeight="1">
      <c r="A29" s="1029" t="str">
        <f>VLOOKUP(B29,'Danh mục'!$O:$P,2,0)</f>
        <v>#N/A</v>
      </c>
      <c r="B29" s="895" t="s">
        <v>396</v>
      </c>
      <c r="C29" s="13">
        <f t="shared" ref="C29:E29" si="7">C9</f>
        <v>5585</v>
      </c>
      <c r="D29" s="13">
        <f t="shared" si="7"/>
        <v>3000</v>
      </c>
      <c r="E29" s="13">
        <f t="shared" si="7"/>
        <v>3055</v>
      </c>
      <c r="F29" s="13" t="str">
        <f t="shared" si="1"/>
        <v>5585 x 3000 x 3055</v>
      </c>
      <c r="G29" s="1027"/>
    </row>
    <row r="30" ht="14.25" customHeight="1">
      <c r="A30" s="1029" t="str">
        <f>VLOOKUP(B30,'Danh mục'!$O:$P,2,0)</f>
        <v>#N/A</v>
      </c>
      <c r="B30" s="901" t="s">
        <v>404</v>
      </c>
      <c r="C30" s="13">
        <f t="shared" ref="C30:E30" si="8">C14</f>
        <v>5020</v>
      </c>
      <c r="D30" s="13">
        <f t="shared" si="8"/>
        <v>2000</v>
      </c>
      <c r="E30" s="13">
        <f t="shared" si="8"/>
        <v>3115</v>
      </c>
      <c r="F30" s="13" t="str">
        <f t="shared" si="1"/>
        <v>5020 x 2000 x 3115</v>
      </c>
      <c r="G30" s="1027"/>
    </row>
    <row r="31" ht="14.25" customHeight="1">
      <c r="A31" s="1029" t="str">
        <f>VLOOKUP(B31,'Danh mục'!$O:$P,2,0)</f>
        <v>#N/A</v>
      </c>
      <c r="B31" s="895" t="s">
        <v>412</v>
      </c>
      <c r="C31" s="13">
        <v>6160.0</v>
      </c>
      <c r="D31" s="13">
        <v>2330.0</v>
      </c>
      <c r="E31" s="13">
        <v>2750.0</v>
      </c>
      <c r="F31" s="13" t="str">
        <f t="shared" si="1"/>
        <v>6160 x 2330 x 2750</v>
      </c>
      <c r="G31" s="1027"/>
    </row>
    <row r="32" ht="14.25" customHeight="1">
      <c r="A32" s="1029" t="str">
        <f>VLOOKUP(B32,'Danh mục'!$O:$P,2,0)</f>
        <v>#N/A</v>
      </c>
      <c r="B32" s="901" t="s">
        <v>420</v>
      </c>
      <c r="C32" s="13">
        <v>6170.0</v>
      </c>
      <c r="D32" s="13">
        <v>2330.0</v>
      </c>
      <c r="E32" s="13">
        <v>2750.0</v>
      </c>
      <c r="F32" s="13" t="str">
        <f t="shared" si="1"/>
        <v>6170 x 2330 x 2750</v>
      </c>
      <c r="G32" s="1027"/>
    </row>
    <row r="33" ht="14.25" customHeight="1">
      <c r="A33" s="1029" t="str">
        <f>VLOOKUP(B33,'Danh mục'!$O:$P,2,0)</f>
        <v>#N/A</v>
      </c>
      <c r="B33" s="901" t="s">
        <v>2035</v>
      </c>
      <c r="C33" s="13">
        <v>7820.0</v>
      </c>
      <c r="D33" s="13">
        <v>2500.0</v>
      </c>
      <c r="E33" s="13">
        <v>3140.0</v>
      </c>
      <c r="F33" s="13" t="str">
        <f t="shared" si="1"/>
        <v>7820 x 2500 x 3140</v>
      </c>
    </row>
    <row r="34" ht="14.25" customHeight="1">
      <c r="A34" s="1029" t="str">
        <f>VLOOKUP(B34,'Danh mục'!$O:$P,2,0)</f>
        <v>#N/A</v>
      </c>
      <c r="B34" s="895" t="s">
        <v>1545</v>
      </c>
      <c r="C34" s="13">
        <f t="shared" ref="C34:E34" si="9">C21</f>
        <v>3100</v>
      </c>
      <c r="D34" s="13">
        <f t="shared" si="9"/>
        <v>1400</v>
      </c>
      <c r="E34" s="13">
        <f t="shared" si="9"/>
        <v>1585</v>
      </c>
      <c r="F34" s="13" t="str">
        <f t="shared" si="1"/>
        <v>3100 x 1400 x 1585</v>
      </c>
    </row>
    <row r="35" ht="14.25" customHeight="1">
      <c r="A35" s="1029" t="str">
        <f>VLOOKUP(B35,'Danh mục'!$O:$P,2,0)</f>
        <v>#N/A</v>
      </c>
      <c r="B35" s="895" t="s">
        <v>455</v>
      </c>
      <c r="C35" s="13">
        <v>4749.0</v>
      </c>
      <c r="D35" s="13">
        <v>1700.0</v>
      </c>
      <c r="E35" s="13">
        <v>2470.0</v>
      </c>
      <c r="F35" s="13" t="str">
        <f t="shared" si="1"/>
        <v>4749 x 1700 x 2470</v>
      </c>
    </row>
    <row r="36" ht="14.25" customHeight="1">
      <c r="A36" s="1029" t="str">
        <f>VLOOKUP(B36,'Danh mục'!$O:$P,2,0)</f>
        <v>#N/A</v>
      </c>
      <c r="B36" s="895" t="s">
        <v>461</v>
      </c>
      <c r="C36" s="13">
        <f t="shared" ref="C36:E36" si="10">C18</f>
        <v>5260</v>
      </c>
      <c r="D36" s="13">
        <f t="shared" si="10"/>
        <v>1760</v>
      </c>
      <c r="E36" s="13">
        <f t="shared" si="10"/>
        <v>2415</v>
      </c>
      <c r="F36" s="13" t="str">
        <f t="shared" si="1"/>
        <v>5260 x 1760 x 2415</v>
      </c>
    </row>
    <row r="37" ht="14.25" customHeight="1">
      <c r="A37" s="1029" t="str">
        <f>VLOOKUP(B37,'Danh mục'!$O:$P,2,0)</f>
        <v>#N/A</v>
      </c>
      <c r="B37" s="901" t="s">
        <v>491</v>
      </c>
      <c r="C37" s="13">
        <v>9425.0</v>
      </c>
      <c r="D37" s="13">
        <v>2800.0</v>
      </c>
      <c r="E37" s="13">
        <v>2970.0</v>
      </c>
      <c r="F37" s="13" t="str">
        <f t="shared" si="1"/>
        <v>9425 x 2800 x 2970</v>
      </c>
    </row>
    <row r="38" ht="14.25" customHeight="1">
      <c r="A38" s="1029" t="str">
        <f>VLOOKUP(B38,'Danh mục'!$O:$P,2,0)</f>
        <v>#N/A</v>
      </c>
      <c r="B38" s="901" t="s">
        <v>1298</v>
      </c>
      <c r="C38" s="13">
        <v>2625.0</v>
      </c>
      <c r="D38" s="13">
        <v>1290.0</v>
      </c>
      <c r="E38" s="13">
        <v>1570.0</v>
      </c>
      <c r="F38" s="13" t="str">
        <f t="shared" si="1"/>
        <v>2625 x 1290 x 1570</v>
      </c>
    </row>
    <row r="39" ht="14.25" customHeight="1">
      <c r="A39" s="1029" t="str">
        <f>VLOOKUP(B39,'Danh mục'!$O:$P,2,0)</f>
        <v>#N/A</v>
      </c>
      <c r="B39" s="901" t="s">
        <v>498</v>
      </c>
      <c r="C39" s="13">
        <v>3105.0</v>
      </c>
      <c r="D39" s="13">
        <v>1390.0</v>
      </c>
      <c r="E39" s="13">
        <v>1700.0</v>
      </c>
      <c r="F39" s="13" t="str">
        <f t="shared" si="1"/>
        <v>3105 x 1390 x 1700</v>
      </c>
    </row>
    <row r="40" ht="14.25" customHeight="1">
      <c r="A40" s="1029" t="str">
        <f>VLOOKUP(B40,'Danh mục'!$O:$P,2,0)</f>
        <v>#N/A</v>
      </c>
      <c r="B40" s="901" t="s">
        <v>503</v>
      </c>
      <c r="C40" s="13">
        <v>9660.0</v>
      </c>
      <c r="D40" s="13">
        <v>2550.0</v>
      </c>
      <c r="E40" s="13">
        <v>3985.0</v>
      </c>
      <c r="F40" s="13" t="str">
        <f t="shared" si="1"/>
        <v>9660 x 2550 x 3985</v>
      </c>
    </row>
    <row r="41" ht="14.25" customHeight="1">
      <c r="A41" s="1029" t="str">
        <f>VLOOKUP(B41,'Danh mục'!$O:$P,2,0)</f>
        <v>#N/A</v>
      </c>
      <c r="B41" s="895" t="s">
        <v>530</v>
      </c>
      <c r="C41" s="13">
        <f t="shared" ref="C41:E41" si="11">C10</f>
        <v>5550</v>
      </c>
      <c r="D41" s="13">
        <f t="shared" si="11"/>
        <v>3970</v>
      </c>
      <c r="E41" s="13">
        <f t="shared" si="11"/>
        <v>3090</v>
      </c>
      <c r="F41" s="13" t="str">
        <f t="shared" si="1"/>
        <v>5550 x 3970 x 3090</v>
      </c>
    </row>
    <row r="42" ht="14.25" customHeight="1">
      <c r="A42" s="1029" t="str">
        <f>VLOOKUP(B42,'Danh mục'!$O:$P,2,0)</f>
        <v>#N/A</v>
      </c>
      <c r="B42" s="895" t="s">
        <v>552</v>
      </c>
      <c r="C42" s="13">
        <f t="shared" ref="C42:E42" si="12">C14</f>
        <v>5020</v>
      </c>
      <c r="D42" s="13">
        <f t="shared" si="12"/>
        <v>2000</v>
      </c>
      <c r="E42" s="13">
        <f t="shared" si="12"/>
        <v>3115</v>
      </c>
      <c r="F42" s="13" t="str">
        <f t="shared" si="1"/>
        <v>5020 x 2000 x 3115</v>
      </c>
    </row>
    <row r="43" ht="14.25" customHeight="1">
      <c r="A43" s="1029" t="str">
        <f>VLOOKUP(B43,'Danh mục'!$O:$P,2,0)</f>
        <v>#N/A</v>
      </c>
      <c r="B43" s="901" t="s">
        <v>570</v>
      </c>
      <c r="C43" s="13">
        <f t="shared" ref="C43:E43" si="13">C11</f>
        <v>9290</v>
      </c>
      <c r="D43" s="13">
        <f t="shared" si="13"/>
        <v>2500</v>
      </c>
      <c r="E43" s="13">
        <f t="shared" si="13"/>
        <v>3370</v>
      </c>
      <c r="F43" s="13" t="str">
        <f t="shared" si="1"/>
        <v>9290 x 2500 x 3370</v>
      </c>
    </row>
    <row r="44" ht="14.25" customHeight="1">
      <c r="A44" s="1029" t="str">
        <f>VLOOKUP(B44,'Danh mục'!$O:$P,2,0)</f>
        <v>#N/A</v>
      </c>
      <c r="B44" s="901" t="s">
        <v>587</v>
      </c>
      <c r="C44" s="13">
        <v>11825.0</v>
      </c>
      <c r="D44" s="13">
        <v>2500.0</v>
      </c>
      <c r="E44" s="13">
        <v>3720.0</v>
      </c>
      <c r="F44" s="13" t="str">
        <f t="shared" si="1"/>
        <v>11825 x 2500 x 3720</v>
      </c>
    </row>
    <row r="45" ht="14.25" customHeight="1">
      <c r="A45" s="1029" t="str">
        <f>VLOOKUP(B45,'Danh mục'!$O:$P,2,0)</f>
        <v>#N/A</v>
      </c>
      <c r="B45" s="895">
        <v>305.0</v>
      </c>
      <c r="C45" s="13">
        <v>5340.0</v>
      </c>
      <c r="D45" s="13">
        <v>1980.0</v>
      </c>
      <c r="E45" s="13">
        <v>1895.0</v>
      </c>
      <c r="F45" s="13" t="str">
        <f t="shared" si="1"/>
        <v>5340 x 1980 x 1895</v>
      </c>
    </row>
    <row r="46" ht="14.25" customHeight="1">
      <c r="A46" s="1029" t="str">
        <f>VLOOKUP(B46,'Danh mục'!$O:$P,2,0)</f>
        <v>#N/A</v>
      </c>
      <c r="B46" s="907" t="s">
        <v>2589</v>
      </c>
      <c r="C46" s="13">
        <v>11845.0</v>
      </c>
      <c r="D46" s="13">
        <v>2500.0</v>
      </c>
      <c r="E46" s="13">
        <v>3690.0</v>
      </c>
      <c r="F46" s="13" t="str">
        <f t="shared" si="1"/>
        <v>11845 x 2500 x 3690</v>
      </c>
    </row>
    <row r="47" ht="14.25" customHeight="1">
      <c r="A47" s="1029" t="str">
        <f>VLOOKUP(B47,'Danh mục'!$O:$P,2,0)</f>
        <v>#N/A</v>
      </c>
      <c r="B47" s="901" t="s">
        <v>663</v>
      </c>
      <c r="C47" s="13">
        <v>6380.0</v>
      </c>
      <c r="D47" s="13">
        <v>2040.0</v>
      </c>
      <c r="E47" s="13">
        <v>2300.0</v>
      </c>
      <c r="F47" s="13" t="str">
        <f t="shared" si="1"/>
        <v>6380 x 2040 x 2300</v>
      </c>
    </row>
    <row r="48" ht="14.25" customHeight="1">
      <c r="A48" s="1029" t="str">
        <f>VLOOKUP(B48,'Danh mục'!$O:$P,2,0)</f>
        <v>#N/A</v>
      </c>
      <c r="B48" s="901" t="s">
        <v>791</v>
      </c>
      <c r="C48" s="13">
        <v>3445.0</v>
      </c>
      <c r="D48" s="13">
        <v>1865.0</v>
      </c>
      <c r="E48" s="13">
        <v>2535.0</v>
      </c>
      <c r="F48" s="13" t="str">
        <f t="shared" si="1"/>
        <v>3445 x 1865 x 2535</v>
      </c>
      <c r="G48" s="1035"/>
    </row>
    <row r="49" ht="14.25" customHeight="1">
      <c r="A49" s="1029" t="str">
        <f>VLOOKUP(B49,'Danh mục'!$O:$P,2,0)</f>
        <v>#N/A</v>
      </c>
      <c r="B49" s="895">
        <v>6603.0</v>
      </c>
      <c r="C49" s="13">
        <v>4200.0</v>
      </c>
      <c r="D49" s="13">
        <v>2600.0</v>
      </c>
      <c r="E49" s="13">
        <v>2900.0</v>
      </c>
      <c r="F49" s="13" t="str">
        <f t="shared" si="1"/>
        <v>4200 x 2600 x 2900</v>
      </c>
      <c r="G49" s="1032"/>
    </row>
    <row r="50" ht="14.25" customHeight="1">
      <c r="A50" s="1029" t="str">
        <f>VLOOKUP(B50,'Danh mục'!$O:$P,2,0)</f>
        <v>#N/A</v>
      </c>
      <c r="B50" s="901" t="s">
        <v>697</v>
      </c>
      <c r="C50" s="13">
        <v>4835.0</v>
      </c>
      <c r="D50" s="13">
        <v>2600.0</v>
      </c>
      <c r="E50" s="13">
        <v>2965.0</v>
      </c>
      <c r="F50" s="13" t="str">
        <f t="shared" si="1"/>
        <v>4835 x 2600 x 2965</v>
      </c>
      <c r="G50" s="1032"/>
    </row>
    <row r="51" ht="14.25" customHeight="1">
      <c r="A51" s="1029" t="str">
        <f>VLOOKUP(B51,'Danh mục'!$O:$P,2,0)</f>
        <v>#N/A</v>
      </c>
      <c r="B51" s="901" t="s">
        <v>704</v>
      </c>
      <c r="C51" s="13">
        <v>4100.0</v>
      </c>
      <c r="D51" s="13">
        <v>2100.0</v>
      </c>
      <c r="E51" s="13">
        <v>2600.0</v>
      </c>
      <c r="F51" s="13" t="str">
        <f t="shared" si="1"/>
        <v>4100 x 2100 x 2600</v>
      </c>
      <c r="G51" s="1032"/>
    </row>
    <row r="52" ht="14.25" customHeight="1">
      <c r="A52" s="1029" t="str">
        <f>VLOOKUP(B52,'Danh mục'!$O:$P,2,0)</f>
        <v>#N/A</v>
      </c>
      <c r="B52" s="895" t="s">
        <v>783</v>
      </c>
      <c r="C52" s="13">
        <v>4780.0</v>
      </c>
      <c r="D52" s="13">
        <v>2550.0</v>
      </c>
      <c r="E52" s="13">
        <v>3000.0</v>
      </c>
      <c r="F52" s="13" t="str">
        <f t="shared" si="1"/>
        <v>4780 x 2550 x 3000</v>
      </c>
      <c r="G52" s="1032"/>
    </row>
    <row r="53" ht="14.25" customHeight="1">
      <c r="A53" s="1029" t="str">
        <f>VLOOKUP(B53,'Danh mục'!$O:$P,2,0)</f>
        <v>#N/A</v>
      </c>
      <c r="B53" s="901">
        <v>6400.0</v>
      </c>
      <c r="C53" s="13">
        <v>4200.0</v>
      </c>
      <c r="D53" s="13">
        <v>2600.0</v>
      </c>
      <c r="E53" s="13">
        <v>2900.0</v>
      </c>
      <c r="F53" s="13" t="str">
        <f t="shared" si="1"/>
        <v>4200 x 2600 x 2900</v>
      </c>
      <c r="G53" s="1032"/>
    </row>
    <row r="54" ht="14.25" customHeight="1">
      <c r="A54" s="1029" t="str">
        <f>VLOOKUP(B54,'Danh mục'!$O:$P,2,0)</f>
        <v>#N/A</v>
      </c>
      <c r="B54" s="895">
        <v>2850.0</v>
      </c>
      <c r="C54" s="13">
        <v>4200.0</v>
      </c>
      <c r="D54" s="13">
        <v>2600.0</v>
      </c>
      <c r="E54" s="13">
        <v>2900.0</v>
      </c>
      <c r="F54" s="13" t="str">
        <f t="shared" si="1"/>
        <v>4200 x 2600 x 2900</v>
      </c>
      <c r="G54" s="1032"/>
    </row>
    <row r="55" ht="14.25" customHeight="1">
      <c r="A55" s="1029" t="str">
        <f>VLOOKUP(B55,'Danh mục'!$O:$P,2,0)</f>
        <v>#N/A</v>
      </c>
      <c r="B55" s="901">
        <v>3350.0</v>
      </c>
      <c r="C55" s="13">
        <v>4780.0</v>
      </c>
      <c r="D55" s="13">
        <v>2030.0</v>
      </c>
      <c r="E55" s="13">
        <v>2840.0</v>
      </c>
      <c r="F55" s="13" t="str">
        <f t="shared" si="1"/>
        <v>4780 x 2030 x 2840</v>
      </c>
      <c r="G55" s="1032"/>
    </row>
    <row r="56" ht="14.25" customHeight="1">
      <c r="A56" s="1029" t="str">
        <f>VLOOKUP(B56,'Danh mục'!$O:$P,2,0)</f>
        <v>#N/A</v>
      </c>
      <c r="B56" s="895">
        <v>7800.0</v>
      </c>
      <c r="C56" s="13">
        <v>4750.0</v>
      </c>
      <c r="D56" s="13">
        <v>2440.0</v>
      </c>
      <c r="E56" s="13">
        <v>3000.0</v>
      </c>
      <c r="F56" s="13" t="str">
        <f t="shared" si="1"/>
        <v>4750 x 2440 x 3000</v>
      </c>
      <c r="G56" s="1032"/>
    </row>
    <row r="57" ht="14.25" customHeight="1">
      <c r="A57" s="1029" t="str">
        <f>VLOOKUP(B57,'Danh mục'!$O:$P,2,0)</f>
        <v>#N/A</v>
      </c>
      <c r="B57" s="901">
        <v>1504.0</v>
      </c>
      <c r="C57" s="13">
        <v>5300.0</v>
      </c>
      <c r="D57" s="13">
        <v>2620.0</v>
      </c>
      <c r="E57" s="13">
        <v>3010.0</v>
      </c>
      <c r="F57" s="13" t="str">
        <f t="shared" si="1"/>
        <v>5300 x 2620 x 3010</v>
      </c>
    </row>
    <row r="58" ht="14.25" customHeight="1">
      <c r="A58" s="1029" t="str">
        <f>VLOOKUP(B58,'Danh mục'!$O:$P,2,0)</f>
        <v>#N/A</v>
      </c>
      <c r="B58" s="895">
        <v>5090.0</v>
      </c>
      <c r="C58" s="13">
        <v>4100.0</v>
      </c>
      <c r="D58" s="13">
        <v>2100.0</v>
      </c>
      <c r="E58" s="13">
        <v>2600.0</v>
      </c>
      <c r="F58" s="13" t="str">
        <f t="shared" si="1"/>
        <v>4100 x 2100 x 2600</v>
      </c>
      <c r="G58" s="1032"/>
    </row>
    <row r="59" ht="14.25" customHeight="1">
      <c r="A59" s="1029" t="str">
        <f>VLOOKUP(B59,'Danh mục'!$O:$P,2,0)</f>
        <v>#N/A</v>
      </c>
      <c r="B59" s="901">
        <v>3650.0</v>
      </c>
      <c r="C59" s="13">
        <v>4890.0</v>
      </c>
      <c r="D59" s="13">
        <v>2260.0</v>
      </c>
      <c r="E59" s="13">
        <v>2880.0</v>
      </c>
      <c r="F59" s="13" t="str">
        <f t="shared" si="1"/>
        <v>4890 x 2260 x 2880</v>
      </c>
      <c r="G59" s="1027"/>
    </row>
    <row r="60" ht="14.25" customHeight="1">
      <c r="A60" s="1029" t="str">
        <f>VLOOKUP(B60,'Danh mục'!$O:$P,2,0)</f>
        <v>#N/A</v>
      </c>
      <c r="B60" s="895">
        <v>3640.0</v>
      </c>
      <c r="C60" s="13">
        <v>4800.0</v>
      </c>
      <c r="D60" s="13">
        <v>2150.0</v>
      </c>
      <c r="E60" s="13">
        <v>2970.0</v>
      </c>
      <c r="F60" s="13" t="str">
        <f t="shared" si="1"/>
        <v>4800 x 2150 x 2970</v>
      </c>
      <c r="G60" s="1027"/>
    </row>
    <row r="61" ht="14.25" customHeight="1">
      <c r="A61" s="1029" t="str">
        <f>VLOOKUP(B61,'Danh mục'!$O:$P,2,0)</f>
        <v>#N/A</v>
      </c>
      <c r="B61" s="895">
        <v>6300.0</v>
      </c>
      <c r="C61" s="13">
        <v>4800.0</v>
      </c>
      <c r="D61" s="13">
        <v>2007.0</v>
      </c>
      <c r="E61" s="13">
        <v>2743.0</v>
      </c>
      <c r="F61" s="13" t="str">
        <f t="shared" si="1"/>
        <v>4800 x 2007 x 2743</v>
      </c>
      <c r="G61" s="1027"/>
    </row>
    <row r="62" ht="14.25" customHeight="1">
      <c r="A62" s="1029" t="str">
        <f>VLOOKUP(B62,'Danh mục'!$O:$P,2,0)</f>
        <v>#N/A</v>
      </c>
      <c r="B62" s="895">
        <v>9540.0</v>
      </c>
      <c r="C62" s="13">
        <v>3760.0</v>
      </c>
      <c r="D62" s="13">
        <v>1900.0</v>
      </c>
      <c r="E62" s="13">
        <v>2570.0</v>
      </c>
      <c r="F62" s="13" t="str">
        <f t="shared" si="1"/>
        <v>3760 x 1900 x 2570</v>
      </c>
    </row>
    <row r="63" ht="14.25" customHeight="1">
      <c r="A63" s="1029" t="str">
        <f>VLOOKUP(B63,'Danh mục'!$O:$P,2,0)</f>
        <v>#N/A</v>
      </c>
      <c r="B63" s="901" t="s">
        <v>860</v>
      </c>
      <c r="C63" s="13">
        <v>3226.0</v>
      </c>
      <c r="D63" s="13">
        <v>1570.0</v>
      </c>
      <c r="E63" s="13">
        <v>1545.0</v>
      </c>
      <c r="F63" s="13" t="str">
        <f t="shared" si="1"/>
        <v>3226 x 1570 x 1545</v>
      </c>
      <c r="G63" s="1032"/>
    </row>
    <row r="64" ht="14.25" customHeight="1">
      <c r="A64" s="1029" t="str">
        <f>VLOOKUP(B64,'Danh mục'!$O:$P,2,0)</f>
        <v>#N/A</v>
      </c>
      <c r="B64" s="895" t="s">
        <v>878</v>
      </c>
      <c r="C64" s="13">
        <v>3120.0</v>
      </c>
      <c r="D64" s="13">
        <v>1495.0</v>
      </c>
      <c r="E64" s="13">
        <v>1510.0</v>
      </c>
      <c r="F64" s="13" t="str">
        <f t="shared" si="1"/>
        <v>3120 x 1495 x 1510</v>
      </c>
    </row>
    <row r="65" ht="14.25" customHeight="1">
      <c r="A65" s="1029" t="str">
        <f>VLOOKUP(B65,'Danh mục'!$O:$P,2,0)</f>
        <v>#N/A</v>
      </c>
      <c r="B65" s="901" t="s">
        <v>898</v>
      </c>
      <c r="C65" s="13">
        <v>4730.0</v>
      </c>
      <c r="D65" s="13">
        <v>1750.0</v>
      </c>
      <c r="E65" s="13">
        <v>2100.0</v>
      </c>
      <c r="F65" s="13" t="str">
        <f t="shared" si="1"/>
        <v>4730 x 1750 x 2100</v>
      </c>
    </row>
    <row r="66" ht="14.25" customHeight="1">
      <c r="A66" s="1029" t="str">
        <f>VLOOKUP(B66,'Danh mục'!$O:$P,2,0)</f>
        <v>#N/A</v>
      </c>
      <c r="B66" s="901" t="s">
        <v>6540</v>
      </c>
      <c r="C66" s="13">
        <v>5250.0</v>
      </c>
      <c r="D66" s="13">
        <v>2170.0</v>
      </c>
      <c r="E66" s="13">
        <v>2520.0</v>
      </c>
      <c r="F66" s="13" t="str">
        <f t="shared" si="1"/>
        <v>5250 x 2170 x 2520</v>
      </c>
    </row>
    <row r="67" ht="14.25" customHeight="1">
      <c r="A67" s="1029" t="str">
        <f>VLOOKUP(B67,'Danh mục'!$O:$P,2,0)</f>
        <v>#N/A</v>
      </c>
      <c r="B67" s="895" t="s">
        <v>1144</v>
      </c>
      <c r="C67" s="13">
        <v>8800.0</v>
      </c>
      <c r="D67" s="13">
        <v>2500.0</v>
      </c>
      <c r="E67" s="13">
        <v>3700.0</v>
      </c>
      <c r="F67" s="13" t="str">
        <f t="shared" si="1"/>
        <v>8800 x 2500 x 3700</v>
      </c>
    </row>
    <row r="68" ht="14.25" customHeight="1">
      <c r="A68" s="1029" t="str">
        <f>VLOOKUP(B68,'Danh mục'!$O:$P,2,0)</f>
        <v>#N/A</v>
      </c>
      <c r="B68" s="901" t="s">
        <v>1256</v>
      </c>
      <c r="C68" s="13">
        <f t="shared" ref="C68:E68" si="14">C65</f>
        <v>4730</v>
      </c>
      <c r="D68" s="13">
        <f t="shared" si="14"/>
        <v>1750</v>
      </c>
      <c r="E68" s="13">
        <f t="shared" si="14"/>
        <v>2100</v>
      </c>
      <c r="F68" s="13" t="str">
        <f t="shared" si="1"/>
        <v>4730 x 1750 x 2100</v>
      </c>
    </row>
    <row r="69" ht="14.25" customHeight="1">
      <c r="A69" s="1029" t="str">
        <f>VLOOKUP(B69,'Danh mục'!$O:$P,2,0)</f>
        <v>#N/A</v>
      </c>
      <c r="B69" s="901" t="s">
        <v>1276</v>
      </c>
      <c r="C69" s="13">
        <v>2570.0</v>
      </c>
      <c r="D69" s="13">
        <v>1200.0</v>
      </c>
      <c r="E69" s="13">
        <v>1950.0</v>
      </c>
      <c r="F69" s="13" t="str">
        <f t="shared" si="1"/>
        <v>2570 x 1200 x 1950</v>
      </c>
    </row>
    <row r="70" ht="14.25" customHeight="1">
      <c r="A70" s="1029" t="str">
        <f>VLOOKUP(B70,'Danh mục'!$O:$P,2,0)</f>
        <v>#N/A</v>
      </c>
      <c r="B70" s="901" t="s">
        <v>1383</v>
      </c>
      <c r="C70" s="13">
        <v>4890.0</v>
      </c>
      <c r="D70" s="13">
        <v>2015.0</v>
      </c>
      <c r="E70" s="13">
        <v>2500.0</v>
      </c>
      <c r="F70" s="13" t="str">
        <f t="shared" si="1"/>
        <v>4890 x 2015 x 2500</v>
      </c>
    </row>
    <row r="71" ht="14.25" customHeight="1">
      <c r="A71" s="1029" t="str">
        <f>VLOOKUP(B71,'Danh mục'!$O:$P,2,0)</f>
        <v>#N/A</v>
      </c>
      <c r="B71" s="907" t="s">
        <v>1428</v>
      </c>
      <c r="C71" s="13">
        <v>5550.0</v>
      </c>
      <c r="D71" s="13">
        <v>1960.0</v>
      </c>
      <c r="E71" s="13">
        <v>2625.0</v>
      </c>
      <c r="F71" s="13" t="str">
        <f t="shared" si="1"/>
        <v>5550 x 1960 x 2625</v>
      </c>
    </row>
    <row r="72" ht="14.25" customHeight="1">
      <c r="A72" s="1029" t="str">
        <f>VLOOKUP(B72,'Danh mục'!$O:$P,2,0)</f>
        <v>#N/A</v>
      </c>
      <c r="B72" s="901" t="s">
        <v>1416</v>
      </c>
      <c r="C72" s="13">
        <v>3400.0</v>
      </c>
      <c r="D72" s="13">
        <v>1570.0</v>
      </c>
      <c r="E72" s="13">
        <v>2260.0</v>
      </c>
      <c r="F72" s="13" t="str">
        <f t="shared" si="1"/>
        <v>3400 x 1570 x 2260</v>
      </c>
    </row>
    <row r="73" ht="14.25" customHeight="1">
      <c r="A73" s="1029" t="str">
        <f>VLOOKUP(B73,'Danh mục'!$O:$P,2,0)</f>
        <v>#N/A</v>
      </c>
      <c r="B73" s="940">
        <v>6200.0</v>
      </c>
      <c r="C73" s="13">
        <v>4190.0</v>
      </c>
      <c r="D73" s="13">
        <v>2170.0</v>
      </c>
      <c r="E73" s="13">
        <v>2590.0</v>
      </c>
      <c r="F73" s="13" t="str">
        <f t="shared" si="1"/>
        <v>4190 x 2170 x 2590</v>
      </c>
      <c r="G73" s="1027"/>
    </row>
    <row r="74" ht="14.25" customHeight="1">
      <c r="A74" s="1029" t="str">
        <f>VLOOKUP(B74,'Danh mục'!$O:$P,2,0)</f>
        <v>#N/A</v>
      </c>
      <c r="B74" s="895">
        <v>5520.0</v>
      </c>
      <c r="C74" s="13">
        <v>3840.0</v>
      </c>
      <c r="D74" s="13">
        <v>1960.0</v>
      </c>
      <c r="E74" s="13">
        <v>2550.0</v>
      </c>
      <c r="F74" s="13" t="str">
        <f t="shared" si="1"/>
        <v>3840 x 1960 x 2550</v>
      </c>
      <c r="G74" s="1027"/>
    </row>
    <row r="75" ht="14.25" customHeight="1">
      <c r="A75" s="1029" t="str">
        <f>VLOOKUP(B75,'Danh mục'!$O:$P,2,0)</f>
        <v>#N/A</v>
      </c>
      <c r="B75" s="895">
        <v>5510.0</v>
      </c>
      <c r="C75" s="13">
        <v>3510.0</v>
      </c>
      <c r="D75" s="13">
        <v>1740.0</v>
      </c>
      <c r="E75" s="13">
        <v>2550.0</v>
      </c>
      <c r="F75" s="13" t="str">
        <f t="shared" si="1"/>
        <v>3510 x 1740 x 2550</v>
      </c>
      <c r="G75" s="1027"/>
    </row>
    <row r="76" ht="14.25" customHeight="1">
      <c r="A76" s="1029" t="str">
        <f>VLOOKUP(B76,'Danh mục'!$O:$P,2,0)</f>
        <v>#N/A</v>
      </c>
      <c r="B76" s="901">
        <v>5425.0</v>
      </c>
      <c r="C76" s="13">
        <v>3840.0</v>
      </c>
      <c r="D76" s="13">
        <v>1740.0</v>
      </c>
      <c r="E76" s="13">
        <v>2650.0</v>
      </c>
      <c r="F76" s="13" t="str">
        <f t="shared" si="1"/>
        <v>3840 x 1740 x 2650</v>
      </c>
      <c r="G76" s="1027"/>
    </row>
    <row r="77" ht="14.25" customHeight="1">
      <c r="A77" s="1029" t="str">
        <f>VLOOKUP(B77,'Danh mục'!$O:$P,2,0)</f>
        <v>#N/A</v>
      </c>
      <c r="B77" s="901" t="s">
        <v>1729</v>
      </c>
      <c r="C77" s="13">
        <v>4725.0</v>
      </c>
      <c r="D77" s="13">
        <v>1910.0</v>
      </c>
      <c r="E77" s="13">
        <v>3160.0</v>
      </c>
      <c r="F77" s="13" t="str">
        <f t="shared" si="1"/>
        <v>4725 x 1910 x 3160</v>
      </c>
    </row>
    <row r="78" ht="14.25" customHeight="1">
      <c r="A78" s="1029" t="str">
        <f>VLOOKUP(B78,'Danh mục'!$O:$P,2,0)</f>
        <v>#N/A</v>
      </c>
      <c r="B78" s="895" t="s">
        <v>1737</v>
      </c>
      <c r="C78" s="13">
        <v>5300.0</v>
      </c>
      <c r="D78" s="13">
        <v>2600.0</v>
      </c>
      <c r="E78" s="13">
        <v>3150.0</v>
      </c>
      <c r="F78" s="13" t="str">
        <f t="shared" si="1"/>
        <v>5300 x 2600 x 3150</v>
      </c>
    </row>
    <row r="79" ht="14.25" customHeight="1">
      <c r="A79" s="1029" t="str">
        <f>VLOOKUP(B79,'Danh mục'!$O:$P,2,0)</f>
        <v>#N/A</v>
      </c>
      <c r="B79" s="901">
        <v>6210.0</v>
      </c>
      <c r="C79" s="13">
        <v>4130.0</v>
      </c>
      <c r="D79" s="13">
        <v>2030.0</v>
      </c>
      <c r="E79" s="13">
        <v>2580.0</v>
      </c>
      <c r="F79" s="13" t="str">
        <f t="shared" si="1"/>
        <v>4130 x 2030 x 2580</v>
      </c>
      <c r="G79" s="1027"/>
    </row>
    <row r="80" ht="14.25" customHeight="1">
      <c r="A80" s="1029" t="str">
        <f>VLOOKUP(B80,'Danh mục'!$O:$P,2,0)</f>
        <v>#N/A</v>
      </c>
      <c r="B80" s="901">
        <v>6620.0</v>
      </c>
      <c r="C80" s="13">
        <v>4705.0</v>
      </c>
      <c r="D80" s="13">
        <v>2445.0</v>
      </c>
      <c r="E80" s="13">
        <v>2864.0</v>
      </c>
      <c r="F80" s="13" t="str">
        <f t="shared" si="1"/>
        <v>4705 x 2445 x 2864</v>
      </c>
      <c r="G80" s="1027"/>
    </row>
    <row r="81" ht="14.25" customHeight="1">
      <c r="A81" s="1029" t="str">
        <f>VLOOKUP(B81,'Danh mục'!$O:$P,2,0)</f>
        <v>#N/A</v>
      </c>
      <c r="B81" s="901" t="s">
        <v>1888</v>
      </c>
      <c r="C81" s="13">
        <v>6800.0</v>
      </c>
      <c r="D81" s="13">
        <v>3200.0</v>
      </c>
      <c r="E81" s="13">
        <v>3400.0</v>
      </c>
      <c r="F81" s="13" t="str">
        <f t="shared" si="1"/>
        <v>6800 x 3200 x 3400</v>
      </c>
      <c r="G81" s="1035"/>
    </row>
    <row r="82" ht="14.25" customHeight="1">
      <c r="A82" s="1029" t="str">
        <f>VLOOKUP(B82,'Danh mục'!$O:$P,2,0)</f>
        <v>#N/A</v>
      </c>
      <c r="B82" s="895" t="s">
        <v>1920</v>
      </c>
      <c r="C82" s="13">
        <v>8259.0</v>
      </c>
      <c r="D82" s="13">
        <v>2935.0</v>
      </c>
      <c r="E82" s="13">
        <v>3384.0</v>
      </c>
      <c r="F82" s="13" t="str">
        <f t="shared" si="1"/>
        <v>8259 x 2935 x 3384</v>
      </c>
    </row>
    <row r="83" ht="14.25" customHeight="1">
      <c r="A83" s="1029" t="str">
        <f>VLOOKUP(B83,'Danh mục'!$O:$P,2,0)</f>
        <v>#N/A</v>
      </c>
      <c r="B83" s="901" t="s">
        <v>1923</v>
      </c>
      <c r="C83" s="13">
        <v>8020.0</v>
      </c>
      <c r="D83" s="13">
        <v>2845.0</v>
      </c>
      <c r="E83" s="13">
        <v>3375.0</v>
      </c>
      <c r="F83" s="13" t="str">
        <f t="shared" si="1"/>
        <v>8020 x 2845 x 3375</v>
      </c>
    </row>
    <row r="84" ht="14.25" customHeight="1">
      <c r="A84" s="1029" t="str">
        <f>VLOOKUP(B84,'Danh mục'!$O:$P,2,0)</f>
        <v>#N/A</v>
      </c>
      <c r="B84" s="895" t="s">
        <v>1928</v>
      </c>
      <c r="C84" s="13">
        <v>3830.0</v>
      </c>
      <c r="D84" s="13">
        <v>1810.0</v>
      </c>
      <c r="E84" s="13">
        <v>1920.0</v>
      </c>
      <c r="F84" s="13" t="str">
        <f t="shared" si="1"/>
        <v>3830 x 1810 x 1920</v>
      </c>
      <c r="G84" s="1035"/>
    </row>
    <row r="85" ht="14.25" customHeight="1">
      <c r="A85" s="1029" t="str">
        <f>VLOOKUP(B85,'Danh mục'!$O:$P,2,0)</f>
        <v>#N/A</v>
      </c>
      <c r="B85" s="901" t="s">
        <v>337</v>
      </c>
      <c r="C85" s="13">
        <f t="shared" ref="C85:E85" si="15">C28</f>
        <v>5910</v>
      </c>
      <c r="D85" s="13">
        <f t="shared" si="15"/>
        <v>2310</v>
      </c>
      <c r="E85" s="13">
        <f t="shared" si="15"/>
        <v>2800</v>
      </c>
      <c r="F85" s="13" t="str">
        <f t="shared" si="1"/>
        <v>5910 x 2310 x 2800</v>
      </c>
    </row>
    <row r="86" ht="14.25" customHeight="1">
      <c r="A86" s="1029" t="str">
        <f>VLOOKUP(B86,'Danh mục'!$O:$P,2,0)</f>
        <v>#N/A</v>
      </c>
      <c r="B86" s="901" t="s">
        <v>2172</v>
      </c>
      <c r="C86" s="13">
        <f t="shared" ref="C86:E86" si="16">C31</f>
        <v>6160</v>
      </c>
      <c r="D86" s="13">
        <f t="shared" si="16"/>
        <v>2330</v>
      </c>
      <c r="E86" s="13">
        <f t="shared" si="16"/>
        <v>2750</v>
      </c>
      <c r="F86" s="13" t="str">
        <f t="shared" si="1"/>
        <v>6160 x 2330 x 2750</v>
      </c>
    </row>
    <row r="87" ht="14.25" customHeight="1">
      <c r="A87" s="1029" t="str">
        <f>VLOOKUP(B87,'Danh mục'!$O:$P,2,0)</f>
        <v>#N/A</v>
      </c>
      <c r="B87" s="901" t="s">
        <v>2297</v>
      </c>
      <c r="C87" s="13">
        <v>3300.0</v>
      </c>
      <c r="D87" s="13">
        <v>1300.0</v>
      </c>
      <c r="E87" s="13">
        <v>1600.0</v>
      </c>
      <c r="F87" s="13" t="str">
        <f t="shared" si="1"/>
        <v>3300 x 1300 x 1600</v>
      </c>
      <c r="H87" s="1032"/>
    </row>
    <row r="88" ht="14.25" customHeight="1">
      <c r="A88" s="1029" t="str">
        <f>VLOOKUP(B88,'Danh mục'!$O:$P,2,0)</f>
        <v>#N/A</v>
      </c>
      <c r="B88" s="901" t="s">
        <v>548</v>
      </c>
      <c r="C88" s="13">
        <v>5540.0</v>
      </c>
      <c r="D88" s="13">
        <v>3860.0</v>
      </c>
      <c r="E88" s="13">
        <v>3150.0</v>
      </c>
      <c r="F88" s="13" t="str">
        <f t="shared" si="1"/>
        <v>5540 x 3860 x 3150</v>
      </c>
    </row>
    <row r="89" ht="14.25" customHeight="1">
      <c r="A89" s="1029" t="str">
        <f>VLOOKUP(B89,'Danh mục'!$O:$P,2,0)</f>
        <v>#N/A</v>
      </c>
      <c r="B89" s="901" t="s">
        <v>2327</v>
      </c>
      <c r="C89" s="13">
        <v>6800.0</v>
      </c>
      <c r="D89" s="13">
        <v>3200.0</v>
      </c>
      <c r="E89" s="13">
        <v>3400.0</v>
      </c>
      <c r="F89" s="13" t="str">
        <f t="shared" si="1"/>
        <v>6800 x 3200 x 3400</v>
      </c>
      <c r="G89" s="1035"/>
    </row>
    <row r="90" ht="14.25" customHeight="1">
      <c r="A90" s="1029" t="str">
        <f>VLOOKUP(B90,'Danh mục'!$O:$P,2,0)</f>
        <v>#N/A</v>
      </c>
      <c r="B90" s="895" t="s">
        <v>2361</v>
      </c>
      <c r="C90" s="13">
        <v>9510.0</v>
      </c>
      <c r="D90" s="13">
        <v>2450.0</v>
      </c>
      <c r="E90" s="13">
        <v>2840.0</v>
      </c>
      <c r="F90" s="13" t="str">
        <f t="shared" si="1"/>
        <v>9510 x 2450 x 2840</v>
      </c>
    </row>
    <row r="91" ht="14.25" customHeight="1">
      <c r="A91" s="1029" t="str">
        <f>VLOOKUP(B91,'Danh mục'!$O:$P,2,0)</f>
        <v>#N/A</v>
      </c>
      <c r="B91" s="901" t="s">
        <v>2372</v>
      </c>
      <c r="C91" s="13">
        <f t="shared" ref="C91:E91" si="17">C31</f>
        <v>6160</v>
      </c>
      <c r="D91" s="13">
        <f t="shared" si="17"/>
        <v>2330</v>
      </c>
      <c r="E91" s="13">
        <f t="shared" si="17"/>
        <v>2750</v>
      </c>
      <c r="F91" s="13" t="str">
        <f t="shared" si="1"/>
        <v>6160 x 2330 x 2750</v>
      </c>
    </row>
    <row r="92" ht="14.25" customHeight="1">
      <c r="A92" s="1029" t="str">
        <f>VLOOKUP(B92,'Danh mục'!$O:$P,2,0)</f>
        <v>#N/A</v>
      </c>
      <c r="B92" s="901" t="s">
        <v>2400</v>
      </c>
      <c r="C92" s="13">
        <f t="shared" ref="C92:E92" si="18">C32</f>
        <v>6170</v>
      </c>
      <c r="D92" s="13">
        <f t="shared" si="18"/>
        <v>2330</v>
      </c>
      <c r="E92" s="13">
        <f t="shared" si="18"/>
        <v>2750</v>
      </c>
      <c r="F92" s="13" t="str">
        <f t="shared" si="1"/>
        <v>6170 x 2330 x 2750</v>
      </c>
    </row>
    <row r="93" ht="14.25" customHeight="1">
      <c r="A93" s="1029" t="str">
        <f>VLOOKUP(B93,'Danh mục'!$O:$P,2,0)</f>
        <v>#N/A</v>
      </c>
      <c r="B93" s="895" t="s">
        <v>2440</v>
      </c>
      <c r="C93" s="13">
        <v>8310.0</v>
      </c>
      <c r="D93" s="13">
        <v>2495.0</v>
      </c>
      <c r="E93" s="13">
        <v>3600.0</v>
      </c>
      <c r="F93" s="13" t="str">
        <f t="shared" si="1"/>
        <v>8310 x 2495 x 3600</v>
      </c>
    </row>
    <row r="94" ht="14.25" customHeight="1">
      <c r="A94" s="1029" t="str">
        <f>VLOOKUP(B94,'Danh mục'!$O:$P,2,0)</f>
        <v>#N/A</v>
      </c>
      <c r="B94" s="895" t="s">
        <v>2452</v>
      </c>
      <c r="C94" s="13">
        <v>9830.0</v>
      </c>
      <c r="D94" s="13">
        <v>2530.0</v>
      </c>
      <c r="E94" s="13">
        <v>4000.0</v>
      </c>
      <c r="F94" s="13" t="str">
        <f t="shared" si="1"/>
        <v>9830 x 2530 x 4000</v>
      </c>
    </row>
    <row r="95" ht="14.25" customHeight="1">
      <c r="A95" s="1029" t="str">
        <f>VLOOKUP(B95,'Danh mục'!$O:$P,2,0)</f>
        <v>#N/A</v>
      </c>
      <c r="B95" s="901" t="s">
        <v>2461</v>
      </c>
      <c r="C95" s="13">
        <v>9270.0</v>
      </c>
      <c r="D95" s="13">
        <v>2500.0</v>
      </c>
      <c r="E95" s="13">
        <v>3860.0</v>
      </c>
      <c r="F95" s="13" t="str">
        <f t="shared" si="1"/>
        <v>9270 x 2500 x 3860</v>
      </c>
    </row>
    <row r="96" ht="14.25" customHeight="1">
      <c r="A96" s="1029" t="str">
        <f>VLOOKUP(B96,'Danh mục'!$O:$P,2,0)</f>
        <v>#N/A</v>
      </c>
      <c r="B96" s="901" t="s">
        <v>2487</v>
      </c>
      <c r="C96" s="13">
        <v>6895.0</v>
      </c>
      <c r="D96" s="13">
        <v>2470.0</v>
      </c>
      <c r="E96" s="13">
        <v>3180.0</v>
      </c>
      <c r="F96" s="13" t="str">
        <f t="shared" si="1"/>
        <v>6895 x 2470 x 3180</v>
      </c>
    </row>
    <row r="97" ht="14.25" customHeight="1">
      <c r="A97" s="1029" t="str">
        <f>VLOOKUP(B97,'Danh mục'!$O:$P,2,0)</f>
        <v>#N/A</v>
      </c>
      <c r="B97" s="895" t="s">
        <v>2512</v>
      </c>
      <c r="C97" s="13">
        <v>9120.0</v>
      </c>
      <c r="D97" s="13">
        <v>2450.0</v>
      </c>
      <c r="E97" s="13">
        <v>3160.0</v>
      </c>
      <c r="F97" s="13" t="str">
        <f t="shared" si="1"/>
        <v>9120 x 2450 x 3160</v>
      </c>
    </row>
    <row r="98" ht="14.25" customHeight="1">
      <c r="A98" s="1029" t="str">
        <f>VLOOKUP(B98,'Danh mục'!$O:$P,2,0)</f>
        <v>#N/A</v>
      </c>
      <c r="B98" s="901" t="s">
        <v>2569</v>
      </c>
      <c r="C98" s="13">
        <v>13530.0</v>
      </c>
      <c r="D98" s="13">
        <v>2600.0</v>
      </c>
      <c r="E98" s="13">
        <v>3700.0</v>
      </c>
      <c r="F98" s="13" t="str">
        <f t="shared" si="1"/>
        <v>13530 x 2600 x 3700</v>
      </c>
    </row>
    <row r="99" ht="14.25" customHeight="1">
      <c r="A99" s="1029" t="str">
        <f>VLOOKUP(B99,'Danh mục'!$O:$P,2,0)</f>
        <v>#N/A</v>
      </c>
      <c r="B99" s="895" t="s">
        <v>2596</v>
      </c>
      <c r="C99" s="13">
        <v>12160.0</v>
      </c>
      <c r="D99" s="13">
        <v>2500.0</v>
      </c>
      <c r="E99" s="13">
        <v>3950.0</v>
      </c>
      <c r="F99" s="13" t="str">
        <f t="shared" si="1"/>
        <v>12160 x 2500 x 3950</v>
      </c>
    </row>
    <row r="100" ht="14.25" customHeight="1">
      <c r="A100" s="1029" t="str">
        <f>VLOOKUP(B100,'Danh mục'!$O:$P,2,0)</f>
        <v>#N/A</v>
      </c>
      <c r="B100" s="895" t="s">
        <v>1195</v>
      </c>
      <c r="C100" s="13">
        <f t="shared" ref="C100:E100" si="19">C32</f>
        <v>6170</v>
      </c>
      <c r="D100" s="13">
        <f t="shared" si="19"/>
        <v>2330</v>
      </c>
      <c r="E100" s="13">
        <f t="shared" si="19"/>
        <v>2750</v>
      </c>
      <c r="F100" s="13" t="str">
        <f t="shared" si="1"/>
        <v>6170 x 2330 x 2750</v>
      </c>
    </row>
    <row r="101" ht="14.25" customHeight="1">
      <c r="A101" s="1029" t="str">
        <f>VLOOKUP(B101,'Danh mục'!$O:$P,2,0)</f>
        <v>#N/A</v>
      </c>
      <c r="B101" s="901" t="s">
        <v>2762</v>
      </c>
      <c r="C101" s="13">
        <f t="shared" ref="C101:E101" si="20">C65</f>
        <v>4730</v>
      </c>
      <c r="D101" s="13">
        <f t="shared" si="20"/>
        <v>1750</v>
      </c>
      <c r="E101" s="13">
        <f t="shared" si="20"/>
        <v>2100</v>
      </c>
      <c r="F101" s="13" t="str">
        <f t="shared" si="1"/>
        <v>4730 x 1750 x 2100</v>
      </c>
    </row>
    <row r="102" ht="14.25" customHeight="1">
      <c r="A102" s="1029" t="str">
        <f>VLOOKUP(B102,'Danh mục'!$O:$P,2,0)</f>
        <v>#N/A</v>
      </c>
      <c r="B102" s="895" t="s">
        <v>2778</v>
      </c>
      <c r="C102" s="13">
        <v>4730.0</v>
      </c>
      <c r="D102" s="13">
        <v>1750.0</v>
      </c>
      <c r="E102" s="13">
        <v>2100.0</v>
      </c>
      <c r="F102" s="13" t="str">
        <f t="shared" si="1"/>
        <v>4730 x 1750 x 2100</v>
      </c>
    </row>
    <row r="103" ht="14.25" customHeight="1">
      <c r="C103" s="13"/>
      <c r="D103" s="13"/>
      <c r="E103" s="13"/>
      <c r="F103" s="13"/>
      <c r="G103" s="1027"/>
    </row>
    <row r="104" ht="14.25" customHeight="1">
      <c r="C104" s="13"/>
      <c r="D104" s="13"/>
      <c r="E104" s="13"/>
      <c r="F104" s="13"/>
      <c r="G104" s="1027"/>
    </row>
    <row r="105" ht="14.25" customHeight="1">
      <c r="C105" s="13"/>
      <c r="D105" s="13"/>
      <c r="E105" s="13"/>
      <c r="F105" s="13"/>
      <c r="G105" s="1027"/>
    </row>
    <row r="106" ht="14.25" customHeight="1">
      <c r="C106" s="13"/>
      <c r="D106" s="13"/>
      <c r="E106" s="13"/>
      <c r="F106" s="13"/>
      <c r="G106" s="1027"/>
    </row>
    <row r="107" ht="14.25" customHeight="1">
      <c r="C107" s="13"/>
      <c r="D107" s="13"/>
      <c r="E107" s="13"/>
      <c r="F107" s="13"/>
      <c r="G107" s="1027"/>
    </row>
    <row r="108" ht="14.25" customHeight="1">
      <c r="C108" s="13"/>
      <c r="D108" s="13"/>
      <c r="E108" s="13"/>
      <c r="F108" s="13"/>
      <c r="G108" s="1027"/>
    </row>
    <row r="109" ht="14.25" customHeight="1">
      <c r="C109" s="13"/>
      <c r="D109" s="13"/>
      <c r="E109" s="13"/>
      <c r="F109" s="13"/>
      <c r="G109" s="1027"/>
    </row>
    <row r="110" ht="14.25" customHeight="1">
      <c r="C110" s="13"/>
      <c r="D110" s="13"/>
      <c r="E110" s="13"/>
      <c r="F110" s="13"/>
      <c r="G110" s="1027"/>
    </row>
    <row r="111" ht="14.25" customHeight="1">
      <c r="C111" s="13"/>
      <c r="D111" s="13"/>
      <c r="E111" s="13"/>
      <c r="F111" s="13"/>
      <c r="G111" s="1027"/>
    </row>
    <row r="112" ht="14.25" customHeight="1">
      <c r="C112" s="13"/>
      <c r="D112" s="13"/>
      <c r="E112" s="13"/>
      <c r="F112" s="13"/>
      <c r="G112" s="1027"/>
    </row>
    <row r="113" ht="14.25" customHeight="1">
      <c r="C113" s="13"/>
      <c r="D113" s="13"/>
      <c r="E113" s="13"/>
      <c r="F113" s="13"/>
      <c r="G113" s="1027"/>
    </row>
    <row r="114" ht="14.25" customHeight="1">
      <c r="C114" s="13"/>
      <c r="D114" s="13"/>
      <c r="E114" s="13"/>
      <c r="F114" s="13"/>
      <c r="G114" s="1027"/>
    </row>
    <row r="115" ht="14.25" customHeight="1">
      <c r="C115" s="13"/>
      <c r="D115" s="13"/>
      <c r="E115" s="13"/>
      <c r="F115" s="13"/>
      <c r="G115" s="1027"/>
    </row>
    <row r="116" ht="14.25" customHeight="1">
      <c r="C116" s="13"/>
      <c r="D116" s="13"/>
      <c r="E116" s="13"/>
      <c r="F116" s="13"/>
      <c r="G116" s="1027"/>
    </row>
    <row r="117" ht="14.25" customHeight="1">
      <c r="C117" s="13"/>
      <c r="D117" s="13"/>
      <c r="E117" s="13"/>
      <c r="F117" s="13"/>
      <c r="G117" s="1027"/>
    </row>
    <row r="118" ht="14.25" customHeight="1">
      <c r="C118" s="13"/>
      <c r="D118" s="13"/>
      <c r="E118" s="13"/>
      <c r="F118" s="13"/>
      <c r="G118" s="1027"/>
    </row>
    <row r="119" ht="14.25" customHeight="1">
      <c r="C119" s="13"/>
      <c r="D119" s="13"/>
      <c r="E119" s="13"/>
      <c r="F119" s="13"/>
      <c r="G119" s="1027"/>
    </row>
    <row r="120" ht="14.25" customHeight="1">
      <c r="C120" s="13"/>
      <c r="D120" s="13"/>
      <c r="E120" s="13"/>
      <c r="F120" s="13"/>
      <c r="G120" s="1027"/>
    </row>
    <row r="121" ht="14.25" customHeight="1">
      <c r="C121" s="13"/>
      <c r="D121" s="13"/>
      <c r="E121" s="13"/>
      <c r="F121" s="13"/>
      <c r="G121" s="1027"/>
    </row>
    <row r="122" ht="14.25" customHeight="1">
      <c r="C122" s="13"/>
      <c r="D122" s="13"/>
      <c r="E122" s="13"/>
      <c r="F122" s="13"/>
      <c r="G122" s="1027"/>
    </row>
    <row r="123" ht="14.25" customHeight="1">
      <c r="C123" s="13"/>
      <c r="D123" s="13"/>
      <c r="E123" s="13"/>
      <c r="F123" s="13"/>
      <c r="G123" s="1027"/>
    </row>
    <row r="124" ht="14.25" customHeight="1">
      <c r="C124" s="13"/>
      <c r="D124" s="13"/>
      <c r="E124" s="13"/>
      <c r="F124" s="13"/>
      <c r="G124" s="1027"/>
    </row>
    <row r="125" ht="14.25" customHeight="1">
      <c r="C125" s="13"/>
      <c r="D125" s="13"/>
      <c r="E125" s="13"/>
      <c r="F125" s="13"/>
      <c r="G125" s="1027"/>
    </row>
    <row r="126" ht="14.25" customHeight="1">
      <c r="C126" s="13"/>
      <c r="D126" s="13"/>
      <c r="E126" s="13"/>
      <c r="F126" s="13"/>
      <c r="G126" s="1027"/>
    </row>
    <row r="127" ht="14.25" customHeight="1">
      <c r="C127" s="13"/>
      <c r="D127" s="13"/>
      <c r="E127" s="13"/>
      <c r="F127" s="13"/>
      <c r="G127" s="1027"/>
    </row>
    <row r="128" ht="14.25" customHeight="1">
      <c r="C128" s="13"/>
      <c r="D128" s="13"/>
      <c r="E128" s="13"/>
      <c r="F128" s="13"/>
      <c r="G128" s="1027"/>
    </row>
    <row r="129" ht="14.25" customHeight="1">
      <c r="C129" s="13"/>
      <c r="D129" s="13"/>
      <c r="E129" s="13"/>
      <c r="F129" s="13"/>
      <c r="G129" s="1027"/>
    </row>
    <row r="130" ht="14.25" customHeight="1">
      <c r="C130" s="13"/>
      <c r="D130" s="13"/>
      <c r="E130" s="13"/>
      <c r="F130" s="13"/>
      <c r="G130" s="1027"/>
    </row>
    <row r="131" ht="14.25" customHeight="1">
      <c r="C131" s="13"/>
      <c r="D131" s="13"/>
      <c r="E131" s="13"/>
      <c r="F131" s="13"/>
      <c r="G131" s="1027"/>
    </row>
    <row r="132" ht="14.25" customHeight="1">
      <c r="C132" s="13"/>
      <c r="D132" s="13"/>
      <c r="E132" s="13"/>
      <c r="F132" s="13"/>
      <c r="G132" s="1027"/>
    </row>
    <row r="133" ht="14.25" customHeight="1">
      <c r="C133" s="13"/>
      <c r="D133" s="13"/>
      <c r="E133" s="13"/>
      <c r="F133" s="13"/>
      <c r="G133" s="1027"/>
    </row>
    <row r="134" ht="14.25" customHeight="1">
      <c r="C134" s="13"/>
      <c r="D134" s="13"/>
      <c r="E134" s="13"/>
      <c r="F134" s="13"/>
      <c r="G134" s="1027"/>
    </row>
    <row r="135" ht="14.25" customHeight="1">
      <c r="C135" s="13"/>
      <c r="D135" s="13"/>
      <c r="E135" s="13"/>
      <c r="F135" s="13"/>
      <c r="G135" s="1027"/>
    </row>
    <row r="136" ht="14.25" customHeight="1">
      <c r="C136" s="13"/>
      <c r="D136" s="13"/>
      <c r="E136" s="13"/>
      <c r="F136" s="13"/>
      <c r="G136" s="1027"/>
    </row>
    <row r="137" ht="14.25" customHeight="1">
      <c r="C137" s="13"/>
      <c r="D137" s="13"/>
      <c r="E137" s="13"/>
      <c r="F137" s="13"/>
      <c r="G137" s="1027"/>
    </row>
    <row r="138" ht="14.25" customHeight="1">
      <c r="C138" s="13"/>
      <c r="D138" s="13"/>
      <c r="E138" s="13"/>
      <c r="F138" s="13"/>
      <c r="G138" s="1027"/>
    </row>
    <row r="139" ht="14.25" customHeight="1">
      <c r="C139" s="13"/>
      <c r="D139" s="13"/>
      <c r="E139" s="13"/>
      <c r="F139" s="13"/>
      <c r="G139" s="1027"/>
    </row>
    <row r="140" ht="14.25" customHeight="1">
      <c r="C140" s="13"/>
      <c r="D140" s="13"/>
      <c r="E140" s="13"/>
      <c r="F140" s="13"/>
      <c r="G140" s="1027"/>
    </row>
    <row r="141" ht="14.25" customHeight="1">
      <c r="C141" s="13"/>
      <c r="D141" s="13"/>
      <c r="E141" s="13"/>
      <c r="F141" s="13"/>
      <c r="G141" s="1027"/>
    </row>
    <row r="142" ht="14.25" customHeight="1">
      <c r="C142" s="13"/>
      <c r="D142" s="13"/>
      <c r="E142" s="13"/>
      <c r="F142" s="13"/>
      <c r="G142" s="1027"/>
    </row>
    <row r="143" ht="14.25" customHeight="1">
      <c r="C143" s="13"/>
      <c r="D143" s="13"/>
      <c r="E143" s="13"/>
      <c r="F143" s="13"/>
      <c r="G143" s="1027"/>
    </row>
    <row r="144" ht="14.25" customHeight="1">
      <c r="C144" s="13"/>
      <c r="D144" s="13"/>
      <c r="E144" s="13"/>
      <c r="F144" s="13"/>
      <c r="G144" s="1027"/>
    </row>
    <row r="145" ht="14.25" customHeight="1">
      <c r="C145" s="13"/>
      <c r="D145" s="13"/>
      <c r="E145" s="13"/>
      <c r="F145" s="13"/>
      <c r="G145" s="1027"/>
    </row>
    <row r="146" ht="14.25" customHeight="1">
      <c r="C146" s="13"/>
      <c r="D146" s="13"/>
      <c r="E146" s="13"/>
      <c r="F146" s="13"/>
      <c r="G146" s="1027"/>
    </row>
    <row r="147" ht="14.25" customHeight="1">
      <c r="C147" s="13"/>
      <c r="D147" s="13"/>
      <c r="E147" s="13"/>
      <c r="F147" s="13"/>
      <c r="G147" s="1027"/>
    </row>
    <row r="148" ht="14.25" customHeight="1">
      <c r="C148" s="13"/>
      <c r="D148" s="13"/>
      <c r="E148" s="13"/>
      <c r="F148" s="13"/>
      <c r="G148" s="1027"/>
    </row>
    <row r="149" ht="14.25" customHeight="1">
      <c r="C149" s="13"/>
      <c r="D149" s="13"/>
      <c r="E149" s="13"/>
      <c r="F149" s="13"/>
      <c r="G149" s="1027"/>
    </row>
    <row r="150" ht="14.25" customHeight="1">
      <c r="C150" s="13"/>
      <c r="D150" s="13"/>
      <c r="E150" s="13"/>
      <c r="F150" s="13"/>
      <c r="G150" s="1027"/>
    </row>
    <row r="151" ht="14.25" customHeight="1">
      <c r="C151" s="13"/>
      <c r="D151" s="13"/>
      <c r="E151" s="13"/>
      <c r="F151" s="13"/>
      <c r="G151" s="1027"/>
    </row>
    <row r="152" ht="14.25" customHeight="1">
      <c r="C152" s="13"/>
      <c r="D152" s="13"/>
      <c r="E152" s="13"/>
      <c r="F152" s="13"/>
      <c r="G152" s="1027"/>
    </row>
    <row r="153" ht="14.25" customHeight="1">
      <c r="C153" s="13"/>
      <c r="D153" s="13"/>
      <c r="E153" s="13"/>
      <c r="F153" s="13"/>
      <c r="G153" s="1027"/>
    </row>
    <row r="154" ht="14.25" customHeight="1">
      <c r="C154" s="13"/>
      <c r="D154" s="13"/>
      <c r="E154" s="13"/>
      <c r="F154" s="13"/>
      <c r="G154" s="1027"/>
    </row>
    <row r="155" ht="14.25" customHeight="1">
      <c r="C155" s="13"/>
      <c r="D155" s="13"/>
      <c r="E155" s="13"/>
      <c r="F155" s="13"/>
      <c r="G155" s="1027"/>
    </row>
    <row r="156" ht="14.25" customHeight="1">
      <c r="C156" s="13"/>
      <c r="D156" s="13"/>
      <c r="E156" s="13"/>
      <c r="F156" s="13"/>
      <c r="G156" s="1027"/>
    </row>
    <row r="157" ht="14.25" customHeight="1">
      <c r="C157" s="13"/>
      <c r="D157" s="13"/>
      <c r="E157" s="13"/>
      <c r="F157" s="13"/>
      <c r="G157" s="1027"/>
    </row>
    <row r="158" ht="14.25" customHeight="1">
      <c r="C158" s="13"/>
      <c r="D158" s="13"/>
      <c r="E158" s="13"/>
      <c r="F158" s="13"/>
      <c r="G158" s="1027"/>
    </row>
    <row r="159" ht="14.25" customHeight="1">
      <c r="C159" s="13"/>
      <c r="D159" s="13"/>
      <c r="E159" s="13"/>
      <c r="F159" s="13"/>
      <c r="G159" s="1027"/>
    </row>
    <row r="160" ht="14.25" customHeight="1">
      <c r="C160" s="13"/>
      <c r="D160" s="13"/>
      <c r="E160" s="13"/>
      <c r="F160" s="13"/>
      <c r="G160" s="1027"/>
    </row>
    <row r="161" ht="14.25" customHeight="1">
      <c r="C161" s="13"/>
      <c r="D161" s="13"/>
      <c r="E161" s="13"/>
      <c r="F161" s="13"/>
      <c r="G161" s="1027"/>
    </row>
    <row r="162" ht="14.25" customHeight="1">
      <c r="C162" s="13"/>
      <c r="D162" s="13"/>
      <c r="E162" s="13"/>
      <c r="F162" s="13"/>
      <c r="G162" s="1027"/>
    </row>
    <row r="163" ht="14.25" customHeight="1">
      <c r="C163" s="13"/>
      <c r="D163" s="13"/>
      <c r="E163" s="13"/>
      <c r="F163" s="13"/>
      <c r="G163" s="1027"/>
    </row>
    <row r="164" ht="14.25" customHeight="1">
      <c r="C164" s="13"/>
      <c r="D164" s="13"/>
      <c r="E164" s="13"/>
      <c r="F164" s="13"/>
      <c r="G164" s="1027"/>
    </row>
    <row r="165" ht="14.25" customHeight="1">
      <c r="C165" s="13"/>
      <c r="D165" s="13"/>
      <c r="E165" s="13"/>
      <c r="F165" s="13"/>
      <c r="G165" s="1027"/>
    </row>
    <row r="166" ht="14.25" customHeight="1">
      <c r="C166" s="13"/>
      <c r="D166" s="13"/>
      <c r="E166" s="13"/>
      <c r="F166" s="13"/>
      <c r="G166" s="1027"/>
    </row>
    <row r="167" ht="14.25" customHeight="1">
      <c r="C167" s="13"/>
      <c r="D167" s="13"/>
      <c r="E167" s="13"/>
      <c r="F167" s="13"/>
      <c r="G167" s="1027"/>
    </row>
    <row r="168" ht="14.25" customHeight="1">
      <c r="C168" s="13"/>
      <c r="D168" s="13"/>
      <c r="E168" s="13"/>
      <c r="F168" s="13"/>
      <c r="G168" s="1027"/>
    </row>
    <row r="169" ht="14.25" customHeight="1">
      <c r="C169" s="13"/>
      <c r="D169" s="13"/>
      <c r="E169" s="13"/>
      <c r="F169" s="13"/>
      <c r="G169" s="1027"/>
    </row>
    <row r="170" ht="14.25" customHeight="1">
      <c r="C170" s="13"/>
      <c r="D170" s="13"/>
      <c r="E170" s="13"/>
      <c r="F170" s="13"/>
      <c r="G170" s="1027"/>
    </row>
    <row r="171" ht="14.25" customHeight="1">
      <c r="C171" s="13"/>
      <c r="D171" s="13"/>
      <c r="E171" s="13"/>
      <c r="F171" s="13"/>
      <c r="G171" s="1027"/>
    </row>
    <row r="172" ht="14.25" customHeight="1">
      <c r="C172" s="13"/>
      <c r="D172" s="13"/>
      <c r="E172" s="13"/>
      <c r="F172" s="13"/>
      <c r="G172" s="1027"/>
    </row>
    <row r="173" ht="14.25" customHeight="1">
      <c r="C173" s="13"/>
      <c r="D173" s="13"/>
      <c r="E173" s="13"/>
      <c r="F173" s="13"/>
      <c r="G173" s="1027"/>
    </row>
    <row r="174" ht="14.25" customHeight="1">
      <c r="C174" s="13"/>
      <c r="D174" s="13"/>
      <c r="E174" s="13"/>
      <c r="F174" s="13"/>
      <c r="G174" s="1027"/>
    </row>
    <row r="175" ht="14.25" customHeight="1">
      <c r="C175" s="13"/>
      <c r="D175" s="13"/>
      <c r="E175" s="13"/>
      <c r="F175" s="13"/>
      <c r="G175" s="1027"/>
    </row>
    <row r="176" ht="14.25" customHeight="1">
      <c r="C176" s="13"/>
      <c r="D176" s="13"/>
      <c r="E176" s="13"/>
      <c r="F176" s="13"/>
      <c r="G176" s="1027"/>
    </row>
    <row r="177" ht="14.25" customHeight="1">
      <c r="C177" s="13"/>
      <c r="D177" s="13"/>
      <c r="E177" s="13"/>
      <c r="F177" s="13"/>
      <c r="G177" s="1027"/>
    </row>
    <row r="178" ht="14.25" customHeight="1">
      <c r="C178" s="13"/>
      <c r="D178" s="13"/>
      <c r="E178" s="13"/>
      <c r="F178" s="13"/>
      <c r="G178" s="1027"/>
    </row>
    <row r="179" ht="14.25" customHeight="1">
      <c r="C179" s="13"/>
      <c r="D179" s="13"/>
      <c r="E179" s="13"/>
      <c r="F179" s="13"/>
      <c r="G179" s="1027"/>
    </row>
    <row r="180" ht="14.25" customHeight="1">
      <c r="C180" s="13"/>
      <c r="D180" s="13"/>
      <c r="E180" s="13"/>
      <c r="F180" s="13"/>
      <c r="G180" s="1027"/>
    </row>
    <row r="181" ht="14.25" customHeight="1">
      <c r="C181" s="13"/>
      <c r="D181" s="13"/>
      <c r="E181" s="13"/>
      <c r="F181" s="13"/>
      <c r="G181" s="1027"/>
    </row>
    <row r="182" ht="14.25" customHeight="1">
      <c r="C182" s="13"/>
      <c r="D182" s="13"/>
      <c r="E182" s="13"/>
      <c r="F182" s="13"/>
      <c r="G182" s="1027"/>
    </row>
    <row r="183" ht="14.25" customHeight="1">
      <c r="C183" s="13"/>
      <c r="D183" s="13"/>
      <c r="E183" s="13"/>
      <c r="F183" s="13"/>
      <c r="G183" s="1027"/>
    </row>
    <row r="184" ht="14.25" customHeight="1">
      <c r="C184" s="13"/>
      <c r="D184" s="13"/>
      <c r="E184" s="13"/>
      <c r="F184" s="13"/>
      <c r="G184" s="1027"/>
    </row>
    <row r="185" ht="14.25" customHeight="1">
      <c r="C185" s="13"/>
      <c r="D185" s="13"/>
      <c r="E185" s="13"/>
      <c r="F185" s="13"/>
      <c r="G185" s="1027"/>
    </row>
    <row r="186" ht="14.25" customHeight="1">
      <c r="C186" s="13"/>
      <c r="D186" s="13"/>
      <c r="E186" s="13"/>
      <c r="F186" s="13"/>
      <c r="G186" s="1027"/>
    </row>
    <row r="187" ht="14.25" customHeight="1">
      <c r="C187" s="13"/>
      <c r="D187" s="13"/>
      <c r="E187" s="13"/>
      <c r="F187" s="13"/>
      <c r="G187" s="1027"/>
    </row>
    <row r="188" ht="14.25" customHeight="1">
      <c r="C188" s="13"/>
      <c r="D188" s="13"/>
      <c r="E188" s="13"/>
      <c r="F188" s="13"/>
      <c r="G188" s="1027"/>
    </row>
    <row r="189" ht="14.25" customHeight="1">
      <c r="C189" s="13"/>
      <c r="D189" s="13"/>
      <c r="E189" s="13"/>
      <c r="F189" s="13"/>
      <c r="G189" s="1027"/>
    </row>
    <row r="190" ht="14.25" customHeight="1">
      <c r="C190" s="13"/>
      <c r="D190" s="13"/>
      <c r="E190" s="13"/>
      <c r="F190" s="13"/>
      <c r="G190" s="1027"/>
    </row>
    <row r="191" ht="14.25" customHeight="1">
      <c r="C191" s="13"/>
      <c r="D191" s="13"/>
      <c r="E191" s="13"/>
      <c r="F191" s="13"/>
      <c r="G191" s="1027"/>
    </row>
    <row r="192" ht="14.25" customHeight="1">
      <c r="C192" s="13"/>
      <c r="D192" s="13"/>
      <c r="E192" s="13"/>
      <c r="F192" s="13"/>
      <c r="G192" s="1027"/>
    </row>
    <row r="193" ht="14.25" customHeight="1">
      <c r="C193" s="13"/>
      <c r="D193" s="13"/>
      <c r="E193" s="13"/>
      <c r="F193" s="13"/>
      <c r="G193" s="1027"/>
    </row>
    <row r="194" ht="14.25" customHeight="1">
      <c r="C194" s="13"/>
      <c r="D194" s="13"/>
      <c r="E194" s="13"/>
      <c r="F194" s="13"/>
      <c r="G194" s="1027"/>
    </row>
    <row r="195" ht="14.25" customHeight="1">
      <c r="C195" s="13"/>
      <c r="D195" s="13"/>
      <c r="E195" s="13"/>
      <c r="F195" s="13"/>
      <c r="G195" s="1027"/>
    </row>
    <row r="196" ht="14.25" customHeight="1">
      <c r="C196" s="13"/>
      <c r="D196" s="13"/>
      <c r="E196" s="13"/>
      <c r="F196" s="13"/>
      <c r="G196" s="1027"/>
    </row>
    <row r="197" ht="14.25" customHeight="1">
      <c r="C197" s="13"/>
      <c r="D197" s="13"/>
      <c r="E197" s="13"/>
      <c r="F197" s="13"/>
      <c r="G197" s="1027"/>
    </row>
    <row r="198" ht="14.25" customHeight="1">
      <c r="C198" s="13"/>
      <c r="D198" s="13"/>
      <c r="E198" s="13"/>
      <c r="F198" s="13"/>
      <c r="G198" s="1027"/>
    </row>
    <row r="199" ht="14.25" customHeight="1">
      <c r="C199" s="13"/>
      <c r="D199" s="13"/>
      <c r="E199" s="13"/>
      <c r="F199" s="13"/>
      <c r="G199" s="1027"/>
    </row>
    <row r="200" ht="14.25" customHeight="1">
      <c r="C200" s="13"/>
      <c r="D200" s="13"/>
      <c r="E200" s="13"/>
      <c r="F200" s="13"/>
      <c r="G200" s="1027"/>
    </row>
    <row r="201" ht="14.25" customHeight="1">
      <c r="C201" s="13"/>
      <c r="D201" s="13"/>
      <c r="E201" s="13"/>
      <c r="F201" s="13"/>
      <c r="G201" s="1027"/>
    </row>
    <row r="202" ht="14.25" customHeight="1">
      <c r="C202" s="13"/>
      <c r="D202" s="13"/>
      <c r="E202" s="13"/>
      <c r="F202" s="13"/>
      <c r="G202" s="1027"/>
    </row>
    <row r="203" ht="14.25" customHeight="1">
      <c r="C203" s="13"/>
      <c r="D203" s="13"/>
      <c r="E203" s="13"/>
      <c r="F203" s="13"/>
      <c r="G203" s="1027"/>
    </row>
    <row r="204" ht="14.25" customHeight="1">
      <c r="C204" s="13"/>
      <c r="D204" s="13"/>
      <c r="E204" s="13"/>
      <c r="F204" s="13"/>
      <c r="G204" s="1027"/>
    </row>
    <row r="205" ht="14.25" customHeight="1">
      <c r="C205" s="13"/>
      <c r="D205" s="13"/>
      <c r="E205" s="13"/>
      <c r="F205" s="13"/>
      <c r="G205" s="1027"/>
    </row>
    <row r="206" ht="14.25" customHeight="1">
      <c r="C206" s="13"/>
      <c r="D206" s="13"/>
      <c r="E206" s="13"/>
      <c r="F206" s="13"/>
      <c r="G206" s="1027"/>
    </row>
    <row r="207" ht="14.25" customHeight="1">
      <c r="C207" s="13"/>
      <c r="D207" s="13"/>
      <c r="E207" s="13"/>
      <c r="F207" s="13"/>
      <c r="G207" s="1027"/>
    </row>
    <row r="208" ht="14.25" customHeight="1">
      <c r="C208" s="13"/>
      <c r="D208" s="13"/>
      <c r="E208" s="13"/>
      <c r="F208" s="13"/>
      <c r="G208" s="1027"/>
    </row>
    <row r="209" ht="14.25" customHeight="1">
      <c r="C209" s="13"/>
      <c r="D209" s="13"/>
      <c r="E209" s="13"/>
      <c r="F209" s="13"/>
      <c r="G209" s="1027"/>
    </row>
    <row r="210" ht="14.25" customHeight="1">
      <c r="C210" s="13"/>
      <c r="D210" s="13"/>
      <c r="E210" s="13"/>
      <c r="F210" s="13"/>
      <c r="G210" s="1027"/>
    </row>
    <row r="211" ht="14.25" customHeight="1">
      <c r="C211" s="13"/>
      <c r="D211" s="13"/>
      <c r="E211" s="13"/>
      <c r="F211" s="13"/>
      <c r="G211" s="1027"/>
    </row>
    <row r="212" ht="14.25" customHeight="1">
      <c r="C212" s="13"/>
      <c r="D212" s="13"/>
      <c r="E212" s="13"/>
      <c r="F212" s="13"/>
      <c r="G212" s="1027"/>
    </row>
    <row r="213" ht="14.25" customHeight="1">
      <c r="C213" s="13"/>
      <c r="D213" s="13"/>
      <c r="E213" s="13"/>
      <c r="F213" s="13"/>
      <c r="G213" s="1027"/>
    </row>
    <row r="214" ht="14.25" customHeight="1">
      <c r="C214" s="13"/>
      <c r="D214" s="13"/>
      <c r="E214" s="13"/>
      <c r="F214" s="13"/>
      <c r="G214" s="1027"/>
    </row>
    <row r="215" ht="14.25" customHeight="1">
      <c r="C215" s="13"/>
      <c r="D215" s="13"/>
      <c r="E215" s="13"/>
      <c r="F215" s="13"/>
      <c r="G215" s="1027"/>
    </row>
    <row r="216" ht="14.25" customHeight="1">
      <c r="C216" s="13"/>
      <c r="D216" s="13"/>
      <c r="E216" s="13"/>
      <c r="F216" s="13"/>
      <c r="G216" s="1027"/>
    </row>
    <row r="217" ht="14.25" customHeight="1">
      <c r="C217" s="13"/>
      <c r="D217" s="13"/>
      <c r="E217" s="13"/>
      <c r="F217" s="13"/>
      <c r="G217" s="1027"/>
    </row>
    <row r="218" ht="14.25" customHeight="1">
      <c r="C218" s="13"/>
      <c r="D218" s="13"/>
      <c r="E218" s="13"/>
      <c r="F218" s="13"/>
      <c r="G218" s="1027"/>
    </row>
    <row r="219" ht="14.25" customHeight="1">
      <c r="C219" s="13"/>
      <c r="D219" s="13"/>
      <c r="E219" s="13"/>
      <c r="F219" s="13"/>
      <c r="G219" s="1027"/>
    </row>
    <row r="220" ht="14.25" customHeight="1">
      <c r="C220" s="13"/>
      <c r="D220" s="13"/>
      <c r="E220" s="13"/>
      <c r="F220" s="13"/>
      <c r="G220" s="1027"/>
    </row>
    <row r="221" ht="14.25" customHeight="1">
      <c r="C221" s="13"/>
      <c r="D221" s="13"/>
      <c r="E221" s="13"/>
      <c r="F221" s="13"/>
      <c r="G221" s="1027"/>
    </row>
    <row r="222" ht="14.25" customHeight="1">
      <c r="C222" s="13"/>
      <c r="D222" s="13"/>
      <c r="E222" s="13"/>
      <c r="F222" s="13"/>
      <c r="G222" s="1027"/>
    </row>
    <row r="223" ht="14.25" customHeight="1">
      <c r="C223" s="13"/>
      <c r="D223" s="13"/>
      <c r="E223" s="13"/>
      <c r="F223" s="13"/>
      <c r="G223" s="1027"/>
    </row>
    <row r="224" ht="14.25" customHeight="1">
      <c r="C224" s="13"/>
      <c r="D224" s="13"/>
      <c r="E224" s="13"/>
      <c r="F224" s="13"/>
      <c r="G224" s="1027"/>
    </row>
    <row r="225" ht="14.25" customHeight="1">
      <c r="C225" s="13"/>
      <c r="D225" s="13"/>
      <c r="E225" s="13"/>
      <c r="F225" s="13"/>
      <c r="G225" s="1027"/>
    </row>
    <row r="226" ht="14.25" customHeight="1">
      <c r="C226" s="13"/>
      <c r="D226" s="13"/>
      <c r="E226" s="13"/>
      <c r="F226" s="13"/>
      <c r="G226" s="1027"/>
    </row>
    <row r="227" ht="14.25" customHeight="1">
      <c r="C227" s="13"/>
      <c r="D227" s="13"/>
      <c r="E227" s="13"/>
      <c r="F227" s="13"/>
      <c r="G227" s="1027"/>
    </row>
    <row r="228" ht="14.25" customHeight="1">
      <c r="C228" s="13"/>
      <c r="D228" s="13"/>
      <c r="E228" s="13"/>
      <c r="F228" s="13"/>
      <c r="G228" s="1027"/>
    </row>
    <row r="229" ht="14.25" customHeight="1">
      <c r="C229" s="13"/>
      <c r="D229" s="13"/>
      <c r="E229" s="13"/>
      <c r="F229" s="13"/>
      <c r="G229" s="1027"/>
    </row>
    <row r="230" ht="14.25" customHeight="1">
      <c r="C230" s="13"/>
      <c r="D230" s="13"/>
      <c r="E230" s="13"/>
      <c r="F230" s="13"/>
      <c r="G230" s="1027"/>
    </row>
    <row r="231" ht="14.25" customHeight="1">
      <c r="C231" s="13"/>
      <c r="D231" s="13"/>
      <c r="E231" s="13"/>
      <c r="F231" s="13"/>
      <c r="G231" s="1027"/>
    </row>
    <row r="232" ht="14.25" customHeight="1">
      <c r="C232" s="13"/>
      <c r="D232" s="13"/>
      <c r="E232" s="13"/>
      <c r="F232" s="13"/>
      <c r="G232" s="1027"/>
    </row>
    <row r="233" ht="14.25" customHeight="1">
      <c r="C233" s="13"/>
      <c r="D233" s="13"/>
      <c r="E233" s="13"/>
      <c r="F233" s="13"/>
      <c r="G233" s="1027"/>
    </row>
    <row r="234" ht="14.25" customHeight="1">
      <c r="C234" s="13"/>
      <c r="D234" s="13"/>
      <c r="E234" s="13"/>
      <c r="F234" s="13"/>
      <c r="G234" s="1027"/>
    </row>
    <row r="235" ht="14.25" customHeight="1">
      <c r="C235" s="13"/>
      <c r="D235" s="13"/>
      <c r="E235" s="13"/>
      <c r="F235" s="13"/>
      <c r="G235" s="1027"/>
    </row>
    <row r="236" ht="14.25" customHeight="1">
      <c r="C236" s="13"/>
      <c r="D236" s="13"/>
      <c r="E236" s="13"/>
      <c r="F236" s="13"/>
      <c r="G236" s="1027"/>
    </row>
    <row r="237" ht="14.25" customHeight="1">
      <c r="C237" s="13"/>
      <c r="D237" s="13"/>
      <c r="E237" s="13"/>
      <c r="F237" s="13"/>
      <c r="G237" s="1027"/>
    </row>
    <row r="238" ht="14.25" customHeight="1">
      <c r="C238" s="13"/>
      <c r="D238" s="13"/>
      <c r="E238" s="13"/>
      <c r="F238" s="13"/>
      <c r="G238" s="1027"/>
    </row>
    <row r="239" ht="14.25" customHeight="1">
      <c r="C239" s="13"/>
      <c r="D239" s="13"/>
      <c r="E239" s="13"/>
      <c r="F239" s="13"/>
      <c r="G239" s="1027"/>
    </row>
    <row r="240" ht="14.25" customHeight="1">
      <c r="C240" s="13"/>
      <c r="D240" s="13"/>
      <c r="E240" s="13"/>
      <c r="F240" s="13"/>
      <c r="G240" s="1027"/>
    </row>
    <row r="241" ht="14.25" customHeight="1">
      <c r="C241" s="13"/>
      <c r="D241" s="13"/>
      <c r="E241" s="13"/>
      <c r="F241" s="13"/>
      <c r="G241" s="1027"/>
    </row>
    <row r="242" ht="14.25" customHeight="1">
      <c r="C242" s="13"/>
      <c r="D242" s="13"/>
      <c r="E242" s="13"/>
      <c r="F242" s="13"/>
      <c r="G242" s="1027"/>
    </row>
    <row r="243" ht="14.25" customHeight="1">
      <c r="C243" s="13"/>
      <c r="D243" s="13"/>
      <c r="E243" s="13"/>
      <c r="F243" s="13"/>
      <c r="G243" s="1027"/>
    </row>
    <row r="244" ht="14.25" customHeight="1">
      <c r="C244" s="13"/>
      <c r="D244" s="13"/>
      <c r="E244" s="13"/>
      <c r="F244" s="13"/>
      <c r="G244" s="1027"/>
    </row>
    <row r="245" ht="14.25" customHeight="1">
      <c r="C245" s="13"/>
      <c r="D245" s="13"/>
      <c r="E245" s="13"/>
      <c r="F245" s="13"/>
      <c r="G245" s="1027"/>
    </row>
    <row r="246" ht="14.25" customHeight="1">
      <c r="C246" s="13"/>
      <c r="D246" s="13"/>
      <c r="E246" s="13"/>
      <c r="F246" s="13"/>
      <c r="G246" s="1027"/>
    </row>
    <row r="247" ht="14.25" customHeight="1">
      <c r="C247" s="13"/>
      <c r="D247" s="13"/>
      <c r="E247" s="13"/>
      <c r="F247" s="13"/>
      <c r="G247" s="1027"/>
    </row>
    <row r="248" ht="14.25" customHeight="1">
      <c r="C248" s="13"/>
      <c r="D248" s="13"/>
      <c r="E248" s="13"/>
      <c r="F248" s="13"/>
      <c r="G248" s="1027"/>
    </row>
    <row r="249" ht="14.25" customHeight="1">
      <c r="C249" s="13"/>
      <c r="D249" s="13"/>
      <c r="E249" s="13"/>
      <c r="F249" s="13"/>
      <c r="G249" s="1027"/>
    </row>
    <row r="250" ht="14.25" customHeight="1">
      <c r="C250" s="13"/>
      <c r="D250" s="13"/>
      <c r="E250" s="13"/>
      <c r="F250" s="13"/>
      <c r="G250" s="1027"/>
    </row>
    <row r="251" ht="14.25" customHeight="1">
      <c r="C251" s="13"/>
      <c r="D251" s="13"/>
      <c r="E251" s="13"/>
      <c r="F251" s="13"/>
      <c r="G251" s="1027"/>
    </row>
    <row r="252" ht="14.25" customHeight="1">
      <c r="C252" s="13"/>
      <c r="D252" s="13"/>
      <c r="E252" s="13"/>
      <c r="F252" s="13"/>
      <c r="G252" s="1027"/>
    </row>
    <row r="253" ht="14.25" customHeight="1">
      <c r="C253" s="13"/>
      <c r="D253" s="13"/>
      <c r="E253" s="13"/>
      <c r="F253" s="13"/>
      <c r="G253" s="1027"/>
    </row>
    <row r="254" ht="14.25" customHeight="1">
      <c r="C254" s="13"/>
      <c r="D254" s="13"/>
      <c r="E254" s="13"/>
      <c r="F254" s="13"/>
      <c r="G254" s="1027"/>
    </row>
    <row r="255" ht="14.25" customHeight="1">
      <c r="C255" s="13"/>
      <c r="D255" s="13"/>
      <c r="E255" s="13"/>
      <c r="F255" s="13"/>
      <c r="G255" s="1027"/>
    </row>
    <row r="256" ht="14.25" customHeight="1">
      <c r="C256" s="13"/>
      <c r="D256" s="13"/>
      <c r="E256" s="13"/>
      <c r="F256" s="13"/>
      <c r="G256" s="1027"/>
    </row>
    <row r="257" ht="14.25" customHeight="1">
      <c r="C257" s="13"/>
      <c r="D257" s="13"/>
      <c r="E257" s="13"/>
      <c r="F257" s="13"/>
      <c r="G257" s="1027"/>
    </row>
    <row r="258" ht="14.25" customHeight="1">
      <c r="C258" s="13"/>
      <c r="D258" s="13"/>
      <c r="E258" s="13"/>
      <c r="F258" s="13"/>
      <c r="G258" s="1027"/>
    </row>
    <row r="259" ht="14.25" customHeight="1">
      <c r="C259" s="13"/>
      <c r="D259" s="13"/>
      <c r="E259" s="13"/>
      <c r="F259" s="13"/>
      <c r="G259" s="1027"/>
    </row>
    <row r="260" ht="14.25" customHeight="1">
      <c r="C260" s="13"/>
      <c r="D260" s="13"/>
      <c r="E260" s="13"/>
      <c r="F260" s="13"/>
      <c r="G260" s="1027"/>
    </row>
    <row r="261" ht="14.25" customHeight="1">
      <c r="C261" s="13"/>
      <c r="D261" s="13"/>
      <c r="E261" s="13"/>
      <c r="F261" s="13"/>
      <c r="G261" s="1027"/>
    </row>
    <row r="262" ht="14.25" customHeight="1">
      <c r="C262" s="13"/>
      <c r="D262" s="13"/>
      <c r="E262" s="13"/>
      <c r="F262" s="13"/>
      <c r="G262" s="1027"/>
    </row>
    <row r="263" ht="14.25" customHeight="1">
      <c r="C263" s="13"/>
      <c r="D263" s="13"/>
      <c r="E263" s="13"/>
      <c r="F263" s="13"/>
      <c r="G263" s="1027"/>
    </row>
    <row r="264" ht="14.25" customHeight="1">
      <c r="C264" s="13"/>
      <c r="D264" s="13"/>
      <c r="E264" s="13"/>
      <c r="F264" s="13"/>
      <c r="G264" s="1027"/>
    </row>
    <row r="265" ht="14.25" customHeight="1">
      <c r="C265" s="13"/>
      <c r="D265" s="13"/>
      <c r="E265" s="13"/>
      <c r="F265" s="13"/>
      <c r="G265" s="1027"/>
    </row>
    <row r="266" ht="14.25" customHeight="1">
      <c r="C266" s="13"/>
      <c r="D266" s="13"/>
      <c r="E266" s="13"/>
      <c r="F266" s="13"/>
      <c r="G266" s="1027"/>
    </row>
    <row r="267" ht="14.25" customHeight="1">
      <c r="C267" s="13"/>
      <c r="D267" s="13"/>
      <c r="E267" s="13"/>
      <c r="F267" s="13"/>
      <c r="G267" s="1027"/>
    </row>
    <row r="268" ht="14.25" customHeight="1">
      <c r="C268" s="13"/>
      <c r="D268" s="13"/>
      <c r="E268" s="13"/>
      <c r="F268" s="13"/>
      <c r="G268" s="1027"/>
    </row>
    <row r="269" ht="14.25" customHeight="1">
      <c r="C269" s="13"/>
      <c r="D269" s="13"/>
      <c r="E269" s="13"/>
      <c r="F269" s="13"/>
      <c r="G269" s="1027"/>
    </row>
    <row r="270" ht="14.25" customHeight="1">
      <c r="C270" s="13"/>
      <c r="D270" s="13"/>
      <c r="E270" s="13"/>
      <c r="F270" s="13"/>
      <c r="G270" s="1027"/>
    </row>
    <row r="271" ht="14.25" customHeight="1">
      <c r="C271" s="13"/>
      <c r="D271" s="13"/>
      <c r="E271" s="13"/>
      <c r="F271" s="13"/>
      <c r="G271" s="1027"/>
    </row>
    <row r="272" ht="14.25" customHeight="1">
      <c r="C272" s="13"/>
      <c r="D272" s="13"/>
      <c r="E272" s="13"/>
      <c r="F272" s="13"/>
      <c r="G272" s="1027"/>
    </row>
    <row r="273" ht="14.25" customHeight="1">
      <c r="C273" s="13"/>
      <c r="D273" s="13"/>
      <c r="E273" s="13"/>
      <c r="F273" s="13"/>
      <c r="G273" s="1027"/>
    </row>
    <row r="274" ht="14.25" customHeight="1">
      <c r="C274" s="13"/>
      <c r="D274" s="13"/>
      <c r="E274" s="13"/>
      <c r="F274" s="13"/>
      <c r="G274" s="1027"/>
    </row>
    <row r="275" ht="14.25" customHeight="1">
      <c r="C275" s="13"/>
      <c r="D275" s="13"/>
      <c r="E275" s="13"/>
      <c r="F275" s="13"/>
      <c r="G275" s="1027"/>
    </row>
    <row r="276" ht="14.25" customHeight="1">
      <c r="C276" s="13"/>
      <c r="D276" s="13"/>
      <c r="E276" s="13"/>
      <c r="F276" s="13"/>
      <c r="G276" s="1027"/>
    </row>
    <row r="277" ht="14.25" customHeight="1">
      <c r="C277" s="13"/>
      <c r="D277" s="13"/>
      <c r="E277" s="13"/>
      <c r="F277" s="13"/>
      <c r="G277" s="1027"/>
    </row>
    <row r="278" ht="14.25" customHeight="1">
      <c r="C278" s="13"/>
      <c r="D278" s="13"/>
      <c r="E278" s="13"/>
      <c r="F278" s="13"/>
      <c r="G278" s="1027"/>
    </row>
    <row r="279" ht="14.25" customHeight="1">
      <c r="C279" s="13"/>
      <c r="D279" s="13"/>
      <c r="E279" s="13"/>
      <c r="F279" s="13"/>
      <c r="G279" s="1027"/>
    </row>
    <row r="280" ht="14.25" customHeight="1">
      <c r="C280" s="13"/>
      <c r="D280" s="13"/>
      <c r="E280" s="13"/>
      <c r="F280" s="13"/>
      <c r="G280" s="1027"/>
    </row>
    <row r="281" ht="14.25" customHeight="1">
      <c r="C281" s="13"/>
      <c r="D281" s="13"/>
      <c r="E281" s="13"/>
      <c r="F281" s="13"/>
      <c r="G281" s="1027"/>
    </row>
    <row r="282" ht="14.25" customHeight="1">
      <c r="C282" s="13"/>
      <c r="D282" s="13"/>
      <c r="E282" s="13"/>
      <c r="F282" s="13"/>
      <c r="G282" s="1027"/>
    </row>
    <row r="283" ht="14.25" customHeight="1">
      <c r="C283" s="13"/>
      <c r="D283" s="13"/>
      <c r="E283" s="13"/>
      <c r="F283" s="13"/>
      <c r="G283" s="1027"/>
    </row>
    <row r="284" ht="14.25" customHeight="1">
      <c r="C284" s="13"/>
      <c r="D284" s="13"/>
      <c r="E284" s="13"/>
      <c r="F284" s="13"/>
      <c r="G284" s="1027"/>
    </row>
    <row r="285" ht="14.25" customHeight="1">
      <c r="C285" s="13"/>
      <c r="D285" s="13"/>
      <c r="E285" s="13"/>
      <c r="F285" s="13"/>
      <c r="G285" s="1027"/>
    </row>
    <row r="286" ht="14.25" customHeight="1">
      <c r="C286" s="13"/>
      <c r="D286" s="13"/>
      <c r="E286" s="13"/>
      <c r="F286" s="13"/>
      <c r="G286" s="1027"/>
    </row>
    <row r="287" ht="14.25" customHeight="1">
      <c r="C287" s="13"/>
      <c r="D287" s="13"/>
      <c r="E287" s="13"/>
      <c r="F287" s="13"/>
      <c r="G287" s="1027"/>
    </row>
    <row r="288" ht="14.25" customHeight="1">
      <c r="C288" s="13"/>
      <c r="D288" s="13"/>
      <c r="E288" s="13"/>
      <c r="F288" s="13"/>
      <c r="G288" s="1027"/>
    </row>
    <row r="289" ht="14.25" customHeight="1">
      <c r="C289" s="13"/>
      <c r="D289" s="13"/>
      <c r="E289" s="13"/>
      <c r="F289" s="13"/>
      <c r="G289" s="1027"/>
    </row>
    <row r="290" ht="14.25" customHeight="1">
      <c r="C290" s="13"/>
      <c r="D290" s="13"/>
      <c r="E290" s="13"/>
      <c r="F290" s="13"/>
      <c r="G290" s="1027"/>
    </row>
    <row r="291" ht="14.25" customHeight="1">
      <c r="C291" s="13"/>
      <c r="D291" s="13"/>
      <c r="E291" s="13"/>
      <c r="F291" s="13"/>
      <c r="G291" s="1027"/>
    </row>
    <row r="292" ht="14.25" customHeight="1">
      <c r="C292" s="13"/>
      <c r="D292" s="13"/>
      <c r="E292" s="13"/>
      <c r="F292" s="13"/>
      <c r="G292" s="1027"/>
    </row>
    <row r="293" ht="14.25" customHeight="1">
      <c r="C293" s="13"/>
      <c r="D293" s="13"/>
      <c r="E293" s="13"/>
      <c r="F293" s="13"/>
      <c r="G293" s="1027"/>
    </row>
    <row r="294" ht="14.25" customHeight="1">
      <c r="C294" s="13"/>
      <c r="D294" s="13"/>
      <c r="E294" s="13"/>
      <c r="F294" s="13"/>
      <c r="G294" s="1027"/>
    </row>
    <row r="295" ht="14.25" customHeight="1">
      <c r="C295" s="13"/>
      <c r="D295" s="13"/>
      <c r="E295" s="13"/>
      <c r="F295" s="13"/>
      <c r="G295" s="1027"/>
    </row>
    <row r="296" ht="14.25" customHeight="1">
      <c r="C296" s="13"/>
      <c r="D296" s="13"/>
      <c r="E296" s="13"/>
      <c r="F296" s="13"/>
      <c r="G296" s="1027"/>
    </row>
    <row r="297" ht="14.25" customHeight="1">
      <c r="C297" s="13"/>
      <c r="D297" s="13"/>
      <c r="E297" s="13"/>
      <c r="F297" s="13"/>
      <c r="G297" s="1027"/>
    </row>
    <row r="298" ht="14.25" customHeight="1">
      <c r="C298" s="13"/>
      <c r="D298" s="13"/>
      <c r="E298" s="13"/>
      <c r="F298" s="13"/>
      <c r="G298" s="1027"/>
    </row>
    <row r="299" ht="14.25" customHeight="1">
      <c r="C299" s="13"/>
      <c r="D299" s="13"/>
      <c r="E299" s="13"/>
      <c r="F299" s="13"/>
      <c r="G299" s="1027"/>
    </row>
    <row r="300" ht="14.25" customHeight="1">
      <c r="C300" s="13"/>
      <c r="D300" s="13"/>
      <c r="E300" s="13"/>
      <c r="F300" s="13"/>
      <c r="G300" s="1027"/>
    </row>
    <row r="301" ht="14.25" customHeight="1">
      <c r="C301" s="13"/>
      <c r="D301" s="13"/>
      <c r="E301" s="13"/>
      <c r="F301" s="13"/>
      <c r="G301" s="1027"/>
    </row>
    <row r="302" ht="14.25" customHeight="1">
      <c r="C302" s="13"/>
      <c r="D302" s="13"/>
      <c r="E302" s="13"/>
      <c r="F302" s="13"/>
      <c r="G302" s="1027"/>
    </row>
    <row r="303" ht="14.25" customHeight="1">
      <c r="C303" s="13"/>
      <c r="D303" s="13"/>
      <c r="E303" s="13"/>
      <c r="F303" s="13"/>
      <c r="G303" s="1027"/>
    </row>
    <row r="304" ht="14.25" customHeight="1">
      <c r="C304" s="13"/>
      <c r="D304" s="13"/>
      <c r="E304" s="13"/>
      <c r="F304" s="13"/>
      <c r="G304" s="1027"/>
    </row>
    <row r="305" ht="14.25" customHeight="1">
      <c r="C305" s="13"/>
      <c r="D305" s="13"/>
      <c r="E305" s="13"/>
      <c r="F305" s="13"/>
      <c r="G305" s="1027"/>
    </row>
    <row r="306" ht="14.25" customHeight="1">
      <c r="C306" s="13"/>
      <c r="D306" s="13"/>
      <c r="E306" s="13"/>
      <c r="F306" s="13"/>
      <c r="G306" s="1027"/>
    </row>
    <row r="307" ht="14.25" customHeight="1">
      <c r="C307" s="13"/>
      <c r="D307" s="13"/>
      <c r="E307" s="13"/>
      <c r="F307" s="13"/>
      <c r="G307" s="1027"/>
    </row>
    <row r="308" ht="14.25" customHeight="1">
      <c r="C308" s="13"/>
      <c r="D308" s="13"/>
      <c r="E308" s="13"/>
      <c r="F308" s="13"/>
      <c r="G308" s="1027"/>
    </row>
    <row r="309" ht="14.25" customHeight="1">
      <c r="C309" s="13"/>
      <c r="D309" s="13"/>
      <c r="E309" s="13"/>
      <c r="F309" s="13"/>
      <c r="G309" s="1027"/>
    </row>
    <row r="310" ht="14.25" customHeight="1">
      <c r="C310" s="13"/>
      <c r="D310" s="13"/>
      <c r="E310" s="13"/>
      <c r="F310" s="13"/>
      <c r="G310" s="1027"/>
    </row>
    <row r="311" ht="14.25" customHeight="1">
      <c r="C311" s="13"/>
      <c r="D311" s="13"/>
      <c r="E311" s="13"/>
      <c r="F311" s="13"/>
      <c r="G311" s="1027"/>
    </row>
    <row r="312" ht="14.25" customHeight="1">
      <c r="C312" s="13"/>
      <c r="D312" s="13"/>
      <c r="E312" s="13"/>
      <c r="F312" s="13"/>
      <c r="G312" s="1027"/>
    </row>
    <row r="313" ht="14.25" customHeight="1">
      <c r="C313" s="13"/>
      <c r="D313" s="13"/>
      <c r="E313" s="13"/>
      <c r="F313" s="13"/>
      <c r="G313" s="1027"/>
    </row>
    <row r="314" ht="14.25" customHeight="1">
      <c r="C314" s="13"/>
      <c r="D314" s="13"/>
      <c r="E314" s="13"/>
      <c r="F314" s="13"/>
      <c r="G314" s="1027"/>
    </row>
    <row r="315" ht="14.25" customHeight="1">
      <c r="C315" s="13"/>
      <c r="D315" s="13"/>
      <c r="E315" s="13"/>
      <c r="F315" s="13"/>
      <c r="G315" s="1027"/>
    </row>
    <row r="316" ht="14.25" customHeight="1">
      <c r="C316" s="13"/>
      <c r="D316" s="13"/>
      <c r="E316" s="13"/>
      <c r="F316" s="13"/>
      <c r="G316" s="1027"/>
    </row>
    <row r="317" ht="14.25" customHeight="1">
      <c r="C317" s="13"/>
      <c r="D317" s="13"/>
      <c r="E317" s="13"/>
      <c r="F317" s="13"/>
      <c r="G317" s="1027"/>
    </row>
    <row r="318" ht="14.25" customHeight="1">
      <c r="C318" s="13"/>
      <c r="D318" s="13"/>
      <c r="E318" s="13"/>
      <c r="F318" s="13"/>
      <c r="G318" s="1027"/>
    </row>
    <row r="319" ht="14.25" customHeight="1">
      <c r="C319" s="13"/>
      <c r="D319" s="13"/>
      <c r="E319" s="13"/>
      <c r="F319" s="13"/>
      <c r="G319" s="1027"/>
    </row>
    <row r="320" ht="14.25" customHeight="1">
      <c r="C320" s="13"/>
      <c r="D320" s="13"/>
      <c r="E320" s="13"/>
      <c r="F320" s="13"/>
      <c r="G320" s="1027"/>
    </row>
    <row r="321" ht="14.25" customHeight="1">
      <c r="C321" s="13"/>
      <c r="D321" s="13"/>
      <c r="E321" s="13"/>
      <c r="F321" s="13"/>
      <c r="G321" s="1027"/>
    </row>
    <row r="322" ht="14.25" customHeight="1">
      <c r="C322" s="13"/>
      <c r="D322" s="13"/>
      <c r="E322" s="13"/>
      <c r="F322" s="13"/>
      <c r="G322" s="1027"/>
    </row>
    <row r="323" ht="14.25" customHeight="1">
      <c r="C323" s="13"/>
      <c r="D323" s="13"/>
      <c r="E323" s="13"/>
      <c r="F323" s="13"/>
      <c r="G323" s="1027"/>
    </row>
    <row r="324" ht="14.25" customHeight="1">
      <c r="C324" s="13"/>
      <c r="D324" s="13"/>
      <c r="E324" s="13"/>
      <c r="F324" s="13"/>
      <c r="G324" s="1027"/>
    </row>
    <row r="325" ht="14.25" customHeight="1">
      <c r="C325" s="13"/>
      <c r="D325" s="13"/>
      <c r="E325" s="13"/>
      <c r="F325" s="13"/>
      <c r="G325" s="1027"/>
    </row>
    <row r="326" ht="14.25" customHeight="1">
      <c r="C326" s="13"/>
      <c r="D326" s="13"/>
      <c r="E326" s="13"/>
      <c r="F326" s="13"/>
      <c r="G326" s="1027"/>
    </row>
    <row r="327" ht="14.25" customHeight="1">
      <c r="C327" s="13"/>
      <c r="D327" s="13"/>
      <c r="E327" s="13"/>
      <c r="F327" s="13"/>
      <c r="G327" s="1027"/>
    </row>
    <row r="328" ht="14.25" customHeight="1">
      <c r="C328" s="13"/>
      <c r="D328" s="13"/>
      <c r="E328" s="13"/>
      <c r="F328" s="13"/>
      <c r="G328" s="1027"/>
    </row>
    <row r="329" ht="14.25" customHeight="1">
      <c r="C329" s="13"/>
      <c r="D329" s="13"/>
      <c r="E329" s="13"/>
      <c r="F329" s="13"/>
      <c r="G329" s="1027"/>
    </row>
    <row r="330" ht="14.25" customHeight="1">
      <c r="C330" s="13"/>
      <c r="D330" s="13"/>
      <c r="E330" s="13"/>
      <c r="F330" s="13"/>
      <c r="G330" s="1027"/>
    </row>
    <row r="331" ht="14.25" customHeight="1">
      <c r="C331" s="13"/>
      <c r="D331" s="13"/>
      <c r="E331" s="13"/>
      <c r="F331" s="13"/>
      <c r="G331" s="1027"/>
    </row>
    <row r="332" ht="14.25" customHeight="1">
      <c r="C332" s="13"/>
      <c r="D332" s="13"/>
      <c r="E332" s="13"/>
      <c r="F332" s="13"/>
      <c r="G332" s="1027"/>
    </row>
    <row r="333" ht="14.25" customHeight="1">
      <c r="C333" s="13"/>
      <c r="D333" s="13"/>
      <c r="E333" s="13"/>
      <c r="F333" s="13"/>
      <c r="G333" s="1027"/>
    </row>
    <row r="334" ht="14.25" customHeight="1">
      <c r="C334" s="13"/>
      <c r="D334" s="13"/>
      <c r="E334" s="13"/>
      <c r="F334" s="13"/>
      <c r="G334" s="1027"/>
    </row>
    <row r="335" ht="14.25" customHeight="1">
      <c r="C335" s="13"/>
      <c r="D335" s="13"/>
      <c r="E335" s="13"/>
      <c r="F335" s="13"/>
      <c r="G335" s="1027"/>
    </row>
    <row r="336" ht="14.25" customHeight="1">
      <c r="C336" s="13"/>
      <c r="D336" s="13"/>
      <c r="E336" s="13"/>
      <c r="F336" s="13"/>
      <c r="G336" s="1027"/>
    </row>
    <row r="337" ht="14.25" customHeight="1">
      <c r="C337" s="13"/>
      <c r="D337" s="13"/>
      <c r="E337" s="13"/>
      <c r="F337" s="13"/>
      <c r="G337" s="1027"/>
    </row>
    <row r="338" ht="14.25" customHeight="1">
      <c r="C338" s="13"/>
      <c r="D338" s="13"/>
      <c r="E338" s="13"/>
      <c r="F338" s="13"/>
      <c r="G338" s="1027"/>
    </row>
    <row r="339" ht="14.25" customHeight="1">
      <c r="C339" s="13"/>
      <c r="D339" s="13"/>
      <c r="E339" s="13"/>
      <c r="F339" s="13"/>
      <c r="G339" s="1027"/>
    </row>
    <row r="340" ht="14.25" customHeight="1">
      <c r="C340" s="13"/>
      <c r="D340" s="13"/>
      <c r="E340" s="13"/>
      <c r="F340" s="13"/>
      <c r="G340" s="1027"/>
    </row>
    <row r="341" ht="14.25" customHeight="1">
      <c r="C341" s="13"/>
      <c r="D341" s="13"/>
      <c r="E341" s="13"/>
      <c r="F341" s="13"/>
      <c r="G341" s="1027"/>
    </row>
    <row r="342" ht="14.25" customHeight="1">
      <c r="C342" s="13"/>
      <c r="D342" s="13"/>
      <c r="E342" s="13"/>
      <c r="F342" s="13"/>
      <c r="G342" s="1027"/>
    </row>
    <row r="343" ht="14.25" customHeight="1">
      <c r="C343" s="13"/>
      <c r="D343" s="13"/>
      <c r="E343" s="13"/>
      <c r="F343" s="13"/>
      <c r="G343" s="1027"/>
    </row>
    <row r="344" ht="14.25" customHeight="1">
      <c r="C344" s="13"/>
      <c r="D344" s="13"/>
      <c r="E344" s="13"/>
      <c r="F344" s="13"/>
      <c r="G344" s="1027"/>
    </row>
    <row r="345" ht="14.25" customHeight="1">
      <c r="C345" s="13"/>
      <c r="D345" s="13"/>
      <c r="E345" s="13"/>
      <c r="F345" s="13"/>
      <c r="G345" s="1027"/>
    </row>
    <row r="346" ht="14.25" customHeight="1">
      <c r="C346" s="13"/>
      <c r="D346" s="13"/>
      <c r="E346" s="13"/>
      <c r="F346" s="13"/>
      <c r="G346" s="1027"/>
    </row>
    <row r="347" ht="14.25" customHeight="1">
      <c r="C347" s="13"/>
      <c r="D347" s="13"/>
      <c r="E347" s="13"/>
      <c r="F347" s="13"/>
      <c r="G347" s="1027"/>
    </row>
    <row r="348" ht="14.25" customHeight="1">
      <c r="C348" s="13"/>
      <c r="D348" s="13"/>
      <c r="E348" s="13"/>
      <c r="F348" s="13"/>
      <c r="G348" s="1027"/>
    </row>
    <row r="349" ht="14.25" customHeight="1">
      <c r="C349" s="13"/>
      <c r="D349" s="13"/>
      <c r="E349" s="13"/>
      <c r="F349" s="13"/>
      <c r="G349" s="1027"/>
    </row>
    <row r="350" ht="14.25" customHeight="1">
      <c r="C350" s="13"/>
      <c r="D350" s="13"/>
      <c r="E350" s="13"/>
      <c r="F350" s="13"/>
      <c r="G350" s="1027"/>
    </row>
    <row r="351" ht="14.25" customHeight="1">
      <c r="C351" s="13"/>
      <c r="D351" s="13"/>
      <c r="E351" s="13"/>
      <c r="F351" s="13"/>
      <c r="G351" s="1027"/>
    </row>
    <row r="352" ht="14.25" customHeight="1">
      <c r="C352" s="13"/>
      <c r="D352" s="13"/>
      <c r="E352" s="13"/>
      <c r="F352" s="13"/>
      <c r="G352" s="1027"/>
    </row>
    <row r="353" ht="14.25" customHeight="1">
      <c r="C353" s="13"/>
      <c r="D353" s="13"/>
      <c r="E353" s="13"/>
      <c r="F353" s="13"/>
      <c r="G353" s="1027"/>
    </row>
    <row r="354" ht="14.25" customHeight="1">
      <c r="C354" s="13"/>
      <c r="D354" s="13"/>
      <c r="E354" s="13"/>
      <c r="F354" s="13"/>
      <c r="G354" s="1027"/>
    </row>
    <row r="355" ht="14.25" customHeight="1">
      <c r="C355" s="13"/>
      <c r="D355" s="13"/>
      <c r="E355" s="13"/>
      <c r="F355" s="13"/>
      <c r="G355" s="1027"/>
    </row>
    <row r="356" ht="14.25" customHeight="1">
      <c r="C356" s="13"/>
      <c r="D356" s="13"/>
      <c r="E356" s="13"/>
      <c r="F356" s="13"/>
      <c r="G356" s="1027"/>
    </row>
    <row r="357" ht="14.25" customHeight="1">
      <c r="C357" s="13"/>
      <c r="D357" s="13"/>
      <c r="E357" s="13"/>
      <c r="F357" s="13"/>
      <c r="G357" s="1027"/>
    </row>
    <row r="358" ht="14.25" customHeight="1">
      <c r="C358" s="13"/>
      <c r="D358" s="13"/>
      <c r="E358" s="13"/>
      <c r="F358" s="13"/>
      <c r="G358" s="1027"/>
    </row>
    <row r="359" ht="14.25" customHeight="1">
      <c r="C359" s="13"/>
      <c r="D359" s="13"/>
      <c r="E359" s="13"/>
      <c r="F359" s="13"/>
      <c r="G359" s="1027"/>
    </row>
    <row r="360" ht="14.25" customHeight="1">
      <c r="C360" s="13"/>
      <c r="D360" s="13"/>
      <c r="E360" s="13"/>
      <c r="F360" s="13"/>
      <c r="G360" s="1027"/>
    </row>
    <row r="361" ht="14.25" customHeight="1">
      <c r="C361" s="13"/>
      <c r="D361" s="13"/>
      <c r="E361" s="13"/>
      <c r="F361" s="13"/>
      <c r="G361" s="1027"/>
    </row>
    <row r="362" ht="14.25" customHeight="1">
      <c r="C362" s="13"/>
      <c r="D362" s="13"/>
      <c r="E362" s="13"/>
      <c r="F362" s="13"/>
      <c r="G362" s="1027"/>
    </row>
    <row r="363" ht="14.25" customHeight="1">
      <c r="C363" s="13"/>
      <c r="D363" s="13"/>
      <c r="E363" s="13"/>
      <c r="F363" s="13"/>
      <c r="G363" s="1027"/>
    </row>
    <row r="364" ht="14.25" customHeight="1">
      <c r="C364" s="13"/>
      <c r="D364" s="13"/>
      <c r="E364" s="13"/>
      <c r="F364" s="13"/>
      <c r="G364" s="1027"/>
    </row>
    <row r="365" ht="14.25" customHeight="1">
      <c r="C365" s="13"/>
      <c r="D365" s="13"/>
      <c r="E365" s="13"/>
      <c r="F365" s="13"/>
      <c r="G365" s="1027"/>
    </row>
    <row r="366" ht="14.25" customHeight="1">
      <c r="C366" s="13"/>
      <c r="D366" s="13"/>
      <c r="E366" s="13"/>
      <c r="F366" s="13"/>
      <c r="G366" s="1027"/>
    </row>
    <row r="367" ht="14.25" customHeight="1">
      <c r="C367" s="13"/>
      <c r="D367" s="13"/>
      <c r="E367" s="13"/>
      <c r="F367" s="13"/>
      <c r="G367" s="1027"/>
    </row>
    <row r="368" ht="14.25" customHeight="1">
      <c r="C368" s="13"/>
      <c r="D368" s="13"/>
      <c r="E368" s="13"/>
      <c r="F368" s="13"/>
      <c r="G368" s="1027"/>
    </row>
    <row r="369" ht="14.25" customHeight="1">
      <c r="C369" s="13"/>
      <c r="D369" s="13"/>
      <c r="E369" s="13"/>
      <c r="F369" s="13"/>
      <c r="G369" s="1027"/>
    </row>
    <row r="370" ht="14.25" customHeight="1">
      <c r="C370" s="13"/>
      <c r="D370" s="13"/>
      <c r="E370" s="13"/>
      <c r="F370" s="13"/>
      <c r="G370" s="1027"/>
    </row>
    <row r="371" ht="14.25" customHeight="1">
      <c r="C371" s="13"/>
      <c r="D371" s="13"/>
      <c r="E371" s="13"/>
      <c r="F371" s="13"/>
      <c r="G371" s="1027"/>
    </row>
    <row r="372" ht="14.25" customHeight="1">
      <c r="C372" s="13"/>
      <c r="D372" s="13"/>
      <c r="E372" s="13"/>
      <c r="F372" s="13"/>
      <c r="G372" s="1027"/>
    </row>
    <row r="373" ht="14.25" customHeight="1">
      <c r="C373" s="13"/>
      <c r="D373" s="13"/>
      <c r="E373" s="13"/>
      <c r="F373" s="13"/>
      <c r="G373" s="1027"/>
    </row>
    <row r="374" ht="14.25" customHeight="1">
      <c r="C374" s="13"/>
      <c r="D374" s="13"/>
      <c r="E374" s="13"/>
      <c r="F374" s="13"/>
      <c r="G374" s="1027"/>
    </row>
    <row r="375" ht="14.25" customHeight="1">
      <c r="C375" s="13"/>
      <c r="D375" s="13"/>
      <c r="E375" s="13"/>
      <c r="F375" s="13"/>
      <c r="G375" s="1027"/>
    </row>
    <row r="376" ht="14.25" customHeight="1">
      <c r="C376" s="13"/>
      <c r="D376" s="13"/>
      <c r="E376" s="13"/>
      <c r="F376" s="13"/>
      <c r="G376" s="1027"/>
    </row>
    <row r="377" ht="14.25" customHeight="1">
      <c r="C377" s="13"/>
      <c r="D377" s="13"/>
      <c r="E377" s="13"/>
      <c r="F377" s="13"/>
      <c r="G377" s="1027"/>
    </row>
    <row r="378" ht="14.25" customHeight="1">
      <c r="C378" s="13"/>
      <c r="D378" s="13"/>
      <c r="E378" s="13"/>
      <c r="F378" s="13"/>
      <c r="G378" s="1027"/>
    </row>
    <row r="379" ht="14.25" customHeight="1">
      <c r="C379" s="13"/>
      <c r="D379" s="13"/>
      <c r="E379" s="13"/>
      <c r="F379" s="13"/>
      <c r="G379" s="1027"/>
    </row>
    <row r="380" ht="14.25" customHeight="1">
      <c r="C380" s="13"/>
      <c r="D380" s="13"/>
      <c r="E380" s="13"/>
      <c r="F380" s="13"/>
      <c r="G380" s="1027"/>
    </row>
    <row r="381" ht="14.25" customHeight="1">
      <c r="C381" s="13"/>
      <c r="D381" s="13"/>
      <c r="E381" s="13"/>
      <c r="F381" s="13"/>
      <c r="G381" s="1027"/>
    </row>
    <row r="382" ht="14.25" customHeight="1">
      <c r="C382" s="13"/>
      <c r="D382" s="13"/>
      <c r="E382" s="13"/>
      <c r="F382" s="13"/>
      <c r="G382" s="1027"/>
    </row>
    <row r="383" ht="14.25" customHeight="1">
      <c r="C383" s="13"/>
      <c r="D383" s="13"/>
      <c r="E383" s="13"/>
      <c r="F383" s="13"/>
      <c r="G383" s="1027"/>
    </row>
    <row r="384" ht="14.25" customHeight="1">
      <c r="C384" s="13"/>
      <c r="D384" s="13"/>
      <c r="E384" s="13"/>
      <c r="F384" s="13"/>
      <c r="G384" s="1027"/>
    </row>
    <row r="385" ht="14.25" customHeight="1">
      <c r="C385" s="13"/>
      <c r="D385" s="13"/>
      <c r="E385" s="13"/>
      <c r="F385" s="13"/>
      <c r="G385" s="1027"/>
    </row>
    <row r="386" ht="14.25" customHeight="1">
      <c r="C386" s="13"/>
      <c r="D386" s="13"/>
      <c r="E386" s="13"/>
      <c r="F386" s="13"/>
      <c r="G386" s="1027"/>
    </row>
    <row r="387" ht="14.25" customHeight="1">
      <c r="C387" s="13"/>
      <c r="D387" s="13"/>
      <c r="E387" s="13"/>
      <c r="F387" s="13"/>
      <c r="G387" s="1027"/>
    </row>
    <row r="388" ht="14.25" customHeight="1">
      <c r="C388" s="13"/>
      <c r="D388" s="13"/>
      <c r="E388" s="13"/>
      <c r="F388" s="13"/>
      <c r="G388" s="1027"/>
    </row>
    <row r="389" ht="14.25" customHeight="1">
      <c r="C389" s="13"/>
      <c r="D389" s="13"/>
      <c r="E389" s="13"/>
      <c r="F389" s="13"/>
      <c r="G389" s="1027"/>
    </row>
    <row r="390" ht="14.25" customHeight="1">
      <c r="C390" s="13"/>
      <c r="D390" s="13"/>
      <c r="E390" s="13"/>
      <c r="F390" s="13"/>
      <c r="G390" s="1027"/>
    </row>
    <row r="391" ht="14.25" customHeight="1">
      <c r="C391" s="13"/>
      <c r="D391" s="13"/>
      <c r="E391" s="13"/>
      <c r="F391" s="13"/>
      <c r="G391" s="1027"/>
    </row>
    <row r="392" ht="14.25" customHeight="1">
      <c r="C392" s="13"/>
      <c r="D392" s="13"/>
      <c r="E392" s="13"/>
      <c r="F392" s="13"/>
      <c r="G392" s="1027"/>
    </row>
    <row r="393" ht="14.25" customHeight="1">
      <c r="C393" s="13"/>
      <c r="D393" s="13"/>
      <c r="E393" s="13"/>
      <c r="F393" s="13"/>
      <c r="G393" s="1027"/>
    </row>
    <row r="394" ht="14.25" customHeight="1">
      <c r="C394" s="13"/>
      <c r="D394" s="13"/>
      <c r="E394" s="13"/>
      <c r="F394" s="13"/>
      <c r="G394" s="1027"/>
    </row>
    <row r="395" ht="14.25" customHeight="1">
      <c r="C395" s="13"/>
      <c r="D395" s="13"/>
      <c r="E395" s="13"/>
      <c r="F395" s="13"/>
      <c r="G395" s="1027"/>
    </row>
    <row r="396" ht="14.25" customHeight="1">
      <c r="C396" s="13"/>
      <c r="D396" s="13"/>
      <c r="E396" s="13"/>
      <c r="F396" s="13"/>
      <c r="G396" s="1027"/>
    </row>
    <row r="397" ht="14.25" customHeight="1">
      <c r="C397" s="13"/>
      <c r="D397" s="13"/>
      <c r="E397" s="13"/>
      <c r="F397" s="13"/>
      <c r="G397" s="1027"/>
    </row>
    <row r="398" ht="14.25" customHeight="1">
      <c r="C398" s="13"/>
      <c r="D398" s="13"/>
      <c r="E398" s="13"/>
      <c r="F398" s="13"/>
      <c r="G398" s="1027"/>
    </row>
    <row r="399" ht="14.25" customHeight="1">
      <c r="C399" s="13"/>
      <c r="D399" s="13"/>
      <c r="E399" s="13"/>
      <c r="F399" s="13"/>
      <c r="G399" s="1027"/>
    </row>
    <row r="400" ht="14.25" customHeight="1">
      <c r="C400" s="13"/>
      <c r="D400" s="13"/>
      <c r="E400" s="13"/>
      <c r="F400" s="13"/>
      <c r="G400" s="1027"/>
    </row>
    <row r="401" ht="14.25" customHeight="1">
      <c r="C401" s="13"/>
      <c r="D401" s="13"/>
      <c r="E401" s="13"/>
      <c r="F401" s="13"/>
      <c r="G401" s="1027"/>
    </row>
    <row r="402" ht="14.25" customHeight="1">
      <c r="C402" s="13"/>
      <c r="D402" s="13"/>
      <c r="E402" s="13"/>
      <c r="F402" s="13"/>
      <c r="G402" s="1027"/>
    </row>
    <row r="403" ht="14.25" customHeight="1">
      <c r="C403" s="13"/>
      <c r="D403" s="13"/>
      <c r="E403" s="13"/>
      <c r="F403" s="13"/>
      <c r="G403" s="1027"/>
    </row>
    <row r="404" ht="14.25" customHeight="1">
      <c r="C404" s="13"/>
      <c r="D404" s="13"/>
      <c r="E404" s="13"/>
      <c r="F404" s="13"/>
      <c r="G404" s="1027"/>
    </row>
    <row r="405" ht="14.25" customHeight="1">
      <c r="C405" s="13"/>
      <c r="D405" s="13"/>
      <c r="E405" s="13"/>
      <c r="F405" s="13"/>
      <c r="G405" s="1027"/>
    </row>
    <row r="406" ht="14.25" customHeight="1">
      <c r="C406" s="13"/>
      <c r="D406" s="13"/>
      <c r="E406" s="13"/>
      <c r="F406" s="13"/>
      <c r="G406" s="1027"/>
    </row>
    <row r="407" ht="14.25" customHeight="1">
      <c r="C407" s="13"/>
      <c r="D407" s="13"/>
      <c r="E407" s="13"/>
      <c r="F407" s="13"/>
      <c r="G407" s="1027"/>
    </row>
    <row r="408" ht="14.25" customHeight="1">
      <c r="C408" s="13"/>
      <c r="D408" s="13"/>
      <c r="E408" s="13"/>
      <c r="F408" s="13"/>
      <c r="G408" s="1027"/>
    </row>
    <row r="409" ht="14.25" customHeight="1">
      <c r="C409" s="13"/>
      <c r="D409" s="13"/>
      <c r="E409" s="13"/>
      <c r="F409" s="13"/>
      <c r="G409" s="1027"/>
    </row>
    <row r="410" ht="14.25" customHeight="1">
      <c r="C410" s="13"/>
      <c r="D410" s="13"/>
      <c r="E410" s="13"/>
      <c r="F410" s="13"/>
      <c r="G410" s="1027"/>
    </row>
    <row r="411" ht="14.25" customHeight="1">
      <c r="C411" s="13"/>
      <c r="D411" s="13"/>
      <c r="E411" s="13"/>
      <c r="F411" s="13"/>
      <c r="G411" s="1027"/>
    </row>
    <row r="412" ht="14.25" customHeight="1">
      <c r="C412" s="13"/>
      <c r="D412" s="13"/>
      <c r="E412" s="13"/>
      <c r="F412" s="13"/>
      <c r="G412" s="1027"/>
    </row>
    <row r="413" ht="14.25" customHeight="1">
      <c r="C413" s="13"/>
      <c r="D413" s="13"/>
      <c r="E413" s="13"/>
      <c r="F413" s="13"/>
      <c r="G413" s="1027"/>
    </row>
    <row r="414" ht="14.25" customHeight="1">
      <c r="C414" s="13"/>
      <c r="D414" s="13"/>
      <c r="E414" s="13"/>
      <c r="F414" s="13"/>
      <c r="G414" s="1027"/>
    </row>
    <row r="415" ht="14.25" customHeight="1">
      <c r="C415" s="13"/>
      <c r="D415" s="13"/>
      <c r="E415" s="13"/>
      <c r="F415" s="13"/>
      <c r="G415" s="1027"/>
    </row>
    <row r="416" ht="14.25" customHeight="1">
      <c r="C416" s="13"/>
      <c r="D416" s="13"/>
      <c r="E416" s="13"/>
      <c r="F416" s="13"/>
      <c r="G416" s="1027"/>
    </row>
    <row r="417" ht="14.25" customHeight="1">
      <c r="C417" s="13"/>
      <c r="D417" s="13"/>
      <c r="E417" s="13"/>
      <c r="F417" s="13"/>
      <c r="G417" s="1027"/>
    </row>
    <row r="418" ht="14.25" customHeight="1">
      <c r="C418" s="13"/>
      <c r="D418" s="13"/>
      <c r="E418" s="13"/>
      <c r="F418" s="13"/>
      <c r="G418" s="1027"/>
    </row>
    <row r="419" ht="14.25" customHeight="1">
      <c r="C419" s="13"/>
      <c r="D419" s="13"/>
      <c r="E419" s="13"/>
      <c r="F419" s="13"/>
      <c r="G419" s="1027"/>
    </row>
    <row r="420" ht="14.25" customHeight="1">
      <c r="C420" s="13"/>
      <c r="D420" s="13"/>
      <c r="E420" s="13"/>
      <c r="F420" s="13"/>
      <c r="G420" s="1027"/>
    </row>
    <row r="421" ht="14.25" customHeight="1">
      <c r="C421" s="13"/>
      <c r="D421" s="13"/>
      <c r="E421" s="13"/>
      <c r="F421" s="13"/>
      <c r="G421" s="1027"/>
    </row>
    <row r="422" ht="14.25" customHeight="1">
      <c r="C422" s="13"/>
      <c r="D422" s="13"/>
      <c r="E422" s="13"/>
      <c r="F422" s="13"/>
      <c r="G422" s="1027"/>
    </row>
    <row r="423" ht="14.25" customHeight="1">
      <c r="C423" s="13"/>
      <c r="D423" s="13"/>
      <c r="E423" s="13"/>
      <c r="F423" s="13"/>
      <c r="G423" s="1027"/>
    </row>
    <row r="424" ht="14.25" customHeight="1">
      <c r="C424" s="13"/>
      <c r="D424" s="13"/>
      <c r="E424" s="13"/>
      <c r="F424" s="13"/>
      <c r="G424" s="1027"/>
    </row>
    <row r="425" ht="14.25" customHeight="1">
      <c r="C425" s="13"/>
      <c r="D425" s="13"/>
      <c r="E425" s="13"/>
      <c r="F425" s="13"/>
      <c r="G425" s="1027"/>
    </row>
    <row r="426" ht="14.25" customHeight="1">
      <c r="C426" s="13"/>
      <c r="D426" s="13"/>
      <c r="E426" s="13"/>
      <c r="F426" s="13"/>
      <c r="G426" s="1027"/>
    </row>
    <row r="427" ht="14.25" customHeight="1">
      <c r="C427" s="13"/>
      <c r="D427" s="13"/>
      <c r="E427" s="13"/>
      <c r="F427" s="13"/>
      <c r="G427" s="1027"/>
    </row>
    <row r="428" ht="14.25" customHeight="1">
      <c r="C428" s="13"/>
      <c r="D428" s="13"/>
      <c r="E428" s="13"/>
      <c r="F428" s="13"/>
      <c r="G428" s="1027"/>
    </row>
    <row r="429" ht="14.25" customHeight="1">
      <c r="C429" s="13"/>
      <c r="D429" s="13"/>
      <c r="E429" s="13"/>
      <c r="F429" s="13"/>
      <c r="G429" s="1027"/>
    </row>
    <row r="430" ht="14.25" customHeight="1">
      <c r="C430" s="13"/>
      <c r="D430" s="13"/>
      <c r="E430" s="13"/>
      <c r="F430" s="13"/>
      <c r="G430" s="1027"/>
    </row>
    <row r="431" ht="14.25" customHeight="1">
      <c r="C431" s="13"/>
      <c r="D431" s="13"/>
      <c r="E431" s="13"/>
      <c r="F431" s="13"/>
      <c r="G431" s="1027"/>
    </row>
    <row r="432" ht="14.25" customHeight="1">
      <c r="C432" s="13"/>
      <c r="D432" s="13"/>
      <c r="E432" s="13"/>
      <c r="F432" s="13"/>
      <c r="G432" s="1027"/>
    </row>
    <row r="433" ht="14.25" customHeight="1">
      <c r="C433" s="13"/>
      <c r="D433" s="13"/>
      <c r="E433" s="13"/>
      <c r="F433" s="13"/>
      <c r="G433" s="1027"/>
    </row>
    <row r="434" ht="14.25" customHeight="1">
      <c r="C434" s="13"/>
      <c r="D434" s="13"/>
      <c r="E434" s="13"/>
      <c r="F434" s="13"/>
      <c r="G434" s="1027"/>
    </row>
    <row r="435" ht="14.25" customHeight="1">
      <c r="C435" s="13"/>
      <c r="D435" s="13"/>
      <c r="E435" s="13"/>
      <c r="F435" s="13"/>
      <c r="G435" s="1027"/>
    </row>
    <row r="436" ht="14.25" customHeight="1">
      <c r="C436" s="13"/>
      <c r="D436" s="13"/>
      <c r="E436" s="13"/>
      <c r="F436" s="13"/>
      <c r="G436" s="1027"/>
    </row>
    <row r="437" ht="14.25" customHeight="1">
      <c r="C437" s="13"/>
      <c r="D437" s="13"/>
      <c r="E437" s="13"/>
      <c r="F437" s="13"/>
      <c r="G437" s="1027"/>
    </row>
    <row r="438" ht="14.25" customHeight="1">
      <c r="C438" s="13"/>
      <c r="D438" s="13"/>
      <c r="E438" s="13"/>
      <c r="F438" s="13"/>
      <c r="G438" s="1027"/>
    </row>
    <row r="439" ht="14.25" customHeight="1">
      <c r="C439" s="13"/>
      <c r="D439" s="13"/>
      <c r="E439" s="13"/>
      <c r="F439" s="13"/>
      <c r="G439" s="1027"/>
    </row>
    <row r="440" ht="14.25" customHeight="1">
      <c r="C440" s="13"/>
      <c r="D440" s="13"/>
      <c r="E440" s="13"/>
      <c r="F440" s="13"/>
      <c r="G440" s="1027"/>
    </row>
    <row r="441" ht="14.25" customHeight="1">
      <c r="C441" s="13"/>
      <c r="D441" s="13"/>
      <c r="E441" s="13"/>
      <c r="F441" s="13"/>
      <c r="G441" s="1027"/>
    </row>
    <row r="442" ht="14.25" customHeight="1">
      <c r="C442" s="13"/>
      <c r="D442" s="13"/>
      <c r="E442" s="13"/>
      <c r="F442" s="13"/>
      <c r="G442" s="1027"/>
    </row>
    <row r="443" ht="14.25" customHeight="1">
      <c r="C443" s="13"/>
      <c r="D443" s="13"/>
      <c r="E443" s="13"/>
      <c r="F443" s="13"/>
      <c r="G443" s="1027"/>
    </row>
    <row r="444" ht="14.25" customHeight="1">
      <c r="C444" s="13"/>
      <c r="D444" s="13"/>
      <c r="E444" s="13"/>
      <c r="F444" s="13"/>
      <c r="G444" s="1027"/>
    </row>
    <row r="445" ht="14.25" customHeight="1">
      <c r="C445" s="13"/>
      <c r="D445" s="13"/>
      <c r="E445" s="13"/>
      <c r="F445" s="13"/>
      <c r="G445" s="1027"/>
    </row>
    <row r="446" ht="14.25" customHeight="1">
      <c r="C446" s="13"/>
      <c r="D446" s="13"/>
      <c r="E446" s="13"/>
      <c r="F446" s="13"/>
      <c r="G446" s="1027"/>
    </row>
    <row r="447" ht="14.25" customHeight="1">
      <c r="C447" s="13"/>
      <c r="D447" s="13"/>
      <c r="E447" s="13"/>
      <c r="F447" s="13"/>
      <c r="G447" s="1027"/>
    </row>
    <row r="448" ht="14.25" customHeight="1">
      <c r="C448" s="13"/>
      <c r="D448" s="13"/>
      <c r="E448" s="13"/>
      <c r="F448" s="13"/>
      <c r="G448" s="1027"/>
    </row>
    <row r="449" ht="14.25" customHeight="1">
      <c r="C449" s="13"/>
      <c r="D449" s="13"/>
      <c r="E449" s="13"/>
      <c r="F449" s="13"/>
      <c r="G449" s="1027"/>
    </row>
    <row r="450" ht="14.25" customHeight="1">
      <c r="C450" s="13"/>
      <c r="D450" s="13"/>
      <c r="E450" s="13"/>
      <c r="F450" s="13"/>
      <c r="G450" s="1027"/>
    </row>
    <row r="451" ht="14.25" customHeight="1">
      <c r="C451" s="13"/>
      <c r="D451" s="13"/>
      <c r="E451" s="13"/>
      <c r="F451" s="13"/>
      <c r="G451" s="1027"/>
    </row>
    <row r="452" ht="14.25" customHeight="1">
      <c r="C452" s="13"/>
      <c r="D452" s="13"/>
      <c r="E452" s="13"/>
      <c r="F452" s="13"/>
      <c r="G452" s="1027"/>
    </row>
    <row r="453" ht="14.25" customHeight="1">
      <c r="C453" s="13"/>
      <c r="D453" s="13"/>
      <c r="E453" s="13"/>
      <c r="F453" s="13"/>
      <c r="G453" s="1027"/>
    </row>
    <row r="454" ht="14.25" customHeight="1">
      <c r="C454" s="13"/>
      <c r="D454" s="13"/>
      <c r="E454" s="13"/>
      <c r="F454" s="13"/>
      <c r="G454" s="1027"/>
    </row>
    <row r="455" ht="14.25" customHeight="1">
      <c r="C455" s="13"/>
      <c r="D455" s="13"/>
      <c r="E455" s="13"/>
      <c r="F455" s="13"/>
      <c r="G455" s="1027"/>
    </row>
    <row r="456" ht="14.25" customHeight="1">
      <c r="C456" s="13"/>
      <c r="D456" s="13"/>
      <c r="E456" s="13"/>
      <c r="F456" s="13"/>
      <c r="G456" s="1027"/>
    </row>
    <row r="457" ht="14.25" customHeight="1">
      <c r="C457" s="13"/>
      <c r="D457" s="13"/>
      <c r="E457" s="13"/>
      <c r="F457" s="13"/>
      <c r="G457" s="1027"/>
    </row>
    <row r="458" ht="14.25" customHeight="1">
      <c r="C458" s="13"/>
      <c r="D458" s="13"/>
      <c r="E458" s="13"/>
      <c r="F458" s="13"/>
      <c r="G458" s="1027"/>
    </row>
    <row r="459" ht="14.25" customHeight="1">
      <c r="C459" s="13"/>
      <c r="D459" s="13"/>
      <c r="E459" s="13"/>
      <c r="F459" s="13"/>
      <c r="G459" s="1027"/>
    </row>
    <row r="460" ht="14.25" customHeight="1">
      <c r="C460" s="13"/>
      <c r="D460" s="13"/>
      <c r="E460" s="13"/>
      <c r="F460" s="13"/>
      <c r="G460" s="1027"/>
    </row>
    <row r="461" ht="14.25" customHeight="1">
      <c r="C461" s="13"/>
      <c r="D461" s="13"/>
      <c r="E461" s="13"/>
      <c r="F461" s="13"/>
      <c r="G461" s="1027"/>
    </row>
    <row r="462" ht="14.25" customHeight="1">
      <c r="C462" s="13"/>
      <c r="D462" s="13"/>
      <c r="E462" s="13"/>
      <c r="F462" s="13"/>
      <c r="G462" s="1027"/>
    </row>
    <row r="463" ht="14.25" customHeight="1">
      <c r="C463" s="13"/>
      <c r="D463" s="13"/>
      <c r="E463" s="13"/>
      <c r="F463" s="13"/>
      <c r="G463" s="1027"/>
    </row>
    <row r="464" ht="14.25" customHeight="1">
      <c r="C464" s="13"/>
      <c r="D464" s="13"/>
      <c r="E464" s="13"/>
      <c r="F464" s="13"/>
      <c r="G464" s="1027"/>
    </row>
    <row r="465" ht="14.25" customHeight="1">
      <c r="C465" s="13"/>
      <c r="D465" s="13"/>
      <c r="E465" s="13"/>
      <c r="F465" s="13"/>
      <c r="G465" s="1027"/>
    </row>
    <row r="466" ht="14.25" customHeight="1">
      <c r="C466" s="13"/>
      <c r="D466" s="13"/>
      <c r="E466" s="13"/>
      <c r="F466" s="13"/>
      <c r="G466" s="1027"/>
    </row>
    <row r="467" ht="14.25" customHeight="1">
      <c r="C467" s="13"/>
      <c r="D467" s="13"/>
      <c r="E467" s="13"/>
      <c r="F467" s="13"/>
      <c r="G467" s="1027"/>
    </row>
    <row r="468" ht="14.25" customHeight="1">
      <c r="C468" s="13"/>
      <c r="D468" s="13"/>
      <c r="E468" s="13"/>
      <c r="F468" s="13"/>
      <c r="G468" s="1027"/>
    </row>
    <row r="469" ht="14.25" customHeight="1">
      <c r="C469" s="13"/>
      <c r="D469" s="13"/>
      <c r="E469" s="13"/>
      <c r="F469" s="13"/>
      <c r="G469" s="1027"/>
    </row>
    <row r="470" ht="14.25" customHeight="1">
      <c r="C470" s="13"/>
      <c r="D470" s="13"/>
      <c r="E470" s="13"/>
      <c r="F470" s="13"/>
      <c r="G470" s="1027"/>
    </row>
    <row r="471" ht="14.25" customHeight="1">
      <c r="C471" s="13"/>
      <c r="D471" s="13"/>
      <c r="E471" s="13"/>
      <c r="F471" s="13"/>
      <c r="G471" s="1027"/>
    </row>
    <row r="472" ht="14.25" customHeight="1">
      <c r="C472" s="13"/>
      <c r="D472" s="13"/>
      <c r="E472" s="13"/>
      <c r="F472" s="13"/>
      <c r="G472" s="1027"/>
    </row>
    <row r="473" ht="14.25" customHeight="1">
      <c r="C473" s="13"/>
      <c r="D473" s="13"/>
      <c r="E473" s="13"/>
      <c r="F473" s="13"/>
      <c r="G473" s="1027"/>
    </row>
    <row r="474" ht="14.25" customHeight="1">
      <c r="C474" s="13"/>
      <c r="D474" s="13"/>
      <c r="E474" s="13"/>
      <c r="F474" s="13"/>
      <c r="G474" s="1027"/>
    </row>
    <row r="475" ht="14.25" customHeight="1">
      <c r="C475" s="13"/>
      <c r="D475" s="13"/>
      <c r="E475" s="13"/>
      <c r="F475" s="13"/>
      <c r="G475" s="1027"/>
    </row>
    <row r="476" ht="14.25" customHeight="1">
      <c r="C476" s="13"/>
      <c r="D476" s="13"/>
      <c r="E476" s="13"/>
      <c r="F476" s="13"/>
      <c r="G476" s="1027"/>
    </row>
    <row r="477" ht="14.25" customHeight="1">
      <c r="C477" s="13"/>
      <c r="D477" s="13"/>
      <c r="E477" s="13"/>
      <c r="F477" s="13"/>
      <c r="G477" s="1027"/>
    </row>
    <row r="478" ht="14.25" customHeight="1">
      <c r="C478" s="13"/>
      <c r="D478" s="13"/>
      <c r="E478" s="13"/>
      <c r="F478" s="13"/>
      <c r="G478" s="1027"/>
    </row>
    <row r="479" ht="14.25" customHeight="1">
      <c r="C479" s="13"/>
      <c r="D479" s="13"/>
      <c r="E479" s="13"/>
      <c r="F479" s="13"/>
      <c r="G479" s="1027"/>
    </row>
    <row r="480" ht="14.25" customHeight="1">
      <c r="C480" s="13"/>
      <c r="D480" s="13"/>
      <c r="E480" s="13"/>
      <c r="F480" s="13"/>
      <c r="G480" s="1027"/>
    </row>
    <row r="481" ht="14.25" customHeight="1">
      <c r="C481" s="13"/>
      <c r="D481" s="13"/>
      <c r="E481" s="13"/>
      <c r="F481" s="13"/>
      <c r="G481" s="1027"/>
    </row>
    <row r="482" ht="14.25" customHeight="1">
      <c r="C482" s="13"/>
      <c r="D482" s="13"/>
      <c r="E482" s="13"/>
      <c r="F482" s="13"/>
      <c r="G482" s="1027"/>
    </row>
    <row r="483" ht="14.25" customHeight="1">
      <c r="C483" s="13"/>
      <c r="D483" s="13"/>
      <c r="E483" s="13"/>
      <c r="F483" s="13"/>
      <c r="G483" s="1027"/>
    </row>
    <row r="484" ht="14.25" customHeight="1">
      <c r="C484" s="13"/>
      <c r="D484" s="13"/>
      <c r="E484" s="13"/>
      <c r="F484" s="13"/>
      <c r="G484" s="1027"/>
    </row>
    <row r="485" ht="14.25" customHeight="1">
      <c r="C485" s="13"/>
      <c r="D485" s="13"/>
      <c r="E485" s="13"/>
      <c r="F485" s="13"/>
      <c r="G485" s="1027"/>
    </row>
    <row r="486" ht="14.25" customHeight="1">
      <c r="C486" s="13"/>
      <c r="D486" s="13"/>
      <c r="E486" s="13"/>
      <c r="F486" s="13"/>
      <c r="G486" s="1027"/>
    </row>
    <row r="487" ht="14.25" customHeight="1">
      <c r="C487" s="13"/>
      <c r="D487" s="13"/>
      <c r="E487" s="13"/>
      <c r="F487" s="13"/>
      <c r="G487" s="1027"/>
    </row>
    <row r="488" ht="14.25" customHeight="1">
      <c r="C488" s="13"/>
      <c r="D488" s="13"/>
      <c r="E488" s="13"/>
      <c r="F488" s="13"/>
      <c r="G488" s="1027"/>
    </row>
    <row r="489" ht="14.25" customHeight="1">
      <c r="C489" s="13"/>
      <c r="D489" s="13"/>
      <c r="E489" s="13"/>
      <c r="F489" s="13"/>
      <c r="G489" s="1027"/>
    </row>
    <row r="490" ht="14.25" customHeight="1">
      <c r="C490" s="13"/>
      <c r="D490" s="13"/>
      <c r="E490" s="13"/>
      <c r="F490" s="13"/>
      <c r="G490" s="1027"/>
    </row>
    <row r="491" ht="14.25" customHeight="1">
      <c r="C491" s="13"/>
      <c r="D491" s="13"/>
      <c r="E491" s="13"/>
      <c r="F491" s="13"/>
      <c r="G491" s="1027"/>
    </row>
    <row r="492" ht="14.25" customHeight="1">
      <c r="C492" s="13"/>
      <c r="D492" s="13"/>
      <c r="E492" s="13"/>
      <c r="F492" s="13"/>
      <c r="G492" s="1027"/>
    </row>
    <row r="493" ht="14.25" customHeight="1">
      <c r="C493" s="13"/>
      <c r="D493" s="13"/>
      <c r="E493" s="13"/>
      <c r="F493" s="13"/>
      <c r="G493" s="1027"/>
    </row>
    <row r="494" ht="14.25" customHeight="1">
      <c r="C494" s="13"/>
      <c r="D494" s="13"/>
      <c r="E494" s="13"/>
      <c r="F494" s="13"/>
      <c r="G494" s="1027"/>
    </row>
    <row r="495" ht="14.25" customHeight="1">
      <c r="C495" s="13"/>
      <c r="D495" s="13"/>
      <c r="E495" s="13"/>
      <c r="F495" s="13"/>
      <c r="G495" s="1027"/>
    </row>
    <row r="496" ht="14.25" customHeight="1">
      <c r="C496" s="13"/>
      <c r="D496" s="13"/>
      <c r="E496" s="13"/>
      <c r="F496" s="13"/>
      <c r="G496" s="1027"/>
    </row>
    <row r="497" ht="14.25" customHeight="1">
      <c r="C497" s="13"/>
      <c r="D497" s="13"/>
      <c r="E497" s="13"/>
      <c r="F497" s="13"/>
      <c r="G497" s="1027"/>
    </row>
    <row r="498" ht="14.25" customHeight="1">
      <c r="C498" s="13"/>
      <c r="D498" s="13"/>
      <c r="E498" s="13"/>
      <c r="F498" s="13"/>
      <c r="G498" s="1027"/>
    </row>
    <row r="499" ht="14.25" customHeight="1">
      <c r="C499" s="13"/>
      <c r="D499" s="13"/>
      <c r="E499" s="13"/>
      <c r="F499" s="13"/>
      <c r="G499" s="1027"/>
    </row>
    <row r="500" ht="14.25" customHeight="1">
      <c r="C500" s="13"/>
      <c r="D500" s="13"/>
      <c r="E500" s="13"/>
      <c r="F500" s="13"/>
      <c r="G500" s="1027"/>
    </row>
    <row r="501" ht="14.25" customHeight="1">
      <c r="C501" s="13"/>
      <c r="D501" s="13"/>
      <c r="E501" s="13"/>
      <c r="F501" s="13"/>
      <c r="G501" s="1027"/>
    </row>
    <row r="502" ht="14.25" customHeight="1">
      <c r="C502" s="13"/>
      <c r="D502" s="13"/>
      <c r="E502" s="13"/>
      <c r="F502" s="13"/>
      <c r="G502" s="1027"/>
    </row>
    <row r="503" ht="14.25" customHeight="1">
      <c r="C503" s="13"/>
      <c r="D503" s="13"/>
      <c r="E503" s="13"/>
      <c r="F503" s="13"/>
      <c r="G503" s="1027"/>
    </row>
    <row r="504" ht="14.25" customHeight="1">
      <c r="C504" s="13"/>
      <c r="D504" s="13"/>
      <c r="E504" s="13"/>
      <c r="F504" s="13"/>
      <c r="G504" s="1027"/>
    </row>
    <row r="505" ht="14.25" customHeight="1">
      <c r="C505" s="13"/>
      <c r="D505" s="13"/>
      <c r="E505" s="13"/>
      <c r="F505" s="13"/>
      <c r="G505" s="1027"/>
    </row>
    <row r="506" ht="14.25" customHeight="1">
      <c r="C506" s="13"/>
      <c r="D506" s="13"/>
      <c r="E506" s="13"/>
      <c r="F506" s="13"/>
      <c r="G506" s="1027"/>
    </row>
    <row r="507" ht="14.25" customHeight="1">
      <c r="C507" s="13"/>
      <c r="D507" s="13"/>
      <c r="E507" s="13"/>
      <c r="F507" s="13"/>
      <c r="G507" s="1027"/>
    </row>
    <row r="508" ht="14.25" customHeight="1">
      <c r="C508" s="13"/>
      <c r="D508" s="13"/>
      <c r="E508" s="13"/>
      <c r="F508" s="13"/>
      <c r="G508" s="1027"/>
    </row>
    <row r="509" ht="14.25" customHeight="1">
      <c r="C509" s="13"/>
      <c r="D509" s="13"/>
      <c r="E509" s="13"/>
      <c r="F509" s="13"/>
      <c r="G509" s="1027"/>
    </row>
    <row r="510" ht="14.25" customHeight="1">
      <c r="C510" s="13"/>
      <c r="D510" s="13"/>
      <c r="E510" s="13"/>
      <c r="F510" s="13"/>
      <c r="G510" s="1027"/>
    </row>
    <row r="511" ht="14.25" customHeight="1">
      <c r="C511" s="13"/>
      <c r="D511" s="13"/>
      <c r="E511" s="13"/>
      <c r="F511" s="13"/>
      <c r="G511" s="1027"/>
    </row>
    <row r="512" ht="14.25" customHeight="1">
      <c r="C512" s="13"/>
      <c r="D512" s="13"/>
      <c r="E512" s="13"/>
      <c r="F512" s="13"/>
      <c r="G512" s="1027"/>
    </row>
    <row r="513" ht="14.25" customHeight="1">
      <c r="C513" s="13"/>
      <c r="D513" s="13"/>
      <c r="E513" s="13"/>
      <c r="F513" s="13"/>
      <c r="G513" s="1027"/>
    </row>
    <row r="514" ht="14.25" customHeight="1">
      <c r="C514" s="13"/>
      <c r="D514" s="13"/>
      <c r="E514" s="13"/>
      <c r="F514" s="13"/>
      <c r="G514" s="1027"/>
    </row>
    <row r="515" ht="14.25" customHeight="1">
      <c r="C515" s="13"/>
      <c r="D515" s="13"/>
      <c r="E515" s="13"/>
      <c r="F515" s="13"/>
      <c r="G515" s="1027"/>
    </row>
    <row r="516" ht="14.25" customHeight="1">
      <c r="C516" s="13"/>
      <c r="D516" s="13"/>
      <c r="E516" s="13"/>
      <c r="F516" s="13"/>
      <c r="G516" s="1027"/>
    </row>
    <row r="517" ht="14.25" customHeight="1">
      <c r="C517" s="13"/>
      <c r="D517" s="13"/>
      <c r="E517" s="13"/>
      <c r="F517" s="13"/>
      <c r="G517" s="1027"/>
    </row>
    <row r="518" ht="14.25" customHeight="1">
      <c r="C518" s="13"/>
      <c r="D518" s="13"/>
      <c r="E518" s="13"/>
      <c r="F518" s="13"/>
      <c r="G518" s="1027"/>
    </row>
    <row r="519" ht="14.25" customHeight="1">
      <c r="C519" s="13"/>
      <c r="D519" s="13"/>
      <c r="E519" s="13"/>
      <c r="F519" s="13"/>
      <c r="G519" s="1027"/>
    </row>
    <row r="520" ht="14.25" customHeight="1">
      <c r="C520" s="13"/>
      <c r="D520" s="13"/>
      <c r="E520" s="13"/>
      <c r="F520" s="13"/>
      <c r="G520" s="1027"/>
    </row>
    <row r="521" ht="14.25" customHeight="1">
      <c r="C521" s="13"/>
      <c r="D521" s="13"/>
      <c r="E521" s="13"/>
      <c r="F521" s="13"/>
      <c r="G521" s="1027"/>
    </row>
    <row r="522" ht="14.25" customHeight="1">
      <c r="C522" s="13"/>
      <c r="D522" s="13"/>
      <c r="E522" s="13"/>
      <c r="F522" s="13"/>
      <c r="G522" s="1027"/>
    </row>
    <row r="523" ht="14.25" customHeight="1">
      <c r="C523" s="13"/>
      <c r="D523" s="13"/>
      <c r="E523" s="13"/>
      <c r="F523" s="13"/>
      <c r="G523" s="1027"/>
    </row>
    <row r="524" ht="14.25" customHeight="1">
      <c r="C524" s="13"/>
      <c r="D524" s="13"/>
      <c r="E524" s="13"/>
      <c r="F524" s="13"/>
      <c r="G524" s="1027"/>
    </row>
    <row r="525" ht="14.25" customHeight="1">
      <c r="C525" s="13"/>
      <c r="D525" s="13"/>
      <c r="E525" s="13"/>
      <c r="F525" s="13"/>
      <c r="G525" s="1027"/>
    </row>
    <row r="526" ht="14.25" customHeight="1">
      <c r="C526" s="13"/>
      <c r="D526" s="13"/>
      <c r="E526" s="13"/>
      <c r="F526" s="13"/>
      <c r="G526" s="1027"/>
    </row>
    <row r="527" ht="14.25" customHeight="1">
      <c r="C527" s="13"/>
      <c r="D527" s="13"/>
      <c r="E527" s="13"/>
      <c r="F527" s="13"/>
      <c r="G527" s="1027"/>
    </row>
    <row r="528" ht="14.25" customHeight="1">
      <c r="C528" s="13"/>
      <c r="D528" s="13"/>
      <c r="E528" s="13"/>
      <c r="F528" s="13"/>
      <c r="G528" s="1027"/>
    </row>
    <row r="529" ht="14.25" customHeight="1">
      <c r="C529" s="13"/>
      <c r="D529" s="13"/>
      <c r="E529" s="13"/>
      <c r="F529" s="13"/>
      <c r="G529" s="1027"/>
    </row>
    <row r="530" ht="14.25" customHeight="1">
      <c r="C530" s="13"/>
      <c r="D530" s="13"/>
      <c r="E530" s="13"/>
      <c r="F530" s="13"/>
      <c r="G530" s="1027"/>
    </row>
    <row r="531" ht="14.25" customHeight="1">
      <c r="C531" s="13"/>
      <c r="D531" s="13"/>
      <c r="E531" s="13"/>
      <c r="F531" s="13"/>
      <c r="G531" s="1027"/>
    </row>
    <row r="532" ht="14.25" customHeight="1">
      <c r="C532" s="13"/>
      <c r="D532" s="13"/>
      <c r="E532" s="13"/>
      <c r="F532" s="13"/>
      <c r="G532" s="1027"/>
    </row>
    <row r="533" ht="14.25" customHeight="1">
      <c r="C533" s="13"/>
      <c r="D533" s="13"/>
      <c r="E533" s="13"/>
      <c r="F533" s="13"/>
      <c r="G533" s="1027"/>
    </row>
    <row r="534" ht="14.25" customHeight="1">
      <c r="C534" s="13"/>
      <c r="D534" s="13"/>
      <c r="E534" s="13"/>
      <c r="F534" s="13"/>
      <c r="G534" s="1027"/>
    </row>
    <row r="535" ht="14.25" customHeight="1">
      <c r="C535" s="13"/>
      <c r="D535" s="13"/>
      <c r="E535" s="13"/>
      <c r="F535" s="13"/>
      <c r="G535" s="1027"/>
    </row>
    <row r="536" ht="14.25" customHeight="1">
      <c r="C536" s="13"/>
      <c r="D536" s="13"/>
      <c r="E536" s="13"/>
      <c r="F536" s="13"/>
      <c r="G536" s="1027"/>
    </row>
    <row r="537" ht="14.25" customHeight="1">
      <c r="C537" s="13"/>
      <c r="D537" s="13"/>
      <c r="E537" s="13"/>
      <c r="F537" s="13"/>
      <c r="G537" s="1027"/>
    </row>
    <row r="538" ht="14.25" customHeight="1">
      <c r="C538" s="13"/>
      <c r="D538" s="13"/>
      <c r="E538" s="13"/>
      <c r="F538" s="13"/>
      <c r="G538" s="1027"/>
    </row>
    <row r="539" ht="14.25" customHeight="1">
      <c r="C539" s="13"/>
      <c r="D539" s="13"/>
      <c r="E539" s="13"/>
      <c r="F539" s="13"/>
      <c r="G539" s="1027"/>
    </row>
    <row r="540" ht="14.25" customHeight="1">
      <c r="C540" s="13"/>
      <c r="D540" s="13"/>
      <c r="E540" s="13"/>
      <c r="F540" s="13"/>
      <c r="G540" s="1027"/>
    </row>
    <row r="541" ht="14.25" customHeight="1">
      <c r="C541" s="13"/>
      <c r="D541" s="13"/>
      <c r="E541" s="13"/>
      <c r="F541" s="13"/>
      <c r="G541" s="1027"/>
    </row>
    <row r="542" ht="14.25" customHeight="1">
      <c r="C542" s="13"/>
      <c r="D542" s="13"/>
      <c r="E542" s="13"/>
      <c r="F542" s="13"/>
      <c r="G542" s="1027"/>
    </row>
    <row r="543" ht="14.25" customHeight="1">
      <c r="C543" s="13"/>
      <c r="D543" s="13"/>
      <c r="E543" s="13"/>
      <c r="F543" s="13"/>
      <c r="G543" s="1027"/>
    </row>
    <row r="544" ht="14.25" customHeight="1">
      <c r="C544" s="13"/>
      <c r="D544" s="13"/>
      <c r="E544" s="13"/>
      <c r="F544" s="13"/>
      <c r="G544" s="1027"/>
    </row>
    <row r="545" ht="14.25" customHeight="1">
      <c r="C545" s="13"/>
      <c r="D545" s="13"/>
      <c r="E545" s="13"/>
      <c r="F545" s="13"/>
      <c r="G545" s="1027"/>
    </row>
    <row r="546" ht="14.25" customHeight="1">
      <c r="C546" s="13"/>
      <c r="D546" s="13"/>
      <c r="E546" s="13"/>
      <c r="F546" s="13"/>
      <c r="G546" s="1027"/>
    </row>
    <row r="547" ht="14.25" customHeight="1">
      <c r="C547" s="13"/>
      <c r="D547" s="13"/>
      <c r="E547" s="13"/>
      <c r="F547" s="13"/>
      <c r="G547" s="1027"/>
    </row>
    <row r="548" ht="14.25" customHeight="1">
      <c r="C548" s="13"/>
      <c r="D548" s="13"/>
      <c r="E548" s="13"/>
      <c r="F548" s="13"/>
      <c r="G548" s="1027"/>
    </row>
    <row r="549" ht="14.25" customHeight="1">
      <c r="C549" s="13"/>
      <c r="D549" s="13"/>
      <c r="E549" s="13"/>
      <c r="F549" s="13"/>
      <c r="G549" s="1027"/>
    </row>
    <row r="550" ht="14.25" customHeight="1">
      <c r="C550" s="13"/>
      <c r="D550" s="13"/>
      <c r="E550" s="13"/>
      <c r="F550" s="13"/>
      <c r="G550" s="1027"/>
    </row>
    <row r="551" ht="14.25" customHeight="1">
      <c r="C551" s="13"/>
      <c r="D551" s="13"/>
      <c r="E551" s="13"/>
      <c r="F551" s="13"/>
      <c r="G551" s="1027"/>
    </row>
    <row r="552" ht="14.25" customHeight="1">
      <c r="C552" s="13"/>
      <c r="D552" s="13"/>
      <c r="E552" s="13"/>
      <c r="F552" s="13"/>
      <c r="G552" s="1027"/>
    </row>
    <row r="553" ht="14.25" customHeight="1">
      <c r="C553" s="13"/>
      <c r="D553" s="13"/>
      <c r="E553" s="13"/>
      <c r="F553" s="13"/>
      <c r="G553" s="1027"/>
    </row>
    <row r="554" ht="14.25" customHeight="1">
      <c r="C554" s="13"/>
      <c r="D554" s="13"/>
      <c r="E554" s="13"/>
      <c r="F554" s="13"/>
      <c r="G554" s="1027"/>
    </row>
    <row r="555" ht="14.25" customHeight="1">
      <c r="C555" s="13"/>
      <c r="D555" s="13"/>
      <c r="E555" s="13"/>
      <c r="F555" s="13"/>
      <c r="G555" s="1027"/>
    </row>
    <row r="556" ht="14.25" customHeight="1">
      <c r="C556" s="13"/>
      <c r="D556" s="13"/>
      <c r="E556" s="13"/>
      <c r="F556" s="13"/>
      <c r="G556" s="1027"/>
    </row>
    <row r="557" ht="14.25" customHeight="1">
      <c r="C557" s="13"/>
      <c r="D557" s="13"/>
      <c r="E557" s="13"/>
      <c r="F557" s="13"/>
      <c r="G557" s="1027"/>
    </row>
    <row r="558" ht="14.25" customHeight="1">
      <c r="C558" s="13"/>
      <c r="D558" s="13"/>
      <c r="E558" s="13"/>
      <c r="F558" s="13"/>
      <c r="G558" s="1027"/>
    </row>
    <row r="559" ht="14.25" customHeight="1">
      <c r="C559" s="13"/>
      <c r="D559" s="13"/>
      <c r="E559" s="13"/>
      <c r="F559" s="13"/>
      <c r="G559" s="1027"/>
    </row>
    <row r="560" ht="14.25" customHeight="1">
      <c r="C560" s="13"/>
      <c r="D560" s="13"/>
      <c r="E560" s="13"/>
      <c r="F560" s="13"/>
      <c r="G560" s="1027"/>
    </row>
    <row r="561" ht="14.25" customHeight="1">
      <c r="C561" s="13"/>
      <c r="D561" s="13"/>
      <c r="E561" s="13"/>
      <c r="F561" s="13"/>
      <c r="G561" s="1027"/>
    </row>
    <row r="562" ht="14.25" customHeight="1">
      <c r="C562" s="13"/>
      <c r="D562" s="13"/>
      <c r="E562" s="13"/>
      <c r="F562" s="13"/>
      <c r="G562" s="1027"/>
    </row>
    <row r="563" ht="14.25" customHeight="1">
      <c r="C563" s="13"/>
      <c r="D563" s="13"/>
      <c r="E563" s="13"/>
      <c r="F563" s="13"/>
      <c r="G563" s="1027"/>
    </row>
    <row r="564" ht="14.25" customHeight="1">
      <c r="C564" s="13"/>
      <c r="D564" s="13"/>
      <c r="E564" s="13"/>
      <c r="F564" s="13"/>
      <c r="G564" s="1027"/>
    </row>
    <row r="565" ht="14.25" customHeight="1">
      <c r="C565" s="13"/>
      <c r="D565" s="13"/>
      <c r="E565" s="13"/>
      <c r="F565" s="13"/>
      <c r="G565" s="1027"/>
    </row>
    <row r="566" ht="14.25" customHeight="1">
      <c r="C566" s="13"/>
      <c r="D566" s="13"/>
      <c r="E566" s="13"/>
      <c r="F566" s="13"/>
      <c r="G566" s="1027"/>
    </row>
    <row r="567" ht="14.25" customHeight="1">
      <c r="C567" s="13"/>
      <c r="D567" s="13"/>
      <c r="E567" s="13"/>
      <c r="F567" s="13"/>
      <c r="G567" s="1027"/>
    </row>
    <row r="568" ht="14.25" customHeight="1">
      <c r="C568" s="13"/>
      <c r="D568" s="13"/>
      <c r="E568" s="13"/>
      <c r="F568" s="13"/>
      <c r="G568" s="1027"/>
    </row>
    <row r="569" ht="14.25" customHeight="1">
      <c r="C569" s="13"/>
      <c r="D569" s="13"/>
      <c r="E569" s="13"/>
      <c r="F569" s="13"/>
      <c r="G569" s="1027"/>
    </row>
    <row r="570" ht="14.25" customHeight="1">
      <c r="C570" s="13"/>
      <c r="D570" s="13"/>
      <c r="E570" s="13"/>
      <c r="F570" s="13"/>
      <c r="G570" s="1027"/>
    </row>
    <row r="571" ht="14.25" customHeight="1">
      <c r="C571" s="13"/>
      <c r="D571" s="13"/>
      <c r="E571" s="13"/>
      <c r="F571" s="13"/>
      <c r="G571" s="1027"/>
    </row>
    <row r="572" ht="14.25" customHeight="1">
      <c r="C572" s="13"/>
      <c r="D572" s="13"/>
      <c r="E572" s="13"/>
      <c r="F572" s="13"/>
      <c r="G572" s="1027"/>
    </row>
    <row r="573" ht="14.25" customHeight="1">
      <c r="C573" s="13"/>
      <c r="D573" s="13"/>
      <c r="E573" s="13"/>
      <c r="F573" s="13"/>
      <c r="G573" s="1027"/>
    </row>
    <row r="574" ht="14.25" customHeight="1">
      <c r="C574" s="13"/>
      <c r="D574" s="13"/>
      <c r="E574" s="13"/>
      <c r="F574" s="13"/>
      <c r="G574" s="1027"/>
    </row>
    <row r="575" ht="14.25" customHeight="1">
      <c r="C575" s="13"/>
      <c r="D575" s="13"/>
      <c r="E575" s="13"/>
      <c r="F575" s="13"/>
      <c r="G575" s="1027"/>
    </row>
    <row r="576" ht="14.25" customHeight="1">
      <c r="C576" s="13"/>
      <c r="D576" s="13"/>
      <c r="E576" s="13"/>
      <c r="F576" s="13"/>
      <c r="G576" s="1027"/>
    </row>
    <row r="577" ht="14.25" customHeight="1">
      <c r="C577" s="13"/>
      <c r="D577" s="13"/>
      <c r="E577" s="13"/>
      <c r="F577" s="13"/>
      <c r="G577" s="1027"/>
    </row>
    <row r="578" ht="14.25" customHeight="1">
      <c r="C578" s="13"/>
      <c r="D578" s="13"/>
      <c r="E578" s="13"/>
      <c r="F578" s="13"/>
      <c r="G578" s="1027"/>
    </row>
    <row r="579" ht="14.25" customHeight="1">
      <c r="C579" s="13"/>
      <c r="D579" s="13"/>
      <c r="E579" s="13"/>
      <c r="F579" s="13"/>
      <c r="G579" s="1027"/>
    </row>
    <row r="580" ht="14.25" customHeight="1">
      <c r="C580" s="13"/>
      <c r="D580" s="13"/>
      <c r="E580" s="13"/>
      <c r="F580" s="13"/>
      <c r="G580" s="1027"/>
    </row>
    <row r="581" ht="14.25" customHeight="1">
      <c r="C581" s="13"/>
      <c r="D581" s="13"/>
      <c r="E581" s="13"/>
      <c r="F581" s="13"/>
      <c r="G581" s="1027"/>
    </row>
    <row r="582" ht="14.25" customHeight="1">
      <c r="C582" s="13"/>
      <c r="D582" s="13"/>
      <c r="E582" s="13"/>
      <c r="F582" s="13"/>
      <c r="G582" s="1027"/>
    </row>
    <row r="583" ht="14.25" customHeight="1">
      <c r="C583" s="13"/>
      <c r="D583" s="13"/>
      <c r="E583" s="13"/>
      <c r="F583" s="13"/>
      <c r="G583" s="1027"/>
    </row>
    <row r="584" ht="14.25" customHeight="1">
      <c r="C584" s="13"/>
      <c r="D584" s="13"/>
      <c r="E584" s="13"/>
      <c r="F584" s="13"/>
      <c r="G584" s="1027"/>
    </row>
    <row r="585" ht="14.25" customHeight="1">
      <c r="C585" s="13"/>
      <c r="D585" s="13"/>
      <c r="E585" s="13"/>
      <c r="F585" s="13"/>
      <c r="G585" s="1027"/>
    </row>
    <row r="586" ht="14.25" customHeight="1">
      <c r="C586" s="13"/>
      <c r="D586" s="13"/>
      <c r="E586" s="13"/>
      <c r="F586" s="13"/>
      <c r="G586" s="1027"/>
    </row>
    <row r="587" ht="14.25" customHeight="1">
      <c r="C587" s="13"/>
      <c r="D587" s="13"/>
      <c r="E587" s="13"/>
      <c r="F587" s="13"/>
      <c r="G587" s="1027"/>
    </row>
    <row r="588" ht="14.25" customHeight="1">
      <c r="C588" s="13"/>
      <c r="D588" s="13"/>
      <c r="E588" s="13"/>
      <c r="F588" s="13"/>
      <c r="G588" s="1027"/>
    </row>
    <row r="589" ht="14.25" customHeight="1">
      <c r="C589" s="13"/>
      <c r="D589" s="13"/>
      <c r="E589" s="13"/>
      <c r="F589" s="13"/>
      <c r="G589" s="1027"/>
    </row>
    <row r="590" ht="14.25" customHeight="1">
      <c r="C590" s="13"/>
      <c r="D590" s="13"/>
      <c r="E590" s="13"/>
      <c r="F590" s="13"/>
      <c r="G590" s="1027"/>
    </row>
    <row r="591" ht="14.25" customHeight="1">
      <c r="C591" s="13"/>
      <c r="D591" s="13"/>
      <c r="E591" s="13"/>
      <c r="F591" s="13"/>
      <c r="G591" s="1027"/>
    </row>
    <row r="592" ht="14.25" customHeight="1">
      <c r="C592" s="13"/>
      <c r="D592" s="13"/>
      <c r="E592" s="13"/>
      <c r="F592" s="13"/>
      <c r="G592" s="1027"/>
    </row>
    <row r="593" ht="14.25" customHeight="1">
      <c r="C593" s="13"/>
      <c r="D593" s="13"/>
      <c r="E593" s="13"/>
      <c r="F593" s="13"/>
      <c r="G593" s="1027"/>
    </row>
    <row r="594" ht="14.25" customHeight="1">
      <c r="C594" s="13"/>
      <c r="D594" s="13"/>
      <c r="E594" s="13"/>
      <c r="F594" s="13"/>
      <c r="G594" s="1027"/>
    </row>
    <row r="595" ht="14.25" customHeight="1">
      <c r="C595" s="13"/>
      <c r="D595" s="13"/>
      <c r="E595" s="13"/>
      <c r="F595" s="13"/>
      <c r="G595" s="1027"/>
    </row>
    <row r="596" ht="14.25" customHeight="1">
      <c r="C596" s="13"/>
      <c r="D596" s="13"/>
      <c r="E596" s="13"/>
      <c r="F596" s="13"/>
      <c r="G596" s="1027"/>
    </row>
    <row r="597" ht="14.25" customHeight="1">
      <c r="C597" s="13"/>
      <c r="D597" s="13"/>
      <c r="E597" s="13"/>
      <c r="F597" s="13"/>
      <c r="G597" s="1027"/>
    </row>
    <row r="598" ht="14.25" customHeight="1">
      <c r="C598" s="13"/>
      <c r="D598" s="13"/>
      <c r="E598" s="13"/>
      <c r="F598" s="13"/>
      <c r="G598" s="1027"/>
    </row>
    <row r="599" ht="14.25" customHeight="1">
      <c r="C599" s="13"/>
      <c r="D599" s="13"/>
      <c r="E599" s="13"/>
      <c r="F599" s="13"/>
      <c r="G599" s="1027"/>
    </row>
    <row r="600" ht="14.25" customHeight="1">
      <c r="C600" s="13"/>
      <c r="D600" s="13"/>
      <c r="E600" s="13"/>
      <c r="F600" s="13"/>
      <c r="G600" s="1027"/>
    </row>
    <row r="601" ht="14.25" customHeight="1">
      <c r="C601" s="13"/>
      <c r="D601" s="13"/>
      <c r="E601" s="13"/>
      <c r="F601" s="13"/>
      <c r="G601" s="1027"/>
    </row>
    <row r="602" ht="14.25" customHeight="1">
      <c r="C602" s="13"/>
      <c r="D602" s="13"/>
      <c r="E602" s="13"/>
      <c r="F602" s="13"/>
      <c r="G602" s="1027"/>
    </row>
    <row r="603" ht="14.25" customHeight="1">
      <c r="C603" s="13"/>
      <c r="D603" s="13"/>
      <c r="E603" s="13"/>
      <c r="F603" s="13"/>
      <c r="G603" s="1027"/>
    </row>
    <row r="604" ht="14.25" customHeight="1">
      <c r="C604" s="13"/>
      <c r="D604" s="13"/>
      <c r="E604" s="13"/>
      <c r="F604" s="13"/>
      <c r="G604" s="1027"/>
    </row>
    <row r="605" ht="14.25" customHeight="1">
      <c r="C605" s="13"/>
      <c r="D605" s="13"/>
      <c r="E605" s="13"/>
      <c r="F605" s="13"/>
      <c r="G605" s="1027"/>
    </row>
    <row r="606" ht="14.25" customHeight="1">
      <c r="C606" s="13"/>
      <c r="D606" s="13"/>
      <c r="E606" s="13"/>
      <c r="F606" s="13"/>
      <c r="G606" s="1027"/>
    </row>
    <row r="607" ht="14.25" customHeight="1">
      <c r="C607" s="13"/>
      <c r="D607" s="13"/>
      <c r="E607" s="13"/>
      <c r="F607" s="13"/>
      <c r="G607" s="1027"/>
    </row>
    <row r="608" ht="14.25" customHeight="1">
      <c r="C608" s="13"/>
      <c r="D608" s="13"/>
      <c r="E608" s="13"/>
      <c r="F608" s="13"/>
      <c r="G608" s="1027"/>
    </row>
    <row r="609" ht="14.25" customHeight="1">
      <c r="C609" s="13"/>
      <c r="D609" s="13"/>
      <c r="E609" s="13"/>
      <c r="F609" s="13"/>
      <c r="G609" s="1027"/>
    </row>
    <row r="610" ht="14.25" customHeight="1">
      <c r="C610" s="13"/>
      <c r="D610" s="13"/>
      <c r="E610" s="13"/>
      <c r="F610" s="13"/>
      <c r="G610" s="1027"/>
    </row>
    <row r="611" ht="14.25" customHeight="1">
      <c r="C611" s="13"/>
      <c r="D611" s="13"/>
      <c r="E611" s="13"/>
      <c r="F611" s="13"/>
      <c r="G611" s="1027"/>
    </row>
    <row r="612" ht="14.25" customHeight="1">
      <c r="C612" s="13"/>
      <c r="D612" s="13"/>
      <c r="E612" s="13"/>
      <c r="F612" s="13"/>
      <c r="G612" s="1027"/>
    </row>
    <row r="613" ht="14.25" customHeight="1">
      <c r="C613" s="13"/>
      <c r="D613" s="13"/>
      <c r="E613" s="13"/>
      <c r="F613" s="13"/>
      <c r="G613" s="1027"/>
    </row>
    <row r="614" ht="14.25" customHeight="1">
      <c r="C614" s="13"/>
      <c r="D614" s="13"/>
      <c r="E614" s="13"/>
      <c r="F614" s="13"/>
      <c r="G614" s="1027"/>
    </row>
    <row r="615" ht="14.25" customHeight="1">
      <c r="C615" s="13"/>
      <c r="D615" s="13"/>
      <c r="E615" s="13"/>
      <c r="F615" s="13"/>
      <c r="G615" s="1027"/>
    </row>
    <row r="616" ht="14.25" customHeight="1">
      <c r="C616" s="13"/>
      <c r="D616" s="13"/>
      <c r="E616" s="13"/>
      <c r="F616" s="13"/>
      <c r="G616" s="1027"/>
    </row>
    <row r="617" ht="14.25" customHeight="1">
      <c r="C617" s="13"/>
      <c r="D617" s="13"/>
      <c r="E617" s="13"/>
      <c r="F617" s="13"/>
      <c r="G617" s="1027"/>
    </row>
    <row r="618" ht="14.25" customHeight="1">
      <c r="C618" s="13"/>
      <c r="D618" s="13"/>
      <c r="E618" s="13"/>
      <c r="F618" s="13"/>
      <c r="G618" s="1027"/>
    </row>
    <row r="619" ht="14.25" customHeight="1">
      <c r="C619" s="13"/>
      <c r="D619" s="13"/>
      <c r="E619" s="13"/>
      <c r="F619" s="13"/>
      <c r="G619" s="1027"/>
    </row>
    <row r="620" ht="14.25" customHeight="1">
      <c r="C620" s="13"/>
      <c r="D620" s="13"/>
      <c r="E620" s="13"/>
      <c r="F620" s="13"/>
      <c r="G620" s="1027"/>
    </row>
    <row r="621" ht="14.25" customHeight="1">
      <c r="C621" s="13"/>
      <c r="D621" s="13"/>
      <c r="E621" s="13"/>
      <c r="F621" s="13"/>
      <c r="G621" s="1027"/>
    </row>
    <row r="622" ht="14.25" customHeight="1">
      <c r="C622" s="13"/>
      <c r="D622" s="13"/>
      <c r="E622" s="13"/>
      <c r="F622" s="13"/>
      <c r="G622" s="1027"/>
    </row>
    <row r="623" ht="14.25" customHeight="1">
      <c r="C623" s="13"/>
      <c r="D623" s="13"/>
      <c r="E623" s="13"/>
      <c r="F623" s="13"/>
      <c r="G623" s="1027"/>
    </row>
    <row r="624" ht="14.25" customHeight="1">
      <c r="C624" s="13"/>
      <c r="D624" s="13"/>
      <c r="E624" s="13"/>
      <c r="F624" s="13"/>
      <c r="G624" s="1027"/>
    </row>
    <row r="625" ht="14.25" customHeight="1">
      <c r="C625" s="13"/>
      <c r="D625" s="13"/>
      <c r="E625" s="13"/>
      <c r="F625" s="13"/>
      <c r="G625" s="1027"/>
    </row>
    <row r="626" ht="14.25" customHeight="1">
      <c r="C626" s="13"/>
      <c r="D626" s="13"/>
      <c r="E626" s="13"/>
      <c r="F626" s="13"/>
      <c r="G626" s="1027"/>
    </row>
    <row r="627" ht="14.25" customHeight="1">
      <c r="C627" s="13"/>
      <c r="D627" s="13"/>
      <c r="E627" s="13"/>
      <c r="F627" s="13"/>
      <c r="G627" s="1027"/>
    </row>
    <row r="628" ht="14.25" customHeight="1">
      <c r="C628" s="13"/>
      <c r="D628" s="13"/>
      <c r="E628" s="13"/>
      <c r="F628" s="13"/>
      <c r="G628" s="1027"/>
    </row>
    <row r="629" ht="14.25" customHeight="1">
      <c r="C629" s="13"/>
      <c r="D629" s="13"/>
      <c r="E629" s="13"/>
      <c r="F629" s="13"/>
      <c r="G629" s="1027"/>
    </row>
    <row r="630" ht="14.25" customHeight="1">
      <c r="C630" s="13"/>
      <c r="D630" s="13"/>
      <c r="E630" s="13"/>
      <c r="F630" s="13"/>
      <c r="G630" s="1027"/>
    </row>
    <row r="631" ht="14.25" customHeight="1">
      <c r="C631" s="13"/>
      <c r="D631" s="13"/>
      <c r="E631" s="13"/>
      <c r="F631" s="13"/>
      <c r="G631" s="1027"/>
    </row>
    <row r="632" ht="14.25" customHeight="1">
      <c r="C632" s="13"/>
      <c r="D632" s="13"/>
      <c r="E632" s="13"/>
      <c r="F632" s="13"/>
      <c r="G632" s="1027"/>
    </row>
    <row r="633" ht="14.25" customHeight="1">
      <c r="C633" s="13"/>
      <c r="D633" s="13"/>
      <c r="E633" s="13"/>
      <c r="F633" s="13"/>
      <c r="G633" s="1027"/>
    </row>
    <row r="634" ht="14.25" customHeight="1">
      <c r="C634" s="13"/>
      <c r="D634" s="13"/>
      <c r="E634" s="13"/>
      <c r="F634" s="13"/>
      <c r="G634" s="1027"/>
    </row>
    <row r="635" ht="14.25" customHeight="1">
      <c r="C635" s="13"/>
      <c r="D635" s="13"/>
      <c r="E635" s="13"/>
      <c r="F635" s="13"/>
      <c r="G635" s="1027"/>
    </row>
    <row r="636" ht="14.25" customHeight="1">
      <c r="C636" s="13"/>
      <c r="D636" s="13"/>
      <c r="E636" s="13"/>
      <c r="F636" s="13"/>
      <c r="G636" s="1027"/>
    </row>
    <row r="637" ht="14.25" customHeight="1">
      <c r="C637" s="13"/>
      <c r="D637" s="13"/>
      <c r="E637" s="13"/>
      <c r="F637" s="13"/>
      <c r="G637" s="1027"/>
    </row>
    <row r="638" ht="14.25" customHeight="1">
      <c r="C638" s="13"/>
      <c r="D638" s="13"/>
      <c r="E638" s="13"/>
      <c r="F638" s="13"/>
      <c r="G638" s="1027"/>
    </row>
    <row r="639" ht="14.25" customHeight="1">
      <c r="C639" s="13"/>
      <c r="D639" s="13"/>
      <c r="E639" s="13"/>
      <c r="F639" s="13"/>
      <c r="G639" s="1027"/>
    </row>
    <row r="640" ht="14.25" customHeight="1">
      <c r="C640" s="13"/>
      <c r="D640" s="13"/>
      <c r="E640" s="13"/>
      <c r="F640" s="13"/>
      <c r="G640" s="1027"/>
    </row>
    <row r="641" ht="14.25" customHeight="1">
      <c r="C641" s="13"/>
      <c r="D641" s="13"/>
      <c r="E641" s="13"/>
      <c r="F641" s="13"/>
      <c r="G641" s="1027"/>
    </row>
    <row r="642" ht="14.25" customHeight="1">
      <c r="C642" s="13"/>
      <c r="D642" s="13"/>
      <c r="E642" s="13"/>
      <c r="F642" s="13"/>
      <c r="G642" s="1027"/>
    </row>
    <row r="643" ht="14.25" customHeight="1">
      <c r="C643" s="13"/>
      <c r="D643" s="13"/>
      <c r="E643" s="13"/>
      <c r="F643" s="13"/>
      <c r="G643" s="1027"/>
    </row>
    <row r="644" ht="14.25" customHeight="1">
      <c r="C644" s="13"/>
      <c r="D644" s="13"/>
      <c r="E644" s="13"/>
      <c r="F644" s="13"/>
      <c r="G644" s="1027"/>
    </row>
    <row r="645" ht="14.25" customHeight="1">
      <c r="C645" s="13"/>
      <c r="D645" s="13"/>
      <c r="E645" s="13"/>
      <c r="F645" s="13"/>
      <c r="G645" s="1027"/>
    </row>
    <row r="646" ht="14.25" customHeight="1">
      <c r="C646" s="13"/>
      <c r="D646" s="13"/>
      <c r="E646" s="13"/>
      <c r="F646" s="13"/>
      <c r="G646" s="1027"/>
    </row>
    <row r="647" ht="14.25" customHeight="1">
      <c r="C647" s="13"/>
      <c r="D647" s="13"/>
      <c r="E647" s="13"/>
      <c r="F647" s="13"/>
      <c r="G647" s="1027"/>
    </row>
    <row r="648" ht="14.25" customHeight="1">
      <c r="C648" s="13"/>
      <c r="D648" s="13"/>
      <c r="E648" s="13"/>
      <c r="F648" s="13"/>
      <c r="G648" s="1027"/>
    </row>
    <row r="649" ht="14.25" customHeight="1">
      <c r="C649" s="13"/>
      <c r="D649" s="13"/>
      <c r="E649" s="13"/>
      <c r="F649" s="13"/>
      <c r="G649" s="1027"/>
    </row>
    <row r="650" ht="14.25" customHeight="1">
      <c r="C650" s="13"/>
      <c r="D650" s="13"/>
      <c r="E650" s="13"/>
      <c r="F650" s="13"/>
      <c r="G650" s="1027"/>
    </row>
    <row r="651" ht="14.25" customHeight="1">
      <c r="C651" s="13"/>
      <c r="D651" s="13"/>
      <c r="E651" s="13"/>
      <c r="F651" s="13"/>
      <c r="G651" s="1027"/>
    </row>
    <row r="652" ht="14.25" customHeight="1">
      <c r="C652" s="13"/>
      <c r="D652" s="13"/>
      <c r="E652" s="13"/>
      <c r="F652" s="13"/>
      <c r="G652" s="1027"/>
    </row>
    <row r="653" ht="14.25" customHeight="1">
      <c r="C653" s="13"/>
      <c r="D653" s="13"/>
      <c r="E653" s="13"/>
      <c r="F653" s="13"/>
      <c r="G653" s="1027"/>
    </row>
    <row r="654" ht="14.25" customHeight="1">
      <c r="C654" s="13"/>
      <c r="D654" s="13"/>
      <c r="E654" s="13"/>
      <c r="F654" s="13"/>
      <c r="G654" s="1027"/>
    </row>
    <row r="655" ht="14.25" customHeight="1">
      <c r="C655" s="13"/>
      <c r="D655" s="13"/>
      <c r="E655" s="13"/>
      <c r="F655" s="13"/>
      <c r="G655" s="1027"/>
    </row>
    <row r="656" ht="14.25" customHeight="1">
      <c r="C656" s="13"/>
      <c r="D656" s="13"/>
      <c r="E656" s="13"/>
      <c r="F656" s="13"/>
      <c r="G656" s="1027"/>
    </row>
    <row r="657" ht="14.25" customHeight="1">
      <c r="C657" s="13"/>
      <c r="D657" s="13"/>
      <c r="E657" s="13"/>
      <c r="F657" s="13"/>
      <c r="G657" s="1027"/>
    </row>
    <row r="658" ht="14.25" customHeight="1">
      <c r="C658" s="13"/>
      <c r="D658" s="13"/>
      <c r="E658" s="13"/>
      <c r="F658" s="13"/>
      <c r="G658" s="1027"/>
    </row>
    <row r="659" ht="14.25" customHeight="1">
      <c r="C659" s="13"/>
      <c r="D659" s="13"/>
      <c r="E659" s="13"/>
      <c r="F659" s="13"/>
      <c r="G659" s="1027"/>
    </row>
    <row r="660" ht="14.25" customHeight="1">
      <c r="C660" s="13"/>
      <c r="D660" s="13"/>
      <c r="E660" s="13"/>
      <c r="F660" s="13"/>
      <c r="G660" s="1027"/>
    </row>
    <row r="661" ht="14.25" customHeight="1">
      <c r="C661" s="13"/>
      <c r="D661" s="13"/>
      <c r="E661" s="13"/>
      <c r="F661" s="13"/>
      <c r="G661" s="1027"/>
    </row>
    <row r="662" ht="14.25" customHeight="1">
      <c r="C662" s="13"/>
      <c r="D662" s="13"/>
      <c r="E662" s="13"/>
      <c r="F662" s="13"/>
      <c r="G662" s="1027"/>
    </row>
    <row r="663" ht="14.25" customHeight="1">
      <c r="C663" s="13"/>
      <c r="D663" s="13"/>
      <c r="E663" s="13"/>
      <c r="F663" s="13"/>
      <c r="G663" s="1027"/>
    </row>
    <row r="664" ht="14.25" customHeight="1">
      <c r="C664" s="13"/>
      <c r="D664" s="13"/>
      <c r="E664" s="13"/>
      <c r="F664" s="13"/>
      <c r="G664" s="1027"/>
    </row>
    <row r="665" ht="14.25" customHeight="1">
      <c r="C665" s="13"/>
      <c r="D665" s="13"/>
      <c r="E665" s="13"/>
      <c r="F665" s="13"/>
      <c r="G665" s="1027"/>
    </row>
    <row r="666" ht="14.25" customHeight="1">
      <c r="C666" s="13"/>
      <c r="D666" s="13"/>
      <c r="E666" s="13"/>
      <c r="F666" s="13"/>
      <c r="G666" s="1027"/>
    </row>
    <row r="667" ht="14.25" customHeight="1">
      <c r="C667" s="13"/>
      <c r="D667" s="13"/>
      <c r="E667" s="13"/>
      <c r="F667" s="13"/>
      <c r="G667" s="1027"/>
    </row>
    <row r="668" ht="14.25" customHeight="1">
      <c r="C668" s="13"/>
      <c r="D668" s="13"/>
      <c r="E668" s="13"/>
      <c r="F668" s="13"/>
      <c r="G668" s="1027"/>
    </row>
    <row r="669" ht="14.25" customHeight="1">
      <c r="C669" s="13"/>
      <c r="D669" s="13"/>
      <c r="E669" s="13"/>
      <c r="F669" s="13"/>
      <c r="G669" s="1027"/>
    </row>
    <row r="670" ht="14.25" customHeight="1">
      <c r="C670" s="13"/>
      <c r="D670" s="13"/>
      <c r="E670" s="13"/>
      <c r="F670" s="13"/>
      <c r="G670" s="1027"/>
    </row>
    <row r="671" ht="14.25" customHeight="1">
      <c r="C671" s="13"/>
      <c r="D671" s="13"/>
      <c r="E671" s="13"/>
      <c r="F671" s="13"/>
      <c r="G671" s="1027"/>
    </row>
    <row r="672" ht="14.25" customHeight="1">
      <c r="C672" s="13"/>
      <c r="D672" s="13"/>
      <c r="E672" s="13"/>
      <c r="F672" s="13"/>
      <c r="G672" s="1027"/>
    </row>
    <row r="673" ht="14.25" customHeight="1">
      <c r="C673" s="13"/>
      <c r="D673" s="13"/>
      <c r="E673" s="13"/>
      <c r="F673" s="13"/>
      <c r="G673" s="1027"/>
    </row>
    <row r="674" ht="14.25" customHeight="1">
      <c r="C674" s="13"/>
      <c r="D674" s="13"/>
      <c r="E674" s="13"/>
      <c r="F674" s="13"/>
      <c r="G674" s="1027"/>
    </row>
    <row r="675" ht="14.25" customHeight="1">
      <c r="C675" s="13"/>
      <c r="D675" s="13"/>
      <c r="E675" s="13"/>
      <c r="F675" s="13"/>
      <c r="G675" s="1027"/>
    </row>
    <row r="676" ht="14.25" customHeight="1">
      <c r="C676" s="13"/>
      <c r="D676" s="13"/>
      <c r="E676" s="13"/>
      <c r="F676" s="13"/>
      <c r="G676" s="1027"/>
    </row>
    <row r="677" ht="14.25" customHeight="1">
      <c r="C677" s="13"/>
      <c r="D677" s="13"/>
      <c r="E677" s="13"/>
      <c r="F677" s="13"/>
      <c r="G677" s="1027"/>
    </row>
    <row r="678" ht="14.25" customHeight="1">
      <c r="C678" s="13"/>
      <c r="D678" s="13"/>
      <c r="E678" s="13"/>
      <c r="F678" s="13"/>
      <c r="G678" s="1027"/>
    </row>
    <row r="679" ht="14.25" customHeight="1">
      <c r="C679" s="13"/>
      <c r="D679" s="13"/>
      <c r="E679" s="13"/>
      <c r="F679" s="13"/>
      <c r="G679" s="1027"/>
    </row>
    <row r="680" ht="14.25" customHeight="1">
      <c r="C680" s="13"/>
      <c r="D680" s="13"/>
      <c r="E680" s="13"/>
      <c r="F680" s="13"/>
      <c r="G680" s="1027"/>
    </row>
    <row r="681" ht="14.25" customHeight="1">
      <c r="C681" s="13"/>
      <c r="D681" s="13"/>
      <c r="E681" s="13"/>
      <c r="F681" s="13"/>
      <c r="G681" s="1027"/>
    </row>
    <row r="682" ht="14.25" customHeight="1">
      <c r="C682" s="13"/>
      <c r="D682" s="13"/>
      <c r="E682" s="13"/>
      <c r="F682" s="13"/>
      <c r="G682" s="1027"/>
    </row>
    <row r="683" ht="14.25" customHeight="1">
      <c r="C683" s="13"/>
      <c r="D683" s="13"/>
      <c r="E683" s="13"/>
      <c r="F683" s="13"/>
      <c r="G683" s="1027"/>
    </row>
    <row r="684" ht="14.25" customHeight="1">
      <c r="C684" s="13"/>
      <c r="D684" s="13"/>
      <c r="E684" s="13"/>
      <c r="F684" s="13"/>
      <c r="G684" s="1027"/>
    </row>
    <row r="685" ht="14.25" customHeight="1">
      <c r="C685" s="13"/>
      <c r="D685" s="13"/>
      <c r="E685" s="13"/>
      <c r="F685" s="13"/>
      <c r="G685" s="1027"/>
    </row>
    <row r="686" ht="14.25" customHeight="1">
      <c r="C686" s="13"/>
      <c r="D686" s="13"/>
      <c r="E686" s="13"/>
      <c r="F686" s="13"/>
      <c r="G686" s="1027"/>
    </row>
    <row r="687" ht="14.25" customHeight="1">
      <c r="C687" s="13"/>
      <c r="D687" s="13"/>
      <c r="E687" s="13"/>
      <c r="F687" s="13"/>
      <c r="G687" s="1027"/>
    </row>
    <row r="688" ht="14.25" customHeight="1">
      <c r="C688" s="13"/>
      <c r="D688" s="13"/>
      <c r="E688" s="13"/>
      <c r="F688" s="13"/>
      <c r="G688" s="1027"/>
    </row>
    <row r="689" ht="14.25" customHeight="1">
      <c r="C689" s="13"/>
      <c r="D689" s="13"/>
      <c r="E689" s="13"/>
      <c r="F689" s="13"/>
      <c r="G689" s="1027"/>
    </row>
    <row r="690" ht="14.25" customHeight="1">
      <c r="C690" s="13"/>
      <c r="D690" s="13"/>
      <c r="E690" s="13"/>
      <c r="F690" s="13"/>
      <c r="G690" s="1027"/>
    </row>
    <row r="691" ht="14.25" customHeight="1">
      <c r="C691" s="13"/>
      <c r="D691" s="13"/>
      <c r="E691" s="13"/>
      <c r="F691" s="13"/>
      <c r="G691" s="1027"/>
    </row>
    <row r="692" ht="14.25" customHeight="1">
      <c r="C692" s="13"/>
      <c r="D692" s="13"/>
      <c r="E692" s="13"/>
      <c r="F692" s="13"/>
      <c r="G692" s="1027"/>
    </row>
    <row r="693" ht="14.25" customHeight="1">
      <c r="C693" s="13"/>
      <c r="D693" s="13"/>
      <c r="E693" s="13"/>
      <c r="F693" s="13"/>
      <c r="G693" s="1027"/>
    </row>
    <row r="694" ht="14.25" customHeight="1">
      <c r="C694" s="13"/>
      <c r="D694" s="13"/>
      <c r="E694" s="13"/>
      <c r="F694" s="13"/>
      <c r="G694" s="1027"/>
    </row>
    <row r="695" ht="14.25" customHeight="1">
      <c r="C695" s="13"/>
      <c r="D695" s="13"/>
      <c r="E695" s="13"/>
      <c r="F695" s="13"/>
      <c r="G695" s="1027"/>
    </row>
    <row r="696" ht="14.25" customHeight="1">
      <c r="C696" s="13"/>
      <c r="D696" s="13"/>
      <c r="E696" s="13"/>
      <c r="F696" s="13"/>
      <c r="G696" s="1027"/>
    </row>
    <row r="697" ht="14.25" customHeight="1">
      <c r="C697" s="13"/>
      <c r="D697" s="13"/>
      <c r="E697" s="13"/>
      <c r="F697" s="13"/>
      <c r="G697" s="1027"/>
    </row>
    <row r="698" ht="14.25" customHeight="1">
      <c r="C698" s="13"/>
      <c r="D698" s="13"/>
      <c r="E698" s="13"/>
      <c r="F698" s="13"/>
      <c r="G698" s="1027"/>
    </row>
    <row r="699" ht="14.25" customHeight="1">
      <c r="C699" s="13"/>
      <c r="D699" s="13"/>
      <c r="E699" s="13"/>
      <c r="F699" s="13"/>
      <c r="G699" s="1027"/>
    </row>
    <row r="700" ht="14.25" customHeight="1">
      <c r="C700" s="13"/>
      <c r="D700" s="13"/>
      <c r="E700" s="13"/>
      <c r="F700" s="13"/>
      <c r="G700" s="1027"/>
    </row>
    <row r="701" ht="14.25" customHeight="1">
      <c r="C701" s="13"/>
      <c r="D701" s="13"/>
      <c r="E701" s="13"/>
      <c r="F701" s="13"/>
      <c r="G701" s="1027"/>
    </row>
    <row r="702" ht="14.25" customHeight="1">
      <c r="C702" s="13"/>
      <c r="D702" s="13"/>
      <c r="E702" s="13"/>
      <c r="F702" s="13"/>
      <c r="G702" s="1027"/>
    </row>
    <row r="703" ht="14.25" customHeight="1">
      <c r="C703" s="13"/>
      <c r="D703" s="13"/>
      <c r="E703" s="13"/>
      <c r="F703" s="13"/>
      <c r="G703" s="1027"/>
    </row>
    <row r="704" ht="14.25" customHeight="1">
      <c r="C704" s="13"/>
      <c r="D704" s="13"/>
      <c r="E704" s="13"/>
      <c r="F704" s="13"/>
      <c r="G704" s="1027"/>
    </row>
    <row r="705" ht="14.25" customHeight="1">
      <c r="C705" s="13"/>
      <c r="D705" s="13"/>
      <c r="E705" s="13"/>
      <c r="F705" s="13"/>
      <c r="G705" s="1027"/>
    </row>
    <row r="706" ht="14.25" customHeight="1">
      <c r="C706" s="13"/>
      <c r="D706" s="13"/>
      <c r="E706" s="13"/>
      <c r="F706" s="13"/>
      <c r="G706" s="1027"/>
    </row>
    <row r="707" ht="14.25" customHeight="1">
      <c r="C707" s="13"/>
      <c r="D707" s="13"/>
      <c r="E707" s="13"/>
      <c r="F707" s="13"/>
      <c r="G707" s="1027"/>
    </row>
    <row r="708" ht="14.25" customHeight="1">
      <c r="C708" s="13"/>
      <c r="D708" s="13"/>
      <c r="E708" s="13"/>
      <c r="F708" s="13"/>
      <c r="G708" s="1027"/>
    </row>
    <row r="709" ht="14.25" customHeight="1">
      <c r="C709" s="13"/>
      <c r="D709" s="13"/>
      <c r="E709" s="13"/>
      <c r="F709" s="13"/>
      <c r="G709" s="1027"/>
    </row>
    <row r="710" ht="14.25" customHeight="1">
      <c r="C710" s="13"/>
      <c r="D710" s="13"/>
      <c r="E710" s="13"/>
      <c r="F710" s="13"/>
      <c r="G710" s="1027"/>
    </row>
    <row r="711" ht="14.25" customHeight="1">
      <c r="C711" s="13"/>
      <c r="D711" s="13"/>
      <c r="E711" s="13"/>
      <c r="F711" s="13"/>
      <c r="G711" s="1027"/>
    </row>
    <row r="712" ht="14.25" customHeight="1">
      <c r="C712" s="13"/>
      <c r="D712" s="13"/>
      <c r="E712" s="13"/>
      <c r="F712" s="13"/>
      <c r="G712" s="1027"/>
    </row>
    <row r="713" ht="14.25" customHeight="1">
      <c r="C713" s="13"/>
      <c r="D713" s="13"/>
      <c r="E713" s="13"/>
      <c r="F713" s="13"/>
      <c r="G713" s="1027"/>
    </row>
    <row r="714" ht="14.25" customHeight="1">
      <c r="C714" s="13"/>
      <c r="D714" s="13"/>
      <c r="E714" s="13"/>
      <c r="F714" s="13"/>
      <c r="G714" s="1027"/>
    </row>
    <row r="715" ht="14.25" customHeight="1">
      <c r="C715" s="13"/>
      <c r="D715" s="13"/>
      <c r="E715" s="13"/>
      <c r="F715" s="13"/>
      <c r="G715" s="1027"/>
    </row>
    <row r="716" ht="14.25" customHeight="1">
      <c r="C716" s="13"/>
      <c r="D716" s="13"/>
      <c r="E716" s="13"/>
      <c r="F716" s="13"/>
      <c r="G716" s="1027"/>
    </row>
    <row r="717" ht="14.25" customHeight="1">
      <c r="C717" s="13"/>
      <c r="D717" s="13"/>
      <c r="E717" s="13"/>
      <c r="F717" s="13"/>
      <c r="G717" s="1027"/>
    </row>
    <row r="718" ht="14.25" customHeight="1">
      <c r="C718" s="13"/>
      <c r="D718" s="13"/>
      <c r="E718" s="13"/>
      <c r="F718" s="13"/>
      <c r="G718" s="1027"/>
    </row>
    <row r="719" ht="14.25" customHeight="1">
      <c r="C719" s="13"/>
      <c r="D719" s="13"/>
      <c r="E719" s="13"/>
      <c r="F719" s="13"/>
      <c r="G719" s="1027"/>
    </row>
    <row r="720" ht="14.25" customHeight="1">
      <c r="C720" s="13"/>
      <c r="D720" s="13"/>
      <c r="E720" s="13"/>
      <c r="F720" s="13"/>
      <c r="G720" s="1027"/>
    </row>
    <row r="721" ht="14.25" customHeight="1">
      <c r="C721" s="13"/>
      <c r="D721" s="13"/>
      <c r="E721" s="13"/>
      <c r="F721" s="13"/>
      <c r="G721" s="1027"/>
    </row>
    <row r="722" ht="14.25" customHeight="1">
      <c r="C722" s="13"/>
      <c r="D722" s="13"/>
      <c r="E722" s="13"/>
      <c r="F722" s="13"/>
      <c r="G722" s="1027"/>
    </row>
    <row r="723" ht="14.25" customHeight="1">
      <c r="C723" s="13"/>
      <c r="D723" s="13"/>
      <c r="E723" s="13"/>
      <c r="F723" s="13"/>
      <c r="G723" s="1027"/>
    </row>
    <row r="724" ht="14.25" customHeight="1">
      <c r="C724" s="13"/>
      <c r="D724" s="13"/>
      <c r="E724" s="13"/>
      <c r="F724" s="13"/>
      <c r="G724" s="1027"/>
    </row>
    <row r="725" ht="14.25" customHeight="1">
      <c r="C725" s="13"/>
      <c r="D725" s="13"/>
      <c r="E725" s="13"/>
      <c r="F725" s="13"/>
      <c r="G725" s="1027"/>
    </row>
    <row r="726" ht="14.25" customHeight="1">
      <c r="C726" s="13"/>
      <c r="D726" s="13"/>
      <c r="E726" s="13"/>
      <c r="F726" s="13"/>
      <c r="G726" s="1027"/>
    </row>
    <row r="727" ht="14.25" customHeight="1">
      <c r="C727" s="13"/>
      <c r="D727" s="13"/>
      <c r="E727" s="13"/>
      <c r="F727" s="13"/>
      <c r="G727" s="1027"/>
    </row>
    <row r="728" ht="14.25" customHeight="1">
      <c r="C728" s="13"/>
      <c r="D728" s="13"/>
      <c r="E728" s="13"/>
      <c r="F728" s="13"/>
      <c r="G728" s="1027"/>
    </row>
    <row r="729" ht="14.25" customHeight="1">
      <c r="C729" s="13"/>
      <c r="D729" s="13"/>
      <c r="E729" s="13"/>
      <c r="F729" s="13"/>
      <c r="G729" s="1027"/>
    </row>
    <row r="730" ht="14.25" customHeight="1">
      <c r="C730" s="13"/>
      <c r="D730" s="13"/>
      <c r="E730" s="13"/>
      <c r="F730" s="13"/>
      <c r="G730" s="1027"/>
    </row>
    <row r="731" ht="14.25" customHeight="1">
      <c r="C731" s="13"/>
      <c r="D731" s="13"/>
      <c r="E731" s="13"/>
      <c r="F731" s="13"/>
      <c r="G731" s="1027"/>
    </row>
    <row r="732" ht="14.25" customHeight="1">
      <c r="C732" s="13"/>
      <c r="D732" s="13"/>
      <c r="E732" s="13"/>
      <c r="F732" s="13"/>
      <c r="G732" s="1027"/>
    </row>
    <row r="733" ht="14.25" customHeight="1">
      <c r="C733" s="13"/>
      <c r="D733" s="13"/>
      <c r="E733" s="13"/>
      <c r="F733" s="13"/>
      <c r="G733" s="1027"/>
    </row>
    <row r="734" ht="14.25" customHeight="1">
      <c r="C734" s="13"/>
      <c r="D734" s="13"/>
      <c r="E734" s="13"/>
      <c r="F734" s="13"/>
      <c r="G734" s="1027"/>
    </row>
    <row r="735" ht="14.25" customHeight="1">
      <c r="C735" s="13"/>
      <c r="D735" s="13"/>
      <c r="E735" s="13"/>
      <c r="F735" s="13"/>
      <c r="G735" s="1027"/>
    </row>
    <row r="736" ht="14.25" customHeight="1">
      <c r="C736" s="13"/>
      <c r="D736" s="13"/>
      <c r="E736" s="13"/>
      <c r="F736" s="13"/>
      <c r="G736" s="1027"/>
    </row>
    <row r="737" ht="14.25" customHeight="1">
      <c r="C737" s="13"/>
      <c r="D737" s="13"/>
      <c r="E737" s="13"/>
      <c r="F737" s="13"/>
      <c r="G737" s="1027"/>
    </row>
    <row r="738" ht="14.25" customHeight="1">
      <c r="C738" s="13"/>
      <c r="D738" s="13"/>
      <c r="E738" s="13"/>
      <c r="F738" s="13"/>
      <c r="G738" s="1027"/>
    </row>
    <row r="739" ht="14.25" customHeight="1">
      <c r="C739" s="13"/>
      <c r="D739" s="13"/>
      <c r="E739" s="13"/>
      <c r="F739" s="13"/>
      <c r="G739" s="1027"/>
    </row>
    <row r="740" ht="14.25" customHeight="1">
      <c r="C740" s="13"/>
      <c r="D740" s="13"/>
      <c r="E740" s="13"/>
      <c r="F740" s="13"/>
      <c r="G740" s="1027"/>
    </row>
    <row r="741" ht="14.25" customHeight="1">
      <c r="C741" s="13"/>
      <c r="D741" s="13"/>
      <c r="E741" s="13"/>
      <c r="F741" s="13"/>
      <c r="G741" s="1027"/>
    </row>
    <row r="742" ht="14.25" customHeight="1">
      <c r="C742" s="13"/>
      <c r="D742" s="13"/>
      <c r="E742" s="13"/>
      <c r="F742" s="13"/>
      <c r="G742" s="1027"/>
    </row>
    <row r="743" ht="14.25" customHeight="1">
      <c r="C743" s="13"/>
      <c r="D743" s="13"/>
      <c r="E743" s="13"/>
      <c r="F743" s="13"/>
      <c r="G743" s="1027"/>
    </row>
    <row r="744" ht="14.25" customHeight="1">
      <c r="C744" s="13"/>
      <c r="D744" s="13"/>
      <c r="E744" s="13"/>
      <c r="F744" s="13"/>
      <c r="G744" s="1027"/>
    </row>
    <row r="745" ht="14.25" customHeight="1">
      <c r="C745" s="13"/>
      <c r="D745" s="13"/>
      <c r="E745" s="13"/>
      <c r="F745" s="13"/>
      <c r="G745" s="1027"/>
    </row>
    <row r="746" ht="14.25" customHeight="1">
      <c r="C746" s="13"/>
      <c r="D746" s="13"/>
      <c r="E746" s="13"/>
      <c r="F746" s="13"/>
      <c r="G746" s="1027"/>
    </row>
    <row r="747" ht="14.25" customHeight="1">
      <c r="C747" s="13"/>
      <c r="D747" s="13"/>
      <c r="E747" s="13"/>
      <c r="F747" s="13"/>
      <c r="G747" s="1027"/>
    </row>
    <row r="748" ht="14.25" customHeight="1">
      <c r="C748" s="13"/>
      <c r="D748" s="13"/>
      <c r="E748" s="13"/>
      <c r="F748" s="13"/>
      <c r="G748" s="1027"/>
    </row>
    <row r="749" ht="14.25" customHeight="1">
      <c r="C749" s="13"/>
      <c r="D749" s="13"/>
      <c r="E749" s="13"/>
      <c r="F749" s="13"/>
      <c r="G749" s="1027"/>
    </row>
    <row r="750" ht="14.25" customHeight="1">
      <c r="C750" s="13"/>
      <c r="D750" s="13"/>
      <c r="E750" s="13"/>
      <c r="F750" s="13"/>
      <c r="G750" s="1027"/>
    </row>
    <row r="751" ht="14.25" customHeight="1">
      <c r="C751" s="13"/>
      <c r="D751" s="13"/>
      <c r="E751" s="13"/>
      <c r="F751" s="13"/>
      <c r="G751" s="1027"/>
    </row>
    <row r="752" ht="14.25" customHeight="1">
      <c r="C752" s="13"/>
      <c r="D752" s="13"/>
      <c r="E752" s="13"/>
      <c r="F752" s="13"/>
      <c r="G752" s="1027"/>
    </row>
    <row r="753" ht="14.25" customHeight="1">
      <c r="C753" s="13"/>
      <c r="D753" s="13"/>
      <c r="E753" s="13"/>
      <c r="F753" s="13"/>
      <c r="G753" s="1027"/>
    </row>
    <row r="754" ht="14.25" customHeight="1">
      <c r="C754" s="13"/>
      <c r="D754" s="13"/>
      <c r="E754" s="13"/>
      <c r="F754" s="13"/>
      <c r="G754" s="1027"/>
    </row>
    <row r="755" ht="14.25" customHeight="1">
      <c r="C755" s="13"/>
      <c r="D755" s="13"/>
      <c r="E755" s="13"/>
      <c r="F755" s="13"/>
      <c r="G755" s="1027"/>
    </row>
    <row r="756" ht="14.25" customHeight="1">
      <c r="C756" s="13"/>
      <c r="D756" s="13"/>
      <c r="E756" s="13"/>
      <c r="F756" s="13"/>
      <c r="G756" s="1027"/>
    </row>
    <row r="757" ht="14.25" customHeight="1">
      <c r="C757" s="13"/>
      <c r="D757" s="13"/>
      <c r="E757" s="13"/>
      <c r="F757" s="13"/>
      <c r="G757" s="1027"/>
    </row>
    <row r="758" ht="14.25" customHeight="1">
      <c r="C758" s="13"/>
      <c r="D758" s="13"/>
      <c r="E758" s="13"/>
      <c r="F758" s="13"/>
      <c r="G758" s="1027"/>
    </row>
    <row r="759" ht="14.25" customHeight="1">
      <c r="C759" s="13"/>
      <c r="D759" s="13"/>
      <c r="E759" s="13"/>
      <c r="F759" s="13"/>
      <c r="G759" s="1027"/>
    </row>
    <row r="760" ht="14.25" customHeight="1">
      <c r="C760" s="13"/>
      <c r="D760" s="13"/>
      <c r="E760" s="13"/>
      <c r="F760" s="13"/>
      <c r="G760" s="1027"/>
    </row>
    <row r="761" ht="14.25" customHeight="1">
      <c r="C761" s="13"/>
      <c r="D761" s="13"/>
      <c r="E761" s="13"/>
      <c r="F761" s="13"/>
      <c r="G761" s="1027"/>
    </row>
    <row r="762" ht="14.25" customHeight="1">
      <c r="C762" s="13"/>
      <c r="D762" s="13"/>
      <c r="E762" s="13"/>
      <c r="F762" s="13"/>
      <c r="G762" s="1027"/>
    </row>
    <row r="763" ht="14.25" customHeight="1">
      <c r="C763" s="13"/>
      <c r="D763" s="13"/>
      <c r="E763" s="13"/>
      <c r="F763" s="13"/>
      <c r="G763" s="1027"/>
    </row>
    <row r="764" ht="14.25" customHeight="1">
      <c r="C764" s="13"/>
      <c r="D764" s="13"/>
      <c r="E764" s="13"/>
      <c r="F764" s="13"/>
      <c r="G764" s="1027"/>
    </row>
    <row r="765" ht="14.25" customHeight="1">
      <c r="C765" s="13"/>
      <c r="D765" s="13"/>
      <c r="E765" s="13"/>
      <c r="F765" s="13"/>
      <c r="G765" s="1027"/>
    </row>
    <row r="766" ht="14.25" customHeight="1">
      <c r="C766" s="13"/>
      <c r="D766" s="13"/>
      <c r="E766" s="13"/>
      <c r="F766" s="13"/>
      <c r="G766" s="1027"/>
    </row>
    <row r="767" ht="14.25" customHeight="1">
      <c r="C767" s="13"/>
      <c r="D767" s="13"/>
      <c r="E767" s="13"/>
      <c r="F767" s="13"/>
      <c r="G767" s="1027"/>
    </row>
    <row r="768" ht="14.25" customHeight="1">
      <c r="C768" s="13"/>
      <c r="D768" s="13"/>
      <c r="E768" s="13"/>
      <c r="F768" s="13"/>
      <c r="G768" s="1027"/>
    </row>
    <row r="769" ht="14.25" customHeight="1">
      <c r="C769" s="13"/>
      <c r="D769" s="13"/>
      <c r="E769" s="13"/>
      <c r="F769" s="13"/>
      <c r="G769" s="1027"/>
    </row>
    <row r="770" ht="14.25" customHeight="1">
      <c r="C770" s="13"/>
      <c r="D770" s="13"/>
      <c r="E770" s="13"/>
      <c r="F770" s="13"/>
      <c r="G770" s="1027"/>
    </row>
    <row r="771" ht="14.25" customHeight="1">
      <c r="C771" s="13"/>
      <c r="D771" s="13"/>
      <c r="E771" s="13"/>
      <c r="F771" s="13"/>
      <c r="G771" s="1027"/>
    </row>
    <row r="772" ht="14.25" customHeight="1">
      <c r="C772" s="13"/>
      <c r="D772" s="13"/>
      <c r="E772" s="13"/>
      <c r="F772" s="13"/>
      <c r="G772" s="1027"/>
    </row>
    <row r="773" ht="14.25" customHeight="1">
      <c r="C773" s="13"/>
      <c r="D773" s="13"/>
      <c r="E773" s="13"/>
      <c r="F773" s="13"/>
      <c r="G773" s="1027"/>
    </row>
    <row r="774" ht="14.25" customHeight="1">
      <c r="C774" s="13"/>
      <c r="D774" s="13"/>
      <c r="E774" s="13"/>
      <c r="F774" s="13"/>
      <c r="G774" s="1027"/>
    </row>
    <row r="775" ht="14.25" customHeight="1">
      <c r="C775" s="13"/>
      <c r="D775" s="13"/>
      <c r="E775" s="13"/>
      <c r="F775" s="13"/>
      <c r="G775" s="1027"/>
    </row>
    <row r="776" ht="14.25" customHeight="1">
      <c r="C776" s="13"/>
      <c r="D776" s="13"/>
      <c r="E776" s="13"/>
      <c r="F776" s="13"/>
      <c r="G776" s="1027"/>
    </row>
    <row r="777" ht="14.25" customHeight="1">
      <c r="C777" s="13"/>
      <c r="D777" s="13"/>
      <c r="E777" s="13"/>
      <c r="F777" s="13"/>
      <c r="G777" s="1027"/>
    </row>
    <row r="778" ht="14.25" customHeight="1">
      <c r="C778" s="13"/>
      <c r="D778" s="13"/>
      <c r="E778" s="13"/>
      <c r="F778" s="13"/>
      <c r="G778" s="1027"/>
    </row>
    <row r="779" ht="14.25" customHeight="1">
      <c r="C779" s="13"/>
      <c r="D779" s="13"/>
      <c r="E779" s="13"/>
      <c r="F779" s="13"/>
      <c r="G779" s="1027"/>
    </row>
    <row r="780" ht="14.25" customHeight="1">
      <c r="C780" s="13"/>
      <c r="D780" s="13"/>
      <c r="E780" s="13"/>
      <c r="F780" s="13"/>
      <c r="G780" s="1027"/>
    </row>
    <row r="781" ht="14.25" customHeight="1">
      <c r="C781" s="13"/>
      <c r="D781" s="13"/>
      <c r="E781" s="13"/>
      <c r="F781" s="13"/>
      <c r="G781" s="1027"/>
    </row>
    <row r="782" ht="14.25" customHeight="1">
      <c r="C782" s="13"/>
      <c r="D782" s="13"/>
      <c r="E782" s="13"/>
      <c r="F782" s="13"/>
      <c r="G782" s="1027"/>
    </row>
    <row r="783" ht="14.25" customHeight="1">
      <c r="C783" s="13"/>
      <c r="D783" s="13"/>
      <c r="E783" s="13"/>
      <c r="F783" s="13"/>
      <c r="G783" s="1027"/>
    </row>
    <row r="784" ht="14.25" customHeight="1">
      <c r="C784" s="13"/>
      <c r="D784" s="13"/>
      <c r="E784" s="13"/>
      <c r="F784" s="13"/>
      <c r="G784" s="1027"/>
    </row>
    <row r="785" ht="14.25" customHeight="1">
      <c r="C785" s="13"/>
      <c r="D785" s="13"/>
      <c r="E785" s="13"/>
      <c r="F785" s="13"/>
      <c r="G785" s="1027"/>
    </row>
    <row r="786" ht="14.25" customHeight="1">
      <c r="C786" s="13"/>
      <c r="D786" s="13"/>
      <c r="E786" s="13"/>
      <c r="F786" s="13"/>
      <c r="G786" s="1027"/>
    </row>
    <row r="787" ht="14.25" customHeight="1">
      <c r="C787" s="13"/>
      <c r="D787" s="13"/>
      <c r="E787" s="13"/>
      <c r="F787" s="13"/>
      <c r="G787" s="1027"/>
    </row>
    <row r="788" ht="14.25" customHeight="1">
      <c r="C788" s="13"/>
      <c r="D788" s="13"/>
      <c r="E788" s="13"/>
      <c r="F788" s="13"/>
      <c r="G788" s="1027"/>
    </row>
    <row r="789" ht="14.25" customHeight="1">
      <c r="C789" s="13"/>
      <c r="D789" s="13"/>
      <c r="E789" s="13"/>
      <c r="F789" s="13"/>
      <c r="G789" s="1027"/>
    </row>
    <row r="790" ht="14.25" customHeight="1">
      <c r="C790" s="13"/>
      <c r="D790" s="13"/>
      <c r="E790" s="13"/>
      <c r="F790" s="13"/>
      <c r="G790" s="1027"/>
    </row>
    <row r="791" ht="14.25" customHeight="1">
      <c r="C791" s="13"/>
      <c r="D791" s="13"/>
      <c r="E791" s="13"/>
      <c r="F791" s="13"/>
      <c r="G791" s="1027"/>
    </row>
    <row r="792" ht="14.25" customHeight="1">
      <c r="C792" s="13"/>
      <c r="D792" s="13"/>
      <c r="E792" s="13"/>
      <c r="F792" s="13"/>
      <c r="G792" s="1027"/>
    </row>
    <row r="793" ht="14.25" customHeight="1">
      <c r="C793" s="13"/>
      <c r="D793" s="13"/>
      <c r="E793" s="13"/>
      <c r="F793" s="13"/>
      <c r="G793" s="1027"/>
    </row>
    <row r="794" ht="14.25" customHeight="1">
      <c r="C794" s="13"/>
      <c r="D794" s="13"/>
      <c r="E794" s="13"/>
      <c r="F794" s="13"/>
      <c r="G794" s="1027"/>
    </row>
    <row r="795" ht="14.25" customHeight="1">
      <c r="C795" s="13"/>
      <c r="D795" s="13"/>
      <c r="E795" s="13"/>
      <c r="F795" s="13"/>
      <c r="G795" s="1027"/>
    </row>
    <row r="796" ht="14.25" customHeight="1">
      <c r="C796" s="13"/>
      <c r="D796" s="13"/>
      <c r="E796" s="13"/>
      <c r="F796" s="13"/>
      <c r="G796" s="1027"/>
    </row>
    <row r="797" ht="14.25" customHeight="1">
      <c r="C797" s="13"/>
      <c r="D797" s="13"/>
      <c r="E797" s="13"/>
      <c r="F797" s="13"/>
      <c r="G797" s="1027"/>
    </row>
    <row r="798" ht="14.25" customHeight="1">
      <c r="C798" s="13"/>
      <c r="D798" s="13"/>
      <c r="E798" s="13"/>
      <c r="F798" s="13"/>
      <c r="G798" s="1027"/>
    </row>
    <row r="799" ht="14.25" customHeight="1">
      <c r="C799" s="13"/>
      <c r="D799" s="13"/>
      <c r="E799" s="13"/>
      <c r="F799" s="13"/>
      <c r="G799" s="1027"/>
    </row>
    <row r="800" ht="14.25" customHeight="1">
      <c r="C800" s="13"/>
      <c r="D800" s="13"/>
      <c r="E800" s="13"/>
      <c r="F800" s="13"/>
      <c r="G800" s="1027"/>
    </row>
    <row r="801" ht="14.25" customHeight="1">
      <c r="C801" s="13"/>
      <c r="D801" s="13"/>
      <c r="E801" s="13"/>
      <c r="F801" s="13"/>
      <c r="G801" s="1027"/>
    </row>
    <row r="802" ht="14.25" customHeight="1">
      <c r="C802" s="13"/>
      <c r="D802" s="13"/>
      <c r="E802" s="13"/>
      <c r="F802" s="13"/>
      <c r="G802" s="1027"/>
    </row>
    <row r="803" ht="14.25" customHeight="1">
      <c r="C803" s="13"/>
      <c r="D803" s="13"/>
      <c r="E803" s="13"/>
      <c r="F803" s="13"/>
      <c r="G803" s="1027"/>
    </row>
    <row r="804" ht="14.25" customHeight="1">
      <c r="C804" s="13"/>
      <c r="D804" s="13"/>
      <c r="E804" s="13"/>
      <c r="F804" s="13"/>
      <c r="G804" s="1027"/>
    </row>
    <row r="805" ht="14.25" customHeight="1">
      <c r="C805" s="13"/>
      <c r="D805" s="13"/>
      <c r="E805" s="13"/>
      <c r="F805" s="13"/>
      <c r="G805" s="1027"/>
    </row>
    <row r="806" ht="14.25" customHeight="1">
      <c r="C806" s="13"/>
      <c r="D806" s="13"/>
      <c r="E806" s="13"/>
      <c r="F806" s="13"/>
      <c r="G806" s="1027"/>
    </row>
    <row r="807" ht="14.25" customHeight="1">
      <c r="C807" s="13"/>
      <c r="D807" s="13"/>
      <c r="E807" s="13"/>
      <c r="F807" s="13"/>
      <c r="G807" s="1027"/>
    </row>
    <row r="808" ht="14.25" customHeight="1">
      <c r="C808" s="13"/>
      <c r="D808" s="13"/>
      <c r="E808" s="13"/>
      <c r="F808" s="13"/>
      <c r="G808" s="1027"/>
    </row>
    <row r="809" ht="14.25" customHeight="1">
      <c r="C809" s="13"/>
      <c r="D809" s="13"/>
      <c r="E809" s="13"/>
      <c r="F809" s="13"/>
      <c r="G809" s="1027"/>
    </row>
    <row r="810" ht="14.25" customHeight="1">
      <c r="C810" s="13"/>
      <c r="D810" s="13"/>
      <c r="E810" s="13"/>
      <c r="F810" s="13"/>
      <c r="G810" s="1027"/>
    </row>
    <row r="811" ht="14.25" customHeight="1">
      <c r="C811" s="13"/>
      <c r="D811" s="13"/>
      <c r="E811" s="13"/>
      <c r="F811" s="13"/>
      <c r="G811" s="1027"/>
    </row>
    <row r="812" ht="14.25" customHeight="1">
      <c r="C812" s="13"/>
      <c r="D812" s="13"/>
      <c r="E812" s="13"/>
      <c r="F812" s="13"/>
      <c r="G812" s="1027"/>
    </row>
    <row r="813" ht="14.25" customHeight="1">
      <c r="C813" s="13"/>
      <c r="D813" s="13"/>
      <c r="E813" s="13"/>
      <c r="F813" s="13"/>
      <c r="G813" s="1027"/>
    </row>
    <row r="814" ht="14.25" customHeight="1">
      <c r="C814" s="13"/>
      <c r="D814" s="13"/>
      <c r="E814" s="13"/>
      <c r="F814" s="13"/>
      <c r="G814" s="1027"/>
    </row>
    <row r="815" ht="14.25" customHeight="1">
      <c r="C815" s="13"/>
      <c r="D815" s="13"/>
      <c r="E815" s="13"/>
      <c r="F815" s="13"/>
      <c r="G815" s="1027"/>
    </row>
    <row r="816" ht="14.25" customHeight="1">
      <c r="C816" s="13"/>
      <c r="D816" s="13"/>
      <c r="E816" s="13"/>
      <c r="F816" s="13"/>
      <c r="G816" s="1027"/>
    </row>
    <row r="817" ht="14.25" customHeight="1">
      <c r="C817" s="13"/>
      <c r="D817" s="13"/>
      <c r="E817" s="13"/>
      <c r="F817" s="13"/>
      <c r="G817" s="1027"/>
    </row>
    <row r="818" ht="14.25" customHeight="1">
      <c r="C818" s="13"/>
      <c r="D818" s="13"/>
      <c r="E818" s="13"/>
      <c r="F818" s="13"/>
      <c r="G818" s="1027"/>
    </row>
    <row r="819" ht="14.25" customHeight="1">
      <c r="C819" s="13"/>
      <c r="D819" s="13"/>
      <c r="E819" s="13"/>
      <c r="F819" s="13"/>
      <c r="G819" s="1027"/>
    </row>
    <row r="820" ht="14.25" customHeight="1">
      <c r="C820" s="13"/>
      <c r="D820" s="13"/>
      <c r="E820" s="13"/>
      <c r="F820" s="13"/>
      <c r="G820" s="1027"/>
    </row>
    <row r="821" ht="14.25" customHeight="1">
      <c r="C821" s="13"/>
      <c r="D821" s="13"/>
      <c r="E821" s="13"/>
      <c r="F821" s="13"/>
      <c r="G821" s="1027"/>
    </row>
    <row r="822" ht="14.25" customHeight="1">
      <c r="C822" s="13"/>
      <c r="D822" s="13"/>
      <c r="E822" s="13"/>
      <c r="F822" s="13"/>
      <c r="G822" s="1027"/>
    </row>
    <row r="823" ht="14.25" customHeight="1">
      <c r="C823" s="13"/>
      <c r="D823" s="13"/>
      <c r="E823" s="13"/>
      <c r="F823" s="13"/>
      <c r="G823" s="1027"/>
    </row>
    <row r="824" ht="14.25" customHeight="1">
      <c r="C824" s="13"/>
      <c r="D824" s="13"/>
      <c r="E824" s="13"/>
      <c r="F824" s="13"/>
      <c r="G824" s="1027"/>
    </row>
    <row r="825" ht="14.25" customHeight="1">
      <c r="C825" s="13"/>
      <c r="D825" s="13"/>
      <c r="E825" s="13"/>
      <c r="F825" s="13"/>
      <c r="G825" s="1027"/>
    </row>
    <row r="826" ht="14.25" customHeight="1">
      <c r="C826" s="13"/>
      <c r="D826" s="13"/>
      <c r="E826" s="13"/>
      <c r="F826" s="13"/>
      <c r="G826" s="1027"/>
    </row>
    <row r="827" ht="14.25" customHeight="1">
      <c r="C827" s="13"/>
      <c r="D827" s="13"/>
      <c r="E827" s="13"/>
      <c r="F827" s="13"/>
      <c r="G827" s="1027"/>
    </row>
    <row r="828" ht="14.25" customHeight="1">
      <c r="C828" s="13"/>
      <c r="D828" s="13"/>
      <c r="E828" s="13"/>
      <c r="F828" s="13"/>
      <c r="G828" s="1027"/>
    </row>
    <row r="829" ht="14.25" customHeight="1">
      <c r="C829" s="13"/>
      <c r="D829" s="13"/>
      <c r="E829" s="13"/>
      <c r="F829" s="13"/>
      <c r="G829" s="1027"/>
    </row>
    <row r="830" ht="14.25" customHeight="1">
      <c r="C830" s="13"/>
      <c r="D830" s="13"/>
      <c r="E830" s="13"/>
      <c r="F830" s="13"/>
      <c r="G830" s="1027"/>
    </row>
    <row r="831" ht="14.25" customHeight="1">
      <c r="C831" s="13"/>
      <c r="D831" s="13"/>
      <c r="E831" s="13"/>
      <c r="F831" s="13"/>
      <c r="G831" s="1027"/>
    </row>
    <row r="832" ht="14.25" customHeight="1">
      <c r="C832" s="13"/>
      <c r="D832" s="13"/>
      <c r="E832" s="13"/>
      <c r="F832" s="13"/>
      <c r="G832" s="1027"/>
    </row>
    <row r="833" ht="14.25" customHeight="1">
      <c r="C833" s="13"/>
      <c r="D833" s="13"/>
      <c r="E833" s="13"/>
      <c r="F833" s="13"/>
      <c r="G833" s="1027"/>
    </row>
    <row r="834" ht="14.25" customHeight="1">
      <c r="C834" s="13"/>
      <c r="D834" s="13"/>
      <c r="E834" s="13"/>
      <c r="F834" s="13"/>
      <c r="G834" s="1027"/>
    </row>
    <row r="835" ht="14.25" customHeight="1">
      <c r="C835" s="13"/>
      <c r="D835" s="13"/>
      <c r="E835" s="13"/>
      <c r="F835" s="13"/>
      <c r="G835" s="1027"/>
    </row>
    <row r="836" ht="14.25" customHeight="1">
      <c r="C836" s="13"/>
      <c r="D836" s="13"/>
      <c r="E836" s="13"/>
      <c r="F836" s="13"/>
      <c r="G836" s="1027"/>
    </row>
    <row r="837" ht="14.25" customHeight="1">
      <c r="C837" s="13"/>
      <c r="D837" s="13"/>
      <c r="E837" s="13"/>
      <c r="F837" s="13"/>
      <c r="G837" s="1027"/>
    </row>
    <row r="838" ht="14.25" customHeight="1">
      <c r="C838" s="13"/>
      <c r="D838" s="13"/>
      <c r="E838" s="13"/>
      <c r="F838" s="13"/>
      <c r="G838" s="1027"/>
    </row>
    <row r="839" ht="14.25" customHeight="1">
      <c r="C839" s="13"/>
      <c r="D839" s="13"/>
      <c r="E839" s="13"/>
      <c r="F839" s="13"/>
      <c r="G839" s="1027"/>
    </row>
    <row r="840" ht="14.25" customHeight="1">
      <c r="C840" s="13"/>
      <c r="D840" s="13"/>
      <c r="E840" s="13"/>
      <c r="F840" s="13"/>
      <c r="G840" s="1027"/>
    </row>
    <row r="841" ht="14.25" customHeight="1">
      <c r="C841" s="13"/>
      <c r="D841" s="13"/>
      <c r="E841" s="13"/>
      <c r="F841" s="13"/>
      <c r="G841" s="1027"/>
    </row>
    <row r="842" ht="14.25" customHeight="1">
      <c r="C842" s="13"/>
      <c r="D842" s="13"/>
      <c r="E842" s="13"/>
      <c r="F842" s="13"/>
      <c r="G842" s="1027"/>
    </row>
    <row r="843" ht="14.25" customHeight="1">
      <c r="C843" s="13"/>
      <c r="D843" s="13"/>
      <c r="E843" s="13"/>
      <c r="F843" s="13"/>
      <c r="G843" s="1027"/>
    </row>
    <row r="844" ht="14.25" customHeight="1">
      <c r="C844" s="13"/>
      <c r="D844" s="13"/>
      <c r="E844" s="13"/>
      <c r="F844" s="13"/>
      <c r="G844" s="1027"/>
    </row>
    <row r="845" ht="14.25" customHeight="1">
      <c r="C845" s="13"/>
      <c r="D845" s="13"/>
      <c r="E845" s="13"/>
      <c r="F845" s="13"/>
      <c r="G845" s="1027"/>
    </row>
    <row r="846" ht="14.25" customHeight="1">
      <c r="C846" s="13"/>
      <c r="D846" s="13"/>
      <c r="E846" s="13"/>
      <c r="F846" s="13"/>
      <c r="G846" s="1027"/>
    </row>
    <row r="847" ht="14.25" customHeight="1">
      <c r="C847" s="13"/>
      <c r="D847" s="13"/>
      <c r="E847" s="13"/>
      <c r="F847" s="13"/>
      <c r="G847" s="1027"/>
    </row>
    <row r="848" ht="14.25" customHeight="1">
      <c r="C848" s="13"/>
      <c r="D848" s="13"/>
      <c r="E848" s="13"/>
      <c r="F848" s="13"/>
      <c r="G848" s="1027"/>
    </row>
    <row r="849" ht="14.25" customHeight="1">
      <c r="C849" s="13"/>
      <c r="D849" s="13"/>
      <c r="E849" s="13"/>
      <c r="F849" s="13"/>
      <c r="G849" s="1027"/>
    </row>
    <row r="850" ht="14.25" customHeight="1">
      <c r="C850" s="13"/>
      <c r="D850" s="13"/>
      <c r="E850" s="13"/>
      <c r="F850" s="13"/>
      <c r="G850" s="1027"/>
    </row>
    <row r="851" ht="14.25" customHeight="1">
      <c r="C851" s="13"/>
      <c r="D851" s="13"/>
      <c r="E851" s="13"/>
      <c r="F851" s="13"/>
      <c r="G851" s="1027"/>
    </row>
    <row r="852" ht="14.25" customHeight="1">
      <c r="C852" s="13"/>
      <c r="D852" s="13"/>
      <c r="E852" s="13"/>
      <c r="F852" s="13"/>
      <c r="G852" s="1027"/>
    </row>
    <row r="853" ht="14.25" customHeight="1">
      <c r="C853" s="13"/>
      <c r="D853" s="13"/>
      <c r="E853" s="13"/>
      <c r="F853" s="13"/>
      <c r="G853" s="1027"/>
    </row>
    <row r="854" ht="14.25" customHeight="1">
      <c r="C854" s="13"/>
      <c r="D854" s="13"/>
      <c r="E854" s="13"/>
      <c r="F854" s="13"/>
      <c r="G854" s="1027"/>
    </row>
    <row r="855" ht="14.25" customHeight="1">
      <c r="C855" s="13"/>
      <c r="D855" s="13"/>
      <c r="E855" s="13"/>
      <c r="F855" s="13"/>
      <c r="G855" s="1027"/>
    </row>
    <row r="856" ht="14.25" customHeight="1">
      <c r="C856" s="13"/>
      <c r="D856" s="13"/>
      <c r="E856" s="13"/>
      <c r="F856" s="13"/>
      <c r="G856" s="1027"/>
    </row>
    <row r="857" ht="14.25" customHeight="1">
      <c r="C857" s="13"/>
      <c r="D857" s="13"/>
      <c r="E857" s="13"/>
      <c r="F857" s="13"/>
      <c r="G857" s="1027"/>
    </row>
    <row r="858" ht="14.25" customHeight="1">
      <c r="C858" s="13"/>
      <c r="D858" s="13"/>
      <c r="E858" s="13"/>
      <c r="F858" s="13"/>
      <c r="G858" s="1027"/>
    </row>
    <row r="859" ht="14.25" customHeight="1">
      <c r="C859" s="13"/>
      <c r="D859" s="13"/>
      <c r="E859" s="13"/>
      <c r="F859" s="13"/>
      <c r="G859" s="1027"/>
    </row>
    <row r="860" ht="14.25" customHeight="1">
      <c r="C860" s="13"/>
      <c r="D860" s="13"/>
      <c r="E860" s="13"/>
      <c r="F860" s="13"/>
      <c r="G860" s="1027"/>
    </row>
    <row r="861" ht="14.25" customHeight="1">
      <c r="C861" s="13"/>
      <c r="D861" s="13"/>
      <c r="E861" s="13"/>
      <c r="F861" s="13"/>
      <c r="G861" s="1027"/>
    </row>
    <row r="862" ht="14.25" customHeight="1">
      <c r="C862" s="13"/>
      <c r="D862" s="13"/>
      <c r="E862" s="13"/>
      <c r="F862" s="13"/>
      <c r="G862" s="1027"/>
    </row>
    <row r="863" ht="14.25" customHeight="1">
      <c r="C863" s="13"/>
      <c r="D863" s="13"/>
      <c r="E863" s="13"/>
      <c r="F863" s="13"/>
      <c r="G863" s="1027"/>
    </row>
    <row r="864" ht="14.25" customHeight="1">
      <c r="C864" s="13"/>
      <c r="D864" s="13"/>
      <c r="E864" s="13"/>
      <c r="F864" s="13"/>
      <c r="G864" s="1027"/>
    </row>
    <row r="865" ht="14.25" customHeight="1">
      <c r="C865" s="13"/>
      <c r="D865" s="13"/>
      <c r="E865" s="13"/>
      <c r="F865" s="13"/>
      <c r="G865" s="1027"/>
    </row>
    <row r="866" ht="14.25" customHeight="1">
      <c r="C866" s="13"/>
      <c r="D866" s="13"/>
      <c r="E866" s="13"/>
      <c r="F866" s="13"/>
      <c r="G866" s="1027"/>
    </row>
    <row r="867" ht="14.25" customHeight="1">
      <c r="C867" s="13"/>
      <c r="D867" s="13"/>
      <c r="E867" s="13"/>
      <c r="F867" s="13"/>
      <c r="G867" s="1027"/>
    </row>
    <row r="868" ht="14.25" customHeight="1">
      <c r="C868" s="13"/>
      <c r="D868" s="13"/>
      <c r="E868" s="13"/>
      <c r="F868" s="13"/>
      <c r="G868" s="1027"/>
    </row>
    <row r="869" ht="14.25" customHeight="1">
      <c r="C869" s="13"/>
      <c r="D869" s="13"/>
      <c r="E869" s="13"/>
      <c r="F869" s="13"/>
      <c r="G869" s="1027"/>
    </row>
    <row r="870" ht="14.25" customHeight="1">
      <c r="C870" s="13"/>
      <c r="D870" s="13"/>
      <c r="E870" s="13"/>
      <c r="F870" s="13"/>
      <c r="G870" s="1027"/>
    </row>
    <row r="871" ht="14.25" customHeight="1">
      <c r="C871" s="13"/>
      <c r="D871" s="13"/>
      <c r="E871" s="13"/>
      <c r="F871" s="13"/>
      <c r="G871" s="1027"/>
    </row>
    <row r="872" ht="14.25" customHeight="1">
      <c r="C872" s="13"/>
      <c r="D872" s="13"/>
      <c r="E872" s="13"/>
      <c r="F872" s="13"/>
      <c r="G872" s="1027"/>
    </row>
    <row r="873" ht="14.25" customHeight="1">
      <c r="C873" s="13"/>
      <c r="D873" s="13"/>
      <c r="E873" s="13"/>
      <c r="F873" s="13"/>
      <c r="G873" s="1027"/>
    </row>
    <row r="874" ht="14.25" customHeight="1">
      <c r="C874" s="13"/>
      <c r="D874" s="13"/>
      <c r="E874" s="13"/>
      <c r="F874" s="13"/>
      <c r="G874" s="1027"/>
    </row>
    <row r="875" ht="14.25" customHeight="1">
      <c r="C875" s="13"/>
      <c r="D875" s="13"/>
      <c r="E875" s="13"/>
      <c r="F875" s="13"/>
      <c r="G875" s="1027"/>
    </row>
    <row r="876" ht="14.25" customHeight="1">
      <c r="C876" s="13"/>
      <c r="D876" s="13"/>
      <c r="E876" s="13"/>
      <c r="F876" s="13"/>
      <c r="G876" s="1027"/>
    </row>
    <row r="877" ht="14.25" customHeight="1">
      <c r="C877" s="13"/>
      <c r="D877" s="13"/>
      <c r="E877" s="13"/>
      <c r="F877" s="13"/>
      <c r="G877" s="1027"/>
    </row>
    <row r="878" ht="14.25" customHeight="1">
      <c r="C878" s="13"/>
      <c r="D878" s="13"/>
      <c r="E878" s="13"/>
      <c r="F878" s="13"/>
      <c r="G878" s="1027"/>
    </row>
    <row r="879" ht="14.25" customHeight="1">
      <c r="C879" s="13"/>
      <c r="D879" s="13"/>
      <c r="E879" s="13"/>
      <c r="F879" s="13"/>
      <c r="G879" s="1027"/>
    </row>
    <row r="880" ht="14.25" customHeight="1">
      <c r="C880" s="13"/>
      <c r="D880" s="13"/>
      <c r="E880" s="13"/>
      <c r="F880" s="13"/>
      <c r="G880" s="1027"/>
    </row>
    <row r="881" ht="14.25" customHeight="1">
      <c r="C881" s="13"/>
      <c r="D881" s="13"/>
      <c r="E881" s="13"/>
      <c r="F881" s="13"/>
      <c r="G881" s="1027"/>
    </row>
    <row r="882" ht="14.25" customHeight="1">
      <c r="C882" s="13"/>
      <c r="D882" s="13"/>
      <c r="E882" s="13"/>
      <c r="F882" s="13"/>
      <c r="G882" s="1027"/>
    </row>
    <row r="883" ht="14.25" customHeight="1">
      <c r="C883" s="13"/>
      <c r="D883" s="13"/>
      <c r="E883" s="13"/>
      <c r="F883" s="13"/>
      <c r="G883" s="1027"/>
    </row>
    <row r="884" ht="14.25" customHeight="1">
      <c r="C884" s="13"/>
      <c r="D884" s="13"/>
      <c r="E884" s="13"/>
      <c r="F884" s="13"/>
      <c r="G884" s="1027"/>
    </row>
    <row r="885" ht="14.25" customHeight="1">
      <c r="C885" s="13"/>
      <c r="D885" s="13"/>
      <c r="E885" s="13"/>
      <c r="F885" s="13"/>
      <c r="G885" s="1027"/>
    </row>
    <row r="886" ht="14.25" customHeight="1">
      <c r="C886" s="13"/>
      <c r="D886" s="13"/>
      <c r="E886" s="13"/>
      <c r="F886" s="13"/>
      <c r="G886" s="1027"/>
    </row>
    <row r="887" ht="14.25" customHeight="1">
      <c r="C887" s="13"/>
      <c r="D887" s="13"/>
      <c r="E887" s="13"/>
      <c r="F887" s="13"/>
      <c r="G887" s="1027"/>
    </row>
    <row r="888" ht="14.25" customHeight="1">
      <c r="C888" s="13"/>
      <c r="D888" s="13"/>
      <c r="E888" s="13"/>
      <c r="F888" s="13"/>
      <c r="G888" s="1027"/>
    </row>
    <row r="889" ht="14.25" customHeight="1">
      <c r="C889" s="13"/>
      <c r="D889" s="13"/>
      <c r="E889" s="13"/>
      <c r="F889" s="13"/>
      <c r="G889" s="1027"/>
    </row>
    <row r="890" ht="14.25" customHeight="1">
      <c r="C890" s="13"/>
      <c r="D890" s="13"/>
      <c r="E890" s="13"/>
      <c r="F890" s="13"/>
      <c r="G890" s="1027"/>
    </row>
    <row r="891" ht="14.25" customHeight="1">
      <c r="C891" s="13"/>
      <c r="D891" s="13"/>
      <c r="E891" s="13"/>
      <c r="F891" s="13"/>
      <c r="G891" s="1027"/>
    </row>
    <row r="892" ht="14.25" customHeight="1">
      <c r="C892" s="13"/>
      <c r="D892" s="13"/>
      <c r="E892" s="13"/>
      <c r="F892" s="13"/>
      <c r="G892" s="1027"/>
    </row>
    <row r="893" ht="14.25" customHeight="1">
      <c r="C893" s="13"/>
      <c r="D893" s="13"/>
      <c r="E893" s="13"/>
      <c r="F893" s="13"/>
      <c r="G893" s="1027"/>
    </row>
    <row r="894" ht="14.25" customHeight="1">
      <c r="C894" s="13"/>
      <c r="D894" s="13"/>
      <c r="E894" s="13"/>
      <c r="F894" s="13"/>
      <c r="G894" s="1027"/>
    </row>
    <row r="895" ht="14.25" customHeight="1">
      <c r="C895" s="13"/>
      <c r="D895" s="13"/>
      <c r="E895" s="13"/>
      <c r="F895" s="13"/>
      <c r="G895" s="1027"/>
    </row>
    <row r="896" ht="14.25" customHeight="1">
      <c r="C896" s="13"/>
      <c r="D896" s="13"/>
      <c r="E896" s="13"/>
      <c r="F896" s="13"/>
      <c r="G896" s="1027"/>
    </row>
    <row r="897" ht="14.25" customHeight="1">
      <c r="C897" s="13"/>
      <c r="D897" s="13"/>
      <c r="E897" s="13"/>
      <c r="F897" s="13"/>
      <c r="G897" s="1027"/>
    </row>
    <row r="898" ht="14.25" customHeight="1">
      <c r="C898" s="13"/>
      <c r="D898" s="13"/>
      <c r="E898" s="13"/>
      <c r="F898" s="13"/>
      <c r="G898" s="1027"/>
    </row>
    <row r="899" ht="14.25" customHeight="1">
      <c r="C899" s="13"/>
      <c r="D899" s="13"/>
      <c r="E899" s="13"/>
      <c r="F899" s="13"/>
      <c r="G899" s="1027"/>
    </row>
    <row r="900" ht="14.25" customHeight="1">
      <c r="C900" s="13"/>
      <c r="D900" s="13"/>
      <c r="E900" s="13"/>
      <c r="F900" s="13"/>
      <c r="G900" s="1027"/>
    </row>
    <row r="901" ht="14.25" customHeight="1">
      <c r="C901" s="13"/>
      <c r="D901" s="13"/>
      <c r="E901" s="13"/>
      <c r="F901" s="13"/>
      <c r="G901" s="1027"/>
    </row>
    <row r="902" ht="14.25" customHeight="1">
      <c r="C902" s="13"/>
      <c r="D902" s="13"/>
      <c r="E902" s="13"/>
      <c r="F902" s="13"/>
      <c r="G902" s="1027"/>
    </row>
    <row r="903" ht="14.25" customHeight="1">
      <c r="C903" s="13"/>
      <c r="D903" s="13"/>
      <c r="E903" s="13"/>
      <c r="F903" s="13"/>
      <c r="G903" s="1027"/>
    </row>
    <row r="904" ht="14.25" customHeight="1">
      <c r="C904" s="13"/>
      <c r="D904" s="13"/>
      <c r="E904" s="13"/>
      <c r="F904" s="13"/>
      <c r="G904" s="1027"/>
    </row>
    <row r="905" ht="14.25" customHeight="1">
      <c r="C905" s="13"/>
      <c r="D905" s="13"/>
      <c r="E905" s="13"/>
      <c r="F905" s="13"/>
      <c r="G905" s="1027"/>
    </row>
    <row r="906" ht="14.25" customHeight="1">
      <c r="C906" s="13"/>
      <c r="D906" s="13"/>
      <c r="E906" s="13"/>
      <c r="F906" s="13"/>
      <c r="G906" s="1027"/>
    </row>
    <row r="907" ht="14.25" customHeight="1">
      <c r="C907" s="13"/>
      <c r="D907" s="13"/>
      <c r="E907" s="13"/>
      <c r="F907" s="13"/>
      <c r="G907" s="1027"/>
    </row>
    <row r="908" ht="14.25" customHeight="1">
      <c r="C908" s="13"/>
      <c r="D908" s="13"/>
      <c r="E908" s="13"/>
      <c r="F908" s="13"/>
      <c r="G908" s="1027"/>
    </row>
    <row r="909" ht="14.25" customHeight="1">
      <c r="C909" s="13"/>
      <c r="D909" s="13"/>
      <c r="E909" s="13"/>
      <c r="F909" s="13"/>
      <c r="G909" s="1027"/>
    </row>
    <row r="910" ht="14.25" customHeight="1">
      <c r="C910" s="13"/>
      <c r="D910" s="13"/>
      <c r="E910" s="13"/>
      <c r="F910" s="13"/>
      <c r="G910" s="1027"/>
    </row>
    <row r="911" ht="14.25" customHeight="1">
      <c r="C911" s="13"/>
      <c r="D911" s="13"/>
      <c r="E911" s="13"/>
      <c r="F911" s="13"/>
      <c r="G911" s="1027"/>
    </row>
    <row r="912" ht="14.25" customHeight="1">
      <c r="C912" s="13"/>
      <c r="D912" s="13"/>
      <c r="E912" s="13"/>
      <c r="F912" s="13"/>
      <c r="G912" s="1027"/>
    </row>
    <row r="913" ht="14.25" customHeight="1">
      <c r="C913" s="13"/>
      <c r="D913" s="13"/>
      <c r="E913" s="13"/>
      <c r="F913" s="13"/>
      <c r="G913" s="1027"/>
    </row>
    <row r="914" ht="14.25" customHeight="1">
      <c r="C914" s="13"/>
      <c r="D914" s="13"/>
      <c r="E914" s="13"/>
      <c r="F914" s="13"/>
      <c r="G914" s="1027"/>
    </row>
    <row r="915" ht="14.25" customHeight="1">
      <c r="C915" s="13"/>
      <c r="D915" s="13"/>
      <c r="E915" s="13"/>
      <c r="F915" s="13"/>
      <c r="G915" s="1027"/>
    </row>
    <row r="916" ht="14.25" customHeight="1">
      <c r="C916" s="13"/>
      <c r="D916" s="13"/>
      <c r="E916" s="13"/>
      <c r="F916" s="13"/>
      <c r="G916" s="1027"/>
    </row>
    <row r="917" ht="14.25" customHeight="1">
      <c r="C917" s="13"/>
      <c r="D917" s="13"/>
      <c r="E917" s="13"/>
      <c r="F917" s="13"/>
      <c r="G917" s="1027"/>
    </row>
    <row r="918" ht="14.25" customHeight="1">
      <c r="C918" s="13"/>
      <c r="D918" s="13"/>
      <c r="E918" s="13"/>
      <c r="F918" s="13"/>
      <c r="G918" s="1027"/>
    </row>
    <row r="919" ht="14.25" customHeight="1">
      <c r="C919" s="13"/>
      <c r="D919" s="13"/>
      <c r="E919" s="13"/>
      <c r="F919" s="13"/>
      <c r="G919" s="1027"/>
    </row>
    <row r="920" ht="14.25" customHeight="1">
      <c r="C920" s="13"/>
      <c r="D920" s="13"/>
      <c r="E920" s="13"/>
      <c r="F920" s="13"/>
      <c r="G920" s="1027"/>
    </row>
    <row r="921" ht="14.25" customHeight="1">
      <c r="C921" s="13"/>
      <c r="D921" s="13"/>
      <c r="E921" s="13"/>
      <c r="F921" s="13"/>
      <c r="G921" s="1027"/>
    </row>
    <row r="922" ht="14.25" customHeight="1">
      <c r="C922" s="13"/>
      <c r="D922" s="13"/>
      <c r="E922" s="13"/>
      <c r="F922" s="13"/>
      <c r="G922" s="1027"/>
    </row>
    <row r="923" ht="14.25" customHeight="1">
      <c r="C923" s="13"/>
      <c r="D923" s="13"/>
      <c r="E923" s="13"/>
      <c r="F923" s="13"/>
      <c r="G923" s="1027"/>
    </row>
    <row r="924" ht="14.25" customHeight="1">
      <c r="C924" s="13"/>
      <c r="D924" s="13"/>
      <c r="E924" s="13"/>
      <c r="F924" s="13"/>
      <c r="G924" s="1027"/>
    </row>
    <row r="925" ht="14.25" customHeight="1">
      <c r="C925" s="13"/>
      <c r="D925" s="13"/>
      <c r="E925" s="13"/>
      <c r="F925" s="13"/>
      <c r="G925" s="1027"/>
    </row>
    <row r="926" ht="14.25" customHeight="1">
      <c r="C926" s="13"/>
      <c r="D926" s="13"/>
      <c r="E926" s="13"/>
      <c r="F926" s="13"/>
      <c r="G926" s="1027"/>
    </row>
    <row r="927" ht="14.25" customHeight="1">
      <c r="C927" s="13"/>
      <c r="D927" s="13"/>
      <c r="E927" s="13"/>
      <c r="F927" s="13"/>
      <c r="G927" s="1027"/>
    </row>
    <row r="928" ht="14.25" customHeight="1">
      <c r="C928" s="13"/>
      <c r="D928" s="13"/>
      <c r="E928" s="13"/>
      <c r="F928" s="13"/>
      <c r="G928" s="1027"/>
    </row>
    <row r="929" ht="14.25" customHeight="1">
      <c r="C929" s="13"/>
      <c r="D929" s="13"/>
      <c r="E929" s="13"/>
      <c r="F929" s="13"/>
      <c r="G929" s="1027"/>
    </row>
    <row r="930" ht="14.25" customHeight="1">
      <c r="C930" s="13"/>
      <c r="D930" s="13"/>
      <c r="E930" s="13"/>
      <c r="F930" s="13"/>
      <c r="G930" s="1027"/>
    </row>
    <row r="931" ht="14.25" customHeight="1">
      <c r="C931" s="13"/>
      <c r="D931" s="13"/>
      <c r="E931" s="13"/>
      <c r="F931" s="13"/>
      <c r="G931" s="1027"/>
    </row>
    <row r="932" ht="14.25" customHeight="1">
      <c r="C932" s="13"/>
      <c r="D932" s="13"/>
      <c r="E932" s="13"/>
      <c r="F932" s="13"/>
      <c r="G932" s="1027"/>
    </row>
    <row r="933" ht="14.25" customHeight="1">
      <c r="C933" s="13"/>
      <c r="D933" s="13"/>
      <c r="E933" s="13"/>
      <c r="F933" s="13"/>
      <c r="G933" s="1027"/>
    </row>
    <row r="934" ht="14.25" customHeight="1">
      <c r="C934" s="13"/>
      <c r="D934" s="13"/>
      <c r="E934" s="13"/>
      <c r="F934" s="13"/>
      <c r="G934" s="1027"/>
    </row>
    <row r="935" ht="14.25" customHeight="1">
      <c r="C935" s="13"/>
      <c r="D935" s="13"/>
      <c r="E935" s="13"/>
      <c r="F935" s="13"/>
      <c r="G935" s="1027"/>
    </row>
    <row r="936" ht="14.25" customHeight="1">
      <c r="C936" s="13"/>
      <c r="D936" s="13"/>
      <c r="E936" s="13"/>
      <c r="F936" s="13"/>
      <c r="G936" s="1027"/>
    </row>
    <row r="937" ht="14.25" customHeight="1">
      <c r="C937" s="13"/>
      <c r="D937" s="13"/>
      <c r="E937" s="13"/>
      <c r="F937" s="13"/>
      <c r="G937" s="1027"/>
    </row>
    <row r="938" ht="14.25" customHeight="1">
      <c r="C938" s="13"/>
      <c r="D938" s="13"/>
      <c r="E938" s="13"/>
      <c r="F938" s="13"/>
      <c r="G938" s="1027"/>
    </row>
    <row r="939" ht="14.25" customHeight="1">
      <c r="C939" s="13"/>
      <c r="D939" s="13"/>
      <c r="E939" s="13"/>
      <c r="F939" s="13"/>
      <c r="G939" s="1027"/>
    </row>
    <row r="940" ht="14.25" customHeight="1">
      <c r="C940" s="13"/>
      <c r="D940" s="13"/>
      <c r="E940" s="13"/>
      <c r="F940" s="13"/>
      <c r="G940" s="1027"/>
    </row>
    <row r="941" ht="14.25" customHeight="1">
      <c r="C941" s="13"/>
      <c r="D941" s="13"/>
      <c r="E941" s="13"/>
      <c r="F941" s="13"/>
      <c r="G941" s="1027"/>
    </row>
    <row r="942" ht="14.25" customHeight="1">
      <c r="C942" s="13"/>
      <c r="D942" s="13"/>
      <c r="E942" s="13"/>
      <c r="F942" s="13"/>
      <c r="G942" s="1027"/>
    </row>
    <row r="943" ht="14.25" customHeight="1">
      <c r="C943" s="13"/>
      <c r="D943" s="13"/>
      <c r="E943" s="13"/>
      <c r="F943" s="13"/>
      <c r="G943" s="1027"/>
    </row>
    <row r="944" ht="14.25" customHeight="1">
      <c r="C944" s="13"/>
      <c r="D944" s="13"/>
      <c r="E944" s="13"/>
      <c r="F944" s="13"/>
      <c r="G944" s="1027"/>
    </row>
    <row r="945" ht="14.25" customHeight="1">
      <c r="C945" s="13"/>
      <c r="D945" s="13"/>
      <c r="E945" s="13"/>
      <c r="F945" s="13"/>
      <c r="G945" s="1027"/>
    </row>
    <row r="946" ht="14.25" customHeight="1">
      <c r="C946" s="13"/>
      <c r="D946" s="13"/>
      <c r="E946" s="13"/>
      <c r="F946" s="13"/>
      <c r="G946" s="1027"/>
    </row>
    <row r="947" ht="14.25" customHeight="1">
      <c r="C947" s="13"/>
      <c r="D947" s="13"/>
      <c r="E947" s="13"/>
      <c r="F947" s="13"/>
      <c r="G947" s="1027"/>
    </row>
    <row r="948" ht="14.25" customHeight="1">
      <c r="C948" s="13"/>
      <c r="D948" s="13"/>
      <c r="E948" s="13"/>
      <c r="F948" s="13"/>
      <c r="G948" s="1027"/>
    </row>
    <row r="949" ht="14.25" customHeight="1">
      <c r="C949" s="13"/>
      <c r="D949" s="13"/>
      <c r="E949" s="13"/>
      <c r="F949" s="13"/>
      <c r="G949" s="1027"/>
    </row>
    <row r="950" ht="14.25" customHeight="1">
      <c r="C950" s="13"/>
      <c r="D950" s="13"/>
      <c r="E950" s="13"/>
      <c r="F950" s="13"/>
      <c r="G950" s="1027"/>
    </row>
    <row r="951" ht="14.25" customHeight="1">
      <c r="C951" s="13"/>
      <c r="D951" s="13"/>
      <c r="E951" s="13"/>
      <c r="F951" s="13"/>
      <c r="G951" s="1027"/>
    </row>
    <row r="952" ht="14.25" customHeight="1">
      <c r="C952" s="13"/>
      <c r="D952" s="13"/>
      <c r="E952" s="13"/>
      <c r="F952" s="13"/>
      <c r="G952" s="1027"/>
    </row>
    <row r="953" ht="14.25" customHeight="1">
      <c r="C953" s="13"/>
      <c r="D953" s="13"/>
      <c r="E953" s="13"/>
      <c r="F953" s="13"/>
      <c r="G953" s="1027"/>
    </row>
    <row r="954" ht="14.25" customHeight="1">
      <c r="C954" s="13"/>
      <c r="D954" s="13"/>
      <c r="E954" s="13"/>
      <c r="F954" s="13"/>
      <c r="G954" s="1027"/>
    </row>
    <row r="955" ht="14.25" customHeight="1">
      <c r="C955" s="13"/>
      <c r="D955" s="13"/>
      <c r="E955" s="13"/>
      <c r="F955" s="13"/>
      <c r="G955" s="1027"/>
    </row>
    <row r="956" ht="14.25" customHeight="1">
      <c r="C956" s="13"/>
      <c r="D956" s="13"/>
      <c r="E956" s="13"/>
      <c r="F956" s="13"/>
      <c r="G956" s="1027"/>
    </row>
    <row r="957" ht="14.25" customHeight="1">
      <c r="C957" s="13"/>
      <c r="D957" s="13"/>
      <c r="E957" s="13"/>
      <c r="F957" s="13"/>
      <c r="G957" s="1027"/>
    </row>
    <row r="958" ht="14.25" customHeight="1">
      <c r="C958" s="13"/>
      <c r="D958" s="13"/>
      <c r="E958" s="13"/>
      <c r="F958" s="13"/>
      <c r="G958" s="1027"/>
    </row>
    <row r="959" ht="14.25" customHeight="1">
      <c r="C959" s="13"/>
      <c r="D959" s="13"/>
      <c r="E959" s="13"/>
      <c r="F959" s="13"/>
      <c r="G959" s="1027"/>
    </row>
    <row r="960" ht="14.25" customHeight="1">
      <c r="C960" s="13"/>
      <c r="D960" s="13"/>
      <c r="E960" s="13"/>
      <c r="F960" s="13"/>
      <c r="G960" s="1027"/>
    </row>
    <row r="961" ht="14.25" customHeight="1">
      <c r="C961" s="13"/>
      <c r="D961" s="13"/>
      <c r="E961" s="13"/>
      <c r="F961" s="13"/>
      <c r="G961" s="1027"/>
    </row>
    <row r="962" ht="14.25" customHeight="1">
      <c r="C962" s="13"/>
      <c r="D962" s="13"/>
      <c r="E962" s="13"/>
      <c r="F962" s="13"/>
      <c r="G962" s="1027"/>
    </row>
    <row r="963" ht="14.25" customHeight="1">
      <c r="C963" s="13"/>
      <c r="D963" s="13"/>
      <c r="E963" s="13"/>
      <c r="F963" s="13"/>
      <c r="G963" s="1027"/>
    </row>
    <row r="964" ht="14.25" customHeight="1">
      <c r="C964" s="13"/>
      <c r="D964" s="13"/>
      <c r="E964" s="13"/>
      <c r="F964" s="13"/>
      <c r="G964" s="1027"/>
    </row>
    <row r="965" ht="14.25" customHeight="1">
      <c r="C965" s="13"/>
      <c r="D965" s="13"/>
      <c r="E965" s="13"/>
      <c r="F965" s="13"/>
      <c r="G965" s="1027"/>
    </row>
    <row r="966" ht="14.25" customHeight="1">
      <c r="C966" s="13"/>
      <c r="D966" s="13"/>
      <c r="E966" s="13"/>
      <c r="F966" s="13"/>
      <c r="G966" s="1027"/>
    </row>
    <row r="967" ht="14.25" customHeight="1">
      <c r="C967" s="13"/>
      <c r="D967" s="13"/>
      <c r="E967" s="13"/>
      <c r="F967" s="13"/>
      <c r="G967" s="1027"/>
    </row>
    <row r="968" ht="14.25" customHeight="1">
      <c r="C968" s="13"/>
      <c r="D968" s="13"/>
      <c r="E968" s="13"/>
      <c r="F968" s="13"/>
      <c r="G968" s="1027"/>
    </row>
    <row r="969" ht="14.25" customHeight="1">
      <c r="C969" s="13"/>
      <c r="D969" s="13"/>
      <c r="E969" s="13"/>
      <c r="F969" s="13"/>
      <c r="G969" s="1027"/>
    </row>
    <row r="970" ht="14.25" customHeight="1">
      <c r="C970" s="13"/>
      <c r="D970" s="13"/>
      <c r="E970" s="13"/>
      <c r="F970" s="13"/>
      <c r="G970" s="1027"/>
    </row>
    <row r="971" ht="14.25" customHeight="1">
      <c r="C971" s="13"/>
      <c r="D971" s="13"/>
      <c r="E971" s="13"/>
      <c r="F971" s="13"/>
      <c r="G971" s="1027"/>
    </row>
    <row r="972" ht="14.25" customHeight="1">
      <c r="C972" s="13"/>
      <c r="D972" s="13"/>
      <c r="E972" s="13"/>
      <c r="F972" s="13"/>
      <c r="G972" s="1027"/>
    </row>
    <row r="973" ht="14.25" customHeight="1">
      <c r="C973" s="13"/>
      <c r="D973" s="13"/>
      <c r="E973" s="13"/>
      <c r="F973" s="13"/>
      <c r="G973" s="1027"/>
    </row>
    <row r="974" ht="14.25" customHeight="1">
      <c r="C974" s="13"/>
      <c r="D974" s="13"/>
      <c r="E974" s="13"/>
      <c r="F974" s="13"/>
      <c r="G974" s="1027"/>
    </row>
    <row r="975" ht="14.25" customHeight="1">
      <c r="C975" s="13"/>
      <c r="D975" s="13"/>
      <c r="E975" s="13"/>
      <c r="F975" s="13"/>
      <c r="G975" s="1027"/>
    </row>
    <row r="976" ht="14.25" customHeight="1">
      <c r="C976" s="13"/>
      <c r="D976" s="13"/>
      <c r="E976" s="13"/>
      <c r="F976" s="13"/>
      <c r="G976" s="1027"/>
    </row>
    <row r="977" ht="14.25" customHeight="1">
      <c r="C977" s="13"/>
      <c r="D977" s="13"/>
      <c r="E977" s="13"/>
      <c r="F977" s="13"/>
      <c r="G977" s="1027"/>
    </row>
    <row r="978" ht="14.25" customHeight="1">
      <c r="C978" s="13"/>
      <c r="D978" s="13"/>
      <c r="E978" s="13"/>
      <c r="F978" s="13"/>
      <c r="G978" s="1027"/>
    </row>
    <row r="979" ht="14.25" customHeight="1">
      <c r="C979" s="13"/>
      <c r="D979" s="13"/>
      <c r="E979" s="13"/>
      <c r="F979" s="13"/>
      <c r="G979" s="1027"/>
    </row>
    <row r="980" ht="14.25" customHeight="1">
      <c r="C980" s="13"/>
      <c r="D980" s="13"/>
      <c r="E980" s="13"/>
      <c r="F980" s="13"/>
      <c r="G980" s="1027"/>
    </row>
    <row r="981" ht="14.25" customHeight="1">
      <c r="C981" s="13"/>
      <c r="D981" s="13"/>
      <c r="E981" s="13"/>
      <c r="F981" s="13"/>
      <c r="G981" s="1027"/>
    </row>
    <row r="982" ht="14.25" customHeight="1">
      <c r="C982" s="13"/>
      <c r="D982" s="13"/>
      <c r="E982" s="13"/>
      <c r="F982" s="13"/>
      <c r="G982" s="1027"/>
    </row>
    <row r="983" ht="14.25" customHeight="1">
      <c r="C983" s="13"/>
      <c r="D983" s="13"/>
      <c r="E983" s="13"/>
      <c r="F983" s="13"/>
      <c r="G983" s="1027"/>
    </row>
    <row r="984" ht="14.25" customHeight="1">
      <c r="C984" s="13"/>
      <c r="D984" s="13"/>
      <c r="E984" s="13"/>
      <c r="F984" s="13"/>
      <c r="G984" s="1027"/>
    </row>
    <row r="985" ht="14.25" customHeight="1">
      <c r="C985" s="13"/>
      <c r="D985" s="13"/>
      <c r="E985" s="13"/>
      <c r="F985" s="13"/>
      <c r="G985" s="1027"/>
    </row>
    <row r="986" ht="14.25" customHeight="1">
      <c r="C986" s="13"/>
      <c r="D986" s="13"/>
      <c r="E986" s="13"/>
      <c r="F986" s="13"/>
      <c r="G986" s="1027"/>
    </row>
    <row r="987" ht="14.25" customHeight="1">
      <c r="C987" s="13"/>
      <c r="D987" s="13"/>
      <c r="E987" s="13"/>
      <c r="F987" s="13"/>
      <c r="G987" s="1027"/>
    </row>
    <row r="988" ht="14.25" customHeight="1">
      <c r="C988" s="13"/>
      <c r="D988" s="13"/>
      <c r="E988" s="13"/>
      <c r="F988" s="13"/>
      <c r="G988" s="1027"/>
    </row>
    <row r="989" ht="14.25" customHeight="1">
      <c r="C989" s="13"/>
      <c r="D989" s="13"/>
      <c r="E989" s="13"/>
      <c r="F989" s="13"/>
      <c r="G989" s="1027"/>
    </row>
    <row r="990" ht="14.25" customHeight="1">
      <c r="C990" s="13"/>
      <c r="D990" s="13"/>
      <c r="E990" s="13"/>
      <c r="F990" s="13"/>
      <c r="G990" s="1027"/>
    </row>
    <row r="991" ht="14.25" customHeight="1">
      <c r="C991" s="13"/>
      <c r="D991" s="13"/>
      <c r="E991" s="13"/>
      <c r="F991" s="13"/>
      <c r="G991" s="1027"/>
    </row>
    <row r="992" ht="14.25" customHeight="1">
      <c r="C992" s="13"/>
      <c r="D992" s="13"/>
      <c r="E992" s="13"/>
      <c r="F992" s="13"/>
      <c r="G992" s="1027"/>
    </row>
    <row r="993" ht="14.25" customHeight="1">
      <c r="C993" s="13"/>
      <c r="D993" s="13"/>
      <c r="E993" s="13"/>
      <c r="F993" s="13"/>
      <c r="G993" s="1027"/>
    </row>
    <row r="994" ht="14.25" customHeight="1">
      <c r="C994" s="13"/>
      <c r="D994" s="13"/>
      <c r="E994" s="13"/>
      <c r="F994" s="13"/>
      <c r="G994" s="1027"/>
    </row>
    <row r="995" ht="14.25" customHeight="1">
      <c r="C995" s="13"/>
      <c r="D995" s="13"/>
      <c r="E995" s="13"/>
      <c r="F995" s="13"/>
      <c r="G995" s="1027"/>
    </row>
    <row r="996" ht="14.25" customHeight="1">
      <c r="C996" s="13"/>
      <c r="D996" s="13"/>
      <c r="E996" s="13"/>
      <c r="F996" s="13"/>
      <c r="G996" s="1027"/>
    </row>
    <row r="997" ht="14.25" customHeight="1">
      <c r="C997" s="13"/>
      <c r="D997" s="13"/>
      <c r="E997" s="13"/>
      <c r="F997" s="13"/>
      <c r="G997" s="1027"/>
    </row>
    <row r="998" ht="14.25" customHeight="1">
      <c r="C998" s="13"/>
      <c r="D998" s="13"/>
      <c r="E998" s="13"/>
      <c r="F998" s="13"/>
      <c r="G998" s="1027"/>
    </row>
    <row r="999" ht="14.25" customHeight="1">
      <c r="C999" s="13"/>
      <c r="D999" s="13"/>
      <c r="E999" s="13"/>
      <c r="F999" s="13"/>
      <c r="G999" s="1027"/>
    </row>
    <row r="1000" ht="14.25" customHeight="1">
      <c r="C1000" s="13"/>
      <c r="D1000" s="13"/>
      <c r="E1000" s="13"/>
      <c r="F1000" s="13"/>
      <c r="G1000" s="1027"/>
    </row>
  </sheetData>
  <autoFilter ref="$A$1:$B$102"/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Row="1"/>
  <cols>
    <col customWidth="1" min="1" max="1" width="5.38"/>
    <col customWidth="1" min="2" max="2" width="13.63"/>
    <col customWidth="1" min="3" max="3" width="14.5"/>
    <col customWidth="1" min="4" max="4" width="16.38"/>
    <col customWidth="1" min="5" max="5" width="26.88"/>
    <col customWidth="1" min="6" max="6" width="21.13"/>
    <col customWidth="1" min="7" max="8" width="15.5"/>
    <col customWidth="1" min="9" max="9" width="29.0"/>
    <col customWidth="1" min="10" max="10" width="9.5"/>
    <col customWidth="1" min="11" max="11" width="11.63"/>
    <col customWidth="1" min="12" max="12" width="9.25"/>
    <col customWidth="1" min="13" max="13" width="9.0"/>
    <col customWidth="1" min="14" max="14" width="8.63"/>
    <col customWidth="1" min="15" max="15" width="15.5"/>
    <col customWidth="1" min="16" max="18" width="14.63"/>
  </cols>
  <sheetData>
    <row r="1" ht="28.5" customHeight="1">
      <c r="A1" s="1036" t="s">
        <v>7146</v>
      </c>
      <c r="B1" s="1037"/>
      <c r="C1" s="1037"/>
      <c r="D1" s="1037"/>
      <c r="E1" s="1037"/>
      <c r="F1" s="1037"/>
      <c r="G1" s="1038"/>
      <c r="H1" s="1038"/>
      <c r="I1" s="1037"/>
      <c r="J1" s="788" t="s">
        <v>3</v>
      </c>
      <c r="K1" s="1037"/>
      <c r="L1" s="1037"/>
      <c r="M1" s="1037"/>
      <c r="N1" s="1037"/>
      <c r="O1" s="1037"/>
      <c r="P1" s="1037"/>
      <c r="Q1" s="1039"/>
      <c r="R1" s="1039"/>
    </row>
    <row r="2" ht="12.75" customHeight="1">
      <c r="A2" s="1040" t="s">
        <v>5</v>
      </c>
      <c r="B2" s="435" t="s">
        <v>3216</v>
      </c>
      <c r="C2" s="436" t="s">
        <v>3217</v>
      </c>
      <c r="D2" s="435" t="s">
        <v>6082</v>
      </c>
      <c r="E2" s="435" t="s">
        <v>11</v>
      </c>
      <c r="F2" s="435" t="s">
        <v>6083</v>
      </c>
      <c r="G2" s="437" t="s">
        <v>3219</v>
      </c>
      <c r="H2" s="1041" t="s">
        <v>7147</v>
      </c>
      <c r="I2" s="435" t="s">
        <v>33</v>
      </c>
      <c r="J2" s="790" t="s">
        <v>21</v>
      </c>
      <c r="K2" s="790" t="s">
        <v>22</v>
      </c>
      <c r="L2" s="790" t="s">
        <v>23</v>
      </c>
      <c r="M2" s="790" t="s">
        <v>25</v>
      </c>
      <c r="N2" s="790" t="s">
        <v>26</v>
      </c>
      <c r="O2" s="790" t="s">
        <v>6085</v>
      </c>
      <c r="P2" s="792" t="s">
        <v>6086</v>
      </c>
      <c r="Q2" s="1042" t="s">
        <v>3226</v>
      </c>
      <c r="R2" s="794" t="s">
        <v>34</v>
      </c>
    </row>
    <row r="3" ht="27.75" customHeight="1">
      <c r="A3" s="1043" t="s">
        <v>7148</v>
      </c>
      <c r="B3" s="1044" t="s">
        <v>7103</v>
      </c>
      <c r="C3" s="790">
        <f>$C$4+$C$723+$C$155+$C$189</f>
        <v>171</v>
      </c>
      <c r="D3" s="1045"/>
      <c r="E3" s="1045"/>
      <c r="F3" s="1046"/>
      <c r="G3" s="790"/>
      <c r="H3" s="1047"/>
      <c r="I3" s="790"/>
      <c r="J3" s="1046"/>
      <c r="K3" s="1046"/>
      <c r="L3" s="1045"/>
      <c r="M3" s="1046"/>
      <c r="N3" s="1046"/>
      <c r="O3" s="1045"/>
      <c r="P3" s="1045"/>
      <c r="Q3" s="1048"/>
      <c r="R3" s="802" t="s">
        <v>41</v>
      </c>
    </row>
    <row r="4" ht="12.75" customHeight="1">
      <c r="A4" s="1049" t="s">
        <v>7149</v>
      </c>
      <c r="B4" s="1050" t="s">
        <v>6695</v>
      </c>
      <c r="C4" s="1051">
        <f>COUNTA($B$5:$B$152)</f>
        <v>131</v>
      </c>
      <c r="D4" s="1052"/>
      <c r="E4" s="1052"/>
      <c r="F4" s="1053"/>
      <c r="G4" s="1054"/>
      <c r="H4" s="1053"/>
      <c r="I4" s="1051"/>
      <c r="J4" s="1053"/>
      <c r="K4" s="1053"/>
      <c r="L4" s="1055"/>
      <c r="M4" s="1053"/>
      <c r="N4" s="1053"/>
      <c r="O4" s="1055"/>
      <c r="P4" s="1055"/>
      <c r="Q4" s="1056"/>
      <c r="R4" s="805" t="s">
        <v>54</v>
      </c>
    </row>
    <row r="5" ht="12.75" customHeight="1">
      <c r="A5" s="806">
        <v>1.0</v>
      </c>
      <c r="B5" s="1057" t="s">
        <v>6696</v>
      </c>
      <c r="C5" s="1058"/>
      <c r="D5" s="1059" t="s">
        <v>7150</v>
      </c>
      <c r="E5" s="1059" t="s">
        <v>5809</v>
      </c>
      <c r="F5" s="806" t="s">
        <v>836</v>
      </c>
      <c r="G5" s="1060" t="s">
        <v>7152</v>
      </c>
      <c r="H5" s="806" t="s">
        <v>7153</v>
      </c>
      <c r="I5" s="1057" t="s">
        <v>7154</v>
      </c>
      <c r="J5" s="806" t="s">
        <v>7155</v>
      </c>
      <c r="K5" s="806" t="s">
        <v>883</v>
      </c>
      <c r="L5" s="1058"/>
      <c r="M5" s="806" t="s">
        <v>7156</v>
      </c>
      <c r="N5" s="806" t="s">
        <v>7157</v>
      </c>
      <c r="O5" s="1058"/>
      <c r="P5" s="1058"/>
      <c r="Q5" s="1061">
        <v>1.0</v>
      </c>
      <c r="R5" s="1061"/>
    </row>
    <row r="6" ht="12.75" customHeight="1">
      <c r="A6" s="806">
        <f t="shared" ref="A6:A8" si="1">1+A5</f>
        <v>2</v>
      </c>
      <c r="B6" s="1057" t="s">
        <v>6697</v>
      </c>
      <c r="C6" s="1058"/>
      <c r="D6" s="1059" t="s">
        <v>7150</v>
      </c>
      <c r="E6" s="1059" t="s">
        <v>5809</v>
      </c>
      <c r="F6" s="806" t="s">
        <v>836</v>
      </c>
      <c r="G6" s="1060" t="s">
        <v>7152</v>
      </c>
      <c r="H6" s="806" t="s">
        <v>7153</v>
      </c>
      <c r="I6" s="1057" t="s">
        <v>7154</v>
      </c>
      <c r="J6" s="806" t="s">
        <v>7155</v>
      </c>
      <c r="K6" s="806" t="s">
        <v>883</v>
      </c>
      <c r="L6" s="1058"/>
      <c r="M6" s="806" t="s">
        <v>7156</v>
      </c>
      <c r="N6" s="806" t="s">
        <v>7157</v>
      </c>
      <c r="O6" s="1058"/>
      <c r="P6" s="1058"/>
      <c r="Q6" s="1061">
        <v>1.0</v>
      </c>
      <c r="R6" s="1061"/>
    </row>
    <row r="7" ht="12.75" customHeight="1">
      <c r="A7" s="806">
        <f t="shared" si="1"/>
        <v>3</v>
      </c>
      <c r="B7" s="1057" t="s">
        <v>6698</v>
      </c>
      <c r="C7" s="1058"/>
      <c r="D7" s="1059" t="s">
        <v>7150</v>
      </c>
      <c r="E7" s="1059" t="s">
        <v>5809</v>
      </c>
      <c r="F7" s="806" t="s">
        <v>836</v>
      </c>
      <c r="G7" s="1060" t="s">
        <v>7152</v>
      </c>
      <c r="H7" s="806" t="s">
        <v>7153</v>
      </c>
      <c r="I7" s="1057" t="s">
        <v>7154</v>
      </c>
      <c r="J7" s="806" t="s">
        <v>7155</v>
      </c>
      <c r="K7" s="806" t="s">
        <v>883</v>
      </c>
      <c r="L7" s="1058"/>
      <c r="M7" s="806" t="s">
        <v>7156</v>
      </c>
      <c r="N7" s="806" t="s">
        <v>7157</v>
      </c>
      <c r="O7" s="1058"/>
      <c r="P7" s="1058"/>
      <c r="Q7" s="1061">
        <v>1.0</v>
      </c>
      <c r="R7" s="1061"/>
    </row>
    <row r="8" ht="12.75" customHeight="1">
      <c r="A8" s="806">
        <f t="shared" si="1"/>
        <v>4</v>
      </c>
      <c r="B8" s="1057" t="s">
        <v>6699</v>
      </c>
      <c r="C8" s="1058"/>
      <c r="D8" s="1059" t="s">
        <v>7150</v>
      </c>
      <c r="E8" s="1059" t="s">
        <v>5809</v>
      </c>
      <c r="F8" s="806" t="s">
        <v>836</v>
      </c>
      <c r="G8" s="1060" t="s">
        <v>7152</v>
      </c>
      <c r="H8" s="806" t="s">
        <v>7153</v>
      </c>
      <c r="I8" s="1057" t="s">
        <v>7154</v>
      </c>
      <c r="J8" s="806" t="s">
        <v>7155</v>
      </c>
      <c r="K8" s="806" t="s">
        <v>883</v>
      </c>
      <c r="L8" s="1058"/>
      <c r="M8" s="806" t="s">
        <v>7156</v>
      </c>
      <c r="N8" s="806" t="s">
        <v>7157</v>
      </c>
      <c r="O8" s="1058"/>
      <c r="P8" s="1058"/>
      <c r="Q8" s="1061">
        <v>1.0</v>
      </c>
      <c r="R8" s="1061"/>
    </row>
    <row r="9" ht="12.75" customHeight="1">
      <c r="A9" s="806">
        <f>1+A614</f>
        <v>6</v>
      </c>
      <c r="B9" s="1057" t="s">
        <v>6700</v>
      </c>
      <c r="C9" s="1058"/>
      <c r="D9" s="1059"/>
      <c r="E9" s="1059" t="s">
        <v>5809</v>
      </c>
      <c r="F9" s="806" t="s">
        <v>836</v>
      </c>
      <c r="G9" s="1064">
        <v>45543.0</v>
      </c>
      <c r="H9" s="806" t="s">
        <v>7153</v>
      </c>
      <c r="I9" s="1057" t="s">
        <v>7154</v>
      </c>
      <c r="J9" s="806" t="s">
        <v>7155</v>
      </c>
      <c r="K9" s="806" t="s">
        <v>883</v>
      </c>
      <c r="L9" s="1058"/>
      <c r="M9" s="806" t="s">
        <v>7156</v>
      </c>
      <c r="N9" s="806" t="s">
        <v>7157</v>
      </c>
      <c r="O9" s="1058"/>
      <c r="P9" s="1058"/>
      <c r="Q9" s="1061">
        <v>1.0</v>
      </c>
      <c r="R9" s="1061"/>
    </row>
    <row r="10" ht="12.75" customHeight="1">
      <c r="A10" s="806">
        <f>1+A9</f>
        <v>7</v>
      </c>
      <c r="B10" s="1057" t="s">
        <v>6701</v>
      </c>
      <c r="C10" s="1058"/>
      <c r="D10" s="1059"/>
      <c r="E10" s="1059" t="s">
        <v>5809</v>
      </c>
      <c r="F10" s="806" t="s">
        <v>836</v>
      </c>
      <c r="G10" s="1064">
        <v>45543.0</v>
      </c>
      <c r="H10" s="806" t="s">
        <v>7153</v>
      </c>
      <c r="I10" s="1057" t="s">
        <v>7154</v>
      </c>
      <c r="J10" s="806" t="s">
        <v>7155</v>
      </c>
      <c r="K10" s="806" t="s">
        <v>883</v>
      </c>
      <c r="L10" s="1058"/>
      <c r="M10" s="806" t="s">
        <v>7156</v>
      </c>
      <c r="N10" s="806" t="s">
        <v>7157</v>
      </c>
      <c r="O10" s="1058"/>
      <c r="P10" s="1058"/>
      <c r="Q10" s="1061">
        <v>1.0</v>
      </c>
      <c r="R10" s="1061"/>
    </row>
    <row r="11" ht="12.75" customHeight="1">
      <c r="A11" s="806">
        <f>1+A615</f>
        <v>9</v>
      </c>
      <c r="B11" s="1057" t="s">
        <v>6702</v>
      </c>
      <c r="C11" s="1058"/>
      <c r="D11" s="1059"/>
      <c r="E11" s="1059" t="s">
        <v>5809</v>
      </c>
      <c r="F11" s="806" t="s">
        <v>836</v>
      </c>
      <c r="G11" s="1064">
        <v>45543.0</v>
      </c>
      <c r="H11" s="806" t="s">
        <v>7153</v>
      </c>
      <c r="I11" s="1057" t="s">
        <v>7154</v>
      </c>
      <c r="J11" s="806" t="s">
        <v>7155</v>
      </c>
      <c r="K11" s="806" t="s">
        <v>883</v>
      </c>
      <c r="L11" s="1058"/>
      <c r="M11" s="806" t="s">
        <v>7156</v>
      </c>
      <c r="N11" s="806" t="s">
        <v>7157</v>
      </c>
      <c r="O11" s="1058"/>
      <c r="P11" s="1058"/>
      <c r="Q11" s="1061">
        <v>1.0</v>
      </c>
      <c r="R11" s="1061"/>
    </row>
    <row r="12" ht="12.75" customHeight="1">
      <c r="A12" s="806">
        <f t="shared" ref="A12:A135" si="2">1+A11</f>
        <v>10</v>
      </c>
      <c r="B12" s="1057" t="s">
        <v>6703</v>
      </c>
      <c r="C12" s="1058"/>
      <c r="D12" s="1059"/>
      <c r="E12" s="1059" t="s">
        <v>5809</v>
      </c>
      <c r="F12" s="806" t="s">
        <v>836</v>
      </c>
      <c r="G12" s="1064">
        <v>45543.0</v>
      </c>
      <c r="H12" s="806" t="s">
        <v>7153</v>
      </c>
      <c r="I12" s="1057" t="s">
        <v>7154</v>
      </c>
      <c r="J12" s="806" t="s">
        <v>7155</v>
      </c>
      <c r="K12" s="806" t="s">
        <v>883</v>
      </c>
      <c r="L12" s="1058"/>
      <c r="M12" s="806" t="s">
        <v>7156</v>
      </c>
      <c r="N12" s="806" t="s">
        <v>7157</v>
      </c>
      <c r="O12" s="1058"/>
      <c r="P12" s="1058"/>
      <c r="Q12" s="1061">
        <v>1.0</v>
      </c>
      <c r="R12" s="1061"/>
    </row>
    <row r="13" ht="12.75" customHeight="1">
      <c r="A13" s="806">
        <f t="shared" si="2"/>
        <v>11</v>
      </c>
      <c r="B13" s="1057" t="s">
        <v>6704</v>
      </c>
      <c r="C13" s="1058"/>
      <c r="D13" s="1059"/>
      <c r="E13" s="1059" t="s">
        <v>5809</v>
      </c>
      <c r="F13" s="806" t="s">
        <v>836</v>
      </c>
      <c r="G13" s="1064">
        <v>45543.0</v>
      </c>
      <c r="H13" s="806" t="s">
        <v>7153</v>
      </c>
      <c r="I13" s="1057" t="s">
        <v>7154</v>
      </c>
      <c r="J13" s="806" t="s">
        <v>7155</v>
      </c>
      <c r="K13" s="806" t="s">
        <v>883</v>
      </c>
      <c r="L13" s="1058"/>
      <c r="M13" s="806" t="s">
        <v>7156</v>
      </c>
      <c r="N13" s="806" t="s">
        <v>7157</v>
      </c>
      <c r="O13" s="1058"/>
      <c r="P13" s="1058"/>
      <c r="Q13" s="1061">
        <v>1.0</v>
      </c>
      <c r="R13" s="1061"/>
    </row>
    <row r="14" ht="12.75" customHeight="1">
      <c r="A14" s="806">
        <f t="shared" si="2"/>
        <v>12</v>
      </c>
      <c r="B14" s="1057" t="s">
        <v>6705</v>
      </c>
      <c r="C14" s="1058"/>
      <c r="D14" s="1059"/>
      <c r="E14" s="1059" t="s">
        <v>5809</v>
      </c>
      <c r="F14" s="806" t="s">
        <v>836</v>
      </c>
      <c r="G14" s="1064">
        <v>45543.0</v>
      </c>
      <c r="H14" s="806" t="s">
        <v>7153</v>
      </c>
      <c r="I14" s="1057" t="s">
        <v>7154</v>
      </c>
      <c r="J14" s="806" t="s">
        <v>7155</v>
      </c>
      <c r="K14" s="806" t="s">
        <v>883</v>
      </c>
      <c r="L14" s="1058"/>
      <c r="M14" s="806" t="s">
        <v>7156</v>
      </c>
      <c r="N14" s="806" t="s">
        <v>7157</v>
      </c>
      <c r="O14" s="1058"/>
      <c r="P14" s="1058"/>
      <c r="Q14" s="1061">
        <v>1.0</v>
      </c>
      <c r="R14" s="1061"/>
    </row>
    <row r="15" ht="12.75" customHeight="1">
      <c r="A15" s="806">
        <f t="shared" si="2"/>
        <v>13</v>
      </c>
      <c r="B15" s="1057" t="s">
        <v>6706</v>
      </c>
      <c r="C15" s="1058"/>
      <c r="D15" s="1059"/>
      <c r="E15" s="1059" t="s">
        <v>5809</v>
      </c>
      <c r="F15" s="806" t="s">
        <v>836</v>
      </c>
      <c r="G15" s="1064">
        <v>45543.0</v>
      </c>
      <c r="H15" s="806" t="s">
        <v>7153</v>
      </c>
      <c r="I15" s="1057" t="s">
        <v>7154</v>
      </c>
      <c r="J15" s="806" t="s">
        <v>7155</v>
      </c>
      <c r="K15" s="806" t="s">
        <v>883</v>
      </c>
      <c r="L15" s="1058"/>
      <c r="M15" s="806" t="s">
        <v>7156</v>
      </c>
      <c r="N15" s="806" t="s">
        <v>7157</v>
      </c>
      <c r="O15" s="1058"/>
      <c r="P15" s="1058"/>
      <c r="Q15" s="1061">
        <v>1.0</v>
      </c>
      <c r="R15" s="1061"/>
    </row>
    <row r="16" ht="12.75" customHeight="1">
      <c r="A16" s="806">
        <f t="shared" si="2"/>
        <v>14</v>
      </c>
      <c r="B16" s="1057" t="s">
        <v>6707</v>
      </c>
      <c r="C16" s="1058"/>
      <c r="D16" s="1059"/>
      <c r="E16" s="1059" t="s">
        <v>5809</v>
      </c>
      <c r="F16" s="806" t="s">
        <v>836</v>
      </c>
      <c r="G16" s="1064">
        <v>45543.0</v>
      </c>
      <c r="H16" s="806" t="s">
        <v>7153</v>
      </c>
      <c r="I16" s="1057" t="s">
        <v>7154</v>
      </c>
      <c r="J16" s="806" t="s">
        <v>7155</v>
      </c>
      <c r="K16" s="806" t="s">
        <v>883</v>
      </c>
      <c r="L16" s="1058"/>
      <c r="M16" s="806" t="s">
        <v>7156</v>
      </c>
      <c r="N16" s="806" t="s">
        <v>7157</v>
      </c>
      <c r="O16" s="1058"/>
      <c r="P16" s="1058"/>
      <c r="Q16" s="1061">
        <v>1.0</v>
      </c>
      <c r="R16" s="1061"/>
    </row>
    <row r="17" ht="12.75" customHeight="1">
      <c r="A17" s="806">
        <f t="shared" si="2"/>
        <v>15</v>
      </c>
      <c r="B17" s="1057" t="s">
        <v>6708</v>
      </c>
      <c r="C17" s="1058"/>
      <c r="D17" s="1059"/>
      <c r="E17" s="1059" t="s">
        <v>5809</v>
      </c>
      <c r="F17" s="806" t="s">
        <v>836</v>
      </c>
      <c r="G17" s="1064">
        <v>45543.0</v>
      </c>
      <c r="H17" s="806" t="s">
        <v>7153</v>
      </c>
      <c r="I17" s="1057" t="s">
        <v>7154</v>
      </c>
      <c r="J17" s="806" t="s">
        <v>7155</v>
      </c>
      <c r="K17" s="806" t="s">
        <v>883</v>
      </c>
      <c r="L17" s="1058"/>
      <c r="M17" s="806" t="s">
        <v>7156</v>
      </c>
      <c r="N17" s="806" t="s">
        <v>7157</v>
      </c>
      <c r="O17" s="1058"/>
      <c r="P17" s="1058"/>
      <c r="Q17" s="1061">
        <v>1.0</v>
      </c>
      <c r="R17" s="1061"/>
    </row>
    <row r="18" ht="12.75" customHeight="1">
      <c r="A18" s="806">
        <f t="shared" si="2"/>
        <v>16</v>
      </c>
      <c r="B18" s="1057" t="s">
        <v>6709</v>
      </c>
      <c r="C18" s="1058"/>
      <c r="D18" s="1059"/>
      <c r="E18" s="1059" t="s">
        <v>5809</v>
      </c>
      <c r="F18" s="806" t="s">
        <v>836</v>
      </c>
      <c r="G18" s="1064">
        <v>45543.0</v>
      </c>
      <c r="H18" s="806" t="s">
        <v>7153</v>
      </c>
      <c r="I18" s="1057" t="s">
        <v>7154</v>
      </c>
      <c r="J18" s="806" t="s">
        <v>7155</v>
      </c>
      <c r="K18" s="806" t="s">
        <v>883</v>
      </c>
      <c r="L18" s="1058"/>
      <c r="M18" s="806" t="s">
        <v>7156</v>
      </c>
      <c r="N18" s="806" t="s">
        <v>7157</v>
      </c>
      <c r="O18" s="1058"/>
      <c r="P18" s="1058"/>
      <c r="Q18" s="1061">
        <v>1.0</v>
      </c>
      <c r="R18" s="1061"/>
    </row>
    <row r="19" ht="12.75" customHeight="1">
      <c r="A19" s="806">
        <f t="shared" si="2"/>
        <v>17</v>
      </c>
      <c r="B19" s="1057" t="s">
        <v>6710</v>
      </c>
      <c r="C19" s="1058"/>
      <c r="D19" s="1059"/>
      <c r="E19" s="1059" t="s">
        <v>5809</v>
      </c>
      <c r="F19" s="806" t="s">
        <v>836</v>
      </c>
      <c r="G19" s="1064">
        <v>45543.0</v>
      </c>
      <c r="H19" s="806" t="s">
        <v>7153</v>
      </c>
      <c r="I19" s="1057" t="s">
        <v>7154</v>
      </c>
      <c r="J19" s="806" t="s">
        <v>7155</v>
      </c>
      <c r="K19" s="806" t="s">
        <v>883</v>
      </c>
      <c r="L19" s="1058"/>
      <c r="M19" s="806" t="s">
        <v>7156</v>
      </c>
      <c r="N19" s="806" t="s">
        <v>7157</v>
      </c>
      <c r="O19" s="1058"/>
      <c r="P19" s="1058"/>
      <c r="Q19" s="1061">
        <v>1.0</v>
      </c>
      <c r="R19" s="1061"/>
    </row>
    <row r="20" ht="12.75" customHeight="1">
      <c r="A20" s="806">
        <f t="shared" si="2"/>
        <v>18</v>
      </c>
      <c r="B20" s="1057" t="s">
        <v>6711</v>
      </c>
      <c r="C20" s="1058"/>
      <c r="D20" s="1059"/>
      <c r="E20" s="1059" t="s">
        <v>5809</v>
      </c>
      <c r="F20" s="806" t="s">
        <v>836</v>
      </c>
      <c r="G20" s="1064">
        <v>45543.0</v>
      </c>
      <c r="H20" s="806" t="s">
        <v>7153</v>
      </c>
      <c r="I20" s="1057" t="s">
        <v>7154</v>
      </c>
      <c r="J20" s="806" t="s">
        <v>7155</v>
      </c>
      <c r="K20" s="806" t="s">
        <v>883</v>
      </c>
      <c r="L20" s="1058"/>
      <c r="M20" s="806" t="s">
        <v>7156</v>
      </c>
      <c r="N20" s="806" t="s">
        <v>7157</v>
      </c>
      <c r="O20" s="1058"/>
      <c r="P20" s="1058"/>
      <c r="Q20" s="1061">
        <v>1.0</v>
      </c>
      <c r="R20" s="1061"/>
    </row>
    <row r="21" ht="12.75" customHeight="1">
      <c r="A21" s="806">
        <f t="shared" si="2"/>
        <v>19</v>
      </c>
      <c r="B21" s="1057" t="s">
        <v>6712</v>
      </c>
      <c r="C21" s="1058"/>
      <c r="D21" s="1059"/>
      <c r="E21" s="1059" t="s">
        <v>5809</v>
      </c>
      <c r="F21" s="806" t="s">
        <v>836</v>
      </c>
      <c r="G21" s="1064">
        <v>45543.0</v>
      </c>
      <c r="H21" s="806" t="s">
        <v>7153</v>
      </c>
      <c r="I21" s="1057" t="s">
        <v>7154</v>
      </c>
      <c r="J21" s="806" t="s">
        <v>7155</v>
      </c>
      <c r="K21" s="806" t="s">
        <v>883</v>
      </c>
      <c r="L21" s="1058"/>
      <c r="M21" s="806" t="s">
        <v>7156</v>
      </c>
      <c r="N21" s="806" t="s">
        <v>7157</v>
      </c>
      <c r="O21" s="1058"/>
      <c r="P21" s="1058"/>
      <c r="Q21" s="1061">
        <v>1.0</v>
      </c>
      <c r="R21" s="1061"/>
    </row>
    <row r="22" ht="12.75" customHeight="1">
      <c r="A22" s="806">
        <f t="shared" si="2"/>
        <v>20</v>
      </c>
      <c r="B22" s="1057" t="s">
        <v>6713</v>
      </c>
      <c r="C22" s="1058"/>
      <c r="D22" s="1059"/>
      <c r="E22" s="1059" t="s">
        <v>5809</v>
      </c>
      <c r="F22" s="806" t="s">
        <v>836</v>
      </c>
      <c r="G22" s="1064">
        <v>45543.0</v>
      </c>
      <c r="H22" s="806" t="s">
        <v>7153</v>
      </c>
      <c r="I22" s="1057" t="s">
        <v>7154</v>
      </c>
      <c r="J22" s="806" t="s">
        <v>7155</v>
      </c>
      <c r="K22" s="806" t="s">
        <v>883</v>
      </c>
      <c r="L22" s="1058"/>
      <c r="M22" s="806" t="s">
        <v>7156</v>
      </c>
      <c r="N22" s="806" t="s">
        <v>7157</v>
      </c>
      <c r="O22" s="1058"/>
      <c r="P22" s="1058"/>
      <c r="Q22" s="1061">
        <v>1.0</v>
      </c>
      <c r="R22" s="1061"/>
    </row>
    <row r="23" ht="12.75" customHeight="1">
      <c r="A23" s="806">
        <f t="shared" si="2"/>
        <v>21</v>
      </c>
      <c r="B23" s="1057" t="s">
        <v>6714</v>
      </c>
      <c r="C23" s="1058"/>
      <c r="D23" s="1059"/>
      <c r="E23" s="1059" t="s">
        <v>5809</v>
      </c>
      <c r="F23" s="806" t="s">
        <v>836</v>
      </c>
      <c r="G23" s="1064">
        <v>45543.0</v>
      </c>
      <c r="H23" s="806" t="s">
        <v>7153</v>
      </c>
      <c r="I23" s="1057" t="s">
        <v>7154</v>
      </c>
      <c r="J23" s="806" t="s">
        <v>7155</v>
      </c>
      <c r="K23" s="806" t="s">
        <v>883</v>
      </c>
      <c r="L23" s="1058"/>
      <c r="M23" s="806" t="s">
        <v>7156</v>
      </c>
      <c r="N23" s="806" t="s">
        <v>7157</v>
      </c>
      <c r="O23" s="1058"/>
      <c r="P23" s="1058"/>
      <c r="Q23" s="1061">
        <v>1.0</v>
      </c>
      <c r="R23" s="1061"/>
    </row>
    <row r="24" ht="12.75" customHeight="1">
      <c r="A24" s="806">
        <f t="shared" si="2"/>
        <v>22</v>
      </c>
      <c r="B24" s="1057" t="s">
        <v>6715</v>
      </c>
      <c r="C24" s="1058"/>
      <c r="D24" s="1059"/>
      <c r="E24" s="1059" t="s">
        <v>5809</v>
      </c>
      <c r="F24" s="806" t="s">
        <v>836</v>
      </c>
      <c r="G24" s="1064">
        <v>45543.0</v>
      </c>
      <c r="H24" s="806" t="s">
        <v>7153</v>
      </c>
      <c r="I24" s="1057" t="s">
        <v>7154</v>
      </c>
      <c r="J24" s="806" t="s">
        <v>7155</v>
      </c>
      <c r="K24" s="806" t="s">
        <v>883</v>
      </c>
      <c r="L24" s="1058"/>
      <c r="M24" s="806" t="s">
        <v>7156</v>
      </c>
      <c r="N24" s="806" t="s">
        <v>7157</v>
      </c>
      <c r="O24" s="1058"/>
      <c r="P24" s="1058"/>
      <c r="Q24" s="1061">
        <v>1.0</v>
      </c>
      <c r="R24" s="1061"/>
    </row>
    <row r="25" ht="12.75" customHeight="1">
      <c r="A25" s="806">
        <f t="shared" si="2"/>
        <v>23</v>
      </c>
      <c r="B25" s="1057" t="s">
        <v>6716</v>
      </c>
      <c r="C25" s="1058"/>
      <c r="D25" s="1059"/>
      <c r="E25" s="1059" t="s">
        <v>5809</v>
      </c>
      <c r="F25" s="806" t="s">
        <v>836</v>
      </c>
      <c r="G25" s="1064">
        <v>45543.0</v>
      </c>
      <c r="H25" s="806" t="s">
        <v>7153</v>
      </c>
      <c r="I25" s="1057" t="s">
        <v>7154</v>
      </c>
      <c r="J25" s="806" t="s">
        <v>7155</v>
      </c>
      <c r="K25" s="806" t="s">
        <v>883</v>
      </c>
      <c r="L25" s="1058"/>
      <c r="M25" s="806" t="s">
        <v>7156</v>
      </c>
      <c r="N25" s="806" t="s">
        <v>7157</v>
      </c>
      <c r="O25" s="1058"/>
      <c r="P25" s="1058"/>
      <c r="Q25" s="1061">
        <v>1.0</v>
      </c>
      <c r="R25" s="1061"/>
    </row>
    <row r="26" ht="12.75" customHeight="1">
      <c r="A26" s="806">
        <f t="shared" si="2"/>
        <v>24</v>
      </c>
      <c r="B26" s="1057" t="s">
        <v>6717</v>
      </c>
      <c r="C26" s="1058"/>
      <c r="D26" s="1059"/>
      <c r="E26" s="1059" t="s">
        <v>5809</v>
      </c>
      <c r="F26" s="806" t="s">
        <v>836</v>
      </c>
      <c r="G26" s="1064">
        <v>45543.0</v>
      </c>
      <c r="H26" s="806" t="s">
        <v>7153</v>
      </c>
      <c r="I26" s="1057" t="s">
        <v>7154</v>
      </c>
      <c r="J26" s="806" t="s">
        <v>7155</v>
      </c>
      <c r="K26" s="806" t="s">
        <v>883</v>
      </c>
      <c r="L26" s="1058"/>
      <c r="M26" s="806" t="s">
        <v>7156</v>
      </c>
      <c r="N26" s="806" t="s">
        <v>7157</v>
      </c>
      <c r="O26" s="1058"/>
      <c r="P26" s="1058"/>
      <c r="Q26" s="1061">
        <v>1.0</v>
      </c>
      <c r="R26" s="1061"/>
    </row>
    <row r="27" ht="12.75" customHeight="1">
      <c r="A27" s="806">
        <f t="shared" si="2"/>
        <v>25</v>
      </c>
      <c r="B27" s="1057" t="s">
        <v>6718</v>
      </c>
      <c r="C27" s="1058"/>
      <c r="D27" s="1059"/>
      <c r="E27" s="1059" t="s">
        <v>5809</v>
      </c>
      <c r="F27" s="806" t="s">
        <v>836</v>
      </c>
      <c r="G27" s="1064">
        <v>45514.0</v>
      </c>
      <c r="H27" s="806" t="s">
        <v>7153</v>
      </c>
      <c r="I27" s="1057" t="s">
        <v>7154</v>
      </c>
      <c r="J27" s="806" t="s">
        <v>7155</v>
      </c>
      <c r="K27" s="806" t="s">
        <v>883</v>
      </c>
      <c r="L27" s="1058"/>
      <c r="M27" s="806" t="s">
        <v>7156</v>
      </c>
      <c r="N27" s="806" t="s">
        <v>7157</v>
      </c>
      <c r="O27" s="1058"/>
      <c r="P27" s="1058"/>
      <c r="Q27" s="1061">
        <v>1.0</v>
      </c>
      <c r="R27" s="1061"/>
    </row>
    <row r="28" ht="12.75" customHeight="1">
      <c r="A28" s="806">
        <f t="shared" si="2"/>
        <v>26</v>
      </c>
      <c r="B28" s="1057" t="s">
        <v>6719</v>
      </c>
      <c r="C28" s="1058"/>
      <c r="D28" s="1059"/>
      <c r="E28" s="1059" t="s">
        <v>5809</v>
      </c>
      <c r="F28" s="806" t="s">
        <v>836</v>
      </c>
      <c r="G28" s="1064">
        <v>45514.0</v>
      </c>
      <c r="H28" s="806" t="s">
        <v>7153</v>
      </c>
      <c r="I28" s="1057" t="s">
        <v>7154</v>
      </c>
      <c r="J28" s="806" t="s">
        <v>7155</v>
      </c>
      <c r="K28" s="806" t="s">
        <v>883</v>
      </c>
      <c r="L28" s="1058"/>
      <c r="M28" s="806" t="s">
        <v>7156</v>
      </c>
      <c r="N28" s="806" t="s">
        <v>7157</v>
      </c>
      <c r="O28" s="1058"/>
      <c r="P28" s="1058"/>
      <c r="Q28" s="1061">
        <v>1.0</v>
      </c>
      <c r="R28" s="1061"/>
    </row>
    <row r="29" ht="12.75" customHeight="1">
      <c r="A29" s="806">
        <f t="shared" si="2"/>
        <v>27</v>
      </c>
      <c r="B29" s="1057" t="s">
        <v>6720</v>
      </c>
      <c r="C29" s="1058"/>
      <c r="D29" s="1059"/>
      <c r="E29" s="1059" t="s">
        <v>5809</v>
      </c>
      <c r="F29" s="806" t="s">
        <v>836</v>
      </c>
      <c r="G29" s="1064">
        <v>45514.0</v>
      </c>
      <c r="H29" s="806" t="s">
        <v>7153</v>
      </c>
      <c r="I29" s="1057" t="s">
        <v>7154</v>
      </c>
      <c r="J29" s="806" t="s">
        <v>7155</v>
      </c>
      <c r="K29" s="806" t="s">
        <v>883</v>
      </c>
      <c r="L29" s="1058"/>
      <c r="M29" s="806" t="s">
        <v>7156</v>
      </c>
      <c r="N29" s="806" t="s">
        <v>7157</v>
      </c>
      <c r="O29" s="1058"/>
      <c r="P29" s="1058"/>
      <c r="Q29" s="1061">
        <v>1.0</v>
      </c>
      <c r="R29" s="1061"/>
    </row>
    <row r="30" ht="12.75" customHeight="1">
      <c r="A30" s="806">
        <f t="shared" si="2"/>
        <v>28</v>
      </c>
      <c r="B30" s="1057" t="s">
        <v>6721</v>
      </c>
      <c r="C30" s="1058"/>
      <c r="D30" s="1059"/>
      <c r="E30" s="1059" t="s">
        <v>5809</v>
      </c>
      <c r="F30" s="806" t="s">
        <v>836</v>
      </c>
      <c r="G30" s="1064">
        <v>45514.0</v>
      </c>
      <c r="H30" s="806" t="s">
        <v>7153</v>
      </c>
      <c r="I30" s="1057" t="s">
        <v>7154</v>
      </c>
      <c r="J30" s="806" t="s">
        <v>7155</v>
      </c>
      <c r="K30" s="806" t="s">
        <v>883</v>
      </c>
      <c r="L30" s="1058"/>
      <c r="M30" s="806" t="s">
        <v>7156</v>
      </c>
      <c r="N30" s="806" t="s">
        <v>7157</v>
      </c>
      <c r="O30" s="1058"/>
      <c r="P30" s="1058"/>
      <c r="Q30" s="1061">
        <v>1.0</v>
      </c>
      <c r="R30" s="1061"/>
    </row>
    <row r="31" ht="12.75" customHeight="1">
      <c r="A31" s="806">
        <f t="shared" si="2"/>
        <v>29</v>
      </c>
      <c r="B31" s="1057" t="s">
        <v>6722</v>
      </c>
      <c r="C31" s="1058"/>
      <c r="D31" s="1059"/>
      <c r="E31" s="1059" t="s">
        <v>5809</v>
      </c>
      <c r="F31" s="806" t="s">
        <v>836</v>
      </c>
      <c r="G31" s="1064">
        <v>45514.0</v>
      </c>
      <c r="H31" s="806" t="s">
        <v>7153</v>
      </c>
      <c r="I31" s="1057" t="s">
        <v>7154</v>
      </c>
      <c r="J31" s="806" t="s">
        <v>7155</v>
      </c>
      <c r="K31" s="806" t="s">
        <v>883</v>
      </c>
      <c r="L31" s="1058"/>
      <c r="M31" s="806" t="s">
        <v>7156</v>
      </c>
      <c r="N31" s="806" t="s">
        <v>7157</v>
      </c>
      <c r="O31" s="1058"/>
      <c r="P31" s="1058"/>
      <c r="Q31" s="1061">
        <v>1.0</v>
      </c>
      <c r="R31" s="1061"/>
    </row>
    <row r="32" ht="12.75" customHeight="1">
      <c r="A32" s="806">
        <f t="shared" si="2"/>
        <v>30</v>
      </c>
      <c r="B32" s="1057" t="s">
        <v>6723</v>
      </c>
      <c r="C32" s="1058"/>
      <c r="D32" s="1059"/>
      <c r="E32" s="1059" t="s">
        <v>5809</v>
      </c>
      <c r="F32" s="806" t="s">
        <v>836</v>
      </c>
      <c r="G32" s="1064">
        <v>45514.0</v>
      </c>
      <c r="H32" s="806" t="s">
        <v>7153</v>
      </c>
      <c r="I32" s="1057" t="s">
        <v>7154</v>
      </c>
      <c r="J32" s="806" t="s">
        <v>7155</v>
      </c>
      <c r="K32" s="806" t="s">
        <v>883</v>
      </c>
      <c r="L32" s="1058"/>
      <c r="M32" s="806" t="s">
        <v>7156</v>
      </c>
      <c r="N32" s="806" t="s">
        <v>7157</v>
      </c>
      <c r="O32" s="1058"/>
      <c r="P32" s="1058"/>
      <c r="Q32" s="1061">
        <v>1.0</v>
      </c>
      <c r="R32" s="1061"/>
    </row>
    <row r="33" ht="12.75" customHeight="1">
      <c r="A33" s="806">
        <f t="shared" si="2"/>
        <v>31</v>
      </c>
      <c r="B33" s="1057" t="s">
        <v>6724</v>
      </c>
      <c r="C33" s="1058"/>
      <c r="D33" s="1059"/>
      <c r="E33" s="1059" t="s">
        <v>5809</v>
      </c>
      <c r="F33" s="806" t="s">
        <v>836</v>
      </c>
      <c r="G33" s="1064">
        <v>45514.0</v>
      </c>
      <c r="H33" s="806" t="s">
        <v>7153</v>
      </c>
      <c r="I33" s="1057" t="s">
        <v>7154</v>
      </c>
      <c r="J33" s="806" t="s">
        <v>7155</v>
      </c>
      <c r="K33" s="806" t="s">
        <v>883</v>
      </c>
      <c r="L33" s="1058"/>
      <c r="M33" s="806" t="s">
        <v>7156</v>
      </c>
      <c r="N33" s="806" t="s">
        <v>7157</v>
      </c>
      <c r="O33" s="1058"/>
      <c r="P33" s="1058"/>
      <c r="Q33" s="1061">
        <v>1.0</v>
      </c>
      <c r="R33" s="1061"/>
    </row>
    <row r="34" ht="12.75" customHeight="1">
      <c r="A34" s="806">
        <f t="shared" si="2"/>
        <v>32</v>
      </c>
      <c r="B34" s="1057" t="s">
        <v>6725</v>
      </c>
      <c r="C34" s="1058"/>
      <c r="D34" s="1059"/>
      <c r="E34" s="1059" t="s">
        <v>5809</v>
      </c>
      <c r="F34" s="806" t="s">
        <v>836</v>
      </c>
      <c r="G34" s="1064">
        <v>45514.0</v>
      </c>
      <c r="H34" s="806" t="s">
        <v>7153</v>
      </c>
      <c r="I34" s="1057" t="s">
        <v>7154</v>
      </c>
      <c r="J34" s="806" t="s">
        <v>7155</v>
      </c>
      <c r="K34" s="806" t="s">
        <v>883</v>
      </c>
      <c r="L34" s="1058"/>
      <c r="M34" s="806" t="s">
        <v>7156</v>
      </c>
      <c r="N34" s="806" t="s">
        <v>7157</v>
      </c>
      <c r="O34" s="1058"/>
      <c r="P34" s="1058"/>
      <c r="Q34" s="1061">
        <v>1.0</v>
      </c>
      <c r="R34" s="1061"/>
    </row>
    <row r="35" ht="12.75" customHeight="1">
      <c r="A35" s="806">
        <f t="shared" si="2"/>
        <v>33</v>
      </c>
      <c r="B35" s="1057" t="s">
        <v>6726</v>
      </c>
      <c r="C35" s="1058"/>
      <c r="D35" s="1059"/>
      <c r="E35" s="1059" t="s">
        <v>5809</v>
      </c>
      <c r="F35" s="806" t="s">
        <v>836</v>
      </c>
      <c r="G35" s="1064">
        <v>45514.0</v>
      </c>
      <c r="H35" s="806" t="s">
        <v>7153</v>
      </c>
      <c r="I35" s="1057" t="s">
        <v>7154</v>
      </c>
      <c r="J35" s="806" t="s">
        <v>7155</v>
      </c>
      <c r="K35" s="806" t="s">
        <v>883</v>
      </c>
      <c r="L35" s="1058"/>
      <c r="M35" s="806" t="s">
        <v>7156</v>
      </c>
      <c r="N35" s="806" t="s">
        <v>7157</v>
      </c>
      <c r="O35" s="1058"/>
      <c r="P35" s="1058"/>
      <c r="Q35" s="1061">
        <v>1.0</v>
      </c>
      <c r="R35" s="1061"/>
    </row>
    <row r="36" ht="12.75" customHeight="1">
      <c r="A36" s="806">
        <f t="shared" si="2"/>
        <v>34</v>
      </c>
      <c r="B36" s="1057" t="s">
        <v>6727</v>
      </c>
      <c r="C36" s="1058"/>
      <c r="D36" s="1059"/>
      <c r="E36" s="1059" t="s">
        <v>5809</v>
      </c>
      <c r="F36" s="806" t="s">
        <v>836</v>
      </c>
      <c r="G36" s="1064">
        <v>45514.0</v>
      </c>
      <c r="H36" s="806" t="s">
        <v>7153</v>
      </c>
      <c r="I36" s="1057" t="s">
        <v>7154</v>
      </c>
      <c r="J36" s="806" t="s">
        <v>7155</v>
      </c>
      <c r="K36" s="806" t="s">
        <v>883</v>
      </c>
      <c r="L36" s="1058"/>
      <c r="M36" s="806" t="s">
        <v>7156</v>
      </c>
      <c r="N36" s="806" t="s">
        <v>7157</v>
      </c>
      <c r="O36" s="1058"/>
      <c r="P36" s="1058"/>
      <c r="Q36" s="1061">
        <v>1.0</v>
      </c>
      <c r="R36" s="1061"/>
    </row>
    <row r="37" ht="12.75" customHeight="1">
      <c r="A37" s="806">
        <f t="shared" si="2"/>
        <v>35</v>
      </c>
      <c r="B37" s="1057" t="s">
        <v>6728</v>
      </c>
      <c r="C37" s="1058"/>
      <c r="D37" s="1059"/>
      <c r="E37" s="1059" t="s">
        <v>5809</v>
      </c>
      <c r="F37" s="806" t="s">
        <v>836</v>
      </c>
      <c r="G37" s="806" t="s">
        <v>802</v>
      </c>
      <c r="H37" s="806" t="s">
        <v>7153</v>
      </c>
      <c r="I37" s="1057" t="s">
        <v>7154</v>
      </c>
      <c r="J37" s="806" t="s">
        <v>7155</v>
      </c>
      <c r="K37" s="806" t="s">
        <v>883</v>
      </c>
      <c r="L37" s="1058"/>
      <c r="M37" s="806" t="s">
        <v>7156</v>
      </c>
      <c r="N37" s="806" t="s">
        <v>7157</v>
      </c>
      <c r="O37" s="1058"/>
      <c r="P37" s="1058"/>
      <c r="Q37" s="1061">
        <v>1.0</v>
      </c>
      <c r="R37" s="1061"/>
    </row>
    <row r="38" ht="12.75" customHeight="1">
      <c r="A38" s="806">
        <f t="shared" si="2"/>
        <v>36</v>
      </c>
      <c r="B38" s="1057" t="s">
        <v>6729</v>
      </c>
      <c r="C38" s="1058"/>
      <c r="D38" s="1059"/>
      <c r="E38" s="1059" t="s">
        <v>5809</v>
      </c>
      <c r="F38" s="806" t="s">
        <v>836</v>
      </c>
      <c r="G38" s="806" t="s">
        <v>802</v>
      </c>
      <c r="H38" s="806" t="s">
        <v>7153</v>
      </c>
      <c r="I38" s="1057" t="s">
        <v>7154</v>
      </c>
      <c r="J38" s="806" t="s">
        <v>7155</v>
      </c>
      <c r="K38" s="806" t="s">
        <v>883</v>
      </c>
      <c r="L38" s="1058"/>
      <c r="M38" s="806" t="s">
        <v>7156</v>
      </c>
      <c r="N38" s="806" t="s">
        <v>7157</v>
      </c>
      <c r="O38" s="1058"/>
      <c r="P38" s="1058"/>
      <c r="Q38" s="1061">
        <v>1.0</v>
      </c>
      <c r="R38" s="1061"/>
    </row>
    <row r="39" ht="12.75" customHeight="1">
      <c r="A39" s="806">
        <f t="shared" si="2"/>
        <v>37</v>
      </c>
      <c r="B39" s="1057" t="s">
        <v>6730</v>
      </c>
      <c r="C39" s="1058"/>
      <c r="D39" s="1059"/>
      <c r="E39" s="1059" t="s">
        <v>5809</v>
      </c>
      <c r="F39" s="806" t="s">
        <v>836</v>
      </c>
      <c r="G39" s="806" t="s">
        <v>802</v>
      </c>
      <c r="H39" s="806" t="s">
        <v>7153</v>
      </c>
      <c r="I39" s="1057" t="s">
        <v>7154</v>
      </c>
      <c r="J39" s="806" t="s">
        <v>7155</v>
      </c>
      <c r="K39" s="806" t="s">
        <v>883</v>
      </c>
      <c r="L39" s="1058"/>
      <c r="M39" s="806" t="s">
        <v>7156</v>
      </c>
      <c r="N39" s="806" t="s">
        <v>7157</v>
      </c>
      <c r="O39" s="1058"/>
      <c r="P39" s="1058"/>
      <c r="Q39" s="1061">
        <v>1.0</v>
      </c>
      <c r="R39" s="1061"/>
    </row>
    <row r="40" ht="12.75" customHeight="1">
      <c r="A40" s="806">
        <f t="shared" si="2"/>
        <v>38</v>
      </c>
      <c r="B40" s="1057" t="s">
        <v>6731</v>
      </c>
      <c r="C40" s="1058"/>
      <c r="D40" s="1059"/>
      <c r="E40" s="1059" t="s">
        <v>5809</v>
      </c>
      <c r="F40" s="806" t="s">
        <v>836</v>
      </c>
      <c r="G40" s="806" t="s">
        <v>802</v>
      </c>
      <c r="H40" s="806" t="s">
        <v>7153</v>
      </c>
      <c r="I40" s="1057" t="s">
        <v>7154</v>
      </c>
      <c r="J40" s="806" t="s">
        <v>7155</v>
      </c>
      <c r="K40" s="806" t="s">
        <v>883</v>
      </c>
      <c r="L40" s="1058"/>
      <c r="M40" s="806" t="s">
        <v>7156</v>
      </c>
      <c r="N40" s="806" t="s">
        <v>7157</v>
      </c>
      <c r="O40" s="1058"/>
      <c r="P40" s="1058"/>
      <c r="Q40" s="1061">
        <v>1.0</v>
      </c>
      <c r="R40" s="1061"/>
    </row>
    <row r="41" ht="12.75" customHeight="1">
      <c r="A41" s="806">
        <f t="shared" si="2"/>
        <v>39</v>
      </c>
      <c r="B41" s="1057" t="s">
        <v>6732</v>
      </c>
      <c r="C41" s="1058"/>
      <c r="D41" s="1059"/>
      <c r="E41" s="1059" t="s">
        <v>5809</v>
      </c>
      <c r="F41" s="806" t="s">
        <v>836</v>
      </c>
      <c r="G41" s="806" t="s">
        <v>802</v>
      </c>
      <c r="H41" s="806" t="s">
        <v>7153</v>
      </c>
      <c r="I41" s="1057" t="s">
        <v>7154</v>
      </c>
      <c r="J41" s="806" t="s">
        <v>7155</v>
      </c>
      <c r="K41" s="806" t="s">
        <v>883</v>
      </c>
      <c r="L41" s="1058"/>
      <c r="M41" s="806" t="s">
        <v>7156</v>
      </c>
      <c r="N41" s="806" t="s">
        <v>7157</v>
      </c>
      <c r="O41" s="1058"/>
      <c r="P41" s="1058"/>
      <c r="Q41" s="1061">
        <v>1.0</v>
      </c>
      <c r="R41" s="1061"/>
    </row>
    <row r="42" ht="12.75" customHeight="1">
      <c r="A42" s="806">
        <f t="shared" si="2"/>
        <v>40</v>
      </c>
      <c r="B42" s="1057" t="s">
        <v>6733</v>
      </c>
      <c r="C42" s="1058"/>
      <c r="D42" s="1059"/>
      <c r="E42" s="1059" t="s">
        <v>5809</v>
      </c>
      <c r="F42" s="806" t="s">
        <v>836</v>
      </c>
      <c r="G42" s="806" t="s">
        <v>802</v>
      </c>
      <c r="H42" s="806" t="s">
        <v>7153</v>
      </c>
      <c r="I42" s="1057" t="s">
        <v>7154</v>
      </c>
      <c r="J42" s="806" t="s">
        <v>7155</v>
      </c>
      <c r="K42" s="806" t="s">
        <v>883</v>
      </c>
      <c r="L42" s="1058"/>
      <c r="M42" s="806" t="s">
        <v>7156</v>
      </c>
      <c r="N42" s="806" t="s">
        <v>7157</v>
      </c>
      <c r="O42" s="1058"/>
      <c r="P42" s="1058"/>
      <c r="Q42" s="1061">
        <v>1.0</v>
      </c>
      <c r="R42" s="1061"/>
    </row>
    <row r="43" ht="12.75" customHeight="1">
      <c r="A43" s="806">
        <f t="shared" si="2"/>
        <v>41</v>
      </c>
      <c r="B43" s="1057" t="s">
        <v>6734</v>
      </c>
      <c r="C43" s="1058"/>
      <c r="D43" s="1059"/>
      <c r="E43" s="1059" t="s">
        <v>5809</v>
      </c>
      <c r="F43" s="806" t="s">
        <v>836</v>
      </c>
      <c r="G43" s="806" t="s">
        <v>802</v>
      </c>
      <c r="H43" s="806" t="s">
        <v>7153</v>
      </c>
      <c r="I43" s="1057" t="s">
        <v>7154</v>
      </c>
      <c r="J43" s="806" t="s">
        <v>7155</v>
      </c>
      <c r="K43" s="806" t="s">
        <v>883</v>
      </c>
      <c r="L43" s="1058"/>
      <c r="M43" s="806" t="s">
        <v>7156</v>
      </c>
      <c r="N43" s="806" t="s">
        <v>7157</v>
      </c>
      <c r="O43" s="1058"/>
      <c r="P43" s="1058"/>
      <c r="Q43" s="1061">
        <v>1.0</v>
      </c>
      <c r="R43" s="1061"/>
    </row>
    <row r="44" ht="12.75" customHeight="1">
      <c r="A44" s="806">
        <f t="shared" si="2"/>
        <v>42</v>
      </c>
      <c r="B44" s="1057" t="s">
        <v>6735</v>
      </c>
      <c r="C44" s="1058"/>
      <c r="D44" s="1059"/>
      <c r="E44" s="1059" t="s">
        <v>5809</v>
      </c>
      <c r="F44" s="806" t="s">
        <v>836</v>
      </c>
      <c r="G44" s="806" t="s">
        <v>802</v>
      </c>
      <c r="H44" s="806" t="s">
        <v>7153</v>
      </c>
      <c r="I44" s="1057" t="s">
        <v>7154</v>
      </c>
      <c r="J44" s="806" t="s">
        <v>7155</v>
      </c>
      <c r="K44" s="806" t="s">
        <v>883</v>
      </c>
      <c r="L44" s="1058"/>
      <c r="M44" s="806" t="s">
        <v>7156</v>
      </c>
      <c r="N44" s="806" t="s">
        <v>7157</v>
      </c>
      <c r="O44" s="1058"/>
      <c r="P44" s="1058"/>
      <c r="Q44" s="1061">
        <v>1.0</v>
      </c>
      <c r="R44" s="1061"/>
    </row>
    <row r="45" ht="12.75" customHeight="1">
      <c r="A45" s="806">
        <f t="shared" si="2"/>
        <v>43</v>
      </c>
      <c r="B45" s="1057" t="s">
        <v>6736</v>
      </c>
      <c r="C45" s="1058"/>
      <c r="D45" s="1059"/>
      <c r="E45" s="1059" t="s">
        <v>5809</v>
      </c>
      <c r="F45" s="806" t="s">
        <v>836</v>
      </c>
      <c r="G45" s="806" t="s">
        <v>802</v>
      </c>
      <c r="H45" s="806" t="s">
        <v>7153</v>
      </c>
      <c r="I45" s="1057" t="s">
        <v>7154</v>
      </c>
      <c r="J45" s="806" t="s">
        <v>7155</v>
      </c>
      <c r="K45" s="806" t="s">
        <v>883</v>
      </c>
      <c r="L45" s="1058"/>
      <c r="M45" s="806" t="s">
        <v>7156</v>
      </c>
      <c r="N45" s="806" t="s">
        <v>7157</v>
      </c>
      <c r="O45" s="1058"/>
      <c r="P45" s="1058"/>
      <c r="Q45" s="1061">
        <v>1.0</v>
      </c>
      <c r="R45" s="1061"/>
    </row>
    <row r="46" ht="12.75" customHeight="1">
      <c r="A46" s="806">
        <f t="shared" si="2"/>
        <v>44</v>
      </c>
      <c r="B46" s="1057" t="s">
        <v>6737</v>
      </c>
      <c r="C46" s="1058"/>
      <c r="D46" s="1059"/>
      <c r="E46" s="1059" t="s">
        <v>5809</v>
      </c>
      <c r="F46" s="806" t="s">
        <v>836</v>
      </c>
      <c r="G46" s="806" t="s">
        <v>802</v>
      </c>
      <c r="H46" s="806" t="s">
        <v>7153</v>
      </c>
      <c r="I46" s="1057" t="s">
        <v>7154</v>
      </c>
      <c r="J46" s="806" t="s">
        <v>7155</v>
      </c>
      <c r="K46" s="806" t="s">
        <v>883</v>
      </c>
      <c r="L46" s="1058"/>
      <c r="M46" s="806" t="s">
        <v>7156</v>
      </c>
      <c r="N46" s="806" t="s">
        <v>7157</v>
      </c>
      <c r="O46" s="1058"/>
      <c r="P46" s="1058"/>
      <c r="Q46" s="1061">
        <v>1.0</v>
      </c>
      <c r="R46" s="1061"/>
    </row>
    <row r="47" ht="12.75" customHeight="1">
      <c r="A47" s="806">
        <f t="shared" si="2"/>
        <v>45</v>
      </c>
      <c r="B47" s="1057" t="s">
        <v>6738</v>
      </c>
      <c r="C47" s="1058"/>
      <c r="D47" s="1059"/>
      <c r="E47" s="1059" t="s">
        <v>5809</v>
      </c>
      <c r="F47" s="806" t="s">
        <v>836</v>
      </c>
      <c r="G47" s="806" t="s">
        <v>802</v>
      </c>
      <c r="H47" s="806" t="s">
        <v>7153</v>
      </c>
      <c r="I47" s="1057" t="s">
        <v>7154</v>
      </c>
      <c r="J47" s="806" t="s">
        <v>7155</v>
      </c>
      <c r="K47" s="806" t="s">
        <v>883</v>
      </c>
      <c r="L47" s="1058"/>
      <c r="M47" s="806" t="s">
        <v>7156</v>
      </c>
      <c r="N47" s="806" t="s">
        <v>7157</v>
      </c>
      <c r="O47" s="1058"/>
      <c r="P47" s="1058"/>
      <c r="Q47" s="1061">
        <v>1.0</v>
      </c>
      <c r="R47" s="1061"/>
    </row>
    <row r="48" ht="12.75" customHeight="1">
      <c r="A48" s="806">
        <f t="shared" si="2"/>
        <v>46</v>
      </c>
      <c r="B48" s="1057" t="s">
        <v>6739</v>
      </c>
      <c r="C48" s="1058"/>
      <c r="D48" s="1059"/>
      <c r="E48" s="1059" t="s">
        <v>5809</v>
      </c>
      <c r="F48" s="806" t="s">
        <v>836</v>
      </c>
      <c r="G48" s="806" t="s">
        <v>802</v>
      </c>
      <c r="H48" s="806" t="s">
        <v>7153</v>
      </c>
      <c r="I48" s="1057" t="s">
        <v>7154</v>
      </c>
      <c r="J48" s="806" t="s">
        <v>7155</v>
      </c>
      <c r="K48" s="806" t="s">
        <v>883</v>
      </c>
      <c r="L48" s="1058"/>
      <c r="M48" s="806" t="s">
        <v>7156</v>
      </c>
      <c r="N48" s="806" t="s">
        <v>7157</v>
      </c>
      <c r="O48" s="1058"/>
      <c r="P48" s="1058"/>
      <c r="Q48" s="1061">
        <v>1.0</v>
      </c>
      <c r="R48" s="1061"/>
    </row>
    <row r="49" ht="12.75" customHeight="1">
      <c r="A49" s="806">
        <f t="shared" si="2"/>
        <v>47</v>
      </c>
      <c r="B49" s="1057" t="s">
        <v>6740</v>
      </c>
      <c r="C49" s="1058"/>
      <c r="D49" s="1059"/>
      <c r="E49" s="1059" t="s">
        <v>5809</v>
      </c>
      <c r="F49" s="806" t="s">
        <v>836</v>
      </c>
      <c r="G49" s="806" t="s">
        <v>802</v>
      </c>
      <c r="H49" s="806" t="s">
        <v>7153</v>
      </c>
      <c r="I49" s="1057" t="s">
        <v>7154</v>
      </c>
      <c r="J49" s="806" t="s">
        <v>7155</v>
      </c>
      <c r="K49" s="806" t="s">
        <v>883</v>
      </c>
      <c r="L49" s="1058"/>
      <c r="M49" s="806" t="s">
        <v>7156</v>
      </c>
      <c r="N49" s="806" t="s">
        <v>7157</v>
      </c>
      <c r="O49" s="1058"/>
      <c r="P49" s="1058"/>
      <c r="Q49" s="1061">
        <v>1.0</v>
      </c>
      <c r="R49" s="1061"/>
    </row>
    <row r="50" ht="12.75" customHeight="1">
      <c r="A50" s="806">
        <f t="shared" si="2"/>
        <v>48</v>
      </c>
      <c r="B50" s="1057" t="s">
        <v>6741</v>
      </c>
      <c r="C50" s="1058"/>
      <c r="D50" s="1059"/>
      <c r="E50" s="1059" t="s">
        <v>5809</v>
      </c>
      <c r="F50" s="806" t="s">
        <v>836</v>
      </c>
      <c r="G50" s="806" t="s">
        <v>802</v>
      </c>
      <c r="H50" s="806" t="s">
        <v>7153</v>
      </c>
      <c r="I50" s="1057" t="s">
        <v>7154</v>
      </c>
      <c r="J50" s="806" t="s">
        <v>7155</v>
      </c>
      <c r="K50" s="806" t="s">
        <v>883</v>
      </c>
      <c r="L50" s="1058"/>
      <c r="M50" s="806" t="s">
        <v>7156</v>
      </c>
      <c r="N50" s="806" t="s">
        <v>7157</v>
      </c>
      <c r="O50" s="1058"/>
      <c r="P50" s="1058"/>
      <c r="Q50" s="1061">
        <v>1.0</v>
      </c>
      <c r="R50" s="1061"/>
    </row>
    <row r="51" ht="12.75" customHeight="1">
      <c r="A51" s="806">
        <f t="shared" si="2"/>
        <v>49</v>
      </c>
      <c r="B51" s="1057" t="s">
        <v>6742</v>
      </c>
      <c r="C51" s="1058"/>
      <c r="D51" s="1059"/>
      <c r="E51" s="1059" t="s">
        <v>5809</v>
      </c>
      <c r="F51" s="806" t="s">
        <v>836</v>
      </c>
      <c r="G51" s="806" t="s">
        <v>802</v>
      </c>
      <c r="H51" s="806" t="s">
        <v>7153</v>
      </c>
      <c r="I51" s="1057" t="s">
        <v>7154</v>
      </c>
      <c r="J51" s="806" t="s">
        <v>7155</v>
      </c>
      <c r="K51" s="806" t="s">
        <v>883</v>
      </c>
      <c r="L51" s="1058"/>
      <c r="M51" s="806" t="s">
        <v>7156</v>
      </c>
      <c r="N51" s="806" t="s">
        <v>7157</v>
      </c>
      <c r="O51" s="1058"/>
      <c r="P51" s="1058"/>
      <c r="Q51" s="1061">
        <v>1.0</v>
      </c>
      <c r="R51" s="1061"/>
    </row>
    <row r="52" ht="12.75" customHeight="1">
      <c r="A52" s="806">
        <f t="shared" si="2"/>
        <v>50</v>
      </c>
      <c r="B52" s="1057" t="s">
        <v>6743</v>
      </c>
      <c r="C52" s="1058"/>
      <c r="D52" s="1059"/>
      <c r="E52" s="1059" t="s">
        <v>5809</v>
      </c>
      <c r="F52" s="806" t="s">
        <v>836</v>
      </c>
      <c r="G52" s="806" t="s">
        <v>802</v>
      </c>
      <c r="H52" s="806" t="s">
        <v>7153</v>
      </c>
      <c r="I52" s="1057" t="s">
        <v>7154</v>
      </c>
      <c r="J52" s="806" t="s">
        <v>7155</v>
      </c>
      <c r="K52" s="806" t="s">
        <v>883</v>
      </c>
      <c r="L52" s="1058"/>
      <c r="M52" s="806" t="s">
        <v>7156</v>
      </c>
      <c r="N52" s="806" t="s">
        <v>7157</v>
      </c>
      <c r="O52" s="1058"/>
      <c r="P52" s="1058"/>
      <c r="Q52" s="1061">
        <v>1.0</v>
      </c>
      <c r="R52" s="1061"/>
    </row>
    <row r="53" ht="12.75" customHeight="1">
      <c r="A53" s="806">
        <f t="shared" si="2"/>
        <v>51</v>
      </c>
      <c r="B53" s="1057" t="s">
        <v>6744</v>
      </c>
      <c r="C53" s="1058"/>
      <c r="D53" s="1059"/>
      <c r="E53" s="1059" t="s">
        <v>5809</v>
      </c>
      <c r="F53" s="806" t="s">
        <v>836</v>
      </c>
      <c r="G53" s="806" t="s">
        <v>802</v>
      </c>
      <c r="H53" s="806" t="s">
        <v>7153</v>
      </c>
      <c r="I53" s="1057" t="s">
        <v>7154</v>
      </c>
      <c r="J53" s="806" t="s">
        <v>7155</v>
      </c>
      <c r="K53" s="806" t="s">
        <v>883</v>
      </c>
      <c r="L53" s="1058"/>
      <c r="M53" s="806" t="s">
        <v>7156</v>
      </c>
      <c r="N53" s="806" t="s">
        <v>7157</v>
      </c>
      <c r="O53" s="1058"/>
      <c r="P53" s="1058"/>
      <c r="Q53" s="1061">
        <v>1.0</v>
      </c>
      <c r="R53" s="1061"/>
    </row>
    <row r="54" ht="12.75" customHeight="1">
      <c r="A54" s="806">
        <f t="shared" si="2"/>
        <v>52</v>
      </c>
      <c r="B54" s="1057" t="s">
        <v>6745</v>
      </c>
      <c r="C54" s="1058"/>
      <c r="D54" s="1059"/>
      <c r="E54" s="1059" t="s">
        <v>5809</v>
      </c>
      <c r="F54" s="806" t="s">
        <v>836</v>
      </c>
      <c r="G54" s="806" t="s">
        <v>802</v>
      </c>
      <c r="H54" s="806" t="s">
        <v>7153</v>
      </c>
      <c r="I54" s="1057" t="s">
        <v>7154</v>
      </c>
      <c r="J54" s="806" t="s">
        <v>7155</v>
      </c>
      <c r="K54" s="806" t="s">
        <v>883</v>
      </c>
      <c r="L54" s="1058"/>
      <c r="M54" s="806" t="s">
        <v>7156</v>
      </c>
      <c r="N54" s="806" t="s">
        <v>7157</v>
      </c>
      <c r="O54" s="1058"/>
      <c r="P54" s="1058"/>
      <c r="Q54" s="1061">
        <v>1.0</v>
      </c>
      <c r="R54" s="1061"/>
    </row>
    <row r="55" ht="12.75" customHeight="1">
      <c r="A55" s="806">
        <f t="shared" si="2"/>
        <v>53</v>
      </c>
      <c r="B55" s="1057" t="s">
        <v>6746</v>
      </c>
      <c r="C55" s="1058"/>
      <c r="D55" s="1059"/>
      <c r="E55" s="1059" t="s">
        <v>5809</v>
      </c>
      <c r="F55" s="806" t="s">
        <v>836</v>
      </c>
      <c r="G55" s="806" t="s">
        <v>802</v>
      </c>
      <c r="H55" s="806" t="s">
        <v>7153</v>
      </c>
      <c r="I55" s="1057" t="s">
        <v>7154</v>
      </c>
      <c r="J55" s="806" t="s">
        <v>7155</v>
      </c>
      <c r="K55" s="806" t="s">
        <v>883</v>
      </c>
      <c r="L55" s="1058"/>
      <c r="M55" s="806" t="s">
        <v>7156</v>
      </c>
      <c r="N55" s="806" t="s">
        <v>7157</v>
      </c>
      <c r="O55" s="1058"/>
      <c r="P55" s="1058"/>
      <c r="Q55" s="1061">
        <v>1.0</v>
      </c>
      <c r="R55" s="1061"/>
    </row>
    <row r="56" ht="12.75" customHeight="1">
      <c r="A56" s="806">
        <f t="shared" si="2"/>
        <v>54</v>
      </c>
      <c r="B56" s="1057" t="s">
        <v>6747</v>
      </c>
      <c r="C56" s="1058"/>
      <c r="D56" s="1059"/>
      <c r="E56" s="1059" t="s">
        <v>5809</v>
      </c>
      <c r="F56" s="806" t="s">
        <v>836</v>
      </c>
      <c r="G56" s="806" t="s">
        <v>802</v>
      </c>
      <c r="H56" s="806" t="s">
        <v>7153</v>
      </c>
      <c r="I56" s="1057" t="s">
        <v>7154</v>
      </c>
      <c r="J56" s="806" t="s">
        <v>7155</v>
      </c>
      <c r="K56" s="806" t="s">
        <v>883</v>
      </c>
      <c r="L56" s="1058"/>
      <c r="M56" s="806" t="s">
        <v>7156</v>
      </c>
      <c r="N56" s="806" t="s">
        <v>7157</v>
      </c>
      <c r="O56" s="1058"/>
      <c r="P56" s="1058"/>
      <c r="Q56" s="1061">
        <v>1.0</v>
      </c>
      <c r="R56" s="1061"/>
    </row>
    <row r="57" ht="12.75" customHeight="1">
      <c r="A57" s="806">
        <f t="shared" si="2"/>
        <v>55</v>
      </c>
      <c r="B57" s="1057" t="s">
        <v>6748</v>
      </c>
      <c r="C57" s="1057" t="s">
        <v>7159</v>
      </c>
      <c r="D57" s="1071"/>
      <c r="E57" s="1059" t="s">
        <v>5810</v>
      </c>
      <c r="F57" s="806" t="s">
        <v>836</v>
      </c>
      <c r="G57" s="1072"/>
      <c r="H57" s="806" t="s">
        <v>7153</v>
      </c>
      <c r="I57" s="1073" t="s">
        <v>7160</v>
      </c>
      <c r="J57" s="806" t="s">
        <v>7161</v>
      </c>
      <c r="K57" s="806" t="s">
        <v>510</v>
      </c>
      <c r="L57" s="1058"/>
      <c r="M57" s="806" t="s">
        <v>7162</v>
      </c>
      <c r="N57" s="806" t="s">
        <v>7163</v>
      </c>
      <c r="O57" s="1058"/>
      <c r="P57" s="1058"/>
      <c r="Q57" s="1061">
        <v>0.5</v>
      </c>
      <c r="R57" s="1061"/>
    </row>
    <row r="58" ht="12.75" customHeight="1">
      <c r="A58" s="806">
        <f t="shared" si="2"/>
        <v>56</v>
      </c>
      <c r="B58" s="1057" t="s">
        <v>6749</v>
      </c>
      <c r="C58" s="1057" t="s">
        <v>7164</v>
      </c>
      <c r="D58" s="1071"/>
      <c r="E58" s="1059" t="s">
        <v>5810</v>
      </c>
      <c r="F58" s="806" t="s">
        <v>836</v>
      </c>
      <c r="G58" s="1072"/>
      <c r="H58" s="806" t="s">
        <v>7153</v>
      </c>
      <c r="I58" s="1073" t="s">
        <v>7160</v>
      </c>
      <c r="J58" s="806" t="s">
        <v>7161</v>
      </c>
      <c r="K58" s="806" t="s">
        <v>510</v>
      </c>
      <c r="L58" s="1058"/>
      <c r="M58" s="806" t="s">
        <v>7162</v>
      </c>
      <c r="N58" s="806" t="s">
        <v>7163</v>
      </c>
      <c r="O58" s="1058"/>
      <c r="P58" s="1058"/>
      <c r="Q58" s="1061">
        <v>0.5</v>
      </c>
      <c r="R58" s="1061"/>
    </row>
    <row r="59" ht="12.75" customHeight="1">
      <c r="A59" s="806">
        <f t="shared" si="2"/>
        <v>57</v>
      </c>
      <c r="B59" s="1057" t="s">
        <v>6750</v>
      </c>
      <c r="C59" s="1057" t="s">
        <v>7165</v>
      </c>
      <c r="D59" s="1071"/>
      <c r="E59" s="1059" t="s">
        <v>5810</v>
      </c>
      <c r="F59" s="806" t="s">
        <v>836</v>
      </c>
      <c r="G59" s="1072"/>
      <c r="H59" s="806" t="s">
        <v>7153</v>
      </c>
      <c r="I59" s="1073" t="s">
        <v>7160</v>
      </c>
      <c r="J59" s="806" t="s">
        <v>7161</v>
      </c>
      <c r="K59" s="806" t="s">
        <v>510</v>
      </c>
      <c r="L59" s="1058"/>
      <c r="M59" s="806" t="s">
        <v>7162</v>
      </c>
      <c r="N59" s="806" t="s">
        <v>7163</v>
      </c>
      <c r="O59" s="1058"/>
      <c r="P59" s="1058"/>
      <c r="Q59" s="1061">
        <v>0.5</v>
      </c>
      <c r="R59" s="1061"/>
    </row>
    <row r="60" ht="12.75" customHeight="1">
      <c r="A60" s="806">
        <f t="shared" si="2"/>
        <v>58</v>
      </c>
      <c r="B60" s="1057" t="s">
        <v>6751</v>
      </c>
      <c r="C60" s="1057" t="s">
        <v>7166</v>
      </c>
      <c r="D60" s="1071"/>
      <c r="E60" s="1059" t="s">
        <v>5810</v>
      </c>
      <c r="F60" s="806" t="s">
        <v>836</v>
      </c>
      <c r="G60" s="1072"/>
      <c r="H60" s="806" t="s">
        <v>7153</v>
      </c>
      <c r="I60" s="1073" t="s">
        <v>7160</v>
      </c>
      <c r="J60" s="806" t="s">
        <v>7161</v>
      </c>
      <c r="K60" s="806" t="s">
        <v>510</v>
      </c>
      <c r="L60" s="1058"/>
      <c r="M60" s="806" t="s">
        <v>7162</v>
      </c>
      <c r="N60" s="806" t="s">
        <v>7163</v>
      </c>
      <c r="O60" s="1058"/>
      <c r="P60" s="1058"/>
      <c r="Q60" s="1061">
        <v>0.5</v>
      </c>
      <c r="R60" s="1061"/>
    </row>
    <row r="61" ht="12.75" customHeight="1">
      <c r="A61" s="1053">
        <f t="shared" si="2"/>
        <v>59</v>
      </c>
      <c r="B61" s="1051" t="s">
        <v>6752</v>
      </c>
      <c r="C61" s="1055"/>
      <c r="D61" s="1074"/>
      <c r="E61" s="1052" t="s">
        <v>5809</v>
      </c>
      <c r="F61" s="1053" t="s">
        <v>836</v>
      </c>
      <c r="G61" s="1075" t="s">
        <v>7167</v>
      </c>
      <c r="H61" s="1053" t="s">
        <v>7153</v>
      </c>
      <c r="I61" s="1076"/>
      <c r="J61" s="806" t="s">
        <v>7168</v>
      </c>
      <c r="K61" s="806" t="s">
        <v>510</v>
      </c>
      <c r="L61" s="1058"/>
      <c r="M61" s="806" t="s">
        <v>7169</v>
      </c>
      <c r="N61" s="806" t="s">
        <v>7170</v>
      </c>
      <c r="O61" s="1055"/>
      <c r="P61" s="1055"/>
      <c r="Q61" s="1061">
        <v>1.0</v>
      </c>
      <c r="R61" s="1061"/>
    </row>
    <row r="62" ht="12.75" customHeight="1">
      <c r="A62" s="806">
        <f t="shared" si="2"/>
        <v>60</v>
      </c>
      <c r="B62" s="1057" t="s">
        <v>6753</v>
      </c>
      <c r="C62" s="1058"/>
      <c r="D62" s="1071"/>
      <c r="E62" s="1059" t="s">
        <v>5809</v>
      </c>
      <c r="F62" s="806" t="s">
        <v>836</v>
      </c>
      <c r="G62" s="1077" t="s">
        <v>7167</v>
      </c>
      <c r="H62" s="806" t="s">
        <v>7153</v>
      </c>
      <c r="I62" s="1073"/>
      <c r="J62" s="806" t="s">
        <v>7168</v>
      </c>
      <c r="K62" s="806" t="s">
        <v>510</v>
      </c>
      <c r="L62" s="1058"/>
      <c r="M62" s="806" t="s">
        <v>7169</v>
      </c>
      <c r="N62" s="806" t="s">
        <v>7170</v>
      </c>
      <c r="O62" s="1058"/>
      <c r="P62" s="1058"/>
      <c r="Q62" s="1061">
        <v>1.0</v>
      </c>
      <c r="R62" s="1061"/>
    </row>
    <row r="63" ht="12.75" customHeight="1">
      <c r="A63" s="806">
        <f t="shared" si="2"/>
        <v>61</v>
      </c>
      <c r="B63" s="1057" t="s">
        <v>6754</v>
      </c>
      <c r="C63" s="1058"/>
      <c r="D63" s="1071"/>
      <c r="E63" s="1059" t="s">
        <v>5809</v>
      </c>
      <c r="F63" s="806" t="s">
        <v>836</v>
      </c>
      <c r="G63" s="1077" t="s">
        <v>7167</v>
      </c>
      <c r="H63" s="806" t="s">
        <v>7153</v>
      </c>
      <c r="I63" s="1073"/>
      <c r="J63" s="806" t="s">
        <v>7168</v>
      </c>
      <c r="K63" s="806" t="s">
        <v>510</v>
      </c>
      <c r="L63" s="1058"/>
      <c r="M63" s="806" t="s">
        <v>7169</v>
      </c>
      <c r="N63" s="806" t="s">
        <v>7170</v>
      </c>
      <c r="O63" s="1058"/>
      <c r="P63" s="1058"/>
      <c r="Q63" s="1061">
        <v>1.0</v>
      </c>
      <c r="R63" s="1061"/>
    </row>
    <row r="64" ht="12.75" customHeight="1">
      <c r="A64" s="806">
        <f t="shared" si="2"/>
        <v>62</v>
      </c>
      <c r="B64" s="1057" t="s">
        <v>6755</v>
      </c>
      <c r="C64" s="1058"/>
      <c r="D64" s="1071"/>
      <c r="E64" s="1059" t="s">
        <v>5809</v>
      </c>
      <c r="F64" s="806" t="s">
        <v>836</v>
      </c>
      <c r="G64" s="1077" t="s">
        <v>7167</v>
      </c>
      <c r="H64" s="806" t="s">
        <v>7153</v>
      </c>
      <c r="I64" s="1073"/>
      <c r="J64" s="806" t="s">
        <v>7168</v>
      </c>
      <c r="K64" s="806" t="s">
        <v>510</v>
      </c>
      <c r="L64" s="1058"/>
      <c r="M64" s="806" t="s">
        <v>7169</v>
      </c>
      <c r="N64" s="806" t="s">
        <v>7170</v>
      </c>
      <c r="O64" s="1058"/>
      <c r="P64" s="1058"/>
      <c r="Q64" s="1061">
        <v>1.0</v>
      </c>
      <c r="R64" s="1061"/>
    </row>
    <row r="65" ht="12.75" customHeight="1">
      <c r="A65" s="806">
        <f t="shared" si="2"/>
        <v>63</v>
      </c>
      <c r="B65" s="1057" t="s">
        <v>6756</v>
      </c>
      <c r="C65" s="1058"/>
      <c r="D65" s="1071"/>
      <c r="E65" s="1059" t="s">
        <v>5809</v>
      </c>
      <c r="F65" s="806" t="s">
        <v>836</v>
      </c>
      <c r="G65" s="1077" t="s">
        <v>7167</v>
      </c>
      <c r="H65" s="806" t="s">
        <v>7153</v>
      </c>
      <c r="I65" s="1073"/>
      <c r="J65" s="806" t="s">
        <v>7168</v>
      </c>
      <c r="K65" s="806" t="s">
        <v>510</v>
      </c>
      <c r="L65" s="1058"/>
      <c r="M65" s="806" t="s">
        <v>7169</v>
      </c>
      <c r="N65" s="806" t="s">
        <v>7170</v>
      </c>
      <c r="O65" s="1058"/>
      <c r="P65" s="1058"/>
      <c r="Q65" s="1061">
        <v>1.0</v>
      </c>
      <c r="R65" s="1061"/>
    </row>
    <row r="66" ht="12.75" customHeight="1">
      <c r="A66" s="806">
        <f t="shared" si="2"/>
        <v>64</v>
      </c>
      <c r="B66" s="1057" t="s">
        <v>6757</v>
      </c>
      <c r="C66" s="1058"/>
      <c r="D66" s="1071"/>
      <c r="E66" s="1059" t="s">
        <v>5809</v>
      </c>
      <c r="F66" s="806" t="s">
        <v>836</v>
      </c>
      <c r="G66" s="1077" t="s">
        <v>7167</v>
      </c>
      <c r="H66" s="806" t="s">
        <v>7153</v>
      </c>
      <c r="I66" s="1073"/>
      <c r="J66" s="806" t="s">
        <v>7168</v>
      </c>
      <c r="K66" s="806" t="s">
        <v>510</v>
      </c>
      <c r="L66" s="1058"/>
      <c r="M66" s="806" t="s">
        <v>7169</v>
      </c>
      <c r="N66" s="806" t="s">
        <v>7170</v>
      </c>
      <c r="O66" s="1058"/>
      <c r="P66" s="1058"/>
      <c r="Q66" s="1061">
        <v>1.0</v>
      </c>
      <c r="R66" s="1061"/>
    </row>
    <row r="67" ht="12.75" customHeight="1">
      <c r="A67" s="806">
        <f t="shared" si="2"/>
        <v>65</v>
      </c>
      <c r="B67" s="1057" t="s">
        <v>6758</v>
      </c>
      <c r="C67" s="1058"/>
      <c r="D67" s="1071"/>
      <c r="E67" s="1059" t="s">
        <v>5809</v>
      </c>
      <c r="F67" s="806" t="s">
        <v>836</v>
      </c>
      <c r="G67" s="1077" t="s">
        <v>7167</v>
      </c>
      <c r="H67" s="806" t="s">
        <v>7153</v>
      </c>
      <c r="I67" s="1073"/>
      <c r="J67" s="806" t="s">
        <v>7168</v>
      </c>
      <c r="K67" s="806" t="s">
        <v>510</v>
      </c>
      <c r="L67" s="1058"/>
      <c r="M67" s="806" t="s">
        <v>7169</v>
      </c>
      <c r="N67" s="806" t="s">
        <v>7170</v>
      </c>
      <c r="O67" s="1058"/>
      <c r="P67" s="1058"/>
      <c r="Q67" s="1061">
        <v>1.0</v>
      </c>
      <c r="R67" s="1061"/>
    </row>
    <row r="68" ht="12.75" customHeight="1">
      <c r="A68" s="806">
        <f t="shared" si="2"/>
        <v>66</v>
      </c>
      <c r="B68" s="1057" t="s">
        <v>6759</v>
      </c>
      <c r="C68" s="1058"/>
      <c r="D68" s="1071"/>
      <c r="E68" s="1059" t="s">
        <v>5809</v>
      </c>
      <c r="F68" s="806" t="s">
        <v>836</v>
      </c>
      <c r="G68" s="1077" t="s">
        <v>7167</v>
      </c>
      <c r="H68" s="806" t="s">
        <v>7153</v>
      </c>
      <c r="I68" s="1073"/>
      <c r="J68" s="806" t="s">
        <v>7168</v>
      </c>
      <c r="K68" s="806" t="s">
        <v>510</v>
      </c>
      <c r="L68" s="1058"/>
      <c r="M68" s="806" t="s">
        <v>7169</v>
      </c>
      <c r="N68" s="806" t="s">
        <v>7170</v>
      </c>
      <c r="O68" s="1058"/>
      <c r="P68" s="1058"/>
      <c r="Q68" s="1061">
        <v>1.0</v>
      </c>
      <c r="R68" s="1061"/>
    </row>
    <row r="69" ht="12.75" customHeight="1">
      <c r="A69" s="806">
        <f t="shared" si="2"/>
        <v>67</v>
      </c>
      <c r="B69" s="1057" t="s">
        <v>6760</v>
      </c>
      <c r="C69" s="1058"/>
      <c r="D69" s="1071"/>
      <c r="E69" s="1059" t="s">
        <v>5809</v>
      </c>
      <c r="F69" s="806" t="s">
        <v>836</v>
      </c>
      <c r="G69" s="1077" t="s">
        <v>7167</v>
      </c>
      <c r="H69" s="806" t="s">
        <v>7153</v>
      </c>
      <c r="I69" s="1073"/>
      <c r="J69" s="806" t="s">
        <v>7168</v>
      </c>
      <c r="K69" s="806" t="s">
        <v>510</v>
      </c>
      <c r="L69" s="1058"/>
      <c r="M69" s="806" t="s">
        <v>7169</v>
      </c>
      <c r="N69" s="806" t="s">
        <v>7170</v>
      </c>
      <c r="O69" s="1058"/>
      <c r="P69" s="1058"/>
      <c r="Q69" s="1061">
        <v>1.0</v>
      </c>
      <c r="R69" s="1061"/>
    </row>
    <row r="70" ht="12.75" customHeight="1">
      <c r="A70" s="806">
        <f t="shared" si="2"/>
        <v>68</v>
      </c>
      <c r="B70" s="1057" t="s">
        <v>6761</v>
      </c>
      <c r="C70" s="1058"/>
      <c r="D70" s="1071"/>
      <c r="E70" s="1059" t="s">
        <v>5809</v>
      </c>
      <c r="F70" s="806" t="s">
        <v>836</v>
      </c>
      <c r="G70" s="1077" t="s">
        <v>7167</v>
      </c>
      <c r="H70" s="806" t="s">
        <v>7153</v>
      </c>
      <c r="I70" s="1073"/>
      <c r="J70" s="806" t="s">
        <v>7168</v>
      </c>
      <c r="K70" s="806" t="s">
        <v>510</v>
      </c>
      <c r="L70" s="1058"/>
      <c r="M70" s="806" t="s">
        <v>7169</v>
      </c>
      <c r="N70" s="806" t="s">
        <v>7170</v>
      </c>
      <c r="O70" s="1058"/>
      <c r="P70" s="1058"/>
      <c r="Q70" s="1061">
        <v>1.0</v>
      </c>
      <c r="R70" s="1061"/>
    </row>
    <row r="71" ht="12.75" customHeight="1">
      <c r="A71" s="806">
        <f t="shared" si="2"/>
        <v>69</v>
      </c>
      <c r="B71" s="1057" t="s">
        <v>6762</v>
      </c>
      <c r="C71" s="1058"/>
      <c r="D71" s="1071"/>
      <c r="E71" s="1059" t="s">
        <v>5809</v>
      </c>
      <c r="F71" s="806" t="s">
        <v>836</v>
      </c>
      <c r="G71" s="1077" t="s">
        <v>7167</v>
      </c>
      <c r="H71" s="806" t="s">
        <v>7153</v>
      </c>
      <c r="I71" s="1073"/>
      <c r="J71" s="806" t="s">
        <v>7168</v>
      </c>
      <c r="K71" s="806" t="s">
        <v>510</v>
      </c>
      <c r="L71" s="1058"/>
      <c r="M71" s="806" t="s">
        <v>7169</v>
      </c>
      <c r="N71" s="806" t="s">
        <v>7170</v>
      </c>
      <c r="O71" s="1058"/>
      <c r="P71" s="1058"/>
      <c r="Q71" s="1061">
        <v>1.0</v>
      </c>
      <c r="R71" s="1061"/>
    </row>
    <row r="72" ht="12.75" customHeight="1">
      <c r="A72" s="806">
        <f t="shared" si="2"/>
        <v>70</v>
      </c>
      <c r="B72" s="1057" t="s">
        <v>6763</v>
      </c>
      <c r="C72" s="1058"/>
      <c r="D72" s="1071"/>
      <c r="E72" s="1059" t="s">
        <v>5809</v>
      </c>
      <c r="F72" s="806" t="s">
        <v>836</v>
      </c>
      <c r="G72" s="1077" t="s">
        <v>7167</v>
      </c>
      <c r="H72" s="806" t="s">
        <v>7153</v>
      </c>
      <c r="I72" s="1073"/>
      <c r="J72" s="806" t="s">
        <v>7168</v>
      </c>
      <c r="K72" s="806" t="s">
        <v>510</v>
      </c>
      <c r="L72" s="1058"/>
      <c r="M72" s="806" t="s">
        <v>7169</v>
      </c>
      <c r="N72" s="806" t="s">
        <v>7170</v>
      </c>
      <c r="O72" s="1058"/>
      <c r="P72" s="1058"/>
      <c r="Q72" s="1061">
        <v>1.0</v>
      </c>
      <c r="R72" s="1061"/>
    </row>
    <row r="73" ht="12.75" customHeight="1">
      <c r="A73" s="806">
        <f t="shared" si="2"/>
        <v>71</v>
      </c>
      <c r="B73" s="1057" t="s">
        <v>6764</v>
      </c>
      <c r="C73" s="1058"/>
      <c r="D73" s="1071"/>
      <c r="E73" s="1059" t="s">
        <v>5809</v>
      </c>
      <c r="F73" s="806" t="s">
        <v>836</v>
      </c>
      <c r="G73" s="1077" t="s">
        <v>7167</v>
      </c>
      <c r="H73" s="806" t="s">
        <v>7153</v>
      </c>
      <c r="I73" s="1073"/>
      <c r="J73" s="806" t="s">
        <v>7168</v>
      </c>
      <c r="K73" s="806" t="s">
        <v>510</v>
      </c>
      <c r="L73" s="1058"/>
      <c r="M73" s="806" t="s">
        <v>7169</v>
      </c>
      <c r="N73" s="806" t="s">
        <v>7170</v>
      </c>
      <c r="O73" s="1058"/>
      <c r="P73" s="1058"/>
      <c r="Q73" s="1061">
        <v>1.0</v>
      </c>
      <c r="R73" s="1061"/>
    </row>
    <row r="74" ht="12.75" customHeight="1">
      <c r="A74" s="806">
        <f t="shared" si="2"/>
        <v>72</v>
      </c>
      <c r="B74" s="1057" t="s">
        <v>6765</v>
      </c>
      <c r="C74" s="1058"/>
      <c r="D74" s="1071"/>
      <c r="E74" s="1059" t="s">
        <v>5809</v>
      </c>
      <c r="F74" s="806" t="s">
        <v>836</v>
      </c>
      <c r="G74" s="1077" t="s">
        <v>7167</v>
      </c>
      <c r="H74" s="806" t="s">
        <v>7153</v>
      </c>
      <c r="I74" s="1073"/>
      <c r="J74" s="806" t="s">
        <v>7168</v>
      </c>
      <c r="K74" s="806" t="s">
        <v>510</v>
      </c>
      <c r="L74" s="1058"/>
      <c r="M74" s="806" t="s">
        <v>7169</v>
      </c>
      <c r="N74" s="806" t="s">
        <v>7170</v>
      </c>
      <c r="O74" s="1058"/>
      <c r="P74" s="1058"/>
      <c r="Q74" s="1061">
        <v>1.0</v>
      </c>
      <c r="R74" s="1061"/>
    </row>
    <row r="75" ht="12.75" customHeight="1">
      <c r="A75" s="806">
        <f t="shared" si="2"/>
        <v>73</v>
      </c>
      <c r="B75" s="1057" t="s">
        <v>6766</v>
      </c>
      <c r="C75" s="1058"/>
      <c r="D75" s="1071"/>
      <c r="E75" s="1059" t="s">
        <v>5809</v>
      </c>
      <c r="F75" s="806" t="s">
        <v>836</v>
      </c>
      <c r="G75" s="1077" t="s">
        <v>7167</v>
      </c>
      <c r="H75" s="806" t="s">
        <v>7153</v>
      </c>
      <c r="I75" s="1073"/>
      <c r="J75" s="806" t="s">
        <v>7168</v>
      </c>
      <c r="K75" s="806" t="s">
        <v>510</v>
      </c>
      <c r="L75" s="1058"/>
      <c r="M75" s="806" t="s">
        <v>7169</v>
      </c>
      <c r="N75" s="806" t="s">
        <v>7170</v>
      </c>
      <c r="O75" s="1058"/>
      <c r="P75" s="1058"/>
      <c r="Q75" s="1061">
        <v>1.0</v>
      </c>
      <c r="R75" s="1061"/>
    </row>
    <row r="76" ht="12.75" customHeight="1">
      <c r="A76" s="806">
        <f t="shared" si="2"/>
        <v>74</v>
      </c>
      <c r="B76" s="1057" t="s">
        <v>6767</v>
      </c>
      <c r="C76" s="1058"/>
      <c r="D76" s="1071"/>
      <c r="E76" s="1059" t="s">
        <v>5809</v>
      </c>
      <c r="F76" s="806" t="s">
        <v>836</v>
      </c>
      <c r="G76" s="1077" t="s">
        <v>7171</v>
      </c>
      <c r="H76" s="806"/>
      <c r="I76" s="1073"/>
      <c r="J76" s="806" t="s">
        <v>7172</v>
      </c>
      <c r="K76" s="806" t="s">
        <v>883</v>
      </c>
      <c r="L76" s="1058"/>
      <c r="M76" s="806" t="s">
        <v>7173</v>
      </c>
      <c r="N76" s="806" t="s">
        <v>7157</v>
      </c>
      <c r="O76" s="1058"/>
      <c r="P76" s="1058"/>
      <c r="Q76" s="1061">
        <v>1.0</v>
      </c>
      <c r="R76" s="1061"/>
    </row>
    <row r="77" ht="12.75" customHeight="1">
      <c r="A77" s="806">
        <f t="shared" si="2"/>
        <v>75</v>
      </c>
      <c r="B77" s="1057" t="s">
        <v>6768</v>
      </c>
      <c r="C77" s="1058"/>
      <c r="D77" s="1071"/>
      <c r="E77" s="1059" t="s">
        <v>5809</v>
      </c>
      <c r="F77" s="806" t="s">
        <v>836</v>
      </c>
      <c r="G77" s="1077" t="s">
        <v>7171</v>
      </c>
      <c r="H77" s="806"/>
      <c r="I77" s="1073"/>
      <c r="J77" s="806" t="s">
        <v>7172</v>
      </c>
      <c r="K77" s="806" t="s">
        <v>883</v>
      </c>
      <c r="L77" s="1058"/>
      <c r="M77" s="806" t="s">
        <v>7173</v>
      </c>
      <c r="N77" s="806" t="s">
        <v>7157</v>
      </c>
      <c r="O77" s="1058"/>
      <c r="P77" s="1058"/>
      <c r="Q77" s="1061">
        <v>1.0</v>
      </c>
      <c r="R77" s="1061"/>
    </row>
    <row r="78" ht="12.75" customHeight="1">
      <c r="A78" s="806">
        <f t="shared" si="2"/>
        <v>76</v>
      </c>
      <c r="B78" s="1057" t="s">
        <v>6769</v>
      </c>
      <c r="C78" s="1058"/>
      <c r="D78" s="1071"/>
      <c r="E78" s="1059" t="s">
        <v>5809</v>
      </c>
      <c r="F78" s="806" t="s">
        <v>836</v>
      </c>
      <c r="G78" s="1077" t="s">
        <v>7171</v>
      </c>
      <c r="H78" s="806"/>
      <c r="I78" s="1073"/>
      <c r="J78" s="806" t="s">
        <v>7172</v>
      </c>
      <c r="K78" s="806" t="s">
        <v>883</v>
      </c>
      <c r="L78" s="1058"/>
      <c r="M78" s="806" t="s">
        <v>7173</v>
      </c>
      <c r="N78" s="806" t="s">
        <v>7157</v>
      </c>
      <c r="O78" s="1058"/>
      <c r="P78" s="1058"/>
      <c r="Q78" s="1061">
        <v>1.0</v>
      </c>
      <c r="R78" s="1061"/>
    </row>
    <row r="79" ht="12.75" customHeight="1">
      <c r="A79" s="806">
        <f t="shared" si="2"/>
        <v>77</v>
      </c>
      <c r="B79" s="1057" t="s">
        <v>6770</v>
      </c>
      <c r="C79" s="1058"/>
      <c r="D79" s="1071"/>
      <c r="E79" s="1059" t="s">
        <v>5809</v>
      </c>
      <c r="F79" s="806" t="s">
        <v>836</v>
      </c>
      <c r="G79" s="1077" t="s">
        <v>7171</v>
      </c>
      <c r="H79" s="806"/>
      <c r="I79" s="1073"/>
      <c r="J79" s="806" t="s">
        <v>7172</v>
      </c>
      <c r="K79" s="806" t="s">
        <v>883</v>
      </c>
      <c r="L79" s="1058"/>
      <c r="M79" s="806" t="s">
        <v>7173</v>
      </c>
      <c r="N79" s="806" t="s">
        <v>7157</v>
      </c>
      <c r="O79" s="1058"/>
      <c r="P79" s="1058"/>
      <c r="Q79" s="1061">
        <v>1.0</v>
      </c>
      <c r="R79" s="1061"/>
    </row>
    <row r="80" ht="12.75" customHeight="1">
      <c r="A80" s="806">
        <f t="shared" si="2"/>
        <v>78</v>
      </c>
      <c r="B80" s="1057" t="s">
        <v>6771</v>
      </c>
      <c r="C80" s="1058"/>
      <c r="D80" s="1071"/>
      <c r="E80" s="1059" t="s">
        <v>5809</v>
      </c>
      <c r="F80" s="806" t="s">
        <v>836</v>
      </c>
      <c r="G80" s="1077" t="s">
        <v>7171</v>
      </c>
      <c r="H80" s="806"/>
      <c r="I80" s="1073"/>
      <c r="J80" s="806" t="s">
        <v>7172</v>
      </c>
      <c r="K80" s="806" t="s">
        <v>883</v>
      </c>
      <c r="L80" s="1058"/>
      <c r="M80" s="806" t="s">
        <v>7173</v>
      </c>
      <c r="N80" s="806" t="s">
        <v>7157</v>
      </c>
      <c r="O80" s="1058"/>
      <c r="P80" s="1058"/>
      <c r="Q80" s="1061">
        <v>1.0</v>
      </c>
      <c r="R80" s="1061"/>
    </row>
    <row r="81" ht="12.75" customHeight="1">
      <c r="A81" s="806">
        <f t="shared" si="2"/>
        <v>79</v>
      </c>
      <c r="B81" s="1057" t="s">
        <v>6772</v>
      </c>
      <c r="C81" s="1058"/>
      <c r="D81" s="1071"/>
      <c r="E81" s="1059" t="s">
        <v>5809</v>
      </c>
      <c r="F81" s="806" t="s">
        <v>836</v>
      </c>
      <c r="G81" s="1077" t="s">
        <v>7171</v>
      </c>
      <c r="H81" s="806"/>
      <c r="I81" s="1073"/>
      <c r="J81" s="806" t="s">
        <v>7172</v>
      </c>
      <c r="K81" s="806" t="s">
        <v>883</v>
      </c>
      <c r="L81" s="1058"/>
      <c r="M81" s="806" t="s">
        <v>7173</v>
      </c>
      <c r="N81" s="806" t="s">
        <v>7157</v>
      </c>
      <c r="O81" s="1058"/>
      <c r="P81" s="1058"/>
      <c r="Q81" s="1061">
        <v>1.0</v>
      </c>
      <c r="R81" s="1061"/>
    </row>
    <row r="82" ht="12.75" customHeight="1">
      <c r="A82" s="806">
        <f t="shared" si="2"/>
        <v>80</v>
      </c>
      <c r="B82" s="1057" t="s">
        <v>6773</v>
      </c>
      <c r="C82" s="1058"/>
      <c r="D82" s="1071"/>
      <c r="E82" s="1059" t="s">
        <v>5809</v>
      </c>
      <c r="F82" s="806" t="s">
        <v>836</v>
      </c>
      <c r="G82" s="1077" t="s">
        <v>7171</v>
      </c>
      <c r="H82" s="806"/>
      <c r="I82" s="1073"/>
      <c r="J82" s="806" t="s">
        <v>7172</v>
      </c>
      <c r="K82" s="806" t="s">
        <v>883</v>
      </c>
      <c r="L82" s="1058"/>
      <c r="M82" s="806" t="s">
        <v>7173</v>
      </c>
      <c r="N82" s="806" t="s">
        <v>7157</v>
      </c>
      <c r="O82" s="1058"/>
      <c r="P82" s="1058"/>
      <c r="Q82" s="1061">
        <v>1.0</v>
      </c>
      <c r="R82" s="1061"/>
    </row>
    <row r="83" ht="12.75" customHeight="1">
      <c r="A83" s="806">
        <f t="shared" si="2"/>
        <v>81</v>
      </c>
      <c r="B83" s="1057" t="s">
        <v>6774</v>
      </c>
      <c r="C83" s="1058"/>
      <c r="D83" s="1071"/>
      <c r="E83" s="1059" t="s">
        <v>5809</v>
      </c>
      <c r="F83" s="806" t="s">
        <v>836</v>
      </c>
      <c r="G83" s="1077" t="s">
        <v>7171</v>
      </c>
      <c r="H83" s="806"/>
      <c r="I83" s="1073"/>
      <c r="J83" s="806" t="s">
        <v>7172</v>
      </c>
      <c r="K83" s="806" t="s">
        <v>883</v>
      </c>
      <c r="L83" s="1058"/>
      <c r="M83" s="806" t="s">
        <v>7173</v>
      </c>
      <c r="N83" s="806" t="s">
        <v>7157</v>
      </c>
      <c r="O83" s="1058"/>
      <c r="P83" s="1058"/>
      <c r="Q83" s="1061">
        <v>1.0</v>
      </c>
      <c r="R83" s="1061"/>
    </row>
    <row r="84" ht="12.75" customHeight="1">
      <c r="A84" s="806">
        <f t="shared" si="2"/>
        <v>82</v>
      </c>
      <c r="B84" s="1057" t="s">
        <v>6775</v>
      </c>
      <c r="C84" s="1058"/>
      <c r="D84" s="1071"/>
      <c r="E84" s="1059" t="s">
        <v>5809</v>
      </c>
      <c r="F84" s="806" t="s">
        <v>836</v>
      </c>
      <c r="G84" s="1077" t="s">
        <v>7171</v>
      </c>
      <c r="H84" s="806"/>
      <c r="I84" s="1073"/>
      <c r="J84" s="806" t="s">
        <v>7172</v>
      </c>
      <c r="K84" s="806" t="s">
        <v>883</v>
      </c>
      <c r="L84" s="1058"/>
      <c r="M84" s="806" t="s">
        <v>7173</v>
      </c>
      <c r="N84" s="806" t="s">
        <v>7157</v>
      </c>
      <c r="O84" s="1058"/>
      <c r="P84" s="1058"/>
      <c r="Q84" s="1061">
        <v>1.0</v>
      </c>
      <c r="R84" s="1061"/>
    </row>
    <row r="85" ht="12.75" customHeight="1">
      <c r="A85" s="806">
        <f t="shared" si="2"/>
        <v>83</v>
      </c>
      <c r="B85" s="1057" t="s">
        <v>6776</v>
      </c>
      <c r="C85" s="1058"/>
      <c r="D85" s="1071"/>
      <c r="E85" s="1059" t="s">
        <v>5809</v>
      </c>
      <c r="F85" s="806" t="s">
        <v>836</v>
      </c>
      <c r="G85" s="1077" t="s">
        <v>7171</v>
      </c>
      <c r="H85" s="806"/>
      <c r="I85" s="1073"/>
      <c r="J85" s="806" t="s">
        <v>7172</v>
      </c>
      <c r="K85" s="806" t="s">
        <v>883</v>
      </c>
      <c r="L85" s="1058"/>
      <c r="M85" s="806" t="s">
        <v>7173</v>
      </c>
      <c r="N85" s="806" t="s">
        <v>7157</v>
      </c>
      <c r="O85" s="1058"/>
      <c r="P85" s="1058"/>
      <c r="Q85" s="1061">
        <v>1.0</v>
      </c>
      <c r="R85" s="1061"/>
    </row>
    <row r="86" ht="12.75" customHeight="1">
      <c r="A86" s="806">
        <f t="shared" si="2"/>
        <v>84</v>
      </c>
      <c r="B86" s="1057" t="s">
        <v>6777</v>
      </c>
      <c r="C86" s="1058"/>
      <c r="D86" s="1071"/>
      <c r="E86" s="1059" t="s">
        <v>5809</v>
      </c>
      <c r="F86" s="806" t="s">
        <v>836</v>
      </c>
      <c r="G86" s="1077" t="s">
        <v>7171</v>
      </c>
      <c r="H86" s="806"/>
      <c r="I86" s="1073"/>
      <c r="J86" s="806" t="s">
        <v>7172</v>
      </c>
      <c r="K86" s="806" t="s">
        <v>883</v>
      </c>
      <c r="L86" s="1058"/>
      <c r="M86" s="806" t="s">
        <v>7173</v>
      </c>
      <c r="N86" s="806" t="s">
        <v>7157</v>
      </c>
      <c r="O86" s="1058"/>
      <c r="P86" s="1058"/>
      <c r="Q86" s="1061">
        <v>1.0</v>
      </c>
      <c r="R86" s="1061"/>
    </row>
    <row r="87" ht="12.75" customHeight="1">
      <c r="A87" s="806">
        <f t="shared" si="2"/>
        <v>85</v>
      </c>
      <c r="B87" s="1057" t="s">
        <v>6778</v>
      </c>
      <c r="C87" s="1058"/>
      <c r="D87" s="1071"/>
      <c r="E87" s="1059" t="s">
        <v>5809</v>
      </c>
      <c r="F87" s="806" t="s">
        <v>836</v>
      </c>
      <c r="G87" s="1077" t="s">
        <v>7171</v>
      </c>
      <c r="H87" s="806"/>
      <c r="I87" s="1073"/>
      <c r="J87" s="806" t="s">
        <v>7172</v>
      </c>
      <c r="K87" s="806" t="s">
        <v>883</v>
      </c>
      <c r="L87" s="1058"/>
      <c r="M87" s="806" t="s">
        <v>7173</v>
      </c>
      <c r="N87" s="806" t="s">
        <v>7157</v>
      </c>
      <c r="O87" s="1058"/>
      <c r="P87" s="1058"/>
      <c r="Q87" s="1061">
        <v>1.0</v>
      </c>
      <c r="R87" s="1061"/>
    </row>
    <row r="88" ht="12.75" customHeight="1">
      <c r="A88" s="806">
        <f t="shared" si="2"/>
        <v>86</v>
      </c>
      <c r="B88" s="1057" t="s">
        <v>6779</v>
      </c>
      <c r="C88" s="1058"/>
      <c r="D88" s="1071"/>
      <c r="E88" s="1059" t="s">
        <v>5809</v>
      </c>
      <c r="F88" s="806" t="s">
        <v>836</v>
      </c>
      <c r="G88" s="1077" t="s">
        <v>7171</v>
      </c>
      <c r="H88" s="806"/>
      <c r="I88" s="1073"/>
      <c r="J88" s="806" t="s">
        <v>7172</v>
      </c>
      <c r="K88" s="806" t="s">
        <v>883</v>
      </c>
      <c r="L88" s="1058"/>
      <c r="M88" s="806" t="s">
        <v>7173</v>
      </c>
      <c r="N88" s="806" t="s">
        <v>7157</v>
      </c>
      <c r="O88" s="1058"/>
      <c r="P88" s="1058"/>
      <c r="Q88" s="1061">
        <v>1.0</v>
      </c>
      <c r="R88" s="1061"/>
    </row>
    <row r="89" ht="12.75" customHeight="1">
      <c r="A89" s="806">
        <f t="shared" si="2"/>
        <v>87</v>
      </c>
      <c r="B89" s="1057" t="s">
        <v>6780</v>
      </c>
      <c r="C89" s="1058"/>
      <c r="D89" s="1071"/>
      <c r="E89" s="1059" t="s">
        <v>5809</v>
      </c>
      <c r="F89" s="806" t="s">
        <v>836</v>
      </c>
      <c r="G89" s="1077" t="s">
        <v>7171</v>
      </c>
      <c r="H89" s="806"/>
      <c r="I89" s="1073"/>
      <c r="J89" s="806" t="s">
        <v>7172</v>
      </c>
      <c r="K89" s="806" t="s">
        <v>883</v>
      </c>
      <c r="L89" s="1058"/>
      <c r="M89" s="806" t="s">
        <v>7173</v>
      </c>
      <c r="N89" s="806" t="s">
        <v>7157</v>
      </c>
      <c r="O89" s="1058"/>
      <c r="P89" s="1058"/>
      <c r="Q89" s="1061">
        <v>1.0</v>
      </c>
      <c r="R89" s="1061"/>
    </row>
    <row r="90" ht="12.75" customHeight="1">
      <c r="A90" s="806">
        <f t="shared" si="2"/>
        <v>88</v>
      </c>
      <c r="B90" s="1057" t="s">
        <v>6781</v>
      </c>
      <c r="C90" s="1058"/>
      <c r="D90" s="1071"/>
      <c r="E90" s="1059" t="s">
        <v>5809</v>
      </c>
      <c r="F90" s="806" t="s">
        <v>836</v>
      </c>
      <c r="G90" s="1077" t="s">
        <v>7171</v>
      </c>
      <c r="H90" s="806"/>
      <c r="I90" s="1073"/>
      <c r="J90" s="806" t="s">
        <v>7172</v>
      </c>
      <c r="K90" s="806" t="s">
        <v>883</v>
      </c>
      <c r="L90" s="1058"/>
      <c r="M90" s="806" t="s">
        <v>7173</v>
      </c>
      <c r="N90" s="806" t="s">
        <v>7157</v>
      </c>
      <c r="O90" s="1058"/>
      <c r="P90" s="1058"/>
      <c r="Q90" s="1061">
        <v>1.0</v>
      </c>
      <c r="R90" s="1061"/>
    </row>
    <row r="91" ht="12.75" customHeight="1">
      <c r="A91" s="806">
        <f t="shared" si="2"/>
        <v>89</v>
      </c>
      <c r="B91" s="1057" t="s">
        <v>6782</v>
      </c>
      <c r="C91" s="1058"/>
      <c r="D91" s="1071"/>
      <c r="E91" s="1059" t="s">
        <v>5809</v>
      </c>
      <c r="F91" s="806" t="s">
        <v>836</v>
      </c>
      <c r="G91" s="1077" t="s">
        <v>7171</v>
      </c>
      <c r="H91" s="806"/>
      <c r="I91" s="1073"/>
      <c r="J91" s="806" t="s">
        <v>7172</v>
      </c>
      <c r="K91" s="806" t="s">
        <v>883</v>
      </c>
      <c r="L91" s="1058"/>
      <c r="M91" s="806" t="s">
        <v>7173</v>
      </c>
      <c r="N91" s="806" t="s">
        <v>7157</v>
      </c>
      <c r="O91" s="1058"/>
      <c r="P91" s="1058"/>
      <c r="Q91" s="1061">
        <v>1.0</v>
      </c>
      <c r="R91" s="1061"/>
    </row>
    <row r="92" ht="12.75" customHeight="1">
      <c r="A92" s="806">
        <f t="shared" si="2"/>
        <v>90</v>
      </c>
      <c r="B92" s="1057" t="s">
        <v>6783</v>
      </c>
      <c r="C92" s="1058"/>
      <c r="D92" s="1071"/>
      <c r="E92" s="1059" t="s">
        <v>5809</v>
      </c>
      <c r="F92" s="806" t="s">
        <v>836</v>
      </c>
      <c r="G92" s="1077" t="s">
        <v>7171</v>
      </c>
      <c r="H92" s="806"/>
      <c r="I92" s="1073"/>
      <c r="J92" s="806" t="s">
        <v>7172</v>
      </c>
      <c r="K92" s="806" t="s">
        <v>883</v>
      </c>
      <c r="L92" s="1058"/>
      <c r="M92" s="806" t="s">
        <v>7173</v>
      </c>
      <c r="N92" s="806" t="s">
        <v>7157</v>
      </c>
      <c r="O92" s="1058"/>
      <c r="P92" s="1058"/>
      <c r="Q92" s="1061">
        <v>1.0</v>
      </c>
      <c r="R92" s="1061"/>
    </row>
    <row r="93" ht="12.75" customHeight="1">
      <c r="A93" s="806">
        <f t="shared" si="2"/>
        <v>91</v>
      </c>
      <c r="B93" s="1057" t="s">
        <v>6784</v>
      </c>
      <c r="C93" s="1058"/>
      <c r="D93" s="1071"/>
      <c r="E93" s="1059" t="s">
        <v>5809</v>
      </c>
      <c r="F93" s="806" t="s">
        <v>836</v>
      </c>
      <c r="G93" s="1077" t="s">
        <v>7171</v>
      </c>
      <c r="H93" s="806"/>
      <c r="I93" s="1073"/>
      <c r="J93" s="806" t="s">
        <v>7172</v>
      </c>
      <c r="K93" s="806" t="s">
        <v>883</v>
      </c>
      <c r="L93" s="1058"/>
      <c r="M93" s="806" t="s">
        <v>7173</v>
      </c>
      <c r="N93" s="806" t="s">
        <v>7157</v>
      </c>
      <c r="O93" s="1058"/>
      <c r="P93" s="1058"/>
      <c r="Q93" s="1061">
        <v>1.0</v>
      </c>
      <c r="R93" s="1061"/>
    </row>
    <row r="94" ht="12.75" customHeight="1">
      <c r="A94" s="806">
        <f t="shared" si="2"/>
        <v>92</v>
      </c>
      <c r="B94" s="1057" t="s">
        <v>6785</v>
      </c>
      <c r="C94" s="1058"/>
      <c r="D94" s="1071"/>
      <c r="E94" s="1059" t="s">
        <v>5809</v>
      </c>
      <c r="F94" s="806" t="s">
        <v>836</v>
      </c>
      <c r="G94" s="1077" t="s">
        <v>7171</v>
      </c>
      <c r="H94" s="806"/>
      <c r="I94" s="1073"/>
      <c r="J94" s="806" t="s">
        <v>7172</v>
      </c>
      <c r="K94" s="806" t="s">
        <v>883</v>
      </c>
      <c r="L94" s="1058"/>
      <c r="M94" s="806" t="s">
        <v>7173</v>
      </c>
      <c r="N94" s="806" t="s">
        <v>7157</v>
      </c>
      <c r="O94" s="1058"/>
      <c r="P94" s="1058"/>
      <c r="Q94" s="1061">
        <v>1.0</v>
      </c>
      <c r="R94" s="1061"/>
    </row>
    <row r="95" ht="12.75" customHeight="1">
      <c r="A95" s="806">
        <f t="shared" si="2"/>
        <v>93</v>
      </c>
      <c r="B95" s="1057" t="s">
        <v>6786</v>
      </c>
      <c r="C95" s="1058"/>
      <c r="D95" s="1071"/>
      <c r="E95" s="1059" t="s">
        <v>5809</v>
      </c>
      <c r="F95" s="806" t="s">
        <v>836</v>
      </c>
      <c r="G95" s="1077" t="s">
        <v>7171</v>
      </c>
      <c r="H95" s="806"/>
      <c r="I95" s="1073"/>
      <c r="J95" s="806" t="s">
        <v>7172</v>
      </c>
      <c r="K95" s="806" t="s">
        <v>883</v>
      </c>
      <c r="L95" s="1058"/>
      <c r="M95" s="806" t="s">
        <v>7173</v>
      </c>
      <c r="N95" s="806" t="s">
        <v>7157</v>
      </c>
      <c r="O95" s="1058"/>
      <c r="P95" s="1058"/>
      <c r="Q95" s="1061">
        <v>1.0</v>
      </c>
      <c r="R95" s="1061"/>
    </row>
    <row r="96" ht="12.75" customHeight="1">
      <c r="A96" s="806">
        <f t="shared" si="2"/>
        <v>94</v>
      </c>
      <c r="B96" s="1057" t="s">
        <v>6787</v>
      </c>
      <c r="C96" s="1058"/>
      <c r="D96" s="1071"/>
      <c r="E96" s="1059" t="s">
        <v>5809</v>
      </c>
      <c r="F96" s="806" t="s">
        <v>836</v>
      </c>
      <c r="G96" s="1077" t="s">
        <v>7171</v>
      </c>
      <c r="H96" s="806"/>
      <c r="I96" s="1073"/>
      <c r="J96" s="806" t="s">
        <v>7172</v>
      </c>
      <c r="K96" s="806" t="s">
        <v>883</v>
      </c>
      <c r="L96" s="1058"/>
      <c r="M96" s="806" t="s">
        <v>7173</v>
      </c>
      <c r="N96" s="806" t="s">
        <v>7157</v>
      </c>
      <c r="O96" s="1058"/>
      <c r="P96" s="1058"/>
      <c r="Q96" s="1061">
        <v>1.0</v>
      </c>
      <c r="R96" s="1061"/>
    </row>
    <row r="97" ht="12.75" customHeight="1">
      <c r="A97" s="806">
        <f t="shared" si="2"/>
        <v>95</v>
      </c>
      <c r="B97" s="1057" t="s">
        <v>6788</v>
      </c>
      <c r="C97" s="1058"/>
      <c r="D97" s="1071"/>
      <c r="E97" s="1059" t="s">
        <v>5809</v>
      </c>
      <c r="F97" s="806" t="s">
        <v>836</v>
      </c>
      <c r="G97" s="1077" t="s">
        <v>7171</v>
      </c>
      <c r="H97" s="806"/>
      <c r="I97" s="1073"/>
      <c r="J97" s="806" t="s">
        <v>7172</v>
      </c>
      <c r="K97" s="806" t="s">
        <v>883</v>
      </c>
      <c r="L97" s="1058"/>
      <c r="M97" s="806" t="s">
        <v>7173</v>
      </c>
      <c r="N97" s="806" t="s">
        <v>7157</v>
      </c>
      <c r="O97" s="1058"/>
      <c r="P97" s="1058"/>
      <c r="Q97" s="1061">
        <v>1.0</v>
      </c>
      <c r="R97" s="1061"/>
    </row>
    <row r="98" ht="12.75" customHeight="1">
      <c r="A98" s="806">
        <f t="shared" si="2"/>
        <v>96</v>
      </c>
      <c r="B98" s="1057" t="s">
        <v>6789</v>
      </c>
      <c r="C98" s="1058"/>
      <c r="D98" s="1071"/>
      <c r="E98" s="1059" t="s">
        <v>5809</v>
      </c>
      <c r="F98" s="806" t="s">
        <v>836</v>
      </c>
      <c r="G98" s="1077" t="s">
        <v>7171</v>
      </c>
      <c r="H98" s="806"/>
      <c r="I98" s="1073"/>
      <c r="J98" s="806" t="s">
        <v>7172</v>
      </c>
      <c r="K98" s="806" t="s">
        <v>883</v>
      </c>
      <c r="L98" s="1058"/>
      <c r="M98" s="806" t="s">
        <v>7173</v>
      </c>
      <c r="N98" s="806" t="s">
        <v>7157</v>
      </c>
      <c r="O98" s="1058"/>
      <c r="P98" s="1058"/>
      <c r="Q98" s="1061">
        <v>1.0</v>
      </c>
      <c r="R98" s="1061"/>
    </row>
    <row r="99" ht="12.75" customHeight="1">
      <c r="A99" s="806">
        <f t="shared" si="2"/>
        <v>97</v>
      </c>
      <c r="B99" s="1057" t="s">
        <v>6790</v>
      </c>
      <c r="C99" s="1058"/>
      <c r="D99" s="1071"/>
      <c r="E99" s="1059" t="s">
        <v>5809</v>
      </c>
      <c r="F99" s="806" t="s">
        <v>836</v>
      </c>
      <c r="G99" s="1077" t="s">
        <v>7171</v>
      </c>
      <c r="H99" s="806"/>
      <c r="I99" s="1073"/>
      <c r="J99" s="806" t="s">
        <v>7172</v>
      </c>
      <c r="K99" s="806" t="s">
        <v>883</v>
      </c>
      <c r="L99" s="1058"/>
      <c r="M99" s="806" t="s">
        <v>7173</v>
      </c>
      <c r="N99" s="806" t="s">
        <v>7157</v>
      </c>
      <c r="O99" s="1058"/>
      <c r="P99" s="1058"/>
      <c r="Q99" s="1061">
        <v>1.0</v>
      </c>
      <c r="R99" s="1061"/>
    </row>
    <row r="100" ht="12.75" customHeight="1">
      <c r="A100" s="806">
        <f t="shared" si="2"/>
        <v>98</v>
      </c>
      <c r="B100" s="1057" t="s">
        <v>6791</v>
      </c>
      <c r="C100" s="1058"/>
      <c r="D100" s="1071"/>
      <c r="E100" s="1059" t="s">
        <v>5809</v>
      </c>
      <c r="F100" s="806" t="s">
        <v>836</v>
      </c>
      <c r="G100" s="1077" t="s">
        <v>7171</v>
      </c>
      <c r="H100" s="806"/>
      <c r="I100" s="1073"/>
      <c r="J100" s="806" t="s">
        <v>7172</v>
      </c>
      <c r="K100" s="806" t="s">
        <v>883</v>
      </c>
      <c r="L100" s="1058"/>
      <c r="M100" s="806" t="s">
        <v>7173</v>
      </c>
      <c r="N100" s="806" t="s">
        <v>7157</v>
      </c>
      <c r="O100" s="1058"/>
      <c r="P100" s="1058"/>
      <c r="Q100" s="1061">
        <v>1.0</v>
      </c>
      <c r="R100" s="1061"/>
    </row>
    <row r="101" ht="12.75" customHeight="1">
      <c r="A101" s="806">
        <f t="shared" si="2"/>
        <v>99</v>
      </c>
      <c r="B101" s="1057" t="s">
        <v>6792</v>
      </c>
      <c r="C101" s="1058"/>
      <c r="D101" s="1071"/>
      <c r="E101" s="1059" t="s">
        <v>5809</v>
      </c>
      <c r="F101" s="806" t="s">
        <v>836</v>
      </c>
      <c r="G101" s="1077" t="s">
        <v>7171</v>
      </c>
      <c r="H101" s="806"/>
      <c r="I101" s="1073"/>
      <c r="J101" s="806" t="s">
        <v>7172</v>
      </c>
      <c r="K101" s="806" t="s">
        <v>883</v>
      </c>
      <c r="L101" s="1058"/>
      <c r="M101" s="806" t="s">
        <v>7173</v>
      </c>
      <c r="N101" s="806" t="s">
        <v>7157</v>
      </c>
      <c r="O101" s="1058"/>
      <c r="P101" s="1058"/>
      <c r="Q101" s="1061">
        <v>1.0</v>
      </c>
      <c r="R101" s="1061"/>
    </row>
    <row r="102" ht="12.75" customHeight="1">
      <c r="A102" s="806">
        <f t="shared" si="2"/>
        <v>100</v>
      </c>
      <c r="B102" s="1057" t="s">
        <v>6793</v>
      </c>
      <c r="C102" s="1058"/>
      <c r="D102" s="1071"/>
      <c r="E102" s="1059" t="s">
        <v>5809</v>
      </c>
      <c r="F102" s="806" t="s">
        <v>836</v>
      </c>
      <c r="G102" s="1077" t="s">
        <v>7171</v>
      </c>
      <c r="H102" s="806"/>
      <c r="I102" s="1073"/>
      <c r="J102" s="806" t="s">
        <v>7172</v>
      </c>
      <c r="K102" s="806" t="s">
        <v>883</v>
      </c>
      <c r="L102" s="1058"/>
      <c r="M102" s="806" t="s">
        <v>7173</v>
      </c>
      <c r="N102" s="806" t="s">
        <v>7157</v>
      </c>
      <c r="O102" s="1058"/>
      <c r="P102" s="1058"/>
      <c r="Q102" s="1061">
        <v>1.0</v>
      </c>
      <c r="R102" s="1061"/>
    </row>
    <row r="103" ht="12.75" customHeight="1">
      <c r="A103" s="806">
        <f t="shared" si="2"/>
        <v>101</v>
      </c>
      <c r="B103" s="1057" t="s">
        <v>6794</v>
      </c>
      <c r="C103" s="1058"/>
      <c r="D103" s="1071"/>
      <c r="E103" s="1059" t="s">
        <v>5809</v>
      </c>
      <c r="F103" s="806" t="s">
        <v>836</v>
      </c>
      <c r="G103" s="1077" t="s">
        <v>7171</v>
      </c>
      <c r="H103" s="806"/>
      <c r="I103" s="1073"/>
      <c r="J103" s="806" t="s">
        <v>7172</v>
      </c>
      <c r="K103" s="806" t="s">
        <v>883</v>
      </c>
      <c r="L103" s="1058"/>
      <c r="M103" s="806" t="s">
        <v>7173</v>
      </c>
      <c r="N103" s="806" t="s">
        <v>7157</v>
      </c>
      <c r="O103" s="1058"/>
      <c r="P103" s="1058"/>
      <c r="Q103" s="1061">
        <v>1.0</v>
      </c>
      <c r="R103" s="1061"/>
    </row>
    <row r="104" ht="12.75" customHeight="1">
      <c r="A104" s="806">
        <f t="shared" si="2"/>
        <v>102</v>
      </c>
      <c r="B104" s="1057" t="s">
        <v>6795</v>
      </c>
      <c r="C104" s="1058"/>
      <c r="D104" s="1071"/>
      <c r="E104" s="1059" t="s">
        <v>5809</v>
      </c>
      <c r="F104" s="806" t="s">
        <v>836</v>
      </c>
      <c r="G104" s="1077" t="s">
        <v>7171</v>
      </c>
      <c r="H104" s="806"/>
      <c r="I104" s="1073"/>
      <c r="J104" s="806" t="s">
        <v>7172</v>
      </c>
      <c r="K104" s="806" t="s">
        <v>883</v>
      </c>
      <c r="L104" s="1058"/>
      <c r="M104" s="806" t="s">
        <v>7173</v>
      </c>
      <c r="N104" s="806" t="s">
        <v>7157</v>
      </c>
      <c r="O104" s="1058"/>
      <c r="P104" s="1058"/>
      <c r="Q104" s="1061">
        <v>1.0</v>
      </c>
      <c r="R104" s="1061"/>
    </row>
    <row r="105" ht="12.75" customHeight="1">
      <c r="A105" s="806">
        <f t="shared" si="2"/>
        <v>103</v>
      </c>
      <c r="B105" s="1057" t="s">
        <v>6796</v>
      </c>
      <c r="C105" s="1058"/>
      <c r="D105" s="1071"/>
      <c r="E105" s="1059" t="s">
        <v>5809</v>
      </c>
      <c r="F105" s="806" t="s">
        <v>836</v>
      </c>
      <c r="G105" s="1077" t="s">
        <v>7171</v>
      </c>
      <c r="H105" s="806"/>
      <c r="I105" s="1073"/>
      <c r="J105" s="806" t="s">
        <v>7172</v>
      </c>
      <c r="K105" s="806" t="s">
        <v>883</v>
      </c>
      <c r="L105" s="1058"/>
      <c r="M105" s="806" t="s">
        <v>7173</v>
      </c>
      <c r="N105" s="806" t="s">
        <v>7157</v>
      </c>
      <c r="O105" s="1058"/>
      <c r="P105" s="1058"/>
      <c r="Q105" s="1061">
        <v>1.0</v>
      </c>
      <c r="R105" s="1061"/>
    </row>
    <row r="106" ht="12.75" customHeight="1">
      <c r="A106" s="806">
        <f t="shared" si="2"/>
        <v>104</v>
      </c>
      <c r="B106" s="1057" t="s">
        <v>7174</v>
      </c>
      <c r="C106" s="1058"/>
      <c r="D106" s="1071"/>
      <c r="E106" s="1059" t="s">
        <v>5809</v>
      </c>
      <c r="F106" s="806" t="s">
        <v>836</v>
      </c>
      <c r="G106" s="1077"/>
      <c r="H106" s="806"/>
      <c r="I106" s="1073"/>
      <c r="J106" s="806" t="s">
        <v>7172</v>
      </c>
      <c r="K106" s="806" t="s">
        <v>883</v>
      </c>
      <c r="L106" s="1058"/>
      <c r="M106" s="806" t="s">
        <v>7173</v>
      </c>
      <c r="N106" s="806" t="s">
        <v>7157</v>
      </c>
      <c r="O106" s="1058"/>
      <c r="P106" s="1058"/>
      <c r="Q106" s="1061"/>
      <c r="R106" s="1061"/>
    </row>
    <row r="107" ht="12.75" customHeight="1">
      <c r="A107" s="806">
        <f t="shared" si="2"/>
        <v>105</v>
      </c>
      <c r="B107" s="1057" t="s">
        <v>7175</v>
      </c>
      <c r="C107" s="1058"/>
      <c r="D107" s="1071"/>
      <c r="E107" s="1059" t="s">
        <v>5809</v>
      </c>
      <c r="F107" s="806" t="s">
        <v>836</v>
      </c>
      <c r="G107" s="1077"/>
      <c r="H107" s="806"/>
      <c r="I107" s="1073"/>
      <c r="J107" s="806" t="s">
        <v>7172</v>
      </c>
      <c r="K107" s="806" t="s">
        <v>883</v>
      </c>
      <c r="L107" s="1058"/>
      <c r="M107" s="806" t="s">
        <v>7173</v>
      </c>
      <c r="N107" s="806" t="s">
        <v>7157</v>
      </c>
      <c r="O107" s="1058"/>
      <c r="P107" s="1058"/>
      <c r="Q107" s="1061"/>
      <c r="R107" s="1061"/>
    </row>
    <row r="108" ht="12.75" customHeight="1">
      <c r="A108" s="806">
        <f t="shared" si="2"/>
        <v>106</v>
      </c>
      <c r="B108" s="1057" t="s">
        <v>7176</v>
      </c>
      <c r="C108" s="1058"/>
      <c r="D108" s="1071"/>
      <c r="E108" s="1059" t="s">
        <v>5809</v>
      </c>
      <c r="F108" s="806" t="s">
        <v>836</v>
      </c>
      <c r="G108" s="1077"/>
      <c r="H108" s="806"/>
      <c r="I108" s="1073"/>
      <c r="J108" s="806" t="s">
        <v>7172</v>
      </c>
      <c r="K108" s="806" t="s">
        <v>883</v>
      </c>
      <c r="L108" s="1058"/>
      <c r="M108" s="806" t="s">
        <v>7173</v>
      </c>
      <c r="N108" s="806" t="s">
        <v>7157</v>
      </c>
      <c r="O108" s="1058"/>
      <c r="P108" s="1058"/>
      <c r="Q108" s="1061"/>
      <c r="R108" s="1061"/>
    </row>
    <row r="109" ht="12.75" customHeight="1">
      <c r="A109" s="806">
        <f t="shared" si="2"/>
        <v>107</v>
      </c>
      <c r="B109" s="1057" t="s">
        <v>7177</v>
      </c>
      <c r="C109" s="1058"/>
      <c r="D109" s="1071"/>
      <c r="E109" s="1059" t="s">
        <v>5809</v>
      </c>
      <c r="F109" s="806" t="s">
        <v>836</v>
      </c>
      <c r="G109" s="1077"/>
      <c r="H109" s="806"/>
      <c r="I109" s="1073"/>
      <c r="J109" s="806" t="s">
        <v>7172</v>
      </c>
      <c r="K109" s="806" t="s">
        <v>883</v>
      </c>
      <c r="L109" s="1058"/>
      <c r="M109" s="806" t="s">
        <v>7173</v>
      </c>
      <c r="N109" s="806" t="s">
        <v>7157</v>
      </c>
      <c r="O109" s="1058"/>
      <c r="P109" s="1058"/>
      <c r="Q109" s="1061"/>
      <c r="R109" s="1061"/>
    </row>
    <row r="110" ht="12.75" customHeight="1">
      <c r="A110" s="806">
        <f t="shared" si="2"/>
        <v>108</v>
      </c>
      <c r="B110" s="1057" t="s">
        <v>7178</v>
      </c>
      <c r="C110" s="1058"/>
      <c r="D110" s="1071"/>
      <c r="E110" s="1059" t="s">
        <v>5809</v>
      </c>
      <c r="F110" s="806" t="s">
        <v>836</v>
      </c>
      <c r="G110" s="1077"/>
      <c r="H110" s="806"/>
      <c r="I110" s="1073"/>
      <c r="J110" s="806" t="s">
        <v>7172</v>
      </c>
      <c r="K110" s="806" t="s">
        <v>883</v>
      </c>
      <c r="L110" s="1058"/>
      <c r="M110" s="806" t="s">
        <v>7173</v>
      </c>
      <c r="N110" s="806" t="s">
        <v>7157</v>
      </c>
      <c r="O110" s="1058"/>
      <c r="P110" s="1058"/>
      <c r="Q110" s="1061"/>
      <c r="R110" s="1061"/>
    </row>
    <row r="111" ht="12.75" customHeight="1">
      <c r="A111" s="806">
        <f t="shared" si="2"/>
        <v>109</v>
      </c>
      <c r="B111" s="1057" t="s">
        <v>7179</v>
      </c>
      <c r="C111" s="1058"/>
      <c r="D111" s="1071"/>
      <c r="E111" s="1059" t="s">
        <v>5809</v>
      </c>
      <c r="F111" s="806" t="s">
        <v>836</v>
      </c>
      <c r="G111" s="1077"/>
      <c r="H111" s="806"/>
      <c r="I111" s="1073"/>
      <c r="J111" s="806" t="s">
        <v>7172</v>
      </c>
      <c r="K111" s="806" t="s">
        <v>883</v>
      </c>
      <c r="L111" s="1058"/>
      <c r="M111" s="806" t="s">
        <v>7173</v>
      </c>
      <c r="N111" s="806" t="s">
        <v>7157</v>
      </c>
      <c r="O111" s="1058"/>
      <c r="P111" s="1058"/>
      <c r="Q111" s="1061"/>
      <c r="R111" s="1061"/>
    </row>
    <row r="112" ht="12.75" customHeight="1">
      <c r="A112" s="806">
        <f t="shared" si="2"/>
        <v>110</v>
      </c>
      <c r="B112" s="1057" t="s">
        <v>7180</v>
      </c>
      <c r="C112" s="1058"/>
      <c r="D112" s="1071"/>
      <c r="E112" s="1059" t="s">
        <v>5809</v>
      </c>
      <c r="F112" s="806" t="s">
        <v>836</v>
      </c>
      <c r="G112" s="1077"/>
      <c r="H112" s="806"/>
      <c r="I112" s="1073"/>
      <c r="J112" s="806" t="s">
        <v>7172</v>
      </c>
      <c r="K112" s="806" t="s">
        <v>883</v>
      </c>
      <c r="L112" s="1058"/>
      <c r="M112" s="806" t="s">
        <v>7173</v>
      </c>
      <c r="N112" s="806" t="s">
        <v>7157</v>
      </c>
      <c r="O112" s="1058"/>
      <c r="P112" s="1058"/>
      <c r="Q112" s="1061"/>
      <c r="R112" s="1061"/>
    </row>
    <row r="113" ht="12.75" customHeight="1">
      <c r="A113" s="806">
        <f t="shared" si="2"/>
        <v>111</v>
      </c>
      <c r="B113" s="1057" t="s">
        <v>7181</v>
      </c>
      <c r="C113" s="1058"/>
      <c r="D113" s="1071"/>
      <c r="E113" s="1059" t="s">
        <v>5809</v>
      </c>
      <c r="F113" s="806" t="s">
        <v>836</v>
      </c>
      <c r="G113" s="1077"/>
      <c r="H113" s="806"/>
      <c r="I113" s="1073"/>
      <c r="J113" s="806" t="s">
        <v>7172</v>
      </c>
      <c r="K113" s="806" t="s">
        <v>883</v>
      </c>
      <c r="L113" s="1058"/>
      <c r="M113" s="806" t="s">
        <v>7173</v>
      </c>
      <c r="N113" s="806" t="s">
        <v>7157</v>
      </c>
      <c r="O113" s="1058"/>
      <c r="P113" s="1058"/>
      <c r="Q113" s="1061"/>
      <c r="R113" s="1061"/>
    </row>
    <row r="114" ht="12.75" customHeight="1">
      <c r="A114" s="806">
        <f t="shared" si="2"/>
        <v>112</v>
      </c>
      <c r="B114" s="1057" t="s">
        <v>7182</v>
      </c>
      <c r="C114" s="1058"/>
      <c r="D114" s="1071"/>
      <c r="E114" s="1059" t="s">
        <v>5809</v>
      </c>
      <c r="F114" s="806" t="s">
        <v>836</v>
      </c>
      <c r="G114" s="1077"/>
      <c r="H114" s="806"/>
      <c r="I114" s="1073"/>
      <c r="J114" s="806" t="s">
        <v>7172</v>
      </c>
      <c r="K114" s="806" t="s">
        <v>883</v>
      </c>
      <c r="L114" s="1058"/>
      <c r="M114" s="806" t="s">
        <v>7173</v>
      </c>
      <c r="N114" s="806" t="s">
        <v>7157</v>
      </c>
      <c r="O114" s="1058"/>
      <c r="P114" s="1058"/>
      <c r="Q114" s="1061"/>
      <c r="R114" s="1061"/>
    </row>
    <row r="115" ht="12.75" customHeight="1">
      <c r="A115" s="806">
        <f t="shared" si="2"/>
        <v>113</v>
      </c>
      <c r="B115" s="1057" t="s">
        <v>7183</v>
      </c>
      <c r="C115" s="1058"/>
      <c r="D115" s="1071"/>
      <c r="E115" s="1059" t="s">
        <v>5809</v>
      </c>
      <c r="F115" s="806" t="s">
        <v>836</v>
      </c>
      <c r="G115" s="1077"/>
      <c r="H115" s="806"/>
      <c r="I115" s="1073"/>
      <c r="J115" s="806" t="s">
        <v>7172</v>
      </c>
      <c r="K115" s="806" t="s">
        <v>883</v>
      </c>
      <c r="L115" s="1058"/>
      <c r="M115" s="806" t="s">
        <v>7173</v>
      </c>
      <c r="N115" s="806" t="s">
        <v>7157</v>
      </c>
      <c r="O115" s="1058"/>
      <c r="P115" s="1058"/>
      <c r="Q115" s="1061"/>
      <c r="R115" s="1061"/>
    </row>
    <row r="116" ht="12.75" customHeight="1">
      <c r="A116" s="806">
        <f t="shared" si="2"/>
        <v>114</v>
      </c>
      <c r="B116" s="1057" t="s">
        <v>7184</v>
      </c>
      <c r="C116" s="1058"/>
      <c r="D116" s="1071"/>
      <c r="E116" s="1059" t="s">
        <v>5809</v>
      </c>
      <c r="F116" s="806" t="s">
        <v>836</v>
      </c>
      <c r="G116" s="1077"/>
      <c r="H116" s="806"/>
      <c r="I116" s="1073"/>
      <c r="J116" s="806" t="s">
        <v>7172</v>
      </c>
      <c r="K116" s="806" t="s">
        <v>883</v>
      </c>
      <c r="L116" s="1058"/>
      <c r="M116" s="806" t="s">
        <v>7173</v>
      </c>
      <c r="N116" s="806" t="s">
        <v>7157</v>
      </c>
      <c r="O116" s="1058"/>
      <c r="P116" s="1058"/>
      <c r="Q116" s="1061"/>
      <c r="R116" s="1061"/>
    </row>
    <row r="117" ht="12.75" customHeight="1">
      <c r="A117" s="806">
        <f t="shared" si="2"/>
        <v>115</v>
      </c>
      <c r="B117" s="1057" t="s">
        <v>7185</v>
      </c>
      <c r="C117" s="1058"/>
      <c r="D117" s="1071"/>
      <c r="E117" s="1059" t="s">
        <v>5809</v>
      </c>
      <c r="F117" s="806" t="s">
        <v>836</v>
      </c>
      <c r="G117" s="1077"/>
      <c r="H117" s="806"/>
      <c r="I117" s="1073"/>
      <c r="J117" s="806" t="s">
        <v>7172</v>
      </c>
      <c r="K117" s="806" t="s">
        <v>883</v>
      </c>
      <c r="L117" s="1058"/>
      <c r="M117" s="806" t="s">
        <v>7173</v>
      </c>
      <c r="N117" s="806" t="s">
        <v>7157</v>
      </c>
      <c r="O117" s="1058"/>
      <c r="P117" s="1058"/>
      <c r="Q117" s="1061"/>
      <c r="R117" s="1061"/>
    </row>
    <row r="118" ht="12.75" customHeight="1">
      <c r="A118" s="806">
        <f t="shared" si="2"/>
        <v>116</v>
      </c>
      <c r="B118" s="1057" t="s">
        <v>7186</v>
      </c>
      <c r="C118" s="1058"/>
      <c r="D118" s="1071"/>
      <c r="E118" s="1059" t="s">
        <v>5809</v>
      </c>
      <c r="F118" s="806" t="s">
        <v>836</v>
      </c>
      <c r="G118" s="1077"/>
      <c r="H118" s="806"/>
      <c r="I118" s="1073"/>
      <c r="J118" s="806" t="s">
        <v>7172</v>
      </c>
      <c r="K118" s="806" t="s">
        <v>883</v>
      </c>
      <c r="L118" s="1058"/>
      <c r="M118" s="806" t="s">
        <v>7173</v>
      </c>
      <c r="N118" s="806" t="s">
        <v>7157</v>
      </c>
      <c r="O118" s="1058"/>
      <c r="P118" s="1058"/>
      <c r="Q118" s="1061"/>
      <c r="R118" s="1061"/>
    </row>
    <row r="119" ht="12.75" customHeight="1">
      <c r="A119" s="806">
        <f t="shared" si="2"/>
        <v>117</v>
      </c>
      <c r="B119" s="1057" t="s">
        <v>7187</v>
      </c>
      <c r="C119" s="1058"/>
      <c r="D119" s="1071"/>
      <c r="E119" s="1059" t="s">
        <v>5809</v>
      </c>
      <c r="F119" s="806" t="s">
        <v>836</v>
      </c>
      <c r="G119" s="1077"/>
      <c r="H119" s="806"/>
      <c r="I119" s="1073"/>
      <c r="J119" s="806" t="s">
        <v>7172</v>
      </c>
      <c r="K119" s="806" t="s">
        <v>883</v>
      </c>
      <c r="L119" s="1058"/>
      <c r="M119" s="806" t="s">
        <v>7173</v>
      </c>
      <c r="N119" s="806" t="s">
        <v>7157</v>
      </c>
      <c r="O119" s="1058"/>
      <c r="P119" s="1058"/>
      <c r="Q119" s="1061"/>
      <c r="R119" s="1061"/>
    </row>
    <row r="120" ht="12.75" customHeight="1">
      <c r="A120" s="806">
        <f t="shared" si="2"/>
        <v>118</v>
      </c>
      <c r="B120" s="1057" t="s">
        <v>7188</v>
      </c>
      <c r="C120" s="1058"/>
      <c r="D120" s="1071"/>
      <c r="E120" s="1059" t="s">
        <v>5809</v>
      </c>
      <c r="F120" s="806" t="s">
        <v>836</v>
      </c>
      <c r="G120" s="1077"/>
      <c r="H120" s="806"/>
      <c r="I120" s="1073"/>
      <c r="J120" s="806" t="s">
        <v>7172</v>
      </c>
      <c r="K120" s="806" t="s">
        <v>883</v>
      </c>
      <c r="L120" s="1058"/>
      <c r="M120" s="806" t="s">
        <v>7173</v>
      </c>
      <c r="N120" s="806" t="s">
        <v>7157</v>
      </c>
      <c r="O120" s="1058"/>
      <c r="P120" s="1058"/>
      <c r="Q120" s="1061"/>
      <c r="R120" s="1061"/>
    </row>
    <row r="121" ht="12.75" customHeight="1">
      <c r="A121" s="806">
        <f t="shared" si="2"/>
        <v>119</v>
      </c>
      <c r="B121" s="1057" t="s">
        <v>7189</v>
      </c>
      <c r="C121" s="1058"/>
      <c r="D121" s="1071"/>
      <c r="E121" s="1059" t="s">
        <v>5809</v>
      </c>
      <c r="F121" s="806" t="s">
        <v>836</v>
      </c>
      <c r="G121" s="1077"/>
      <c r="H121" s="806"/>
      <c r="I121" s="1073"/>
      <c r="J121" s="806" t="s">
        <v>7172</v>
      </c>
      <c r="K121" s="806" t="s">
        <v>883</v>
      </c>
      <c r="L121" s="1058"/>
      <c r="M121" s="806" t="s">
        <v>7173</v>
      </c>
      <c r="N121" s="806" t="s">
        <v>7157</v>
      </c>
      <c r="O121" s="1058"/>
      <c r="P121" s="1058"/>
      <c r="Q121" s="1061"/>
      <c r="R121" s="1061"/>
    </row>
    <row r="122" ht="12.75" customHeight="1">
      <c r="A122" s="806">
        <f t="shared" si="2"/>
        <v>120</v>
      </c>
      <c r="B122" s="1057" t="s">
        <v>7190</v>
      </c>
      <c r="C122" s="1058"/>
      <c r="D122" s="1071"/>
      <c r="E122" s="1059" t="s">
        <v>5809</v>
      </c>
      <c r="F122" s="806" t="s">
        <v>836</v>
      </c>
      <c r="G122" s="1077"/>
      <c r="H122" s="806"/>
      <c r="I122" s="1073"/>
      <c r="J122" s="806" t="s">
        <v>7172</v>
      </c>
      <c r="K122" s="806" t="s">
        <v>883</v>
      </c>
      <c r="L122" s="1058"/>
      <c r="M122" s="806" t="s">
        <v>7173</v>
      </c>
      <c r="N122" s="806" t="s">
        <v>7157</v>
      </c>
      <c r="O122" s="1058"/>
      <c r="P122" s="1058"/>
      <c r="Q122" s="1061"/>
      <c r="R122" s="1061"/>
    </row>
    <row r="123" ht="12.75" customHeight="1">
      <c r="A123" s="806">
        <f t="shared" si="2"/>
        <v>121</v>
      </c>
      <c r="B123" s="1057" t="s">
        <v>7191</v>
      </c>
      <c r="C123" s="1058"/>
      <c r="D123" s="1071"/>
      <c r="E123" s="1059" t="s">
        <v>5809</v>
      </c>
      <c r="F123" s="806" t="s">
        <v>836</v>
      </c>
      <c r="G123" s="1077"/>
      <c r="H123" s="806"/>
      <c r="I123" s="1073"/>
      <c r="J123" s="806" t="s">
        <v>7172</v>
      </c>
      <c r="K123" s="806" t="s">
        <v>883</v>
      </c>
      <c r="L123" s="1058"/>
      <c r="M123" s="806" t="s">
        <v>7173</v>
      </c>
      <c r="N123" s="806" t="s">
        <v>7157</v>
      </c>
      <c r="O123" s="1058"/>
      <c r="P123" s="1058"/>
      <c r="Q123" s="1061"/>
      <c r="R123" s="1061"/>
    </row>
    <row r="124" ht="12.75" customHeight="1">
      <c r="A124" s="806">
        <f t="shared" si="2"/>
        <v>122</v>
      </c>
      <c r="B124" s="1057" t="s">
        <v>7192</v>
      </c>
      <c r="C124" s="1058"/>
      <c r="D124" s="1071"/>
      <c r="E124" s="1059" t="s">
        <v>5809</v>
      </c>
      <c r="F124" s="806" t="s">
        <v>836</v>
      </c>
      <c r="G124" s="1077"/>
      <c r="H124" s="806"/>
      <c r="I124" s="1073"/>
      <c r="J124" s="806" t="s">
        <v>7172</v>
      </c>
      <c r="K124" s="806" t="s">
        <v>883</v>
      </c>
      <c r="L124" s="1058"/>
      <c r="M124" s="806" t="s">
        <v>7173</v>
      </c>
      <c r="N124" s="806" t="s">
        <v>7157</v>
      </c>
      <c r="O124" s="1058"/>
      <c r="P124" s="1058"/>
      <c r="Q124" s="1061"/>
      <c r="R124" s="1061"/>
    </row>
    <row r="125" ht="12.75" customHeight="1">
      <c r="A125" s="806">
        <f t="shared" si="2"/>
        <v>123</v>
      </c>
      <c r="B125" s="1057" t="s">
        <v>7193</v>
      </c>
      <c r="C125" s="1058"/>
      <c r="D125" s="1071"/>
      <c r="E125" s="1059" t="s">
        <v>5809</v>
      </c>
      <c r="F125" s="806" t="s">
        <v>836</v>
      </c>
      <c r="G125" s="1077"/>
      <c r="H125" s="806"/>
      <c r="I125" s="1073"/>
      <c r="J125" s="806" t="s">
        <v>7172</v>
      </c>
      <c r="K125" s="806" t="s">
        <v>883</v>
      </c>
      <c r="L125" s="1058"/>
      <c r="M125" s="806" t="s">
        <v>7173</v>
      </c>
      <c r="N125" s="806" t="s">
        <v>7157</v>
      </c>
      <c r="O125" s="1058"/>
      <c r="P125" s="1058"/>
      <c r="Q125" s="1061"/>
      <c r="R125" s="1061"/>
    </row>
    <row r="126" ht="12.75" customHeight="1">
      <c r="A126" s="806">
        <f t="shared" si="2"/>
        <v>124</v>
      </c>
      <c r="B126" s="1057" t="s">
        <v>7194</v>
      </c>
      <c r="C126" s="1058"/>
      <c r="D126" s="1071"/>
      <c r="E126" s="1059" t="s">
        <v>5809</v>
      </c>
      <c r="F126" s="806" t="s">
        <v>836</v>
      </c>
      <c r="G126" s="1077"/>
      <c r="H126" s="806"/>
      <c r="I126" s="1073"/>
      <c r="J126" s="806" t="s">
        <v>7172</v>
      </c>
      <c r="K126" s="806" t="s">
        <v>883</v>
      </c>
      <c r="L126" s="1058"/>
      <c r="M126" s="806" t="s">
        <v>7173</v>
      </c>
      <c r="N126" s="806" t="s">
        <v>7157</v>
      </c>
      <c r="O126" s="1058"/>
      <c r="P126" s="1058"/>
      <c r="Q126" s="1061"/>
      <c r="R126" s="1061"/>
    </row>
    <row r="127" ht="12.75" customHeight="1">
      <c r="A127" s="806">
        <f t="shared" si="2"/>
        <v>125</v>
      </c>
      <c r="B127" s="1057" t="s">
        <v>7195</v>
      </c>
      <c r="C127" s="1058"/>
      <c r="D127" s="1071"/>
      <c r="E127" s="1059" t="s">
        <v>5809</v>
      </c>
      <c r="F127" s="806" t="s">
        <v>836</v>
      </c>
      <c r="G127" s="1077"/>
      <c r="H127" s="806"/>
      <c r="I127" s="1073"/>
      <c r="J127" s="806" t="s">
        <v>7172</v>
      </c>
      <c r="K127" s="806" t="s">
        <v>883</v>
      </c>
      <c r="L127" s="1058"/>
      <c r="M127" s="806" t="s">
        <v>7173</v>
      </c>
      <c r="N127" s="806" t="s">
        <v>7157</v>
      </c>
      <c r="O127" s="1058"/>
      <c r="P127" s="1058"/>
      <c r="Q127" s="1061"/>
      <c r="R127" s="1061"/>
    </row>
    <row r="128" ht="12.75" customHeight="1">
      <c r="A128" s="806">
        <f t="shared" si="2"/>
        <v>126</v>
      </c>
      <c r="B128" s="1057" t="s">
        <v>7196</v>
      </c>
      <c r="C128" s="1058"/>
      <c r="D128" s="1071"/>
      <c r="E128" s="1059" t="s">
        <v>5809</v>
      </c>
      <c r="F128" s="806" t="s">
        <v>836</v>
      </c>
      <c r="G128" s="1077"/>
      <c r="H128" s="806"/>
      <c r="I128" s="1073"/>
      <c r="J128" s="806" t="s">
        <v>7172</v>
      </c>
      <c r="K128" s="806" t="s">
        <v>883</v>
      </c>
      <c r="L128" s="1058"/>
      <c r="M128" s="806" t="s">
        <v>7173</v>
      </c>
      <c r="N128" s="806" t="s">
        <v>7157</v>
      </c>
      <c r="O128" s="1058"/>
      <c r="P128" s="1058"/>
      <c r="Q128" s="1061"/>
      <c r="R128" s="1061"/>
    </row>
    <row r="129" ht="12.75" customHeight="1">
      <c r="A129" s="806">
        <f t="shared" si="2"/>
        <v>127</v>
      </c>
      <c r="B129" s="1057" t="s">
        <v>7197</v>
      </c>
      <c r="C129" s="1058"/>
      <c r="D129" s="1071"/>
      <c r="E129" s="1059" t="s">
        <v>5809</v>
      </c>
      <c r="F129" s="806" t="s">
        <v>836</v>
      </c>
      <c r="G129" s="1077"/>
      <c r="H129" s="806"/>
      <c r="I129" s="1073"/>
      <c r="J129" s="806" t="s">
        <v>7172</v>
      </c>
      <c r="K129" s="806" t="s">
        <v>883</v>
      </c>
      <c r="L129" s="1058"/>
      <c r="M129" s="806" t="s">
        <v>7173</v>
      </c>
      <c r="N129" s="806" t="s">
        <v>7157</v>
      </c>
      <c r="O129" s="1058"/>
      <c r="P129" s="1058"/>
      <c r="Q129" s="1061"/>
      <c r="R129" s="1061"/>
    </row>
    <row r="130" ht="12.75" customHeight="1">
      <c r="A130" s="806">
        <f t="shared" si="2"/>
        <v>128</v>
      </c>
      <c r="B130" s="1057" t="s">
        <v>7199</v>
      </c>
      <c r="C130" s="1058"/>
      <c r="D130" s="1071"/>
      <c r="E130" s="1059" t="s">
        <v>5809</v>
      </c>
      <c r="F130" s="806" t="s">
        <v>836</v>
      </c>
      <c r="G130" s="1077"/>
      <c r="H130" s="806"/>
      <c r="I130" s="1073"/>
      <c r="J130" s="806" t="s">
        <v>7172</v>
      </c>
      <c r="K130" s="806" t="s">
        <v>883</v>
      </c>
      <c r="L130" s="1058"/>
      <c r="M130" s="806" t="s">
        <v>7173</v>
      </c>
      <c r="N130" s="806" t="s">
        <v>7157</v>
      </c>
      <c r="O130" s="1058"/>
      <c r="P130" s="1058"/>
      <c r="Q130" s="1061"/>
      <c r="R130" s="1061"/>
    </row>
    <row r="131" ht="12.75" customHeight="1">
      <c r="A131" s="806">
        <f t="shared" si="2"/>
        <v>129</v>
      </c>
      <c r="B131" s="1057" t="s">
        <v>7200</v>
      </c>
      <c r="C131" s="1058"/>
      <c r="D131" s="1071"/>
      <c r="E131" s="1059" t="s">
        <v>5809</v>
      </c>
      <c r="F131" s="806" t="s">
        <v>836</v>
      </c>
      <c r="G131" s="1077"/>
      <c r="H131" s="806"/>
      <c r="I131" s="1073"/>
      <c r="J131" s="806" t="s">
        <v>7172</v>
      </c>
      <c r="K131" s="806" t="s">
        <v>883</v>
      </c>
      <c r="L131" s="1058"/>
      <c r="M131" s="806" t="s">
        <v>7173</v>
      </c>
      <c r="N131" s="806" t="s">
        <v>7157</v>
      </c>
      <c r="O131" s="1058"/>
      <c r="P131" s="1058"/>
      <c r="Q131" s="1061"/>
      <c r="R131" s="1061"/>
    </row>
    <row r="132" ht="12.75" customHeight="1">
      <c r="A132" s="806">
        <f t="shared" si="2"/>
        <v>130</v>
      </c>
      <c r="B132" s="1057" t="s">
        <v>7201</v>
      </c>
      <c r="C132" s="1058"/>
      <c r="D132" s="1071"/>
      <c r="E132" s="1059" t="s">
        <v>5809</v>
      </c>
      <c r="F132" s="806" t="s">
        <v>836</v>
      </c>
      <c r="G132" s="1077"/>
      <c r="H132" s="806"/>
      <c r="I132" s="1073"/>
      <c r="J132" s="806" t="s">
        <v>7172</v>
      </c>
      <c r="K132" s="806" t="s">
        <v>883</v>
      </c>
      <c r="L132" s="1058"/>
      <c r="M132" s="806" t="s">
        <v>7173</v>
      </c>
      <c r="N132" s="806" t="s">
        <v>7157</v>
      </c>
      <c r="O132" s="1058"/>
      <c r="P132" s="1058"/>
      <c r="Q132" s="1061"/>
      <c r="R132" s="1061"/>
    </row>
    <row r="133" ht="12.75" customHeight="1">
      <c r="A133" s="806">
        <f t="shared" si="2"/>
        <v>131</v>
      </c>
      <c r="B133" s="1057" t="s">
        <v>7202</v>
      </c>
      <c r="C133" s="1058"/>
      <c r="D133" s="1071"/>
      <c r="E133" s="1059" t="s">
        <v>5809</v>
      </c>
      <c r="F133" s="806" t="s">
        <v>836</v>
      </c>
      <c r="G133" s="1077"/>
      <c r="H133" s="806"/>
      <c r="I133" s="1073"/>
      <c r="J133" s="806" t="s">
        <v>7172</v>
      </c>
      <c r="K133" s="806" t="s">
        <v>883</v>
      </c>
      <c r="L133" s="1058"/>
      <c r="M133" s="806" t="s">
        <v>7173</v>
      </c>
      <c r="N133" s="806" t="s">
        <v>7157</v>
      </c>
      <c r="O133" s="1058"/>
      <c r="P133" s="1058"/>
      <c r="Q133" s="1061"/>
      <c r="R133" s="1061"/>
    </row>
    <row r="134" ht="12.75" customHeight="1">
      <c r="A134" s="806">
        <f t="shared" si="2"/>
        <v>132</v>
      </c>
      <c r="B134" s="1057" t="s">
        <v>7203</v>
      </c>
      <c r="C134" s="1058"/>
      <c r="D134" s="1071"/>
      <c r="E134" s="1059" t="s">
        <v>5809</v>
      </c>
      <c r="F134" s="806" t="s">
        <v>836</v>
      </c>
      <c r="G134" s="1077"/>
      <c r="H134" s="806"/>
      <c r="I134" s="1073"/>
      <c r="J134" s="806" t="s">
        <v>7172</v>
      </c>
      <c r="K134" s="806" t="s">
        <v>883</v>
      </c>
      <c r="L134" s="1058"/>
      <c r="M134" s="806" t="s">
        <v>7173</v>
      </c>
      <c r="N134" s="806" t="s">
        <v>7157</v>
      </c>
      <c r="O134" s="1058"/>
      <c r="P134" s="1058"/>
      <c r="Q134" s="1061"/>
      <c r="R134" s="1061"/>
    </row>
    <row r="135" ht="12.75" customHeight="1">
      <c r="A135" s="806">
        <f t="shared" si="2"/>
        <v>133</v>
      </c>
      <c r="B135" s="1057" t="s">
        <v>7204</v>
      </c>
      <c r="C135" s="1058"/>
      <c r="D135" s="1071"/>
      <c r="E135" s="1059" t="s">
        <v>5809</v>
      </c>
      <c r="F135" s="806" t="s">
        <v>836</v>
      </c>
      <c r="G135" s="1077"/>
      <c r="H135" s="806"/>
      <c r="I135" s="1073"/>
      <c r="J135" s="806" t="s">
        <v>7172</v>
      </c>
      <c r="K135" s="806" t="s">
        <v>883</v>
      </c>
      <c r="L135" s="1058"/>
      <c r="M135" s="806" t="s">
        <v>7173</v>
      </c>
      <c r="N135" s="806" t="s">
        <v>7157</v>
      </c>
      <c r="O135" s="1058"/>
      <c r="P135" s="1058"/>
      <c r="Q135" s="1061"/>
      <c r="R135" s="1061"/>
    </row>
    <row r="136" ht="12.75" customHeight="1">
      <c r="A136" s="806"/>
      <c r="B136" s="1057"/>
      <c r="C136" s="1058"/>
      <c r="D136" s="1071"/>
      <c r="E136" s="1059"/>
      <c r="F136" s="806"/>
      <c r="G136" s="1077"/>
      <c r="H136" s="806"/>
      <c r="I136" s="1073"/>
      <c r="J136" s="806"/>
      <c r="K136" s="806"/>
      <c r="L136" s="1058"/>
      <c r="M136" s="806"/>
      <c r="N136" s="806"/>
      <c r="O136" s="1058"/>
      <c r="P136" s="1058"/>
      <c r="Q136" s="1061"/>
      <c r="R136" s="1061"/>
    </row>
    <row r="137" ht="12.75" customHeight="1">
      <c r="A137" s="806"/>
      <c r="B137" s="1057"/>
      <c r="C137" s="1058"/>
      <c r="D137" s="1071"/>
      <c r="E137" s="1059"/>
      <c r="F137" s="806"/>
      <c r="G137" s="1077"/>
      <c r="H137" s="806"/>
      <c r="I137" s="1073"/>
      <c r="J137" s="806"/>
      <c r="K137" s="806"/>
      <c r="L137" s="1058"/>
      <c r="M137" s="806"/>
      <c r="N137" s="806"/>
      <c r="O137" s="1058"/>
      <c r="P137" s="1058"/>
      <c r="Q137" s="1061"/>
      <c r="R137" s="1061"/>
    </row>
    <row r="138" ht="12.75" customHeight="1">
      <c r="A138" s="806"/>
      <c r="B138" s="1057"/>
      <c r="C138" s="1058"/>
      <c r="D138" s="1071"/>
      <c r="E138" s="1059"/>
      <c r="F138" s="806"/>
      <c r="G138" s="1077"/>
      <c r="H138" s="806"/>
      <c r="I138" s="1073"/>
      <c r="J138" s="806"/>
      <c r="K138" s="806"/>
      <c r="L138" s="1058"/>
      <c r="M138" s="806"/>
      <c r="N138" s="806"/>
      <c r="O138" s="1058"/>
      <c r="P138" s="1058"/>
      <c r="Q138" s="1061"/>
      <c r="R138" s="1061"/>
    </row>
    <row r="139" ht="12.75" customHeight="1">
      <c r="A139" s="806"/>
      <c r="B139" s="1057"/>
      <c r="C139" s="1058"/>
      <c r="D139" s="1071"/>
      <c r="E139" s="1059"/>
      <c r="F139" s="806"/>
      <c r="G139" s="1077"/>
      <c r="H139" s="806"/>
      <c r="I139" s="1073"/>
      <c r="J139" s="806"/>
      <c r="K139" s="806"/>
      <c r="L139" s="1058"/>
      <c r="M139" s="806"/>
      <c r="N139" s="806"/>
      <c r="O139" s="1058"/>
      <c r="P139" s="1058"/>
      <c r="Q139" s="1061"/>
      <c r="R139" s="1061"/>
    </row>
    <row r="140" ht="12.75" customHeight="1">
      <c r="A140" s="806"/>
      <c r="B140" s="1057"/>
      <c r="C140" s="1058"/>
      <c r="D140" s="1071"/>
      <c r="E140" s="1059"/>
      <c r="F140" s="806"/>
      <c r="G140" s="1077"/>
      <c r="H140" s="806"/>
      <c r="I140" s="1073"/>
      <c r="J140" s="806"/>
      <c r="K140" s="806"/>
      <c r="L140" s="1058"/>
      <c r="M140" s="806"/>
      <c r="N140" s="806"/>
      <c r="O140" s="1058"/>
      <c r="P140" s="1058"/>
      <c r="Q140" s="1061"/>
      <c r="R140" s="1061"/>
    </row>
    <row r="141" ht="12.75" customHeight="1">
      <c r="A141" s="806"/>
      <c r="B141" s="1057"/>
      <c r="C141" s="1058"/>
      <c r="D141" s="1071"/>
      <c r="E141" s="1059"/>
      <c r="F141" s="806"/>
      <c r="G141" s="1077"/>
      <c r="H141" s="806"/>
      <c r="I141" s="1073"/>
      <c r="J141" s="806"/>
      <c r="K141" s="806"/>
      <c r="L141" s="1058"/>
      <c r="M141" s="806"/>
      <c r="N141" s="806"/>
      <c r="O141" s="1058"/>
      <c r="P141" s="1058"/>
      <c r="Q141" s="1061"/>
      <c r="R141" s="1061"/>
    </row>
    <row r="142" ht="12.75" hidden="1" customHeight="1">
      <c r="A142" s="806"/>
      <c r="B142" s="1057"/>
      <c r="C142" s="1058"/>
      <c r="D142" s="1071"/>
      <c r="E142" s="1059"/>
      <c r="F142" s="806"/>
      <c r="G142" s="1077"/>
      <c r="H142" s="806"/>
      <c r="I142" s="1073"/>
      <c r="J142" s="806"/>
      <c r="K142" s="806"/>
      <c r="L142" s="1058"/>
      <c r="M142" s="806"/>
      <c r="N142" s="806"/>
      <c r="O142" s="1058"/>
      <c r="P142" s="1058"/>
      <c r="Q142" s="1078"/>
      <c r="R142" s="1078"/>
    </row>
    <row r="143" ht="12.75" hidden="1" customHeight="1">
      <c r="A143" s="806"/>
      <c r="B143" s="1057"/>
      <c r="C143" s="1058"/>
      <c r="D143" s="1071"/>
      <c r="E143" s="1059"/>
      <c r="F143" s="806"/>
      <c r="G143" s="1077"/>
      <c r="H143" s="806"/>
      <c r="I143" s="1073"/>
      <c r="J143" s="806"/>
      <c r="K143" s="806"/>
      <c r="L143" s="1058"/>
      <c r="M143" s="806"/>
      <c r="N143" s="806"/>
      <c r="O143" s="1058"/>
      <c r="P143" s="1058"/>
      <c r="Q143" s="1078"/>
      <c r="R143" s="1078"/>
    </row>
    <row r="144" ht="12.75" hidden="1" customHeight="1">
      <c r="A144" s="806"/>
      <c r="B144" s="1057"/>
      <c r="C144" s="1058"/>
      <c r="D144" s="1071"/>
      <c r="E144" s="1059"/>
      <c r="F144" s="806"/>
      <c r="G144" s="1077"/>
      <c r="H144" s="806"/>
      <c r="I144" s="1073"/>
      <c r="J144" s="806"/>
      <c r="K144" s="806"/>
      <c r="L144" s="1058"/>
      <c r="M144" s="806"/>
      <c r="N144" s="806"/>
      <c r="O144" s="1058"/>
      <c r="P144" s="1058"/>
      <c r="Q144" s="1078"/>
      <c r="R144" s="1078"/>
    </row>
    <row r="145" ht="12.75" hidden="1" customHeight="1">
      <c r="A145" s="806"/>
      <c r="B145" s="1057"/>
      <c r="C145" s="1058"/>
      <c r="D145" s="1071"/>
      <c r="E145" s="1059"/>
      <c r="F145" s="806"/>
      <c r="G145" s="1077"/>
      <c r="H145" s="806"/>
      <c r="I145" s="1073"/>
      <c r="J145" s="806"/>
      <c r="K145" s="806"/>
      <c r="L145" s="1058"/>
      <c r="M145" s="806"/>
      <c r="N145" s="806"/>
      <c r="O145" s="1058"/>
      <c r="P145" s="1058"/>
      <c r="Q145" s="1078"/>
      <c r="R145" s="1078"/>
    </row>
    <row r="146" ht="12.75" hidden="1" customHeight="1">
      <c r="A146" s="806"/>
      <c r="B146" s="1057"/>
      <c r="C146" s="1058"/>
      <c r="D146" s="1071"/>
      <c r="E146" s="1059"/>
      <c r="F146" s="806"/>
      <c r="G146" s="1077"/>
      <c r="H146" s="806"/>
      <c r="I146" s="1073"/>
      <c r="J146" s="806"/>
      <c r="K146" s="806"/>
      <c r="L146" s="1058"/>
      <c r="M146" s="806"/>
      <c r="N146" s="806"/>
      <c r="O146" s="1058"/>
      <c r="P146" s="1058"/>
      <c r="Q146" s="1078"/>
      <c r="R146" s="1078"/>
    </row>
    <row r="147" ht="12.75" hidden="1" customHeight="1">
      <c r="A147" s="806"/>
      <c r="B147" s="1057"/>
      <c r="C147" s="1058"/>
      <c r="D147" s="1071"/>
      <c r="E147" s="1059"/>
      <c r="F147" s="806"/>
      <c r="G147" s="1077"/>
      <c r="H147" s="806"/>
      <c r="I147" s="1073"/>
      <c r="J147" s="806"/>
      <c r="K147" s="806"/>
      <c r="L147" s="1058"/>
      <c r="M147" s="806"/>
      <c r="N147" s="806"/>
      <c r="O147" s="1058"/>
      <c r="P147" s="1058"/>
      <c r="Q147" s="1078"/>
      <c r="R147" s="1078"/>
    </row>
    <row r="148" ht="12.75" hidden="1" customHeight="1">
      <c r="A148" s="806"/>
      <c r="B148" s="1057"/>
      <c r="C148" s="1058"/>
      <c r="D148" s="1071"/>
      <c r="E148" s="1059"/>
      <c r="F148" s="806"/>
      <c r="G148" s="1077"/>
      <c r="H148" s="806"/>
      <c r="I148" s="1073"/>
      <c r="J148" s="806"/>
      <c r="K148" s="806"/>
      <c r="L148" s="1058"/>
      <c r="M148" s="806"/>
      <c r="N148" s="806"/>
      <c r="O148" s="1058"/>
      <c r="P148" s="1058"/>
      <c r="Q148" s="1078"/>
      <c r="R148" s="1078"/>
    </row>
    <row r="149" ht="12.75" hidden="1" customHeight="1">
      <c r="A149" s="806"/>
      <c r="B149" s="1057"/>
      <c r="C149" s="1058"/>
      <c r="D149" s="1071"/>
      <c r="E149" s="1059"/>
      <c r="F149" s="806"/>
      <c r="G149" s="1077"/>
      <c r="H149" s="806"/>
      <c r="I149" s="1073"/>
      <c r="J149" s="806"/>
      <c r="K149" s="806"/>
      <c r="L149" s="1058"/>
      <c r="M149" s="806"/>
      <c r="N149" s="806"/>
      <c r="O149" s="1058"/>
      <c r="P149" s="1058"/>
      <c r="Q149" s="1078"/>
      <c r="R149" s="1078"/>
    </row>
    <row r="150" ht="12.75" hidden="1" customHeight="1">
      <c r="A150" s="806"/>
      <c r="B150" s="1057"/>
      <c r="C150" s="1058"/>
      <c r="D150" s="1059"/>
      <c r="E150" s="1059"/>
      <c r="F150" s="806"/>
      <c r="G150" s="806"/>
      <c r="H150" s="806"/>
      <c r="I150" s="1057"/>
      <c r="J150" s="806"/>
      <c r="K150" s="806"/>
      <c r="L150" s="1058"/>
      <c r="M150" s="806"/>
      <c r="N150" s="806"/>
      <c r="O150" s="1058"/>
      <c r="P150" s="1058"/>
      <c r="Q150" s="1078"/>
      <c r="R150" s="1078"/>
    </row>
    <row r="151" ht="12.75" customHeight="1">
      <c r="A151" s="806"/>
      <c r="B151" s="1057"/>
      <c r="C151" s="1058"/>
      <c r="D151" s="1059"/>
      <c r="E151" s="1059"/>
      <c r="F151" s="806"/>
      <c r="G151" s="806"/>
      <c r="H151" s="806"/>
      <c r="I151" s="1057"/>
      <c r="J151" s="806"/>
      <c r="K151" s="806"/>
      <c r="L151" s="1058"/>
      <c r="M151" s="806"/>
      <c r="N151" s="806"/>
      <c r="O151" s="1058"/>
      <c r="P151" s="1058"/>
      <c r="Q151" s="1078"/>
      <c r="R151" s="1078"/>
    </row>
    <row r="152" ht="12.75" hidden="1" customHeight="1">
      <c r="A152" s="806"/>
      <c r="B152" s="1057"/>
      <c r="C152" s="1057" t="s">
        <v>4580</v>
      </c>
      <c r="D152" s="1059"/>
      <c r="E152" s="1059"/>
      <c r="F152" s="806"/>
      <c r="G152" s="806"/>
      <c r="H152" s="806"/>
      <c r="I152" s="1057"/>
      <c r="J152" s="806"/>
      <c r="K152" s="806"/>
      <c r="L152" s="1058"/>
      <c r="M152" s="806"/>
      <c r="N152" s="806"/>
      <c r="O152" s="1058"/>
      <c r="P152" s="1058"/>
      <c r="Q152" s="1078"/>
      <c r="R152" s="1078"/>
    </row>
    <row r="153" ht="12.75" customHeight="1">
      <c r="A153" s="806"/>
      <c r="B153" s="1057"/>
      <c r="C153" s="1057"/>
      <c r="D153" s="1079"/>
      <c r="E153" s="1059"/>
      <c r="F153" s="806"/>
      <c r="G153" s="1080"/>
      <c r="H153" s="806"/>
      <c r="I153" s="1080"/>
      <c r="J153" s="806"/>
      <c r="K153" s="806"/>
      <c r="L153" s="1058"/>
      <c r="M153" s="806"/>
      <c r="N153" s="806"/>
      <c r="O153" s="1081"/>
      <c r="P153" s="1057"/>
      <c r="Q153" s="1061"/>
      <c r="R153" s="1061"/>
    </row>
    <row r="154" ht="12.75" hidden="1" customHeight="1">
      <c r="A154" s="806"/>
      <c r="B154" s="1057"/>
      <c r="C154" s="1057" t="s">
        <v>7205</v>
      </c>
      <c r="D154" s="1079"/>
      <c r="E154" s="1059"/>
      <c r="F154" s="806"/>
      <c r="G154" s="1080"/>
      <c r="H154" s="806"/>
      <c r="I154" s="1080"/>
      <c r="J154" s="806"/>
      <c r="K154" s="806"/>
      <c r="L154" s="1058"/>
      <c r="M154" s="806"/>
      <c r="N154" s="806"/>
      <c r="O154" s="1081"/>
      <c r="P154" s="1057"/>
      <c r="Q154" s="1061"/>
      <c r="R154" s="1061"/>
    </row>
    <row r="155" ht="12.75" customHeight="1">
      <c r="A155" s="1049" t="s">
        <v>7206</v>
      </c>
      <c r="B155" s="1050" t="s">
        <v>6797</v>
      </c>
      <c r="C155" s="1051">
        <f>COUNTA($B$156:$B$188)</f>
        <v>27</v>
      </c>
      <c r="D155" s="1052"/>
      <c r="E155" s="1052"/>
      <c r="F155" s="1053"/>
      <c r="G155" s="1054"/>
      <c r="H155" s="1053"/>
      <c r="I155" s="1051"/>
      <c r="J155" s="1053"/>
      <c r="K155" s="1053"/>
      <c r="L155" s="1055"/>
      <c r="M155" s="1053"/>
      <c r="N155" s="1053"/>
      <c r="O155" s="1055"/>
      <c r="P155" s="1055"/>
      <c r="Q155" s="1056"/>
      <c r="R155" s="1056"/>
    </row>
    <row r="156" ht="12.75" customHeight="1">
      <c r="A156" s="806">
        <v>1.0</v>
      </c>
      <c r="B156" s="1057" t="s">
        <v>6798</v>
      </c>
      <c r="C156" s="1057"/>
      <c r="D156" s="1058"/>
      <c r="E156" s="1059" t="s">
        <v>5810</v>
      </c>
      <c r="F156" s="806" t="s">
        <v>1590</v>
      </c>
      <c r="G156" s="1082" t="s">
        <v>3014</v>
      </c>
      <c r="H156" s="1082" t="s">
        <v>7153</v>
      </c>
      <c r="I156" s="1083"/>
      <c r="J156" s="1084" t="s">
        <v>7207</v>
      </c>
      <c r="K156" s="806" t="s">
        <v>740</v>
      </c>
      <c r="L156" s="1058"/>
      <c r="M156" s="1084" t="s">
        <v>7162</v>
      </c>
      <c r="N156" s="806" t="s">
        <v>7163</v>
      </c>
      <c r="O156" s="1080" t="s">
        <v>7208</v>
      </c>
      <c r="P156" s="1058"/>
      <c r="Q156" s="1061">
        <v>0.5</v>
      </c>
      <c r="R156" s="1061"/>
    </row>
    <row r="157" ht="12.75" customHeight="1">
      <c r="A157" s="806">
        <f t="shared" ref="A157:A182" si="3">A156+1</f>
        <v>2</v>
      </c>
      <c r="B157" s="1057" t="s">
        <v>6800</v>
      </c>
      <c r="C157" s="1057"/>
      <c r="D157" s="1058"/>
      <c r="E157" s="1059" t="s">
        <v>5810</v>
      </c>
      <c r="F157" s="806" t="s">
        <v>1590</v>
      </c>
      <c r="G157" s="1082" t="s">
        <v>3014</v>
      </c>
      <c r="H157" s="1082" t="s">
        <v>7153</v>
      </c>
      <c r="I157" s="1085"/>
      <c r="J157" s="1084" t="s">
        <v>7207</v>
      </c>
      <c r="K157" s="806" t="s">
        <v>740</v>
      </c>
      <c r="L157" s="1058"/>
      <c r="M157" s="1084" t="s">
        <v>7162</v>
      </c>
      <c r="N157" s="806" t="s">
        <v>7163</v>
      </c>
      <c r="O157" s="1080" t="s">
        <v>7208</v>
      </c>
      <c r="P157" s="1058"/>
      <c r="Q157" s="1061">
        <v>0.5</v>
      </c>
      <c r="R157" s="1061"/>
    </row>
    <row r="158" ht="12.75" customHeight="1">
      <c r="A158" s="806">
        <f t="shared" si="3"/>
        <v>3</v>
      </c>
      <c r="B158" s="1057" t="s">
        <v>6801</v>
      </c>
      <c r="C158" s="1057"/>
      <c r="D158" s="1058"/>
      <c r="E158" s="1059" t="s">
        <v>5810</v>
      </c>
      <c r="F158" s="806" t="s">
        <v>1590</v>
      </c>
      <c r="G158" s="1086" t="s">
        <v>7209</v>
      </c>
      <c r="H158" s="1082" t="s">
        <v>7153</v>
      </c>
      <c r="I158" s="1085"/>
      <c r="J158" s="806" t="s">
        <v>1093</v>
      </c>
      <c r="K158" s="806" t="s">
        <v>883</v>
      </c>
      <c r="L158" s="1058"/>
      <c r="M158" s="806" t="s">
        <v>7210</v>
      </c>
      <c r="N158" s="806" t="s">
        <v>7211</v>
      </c>
      <c r="O158" s="1080" t="s">
        <v>7212</v>
      </c>
      <c r="P158" s="1058"/>
      <c r="Q158" s="1061">
        <v>0.5</v>
      </c>
      <c r="R158" s="1061"/>
    </row>
    <row r="159" ht="12.75" customHeight="1">
      <c r="A159" s="806">
        <f t="shared" si="3"/>
        <v>4</v>
      </c>
      <c r="B159" s="1057" t="s">
        <v>6802</v>
      </c>
      <c r="C159" s="1057"/>
      <c r="D159" s="1058"/>
      <c r="E159" s="1059" t="s">
        <v>5810</v>
      </c>
      <c r="F159" s="806" t="s">
        <v>1590</v>
      </c>
      <c r="G159" s="1086" t="s">
        <v>7209</v>
      </c>
      <c r="H159" s="1082" t="s">
        <v>7153</v>
      </c>
      <c r="I159" s="1085"/>
      <c r="J159" s="806" t="s">
        <v>1093</v>
      </c>
      <c r="K159" s="806" t="s">
        <v>883</v>
      </c>
      <c r="L159" s="1058"/>
      <c r="M159" s="806" t="s">
        <v>7210</v>
      </c>
      <c r="N159" s="806" t="s">
        <v>7211</v>
      </c>
      <c r="O159" s="1080" t="s">
        <v>7213</v>
      </c>
      <c r="P159" s="1058"/>
      <c r="Q159" s="1061">
        <v>0.5</v>
      </c>
      <c r="R159" s="1061"/>
    </row>
    <row r="160" ht="12.75" customHeight="1">
      <c r="A160" s="806">
        <f t="shared" si="3"/>
        <v>5</v>
      </c>
      <c r="B160" s="1057" t="s">
        <v>6803</v>
      </c>
      <c r="C160" s="1057"/>
      <c r="D160" s="1058"/>
      <c r="E160" s="1059" t="s">
        <v>5810</v>
      </c>
      <c r="F160" s="806" t="s">
        <v>1590</v>
      </c>
      <c r="G160" s="1086" t="s">
        <v>7209</v>
      </c>
      <c r="H160" s="1082" t="s">
        <v>7153</v>
      </c>
      <c r="I160" s="1085"/>
      <c r="J160" s="806" t="s">
        <v>1093</v>
      </c>
      <c r="K160" s="806" t="s">
        <v>883</v>
      </c>
      <c r="L160" s="1058"/>
      <c r="M160" s="806" t="s">
        <v>7210</v>
      </c>
      <c r="N160" s="806" t="s">
        <v>7211</v>
      </c>
      <c r="O160" s="1080" t="s">
        <v>7214</v>
      </c>
      <c r="P160" s="1058"/>
      <c r="Q160" s="1061">
        <v>0.5</v>
      </c>
      <c r="R160" s="1061"/>
    </row>
    <row r="161" ht="12.75" customHeight="1">
      <c r="A161" s="806">
        <f t="shared" si="3"/>
        <v>6</v>
      </c>
      <c r="B161" s="1057" t="s">
        <v>6804</v>
      </c>
      <c r="C161" s="1057"/>
      <c r="D161" s="1058"/>
      <c r="E161" s="1059" t="s">
        <v>5810</v>
      </c>
      <c r="F161" s="806" t="s">
        <v>1590</v>
      </c>
      <c r="G161" s="1086" t="s">
        <v>7209</v>
      </c>
      <c r="H161" s="1082" t="s">
        <v>7153</v>
      </c>
      <c r="I161" s="1085"/>
      <c r="J161" s="806" t="s">
        <v>1093</v>
      </c>
      <c r="K161" s="806" t="s">
        <v>883</v>
      </c>
      <c r="L161" s="1058"/>
      <c r="M161" s="806" t="s">
        <v>7210</v>
      </c>
      <c r="N161" s="806" t="s">
        <v>7211</v>
      </c>
      <c r="O161" s="1080" t="s">
        <v>7215</v>
      </c>
      <c r="P161" s="1058"/>
      <c r="Q161" s="1061">
        <v>0.5</v>
      </c>
      <c r="R161" s="1061"/>
    </row>
    <row r="162" ht="12.75" customHeight="1">
      <c r="A162" s="806">
        <f t="shared" si="3"/>
        <v>7</v>
      </c>
      <c r="B162" s="1057" t="s">
        <v>6805</v>
      </c>
      <c r="C162" s="1057"/>
      <c r="D162" s="1058"/>
      <c r="E162" s="1059" t="s">
        <v>5810</v>
      </c>
      <c r="F162" s="806" t="s">
        <v>1590</v>
      </c>
      <c r="G162" s="1086" t="s">
        <v>7209</v>
      </c>
      <c r="H162" s="1082" t="s">
        <v>7153</v>
      </c>
      <c r="I162" s="1085"/>
      <c r="J162" s="806" t="s">
        <v>1093</v>
      </c>
      <c r="K162" s="806" t="s">
        <v>883</v>
      </c>
      <c r="L162" s="1058"/>
      <c r="M162" s="806" t="s">
        <v>7210</v>
      </c>
      <c r="N162" s="806" t="s">
        <v>7211</v>
      </c>
      <c r="O162" s="1080" t="s">
        <v>7216</v>
      </c>
      <c r="P162" s="1058"/>
      <c r="Q162" s="1061">
        <v>0.5</v>
      </c>
      <c r="R162" s="1061"/>
    </row>
    <row r="163" ht="12.75" customHeight="1">
      <c r="A163" s="806">
        <f t="shared" si="3"/>
        <v>8</v>
      </c>
      <c r="B163" s="1057" t="s">
        <v>6806</v>
      </c>
      <c r="C163" s="1057"/>
      <c r="D163" s="1058"/>
      <c r="E163" s="1059" t="s">
        <v>5810</v>
      </c>
      <c r="F163" s="806" t="s">
        <v>1590</v>
      </c>
      <c r="G163" s="1086" t="s">
        <v>7209</v>
      </c>
      <c r="H163" s="1082" t="s">
        <v>7153</v>
      </c>
      <c r="I163" s="1085"/>
      <c r="J163" s="806" t="s">
        <v>1093</v>
      </c>
      <c r="K163" s="806" t="s">
        <v>883</v>
      </c>
      <c r="L163" s="1058"/>
      <c r="M163" s="806" t="s">
        <v>7210</v>
      </c>
      <c r="N163" s="806" t="s">
        <v>7211</v>
      </c>
      <c r="O163" s="1080" t="s">
        <v>7217</v>
      </c>
      <c r="P163" s="1058"/>
      <c r="Q163" s="1061">
        <v>0.5</v>
      </c>
      <c r="R163" s="1061"/>
    </row>
    <row r="164" ht="12.75" customHeight="1">
      <c r="A164" s="806">
        <f t="shared" si="3"/>
        <v>9</v>
      </c>
      <c r="B164" s="1057" t="s">
        <v>6807</v>
      </c>
      <c r="C164" s="1057"/>
      <c r="D164" s="1058"/>
      <c r="E164" s="1059" t="s">
        <v>5810</v>
      </c>
      <c r="F164" s="806" t="s">
        <v>1590</v>
      </c>
      <c r="G164" s="1086" t="s">
        <v>7209</v>
      </c>
      <c r="H164" s="1082" t="s">
        <v>7153</v>
      </c>
      <c r="I164" s="1085"/>
      <c r="J164" s="806" t="s">
        <v>1093</v>
      </c>
      <c r="K164" s="806" t="s">
        <v>883</v>
      </c>
      <c r="L164" s="1058"/>
      <c r="M164" s="806" t="s">
        <v>7210</v>
      </c>
      <c r="N164" s="806" t="s">
        <v>7211</v>
      </c>
      <c r="O164" s="1080" t="s">
        <v>7218</v>
      </c>
      <c r="P164" s="1058"/>
      <c r="Q164" s="1061">
        <v>0.5</v>
      </c>
      <c r="R164" s="1061"/>
    </row>
    <row r="165" ht="12.75" customHeight="1">
      <c r="A165" s="806">
        <f t="shared" si="3"/>
        <v>10</v>
      </c>
      <c r="B165" s="1057" t="s">
        <v>6808</v>
      </c>
      <c r="C165" s="1057"/>
      <c r="D165" s="1058"/>
      <c r="E165" s="1059" t="s">
        <v>5955</v>
      </c>
      <c r="F165" s="806" t="s">
        <v>1590</v>
      </c>
      <c r="G165" s="1087">
        <v>45968.0</v>
      </c>
      <c r="H165" s="1082" t="s">
        <v>7153</v>
      </c>
      <c r="I165" s="1085"/>
      <c r="J165" s="806" t="s">
        <v>7172</v>
      </c>
      <c r="K165" s="806" t="s">
        <v>883</v>
      </c>
      <c r="L165" s="1058"/>
      <c r="M165" s="806" t="s">
        <v>7156</v>
      </c>
      <c r="N165" s="806" t="s">
        <v>7157</v>
      </c>
      <c r="O165" s="1080"/>
      <c r="P165" s="1058"/>
      <c r="Q165" s="1078"/>
      <c r="R165" s="1078"/>
    </row>
    <row r="166" ht="12.75" customHeight="1">
      <c r="A166" s="806">
        <f t="shared" si="3"/>
        <v>11</v>
      </c>
      <c r="B166" s="1057" t="s">
        <v>6809</v>
      </c>
      <c r="C166" s="1057"/>
      <c r="D166" s="1058"/>
      <c r="E166" s="1059" t="s">
        <v>5955</v>
      </c>
      <c r="F166" s="806" t="s">
        <v>1590</v>
      </c>
      <c r="G166" s="1087">
        <v>45968.0</v>
      </c>
      <c r="H166" s="1082" t="s">
        <v>7153</v>
      </c>
      <c r="I166" s="1085"/>
      <c r="J166" s="806" t="s">
        <v>7172</v>
      </c>
      <c r="K166" s="806" t="s">
        <v>883</v>
      </c>
      <c r="L166" s="1058"/>
      <c r="M166" s="806" t="s">
        <v>7156</v>
      </c>
      <c r="N166" s="806" t="s">
        <v>7157</v>
      </c>
      <c r="O166" s="1080"/>
      <c r="P166" s="1058"/>
      <c r="Q166" s="1078"/>
      <c r="R166" s="1078"/>
    </row>
    <row r="167" ht="12.75" customHeight="1">
      <c r="A167" s="806">
        <f t="shared" si="3"/>
        <v>12</v>
      </c>
      <c r="B167" s="1057" t="s">
        <v>6810</v>
      </c>
      <c r="C167" s="1057"/>
      <c r="D167" s="1058"/>
      <c r="E167" s="1059" t="s">
        <v>5955</v>
      </c>
      <c r="F167" s="806" t="s">
        <v>1590</v>
      </c>
      <c r="G167" s="1087">
        <v>45968.0</v>
      </c>
      <c r="H167" s="1082" t="s">
        <v>7153</v>
      </c>
      <c r="I167" s="1085"/>
      <c r="J167" s="806" t="s">
        <v>7172</v>
      </c>
      <c r="K167" s="806" t="s">
        <v>883</v>
      </c>
      <c r="L167" s="1058"/>
      <c r="M167" s="806" t="s">
        <v>7156</v>
      </c>
      <c r="N167" s="806" t="s">
        <v>7157</v>
      </c>
      <c r="O167" s="1080"/>
      <c r="P167" s="1058"/>
      <c r="Q167" s="1078"/>
      <c r="R167" s="1078"/>
    </row>
    <row r="168" ht="12.75" customHeight="1">
      <c r="A168" s="806">
        <f t="shared" si="3"/>
        <v>13</v>
      </c>
      <c r="B168" s="1057" t="s">
        <v>6811</v>
      </c>
      <c r="C168" s="1057"/>
      <c r="D168" s="1058"/>
      <c r="E168" s="1059" t="s">
        <v>5955</v>
      </c>
      <c r="F168" s="806" t="s">
        <v>1590</v>
      </c>
      <c r="G168" s="1087">
        <v>45968.0</v>
      </c>
      <c r="H168" s="1082" t="s">
        <v>7153</v>
      </c>
      <c r="I168" s="1085"/>
      <c r="J168" s="806" t="s">
        <v>7172</v>
      </c>
      <c r="K168" s="806" t="s">
        <v>883</v>
      </c>
      <c r="L168" s="1058"/>
      <c r="M168" s="806" t="s">
        <v>7156</v>
      </c>
      <c r="N168" s="806" t="s">
        <v>7157</v>
      </c>
      <c r="O168" s="1080"/>
      <c r="P168" s="1058"/>
      <c r="Q168" s="1078"/>
      <c r="R168" s="1078"/>
    </row>
    <row r="169" ht="12.75" customHeight="1">
      <c r="A169" s="806">
        <f t="shared" si="3"/>
        <v>14</v>
      </c>
      <c r="B169" s="1057" t="s">
        <v>6812</v>
      </c>
      <c r="C169" s="1057"/>
      <c r="D169" s="1058"/>
      <c r="E169" s="1059" t="s">
        <v>5955</v>
      </c>
      <c r="F169" s="806" t="s">
        <v>1590</v>
      </c>
      <c r="G169" s="1087">
        <v>45968.0</v>
      </c>
      <c r="H169" s="1082" t="s">
        <v>7153</v>
      </c>
      <c r="I169" s="1085"/>
      <c r="J169" s="806" t="s">
        <v>7172</v>
      </c>
      <c r="K169" s="806" t="s">
        <v>883</v>
      </c>
      <c r="L169" s="1058"/>
      <c r="M169" s="806" t="s">
        <v>7156</v>
      </c>
      <c r="N169" s="806" t="s">
        <v>7157</v>
      </c>
      <c r="O169" s="1080"/>
      <c r="P169" s="1058"/>
      <c r="Q169" s="1078"/>
      <c r="R169" s="1078"/>
    </row>
    <row r="170" ht="12.75" customHeight="1">
      <c r="A170" s="806">
        <f t="shared" si="3"/>
        <v>15</v>
      </c>
      <c r="B170" s="1057" t="s">
        <v>6813</v>
      </c>
      <c r="C170" s="1057"/>
      <c r="D170" s="1058"/>
      <c r="E170" s="1059" t="s">
        <v>5955</v>
      </c>
      <c r="F170" s="806" t="s">
        <v>1590</v>
      </c>
      <c r="G170" s="1087">
        <v>45968.0</v>
      </c>
      <c r="H170" s="1082" t="s">
        <v>7153</v>
      </c>
      <c r="I170" s="1085"/>
      <c r="J170" s="806" t="s">
        <v>7172</v>
      </c>
      <c r="K170" s="806" t="s">
        <v>883</v>
      </c>
      <c r="L170" s="1058"/>
      <c r="M170" s="806" t="s">
        <v>7156</v>
      </c>
      <c r="N170" s="806" t="s">
        <v>7157</v>
      </c>
      <c r="O170" s="1080"/>
      <c r="P170" s="1058"/>
      <c r="Q170" s="1078"/>
      <c r="R170" s="1078"/>
    </row>
    <row r="171" ht="12.75" customHeight="1">
      <c r="A171" s="806">
        <f t="shared" si="3"/>
        <v>16</v>
      </c>
      <c r="B171" s="1057" t="s">
        <v>6814</v>
      </c>
      <c r="C171" s="1057"/>
      <c r="D171" s="1058"/>
      <c r="E171" s="1059" t="s">
        <v>5955</v>
      </c>
      <c r="F171" s="806" t="s">
        <v>1590</v>
      </c>
      <c r="G171" s="1087">
        <v>45968.0</v>
      </c>
      <c r="H171" s="1082" t="s">
        <v>7153</v>
      </c>
      <c r="I171" s="1085"/>
      <c r="J171" s="806" t="s">
        <v>7172</v>
      </c>
      <c r="K171" s="806" t="s">
        <v>883</v>
      </c>
      <c r="L171" s="1058"/>
      <c r="M171" s="806" t="s">
        <v>7156</v>
      </c>
      <c r="N171" s="806" t="s">
        <v>7157</v>
      </c>
      <c r="O171" s="1080"/>
      <c r="P171" s="1058"/>
      <c r="Q171" s="1078"/>
      <c r="R171" s="1078"/>
    </row>
    <row r="172" ht="12.75" customHeight="1">
      <c r="A172" s="806">
        <f t="shared" si="3"/>
        <v>17</v>
      </c>
      <c r="B172" s="1057" t="s">
        <v>6815</v>
      </c>
      <c r="C172" s="1057"/>
      <c r="D172" s="1058"/>
      <c r="E172" s="1059" t="s">
        <v>5955</v>
      </c>
      <c r="F172" s="806" t="s">
        <v>1590</v>
      </c>
      <c r="G172" s="1087">
        <v>45968.0</v>
      </c>
      <c r="H172" s="1082" t="s">
        <v>7153</v>
      </c>
      <c r="I172" s="1085"/>
      <c r="J172" s="806" t="s">
        <v>7172</v>
      </c>
      <c r="K172" s="806" t="s">
        <v>883</v>
      </c>
      <c r="L172" s="1058"/>
      <c r="M172" s="806" t="s">
        <v>7156</v>
      </c>
      <c r="N172" s="806" t="s">
        <v>7157</v>
      </c>
      <c r="O172" s="1080"/>
      <c r="P172" s="1058"/>
      <c r="Q172" s="1078"/>
      <c r="R172" s="1078"/>
    </row>
    <row r="173" ht="12.75" customHeight="1">
      <c r="A173" s="806">
        <f t="shared" si="3"/>
        <v>18</v>
      </c>
      <c r="B173" s="1057" t="s">
        <v>6816</v>
      </c>
      <c r="C173" s="1057"/>
      <c r="D173" s="1058"/>
      <c r="E173" s="1059" t="s">
        <v>5955</v>
      </c>
      <c r="F173" s="806" t="s">
        <v>1590</v>
      </c>
      <c r="G173" s="1087">
        <v>45968.0</v>
      </c>
      <c r="H173" s="1082" t="s">
        <v>7153</v>
      </c>
      <c r="I173" s="1085"/>
      <c r="J173" s="806" t="s">
        <v>7172</v>
      </c>
      <c r="K173" s="806" t="s">
        <v>883</v>
      </c>
      <c r="L173" s="1058"/>
      <c r="M173" s="806" t="s">
        <v>7156</v>
      </c>
      <c r="N173" s="806" t="s">
        <v>7157</v>
      </c>
      <c r="O173" s="1080"/>
      <c r="P173" s="1058"/>
      <c r="Q173" s="1078"/>
      <c r="R173" s="1078"/>
    </row>
    <row r="174" ht="12.75" customHeight="1">
      <c r="A174" s="806">
        <f t="shared" si="3"/>
        <v>19</v>
      </c>
      <c r="B174" s="1057" t="s">
        <v>6817</v>
      </c>
      <c r="C174" s="1057"/>
      <c r="D174" s="1058"/>
      <c r="E174" s="1059" t="s">
        <v>5955</v>
      </c>
      <c r="F174" s="806" t="s">
        <v>1590</v>
      </c>
      <c r="G174" s="1087">
        <v>45968.0</v>
      </c>
      <c r="H174" s="1082" t="s">
        <v>7153</v>
      </c>
      <c r="I174" s="1085"/>
      <c r="J174" s="806" t="s">
        <v>7172</v>
      </c>
      <c r="K174" s="806" t="s">
        <v>883</v>
      </c>
      <c r="L174" s="1058"/>
      <c r="M174" s="806" t="s">
        <v>7156</v>
      </c>
      <c r="N174" s="806" t="s">
        <v>7157</v>
      </c>
      <c r="O174" s="1080"/>
      <c r="P174" s="1058"/>
      <c r="Q174" s="1078"/>
      <c r="R174" s="1078"/>
    </row>
    <row r="175" ht="12.75" customHeight="1">
      <c r="A175" s="806">
        <f t="shared" si="3"/>
        <v>20</v>
      </c>
      <c r="B175" s="1057" t="s">
        <v>6818</v>
      </c>
      <c r="C175" s="1057"/>
      <c r="D175" s="1058"/>
      <c r="E175" s="1059" t="s">
        <v>5955</v>
      </c>
      <c r="F175" s="806" t="s">
        <v>1590</v>
      </c>
      <c r="G175" s="1087">
        <v>45968.0</v>
      </c>
      <c r="H175" s="1082" t="s">
        <v>7153</v>
      </c>
      <c r="I175" s="1085"/>
      <c r="J175" s="806" t="s">
        <v>7172</v>
      </c>
      <c r="K175" s="806" t="s">
        <v>883</v>
      </c>
      <c r="L175" s="1058"/>
      <c r="M175" s="806" t="s">
        <v>7156</v>
      </c>
      <c r="N175" s="806" t="s">
        <v>7157</v>
      </c>
      <c r="O175" s="1080"/>
      <c r="P175" s="1058"/>
      <c r="Q175" s="1078"/>
      <c r="R175" s="1078"/>
    </row>
    <row r="176" ht="12.75" customHeight="1">
      <c r="A176" s="806">
        <f t="shared" si="3"/>
        <v>21</v>
      </c>
      <c r="B176" s="1057" t="s">
        <v>6819</v>
      </c>
      <c r="C176" s="1057"/>
      <c r="D176" s="1058"/>
      <c r="E176" s="1059" t="s">
        <v>5955</v>
      </c>
      <c r="F176" s="806" t="s">
        <v>1590</v>
      </c>
      <c r="G176" s="1087">
        <v>45968.0</v>
      </c>
      <c r="H176" s="1082" t="s">
        <v>7153</v>
      </c>
      <c r="I176" s="1085"/>
      <c r="J176" s="806" t="s">
        <v>7172</v>
      </c>
      <c r="K176" s="806" t="s">
        <v>883</v>
      </c>
      <c r="L176" s="1058"/>
      <c r="M176" s="806" t="s">
        <v>7156</v>
      </c>
      <c r="N176" s="806" t="s">
        <v>7157</v>
      </c>
      <c r="O176" s="1080"/>
      <c r="P176" s="1058"/>
      <c r="Q176" s="1078"/>
      <c r="R176" s="1078"/>
    </row>
    <row r="177" ht="12.75" customHeight="1">
      <c r="A177" s="806">
        <f t="shared" si="3"/>
        <v>22</v>
      </c>
      <c r="B177" s="1057" t="s">
        <v>6820</v>
      </c>
      <c r="C177" s="1057"/>
      <c r="D177" s="1058"/>
      <c r="E177" s="1059" t="s">
        <v>5955</v>
      </c>
      <c r="F177" s="806" t="s">
        <v>1590</v>
      </c>
      <c r="G177" s="1087">
        <v>45968.0</v>
      </c>
      <c r="H177" s="1082" t="s">
        <v>7153</v>
      </c>
      <c r="I177" s="1085"/>
      <c r="J177" s="806" t="s">
        <v>7172</v>
      </c>
      <c r="K177" s="806" t="s">
        <v>883</v>
      </c>
      <c r="L177" s="1058"/>
      <c r="M177" s="806" t="s">
        <v>7156</v>
      </c>
      <c r="N177" s="806" t="s">
        <v>7157</v>
      </c>
      <c r="O177" s="1080"/>
      <c r="P177" s="1058"/>
      <c r="Q177" s="1078"/>
      <c r="R177" s="1078"/>
    </row>
    <row r="178" ht="12.75" customHeight="1">
      <c r="A178" s="806">
        <f t="shared" si="3"/>
        <v>23</v>
      </c>
      <c r="B178" s="1057" t="s">
        <v>6821</v>
      </c>
      <c r="C178" s="1057"/>
      <c r="D178" s="1058"/>
      <c r="E178" s="1059" t="s">
        <v>5955</v>
      </c>
      <c r="F178" s="806" t="s">
        <v>1590</v>
      </c>
      <c r="G178" s="1087">
        <v>45968.0</v>
      </c>
      <c r="H178" s="1082" t="s">
        <v>7153</v>
      </c>
      <c r="I178" s="1085"/>
      <c r="J178" s="806" t="s">
        <v>7172</v>
      </c>
      <c r="K178" s="806" t="s">
        <v>883</v>
      </c>
      <c r="L178" s="1058"/>
      <c r="M178" s="806" t="s">
        <v>7156</v>
      </c>
      <c r="N178" s="806" t="s">
        <v>7157</v>
      </c>
      <c r="O178" s="1080"/>
      <c r="P178" s="1058"/>
      <c r="Q178" s="1078"/>
      <c r="R178" s="1078"/>
    </row>
    <row r="179" ht="12.75" customHeight="1">
      <c r="A179" s="806">
        <f t="shared" si="3"/>
        <v>24</v>
      </c>
      <c r="B179" s="1057" t="s">
        <v>6822</v>
      </c>
      <c r="C179" s="1057"/>
      <c r="D179" s="1058"/>
      <c r="E179" s="1059" t="s">
        <v>5955</v>
      </c>
      <c r="F179" s="806" t="s">
        <v>1590</v>
      </c>
      <c r="G179" s="1087">
        <v>45968.0</v>
      </c>
      <c r="H179" s="1082" t="s">
        <v>7153</v>
      </c>
      <c r="I179" s="1085"/>
      <c r="J179" s="806" t="s">
        <v>7172</v>
      </c>
      <c r="K179" s="806" t="s">
        <v>883</v>
      </c>
      <c r="L179" s="1058"/>
      <c r="M179" s="806" t="s">
        <v>7156</v>
      </c>
      <c r="N179" s="806" t="s">
        <v>7157</v>
      </c>
      <c r="O179" s="1080"/>
      <c r="P179" s="1058"/>
      <c r="Q179" s="1078"/>
      <c r="R179" s="1078"/>
    </row>
    <row r="180" ht="12.75" customHeight="1">
      <c r="A180" s="806">
        <f t="shared" si="3"/>
        <v>25</v>
      </c>
      <c r="B180" s="1057" t="s">
        <v>6823</v>
      </c>
      <c r="C180" s="1057"/>
      <c r="D180" s="1058"/>
      <c r="E180" s="1059" t="s">
        <v>5955</v>
      </c>
      <c r="F180" s="806" t="s">
        <v>1590</v>
      </c>
      <c r="G180" s="1086" t="s">
        <v>7219</v>
      </c>
      <c r="H180" s="1082" t="s">
        <v>7153</v>
      </c>
      <c r="I180" s="1085"/>
      <c r="J180" s="806" t="s">
        <v>7172</v>
      </c>
      <c r="K180" s="806" t="s">
        <v>883</v>
      </c>
      <c r="L180" s="1058"/>
      <c r="M180" s="806" t="s">
        <v>7156</v>
      </c>
      <c r="N180" s="806" t="s">
        <v>7157</v>
      </c>
      <c r="O180" s="1080"/>
      <c r="P180" s="1058"/>
      <c r="Q180" s="1078"/>
      <c r="R180" s="1078"/>
    </row>
    <row r="181" ht="12.75" customHeight="1">
      <c r="A181" s="806">
        <f t="shared" si="3"/>
        <v>26</v>
      </c>
      <c r="B181" s="1057" t="s">
        <v>6824</v>
      </c>
      <c r="C181" s="1057"/>
      <c r="D181" s="1058"/>
      <c r="E181" s="1059" t="s">
        <v>5955</v>
      </c>
      <c r="F181" s="806" t="s">
        <v>1590</v>
      </c>
      <c r="G181" s="1086" t="s">
        <v>7219</v>
      </c>
      <c r="H181" s="1082" t="s">
        <v>7153</v>
      </c>
      <c r="I181" s="1085"/>
      <c r="J181" s="806" t="s">
        <v>7172</v>
      </c>
      <c r="K181" s="806" t="s">
        <v>883</v>
      </c>
      <c r="L181" s="1058"/>
      <c r="M181" s="806" t="s">
        <v>7156</v>
      </c>
      <c r="N181" s="806" t="s">
        <v>7157</v>
      </c>
      <c r="O181" s="1080"/>
      <c r="P181" s="1058"/>
      <c r="Q181" s="1078"/>
      <c r="R181" s="1078"/>
    </row>
    <row r="182" ht="12.75" customHeight="1">
      <c r="A182" s="806">
        <f t="shared" si="3"/>
        <v>27</v>
      </c>
      <c r="B182" s="1057" t="s">
        <v>6825</v>
      </c>
      <c r="C182" s="1057"/>
      <c r="D182" s="1058"/>
      <c r="E182" s="1059" t="s">
        <v>5955</v>
      </c>
      <c r="F182" s="806" t="s">
        <v>1590</v>
      </c>
      <c r="G182" s="1086" t="s">
        <v>7219</v>
      </c>
      <c r="H182" s="1082" t="s">
        <v>7153</v>
      </c>
      <c r="I182" s="1085"/>
      <c r="J182" s="806" t="s">
        <v>7172</v>
      </c>
      <c r="K182" s="806" t="s">
        <v>883</v>
      </c>
      <c r="L182" s="1058"/>
      <c r="M182" s="806" t="s">
        <v>7173</v>
      </c>
      <c r="N182" s="806" t="s">
        <v>7157</v>
      </c>
      <c r="O182" s="1080"/>
      <c r="P182" s="1058"/>
      <c r="Q182" s="1078"/>
      <c r="R182" s="1078"/>
    </row>
    <row r="183" ht="12.75" customHeight="1">
      <c r="A183" s="806"/>
      <c r="B183" s="1057"/>
      <c r="C183" s="1057"/>
      <c r="D183" s="1058"/>
      <c r="E183" s="1059"/>
      <c r="F183" s="806"/>
      <c r="G183" s="1086"/>
      <c r="H183" s="1082"/>
      <c r="I183" s="1085"/>
      <c r="J183" s="806"/>
      <c r="K183" s="806"/>
      <c r="L183" s="1058"/>
      <c r="M183" s="806"/>
      <c r="N183" s="806"/>
      <c r="O183" s="1080"/>
      <c r="P183" s="1058"/>
      <c r="Q183" s="1078"/>
      <c r="R183" s="1078"/>
    </row>
    <row r="184" ht="12.75" customHeight="1">
      <c r="A184" s="806"/>
      <c r="B184" s="1057"/>
      <c r="C184" s="1057"/>
      <c r="D184" s="1058"/>
      <c r="E184" s="1059"/>
      <c r="F184" s="806"/>
      <c r="G184" s="1086"/>
      <c r="H184" s="1082"/>
      <c r="I184" s="1085"/>
      <c r="J184" s="806"/>
      <c r="K184" s="806"/>
      <c r="L184" s="1058"/>
      <c r="M184" s="806"/>
      <c r="N184" s="806"/>
      <c r="O184" s="1080"/>
      <c r="P184" s="1058"/>
      <c r="Q184" s="1078"/>
      <c r="R184" s="1078"/>
    </row>
    <row r="185" ht="12.75" customHeight="1">
      <c r="A185" s="806"/>
      <c r="B185" s="1057"/>
      <c r="C185" s="1057"/>
      <c r="D185" s="1058"/>
      <c r="E185" s="1059"/>
      <c r="F185" s="806"/>
      <c r="G185" s="1086"/>
      <c r="H185" s="1082"/>
      <c r="I185" s="1085"/>
      <c r="J185" s="806"/>
      <c r="K185" s="806"/>
      <c r="L185" s="1058"/>
      <c r="M185" s="806"/>
      <c r="N185" s="806"/>
      <c r="O185" s="1080"/>
      <c r="P185" s="1058"/>
      <c r="Q185" s="1078"/>
      <c r="R185" s="1078"/>
    </row>
    <row r="186" ht="12.75" customHeight="1">
      <c r="A186" s="806"/>
      <c r="B186" s="1057"/>
      <c r="C186" s="1057"/>
      <c r="D186" s="1058"/>
      <c r="E186" s="1059"/>
      <c r="F186" s="806"/>
      <c r="G186" s="1086"/>
      <c r="H186" s="1082"/>
      <c r="I186" s="1085"/>
      <c r="J186" s="806"/>
      <c r="K186" s="806"/>
      <c r="L186" s="1058"/>
      <c r="M186" s="806"/>
      <c r="N186" s="806"/>
      <c r="O186" s="1080"/>
      <c r="P186" s="1058"/>
      <c r="Q186" s="1078"/>
      <c r="R186" s="1078"/>
    </row>
    <row r="187" ht="12.75" customHeight="1">
      <c r="A187" s="806"/>
      <c r="B187" s="1057"/>
      <c r="C187" s="1057"/>
      <c r="D187" s="1058"/>
      <c r="E187" s="1059"/>
      <c r="F187" s="806"/>
      <c r="G187" s="1086"/>
      <c r="H187" s="1082"/>
      <c r="I187" s="1085"/>
      <c r="J187" s="806"/>
      <c r="K187" s="806"/>
      <c r="L187" s="1058"/>
      <c r="M187" s="806"/>
      <c r="N187" s="806"/>
      <c r="O187" s="1080"/>
      <c r="P187" s="1058"/>
      <c r="Q187" s="1078"/>
      <c r="R187" s="1078"/>
    </row>
    <row r="188" ht="12.75" customHeight="1">
      <c r="A188" s="806"/>
      <c r="B188" s="1057"/>
      <c r="C188" s="1057" t="s">
        <v>7205</v>
      </c>
      <c r="D188" s="1058"/>
      <c r="E188" s="1059"/>
      <c r="F188" s="806"/>
      <c r="G188" s="1086"/>
      <c r="H188" s="1082"/>
      <c r="I188" s="1085"/>
      <c r="J188" s="806"/>
      <c r="K188" s="806"/>
      <c r="L188" s="1058"/>
      <c r="M188" s="806"/>
      <c r="N188" s="806"/>
      <c r="O188" s="1080"/>
      <c r="P188" s="1058"/>
      <c r="Q188" s="1078"/>
      <c r="R188" s="1078"/>
    </row>
    <row r="189" ht="12.75" customHeight="1">
      <c r="A189" s="1049" t="s">
        <v>7220</v>
      </c>
      <c r="B189" s="1050" t="s">
        <v>6826</v>
      </c>
      <c r="C189" s="1051">
        <f>COUNTA($B$190:$B$216)</f>
        <v>13</v>
      </c>
      <c r="D189" s="1052"/>
      <c r="E189" s="1052"/>
      <c r="F189" s="1053"/>
      <c r="G189" s="1054"/>
      <c r="H189" s="1053"/>
      <c r="I189" s="1051"/>
      <c r="J189" s="1053"/>
      <c r="K189" s="1053"/>
      <c r="L189" s="1055"/>
      <c r="M189" s="1053"/>
      <c r="N189" s="1053"/>
      <c r="O189" s="1055"/>
      <c r="P189" s="1055"/>
      <c r="Q189" s="1056"/>
      <c r="R189" s="1056"/>
    </row>
    <row r="190" ht="12.75" customHeight="1">
      <c r="A190" s="806">
        <v>1.0</v>
      </c>
      <c r="B190" s="1057" t="s">
        <v>6827</v>
      </c>
      <c r="C190" s="1057"/>
      <c r="D190" s="1058"/>
      <c r="E190" s="1059" t="s">
        <v>5810</v>
      </c>
      <c r="F190" s="806" t="s">
        <v>1582</v>
      </c>
      <c r="G190" s="1086" t="s">
        <v>7221</v>
      </c>
      <c r="H190" s="1082" t="s">
        <v>7153</v>
      </c>
      <c r="I190" s="1088" t="s">
        <v>7222</v>
      </c>
      <c r="J190" s="806" t="s">
        <v>1093</v>
      </c>
      <c r="K190" s="806" t="s">
        <v>883</v>
      </c>
      <c r="L190" s="1058"/>
      <c r="M190" s="806" t="s">
        <v>7210</v>
      </c>
      <c r="N190" s="806" t="s">
        <v>7211</v>
      </c>
      <c r="O190" s="1080" t="s">
        <v>7223</v>
      </c>
      <c r="P190" s="1058"/>
      <c r="Q190" s="1061">
        <v>0.5</v>
      </c>
      <c r="R190" s="1061"/>
    </row>
    <row r="191" ht="12.75" customHeight="1">
      <c r="A191" s="806">
        <f>1+A798</f>
        <v>5</v>
      </c>
      <c r="B191" s="1057" t="s">
        <v>6829</v>
      </c>
      <c r="C191" s="1057"/>
      <c r="D191" s="1058"/>
      <c r="E191" s="1059" t="s">
        <v>5810</v>
      </c>
      <c r="F191" s="806" t="s">
        <v>1582</v>
      </c>
      <c r="G191" s="1086" t="s">
        <v>7209</v>
      </c>
      <c r="H191" s="1082" t="s">
        <v>7153</v>
      </c>
      <c r="I191" s="1088"/>
      <c r="J191" s="806" t="s">
        <v>1093</v>
      </c>
      <c r="K191" s="806" t="s">
        <v>883</v>
      </c>
      <c r="L191" s="1058"/>
      <c r="M191" s="806" t="s">
        <v>7210</v>
      </c>
      <c r="N191" s="806" t="s">
        <v>7211</v>
      </c>
      <c r="O191" s="1080" t="s">
        <v>7224</v>
      </c>
      <c r="P191" s="1058"/>
      <c r="Q191" s="1061">
        <v>0.5</v>
      </c>
      <c r="R191" s="1061"/>
    </row>
    <row r="192" ht="12.75" customHeight="1">
      <c r="A192" s="806">
        <f t="shared" ref="A192:A202" si="4">1+A191</f>
        <v>6</v>
      </c>
      <c r="B192" s="1057" t="s">
        <v>6830</v>
      </c>
      <c r="C192" s="1057"/>
      <c r="D192" s="1058"/>
      <c r="E192" s="1059" t="s">
        <v>5810</v>
      </c>
      <c r="F192" s="806" t="s">
        <v>1582</v>
      </c>
      <c r="G192" s="1086" t="s">
        <v>7209</v>
      </c>
      <c r="H192" s="1082" t="s">
        <v>7153</v>
      </c>
      <c r="I192" s="1088"/>
      <c r="J192" s="806" t="s">
        <v>1093</v>
      </c>
      <c r="K192" s="806" t="s">
        <v>883</v>
      </c>
      <c r="L192" s="1058"/>
      <c r="M192" s="806" t="s">
        <v>7210</v>
      </c>
      <c r="N192" s="806" t="s">
        <v>7211</v>
      </c>
      <c r="O192" s="1080" t="s">
        <v>7225</v>
      </c>
      <c r="P192" s="1058"/>
      <c r="Q192" s="1061">
        <v>0.5</v>
      </c>
      <c r="R192" s="1061"/>
    </row>
    <row r="193" ht="12.75" customHeight="1">
      <c r="A193" s="806">
        <f t="shared" si="4"/>
        <v>7</v>
      </c>
      <c r="B193" s="1057" t="s">
        <v>6831</v>
      </c>
      <c r="C193" s="1057"/>
      <c r="D193" s="1058"/>
      <c r="E193" s="1059" t="s">
        <v>5955</v>
      </c>
      <c r="F193" s="806" t="s">
        <v>1582</v>
      </c>
      <c r="G193" s="1087">
        <v>45849.0</v>
      </c>
      <c r="H193" s="1082" t="s">
        <v>7153</v>
      </c>
      <c r="I193" s="1088"/>
      <c r="J193" s="806" t="s">
        <v>7172</v>
      </c>
      <c r="K193" s="806" t="s">
        <v>883</v>
      </c>
      <c r="L193" s="1058"/>
      <c r="M193" s="806" t="s">
        <v>7156</v>
      </c>
      <c r="N193" s="806" t="s">
        <v>7157</v>
      </c>
      <c r="O193" s="1080"/>
      <c r="P193" s="1058"/>
      <c r="Q193" s="1078"/>
      <c r="R193" s="1078"/>
    </row>
    <row r="194" ht="12.75" customHeight="1">
      <c r="A194" s="806">
        <f t="shared" si="4"/>
        <v>8</v>
      </c>
      <c r="B194" s="1057" t="s">
        <v>6832</v>
      </c>
      <c r="C194" s="1057"/>
      <c r="D194" s="1058"/>
      <c r="E194" s="1059" t="s">
        <v>5955</v>
      </c>
      <c r="F194" s="806" t="s">
        <v>1582</v>
      </c>
      <c r="G194" s="1087">
        <v>45849.0</v>
      </c>
      <c r="H194" s="1082" t="s">
        <v>7153</v>
      </c>
      <c r="I194" s="1088"/>
      <c r="J194" s="806" t="s">
        <v>7172</v>
      </c>
      <c r="K194" s="806" t="s">
        <v>883</v>
      </c>
      <c r="L194" s="1058"/>
      <c r="M194" s="806" t="s">
        <v>7156</v>
      </c>
      <c r="N194" s="806" t="s">
        <v>7157</v>
      </c>
      <c r="O194" s="1080"/>
      <c r="P194" s="1058"/>
      <c r="Q194" s="1078"/>
      <c r="R194" s="1078"/>
    </row>
    <row r="195" ht="12.75" customHeight="1">
      <c r="A195" s="806">
        <f t="shared" si="4"/>
        <v>9</v>
      </c>
      <c r="B195" s="1057" t="s">
        <v>6833</v>
      </c>
      <c r="C195" s="1057"/>
      <c r="D195" s="1058"/>
      <c r="E195" s="1059" t="s">
        <v>5955</v>
      </c>
      <c r="F195" s="806" t="s">
        <v>1582</v>
      </c>
      <c r="G195" s="1087">
        <v>45849.0</v>
      </c>
      <c r="H195" s="1082" t="s">
        <v>7153</v>
      </c>
      <c r="I195" s="1088"/>
      <c r="J195" s="806" t="s">
        <v>7172</v>
      </c>
      <c r="K195" s="806" t="s">
        <v>883</v>
      </c>
      <c r="L195" s="1058"/>
      <c r="M195" s="806" t="s">
        <v>7156</v>
      </c>
      <c r="N195" s="806" t="s">
        <v>7157</v>
      </c>
      <c r="O195" s="1080"/>
      <c r="P195" s="1058"/>
      <c r="Q195" s="1078"/>
      <c r="R195" s="1078"/>
    </row>
    <row r="196" ht="12.75" customHeight="1">
      <c r="A196" s="806">
        <f t="shared" si="4"/>
        <v>10</v>
      </c>
      <c r="B196" s="1057" t="s">
        <v>6834</v>
      </c>
      <c r="C196" s="1057"/>
      <c r="D196" s="1058"/>
      <c r="E196" s="1059" t="s">
        <v>5955</v>
      </c>
      <c r="F196" s="806" t="s">
        <v>1582</v>
      </c>
      <c r="G196" s="1087">
        <v>45849.0</v>
      </c>
      <c r="H196" s="1082" t="s">
        <v>7153</v>
      </c>
      <c r="I196" s="1088"/>
      <c r="J196" s="806" t="s">
        <v>7172</v>
      </c>
      <c r="K196" s="806" t="s">
        <v>883</v>
      </c>
      <c r="L196" s="1058"/>
      <c r="M196" s="806" t="s">
        <v>7156</v>
      </c>
      <c r="N196" s="806" t="s">
        <v>7157</v>
      </c>
      <c r="O196" s="1080"/>
      <c r="P196" s="1058"/>
      <c r="Q196" s="1078"/>
      <c r="R196" s="1078"/>
    </row>
    <row r="197" ht="12.75" customHeight="1">
      <c r="A197" s="806">
        <f t="shared" si="4"/>
        <v>11</v>
      </c>
      <c r="B197" s="1057" t="s">
        <v>6835</v>
      </c>
      <c r="C197" s="1057"/>
      <c r="D197" s="1058"/>
      <c r="E197" s="1059" t="s">
        <v>5955</v>
      </c>
      <c r="F197" s="806" t="s">
        <v>1582</v>
      </c>
      <c r="G197" s="1087">
        <v>45849.0</v>
      </c>
      <c r="H197" s="1082" t="s">
        <v>7153</v>
      </c>
      <c r="I197" s="1088"/>
      <c r="J197" s="806" t="s">
        <v>7172</v>
      </c>
      <c r="K197" s="806" t="s">
        <v>883</v>
      </c>
      <c r="L197" s="1058"/>
      <c r="M197" s="806" t="s">
        <v>7156</v>
      </c>
      <c r="N197" s="806" t="s">
        <v>7157</v>
      </c>
      <c r="O197" s="1080"/>
      <c r="P197" s="1058"/>
      <c r="Q197" s="1078"/>
      <c r="R197" s="1078"/>
    </row>
    <row r="198" ht="12.75" customHeight="1">
      <c r="A198" s="806">
        <f t="shared" si="4"/>
        <v>12</v>
      </c>
      <c r="B198" s="1057" t="s">
        <v>6836</v>
      </c>
      <c r="C198" s="1057"/>
      <c r="D198" s="1058"/>
      <c r="E198" s="1059" t="s">
        <v>5955</v>
      </c>
      <c r="F198" s="806" t="s">
        <v>1582</v>
      </c>
      <c r="G198" s="1087">
        <v>45849.0</v>
      </c>
      <c r="H198" s="1082" t="s">
        <v>7153</v>
      </c>
      <c r="I198" s="1088"/>
      <c r="J198" s="806" t="s">
        <v>7172</v>
      </c>
      <c r="K198" s="806" t="s">
        <v>883</v>
      </c>
      <c r="L198" s="1058"/>
      <c r="M198" s="806" t="s">
        <v>7156</v>
      </c>
      <c r="N198" s="806" t="s">
        <v>7157</v>
      </c>
      <c r="O198" s="1080"/>
      <c r="P198" s="1058"/>
      <c r="Q198" s="1078"/>
      <c r="R198" s="1078"/>
    </row>
    <row r="199" ht="12.75" customHeight="1">
      <c r="A199" s="806">
        <f t="shared" si="4"/>
        <v>13</v>
      </c>
      <c r="B199" s="1057" t="s">
        <v>6837</v>
      </c>
      <c r="C199" s="1057"/>
      <c r="D199" s="1058"/>
      <c r="E199" s="1059" t="s">
        <v>5955</v>
      </c>
      <c r="F199" s="806" t="s">
        <v>1582</v>
      </c>
      <c r="G199" s="1087">
        <v>45849.0</v>
      </c>
      <c r="H199" s="1082" t="s">
        <v>7153</v>
      </c>
      <c r="I199" s="1088"/>
      <c r="J199" s="806" t="s">
        <v>7172</v>
      </c>
      <c r="K199" s="806" t="s">
        <v>883</v>
      </c>
      <c r="L199" s="1058"/>
      <c r="M199" s="806" t="s">
        <v>7156</v>
      </c>
      <c r="N199" s="806" t="s">
        <v>7157</v>
      </c>
      <c r="O199" s="1080"/>
      <c r="P199" s="1058"/>
      <c r="Q199" s="1078"/>
      <c r="R199" s="1078"/>
    </row>
    <row r="200" ht="12.75" customHeight="1">
      <c r="A200" s="806">
        <f t="shared" si="4"/>
        <v>14</v>
      </c>
      <c r="B200" s="1057" t="s">
        <v>6838</v>
      </c>
      <c r="C200" s="1057"/>
      <c r="D200" s="1058"/>
      <c r="E200" s="1059" t="s">
        <v>5955</v>
      </c>
      <c r="F200" s="806" t="s">
        <v>1582</v>
      </c>
      <c r="G200" s="1087">
        <v>45849.0</v>
      </c>
      <c r="H200" s="1082" t="s">
        <v>7153</v>
      </c>
      <c r="I200" s="1088"/>
      <c r="J200" s="806" t="s">
        <v>7172</v>
      </c>
      <c r="K200" s="806" t="s">
        <v>883</v>
      </c>
      <c r="L200" s="1058"/>
      <c r="M200" s="806" t="s">
        <v>7156</v>
      </c>
      <c r="N200" s="806" t="s">
        <v>7157</v>
      </c>
      <c r="O200" s="1080"/>
      <c r="P200" s="1058"/>
      <c r="Q200" s="1078"/>
      <c r="R200" s="1078"/>
    </row>
    <row r="201" ht="12.75" customHeight="1">
      <c r="A201" s="806">
        <f t="shared" si="4"/>
        <v>15</v>
      </c>
      <c r="B201" s="1057" t="s">
        <v>6839</v>
      </c>
      <c r="C201" s="1057"/>
      <c r="D201" s="1058"/>
      <c r="E201" s="1059" t="s">
        <v>5955</v>
      </c>
      <c r="F201" s="806" t="s">
        <v>1582</v>
      </c>
      <c r="G201" s="1087">
        <v>45849.0</v>
      </c>
      <c r="H201" s="1082" t="s">
        <v>7153</v>
      </c>
      <c r="I201" s="1088"/>
      <c r="J201" s="806" t="s">
        <v>7172</v>
      </c>
      <c r="K201" s="806" t="s">
        <v>883</v>
      </c>
      <c r="L201" s="1058"/>
      <c r="M201" s="806" t="s">
        <v>7156</v>
      </c>
      <c r="N201" s="806" t="s">
        <v>7157</v>
      </c>
      <c r="O201" s="1080"/>
      <c r="P201" s="1058"/>
      <c r="Q201" s="1078"/>
      <c r="R201" s="1078"/>
    </row>
    <row r="202" ht="12.75" customHeight="1">
      <c r="A202" s="806">
        <f t="shared" si="4"/>
        <v>16</v>
      </c>
      <c r="B202" s="1057" t="s">
        <v>6840</v>
      </c>
      <c r="C202" s="1057"/>
      <c r="D202" s="1058"/>
      <c r="E202" s="1059" t="s">
        <v>5955</v>
      </c>
      <c r="F202" s="806" t="s">
        <v>1582</v>
      </c>
      <c r="G202" s="1087">
        <v>45849.0</v>
      </c>
      <c r="H202" s="1082" t="s">
        <v>7153</v>
      </c>
      <c r="I202" s="1088"/>
      <c r="J202" s="806" t="s">
        <v>7172</v>
      </c>
      <c r="K202" s="806" t="s">
        <v>883</v>
      </c>
      <c r="L202" s="1058"/>
      <c r="M202" s="806" t="s">
        <v>7156</v>
      </c>
      <c r="N202" s="806" t="s">
        <v>7157</v>
      </c>
      <c r="O202" s="1080"/>
      <c r="P202" s="1058"/>
      <c r="Q202" s="1078"/>
      <c r="R202" s="1078"/>
    </row>
    <row r="203" ht="12.75" customHeight="1">
      <c r="A203" s="806"/>
      <c r="B203" s="1057"/>
      <c r="C203" s="1057"/>
      <c r="D203" s="1058"/>
      <c r="E203" s="1059"/>
      <c r="F203" s="806"/>
      <c r="G203" s="1086"/>
      <c r="H203" s="1082"/>
      <c r="I203" s="1088"/>
      <c r="J203" s="806"/>
      <c r="K203" s="806"/>
      <c r="L203" s="1058"/>
      <c r="M203" s="806"/>
      <c r="N203" s="806"/>
      <c r="O203" s="1080"/>
      <c r="P203" s="1058"/>
      <c r="Q203" s="1078"/>
      <c r="R203" s="1078"/>
    </row>
    <row r="204" ht="12.75" hidden="1" customHeight="1">
      <c r="A204" s="806"/>
      <c r="B204" s="1057"/>
      <c r="C204" s="1057"/>
      <c r="D204" s="1058"/>
      <c r="E204" s="1059"/>
      <c r="F204" s="806"/>
      <c r="G204" s="1086"/>
      <c r="H204" s="1082"/>
      <c r="I204" s="1088"/>
      <c r="J204" s="806"/>
      <c r="K204" s="806"/>
      <c r="L204" s="1058"/>
      <c r="M204" s="806"/>
      <c r="N204" s="806"/>
      <c r="O204" s="1080"/>
      <c r="P204" s="1058"/>
      <c r="Q204" s="1078"/>
      <c r="R204" s="1078"/>
    </row>
    <row r="205" ht="12.75" hidden="1" customHeight="1">
      <c r="A205" s="806"/>
      <c r="B205" s="1057"/>
      <c r="C205" s="1057"/>
      <c r="D205" s="1058"/>
      <c r="E205" s="1059"/>
      <c r="F205" s="806"/>
      <c r="G205" s="1086"/>
      <c r="H205" s="1082"/>
      <c r="I205" s="1088"/>
      <c r="J205" s="806"/>
      <c r="K205" s="806"/>
      <c r="L205" s="1058"/>
      <c r="M205" s="806"/>
      <c r="N205" s="806"/>
      <c r="O205" s="1080"/>
      <c r="P205" s="1058"/>
      <c r="Q205" s="1078"/>
      <c r="R205" s="1078"/>
    </row>
    <row r="206" ht="12.75" hidden="1" customHeight="1">
      <c r="A206" s="806"/>
      <c r="B206" s="1057"/>
      <c r="C206" s="1057"/>
      <c r="D206" s="1058"/>
      <c r="E206" s="1059"/>
      <c r="F206" s="806"/>
      <c r="G206" s="1086"/>
      <c r="H206" s="1082"/>
      <c r="I206" s="1088"/>
      <c r="J206" s="806"/>
      <c r="K206" s="806"/>
      <c r="L206" s="1058"/>
      <c r="M206" s="806"/>
      <c r="N206" s="806"/>
      <c r="O206" s="1080"/>
      <c r="P206" s="1058"/>
      <c r="Q206" s="1078"/>
      <c r="R206" s="1078"/>
    </row>
    <row r="207" ht="12.75" hidden="1" customHeight="1">
      <c r="A207" s="806"/>
      <c r="B207" s="1057"/>
      <c r="C207" s="1057"/>
      <c r="D207" s="1058"/>
      <c r="E207" s="1059"/>
      <c r="F207" s="806"/>
      <c r="G207" s="1086"/>
      <c r="H207" s="1082"/>
      <c r="I207" s="1088"/>
      <c r="J207" s="806"/>
      <c r="K207" s="806"/>
      <c r="L207" s="1058"/>
      <c r="M207" s="806"/>
      <c r="N207" s="806"/>
      <c r="O207" s="1080"/>
      <c r="P207" s="1058"/>
      <c r="Q207" s="1078"/>
      <c r="R207" s="1078"/>
    </row>
    <row r="208" ht="12.75" hidden="1" customHeight="1">
      <c r="A208" s="806"/>
      <c r="B208" s="1057"/>
      <c r="C208" s="1057"/>
      <c r="D208" s="1058"/>
      <c r="E208" s="1059"/>
      <c r="F208" s="806"/>
      <c r="G208" s="1086"/>
      <c r="H208" s="1082"/>
      <c r="I208" s="1088"/>
      <c r="J208" s="806"/>
      <c r="K208" s="806"/>
      <c r="L208" s="1058"/>
      <c r="M208" s="806"/>
      <c r="N208" s="806"/>
      <c r="O208" s="1080"/>
      <c r="P208" s="1058"/>
      <c r="Q208" s="1078"/>
      <c r="R208" s="1078"/>
    </row>
    <row r="209" ht="12.75" hidden="1" customHeight="1">
      <c r="A209" s="806"/>
      <c r="B209" s="1057"/>
      <c r="C209" s="1057"/>
      <c r="D209" s="1058"/>
      <c r="E209" s="1059"/>
      <c r="F209" s="806"/>
      <c r="G209" s="1086"/>
      <c r="H209" s="1082"/>
      <c r="I209" s="1088"/>
      <c r="J209" s="806"/>
      <c r="K209" s="806"/>
      <c r="L209" s="1058"/>
      <c r="M209" s="806"/>
      <c r="N209" s="806"/>
      <c r="O209" s="1080"/>
      <c r="P209" s="1058"/>
      <c r="Q209" s="1078"/>
      <c r="R209" s="1078"/>
    </row>
    <row r="210" ht="12.75" hidden="1" customHeight="1">
      <c r="A210" s="806"/>
      <c r="B210" s="1057"/>
      <c r="C210" s="1057"/>
      <c r="D210" s="1058"/>
      <c r="E210" s="1059"/>
      <c r="F210" s="806"/>
      <c r="G210" s="1086"/>
      <c r="H210" s="1082"/>
      <c r="I210" s="1088"/>
      <c r="J210" s="806"/>
      <c r="K210" s="806"/>
      <c r="L210" s="1058"/>
      <c r="M210" s="806"/>
      <c r="N210" s="806"/>
      <c r="O210" s="1080"/>
      <c r="P210" s="1058"/>
      <c r="Q210" s="1078"/>
      <c r="R210" s="1078"/>
    </row>
    <row r="211" ht="12.75" hidden="1" customHeight="1">
      <c r="A211" s="806"/>
      <c r="B211" s="1057"/>
      <c r="C211" s="1057"/>
      <c r="D211" s="1058"/>
      <c r="E211" s="1059"/>
      <c r="F211" s="806"/>
      <c r="G211" s="1086"/>
      <c r="H211" s="1082"/>
      <c r="I211" s="1088"/>
      <c r="J211" s="806"/>
      <c r="K211" s="806"/>
      <c r="L211" s="1058"/>
      <c r="M211" s="806"/>
      <c r="N211" s="806"/>
      <c r="O211" s="1080"/>
      <c r="P211" s="1058"/>
      <c r="Q211" s="1078"/>
      <c r="R211" s="1078"/>
    </row>
    <row r="212" ht="12.75" hidden="1" customHeight="1">
      <c r="A212" s="806"/>
      <c r="B212" s="1057"/>
      <c r="C212" s="1057"/>
      <c r="D212" s="1058"/>
      <c r="E212" s="1059"/>
      <c r="F212" s="806"/>
      <c r="G212" s="1086"/>
      <c r="H212" s="1082"/>
      <c r="I212" s="1088"/>
      <c r="J212" s="806"/>
      <c r="K212" s="806"/>
      <c r="L212" s="1058"/>
      <c r="M212" s="806"/>
      <c r="N212" s="806"/>
      <c r="O212" s="1080"/>
      <c r="P212" s="1058"/>
      <c r="Q212" s="1078"/>
      <c r="R212" s="1078"/>
    </row>
    <row r="213" ht="12.75" hidden="1" customHeight="1">
      <c r="A213" s="806"/>
      <c r="B213" s="1057"/>
      <c r="C213" s="1057"/>
      <c r="D213" s="1058"/>
      <c r="E213" s="1059"/>
      <c r="F213" s="806"/>
      <c r="G213" s="1086"/>
      <c r="H213" s="1082"/>
      <c r="I213" s="1088"/>
      <c r="J213" s="806"/>
      <c r="K213" s="806"/>
      <c r="L213" s="1058"/>
      <c r="M213" s="806"/>
      <c r="N213" s="806"/>
      <c r="O213" s="1080"/>
      <c r="P213" s="1058"/>
      <c r="Q213" s="1078"/>
      <c r="R213" s="1078"/>
    </row>
    <row r="214" ht="12.75" hidden="1" customHeight="1">
      <c r="A214" s="806"/>
      <c r="B214" s="1057"/>
      <c r="C214" s="1057"/>
      <c r="D214" s="1058"/>
      <c r="E214" s="1059"/>
      <c r="F214" s="806"/>
      <c r="G214" s="1086"/>
      <c r="H214" s="1082"/>
      <c r="I214" s="1088"/>
      <c r="J214" s="806"/>
      <c r="K214" s="806"/>
      <c r="L214" s="1058"/>
      <c r="M214" s="806"/>
      <c r="N214" s="806"/>
      <c r="O214" s="1080"/>
      <c r="P214" s="1058"/>
      <c r="Q214" s="1078"/>
      <c r="R214" s="1078"/>
    </row>
    <row r="215" ht="12.75" hidden="1" customHeight="1">
      <c r="A215" s="806"/>
      <c r="B215" s="1057"/>
      <c r="C215" s="1057"/>
      <c r="D215" s="1058"/>
      <c r="E215" s="1059"/>
      <c r="F215" s="806"/>
      <c r="G215" s="1086"/>
      <c r="H215" s="1082"/>
      <c r="I215" s="1088"/>
      <c r="J215" s="806"/>
      <c r="K215" s="806"/>
      <c r="L215" s="1058"/>
      <c r="M215" s="806"/>
      <c r="N215" s="806"/>
      <c r="O215" s="1080"/>
      <c r="P215" s="1058"/>
      <c r="Q215" s="1078"/>
      <c r="R215" s="1078"/>
    </row>
    <row r="216" ht="12.75" hidden="1" customHeight="1">
      <c r="A216" s="806"/>
      <c r="B216" s="1057"/>
      <c r="C216" s="1057" t="s">
        <v>7205</v>
      </c>
      <c r="D216" s="1058"/>
      <c r="E216" s="1059"/>
      <c r="F216" s="806"/>
      <c r="G216" s="1086"/>
      <c r="H216" s="1082"/>
      <c r="I216" s="1088"/>
      <c r="J216" s="806"/>
      <c r="K216" s="806"/>
      <c r="L216" s="1058"/>
      <c r="M216" s="806"/>
      <c r="N216" s="806"/>
      <c r="O216" s="1080"/>
      <c r="P216" s="1058"/>
      <c r="Q216" s="1078"/>
      <c r="R216" s="1078"/>
    </row>
    <row r="217" ht="20.25" customHeight="1">
      <c r="A217" s="790" t="s">
        <v>6181</v>
      </c>
      <c r="B217" s="1089" t="s">
        <v>6182</v>
      </c>
      <c r="C217" s="790">
        <f>$C$218+$C$267+$C$709</f>
        <v>90</v>
      </c>
      <c r="D217" s="1045"/>
      <c r="E217" s="1045"/>
      <c r="F217" s="1046"/>
      <c r="G217" s="1046"/>
      <c r="H217" s="1046"/>
      <c r="I217" s="1045"/>
      <c r="J217" s="1046"/>
      <c r="K217" s="1046"/>
      <c r="L217" s="1045"/>
      <c r="M217" s="1046"/>
      <c r="N217" s="1046"/>
      <c r="O217" s="1045"/>
      <c r="P217" s="1045"/>
      <c r="Q217" s="1048"/>
      <c r="R217" s="1048"/>
    </row>
    <row r="218" ht="12.75" customHeight="1">
      <c r="A218" s="1049" t="s">
        <v>7226</v>
      </c>
      <c r="B218" s="1050" t="s">
        <v>6841</v>
      </c>
      <c r="C218" s="1051">
        <f>COUNTA($B$219:$B$266)</f>
        <v>44</v>
      </c>
      <c r="D218" s="1052"/>
      <c r="E218" s="1052"/>
      <c r="F218" s="1053"/>
      <c r="G218" s="1054"/>
      <c r="H218" s="1053"/>
      <c r="I218" s="1051"/>
      <c r="J218" s="1053"/>
      <c r="K218" s="1053"/>
      <c r="L218" s="1055"/>
      <c r="M218" s="1053"/>
      <c r="N218" s="1053"/>
      <c r="O218" s="1055"/>
      <c r="P218" s="1055"/>
      <c r="Q218" s="1056"/>
      <c r="R218" s="1056"/>
    </row>
    <row r="219" ht="12.75" customHeight="1">
      <c r="A219" s="806">
        <v>1.0</v>
      </c>
      <c r="B219" s="1057" t="s">
        <v>6842</v>
      </c>
      <c r="C219" s="1057"/>
      <c r="D219" s="1079"/>
      <c r="E219" s="1059" t="s">
        <v>5810</v>
      </c>
      <c r="F219" s="806" t="s">
        <v>1253</v>
      </c>
      <c r="G219" s="1077" t="s">
        <v>7227</v>
      </c>
      <c r="H219" s="806" t="s">
        <v>7153</v>
      </c>
      <c r="I219" s="1073"/>
      <c r="J219" s="806" t="s">
        <v>1093</v>
      </c>
      <c r="K219" s="806" t="s">
        <v>7228</v>
      </c>
      <c r="L219" s="1058"/>
      <c r="M219" s="806" t="s">
        <v>7210</v>
      </c>
      <c r="N219" s="806" t="s">
        <v>7211</v>
      </c>
      <c r="O219" s="1058"/>
      <c r="P219" s="1058"/>
      <c r="Q219" s="1061">
        <v>0.5</v>
      </c>
      <c r="R219" s="1061"/>
    </row>
    <row r="220" ht="12.75" customHeight="1">
      <c r="A220" s="806">
        <f t="shared" ref="A220:A242" si="5">A219+1</f>
        <v>2</v>
      </c>
      <c r="B220" s="1057" t="s">
        <v>6843</v>
      </c>
      <c r="C220" s="1057"/>
      <c r="D220" s="1079"/>
      <c r="E220" s="1059" t="s">
        <v>5810</v>
      </c>
      <c r="F220" s="806" t="s">
        <v>1253</v>
      </c>
      <c r="G220" s="1077" t="s">
        <v>7227</v>
      </c>
      <c r="H220" s="806" t="s">
        <v>7153</v>
      </c>
      <c r="I220" s="1073"/>
      <c r="J220" s="806" t="s">
        <v>1093</v>
      </c>
      <c r="K220" s="806" t="s">
        <v>7228</v>
      </c>
      <c r="L220" s="1058"/>
      <c r="M220" s="806" t="s">
        <v>7210</v>
      </c>
      <c r="N220" s="806" t="s">
        <v>7211</v>
      </c>
      <c r="O220" s="1058"/>
      <c r="P220" s="1058"/>
      <c r="Q220" s="1061">
        <v>0.5</v>
      </c>
      <c r="R220" s="1061"/>
    </row>
    <row r="221" ht="12.75" customHeight="1">
      <c r="A221" s="806">
        <f t="shared" si="5"/>
        <v>3</v>
      </c>
      <c r="B221" s="1057" t="s">
        <v>6844</v>
      </c>
      <c r="C221" s="1057"/>
      <c r="D221" s="1079"/>
      <c r="E221" s="1059" t="s">
        <v>5810</v>
      </c>
      <c r="F221" s="806" t="s">
        <v>1253</v>
      </c>
      <c r="G221" s="1077" t="s">
        <v>7227</v>
      </c>
      <c r="H221" s="806" t="s">
        <v>7153</v>
      </c>
      <c r="I221" s="1073"/>
      <c r="J221" s="806" t="s">
        <v>1093</v>
      </c>
      <c r="K221" s="806" t="s">
        <v>7228</v>
      </c>
      <c r="L221" s="1058"/>
      <c r="M221" s="806" t="s">
        <v>7210</v>
      </c>
      <c r="N221" s="806" t="s">
        <v>7211</v>
      </c>
      <c r="O221" s="1058"/>
      <c r="P221" s="1058"/>
      <c r="Q221" s="1061">
        <v>0.5</v>
      </c>
      <c r="R221" s="1061"/>
    </row>
    <row r="222" ht="12.75" customHeight="1">
      <c r="A222" s="806">
        <f t="shared" si="5"/>
        <v>4</v>
      </c>
      <c r="B222" s="1057" t="s">
        <v>6845</v>
      </c>
      <c r="C222" s="1057"/>
      <c r="D222" s="1079"/>
      <c r="E222" s="1059" t="s">
        <v>5810</v>
      </c>
      <c r="F222" s="806" t="s">
        <v>1253</v>
      </c>
      <c r="G222" s="1077" t="s">
        <v>7227</v>
      </c>
      <c r="H222" s="806" t="s">
        <v>7153</v>
      </c>
      <c r="I222" s="1073"/>
      <c r="J222" s="806" t="s">
        <v>1093</v>
      </c>
      <c r="K222" s="806" t="s">
        <v>7228</v>
      </c>
      <c r="L222" s="1058"/>
      <c r="M222" s="806" t="s">
        <v>7210</v>
      </c>
      <c r="N222" s="806" t="s">
        <v>7211</v>
      </c>
      <c r="O222" s="1058"/>
      <c r="P222" s="1058"/>
      <c r="Q222" s="1061">
        <v>0.5</v>
      </c>
      <c r="R222" s="1061"/>
    </row>
    <row r="223" ht="12.75" customHeight="1">
      <c r="A223" s="806">
        <f t="shared" si="5"/>
        <v>5</v>
      </c>
      <c r="B223" s="1057" t="s">
        <v>6846</v>
      </c>
      <c r="C223" s="1057"/>
      <c r="D223" s="1079"/>
      <c r="E223" s="1059" t="s">
        <v>5810</v>
      </c>
      <c r="F223" s="806" t="s">
        <v>1253</v>
      </c>
      <c r="G223" s="1077" t="s">
        <v>7227</v>
      </c>
      <c r="H223" s="806" t="s">
        <v>7153</v>
      </c>
      <c r="I223" s="1073"/>
      <c r="J223" s="806" t="s">
        <v>1093</v>
      </c>
      <c r="K223" s="806" t="s">
        <v>7228</v>
      </c>
      <c r="L223" s="1058"/>
      <c r="M223" s="806" t="s">
        <v>7210</v>
      </c>
      <c r="N223" s="806" t="s">
        <v>7211</v>
      </c>
      <c r="O223" s="1058"/>
      <c r="P223" s="1058"/>
      <c r="Q223" s="1061">
        <v>0.5</v>
      </c>
      <c r="R223" s="1061"/>
    </row>
    <row r="224" ht="12.75" customHeight="1">
      <c r="A224" s="806">
        <f t="shared" si="5"/>
        <v>6</v>
      </c>
      <c r="B224" s="1057" t="s">
        <v>6847</v>
      </c>
      <c r="C224" s="1057"/>
      <c r="D224" s="1079"/>
      <c r="E224" s="1059" t="s">
        <v>5810</v>
      </c>
      <c r="F224" s="806" t="s">
        <v>1253</v>
      </c>
      <c r="G224" s="1077" t="s">
        <v>7227</v>
      </c>
      <c r="H224" s="806" t="s">
        <v>7153</v>
      </c>
      <c r="I224" s="1073"/>
      <c r="J224" s="806" t="s">
        <v>1093</v>
      </c>
      <c r="K224" s="806" t="s">
        <v>7228</v>
      </c>
      <c r="L224" s="1058"/>
      <c r="M224" s="806" t="s">
        <v>7210</v>
      </c>
      <c r="N224" s="806" t="s">
        <v>7211</v>
      </c>
      <c r="O224" s="1058"/>
      <c r="P224" s="1058"/>
      <c r="Q224" s="1061">
        <v>0.5</v>
      </c>
      <c r="R224" s="1061"/>
    </row>
    <row r="225" ht="12.75" customHeight="1">
      <c r="A225" s="806">
        <f t="shared" si="5"/>
        <v>7</v>
      </c>
      <c r="B225" s="1057" t="s">
        <v>6848</v>
      </c>
      <c r="C225" s="1057"/>
      <c r="D225" s="1079"/>
      <c r="E225" s="1059" t="s">
        <v>5810</v>
      </c>
      <c r="F225" s="806" t="s">
        <v>1253</v>
      </c>
      <c r="G225" s="1077" t="s">
        <v>7227</v>
      </c>
      <c r="H225" s="806" t="s">
        <v>7153</v>
      </c>
      <c r="I225" s="1073"/>
      <c r="J225" s="806" t="s">
        <v>1093</v>
      </c>
      <c r="K225" s="806" t="s">
        <v>7228</v>
      </c>
      <c r="L225" s="1058"/>
      <c r="M225" s="806" t="s">
        <v>7210</v>
      </c>
      <c r="N225" s="806" t="s">
        <v>7211</v>
      </c>
      <c r="O225" s="1058"/>
      <c r="P225" s="1058"/>
      <c r="Q225" s="1061">
        <v>0.5</v>
      </c>
      <c r="R225" s="1061"/>
    </row>
    <row r="226" ht="12.75" customHeight="1">
      <c r="A226" s="806">
        <f t="shared" si="5"/>
        <v>8</v>
      </c>
      <c r="B226" s="1057" t="s">
        <v>6849</v>
      </c>
      <c r="C226" s="1057"/>
      <c r="D226" s="1079"/>
      <c r="E226" s="1059" t="s">
        <v>5810</v>
      </c>
      <c r="F226" s="806" t="s">
        <v>1253</v>
      </c>
      <c r="G226" s="1077" t="s">
        <v>7227</v>
      </c>
      <c r="H226" s="806" t="s">
        <v>7153</v>
      </c>
      <c r="I226" s="1073"/>
      <c r="J226" s="806" t="s">
        <v>1093</v>
      </c>
      <c r="K226" s="806" t="s">
        <v>7228</v>
      </c>
      <c r="L226" s="1058"/>
      <c r="M226" s="806" t="s">
        <v>7210</v>
      </c>
      <c r="N226" s="806" t="s">
        <v>7211</v>
      </c>
      <c r="O226" s="1058"/>
      <c r="P226" s="1058"/>
      <c r="Q226" s="1061">
        <v>0.5</v>
      </c>
      <c r="R226" s="1061"/>
    </row>
    <row r="227" ht="12.75" customHeight="1">
      <c r="A227" s="806">
        <f t="shared" si="5"/>
        <v>9</v>
      </c>
      <c r="B227" s="1057" t="s">
        <v>6850</v>
      </c>
      <c r="C227" s="1057"/>
      <c r="D227" s="1079"/>
      <c r="E227" s="1059" t="s">
        <v>5810</v>
      </c>
      <c r="F227" s="806" t="s">
        <v>1253</v>
      </c>
      <c r="G227" s="1077" t="s">
        <v>7227</v>
      </c>
      <c r="H227" s="806" t="s">
        <v>7153</v>
      </c>
      <c r="I227" s="1073"/>
      <c r="J227" s="806" t="s">
        <v>1093</v>
      </c>
      <c r="K227" s="806" t="s">
        <v>7228</v>
      </c>
      <c r="L227" s="1058"/>
      <c r="M227" s="806" t="s">
        <v>7210</v>
      </c>
      <c r="N227" s="806" t="s">
        <v>7211</v>
      </c>
      <c r="O227" s="1058"/>
      <c r="P227" s="1058"/>
      <c r="Q227" s="1061">
        <v>0.5</v>
      </c>
      <c r="R227" s="1061"/>
    </row>
    <row r="228" ht="12.75" customHeight="1">
      <c r="A228" s="806">
        <f t="shared" si="5"/>
        <v>10</v>
      </c>
      <c r="B228" s="1057" t="s">
        <v>6851</v>
      </c>
      <c r="C228" s="1057"/>
      <c r="D228" s="1079"/>
      <c r="E228" s="1059" t="s">
        <v>5810</v>
      </c>
      <c r="F228" s="806" t="s">
        <v>1253</v>
      </c>
      <c r="G228" s="1077" t="s">
        <v>7227</v>
      </c>
      <c r="H228" s="806" t="s">
        <v>7153</v>
      </c>
      <c r="I228" s="1073"/>
      <c r="J228" s="806" t="s">
        <v>1093</v>
      </c>
      <c r="K228" s="806" t="s">
        <v>7228</v>
      </c>
      <c r="L228" s="1058"/>
      <c r="M228" s="806" t="s">
        <v>7210</v>
      </c>
      <c r="N228" s="806" t="s">
        <v>7211</v>
      </c>
      <c r="O228" s="1058"/>
      <c r="P228" s="1058"/>
      <c r="Q228" s="1061">
        <v>0.5</v>
      </c>
      <c r="R228" s="1061"/>
    </row>
    <row r="229" ht="12.75" customHeight="1">
      <c r="A229" s="806">
        <f t="shared" si="5"/>
        <v>11</v>
      </c>
      <c r="B229" s="1057" t="s">
        <v>6852</v>
      </c>
      <c r="C229" s="1057"/>
      <c r="D229" s="1079"/>
      <c r="E229" s="1059" t="s">
        <v>5810</v>
      </c>
      <c r="F229" s="806" t="s">
        <v>1253</v>
      </c>
      <c r="G229" s="1077" t="s">
        <v>7227</v>
      </c>
      <c r="H229" s="806" t="s">
        <v>7153</v>
      </c>
      <c r="I229" s="1073"/>
      <c r="J229" s="806" t="s">
        <v>1093</v>
      </c>
      <c r="K229" s="806" t="s">
        <v>7228</v>
      </c>
      <c r="L229" s="1058"/>
      <c r="M229" s="806" t="s">
        <v>7210</v>
      </c>
      <c r="N229" s="806" t="s">
        <v>7211</v>
      </c>
      <c r="O229" s="1058"/>
      <c r="P229" s="1058"/>
      <c r="Q229" s="1061">
        <v>0.5</v>
      </c>
      <c r="R229" s="1061"/>
    </row>
    <row r="230" ht="12.75" customHeight="1">
      <c r="A230" s="806">
        <f t="shared" si="5"/>
        <v>12</v>
      </c>
      <c r="B230" s="1057" t="s">
        <v>6853</v>
      </c>
      <c r="C230" s="1057"/>
      <c r="D230" s="1079"/>
      <c r="E230" s="1059" t="s">
        <v>5810</v>
      </c>
      <c r="F230" s="806" t="s">
        <v>1253</v>
      </c>
      <c r="G230" s="1077" t="s">
        <v>7227</v>
      </c>
      <c r="H230" s="806" t="s">
        <v>7153</v>
      </c>
      <c r="I230" s="1073"/>
      <c r="J230" s="806" t="s">
        <v>1093</v>
      </c>
      <c r="K230" s="806" t="s">
        <v>7228</v>
      </c>
      <c r="L230" s="1058"/>
      <c r="M230" s="806" t="s">
        <v>7210</v>
      </c>
      <c r="N230" s="806" t="s">
        <v>7211</v>
      </c>
      <c r="O230" s="1058"/>
      <c r="P230" s="1058"/>
      <c r="Q230" s="1061">
        <v>0.5</v>
      </c>
      <c r="R230" s="1061"/>
    </row>
    <row r="231" ht="12.75" customHeight="1">
      <c r="A231" s="806">
        <f t="shared" si="5"/>
        <v>13</v>
      </c>
      <c r="B231" s="1057" t="s">
        <v>6854</v>
      </c>
      <c r="C231" s="1057"/>
      <c r="D231" s="1079"/>
      <c r="E231" s="1059" t="s">
        <v>5809</v>
      </c>
      <c r="F231" s="806" t="s">
        <v>1253</v>
      </c>
      <c r="G231" s="1090">
        <v>45844.0</v>
      </c>
      <c r="H231" s="806" t="s">
        <v>7153</v>
      </c>
      <c r="I231" s="1073"/>
      <c r="J231" s="806" t="s">
        <v>7230</v>
      </c>
      <c r="K231" s="806"/>
      <c r="L231" s="1058"/>
      <c r="M231" s="806" t="s">
        <v>7156</v>
      </c>
      <c r="N231" s="806" t="s">
        <v>7157</v>
      </c>
      <c r="O231" s="1058"/>
      <c r="P231" s="1058"/>
      <c r="Q231" s="1061">
        <v>1.0</v>
      </c>
      <c r="R231" s="1061"/>
    </row>
    <row r="232" ht="12.75" customHeight="1">
      <c r="A232" s="806">
        <f t="shared" si="5"/>
        <v>14</v>
      </c>
      <c r="B232" s="1057" t="s">
        <v>6855</v>
      </c>
      <c r="C232" s="1057"/>
      <c r="D232" s="1079"/>
      <c r="E232" s="1059" t="s">
        <v>5809</v>
      </c>
      <c r="F232" s="806" t="s">
        <v>1253</v>
      </c>
      <c r="G232" s="1090">
        <v>45844.0</v>
      </c>
      <c r="H232" s="806" t="s">
        <v>7153</v>
      </c>
      <c r="I232" s="1073"/>
      <c r="J232" s="806" t="s">
        <v>7230</v>
      </c>
      <c r="K232" s="806"/>
      <c r="L232" s="1058"/>
      <c r="M232" s="806" t="s">
        <v>7156</v>
      </c>
      <c r="N232" s="806" t="s">
        <v>7157</v>
      </c>
      <c r="O232" s="1058"/>
      <c r="P232" s="1058"/>
      <c r="Q232" s="1061">
        <v>1.0</v>
      </c>
      <c r="R232" s="1061"/>
    </row>
    <row r="233" ht="12.75" customHeight="1">
      <c r="A233" s="806">
        <f t="shared" si="5"/>
        <v>15</v>
      </c>
      <c r="B233" s="1057" t="s">
        <v>6856</v>
      </c>
      <c r="C233" s="1057"/>
      <c r="D233" s="1079"/>
      <c r="E233" s="1059" t="s">
        <v>5809</v>
      </c>
      <c r="F233" s="806" t="s">
        <v>1253</v>
      </c>
      <c r="G233" s="1090">
        <v>45844.0</v>
      </c>
      <c r="H233" s="806" t="s">
        <v>7153</v>
      </c>
      <c r="I233" s="1073"/>
      <c r="J233" s="806" t="s">
        <v>7230</v>
      </c>
      <c r="K233" s="806"/>
      <c r="L233" s="1058"/>
      <c r="M233" s="806" t="s">
        <v>7156</v>
      </c>
      <c r="N233" s="806" t="s">
        <v>7157</v>
      </c>
      <c r="O233" s="1058"/>
      <c r="P233" s="1058"/>
      <c r="Q233" s="1061">
        <v>1.0</v>
      </c>
      <c r="R233" s="1061"/>
    </row>
    <row r="234" ht="12.75" customHeight="1">
      <c r="A234" s="806">
        <f t="shared" si="5"/>
        <v>16</v>
      </c>
      <c r="B234" s="1057" t="s">
        <v>6857</v>
      </c>
      <c r="C234" s="1057"/>
      <c r="D234" s="1079"/>
      <c r="E234" s="1059" t="s">
        <v>5809</v>
      </c>
      <c r="F234" s="806" t="s">
        <v>1253</v>
      </c>
      <c r="G234" s="1090">
        <v>45844.0</v>
      </c>
      <c r="H234" s="806" t="s">
        <v>7153</v>
      </c>
      <c r="I234" s="1073"/>
      <c r="J234" s="806" t="s">
        <v>7230</v>
      </c>
      <c r="K234" s="806"/>
      <c r="L234" s="1058"/>
      <c r="M234" s="806" t="s">
        <v>7156</v>
      </c>
      <c r="N234" s="806" t="s">
        <v>7157</v>
      </c>
      <c r="O234" s="1058"/>
      <c r="P234" s="1058"/>
      <c r="Q234" s="1061">
        <v>1.0</v>
      </c>
      <c r="R234" s="1061"/>
    </row>
    <row r="235" ht="12.75" customHeight="1">
      <c r="A235" s="806">
        <f t="shared" si="5"/>
        <v>17</v>
      </c>
      <c r="B235" s="1057" t="s">
        <v>6858</v>
      </c>
      <c r="C235" s="1057"/>
      <c r="D235" s="1079"/>
      <c r="E235" s="1059" t="s">
        <v>5809</v>
      </c>
      <c r="F235" s="806" t="s">
        <v>1253</v>
      </c>
      <c r="G235" s="1090">
        <v>45844.0</v>
      </c>
      <c r="H235" s="806" t="s">
        <v>7153</v>
      </c>
      <c r="I235" s="1073"/>
      <c r="J235" s="806" t="s">
        <v>7230</v>
      </c>
      <c r="K235" s="806"/>
      <c r="L235" s="1058"/>
      <c r="M235" s="806" t="s">
        <v>7156</v>
      </c>
      <c r="N235" s="806" t="s">
        <v>7157</v>
      </c>
      <c r="O235" s="1058"/>
      <c r="P235" s="1058"/>
      <c r="Q235" s="1061">
        <v>1.0</v>
      </c>
      <c r="R235" s="1061"/>
    </row>
    <row r="236" ht="12.75" customHeight="1">
      <c r="A236" s="806">
        <f t="shared" si="5"/>
        <v>18</v>
      </c>
      <c r="B236" s="1057" t="s">
        <v>6859</v>
      </c>
      <c r="C236" s="1057"/>
      <c r="D236" s="1079"/>
      <c r="E236" s="1059" t="s">
        <v>5809</v>
      </c>
      <c r="F236" s="806" t="s">
        <v>1253</v>
      </c>
      <c r="G236" s="1090">
        <v>45844.0</v>
      </c>
      <c r="H236" s="806" t="s">
        <v>7153</v>
      </c>
      <c r="I236" s="1073"/>
      <c r="J236" s="806" t="s">
        <v>7230</v>
      </c>
      <c r="K236" s="806"/>
      <c r="L236" s="1058"/>
      <c r="M236" s="806" t="s">
        <v>7156</v>
      </c>
      <c r="N236" s="806" t="s">
        <v>7157</v>
      </c>
      <c r="O236" s="1058"/>
      <c r="P236" s="1058"/>
      <c r="Q236" s="1061">
        <v>1.0</v>
      </c>
      <c r="R236" s="1061"/>
    </row>
    <row r="237" ht="12.75" customHeight="1">
      <c r="A237" s="806">
        <f t="shared" si="5"/>
        <v>19</v>
      </c>
      <c r="B237" s="1057" t="s">
        <v>6860</v>
      </c>
      <c r="C237" s="1057"/>
      <c r="D237" s="1079"/>
      <c r="E237" s="1059" t="s">
        <v>5809</v>
      </c>
      <c r="F237" s="806" t="s">
        <v>1253</v>
      </c>
      <c r="G237" s="1090">
        <v>45844.0</v>
      </c>
      <c r="H237" s="806" t="s">
        <v>7153</v>
      </c>
      <c r="I237" s="1073"/>
      <c r="J237" s="806" t="s">
        <v>7230</v>
      </c>
      <c r="K237" s="806"/>
      <c r="L237" s="1058"/>
      <c r="M237" s="806" t="s">
        <v>7156</v>
      </c>
      <c r="N237" s="806" t="s">
        <v>7157</v>
      </c>
      <c r="O237" s="1058"/>
      <c r="P237" s="1058"/>
      <c r="Q237" s="1061">
        <v>1.0</v>
      </c>
      <c r="R237" s="1061"/>
    </row>
    <row r="238" ht="12.75" customHeight="1">
      <c r="A238" s="806">
        <f t="shared" si="5"/>
        <v>20</v>
      </c>
      <c r="B238" s="1057" t="s">
        <v>6861</v>
      </c>
      <c r="C238" s="1057"/>
      <c r="D238" s="1079"/>
      <c r="E238" s="1059" t="s">
        <v>5809</v>
      </c>
      <c r="F238" s="806" t="s">
        <v>1253</v>
      </c>
      <c r="G238" s="1090">
        <v>45844.0</v>
      </c>
      <c r="H238" s="806" t="s">
        <v>7153</v>
      </c>
      <c r="I238" s="1073"/>
      <c r="J238" s="806" t="s">
        <v>7230</v>
      </c>
      <c r="K238" s="806"/>
      <c r="L238" s="1058"/>
      <c r="M238" s="806" t="s">
        <v>7156</v>
      </c>
      <c r="N238" s="806" t="s">
        <v>7157</v>
      </c>
      <c r="O238" s="1058"/>
      <c r="P238" s="1058"/>
      <c r="Q238" s="1061">
        <v>1.0</v>
      </c>
      <c r="R238" s="1061"/>
    </row>
    <row r="239" ht="12.75" customHeight="1">
      <c r="A239" s="806">
        <f t="shared" si="5"/>
        <v>21</v>
      </c>
      <c r="B239" s="1057" t="s">
        <v>6862</v>
      </c>
      <c r="C239" s="1057"/>
      <c r="D239" s="1079"/>
      <c r="E239" s="1059" t="s">
        <v>5809</v>
      </c>
      <c r="F239" s="806" t="s">
        <v>1253</v>
      </c>
      <c r="G239" s="1090">
        <v>45844.0</v>
      </c>
      <c r="H239" s="806" t="s">
        <v>7153</v>
      </c>
      <c r="I239" s="1073"/>
      <c r="J239" s="806" t="s">
        <v>7230</v>
      </c>
      <c r="K239" s="806"/>
      <c r="L239" s="1058"/>
      <c r="M239" s="806" t="s">
        <v>7156</v>
      </c>
      <c r="N239" s="806" t="s">
        <v>7157</v>
      </c>
      <c r="O239" s="1058"/>
      <c r="P239" s="1058"/>
      <c r="Q239" s="1061">
        <v>1.0</v>
      </c>
      <c r="R239" s="1061"/>
    </row>
    <row r="240" ht="12.75" customHeight="1">
      <c r="A240" s="806">
        <f t="shared" si="5"/>
        <v>22</v>
      </c>
      <c r="B240" s="1057" t="s">
        <v>6863</v>
      </c>
      <c r="C240" s="1057"/>
      <c r="D240" s="1079"/>
      <c r="E240" s="1059" t="s">
        <v>5809</v>
      </c>
      <c r="F240" s="806" t="s">
        <v>1253</v>
      </c>
      <c r="G240" s="1090">
        <v>45844.0</v>
      </c>
      <c r="H240" s="806" t="s">
        <v>7153</v>
      </c>
      <c r="I240" s="1073"/>
      <c r="J240" s="806" t="s">
        <v>7230</v>
      </c>
      <c r="K240" s="806"/>
      <c r="L240" s="1058"/>
      <c r="M240" s="806" t="s">
        <v>7156</v>
      </c>
      <c r="N240" s="806" t="s">
        <v>7157</v>
      </c>
      <c r="O240" s="1058"/>
      <c r="P240" s="1058"/>
      <c r="Q240" s="1061">
        <v>1.0</v>
      </c>
      <c r="R240" s="1061"/>
    </row>
    <row r="241" ht="12.75" customHeight="1">
      <c r="A241" s="806">
        <f t="shared" si="5"/>
        <v>23</v>
      </c>
      <c r="B241" s="1057" t="s">
        <v>6864</v>
      </c>
      <c r="C241" s="1057"/>
      <c r="D241" s="1079"/>
      <c r="E241" s="1059" t="s">
        <v>5809</v>
      </c>
      <c r="F241" s="806" t="s">
        <v>1253</v>
      </c>
      <c r="G241" s="1090">
        <v>45844.0</v>
      </c>
      <c r="H241" s="806" t="s">
        <v>7153</v>
      </c>
      <c r="I241" s="1073"/>
      <c r="J241" s="806" t="s">
        <v>7230</v>
      </c>
      <c r="K241" s="806"/>
      <c r="L241" s="1058"/>
      <c r="M241" s="806" t="s">
        <v>7156</v>
      </c>
      <c r="N241" s="806" t="s">
        <v>7157</v>
      </c>
      <c r="O241" s="1058"/>
      <c r="P241" s="1058"/>
      <c r="Q241" s="1061">
        <v>1.0</v>
      </c>
      <c r="R241" s="1061"/>
    </row>
    <row r="242" ht="12.75" customHeight="1">
      <c r="A242" s="806">
        <f t="shared" si="5"/>
        <v>24</v>
      </c>
      <c r="B242" s="1057" t="s">
        <v>6865</v>
      </c>
      <c r="C242" s="1057"/>
      <c r="D242" s="1079"/>
      <c r="E242" s="1059" t="s">
        <v>5809</v>
      </c>
      <c r="F242" s="806" t="s">
        <v>1253</v>
      </c>
      <c r="G242" s="1090">
        <v>45844.0</v>
      </c>
      <c r="H242" s="806" t="s">
        <v>7153</v>
      </c>
      <c r="I242" s="1073"/>
      <c r="J242" s="806" t="s">
        <v>7230</v>
      </c>
      <c r="K242" s="806"/>
      <c r="L242" s="1058"/>
      <c r="M242" s="806" t="s">
        <v>7156</v>
      </c>
      <c r="N242" s="806" t="s">
        <v>7157</v>
      </c>
      <c r="O242" s="1058"/>
      <c r="P242" s="1058"/>
      <c r="Q242" s="1061">
        <v>1.0</v>
      </c>
      <c r="R242" s="1061"/>
    </row>
    <row r="243" ht="12.75" customHeight="1">
      <c r="A243" s="806">
        <v>1.0</v>
      </c>
      <c r="B243" s="1057" t="s">
        <v>7242</v>
      </c>
      <c r="C243" s="1057"/>
      <c r="D243" s="1079"/>
      <c r="E243" s="1059" t="s">
        <v>5809</v>
      </c>
      <c r="F243" s="806" t="s">
        <v>1253</v>
      </c>
      <c r="G243" s="1077" t="s">
        <v>3695</v>
      </c>
      <c r="H243" s="806" t="s">
        <v>7153</v>
      </c>
      <c r="I243" s="1073"/>
      <c r="J243" s="806" t="s">
        <v>7230</v>
      </c>
      <c r="K243" s="806"/>
      <c r="L243" s="1058"/>
      <c r="M243" s="806" t="s">
        <v>7156</v>
      </c>
      <c r="N243" s="806" t="s">
        <v>7157</v>
      </c>
      <c r="O243" s="1058"/>
      <c r="P243" s="1058"/>
      <c r="Q243" s="1078"/>
      <c r="R243" s="1078"/>
    </row>
    <row r="244" ht="12.75" customHeight="1">
      <c r="A244" s="806">
        <v>2.0</v>
      </c>
      <c r="B244" s="1057" t="s">
        <v>7243</v>
      </c>
      <c r="C244" s="1057"/>
      <c r="D244" s="1079"/>
      <c r="E244" s="1059" t="s">
        <v>5809</v>
      </c>
      <c r="F244" s="806" t="s">
        <v>1253</v>
      </c>
      <c r="G244" s="1077" t="s">
        <v>3695</v>
      </c>
      <c r="H244" s="806" t="s">
        <v>7153</v>
      </c>
      <c r="I244" s="1073"/>
      <c r="J244" s="806" t="s">
        <v>7230</v>
      </c>
      <c r="K244" s="806"/>
      <c r="L244" s="1058"/>
      <c r="M244" s="806" t="s">
        <v>7156</v>
      </c>
      <c r="N244" s="806" t="s">
        <v>7157</v>
      </c>
      <c r="O244" s="1058"/>
      <c r="P244" s="1058"/>
      <c r="Q244" s="1078"/>
      <c r="R244" s="1078"/>
    </row>
    <row r="245" ht="12.75" customHeight="1">
      <c r="A245" s="806">
        <v>3.0</v>
      </c>
      <c r="B245" s="1057" t="s">
        <v>7244</v>
      </c>
      <c r="C245" s="1057"/>
      <c r="D245" s="1079"/>
      <c r="E245" s="1059" t="s">
        <v>5809</v>
      </c>
      <c r="F245" s="806" t="s">
        <v>1253</v>
      </c>
      <c r="G245" s="1077" t="s">
        <v>3695</v>
      </c>
      <c r="H245" s="806" t="s">
        <v>7153</v>
      </c>
      <c r="I245" s="1073"/>
      <c r="J245" s="806" t="s">
        <v>7230</v>
      </c>
      <c r="K245" s="806"/>
      <c r="L245" s="1058"/>
      <c r="M245" s="806" t="s">
        <v>7156</v>
      </c>
      <c r="N245" s="806" t="s">
        <v>7157</v>
      </c>
      <c r="O245" s="1058"/>
      <c r="P245" s="1058"/>
      <c r="Q245" s="1078"/>
      <c r="R245" s="1078"/>
    </row>
    <row r="246" ht="12.75" customHeight="1">
      <c r="A246" s="806">
        <v>4.0</v>
      </c>
      <c r="B246" s="1057" t="s">
        <v>7245</v>
      </c>
      <c r="C246" s="1057"/>
      <c r="D246" s="1079"/>
      <c r="E246" s="1059" t="s">
        <v>5809</v>
      </c>
      <c r="F246" s="806" t="s">
        <v>1253</v>
      </c>
      <c r="G246" s="1077" t="s">
        <v>3695</v>
      </c>
      <c r="H246" s="806" t="s">
        <v>7153</v>
      </c>
      <c r="I246" s="1073"/>
      <c r="J246" s="806" t="s">
        <v>7230</v>
      </c>
      <c r="K246" s="806"/>
      <c r="L246" s="1058"/>
      <c r="M246" s="806" t="s">
        <v>7156</v>
      </c>
      <c r="N246" s="806" t="s">
        <v>7157</v>
      </c>
      <c r="O246" s="1058"/>
      <c r="P246" s="1058"/>
      <c r="Q246" s="1078"/>
      <c r="R246" s="1078"/>
    </row>
    <row r="247" ht="12.75" customHeight="1">
      <c r="A247" s="806">
        <v>5.0</v>
      </c>
      <c r="B247" s="1057" t="s">
        <v>7246</v>
      </c>
      <c r="C247" s="1057"/>
      <c r="D247" s="1079"/>
      <c r="E247" s="1059" t="s">
        <v>5809</v>
      </c>
      <c r="F247" s="806" t="s">
        <v>1253</v>
      </c>
      <c r="G247" s="1077" t="s">
        <v>3695</v>
      </c>
      <c r="H247" s="806" t="s">
        <v>7153</v>
      </c>
      <c r="I247" s="1073"/>
      <c r="J247" s="806" t="s">
        <v>7230</v>
      </c>
      <c r="K247" s="806"/>
      <c r="L247" s="1058"/>
      <c r="M247" s="806" t="s">
        <v>7156</v>
      </c>
      <c r="N247" s="806" t="s">
        <v>7157</v>
      </c>
      <c r="O247" s="1058"/>
      <c r="P247" s="1058"/>
      <c r="Q247" s="1078"/>
      <c r="R247" s="1078"/>
    </row>
    <row r="248" ht="12.75" customHeight="1">
      <c r="A248" s="806">
        <v>6.0</v>
      </c>
      <c r="B248" s="1057" t="s">
        <v>7247</v>
      </c>
      <c r="C248" s="1057"/>
      <c r="D248" s="1079"/>
      <c r="E248" s="1059" t="s">
        <v>5809</v>
      </c>
      <c r="F248" s="806" t="s">
        <v>1253</v>
      </c>
      <c r="G248" s="1077" t="s">
        <v>3695</v>
      </c>
      <c r="H248" s="806" t="s">
        <v>7153</v>
      </c>
      <c r="I248" s="1073"/>
      <c r="J248" s="806" t="s">
        <v>7230</v>
      </c>
      <c r="K248" s="806"/>
      <c r="L248" s="1058"/>
      <c r="M248" s="806" t="s">
        <v>7156</v>
      </c>
      <c r="N248" s="806" t="s">
        <v>7157</v>
      </c>
      <c r="O248" s="1058"/>
      <c r="P248" s="1058"/>
      <c r="Q248" s="1078"/>
      <c r="R248" s="1078"/>
    </row>
    <row r="249" ht="12.75" customHeight="1">
      <c r="A249" s="806">
        <v>7.0</v>
      </c>
      <c r="B249" s="1057" t="s">
        <v>7248</v>
      </c>
      <c r="C249" s="1057"/>
      <c r="D249" s="1079"/>
      <c r="E249" s="1059" t="s">
        <v>5809</v>
      </c>
      <c r="F249" s="806" t="s">
        <v>1253</v>
      </c>
      <c r="G249" s="1077" t="s">
        <v>3695</v>
      </c>
      <c r="H249" s="806" t="s">
        <v>7153</v>
      </c>
      <c r="I249" s="1073"/>
      <c r="J249" s="806" t="s">
        <v>7230</v>
      </c>
      <c r="K249" s="806"/>
      <c r="L249" s="1058"/>
      <c r="M249" s="806" t="s">
        <v>7156</v>
      </c>
      <c r="N249" s="806" t="s">
        <v>7157</v>
      </c>
      <c r="O249" s="1058"/>
      <c r="P249" s="1058"/>
      <c r="Q249" s="1078"/>
      <c r="R249" s="1078"/>
    </row>
    <row r="250" ht="12.75" customHeight="1">
      <c r="A250" s="806">
        <v>8.0</v>
      </c>
      <c r="B250" s="1057" t="s">
        <v>7251</v>
      </c>
      <c r="C250" s="1057"/>
      <c r="D250" s="1079"/>
      <c r="E250" s="1059" t="s">
        <v>5809</v>
      </c>
      <c r="F250" s="806" t="s">
        <v>1253</v>
      </c>
      <c r="G250" s="1077" t="s">
        <v>3695</v>
      </c>
      <c r="H250" s="806" t="s">
        <v>7153</v>
      </c>
      <c r="I250" s="1073"/>
      <c r="J250" s="806" t="s">
        <v>7230</v>
      </c>
      <c r="K250" s="806"/>
      <c r="L250" s="1058"/>
      <c r="M250" s="806" t="s">
        <v>7156</v>
      </c>
      <c r="N250" s="806" t="s">
        <v>7157</v>
      </c>
      <c r="O250" s="1058"/>
      <c r="P250" s="1058"/>
      <c r="Q250" s="1078"/>
      <c r="R250" s="1078"/>
    </row>
    <row r="251" ht="12.75" customHeight="1">
      <c r="A251" s="806">
        <v>9.0</v>
      </c>
      <c r="B251" s="1057" t="s">
        <v>7256</v>
      </c>
      <c r="C251" s="1057"/>
      <c r="D251" s="1079"/>
      <c r="E251" s="1059" t="s">
        <v>5809</v>
      </c>
      <c r="F251" s="806" t="s">
        <v>1253</v>
      </c>
      <c r="G251" s="1077" t="s">
        <v>3695</v>
      </c>
      <c r="H251" s="806" t="s">
        <v>7153</v>
      </c>
      <c r="I251" s="1073"/>
      <c r="J251" s="806" t="s">
        <v>7230</v>
      </c>
      <c r="K251" s="806"/>
      <c r="L251" s="1058"/>
      <c r="M251" s="806" t="s">
        <v>7156</v>
      </c>
      <c r="N251" s="806" t="s">
        <v>7157</v>
      </c>
      <c r="O251" s="1058"/>
      <c r="P251" s="1058"/>
      <c r="Q251" s="1078"/>
      <c r="R251" s="1078"/>
    </row>
    <row r="252" ht="12.75" customHeight="1">
      <c r="A252" s="806">
        <v>10.0</v>
      </c>
      <c r="B252" s="1057" t="s">
        <v>7259</v>
      </c>
      <c r="C252" s="1057"/>
      <c r="D252" s="1079"/>
      <c r="E252" s="1059" t="s">
        <v>5809</v>
      </c>
      <c r="F252" s="806" t="s">
        <v>1253</v>
      </c>
      <c r="G252" s="1077" t="s">
        <v>3695</v>
      </c>
      <c r="H252" s="806" t="s">
        <v>7153</v>
      </c>
      <c r="I252" s="1073"/>
      <c r="J252" s="806" t="s">
        <v>7230</v>
      </c>
      <c r="K252" s="806"/>
      <c r="L252" s="1058"/>
      <c r="M252" s="806" t="s">
        <v>7156</v>
      </c>
      <c r="N252" s="806" t="s">
        <v>7157</v>
      </c>
      <c r="O252" s="1058"/>
      <c r="P252" s="1058"/>
      <c r="Q252" s="1078"/>
      <c r="R252" s="1078"/>
    </row>
    <row r="253" ht="12.75" customHeight="1">
      <c r="A253" s="806">
        <v>11.0</v>
      </c>
      <c r="B253" s="1057" t="s">
        <v>7260</v>
      </c>
      <c r="C253" s="1057"/>
      <c r="D253" s="1079"/>
      <c r="E253" s="1059" t="s">
        <v>5809</v>
      </c>
      <c r="F253" s="806" t="s">
        <v>1253</v>
      </c>
      <c r="G253" s="1077" t="s">
        <v>3695</v>
      </c>
      <c r="H253" s="806" t="s">
        <v>7153</v>
      </c>
      <c r="I253" s="1073"/>
      <c r="J253" s="806" t="s">
        <v>7230</v>
      </c>
      <c r="K253" s="806"/>
      <c r="L253" s="1058"/>
      <c r="M253" s="806" t="s">
        <v>7156</v>
      </c>
      <c r="N253" s="806" t="s">
        <v>7157</v>
      </c>
      <c r="O253" s="1058"/>
      <c r="P253" s="1058"/>
      <c r="Q253" s="1078"/>
      <c r="R253" s="1078"/>
    </row>
    <row r="254" ht="12.75" customHeight="1">
      <c r="A254" s="806">
        <v>12.0</v>
      </c>
      <c r="B254" s="1057" t="s">
        <v>7264</v>
      </c>
      <c r="C254" s="1057"/>
      <c r="D254" s="1079"/>
      <c r="E254" s="1059" t="s">
        <v>5809</v>
      </c>
      <c r="F254" s="806" t="s">
        <v>1253</v>
      </c>
      <c r="G254" s="1077" t="s">
        <v>3695</v>
      </c>
      <c r="H254" s="806" t="s">
        <v>7153</v>
      </c>
      <c r="I254" s="1073"/>
      <c r="J254" s="806" t="s">
        <v>7230</v>
      </c>
      <c r="K254" s="806"/>
      <c r="L254" s="1058"/>
      <c r="M254" s="806" t="s">
        <v>7156</v>
      </c>
      <c r="N254" s="806" t="s">
        <v>7157</v>
      </c>
      <c r="O254" s="1058"/>
      <c r="P254" s="1058"/>
      <c r="Q254" s="1078"/>
      <c r="R254" s="1078"/>
    </row>
    <row r="255" ht="12.75" customHeight="1">
      <c r="A255" s="806">
        <v>13.0</v>
      </c>
      <c r="B255" s="1057" t="s">
        <v>7267</v>
      </c>
      <c r="C255" s="1057"/>
      <c r="D255" s="1058"/>
      <c r="E255" s="1059" t="s">
        <v>5809</v>
      </c>
      <c r="F255" s="806" t="s">
        <v>1253</v>
      </c>
      <c r="G255" s="1077" t="s">
        <v>3695</v>
      </c>
      <c r="H255" s="806" t="s">
        <v>7153</v>
      </c>
      <c r="I255" s="1057"/>
      <c r="J255" s="806" t="s">
        <v>7230</v>
      </c>
      <c r="K255" s="806"/>
      <c r="L255" s="1058"/>
      <c r="M255" s="806" t="s">
        <v>7156</v>
      </c>
      <c r="N255" s="806" t="s">
        <v>7157</v>
      </c>
      <c r="O255" s="1058"/>
      <c r="P255" s="1058"/>
      <c r="Q255" s="1078"/>
      <c r="R255" s="1078"/>
    </row>
    <row r="256" ht="12.75" customHeight="1">
      <c r="A256" s="806">
        <v>14.0</v>
      </c>
      <c r="B256" s="1057" t="s">
        <v>7269</v>
      </c>
      <c r="C256" s="1057"/>
      <c r="D256" s="1058"/>
      <c r="E256" s="1059" t="s">
        <v>5809</v>
      </c>
      <c r="F256" s="806" t="s">
        <v>1253</v>
      </c>
      <c r="G256" s="1077" t="s">
        <v>3695</v>
      </c>
      <c r="H256" s="806" t="s">
        <v>7153</v>
      </c>
      <c r="I256" s="1057"/>
      <c r="J256" s="806" t="s">
        <v>7230</v>
      </c>
      <c r="K256" s="806"/>
      <c r="L256" s="1058"/>
      <c r="M256" s="806" t="s">
        <v>7156</v>
      </c>
      <c r="N256" s="806" t="s">
        <v>7157</v>
      </c>
      <c r="O256" s="1058"/>
      <c r="P256" s="1058"/>
      <c r="Q256" s="1078"/>
      <c r="R256" s="1078"/>
    </row>
    <row r="257" ht="12.75" customHeight="1">
      <c r="A257" s="806">
        <v>15.0</v>
      </c>
      <c r="B257" s="1057" t="s">
        <v>7273</v>
      </c>
      <c r="C257" s="1057"/>
      <c r="D257" s="1058"/>
      <c r="E257" s="1059" t="s">
        <v>5809</v>
      </c>
      <c r="F257" s="806" t="s">
        <v>1253</v>
      </c>
      <c r="G257" s="1077" t="s">
        <v>3695</v>
      </c>
      <c r="H257" s="806" t="s">
        <v>7153</v>
      </c>
      <c r="I257" s="1057"/>
      <c r="J257" s="806" t="s">
        <v>7230</v>
      </c>
      <c r="K257" s="806"/>
      <c r="L257" s="1058"/>
      <c r="M257" s="806" t="s">
        <v>7156</v>
      </c>
      <c r="N257" s="806" t="s">
        <v>7157</v>
      </c>
      <c r="O257" s="1058"/>
      <c r="P257" s="1058"/>
      <c r="Q257" s="1078"/>
      <c r="R257" s="1078"/>
    </row>
    <row r="258" ht="12.75" customHeight="1">
      <c r="A258" s="806">
        <v>16.0</v>
      </c>
      <c r="B258" s="1057" t="s">
        <v>7278</v>
      </c>
      <c r="C258" s="1057"/>
      <c r="D258" s="1058"/>
      <c r="E258" s="1059" t="s">
        <v>5809</v>
      </c>
      <c r="F258" s="806" t="s">
        <v>1253</v>
      </c>
      <c r="G258" s="1077" t="s">
        <v>3695</v>
      </c>
      <c r="H258" s="806" t="s">
        <v>7153</v>
      </c>
      <c r="I258" s="1057"/>
      <c r="J258" s="806" t="s">
        <v>7230</v>
      </c>
      <c r="K258" s="806"/>
      <c r="L258" s="1058"/>
      <c r="M258" s="806" t="s">
        <v>7156</v>
      </c>
      <c r="N258" s="806" t="s">
        <v>7157</v>
      </c>
      <c r="O258" s="1058"/>
      <c r="P258" s="1058"/>
      <c r="Q258" s="1078"/>
      <c r="R258" s="1078"/>
    </row>
    <row r="259" ht="12.75" customHeight="1">
      <c r="A259" s="806">
        <v>17.0</v>
      </c>
      <c r="B259" s="1057" t="s">
        <v>7283</v>
      </c>
      <c r="C259" s="1057"/>
      <c r="D259" s="1058"/>
      <c r="E259" s="1059" t="s">
        <v>5809</v>
      </c>
      <c r="F259" s="806" t="s">
        <v>1253</v>
      </c>
      <c r="G259" s="1077" t="s">
        <v>3695</v>
      </c>
      <c r="H259" s="806" t="s">
        <v>7153</v>
      </c>
      <c r="I259" s="1057"/>
      <c r="J259" s="806" t="s">
        <v>7230</v>
      </c>
      <c r="K259" s="806"/>
      <c r="L259" s="1058"/>
      <c r="M259" s="806" t="s">
        <v>7156</v>
      </c>
      <c r="N259" s="806" t="s">
        <v>7157</v>
      </c>
      <c r="O259" s="1058"/>
      <c r="P259" s="1058"/>
      <c r="Q259" s="1078"/>
      <c r="R259" s="1078"/>
    </row>
    <row r="260" ht="12.75" customHeight="1">
      <c r="A260" s="806">
        <v>18.0</v>
      </c>
      <c r="B260" s="1057" t="s">
        <v>7285</v>
      </c>
      <c r="C260" s="1057"/>
      <c r="D260" s="1058"/>
      <c r="E260" s="1059" t="s">
        <v>5809</v>
      </c>
      <c r="F260" s="806" t="s">
        <v>1253</v>
      </c>
      <c r="G260" s="1077" t="s">
        <v>3695</v>
      </c>
      <c r="H260" s="806" t="s">
        <v>7153</v>
      </c>
      <c r="I260" s="1057"/>
      <c r="J260" s="806" t="s">
        <v>7230</v>
      </c>
      <c r="K260" s="806"/>
      <c r="L260" s="1058"/>
      <c r="M260" s="806" t="s">
        <v>7156</v>
      </c>
      <c r="N260" s="806" t="s">
        <v>7157</v>
      </c>
      <c r="O260" s="1058"/>
      <c r="P260" s="1058"/>
      <c r="Q260" s="1078"/>
      <c r="R260" s="1078"/>
    </row>
    <row r="261" ht="12.75" customHeight="1">
      <c r="A261" s="806">
        <v>19.0</v>
      </c>
      <c r="B261" s="1057" t="s">
        <v>7286</v>
      </c>
      <c r="C261" s="1057"/>
      <c r="D261" s="1058"/>
      <c r="E261" s="1059" t="s">
        <v>5809</v>
      </c>
      <c r="F261" s="806" t="s">
        <v>1253</v>
      </c>
      <c r="G261" s="1077" t="s">
        <v>3695</v>
      </c>
      <c r="H261" s="806" t="s">
        <v>7153</v>
      </c>
      <c r="I261" s="1057"/>
      <c r="J261" s="806" t="s">
        <v>7230</v>
      </c>
      <c r="K261" s="806"/>
      <c r="L261" s="1058"/>
      <c r="M261" s="806" t="s">
        <v>7156</v>
      </c>
      <c r="N261" s="806" t="s">
        <v>7157</v>
      </c>
      <c r="O261" s="1058"/>
      <c r="P261" s="1058"/>
      <c r="Q261" s="1078"/>
      <c r="R261" s="1078"/>
    </row>
    <row r="262" ht="12.75" customHeight="1">
      <c r="A262" s="806">
        <v>20.0</v>
      </c>
      <c r="B262" s="1057" t="s">
        <v>7287</v>
      </c>
      <c r="C262" s="1057"/>
      <c r="D262" s="1058"/>
      <c r="E262" s="1059" t="s">
        <v>5809</v>
      </c>
      <c r="F262" s="806" t="s">
        <v>1253</v>
      </c>
      <c r="G262" s="1077" t="s">
        <v>3695</v>
      </c>
      <c r="H262" s="806" t="s">
        <v>7153</v>
      </c>
      <c r="I262" s="1057"/>
      <c r="J262" s="806" t="s">
        <v>7230</v>
      </c>
      <c r="K262" s="806"/>
      <c r="L262" s="1058"/>
      <c r="M262" s="806" t="s">
        <v>7156</v>
      </c>
      <c r="N262" s="806" t="s">
        <v>7157</v>
      </c>
      <c r="O262" s="1058"/>
      <c r="P262" s="1058"/>
      <c r="Q262" s="1078"/>
      <c r="R262" s="1078"/>
    </row>
    <row r="263" ht="12.75" customHeight="1">
      <c r="A263" s="806"/>
      <c r="B263" s="1057"/>
      <c r="C263" s="1057"/>
      <c r="D263" s="1058"/>
      <c r="E263" s="1059"/>
      <c r="F263" s="1084"/>
      <c r="G263" s="1084"/>
      <c r="H263" s="806"/>
      <c r="I263" s="1057"/>
      <c r="J263" s="806"/>
      <c r="K263" s="806"/>
      <c r="L263" s="1058"/>
      <c r="M263" s="806"/>
      <c r="N263" s="806"/>
      <c r="O263" s="1058"/>
      <c r="P263" s="1058"/>
      <c r="Q263" s="1078"/>
      <c r="R263" s="1078"/>
    </row>
    <row r="264" ht="12.75" customHeight="1">
      <c r="A264" s="806"/>
      <c r="B264" s="1057"/>
      <c r="C264" s="1057"/>
      <c r="D264" s="1058"/>
      <c r="E264" s="1059"/>
      <c r="F264" s="1084"/>
      <c r="G264" s="1084"/>
      <c r="H264" s="806"/>
      <c r="I264" s="1057"/>
      <c r="J264" s="806"/>
      <c r="K264" s="806"/>
      <c r="L264" s="1058"/>
      <c r="M264" s="806"/>
      <c r="N264" s="806"/>
      <c r="O264" s="1058"/>
      <c r="P264" s="1058"/>
      <c r="Q264" s="1078"/>
      <c r="R264" s="1078"/>
    </row>
    <row r="265" ht="12.75" customHeight="1">
      <c r="A265" s="806"/>
      <c r="B265" s="1057"/>
      <c r="C265" s="1057"/>
      <c r="D265" s="1058"/>
      <c r="E265" s="1059"/>
      <c r="F265" s="1084"/>
      <c r="G265" s="1084"/>
      <c r="H265" s="806"/>
      <c r="I265" s="1057"/>
      <c r="J265" s="806"/>
      <c r="K265" s="806"/>
      <c r="L265" s="1058"/>
      <c r="M265" s="806"/>
      <c r="N265" s="806"/>
      <c r="O265" s="1058"/>
      <c r="P265" s="1058"/>
      <c r="Q265" s="1078"/>
      <c r="R265" s="1078"/>
    </row>
    <row r="266" ht="12.75" customHeight="1">
      <c r="A266" s="806"/>
      <c r="B266" s="1057"/>
      <c r="C266" s="1057" t="s">
        <v>374</v>
      </c>
      <c r="D266" s="1058"/>
      <c r="E266" s="1059"/>
      <c r="F266" s="1084"/>
      <c r="G266" s="1084"/>
      <c r="H266" s="806"/>
      <c r="I266" s="1057"/>
      <c r="J266" s="806"/>
      <c r="K266" s="806"/>
      <c r="L266" s="1058"/>
      <c r="M266" s="806"/>
      <c r="N266" s="806"/>
      <c r="O266" s="1058"/>
      <c r="P266" s="1058"/>
      <c r="Q266" s="1078"/>
      <c r="R266" s="1078"/>
    </row>
    <row r="267" ht="12.75" customHeight="1">
      <c r="A267" s="1049" t="s">
        <v>7297</v>
      </c>
      <c r="B267" s="1050" t="s">
        <v>6866</v>
      </c>
      <c r="C267" s="1051">
        <f>COUNTA($B$268:$B$314)</f>
        <v>46</v>
      </c>
      <c r="D267" s="1052"/>
      <c r="E267" s="1052"/>
      <c r="F267" s="1053"/>
      <c r="G267" s="1054"/>
      <c r="H267" s="1053"/>
      <c r="I267" s="1051"/>
      <c r="J267" s="1053"/>
      <c r="K267" s="1053"/>
      <c r="L267" s="1055"/>
      <c r="M267" s="1053"/>
      <c r="N267" s="1053"/>
      <c r="O267" s="1055"/>
      <c r="P267" s="1055"/>
      <c r="Q267" s="1056"/>
      <c r="R267" s="1056"/>
    </row>
    <row r="268" ht="12.75" customHeight="1">
      <c r="A268" s="806">
        <v>1.0</v>
      </c>
      <c r="B268" s="1057" t="s">
        <v>6867</v>
      </c>
      <c r="C268" s="1057"/>
      <c r="D268" s="1058"/>
      <c r="E268" s="1059" t="s">
        <v>5810</v>
      </c>
      <c r="F268" s="806" t="s">
        <v>1389</v>
      </c>
      <c r="G268" s="806" t="s">
        <v>7301</v>
      </c>
      <c r="H268" s="806" t="s">
        <v>7153</v>
      </c>
      <c r="I268" s="1057"/>
      <c r="J268" s="806" t="s">
        <v>1093</v>
      </c>
      <c r="K268" s="806" t="s">
        <v>7302</v>
      </c>
      <c r="L268" s="1058"/>
      <c r="M268" s="806" t="s">
        <v>7210</v>
      </c>
      <c r="N268" s="806" t="s">
        <v>7211</v>
      </c>
      <c r="O268" s="1057" t="s">
        <v>7303</v>
      </c>
      <c r="P268" s="1058"/>
      <c r="Q268" s="1061">
        <v>0.5</v>
      </c>
      <c r="R268" s="1061"/>
    </row>
    <row r="269" ht="12.75" customHeight="1">
      <c r="A269" s="806">
        <f t="shared" ref="A269:A313" si="6">A268+1</f>
        <v>2</v>
      </c>
      <c r="B269" s="1057" t="s">
        <v>6868</v>
      </c>
      <c r="C269" s="1057"/>
      <c r="D269" s="1058"/>
      <c r="E269" s="1059" t="s">
        <v>5810</v>
      </c>
      <c r="F269" s="806" t="s">
        <v>1389</v>
      </c>
      <c r="G269" s="806" t="s">
        <v>7301</v>
      </c>
      <c r="H269" s="806" t="s">
        <v>7153</v>
      </c>
      <c r="I269" s="1057"/>
      <c r="J269" s="806" t="s">
        <v>1093</v>
      </c>
      <c r="K269" s="806" t="s">
        <v>7302</v>
      </c>
      <c r="L269" s="1058"/>
      <c r="M269" s="806" t="s">
        <v>7210</v>
      </c>
      <c r="N269" s="806" t="s">
        <v>7211</v>
      </c>
      <c r="O269" s="1057" t="s">
        <v>7304</v>
      </c>
      <c r="P269" s="1058"/>
      <c r="Q269" s="1061">
        <v>0.5</v>
      </c>
      <c r="R269" s="1061"/>
    </row>
    <row r="270" ht="12.75" customHeight="1">
      <c r="A270" s="806">
        <f t="shared" si="6"/>
        <v>3</v>
      </c>
      <c r="B270" s="1057" t="s">
        <v>6869</v>
      </c>
      <c r="C270" s="1057"/>
      <c r="D270" s="1058"/>
      <c r="E270" s="1059" t="s">
        <v>5810</v>
      </c>
      <c r="F270" s="806" t="s">
        <v>1389</v>
      </c>
      <c r="G270" s="806" t="s">
        <v>7301</v>
      </c>
      <c r="H270" s="806" t="s">
        <v>7153</v>
      </c>
      <c r="I270" s="1057"/>
      <c r="J270" s="806" t="s">
        <v>1093</v>
      </c>
      <c r="K270" s="806" t="s">
        <v>7302</v>
      </c>
      <c r="L270" s="1058"/>
      <c r="M270" s="806" t="s">
        <v>7210</v>
      </c>
      <c r="N270" s="806" t="s">
        <v>7211</v>
      </c>
      <c r="O270" s="1057" t="s">
        <v>7305</v>
      </c>
      <c r="P270" s="1058"/>
      <c r="Q270" s="1061">
        <v>0.5</v>
      </c>
      <c r="R270" s="1061"/>
    </row>
    <row r="271" ht="12.75" customHeight="1">
      <c r="A271" s="806">
        <f t="shared" si="6"/>
        <v>4</v>
      </c>
      <c r="B271" s="1057" t="s">
        <v>6870</v>
      </c>
      <c r="C271" s="1057"/>
      <c r="D271" s="1058"/>
      <c r="E271" s="1059" t="s">
        <v>5810</v>
      </c>
      <c r="F271" s="806" t="s">
        <v>1389</v>
      </c>
      <c r="G271" s="806" t="s">
        <v>7301</v>
      </c>
      <c r="H271" s="806" t="s">
        <v>7153</v>
      </c>
      <c r="I271" s="1057"/>
      <c r="J271" s="806" t="s">
        <v>1093</v>
      </c>
      <c r="K271" s="806" t="s">
        <v>7302</v>
      </c>
      <c r="L271" s="1058"/>
      <c r="M271" s="806" t="s">
        <v>7210</v>
      </c>
      <c r="N271" s="806" t="s">
        <v>7211</v>
      </c>
      <c r="O271" s="1057" t="s">
        <v>7309</v>
      </c>
      <c r="P271" s="1058"/>
      <c r="Q271" s="1061">
        <v>0.5</v>
      </c>
      <c r="R271" s="1061"/>
    </row>
    <row r="272" ht="12.75" customHeight="1">
      <c r="A272" s="806">
        <f t="shared" si="6"/>
        <v>5</v>
      </c>
      <c r="B272" s="1057" t="s">
        <v>6871</v>
      </c>
      <c r="C272" s="1057"/>
      <c r="D272" s="1058"/>
      <c r="E272" s="1059" t="s">
        <v>5810</v>
      </c>
      <c r="F272" s="806" t="s">
        <v>1389</v>
      </c>
      <c r="G272" s="806" t="s">
        <v>7301</v>
      </c>
      <c r="H272" s="806" t="s">
        <v>7153</v>
      </c>
      <c r="I272" s="1057"/>
      <c r="J272" s="806" t="s">
        <v>1093</v>
      </c>
      <c r="K272" s="806" t="s">
        <v>7302</v>
      </c>
      <c r="L272" s="1058"/>
      <c r="M272" s="806" t="s">
        <v>7210</v>
      </c>
      <c r="N272" s="806" t="s">
        <v>7211</v>
      </c>
      <c r="O272" s="1057" t="s">
        <v>7311</v>
      </c>
      <c r="P272" s="1058"/>
      <c r="Q272" s="1061">
        <v>0.5</v>
      </c>
      <c r="R272" s="1061"/>
    </row>
    <row r="273" ht="12.75" customHeight="1">
      <c r="A273" s="806">
        <f t="shared" si="6"/>
        <v>6</v>
      </c>
      <c r="B273" s="1057" t="s">
        <v>6872</v>
      </c>
      <c r="C273" s="1057"/>
      <c r="D273" s="1058"/>
      <c r="E273" s="1059" t="s">
        <v>5810</v>
      </c>
      <c r="F273" s="806" t="s">
        <v>1389</v>
      </c>
      <c r="G273" s="806" t="s">
        <v>7301</v>
      </c>
      <c r="H273" s="806" t="s">
        <v>7153</v>
      </c>
      <c r="I273" s="1057"/>
      <c r="J273" s="806" t="s">
        <v>1093</v>
      </c>
      <c r="K273" s="806" t="s">
        <v>7302</v>
      </c>
      <c r="L273" s="1058"/>
      <c r="M273" s="806" t="s">
        <v>7210</v>
      </c>
      <c r="N273" s="806" t="s">
        <v>7211</v>
      </c>
      <c r="O273" s="1057" t="s">
        <v>7315</v>
      </c>
      <c r="P273" s="1058"/>
      <c r="Q273" s="1061">
        <v>0.5</v>
      </c>
      <c r="R273" s="1061"/>
    </row>
    <row r="274" ht="12.75" customHeight="1">
      <c r="A274" s="806">
        <f t="shared" si="6"/>
        <v>7</v>
      </c>
      <c r="B274" s="1057" t="s">
        <v>6873</v>
      </c>
      <c r="C274" s="1057"/>
      <c r="D274" s="1058"/>
      <c r="E274" s="1059" t="s">
        <v>5810</v>
      </c>
      <c r="F274" s="806" t="s">
        <v>1389</v>
      </c>
      <c r="G274" s="806" t="s">
        <v>7301</v>
      </c>
      <c r="H274" s="806" t="s">
        <v>7153</v>
      </c>
      <c r="I274" s="1057"/>
      <c r="J274" s="806" t="s">
        <v>1093</v>
      </c>
      <c r="K274" s="806" t="s">
        <v>7302</v>
      </c>
      <c r="L274" s="1058"/>
      <c r="M274" s="806" t="s">
        <v>7210</v>
      </c>
      <c r="N274" s="806" t="s">
        <v>7211</v>
      </c>
      <c r="O274" s="1057" t="s">
        <v>7319</v>
      </c>
      <c r="P274" s="1058"/>
      <c r="Q274" s="1061">
        <v>0.5</v>
      </c>
      <c r="R274" s="1061"/>
    </row>
    <row r="275" ht="12.75" customHeight="1">
      <c r="A275" s="806">
        <f t="shared" si="6"/>
        <v>8</v>
      </c>
      <c r="B275" s="1057" t="s">
        <v>6874</v>
      </c>
      <c r="C275" s="1057"/>
      <c r="D275" s="1058"/>
      <c r="E275" s="1059" t="s">
        <v>5810</v>
      </c>
      <c r="F275" s="806" t="s">
        <v>1389</v>
      </c>
      <c r="G275" s="806" t="s">
        <v>7301</v>
      </c>
      <c r="H275" s="806" t="s">
        <v>7153</v>
      </c>
      <c r="I275" s="1057"/>
      <c r="J275" s="806" t="s">
        <v>1093</v>
      </c>
      <c r="K275" s="806" t="s">
        <v>7302</v>
      </c>
      <c r="L275" s="1058"/>
      <c r="M275" s="806" t="s">
        <v>7210</v>
      </c>
      <c r="N275" s="806" t="s">
        <v>7211</v>
      </c>
      <c r="O275" s="1057" t="s">
        <v>7323</v>
      </c>
      <c r="P275" s="1058"/>
      <c r="Q275" s="1061">
        <v>0.5</v>
      </c>
      <c r="R275" s="1061"/>
    </row>
    <row r="276" ht="12.75" customHeight="1">
      <c r="A276" s="806">
        <f t="shared" si="6"/>
        <v>9</v>
      </c>
      <c r="B276" s="1057" t="s">
        <v>6875</v>
      </c>
      <c r="C276" s="1057"/>
      <c r="D276" s="1058"/>
      <c r="E276" s="1059" t="s">
        <v>5810</v>
      </c>
      <c r="F276" s="806" t="s">
        <v>1389</v>
      </c>
      <c r="G276" s="806" t="s">
        <v>7301</v>
      </c>
      <c r="H276" s="806" t="s">
        <v>7153</v>
      </c>
      <c r="I276" s="1057"/>
      <c r="J276" s="806" t="s">
        <v>1093</v>
      </c>
      <c r="K276" s="806" t="s">
        <v>7302</v>
      </c>
      <c r="L276" s="1058"/>
      <c r="M276" s="806" t="s">
        <v>7210</v>
      </c>
      <c r="N276" s="806" t="s">
        <v>7211</v>
      </c>
      <c r="O276" s="1057" t="s">
        <v>7327</v>
      </c>
      <c r="P276" s="1058"/>
      <c r="Q276" s="1061">
        <v>0.5</v>
      </c>
      <c r="R276" s="1061"/>
    </row>
    <row r="277" ht="12.75" customHeight="1">
      <c r="A277" s="806">
        <f t="shared" si="6"/>
        <v>10</v>
      </c>
      <c r="B277" s="1057" t="s">
        <v>6876</v>
      </c>
      <c r="C277" s="1057"/>
      <c r="D277" s="1058"/>
      <c r="E277" s="1059" t="s">
        <v>5810</v>
      </c>
      <c r="F277" s="806" t="s">
        <v>1389</v>
      </c>
      <c r="G277" s="806" t="s">
        <v>7301</v>
      </c>
      <c r="H277" s="806" t="s">
        <v>7153</v>
      </c>
      <c r="I277" s="1057"/>
      <c r="J277" s="806" t="s">
        <v>1093</v>
      </c>
      <c r="K277" s="806" t="s">
        <v>7302</v>
      </c>
      <c r="L277" s="1058"/>
      <c r="M277" s="806" t="s">
        <v>7210</v>
      </c>
      <c r="N277" s="806" t="s">
        <v>7211</v>
      </c>
      <c r="O277" s="1057" t="s">
        <v>7329</v>
      </c>
      <c r="P277" s="1058"/>
      <c r="Q277" s="1061">
        <v>0.5</v>
      </c>
      <c r="R277" s="1061"/>
    </row>
    <row r="278" ht="12.75" customHeight="1">
      <c r="A278" s="806">
        <f t="shared" si="6"/>
        <v>11</v>
      </c>
      <c r="B278" s="1057" t="s">
        <v>6877</v>
      </c>
      <c r="C278" s="1057"/>
      <c r="D278" s="1058"/>
      <c r="E278" s="1059" t="s">
        <v>5810</v>
      </c>
      <c r="F278" s="806" t="s">
        <v>1389</v>
      </c>
      <c r="G278" s="806" t="s">
        <v>7301</v>
      </c>
      <c r="H278" s="806" t="s">
        <v>7153</v>
      </c>
      <c r="I278" s="1057"/>
      <c r="J278" s="806" t="s">
        <v>1093</v>
      </c>
      <c r="K278" s="806" t="s">
        <v>7302</v>
      </c>
      <c r="L278" s="1058"/>
      <c r="M278" s="806" t="s">
        <v>7210</v>
      </c>
      <c r="N278" s="806" t="s">
        <v>7211</v>
      </c>
      <c r="O278" s="1057" t="s">
        <v>7332</v>
      </c>
      <c r="P278" s="1058"/>
      <c r="Q278" s="1061">
        <v>0.5</v>
      </c>
      <c r="R278" s="1061"/>
    </row>
    <row r="279" ht="12.75" customHeight="1">
      <c r="A279" s="806">
        <f t="shared" si="6"/>
        <v>12</v>
      </c>
      <c r="B279" s="1057" t="s">
        <v>6878</v>
      </c>
      <c r="C279" s="1057"/>
      <c r="D279" s="1058"/>
      <c r="E279" s="1059" t="s">
        <v>5810</v>
      </c>
      <c r="F279" s="806" t="s">
        <v>1389</v>
      </c>
      <c r="G279" s="806" t="s">
        <v>7301</v>
      </c>
      <c r="H279" s="806" t="s">
        <v>7153</v>
      </c>
      <c r="I279" s="1057"/>
      <c r="J279" s="806" t="s">
        <v>1093</v>
      </c>
      <c r="K279" s="806" t="s">
        <v>7302</v>
      </c>
      <c r="L279" s="1058"/>
      <c r="M279" s="806" t="s">
        <v>7210</v>
      </c>
      <c r="N279" s="806" t="s">
        <v>7211</v>
      </c>
      <c r="O279" s="1057" t="s">
        <v>7334</v>
      </c>
      <c r="P279" s="1058"/>
      <c r="Q279" s="1061">
        <v>0.5</v>
      </c>
      <c r="R279" s="1061"/>
    </row>
    <row r="280" ht="12.75" customHeight="1">
      <c r="A280" s="806">
        <f t="shared" si="6"/>
        <v>13</v>
      </c>
      <c r="B280" s="1057" t="s">
        <v>6879</v>
      </c>
      <c r="C280" s="1057"/>
      <c r="D280" s="1058"/>
      <c r="E280" s="1059" t="s">
        <v>5810</v>
      </c>
      <c r="F280" s="806" t="s">
        <v>1389</v>
      </c>
      <c r="G280" s="806" t="s">
        <v>7301</v>
      </c>
      <c r="H280" s="806" t="s">
        <v>7153</v>
      </c>
      <c r="I280" s="1057"/>
      <c r="J280" s="806" t="s">
        <v>1093</v>
      </c>
      <c r="K280" s="806" t="s">
        <v>7302</v>
      </c>
      <c r="L280" s="1058"/>
      <c r="M280" s="806" t="s">
        <v>7210</v>
      </c>
      <c r="N280" s="806" t="s">
        <v>7211</v>
      </c>
      <c r="O280" s="1057" t="s">
        <v>7335</v>
      </c>
      <c r="P280" s="1058"/>
      <c r="Q280" s="1061">
        <v>0.5</v>
      </c>
      <c r="R280" s="1061"/>
    </row>
    <row r="281" ht="12.75" customHeight="1">
      <c r="A281" s="806">
        <f t="shared" si="6"/>
        <v>14</v>
      </c>
      <c r="B281" s="1057" t="s">
        <v>6880</v>
      </c>
      <c r="C281" s="1057"/>
      <c r="D281" s="1058"/>
      <c r="E281" s="1059" t="s">
        <v>5810</v>
      </c>
      <c r="F281" s="806" t="s">
        <v>1389</v>
      </c>
      <c r="G281" s="806" t="s">
        <v>7301</v>
      </c>
      <c r="H281" s="806" t="s">
        <v>7153</v>
      </c>
      <c r="I281" s="1057"/>
      <c r="J281" s="806" t="s">
        <v>1093</v>
      </c>
      <c r="K281" s="806" t="s">
        <v>7302</v>
      </c>
      <c r="L281" s="1058"/>
      <c r="M281" s="806" t="s">
        <v>7210</v>
      </c>
      <c r="N281" s="806" t="s">
        <v>7211</v>
      </c>
      <c r="O281" s="1057" t="s">
        <v>7336</v>
      </c>
      <c r="P281" s="1058"/>
      <c r="Q281" s="1061">
        <v>0.5</v>
      </c>
      <c r="R281" s="1061"/>
    </row>
    <row r="282" ht="12.75" customHeight="1">
      <c r="A282" s="806">
        <f t="shared" si="6"/>
        <v>15</v>
      </c>
      <c r="B282" s="1057" t="s">
        <v>6881</v>
      </c>
      <c r="C282" s="1057"/>
      <c r="D282" s="1058"/>
      <c r="E282" s="1059" t="s">
        <v>5810</v>
      </c>
      <c r="F282" s="806" t="s">
        <v>1389</v>
      </c>
      <c r="G282" s="806" t="s">
        <v>802</v>
      </c>
      <c r="H282" s="806" t="s">
        <v>7153</v>
      </c>
      <c r="I282" s="1057"/>
      <c r="J282" s="806" t="s">
        <v>1093</v>
      </c>
      <c r="K282" s="806" t="s">
        <v>7302</v>
      </c>
      <c r="L282" s="1058"/>
      <c r="M282" s="806" t="s">
        <v>7210</v>
      </c>
      <c r="N282" s="806" t="s">
        <v>7211</v>
      </c>
      <c r="O282" s="1057" t="s">
        <v>7337</v>
      </c>
      <c r="P282" s="1058"/>
      <c r="Q282" s="1061">
        <v>0.5</v>
      </c>
      <c r="R282" s="1061"/>
    </row>
    <row r="283" ht="12.75" customHeight="1">
      <c r="A283" s="806">
        <f t="shared" si="6"/>
        <v>16</v>
      </c>
      <c r="B283" s="1057" t="s">
        <v>6882</v>
      </c>
      <c r="C283" s="1057"/>
      <c r="D283" s="1058"/>
      <c r="E283" s="1059" t="s">
        <v>5810</v>
      </c>
      <c r="F283" s="806" t="s">
        <v>1389</v>
      </c>
      <c r="G283" s="806" t="s">
        <v>802</v>
      </c>
      <c r="H283" s="806" t="s">
        <v>7153</v>
      </c>
      <c r="I283" s="1057"/>
      <c r="J283" s="806" t="s">
        <v>1093</v>
      </c>
      <c r="K283" s="806" t="s">
        <v>7302</v>
      </c>
      <c r="L283" s="1058"/>
      <c r="M283" s="806" t="s">
        <v>7210</v>
      </c>
      <c r="N283" s="806" t="s">
        <v>7211</v>
      </c>
      <c r="O283" s="1057" t="s">
        <v>7338</v>
      </c>
      <c r="P283" s="1058"/>
      <c r="Q283" s="1061">
        <v>0.5</v>
      </c>
      <c r="R283" s="1061"/>
    </row>
    <row r="284" ht="14.25" customHeight="1">
      <c r="A284" s="806">
        <f t="shared" si="6"/>
        <v>17</v>
      </c>
      <c r="B284" s="1057" t="s">
        <v>6883</v>
      </c>
      <c r="C284" s="1057"/>
      <c r="D284" s="1079"/>
      <c r="E284" s="1052" t="s">
        <v>5809</v>
      </c>
      <c r="F284" s="806" t="s">
        <v>1389</v>
      </c>
      <c r="G284" s="1077" t="s">
        <v>7227</v>
      </c>
      <c r="H284" s="806" t="s">
        <v>7153</v>
      </c>
      <c r="I284" s="1073"/>
      <c r="J284" s="806" t="s">
        <v>7168</v>
      </c>
      <c r="K284" s="806" t="s">
        <v>510</v>
      </c>
      <c r="L284" s="1058"/>
      <c r="M284" s="806" t="s">
        <v>7169</v>
      </c>
      <c r="N284" s="806" t="s">
        <v>7170</v>
      </c>
      <c r="O284" s="1057"/>
      <c r="P284" s="1058"/>
      <c r="Q284" s="1061">
        <v>1.0</v>
      </c>
      <c r="R284" s="1061"/>
    </row>
    <row r="285" ht="14.25" customHeight="1">
      <c r="A285" s="806">
        <f t="shared" si="6"/>
        <v>18</v>
      </c>
      <c r="B285" s="1057" t="s">
        <v>6884</v>
      </c>
      <c r="C285" s="1057"/>
      <c r="D285" s="1079"/>
      <c r="E285" s="1052" t="s">
        <v>5809</v>
      </c>
      <c r="F285" s="806" t="s">
        <v>1389</v>
      </c>
      <c r="G285" s="1077" t="s">
        <v>7227</v>
      </c>
      <c r="H285" s="806" t="s">
        <v>7153</v>
      </c>
      <c r="I285" s="1073"/>
      <c r="J285" s="806" t="s">
        <v>7168</v>
      </c>
      <c r="K285" s="806" t="s">
        <v>510</v>
      </c>
      <c r="L285" s="1058"/>
      <c r="M285" s="806" t="s">
        <v>7169</v>
      </c>
      <c r="N285" s="806" t="s">
        <v>7170</v>
      </c>
      <c r="O285" s="1057"/>
      <c r="P285" s="1058"/>
      <c r="Q285" s="1061">
        <v>1.0</v>
      </c>
      <c r="R285" s="1061"/>
    </row>
    <row r="286" ht="14.25" customHeight="1">
      <c r="A286" s="806">
        <f t="shared" si="6"/>
        <v>19</v>
      </c>
      <c r="B286" s="1057" t="s">
        <v>6885</v>
      </c>
      <c r="C286" s="1057"/>
      <c r="D286" s="1079"/>
      <c r="E286" s="1052" t="s">
        <v>5809</v>
      </c>
      <c r="F286" s="806" t="s">
        <v>1389</v>
      </c>
      <c r="G286" s="1077" t="s">
        <v>7227</v>
      </c>
      <c r="H286" s="806" t="s">
        <v>7153</v>
      </c>
      <c r="I286" s="1073"/>
      <c r="J286" s="806" t="s">
        <v>7168</v>
      </c>
      <c r="K286" s="806" t="s">
        <v>510</v>
      </c>
      <c r="L286" s="1058"/>
      <c r="M286" s="806" t="s">
        <v>7169</v>
      </c>
      <c r="N286" s="806" t="s">
        <v>7170</v>
      </c>
      <c r="O286" s="1057"/>
      <c r="P286" s="1058"/>
      <c r="Q286" s="1061">
        <v>1.0</v>
      </c>
      <c r="R286" s="1061"/>
    </row>
    <row r="287" ht="14.25" customHeight="1">
      <c r="A287" s="806">
        <f t="shared" si="6"/>
        <v>20</v>
      </c>
      <c r="B287" s="1057" t="s">
        <v>6886</v>
      </c>
      <c r="C287" s="1057"/>
      <c r="D287" s="1079"/>
      <c r="E287" s="1052" t="s">
        <v>5809</v>
      </c>
      <c r="F287" s="806" t="s">
        <v>1389</v>
      </c>
      <c r="G287" s="1077" t="s">
        <v>7227</v>
      </c>
      <c r="H287" s="806" t="s">
        <v>7153</v>
      </c>
      <c r="I287" s="1073"/>
      <c r="J287" s="806" t="s">
        <v>7168</v>
      </c>
      <c r="K287" s="806" t="s">
        <v>510</v>
      </c>
      <c r="L287" s="1058"/>
      <c r="M287" s="806" t="s">
        <v>7169</v>
      </c>
      <c r="N287" s="806" t="s">
        <v>7170</v>
      </c>
      <c r="O287" s="1057"/>
      <c r="P287" s="1058"/>
      <c r="Q287" s="1061">
        <v>1.0</v>
      </c>
      <c r="R287" s="1061"/>
    </row>
    <row r="288" ht="14.25" customHeight="1">
      <c r="A288" s="806">
        <f t="shared" si="6"/>
        <v>21</v>
      </c>
      <c r="B288" s="1057" t="s">
        <v>6887</v>
      </c>
      <c r="C288" s="1057"/>
      <c r="D288" s="1079"/>
      <c r="E288" s="1052" t="s">
        <v>5809</v>
      </c>
      <c r="F288" s="806" t="s">
        <v>1389</v>
      </c>
      <c r="G288" s="1077" t="s">
        <v>7227</v>
      </c>
      <c r="H288" s="806" t="s">
        <v>7153</v>
      </c>
      <c r="I288" s="1073"/>
      <c r="J288" s="806" t="s">
        <v>7168</v>
      </c>
      <c r="K288" s="806" t="s">
        <v>510</v>
      </c>
      <c r="L288" s="1058"/>
      <c r="M288" s="806" t="s">
        <v>7169</v>
      </c>
      <c r="N288" s="806" t="s">
        <v>7170</v>
      </c>
      <c r="O288" s="1057"/>
      <c r="P288" s="1058"/>
      <c r="Q288" s="1061">
        <v>1.0</v>
      </c>
      <c r="R288" s="1061"/>
    </row>
    <row r="289" ht="14.25" customHeight="1">
      <c r="A289" s="806">
        <f t="shared" si="6"/>
        <v>22</v>
      </c>
      <c r="B289" s="1057" t="s">
        <v>6888</v>
      </c>
      <c r="C289" s="1057"/>
      <c r="D289" s="1079"/>
      <c r="E289" s="1052" t="s">
        <v>5809</v>
      </c>
      <c r="F289" s="806" t="s">
        <v>1389</v>
      </c>
      <c r="G289" s="1077" t="s">
        <v>7227</v>
      </c>
      <c r="H289" s="806" t="s">
        <v>7153</v>
      </c>
      <c r="I289" s="1073"/>
      <c r="J289" s="806" t="s">
        <v>7168</v>
      </c>
      <c r="K289" s="806" t="s">
        <v>510</v>
      </c>
      <c r="L289" s="1058"/>
      <c r="M289" s="806" t="s">
        <v>7169</v>
      </c>
      <c r="N289" s="806" t="s">
        <v>7170</v>
      </c>
      <c r="O289" s="1057"/>
      <c r="P289" s="1058"/>
      <c r="Q289" s="1061">
        <v>1.0</v>
      </c>
      <c r="R289" s="1061"/>
    </row>
    <row r="290" ht="12.75" customHeight="1">
      <c r="A290" s="806">
        <f t="shared" si="6"/>
        <v>23</v>
      </c>
      <c r="B290" s="1057" t="s">
        <v>6889</v>
      </c>
      <c r="C290" s="1057"/>
      <c r="D290" s="1079"/>
      <c r="E290" s="1052" t="s">
        <v>5809</v>
      </c>
      <c r="F290" s="806" t="s">
        <v>1389</v>
      </c>
      <c r="G290" s="1077" t="s">
        <v>7227</v>
      </c>
      <c r="H290" s="806" t="s">
        <v>7153</v>
      </c>
      <c r="I290" s="1073"/>
      <c r="J290" s="806" t="s">
        <v>7168</v>
      </c>
      <c r="K290" s="806" t="s">
        <v>510</v>
      </c>
      <c r="L290" s="1058"/>
      <c r="M290" s="806" t="s">
        <v>7169</v>
      </c>
      <c r="N290" s="806" t="s">
        <v>7170</v>
      </c>
      <c r="O290" s="1057"/>
      <c r="P290" s="1058"/>
      <c r="Q290" s="1061">
        <v>1.0</v>
      </c>
      <c r="R290" s="1061"/>
    </row>
    <row r="291" ht="12.75" customHeight="1">
      <c r="A291" s="806">
        <f t="shared" si="6"/>
        <v>24</v>
      </c>
      <c r="B291" s="1057" t="s">
        <v>6890</v>
      </c>
      <c r="C291" s="1057"/>
      <c r="D291" s="1079"/>
      <c r="E291" s="1052" t="s">
        <v>5809</v>
      </c>
      <c r="F291" s="806" t="s">
        <v>1389</v>
      </c>
      <c r="G291" s="1077" t="s">
        <v>7227</v>
      </c>
      <c r="H291" s="806" t="s">
        <v>7153</v>
      </c>
      <c r="I291" s="1073"/>
      <c r="J291" s="806" t="s">
        <v>7168</v>
      </c>
      <c r="K291" s="806" t="s">
        <v>510</v>
      </c>
      <c r="L291" s="1058"/>
      <c r="M291" s="806" t="s">
        <v>7169</v>
      </c>
      <c r="N291" s="806" t="s">
        <v>7170</v>
      </c>
      <c r="O291" s="1057"/>
      <c r="P291" s="1058"/>
      <c r="Q291" s="1061">
        <v>1.0</v>
      </c>
      <c r="R291" s="1061"/>
    </row>
    <row r="292" ht="12.75" customHeight="1">
      <c r="A292" s="806">
        <f t="shared" si="6"/>
        <v>25</v>
      </c>
      <c r="B292" s="1057" t="s">
        <v>6891</v>
      </c>
      <c r="C292" s="1057"/>
      <c r="D292" s="1058"/>
      <c r="E292" s="1052" t="s">
        <v>5809</v>
      </c>
      <c r="F292" s="806" t="s">
        <v>1389</v>
      </c>
      <c r="G292" s="1077" t="s">
        <v>7227</v>
      </c>
      <c r="H292" s="806" t="s">
        <v>7153</v>
      </c>
      <c r="I292" s="1073"/>
      <c r="J292" s="806" t="s">
        <v>7168</v>
      </c>
      <c r="K292" s="806" t="s">
        <v>510</v>
      </c>
      <c r="L292" s="1058"/>
      <c r="M292" s="806" t="s">
        <v>7169</v>
      </c>
      <c r="N292" s="806" t="s">
        <v>7170</v>
      </c>
      <c r="O292" s="1057"/>
      <c r="P292" s="1058"/>
      <c r="Q292" s="1061">
        <v>1.0</v>
      </c>
      <c r="R292" s="1061"/>
    </row>
    <row r="293" ht="12.75" customHeight="1">
      <c r="A293" s="806">
        <f t="shared" si="6"/>
        <v>26</v>
      </c>
      <c r="B293" s="1057" t="s">
        <v>6892</v>
      </c>
      <c r="C293" s="1057"/>
      <c r="D293" s="1058"/>
      <c r="E293" s="1052" t="s">
        <v>5809</v>
      </c>
      <c r="F293" s="806" t="s">
        <v>1389</v>
      </c>
      <c r="G293" s="1077" t="s">
        <v>7227</v>
      </c>
      <c r="H293" s="806" t="s">
        <v>7153</v>
      </c>
      <c r="I293" s="1073"/>
      <c r="J293" s="806" t="s">
        <v>7168</v>
      </c>
      <c r="K293" s="806" t="s">
        <v>510</v>
      </c>
      <c r="L293" s="1058"/>
      <c r="M293" s="806" t="s">
        <v>7169</v>
      </c>
      <c r="N293" s="806" t="s">
        <v>7170</v>
      </c>
      <c r="O293" s="1057"/>
      <c r="P293" s="1058"/>
      <c r="Q293" s="1061">
        <v>1.0</v>
      </c>
      <c r="R293" s="1061"/>
    </row>
    <row r="294" ht="12.75" customHeight="1">
      <c r="A294" s="806">
        <f t="shared" si="6"/>
        <v>27</v>
      </c>
      <c r="B294" s="1057" t="s">
        <v>6893</v>
      </c>
      <c r="C294" s="1057"/>
      <c r="D294" s="1058"/>
      <c r="E294" s="1052" t="s">
        <v>5809</v>
      </c>
      <c r="F294" s="806" t="s">
        <v>1389</v>
      </c>
      <c r="G294" s="1090">
        <v>45816.0</v>
      </c>
      <c r="H294" s="806" t="s">
        <v>7153</v>
      </c>
      <c r="I294" s="1073"/>
      <c r="J294" s="1132" t="s">
        <v>7155</v>
      </c>
      <c r="K294" s="810"/>
      <c r="L294" s="1133"/>
      <c r="M294" s="806" t="s">
        <v>7156</v>
      </c>
      <c r="N294" s="806" t="s">
        <v>7157</v>
      </c>
      <c r="O294" s="1057"/>
      <c r="P294" s="1058"/>
      <c r="Q294" s="1061">
        <v>1.0</v>
      </c>
      <c r="R294" s="1061"/>
    </row>
    <row r="295" ht="12.75" customHeight="1">
      <c r="A295" s="806">
        <f t="shared" si="6"/>
        <v>28</v>
      </c>
      <c r="B295" s="1057" t="s">
        <v>6894</v>
      </c>
      <c r="C295" s="1057"/>
      <c r="D295" s="1058"/>
      <c r="E295" s="1052" t="s">
        <v>5809</v>
      </c>
      <c r="F295" s="806" t="s">
        <v>1389</v>
      </c>
      <c r="G295" s="1090">
        <v>45816.0</v>
      </c>
      <c r="H295" s="806" t="s">
        <v>7153</v>
      </c>
      <c r="I295" s="1073"/>
      <c r="J295" s="1132" t="s">
        <v>7155</v>
      </c>
      <c r="K295" s="810"/>
      <c r="L295" s="1133"/>
      <c r="M295" s="806" t="s">
        <v>7156</v>
      </c>
      <c r="N295" s="806" t="s">
        <v>7157</v>
      </c>
      <c r="O295" s="1057"/>
      <c r="P295" s="1058"/>
      <c r="Q295" s="1061">
        <v>1.0</v>
      </c>
      <c r="R295" s="1061"/>
    </row>
    <row r="296" ht="12.75" customHeight="1">
      <c r="A296" s="806">
        <f t="shared" si="6"/>
        <v>29</v>
      </c>
      <c r="B296" s="1057" t="s">
        <v>6895</v>
      </c>
      <c r="C296" s="1057"/>
      <c r="D296" s="1058"/>
      <c r="E296" s="1052" t="s">
        <v>5809</v>
      </c>
      <c r="F296" s="806" t="s">
        <v>1389</v>
      </c>
      <c r="G296" s="1090">
        <v>45816.0</v>
      </c>
      <c r="H296" s="806" t="s">
        <v>7153</v>
      </c>
      <c r="I296" s="1073"/>
      <c r="J296" s="1132" t="s">
        <v>7155</v>
      </c>
      <c r="K296" s="810"/>
      <c r="L296" s="1133"/>
      <c r="M296" s="806" t="s">
        <v>7156</v>
      </c>
      <c r="N296" s="806" t="s">
        <v>7157</v>
      </c>
      <c r="O296" s="1057"/>
      <c r="P296" s="1058"/>
      <c r="Q296" s="1061">
        <v>1.0</v>
      </c>
      <c r="R296" s="1061"/>
    </row>
    <row r="297" ht="12.75" customHeight="1">
      <c r="A297" s="806">
        <f t="shared" si="6"/>
        <v>30</v>
      </c>
      <c r="B297" s="1057" t="s">
        <v>6896</v>
      </c>
      <c r="C297" s="1057"/>
      <c r="D297" s="1058"/>
      <c r="E297" s="1052" t="s">
        <v>5809</v>
      </c>
      <c r="F297" s="806" t="s">
        <v>1389</v>
      </c>
      <c r="G297" s="1090">
        <v>45816.0</v>
      </c>
      <c r="H297" s="806" t="s">
        <v>7153</v>
      </c>
      <c r="I297" s="1073"/>
      <c r="J297" s="1132" t="s">
        <v>7155</v>
      </c>
      <c r="K297" s="810"/>
      <c r="L297" s="1133"/>
      <c r="M297" s="806" t="s">
        <v>7156</v>
      </c>
      <c r="N297" s="806" t="s">
        <v>7157</v>
      </c>
      <c r="O297" s="1057"/>
      <c r="P297" s="1058"/>
      <c r="Q297" s="1061">
        <v>1.0</v>
      </c>
      <c r="R297" s="1061"/>
    </row>
    <row r="298" ht="12.75" customHeight="1">
      <c r="A298" s="806">
        <f t="shared" si="6"/>
        <v>31</v>
      </c>
      <c r="B298" s="1057" t="s">
        <v>6897</v>
      </c>
      <c r="C298" s="1057"/>
      <c r="D298" s="1058"/>
      <c r="E298" s="1052" t="s">
        <v>5809</v>
      </c>
      <c r="F298" s="806" t="s">
        <v>1389</v>
      </c>
      <c r="G298" s="1090">
        <v>45816.0</v>
      </c>
      <c r="H298" s="806" t="s">
        <v>7153</v>
      </c>
      <c r="I298" s="1073"/>
      <c r="J298" s="1132" t="s">
        <v>7155</v>
      </c>
      <c r="K298" s="810"/>
      <c r="L298" s="1133"/>
      <c r="M298" s="806" t="s">
        <v>7156</v>
      </c>
      <c r="N298" s="806" t="s">
        <v>7157</v>
      </c>
      <c r="O298" s="1057"/>
      <c r="P298" s="1058"/>
      <c r="Q298" s="1061">
        <v>1.0</v>
      </c>
      <c r="R298" s="1061"/>
    </row>
    <row r="299" ht="12.75" customHeight="1">
      <c r="A299" s="806">
        <f t="shared" si="6"/>
        <v>32</v>
      </c>
      <c r="B299" s="1057" t="s">
        <v>6898</v>
      </c>
      <c r="C299" s="1057"/>
      <c r="D299" s="1058"/>
      <c r="E299" s="1052" t="s">
        <v>5809</v>
      </c>
      <c r="F299" s="806" t="s">
        <v>1389</v>
      </c>
      <c r="G299" s="1090">
        <v>45816.0</v>
      </c>
      <c r="H299" s="806" t="s">
        <v>7153</v>
      </c>
      <c r="I299" s="1073"/>
      <c r="J299" s="1132" t="s">
        <v>7155</v>
      </c>
      <c r="K299" s="810"/>
      <c r="L299" s="1133"/>
      <c r="M299" s="806" t="s">
        <v>7156</v>
      </c>
      <c r="N299" s="806" t="s">
        <v>7157</v>
      </c>
      <c r="O299" s="1057"/>
      <c r="P299" s="1058"/>
      <c r="Q299" s="1061">
        <v>1.0</v>
      </c>
      <c r="R299" s="1061"/>
    </row>
    <row r="300" ht="12.75" customHeight="1">
      <c r="A300" s="806">
        <f t="shared" si="6"/>
        <v>33</v>
      </c>
      <c r="B300" s="1057" t="s">
        <v>6899</v>
      </c>
      <c r="C300" s="1057"/>
      <c r="D300" s="1058"/>
      <c r="E300" s="1052" t="s">
        <v>5809</v>
      </c>
      <c r="F300" s="806" t="s">
        <v>1389</v>
      </c>
      <c r="G300" s="1090">
        <v>45816.0</v>
      </c>
      <c r="H300" s="806" t="s">
        <v>7153</v>
      </c>
      <c r="I300" s="1073"/>
      <c r="J300" s="1132" t="s">
        <v>7155</v>
      </c>
      <c r="K300" s="810"/>
      <c r="L300" s="1133"/>
      <c r="M300" s="806" t="s">
        <v>7156</v>
      </c>
      <c r="N300" s="806" t="s">
        <v>7157</v>
      </c>
      <c r="O300" s="1057"/>
      <c r="P300" s="1058"/>
      <c r="Q300" s="1061">
        <v>1.0</v>
      </c>
      <c r="R300" s="1061"/>
    </row>
    <row r="301" ht="12.75" customHeight="1">
      <c r="A301" s="806">
        <f t="shared" si="6"/>
        <v>34</v>
      </c>
      <c r="B301" s="1057" t="s">
        <v>6900</v>
      </c>
      <c r="C301" s="1057"/>
      <c r="D301" s="1058"/>
      <c r="E301" s="1052" t="s">
        <v>5809</v>
      </c>
      <c r="F301" s="806" t="s">
        <v>1389</v>
      </c>
      <c r="G301" s="1090">
        <v>45816.0</v>
      </c>
      <c r="H301" s="806" t="s">
        <v>7153</v>
      </c>
      <c r="I301" s="1073"/>
      <c r="J301" s="1132" t="s">
        <v>7155</v>
      </c>
      <c r="K301" s="810"/>
      <c r="L301" s="1133"/>
      <c r="M301" s="806" t="s">
        <v>7156</v>
      </c>
      <c r="N301" s="806" t="s">
        <v>7157</v>
      </c>
      <c r="O301" s="1057"/>
      <c r="P301" s="1058"/>
      <c r="Q301" s="1061">
        <v>1.0</v>
      </c>
      <c r="R301" s="1061"/>
    </row>
    <row r="302" ht="12.75" customHeight="1">
      <c r="A302" s="806">
        <f t="shared" si="6"/>
        <v>35</v>
      </c>
      <c r="B302" s="1057" t="s">
        <v>6901</v>
      </c>
      <c r="C302" s="1057"/>
      <c r="D302" s="1058"/>
      <c r="E302" s="1052" t="s">
        <v>5809</v>
      </c>
      <c r="F302" s="806" t="s">
        <v>1389</v>
      </c>
      <c r="G302" s="1090">
        <v>45816.0</v>
      </c>
      <c r="H302" s="806" t="s">
        <v>7153</v>
      </c>
      <c r="I302" s="1073"/>
      <c r="J302" s="1132" t="s">
        <v>7155</v>
      </c>
      <c r="K302" s="810"/>
      <c r="L302" s="1133"/>
      <c r="M302" s="806" t="s">
        <v>7156</v>
      </c>
      <c r="N302" s="806" t="s">
        <v>7157</v>
      </c>
      <c r="O302" s="1057"/>
      <c r="P302" s="1058"/>
      <c r="Q302" s="1061">
        <v>1.0</v>
      </c>
      <c r="R302" s="1061"/>
    </row>
    <row r="303" ht="12.75" customHeight="1">
      <c r="A303" s="806">
        <f t="shared" si="6"/>
        <v>36</v>
      </c>
      <c r="B303" s="1057" t="s">
        <v>6902</v>
      </c>
      <c r="C303" s="1057"/>
      <c r="D303" s="1058"/>
      <c r="E303" s="1052" t="s">
        <v>5809</v>
      </c>
      <c r="F303" s="806" t="s">
        <v>1389</v>
      </c>
      <c r="G303" s="1090">
        <v>45816.0</v>
      </c>
      <c r="H303" s="806" t="s">
        <v>7153</v>
      </c>
      <c r="I303" s="1073"/>
      <c r="J303" s="1132" t="s">
        <v>7155</v>
      </c>
      <c r="K303" s="810"/>
      <c r="L303" s="1133"/>
      <c r="M303" s="806" t="s">
        <v>7156</v>
      </c>
      <c r="N303" s="806" t="s">
        <v>7157</v>
      </c>
      <c r="O303" s="1057"/>
      <c r="P303" s="1058"/>
      <c r="Q303" s="1061">
        <v>1.0</v>
      </c>
      <c r="R303" s="1061"/>
    </row>
    <row r="304" ht="12.75" customHeight="1">
      <c r="A304" s="806">
        <f t="shared" si="6"/>
        <v>37</v>
      </c>
      <c r="B304" s="1057" t="s">
        <v>6903</v>
      </c>
      <c r="C304" s="1057"/>
      <c r="D304" s="1058"/>
      <c r="E304" s="1052" t="s">
        <v>5809</v>
      </c>
      <c r="F304" s="806" t="s">
        <v>1389</v>
      </c>
      <c r="G304" s="1090">
        <v>45816.0</v>
      </c>
      <c r="H304" s="806" t="s">
        <v>7153</v>
      </c>
      <c r="I304" s="1073"/>
      <c r="J304" s="1132" t="s">
        <v>7155</v>
      </c>
      <c r="K304" s="810"/>
      <c r="L304" s="1133"/>
      <c r="M304" s="806" t="s">
        <v>7156</v>
      </c>
      <c r="N304" s="806" t="s">
        <v>7157</v>
      </c>
      <c r="O304" s="1057"/>
      <c r="P304" s="1058"/>
      <c r="Q304" s="1061">
        <v>1.0</v>
      </c>
      <c r="R304" s="1061"/>
    </row>
    <row r="305" ht="12.75" customHeight="1">
      <c r="A305" s="806">
        <f t="shared" si="6"/>
        <v>38</v>
      </c>
      <c r="B305" s="1057" t="s">
        <v>6904</v>
      </c>
      <c r="C305" s="1057"/>
      <c r="D305" s="1058"/>
      <c r="E305" s="1052" t="s">
        <v>5809</v>
      </c>
      <c r="F305" s="806" t="s">
        <v>1389</v>
      </c>
      <c r="G305" s="1090">
        <v>45816.0</v>
      </c>
      <c r="H305" s="806" t="s">
        <v>7153</v>
      </c>
      <c r="I305" s="1073"/>
      <c r="J305" s="1132" t="s">
        <v>7155</v>
      </c>
      <c r="K305" s="810"/>
      <c r="L305" s="1133"/>
      <c r="M305" s="806" t="s">
        <v>7156</v>
      </c>
      <c r="N305" s="806" t="s">
        <v>7157</v>
      </c>
      <c r="O305" s="1057"/>
      <c r="P305" s="1058"/>
      <c r="Q305" s="1061">
        <v>1.0</v>
      </c>
      <c r="R305" s="1061"/>
    </row>
    <row r="306" ht="12.75" customHeight="1">
      <c r="A306" s="806">
        <f t="shared" si="6"/>
        <v>39</v>
      </c>
      <c r="B306" s="1057" t="s">
        <v>6905</v>
      </c>
      <c r="C306" s="1057"/>
      <c r="D306" s="1058"/>
      <c r="E306" s="1052" t="s">
        <v>5809</v>
      </c>
      <c r="F306" s="806" t="s">
        <v>1389</v>
      </c>
      <c r="G306" s="1090">
        <v>45816.0</v>
      </c>
      <c r="H306" s="806" t="s">
        <v>7153</v>
      </c>
      <c r="I306" s="1073"/>
      <c r="J306" s="1132" t="s">
        <v>7155</v>
      </c>
      <c r="K306" s="810"/>
      <c r="L306" s="1133"/>
      <c r="M306" s="806" t="s">
        <v>7156</v>
      </c>
      <c r="N306" s="806" t="s">
        <v>7157</v>
      </c>
      <c r="O306" s="1057"/>
      <c r="P306" s="1058"/>
      <c r="Q306" s="1061">
        <v>1.0</v>
      </c>
      <c r="R306" s="1061"/>
    </row>
    <row r="307" ht="12.75" customHeight="1">
      <c r="A307" s="806">
        <f t="shared" si="6"/>
        <v>40</v>
      </c>
      <c r="B307" s="1057" t="s">
        <v>6906</v>
      </c>
      <c r="C307" s="1057"/>
      <c r="D307" s="1058"/>
      <c r="E307" s="1052" t="s">
        <v>5809</v>
      </c>
      <c r="F307" s="806" t="s">
        <v>1389</v>
      </c>
      <c r="G307" s="1090">
        <v>45816.0</v>
      </c>
      <c r="H307" s="806" t="s">
        <v>7153</v>
      </c>
      <c r="I307" s="1073"/>
      <c r="J307" s="1132" t="s">
        <v>7155</v>
      </c>
      <c r="K307" s="810"/>
      <c r="L307" s="1133"/>
      <c r="M307" s="806" t="s">
        <v>7156</v>
      </c>
      <c r="N307" s="806" t="s">
        <v>7157</v>
      </c>
      <c r="O307" s="1057"/>
      <c r="P307" s="1058"/>
      <c r="Q307" s="1061">
        <v>1.0</v>
      </c>
      <c r="R307" s="1061"/>
    </row>
    <row r="308" ht="12.75" customHeight="1">
      <c r="A308" s="806">
        <f t="shared" si="6"/>
        <v>41</v>
      </c>
      <c r="B308" s="1057" t="s">
        <v>6907</v>
      </c>
      <c r="C308" s="1057"/>
      <c r="D308" s="1058"/>
      <c r="E308" s="1052" t="s">
        <v>5809</v>
      </c>
      <c r="F308" s="806" t="s">
        <v>1389</v>
      </c>
      <c r="G308" s="1090">
        <v>45816.0</v>
      </c>
      <c r="H308" s="806" t="s">
        <v>7153</v>
      </c>
      <c r="I308" s="1073"/>
      <c r="J308" s="1132" t="s">
        <v>7155</v>
      </c>
      <c r="K308" s="810"/>
      <c r="L308" s="1133"/>
      <c r="M308" s="806" t="s">
        <v>7156</v>
      </c>
      <c r="N308" s="806" t="s">
        <v>7157</v>
      </c>
      <c r="O308" s="1057"/>
      <c r="P308" s="1058"/>
      <c r="Q308" s="1061">
        <v>1.0</v>
      </c>
      <c r="R308" s="1061"/>
    </row>
    <row r="309" ht="12.75" customHeight="1">
      <c r="A309" s="806">
        <f t="shared" si="6"/>
        <v>42</v>
      </c>
      <c r="B309" s="1057" t="s">
        <v>6908</v>
      </c>
      <c r="C309" s="1057"/>
      <c r="D309" s="1058"/>
      <c r="E309" s="1052" t="s">
        <v>5809</v>
      </c>
      <c r="F309" s="806" t="s">
        <v>1389</v>
      </c>
      <c r="G309" s="1090">
        <v>45816.0</v>
      </c>
      <c r="H309" s="806" t="s">
        <v>7153</v>
      </c>
      <c r="I309" s="1073"/>
      <c r="J309" s="1132" t="s">
        <v>7155</v>
      </c>
      <c r="K309" s="810"/>
      <c r="L309" s="1133"/>
      <c r="M309" s="806" t="s">
        <v>7156</v>
      </c>
      <c r="N309" s="806" t="s">
        <v>7157</v>
      </c>
      <c r="O309" s="1057"/>
      <c r="P309" s="1058"/>
      <c r="Q309" s="1061">
        <v>1.0</v>
      </c>
      <c r="R309" s="1061"/>
    </row>
    <row r="310" ht="12.75" customHeight="1">
      <c r="A310" s="806">
        <f t="shared" si="6"/>
        <v>43</v>
      </c>
      <c r="B310" s="1057" t="s">
        <v>6909</v>
      </c>
      <c r="C310" s="1057"/>
      <c r="D310" s="1058"/>
      <c r="E310" s="1052" t="s">
        <v>5809</v>
      </c>
      <c r="F310" s="806" t="s">
        <v>1389</v>
      </c>
      <c r="G310" s="1090">
        <v>45816.0</v>
      </c>
      <c r="H310" s="806" t="s">
        <v>7153</v>
      </c>
      <c r="I310" s="1073"/>
      <c r="J310" s="1132" t="s">
        <v>7155</v>
      </c>
      <c r="K310" s="810"/>
      <c r="L310" s="1133"/>
      <c r="M310" s="806" t="s">
        <v>7156</v>
      </c>
      <c r="N310" s="806" t="s">
        <v>7157</v>
      </c>
      <c r="O310" s="1057"/>
      <c r="P310" s="1058"/>
      <c r="Q310" s="1061">
        <v>1.0</v>
      </c>
      <c r="R310" s="1061"/>
    </row>
    <row r="311" ht="12.75" customHeight="1">
      <c r="A311" s="806">
        <f t="shared" si="6"/>
        <v>44</v>
      </c>
      <c r="B311" s="1057" t="s">
        <v>6910</v>
      </c>
      <c r="C311" s="1057"/>
      <c r="D311" s="1058"/>
      <c r="E311" s="1052" t="s">
        <v>5809</v>
      </c>
      <c r="F311" s="806" t="s">
        <v>1389</v>
      </c>
      <c r="G311" s="1090">
        <v>45816.0</v>
      </c>
      <c r="H311" s="806" t="s">
        <v>7153</v>
      </c>
      <c r="I311" s="1057"/>
      <c r="J311" s="1132" t="s">
        <v>7155</v>
      </c>
      <c r="K311" s="810"/>
      <c r="L311" s="1133"/>
      <c r="M311" s="806" t="s">
        <v>7156</v>
      </c>
      <c r="N311" s="806" t="s">
        <v>7157</v>
      </c>
      <c r="O311" s="1057"/>
      <c r="P311" s="1058"/>
      <c r="Q311" s="1061">
        <v>1.0</v>
      </c>
      <c r="R311" s="1061"/>
    </row>
    <row r="312" ht="12.75" customHeight="1">
      <c r="A312" s="806">
        <f t="shared" si="6"/>
        <v>45</v>
      </c>
      <c r="B312" s="1057" t="s">
        <v>6911</v>
      </c>
      <c r="C312" s="1057"/>
      <c r="D312" s="1058"/>
      <c r="E312" s="1052" t="s">
        <v>5809</v>
      </c>
      <c r="F312" s="806" t="s">
        <v>1389</v>
      </c>
      <c r="G312" s="1090">
        <v>45816.0</v>
      </c>
      <c r="H312" s="806" t="s">
        <v>7153</v>
      </c>
      <c r="I312" s="1057"/>
      <c r="J312" s="1132" t="s">
        <v>7155</v>
      </c>
      <c r="K312" s="810"/>
      <c r="L312" s="1133"/>
      <c r="M312" s="806" t="s">
        <v>7156</v>
      </c>
      <c r="N312" s="806" t="s">
        <v>7157</v>
      </c>
      <c r="O312" s="1057"/>
      <c r="P312" s="1058"/>
      <c r="Q312" s="1061">
        <v>1.0</v>
      </c>
      <c r="R312" s="1061"/>
    </row>
    <row r="313" ht="12.75" customHeight="1">
      <c r="A313" s="806">
        <f t="shared" si="6"/>
        <v>46</v>
      </c>
      <c r="B313" s="1057" t="s">
        <v>6912</v>
      </c>
      <c r="C313" s="1057"/>
      <c r="D313" s="1058"/>
      <c r="E313" s="1052" t="s">
        <v>5809</v>
      </c>
      <c r="F313" s="806" t="s">
        <v>1389</v>
      </c>
      <c r="G313" s="1090">
        <v>45816.0</v>
      </c>
      <c r="H313" s="806" t="s">
        <v>7153</v>
      </c>
      <c r="I313" s="1057"/>
      <c r="J313" s="1132" t="s">
        <v>7155</v>
      </c>
      <c r="K313" s="810"/>
      <c r="L313" s="1133"/>
      <c r="M313" s="806" t="s">
        <v>7156</v>
      </c>
      <c r="N313" s="806" t="s">
        <v>7157</v>
      </c>
      <c r="O313" s="1057"/>
      <c r="P313" s="1058"/>
      <c r="Q313" s="1061">
        <v>1.0</v>
      </c>
      <c r="R313" s="1061"/>
    </row>
    <row r="314" ht="12.75" customHeight="1">
      <c r="A314" s="806"/>
      <c r="B314" s="1057"/>
      <c r="C314" s="1057"/>
      <c r="D314" s="1058"/>
      <c r="E314" s="1059"/>
      <c r="F314" s="1084"/>
      <c r="G314" s="1084"/>
      <c r="H314" s="806"/>
      <c r="I314" s="1057"/>
      <c r="J314" s="806"/>
      <c r="K314" s="806"/>
      <c r="L314" s="1058"/>
      <c r="M314" s="806"/>
      <c r="N314" s="806"/>
      <c r="O314" s="1058"/>
      <c r="P314" s="1058"/>
      <c r="Q314" s="1078"/>
      <c r="R314" s="1078"/>
    </row>
    <row r="315" ht="12.75" hidden="1" customHeight="1">
      <c r="A315" s="806"/>
      <c r="B315" s="1057"/>
      <c r="C315" s="1057" t="s">
        <v>374</v>
      </c>
      <c r="D315" s="1058"/>
      <c r="E315" s="1059"/>
      <c r="F315" s="1084"/>
      <c r="G315" s="1084"/>
      <c r="H315" s="806"/>
      <c r="I315" s="1057"/>
      <c r="J315" s="806"/>
      <c r="K315" s="806"/>
      <c r="L315" s="1058"/>
      <c r="M315" s="806"/>
      <c r="N315" s="806"/>
      <c r="O315" s="1058"/>
      <c r="P315" s="1058"/>
      <c r="Q315" s="1078"/>
      <c r="R315" s="1078"/>
    </row>
    <row r="316" ht="20.25" customHeight="1">
      <c r="A316" s="790" t="s">
        <v>6293</v>
      </c>
      <c r="B316" s="1089" t="s">
        <v>6090</v>
      </c>
      <c r="C316" s="790">
        <f>$C$317+$C$375+$C$417+$C$492+$C$505</f>
        <v>173</v>
      </c>
      <c r="D316" s="1045"/>
      <c r="E316" s="1045"/>
      <c r="F316" s="1046"/>
      <c r="G316" s="1046"/>
      <c r="H316" s="1046"/>
      <c r="I316" s="1045"/>
      <c r="J316" s="1046"/>
      <c r="K316" s="1046"/>
      <c r="L316" s="1045"/>
      <c r="M316" s="1046"/>
      <c r="N316" s="1046"/>
      <c r="O316" s="1045"/>
      <c r="P316" s="1045"/>
      <c r="Q316" s="1048"/>
      <c r="R316" s="1048"/>
    </row>
    <row r="317" ht="12.75" customHeight="1">
      <c r="A317" s="1049" t="s">
        <v>7418</v>
      </c>
      <c r="B317" s="1050" t="s">
        <v>6091</v>
      </c>
      <c r="C317" s="1051">
        <f>COUNTA($B$318:$B$374)</f>
        <v>55</v>
      </c>
      <c r="D317" s="1052"/>
      <c r="E317" s="1052"/>
      <c r="F317" s="1053"/>
      <c r="G317" s="1054"/>
      <c r="H317" s="1053"/>
      <c r="I317" s="1051"/>
      <c r="J317" s="1053"/>
      <c r="K317" s="1053"/>
      <c r="L317" s="1055"/>
      <c r="M317" s="1053"/>
      <c r="N317" s="1053"/>
      <c r="O317" s="1055"/>
      <c r="P317" s="1055"/>
      <c r="Q317" s="1056"/>
      <c r="R317" s="1056"/>
    </row>
    <row r="318" ht="12.75" customHeight="1">
      <c r="A318" s="806">
        <v>1.0</v>
      </c>
      <c r="B318" s="1057" t="s">
        <v>6913</v>
      </c>
      <c r="C318" s="1154"/>
      <c r="D318" s="1154"/>
      <c r="E318" s="1059" t="s">
        <v>5810</v>
      </c>
      <c r="F318" s="806" t="s">
        <v>858</v>
      </c>
      <c r="G318" s="806" t="s">
        <v>7227</v>
      </c>
      <c r="H318" s="806" t="s">
        <v>7153</v>
      </c>
      <c r="I318" s="1058"/>
      <c r="J318" s="806" t="s">
        <v>1093</v>
      </c>
      <c r="K318" s="806" t="s">
        <v>740</v>
      </c>
      <c r="L318" s="1058"/>
      <c r="M318" s="806" t="s">
        <v>7210</v>
      </c>
      <c r="N318" s="806" t="s">
        <v>7211</v>
      </c>
      <c r="O318" s="1057"/>
      <c r="P318" s="1058"/>
      <c r="Q318" s="1061">
        <v>0.5</v>
      </c>
      <c r="R318" s="1061"/>
    </row>
    <row r="319" ht="12.75" customHeight="1">
      <c r="A319" s="806">
        <v>2.0</v>
      </c>
      <c r="B319" s="1057" t="s">
        <v>6914</v>
      </c>
      <c r="C319" s="1154"/>
      <c r="D319" s="1154"/>
      <c r="E319" s="1059" t="s">
        <v>5810</v>
      </c>
      <c r="F319" s="806" t="s">
        <v>858</v>
      </c>
      <c r="G319" s="806" t="s">
        <v>7227</v>
      </c>
      <c r="H319" s="806" t="s">
        <v>7153</v>
      </c>
      <c r="I319" s="1058"/>
      <c r="J319" s="806" t="s">
        <v>1093</v>
      </c>
      <c r="K319" s="806" t="s">
        <v>740</v>
      </c>
      <c r="L319" s="1058"/>
      <c r="M319" s="806" t="s">
        <v>7210</v>
      </c>
      <c r="N319" s="806" t="s">
        <v>7211</v>
      </c>
      <c r="O319" s="1057"/>
      <c r="P319" s="1058"/>
      <c r="Q319" s="1061">
        <v>0.5</v>
      </c>
      <c r="R319" s="1061"/>
    </row>
    <row r="320" ht="12.75" customHeight="1">
      <c r="A320" s="806">
        <f t="shared" ref="A320:A352" si="7">1+A319</f>
        <v>3</v>
      </c>
      <c r="B320" s="1057" t="s">
        <v>6915</v>
      </c>
      <c r="C320" s="1154"/>
      <c r="D320" s="1154"/>
      <c r="E320" s="1059" t="s">
        <v>5810</v>
      </c>
      <c r="F320" s="806" t="s">
        <v>858</v>
      </c>
      <c r="G320" s="806" t="s">
        <v>7227</v>
      </c>
      <c r="H320" s="806" t="s">
        <v>7153</v>
      </c>
      <c r="I320" s="1058"/>
      <c r="J320" s="806" t="s">
        <v>1093</v>
      </c>
      <c r="K320" s="806" t="s">
        <v>740</v>
      </c>
      <c r="L320" s="1058"/>
      <c r="M320" s="806" t="s">
        <v>7210</v>
      </c>
      <c r="N320" s="806" t="s">
        <v>7211</v>
      </c>
      <c r="O320" s="1057"/>
      <c r="P320" s="1058"/>
      <c r="Q320" s="1061">
        <v>0.5</v>
      </c>
      <c r="R320" s="1061"/>
    </row>
    <row r="321" ht="12.75" customHeight="1">
      <c r="A321" s="806">
        <f t="shared" si="7"/>
        <v>4</v>
      </c>
      <c r="B321" s="1057" t="s">
        <v>6916</v>
      </c>
      <c r="C321" s="1154"/>
      <c r="D321" s="1154"/>
      <c r="E321" s="1059" t="s">
        <v>5810</v>
      </c>
      <c r="F321" s="806" t="s">
        <v>858</v>
      </c>
      <c r="G321" s="806" t="s">
        <v>7227</v>
      </c>
      <c r="H321" s="806" t="s">
        <v>7153</v>
      </c>
      <c r="I321" s="1058"/>
      <c r="J321" s="806" t="s">
        <v>1093</v>
      </c>
      <c r="K321" s="806" t="s">
        <v>740</v>
      </c>
      <c r="L321" s="1058"/>
      <c r="M321" s="806" t="s">
        <v>7210</v>
      </c>
      <c r="N321" s="806" t="s">
        <v>7211</v>
      </c>
      <c r="O321" s="1057"/>
      <c r="P321" s="1058"/>
      <c r="Q321" s="1061">
        <v>0.5</v>
      </c>
      <c r="R321" s="1061"/>
    </row>
    <row r="322" ht="12.75" customHeight="1">
      <c r="A322" s="806">
        <f t="shared" si="7"/>
        <v>5</v>
      </c>
      <c r="B322" s="1057" t="s">
        <v>6917</v>
      </c>
      <c r="C322" s="1154"/>
      <c r="D322" s="1154"/>
      <c r="E322" s="1059" t="s">
        <v>5810</v>
      </c>
      <c r="F322" s="806" t="s">
        <v>858</v>
      </c>
      <c r="G322" s="806" t="s">
        <v>7227</v>
      </c>
      <c r="H322" s="806" t="s">
        <v>7153</v>
      </c>
      <c r="I322" s="1058"/>
      <c r="J322" s="806" t="s">
        <v>1093</v>
      </c>
      <c r="K322" s="806" t="s">
        <v>740</v>
      </c>
      <c r="L322" s="1058"/>
      <c r="M322" s="806" t="s">
        <v>7210</v>
      </c>
      <c r="N322" s="806" t="s">
        <v>7211</v>
      </c>
      <c r="O322" s="1057"/>
      <c r="P322" s="1058"/>
      <c r="Q322" s="1061">
        <v>0.5</v>
      </c>
      <c r="R322" s="1061"/>
    </row>
    <row r="323" ht="12.75" customHeight="1">
      <c r="A323" s="806">
        <f t="shared" si="7"/>
        <v>6</v>
      </c>
      <c r="B323" s="1057" t="s">
        <v>6918</v>
      </c>
      <c r="C323" s="1154"/>
      <c r="D323" s="1154"/>
      <c r="E323" s="1059" t="s">
        <v>5810</v>
      </c>
      <c r="F323" s="806" t="s">
        <v>858</v>
      </c>
      <c r="G323" s="806" t="s">
        <v>7227</v>
      </c>
      <c r="H323" s="806" t="s">
        <v>7153</v>
      </c>
      <c r="I323" s="1058"/>
      <c r="J323" s="806" t="s">
        <v>1093</v>
      </c>
      <c r="K323" s="806" t="s">
        <v>740</v>
      </c>
      <c r="L323" s="1058"/>
      <c r="M323" s="806" t="s">
        <v>7210</v>
      </c>
      <c r="N323" s="806" t="s">
        <v>7211</v>
      </c>
      <c r="O323" s="1057"/>
      <c r="P323" s="1058"/>
      <c r="Q323" s="1061">
        <v>0.5</v>
      </c>
      <c r="R323" s="1061"/>
    </row>
    <row r="324" ht="12.75" customHeight="1">
      <c r="A324" s="806">
        <f t="shared" si="7"/>
        <v>7</v>
      </c>
      <c r="B324" s="1057" t="s">
        <v>6919</v>
      </c>
      <c r="C324" s="1154"/>
      <c r="D324" s="1154"/>
      <c r="E324" s="1059" t="s">
        <v>5810</v>
      </c>
      <c r="F324" s="806" t="s">
        <v>858</v>
      </c>
      <c r="G324" s="806" t="s">
        <v>7227</v>
      </c>
      <c r="H324" s="806" t="s">
        <v>7153</v>
      </c>
      <c r="I324" s="1058"/>
      <c r="J324" s="806" t="s">
        <v>1093</v>
      </c>
      <c r="K324" s="806" t="s">
        <v>740</v>
      </c>
      <c r="L324" s="1058"/>
      <c r="M324" s="806" t="s">
        <v>7210</v>
      </c>
      <c r="N324" s="806" t="s">
        <v>7211</v>
      </c>
      <c r="O324" s="1057"/>
      <c r="P324" s="1058"/>
      <c r="Q324" s="1061">
        <v>0.5</v>
      </c>
      <c r="R324" s="1061"/>
    </row>
    <row r="325" ht="12.75" customHeight="1">
      <c r="A325" s="806">
        <f t="shared" si="7"/>
        <v>8</v>
      </c>
      <c r="B325" s="1057" t="s">
        <v>6920</v>
      </c>
      <c r="C325" s="1154"/>
      <c r="D325" s="1154"/>
      <c r="E325" s="1059" t="s">
        <v>5810</v>
      </c>
      <c r="F325" s="806" t="s">
        <v>858</v>
      </c>
      <c r="G325" s="806" t="s">
        <v>7227</v>
      </c>
      <c r="H325" s="806" t="s">
        <v>7153</v>
      </c>
      <c r="I325" s="1058"/>
      <c r="J325" s="806" t="s">
        <v>1093</v>
      </c>
      <c r="K325" s="806" t="s">
        <v>740</v>
      </c>
      <c r="L325" s="1058"/>
      <c r="M325" s="806" t="s">
        <v>7210</v>
      </c>
      <c r="N325" s="806" t="s">
        <v>7211</v>
      </c>
      <c r="O325" s="1057"/>
      <c r="P325" s="1058"/>
      <c r="Q325" s="1061">
        <v>0.5</v>
      </c>
      <c r="R325" s="1061"/>
    </row>
    <row r="326" ht="12.75" customHeight="1">
      <c r="A326" s="806">
        <f t="shared" si="7"/>
        <v>9</v>
      </c>
      <c r="B326" s="1057" t="s">
        <v>6921</v>
      </c>
      <c r="C326" s="1154"/>
      <c r="D326" s="1154"/>
      <c r="E326" s="1059" t="s">
        <v>5810</v>
      </c>
      <c r="F326" s="806" t="s">
        <v>858</v>
      </c>
      <c r="G326" s="806" t="s">
        <v>7227</v>
      </c>
      <c r="H326" s="806" t="s">
        <v>7153</v>
      </c>
      <c r="I326" s="1058"/>
      <c r="J326" s="806" t="s">
        <v>1093</v>
      </c>
      <c r="K326" s="806" t="s">
        <v>740</v>
      </c>
      <c r="L326" s="1058"/>
      <c r="M326" s="806" t="s">
        <v>7210</v>
      </c>
      <c r="N326" s="806" t="s">
        <v>7211</v>
      </c>
      <c r="O326" s="1057"/>
      <c r="P326" s="1058"/>
      <c r="Q326" s="1061">
        <v>0.5</v>
      </c>
      <c r="R326" s="1061"/>
    </row>
    <row r="327" ht="12.75" customHeight="1">
      <c r="A327" s="806">
        <f t="shared" si="7"/>
        <v>10</v>
      </c>
      <c r="B327" s="1057" t="s">
        <v>6922</v>
      </c>
      <c r="C327" s="1154"/>
      <c r="D327" s="1154"/>
      <c r="E327" s="1059" t="s">
        <v>5810</v>
      </c>
      <c r="F327" s="806" t="s">
        <v>858</v>
      </c>
      <c r="G327" s="806" t="s">
        <v>7227</v>
      </c>
      <c r="H327" s="806" t="s">
        <v>7153</v>
      </c>
      <c r="I327" s="1058"/>
      <c r="J327" s="806" t="s">
        <v>1093</v>
      </c>
      <c r="K327" s="806" t="s">
        <v>740</v>
      </c>
      <c r="L327" s="1058"/>
      <c r="M327" s="806" t="s">
        <v>7210</v>
      </c>
      <c r="N327" s="806" t="s">
        <v>7211</v>
      </c>
      <c r="O327" s="1057"/>
      <c r="P327" s="1058"/>
      <c r="Q327" s="1061">
        <v>0.5</v>
      </c>
      <c r="R327" s="1061"/>
    </row>
    <row r="328" ht="12.75" customHeight="1">
      <c r="A328" s="806">
        <f t="shared" si="7"/>
        <v>11</v>
      </c>
      <c r="B328" s="1057" t="s">
        <v>6923</v>
      </c>
      <c r="C328" s="1154"/>
      <c r="D328" s="1154"/>
      <c r="E328" s="1059" t="s">
        <v>5810</v>
      </c>
      <c r="F328" s="806" t="s">
        <v>858</v>
      </c>
      <c r="G328" s="806" t="s">
        <v>7227</v>
      </c>
      <c r="H328" s="806" t="s">
        <v>7153</v>
      </c>
      <c r="I328" s="1058"/>
      <c r="J328" s="806" t="s">
        <v>1093</v>
      </c>
      <c r="K328" s="806" t="s">
        <v>740</v>
      </c>
      <c r="L328" s="1058"/>
      <c r="M328" s="806" t="s">
        <v>7210</v>
      </c>
      <c r="N328" s="806" t="s">
        <v>7211</v>
      </c>
      <c r="O328" s="1057"/>
      <c r="P328" s="1058"/>
      <c r="Q328" s="1061">
        <v>0.5</v>
      </c>
      <c r="R328" s="1061"/>
    </row>
    <row r="329" ht="12.75" customHeight="1">
      <c r="A329" s="806">
        <f t="shared" si="7"/>
        <v>12</v>
      </c>
      <c r="B329" s="1057" t="s">
        <v>6924</v>
      </c>
      <c r="C329" s="1154"/>
      <c r="D329" s="1154"/>
      <c r="E329" s="1059" t="s">
        <v>5810</v>
      </c>
      <c r="F329" s="806" t="s">
        <v>858</v>
      </c>
      <c r="G329" s="806" t="s">
        <v>7227</v>
      </c>
      <c r="H329" s="806" t="s">
        <v>7153</v>
      </c>
      <c r="I329" s="1058"/>
      <c r="J329" s="806" t="s">
        <v>1093</v>
      </c>
      <c r="K329" s="806" t="s">
        <v>740</v>
      </c>
      <c r="L329" s="1058"/>
      <c r="M329" s="806" t="s">
        <v>7210</v>
      </c>
      <c r="N329" s="806" t="s">
        <v>7211</v>
      </c>
      <c r="O329" s="1057"/>
      <c r="P329" s="1058"/>
      <c r="Q329" s="1061">
        <v>0.5</v>
      </c>
      <c r="R329" s="1061"/>
    </row>
    <row r="330" ht="12.75" customHeight="1">
      <c r="A330" s="806">
        <f t="shared" si="7"/>
        <v>13</v>
      </c>
      <c r="B330" s="1057" t="s">
        <v>6925</v>
      </c>
      <c r="C330" s="1154"/>
      <c r="D330" s="1154"/>
      <c r="E330" s="1059" t="s">
        <v>5810</v>
      </c>
      <c r="F330" s="806" t="s">
        <v>858</v>
      </c>
      <c r="G330" s="806" t="s">
        <v>7227</v>
      </c>
      <c r="H330" s="806" t="s">
        <v>7153</v>
      </c>
      <c r="I330" s="1058"/>
      <c r="J330" s="806" t="s">
        <v>1093</v>
      </c>
      <c r="K330" s="806" t="s">
        <v>740</v>
      </c>
      <c r="L330" s="1058"/>
      <c r="M330" s="806" t="s">
        <v>7210</v>
      </c>
      <c r="N330" s="806" t="s">
        <v>7211</v>
      </c>
      <c r="O330" s="1057"/>
      <c r="P330" s="1058"/>
      <c r="Q330" s="1061">
        <v>0.5</v>
      </c>
      <c r="R330" s="1061"/>
    </row>
    <row r="331" ht="12.75" customHeight="1">
      <c r="A331" s="806">
        <f t="shared" si="7"/>
        <v>14</v>
      </c>
      <c r="B331" s="1057" t="s">
        <v>6926</v>
      </c>
      <c r="C331" s="1154"/>
      <c r="D331" s="1154"/>
      <c r="E331" s="1059" t="s">
        <v>5810</v>
      </c>
      <c r="F331" s="806" t="s">
        <v>858</v>
      </c>
      <c r="G331" s="806" t="s">
        <v>7227</v>
      </c>
      <c r="H331" s="806" t="s">
        <v>7153</v>
      </c>
      <c r="I331" s="1058"/>
      <c r="J331" s="806" t="s">
        <v>1093</v>
      </c>
      <c r="K331" s="806" t="s">
        <v>740</v>
      </c>
      <c r="L331" s="1058"/>
      <c r="M331" s="806" t="s">
        <v>7210</v>
      </c>
      <c r="N331" s="806" t="s">
        <v>7211</v>
      </c>
      <c r="O331" s="1057"/>
      <c r="P331" s="1058"/>
      <c r="Q331" s="1061">
        <v>0.5</v>
      </c>
      <c r="R331" s="1061"/>
    </row>
    <row r="332" ht="12.75" customHeight="1">
      <c r="A332" s="806">
        <f t="shared" si="7"/>
        <v>15</v>
      </c>
      <c r="B332" s="1057" t="s">
        <v>6927</v>
      </c>
      <c r="C332" s="1154"/>
      <c r="D332" s="1154"/>
      <c r="E332" s="1059" t="s">
        <v>5810</v>
      </c>
      <c r="F332" s="806" t="s">
        <v>858</v>
      </c>
      <c r="G332" s="806" t="s">
        <v>7227</v>
      </c>
      <c r="H332" s="806" t="s">
        <v>7153</v>
      </c>
      <c r="I332" s="1058"/>
      <c r="J332" s="806" t="s">
        <v>1093</v>
      </c>
      <c r="K332" s="806" t="s">
        <v>740</v>
      </c>
      <c r="L332" s="1058"/>
      <c r="M332" s="806" t="s">
        <v>7210</v>
      </c>
      <c r="N332" s="806" t="s">
        <v>7211</v>
      </c>
      <c r="O332" s="1057"/>
      <c r="P332" s="1058"/>
      <c r="Q332" s="1061">
        <v>0.5</v>
      </c>
      <c r="R332" s="1061"/>
    </row>
    <row r="333" ht="12.75" customHeight="1">
      <c r="A333" s="806">
        <f t="shared" si="7"/>
        <v>16</v>
      </c>
      <c r="B333" s="1057" t="s">
        <v>6928</v>
      </c>
      <c r="C333" s="1154"/>
      <c r="D333" s="1154"/>
      <c r="E333" s="1059" t="s">
        <v>5810</v>
      </c>
      <c r="F333" s="806" t="s">
        <v>858</v>
      </c>
      <c r="G333" s="806" t="s">
        <v>7227</v>
      </c>
      <c r="H333" s="806" t="s">
        <v>7153</v>
      </c>
      <c r="I333" s="1058"/>
      <c r="J333" s="806" t="s">
        <v>1093</v>
      </c>
      <c r="K333" s="806" t="s">
        <v>740</v>
      </c>
      <c r="L333" s="1058"/>
      <c r="M333" s="806" t="s">
        <v>7210</v>
      </c>
      <c r="N333" s="806" t="s">
        <v>7211</v>
      </c>
      <c r="O333" s="1057"/>
      <c r="P333" s="1058"/>
      <c r="Q333" s="1061">
        <v>0.5</v>
      </c>
      <c r="R333" s="1061"/>
    </row>
    <row r="334" ht="12.75" customHeight="1">
      <c r="A334" s="806">
        <f t="shared" si="7"/>
        <v>17</v>
      </c>
      <c r="B334" s="1057" t="s">
        <v>6929</v>
      </c>
      <c r="C334" s="1154"/>
      <c r="D334" s="1154"/>
      <c r="E334" s="1059" t="s">
        <v>5810</v>
      </c>
      <c r="F334" s="806" t="s">
        <v>858</v>
      </c>
      <c r="G334" s="806" t="s">
        <v>7227</v>
      </c>
      <c r="H334" s="806" t="s">
        <v>7153</v>
      </c>
      <c r="I334" s="1058"/>
      <c r="J334" s="806" t="s">
        <v>1093</v>
      </c>
      <c r="K334" s="806" t="s">
        <v>740</v>
      </c>
      <c r="L334" s="1058"/>
      <c r="M334" s="806" t="s">
        <v>7210</v>
      </c>
      <c r="N334" s="806" t="s">
        <v>7211</v>
      </c>
      <c r="O334" s="1057"/>
      <c r="P334" s="1058"/>
      <c r="Q334" s="1061">
        <v>0.5</v>
      </c>
      <c r="R334" s="1061"/>
    </row>
    <row r="335" ht="12.75" customHeight="1">
      <c r="A335" s="806">
        <f t="shared" si="7"/>
        <v>18</v>
      </c>
      <c r="B335" s="1057" t="s">
        <v>6930</v>
      </c>
      <c r="C335" s="1154"/>
      <c r="D335" s="1154"/>
      <c r="E335" s="1059" t="s">
        <v>5810</v>
      </c>
      <c r="F335" s="806" t="s">
        <v>858</v>
      </c>
      <c r="G335" s="806" t="s">
        <v>7227</v>
      </c>
      <c r="H335" s="806" t="s">
        <v>7153</v>
      </c>
      <c r="I335" s="1058"/>
      <c r="J335" s="806" t="s">
        <v>1093</v>
      </c>
      <c r="K335" s="806" t="s">
        <v>740</v>
      </c>
      <c r="L335" s="1058"/>
      <c r="M335" s="806" t="s">
        <v>7210</v>
      </c>
      <c r="N335" s="806" t="s">
        <v>7211</v>
      </c>
      <c r="O335" s="1057"/>
      <c r="P335" s="1058"/>
      <c r="Q335" s="1061">
        <v>0.5</v>
      </c>
      <c r="R335" s="1061"/>
    </row>
    <row r="336" ht="12.75" customHeight="1">
      <c r="A336" s="806">
        <f t="shared" si="7"/>
        <v>19</v>
      </c>
      <c r="B336" s="1057" t="s">
        <v>6931</v>
      </c>
      <c r="C336" s="1154"/>
      <c r="D336" s="1154"/>
      <c r="E336" s="1059" t="s">
        <v>5809</v>
      </c>
      <c r="F336" s="806" t="s">
        <v>858</v>
      </c>
      <c r="G336" s="1064">
        <v>45906.0</v>
      </c>
      <c r="H336" s="806" t="s">
        <v>7153</v>
      </c>
      <c r="I336" s="1058"/>
      <c r="J336" s="806" t="s">
        <v>7230</v>
      </c>
      <c r="K336" s="806"/>
      <c r="L336" s="1058"/>
      <c r="M336" s="806" t="s">
        <v>7156</v>
      </c>
      <c r="N336" s="806" t="s">
        <v>7157</v>
      </c>
      <c r="O336" s="1057"/>
      <c r="P336" s="1058"/>
      <c r="Q336" s="1061">
        <v>1.0</v>
      </c>
      <c r="R336" s="1061"/>
    </row>
    <row r="337" ht="12.75" customHeight="1">
      <c r="A337" s="806">
        <f t="shared" si="7"/>
        <v>20</v>
      </c>
      <c r="B337" s="1057" t="s">
        <v>6932</v>
      </c>
      <c r="C337" s="1154"/>
      <c r="D337" s="1154"/>
      <c r="E337" s="1059" t="s">
        <v>5809</v>
      </c>
      <c r="F337" s="806" t="s">
        <v>858</v>
      </c>
      <c r="G337" s="1064">
        <v>45906.0</v>
      </c>
      <c r="H337" s="806" t="s">
        <v>7153</v>
      </c>
      <c r="I337" s="1058"/>
      <c r="J337" s="806" t="s">
        <v>7230</v>
      </c>
      <c r="K337" s="806"/>
      <c r="L337" s="1058"/>
      <c r="M337" s="806" t="s">
        <v>7156</v>
      </c>
      <c r="N337" s="806" t="s">
        <v>7157</v>
      </c>
      <c r="O337" s="1057"/>
      <c r="P337" s="1058"/>
      <c r="Q337" s="1061">
        <v>1.0</v>
      </c>
      <c r="R337" s="1061"/>
    </row>
    <row r="338" ht="12.75" customHeight="1">
      <c r="A338" s="806">
        <f t="shared" si="7"/>
        <v>21</v>
      </c>
      <c r="B338" s="1057" t="s">
        <v>6933</v>
      </c>
      <c r="C338" s="1154"/>
      <c r="D338" s="1154"/>
      <c r="E338" s="1059" t="s">
        <v>5809</v>
      </c>
      <c r="F338" s="806" t="s">
        <v>858</v>
      </c>
      <c r="G338" s="1064">
        <v>45906.0</v>
      </c>
      <c r="H338" s="806" t="s">
        <v>7153</v>
      </c>
      <c r="I338" s="1058"/>
      <c r="J338" s="806" t="s">
        <v>7230</v>
      </c>
      <c r="K338" s="806"/>
      <c r="L338" s="1058"/>
      <c r="M338" s="806" t="s">
        <v>7156</v>
      </c>
      <c r="N338" s="806" t="s">
        <v>7157</v>
      </c>
      <c r="O338" s="1057"/>
      <c r="P338" s="1058"/>
      <c r="Q338" s="1061">
        <v>1.0</v>
      </c>
      <c r="R338" s="1061"/>
    </row>
    <row r="339" ht="12.75" customHeight="1">
      <c r="A339" s="806">
        <f t="shared" si="7"/>
        <v>22</v>
      </c>
      <c r="B339" s="1057" t="s">
        <v>6934</v>
      </c>
      <c r="C339" s="1154"/>
      <c r="D339" s="1154"/>
      <c r="E339" s="1059" t="s">
        <v>5809</v>
      </c>
      <c r="F339" s="806" t="s">
        <v>858</v>
      </c>
      <c r="G339" s="1064">
        <v>45906.0</v>
      </c>
      <c r="H339" s="806" t="s">
        <v>7153</v>
      </c>
      <c r="I339" s="1058"/>
      <c r="J339" s="806" t="s">
        <v>7230</v>
      </c>
      <c r="K339" s="806"/>
      <c r="L339" s="1058"/>
      <c r="M339" s="806" t="s">
        <v>7156</v>
      </c>
      <c r="N339" s="806" t="s">
        <v>7157</v>
      </c>
      <c r="O339" s="1057"/>
      <c r="P339" s="1058"/>
      <c r="Q339" s="1061">
        <v>1.0</v>
      </c>
      <c r="R339" s="1061"/>
    </row>
    <row r="340" ht="12.75" customHeight="1">
      <c r="A340" s="806">
        <f t="shared" si="7"/>
        <v>23</v>
      </c>
      <c r="B340" s="1057" t="s">
        <v>6935</v>
      </c>
      <c r="C340" s="1154"/>
      <c r="D340" s="1154"/>
      <c r="E340" s="1059" t="s">
        <v>5809</v>
      </c>
      <c r="F340" s="806" t="s">
        <v>858</v>
      </c>
      <c r="G340" s="1064">
        <v>45906.0</v>
      </c>
      <c r="H340" s="806" t="s">
        <v>7153</v>
      </c>
      <c r="I340" s="1058"/>
      <c r="J340" s="806" t="s">
        <v>7230</v>
      </c>
      <c r="K340" s="806"/>
      <c r="L340" s="1058"/>
      <c r="M340" s="806" t="s">
        <v>7156</v>
      </c>
      <c r="N340" s="806" t="s">
        <v>7157</v>
      </c>
      <c r="O340" s="1057"/>
      <c r="P340" s="1058"/>
      <c r="Q340" s="1061">
        <v>1.0</v>
      </c>
      <c r="R340" s="1061"/>
    </row>
    <row r="341" ht="12.75" customHeight="1">
      <c r="A341" s="806">
        <f t="shared" si="7"/>
        <v>24</v>
      </c>
      <c r="B341" s="1057" t="s">
        <v>6936</v>
      </c>
      <c r="C341" s="1154"/>
      <c r="D341" s="1154"/>
      <c r="E341" s="1059" t="s">
        <v>5809</v>
      </c>
      <c r="F341" s="806" t="s">
        <v>858</v>
      </c>
      <c r="G341" s="1064">
        <v>45906.0</v>
      </c>
      <c r="H341" s="806" t="s">
        <v>7153</v>
      </c>
      <c r="I341" s="1058"/>
      <c r="J341" s="806" t="s">
        <v>7230</v>
      </c>
      <c r="K341" s="806"/>
      <c r="L341" s="1058"/>
      <c r="M341" s="806" t="s">
        <v>7156</v>
      </c>
      <c r="N341" s="806" t="s">
        <v>7157</v>
      </c>
      <c r="O341" s="1057"/>
      <c r="P341" s="1058"/>
      <c r="Q341" s="1061">
        <v>1.0</v>
      </c>
      <c r="R341" s="1061"/>
    </row>
    <row r="342" ht="12.75" customHeight="1">
      <c r="A342" s="806">
        <f t="shared" si="7"/>
        <v>25</v>
      </c>
      <c r="B342" s="1057" t="s">
        <v>6937</v>
      </c>
      <c r="C342" s="1154"/>
      <c r="D342" s="1154"/>
      <c r="E342" s="1059" t="s">
        <v>5809</v>
      </c>
      <c r="F342" s="806" t="s">
        <v>858</v>
      </c>
      <c r="G342" s="1064">
        <v>45906.0</v>
      </c>
      <c r="H342" s="806" t="s">
        <v>7153</v>
      </c>
      <c r="I342" s="1058"/>
      <c r="J342" s="806" t="s">
        <v>7230</v>
      </c>
      <c r="K342" s="806"/>
      <c r="L342" s="1058"/>
      <c r="M342" s="806" t="s">
        <v>7156</v>
      </c>
      <c r="N342" s="806" t="s">
        <v>7157</v>
      </c>
      <c r="O342" s="1057"/>
      <c r="P342" s="1058"/>
      <c r="Q342" s="1061">
        <v>1.0</v>
      </c>
      <c r="R342" s="1061"/>
    </row>
    <row r="343" ht="12.75" customHeight="1">
      <c r="A343" s="806">
        <f t="shared" si="7"/>
        <v>26</v>
      </c>
      <c r="B343" s="1057" t="s">
        <v>6938</v>
      </c>
      <c r="C343" s="1154"/>
      <c r="D343" s="1154"/>
      <c r="E343" s="1059" t="s">
        <v>5809</v>
      </c>
      <c r="F343" s="806" t="s">
        <v>858</v>
      </c>
      <c r="G343" s="1064">
        <v>45906.0</v>
      </c>
      <c r="H343" s="806" t="s">
        <v>7153</v>
      </c>
      <c r="I343" s="1058"/>
      <c r="J343" s="806" t="s">
        <v>7230</v>
      </c>
      <c r="K343" s="806"/>
      <c r="L343" s="1058"/>
      <c r="M343" s="806" t="s">
        <v>7156</v>
      </c>
      <c r="N343" s="806" t="s">
        <v>7157</v>
      </c>
      <c r="O343" s="1057"/>
      <c r="P343" s="1058"/>
      <c r="Q343" s="1061">
        <v>1.0</v>
      </c>
      <c r="R343" s="1061"/>
    </row>
    <row r="344" ht="12.75" customHeight="1">
      <c r="A344" s="806">
        <f t="shared" si="7"/>
        <v>27</v>
      </c>
      <c r="B344" s="1057" t="s">
        <v>6939</v>
      </c>
      <c r="C344" s="1154"/>
      <c r="D344" s="1154"/>
      <c r="E344" s="1059" t="s">
        <v>5809</v>
      </c>
      <c r="F344" s="806" t="s">
        <v>858</v>
      </c>
      <c r="G344" s="1064">
        <v>45906.0</v>
      </c>
      <c r="H344" s="806" t="s">
        <v>7153</v>
      </c>
      <c r="I344" s="1058"/>
      <c r="J344" s="806" t="s">
        <v>7230</v>
      </c>
      <c r="K344" s="806"/>
      <c r="L344" s="1058"/>
      <c r="M344" s="806" t="s">
        <v>7156</v>
      </c>
      <c r="N344" s="806" t="s">
        <v>7157</v>
      </c>
      <c r="O344" s="1057"/>
      <c r="P344" s="1058"/>
      <c r="Q344" s="1061">
        <v>1.0</v>
      </c>
      <c r="R344" s="1061"/>
    </row>
    <row r="345" ht="12.75" customHeight="1">
      <c r="A345" s="806">
        <f t="shared" si="7"/>
        <v>28</v>
      </c>
      <c r="B345" s="1057" t="s">
        <v>6940</v>
      </c>
      <c r="C345" s="1154"/>
      <c r="D345" s="1154"/>
      <c r="E345" s="1059" t="s">
        <v>5809</v>
      </c>
      <c r="F345" s="806" t="s">
        <v>858</v>
      </c>
      <c r="G345" s="1064">
        <v>45906.0</v>
      </c>
      <c r="H345" s="806" t="s">
        <v>7153</v>
      </c>
      <c r="I345" s="1058"/>
      <c r="J345" s="806" t="s">
        <v>7230</v>
      </c>
      <c r="K345" s="806"/>
      <c r="L345" s="1058"/>
      <c r="M345" s="806" t="s">
        <v>7156</v>
      </c>
      <c r="N345" s="806" t="s">
        <v>7157</v>
      </c>
      <c r="O345" s="1057"/>
      <c r="P345" s="1058"/>
      <c r="Q345" s="1061">
        <v>1.0</v>
      </c>
      <c r="R345" s="1061"/>
    </row>
    <row r="346" ht="12.75" customHeight="1">
      <c r="A346" s="806">
        <f t="shared" si="7"/>
        <v>29</v>
      </c>
      <c r="B346" s="1057" t="s">
        <v>6941</v>
      </c>
      <c r="C346" s="1154"/>
      <c r="D346" s="1154"/>
      <c r="E346" s="1059" t="s">
        <v>5809</v>
      </c>
      <c r="F346" s="806" t="s">
        <v>858</v>
      </c>
      <c r="G346" s="1064">
        <v>45906.0</v>
      </c>
      <c r="H346" s="806" t="s">
        <v>7153</v>
      </c>
      <c r="I346" s="1058"/>
      <c r="J346" s="806" t="s">
        <v>7230</v>
      </c>
      <c r="K346" s="806"/>
      <c r="L346" s="1058"/>
      <c r="M346" s="806" t="s">
        <v>7156</v>
      </c>
      <c r="N346" s="806" t="s">
        <v>7157</v>
      </c>
      <c r="O346" s="1057"/>
      <c r="P346" s="1058"/>
      <c r="Q346" s="1061">
        <v>1.0</v>
      </c>
      <c r="R346" s="1061"/>
    </row>
    <row r="347" ht="12.75" customHeight="1">
      <c r="A347" s="806">
        <f t="shared" si="7"/>
        <v>30</v>
      </c>
      <c r="B347" s="1057" t="s">
        <v>6942</v>
      </c>
      <c r="C347" s="1154"/>
      <c r="D347" s="1154"/>
      <c r="E347" s="1059" t="s">
        <v>5809</v>
      </c>
      <c r="F347" s="806" t="s">
        <v>858</v>
      </c>
      <c r="G347" s="1064">
        <v>45906.0</v>
      </c>
      <c r="H347" s="806" t="s">
        <v>7153</v>
      </c>
      <c r="I347" s="1058"/>
      <c r="J347" s="806" t="s">
        <v>7230</v>
      </c>
      <c r="K347" s="806"/>
      <c r="L347" s="1058"/>
      <c r="M347" s="806" t="s">
        <v>7156</v>
      </c>
      <c r="N347" s="806" t="s">
        <v>7157</v>
      </c>
      <c r="O347" s="1057"/>
      <c r="P347" s="1058"/>
      <c r="Q347" s="1061">
        <v>1.0</v>
      </c>
      <c r="R347" s="1061"/>
    </row>
    <row r="348" ht="12.75" customHeight="1">
      <c r="A348" s="806">
        <f t="shared" si="7"/>
        <v>31</v>
      </c>
      <c r="B348" s="1057" t="s">
        <v>6943</v>
      </c>
      <c r="C348" s="1154"/>
      <c r="D348" s="1154"/>
      <c r="E348" s="1059" t="s">
        <v>5809</v>
      </c>
      <c r="F348" s="806" t="s">
        <v>858</v>
      </c>
      <c r="G348" s="1064">
        <v>45906.0</v>
      </c>
      <c r="H348" s="806" t="s">
        <v>7153</v>
      </c>
      <c r="I348" s="1058"/>
      <c r="J348" s="806" t="s">
        <v>7230</v>
      </c>
      <c r="K348" s="806"/>
      <c r="L348" s="1058"/>
      <c r="M348" s="806" t="s">
        <v>7156</v>
      </c>
      <c r="N348" s="806" t="s">
        <v>7157</v>
      </c>
      <c r="O348" s="1057"/>
      <c r="P348" s="1058"/>
      <c r="Q348" s="1061">
        <v>1.0</v>
      </c>
      <c r="R348" s="1061"/>
    </row>
    <row r="349" ht="12.75" customHeight="1">
      <c r="A349" s="806">
        <f t="shared" si="7"/>
        <v>32</v>
      </c>
      <c r="B349" s="1057" t="s">
        <v>6944</v>
      </c>
      <c r="C349" s="1154"/>
      <c r="D349" s="1154"/>
      <c r="E349" s="1059" t="s">
        <v>5809</v>
      </c>
      <c r="F349" s="806" t="s">
        <v>858</v>
      </c>
      <c r="G349" s="1064">
        <v>45906.0</v>
      </c>
      <c r="H349" s="806" t="s">
        <v>7153</v>
      </c>
      <c r="I349" s="1058"/>
      <c r="J349" s="806" t="s">
        <v>7230</v>
      </c>
      <c r="K349" s="806"/>
      <c r="L349" s="1058"/>
      <c r="M349" s="806" t="s">
        <v>7156</v>
      </c>
      <c r="N349" s="806" t="s">
        <v>7157</v>
      </c>
      <c r="O349" s="1057"/>
      <c r="P349" s="1058"/>
      <c r="Q349" s="1061">
        <v>1.0</v>
      </c>
      <c r="R349" s="1061"/>
    </row>
    <row r="350" ht="12.75" customHeight="1">
      <c r="A350" s="806">
        <f t="shared" si="7"/>
        <v>33</v>
      </c>
      <c r="B350" s="1057" t="s">
        <v>6945</v>
      </c>
      <c r="C350" s="1154"/>
      <c r="D350" s="1154"/>
      <c r="E350" s="1059" t="s">
        <v>5809</v>
      </c>
      <c r="F350" s="806" t="s">
        <v>858</v>
      </c>
      <c r="G350" s="1064">
        <v>45906.0</v>
      </c>
      <c r="H350" s="806" t="s">
        <v>7153</v>
      </c>
      <c r="I350" s="1058"/>
      <c r="J350" s="806" t="s">
        <v>7230</v>
      </c>
      <c r="K350" s="806"/>
      <c r="L350" s="1058"/>
      <c r="M350" s="806" t="s">
        <v>7156</v>
      </c>
      <c r="N350" s="806" t="s">
        <v>7157</v>
      </c>
      <c r="O350" s="1057"/>
      <c r="P350" s="1058"/>
      <c r="Q350" s="1061">
        <v>1.0</v>
      </c>
      <c r="R350" s="1061"/>
    </row>
    <row r="351" ht="12.75" customHeight="1">
      <c r="A351" s="806">
        <f t="shared" si="7"/>
        <v>34</v>
      </c>
      <c r="B351" s="1057" t="s">
        <v>6946</v>
      </c>
      <c r="C351" s="1154"/>
      <c r="D351" s="1154"/>
      <c r="E351" s="1059" t="s">
        <v>5809</v>
      </c>
      <c r="F351" s="806" t="s">
        <v>858</v>
      </c>
      <c r="G351" s="1064">
        <v>45906.0</v>
      </c>
      <c r="H351" s="806" t="s">
        <v>7153</v>
      </c>
      <c r="I351" s="1058"/>
      <c r="J351" s="806" t="s">
        <v>7230</v>
      </c>
      <c r="K351" s="806"/>
      <c r="L351" s="1058"/>
      <c r="M351" s="806" t="s">
        <v>7156</v>
      </c>
      <c r="N351" s="806" t="s">
        <v>7157</v>
      </c>
      <c r="O351" s="1057"/>
      <c r="P351" s="1058"/>
      <c r="Q351" s="1061">
        <v>1.0</v>
      </c>
      <c r="R351" s="1061"/>
    </row>
    <row r="352" ht="12.75" customHeight="1">
      <c r="A352" s="806">
        <f t="shared" si="7"/>
        <v>35</v>
      </c>
      <c r="B352" s="1057" t="s">
        <v>6947</v>
      </c>
      <c r="C352" s="1154"/>
      <c r="D352" s="1154"/>
      <c r="E352" s="1059" t="s">
        <v>5809</v>
      </c>
      <c r="F352" s="806" t="s">
        <v>858</v>
      </c>
      <c r="G352" s="1064">
        <v>45906.0</v>
      </c>
      <c r="H352" s="806" t="s">
        <v>7153</v>
      </c>
      <c r="I352" s="1058"/>
      <c r="J352" s="806" t="s">
        <v>7230</v>
      </c>
      <c r="K352" s="806"/>
      <c r="L352" s="1058"/>
      <c r="M352" s="806" t="s">
        <v>7156</v>
      </c>
      <c r="N352" s="806" t="s">
        <v>7157</v>
      </c>
      <c r="O352" s="1057"/>
      <c r="P352" s="1058"/>
      <c r="Q352" s="1061">
        <v>1.0</v>
      </c>
      <c r="R352" s="1061"/>
    </row>
    <row r="353" ht="12.75" customHeight="1">
      <c r="A353" s="806">
        <v>1.0</v>
      </c>
      <c r="B353" s="1057" t="s">
        <v>7474</v>
      </c>
      <c r="C353" s="1154"/>
      <c r="D353" s="1154"/>
      <c r="E353" s="1059" t="s">
        <v>5809</v>
      </c>
      <c r="F353" s="806" t="s">
        <v>858</v>
      </c>
      <c r="G353" s="806" t="s">
        <v>7475</v>
      </c>
      <c r="H353" s="806" t="s">
        <v>7153</v>
      </c>
      <c r="I353" s="1058"/>
      <c r="J353" s="806" t="s">
        <v>7230</v>
      </c>
      <c r="K353" s="806"/>
      <c r="L353" s="1058"/>
      <c r="M353" s="806" t="s">
        <v>7156</v>
      </c>
      <c r="N353" s="806" t="s">
        <v>7157</v>
      </c>
      <c r="O353" s="1057"/>
      <c r="P353" s="1058"/>
      <c r="Q353" s="1078"/>
      <c r="R353" s="1078"/>
    </row>
    <row r="354" ht="12.75" customHeight="1">
      <c r="A354" s="806">
        <v>2.0</v>
      </c>
      <c r="B354" s="1057" t="s">
        <v>7476</v>
      </c>
      <c r="C354" s="1154"/>
      <c r="D354" s="1154"/>
      <c r="E354" s="1059" t="s">
        <v>5809</v>
      </c>
      <c r="F354" s="806" t="s">
        <v>858</v>
      </c>
      <c r="G354" s="806" t="s">
        <v>7475</v>
      </c>
      <c r="H354" s="806" t="s">
        <v>7153</v>
      </c>
      <c r="I354" s="1058"/>
      <c r="J354" s="806" t="s">
        <v>7230</v>
      </c>
      <c r="K354" s="806"/>
      <c r="L354" s="1058"/>
      <c r="M354" s="806" t="s">
        <v>7156</v>
      </c>
      <c r="N354" s="806" t="s">
        <v>7157</v>
      </c>
      <c r="O354" s="1057"/>
      <c r="P354" s="1058"/>
      <c r="Q354" s="1078"/>
      <c r="R354" s="1078"/>
    </row>
    <row r="355" ht="12.75" customHeight="1">
      <c r="A355" s="806">
        <v>3.0</v>
      </c>
      <c r="B355" s="1057" t="s">
        <v>7477</v>
      </c>
      <c r="C355" s="1154"/>
      <c r="D355" s="1154"/>
      <c r="E355" s="1059" t="s">
        <v>5809</v>
      </c>
      <c r="F355" s="806" t="s">
        <v>858</v>
      </c>
      <c r="G355" s="806" t="s">
        <v>7475</v>
      </c>
      <c r="H355" s="806" t="s">
        <v>7153</v>
      </c>
      <c r="I355" s="1058"/>
      <c r="J355" s="806" t="s">
        <v>7230</v>
      </c>
      <c r="K355" s="806"/>
      <c r="L355" s="1058"/>
      <c r="M355" s="806" t="s">
        <v>7156</v>
      </c>
      <c r="N355" s="806" t="s">
        <v>7157</v>
      </c>
      <c r="O355" s="1057"/>
      <c r="P355" s="1058"/>
      <c r="Q355" s="1078"/>
      <c r="R355" s="1078"/>
    </row>
    <row r="356" ht="12.75" customHeight="1">
      <c r="A356" s="806">
        <v>4.0</v>
      </c>
      <c r="B356" s="1057" t="s">
        <v>7479</v>
      </c>
      <c r="C356" s="1154"/>
      <c r="D356" s="1154"/>
      <c r="E356" s="1059" t="s">
        <v>5809</v>
      </c>
      <c r="F356" s="806" t="s">
        <v>858</v>
      </c>
      <c r="G356" s="806" t="s">
        <v>7475</v>
      </c>
      <c r="H356" s="806" t="s">
        <v>7153</v>
      </c>
      <c r="I356" s="1058"/>
      <c r="J356" s="806" t="s">
        <v>7230</v>
      </c>
      <c r="K356" s="806"/>
      <c r="L356" s="1058"/>
      <c r="M356" s="806" t="s">
        <v>7156</v>
      </c>
      <c r="N356" s="806" t="s">
        <v>7157</v>
      </c>
      <c r="O356" s="1057"/>
      <c r="P356" s="1058"/>
      <c r="Q356" s="1078"/>
      <c r="R356" s="1078"/>
    </row>
    <row r="357" ht="12.75" customHeight="1">
      <c r="A357" s="806">
        <v>5.0</v>
      </c>
      <c r="B357" s="1057" t="s">
        <v>7480</v>
      </c>
      <c r="C357" s="1154"/>
      <c r="D357" s="1154"/>
      <c r="E357" s="1059" t="s">
        <v>5809</v>
      </c>
      <c r="F357" s="806" t="s">
        <v>858</v>
      </c>
      <c r="G357" s="806" t="s">
        <v>7475</v>
      </c>
      <c r="H357" s="806" t="s">
        <v>7153</v>
      </c>
      <c r="I357" s="1058"/>
      <c r="J357" s="806" t="s">
        <v>7230</v>
      </c>
      <c r="K357" s="806"/>
      <c r="L357" s="1058"/>
      <c r="M357" s="806" t="s">
        <v>7156</v>
      </c>
      <c r="N357" s="806" t="s">
        <v>7157</v>
      </c>
      <c r="O357" s="1057"/>
      <c r="P357" s="1058"/>
      <c r="Q357" s="1078"/>
      <c r="R357" s="1078"/>
    </row>
    <row r="358" ht="12.75" customHeight="1">
      <c r="A358" s="806">
        <v>6.0</v>
      </c>
      <c r="B358" s="1057" t="s">
        <v>7481</v>
      </c>
      <c r="C358" s="1154"/>
      <c r="D358" s="1154"/>
      <c r="E358" s="1059" t="s">
        <v>5809</v>
      </c>
      <c r="F358" s="806" t="s">
        <v>858</v>
      </c>
      <c r="G358" s="806" t="s">
        <v>7475</v>
      </c>
      <c r="H358" s="806" t="s">
        <v>7153</v>
      </c>
      <c r="I358" s="1058"/>
      <c r="J358" s="806" t="s">
        <v>7230</v>
      </c>
      <c r="K358" s="806"/>
      <c r="L358" s="1058"/>
      <c r="M358" s="806" t="s">
        <v>7156</v>
      </c>
      <c r="N358" s="806" t="s">
        <v>7157</v>
      </c>
      <c r="O358" s="1057"/>
      <c r="P358" s="1058"/>
      <c r="Q358" s="1078"/>
      <c r="R358" s="1078"/>
    </row>
    <row r="359" ht="12.75" customHeight="1">
      <c r="A359" s="806">
        <v>7.0</v>
      </c>
      <c r="B359" s="1057" t="s">
        <v>7484</v>
      </c>
      <c r="C359" s="1154"/>
      <c r="D359" s="1154"/>
      <c r="E359" s="1059" t="s">
        <v>5809</v>
      </c>
      <c r="F359" s="806" t="s">
        <v>858</v>
      </c>
      <c r="G359" s="806" t="s">
        <v>7475</v>
      </c>
      <c r="H359" s="806" t="s">
        <v>7153</v>
      </c>
      <c r="I359" s="1058"/>
      <c r="J359" s="806" t="s">
        <v>7230</v>
      </c>
      <c r="K359" s="806"/>
      <c r="L359" s="1058"/>
      <c r="M359" s="806" t="s">
        <v>7156</v>
      </c>
      <c r="N359" s="806" t="s">
        <v>7157</v>
      </c>
      <c r="O359" s="1057"/>
      <c r="P359" s="1058"/>
      <c r="Q359" s="1078"/>
      <c r="R359" s="1078"/>
    </row>
    <row r="360" ht="12.75" customHeight="1">
      <c r="A360" s="806">
        <v>8.0</v>
      </c>
      <c r="B360" s="1057" t="s">
        <v>7490</v>
      </c>
      <c r="C360" s="1154"/>
      <c r="D360" s="1154"/>
      <c r="E360" s="1059" t="s">
        <v>5809</v>
      </c>
      <c r="F360" s="806" t="s">
        <v>858</v>
      </c>
      <c r="G360" s="806" t="s">
        <v>7475</v>
      </c>
      <c r="H360" s="806" t="s">
        <v>7153</v>
      </c>
      <c r="I360" s="1058"/>
      <c r="J360" s="806" t="s">
        <v>7230</v>
      </c>
      <c r="K360" s="806"/>
      <c r="L360" s="1058"/>
      <c r="M360" s="806" t="s">
        <v>7156</v>
      </c>
      <c r="N360" s="806" t="s">
        <v>7157</v>
      </c>
      <c r="O360" s="1057"/>
      <c r="P360" s="1058"/>
      <c r="Q360" s="1078"/>
      <c r="R360" s="1078"/>
    </row>
    <row r="361" ht="12.75" customHeight="1">
      <c r="A361" s="806">
        <v>9.0</v>
      </c>
      <c r="B361" s="1057" t="s">
        <v>7491</v>
      </c>
      <c r="C361" s="1154"/>
      <c r="D361" s="1154"/>
      <c r="E361" s="1059" t="s">
        <v>5809</v>
      </c>
      <c r="F361" s="806" t="s">
        <v>858</v>
      </c>
      <c r="G361" s="806" t="s">
        <v>7475</v>
      </c>
      <c r="H361" s="806" t="s">
        <v>7153</v>
      </c>
      <c r="I361" s="1058"/>
      <c r="J361" s="806" t="s">
        <v>7230</v>
      </c>
      <c r="K361" s="806"/>
      <c r="L361" s="1058"/>
      <c r="M361" s="806" t="s">
        <v>7156</v>
      </c>
      <c r="N361" s="806" t="s">
        <v>7157</v>
      </c>
      <c r="O361" s="1057"/>
      <c r="P361" s="1058"/>
      <c r="Q361" s="1078"/>
      <c r="R361" s="1078"/>
    </row>
    <row r="362" ht="12.75" customHeight="1">
      <c r="A362" s="806">
        <v>10.0</v>
      </c>
      <c r="B362" s="1057" t="s">
        <v>7498</v>
      </c>
      <c r="C362" s="1154"/>
      <c r="D362" s="1154"/>
      <c r="E362" s="1059" t="s">
        <v>5809</v>
      </c>
      <c r="F362" s="806" t="s">
        <v>858</v>
      </c>
      <c r="G362" s="806" t="s">
        <v>7475</v>
      </c>
      <c r="H362" s="806" t="s">
        <v>7153</v>
      </c>
      <c r="I362" s="1058"/>
      <c r="J362" s="806" t="s">
        <v>7230</v>
      </c>
      <c r="K362" s="806"/>
      <c r="L362" s="1058"/>
      <c r="M362" s="806" t="s">
        <v>7156</v>
      </c>
      <c r="N362" s="806" t="s">
        <v>7157</v>
      </c>
      <c r="O362" s="1057"/>
      <c r="P362" s="1058"/>
      <c r="Q362" s="1078"/>
      <c r="R362" s="1078"/>
    </row>
    <row r="363" ht="12.75" customHeight="1">
      <c r="A363" s="806">
        <v>11.0</v>
      </c>
      <c r="B363" s="1057" t="s">
        <v>7500</v>
      </c>
      <c r="C363" s="1154"/>
      <c r="D363" s="1154"/>
      <c r="E363" s="1059" t="s">
        <v>5809</v>
      </c>
      <c r="F363" s="806" t="s">
        <v>858</v>
      </c>
      <c r="G363" s="806" t="s">
        <v>7475</v>
      </c>
      <c r="H363" s="806" t="s">
        <v>7153</v>
      </c>
      <c r="I363" s="1058"/>
      <c r="J363" s="806" t="s">
        <v>7230</v>
      </c>
      <c r="K363" s="806"/>
      <c r="L363" s="1058"/>
      <c r="M363" s="806" t="s">
        <v>7156</v>
      </c>
      <c r="N363" s="806" t="s">
        <v>7157</v>
      </c>
      <c r="O363" s="1057"/>
      <c r="P363" s="1058"/>
      <c r="Q363" s="1078"/>
      <c r="R363" s="1078"/>
    </row>
    <row r="364" ht="12.75" customHeight="1">
      <c r="A364" s="806">
        <v>12.0</v>
      </c>
      <c r="B364" s="1057" t="s">
        <v>7506</v>
      </c>
      <c r="C364" s="1154"/>
      <c r="D364" s="1154"/>
      <c r="E364" s="1059" t="s">
        <v>5809</v>
      </c>
      <c r="F364" s="806" t="s">
        <v>858</v>
      </c>
      <c r="G364" s="806" t="s">
        <v>7475</v>
      </c>
      <c r="H364" s="806" t="s">
        <v>7153</v>
      </c>
      <c r="I364" s="1058"/>
      <c r="J364" s="806" t="s">
        <v>7230</v>
      </c>
      <c r="K364" s="806"/>
      <c r="L364" s="1058"/>
      <c r="M364" s="806" t="s">
        <v>7156</v>
      </c>
      <c r="N364" s="806" t="s">
        <v>7157</v>
      </c>
      <c r="O364" s="1057"/>
      <c r="P364" s="1058"/>
      <c r="Q364" s="1078"/>
      <c r="R364" s="1078"/>
    </row>
    <row r="365" ht="12.75" customHeight="1">
      <c r="A365" s="806">
        <v>13.0</v>
      </c>
      <c r="B365" s="1057" t="s">
        <v>7508</v>
      </c>
      <c r="C365" s="1154"/>
      <c r="D365" s="1154"/>
      <c r="E365" s="1059" t="s">
        <v>5809</v>
      </c>
      <c r="F365" s="806" t="s">
        <v>858</v>
      </c>
      <c r="G365" s="806" t="s">
        <v>7475</v>
      </c>
      <c r="H365" s="806" t="s">
        <v>7153</v>
      </c>
      <c r="I365" s="1058"/>
      <c r="J365" s="806" t="s">
        <v>7230</v>
      </c>
      <c r="K365" s="806"/>
      <c r="L365" s="1058"/>
      <c r="M365" s="806" t="s">
        <v>7156</v>
      </c>
      <c r="N365" s="806" t="s">
        <v>7157</v>
      </c>
      <c r="O365" s="1057"/>
      <c r="P365" s="1058"/>
      <c r="Q365" s="1078"/>
      <c r="R365" s="1078"/>
    </row>
    <row r="366" ht="12.75" customHeight="1">
      <c r="A366" s="806">
        <v>14.0</v>
      </c>
      <c r="B366" s="1057" t="s">
        <v>7511</v>
      </c>
      <c r="C366" s="1154"/>
      <c r="D366" s="1154"/>
      <c r="E366" s="1059" t="s">
        <v>5809</v>
      </c>
      <c r="F366" s="806" t="s">
        <v>858</v>
      </c>
      <c r="G366" s="806" t="s">
        <v>7475</v>
      </c>
      <c r="H366" s="806" t="s">
        <v>7153</v>
      </c>
      <c r="I366" s="1058"/>
      <c r="J366" s="806" t="s">
        <v>7230</v>
      </c>
      <c r="K366" s="806"/>
      <c r="L366" s="1058"/>
      <c r="M366" s="806" t="s">
        <v>7156</v>
      </c>
      <c r="N366" s="806" t="s">
        <v>7157</v>
      </c>
      <c r="O366" s="1057"/>
      <c r="P366" s="1058"/>
      <c r="Q366" s="1078"/>
      <c r="R366" s="1078"/>
    </row>
    <row r="367" ht="12.75" customHeight="1">
      <c r="A367" s="806">
        <v>15.0</v>
      </c>
      <c r="B367" s="1057" t="s">
        <v>7513</v>
      </c>
      <c r="C367" s="1154"/>
      <c r="D367" s="1154"/>
      <c r="E367" s="1059" t="s">
        <v>5809</v>
      </c>
      <c r="F367" s="806" t="s">
        <v>858</v>
      </c>
      <c r="G367" s="806" t="s">
        <v>7475</v>
      </c>
      <c r="H367" s="806" t="s">
        <v>7153</v>
      </c>
      <c r="I367" s="1058"/>
      <c r="J367" s="806" t="s">
        <v>7230</v>
      </c>
      <c r="K367" s="806"/>
      <c r="L367" s="1058"/>
      <c r="M367" s="806" t="s">
        <v>7156</v>
      </c>
      <c r="N367" s="806" t="s">
        <v>7157</v>
      </c>
      <c r="O367" s="1057"/>
      <c r="P367" s="1058"/>
      <c r="Q367" s="1078"/>
      <c r="R367" s="1078"/>
    </row>
    <row r="368" ht="12.75" customHeight="1">
      <c r="A368" s="806">
        <v>16.0</v>
      </c>
      <c r="B368" s="1057" t="s">
        <v>7516</v>
      </c>
      <c r="C368" s="1154"/>
      <c r="D368" s="1154"/>
      <c r="E368" s="1059" t="s">
        <v>5809</v>
      </c>
      <c r="F368" s="806" t="s">
        <v>858</v>
      </c>
      <c r="G368" s="806" t="s">
        <v>7475</v>
      </c>
      <c r="H368" s="806" t="s">
        <v>7153</v>
      </c>
      <c r="I368" s="1058"/>
      <c r="J368" s="806" t="s">
        <v>7230</v>
      </c>
      <c r="K368" s="806"/>
      <c r="L368" s="1058"/>
      <c r="M368" s="806" t="s">
        <v>7156</v>
      </c>
      <c r="N368" s="806" t="s">
        <v>7157</v>
      </c>
      <c r="O368" s="1057"/>
      <c r="P368" s="1058"/>
      <c r="Q368" s="1078"/>
      <c r="R368" s="1078"/>
    </row>
    <row r="369" ht="12.75" customHeight="1">
      <c r="A369" s="806">
        <v>17.0</v>
      </c>
      <c r="B369" s="1057" t="s">
        <v>7522</v>
      </c>
      <c r="C369" s="1154"/>
      <c r="D369" s="1154"/>
      <c r="E369" s="1059" t="s">
        <v>5809</v>
      </c>
      <c r="F369" s="806" t="s">
        <v>858</v>
      </c>
      <c r="G369" s="806" t="s">
        <v>7475</v>
      </c>
      <c r="H369" s="806" t="s">
        <v>7153</v>
      </c>
      <c r="I369" s="1058"/>
      <c r="J369" s="806" t="s">
        <v>7230</v>
      </c>
      <c r="K369" s="806"/>
      <c r="L369" s="1058"/>
      <c r="M369" s="806" t="s">
        <v>7156</v>
      </c>
      <c r="N369" s="806" t="s">
        <v>7157</v>
      </c>
      <c r="O369" s="1057"/>
      <c r="P369" s="1058"/>
      <c r="Q369" s="1078"/>
      <c r="R369" s="1078"/>
    </row>
    <row r="370" ht="12.75" customHeight="1">
      <c r="A370" s="806">
        <v>18.0</v>
      </c>
      <c r="B370" s="1057" t="s">
        <v>7523</v>
      </c>
      <c r="C370" s="1154"/>
      <c r="D370" s="1154"/>
      <c r="E370" s="1059" t="s">
        <v>5809</v>
      </c>
      <c r="F370" s="806" t="s">
        <v>858</v>
      </c>
      <c r="G370" s="806" t="s">
        <v>7475</v>
      </c>
      <c r="H370" s="806" t="s">
        <v>7153</v>
      </c>
      <c r="I370" s="1058"/>
      <c r="J370" s="806" t="s">
        <v>7230</v>
      </c>
      <c r="K370" s="806"/>
      <c r="L370" s="1058"/>
      <c r="M370" s="806" t="s">
        <v>7156</v>
      </c>
      <c r="N370" s="806" t="s">
        <v>7157</v>
      </c>
      <c r="O370" s="1057"/>
      <c r="P370" s="1058"/>
      <c r="Q370" s="1078"/>
      <c r="R370" s="1078"/>
    </row>
    <row r="371" ht="12.75" customHeight="1">
      <c r="A371" s="806">
        <v>19.0</v>
      </c>
      <c r="B371" s="1057" t="s">
        <v>7524</v>
      </c>
      <c r="C371" s="1154"/>
      <c r="D371" s="1154"/>
      <c r="E371" s="1059" t="s">
        <v>5809</v>
      </c>
      <c r="F371" s="806" t="s">
        <v>858</v>
      </c>
      <c r="G371" s="806" t="s">
        <v>7475</v>
      </c>
      <c r="H371" s="806" t="s">
        <v>7153</v>
      </c>
      <c r="I371" s="1058"/>
      <c r="J371" s="806" t="s">
        <v>7230</v>
      </c>
      <c r="K371" s="806"/>
      <c r="L371" s="1058"/>
      <c r="M371" s="806" t="s">
        <v>7156</v>
      </c>
      <c r="N371" s="806" t="s">
        <v>7157</v>
      </c>
      <c r="O371" s="1057"/>
      <c r="P371" s="1058"/>
      <c r="Q371" s="1078"/>
      <c r="R371" s="1078"/>
    </row>
    <row r="372" ht="12.75" customHeight="1">
      <c r="A372" s="806">
        <v>20.0</v>
      </c>
      <c r="B372" s="1057" t="s">
        <v>7528</v>
      </c>
      <c r="C372" s="1154"/>
      <c r="D372" s="1154"/>
      <c r="E372" s="1059" t="s">
        <v>5809</v>
      </c>
      <c r="F372" s="806" t="s">
        <v>858</v>
      </c>
      <c r="G372" s="806" t="s">
        <v>7475</v>
      </c>
      <c r="H372" s="806" t="s">
        <v>7153</v>
      </c>
      <c r="I372" s="1058"/>
      <c r="J372" s="806" t="s">
        <v>7230</v>
      </c>
      <c r="K372" s="806"/>
      <c r="L372" s="1058"/>
      <c r="M372" s="806" t="s">
        <v>7156</v>
      </c>
      <c r="N372" s="806" t="s">
        <v>7157</v>
      </c>
      <c r="O372" s="1057"/>
      <c r="P372" s="1058"/>
      <c r="Q372" s="1078"/>
      <c r="R372" s="1078"/>
    </row>
    <row r="373" ht="12.75" customHeight="1">
      <c r="A373" s="806"/>
      <c r="B373" s="1057"/>
      <c r="C373" s="1154"/>
      <c r="D373" s="1154"/>
      <c r="E373" s="1059"/>
      <c r="F373" s="806"/>
      <c r="G373" s="1084"/>
      <c r="H373" s="806"/>
      <c r="I373" s="1058"/>
      <c r="J373" s="806"/>
      <c r="K373" s="806"/>
      <c r="L373" s="1058"/>
      <c r="M373" s="806"/>
      <c r="N373" s="806"/>
      <c r="O373" s="1057"/>
      <c r="P373" s="1058"/>
      <c r="Q373" s="1078"/>
      <c r="R373" s="1078"/>
    </row>
    <row r="374" ht="12.75" customHeight="1">
      <c r="A374" s="806"/>
      <c r="B374" s="1057"/>
      <c r="C374" s="1154" t="s">
        <v>7205</v>
      </c>
      <c r="D374" s="1154"/>
      <c r="E374" s="1059"/>
      <c r="F374" s="806"/>
      <c r="G374" s="1084"/>
      <c r="H374" s="806"/>
      <c r="I374" s="1058"/>
      <c r="J374" s="806"/>
      <c r="K374" s="806"/>
      <c r="L374" s="1058"/>
      <c r="M374" s="806"/>
      <c r="N374" s="806"/>
      <c r="O374" s="1057"/>
      <c r="P374" s="1058"/>
      <c r="Q374" s="1078"/>
      <c r="R374" s="1078"/>
    </row>
    <row r="375" ht="12.75" customHeight="1">
      <c r="A375" s="1049" t="s">
        <v>7536</v>
      </c>
      <c r="B375" s="1050" t="s">
        <v>6128</v>
      </c>
      <c r="C375" s="1051">
        <f>COUNTA($B$376:$B$416)</f>
        <v>38</v>
      </c>
      <c r="D375" s="1052"/>
      <c r="E375" s="1052"/>
      <c r="F375" s="1053"/>
      <c r="G375" s="1054"/>
      <c r="H375" s="1053"/>
      <c r="I375" s="1051"/>
      <c r="J375" s="1053"/>
      <c r="K375" s="1053"/>
      <c r="L375" s="1055"/>
      <c r="M375" s="1053"/>
      <c r="N375" s="1053"/>
      <c r="O375" s="1055"/>
      <c r="P375" s="1055"/>
      <c r="Q375" s="1056"/>
      <c r="R375" s="1056"/>
    </row>
    <row r="376" ht="12.75" customHeight="1">
      <c r="A376" s="806">
        <v>1.0</v>
      </c>
      <c r="B376" s="1057" t="s">
        <v>6948</v>
      </c>
      <c r="C376" s="1173" t="s">
        <v>7539</v>
      </c>
      <c r="D376" s="1173"/>
      <c r="E376" s="1059" t="s">
        <v>5810</v>
      </c>
      <c r="F376" s="806" t="s">
        <v>1010</v>
      </c>
      <c r="G376" s="1084"/>
      <c r="H376" s="806" t="s">
        <v>7153</v>
      </c>
      <c r="I376" s="1057"/>
      <c r="J376" s="806" t="s">
        <v>7161</v>
      </c>
      <c r="K376" s="806" t="s">
        <v>740</v>
      </c>
      <c r="L376" s="1058"/>
      <c r="M376" s="806" t="s">
        <v>7162</v>
      </c>
      <c r="N376" s="806" t="s">
        <v>7163</v>
      </c>
      <c r="O376" s="1058"/>
      <c r="P376" s="1058"/>
      <c r="Q376" s="1061">
        <v>0.5</v>
      </c>
      <c r="R376" s="1061"/>
    </row>
    <row r="377" ht="12.75" customHeight="1">
      <c r="A377" s="806">
        <f t="shared" ref="A377:A413" si="8">A376+1</f>
        <v>2</v>
      </c>
      <c r="B377" s="1057" t="s">
        <v>6949</v>
      </c>
      <c r="C377" s="1173" t="s">
        <v>7545</v>
      </c>
      <c r="D377" s="1173"/>
      <c r="E377" s="1059" t="s">
        <v>5810</v>
      </c>
      <c r="F377" s="806" t="s">
        <v>1010</v>
      </c>
      <c r="G377" s="1084"/>
      <c r="H377" s="806" t="s">
        <v>7153</v>
      </c>
      <c r="I377" s="1057"/>
      <c r="J377" s="806" t="s">
        <v>7161</v>
      </c>
      <c r="K377" s="806" t="s">
        <v>740</v>
      </c>
      <c r="L377" s="1058"/>
      <c r="M377" s="806" t="s">
        <v>7162</v>
      </c>
      <c r="N377" s="806" t="s">
        <v>7163</v>
      </c>
      <c r="O377" s="1058"/>
      <c r="P377" s="1058"/>
      <c r="Q377" s="1061">
        <v>0.5</v>
      </c>
      <c r="R377" s="1061"/>
    </row>
    <row r="378" ht="12.75" customHeight="1">
      <c r="A378" s="806">
        <f t="shared" si="8"/>
        <v>3</v>
      </c>
      <c r="B378" s="1057" t="s">
        <v>6950</v>
      </c>
      <c r="C378" s="1173" t="s">
        <v>7546</v>
      </c>
      <c r="D378" s="1173"/>
      <c r="E378" s="1059" t="s">
        <v>5810</v>
      </c>
      <c r="F378" s="806" t="s">
        <v>1010</v>
      </c>
      <c r="G378" s="1084"/>
      <c r="H378" s="806" t="s">
        <v>7153</v>
      </c>
      <c r="I378" s="1058"/>
      <c r="J378" s="806" t="s">
        <v>7161</v>
      </c>
      <c r="K378" s="806" t="s">
        <v>740</v>
      </c>
      <c r="L378" s="1058"/>
      <c r="M378" s="806" t="s">
        <v>7162</v>
      </c>
      <c r="N378" s="806" t="s">
        <v>7163</v>
      </c>
      <c r="O378" s="1058"/>
      <c r="P378" s="1058"/>
      <c r="Q378" s="1061">
        <v>0.5</v>
      </c>
      <c r="R378" s="1061"/>
    </row>
    <row r="379" ht="12.75" customHeight="1">
      <c r="A379" s="806">
        <f t="shared" si="8"/>
        <v>4</v>
      </c>
      <c r="B379" s="1057" t="s">
        <v>6951</v>
      </c>
      <c r="C379" s="1057" t="s">
        <v>7547</v>
      </c>
      <c r="D379" s="1058"/>
      <c r="E379" s="1059" t="s">
        <v>5810</v>
      </c>
      <c r="F379" s="806" t="s">
        <v>1010</v>
      </c>
      <c r="G379" s="1084"/>
      <c r="H379" s="806" t="s">
        <v>7153</v>
      </c>
      <c r="I379" s="1057"/>
      <c r="J379" s="806" t="s">
        <v>7161</v>
      </c>
      <c r="K379" s="806" t="s">
        <v>740</v>
      </c>
      <c r="L379" s="1058"/>
      <c r="M379" s="806" t="s">
        <v>7162</v>
      </c>
      <c r="N379" s="806" t="s">
        <v>7163</v>
      </c>
      <c r="O379" s="1058"/>
      <c r="P379" s="1058"/>
      <c r="Q379" s="1061">
        <v>0.5</v>
      </c>
      <c r="R379" s="1061"/>
    </row>
    <row r="380" ht="12.75" customHeight="1">
      <c r="A380" s="806">
        <f t="shared" si="8"/>
        <v>5</v>
      </c>
      <c r="B380" s="1057" t="s">
        <v>6952</v>
      </c>
      <c r="C380" s="1057"/>
      <c r="D380" s="1058"/>
      <c r="E380" s="1059" t="s">
        <v>5810</v>
      </c>
      <c r="F380" s="806" t="s">
        <v>1010</v>
      </c>
      <c r="G380" s="1084"/>
      <c r="H380" s="806" t="s">
        <v>7153</v>
      </c>
      <c r="I380" s="1057"/>
      <c r="J380" s="806" t="s">
        <v>7161</v>
      </c>
      <c r="K380" s="806" t="s">
        <v>740</v>
      </c>
      <c r="L380" s="1058"/>
      <c r="M380" s="806" t="s">
        <v>7162</v>
      </c>
      <c r="N380" s="806" t="s">
        <v>7163</v>
      </c>
      <c r="O380" s="1058"/>
      <c r="P380" s="1058"/>
      <c r="Q380" s="1061">
        <v>0.5</v>
      </c>
      <c r="R380" s="1061"/>
    </row>
    <row r="381" ht="12.75" customHeight="1">
      <c r="A381" s="806">
        <f t="shared" si="8"/>
        <v>6</v>
      </c>
      <c r="B381" s="1057" t="s">
        <v>6953</v>
      </c>
      <c r="C381" s="1057"/>
      <c r="D381" s="1058"/>
      <c r="E381" s="1059" t="s">
        <v>5810</v>
      </c>
      <c r="F381" s="806" t="s">
        <v>1010</v>
      </c>
      <c r="G381" s="806" t="s">
        <v>7227</v>
      </c>
      <c r="H381" s="806" t="s">
        <v>7153</v>
      </c>
      <c r="I381" s="1057"/>
      <c r="J381" s="1132" t="s">
        <v>1093</v>
      </c>
      <c r="K381" s="810" t="s">
        <v>2339</v>
      </c>
      <c r="L381" s="1133"/>
      <c r="M381" s="810" t="s">
        <v>7210</v>
      </c>
      <c r="N381" s="810" t="s">
        <v>7211</v>
      </c>
      <c r="O381" s="1058"/>
      <c r="P381" s="1058"/>
      <c r="Q381" s="1061">
        <v>0.5</v>
      </c>
      <c r="R381" s="1061"/>
    </row>
    <row r="382" ht="12.75" customHeight="1">
      <c r="A382" s="806">
        <f t="shared" si="8"/>
        <v>7</v>
      </c>
      <c r="B382" s="1057" t="s">
        <v>6954</v>
      </c>
      <c r="C382" s="1057"/>
      <c r="D382" s="1058"/>
      <c r="E382" s="1059" t="s">
        <v>5810</v>
      </c>
      <c r="F382" s="806" t="s">
        <v>1010</v>
      </c>
      <c r="G382" s="806" t="s">
        <v>7227</v>
      </c>
      <c r="H382" s="806" t="s">
        <v>7153</v>
      </c>
      <c r="I382" s="1057"/>
      <c r="J382" s="1132" t="s">
        <v>1093</v>
      </c>
      <c r="K382" s="810" t="s">
        <v>2339</v>
      </c>
      <c r="L382" s="1133"/>
      <c r="M382" s="810" t="s">
        <v>7210</v>
      </c>
      <c r="N382" s="810" t="s">
        <v>7211</v>
      </c>
      <c r="O382" s="1058"/>
      <c r="P382" s="1058"/>
      <c r="Q382" s="1061">
        <v>0.5</v>
      </c>
      <c r="R382" s="1061"/>
    </row>
    <row r="383" ht="12.75" customHeight="1">
      <c r="A383" s="806">
        <f t="shared" si="8"/>
        <v>8</v>
      </c>
      <c r="B383" s="1057" t="s">
        <v>6955</v>
      </c>
      <c r="C383" s="1057"/>
      <c r="D383" s="1058"/>
      <c r="E383" s="1059" t="s">
        <v>5810</v>
      </c>
      <c r="F383" s="806" t="s">
        <v>1010</v>
      </c>
      <c r="G383" s="806" t="s">
        <v>7227</v>
      </c>
      <c r="H383" s="806" t="s">
        <v>7153</v>
      </c>
      <c r="I383" s="1057"/>
      <c r="J383" s="1132" t="s">
        <v>1093</v>
      </c>
      <c r="K383" s="810" t="s">
        <v>2339</v>
      </c>
      <c r="L383" s="1133"/>
      <c r="M383" s="810" t="s">
        <v>7210</v>
      </c>
      <c r="N383" s="810" t="s">
        <v>7211</v>
      </c>
      <c r="O383" s="1058"/>
      <c r="P383" s="1058"/>
      <c r="Q383" s="1061">
        <v>0.5</v>
      </c>
      <c r="R383" s="1061"/>
    </row>
    <row r="384" ht="12.75" customHeight="1">
      <c r="A384" s="806">
        <f t="shared" si="8"/>
        <v>9</v>
      </c>
      <c r="B384" s="1057" t="s">
        <v>6956</v>
      </c>
      <c r="C384" s="1057"/>
      <c r="D384" s="1058"/>
      <c r="E384" s="1059" t="s">
        <v>5810</v>
      </c>
      <c r="F384" s="806" t="s">
        <v>1010</v>
      </c>
      <c r="G384" s="806" t="s">
        <v>7227</v>
      </c>
      <c r="H384" s="806" t="s">
        <v>7153</v>
      </c>
      <c r="I384" s="1057"/>
      <c r="J384" s="1132" t="s">
        <v>1093</v>
      </c>
      <c r="K384" s="810" t="s">
        <v>2339</v>
      </c>
      <c r="L384" s="1133"/>
      <c r="M384" s="810" t="s">
        <v>7210</v>
      </c>
      <c r="N384" s="810" t="s">
        <v>7211</v>
      </c>
      <c r="O384" s="1058"/>
      <c r="P384" s="1058"/>
      <c r="Q384" s="1061">
        <v>0.5</v>
      </c>
      <c r="R384" s="1061"/>
    </row>
    <row r="385" ht="12.75" customHeight="1">
      <c r="A385" s="806">
        <f t="shared" si="8"/>
        <v>10</v>
      </c>
      <c r="B385" s="1057" t="s">
        <v>6957</v>
      </c>
      <c r="C385" s="1057"/>
      <c r="D385" s="1058"/>
      <c r="E385" s="1059" t="s">
        <v>5810</v>
      </c>
      <c r="F385" s="806" t="s">
        <v>1010</v>
      </c>
      <c r="G385" s="806" t="s">
        <v>7227</v>
      </c>
      <c r="H385" s="806" t="s">
        <v>7153</v>
      </c>
      <c r="I385" s="1057"/>
      <c r="J385" s="1132" t="s">
        <v>1093</v>
      </c>
      <c r="K385" s="810" t="s">
        <v>2339</v>
      </c>
      <c r="L385" s="1133"/>
      <c r="M385" s="810" t="s">
        <v>7210</v>
      </c>
      <c r="N385" s="810" t="s">
        <v>7211</v>
      </c>
      <c r="O385" s="1058"/>
      <c r="P385" s="1058"/>
      <c r="Q385" s="1061">
        <v>0.5</v>
      </c>
      <c r="R385" s="1061"/>
    </row>
    <row r="386" ht="12.75" customHeight="1">
      <c r="A386" s="806">
        <f t="shared" si="8"/>
        <v>11</v>
      </c>
      <c r="B386" s="1057" t="s">
        <v>6958</v>
      </c>
      <c r="C386" s="1057"/>
      <c r="D386" s="1058"/>
      <c r="E386" s="1059" t="s">
        <v>5810</v>
      </c>
      <c r="F386" s="806" t="s">
        <v>1010</v>
      </c>
      <c r="G386" s="806" t="s">
        <v>7227</v>
      </c>
      <c r="H386" s="806" t="s">
        <v>7153</v>
      </c>
      <c r="I386" s="1057"/>
      <c r="J386" s="1132" t="s">
        <v>1093</v>
      </c>
      <c r="K386" s="810" t="s">
        <v>2339</v>
      </c>
      <c r="L386" s="1133"/>
      <c r="M386" s="810" t="s">
        <v>7210</v>
      </c>
      <c r="N386" s="810" t="s">
        <v>7211</v>
      </c>
      <c r="O386" s="1058"/>
      <c r="P386" s="1058"/>
      <c r="Q386" s="1061">
        <v>0.5</v>
      </c>
      <c r="R386" s="1061"/>
    </row>
    <row r="387" ht="12.75" customHeight="1">
      <c r="A387" s="806">
        <f t="shared" si="8"/>
        <v>12</v>
      </c>
      <c r="B387" s="1057" t="s">
        <v>6959</v>
      </c>
      <c r="C387" s="1057"/>
      <c r="D387" s="1058"/>
      <c r="E387" s="1059" t="s">
        <v>5809</v>
      </c>
      <c r="F387" s="806" t="s">
        <v>1010</v>
      </c>
      <c r="G387" s="1090">
        <v>45844.0</v>
      </c>
      <c r="H387" s="806" t="s">
        <v>7153</v>
      </c>
      <c r="I387" s="1073"/>
      <c r="J387" s="806" t="s">
        <v>7230</v>
      </c>
      <c r="K387" s="806"/>
      <c r="L387" s="1058"/>
      <c r="M387" s="806" t="s">
        <v>7156</v>
      </c>
      <c r="N387" s="806" t="s">
        <v>7157</v>
      </c>
      <c r="O387" s="1058"/>
      <c r="P387" s="1058"/>
      <c r="Q387" s="1061">
        <v>1.0</v>
      </c>
      <c r="R387" s="1061"/>
    </row>
    <row r="388" ht="12.75" customHeight="1">
      <c r="A388" s="806">
        <f t="shared" si="8"/>
        <v>13</v>
      </c>
      <c r="B388" s="1057" t="s">
        <v>6960</v>
      </c>
      <c r="C388" s="1057"/>
      <c r="D388" s="1058"/>
      <c r="E388" s="1059" t="s">
        <v>5809</v>
      </c>
      <c r="F388" s="806" t="s">
        <v>1010</v>
      </c>
      <c r="G388" s="1090">
        <v>45844.0</v>
      </c>
      <c r="H388" s="806" t="s">
        <v>7153</v>
      </c>
      <c r="I388" s="1073"/>
      <c r="J388" s="806" t="s">
        <v>7230</v>
      </c>
      <c r="K388" s="806"/>
      <c r="L388" s="1058"/>
      <c r="M388" s="806" t="s">
        <v>7156</v>
      </c>
      <c r="N388" s="806" t="s">
        <v>7157</v>
      </c>
      <c r="O388" s="1058"/>
      <c r="P388" s="1058"/>
      <c r="Q388" s="1061">
        <v>1.0</v>
      </c>
      <c r="R388" s="1061"/>
    </row>
    <row r="389" ht="12.75" customHeight="1">
      <c r="A389" s="806">
        <f t="shared" si="8"/>
        <v>14</v>
      </c>
      <c r="B389" s="1057" t="s">
        <v>6961</v>
      </c>
      <c r="C389" s="1057"/>
      <c r="D389" s="1058"/>
      <c r="E389" s="1059" t="s">
        <v>5809</v>
      </c>
      <c r="F389" s="806" t="s">
        <v>1010</v>
      </c>
      <c r="G389" s="1090">
        <v>45844.0</v>
      </c>
      <c r="H389" s="806" t="s">
        <v>7153</v>
      </c>
      <c r="I389" s="1073"/>
      <c r="J389" s="806" t="s">
        <v>7230</v>
      </c>
      <c r="K389" s="806"/>
      <c r="L389" s="1058"/>
      <c r="M389" s="806" t="s">
        <v>7156</v>
      </c>
      <c r="N389" s="806" t="s">
        <v>7157</v>
      </c>
      <c r="O389" s="1058"/>
      <c r="P389" s="1058"/>
      <c r="Q389" s="1061">
        <v>1.0</v>
      </c>
      <c r="R389" s="1061"/>
    </row>
    <row r="390" ht="12.75" customHeight="1">
      <c r="A390" s="806">
        <f t="shared" si="8"/>
        <v>15</v>
      </c>
      <c r="B390" s="1057" t="s">
        <v>6962</v>
      </c>
      <c r="C390" s="1057"/>
      <c r="D390" s="1058"/>
      <c r="E390" s="1059" t="s">
        <v>5809</v>
      </c>
      <c r="F390" s="806" t="s">
        <v>1010</v>
      </c>
      <c r="G390" s="1090">
        <v>45844.0</v>
      </c>
      <c r="H390" s="806" t="s">
        <v>7153</v>
      </c>
      <c r="I390" s="1073"/>
      <c r="J390" s="806" t="s">
        <v>7230</v>
      </c>
      <c r="K390" s="806"/>
      <c r="L390" s="1058"/>
      <c r="M390" s="806" t="s">
        <v>7156</v>
      </c>
      <c r="N390" s="806" t="s">
        <v>7157</v>
      </c>
      <c r="O390" s="1058"/>
      <c r="P390" s="1058"/>
      <c r="Q390" s="1061">
        <v>1.0</v>
      </c>
      <c r="R390" s="1061"/>
    </row>
    <row r="391" ht="12.75" customHeight="1">
      <c r="A391" s="806">
        <f t="shared" si="8"/>
        <v>16</v>
      </c>
      <c r="B391" s="1057" t="s">
        <v>6963</v>
      </c>
      <c r="C391" s="1057"/>
      <c r="D391" s="1058"/>
      <c r="E391" s="1059" t="s">
        <v>5809</v>
      </c>
      <c r="F391" s="806" t="s">
        <v>1010</v>
      </c>
      <c r="G391" s="1090">
        <v>45844.0</v>
      </c>
      <c r="H391" s="806" t="s">
        <v>7153</v>
      </c>
      <c r="I391" s="1073"/>
      <c r="J391" s="806" t="s">
        <v>7230</v>
      </c>
      <c r="K391" s="806"/>
      <c r="L391" s="1058"/>
      <c r="M391" s="806" t="s">
        <v>7156</v>
      </c>
      <c r="N391" s="806" t="s">
        <v>7157</v>
      </c>
      <c r="O391" s="1058"/>
      <c r="P391" s="1058"/>
      <c r="Q391" s="1061">
        <v>1.0</v>
      </c>
      <c r="R391" s="1061"/>
    </row>
    <row r="392" ht="12.75" customHeight="1">
      <c r="A392" s="806">
        <f t="shared" si="8"/>
        <v>17</v>
      </c>
      <c r="B392" s="1057" t="s">
        <v>6964</v>
      </c>
      <c r="C392" s="1057"/>
      <c r="D392" s="1058"/>
      <c r="E392" s="1059" t="s">
        <v>5809</v>
      </c>
      <c r="F392" s="806" t="s">
        <v>1010</v>
      </c>
      <c r="G392" s="1090">
        <v>45844.0</v>
      </c>
      <c r="H392" s="806" t="s">
        <v>7153</v>
      </c>
      <c r="I392" s="1073"/>
      <c r="J392" s="806" t="s">
        <v>7230</v>
      </c>
      <c r="K392" s="806"/>
      <c r="L392" s="1058"/>
      <c r="M392" s="806" t="s">
        <v>7156</v>
      </c>
      <c r="N392" s="806" t="s">
        <v>7157</v>
      </c>
      <c r="O392" s="1058"/>
      <c r="P392" s="1058"/>
      <c r="Q392" s="1061">
        <v>1.0</v>
      </c>
      <c r="R392" s="1061"/>
    </row>
    <row r="393" ht="12.75" customHeight="1">
      <c r="A393" s="806">
        <f t="shared" si="8"/>
        <v>18</v>
      </c>
      <c r="B393" s="1057" t="s">
        <v>6965</v>
      </c>
      <c r="C393" s="1057"/>
      <c r="D393" s="1058"/>
      <c r="E393" s="1059" t="s">
        <v>5809</v>
      </c>
      <c r="F393" s="806" t="s">
        <v>1010</v>
      </c>
      <c r="G393" s="1090">
        <v>45844.0</v>
      </c>
      <c r="H393" s="806" t="s">
        <v>7153</v>
      </c>
      <c r="I393" s="1073"/>
      <c r="J393" s="806" t="s">
        <v>7230</v>
      </c>
      <c r="K393" s="806"/>
      <c r="L393" s="1058"/>
      <c r="M393" s="806" t="s">
        <v>7156</v>
      </c>
      <c r="N393" s="806" t="s">
        <v>7157</v>
      </c>
      <c r="O393" s="1058"/>
      <c r="P393" s="1058"/>
      <c r="Q393" s="1061">
        <v>1.0</v>
      </c>
      <c r="R393" s="1061"/>
    </row>
    <row r="394" ht="12.75" customHeight="1">
      <c r="A394" s="806">
        <f t="shared" si="8"/>
        <v>19</v>
      </c>
      <c r="B394" s="1057" t="s">
        <v>6966</v>
      </c>
      <c r="C394" s="1057"/>
      <c r="D394" s="1058"/>
      <c r="E394" s="1059" t="s">
        <v>5809</v>
      </c>
      <c r="F394" s="806" t="s">
        <v>1010</v>
      </c>
      <c r="G394" s="1090">
        <v>45844.0</v>
      </c>
      <c r="H394" s="806" t="s">
        <v>7153</v>
      </c>
      <c r="I394" s="1073"/>
      <c r="J394" s="806" t="s">
        <v>7230</v>
      </c>
      <c r="K394" s="806"/>
      <c r="L394" s="1058"/>
      <c r="M394" s="806" t="s">
        <v>7156</v>
      </c>
      <c r="N394" s="806" t="s">
        <v>7157</v>
      </c>
      <c r="O394" s="1058"/>
      <c r="P394" s="1058"/>
      <c r="Q394" s="1061">
        <v>1.0</v>
      </c>
      <c r="R394" s="1061"/>
    </row>
    <row r="395" ht="12.75" customHeight="1">
      <c r="A395" s="806">
        <f t="shared" si="8"/>
        <v>20</v>
      </c>
      <c r="B395" s="1057" t="s">
        <v>6967</v>
      </c>
      <c r="C395" s="1057"/>
      <c r="D395" s="1058"/>
      <c r="E395" s="1059" t="s">
        <v>5809</v>
      </c>
      <c r="F395" s="806" t="s">
        <v>1010</v>
      </c>
      <c r="G395" s="1090">
        <v>45844.0</v>
      </c>
      <c r="H395" s="806" t="s">
        <v>7153</v>
      </c>
      <c r="I395" s="1073"/>
      <c r="J395" s="806" t="s">
        <v>7230</v>
      </c>
      <c r="K395" s="806"/>
      <c r="L395" s="1058"/>
      <c r="M395" s="806" t="s">
        <v>7156</v>
      </c>
      <c r="N395" s="806" t="s">
        <v>7157</v>
      </c>
      <c r="O395" s="1058"/>
      <c r="P395" s="1058"/>
      <c r="Q395" s="1061">
        <v>1.0</v>
      </c>
      <c r="R395" s="1061"/>
    </row>
    <row r="396" ht="12.75" customHeight="1">
      <c r="A396" s="806">
        <f t="shared" si="8"/>
        <v>21</v>
      </c>
      <c r="B396" s="1057" t="s">
        <v>6968</v>
      </c>
      <c r="C396" s="1057"/>
      <c r="D396" s="1058"/>
      <c r="E396" s="1059" t="s">
        <v>5809</v>
      </c>
      <c r="F396" s="806" t="s">
        <v>1010</v>
      </c>
      <c r="G396" s="1090">
        <v>45844.0</v>
      </c>
      <c r="H396" s="806" t="s">
        <v>7153</v>
      </c>
      <c r="I396" s="1073"/>
      <c r="J396" s="806" t="s">
        <v>7230</v>
      </c>
      <c r="K396" s="806"/>
      <c r="L396" s="1058"/>
      <c r="M396" s="806" t="s">
        <v>7156</v>
      </c>
      <c r="N396" s="806" t="s">
        <v>7157</v>
      </c>
      <c r="O396" s="1058"/>
      <c r="P396" s="1058"/>
      <c r="Q396" s="1061">
        <v>1.0</v>
      </c>
      <c r="R396" s="1061"/>
    </row>
    <row r="397" ht="12.75" customHeight="1">
      <c r="A397" s="806">
        <f t="shared" si="8"/>
        <v>22</v>
      </c>
      <c r="B397" s="1057" t="s">
        <v>6969</v>
      </c>
      <c r="C397" s="1057"/>
      <c r="D397" s="1058"/>
      <c r="E397" s="1059" t="s">
        <v>5809</v>
      </c>
      <c r="F397" s="806" t="s">
        <v>1010</v>
      </c>
      <c r="G397" s="1090">
        <v>45844.0</v>
      </c>
      <c r="H397" s="806" t="s">
        <v>7153</v>
      </c>
      <c r="I397" s="1073"/>
      <c r="J397" s="806" t="s">
        <v>7230</v>
      </c>
      <c r="K397" s="806"/>
      <c r="L397" s="1058"/>
      <c r="M397" s="806" t="s">
        <v>7156</v>
      </c>
      <c r="N397" s="806" t="s">
        <v>7157</v>
      </c>
      <c r="O397" s="1058"/>
      <c r="P397" s="1058"/>
      <c r="Q397" s="1061">
        <v>1.0</v>
      </c>
      <c r="R397" s="1061"/>
    </row>
    <row r="398" ht="12.75" customHeight="1">
      <c r="A398" s="806">
        <f t="shared" si="8"/>
        <v>23</v>
      </c>
      <c r="B398" s="1057" t="s">
        <v>6970</v>
      </c>
      <c r="C398" s="1057"/>
      <c r="D398" s="1058"/>
      <c r="E398" s="1059" t="s">
        <v>5809</v>
      </c>
      <c r="F398" s="806" t="s">
        <v>1010</v>
      </c>
      <c r="G398" s="1090">
        <v>45844.0</v>
      </c>
      <c r="H398" s="806" t="s">
        <v>7153</v>
      </c>
      <c r="I398" s="1073"/>
      <c r="J398" s="806" t="s">
        <v>7230</v>
      </c>
      <c r="K398" s="806"/>
      <c r="L398" s="1058"/>
      <c r="M398" s="806" t="s">
        <v>7156</v>
      </c>
      <c r="N398" s="806" t="s">
        <v>7157</v>
      </c>
      <c r="O398" s="1058"/>
      <c r="P398" s="1058"/>
      <c r="Q398" s="1061">
        <v>1.0</v>
      </c>
      <c r="R398" s="1061"/>
    </row>
    <row r="399" ht="12.75" customHeight="1">
      <c r="A399" s="806">
        <f t="shared" si="8"/>
        <v>24</v>
      </c>
      <c r="B399" s="1057" t="s">
        <v>7613</v>
      </c>
      <c r="C399" s="1057"/>
      <c r="D399" s="1058"/>
      <c r="E399" s="1059" t="s">
        <v>5809</v>
      </c>
      <c r="F399" s="806" t="s">
        <v>1010</v>
      </c>
      <c r="G399" s="1077" t="s">
        <v>7475</v>
      </c>
      <c r="H399" s="806" t="s">
        <v>7153</v>
      </c>
      <c r="I399" s="1073"/>
      <c r="J399" s="806" t="s">
        <v>7230</v>
      </c>
      <c r="K399" s="806"/>
      <c r="L399" s="1058"/>
      <c r="M399" s="806" t="s">
        <v>7156</v>
      </c>
      <c r="N399" s="806" t="s">
        <v>7157</v>
      </c>
      <c r="O399" s="1058"/>
      <c r="P399" s="1058"/>
      <c r="Q399" s="1078"/>
      <c r="R399" s="1078"/>
    </row>
    <row r="400" ht="12.75" customHeight="1">
      <c r="A400" s="806">
        <f t="shared" si="8"/>
        <v>25</v>
      </c>
      <c r="B400" s="1057" t="s">
        <v>7614</v>
      </c>
      <c r="C400" s="1057"/>
      <c r="D400" s="1058"/>
      <c r="E400" s="1059" t="s">
        <v>5809</v>
      </c>
      <c r="F400" s="806" t="s">
        <v>1010</v>
      </c>
      <c r="G400" s="1077" t="s">
        <v>7475</v>
      </c>
      <c r="H400" s="806" t="s">
        <v>7153</v>
      </c>
      <c r="I400" s="1073"/>
      <c r="J400" s="806" t="s">
        <v>7230</v>
      </c>
      <c r="K400" s="806"/>
      <c r="L400" s="1058"/>
      <c r="M400" s="806" t="s">
        <v>7156</v>
      </c>
      <c r="N400" s="806" t="s">
        <v>7157</v>
      </c>
      <c r="O400" s="1058"/>
      <c r="P400" s="1058"/>
      <c r="Q400" s="1078"/>
      <c r="R400" s="1078"/>
    </row>
    <row r="401" ht="12.75" customHeight="1">
      <c r="A401" s="806">
        <f t="shared" si="8"/>
        <v>26</v>
      </c>
      <c r="B401" s="1057" t="s">
        <v>7615</v>
      </c>
      <c r="C401" s="1057"/>
      <c r="D401" s="1058"/>
      <c r="E401" s="1059" t="s">
        <v>5809</v>
      </c>
      <c r="F401" s="806" t="s">
        <v>1010</v>
      </c>
      <c r="G401" s="1077" t="s">
        <v>7475</v>
      </c>
      <c r="H401" s="806" t="s">
        <v>7153</v>
      </c>
      <c r="I401" s="1073"/>
      <c r="J401" s="806" t="s">
        <v>7230</v>
      </c>
      <c r="K401" s="806"/>
      <c r="L401" s="1058"/>
      <c r="M401" s="806" t="s">
        <v>7156</v>
      </c>
      <c r="N401" s="806" t="s">
        <v>7157</v>
      </c>
      <c r="O401" s="1058"/>
      <c r="P401" s="1058"/>
      <c r="Q401" s="1078"/>
      <c r="R401" s="1078"/>
    </row>
    <row r="402" ht="12.75" customHeight="1">
      <c r="A402" s="806">
        <f t="shared" si="8"/>
        <v>27</v>
      </c>
      <c r="B402" s="1057" t="s">
        <v>7616</v>
      </c>
      <c r="C402" s="1057"/>
      <c r="D402" s="1058"/>
      <c r="E402" s="1059" t="s">
        <v>5809</v>
      </c>
      <c r="F402" s="806" t="s">
        <v>1010</v>
      </c>
      <c r="G402" s="1077" t="s">
        <v>7475</v>
      </c>
      <c r="H402" s="806" t="s">
        <v>7153</v>
      </c>
      <c r="I402" s="1073"/>
      <c r="J402" s="806" t="s">
        <v>7230</v>
      </c>
      <c r="K402" s="806"/>
      <c r="L402" s="1058"/>
      <c r="M402" s="806" t="s">
        <v>7156</v>
      </c>
      <c r="N402" s="806" t="s">
        <v>7157</v>
      </c>
      <c r="O402" s="1058"/>
      <c r="P402" s="1058"/>
      <c r="Q402" s="1078"/>
      <c r="R402" s="1078"/>
    </row>
    <row r="403" ht="12.75" customHeight="1">
      <c r="A403" s="806">
        <f t="shared" si="8"/>
        <v>28</v>
      </c>
      <c r="B403" s="1057" t="s">
        <v>7617</v>
      </c>
      <c r="C403" s="1057"/>
      <c r="D403" s="1058"/>
      <c r="E403" s="1059" t="s">
        <v>5809</v>
      </c>
      <c r="F403" s="806" t="s">
        <v>1010</v>
      </c>
      <c r="G403" s="1077" t="s">
        <v>7475</v>
      </c>
      <c r="H403" s="806" t="s">
        <v>7153</v>
      </c>
      <c r="I403" s="1073"/>
      <c r="J403" s="806" t="s">
        <v>7230</v>
      </c>
      <c r="K403" s="806"/>
      <c r="L403" s="1058"/>
      <c r="M403" s="806" t="s">
        <v>7156</v>
      </c>
      <c r="N403" s="806" t="s">
        <v>7157</v>
      </c>
      <c r="O403" s="1058"/>
      <c r="P403" s="1058"/>
      <c r="Q403" s="1078"/>
      <c r="R403" s="1078"/>
    </row>
    <row r="404" ht="12.75" customHeight="1">
      <c r="A404" s="806">
        <f t="shared" si="8"/>
        <v>29</v>
      </c>
      <c r="B404" s="1057" t="s">
        <v>7618</v>
      </c>
      <c r="C404" s="1057"/>
      <c r="D404" s="1058"/>
      <c r="E404" s="1059" t="s">
        <v>5809</v>
      </c>
      <c r="F404" s="806" t="s">
        <v>1010</v>
      </c>
      <c r="G404" s="1077" t="s">
        <v>7475</v>
      </c>
      <c r="H404" s="806" t="s">
        <v>7153</v>
      </c>
      <c r="I404" s="1073"/>
      <c r="J404" s="806" t="s">
        <v>7230</v>
      </c>
      <c r="K404" s="806"/>
      <c r="L404" s="1058"/>
      <c r="M404" s="806" t="s">
        <v>7156</v>
      </c>
      <c r="N404" s="806" t="s">
        <v>7157</v>
      </c>
      <c r="O404" s="1058"/>
      <c r="P404" s="1058"/>
      <c r="Q404" s="1078"/>
      <c r="R404" s="1078"/>
    </row>
    <row r="405" ht="12.75" customHeight="1">
      <c r="A405" s="806">
        <f t="shared" si="8"/>
        <v>30</v>
      </c>
      <c r="B405" s="1057" t="s">
        <v>7619</v>
      </c>
      <c r="C405" s="1057"/>
      <c r="D405" s="1058"/>
      <c r="E405" s="1059" t="s">
        <v>5809</v>
      </c>
      <c r="F405" s="806" t="s">
        <v>1010</v>
      </c>
      <c r="G405" s="1077" t="s">
        <v>7475</v>
      </c>
      <c r="H405" s="806" t="s">
        <v>7153</v>
      </c>
      <c r="I405" s="1073"/>
      <c r="J405" s="806" t="s">
        <v>7230</v>
      </c>
      <c r="K405" s="806"/>
      <c r="L405" s="1058"/>
      <c r="M405" s="806" t="s">
        <v>7156</v>
      </c>
      <c r="N405" s="806" t="s">
        <v>7157</v>
      </c>
      <c r="O405" s="1058"/>
      <c r="P405" s="1058"/>
      <c r="Q405" s="1078"/>
      <c r="R405" s="1078"/>
    </row>
    <row r="406" ht="12.75" customHeight="1">
      <c r="A406" s="806">
        <f t="shared" si="8"/>
        <v>31</v>
      </c>
      <c r="B406" s="1057" t="s">
        <v>7620</v>
      </c>
      <c r="C406" s="1057"/>
      <c r="D406" s="1058"/>
      <c r="E406" s="1059" t="s">
        <v>5809</v>
      </c>
      <c r="F406" s="806" t="s">
        <v>1010</v>
      </c>
      <c r="G406" s="1077" t="s">
        <v>7475</v>
      </c>
      <c r="H406" s="806" t="s">
        <v>7153</v>
      </c>
      <c r="I406" s="1073"/>
      <c r="J406" s="806" t="s">
        <v>7230</v>
      </c>
      <c r="K406" s="806"/>
      <c r="L406" s="1058"/>
      <c r="M406" s="806" t="s">
        <v>7156</v>
      </c>
      <c r="N406" s="806" t="s">
        <v>7157</v>
      </c>
      <c r="O406" s="1058"/>
      <c r="P406" s="1058"/>
      <c r="Q406" s="1078"/>
      <c r="R406" s="1078"/>
    </row>
    <row r="407" ht="12.75" customHeight="1">
      <c r="A407" s="806">
        <f t="shared" si="8"/>
        <v>32</v>
      </c>
      <c r="B407" s="1057" t="s">
        <v>7621</v>
      </c>
      <c r="C407" s="1057"/>
      <c r="D407" s="1058"/>
      <c r="E407" s="1059" t="s">
        <v>5809</v>
      </c>
      <c r="F407" s="806" t="s">
        <v>1010</v>
      </c>
      <c r="G407" s="1077" t="s">
        <v>7475</v>
      </c>
      <c r="H407" s="806" t="s">
        <v>7153</v>
      </c>
      <c r="I407" s="1073"/>
      <c r="J407" s="806" t="s">
        <v>7230</v>
      </c>
      <c r="K407" s="806"/>
      <c r="L407" s="1058"/>
      <c r="M407" s="806" t="s">
        <v>7156</v>
      </c>
      <c r="N407" s="806" t="s">
        <v>7157</v>
      </c>
      <c r="O407" s="1058"/>
      <c r="P407" s="1058"/>
      <c r="Q407" s="1078"/>
      <c r="R407" s="1078"/>
    </row>
    <row r="408" ht="12.75" customHeight="1">
      <c r="A408" s="806">
        <f t="shared" si="8"/>
        <v>33</v>
      </c>
      <c r="B408" s="1057" t="s">
        <v>7622</v>
      </c>
      <c r="C408" s="1057"/>
      <c r="D408" s="1058"/>
      <c r="E408" s="1059" t="s">
        <v>5809</v>
      </c>
      <c r="F408" s="806" t="s">
        <v>1010</v>
      </c>
      <c r="G408" s="1077" t="s">
        <v>7475</v>
      </c>
      <c r="H408" s="806" t="s">
        <v>7153</v>
      </c>
      <c r="I408" s="1073"/>
      <c r="J408" s="806" t="s">
        <v>7230</v>
      </c>
      <c r="K408" s="806"/>
      <c r="L408" s="1058"/>
      <c r="M408" s="806" t="s">
        <v>7156</v>
      </c>
      <c r="N408" s="806" t="s">
        <v>7157</v>
      </c>
      <c r="O408" s="1058"/>
      <c r="P408" s="1058"/>
      <c r="Q408" s="1078"/>
      <c r="R408" s="1078"/>
    </row>
    <row r="409" ht="12.75" customHeight="1">
      <c r="A409" s="806">
        <f t="shared" si="8"/>
        <v>34</v>
      </c>
      <c r="B409" s="1057" t="s">
        <v>7623</v>
      </c>
      <c r="C409" s="1057"/>
      <c r="D409" s="1058"/>
      <c r="E409" s="1059" t="s">
        <v>5809</v>
      </c>
      <c r="F409" s="806" t="s">
        <v>1010</v>
      </c>
      <c r="G409" s="1077" t="s">
        <v>7475</v>
      </c>
      <c r="H409" s="806" t="s">
        <v>7153</v>
      </c>
      <c r="I409" s="1073"/>
      <c r="J409" s="806" t="s">
        <v>7230</v>
      </c>
      <c r="K409" s="806"/>
      <c r="L409" s="1058"/>
      <c r="M409" s="806" t="s">
        <v>7156</v>
      </c>
      <c r="N409" s="806" t="s">
        <v>7157</v>
      </c>
      <c r="O409" s="1058"/>
      <c r="P409" s="1058"/>
      <c r="Q409" s="1078"/>
      <c r="R409" s="1078"/>
    </row>
    <row r="410" ht="12.75" customHeight="1">
      <c r="A410" s="806">
        <f t="shared" si="8"/>
        <v>35</v>
      </c>
      <c r="B410" s="1057" t="s">
        <v>7624</v>
      </c>
      <c r="C410" s="1057"/>
      <c r="D410" s="1058"/>
      <c r="E410" s="1059" t="s">
        <v>5809</v>
      </c>
      <c r="F410" s="806" t="s">
        <v>1010</v>
      </c>
      <c r="G410" s="1077" t="s">
        <v>7475</v>
      </c>
      <c r="H410" s="806" t="s">
        <v>7153</v>
      </c>
      <c r="I410" s="1073"/>
      <c r="J410" s="806" t="s">
        <v>7230</v>
      </c>
      <c r="K410" s="806"/>
      <c r="L410" s="1058"/>
      <c r="M410" s="806" t="s">
        <v>7156</v>
      </c>
      <c r="N410" s="806" t="s">
        <v>7157</v>
      </c>
      <c r="O410" s="1058"/>
      <c r="P410" s="1058"/>
      <c r="Q410" s="1078"/>
      <c r="R410" s="1078"/>
    </row>
    <row r="411" ht="12.75" customHeight="1">
      <c r="A411" s="806">
        <f t="shared" si="8"/>
        <v>36</v>
      </c>
      <c r="B411" s="1057" t="s">
        <v>7625</v>
      </c>
      <c r="C411" s="1057"/>
      <c r="D411" s="1058"/>
      <c r="E411" s="1059" t="s">
        <v>5809</v>
      </c>
      <c r="F411" s="806" t="s">
        <v>1010</v>
      </c>
      <c r="G411" s="1077" t="s">
        <v>7475</v>
      </c>
      <c r="H411" s="806" t="s">
        <v>7153</v>
      </c>
      <c r="I411" s="1073"/>
      <c r="J411" s="806" t="s">
        <v>7230</v>
      </c>
      <c r="K411" s="806"/>
      <c r="L411" s="1058"/>
      <c r="M411" s="806" t="s">
        <v>7156</v>
      </c>
      <c r="N411" s="806" t="s">
        <v>7157</v>
      </c>
      <c r="O411" s="1058"/>
      <c r="P411" s="1058"/>
      <c r="Q411" s="1078"/>
      <c r="R411" s="1078"/>
    </row>
    <row r="412" ht="12.75" customHeight="1">
      <c r="A412" s="806">
        <f t="shared" si="8"/>
        <v>37</v>
      </c>
      <c r="B412" s="1057" t="s">
        <v>7626</v>
      </c>
      <c r="C412" s="1057"/>
      <c r="D412" s="1058"/>
      <c r="E412" s="1059" t="s">
        <v>5809</v>
      </c>
      <c r="F412" s="806" t="s">
        <v>1010</v>
      </c>
      <c r="G412" s="1077" t="s">
        <v>7475</v>
      </c>
      <c r="H412" s="806" t="s">
        <v>7153</v>
      </c>
      <c r="I412" s="1073"/>
      <c r="J412" s="806" t="s">
        <v>7230</v>
      </c>
      <c r="K412" s="806"/>
      <c r="L412" s="1058"/>
      <c r="M412" s="806" t="s">
        <v>7156</v>
      </c>
      <c r="N412" s="806" t="s">
        <v>7157</v>
      </c>
      <c r="O412" s="1058"/>
      <c r="P412" s="1058"/>
      <c r="Q412" s="1078"/>
      <c r="R412" s="1078"/>
    </row>
    <row r="413" ht="12.75" customHeight="1">
      <c r="A413" s="806">
        <f t="shared" si="8"/>
        <v>38</v>
      </c>
      <c r="B413" s="1057" t="s">
        <v>7627</v>
      </c>
      <c r="C413" s="1057"/>
      <c r="D413" s="1058"/>
      <c r="E413" s="1059" t="s">
        <v>5809</v>
      </c>
      <c r="F413" s="806" t="s">
        <v>1010</v>
      </c>
      <c r="G413" s="1077" t="s">
        <v>7475</v>
      </c>
      <c r="H413" s="806" t="s">
        <v>7153</v>
      </c>
      <c r="I413" s="1073"/>
      <c r="J413" s="806" t="s">
        <v>7230</v>
      </c>
      <c r="K413" s="806"/>
      <c r="L413" s="1058"/>
      <c r="M413" s="806" t="s">
        <v>7156</v>
      </c>
      <c r="N413" s="806" t="s">
        <v>7157</v>
      </c>
      <c r="O413" s="1058"/>
      <c r="P413" s="1058"/>
      <c r="Q413" s="1078"/>
      <c r="R413" s="1078"/>
    </row>
    <row r="414" ht="12.75" customHeight="1">
      <c r="A414" s="806"/>
      <c r="B414" s="1057"/>
      <c r="C414" s="1057"/>
      <c r="D414" s="1058"/>
      <c r="E414" s="1059"/>
      <c r="F414" s="806"/>
      <c r="G414" s="1072"/>
      <c r="H414" s="810"/>
      <c r="I414" s="1073"/>
      <c r="J414" s="806"/>
      <c r="K414" s="806"/>
      <c r="L414" s="1058"/>
      <c r="M414" s="806"/>
      <c r="N414" s="806"/>
      <c r="O414" s="1058"/>
      <c r="P414" s="1058"/>
      <c r="Q414" s="1078"/>
      <c r="R414" s="1078"/>
    </row>
    <row r="415" ht="12.75" customHeight="1">
      <c r="A415" s="806"/>
      <c r="B415" s="1057"/>
      <c r="C415" s="1057"/>
      <c r="D415" s="1058"/>
      <c r="E415" s="1059"/>
      <c r="F415" s="806"/>
      <c r="G415" s="1084"/>
      <c r="H415" s="810"/>
      <c r="I415" s="1057"/>
      <c r="J415" s="806"/>
      <c r="K415" s="806"/>
      <c r="L415" s="1058"/>
      <c r="M415" s="806"/>
      <c r="N415" s="806"/>
      <c r="O415" s="1058"/>
      <c r="P415" s="1058"/>
      <c r="Q415" s="1078"/>
      <c r="R415" s="1078"/>
    </row>
    <row r="416" ht="12.75" customHeight="1">
      <c r="A416" s="806"/>
      <c r="B416" s="1057"/>
      <c r="C416" s="1057" t="s">
        <v>7205</v>
      </c>
      <c r="D416" s="1058"/>
      <c r="E416" s="1059"/>
      <c r="F416" s="806"/>
      <c r="G416" s="1084"/>
      <c r="H416" s="810"/>
      <c r="I416" s="1057"/>
      <c r="J416" s="806"/>
      <c r="K416" s="806"/>
      <c r="L416" s="1058"/>
      <c r="M416" s="806"/>
      <c r="N416" s="806"/>
      <c r="O416" s="1058"/>
      <c r="P416" s="1058"/>
      <c r="Q416" s="1078"/>
      <c r="R416" s="1078"/>
    </row>
    <row r="417" ht="12.75" customHeight="1">
      <c r="A417" s="1049" t="s">
        <v>7628</v>
      </c>
      <c r="B417" s="1050" t="s">
        <v>6153</v>
      </c>
      <c r="C417" s="1051">
        <f>COUNTA(B418:B491)</f>
        <v>63</v>
      </c>
      <c r="D417" s="1052"/>
      <c r="E417" s="1052"/>
      <c r="F417" s="1053"/>
      <c r="G417" s="1054"/>
      <c r="H417" s="1053"/>
      <c r="I417" s="1051"/>
      <c r="J417" s="1053"/>
      <c r="K417" s="1053"/>
      <c r="L417" s="1055"/>
      <c r="M417" s="1053"/>
      <c r="N417" s="1053"/>
      <c r="O417" s="1055"/>
      <c r="P417" s="1055"/>
      <c r="Q417" s="1056"/>
      <c r="R417" s="1056"/>
    </row>
    <row r="418" ht="12.75" customHeight="1">
      <c r="A418" s="806">
        <v>1.0</v>
      </c>
      <c r="B418" s="1185" t="s">
        <v>6971</v>
      </c>
      <c r="C418" s="1058"/>
      <c r="D418" s="1173"/>
      <c r="E418" s="1059" t="s">
        <v>5810</v>
      </c>
      <c r="F418" s="806" t="s">
        <v>1120</v>
      </c>
      <c r="G418" s="1084"/>
      <c r="H418" s="806" t="s">
        <v>7153</v>
      </c>
      <c r="I418" s="1058"/>
      <c r="J418" s="806" t="s">
        <v>7161</v>
      </c>
      <c r="K418" s="806" t="s">
        <v>740</v>
      </c>
      <c r="L418" s="1058"/>
      <c r="M418" s="806" t="s">
        <v>7162</v>
      </c>
      <c r="N418" s="806" t="s">
        <v>7163</v>
      </c>
      <c r="O418" s="1058"/>
      <c r="P418" s="1058"/>
      <c r="Q418" s="1061">
        <v>0.5</v>
      </c>
      <c r="R418" s="1061"/>
    </row>
    <row r="419" ht="13.5" customHeight="1">
      <c r="A419" s="810">
        <f t="shared" ref="A419:A480" si="9">A418+1</f>
        <v>2</v>
      </c>
      <c r="B419" s="1185" t="s">
        <v>6972</v>
      </c>
      <c r="C419" s="1058"/>
      <c r="D419" s="1173"/>
      <c r="E419" s="1059" t="s">
        <v>5810</v>
      </c>
      <c r="F419" s="806" t="s">
        <v>1120</v>
      </c>
      <c r="G419" s="1084"/>
      <c r="H419" s="806" t="s">
        <v>7153</v>
      </c>
      <c r="I419" s="1058"/>
      <c r="J419" s="806" t="s">
        <v>7161</v>
      </c>
      <c r="K419" s="806" t="s">
        <v>740</v>
      </c>
      <c r="L419" s="1058"/>
      <c r="M419" s="806" t="s">
        <v>7162</v>
      </c>
      <c r="N419" s="806" t="s">
        <v>7163</v>
      </c>
      <c r="O419" s="1058"/>
      <c r="P419" s="1058"/>
      <c r="Q419" s="1061">
        <v>0.5</v>
      </c>
      <c r="R419" s="1061"/>
    </row>
    <row r="420" ht="12.75" customHeight="1">
      <c r="A420" s="810">
        <f t="shared" si="9"/>
        <v>3</v>
      </c>
      <c r="B420" s="1057" t="s">
        <v>6973</v>
      </c>
      <c r="C420" s="1058"/>
      <c r="D420" s="1173"/>
      <c r="E420" s="1059" t="s">
        <v>5810</v>
      </c>
      <c r="F420" s="806" t="s">
        <v>1120</v>
      </c>
      <c r="G420" s="1084"/>
      <c r="H420" s="806" t="s">
        <v>7153</v>
      </c>
      <c r="I420" s="1058"/>
      <c r="J420" s="806" t="s">
        <v>7161</v>
      </c>
      <c r="K420" s="806" t="s">
        <v>740</v>
      </c>
      <c r="L420" s="1058"/>
      <c r="M420" s="806" t="s">
        <v>7162</v>
      </c>
      <c r="N420" s="806" t="s">
        <v>7163</v>
      </c>
      <c r="O420" s="1058"/>
      <c r="P420" s="1058"/>
      <c r="Q420" s="1061">
        <v>0.5</v>
      </c>
      <c r="R420" s="1061"/>
    </row>
    <row r="421" ht="12.75" customHeight="1">
      <c r="A421" s="810">
        <f t="shared" si="9"/>
        <v>4</v>
      </c>
      <c r="B421" s="1185" t="s">
        <v>6974</v>
      </c>
      <c r="C421" s="1133"/>
      <c r="D421" s="1154"/>
      <c r="E421" s="1059" t="s">
        <v>5810</v>
      </c>
      <c r="F421" s="806" t="s">
        <v>1120</v>
      </c>
      <c r="G421" s="1186">
        <v>45416.0</v>
      </c>
      <c r="H421" s="806" t="s">
        <v>7153</v>
      </c>
      <c r="I421" s="1187"/>
      <c r="J421" s="1132" t="s">
        <v>1093</v>
      </c>
      <c r="K421" s="810" t="s">
        <v>2339</v>
      </c>
      <c r="L421" s="1133"/>
      <c r="M421" s="810" t="s">
        <v>7210</v>
      </c>
      <c r="N421" s="810" t="s">
        <v>7211</v>
      </c>
      <c r="O421" s="1188"/>
      <c r="P421" s="1133"/>
      <c r="Q421" s="1061">
        <v>0.5</v>
      </c>
      <c r="R421" s="1061"/>
    </row>
    <row r="422" ht="12.75" customHeight="1">
      <c r="A422" s="810">
        <f t="shared" si="9"/>
        <v>5</v>
      </c>
      <c r="B422" s="1185" t="s">
        <v>6975</v>
      </c>
      <c r="C422" s="1133"/>
      <c r="D422" s="1154"/>
      <c r="E422" s="1059" t="s">
        <v>5810</v>
      </c>
      <c r="F422" s="806" t="s">
        <v>1120</v>
      </c>
      <c r="G422" s="1186">
        <v>45416.0</v>
      </c>
      <c r="H422" s="806" t="s">
        <v>7153</v>
      </c>
      <c r="I422" s="1187"/>
      <c r="J422" s="1132" t="s">
        <v>1093</v>
      </c>
      <c r="K422" s="810" t="s">
        <v>2339</v>
      </c>
      <c r="L422" s="1133"/>
      <c r="M422" s="810" t="s">
        <v>7210</v>
      </c>
      <c r="N422" s="810" t="s">
        <v>7211</v>
      </c>
      <c r="O422" s="1188"/>
      <c r="P422" s="1133"/>
      <c r="Q422" s="1061">
        <v>0.5</v>
      </c>
      <c r="R422" s="1061"/>
    </row>
    <row r="423" ht="12.75" customHeight="1">
      <c r="A423" s="810">
        <f t="shared" si="9"/>
        <v>6</v>
      </c>
      <c r="B423" s="1185" t="s">
        <v>6976</v>
      </c>
      <c r="C423" s="1133"/>
      <c r="D423" s="1154"/>
      <c r="E423" s="1059" t="s">
        <v>5810</v>
      </c>
      <c r="F423" s="806" t="s">
        <v>1120</v>
      </c>
      <c r="G423" s="1186">
        <v>45416.0</v>
      </c>
      <c r="H423" s="806" t="s">
        <v>7153</v>
      </c>
      <c r="I423" s="1187"/>
      <c r="J423" s="1132" t="s">
        <v>1093</v>
      </c>
      <c r="K423" s="810" t="s">
        <v>2339</v>
      </c>
      <c r="L423" s="1133"/>
      <c r="M423" s="810" t="s">
        <v>7210</v>
      </c>
      <c r="N423" s="810" t="s">
        <v>7211</v>
      </c>
      <c r="O423" s="1188"/>
      <c r="P423" s="1133"/>
      <c r="Q423" s="1061">
        <v>0.5</v>
      </c>
      <c r="R423" s="1061"/>
    </row>
    <row r="424" ht="12.75" customHeight="1">
      <c r="A424" s="810">
        <f t="shared" si="9"/>
        <v>7</v>
      </c>
      <c r="B424" s="1057" t="s">
        <v>6977</v>
      </c>
      <c r="C424" s="1133"/>
      <c r="D424" s="1154"/>
      <c r="E424" s="1059" t="s">
        <v>5810</v>
      </c>
      <c r="F424" s="806" t="s">
        <v>1120</v>
      </c>
      <c r="G424" s="1189" t="s">
        <v>4988</v>
      </c>
      <c r="H424" s="806" t="s">
        <v>7153</v>
      </c>
      <c r="I424" s="1187"/>
      <c r="J424" s="1132" t="s">
        <v>1093</v>
      </c>
      <c r="K424" s="810" t="s">
        <v>2339</v>
      </c>
      <c r="L424" s="1133"/>
      <c r="M424" s="810" t="s">
        <v>7210</v>
      </c>
      <c r="N424" s="810" t="s">
        <v>7211</v>
      </c>
      <c r="O424" s="1132" t="s">
        <v>7629</v>
      </c>
      <c r="P424" s="1133"/>
      <c r="Q424" s="1061">
        <v>0.5</v>
      </c>
      <c r="R424" s="1061"/>
    </row>
    <row r="425" ht="12.75" customHeight="1">
      <c r="A425" s="810">
        <f t="shared" si="9"/>
        <v>8</v>
      </c>
      <c r="B425" s="1057" t="s">
        <v>6978</v>
      </c>
      <c r="C425" s="1133"/>
      <c r="D425" s="1154"/>
      <c r="E425" s="1059" t="s">
        <v>5810</v>
      </c>
      <c r="F425" s="806" t="s">
        <v>1120</v>
      </c>
      <c r="G425" s="1189" t="s">
        <v>4988</v>
      </c>
      <c r="H425" s="806" t="s">
        <v>7153</v>
      </c>
      <c r="I425" s="1187"/>
      <c r="J425" s="1132" t="s">
        <v>1093</v>
      </c>
      <c r="K425" s="810" t="s">
        <v>2339</v>
      </c>
      <c r="L425" s="1133"/>
      <c r="M425" s="810" t="s">
        <v>7210</v>
      </c>
      <c r="N425" s="810" t="s">
        <v>7211</v>
      </c>
      <c r="O425" s="1132" t="s">
        <v>7630</v>
      </c>
      <c r="P425" s="1133"/>
      <c r="Q425" s="1061">
        <v>0.5</v>
      </c>
      <c r="R425" s="1061"/>
    </row>
    <row r="426" ht="12.75" customHeight="1">
      <c r="A426" s="810">
        <f t="shared" si="9"/>
        <v>9</v>
      </c>
      <c r="B426" s="1057" t="s">
        <v>6979</v>
      </c>
      <c r="C426" s="1133"/>
      <c r="D426" s="1154"/>
      <c r="E426" s="1059" t="s">
        <v>5810</v>
      </c>
      <c r="F426" s="806" t="s">
        <v>1120</v>
      </c>
      <c r="G426" s="1189" t="s">
        <v>4988</v>
      </c>
      <c r="H426" s="806" t="s">
        <v>7153</v>
      </c>
      <c r="I426" s="1187"/>
      <c r="J426" s="1132" t="s">
        <v>1093</v>
      </c>
      <c r="K426" s="810" t="s">
        <v>2339</v>
      </c>
      <c r="L426" s="1133"/>
      <c r="M426" s="810" t="s">
        <v>7210</v>
      </c>
      <c r="N426" s="810" t="s">
        <v>7211</v>
      </c>
      <c r="O426" s="1132" t="s">
        <v>7631</v>
      </c>
      <c r="P426" s="1133"/>
      <c r="Q426" s="1061">
        <v>0.5</v>
      </c>
      <c r="R426" s="1061"/>
    </row>
    <row r="427" ht="12.75" customHeight="1">
      <c r="A427" s="810">
        <f t="shared" si="9"/>
        <v>10</v>
      </c>
      <c r="B427" s="1057" t="s">
        <v>6980</v>
      </c>
      <c r="C427" s="1133"/>
      <c r="D427" s="1154"/>
      <c r="E427" s="1059" t="s">
        <v>5810</v>
      </c>
      <c r="F427" s="806" t="s">
        <v>1120</v>
      </c>
      <c r="G427" s="1189" t="s">
        <v>4988</v>
      </c>
      <c r="H427" s="806" t="s">
        <v>7153</v>
      </c>
      <c r="I427" s="1187"/>
      <c r="J427" s="1132" t="s">
        <v>1093</v>
      </c>
      <c r="K427" s="810" t="s">
        <v>2339</v>
      </c>
      <c r="L427" s="1133"/>
      <c r="M427" s="810" t="s">
        <v>7210</v>
      </c>
      <c r="N427" s="810" t="s">
        <v>7211</v>
      </c>
      <c r="O427" s="1132" t="s">
        <v>7632</v>
      </c>
      <c r="P427" s="1133"/>
      <c r="Q427" s="1061">
        <v>0.5</v>
      </c>
      <c r="R427" s="1061"/>
    </row>
    <row r="428" ht="12.75" customHeight="1">
      <c r="A428" s="810">
        <f t="shared" si="9"/>
        <v>11</v>
      </c>
      <c r="B428" s="1057" t="s">
        <v>6981</v>
      </c>
      <c r="C428" s="1133"/>
      <c r="D428" s="1154"/>
      <c r="E428" s="1059" t="s">
        <v>5810</v>
      </c>
      <c r="F428" s="806" t="s">
        <v>1120</v>
      </c>
      <c r="G428" s="1189" t="s">
        <v>4988</v>
      </c>
      <c r="H428" s="806" t="s">
        <v>7153</v>
      </c>
      <c r="I428" s="1187"/>
      <c r="J428" s="1132" t="s">
        <v>1093</v>
      </c>
      <c r="K428" s="810" t="s">
        <v>2339</v>
      </c>
      <c r="L428" s="1133"/>
      <c r="M428" s="810" t="s">
        <v>7210</v>
      </c>
      <c r="N428" s="810" t="s">
        <v>7211</v>
      </c>
      <c r="O428" s="1132" t="s">
        <v>7633</v>
      </c>
      <c r="P428" s="1133"/>
      <c r="Q428" s="1061">
        <v>0.5</v>
      </c>
      <c r="R428" s="1061"/>
    </row>
    <row r="429" ht="12.75" customHeight="1">
      <c r="A429" s="810">
        <f t="shared" si="9"/>
        <v>12</v>
      </c>
      <c r="B429" s="1057" t="s">
        <v>6982</v>
      </c>
      <c r="C429" s="1133"/>
      <c r="D429" s="1154"/>
      <c r="E429" s="1059" t="s">
        <v>5810</v>
      </c>
      <c r="F429" s="806" t="s">
        <v>1120</v>
      </c>
      <c r="G429" s="1189" t="s">
        <v>7227</v>
      </c>
      <c r="H429" s="806" t="s">
        <v>7153</v>
      </c>
      <c r="I429" s="1187"/>
      <c r="J429" s="1132" t="s">
        <v>1093</v>
      </c>
      <c r="K429" s="810" t="s">
        <v>2339</v>
      </c>
      <c r="L429" s="1133"/>
      <c r="M429" s="810" t="s">
        <v>7210</v>
      </c>
      <c r="N429" s="810" t="s">
        <v>7211</v>
      </c>
      <c r="O429" s="1132"/>
      <c r="P429" s="1133"/>
      <c r="Q429" s="1061">
        <v>0.5</v>
      </c>
      <c r="R429" s="1061"/>
    </row>
    <row r="430" ht="12.75" customHeight="1">
      <c r="A430" s="810">
        <f t="shared" si="9"/>
        <v>13</v>
      </c>
      <c r="B430" s="1057" t="s">
        <v>6983</v>
      </c>
      <c r="C430" s="1133"/>
      <c r="D430" s="1154"/>
      <c r="E430" s="1059" t="s">
        <v>5810</v>
      </c>
      <c r="F430" s="806" t="s">
        <v>1120</v>
      </c>
      <c r="G430" s="1189" t="s">
        <v>7227</v>
      </c>
      <c r="H430" s="806" t="s">
        <v>7153</v>
      </c>
      <c r="I430" s="1187"/>
      <c r="J430" s="1132" t="s">
        <v>1093</v>
      </c>
      <c r="K430" s="810" t="s">
        <v>2339</v>
      </c>
      <c r="L430" s="1133"/>
      <c r="M430" s="810" t="s">
        <v>7210</v>
      </c>
      <c r="N430" s="810" t="s">
        <v>7211</v>
      </c>
      <c r="O430" s="1132"/>
      <c r="P430" s="1133"/>
      <c r="Q430" s="1061">
        <v>0.5</v>
      </c>
      <c r="R430" s="1061"/>
    </row>
    <row r="431" ht="12.75" customHeight="1">
      <c r="A431" s="810">
        <f t="shared" si="9"/>
        <v>14</v>
      </c>
      <c r="B431" s="1185" t="s">
        <v>6984</v>
      </c>
      <c r="C431" s="1133"/>
      <c r="D431" s="1154"/>
      <c r="E431" s="1059" t="s">
        <v>5810</v>
      </c>
      <c r="F431" s="806" t="s">
        <v>1120</v>
      </c>
      <c r="G431" s="1189" t="s">
        <v>7227</v>
      </c>
      <c r="H431" s="806" t="s">
        <v>7153</v>
      </c>
      <c r="I431" s="1187"/>
      <c r="J431" s="1132" t="s">
        <v>1093</v>
      </c>
      <c r="K431" s="810" t="s">
        <v>2339</v>
      </c>
      <c r="L431" s="1133"/>
      <c r="M431" s="810" t="s">
        <v>7210</v>
      </c>
      <c r="N431" s="810" t="s">
        <v>7211</v>
      </c>
      <c r="O431" s="1132"/>
      <c r="P431" s="1133"/>
      <c r="Q431" s="1061">
        <v>0.5</v>
      </c>
      <c r="R431" s="1061"/>
    </row>
    <row r="432" ht="12.75" customHeight="1">
      <c r="A432" s="810">
        <f t="shared" si="9"/>
        <v>15</v>
      </c>
      <c r="B432" s="1057" t="s">
        <v>6985</v>
      </c>
      <c r="C432" s="1133"/>
      <c r="D432" s="1154"/>
      <c r="E432" s="1059" t="s">
        <v>5810</v>
      </c>
      <c r="F432" s="806" t="s">
        <v>1120</v>
      </c>
      <c r="G432" s="1189" t="s">
        <v>7227</v>
      </c>
      <c r="H432" s="806" t="s">
        <v>7153</v>
      </c>
      <c r="I432" s="1187"/>
      <c r="J432" s="1132" t="s">
        <v>1093</v>
      </c>
      <c r="K432" s="810" t="s">
        <v>2339</v>
      </c>
      <c r="L432" s="1133"/>
      <c r="M432" s="810" t="s">
        <v>7210</v>
      </c>
      <c r="N432" s="810" t="s">
        <v>7211</v>
      </c>
      <c r="O432" s="1132"/>
      <c r="P432" s="1133"/>
      <c r="Q432" s="1061">
        <v>0.5</v>
      </c>
      <c r="R432" s="1061"/>
    </row>
    <row r="433" ht="12.75" customHeight="1">
      <c r="A433" s="810">
        <f t="shared" si="9"/>
        <v>16</v>
      </c>
      <c r="B433" s="1057" t="s">
        <v>6986</v>
      </c>
      <c r="C433" s="1133"/>
      <c r="D433" s="1154"/>
      <c r="E433" s="1059" t="s">
        <v>5810</v>
      </c>
      <c r="F433" s="806" t="s">
        <v>1120</v>
      </c>
      <c r="G433" s="1189" t="s">
        <v>7227</v>
      </c>
      <c r="H433" s="806" t="s">
        <v>7153</v>
      </c>
      <c r="I433" s="1187"/>
      <c r="J433" s="1132" t="s">
        <v>1093</v>
      </c>
      <c r="K433" s="810" t="s">
        <v>2339</v>
      </c>
      <c r="L433" s="1133"/>
      <c r="M433" s="810" t="s">
        <v>7210</v>
      </c>
      <c r="N433" s="810" t="s">
        <v>7211</v>
      </c>
      <c r="O433" s="1132"/>
      <c r="P433" s="1133"/>
      <c r="Q433" s="1061">
        <v>0.5</v>
      </c>
      <c r="R433" s="1061"/>
    </row>
    <row r="434" ht="12.75" customHeight="1">
      <c r="A434" s="810">
        <f t="shared" si="9"/>
        <v>17</v>
      </c>
      <c r="B434" s="1057" t="s">
        <v>6987</v>
      </c>
      <c r="C434" s="1133"/>
      <c r="D434" s="1154"/>
      <c r="E434" s="1059" t="s">
        <v>5810</v>
      </c>
      <c r="F434" s="806" t="s">
        <v>1120</v>
      </c>
      <c r="G434" s="1189" t="s">
        <v>7227</v>
      </c>
      <c r="H434" s="806" t="s">
        <v>7153</v>
      </c>
      <c r="I434" s="1187"/>
      <c r="J434" s="1132" t="s">
        <v>1093</v>
      </c>
      <c r="K434" s="810" t="s">
        <v>2339</v>
      </c>
      <c r="L434" s="1133"/>
      <c r="M434" s="810" t="s">
        <v>7210</v>
      </c>
      <c r="N434" s="810" t="s">
        <v>7211</v>
      </c>
      <c r="O434" s="1132"/>
      <c r="P434" s="1133"/>
      <c r="Q434" s="1061">
        <v>0.5</v>
      </c>
      <c r="R434" s="1061"/>
    </row>
    <row r="435" ht="12.75" customHeight="1">
      <c r="A435" s="810">
        <f t="shared" si="9"/>
        <v>18</v>
      </c>
      <c r="B435" s="1057" t="s">
        <v>6988</v>
      </c>
      <c r="C435" s="1133"/>
      <c r="D435" s="1154"/>
      <c r="E435" s="1059" t="s">
        <v>5810</v>
      </c>
      <c r="F435" s="806" t="s">
        <v>1120</v>
      </c>
      <c r="G435" s="1189" t="s">
        <v>7227</v>
      </c>
      <c r="H435" s="806" t="s">
        <v>7153</v>
      </c>
      <c r="I435" s="1187"/>
      <c r="J435" s="1132" t="s">
        <v>1093</v>
      </c>
      <c r="K435" s="810" t="s">
        <v>2339</v>
      </c>
      <c r="L435" s="1133"/>
      <c r="M435" s="810" t="s">
        <v>7210</v>
      </c>
      <c r="N435" s="810" t="s">
        <v>7211</v>
      </c>
      <c r="O435" s="1132"/>
      <c r="P435" s="1133"/>
      <c r="Q435" s="1061">
        <v>0.5</v>
      </c>
      <c r="R435" s="1061"/>
    </row>
    <row r="436" ht="12.75" customHeight="1">
      <c r="A436" s="810">
        <f t="shared" si="9"/>
        <v>19</v>
      </c>
      <c r="B436" s="1057" t="s">
        <v>6989</v>
      </c>
      <c r="C436" s="1133"/>
      <c r="D436" s="1154"/>
      <c r="E436" s="1059" t="s">
        <v>5810</v>
      </c>
      <c r="F436" s="806" t="s">
        <v>1120</v>
      </c>
      <c r="G436" s="1189" t="s">
        <v>7227</v>
      </c>
      <c r="H436" s="806" t="s">
        <v>7153</v>
      </c>
      <c r="I436" s="1187"/>
      <c r="J436" s="1132" t="s">
        <v>1093</v>
      </c>
      <c r="K436" s="810" t="s">
        <v>2339</v>
      </c>
      <c r="L436" s="1133"/>
      <c r="M436" s="810" t="s">
        <v>7210</v>
      </c>
      <c r="N436" s="810" t="s">
        <v>7211</v>
      </c>
      <c r="O436" s="1132"/>
      <c r="P436" s="1133"/>
      <c r="Q436" s="1061">
        <v>0.5</v>
      </c>
      <c r="R436" s="1061"/>
    </row>
    <row r="437" ht="12.75" customHeight="1">
      <c r="A437" s="810">
        <f t="shared" si="9"/>
        <v>20</v>
      </c>
      <c r="B437" s="1057" t="s">
        <v>6990</v>
      </c>
      <c r="C437" s="1133"/>
      <c r="D437" s="1154"/>
      <c r="E437" s="1059" t="s">
        <v>5810</v>
      </c>
      <c r="F437" s="806" t="s">
        <v>1120</v>
      </c>
      <c r="G437" s="1189" t="s">
        <v>7227</v>
      </c>
      <c r="H437" s="806" t="s">
        <v>7153</v>
      </c>
      <c r="I437" s="1187"/>
      <c r="J437" s="1132" t="s">
        <v>1093</v>
      </c>
      <c r="K437" s="810" t="s">
        <v>2339</v>
      </c>
      <c r="L437" s="1133"/>
      <c r="M437" s="810" t="s">
        <v>7210</v>
      </c>
      <c r="N437" s="810" t="s">
        <v>7211</v>
      </c>
      <c r="O437" s="1132"/>
      <c r="P437" s="1133"/>
      <c r="Q437" s="1061">
        <v>0.5</v>
      </c>
      <c r="R437" s="1061"/>
    </row>
    <row r="438" ht="12.75" customHeight="1">
      <c r="A438" s="810">
        <f t="shared" si="9"/>
        <v>21</v>
      </c>
      <c r="B438" s="1057" t="s">
        <v>6991</v>
      </c>
      <c r="C438" s="1133"/>
      <c r="D438" s="1154"/>
      <c r="E438" s="1059" t="s">
        <v>5810</v>
      </c>
      <c r="F438" s="806" t="s">
        <v>1120</v>
      </c>
      <c r="G438" s="1189" t="s">
        <v>7227</v>
      </c>
      <c r="H438" s="806" t="s">
        <v>7153</v>
      </c>
      <c r="I438" s="1187"/>
      <c r="J438" s="1132" t="s">
        <v>1093</v>
      </c>
      <c r="K438" s="810" t="s">
        <v>2339</v>
      </c>
      <c r="L438" s="1133"/>
      <c r="M438" s="810" t="s">
        <v>7210</v>
      </c>
      <c r="N438" s="810" t="s">
        <v>7211</v>
      </c>
      <c r="O438" s="1132"/>
      <c r="P438" s="1133"/>
      <c r="Q438" s="1061">
        <v>0.5</v>
      </c>
      <c r="R438" s="1061"/>
    </row>
    <row r="439" ht="12.75" customHeight="1">
      <c r="A439" s="810">
        <f t="shared" si="9"/>
        <v>22</v>
      </c>
      <c r="B439" s="1185" t="s">
        <v>6992</v>
      </c>
      <c r="C439" s="1133"/>
      <c r="D439" s="1154"/>
      <c r="E439" s="1059" t="s">
        <v>5810</v>
      </c>
      <c r="F439" s="806" t="s">
        <v>1120</v>
      </c>
      <c r="G439" s="1189" t="s">
        <v>7227</v>
      </c>
      <c r="H439" s="806" t="s">
        <v>7153</v>
      </c>
      <c r="I439" s="1187"/>
      <c r="J439" s="1132" t="s">
        <v>1093</v>
      </c>
      <c r="K439" s="810" t="s">
        <v>2339</v>
      </c>
      <c r="L439" s="1133"/>
      <c r="M439" s="810" t="s">
        <v>7210</v>
      </c>
      <c r="N439" s="810" t="s">
        <v>7211</v>
      </c>
      <c r="O439" s="1132"/>
      <c r="P439" s="1133"/>
      <c r="Q439" s="1061">
        <v>0.5</v>
      </c>
      <c r="R439" s="1061"/>
    </row>
    <row r="440" ht="12.75" customHeight="1">
      <c r="A440" s="810">
        <f t="shared" si="9"/>
        <v>23</v>
      </c>
      <c r="B440" s="1057" t="s">
        <v>6993</v>
      </c>
      <c r="C440" s="1133"/>
      <c r="D440" s="1154"/>
      <c r="E440" s="1059" t="s">
        <v>5810</v>
      </c>
      <c r="F440" s="806" t="s">
        <v>1120</v>
      </c>
      <c r="G440" s="1189" t="s">
        <v>7227</v>
      </c>
      <c r="H440" s="806" t="s">
        <v>7153</v>
      </c>
      <c r="I440" s="1187"/>
      <c r="J440" s="1132" t="s">
        <v>1093</v>
      </c>
      <c r="K440" s="810" t="s">
        <v>2339</v>
      </c>
      <c r="L440" s="1133"/>
      <c r="M440" s="810" t="s">
        <v>7210</v>
      </c>
      <c r="N440" s="810" t="s">
        <v>7211</v>
      </c>
      <c r="O440" s="1132"/>
      <c r="P440" s="1133"/>
      <c r="Q440" s="1061">
        <v>0.5</v>
      </c>
      <c r="R440" s="1061"/>
    </row>
    <row r="441" ht="12.75" customHeight="1">
      <c r="A441" s="810">
        <f t="shared" si="9"/>
        <v>24</v>
      </c>
      <c r="B441" s="1057" t="s">
        <v>6994</v>
      </c>
      <c r="C441" s="1133"/>
      <c r="D441" s="1154"/>
      <c r="E441" s="1059" t="s">
        <v>5809</v>
      </c>
      <c r="F441" s="806" t="s">
        <v>1120</v>
      </c>
      <c r="G441" s="1186">
        <v>45844.0</v>
      </c>
      <c r="H441" s="806" t="s">
        <v>7153</v>
      </c>
      <c r="I441" s="1187"/>
      <c r="J441" s="806" t="s">
        <v>7230</v>
      </c>
      <c r="K441" s="806"/>
      <c r="L441" s="1058"/>
      <c r="M441" s="806" t="s">
        <v>7156</v>
      </c>
      <c r="N441" s="806" t="s">
        <v>7157</v>
      </c>
      <c r="O441" s="1132"/>
      <c r="P441" s="1133"/>
      <c r="Q441" s="1061">
        <v>1.0</v>
      </c>
      <c r="R441" s="1061"/>
    </row>
    <row r="442" ht="12.75" customHeight="1">
      <c r="A442" s="810">
        <f t="shared" si="9"/>
        <v>25</v>
      </c>
      <c r="B442" s="1185" t="s">
        <v>6995</v>
      </c>
      <c r="C442" s="1133"/>
      <c r="D442" s="1154"/>
      <c r="E442" s="1059" t="s">
        <v>5809</v>
      </c>
      <c r="F442" s="806" t="s">
        <v>1120</v>
      </c>
      <c r="G442" s="1186">
        <v>45844.0</v>
      </c>
      <c r="H442" s="806" t="s">
        <v>7153</v>
      </c>
      <c r="I442" s="1187"/>
      <c r="J442" s="806" t="s">
        <v>7230</v>
      </c>
      <c r="K442" s="806"/>
      <c r="L442" s="1058"/>
      <c r="M442" s="806" t="s">
        <v>7156</v>
      </c>
      <c r="N442" s="806" t="s">
        <v>7157</v>
      </c>
      <c r="O442" s="1132"/>
      <c r="P442" s="1133"/>
      <c r="Q442" s="1061">
        <v>1.0</v>
      </c>
      <c r="R442" s="1061"/>
    </row>
    <row r="443" ht="12.75" customHeight="1">
      <c r="A443" s="810">
        <f t="shared" si="9"/>
        <v>26</v>
      </c>
      <c r="B443" s="1057" t="s">
        <v>6996</v>
      </c>
      <c r="C443" s="1133"/>
      <c r="D443" s="1154"/>
      <c r="E443" s="1059" t="s">
        <v>5809</v>
      </c>
      <c r="F443" s="806" t="s">
        <v>1120</v>
      </c>
      <c r="G443" s="1186">
        <v>45844.0</v>
      </c>
      <c r="H443" s="806" t="s">
        <v>7153</v>
      </c>
      <c r="I443" s="1187"/>
      <c r="J443" s="806" t="s">
        <v>7230</v>
      </c>
      <c r="K443" s="806"/>
      <c r="L443" s="1058"/>
      <c r="M443" s="806" t="s">
        <v>7156</v>
      </c>
      <c r="N443" s="806" t="s">
        <v>7157</v>
      </c>
      <c r="O443" s="1132"/>
      <c r="P443" s="1133"/>
      <c r="Q443" s="1061">
        <v>1.0</v>
      </c>
      <c r="R443" s="1061"/>
    </row>
    <row r="444" ht="12.75" customHeight="1">
      <c r="A444" s="810">
        <f t="shared" si="9"/>
        <v>27</v>
      </c>
      <c r="B444" s="1185" t="s">
        <v>6997</v>
      </c>
      <c r="C444" s="1133"/>
      <c r="D444" s="1154"/>
      <c r="E444" s="1059" t="s">
        <v>5809</v>
      </c>
      <c r="F444" s="806" t="s">
        <v>1120</v>
      </c>
      <c r="G444" s="1186">
        <v>45844.0</v>
      </c>
      <c r="H444" s="806" t="s">
        <v>7153</v>
      </c>
      <c r="I444" s="1187"/>
      <c r="J444" s="806" t="s">
        <v>7230</v>
      </c>
      <c r="K444" s="806"/>
      <c r="L444" s="1058"/>
      <c r="M444" s="806" t="s">
        <v>7156</v>
      </c>
      <c r="N444" s="806" t="s">
        <v>7157</v>
      </c>
      <c r="O444" s="1132"/>
      <c r="P444" s="1133"/>
      <c r="Q444" s="1061">
        <v>1.0</v>
      </c>
      <c r="R444" s="1061"/>
    </row>
    <row r="445" ht="12.75" customHeight="1">
      <c r="A445" s="810">
        <f t="shared" si="9"/>
        <v>28</v>
      </c>
      <c r="B445" s="1057" t="s">
        <v>6998</v>
      </c>
      <c r="C445" s="1133"/>
      <c r="D445" s="1154"/>
      <c r="E445" s="1059" t="s">
        <v>5809</v>
      </c>
      <c r="F445" s="806" t="s">
        <v>1120</v>
      </c>
      <c r="G445" s="1186">
        <v>45844.0</v>
      </c>
      <c r="H445" s="806" t="s">
        <v>7153</v>
      </c>
      <c r="I445" s="1187"/>
      <c r="J445" s="806" t="s">
        <v>7230</v>
      </c>
      <c r="K445" s="806"/>
      <c r="L445" s="1058"/>
      <c r="M445" s="806" t="s">
        <v>7156</v>
      </c>
      <c r="N445" s="806" t="s">
        <v>7157</v>
      </c>
      <c r="O445" s="1132"/>
      <c r="P445" s="1133"/>
      <c r="Q445" s="1061">
        <v>1.0</v>
      </c>
      <c r="R445" s="1061"/>
    </row>
    <row r="446" ht="12.75" customHeight="1">
      <c r="A446" s="810">
        <f t="shared" si="9"/>
        <v>29</v>
      </c>
      <c r="B446" s="1057" t="s">
        <v>6999</v>
      </c>
      <c r="C446" s="1133"/>
      <c r="D446" s="1154"/>
      <c r="E446" s="1059" t="s">
        <v>5809</v>
      </c>
      <c r="F446" s="806" t="s">
        <v>1120</v>
      </c>
      <c r="G446" s="1186">
        <v>45844.0</v>
      </c>
      <c r="H446" s="806" t="s">
        <v>7153</v>
      </c>
      <c r="I446" s="1187"/>
      <c r="J446" s="806" t="s">
        <v>7230</v>
      </c>
      <c r="K446" s="806"/>
      <c r="L446" s="1058"/>
      <c r="M446" s="806" t="s">
        <v>7156</v>
      </c>
      <c r="N446" s="806" t="s">
        <v>7157</v>
      </c>
      <c r="O446" s="1132"/>
      <c r="P446" s="1133"/>
      <c r="Q446" s="1061">
        <v>1.0</v>
      </c>
      <c r="R446" s="1061"/>
    </row>
    <row r="447" ht="12.75" customHeight="1">
      <c r="A447" s="810">
        <f t="shared" si="9"/>
        <v>30</v>
      </c>
      <c r="B447" s="1057" t="s">
        <v>7000</v>
      </c>
      <c r="C447" s="1133"/>
      <c r="D447" s="1154"/>
      <c r="E447" s="1059" t="s">
        <v>5809</v>
      </c>
      <c r="F447" s="806" t="s">
        <v>1120</v>
      </c>
      <c r="G447" s="1186">
        <v>45844.0</v>
      </c>
      <c r="H447" s="806" t="s">
        <v>7153</v>
      </c>
      <c r="I447" s="1187"/>
      <c r="J447" s="806" t="s">
        <v>7230</v>
      </c>
      <c r="K447" s="806"/>
      <c r="L447" s="1058"/>
      <c r="M447" s="806" t="s">
        <v>7156</v>
      </c>
      <c r="N447" s="806" t="s">
        <v>7157</v>
      </c>
      <c r="O447" s="1132"/>
      <c r="P447" s="1133"/>
      <c r="Q447" s="1061">
        <v>1.0</v>
      </c>
      <c r="R447" s="1061"/>
    </row>
    <row r="448" ht="12.75" customHeight="1">
      <c r="A448" s="810">
        <f t="shared" si="9"/>
        <v>31</v>
      </c>
      <c r="B448" s="1185" t="s">
        <v>7001</v>
      </c>
      <c r="C448" s="1133"/>
      <c r="D448" s="1154"/>
      <c r="E448" s="1059" t="s">
        <v>5809</v>
      </c>
      <c r="F448" s="806" t="s">
        <v>1120</v>
      </c>
      <c r="G448" s="1186">
        <v>45844.0</v>
      </c>
      <c r="H448" s="806" t="s">
        <v>7153</v>
      </c>
      <c r="I448" s="1187"/>
      <c r="J448" s="806" t="s">
        <v>7230</v>
      </c>
      <c r="K448" s="806"/>
      <c r="L448" s="1058"/>
      <c r="M448" s="806" t="s">
        <v>7156</v>
      </c>
      <c r="N448" s="806" t="s">
        <v>7157</v>
      </c>
      <c r="O448" s="1132"/>
      <c r="P448" s="1133"/>
      <c r="Q448" s="1061">
        <v>1.0</v>
      </c>
      <c r="R448" s="1061"/>
    </row>
    <row r="449" ht="12.75" customHeight="1">
      <c r="A449" s="810">
        <f t="shared" si="9"/>
        <v>32</v>
      </c>
      <c r="B449" s="1057" t="s">
        <v>7002</v>
      </c>
      <c r="C449" s="1133"/>
      <c r="D449" s="1154"/>
      <c r="E449" s="1059" t="s">
        <v>5809</v>
      </c>
      <c r="F449" s="806" t="s">
        <v>1120</v>
      </c>
      <c r="G449" s="1186">
        <v>45844.0</v>
      </c>
      <c r="H449" s="806" t="s">
        <v>7153</v>
      </c>
      <c r="I449" s="1187"/>
      <c r="J449" s="806" t="s">
        <v>7230</v>
      </c>
      <c r="K449" s="806"/>
      <c r="L449" s="1058"/>
      <c r="M449" s="806" t="s">
        <v>7156</v>
      </c>
      <c r="N449" s="806" t="s">
        <v>7157</v>
      </c>
      <c r="O449" s="1132"/>
      <c r="P449" s="1133"/>
      <c r="Q449" s="1061">
        <v>1.0</v>
      </c>
      <c r="R449" s="1061"/>
    </row>
    <row r="450" ht="12.75" customHeight="1">
      <c r="A450" s="810">
        <f t="shared" si="9"/>
        <v>33</v>
      </c>
      <c r="B450" s="1057" t="s">
        <v>7003</v>
      </c>
      <c r="C450" s="1133"/>
      <c r="D450" s="1154"/>
      <c r="E450" s="1059" t="s">
        <v>5809</v>
      </c>
      <c r="F450" s="806" t="s">
        <v>1120</v>
      </c>
      <c r="G450" s="1186">
        <v>45844.0</v>
      </c>
      <c r="H450" s="806" t="s">
        <v>7153</v>
      </c>
      <c r="I450" s="1187"/>
      <c r="J450" s="806" t="s">
        <v>7230</v>
      </c>
      <c r="K450" s="806"/>
      <c r="L450" s="1058"/>
      <c r="M450" s="806" t="s">
        <v>7156</v>
      </c>
      <c r="N450" s="806" t="s">
        <v>7157</v>
      </c>
      <c r="O450" s="1132"/>
      <c r="P450" s="1133"/>
      <c r="Q450" s="1061">
        <v>1.0</v>
      </c>
      <c r="R450" s="1061"/>
    </row>
    <row r="451" ht="12.75" customHeight="1">
      <c r="A451" s="810">
        <f t="shared" si="9"/>
        <v>34</v>
      </c>
      <c r="B451" s="1057" t="s">
        <v>7004</v>
      </c>
      <c r="C451" s="1133"/>
      <c r="D451" s="1154"/>
      <c r="E451" s="1059" t="s">
        <v>5809</v>
      </c>
      <c r="F451" s="806" t="s">
        <v>1120</v>
      </c>
      <c r="G451" s="1189" t="s">
        <v>7635</v>
      </c>
      <c r="H451" s="806" t="s">
        <v>7153</v>
      </c>
      <c r="I451" s="1187"/>
      <c r="J451" s="1132" t="s">
        <v>7155</v>
      </c>
      <c r="K451" s="810"/>
      <c r="L451" s="1133"/>
      <c r="M451" s="806" t="s">
        <v>7156</v>
      </c>
      <c r="N451" s="806" t="s">
        <v>7157</v>
      </c>
      <c r="O451" s="1132"/>
      <c r="P451" s="1133"/>
      <c r="Q451" s="1061">
        <v>1.0</v>
      </c>
      <c r="R451" s="1061"/>
    </row>
    <row r="452" ht="12.75" customHeight="1">
      <c r="A452" s="810">
        <f t="shared" si="9"/>
        <v>35</v>
      </c>
      <c r="B452" s="1057" t="s">
        <v>7005</v>
      </c>
      <c r="C452" s="1133"/>
      <c r="D452" s="1154"/>
      <c r="E452" s="1059" t="s">
        <v>5809</v>
      </c>
      <c r="F452" s="806" t="s">
        <v>1120</v>
      </c>
      <c r="G452" s="1189" t="s">
        <v>7635</v>
      </c>
      <c r="H452" s="806" t="s">
        <v>7153</v>
      </c>
      <c r="I452" s="1187"/>
      <c r="J452" s="1132" t="s">
        <v>7155</v>
      </c>
      <c r="K452" s="810"/>
      <c r="L452" s="1133"/>
      <c r="M452" s="806" t="s">
        <v>7156</v>
      </c>
      <c r="N452" s="806" t="s">
        <v>7157</v>
      </c>
      <c r="O452" s="1132"/>
      <c r="P452" s="1133"/>
      <c r="Q452" s="1190"/>
      <c r="R452" s="1190"/>
    </row>
    <row r="453" ht="12.75" customHeight="1">
      <c r="A453" s="810">
        <f t="shared" si="9"/>
        <v>36</v>
      </c>
      <c r="B453" s="1057" t="s">
        <v>7006</v>
      </c>
      <c r="C453" s="1133"/>
      <c r="D453" s="1154"/>
      <c r="E453" s="1059" t="s">
        <v>5809</v>
      </c>
      <c r="F453" s="806" t="s">
        <v>1120</v>
      </c>
      <c r="G453" s="1189" t="s">
        <v>7635</v>
      </c>
      <c r="H453" s="806" t="s">
        <v>7153</v>
      </c>
      <c r="I453" s="1187"/>
      <c r="J453" s="1132" t="s">
        <v>7155</v>
      </c>
      <c r="K453" s="810"/>
      <c r="L453" s="1133"/>
      <c r="M453" s="806" t="s">
        <v>7156</v>
      </c>
      <c r="N453" s="806" t="s">
        <v>7157</v>
      </c>
      <c r="O453" s="1132"/>
      <c r="P453" s="1133"/>
      <c r="Q453" s="1190"/>
      <c r="R453" s="1190"/>
    </row>
    <row r="454" ht="12.75" customHeight="1">
      <c r="A454" s="810">
        <f t="shared" si="9"/>
        <v>37</v>
      </c>
      <c r="B454" s="1057" t="s">
        <v>7007</v>
      </c>
      <c r="C454" s="1133"/>
      <c r="D454" s="1154"/>
      <c r="E454" s="1059" t="s">
        <v>5809</v>
      </c>
      <c r="F454" s="806" t="s">
        <v>1120</v>
      </c>
      <c r="G454" s="1189" t="s">
        <v>7635</v>
      </c>
      <c r="H454" s="806" t="s">
        <v>7153</v>
      </c>
      <c r="I454" s="1187"/>
      <c r="J454" s="1132" t="s">
        <v>7155</v>
      </c>
      <c r="K454" s="810"/>
      <c r="L454" s="1133"/>
      <c r="M454" s="806" t="s">
        <v>7156</v>
      </c>
      <c r="N454" s="806" t="s">
        <v>7157</v>
      </c>
      <c r="O454" s="1132"/>
      <c r="P454" s="1133"/>
      <c r="Q454" s="1190"/>
      <c r="R454" s="1190"/>
    </row>
    <row r="455" ht="12.75" customHeight="1">
      <c r="A455" s="810">
        <f t="shared" si="9"/>
        <v>38</v>
      </c>
      <c r="B455" s="1057" t="s">
        <v>7008</v>
      </c>
      <c r="C455" s="1133"/>
      <c r="D455" s="1154"/>
      <c r="E455" s="1059" t="s">
        <v>5809</v>
      </c>
      <c r="F455" s="806" t="s">
        <v>1120</v>
      </c>
      <c r="G455" s="1189" t="s">
        <v>7635</v>
      </c>
      <c r="H455" s="806" t="s">
        <v>7153</v>
      </c>
      <c r="I455" s="1187"/>
      <c r="J455" s="1132" t="s">
        <v>7155</v>
      </c>
      <c r="K455" s="810"/>
      <c r="L455" s="1133"/>
      <c r="M455" s="806" t="s">
        <v>7156</v>
      </c>
      <c r="N455" s="806" t="s">
        <v>7157</v>
      </c>
      <c r="O455" s="1132"/>
      <c r="P455" s="1133"/>
      <c r="Q455" s="1190"/>
      <c r="R455" s="1190"/>
    </row>
    <row r="456" ht="12.75" customHeight="1">
      <c r="A456" s="810">
        <f t="shared" si="9"/>
        <v>39</v>
      </c>
      <c r="B456" s="1057" t="s">
        <v>7009</v>
      </c>
      <c r="C456" s="1133"/>
      <c r="D456" s="1154"/>
      <c r="E456" s="1059" t="s">
        <v>5809</v>
      </c>
      <c r="F456" s="806" t="s">
        <v>1120</v>
      </c>
      <c r="G456" s="1189" t="s">
        <v>2223</v>
      </c>
      <c r="H456" s="806" t="s">
        <v>7153</v>
      </c>
      <c r="I456" s="1187"/>
      <c r="J456" s="1132" t="s">
        <v>7155</v>
      </c>
      <c r="K456" s="810"/>
      <c r="L456" s="1133"/>
      <c r="M456" s="806" t="s">
        <v>7156</v>
      </c>
      <c r="N456" s="806" t="s">
        <v>7157</v>
      </c>
      <c r="O456" s="1132"/>
      <c r="P456" s="1133"/>
      <c r="Q456" s="1190"/>
      <c r="R456" s="1190"/>
    </row>
    <row r="457" ht="12.75" customHeight="1">
      <c r="A457" s="810">
        <f t="shared" si="9"/>
        <v>40</v>
      </c>
      <c r="B457" s="1057" t="s">
        <v>7010</v>
      </c>
      <c r="C457" s="1133"/>
      <c r="D457" s="1154"/>
      <c r="E457" s="1059" t="s">
        <v>5809</v>
      </c>
      <c r="F457" s="806" t="s">
        <v>1120</v>
      </c>
      <c r="G457" s="1189" t="s">
        <v>2223</v>
      </c>
      <c r="H457" s="806" t="s">
        <v>7153</v>
      </c>
      <c r="I457" s="1187"/>
      <c r="J457" s="1132" t="s">
        <v>7155</v>
      </c>
      <c r="K457" s="810"/>
      <c r="L457" s="1133"/>
      <c r="M457" s="806" t="s">
        <v>7156</v>
      </c>
      <c r="N457" s="806" t="s">
        <v>7157</v>
      </c>
      <c r="O457" s="1132"/>
      <c r="P457" s="1133"/>
      <c r="Q457" s="1190"/>
      <c r="R457" s="1190"/>
    </row>
    <row r="458" ht="12.75" customHeight="1">
      <c r="A458" s="810">
        <f t="shared" si="9"/>
        <v>41</v>
      </c>
      <c r="B458" s="1057" t="s">
        <v>7011</v>
      </c>
      <c r="C458" s="1133"/>
      <c r="D458" s="1154"/>
      <c r="E458" s="1059" t="s">
        <v>5809</v>
      </c>
      <c r="F458" s="806" t="s">
        <v>1120</v>
      </c>
      <c r="G458" s="1189" t="s">
        <v>2223</v>
      </c>
      <c r="H458" s="806" t="s">
        <v>7153</v>
      </c>
      <c r="I458" s="1187"/>
      <c r="J458" s="1132" t="s">
        <v>7155</v>
      </c>
      <c r="K458" s="810"/>
      <c r="L458" s="1133"/>
      <c r="M458" s="806" t="s">
        <v>7156</v>
      </c>
      <c r="N458" s="806" t="s">
        <v>7157</v>
      </c>
      <c r="O458" s="1132"/>
      <c r="P458" s="1133"/>
      <c r="Q458" s="1190"/>
      <c r="R458" s="1190"/>
    </row>
    <row r="459" ht="12.75" customHeight="1">
      <c r="A459" s="810">
        <f t="shared" si="9"/>
        <v>42</v>
      </c>
      <c r="B459" s="1057" t="s">
        <v>7012</v>
      </c>
      <c r="C459" s="1133"/>
      <c r="D459" s="1154"/>
      <c r="E459" s="1059" t="s">
        <v>5809</v>
      </c>
      <c r="F459" s="806" t="s">
        <v>1120</v>
      </c>
      <c r="G459" s="1189" t="s">
        <v>2223</v>
      </c>
      <c r="H459" s="806" t="s">
        <v>7153</v>
      </c>
      <c r="I459" s="1187"/>
      <c r="J459" s="1132" t="s">
        <v>7155</v>
      </c>
      <c r="K459" s="810"/>
      <c r="L459" s="1133"/>
      <c r="M459" s="806" t="s">
        <v>7156</v>
      </c>
      <c r="N459" s="806" t="s">
        <v>7157</v>
      </c>
      <c r="O459" s="1132"/>
      <c r="P459" s="1133"/>
      <c r="Q459" s="1190"/>
      <c r="R459" s="1190"/>
    </row>
    <row r="460" ht="12.75" customHeight="1">
      <c r="A460" s="810">
        <f t="shared" si="9"/>
        <v>43</v>
      </c>
      <c r="B460" s="1057" t="s">
        <v>7013</v>
      </c>
      <c r="C460" s="1133"/>
      <c r="D460" s="1154"/>
      <c r="E460" s="1059" t="s">
        <v>5809</v>
      </c>
      <c r="F460" s="806" t="s">
        <v>1120</v>
      </c>
      <c r="G460" s="1189" t="s">
        <v>2223</v>
      </c>
      <c r="H460" s="806" t="s">
        <v>7153</v>
      </c>
      <c r="I460" s="1187"/>
      <c r="J460" s="1132" t="s">
        <v>7155</v>
      </c>
      <c r="K460" s="810"/>
      <c r="L460" s="1133"/>
      <c r="M460" s="806" t="s">
        <v>7156</v>
      </c>
      <c r="N460" s="806" t="s">
        <v>7157</v>
      </c>
      <c r="O460" s="1132"/>
      <c r="P460" s="1133"/>
      <c r="Q460" s="1190"/>
      <c r="R460" s="1190"/>
    </row>
    <row r="461" ht="12.75" customHeight="1">
      <c r="A461" s="810">
        <f t="shared" si="9"/>
        <v>44</v>
      </c>
      <c r="B461" s="1057" t="s">
        <v>7014</v>
      </c>
      <c r="C461" s="1133"/>
      <c r="D461" s="1154"/>
      <c r="E461" s="1059" t="s">
        <v>5809</v>
      </c>
      <c r="F461" s="806" t="s">
        <v>1120</v>
      </c>
      <c r="G461" s="1189" t="s">
        <v>2223</v>
      </c>
      <c r="H461" s="806" t="s">
        <v>7153</v>
      </c>
      <c r="I461" s="1187"/>
      <c r="J461" s="1132" t="s">
        <v>7155</v>
      </c>
      <c r="K461" s="810"/>
      <c r="L461" s="1133"/>
      <c r="M461" s="806" t="s">
        <v>7156</v>
      </c>
      <c r="N461" s="806" t="s">
        <v>7157</v>
      </c>
      <c r="O461" s="1132"/>
      <c r="P461" s="1133"/>
      <c r="Q461" s="1190"/>
      <c r="R461" s="1190"/>
    </row>
    <row r="462" ht="12.75" customHeight="1">
      <c r="A462" s="810">
        <f t="shared" si="9"/>
        <v>45</v>
      </c>
      <c r="B462" s="1057" t="s">
        <v>7015</v>
      </c>
      <c r="C462" s="1133"/>
      <c r="D462" s="1154"/>
      <c r="E462" s="1059" t="s">
        <v>5809</v>
      </c>
      <c r="F462" s="806" t="s">
        <v>1120</v>
      </c>
      <c r="G462" s="1189" t="s">
        <v>2223</v>
      </c>
      <c r="H462" s="806" t="s">
        <v>7153</v>
      </c>
      <c r="I462" s="1187"/>
      <c r="J462" s="1132" t="s">
        <v>7155</v>
      </c>
      <c r="K462" s="810"/>
      <c r="L462" s="1133"/>
      <c r="M462" s="806" t="s">
        <v>7156</v>
      </c>
      <c r="N462" s="806" t="s">
        <v>7157</v>
      </c>
      <c r="O462" s="1132"/>
      <c r="P462" s="1133"/>
      <c r="Q462" s="1190"/>
      <c r="R462" s="1190"/>
    </row>
    <row r="463" ht="12.75" customHeight="1">
      <c r="A463" s="810">
        <f t="shared" si="9"/>
        <v>46</v>
      </c>
      <c r="B463" s="1057" t="s">
        <v>7016</v>
      </c>
      <c r="C463" s="1133"/>
      <c r="D463" s="1154"/>
      <c r="E463" s="1059" t="s">
        <v>5809</v>
      </c>
      <c r="F463" s="806" t="s">
        <v>1120</v>
      </c>
      <c r="G463" s="1189" t="s">
        <v>2223</v>
      </c>
      <c r="H463" s="806" t="s">
        <v>7153</v>
      </c>
      <c r="I463" s="1187"/>
      <c r="J463" s="1132" t="s">
        <v>7155</v>
      </c>
      <c r="K463" s="810"/>
      <c r="L463" s="1133"/>
      <c r="M463" s="806" t="s">
        <v>7156</v>
      </c>
      <c r="N463" s="806" t="s">
        <v>7157</v>
      </c>
      <c r="O463" s="1132"/>
      <c r="P463" s="1133"/>
      <c r="Q463" s="1190"/>
      <c r="R463" s="1190"/>
    </row>
    <row r="464" ht="12.75" customHeight="1">
      <c r="A464" s="810">
        <f t="shared" si="9"/>
        <v>47</v>
      </c>
      <c r="B464" s="1057" t="s">
        <v>7017</v>
      </c>
      <c r="C464" s="1133"/>
      <c r="D464" s="1154"/>
      <c r="E464" s="1059" t="s">
        <v>5809</v>
      </c>
      <c r="F464" s="806" t="s">
        <v>1120</v>
      </c>
      <c r="G464" s="1189" t="s">
        <v>2223</v>
      </c>
      <c r="H464" s="806" t="s">
        <v>7153</v>
      </c>
      <c r="I464" s="1187"/>
      <c r="J464" s="1132" t="s">
        <v>7155</v>
      </c>
      <c r="K464" s="810"/>
      <c r="L464" s="1133"/>
      <c r="M464" s="806" t="s">
        <v>7156</v>
      </c>
      <c r="N464" s="806" t="s">
        <v>7157</v>
      </c>
      <c r="O464" s="1132"/>
      <c r="P464" s="1133"/>
      <c r="Q464" s="1190"/>
      <c r="R464" s="1190"/>
    </row>
    <row r="465" ht="12.75" customHeight="1">
      <c r="A465" s="810">
        <f t="shared" si="9"/>
        <v>48</v>
      </c>
      <c r="B465" s="1057" t="s">
        <v>7018</v>
      </c>
      <c r="C465" s="1133"/>
      <c r="D465" s="1154"/>
      <c r="E465" s="1059" t="s">
        <v>5809</v>
      </c>
      <c r="F465" s="806" t="s">
        <v>1120</v>
      </c>
      <c r="G465" s="1189" t="s">
        <v>2223</v>
      </c>
      <c r="H465" s="806" t="s">
        <v>7153</v>
      </c>
      <c r="I465" s="1187"/>
      <c r="J465" s="1132" t="s">
        <v>7155</v>
      </c>
      <c r="K465" s="810"/>
      <c r="L465" s="1133"/>
      <c r="M465" s="806" t="s">
        <v>7156</v>
      </c>
      <c r="N465" s="806" t="s">
        <v>7157</v>
      </c>
      <c r="O465" s="1132"/>
      <c r="P465" s="1133"/>
      <c r="Q465" s="1190"/>
      <c r="R465" s="1190"/>
    </row>
    <row r="466" ht="12.75" customHeight="1">
      <c r="A466" s="810">
        <f t="shared" si="9"/>
        <v>49</v>
      </c>
      <c r="B466" s="1057" t="s">
        <v>7636</v>
      </c>
      <c r="C466" s="1133"/>
      <c r="D466" s="1154"/>
      <c r="E466" s="1059" t="s">
        <v>5809</v>
      </c>
      <c r="F466" s="806" t="s">
        <v>1120</v>
      </c>
      <c r="G466" s="1189" t="s">
        <v>4940</v>
      </c>
      <c r="H466" s="806" t="s">
        <v>7153</v>
      </c>
      <c r="I466" s="1187"/>
      <c r="J466" s="1132" t="s">
        <v>7155</v>
      </c>
      <c r="K466" s="810"/>
      <c r="L466" s="1133"/>
      <c r="M466" s="806" t="s">
        <v>7156</v>
      </c>
      <c r="N466" s="806" t="s">
        <v>7157</v>
      </c>
      <c r="O466" s="1132"/>
      <c r="P466" s="1133"/>
      <c r="Q466" s="1190"/>
      <c r="R466" s="1190"/>
    </row>
    <row r="467" ht="12.75" customHeight="1">
      <c r="A467" s="810">
        <f t="shared" si="9"/>
        <v>50</v>
      </c>
      <c r="B467" s="1057" t="s">
        <v>7637</v>
      </c>
      <c r="C467" s="1133"/>
      <c r="D467" s="1154"/>
      <c r="E467" s="1059" t="s">
        <v>5809</v>
      </c>
      <c r="F467" s="806" t="s">
        <v>1120</v>
      </c>
      <c r="G467" s="1189" t="s">
        <v>4940</v>
      </c>
      <c r="H467" s="806" t="s">
        <v>7153</v>
      </c>
      <c r="I467" s="1187"/>
      <c r="J467" s="1132" t="s">
        <v>7155</v>
      </c>
      <c r="K467" s="810"/>
      <c r="L467" s="1133"/>
      <c r="M467" s="806" t="s">
        <v>7156</v>
      </c>
      <c r="N467" s="806" t="s">
        <v>7157</v>
      </c>
      <c r="O467" s="1132"/>
      <c r="P467" s="1133"/>
      <c r="Q467" s="1190"/>
      <c r="R467" s="1190"/>
    </row>
    <row r="468" ht="12.75" customHeight="1">
      <c r="A468" s="810">
        <f t="shared" si="9"/>
        <v>51</v>
      </c>
      <c r="B468" s="1057" t="s">
        <v>7638</v>
      </c>
      <c r="C468" s="1133"/>
      <c r="D468" s="1154"/>
      <c r="E468" s="1059" t="s">
        <v>5809</v>
      </c>
      <c r="F468" s="806" t="s">
        <v>1120</v>
      </c>
      <c r="G468" s="1189" t="s">
        <v>4940</v>
      </c>
      <c r="H468" s="806" t="s">
        <v>7153</v>
      </c>
      <c r="I468" s="1187"/>
      <c r="J468" s="1132" t="s">
        <v>7155</v>
      </c>
      <c r="K468" s="810"/>
      <c r="L468" s="1133"/>
      <c r="M468" s="806" t="s">
        <v>7156</v>
      </c>
      <c r="N468" s="806" t="s">
        <v>7157</v>
      </c>
      <c r="O468" s="1132"/>
      <c r="P468" s="1133"/>
      <c r="Q468" s="1190"/>
      <c r="R468" s="1190"/>
    </row>
    <row r="469" ht="12.75" customHeight="1">
      <c r="A469" s="810">
        <f t="shared" si="9"/>
        <v>52</v>
      </c>
      <c r="B469" s="1057" t="s">
        <v>7639</v>
      </c>
      <c r="C469" s="1133"/>
      <c r="D469" s="1154"/>
      <c r="E469" s="1059" t="s">
        <v>5809</v>
      </c>
      <c r="F469" s="806" t="s">
        <v>1120</v>
      </c>
      <c r="G469" s="1189" t="s">
        <v>4940</v>
      </c>
      <c r="H469" s="806" t="s">
        <v>7153</v>
      </c>
      <c r="I469" s="1187"/>
      <c r="J469" s="1132" t="s">
        <v>7155</v>
      </c>
      <c r="K469" s="810"/>
      <c r="L469" s="1133"/>
      <c r="M469" s="806" t="s">
        <v>7156</v>
      </c>
      <c r="N469" s="806" t="s">
        <v>7157</v>
      </c>
      <c r="O469" s="1132"/>
      <c r="P469" s="1133"/>
      <c r="Q469" s="1190"/>
      <c r="R469" s="1190"/>
    </row>
    <row r="470" ht="12.75" customHeight="1">
      <c r="A470" s="810">
        <f t="shared" si="9"/>
        <v>53</v>
      </c>
      <c r="B470" s="1057" t="s">
        <v>7640</v>
      </c>
      <c r="C470" s="1133"/>
      <c r="D470" s="1154"/>
      <c r="E470" s="1059" t="s">
        <v>5810</v>
      </c>
      <c r="F470" s="806" t="s">
        <v>1120</v>
      </c>
      <c r="G470" s="1189" t="s">
        <v>4940</v>
      </c>
      <c r="H470" s="806" t="s">
        <v>7153</v>
      </c>
      <c r="I470" s="1187"/>
      <c r="J470" s="1132" t="s">
        <v>1093</v>
      </c>
      <c r="K470" s="810"/>
      <c r="L470" s="1133"/>
      <c r="M470" s="810" t="s">
        <v>7210</v>
      </c>
      <c r="N470" s="810" t="s">
        <v>7211</v>
      </c>
      <c r="O470" s="1132" t="s">
        <v>7641</v>
      </c>
      <c r="P470" s="1133"/>
      <c r="Q470" s="1190"/>
      <c r="R470" s="1190"/>
    </row>
    <row r="471" ht="12.75" customHeight="1">
      <c r="A471" s="810">
        <f t="shared" si="9"/>
        <v>54</v>
      </c>
      <c r="B471" s="1057" t="s">
        <v>7642</v>
      </c>
      <c r="C471" s="1133"/>
      <c r="D471" s="1154"/>
      <c r="E471" s="1059" t="s">
        <v>5810</v>
      </c>
      <c r="F471" s="806" t="s">
        <v>1120</v>
      </c>
      <c r="G471" s="1189" t="s">
        <v>4940</v>
      </c>
      <c r="H471" s="806" t="s">
        <v>7153</v>
      </c>
      <c r="I471" s="1187"/>
      <c r="J471" s="1132" t="s">
        <v>1093</v>
      </c>
      <c r="K471" s="810"/>
      <c r="L471" s="1133"/>
      <c r="M471" s="810" t="s">
        <v>7210</v>
      </c>
      <c r="N471" s="810" t="s">
        <v>7211</v>
      </c>
      <c r="O471" s="1132" t="s">
        <v>7643</v>
      </c>
      <c r="P471" s="1133"/>
      <c r="Q471" s="1190"/>
      <c r="R471" s="1190"/>
    </row>
    <row r="472" ht="12.75" customHeight="1">
      <c r="A472" s="810">
        <f t="shared" si="9"/>
        <v>55</v>
      </c>
      <c r="B472" s="1057" t="s">
        <v>7644</v>
      </c>
      <c r="C472" s="1133"/>
      <c r="D472" s="1154"/>
      <c r="E472" s="1059" t="s">
        <v>5810</v>
      </c>
      <c r="F472" s="806" t="s">
        <v>1120</v>
      </c>
      <c r="G472" s="1189" t="s">
        <v>4940</v>
      </c>
      <c r="H472" s="806" t="s">
        <v>7153</v>
      </c>
      <c r="I472" s="1187"/>
      <c r="J472" s="1132" t="s">
        <v>1093</v>
      </c>
      <c r="K472" s="810"/>
      <c r="L472" s="1133"/>
      <c r="M472" s="810" t="s">
        <v>7210</v>
      </c>
      <c r="N472" s="810" t="s">
        <v>7211</v>
      </c>
      <c r="O472" s="1132" t="s">
        <v>7645</v>
      </c>
      <c r="P472" s="1133"/>
      <c r="Q472" s="1190"/>
      <c r="R472" s="1190"/>
    </row>
    <row r="473" ht="12.75" customHeight="1">
      <c r="A473" s="810">
        <f t="shared" si="9"/>
        <v>56</v>
      </c>
      <c r="B473" s="1057" t="s">
        <v>7646</v>
      </c>
      <c r="C473" s="1133"/>
      <c r="D473" s="1154"/>
      <c r="E473" s="1059" t="s">
        <v>5810</v>
      </c>
      <c r="F473" s="806" t="s">
        <v>1120</v>
      </c>
      <c r="G473" s="1189" t="s">
        <v>4940</v>
      </c>
      <c r="H473" s="806" t="s">
        <v>7153</v>
      </c>
      <c r="I473" s="1187"/>
      <c r="J473" s="1132" t="s">
        <v>1093</v>
      </c>
      <c r="K473" s="810"/>
      <c r="L473" s="1133"/>
      <c r="M473" s="810" t="s">
        <v>7210</v>
      </c>
      <c r="N473" s="810" t="s">
        <v>7211</v>
      </c>
      <c r="O473" s="1132" t="s">
        <v>7647</v>
      </c>
      <c r="P473" s="1133"/>
      <c r="Q473" s="1190"/>
      <c r="R473" s="1190"/>
    </row>
    <row r="474" ht="12.75" customHeight="1">
      <c r="A474" s="810">
        <f t="shared" si="9"/>
        <v>57</v>
      </c>
      <c r="B474" s="1057" t="s">
        <v>7648</v>
      </c>
      <c r="C474" s="1133"/>
      <c r="D474" s="1154"/>
      <c r="E474" s="1059" t="s">
        <v>5810</v>
      </c>
      <c r="F474" s="806" t="s">
        <v>1120</v>
      </c>
      <c r="G474" s="1189" t="s">
        <v>4940</v>
      </c>
      <c r="H474" s="806" t="s">
        <v>7153</v>
      </c>
      <c r="I474" s="1187"/>
      <c r="J474" s="1132" t="s">
        <v>1093</v>
      </c>
      <c r="K474" s="810"/>
      <c r="L474" s="1133"/>
      <c r="M474" s="810" t="s">
        <v>7210</v>
      </c>
      <c r="N474" s="810" t="s">
        <v>7211</v>
      </c>
      <c r="O474" s="1132" t="s">
        <v>7649</v>
      </c>
      <c r="P474" s="1133"/>
      <c r="Q474" s="1190"/>
      <c r="R474" s="1190"/>
    </row>
    <row r="475" ht="12.75" customHeight="1">
      <c r="A475" s="810">
        <f t="shared" si="9"/>
        <v>58</v>
      </c>
      <c r="B475" s="1057" t="s">
        <v>7650</v>
      </c>
      <c r="C475" s="1133"/>
      <c r="D475" s="1154"/>
      <c r="E475" s="1059" t="s">
        <v>5810</v>
      </c>
      <c r="F475" s="806" t="s">
        <v>1120</v>
      </c>
      <c r="G475" s="1189" t="s">
        <v>4940</v>
      </c>
      <c r="H475" s="806" t="s">
        <v>7153</v>
      </c>
      <c r="I475" s="1187"/>
      <c r="J475" s="1132" t="s">
        <v>1093</v>
      </c>
      <c r="K475" s="810"/>
      <c r="L475" s="1133"/>
      <c r="M475" s="810" t="s">
        <v>7210</v>
      </c>
      <c r="N475" s="810" t="s">
        <v>7211</v>
      </c>
      <c r="O475" s="1132" t="s">
        <v>7651</v>
      </c>
      <c r="P475" s="1133"/>
      <c r="Q475" s="1190"/>
      <c r="R475" s="1190"/>
    </row>
    <row r="476" ht="12.75" customHeight="1">
      <c r="A476" s="810">
        <f t="shared" si="9"/>
        <v>59</v>
      </c>
      <c r="B476" s="1057" t="s">
        <v>7652</v>
      </c>
      <c r="C476" s="1133"/>
      <c r="D476" s="1154"/>
      <c r="E476" s="1059" t="s">
        <v>5810</v>
      </c>
      <c r="F476" s="806" t="s">
        <v>1120</v>
      </c>
      <c r="G476" s="1189" t="s">
        <v>4940</v>
      </c>
      <c r="H476" s="806" t="s">
        <v>7153</v>
      </c>
      <c r="I476" s="1187"/>
      <c r="J476" s="1132" t="s">
        <v>1093</v>
      </c>
      <c r="K476" s="810"/>
      <c r="L476" s="1133"/>
      <c r="M476" s="810" t="s">
        <v>7210</v>
      </c>
      <c r="N476" s="810" t="s">
        <v>7211</v>
      </c>
      <c r="O476" s="1132" t="s">
        <v>7653</v>
      </c>
      <c r="P476" s="1133"/>
      <c r="Q476" s="1190"/>
      <c r="R476" s="1190"/>
    </row>
    <row r="477" ht="12.75" customHeight="1">
      <c r="A477" s="810">
        <f t="shared" si="9"/>
        <v>60</v>
      </c>
      <c r="B477" s="1057" t="s">
        <v>7654</v>
      </c>
      <c r="C477" s="1133"/>
      <c r="D477" s="1154"/>
      <c r="E477" s="1059" t="s">
        <v>5810</v>
      </c>
      <c r="F477" s="806" t="s">
        <v>1120</v>
      </c>
      <c r="G477" s="1189" t="s">
        <v>4940</v>
      </c>
      <c r="H477" s="806" t="s">
        <v>7153</v>
      </c>
      <c r="I477" s="1187"/>
      <c r="J477" s="1132" t="s">
        <v>1093</v>
      </c>
      <c r="K477" s="810"/>
      <c r="L477" s="1133"/>
      <c r="M477" s="810" t="s">
        <v>7210</v>
      </c>
      <c r="N477" s="810" t="s">
        <v>7211</v>
      </c>
      <c r="O477" s="1132" t="s">
        <v>7655</v>
      </c>
      <c r="P477" s="1133"/>
      <c r="Q477" s="1190"/>
      <c r="R477" s="1190"/>
    </row>
    <row r="478" ht="12.75" customHeight="1">
      <c r="A478" s="810">
        <f t="shared" si="9"/>
        <v>61</v>
      </c>
      <c r="B478" s="1057" t="s">
        <v>7656</v>
      </c>
      <c r="C478" s="1133"/>
      <c r="D478" s="1154"/>
      <c r="E478" s="1059" t="s">
        <v>5810</v>
      </c>
      <c r="F478" s="806" t="s">
        <v>1120</v>
      </c>
      <c r="G478" s="1189" t="s">
        <v>4940</v>
      </c>
      <c r="H478" s="806" t="s">
        <v>7153</v>
      </c>
      <c r="I478" s="1187"/>
      <c r="J478" s="1132" t="s">
        <v>1093</v>
      </c>
      <c r="K478" s="810"/>
      <c r="L478" s="1133"/>
      <c r="M478" s="810" t="s">
        <v>7210</v>
      </c>
      <c r="N478" s="810" t="s">
        <v>7211</v>
      </c>
      <c r="O478" s="1132" t="s">
        <v>7657</v>
      </c>
      <c r="P478" s="1133"/>
      <c r="Q478" s="1190"/>
      <c r="R478" s="1190"/>
    </row>
    <row r="479" ht="12.75" customHeight="1">
      <c r="A479" s="810">
        <f t="shared" si="9"/>
        <v>62</v>
      </c>
      <c r="B479" s="1057" t="s">
        <v>7658</v>
      </c>
      <c r="C479" s="1133"/>
      <c r="D479" s="1154"/>
      <c r="E479" s="1059" t="s">
        <v>5810</v>
      </c>
      <c r="F479" s="806" t="s">
        <v>1120</v>
      </c>
      <c r="G479" s="1189" t="s">
        <v>4940</v>
      </c>
      <c r="H479" s="806" t="s">
        <v>7153</v>
      </c>
      <c r="I479" s="1187"/>
      <c r="J479" s="1132" t="s">
        <v>1093</v>
      </c>
      <c r="K479" s="810"/>
      <c r="L479" s="1133"/>
      <c r="M479" s="810" t="s">
        <v>7210</v>
      </c>
      <c r="N479" s="810" t="s">
        <v>7211</v>
      </c>
      <c r="O479" s="1132" t="s">
        <v>7659</v>
      </c>
      <c r="P479" s="1133"/>
      <c r="Q479" s="1190"/>
      <c r="R479" s="1190"/>
    </row>
    <row r="480" ht="12.75" customHeight="1">
      <c r="A480" s="810">
        <f t="shared" si="9"/>
        <v>63</v>
      </c>
      <c r="B480" s="1057" t="s">
        <v>7660</v>
      </c>
      <c r="C480" s="1133"/>
      <c r="D480" s="1154"/>
      <c r="E480" s="1059" t="s">
        <v>5810</v>
      </c>
      <c r="F480" s="806" t="s">
        <v>1120</v>
      </c>
      <c r="G480" s="1189" t="s">
        <v>4940</v>
      </c>
      <c r="H480" s="806" t="s">
        <v>7153</v>
      </c>
      <c r="I480" s="1187"/>
      <c r="J480" s="1132" t="s">
        <v>1093</v>
      </c>
      <c r="K480" s="810"/>
      <c r="L480" s="1133"/>
      <c r="M480" s="810" t="s">
        <v>7210</v>
      </c>
      <c r="N480" s="810" t="s">
        <v>7211</v>
      </c>
      <c r="O480" s="1132" t="s">
        <v>7661</v>
      </c>
      <c r="P480" s="1133"/>
      <c r="Q480" s="1190"/>
      <c r="R480" s="1190"/>
    </row>
    <row r="481" ht="12.75" customHeight="1">
      <c r="A481" s="806"/>
      <c r="B481" s="1057"/>
      <c r="C481" s="1133"/>
      <c r="D481" s="1154"/>
      <c r="E481" s="1059"/>
      <c r="F481" s="806"/>
      <c r="G481" s="1189"/>
      <c r="H481" s="806"/>
      <c r="I481" s="1187"/>
      <c r="J481" s="1132"/>
      <c r="K481" s="810"/>
      <c r="L481" s="1133"/>
      <c r="M481" s="810"/>
      <c r="N481" s="810"/>
      <c r="O481" s="1132"/>
      <c r="P481" s="1133"/>
      <c r="Q481" s="1190"/>
      <c r="R481" s="1190"/>
    </row>
    <row r="482" ht="12.75" customHeight="1">
      <c r="A482" s="806"/>
      <c r="B482" s="1057"/>
      <c r="C482" s="1133"/>
      <c r="D482" s="1154"/>
      <c r="E482" s="1059"/>
      <c r="F482" s="806"/>
      <c r="G482" s="1189"/>
      <c r="H482" s="806"/>
      <c r="I482" s="1187"/>
      <c r="J482" s="1132"/>
      <c r="K482" s="810"/>
      <c r="L482" s="1133"/>
      <c r="M482" s="810"/>
      <c r="N482" s="810"/>
      <c r="O482" s="1132"/>
      <c r="P482" s="1133"/>
      <c r="Q482" s="1190"/>
      <c r="R482" s="1190"/>
    </row>
    <row r="483" ht="12.75" customHeight="1">
      <c r="A483" s="806"/>
      <c r="B483" s="1057"/>
      <c r="C483" s="1133"/>
      <c r="D483" s="1154"/>
      <c r="E483" s="1059"/>
      <c r="F483" s="806"/>
      <c r="G483" s="1189"/>
      <c r="H483" s="806"/>
      <c r="I483" s="1187"/>
      <c r="J483" s="1132"/>
      <c r="K483" s="810"/>
      <c r="L483" s="1133"/>
      <c r="M483" s="810"/>
      <c r="N483" s="810"/>
      <c r="O483" s="1132"/>
      <c r="P483" s="1133"/>
      <c r="Q483" s="1190"/>
      <c r="R483" s="1190"/>
    </row>
    <row r="484" ht="12.75" customHeight="1">
      <c r="A484" s="806"/>
      <c r="B484" s="1057"/>
      <c r="C484" s="1133"/>
      <c r="D484" s="1154"/>
      <c r="E484" s="1059"/>
      <c r="F484" s="806"/>
      <c r="G484" s="1189"/>
      <c r="H484" s="806"/>
      <c r="I484" s="1187"/>
      <c r="J484" s="1132"/>
      <c r="K484" s="810"/>
      <c r="L484" s="1133"/>
      <c r="M484" s="810"/>
      <c r="N484" s="810"/>
      <c r="O484" s="1132"/>
      <c r="P484" s="1133"/>
      <c r="Q484" s="1190"/>
      <c r="R484" s="1190"/>
    </row>
    <row r="485" ht="12.75" customHeight="1">
      <c r="A485" s="806"/>
      <c r="B485" s="1057"/>
      <c r="C485" s="1133"/>
      <c r="D485" s="1154"/>
      <c r="E485" s="1059"/>
      <c r="F485" s="806"/>
      <c r="G485" s="1189"/>
      <c r="H485" s="806"/>
      <c r="I485" s="1187"/>
      <c r="J485" s="1132"/>
      <c r="K485" s="810"/>
      <c r="L485" s="1133"/>
      <c r="M485" s="810"/>
      <c r="N485" s="810"/>
      <c r="O485" s="1132"/>
      <c r="P485" s="1133"/>
      <c r="Q485" s="1190"/>
      <c r="R485" s="1190"/>
    </row>
    <row r="486" ht="12.75" customHeight="1">
      <c r="A486" s="806"/>
      <c r="B486" s="1057"/>
      <c r="C486" s="1133"/>
      <c r="D486" s="1154"/>
      <c r="E486" s="1059"/>
      <c r="F486" s="806"/>
      <c r="G486" s="1189"/>
      <c r="H486" s="806"/>
      <c r="I486" s="1187"/>
      <c r="J486" s="1132"/>
      <c r="K486" s="810"/>
      <c r="L486" s="1133"/>
      <c r="M486" s="810"/>
      <c r="N486" s="810"/>
      <c r="O486" s="1132"/>
      <c r="P486" s="1133"/>
      <c r="Q486" s="1190"/>
      <c r="R486" s="1190"/>
    </row>
    <row r="487" ht="12.75" customHeight="1">
      <c r="A487" s="806"/>
      <c r="B487" s="1057"/>
      <c r="C487" s="1133"/>
      <c r="D487" s="1154"/>
      <c r="E487" s="1059"/>
      <c r="F487" s="806"/>
      <c r="G487" s="1189"/>
      <c r="H487" s="806"/>
      <c r="I487" s="1187"/>
      <c r="J487" s="1132"/>
      <c r="K487" s="810"/>
      <c r="L487" s="1133"/>
      <c r="M487" s="810"/>
      <c r="N487" s="810"/>
      <c r="O487" s="1132"/>
      <c r="P487" s="1133"/>
      <c r="Q487" s="1190"/>
      <c r="R487" s="1190"/>
    </row>
    <row r="488" ht="12.75" customHeight="1">
      <c r="A488" s="806"/>
      <c r="B488" s="1057"/>
      <c r="C488" s="1133"/>
      <c r="D488" s="1154"/>
      <c r="E488" s="1059"/>
      <c r="F488" s="806"/>
      <c r="G488" s="1189"/>
      <c r="H488" s="806"/>
      <c r="I488" s="1187"/>
      <c r="J488" s="1132"/>
      <c r="K488" s="810"/>
      <c r="L488" s="1133"/>
      <c r="M488" s="810"/>
      <c r="N488" s="810"/>
      <c r="O488" s="1132"/>
      <c r="P488" s="1133"/>
      <c r="Q488" s="1190"/>
      <c r="R488" s="1190"/>
    </row>
    <row r="489" ht="12.75" customHeight="1">
      <c r="A489" s="806"/>
      <c r="B489" s="1057"/>
      <c r="C489" s="1133"/>
      <c r="D489" s="1154"/>
      <c r="E489" s="1059"/>
      <c r="F489" s="806"/>
      <c r="G489" s="1189"/>
      <c r="H489" s="806"/>
      <c r="I489" s="1187"/>
      <c r="J489" s="1132"/>
      <c r="K489" s="810"/>
      <c r="L489" s="1133"/>
      <c r="M489" s="810"/>
      <c r="N489" s="810"/>
      <c r="O489" s="1132"/>
      <c r="P489" s="1133"/>
      <c r="Q489" s="1190"/>
      <c r="R489" s="1190"/>
    </row>
    <row r="490" ht="12.75" customHeight="1">
      <c r="A490" s="806"/>
      <c r="B490" s="1057"/>
      <c r="C490" s="1133"/>
      <c r="D490" s="1154"/>
      <c r="E490" s="1059"/>
      <c r="F490" s="806"/>
      <c r="G490" s="1189"/>
      <c r="H490" s="806"/>
      <c r="I490" s="1187"/>
      <c r="J490" s="1132"/>
      <c r="K490" s="810"/>
      <c r="L490" s="1133"/>
      <c r="M490" s="810"/>
      <c r="N490" s="810"/>
      <c r="O490" s="1132"/>
      <c r="P490" s="1133"/>
      <c r="Q490" s="1190"/>
      <c r="R490" s="1190"/>
    </row>
    <row r="491" ht="12.75" customHeight="1">
      <c r="A491" s="1049"/>
      <c r="B491" s="1050"/>
      <c r="C491" s="1051" t="s">
        <v>7205</v>
      </c>
      <c r="D491" s="1052"/>
      <c r="E491" s="1052"/>
      <c r="F491" s="1053"/>
      <c r="G491" s="1054"/>
      <c r="H491" s="1053"/>
      <c r="I491" s="1051"/>
      <c r="J491" s="1053"/>
      <c r="K491" s="1053"/>
      <c r="L491" s="1055"/>
      <c r="M491" s="1053"/>
      <c r="N491" s="1053"/>
      <c r="O491" s="1055"/>
      <c r="P491" s="1055"/>
      <c r="Q491" s="1056"/>
      <c r="R491" s="1056"/>
    </row>
    <row r="492" ht="12.75" customHeight="1">
      <c r="A492" s="1049" t="s">
        <v>7662</v>
      </c>
      <c r="B492" s="1050" t="s">
        <v>7019</v>
      </c>
      <c r="C492" s="1051">
        <f>COUNTA($B$493:$B$504)</f>
        <v>11</v>
      </c>
      <c r="D492" s="1052"/>
      <c r="E492" s="1052"/>
      <c r="F492" s="1053"/>
      <c r="G492" s="1054"/>
      <c r="H492" s="1053"/>
      <c r="I492" s="1051"/>
      <c r="J492" s="1053"/>
      <c r="K492" s="1053"/>
      <c r="L492" s="1055"/>
      <c r="M492" s="1053"/>
      <c r="N492" s="1053"/>
      <c r="O492" s="1055"/>
      <c r="P492" s="1055"/>
      <c r="Q492" s="1056"/>
      <c r="R492" s="1056"/>
    </row>
    <row r="493" ht="12.75" customHeight="1">
      <c r="A493" s="810">
        <v>1.0</v>
      </c>
      <c r="B493" s="1057" t="s">
        <v>7020</v>
      </c>
      <c r="C493" s="1058"/>
      <c r="D493" s="1173"/>
      <c r="E493" s="1059" t="s">
        <v>5810</v>
      </c>
      <c r="F493" s="1081" t="s">
        <v>1559</v>
      </c>
      <c r="G493" s="1191">
        <v>45271.0</v>
      </c>
      <c r="H493" s="806" t="s">
        <v>7153</v>
      </c>
      <c r="I493" s="1187"/>
      <c r="J493" s="1188" t="s">
        <v>7161</v>
      </c>
      <c r="K493" s="810" t="s">
        <v>740</v>
      </c>
      <c r="L493" s="1133"/>
      <c r="M493" s="810" t="s">
        <v>7162</v>
      </c>
      <c r="N493" s="810" t="s">
        <v>7163</v>
      </c>
      <c r="O493" s="1188">
        <v>220317.0</v>
      </c>
      <c r="P493" s="1058"/>
      <c r="Q493" s="1061">
        <v>0.5</v>
      </c>
      <c r="R493" s="1061"/>
    </row>
    <row r="494" ht="12.75" customHeight="1">
      <c r="A494" s="806">
        <f t="shared" ref="A494:A503" si="10">A493+1</f>
        <v>2</v>
      </c>
      <c r="B494" s="1057" t="s">
        <v>7021</v>
      </c>
      <c r="C494" s="1058"/>
      <c r="D494" s="1173"/>
      <c r="E494" s="1059" t="s">
        <v>5810</v>
      </c>
      <c r="F494" s="1081" t="s">
        <v>1559</v>
      </c>
      <c r="G494" s="1192"/>
      <c r="H494" s="806" t="s">
        <v>7153</v>
      </c>
      <c r="I494" s="1187"/>
      <c r="J494" s="1188" t="s">
        <v>7161</v>
      </c>
      <c r="K494" s="810" t="s">
        <v>740</v>
      </c>
      <c r="L494" s="1133"/>
      <c r="M494" s="810" t="s">
        <v>7162</v>
      </c>
      <c r="N494" s="810" t="s">
        <v>7163</v>
      </c>
      <c r="O494" s="1188">
        <v>201511.0</v>
      </c>
      <c r="P494" s="1058"/>
      <c r="Q494" s="1061">
        <v>0.5</v>
      </c>
      <c r="R494" s="1061"/>
    </row>
    <row r="495" ht="12.75" customHeight="1">
      <c r="A495" s="806">
        <f t="shared" si="10"/>
        <v>3</v>
      </c>
      <c r="B495" s="1057" t="s">
        <v>7022</v>
      </c>
      <c r="C495" s="1058"/>
      <c r="D495" s="1173"/>
      <c r="E495" s="1059" t="s">
        <v>5810</v>
      </c>
      <c r="F495" s="1081" t="s">
        <v>1559</v>
      </c>
      <c r="G495" s="1192"/>
      <c r="H495" s="806" t="s">
        <v>7153</v>
      </c>
      <c r="I495" s="1187"/>
      <c r="J495" s="1188" t="s">
        <v>7161</v>
      </c>
      <c r="K495" s="810" t="s">
        <v>740</v>
      </c>
      <c r="L495" s="1133"/>
      <c r="M495" s="810" t="s">
        <v>7162</v>
      </c>
      <c r="N495" s="810" t="s">
        <v>7163</v>
      </c>
      <c r="O495" s="1188">
        <v>220330.0</v>
      </c>
      <c r="P495" s="1058"/>
      <c r="Q495" s="1061">
        <v>0.5</v>
      </c>
      <c r="R495" s="1061"/>
    </row>
    <row r="496" ht="12.75" customHeight="1">
      <c r="A496" s="806">
        <f t="shared" si="10"/>
        <v>4</v>
      </c>
      <c r="B496" s="1057" t="s">
        <v>7023</v>
      </c>
      <c r="C496" s="1058"/>
      <c r="D496" s="1173"/>
      <c r="E496" s="1059" t="s">
        <v>5810</v>
      </c>
      <c r="F496" s="1081" t="s">
        <v>1559</v>
      </c>
      <c r="G496" s="1192"/>
      <c r="H496" s="806" t="s">
        <v>7153</v>
      </c>
      <c r="I496" s="1187"/>
      <c r="J496" s="1188" t="s">
        <v>7161</v>
      </c>
      <c r="K496" s="810" t="s">
        <v>740</v>
      </c>
      <c r="L496" s="1133"/>
      <c r="M496" s="810" t="s">
        <v>7162</v>
      </c>
      <c r="N496" s="810" t="s">
        <v>7163</v>
      </c>
      <c r="O496" s="1188">
        <v>220330.0</v>
      </c>
      <c r="P496" s="1058"/>
      <c r="Q496" s="1061">
        <v>0.5</v>
      </c>
      <c r="R496" s="1061"/>
    </row>
    <row r="497" ht="12.75" customHeight="1">
      <c r="A497" s="806">
        <f t="shared" si="10"/>
        <v>5</v>
      </c>
      <c r="B497" s="1057" t="s">
        <v>7024</v>
      </c>
      <c r="C497" s="1058"/>
      <c r="D497" s="1173"/>
      <c r="E497" s="1059" t="s">
        <v>5810</v>
      </c>
      <c r="F497" s="1081" t="s">
        <v>1559</v>
      </c>
      <c r="G497" s="1191">
        <v>45627.0</v>
      </c>
      <c r="H497" s="806" t="s">
        <v>7153</v>
      </c>
      <c r="I497" s="1187"/>
      <c r="J497" s="1132" t="s">
        <v>1093</v>
      </c>
      <c r="K497" s="810" t="s">
        <v>740</v>
      </c>
      <c r="L497" s="1133"/>
      <c r="M497" s="810" t="s">
        <v>7210</v>
      </c>
      <c r="N497" s="810" t="s">
        <v>7211</v>
      </c>
      <c r="O497" s="1188">
        <v>220112.0</v>
      </c>
      <c r="P497" s="1058"/>
      <c r="Q497" s="1061">
        <v>0.5</v>
      </c>
      <c r="R497" s="1061"/>
    </row>
    <row r="498" ht="12.75" customHeight="1">
      <c r="A498" s="806">
        <f t="shared" si="10"/>
        <v>6</v>
      </c>
      <c r="B498" s="1057" t="s">
        <v>7025</v>
      </c>
      <c r="C498" s="1058"/>
      <c r="D498" s="1173"/>
      <c r="E498" s="1059" t="s">
        <v>5810</v>
      </c>
      <c r="F498" s="1081" t="s">
        <v>1559</v>
      </c>
      <c r="G498" s="1191">
        <v>45627.0</v>
      </c>
      <c r="H498" s="806" t="s">
        <v>7153</v>
      </c>
      <c r="I498" s="1187"/>
      <c r="J498" s="1188" t="s">
        <v>1093</v>
      </c>
      <c r="K498" s="810" t="s">
        <v>740</v>
      </c>
      <c r="L498" s="1133"/>
      <c r="M498" s="810" t="s">
        <v>7210</v>
      </c>
      <c r="N498" s="810" t="s">
        <v>7211</v>
      </c>
      <c r="O498" s="601"/>
      <c r="P498" s="1058"/>
      <c r="Q498" s="1061">
        <v>0.5</v>
      </c>
      <c r="R498" s="1061"/>
    </row>
    <row r="499" ht="12.75" customHeight="1">
      <c r="A499" s="806">
        <f t="shared" si="10"/>
        <v>7</v>
      </c>
      <c r="B499" s="1057" t="s">
        <v>7026</v>
      </c>
      <c r="C499" s="1058"/>
      <c r="D499" s="1173"/>
      <c r="E499" s="1059" t="s">
        <v>5810</v>
      </c>
      <c r="F499" s="1081" t="s">
        <v>1559</v>
      </c>
      <c r="G499" s="1192" t="s">
        <v>7663</v>
      </c>
      <c r="H499" s="806" t="s">
        <v>7153</v>
      </c>
      <c r="I499" s="1187"/>
      <c r="J499" s="1188" t="s">
        <v>1093</v>
      </c>
      <c r="K499" s="810" t="s">
        <v>740</v>
      </c>
      <c r="L499" s="1133"/>
      <c r="M499" s="810" t="s">
        <v>7210</v>
      </c>
      <c r="N499" s="810" t="s">
        <v>7211</v>
      </c>
      <c r="O499" s="1188">
        <v>100124.0</v>
      </c>
      <c r="P499" s="1058"/>
      <c r="Q499" s="1061">
        <v>0.5</v>
      </c>
      <c r="R499" s="1061"/>
    </row>
    <row r="500" ht="12.75" customHeight="1">
      <c r="A500" s="806">
        <f t="shared" si="10"/>
        <v>8</v>
      </c>
      <c r="B500" s="1057" t="s">
        <v>7027</v>
      </c>
      <c r="C500" s="1058"/>
      <c r="D500" s="1173"/>
      <c r="E500" s="1059" t="s">
        <v>5810</v>
      </c>
      <c r="F500" s="1081" t="s">
        <v>1559</v>
      </c>
      <c r="G500" s="1191">
        <v>45485.0</v>
      </c>
      <c r="H500" s="806" t="s">
        <v>7153</v>
      </c>
      <c r="I500" s="1187"/>
      <c r="J500" s="1188" t="s">
        <v>1093</v>
      </c>
      <c r="K500" s="810" t="s">
        <v>740</v>
      </c>
      <c r="L500" s="1133"/>
      <c r="M500" s="810" t="s">
        <v>7210</v>
      </c>
      <c r="N500" s="810" t="s">
        <v>7211</v>
      </c>
      <c r="O500" s="468" t="s">
        <v>7664</v>
      </c>
      <c r="P500" s="1058"/>
      <c r="Q500" s="1061">
        <v>0.5</v>
      </c>
      <c r="R500" s="1061"/>
    </row>
    <row r="501" ht="12.75" customHeight="1">
      <c r="A501" s="806">
        <f t="shared" si="10"/>
        <v>9</v>
      </c>
      <c r="B501" s="1057" t="s">
        <v>7028</v>
      </c>
      <c r="C501" s="1058"/>
      <c r="D501" s="1173"/>
      <c r="E501" s="1059" t="s">
        <v>5810</v>
      </c>
      <c r="F501" s="1081" t="s">
        <v>1559</v>
      </c>
      <c r="G501" s="1191">
        <v>45485.0</v>
      </c>
      <c r="H501" s="806" t="s">
        <v>7153</v>
      </c>
      <c r="I501" s="1187"/>
      <c r="J501" s="1188" t="s">
        <v>1093</v>
      </c>
      <c r="K501" s="810" t="s">
        <v>740</v>
      </c>
      <c r="L501" s="1133"/>
      <c r="M501" s="810" t="s">
        <v>7210</v>
      </c>
      <c r="N501" s="810" t="s">
        <v>7211</v>
      </c>
      <c r="O501" s="468" t="s">
        <v>7665</v>
      </c>
      <c r="P501" s="1058"/>
      <c r="Q501" s="1061">
        <v>0.5</v>
      </c>
      <c r="R501" s="1061"/>
    </row>
    <row r="502" ht="12.75" customHeight="1">
      <c r="A502" s="806">
        <f t="shared" si="10"/>
        <v>10</v>
      </c>
      <c r="B502" s="1057" t="s">
        <v>7029</v>
      </c>
      <c r="C502" s="1057"/>
      <c r="D502" s="1173"/>
      <c r="E502" s="1059" t="s">
        <v>5809</v>
      </c>
      <c r="F502" s="1081" t="s">
        <v>1559</v>
      </c>
      <c r="G502" s="1192" t="s">
        <v>4767</v>
      </c>
      <c r="H502" s="806" t="s">
        <v>7153</v>
      </c>
      <c r="I502" s="1187"/>
      <c r="J502" s="810" t="s">
        <v>7230</v>
      </c>
      <c r="K502" s="810"/>
      <c r="L502" s="1133"/>
      <c r="M502" s="810" t="s">
        <v>7156</v>
      </c>
      <c r="N502" s="810" t="s">
        <v>7157</v>
      </c>
      <c r="O502" s="1188"/>
      <c r="P502" s="1058"/>
      <c r="Q502" s="1078"/>
      <c r="R502" s="1078"/>
    </row>
    <row r="503" ht="12.75" customHeight="1">
      <c r="A503" s="806">
        <f t="shared" si="10"/>
        <v>11</v>
      </c>
      <c r="B503" s="1057" t="s">
        <v>7030</v>
      </c>
      <c r="C503" s="1057"/>
      <c r="D503" s="1173"/>
      <c r="E503" s="1059" t="s">
        <v>5809</v>
      </c>
      <c r="F503" s="1081" t="s">
        <v>1559</v>
      </c>
      <c r="G503" s="1192" t="s">
        <v>4767</v>
      </c>
      <c r="H503" s="806" t="s">
        <v>7153</v>
      </c>
      <c r="I503" s="1187"/>
      <c r="J503" s="810" t="s">
        <v>7230</v>
      </c>
      <c r="K503" s="810"/>
      <c r="L503" s="1133"/>
      <c r="M503" s="810" t="s">
        <v>7156</v>
      </c>
      <c r="N503" s="810" t="s">
        <v>7157</v>
      </c>
      <c r="O503" s="1188"/>
      <c r="P503" s="1058"/>
      <c r="Q503" s="1078"/>
      <c r="R503" s="1078"/>
    </row>
    <row r="504" ht="12.75" customHeight="1">
      <c r="A504" s="806"/>
      <c r="B504" s="1057"/>
      <c r="C504" s="1057" t="s">
        <v>7205</v>
      </c>
      <c r="D504" s="1173"/>
      <c r="E504" s="1059"/>
      <c r="F504" s="1081"/>
      <c r="G504" s="1192"/>
      <c r="H504" s="806"/>
      <c r="I504" s="1187"/>
      <c r="J504" s="810"/>
      <c r="K504" s="810"/>
      <c r="L504" s="1133"/>
      <c r="M504" s="810"/>
      <c r="N504" s="810"/>
      <c r="O504" s="1188"/>
      <c r="P504" s="1058"/>
      <c r="Q504" s="1078"/>
      <c r="R504" s="1078"/>
    </row>
    <row r="505" ht="12.75" customHeight="1">
      <c r="A505" s="1049" t="s">
        <v>7666</v>
      </c>
      <c r="B505" s="1050" t="s">
        <v>7031</v>
      </c>
      <c r="C505" s="1051">
        <f>COUNTA($B$506:$B$513)</f>
        <v>6</v>
      </c>
      <c r="D505" s="1052"/>
      <c r="E505" s="1052"/>
      <c r="F505" s="1053"/>
      <c r="G505" s="1054"/>
      <c r="H505" s="1053"/>
      <c r="I505" s="1051"/>
      <c r="J505" s="1053"/>
      <c r="K505" s="1053"/>
      <c r="L505" s="1055"/>
      <c r="M505" s="1053"/>
      <c r="N505" s="1053"/>
      <c r="O505" s="1055"/>
      <c r="P505" s="1055"/>
      <c r="Q505" s="1056"/>
      <c r="R505" s="1056"/>
    </row>
    <row r="506" ht="12.75" customHeight="1">
      <c r="A506" s="806">
        <v>1.0</v>
      </c>
      <c r="B506" s="1057" t="s">
        <v>7032</v>
      </c>
      <c r="C506" s="1058"/>
      <c r="D506" s="1173"/>
      <c r="E506" s="1059" t="s">
        <v>5810</v>
      </c>
      <c r="F506" s="1081" t="s">
        <v>7667</v>
      </c>
      <c r="G506" s="1193">
        <v>45242.0</v>
      </c>
      <c r="H506" s="806" t="s">
        <v>7153</v>
      </c>
      <c r="I506" s="1187"/>
      <c r="J506" s="810" t="s">
        <v>7161</v>
      </c>
      <c r="K506" s="810" t="s">
        <v>740</v>
      </c>
      <c r="L506" s="1133"/>
      <c r="M506" s="810" t="s">
        <v>7162</v>
      </c>
      <c r="N506" s="810" t="s">
        <v>7163</v>
      </c>
      <c r="O506" s="1187">
        <v>220330.0</v>
      </c>
      <c r="P506" s="1058"/>
      <c r="Q506" s="1061">
        <v>0.5</v>
      </c>
      <c r="R506" s="1061"/>
    </row>
    <row r="507" ht="12.75" customHeight="1">
      <c r="A507" s="806">
        <v>2.0</v>
      </c>
      <c r="B507" s="1057" t="s">
        <v>7033</v>
      </c>
      <c r="C507" s="1058"/>
      <c r="D507" s="1173"/>
      <c r="E507" s="1059" t="s">
        <v>5810</v>
      </c>
      <c r="F507" s="1081" t="s">
        <v>7667</v>
      </c>
      <c r="G507" s="1193">
        <v>45242.0</v>
      </c>
      <c r="H507" s="806" t="s">
        <v>7153</v>
      </c>
      <c r="I507" s="1187"/>
      <c r="J507" s="810" t="s">
        <v>7161</v>
      </c>
      <c r="K507" s="810" t="s">
        <v>740</v>
      </c>
      <c r="L507" s="1133"/>
      <c r="M507" s="810" t="s">
        <v>7162</v>
      </c>
      <c r="N507" s="810" t="s">
        <v>7163</v>
      </c>
      <c r="O507" s="1187">
        <v>220112.0</v>
      </c>
      <c r="P507" s="1058"/>
      <c r="Q507" s="1061">
        <v>0.5</v>
      </c>
      <c r="R507" s="1061"/>
    </row>
    <row r="508" ht="12.75" customHeight="1">
      <c r="A508" s="806">
        <v>3.0</v>
      </c>
      <c r="B508" s="1057" t="s">
        <v>7034</v>
      </c>
      <c r="C508" s="1058"/>
      <c r="D508" s="1173"/>
      <c r="E508" s="1059" t="s">
        <v>5810</v>
      </c>
      <c r="F508" s="1081" t="s">
        <v>7667</v>
      </c>
      <c r="G508" s="1193">
        <v>45242.0</v>
      </c>
      <c r="H508" s="806" t="s">
        <v>7153</v>
      </c>
      <c r="I508" s="1187"/>
      <c r="J508" s="810" t="s">
        <v>7161</v>
      </c>
      <c r="K508" s="810" t="s">
        <v>740</v>
      </c>
      <c r="L508" s="1133"/>
      <c r="M508" s="810" t="s">
        <v>7162</v>
      </c>
      <c r="N508" s="810" t="s">
        <v>7163</v>
      </c>
      <c r="O508" s="1187">
        <v>220511.0</v>
      </c>
      <c r="P508" s="1058"/>
      <c r="Q508" s="1061">
        <v>0.5</v>
      </c>
      <c r="R508" s="1061"/>
    </row>
    <row r="509" ht="12.75" customHeight="1">
      <c r="A509" s="806">
        <v>4.0</v>
      </c>
      <c r="B509" s="1057" t="s">
        <v>7035</v>
      </c>
      <c r="C509" s="1058"/>
      <c r="D509" s="1173"/>
      <c r="E509" s="1059" t="s">
        <v>5810</v>
      </c>
      <c r="F509" s="1081" t="s">
        <v>7667</v>
      </c>
      <c r="G509" s="1193">
        <v>45242.0</v>
      </c>
      <c r="H509" s="806" t="s">
        <v>7153</v>
      </c>
      <c r="I509" s="1187"/>
      <c r="J509" s="810" t="s">
        <v>7161</v>
      </c>
      <c r="K509" s="810" t="s">
        <v>740</v>
      </c>
      <c r="L509" s="1133"/>
      <c r="M509" s="810" t="s">
        <v>7162</v>
      </c>
      <c r="N509" s="810" t="s">
        <v>7163</v>
      </c>
      <c r="O509" s="1187">
        <v>220330.0</v>
      </c>
      <c r="P509" s="1058"/>
      <c r="Q509" s="1061">
        <v>0.5</v>
      </c>
      <c r="R509" s="1061"/>
    </row>
    <row r="510" ht="12.75" customHeight="1">
      <c r="A510" s="806">
        <v>5.0</v>
      </c>
      <c r="B510" s="1057" t="s">
        <v>7036</v>
      </c>
      <c r="C510" s="1058"/>
      <c r="D510" s="1173"/>
      <c r="E510" s="1059" t="s">
        <v>5810</v>
      </c>
      <c r="F510" s="1081" t="s">
        <v>7667</v>
      </c>
      <c r="G510" s="1193">
        <v>45396.0</v>
      </c>
      <c r="H510" s="806" t="s">
        <v>7153</v>
      </c>
      <c r="I510" s="1187"/>
      <c r="J510" s="810" t="s">
        <v>7161</v>
      </c>
      <c r="K510" s="810" t="s">
        <v>740</v>
      </c>
      <c r="L510" s="1133"/>
      <c r="M510" s="810" t="s">
        <v>7162</v>
      </c>
      <c r="N510" s="810" t="s">
        <v>7163</v>
      </c>
      <c r="O510" s="1187">
        <v>220317.0</v>
      </c>
      <c r="P510" s="1058"/>
      <c r="Q510" s="1061">
        <v>0.5</v>
      </c>
      <c r="R510" s="1061"/>
    </row>
    <row r="511" ht="12.75" customHeight="1">
      <c r="A511" s="806">
        <v>6.0</v>
      </c>
      <c r="B511" s="1057" t="s">
        <v>7037</v>
      </c>
      <c r="C511" s="1058"/>
      <c r="D511" s="1173"/>
      <c r="E511" s="1059" t="s">
        <v>5810</v>
      </c>
      <c r="F511" s="1081" t="s">
        <v>7667</v>
      </c>
      <c r="G511" s="1193">
        <v>45242.0</v>
      </c>
      <c r="H511" s="806" t="s">
        <v>7153</v>
      </c>
      <c r="I511" s="1187"/>
      <c r="J511" s="810" t="s">
        <v>7161</v>
      </c>
      <c r="K511" s="810" t="s">
        <v>740</v>
      </c>
      <c r="L511" s="1133"/>
      <c r="M511" s="810" t="s">
        <v>7162</v>
      </c>
      <c r="N511" s="810" t="s">
        <v>7163</v>
      </c>
      <c r="O511" s="1187">
        <v>220112.0</v>
      </c>
      <c r="P511" s="1058"/>
      <c r="Q511" s="1061">
        <v>0.5</v>
      </c>
      <c r="R511" s="1061"/>
    </row>
    <row r="512" ht="12.75" customHeight="1">
      <c r="A512" s="806"/>
      <c r="B512" s="1057"/>
      <c r="C512" s="1058"/>
      <c r="D512" s="1173"/>
      <c r="E512" s="1059"/>
      <c r="F512" s="1081"/>
      <c r="G512" s="1193"/>
      <c r="H512" s="806"/>
      <c r="I512" s="1187"/>
      <c r="J512" s="810"/>
      <c r="K512" s="810"/>
      <c r="L512" s="1133"/>
      <c r="M512" s="810"/>
      <c r="N512" s="810"/>
      <c r="O512" s="1187"/>
      <c r="P512" s="1058"/>
      <c r="Q512" s="1078"/>
      <c r="R512" s="1078"/>
    </row>
    <row r="513" ht="12.75" hidden="1" customHeight="1">
      <c r="A513" s="806"/>
      <c r="B513" s="1057"/>
      <c r="C513" s="1057" t="s">
        <v>7205</v>
      </c>
      <c r="D513" s="1173"/>
      <c r="E513" s="1059"/>
      <c r="F513" s="1081"/>
      <c r="G513" s="1193"/>
      <c r="H513" s="806"/>
      <c r="I513" s="1187"/>
      <c r="J513" s="810"/>
      <c r="K513" s="810"/>
      <c r="L513" s="1133"/>
      <c r="M513" s="810"/>
      <c r="N513" s="810"/>
      <c r="O513" s="1187"/>
      <c r="P513" s="1058"/>
      <c r="Q513" s="1078"/>
      <c r="R513" s="1078"/>
    </row>
    <row r="514" ht="20.25" customHeight="1">
      <c r="A514" s="791" t="s">
        <v>7668</v>
      </c>
      <c r="B514" s="1044" t="s">
        <v>7038</v>
      </c>
      <c r="C514" s="790">
        <f>$C$515+$C$522</f>
        <v>8</v>
      </c>
      <c r="D514" s="1045"/>
      <c r="E514" s="1045"/>
      <c r="F514" s="1046"/>
      <c r="G514" s="1046"/>
      <c r="H514" s="1046"/>
      <c r="I514" s="1045"/>
      <c r="J514" s="1046"/>
      <c r="K514" s="1046"/>
      <c r="L514" s="1045"/>
      <c r="M514" s="1046"/>
      <c r="N514" s="1046"/>
      <c r="O514" s="1045"/>
      <c r="P514" s="1045"/>
      <c r="Q514" s="1048"/>
      <c r="R514" s="1048"/>
    </row>
    <row r="515" ht="12.75" customHeight="1">
      <c r="A515" s="1049" t="s">
        <v>7669</v>
      </c>
      <c r="B515" s="1050" t="s">
        <v>7039</v>
      </c>
      <c r="C515" s="1051">
        <f>COUNTA($B$516:$B$521)</f>
        <v>4</v>
      </c>
      <c r="D515" s="1052"/>
      <c r="E515" s="1052"/>
      <c r="F515" s="1053"/>
      <c r="G515" s="1054"/>
      <c r="H515" s="1053"/>
      <c r="I515" s="1051"/>
      <c r="J515" s="1053"/>
      <c r="K515" s="1053"/>
      <c r="L515" s="1055"/>
      <c r="M515" s="1053"/>
      <c r="N515" s="1053"/>
      <c r="O515" s="1055"/>
      <c r="P515" s="1055"/>
      <c r="Q515" s="1056"/>
      <c r="R515" s="1056"/>
    </row>
    <row r="516" ht="12.75" customHeight="1">
      <c r="A516" s="806">
        <v>1.0</v>
      </c>
      <c r="B516" s="1057" t="s">
        <v>7040</v>
      </c>
      <c r="C516" s="1058"/>
      <c r="D516" s="1173"/>
      <c r="E516" s="1059" t="s">
        <v>5809</v>
      </c>
      <c r="F516" s="1081" t="s">
        <v>7670</v>
      </c>
      <c r="G516" s="1187"/>
      <c r="H516" s="806" t="s">
        <v>7153</v>
      </c>
      <c r="I516" s="1187"/>
      <c r="J516" s="810" t="s">
        <v>7671</v>
      </c>
      <c r="K516" s="810"/>
      <c r="L516" s="1133"/>
      <c r="M516" s="810" t="s">
        <v>7672</v>
      </c>
      <c r="N516" s="810" t="s">
        <v>7673</v>
      </c>
      <c r="O516" s="1187"/>
      <c r="P516" s="1058"/>
      <c r="Q516" s="1061">
        <v>1.0</v>
      </c>
      <c r="R516" s="1061"/>
    </row>
    <row r="517" ht="12.75" customHeight="1">
      <c r="A517" s="806">
        <v>2.0</v>
      </c>
      <c r="B517" s="1057" t="s">
        <v>7041</v>
      </c>
      <c r="C517" s="1058"/>
      <c r="D517" s="1173"/>
      <c r="E517" s="1059" t="s">
        <v>5809</v>
      </c>
      <c r="F517" s="1081" t="s">
        <v>7670</v>
      </c>
      <c r="G517" s="1080"/>
      <c r="H517" s="806" t="s">
        <v>7153</v>
      </c>
      <c r="I517" s="1080"/>
      <c r="J517" s="806" t="s">
        <v>7671</v>
      </c>
      <c r="K517" s="806"/>
      <c r="L517" s="1058"/>
      <c r="M517" s="806" t="s">
        <v>7672</v>
      </c>
      <c r="N517" s="806" t="s">
        <v>7673</v>
      </c>
      <c r="O517" s="1080"/>
      <c r="P517" s="1058"/>
      <c r="Q517" s="1061">
        <v>1.0</v>
      </c>
      <c r="R517" s="1061"/>
    </row>
    <row r="518" ht="12.75" customHeight="1">
      <c r="A518" s="806">
        <v>7.0</v>
      </c>
      <c r="B518" s="1057" t="s">
        <v>7042</v>
      </c>
      <c r="C518" s="1058"/>
      <c r="D518" s="1173"/>
      <c r="E518" s="1059" t="s">
        <v>5809</v>
      </c>
      <c r="F518" s="1081" t="s">
        <v>7670</v>
      </c>
      <c r="G518" s="1080"/>
      <c r="H518" s="806" t="s">
        <v>7153</v>
      </c>
      <c r="I518" s="1080"/>
      <c r="J518" s="806" t="s">
        <v>7674</v>
      </c>
      <c r="K518" s="806" t="s">
        <v>883</v>
      </c>
      <c r="L518" s="1058"/>
      <c r="M518" s="806" t="s">
        <v>7675</v>
      </c>
      <c r="N518" s="806" t="s">
        <v>7676</v>
      </c>
      <c r="O518" s="1080"/>
      <c r="P518" s="1058"/>
      <c r="Q518" s="1061">
        <v>1.0</v>
      </c>
      <c r="R518" s="1061"/>
    </row>
    <row r="519" ht="12.75" customHeight="1">
      <c r="A519" s="806">
        <v>8.0</v>
      </c>
      <c r="B519" s="1057" t="s">
        <v>7043</v>
      </c>
      <c r="C519" s="1058"/>
      <c r="D519" s="1173"/>
      <c r="E519" s="1059" t="s">
        <v>5809</v>
      </c>
      <c r="F519" s="1081" t="s">
        <v>7670</v>
      </c>
      <c r="G519" s="1080"/>
      <c r="H519" s="806" t="s">
        <v>7153</v>
      </c>
      <c r="I519" s="1080"/>
      <c r="J519" s="806" t="s">
        <v>7674</v>
      </c>
      <c r="K519" s="806" t="s">
        <v>883</v>
      </c>
      <c r="L519" s="1058"/>
      <c r="M519" s="806" t="s">
        <v>7675</v>
      </c>
      <c r="N519" s="806" t="s">
        <v>7676</v>
      </c>
      <c r="O519" s="1080"/>
      <c r="P519" s="1058"/>
      <c r="Q519" s="1061">
        <v>1.0</v>
      </c>
      <c r="R519" s="1061"/>
    </row>
    <row r="520" ht="12.75" customHeight="1">
      <c r="A520" s="818"/>
      <c r="B520" s="1194"/>
      <c r="C520" s="1195"/>
      <c r="D520" s="1059"/>
      <c r="E520" s="1059"/>
      <c r="F520" s="810"/>
      <c r="G520" s="1196"/>
      <c r="H520" s="810"/>
      <c r="I520" s="1197"/>
      <c r="J520" s="810"/>
      <c r="K520" s="810"/>
      <c r="L520" s="1133"/>
      <c r="M520" s="810"/>
      <c r="N520" s="810"/>
      <c r="O520" s="1198"/>
      <c r="P520" s="1133"/>
      <c r="Q520" s="1190"/>
      <c r="R520" s="1190"/>
    </row>
    <row r="521" ht="12.75" hidden="1" customHeight="1">
      <c r="A521" s="1049"/>
      <c r="B521" s="1050"/>
      <c r="C521" s="1057" t="s">
        <v>7205</v>
      </c>
      <c r="D521" s="1052"/>
      <c r="E521" s="1052"/>
      <c r="F521" s="1053"/>
      <c r="G521" s="1199"/>
      <c r="H521" s="1053"/>
      <c r="I521" s="1076"/>
      <c r="J521" s="1053"/>
      <c r="K521" s="1053"/>
      <c r="L521" s="1055"/>
      <c r="M521" s="1053"/>
      <c r="N521" s="1053"/>
      <c r="O521" s="1200"/>
      <c r="P521" s="1055"/>
      <c r="Q521" s="1056"/>
      <c r="R521" s="1056"/>
    </row>
    <row r="522" ht="12.75" customHeight="1">
      <c r="A522" s="1049" t="s">
        <v>7677</v>
      </c>
      <c r="B522" s="1050" t="s">
        <v>7044</v>
      </c>
      <c r="C522" s="1051">
        <f>COUNTA($B$523:$B$528)</f>
        <v>4</v>
      </c>
      <c r="D522" s="1052"/>
      <c r="E522" s="1052"/>
      <c r="F522" s="1053"/>
      <c r="G522" s="1054"/>
      <c r="H522" s="1053"/>
      <c r="I522" s="1051"/>
      <c r="J522" s="1053"/>
      <c r="K522" s="1053"/>
      <c r="L522" s="1055"/>
      <c r="M522" s="1053"/>
      <c r="N522" s="1053"/>
      <c r="O522" s="1055"/>
      <c r="P522" s="1055"/>
      <c r="Q522" s="1056"/>
      <c r="R522" s="1056"/>
    </row>
    <row r="523" ht="12.75" customHeight="1">
      <c r="A523" s="806">
        <v>3.0</v>
      </c>
      <c r="B523" s="1057" t="s">
        <v>7045</v>
      </c>
      <c r="C523" s="1058"/>
      <c r="D523" s="1173"/>
      <c r="E523" s="1059" t="s">
        <v>5810</v>
      </c>
      <c r="F523" s="1081" t="s">
        <v>7044</v>
      </c>
      <c r="G523" s="1080"/>
      <c r="H523" s="806" t="s">
        <v>7153</v>
      </c>
      <c r="I523" s="1080" t="s">
        <v>4462</v>
      </c>
      <c r="J523" s="806" t="s">
        <v>1093</v>
      </c>
      <c r="K523" s="806"/>
      <c r="L523" s="1058"/>
      <c r="M523" s="806" t="s">
        <v>7210</v>
      </c>
      <c r="N523" s="806" t="s">
        <v>7211</v>
      </c>
      <c r="O523" s="1080"/>
      <c r="P523" s="1058"/>
      <c r="Q523" s="1061">
        <v>0.5</v>
      </c>
      <c r="R523" s="1061"/>
    </row>
    <row r="524" ht="12.75" customHeight="1">
      <c r="A524" s="806">
        <v>4.0</v>
      </c>
      <c r="B524" s="1057" t="s">
        <v>7046</v>
      </c>
      <c r="C524" s="1058"/>
      <c r="D524" s="1173"/>
      <c r="E524" s="1059" t="s">
        <v>5810</v>
      </c>
      <c r="F524" s="1081" t="s">
        <v>7044</v>
      </c>
      <c r="G524" s="1080"/>
      <c r="H524" s="806" t="s">
        <v>7153</v>
      </c>
      <c r="I524" s="1080" t="s">
        <v>4462</v>
      </c>
      <c r="J524" s="806" t="s">
        <v>1093</v>
      </c>
      <c r="K524" s="806"/>
      <c r="L524" s="1058"/>
      <c r="M524" s="806" t="s">
        <v>7210</v>
      </c>
      <c r="N524" s="806" t="s">
        <v>7211</v>
      </c>
      <c r="O524" s="1080"/>
      <c r="P524" s="1058"/>
      <c r="Q524" s="1061">
        <v>0.5</v>
      </c>
      <c r="R524" s="1061"/>
    </row>
    <row r="525" ht="12.75" customHeight="1">
      <c r="A525" s="806">
        <v>5.0</v>
      </c>
      <c r="B525" s="1057" t="s">
        <v>7047</v>
      </c>
      <c r="C525" s="1058"/>
      <c r="D525" s="1173"/>
      <c r="E525" s="1059" t="s">
        <v>5810</v>
      </c>
      <c r="F525" s="1081" t="s">
        <v>7044</v>
      </c>
      <c r="G525" s="1080"/>
      <c r="H525" s="806" t="s">
        <v>7153</v>
      </c>
      <c r="I525" s="1080" t="s">
        <v>4312</v>
      </c>
      <c r="J525" s="806" t="s">
        <v>1093</v>
      </c>
      <c r="K525" s="806"/>
      <c r="L525" s="1058"/>
      <c r="M525" s="806" t="s">
        <v>7210</v>
      </c>
      <c r="N525" s="806" t="s">
        <v>7211</v>
      </c>
      <c r="O525" s="1080"/>
      <c r="P525" s="1058"/>
      <c r="Q525" s="1061">
        <v>0.5</v>
      </c>
      <c r="R525" s="1061"/>
    </row>
    <row r="526" ht="12.75" customHeight="1">
      <c r="A526" s="806">
        <v>6.0</v>
      </c>
      <c r="B526" s="1057" t="s">
        <v>7048</v>
      </c>
      <c r="C526" s="1058"/>
      <c r="D526" s="1173"/>
      <c r="E526" s="1059" t="s">
        <v>5810</v>
      </c>
      <c r="F526" s="1081" t="s">
        <v>7044</v>
      </c>
      <c r="G526" s="1080"/>
      <c r="H526" s="806" t="s">
        <v>7153</v>
      </c>
      <c r="I526" s="1080" t="s">
        <v>5046</v>
      </c>
      <c r="J526" s="806" t="s">
        <v>1093</v>
      </c>
      <c r="K526" s="806"/>
      <c r="L526" s="1058"/>
      <c r="M526" s="806" t="s">
        <v>7210</v>
      </c>
      <c r="N526" s="806" t="s">
        <v>7211</v>
      </c>
      <c r="O526" s="1080"/>
      <c r="P526" s="1058"/>
      <c r="Q526" s="1061">
        <v>0.5</v>
      </c>
      <c r="R526" s="1061"/>
    </row>
    <row r="527" ht="12.75" customHeight="1">
      <c r="A527" s="806"/>
      <c r="B527" s="1057"/>
      <c r="C527" s="1058"/>
      <c r="D527" s="1173"/>
      <c r="E527" s="1059"/>
      <c r="F527" s="1081"/>
      <c r="G527" s="1080"/>
      <c r="H527" s="806"/>
      <c r="I527" s="1080"/>
      <c r="J527" s="806"/>
      <c r="K527" s="806"/>
      <c r="L527" s="1058"/>
      <c r="M527" s="806"/>
      <c r="N527" s="806"/>
      <c r="O527" s="1080"/>
      <c r="P527" s="1058"/>
      <c r="Q527" s="1078"/>
      <c r="R527" s="1078"/>
    </row>
    <row r="528" ht="12.75" hidden="1" customHeight="1">
      <c r="A528" s="806"/>
      <c r="B528" s="1057"/>
      <c r="C528" s="1057" t="s">
        <v>7205</v>
      </c>
      <c r="D528" s="1173"/>
      <c r="E528" s="1059"/>
      <c r="F528" s="1081"/>
      <c r="G528" s="1080"/>
      <c r="H528" s="806"/>
      <c r="I528" s="1080"/>
      <c r="J528" s="806"/>
      <c r="K528" s="806"/>
      <c r="L528" s="1058"/>
      <c r="M528" s="806"/>
      <c r="N528" s="806"/>
      <c r="O528" s="1080"/>
      <c r="P528" s="1058"/>
      <c r="Q528" s="1078"/>
      <c r="R528" s="1078"/>
    </row>
    <row r="529" ht="20.25" customHeight="1">
      <c r="A529" s="790"/>
      <c r="B529" s="1044" t="s">
        <v>38</v>
      </c>
      <c r="C529" s="790">
        <f>$C$514+$C$316+$C$217+$C$3</f>
        <v>442</v>
      </c>
      <c r="D529" s="1045"/>
      <c r="E529" s="1045"/>
      <c r="F529" s="1046"/>
      <c r="G529" s="1046"/>
      <c r="H529" s="1046"/>
      <c r="I529" s="1045"/>
      <c r="J529" s="1046"/>
      <c r="K529" s="1046"/>
      <c r="L529" s="1045"/>
      <c r="M529" s="1046"/>
      <c r="N529" s="1046"/>
      <c r="O529" s="1045"/>
      <c r="P529" s="1045"/>
      <c r="Q529" s="1048"/>
      <c r="R529" s="1048"/>
    </row>
    <row r="530" ht="26.25" customHeight="1">
      <c r="A530" s="1201" t="s">
        <v>7678</v>
      </c>
      <c r="D530" s="1202"/>
      <c r="E530" s="1202"/>
      <c r="F530" s="1202"/>
      <c r="G530" s="1202"/>
      <c r="H530" s="1202"/>
      <c r="I530" s="1202"/>
      <c r="J530" s="1202"/>
      <c r="K530" s="1202"/>
      <c r="L530" s="1202"/>
      <c r="M530" s="1202"/>
      <c r="N530" s="1202"/>
      <c r="O530" s="1202"/>
      <c r="P530" s="1202"/>
      <c r="Q530" s="1202"/>
      <c r="R530" s="1202"/>
    </row>
    <row r="531" ht="12.75" customHeight="1">
      <c r="A531" s="1049" t="s">
        <v>3228</v>
      </c>
      <c r="B531" s="1050" t="s">
        <v>38</v>
      </c>
      <c r="C531" s="1051">
        <f>COUNTA(F532:F798)</f>
        <v>265</v>
      </c>
      <c r="D531" s="1052"/>
      <c r="E531" s="1052"/>
      <c r="F531" s="1053"/>
      <c r="G531" s="1054"/>
      <c r="H531" s="1053"/>
      <c r="I531" s="1051"/>
      <c r="J531" s="1053"/>
      <c r="K531" s="1053"/>
      <c r="L531" s="1055"/>
      <c r="M531" s="1053"/>
      <c r="N531" s="1053"/>
      <c r="O531" s="1055"/>
      <c r="P531" s="1055"/>
      <c r="Q531" s="1056"/>
      <c r="R531" s="1056"/>
    </row>
    <row r="532" ht="12.75" customHeight="1">
      <c r="A532" s="1203">
        <v>1.0</v>
      </c>
      <c r="B532" s="1204" t="s">
        <v>7679</v>
      </c>
      <c r="C532" s="1205"/>
      <c r="D532" s="1206"/>
      <c r="E532" s="1207" t="s">
        <v>5810</v>
      </c>
      <c r="F532" s="1203" t="s">
        <v>2963</v>
      </c>
      <c r="G532" s="1203" t="s">
        <v>7680</v>
      </c>
      <c r="H532" s="1203" t="s">
        <v>1120</v>
      </c>
      <c r="I532" s="1205"/>
      <c r="J532" s="1203" t="s">
        <v>7161</v>
      </c>
      <c r="K532" s="1203" t="s">
        <v>740</v>
      </c>
      <c r="L532" s="1205"/>
      <c r="M532" s="1203" t="s">
        <v>7162</v>
      </c>
      <c r="N532" s="1203" t="s">
        <v>7163</v>
      </c>
      <c r="O532" s="1205"/>
      <c r="P532" s="1205"/>
      <c r="Q532" s="1208">
        <v>0.5</v>
      </c>
      <c r="R532" s="1208"/>
    </row>
    <row r="533" ht="12.75" customHeight="1">
      <c r="A533" s="1209">
        <v>2.0</v>
      </c>
      <c r="B533" s="1210" t="s">
        <v>7681</v>
      </c>
      <c r="C533" s="1211"/>
      <c r="D533" s="1212"/>
      <c r="E533" s="1207" t="s">
        <v>5810</v>
      </c>
      <c r="F533" s="1203" t="s">
        <v>2963</v>
      </c>
      <c r="G533" s="1203" t="s">
        <v>7680</v>
      </c>
      <c r="H533" s="1209" t="s">
        <v>1120</v>
      </c>
      <c r="I533" s="1211"/>
      <c r="J533" s="1209" t="s">
        <v>7161</v>
      </c>
      <c r="K533" s="1209" t="s">
        <v>740</v>
      </c>
      <c r="L533" s="1211"/>
      <c r="M533" s="1209" t="s">
        <v>7162</v>
      </c>
      <c r="N533" s="1209" t="s">
        <v>7163</v>
      </c>
      <c r="O533" s="1211"/>
      <c r="P533" s="1211"/>
      <c r="Q533" s="1208">
        <v>0.5</v>
      </c>
      <c r="R533" s="1208"/>
    </row>
    <row r="534" ht="12.75" customHeight="1">
      <c r="A534" s="1203">
        <v>3.0</v>
      </c>
      <c r="B534" s="1210" t="s">
        <v>7682</v>
      </c>
      <c r="C534" s="1211"/>
      <c r="D534" s="1212"/>
      <c r="E534" s="1207" t="s">
        <v>5810</v>
      </c>
      <c r="F534" s="1203" t="s">
        <v>2963</v>
      </c>
      <c r="G534" s="1203" t="s">
        <v>7680</v>
      </c>
      <c r="H534" s="1209" t="s">
        <v>1120</v>
      </c>
      <c r="I534" s="1211"/>
      <c r="J534" s="1209" t="s">
        <v>7161</v>
      </c>
      <c r="K534" s="1209" t="s">
        <v>740</v>
      </c>
      <c r="L534" s="1211"/>
      <c r="M534" s="1209" t="s">
        <v>7162</v>
      </c>
      <c r="N534" s="1209" t="s">
        <v>7163</v>
      </c>
      <c r="O534" s="1211"/>
      <c r="P534" s="1211"/>
      <c r="Q534" s="1208">
        <v>0.5</v>
      </c>
      <c r="R534" s="1208"/>
    </row>
    <row r="535" ht="12.75" customHeight="1">
      <c r="A535" s="1209">
        <v>4.0</v>
      </c>
      <c r="B535" s="1210" t="s">
        <v>7683</v>
      </c>
      <c r="C535" s="1211"/>
      <c r="D535" s="1212"/>
      <c r="E535" s="1207" t="s">
        <v>5810</v>
      </c>
      <c r="F535" s="1203" t="s">
        <v>2963</v>
      </c>
      <c r="G535" s="1203" t="s">
        <v>7680</v>
      </c>
      <c r="H535" s="1209" t="s">
        <v>1120</v>
      </c>
      <c r="I535" s="1210"/>
      <c r="J535" s="1209" t="s">
        <v>7161</v>
      </c>
      <c r="K535" s="1209" t="s">
        <v>740</v>
      </c>
      <c r="L535" s="1211"/>
      <c r="M535" s="1209" t="s">
        <v>7162</v>
      </c>
      <c r="N535" s="1209" t="s">
        <v>7163</v>
      </c>
      <c r="O535" s="1211"/>
      <c r="P535" s="1211"/>
      <c r="Q535" s="1208">
        <v>0.5</v>
      </c>
      <c r="R535" s="1208"/>
    </row>
    <row r="536" ht="12.75" customHeight="1">
      <c r="A536" s="1203">
        <v>5.0</v>
      </c>
      <c r="B536" s="1210" t="s">
        <v>7684</v>
      </c>
      <c r="C536" s="1211"/>
      <c r="D536" s="1212"/>
      <c r="E536" s="1207" t="s">
        <v>5810</v>
      </c>
      <c r="F536" s="1203" t="s">
        <v>2963</v>
      </c>
      <c r="G536" s="1203" t="s">
        <v>7680</v>
      </c>
      <c r="H536" s="1209" t="s">
        <v>1120</v>
      </c>
      <c r="I536" s="1211"/>
      <c r="J536" s="1209" t="s">
        <v>7161</v>
      </c>
      <c r="K536" s="1209" t="s">
        <v>740</v>
      </c>
      <c r="L536" s="1211"/>
      <c r="M536" s="1209" t="s">
        <v>7162</v>
      </c>
      <c r="N536" s="1209" t="s">
        <v>7163</v>
      </c>
      <c r="O536" s="1211"/>
      <c r="P536" s="1211"/>
      <c r="Q536" s="1208">
        <v>0.5</v>
      </c>
      <c r="R536" s="1208"/>
    </row>
    <row r="537" ht="12.75" customHeight="1">
      <c r="A537" s="1209">
        <v>6.0</v>
      </c>
      <c r="B537" s="1210" t="s">
        <v>7685</v>
      </c>
      <c r="C537" s="1211"/>
      <c r="D537" s="1212"/>
      <c r="E537" s="1207" t="s">
        <v>5810</v>
      </c>
      <c r="F537" s="1203" t="s">
        <v>2963</v>
      </c>
      <c r="G537" s="1203" t="s">
        <v>7680</v>
      </c>
      <c r="H537" s="1209" t="s">
        <v>1120</v>
      </c>
      <c r="I537" s="1210"/>
      <c r="J537" s="1209" t="s">
        <v>7161</v>
      </c>
      <c r="K537" s="1209" t="s">
        <v>740</v>
      </c>
      <c r="L537" s="1211"/>
      <c r="M537" s="1209" t="s">
        <v>7162</v>
      </c>
      <c r="N537" s="1209" t="s">
        <v>7163</v>
      </c>
      <c r="O537" s="1211"/>
      <c r="P537" s="1211"/>
      <c r="Q537" s="1208">
        <v>0.5</v>
      </c>
      <c r="R537" s="1208"/>
    </row>
    <row r="538" ht="12.75" customHeight="1">
      <c r="A538" s="1203">
        <v>7.0</v>
      </c>
      <c r="B538" s="1210" t="s">
        <v>7686</v>
      </c>
      <c r="C538" s="1211"/>
      <c r="D538" s="1212"/>
      <c r="E538" s="1207" t="s">
        <v>5810</v>
      </c>
      <c r="F538" s="1203" t="s">
        <v>2963</v>
      </c>
      <c r="G538" s="1203" t="s">
        <v>7680</v>
      </c>
      <c r="H538" s="1209" t="s">
        <v>1120</v>
      </c>
      <c r="I538" s="1210"/>
      <c r="J538" s="1209" t="s">
        <v>7161</v>
      </c>
      <c r="K538" s="1209" t="s">
        <v>740</v>
      </c>
      <c r="L538" s="1211"/>
      <c r="M538" s="1209" t="s">
        <v>7162</v>
      </c>
      <c r="N538" s="1209" t="s">
        <v>7163</v>
      </c>
      <c r="O538" s="1211"/>
      <c r="P538" s="1211"/>
      <c r="Q538" s="1208">
        <v>0.5</v>
      </c>
      <c r="R538" s="1208"/>
    </row>
    <row r="539" ht="12.75" customHeight="1">
      <c r="A539" s="1209">
        <v>8.0</v>
      </c>
      <c r="B539" s="1210" t="s">
        <v>7687</v>
      </c>
      <c r="C539" s="1211"/>
      <c r="D539" s="1212"/>
      <c r="E539" s="1207" t="s">
        <v>5810</v>
      </c>
      <c r="F539" s="1203" t="s">
        <v>2963</v>
      </c>
      <c r="G539" s="1203" t="s">
        <v>7680</v>
      </c>
      <c r="H539" s="1209" t="s">
        <v>1120</v>
      </c>
      <c r="I539" s="1211"/>
      <c r="J539" s="1209" t="s">
        <v>7161</v>
      </c>
      <c r="K539" s="1209" t="s">
        <v>740</v>
      </c>
      <c r="L539" s="1211"/>
      <c r="M539" s="1209" t="s">
        <v>7162</v>
      </c>
      <c r="N539" s="1209" t="s">
        <v>7163</v>
      </c>
      <c r="O539" s="1211"/>
      <c r="P539" s="1211"/>
      <c r="Q539" s="1208">
        <v>0.5</v>
      </c>
      <c r="R539" s="1208"/>
    </row>
    <row r="540" ht="12.75" customHeight="1">
      <c r="A540" s="1203">
        <v>9.0</v>
      </c>
      <c r="B540" s="1210" t="s">
        <v>7688</v>
      </c>
      <c r="C540" s="1211"/>
      <c r="D540" s="1212"/>
      <c r="E540" s="1207" t="s">
        <v>5810</v>
      </c>
      <c r="F540" s="1203" t="s">
        <v>2963</v>
      </c>
      <c r="G540" s="1203" t="s">
        <v>7680</v>
      </c>
      <c r="H540" s="1209" t="s">
        <v>1120</v>
      </c>
      <c r="I540" s="1210"/>
      <c r="J540" s="1209" t="s">
        <v>7161</v>
      </c>
      <c r="K540" s="1209" t="s">
        <v>740</v>
      </c>
      <c r="L540" s="1211"/>
      <c r="M540" s="1209" t="s">
        <v>7162</v>
      </c>
      <c r="N540" s="1209" t="s">
        <v>7163</v>
      </c>
      <c r="O540" s="1211"/>
      <c r="P540" s="1211"/>
      <c r="Q540" s="1208">
        <v>0.5</v>
      </c>
      <c r="R540" s="1208"/>
    </row>
    <row r="541" ht="12.75" customHeight="1">
      <c r="A541" s="1209">
        <v>10.0</v>
      </c>
      <c r="B541" s="1210" t="s">
        <v>7689</v>
      </c>
      <c r="C541" s="1211"/>
      <c r="D541" s="1212"/>
      <c r="E541" s="1207" t="s">
        <v>5810</v>
      </c>
      <c r="F541" s="1203" t="s">
        <v>2963</v>
      </c>
      <c r="G541" s="1203" t="s">
        <v>7680</v>
      </c>
      <c r="H541" s="1209" t="s">
        <v>1120</v>
      </c>
      <c r="I541" s="1210"/>
      <c r="J541" s="1209" t="s">
        <v>7161</v>
      </c>
      <c r="K541" s="1209" t="s">
        <v>740</v>
      </c>
      <c r="L541" s="1211"/>
      <c r="M541" s="1209" t="s">
        <v>7162</v>
      </c>
      <c r="N541" s="1209" t="s">
        <v>7163</v>
      </c>
      <c r="O541" s="1211"/>
      <c r="P541" s="1211"/>
      <c r="Q541" s="1208">
        <v>0.5</v>
      </c>
      <c r="R541" s="1208"/>
    </row>
    <row r="542" ht="12.75" customHeight="1">
      <c r="A542" s="1203">
        <v>11.0</v>
      </c>
      <c r="B542" s="1210" t="s">
        <v>7690</v>
      </c>
      <c r="C542" s="1211"/>
      <c r="D542" s="1212"/>
      <c r="E542" s="1207" t="s">
        <v>5810</v>
      </c>
      <c r="F542" s="1203" t="s">
        <v>2963</v>
      </c>
      <c r="G542" s="1203" t="s">
        <v>7680</v>
      </c>
      <c r="H542" s="1209" t="s">
        <v>1120</v>
      </c>
      <c r="I542" s="1211"/>
      <c r="J542" s="1209" t="s">
        <v>7161</v>
      </c>
      <c r="K542" s="1209" t="s">
        <v>740</v>
      </c>
      <c r="L542" s="1211"/>
      <c r="M542" s="1209" t="s">
        <v>7162</v>
      </c>
      <c r="N542" s="1209" t="s">
        <v>7163</v>
      </c>
      <c r="O542" s="1211"/>
      <c r="P542" s="1211"/>
      <c r="Q542" s="1208">
        <v>0.5</v>
      </c>
      <c r="R542" s="1208"/>
    </row>
    <row r="543" ht="12.75" customHeight="1">
      <c r="A543" s="1209">
        <v>12.0</v>
      </c>
      <c r="B543" s="1210" t="s">
        <v>7691</v>
      </c>
      <c r="C543" s="1211"/>
      <c r="D543" s="1212"/>
      <c r="E543" s="1207" t="s">
        <v>5810</v>
      </c>
      <c r="F543" s="1203" t="s">
        <v>2963</v>
      </c>
      <c r="G543" s="1203" t="s">
        <v>7680</v>
      </c>
      <c r="H543" s="1209" t="s">
        <v>1120</v>
      </c>
      <c r="I543" s="1211"/>
      <c r="J543" s="1209" t="s">
        <v>7161</v>
      </c>
      <c r="K543" s="1209" t="s">
        <v>740</v>
      </c>
      <c r="L543" s="1211"/>
      <c r="M543" s="1209" t="s">
        <v>7162</v>
      </c>
      <c r="N543" s="1209" t="s">
        <v>7163</v>
      </c>
      <c r="O543" s="1211"/>
      <c r="P543" s="1211"/>
      <c r="Q543" s="1208">
        <v>0.5</v>
      </c>
      <c r="R543" s="1208"/>
    </row>
    <row r="544" ht="12.75" customHeight="1">
      <c r="A544" s="1203">
        <v>13.0</v>
      </c>
      <c r="B544" s="1210" t="s">
        <v>7692</v>
      </c>
      <c r="C544" s="1212" t="s">
        <v>7693</v>
      </c>
      <c r="D544" s="1212"/>
      <c r="E544" s="1207" t="s">
        <v>5810</v>
      </c>
      <c r="F544" s="1203" t="s">
        <v>2963</v>
      </c>
      <c r="G544" s="1209" t="s">
        <v>3668</v>
      </c>
      <c r="H544" s="1209" t="s">
        <v>1010</v>
      </c>
      <c r="I544" s="1211"/>
      <c r="J544" s="1209" t="s">
        <v>7161</v>
      </c>
      <c r="K544" s="1209" t="s">
        <v>740</v>
      </c>
      <c r="L544" s="1211"/>
      <c r="M544" s="1209" t="s">
        <v>7162</v>
      </c>
      <c r="N544" s="1209" t="s">
        <v>7163</v>
      </c>
      <c r="O544" s="1211"/>
      <c r="P544" s="1211"/>
      <c r="Q544" s="1208">
        <v>0.5</v>
      </c>
      <c r="R544" s="1208"/>
    </row>
    <row r="545" ht="12.75" customHeight="1">
      <c r="A545" s="1209">
        <v>14.0</v>
      </c>
      <c r="B545" s="1210" t="s">
        <v>7695</v>
      </c>
      <c r="C545" s="1212" t="s">
        <v>7696</v>
      </c>
      <c r="D545" s="1212"/>
      <c r="E545" s="1207" t="s">
        <v>5810</v>
      </c>
      <c r="F545" s="1203" t="s">
        <v>2963</v>
      </c>
      <c r="G545" s="1209" t="s">
        <v>3668</v>
      </c>
      <c r="H545" s="1209" t="s">
        <v>1010</v>
      </c>
      <c r="I545" s="1211"/>
      <c r="J545" s="1209" t="s">
        <v>7161</v>
      </c>
      <c r="K545" s="1209" t="s">
        <v>740</v>
      </c>
      <c r="L545" s="1211"/>
      <c r="M545" s="1209" t="s">
        <v>7162</v>
      </c>
      <c r="N545" s="1209" t="s">
        <v>7163</v>
      </c>
      <c r="O545" s="1211"/>
      <c r="P545" s="1211"/>
      <c r="Q545" s="1208">
        <v>0.5</v>
      </c>
      <c r="R545" s="1208"/>
    </row>
    <row r="546" ht="12.75" customHeight="1">
      <c r="A546" s="1203">
        <v>15.0</v>
      </c>
      <c r="B546" s="1210" t="s">
        <v>7697</v>
      </c>
      <c r="C546" s="1212" t="s">
        <v>7698</v>
      </c>
      <c r="D546" s="1212"/>
      <c r="E546" s="1207" t="s">
        <v>5810</v>
      </c>
      <c r="F546" s="1203" t="s">
        <v>2963</v>
      </c>
      <c r="G546" s="1209" t="s">
        <v>3668</v>
      </c>
      <c r="H546" s="1209" t="s">
        <v>1010</v>
      </c>
      <c r="I546" s="1211"/>
      <c r="J546" s="1209" t="s">
        <v>7161</v>
      </c>
      <c r="K546" s="1209" t="s">
        <v>740</v>
      </c>
      <c r="L546" s="1211"/>
      <c r="M546" s="1209" t="s">
        <v>7162</v>
      </c>
      <c r="N546" s="1209" t="s">
        <v>7163</v>
      </c>
      <c r="O546" s="1211"/>
      <c r="P546" s="1211"/>
      <c r="Q546" s="1208">
        <v>0.5</v>
      </c>
      <c r="R546" s="1208"/>
    </row>
    <row r="547" ht="12.75" customHeight="1">
      <c r="A547" s="1209">
        <v>16.0</v>
      </c>
      <c r="B547" s="1210" t="s">
        <v>7699</v>
      </c>
      <c r="C547" s="1212" t="s">
        <v>7700</v>
      </c>
      <c r="D547" s="1212"/>
      <c r="E547" s="1207" t="s">
        <v>5810</v>
      </c>
      <c r="F547" s="1203" t="s">
        <v>2963</v>
      </c>
      <c r="G547" s="1209" t="s">
        <v>3668</v>
      </c>
      <c r="H547" s="1209" t="s">
        <v>1010</v>
      </c>
      <c r="I547" s="1210"/>
      <c r="J547" s="1209" t="s">
        <v>7161</v>
      </c>
      <c r="K547" s="1209" t="s">
        <v>740</v>
      </c>
      <c r="L547" s="1211"/>
      <c r="M547" s="1209" t="s">
        <v>7162</v>
      </c>
      <c r="N547" s="1209" t="s">
        <v>7163</v>
      </c>
      <c r="O547" s="1211"/>
      <c r="P547" s="1211"/>
      <c r="Q547" s="1208">
        <v>0.5</v>
      </c>
      <c r="R547" s="1208"/>
    </row>
    <row r="548" ht="12.75" customHeight="1">
      <c r="A548" s="1203">
        <v>17.0</v>
      </c>
      <c r="B548" s="1210" t="s">
        <v>7701</v>
      </c>
      <c r="C548" s="1212" t="s">
        <v>7702</v>
      </c>
      <c r="D548" s="1212"/>
      <c r="E548" s="1207" t="s">
        <v>5810</v>
      </c>
      <c r="F548" s="1203" t="s">
        <v>2963</v>
      </c>
      <c r="G548" s="1209" t="s">
        <v>3668</v>
      </c>
      <c r="H548" s="1209" t="s">
        <v>1010</v>
      </c>
      <c r="I548" s="1211"/>
      <c r="J548" s="1209" t="s">
        <v>7161</v>
      </c>
      <c r="K548" s="1209" t="s">
        <v>740</v>
      </c>
      <c r="L548" s="1211"/>
      <c r="M548" s="1209" t="s">
        <v>7162</v>
      </c>
      <c r="N548" s="1209" t="s">
        <v>7163</v>
      </c>
      <c r="O548" s="1211"/>
      <c r="P548" s="1211"/>
      <c r="Q548" s="1208">
        <v>0.5</v>
      </c>
      <c r="R548" s="1208"/>
    </row>
    <row r="549" ht="12.75" customHeight="1">
      <c r="A549" s="1209">
        <v>18.0</v>
      </c>
      <c r="B549" s="1210" t="s">
        <v>7703</v>
      </c>
      <c r="C549" s="1210"/>
      <c r="D549" s="1211"/>
      <c r="E549" s="1207" t="s">
        <v>5810</v>
      </c>
      <c r="F549" s="1203" t="s">
        <v>2963</v>
      </c>
      <c r="G549" s="1209" t="s">
        <v>3668</v>
      </c>
      <c r="H549" s="1209" t="s">
        <v>1010</v>
      </c>
      <c r="I549" s="1210"/>
      <c r="J549" s="1209" t="s">
        <v>7161</v>
      </c>
      <c r="K549" s="1209" t="s">
        <v>740</v>
      </c>
      <c r="L549" s="1211"/>
      <c r="M549" s="1209" t="s">
        <v>7162</v>
      </c>
      <c r="N549" s="1209" t="s">
        <v>7163</v>
      </c>
      <c r="O549" s="1211"/>
      <c r="P549" s="1211"/>
      <c r="Q549" s="1208">
        <v>0.5</v>
      </c>
      <c r="R549" s="1208"/>
    </row>
    <row r="550" ht="12.75" customHeight="1">
      <c r="A550" s="1209">
        <v>6.0</v>
      </c>
      <c r="B550" s="1210" t="s">
        <v>7704</v>
      </c>
      <c r="C550" s="1211"/>
      <c r="D550" s="1212"/>
      <c r="E550" s="1207" t="s">
        <v>5810</v>
      </c>
      <c r="F550" s="1203" t="s">
        <v>2963</v>
      </c>
      <c r="G550" s="1213"/>
      <c r="H550" s="1209" t="s">
        <v>858</v>
      </c>
      <c r="I550" s="1211"/>
      <c r="J550" s="1209" t="s">
        <v>7161</v>
      </c>
      <c r="K550" s="1209" t="s">
        <v>740</v>
      </c>
      <c r="L550" s="1211"/>
      <c r="M550" s="1209" t="s">
        <v>7162</v>
      </c>
      <c r="N550" s="1209" t="s">
        <v>7163</v>
      </c>
      <c r="O550" s="1211"/>
      <c r="P550" s="1211"/>
      <c r="Q550" s="1208">
        <v>0.5</v>
      </c>
      <c r="R550" s="1208"/>
    </row>
    <row r="551" ht="12.75" customHeight="1">
      <c r="A551" s="1209">
        <v>7.0</v>
      </c>
      <c r="B551" s="1210" t="s">
        <v>7705</v>
      </c>
      <c r="C551" s="1211"/>
      <c r="D551" s="1212"/>
      <c r="E551" s="1207" t="s">
        <v>5810</v>
      </c>
      <c r="F551" s="1203" t="s">
        <v>2963</v>
      </c>
      <c r="G551" s="1213"/>
      <c r="H551" s="1209" t="s">
        <v>858</v>
      </c>
      <c r="I551" s="1211"/>
      <c r="J551" s="1209" t="s">
        <v>7161</v>
      </c>
      <c r="K551" s="1209" t="s">
        <v>740</v>
      </c>
      <c r="L551" s="1211"/>
      <c r="M551" s="1209" t="s">
        <v>7162</v>
      </c>
      <c r="N551" s="1209" t="s">
        <v>7163</v>
      </c>
      <c r="O551" s="1211"/>
      <c r="P551" s="1211"/>
      <c r="Q551" s="1208">
        <v>0.5</v>
      </c>
      <c r="R551" s="1208"/>
    </row>
    <row r="552" ht="12.75" customHeight="1">
      <c r="A552" s="1209">
        <v>8.0</v>
      </c>
      <c r="B552" s="1210" t="s">
        <v>7706</v>
      </c>
      <c r="C552" s="1211"/>
      <c r="D552" s="1212"/>
      <c r="E552" s="1207" t="s">
        <v>5810</v>
      </c>
      <c r="F552" s="1203" t="s">
        <v>2963</v>
      </c>
      <c r="G552" s="1213"/>
      <c r="H552" s="1209" t="s">
        <v>858</v>
      </c>
      <c r="I552" s="1211"/>
      <c r="J552" s="1209" t="s">
        <v>7161</v>
      </c>
      <c r="K552" s="1209" t="s">
        <v>740</v>
      </c>
      <c r="L552" s="1211"/>
      <c r="M552" s="1209" t="s">
        <v>7162</v>
      </c>
      <c r="N552" s="1209" t="s">
        <v>7163</v>
      </c>
      <c r="O552" s="1211"/>
      <c r="P552" s="1211"/>
      <c r="Q552" s="1208">
        <v>0.5</v>
      </c>
      <c r="R552" s="1208"/>
    </row>
    <row r="553" ht="12.75" customHeight="1">
      <c r="A553" s="1209">
        <v>9.0</v>
      </c>
      <c r="B553" s="1210" t="s">
        <v>7707</v>
      </c>
      <c r="C553" s="1211"/>
      <c r="D553" s="1212"/>
      <c r="E553" s="1207" t="s">
        <v>5810</v>
      </c>
      <c r="F553" s="1203" t="s">
        <v>2963</v>
      </c>
      <c r="G553" s="1213"/>
      <c r="H553" s="1209" t="s">
        <v>858</v>
      </c>
      <c r="I553" s="1211"/>
      <c r="J553" s="1209" t="s">
        <v>7161</v>
      </c>
      <c r="K553" s="1209" t="s">
        <v>740</v>
      </c>
      <c r="L553" s="1211"/>
      <c r="M553" s="1209" t="s">
        <v>7162</v>
      </c>
      <c r="N553" s="1209" t="s">
        <v>7163</v>
      </c>
      <c r="O553" s="1211"/>
      <c r="P553" s="1211"/>
      <c r="Q553" s="1208">
        <v>0.5</v>
      </c>
      <c r="R553" s="1208"/>
    </row>
    <row r="554" ht="12.75" customHeight="1">
      <c r="A554" s="1209">
        <v>10.0</v>
      </c>
      <c r="B554" s="1210" t="s">
        <v>7708</v>
      </c>
      <c r="C554" s="1211"/>
      <c r="D554" s="1212"/>
      <c r="E554" s="1207" t="s">
        <v>5810</v>
      </c>
      <c r="F554" s="1203" t="s">
        <v>2963</v>
      </c>
      <c r="G554" s="1213"/>
      <c r="H554" s="1209" t="s">
        <v>858</v>
      </c>
      <c r="I554" s="1211"/>
      <c r="J554" s="1209" t="s">
        <v>7161</v>
      </c>
      <c r="K554" s="1209" t="s">
        <v>740</v>
      </c>
      <c r="L554" s="1211"/>
      <c r="M554" s="1209" t="s">
        <v>7162</v>
      </c>
      <c r="N554" s="1209" t="s">
        <v>7163</v>
      </c>
      <c r="O554" s="1211"/>
      <c r="P554" s="1211"/>
      <c r="Q554" s="1208">
        <v>0.5</v>
      </c>
      <c r="R554" s="1208"/>
    </row>
    <row r="555" ht="12.75" customHeight="1">
      <c r="A555" s="1209">
        <v>12.0</v>
      </c>
      <c r="B555" s="1210" t="s">
        <v>7709</v>
      </c>
      <c r="C555" s="1211"/>
      <c r="D555" s="1212"/>
      <c r="E555" s="1207" t="s">
        <v>5810</v>
      </c>
      <c r="F555" s="1203" t="s">
        <v>2963</v>
      </c>
      <c r="G555" s="1213"/>
      <c r="H555" s="1209" t="s">
        <v>858</v>
      </c>
      <c r="I555" s="1211"/>
      <c r="J555" s="1209" t="s">
        <v>7161</v>
      </c>
      <c r="K555" s="1209" t="s">
        <v>740</v>
      </c>
      <c r="L555" s="1211"/>
      <c r="M555" s="1209" t="s">
        <v>7162</v>
      </c>
      <c r="N555" s="1209" t="s">
        <v>7163</v>
      </c>
      <c r="O555" s="1211"/>
      <c r="P555" s="1211"/>
      <c r="Q555" s="1208">
        <v>0.5</v>
      </c>
      <c r="R555" s="1208"/>
    </row>
    <row r="556" ht="12.75" customHeight="1">
      <c r="A556" s="1209">
        <v>13.0</v>
      </c>
      <c r="B556" s="1210" t="s">
        <v>7710</v>
      </c>
      <c r="C556" s="1211"/>
      <c r="D556" s="1212"/>
      <c r="E556" s="1207" t="s">
        <v>5810</v>
      </c>
      <c r="F556" s="1203" t="s">
        <v>2963</v>
      </c>
      <c r="G556" s="1213"/>
      <c r="H556" s="1209" t="s">
        <v>858</v>
      </c>
      <c r="I556" s="1211"/>
      <c r="J556" s="1209" t="s">
        <v>7161</v>
      </c>
      <c r="K556" s="1209" t="s">
        <v>740</v>
      </c>
      <c r="L556" s="1211"/>
      <c r="M556" s="1209" t="s">
        <v>7162</v>
      </c>
      <c r="N556" s="1209" t="s">
        <v>7163</v>
      </c>
      <c r="O556" s="1211"/>
      <c r="P556" s="1211"/>
      <c r="Q556" s="1208">
        <v>0.5</v>
      </c>
      <c r="R556" s="1208"/>
    </row>
    <row r="557" ht="12.75" customHeight="1">
      <c r="A557" s="1209">
        <v>14.0</v>
      </c>
      <c r="B557" s="1210" t="s">
        <v>7711</v>
      </c>
      <c r="C557" s="1211"/>
      <c r="D557" s="1212"/>
      <c r="E557" s="1207" t="s">
        <v>5810</v>
      </c>
      <c r="F557" s="1203" t="s">
        <v>2963</v>
      </c>
      <c r="G557" s="1213"/>
      <c r="H557" s="1209" t="s">
        <v>858</v>
      </c>
      <c r="I557" s="1211"/>
      <c r="J557" s="1209" t="s">
        <v>7161</v>
      </c>
      <c r="K557" s="1209" t="s">
        <v>740</v>
      </c>
      <c r="L557" s="1211"/>
      <c r="M557" s="1209" t="s">
        <v>7162</v>
      </c>
      <c r="N557" s="1209" t="s">
        <v>7163</v>
      </c>
      <c r="O557" s="1211"/>
      <c r="P557" s="1211"/>
      <c r="Q557" s="1208">
        <v>0.5</v>
      </c>
      <c r="R557" s="1208"/>
    </row>
    <row r="558" ht="12.75" customHeight="1">
      <c r="A558" s="1209">
        <v>15.0</v>
      </c>
      <c r="B558" s="1210" t="s">
        <v>7712</v>
      </c>
      <c r="C558" s="1211"/>
      <c r="D558" s="1212"/>
      <c r="E558" s="1207" t="s">
        <v>5810</v>
      </c>
      <c r="F558" s="1203" t="s">
        <v>2963</v>
      </c>
      <c r="G558" s="1213"/>
      <c r="H558" s="1209" t="s">
        <v>858</v>
      </c>
      <c r="I558" s="1211"/>
      <c r="J558" s="1209" t="s">
        <v>7161</v>
      </c>
      <c r="K558" s="1209" t="s">
        <v>740</v>
      </c>
      <c r="L558" s="1211"/>
      <c r="M558" s="1209" t="s">
        <v>7162</v>
      </c>
      <c r="N558" s="1209" t="s">
        <v>7163</v>
      </c>
      <c r="O558" s="1211"/>
      <c r="P558" s="1211"/>
      <c r="Q558" s="1208">
        <v>0.5</v>
      </c>
      <c r="R558" s="1208"/>
    </row>
    <row r="559" ht="12.75" customHeight="1">
      <c r="A559" s="1209">
        <v>16.0</v>
      </c>
      <c r="B559" s="1210" t="s">
        <v>7713</v>
      </c>
      <c r="C559" s="1211"/>
      <c r="D559" s="1212"/>
      <c r="E559" s="1207" t="s">
        <v>5810</v>
      </c>
      <c r="F559" s="1203" t="s">
        <v>2963</v>
      </c>
      <c r="G559" s="1213"/>
      <c r="H559" s="1209" t="s">
        <v>858</v>
      </c>
      <c r="I559" s="1211"/>
      <c r="J559" s="1209" t="s">
        <v>7161</v>
      </c>
      <c r="K559" s="1209" t="s">
        <v>740</v>
      </c>
      <c r="L559" s="1211"/>
      <c r="M559" s="1209" t="s">
        <v>7162</v>
      </c>
      <c r="N559" s="1209" t="s">
        <v>7163</v>
      </c>
      <c r="O559" s="1211"/>
      <c r="P559" s="1211"/>
      <c r="Q559" s="1208">
        <v>0.5</v>
      </c>
      <c r="R559" s="1208"/>
    </row>
    <row r="560" ht="12.75" customHeight="1">
      <c r="A560" s="1209">
        <v>20.0</v>
      </c>
      <c r="B560" s="1210" t="s">
        <v>6913</v>
      </c>
      <c r="C560" s="1206"/>
      <c r="D560" s="1206"/>
      <c r="E560" s="1207" t="s">
        <v>5810</v>
      </c>
      <c r="F560" s="1203" t="s">
        <v>2963</v>
      </c>
      <c r="G560" s="1213"/>
      <c r="H560" s="1209" t="s">
        <v>858</v>
      </c>
      <c r="I560" s="1211"/>
      <c r="J560" s="1209" t="s">
        <v>1093</v>
      </c>
      <c r="K560" s="1209" t="s">
        <v>740</v>
      </c>
      <c r="L560" s="1211"/>
      <c r="M560" s="1209" t="s">
        <v>7210</v>
      </c>
      <c r="N560" s="1209" t="s">
        <v>7211</v>
      </c>
      <c r="O560" s="1210" t="s">
        <v>7714</v>
      </c>
      <c r="P560" s="1211"/>
      <c r="Q560" s="1208">
        <v>0.5</v>
      </c>
      <c r="R560" s="1208"/>
    </row>
    <row r="561" ht="12.75" customHeight="1">
      <c r="A561" s="1209">
        <v>21.0</v>
      </c>
      <c r="B561" s="1210" t="s">
        <v>6914</v>
      </c>
      <c r="C561" s="1206"/>
      <c r="D561" s="1206"/>
      <c r="E561" s="1207" t="s">
        <v>5810</v>
      </c>
      <c r="F561" s="1203" t="s">
        <v>2963</v>
      </c>
      <c r="G561" s="1213"/>
      <c r="H561" s="1209" t="s">
        <v>858</v>
      </c>
      <c r="I561" s="1211"/>
      <c r="J561" s="1209" t="s">
        <v>1093</v>
      </c>
      <c r="K561" s="1209" t="s">
        <v>740</v>
      </c>
      <c r="L561" s="1211"/>
      <c r="M561" s="1209" t="s">
        <v>7210</v>
      </c>
      <c r="N561" s="1209" t="s">
        <v>7211</v>
      </c>
      <c r="O561" s="1210" t="s">
        <v>7714</v>
      </c>
      <c r="P561" s="1211"/>
      <c r="Q561" s="1208">
        <v>0.5</v>
      </c>
      <c r="R561" s="1208"/>
    </row>
    <row r="562" ht="12.75" customHeight="1">
      <c r="A562" s="1209">
        <v>22.0</v>
      </c>
      <c r="B562" s="1210" t="s">
        <v>6915</v>
      </c>
      <c r="C562" s="1206"/>
      <c r="D562" s="1206"/>
      <c r="E562" s="1207" t="s">
        <v>5810</v>
      </c>
      <c r="F562" s="1203" t="s">
        <v>2963</v>
      </c>
      <c r="G562" s="1213"/>
      <c r="H562" s="1209" t="s">
        <v>858</v>
      </c>
      <c r="I562" s="1211"/>
      <c r="J562" s="1209" t="s">
        <v>1093</v>
      </c>
      <c r="K562" s="1209" t="s">
        <v>740</v>
      </c>
      <c r="L562" s="1211"/>
      <c r="M562" s="1209" t="s">
        <v>7210</v>
      </c>
      <c r="N562" s="1209" t="s">
        <v>7211</v>
      </c>
      <c r="O562" s="1210" t="s">
        <v>7714</v>
      </c>
      <c r="P562" s="1211"/>
      <c r="Q562" s="1208">
        <v>0.5</v>
      </c>
      <c r="R562" s="1208"/>
    </row>
    <row r="563" ht="12.75" customHeight="1">
      <c r="A563" s="1209">
        <v>23.0</v>
      </c>
      <c r="B563" s="1210" t="s">
        <v>6916</v>
      </c>
      <c r="C563" s="1206"/>
      <c r="D563" s="1206"/>
      <c r="E563" s="1207" t="s">
        <v>5810</v>
      </c>
      <c r="F563" s="1203" t="s">
        <v>2963</v>
      </c>
      <c r="G563" s="1213"/>
      <c r="H563" s="1209" t="s">
        <v>858</v>
      </c>
      <c r="I563" s="1211"/>
      <c r="J563" s="1209" t="s">
        <v>1093</v>
      </c>
      <c r="K563" s="1209" t="s">
        <v>740</v>
      </c>
      <c r="L563" s="1211"/>
      <c r="M563" s="1209" t="s">
        <v>7210</v>
      </c>
      <c r="N563" s="1209" t="s">
        <v>7211</v>
      </c>
      <c r="O563" s="1210" t="s">
        <v>7714</v>
      </c>
      <c r="P563" s="1211"/>
      <c r="Q563" s="1208">
        <v>0.5</v>
      </c>
      <c r="R563" s="1208"/>
    </row>
    <row r="564" ht="12.75" customHeight="1">
      <c r="A564" s="1209">
        <v>24.0</v>
      </c>
      <c r="B564" s="1210" t="s">
        <v>6917</v>
      </c>
      <c r="C564" s="1206"/>
      <c r="D564" s="1206"/>
      <c r="E564" s="1207" t="s">
        <v>5810</v>
      </c>
      <c r="F564" s="1203" t="s">
        <v>2963</v>
      </c>
      <c r="G564" s="1213"/>
      <c r="H564" s="1209" t="s">
        <v>858</v>
      </c>
      <c r="I564" s="1211"/>
      <c r="J564" s="1209" t="s">
        <v>1093</v>
      </c>
      <c r="K564" s="1209" t="s">
        <v>740</v>
      </c>
      <c r="L564" s="1211"/>
      <c r="M564" s="1209" t="s">
        <v>7210</v>
      </c>
      <c r="N564" s="1209" t="s">
        <v>7211</v>
      </c>
      <c r="O564" s="1210" t="s">
        <v>7714</v>
      </c>
      <c r="P564" s="1211"/>
      <c r="Q564" s="1208">
        <v>0.5</v>
      </c>
      <c r="R564" s="1208"/>
    </row>
    <row r="565" ht="12.75" customHeight="1">
      <c r="A565" s="1209">
        <v>1.0</v>
      </c>
      <c r="B565" s="1210" t="s">
        <v>7715</v>
      </c>
      <c r="C565" s="1211"/>
      <c r="D565" s="1211"/>
      <c r="E565" s="1207" t="s">
        <v>5810</v>
      </c>
      <c r="F565" s="1203" t="s">
        <v>2963</v>
      </c>
      <c r="G565" s="1213"/>
      <c r="H565" s="1209" t="s">
        <v>1389</v>
      </c>
      <c r="I565" s="1211"/>
      <c r="J565" s="1209" t="s">
        <v>7161</v>
      </c>
      <c r="K565" s="1209" t="s">
        <v>740</v>
      </c>
      <c r="L565" s="1211"/>
      <c r="M565" s="1209" t="s">
        <v>7162</v>
      </c>
      <c r="N565" s="1209" t="s">
        <v>7163</v>
      </c>
      <c r="O565" s="1211"/>
      <c r="P565" s="1211"/>
      <c r="Q565" s="1208">
        <v>0.5</v>
      </c>
      <c r="R565" s="1208"/>
    </row>
    <row r="566" ht="12.75" customHeight="1">
      <c r="A566" s="1209">
        <v>2.0</v>
      </c>
      <c r="B566" s="1210" t="s">
        <v>7716</v>
      </c>
      <c r="C566" s="1211"/>
      <c r="D566" s="1211"/>
      <c r="E566" s="1207" t="s">
        <v>5810</v>
      </c>
      <c r="F566" s="1203" t="s">
        <v>2963</v>
      </c>
      <c r="G566" s="1213"/>
      <c r="H566" s="1209" t="s">
        <v>1389</v>
      </c>
      <c r="I566" s="1211"/>
      <c r="J566" s="1209" t="s">
        <v>7161</v>
      </c>
      <c r="K566" s="1209" t="s">
        <v>740</v>
      </c>
      <c r="L566" s="1211"/>
      <c r="M566" s="1209" t="s">
        <v>7162</v>
      </c>
      <c r="N566" s="1209" t="s">
        <v>7163</v>
      </c>
      <c r="O566" s="1211"/>
      <c r="P566" s="1211"/>
      <c r="Q566" s="1208">
        <v>0.5</v>
      </c>
      <c r="R566" s="1208"/>
    </row>
    <row r="567" ht="12.75" customHeight="1">
      <c r="A567" s="1209">
        <v>3.0</v>
      </c>
      <c r="B567" s="1210" t="s">
        <v>7717</v>
      </c>
      <c r="C567" s="1211"/>
      <c r="D567" s="1211"/>
      <c r="E567" s="1207" t="s">
        <v>5810</v>
      </c>
      <c r="F567" s="1203" t="s">
        <v>2963</v>
      </c>
      <c r="G567" s="1213"/>
      <c r="H567" s="1209" t="s">
        <v>1389</v>
      </c>
      <c r="I567" s="1211"/>
      <c r="J567" s="1209" t="s">
        <v>7161</v>
      </c>
      <c r="K567" s="1209" t="s">
        <v>740</v>
      </c>
      <c r="L567" s="1211"/>
      <c r="M567" s="1209" t="s">
        <v>7162</v>
      </c>
      <c r="N567" s="1209" t="s">
        <v>7163</v>
      </c>
      <c r="O567" s="1211"/>
      <c r="P567" s="1211"/>
      <c r="Q567" s="1208">
        <v>0.5</v>
      </c>
      <c r="R567" s="1208"/>
    </row>
    <row r="568" ht="12.75" customHeight="1">
      <c r="A568" s="1209">
        <v>4.0</v>
      </c>
      <c r="B568" s="1210" t="s">
        <v>7718</v>
      </c>
      <c r="C568" s="1211"/>
      <c r="D568" s="1211"/>
      <c r="E568" s="1207" t="s">
        <v>5810</v>
      </c>
      <c r="F568" s="1203" t="s">
        <v>2963</v>
      </c>
      <c r="G568" s="1213"/>
      <c r="H568" s="1209" t="s">
        <v>1389</v>
      </c>
      <c r="I568" s="1211"/>
      <c r="J568" s="1209" t="s">
        <v>7161</v>
      </c>
      <c r="K568" s="1209" t="s">
        <v>740</v>
      </c>
      <c r="L568" s="1211"/>
      <c r="M568" s="1209" t="s">
        <v>7162</v>
      </c>
      <c r="N568" s="1209" t="s">
        <v>7163</v>
      </c>
      <c r="O568" s="1211"/>
      <c r="P568" s="1211"/>
      <c r="Q568" s="1208">
        <v>0.5</v>
      </c>
      <c r="R568" s="1208"/>
    </row>
    <row r="569" ht="12.75" customHeight="1">
      <c r="A569" s="1209">
        <v>5.0</v>
      </c>
      <c r="B569" s="1210" t="s">
        <v>7719</v>
      </c>
      <c r="C569" s="1211"/>
      <c r="D569" s="1211"/>
      <c r="E569" s="1207" t="s">
        <v>5810</v>
      </c>
      <c r="F569" s="1203" t="s">
        <v>2963</v>
      </c>
      <c r="G569" s="1213"/>
      <c r="H569" s="1209" t="s">
        <v>1389</v>
      </c>
      <c r="I569" s="1211"/>
      <c r="J569" s="1209" t="s">
        <v>7161</v>
      </c>
      <c r="K569" s="1209" t="s">
        <v>740</v>
      </c>
      <c r="L569" s="1211"/>
      <c r="M569" s="1209" t="s">
        <v>7162</v>
      </c>
      <c r="N569" s="1209" t="s">
        <v>7163</v>
      </c>
      <c r="O569" s="1211"/>
      <c r="P569" s="1211"/>
      <c r="Q569" s="1208">
        <v>0.5</v>
      </c>
      <c r="R569" s="1208"/>
    </row>
    <row r="570" ht="12.75" customHeight="1">
      <c r="A570" s="1209">
        <v>6.0</v>
      </c>
      <c r="B570" s="1210" t="s">
        <v>7720</v>
      </c>
      <c r="C570" s="1211"/>
      <c r="D570" s="1211"/>
      <c r="E570" s="1207" t="s">
        <v>5810</v>
      </c>
      <c r="F570" s="1203" t="s">
        <v>2963</v>
      </c>
      <c r="G570" s="1213"/>
      <c r="H570" s="1209" t="s">
        <v>1389</v>
      </c>
      <c r="I570" s="1211"/>
      <c r="J570" s="1209" t="s">
        <v>7161</v>
      </c>
      <c r="K570" s="1209" t="s">
        <v>740</v>
      </c>
      <c r="L570" s="1211"/>
      <c r="M570" s="1209" t="s">
        <v>7162</v>
      </c>
      <c r="N570" s="1209" t="s">
        <v>7163</v>
      </c>
      <c r="O570" s="1211"/>
      <c r="P570" s="1211"/>
      <c r="Q570" s="1208">
        <v>0.5</v>
      </c>
      <c r="R570" s="1208"/>
    </row>
    <row r="571" ht="12.75" customHeight="1">
      <c r="A571" s="1209">
        <v>7.0</v>
      </c>
      <c r="B571" s="1210" t="s">
        <v>7721</v>
      </c>
      <c r="C571" s="1210"/>
      <c r="D571" s="1211"/>
      <c r="E571" s="1207" t="s">
        <v>5810</v>
      </c>
      <c r="F571" s="1203" t="s">
        <v>2963</v>
      </c>
      <c r="G571" s="1213"/>
      <c r="H571" s="1209" t="s">
        <v>1389</v>
      </c>
      <c r="I571" s="1211"/>
      <c r="J571" s="1209" t="s">
        <v>7161</v>
      </c>
      <c r="K571" s="1209" t="s">
        <v>740</v>
      </c>
      <c r="L571" s="1211"/>
      <c r="M571" s="1209" t="s">
        <v>7162</v>
      </c>
      <c r="N571" s="1209" t="s">
        <v>7163</v>
      </c>
      <c r="O571" s="1211"/>
      <c r="P571" s="1211"/>
      <c r="Q571" s="1208">
        <v>0.5</v>
      </c>
      <c r="R571" s="1208"/>
    </row>
    <row r="572" ht="12.75" customHeight="1">
      <c r="A572" s="1209">
        <v>8.0</v>
      </c>
      <c r="B572" s="1210" t="s">
        <v>7722</v>
      </c>
      <c r="C572" s="1210"/>
      <c r="D572" s="1211"/>
      <c r="E572" s="1207" t="s">
        <v>5810</v>
      </c>
      <c r="F572" s="1203" t="s">
        <v>2963</v>
      </c>
      <c r="G572" s="1213"/>
      <c r="H572" s="1209" t="s">
        <v>1389</v>
      </c>
      <c r="I572" s="1211"/>
      <c r="J572" s="1209" t="s">
        <v>7161</v>
      </c>
      <c r="K572" s="1209" t="s">
        <v>740</v>
      </c>
      <c r="L572" s="1211"/>
      <c r="M572" s="1209" t="s">
        <v>7162</v>
      </c>
      <c r="N572" s="1209" t="s">
        <v>7163</v>
      </c>
      <c r="O572" s="1211"/>
      <c r="P572" s="1211"/>
      <c r="Q572" s="1208">
        <v>0.5</v>
      </c>
      <c r="R572" s="1208"/>
    </row>
    <row r="573" ht="12.75" customHeight="1">
      <c r="A573" s="1209">
        <v>9.0</v>
      </c>
      <c r="B573" s="1210" t="s">
        <v>7723</v>
      </c>
      <c r="C573" s="1210" t="s">
        <v>7724</v>
      </c>
      <c r="D573" s="1211"/>
      <c r="E573" s="1207" t="s">
        <v>5810</v>
      </c>
      <c r="F573" s="1203" t="s">
        <v>2963</v>
      </c>
      <c r="G573" s="1213"/>
      <c r="H573" s="1209" t="s">
        <v>1389</v>
      </c>
      <c r="I573" s="1210" t="s">
        <v>7725</v>
      </c>
      <c r="J573" s="1209" t="s">
        <v>7161</v>
      </c>
      <c r="K573" s="1209" t="s">
        <v>740</v>
      </c>
      <c r="L573" s="1211"/>
      <c r="M573" s="1209" t="s">
        <v>7162</v>
      </c>
      <c r="N573" s="1209" t="s">
        <v>7163</v>
      </c>
      <c r="O573" s="1211"/>
      <c r="P573" s="1211"/>
      <c r="Q573" s="1208">
        <v>0.5</v>
      </c>
      <c r="R573" s="1208"/>
    </row>
    <row r="574" ht="12.75" customHeight="1">
      <c r="A574" s="1209">
        <v>10.0</v>
      </c>
      <c r="B574" s="1210" t="s">
        <v>7726</v>
      </c>
      <c r="C574" s="1210" t="s">
        <v>7727</v>
      </c>
      <c r="D574" s="1211"/>
      <c r="E574" s="1207" t="s">
        <v>5810</v>
      </c>
      <c r="F574" s="1203" t="s">
        <v>2963</v>
      </c>
      <c r="G574" s="1213"/>
      <c r="H574" s="1209" t="s">
        <v>1389</v>
      </c>
      <c r="I574" s="1210" t="s">
        <v>7725</v>
      </c>
      <c r="J574" s="1209" t="s">
        <v>7161</v>
      </c>
      <c r="K574" s="1209" t="s">
        <v>740</v>
      </c>
      <c r="L574" s="1211"/>
      <c r="M574" s="1209" t="s">
        <v>7162</v>
      </c>
      <c r="N574" s="1209" t="s">
        <v>7163</v>
      </c>
      <c r="O574" s="1211"/>
      <c r="P574" s="1211"/>
      <c r="Q574" s="1208">
        <v>0.5</v>
      </c>
      <c r="R574" s="1208"/>
    </row>
    <row r="575" ht="12.75" customHeight="1">
      <c r="A575" s="1209">
        <v>11.0</v>
      </c>
      <c r="B575" s="1210" t="s">
        <v>7728</v>
      </c>
      <c r="C575" s="1210" t="s">
        <v>7729</v>
      </c>
      <c r="D575" s="1211"/>
      <c r="E575" s="1207" t="s">
        <v>5810</v>
      </c>
      <c r="F575" s="1203" t="s">
        <v>2963</v>
      </c>
      <c r="G575" s="1213"/>
      <c r="H575" s="1209" t="s">
        <v>1389</v>
      </c>
      <c r="I575" s="1210" t="s">
        <v>7725</v>
      </c>
      <c r="J575" s="1209" t="s">
        <v>7161</v>
      </c>
      <c r="K575" s="1209" t="s">
        <v>740</v>
      </c>
      <c r="L575" s="1211"/>
      <c r="M575" s="1209" t="s">
        <v>7162</v>
      </c>
      <c r="N575" s="1209" t="s">
        <v>7163</v>
      </c>
      <c r="O575" s="1211"/>
      <c r="P575" s="1211"/>
      <c r="Q575" s="1208">
        <v>0.5</v>
      </c>
      <c r="R575" s="1208"/>
    </row>
    <row r="576" ht="12.75" customHeight="1">
      <c r="A576" s="1209">
        <v>12.0</v>
      </c>
      <c r="B576" s="1210" t="s">
        <v>7730</v>
      </c>
      <c r="C576" s="1210" t="s">
        <v>7731</v>
      </c>
      <c r="D576" s="1211"/>
      <c r="E576" s="1207" t="s">
        <v>5810</v>
      </c>
      <c r="F576" s="1203" t="s">
        <v>2963</v>
      </c>
      <c r="G576" s="1213"/>
      <c r="H576" s="1209" t="s">
        <v>1389</v>
      </c>
      <c r="I576" s="1210" t="s">
        <v>7725</v>
      </c>
      <c r="J576" s="1209" t="s">
        <v>7161</v>
      </c>
      <c r="K576" s="1209" t="s">
        <v>740</v>
      </c>
      <c r="L576" s="1211"/>
      <c r="M576" s="1209" t="s">
        <v>7162</v>
      </c>
      <c r="N576" s="1209" t="s">
        <v>7163</v>
      </c>
      <c r="O576" s="1211"/>
      <c r="P576" s="1211"/>
      <c r="Q576" s="1208">
        <v>0.5</v>
      </c>
      <c r="R576" s="1208"/>
    </row>
    <row r="577" ht="12.75" customHeight="1">
      <c r="A577" s="1209">
        <v>15.0</v>
      </c>
      <c r="B577" s="1210" t="s">
        <v>7732</v>
      </c>
      <c r="C577" s="1210"/>
      <c r="D577" s="1211"/>
      <c r="E577" s="1207" t="s">
        <v>5810</v>
      </c>
      <c r="F577" s="1203" t="s">
        <v>2963</v>
      </c>
      <c r="G577" s="1209" t="s">
        <v>7301</v>
      </c>
      <c r="H577" s="1209" t="s">
        <v>1389</v>
      </c>
      <c r="I577" s="1210"/>
      <c r="J577" s="1209" t="s">
        <v>1093</v>
      </c>
      <c r="K577" s="1209" t="s">
        <v>7302</v>
      </c>
      <c r="L577" s="1211"/>
      <c r="M577" s="1209" t="s">
        <v>7210</v>
      </c>
      <c r="N577" s="1209" t="s">
        <v>7211</v>
      </c>
      <c r="O577" s="1210" t="s">
        <v>7733</v>
      </c>
      <c r="P577" s="1211"/>
      <c r="Q577" s="1208">
        <v>0.5</v>
      </c>
      <c r="R577" s="1208"/>
    </row>
    <row r="578" ht="12.75" customHeight="1">
      <c r="A578" s="1209">
        <v>16.0</v>
      </c>
      <c r="B578" s="1210" t="s">
        <v>7734</v>
      </c>
      <c r="C578" s="1210"/>
      <c r="D578" s="1211"/>
      <c r="E578" s="1207" t="s">
        <v>5810</v>
      </c>
      <c r="F578" s="1203" t="s">
        <v>2963</v>
      </c>
      <c r="G578" s="1209" t="s">
        <v>7301</v>
      </c>
      <c r="H578" s="1209" t="s">
        <v>1389</v>
      </c>
      <c r="I578" s="1210"/>
      <c r="J578" s="1209" t="s">
        <v>1093</v>
      </c>
      <c r="K578" s="1209" t="s">
        <v>7302</v>
      </c>
      <c r="L578" s="1211"/>
      <c r="M578" s="1209" t="s">
        <v>7210</v>
      </c>
      <c r="N578" s="1209" t="s">
        <v>7211</v>
      </c>
      <c r="O578" s="1210" t="s">
        <v>7735</v>
      </c>
      <c r="P578" s="1211"/>
      <c r="Q578" s="1208">
        <v>0.5</v>
      </c>
      <c r="R578" s="1208"/>
    </row>
    <row r="579" ht="12.75" customHeight="1">
      <c r="A579" s="1209">
        <v>20.0</v>
      </c>
      <c r="B579" s="1210" t="s">
        <v>7736</v>
      </c>
      <c r="C579" s="1210"/>
      <c r="D579" s="1211"/>
      <c r="E579" s="1207" t="s">
        <v>5810</v>
      </c>
      <c r="F579" s="1203" t="s">
        <v>2963</v>
      </c>
      <c r="G579" s="1209" t="s">
        <v>7301</v>
      </c>
      <c r="H579" s="1209" t="s">
        <v>1389</v>
      </c>
      <c r="I579" s="1210"/>
      <c r="J579" s="1209" t="s">
        <v>1093</v>
      </c>
      <c r="K579" s="1209" t="s">
        <v>7302</v>
      </c>
      <c r="L579" s="1211"/>
      <c r="M579" s="1209" t="s">
        <v>7210</v>
      </c>
      <c r="N579" s="1209" t="s">
        <v>7211</v>
      </c>
      <c r="O579" s="1210" t="s">
        <v>7737</v>
      </c>
      <c r="P579" s="1211"/>
      <c r="Q579" s="1208">
        <v>0.5</v>
      </c>
      <c r="R579" s="1208"/>
    </row>
    <row r="580" ht="12.75" customHeight="1">
      <c r="A580" s="1209">
        <v>21.0</v>
      </c>
      <c r="B580" s="1210" t="s">
        <v>7738</v>
      </c>
      <c r="C580" s="1210"/>
      <c r="D580" s="1211"/>
      <c r="E580" s="1207" t="s">
        <v>5810</v>
      </c>
      <c r="F580" s="1203" t="s">
        <v>2963</v>
      </c>
      <c r="G580" s="1209" t="s">
        <v>7301</v>
      </c>
      <c r="H580" s="1209" t="s">
        <v>1389</v>
      </c>
      <c r="I580" s="1210"/>
      <c r="J580" s="1209" t="s">
        <v>1093</v>
      </c>
      <c r="K580" s="1209" t="s">
        <v>7302</v>
      </c>
      <c r="L580" s="1211"/>
      <c r="M580" s="1209" t="s">
        <v>7210</v>
      </c>
      <c r="N580" s="1209" t="s">
        <v>7211</v>
      </c>
      <c r="O580" s="1210" t="s">
        <v>7739</v>
      </c>
      <c r="P580" s="1211"/>
      <c r="Q580" s="1208">
        <v>0.5</v>
      </c>
      <c r="R580" s="1208"/>
    </row>
    <row r="581" ht="12.75" customHeight="1">
      <c r="A581" s="1209">
        <v>27.0</v>
      </c>
      <c r="B581" s="1210" t="s">
        <v>7740</v>
      </c>
      <c r="C581" s="1210"/>
      <c r="D581" s="1211"/>
      <c r="E581" s="1207" t="s">
        <v>5810</v>
      </c>
      <c r="F581" s="1203" t="s">
        <v>2963</v>
      </c>
      <c r="G581" s="1209" t="s">
        <v>7301</v>
      </c>
      <c r="H581" s="1209" t="s">
        <v>1389</v>
      </c>
      <c r="I581" s="1210"/>
      <c r="J581" s="1209" t="s">
        <v>1093</v>
      </c>
      <c r="K581" s="1209" t="s">
        <v>7302</v>
      </c>
      <c r="L581" s="1211"/>
      <c r="M581" s="1209" t="s">
        <v>7210</v>
      </c>
      <c r="N581" s="1209" t="s">
        <v>7211</v>
      </c>
      <c r="O581" s="1210" t="s">
        <v>7741</v>
      </c>
      <c r="P581" s="1211"/>
      <c r="Q581" s="1208">
        <v>0.5</v>
      </c>
      <c r="R581" s="1208"/>
    </row>
    <row r="582" ht="12.75" customHeight="1">
      <c r="A582" s="1209">
        <v>28.0</v>
      </c>
      <c r="B582" s="1210" t="s">
        <v>7742</v>
      </c>
      <c r="C582" s="1210"/>
      <c r="D582" s="1211"/>
      <c r="E582" s="1207" t="s">
        <v>5810</v>
      </c>
      <c r="F582" s="1203" t="s">
        <v>2963</v>
      </c>
      <c r="G582" s="1209" t="s">
        <v>7301</v>
      </c>
      <c r="H582" s="1209" t="s">
        <v>1389</v>
      </c>
      <c r="I582" s="1210"/>
      <c r="J582" s="1209" t="s">
        <v>1093</v>
      </c>
      <c r="K582" s="1209" t="s">
        <v>7302</v>
      </c>
      <c r="L582" s="1211"/>
      <c r="M582" s="1209" t="s">
        <v>7210</v>
      </c>
      <c r="N582" s="1209" t="s">
        <v>7211</v>
      </c>
      <c r="O582" s="1210" t="s">
        <v>7743</v>
      </c>
      <c r="P582" s="1211"/>
      <c r="Q582" s="1208">
        <v>0.5</v>
      </c>
      <c r="R582" s="1208"/>
    </row>
    <row r="583" ht="12.75" customHeight="1">
      <c r="A583" s="1209">
        <v>31.0</v>
      </c>
      <c r="B583" s="1210" t="s">
        <v>7744</v>
      </c>
      <c r="C583" s="1210"/>
      <c r="D583" s="1211"/>
      <c r="E583" s="1207" t="s">
        <v>5810</v>
      </c>
      <c r="F583" s="1203" t="s">
        <v>2963</v>
      </c>
      <c r="G583" s="1209" t="s">
        <v>7301</v>
      </c>
      <c r="H583" s="1209" t="s">
        <v>1389</v>
      </c>
      <c r="I583" s="1210"/>
      <c r="J583" s="1209" t="s">
        <v>1093</v>
      </c>
      <c r="K583" s="1209" t="s">
        <v>7302</v>
      </c>
      <c r="L583" s="1211"/>
      <c r="M583" s="1209" t="s">
        <v>7210</v>
      </c>
      <c r="N583" s="1209" t="s">
        <v>7211</v>
      </c>
      <c r="O583" s="1210" t="s">
        <v>7745</v>
      </c>
      <c r="P583" s="1211"/>
      <c r="Q583" s="1208">
        <v>0.5</v>
      </c>
      <c r="R583" s="1208"/>
    </row>
    <row r="584" ht="12.75" customHeight="1">
      <c r="A584" s="1209">
        <v>35.0</v>
      </c>
      <c r="B584" s="1210" t="s">
        <v>7746</v>
      </c>
      <c r="C584" s="1210"/>
      <c r="D584" s="1211"/>
      <c r="E584" s="1207" t="s">
        <v>5810</v>
      </c>
      <c r="F584" s="1203" t="s">
        <v>2963</v>
      </c>
      <c r="G584" s="1209" t="s">
        <v>802</v>
      </c>
      <c r="H584" s="1209" t="s">
        <v>1389</v>
      </c>
      <c r="I584" s="1210"/>
      <c r="J584" s="1209" t="s">
        <v>1093</v>
      </c>
      <c r="K584" s="1209" t="s">
        <v>7302</v>
      </c>
      <c r="L584" s="1211"/>
      <c r="M584" s="1209" t="s">
        <v>7210</v>
      </c>
      <c r="N584" s="1209" t="s">
        <v>7211</v>
      </c>
      <c r="O584" s="1210" t="s">
        <v>7747</v>
      </c>
      <c r="P584" s="1211"/>
      <c r="Q584" s="1208">
        <v>0.5</v>
      </c>
      <c r="R584" s="1208"/>
    </row>
    <row r="585" ht="12.75" customHeight="1">
      <c r="A585" s="1209">
        <v>37.0</v>
      </c>
      <c r="B585" s="1210" t="s">
        <v>7748</v>
      </c>
      <c r="C585" s="1210"/>
      <c r="D585" s="1211"/>
      <c r="E585" s="1207" t="s">
        <v>5810</v>
      </c>
      <c r="F585" s="1203" t="s">
        <v>2963</v>
      </c>
      <c r="G585" s="1209" t="s">
        <v>802</v>
      </c>
      <c r="H585" s="1209" t="s">
        <v>1389</v>
      </c>
      <c r="I585" s="1210"/>
      <c r="J585" s="1209" t="s">
        <v>1093</v>
      </c>
      <c r="K585" s="1209" t="s">
        <v>7302</v>
      </c>
      <c r="L585" s="1211"/>
      <c r="M585" s="1209" t="s">
        <v>7210</v>
      </c>
      <c r="N585" s="1209" t="s">
        <v>7211</v>
      </c>
      <c r="O585" s="1210" t="s">
        <v>7749</v>
      </c>
      <c r="P585" s="1211"/>
      <c r="Q585" s="1208">
        <v>0.5</v>
      </c>
      <c r="R585" s="1208"/>
    </row>
    <row r="586" ht="12.75" customHeight="1">
      <c r="A586" s="1209">
        <v>38.0</v>
      </c>
      <c r="B586" s="1210" t="s">
        <v>7750</v>
      </c>
      <c r="C586" s="1210" t="s">
        <v>7751</v>
      </c>
      <c r="D586" s="1214"/>
      <c r="E586" s="1207" t="s">
        <v>5810</v>
      </c>
      <c r="F586" s="1203" t="s">
        <v>2963</v>
      </c>
      <c r="G586" s="1215"/>
      <c r="H586" s="1209" t="s">
        <v>1389</v>
      </c>
      <c r="I586" s="1216" t="s">
        <v>7752</v>
      </c>
      <c r="J586" s="1209" t="s">
        <v>7161</v>
      </c>
      <c r="K586" s="1209" t="s">
        <v>510</v>
      </c>
      <c r="L586" s="1211"/>
      <c r="M586" s="1209" t="s">
        <v>7162</v>
      </c>
      <c r="N586" s="1209" t="s">
        <v>7163</v>
      </c>
      <c r="O586" s="1211"/>
      <c r="P586" s="1211"/>
      <c r="Q586" s="1208">
        <v>0.5</v>
      </c>
      <c r="R586" s="1208"/>
    </row>
    <row r="587" ht="12.75" customHeight="1">
      <c r="A587" s="1209">
        <v>39.0</v>
      </c>
      <c r="B587" s="1210" t="s">
        <v>7753</v>
      </c>
      <c r="C587" s="1210" t="s">
        <v>7754</v>
      </c>
      <c r="D587" s="1214"/>
      <c r="E587" s="1207" t="s">
        <v>5810</v>
      </c>
      <c r="F587" s="1203" t="s">
        <v>2963</v>
      </c>
      <c r="G587" s="1215"/>
      <c r="H587" s="1209" t="s">
        <v>1389</v>
      </c>
      <c r="I587" s="1216" t="s">
        <v>7752</v>
      </c>
      <c r="J587" s="1209" t="s">
        <v>7161</v>
      </c>
      <c r="K587" s="1209" t="s">
        <v>510</v>
      </c>
      <c r="L587" s="1211"/>
      <c r="M587" s="1209" t="s">
        <v>7162</v>
      </c>
      <c r="N587" s="1209" t="s">
        <v>7163</v>
      </c>
      <c r="O587" s="1211"/>
      <c r="P587" s="1211"/>
      <c r="Q587" s="1208">
        <v>0.5</v>
      </c>
      <c r="R587" s="1208"/>
    </row>
    <row r="588" ht="12.75" customHeight="1">
      <c r="A588" s="1209">
        <v>40.0</v>
      </c>
      <c r="B588" s="1210" t="s">
        <v>7755</v>
      </c>
      <c r="C588" s="1210" t="s">
        <v>7756</v>
      </c>
      <c r="D588" s="1214"/>
      <c r="E588" s="1207" t="s">
        <v>5810</v>
      </c>
      <c r="F588" s="1203" t="s">
        <v>2963</v>
      </c>
      <c r="G588" s="1215"/>
      <c r="H588" s="1209" t="s">
        <v>1389</v>
      </c>
      <c r="I588" s="1216" t="s">
        <v>7752</v>
      </c>
      <c r="J588" s="1209" t="s">
        <v>7161</v>
      </c>
      <c r="K588" s="1209" t="s">
        <v>510</v>
      </c>
      <c r="L588" s="1211"/>
      <c r="M588" s="1209" t="s">
        <v>7162</v>
      </c>
      <c r="N588" s="1209" t="s">
        <v>7163</v>
      </c>
      <c r="O588" s="1211"/>
      <c r="P588" s="1211"/>
      <c r="Q588" s="1208">
        <v>0.5</v>
      </c>
      <c r="R588" s="1208"/>
    </row>
    <row r="589" ht="12.75" customHeight="1">
      <c r="A589" s="1209">
        <v>1.0</v>
      </c>
      <c r="B589" s="1210" t="s">
        <v>7757</v>
      </c>
      <c r="C589" s="1210" t="s">
        <v>7758</v>
      </c>
      <c r="D589" s="1207"/>
      <c r="E589" s="1207" t="s">
        <v>5809</v>
      </c>
      <c r="F589" s="1203" t="s">
        <v>2963</v>
      </c>
      <c r="G589" s="1213"/>
      <c r="H589" s="1209" t="s">
        <v>7486</v>
      </c>
      <c r="I589" s="1210" t="s">
        <v>7154</v>
      </c>
      <c r="J589" s="1209" t="s">
        <v>7155</v>
      </c>
      <c r="K589" s="1209" t="s">
        <v>883</v>
      </c>
      <c r="L589" s="1211"/>
      <c r="M589" s="1209" t="s">
        <v>7156</v>
      </c>
      <c r="N589" s="1209" t="s">
        <v>7157</v>
      </c>
      <c r="O589" s="1211"/>
      <c r="P589" s="1211"/>
      <c r="Q589" s="1208">
        <v>1.0</v>
      </c>
      <c r="R589" s="1208"/>
    </row>
    <row r="590" ht="12.75" customHeight="1">
      <c r="A590" s="1209">
        <f t="shared" ref="A590:A613" si="11">1+A589</f>
        <v>2</v>
      </c>
      <c r="B590" s="1210" t="s">
        <v>7759</v>
      </c>
      <c r="C590" s="1210" t="s">
        <v>7760</v>
      </c>
      <c r="D590" s="1207"/>
      <c r="E590" s="1207" t="s">
        <v>5809</v>
      </c>
      <c r="F590" s="1203" t="s">
        <v>2963</v>
      </c>
      <c r="G590" s="1213"/>
      <c r="H590" s="1209" t="s">
        <v>7486</v>
      </c>
      <c r="I590" s="1210" t="s">
        <v>7154</v>
      </c>
      <c r="J590" s="1209" t="s">
        <v>7155</v>
      </c>
      <c r="K590" s="1209" t="s">
        <v>883</v>
      </c>
      <c r="L590" s="1211"/>
      <c r="M590" s="1209" t="s">
        <v>7156</v>
      </c>
      <c r="N590" s="1209" t="s">
        <v>7157</v>
      </c>
      <c r="O590" s="1211"/>
      <c r="P590" s="1211"/>
      <c r="Q590" s="1208">
        <v>1.0</v>
      </c>
      <c r="R590" s="1208"/>
    </row>
    <row r="591" ht="12.75" customHeight="1">
      <c r="A591" s="1209">
        <f t="shared" si="11"/>
        <v>3</v>
      </c>
      <c r="B591" s="1210" t="s">
        <v>7761</v>
      </c>
      <c r="C591" s="1210" t="s">
        <v>7762</v>
      </c>
      <c r="D591" s="1207"/>
      <c r="E591" s="1207" t="s">
        <v>5809</v>
      </c>
      <c r="F591" s="1203" t="s">
        <v>2963</v>
      </c>
      <c r="G591" s="1213"/>
      <c r="H591" s="1209" t="s">
        <v>7486</v>
      </c>
      <c r="I591" s="1210" t="s">
        <v>7154</v>
      </c>
      <c r="J591" s="1209" t="s">
        <v>7155</v>
      </c>
      <c r="K591" s="1209" t="s">
        <v>883</v>
      </c>
      <c r="L591" s="1211"/>
      <c r="M591" s="1209" t="s">
        <v>7156</v>
      </c>
      <c r="N591" s="1209" t="s">
        <v>7157</v>
      </c>
      <c r="O591" s="1211"/>
      <c r="P591" s="1211"/>
      <c r="Q591" s="1208">
        <v>1.0</v>
      </c>
      <c r="R591" s="1208"/>
    </row>
    <row r="592" ht="12.75" customHeight="1">
      <c r="A592" s="1209">
        <f t="shared" si="11"/>
        <v>4</v>
      </c>
      <c r="B592" s="1210" t="s">
        <v>7763</v>
      </c>
      <c r="C592" s="1210" t="s">
        <v>7764</v>
      </c>
      <c r="D592" s="1207"/>
      <c r="E592" s="1207" t="s">
        <v>5809</v>
      </c>
      <c r="F592" s="1203" t="s">
        <v>2963</v>
      </c>
      <c r="G592" s="1213"/>
      <c r="H592" s="1209" t="s">
        <v>7486</v>
      </c>
      <c r="I592" s="1210" t="s">
        <v>7154</v>
      </c>
      <c r="J592" s="1209" t="s">
        <v>7155</v>
      </c>
      <c r="K592" s="1209" t="s">
        <v>883</v>
      </c>
      <c r="L592" s="1211"/>
      <c r="M592" s="1209" t="s">
        <v>7156</v>
      </c>
      <c r="N592" s="1209" t="s">
        <v>7157</v>
      </c>
      <c r="O592" s="1211"/>
      <c r="P592" s="1211"/>
      <c r="Q592" s="1208">
        <v>1.0</v>
      </c>
      <c r="R592" s="1208"/>
    </row>
    <row r="593" ht="12.75" customHeight="1">
      <c r="A593" s="1209">
        <f t="shared" si="11"/>
        <v>5</v>
      </c>
      <c r="B593" s="1210" t="s">
        <v>7765</v>
      </c>
      <c r="C593" s="1210" t="s">
        <v>7766</v>
      </c>
      <c r="D593" s="1207"/>
      <c r="E593" s="1207" t="s">
        <v>5809</v>
      </c>
      <c r="F593" s="1203" t="s">
        <v>2963</v>
      </c>
      <c r="G593" s="1209"/>
      <c r="H593" s="1209" t="s">
        <v>7486</v>
      </c>
      <c r="I593" s="1210" t="s">
        <v>7154</v>
      </c>
      <c r="J593" s="1209" t="s">
        <v>7155</v>
      </c>
      <c r="K593" s="1209" t="s">
        <v>883</v>
      </c>
      <c r="L593" s="1211"/>
      <c r="M593" s="1209" t="s">
        <v>7156</v>
      </c>
      <c r="N593" s="1209" t="s">
        <v>7157</v>
      </c>
      <c r="O593" s="1211"/>
      <c r="P593" s="1211"/>
      <c r="Q593" s="1208">
        <v>1.0</v>
      </c>
      <c r="R593" s="1208"/>
    </row>
    <row r="594" ht="12.75" customHeight="1">
      <c r="A594" s="1209">
        <f t="shared" si="11"/>
        <v>6</v>
      </c>
      <c r="B594" s="1210" t="s">
        <v>7767</v>
      </c>
      <c r="C594" s="1210" t="s">
        <v>7768</v>
      </c>
      <c r="D594" s="1207"/>
      <c r="E594" s="1207" t="s">
        <v>5809</v>
      </c>
      <c r="F594" s="1203" t="s">
        <v>2963</v>
      </c>
      <c r="G594" s="1213"/>
      <c r="H594" s="1209" t="s">
        <v>7486</v>
      </c>
      <c r="I594" s="1210" t="s">
        <v>7154</v>
      </c>
      <c r="J594" s="1209" t="s">
        <v>7155</v>
      </c>
      <c r="K594" s="1209" t="s">
        <v>883</v>
      </c>
      <c r="L594" s="1211"/>
      <c r="M594" s="1209" t="s">
        <v>7156</v>
      </c>
      <c r="N594" s="1209" t="s">
        <v>7157</v>
      </c>
      <c r="O594" s="1211"/>
      <c r="P594" s="1211"/>
      <c r="Q594" s="1208">
        <v>1.0</v>
      </c>
      <c r="R594" s="1208"/>
    </row>
    <row r="595" ht="12.75" customHeight="1">
      <c r="A595" s="1209">
        <f t="shared" si="11"/>
        <v>7</v>
      </c>
      <c r="B595" s="1210" t="s">
        <v>7769</v>
      </c>
      <c r="C595" s="1210" t="s">
        <v>7770</v>
      </c>
      <c r="D595" s="1207"/>
      <c r="E595" s="1207" t="s">
        <v>5809</v>
      </c>
      <c r="F595" s="1203" t="s">
        <v>2963</v>
      </c>
      <c r="G595" s="1213"/>
      <c r="H595" s="1209" t="s">
        <v>7486</v>
      </c>
      <c r="I595" s="1210" t="s">
        <v>7154</v>
      </c>
      <c r="J595" s="1209" t="s">
        <v>7155</v>
      </c>
      <c r="K595" s="1209" t="s">
        <v>883</v>
      </c>
      <c r="L595" s="1211"/>
      <c r="M595" s="1209" t="s">
        <v>7156</v>
      </c>
      <c r="N595" s="1209" t="s">
        <v>7157</v>
      </c>
      <c r="O595" s="1211"/>
      <c r="P595" s="1211"/>
      <c r="Q595" s="1208">
        <v>1.0</v>
      </c>
      <c r="R595" s="1208"/>
    </row>
    <row r="596" ht="12.75" customHeight="1">
      <c r="A596" s="1209">
        <f t="shared" si="11"/>
        <v>8</v>
      </c>
      <c r="B596" s="1210" t="s">
        <v>7771</v>
      </c>
      <c r="C596" s="1210" t="s">
        <v>7772</v>
      </c>
      <c r="D596" s="1207"/>
      <c r="E596" s="1207" t="s">
        <v>5809</v>
      </c>
      <c r="F596" s="1203" t="s">
        <v>2963</v>
      </c>
      <c r="G596" s="1213"/>
      <c r="H596" s="1209" t="s">
        <v>7486</v>
      </c>
      <c r="I596" s="1210" t="s">
        <v>7154</v>
      </c>
      <c r="J596" s="1209" t="s">
        <v>7155</v>
      </c>
      <c r="K596" s="1209" t="s">
        <v>883</v>
      </c>
      <c r="L596" s="1211"/>
      <c r="M596" s="1209" t="s">
        <v>7156</v>
      </c>
      <c r="N596" s="1209" t="s">
        <v>7157</v>
      </c>
      <c r="O596" s="1211"/>
      <c r="P596" s="1211"/>
      <c r="Q596" s="1208">
        <v>1.0</v>
      </c>
      <c r="R596" s="1208"/>
    </row>
    <row r="597" ht="12.75" customHeight="1">
      <c r="A597" s="1209">
        <f t="shared" si="11"/>
        <v>9</v>
      </c>
      <c r="B597" s="1210" t="s">
        <v>7773</v>
      </c>
      <c r="C597" s="1210" t="s">
        <v>7774</v>
      </c>
      <c r="D597" s="1207"/>
      <c r="E597" s="1207" t="s">
        <v>5809</v>
      </c>
      <c r="F597" s="1203" t="s">
        <v>2963</v>
      </c>
      <c r="G597" s="1213"/>
      <c r="H597" s="1209" t="s">
        <v>7486</v>
      </c>
      <c r="I597" s="1210" t="s">
        <v>7154</v>
      </c>
      <c r="J597" s="1209" t="s">
        <v>7155</v>
      </c>
      <c r="K597" s="1209" t="s">
        <v>883</v>
      </c>
      <c r="L597" s="1211"/>
      <c r="M597" s="1209" t="s">
        <v>7156</v>
      </c>
      <c r="N597" s="1209" t="s">
        <v>7157</v>
      </c>
      <c r="O597" s="1211"/>
      <c r="P597" s="1211"/>
      <c r="Q597" s="1208">
        <v>1.0</v>
      </c>
      <c r="R597" s="1208"/>
    </row>
    <row r="598" ht="12.75" customHeight="1">
      <c r="A598" s="1209">
        <f t="shared" si="11"/>
        <v>10</v>
      </c>
      <c r="B598" s="1210" t="s">
        <v>7775</v>
      </c>
      <c r="C598" s="1210" t="s">
        <v>7776</v>
      </c>
      <c r="D598" s="1207"/>
      <c r="E598" s="1207" t="s">
        <v>5809</v>
      </c>
      <c r="F598" s="1203" t="s">
        <v>2963</v>
      </c>
      <c r="G598" s="1209"/>
      <c r="H598" s="1209" t="s">
        <v>7486</v>
      </c>
      <c r="I598" s="1210" t="s">
        <v>7154</v>
      </c>
      <c r="J598" s="1209" t="s">
        <v>7155</v>
      </c>
      <c r="K598" s="1209" t="s">
        <v>883</v>
      </c>
      <c r="L598" s="1211"/>
      <c r="M598" s="1209" t="s">
        <v>7156</v>
      </c>
      <c r="N598" s="1209" t="s">
        <v>7157</v>
      </c>
      <c r="O598" s="1211"/>
      <c r="P598" s="1211"/>
      <c r="Q598" s="1208">
        <v>1.0</v>
      </c>
      <c r="R598" s="1208"/>
    </row>
    <row r="599" ht="12.75" customHeight="1">
      <c r="A599" s="1209">
        <f t="shared" si="11"/>
        <v>11</v>
      </c>
      <c r="B599" s="1210" t="s">
        <v>7777</v>
      </c>
      <c r="C599" s="1210" t="s">
        <v>7778</v>
      </c>
      <c r="D599" s="1207"/>
      <c r="E599" s="1207" t="s">
        <v>5809</v>
      </c>
      <c r="F599" s="1203" t="s">
        <v>2963</v>
      </c>
      <c r="G599" s="1213"/>
      <c r="H599" s="1209" t="s">
        <v>7486</v>
      </c>
      <c r="I599" s="1210" t="s">
        <v>7154</v>
      </c>
      <c r="J599" s="1209" t="s">
        <v>7155</v>
      </c>
      <c r="K599" s="1209" t="s">
        <v>883</v>
      </c>
      <c r="L599" s="1211"/>
      <c r="M599" s="1209" t="s">
        <v>7156</v>
      </c>
      <c r="N599" s="1209" t="s">
        <v>7157</v>
      </c>
      <c r="O599" s="1211"/>
      <c r="P599" s="1211"/>
      <c r="Q599" s="1208">
        <v>1.0</v>
      </c>
      <c r="R599" s="1208"/>
    </row>
    <row r="600" ht="12.75" customHeight="1">
      <c r="A600" s="1209">
        <f t="shared" si="11"/>
        <v>12</v>
      </c>
      <c r="B600" s="1210" t="s">
        <v>7779</v>
      </c>
      <c r="C600" s="1210" t="s">
        <v>7780</v>
      </c>
      <c r="D600" s="1207"/>
      <c r="E600" s="1207" t="s">
        <v>5809</v>
      </c>
      <c r="F600" s="1203" t="s">
        <v>2963</v>
      </c>
      <c r="G600" s="1213"/>
      <c r="H600" s="1209" t="s">
        <v>7486</v>
      </c>
      <c r="I600" s="1210" t="s">
        <v>7154</v>
      </c>
      <c r="J600" s="1209" t="s">
        <v>7155</v>
      </c>
      <c r="K600" s="1209" t="s">
        <v>883</v>
      </c>
      <c r="L600" s="1211"/>
      <c r="M600" s="1209" t="s">
        <v>7156</v>
      </c>
      <c r="N600" s="1209" t="s">
        <v>7157</v>
      </c>
      <c r="O600" s="1211"/>
      <c r="P600" s="1211"/>
      <c r="Q600" s="1208">
        <v>1.0</v>
      </c>
      <c r="R600" s="1208"/>
    </row>
    <row r="601" ht="12.75" customHeight="1">
      <c r="A601" s="1209">
        <f t="shared" si="11"/>
        <v>13</v>
      </c>
      <c r="B601" s="1210" t="s">
        <v>7781</v>
      </c>
      <c r="C601" s="1210" t="s">
        <v>7782</v>
      </c>
      <c r="D601" s="1207"/>
      <c r="E601" s="1207" t="s">
        <v>5809</v>
      </c>
      <c r="F601" s="1203" t="s">
        <v>2963</v>
      </c>
      <c r="G601" s="1213"/>
      <c r="H601" s="1209" t="s">
        <v>7486</v>
      </c>
      <c r="I601" s="1210" t="s">
        <v>7154</v>
      </c>
      <c r="J601" s="1209" t="s">
        <v>7155</v>
      </c>
      <c r="K601" s="1209" t="s">
        <v>883</v>
      </c>
      <c r="L601" s="1211"/>
      <c r="M601" s="1209" t="s">
        <v>7156</v>
      </c>
      <c r="N601" s="1209" t="s">
        <v>7157</v>
      </c>
      <c r="O601" s="1211"/>
      <c r="P601" s="1211"/>
      <c r="Q601" s="1208">
        <v>1.0</v>
      </c>
      <c r="R601" s="1208"/>
    </row>
    <row r="602" ht="12.75" customHeight="1">
      <c r="A602" s="1209">
        <f t="shared" si="11"/>
        <v>14</v>
      </c>
      <c r="B602" s="1210" t="s">
        <v>7783</v>
      </c>
      <c r="C602" s="1210" t="s">
        <v>7784</v>
      </c>
      <c r="D602" s="1207"/>
      <c r="E602" s="1207" t="s">
        <v>5809</v>
      </c>
      <c r="F602" s="1203" t="s">
        <v>2963</v>
      </c>
      <c r="G602" s="1213"/>
      <c r="H602" s="1209" t="s">
        <v>7486</v>
      </c>
      <c r="I602" s="1210" t="s">
        <v>7154</v>
      </c>
      <c r="J602" s="1209" t="s">
        <v>7155</v>
      </c>
      <c r="K602" s="1209" t="s">
        <v>883</v>
      </c>
      <c r="L602" s="1211"/>
      <c r="M602" s="1209" t="s">
        <v>7156</v>
      </c>
      <c r="N602" s="1209" t="s">
        <v>7157</v>
      </c>
      <c r="O602" s="1211"/>
      <c r="P602" s="1211"/>
      <c r="Q602" s="1208">
        <v>1.0</v>
      </c>
      <c r="R602" s="1208"/>
    </row>
    <row r="603" ht="12.75" customHeight="1">
      <c r="A603" s="1209">
        <f t="shared" si="11"/>
        <v>15</v>
      </c>
      <c r="B603" s="1210" t="s">
        <v>7785</v>
      </c>
      <c r="C603" s="1210" t="s">
        <v>7786</v>
      </c>
      <c r="D603" s="1207"/>
      <c r="E603" s="1207" t="s">
        <v>5809</v>
      </c>
      <c r="F603" s="1203" t="s">
        <v>2963</v>
      </c>
      <c r="G603" s="1213"/>
      <c r="H603" s="1209" t="s">
        <v>7486</v>
      </c>
      <c r="I603" s="1210" t="s">
        <v>7154</v>
      </c>
      <c r="J603" s="1209" t="s">
        <v>7155</v>
      </c>
      <c r="K603" s="1209" t="s">
        <v>883</v>
      </c>
      <c r="L603" s="1211"/>
      <c r="M603" s="1209" t="s">
        <v>7156</v>
      </c>
      <c r="N603" s="1209" t="s">
        <v>7157</v>
      </c>
      <c r="O603" s="1211"/>
      <c r="P603" s="1211"/>
      <c r="Q603" s="1208">
        <v>1.0</v>
      </c>
      <c r="R603" s="1208"/>
    </row>
    <row r="604" ht="12.75" customHeight="1">
      <c r="A604" s="1209">
        <f t="shared" si="11"/>
        <v>16</v>
      </c>
      <c r="B604" s="1210" t="s">
        <v>7787</v>
      </c>
      <c r="C604" s="1210" t="s">
        <v>7788</v>
      </c>
      <c r="D604" s="1207"/>
      <c r="E604" s="1207" t="s">
        <v>5809</v>
      </c>
      <c r="F604" s="1203" t="s">
        <v>2963</v>
      </c>
      <c r="G604" s="1213"/>
      <c r="H604" s="1209" t="s">
        <v>7486</v>
      </c>
      <c r="I604" s="1210" t="s">
        <v>7154</v>
      </c>
      <c r="J604" s="1209" t="s">
        <v>7155</v>
      </c>
      <c r="K604" s="1209" t="s">
        <v>883</v>
      </c>
      <c r="L604" s="1211"/>
      <c r="M604" s="1209" t="s">
        <v>7156</v>
      </c>
      <c r="N604" s="1209" t="s">
        <v>7157</v>
      </c>
      <c r="O604" s="1211"/>
      <c r="P604" s="1211"/>
      <c r="Q604" s="1208">
        <v>1.0</v>
      </c>
      <c r="R604" s="1208"/>
    </row>
    <row r="605" ht="12.75" customHeight="1">
      <c r="A605" s="1209">
        <f t="shared" si="11"/>
        <v>17</v>
      </c>
      <c r="B605" s="1210" t="s">
        <v>7789</v>
      </c>
      <c r="C605" s="1210" t="s">
        <v>7790</v>
      </c>
      <c r="D605" s="1207"/>
      <c r="E605" s="1207" t="s">
        <v>5809</v>
      </c>
      <c r="F605" s="1203" t="s">
        <v>2963</v>
      </c>
      <c r="G605" s="1209"/>
      <c r="H605" s="1209" t="s">
        <v>7486</v>
      </c>
      <c r="I605" s="1210" t="s">
        <v>7154</v>
      </c>
      <c r="J605" s="1209" t="s">
        <v>7155</v>
      </c>
      <c r="K605" s="1209" t="s">
        <v>883</v>
      </c>
      <c r="L605" s="1211"/>
      <c r="M605" s="1209" t="s">
        <v>7156</v>
      </c>
      <c r="N605" s="1209" t="s">
        <v>7157</v>
      </c>
      <c r="O605" s="1211"/>
      <c r="P605" s="1211"/>
      <c r="Q605" s="1208">
        <v>1.0</v>
      </c>
      <c r="R605" s="1208"/>
    </row>
    <row r="606" ht="12.75" customHeight="1">
      <c r="A606" s="1209">
        <f t="shared" si="11"/>
        <v>18</v>
      </c>
      <c r="B606" s="1210" t="s">
        <v>7791</v>
      </c>
      <c r="C606" s="1210" t="s">
        <v>7792</v>
      </c>
      <c r="D606" s="1207"/>
      <c r="E606" s="1207" t="s">
        <v>5809</v>
      </c>
      <c r="F606" s="1203" t="s">
        <v>2963</v>
      </c>
      <c r="G606" s="1213"/>
      <c r="H606" s="1209" t="s">
        <v>7486</v>
      </c>
      <c r="I606" s="1210" t="s">
        <v>7154</v>
      </c>
      <c r="J606" s="1209" t="s">
        <v>7155</v>
      </c>
      <c r="K606" s="1209" t="s">
        <v>883</v>
      </c>
      <c r="L606" s="1211"/>
      <c r="M606" s="1209" t="s">
        <v>7156</v>
      </c>
      <c r="N606" s="1209" t="s">
        <v>7157</v>
      </c>
      <c r="O606" s="1211"/>
      <c r="P606" s="1211"/>
      <c r="Q606" s="1208">
        <v>1.0</v>
      </c>
      <c r="R606" s="1208"/>
    </row>
    <row r="607" ht="12.75" customHeight="1">
      <c r="A607" s="1209">
        <f t="shared" si="11"/>
        <v>19</v>
      </c>
      <c r="B607" s="1210" t="s">
        <v>7793</v>
      </c>
      <c r="C607" s="1210" t="s">
        <v>7794</v>
      </c>
      <c r="D607" s="1207"/>
      <c r="E607" s="1207" t="s">
        <v>5809</v>
      </c>
      <c r="F607" s="1203" t="s">
        <v>2963</v>
      </c>
      <c r="G607" s="1213"/>
      <c r="H607" s="1209" t="s">
        <v>7486</v>
      </c>
      <c r="I607" s="1210" t="s">
        <v>7154</v>
      </c>
      <c r="J607" s="1209" t="s">
        <v>7155</v>
      </c>
      <c r="K607" s="1209" t="s">
        <v>883</v>
      </c>
      <c r="L607" s="1211"/>
      <c r="M607" s="1209" t="s">
        <v>7156</v>
      </c>
      <c r="N607" s="1209" t="s">
        <v>7157</v>
      </c>
      <c r="O607" s="1211"/>
      <c r="P607" s="1211"/>
      <c r="Q607" s="1208">
        <v>1.0</v>
      </c>
      <c r="R607" s="1208"/>
    </row>
    <row r="608" ht="12.75" customHeight="1">
      <c r="A608" s="1209">
        <f t="shared" si="11"/>
        <v>20</v>
      </c>
      <c r="B608" s="1210" t="s">
        <v>7795</v>
      </c>
      <c r="C608" s="1210" t="s">
        <v>7796</v>
      </c>
      <c r="D608" s="1207"/>
      <c r="E608" s="1207" t="s">
        <v>5809</v>
      </c>
      <c r="F608" s="1203" t="s">
        <v>2963</v>
      </c>
      <c r="G608" s="1213"/>
      <c r="H608" s="1209" t="s">
        <v>7486</v>
      </c>
      <c r="I608" s="1210" t="s">
        <v>7154</v>
      </c>
      <c r="J608" s="1209" t="s">
        <v>7155</v>
      </c>
      <c r="K608" s="1209" t="s">
        <v>883</v>
      </c>
      <c r="L608" s="1211"/>
      <c r="M608" s="1209" t="s">
        <v>7156</v>
      </c>
      <c r="N608" s="1209" t="s">
        <v>7157</v>
      </c>
      <c r="O608" s="1211"/>
      <c r="P608" s="1211"/>
      <c r="Q608" s="1208">
        <v>1.0</v>
      </c>
      <c r="R608" s="1208"/>
    </row>
    <row r="609" ht="12.75" customHeight="1">
      <c r="A609" s="1209">
        <f t="shared" si="11"/>
        <v>21</v>
      </c>
      <c r="B609" s="1210" t="s">
        <v>7797</v>
      </c>
      <c r="C609" s="1210" t="s">
        <v>7798</v>
      </c>
      <c r="D609" s="1207"/>
      <c r="E609" s="1207" t="s">
        <v>5809</v>
      </c>
      <c r="F609" s="1203" t="s">
        <v>2963</v>
      </c>
      <c r="G609" s="1213"/>
      <c r="H609" s="1209" t="s">
        <v>7486</v>
      </c>
      <c r="I609" s="1210" t="s">
        <v>7154</v>
      </c>
      <c r="J609" s="1209" t="s">
        <v>7155</v>
      </c>
      <c r="K609" s="1209" t="s">
        <v>883</v>
      </c>
      <c r="L609" s="1211"/>
      <c r="M609" s="1209" t="s">
        <v>7156</v>
      </c>
      <c r="N609" s="1209" t="s">
        <v>7157</v>
      </c>
      <c r="O609" s="1211"/>
      <c r="P609" s="1211"/>
      <c r="Q609" s="1208">
        <v>1.0</v>
      </c>
      <c r="R609" s="1208"/>
    </row>
    <row r="610" ht="12.75" customHeight="1">
      <c r="A610" s="1209">
        <f t="shared" si="11"/>
        <v>22</v>
      </c>
      <c r="B610" s="1210" t="s">
        <v>7799</v>
      </c>
      <c r="C610" s="1210" t="s">
        <v>7800</v>
      </c>
      <c r="D610" s="1207"/>
      <c r="E610" s="1207" t="s">
        <v>5809</v>
      </c>
      <c r="F610" s="1203" t="s">
        <v>2963</v>
      </c>
      <c r="G610" s="1213"/>
      <c r="H610" s="1209" t="s">
        <v>7486</v>
      </c>
      <c r="I610" s="1210" t="s">
        <v>7154</v>
      </c>
      <c r="J610" s="1209" t="s">
        <v>7155</v>
      </c>
      <c r="K610" s="1209" t="s">
        <v>883</v>
      </c>
      <c r="L610" s="1211"/>
      <c r="M610" s="1209" t="s">
        <v>7156</v>
      </c>
      <c r="N610" s="1209" t="s">
        <v>7157</v>
      </c>
      <c r="O610" s="1211"/>
      <c r="P610" s="1211"/>
      <c r="Q610" s="1208">
        <v>1.0</v>
      </c>
      <c r="R610" s="1208"/>
    </row>
    <row r="611" ht="12.75" customHeight="1">
      <c r="A611" s="1209">
        <f t="shared" si="11"/>
        <v>23</v>
      </c>
      <c r="B611" s="1210" t="s">
        <v>7801</v>
      </c>
      <c r="C611" s="1210" t="s">
        <v>7802</v>
      </c>
      <c r="D611" s="1207"/>
      <c r="E611" s="1207" t="s">
        <v>5809</v>
      </c>
      <c r="F611" s="1203" t="s">
        <v>2963</v>
      </c>
      <c r="G611" s="1213"/>
      <c r="H611" s="1209" t="s">
        <v>7486</v>
      </c>
      <c r="I611" s="1210" t="s">
        <v>7154</v>
      </c>
      <c r="J611" s="1209" t="s">
        <v>7155</v>
      </c>
      <c r="K611" s="1209" t="s">
        <v>883</v>
      </c>
      <c r="L611" s="1211"/>
      <c r="M611" s="1209" t="s">
        <v>7156</v>
      </c>
      <c r="N611" s="1209" t="s">
        <v>7157</v>
      </c>
      <c r="O611" s="1211"/>
      <c r="P611" s="1211"/>
      <c r="Q611" s="1208">
        <v>1.0</v>
      </c>
      <c r="R611" s="1208"/>
    </row>
    <row r="612" ht="12.75" customHeight="1">
      <c r="A612" s="1209">
        <f t="shared" si="11"/>
        <v>24</v>
      </c>
      <c r="B612" s="1210" t="s">
        <v>7803</v>
      </c>
      <c r="C612" s="1210" t="s">
        <v>7804</v>
      </c>
      <c r="D612" s="1207"/>
      <c r="E612" s="1207" t="s">
        <v>5809</v>
      </c>
      <c r="F612" s="1203" t="s">
        <v>2963</v>
      </c>
      <c r="G612" s="1213"/>
      <c r="H612" s="1209" t="s">
        <v>7486</v>
      </c>
      <c r="I612" s="1210" t="s">
        <v>7154</v>
      </c>
      <c r="J612" s="1209" t="s">
        <v>7155</v>
      </c>
      <c r="K612" s="1209" t="s">
        <v>883</v>
      </c>
      <c r="L612" s="1211"/>
      <c r="M612" s="1209" t="s">
        <v>7156</v>
      </c>
      <c r="N612" s="1209" t="s">
        <v>7157</v>
      </c>
      <c r="O612" s="1211"/>
      <c r="P612" s="1211"/>
      <c r="Q612" s="1208">
        <v>1.0</v>
      </c>
      <c r="R612" s="1208"/>
    </row>
    <row r="613" ht="12.75" customHeight="1">
      <c r="A613" s="1209">
        <f t="shared" si="11"/>
        <v>25</v>
      </c>
      <c r="B613" s="1217" t="s">
        <v>7805</v>
      </c>
      <c r="C613" s="1218"/>
      <c r="D613" s="1219" t="s">
        <v>7150</v>
      </c>
      <c r="E613" s="1219" t="s">
        <v>5809</v>
      </c>
      <c r="F613" s="1203"/>
      <c r="G613" s="1220" t="s">
        <v>7152</v>
      </c>
      <c r="H613" s="1220" t="s">
        <v>7486</v>
      </c>
      <c r="I613" s="1217" t="s">
        <v>7154</v>
      </c>
      <c r="J613" s="1220" t="s">
        <v>7155</v>
      </c>
      <c r="K613" s="1220" t="s">
        <v>883</v>
      </c>
      <c r="L613" s="1218"/>
      <c r="M613" s="1220" t="s">
        <v>7156</v>
      </c>
      <c r="N613" s="1220" t="s">
        <v>7157</v>
      </c>
      <c r="O613" s="1218"/>
      <c r="P613" s="1218"/>
      <c r="Q613" s="1208">
        <v>1.0</v>
      </c>
      <c r="R613" s="1208"/>
    </row>
    <row r="614" ht="12.75" customHeight="1">
      <c r="A614" s="1209">
        <f>1+A8</f>
        <v>5</v>
      </c>
      <c r="B614" s="1210" t="s">
        <v>7806</v>
      </c>
      <c r="C614" s="1211"/>
      <c r="D614" s="1207"/>
      <c r="E614" s="1207" t="s">
        <v>5809</v>
      </c>
      <c r="F614" s="1203" t="s">
        <v>2963</v>
      </c>
      <c r="G614" s="1221">
        <v>45543.0</v>
      </c>
      <c r="H614" s="1209" t="s">
        <v>7486</v>
      </c>
      <c r="I614" s="1210" t="s">
        <v>7154</v>
      </c>
      <c r="J614" s="1209" t="s">
        <v>7155</v>
      </c>
      <c r="K614" s="1209" t="s">
        <v>883</v>
      </c>
      <c r="L614" s="1211"/>
      <c r="M614" s="1209" t="s">
        <v>7156</v>
      </c>
      <c r="N614" s="1209" t="s">
        <v>7157</v>
      </c>
      <c r="O614" s="1211"/>
      <c r="P614" s="1211"/>
      <c r="Q614" s="1208">
        <v>1.0</v>
      </c>
      <c r="R614" s="1208"/>
    </row>
    <row r="615" ht="12.75" customHeight="1">
      <c r="A615" s="1209">
        <f>1+A10</f>
        <v>8</v>
      </c>
      <c r="B615" s="1210" t="s">
        <v>7807</v>
      </c>
      <c r="C615" s="1211"/>
      <c r="D615" s="1207"/>
      <c r="E615" s="1207" t="s">
        <v>5809</v>
      </c>
      <c r="F615" s="1203" t="s">
        <v>2963</v>
      </c>
      <c r="G615" s="1221">
        <v>45543.0</v>
      </c>
      <c r="H615" s="1209" t="s">
        <v>7486</v>
      </c>
      <c r="I615" s="1210" t="s">
        <v>7154</v>
      </c>
      <c r="J615" s="1209" t="s">
        <v>7155</v>
      </c>
      <c r="K615" s="1209" t="s">
        <v>883</v>
      </c>
      <c r="L615" s="1211"/>
      <c r="M615" s="1209" t="s">
        <v>7156</v>
      </c>
      <c r="N615" s="1209" t="s">
        <v>7157</v>
      </c>
      <c r="O615" s="1211"/>
      <c r="P615" s="1211"/>
      <c r="Q615" s="1208">
        <v>1.0</v>
      </c>
      <c r="R615" s="1208"/>
    </row>
    <row r="616" ht="12.75" customHeight="1">
      <c r="A616" s="1209">
        <f>1+A613</f>
        <v>26</v>
      </c>
      <c r="B616" s="1210" t="s">
        <v>7808</v>
      </c>
      <c r="C616" s="1211"/>
      <c r="D616" s="1207" t="s">
        <v>7150</v>
      </c>
      <c r="E616" s="1207" t="s">
        <v>5809</v>
      </c>
      <c r="F616" s="1203" t="s">
        <v>2963</v>
      </c>
      <c r="G616" s="1220" t="s">
        <v>7152</v>
      </c>
      <c r="H616" s="1209" t="s">
        <v>7486</v>
      </c>
      <c r="I616" s="1210" t="s">
        <v>7154</v>
      </c>
      <c r="J616" s="1209" t="s">
        <v>7155</v>
      </c>
      <c r="K616" s="1209" t="s">
        <v>883</v>
      </c>
      <c r="L616" s="1211"/>
      <c r="M616" s="1209" t="s">
        <v>7156</v>
      </c>
      <c r="N616" s="1209" t="s">
        <v>7157</v>
      </c>
      <c r="O616" s="1211"/>
      <c r="P616" s="1211"/>
      <c r="Q616" s="1208">
        <v>1.0</v>
      </c>
      <c r="R616" s="1208"/>
    </row>
    <row r="617" ht="12.75" customHeight="1">
      <c r="A617" s="1203">
        <v>1.0</v>
      </c>
      <c r="B617" s="1204" t="s">
        <v>7809</v>
      </c>
      <c r="C617" s="1205"/>
      <c r="D617" s="1206"/>
      <c r="E617" s="1207" t="s">
        <v>5810</v>
      </c>
      <c r="F617" s="1203" t="s">
        <v>2963</v>
      </c>
      <c r="G617" s="1222">
        <v>45305.0</v>
      </c>
      <c r="H617" s="1223" t="s">
        <v>7810</v>
      </c>
      <c r="I617" s="1223"/>
      <c r="J617" s="1224" t="s">
        <v>7161</v>
      </c>
      <c r="K617" s="1203" t="s">
        <v>740</v>
      </c>
      <c r="L617" s="1205"/>
      <c r="M617" s="1203" t="s">
        <v>7162</v>
      </c>
      <c r="N617" s="1203" t="s">
        <v>7163</v>
      </c>
      <c r="O617" s="1224">
        <v>220330.0</v>
      </c>
      <c r="P617" s="1205"/>
      <c r="Q617" s="1208">
        <v>0.5</v>
      </c>
      <c r="R617" s="1208"/>
    </row>
    <row r="618" ht="12.75" customHeight="1">
      <c r="A618" s="1209">
        <v>2.0</v>
      </c>
      <c r="B618" s="1210" t="s">
        <v>7811</v>
      </c>
      <c r="C618" s="1211"/>
      <c r="D618" s="1212"/>
      <c r="E618" s="1207" t="s">
        <v>5810</v>
      </c>
      <c r="F618" s="1203" t="s">
        <v>2963</v>
      </c>
      <c r="G618" s="1222">
        <v>45305.0</v>
      </c>
      <c r="H618" s="1225" t="s">
        <v>7810</v>
      </c>
      <c r="I618" s="1223"/>
      <c r="J618" s="1224" t="s">
        <v>7161</v>
      </c>
      <c r="K618" s="1203" t="s">
        <v>740</v>
      </c>
      <c r="L618" s="1205"/>
      <c r="M618" s="1203" t="s">
        <v>7162</v>
      </c>
      <c r="N618" s="1203" t="s">
        <v>7163</v>
      </c>
      <c r="O618" s="1224">
        <v>201511.0</v>
      </c>
      <c r="P618" s="1211"/>
      <c r="Q618" s="1208">
        <v>0.5</v>
      </c>
      <c r="R618" s="1208"/>
    </row>
    <row r="619" ht="12.75" customHeight="1">
      <c r="A619" s="1203">
        <v>3.0</v>
      </c>
      <c r="B619" s="1210" t="s">
        <v>7812</v>
      </c>
      <c r="C619" s="1211"/>
      <c r="D619" s="1212"/>
      <c r="E619" s="1207" t="s">
        <v>5810</v>
      </c>
      <c r="F619" s="1203" t="s">
        <v>2963</v>
      </c>
      <c r="G619" s="1226">
        <v>45241.0</v>
      </c>
      <c r="H619" s="1225" t="s">
        <v>7810</v>
      </c>
      <c r="I619" s="1223"/>
      <c r="J619" s="1224" t="s">
        <v>7161</v>
      </c>
      <c r="K619" s="1203" t="s">
        <v>740</v>
      </c>
      <c r="L619" s="1205"/>
      <c r="M619" s="1203" t="s">
        <v>7162</v>
      </c>
      <c r="N619" s="1203" t="s">
        <v>7163</v>
      </c>
      <c r="O619" s="1224">
        <v>230317.0</v>
      </c>
      <c r="P619" s="1211"/>
      <c r="Q619" s="1208">
        <v>0.5</v>
      </c>
      <c r="R619" s="1208"/>
    </row>
    <row r="620" ht="12.75" customHeight="1">
      <c r="A620" s="1209">
        <v>4.0</v>
      </c>
      <c r="B620" s="1210" t="s">
        <v>7813</v>
      </c>
      <c r="C620" s="1211"/>
      <c r="D620" s="1212"/>
      <c r="E620" s="1207" t="s">
        <v>5810</v>
      </c>
      <c r="F620" s="1203" t="s">
        <v>2963</v>
      </c>
      <c r="G620" s="1226">
        <v>45241.0</v>
      </c>
      <c r="H620" s="1225" t="s">
        <v>7810</v>
      </c>
      <c r="I620" s="1223"/>
      <c r="J620" s="1224" t="s">
        <v>7161</v>
      </c>
      <c r="K620" s="1203" t="s">
        <v>740</v>
      </c>
      <c r="L620" s="1205"/>
      <c r="M620" s="1203" t="s">
        <v>7162</v>
      </c>
      <c r="N620" s="1203" t="s">
        <v>7163</v>
      </c>
      <c r="O620" s="1224">
        <v>220330.0</v>
      </c>
      <c r="P620" s="1211"/>
      <c r="Q620" s="1208">
        <v>0.5</v>
      </c>
      <c r="R620" s="1208"/>
    </row>
    <row r="621" ht="12.75" customHeight="1">
      <c r="A621" s="1203">
        <v>5.0</v>
      </c>
      <c r="B621" s="1210" t="s">
        <v>7814</v>
      </c>
      <c r="C621" s="1211"/>
      <c r="D621" s="1212"/>
      <c r="E621" s="1207" t="s">
        <v>5810</v>
      </c>
      <c r="F621" s="1203" t="s">
        <v>2963</v>
      </c>
      <c r="G621" s="1226">
        <v>45241.0</v>
      </c>
      <c r="H621" s="1225" t="s">
        <v>7810</v>
      </c>
      <c r="I621" s="1223"/>
      <c r="J621" s="1224" t="s">
        <v>7161</v>
      </c>
      <c r="K621" s="1203" t="s">
        <v>740</v>
      </c>
      <c r="L621" s="1205"/>
      <c r="M621" s="1203" t="s">
        <v>7162</v>
      </c>
      <c r="N621" s="1203" t="s">
        <v>7163</v>
      </c>
      <c r="O621" s="1224">
        <v>201511.0</v>
      </c>
      <c r="P621" s="1211"/>
      <c r="Q621" s="1208">
        <v>0.5</v>
      </c>
      <c r="R621" s="1208"/>
    </row>
    <row r="622" ht="12.75" customHeight="1">
      <c r="A622" s="1209">
        <v>6.0</v>
      </c>
      <c r="B622" s="1210" t="s">
        <v>7815</v>
      </c>
      <c r="C622" s="1211"/>
      <c r="D622" s="1212"/>
      <c r="E622" s="1207" t="s">
        <v>5810</v>
      </c>
      <c r="F622" s="1203" t="s">
        <v>2963</v>
      </c>
      <c r="G622" s="1226">
        <v>45241.0</v>
      </c>
      <c r="H622" s="1225" t="s">
        <v>7810</v>
      </c>
      <c r="I622" s="1223"/>
      <c r="J622" s="1224" t="s">
        <v>7161</v>
      </c>
      <c r="K622" s="1203" t="s">
        <v>740</v>
      </c>
      <c r="L622" s="1205"/>
      <c r="M622" s="1203" t="s">
        <v>7162</v>
      </c>
      <c r="N622" s="1203" t="s">
        <v>7163</v>
      </c>
      <c r="O622" s="1224">
        <v>220317.0</v>
      </c>
      <c r="P622" s="1211"/>
      <c r="Q622" s="1208">
        <v>0.5</v>
      </c>
      <c r="R622" s="1208"/>
    </row>
    <row r="623" ht="12.75" customHeight="1">
      <c r="A623" s="1203">
        <v>7.0</v>
      </c>
      <c r="B623" s="1210" t="s">
        <v>7816</v>
      </c>
      <c r="C623" s="1211"/>
      <c r="D623" s="1212"/>
      <c r="E623" s="1207" t="s">
        <v>5810</v>
      </c>
      <c r="F623" s="1203" t="s">
        <v>2963</v>
      </c>
      <c r="G623" s="1226">
        <v>45241.0</v>
      </c>
      <c r="H623" s="1225" t="s">
        <v>7810</v>
      </c>
      <c r="I623" s="1223"/>
      <c r="J623" s="1224" t="s">
        <v>7161</v>
      </c>
      <c r="K623" s="1203" t="s">
        <v>740</v>
      </c>
      <c r="L623" s="1205"/>
      <c r="M623" s="1203" t="s">
        <v>7162</v>
      </c>
      <c r="N623" s="1203" t="s">
        <v>7163</v>
      </c>
      <c r="O623" s="1224">
        <v>220317.0</v>
      </c>
      <c r="P623" s="1211"/>
      <c r="Q623" s="1208">
        <v>0.5</v>
      </c>
      <c r="R623" s="1208"/>
    </row>
    <row r="624" ht="12.75" customHeight="1">
      <c r="A624" s="1209">
        <v>8.0</v>
      </c>
      <c r="B624" s="1210" t="s">
        <v>7817</v>
      </c>
      <c r="C624" s="1211"/>
      <c r="D624" s="1212"/>
      <c r="E624" s="1207" t="s">
        <v>5810</v>
      </c>
      <c r="F624" s="1203" t="s">
        <v>2963</v>
      </c>
      <c r="G624" s="1226">
        <v>45241.0</v>
      </c>
      <c r="H624" s="1225" t="s">
        <v>7810</v>
      </c>
      <c r="I624" s="1223"/>
      <c r="J624" s="1224" t="s">
        <v>7161</v>
      </c>
      <c r="K624" s="1203" t="s">
        <v>740</v>
      </c>
      <c r="L624" s="1205"/>
      <c r="M624" s="1203" t="s">
        <v>7162</v>
      </c>
      <c r="N624" s="1203" t="s">
        <v>7163</v>
      </c>
      <c r="O624" s="1224">
        <v>220317.0</v>
      </c>
      <c r="P624" s="1211"/>
      <c r="Q624" s="1208">
        <v>0.5</v>
      </c>
      <c r="R624" s="1208"/>
    </row>
    <row r="625" ht="12.75" customHeight="1">
      <c r="A625" s="1209">
        <v>24.0</v>
      </c>
      <c r="B625" s="1210" t="s">
        <v>7818</v>
      </c>
      <c r="C625" s="1211"/>
      <c r="D625" s="1212"/>
      <c r="E625" s="1207" t="s">
        <v>5810</v>
      </c>
      <c r="F625" s="1203" t="s">
        <v>2963</v>
      </c>
      <c r="G625" s="1227">
        <v>45485.0</v>
      </c>
      <c r="H625" s="1225" t="s">
        <v>7810</v>
      </c>
      <c r="I625" s="1223"/>
      <c r="J625" s="1224" t="s">
        <v>1093</v>
      </c>
      <c r="K625" s="1203" t="s">
        <v>740</v>
      </c>
      <c r="L625" s="1205"/>
      <c r="M625" s="1203" t="s">
        <v>7210</v>
      </c>
      <c r="N625" s="1203" t="s">
        <v>7211</v>
      </c>
      <c r="O625" s="663" t="s">
        <v>7819</v>
      </c>
      <c r="P625" s="1211"/>
      <c r="Q625" s="1208">
        <v>0.5</v>
      </c>
      <c r="R625" s="1208"/>
    </row>
    <row r="626" ht="12.75" customHeight="1">
      <c r="A626" s="1203">
        <v>25.0</v>
      </c>
      <c r="B626" s="1210" t="s">
        <v>7820</v>
      </c>
      <c r="C626" s="1210"/>
      <c r="D626" s="1212"/>
      <c r="E626" s="1207" t="s">
        <v>5810</v>
      </c>
      <c r="F626" s="1203" t="s">
        <v>2963</v>
      </c>
      <c r="G626" s="1227">
        <v>45871.0</v>
      </c>
      <c r="H626" s="1225" t="s">
        <v>7810</v>
      </c>
      <c r="I626" s="1223"/>
      <c r="J626" s="1224" t="s">
        <v>1093</v>
      </c>
      <c r="K626" s="1203" t="s">
        <v>740</v>
      </c>
      <c r="L626" s="1205"/>
      <c r="M626" s="1203" t="s">
        <v>7210</v>
      </c>
      <c r="N626" s="1203" t="s">
        <v>7211</v>
      </c>
      <c r="O626" s="1228" t="s">
        <v>7821</v>
      </c>
      <c r="P626" s="1211"/>
      <c r="Q626" s="1208">
        <v>0.5</v>
      </c>
      <c r="R626" s="1208"/>
    </row>
    <row r="627" ht="12.75" customHeight="1">
      <c r="A627" s="1209">
        <v>26.0</v>
      </c>
      <c r="B627" s="1210" t="s">
        <v>7822</v>
      </c>
      <c r="C627" s="1210"/>
      <c r="D627" s="1212"/>
      <c r="E627" s="1207" t="s">
        <v>5810</v>
      </c>
      <c r="F627" s="1203" t="s">
        <v>2963</v>
      </c>
      <c r="G627" s="1227">
        <v>45871.0</v>
      </c>
      <c r="H627" s="1225" t="s">
        <v>7810</v>
      </c>
      <c r="I627" s="1223"/>
      <c r="J627" s="1224" t="s">
        <v>1093</v>
      </c>
      <c r="K627" s="1203" t="s">
        <v>740</v>
      </c>
      <c r="L627" s="1205"/>
      <c r="M627" s="1203" t="s">
        <v>7210</v>
      </c>
      <c r="N627" s="1203" t="s">
        <v>7211</v>
      </c>
      <c r="O627" s="1228" t="s">
        <v>7823</v>
      </c>
      <c r="P627" s="1211"/>
      <c r="Q627" s="1208">
        <v>0.5</v>
      </c>
      <c r="R627" s="1208"/>
    </row>
    <row r="628" ht="12.75" customHeight="1">
      <c r="A628" s="1203">
        <v>27.0</v>
      </c>
      <c r="B628" s="1210" t="s">
        <v>7824</v>
      </c>
      <c r="C628" s="1210"/>
      <c r="D628" s="1212"/>
      <c r="E628" s="1207" t="s">
        <v>5810</v>
      </c>
      <c r="F628" s="1203" t="s">
        <v>2963</v>
      </c>
      <c r="G628" s="1227">
        <v>45871.0</v>
      </c>
      <c r="H628" s="1225" t="s">
        <v>7810</v>
      </c>
      <c r="I628" s="1223"/>
      <c r="J628" s="1224" t="s">
        <v>1093</v>
      </c>
      <c r="K628" s="1203" t="s">
        <v>740</v>
      </c>
      <c r="L628" s="1205"/>
      <c r="M628" s="1203" t="s">
        <v>7210</v>
      </c>
      <c r="N628" s="1203" t="s">
        <v>7211</v>
      </c>
      <c r="O628" s="1228" t="s">
        <v>7825</v>
      </c>
      <c r="P628" s="1211"/>
      <c r="Q628" s="1208">
        <v>0.5</v>
      </c>
      <c r="R628" s="1208"/>
    </row>
    <row r="629" ht="12.75" customHeight="1">
      <c r="A629" s="1209">
        <v>18.0</v>
      </c>
      <c r="B629" s="1210" t="s">
        <v>7826</v>
      </c>
      <c r="C629" s="1211"/>
      <c r="D629" s="1212"/>
      <c r="E629" s="1207" t="s">
        <v>5810</v>
      </c>
      <c r="F629" s="1203" t="s">
        <v>2963</v>
      </c>
      <c r="G629" s="1229"/>
      <c r="H629" s="1225" t="s">
        <v>7810</v>
      </c>
      <c r="I629" s="1223" t="s">
        <v>7827</v>
      </c>
      <c r="J629" s="1224" t="s">
        <v>1093</v>
      </c>
      <c r="K629" s="1203" t="s">
        <v>740</v>
      </c>
      <c r="L629" s="1205"/>
      <c r="M629" s="1203" t="s">
        <v>7210</v>
      </c>
      <c r="N629" s="1203" t="s">
        <v>7211</v>
      </c>
      <c r="O629" s="1224"/>
      <c r="P629" s="1211"/>
      <c r="Q629" s="1208">
        <v>0.5</v>
      </c>
      <c r="R629" s="1208"/>
    </row>
    <row r="630" ht="12.75" customHeight="1">
      <c r="A630" s="1203">
        <v>19.0</v>
      </c>
      <c r="B630" s="1210" t="s">
        <v>7828</v>
      </c>
      <c r="C630" s="1211"/>
      <c r="D630" s="1212"/>
      <c r="E630" s="1207" t="s">
        <v>5810</v>
      </c>
      <c r="F630" s="1203" t="s">
        <v>2963</v>
      </c>
      <c r="G630" s="1229"/>
      <c r="H630" s="1225" t="s">
        <v>7810</v>
      </c>
      <c r="I630" s="1223" t="s">
        <v>7827</v>
      </c>
      <c r="J630" s="1224" t="s">
        <v>1093</v>
      </c>
      <c r="K630" s="1203" t="s">
        <v>740</v>
      </c>
      <c r="L630" s="1205"/>
      <c r="M630" s="1203" t="s">
        <v>7210</v>
      </c>
      <c r="N630" s="1203" t="s">
        <v>7211</v>
      </c>
      <c r="O630" s="1224"/>
      <c r="P630" s="1211"/>
      <c r="Q630" s="1208">
        <v>0.5</v>
      </c>
      <c r="R630" s="1208"/>
    </row>
    <row r="631" ht="12.75" customHeight="1">
      <c r="A631" s="1209">
        <v>20.0</v>
      </c>
      <c r="B631" s="1210" t="s">
        <v>7829</v>
      </c>
      <c r="C631" s="1211"/>
      <c r="D631" s="1212"/>
      <c r="E631" s="1207" t="s">
        <v>5810</v>
      </c>
      <c r="F631" s="1203" t="s">
        <v>2963</v>
      </c>
      <c r="G631" s="1229"/>
      <c r="H631" s="1225" t="s">
        <v>7810</v>
      </c>
      <c r="I631" s="1223" t="s">
        <v>7827</v>
      </c>
      <c r="J631" s="1203" t="s">
        <v>7161</v>
      </c>
      <c r="K631" s="1203" t="s">
        <v>740</v>
      </c>
      <c r="L631" s="1205"/>
      <c r="M631" s="1203" t="s">
        <v>7162</v>
      </c>
      <c r="N631" s="1203" t="s">
        <v>7163</v>
      </c>
      <c r="O631" s="1224"/>
      <c r="P631" s="1211"/>
      <c r="Q631" s="1208">
        <v>0.5</v>
      </c>
      <c r="R631" s="1208"/>
    </row>
    <row r="632" ht="12.75" customHeight="1">
      <c r="A632" s="1203">
        <v>21.0</v>
      </c>
      <c r="B632" s="1210" t="s">
        <v>7830</v>
      </c>
      <c r="C632" s="1211"/>
      <c r="D632" s="1212"/>
      <c r="E632" s="1207" t="s">
        <v>5810</v>
      </c>
      <c r="F632" s="1203" t="s">
        <v>2963</v>
      </c>
      <c r="G632" s="1227">
        <v>45485.0</v>
      </c>
      <c r="H632" s="1225" t="s">
        <v>7810</v>
      </c>
      <c r="I632" s="1223"/>
      <c r="J632" s="1224" t="s">
        <v>1093</v>
      </c>
      <c r="K632" s="1203" t="s">
        <v>740</v>
      </c>
      <c r="L632" s="1205"/>
      <c r="M632" s="1203" t="s">
        <v>7210</v>
      </c>
      <c r="N632" s="1203" t="s">
        <v>7211</v>
      </c>
      <c r="O632" s="663" t="s">
        <v>7831</v>
      </c>
      <c r="P632" s="1211"/>
      <c r="Q632" s="1208">
        <v>0.5</v>
      </c>
      <c r="R632" s="1208"/>
    </row>
    <row r="633" ht="12.75" customHeight="1">
      <c r="A633" s="1209">
        <v>14.0</v>
      </c>
      <c r="B633" s="1210" t="s">
        <v>7832</v>
      </c>
      <c r="C633" s="1211"/>
      <c r="D633" s="1212"/>
      <c r="E633" s="1207" t="s">
        <v>5810</v>
      </c>
      <c r="F633" s="1203" t="s">
        <v>2963</v>
      </c>
      <c r="G633" s="1227">
        <v>45627.0</v>
      </c>
      <c r="H633" s="1225" t="s">
        <v>7810</v>
      </c>
      <c r="I633" s="1223"/>
      <c r="J633" s="1224" t="s">
        <v>1093</v>
      </c>
      <c r="K633" s="1203" t="s">
        <v>740</v>
      </c>
      <c r="L633" s="1205"/>
      <c r="M633" s="1203" t="s">
        <v>7210</v>
      </c>
      <c r="N633" s="1203" t="s">
        <v>7211</v>
      </c>
      <c r="O633" s="1230"/>
      <c r="P633" s="1211"/>
      <c r="Q633" s="1208">
        <v>0.5</v>
      </c>
      <c r="R633" s="1208"/>
    </row>
    <row r="634" ht="12.75" customHeight="1">
      <c r="A634" s="1209">
        <v>16.0</v>
      </c>
      <c r="B634" s="1210" t="s">
        <v>7833</v>
      </c>
      <c r="C634" s="1211"/>
      <c r="D634" s="1212"/>
      <c r="E634" s="1207" t="s">
        <v>5810</v>
      </c>
      <c r="F634" s="1203" t="s">
        <v>2963</v>
      </c>
      <c r="G634" s="1229" t="s">
        <v>7663</v>
      </c>
      <c r="H634" s="1225" t="s">
        <v>7810</v>
      </c>
      <c r="I634" s="1223"/>
      <c r="J634" s="1224" t="s">
        <v>1093</v>
      </c>
      <c r="K634" s="1203" t="s">
        <v>740</v>
      </c>
      <c r="L634" s="1205"/>
      <c r="M634" s="1203" t="s">
        <v>7210</v>
      </c>
      <c r="N634" s="1203" t="s">
        <v>7211</v>
      </c>
      <c r="O634" s="1224">
        <v>120124.0</v>
      </c>
      <c r="P634" s="1211"/>
      <c r="Q634" s="1208">
        <v>0.5</v>
      </c>
      <c r="R634" s="1208"/>
    </row>
    <row r="635" ht="12.75" customHeight="1">
      <c r="A635" s="1209">
        <v>1.0</v>
      </c>
      <c r="B635" s="1231" t="s">
        <v>7834</v>
      </c>
      <c r="C635" s="1211"/>
      <c r="D635" s="1211"/>
      <c r="E635" s="1207" t="s">
        <v>5810</v>
      </c>
      <c r="F635" s="1203" t="s">
        <v>2963</v>
      </c>
      <c r="G635" s="1213"/>
      <c r="H635" s="1209" t="s">
        <v>1253</v>
      </c>
      <c r="I635" s="1210" t="s">
        <v>7835</v>
      </c>
      <c r="J635" s="1209" t="s">
        <v>7161</v>
      </c>
      <c r="K635" s="1209" t="s">
        <v>740</v>
      </c>
      <c r="L635" s="1211"/>
      <c r="M635" s="1209" t="s">
        <v>7162</v>
      </c>
      <c r="N635" s="1209" t="s">
        <v>7163</v>
      </c>
      <c r="O635" s="1211"/>
      <c r="P635" s="1211"/>
      <c r="Q635" s="1208">
        <v>0.5</v>
      </c>
      <c r="R635" s="1208"/>
    </row>
    <row r="636" ht="12.75" customHeight="1">
      <c r="A636" s="1209">
        <v>2.0</v>
      </c>
      <c r="B636" s="1231" t="s">
        <v>7836</v>
      </c>
      <c r="C636" s="1211"/>
      <c r="D636" s="1211"/>
      <c r="E636" s="1207" t="s">
        <v>5810</v>
      </c>
      <c r="F636" s="1203" t="s">
        <v>2963</v>
      </c>
      <c r="G636" s="1213"/>
      <c r="H636" s="1209" t="s">
        <v>1253</v>
      </c>
      <c r="I636" s="1211"/>
      <c r="J636" s="1209" t="s">
        <v>7161</v>
      </c>
      <c r="K636" s="1209" t="s">
        <v>740</v>
      </c>
      <c r="L636" s="1211"/>
      <c r="M636" s="1209" t="s">
        <v>7162</v>
      </c>
      <c r="N636" s="1209" t="s">
        <v>7163</v>
      </c>
      <c r="O636" s="1211"/>
      <c r="P636" s="1211"/>
      <c r="Q636" s="1208">
        <v>0.5</v>
      </c>
      <c r="R636" s="1208"/>
    </row>
    <row r="637" ht="12.75" customHeight="1">
      <c r="A637" s="1209">
        <v>3.0</v>
      </c>
      <c r="B637" s="1231" t="s">
        <v>7837</v>
      </c>
      <c r="C637" s="1211"/>
      <c r="D637" s="1211"/>
      <c r="E637" s="1207" t="s">
        <v>5810</v>
      </c>
      <c r="F637" s="1203" t="s">
        <v>2963</v>
      </c>
      <c r="G637" s="1213"/>
      <c r="H637" s="1209" t="s">
        <v>1253</v>
      </c>
      <c r="I637" s="1211"/>
      <c r="J637" s="1209" t="s">
        <v>7161</v>
      </c>
      <c r="K637" s="1209" t="s">
        <v>740</v>
      </c>
      <c r="L637" s="1211"/>
      <c r="M637" s="1209" t="s">
        <v>7162</v>
      </c>
      <c r="N637" s="1209" t="s">
        <v>7163</v>
      </c>
      <c r="O637" s="1211"/>
      <c r="P637" s="1211"/>
      <c r="Q637" s="1208">
        <v>0.5</v>
      </c>
      <c r="R637" s="1208"/>
    </row>
    <row r="638" ht="12.75" customHeight="1">
      <c r="A638" s="1209">
        <v>4.0</v>
      </c>
      <c r="B638" s="1231" t="s">
        <v>7838</v>
      </c>
      <c r="C638" s="1210" t="s">
        <v>7839</v>
      </c>
      <c r="D638" s="1211"/>
      <c r="E638" s="1207" t="s">
        <v>5810</v>
      </c>
      <c r="F638" s="1203" t="s">
        <v>2963</v>
      </c>
      <c r="G638" s="1213"/>
      <c r="H638" s="1209" t="s">
        <v>1253</v>
      </c>
      <c r="I638" s="1210" t="s">
        <v>7840</v>
      </c>
      <c r="J638" s="1213" t="s">
        <v>7161</v>
      </c>
      <c r="K638" s="1209" t="s">
        <v>740</v>
      </c>
      <c r="L638" s="1211"/>
      <c r="M638" s="1209" t="s">
        <v>7162</v>
      </c>
      <c r="N638" s="1209" t="s">
        <v>7163</v>
      </c>
      <c r="O638" s="1211"/>
      <c r="P638" s="1211"/>
      <c r="Q638" s="1208">
        <v>0.5</v>
      </c>
      <c r="R638" s="1208"/>
    </row>
    <row r="639" ht="12.75" customHeight="1">
      <c r="A639" s="1209">
        <v>5.0</v>
      </c>
      <c r="B639" s="1231" t="s">
        <v>7841</v>
      </c>
      <c r="C639" s="1210" t="s">
        <v>7842</v>
      </c>
      <c r="D639" s="1211"/>
      <c r="E639" s="1207" t="s">
        <v>5810</v>
      </c>
      <c r="F639" s="1203" t="s">
        <v>2963</v>
      </c>
      <c r="G639" s="1213"/>
      <c r="H639" s="1209" t="s">
        <v>1253</v>
      </c>
      <c r="I639" s="1210" t="s">
        <v>7840</v>
      </c>
      <c r="J639" s="1213" t="s">
        <v>7161</v>
      </c>
      <c r="K639" s="1209" t="s">
        <v>740</v>
      </c>
      <c r="L639" s="1211"/>
      <c r="M639" s="1209" t="s">
        <v>7162</v>
      </c>
      <c r="N639" s="1209" t="s">
        <v>7163</v>
      </c>
      <c r="O639" s="1211"/>
      <c r="P639" s="1211"/>
      <c r="Q639" s="1208">
        <v>0.5</v>
      </c>
      <c r="R639" s="1208"/>
    </row>
    <row r="640" ht="12.75" customHeight="1">
      <c r="A640" s="1209">
        <v>6.0</v>
      </c>
      <c r="B640" s="1231" t="s">
        <v>7843</v>
      </c>
      <c r="C640" s="1210" t="s">
        <v>7844</v>
      </c>
      <c r="D640" s="1211"/>
      <c r="E640" s="1207" t="s">
        <v>5810</v>
      </c>
      <c r="F640" s="1203" t="s">
        <v>2963</v>
      </c>
      <c r="G640" s="1213"/>
      <c r="H640" s="1209" t="s">
        <v>1253</v>
      </c>
      <c r="I640" s="1210" t="s">
        <v>7840</v>
      </c>
      <c r="J640" s="1213" t="s">
        <v>7161</v>
      </c>
      <c r="K640" s="1209" t="s">
        <v>740</v>
      </c>
      <c r="L640" s="1211"/>
      <c r="M640" s="1209" t="s">
        <v>7162</v>
      </c>
      <c r="N640" s="1209" t="s">
        <v>7163</v>
      </c>
      <c r="O640" s="1211"/>
      <c r="P640" s="1211"/>
      <c r="Q640" s="1208">
        <v>0.5</v>
      </c>
      <c r="R640" s="1208"/>
    </row>
    <row r="641" ht="12.75" customHeight="1">
      <c r="A641" s="1209">
        <v>7.0</v>
      </c>
      <c r="B641" s="1231" t="s">
        <v>7845</v>
      </c>
      <c r="C641" s="1210" t="s">
        <v>7846</v>
      </c>
      <c r="D641" s="1211"/>
      <c r="E641" s="1207" t="s">
        <v>5810</v>
      </c>
      <c r="F641" s="1203" t="s">
        <v>2963</v>
      </c>
      <c r="G641" s="1213"/>
      <c r="H641" s="1209" t="s">
        <v>1253</v>
      </c>
      <c r="I641" s="1210" t="s">
        <v>7840</v>
      </c>
      <c r="J641" s="1213" t="s">
        <v>7161</v>
      </c>
      <c r="K641" s="1209" t="s">
        <v>740</v>
      </c>
      <c r="L641" s="1211"/>
      <c r="M641" s="1209" t="s">
        <v>7162</v>
      </c>
      <c r="N641" s="1209" t="s">
        <v>7163</v>
      </c>
      <c r="O641" s="1211"/>
      <c r="P641" s="1211"/>
      <c r="Q641" s="1208">
        <v>0.5</v>
      </c>
      <c r="R641" s="1208"/>
    </row>
    <row r="642" ht="12.75" customHeight="1">
      <c r="A642" s="1209">
        <v>8.0</v>
      </c>
      <c r="B642" s="1231" t="s">
        <v>7847</v>
      </c>
      <c r="C642" s="1210" t="s">
        <v>7848</v>
      </c>
      <c r="D642" s="1211"/>
      <c r="E642" s="1207" t="s">
        <v>5810</v>
      </c>
      <c r="F642" s="1203" t="s">
        <v>2963</v>
      </c>
      <c r="G642" s="1213"/>
      <c r="H642" s="1209" t="s">
        <v>1253</v>
      </c>
      <c r="I642" s="1210" t="s">
        <v>7840</v>
      </c>
      <c r="J642" s="1213" t="s">
        <v>7161</v>
      </c>
      <c r="K642" s="1209" t="s">
        <v>740</v>
      </c>
      <c r="L642" s="1211"/>
      <c r="M642" s="1209" t="s">
        <v>7162</v>
      </c>
      <c r="N642" s="1209" t="s">
        <v>7163</v>
      </c>
      <c r="O642" s="1211"/>
      <c r="P642" s="1211"/>
      <c r="Q642" s="1208">
        <v>0.5</v>
      </c>
      <c r="R642" s="1208"/>
    </row>
    <row r="643" ht="12.75" customHeight="1">
      <c r="A643" s="1209">
        <v>9.0</v>
      </c>
      <c r="B643" s="1231" t="s">
        <v>7849</v>
      </c>
      <c r="C643" s="1210" t="s">
        <v>7850</v>
      </c>
      <c r="D643" s="1211"/>
      <c r="E643" s="1207" t="s">
        <v>5810</v>
      </c>
      <c r="F643" s="1203" t="s">
        <v>2963</v>
      </c>
      <c r="G643" s="1213"/>
      <c r="H643" s="1209" t="s">
        <v>1253</v>
      </c>
      <c r="I643" s="1210" t="s">
        <v>7840</v>
      </c>
      <c r="J643" s="1213" t="s">
        <v>7161</v>
      </c>
      <c r="K643" s="1209" t="s">
        <v>740</v>
      </c>
      <c r="L643" s="1211"/>
      <c r="M643" s="1209" t="s">
        <v>7162</v>
      </c>
      <c r="N643" s="1209" t="s">
        <v>7163</v>
      </c>
      <c r="O643" s="1211"/>
      <c r="P643" s="1211"/>
      <c r="Q643" s="1208">
        <v>0.5</v>
      </c>
      <c r="R643" s="1208"/>
    </row>
    <row r="644" ht="12.75" customHeight="1">
      <c r="A644" s="1209">
        <v>10.0</v>
      </c>
      <c r="B644" s="1231" t="s">
        <v>7851</v>
      </c>
      <c r="C644" s="1210" t="s">
        <v>7852</v>
      </c>
      <c r="D644" s="1211"/>
      <c r="E644" s="1207" t="s">
        <v>5810</v>
      </c>
      <c r="F644" s="1203" t="s">
        <v>2963</v>
      </c>
      <c r="G644" s="1213"/>
      <c r="H644" s="1209" t="s">
        <v>1253</v>
      </c>
      <c r="I644" s="1210" t="s">
        <v>7840</v>
      </c>
      <c r="J644" s="1213" t="s">
        <v>7161</v>
      </c>
      <c r="K644" s="1209" t="s">
        <v>740</v>
      </c>
      <c r="L644" s="1211"/>
      <c r="M644" s="1209" t="s">
        <v>7162</v>
      </c>
      <c r="N644" s="1209" t="s">
        <v>7163</v>
      </c>
      <c r="O644" s="1211"/>
      <c r="P644" s="1211"/>
      <c r="Q644" s="1208">
        <v>0.5</v>
      </c>
      <c r="R644" s="1208"/>
    </row>
    <row r="645" ht="12.75" customHeight="1">
      <c r="A645" s="1209">
        <v>11.0</v>
      </c>
      <c r="B645" s="1231" t="s">
        <v>7853</v>
      </c>
      <c r="C645" s="1210" t="s">
        <v>7854</v>
      </c>
      <c r="D645" s="1211"/>
      <c r="E645" s="1207" t="s">
        <v>5810</v>
      </c>
      <c r="F645" s="1203" t="s">
        <v>2963</v>
      </c>
      <c r="G645" s="1213"/>
      <c r="H645" s="1209" t="s">
        <v>1253</v>
      </c>
      <c r="I645" s="1210" t="s">
        <v>7840</v>
      </c>
      <c r="J645" s="1213" t="s">
        <v>7161</v>
      </c>
      <c r="K645" s="1209" t="s">
        <v>740</v>
      </c>
      <c r="L645" s="1211"/>
      <c r="M645" s="1209" t="s">
        <v>7162</v>
      </c>
      <c r="N645" s="1209" t="s">
        <v>7163</v>
      </c>
      <c r="O645" s="1211"/>
      <c r="P645" s="1211"/>
      <c r="Q645" s="1208">
        <v>0.5</v>
      </c>
      <c r="R645" s="1208"/>
    </row>
    <row r="646" ht="12.75" customHeight="1">
      <c r="A646" s="1209">
        <v>12.0</v>
      </c>
      <c r="B646" s="1231" t="s">
        <v>7855</v>
      </c>
      <c r="C646" s="1210" t="s">
        <v>7856</v>
      </c>
      <c r="D646" s="1211"/>
      <c r="E646" s="1207" t="s">
        <v>5810</v>
      </c>
      <c r="F646" s="1203" t="s">
        <v>2963</v>
      </c>
      <c r="G646" s="1213"/>
      <c r="H646" s="1209" t="s">
        <v>1253</v>
      </c>
      <c r="I646" s="1210" t="s">
        <v>7840</v>
      </c>
      <c r="J646" s="1213" t="s">
        <v>7161</v>
      </c>
      <c r="K646" s="1209" t="s">
        <v>740</v>
      </c>
      <c r="L646" s="1211"/>
      <c r="M646" s="1209" t="s">
        <v>7162</v>
      </c>
      <c r="N646" s="1209" t="s">
        <v>7163</v>
      </c>
      <c r="O646" s="1211"/>
      <c r="P646" s="1211"/>
      <c r="Q646" s="1208">
        <v>0.5</v>
      </c>
      <c r="R646" s="1208"/>
    </row>
    <row r="647" ht="12.75" customHeight="1">
      <c r="A647" s="1209">
        <v>13.0</v>
      </c>
      <c r="B647" s="1231" t="s">
        <v>7857</v>
      </c>
      <c r="C647" s="1210" t="s">
        <v>7858</v>
      </c>
      <c r="D647" s="1211"/>
      <c r="E647" s="1207" t="s">
        <v>5810</v>
      </c>
      <c r="F647" s="1203" t="s">
        <v>2963</v>
      </c>
      <c r="G647" s="1213"/>
      <c r="H647" s="1209" t="s">
        <v>1253</v>
      </c>
      <c r="I647" s="1210" t="s">
        <v>7840</v>
      </c>
      <c r="J647" s="1213" t="s">
        <v>7161</v>
      </c>
      <c r="K647" s="1209" t="s">
        <v>740</v>
      </c>
      <c r="L647" s="1211"/>
      <c r="M647" s="1209" t="s">
        <v>7162</v>
      </c>
      <c r="N647" s="1209" t="s">
        <v>7163</v>
      </c>
      <c r="O647" s="1211"/>
      <c r="P647" s="1211"/>
      <c r="Q647" s="1208">
        <v>0.5</v>
      </c>
      <c r="R647" s="1208"/>
    </row>
    <row r="648" ht="12.75" customHeight="1">
      <c r="A648" s="1209">
        <v>14.0</v>
      </c>
      <c r="B648" s="1231" t="s">
        <v>7859</v>
      </c>
      <c r="C648" s="1210" t="s">
        <v>7860</v>
      </c>
      <c r="D648" s="1211"/>
      <c r="E648" s="1207" t="s">
        <v>5810</v>
      </c>
      <c r="F648" s="1203" t="s">
        <v>2963</v>
      </c>
      <c r="G648" s="1213"/>
      <c r="H648" s="1209" t="s">
        <v>1253</v>
      </c>
      <c r="I648" s="1210" t="s">
        <v>7840</v>
      </c>
      <c r="J648" s="1213" t="s">
        <v>7161</v>
      </c>
      <c r="K648" s="1209" t="s">
        <v>740</v>
      </c>
      <c r="L648" s="1211"/>
      <c r="M648" s="1209" t="s">
        <v>7162</v>
      </c>
      <c r="N648" s="1209" t="s">
        <v>7163</v>
      </c>
      <c r="O648" s="1211"/>
      <c r="P648" s="1211"/>
      <c r="Q648" s="1208">
        <v>0.5</v>
      </c>
      <c r="R648" s="1208"/>
    </row>
    <row r="649" ht="12.75" customHeight="1">
      <c r="A649" s="1209">
        <v>15.0</v>
      </c>
      <c r="B649" s="1231" t="s">
        <v>7861</v>
      </c>
      <c r="C649" s="1210" t="s">
        <v>7862</v>
      </c>
      <c r="D649" s="1211"/>
      <c r="E649" s="1207" t="s">
        <v>5810</v>
      </c>
      <c r="F649" s="1203" t="s">
        <v>2963</v>
      </c>
      <c r="G649" s="1213"/>
      <c r="H649" s="1209" t="s">
        <v>1253</v>
      </c>
      <c r="I649" s="1210" t="s">
        <v>7840</v>
      </c>
      <c r="J649" s="1213" t="s">
        <v>7161</v>
      </c>
      <c r="K649" s="1209" t="s">
        <v>740</v>
      </c>
      <c r="L649" s="1211"/>
      <c r="M649" s="1209" t="s">
        <v>7162</v>
      </c>
      <c r="N649" s="1209" t="s">
        <v>7163</v>
      </c>
      <c r="O649" s="1211"/>
      <c r="P649" s="1211"/>
      <c r="Q649" s="1208">
        <v>0.5</v>
      </c>
      <c r="R649" s="1208"/>
    </row>
    <row r="650" ht="12.75" customHeight="1">
      <c r="A650" s="1209">
        <v>16.0</v>
      </c>
      <c r="B650" s="1231" t="s">
        <v>7863</v>
      </c>
      <c r="C650" s="1210" t="s">
        <v>7864</v>
      </c>
      <c r="D650" s="1211"/>
      <c r="E650" s="1207" t="s">
        <v>5810</v>
      </c>
      <c r="F650" s="1203" t="s">
        <v>2963</v>
      </c>
      <c r="G650" s="1213"/>
      <c r="H650" s="1209" t="s">
        <v>1253</v>
      </c>
      <c r="I650" s="1210" t="s">
        <v>7840</v>
      </c>
      <c r="J650" s="1213" t="s">
        <v>7161</v>
      </c>
      <c r="K650" s="1209" t="s">
        <v>740</v>
      </c>
      <c r="L650" s="1211"/>
      <c r="M650" s="1209" t="s">
        <v>7162</v>
      </c>
      <c r="N650" s="1209" t="s">
        <v>7163</v>
      </c>
      <c r="O650" s="1211"/>
      <c r="P650" s="1211"/>
      <c r="Q650" s="1208">
        <v>0.5</v>
      </c>
      <c r="R650" s="1208"/>
    </row>
    <row r="651" ht="12.75" customHeight="1">
      <c r="A651" s="1209">
        <v>17.0</v>
      </c>
      <c r="B651" s="1231" t="s">
        <v>7865</v>
      </c>
      <c r="C651" s="1210" t="s">
        <v>7866</v>
      </c>
      <c r="D651" s="1211"/>
      <c r="E651" s="1207" t="s">
        <v>5810</v>
      </c>
      <c r="F651" s="1203" t="s">
        <v>2963</v>
      </c>
      <c r="G651" s="1213"/>
      <c r="H651" s="1209" t="s">
        <v>1253</v>
      </c>
      <c r="I651" s="1210" t="s">
        <v>7840</v>
      </c>
      <c r="J651" s="1209" t="s">
        <v>7161</v>
      </c>
      <c r="K651" s="1209" t="s">
        <v>740</v>
      </c>
      <c r="L651" s="1211"/>
      <c r="M651" s="1209" t="s">
        <v>7162</v>
      </c>
      <c r="N651" s="1209" t="s">
        <v>7163</v>
      </c>
      <c r="O651" s="1211" t="s">
        <v>7867</v>
      </c>
      <c r="P651" s="1211"/>
      <c r="Q651" s="1208">
        <v>0.5</v>
      </c>
      <c r="R651" s="1208"/>
    </row>
    <row r="652" ht="12.75" customHeight="1">
      <c r="A652" s="1209">
        <v>18.0</v>
      </c>
      <c r="B652" s="1231" t="s">
        <v>7868</v>
      </c>
      <c r="C652" s="1210" t="s">
        <v>7869</v>
      </c>
      <c r="D652" s="1211"/>
      <c r="E652" s="1207" t="s">
        <v>5810</v>
      </c>
      <c r="F652" s="1203" t="s">
        <v>2963</v>
      </c>
      <c r="G652" s="1213"/>
      <c r="H652" s="1209" t="s">
        <v>1253</v>
      </c>
      <c r="I652" s="1210" t="s">
        <v>7840</v>
      </c>
      <c r="J652" s="1209" t="s">
        <v>7161</v>
      </c>
      <c r="K652" s="1209" t="s">
        <v>740</v>
      </c>
      <c r="L652" s="1211"/>
      <c r="M652" s="1209" t="s">
        <v>7162</v>
      </c>
      <c r="N652" s="1209" t="s">
        <v>7163</v>
      </c>
      <c r="O652" s="1211" t="s">
        <v>7870</v>
      </c>
      <c r="P652" s="1211"/>
      <c r="Q652" s="1208">
        <v>0.5</v>
      </c>
      <c r="R652" s="1208"/>
    </row>
    <row r="653" ht="12.75" customHeight="1">
      <c r="A653" s="1209">
        <v>19.0</v>
      </c>
      <c r="B653" s="1231" t="s">
        <v>7871</v>
      </c>
      <c r="C653" s="1210" t="s">
        <v>7872</v>
      </c>
      <c r="D653" s="1211"/>
      <c r="E653" s="1207" t="s">
        <v>5810</v>
      </c>
      <c r="F653" s="1203" t="s">
        <v>2963</v>
      </c>
      <c r="G653" s="1213"/>
      <c r="H653" s="1209" t="s">
        <v>1253</v>
      </c>
      <c r="I653" s="1210" t="s">
        <v>7840</v>
      </c>
      <c r="J653" s="1209" t="s">
        <v>7161</v>
      </c>
      <c r="K653" s="1209" t="s">
        <v>740</v>
      </c>
      <c r="L653" s="1211"/>
      <c r="M653" s="1209" t="s">
        <v>7162</v>
      </c>
      <c r="N653" s="1209" t="s">
        <v>7163</v>
      </c>
      <c r="O653" s="1211" t="s">
        <v>7873</v>
      </c>
      <c r="P653" s="1211"/>
      <c r="Q653" s="1208">
        <v>0.5</v>
      </c>
      <c r="R653" s="1208"/>
    </row>
    <row r="654" ht="12.75" customHeight="1">
      <c r="A654" s="1209">
        <v>20.0</v>
      </c>
      <c r="B654" s="1231" t="s">
        <v>7874</v>
      </c>
      <c r="C654" s="1210" t="s">
        <v>7875</v>
      </c>
      <c r="D654" s="1211"/>
      <c r="E654" s="1207" t="s">
        <v>5810</v>
      </c>
      <c r="F654" s="1203" t="s">
        <v>2963</v>
      </c>
      <c r="G654" s="1213"/>
      <c r="H654" s="1209" t="s">
        <v>1253</v>
      </c>
      <c r="I654" s="1210" t="s">
        <v>7840</v>
      </c>
      <c r="J654" s="1209" t="s">
        <v>7161</v>
      </c>
      <c r="K654" s="1209" t="s">
        <v>740</v>
      </c>
      <c r="L654" s="1211"/>
      <c r="M654" s="1209" t="s">
        <v>7162</v>
      </c>
      <c r="N654" s="1209" t="s">
        <v>7163</v>
      </c>
      <c r="O654" s="1211" t="s">
        <v>7876</v>
      </c>
      <c r="P654" s="1211"/>
      <c r="Q654" s="1208">
        <v>0.5</v>
      </c>
      <c r="R654" s="1208"/>
    </row>
    <row r="655" ht="12.75" customHeight="1">
      <c r="A655" s="1209">
        <v>21.0</v>
      </c>
      <c r="B655" s="1231" t="s">
        <v>7877</v>
      </c>
      <c r="C655" s="1210" t="s">
        <v>7878</v>
      </c>
      <c r="D655" s="1214"/>
      <c r="E655" s="1207" t="s">
        <v>5810</v>
      </c>
      <c r="F655" s="1203" t="s">
        <v>2963</v>
      </c>
      <c r="G655" s="1215"/>
      <c r="H655" s="1209" t="s">
        <v>1253</v>
      </c>
      <c r="I655" s="1216" t="s">
        <v>7879</v>
      </c>
      <c r="J655" s="1209" t="s">
        <v>7161</v>
      </c>
      <c r="K655" s="1209" t="s">
        <v>510</v>
      </c>
      <c r="L655" s="1211"/>
      <c r="M655" s="1209" t="s">
        <v>7162</v>
      </c>
      <c r="N655" s="1209" t="s">
        <v>7163</v>
      </c>
      <c r="O655" s="1211"/>
      <c r="P655" s="1211"/>
      <c r="Q655" s="1208">
        <v>0.5</v>
      </c>
      <c r="R655" s="1208"/>
    </row>
    <row r="656" ht="12.75" customHeight="1">
      <c r="A656" s="1209">
        <v>22.0</v>
      </c>
      <c r="B656" s="1231" t="s">
        <v>7880</v>
      </c>
      <c r="C656" s="1210" t="s">
        <v>7881</v>
      </c>
      <c r="D656" s="1214"/>
      <c r="E656" s="1207" t="s">
        <v>5810</v>
      </c>
      <c r="F656" s="1203" t="s">
        <v>2963</v>
      </c>
      <c r="G656" s="1215"/>
      <c r="H656" s="1209" t="s">
        <v>1253</v>
      </c>
      <c r="I656" s="1216" t="s">
        <v>7879</v>
      </c>
      <c r="J656" s="1209" t="s">
        <v>7161</v>
      </c>
      <c r="K656" s="1209" t="s">
        <v>510</v>
      </c>
      <c r="L656" s="1211"/>
      <c r="M656" s="1209" t="s">
        <v>7162</v>
      </c>
      <c r="N656" s="1209" t="s">
        <v>7163</v>
      </c>
      <c r="O656" s="1211"/>
      <c r="P656" s="1211"/>
      <c r="Q656" s="1208">
        <v>0.5</v>
      </c>
      <c r="R656" s="1208"/>
    </row>
    <row r="657" ht="12.75" customHeight="1">
      <c r="A657" s="1209">
        <v>23.0</v>
      </c>
      <c r="B657" s="1231" t="s">
        <v>7882</v>
      </c>
      <c r="C657" s="1210" t="s">
        <v>7883</v>
      </c>
      <c r="D657" s="1214"/>
      <c r="E657" s="1207" t="s">
        <v>5810</v>
      </c>
      <c r="F657" s="1203" t="s">
        <v>2963</v>
      </c>
      <c r="G657" s="1215"/>
      <c r="H657" s="1209" t="s">
        <v>1253</v>
      </c>
      <c r="I657" s="1216" t="s">
        <v>7879</v>
      </c>
      <c r="J657" s="1209" t="s">
        <v>7161</v>
      </c>
      <c r="K657" s="1209" t="s">
        <v>510</v>
      </c>
      <c r="L657" s="1211"/>
      <c r="M657" s="1209" t="s">
        <v>7162</v>
      </c>
      <c r="N657" s="1209" t="s">
        <v>7163</v>
      </c>
      <c r="O657" s="1211"/>
      <c r="P657" s="1211"/>
      <c r="Q657" s="1208">
        <v>0.5</v>
      </c>
      <c r="R657" s="1208"/>
    </row>
    <row r="658" ht="12.75" customHeight="1">
      <c r="A658" s="1209">
        <v>24.0</v>
      </c>
      <c r="B658" s="1231" t="s">
        <v>7884</v>
      </c>
      <c r="C658" s="1210" t="s">
        <v>7885</v>
      </c>
      <c r="D658" s="1232"/>
      <c r="E658" s="1207" t="s">
        <v>5810</v>
      </c>
      <c r="F658" s="1203" t="s">
        <v>2963</v>
      </c>
      <c r="G658" s="1233" t="s">
        <v>7886</v>
      </c>
      <c r="H658" s="1209" t="s">
        <v>1253</v>
      </c>
      <c r="I658" s="1216" t="s">
        <v>7879</v>
      </c>
      <c r="J658" s="1209" t="s">
        <v>1093</v>
      </c>
      <c r="K658" s="1209" t="s">
        <v>510</v>
      </c>
      <c r="L658" s="1211"/>
      <c r="M658" s="1209" t="s">
        <v>7210</v>
      </c>
      <c r="N658" s="1209" t="s">
        <v>7211</v>
      </c>
      <c r="O658" s="1225"/>
      <c r="P658" s="1210" t="s">
        <v>7887</v>
      </c>
      <c r="Q658" s="1208">
        <v>0.5</v>
      </c>
      <c r="R658" s="1208"/>
    </row>
    <row r="659" ht="12.75" customHeight="1">
      <c r="A659" s="1209">
        <v>25.0</v>
      </c>
      <c r="B659" s="1231" t="s">
        <v>7888</v>
      </c>
      <c r="C659" s="1210" t="s">
        <v>7889</v>
      </c>
      <c r="D659" s="1232"/>
      <c r="E659" s="1207" t="s">
        <v>5810</v>
      </c>
      <c r="F659" s="1203" t="s">
        <v>2963</v>
      </c>
      <c r="G659" s="1233" t="s">
        <v>7886</v>
      </c>
      <c r="H659" s="1209" t="s">
        <v>1253</v>
      </c>
      <c r="I659" s="1216" t="s">
        <v>7879</v>
      </c>
      <c r="J659" s="1209" t="s">
        <v>1093</v>
      </c>
      <c r="K659" s="1209" t="s">
        <v>510</v>
      </c>
      <c r="L659" s="1211"/>
      <c r="M659" s="1209" t="s">
        <v>7210</v>
      </c>
      <c r="N659" s="1209" t="s">
        <v>7211</v>
      </c>
      <c r="O659" s="1225"/>
      <c r="P659" s="1210" t="s">
        <v>7890</v>
      </c>
      <c r="Q659" s="1208">
        <v>0.5</v>
      </c>
      <c r="R659" s="1208"/>
    </row>
    <row r="660" ht="12.75" customHeight="1">
      <c r="A660" s="1209">
        <v>26.0</v>
      </c>
      <c r="B660" s="1231" t="s">
        <v>7891</v>
      </c>
      <c r="C660" s="1210" t="s">
        <v>7892</v>
      </c>
      <c r="D660" s="1232"/>
      <c r="E660" s="1207" t="s">
        <v>5810</v>
      </c>
      <c r="F660" s="1203" t="s">
        <v>2963</v>
      </c>
      <c r="G660" s="1233" t="s">
        <v>7886</v>
      </c>
      <c r="H660" s="1209" t="s">
        <v>1253</v>
      </c>
      <c r="I660" s="1216" t="s">
        <v>7879</v>
      </c>
      <c r="J660" s="1209" t="s">
        <v>1093</v>
      </c>
      <c r="K660" s="1209" t="s">
        <v>510</v>
      </c>
      <c r="L660" s="1211"/>
      <c r="M660" s="1209" t="s">
        <v>7210</v>
      </c>
      <c r="N660" s="1209" t="s">
        <v>7211</v>
      </c>
      <c r="O660" s="1225"/>
      <c r="P660" s="1210" t="s">
        <v>7893</v>
      </c>
      <c r="Q660" s="1208">
        <v>0.5</v>
      </c>
      <c r="R660" s="1208"/>
    </row>
    <row r="661" ht="12.75" customHeight="1">
      <c r="A661" s="1209">
        <v>27.0</v>
      </c>
      <c r="B661" s="1231" t="s">
        <v>7894</v>
      </c>
      <c r="C661" s="1210" t="s">
        <v>7895</v>
      </c>
      <c r="D661" s="1232"/>
      <c r="E661" s="1207" t="s">
        <v>5810</v>
      </c>
      <c r="F661" s="1203" t="s">
        <v>2963</v>
      </c>
      <c r="G661" s="1233" t="s">
        <v>7886</v>
      </c>
      <c r="H661" s="1209" t="s">
        <v>1253</v>
      </c>
      <c r="I661" s="1216" t="s">
        <v>7879</v>
      </c>
      <c r="J661" s="1209" t="s">
        <v>1093</v>
      </c>
      <c r="K661" s="1209" t="s">
        <v>510</v>
      </c>
      <c r="L661" s="1211"/>
      <c r="M661" s="1209" t="s">
        <v>7210</v>
      </c>
      <c r="N661" s="1209" t="s">
        <v>7211</v>
      </c>
      <c r="O661" s="1225"/>
      <c r="P661" s="1210" t="s">
        <v>7896</v>
      </c>
      <c r="Q661" s="1208">
        <v>0.5</v>
      </c>
      <c r="R661" s="1208"/>
    </row>
    <row r="662" ht="12.75" customHeight="1">
      <c r="A662" s="1209">
        <v>28.0</v>
      </c>
      <c r="B662" s="1231" t="s">
        <v>7897</v>
      </c>
      <c r="C662" s="1210" t="s">
        <v>7898</v>
      </c>
      <c r="D662" s="1232"/>
      <c r="E662" s="1207" t="s">
        <v>5810</v>
      </c>
      <c r="F662" s="1203" t="s">
        <v>2963</v>
      </c>
      <c r="G662" s="1233" t="s">
        <v>7886</v>
      </c>
      <c r="H662" s="1209" t="s">
        <v>1253</v>
      </c>
      <c r="I662" s="1216" t="s">
        <v>7879</v>
      </c>
      <c r="J662" s="1209" t="s">
        <v>1093</v>
      </c>
      <c r="K662" s="1209" t="s">
        <v>510</v>
      </c>
      <c r="L662" s="1211"/>
      <c r="M662" s="1209" t="s">
        <v>7210</v>
      </c>
      <c r="N662" s="1209" t="s">
        <v>7211</v>
      </c>
      <c r="O662" s="1225"/>
      <c r="P662" s="1210" t="s">
        <v>7899</v>
      </c>
      <c r="Q662" s="1208">
        <v>0.5</v>
      </c>
      <c r="R662" s="1208"/>
    </row>
    <row r="663" ht="12.75" customHeight="1">
      <c r="A663" s="1209">
        <v>29.0</v>
      </c>
      <c r="B663" s="1231" t="s">
        <v>7900</v>
      </c>
      <c r="C663" s="1210" t="s">
        <v>7901</v>
      </c>
      <c r="D663" s="1232"/>
      <c r="E663" s="1207" t="s">
        <v>5810</v>
      </c>
      <c r="F663" s="1203" t="s">
        <v>2963</v>
      </c>
      <c r="G663" s="1233" t="s">
        <v>7886</v>
      </c>
      <c r="H663" s="1209" t="s">
        <v>1253</v>
      </c>
      <c r="I663" s="1216" t="s">
        <v>7879</v>
      </c>
      <c r="J663" s="1209" t="s">
        <v>1093</v>
      </c>
      <c r="K663" s="1209" t="s">
        <v>510</v>
      </c>
      <c r="L663" s="1211"/>
      <c r="M663" s="1209" t="s">
        <v>7210</v>
      </c>
      <c r="N663" s="1209" t="s">
        <v>7211</v>
      </c>
      <c r="O663" s="1225"/>
      <c r="P663" s="1210" t="s">
        <v>7902</v>
      </c>
      <c r="Q663" s="1208">
        <v>0.5</v>
      </c>
      <c r="R663" s="1208"/>
    </row>
    <row r="664" ht="12.75" customHeight="1">
      <c r="A664" s="1209">
        <v>30.0</v>
      </c>
      <c r="B664" s="1231" t="s">
        <v>7903</v>
      </c>
      <c r="C664" s="1210" t="s">
        <v>7904</v>
      </c>
      <c r="D664" s="1214"/>
      <c r="E664" s="1207" t="s">
        <v>5810</v>
      </c>
      <c r="F664" s="1203" t="s">
        <v>2963</v>
      </c>
      <c r="G664" s="1215"/>
      <c r="H664" s="1209" t="s">
        <v>1253</v>
      </c>
      <c r="I664" s="1216" t="s">
        <v>7879</v>
      </c>
      <c r="J664" s="1209" t="s">
        <v>7161</v>
      </c>
      <c r="K664" s="1209" t="s">
        <v>510</v>
      </c>
      <c r="L664" s="1211"/>
      <c r="M664" s="1209" t="s">
        <v>7162</v>
      </c>
      <c r="N664" s="1209" t="s">
        <v>7163</v>
      </c>
      <c r="O664" s="1211"/>
      <c r="P664" s="1211"/>
      <c r="Q664" s="1208">
        <v>0.5</v>
      </c>
      <c r="R664" s="1208"/>
    </row>
    <row r="665" ht="12.75" customHeight="1">
      <c r="A665" s="1209">
        <v>31.0</v>
      </c>
      <c r="B665" s="1231" t="s">
        <v>7905</v>
      </c>
      <c r="C665" s="1210" t="s">
        <v>7906</v>
      </c>
      <c r="D665" s="1214"/>
      <c r="E665" s="1207" t="s">
        <v>5810</v>
      </c>
      <c r="F665" s="1203" t="s">
        <v>2963</v>
      </c>
      <c r="G665" s="1215"/>
      <c r="H665" s="1209" t="s">
        <v>1253</v>
      </c>
      <c r="I665" s="1216" t="s">
        <v>7879</v>
      </c>
      <c r="J665" s="1209" t="s">
        <v>7161</v>
      </c>
      <c r="K665" s="1209" t="s">
        <v>510</v>
      </c>
      <c r="L665" s="1211"/>
      <c r="M665" s="1209" t="s">
        <v>7162</v>
      </c>
      <c r="N665" s="1209" t="s">
        <v>7163</v>
      </c>
      <c r="O665" s="1211"/>
      <c r="P665" s="1211"/>
      <c r="Q665" s="1208">
        <v>0.5</v>
      </c>
      <c r="R665" s="1208"/>
    </row>
    <row r="666" ht="12.75" customHeight="1">
      <c r="A666" s="1209">
        <v>32.0</v>
      </c>
      <c r="B666" s="1231" t="s">
        <v>7907</v>
      </c>
      <c r="C666" s="1210" t="s">
        <v>7908</v>
      </c>
      <c r="D666" s="1214"/>
      <c r="E666" s="1207" t="s">
        <v>5810</v>
      </c>
      <c r="F666" s="1203" t="s">
        <v>2963</v>
      </c>
      <c r="G666" s="1215"/>
      <c r="H666" s="1209" t="s">
        <v>1253</v>
      </c>
      <c r="I666" s="1216" t="s">
        <v>7879</v>
      </c>
      <c r="J666" s="1209" t="s">
        <v>7161</v>
      </c>
      <c r="K666" s="1209" t="s">
        <v>510</v>
      </c>
      <c r="L666" s="1211"/>
      <c r="M666" s="1209" t="s">
        <v>7162</v>
      </c>
      <c r="N666" s="1209" t="s">
        <v>7163</v>
      </c>
      <c r="O666" s="1211"/>
      <c r="P666" s="1211"/>
      <c r="Q666" s="1208">
        <v>0.5</v>
      </c>
      <c r="R666" s="1208"/>
    </row>
    <row r="667" ht="12.75" customHeight="1">
      <c r="A667" s="1209">
        <v>1.0</v>
      </c>
      <c r="B667" s="1210" t="s">
        <v>7909</v>
      </c>
      <c r="C667" s="1211"/>
      <c r="D667" s="1206"/>
      <c r="E667" s="1207" t="s">
        <v>5810</v>
      </c>
      <c r="F667" s="1203" t="s">
        <v>2963</v>
      </c>
      <c r="G667" s="1213"/>
      <c r="H667" s="1209" t="s">
        <v>858</v>
      </c>
      <c r="I667" s="1210" t="s">
        <v>7910</v>
      </c>
      <c r="J667" s="1209" t="s">
        <v>7161</v>
      </c>
      <c r="K667" s="1209" t="s">
        <v>740</v>
      </c>
      <c r="L667" s="1211"/>
      <c r="M667" s="1209" t="s">
        <v>7162</v>
      </c>
      <c r="N667" s="1209" t="s">
        <v>7163</v>
      </c>
      <c r="O667" s="1211"/>
      <c r="P667" s="1211"/>
      <c r="Q667" s="1208">
        <v>0.5</v>
      </c>
      <c r="R667" s="1208"/>
    </row>
    <row r="668" ht="12.75" customHeight="1">
      <c r="A668" s="1209">
        <f t="shared" ref="A668:A675" si="12">1+A667</f>
        <v>2</v>
      </c>
      <c r="B668" s="1210" t="s">
        <v>7911</v>
      </c>
      <c r="C668" s="1211"/>
      <c r="D668" s="1212"/>
      <c r="E668" s="1207" t="s">
        <v>5810</v>
      </c>
      <c r="F668" s="1203" t="s">
        <v>2963</v>
      </c>
      <c r="G668" s="1213"/>
      <c r="H668" s="1209" t="s">
        <v>858</v>
      </c>
      <c r="I668" s="1210" t="s">
        <v>7910</v>
      </c>
      <c r="J668" s="1209" t="s">
        <v>7161</v>
      </c>
      <c r="K668" s="1209" t="s">
        <v>740</v>
      </c>
      <c r="L668" s="1211"/>
      <c r="M668" s="1209" t="s">
        <v>7162</v>
      </c>
      <c r="N668" s="1209" t="s">
        <v>7163</v>
      </c>
      <c r="O668" s="1211"/>
      <c r="P668" s="1211"/>
      <c r="Q668" s="1208">
        <v>0.5</v>
      </c>
      <c r="R668" s="1208"/>
    </row>
    <row r="669" ht="12.75" customHeight="1">
      <c r="A669" s="1209">
        <f t="shared" si="12"/>
        <v>3</v>
      </c>
      <c r="B669" s="1210" t="s">
        <v>7912</v>
      </c>
      <c r="C669" s="1211"/>
      <c r="D669" s="1212"/>
      <c r="E669" s="1207" t="s">
        <v>5810</v>
      </c>
      <c r="F669" s="1203" t="s">
        <v>2963</v>
      </c>
      <c r="G669" s="1213"/>
      <c r="H669" s="1209" t="s">
        <v>858</v>
      </c>
      <c r="I669" s="1211"/>
      <c r="J669" s="1209" t="s">
        <v>7161</v>
      </c>
      <c r="K669" s="1209" t="s">
        <v>740</v>
      </c>
      <c r="L669" s="1211"/>
      <c r="M669" s="1209" t="s">
        <v>7162</v>
      </c>
      <c r="N669" s="1209" t="s">
        <v>7163</v>
      </c>
      <c r="O669" s="1211"/>
      <c r="P669" s="1211"/>
      <c r="Q669" s="1208">
        <v>0.5</v>
      </c>
      <c r="R669" s="1208"/>
    </row>
    <row r="670" ht="12.75" customHeight="1">
      <c r="A670" s="1209">
        <f t="shared" si="12"/>
        <v>4</v>
      </c>
      <c r="B670" s="1210" t="s">
        <v>7913</v>
      </c>
      <c r="C670" s="1211"/>
      <c r="D670" s="1212"/>
      <c r="E670" s="1207" t="s">
        <v>5810</v>
      </c>
      <c r="F670" s="1203" t="s">
        <v>2963</v>
      </c>
      <c r="G670" s="1213"/>
      <c r="H670" s="1209" t="s">
        <v>858</v>
      </c>
      <c r="I670" s="1211"/>
      <c r="J670" s="1209" t="s">
        <v>7161</v>
      </c>
      <c r="K670" s="1209" t="s">
        <v>740</v>
      </c>
      <c r="L670" s="1211"/>
      <c r="M670" s="1209" t="s">
        <v>7162</v>
      </c>
      <c r="N670" s="1209" t="s">
        <v>7163</v>
      </c>
      <c r="O670" s="1211"/>
      <c r="P670" s="1211"/>
      <c r="Q670" s="1208">
        <v>0.5</v>
      </c>
      <c r="R670" s="1208"/>
    </row>
    <row r="671" ht="12.75" customHeight="1">
      <c r="A671" s="1209">
        <f t="shared" si="12"/>
        <v>5</v>
      </c>
      <c r="B671" s="1210" t="s">
        <v>7914</v>
      </c>
      <c r="C671" s="1211"/>
      <c r="D671" s="1212"/>
      <c r="E671" s="1207" t="s">
        <v>5810</v>
      </c>
      <c r="F671" s="1203" t="s">
        <v>2963</v>
      </c>
      <c r="G671" s="1213"/>
      <c r="H671" s="1209" t="s">
        <v>858</v>
      </c>
      <c r="I671" s="1211"/>
      <c r="J671" s="1209" t="s">
        <v>7161</v>
      </c>
      <c r="K671" s="1209" t="s">
        <v>740</v>
      </c>
      <c r="L671" s="1211"/>
      <c r="M671" s="1209" t="s">
        <v>7162</v>
      </c>
      <c r="N671" s="1209" t="s">
        <v>7163</v>
      </c>
      <c r="O671" s="1211"/>
      <c r="P671" s="1211"/>
      <c r="Q671" s="1208">
        <v>0.5</v>
      </c>
      <c r="R671" s="1208"/>
    </row>
    <row r="672" ht="12.75" customHeight="1">
      <c r="A672" s="1209">
        <f t="shared" si="12"/>
        <v>6</v>
      </c>
      <c r="B672" s="1210" t="s">
        <v>7915</v>
      </c>
      <c r="C672" s="1211"/>
      <c r="D672" s="1212"/>
      <c r="E672" s="1207" t="s">
        <v>5810</v>
      </c>
      <c r="F672" s="1203" t="s">
        <v>2963</v>
      </c>
      <c r="G672" s="1213"/>
      <c r="H672" s="1209" t="s">
        <v>858</v>
      </c>
      <c r="I672" s="1211"/>
      <c r="J672" s="1209" t="s">
        <v>7161</v>
      </c>
      <c r="K672" s="1209" t="s">
        <v>740</v>
      </c>
      <c r="L672" s="1211"/>
      <c r="M672" s="1209" t="s">
        <v>7162</v>
      </c>
      <c r="N672" s="1209" t="s">
        <v>7163</v>
      </c>
      <c r="O672" s="1211"/>
      <c r="P672" s="1211"/>
      <c r="Q672" s="1208">
        <v>0.5</v>
      </c>
      <c r="R672" s="1208"/>
    </row>
    <row r="673" ht="12.75" customHeight="1">
      <c r="A673" s="1209">
        <f t="shared" si="12"/>
        <v>7</v>
      </c>
      <c r="B673" s="1210" t="s">
        <v>7916</v>
      </c>
      <c r="C673" s="1206"/>
      <c r="D673" s="1206"/>
      <c r="E673" s="1207" t="s">
        <v>5810</v>
      </c>
      <c r="F673" s="1203" t="s">
        <v>2963</v>
      </c>
      <c r="G673" s="1234" t="s">
        <v>7917</v>
      </c>
      <c r="H673" s="1209" t="s">
        <v>858</v>
      </c>
      <c r="I673" s="1235" t="s">
        <v>7918</v>
      </c>
      <c r="J673" s="1209" t="s">
        <v>1093</v>
      </c>
      <c r="K673" s="1209" t="s">
        <v>740</v>
      </c>
      <c r="L673" s="1211"/>
      <c r="M673" s="1209" t="s">
        <v>7210</v>
      </c>
      <c r="N673" s="1209" t="s">
        <v>7211</v>
      </c>
      <c r="O673" s="1210" t="s">
        <v>7714</v>
      </c>
      <c r="P673" s="1211"/>
      <c r="Q673" s="1208">
        <v>0.5</v>
      </c>
      <c r="R673" s="1208"/>
    </row>
    <row r="674" ht="12.75" customHeight="1">
      <c r="A674" s="1209">
        <f t="shared" si="12"/>
        <v>8</v>
      </c>
      <c r="B674" s="1210" t="s">
        <v>7919</v>
      </c>
      <c r="C674" s="1206"/>
      <c r="D674" s="1206"/>
      <c r="E674" s="1207" t="s">
        <v>5810</v>
      </c>
      <c r="F674" s="1203" t="s">
        <v>2963</v>
      </c>
      <c r="G674" s="1213"/>
      <c r="H674" s="1209" t="s">
        <v>858</v>
      </c>
      <c r="I674" s="1211"/>
      <c r="J674" s="1209" t="s">
        <v>1093</v>
      </c>
      <c r="K674" s="1209" t="s">
        <v>740</v>
      </c>
      <c r="L674" s="1211"/>
      <c r="M674" s="1209" t="s">
        <v>7210</v>
      </c>
      <c r="N674" s="1209" t="s">
        <v>7211</v>
      </c>
      <c r="O674" s="1210" t="s">
        <v>7714</v>
      </c>
      <c r="P674" s="1211"/>
      <c r="Q674" s="1208">
        <v>0.5</v>
      </c>
      <c r="R674" s="1208"/>
    </row>
    <row r="675" ht="12.75" customHeight="1">
      <c r="A675" s="1209">
        <f t="shared" si="12"/>
        <v>9</v>
      </c>
      <c r="B675" s="1210" t="s">
        <v>7920</v>
      </c>
      <c r="C675" s="1206"/>
      <c r="D675" s="1206"/>
      <c r="E675" s="1207" t="s">
        <v>5810</v>
      </c>
      <c r="F675" s="1203" t="s">
        <v>2963</v>
      </c>
      <c r="G675" s="1213"/>
      <c r="H675" s="1209" t="s">
        <v>858</v>
      </c>
      <c r="I675" s="1211"/>
      <c r="J675" s="1209" t="s">
        <v>1093</v>
      </c>
      <c r="K675" s="1209" t="s">
        <v>740</v>
      </c>
      <c r="L675" s="1211"/>
      <c r="M675" s="1209" t="s">
        <v>7210</v>
      </c>
      <c r="N675" s="1209" t="s">
        <v>7211</v>
      </c>
      <c r="O675" s="1210" t="s">
        <v>7714</v>
      </c>
      <c r="P675" s="1211"/>
      <c r="Q675" s="1208">
        <v>0.5</v>
      </c>
      <c r="R675" s="1208"/>
    </row>
    <row r="676" ht="12.75" customHeight="1">
      <c r="A676" s="1209">
        <v>1.0</v>
      </c>
      <c r="B676" s="1210" t="s">
        <v>7921</v>
      </c>
      <c r="C676" s="1206" t="s">
        <v>7922</v>
      </c>
      <c r="D676" s="1206"/>
      <c r="E676" s="1207" t="s">
        <v>5810</v>
      </c>
      <c r="F676" s="1203" t="s">
        <v>2963</v>
      </c>
      <c r="G676" s="1213"/>
      <c r="H676" s="1209" t="s">
        <v>1010</v>
      </c>
      <c r="I676" s="1210"/>
      <c r="J676" s="1209" t="s">
        <v>7161</v>
      </c>
      <c r="K676" s="1209" t="s">
        <v>740</v>
      </c>
      <c r="L676" s="1211"/>
      <c r="M676" s="1209" t="s">
        <v>7162</v>
      </c>
      <c r="N676" s="1209" t="s">
        <v>7163</v>
      </c>
      <c r="O676" s="1211"/>
      <c r="P676" s="1211"/>
      <c r="Q676" s="1208">
        <v>0.5</v>
      </c>
      <c r="R676" s="1208"/>
    </row>
    <row r="677" ht="12.75" customHeight="1">
      <c r="A677" s="1209">
        <v>2.0</v>
      </c>
      <c r="B677" s="1210" t="s">
        <v>7923</v>
      </c>
      <c r="C677" s="1212" t="s">
        <v>7924</v>
      </c>
      <c r="D677" s="1212"/>
      <c r="E677" s="1207" t="s">
        <v>5810</v>
      </c>
      <c r="F677" s="1203" t="s">
        <v>2963</v>
      </c>
      <c r="G677" s="1213"/>
      <c r="H677" s="1209" t="s">
        <v>1010</v>
      </c>
      <c r="I677" s="1210"/>
      <c r="J677" s="1209" t="s">
        <v>7161</v>
      </c>
      <c r="K677" s="1209" t="s">
        <v>740</v>
      </c>
      <c r="L677" s="1211"/>
      <c r="M677" s="1209" t="s">
        <v>7162</v>
      </c>
      <c r="N677" s="1209" t="s">
        <v>7163</v>
      </c>
      <c r="O677" s="1211"/>
      <c r="P677" s="1211"/>
      <c r="Q677" s="1208">
        <v>0.5</v>
      </c>
      <c r="R677" s="1208"/>
    </row>
    <row r="678" ht="12.75" customHeight="1">
      <c r="A678" s="1209">
        <v>3.0</v>
      </c>
      <c r="B678" s="1210" t="s">
        <v>7925</v>
      </c>
      <c r="C678" s="1212" t="s">
        <v>7926</v>
      </c>
      <c r="D678" s="1212"/>
      <c r="E678" s="1207" t="s">
        <v>5810</v>
      </c>
      <c r="F678" s="1203" t="s">
        <v>2963</v>
      </c>
      <c r="G678" s="1213"/>
      <c r="H678" s="1209" t="s">
        <v>1010</v>
      </c>
      <c r="I678" s="1211"/>
      <c r="J678" s="1209" t="s">
        <v>7161</v>
      </c>
      <c r="K678" s="1209" t="s">
        <v>740</v>
      </c>
      <c r="L678" s="1211"/>
      <c r="M678" s="1209" t="s">
        <v>7162</v>
      </c>
      <c r="N678" s="1209" t="s">
        <v>7163</v>
      </c>
      <c r="O678" s="1211"/>
      <c r="P678" s="1211"/>
      <c r="Q678" s="1208">
        <v>0.5</v>
      </c>
      <c r="R678" s="1208"/>
    </row>
    <row r="679" ht="12.75" customHeight="1">
      <c r="A679" s="1209">
        <v>4.0</v>
      </c>
      <c r="B679" s="1210" t="s">
        <v>7927</v>
      </c>
      <c r="C679" s="1212" t="s">
        <v>7928</v>
      </c>
      <c r="D679" s="1212"/>
      <c r="E679" s="1207" t="s">
        <v>5810</v>
      </c>
      <c r="F679" s="1203" t="s">
        <v>2963</v>
      </c>
      <c r="G679" s="1213"/>
      <c r="H679" s="1209" t="s">
        <v>1010</v>
      </c>
      <c r="I679" s="1211"/>
      <c r="J679" s="1209" t="s">
        <v>7161</v>
      </c>
      <c r="K679" s="1209" t="s">
        <v>740</v>
      </c>
      <c r="L679" s="1211"/>
      <c r="M679" s="1209" t="s">
        <v>7162</v>
      </c>
      <c r="N679" s="1209" t="s">
        <v>7163</v>
      </c>
      <c r="O679" s="1211"/>
      <c r="P679" s="1211"/>
      <c r="Q679" s="1208">
        <v>0.5</v>
      </c>
      <c r="R679" s="1208"/>
    </row>
    <row r="680" ht="12.75" customHeight="1">
      <c r="A680" s="1209">
        <v>6.0</v>
      </c>
      <c r="B680" s="1210" t="s">
        <v>7929</v>
      </c>
      <c r="C680" s="1212" t="s">
        <v>7930</v>
      </c>
      <c r="D680" s="1212"/>
      <c r="E680" s="1207" t="s">
        <v>5810</v>
      </c>
      <c r="F680" s="1203" t="s">
        <v>2963</v>
      </c>
      <c r="G680" s="1213"/>
      <c r="H680" s="1209" t="s">
        <v>1010</v>
      </c>
      <c r="I680" s="1210"/>
      <c r="J680" s="1209" t="s">
        <v>7161</v>
      </c>
      <c r="K680" s="1209" t="s">
        <v>740</v>
      </c>
      <c r="L680" s="1211"/>
      <c r="M680" s="1209" t="s">
        <v>7162</v>
      </c>
      <c r="N680" s="1209" t="s">
        <v>7163</v>
      </c>
      <c r="O680" s="1211"/>
      <c r="P680" s="1211"/>
      <c r="Q680" s="1208">
        <v>0.5</v>
      </c>
      <c r="R680" s="1208"/>
    </row>
    <row r="681" ht="12.75" customHeight="1">
      <c r="A681" s="1209">
        <v>7.0</v>
      </c>
      <c r="B681" s="1210" t="s">
        <v>7931</v>
      </c>
      <c r="C681" s="1212" t="s">
        <v>7932</v>
      </c>
      <c r="D681" s="1212"/>
      <c r="E681" s="1207" t="s">
        <v>5810</v>
      </c>
      <c r="F681" s="1203" t="s">
        <v>2963</v>
      </c>
      <c r="G681" s="1213"/>
      <c r="H681" s="1209" t="s">
        <v>1010</v>
      </c>
      <c r="I681" s="1211"/>
      <c r="J681" s="1209" t="s">
        <v>7161</v>
      </c>
      <c r="K681" s="1209" t="s">
        <v>740</v>
      </c>
      <c r="L681" s="1211"/>
      <c r="M681" s="1209" t="s">
        <v>7162</v>
      </c>
      <c r="N681" s="1209" t="s">
        <v>7163</v>
      </c>
      <c r="O681" s="1211"/>
      <c r="P681" s="1211"/>
      <c r="Q681" s="1208">
        <v>0.5</v>
      </c>
      <c r="R681" s="1208"/>
    </row>
    <row r="682" ht="12.75" customHeight="1">
      <c r="A682" s="1209">
        <v>10.0</v>
      </c>
      <c r="B682" s="1210" t="s">
        <v>7933</v>
      </c>
      <c r="C682" s="1212" t="s">
        <v>7934</v>
      </c>
      <c r="D682" s="1212"/>
      <c r="E682" s="1207" t="s">
        <v>5810</v>
      </c>
      <c r="F682" s="1203" t="s">
        <v>2963</v>
      </c>
      <c r="G682" s="1213"/>
      <c r="H682" s="1209" t="s">
        <v>1010</v>
      </c>
      <c r="I682" s="1210"/>
      <c r="J682" s="1209" t="s">
        <v>7161</v>
      </c>
      <c r="K682" s="1209" t="s">
        <v>740</v>
      </c>
      <c r="L682" s="1211"/>
      <c r="M682" s="1209" t="s">
        <v>7162</v>
      </c>
      <c r="N682" s="1209" t="s">
        <v>7163</v>
      </c>
      <c r="O682" s="1211"/>
      <c r="P682" s="1211"/>
      <c r="Q682" s="1208">
        <v>0.5</v>
      </c>
      <c r="R682" s="1208"/>
    </row>
    <row r="683" ht="12.75" customHeight="1">
      <c r="A683" s="1209">
        <v>11.0</v>
      </c>
      <c r="B683" s="1210" t="s">
        <v>7935</v>
      </c>
      <c r="C683" s="1212" t="s">
        <v>7936</v>
      </c>
      <c r="D683" s="1212"/>
      <c r="E683" s="1207" t="s">
        <v>5810</v>
      </c>
      <c r="F683" s="1203" t="s">
        <v>2963</v>
      </c>
      <c r="G683" s="1213"/>
      <c r="H683" s="1209" t="s">
        <v>1010</v>
      </c>
      <c r="I683" s="1210"/>
      <c r="J683" s="1209" t="s">
        <v>7161</v>
      </c>
      <c r="K683" s="1209" t="s">
        <v>740</v>
      </c>
      <c r="L683" s="1211"/>
      <c r="M683" s="1209" t="s">
        <v>7162</v>
      </c>
      <c r="N683" s="1209" t="s">
        <v>7163</v>
      </c>
      <c r="O683" s="1211"/>
      <c r="P683" s="1211"/>
      <c r="Q683" s="1208">
        <v>0.5</v>
      </c>
      <c r="R683" s="1208"/>
    </row>
    <row r="684" ht="12.75" customHeight="1">
      <c r="A684" s="1209">
        <v>12.0</v>
      </c>
      <c r="B684" s="1210" t="s">
        <v>7937</v>
      </c>
      <c r="C684" s="1212" t="s">
        <v>7938</v>
      </c>
      <c r="D684" s="1212"/>
      <c r="E684" s="1207" t="s">
        <v>5810</v>
      </c>
      <c r="F684" s="1203" t="s">
        <v>2963</v>
      </c>
      <c r="G684" s="1213"/>
      <c r="H684" s="1209" t="s">
        <v>1010</v>
      </c>
      <c r="I684" s="1211"/>
      <c r="J684" s="1209" t="s">
        <v>7161</v>
      </c>
      <c r="K684" s="1209" t="s">
        <v>740</v>
      </c>
      <c r="L684" s="1211"/>
      <c r="M684" s="1209" t="s">
        <v>7162</v>
      </c>
      <c r="N684" s="1209" t="s">
        <v>7163</v>
      </c>
      <c r="O684" s="1211"/>
      <c r="P684" s="1211"/>
      <c r="Q684" s="1208">
        <v>0.5</v>
      </c>
      <c r="R684" s="1208"/>
    </row>
    <row r="685" ht="12.75" customHeight="1">
      <c r="A685" s="1209">
        <v>13.0</v>
      </c>
      <c r="B685" s="1210" t="s">
        <v>7939</v>
      </c>
      <c r="C685" s="1210" t="s">
        <v>7940</v>
      </c>
      <c r="D685" s="1211"/>
      <c r="E685" s="1207" t="s">
        <v>5810</v>
      </c>
      <c r="F685" s="1203" t="s">
        <v>2963</v>
      </c>
      <c r="G685" s="1213"/>
      <c r="H685" s="1209" t="s">
        <v>1010</v>
      </c>
      <c r="I685" s="1210" t="s">
        <v>7725</v>
      </c>
      <c r="J685" s="1209" t="s">
        <v>7161</v>
      </c>
      <c r="K685" s="1209" t="s">
        <v>740</v>
      </c>
      <c r="L685" s="1211"/>
      <c r="M685" s="1209" t="s">
        <v>7162</v>
      </c>
      <c r="N685" s="1209" t="s">
        <v>7163</v>
      </c>
      <c r="O685" s="1211"/>
      <c r="P685" s="1211"/>
      <c r="Q685" s="1208">
        <v>0.5</v>
      </c>
      <c r="R685" s="1208"/>
    </row>
    <row r="686" ht="12.75" customHeight="1">
      <c r="A686" s="1209">
        <v>15.0</v>
      </c>
      <c r="B686" s="1210" t="s">
        <v>7941</v>
      </c>
      <c r="C686" s="1210"/>
      <c r="D686" s="1211"/>
      <c r="E686" s="1207" t="s">
        <v>5810</v>
      </c>
      <c r="F686" s="1203" t="s">
        <v>2963</v>
      </c>
      <c r="G686" s="1213"/>
      <c r="H686" s="1209" t="s">
        <v>1010</v>
      </c>
      <c r="I686" s="1210"/>
      <c r="J686" s="1209" t="s">
        <v>7161</v>
      </c>
      <c r="K686" s="1209" t="s">
        <v>740</v>
      </c>
      <c r="L686" s="1211"/>
      <c r="M686" s="1209" t="s">
        <v>7162</v>
      </c>
      <c r="N686" s="1209" t="s">
        <v>7163</v>
      </c>
      <c r="O686" s="1211"/>
      <c r="P686" s="1211"/>
      <c r="Q686" s="1208">
        <v>0.5</v>
      </c>
      <c r="R686" s="1208"/>
    </row>
    <row r="687" ht="12.75" customHeight="1">
      <c r="A687" s="1209">
        <v>16.0</v>
      </c>
      <c r="B687" s="1210" t="s">
        <v>7942</v>
      </c>
      <c r="C687" s="1210"/>
      <c r="D687" s="1211"/>
      <c r="E687" s="1207" t="s">
        <v>5810</v>
      </c>
      <c r="F687" s="1203" t="s">
        <v>2963</v>
      </c>
      <c r="G687" s="1213"/>
      <c r="H687" s="1209" t="s">
        <v>1010</v>
      </c>
      <c r="I687" s="1210"/>
      <c r="J687" s="1209" t="s">
        <v>7161</v>
      </c>
      <c r="K687" s="1209" t="s">
        <v>740</v>
      </c>
      <c r="L687" s="1211"/>
      <c r="M687" s="1209" t="s">
        <v>7162</v>
      </c>
      <c r="N687" s="1209" t="s">
        <v>7163</v>
      </c>
      <c r="O687" s="1211"/>
      <c r="P687" s="1211"/>
      <c r="Q687" s="1208">
        <v>0.5</v>
      </c>
      <c r="R687" s="1208"/>
    </row>
    <row r="688" ht="12.75" customHeight="1">
      <c r="A688" s="1209">
        <v>17.0</v>
      </c>
      <c r="B688" s="1210" t="s">
        <v>7943</v>
      </c>
      <c r="C688" s="1210"/>
      <c r="D688" s="1211"/>
      <c r="E688" s="1207" t="s">
        <v>5810</v>
      </c>
      <c r="F688" s="1203" t="s">
        <v>2963</v>
      </c>
      <c r="G688" s="1213"/>
      <c r="H688" s="1209" t="s">
        <v>1010</v>
      </c>
      <c r="I688" s="1210"/>
      <c r="J688" s="1209" t="s">
        <v>7161</v>
      </c>
      <c r="K688" s="1209" t="s">
        <v>740</v>
      </c>
      <c r="L688" s="1211"/>
      <c r="M688" s="1209" t="s">
        <v>7162</v>
      </c>
      <c r="N688" s="1209" t="s">
        <v>7163</v>
      </c>
      <c r="O688" s="1211"/>
      <c r="P688" s="1211"/>
      <c r="Q688" s="1208">
        <v>0.5</v>
      </c>
      <c r="R688" s="1208"/>
    </row>
    <row r="689" ht="12.75" customHeight="1">
      <c r="A689" s="1209">
        <v>1.0</v>
      </c>
      <c r="B689" s="1210" t="s">
        <v>7944</v>
      </c>
      <c r="C689" s="1211"/>
      <c r="D689" s="1212"/>
      <c r="E689" s="1207" t="s">
        <v>5810</v>
      </c>
      <c r="F689" s="1203" t="s">
        <v>2963</v>
      </c>
      <c r="G689" s="1213"/>
      <c r="H689" s="1209" t="s">
        <v>1120</v>
      </c>
      <c r="I689" s="1211"/>
      <c r="J689" s="1209" t="s">
        <v>7161</v>
      </c>
      <c r="K689" s="1209" t="s">
        <v>740</v>
      </c>
      <c r="L689" s="1211"/>
      <c r="M689" s="1209" t="s">
        <v>7162</v>
      </c>
      <c r="N689" s="1209" t="s">
        <v>7163</v>
      </c>
      <c r="O689" s="1211"/>
      <c r="P689" s="1211"/>
      <c r="Q689" s="1208">
        <v>0.5</v>
      </c>
      <c r="R689" s="1208"/>
    </row>
    <row r="690" ht="12.75" customHeight="1">
      <c r="A690" s="1203">
        <v>2.0</v>
      </c>
      <c r="B690" s="1210" t="s">
        <v>7945</v>
      </c>
      <c r="C690" s="1211"/>
      <c r="D690" s="1212"/>
      <c r="E690" s="1207" t="s">
        <v>5810</v>
      </c>
      <c r="F690" s="1203" t="s">
        <v>2963</v>
      </c>
      <c r="G690" s="1213"/>
      <c r="H690" s="1209" t="s">
        <v>1120</v>
      </c>
      <c r="I690" s="1211"/>
      <c r="J690" s="1209" t="s">
        <v>7161</v>
      </c>
      <c r="K690" s="1209" t="s">
        <v>740</v>
      </c>
      <c r="L690" s="1211"/>
      <c r="M690" s="1209" t="s">
        <v>7162</v>
      </c>
      <c r="N690" s="1209" t="s">
        <v>7163</v>
      </c>
      <c r="O690" s="1211"/>
      <c r="P690" s="1211"/>
      <c r="Q690" s="1208">
        <v>0.5</v>
      </c>
      <c r="R690" s="1208"/>
    </row>
    <row r="691" ht="12.75" customHeight="1">
      <c r="A691" s="1203">
        <v>4.0</v>
      </c>
      <c r="B691" s="1210" t="s">
        <v>7946</v>
      </c>
      <c r="C691" s="1211"/>
      <c r="D691" s="1212"/>
      <c r="E691" s="1207" t="s">
        <v>5810</v>
      </c>
      <c r="F691" s="1203" t="s">
        <v>2963</v>
      </c>
      <c r="G691" s="1213"/>
      <c r="H691" s="1209" t="s">
        <v>1120</v>
      </c>
      <c r="I691" s="1210" t="s">
        <v>7947</v>
      </c>
      <c r="J691" s="1209" t="s">
        <v>7161</v>
      </c>
      <c r="K691" s="1209" t="s">
        <v>740</v>
      </c>
      <c r="L691" s="1211"/>
      <c r="M691" s="1209" t="s">
        <v>7162</v>
      </c>
      <c r="N691" s="1209" t="s">
        <v>7163</v>
      </c>
      <c r="O691" s="1211"/>
      <c r="P691" s="1211"/>
      <c r="Q691" s="1208">
        <v>0.5</v>
      </c>
      <c r="R691" s="1208"/>
    </row>
    <row r="692" ht="12.75" customHeight="1">
      <c r="A692" s="1209">
        <v>5.0</v>
      </c>
      <c r="B692" s="1210" t="s">
        <v>7948</v>
      </c>
      <c r="C692" s="1211"/>
      <c r="D692" s="1212"/>
      <c r="E692" s="1207" t="s">
        <v>5810</v>
      </c>
      <c r="F692" s="1203" t="s">
        <v>2963</v>
      </c>
      <c r="G692" s="1213"/>
      <c r="H692" s="1209" t="s">
        <v>1120</v>
      </c>
      <c r="I692" s="1210" t="s">
        <v>7947</v>
      </c>
      <c r="J692" s="1209" t="s">
        <v>7161</v>
      </c>
      <c r="K692" s="1209" t="s">
        <v>740</v>
      </c>
      <c r="L692" s="1211"/>
      <c r="M692" s="1209" t="s">
        <v>7162</v>
      </c>
      <c r="N692" s="1209" t="s">
        <v>7163</v>
      </c>
      <c r="O692" s="1211"/>
      <c r="P692" s="1211"/>
      <c r="Q692" s="1208">
        <v>0.5</v>
      </c>
      <c r="R692" s="1208"/>
    </row>
    <row r="693" ht="12.75" customHeight="1">
      <c r="A693" s="1203">
        <v>6.0</v>
      </c>
      <c r="B693" s="1210" t="s">
        <v>7949</v>
      </c>
      <c r="C693" s="1211"/>
      <c r="D693" s="1212"/>
      <c r="E693" s="1207" t="s">
        <v>5810</v>
      </c>
      <c r="F693" s="1203" t="s">
        <v>2963</v>
      </c>
      <c r="G693" s="1213"/>
      <c r="H693" s="1209" t="s">
        <v>1120</v>
      </c>
      <c r="I693" s="1210" t="s">
        <v>7947</v>
      </c>
      <c r="J693" s="1209" t="s">
        <v>7161</v>
      </c>
      <c r="K693" s="1209" t="s">
        <v>740</v>
      </c>
      <c r="L693" s="1211"/>
      <c r="M693" s="1209" t="s">
        <v>7162</v>
      </c>
      <c r="N693" s="1209" t="s">
        <v>7163</v>
      </c>
      <c r="O693" s="1211"/>
      <c r="P693" s="1211"/>
      <c r="Q693" s="1208">
        <v>0.5</v>
      </c>
      <c r="R693" s="1208"/>
    </row>
    <row r="694" ht="12.75" customHeight="1">
      <c r="A694" s="1209">
        <v>7.0</v>
      </c>
      <c r="B694" s="1210" t="s">
        <v>7950</v>
      </c>
      <c r="C694" s="1211"/>
      <c r="D694" s="1212"/>
      <c r="E694" s="1207" t="s">
        <v>5810</v>
      </c>
      <c r="F694" s="1203" t="s">
        <v>2963</v>
      </c>
      <c r="G694" s="1213"/>
      <c r="H694" s="1209" t="s">
        <v>1120</v>
      </c>
      <c r="I694" s="1210" t="s">
        <v>7947</v>
      </c>
      <c r="J694" s="1209" t="s">
        <v>7161</v>
      </c>
      <c r="K694" s="1209" t="s">
        <v>740</v>
      </c>
      <c r="L694" s="1211"/>
      <c r="M694" s="1209" t="s">
        <v>7162</v>
      </c>
      <c r="N694" s="1209" t="s">
        <v>7163</v>
      </c>
      <c r="O694" s="1211"/>
      <c r="P694" s="1211"/>
      <c r="Q694" s="1208">
        <v>0.5</v>
      </c>
      <c r="R694" s="1208"/>
    </row>
    <row r="695" ht="12.75" customHeight="1">
      <c r="A695" s="1203">
        <v>8.0</v>
      </c>
      <c r="B695" s="1210" t="s">
        <v>7951</v>
      </c>
      <c r="C695" s="1211"/>
      <c r="D695" s="1212"/>
      <c r="E695" s="1207" t="s">
        <v>5810</v>
      </c>
      <c r="F695" s="1203" t="s">
        <v>2963</v>
      </c>
      <c r="G695" s="1213"/>
      <c r="H695" s="1209" t="s">
        <v>1120</v>
      </c>
      <c r="I695" s="1210" t="s">
        <v>7947</v>
      </c>
      <c r="J695" s="1209" t="s">
        <v>7161</v>
      </c>
      <c r="K695" s="1209" t="s">
        <v>740</v>
      </c>
      <c r="L695" s="1211"/>
      <c r="M695" s="1209" t="s">
        <v>7162</v>
      </c>
      <c r="N695" s="1209" t="s">
        <v>7163</v>
      </c>
      <c r="O695" s="1211"/>
      <c r="P695" s="1211"/>
      <c r="Q695" s="1208">
        <v>0.5</v>
      </c>
      <c r="R695" s="1208"/>
    </row>
    <row r="696" ht="12.75" customHeight="1">
      <c r="A696" s="1209">
        <v>9.0</v>
      </c>
      <c r="B696" s="1210" t="s">
        <v>7952</v>
      </c>
      <c r="C696" s="1211"/>
      <c r="D696" s="1212"/>
      <c r="E696" s="1207" t="s">
        <v>5810</v>
      </c>
      <c r="F696" s="1203" t="s">
        <v>2963</v>
      </c>
      <c r="G696" s="1213"/>
      <c r="H696" s="1209" t="s">
        <v>1120</v>
      </c>
      <c r="I696" s="1211"/>
      <c r="J696" s="1209" t="s">
        <v>7161</v>
      </c>
      <c r="K696" s="1209" t="s">
        <v>740</v>
      </c>
      <c r="L696" s="1211"/>
      <c r="M696" s="1209" t="s">
        <v>7162</v>
      </c>
      <c r="N696" s="1209" t="s">
        <v>7163</v>
      </c>
      <c r="O696" s="1211"/>
      <c r="P696" s="1211"/>
      <c r="Q696" s="1208">
        <v>0.5</v>
      </c>
      <c r="R696" s="1208"/>
    </row>
    <row r="697" ht="12.75" customHeight="1">
      <c r="A697" s="1203">
        <v>10.0</v>
      </c>
      <c r="B697" s="1210" t="s">
        <v>7953</v>
      </c>
      <c r="C697" s="1211"/>
      <c r="D697" s="1212"/>
      <c r="E697" s="1207" t="s">
        <v>5810</v>
      </c>
      <c r="F697" s="1203" t="s">
        <v>2963</v>
      </c>
      <c r="G697" s="1213"/>
      <c r="H697" s="1209" t="s">
        <v>1120</v>
      </c>
      <c r="I697" s="1211"/>
      <c r="J697" s="1209" t="s">
        <v>7161</v>
      </c>
      <c r="K697" s="1209" t="s">
        <v>740</v>
      </c>
      <c r="L697" s="1211"/>
      <c r="M697" s="1209" t="s">
        <v>7162</v>
      </c>
      <c r="N697" s="1209" t="s">
        <v>7163</v>
      </c>
      <c r="O697" s="1211"/>
      <c r="P697" s="1211"/>
      <c r="Q697" s="1208">
        <v>0.5</v>
      </c>
      <c r="R697" s="1208"/>
    </row>
    <row r="698" ht="12.75" customHeight="1">
      <c r="A698" s="1209">
        <v>11.0</v>
      </c>
      <c r="B698" s="1210" t="s">
        <v>7954</v>
      </c>
      <c r="C698" s="1211"/>
      <c r="D698" s="1212"/>
      <c r="E698" s="1207" t="s">
        <v>5810</v>
      </c>
      <c r="F698" s="1203" t="s">
        <v>2963</v>
      </c>
      <c r="G698" s="1213"/>
      <c r="H698" s="1209" t="s">
        <v>1120</v>
      </c>
      <c r="I698" s="1210" t="s">
        <v>7947</v>
      </c>
      <c r="J698" s="1209" t="s">
        <v>7161</v>
      </c>
      <c r="K698" s="1209" t="s">
        <v>740</v>
      </c>
      <c r="L698" s="1211"/>
      <c r="M698" s="1209" t="s">
        <v>7162</v>
      </c>
      <c r="N698" s="1209" t="s">
        <v>7163</v>
      </c>
      <c r="O698" s="1211"/>
      <c r="P698" s="1211"/>
      <c r="Q698" s="1208">
        <v>0.5</v>
      </c>
      <c r="R698" s="1208"/>
    </row>
    <row r="699" ht="12.75" customHeight="1">
      <c r="A699" s="1209">
        <v>13.0</v>
      </c>
      <c r="B699" s="1210" t="s">
        <v>7955</v>
      </c>
      <c r="C699" s="1211"/>
      <c r="D699" s="1212"/>
      <c r="E699" s="1207" t="s">
        <v>5810</v>
      </c>
      <c r="F699" s="1203" t="s">
        <v>2963</v>
      </c>
      <c r="G699" s="1213"/>
      <c r="H699" s="1209" t="s">
        <v>1120</v>
      </c>
      <c r="I699" s="1211"/>
      <c r="J699" s="1209" t="s">
        <v>7161</v>
      </c>
      <c r="K699" s="1209" t="s">
        <v>740</v>
      </c>
      <c r="L699" s="1211"/>
      <c r="M699" s="1209" t="s">
        <v>7162</v>
      </c>
      <c r="N699" s="1209" t="s">
        <v>7163</v>
      </c>
      <c r="O699" s="1211"/>
      <c r="P699" s="1211"/>
      <c r="Q699" s="1208">
        <v>0.5</v>
      </c>
      <c r="R699" s="1208"/>
    </row>
    <row r="700" ht="12.75" customHeight="1">
      <c r="A700" s="1203">
        <v>14.0</v>
      </c>
      <c r="B700" s="1210" t="s">
        <v>7956</v>
      </c>
      <c r="C700" s="1211"/>
      <c r="D700" s="1212"/>
      <c r="E700" s="1207" t="s">
        <v>5810</v>
      </c>
      <c r="F700" s="1203" t="s">
        <v>2963</v>
      </c>
      <c r="G700" s="1213"/>
      <c r="H700" s="1209" t="s">
        <v>1120</v>
      </c>
      <c r="I700" s="1210" t="s">
        <v>7947</v>
      </c>
      <c r="J700" s="1209" t="s">
        <v>7161</v>
      </c>
      <c r="K700" s="1209" t="s">
        <v>740</v>
      </c>
      <c r="L700" s="1211"/>
      <c r="M700" s="1209" t="s">
        <v>7162</v>
      </c>
      <c r="N700" s="1209" t="s">
        <v>7163</v>
      </c>
      <c r="O700" s="1211"/>
      <c r="P700" s="1211"/>
      <c r="Q700" s="1208">
        <v>0.5</v>
      </c>
      <c r="R700" s="1208"/>
    </row>
    <row r="701" ht="12.75" customHeight="1">
      <c r="A701" s="1209">
        <v>15.0</v>
      </c>
      <c r="B701" s="1210" t="s">
        <v>7957</v>
      </c>
      <c r="C701" s="1211"/>
      <c r="D701" s="1212"/>
      <c r="E701" s="1207" t="s">
        <v>5810</v>
      </c>
      <c r="F701" s="1203" t="s">
        <v>2963</v>
      </c>
      <c r="G701" s="1213"/>
      <c r="H701" s="1209" t="s">
        <v>1120</v>
      </c>
      <c r="I701" s="1211"/>
      <c r="J701" s="1209" t="s">
        <v>7161</v>
      </c>
      <c r="K701" s="1209" t="s">
        <v>740</v>
      </c>
      <c r="L701" s="1211"/>
      <c r="M701" s="1209" t="s">
        <v>7162</v>
      </c>
      <c r="N701" s="1209" t="s">
        <v>7163</v>
      </c>
      <c r="O701" s="1211"/>
      <c r="P701" s="1211"/>
      <c r="Q701" s="1208">
        <v>0.5</v>
      </c>
      <c r="R701" s="1208"/>
    </row>
    <row r="702" ht="12.75" customHeight="1">
      <c r="A702" s="1203">
        <v>16.0</v>
      </c>
      <c r="B702" s="1210" t="s">
        <v>7958</v>
      </c>
      <c r="C702" s="1211"/>
      <c r="D702" s="1212"/>
      <c r="E702" s="1207" t="s">
        <v>5810</v>
      </c>
      <c r="F702" s="1203" t="s">
        <v>2963</v>
      </c>
      <c r="G702" s="1213"/>
      <c r="H702" s="1209" t="s">
        <v>1120</v>
      </c>
      <c r="I702" s="1211"/>
      <c r="J702" s="1209" t="s">
        <v>7161</v>
      </c>
      <c r="K702" s="1209" t="s">
        <v>740</v>
      </c>
      <c r="L702" s="1211"/>
      <c r="M702" s="1209" t="s">
        <v>7162</v>
      </c>
      <c r="N702" s="1209" t="s">
        <v>7163</v>
      </c>
      <c r="O702" s="1211"/>
      <c r="P702" s="1211"/>
      <c r="Q702" s="1208">
        <v>0.5</v>
      </c>
      <c r="R702" s="1208"/>
    </row>
    <row r="703" ht="12.75" customHeight="1">
      <c r="A703" s="1203">
        <v>20.0</v>
      </c>
      <c r="B703" s="1210" t="s">
        <v>7959</v>
      </c>
      <c r="C703" s="1205"/>
      <c r="D703" s="1206"/>
      <c r="E703" s="1207" t="s">
        <v>5810</v>
      </c>
      <c r="F703" s="1203" t="s">
        <v>2963</v>
      </c>
      <c r="G703" s="1237">
        <v>45416.0</v>
      </c>
      <c r="H703" s="1209" t="s">
        <v>1120</v>
      </c>
      <c r="I703" s="1223"/>
      <c r="J703" s="1228" t="s">
        <v>1093</v>
      </c>
      <c r="K703" s="1203" t="s">
        <v>2339</v>
      </c>
      <c r="L703" s="1205"/>
      <c r="M703" s="1203" t="s">
        <v>7210</v>
      </c>
      <c r="N703" s="1203" t="s">
        <v>7211</v>
      </c>
      <c r="O703" s="1224"/>
      <c r="P703" s="1205"/>
      <c r="Q703" s="1208">
        <v>0.5</v>
      </c>
      <c r="R703" s="1208"/>
    </row>
    <row r="704" ht="12.75" customHeight="1">
      <c r="A704" s="1209">
        <v>21.0</v>
      </c>
      <c r="B704" s="1210" t="s">
        <v>7960</v>
      </c>
      <c r="C704" s="1205"/>
      <c r="D704" s="1206"/>
      <c r="E704" s="1207" t="s">
        <v>5810</v>
      </c>
      <c r="F704" s="1203" t="s">
        <v>2963</v>
      </c>
      <c r="G704" s="1237">
        <v>45416.0</v>
      </c>
      <c r="H704" s="1209" t="s">
        <v>1120</v>
      </c>
      <c r="I704" s="1223"/>
      <c r="J704" s="1228" t="s">
        <v>1093</v>
      </c>
      <c r="K704" s="1203" t="s">
        <v>2339</v>
      </c>
      <c r="L704" s="1205"/>
      <c r="M704" s="1203" t="s">
        <v>7210</v>
      </c>
      <c r="N704" s="1203" t="s">
        <v>7211</v>
      </c>
      <c r="O704" s="1224"/>
      <c r="P704" s="1205"/>
      <c r="Q704" s="1208">
        <v>0.5</v>
      </c>
      <c r="R704" s="1208"/>
    </row>
    <row r="705" ht="12.75" customHeight="1">
      <c r="A705" s="1203">
        <v>22.0</v>
      </c>
      <c r="B705" s="1210" t="s">
        <v>7961</v>
      </c>
      <c r="C705" s="1205"/>
      <c r="D705" s="1206"/>
      <c r="E705" s="1207" t="s">
        <v>5810</v>
      </c>
      <c r="F705" s="1203" t="s">
        <v>2963</v>
      </c>
      <c r="G705" s="1237">
        <v>45416.0</v>
      </c>
      <c r="H705" s="1209" t="s">
        <v>1120</v>
      </c>
      <c r="I705" s="1223"/>
      <c r="J705" s="1228" t="s">
        <v>1093</v>
      </c>
      <c r="K705" s="1203" t="s">
        <v>2339</v>
      </c>
      <c r="L705" s="1205"/>
      <c r="M705" s="1203" t="s">
        <v>7210</v>
      </c>
      <c r="N705" s="1203" t="s">
        <v>7211</v>
      </c>
      <c r="O705" s="1224"/>
      <c r="P705" s="1205"/>
      <c r="Q705" s="1208">
        <v>0.5</v>
      </c>
      <c r="R705" s="1208"/>
    </row>
    <row r="706" ht="12.75" customHeight="1">
      <c r="A706" s="1209">
        <v>23.0</v>
      </c>
      <c r="B706" s="1210" t="s">
        <v>7962</v>
      </c>
      <c r="C706" s="1205"/>
      <c r="D706" s="1206"/>
      <c r="E706" s="1207" t="s">
        <v>5810</v>
      </c>
      <c r="F706" s="1203" t="s">
        <v>2963</v>
      </c>
      <c r="G706" s="1237">
        <v>45416.0</v>
      </c>
      <c r="H706" s="1209" t="s">
        <v>1120</v>
      </c>
      <c r="I706" s="1223"/>
      <c r="J706" s="1228" t="s">
        <v>1093</v>
      </c>
      <c r="K706" s="1203" t="s">
        <v>2339</v>
      </c>
      <c r="L706" s="1205"/>
      <c r="M706" s="1203" t="s">
        <v>7210</v>
      </c>
      <c r="N706" s="1203" t="s">
        <v>7211</v>
      </c>
      <c r="O706" s="1224"/>
      <c r="P706" s="1205"/>
      <c r="Q706" s="1208">
        <v>0.5</v>
      </c>
      <c r="R706" s="1208"/>
    </row>
    <row r="707" ht="12.75" customHeight="1">
      <c r="A707" s="1203">
        <v>26.0</v>
      </c>
      <c r="B707" s="1210" t="s">
        <v>7964</v>
      </c>
      <c r="C707" s="1205"/>
      <c r="D707" s="1206"/>
      <c r="E707" s="1207" t="s">
        <v>5810</v>
      </c>
      <c r="F707" s="1203" t="s">
        <v>2963</v>
      </c>
      <c r="G707" s="1238" t="s">
        <v>4988</v>
      </c>
      <c r="H707" s="1209" t="s">
        <v>1120</v>
      </c>
      <c r="I707" s="1223"/>
      <c r="J707" s="1228" t="s">
        <v>1093</v>
      </c>
      <c r="K707" s="1203" t="s">
        <v>2339</v>
      </c>
      <c r="L707" s="1205"/>
      <c r="M707" s="1203" t="s">
        <v>7210</v>
      </c>
      <c r="N707" s="1203" t="s">
        <v>7211</v>
      </c>
      <c r="O707" s="1228" t="s">
        <v>7965</v>
      </c>
      <c r="P707" s="1205"/>
      <c r="Q707" s="1208">
        <v>0.5</v>
      </c>
      <c r="R707" s="1208"/>
    </row>
    <row r="708" ht="12.75" customHeight="1">
      <c r="A708" s="1209">
        <v>27.0</v>
      </c>
      <c r="B708" s="1210" t="s">
        <v>7966</v>
      </c>
      <c r="C708" s="1205"/>
      <c r="D708" s="1206"/>
      <c r="E708" s="1207" t="s">
        <v>5810</v>
      </c>
      <c r="F708" s="1203" t="s">
        <v>2963</v>
      </c>
      <c r="G708" s="1238" t="s">
        <v>4988</v>
      </c>
      <c r="H708" s="1209" t="s">
        <v>1120</v>
      </c>
      <c r="I708" s="1223"/>
      <c r="J708" s="1228" t="s">
        <v>1093</v>
      </c>
      <c r="K708" s="1203" t="s">
        <v>2339</v>
      </c>
      <c r="L708" s="1205"/>
      <c r="M708" s="1203" t="s">
        <v>7210</v>
      </c>
      <c r="N708" s="1203" t="s">
        <v>7211</v>
      </c>
      <c r="O708" s="1228" t="s">
        <v>7967</v>
      </c>
      <c r="P708" s="1205"/>
      <c r="Q708" s="1208">
        <v>0.5</v>
      </c>
      <c r="R708" s="1208"/>
    </row>
    <row r="709" ht="12.75" customHeight="1">
      <c r="A709" s="1239" t="s">
        <v>7968</v>
      </c>
      <c r="B709" s="1240" t="s">
        <v>7445</v>
      </c>
      <c r="C709" s="1241">
        <f>COUNTA($B$314:$B$315)</f>
        <v>0</v>
      </c>
      <c r="D709" s="1242"/>
      <c r="E709" s="1242"/>
      <c r="F709" s="1203"/>
      <c r="G709" s="1243"/>
      <c r="H709" s="1244"/>
      <c r="I709" s="1241"/>
      <c r="J709" s="1244"/>
      <c r="K709" s="1244"/>
      <c r="L709" s="1245"/>
      <c r="M709" s="1244"/>
      <c r="N709" s="1244"/>
      <c r="O709" s="1245"/>
      <c r="P709" s="1245"/>
      <c r="Q709" s="1246"/>
      <c r="R709" s="1246"/>
    </row>
    <row r="710" ht="12.75" customHeight="1">
      <c r="A710" s="1209">
        <v>1.0</v>
      </c>
      <c r="B710" s="1210" t="s">
        <v>7969</v>
      </c>
      <c r="C710" s="1210" t="s">
        <v>7970</v>
      </c>
      <c r="D710" s="1211"/>
      <c r="E710" s="1207" t="s">
        <v>5810</v>
      </c>
      <c r="F710" s="1203" t="s">
        <v>2963</v>
      </c>
      <c r="G710" s="1213"/>
      <c r="H710" s="1209" t="s">
        <v>4789</v>
      </c>
      <c r="I710" s="1211"/>
      <c r="J710" s="1213" t="s">
        <v>7161</v>
      </c>
      <c r="K710" s="1209" t="s">
        <v>740</v>
      </c>
      <c r="L710" s="1211"/>
      <c r="M710" s="1209" t="s">
        <v>7162</v>
      </c>
      <c r="N710" s="1209" t="s">
        <v>7163</v>
      </c>
      <c r="O710" s="1211"/>
      <c r="P710" s="1211"/>
      <c r="Q710" s="1208">
        <v>0.5</v>
      </c>
      <c r="R710" s="1208"/>
    </row>
    <row r="711" ht="12.75" customHeight="1">
      <c r="A711" s="1209">
        <f t="shared" ref="A711:A722" si="13">1+A710</f>
        <v>2</v>
      </c>
      <c r="B711" s="1210" t="s">
        <v>7971</v>
      </c>
      <c r="C711" s="1210" t="s">
        <v>7972</v>
      </c>
      <c r="D711" s="1211"/>
      <c r="E711" s="1207" t="s">
        <v>5810</v>
      </c>
      <c r="F711" s="1203" t="s">
        <v>2963</v>
      </c>
      <c r="G711" s="1213"/>
      <c r="H711" s="1209" t="s">
        <v>4789</v>
      </c>
      <c r="I711" s="1211"/>
      <c r="J711" s="1213" t="s">
        <v>7161</v>
      </c>
      <c r="K711" s="1209" t="s">
        <v>740</v>
      </c>
      <c r="L711" s="1211"/>
      <c r="M711" s="1209" t="s">
        <v>7162</v>
      </c>
      <c r="N711" s="1209" t="s">
        <v>7163</v>
      </c>
      <c r="O711" s="1211"/>
      <c r="P711" s="1211"/>
      <c r="Q711" s="1208">
        <v>0.5</v>
      </c>
      <c r="R711" s="1208"/>
    </row>
    <row r="712" ht="12.75" customHeight="1">
      <c r="A712" s="1209">
        <f t="shared" si="13"/>
        <v>3</v>
      </c>
      <c r="B712" s="1210" t="s">
        <v>7973</v>
      </c>
      <c r="C712" s="1210" t="s">
        <v>7974</v>
      </c>
      <c r="D712" s="1211"/>
      <c r="E712" s="1207" t="s">
        <v>5810</v>
      </c>
      <c r="F712" s="1203" t="s">
        <v>2963</v>
      </c>
      <c r="G712" s="1213"/>
      <c r="H712" s="1209" t="s">
        <v>4789</v>
      </c>
      <c r="I712" s="1211"/>
      <c r="J712" s="1213" t="s">
        <v>7161</v>
      </c>
      <c r="K712" s="1209" t="s">
        <v>740</v>
      </c>
      <c r="L712" s="1211"/>
      <c r="M712" s="1209" t="s">
        <v>7162</v>
      </c>
      <c r="N712" s="1209" t="s">
        <v>7163</v>
      </c>
      <c r="O712" s="1211"/>
      <c r="P712" s="1211"/>
      <c r="Q712" s="1208">
        <v>0.5</v>
      </c>
      <c r="R712" s="1208"/>
    </row>
    <row r="713" ht="12.75" customHeight="1">
      <c r="A713" s="1209">
        <f t="shared" si="13"/>
        <v>4</v>
      </c>
      <c r="B713" s="1210" t="s">
        <v>7975</v>
      </c>
      <c r="C713" s="1210" t="s">
        <v>7976</v>
      </c>
      <c r="D713" s="1211"/>
      <c r="E713" s="1207" t="s">
        <v>5810</v>
      </c>
      <c r="F713" s="1203" t="s">
        <v>2963</v>
      </c>
      <c r="G713" s="1213"/>
      <c r="H713" s="1209" t="s">
        <v>4789</v>
      </c>
      <c r="I713" s="1211"/>
      <c r="J713" s="1213" t="s">
        <v>7161</v>
      </c>
      <c r="K713" s="1209" t="s">
        <v>740</v>
      </c>
      <c r="L713" s="1211"/>
      <c r="M713" s="1209" t="s">
        <v>7162</v>
      </c>
      <c r="N713" s="1209" t="s">
        <v>7163</v>
      </c>
      <c r="O713" s="1211"/>
      <c r="P713" s="1211"/>
      <c r="Q713" s="1208">
        <v>0.5</v>
      </c>
      <c r="R713" s="1208"/>
    </row>
    <row r="714" ht="12.75" customHeight="1">
      <c r="A714" s="1209">
        <f t="shared" si="13"/>
        <v>5</v>
      </c>
      <c r="B714" s="1210" t="s">
        <v>7977</v>
      </c>
      <c r="C714" s="1210" t="s">
        <v>7978</v>
      </c>
      <c r="D714" s="1211"/>
      <c r="E714" s="1207" t="s">
        <v>5810</v>
      </c>
      <c r="F714" s="1203" t="s">
        <v>2963</v>
      </c>
      <c r="G714" s="1213"/>
      <c r="H714" s="1209" t="s">
        <v>4789</v>
      </c>
      <c r="I714" s="1211"/>
      <c r="J714" s="1213" t="s">
        <v>7161</v>
      </c>
      <c r="K714" s="1209" t="s">
        <v>740</v>
      </c>
      <c r="L714" s="1211"/>
      <c r="M714" s="1209" t="s">
        <v>7162</v>
      </c>
      <c r="N714" s="1209" t="s">
        <v>7163</v>
      </c>
      <c r="O714" s="1211"/>
      <c r="P714" s="1211"/>
      <c r="Q714" s="1208">
        <v>0.5</v>
      </c>
      <c r="R714" s="1208"/>
    </row>
    <row r="715" ht="12.75" customHeight="1">
      <c r="A715" s="1209">
        <f t="shared" si="13"/>
        <v>6</v>
      </c>
      <c r="B715" s="1210" t="s">
        <v>7979</v>
      </c>
      <c r="C715" s="1210" t="s">
        <v>7980</v>
      </c>
      <c r="D715" s="1211"/>
      <c r="E715" s="1207" t="s">
        <v>5810</v>
      </c>
      <c r="F715" s="1203" t="s">
        <v>2963</v>
      </c>
      <c r="G715" s="1213"/>
      <c r="H715" s="1209" t="s">
        <v>4789</v>
      </c>
      <c r="I715" s="1211"/>
      <c r="J715" s="1213" t="s">
        <v>7161</v>
      </c>
      <c r="K715" s="1209" t="s">
        <v>740</v>
      </c>
      <c r="L715" s="1211"/>
      <c r="M715" s="1209" t="s">
        <v>7162</v>
      </c>
      <c r="N715" s="1209" t="s">
        <v>7163</v>
      </c>
      <c r="O715" s="1211"/>
      <c r="P715" s="1211"/>
      <c r="Q715" s="1208">
        <v>0.5</v>
      </c>
      <c r="R715" s="1208"/>
    </row>
    <row r="716" ht="12.75" customHeight="1">
      <c r="A716" s="1209">
        <f t="shared" si="13"/>
        <v>7</v>
      </c>
      <c r="B716" s="1210" t="s">
        <v>7981</v>
      </c>
      <c r="C716" s="1210" t="s">
        <v>7982</v>
      </c>
      <c r="D716" s="1211"/>
      <c r="E716" s="1207" t="s">
        <v>5810</v>
      </c>
      <c r="F716" s="1203" t="s">
        <v>2963</v>
      </c>
      <c r="G716" s="1213"/>
      <c r="H716" s="1209" t="s">
        <v>4789</v>
      </c>
      <c r="I716" s="1211"/>
      <c r="J716" s="1213" t="s">
        <v>7161</v>
      </c>
      <c r="K716" s="1209" t="s">
        <v>740</v>
      </c>
      <c r="L716" s="1211"/>
      <c r="M716" s="1209" t="s">
        <v>7162</v>
      </c>
      <c r="N716" s="1209" t="s">
        <v>7163</v>
      </c>
      <c r="O716" s="1211"/>
      <c r="P716" s="1211"/>
      <c r="Q716" s="1208">
        <v>0.5</v>
      </c>
      <c r="R716" s="1208"/>
    </row>
    <row r="717" ht="12.75" customHeight="1">
      <c r="A717" s="1209">
        <f t="shared" si="13"/>
        <v>8</v>
      </c>
      <c r="B717" s="1210" t="s">
        <v>7983</v>
      </c>
      <c r="C717" s="1210" t="s">
        <v>7984</v>
      </c>
      <c r="D717" s="1211"/>
      <c r="E717" s="1207" t="s">
        <v>5810</v>
      </c>
      <c r="F717" s="1203" t="s">
        <v>2963</v>
      </c>
      <c r="G717" s="1213"/>
      <c r="H717" s="1209" t="s">
        <v>4789</v>
      </c>
      <c r="I717" s="1211"/>
      <c r="J717" s="1213" t="s">
        <v>7161</v>
      </c>
      <c r="K717" s="1209" t="s">
        <v>740</v>
      </c>
      <c r="L717" s="1211"/>
      <c r="M717" s="1209" t="s">
        <v>7162</v>
      </c>
      <c r="N717" s="1209" t="s">
        <v>7163</v>
      </c>
      <c r="O717" s="1211"/>
      <c r="P717" s="1211"/>
      <c r="Q717" s="1208">
        <v>0.5</v>
      </c>
      <c r="R717" s="1208"/>
    </row>
    <row r="718" ht="12.75" customHeight="1">
      <c r="A718" s="1209">
        <f t="shared" si="13"/>
        <v>9</v>
      </c>
      <c r="B718" s="1231" t="s">
        <v>7985</v>
      </c>
      <c r="C718" s="1231" t="s">
        <v>7986</v>
      </c>
      <c r="D718" s="1247"/>
      <c r="E718" s="1248" t="s">
        <v>5810</v>
      </c>
      <c r="F718" s="1203" t="s">
        <v>2963</v>
      </c>
      <c r="G718" s="1249"/>
      <c r="H718" s="1250" t="s">
        <v>4789</v>
      </c>
      <c r="I718" s="1247"/>
      <c r="J718" s="1249" t="s">
        <v>7161</v>
      </c>
      <c r="K718" s="1250" t="s">
        <v>740</v>
      </c>
      <c r="L718" s="1247"/>
      <c r="M718" s="1250" t="s">
        <v>7162</v>
      </c>
      <c r="N718" s="1250" t="s">
        <v>7163</v>
      </c>
      <c r="O718" s="1247"/>
      <c r="P718" s="1247"/>
      <c r="Q718" s="1208">
        <v>0.5</v>
      </c>
      <c r="R718" s="1208"/>
    </row>
    <row r="719" ht="12.75" customHeight="1">
      <c r="A719" s="1209">
        <f t="shared" si="13"/>
        <v>10</v>
      </c>
      <c r="B719" s="1231" t="s">
        <v>7987</v>
      </c>
      <c r="C719" s="1231" t="s">
        <v>7988</v>
      </c>
      <c r="D719" s="1247"/>
      <c r="E719" s="1248" t="s">
        <v>5810</v>
      </c>
      <c r="F719" s="1203" t="s">
        <v>2963</v>
      </c>
      <c r="G719" s="1249"/>
      <c r="H719" s="1250" t="s">
        <v>4789</v>
      </c>
      <c r="I719" s="1247"/>
      <c r="J719" s="1249" t="s">
        <v>7161</v>
      </c>
      <c r="K719" s="1250" t="s">
        <v>740</v>
      </c>
      <c r="L719" s="1247"/>
      <c r="M719" s="1250" t="s">
        <v>7162</v>
      </c>
      <c r="N719" s="1250" t="s">
        <v>7163</v>
      </c>
      <c r="O719" s="1247"/>
      <c r="P719" s="1247"/>
      <c r="Q719" s="1208">
        <v>0.5</v>
      </c>
      <c r="R719" s="1208"/>
    </row>
    <row r="720" ht="12.75" customHeight="1">
      <c r="A720" s="1209">
        <f t="shared" si="13"/>
        <v>11</v>
      </c>
      <c r="B720" s="1231" t="s">
        <v>7989</v>
      </c>
      <c r="C720" s="1231" t="s">
        <v>7990</v>
      </c>
      <c r="D720" s="1247"/>
      <c r="E720" s="1248" t="s">
        <v>5810</v>
      </c>
      <c r="F720" s="1203" t="s">
        <v>2963</v>
      </c>
      <c r="G720" s="1249"/>
      <c r="H720" s="1250" t="s">
        <v>4789</v>
      </c>
      <c r="I720" s="1247"/>
      <c r="J720" s="1249" t="s">
        <v>7161</v>
      </c>
      <c r="K720" s="1250" t="s">
        <v>740</v>
      </c>
      <c r="L720" s="1247"/>
      <c r="M720" s="1250" t="s">
        <v>7162</v>
      </c>
      <c r="N720" s="1250" t="s">
        <v>7163</v>
      </c>
      <c r="O720" s="1247"/>
      <c r="P720" s="1247"/>
      <c r="Q720" s="1208">
        <v>0.5</v>
      </c>
      <c r="R720" s="1208"/>
    </row>
    <row r="721" ht="12.75" customHeight="1">
      <c r="A721" s="1209">
        <f t="shared" si="13"/>
        <v>12</v>
      </c>
      <c r="B721" s="1210" t="s">
        <v>7991</v>
      </c>
      <c r="C721" s="1210" t="s">
        <v>7992</v>
      </c>
      <c r="D721" s="1211"/>
      <c r="E721" s="1207" t="s">
        <v>5810</v>
      </c>
      <c r="F721" s="1203" t="s">
        <v>2963</v>
      </c>
      <c r="G721" s="1213"/>
      <c r="H721" s="1209" t="s">
        <v>4789</v>
      </c>
      <c r="I721" s="1210" t="s">
        <v>7725</v>
      </c>
      <c r="J721" s="1209" t="s">
        <v>7161</v>
      </c>
      <c r="K721" s="1209" t="s">
        <v>740</v>
      </c>
      <c r="L721" s="1211"/>
      <c r="M721" s="1209" t="s">
        <v>7162</v>
      </c>
      <c r="N721" s="1209" t="s">
        <v>7163</v>
      </c>
      <c r="O721" s="1211"/>
      <c r="P721" s="1211"/>
      <c r="Q721" s="1208">
        <v>0.5</v>
      </c>
      <c r="R721" s="1208"/>
    </row>
    <row r="722" ht="12.75" customHeight="1">
      <c r="A722" s="1209">
        <f t="shared" si="13"/>
        <v>13</v>
      </c>
      <c r="B722" s="1210" t="s">
        <v>7993</v>
      </c>
      <c r="C722" s="1210" t="s">
        <v>7994</v>
      </c>
      <c r="D722" s="1211"/>
      <c r="E722" s="1207" t="s">
        <v>5810</v>
      </c>
      <c r="F722" s="1203" t="s">
        <v>2963</v>
      </c>
      <c r="G722" s="1213"/>
      <c r="H722" s="1209" t="s">
        <v>4789</v>
      </c>
      <c r="I722" s="1210" t="s">
        <v>7725</v>
      </c>
      <c r="J722" s="1209" t="s">
        <v>7161</v>
      </c>
      <c r="K722" s="1209" t="s">
        <v>740</v>
      </c>
      <c r="L722" s="1211"/>
      <c r="M722" s="1209" t="s">
        <v>7162</v>
      </c>
      <c r="N722" s="1209" t="s">
        <v>7163</v>
      </c>
      <c r="O722" s="1211"/>
      <c r="P722" s="1211"/>
      <c r="Q722" s="1208">
        <v>0.5</v>
      </c>
      <c r="R722" s="1208"/>
    </row>
    <row r="723" ht="12.75" customHeight="1">
      <c r="A723" s="1239" t="s">
        <v>7995</v>
      </c>
      <c r="B723" s="1240" t="s">
        <v>7996</v>
      </c>
      <c r="C723" s="1241">
        <f>COUNTA($B$153:$B$154)</f>
        <v>0</v>
      </c>
      <c r="D723" s="1242"/>
      <c r="E723" s="1242"/>
      <c r="F723" s="1203" t="s">
        <v>2963</v>
      </c>
      <c r="G723" s="1243"/>
      <c r="H723" s="1244"/>
      <c r="I723" s="1241"/>
      <c r="J723" s="1244"/>
      <c r="K723" s="1244"/>
      <c r="L723" s="1245"/>
      <c r="M723" s="1244"/>
      <c r="N723" s="1244"/>
      <c r="O723" s="1245"/>
      <c r="P723" s="1245"/>
      <c r="Q723" s="1246"/>
      <c r="R723" s="1246"/>
    </row>
    <row r="724" ht="12.75" customHeight="1">
      <c r="A724" s="1209">
        <v>1.0</v>
      </c>
      <c r="B724" s="1210" t="s">
        <v>7997</v>
      </c>
      <c r="C724" s="1211"/>
      <c r="D724" s="1207"/>
      <c r="E724" s="1207" t="s">
        <v>5810</v>
      </c>
      <c r="F724" s="1203" t="s">
        <v>2963</v>
      </c>
      <c r="G724" s="1213"/>
      <c r="H724" s="1209" t="s">
        <v>7998</v>
      </c>
      <c r="I724" s="1211"/>
      <c r="J724" s="1209" t="s">
        <v>7161</v>
      </c>
      <c r="K724" s="1209" t="s">
        <v>510</v>
      </c>
      <c r="L724" s="1211"/>
      <c r="M724" s="1209" t="s">
        <v>7162</v>
      </c>
      <c r="N724" s="1209" t="s">
        <v>7163</v>
      </c>
      <c r="O724" s="1211"/>
      <c r="P724" s="1211"/>
      <c r="Q724" s="1208">
        <v>0.5</v>
      </c>
      <c r="R724" s="1208"/>
    </row>
    <row r="725" ht="12.75" customHeight="1">
      <c r="A725" s="1209">
        <v>2.0</v>
      </c>
      <c r="B725" s="1210" t="s">
        <v>7999</v>
      </c>
      <c r="C725" s="1211"/>
      <c r="D725" s="1214"/>
      <c r="E725" s="1207" t="s">
        <v>5810</v>
      </c>
      <c r="F725" s="1203" t="s">
        <v>2963</v>
      </c>
      <c r="G725" s="1215"/>
      <c r="H725" s="1209" t="s">
        <v>7998</v>
      </c>
      <c r="I725" s="1232"/>
      <c r="J725" s="1209" t="s">
        <v>7161</v>
      </c>
      <c r="K725" s="1209" t="s">
        <v>510</v>
      </c>
      <c r="L725" s="1211"/>
      <c r="M725" s="1209" t="s">
        <v>7162</v>
      </c>
      <c r="N725" s="1209" t="s">
        <v>7163</v>
      </c>
      <c r="O725" s="1211"/>
      <c r="P725" s="1211"/>
      <c r="Q725" s="1208">
        <v>0.5</v>
      </c>
      <c r="R725" s="1208"/>
    </row>
    <row r="726" ht="12.75" customHeight="1">
      <c r="A726" s="1209">
        <v>3.0</v>
      </c>
      <c r="B726" s="1210" t="s">
        <v>8000</v>
      </c>
      <c r="C726" s="1211"/>
      <c r="D726" s="1214"/>
      <c r="E726" s="1207" t="s">
        <v>5810</v>
      </c>
      <c r="F726" s="1203" t="s">
        <v>2963</v>
      </c>
      <c r="G726" s="1215"/>
      <c r="H726" s="1209" t="s">
        <v>7998</v>
      </c>
      <c r="I726" s="1216" t="s">
        <v>8001</v>
      </c>
      <c r="J726" s="1209" t="s">
        <v>7161</v>
      </c>
      <c r="K726" s="1209" t="s">
        <v>510</v>
      </c>
      <c r="L726" s="1211"/>
      <c r="M726" s="1209" t="s">
        <v>7162</v>
      </c>
      <c r="N726" s="1209" t="s">
        <v>7163</v>
      </c>
      <c r="O726" s="1211"/>
      <c r="P726" s="1211"/>
      <c r="Q726" s="1208">
        <v>0.5</v>
      </c>
      <c r="R726" s="1208"/>
    </row>
    <row r="727" ht="12.75" customHeight="1">
      <c r="A727" s="1209">
        <v>4.0</v>
      </c>
      <c r="B727" s="1210" t="s">
        <v>8002</v>
      </c>
      <c r="C727" s="1211"/>
      <c r="D727" s="1214"/>
      <c r="E727" s="1207" t="s">
        <v>5810</v>
      </c>
      <c r="F727" s="1203" t="s">
        <v>2963</v>
      </c>
      <c r="G727" s="1215"/>
      <c r="H727" s="1209" t="s">
        <v>7998</v>
      </c>
      <c r="I727" s="1216" t="s">
        <v>8001</v>
      </c>
      <c r="J727" s="1209" t="s">
        <v>7161</v>
      </c>
      <c r="K727" s="1209" t="s">
        <v>510</v>
      </c>
      <c r="L727" s="1211"/>
      <c r="M727" s="1209" t="s">
        <v>7162</v>
      </c>
      <c r="N727" s="1209" t="s">
        <v>7163</v>
      </c>
      <c r="O727" s="1211"/>
      <c r="P727" s="1211"/>
      <c r="Q727" s="1208">
        <v>0.5</v>
      </c>
      <c r="R727" s="1208"/>
    </row>
    <row r="728" ht="12.75" customHeight="1">
      <c r="A728" s="1209">
        <v>5.0</v>
      </c>
      <c r="B728" s="1210" t="s">
        <v>8003</v>
      </c>
      <c r="C728" s="1211"/>
      <c r="D728" s="1214"/>
      <c r="E728" s="1207" t="s">
        <v>5810</v>
      </c>
      <c r="F728" s="1203" t="s">
        <v>2963</v>
      </c>
      <c r="G728" s="1215"/>
      <c r="H728" s="1209" t="s">
        <v>7998</v>
      </c>
      <c r="I728" s="1232"/>
      <c r="J728" s="1209" t="s">
        <v>7161</v>
      </c>
      <c r="K728" s="1209" t="s">
        <v>510</v>
      </c>
      <c r="L728" s="1211"/>
      <c r="M728" s="1209" t="s">
        <v>7162</v>
      </c>
      <c r="N728" s="1209" t="s">
        <v>7163</v>
      </c>
      <c r="O728" s="1211"/>
      <c r="P728" s="1211"/>
      <c r="Q728" s="1208">
        <v>0.5</v>
      </c>
      <c r="R728" s="1208"/>
    </row>
    <row r="729" ht="12.75" customHeight="1">
      <c r="A729" s="1209">
        <v>6.0</v>
      </c>
      <c r="B729" s="1210" t="s">
        <v>8004</v>
      </c>
      <c r="C729" s="1211"/>
      <c r="D729" s="1214"/>
      <c r="E729" s="1207" t="s">
        <v>5810</v>
      </c>
      <c r="F729" s="1203" t="s">
        <v>2963</v>
      </c>
      <c r="G729" s="1215"/>
      <c r="H729" s="1209" t="s">
        <v>7998</v>
      </c>
      <c r="I729" s="1232"/>
      <c r="J729" s="1209" t="s">
        <v>7161</v>
      </c>
      <c r="K729" s="1209" t="s">
        <v>510</v>
      </c>
      <c r="L729" s="1211"/>
      <c r="M729" s="1209" t="s">
        <v>7162</v>
      </c>
      <c r="N729" s="1209" t="s">
        <v>7163</v>
      </c>
      <c r="O729" s="1211"/>
      <c r="P729" s="1211"/>
      <c r="Q729" s="1208">
        <v>0.5</v>
      </c>
      <c r="R729" s="1208"/>
    </row>
    <row r="730" ht="12.75" customHeight="1">
      <c r="A730" s="1209">
        <v>7.0</v>
      </c>
      <c r="B730" s="1210" t="s">
        <v>8005</v>
      </c>
      <c r="C730" s="1211"/>
      <c r="D730" s="1214"/>
      <c r="E730" s="1207" t="s">
        <v>5810</v>
      </c>
      <c r="F730" s="1203" t="s">
        <v>2963</v>
      </c>
      <c r="G730" s="1215"/>
      <c r="H730" s="1209" t="s">
        <v>7998</v>
      </c>
      <c r="I730" s="1216" t="s">
        <v>8001</v>
      </c>
      <c r="J730" s="1209" t="s">
        <v>7161</v>
      </c>
      <c r="K730" s="1209" t="s">
        <v>510</v>
      </c>
      <c r="L730" s="1211"/>
      <c r="M730" s="1209" t="s">
        <v>7162</v>
      </c>
      <c r="N730" s="1209" t="s">
        <v>7163</v>
      </c>
      <c r="O730" s="1211"/>
      <c r="P730" s="1211"/>
      <c r="Q730" s="1208">
        <v>0.5</v>
      </c>
      <c r="R730" s="1208"/>
    </row>
    <row r="731" ht="12.75" customHeight="1">
      <c r="A731" s="1209">
        <v>8.0</v>
      </c>
      <c r="B731" s="1210" t="s">
        <v>8006</v>
      </c>
      <c r="C731" s="1211"/>
      <c r="D731" s="1214"/>
      <c r="E731" s="1207" t="s">
        <v>5810</v>
      </c>
      <c r="F731" s="1203" t="s">
        <v>2963</v>
      </c>
      <c r="G731" s="1215"/>
      <c r="H731" s="1209" t="s">
        <v>7998</v>
      </c>
      <c r="I731" s="1232"/>
      <c r="J731" s="1209" t="s">
        <v>7161</v>
      </c>
      <c r="K731" s="1209" t="s">
        <v>510</v>
      </c>
      <c r="L731" s="1211"/>
      <c r="M731" s="1209" t="s">
        <v>7162</v>
      </c>
      <c r="N731" s="1209" t="s">
        <v>7163</v>
      </c>
      <c r="O731" s="1211"/>
      <c r="P731" s="1211"/>
      <c r="Q731" s="1208">
        <v>0.5</v>
      </c>
      <c r="R731" s="1208"/>
    </row>
    <row r="732" ht="12.75" customHeight="1">
      <c r="A732" s="1209">
        <v>9.0</v>
      </c>
      <c r="B732" s="1251" t="s">
        <v>8007</v>
      </c>
      <c r="C732" s="1211"/>
      <c r="D732" s="1214"/>
      <c r="E732" s="1207" t="s">
        <v>5810</v>
      </c>
      <c r="F732" s="1203" t="s">
        <v>2963</v>
      </c>
      <c r="G732" s="1215"/>
      <c r="H732" s="1209" t="s">
        <v>7998</v>
      </c>
      <c r="I732" s="1232"/>
      <c r="J732" s="1209" t="s">
        <v>7161</v>
      </c>
      <c r="K732" s="1209" t="s">
        <v>510</v>
      </c>
      <c r="L732" s="1211"/>
      <c r="M732" s="1209" t="s">
        <v>7162</v>
      </c>
      <c r="N732" s="1209" t="s">
        <v>7163</v>
      </c>
      <c r="O732" s="1211"/>
      <c r="P732" s="1211"/>
      <c r="Q732" s="1208">
        <v>0.5</v>
      </c>
      <c r="R732" s="1208"/>
    </row>
    <row r="733" ht="12.75" customHeight="1">
      <c r="A733" s="1209">
        <v>10.0</v>
      </c>
      <c r="B733" s="1251" t="s">
        <v>8008</v>
      </c>
      <c r="C733" s="1211"/>
      <c r="D733" s="1214"/>
      <c r="E733" s="1207" t="s">
        <v>5810</v>
      </c>
      <c r="F733" s="1203" t="s">
        <v>2963</v>
      </c>
      <c r="G733" s="1215"/>
      <c r="H733" s="1209" t="s">
        <v>7998</v>
      </c>
      <c r="I733" s="1232"/>
      <c r="J733" s="1209" t="s">
        <v>7161</v>
      </c>
      <c r="K733" s="1209" t="s">
        <v>510</v>
      </c>
      <c r="L733" s="1211"/>
      <c r="M733" s="1209" t="s">
        <v>7162</v>
      </c>
      <c r="N733" s="1209" t="s">
        <v>7163</v>
      </c>
      <c r="O733" s="1211"/>
      <c r="P733" s="1211"/>
      <c r="Q733" s="1208">
        <v>0.5</v>
      </c>
      <c r="R733" s="1208"/>
    </row>
    <row r="734" ht="12.75" customHeight="1">
      <c r="A734" s="1209">
        <v>11.0</v>
      </c>
      <c r="B734" s="1210" t="s">
        <v>8009</v>
      </c>
      <c r="C734" s="1210"/>
      <c r="D734" s="1232"/>
      <c r="E734" s="1207" t="s">
        <v>5810</v>
      </c>
      <c r="F734" s="1203" t="s">
        <v>2963</v>
      </c>
      <c r="G734" s="1233" t="s">
        <v>1932</v>
      </c>
      <c r="H734" s="1209" t="s">
        <v>7998</v>
      </c>
      <c r="I734" s="1233"/>
      <c r="J734" s="1209" t="s">
        <v>1093</v>
      </c>
      <c r="K734" s="1209" t="s">
        <v>510</v>
      </c>
      <c r="L734" s="1211"/>
      <c r="M734" s="1209" t="s">
        <v>7210</v>
      </c>
      <c r="N734" s="1209" t="s">
        <v>7211</v>
      </c>
      <c r="O734" s="1225" t="s">
        <v>8010</v>
      </c>
      <c r="P734" s="1210" t="s">
        <v>8011</v>
      </c>
      <c r="Q734" s="1208">
        <v>0.5</v>
      </c>
      <c r="R734" s="1208"/>
    </row>
    <row r="735" ht="12.75" customHeight="1">
      <c r="A735" s="1209">
        <v>12.0</v>
      </c>
      <c r="B735" s="1210" t="s">
        <v>8012</v>
      </c>
      <c r="C735" s="1210"/>
      <c r="D735" s="1232"/>
      <c r="E735" s="1207" t="s">
        <v>5810</v>
      </c>
      <c r="F735" s="1203" t="s">
        <v>2963</v>
      </c>
      <c r="G735" s="1233"/>
      <c r="H735" s="1209" t="s">
        <v>7998</v>
      </c>
      <c r="I735" s="1233"/>
      <c r="J735" s="1209" t="s">
        <v>1093</v>
      </c>
      <c r="K735" s="1209" t="s">
        <v>510</v>
      </c>
      <c r="L735" s="1211"/>
      <c r="M735" s="1209" t="s">
        <v>7210</v>
      </c>
      <c r="N735" s="1209" t="s">
        <v>7211</v>
      </c>
      <c r="O735" s="1225" t="s">
        <v>8013</v>
      </c>
      <c r="P735" s="1210" t="s">
        <v>8014</v>
      </c>
      <c r="Q735" s="1208">
        <v>0.5</v>
      </c>
      <c r="R735" s="1208"/>
    </row>
    <row r="736" ht="14.25" customHeight="1">
      <c r="A736" s="1209">
        <v>13.0</v>
      </c>
      <c r="B736" s="1210" t="s">
        <v>8015</v>
      </c>
      <c r="C736" s="1210"/>
      <c r="D736" s="1232"/>
      <c r="E736" s="1207" t="s">
        <v>5810</v>
      </c>
      <c r="F736" s="1203" t="s">
        <v>2963</v>
      </c>
      <c r="G736" s="1233"/>
      <c r="H736" s="1209" t="s">
        <v>7998</v>
      </c>
      <c r="I736" s="1233"/>
      <c r="J736" s="1209" t="s">
        <v>1093</v>
      </c>
      <c r="K736" s="1209" t="s">
        <v>510</v>
      </c>
      <c r="L736" s="1211"/>
      <c r="M736" s="1209" t="s">
        <v>7210</v>
      </c>
      <c r="N736" s="1209" t="s">
        <v>7211</v>
      </c>
      <c r="O736" s="1225" t="s">
        <v>8016</v>
      </c>
      <c r="P736" s="1210" t="s">
        <v>8017</v>
      </c>
      <c r="Q736" s="1208">
        <v>0.5</v>
      </c>
      <c r="R736" s="1208"/>
    </row>
    <row r="737" ht="12.75" customHeight="1">
      <c r="A737" s="1209">
        <v>14.0</v>
      </c>
      <c r="B737" s="1210" t="s">
        <v>8018</v>
      </c>
      <c r="C737" s="1210"/>
      <c r="D737" s="1232"/>
      <c r="E737" s="1207" t="s">
        <v>5810</v>
      </c>
      <c r="F737" s="1203" t="s">
        <v>2963</v>
      </c>
      <c r="G737" s="1233"/>
      <c r="H737" s="1209" t="s">
        <v>7998</v>
      </c>
      <c r="I737" s="1233"/>
      <c r="J737" s="1209" t="s">
        <v>1093</v>
      </c>
      <c r="K737" s="1209" t="s">
        <v>510</v>
      </c>
      <c r="L737" s="1211"/>
      <c r="M737" s="1209" t="s">
        <v>7210</v>
      </c>
      <c r="N737" s="1209" t="s">
        <v>7211</v>
      </c>
      <c r="O737" s="1225" t="s">
        <v>8019</v>
      </c>
      <c r="P737" s="1210" t="s">
        <v>8020</v>
      </c>
      <c r="Q737" s="1208">
        <v>0.5</v>
      </c>
      <c r="R737" s="1208"/>
    </row>
    <row r="738" ht="12.75" customHeight="1">
      <c r="A738" s="1209">
        <v>15.0</v>
      </c>
      <c r="B738" s="1210" t="s">
        <v>8021</v>
      </c>
      <c r="C738" s="1210"/>
      <c r="D738" s="1232"/>
      <c r="E738" s="1207" t="s">
        <v>5810</v>
      </c>
      <c r="F738" s="1203" t="s">
        <v>2963</v>
      </c>
      <c r="G738" s="1233"/>
      <c r="H738" s="1209" t="s">
        <v>7998</v>
      </c>
      <c r="I738" s="1233"/>
      <c r="J738" s="1209" t="s">
        <v>1093</v>
      </c>
      <c r="K738" s="1209" t="s">
        <v>510</v>
      </c>
      <c r="L738" s="1211"/>
      <c r="M738" s="1209" t="s">
        <v>7210</v>
      </c>
      <c r="N738" s="1209" t="s">
        <v>7211</v>
      </c>
      <c r="O738" s="1225"/>
      <c r="P738" s="1210" t="s">
        <v>8022</v>
      </c>
      <c r="Q738" s="1208">
        <v>0.5</v>
      </c>
      <c r="R738" s="1208"/>
    </row>
    <row r="739" ht="12.75" customHeight="1">
      <c r="A739" s="1209">
        <v>16.0</v>
      </c>
      <c r="B739" s="1210" t="s">
        <v>8023</v>
      </c>
      <c r="C739" s="1210"/>
      <c r="D739" s="1232"/>
      <c r="E739" s="1207" t="s">
        <v>5810</v>
      </c>
      <c r="F739" s="1203" t="s">
        <v>2963</v>
      </c>
      <c r="G739" s="1233" t="s">
        <v>7886</v>
      </c>
      <c r="H739" s="1209" t="s">
        <v>7998</v>
      </c>
      <c r="I739" s="1233"/>
      <c r="J739" s="1209" t="s">
        <v>1093</v>
      </c>
      <c r="K739" s="1209" t="s">
        <v>510</v>
      </c>
      <c r="L739" s="1211"/>
      <c r="M739" s="1209" t="s">
        <v>7210</v>
      </c>
      <c r="N739" s="1209" t="s">
        <v>7211</v>
      </c>
      <c r="O739" s="1225"/>
      <c r="P739" s="1210" t="s">
        <v>8024</v>
      </c>
      <c r="Q739" s="1208">
        <v>0.5</v>
      </c>
      <c r="R739" s="1208"/>
    </row>
    <row r="740" ht="12.75" customHeight="1">
      <c r="A740" s="1209">
        <v>17.0</v>
      </c>
      <c r="B740" s="1210" t="s">
        <v>8025</v>
      </c>
      <c r="C740" s="1210"/>
      <c r="D740" s="1232"/>
      <c r="E740" s="1207" t="s">
        <v>5810</v>
      </c>
      <c r="F740" s="1203" t="s">
        <v>2963</v>
      </c>
      <c r="G740" s="1233" t="s">
        <v>7886</v>
      </c>
      <c r="H740" s="1209" t="s">
        <v>7998</v>
      </c>
      <c r="I740" s="1233"/>
      <c r="J740" s="1209" t="s">
        <v>1093</v>
      </c>
      <c r="K740" s="1209" t="s">
        <v>510</v>
      </c>
      <c r="L740" s="1211"/>
      <c r="M740" s="1209" t="s">
        <v>7210</v>
      </c>
      <c r="N740" s="1209" t="s">
        <v>7211</v>
      </c>
      <c r="O740" s="1225"/>
      <c r="P740" s="1210" t="s">
        <v>8026</v>
      </c>
      <c r="Q740" s="1208">
        <v>0.5</v>
      </c>
      <c r="R740" s="1208"/>
    </row>
    <row r="741" ht="12.75" customHeight="1">
      <c r="A741" s="1209">
        <v>18.0</v>
      </c>
      <c r="B741" s="1210" t="s">
        <v>8027</v>
      </c>
      <c r="C741" s="1210"/>
      <c r="D741" s="1232"/>
      <c r="E741" s="1207" t="s">
        <v>5810</v>
      </c>
      <c r="F741" s="1203" t="s">
        <v>2963</v>
      </c>
      <c r="G741" s="1233" t="s">
        <v>7886</v>
      </c>
      <c r="H741" s="1209" t="s">
        <v>7998</v>
      </c>
      <c r="I741" s="1233"/>
      <c r="J741" s="1209" t="s">
        <v>1093</v>
      </c>
      <c r="K741" s="1209" t="s">
        <v>510</v>
      </c>
      <c r="L741" s="1211"/>
      <c r="M741" s="1209" t="s">
        <v>7210</v>
      </c>
      <c r="N741" s="1209" t="s">
        <v>7211</v>
      </c>
      <c r="O741" s="1225"/>
      <c r="P741" s="1210" t="s">
        <v>8028</v>
      </c>
      <c r="Q741" s="1208">
        <v>0.5</v>
      </c>
      <c r="R741" s="1208"/>
    </row>
    <row r="742" ht="12.75" customHeight="1">
      <c r="A742" s="1209">
        <v>19.0</v>
      </c>
      <c r="B742" s="1210" t="s">
        <v>8029</v>
      </c>
      <c r="C742" s="1210"/>
      <c r="D742" s="1232"/>
      <c r="E742" s="1207" t="s">
        <v>5810</v>
      </c>
      <c r="F742" s="1203" t="s">
        <v>2963</v>
      </c>
      <c r="G742" s="1233" t="s">
        <v>7886</v>
      </c>
      <c r="H742" s="1209" t="s">
        <v>7998</v>
      </c>
      <c r="I742" s="1233"/>
      <c r="J742" s="1209" t="s">
        <v>1093</v>
      </c>
      <c r="K742" s="1209" t="s">
        <v>510</v>
      </c>
      <c r="L742" s="1211"/>
      <c r="M742" s="1209" t="s">
        <v>7210</v>
      </c>
      <c r="N742" s="1209" t="s">
        <v>7211</v>
      </c>
      <c r="O742" s="1225"/>
      <c r="P742" s="1210" t="s">
        <v>8030</v>
      </c>
      <c r="Q742" s="1208">
        <v>0.5</v>
      </c>
      <c r="R742" s="1208"/>
    </row>
    <row r="743" ht="12.75" customHeight="1">
      <c r="A743" s="1209">
        <v>20.0</v>
      </c>
      <c r="B743" s="1210" t="s">
        <v>8031</v>
      </c>
      <c r="C743" s="1210"/>
      <c r="D743" s="1232"/>
      <c r="E743" s="1207" t="s">
        <v>5810</v>
      </c>
      <c r="F743" s="1203" t="s">
        <v>2963</v>
      </c>
      <c r="G743" s="1233" t="s">
        <v>7886</v>
      </c>
      <c r="H743" s="1209" t="s">
        <v>7998</v>
      </c>
      <c r="I743" s="1233"/>
      <c r="J743" s="1209" t="s">
        <v>1093</v>
      </c>
      <c r="K743" s="1209" t="s">
        <v>510</v>
      </c>
      <c r="L743" s="1211"/>
      <c r="M743" s="1209" t="s">
        <v>7210</v>
      </c>
      <c r="N743" s="1209" t="s">
        <v>7211</v>
      </c>
      <c r="O743" s="1225"/>
      <c r="P743" s="1210" t="s">
        <v>8032</v>
      </c>
      <c r="Q743" s="1208">
        <v>0.5</v>
      </c>
      <c r="R743" s="1208"/>
    </row>
    <row r="744" ht="12.75" customHeight="1">
      <c r="A744" s="1209">
        <v>1.0</v>
      </c>
      <c r="B744" s="1210" t="s">
        <v>8033</v>
      </c>
      <c r="C744" s="1210"/>
      <c r="D744" s="1211"/>
      <c r="E744" s="1207" t="s">
        <v>5810</v>
      </c>
      <c r="F744" s="1203" t="s">
        <v>2963</v>
      </c>
      <c r="G744" s="1252">
        <v>44968.0</v>
      </c>
      <c r="H744" s="1209" t="s">
        <v>6799</v>
      </c>
      <c r="I744" s="1253"/>
      <c r="J744" s="1213" t="s">
        <v>7207</v>
      </c>
      <c r="K744" s="1209" t="s">
        <v>740</v>
      </c>
      <c r="L744" s="1211"/>
      <c r="M744" s="1213" t="s">
        <v>7162</v>
      </c>
      <c r="N744" s="1209" t="s">
        <v>7163</v>
      </c>
      <c r="O744" s="1225" t="s">
        <v>7208</v>
      </c>
      <c r="P744" s="1211"/>
      <c r="Q744" s="1208">
        <v>0.5</v>
      </c>
      <c r="R744" s="1208"/>
    </row>
    <row r="745" ht="12.75" customHeight="1">
      <c r="A745" s="1209">
        <v>2.0</v>
      </c>
      <c r="B745" s="1210" t="s">
        <v>8034</v>
      </c>
      <c r="C745" s="1210"/>
      <c r="D745" s="1211"/>
      <c r="E745" s="1207" t="s">
        <v>5810</v>
      </c>
      <c r="F745" s="1203" t="s">
        <v>2963</v>
      </c>
      <c r="G745" s="1254">
        <v>44968.0</v>
      </c>
      <c r="H745" s="1209" t="s">
        <v>6799</v>
      </c>
      <c r="I745" s="1255"/>
      <c r="J745" s="1213" t="s">
        <v>7207</v>
      </c>
      <c r="K745" s="1209" t="s">
        <v>740</v>
      </c>
      <c r="L745" s="1211"/>
      <c r="M745" s="1213" t="s">
        <v>7162</v>
      </c>
      <c r="N745" s="1209" t="s">
        <v>7163</v>
      </c>
      <c r="O745" s="1233" t="s">
        <v>7208</v>
      </c>
      <c r="P745" s="1211"/>
      <c r="Q745" s="1208">
        <v>0.5</v>
      </c>
      <c r="R745" s="1208"/>
    </row>
    <row r="746" ht="12.75" customHeight="1">
      <c r="A746" s="1209">
        <v>3.0</v>
      </c>
      <c r="B746" s="1210" t="s">
        <v>8035</v>
      </c>
      <c r="C746" s="1210"/>
      <c r="D746" s="1211"/>
      <c r="E746" s="1207" t="s">
        <v>5810</v>
      </c>
      <c r="F746" s="1203" t="s">
        <v>2963</v>
      </c>
      <c r="G746" s="1254">
        <v>44968.0</v>
      </c>
      <c r="H746" s="1209" t="s">
        <v>6799</v>
      </c>
      <c r="I746" s="1256"/>
      <c r="J746" s="1213" t="s">
        <v>7207</v>
      </c>
      <c r="K746" s="1209" t="s">
        <v>740</v>
      </c>
      <c r="L746" s="1211"/>
      <c r="M746" s="1213" t="s">
        <v>7162</v>
      </c>
      <c r="N746" s="1209" t="s">
        <v>7163</v>
      </c>
      <c r="O746" s="1233" t="s">
        <v>7208</v>
      </c>
      <c r="P746" s="1211"/>
      <c r="Q746" s="1208">
        <v>0.5</v>
      </c>
      <c r="R746" s="1208"/>
    </row>
    <row r="747" ht="12.75" customHeight="1">
      <c r="A747" s="1209">
        <v>4.0</v>
      </c>
      <c r="B747" s="1210" t="s">
        <v>8036</v>
      </c>
      <c r="C747" s="1210"/>
      <c r="D747" s="1211"/>
      <c r="E747" s="1207" t="s">
        <v>5810</v>
      </c>
      <c r="F747" s="1203" t="s">
        <v>2963</v>
      </c>
      <c r="G747" s="1254">
        <v>44968.0</v>
      </c>
      <c r="H747" s="1209" t="s">
        <v>6799</v>
      </c>
      <c r="I747" s="1255"/>
      <c r="J747" s="1213" t="s">
        <v>7207</v>
      </c>
      <c r="K747" s="1209" t="s">
        <v>740</v>
      </c>
      <c r="L747" s="1211"/>
      <c r="M747" s="1213" t="s">
        <v>7162</v>
      </c>
      <c r="N747" s="1209" t="s">
        <v>7163</v>
      </c>
      <c r="O747" s="1233" t="s">
        <v>7208</v>
      </c>
      <c r="P747" s="1211"/>
      <c r="Q747" s="1208">
        <v>0.5</v>
      </c>
      <c r="R747" s="1208"/>
    </row>
    <row r="748" ht="12.75" customHeight="1">
      <c r="A748" s="1209">
        <v>5.0</v>
      </c>
      <c r="B748" s="1210" t="s">
        <v>8037</v>
      </c>
      <c r="C748" s="1210"/>
      <c r="D748" s="1211"/>
      <c r="E748" s="1207" t="s">
        <v>5810</v>
      </c>
      <c r="F748" s="1203" t="s">
        <v>2963</v>
      </c>
      <c r="G748" s="1254">
        <v>44968.0</v>
      </c>
      <c r="H748" s="1209" t="s">
        <v>6799</v>
      </c>
      <c r="I748" s="1255"/>
      <c r="J748" s="1213" t="s">
        <v>7207</v>
      </c>
      <c r="K748" s="1209" t="s">
        <v>740</v>
      </c>
      <c r="L748" s="1211"/>
      <c r="M748" s="1213" t="s">
        <v>7162</v>
      </c>
      <c r="N748" s="1209" t="s">
        <v>7163</v>
      </c>
      <c r="O748" s="1233" t="s">
        <v>7208</v>
      </c>
      <c r="P748" s="1211"/>
      <c r="Q748" s="1208">
        <v>0.5</v>
      </c>
      <c r="R748" s="1208"/>
    </row>
    <row r="749" ht="12.75" customHeight="1">
      <c r="A749" s="1209">
        <v>6.0</v>
      </c>
      <c r="B749" s="1210" t="s">
        <v>8038</v>
      </c>
      <c r="C749" s="1210"/>
      <c r="D749" s="1211"/>
      <c r="E749" s="1207" t="s">
        <v>5810</v>
      </c>
      <c r="F749" s="1203" t="s">
        <v>2963</v>
      </c>
      <c r="G749" s="1254">
        <v>45118.0</v>
      </c>
      <c r="H749" s="1209" t="s">
        <v>6799</v>
      </c>
      <c r="I749" s="1255"/>
      <c r="J749" s="1213" t="s">
        <v>7207</v>
      </c>
      <c r="K749" s="1209" t="s">
        <v>740</v>
      </c>
      <c r="L749" s="1211"/>
      <c r="M749" s="1213" t="s">
        <v>7162</v>
      </c>
      <c r="N749" s="1209" t="s">
        <v>7163</v>
      </c>
      <c r="O749" s="1233" t="s">
        <v>7208</v>
      </c>
      <c r="P749" s="1211"/>
      <c r="Q749" s="1208">
        <v>0.5</v>
      </c>
      <c r="R749" s="1208"/>
    </row>
    <row r="750" ht="12.75" customHeight="1">
      <c r="A750" s="1209">
        <v>7.0</v>
      </c>
      <c r="B750" s="1210" t="s">
        <v>8039</v>
      </c>
      <c r="C750" s="1210"/>
      <c r="D750" s="1211"/>
      <c r="E750" s="1207" t="s">
        <v>5810</v>
      </c>
      <c r="F750" s="1203" t="s">
        <v>2963</v>
      </c>
      <c r="G750" s="1254">
        <v>45118.0</v>
      </c>
      <c r="H750" s="1209" t="s">
        <v>6799</v>
      </c>
      <c r="I750" s="1256"/>
      <c r="J750" s="1213" t="s">
        <v>7207</v>
      </c>
      <c r="K750" s="1209" t="s">
        <v>740</v>
      </c>
      <c r="L750" s="1211"/>
      <c r="M750" s="1213" t="s">
        <v>7162</v>
      </c>
      <c r="N750" s="1209" t="s">
        <v>7163</v>
      </c>
      <c r="O750" s="1233" t="s">
        <v>7208</v>
      </c>
      <c r="P750" s="1211"/>
      <c r="Q750" s="1208">
        <v>0.5</v>
      </c>
      <c r="R750" s="1208"/>
    </row>
    <row r="751" ht="12.75" customHeight="1">
      <c r="A751" s="1209">
        <v>8.0</v>
      </c>
      <c r="B751" s="1210" t="s">
        <v>8040</v>
      </c>
      <c r="C751" s="1210"/>
      <c r="D751" s="1211"/>
      <c r="E751" s="1207" t="s">
        <v>5810</v>
      </c>
      <c r="F751" s="1203" t="s">
        <v>2963</v>
      </c>
      <c r="G751" s="1254">
        <v>45118.0</v>
      </c>
      <c r="H751" s="1209" t="s">
        <v>6799</v>
      </c>
      <c r="I751" s="1255"/>
      <c r="J751" s="1213" t="s">
        <v>7207</v>
      </c>
      <c r="K751" s="1209" t="s">
        <v>740</v>
      </c>
      <c r="L751" s="1211"/>
      <c r="M751" s="1213" t="s">
        <v>7162</v>
      </c>
      <c r="N751" s="1209" t="s">
        <v>7163</v>
      </c>
      <c r="O751" s="1233" t="s">
        <v>7208</v>
      </c>
      <c r="P751" s="1211"/>
      <c r="Q751" s="1208">
        <v>0.5</v>
      </c>
      <c r="R751" s="1208"/>
    </row>
    <row r="752" ht="12.75" customHeight="1">
      <c r="A752" s="1209">
        <v>9.0</v>
      </c>
      <c r="B752" s="1210" t="s">
        <v>8041</v>
      </c>
      <c r="C752" s="1210"/>
      <c r="D752" s="1211"/>
      <c r="E752" s="1207" t="s">
        <v>5810</v>
      </c>
      <c r="F752" s="1203" t="s">
        <v>2963</v>
      </c>
      <c r="G752" s="1254">
        <v>45118.0</v>
      </c>
      <c r="H752" s="1209" t="s">
        <v>6799</v>
      </c>
      <c r="I752" s="1255"/>
      <c r="J752" s="1213" t="s">
        <v>7207</v>
      </c>
      <c r="K752" s="1209" t="s">
        <v>740</v>
      </c>
      <c r="L752" s="1211"/>
      <c r="M752" s="1213" t="s">
        <v>7162</v>
      </c>
      <c r="N752" s="1209" t="s">
        <v>7163</v>
      </c>
      <c r="O752" s="1233" t="s">
        <v>7208</v>
      </c>
      <c r="P752" s="1211"/>
      <c r="Q752" s="1208">
        <v>0.5</v>
      </c>
      <c r="R752" s="1208"/>
    </row>
    <row r="753" ht="12.75" customHeight="1">
      <c r="A753" s="1209">
        <v>10.0</v>
      </c>
      <c r="B753" s="1210" t="s">
        <v>8042</v>
      </c>
      <c r="C753" s="1210"/>
      <c r="D753" s="1211"/>
      <c r="E753" s="1207" t="s">
        <v>5810</v>
      </c>
      <c r="F753" s="1203" t="s">
        <v>2963</v>
      </c>
      <c r="G753" s="1254">
        <v>45118.0</v>
      </c>
      <c r="H753" s="1209" t="s">
        <v>6799</v>
      </c>
      <c r="I753" s="1255"/>
      <c r="J753" s="1213" t="s">
        <v>7207</v>
      </c>
      <c r="K753" s="1209" t="s">
        <v>740</v>
      </c>
      <c r="L753" s="1211"/>
      <c r="M753" s="1213" t="s">
        <v>7162</v>
      </c>
      <c r="N753" s="1209" t="s">
        <v>7163</v>
      </c>
      <c r="O753" s="1233" t="s">
        <v>7208</v>
      </c>
      <c r="P753" s="1211"/>
      <c r="Q753" s="1208">
        <v>0.5</v>
      </c>
      <c r="R753" s="1208"/>
    </row>
    <row r="754" ht="12.75" customHeight="1">
      <c r="A754" s="1209">
        <v>11.0</v>
      </c>
      <c r="B754" s="1210" t="s">
        <v>8043</v>
      </c>
      <c r="C754" s="1210"/>
      <c r="D754" s="1211"/>
      <c r="E754" s="1207" t="s">
        <v>5810</v>
      </c>
      <c r="F754" s="1203" t="s">
        <v>2963</v>
      </c>
      <c r="G754" s="1257" t="s">
        <v>3014</v>
      </c>
      <c r="H754" s="1209" t="s">
        <v>6799</v>
      </c>
      <c r="I754" s="1255"/>
      <c r="J754" s="1213" t="s">
        <v>7207</v>
      </c>
      <c r="K754" s="1209" t="s">
        <v>740</v>
      </c>
      <c r="L754" s="1211"/>
      <c r="M754" s="1213" t="s">
        <v>7162</v>
      </c>
      <c r="N754" s="1209" t="s">
        <v>7163</v>
      </c>
      <c r="O754" s="1233" t="s">
        <v>7208</v>
      </c>
      <c r="P754" s="1211"/>
      <c r="Q754" s="1208">
        <v>0.5</v>
      </c>
      <c r="R754" s="1208"/>
    </row>
    <row r="755" ht="12.75" customHeight="1">
      <c r="A755" s="1209">
        <v>12.0</v>
      </c>
      <c r="B755" s="1210" t="s">
        <v>8044</v>
      </c>
      <c r="C755" s="1210"/>
      <c r="D755" s="1211"/>
      <c r="E755" s="1207" t="s">
        <v>5810</v>
      </c>
      <c r="F755" s="1203" t="s">
        <v>2963</v>
      </c>
      <c r="G755" s="1257" t="s">
        <v>3014</v>
      </c>
      <c r="H755" s="1209" t="s">
        <v>6799</v>
      </c>
      <c r="I755" s="1255"/>
      <c r="J755" s="1213" t="s">
        <v>7207</v>
      </c>
      <c r="K755" s="1209" t="s">
        <v>740</v>
      </c>
      <c r="L755" s="1211"/>
      <c r="M755" s="1213" t="s">
        <v>7162</v>
      </c>
      <c r="N755" s="1209" t="s">
        <v>7163</v>
      </c>
      <c r="O755" s="1233" t="s">
        <v>7208</v>
      </c>
      <c r="P755" s="1211"/>
      <c r="Q755" s="1208">
        <v>0.5</v>
      </c>
      <c r="R755" s="1208"/>
    </row>
    <row r="756" ht="12.75" customHeight="1">
      <c r="A756" s="1209">
        <v>13.0</v>
      </c>
      <c r="B756" s="1210" t="s">
        <v>8045</v>
      </c>
      <c r="C756" s="1210"/>
      <c r="D756" s="1211"/>
      <c r="E756" s="1207" t="s">
        <v>5810</v>
      </c>
      <c r="F756" s="1203" t="s">
        <v>2963</v>
      </c>
      <c r="G756" s="1257" t="s">
        <v>3014</v>
      </c>
      <c r="H756" s="1209" t="s">
        <v>6799</v>
      </c>
      <c r="I756" s="1256"/>
      <c r="J756" s="1213" t="s">
        <v>7207</v>
      </c>
      <c r="K756" s="1209" t="s">
        <v>740</v>
      </c>
      <c r="L756" s="1211"/>
      <c r="M756" s="1213" t="s">
        <v>7162</v>
      </c>
      <c r="N756" s="1209" t="s">
        <v>7163</v>
      </c>
      <c r="O756" s="1233" t="s">
        <v>7208</v>
      </c>
      <c r="P756" s="1211"/>
      <c r="Q756" s="1208">
        <v>0.5</v>
      </c>
      <c r="R756" s="1208"/>
    </row>
    <row r="757" ht="12.75" customHeight="1">
      <c r="A757" s="1209">
        <v>14.0</v>
      </c>
      <c r="B757" s="1210" t="s">
        <v>8046</v>
      </c>
      <c r="C757" s="1210"/>
      <c r="D757" s="1211"/>
      <c r="E757" s="1207" t="s">
        <v>5810</v>
      </c>
      <c r="F757" s="1203" t="s">
        <v>2963</v>
      </c>
      <c r="G757" s="1257" t="s">
        <v>3014</v>
      </c>
      <c r="H757" s="1209" t="s">
        <v>6799</v>
      </c>
      <c r="I757" s="1255"/>
      <c r="J757" s="1213" t="s">
        <v>7207</v>
      </c>
      <c r="K757" s="1209" t="s">
        <v>740</v>
      </c>
      <c r="L757" s="1211"/>
      <c r="M757" s="1213" t="s">
        <v>7162</v>
      </c>
      <c r="N757" s="1209" t="s">
        <v>7163</v>
      </c>
      <c r="O757" s="1233" t="s">
        <v>7208</v>
      </c>
      <c r="P757" s="1211"/>
      <c r="Q757" s="1208">
        <v>0.5</v>
      </c>
      <c r="R757" s="1208"/>
    </row>
    <row r="758" ht="12.75" customHeight="1">
      <c r="A758" s="1209">
        <v>15.0</v>
      </c>
      <c r="B758" s="1210" t="s">
        <v>8047</v>
      </c>
      <c r="C758" s="1210"/>
      <c r="D758" s="1211"/>
      <c r="E758" s="1207" t="s">
        <v>5810</v>
      </c>
      <c r="F758" s="1203" t="s">
        <v>2963</v>
      </c>
      <c r="G758" s="1257" t="s">
        <v>3014</v>
      </c>
      <c r="H758" s="1209" t="s">
        <v>6799</v>
      </c>
      <c r="I758" s="1255"/>
      <c r="J758" s="1213" t="s">
        <v>7207</v>
      </c>
      <c r="K758" s="1209" t="s">
        <v>740</v>
      </c>
      <c r="L758" s="1211"/>
      <c r="M758" s="1213" t="s">
        <v>7162</v>
      </c>
      <c r="N758" s="1209" t="s">
        <v>7163</v>
      </c>
      <c r="O758" s="1233" t="s">
        <v>7208</v>
      </c>
      <c r="P758" s="1211"/>
      <c r="Q758" s="1208">
        <v>0.5</v>
      </c>
      <c r="R758" s="1208"/>
    </row>
    <row r="759" ht="12.75" customHeight="1">
      <c r="A759" s="1209">
        <v>16.0</v>
      </c>
      <c r="B759" s="1210" t="s">
        <v>8048</v>
      </c>
      <c r="C759" s="1210"/>
      <c r="D759" s="1211"/>
      <c r="E759" s="1207" t="s">
        <v>5810</v>
      </c>
      <c r="F759" s="1203" t="s">
        <v>2963</v>
      </c>
      <c r="G759" s="1257" t="s">
        <v>3014</v>
      </c>
      <c r="H759" s="1209" t="s">
        <v>6799</v>
      </c>
      <c r="I759" s="1255"/>
      <c r="J759" s="1213" t="s">
        <v>7207</v>
      </c>
      <c r="K759" s="1209" t="s">
        <v>740</v>
      </c>
      <c r="L759" s="1211"/>
      <c r="M759" s="1213" t="s">
        <v>7162</v>
      </c>
      <c r="N759" s="1209" t="s">
        <v>7163</v>
      </c>
      <c r="O759" s="1233" t="s">
        <v>7208</v>
      </c>
      <c r="P759" s="1211"/>
      <c r="Q759" s="1208">
        <v>0.5</v>
      </c>
      <c r="R759" s="1208"/>
    </row>
    <row r="760" ht="12.75" customHeight="1">
      <c r="A760" s="1209">
        <v>19.0</v>
      </c>
      <c r="B760" s="1204" t="s">
        <v>8049</v>
      </c>
      <c r="C760" s="1204"/>
      <c r="D760" s="1205"/>
      <c r="E760" s="1207" t="s">
        <v>5810</v>
      </c>
      <c r="F760" s="1203" t="s">
        <v>2963</v>
      </c>
      <c r="G760" s="1258" t="s">
        <v>7221</v>
      </c>
      <c r="H760" s="1259" t="s">
        <v>6799</v>
      </c>
      <c r="I760" s="1260"/>
      <c r="J760" s="1209" t="s">
        <v>1093</v>
      </c>
      <c r="K760" s="1209" t="s">
        <v>883</v>
      </c>
      <c r="L760" s="1261"/>
      <c r="M760" s="1209" t="s">
        <v>7210</v>
      </c>
      <c r="N760" s="1209" t="s">
        <v>7211</v>
      </c>
      <c r="O760" s="1262" t="s">
        <v>8050</v>
      </c>
      <c r="P760" s="1261"/>
      <c r="Q760" s="1208">
        <v>0.5</v>
      </c>
      <c r="R760" s="1208"/>
    </row>
    <row r="761" ht="12.75" customHeight="1">
      <c r="A761" s="1209">
        <v>20.0</v>
      </c>
      <c r="B761" s="1204" t="s">
        <v>8051</v>
      </c>
      <c r="C761" s="1210"/>
      <c r="D761" s="1211"/>
      <c r="E761" s="1207" t="s">
        <v>5810</v>
      </c>
      <c r="F761" s="1203" t="s">
        <v>2963</v>
      </c>
      <c r="G761" s="1258" t="s">
        <v>7221</v>
      </c>
      <c r="H761" s="1209" t="s">
        <v>6799</v>
      </c>
      <c r="I761" s="1255"/>
      <c r="J761" s="1209" t="s">
        <v>1093</v>
      </c>
      <c r="K761" s="1209" t="s">
        <v>883</v>
      </c>
      <c r="L761" s="1211"/>
      <c r="M761" s="1209" t="s">
        <v>7210</v>
      </c>
      <c r="N761" s="1209" t="s">
        <v>7211</v>
      </c>
      <c r="O761" s="1233" t="s">
        <v>8052</v>
      </c>
      <c r="P761" s="1211"/>
      <c r="Q761" s="1208">
        <v>0.5</v>
      </c>
      <c r="R761" s="1208"/>
    </row>
    <row r="762" ht="12.75" customHeight="1">
      <c r="A762" s="1209">
        <v>21.0</v>
      </c>
      <c r="B762" s="1204" t="s">
        <v>8053</v>
      </c>
      <c r="C762" s="1210"/>
      <c r="D762" s="1211"/>
      <c r="E762" s="1207" t="s">
        <v>5810</v>
      </c>
      <c r="F762" s="1203" t="s">
        <v>2963</v>
      </c>
      <c r="G762" s="1258" t="s">
        <v>7221</v>
      </c>
      <c r="H762" s="1209" t="s">
        <v>6799</v>
      </c>
      <c r="I762" s="1256"/>
      <c r="J762" s="1209" t="s">
        <v>1093</v>
      </c>
      <c r="K762" s="1209" t="s">
        <v>883</v>
      </c>
      <c r="L762" s="1211"/>
      <c r="M762" s="1209" t="s">
        <v>7210</v>
      </c>
      <c r="N762" s="1209" t="s">
        <v>7211</v>
      </c>
      <c r="O762" s="1233" t="s">
        <v>8054</v>
      </c>
      <c r="P762" s="1211"/>
      <c r="Q762" s="1208">
        <v>0.5</v>
      </c>
      <c r="R762" s="1208"/>
    </row>
    <row r="763" ht="12.75" customHeight="1">
      <c r="A763" s="1209">
        <v>22.0</v>
      </c>
      <c r="B763" s="1204" t="s">
        <v>8055</v>
      </c>
      <c r="C763" s="1210"/>
      <c r="D763" s="1211"/>
      <c r="E763" s="1207" t="s">
        <v>5810</v>
      </c>
      <c r="F763" s="1203" t="s">
        <v>2963</v>
      </c>
      <c r="G763" s="1258" t="s">
        <v>7221</v>
      </c>
      <c r="H763" s="1209" t="s">
        <v>6799</v>
      </c>
      <c r="I763" s="1255"/>
      <c r="J763" s="1209" t="s">
        <v>1093</v>
      </c>
      <c r="K763" s="1209" t="s">
        <v>883</v>
      </c>
      <c r="L763" s="1211"/>
      <c r="M763" s="1209" t="s">
        <v>7210</v>
      </c>
      <c r="N763" s="1209" t="s">
        <v>7211</v>
      </c>
      <c r="O763" s="1233" t="s">
        <v>8056</v>
      </c>
      <c r="P763" s="1211"/>
      <c r="Q763" s="1208">
        <v>0.5</v>
      </c>
      <c r="R763" s="1208"/>
    </row>
    <row r="764" ht="12.75" customHeight="1">
      <c r="A764" s="1209">
        <v>23.0</v>
      </c>
      <c r="B764" s="1210" t="s">
        <v>8057</v>
      </c>
      <c r="C764" s="1210"/>
      <c r="D764" s="1211"/>
      <c r="E764" s="1207" t="s">
        <v>5810</v>
      </c>
      <c r="F764" s="1203" t="s">
        <v>2963</v>
      </c>
      <c r="G764" s="1258" t="s">
        <v>7221</v>
      </c>
      <c r="H764" s="1209" t="s">
        <v>6799</v>
      </c>
      <c r="I764" s="1256"/>
      <c r="J764" s="1209" t="s">
        <v>1093</v>
      </c>
      <c r="K764" s="1209" t="s">
        <v>883</v>
      </c>
      <c r="L764" s="1211"/>
      <c r="M764" s="1209" t="s">
        <v>7210</v>
      </c>
      <c r="N764" s="1209" t="s">
        <v>7211</v>
      </c>
      <c r="O764" s="1233" t="s">
        <v>8058</v>
      </c>
      <c r="P764" s="1211"/>
      <c r="Q764" s="1208">
        <v>0.5</v>
      </c>
      <c r="R764" s="1208"/>
    </row>
    <row r="765" ht="12.75" customHeight="1">
      <c r="A765" s="1209">
        <v>24.0</v>
      </c>
      <c r="B765" s="1210" t="s">
        <v>8059</v>
      </c>
      <c r="C765" s="1210"/>
      <c r="D765" s="1211"/>
      <c r="E765" s="1207" t="s">
        <v>5810</v>
      </c>
      <c r="F765" s="1203" t="s">
        <v>2963</v>
      </c>
      <c r="G765" s="1258" t="s">
        <v>7221</v>
      </c>
      <c r="H765" s="1209" t="s">
        <v>6799</v>
      </c>
      <c r="I765" s="1255"/>
      <c r="J765" s="1209" t="s">
        <v>1093</v>
      </c>
      <c r="K765" s="1209" t="s">
        <v>883</v>
      </c>
      <c r="L765" s="1211"/>
      <c r="M765" s="1209" t="s">
        <v>7210</v>
      </c>
      <c r="N765" s="1209" t="s">
        <v>7211</v>
      </c>
      <c r="O765" s="1233" t="s">
        <v>8060</v>
      </c>
      <c r="P765" s="1211"/>
      <c r="Q765" s="1208">
        <v>0.5</v>
      </c>
      <c r="R765" s="1208"/>
    </row>
    <row r="766" ht="12.75" customHeight="1">
      <c r="A766" s="1209">
        <v>25.0</v>
      </c>
      <c r="B766" s="1210" t="s">
        <v>8061</v>
      </c>
      <c r="C766" s="1210"/>
      <c r="D766" s="1211"/>
      <c r="E766" s="1207" t="s">
        <v>5810</v>
      </c>
      <c r="F766" s="1203" t="s">
        <v>2963</v>
      </c>
      <c r="G766" s="1258" t="s">
        <v>7221</v>
      </c>
      <c r="H766" s="1209" t="s">
        <v>6799</v>
      </c>
      <c r="I766" s="1256"/>
      <c r="J766" s="1209" t="s">
        <v>1093</v>
      </c>
      <c r="K766" s="1209" t="s">
        <v>883</v>
      </c>
      <c r="L766" s="1211"/>
      <c r="M766" s="1209" t="s">
        <v>7210</v>
      </c>
      <c r="N766" s="1209" t="s">
        <v>7211</v>
      </c>
      <c r="O766" s="1233" t="s">
        <v>8062</v>
      </c>
      <c r="P766" s="1211"/>
      <c r="Q766" s="1208">
        <v>0.5</v>
      </c>
      <c r="R766" s="1208"/>
    </row>
    <row r="767" ht="12.75" customHeight="1">
      <c r="A767" s="1209">
        <v>26.0</v>
      </c>
      <c r="B767" s="1210" t="s">
        <v>8063</v>
      </c>
      <c r="C767" s="1210"/>
      <c r="D767" s="1211"/>
      <c r="E767" s="1207" t="s">
        <v>5810</v>
      </c>
      <c r="F767" s="1203" t="s">
        <v>2963</v>
      </c>
      <c r="G767" s="1258" t="s">
        <v>7221</v>
      </c>
      <c r="H767" s="1209" t="s">
        <v>6799</v>
      </c>
      <c r="I767" s="1255"/>
      <c r="J767" s="1209" t="s">
        <v>1093</v>
      </c>
      <c r="K767" s="1209" t="s">
        <v>883</v>
      </c>
      <c r="L767" s="1211"/>
      <c r="M767" s="1209" t="s">
        <v>7210</v>
      </c>
      <c r="N767" s="1209" t="s">
        <v>7211</v>
      </c>
      <c r="O767" s="1233" t="s">
        <v>8064</v>
      </c>
      <c r="P767" s="1211"/>
      <c r="Q767" s="1208">
        <v>0.5</v>
      </c>
      <c r="R767" s="1208"/>
    </row>
    <row r="768" ht="12.75" customHeight="1">
      <c r="A768" s="1209">
        <v>27.0</v>
      </c>
      <c r="B768" s="1210" t="s">
        <v>8065</v>
      </c>
      <c r="C768" s="1210"/>
      <c r="D768" s="1211"/>
      <c r="E768" s="1207" t="s">
        <v>5810</v>
      </c>
      <c r="F768" s="1203" t="s">
        <v>2963</v>
      </c>
      <c r="G768" s="1258" t="s">
        <v>7221</v>
      </c>
      <c r="H768" s="1209" t="s">
        <v>6799</v>
      </c>
      <c r="I768" s="1255"/>
      <c r="J768" s="1209" t="s">
        <v>1093</v>
      </c>
      <c r="K768" s="1209" t="s">
        <v>883</v>
      </c>
      <c r="L768" s="1211"/>
      <c r="M768" s="1209" t="s">
        <v>7210</v>
      </c>
      <c r="N768" s="1209" t="s">
        <v>7211</v>
      </c>
      <c r="O768" s="1233" t="s">
        <v>8066</v>
      </c>
      <c r="P768" s="1211"/>
      <c r="Q768" s="1208">
        <v>0.5</v>
      </c>
      <c r="R768" s="1208"/>
    </row>
    <row r="769" ht="12.75" customHeight="1">
      <c r="A769" s="1209">
        <v>28.0</v>
      </c>
      <c r="B769" s="1210" t="s">
        <v>8067</v>
      </c>
      <c r="C769" s="1210"/>
      <c r="D769" s="1211"/>
      <c r="E769" s="1207" t="s">
        <v>5810</v>
      </c>
      <c r="F769" s="1203" t="s">
        <v>2963</v>
      </c>
      <c r="G769" s="1258" t="s">
        <v>7221</v>
      </c>
      <c r="H769" s="1209" t="s">
        <v>6799</v>
      </c>
      <c r="I769" s="1255"/>
      <c r="J769" s="1209" t="s">
        <v>1093</v>
      </c>
      <c r="K769" s="1209" t="s">
        <v>883</v>
      </c>
      <c r="L769" s="1211"/>
      <c r="M769" s="1209" t="s">
        <v>7210</v>
      </c>
      <c r="N769" s="1209" t="s">
        <v>7211</v>
      </c>
      <c r="O769" s="1233" t="s">
        <v>8068</v>
      </c>
      <c r="P769" s="1211"/>
      <c r="Q769" s="1208">
        <v>0.5</v>
      </c>
      <c r="R769" s="1208"/>
    </row>
    <row r="770" ht="12.75" customHeight="1">
      <c r="A770" s="1209">
        <v>29.0</v>
      </c>
      <c r="B770" s="1210" t="s">
        <v>8069</v>
      </c>
      <c r="C770" s="1210"/>
      <c r="D770" s="1211"/>
      <c r="E770" s="1207" t="s">
        <v>5810</v>
      </c>
      <c r="F770" s="1203" t="s">
        <v>2963</v>
      </c>
      <c r="G770" s="1258" t="s">
        <v>7221</v>
      </c>
      <c r="H770" s="1209" t="s">
        <v>6799</v>
      </c>
      <c r="I770" s="1256"/>
      <c r="J770" s="1209" t="s">
        <v>1093</v>
      </c>
      <c r="K770" s="1209" t="s">
        <v>883</v>
      </c>
      <c r="L770" s="1211"/>
      <c r="M770" s="1209" t="s">
        <v>7210</v>
      </c>
      <c r="N770" s="1209" t="s">
        <v>7211</v>
      </c>
      <c r="O770" s="1233" t="s">
        <v>8070</v>
      </c>
      <c r="P770" s="1211"/>
      <c r="Q770" s="1208">
        <v>0.5</v>
      </c>
      <c r="R770" s="1208"/>
    </row>
    <row r="771" ht="12.75" customHeight="1">
      <c r="A771" s="1209">
        <v>30.0</v>
      </c>
      <c r="B771" s="1210" t="s">
        <v>8071</v>
      </c>
      <c r="C771" s="1210"/>
      <c r="D771" s="1211"/>
      <c r="E771" s="1207" t="s">
        <v>5810</v>
      </c>
      <c r="F771" s="1203" t="s">
        <v>2963</v>
      </c>
      <c r="G771" s="1258" t="s">
        <v>7221</v>
      </c>
      <c r="H771" s="1209" t="s">
        <v>6799</v>
      </c>
      <c r="I771" s="1256"/>
      <c r="J771" s="1209" t="s">
        <v>1093</v>
      </c>
      <c r="K771" s="1209" t="s">
        <v>883</v>
      </c>
      <c r="L771" s="1211"/>
      <c r="M771" s="1209" t="s">
        <v>7210</v>
      </c>
      <c r="N771" s="1209" t="s">
        <v>7211</v>
      </c>
      <c r="O771" s="1233" t="s">
        <v>8072</v>
      </c>
      <c r="P771" s="1211"/>
      <c r="Q771" s="1208">
        <v>0.5</v>
      </c>
      <c r="R771" s="1208"/>
    </row>
    <row r="772" ht="12.75" customHeight="1">
      <c r="A772" s="1209">
        <v>31.0</v>
      </c>
      <c r="B772" s="1210" t="s">
        <v>8073</v>
      </c>
      <c r="C772" s="1210"/>
      <c r="D772" s="1211"/>
      <c r="E772" s="1207" t="s">
        <v>5810</v>
      </c>
      <c r="F772" s="1203" t="s">
        <v>2963</v>
      </c>
      <c r="G772" s="1258" t="s">
        <v>7221</v>
      </c>
      <c r="H772" s="1209" t="s">
        <v>6799</v>
      </c>
      <c r="I772" s="1255"/>
      <c r="J772" s="1209" t="s">
        <v>1093</v>
      </c>
      <c r="K772" s="1209" t="s">
        <v>883</v>
      </c>
      <c r="L772" s="1211"/>
      <c r="M772" s="1209" t="s">
        <v>7210</v>
      </c>
      <c r="N772" s="1209" t="s">
        <v>7211</v>
      </c>
      <c r="O772" s="1233" t="s">
        <v>8074</v>
      </c>
      <c r="P772" s="1211"/>
      <c r="Q772" s="1208">
        <v>0.5</v>
      </c>
      <c r="R772" s="1208"/>
    </row>
    <row r="773" ht="12.75" customHeight="1">
      <c r="A773" s="1209">
        <v>32.0</v>
      </c>
      <c r="B773" s="1210" t="s">
        <v>8075</v>
      </c>
      <c r="C773" s="1210"/>
      <c r="D773" s="1211"/>
      <c r="E773" s="1207" t="s">
        <v>5810</v>
      </c>
      <c r="F773" s="1203" t="s">
        <v>2963</v>
      </c>
      <c r="G773" s="1258" t="s">
        <v>7221</v>
      </c>
      <c r="H773" s="1209" t="s">
        <v>6799</v>
      </c>
      <c r="I773" s="1255"/>
      <c r="J773" s="1209" t="s">
        <v>1093</v>
      </c>
      <c r="K773" s="1209" t="s">
        <v>883</v>
      </c>
      <c r="L773" s="1211"/>
      <c r="M773" s="1209" t="s">
        <v>7210</v>
      </c>
      <c r="N773" s="1209" t="s">
        <v>7211</v>
      </c>
      <c r="O773" s="1233" t="s">
        <v>8076</v>
      </c>
      <c r="P773" s="1211"/>
      <c r="Q773" s="1208">
        <v>0.5</v>
      </c>
      <c r="R773" s="1208"/>
    </row>
    <row r="774" ht="12.75" customHeight="1">
      <c r="A774" s="1209">
        <v>33.0</v>
      </c>
      <c r="B774" s="1210" t="s">
        <v>8077</v>
      </c>
      <c r="C774" s="1210"/>
      <c r="D774" s="1211"/>
      <c r="E774" s="1207" t="s">
        <v>5810</v>
      </c>
      <c r="F774" s="1203" t="s">
        <v>2963</v>
      </c>
      <c r="G774" s="1258" t="s">
        <v>7221</v>
      </c>
      <c r="H774" s="1209" t="s">
        <v>6799</v>
      </c>
      <c r="I774" s="1255"/>
      <c r="J774" s="1209" t="s">
        <v>1093</v>
      </c>
      <c r="K774" s="1209" t="s">
        <v>883</v>
      </c>
      <c r="L774" s="1211"/>
      <c r="M774" s="1209" t="s">
        <v>7210</v>
      </c>
      <c r="N774" s="1209" t="s">
        <v>7211</v>
      </c>
      <c r="O774" s="1233" t="s">
        <v>8078</v>
      </c>
      <c r="P774" s="1211"/>
      <c r="Q774" s="1208">
        <v>0.5</v>
      </c>
      <c r="R774" s="1208"/>
    </row>
    <row r="775" ht="12.75" customHeight="1">
      <c r="A775" s="1209">
        <v>34.0</v>
      </c>
      <c r="B775" s="1210" t="s">
        <v>8079</v>
      </c>
      <c r="C775" s="1210"/>
      <c r="D775" s="1211"/>
      <c r="E775" s="1207" t="s">
        <v>5810</v>
      </c>
      <c r="F775" s="1203" t="s">
        <v>2963</v>
      </c>
      <c r="G775" s="1258" t="s">
        <v>7209</v>
      </c>
      <c r="H775" s="1209" t="s">
        <v>6799</v>
      </c>
      <c r="I775" s="1255"/>
      <c r="J775" s="1209" t="s">
        <v>1093</v>
      </c>
      <c r="K775" s="1209" t="s">
        <v>883</v>
      </c>
      <c r="L775" s="1211"/>
      <c r="M775" s="1209" t="s">
        <v>7210</v>
      </c>
      <c r="N775" s="1209" t="s">
        <v>7211</v>
      </c>
      <c r="O775" s="1233" t="s">
        <v>8080</v>
      </c>
      <c r="P775" s="1211"/>
      <c r="Q775" s="1208">
        <v>0.5</v>
      </c>
      <c r="R775" s="1208"/>
    </row>
    <row r="776" ht="12.75" customHeight="1">
      <c r="A776" s="1209">
        <v>35.0</v>
      </c>
      <c r="B776" s="1210" t="s">
        <v>8081</v>
      </c>
      <c r="C776" s="1210"/>
      <c r="D776" s="1211"/>
      <c r="E776" s="1207" t="s">
        <v>5810</v>
      </c>
      <c r="F776" s="1203" t="s">
        <v>2963</v>
      </c>
      <c r="G776" s="1258" t="s">
        <v>7209</v>
      </c>
      <c r="H776" s="1209" t="s">
        <v>6799</v>
      </c>
      <c r="I776" s="1255"/>
      <c r="J776" s="1209" t="s">
        <v>1093</v>
      </c>
      <c r="K776" s="1209" t="s">
        <v>883</v>
      </c>
      <c r="L776" s="1211"/>
      <c r="M776" s="1209" t="s">
        <v>7210</v>
      </c>
      <c r="N776" s="1209" t="s">
        <v>7211</v>
      </c>
      <c r="O776" s="1233" t="s">
        <v>8082</v>
      </c>
      <c r="P776" s="1211"/>
      <c r="Q776" s="1208">
        <v>0.5</v>
      </c>
      <c r="R776" s="1208"/>
    </row>
    <row r="777" ht="12.75" customHeight="1">
      <c r="A777" s="1209">
        <v>36.0</v>
      </c>
      <c r="B777" s="1210" t="s">
        <v>8083</v>
      </c>
      <c r="C777" s="1210"/>
      <c r="D777" s="1211"/>
      <c r="E777" s="1207" t="s">
        <v>5810</v>
      </c>
      <c r="F777" s="1203" t="s">
        <v>2963</v>
      </c>
      <c r="G777" s="1258" t="s">
        <v>7209</v>
      </c>
      <c r="H777" s="1209" t="s">
        <v>6799</v>
      </c>
      <c r="I777" s="1255"/>
      <c r="J777" s="1209" t="s">
        <v>1093</v>
      </c>
      <c r="K777" s="1209" t="s">
        <v>883</v>
      </c>
      <c r="L777" s="1211"/>
      <c r="M777" s="1209" t="s">
        <v>7210</v>
      </c>
      <c r="N777" s="1209" t="s">
        <v>7211</v>
      </c>
      <c r="O777" s="1233" t="s">
        <v>8084</v>
      </c>
      <c r="P777" s="1211"/>
      <c r="Q777" s="1208">
        <v>0.5</v>
      </c>
      <c r="R777" s="1208"/>
    </row>
    <row r="778" ht="12.75" customHeight="1">
      <c r="A778" s="1209">
        <v>37.0</v>
      </c>
      <c r="B778" s="1210" t="s">
        <v>8085</v>
      </c>
      <c r="C778" s="1210"/>
      <c r="D778" s="1211"/>
      <c r="E778" s="1207" t="s">
        <v>5810</v>
      </c>
      <c r="F778" s="1203" t="s">
        <v>2963</v>
      </c>
      <c r="G778" s="1258" t="s">
        <v>7209</v>
      </c>
      <c r="H778" s="1209" t="s">
        <v>6799</v>
      </c>
      <c r="I778" s="1255"/>
      <c r="J778" s="1209" t="s">
        <v>1093</v>
      </c>
      <c r="K778" s="1209" t="s">
        <v>883</v>
      </c>
      <c r="L778" s="1211"/>
      <c r="M778" s="1209" t="s">
        <v>7210</v>
      </c>
      <c r="N778" s="1209" t="s">
        <v>7211</v>
      </c>
      <c r="O778" s="1233" t="s">
        <v>8086</v>
      </c>
      <c r="P778" s="1211"/>
      <c r="Q778" s="1208">
        <v>0.5</v>
      </c>
      <c r="R778" s="1208"/>
    </row>
    <row r="779" ht="12.75" customHeight="1">
      <c r="A779" s="1209">
        <v>38.0</v>
      </c>
      <c r="B779" s="1210" t="s">
        <v>8087</v>
      </c>
      <c r="C779" s="1210"/>
      <c r="D779" s="1211"/>
      <c r="E779" s="1207" t="s">
        <v>5810</v>
      </c>
      <c r="F779" s="1203" t="s">
        <v>2963</v>
      </c>
      <c r="G779" s="1258" t="s">
        <v>7209</v>
      </c>
      <c r="H779" s="1209" t="s">
        <v>6799</v>
      </c>
      <c r="I779" s="1255"/>
      <c r="J779" s="1209" t="s">
        <v>1093</v>
      </c>
      <c r="K779" s="1209" t="s">
        <v>883</v>
      </c>
      <c r="L779" s="1211"/>
      <c r="M779" s="1209" t="s">
        <v>7210</v>
      </c>
      <c r="N779" s="1209" t="s">
        <v>7211</v>
      </c>
      <c r="O779" s="1233" t="s">
        <v>8088</v>
      </c>
      <c r="P779" s="1211"/>
      <c r="Q779" s="1208">
        <v>0.5</v>
      </c>
      <c r="R779" s="1208"/>
    </row>
    <row r="780" ht="12.75" customHeight="1">
      <c r="A780" s="1209">
        <v>39.0</v>
      </c>
      <c r="B780" s="1210" t="s">
        <v>8089</v>
      </c>
      <c r="C780" s="1210"/>
      <c r="D780" s="1211"/>
      <c r="E780" s="1207" t="s">
        <v>5810</v>
      </c>
      <c r="F780" s="1203" t="s">
        <v>2963</v>
      </c>
      <c r="G780" s="1258" t="s">
        <v>7209</v>
      </c>
      <c r="H780" s="1209" t="s">
        <v>6799</v>
      </c>
      <c r="I780" s="1255"/>
      <c r="J780" s="1209" t="s">
        <v>1093</v>
      </c>
      <c r="K780" s="1209" t="s">
        <v>883</v>
      </c>
      <c r="L780" s="1211"/>
      <c r="M780" s="1209" t="s">
        <v>7210</v>
      </c>
      <c r="N780" s="1209" t="s">
        <v>7211</v>
      </c>
      <c r="O780" s="1233" t="s">
        <v>8090</v>
      </c>
      <c r="P780" s="1211"/>
      <c r="Q780" s="1208">
        <v>0.5</v>
      </c>
      <c r="R780" s="1208"/>
    </row>
    <row r="781" ht="12.75" customHeight="1">
      <c r="A781" s="1209">
        <v>40.0</v>
      </c>
      <c r="B781" s="1210" t="s">
        <v>8091</v>
      </c>
      <c r="C781" s="1210"/>
      <c r="D781" s="1211"/>
      <c r="E781" s="1207" t="s">
        <v>5810</v>
      </c>
      <c r="F781" s="1203" t="s">
        <v>2963</v>
      </c>
      <c r="G781" s="1258" t="s">
        <v>7209</v>
      </c>
      <c r="H781" s="1209" t="s">
        <v>6799</v>
      </c>
      <c r="I781" s="1255"/>
      <c r="J781" s="1209" t="s">
        <v>1093</v>
      </c>
      <c r="K781" s="1209" t="s">
        <v>883</v>
      </c>
      <c r="L781" s="1211"/>
      <c r="M781" s="1209" t="s">
        <v>7210</v>
      </c>
      <c r="N781" s="1209" t="s">
        <v>7211</v>
      </c>
      <c r="O781" s="1233" t="s">
        <v>8092</v>
      </c>
      <c r="P781" s="1211"/>
      <c r="Q781" s="1208">
        <v>0.5</v>
      </c>
      <c r="R781" s="1208"/>
    </row>
    <row r="782" ht="12.75" customHeight="1">
      <c r="A782" s="1209">
        <v>41.0</v>
      </c>
      <c r="B782" s="1210" t="s">
        <v>8093</v>
      </c>
      <c r="C782" s="1210"/>
      <c r="D782" s="1211"/>
      <c r="E782" s="1207" t="s">
        <v>5810</v>
      </c>
      <c r="F782" s="1203" t="s">
        <v>2963</v>
      </c>
      <c r="G782" s="1258" t="s">
        <v>7209</v>
      </c>
      <c r="H782" s="1209" t="s">
        <v>6799</v>
      </c>
      <c r="I782" s="1255"/>
      <c r="J782" s="1209" t="s">
        <v>1093</v>
      </c>
      <c r="K782" s="1209" t="s">
        <v>883</v>
      </c>
      <c r="L782" s="1211"/>
      <c r="M782" s="1209" t="s">
        <v>7210</v>
      </c>
      <c r="N782" s="1209" t="s">
        <v>7211</v>
      </c>
      <c r="O782" s="1233" t="s">
        <v>8094</v>
      </c>
      <c r="P782" s="1211"/>
      <c r="Q782" s="1208">
        <v>0.5</v>
      </c>
      <c r="R782" s="1208"/>
    </row>
    <row r="783" ht="12.75" customHeight="1">
      <c r="A783" s="1209">
        <v>42.0</v>
      </c>
      <c r="B783" s="1210" t="s">
        <v>8095</v>
      </c>
      <c r="C783" s="1210"/>
      <c r="D783" s="1211"/>
      <c r="E783" s="1207" t="s">
        <v>5810</v>
      </c>
      <c r="F783" s="1203" t="s">
        <v>2963</v>
      </c>
      <c r="G783" s="1258" t="s">
        <v>7209</v>
      </c>
      <c r="H783" s="1209" t="s">
        <v>6799</v>
      </c>
      <c r="I783" s="1255"/>
      <c r="J783" s="1209" t="s">
        <v>1093</v>
      </c>
      <c r="K783" s="1209" t="s">
        <v>883</v>
      </c>
      <c r="L783" s="1211"/>
      <c r="M783" s="1209" t="s">
        <v>7210</v>
      </c>
      <c r="N783" s="1209" t="s">
        <v>7211</v>
      </c>
      <c r="O783" s="1233" t="s">
        <v>8096</v>
      </c>
      <c r="P783" s="1211"/>
      <c r="Q783" s="1208">
        <v>0.5</v>
      </c>
      <c r="R783" s="1208"/>
    </row>
    <row r="784" ht="12.75" customHeight="1">
      <c r="A784" s="1209">
        <v>43.0</v>
      </c>
      <c r="B784" s="1210" t="s">
        <v>8097</v>
      </c>
      <c r="C784" s="1210"/>
      <c r="D784" s="1211"/>
      <c r="E784" s="1207" t="s">
        <v>5810</v>
      </c>
      <c r="F784" s="1203" t="s">
        <v>2963</v>
      </c>
      <c r="G784" s="1258" t="s">
        <v>7209</v>
      </c>
      <c r="H784" s="1209" t="s">
        <v>6799</v>
      </c>
      <c r="I784" s="1255"/>
      <c r="J784" s="1209" t="s">
        <v>1093</v>
      </c>
      <c r="K784" s="1209" t="s">
        <v>883</v>
      </c>
      <c r="L784" s="1211"/>
      <c r="M784" s="1209" t="s">
        <v>7210</v>
      </c>
      <c r="N784" s="1209" t="s">
        <v>7211</v>
      </c>
      <c r="O784" s="1233" t="s">
        <v>8098</v>
      </c>
      <c r="P784" s="1211"/>
      <c r="Q784" s="1208">
        <v>0.5</v>
      </c>
      <c r="R784" s="1208"/>
    </row>
    <row r="785" ht="12.75" customHeight="1">
      <c r="A785" s="1203">
        <v>1.0</v>
      </c>
      <c r="B785" s="1204" t="s">
        <v>8099</v>
      </c>
      <c r="C785" s="1204"/>
      <c r="D785" s="1205"/>
      <c r="E785" s="1207" t="s">
        <v>5810</v>
      </c>
      <c r="F785" s="1203" t="s">
        <v>2963</v>
      </c>
      <c r="G785" s="1263">
        <v>45118.0</v>
      </c>
      <c r="H785" s="1203" t="s">
        <v>6828</v>
      </c>
      <c r="I785" s="1264"/>
      <c r="J785" s="1265" t="s">
        <v>7207</v>
      </c>
      <c r="K785" s="1203" t="s">
        <v>740</v>
      </c>
      <c r="L785" s="1205"/>
      <c r="M785" s="1265" t="s">
        <v>7162</v>
      </c>
      <c r="N785" s="1203" t="s">
        <v>7163</v>
      </c>
      <c r="O785" s="1266" t="s">
        <v>7208</v>
      </c>
      <c r="P785" s="1205"/>
      <c r="Q785" s="1208">
        <v>0.5</v>
      </c>
      <c r="R785" s="1208"/>
    </row>
    <row r="786" ht="12.75" customHeight="1">
      <c r="A786" s="1209">
        <v>2.0</v>
      </c>
      <c r="B786" s="1210" t="s">
        <v>8100</v>
      </c>
      <c r="C786" s="1210"/>
      <c r="D786" s="1211"/>
      <c r="E786" s="1207" t="s">
        <v>5810</v>
      </c>
      <c r="F786" s="1203" t="s">
        <v>2963</v>
      </c>
      <c r="G786" s="1254">
        <v>45118.0</v>
      </c>
      <c r="H786" s="1209" t="s">
        <v>6828</v>
      </c>
      <c r="I786" s="1267" t="s">
        <v>8101</v>
      </c>
      <c r="J786" s="1213" t="s">
        <v>7207</v>
      </c>
      <c r="K786" s="1209" t="s">
        <v>740</v>
      </c>
      <c r="L786" s="1211"/>
      <c r="M786" s="1213" t="s">
        <v>7162</v>
      </c>
      <c r="N786" s="1209" t="s">
        <v>7163</v>
      </c>
      <c r="O786" s="1233" t="s">
        <v>7208</v>
      </c>
      <c r="P786" s="1211"/>
      <c r="Q786" s="1208">
        <v>0.5</v>
      </c>
      <c r="R786" s="1208"/>
    </row>
    <row r="787" ht="12.75" customHeight="1">
      <c r="A787" s="1209">
        <f t="shared" ref="A787:A789" si="14">1+A786</f>
        <v>3</v>
      </c>
      <c r="B787" s="1210" t="s">
        <v>8102</v>
      </c>
      <c r="C787" s="1210"/>
      <c r="D787" s="1211"/>
      <c r="E787" s="1207" t="s">
        <v>5810</v>
      </c>
      <c r="F787" s="1203" t="s">
        <v>2963</v>
      </c>
      <c r="G787" s="1257" t="s">
        <v>3014</v>
      </c>
      <c r="H787" s="1209" t="s">
        <v>6828</v>
      </c>
      <c r="I787" s="1267" t="s">
        <v>8103</v>
      </c>
      <c r="J787" s="1213" t="s">
        <v>7207</v>
      </c>
      <c r="K787" s="1209" t="s">
        <v>740</v>
      </c>
      <c r="L787" s="1211"/>
      <c r="M787" s="1213" t="s">
        <v>7162</v>
      </c>
      <c r="N787" s="1209" t="s">
        <v>7163</v>
      </c>
      <c r="O787" s="1233" t="s">
        <v>7208</v>
      </c>
      <c r="P787" s="1211"/>
      <c r="Q787" s="1208">
        <v>0.5</v>
      </c>
      <c r="R787" s="1208"/>
    </row>
    <row r="788" ht="12.75" customHeight="1">
      <c r="A788" s="1209">
        <f t="shared" si="14"/>
        <v>4</v>
      </c>
      <c r="B788" s="1210" t="s">
        <v>8104</v>
      </c>
      <c r="C788" s="1210"/>
      <c r="D788" s="1211"/>
      <c r="E788" s="1207" t="s">
        <v>5810</v>
      </c>
      <c r="F788" s="1203" t="s">
        <v>2963</v>
      </c>
      <c r="G788" s="1257" t="s">
        <v>3014</v>
      </c>
      <c r="H788" s="1209" t="s">
        <v>6828</v>
      </c>
      <c r="I788" s="1255"/>
      <c r="J788" s="1213" t="s">
        <v>7207</v>
      </c>
      <c r="K788" s="1209" t="s">
        <v>740</v>
      </c>
      <c r="L788" s="1211"/>
      <c r="M788" s="1213" t="s">
        <v>7162</v>
      </c>
      <c r="N788" s="1209" t="s">
        <v>7163</v>
      </c>
      <c r="O788" s="1233" t="s">
        <v>7208</v>
      </c>
      <c r="P788" s="1211"/>
      <c r="Q788" s="1208">
        <v>0.5</v>
      </c>
      <c r="R788" s="1208"/>
    </row>
    <row r="789" ht="12.75" customHeight="1">
      <c r="A789" s="1209">
        <f t="shared" si="14"/>
        <v>5</v>
      </c>
      <c r="B789" s="1210" t="s">
        <v>8105</v>
      </c>
      <c r="C789" s="1210"/>
      <c r="D789" s="1211"/>
      <c r="E789" s="1207" t="s">
        <v>5810</v>
      </c>
      <c r="F789" s="1203" t="s">
        <v>2963</v>
      </c>
      <c r="G789" s="1257" t="s">
        <v>3014</v>
      </c>
      <c r="H789" s="1209" t="s">
        <v>6828</v>
      </c>
      <c r="I789" s="1255"/>
      <c r="J789" s="1213" t="s">
        <v>7207</v>
      </c>
      <c r="K789" s="1209" t="s">
        <v>740</v>
      </c>
      <c r="L789" s="1211"/>
      <c r="M789" s="1213" t="s">
        <v>7162</v>
      </c>
      <c r="N789" s="1209" t="s">
        <v>7163</v>
      </c>
      <c r="O789" s="1233" t="s">
        <v>7208</v>
      </c>
      <c r="P789" s="1211"/>
      <c r="Q789" s="1208">
        <v>0.5</v>
      </c>
      <c r="R789" s="1208"/>
    </row>
    <row r="790" ht="12.75" customHeight="1">
      <c r="A790" s="1209">
        <v>1.0</v>
      </c>
      <c r="B790" s="1210" t="s">
        <v>8106</v>
      </c>
      <c r="C790" s="1210"/>
      <c r="D790" s="1211"/>
      <c r="E790" s="1207" t="s">
        <v>5810</v>
      </c>
      <c r="F790" s="1203" t="s">
        <v>2963</v>
      </c>
      <c r="G790" s="1257" t="s">
        <v>3014</v>
      </c>
      <c r="H790" s="1209" t="s">
        <v>6828</v>
      </c>
      <c r="I790" s="1267"/>
      <c r="J790" s="1213" t="s">
        <v>7207</v>
      </c>
      <c r="K790" s="1209" t="s">
        <v>740</v>
      </c>
      <c r="L790" s="1211"/>
      <c r="M790" s="1213" t="s">
        <v>7162</v>
      </c>
      <c r="N790" s="1209" t="s">
        <v>7163</v>
      </c>
      <c r="O790" s="1233" t="s">
        <v>7208</v>
      </c>
      <c r="P790" s="1211"/>
      <c r="Q790" s="1208">
        <v>0.5</v>
      </c>
      <c r="R790" s="1208"/>
    </row>
    <row r="791" ht="12.75" customHeight="1">
      <c r="A791" s="1209">
        <f t="shared" ref="A791:A795" si="15">1+A790</f>
        <v>2</v>
      </c>
      <c r="B791" s="1210" t="s">
        <v>8107</v>
      </c>
      <c r="C791" s="1210"/>
      <c r="D791" s="1211"/>
      <c r="E791" s="1207" t="s">
        <v>5810</v>
      </c>
      <c r="F791" s="1203" t="s">
        <v>2963</v>
      </c>
      <c r="G791" s="1258" t="s">
        <v>7221</v>
      </c>
      <c r="H791" s="1209" t="s">
        <v>6828</v>
      </c>
      <c r="I791" s="1267"/>
      <c r="J791" s="1209" t="s">
        <v>1093</v>
      </c>
      <c r="K791" s="1209" t="s">
        <v>883</v>
      </c>
      <c r="L791" s="1211"/>
      <c r="M791" s="1209" t="s">
        <v>7210</v>
      </c>
      <c r="N791" s="1209" t="s">
        <v>7211</v>
      </c>
      <c r="O791" s="1233" t="s">
        <v>8108</v>
      </c>
      <c r="P791" s="1211"/>
      <c r="Q791" s="1208">
        <v>0.5</v>
      </c>
      <c r="R791" s="1208"/>
    </row>
    <row r="792" ht="12.75" customHeight="1">
      <c r="A792" s="1209">
        <f t="shared" si="15"/>
        <v>3</v>
      </c>
      <c r="B792" s="1210" t="s">
        <v>8109</v>
      </c>
      <c r="C792" s="1210"/>
      <c r="D792" s="1211"/>
      <c r="E792" s="1207" t="s">
        <v>5810</v>
      </c>
      <c r="F792" s="1203" t="s">
        <v>2963</v>
      </c>
      <c r="G792" s="1258" t="s">
        <v>7221</v>
      </c>
      <c r="H792" s="1209" t="s">
        <v>6828</v>
      </c>
      <c r="I792" s="1267"/>
      <c r="J792" s="1209" t="s">
        <v>1093</v>
      </c>
      <c r="K792" s="1209" t="s">
        <v>883</v>
      </c>
      <c r="L792" s="1211"/>
      <c r="M792" s="1209" t="s">
        <v>7210</v>
      </c>
      <c r="N792" s="1209" t="s">
        <v>7211</v>
      </c>
      <c r="O792" s="1233" t="s">
        <v>8110</v>
      </c>
      <c r="P792" s="1211"/>
      <c r="Q792" s="1208">
        <v>0.5</v>
      </c>
      <c r="R792" s="1208"/>
    </row>
    <row r="793" ht="12.75" customHeight="1">
      <c r="A793" s="1209">
        <f t="shared" si="15"/>
        <v>4</v>
      </c>
      <c r="B793" s="1210" t="s">
        <v>8111</v>
      </c>
      <c r="C793" s="1210"/>
      <c r="D793" s="1211"/>
      <c r="E793" s="1207" t="s">
        <v>5810</v>
      </c>
      <c r="F793" s="1203" t="s">
        <v>2963</v>
      </c>
      <c r="G793" s="1258" t="s">
        <v>7221</v>
      </c>
      <c r="H793" s="1209" t="s">
        <v>6828</v>
      </c>
      <c r="I793" s="1267"/>
      <c r="J793" s="1209" t="s">
        <v>1093</v>
      </c>
      <c r="K793" s="1209" t="s">
        <v>883</v>
      </c>
      <c r="L793" s="1211"/>
      <c r="M793" s="1209" t="s">
        <v>7210</v>
      </c>
      <c r="N793" s="1209" t="s">
        <v>7211</v>
      </c>
      <c r="O793" s="1233" t="s">
        <v>8112</v>
      </c>
      <c r="P793" s="1211"/>
      <c r="Q793" s="1208">
        <v>0.5</v>
      </c>
      <c r="R793" s="1208"/>
    </row>
    <row r="794" ht="12.75" customHeight="1">
      <c r="A794" s="1209">
        <f t="shared" si="15"/>
        <v>5</v>
      </c>
      <c r="B794" s="1210" t="s">
        <v>8113</v>
      </c>
      <c r="C794" s="1210"/>
      <c r="D794" s="1211"/>
      <c r="E794" s="1207" t="s">
        <v>5810</v>
      </c>
      <c r="F794" s="1203" t="s">
        <v>2963</v>
      </c>
      <c r="G794" s="1258" t="s">
        <v>7221</v>
      </c>
      <c r="H794" s="1209" t="s">
        <v>6828</v>
      </c>
      <c r="I794" s="1267"/>
      <c r="J794" s="1209" t="s">
        <v>1093</v>
      </c>
      <c r="K794" s="1209" t="s">
        <v>883</v>
      </c>
      <c r="L794" s="1211"/>
      <c r="M794" s="1209" t="s">
        <v>7210</v>
      </c>
      <c r="N794" s="1209" t="s">
        <v>7211</v>
      </c>
      <c r="O794" s="1233" t="s">
        <v>8114</v>
      </c>
      <c r="P794" s="1211"/>
      <c r="Q794" s="1208">
        <v>0.5</v>
      </c>
      <c r="R794" s="1208"/>
    </row>
    <row r="795" ht="12.75" customHeight="1">
      <c r="A795" s="1209">
        <f t="shared" si="15"/>
        <v>6</v>
      </c>
      <c r="B795" s="1210" t="s">
        <v>8115</v>
      </c>
      <c r="C795" s="1210"/>
      <c r="D795" s="1211"/>
      <c r="E795" s="1207" t="s">
        <v>5810</v>
      </c>
      <c r="F795" s="1203" t="s">
        <v>2963</v>
      </c>
      <c r="G795" s="1258" t="s">
        <v>7221</v>
      </c>
      <c r="H795" s="1209" t="s">
        <v>6828</v>
      </c>
      <c r="I795" s="1267" t="s">
        <v>8116</v>
      </c>
      <c r="J795" s="1209" t="s">
        <v>1093</v>
      </c>
      <c r="K795" s="1209" t="s">
        <v>883</v>
      </c>
      <c r="L795" s="1211"/>
      <c r="M795" s="1209" t="s">
        <v>7210</v>
      </c>
      <c r="N795" s="1209" t="s">
        <v>7211</v>
      </c>
      <c r="O795" s="1233" t="s">
        <v>8117</v>
      </c>
      <c r="P795" s="1211"/>
      <c r="Q795" s="1208">
        <v>0.5</v>
      </c>
      <c r="R795" s="1208"/>
    </row>
    <row r="796" ht="12.75" customHeight="1">
      <c r="A796" s="1209">
        <f>1+A190</f>
        <v>2</v>
      </c>
      <c r="B796" s="1210" t="s">
        <v>8118</v>
      </c>
      <c r="C796" s="1210"/>
      <c r="D796" s="1211"/>
      <c r="E796" s="1207" t="s">
        <v>5810</v>
      </c>
      <c r="F796" s="1203" t="s">
        <v>2963</v>
      </c>
      <c r="G796" s="1258" t="s">
        <v>7209</v>
      </c>
      <c r="H796" s="1209" t="s">
        <v>6828</v>
      </c>
      <c r="I796" s="1267"/>
      <c r="J796" s="1209" t="s">
        <v>1093</v>
      </c>
      <c r="K796" s="1209" t="s">
        <v>883</v>
      </c>
      <c r="L796" s="1211"/>
      <c r="M796" s="1209" t="s">
        <v>7210</v>
      </c>
      <c r="N796" s="1209" t="s">
        <v>7211</v>
      </c>
      <c r="O796" s="1233" t="s">
        <v>8119</v>
      </c>
      <c r="P796" s="1211"/>
      <c r="Q796" s="1208">
        <v>0.5</v>
      </c>
      <c r="R796" s="1208"/>
    </row>
    <row r="797" ht="12.75" customHeight="1">
      <c r="A797" s="1209">
        <f t="shared" ref="A797:A798" si="16">1+A796</f>
        <v>3</v>
      </c>
      <c r="B797" s="1210" t="s">
        <v>8120</v>
      </c>
      <c r="C797" s="1210"/>
      <c r="D797" s="1211"/>
      <c r="E797" s="1207" t="s">
        <v>5810</v>
      </c>
      <c r="F797" s="1203" t="s">
        <v>2963</v>
      </c>
      <c r="G797" s="1258" t="s">
        <v>7209</v>
      </c>
      <c r="H797" s="1209" t="s">
        <v>6828</v>
      </c>
      <c r="I797" s="1267"/>
      <c r="J797" s="1209" t="s">
        <v>1093</v>
      </c>
      <c r="K797" s="1209" t="s">
        <v>883</v>
      </c>
      <c r="L797" s="1211"/>
      <c r="M797" s="1209" t="s">
        <v>7210</v>
      </c>
      <c r="N797" s="1209" t="s">
        <v>7211</v>
      </c>
      <c r="O797" s="1233" t="s">
        <v>8121</v>
      </c>
      <c r="P797" s="1211"/>
      <c r="Q797" s="1208">
        <v>0.5</v>
      </c>
      <c r="R797" s="1208"/>
    </row>
    <row r="798" ht="12.75" customHeight="1">
      <c r="A798" s="1209">
        <f t="shared" si="16"/>
        <v>4</v>
      </c>
      <c r="B798" s="1210" t="s">
        <v>8122</v>
      </c>
      <c r="C798" s="1210"/>
      <c r="D798" s="1211"/>
      <c r="E798" s="1207" t="s">
        <v>5810</v>
      </c>
      <c r="F798" s="1203" t="s">
        <v>2963</v>
      </c>
      <c r="G798" s="1258" t="s">
        <v>7209</v>
      </c>
      <c r="H798" s="1209" t="s">
        <v>6828</v>
      </c>
      <c r="I798" s="1267"/>
      <c r="J798" s="1209" t="s">
        <v>1093</v>
      </c>
      <c r="K798" s="1209" t="s">
        <v>883</v>
      </c>
      <c r="L798" s="1211"/>
      <c r="M798" s="1209" t="s">
        <v>7210</v>
      </c>
      <c r="N798" s="1209" t="s">
        <v>7211</v>
      </c>
      <c r="O798" s="1233" t="s">
        <v>8123</v>
      </c>
      <c r="P798" s="1211"/>
      <c r="Q798" s="1208">
        <v>0.5</v>
      </c>
      <c r="R798" s="1208"/>
    </row>
    <row r="799" ht="12.75" customHeight="1">
      <c r="A799" s="806">
        <f>A380+1</f>
        <v>6</v>
      </c>
      <c r="B799" s="1057" t="s">
        <v>8124</v>
      </c>
      <c r="C799" s="1057"/>
      <c r="D799" s="1058"/>
      <c r="E799" s="1059" t="s">
        <v>5810</v>
      </c>
      <c r="F799" s="1203" t="s">
        <v>2963</v>
      </c>
      <c r="G799" s="1084"/>
      <c r="H799" s="1167" t="s">
        <v>4356</v>
      </c>
      <c r="I799" s="1057" t="s">
        <v>8125</v>
      </c>
      <c r="J799" s="806" t="s">
        <v>7161</v>
      </c>
      <c r="K799" s="806" t="s">
        <v>740</v>
      </c>
      <c r="L799" s="1058"/>
      <c r="M799" s="806" t="s">
        <v>7162</v>
      </c>
      <c r="N799" s="806" t="s">
        <v>7163</v>
      </c>
      <c r="O799" s="1058"/>
      <c r="P799" s="1058"/>
      <c r="Q799" s="1061">
        <v>0.5</v>
      </c>
      <c r="R799" s="1061"/>
    </row>
    <row r="800" ht="12.75" customHeight="1">
      <c r="A800" s="806">
        <f>A799+1</f>
        <v>7</v>
      </c>
      <c r="B800" s="1057" t="s">
        <v>8126</v>
      </c>
      <c r="C800" s="1057"/>
      <c r="D800" s="1058"/>
      <c r="E800" s="1059" t="s">
        <v>5810</v>
      </c>
      <c r="F800" s="1203" t="s">
        <v>2963</v>
      </c>
      <c r="G800" s="1084"/>
      <c r="H800" s="1167" t="s">
        <v>4356</v>
      </c>
      <c r="I800" s="1057" t="s">
        <v>8125</v>
      </c>
      <c r="J800" s="806" t="s">
        <v>7161</v>
      </c>
      <c r="K800" s="806" t="s">
        <v>740</v>
      </c>
      <c r="L800" s="1058"/>
      <c r="M800" s="806" t="s">
        <v>7162</v>
      </c>
      <c r="N800" s="806" t="s">
        <v>7163</v>
      </c>
      <c r="O800" s="1058"/>
      <c r="P800" s="1058"/>
      <c r="Q800" s="1061">
        <v>0.5</v>
      </c>
      <c r="R800" s="1061"/>
    </row>
    <row r="801" ht="12.75" customHeight="1">
      <c r="A801" s="1268"/>
      <c r="B801" s="1269"/>
      <c r="C801" s="1269"/>
      <c r="D801" s="1269"/>
      <c r="E801" s="1269"/>
      <c r="F801" s="1268"/>
      <c r="G801" s="1268"/>
      <c r="H801" s="1268"/>
      <c r="I801" s="1269"/>
      <c r="J801" s="1268"/>
      <c r="K801" s="1268"/>
      <c r="L801" s="1269"/>
      <c r="M801" s="1268"/>
      <c r="N801" s="1268"/>
      <c r="O801" s="1269"/>
      <c r="P801" s="1269"/>
      <c r="Q801" s="1269"/>
      <c r="R801" s="1269"/>
    </row>
    <row r="802" ht="12.75" customHeight="1">
      <c r="A802" s="1268"/>
      <c r="B802" s="1269"/>
      <c r="C802" s="1269"/>
      <c r="D802" s="1269"/>
      <c r="E802" s="1269"/>
      <c r="F802" s="1268"/>
      <c r="G802" s="1268"/>
      <c r="H802" s="1268"/>
      <c r="I802" s="1269"/>
      <c r="J802" s="1268"/>
      <c r="K802" s="1268"/>
      <c r="L802" s="1269"/>
      <c r="M802" s="1268"/>
      <c r="N802" s="1268"/>
      <c r="O802" s="1269"/>
      <c r="P802" s="1269"/>
      <c r="Q802" s="1269"/>
      <c r="R802" s="1269"/>
    </row>
    <row r="803" ht="12.75" customHeight="1">
      <c r="A803" s="1268"/>
      <c r="B803" s="1269"/>
      <c r="C803" s="1269"/>
      <c r="D803" s="1269"/>
      <c r="E803" s="1269"/>
      <c r="F803" s="1268"/>
      <c r="G803" s="1268"/>
      <c r="H803" s="1268"/>
      <c r="I803" s="1269"/>
      <c r="J803" s="1268"/>
      <c r="K803" s="1268"/>
      <c r="L803" s="1269"/>
      <c r="M803" s="1268"/>
      <c r="N803" s="1268"/>
      <c r="O803" s="1269"/>
      <c r="P803" s="1269"/>
      <c r="Q803" s="1269"/>
      <c r="R803" s="1269"/>
    </row>
    <row r="804" ht="12.75" customHeight="1">
      <c r="A804" s="1268"/>
      <c r="B804" s="1269"/>
      <c r="C804" s="1269"/>
      <c r="D804" s="1269"/>
      <c r="E804" s="1269"/>
      <c r="F804" s="1268"/>
      <c r="G804" s="1268"/>
      <c r="H804" s="1268"/>
      <c r="I804" s="1269"/>
      <c r="J804" s="1268"/>
      <c r="K804" s="1268"/>
      <c r="L804" s="1269"/>
      <c r="M804" s="1268"/>
      <c r="N804" s="1268"/>
      <c r="O804" s="1269"/>
      <c r="P804" s="1269"/>
      <c r="Q804" s="1269"/>
      <c r="R804" s="1269"/>
    </row>
    <row r="805" ht="12.75" customHeight="1">
      <c r="A805" s="1268"/>
      <c r="B805" s="1269"/>
      <c r="C805" s="1269"/>
      <c r="D805" s="1269"/>
      <c r="E805" s="1269"/>
      <c r="F805" s="1268"/>
      <c r="G805" s="1268"/>
      <c r="H805" s="1268"/>
      <c r="I805" s="1269"/>
      <c r="J805" s="1268"/>
      <c r="K805" s="1268"/>
      <c r="L805" s="1269"/>
      <c r="M805" s="1268"/>
      <c r="N805" s="1268"/>
      <c r="O805" s="1269"/>
      <c r="P805" s="1269"/>
      <c r="Q805" s="1269"/>
      <c r="R805" s="1269"/>
    </row>
    <row r="806" ht="12.75" customHeight="1">
      <c r="A806" s="1268"/>
      <c r="B806" s="1269"/>
      <c r="C806" s="1269"/>
      <c r="D806" s="1269"/>
      <c r="E806" s="1269"/>
      <c r="F806" s="1268"/>
      <c r="G806" s="1268"/>
      <c r="H806" s="1268"/>
      <c r="I806" s="1269"/>
      <c r="J806" s="1268"/>
      <c r="K806" s="1268"/>
      <c r="L806" s="1269"/>
      <c r="M806" s="1268"/>
      <c r="N806" s="1268"/>
      <c r="O806" s="1269"/>
      <c r="P806" s="1269"/>
      <c r="Q806" s="1269"/>
      <c r="R806" s="1269"/>
    </row>
    <row r="807" ht="12.75" customHeight="1">
      <c r="A807" s="1268"/>
      <c r="B807" s="1269"/>
      <c r="C807" s="1269"/>
      <c r="D807" s="1269"/>
      <c r="E807" s="1269"/>
      <c r="F807" s="1268"/>
      <c r="G807" s="1268"/>
      <c r="H807" s="1268"/>
      <c r="I807" s="1269"/>
      <c r="J807" s="1268"/>
      <c r="K807" s="1268"/>
      <c r="L807" s="1269"/>
      <c r="M807" s="1268"/>
      <c r="N807" s="1268"/>
      <c r="O807" s="1269"/>
      <c r="P807" s="1269"/>
      <c r="Q807" s="1269"/>
      <c r="R807" s="1269"/>
    </row>
    <row r="808" ht="12.75" customHeight="1">
      <c r="A808" s="1268"/>
      <c r="B808" s="1269"/>
      <c r="C808" s="1269"/>
      <c r="D808" s="1269"/>
      <c r="E808" s="1269"/>
      <c r="F808" s="1268"/>
      <c r="G808" s="1268"/>
      <c r="H808" s="1268"/>
      <c r="I808" s="1269"/>
      <c r="J808" s="1268"/>
      <c r="K808" s="1268"/>
      <c r="L808" s="1269"/>
      <c r="M808" s="1268"/>
      <c r="N808" s="1268"/>
      <c r="O808" s="1269"/>
      <c r="P808" s="1269"/>
      <c r="Q808" s="1269"/>
      <c r="R808" s="1269"/>
    </row>
    <row r="809" ht="12.75" customHeight="1">
      <c r="A809" s="1268"/>
      <c r="B809" s="1269"/>
      <c r="C809" s="1269"/>
      <c r="D809" s="1269"/>
      <c r="E809" s="1269"/>
      <c r="F809" s="1268"/>
      <c r="G809" s="1268"/>
      <c r="H809" s="1268"/>
      <c r="I809" s="1269"/>
      <c r="J809" s="1268"/>
      <c r="K809" s="1268"/>
      <c r="L809" s="1269"/>
      <c r="M809" s="1268"/>
      <c r="N809" s="1268"/>
      <c r="O809" s="1269"/>
      <c r="P809" s="1269"/>
      <c r="Q809" s="1269"/>
      <c r="R809" s="1269"/>
    </row>
    <row r="810" ht="12.75" customHeight="1">
      <c r="A810" s="1268"/>
      <c r="B810" s="1269"/>
      <c r="C810" s="1269"/>
      <c r="D810" s="1269"/>
      <c r="E810" s="1269"/>
      <c r="F810" s="1268"/>
      <c r="G810" s="1268"/>
      <c r="H810" s="1268"/>
      <c r="I810" s="1269"/>
      <c r="J810" s="1268"/>
      <c r="K810" s="1268"/>
      <c r="L810" s="1269"/>
      <c r="M810" s="1268"/>
      <c r="N810" s="1268"/>
      <c r="O810" s="1269"/>
      <c r="P810" s="1269"/>
      <c r="Q810" s="1269"/>
      <c r="R810" s="1269"/>
    </row>
    <row r="811" ht="12.75" customHeight="1">
      <c r="A811" s="1268"/>
      <c r="B811" s="1269"/>
      <c r="C811" s="1269"/>
      <c r="D811" s="1269"/>
      <c r="E811" s="1269"/>
      <c r="F811" s="1268"/>
      <c r="G811" s="1268"/>
      <c r="H811" s="1268"/>
      <c r="I811" s="1269"/>
      <c r="J811" s="1268"/>
      <c r="K811" s="1268"/>
      <c r="L811" s="1269"/>
      <c r="M811" s="1268"/>
      <c r="N811" s="1268"/>
      <c r="O811" s="1269"/>
      <c r="P811" s="1269"/>
      <c r="Q811" s="1269"/>
      <c r="R811" s="1269"/>
    </row>
    <row r="812" ht="12.75" customHeight="1">
      <c r="A812" s="1268"/>
      <c r="B812" s="1269"/>
      <c r="C812" s="1269"/>
      <c r="D812" s="1269"/>
      <c r="E812" s="1269"/>
      <c r="F812" s="1268"/>
      <c r="G812" s="1268"/>
      <c r="H812" s="1268"/>
      <c r="I812" s="1269"/>
      <c r="J812" s="1268"/>
      <c r="K812" s="1268"/>
      <c r="L812" s="1269"/>
      <c r="M812" s="1268"/>
      <c r="N812" s="1268"/>
      <c r="O812" s="1269"/>
      <c r="P812" s="1269"/>
      <c r="Q812" s="1269"/>
      <c r="R812" s="1269"/>
    </row>
    <row r="813" ht="12.75" customHeight="1">
      <c r="A813" s="1268"/>
      <c r="B813" s="1269"/>
      <c r="C813" s="1269"/>
      <c r="D813" s="1269"/>
      <c r="E813" s="1269"/>
      <c r="F813" s="1268"/>
      <c r="G813" s="1268"/>
      <c r="H813" s="1268"/>
      <c r="I813" s="1269"/>
      <c r="J813" s="1268"/>
      <c r="K813" s="1268"/>
      <c r="L813" s="1269"/>
      <c r="M813" s="1268"/>
      <c r="N813" s="1268"/>
      <c r="O813" s="1269"/>
      <c r="P813" s="1269"/>
      <c r="Q813" s="1269"/>
      <c r="R813" s="1269"/>
    </row>
    <row r="814" ht="12.75" customHeight="1">
      <c r="A814" s="1268"/>
      <c r="B814" s="1269"/>
      <c r="C814" s="1269"/>
      <c r="D814" s="1269"/>
      <c r="E814" s="1269"/>
      <c r="F814" s="1268"/>
      <c r="G814" s="1268"/>
      <c r="H814" s="1268"/>
      <c r="I814" s="1269"/>
      <c r="J814" s="1268"/>
      <c r="K814" s="1268"/>
      <c r="L814" s="1269"/>
      <c r="M814" s="1268"/>
      <c r="N814" s="1268"/>
      <c r="O814" s="1269"/>
      <c r="P814" s="1269"/>
      <c r="Q814" s="1269"/>
      <c r="R814" s="1269"/>
    </row>
    <row r="815" ht="12.75" customHeight="1">
      <c r="A815" s="1268"/>
      <c r="B815" s="1269"/>
      <c r="C815" s="1269"/>
      <c r="D815" s="1269"/>
      <c r="E815" s="1269"/>
      <c r="F815" s="1268"/>
      <c r="G815" s="1268"/>
      <c r="H815" s="1268"/>
      <c r="I815" s="1269"/>
      <c r="J815" s="1268"/>
      <c r="K815" s="1268"/>
      <c r="L815" s="1269"/>
      <c r="M815" s="1268"/>
      <c r="N815" s="1268"/>
      <c r="O815" s="1269"/>
      <c r="P815" s="1269"/>
      <c r="Q815" s="1269"/>
      <c r="R815" s="1269"/>
    </row>
    <row r="816" ht="12.75" customHeight="1">
      <c r="A816" s="1268"/>
      <c r="B816" s="1269"/>
      <c r="C816" s="1269"/>
      <c r="D816" s="1269"/>
      <c r="E816" s="1269"/>
      <c r="F816" s="1268"/>
      <c r="G816" s="1268"/>
      <c r="H816" s="1268"/>
      <c r="I816" s="1269"/>
      <c r="J816" s="1268"/>
      <c r="K816" s="1268"/>
      <c r="L816" s="1269"/>
      <c r="M816" s="1268"/>
      <c r="N816" s="1268"/>
      <c r="O816" s="1269"/>
      <c r="P816" s="1269"/>
      <c r="Q816" s="1269"/>
      <c r="R816" s="1269"/>
    </row>
    <row r="817" ht="12.75" customHeight="1">
      <c r="A817" s="1268"/>
      <c r="B817" s="1269"/>
      <c r="C817" s="1269"/>
      <c r="D817" s="1269"/>
      <c r="E817" s="1269"/>
      <c r="F817" s="1268"/>
      <c r="G817" s="1268"/>
      <c r="H817" s="1268"/>
      <c r="I817" s="1269"/>
      <c r="J817" s="1268"/>
      <c r="K817" s="1268"/>
      <c r="L817" s="1269"/>
      <c r="M817" s="1268"/>
      <c r="N817" s="1268"/>
      <c r="O817" s="1269"/>
      <c r="P817" s="1269"/>
      <c r="Q817" s="1269"/>
      <c r="R817" s="1269"/>
    </row>
    <row r="818" ht="12.75" customHeight="1">
      <c r="A818" s="1268"/>
      <c r="B818" s="1269"/>
      <c r="C818" s="1269"/>
      <c r="D818" s="1269"/>
      <c r="E818" s="1269"/>
      <c r="F818" s="1268"/>
      <c r="G818" s="1268"/>
      <c r="H818" s="1268"/>
      <c r="I818" s="1269"/>
      <c r="J818" s="1268"/>
      <c r="K818" s="1268"/>
      <c r="L818" s="1269"/>
      <c r="M818" s="1268"/>
      <c r="N818" s="1268"/>
      <c r="O818" s="1269"/>
      <c r="P818" s="1269"/>
      <c r="Q818" s="1269"/>
      <c r="R818" s="1269"/>
    </row>
    <row r="819" ht="12.75" customHeight="1">
      <c r="A819" s="1268"/>
      <c r="B819" s="1269"/>
      <c r="C819" s="1269"/>
      <c r="D819" s="1269"/>
      <c r="E819" s="1269"/>
      <c r="F819" s="1268"/>
      <c r="G819" s="1268"/>
      <c r="H819" s="1268"/>
      <c r="I819" s="1269"/>
      <c r="J819" s="1268"/>
      <c r="K819" s="1268"/>
      <c r="L819" s="1269"/>
      <c r="M819" s="1268"/>
      <c r="N819" s="1268"/>
      <c r="O819" s="1269"/>
      <c r="P819" s="1269"/>
      <c r="Q819" s="1269"/>
      <c r="R819" s="1269"/>
    </row>
    <row r="820" ht="12.75" customHeight="1">
      <c r="A820" s="1268"/>
      <c r="B820" s="1269"/>
      <c r="C820" s="1269"/>
      <c r="D820" s="1269"/>
      <c r="E820" s="1269"/>
      <c r="F820" s="1268"/>
      <c r="G820" s="1268"/>
      <c r="H820" s="1268"/>
      <c r="I820" s="1269"/>
      <c r="J820" s="1268"/>
      <c r="K820" s="1268"/>
      <c r="L820" s="1269"/>
      <c r="M820" s="1268"/>
      <c r="N820" s="1268"/>
      <c r="O820" s="1269"/>
      <c r="P820" s="1269"/>
      <c r="Q820" s="1269"/>
      <c r="R820" s="1269"/>
    </row>
    <row r="821" ht="12.75" customHeight="1">
      <c r="A821" s="1268"/>
      <c r="B821" s="1269"/>
      <c r="C821" s="1269"/>
      <c r="D821" s="1269"/>
      <c r="E821" s="1269"/>
      <c r="F821" s="1268"/>
      <c r="G821" s="1268"/>
      <c r="H821" s="1268"/>
      <c r="I821" s="1269"/>
      <c r="J821" s="1268"/>
      <c r="K821" s="1268"/>
      <c r="L821" s="1269"/>
      <c r="M821" s="1268"/>
      <c r="N821" s="1268"/>
      <c r="O821" s="1269"/>
      <c r="P821" s="1269"/>
      <c r="Q821" s="1269"/>
      <c r="R821" s="1269"/>
    </row>
    <row r="822" ht="12.75" customHeight="1">
      <c r="A822" s="1268"/>
      <c r="B822" s="1269"/>
      <c r="C822" s="1269"/>
      <c r="D822" s="1269"/>
      <c r="E822" s="1269"/>
      <c r="F822" s="1268"/>
      <c r="G822" s="1268"/>
      <c r="H822" s="1268"/>
      <c r="I822" s="1269"/>
      <c r="J822" s="1268"/>
      <c r="K822" s="1268"/>
      <c r="L822" s="1269"/>
      <c r="M822" s="1268"/>
      <c r="N822" s="1268"/>
      <c r="O822" s="1269"/>
      <c r="P822" s="1269"/>
      <c r="Q822" s="1269"/>
      <c r="R822" s="1269"/>
    </row>
    <row r="823" ht="12.75" customHeight="1">
      <c r="A823" s="1268"/>
      <c r="B823" s="1269"/>
      <c r="C823" s="1269"/>
      <c r="D823" s="1269"/>
      <c r="E823" s="1269"/>
      <c r="F823" s="1268"/>
      <c r="G823" s="1268"/>
      <c r="H823" s="1268"/>
      <c r="I823" s="1269"/>
      <c r="J823" s="1268"/>
      <c r="K823" s="1268"/>
      <c r="L823" s="1269"/>
      <c r="M823" s="1268"/>
      <c r="N823" s="1268"/>
      <c r="O823" s="1269"/>
      <c r="P823" s="1269"/>
      <c r="Q823" s="1269"/>
      <c r="R823" s="1269"/>
    </row>
    <row r="824" ht="12.75" customHeight="1">
      <c r="A824" s="1268"/>
      <c r="B824" s="1269"/>
      <c r="C824" s="1269"/>
      <c r="D824" s="1269"/>
      <c r="E824" s="1269"/>
      <c r="F824" s="1268"/>
      <c r="G824" s="1268"/>
      <c r="H824" s="1268"/>
      <c r="I824" s="1269"/>
      <c r="J824" s="1268"/>
      <c r="K824" s="1268"/>
      <c r="L824" s="1269"/>
      <c r="M824" s="1268"/>
      <c r="N824" s="1268"/>
      <c r="O824" s="1269"/>
      <c r="P824" s="1269"/>
      <c r="Q824" s="1269"/>
      <c r="R824" s="1269"/>
    </row>
    <row r="825" ht="12.75" customHeight="1">
      <c r="A825" s="1268"/>
      <c r="B825" s="1269"/>
      <c r="C825" s="1269"/>
      <c r="D825" s="1269"/>
      <c r="E825" s="1269"/>
      <c r="F825" s="1268"/>
      <c r="G825" s="1268"/>
      <c r="H825" s="1268"/>
      <c r="I825" s="1269"/>
      <c r="J825" s="1268"/>
      <c r="K825" s="1268"/>
      <c r="L825" s="1269"/>
      <c r="M825" s="1268"/>
      <c r="N825" s="1268"/>
      <c r="O825" s="1269"/>
      <c r="P825" s="1269"/>
      <c r="Q825" s="1269"/>
      <c r="R825" s="1269"/>
    </row>
    <row r="826" ht="12.75" customHeight="1">
      <c r="A826" s="1268"/>
      <c r="B826" s="1269"/>
      <c r="C826" s="1269"/>
      <c r="D826" s="1269"/>
      <c r="E826" s="1269"/>
      <c r="F826" s="1268"/>
      <c r="G826" s="1268"/>
      <c r="H826" s="1268"/>
      <c r="I826" s="1269"/>
      <c r="J826" s="1268"/>
      <c r="K826" s="1268"/>
      <c r="L826" s="1269"/>
      <c r="M826" s="1268"/>
      <c r="N826" s="1268"/>
      <c r="O826" s="1269"/>
      <c r="P826" s="1269"/>
      <c r="Q826" s="1269"/>
      <c r="R826" s="1269"/>
    </row>
    <row r="827" ht="12.75" customHeight="1">
      <c r="A827" s="1268"/>
      <c r="B827" s="1269"/>
      <c r="C827" s="1269"/>
      <c r="D827" s="1269"/>
      <c r="E827" s="1269"/>
      <c r="F827" s="1268"/>
      <c r="G827" s="1268"/>
      <c r="H827" s="1268"/>
      <c r="I827" s="1269"/>
      <c r="J827" s="1268"/>
      <c r="K827" s="1268"/>
      <c r="L827" s="1269"/>
      <c r="M827" s="1268"/>
      <c r="N827" s="1268"/>
      <c r="O827" s="1269"/>
      <c r="P827" s="1269"/>
      <c r="Q827" s="1269"/>
      <c r="R827" s="1269"/>
    </row>
    <row r="828" ht="12.75" customHeight="1">
      <c r="A828" s="1268"/>
      <c r="B828" s="1269"/>
      <c r="C828" s="1269"/>
      <c r="D828" s="1269"/>
      <c r="E828" s="1269"/>
      <c r="F828" s="1268"/>
      <c r="G828" s="1268"/>
      <c r="H828" s="1268"/>
      <c r="I828" s="1269"/>
      <c r="J828" s="1268"/>
      <c r="K828" s="1268"/>
      <c r="L828" s="1269"/>
      <c r="M828" s="1268"/>
      <c r="N828" s="1268"/>
      <c r="O828" s="1269"/>
      <c r="P828" s="1269"/>
      <c r="Q828" s="1269"/>
      <c r="R828" s="1269"/>
    </row>
    <row r="829" ht="12.75" customHeight="1">
      <c r="A829" s="1268"/>
      <c r="B829" s="1269"/>
      <c r="C829" s="1269"/>
      <c r="D829" s="1269"/>
      <c r="E829" s="1269"/>
      <c r="F829" s="1268"/>
      <c r="G829" s="1268"/>
      <c r="H829" s="1268"/>
      <c r="I829" s="1269"/>
      <c r="J829" s="1268"/>
      <c r="K829" s="1268"/>
      <c r="L829" s="1269"/>
      <c r="M829" s="1268"/>
      <c r="N829" s="1268"/>
      <c r="O829" s="1269"/>
      <c r="P829" s="1269"/>
      <c r="Q829" s="1269"/>
      <c r="R829" s="1269"/>
    </row>
    <row r="830" ht="12.75" customHeight="1">
      <c r="A830" s="1268"/>
      <c r="B830" s="1269"/>
      <c r="C830" s="1269"/>
      <c r="D830" s="1269"/>
      <c r="E830" s="1269"/>
      <c r="F830" s="1268"/>
      <c r="G830" s="1268"/>
      <c r="H830" s="1268"/>
      <c r="I830" s="1269"/>
      <c r="J830" s="1268"/>
      <c r="K830" s="1268"/>
      <c r="L830" s="1269"/>
      <c r="M830" s="1268"/>
      <c r="N830" s="1268"/>
      <c r="O830" s="1269"/>
      <c r="P830" s="1269"/>
      <c r="Q830" s="1269"/>
      <c r="R830" s="1269"/>
    </row>
    <row r="831" ht="12.75" customHeight="1">
      <c r="A831" s="1268"/>
      <c r="B831" s="1269"/>
      <c r="C831" s="1269"/>
      <c r="D831" s="1269"/>
      <c r="E831" s="1269"/>
      <c r="F831" s="1268"/>
      <c r="G831" s="1268"/>
      <c r="H831" s="1268"/>
      <c r="I831" s="1269"/>
      <c r="J831" s="1268"/>
      <c r="K831" s="1268"/>
      <c r="L831" s="1269"/>
      <c r="M831" s="1268"/>
      <c r="N831" s="1268"/>
      <c r="O831" s="1269"/>
      <c r="P831" s="1269"/>
      <c r="Q831" s="1269"/>
      <c r="R831" s="1269"/>
    </row>
    <row r="832" ht="12.75" customHeight="1">
      <c r="A832" s="1268"/>
      <c r="B832" s="1269"/>
      <c r="C832" s="1269"/>
      <c r="D832" s="1269"/>
      <c r="E832" s="1269"/>
      <c r="F832" s="1268"/>
      <c r="G832" s="1268"/>
      <c r="H832" s="1268"/>
      <c r="I832" s="1269"/>
      <c r="J832" s="1268"/>
      <c r="K832" s="1268"/>
      <c r="L832" s="1269"/>
      <c r="M832" s="1268"/>
      <c r="N832" s="1268"/>
      <c r="O832" s="1269"/>
      <c r="P832" s="1269"/>
      <c r="Q832" s="1269"/>
      <c r="R832" s="1269"/>
    </row>
    <row r="833" ht="12.75" customHeight="1">
      <c r="A833" s="1268"/>
      <c r="B833" s="1269"/>
      <c r="C833" s="1269"/>
      <c r="D833" s="1269"/>
      <c r="E833" s="1269"/>
      <c r="F833" s="1268"/>
      <c r="G833" s="1268"/>
      <c r="H833" s="1268"/>
      <c r="I833" s="1269"/>
      <c r="J833" s="1268"/>
      <c r="K833" s="1268"/>
      <c r="L833" s="1269"/>
      <c r="M833" s="1268"/>
      <c r="N833" s="1268"/>
      <c r="O833" s="1269"/>
      <c r="P833" s="1269"/>
      <c r="Q833" s="1269"/>
      <c r="R833" s="1269"/>
    </row>
    <row r="834" ht="12.75" customHeight="1">
      <c r="A834" s="1268"/>
      <c r="B834" s="1269"/>
      <c r="C834" s="1269"/>
      <c r="D834" s="1269"/>
      <c r="E834" s="1269"/>
      <c r="F834" s="1268"/>
      <c r="G834" s="1268"/>
      <c r="H834" s="1268"/>
      <c r="I834" s="1269"/>
      <c r="J834" s="1268"/>
      <c r="K834" s="1268"/>
      <c r="L834" s="1269"/>
      <c r="M834" s="1268"/>
      <c r="N834" s="1268"/>
      <c r="O834" s="1269"/>
      <c r="P834" s="1269"/>
      <c r="Q834" s="1269"/>
      <c r="R834" s="1269"/>
    </row>
    <row r="835" ht="12.75" customHeight="1">
      <c r="A835" s="1268"/>
      <c r="B835" s="1269"/>
      <c r="C835" s="1269"/>
      <c r="D835" s="1269"/>
      <c r="E835" s="1269"/>
      <c r="F835" s="1268"/>
      <c r="G835" s="1268"/>
      <c r="H835" s="1268"/>
      <c r="I835" s="1269"/>
      <c r="J835" s="1268"/>
      <c r="K835" s="1268"/>
      <c r="L835" s="1269"/>
      <c r="M835" s="1268"/>
      <c r="N835" s="1268"/>
      <c r="O835" s="1269"/>
      <c r="P835" s="1269"/>
      <c r="Q835" s="1269"/>
      <c r="R835" s="1269"/>
    </row>
    <row r="836" ht="12.75" customHeight="1">
      <c r="A836" s="1268"/>
      <c r="B836" s="1269"/>
      <c r="C836" s="1269"/>
      <c r="D836" s="1269"/>
      <c r="E836" s="1269"/>
      <c r="F836" s="1268"/>
      <c r="G836" s="1268"/>
      <c r="H836" s="1268"/>
      <c r="I836" s="1269"/>
      <c r="J836" s="1268"/>
      <c r="K836" s="1268"/>
      <c r="L836" s="1269"/>
      <c r="M836" s="1268"/>
      <c r="N836" s="1268"/>
      <c r="O836" s="1269"/>
      <c r="P836" s="1269"/>
      <c r="Q836" s="1269"/>
      <c r="R836" s="1269"/>
    </row>
    <row r="837" ht="12.75" customHeight="1">
      <c r="A837" s="1268"/>
      <c r="B837" s="1269"/>
      <c r="C837" s="1269"/>
      <c r="D837" s="1269"/>
      <c r="E837" s="1269"/>
      <c r="F837" s="1268"/>
      <c r="G837" s="1268"/>
      <c r="H837" s="1268"/>
      <c r="I837" s="1269"/>
      <c r="J837" s="1268"/>
      <c r="K837" s="1268"/>
      <c r="L837" s="1269"/>
      <c r="M837" s="1268"/>
      <c r="N837" s="1268"/>
      <c r="O837" s="1269"/>
      <c r="P837" s="1269"/>
      <c r="Q837" s="1269"/>
      <c r="R837" s="1269"/>
    </row>
    <row r="838" ht="12.75" customHeight="1">
      <c r="A838" s="1268"/>
      <c r="B838" s="1269"/>
      <c r="C838" s="1269"/>
      <c r="D838" s="1269"/>
      <c r="E838" s="1269"/>
      <c r="F838" s="1268"/>
      <c r="G838" s="1268"/>
      <c r="H838" s="1268"/>
      <c r="I838" s="1269"/>
      <c r="J838" s="1268"/>
      <c r="K838" s="1268"/>
      <c r="L838" s="1269"/>
      <c r="M838" s="1268"/>
      <c r="N838" s="1268"/>
      <c r="O838" s="1269"/>
      <c r="P838" s="1269"/>
      <c r="Q838" s="1269"/>
      <c r="R838" s="1269"/>
    </row>
    <row r="839" ht="12.75" customHeight="1">
      <c r="A839" s="1268"/>
      <c r="B839" s="1269"/>
      <c r="C839" s="1269"/>
      <c r="D839" s="1269"/>
      <c r="E839" s="1269"/>
      <c r="F839" s="1268"/>
      <c r="G839" s="1268"/>
      <c r="H839" s="1268"/>
      <c r="I839" s="1269"/>
      <c r="J839" s="1268"/>
      <c r="K839" s="1268"/>
      <c r="L839" s="1269"/>
      <c r="M839" s="1268"/>
      <c r="N839" s="1268"/>
      <c r="O839" s="1269"/>
      <c r="P839" s="1269"/>
      <c r="Q839" s="1269"/>
      <c r="R839" s="1269"/>
    </row>
    <row r="840" ht="12.75" customHeight="1">
      <c r="A840" s="1268"/>
      <c r="B840" s="1269"/>
      <c r="C840" s="1269"/>
      <c r="D840" s="1269"/>
      <c r="E840" s="1269"/>
      <c r="F840" s="1268"/>
      <c r="G840" s="1268"/>
      <c r="H840" s="1268"/>
      <c r="I840" s="1269"/>
      <c r="J840" s="1268"/>
      <c r="K840" s="1268"/>
      <c r="L840" s="1269"/>
      <c r="M840" s="1268"/>
      <c r="N840" s="1268"/>
      <c r="O840" s="1269"/>
      <c r="P840" s="1269"/>
      <c r="Q840" s="1269"/>
      <c r="R840" s="1269"/>
    </row>
    <row r="841" ht="12.75" customHeight="1">
      <c r="A841" s="1268"/>
      <c r="B841" s="1269"/>
      <c r="C841" s="1269"/>
      <c r="D841" s="1269"/>
      <c r="E841" s="1269"/>
      <c r="F841" s="1268"/>
      <c r="G841" s="1268"/>
      <c r="H841" s="1268"/>
      <c r="I841" s="1269"/>
      <c r="J841" s="1268"/>
      <c r="K841" s="1268"/>
      <c r="L841" s="1269"/>
      <c r="M841" s="1268"/>
      <c r="N841" s="1268"/>
      <c r="O841" s="1269"/>
      <c r="P841" s="1269"/>
      <c r="Q841" s="1269"/>
      <c r="R841" s="1269"/>
    </row>
    <row r="842" ht="12.75" customHeight="1">
      <c r="A842" s="1268"/>
      <c r="B842" s="1269"/>
      <c r="C842" s="1269"/>
      <c r="D842" s="1269"/>
      <c r="E842" s="1269"/>
      <c r="F842" s="1268"/>
      <c r="G842" s="1268"/>
      <c r="H842" s="1268"/>
      <c r="I842" s="1269"/>
      <c r="J842" s="1268"/>
      <c r="K842" s="1268"/>
      <c r="L842" s="1269"/>
      <c r="M842" s="1268"/>
      <c r="N842" s="1268"/>
      <c r="O842" s="1269"/>
      <c r="P842" s="1269"/>
      <c r="Q842" s="1269"/>
      <c r="R842" s="1269"/>
    </row>
    <row r="843" ht="12.75" customHeight="1">
      <c r="A843" s="1268"/>
      <c r="B843" s="1269"/>
      <c r="C843" s="1269"/>
      <c r="D843" s="1269"/>
      <c r="E843" s="1269"/>
      <c r="F843" s="1268"/>
      <c r="G843" s="1268"/>
      <c r="H843" s="1268"/>
      <c r="I843" s="1269"/>
      <c r="J843" s="1268"/>
      <c r="K843" s="1268"/>
      <c r="L843" s="1269"/>
      <c r="M843" s="1268"/>
      <c r="N843" s="1268"/>
      <c r="O843" s="1269"/>
      <c r="P843" s="1269"/>
      <c r="Q843" s="1269"/>
      <c r="R843" s="1269"/>
    </row>
    <row r="844" ht="12.75" customHeight="1">
      <c r="A844" s="1268"/>
      <c r="B844" s="1269"/>
      <c r="C844" s="1269"/>
      <c r="D844" s="1269"/>
      <c r="E844" s="1269"/>
      <c r="F844" s="1268"/>
      <c r="G844" s="1268"/>
      <c r="H844" s="1268"/>
      <c r="I844" s="1269"/>
      <c r="J844" s="1268"/>
      <c r="K844" s="1268"/>
      <c r="L844" s="1269"/>
      <c r="M844" s="1268"/>
      <c r="N844" s="1268"/>
      <c r="O844" s="1269"/>
      <c r="P844" s="1269"/>
      <c r="Q844" s="1269"/>
      <c r="R844" s="1269"/>
    </row>
    <row r="845" ht="12.75" customHeight="1">
      <c r="A845" s="1268"/>
      <c r="B845" s="1269"/>
      <c r="C845" s="1269"/>
      <c r="D845" s="1269"/>
      <c r="E845" s="1269"/>
      <c r="F845" s="1268"/>
      <c r="G845" s="1268"/>
      <c r="H845" s="1268"/>
      <c r="I845" s="1269"/>
      <c r="J845" s="1268"/>
      <c r="K845" s="1268"/>
      <c r="L845" s="1269"/>
      <c r="M845" s="1268"/>
      <c r="N845" s="1268"/>
      <c r="O845" s="1269"/>
      <c r="P845" s="1269"/>
      <c r="Q845" s="1269"/>
      <c r="R845" s="1269"/>
    </row>
    <row r="846" ht="12.75" customHeight="1">
      <c r="A846" s="1268"/>
      <c r="B846" s="1269"/>
      <c r="C846" s="1269"/>
      <c r="D846" s="1269"/>
      <c r="E846" s="1269"/>
      <c r="F846" s="1268"/>
      <c r="G846" s="1268"/>
      <c r="H846" s="1268"/>
      <c r="I846" s="1269"/>
      <c r="J846" s="1268"/>
      <c r="K846" s="1268"/>
      <c r="L846" s="1269"/>
      <c r="M846" s="1268"/>
      <c r="N846" s="1268"/>
      <c r="O846" s="1269"/>
      <c r="P846" s="1269"/>
      <c r="Q846" s="1269"/>
      <c r="R846" s="1269"/>
    </row>
    <row r="847" ht="12.75" customHeight="1">
      <c r="A847" s="1268"/>
      <c r="B847" s="1269"/>
      <c r="C847" s="1269"/>
      <c r="D847" s="1269"/>
      <c r="E847" s="1269"/>
      <c r="F847" s="1268"/>
      <c r="G847" s="1268"/>
      <c r="H847" s="1268"/>
      <c r="I847" s="1269"/>
      <c r="J847" s="1268"/>
      <c r="K847" s="1268"/>
      <c r="L847" s="1269"/>
      <c r="M847" s="1268"/>
      <c r="N847" s="1268"/>
      <c r="O847" s="1269"/>
      <c r="P847" s="1269"/>
      <c r="Q847" s="1269"/>
      <c r="R847" s="1269"/>
    </row>
    <row r="848" ht="12.75" customHeight="1">
      <c r="A848" s="1268"/>
      <c r="B848" s="1269"/>
      <c r="C848" s="1269"/>
      <c r="D848" s="1269"/>
      <c r="E848" s="1269"/>
      <c r="F848" s="1268"/>
      <c r="G848" s="1268"/>
      <c r="H848" s="1268"/>
      <c r="I848" s="1269"/>
      <c r="J848" s="1268"/>
      <c r="K848" s="1268"/>
      <c r="L848" s="1269"/>
      <c r="M848" s="1268"/>
      <c r="N848" s="1268"/>
      <c r="O848" s="1269"/>
      <c r="P848" s="1269"/>
      <c r="Q848" s="1269"/>
      <c r="R848" s="1269"/>
    </row>
    <row r="849" ht="12.75" customHeight="1">
      <c r="A849" s="1268"/>
      <c r="B849" s="1269"/>
      <c r="C849" s="1269"/>
      <c r="D849" s="1269"/>
      <c r="E849" s="1269"/>
      <c r="F849" s="1268"/>
      <c r="G849" s="1268"/>
      <c r="H849" s="1268"/>
      <c r="I849" s="1269"/>
      <c r="J849" s="1268"/>
      <c r="K849" s="1268"/>
      <c r="L849" s="1269"/>
      <c r="M849" s="1268"/>
      <c r="N849" s="1268"/>
      <c r="O849" s="1269"/>
      <c r="P849" s="1269"/>
      <c r="Q849" s="1269"/>
      <c r="R849" s="1269"/>
    </row>
    <row r="850" ht="12.75" customHeight="1">
      <c r="A850" s="1268"/>
      <c r="B850" s="1269"/>
      <c r="C850" s="1269"/>
      <c r="D850" s="1269"/>
      <c r="E850" s="1269"/>
      <c r="F850" s="1268"/>
      <c r="G850" s="1268"/>
      <c r="H850" s="1268"/>
      <c r="I850" s="1269"/>
      <c r="J850" s="1268"/>
      <c r="K850" s="1268"/>
      <c r="L850" s="1269"/>
      <c r="M850" s="1268"/>
      <c r="N850" s="1268"/>
      <c r="O850" s="1269"/>
      <c r="P850" s="1269"/>
      <c r="Q850" s="1269"/>
      <c r="R850" s="1269"/>
    </row>
    <row r="851" ht="12.75" customHeight="1">
      <c r="A851" s="1268"/>
      <c r="B851" s="1269"/>
      <c r="C851" s="1269"/>
      <c r="D851" s="1269"/>
      <c r="E851" s="1269"/>
      <c r="F851" s="1268"/>
      <c r="G851" s="1268"/>
      <c r="H851" s="1268"/>
      <c r="I851" s="1269"/>
      <c r="J851" s="1268"/>
      <c r="K851" s="1268"/>
      <c r="L851" s="1269"/>
      <c r="M851" s="1268"/>
      <c r="N851" s="1268"/>
      <c r="O851" s="1269"/>
      <c r="P851" s="1269"/>
      <c r="Q851" s="1269"/>
      <c r="R851" s="1269"/>
    </row>
    <row r="852" ht="12.75" customHeight="1">
      <c r="A852" s="1268"/>
      <c r="B852" s="1269"/>
      <c r="C852" s="1269"/>
      <c r="D852" s="1269"/>
      <c r="E852" s="1269"/>
      <c r="F852" s="1268"/>
      <c r="G852" s="1268"/>
      <c r="H852" s="1268"/>
      <c r="I852" s="1269"/>
      <c r="J852" s="1268"/>
      <c r="K852" s="1268"/>
      <c r="L852" s="1269"/>
      <c r="M852" s="1268"/>
      <c r="N852" s="1268"/>
      <c r="O852" s="1269"/>
      <c r="P852" s="1269"/>
      <c r="Q852" s="1269"/>
      <c r="R852" s="1269"/>
    </row>
    <row r="853" ht="12.75" customHeight="1">
      <c r="A853" s="1268"/>
      <c r="B853" s="1269"/>
      <c r="C853" s="1269"/>
      <c r="D853" s="1269"/>
      <c r="E853" s="1269"/>
      <c r="F853" s="1268"/>
      <c r="G853" s="1268"/>
      <c r="H853" s="1268"/>
      <c r="I853" s="1269"/>
      <c r="J853" s="1268"/>
      <c r="K853" s="1268"/>
      <c r="L853" s="1269"/>
      <c r="M853" s="1268"/>
      <c r="N853" s="1268"/>
      <c r="O853" s="1269"/>
      <c r="P853" s="1269"/>
      <c r="Q853" s="1269"/>
      <c r="R853" s="1269"/>
    </row>
    <row r="854" ht="12.75" customHeight="1">
      <c r="A854" s="1268"/>
      <c r="B854" s="1269"/>
      <c r="C854" s="1269"/>
      <c r="D854" s="1269"/>
      <c r="E854" s="1269"/>
      <c r="F854" s="1268"/>
      <c r="G854" s="1268"/>
      <c r="H854" s="1268"/>
      <c r="I854" s="1269"/>
      <c r="J854" s="1268"/>
      <c r="K854" s="1268"/>
      <c r="L854" s="1269"/>
      <c r="M854" s="1268"/>
      <c r="N854" s="1268"/>
      <c r="O854" s="1269"/>
      <c r="P854" s="1269"/>
      <c r="Q854" s="1269"/>
      <c r="R854" s="1269"/>
    </row>
    <row r="855" ht="12.75" customHeight="1">
      <c r="A855" s="1268"/>
      <c r="B855" s="1269"/>
      <c r="C855" s="1269"/>
      <c r="D855" s="1269"/>
      <c r="E855" s="1269"/>
      <c r="F855" s="1268"/>
      <c r="G855" s="1268"/>
      <c r="H855" s="1268"/>
      <c r="I855" s="1269"/>
      <c r="J855" s="1268"/>
      <c r="K855" s="1268"/>
      <c r="L855" s="1269"/>
      <c r="M855" s="1268"/>
      <c r="N855" s="1268"/>
      <c r="O855" s="1269"/>
      <c r="P855" s="1269"/>
      <c r="Q855" s="1269"/>
      <c r="R855" s="1269"/>
    </row>
    <row r="856" ht="12.75" customHeight="1">
      <c r="A856" s="1268"/>
      <c r="B856" s="1269"/>
      <c r="C856" s="1269"/>
      <c r="D856" s="1269"/>
      <c r="E856" s="1269"/>
      <c r="F856" s="1268"/>
      <c r="G856" s="1268"/>
      <c r="H856" s="1268"/>
      <c r="I856" s="1269"/>
      <c r="J856" s="1268"/>
      <c r="K856" s="1268"/>
      <c r="L856" s="1269"/>
      <c r="M856" s="1268"/>
      <c r="N856" s="1268"/>
      <c r="O856" s="1269"/>
      <c r="P856" s="1269"/>
      <c r="Q856" s="1269"/>
      <c r="R856" s="1269"/>
    </row>
    <row r="857" ht="12.75" customHeight="1">
      <c r="A857" s="1268"/>
      <c r="B857" s="1269"/>
      <c r="C857" s="1269"/>
      <c r="D857" s="1269"/>
      <c r="E857" s="1269"/>
      <c r="F857" s="1268"/>
      <c r="G857" s="1268"/>
      <c r="H857" s="1268"/>
      <c r="I857" s="1269"/>
      <c r="J857" s="1268"/>
      <c r="K857" s="1268"/>
      <c r="L857" s="1269"/>
      <c r="M857" s="1268"/>
      <c r="N857" s="1268"/>
      <c r="O857" s="1269"/>
      <c r="P857" s="1269"/>
      <c r="Q857" s="1269"/>
      <c r="R857" s="1269"/>
    </row>
    <row r="858" ht="12.75" customHeight="1">
      <c r="A858" s="1268"/>
      <c r="B858" s="1269"/>
      <c r="C858" s="1269"/>
      <c r="D858" s="1269"/>
      <c r="E858" s="1269"/>
      <c r="F858" s="1268"/>
      <c r="G858" s="1268"/>
      <c r="H858" s="1268"/>
      <c r="I858" s="1269"/>
      <c r="J858" s="1268"/>
      <c r="K858" s="1268"/>
      <c r="L858" s="1269"/>
      <c r="M858" s="1268"/>
      <c r="N858" s="1268"/>
      <c r="O858" s="1269"/>
      <c r="P858" s="1269"/>
      <c r="Q858" s="1269"/>
      <c r="R858" s="1269"/>
    </row>
    <row r="859" ht="12.75" customHeight="1">
      <c r="A859" s="1268"/>
      <c r="B859" s="1269"/>
      <c r="C859" s="1269"/>
      <c r="D859" s="1269"/>
      <c r="E859" s="1269"/>
      <c r="F859" s="1268"/>
      <c r="G859" s="1268"/>
      <c r="H859" s="1268"/>
      <c r="I859" s="1269"/>
      <c r="J859" s="1268"/>
      <c r="K859" s="1268"/>
      <c r="L859" s="1269"/>
      <c r="M859" s="1268"/>
      <c r="N859" s="1268"/>
      <c r="O859" s="1269"/>
      <c r="P859" s="1269"/>
      <c r="Q859" s="1269"/>
      <c r="R859" s="1269"/>
    </row>
    <row r="860" ht="12.75" customHeight="1">
      <c r="A860" s="1268"/>
      <c r="B860" s="1269"/>
      <c r="C860" s="1269"/>
      <c r="D860" s="1269"/>
      <c r="E860" s="1269"/>
      <c r="F860" s="1268"/>
      <c r="G860" s="1268"/>
      <c r="H860" s="1268"/>
      <c r="I860" s="1269"/>
      <c r="J860" s="1268"/>
      <c r="K860" s="1268"/>
      <c r="L860" s="1269"/>
      <c r="M860" s="1268"/>
      <c r="N860" s="1268"/>
      <c r="O860" s="1269"/>
      <c r="P860" s="1269"/>
      <c r="Q860" s="1269"/>
      <c r="R860" s="1269"/>
    </row>
    <row r="861" ht="12.75" customHeight="1">
      <c r="A861" s="1268"/>
      <c r="B861" s="1269"/>
      <c r="C861" s="1269"/>
      <c r="D861" s="1269"/>
      <c r="E861" s="1269"/>
      <c r="F861" s="1268"/>
      <c r="G861" s="1268"/>
      <c r="H861" s="1268"/>
      <c r="I861" s="1269"/>
      <c r="J861" s="1268"/>
      <c r="K861" s="1268"/>
      <c r="L861" s="1269"/>
      <c r="M861" s="1268"/>
      <c r="N861" s="1268"/>
      <c r="O861" s="1269"/>
      <c r="P861" s="1269"/>
      <c r="Q861" s="1269"/>
      <c r="R861" s="1269"/>
    </row>
    <row r="862" ht="12.75" customHeight="1">
      <c r="A862" s="1268"/>
      <c r="B862" s="1269"/>
      <c r="C862" s="1269"/>
      <c r="D862" s="1269"/>
      <c r="E862" s="1269"/>
      <c r="F862" s="1268"/>
      <c r="G862" s="1268"/>
      <c r="H862" s="1268"/>
      <c r="I862" s="1269"/>
      <c r="J862" s="1268"/>
      <c r="K862" s="1268"/>
      <c r="L862" s="1269"/>
      <c r="M862" s="1268"/>
      <c r="N862" s="1268"/>
      <c r="O862" s="1269"/>
      <c r="P862" s="1269"/>
      <c r="Q862" s="1269"/>
      <c r="R862" s="1269"/>
    </row>
    <row r="863" ht="12.75" customHeight="1">
      <c r="A863" s="1268"/>
      <c r="B863" s="1269"/>
      <c r="C863" s="1269"/>
      <c r="D863" s="1269"/>
      <c r="E863" s="1269"/>
      <c r="F863" s="1268"/>
      <c r="G863" s="1268"/>
      <c r="H863" s="1268"/>
      <c r="I863" s="1269"/>
      <c r="J863" s="1268"/>
      <c r="K863" s="1268"/>
      <c r="L863" s="1269"/>
      <c r="M863" s="1268"/>
      <c r="N863" s="1268"/>
      <c r="O863" s="1269"/>
      <c r="P863" s="1269"/>
      <c r="Q863" s="1269"/>
      <c r="R863" s="1269"/>
    </row>
    <row r="864" ht="12.75" customHeight="1">
      <c r="A864" s="1268"/>
      <c r="B864" s="1269"/>
      <c r="C864" s="1269"/>
      <c r="D864" s="1269"/>
      <c r="E864" s="1269"/>
      <c r="F864" s="1268"/>
      <c r="G864" s="1268"/>
      <c r="H864" s="1268"/>
      <c r="I864" s="1269"/>
      <c r="J864" s="1268"/>
      <c r="K864" s="1268"/>
      <c r="L864" s="1269"/>
      <c r="M864" s="1268"/>
      <c r="N864" s="1268"/>
      <c r="O864" s="1269"/>
      <c r="P864" s="1269"/>
      <c r="Q864" s="1269"/>
      <c r="R864" s="1269"/>
    </row>
    <row r="865" ht="12.75" customHeight="1">
      <c r="A865" s="1268"/>
      <c r="B865" s="1269"/>
      <c r="C865" s="1269"/>
      <c r="D865" s="1269"/>
      <c r="E865" s="1269"/>
      <c r="F865" s="1268"/>
      <c r="G865" s="1268"/>
      <c r="H865" s="1268"/>
      <c r="I865" s="1269"/>
      <c r="J865" s="1268"/>
      <c r="K865" s="1268"/>
      <c r="L865" s="1269"/>
      <c r="M865" s="1268"/>
      <c r="N865" s="1268"/>
      <c r="O865" s="1269"/>
      <c r="P865" s="1269"/>
      <c r="Q865" s="1269"/>
      <c r="R865" s="1269"/>
    </row>
    <row r="866" ht="12.75" customHeight="1">
      <c r="A866" s="1268"/>
      <c r="B866" s="1269"/>
      <c r="C866" s="1269"/>
      <c r="D866" s="1269"/>
      <c r="E866" s="1269"/>
      <c r="F866" s="1268"/>
      <c r="G866" s="1268"/>
      <c r="H866" s="1268"/>
      <c r="I866" s="1269"/>
      <c r="J866" s="1268"/>
      <c r="K866" s="1268"/>
      <c r="L866" s="1269"/>
      <c r="M866" s="1268"/>
      <c r="N866" s="1268"/>
      <c r="O866" s="1269"/>
      <c r="P866" s="1269"/>
      <c r="Q866" s="1269"/>
      <c r="R866" s="1269"/>
    </row>
    <row r="867" ht="12.75" customHeight="1">
      <c r="A867" s="1268"/>
      <c r="B867" s="1269"/>
      <c r="C867" s="1269"/>
      <c r="D867" s="1269"/>
      <c r="E867" s="1269"/>
      <c r="F867" s="1268"/>
      <c r="G867" s="1268"/>
      <c r="H867" s="1268"/>
      <c r="I867" s="1269"/>
      <c r="J867" s="1268"/>
      <c r="K867" s="1268"/>
      <c r="L867" s="1269"/>
      <c r="M867" s="1268"/>
      <c r="N867" s="1268"/>
      <c r="O867" s="1269"/>
      <c r="P867" s="1269"/>
      <c r="Q867" s="1269"/>
      <c r="R867" s="1269"/>
    </row>
    <row r="868" ht="12.75" customHeight="1">
      <c r="A868" s="1268"/>
      <c r="B868" s="1269"/>
      <c r="C868" s="1269"/>
      <c r="D868" s="1269"/>
      <c r="E868" s="1269"/>
      <c r="F868" s="1268"/>
      <c r="G868" s="1268"/>
      <c r="H868" s="1268"/>
      <c r="I868" s="1269"/>
      <c r="J868" s="1268"/>
      <c r="K868" s="1268"/>
      <c r="L868" s="1269"/>
      <c r="M868" s="1268"/>
      <c r="N868" s="1268"/>
      <c r="O868" s="1269"/>
      <c r="P868" s="1269"/>
      <c r="Q868" s="1269"/>
      <c r="R868" s="1269"/>
    </row>
    <row r="869" ht="12.75" customHeight="1">
      <c r="A869" s="1268"/>
      <c r="B869" s="1269"/>
      <c r="C869" s="1269"/>
      <c r="D869" s="1269"/>
      <c r="E869" s="1269"/>
      <c r="F869" s="1268"/>
      <c r="G869" s="1268"/>
      <c r="H869" s="1268"/>
      <c r="I869" s="1269"/>
      <c r="J869" s="1268"/>
      <c r="K869" s="1268"/>
      <c r="L869" s="1269"/>
      <c r="M869" s="1268"/>
      <c r="N869" s="1268"/>
      <c r="O869" s="1269"/>
      <c r="P869" s="1269"/>
      <c r="Q869" s="1269"/>
      <c r="R869" s="1269"/>
    </row>
    <row r="870" ht="12.75" customHeight="1">
      <c r="A870" s="1268"/>
      <c r="B870" s="1269"/>
      <c r="C870" s="1269"/>
      <c r="D870" s="1269"/>
      <c r="E870" s="1269"/>
      <c r="F870" s="1268"/>
      <c r="G870" s="1268"/>
      <c r="H870" s="1268"/>
      <c r="I870" s="1269"/>
      <c r="J870" s="1268"/>
      <c r="K870" s="1268"/>
      <c r="L870" s="1269"/>
      <c r="M870" s="1268"/>
      <c r="N870" s="1268"/>
      <c r="O870" s="1269"/>
      <c r="P870" s="1269"/>
      <c r="Q870" s="1269"/>
      <c r="R870" s="1269"/>
    </row>
    <row r="871" ht="12.75" customHeight="1">
      <c r="A871" s="1268"/>
      <c r="B871" s="1269"/>
      <c r="C871" s="1269"/>
      <c r="D871" s="1269"/>
      <c r="E871" s="1269"/>
      <c r="F871" s="1268"/>
      <c r="G871" s="1268"/>
      <c r="H871" s="1268"/>
      <c r="I871" s="1269"/>
      <c r="J871" s="1268"/>
      <c r="K871" s="1268"/>
      <c r="L871" s="1269"/>
      <c r="M871" s="1268"/>
      <c r="N871" s="1268"/>
      <c r="O871" s="1269"/>
      <c r="P871" s="1269"/>
      <c r="Q871" s="1269"/>
      <c r="R871" s="1269"/>
    </row>
    <row r="872" ht="12.75" customHeight="1">
      <c r="A872" s="1268"/>
      <c r="B872" s="1269"/>
      <c r="C872" s="1269"/>
      <c r="D872" s="1269"/>
      <c r="E872" s="1269"/>
      <c r="F872" s="1268"/>
      <c r="G872" s="1268"/>
      <c r="H872" s="1268"/>
      <c r="I872" s="1269"/>
      <c r="J872" s="1268"/>
      <c r="K872" s="1268"/>
      <c r="L872" s="1269"/>
      <c r="M872" s="1268"/>
      <c r="N872" s="1268"/>
      <c r="O872" s="1269"/>
      <c r="P872" s="1269"/>
      <c r="Q872" s="1269"/>
      <c r="R872" s="1269"/>
    </row>
    <row r="873" ht="12.75" customHeight="1">
      <c r="A873" s="1268"/>
      <c r="B873" s="1269"/>
      <c r="C873" s="1269"/>
      <c r="D873" s="1269"/>
      <c r="E873" s="1269"/>
      <c r="F873" s="1268"/>
      <c r="G873" s="1268"/>
      <c r="H873" s="1268"/>
      <c r="I873" s="1269"/>
      <c r="J873" s="1268"/>
      <c r="K873" s="1268"/>
      <c r="L873" s="1269"/>
      <c r="M873" s="1268"/>
      <c r="N873" s="1268"/>
      <c r="O873" s="1269"/>
      <c r="P873" s="1269"/>
      <c r="Q873" s="1269"/>
      <c r="R873" s="1269"/>
    </row>
    <row r="874" ht="12.75" customHeight="1">
      <c r="A874" s="1268"/>
      <c r="B874" s="1269"/>
      <c r="C874" s="1269"/>
      <c r="D874" s="1269"/>
      <c r="E874" s="1269"/>
      <c r="F874" s="1268"/>
      <c r="G874" s="1268"/>
      <c r="H874" s="1268"/>
      <c r="I874" s="1269"/>
      <c r="J874" s="1268"/>
      <c r="K874" s="1268"/>
      <c r="L874" s="1269"/>
      <c r="M874" s="1268"/>
      <c r="N874" s="1268"/>
      <c r="O874" s="1269"/>
      <c r="P874" s="1269"/>
      <c r="Q874" s="1269"/>
      <c r="R874" s="1269"/>
    </row>
    <row r="875" ht="12.75" customHeight="1">
      <c r="A875" s="1268"/>
      <c r="B875" s="1269"/>
      <c r="C875" s="1269"/>
      <c r="D875" s="1269"/>
      <c r="E875" s="1269"/>
      <c r="F875" s="1268"/>
      <c r="G875" s="1268"/>
      <c r="H875" s="1268"/>
      <c r="I875" s="1269"/>
      <c r="J875" s="1268"/>
      <c r="K875" s="1268"/>
      <c r="L875" s="1269"/>
      <c r="M875" s="1268"/>
      <c r="N875" s="1268"/>
      <c r="O875" s="1269"/>
      <c r="P875" s="1269"/>
      <c r="Q875" s="1269"/>
      <c r="R875" s="1269"/>
    </row>
    <row r="876" ht="12.75" customHeight="1">
      <c r="A876" s="1268"/>
      <c r="B876" s="1269"/>
      <c r="C876" s="1269"/>
      <c r="D876" s="1269"/>
      <c r="E876" s="1269"/>
      <c r="F876" s="1268"/>
      <c r="G876" s="1268"/>
      <c r="H876" s="1268"/>
      <c r="I876" s="1269"/>
      <c r="J876" s="1268"/>
      <c r="K876" s="1268"/>
      <c r="L876" s="1269"/>
      <c r="M876" s="1268"/>
      <c r="N876" s="1268"/>
      <c r="O876" s="1269"/>
      <c r="P876" s="1269"/>
      <c r="Q876" s="1269"/>
      <c r="R876" s="1269"/>
    </row>
    <row r="877" ht="12.75" customHeight="1">
      <c r="A877" s="1268"/>
      <c r="B877" s="1269"/>
      <c r="C877" s="1269"/>
      <c r="D877" s="1269"/>
      <c r="E877" s="1269"/>
      <c r="F877" s="1268"/>
      <c r="G877" s="1268"/>
      <c r="H877" s="1268"/>
      <c r="I877" s="1269"/>
      <c r="J877" s="1268"/>
      <c r="K877" s="1268"/>
      <c r="L877" s="1269"/>
      <c r="M877" s="1268"/>
      <c r="N877" s="1268"/>
      <c r="O877" s="1269"/>
      <c r="P877" s="1269"/>
      <c r="Q877" s="1269"/>
      <c r="R877" s="1269"/>
    </row>
    <row r="878" ht="12.75" customHeight="1">
      <c r="A878" s="1268"/>
      <c r="B878" s="1269"/>
      <c r="C878" s="1269"/>
      <c r="D878" s="1269"/>
      <c r="E878" s="1269"/>
      <c r="F878" s="1268"/>
      <c r="G878" s="1268"/>
      <c r="H878" s="1268"/>
      <c r="I878" s="1269"/>
      <c r="J878" s="1268"/>
      <c r="K878" s="1268"/>
      <c r="L878" s="1269"/>
      <c r="M878" s="1268"/>
      <c r="N878" s="1268"/>
      <c r="O878" s="1269"/>
      <c r="P878" s="1269"/>
      <c r="Q878" s="1269"/>
      <c r="R878" s="1269"/>
    </row>
    <row r="879" ht="12.75" customHeight="1">
      <c r="A879" s="1268"/>
      <c r="B879" s="1269"/>
      <c r="C879" s="1269"/>
      <c r="D879" s="1269"/>
      <c r="E879" s="1269"/>
      <c r="F879" s="1268"/>
      <c r="G879" s="1268"/>
      <c r="H879" s="1268"/>
      <c r="I879" s="1269"/>
      <c r="J879" s="1268"/>
      <c r="K879" s="1268"/>
      <c r="L879" s="1269"/>
      <c r="M879" s="1268"/>
      <c r="N879" s="1268"/>
      <c r="O879" s="1269"/>
      <c r="P879" s="1269"/>
      <c r="Q879" s="1269"/>
      <c r="R879" s="1269"/>
    </row>
    <row r="880" ht="12.75" customHeight="1">
      <c r="A880" s="1268"/>
      <c r="B880" s="1269"/>
      <c r="C880" s="1269"/>
      <c r="D880" s="1269"/>
      <c r="E880" s="1269"/>
      <c r="F880" s="1268"/>
      <c r="G880" s="1268"/>
      <c r="H880" s="1268"/>
      <c r="I880" s="1269"/>
      <c r="J880" s="1268"/>
      <c r="K880" s="1268"/>
      <c r="L880" s="1269"/>
      <c r="M880" s="1268"/>
      <c r="N880" s="1268"/>
      <c r="O880" s="1269"/>
      <c r="P880" s="1269"/>
      <c r="Q880" s="1269"/>
      <c r="R880" s="1269"/>
    </row>
    <row r="881" ht="12.75" customHeight="1">
      <c r="A881" s="1268"/>
      <c r="B881" s="1269"/>
      <c r="C881" s="1269"/>
      <c r="D881" s="1269"/>
      <c r="E881" s="1269"/>
      <c r="F881" s="1268"/>
      <c r="G881" s="1268"/>
      <c r="H881" s="1268"/>
      <c r="I881" s="1269"/>
      <c r="J881" s="1268"/>
      <c r="K881" s="1268"/>
      <c r="L881" s="1269"/>
      <c r="M881" s="1268"/>
      <c r="N881" s="1268"/>
      <c r="O881" s="1269"/>
      <c r="P881" s="1269"/>
      <c r="Q881" s="1269"/>
      <c r="R881" s="1269"/>
    </row>
    <row r="882" ht="12.75" customHeight="1">
      <c r="A882" s="1268"/>
      <c r="B882" s="1269"/>
      <c r="C882" s="1269"/>
      <c r="D882" s="1269"/>
      <c r="E882" s="1269"/>
      <c r="F882" s="1268"/>
      <c r="G882" s="1268"/>
      <c r="H882" s="1268"/>
      <c r="I882" s="1269"/>
      <c r="J882" s="1268"/>
      <c r="K882" s="1268"/>
      <c r="L882" s="1269"/>
      <c r="M882" s="1268"/>
      <c r="N882" s="1268"/>
      <c r="O882" s="1269"/>
      <c r="P882" s="1269"/>
      <c r="Q882" s="1269"/>
      <c r="R882" s="1269"/>
    </row>
    <row r="883" ht="12.75" customHeight="1">
      <c r="A883" s="1268"/>
      <c r="B883" s="1269"/>
      <c r="C883" s="1269"/>
      <c r="D883" s="1269"/>
      <c r="E883" s="1269"/>
      <c r="F883" s="1268"/>
      <c r="G883" s="1268"/>
      <c r="H883" s="1268"/>
      <c r="I883" s="1269"/>
      <c r="J883" s="1268"/>
      <c r="K883" s="1268"/>
      <c r="L883" s="1269"/>
      <c r="M883" s="1268"/>
      <c r="N883" s="1268"/>
      <c r="O883" s="1269"/>
      <c r="P883" s="1269"/>
      <c r="Q883" s="1269"/>
      <c r="R883" s="1269"/>
    </row>
    <row r="884" ht="12.75" customHeight="1">
      <c r="A884" s="1268"/>
      <c r="B884" s="1269"/>
      <c r="C884" s="1269"/>
      <c r="D884" s="1269"/>
      <c r="E884" s="1269"/>
      <c r="F884" s="1268"/>
      <c r="G884" s="1268"/>
      <c r="H884" s="1268"/>
      <c r="I884" s="1269"/>
      <c r="J884" s="1268"/>
      <c r="K884" s="1268"/>
      <c r="L884" s="1269"/>
      <c r="M884" s="1268"/>
      <c r="N884" s="1268"/>
      <c r="O884" s="1269"/>
      <c r="P884" s="1269"/>
      <c r="Q884" s="1269"/>
      <c r="R884" s="1269"/>
    </row>
    <row r="885" ht="12.75" customHeight="1">
      <c r="A885" s="1268"/>
      <c r="B885" s="1269"/>
      <c r="C885" s="1269"/>
      <c r="D885" s="1269"/>
      <c r="E885" s="1269"/>
      <c r="F885" s="1268"/>
      <c r="G885" s="1268"/>
      <c r="H885" s="1268"/>
      <c r="I885" s="1269"/>
      <c r="J885" s="1268"/>
      <c r="K885" s="1268"/>
      <c r="L885" s="1269"/>
      <c r="M885" s="1268"/>
      <c r="N885" s="1268"/>
      <c r="O885" s="1269"/>
      <c r="P885" s="1269"/>
      <c r="Q885" s="1269"/>
      <c r="R885" s="1269"/>
    </row>
    <row r="886" ht="12.75" customHeight="1">
      <c r="A886" s="1268"/>
      <c r="B886" s="1269"/>
      <c r="C886" s="1269"/>
      <c r="D886" s="1269"/>
      <c r="E886" s="1269"/>
      <c r="F886" s="1268"/>
      <c r="G886" s="1268"/>
      <c r="H886" s="1268"/>
      <c r="I886" s="1269"/>
      <c r="J886" s="1268"/>
      <c r="K886" s="1268"/>
      <c r="L886" s="1269"/>
      <c r="M886" s="1268"/>
      <c r="N886" s="1268"/>
      <c r="O886" s="1269"/>
      <c r="P886" s="1269"/>
      <c r="Q886" s="1269"/>
      <c r="R886" s="1269"/>
    </row>
    <row r="887" ht="12.75" customHeight="1">
      <c r="A887" s="1268"/>
      <c r="B887" s="1269"/>
      <c r="C887" s="1269"/>
      <c r="D887" s="1269"/>
      <c r="E887" s="1269"/>
      <c r="F887" s="1268"/>
      <c r="G887" s="1268"/>
      <c r="H887" s="1268"/>
      <c r="I887" s="1269"/>
      <c r="J887" s="1268"/>
      <c r="K887" s="1268"/>
      <c r="L887" s="1269"/>
      <c r="M887" s="1268"/>
      <c r="N887" s="1268"/>
      <c r="O887" s="1269"/>
      <c r="P887" s="1269"/>
      <c r="Q887" s="1269"/>
      <c r="R887" s="1269"/>
    </row>
    <row r="888" ht="12.75" customHeight="1">
      <c r="A888" s="1268"/>
      <c r="B888" s="1269"/>
      <c r="C888" s="1269"/>
      <c r="D888" s="1269"/>
      <c r="E888" s="1269"/>
      <c r="F888" s="1268"/>
      <c r="G888" s="1268"/>
      <c r="H888" s="1268"/>
      <c r="I888" s="1269"/>
      <c r="J888" s="1268"/>
      <c r="K888" s="1268"/>
      <c r="L888" s="1269"/>
      <c r="M888" s="1268"/>
      <c r="N888" s="1268"/>
      <c r="O888" s="1269"/>
      <c r="P888" s="1269"/>
      <c r="Q888" s="1269"/>
      <c r="R888" s="1269"/>
    </row>
    <row r="889" ht="12.75" customHeight="1">
      <c r="A889" s="1268"/>
      <c r="B889" s="1269"/>
      <c r="C889" s="1269"/>
      <c r="D889" s="1269"/>
      <c r="E889" s="1269"/>
      <c r="F889" s="1268"/>
      <c r="G889" s="1268"/>
      <c r="H889" s="1268"/>
      <c r="I889" s="1269"/>
      <c r="J889" s="1268"/>
      <c r="K889" s="1268"/>
      <c r="L889" s="1269"/>
      <c r="M889" s="1268"/>
      <c r="N889" s="1268"/>
      <c r="O889" s="1269"/>
      <c r="P889" s="1269"/>
      <c r="Q889" s="1269"/>
      <c r="R889" s="1269"/>
    </row>
    <row r="890" ht="12.75" customHeight="1">
      <c r="A890" s="1268"/>
      <c r="B890" s="1269"/>
      <c r="C890" s="1269"/>
      <c r="D890" s="1269"/>
      <c r="E890" s="1269"/>
      <c r="F890" s="1268"/>
      <c r="G890" s="1268"/>
      <c r="H890" s="1268"/>
      <c r="I890" s="1269"/>
      <c r="J890" s="1268"/>
      <c r="K890" s="1268"/>
      <c r="L890" s="1269"/>
      <c r="M890" s="1268"/>
      <c r="N890" s="1268"/>
      <c r="O890" s="1269"/>
      <c r="P890" s="1269"/>
      <c r="Q890" s="1269"/>
      <c r="R890" s="1269"/>
    </row>
    <row r="891" ht="12.75" customHeight="1">
      <c r="A891" s="1268"/>
      <c r="B891" s="1269"/>
      <c r="C891" s="1269"/>
      <c r="D891" s="1269"/>
      <c r="E891" s="1269"/>
      <c r="F891" s="1268"/>
      <c r="G891" s="1268"/>
      <c r="H891" s="1268"/>
      <c r="I891" s="1269"/>
      <c r="J891" s="1268"/>
      <c r="K891" s="1268"/>
      <c r="L891" s="1269"/>
      <c r="M891" s="1268"/>
      <c r="N891" s="1268"/>
      <c r="O891" s="1269"/>
      <c r="P891" s="1269"/>
      <c r="Q891" s="1269"/>
      <c r="R891" s="1269"/>
    </row>
    <row r="892" ht="12.75" customHeight="1">
      <c r="A892" s="1268"/>
      <c r="B892" s="1269"/>
      <c r="C892" s="1269"/>
      <c r="D892" s="1269"/>
      <c r="E892" s="1269"/>
      <c r="F892" s="1268"/>
      <c r="G892" s="1268"/>
      <c r="H892" s="1268"/>
      <c r="I892" s="1269"/>
      <c r="J892" s="1268"/>
      <c r="K892" s="1268"/>
      <c r="L892" s="1269"/>
      <c r="M892" s="1268"/>
      <c r="N892" s="1268"/>
      <c r="O892" s="1269"/>
      <c r="P892" s="1269"/>
      <c r="Q892" s="1269"/>
      <c r="R892" s="1269"/>
    </row>
    <row r="893" ht="12.75" customHeight="1">
      <c r="A893" s="1268"/>
      <c r="B893" s="1269"/>
      <c r="C893" s="1269"/>
      <c r="D893" s="1269"/>
      <c r="E893" s="1269"/>
      <c r="F893" s="1268"/>
      <c r="G893" s="1268"/>
      <c r="H893" s="1268"/>
      <c r="I893" s="1269"/>
      <c r="J893" s="1268"/>
      <c r="K893" s="1268"/>
      <c r="L893" s="1269"/>
      <c r="M893" s="1268"/>
      <c r="N893" s="1268"/>
      <c r="O893" s="1269"/>
      <c r="P893" s="1269"/>
      <c r="Q893" s="1269"/>
      <c r="R893" s="1269"/>
    </row>
    <row r="894" ht="12.75" customHeight="1">
      <c r="A894" s="1268"/>
      <c r="B894" s="1269"/>
      <c r="C894" s="1269"/>
      <c r="D894" s="1269"/>
      <c r="E894" s="1269"/>
      <c r="F894" s="1268"/>
      <c r="G894" s="1268"/>
      <c r="H894" s="1268"/>
      <c r="I894" s="1269"/>
      <c r="J894" s="1268"/>
      <c r="K894" s="1268"/>
      <c r="L894" s="1269"/>
      <c r="M894" s="1268"/>
      <c r="N894" s="1268"/>
      <c r="O894" s="1269"/>
      <c r="P894" s="1269"/>
      <c r="Q894" s="1269"/>
      <c r="R894" s="1269"/>
    </row>
    <row r="895" ht="12.75" customHeight="1">
      <c r="A895" s="1268"/>
      <c r="B895" s="1269"/>
      <c r="C895" s="1269"/>
      <c r="D895" s="1269"/>
      <c r="E895" s="1269"/>
      <c r="F895" s="1268"/>
      <c r="G895" s="1268"/>
      <c r="H895" s="1268"/>
      <c r="I895" s="1269"/>
      <c r="J895" s="1268"/>
      <c r="K895" s="1268"/>
      <c r="L895" s="1269"/>
      <c r="M895" s="1268"/>
      <c r="N895" s="1268"/>
      <c r="O895" s="1269"/>
      <c r="P895" s="1269"/>
      <c r="Q895" s="1269"/>
      <c r="R895" s="1269"/>
    </row>
    <row r="896" ht="12.75" customHeight="1">
      <c r="A896" s="1268"/>
      <c r="B896" s="1269"/>
      <c r="C896" s="1269"/>
      <c r="D896" s="1269"/>
      <c r="E896" s="1269"/>
      <c r="F896" s="1268"/>
      <c r="G896" s="1268"/>
      <c r="H896" s="1268"/>
      <c r="I896" s="1269"/>
      <c r="J896" s="1268"/>
      <c r="K896" s="1268"/>
      <c r="L896" s="1269"/>
      <c r="M896" s="1268"/>
      <c r="N896" s="1268"/>
      <c r="O896" s="1269"/>
      <c r="P896" s="1269"/>
      <c r="Q896" s="1269"/>
      <c r="R896" s="1269"/>
    </row>
    <row r="897" ht="12.75" customHeight="1">
      <c r="A897" s="1268"/>
      <c r="B897" s="1269"/>
      <c r="C897" s="1269"/>
      <c r="D897" s="1269"/>
      <c r="E897" s="1269"/>
      <c r="F897" s="1268"/>
      <c r="G897" s="1268"/>
      <c r="H897" s="1268"/>
      <c r="I897" s="1269"/>
      <c r="J897" s="1268"/>
      <c r="K897" s="1268"/>
      <c r="L897" s="1269"/>
      <c r="M897" s="1268"/>
      <c r="N897" s="1268"/>
      <c r="O897" s="1269"/>
      <c r="P897" s="1269"/>
      <c r="Q897" s="1269"/>
      <c r="R897" s="1269"/>
    </row>
    <row r="898" ht="12.75" customHeight="1">
      <c r="A898" s="1268"/>
      <c r="B898" s="1269"/>
      <c r="C898" s="1269"/>
      <c r="D898" s="1269"/>
      <c r="E898" s="1269"/>
      <c r="F898" s="1268"/>
      <c r="G898" s="1268"/>
      <c r="H898" s="1268"/>
      <c r="I898" s="1269"/>
      <c r="J898" s="1268"/>
      <c r="K898" s="1268"/>
      <c r="L898" s="1269"/>
      <c r="M898" s="1268"/>
      <c r="N898" s="1268"/>
      <c r="O898" s="1269"/>
      <c r="P898" s="1269"/>
      <c r="Q898" s="1269"/>
      <c r="R898" s="1269"/>
    </row>
    <row r="899" ht="12.75" customHeight="1">
      <c r="A899" s="1268"/>
      <c r="B899" s="1269"/>
      <c r="C899" s="1269"/>
      <c r="D899" s="1269"/>
      <c r="E899" s="1269"/>
      <c r="F899" s="1268"/>
      <c r="G899" s="1268"/>
      <c r="H899" s="1268"/>
      <c r="I899" s="1269"/>
      <c r="J899" s="1268"/>
      <c r="K899" s="1268"/>
      <c r="L899" s="1269"/>
      <c r="M899" s="1268"/>
      <c r="N899" s="1268"/>
      <c r="O899" s="1269"/>
      <c r="P899" s="1269"/>
      <c r="Q899" s="1269"/>
      <c r="R899" s="1269"/>
    </row>
    <row r="900" ht="12.75" customHeight="1">
      <c r="A900" s="1268"/>
      <c r="B900" s="1269"/>
      <c r="C900" s="1269"/>
      <c r="D900" s="1269"/>
      <c r="E900" s="1269"/>
      <c r="F900" s="1268"/>
      <c r="G900" s="1268"/>
      <c r="H900" s="1268"/>
      <c r="I900" s="1269"/>
      <c r="J900" s="1268"/>
      <c r="K900" s="1268"/>
      <c r="L900" s="1269"/>
      <c r="M900" s="1268"/>
      <c r="N900" s="1268"/>
      <c r="O900" s="1269"/>
      <c r="P900" s="1269"/>
      <c r="Q900" s="1269"/>
      <c r="R900" s="1269"/>
    </row>
    <row r="901" ht="12.75" customHeight="1">
      <c r="A901" s="1268"/>
      <c r="B901" s="1269"/>
      <c r="C901" s="1269"/>
      <c r="D901" s="1269"/>
      <c r="E901" s="1269"/>
      <c r="F901" s="1268"/>
      <c r="G901" s="1268"/>
      <c r="H901" s="1268"/>
      <c r="I901" s="1269"/>
      <c r="J901" s="1268"/>
      <c r="K901" s="1268"/>
      <c r="L901" s="1269"/>
      <c r="M901" s="1268"/>
      <c r="N901" s="1268"/>
      <c r="O901" s="1269"/>
      <c r="P901" s="1269"/>
      <c r="Q901" s="1269"/>
      <c r="R901" s="1269"/>
    </row>
    <row r="902" ht="12.75" customHeight="1">
      <c r="A902" s="1268"/>
      <c r="B902" s="1269"/>
      <c r="C902" s="1269"/>
      <c r="D902" s="1269"/>
      <c r="E902" s="1269"/>
      <c r="F902" s="1268"/>
      <c r="G902" s="1268"/>
      <c r="H902" s="1268"/>
      <c r="I902" s="1269"/>
      <c r="J902" s="1268"/>
      <c r="K902" s="1268"/>
      <c r="L902" s="1269"/>
      <c r="M902" s="1268"/>
      <c r="N902" s="1268"/>
      <c r="O902" s="1269"/>
      <c r="P902" s="1269"/>
      <c r="Q902" s="1269"/>
      <c r="R902" s="1269"/>
    </row>
    <row r="903" ht="12.75" customHeight="1">
      <c r="A903" s="1268"/>
      <c r="B903" s="1269"/>
      <c r="C903" s="1269"/>
      <c r="D903" s="1269"/>
      <c r="E903" s="1269"/>
      <c r="F903" s="1268"/>
      <c r="G903" s="1268"/>
      <c r="H903" s="1268"/>
      <c r="I903" s="1269"/>
      <c r="J903" s="1268"/>
      <c r="K903" s="1268"/>
      <c r="L903" s="1269"/>
      <c r="M903" s="1268"/>
      <c r="N903" s="1268"/>
      <c r="O903" s="1269"/>
      <c r="P903" s="1269"/>
      <c r="Q903" s="1269"/>
      <c r="R903" s="1269"/>
    </row>
    <row r="904" ht="12.75" customHeight="1">
      <c r="A904" s="1268"/>
      <c r="B904" s="1269"/>
      <c r="C904" s="1269"/>
      <c r="D904" s="1269"/>
      <c r="E904" s="1269"/>
      <c r="F904" s="1268"/>
      <c r="G904" s="1268"/>
      <c r="H904" s="1268"/>
      <c r="I904" s="1269"/>
      <c r="J904" s="1268"/>
      <c r="K904" s="1268"/>
      <c r="L904" s="1269"/>
      <c r="M904" s="1268"/>
      <c r="N904" s="1268"/>
      <c r="O904" s="1269"/>
      <c r="P904" s="1269"/>
      <c r="Q904" s="1269"/>
      <c r="R904" s="1269"/>
    </row>
    <row r="905" ht="12.75" customHeight="1">
      <c r="A905" s="1268"/>
      <c r="B905" s="1269"/>
      <c r="C905" s="1269"/>
      <c r="D905" s="1269"/>
      <c r="E905" s="1269"/>
      <c r="F905" s="1268"/>
      <c r="G905" s="1268"/>
      <c r="H905" s="1268"/>
      <c r="I905" s="1269"/>
      <c r="J905" s="1268"/>
      <c r="K905" s="1268"/>
      <c r="L905" s="1269"/>
      <c r="M905" s="1268"/>
      <c r="N905" s="1268"/>
      <c r="O905" s="1269"/>
      <c r="P905" s="1269"/>
      <c r="Q905" s="1269"/>
      <c r="R905" s="1269"/>
    </row>
    <row r="906" ht="12.75" customHeight="1">
      <c r="A906" s="1268"/>
      <c r="B906" s="1269"/>
      <c r="C906" s="1269"/>
      <c r="D906" s="1269"/>
      <c r="E906" s="1269"/>
      <c r="F906" s="1268"/>
      <c r="G906" s="1268"/>
      <c r="H906" s="1268"/>
      <c r="I906" s="1269"/>
      <c r="J906" s="1268"/>
      <c r="K906" s="1268"/>
      <c r="L906" s="1269"/>
      <c r="M906" s="1268"/>
      <c r="N906" s="1268"/>
      <c r="O906" s="1269"/>
      <c r="P906" s="1269"/>
      <c r="Q906" s="1269"/>
      <c r="R906" s="1269"/>
    </row>
    <row r="907" ht="12.75" customHeight="1">
      <c r="A907" s="1268"/>
      <c r="B907" s="1269"/>
      <c r="C907" s="1269"/>
      <c r="D907" s="1269"/>
      <c r="E907" s="1269"/>
      <c r="F907" s="1268"/>
      <c r="G907" s="1268"/>
      <c r="H907" s="1268"/>
      <c r="I907" s="1269"/>
      <c r="J907" s="1268"/>
      <c r="K907" s="1268"/>
      <c r="L907" s="1269"/>
      <c r="M907" s="1268"/>
      <c r="N907" s="1268"/>
      <c r="O907" s="1269"/>
      <c r="P907" s="1269"/>
      <c r="Q907" s="1269"/>
      <c r="R907" s="1269"/>
    </row>
    <row r="908" ht="12.75" customHeight="1">
      <c r="A908" s="1268"/>
      <c r="B908" s="1269"/>
      <c r="C908" s="1269"/>
      <c r="D908" s="1269"/>
      <c r="E908" s="1269"/>
      <c r="F908" s="1268"/>
      <c r="G908" s="1268"/>
      <c r="H908" s="1268"/>
      <c r="I908" s="1269"/>
      <c r="J908" s="1268"/>
      <c r="K908" s="1268"/>
      <c r="L908" s="1269"/>
      <c r="M908" s="1268"/>
      <c r="N908" s="1268"/>
      <c r="O908" s="1269"/>
      <c r="P908" s="1269"/>
      <c r="Q908" s="1269"/>
      <c r="R908" s="1269"/>
    </row>
    <row r="909" ht="12.75" customHeight="1">
      <c r="A909" s="1268"/>
      <c r="B909" s="1269"/>
      <c r="C909" s="1269"/>
      <c r="D909" s="1269"/>
      <c r="E909" s="1269"/>
      <c r="F909" s="1268"/>
      <c r="G909" s="1268"/>
      <c r="H909" s="1268"/>
      <c r="I909" s="1269"/>
      <c r="J909" s="1268"/>
      <c r="K909" s="1268"/>
      <c r="L909" s="1269"/>
      <c r="M909" s="1268"/>
      <c r="N909" s="1268"/>
      <c r="O909" s="1269"/>
      <c r="P909" s="1269"/>
      <c r="Q909" s="1269"/>
      <c r="R909" s="1269"/>
    </row>
    <row r="910" ht="12.75" customHeight="1">
      <c r="A910" s="1268"/>
      <c r="B910" s="1269"/>
      <c r="C910" s="1269"/>
      <c r="D910" s="1269"/>
      <c r="E910" s="1269"/>
      <c r="F910" s="1268"/>
      <c r="G910" s="1268"/>
      <c r="H910" s="1268"/>
      <c r="I910" s="1269"/>
      <c r="J910" s="1268"/>
      <c r="K910" s="1268"/>
      <c r="L910" s="1269"/>
      <c r="M910" s="1268"/>
      <c r="N910" s="1268"/>
      <c r="O910" s="1269"/>
      <c r="P910" s="1269"/>
      <c r="Q910" s="1269"/>
      <c r="R910" s="1269"/>
    </row>
    <row r="911" ht="12.75" customHeight="1">
      <c r="A911" s="1268"/>
      <c r="B911" s="1269"/>
      <c r="C911" s="1269"/>
      <c r="D911" s="1269"/>
      <c r="E911" s="1269"/>
      <c r="F911" s="1268"/>
      <c r="G911" s="1268"/>
      <c r="H911" s="1268"/>
      <c r="I911" s="1269"/>
      <c r="J911" s="1268"/>
      <c r="K911" s="1268"/>
      <c r="L911" s="1269"/>
      <c r="M911" s="1268"/>
      <c r="N911" s="1268"/>
      <c r="O911" s="1269"/>
      <c r="P911" s="1269"/>
      <c r="Q911" s="1269"/>
      <c r="R911" s="1269"/>
    </row>
    <row r="912" ht="12.75" customHeight="1">
      <c r="A912" s="1268"/>
      <c r="B912" s="1269"/>
      <c r="C912" s="1269"/>
      <c r="D912" s="1269"/>
      <c r="E912" s="1269"/>
      <c r="F912" s="1268"/>
      <c r="G912" s="1268"/>
      <c r="H912" s="1268"/>
      <c r="I912" s="1269"/>
      <c r="J912" s="1268"/>
      <c r="K912" s="1268"/>
      <c r="L912" s="1269"/>
      <c r="M912" s="1268"/>
      <c r="N912" s="1268"/>
      <c r="O912" s="1269"/>
      <c r="P912" s="1269"/>
      <c r="Q912" s="1269"/>
      <c r="R912" s="1269"/>
    </row>
    <row r="913" ht="12.75" customHeight="1">
      <c r="A913" s="1268"/>
      <c r="B913" s="1269"/>
      <c r="C913" s="1269"/>
      <c r="D913" s="1269"/>
      <c r="E913" s="1269"/>
      <c r="F913" s="1268"/>
      <c r="G913" s="1268"/>
      <c r="H913" s="1268"/>
      <c r="I913" s="1269"/>
      <c r="J913" s="1268"/>
      <c r="K913" s="1268"/>
      <c r="L913" s="1269"/>
      <c r="M913" s="1268"/>
      <c r="N913" s="1268"/>
      <c r="O913" s="1269"/>
      <c r="P913" s="1269"/>
      <c r="Q913" s="1269"/>
      <c r="R913" s="1269"/>
    </row>
    <row r="914" ht="12.75" customHeight="1">
      <c r="A914" s="1268"/>
      <c r="B914" s="1269"/>
      <c r="C914" s="1269"/>
      <c r="D914" s="1269"/>
      <c r="E914" s="1269"/>
      <c r="F914" s="1268"/>
      <c r="G914" s="1268"/>
      <c r="H914" s="1268"/>
      <c r="I914" s="1269"/>
      <c r="J914" s="1268"/>
      <c r="K914" s="1268"/>
      <c r="L914" s="1269"/>
      <c r="M914" s="1268"/>
      <c r="N914" s="1268"/>
      <c r="O914" s="1269"/>
      <c r="P914" s="1269"/>
      <c r="Q914" s="1269"/>
      <c r="R914" s="1269"/>
    </row>
    <row r="915" ht="12.75" customHeight="1">
      <c r="A915" s="1268"/>
      <c r="B915" s="1269"/>
      <c r="C915" s="1269"/>
      <c r="D915" s="1269"/>
      <c r="E915" s="1269"/>
      <c r="F915" s="1268"/>
      <c r="G915" s="1268"/>
      <c r="H915" s="1268"/>
      <c r="I915" s="1269"/>
      <c r="J915" s="1268"/>
      <c r="K915" s="1268"/>
      <c r="L915" s="1269"/>
      <c r="M915" s="1268"/>
      <c r="N915" s="1268"/>
      <c r="O915" s="1269"/>
      <c r="P915" s="1269"/>
      <c r="Q915" s="1269"/>
      <c r="R915" s="1269"/>
    </row>
    <row r="916" ht="12.75" customHeight="1">
      <c r="A916" s="1268"/>
      <c r="B916" s="1269"/>
      <c r="C916" s="1269"/>
      <c r="D916" s="1269"/>
      <c r="E916" s="1269"/>
      <c r="F916" s="1268"/>
      <c r="G916" s="1268"/>
      <c r="H916" s="1268"/>
      <c r="I916" s="1269"/>
      <c r="J916" s="1268"/>
      <c r="K916" s="1268"/>
      <c r="L916" s="1269"/>
      <c r="M916" s="1268"/>
      <c r="N916" s="1268"/>
      <c r="O916" s="1269"/>
      <c r="P916" s="1269"/>
      <c r="Q916" s="1269"/>
      <c r="R916" s="1269"/>
    </row>
    <row r="917" ht="12.75" customHeight="1">
      <c r="A917" s="1268"/>
      <c r="B917" s="1269"/>
      <c r="C917" s="1269"/>
      <c r="D917" s="1269"/>
      <c r="E917" s="1269"/>
      <c r="F917" s="1268"/>
      <c r="G917" s="1268"/>
      <c r="H917" s="1268"/>
      <c r="I917" s="1269"/>
      <c r="J917" s="1268"/>
      <c r="K917" s="1268"/>
      <c r="L917" s="1269"/>
      <c r="M917" s="1268"/>
      <c r="N917" s="1268"/>
      <c r="O917" s="1269"/>
      <c r="P917" s="1269"/>
      <c r="Q917" s="1269"/>
      <c r="R917" s="1269"/>
    </row>
    <row r="918" ht="12.75" customHeight="1">
      <c r="A918" s="1268"/>
      <c r="B918" s="1269"/>
      <c r="C918" s="1269"/>
      <c r="D918" s="1269"/>
      <c r="E918" s="1269"/>
      <c r="F918" s="1268"/>
      <c r="G918" s="1268"/>
      <c r="H918" s="1268"/>
      <c r="I918" s="1269"/>
      <c r="J918" s="1268"/>
      <c r="K918" s="1268"/>
      <c r="L918" s="1269"/>
      <c r="M918" s="1268"/>
      <c r="N918" s="1268"/>
      <c r="O918" s="1269"/>
      <c r="P918" s="1269"/>
      <c r="Q918" s="1269"/>
      <c r="R918" s="1269"/>
    </row>
    <row r="919" ht="12.75" customHeight="1">
      <c r="A919" s="1268"/>
      <c r="B919" s="1269"/>
      <c r="C919" s="1269"/>
      <c r="D919" s="1269"/>
      <c r="E919" s="1269"/>
      <c r="F919" s="1268"/>
      <c r="G919" s="1268"/>
      <c r="H919" s="1268"/>
      <c r="I919" s="1269"/>
      <c r="J919" s="1268"/>
      <c r="K919" s="1268"/>
      <c r="L919" s="1269"/>
      <c r="M919" s="1268"/>
      <c r="N919" s="1268"/>
      <c r="O919" s="1269"/>
      <c r="P919" s="1269"/>
      <c r="Q919" s="1269"/>
      <c r="R919" s="1269"/>
    </row>
    <row r="920" ht="12.75" customHeight="1">
      <c r="A920" s="1268"/>
      <c r="B920" s="1269"/>
      <c r="C920" s="1269"/>
      <c r="D920" s="1269"/>
      <c r="E920" s="1269"/>
      <c r="F920" s="1268"/>
      <c r="G920" s="1268"/>
      <c r="H920" s="1268"/>
      <c r="I920" s="1269"/>
      <c r="J920" s="1268"/>
      <c r="K920" s="1268"/>
      <c r="L920" s="1269"/>
      <c r="M920" s="1268"/>
      <c r="N920" s="1268"/>
      <c r="O920" s="1269"/>
      <c r="P920" s="1269"/>
      <c r="Q920" s="1269"/>
      <c r="R920" s="1269"/>
    </row>
    <row r="921" ht="12.75" customHeight="1">
      <c r="A921" s="1268"/>
      <c r="B921" s="1269"/>
      <c r="C921" s="1269"/>
      <c r="D921" s="1269"/>
      <c r="E921" s="1269"/>
      <c r="F921" s="1268"/>
      <c r="G921" s="1268"/>
      <c r="H921" s="1268"/>
      <c r="I921" s="1269"/>
      <c r="J921" s="1268"/>
      <c r="K921" s="1268"/>
      <c r="L921" s="1269"/>
      <c r="M921" s="1268"/>
      <c r="N921" s="1268"/>
      <c r="O921" s="1269"/>
      <c r="P921" s="1269"/>
      <c r="Q921" s="1269"/>
      <c r="R921" s="1269"/>
    </row>
    <row r="922" ht="12.75" customHeight="1">
      <c r="A922" s="1268"/>
      <c r="B922" s="1269"/>
      <c r="C922" s="1269"/>
      <c r="D922" s="1269"/>
      <c r="E922" s="1269"/>
      <c r="F922" s="1268"/>
      <c r="G922" s="1268"/>
      <c r="H922" s="1268"/>
      <c r="I922" s="1269"/>
      <c r="J922" s="1268"/>
      <c r="K922" s="1268"/>
      <c r="L922" s="1269"/>
      <c r="M922" s="1268"/>
      <c r="N922" s="1268"/>
      <c r="O922" s="1269"/>
      <c r="P922" s="1269"/>
      <c r="Q922" s="1269"/>
      <c r="R922" s="1269"/>
    </row>
    <row r="923" ht="12.75" customHeight="1">
      <c r="A923" s="1268"/>
      <c r="B923" s="1269"/>
      <c r="C923" s="1269"/>
      <c r="D923" s="1269"/>
      <c r="E923" s="1269"/>
      <c r="F923" s="1268"/>
      <c r="G923" s="1268"/>
      <c r="H923" s="1268"/>
      <c r="I923" s="1269"/>
      <c r="J923" s="1268"/>
      <c r="K923" s="1268"/>
      <c r="L923" s="1269"/>
      <c r="M923" s="1268"/>
      <c r="N923" s="1268"/>
      <c r="O923" s="1269"/>
      <c r="P923" s="1269"/>
      <c r="Q923" s="1269"/>
      <c r="R923" s="1269"/>
    </row>
    <row r="924" ht="12.75" customHeight="1">
      <c r="A924" s="1268"/>
      <c r="B924" s="1269"/>
      <c r="C924" s="1269"/>
      <c r="D924" s="1269"/>
      <c r="E924" s="1269"/>
      <c r="F924" s="1268"/>
      <c r="G924" s="1268"/>
      <c r="H924" s="1268"/>
      <c r="I924" s="1269"/>
      <c r="J924" s="1268"/>
      <c r="K924" s="1268"/>
      <c r="L924" s="1269"/>
      <c r="M924" s="1268"/>
      <c r="N924" s="1268"/>
      <c r="O924" s="1269"/>
      <c r="P924" s="1269"/>
      <c r="Q924" s="1269"/>
      <c r="R924" s="1269"/>
    </row>
    <row r="925" ht="12.75" customHeight="1">
      <c r="A925" s="1268"/>
      <c r="B925" s="1269"/>
      <c r="C925" s="1269"/>
      <c r="D925" s="1269"/>
      <c r="E925" s="1269"/>
      <c r="F925" s="1268"/>
      <c r="G925" s="1268"/>
      <c r="H925" s="1268"/>
      <c r="I925" s="1269"/>
      <c r="J925" s="1268"/>
      <c r="K925" s="1268"/>
      <c r="L925" s="1269"/>
      <c r="M925" s="1268"/>
      <c r="N925" s="1268"/>
      <c r="O925" s="1269"/>
      <c r="P925" s="1269"/>
      <c r="Q925" s="1269"/>
      <c r="R925" s="1269"/>
    </row>
    <row r="926" ht="12.75" customHeight="1">
      <c r="A926" s="1268"/>
      <c r="B926" s="1269"/>
      <c r="C926" s="1269"/>
      <c r="D926" s="1269"/>
      <c r="E926" s="1269"/>
      <c r="F926" s="1268"/>
      <c r="G926" s="1268"/>
      <c r="H926" s="1268"/>
      <c r="I926" s="1269"/>
      <c r="J926" s="1268"/>
      <c r="K926" s="1268"/>
      <c r="L926" s="1269"/>
      <c r="M926" s="1268"/>
      <c r="N926" s="1268"/>
      <c r="O926" s="1269"/>
      <c r="P926" s="1269"/>
      <c r="Q926" s="1269"/>
      <c r="R926" s="1269"/>
    </row>
    <row r="927" ht="12.75" customHeight="1">
      <c r="A927" s="1268"/>
      <c r="B927" s="1269"/>
      <c r="C927" s="1269"/>
      <c r="D927" s="1269"/>
      <c r="E927" s="1269"/>
      <c r="F927" s="1268"/>
      <c r="G927" s="1268"/>
      <c r="H927" s="1268"/>
      <c r="I927" s="1269"/>
      <c r="J927" s="1268"/>
      <c r="K927" s="1268"/>
      <c r="L927" s="1269"/>
      <c r="M927" s="1268"/>
      <c r="N927" s="1268"/>
      <c r="O927" s="1269"/>
      <c r="P927" s="1269"/>
      <c r="Q927" s="1269"/>
      <c r="R927" s="1269"/>
    </row>
    <row r="928" ht="12.75" customHeight="1">
      <c r="A928" s="1268"/>
      <c r="B928" s="1269"/>
      <c r="C928" s="1269"/>
      <c r="D928" s="1269"/>
      <c r="E928" s="1269"/>
      <c r="F928" s="1268"/>
      <c r="G928" s="1268"/>
      <c r="H928" s="1268"/>
      <c r="I928" s="1269"/>
      <c r="J928" s="1268"/>
      <c r="K928" s="1268"/>
      <c r="L928" s="1269"/>
      <c r="M928" s="1268"/>
      <c r="N928" s="1268"/>
      <c r="O928" s="1269"/>
      <c r="P928" s="1269"/>
      <c r="Q928" s="1269"/>
      <c r="R928" s="1269"/>
    </row>
    <row r="929" ht="12.75" customHeight="1">
      <c r="A929" s="1268"/>
      <c r="B929" s="1269"/>
      <c r="C929" s="1269"/>
      <c r="D929" s="1269"/>
      <c r="E929" s="1269"/>
      <c r="F929" s="1268"/>
      <c r="G929" s="1268"/>
      <c r="H929" s="1268"/>
      <c r="I929" s="1269"/>
      <c r="J929" s="1268"/>
      <c r="K929" s="1268"/>
      <c r="L929" s="1269"/>
      <c r="M929" s="1268"/>
      <c r="N929" s="1268"/>
      <c r="O929" s="1269"/>
      <c r="P929" s="1269"/>
      <c r="Q929" s="1269"/>
      <c r="R929" s="1269"/>
    </row>
    <row r="930" ht="12.75" customHeight="1">
      <c r="A930" s="1268"/>
      <c r="B930" s="1269"/>
      <c r="C930" s="1269"/>
      <c r="D930" s="1269"/>
      <c r="E930" s="1269"/>
      <c r="F930" s="1268"/>
      <c r="G930" s="1268"/>
      <c r="H930" s="1268"/>
      <c r="I930" s="1269"/>
      <c r="J930" s="1268"/>
      <c r="K930" s="1268"/>
      <c r="L930" s="1269"/>
      <c r="M930" s="1268"/>
      <c r="N930" s="1268"/>
      <c r="O930" s="1269"/>
      <c r="P930" s="1269"/>
      <c r="Q930" s="1269"/>
      <c r="R930" s="1269"/>
    </row>
    <row r="931" ht="12.75" customHeight="1">
      <c r="A931" s="1268"/>
      <c r="B931" s="1269"/>
      <c r="C931" s="1269"/>
      <c r="D931" s="1269"/>
      <c r="E931" s="1269"/>
      <c r="F931" s="1268"/>
      <c r="G931" s="1268"/>
      <c r="H931" s="1268"/>
      <c r="I931" s="1269"/>
      <c r="J931" s="1268"/>
      <c r="K931" s="1268"/>
      <c r="L931" s="1269"/>
      <c r="M931" s="1268"/>
      <c r="N931" s="1268"/>
      <c r="O931" s="1269"/>
      <c r="P931" s="1269"/>
      <c r="Q931" s="1269"/>
      <c r="R931" s="1269"/>
    </row>
    <row r="932" ht="12.75" customHeight="1">
      <c r="A932" s="1268"/>
      <c r="B932" s="1269"/>
      <c r="C932" s="1269"/>
      <c r="D932" s="1269"/>
      <c r="E932" s="1269"/>
      <c r="F932" s="1268"/>
      <c r="G932" s="1268"/>
      <c r="H932" s="1268"/>
      <c r="I932" s="1269"/>
      <c r="J932" s="1268"/>
      <c r="K932" s="1268"/>
      <c r="L932" s="1269"/>
      <c r="M932" s="1268"/>
      <c r="N932" s="1268"/>
      <c r="O932" s="1269"/>
      <c r="P932" s="1269"/>
      <c r="Q932" s="1269"/>
      <c r="R932" s="1269"/>
    </row>
    <row r="933" ht="12.75" customHeight="1">
      <c r="A933" s="1268"/>
      <c r="B933" s="1269"/>
      <c r="C933" s="1269"/>
      <c r="D933" s="1269"/>
      <c r="E933" s="1269"/>
      <c r="F933" s="1268"/>
      <c r="G933" s="1268"/>
      <c r="H933" s="1268"/>
      <c r="I933" s="1269"/>
      <c r="J933" s="1268"/>
      <c r="K933" s="1268"/>
      <c r="L933" s="1269"/>
      <c r="M933" s="1268"/>
      <c r="N933" s="1268"/>
      <c r="O933" s="1269"/>
      <c r="P933" s="1269"/>
      <c r="Q933" s="1269"/>
      <c r="R933" s="1269"/>
    </row>
    <row r="934" ht="12.75" customHeight="1">
      <c r="A934" s="1268"/>
      <c r="B934" s="1269"/>
      <c r="C934" s="1269"/>
      <c r="D934" s="1269"/>
      <c r="E934" s="1269"/>
      <c r="F934" s="1268"/>
      <c r="G934" s="1268"/>
      <c r="H934" s="1268"/>
      <c r="I934" s="1269"/>
      <c r="J934" s="1268"/>
      <c r="K934" s="1268"/>
      <c r="L934" s="1269"/>
      <c r="M934" s="1268"/>
      <c r="N934" s="1268"/>
      <c r="O934" s="1269"/>
      <c r="P934" s="1269"/>
      <c r="Q934" s="1269"/>
      <c r="R934" s="1269"/>
    </row>
    <row r="935" ht="12.75" customHeight="1">
      <c r="A935" s="1268"/>
      <c r="B935" s="1269"/>
      <c r="C935" s="1269"/>
      <c r="D935" s="1269"/>
      <c r="E935" s="1269"/>
      <c r="F935" s="1268"/>
      <c r="G935" s="1268"/>
      <c r="H935" s="1268"/>
      <c r="I935" s="1269"/>
      <c r="J935" s="1268"/>
      <c r="K935" s="1268"/>
      <c r="L935" s="1269"/>
      <c r="M935" s="1268"/>
      <c r="N935" s="1268"/>
      <c r="O935" s="1269"/>
      <c r="P935" s="1269"/>
      <c r="Q935" s="1269"/>
      <c r="R935" s="1269"/>
    </row>
    <row r="936" ht="12.75" customHeight="1">
      <c r="A936" s="1268"/>
      <c r="B936" s="1269"/>
      <c r="C936" s="1269"/>
      <c r="D936" s="1269"/>
      <c r="E936" s="1269"/>
      <c r="F936" s="1268"/>
      <c r="G936" s="1268"/>
      <c r="H936" s="1268"/>
      <c r="I936" s="1269"/>
      <c r="J936" s="1268"/>
      <c r="K936" s="1268"/>
      <c r="L936" s="1269"/>
      <c r="M936" s="1268"/>
      <c r="N936" s="1268"/>
      <c r="O936" s="1269"/>
      <c r="P936" s="1269"/>
      <c r="Q936" s="1269"/>
      <c r="R936" s="1269"/>
    </row>
    <row r="937" ht="12.75" customHeight="1">
      <c r="A937" s="1268"/>
      <c r="B937" s="1269"/>
      <c r="C937" s="1269"/>
      <c r="D937" s="1269"/>
      <c r="E937" s="1269"/>
      <c r="F937" s="1268"/>
      <c r="G937" s="1268"/>
      <c r="H937" s="1268"/>
      <c r="I937" s="1269"/>
      <c r="J937" s="1268"/>
      <c r="K937" s="1268"/>
      <c r="L937" s="1269"/>
      <c r="M937" s="1268"/>
      <c r="N937" s="1268"/>
      <c r="O937" s="1269"/>
      <c r="P937" s="1269"/>
      <c r="Q937" s="1269"/>
      <c r="R937" s="1269"/>
    </row>
    <row r="938" ht="12.75" customHeight="1">
      <c r="A938" s="1268"/>
      <c r="B938" s="1269"/>
      <c r="C938" s="1269"/>
      <c r="D938" s="1269"/>
      <c r="E938" s="1269"/>
      <c r="F938" s="1268"/>
      <c r="G938" s="1268"/>
      <c r="H938" s="1268"/>
      <c r="I938" s="1269"/>
      <c r="J938" s="1268"/>
      <c r="K938" s="1268"/>
      <c r="L938" s="1269"/>
      <c r="M938" s="1268"/>
      <c r="N938" s="1268"/>
      <c r="O938" s="1269"/>
      <c r="P938" s="1269"/>
      <c r="Q938" s="1269"/>
      <c r="R938" s="1269"/>
    </row>
    <row r="939" ht="12.75" customHeight="1">
      <c r="A939" s="1268"/>
      <c r="B939" s="1269"/>
      <c r="C939" s="1269"/>
      <c r="D939" s="1269"/>
      <c r="E939" s="1269"/>
      <c r="F939" s="1268"/>
      <c r="G939" s="1268"/>
      <c r="H939" s="1268"/>
      <c r="I939" s="1269"/>
      <c r="J939" s="1268"/>
      <c r="K939" s="1268"/>
      <c r="L939" s="1269"/>
      <c r="M939" s="1268"/>
      <c r="N939" s="1268"/>
      <c r="O939" s="1269"/>
      <c r="P939" s="1269"/>
      <c r="Q939" s="1269"/>
      <c r="R939" s="1269"/>
    </row>
    <row r="940" ht="12.75" customHeight="1">
      <c r="A940" s="1268"/>
      <c r="B940" s="1269"/>
      <c r="C940" s="1269"/>
      <c r="D940" s="1269"/>
      <c r="E940" s="1269"/>
      <c r="F940" s="1268"/>
      <c r="G940" s="1268"/>
      <c r="H940" s="1268"/>
      <c r="I940" s="1269"/>
      <c r="J940" s="1268"/>
      <c r="K940" s="1268"/>
      <c r="L940" s="1269"/>
      <c r="M940" s="1268"/>
      <c r="N940" s="1268"/>
      <c r="O940" s="1269"/>
      <c r="P940" s="1269"/>
      <c r="Q940" s="1269"/>
      <c r="R940" s="1269"/>
    </row>
    <row r="941" ht="12.75" customHeight="1">
      <c r="A941" s="1268"/>
      <c r="B941" s="1269"/>
      <c r="C941" s="1269"/>
      <c r="D941" s="1269"/>
      <c r="E941" s="1269"/>
      <c r="F941" s="1268"/>
      <c r="G941" s="1268"/>
      <c r="H941" s="1268"/>
      <c r="I941" s="1269"/>
      <c r="J941" s="1268"/>
      <c r="K941" s="1268"/>
      <c r="L941" s="1269"/>
      <c r="M941" s="1268"/>
      <c r="N941" s="1268"/>
      <c r="O941" s="1269"/>
      <c r="P941" s="1269"/>
      <c r="Q941" s="1269"/>
      <c r="R941" s="1269"/>
    </row>
    <row r="942" ht="12.75" customHeight="1">
      <c r="A942" s="1268"/>
      <c r="B942" s="1269"/>
      <c r="C942" s="1269"/>
      <c r="D942" s="1269"/>
      <c r="E942" s="1269"/>
      <c r="F942" s="1268"/>
      <c r="G942" s="1268"/>
      <c r="H942" s="1268"/>
      <c r="I942" s="1269"/>
      <c r="J942" s="1268"/>
      <c r="K942" s="1268"/>
      <c r="L942" s="1269"/>
      <c r="M942" s="1268"/>
      <c r="N942" s="1268"/>
      <c r="O942" s="1269"/>
      <c r="P942" s="1269"/>
      <c r="Q942" s="1269"/>
      <c r="R942" s="1269"/>
    </row>
    <row r="943" ht="12.75" customHeight="1">
      <c r="A943" s="1268"/>
      <c r="B943" s="1269"/>
      <c r="C943" s="1269"/>
      <c r="D943" s="1269"/>
      <c r="E943" s="1269"/>
      <c r="F943" s="1268"/>
      <c r="G943" s="1268"/>
      <c r="H943" s="1268"/>
      <c r="I943" s="1269"/>
      <c r="J943" s="1268"/>
      <c r="K943" s="1268"/>
      <c r="L943" s="1269"/>
      <c r="M943" s="1268"/>
      <c r="N943" s="1268"/>
      <c r="O943" s="1269"/>
      <c r="P943" s="1269"/>
      <c r="Q943" s="1269"/>
      <c r="R943" s="1269"/>
    </row>
    <row r="944" ht="12.75" customHeight="1">
      <c r="A944" s="1268"/>
      <c r="B944" s="1269"/>
      <c r="C944" s="1269"/>
      <c r="D944" s="1269"/>
      <c r="E944" s="1269"/>
      <c r="F944" s="1268"/>
      <c r="G944" s="1268"/>
      <c r="H944" s="1268"/>
      <c r="I944" s="1269"/>
      <c r="J944" s="1268"/>
      <c r="K944" s="1268"/>
      <c r="L944" s="1269"/>
      <c r="M944" s="1268"/>
      <c r="N944" s="1268"/>
      <c r="O944" s="1269"/>
      <c r="P944" s="1269"/>
      <c r="Q944" s="1269"/>
      <c r="R944" s="1269"/>
    </row>
    <row r="945" ht="12.75" customHeight="1">
      <c r="A945" s="1268"/>
      <c r="B945" s="1269"/>
      <c r="C945" s="1269"/>
      <c r="D945" s="1269"/>
      <c r="E945" s="1269"/>
      <c r="F945" s="1268"/>
      <c r="G945" s="1268"/>
      <c r="H945" s="1268"/>
      <c r="I945" s="1269"/>
      <c r="J945" s="1268"/>
      <c r="K945" s="1268"/>
      <c r="L945" s="1269"/>
      <c r="M945" s="1268"/>
      <c r="N945" s="1268"/>
      <c r="O945" s="1269"/>
      <c r="P945" s="1269"/>
      <c r="Q945" s="1269"/>
      <c r="R945" s="1269"/>
    </row>
    <row r="946" ht="12.75" customHeight="1">
      <c r="A946" s="1268"/>
      <c r="B946" s="1269"/>
      <c r="C946" s="1269"/>
      <c r="D946" s="1269"/>
      <c r="E946" s="1269"/>
      <c r="F946" s="1268"/>
      <c r="G946" s="1268"/>
      <c r="H946" s="1268"/>
      <c r="I946" s="1269"/>
      <c r="J946" s="1268"/>
      <c r="K946" s="1268"/>
      <c r="L946" s="1269"/>
      <c r="M946" s="1268"/>
      <c r="N946" s="1268"/>
      <c r="O946" s="1269"/>
      <c r="P946" s="1269"/>
      <c r="Q946" s="1269"/>
      <c r="R946" s="1269"/>
    </row>
    <row r="947" ht="12.75" customHeight="1">
      <c r="A947" s="1268"/>
      <c r="B947" s="1269"/>
      <c r="C947" s="1269"/>
      <c r="D947" s="1269"/>
      <c r="E947" s="1269"/>
      <c r="F947" s="1268"/>
      <c r="G947" s="1268"/>
      <c r="H947" s="1268"/>
      <c r="I947" s="1269"/>
      <c r="J947" s="1268"/>
      <c r="K947" s="1268"/>
      <c r="L947" s="1269"/>
      <c r="M947" s="1268"/>
      <c r="N947" s="1268"/>
      <c r="O947" s="1269"/>
      <c r="P947" s="1269"/>
      <c r="Q947" s="1269"/>
      <c r="R947" s="1269"/>
    </row>
    <row r="948" ht="12.75" customHeight="1">
      <c r="A948" s="1268"/>
      <c r="B948" s="1269"/>
      <c r="C948" s="1269"/>
      <c r="D948" s="1269"/>
      <c r="E948" s="1269"/>
      <c r="F948" s="1268"/>
      <c r="G948" s="1268"/>
      <c r="H948" s="1268"/>
      <c r="I948" s="1269"/>
      <c r="J948" s="1268"/>
      <c r="K948" s="1268"/>
      <c r="L948" s="1269"/>
      <c r="M948" s="1268"/>
      <c r="N948" s="1268"/>
      <c r="O948" s="1269"/>
      <c r="P948" s="1269"/>
      <c r="Q948" s="1269"/>
      <c r="R948" s="1269"/>
    </row>
    <row r="949" ht="12.75" customHeight="1">
      <c r="A949" s="1268"/>
      <c r="B949" s="1269"/>
      <c r="C949" s="1269"/>
      <c r="D949" s="1269"/>
      <c r="E949" s="1269"/>
      <c r="F949" s="1268"/>
      <c r="G949" s="1268"/>
      <c r="H949" s="1268"/>
      <c r="I949" s="1269"/>
      <c r="J949" s="1268"/>
      <c r="K949" s="1268"/>
      <c r="L949" s="1269"/>
      <c r="M949" s="1268"/>
      <c r="N949" s="1268"/>
      <c r="O949" s="1269"/>
      <c r="P949" s="1269"/>
      <c r="Q949" s="1269"/>
      <c r="R949" s="1269"/>
    </row>
    <row r="950" ht="12.75" customHeight="1">
      <c r="A950" s="1268"/>
      <c r="B950" s="1269"/>
      <c r="C950" s="1269"/>
      <c r="D950" s="1269"/>
      <c r="E950" s="1269"/>
      <c r="F950" s="1268"/>
      <c r="G950" s="1268"/>
      <c r="H950" s="1268"/>
      <c r="I950" s="1269"/>
      <c r="J950" s="1268"/>
      <c r="K950" s="1268"/>
      <c r="L950" s="1269"/>
      <c r="M950" s="1268"/>
      <c r="N950" s="1268"/>
      <c r="O950" s="1269"/>
      <c r="P950" s="1269"/>
      <c r="Q950" s="1269"/>
      <c r="R950" s="1269"/>
    </row>
    <row r="951" ht="12.75" customHeight="1">
      <c r="A951" s="1268"/>
      <c r="B951" s="1269"/>
      <c r="C951" s="1269"/>
      <c r="D951" s="1269"/>
      <c r="E951" s="1269"/>
      <c r="F951" s="1268"/>
      <c r="G951" s="1268"/>
      <c r="H951" s="1268"/>
      <c r="I951" s="1269"/>
      <c r="J951" s="1268"/>
      <c r="K951" s="1268"/>
      <c r="L951" s="1269"/>
      <c r="M951" s="1268"/>
      <c r="N951" s="1268"/>
      <c r="O951" s="1269"/>
      <c r="P951" s="1269"/>
      <c r="Q951" s="1269"/>
      <c r="R951" s="1269"/>
    </row>
    <row r="952" ht="12.75" customHeight="1">
      <c r="A952" s="1268"/>
      <c r="B952" s="1269"/>
      <c r="C952" s="1269"/>
      <c r="D952" s="1269"/>
      <c r="E952" s="1269"/>
      <c r="F952" s="1268"/>
      <c r="G952" s="1268"/>
      <c r="H952" s="1268"/>
      <c r="I952" s="1269"/>
      <c r="J952" s="1268"/>
      <c r="K952" s="1268"/>
      <c r="L952" s="1269"/>
      <c r="M952" s="1268"/>
      <c r="N952" s="1268"/>
      <c r="O952" s="1269"/>
      <c r="P952" s="1269"/>
      <c r="Q952" s="1269"/>
      <c r="R952" s="1269"/>
    </row>
    <row r="953" ht="12.75" customHeight="1">
      <c r="A953" s="1268"/>
      <c r="B953" s="1269"/>
      <c r="C953" s="1269"/>
      <c r="D953" s="1269"/>
      <c r="E953" s="1269"/>
      <c r="F953" s="1268"/>
      <c r="G953" s="1268"/>
      <c r="H953" s="1268"/>
      <c r="I953" s="1269"/>
      <c r="J953" s="1268"/>
      <c r="K953" s="1268"/>
      <c r="L953" s="1269"/>
      <c r="M953" s="1268"/>
      <c r="N953" s="1268"/>
      <c r="O953" s="1269"/>
      <c r="P953" s="1269"/>
      <c r="Q953" s="1269"/>
      <c r="R953" s="1269"/>
    </row>
    <row r="954" ht="12.75" customHeight="1">
      <c r="A954" s="1268"/>
      <c r="B954" s="1269"/>
      <c r="C954" s="1269"/>
      <c r="D954" s="1269"/>
      <c r="E954" s="1269"/>
      <c r="F954" s="1268"/>
      <c r="G954" s="1268"/>
      <c r="H954" s="1268"/>
      <c r="I954" s="1269"/>
      <c r="J954" s="1268"/>
      <c r="K954" s="1268"/>
      <c r="L954" s="1269"/>
      <c r="M954" s="1268"/>
      <c r="N954" s="1268"/>
      <c r="O954" s="1269"/>
      <c r="P954" s="1269"/>
      <c r="Q954" s="1269"/>
      <c r="R954" s="1269"/>
    </row>
    <row r="955" ht="12.75" customHeight="1">
      <c r="A955" s="1268"/>
      <c r="B955" s="1269"/>
      <c r="C955" s="1269"/>
      <c r="D955" s="1269"/>
      <c r="E955" s="1269"/>
      <c r="F955" s="1268"/>
      <c r="G955" s="1268"/>
      <c r="H955" s="1268"/>
      <c r="I955" s="1269"/>
      <c r="J955" s="1268"/>
      <c r="K955" s="1268"/>
      <c r="L955" s="1269"/>
      <c r="M955" s="1268"/>
      <c r="N955" s="1268"/>
      <c r="O955" s="1269"/>
      <c r="P955" s="1269"/>
      <c r="Q955" s="1269"/>
      <c r="R955" s="1269"/>
    </row>
    <row r="956" ht="12.75" customHeight="1">
      <c r="A956" s="1268"/>
      <c r="B956" s="1269"/>
      <c r="C956" s="1269"/>
      <c r="D956" s="1269"/>
      <c r="E956" s="1269"/>
      <c r="F956" s="1268"/>
      <c r="G956" s="1268"/>
      <c r="H956" s="1268"/>
      <c r="I956" s="1269"/>
      <c r="J956" s="1268"/>
      <c r="K956" s="1268"/>
      <c r="L956" s="1269"/>
      <c r="M956" s="1268"/>
      <c r="N956" s="1268"/>
      <c r="O956" s="1269"/>
      <c r="P956" s="1269"/>
      <c r="Q956" s="1269"/>
      <c r="R956" s="1269"/>
    </row>
    <row r="957" ht="12.75" customHeight="1">
      <c r="A957" s="1268"/>
      <c r="B957" s="1269"/>
      <c r="C957" s="1269"/>
      <c r="D957" s="1269"/>
      <c r="E957" s="1269"/>
      <c r="F957" s="1268"/>
      <c r="G957" s="1268"/>
      <c r="H957" s="1268"/>
      <c r="I957" s="1269"/>
      <c r="J957" s="1268"/>
      <c r="K957" s="1268"/>
      <c r="L957" s="1269"/>
      <c r="M957" s="1268"/>
      <c r="N957" s="1268"/>
      <c r="O957" s="1269"/>
      <c r="P957" s="1269"/>
      <c r="Q957" s="1269"/>
      <c r="R957" s="1269"/>
    </row>
    <row r="958" ht="12.75" customHeight="1">
      <c r="A958" s="1268"/>
      <c r="B958" s="1269"/>
      <c r="C958" s="1269"/>
      <c r="D958" s="1269"/>
      <c r="E958" s="1269"/>
      <c r="F958" s="1268"/>
      <c r="G958" s="1268"/>
      <c r="H958" s="1268"/>
      <c r="I958" s="1269"/>
      <c r="J958" s="1268"/>
      <c r="K958" s="1268"/>
      <c r="L958" s="1269"/>
      <c r="M958" s="1268"/>
      <c r="N958" s="1268"/>
      <c r="O958" s="1269"/>
      <c r="P958" s="1269"/>
      <c r="Q958" s="1269"/>
      <c r="R958" s="1269"/>
    </row>
    <row r="959" ht="12.75" customHeight="1">
      <c r="A959" s="1268"/>
      <c r="B959" s="1269"/>
      <c r="C959" s="1269"/>
      <c r="D959" s="1269"/>
      <c r="E959" s="1269"/>
      <c r="F959" s="1268"/>
      <c r="G959" s="1268"/>
      <c r="H959" s="1268"/>
      <c r="I959" s="1269"/>
      <c r="J959" s="1268"/>
      <c r="K959" s="1268"/>
      <c r="L959" s="1269"/>
      <c r="M959" s="1268"/>
      <c r="N959" s="1268"/>
      <c r="O959" s="1269"/>
      <c r="P959" s="1269"/>
      <c r="Q959" s="1269"/>
      <c r="R959" s="1269"/>
    </row>
    <row r="960" ht="12.75" customHeight="1">
      <c r="A960" s="1268"/>
      <c r="B960" s="1269"/>
      <c r="C960" s="1269"/>
      <c r="D960" s="1269"/>
      <c r="E960" s="1269"/>
      <c r="F960" s="1268"/>
      <c r="G960" s="1268"/>
      <c r="H960" s="1268"/>
      <c r="I960" s="1269"/>
      <c r="J960" s="1268"/>
      <c r="K960" s="1268"/>
      <c r="L960" s="1269"/>
      <c r="M960" s="1268"/>
      <c r="N960" s="1268"/>
      <c r="O960" s="1269"/>
      <c r="P960" s="1269"/>
      <c r="Q960" s="1269"/>
      <c r="R960" s="1269"/>
    </row>
    <row r="961" ht="12.75" customHeight="1">
      <c r="A961" s="1268"/>
      <c r="B961" s="1269"/>
      <c r="C961" s="1269"/>
      <c r="D961" s="1269"/>
      <c r="E961" s="1269"/>
      <c r="F961" s="1268"/>
      <c r="G961" s="1268"/>
      <c r="H961" s="1268"/>
      <c r="I961" s="1269"/>
      <c r="J961" s="1268"/>
      <c r="K961" s="1268"/>
      <c r="L961" s="1269"/>
      <c r="M961" s="1268"/>
      <c r="N961" s="1268"/>
      <c r="O961" s="1269"/>
      <c r="P961" s="1269"/>
      <c r="Q961" s="1269"/>
      <c r="R961" s="1269"/>
    </row>
    <row r="962" ht="12.75" customHeight="1">
      <c r="A962" s="1268"/>
      <c r="B962" s="1269"/>
      <c r="C962" s="1269"/>
      <c r="D962" s="1269"/>
      <c r="E962" s="1269"/>
      <c r="F962" s="1268"/>
      <c r="G962" s="1268"/>
      <c r="H962" s="1268"/>
      <c r="I962" s="1269"/>
      <c r="J962" s="1268"/>
      <c r="K962" s="1268"/>
      <c r="L962" s="1269"/>
      <c r="M962" s="1268"/>
      <c r="N962" s="1268"/>
      <c r="O962" s="1269"/>
      <c r="P962" s="1269"/>
      <c r="Q962" s="1269"/>
      <c r="R962" s="1269"/>
    </row>
    <row r="963" ht="12.75" customHeight="1">
      <c r="A963" s="1268"/>
      <c r="B963" s="1269"/>
      <c r="C963" s="1269"/>
      <c r="D963" s="1269"/>
      <c r="E963" s="1269"/>
      <c r="F963" s="1268"/>
      <c r="G963" s="1268"/>
      <c r="H963" s="1268"/>
      <c r="I963" s="1269"/>
      <c r="J963" s="1268"/>
      <c r="K963" s="1268"/>
      <c r="L963" s="1269"/>
      <c r="M963" s="1268"/>
      <c r="N963" s="1268"/>
      <c r="O963" s="1269"/>
      <c r="P963" s="1269"/>
      <c r="Q963" s="1269"/>
      <c r="R963" s="1269"/>
    </row>
    <row r="964" ht="12.75" customHeight="1">
      <c r="A964" s="1268"/>
      <c r="B964" s="1269"/>
      <c r="C964" s="1269"/>
      <c r="D964" s="1269"/>
      <c r="E964" s="1269"/>
      <c r="F964" s="1268"/>
      <c r="G964" s="1268"/>
      <c r="H964" s="1268"/>
      <c r="I964" s="1269"/>
      <c r="J964" s="1268"/>
      <c r="K964" s="1268"/>
      <c r="L964" s="1269"/>
      <c r="M964" s="1268"/>
      <c r="N964" s="1268"/>
      <c r="O964" s="1269"/>
      <c r="P964" s="1269"/>
      <c r="Q964" s="1269"/>
      <c r="R964" s="1269"/>
    </row>
    <row r="965" ht="12.75" customHeight="1">
      <c r="A965" s="1268"/>
      <c r="B965" s="1269"/>
      <c r="C965" s="1269"/>
      <c r="D965" s="1269"/>
      <c r="E965" s="1269"/>
      <c r="F965" s="1268"/>
      <c r="G965" s="1268"/>
      <c r="H965" s="1268"/>
      <c r="I965" s="1269"/>
      <c r="J965" s="1268"/>
      <c r="K965" s="1268"/>
      <c r="L965" s="1269"/>
      <c r="M965" s="1268"/>
      <c r="N965" s="1268"/>
      <c r="O965" s="1269"/>
      <c r="P965" s="1269"/>
      <c r="Q965" s="1269"/>
      <c r="R965" s="1269"/>
    </row>
    <row r="966" ht="12.75" customHeight="1">
      <c r="A966" s="1268"/>
      <c r="B966" s="1269"/>
      <c r="C966" s="1269"/>
      <c r="D966" s="1269"/>
      <c r="E966" s="1269"/>
      <c r="F966" s="1268"/>
      <c r="G966" s="1268"/>
      <c r="H966" s="1268"/>
      <c r="I966" s="1269"/>
      <c r="J966" s="1268"/>
      <c r="K966" s="1268"/>
      <c r="L966" s="1269"/>
      <c r="M966" s="1268"/>
      <c r="N966" s="1268"/>
      <c r="O966" s="1269"/>
      <c r="P966" s="1269"/>
      <c r="Q966" s="1269"/>
      <c r="R966" s="1269"/>
    </row>
    <row r="967" ht="12.75" customHeight="1">
      <c r="A967" s="1268"/>
      <c r="B967" s="1269"/>
      <c r="C967" s="1269"/>
      <c r="D967" s="1269"/>
      <c r="E967" s="1269"/>
      <c r="F967" s="1268"/>
      <c r="G967" s="1268"/>
      <c r="H967" s="1268"/>
      <c r="I967" s="1269"/>
      <c r="J967" s="1268"/>
      <c r="K967" s="1268"/>
      <c r="L967" s="1269"/>
      <c r="M967" s="1268"/>
      <c r="N967" s="1268"/>
      <c r="O967" s="1269"/>
      <c r="P967" s="1269"/>
      <c r="Q967" s="1269"/>
      <c r="R967" s="1269"/>
    </row>
    <row r="968" ht="12.75" customHeight="1">
      <c r="A968" s="1268"/>
      <c r="B968" s="1269"/>
      <c r="C968" s="1269"/>
      <c r="D968" s="1269"/>
      <c r="E968" s="1269"/>
      <c r="F968" s="1268"/>
      <c r="G968" s="1268"/>
      <c r="H968" s="1268"/>
      <c r="I968" s="1269"/>
      <c r="J968" s="1268"/>
      <c r="K968" s="1268"/>
      <c r="L968" s="1269"/>
      <c r="M968" s="1268"/>
      <c r="N968" s="1268"/>
      <c r="O968" s="1269"/>
      <c r="P968" s="1269"/>
      <c r="Q968" s="1269"/>
      <c r="R968" s="1269"/>
    </row>
    <row r="969" ht="12.75" customHeight="1">
      <c r="A969" s="1268"/>
      <c r="B969" s="1269"/>
      <c r="C969" s="1269"/>
      <c r="D969" s="1269"/>
      <c r="E969" s="1269"/>
      <c r="F969" s="1268"/>
      <c r="G969" s="1268"/>
      <c r="H969" s="1268"/>
      <c r="I969" s="1269"/>
      <c r="J969" s="1268"/>
      <c r="K969" s="1268"/>
      <c r="L969" s="1269"/>
      <c r="M969" s="1268"/>
      <c r="N969" s="1268"/>
      <c r="O969" s="1269"/>
      <c r="P969" s="1269"/>
      <c r="Q969" s="1269"/>
      <c r="R969" s="1269"/>
    </row>
    <row r="970" ht="12.75" customHeight="1">
      <c r="A970" s="1268"/>
      <c r="B970" s="1269"/>
      <c r="C970" s="1269"/>
      <c r="D970" s="1269"/>
      <c r="E970" s="1269"/>
      <c r="F970" s="1268"/>
      <c r="G970" s="1268"/>
      <c r="H970" s="1268"/>
      <c r="I970" s="1269"/>
      <c r="J970" s="1268"/>
      <c r="K970" s="1268"/>
      <c r="L970" s="1269"/>
      <c r="M970" s="1268"/>
      <c r="N970" s="1268"/>
      <c r="O970" s="1269"/>
      <c r="P970" s="1269"/>
      <c r="Q970" s="1269"/>
      <c r="R970" s="1269"/>
    </row>
    <row r="971" ht="12.75" customHeight="1">
      <c r="A971" s="1268"/>
      <c r="B971" s="1269"/>
      <c r="C971" s="1269"/>
      <c r="D971" s="1269"/>
      <c r="E971" s="1269"/>
      <c r="F971" s="1268"/>
      <c r="G971" s="1268"/>
      <c r="H971" s="1268"/>
      <c r="I971" s="1269"/>
      <c r="J971" s="1268"/>
      <c r="K971" s="1268"/>
      <c r="L971" s="1269"/>
      <c r="M971" s="1268"/>
      <c r="N971" s="1268"/>
      <c r="O971" s="1269"/>
      <c r="P971" s="1269"/>
      <c r="Q971" s="1269"/>
      <c r="R971" s="1269"/>
    </row>
    <row r="972" ht="12.75" customHeight="1">
      <c r="A972" s="1268"/>
      <c r="B972" s="1269"/>
      <c r="C972" s="1269"/>
      <c r="D972" s="1269"/>
      <c r="E972" s="1269"/>
      <c r="F972" s="1268"/>
      <c r="G972" s="1268"/>
      <c r="H972" s="1268"/>
      <c r="I972" s="1269"/>
      <c r="J972" s="1268"/>
      <c r="K972" s="1268"/>
      <c r="L972" s="1269"/>
      <c r="M972" s="1268"/>
      <c r="N972" s="1268"/>
      <c r="O972" s="1269"/>
      <c r="P972" s="1269"/>
      <c r="Q972" s="1269"/>
      <c r="R972" s="1269"/>
    </row>
    <row r="973" ht="12.75" customHeight="1">
      <c r="A973" s="1268"/>
      <c r="B973" s="1269"/>
      <c r="C973" s="1269"/>
      <c r="D973" s="1269"/>
      <c r="E973" s="1269"/>
      <c r="F973" s="1268"/>
      <c r="G973" s="1268"/>
      <c r="H973" s="1268"/>
      <c r="I973" s="1269"/>
      <c r="J973" s="1268"/>
      <c r="K973" s="1268"/>
      <c r="L973" s="1269"/>
      <c r="M973" s="1268"/>
      <c r="N973" s="1268"/>
      <c r="O973" s="1269"/>
      <c r="P973" s="1269"/>
      <c r="Q973" s="1269"/>
      <c r="R973" s="1269"/>
    </row>
    <row r="974" ht="12.75" customHeight="1">
      <c r="A974" s="1268"/>
      <c r="B974" s="1269"/>
      <c r="C974" s="1269"/>
      <c r="D974" s="1269"/>
      <c r="E974" s="1269"/>
      <c r="F974" s="1268"/>
      <c r="G974" s="1268"/>
      <c r="H974" s="1268"/>
      <c r="I974" s="1269"/>
      <c r="J974" s="1268"/>
      <c r="K974" s="1268"/>
      <c r="L974" s="1269"/>
      <c r="M974" s="1268"/>
      <c r="N974" s="1268"/>
      <c r="O974" s="1269"/>
      <c r="P974" s="1269"/>
      <c r="Q974" s="1269"/>
      <c r="R974" s="1269"/>
    </row>
    <row r="975" ht="12.75" customHeight="1">
      <c r="A975" s="1268"/>
      <c r="B975" s="1269"/>
      <c r="C975" s="1269"/>
      <c r="D975" s="1269"/>
      <c r="E975" s="1269"/>
      <c r="F975" s="1268"/>
      <c r="G975" s="1268"/>
      <c r="H975" s="1268"/>
      <c r="I975" s="1269"/>
      <c r="J975" s="1268"/>
      <c r="K975" s="1268"/>
      <c r="L975" s="1269"/>
      <c r="M975" s="1268"/>
      <c r="N975" s="1268"/>
      <c r="O975" s="1269"/>
      <c r="P975" s="1269"/>
      <c r="Q975" s="1269"/>
      <c r="R975" s="1269"/>
    </row>
    <row r="976" ht="12.75" customHeight="1">
      <c r="A976" s="1268"/>
      <c r="B976" s="1269"/>
      <c r="C976" s="1269"/>
      <c r="D976" s="1269"/>
      <c r="E976" s="1269"/>
      <c r="F976" s="1268"/>
      <c r="G976" s="1268"/>
      <c r="H976" s="1268"/>
      <c r="I976" s="1269"/>
      <c r="J976" s="1268"/>
      <c r="K976" s="1268"/>
      <c r="L976" s="1269"/>
      <c r="M976" s="1268"/>
      <c r="N976" s="1268"/>
      <c r="O976" s="1269"/>
      <c r="P976" s="1269"/>
      <c r="Q976" s="1269"/>
      <c r="R976" s="1269"/>
    </row>
    <row r="977" ht="12.75" customHeight="1">
      <c r="A977" s="1268"/>
      <c r="B977" s="1269"/>
      <c r="C977" s="1269"/>
      <c r="D977" s="1269"/>
      <c r="E977" s="1269"/>
      <c r="F977" s="1268"/>
      <c r="G977" s="1268"/>
      <c r="H977" s="1268"/>
      <c r="I977" s="1269"/>
      <c r="J977" s="1268"/>
      <c r="K977" s="1268"/>
      <c r="L977" s="1269"/>
      <c r="M977" s="1268"/>
      <c r="N977" s="1268"/>
      <c r="O977" s="1269"/>
      <c r="P977" s="1269"/>
      <c r="Q977" s="1269"/>
      <c r="R977" s="1269"/>
    </row>
    <row r="978" ht="12.75" customHeight="1">
      <c r="A978" s="1268"/>
      <c r="B978" s="1269"/>
      <c r="C978" s="1269"/>
      <c r="D978" s="1269"/>
      <c r="E978" s="1269"/>
      <c r="F978" s="1268"/>
      <c r="G978" s="1268"/>
      <c r="H978" s="1268"/>
      <c r="I978" s="1269"/>
      <c r="J978" s="1268"/>
      <c r="K978" s="1268"/>
      <c r="L978" s="1269"/>
      <c r="M978" s="1268"/>
      <c r="N978" s="1268"/>
      <c r="O978" s="1269"/>
      <c r="P978" s="1269"/>
      <c r="Q978" s="1269"/>
      <c r="R978" s="1269"/>
    </row>
    <row r="979" ht="12.75" customHeight="1">
      <c r="A979" s="1268"/>
      <c r="B979" s="1269"/>
      <c r="C979" s="1269"/>
      <c r="D979" s="1269"/>
      <c r="E979" s="1269"/>
      <c r="F979" s="1268"/>
      <c r="G979" s="1268"/>
      <c r="H979" s="1268"/>
      <c r="I979" s="1269"/>
      <c r="J979" s="1268"/>
      <c r="K979" s="1268"/>
      <c r="L979" s="1269"/>
      <c r="M979" s="1268"/>
      <c r="N979" s="1268"/>
      <c r="O979" s="1269"/>
      <c r="P979" s="1269"/>
      <c r="Q979" s="1269"/>
      <c r="R979" s="1269"/>
    </row>
    <row r="980" ht="12.75" customHeight="1">
      <c r="A980" s="1268"/>
      <c r="B980" s="1269"/>
      <c r="C980" s="1269"/>
      <c r="D980" s="1269"/>
      <c r="E980" s="1269"/>
      <c r="F980" s="1268"/>
      <c r="G980" s="1268"/>
      <c r="H980" s="1268"/>
      <c r="I980" s="1269"/>
      <c r="J980" s="1268"/>
      <c r="K980" s="1268"/>
      <c r="L980" s="1269"/>
      <c r="M980" s="1268"/>
      <c r="N980" s="1268"/>
      <c r="O980" s="1269"/>
      <c r="P980" s="1269"/>
      <c r="Q980" s="1269"/>
      <c r="R980" s="1269"/>
    </row>
    <row r="981" ht="12.75" customHeight="1">
      <c r="A981" s="1268"/>
      <c r="B981" s="1269"/>
      <c r="C981" s="1269"/>
      <c r="D981" s="1269"/>
      <c r="E981" s="1269"/>
      <c r="F981" s="1268"/>
      <c r="G981" s="1268"/>
      <c r="H981" s="1268"/>
      <c r="I981" s="1269"/>
      <c r="J981" s="1268"/>
      <c r="K981" s="1268"/>
      <c r="L981" s="1269"/>
      <c r="M981" s="1268"/>
      <c r="N981" s="1268"/>
      <c r="O981" s="1269"/>
      <c r="P981" s="1269"/>
      <c r="Q981" s="1269"/>
      <c r="R981" s="1269"/>
    </row>
    <row r="982" ht="12.75" customHeight="1">
      <c r="A982" s="1268"/>
      <c r="B982" s="1269"/>
      <c r="C982" s="1269"/>
      <c r="D982" s="1269"/>
      <c r="E982" s="1269"/>
      <c r="F982" s="1268"/>
      <c r="G982" s="1268"/>
      <c r="H982" s="1268"/>
      <c r="I982" s="1269"/>
      <c r="J982" s="1268"/>
      <c r="K982" s="1268"/>
      <c r="L982" s="1269"/>
      <c r="M982" s="1268"/>
      <c r="N982" s="1268"/>
      <c r="O982" s="1269"/>
      <c r="P982" s="1269"/>
      <c r="Q982" s="1269"/>
      <c r="R982" s="1269"/>
    </row>
    <row r="983" ht="12.75" customHeight="1">
      <c r="A983" s="1268"/>
      <c r="B983" s="1269"/>
      <c r="C983" s="1269"/>
      <c r="D983" s="1269"/>
      <c r="E983" s="1269"/>
      <c r="F983" s="1268"/>
      <c r="G983" s="1268"/>
      <c r="H983" s="1268"/>
      <c r="I983" s="1269"/>
      <c r="J983" s="1268"/>
      <c r="K983" s="1268"/>
      <c r="L983" s="1269"/>
      <c r="M983" s="1268"/>
      <c r="N983" s="1268"/>
      <c r="O983" s="1269"/>
      <c r="P983" s="1269"/>
      <c r="Q983" s="1269"/>
      <c r="R983" s="1269"/>
    </row>
    <row r="984" ht="12.75" customHeight="1">
      <c r="A984" s="1268"/>
      <c r="B984" s="1269"/>
      <c r="C984" s="1269"/>
      <c r="D984" s="1269"/>
      <c r="E984" s="1269"/>
      <c r="F984" s="1268"/>
      <c r="G984" s="1268"/>
      <c r="H984" s="1268"/>
      <c r="I984" s="1269"/>
      <c r="J984" s="1268"/>
      <c r="K984" s="1268"/>
      <c r="L984" s="1269"/>
      <c r="M984" s="1268"/>
      <c r="N984" s="1268"/>
      <c r="O984" s="1269"/>
      <c r="P984" s="1269"/>
      <c r="Q984" s="1269"/>
      <c r="R984" s="1269"/>
    </row>
    <row r="985" ht="12.75" customHeight="1">
      <c r="A985" s="1268"/>
      <c r="B985" s="1269"/>
      <c r="C985" s="1269"/>
      <c r="D985" s="1269"/>
      <c r="E985" s="1269"/>
      <c r="F985" s="1268"/>
      <c r="G985" s="1268"/>
      <c r="H985" s="1268"/>
      <c r="I985" s="1269"/>
      <c r="J985" s="1268"/>
      <c r="K985" s="1268"/>
      <c r="L985" s="1269"/>
      <c r="M985" s="1268"/>
      <c r="N985" s="1268"/>
      <c r="O985" s="1269"/>
      <c r="P985" s="1269"/>
      <c r="Q985" s="1269"/>
      <c r="R985" s="1269"/>
    </row>
    <row r="986" ht="12.75" customHeight="1">
      <c r="A986" s="1268"/>
      <c r="B986" s="1269"/>
      <c r="C986" s="1269"/>
      <c r="D986" s="1269"/>
      <c r="E986" s="1269"/>
      <c r="F986" s="1268"/>
      <c r="G986" s="1268"/>
      <c r="H986" s="1268"/>
      <c r="I986" s="1269"/>
      <c r="J986" s="1268"/>
      <c r="K986" s="1268"/>
      <c r="L986" s="1269"/>
      <c r="M986" s="1268"/>
      <c r="N986" s="1268"/>
      <c r="O986" s="1269"/>
      <c r="P986" s="1269"/>
      <c r="Q986" s="1269"/>
      <c r="R986" s="1269"/>
    </row>
    <row r="987" ht="12.75" customHeight="1">
      <c r="A987" s="1268"/>
      <c r="B987" s="1269"/>
      <c r="C987" s="1269"/>
      <c r="D987" s="1269"/>
      <c r="E987" s="1269"/>
      <c r="F987" s="1268"/>
      <c r="G987" s="1268"/>
      <c r="H987" s="1268"/>
      <c r="I987" s="1269"/>
      <c r="J987" s="1268"/>
      <c r="K987" s="1268"/>
      <c r="L987" s="1269"/>
      <c r="M987" s="1268"/>
      <c r="N987" s="1268"/>
      <c r="O987" s="1269"/>
      <c r="P987" s="1269"/>
      <c r="Q987" s="1269"/>
      <c r="R987" s="1269"/>
    </row>
    <row r="988" ht="12.75" customHeight="1">
      <c r="A988" s="1268"/>
      <c r="B988" s="1269"/>
      <c r="C988" s="1269"/>
      <c r="D988" s="1269"/>
      <c r="E988" s="1269"/>
      <c r="F988" s="1268"/>
      <c r="G988" s="1268"/>
      <c r="H988" s="1268"/>
      <c r="I988" s="1269"/>
      <c r="J988" s="1268"/>
      <c r="K988" s="1268"/>
      <c r="L988" s="1269"/>
      <c r="M988" s="1268"/>
      <c r="N988" s="1268"/>
      <c r="O988" s="1269"/>
      <c r="P988" s="1269"/>
      <c r="Q988" s="1269"/>
      <c r="R988" s="1269"/>
    </row>
    <row r="989" ht="12.75" customHeight="1">
      <c r="A989" s="1268"/>
      <c r="B989" s="1269"/>
      <c r="C989" s="1269"/>
      <c r="D989" s="1269"/>
      <c r="E989" s="1269"/>
      <c r="F989" s="1268"/>
      <c r="G989" s="1268"/>
      <c r="H989" s="1268"/>
      <c r="I989" s="1269"/>
      <c r="J989" s="1268"/>
      <c r="K989" s="1268"/>
      <c r="L989" s="1269"/>
      <c r="M989" s="1268"/>
      <c r="N989" s="1268"/>
      <c r="O989" s="1269"/>
      <c r="P989" s="1269"/>
      <c r="Q989" s="1269"/>
      <c r="R989" s="1269"/>
    </row>
    <row r="990" ht="12.75" customHeight="1">
      <c r="A990" s="1268"/>
      <c r="B990" s="1269"/>
      <c r="C990" s="1269"/>
      <c r="D990" s="1269"/>
      <c r="E990" s="1269"/>
      <c r="F990" s="1268"/>
      <c r="G990" s="1268"/>
      <c r="H990" s="1268"/>
      <c r="I990" s="1269"/>
      <c r="J990" s="1268"/>
      <c r="K990" s="1268"/>
      <c r="L990" s="1269"/>
      <c r="M990" s="1268"/>
      <c r="N990" s="1268"/>
      <c r="O990" s="1269"/>
      <c r="P990" s="1269"/>
      <c r="Q990" s="1269"/>
      <c r="R990" s="1269"/>
    </row>
    <row r="991" ht="12.75" customHeight="1">
      <c r="A991" s="1268"/>
      <c r="B991" s="1269"/>
      <c r="C991" s="1269"/>
      <c r="D991" s="1269"/>
      <c r="E991" s="1269"/>
      <c r="F991" s="1268"/>
      <c r="G991" s="1268"/>
      <c r="H991" s="1268"/>
      <c r="I991" s="1269"/>
      <c r="J991" s="1268"/>
      <c r="K991" s="1268"/>
      <c r="L991" s="1269"/>
      <c r="M991" s="1268"/>
      <c r="N991" s="1268"/>
      <c r="O991" s="1269"/>
      <c r="P991" s="1269"/>
      <c r="Q991" s="1269"/>
      <c r="R991" s="1269"/>
    </row>
    <row r="992" ht="12.75" customHeight="1">
      <c r="A992" s="1268"/>
      <c r="B992" s="1269"/>
      <c r="C992" s="1269"/>
      <c r="D992" s="1269"/>
      <c r="E992" s="1269"/>
      <c r="F992" s="1268"/>
      <c r="G992" s="1268"/>
      <c r="H992" s="1268"/>
      <c r="I992" s="1269"/>
      <c r="J992" s="1268"/>
      <c r="K992" s="1268"/>
      <c r="L992" s="1269"/>
      <c r="M992" s="1268"/>
      <c r="N992" s="1268"/>
      <c r="O992" s="1269"/>
      <c r="P992" s="1269"/>
      <c r="Q992" s="1269"/>
      <c r="R992" s="1269"/>
    </row>
    <row r="993" ht="12.75" customHeight="1">
      <c r="A993" s="1268"/>
      <c r="B993" s="1269"/>
      <c r="C993" s="1269"/>
      <c r="D993" s="1269"/>
      <c r="E993" s="1269"/>
      <c r="F993" s="1268"/>
      <c r="G993" s="1268"/>
      <c r="H993" s="1268"/>
      <c r="I993" s="1269"/>
      <c r="J993" s="1268"/>
      <c r="K993" s="1268"/>
      <c r="L993" s="1269"/>
      <c r="M993" s="1268"/>
      <c r="N993" s="1268"/>
      <c r="O993" s="1269"/>
      <c r="P993" s="1269"/>
      <c r="Q993" s="1269"/>
      <c r="R993" s="1269"/>
    </row>
    <row r="994" ht="12.75" customHeight="1">
      <c r="A994" s="1268"/>
      <c r="B994" s="1269"/>
      <c r="C994" s="1269"/>
      <c r="D994" s="1269"/>
      <c r="E994" s="1269"/>
      <c r="F994" s="1268"/>
      <c r="G994" s="1268"/>
      <c r="H994" s="1268"/>
      <c r="I994" s="1269"/>
      <c r="J994" s="1268"/>
      <c r="K994" s="1268"/>
      <c r="L994" s="1269"/>
      <c r="M994" s="1268"/>
      <c r="N994" s="1268"/>
      <c r="O994" s="1269"/>
      <c r="P994" s="1269"/>
      <c r="Q994" s="1269"/>
      <c r="R994" s="1269"/>
    </row>
    <row r="995" ht="12.75" customHeight="1">
      <c r="A995" s="1268"/>
      <c r="B995" s="1269"/>
      <c r="C995" s="1269"/>
      <c r="D995" s="1269"/>
      <c r="E995" s="1269"/>
      <c r="F995" s="1268"/>
      <c r="G995" s="1268"/>
      <c r="H995" s="1268"/>
      <c r="I995" s="1269"/>
      <c r="J995" s="1268"/>
      <c r="K995" s="1268"/>
      <c r="L995" s="1269"/>
      <c r="M995" s="1268"/>
      <c r="N995" s="1268"/>
      <c r="O995" s="1269"/>
      <c r="P995" s="1269"/>
      <c r="Q995" s="1269"/>
      <c r="R995" s="1269"/>
    </row>
    <row r="996" ht="12.75" customHeight="1">
      <c r="A996" s="1268"/>
      <c r="B996" s="1269"/>
      <c r="C996" s="1269"/>
      <c r="D996" s="1269"/>
      <c r="E996" s="1269"/>
      <c r="F996" s="1268"/>
      <c r="G996" s="1268"/>
      <c r="H996" s="1268"/>
      <c r="I996" s="1269"/>
      <c r="J996" s="1268"/>
      <c r="K996" s="1268"/>
      <c r="L996" s="1269"/>
      <c r="M996" s="1268"/>
      <c r="N996" s="1268"/>
      <c r="O996" s="1269"/>
      <c r="P996" s="1269"/>
      <c r="Q996" s="1269"/>
      <c r="R996" s="1269"/>
    </row>
    <row r="997" ht="12.75" customHeight="1">
      <c r="A997" s="1268"/>
      <c r="B997" s="1269"/>
      <c r="C997" s="1269"/>
      <c r="D997" s="1269"/>
      <c r="E997" s="1269"/>
      <c r="F997" s="1268"/>
      <c r="G997" s="1268"/>
      <c r="H997" s="1268"/>
      <c r="I997" s="1269"/>
      <c r="J997" s="1268"/>
      <c r="K997" s="1268"/>
      <c r="L997" s="1269"/>
      <c r="M997" s="1268"/>
      <c r="N997" s="1268"/>
      <c r="O997" s="1269"/>
      <c r="P997" s="1269"/>
      <c r="Q997" s="1269"/>
      <c r="R997" s="1269"/>
    </row>
    <row r="998" ht="12.75" customHeight="1">
      <c r="A998" s="1268"/>
      <c r="B998" s="1269"/>
      <c r="C998" s="1269"/>
      <c r="D998" s="1269"/>
      <c r="E998" s="1269"/>
      <c r="F998" s="1268"/>
      <c r="G998" s="1268"/>
      <c r="H998" s="1268"/>
      <c r="I998" s="1269"/>
      <c r="J998" s="1268"/>
      <c r="K998" s="1268"/>
      <c r="L998" s="1269"/>
      <c r="M998" s="1268"/>
      <c r="N998" s="1268"/>
      <c r="O998" s="1269"/>
      <c r="P998" s="1269"/>
      <c r="Q998" s="1269"/>
      <c r="R998" s="1269"/>
    </row>
    <row r="999" ht="12.75" customHeight="1">
      <c r="A999" s="1268"/>
      <c r="B999" s="1269"/>
      <c r="C999" s="1269"/>
      <c r="D999" s="1269"/>
      <c r="E999" s="1269"/>
      <c r="F999" s="1268"/>
      <c r="G999" s="1268"/>
      <c r="H999" s="1268"/>
      <c r="I999" s="1269"/>
      <c r="J999" s="1268"/>
      <c r="K999" s="1268"/>
      <c r="L999" s="1269"/>
      <c r="M999" s="1268"/>
      <c r="N999" s="1268"/>
      <c r="O999" s="1269"/>
      <c r="P999" s="1269"/>
      <c r="Q999" s="1269"/>
      <c r="R999" s="1269"/>
    </row>
    <row r="1000" ht="12.75" customHeight="1">
      <c r="A1000" s="1268"/>
      <c r="B1000" s="1269"/>
      <c r="C1000" s="1269"/>
      <c r="D1000" s="1269"/>
      <c r="E1000" s="1269"/>
      <c r="F1000" s="1268"/>
      <c r="G1000" s="1268"/>
      <c r="H1000" s="1268"/>
      <c r="I1000" s="1269"/>
      <c r="J1000" s="1268"/>
      <c r="K1000" s="1268"/>
      <c r="L1000" s="1269"/>
      <c r="M1000" s="1268"/>
      <c r="N1000" s="1268"/>
      <c r="O1000" s="1269"/>
      <c r="P1000" s="1269"/>
      <c r="Q1000" s="1269"/>
      <c r="R1000" s="1269"/>
    </row>
    <row r="1001" ht="12.75" customHeight="1">
      <c r="A1001" s="1268"/>
      <c r="B1001" s="1269"/>
      <c r="C1001" s="1269"/>
      <c r="D1001" s="1269"/>
      <c r="E1001" s="1269"/>
      <c r="F1001" s="1268"/>
      <c r="G1001" s="1268"/>
      <c r="H1001" s="1268"/>
      <c r="I1001" s="1269"/>
      <c r="J1001" s="1268"/>
      <c r="K1001" s="1268"/>
      <c r="L1001" s="1269"/>
      <c r="M1001" s="1268"/>
      <c r="N1001" s="1268"/>
      <c r="O1001" s="1269"/>
      <c r="P1001" s="1269"/>
      <c r="Q1001" s="1269"/>
      <c r="R1001" s="1269"/>
    </row>
    <row r="1002" ht="12.75" customHeight="1">
      <c r="A1002" s="1268"/>
      <c r="B1002" s="1269"/>
      <c r="C1002" s="1269"/>
      <c r="D1002" s="1269"/>
      <c r="E1002" s="1269"/>
      <c r="F1002" s="1268"/>
      <c r="G1002" s="1268"/>
      <c r="H1002" s="1268"/>
      <c r="I1002" s="1269"/>
      <c r="J1002" s="1268"/>
      <c r="K1002" s="1268"/>
      <c r="L1002" s="1269"/>
      <c r="M1002" s="1268"/>
      <c r="N1002" s="1268"/>
      <c r="O1002" s="1269"/>
      <c r="P1002" s="1269"/>
      <c r="Q1002" s="1269"/>
      <c r="R1002" s="1269"/>
    </row>
    <row r="1003" ht="12.75" customHeight="1">
      <c r="A1003" s="1268"/>
      <c r="B1003" s="1269"/>
      <c r="C1003" s="1269"/>
      <c r="D1003" s="1269"/>
      <c r="E1003" s="1269"/>
      <c r="F1003" s="1268"/>
      <c r="G1003" s="1268"/>
      <c r="H1003" s="1268"/>
      <c r="I1003" s="1269"/>
      <c r="J1003" s="1268"/>
      <c r="K1003" s="1268"/>
      <c r="L1003" s="1269"/>
      <c r="M1003" s="1268"/>
      <c r="N1003" s="1268"/>
      <c r="O1003" s="1269"/>
      <c r="P1003" s="1269"/>
      <c r="Q1003" s="1269"/>
      <c r="R1003" s="1269"/>
    </row>
    <row r="1004" ht="12.75" customHeight="1">
      <c r="A1004" s="1268"/>
      <c r="B1004" s="1269"/>
      <c r="C1004" s="1269"/>
      <c r="D1004" s="1269"/>
      <c r="E1004" s="1269"/>
      <c r="F1004" s="1268"/>
      <c r="G1004" s="1268"/>
      <c r="H1004" s="1268"/>
      <c r="I1004" s="1269"/>
      <c r="J1004" s="1268"/>
      <c r="K1004" s="1268"/>
      <c r="L1004" s="1269"/>
      <c r="M1004" s="1268"/>
      <c r="N1004" s="1268"/>
      <c r="O1004" s="1269"/>
      <c r="P1004" s="1269"/>
      <c r="Q1004" s="1269"/>
      <c r="R1004" s="1269"/>
    </row>
    <row r="1005" ht="12.75" customHeight="1">
      <c r="A1005" s="1268"/>
      <c r="B1005" s="1269"/>
      <c r="C1005" s="1269"/>
      <c r="D1005" s="1269"/>
      <c r="E1005" s="1269"/>
      <c r="F1005" s="1268"/>
      <c r="G1005" s="1268"/>
      <c r="H1005" s="1268"/>
      <c r="I1005" s="1269"/>
      <c r="J1005" s="1268"/>
      <c r="K1005" s="1268"/>
      <c r="L1005" s="1269"/>
      <c r="M1005" s="1268"/>
      <c r="N1005" s="1268"/>
      <c r="O1005" s="1269"/>
      <c r="P1005" s="1269"/>
      <c r="Q1005" s="1269"/>
      <c r="R1005" s="1269"/>
    </row>
    <row r="1006" ht="12.75" customHeight="1">
      <c r="A1006" s="1268"/>
      <c r="B1006" s="1269"/>
      <c r="C1006" s="1269"/>
      <c r="D1006" s="1269"/>
      <c r="E1006" s="1269"/>
      <c r="F1006" s="1268"/>
      <c r="G1006" s="1268"/>
      <c r="H1006" s="1268"/>
      <c r="I1006" s="1269"/>
      <c r="J1006" s="1268"/>
      <c r="K1006" s="1268"/>
      <c r="L1006" s="1269"/>
      <c r="M1006" s="1268"/>
      <c r="N1006" s="1268"/>
      <c r="O1006" s="1269"/>
      <c r="P1006" s="1269"/>
      <c r="Q1006" s="1269"/>
      <c r="R1006" s="1269"/>
    </row>
    <row r="1007" ht="12.75" customHeight="1">
      <c r="A1007" s="1268"/>
      <c r="B1007" s="1269"/>
      <c r="C1007" s="1269"/>
      <c r="D1007" s="1269"/>
      <c r="E1007" s="1269"/>
      <c r="F1007" s="1268"/>
      <c r="G1007" s="1268"/>
      <c r="H1007" s="1268"/>
      <c r="I1007" s="1269"/>
      <c r="J1007" s="1268"/>
      <c r="K1007" s="1268"/>
      <c r="L1007" s="1269"/>
      <c r="M1007" s="1268"/>
      <c r="N1007" s="1268"/>
      <c r="O1007" s="1269"/>
      <c r="P1007" s="1269"/>
      <c r="Q1007" s="1269"/>
      <c r="R1007" s="1269"/>
    </row>
    <row r="1008" ht="12.75" customHeight="1">
      <c r="A1008" s="1268"/>
      <c r="B1008" s="1269"/>
      <c r="C1008" s="1269"/>
      <c r="D1008" s="1269"/>
      <c r="E1008" s="1269"/>
      <c r="F1008" s="1268"/>
      <c r="G1008" s="1268"/>
      <c r="H1008" s="1268"/>
      <c r="I1008" s="1269"/>
      <c r="J1008" s="1268"/>
      <c r="K1008" s="1268"/>
      <c r="L1008" s="1269"/>
      <c r="M1008" s="1268"/>
      <c r="N1008" s="1268"/>
      <c r="O1008" s="1269"/>
      <c r="P1008" s="1269"/>
      <c r="Q1008" s="1269"/>
      <c r="R1008" s="1269"/>
    </row>
    <row r="1009" ht="12.75" customHeight="1">
      <c r="A1009" s="1268"/>
      <c r="B1009" s="1269"/>
      <c r="C1009" s="1269"/>
      <c r="D1009" s="1269"/>
      <c r="E1009" s="1269"/>
      <c r="F1009" s="1268"/>
      <c r="G1009" s="1268"/>
      <c r="H1009" s="1268"/>
      <c r="I1009" s="1269"/>
      <c r="J1009" s="1268"/>
      <c r="K1009" s="1268"/>
      <c r="L1009" s="1269"/>
      <c r="M1009" s="1268"/>
      <c r="N1009" s="1268"/>
      <c r="O1009" s="1269"/>
      <c r="P1009" s="1269"/>
      <c r="Q1009" s="1269"/>
      <c r="R1009" s="1269"/>
    </row>
    <row r="1010" ht="12.75" customHeight="1">
      <c r="A1010" s="1268"/>
      <c r="B1010" s="1269"/>
      <c r="C1010" s="1269"/>
      <c r="D1010" s="1269"/>
      <c r="E1010" s="1269"/>
      <c r="F1010" s="1268"/>
      <c r="G1010" s="1268"/>
      <c r="H1010" s="1268"/>
      <c r="I1010" s="1269"/>
      <c r="J1010" s="1268"/>
      <c r="K1010" s="1268"/>
      <c r="L1010" s="1269"/>
      <c r="M1010" s="1268"/>
      <c r="N1010" s="1268"/>
      <c r="O1010" s="1269"/>
      <c r="P1010" s="1269"/>
      <c r="Q1010" s="1269"/>
      <c r="R1010" s="1269"/>
    </row>
    <row r="1011" ht="12.75" customHeight="1">
      <c r="A1011" s="1268"/>
      <c r="B1011" s="1269"/>
      <c r="C1011" s="1269"/>
      <c r="D1011" s="1269"/>
      <c r="E1011" s="1269"/>
      <c r="F1011" s="1268"/>
      <c r="G1011" s="1268"/>
      <c r="H1011" s="1268"/>
      <c r="I1011" s="1269"/>
      <c r="J1011" s="1268"/>
      <c r="K1011" s="1268"/>
      <c r="L1011" s="1269"/>
      <c r="M1011" s="1268"/>
      <c r="N1011" s="1268"/>
      <c r="O1011" s="1269"/>
      <c r="P1011" s="1269"/>
      <c r="Q1011" s="1269"/>
      <c r="R1011" s="1269"/>
    </row>
    <row r="1012" ht="12.75" customHeight="1">
      <c r="A1012" s="1268"/>
      <c r="B1012" s="1269"/>
      <c r="C1012" s="1269"/>
      <c r="D1012" s="1269"/>
      <c r="E1012" s="1269"/>
      <c r="F1012" s="1268"/>
      <c r="G1012" s="1268"/>
      <c r="H1012" s="1268"/>
      <c r="I1012" s="1269"/>
      <c r="J1012" s="1268"/>
      <c r="K1012" s="1268"/>
      <c r="L1012" s="1269"/>
      <c r="M1012" s="1268"/>
      <c r="N1012" s="1268"/>
      <c r="O1012" s="1269"/>
      <c r="P1012" s="1269"/>
      <c r="Q1012" s="1269"/>
      <c r="R1012" s="1269"/>
    </row>
    <row r="1013" ht="12.75" customHeight="1">
      <c r="A1013" s="1268"/>
      <c r="B1013" s="1269"/>
      <c r="C1013" s="1269"/>
      <c r="D1013" s="1269"/>
      <c r="E1013" s="1269"/>
      <c r="F1013" s="1268"/>
      <c r="G1013" s="1268"/>
      <c r="H1013" s="1268"/>
      <c r="I1013" s="1269"/>
      <c r="J1013" s="1268"/>
      <c r="K1013" s="1268"/>
      <c r="L1013" s="1269"/>
      <c r="M1013" s="1268"/>
      <c r="N1013" s="1268"/>
      <c r="O1013" s="1269"/>
      <c r="P1013" s="1269"/>
      <c r="Q1013" s="1269"/>
      <c r="R1013" s="1269"/>
    </row>
    <row r="1014" ht="12.75" customHeight="1">
      <c r="A1014" s="1268"/>
      <c r="B1014" s="1269"/>
      <c r="C1014" s="1269"/>
      <c r="D1014" s="1269"/>
      <c r="E1014" s="1269"/>
      <c r="F1014" s="1268"/>
      <c r="G1014" s="1268"/>
      <c r="H1014" s="1268"/>
      <c r="I1014" s="1269"/>
      <c r="J1014" s="1268"/>
      <c r="K1014" s="1268"/>
      <c r="L1014" s="1269"/>
      <c r="M1014" s="1268"/>
      <c r="N1014" s="1268"/>
      <c r="O1014" s="1269"/>
      <c r="P1014" s="1269"/>
      <c r="Q1014" s="1269"/>
      <c r="R1014" s="1269"/>
    </row>
    <row r="1015" ht="12.75" customHeight="1">
      <c r="A1015" s="1268"/>
      <c r="B1015" s="1269"/>
      <c r="C1015" s="1269"/>
      <c r="D1015" s="1269"/>
      <c r="E1015" s="1269"/>
      <c r="F1015" s="1268"/>
      <c r="G1015" s="1268"/>
      <c r="H1015" s="1268"/>
      <c r="I1015" s="1269"/>
      <c r="J1015" s="1268"/>
      <c r="K1015" s="1268"/>
      <c r="L1015" s="1269"/>
      <c r="M1015" s="1268"/>
      <c r="N1015" s="1268"/>
      <c r="O1015" s="1269"/>
      <c r="P1015" s="1269"/>
      <c r="Q1015" s="1269"/>
      <c r="R1015" s="1269"/>
    </row>
    <row r="1016" ht="12.75" customHeight="1">
      <c r="A1016" s="1268"/>
      <c r="B1016" s="1269"/>
      <c r="C1016" s="1269"/>
      <c r="D1016" s="1269"/>
      <c r="E1016" s="1269"/>
      <c r="F1016" s="1268"/>
      <c r="G1016" s="1268"/>
      <c r="H1016" s="1268"/>
      <c r="I1016" s="1269"/>
      <c r="J1016" s="1268"/>
      <c r="K1016" s="1268"/>
      <c r="L1016" s="1269"/>
      <c r="M1016" s="1268"/>
      <c r="N1016" s="1268"/>
      <c r="O1016" s="1269"/>
      <c r="P1016" s="1269"/>
      <c r="Q1016" s="1269"/>
      <c r="R1016" s="1269"/>
    </row>
    <row r="1017" ht="12.75" customHeight="1">
      <c r="A1017" s="1268"/>
      <c r="B1017" s="1269"/>
      <c r="C1017" s="1269"/>
      <c r="D1017" s="1269"/>
      <c r="E1017" s="1269"/>
      <c r="F1017" s="1268"/>
      <c r="G1017" s="1268"/>
      <c r="H1017" s="1268"/>
      <c r="I1017" s="1269"/>
      <c r="J1017" s="1268"/>
      <c r="K1017" s="1268"/>
      <c r="L1017" s="1269"/>
      <c r="M1017" s="1268"/>
      <c r="N1017" s="1268"/>
      <c r="O1017" s="1269"/>
      <c r="P1017" s="1269"/>
      <c r="Q1017" s="1269"/>
      <c r="R1017" s="1269"/>
    </row>
    <row r="1018" ht="12.75" customHeight="1">
      <c r="A1018" s="1268"/>
      <c r="B1018" s="1269"/>
      <c r="C1018" s="1269"/>
      <c r="D1018" s="1269"/>
      <c r="E1018" s="1269"/>
      <c r="F1018" s="1268"/>
      <c r="G1018" s="1268"/>
      <c r="H1018" s="1268"/>
      <c r="I1018" s="1269"/>
      <c r="J1018" s="1268"/>
      <c r="K1018" s="1268"/>
      <c r="L1018" s="1269"/>
      <c r="M1018" s="1268"/>
      <c r="N1018" s="1268"/>
      <c r="O1018" s="1269"/>
      <c r="P1018" s="1269"/>
      <c r="Q1018" s="1269"/>
      <c r="R1018" s="1269"/>
    </row>
    <row r="1019" ht="12.75" customHeight="1">
      <c r="A1019" s="1268"/>
      <c r="B1019" s="1269"/>
      <c r="C1019" s="1269"/>
      <c r="D1019" s="1269"/>
      <c r="E1019" s="1269"/>
      <c r="F1019" s="1268"/>
      <c r="G1019" s="1268"/>
      <c r="H1019" s="1268"/>
      <c r="I1019" s="1269"/>
      <c r="J1019" s="1268"/>
      <c r="K1019" s="1268"/>
      <c r="L1019" s="1269"/>
      <c r="M1019" s="1268"/>
      <c r="N1019" s="1268"/>
      <c r="O1019" s="1269"/>
      <c r="P1019" s="1269"/>
      <c r="Q1019" s="1269"/>
      <c r="R1019" s="1269"/>
    </row>
    <row r="1020" ht="12.75" customHeight="1">
      <c r="A1020" s="1268"/>
      <c r="B1020" s="1269"/>
      <c r="C1020" s="1269"/>
      <c r="D1020" s="1269"/>
      <c r="E1020" s="1269"/>
      <c r="F1020" s="1268"/>
      <c r="G1020" s="1268"/>
      <c r="H1020" s="1268"/>
      <c r="I1020" s="1269"/>
      <c r="J1020" s="1268"/>
      <c r="K1020" s="1268"/>
      <c r="L1020" s="1269"/>
      <c r="M1020" s="1268"/>
      <c r="N1020" s="1268"/>
      <c r="O1020" s="1269"/>
      <c r="P1020" s="1269"/>
      <c r="Q1020" s="1269"/>
      <c r="R1020" s="1269"/>
    </row>
    <row r="1021" ht="12.75" customHeight="1">
      <c r="A1021" s="1268"/>
      <c r="B1021" s="1269"/>
      <c r="C1021" s="1269"/>
      <c r="D1021" s="1269"/>
      <c r="E1021" s="1269"/>
      <c r="F1021" s="1268"/>
      <c r="G1021" s="1268"/>
      <c r="H1021" s="1268"/>
      <c r="I1021" s="1269"/>
      <c r="J1021" s="1268"/>
      <c r="K1021" s="1268"/>
      <c r="L1021" s="1269"/>
      <c r="M1021" s="1268"/>
      <c r="N1021" s="1268"/>
      <c r="O1021" s="1269"/>
      <c r="P1021" s="1269"/>
      <c r="Q1021" s="1269"/>
      <c r="R1021" s="1269"/>
    </row>
    <row r="1022" ht="12.75" customHeight="1">
      <c r="A1022" s="1268"/>
      <c r="B1022" s="1269"/>
      <c r="C1022" s="1269"/>
      <c r="D1022" s="1269"/>
      <c r="E1022" s="1269"/>
      <c r="F1022" s="1268"/>
      <c r="G1022" s="1268"/>
      <c r="H1022" s="1268"/>
      <c r="I1022" s="1269"/>
      <c r="J1022" s="1268"/>
      <c r="K1022" s="1268"/>
      <c r="L1022" s="1269"/>
      <c r="M1022" s="1268"/>
      <c r="N1022" s="1268"/>
      <c r="O1022" s="1269"/>
      <c r="P1022" s="1269"/>
      <c r="Q1022" s="1269"/>
      <c r="R1022" s="1269"/>
    </row>
    <row r="1023" ht="12.75" customHeight="1">
      <c r="A1023" s="1268"/>
      <c r="B1023" s="1269"/>
      <c r="C1023" s="1269"/>
      <c r="D1023" s="1269"/>
      <c r="E1023" s="1269"/>
      <c r="F1023" s="1268"/>
      <c r="G1023" s="1268"/>
      <c r="H1023" s="1268"/>
      <c r="I1023" s="1269"/>
      <c r="J1023" s="1268"/>
      <c r="K1023" s="1268"/>
      <c r="L1023" s="1269"/>
      <c r="M1023" s="1268"/>
      <c r="N1023" s="1268"/>
      <c r="O1023" s="1269"/>
      <c r="P1023" s="1269"/>
      <c r="Q1023" s="1269"/>
      <c r="R1023" s="1269"/>
    </row>
    <row r="1024" ht="12.75" customHeight="1">
      <c r="A1024" s="1268"/>
      <c r="B1024" s="1269"/>
      <c r="C1024" s="1269"/>
      <c r="D1024" s="1269"/>
      <c r="E1024" s="1269"/>
      <c r="F1024" s="1268"/>
      <c r="G1024" s="1268"/>
      <c r="H1024" s="1268"/>
      <c r="I1024" s="1269"/>
      <c r="J1024" s="1268"/>
      <c r="K1024" s="1268"/>
      <c r="L1024" s="1269"/>
      <c r="M1024" s="1268"/>
      <c r="N1024" s="1268"/>
      <c r="O1024" s="1269"/>
      <c r="P1024" s="1269"/>
      <c r="Q1024" s="1269"/>
      <c r="R1024" s="1269"/>
    </row>
    <row r="1025" ht="12.75" customHeight="1">
      <c r="A1025" s="1268"/>
      <c r="B1025" s="1269"/>
      <c r="C1025" s="1269"/>
      <c r="D1025" s="1269"/>
      <c r="E1025" s="1269"/>
      <c r="F1025" s="1268"/>
      <c r="G1025" s="1268"/>
      <c r="H1025" s="1268"/>
      <c r="I1025" s="1269"/>
      <c r="J1025" s="1268"/>
      <c r="K1025" s="1268"/>
      <c r="L1025" s="1269"/>
      <c r="M1025" s="1268"/>
      <c r="N1025" s="1268"/>
      <c r="O1025" s="1269"/>
      <c r="P1025" s="1269"/>
      <c r="Q1025" s="1269"/>
      <c r="R1025" s="1269"/>
    </row>
    <row r="1026" ht="12.75" customHeight="1">
      <c r="A1026" s="1268"/>
      <c r="B1026" s="1269"/>
      <c r="C1026" s="1269"/>
      <c r="D1026" s="1269"/>
      <c r="E1026" s="1269"/>
      <c r="F1026" s="1268"/>
      <c r="G1026" s="1268"/>
      <c r="H1026" s="1268"/>
      <c r="I1026" s="1269"/>
      <c r="J1026" s="1268"/>
      <c r="K1026" s="1268"/>
      <c r="L1026" s="1269"/>
      <c r="M1026" s="1268"/>
      <c r="N1026" s="1268"/>
      <c r="O1026" s="1269"/>
      <c r="P1026" s="1269"/>
      <c r="Q1026" s="1269"/>
      <c r="R1026" s="1269"/>
    </row>
    <row r="1027" ht="12.75" customHeight="1">
      <c r="A1027" s="1268"/>
      <c r="B1027" s="1269"/>
      <c r="C1027" s="1269"/>
      <c r="D1027" s="1269"/>
      <c r="E1027" s="1269"/>
      <c r="F1027" s="1268"/>
      <c r="G1027" s="1268"/>
      <c r="H1027" s="1268"/>
      <c r="I1027" s="1269"/>
      <c r="J1027" s="1268"/>
      <c r="K1027" s="1268"/>
      <c r="L1027" s="1269"/>
      <c r="M1027" s="1268"/>
      <c r="N1027" s="1268"/>
      <c r="O1027" s="1269"/>
      <c r="P1027" s="1269"/>
      <c r="Q1027" s="1269"/>
      <c r="R1027" s="1269"/>
    </row>
    <row r="1028" ht="12.75" customHeight="1">
      <c r="A1028" s="1268"/>
      <c r="B1028" s="1269"/>
      <c r="C1028" s="1269"/>
      <c r="D1028" s="1269"/>
      <c r="E1028" s="1269"/>
      <c r="F1028" s="1268"/>
      <c r="G1028" s="1268"/>
      <c r="H1028" s="1268"/>
      <c r="I1028" s="1269"/>
      <c r="J1028" s="1268"/>
      <c r="K1028" s="1268"/>
      <c r="L1028" s="1269"/>
      <c r="M1028" s="1268"/>
      <c r="N1028" s="1268"/>
      <c r="O1028" s="1269"/>
      <c r="P1028" s="1269"/>
      <c r="Q1028" s="1269"/>
      <c r="R1028" s="1269"/>
    </row>
    <row r="1029" ht="12.75" customHeight="1">
      <c r="A1029" s="1268"/>
      <c r="B1029" s="1269"/>
      <c r="C1029" s="1269"/>
      <c r="D1029" s="1269"/>
      <c r="E1029" s="1269"/>
      <c r="F1029" s="1268"/>
      <c r="G1029" s="1268"/>
      <c r="H1029" s="1268"/>
      <c r="I1029" s="1269"/>
      <c r="J1029" s="1268"/>
      <c r="K1029" s="1268"/>
      <c r="L1029" s="1269"/>
      <c r="M1029" s="1268"/>
      <c r="N1029" s="1268"/>
      <c r="O1029" s="1269"/>
      <c r="P1029" s="1269"/>
      <c r="Q1029" s="1269"/>
      <c r="R1029" s="1269"/>
    </row>
    <row r="1030" ht="12.75" customHeight="1">
      <c r="A1030" s="1268"/>
      <c r="B1030" s="1269"/>
      <c r="C1030" s="1269"/>
      <c r="D1030" s="1269"/>
      <c r="E1030" s="1269"/>
      <c r="F1030" s="1268"/>
      <c r="G1030" s="1268"/>
      <c r="H1030" s="1268"/>
      <c r="I1030" s="1269"/>
      <c r="J1030" s="1268"/>
      <c r="K1030" s="1268"/>
      <c r="L1030" s="1269"/>
      <c r="M1030" s="1268"/>
      <c r="N1030" s="1268"/>
      <c r="O1030" s="1269"/>
      <c r="P1030" s="1269"/>
      <c r="Q1030" s="1269"/>
      <c r="R1030" s="1269"/>
    </row>
    <row r="1031" ht="12.75" customHeight="1">
      <c r="A1031" s="1268"/>
      <c r="B1031" s="1269"/>
      <c r="C1031" s="1269"/>
      <c r="D1031" s="1269"/>
      <c r="E1031" s="1269"/>
      <c r="F1031" s="1268"/>
      <c r="G1031" s="1268"/>
      <c r="H1031" s="1268"/>
      <c r="I1031" s="1269"/>
      <c r="J1031" s="1268"/>
      <c r="K1031" s="1268"/>
      <c r="L1031" s="1269"/>
      <c r="M1031" s="1268"/>
      <c r="N1031" s="1268"/>
      <c r="O1031" s="1269"/>
      <c r="P1031" s="1269"/>
      <c r="Q1031" s="1269"/>
      <c r="R1031" s="1269"/>
    </row>
    <row r="1032" ht="12.75" customHeight="1">
      <c r="A1032" s="1268"/>
      <c r="B1032" s="1269"/>
      <c r="C1032" s="1269"/>
      <c r="D1032" s="1269"/>
      <c r="E1032" s="1269"/>
      <c r="F1032" s="1268"/>
      <c r="G1032" s="1268"/>
      <c r="H1032" s="1268"/>
      <c r="I1032" s="1269"/>
      <c r="J1032" s="1268"/>
      <c r="K1032" s="1268"/>
      <c r="L1032" s="1269"/>
      <c r="M1032" s="1268"/>
      <c r="N1032" s="1268"/>
      <c r="O1032" s="1269"/>
      <c r="P1032" s="1269"/>
      <c r="Q1032" s="1269"/>
      <c r="R1032" s="1269"/>
    </row>
    <row r="1033" ht="12.75" customHeight="1">
      <c r="A1033" s="1268"/>
      <c r="B1033" s="1269"/>
      <c r="C1033" s="1269"/>
      <c r="D1033" s="1269"/>
      <c r="E1033" s="1269"/>
      <c r="F1033" s="1268"/>
      <c r="G1033" s="1268"/>
      <c r="H1033" s="1268"/>
      <c r="I1033" s="1269"/>
      <c r="J1033" s="1268"/>
      <c r="K1033" s="1268"/>
      <c r="L1033" s="1269"/>
      <c r="M1033" s="1268"/>
      <c r="N1033" s="1268"/>
      <c r="O1033" s="1269"/>
      <c r="P1033" s="1269"/>
      <c r="Q1033" s="1269"/>
      <c r="R1033" s="1269"/>
    </row>
    <row r="1034" ht="12.75" customHeight="1">
      <c r="A1034" s="1268"/>
      <c r="B1034" s="1269"/>
      <c r="C1034" s="1269"/>
      <c r="D1034" s="1269"/>
      <c r="E1034" s="1269"/>
      <c r="F1034" s="1268"/>
      <c r="G1034" s="1268"/>
      <c r="H1034" s="1268"/>
      <c r="I1034" s="1269"/>
      <c r="J1034" s="1268"/>
      <c r="K1034" s="1268"/>
      <c r="L1034" s="1269"/>
      <c r="M1034" s="1268"/>
      <c r="N1034" s="1268"/>
      <c r="O1034" s="1269"/>
      <c r="P1034" s="1269"/>
      <c r="Q1034" s="1269"/>
      <c r="R1034" s="1269"/>
    </row>
    <row r="1035" ht="12.75" customHeight="1">
      <c r="A1035" s="1268"/>
      <c r="B1035" s="1269"/>
      <c r="C1035" s="1269"/>
      <c r="D1035" s="1269"/>
      <c r="E1035" s="1269"/>
      <c r="F1035" s="1268"/>
      <c r="G1035" s="1268"/>
      <c r="H1035" s="1268"/>
      <c r="I1035" s="1269"/>
      <c r="J1035" s="1268"/>
      <c r="K1035" s="1268"/>
      <c r="L1035" s="1269"/>
      <c r="M1035" s="1268"/>
      <c r="N1035" s="1268"/>
      <c r="O1035" s="1269"/>
      <c r="P1035" s="1269"/>
      <c r="Q1035" s="1269"/>
      <c r="R1035" s="1269"/>
    </row>
    <row r="1036" ht="12.75" customHeight="1">
      <c r="A1036" s="1268"/>
      <c r="B1036" s="1269"/>
      <c r="C1036" s="1269"/>
      <c r="D1036" s="1269"/>
      <c r="E1036" s="1269"/>
      <c r="F1036" s="1268"/>
      <c r="G1036" s="1268"/>
      <c r="H1036" s="1268"/>
      <c r="I1036" s="1269"/>
      <c r="J1036" s="1268"/>
      <c r="K1036" s="1268"/>
      <c r="L1036" s="1269"/>
      <c r="M1036" s="1268"/>
      <c r="N1036" s="1268"/>
      <c r="O1036" s="1269"/>
      <c r="P1036" s="1269"/>
      <c r="Q1036" s="1269"/>
      <c r="R1036" s="1269"/>
    </row>
    <row r="1037" ht="12.75" customHeight="1">
      <c r="A1037" s="1268"/>
      <c r="B1037" s="1269"/>
      <c r="C1037" s="1269"/>
      <c r="D1037" s="1269"/>
      <c r="E1037" s="1269"/>
      <c r="F1037" s="1268"/>
      <c r="G1037" s="1268"/>
      <c r="H1037" s="1268"/>
      <c r="I1037" s="1269"/>
      <c r="J1037" s="1268"/>
      <c r="K1037" s="1268"/>
      <c r="L1037" s="1269"/>
      <c r="M1037" s="1268"/>
      <c r="N1037" s="1268"/>
      <c r="O1037" s="1269"/>
      <c r="P1037" s="1269"/>
      <c r="Q1037" s="1269"/>
      <c r="R1037" s="1269"/>
    </row>
    <row r="1038" ht="12.75" customHeight="1">
      <c r="A1038" s="1268"/>
      <c r="B1038" s="1269"/>
      <c r="C1038" s="1269"/>
      <c r="D1038" s="1269"/>
      <c r="E1038" s="1269"/>
      <c r="F1038" s="1268"/>
      <c r="G1038" s="1268"/>
      <c r="H1038" s="1268"/>
      <c r="I1038" s="1269"/>
      <c r="J1038" s="1268"/>
      <c r="K1038" s="1268"/>
      <c r="L1038" s="1269"/>
      <c r="M1038" s="1268"/>
      <c r="N1038" s="1268"/>
      <c r="O1038" s="1269"/>
      <c r="P1038" s="1269"/>
      <c r="Q1038" s="1269"/>
      <c r="R1038" s="1269"/>
    </row>
    <row r="1039" ht="12.75" customHeight="1">
      <c r="A1039" s="1268"/>
      <c r="B1039" s="1269"/>
      <c r="C1039" s="1269"/>
      <c r="D1039" s="1269"/>
      <c r="E1039" s="1269"/>
      <c r="F1039" s="1268"/>
      <c r="G1039" s="1268"/>
      <c r="H1039" s="1268"/>
      <c r="I1039" s="1269"/>
      <c r="J1039" s="1268"/>
      <c r="K1039" s="1268"/>
      <c r="L1039" s="1269"/>
      <c r="M1039" s="1268"/>
      <c r="N1039" s="1268"/>
      <c r="O1039" s="1269"/>
      <c r="P1039" s="1269"/>
      <c r="Q1039" s="1269"/>
      <c r="R1039" s="1269"/>
    </row>
    <row r="1040" ht="12.75" customHeight="1">
      <c r="A1040" s="1268"/>
      <c r="B1040" s="1269"/>
      <c r="C1040" s="1269"/>
      <c r="D1040" s="1269"/>
      <c r="E1040" s="1269"/>
      <c r="F1040" s="1268"/>
      <c r="G1040" s="1268"/>
      <c r="H1040" s="1268"/>
      <c r="I1040" s="1269"/>
      <c r="J1040" s="1268"/>
      <c r="K1040" s="1268"/>
      <c r="L1040" s="1269"/>
      <c r="M1040" s="1268"/>
      <c r="N1040" s="1268"/>
      <c r="O1040" s="1269"/>
      <c r="P1040" s="1269"/>
      <c r="Q1040" s="1269"/>
      <c r="R1040" s="1269"/>
    </row>
    <row r="1041" ht="12.75" customHeight="1">
      <c r="A1041" s="1268"/>
      <c r="B1041" s="1269"/>
      <c r="C1041" s="1269"/>
      <c r="D1041" s="1269"/>
      <c r="E1041" s="1269"/>
      <c r="F1041" s="1268"/>
      <c r="G1041" s="1268"/>
      <c r="H1041" s="1268"/>
      <c r="I1041" s="1269"/>
      <c r="J1041" s="1268"/>
      <c r="K1041" s="1268"/>
      <c r="L1041" s="1269"/>
      <c r="M1041" s="1268"/>
      <c r="N1041" s="1268"/>
      <c r="O1041" s="1269"/>
      <c r="P1041" s="1269"/>
      <c r="Q1041" s="1269"/>
      <c r="R1041" s="1269"/>
    </row>
    <row r="1042" ht="12.75" customHeight="1">
      <c r="A1042" s="1268"/>
      <c r="B1042" s="1269"/>
      <c r="C1042" s="1269"/>
      <c r="D1042" s="1269"/>
      <c r="E1042" s="1269"/>
      <c r="F1042" s="1268"/>
      <c r="G1042" s="1268"/>
      <c r="H1042" s="1268"/>
      <c r="I1042" s="1269"/>
      <c r="J1042" s="1268"/>
      <c r="K1042" s="1268"/>
      <c r="L1042" s="1269"/>
      <c r="M1042" s="1268"/>
      <c r="N1042" s="1268"/>
      <c r="O1042" s="1269"/>
      <c r="P1042" s="1269"/>
      <c r="Q1042" s="1269"/>
      <c r="R1042" s="1269"/>
    </row>
    <row r="1043" ht="12.75" customHeight="1">
      <c r="A1043" s="1268"/>
      <c r="B1043" s="1269"/>
      <c r="C1043" s="1269"/>
      <c r="D1043" s="1269"/>
      <c r="E1043" s="1269"/>
      <c r="F1043" s="1268"/>
      <c r="G1043" s="1268"/>
      <c r="H1043" s="1268"/>
      <c r="I1043" s="1269"/>
      <c r="J1043" s="1268"/>
      <c r="K1043" s="1268"/>
      <c r="L1043" s="1269"/>
      <c r="M1043" s="1268"/>
      <c r="N1043" s="1268"/>
      <c r="O1043" s="1269"/>
      <c r="P1043" s="1269"/>
      <c r="Q1043" s="1269"/>
      <c r="R1043" s="1269"/>
    </row>
    <row r="1044" ht="12.75" customHeight="1">
      <c r="A1044" s="1268"/>
      <c r="B1044" s="1269"/>
      <c r="C1044" s="1269"/>
      <c r="D1044" s="1269"/>
      <c r="E1044" s="1269"/>
      <c r="F1044" s="1268"/>
      <c r="G1044" s="1268"/>
      <c r="H1044" s="1268"/>
      <c r="I1044" s="1269"/>
      <c r="J1044" s="1268"/>
      <c r="K1044" s="1268"/>
      <c r="L1044" s="1269"/>
      <c r="M1044" s="1268"/>
      <c r="N1044" s="1268"/>
      <c r="O1044" s="1269"/>
      <c r="P1044" s="1269"/>
      <c r="Q1044" s="1269"/>
      <c r="R1044" s="1269"/>
    </row>
    <row r="1045" ht="12.75" customHeight="1">
      <c r="A1045" s="1268"/>
      <c r="B1045" s="1269"/>
      <c r="C1045" s="1269"/>
      <c r="D1045" s="1269"/>
      <c r="E1045" s="1269"/>
      <c r="F1045" s="1268"/>
      <c r="G1045" s="1268"/>
      <c r="H1045" s="1268"/>
      <c r="I1045" s="1269"/>
      <c r="J1045" s="1268"/>
      <c r="K1045" s="1268"/>
      <c r="L1045" s="1269"/>
      <c r="M1045" s="1268"/>
      <c r="N1045" s="1268"/>
      <c r="O1045" s="1269"/>
      <c r="P1045" s="1269"/>
      <c r="Q1045" s="1269"/>
      <c r="R1045" s="1269"/>
    </row>
    <row r="1046" ht="12.75" customHeight="1">
      <c r="A1046" s="1268"/>
      <c r="B1046" s="1269"/>
      <c r="C1046" s="1269"/>
      <c r="D1046" s="1269"/>
      <c r="E1046" s="1269"/>
      <c r="F1046" s="1268"/>
      <c r="G1046" s="1268"/>
      <c r="H1046" s="1268"/>
      <c r="I1046" s="1269"/>
      <c r="J1046" s="1268"/>
      <c r="K1046" s="1268"/>
      <c r="L1046" s="1269"/>
      <c r="M1046" s="1268"/>
      <c r="N1046" s="1268"/>
      <c r="O1046" s="1269"/>
      <c r="P1046" s="1269"/>
      <c r="Q1046" s="1269"/>
      <c r="R1046" s="1269"/>
    </row>
    <row r="1047" ht="12.75" customHeight="1">
      <c r="A1047" s="1268"/>
      <c r="B1047" s="1269"/>
      <c r="C1047" s="1269"/>
      <c r="D1047" s="1269"/>
      <c r="E1047" s="1269"/>
      <c r="F1047" s="1268"/>
      <c r="G1047" s="1268"/>
      <c r="H1047" s="1268"/>
      <c r="I1047" s="1269"/>
      <c r="J1047" s="1268"/>
      <c r="K1047" s="1268"/>
      <c r="L1047" s="1269"/>
      <c r="M1047" s="1268"/>
      <c r="N1047" s="1268"/>
      <c r="O1047" s="1269"/>
      <c r="P1047" s="1269"/>
      <c r="Q1047" s="1269"/>
      <c r="R1047" s="1269"/>
    </row>
    <row r="1048" ht="12.75" customHeight="1">
      <c r="A1048" s="1268"/>
      <c r="B1048" s="1269"/>
      <c r="C1048" s="1269"/>
      <c r="D1048" s="1269"/>
      <c r="E1048" s="1269"/>
      <c r="F1048" s="1268"/>
      <c r="G1048" s="1268"/>
      <c r="H1048" s="1268"/>
      <c r="I1048" s="1269"/>
      <c r="J1048" s="1268"/>
      <c r="K1048" s="1268"/>
      <c r="L1048" s="1269"/>
      <c r="M1048" s="1268"/>
      <c r="N1048" s="1268"/>
      <c r="O1048" s="1269"/>
      <c r="P1048" s="1269"/>
      <c r="Q1048" s="1269"/>
      <c r="R1048" s="1269"/>
    </row>
    <row r="1049" ht="12.75" customHeight="1">
      <c r="A1049" s="1268"/>
      <c r="B1049" s="1269"/>
      <c r="C1049" s="1269"/>
      <c r="D1049" s="1269"/>
      <c r="E1049" s="1269"/>
      <c r="F1049" s="1268"/>
      <c r="G1049" s="1268"/>
      <c r="H1049" s="1268"/>
      <c r="I1049" s="1269"/>
      <c r="J1049" s="1268"/>
      <c r="K1049" s="1268"/>
      <c r="L1049" s="1269"/>
      <c r="M1049" s="1268"/>
      <c r="N1049" s="1268"/>
      <c r="O1049" s="1269"/>
      <c r="P1049" s="1269"/>
      <c r="Q1049" s="1269"/>
      <c r="R1049" s="1269"/>
    </row>
    <row r="1050" ht="12.75" customHeight="1">
      <c r="A1050" s="1268"/>
      <c r="B1050" s="1269"/>
      <c r="C1050" s="1269"/>
      <c r="D1050" s="1269"/>
      <c r="E1050" s="1269"/>
      <c r="F1050" s="1268"/>
      <c r="G1050" s="1268"/>
      <c r="H1050" s="1268"/>
      <c r="I1050" s="1269"/>
      <c r="J1050" s="1268"/>
      <c r="K1050" s="1268"/>
      <c r="L1050" s="1269"/>
      <c r="M1050" s="1268"/>
      <c r="N1050" s="1268"/>
      <c r="O1050" s="1269"/>
      <c r="P1050" s="1269"/>
      <c r="Q1050" s="1269"/>
      <c r="R1050" s="1269"/>
    </row>
    <row r="1051" ht="12.75" customHeight="1">
      <c r="A1051" s="1268"/>
      <c r="B1051" s="1269"/>
      <c r="C1051" s="1269"/>
      <c r="D1051" s="1269"/>
      <c r="E1051" s="1269"/>
      <c r="F1051" s="1268"/>
      <c r="G1051" s="1268"/>
      <c r="H1051" s="1268"/>
      <c r="I1051" s="1269"/>
      <c r="J1051" s="1268"/>
      <c r="K1051" s="1268"/>
      <c r="L1051" s="1269"/>
      <c r="M1051" s="1268"/>
      <c r="N1051" s="1268"/>
      <c r="O1051" s="1269"/>
      <c r="P1051" s="1269"/>
      <c r="Q1051" s="1269"/>
      <c r="R1051" s="1269"/>
    </row>
    <row r="1052" ht="12.75" customHeight="1">
      <c r="A1052" s="1268"/>
      <c r="B1052" s="1269"/>
      <c r="C1052" s="1269"/>
      <c r="D1052" s="1269"/>
      <c r="E1052" s="1269"/>
      <c r="F1052" s="1268"/>
      <c r="G1052" s="1268"/>
      <c r="H1052" s="1268"/>
      <c r="I1052" s="1269"/>
      <c r="J1052" s="1268"/>
      <c r="K1052" s="1268"/>
      <c r="L1052" s="1269"/>
      <c r="M1052" s="1268"/>
      <c r="N1052" s="1268"/>
      <c r="O1052" s="1269"/>
      <c r="P1052" s="1269"/>
      <c r="Q1052" s="1269"/>
      <c r="R1052" s="1269"/>
    </row>
    <row r="1053" ht="12.75" customHeight="1">
      <c r="A1053" s="1268"/>
      <c r="B1053" s="1269"/>
      <c r="C1053" s="1269"/>
      <c r="D1053" s="1269"/>
      <c r="E1053" s="1269"/>
      <c r="F1053" s="1268"/>
      <c r="G1053" s="1268"/>
      <c r="H1053" s="1268"/>
      <c r="I1053" s="1269"/>
      <c r="J1053" s="1268"/>
      <c r="K1053" s="1268"/>
      <c r="L1053" s="1269"/>
      <c r="M1053" s="1268"/>
      <c r="N1053" s="1268"/>
      <c r="O1053" s="1269"/>
      <c r="P1053" s="1269"/>
      <c r="Q1053" s="1269"/>
      <c r="R1053" s="1269"/>
    </row>
    <row r="1054" ht="12.75" customHeight="1">
      <c r="A1054" s="1268"/>
      <c r="B1054" s="1269"/>
      <c r="C1054" s="1269"/>
      <c r="D1054" s="1269"/>
      <c r="E1054" s="1269"/>
      <c r="F1054" s="1268"/>
      <c r="G1054" s="1268"/>
      <c r="H1054" s="1268"/>
      <c r="I1054" s="1269"/>
      <c r="J1054" s="1268"/>
      <c r="K1054" s="1268"/>
      <c r="L1054" s="1269"/>
      <c r="M1054" s="1268"/>
      <c r="N1054" s="1268"/>
      <c r="O1054" s="1269"/>
      <c r="P1054" s="1269"/>
      <c r="Q1054" s="1269"/>
      <c r="R1054" s="1269"/>
    </row>
    <row r="1055" ht="12.75" customHeight="1">
      <c r="A1055" s="1268"/>
      <c r="B1055" s="1269"/>
      <c r="C1055" s="1269"/>
      <c r="D1055" s="1269"/>
      <c r="E1055" s="1269"/>
      <c r="F1055" s="1268"/>
      <c r="G1055" s="1268"/>
      <c r="H1055" s="1268"/>
      <c r="I1055" s="1269"/>
      <c r="J1055" s="1268"/>
      <c r="K1055" s="1268"/>
      <c r="L1055" s="1269"/>
      <c r="M1055" s="1268"/>
      <c r="N1055" s="1268"/>
      <c r="O1055" s="1269"/>
      <c r="P1055" s="1269"/>
      <c r="Q1055" s="1269"/>
      <c r="R1055" s="1269"/>
    </row>
    <row r="1056" ht="12.75" customHeight="1">
      <c r="A1056" s="1268"/>
      <c r="B1056" s="1269"/>
      <c r="C1056" s="1269"/>
      <c r="D1056" s="1269"/>
      <c r="E1056" s="1269"/>
      <c r="F1056" s="1268"/>
      <c r="G1056" s="1268"/>
      <c r="H1056" s="1268"/>
      <c r="I1056" s="1269"/>
      <c r="J1056" s="1268"/>
      <c r="K1056" s="1268"/>
      <c r="L1056" s="1269"/>
      <c r="M1056" s="1268"/>
      <c r="N1056" s="1268"/>
      <c r="O1056" s="1269"/>
      <c r="P1056" s="1269"/>
      <c r="Q1056" s="1269"/>
      <c r="R1056" s="1269"/>
    </row>
    <row r="1057" ht="12.75" customHeight="1">
      <c r="A1057" s="1268"/>
      <c r="B1057" s="1269"/>
      <c r="C1057" s="1269"/>
      <c r="D1057" s="1269"/>
      <c r="E1057" s="1269"/>
      <c r="F1057" s="1268"/>
      <c r="G1057" s="1268"/>
      <c r="H1057" s="1268"/>
      <c r="I1057" s="1269"/>
      <c r="J1057" s="1268"/>
      <c r="K1057" s="1268"/>
      <c r="L1057" s="1269"/>
      <c r="M1057" s="1268"/>
      <c r="N1057" s="1268"/>
      <c r="O1057" s="1269"/>
      <c r="P1057" s="1269"/>
      <c r="Q1057" s="1269"/>
      <c r="R1057" s="1269"/>
    </row>
    <row r="1058" ht="12.75" customHeight="1">
      <c r="A1058" s="1268"/>
      <c r="B1058" s="1269"/>
      <c r="C1058" s="1269"/>
      <c r="D1058" s="1269"/>
      <c r="E1058" s="1269"/>
      <c r="F1058" s="1268"/>
      <c r="G1058" s="1268"/>
      <c r="H1058" s="1268"/>
      <c r="I1058" s="1269"/>
      <c r="J1058" s="1268"/>
      <c r="K1058" s="1268"/>
      <c r="L1058" s="1269"/>
      <c r="M1058" s="1268"/>
      <c r="N1058" s="1268"/>
      <c r="O1058" s="1269"/>
      <c r="P1058" s="1269"/>
      <c r="Q1058" s="1269"/>
      <c r="R1058" s="1269"/>
    </row>
    <row r="1059" ht="12.75" customHeight="1">
      <c r="A1059" s="1268"/>
      <c r="B1059" s="1269"/>
      <c r="C1059" s="1269"/>
      <c r="D1059" s="1269"/>
      <c r="E1059" s="1269"/>
      <c r="F1059" s="1268"/>
      <c r="G1059" s="1268"/>
      <c r="H1059" s="1268"/>
      <c r="I1059" s="1269"/>
      <c r="J1059" s="1268"/>
      <c r="K1059" s="1268"/>
      <c r="L1059" s="1269"/>
      <c r="M1059" s="1268"/>
      <c r="N1059" s="1268"/>
      <c r="O1059" s="1269"/>
      <c r="P1059" s="1269"/>
      <c r="Q1059" s="1269"/>
      <c r="R1059" s="1269"/>
    </row>
    <row r="1060" ht="12.75" customHeight="1">
      <c r="A1060" s="1268"/>
      <c r="B1060" s="1269"/>
      <c r="C1060" s="1269"/>
      <c r="D1060" s="1269"/>
      <c r="E1060" s="1269"/>
      <c r="F1060" s="1268"/>
      <c r="G1060" s="1268"/>
      <c r="H1060" s="1268"/>
      <c r="I1060" s="1269"/>
      <c r="J1060" s="1268"/>
      <c r="K1060" s="1268"/>
      <c r="L1060" s="1269"/>
      <c r="M1060" s="1268"/>
      <c r="N1060" s="1268"/>
      <c r="O1060" s="1269"/>
      <c r="P1060" s="1269"/>
      <c r="Q1060" s="1269"/>
      <c r="R1060" s="1269"/>
    </row>
    <row r="1061" ht="12.75" customHeight="1">
      <c r="A1061" s="1268"/>
      <c r="B1061" s="1269"/>
      <c r="C1061" s="1269"/>
      <c r="D1061" s="1269"/>
      <c r="E1061" s="1269"/>
      <c r="F1061" s="1268"/>
      <c r="G1061" s="1268"/>
      <c r="H1061" s="1268"/>
      <c r="I1061" s="1269"/>
      <c r="J1061" s="1268"/>
      <c r="K1061" s="1268"/>
      <c r="L1061" s="1269"/>
      <c r="M1061" s="1268"/>
      <c r="N1061" s="1268"/>
      <c r="O1061" s="1269"/>
      <c r="P1061" s="1269"/>
      <c r="Q1061" s="1269"/>
      <c r="R1061" s="1269"/>
    </row>
    <row r="1062" ht="12.75" customHeight="1">
      <c r="A1062" s="1268"/>
      <c r="B1062" s="1269"/>
      <c r="C1062" s="1269"/>
      <c r="D1062" s="1269"/>
      <c r="E1062" s="1269"/>
      <c r="F1062" s="1268"/>
      <c r="G1062" s="1268"/>
      <c r="H1062" s="1268"/>
      <c r="I1062" s="1269"/>
      <c r="J1062" s="1268"/>
      <c r="K1062" s="1268"/>
      <c r="L1062" s="1269"/>
      <c r="M1062" s="1268"/>
      <c r="N1062" s="1268"/>
      <c r="O1062" s="1269"/>
      <c r="P1062" s="1269"/>
      <c r="Q1062" s="1269"/>
      <c r="R1062" s="1269"/>
    </row>
    <row r="1063" ht="12.75" customHeight="1">
      <c r="A1063" s="1268"/>
      <c r="B1063" s="1269"/>
      <c r="C1063" s="1269"/>
      <c r="D1063" s="1269"/>
      <c r="E1063" s="1269"/>
      <c r="F1063" s="1268"/>
      <c r="G1063" s="1268"/>
      <c r="H1063" s="1268"/>
      <c r="I1063" s="1269"/>
      <c r="J1063" s="1268"/>
      <c r="K1063" s="1268"/>
      <c r="L1063" s="1269"/>
      <c r="M1063" s="1268"/>
      <c r="N1063" s="1268"/>
      <c r="O1063" s="1269"/>
      <c r="P1063" s="1269"/>
      <c r="Q1063" s="1269"/>
      <c r="R1063" s="1269"/>
    </row>
    <row r="1064" ht="12.75" customHeight="1">
      <c r="A1064" s="1268"/>
      <c r="B1064" s="1269"/>
      <c r="C1064" s="1269"/>
      <c r="D1064" s="1269"/>
      <c r="E1064" s="1269"/>
      <c r="F1064" s="1268"/>
      <c r="G1064" s="1268"/>
      <c r="H1064" s="1268"/>
      <c r="I1064" s="1269"/>
      <c r="J1064" s="1268"/>
      <c r="K1064" s="1268"/>
      <c r="L1064" s="1269"/>
      <c r="M1064" s="1268"/>
      <c r="N1064" s="1268"/>
      <c r="O1064" s="1269"/>
      <c r="P1064" s="1269"/>
      <c r="Q1064" s="1269"/>
      <c r="R1064" s="1269"/>
    </row>
    <row r="1065" ht="12.75" customHeight="1">
      <c r="A1065" s="1268"/>
      <c r="B1065" s="1269"/>
      <c r="C1065" s="1269"/>
      <c r="D1065" s="1269"/>
      <c r="E1065" s="1269"/>
      <c r="F1065" s="1268"/>
      <c r="G1065" s="1268"/>
      <c r="H1065" s="1268"/>
      <c r="I1065" s="1269"/>
      <c r="J1065" s="1268"/>
      <c r="K1065" s="1268"/>
      <c r="L1065" s="1269"/>
      <c r="M1065" s="1268"/>
      <c r="N1065" s="1268"/>
      <c r="O1065" s="1269"/>
      <c r="P1065" s="1269"/>
      <c r="Q1065" s="1269"/>
      <c r="R1065" s="1269"/>
    </row>
    <row r="1066" ht="12.75" customHeight="1">
      <c r="A1066" s="1268"/>
      <c r="B1066" s="1269"/>
      <c r="C1066" s="1269"/>
      <c r="D1066" s="1269"/>
      <c r="E1066" s="1269"/>
      <c r="F1066" s="1268"/>
      <c r="G1066" s="1268"/>
      <c r="H1066" s="1268"/>
      <c r="I1066" s="1269"/>
      <c r="J1066" s="1268"/>
      <c r="K1066" s="1268"/>
      <c r="L1066" s="1269"/>
      <c r="M1066" s="1268"/>
      <c r="N1066" s="1268"/>
      <c r="O1066" s="1269"/>
      <c r="P1066" s="1269"/>
      <c r="Q1066" s="1269"/>
      <c r="R1066" s="1269"/>
    </row>
    <row r="1067" ht="12.75" customHeight="1">
      <c r="A1067" s="1268"/>
      <c r="B1067" s="1269"/>
      <c r="C1067" s="1269"/>
      <c r="D1067" s="1269"/>
      <c r="E1067" s="1269"/>
      <c r="F1067" s="1268"/>
      <c r="G1067" s="1268"/>
      <c r="H1067" s="1268"/>
      <c r="I1067" s="1269"/>
      <c r="J1067" s="1268"/>
      <c r="K1067" s="1268"/>
      <c r="L1067" s="1269"/>
      <c r="M1067" s="1268"/>
      <c r="N1067" s="1268"/>
      <c r="O1067" s="1269"/>
      <c r="P1067" s="1269"/>
      <c r="Q1067" s="1269"/>
      <c r="R1067" s="1269"/>
    </row>
    <row r="1068" ht="12.75" customHeight="1">
      <c r="A1068" s="1268"/>
      <c r="B1068" s="1269"/>
      <c r="C1068" s="1269"/>
      <c r="D1068" s="1269"/>
      <c r="E1068" s="1269"/>
      <c r="F1068" s="1268"/>
      <c r="G1068" s="1268"/>
      <c r="H1068" s="1268"/>
      <c r="I1068" s="1269"/>
      <c r="J1068" s="1268"/>
      <c r="K1068" s="1268"/>
      <c r="L1068" s="1269"/>
      <c r="M1068" s="1268"/>
      <c r="N1068" s="1268"/>
      <c r="O1068" s="1269"/>
      <c r="P1068" s="1269"/>
      <c r="Q1068" s="1269"/>
      <c r="R1068" s="1269"/>
    </row>
    <row r="1069" ht="12.75" customHeight="1">
      <c r="A1069" s="1268"/>
      <c r="B1069" s="1269"/>
      <c r="C1069" s="1269"/>
      <c r="D1069" s="1269"/>
      <c r="E1069" s="1269"/>
      <c r="F1069" s="1268"/>
      <c r="G1069" s="1268"/>
      <c r="H1069" s="1268"/>
      <c r="I1069" s="1269"/>
      <c r="J1069" s="1268"/>
      <c r="K1069" s="1268"/>
      <c r="L1069" s="1269"/>
      <c r="M1069" s="1268"/>
      <c r="N1069" s="1268"/>
      <c r="O1069" s="1269"/>
      <c r="P1069" s="1269"/>
      <c r="Q1069" s="1269"/>
      <c r="R1069" s="1269"/>
    </row>
    <row r="1070" ht="12.75" customHeight="1">
      <c r="A1070" s="1268"/>
      <c r="B1070" s="1269"/>
      <c r="C1070" s="1269"/>
      <c r="D1070" s="1269"/>
      <c r="E1070" s="1269"/>
      <c r="F1070" s="1268"/>
      <c r="G1070" s="1268"/>
      <c r="H1070" s="1268"/>
      <c r="I1070" s="1269"/>
      <c r="J1070" s="1268"/>
      <c r="K1070" s="1268"/>
      <c r="L1070" s="1269"/>
      <c r="M1070" s="1268"/>
      <c r="N1070" s="1268"/>
      <c r="O1070" s="1269"/>
      <c r="P1070" s="1269"/>
      <c r="Q1070" s="1269"/>
      <c r="R1070" s="1269"/>
    </row>
    <row r="1071" ht="12.75" customHeight="1">
      <c r="A1071" s="1268"/>
      <c r="B1071" s="1269"/>
      <c r="C1071" s="1269"/>
      <c r="D1071" s="1269"/>
      <c r="E1071" s="1269"/>
      <c r="F1071" s="1268"/>
      <c r="G1071" s="1268"/>
      <c r="H1071" s="1268"/>
      <c r="I1071" s="1269"/>
      <c r="J1071" s="1268"/>
      <c r="K1071" s="1268"/>
      <c r="L1071" s="1269"/>
      <c r="M1071" s="1268"/>
      <c r="N1071" s="1268"/>
      <c r="O1071" s="1269"/>
      <c r="P1071" s="1269"/>
      <c r="Q1071" s="1269"/>
      <c r="R1071" s="1269"/>
    </row>
    <row r="1072" ht="12.75" customHeight="1">
      <c r="A1072" s="1268"/>
      <c r="B1072" s="1269"/>
      <c r="C1072" s="1269"/>
      <c r="D1072" s="1269"/>
      <c r="E1072" s="1269"/>
      <c r="F1072" s="1268"/>
      <c r="G1072" s="1268"/>
      <c r="H1072" s="1268"/>
      <c r="I1072" s="1269"/>
      <c r="J1072" s="1268"/>
      <c r="K1072" s="1268"/>
      <c r="L1072" s="1269"/>
      <c r="M1072" s="1268"/>
      <c r="N1072" s="1268"/>
      <c r="O1072" s="1269"/>
      <c r="P1072" s="1269"/>
      <c r="Q1072" s="1269"/>
      <c r="R1072" s="1269"/>
    </row>
    <row r="1073" ht="12.75" customHeight="1">
      <c r="A1073" s="1268"/>
      <c r="B1073" s="1269"/>
      <c r="C1073" s="1269"/>
      <c r="D1073" s="1269"/>
      <c r="E1073" s="1269"/>
      <c r="F1073" s="1268"/>
      <c r="G1073" s="1268"/>
      <c r="H1073" s="1268"/>
      <c r="I1073" s="1269"/>
      <c r="J1073" s="1268"/>
      <c r="K1073" s="1268"/>
      <c r="L1073" s="1269"/>
      <c r="M1073" s="1268"/>
      <c r="N1073" s="1268"/>
      <c r="O1073" s="1269"/>
      <c r="P1073" s="1269"/>
      <c r="Q1073" s="1269"/>
      <c r="R1073" s="1269"/>
    </row>
    <row r="1074" ht="12.75" customHeight="1">
      <c r="A1074" s="1268"/>
      <c r="B1074" s="1269"/>
      <c r="C1074" s="1269"/>
      <c r="D1074" s="1269"/>
      <c r="E1074" s="1269"/>
      <c r="F1074" s="1268"/>
      <c r="G1074" s="1268"/>
      <c r="H1074" s="1268"/>
      <c r="I1074" s="1269"/>
      <c r="J1074" s="1268"/>
      <c r="K1074" s="1268"/>
      <c r="L1074" s="1269"/>
      <c r="M1074" s="1268"/>
      <c r="N1074" s="1268"/>
      <c r="O1074" s="1269"/>
      <c r="P1074" s="1269"/>
      <c r="Q1074" s="1269"/>
      <c r="R1074" s="1269"/>
    </row>
    <row r="1075" ht="12.75" customHeight="1">
      <c r="A1075" s="1268"/>
      <c r="B1075" s="1269"/>
      <c r="C1075" s="1269"/>
      <c r="D1075" s="1269"/>
      <c r="E1075" s="1269"/>
      <c r="F1075" s="1268"/>
      <c r="G1075" s="1268"/>
      <c r="H1075" s="1268"/>
      <c r="I1075" s="1269"/>
      <c r="J1075" s="1268"/>
      <c r="K1075" s="1268"/>
      <c r="L1075" s="1269"/>
      <c r="M1075" s="1268"/>
      <c r="N1075" s="1268"/>
      <c r="O1075" s="1269"/>
      <c r="P1075" s="1269"/>
      <c r="Q1075" s="1269"/>
      <c r="R1075" s="1269"/>
    </row>
    <row r="1076" ht="12.75" customHeight="1">
      <c r="A1076" s="1268"/>
      <c r="B1076" s="1269"/>
      <c r="C1076" s="1269"/>
      <c r="D1076" s="1269"/>
      <c r="E1076" s="1269"/>
      <c r="F1076" s="1268"/>
      <c r="G1076" s="1268"/>
      <c r="H1076" s="1268"/>
      <c r="I1076" s="1269"/>
      <c r="J1076" s="1268"/>
      <c r="K1076" s="1268"/>
      <c r="L1076" s="1269"/>
      <c r="M1076" s="1268"/>
      <c r="N1076" s="1268"/>
      <c r="O1076" s="1269"/>
      <c r="P1076" s="1269"/>
      <c r="Q1076" s="1269"/>
      <c r="R1076" s="1269"/>
    </row>
    <row r="1077" ht="12.75" customHeight="1">
      <c r="A1077" s="1268"/>
      <c r="B1077" s="1269"/>
      <c r="C1077" s="1269"/>
      <c r="D1077" s="1269"/>
      <c r="E1077" s="1269"/>
      <c r="F1077" s="1268"/>
      <c r="G1077" s="1268"/>
      <c r="H1077" s="1268"/>
      <c r="I1077" s="1269"/>
      <c r="J1077" s="1268"/>
      <c r="K1077" s="1268"/>
      <c r="L1077" s="1269"/>
      <c r="M1077" s="1268"/>
      <c r="N1077" s="1268"/>
      <c r="O1077" s="1269"/>
      <c r="P1077" s="1269"/>
      <c r="Q1077" s="1269"/>
      <c r="R1077" s="1269"/>
    </row>
    <row r="1078" ht="12.75" customHeight="1">
      <c r="A1078" s="1268"/>
      <c r="B1078" s="1269"/>
      <c r="C1078" s="1269"/>
      <c r="D1078" s="1269"/>
      <c r="E1078" s="1269"/>
      <c r="F1078" s="1268"/>
      <c r="G1078" s="1268"/>
      <c r="H1078" s="1268"/>
      <c r="I1078" s="1269"/>
      <c r="J1078" s="1268"/>
      <c r="K1078" s="1268"/>
      <c r="L1078" s="1269"/>
      <c r="M1078" s="1268"/>
      <c r="N1078" s="1268"/>
      <c r="O1078" s="1269"/>
      <c r="P1078" s="1269"/>
      <c r="Q1078" s="1269"/>
      <c r="R1078" s="1269"/>
    </row>
    <row r="1079" ht="12.75" customHeight="1">
      <c r="A1079" s="1268"/>
      <c r="B1079" s="1269"/>
      <c r="C1079" s="1269"/>
      <c r="D1079" s="1269"/>
      <c r="E1079" s="1269"/>
      <c r="F1079" s="1268"/>
      <c r="G1079" s="1268"/>
      <c r="H1079" s="1268"/>
      <c r="I1079" s="1269"/>
      <c r="J1079" s="1268"/>
      <c r="K1079" s="1268"/>
      <c r="L1079" s="1269"/>
      <c r="M1079" s="1268"/>
      <c r="N1079" s="1268"/>
      <c r="O1079" s="1269"/>
      <c r="P1079" s="1269"/>
      <c r="Q1079" s="1269"/>
      <c r="R1079" s="1269"/>
    </row>
    <row r="1080" ht="12.75" customHeight="1">
      <c r="A1080" s="1268"/>
      <c r="B1080" s="1269"/>
      <c r="C1080" s="1269"/>
      <c r="D1080" s="1269"/>
      <c r="E1080" s="1269"/>
      <c r="F1080" s="1268"/>
      <c r="G1080" s="1268"/>
      <c r="H1080" s="1268"/>
      <c r="I1080" s="1269"/>
      <c r="J1080" s="1268"/>
      <c r="K1080" s="1268"/>
      <c r="L1080" s="1269"/>
      <c r="M1080" s="1268"/>
      <c r="N1080" s="1268"/>
      <c r="O1080" s="1269"/>
      <c r="P1080" s="1269"/>
      <c r="Q1080" s="1269"/>
      <c r="R1080" s="1269"/>
    </row>
    <row r="1081" ht="12.75" customHeight="1">
      <c r="A1081" s="1268"/>
      <c r="B1081" s="1269"/>
      <c r="C1081" s="1269"/>
      <c r="D1081" s="1269"/>
      <c r="E1081" s="1269"/>
      <c r="F1081" s="1268"/>
      <c r="G1081" s="1268"/>
      <c r="H1081" s="1268"/>
      <c r="I1081" s="1269"/>
      <c r="J1081" s="1268"/>
      <c r="K1081" s="1268"/>
      <c r="L1081" s="1269"/>
      <c r="M1081" s="1268"/>
      <c r="N1081" s="1268"/>
      <c r="O1081" s="1269"/>
      <c r="P1081" s="1269"/>
      <c r="Q1081" s="1269"/>
      <c r="R1081" s="1269"/>
    </row>
    <row r="1082" ht="12.75" customHeight="1">
      <c r="A1082" s="1268"/>
      <c r="B1082" s="1269"/>
      <c r="C1082" s="1269"/>
      <c r="D1082" s="1269"/>
      <c r="E1082" s="1269"/>
      <c r="F1082" s="1268"/>
      <c r="G1082" s="1268"/>
      <c r="H1082" s="1268"/>
      <c r="I1082" s="1269"/>
      <c r="J1082" s="1268"/>
      <c r="K1082" s="1268"/>
      <c r="L1082" s="1269"/>
      <c r="M1082" s="1268"/>
      <c r="N1082" s="1268"/>
      <c r="O1082" s="1269"/>
      <c r="P1082" s="1269"/>
      <c r="Q1082" s="1269"/>
      <c r="R1082" s="1269"/>
    </row>
    <row r="1083" ht="12.75" customHeight="1">
      <c r="A1083" s="1268"/>
      <c r="B1083" s="1269"/>
      <c r="C1083" s="1269"/>
      <c r="D1083" s="1269"/>
      <c r="E1083" s="1269"/>
      <c r="F1083" s="1268"/>
      <c r="G1083" s="1268"/>
      <c r="H1083" s="1268"/>
      <c r="I1083" s="1269"/>
      <c r="J1083" s="1268"/>
      <c r="K1083" s="1268"/>
      <c r="L1083" s="1269"/>
      <c r="M1083" s="1268"/>
      <c r="N1083" s="1268"/>
      <c r="O1083" s="1269"/>
      <c r="P1083" s="1269"/>
      <c r="Q1083" s="1269"/>
      <c r="R1083" s="1269"/>
    </row>
    <row r="1084" ht="12.75" customHeight="1">
      <c r="A1084" s="1268"/>
      <c r="B1084" s="1269"/>
      <c r="C1084" s="1269"/>
      <c r="D1084" s="1269"/>
      <c r="E1084" s="1269"/>
      <c r="F1084" s="1268"/>
      <c r="G1084" s="1268"/>
      <c r="H1084" s="1268"/>
      <c r="I1084" s="1269"/>
      <c r="J1084" s="1268"/>
      <c r="K1084" s="1268"/>
      <c r="L1084" s="1269"/>
      <c r="M1084" s="1268"/>
      <c r="N1084" s="1268"/>
      <c r="O1084" s="1269"/>
      <c r="P1084" s="1269"/>
      <c r="Q1084" s="1269"/>
      <c r="R1084" s="1269"/>
    </row>
    <row r="1085" ht="12.75" customHeight="1">
      <c r="A1085" s="1268"/>
      <c r="B1085" s="1269"/>
      <c r="C1085" s="1269"/>
      <c r="D1085" s="1269"/>
      <c r="E1085" s="1269"/>
      <c r="F1085" s="1268"/>
      <c r="G1085" s="1268"/>
      <c r="H1085" s="1268"/>
      <c r="I1085" s="1269"/>
      <c r="J1085" s="1268"/>
      <c r="K1085" s="1268"/>
      <c r="L1085" s="1269"/>
      <c r="M1085" s="1268"/>
      <c r="N1085" s="1268"/>
      <c r="O1085" s="1269"/>
      <c r="P1085" s="1269"/>
      <c r="Q1085" s="1269"/>
      <c r="R1085" s="1269"/>
    </row>
    <row r="1086" ht="12.75" customHeight="1">
      <c r="A1086" s="1268"/>
      <c r="B1086" s="1269"/>
      <c r="C1086" s="1269"/>
      <c r="D1086" s="1269"/>
      <c r="E1086" s="1269"/>
      <c r="F1086" s="1268"/>
      <c r="G1086" s="1268"/>
      <c r="H1086" s="1268"/>
      <c r="I1086" s="1269"/>
      <c r="J1086" s="1268"/>
      <c r="K1086" s="1268"/>
      <c r="L1086" s="1269"/>
      <c r="M1086" s="1268"/>
      <c r="N1086" s="1268"/>
      <c r="O1086" s="1269"/>
      <c r="P1086" s="1269"/>
      <c r="Q1086" s="1269"/>
      <c r="R1086" s="1269"/>
    </row>
    <row r="1087" ht="12.75" customHeight="1">
      <c r="A1087" s="1268"/>
      <c r="B1087" s="1269"/>
      <c r="C1087" s="1269"/>
      <c r="D1087" s="1269"/>
      <c r="E1087" s="1269"/>
      <c r="F1087" s="1268"/>
      <c r="G1087" s="1268"/>
      <c r="H1087" s="1268"/>
      <c r="I1087" s="1269"/>
      <c r="J1087" s="1268"/>
      <c r="K1087" s="1268"/>
      <c r="L1087" s="1269"/>
      <c r="M1087" s="1268"/>
      <c r="N1087" s="1268"/>
      <c r="O1087" s="1269"/>
      <c r="P1087" s="1269"/>
      <c r="Q1087" s="1269"/>
      <c r="R1087" s="1269"/>
    </row>
    <row r="1088" ht="12.75" customHeight="1">
      <c r="A1088" s="1268"/>
      <c r="B1088" s="1269"/>
      <c r="C1088" s="1269"/>
      <c r="D1088" s="1269"/>
      <c r="E1088" s="1269"/>
      <c r="F1088" s="1268"/>
      <c r="G1088" s="1268"/>
      <c r="H1088" s="1268"/>
      <c r="I1088" s="1269"/>
      <c r="J1088" s="1268"/>
      <c r="K1088" s="1268"/>
      <c r="L1088" s="1269"/>
      <c r="M1088" s="1268"/>
      <c r="N1088" s="1268"/>
      <c r="O1088" s="1269"/>
      <c r="P1088" s="1269"/>
      <c r="Q1088" s="1269"/>
      <c r="R1088" s="1269"/>
    </row>
    <row r="1089" ht="12.75" customHeight="1">
      <c r="A1089" s="1268"/>
      <c r="B1089" s="1269"/>
      <c r="C1089" s="1269"/>
      <c r="D1089" s="1269"/>
      <c r="E1089" s="1269"/>
      <c r="F1089" s="1268"/>
      <c r="G1089" s="1268"/>
      <c r="H1089" s="1268"/>
      <c r="I1089" s="1269"/>
      <c r="J1089" s="1268"/>
      <c r="K1089" s="1268"/>
      <c r="L1089" s="1269"/>
      <c r="M1089" s="1268"/>
      <c r="N1089" s="1268"/>
      <c r="O1089" s="1269"/>
      <c r="P1089" s="1269"/>
      <c r="Q1089" s="1269"/>
      <c r="R1089" s="1269"/>
    </row>
    <row r="1090" ht="12.75" customHeight="1">
      <c r="A1090" s="1268"/>
      <c r="B1090" s="1269"/>
      <c r="C1090" s="1269"/>
      <c r="D1090" s="1269"/>
      <c r="E1090" s="1269"/>
      <c r="F1090" s="1268"/>
      <c r="G1090" s="1268"/>
      <c r="H1090" s="1268"/>
      <c r="I1090" s="1269"/>
      <c r="J1090" s="1268"/>
      <c r="K1090" s="1268"/>
      <c r="L1090" s="1269"/>
      <c r="M1090" s="1268"/>
      <c r="N1090" s="1268"/>
      <c r="O1090" s="1269"/>
      <c r="P1090" s="1269"/>
      <c r="Q1090" s="1269"/>
      <c r="R1090" s="1269"/>
    </row>
    <row r="1091" ht="12.75" customHeight="1">
      <c r="A1091" s="1268"/>
      <c r="B1091" s="1269"/>
      <c r="C1091" s="1269"/>
      <c r="D1091" s="1269"/>
      <c r="E1091" s="1269"/>
      <c r="F1091" s="1268"/>
      <c r="G1091" s="1268"/>
      <c r="H1091" s="1268"/>
      <c r="I1091" s="1269"/>
      <c r="J1091" s="1268"/>
      <c r="K1091" s="1268"/>
      <c r="L1091" s="1269"/>
      <c r="M1091" s="1268"/>
      <c r="N1091" s="1268"/>
      <c r="O1091" s="1269"/>
      <c r="P1091" s="1269"/>
      <c r="Q1091" s="1269"/>
      <c r="R1091" s="1269"/>
    </row>
    <row r="1092" ht="12.75" customHeight="1">
      <c r="A1092" s="1268"/>
      <c r="B1092" s="1269"/>
      <c r="C1092" s="1269"/>
      <c r="D1092" s="1269"/>
      <c r="E1092" s="1269"/>
      <c r="F1092" s="1268"/>
      <c r="G1092" s="1268"/>
      <c r="H1092" s="1268"/>
      <c r="I1092" s="1269"/>
      <c r="J1092" s="1268"/>
      <c r="K1092" s="1268"/>
      <c r="L1092" s="1269"/>
      <c r="M1092" s="1268"/>
      <c r="N1092" s="1268"/>
      <c r="O1092" s="1269"/>
      <c r="P1092" s="1269"/>
      <c r="Q1092" s="1269"/>
      <c r="R1092" s="1269"/>
    </row>
    <row r="1093" ht="12.75" customHeight="1">
      <c r="A1093" s="1268"/>
      <c r="B1093" s="1269"/>
      <c r="C1093" s="1269"/>
      <c r="D1093" s="1269"/>
      <c r="E1093" s="1269"/>
      <c r="F1093" s="1268"/>
      <c r="G1093" s="1268"/>
      <c r="H1093" s="1268"/>
      <c r="I1093" s="1269"/>
      <c r="J1093" s="1268"/>
      <c r="K1093" s="1268"/>
      <c r="L1093" s="1269"/>
      <c r="M1093" s="1268"/>
      <c r="N1093" s="1268"/>
      <c r="O1093" s="1269"/>
      <c r="P1093" s="1269"/>
      <c r="Q1093" s="1269"/>
      <c r="R1093" s="1269"/>
    </row>
    <row r="1094" ht="12.75" customHeight="1">
      <c r="A1094" s="1268"/>
      <c r="B1094" s="1269"/>
      <c r="C1094" s="1269"/>
      <c r="D1094" s="1269"/>
      <c r="E1094" s="1269"/>
      <c r="F1094" s="1268"/>
      <c r="G1094" s="1268"/>
      <c r="H1094" s="1268"/>
      <c r="I1094" s="1269"/>
      <c r="J1094" s="1268"/>
      <c r="K1094" s="1268"/>
      <c r="L1094" s="1269"/>
      <c r="M1094" s="1268"/>
      <c r="N1094" s="1268"/>
      <c r="O1094" s="1269"/>
      <c r="P1094" s="1269"/>
      <c r="Q1094" s="1269"/>
      <c r="R1094" s="1269"/>
    </row>
    <row r="1095" ht="12.75" customHeight="1">
      <c r="A1095" s="1268"/>
      <c r="B1095" s="1269"/>
      <c r="C1095" s="1269"/>
      <c r="D1095" s="1269"/>
      <c r="E1095" s="1269"/>
      <c r="F1095" s="1268"/>
      <c r="G1095" s="1268"/>
      <c r="H1095" s="1268"/>
      <c r="I1095" s="1269"/>
      <c r="J1095" s="1268"/>
      <c r="K1095" s="1268"/>
      <c r="L1095" s="1269"/>
      <c r="M1095" s="1268"/>
      <c r="N1095" s="1268"/>
      <c r="O1095" s="1269"/>
      <c r="P1095" s="1269"/>
      <c r="Q1095" s="1269"/>
      <c r="R1095" s="1269"/>
    </row>
    <row r="1096" ht="12.75" customHeight="1">
      <c r="A1096" s="1268"/>
      <c r="B1096" s="1269"/>
      <c r="C1096" s="1269"/>
      <c r="D1096" s="1269"/>
      <c r="E1096" s="1269"/>
      <c r="F1096" s="1268"/>
      <c r="G1096" s="1268"/>
      <c r="H1096" s="1268"/>
      <c r="I1096" s="1269"/>
      <c r="J1096" s="1268"/>
      <c r="K1096" s="1268"/>
      <c r="L1096" s="1269"/>
      <c r="M1096" s="1268"/>
      <c r="N1096" s="1268"/>
      <c r="O1096" s="1269"/>
      <c r="P1096" s="1269"/>
      <c r="Q1096" s="1269"/>
      <c r="R1096" s="1269"/>
    </row>
    <row r="1097" ht="12.75" customHeight="1">
      <c r="A1097" s="1268"/>
      <c r="B1097" s="1269"/>
      <c r="C1097" s="1269"/>
      <c r="D1097" s="1269"/>
      <c r="E1097" s="1269"/>
      <c r="F1097" s="1268"/>
      <c r="G1097" s="1268"/>
      <c r="H1097" s="1268"/>
      <c r="I1097" s="1269"/>
      <c r="J1097" s="1268"/>
      <c r="K1097" s="1268"/>
      <c r="L1097" s="1269"/>
      <c r="M1097" s="1268"/>
      <c r="N1097" s="1268"/>
      <c r="O1097" s="1269"/>
      <c r="P1097" s="1269"/>
      <c r="Q1097" s="1269"/>
      <c r="R1097" s="1269"/>
    </row>
    <row r="1098" ht="12.75" customHeight="1">
      <c r="A1098" s="1268"/>
      <c r="B1098" s="1269"/>
      <c r="C1098" s="1269"/>
      <c r="D1098" s="1269"/>
      <c r="E1098" s="1269"/>
      <c r="F1098" s="1268"/>
      <c r="G1098" s="1268"/>
      <c r="H1098" s="1268"/>
      <c r="I1098" s="1269"/>
      <c r="J1098" s="1268"/>
      <c r="K1098" s="1268"/>
      <c r="L1098" s="1269"/>
      <c r="M1098" s="1268"/>
      <c r="N1098" s="1268"/>
      <c r="O1098" s="1269"/>
      <c r="P1098" s="1269"/>
      <c r="Q1098" s="1269"/>
      <c r="R1098" s="1269"/>
    </row>
    <row r="1099" ht="12.75" customHeight="1">
      <c r="A1099" s="1268"/>
      <c r="B1099" s="1269"/>
      <c r="C1099" s="1269"/>
      <c r="D1099" s="1269"/>
      <c r="E1099" s="1269"/>
      <c r="F1099" s="1268"/>
      <c r="G1099" s="1268"/>
      <c r="H1099" s="1268"/>
      <c r="I1099" s="1269"/>
      <c r="J1099" s="1268"/>
      <c r="K1099" s="1268"/>
      <c r="L1099" s="1269"/>
      <c r="M1099" s="1268"/>
      <c r="N1099" s="1268"/>
      <c r="O1099" s="1269"/>
      <c r="P1099" s="1269"/>
      <c r="Q1099" s="1269"/>
      <c r="R1099" s="1269"/>
    </row>
    <row r="1100" ht="12.75" customHeight="1">
      <c r="A1100" s="1268"/>
      <c r="B1100" s="1269"/>
      <c r="C1100" s="1269"/>
      <c r="D1100" s="1269"/>
      <c r="E1100" s="1269"/>
      <c r="F1100" s="1268"/>
      <c r="G1100" s="1268"/>
      <c r="H1100" s="1268"/>
      <c r="I1100" s="1269"/>
      <c r="J1100" s="1268"/>
      <c r="K1100" s="1268"/>
      <c r="L1100" s="1269"/>
      <c r="M1100" s="1268"/>
      <c r="N1100" s="1268"/>
      <c r="O1100" s="1269"/>
      <c r="P1100" s="1269"/>
      <c r="Q1100" s="1269"/>
      <c r="R1100" s="1269"/>
    </row>
    <row r="1101" ht="12.75" customHeight="1">
      <c r="A1101" s="1268"/>
      <c r="B1101" s="1269"/>
      <c r="C1101" s="1269"/>
      <c r="D1101" s="1269"/>
      <c r="E1101" s="1269"/>
      <c r="F1101" s="1268"/>
      <c r="G1101" s="1268"/>
      <c r="H1101" s="1268"/>
      <c r="I1101" s="1269"/>
      <c r="J1101" s="1268"/>
      <c r="K1101" s="1268"/>
      <c r="L1101" s="1269"/>
      <c r="M1101" s="1268"/>
      <c r="N1101" s="1268"/>
      <c r="O1101" s="1269"/>
      <c r="P1101" s="1269"/>
      <c r="Q1101" s="1269"/>
      <c r="R1101" s="1269"/>
    </row>
    <row r="1102" ht="12.75" customHeight="1">
      <c r="A1102" s="1268"/>
      <c r="B1102" s="1269"/>
      <c r="C1102" s="1269"/>
      <c r="D1102" s="1269"/>
      <c r="E1102" s="1269"/>
      <c r="F1102" s="1268"/>
      <c r="G1102" s="1268"/>
      <c r="H1102" s="1268"/>
      <c r="I1102" s="1269"/>
      <c r="J1102" s="1268"/>
      <c r="K1102" s="1268"/>
      <c r="L1102" s="1269"/>
      <c r="M1102" s="1268"/>
      <c r="N1102" s="1268"/>
      <c r="O1102" s="1269"/>
      <c r="P1102" s="1269"/>
      <c r="Q1102" s="1269"/>
      <c r="R1102" s="1269"/>
    </row>
    <row r="1103" ht="12.75" customHeight="1">
      <c r="A1103" s="1268"/>
      <c r="B1103" s="1269"/>
      <c r="C1103" s="1269"/>
      <c r="D1103" s="1269"/>
      <c r="E1103" s="1269"/>
      <c r="F1103" s="1268"/>
      <c r="G1103" s="1268"/>
      <c r="H1103" s="1268"/>
      <c r="I1103" s="1269"/>
      <c r="J1103" s="1268"/>
      <c r="K1103" s="1268"/>
      <c r="L1103" s="1269"/>
      <c r="M1103" s="1268"/>
      <c r="N1103" s="1268"/>
      <c r="O1103" s="1269"/>
      <c r="P1103" s="1269"/>
      <c r="Q1103" s="1269"/>
      <c r="R1103" s="1269"/>
    </row>
    <row r="1104" ht="12.75" customHeight="1">
      <c r="A1104" s="1268"/>
      <c r="B1104" s="1269"/>
      <c r="C1104" s="1269"/>
      <c r="D1104" s="1269"/>
      <c r="E1104" s="1269"/>
      <c r="F1104" s="1268"/>
      <c r="G1104" s="1268"/>
      <c r="H1104" s="1268"/>
      <c r="I1104" s="1269"/>
      <c r="J1104" s="1268"/>
      <c r="K1104" s="1268"/>
      <c r="L1104" s="1269"/>
      <c r="M1104" s="1268"/>
      <c r="N1104" s="1268"/>
      <c r="O1104" s="1269"/>
      <c r="P1104" s="1269"/>
      <c r="Q1104" s="1269"/>
      <c r="R1104" s="1269"/>
    </row>
    <row r="1105" ht="12.75" customHeight="1">
      <c r="A1105" s="1268"/>
      <c r="B1105" s="1269"/>
      <c r="C1105" s="1269"/>
      <c r="D1105" s="1269"/>
      <c r="E1105" s="1269"/>
      <c r="F1105" s="1268"/>
      <c r="G1105" s="1268"/>
      <c r="H1105" s="1268"/>
      <c r="I1105" s="1269"/>
      <c r="J1105" s="1268"/>
      <c r="K1105" s="1268"/>
      <c r="L1105" s="1269"/>
      <c r="M1105" s="1268"/>
      <c r="N1105" s="1268"/>
      <c r="O1105" s="1269"/>
      <c r="P1105" s="1269"/>
      <c r="Q1105" s="1269"/>
      <c r="R1105" s="1269"/>
    </row>
    <row r="1106" ht="12.75" customHeight="1">
      <c r="A1106" s="1268"/>
      <c r="B1106" s="1269"/>
      <c r="C1106" s="1269"/>
      <c r="D1106" s="1269"/>
      <c r="E1106" s="1269"/>
      <c r="F1106" s="1268"/>
      <c r="G1106" s="1268"/>
      <c r="H1106" s="1268"/>
      <c r="I1106" s="1269"/>
      <c r="J1106" s="1268"/>
      <c r="K1106" s="1268"/>
      <c r="L1106" s="1269"/>
      <c r="M1106" s="1268"/>
      <c r="N1106" s="1268"/>
      <c r="O1106" s="1269"/>
      <c r="P1106" s="1269"/>
      <c r="Q1106" s="1269"/>
      <c r="R1106" s="1269"/>
    </row>
    <row r="1107" ht="12.75" customHeight="1">
      <c r="A1107" s="1268"/>
      <c r="B1107" s="1269"/>
      <c r="C1107" s="1269"/>
      <c r="D1107" s="1269"/>
      <c r="E1107" s="1269"/>
      <c r="F1107" s="1268"/>
      <c r="G1107" s="1268"/>
      <c r="H1107" s="1268"/>
      <c r="I1107" s="1269"/>
      <c r="J1107" s="1268"/>
      <c r="K1107" s="1268"/>
      <c r="L1107" s="1269"/>
      <c r="M1107" s="1268"/>
      <c r="N1107" s="1268"/>
      <c r="O1107" s="1269"/>
      <c r="P1107" s="1269"/>
      <c r="Q1107" s="1269"/>
      <c r="R1107" s="1269"/>
    </row>
    <row r="1108" ht="12.75" customHeight="1">
      <c r="A1108" s="1268"/>
      <c r="B1108" s="1269"/>
      <c r="C1108" s="1269"/>
      <c r="D1108" s="1269"/>
      <c r="E1108" s="1269"/>
      <c r="F1108" s="1268"/>
      <c r="G1108" s="1268"/>
      <c r="H1108" s="1268"/>
      <c r="I1108" s="1269"/>
      <c r="J1108" s="1268"/>
      <c r="K1108" s="1268"/>
      <c r="L1108" s="1269"/>
      <c r="M1108" s="1268"/>
      <c r="N1108" s="1268"/>
      <c r="O1108" s="1269"/>
      <c r="P1108" s="1269"/>
      <c r="Q1108" s="1269"/>
      <c r="R1108" s="1269"/>
    </row>
    <row r="1109" ht="12.75" customHeight="1">
      <c r="A1109" s="1268"/>
      <c r="B1109" s="1269"/>
      <c r="C1109" s="1269"/>
      <c r="D1109" s="1269"/>
      <c r="E1109" s="1269"/>
      <c r="F1109" s="1268"/>
      <c r="G1109" s="1268"/>
      <c r="H1109" s="1268"/>
      <c r="I1109" s="1269"/>
      <c r="J1109" s="1268"/>
      <c r="K1109" s="1268"/>
      <c r="L1109" s="1269"/>
      <c r="M1109" s="1268"/>
      <c r="N1109" s="1268"/>
      <c r="O1109" s="1269"/>
      <c r="P1109" s="1269"/>
      <c r="Q1109" s="1269"/>
      <c r="R1109" s="1269"/>
    </row>
    <row r="1110" ht="12.75" customHeight="1">
      <c r="A1110" s="1268"/>
      <c r="B1110" s="1269"/>
      <c r="C1110" s="1269"/>
      <c r="D1110" s="1269"/>
      <c r="E1110" s="1269"/>
      <c r="F1110" s="1268"/>
      <c r="G1110" s="1268"/>
      <c r="H1110" s="1268"/>
      <c r="I1110" s="1269"/>
      <c r="J1110" s="1268"/>
      <c r="K1110" s="1268"/>
      <c r="L1110" s="1269"/>
      <c r="M1110" s="1268"/>
      <c r="N1110" s="1268"/>
      <c r="O1110" s="1269"/>
      <c r="P1110" s="1269"/>
      <c r="Q1110" s="1269"/>
      <c r="R1110" s="1269"/>
    </row>
    <row r="1111" ht="12.75" customHeight="1">
      <c r="A1111" s="1268"/>
      <c r="B1111" s="1269"/>
      <c r="C1111" s="1269"/>
      <c r="D1111" s="1269"/>
      <c r="E1111" s="1269"/>
      <c r="F1111" s="1268"/>
      <c r="G1111" s="1268"/>
      <c r="H1111" s="1268"/>
      <c r="I1111" s="1269"/>
      <c r="J1111" s="1268"/>
      <c r="K1111" s="1268"/>
      <c r="L1111" s="1269"/>
      <c r="M1111" s="1268"/>
      <c r="N1111" s="1268"/>
      <c r="O1111" s="1269"/>
      <c r="P1111" s="1269"/>
      <c r="Q1111" s="1269"/>
      <c r="R1111" s="1269"/>
    </row>
    <row r="1112" ht="12.75" customHeight="1">
      <c r="A1112" s="1268"/>
      <c r="B1112" s="1269"/>
      <c r="C1112" s="1269"/>
      <c r="D1112" s="1269"/>
      <c r="E1112" s="1269"/>
      <c r="F1112" s="1268"/>
      <c r="G1112" s="1268"/>
      <c r="H1112" s="1268"/>
      <c r="I1112" s="1269"/>
      <c r="J1112" s="1268"/>
      <c r="K1112" s="1268"/>
      <c r="L1112" s="1269"/>
      <c r="M1112" s="1268"/>
      <c r="N1112" s="1268"/>
      <c r="O1112" s="1269"/>
      <c r="P1112" s="1269"/>
      <c r="Q1112" s="1269"/>
      <c r="R1112" s="1269"/>
    </row>
    <row r="1113" ht="12.75" customHeight="1">
      <c r="A1113" s="1268"/>
      <c r="B1113" s="1269"/>
      <c r="C1113" s="1269"/>
      <c r="D1113" s="1269"/>
      <c r="E1113" s="1269"/>
      <c r="F1113" s="1268"/>
      <c r="G1113" s="1268"/>
      <c r="H1113" s="1268"/>
      <c r="I1113" s="1269"/>
      <c r="J1113" s="1268"/>
      <c r="K1113" s="1268"/>
      <c r="L1113" s="1269"/>
      <c r="M1113" s="1268"/>
      <c r="N1113" s="1268"/>
      <c r="O1113" s="1269"/>
      <c r="P1113" s="1269"/>
      <c r="Q1113" s="1269"/>
      <c r="R1113" s="1269"/>
    </row>
    <row r="1114" ht="12.75" customHeight="1">
      <c r="A1114" s="1268"/>
      <c r="B1114" s="1269"/>
      <c r="C1114" s="1269"/>
      <c r="D1114" s="1269"/>
      <c r="E1114" s="1269"/>
      <c r="F1114" s="1268"/>
      <c r="G1114" s="1268"/>
      <c r="H1114" s="1268"/>
      <c r="I1114" s="1269"/>
      <c r="J1114" s="1268"/>
      <c r="K1114" s="1268"/>
      <c r="L1114" s="1269"/>
      <c r="M1114" s="1268"/>
      <c r="N1114" s="1268"/>
      <c r="O1114" s="1269"/>
      <c r="P1114" s="1269"/>
      <c r="Q1114" s="1269"/>
      <c r="R1114" s="1269"/>
    </row>
    <row r="1115" ht="12.75" customHeight="1">
      <c r="A1115" s="1268"/>
      <c r="B1115" s="1269"/>
      <c r="C1115" s="1269"/>
      <c r="D1115" s="1269"/>
      <c r="E1115" s="1269"/>
      <c r="F1115" s="1268"/>
      <c r="G1115" s="1268"/>
      <c r="H1115" s="1268"/>
      <c r="I1115" s="1269"/>
      <c r="J1115" s="1268"/>
      <c r="K1115" s="1268"/>
      <c r="L1115" s="1269"/>
      <c r="M1115" s="1268"/>
      <c r="N1115" s="1268"/>
      <c r="O1115" s="1269"/>
      <c r="P1115" s="1269"/>
      <c r="Q1115" s="1269"/>
      <c r="R1115" s="1269"/>
    </row>
    <row r="1116" ht="12.75" customHeight="1">
      <c r="A1116" s="1268"/>
      <c r="B1116" s="1269"/>
      <c r="C1116" s="1269"/>
      <c r="D1116" s="1269"/>
      <c r="E1116" s="1269"/>
      <c r="F1116" s="1268"/>
      <c r="G1116" s="1268"/>
      <c r="H1116" s="1268"/>
      <c r="I1116" s="1269"/>
      <c r="J1116" s="1268"/>
      <c r="K1116" s="1268"/>
      <c r="L1116" s="1269"/>
      <c r="M1116" s="1268"/>
      <c r="N1116" s="1268"/>
      <c r="O1116" s="1269"/>
      <c r="P1116" s="1269"/>
      <c r="Q1116" s="1269"/>
      <c r="R1116" s="1269"/>
    </row>
    <row r="1117" ht="12.75" customHeight="1">
      <c r="A1117" s="1268"/>
      <c r="B1117" s="1269"/>
      <c r="C1117" s="1269"/>
      <c r="D1117" s="1269"/>
      <c r="E1117" s="1269"/>
      <c r="F1117" s="1268"/>
      <c r="G1117" s="1268"/>
      <c r="H1117" s="1268"/>
      <c r="I1117" s="1269"/>
      <c r="J1117" s="1268"/>
      <c r="K1117" s="1268"/>
      <c r="L1117" s="1269"/>
      <c r="M1117" s="1268"/>
      <c r="N1117" s="1268"/>
      <c r="O1117" s="1269"/>
      <c r="P1117" s="1269"/>
      <c r="Q1117" s="1269"/>
      <c r="R1117" s="1269"/>
    </row>
    <row r="1118" ht="12.75" customHeight="1">
      <c r="A1118" s="1268"/>
      <c r="B1118" s="1269"/>
      <c r="C1118" s="1269"/>
      <c r="D1118" s="1269"/>
      <c r="E1118" s="1269"/>
      <c r="F1118" s="1268"/>
      <c r="G1118" s="1268"/>
      <c r="H1118" s="1268"/>
      <c r="I1118" s="1269"/>
      <c r="J1118" s="1268"/>
      <c r="K1118" s="1268"/>
      <c r="L1118" s="1269"/>
      <c r="M1118" s="1268"/>
      <c r="N1118" s="1268"/>
      <c r="O1118" s="1269"/>
      <c r="P1118" s="1269"/>
      <c r="Q1118" s="1269"/>
      <c r="R1118" s="1269"/>
    </row>
    <row r="1119" ht="12.75" customHeight="1">
      <c r="A1119" s="1268"/>
      <c r="B1119" s="1269"/>
      <c r="C1119" s="1269"/>
      <c r="D1119" s="1269"/>
      <c r="E1119" s="1269"/>
      <c r="F1119" s="1268"/>
      <c r="G1119" s="1268"/>
      <c r="H1119" s="1268"/>
      <c r="I1119" s="1269"/>
      <c r="J1119" s="1268"/>
      <c r="K1119" s="1268"/>
      <c r="L1119" s="1269"/>
      <c r="M1119" s="1268"/>
      <c r="N1119" s="1268"/>
      <c r="O1119" s="1269"/>
      <c r="P1119" s="1269"/>
      <c r="Q1119" s="1269"/>
      <c r="R1119" s="1269"/>
    </row>
    <row r="1120" ht="12.75" customHeight="1">
      <c r="A1120" s="1268"/>
      <c r="B1120" s="1269"/>
      <c r="C1120" s="1269"/>
      <c r="D1120" s="1269"/>
      <c r="E1120" s="1269"/>
      <c r="F1120" s="1268"/>
      <c r="G1120" s="1268"/>
      <c r="H1120" s="1268"/>
      <c r="I1120" s="1269"/>
      <c r="J1120" s="1268"/>
      <c r="K1120" s="1268"/>
      <c r="L1120" s="1269"/>
      <c r="M1120" s="1268"/>
      <c r="N1120" s="1268"/>
      <c r="O1120" s="1269"/>
      <c r="P1120" s="1269"/>
      <c r="Q1120" s="1269"/>
      <c r="R1120" s="1269"/>
    </row>
    <row r="1121" ht="12.75" customHeight="1">
      <c r="A1121" s="1268"/>
      <c r="B1121" s="1269"/>
      <c r="C1121" s="1269"/>
      <c r="D1121" s="1269"/>
      <c r="E1121" s="1269"/>
      <c r="F1121" s="1268"/>
      <c r="G1121" s="1268"/>
      <c r="H1121" s="1268"/>
      <c r="I1121" s="1269"/>
      <c r="J1121" s="1268"/>
      <c r="K1121" s="1268"/>
      <c r="L1121" s="1269"/>
      <c r="M1121" s="1268"/>
      <c r="N1121" s="1268"/>
      <c r="O1121" s="1269"/>
      <c r="P1121" s="1269"/>
      <c r="Q1121" s="1269"/>
      <c r="R1121" s="1269"/>
    </row>
    <row r="1122" ht="12.75" customHeight="1">
      <c r="A1122" s="1268"/>
      <c r="B1122" s="1269"/>
      <c r="C1122" s="1269"/>
      <c r="D1122" s="1269"/>
      <c r="E1122" s="1269"/>
      <c r="F1122" s="1268"/>
      <c r="G1122" s="1268"/>
      <c r="H1122" s="1268"/>
      <c r="I1122" s="1269"/>
      <c r="J1122" s="1268"/>
      <c r="K1122" s="1268"/>
      <c r="L1122" s="1269"/>
      <c r="M1122" s="1268"/>
      <c r="N1122" s="1268"/>
      <c r="O1122" s="1269"/>
      <c r="P1122" s="1269"/>
      <c r="Q1122" s="1269"/>
      <c r="R1122" s="1269"/>
    </row>
    <row r="1123" ht="12.75" customHeight="1">
      <c r="A1123" s="1268"/>
      <c r="B1123" s="1269"/>
      <c r="C1123" s="1269"/>
      <c r="D1123" s="1269"/>
      <c r="E1123" s="1269"/>
      <c r="F1123" s="1268"/>
      <c r="G1123" s="1268"/>
      <c r="H1123" s="1268"/>
      <c r="I1123" s="1269"/>
      <c r="J1123" s="1268"/>
      <c r="K1123" s="1268"/>
      <c r="L1123" s="1269"/>
      <c r="M1123" s="1268"/>
      <c r="N1123" s="1268"/>
      <c r="O1123" s="1269"/>
      <c r="P1123" s="1269"/>
      <c r="Q1123" s="1269"/>
      <c r="R1123" s="1269"/>
    </row>
    <row r="1124" ht="12.75" customHeight="1">
      <c r="A1124" s="1268"/>
      <c r="B1124" s="1269"/>
      <c r="C1124" s="1269"/>
      <c r="D1124" s="1269"/>
      <c r="E1124" s="1269"/>
      <c r="F1124" s="1268"/>
      <c r="G1124" s="1268"/>
      <c r="H1124" s="1268"/>
      <c r="I1124" s="1269"/>
      <c r="J1124" s="1268"/>
      <c r="K1124" s="1268"/>
      <c r="L1124" s="1269"/>
      <c r="M1124" s="1268"/>
      <c r="N1124" s="1268"/>
      <c r="O1124" s="1269"/>
      <c r="P1124" s="1269"/>
      <c r="Q1124" s="1269"/>
      <c r="R1124" s="1269"/>
    </row>
    <row r="1125" ht="12.75" customHeight="1">
      <c r="A1125" s="1268"/>
      <c r="B1125" s="1269"/>
      <c r="C1125" s="1269"/>
      <c r="D1125" s="1269"/>
      <c r="E1125" s="1269"/>
      <c r="F1125" s="1268"/>
      <c r="G1125" s="1268"/>
      <c r="H1125" s="1268"/>
      <c r="I1125" s="1269"/>
      <c r="J1125" s="1268"/>
      <c r="K1125" s="1268"/>
      <c r="L1125" s="1269"/>
      <c r="M1125" s="1268"/>
      <c r="N1125" s="1268"/>
      <c r="O1125" s="1269"/>
      <c r="P1125" s="1269"/>
      <c r="Q1125" s="1269"/>
      <c r="R1125" s="1269"/>
    </row>
    <row r="1126" ht="12.75" customHeight="1">
      <c r="A1126" s="1268"/>
      <c r="B1126" s="1269"/>
      <c r="C1126" s="1269"/>
      <c r="D1126" s="1269"/>
      <c r="E1126" s="1269"/>
      <c r="F1126" s="1268"/>
      <c r="G1126" s="1268"/>
      <c r="H1126" s="1268"/>
      <c r="I1126" s="1269"/>
      <c r="J1126" s="1268"/>
      <c r="K1126" s="1268"/>
      <c r="L1126" s="1269"/>
      <c r="M1126" s="1268"/>
      <c r="N1126" s="1268"/>
      <c r="O1126" s="1269"/>
      <c r="P1126" s="1269"/>
      <c r="Q1126" s="1269"/>
      <c r="R1126" s="1269"/>
    </row>
    <row r="1127" ht="12.75" customHeight="1">
      <c r="A1127" s="1268"/>
      <c r="B1127" s="1269"/>
      <c r="C1127" s="1269"/>
      <c r="D1127" s="1269"/>
      <c r="E1127" s="1269"/>
      <c r="F1127" s="1268"/>
      <c r="G1127" s="1268"/>
      <c r="H1127" s="1268"/>
      <c r="I1127" s="1269"/>
      <c r="J1127" s="1268"/>
      <c r="K1127" s="1268"/>
      <c r="L1127" s="1269"/>
      <c r="M1127" s="1268"/>
      <c r="N1127" s="1268"/>
      <c r="O1127" s="1269"/>
      <c r="P1127" s="1269"/>
      <c r="Q1127" s="1269"/>
      <c r="R1127" s="1269"/>
    </row>
    <row r="1128" ht="12.75" customHeight="1">
      <c r="A1128" s="1268"/>
      <c r="B1128" s="1269"/>
      <c r="C1128" s="1269"/>
      <c r="D1128" s="1269"/>
      <c r="E1128" s="1269"/>
      <c r="F1128" s="1268"/>
      <c r="G1128" s="1268"/>
      <c r="H1128" s="1268"/>
      <c r="I1128" s="1269"/>
      <c r="J1128" s="1268"/>
      <c r="K1128" s="1268"/>
      <c r="L1128" s="1269"/>
      <c r="M1128" s="1268"/>
      <c r="N1128" s="1268"/>
      <c r="O1128" s="1269"/>
      <c r="P1128" s="1269"/>
      <c r="Q1128" s="1269"/>
      <c r="R1128" s="1269"/>
    </row>
    <row r="1129" ht="12.75" customHeight="1">
      <c r="A1129" s="1268"/>
      <c r="B1129" s="1269"/>
      <c r="C1129" s="1269"/>
      <c r="D1129" s="1269"/>
      <c r="E1129" s="1269"/>
      <c r="F1129" s="1268"/>
      <c r="G1129" s="1268"/>
      <c r="H1129" s="1268"/>
      <c r="I1129" s="1269"/>
      <c r="J1129" s="1268"/>
      <c r="K1129" s="1268"/>
      <c r="L1129" s="1269"/>
      <c r="M1129" s="1268"/>
      <c r="N1129" s="1268"/>
      <c r="O1129" s="1269"/>
      <c r="P1129" s="1269"/>
      <c r="Q1129" s="1269"/>
      <c r="R1129" s="1269"/>
    </row>
    <row r="1130" ht="12.75" customHeight="1">
      <c r="A1130" s="1268"/>
      <c r="B1130" s="1269"/>
      <c r="C1130" s="1269"/>
      <c r="D1130" s="1269"/>
      <c r="E1130" s="1269"/>
      <c r="F1130" s="1268"/>
      <c r="G1130" s="1268"/>
      <c r="H1130" s="1268"/>
      <c r="I1130" s="1269"/>
      <c r="J1130" s="1268"/>
      <c r="K1130" s="1268"/>
      <c r="L1130" s="1269"/>
      <c r="M1130" s="1268"/>
      <c r="N1130" s="1268"/>
      <c r="O1130" s="1269"/>
      <c r="P1130" s="1269"/>
      <c r="Q1130" s="1269"/>
      <c r="R1130" s="1269"/>
    </row>
    <row r="1131" ht="12.75" customHeight="1">
      <c r="A1131" s="1268"/>
      <c r="B1131" s="1269"/>
      <c r="C1131" s="1269"/>
      <c r="D1131" s="1269"/>
      <c r="E1131" s="1269"/>
      <c r="F1131" s="1268"/>
      <c r="G1131" s="1268"/>
      <c r="H1131" s="1268"/>
      <c r="I1131" s="1269"/>
      <c r="J1131" s="1268"/>
      <c r="K1131" s="1268"/>
      <c r="L1131" s="1269"/>
      <c r="M1131" s="1268"/>
      <c r="N1131" s="1268"/>
      <c r="O1131" s="1269"/>
      <c r="P1131" s="1269"/>
      <c r="Q1131" s="1269"/>
      <c r="R1131" s="1269"/>
    </row>
    <row r="1132" ht="12.75" customHeight="1">
      <c r="A1132" s="1268"/>
      <c r="B1132" s="1269"/>
      <c r="C1132" s="1269"/>
      <c r="D1132" s="1269"/>
      <c r="E1132" s="1269"/>
      <c r="F1132" s="1268"/>
      <c r="G1132" s="1268"/>
      <c r="H1132" s="1268"/>
      <c r="I1132" s="1269"/>
      <c r="J1132" s="1268"/>
      <c r="K1132" s="1268"/>
      <c r="L1132" s="1269"/>
      <c r="M1132" s="1268"/>
      <c r="N1132" s="1268"/>
      <c r="O1132" s="1269"/>
      <c r="P1132" s="1269"/>
      <c r="Q1132" s="1269"/>
      <c r="R1132" s="1269"/>
    </row>
    <row r="1133" ht="12.75" customHeight="1">
      <c r="A1133" s="1268"/>
      <c r="B1133" s="1269"/>
      <c r="C1133" s="1269"/>
      <c r="D1133" s="1269"/>
      <c r="E1133" s="1269"/>
      <c r="F1133" s="1268"/>
      <c r="G1133" s="1268"/>
      <c r="H1133" s="1268"/>
      <c r="I1133" s="1269"/>
      <c r="J1133" s="1268"/>
      <c r="K1133" s="1268"/>
      <c r="L1133" s="1269"/>
      <c r="M1133" s="1268"/>
      <c r="N1133" s="1268"/>
      <c r="O1133" s="1269"/>
      <c r="P1133" s="1269"/>
      <c r="Q1133" s="1269"/>
      <c r="R1133" s="1269"/>
    </row>
    <row r="1134" ht="12.75" customHeight="1">
      <c r="A1134" s="1268"/>
      <c r="B1134" s="1269"/>
      <c r="C1134" s="1269"/>
      <c r="D1134" s="1269"/>
      <c r="E1134" s="1269"/>
      <c r="F1134" s="1268"/>
      <c r="G1134" s="1268"/>
      <c r="H1134" s="1268"/>
      <c r="I1134" s="1269"/>
      <c r="J1134" s="1268"/>
      <c r="K1134" s="1268"/>
      <c r="L1134" s="1269"/>
      <c r="M1134" s="1268"/>
      <c r="N1134" s="1268"/>
      <c r="O1134" s="1269"/>
      <c r="P1134" s="1269"/>
      <c r="Q1134" s="1269"/>
      <c r="R1134" s="1269"/>
    </row>
    <row r="1135" ht="12.75" customHeight="1">
      <c r="A1135" s="1268"/>
      <c r="B1135" s="1269"/>
      <c r="C1135" s="1269"/>
      <c r="D1135" s="1269"/>
      <c r="E1135" s="1269"/>
      <c r="F1135" s="1268"/>
      <c r="G1135" s="1268"/>
      <c r="H1135" s="1268"/>
      <c r="I1135" s="1269"/>
      <c r="J1135" s="1268"/>
      <c r="K1135" s="1268"/>
      <c r="L1135" s="1269"/>
      <c r="M1135" s="1268"/>
      <c r="N1135" s="1268"/>
      <c r="O1135" s="1269"/>
      <c r="P1135" s="1269"/>
      <c r="Q1135" s="1269"/>
      <c r="R1135" s="1269"/>
    </row>
    <row r="1136" ht="12.75" customHeight="1">
      <c r="A1136" s="1268"/>
      <c r="B1136" s="1269"/>
      <c r="C1136" s="1269"/>
      <c r="D1136" s="1269"/>
      <c r="E1136" s="1269"/>
      <c r="F1136" s="1268"/>
      <c r="G1136" s="1268"/>
      <c r="H1136" s="1268"/>
      <c r="I1136" s="1269"/>
      <c r="J1136" s="1268"/>
      <c r="K1136" s="1268"/>
      <c r="L1136" s="1269"/>
      <c r="M1136" s="1268"/>
      <c r="N1136" s="1268"/>
      <c r="O1136" s="1269"/>
      <c r="P1136" s="1269"/>
      <c r="Q1136" s="1269"/>
      <c r="R1136" s="1269"/>
    </row>
    <row r="1137" ht="12.75" customHeight="1">
      <c r="A1137" s="1268"/>
      <c r="B1137" s="1269"/>
      <c r="C1137" s="1269"/>
      <c r="D1137" s="1269"/>
      <c r="E1137" s="1269"/>
      <c r="F1137" s="1268"/>
      <c r="G1137" s="1268"/>
      <c r="H1137" s="1268"/>
      <c r="I1137" s="1269"/>
      <c r="J1137" s="1268"/>
      <c r="K1137" s="1268"/>
      <c r="L1137" s="1269"/>
      <c r="M1137" s="1268"/>
      <c r="N1137" s="1268"/>
      <c r="O1137" s="1269"/>
      <c r="P1137" s="1269"/>
      <c r="Q1137" s="1269"/>
      <c r="R1137" s="1269"/>
    </row>
    <row r="1138" ht="12.75" customHeight="1">
      <c r="A1138" s="1268"/>
      <c r="B1138" s="1269"/>
      <c r="C1138" s="1269"/>
      <c r="D1138" s="1269"/>
      <c r="E1138" s="1269"/>
      <c r="F1138" s="1268"/>
      <c r="G1138" s="1268"/>
      <c r="H1138" s="1268"/>
      <c r="I1138" s="1269"/>
      <c r="J1138" s="1268"/>
      <c r="K1138" s="1268"/>
      <c r="L1138" s="1269"/>
      <c r="M1138" s="1268"/>
      <c r="N1138" s="1268"/>
      <c r="O1138" s="1269"/>
      <c r="P1138" s="1269"/>
      <c r="Q1138" s="1269"/>
      <c r="R1138" s="1269"/>
    </row>
    <row r="1139" ht="12.75" customHeight="1">
      <c r="A1139" s="1268"/>
      <c r="B1139" s="1269"/>
      <c r="C1139" s="1269"/>
      <c r="D1139" s="1269"/>
      <c r="E1139" s="1269"/>
      <c r="F1139" s="1268"/>
      <c r="G1139" s="1268"/>
      <c r="H1139" s="1268"/>
      <c r="I1139" s="1269"/>
      <c r="J1139" s="1268"/>
      <c r="K1139" s="1268"/>
      <c r="L1139" s="1269"/>
      <c r="M1139" s="1268"/>
      <c r="N1139" s="1268"/>
      <c r="O1139" s="1269"/>
      <c r="P1139" s="1269"/>
      <c r="Q1139" s="1269"/>
      <c r="R1139" s="1269"/>
    </row>
    <row r="1140" ht="12.75" customHeight="1">
      <c r="A1140" s="1268"/>
      <c r="B1140" s="1269"/>
      <c r="C1140" s="1269"/>
      <c r="D1140" s="1269"/>
      <c r="E1140" s="1269"/>
      <c r="F1140" s="1268"/>
      <c r="G1140" s="1268"/>
      <c r="H1140" s="1268"/>
      <c r="I1140" s="1269"/>
      <c r="J1140" s="1268"/>
      <c r="K1140" s="1268"/>
      <c r="L1140" s="1269"/>
      <c r="M1140" s="1268"/>
      <c r="N1140" s="1268"/>
      <c r="O1140" s="1269"/>
      <c r="P1140" s="1269"/>
      <c r="Q1140" s="1269"/>
      <c r="R1140" s="1269"/>
    </row>
    <row r="1141" ht="12.75" customHeight="1">
      <c r="A1141" s="1268"/>
      <c r="B1141" s="1269"/>
      <c r="C1141" s="1269"/>
      <c r="D1141" s="1269"/>
      <c r="E1141" s="1269"/>
      <c r="F1141" s="1268"/>
      <c r="G1141" s="1268"/>
      <c r="H1141" s="1268"/>
      <c r="I1141" s="1269"/>
      <c r="J1141" s="1268"/>
      <c r="K1141" s="1268"/>
      <c r="L1141" s="1269"/>
      <c r="M1141" s="1268"/>
      <c r="N1141" s="1268"/>
      <c r="O1141" s="1269"/>
      <c r="P1141" s="1269"/>
      <c r="Q1141" s="1269"/>
      <c r="R1141" s="1269"/>
    </row>
    <row r="1142" ht="12.75" customHeight="1">
      <c r="A1142" s="1268"/>
      <c r="B1142" s="1269"/>
      <c r="C1142" s="1269"/>
      <c r="D1142" s="1269"/>
      <c r="E1142" s="1269"/>
      <c r="F1142" s="1268"/>
      <c r="G1142" s="1268"/>
      <c r="H1142" s="1268"/>
      <c r="I1142" s="1269"/>
      <c r="J1142" s="1268"/>
      <c r="K1142" s="1268"/>
      <c r="L1142" s="1269"/>
      <c r="M1142" s="1268"/>
      <c r="N1142" s="1268"/>
      <c r="O1142" s="1269"/>
      <c r="P1142" s="1269"/>
      <c r="Q1142" s="1269"/>
      <c r="R1142" s="1269"/>
    </row>
    <row r="1143" ht="12.75" customHeight="1">
      <c r="A1143" s="1268"/>
      <c r="B1143" s="1269"/>
      <c r="C1143" s="1269"/>
      <c r="D1143" s="1269"/>
      <c r="E1143" s="1269"/>
      <c r="F1143" s="1268"/>
      <c r="G1143" s="1268"/>
      <c r="H1143" s="1268"/>
      <c r="I1143" s="1269"/>
      <c r="J1143" s="1268"/>
      <c r="K1143" s="1268"/>
      <c r="L1143" s="1269"/>
      <c r="M1143" s="1268"/>
      <c r="N1143" s="1268"/>
      <c r="O1143" s="1269"/>
      <c r="P1143" s="1269"/>
      <c r="Q1143" s="1269"/>
      <c r="R1143" s="1269"/>
    </row>
    <row r="1144" ht="12.75" customHeight="1">
      <c r="A1144" s="1268"/>
      <c r="B1144" s="1269"/>
      <c r="C1144" s="1269"/>
      <c r="D1144" s="1269"/>
      <c r="E1144" s="1269"/>
      <c r="F1144" s="1268"/>
      <c r="G1144" s="1268"/>
      <c r="H1144" s="1268"/>
      <c r="I1144" s="1269"/>
      <c r="J1144" s="1268"/>
      <c r="K1144" s="1268"/>
      <c r="L1144" s="1269"/>
      <c r="M1144" s="1268"/>
      <c r="N1144" s="1268"/>
      <c r="O1144" s="1269"/>
      <c r="P1144" s="1269"/>
      <c r="Q1144" s="1269"/>
      <c r="R1144" s="1269"/>
    </row>
    <row r="1145" ht="12.75" customHeight="1">
      <c r="A1145" s="1268"/>
      <c r="B1145" s="1269"/>
      <c r="C1145" s="1269"/>
      <c r="D1145" s="1269"/>
      <c r="E1145" s="1269"/>
      <c r="F1145" s="1268"/>
      <c r="G1145" s="1268"/>
      <c r="H1145" s="1268"/>
      <c r="I1145" s="1269"/>
      <c r="J1145" s="1268"/>
      <c r="K1145" s="1268"/>
      <c r="L1145" s="1269"/>
      <c r="M1145" s="1268"/>
      <c r="N1145" s="1268"/>
      <c r="O1145" s="1269"/>
      <c r="P1145" s="1269"/>
      <c r="Q1145" s="1269"/>
      <c r="R1145" s="1269"/>
    </row>
    <row r="1146" ht="12.75" customHeight="1">
      <c r="A1146" s="1268"/>
      <c r="B1146" s="1269"/>
      <c r="C1146" s="1269"/>
      <c r="D1146" s="1269"/>
      <c r="E1146" s="1269"/>
      <c r="F1146" s="1268"/>
      <c r="G1146" s="1268"/>
      <c r="H1146" s="1268"/>
      <c r="I1146" s="1269"/>
      <c r="J1146" s="1268"/>
      <c r="K1146" s="1268"/>
      <c r="L1146" s="1269"/>
      <c r="M1146" s="1268"/>
      <c r="N1146" s="1268"/>
      <c r="O1146" s="1269"/>
      <c r="P1146" s="1269"/>
      <c r="Q1146" s="1269"/>
      <c r="R1146" s="1269"/>
    </row>
    <row r="1147" ht="12.75" customHeight="1">
      <c r="A1147" s="1268"/>
      <c r="B1147" s="1269"/>
      <c r="C1147" s="1269"/>
      <c r="D1147" s="1269"/>
      <c r="E1147" s="1269"/>
      <c r="F1147" s="1268"/>
      <c r="G1147" s="1268"/>
      <c r="H1147" s="1268"/>
      <c r="I1147" s="1269"/>
      <c r="J1147" s="1268"/>
      <c r="K1147" s="1268"/>
      <c r="L1147" s="1269"/>
      <c r="M1147" s="1268"/>
      <c r="N1147" s="1268"/>
      <c r="O1147" s="1269"/>
      <c r="P1147" s="1269"/>
      <c r="Q1147" s="1269"/>
      <c r="R1147" s="1269"/>
    </row>
    <row r="1148" ht="12.75" customHeight="1">
      <c r="A1148" s="1268"/>
      <c r="B1148" s="1269"/>
      <c r="C1148" s="1269"/>
      <c r="D1148" s="1269"/>
      <c r="E1148" s="1269"/>
      <c r="F1148" s="1268"/>
      <c r="G1148" s="1268"/>
      <c r="H1148" s="1268"/>
      <c r="I1148" s="1269"/>
      <c r="J1148" s="1268"/>
      <c r="K1148" s="1268"/>
      <c r="L1148" s="1269"/>
      <c r="M1148" s="1268"/>
      <c r="N1148" s="1268"/>
      <c r="O1148" s="1269"/>
      <c r="P1148" s="1269"/>
      <c r="Q1148" s="1269"/>
      <c r="R1148" s="1269"/>
    </row>
    <row r="1149" ht="12.75" customHeight="1">
      <c r="A1149" s="1268"/>
      <c r="B1149" s="1269"/>
      <c r="C1149" s="1269"/>
      <c r="D1149" s="1269"/>
      <c r="E1149" s="1269"/>
      <c r="F1149" s="1268"/>
      <c r="G1149" s="1268"/>
      <c r="H1149" s="1268"/>
      <c r="I1149" s="1269"/>
      <c r="J1149" s="1268"/>
      <c r="K1149" s="1268"/>
      <c r="L1149" s="1269"/>
      <c r="M1149" s="1268"/>
      <c r="N1149" s="1268"/>
      <c r="O1149" s="1269"/>
      <c r="P1149" s="1269"/>
      <c r="Q1149" s="1269"/>
      <c r="R1149" s="1269"/>
    </row>
    <row r="1150" ht="12.75" customHeight="1">
      <c r="A1150" s="1268"/>
      <c r="B1150" s="1269"/>
      <c r="C1150" s="1269"/>
      <c r="D1150" s="1269"/>
      <c r="E1150" s="1269"/>
      <c r="F1150" s="1268"/>
      <c r="G1150" s="1268"/>
      <c r="H1150" s="1268"/>
      <c r="I1150" s="1269"/>
      <c r="J1150" s="1268"/>
      <c r="K1150" s="1268"/>
      <c r="L1150" s="1269"/>
      <c r="M1150" s="1268"/>
      <c r="N1150" s="1268"/>
      <c r="O1150" s="1269"/>
      <c r="P1150" s="1269"/>
      <c r="Q1150" s="1269"/>
      <c r="R1150" s="1269"/>
    </row>
    <row r="1151" ht="12.75" customHeight="1">
      <c r="A1151" s="1268"/>
      <c r="B1151" s="1269"/>
      <c r="C1151" s="1269"/>
      <c r="D1151" s="1269"/>
      <c r="E1151" s="1269"/>
      <c r="F1151" s="1268"/>
      <c r="G1151" s="1268"/>
      <c r="H1151" s="1268"/>
      <c r="I1151" s="1269"/>
      <c r="J1151" s="1268"/>
      <c r="K1151" s="1268"/>
      <c r="L1151" s="1269"/>
      <c r="M1151" s="1268"/>
      <c r="N1151" s="1268"/>
      <c r="O1151" s="1269"/>
      <c r="P1151" s="1269"/>
      <c r="Q1151" s="1269"/>
      <c r="R1151" s="1269"/>
    </row>
    <row r="1152" ht="12.75" customHeight="1">
      <c r="A1152" s="1268"/>
      <c r="B1152" s="1269"/>
      <c r="C1152" s="1269"/>
      <c r="D1152" s="1269"/>
      <c r="E1152" s="1269"/>
      <c r="F1152" s="1268"/>
      <c r="G1152" s="1268"/>
      <c r="H1152" s="1268"/>
      <c r="I1152" s="1269"/>
      <c r="J1152" s="1268"/>
      <c r="K1152" s="1268"/>
      <c r="L1152" s="1269"/>
      <c r="M1152" s="1268"/>
      <c r="N1152" s="1268"/>
      <c r="O1152" s="1269"/>
      <c r="P1152" s="1269"/>
      <c r="Q1152" s="1269"/>
      <c r="R1152" s="1269"/>
    </row>
    <row r="1153" ht="12.75" customHeight="1">
      <c r="A1153" s="1268"/>
      <c r="B1153" s="1269"/>
      <c r="C1153" s="1269"/>
      <c r="D1153" s="1269"/>
      <c r="E1153" s="1269"/>
      <c r="F1153" s="1268"/>
      <c r="G1153" s="1268"/>
      <c r="H1153" s="1268"/>
      <c r="I1153" s="1269"/>
      <c r="J1153" s="1268"/>
      <c r="K1153" s="1268"/>
      <c r="L1153" s="1269"/>
      <c r="M1153" s="1268"/>
      <c r="N1153" s="1268"/>
      <c r="O1153" s="1269"/>
      <c r="P1153" s="1269"/>
      <c r="Q1153" s="1269"/>
      <c r="R1153" s="1269"/>
    </row>
    <row r="1154" ht="12.75" customHeight="1">
      <c r="A1154" s="1268"/>
      <c r="B1154" s="1269"/>
      <c r="C1154" s="1269"/>
      <c r="D1154" s="1269"/>
      <c r="E1154" s="1269"/>
      <c r="F1154" s="1268"/>
      <c r="G1154" s="1268"/>
      <c r="H1154" s="1268"/>
      <c r="I1154" s="1269"/>
      <c r="J1154" s="1268"/>
      <c r="K1154" s="1268"/>
      <c r="L1154" s="1269"/>
      <c r="M1154" s="1268"/>
      <c r="N1154" s="1268"/>
      <c r="O1154" s="1269"/>
      <c r="P1154" s="1269"/>
      <c r="Q1154" s="1269"/>
      <c r="R1154" s="1269"/>
    </row>
    <row r="1155" ht="12.75" customHeight="1">
      <c r="A1155" s="1268"/>
      <c r="B1155" s="1269"/>
      <c r="C1155" s="1269"/>
      <c r="D1155" s="1269"/>
      <c r="E1155" s="1269"/>
      <c r="F1155" s="1268"/>
      <c r="G1155" s="1268"/>
      <c r="H1155" s="1268"/>
      <c r="I1155" s="1269"/>
      <c r="J1155" s="1268"/>
      <c r="K1155" s="1268"/>
      <c r="L1155" s="1269"/>
      <c r="M1155" s="1268"/>
      <c r="N1155" s="1268"/>
      <c r="O1155" s="1269"/>
      <c r="P1155" s="1269"/>
      <c r="Q1155" s="1269"/>
      <c r="R1155" s="1269"/>
    </row>
    <row r="1156" ht="12.75" customHeight="1">
      <c r="A1156" s="1268"/>
      <c r="B1156" s="1269"/>
      <c r="C1156" s="1269"/>
      <c r="D1156" s="1269"/>
      <c r="E1156" s="1269"/>
      <c r="F1156" s="1268"/>
      <c r="G1156" s="1268"/>
      <c r="H1156" s="1268"/>
      <c r="I1156" s="1269"/>
      <c r="J1156" s="1268"/>
      <c r="K1156" s="1268"/>
      <c r="L1156" s="1269"/>
      <c r="M1156" s="1268"/>
      <c r="N1156" s="1268"/>
      <c r="O1156" s="1269"/>
      <c r="P1156" s="1269"/>
      <c r="Q1156" s="1269"/>
      <c r="R1156" s="1269"/>
    </row>
    <row r="1157" ht="12.75" customHeight="1">
      <c r="A1157" s="1268"/>
      <c r="B1157" s="1269"/>
      <c r="C1157" s="1269"/>
      <c r="D1157" s="1269"/>
      <c r="E1157" s="1269"/>
      <c r="F1157" s="1268"/>
      <c r="G1157" s="1268"/>
      <c r="H1157" s="1268"/>
      <c r="I1157" s="1269"/>
      <c r="J1157" s="1268"/>
      <c r="K1157" s="1268"/>
      <c r="L1157" s="1269"/>
      <c r="M1157" s="1268"/>
      <c r="N1157" s="1268"/>
      <c r="O1157" s="1269"/>
      <c r="P1157" s="1269"/>
      <c r="Q1157" s="1269"/>
      <c r="R1157" s="1269"/>
    </row>
    <row r="1158" ht="12.75" customHeight="1">
      <c r="A1158" s="1268"/>
      <c r="B1158" s="1269"/>
      <c r="C1158" s="1269"/>
      <c r="D1158" s="1269"/>
      <c r="E1158" s="1269"/>
      <c r="F1158" s="1268"/>
      <c r="G1158" s="1268"/>
      <c r="H1158" s="1268"/>
      <c r="I1158" s="1269"/>
      <c r="J1158" s="1268"/>
      <c r="K1158" s="1268"/>
      <c r="L1158" s="1269"/>
      <c r="M1158" s="1268"/>
      <c r="N1158" s="1268"/>
      <c r="O1158" s="1269"/>
      <c r="P1158" s="1269"/>
      <c r="Q1158" s="1269"/>
      <c r="R1158" s="1269"/>
    </row>
    <row r="1159" ht="12.75" customHeight="1">
      <c r="A1159" s="1268"/>
      <c r="B1159" s="1269"/>
      <c r="C1159" s="1269"/>
      <c r="D1159" s="1269"/>
      <c r="E1159" s="1269"/>
      <c r="F1159" s="1268"/>
      <c r="G1159" s="1268"/>
      <c r="H1159" s="1268"/>
      <c r="I1159" s="1269"/>
      <c r="J1159" s="1268"/>
      <c r="K1159" s="1268"/>
      <c r="L1159" s="1269"/>
      <c r="M1159" s="1268"/>
      <c r="N1159" s="1268"/>
      <c r="O1159" s="1269"/>
      <c r="P1159" s="1269"/>
      <c r="Q1159" s="1269"/>
      <c r="R1159" s="1269"/>
    </row>
    <row r="1160" ht="12.75" customHeight="1">
      <c r="A1160" s="1268"/>
      <c r="B1160" s="1269"/>
      <c r="C1160" s="1269"/>
      <c r="D1160" s="1269"/>
      <c r="E1160" s="1269"/>
      <c r="F1160" s="1268"/>
      <c r="G1160" s="1268"/>
      <c r="H1160" s="1268"/>
      <c r="I1160" s="1269"/>
      <c r="J1160" s="1268"/>
      <c r="K1160" s="1268"/>
      <c r="L1160" s="1269"/>
      <c r="M1160" s="1268"/>
      <c r="N1160" s="1268"/>
      <c r="O1160" s="1269"/>
      <c r="P1160" s="1269"/>
      <c r="Q1160" s="1269"/>
      <c r="R1160" s="1269"/>
    </row>
    <row r="1161" ht="12.75" customHeight="1">
      <c r="A1161" s="1268"/>
      <c r="B1161" s="1269"/>
      <c r="C1161" s="1269"/>
      <c r="D1161" s="1269"/>
      <c r="E1161" s="1269"/>
      <c r="F1161" s="1268"/>
      <c r="G1161" s="1268"/>
      <c r="H1161" s="1268"/>
      <c r="I1161" s="1269"/>
      <c r="J1161" s="1268"/>
      <c r="K1161" s="1268"/>
      <c r="L1161" s="1269"/>
      <c r="M1161" s="1268"/>
      <c r="N1161" s="1268"/>
      <c r="O1161" s="1269"/>
      <c r="P1161" s="1269"/>
      <c r="Q1161" s="1269"/>
      <c r="R1161" s="1269"/>
    </row>
    <row r="1162" ht="12.75" customHeight="1">
      <c r="A1162" s="1268"/>
      <c r="B1162" s="1269"/>
      <c r="C1162" s="1269"/>
      <c r="D1162" s="1269"/>
      <c r="E1162" s="1269"/>
      <c r="F1162" s="1268"/>
      <c r="G1162" s="1268"/>
      <c r="H1162" s="1268"/>
      <c r="I1162" s="1269"/>
      <c r="J1162" s="1268"/>
      <c r="K1162" s="1268"/>
      <c r="L1162" s="1269"/>
      <c r="M1162" s="1268"/>
      <c r="N1162" s="1268"/>
      <c r="O1162" s="1269"/>
      <c r="P1162" s="1269"/>
      <c r="Q1162" s="1269"/>
      <c r="R1162" s="1269"/>
    </row>
    <row r="1163" ht="12.75" customHeight="1">
      <c r="A1163" s="1268"/>
      <c r="B1163" s="1269"/>
      <c r="C1163" s="1269"/>
      <c r="D1163" s="1269"/>
      <c r="E1163" s="1269"/>
      <c r="F1163" s="1268"/>
      <c r="G1163" s="1268"/>
      <c r="H1163" s="1268"/>
      <c r="I1163" s="1269"/>
      <c r="J1163" s="1268"/>
      <c r="K1163" s="1268"/>
      <c r="L1163" s="1269"/>
      <c r="M1163" s="1268"/>
      <c r="N1163" s="1268"/>
      <c r="O1163" s="1269"/>
      <c r="P1163" s="1269"/>
      <c r="Q1163" s="1269"/>
      <c r="R1163" s="1269"/>
    </row>
    <row r="1164" ht="12.75" customHeight="1">
      <c r="A1164" s="1268"/>
      <c r="B1164" s="1269"/>
      <c r="C1164" s="1269"/>
      <c r="D1164" s="1269"/>
      <c r="E1164" s="1269"/>
      <c r="F1164" s="1268"/>
      <c r="G1164" s="1268"/>
      <c r="H1164" s="1268"/>
      <c r="I1164" s="1269"/>
      <c r="J1164" s="1268"/>
      <c r="K1164" s="1268"/>
      <c r="L1164" s="1269"/>
      <c r="M1164" s="1268"/>
      <c r="N1164" s="1268"/>
      <c r="O1164" s="1269"/>
      <c r="P1164" s="1269"/>
      <c r="Q1164" s="1269"/>
      <c r="R1164" s="1269"/>
    </row>
    <row r="1165" ht="12.75" customHeight="1">
      <c r="A1165" s="1268"/>
      <c r="B1165" s="1269"/>
      <c r="C1165" s="1269"/>
      <c r="D1165" s="1269"/>
      <c r="E1165" s="1269"/>
      <c r="F1165" s="1268"/>
      <c r="G1165" s="1268"/>
      <c r="H1165" s="1268"/>
      <c r="I1165" s="1269"/>
      <c r="J1165" s="1268"/>
      <c r="K1165" s="1268"/>
      <c r="L1165" s="1269"/>
      <c r="M1165" s="1268"/>
      <c r="N1165" s="1268"/>
      <c r="O1165" s="1269"/>
      <c r="P1165" s="1269"/>
      <c r="Q1165" s="1269"/>
      <c r="R1165" s="1269"/>
    </row>
    <row r="1166" ht="12.75" customHeight="1">
      <c r="A1166" s="1268"/>
      <c r="B1166" s="1269"/>
      <c r="C1166" s="1269"/>
      <c r="D1166" s="1269"/>
      <c r="E1166" s="1269"/>
      <c r="F1166" s="1268"/>
      <c r="G1166" s="1268"/>
      <c r="H1166" s="1268"/>
      <c r="I1166" s="1269"/>
      <c r="J1166" s="1268"/>
      <c r="K1166" s="1268"/>
      <c r="L1166" s="1269"/>
      <c r="M1166" s="1268"/>
      <c r="N1166" s="1268"/>
      <c r="O1166" s="1269"/>
      <c r="P1166" s="1269"/>
      <c r="Q1166" s="1269"/>
      <c r="R1166" s="1269"/>
    </row>
    <row r="1167" ht="12.75" customHeight="1">
      <c r="A1167" s="1268"/>
      <c r="B1167" s="1269"/>
      <c r="C1167" s="1269"/>
      <c r="D1167" s="1269"/>
      <c r="E1167" s="1269"/>
      <c r="F1167" s="1268"/>
      <c r="G1167" s="1268"/>
      <c r="H1167" s="1268"/>
      <c r="I1167" s="1269"/>
      <c r="J1167" s="1268"/>
      <c r="K1167" s="1268"/>
      <c r="L1167" s="1269"/>
      <c r="M1167" s="1268"/>
      <c r="N1167" s="1268"/>
      <c r="O1167" s="1269"/>
      <c r="P1167" s="1269"/>
      <c r="Q1167" s="1269"/>
      <c r="R1167" s="1269"/>
    </row>
    <row r="1168" ht="12.75" customHeight="1">
      <c r="A1168" s="1268"/>
      <c r="B1168" s="1269"/>
      <c r="C1168" s="1269"/>
      <c r="D1168" s="1269"/>
      <c r="E1168" s="1269"/>
      <c r="F1168" s="1268"/>
      <c r="G1168" s="1268"/>
      <c r="H1168" s="1268"/>
      <c r="I1168" s="1269"/>
      <c r="J1168" s="1268"/>
      <c r="K1168" s="1268"/>
      <c r="L1168" s="1269"/>
      <c r="M1168" s="1268"/>
      <c r="N1168" s="1268"/>
      <c r="O1168" s="1269"/>
      <c r="P1168" s="1269"/>
      <c r="Q1168" s="1269"/>
      <c r="R1168" s="1269"/>
    </row>
    <row r="1169" ht="12.75" customHeight="1">
      <c r="A1169" s="1268"/>
      <c r="B1169" s="1269"/>
      <c r="C1169" s="1269"/>
      <c r="D1169" s="1269"/>
      <c r="E1169" s="1269"/>
      <c r="F1169" s="1268"/>
      <c r="G1169" s="1268"/>
      <c r="H1169" s="1268"/>
      <c r="I1169" s="1269"/>
      <c r="J1169" s="1268"/>
      <c r="K1169" s="1268"/>
      <c r="L1169" s="1269"/>
      <c r="M1169" s="1268"/>
      <c r="N1169" s="1268"/>
      <c r="O1169" s="1269"/>
      <c r="P1169" s="1269"/>
      <c r="Q1169" s="1269"/>
      <c r="R1169" s="1269"/>
    </row>
    <row r="1170" ht="12.75" customHeight="1">
      <c r="A1170" s="1268"/>
      <c r="B1170" s="1269"/>
      <c r="C1170" s="1269"/>
      <c r="D1170" s="1269"/>
      <c r="E1170" s="1269"/>
      <c r="F1170" s="1268"/>
      <c r="G1170" s="1268"/>
      <c r="H1170" s="1268"/>
      <c r="I1170" s="1269"/>
      <c r="J1170" s="1268"/>
      <c r="K1170" s="1268"/>
      <c r="L1170" s="1269"/>
      <c r="M1170" s="1268"/>
      <c r="N1170" s="1268"/>
      <c r="O1170" s="1269"/>
      <c r="P1170" s="1269"/>
      <c r="Q1170" s="1269"/>
      <c r="R1170" s="1269"/>
    </row>
    <row r="1171" ht="12.75" customHeight="1">
      <c r="A1171" s="1268"/>
      <c r="B1171" s="1269"/>
      <c r="C1171" s="1269"/>
      <c r="D1171" s="1269"/>
      <c r="E1171" s="1269"/>
      <c r="F1171" s="1268"/>
      <c r="G1171" s="1268"/>
      <c r="H1171" s="1268"/>
      <c r="I1171" s="1269"/>
      <c r="J1171" s="1268"/>
      <c r="K1171" s="1268"/>
      <c r="L1171" s="1269"/>
      <c r="M1171" s="1268"/>
      <c r="N1171" s="1268"/>
      <c r="O1171" s="1269"/>
      <c r="P1171" s="1269"/>
      <c r="Q1171" s="1269"/>
      <c r="R1171" s="1269"/>
    </row>
    <row r="1172" ht="12.75" customHeight="1">
      <c r="A1172" s="1268"/>
      <c r="B1172" s="1269"/>
      <c r="C1172" s="1269"/>
      <c r="D1172" s="1269"/>
      <c r="E1172" s="1269"/>
      <c r="F1172" s="1268"/>
      <c r="G1172" s="1268"/>
      <c r="H1172" s="1268"/>
      <c r="I1172" s="1269"/>
      <c r="J1172" s="1268"/>
      <c r="K1172" s="1268"/>
      <c r="L1172" s="1269"/>
      <c r="M1172" s="1268"/>
      <c r="N1172" s="1268"/>
      <c r="O1172" s="1269"/>
      <c r="P1172" s="1269"/>
      <c r="Q1172" s="1269"/>
      <c r="R1172" s="1269"/>
    </row>
    <row r="1173" ht="12.75" customHeight="1">
      <c r="A1173" s="1268"/>
      <c r="B1173" s="1269"/>
      <c r="C1173" s="1269"/>
      <c r="D1173" s="1269"/>
      <c r="E1173" s="1269"/>
      <c r="F1173" s="1268"/>
      <c r="G1173" s="1268"/>
      <c r="H1173" s="1268"/>
      <c r="I1173" s="1269"/>
      <c r="J1173" s="1268"/>
      <c r="K1173" s="1268"/>
      <c r="L1173" s="1269"/>
      <c r="M1173" s="1268"/>
      <c r="N1173" s="1268"/>
      <c r="O1173" s="1269"/>
      <c r="P1173" s="1269"/>
      <c r="Q1173" s="1269"/>
      <c r="R1173" s="1269"/>
    </row>
    <row r="1174" ht="12.75" customHeight="1">
      <c r="A1174" s="1268"/>
      <c r="B1174" s="1269"/>
      <c r="C1174" s="1269"/>
      <c r="D1174" s="1269"/>
      <c r="E1174" s="1269"/>
      <c r="F1174" s="1268"/>
      <c r="G1174" s="1268"/>
      <c r="H1174" s="1268"/>
      <c r="I1174" s="1269"/>
      <c r="J1174" s="1268"/>
      <c r="K1174" s="1268"/>
      <c r="L1174" s="1269"/>
      <c r="M1174" s="1268"/>
      <c r="N1174" s="1268"/>
      <c r="O1174" s="1269"/>
      <c r="P1174" s="1269"/>
      <c r="Q1174" s="1269"/>
      <c r="R1174" s="1269"/>
    </row>
    <row r="1175" ht="12.75" customHeight="1">
      <c r="A1175" s="1268"/>
      <c r="B1175" s="1269"/>
      <c r="C1175" s="1269"/>
      <c r="D1175" s="1269"/>
      <c r="E1175" s="1269"/>
      <c r="F1175" s="1268"/>
      <c r="G1175" s="1268"/>
      <c r="H1175" s="1268"/>
      <c r="I1175" s="1269"/>
      <c r="J1175" s="1268"/>
      <c r="K1175" s="1268"/>
      <c r="L1175" s="1269"/>
      <c r="M1175" s="1268"/>
      <c r="N1175" s="1268"/>
      <c r="O1175" s="1269"/>
      <c r="P1175" s="1269"/>
      <c r="Q1175" s="1269"/>
      <c r="R1175" s="1269"/>
    </row>
    <row r="1176" ht="12.75" customHeight="1">
      <c r="A1176" s="1268"/>
      <c r="B1176" s="1269"/>
      <c r="C1176" s="1269"/>
      <c r="D1176" s="1269"/>
      <c r="E1176" s="1269"/>
      <c r="F1176" s="1268"/>
      <c r="G1176" s="1268"/>
      <c r="H1176" s="1268"/>
      <c r="I1176" s="1269"/>
      <c r="J1176" s="1268"/>
      <c r="K1176" s="1268"/>
      <c r="L1176" s="1269"/>
      <c r="M1176" s="1268"/>
      <c r="N1176" s="1268"/>
      <c r="O1176" s="1269"/>
      <c r="P1176" s="1269"/>
      <c r="Q1176" s="1269"/>
      <c r="R1176" s="1269"/>
    </row>
    <row r="1177" ht="12.75" customHeight="1">
      <c r="A1177" s="1268"/>
      <c r="B1177" s="1269"/>
      <c r="C1177" s="1269"/>
      <c r="D1177" s="1269"/>
      <c r="E1177" s="1269"/>
      <c r="F1177" s="1268"/>
      <c r="G1177" s="1268"/>
      <c r="H1177" s="1268"/>
      <c r="I1177" s="1269"/>
      <c r="J1177" s="1268"/>
      <c r="K1177" s="1268"/>
      <c r="L1177" s="1269"/>
      <c r="M1177" s="1268"/>
      <c r="N1177" s="1268"/>
      <c r="O1177" s="1269"/>
      <c r="P1177" s="1269"/>
      <c r="Q1177" s="1269"/>
      <c r="R1177" s="1269"/>
    </row>
    <row r="1178" ht="12.75" customHeight="1">
      <c r="A1178" s="1268"/>
      <c r="B1178" s="1269"/>
      <c r="C1178" s="1269"/>
      <c r="D1178" s="1269"/>
      <c r="E1178" s="1269"/>
      <c r="F1178" s="1268"/>
      <c r="G1178" s="1268"/>
      <c r="H1178" s="1268"/>
      <c r="I1178" s="1269"/>
      <c r="J1178" s="1268"/>
      <c r="K1178" s="1268"/>
      <c r="L1178" s="1269"/>
      <c r="M1178" s="1268"/>
      <c r="N1178" s="1268"/>
      <c r="O1178" s="1269"/>
      <c r="P1178" s="1269"/>
      <c r="Q1178" s="1269"/>
      <c r="R1178" s="1269"/>
    </row>
    <row r="1179" ht="12.75" customHeight="1">
      <c r="A1179" s="1268"/>
      <c r="B1179" s="1269"/>
      <c r="C1179" s="1269"/>
      <c r="D1179" s="1269"/>
      <c r="E1179" s="1269"/>
      <c r="F1179" s="1268"/>
      <c r="G1179" s="1268"/>
      <c r="H1179" s="1268"/>
      <c r="I1179" s="1269"/>
      <c r="J1179" s="1268"/>
      <c r="K1179" s="1268"/>
      <c r="L1179" s="1269"/>
      <c r="M1179" s="1268"/>
      <c r="N1179" s="1268"/>
      <c r="O1179" s="1269"/>
      <c r="P1179" s="1269"/>
      <c r="Q1179" s="1269"/>
      <c r="R1179" s="1269"/>
    </row>
    <row r="1180" ht="12.75" customHeight="1">
      <c r="A1180" s="1268"/>
      <c r="B1180" s="1269"/>
      <c r="C1180" s="1269"/>
      <c r="D1180" s="1269"/>
      <c r="E1180" s="1269"/>
      <c r="F1180" s="1268"/>
      <c r="G1180" s="1268"/>
      <c r="H1180" s="1268"/>
      <c r="I1180" s="1269"/>
      <c r="J1180" s="1268"/>
      <c r="K1180" s="1268"/>
      <c r="L1180" s="1269"/>
      <c r="M1180" s="1268"/>
      <c r="N1180" s="1268"/>
      <c r="O1180" s="1269"/>
      <c r="P1180" s="1269"/>
      <c r="Q1180" s="1269"/>
      <c r="R1180" s="1269"/>
    </row>
    <row r="1181" ht="12.75" customHeight="1">
      <c r="A1181" s="1268"/>
      <c r="B1181" s="1269"/>
      <c r="C1181" s="1269"/>
      <c r="D1181" s="1269"/>
      <c r="E1181" s="1269"/>
      <c r="F1181" s="1268"/>
      <c r="G1181" s="1268"/>
      <c r="H1181" s="1268"/>
      <c r="I1181" s="1269"/>
      <c r="J1181" s="1268"/>
      <c r="K1181" s="1268"/>
      <c r="L1181" s="1269"/>
      <c r="M1181" s="1268"/>
      <c r="N1181" s="1268"/>
      <c r="O1181" s="1269"/>
      <c r="P1181" s="1269"/>
      <c r="Q1181" s="1269"/>
      <c r="R1181" s="1269"/>
    </row>
    <row r="1182" ht="12.75" customHeight="1">
      <c r="A1182" s="1268"/>
      <c r="B1182" s="1269"/>
      <c r="C1182" s="1269"/>
      <c r="D1182" s="1269"/>
      <c r="E1182" s="1269"/>
      <c r="F1182" s="1268"/>
      <c r="G1182" s="1268"/>
      <c r="H1182" s="1268"/>
      <c r="I1182" s="1269"/>
      <c r="J1182" s="1268"/>
      <c r="K1182" s="1268"/>
      <c r="L1182" s="1269"/>
      <c r="M1182" s="1268"/>
      <c r="N1182" s="1268"/>
      <c r="O1182" s="1269"/>
      <c r="P1182" s="1269"/>
      <c r="Q1182" s="1269"/>
      <c r="R1182" s="1269"/>
    </row>
    <row r="1183" ht="12.75" customHeight="1">
      <c r="A1183" s="1268"/>
      <c r="B1183" s="1269"/>
      <c r="C1183" s="1269"/>
      <c r="D1183" s="1269"/>
      <c r="E1183" s="1269"/>
      <c r="F1183" s="1268"/>
      <c r="G1183" s="1268"/>
      <c r="H1183" s="1268"/>
      <c r="I1183" s="1269"/>
      <c r="J1183" s="1268"/>
      <c r="K1183" s="1268"/>
      <c r="L1183" s="1269"/>
      <c r="M1183" s="1268"/>
      <c r="N1183" s="1268"/>
      <c r="O1183" s="1269"/>
      <c r="P1183" s="1269"/>
      <c r="Q1183" s="1269"/>
      <c r="R1183" s="1269"/>
    </row>
    <row r="1184" ht="12.75" customHeight="1">
      <c r="A1184" s="1268"/>
      <c r="B1184" s="1269"/>
      <c r="C1184" s="1269"/>
      <c r="D1184" s="1269"/>
      <c r="E1184" s="1269"/>
      <c r="F1184" s="1268"/>
      <c r="G1184" s="1268"/>
      <c r="H1184" s="1268"/>
      <c r="I1184" s="1269"/>
      <c r="J1184" s="1268"/>
      <c r="K1184" s="1268"/>
      <c r="L1184" s="1269"/>
      <c r="M1184" s="1268"/>
      <c r="N1184" s="1268"/>
      <c r="O1184" s="1269"/>
      <c r="P1184" s="1269"/>
      <c r="Q1184" s="1269"/>
      <c r="R1184" s="1269"/>
    </row>
    <row r="1185" ht="12.75" customHeight="1">
      <c r="A1185" s="1268"/>
      <c r="B1185" s="1269"/>
      <c r="C1185" s="1269"/>
      <c r="D1185" s="1269"/>
      <c r="E1185" s="1269"/>
      <c r="F1185" s="1268"/>
      <c r="G1185" s="1268"/>
      <c r="H1185" s="1268"/>
      <c r="I1185" s="1269"/>
      <c r="J1185" s="1268"/>
      <c r="K1185" s="1268"/>
      <c r="L1185" s="1269"/>
      <c r="M1185" s="1268"/>
      <c r="N1185" s="1268"/>
      <c r="O1185" s="1269"/>
      <c r="P1185" s="1269"/>
      <c r="Q1185" s="1269"/>
      <c r="R1185" s="1269"/>
    </row>
    <row r="1186" ht="12.75" customHeight="1">
      <c r="A1186" s="1268"/>
      <c r="B1186" s="1269"/>
      <c r="C1186" s="1269"/>
      <c r="D1186" s="1269"/>
      <c r="E1186" s="1269"/>
      <c r="F1186" s="1268"/>
      <c r="G1186" s="1268"/>
      <c r="H1186" s="1268"/>
      <c r="I1186" s="1269"/>
      <c r="J1186" s="1268"/>
      <c r="K1186" s="1268"/>
      <c r="L1186" s="1269"/>
      <c r="M1186" s="1268"/>
      <c r="N1186" s="1268"/>
      <c r="O1186" s="1269"/>
      <c r="P1186" s="1269"/>
      <c r="Q1186" s="1269"/>
      <c r="R1186" s="1269"/>
    </row>
    <row r="1187" ht="12.75" customHeight="1">
      <c r="A1187" s="1268"/>
      <c r="B1187" s="1269"/>
      <c r="C1187" s="1269"/>
      <c r="D1187" s="1269"/>
      <c r="E1187" s="1269"/>
      <c r="F1187" s="1268"/>
      <c r="G1187" s="1268"/>
      <c r="H1187" s="1268"/>
      <c r="I1187" s="1269"/>
      <c r="J1187" s="1268"/>
      <c r="K1187" s="1268"/>
      <c r="L1187" s="1269"/>
      <c r="M1187" s="1268"/>
      <c r="N1187" s="1268"/>
      <c r="O1187" s="1269"/>
      <c r="P1187" s="1269"/>
      <c r="Q1187" s="1269"/>
      <c r="R1187" s="1269"/>
    </row>
    <row r="1188" ht="12.75" customHeight="1">
      <c r="A1188" s="1268"/>
      <c r="B1188" s="1269"/>
      <c r="C1188" s="1269"/>
      <c r="D1188" s="1269"/>
      <c r="E1188" s="1269"/>
      <c r="F1188" s="1268"/>
      <c r="G1188" s="1268"/>
      <c r="H1188" s="1268"/>
      <c r="I1188" s="1269"/>
      <c r="J1188" s="1268"/>
      <c r="K1188" s="1268"/>
      <c r="L1188" s="1269"/>
      <c r="M1188" s="1268"/>
      <c r="N1188" s="1268"/>
      <c r="O1188" s="1269"/>
      <c r="P1188" s="1269"/>
      <c r="Q1188" s="1269"/>
      <c r="R1188" s="1269"/>
    </row>
    <row r="1189" ht="12.75" customHeight="1">
      <c r="A1189" s="1268"/>
      <c r="B1189" s="1269"/>
      <c r="C1189" s="1269"/>
      <c r="D1189" s="1269"/>
      <c r="E1189" s="1269"/>
      <c r="F1189" s="1268"/>
      <c r="G1189" s="1268"/>
      <c r="H1189" s="1268"/>
      <c r="I1189" s="1269"/>
      <c r="J1189" s="1268"/>
      <c r="K1189" s="1268"/>
      <c r="L1189" s="1269"/>
      <c r="M1189" s="1268"/>
      <c r="N1189" s="1268"/>
      <c r="O1189" s="1269"/>
      <c r="P1189" s="1269"/>
      <c r="Q1189" s="1269"/>
      <c r="R1189" s="1269"/>
    </row>
    <row r="1190" ht="12.75" customHeight="1">
      <c r="A1190" s="1268"/>
      <c r="B1190" s="1269"/>
      <c r="C1190" s="1269"/>
      <c r="D1190" s="1269"/>
      <c r="E1190" s="1269"/>
      <c r="F1190" s="1268"/>
      <c r="G1190" s="1268"/>
      <c r="H1190" s="1268"/>
      <c r="I1190" s="1269"/>
      <c r="J1190" s="1268"/>
      <c r="K1190" s="1268"/>
      <c r="L1190" s="1269"/>
      <c r="M1190" s="1268"/>
      <c r="N1190" s="1268"/>
      <c r="O1190" s="1269"/>
      <c r="P1190" s="1269"/>
      <c r="Q1190" s="1269"/>
      <c r="R1190" s="1269"/>
    </row>
    <row r="1191" ht="12.75" customHeight="1">
      <c r="A1191" s="1268"/>
      <c r="B1191" s="1269"/>
      <c r="C1191" s="1269"/>
      <c r="D1191" s="1269"/>
      <c r="E1191" s="1269"/>
      <c r="F1191" s="1268"/>
      <c r="G1191" s="1268"/>
      <c r="H1191" s="1268"/>
      <c r="I1191" s="1269"/>
      <c r="J1191" s="1268"/>
      <c r="K1191" s="1268"/>
      <c r="L1191" s="1269"/>
      <c r="M1191" s="1268"/>
      <c r="N1191" s="1268"/>
      <c r="O1191" s="1269"/>
      <c r="P1191" s="1269"/>
      <c r="Q1191" s="1269"/>
      <c r="R1191" s="1269"/>
    </row>
    <row r="1192" ht="12.75" customHeight="1">
      <c r="A1192" s="1268"/>
      <c r="B1192" s="1269"/>
      <c r="C1192" s="1269"/>
      <c r="D1192" s="1269"/>
      <c r="E1192" s="1269"/>
      <c r="F1192" s="1268"/>
      <c r="G1192" s="1268"/>
      <c r="H1192" s="1268"/>
      <c r="I1192" s="1269"/>
      <c r="J1192" s="1268"/>
      <c r="K1192" s="1268"/>
      <c r="L1192" s="1269"/>
      <c r="M1192" s="1268"/>
      <c r="N1192" s="1268"/>
      <c r="O1192" s="1269"/>
      <c r="P1192" s="1269"/>
      <c r="Q1192" s="1269"/>
      <c r="R1192" s="1269"/>
    </row>
    <row r="1193" ht="12.75" customHeight="1">
      <c r="A1193" s="1268"/>
      <c r="B1193" s="1269"/>
      <c r="C1193" s="1269"/>
      <c r="D1193" s="1269"/>
      <c r="E1193" s="1269"/>
      <c r="F1193" s="1268"/>
      <c r="G1193" s="1268"/>
      <c r="H1193" s="1268"/>
      <c r="I1193" s="1269"/>
      <c r="J1193" s="1268"/>
      <c r="K1193" s="1268"/>
      <c r="L1193" s="1269"/>
      <c r="M1193" s="1268"/>
      <c r="N1193" s="1268"/>
      <c r="O1193" s="1269"/>
      <c r="P1193" s="1269"/>
      <c r="Q1193" s="1269"/>
      <c r="R1193" s="1269"/>
    </row>
    <row r="1194" ht="12.75" customHeight="1">
      <c r="A1194" s="1268"/>
      <c r="B1194" s="1269"/>
      <c r="C1194" s="1269"/>
      <c r="D1194" s="1269"/>
      <c r="E1194" s="1269"/>
      <c r="F1194" s="1268"/>
      <c r="G1194" s="1268"/>
      <c r="H1194" s="1268"/>
      <c r="I1194" s="1269"/>
      <c r="J1194" s="1268"/>
      <c r="K1194" s="1268"/>
      <c r="L1194" s="1269"/>
      <c r="M1194" s="1268"/>
      <c r="N1194" s="1268"/>
      <c r="O1194" s="1269"/>
      <c r="P1194" s="1269"/>
      <c r="Q1194" s="1269"/>
      <c r="R1194" s="1269"/>
    </row>
    <row r="1195" ht="12.75" customHeight="1">
      <c r="A1195" s="1268"/>
      <c r="B1195" s="1269"/>
      <c r="C1195" s="1269"/>
      <c r="D1195" s="1269"/>
      <c r="E1195" s="1269"/>
      <c r="F1195" s="1268"/>
      <c r="G1195" s="1268"/>
      <c r="H1195" s="1268"/>
      <c r="I1195" s="1269"/>
      <c r="J1195" s="1268"/>
      <c r="K1195" s="1268"/>
      <c r="L1195" s="1269"/>
      <c r="M1195" s="1268"/>
      <c r="N1195" s="1268"/>
      <c r="O1195" s="1269"/>
      <c r="P1195" s="1269"/>
      <c r="Q1195" s="1269"/>
      <c r="R1195" s="1269"/>
    </row>
    <row r="1196" ht="12.75" customHeight="1">
      <c r="A1196" s="1268"/>
      <c r="B1196" s="1269"/>
      <c r="C1196" s="1269"/>
      <c r="D1196" s="1269"/>
      <c r="E1196" s="1269"/>
      <c r="F1196" s="1268"/>
      <c r="G1196" s="1268"/>
      <c r="H1196" s="1268"/>
      <c r="I1196" s="1269"/>
      <c r="J1196" s="1268"/>
      <c r="K1196" s="1268"/>
      <c r="L1196" s="1269"/>
      <c r="M1196" s="1268"/>
      <c r="N1196" s="1268"/>
      <c r="O1196" s="1269"/>
      <c r="P1196" s="1269"/>
      <c r="Q1196" s="1269"/>
      <c r="R1196" s="1269"/>
    </row>
    <row r="1197" ht="12.75" customHeight="1">
      <c r="A1197" s="1268"/>
      <c r="B1197" s="1269"/>
      <c r="C1197" s="1269"/>
      <c r="D1197" s="1269"/>
      <c r="E1197" s="1269"/>
      <c r="F1197" s="1268"/>
      <c r="G1197" s="1268"/>
      <c r="H1197" s="1268"/>
      <c r="I1197" s="1269"/>
      <c r="J1197" s="1268"/>
      <c r="K1197" s="1268"/>
      <c r="L1197" s="1269"/>
      <c r="M1197" s="1268"/>
      <c r="N1197" s="1268"/>
      <c r="O1197" s="1269"/>
      <c r="P1197" s="1269"/>
      <c r="Q1197" s="1269"/>
      <c r="R1197" s="1269"/>
    </row>
    <row r="1198" ht="12.75" customHeight="1">
      <c r="A1198" s="1268"/>
      <c r="B1198" s="1269"/>
      <c r="C1198" s="1269"/>
      <c r="D1198" s="1269"/>
      <c r="E1198" s="1269"/>
      <c r="F1198" s="1268"/>
      <c r="G1198" s="1268"/>
      <c r="H1198" s="1268"/>
      <c r="I1198" s="1269"/>
      <c r="J1198" s="1268"/>
      <c r="K1198" s="1268"/>
      <c r="L1198" s="1269"/>
      <c r="M1198" s="1268"/>
      <c r="N1198" s="1268"/>
      <c r="O1198" s="1269"/>
      <c r="P1198" s="1269"/>
      <c r="Q1198" s="1269"/>
      <c r="R1198" s="1269"/>
    </row>
    <row r="1199" ht="12.75" customHeight="1">
      <c r="A1199" s="1268"/>
      <c r="B1199" s="1269"/>
      <c r="C1199" s="1269"/>
      <c r="D1199" s="1269"/>
      <c r="E1199" s="1269"/>
      <c r="F1199" s="1268"/>
      <c r="G1199" s="1268"/>
      <c r="H1199" s="1268"/>
      <c r="I1199" s="1269"/>
      <c r="J1199" s="1268"/>
      <c r="K1199" s="1268"/>
      <c r="L1199" s="1269"/>
      <c r="M1199" s="1268"/>
      <c r="N1199" s="1268"/>
      <c r="O1199" s="1269"/>
      <c r="P1199" s="1269"/>
      <c r="Q1199" s="1269"/>
      <c r="R1199" s="1269"/>
    </row>
    <row r="1200" ht="12.75" customHeight="1">
      <c r="A1200" s="1268"/>
      <c r="B1200" s="1269"/>
      <c r="C1200" s="1269"/>
      <c r="D1200" s="1269"/>
      <c r="E1200" s="1269"/>
      <c r="F1200" s="1268"/>
      <c r="G1200" s="1268"/>
      <c r="H1200" s="1268"/>
      <c r="I1200" s="1269"/>
      <c r="J1200" s="1268"/>
      <c r="K1200" s="1268"/>
      <c r="L1200" s="1269"/>
      <c r="M1200" s="1268"/>
      <c r="N1200" s="1268"/>
      <c r="O1200" s="1269"/>
      <c r="P1200" s="1269"/>
      <c r="Q1200" s="1269"/>
      <c r="R1200" s="1269"/>
    </row>
    <row r="1201" ht="12.75" customHeight="1">
      <c r="A1201" s="1268"/>
      <c r="B1201" s="1269"/>
      <c r="C1201" s="1269"/>
      <c r="D1201" s="1269"/>
      <c r="E1201" s="1269"/>
      <c r="F1201" s="1268"/>
      <c r="G1201" s="1268"/>
      <c r="H1201" s="1268"/>
      <c r="I1201" s="1269"/>
      <c r="J1201" s="1268"/>
      <c r="K1201" s="1268"/>
      <c r="L1201" s="1269"/>
      <c r="M1201" s="1268"/>
      <c r="N1201" s="1268"/>
      <c r="O1201" s="1269"/>
      <c r="P1201" s="1269"/>
      <c r="Q1201" s="1269"/>
      <c r="R1201" s="1269"/>
    </row>
    <row r="1202" ht="12.75" customHeight="1">
      <c r="A1202" s="1268"/>
      <c r="B1202" s="1269"/>
      <c r="C1202" s="1269"/>
      <c r="D1202" s="1269"/>
      <c r="E1202" s="1269"/>
      <c r="F1202" s="1268"/>
      <c r="G1202" s="1268"/>
      <c r="H1202" s="1268"/>
      <c r="I1202" s="1269"/>
      <c r="J1202" s="1268"/>
      <c r="K1202" s="1268"/>
      <c r="L1202" s="1269"/>
      <c r="M1202" s="1268"/>
      <c r="N1202" s="1268"/>
      <c r="O1202" s="1269"/>
      <c r="P1202" s="1269"/>
      <c r="Q1202" s="1269"/>
      <c r="R1202" s="1269"/>
    </row>
    <row r="1203" ht="12.75" customHeight="1">
      <c r="A1203" s="1268"/>
      <c r="B1203" s="1269"/>
      <c r="C1203" s="1269"/>
      <c r="D1203" s="1269"/>
      <c r="E1203" s="1269"/>
      <c r="F1203" s="1268"/>
      <c r="G1203" s="1268"/>
      <c r="H1203" s="1268"/>
      <c r="I1203" s="1269"/>
      <c r="J1203" s="1268"/>
      <c r="K1203" s="1268"/>
      <c r="L1203" s="1269"/>
      <c r="M1203" s="1268"/>
      <c r="N1203" s="1268"/>
      <c r="O1203" s="1269"/>
      <c r="P1203" s="1269"/>
      <c r="Q1203" s="1269"/>
      <c r="R1203" s="1269"/>
    </row>
    <row r="1204" ht="12.75" customHeight="1">
      <c r="A1204" s="1268"/>
      <c r="B1204" s="1269"/>
      <c r="C1204" s="1269"/>
      <c r="D1204" s="1269"/>
      <c r="E1204" s="1269"/>
      <c r="F1204" s="1268"/>
      <c r="G1204" s="1268"/>
      <c r="H1204" s="1268"/>
      <c r="I1204" s="1269"/>
      <c r="J1204" s="1268"/>
      <c r="K1204" s="1268"/>
      <c r="L1204" s="1269"/>
      <c r="M1204" s="1268"/>
      <c r="N1204" s="1268"/>
      <c r="O1204" s="1269"/>
      <c r="P1204" s="1269"/>
      <c r="Q1204" s="1269"/>
      <c r="R1204" s="1269"/>
    </row>
    <row r="1205" ht="12.75" customHeight="1">
      <c r="A1205" s="1268"/>
      <c r="B1205" s="1269"/>
      <c r="C1205" s="1269"/>
      <c r="D1205" s="1269"/>
      <c r="E1205" s="1269"/>
      <c r="F1205" s="1268"/>
      <c r="G1205" s="1268"/>
      <c r="H1205" s="1268"/>
      <c r="I1205" s="1269"/>
      <c r="J1205" s="1268"/>
      <c r="K1205" s="1268"/>
      <c r="L1205" s="1269"/>
      <c r="M1205" s="1268"/>
      <c r="N1205" s="1268"/>
      <c r="O1205" s="1269"/>
      <c r="P1205" s="1269"/>
      <c r="Q1205" s="1269"/>
      <c r="R1205" s="1269"/>
    </row>
    <row r="1206" ht="12.75" customHeight="1">
      <c r="A1206" s="1268"/>
      <c r="B1206" s="1269"/>
      <c r="C1206" s="1269"/>
      <c r="D1206" s="1269"/>
      <c r="E1206" s="1269"/>
      <c r="F1206" s="1268"/>
      <c r="G1206" s="1268"/>
      <c r="H1206" s="1268"/>
      <c r="I1206" s="1269"/>
      <c r="J1206" s="1268"/>
      <c r="K1206" s="1268"/>
      <c r="L1206" s="1269"/>
      <c r="M1206" s="1268"/>
      <c r="N1206" s="1268"/>
      <c r="O1206" s="1269"/>
      <c r="P1206" s="1269"/>
      <c r="Q1206" s="1269"/>
      <c r="R1206" s="1269"/>
    </row>
    <row r="1207" ht="12.75" customHeight="1">
      <c r="A1207" s="1268"/>
      <c r="B1207" s="1269"/>
      <c r="C1207" s="1269"/>
      <c r="D1207" s="1269"/>
      <c r="E1207" s="1269"/>
      <c r="F1207" s="1268"/>
      <c r="G1207" s="1268"/>
      <c r="H1207" s="1268"/>
      <c r="I1207" s="1269"/>
      <c r="J1207" s="1268"/>
      <c r="K1207" s="1268"/>
      <c r="L1207" s="1269"/>
      <c r="M1207" s="1268"/>
      <c r="N1207" s="1268"/>
      <c r="O1207" s="1269"/>
      <c r="P1207" s="1269"/>
      <c r="Q1207" s="1269"/>
      <c r="R1207" s="1269"/>
    </row>
    <row r="1208" ht="12.75" customHeight="1">
      <c r="A1208" s="1268"/>
      <c r="B1208" s="1269"/>
      <c r="C1208" s="1269"/>
      <c r="D1208" s="1269"/>
      <c r="E1208" s="1269"/>
      <c r="F1208" s="1268"/>
      <c r="G1208" s="1268"/>
      <c r="H1208" s="1268"/>
      <c r="I1208" s="1269"/>
      <c r="J1208" s="1268"/>
      <c r="K1208" s="1268"/>
      <c r="L1208" s="1269"/>
      <c r="M1208" s="1268"/>
      <c r="N1208" s="1268"/>
      <c r="O1208" s="1269"/>
      <c r="P1208" s="1269"/>
      <c r="Q1208" s="1269"/>
      <c r="R1208" s="1269"/>
    </row>
    <row r="1209" ht="12.75" customHeight="1">
      <c r="A1209" s="1268"/>
      <c r="B1209" s="1269"/>
      <c r="C1209" s="1269"/>
      <c r="D1209" s="1269"/>
      <c r="E1209" s="1269"/>
      <c r="F1209" s="1268"/>
      <c r="G1209" s="1268"/>
      <c r="H1209" s="1268"/>
      <c r="I1209" s="1269"/>
      <c r="J1209" s="1268"/>
      <c r="K1209" s="1268"/>
      <c r="L1209" s="1269"/>
      <c r="M1209" s="1268"/>
      <c r="N1209" s="1268"/>
      <c r="O1209" s="1269"/>
      <c r="P1209" s="1269"/>
      <c r="Q1209" s="1269"/>
      <c r="R1209" s="1269"/>
    </row>
    <row r="1210" ht="12.75" customHeight="1">
      <c r="A1210" s="1268"/>
      <c r="B1210" s="1269"/>
      <c r="C1210" s="1269"/>
      <c r="D1210" s="1269"/>
      <c r="E1210" s="1269"/>
      <c r="F1210" s="1268"/>
      <c r="G1210" s="1268"/>
      <c r="H1210" s="1268"/>
      <c r="I1210" s="1269"/>
      <c r="J1210" s="1268"/>
      <c r="K1210" s="1268"/>
      <c r="L1210" s="1269"/>
      <c r="M1210" s="1268"/>
      <c r="N1210" s="1268"/>
      <c r="O1210" s="1269"/>
      <c r="P1210" s="1269"/>
      <c r="Q1210" s="1269"/>
      <c r="R1210" s="1269"/>
    </row>
    <row r="1211" ht="12.75" customHeight="1">
      <c r="A1211" s="1268"/>
      <c r="B1211" s="1269"/>
      <c r="C1211" s="1269"/>
      <c r="D1211" s="1269"/>
      <c r="E1211" s="1269"/>
      <c r="F1211" s="1268"/>
      <c r="G1211" s="1268"/>
      <c r="H1211" s="1268"/>
      <c r="I1211" s="1269"/>
      <c r="J1211" s="1268"/>
      <c r="K1211" s="1268"/>
      <c r="L1211" s="1269"/>
      <c r="M1211" s="1268"/>
      <c r="N1211" s="1268"/>
      <c r="O1211" s="1269"/>
      <c r="P1211" s="1269"/>
      <c r="Q1211" s="1269"/>
      <c r="R1211" s="1269"/>
    </row>
    <row r="1212" ht="12.75" customHeight="1">
      <c r="A1212" s="1268"/>
      <c r="B1212" s="1269"/>
      <c r="C1212" s="1269"/>
      <c r="D1212" s="1269"/>
      <c r="E1212" s="1269"/>
      <c r="F1212" s="1268"/>
      <c r="G1212" s="1268"/>
      <c r="H1212" s="1268"/>
      <c r="I1212" s="1269"/>
      <c r="J1212" s="1268"/>
      <c r="K1212" s="1268"/>
      <c r="L1212" s="1269"/>
      <c r="M1212" s="1268"/>
      <c r="N1212" s="1268"/>
      <c r="O1212" s="1269"/>
      <c r="P1212" s="1269"/>
      <c r="Q1212" s="1269"/>
      <c r="R1212" s="1269"/>
    </row>
    <row r="1213" ht="12.75" customHeight="1">
      <c r="A1213" s="1268"/>
      <c r="B1213" s="1269"/>
      <c r="C1213" s="1269"/>
      <c r="D1213" s="1269"/>
      <c r="E1213" s="1269"/>
      <c r="F1213" s="1268"/>
      <c r="G1213" s="1268"/>
      <c r="H1213" s="1268"/>
      <c r="I1213" s="1269"/>
      <c r="J1213" s="1268"/>
      <c r="K1213" s="1268"/>
      <c r="L1213" s="1269"/>
      <c r="M1213" s="1268"/>
      <c r="N1213" s="1268"/>
      <c r="O1213" s="1269"/>
      <c r="P1213" s="1269"/>
      <c r="Q1213" s="1269"/>
      <c r="R1213" s="1269"/>
    </row>
    <row r="1214" ht="12.75" customHeight="1">
      <c r="A1214" s="1268"/>
      <c r="B1214" s="1269"/>
      <c r="C1214" s="1269"/>
      <c r="D1214" s="1269"/>
      <c r="E1214" s="1269"/>
      <c r="F1214" s="1268"/>
      <c r="G1214" s="1268"/>
      <c r="H1214" s="1268"/>
      <c r="I1214" s="1269"/>
      <c r="J1214" s="1268"/>
      <c r="K1214" s="1268"/>
      <c r="L1214" s="1269"/>
      <c r="M1214" s="1268"/>
      <c r="N1214" s="1268"/>
      <c r="O1214" s="1269"/>
      <c r="P1214" s="1269"/>
      <c r="Q1214" s="1269"/>
      <c r="R1214" s="1269"/>
    </row>
    <row r="1215" ht="12.75" customHeight="1">
      <c r="A1215" s="1268"/>
      <c r="B1215" s="1269"/>
      <c r="C1215" s="1269"/>
      <c r="D1215" s="1269"/>
      <c r="E1215" s="1269"/>
      <c r="F1215" s="1268"/>
      <c r="G1215" s="1268"/>
      <c r="H1215" s="1268"/>
      <c r="I1215" s="1269"/>
      <c r="J1215" s="1268"/>
      <c r="K1215" s="1268"/>
      <c r="L1215" s="1269"/>
      <c r="M1215" s="1268"/>
      <c r="N1215" s="1268"/>
      <c r="O1215" s="1269"/>
      <c r="P1215" s="1269"/>
      <c r="Q1215" s="1269"/>
      <c r="R1215" s="1269"/>
    </row>
    <row r="1216" ht="12.75" customHeight="1">
      <c r="A1216" s="1268"/>
      <c r="B1216" s="1269"/>
      <c r="C1216" s="1269"/>
      <c r="D1216" s="1269"/>
      <c r="E1216" s="1269"/>
      <c r="F1216" s="1268"/>
      <c r="G1216" s="1268"/>
      <c r="H1216" s="1268"/>
      <c r="I1216" s="1269"/>
      <c r="J1216" s="1268"/>
      <c r="K1216" s="1268"/>
      <c r="L1216" s="1269"/>
      <c r="M1216" s="1268"/>
      <c r="N1216" s="1268"/>
      <c r="O1216" s="1269"/>
      <c r="P1216" s="1269"/>
      <c r="Q1216" s="1269"/>
      <c r="R1216" s="1269"/>
    </row>
    <row r="1217" ht="12.75" customHeight="1">
      <c r="A1217" s="1268"/>
      <c r="B1217" s="1269"/>
      <c r="C1217" s="1269"/>
      <c r="D1217" s="1269"/>
      <c r="E1217" s="1269"/>
      <c r="F1217" s="1268"/>
      <c r="G1217" s="1268"/>
      <c r="H1217" s="1268"/>
      <c r="I1217" s="1269"/>
      <c r="J1217" s="1268"/>
      <c r="K1217" s="1268"/>
      <c r="L1217" s="1269"/>
      <c r="M1217" s="1268"/>
      <c r="N1217" s="1268"/>
      <c r="O1217" s="1269"/>
      <c r="P1217" s="1269"/>
      <c r="Q1217" s="1269"/>
      <c r="R1217" s="1269"/>
    </row>
    <row r="1218" ht="12.75" customHeight="1">
      <c r="A1218" s="1268"/>
      <c r="B1218" s="1269"/>
      <c r="C1218" s="1269"/>
      <c r="D1218" s="1269"/>
      <c r="E1218" s="1269"/>
      <c r="F1218" s="1268"/>
      <c r="G1218" s="1268"/>
      <c r="H1218" s="1268"/>
      <c r="I1218" s="1269"/>
      <c r="J1218" s="1268"/>
      <c r="K1218" s="1268"/>
      <c r="L1218" s="1269"/>
      <c r="M1218" s="1268"/>
      <c r="N1218" s="1268"/>
      <c r="O1218" s="1269"/>
      <c r="P1218" s="1269"/>
      <c r="Q1218" s="1269"/>
      <c r="R1218" s="1269"/>
    </row>
    <row r="1219" ht="12.75" customHeight="1">
      <c r="A1219" s="1268"/>
      <c r="B1219" s="1269"/>
      <c r="C1219" s="1269"/>
      <c r="D1219" s="1269"/>
      <c r="E1219" s="1269"/>
      <c r="F1219" s="1268"/>
      <c r="G1219" s="1268"/>
      <c r="H1219" s="1268"/>
      <c r="I1219" s="1269"/>
      <c r="J1219" s="1268"/>
      <c r="K1219" s="1268"/>
      <c r="L1219" s="1269"/>
      <c r="M1219" s="1268"/>
      <c r="N1219" s="1268"/>
      <c r="O1219" s="1269"/>
      <c r="P1219" s="1269"/>
      <c r="Q1219" s="1269"/>
      <c r="R1219" s="1269"/>
    </row>
    <row r="1220" ht="12.75" customHeight="1">
      <c r="A1220" s="1268"/>
      <c r="B1220" s="1269"/>
      <c r="C1220" s="1269"/>
      <c r="D1220" s="1269"/>
      <c r="E1220" s="1269"/>
      <c r="F1220" s="1268"/>
      <c r="G1220" s="1268"/>
      <c r="H1220" s="1268"/>
      <c r="I1220" s="1269"/>
      <c r="J1220" s="1268"/>
      <c r="K1220" s="1268"/>
      <c r="L1220" s="1269"/>
      <c r="M1220" s="1268"/>
      <c r="N1220" s="1268"/>
      <c r="O1220" s="1269"/>
      <c r="P1220" s="1269"/>
      <c r="Q1220" s="1269"/>
      <c r="R1220" s="1269"/>
    </row>
    <row r="1221" ht="12.75" customHeight="1">
      <c r="A1221" s="1268"/>
      <c r="B1221" s="1269"/>
      <c r="C1221" s="1269"/>
      <c r="D1221" s="1269"/>
      <c r="E1221" s="1269"/>
      <c r="F1221" s="1268"/>
      <c r="G1221" s="1268"/>
      <c r="H1221" s="1268"/>
      <c r="I1221" s="1269"/>
      <c r="J1221" s="1268"/>
      <c r="K1221" s="1268"/>
      <c r="L1221" s="1269"/>
      <c r="M1221" s="1268"/>
      <c r="N1221" s="1268"/>
      <c r="O1221" s="1269"/>
      <c r="P1221" s="1269"/>
      <c r="Q1221" s="1269"/>
      <c r="R1221" s="1269"/>
    </row>
    <row r="1222" ht="12.75" customHeight="1">
      <c r="A1222" s="1268"/>
      <c r="B1222" s="1269"/>
      <c r="C1222" s="1269"/>
      <c r="D1222" s="1269"/>
      <c r="E1222" s="1269"/>
      <c r="F1222" s="1268"/>
      <c r="G1222" s="1268"/>
      <c r="H1222" s="1268"/>
      <c r="I1222" s="1269"/>
      <c r="J1222" s="1268"/>
      <c r="K1222" s="1268"/>
      <c r="L1222" s="1269"/>
      <c r="M1222" s="1268"/>
      <c r="N1222" s="1268"/>
      <c r="O1222" s="1269"/>
      <c r="P1222" s="1269"/>
      <c r="Q1222" s="1269"/>
      <c r="R1222" s="1269"/>
    </row>
    <row r="1223" ht="12.75" customHeight="1">
      <c r="A1223" s="1268"/>
      <c r="B1223" s="1269"/>
      <c r="C1223" s="1269"/>
      <c r="D1223" s="1269"/>
      <c r="E1223" s="1269"/>
      <c r="F1223" s="1268"/>
      <c r="G1223" s="1268"/>
      <c r="H1223" s="1268"/>
      <c r="I1223" s="1269"/>
      <c r="J1223" s="1268"/>
      <c r="K1223" s="1268"/>
      <c r="L1223" s="1269"/>
      <c r="M1223" s="1268"/>
      <c r="N1223" s="1268"/>
      <c r="O1223" s="1269"/>
      <c r="P1223" s="1269"/>
      <c r="Q1223" s="1269"/>
      <c r="R1223" s="1269"/>
    </row>
    <row r="1224" ht="12.75" customHeight="1">
      <c r="A1224" s="1268"/>
      <c r="B1224" s="1269"/>
      <c r="C1224" s="1269"/>
      <c r="D1224" s="1269"/>
      <c r="E1224" s="1269"/>
      <c r="F1224" s="1268"/>
      <c r="G1224" s="1268"/>
      <c r="H1224" s="1268"/>
      <c r="I1224" s="1269"/>
      <c r="J1224" s="1268"/>
      <c r="K1224" s="1268"/>
      <c r="L1224" s="1269"/>
      <c r="M1224" s="1268"/>
      <c r="N1224" s="1268"/>
      <c r="O1224" s="1269"/>
      <c r="P1224" s="1269"/>
      <c r="Q1224" s="1269"/>
      <c r="R1224" s="1269"/>
    </row>
    <row r="1225" ht="12.75" customHeight="1">
      <c r="A1225" s="1268"/>
      <c r="B1225" s="1269"/>
      <c r="C1225" s="1269"/>
      <c r="D1225" s="1269"/>
      <c r="E1225" s="1269"/>
      <c r="F1225" s="1268"/>
      <c r="G1225" s="1268"/>
      <c r="H1225" s="1268"/>
      <c r="I1225" s="1269"/>
      <c r="J1225" s="1268"/>
      <c r="K1225" s="1268"/>
      <c r="L1225" s="1269"/>
      <c r="M1225" s="1268"/>
      <c r="N1225" s="1268"/>
      <c r="O1225" s="1269"/>
      <c r="P1225" s="1269"/>
      <c r="Q1225" s="1269"/>
      <c r="R1225" s="1269"/>
    </row>
    <row r="1226" ht="12.75" customHeight="1">
      <c r="A1226" s="1268"/>
      <c r="B1226" s="1269"/>
      <c r="C1226" s="1269"/>
      <c r="D1226" s="1269"/>
      <c r="E1226" s="1269"/>
      <c r="F1226" s="1268"/>
      <c r="G1226" s="1268"/>
      <c r="H1226" s="1268"/>
      <c r="I1226" s="1269"/>
      <c r="J1226" s="1268"/>
      <c r="K1226" s="1268"/>
      <c r="L1226" s="1269"/>
      <c r="M1226" s="1268"/>
      <c r="N1226" s="1268"/>
      <c r="O1226" s="1269"/>
      <c r="P1226" s="1269"/>
      <c r="Q1226" s="1269"/>
      <c r="R1226" s="1269"/>
    </row>
    <row r="1227" ht="12.75" customHeight="1">
      <c r="A1227" s="1268"/>
      <c r="B1227" s="1269"/>
      <c r="C1227" s="1269"/>
      <c r="D1227" s="1269"/>
      <c r="E1227" s="1269"/>
      <c r="F1227" s="1268"/>
      <c r="G1227" s="1268"/>
      <c r="H1227" s="1268"/>
      <c r="I1227" s="1269"/>
      <c r="J1227" s="1268"/>
      <c r="K1227" s="1268"/>
      <c r="L1227" s="1269"/>
      <c r="M1227" s="1268"/>
      <c r="N1227" s="1268"/>
      <c r="O1227" s="1269"/>
      <c r="P1227" s="1269"/>
      <c r="Q1227" s="1269"/>
      <c r="R1227" s="1269"/>
    </row>
    <row r="1228" ht="12.75" customHeight="1">
      <c r="A1228" s="1268"/>
      <c r="B1228" s="1269"/>
      <c r="C1228" s="1269"/>
      <c r="D1228" s="1269"/>
      <c r="E1228" s="1269"/>
      <c r="F1228" s="1268"/>
      <c r="G1228" s="1268"/>
      <c r="H1228" s="1268"/>
      <c r="I1228" s="1269"/>
      <c r="J1228" s="1268"/>
      <c r="K1228" s="1268"/>
      <c r="L1228" s="1269"/>
      <c r="M1228" s="1268"/>
      <c r="N1228" s="1268"/>
      <c r="O1228" s="1269"/>
      <c r="P1228" s="1269"/>
      <c r="Q1228" s="1269"/>
      <c r="R1228" s="1269"/>
    </row>
    <row r="1229" ht="12.75" customHeight="1">
      <c r="A1229" s="1268"/>
      <c r="B1229" s="1269"/>
      <c r="C1229" s="1269"/>
      <c r="D1229" s="1269"/>
      <c r="E1229" s="1269"/>
      <c r="F1229" s="1268"/>
      <c r="G1229" s="1268"/>
      <c r="H1229" s="1268"/>
      <c r="I1229" s="1269"/>
      <c r="J1229" s="1268"/>
      <c r="K1229" s="1268"/>
      <c r="L1229" s="1269"/>
      <c r="M1229" s="1268"/>
      <c r="N1229" s="1268"/>
      <c r="O1229" s="1269"/>
      <c r="P1229" s="1269"/>
      <c r="Q1229" s="1269"/>
      <c r="R1229" s="1269"/>
    </row>
    <row r="1230" ht="12.75" customHeight="1">
      <c r="A1230" s="1268"/>
      <c r="B1230" s="1269"/>
      <c r="C1230" s="1269"/>
      <c r="D1230" s="1269"/>
      <c r="E1230" s="1269"/>
      <c r="F1230" s="1268"/>
      <c r="G1230" s="1268"/>
      <c r="H1230" s="1268"/>
      <c r="I1230" s="1269"/>
      <c r="J1230" s="1268"/>
      <c r="K1230" s="1268"/>
      <c r="L1230" s="1269"/>
      <c r="M1230" s="1268"/>
      <c r="N1230" s="1268"/>
      <c r="O1230" s="1269"/>
      <c r="P1230" s="1269"/>
      <c r="Q1230" s="1269"/>
      <c r="R1230" s="1269"/>
    </row>
    <row r="1231" ht="12.75" customHeight="1">
      <c r="A1231" s="1268"/>
      <c r="B1231" s="1269"/>
      <c r="C1231" s="1269"/>
      <c r="D1231" s="1269"/>
      <c r="E1231" s="1269"/>
      <c r="F1231" s="1268"/>
      <c r="G1231" s="1268"/>
      <c r="H1231" s="1268"/>
      <c r="I1231" s="1269"/>
      <c r="J1231" s="1268"/>
      <c r="K1231" s="1268"/>
      <c r="L1231" s="1269"/>
      <c r="M1231" s="1268"/>
      <c r="N1231" s="1268"/>
      <c r="O1231" s="1269"/>
      <c r="P1231" s="1269"/>
      <c r="Q1231" s="1269"/>
      <c r="R1231" s="1269"/>
    </row>
    <row r="1232" ht="12.75" customHeight="1">
      <c r="A1232" s="1268"/>
      <c r="B1232" s="1269"/>
      <c r="C1232" s="1269"/>
      <c r="D1232" s="1269"/>
      <c r="E1232" s="1269"/>
      <c r="F1232" s="1268"/>
      <c r="G1232" s="1268"/>
      <c r="H1232" s="1268"/>
      <c r="I1232" s="1269"/>
      <c r="J1232" s="1268"/>
      <c r="K1232" s="1268"/>
      <c r="L1232" s="1269"/>
      <c r="M1232" s="1268"/>
      <c r="N1232" s="1268"/>
      <c r="O1232" s="1269"/>
      <c r="P1232" s="1269"/>
      <c r="Q1232" s="1269"/>
      <c r="R1232" s="1269"/>
    </row>
    <row r="1233" ht="12.75" customHeight="1">
      <c r="A1233" s="1268"/>
      <c r="B1233" s="1269"/>
      <c r="C1233" s="1269"/>
      <c r="D1233" s="1269"/>
      <c r="E1233" s="1269"/>
      <c r="F1233" s="1268"/>
      <c r="G1233" s="1268"/>
      <c r="H1233" s="1268"/>
      <c r="I1233" s="1269"/>
      <c r="J1233" s="1268"/>
      <c r="K1233" s="1268"/>
      <c r="L1233" s="1269"/>
      <c r="M1233" s="1268"/>
      <c r="N1233" s="1268"/>
      <c r="O1233" s="1269"/>
      <c r="P1233" s="1269"/>
      <c r="Q1233" s="1269"/>
      <c r="R1233" s="1269"/>
    </row>
    <row r="1234" ht="12.75" customHeight="1">
      <c r="A1234" s="1268"/>
      <c r="B1234" s="1269"/>
      <c r="C1234" s="1269"/>
      <c r="D1234" s="1269"/>
      <c r="E1234" s="1269"/>
      <c r="F1234" s="1268"/>
      <c r="G1234" s="1268"/>
      <c r="H1234" s="1268"/>
      <c r="I1234" s="1269"/>
      <c r="J1234" s="1268"/>
      <c r="K1234" s="1268"/>
      <c r="L1234" s="1269"/>
      <c r="M1234" s="1268"/>
      <c r="N1234" s="1268"/>
      <c r="O1234" s="1269"/>
      <c r="P1234" s="1269"/>
      <c r="Q1234" s="1269"/>
      <c r="R1234" s="1269"/>
    </row>
    <row r="1235" ht="12.75" customHeight="1">
      <c r="A1235" s="1268"/>
      <c r="B1235" s="1269"/>
      <c r="C1235" s="1269"/>
      <c r="D1235" s="1269"/>
      <c r="E1235" s="1269"/>
      <c r="F1235" s="1268"/>
      <c r="G1235" s="1268"/>
      <c r="H1235" s="1268"/>
      <c r="I1235" s="1269"/>
      <c r="J1235" s="1268"/>
      <c r="K1235" s="1268"/>
      <c r="L1235" s="1269"/>
      <c r="M1235" s="1268"/>
      <c r="N1235" s="1268"/>
      <c r="O1235" s="1269"/>
      <c r="P1235" s="1269"/>
      <c r="Q1235" s="1269"/>
      <c r="R1235" s="1269"/>
    </row>
    <row r="1236" ht="12.75" customHeight="1">
      <c r="A1236" s="1268"/>
      <c r="B1236" s="1269"/>
      <c r="C1236" s="1269"/>
      <c r="D1236" s="1269"/>
      <c r="E1236" s="1269"/>
      <c r="F1236" s="1268"/>
      <c r="G1236" s="1268"/>
      <c r="H1236" s="1268"/>
      <c r="I1236" s="1269"/>
      <c r="J1236" s="1268"/>
      <c r="K1236" s="1268"/>
      <c r="L1236" s="1269"/>
      <c r="M1236" s="1268"/>
      <c r="N1236" s="1268"/>
      <c r="O1236" s="1269"/>
      <c r="P1236" s="1269"/>
      <c r="Q1236" s="1269"/>
      <c r="R1236" s="1269"/>
    </row>
    <row r="1237" ht="12.75" customHeight="1">
      <c r="A1237" s="1268"/>
      <c r="B1237" s="1269"/>
      <c r="C1237" s="1269"/>
      <c r="D1237" s="1269"/>
      <c r="E1237" s="1269"/>
      <c r="F1237" s="1268"/>
      <c r="G1237" s="1268"/>
      <c r="H1237" s="1268"/>
      <c r="I1237" s="1269"/>
      <c r="J1237" s="1268"/>
      <c r="K1237" s="1268"/>
      <c r="L1237" s="1269"/>
      <c r="M1237" s="1268"/>
      <c r="N1237" s="1268"/>
      <c r="O1237" s="1269"/>
      <c r="P1237" s="1269"/>
      <c r="Q1237" s="1269"/>
      <c r="R1237" s="1269"/>
    </row>
    <row r="1238" ht="12.75" customHeight="1">
      <c r="A1238" s="1268"/>
      <c r="B1238" s="1269"/>
      <c r="C1238" s="1269"/>
      <c r="D1238" s="1269"/>
      <c r="E1238" s="1269"/>
      <c r="F1238" s="1268"/>
      <c r="G1238" s="1268"/>
      <c r="H1238" s="1268"/>
      <c r="I1238" s="1269"/>
      <c r="J1238" s="1268"/>
      <c r="K1238" s="1268"/>
      <c r="L1238" s="1269"/>
      <c r="M1238" s="1268"/>
      <c r="N1238" s="1268"/>
      <c r="O1238" s="1269"/>
      <c r="P1238" s="1269"/>
      <c r="Q1238" s="1269"/>
      <c r="R1238" s="1269"/>
    </row>
    <row r="1239" ht="12.75" customHeight="1">
      <c r="A1239" s="1268"/>
      <c r="B1239" s="1269"/>
      <c r="C1239" s="1269"/>
      <c r="D1239" s="1269"/>
      <c r="E1239" s="1269"/>
      <c r="F1239" s="1268"/>
      <c r="G1239" s="1268"/>
      <c r="H1239" s="1268"/>
      <c r="I1239" s="1269"/>
      <c r="J1239" s="1268"/>
      <c r="K1239" s="1268"/>
      <c r="L1239" s="1269"/>
      <c r="M1239" s="1268"/>
      <c r="N1239" s="1268"/>
      <c r="O1239" s="1269"/>
      <c r="P1239" s="1269"/>
      <c r="Q1239" s="1269"/>
      <c r="R1239" s="1269"/>
    </row>
    <row r="1240" ht="12.75" customHeight="1">
      <c r="A1240" s="1268"/>
      <c r="B1240" s="1269"/>
      <c r="C1240" s="1269"/>
      <c r="D1240" s="1269"/>
      <c r="E1240" s="1269"/>
      <c r="F1240" s="1268"/>
      <c r="G1240" s="1268"/>
      <c r="H1240" s="1268"/>
      <c r="I1240" s="1269"/>
      <c r="J1240" s="1268"/>
      <c r="K1240" s="1268"/>
      <c r="L1240" s="1269"/>
      <c r="M1240" s="1268"/>
      <c r="N1240" s="1268"/>
      <c r="O1240" s="1269"/>
      <c r="P1240" s="1269"/>
      <c r="Q1240" s="1269"/>
      <c r="R1240" s="1269"/>
    </row>
    <row r="1241" ht="12.75" customHeight="1">
      <c r="A1241" s="1268"/>
      <c r="B1241" s="1269"/>
      <c r="C1241" s="1269"/>
      <c r="D1241" s="1269"/>
      <c r="E1241" s="1269"/>
      <c r="F1241" s="1268"/>
      <c r="G1241" s="1268"/>
      <c r="H1241" s="1268"/>
      <c r="I1241" s="1269"/>
      <c r="J1241" s="1268"/>
      <c r="K1241" s="1268"/>
      <c r="L1241" s="1269"/>
      <c r="M1241" s="1268"/>
      <c r="N1241" s="1268"/>
      <c r="O1241" s="1269"/>
      <c r="P1241" s="1269"/>
      <c r="Q1241" s="1269"/>
      <c r="R1241" s="1269"/>
    </row>
    <row r="1242" ht="12.75" customHeight="1">
      <c r="A1242" s="1268"/>
      <c r="B1242" s="1269"/>
      <c r="C1242" s="1269"/>
      <c r="D1242" s="1269"/>
      <c r="E1242" s="1269"/>
      <c r="F1242" s="1268"/>
      <c r="G1242" s="1268"/>
      <c r="H1242" s="1268"/>
      <c r="I1242" s="1269"/>
      <c r="J1242" s="1268"/>
      <c r="K1242" s="1268"/>
      <c r="L1242" s="1269"/>
      <c r="M1242" s="1268"/>
      <c r="N1242" s="1268"/>
      <c r="O1242" s="1269"/>
      <c r="P1242" s="1269"/>
      <c r="Q1242" s="1269"/>
      <c r="R1242" s="1269"/>
    </row>
    <row r="1243" ht="12.75" customHeight="1">
      <c r="A1243" s="1268"/>
      <c r="B1243" s="1269"/>
      <c r="C1243" s="1269"/>
      <c r="D1243" s="1269"/>
      <c r="E1243" s="1269"/>
      <c r="F1243" s="1268"/>
      <c r="G1243" s="1268"/>
      <c r="H1243" s="1268"/>
      <c r="I1243" s="1269"/>
      <c r="J1243" s="1268"/>
      <c r="K1243" s="1268"/>
      <c r="L1243" s="1269"/>
      <c r="M1243" s="1268"/>
      <c r="N1243" s="1268"/>
      <c r="O1243" s="1269"/>
      <c r="P1243" s="1269"/>
      <c r="Q1243" s="1269"/>
      <c r="R1243" s="1269"/>
    </row>
    <row r="1244" ht="12.75" customHeight="1">
      <c r="A1244" s="1268"/>
      <c r="B1244" s="1269"/>
      <c r="C1244" s="1269"/>
      <c r="D1244" s="1269"/>
      <c r="E1244" s="1269"/>
      <c r="F1244" s="1268"/>
      <c r="G1244" s="1268"/>
      <c r="H1244" s="1268"/>
      <c r="I1244" s="1269"/>
      <c r="J1244" s="1268"/>
      <c r="K1244" s="1268"/>
      <c r="L1244" s="1269"/>
      <c r="M1244" s="1268"/>
      <c r="N1244" s="1268"/>
      <c r="O1244" s="1269"/>
      <c r="P1244" s="1269"/>
      <c r="Q1244" s="1269"/>
      <c r="R1244" s="1269"/>
    </row>
    <row r="1245" ht="12.75" customHeight="1">
      <c r="A1245" s="1268"/>
      <c r="B1245" s="1269"/>
      <c r="C1245" s="1269"/>
      <c r="D1245" s="1269"/>
      <c r="E1245" s="1269"/>
      <c r="F1245" s="1268"/>
      <c r="G1245" s="1268"/>
      <c r="H1245" s="1268"/>
      <c r="I1245" s="1269"/>
      <c r="J1245" s="1268"/>
      <c r="K1245" s="1268"/>
      <c r="L1245" s="1269"/>
      <c r="M1245" s="1268"/>
      <c r="N1245" s="1268"/>
      <c r="O1245" s="1269"/>
      <c r="P1245" s="1269"/>
      <c r="Q1245" s="1269"/>
      <c r="R1245" s="1269"/>
    </row>
    <row r="1246" ht="12.75" customHeight="1">
      <c r="A1246" s="1268"/>
      <c r="B1246" s="1269"/>
      <c r="C1246" s="1269"/>
      <c r="D1246" s="1269"/>
      <c r="E1246" s="1269"/>
      <c r="F1246" s="1268"/>
      <c r="G1246" s="1268"/>
      <c r="H1246" s="1268"/>
      <c r="I1246" s="1269"/>
      <c r="J1246" s="1268"/>
      <c r="K1246" s="1268"/>
      <c r="L1246" s="1269"/>
      <c r="M1246" s="1268"/>
      <c r="N1246" s="1268"/>
      <c r="O1246" s="1269"/>
      <c r="P1246" s="1269"/>
      <c r="Q1246" s="1269"/>
      <c r="R1246" s="1269"/>
    </row>
    <row r="1247" ht="12.75" customHeight="1">
      <c r="A1247" s="1268"/>
      <c r="B1247" s="1269"/>
      <c r="C1247" s="1269"/>
      <c r="D1247" s="1269"/>
      <c r="E1247" s="1269"/>
      <c r="F1247" s="1268"/>
      <c r="G1247" s="1268"/>
      <c r="H1247" s="1268"/>
      <c r="I1247" s="1269"/>
      <c r="J1247" s="1268"/>
      <c r="K1247" s="1268"/>
      <c r="L1247" s="1269"/>
      <c r="M1247" s="1268"/>
      <c r="N1247" s="1268"/>
      <c r="O1247" s="1269"/>
      <c r="P1247" s="1269"/>
      <c r="Q1247" s="1269"/>
      <c r="R1247" s="1269"/>
    </row>
    <row r="1248" ht="12.75" customHeight="1">
      <c r="A1248" s="1268"/>
      <c r="B1248" s="1269"/>
      <c r="C1248" s="1269"/>
      <c r="D1248" s="1269"/>
      <c r="E1248" s="1269"/>
      <c r="F1248" s="1268"/>
      <c r="G1248" s="1268"/>
      <c r="H1248" s="1268"/>
      <c r="I1248" s="1269"/>
      <c r="J1248" s="1268"/>
      <c r="K1248" s="1268"/>
      <c r="L1248" s="1269"/>
      <c r="M1248" s="1268"/>
      <c r="N1248" s="1268"/>
      <c r="O1248" s="1269"/>
      <c r="P1248" s="1269"/>
      <c r="Q1248" s="1269"/>
      <c r="R1248" s="1269"/>
    </row>
    <row r="1249" ht="12.75" customHeight="1">
      <c r="A1249" s="1268"/>
      <c r="B1249" s="1269"/>
      <c r="C1249" s="1269"/>
      <c r="D1249" s="1269"/>
      <c r="E1249" s="1269"/>
      <c r="F1249" s="1268"/>
      <c r="G1249" s="1268"/>
      <c r="H1249" s="1268"/>
      <c r="I1249" s="1269"/>
      <c r="J1249" s="1268"/>
      <c r="K1249" s="1268"/>
      <c r="L1249" s="1269"/>
      <c r="M1249" s="1268"/>
      <c r="N1249" s="1268"/>
      <c r="O1249" s="1269"/>
      <c r="P1249" s="1269"/>
      <c r="Q1249" s="1269"/>
      <c r="R1249" s="1269"/>
    </row>
    <row r="1250" ht="12.75" customHeight="1">
      <c r="A1250" s="1268"/>
      <c r="B1250" s="1269"/>
      <c r="C1250" s="1269"/>
      <c r="D1250" s="1269"/>
      <c r="E1250" s="1269"/>
      <c r="F1250" s="1268"/>
      <c r="G1250" s="1268"/>
      <c r="H1250" s="1268"/>
      <c r="I1250" s="1269"/>
      <c r="J1250" s="1268"/>
      <c r="K1250" s="1268"/>
      <c r="L1250" s="1269"/>
      <c r="M1250" s="1268"/>
      <c r="N1250" s="1268"/>
      <c r="O1250" s="1269"/>
      <c r="P1250" s="1269"/>
      <c r="Q1250" s="1269"/>
      <c r="R1250" s="1269"/>
    </row>
    <row r="1251" ht="12.75" customHeight="1">
      <c r="A1251" s="1268"/>
      <c r="B1251" s="1269"/>
      <c r="C1251" s="1269"/>
      <c r="D1251" s="1269"/>
      <c r="E1251" s="1269"/>
      <c r="F1251" s="1268"/>
      <c r="G1251" s="1268"/>
      <c r="H1251" s="1268"/>
      <c r="I1251" s="1269"/>
      <c r="J1251" s="1268"/>
      <c r="K1251" s="1268"/>
      <c r="L1251" s="1269"/>
      <c r="M1251" s="1268"/>
      <c r="N1251" s="1268"/>
      <c r="O1251" s="1269"/>
      <c r="P1251" s="1269"/>
      <c r="Q1251" s="1269"/>
      <c r="R1251" s="1269"/>
    </row>
    <row r="1252" ht="12.75" customHeight="1">
      <c r="A1252" s="1268"/>
      <c r="B1252" s="1269"/>
      <c r="C1252" s="1269"/>
      <c r="D1252" s="1269"/>
      <c r="E1252" s="1269"/>
      <c r="F1252" s="1268"/>
      <c r="G1252" s="1268"/>
      <c r="H1252" s="1268"/>
      <c r="I1252" s="1269"/>
      <c r="J1252" s="1268"/>
      <c r="K1252" s="1268"/>
      <c r="L1252" s="1269"/>
      <c r="M1252" s="1268"/>
      <c r="N1252" s="1268"/>
      <c r="O1252" s="1269"/>
      <c r="P1252" s="1269"/>
      <c r="Q1252" s="1269"/>
      <c r="R1252" s="1269"/>
    </row>
    <row r="1253" ht="12.75" customHeight="1">
      <c r="A1253" s="1268"/>
      <c r="B1253" s="1269"/>
      <c r="C1253" s="1269"/>
      <c r="D1253" s="1269"/>
      <c r="E1253" s="1269"/>
      <c r="F1253" s="1268"/>
      <c r="G1253" s="1268"/>
      <c r="H1253" s="1268"/>
      <c r="I1253" s="1269"/>
      <c r="J1253" s="1268"/>
      <c r="K1253" s="1268"/>
      <c r="L1253" s="1269"/>
      <c r="M1253" s="1268"/>
      <c r="N1253" s="1268"/>
      <c r="O1253" s="1269"/>
      <c r="P1253" s="1269"/>
      <c r="Q1253" s="1269"/>
      <c r="R1253" s="1269"/>
    </row>
    <row r="1254" ht="12.75" customHeight="1">
      <c r="A1254" s="1268"/>
      <c r="B1254" s="1269"/>
      <c r="C1254" s="1269"/>
      <c r="D1254" s="1269"/>
      <c r="E1254" s="1269"/>
      <c r="F1254" s="1268"/>
      <c r="G1254" s="1268"/>
      <c r="H1254" s="1268"/>
      <c r="I1254" s="1269"/>
      <c r="J1254" s="1268"/>
      <c r="K1254" s="1268"/>
      <c r="L1254" s="1269"/>
      <c r="M1254" s="1268"/>
      <c r="N1254" s="1268"/>
      <c r="O1254" s="1269"/>
      <c r="P1254" s="1269"/>
      <c r="Q1254" s="1269"/>
      <c r="R1254" s="1269"/>
    </row>
    <row r="1255" ht="12.75" customHeight="1">
      <c r="A1255" s="1268"/>
      <c r="B1255" s="1269"/>
      <c r="C1255" s="1269"/>
      <c r="D1255" s="1269"/>
      <c r="E1255" s="1269"/>
      <c r="F1255" s="1268"/>
      <c r="G1255" s="1268"/>
      <c r="H1255" s="1268"/>
      <c r="I1255" s="1269"/>
      <c r="J1255" s="1268"/>
      <c r="K1255" s="1268"/>
      <c r="L1255" s="1269"/>
      <c r="M1255" s="1268"/>
      <c r="N1255" s="1268"/>
      <c r="O1255" s="1269"/>
      <c r="P1255" s="1269"/>
      <c r="Q1255" s="1269"/>
      <c r="R1255" s="1269"/>
    </row>
    <row r="1256" ht="12.75" customHeight="1">
      <c r="A1256" s="1268"/>
      <c r="B1256" s="1269"/>
      <c r="C1256" s="1269"/>
      <c r="D1256" s="1269"/>
      <c r="E1256" s="1269"/>
      <c r="F1256" s="1268"/>
      <c r="G1256" s="1268"/>
      <c r="H1256" s="1268"/>
      <c r="I1256" s="1269"/>
      <c r="J1256" s="1268"/>
      <c r="K1256" s="1268"/>
      <c r="L1256" s="1269"/>
      <c r="M1256" s="1268"/>
      <c r="N1256" s="1268"/>
      <c r="O1256" s="1269"/>
      <c r="P1256" s="1269"/>
      <c r="Q1256" s="1269"/>
      <c r="R1256" s="1269"/>
    </row>
    <row r="1257" ht="12.75" customHeight="1">
      <c r="A1257" s="1268"/>
      <c r="B1257" s="1269"/>
      <c r="C1257" s="1269"/>
      <c r="D1257" s="1269"/>
      <c r="E1257" s="1269"/>
      <c r="F1257" s="1268"/>
      <c r="G1257" s="1268"/>
      <c r="H1257" s="1268"/>
      <c r="I1257" s="1269"/>
      <c r="J1257" s="1268"/>
      <c r="K1257" s="1268"/>
      <c r="L1257" s="1269"/>
      <c r="M1257" s="1268"/>
      <c r="N1257" s="1268"/>
      <c r="O1257" s="1269"/>
      <c r="P1257" s="1269"/>
      <c r="Q1257" s="1269"/>
      <c r="R1257" s="1269"/>
    </row>
    <row r="1258" ht="12.75" customHeight="1">
      <c r="A1258" s="1268"/>
      <c r="B1258" s="1269"/>
      <c r="C1258" s="1269"/>
      <c r="D1258" s="1269"/>
      <c r="E1258" s="1269"/>
      <c r="F1258" s="1268"/>
      <c r="G1258" s="1268"/>
      <c r="H1258" s="1268"/>
      <c r="I1258" s="1269"/>
      <c r="J1258" s="1268"/>
      <c r="K1258" s="1268"/>
      <c r="L1258" s="1269"/>
      <c r="M1258" s="1268"/>
      <c r="N1258" s="1268"/>
      <c r="O1258" s="1269"/>
      <c r="P1258" s="1269"/>
      <c r="Q1258" s="1269"/>
      <c r="R1258" s="1269"/>
    </row>
    <row r="1259" ht="12.75" customHeight="1">
      <c r="A1259" s="1268"/>
      <c r="B1259" s="1269"/>
      <c r="C1259" s="1269"/>
      <c r="D1259" s="1269"/>
      <c r="E1259" s="1269"/>
      <c r="F1259" s="1268"/>
      <c r="G1259" s="1268"/>
      <c r="H1259" s="1268"/>
      <c r="I1259" s="1269"/>
      <c r="J1259" s="1268"/>
      <c r="K1259" s="1268"/>
      <c r="L1259" s="1269"/>
      <c r="M1259" s="1268"/>
      <c r="N1259" s="1268"/>
      <c r="O1259" s="1269"/>
      <c r="P1259" s="1269"/>
      <c r="Q1259" s="1269"/>
      <c r="R1259" s="1269"/>
    </row>
    <row r="1260" ht="12.75" customHeight="1">
      <c r="A1260" s="1268"/>
      <c r="B1260" s="1269"/>
      <c r="C1260" s="1269"/>
      <c r="D1260" s="1269"/>
      <c r="E1260" s="1269"/>
      <c r="F1260" s="1268"/>
      <c r="G1260" s="1268"/>
      <c r="H1260" s="1268"/>
      <c r="I1260" s="1269"/>
      <c r="J1260" s="1268"/>
      <c r="K1260" s="1268"/>
      <c r="L1260" s="1269"/>
      <c r="M1260" s="1268"/>
      <c r="N1260" s="1268"/>
      <c r="O1260" s="1269"/>
      <c r="P1260" s="1269"/>
      <c r="Q1260" s="1269"/>
      <c r="R1260" s="1269"/>
    </row>
    <row r="1261" ht="12.75" customHeight="1">
      <c r="A1261" s="1268"/>
      <c r="B1261" s="1269"/>
      <c r="C1261" s="1269"/>
      <c r="D1261" s="1269"/>
      <c r="E1261" s="1269"/>
      <c r="F1261" s="1268"/>
      <c r="G1261" s="1268"/>
      <c r="H1261" s="1268"/>
      <c r="I1261" s="1269"/>
      <c r="J1261" s="1268"/>
      <c r="K1261" s="1268"/>
      <c r="L1261" s="1269"/>
      <c r="M1261" s="1268"/>
      <c r="N1261" s="1268"/>
      <c r="O1261" s="1269"/>
      <c r="P1261" s="1269"/>
      <c r="Q1261" s="1269"/>
      <c r="R1261" s="1269"/>
    </row>
    <row r="1262" ht="12.75" customHeight="1">
      <c r="A1262" s="1268"/>
      <c r="B1262" s="1269"/>
      <c r="C1262" s="1269"/>
      <c r="D1262" s="1269"/>
      <c r="E1262" s="1269"/>
      <c r="F1262" s="1268"/>
      <c r="G1262" s="1268"/>
      <c r="H1262" s="1268"/>
      <c r="I1262" s="1269"/>
      <c r="J1262" s="1268"/>
      <c r="K1262" s="1268"/>
      <c r="L1262" s="1269"/>
      <c r="M1262" s="1268"/>
      <c r="N1262" s="1268"/>
      <c r="O1262" s="1269"/>
      <c r="P1262" s="1269"/>
      <c r="Q1262" s="1269"/>
      <c r="R1262" s="1269"/>
    </row>
    <row r="1263" ht="12.75" customHeight="1">
      <c r="A1263" s="1268"/>
      <c r="B1263" s="1269"/>
      <c r="C1263" s="1269"/>
      <c r="D1263" s="1269"/>
      <c r="E1263" s="1269"/>
      <c r="F1263" s="1268"/>
      <c r="G1263" s="1268"/>
      <c r="H1263" s="1268"/>
      <c r="I1263" s="1269"/>
      <c r="J1263" s="1268"/>
      <c r="K1263" s="1268"/>
      <c r="L1263" s="1269"/>
      <c r="M1263" s="1268"/>
      <c r="N1263" s="1268"/>
      <c r="O1263" s="1269"/>
      <c r="P1263" s="1269"/>
      <c r="Q1263" s="1269"/>
      <c r="R1263" s="1269"/>
    </row>
    <row r="1264" ht="12.75" customHeight="1">
      <c r="A1264" s="1268"/>
      <c r="B1264" s="1269"/>
      <c r="C1264" s="1269"/>
      <c r="D1264" s="1269"/>
      <c r="E1264" s="1269"/>
      <c r="F1264" s="1268"/>
      <c r="G1264" s="1268"/>
      <c r="H1264" s="1268"/>
      <c r="I1264" s="1269"/>
      <c r="J1264" s="1268"/>
      <c r="K1264" s="1268"/>
      <c r="L1264" s="1269"/>
      <c r="M1264" s="1268"/>
      <c r="N1264" s="1268"/>
      <c r="O1264" s="1269"/>
      <c r="P1264" s="1269"/>
      <c r="Q1264" s="1269"/>
      <c r="R1264" s="1269"/>
    </row>
    <row r="1265" ht="12.75" customHeight="1">
      <c r="A1265" s="1268"/>
      <c r="B1265" s="1269"/>
      <c r="C1265" s="1269"/>
      <c r="D1265" s="1269"/>
      <c r="E1265" s="1269"/>
      <c r="F1265" s="1268"/>
      <c r="G1265" s="1268"/>
      <c r="H1265" s="1268"/>
      <c r="I1265" s="1269"/>
      <c r="J1265" s="1268"/>
      <c r="K1265" s="1268"/>
      <c r="L1265" s="1269"/>
      <c r="M1265" s="1268"/>
      <c r="N1265" s="1268"/>
      <c r="O1265" s="1269"/>
      <c r="P1265" s="1269"/>
      <c r="Q1265" s="1269"/>
      <c r="R1265" s="1269"/>
    </row>
    <row r="1266" ht="12.75" customHeight="1">
      <c r="A1266" s="1268"/>
      <c r="B1266" s="1269"/>
      <c r="C1266" s="1269"/>
      <c r="D1266" s="1269"/>
      <c r="E1266" s="1269"/>
      <c r="F1266" s="1268"/>
      <c r="G1266" s="1268"/>
      <c r="H1266" s="1268"/>
      <c r="I1266" s="1269"/>
      <c r="J1266" s="1268"/>
      <c r="K1266" s="1268"/>
      <c r="L1266" s="1269"/>
      <c r="M1266" s="1268"/>
      <c r="N1266" s="1268"/>
      <c r="O1266" s="1269"/>
      <c r="P1266" s="1269"/>
      <c r="Q1266" s="1269"/>
      <c r="R1266" s="1269"/>
    </row>
    <row r="1267" ht="12.75" customHeight="1">
      <c r="A1267" s="1268"/>
      <c r="B1267" s="1269"/>
      <c r="C1267" s="1269"/>
      <c r="D1267" s="1269"/>
      <c r="E1267" s="1269"/>
      <c r="F1267" s="1268"/>
      <c r="G1267" s="1268"/>
      <c r="H1267" s="1268"/>
      <c r="I1267" s="1269"/>
      <c r="J1267" s="1268"/>
      <c r="K1267" s="1268"/>
      <c r="L1267" s="1269"/>
      <c r="M1267" s="1268"/>
      <c r="N1267" s="1268"/>
      <c r="O1267" s="1269"/>
      <c r="P1267" s="1269"/>
      <c r="Q1267" s="1269"/>
      <c r="R1267" s="1269"/>
    </row>
    <row r="1268" ht="12.75" customHeight="1">
      <c r="A1268" s="1268"/>
      <c r="B1268" s="1269"/>
      <c r="C1268" s="1269"/>
      <c r="D1268" s="1269"/>
      <c r="E1268" s="1269"/>
      <c r="F1268" s="1268"/>
      <c r="G1268" s="1268"/>
      <c r="H1268" s="1268"/>
      <c r="I1268" s="1269"/>
      <c r="J1268" s="1268"/>
      <c r="K1268" s="1268"/>
      <c r="L1268" s="1269"/>
      <c r="M1268" s="1268"/>
      <c r="N1268" s="1268"/>
      <c r="O1268" s="1269"/>
      <c r="P1268" s="1269"/>
      <c r="Q1268" s="1269"/>
      <c r="R1268" s="1269"/>
    </row>
    <row r="1269" ht="12.75" customHeight="1">
      <c r="A1269" s="1268"/>
      <c r="B1269" s="1269"/>
      <c r="C1269" s="1269"/>
      <c r="D1269" s="1269"/>
      <c r="E1269" s="1269"/>
      <c r="F1269" s="1268"/>
      <c r="G1269" s="1268"/>
      <c r="H1269" s="1268"/>
      <c r="I1269" s="1269"/>
      <c r="J1269" s="1268"/>
      <c r="K1269" s="1268"/>
      <c r="L1269" s="1269"/>
      <c r="M1269" s="1268"/>
      <c r="N1269" s="1268"/>
      <c r="O1269" s="1269"/>
      <c r="P1269" s="1269"/>
      <c r="Q1269" s="1269"/>
      <c r="R1269" s="1269"/>
    </row>
    <row r="1270" ht="12.75" customHeight="1">
      <c r="A1270" s="1268"/>
      <c r="B1270" s="1269"/>
      <c r="C1270" s="1269"/>
      <c r="D1270" s="1269"/>
      <c r="E1270" s="1269"/>
      <c r="F1270" s="1268"/>
      <c r="G1270" s="1268"/>
      <c r="H1270" s="1268"/>
      <c r="I1270" s="1269"/>
      <c r="J1270" s="1268"/>
      <c r="K1270" s="1268"/>
      <c r="L1270" s="1269"/>
      <c r="M1270" s="1268"/>
      <c r="N1270" s="1268"/>
      <c r="O1270" s="1269"/>
      <c r="P1270" s="1269"/>
      <c r="Q1270" s="1269"/>
      <c r="R1270" s="1269"/>
    </row>
    <row r="1271" ht="12.75" customHeight="1">
      <c r="A1271" s="1268"/>
      <c r="B1271" s="1269"/>
      <c r="C1271" s="1269"/>
      <c r="D1271" s="1269"/>
      <c r="E1271" s="1269"/>
      <c r="F1271" s="1268"/>
      <c r="G1271" s="1268"/>
      <c r="H1271" s="1268"/>
      <c r="I1271" s="1269"/>
      <c r="J1271" s="1268"/>
      <c r="K1271" s="1268"/>
      <c r="L1271" s="1269"/>
      <c r="M1271" s="1268"/>
      <c r="N1271" s="1268"/>
      <c r="O1271" s="1269"/>
      <c r="P1271" s="1269"/>
      <c r="Q1271" s="1269"/>
      <c r="R1271" s="1269"/>
    </row>
    <row r="1272" ht="12.75" customHeight="1">
      <c r="A1272" s="1268"/>
      <c r="B1272" s="1269"/>
      <c r="C1272" s="1269"/>
      <c r="D1272" s="1269"/>
      <c r="E1272" s="1269"/>
      <c r="F1272" s="1268"/>
      <c r="G1272" s="1268"/>
      <c r="H1272" s="1268"/>
      <c r="I1272" s="1269"/>
      <c r="J1272" s="1268"/>
      <c r="K1272" s="1268"/>
      <c r="L1272" s="1269"/>
      <c r="M1272" s="1268"/>
      <c r="N1272" s="1268"/>
      <c r="O1272" s="1269"/>
      <c r="P1272" s="1269"/>
      <c r="Q1272" s="1269"/>
      <c r="R1272" s="1269"/>
    </row>
    <row r="1273" ht="12.75" customHeight="1">
      <c r="A1273" s="1268"/>
      <c r="B1273" s="1269"/>
      <c r="C1273" s="1269"/>
      <c r="D1273" s="1269"/>
      <c r="E1273" s="1269"/>
      <c r="F1273" s="1268"/>
      <c r="G1273" s="1268"/>
      <c r="H1273" s="1268"/>
      <c r="I1273" s="1269"/>
      <c r="J1273" s="1268"/>
      <c r="K1273" s="1268"/>
      <c r="L1273" s="1269"/>
      <c r="M1273" s="1268"/>
      <c r="N1273" s="1268"/>
      <c r="O1273" s="1269"/>
      <c r="P1273" s="1269"/>
      <c r="Q1273" s="1269"/>
      <c r="R1273" s="1269"/>
    </row>
    <row r="1274" ht="12.75" customHeight="1">
      <c r="A1274" s="1268"/>
      <c r="B1274" s="1269"/>
      <c r="C1274" s="1269"/>
      <c r="D1274" s="1269"/>
      <c r="E1274" s="1269"/>
      <c r="F1274" s="1268"/>
      <c r="G1274" s="1268"/>
      <c r="H1274" s="1268"/>
      <c r="I1274" s="1269"/>
      <c r="J1274" s="1268"/>
      <c r="K1274" s="1268"/>
      <c r="L1274" s="1269"/>
      <c r="M1274" s="1268"/>
      <c r="N1274" s="1268"/>
      <c r="O1274" s="1269"/>
      <c r="P1274" s="1269"/>
      <c r="Q1274" s="1269"/>
      <c r="R1274" s="1269"/>
    </row>
    <row r="1275" ht="12.75" customHeight="1">
      <c r="A1275" s="1268"/>
      <c r="B1275" s="1269"/>
      <c r="C1275" s="1269"/>
      <c r="D1275" s="1269"/>
      <c r="E1275" s="1269"/>
      <c r="F1275" s="1268"/>
      <c r="G1275" s="1268"/>
      <c r="H1275" s="1268"/>
      <c r="I1275" s="1269"/>
      <c r="J1275" s="1268"/>
      <c r="K1275" s="1268"/>
      <c r="L1275" s="1269"/>
      <c r="M1275" s="1268"/>
      <c r="N1275" s="1268"/>
      <c r="O1275" s="1269"/>
      <c r="P1275" s="1269"/>
      <c r="Q1275" s="1269"/>
      <c r="R1275" s="1269"/>
    </row>
    <row r="1276" ht="12.75" customHeight="1">
      <c r="A1276" s="1268"/>
      <c r="B1276" s="1269"/>
      <c r="C1276" s="1269"/>
      <c r="D1276" s="1269"/>
      <c r="E1276" s="1269"/>
      <c r="F1276" s="1268"/>
      <c r="G1276" s="1268"/>
      <c r="H1276" s="1268"/>
      <c r="I1276" s="1269"/>
      <c r="J1276" s="1268"/>
      <c r="K1276" s="1268"/>
      <c r="L1276" s="1269"/>
      <c r="M1276" s="1268"/>
      <c r="N1276" s="1268"/>
      <c r="O1276" s="1269"/>
      <c r="P1276" s="1269"/>
      <c r="Q1276" s="1269"/>
      <c r="R1276" s="1269"/>
    </row>
    <row r="1277" ht="12.75" customHeight="1">
      <c r="A1277" s="1268"/>
      <c r="B1277" s="1269"/>
      <c r="C1277" s="1269"/>
      <c r="D1277" s="1269"/>
      <c r="E1277" s="1269"/>
      <c r="F1277" s="1268"/>
      <c r="G1277" s="1268"/>
      <c r="H1277" s="1268"/>
      <c r="I1277" s="1269"/>
      <c r="J1277" s="1268"/>
      <c r="K1277" s="1268"/>
      <c r="L1277" s="1269"/>
      <c r="M1277" s="1268"/>
      <c r="N1277" s="1268"/>
      <c r="O1277" s="1269"/>
      <c r="P1277" s="1269"/>
      <c r="Q1277" s="1269"/>
      <c r="R1277" s="1269"/>
    </row>
    <row r="1278" ht="12.75" customHeight="1">
      <c r="A1278" s="1268"/>
      <c r="B1278" s="1269"/>
      <c r="C1278" s="1269"/>
      <c r="D1278" s="1269"/>
      <c r="E1278" s="1269"/>
      <c r="F1278" s="1268"/>
      <c r="G1278" s="1268"/>
      <c r="H1278" s="1268"/>
      <c r="I1278" s="1269"/>
      <c r="J1278" s="1268"/>
      <c r="K1278" s="1268"/>
      <c r="L1278" s="1269"/>
      <c r="M1278" s="1268"/>
      <c r="N1278" s="1268"/>
      <c r="O1278" s="1269"/>
      <c r="P1278" s="1269"/>
      <c r="Q1278" s="1269"/>
      <c r="R1278" s="1269"/>
    </row>
    <row r="1279" ht="12.75" customHeight="1">
      <c r="A1279" s="1268"/>
      <c r="B1279" s="1269"/>
      <c r="C1279" s="1269"/>
      <c r="D1279" s="1269"/>
      <c r="E1279" s="1269"/>
      <c r="F1279" s="1268"/>
      <c r="G1279" s="1268"/>
      <c r="H1279" s="1268"/>
      <c r="I1279" s="1269"/>
      <c r="J1279" s="1268"/>
      <c r="K1279" s="1268"/>
      <c r="L1279" s="1269"/>
      <c r="M1279" s="1268"/>
      <c r="N1279" s="1268"/>
      <c r="O1279" s="1269"/>
      <c r="P1279" s="1269"/>
      <c r="Q1279" s="1269"/>
      <c r="R1279" s="1269"/>
    </row>
    <row r="1280" ht="12.75" customHeight="1">
      <c r="A1280" s="1268"/>
      <c r="B1280" s="1269"/>
      <c r="C1280" s="1269"/>
      <c r="D1280" s="1269"/>
      <c r="E1280" s="1269"/>
      <c r="F1280" s="1268"/>
      <c r="G1280" s="1268"/>
      <c r="H1280" s="1268"/>
      <c r="I1280" s="1269"/>
      <c r="J1280" s="1268"/>
      <c r="K1280" s="1268"/>
      <c r="L1280" s="1269"/>
      <c r="M1280" s="1268"/>
      <c r="N1280" s="1268"/>
      <c r="O1280" s="1269"/>
      <c r="P1280" s="1269"/>
      <c r="Q1280" s="1269"/>
      <c r="R1280" s="1269"/>
    </row>
    <row r="1281" ht="12.75" customHeight="1">
      <c r="A1281" s="1268"/>
      <c r="B1281" s="1269"/>
      <c r="C1281" s="1269"/>
      <c r="D1281" s="1269"/>
      <c r="E1281" s="1269"/>
      <c r="F1281" s="1268"/>
      <c r="G1281" s="1268"/>
      <c r="H1281" s="1268"/>
      <c r="I1281" s="1269"/>
      <c r="J1281" s="1268"/>
      <c r="K1281" s="1268"/>
      <c r="L1281" s="1269"/>
      <c r="M1281" s="1268"/>
      <c r="N1281" s="1268"/>
      <c r="O1281" s="1269"/>
      <c r="P1281" s="1269"/>
      <c r="Q1281" s="1269"/>
      <c r="R1281" s="1269"/>
    </row>
    <row r="1282" ht="12.75" customHeight="1">
      <c r="A1282" s="1268"/>
      <c r="B1282" s="1269"/>
      <c r="C1282" s="1269"/>
      <c r="D1282" s="1269"/>
      <c r="E1282" s="1269"/>
      <c r="F1282" s="1268"/>
      <c r="G1282" s="1268"/>
      <c r="H1282" s="1268"/>
      <c r="I1282" s="1269"/>
      <c r="J1282" s="1268"/>
      <c r="K1282" s="1268"/>
      <c r="L1282" s="1269"/>
      <c r="M1282" s="1268"/>
      <c r="N1282" s="1268"/>
      <c r="O1282" s="1269"/>
      <c r="P1282" s="1269"/>
      <c r="Q1282" s="1269"/>
      <c r="R1282" s="1269"/>
    </row>
    <row r="1283" ht="12.75" customHeight="1">
      <c r="A1283" s="1268"/>
      <c r="B1283" s="1269"/>
      <c r="C1283" s="1269"/>
      <c r="D1283" s="1269"/>
      <c r="E1283" s="1269"/>
      <c r="F1283" s="1268"/>
      <c r="G1283" s="1268"/>
      <c r="H1283" s="1268"/>
      <c r="I1283" s="1269"/>
      <c r="J1283" s="1268"/>
      <c r="K1283" s="1268"/>
      <c r="L1283" s="1269"/>
      <c r="M1283" s="1268"/>
      <c r="N1283" s="1268"/>
      <c r="O1283" s="1269"/>
      <c r="P1283" s="1269"/>
      <c r="Q1283" s="1269"/>
      <c r="R1283" s="1269"/>
    </row>
    <row r="1284" ht="12.75" customHeight="1">
      <c r="A1284" s="1268"/>
      <c r="B1284" s="1269"/>
      <c r="C1284" s="1269"/>
      <c r="D1284" s="1269"/>
      <c r="E1284" s="1269"/>
      <c r="F1284" s="1268"/>
      <c r="G1284" s="1268"/>
      <c r="H1284" s="1268"/>
      <c r="I1284" s="1269"/>
      <c r="J1284" s="1268"/>
      <c r="K1284" s="1268"/>
      <c r="L1284" s="1269"/>
      <c r="M1284" s="1268"/>
      <c r="N1284" s="1268"/>
      <c r="O1284" s="1269"/>
      <c r="P1284" s="1269"/>
      <c r="Q1284" s="1269"/>
      <c r="R1284" s="1269"/>
    </row>
    <row r="1285" ht="12.75" customHeight="1">
      <c r="A1285" s="1268"/>
      <c r="B1285" s="1269"/>
      <c r="C1285" s="1269"/>
      <c r="D1285" s="1269"/>
      <c r="E1285" s="1269"/>
      <c r="F1285" s="1268"/>
      <c r="G1285" s="1268"/>
      <c r="H1285" s="1268"/>
      <c r="I1285" s="1269"/>
      <c r="J1285" s="1268"/>
      <c r="K1285" s="1268"/>
      <c r="L1285" s="1269"/>
      <c r="M1285" s="1268"/>
      <c r="N1285" s="1268"/>
      <c r="O1285" s="1269"/>
      <c r="P1285" s="1269"/>
      <c r="Q1285" s="1269"/>
      <c r="R1285" s="1269"/>
    </row>
    <row r="1286" ht="12.75" customHeight="1">
      <c r="A1286" s="1268"/>
      <c r="B1286" s="1269"/>
      <c r="C1286" s="1269"/>
      <c r="D1286" s="1269"/>
      <c r="E1286" s="1269"/>
      <c r="F1286" s="1268"/>
      <c r="G1286" s="1268"/>
      <c r="H1286" s="1268"/>
      <c r="I1286" s="1269"/>
      <c r="J1286" s="1268"/>
      <c r="K1286" s="1268"/>
      <c r="L1286" s="1269"/>
      <c r="M1286" s="1268"/>
      <c r="N1286" s="1268"/>
      <c r="O1286" s="1269"/>
      <c r="P1286" s="1269"/>
      <c r="Q1286" s="1269"/>
      <c r="R1286" s="1269"/>
    </row>
    <row r="1287" ht="12.75" customHeight="1">
      <c r="A1287" s="1268"/>
      <c r="B1287" s="1269"/>
      <c r="C1287" s="1269"/>
      <c r="D1287" s="1269"/>
      <c r="E1287" s="1269"/>
      <c r="F1287" s="1268"/>
      <c r="G1287" s="1268"/>
      <c r="H1287" s="1268"/>
      <c r="I1287" s="1269"/>
      <c r="J1287" s="1268"/>
      <c r="K1287" s="1268"/>
      <c r="L1287" s="1269"/>
      <c r="M1287" s="1268"/>
      <c r="N1287" s="1268"/>
      <c r="O1287" s="1269"/>
      <c r="P1287" s="1269"/>
      <c r="Q1287" s="1269"/>
      <c r="R1287" s="1269"/>
    </row>
    <row r="1288" ht="12.75" customHeight="1">
      <c r="A1288" s="1268"/>
      <c r="B1288" s="1269"/>
      <c r="C1288" s="1269"/>
      <c r="D1288" s="1269"/>
      <c r="E1288" s="1269"/>
      <c r="F1288" s="1268"/>
      <c r="G1288" s="1268"/>
      <c r="H1288" s="1268"/>
      <c r="I1288" s="1269"/>
      <c r="J1288" s="1268"/>
      <c r="K1288" s="1268"/>
      <c r="L1288" s="1269"/>
      <c r="M1288" s="1268"/>
      <c r="N1288" s="1268"/>
      <c r="O1288" s="1269"/>
      <c r="P1288" s="1269"/>
      <c r="Q1288" s="1269"/>
      <c r="R1288" s="1269"/>
    </row>
    <row r="1289" ht="12.75" customHeight="1">
      <c r="A1289" s="1268"/>
      <c r="B1289" s="1269"/>
      <c r="C1289" s="1269"/>
      <c r="D1289" s="1269"/>
      <c r="E1289" s="1269"/>
      <c r="F1289" s="1268"/>
      <c r="G1289" s="1268"/>
      <c r="H1289" s="1268"/>
      <c r="I1289" s="1269"/>
      <c r="J1289" s="1268"/>
      <c r="K1289" s="1268"/>
      <c r="L1289" s="1269"/>
      <c r="M1289" s="1268"/>
      <c r="N1289" s="1268"/>
      <c r="O1289" s="1269"/>
      <c r="P1289" s="1269"/>
      <c r="Q1289" s="1269"/>
      <c r="R1289" s="1269"/>
    </row>
    <row r="1290" ht="12.75" customHeight="1">
      <c r="A1290" s="1268"/>
      <c r="B1290" s="1269"/>
      <c r="C1290" s="1269"/>
      <c r="D1290" s="1269"/>
      <c r="E1290" s="1269"/>
      <c r="F1290" s="1268"/>
      <c r="G1290" s="1268"/>
      <c r="H1290" s="1268"/>
      <c r="I1290" s="1269"/>
      <c r="J1290" s="1268"/>
      <c r="K1290" s="1268"/>
      <c r="L1290" s="1269"/>
      <c r="M1290" s="1268"/>
      <c r="N1290" s="1268"/>
      <c r="O1290" s="1269"/>
      <c r="P1290" s="1269"/>
      <c r="Q1290" s="1269"/>
      <c r="R1290" s="1269"/>
    </row>
    <row r="1291" ht="12.75" customHeight="1">
      <c r="A1291" s="1268"/>
      <c r="B1291" s="1269"/>
      <c r="C1291" s="1269"/>
      <c r="D1291" s="1269"/>
      <c r="E1291" s="1269"/>
      <c r="F1291" s="1268"/>
      <c r="G1291" s="1268"/>
      <c r="H1291" s="1268"/>
      <c r="I1291" s="1269"/>
      <c r="J1291" s="1268"/>
      <c r="K1291" s="1268"/>
      <c r="L1291" s="1269"/>
      <c r="M1291" s="1268"/>
      <c r="N1291" s="1268"/>
      <c r="O1291" s="1269"/>
      <c r="P1291" s="1269"/>
      <c r="Q1291" s="1269"/>
      <c r="R1291" s="1269"/>
    </row>
    <row r="1292" ht="12.75" customHeight="1">
      <c r="A1292" s="1268"/>
      <c r="B1292" s="1269"/>
      <c r="C1292" s="1269"/>
      <c r="D1292" s="1269"/>
      <c r="E1292" s="1269"/>
      <c r="F1292" s="1268"/>
      <c r="G1292" s="1268"/>
      <c r="H1292" s="1268"/>
      <c r="I1292" s="1269"/>
      <c r="J1292" s="1268"/>
      <c r="K1292" s="1268"/>
      <c r="L1292" s="1269"/>
      <c r="M1292" s="1268"/>
      <c r="N1292" s="1268"/>
      <c r="O1292" s="1269"/>
      <c r="P1292" s="1269"/>
      <c r="Q1292" s="1269"/>
      <c r="R1292" s="1269"/>
    </row>
    <row r="1293" ht="12.75" customHeight="1">
      <c r="A1293" s="1268"/>
      <c r="B1293" s="1269"/>
      <c r="C1293" s="1269"/>
      <c r="D1293" s="1269"/>
      <c r="E1293" s="1269"/>
      <c r="F1293" s="1268"/>
      <c r="G1293" s="1268"/>
      <c r="H1293" s="1268"/>
      <c r="I1293" s="1269"/>
      <c r="J1293" s="1268"/>
      <c r="K1293" s="1268"/>
      <c r="L1293" s="1269"/>
      <c r="M1293" s="1268"/>
      <c r="N1293" s="1268"/>
      <c r="O1293" s="1269"/>
      <c r="P1293" s="1269"/>
      <c r="Q1293" s="1269"/>
      <c r="R1293" s="1269"/>
    </row>
    <row r="1294" ht="12.75" customHeight="1">
      <c r="A1294" s="1268"/>
      <c r="B1294" s="1269"/>
      <c r="C1294" s="1269"/>
      <c r="D1294" s="1269"/>
      <c r="E1294" s="1269"/>
      <c r="F1294" s="1268"/>
      <c r="G1294" s="1268"/>
      <c r="H1294" s="1268"/>
      <c r="I1294" s="1269"/>
      <c r="J1294" s="1268"/>
      <c r="K1294" s="1268"/>
      <c r="L1294" s="1269"/>
      <c r="M1294" s="1268"/>
      <c r="N1294" s="1268"/>
      <c r="O1294" s="1269"/>
      <c r="P1294" s="1269"/>
      <c r="Q1294" s="1269"/>
      <c r="R1294" s="1269"/>
    </row>
    <row r="1295" ht="12.75" customHeight="1">
      <c r="A1295" s="1268"/>
      <c r="B1295" s="1269"/>
      <c r="C1295" s="1269"/>
      <c r="D1295" s="1269"/>
      <c r="E1295" s="1269"/>
      <c r="F1295" s="1268"/>
      <c r="G1295" s="1268"/>
      <c r="H1295" s="1268"/>
      <c r="I1295" s="1269"/>
      <c r="J1295" s="1268"/>
      <c r="K1295" s="1268"/>
      <c r="L1295" s="1269"/>
      <c r="M1295" s="1268"/>
      <c r="N1295" s="1268"/>
      <c r="O1295" s="1269"/>
      <c r="P1295" s="1269"/>
      <c r="Q1295" s="1269"/>
      <c r="R1295" s="1269"/>
    </row>
    <row r="1296" ht="12.75" customHeight="1">
      <c r="A1296" s="1268"/>
      <c r="B1296" s="1269"/>
      <c r="C1296" s="1269"/>
      <c r="D1296" s="1269"/>
      <c r="E1296" s="1269"/>
      <c r="F1296" s="1268"/>
      <c r="G1296" s="1268"/>
      <c r="H1296" s="1268"/>
      <c r="I1296" s="1269"/>
      <c r="J1296" s="1268"/>
      <c r="K1296" s="1268"/>
      <c r="L1296" s="1269"/>
      <c r="M1296" s="1268"/>
      <c r="N1296" s="1268"/>
      <c r="O1296" s="1269"/>
      <c r="P1296" s="1269"/>
      <c r="Q1296" s="1269"/>
      <c r="R1296" s="1269"/>
    </row>
    <row r="1297" ht="12.75" customHeight="1">
      <c r="A1297" s="1268"/>
      <c r="B1297" s="1269"/>
      <c r="C1297" s="1269"/>
      <c r="D1297" s="1269"/>
      <c r="E1297" s="1269"/>
      <c r="F1297" s="1268"/>
      <c r="G1297" s="1268"/>
      <c r="H1297" s="1268"/>
      <c r="I1297" s="1269"/>
      <c r="J1297" s="1268"/>
      <c r="K1297" s="1268"/>
      <c r="L1297" s="1269"/>
      <c r="M1297" s="1268"/>
      <c r="N1297" s="1268"/>
      <c r="O1297" s="1269"/>
      <c r="P1297" s="1269"/>
      <c r="Q1297" s="1269"/>
      <c r="R1297" s="1269"/>
    </row>
    <row r="1298" ht="12.75" customHeight="1">
      <c r="A1298" s="1268"/>
      <c r="B1298" s="1269"/>
      <c r="C1298" s="1269"/>
      <c r="D1298" s="1269"/>
      <c r="E1298" s="1269"/>
      <c r="F1298" s="1268"/>
      <c r="G1298" s="1268"/>
      <c r="H1298" s="1268"/>
      <c r="I1298" s="1269"/>
      <c r="J1298" s="1268"/>
      <c r="K1298" s="1268"/>
      <c r="L1298" s="1269"/>
      <c r="M1298" s="1268"/>
      <c r="N1298" s="1268"/>
      <c r="O1298" s="1269"/>
      <c r="P1298" s="1269"/>
      <c r="Q1298" s="1269"/>
      <c r="R1298" s="1269"/>
    </row>
    <row r="1299" ht="12.75" customHeight="1">
      <c r="A1299" s="1268"/>
      <c r="B1299" s="1269"/>
      <c r="C1299" s="1269"/>
      <c r="D1299" s="1269"/>
      <c r="E1299" s="1269"/>
      <c r="F1299" s="1268"/>
      <c r="G1299" s="1268"/>
      <c r="H1299" s="1268"/>
      <c r="I1299" s="1269"/>
      <c r="J1299" s="1268"/>
      <c r="K1299" s="1268"/>
      <c r="L1299" s="1269"/>
      <c r="M1299" s="1268"/>
      <c r="N1299" s="1268"/>
      <c r="O1299" s="1269"/>
      <c r="P1299" s="1269"/>
      <c r="Q1299" s="1269"/>
      <c r="R1299" s="1269"/>
    </row>
    <row r="1300" ht="12.75" customHeight="1">
      <c r="A1300" s="1268"/>
      <c r="B1300" s="1269"/>
      <c r="C1300" s="1269"/>
      <c r="D1300" s="1269"/>
      <c r="E1300" s="1269"/>
      <c r="F1300" s="1268"/>
      <c r="G1300" s="1268"/>
      <c r="H1300" s="1268"/>
      <c r="I1300" s="1269"/>
      <c r="J1300" s="1268"/>
      <c r="K1300" s="1268"/>
      <c r="L1300" s="1269"/>
      <c r="M1300" s="1268"/>
      <c r="N1300" s="1268"/>
      <c r="O1300" s="1269"/>
      <c r="P1300" s="1269"/>
      <c r="Q1300" s="1269"/>
      <c r="R1300" s="1269"/>
    </row>
    <row r="1301" ht="12.75" customHeight="1">
      <c r="A1301" s="1268"/>
      <c r="B1301" s="1269"/>
      <c r="C1301" s="1269"/>
      <c r="D1301" s="1269"/>
      <c r="E1301" s="1269"/>
      <c r="F1301" s="1268"/>
      <c r="G1301" s="1268"/>
      <c r="H1301" s="1268"/>
      <c r="I1301" s="1269"/>
      <c r="J1301" s="1268"/>
      <c r="K1301" s="1268"/>
      <c r="L1301" s="1269"/>
      <c r="M1301" s="1268"/>
      <c r="N1301" s="1268"/>
      <c r="O1301" s="1269"/>
      <c r="P1301" s="1269"/>
      <c r="Q1301" s="1269"/>
      <c r="R1301" s="1269"/>
    </row>
    <row r="1302" ht="12.75" customHeight="1">
      <c r="A1302" s="1268"/>
      <c r="B1302" s="1269"/>
      <c r="C1302" s="1269"/>
      <c r="D1302" s="1269"/>
      <c r="E1302" s="1269"/>
      <c r="F1302" s="1268"/>
      <c r="G1302" s="1268"/>
      <c r="H1302" s="1268"/>
      <c r="I1302" s="1269"/>
      <c r="J1302" s="1268"/>
      <c r="K1302" s="1268"/>
      <c r="L1302" s="1269"/>
      <c r="M1302" s="1268"/>
      <c r="N1302" s="1268"/>
      <c r="O1302" s="1269"/>
      <c r="P1302" s="1269"/>
      <c r="Q1302" s="1269"/>
      <c r="R1302" s="1269"/>
    </row>
    <row r="1303" ht="12.75" customHeight="1">
      <c r="A1303" s="1268"/>
      <c r="B1303" s="1269"/>
      <c r="C1303" s="1269"/>
      <c r="D1303" s="1269"/>
      <c r="E1303" s="1269"/>
      <c r="F1303" s="1268"/>
      <c r="G1303" s="1268"/>
      <c r="H1303" s="1268"/>
      <c r="I1303" s="1269"/>
      <c r="J1303" s="1268"/>
      <c r="K1303" s="1268"/>
      <c r="L1303" s="1269"/>
      <c r="M1303" s="1268"/>
      <c r="N1303" s="1268"/>
      <c r="O1303" s="1269"/>
      <c r="P1303" s="1269"/>
      <c r="Q1303" s="1269"/>
      <c r="R1303" s="1269"/>
    </row>
    <row r="1304" ht="12.75" customHeight="1">
      <c r="A1304" s="1268"/>
      <c r="B1304" s="1269"/>
      <c r="C1304" s="1269"/>
      <c r="D1304" s="1269"/>
      <c r="E1304" s="1269"/>
      <c r="F1304" s="1268"/>
      <c r="G1304" s="1268"/>
      <c r="H1304" s="1268"/>
      <c r="I1304" s="1269"/>
      <c r="J1304" s="1268"/>
      <c r="K1304" s="1268"/>
      <c r="L1304" s="1269"/>
      <c r="M1304" s="1268"/>
      <c r="N1304" s="1268"/>
      <c r="O1304" s="1269"/>
      <c r="P1304" s="1269"/>
      <c r="Q1304" s="1269"/>
      <c r="R1304" s="1269"/>
    </row>
    <row r="1305" ht="12.75" customHeight="1">
      <c r="A1305" s="1268"/>
      <c r="B1305" s="1269"/>
      <c r="C1305" s="1269"/>
      <c r="D1305" s="1269"/>
      <c r="E1305" s="1269"/>
      <c r="F1305" s="1268"/>
      <c r="G1305" s="1268"/>
      <c r="H1305" s="1268"/>
      <c r="I1305" s="1269"/>
      <c r="J1305" s="1268"/>
      <c r="K1305" s="1268"/>
      <c r="L1305" s="1269"/>
      <c r="M1305" s="1268"/>
      <c r="N1305" s="1268"/>
      <c r="O1305" s="1269"/>
      <c r="P1305" s="1269"/>
      <c r="Q1305" s="1269"/>
      <c r="R1305" s="1269"/>
    </row>
    <row r="1306" ht="12.75" customHeight="1">
      <c r="A1306" s="1268"/>
      <c r="B1306" s="1269"/>
      <c r="C1306" s="1269"/>
      <c r="D1306" s="1269"/>
      <c r="E1306" s="1269"/>
      <c r="F1306" s="1268"/>
      <c r="G1306" s="1268"/>
      <c r="H1306" s="1268"/>
      <c r="I1306" s="1269"/>
      <c r="J1306" s="1268"/>
      <c r="K1306" s="1268"/>
      <c r="L1306" s="1269"/>
      <c r="M1306" s="1268"/>
      <c r="N1306" s="1268"/>
      <c r="O1306" s="1269"/>
      <c r="P1306" s="1269"/>
      <c r="Q1306" s="1269"/>
      <c r="R1306" s="1269"/>
    </row>
    <row r="1307" ht="12.75" customHeight="1">
      <c r="A1307" s="1268"/>
      <c r="B1307" s="1269"/>
      <c r="C1307" s="1269"/>
      <c r="D1307" s="1269"/>
      <c r="E1307" s="1269"/>
      <c r="F1307" s="1268"/>
      <c r="G1307" s="1268"/>
      <c r="H1307" s="1268"/>
      <c r="I1307" s="1269"/>
      <c r="J1307" s="1268"/>
      <c r="K1307" s="1268"/>
      <c r="L1307" s="1269"/>
      <c r="M1307" s="1268"/>
      <c r="N1307" s="1268"/>
      <c r="O1307" s="1269"/>
      <c r="P1307" s="1269"/>
      <c r="Q1307" s="1269"/>
      <c r="R1307" s="1269"/>
    </row>
    <row r="1308" ht="12.75" customHeight="1">
      <c r="A1308" s="1268"/>
      <c r="B1308" s="1269"/>
      <c r="C1308" s="1269"/>
      <c r="D1308" s="1269"/>
      <c r="E1308" s="1269"/>
      <c r="F1308" s="1268"/>
      <c r="G1308" s="1268"/>
      <c r="H1308" s="1268"/>
      <c r="I1308" s="1269"/>
      <c r="J1308" s="1268"/>
      <c r="K1308" s="1268"/>
      <c r="L1308" s="1269"/>
      <c r="M1308" s="1268"/>
      <c r="N1308" s="1268"/>
      <c r="O1308" s="1269"/>
      <c r="P1308" s="1269"/>
      <c r="Q1308" s="1269"/>
      <c r="R1308" s="1269"/>
    </row>
    <row r="1309" ht="12.75" customHeight="1">
      <c r="A1309" s="1268"/>
      <c r="B1309" s="1269"/>
      <c r="C1309" s="1269"/>
      <c r="D1309" s="1269"/>
      <c r="E1309" s="1269"/>
      <c r="F1309" s="1268"/>
      <c r="G1309" s="1268"/>
      <c r="H1309" s="1268"/>
      <c r="I1309" s="1269"/>
      <c r="J1309" s="1268"/>
      <c r="K1309" s="1268"/>
      <c r="L1309" s="1269"/>
      <c r="M1309" s="1268"/>
      <c r="N1309" s="1268"/>
      <c r="O1309" s="1269"/>
      <c r="P1309" s="1269"/>
      <c r="Q1309" s="1269"/>
      <c r="R1309" s="1269"/>
    </row>
    <row r="1310" ht="12.75" customHeight="1">
      <c r="A1310" s="1268"/>
      <c r="B1310" s="1269"/>
      <c r="C1310" s="1269"/>
      <c r="D1310" s="1269"/>
      <c r="E1310" s="1269"/>
      <c r="F1310" s="1268"/>
      <c r="G1310" s="1268"/>
      <c r="H1310" s="1268"/>
      <c r="I1310" s="1269"/>
      <c r="J1310" s="1268"/>
      <c r="K1310" s="1268"/>
      <c r="L1310" s="1269"/>
      <c r="M1310" s="1268"/>
      <c r="N1310" s="1268"/>
      <c r="O1310" s="1269"/>
      <c r="P1310" s="1269"/>
      <c r="Q1310" s="1269"/>
      <c r="R1310" s="1269"/>
    </row>
    <row r="1311" ht="12.75" customHeight="1">
      <c r="A1311" s="1268"/>
      <c r="B1311" s="1269"/>
      <c r="C1311" s="1269"/>
      <c r="D1311" s="1269"/>
      <c r="E1311" s="1269"/>
      <c r="F1311" s="1268"/>
      <c r="G1311" s="1268"/>
      <c r="H1311" s="1268"/>
      <c r="I1311" s="1269"/>
      <c r="J1311" s="1268"/>
      <c r="K1311" s="1268"/>
      <c r="L1311" s="1269"/>
      <c r="M1311" s="1268"/>
      <c r="N1311" s="1268"/>
      <c r="O1311" s="1269"/>
      <c r="P1311" s="1269"/>
      <c r="Q1311" s="1269"/>
      <c r="R1311" s="1269"/>
    </row>
    <row r="1312" ht="12.75" customHeight="1">
      <c r="A1312" s="1268"/>
      <c r="B1312" s="1269"/>
      <c r="C1312" s="1269"/>
      <c r="D1312" s="1269"/>
      <c r="E1312" s="1269"/>
      <c r="F1312" s="1268"/>
      <c r="G1312" s="1268"/>
      <c r="H1312" s="1268"/>
      <c r="I1312" s="1269"/>
      <c r="J1312" s="1268"/>
      <c r="K1312" s="1268"/>
      <c r="L1312" s="1269"/>
      <c r="M1312" s="1268"/>
      <c r="N1312" s="1268"/>
      <c r="O1312" s="1269"/>
      <c r="P1312" s="1269"/>
      <c r="Q1312" s="1269"/>
      <c r="R1312" s="1269"/>
    </row>
    <row r="1313" ht="12.75" customHeight="1">
      <c r="A1313" s="1268"/>
      <c r="B1313" s="1269"/>
      <c r="C1313" s="1269"/>
      <c r="D1313" s="1269"/>
      <c r="E1313" s="1269"/>
      <c r="F1313" s="1268"/>
      <c r="G1313" s="1268"/>
      <c r="H1313" s="1268"/>
      <c r="I1313" s="1269"/>
      <c r="J1313" s="1268"/>
      <c r="K1313" s="1268"/>
      <c r="L1313" s="1269"/>
      <c r="M1313" s="1268"/>
      <c r="N1313" s="1268"/>
      <c r="O1313" s="1269"/>
      <c r="P1313" s="1269"/>
      <c r="Q1313" s="1269"/>
      <c r="R1313" s="1269"/>
    </row>
    <row r="1314" ht="12.75" customHeight="1">
      <c r="A1314" s="1268"/>
      <c r="B1314" s="1269"/>
      <c r="C1314" s="1269"/>
      <c r="D1314" s="1269"/>
      <c r="E1314" s="1269"/>
      <c r="F1314" s="1268"/>
      <c r="G1314" s="1268"/>
      <c r="H1314" s="1268"/>
      <c r="I1314" s="1269"/>
      <c r="J1314" s="1268"/>
      <c r="K1314" s="1268"/>
      <c r="L1314" s="1269"/>
      <c r="M1314" s="1268"/>
      <c r="N1314" s="1268"/>
      <c r="O1314" s="1269"/>
      <c r="P1314" s="1269"/>
      <c r="Q1314" s="1269"/>
      <c r="R1314" s="1269"/>
    </row>
    <row r="1315" ht="12.75" customHeight="1">
      <c r="A1315" s="1268"/>
      <c r="B1315" s="1269"/>
      <c r="C1315" s="1269"/>
      <c r="D1315" s="1269"/>
      <c r="E1315" s="1269"/>
      <c r="F1315" s="1268"/>
      <c r="G1315" s="1268"/>
      <c r="H1315" s="1268"/>
      <c r="I1315" s="1269"/>
      <c r="J1315" s="1268"/>
      <c r="K1315" s="1268"/>
      <c r="L1315" s="1269"/>
      <c r="M1315" s="1268"/>
      <c r="N1315" s="1268"/>
      <c r="O1315" s="1269"/>
      <c r="P1315" s="1269"/>
      <c r="Q1315" s="1269"/>
      <c r="R1315" s="1269"/>
    </row>
    <row r="1316" ht="12.75" customHeight="1">
      <c r="A1316" s="1268"/>
      <c r="B1316" s="1269"/>
      <c r="C1316" s="1269"/>
      <c r="D1316" s="1269"/>
      <c r="E1316" s="1269"/>
      <c r="F1316" s="1268"/>
      <c r="G1316" s="1268"/>
      <c r="H1316" s="1268"/>
      <c r="I1316" s="1269"/>
      <c r="J1316" s="1268"/>
      <c r="K1316" s="1268"/>
      <c r="L1316" s="1269"/>
      <c r="M1316" s="1268"/>
      <c r="N1316" s="1268"/>
      <c r="O1316" s="1269"/>
      <c r="P1316" s="1269"/>
      <c r="Q1316" s="1269"/>
      <c r="R1316" s="1269"/>
    </row>
    <row r="1317" ht="12.75" customHeight="1">
      <c r="A1317" s="1268"/>
      <c r="B1317" s="1269"/>
      <c r="C1317" s="1269"/>
      <c r="D1317" s="1269"/>
      <c r="E1317" s="1269"/>
      <c r="F1317" s="1268"/>
      <c r="G1317" s="1268"/>
      <c r="H1317" s="1268"/>
      <c r="I1317" s="1269"/>
      <c r="J1317" s="1268"/>
      <c r="K1317" s="1268"/>
      <c r="L1317" s="1269"/>
      <c r="M1317" s="1268"/>
      <c r="N1317" s="1268"/>
      <c r="O1317" s="1269"/>
      <c r="P1317" s="1269"/>
      <c r="Q1317" s="1269"/>
      <c r="R1317" s="1269"/>
    </row>
    <row r="1318" ht="12.75" customHeight="1">
      <c r="A1318" s="1268"/>
      <c r="B1318" s="1269"/>
      <c r="C1318" s="1269"/>
      <c r="D1318" s="1269"/>
      <c r="E1318" s="1269"/>
      <c r="F1318" s="1268"/>
      <c r="G1318" s="1268"/>
      <c r="H1318" s="1268"/>
      <c r="I1318" s="1269"/>
      <c r="J1318" s="1268"/>
      <c r="K1318" s="1268"/>
      <c r="L1318" s="1269"/>
      <c r="M1318" s="1268"/>
      <c r="N1318" s="1268"/>
      <c r="O1318" s="1269"/>
      <c r="P1318" s="1269"/>
      <c r="Q1318" s="1269"/>
      <c r="R1318" s="1269"/>
    </row>
    <row r="1319" ht="12.75" customHeight="1">
      <c r="A1319" s="1268"/>
      <c r="B1319" s="1269"/>
      <c r="C1319" s="1269"/>
      <c r="D1319" s="1269"/>
      <c r="E1319" s="1269"/>
      <c r="F1319" s="1268"/>
      <c r="G1319" s="1268"/>
      <c r="H1319" s="1268"/>
      <c r="I1319" s="1269"/>
      <c r="J1319" s="1268"/>
      <c r="K1319" s="1268"/>
      <c r="L1319" s="1269"/>
      <c r="M1319" s="1268"/>
      <c r="N1319" s="1268"/>
      <c r="O1319" s="1269"/>
      <c r="P1319" s="1269"/>
      <c r="Q1319" s="1269"/>
      <c r="R1319" s="1269"/>
    </row>
    <row r="1320" ht="12.75" customHeight="1">
      <c r="A1320" s="1268"/>
      <c r="B1320" s="1269"/>
      <c r="C1320" s="1269"/>
      <c r="D1320" s="1269"/>
      <c r="E1320" s="1269"/>
      <c r="F1320" s="1268"/>
      <c r="G1320" s="1268"/>
      <c r="H1320" s="1268"/>
      <c r="I1320" s="1269"/>
      <c r="J1320" s="1268"/>
      <c r="K1320" s="1268"/>
      <c r="L1320" s="1269"/>
      <c r="M1320" s="1268"/>
      <c r="N1320" s="1268"/>
      <c r="O1320" s="1269"/>
      <c r="P1320" s="1269"/>
      <c r="Q1320" s="1269"/>
      <c r="R1320" s="1269"/>
    </row>
    <row r="1321" ht="12.75" customHeight="1">
      <c r="A1321" s="1268"/>
      <c r="B1321" s="1269"/>
      <c r="C1321" s="1269"/>
      <c r="D1321" s="1269"/>
      <c r="E1321" s="1269"/>
      <c r="F1321" s="1268"/>
      <c r="G1321" s="1268"/>
      <c r="H1321" s="1268"/>
      <c r="I1321" s="1269"/>
      <c r="J1321" s="1268"/>
      <c r="K1321" s="1268"/>
      <c r="L1321" s="1269"/>
      <c r="M1321" s="1268"/>
      <c r="N1321" s="1268"/>
      <c r="O1321" s="1269"/>
      <c r="P1321" s="1269"/>
      <c r="Q1321" s="1269"/>
      <c r="R1321" s="1269"/>
    </row>
    <row r="1322" ht="12.75" customHeight="1">
      <c r="A1322" s="1268"/>
      <c r="B1322" s="1269"/>
      <c r="C1322" s="1269"/>
      <c r="D1322" s="1269"/>
      <c r="E1322" s="1269"/>
      <c r="F1322" s="1268"/>
      <c r="G1322" s="1268"/>
      <c r="H1322" s="1268"/>
      <c r="I1322" s="1269"/>
      <c r="J1322" s="1268"/>
      <c r="K1322" s="1268"/>
      <c r="L1322" s="1269"/>
      <c r="M1322" s="1268"/>
      <c r="N1322" s="1268"/>
      <c r="O1322" s="1269"/>
      <c r="P1322" s="1269"/>
      <c r="Q1322" s="1269"/>
      <c r="R1322" s="1269"/>
    </row>
    <row r="1323" ht="12.75" customHeight="1">
      <c r="A1323" s="1268"/>
      <c r="B1323" s="1269"/>
      <c r="C1323" s="1269"/>
      <c r="D1323" s="1269"/>
      <c r="E1323" s="1269"/>
      <c r="F1323" s="1268"/>
      <c r="G1323" s="1268"/>
      <c r="H1323" s="1268"/>
      <c r="I1323" s="1269"/>
      <c r="J1323" s="1268"/>
      <c r="K1323" s="1268"/>
      <c r="L1323" s="1269"/>
      <c r="M1323" s="1268"/>
      <c r="N1323" s="1268"/>
      <c r="O1323" s="1269"/>
      <c r="P1323" s="1269"/>
      <c r="Q1323" s="1269"/>
      <c r="R1323" s="1269"/>
    </row>
    <row r="1324" ht="12.75" customHeight="1">
      <c r="A1324" s="1268"/>
      <c r="B1324" s="1269"/>
      <c r="C1324" s="1269"/>
      <c r="D1324" s="1269"/>
      <c r="E1324" s="1269"/>
      <c r="F1324" s="1268"/>
      <c r="G1324" s="1268"/>
      <c r="H1324" s="1268"/>
      <c r="I1324" s="1269"/>
      <c r="J1324" s="1268"/>
      <c r="K1324" s="1268"/>
      <c r="L1324" s="1269"/>
      <c r="M1324" s="1268"/>
      <c r="N1324" s="1268"/>
      <c r="O1324" s="1269"/>
      <c r="P1324" s="1269"/>
      <c r="Q1324" s="1269"/>
      <c r="R1324" s="1269"/>
    </row>
    <row r="1325" ht="12.75" customHeight="1">
      <c r="A1325" s="1268"/>
      <c r="B1325" s="1269"/>
      <c r="C1325" s="1269"/>
      <c r="D1325" s="1269"/>
      <c r="E1325" s="1269"/>
      <c r="F1325" s="1268"/>
      <c r="G1325" s="1268"/>
      <c r="H1325" s="1268"/>
      <c r="I1325" s="1269"/>
      <c r="J1325" s="1268"/>
      <c r="K1325" s="1268"/>
      <c r="L1325" s="1269"/>
      <c r="M1325" s="1268"/>
      <c r="N1325" s="1268"/>
      <c r="O1325" s="1269"/>
      <c r="P1325" s="1269"/>
      <c r="Q1325" s="1269"/>
      <c r="R1325" s="1269"/>
    </row>
    <row r="1326" ht="12.75" customHeight="1">
      <c r="A1326" s="1268"/>
      <c r="B1326" s="1269"/>
      <c r="C1326" s="1269"/>
      <c r="D1326" s="1269"/>
      <c r="E1326" s="1269"/>
      <c r="F1326" s="1268"/>
      <c r="G1326" s="1268"/>
      <c r="H1326" s="1268"/>
      <c r="I1326" s="1269"/>
      <c r="J1326" s="1268"/>
      <c r="K1326" s="1268"/>
      <c r="L1326" s="1269"/>
      <c r="M1326" s="1268"/>
      <c r="N1326" s="1268"/>
      <c r="O1326" s="1269"/>
      <c r="P1326" s="1269"/>
      <c r="Q1326" s="1269"/>
      <c r="R1326" s="1269"/>
    </row>
    <row r="1327" ht="12.75" customHeight="1">
      <c r="A1327" s="1268"/>
      <c r="B1327" s="1269"/>
      <c r="C1327" s="1269"/>
      <c r="D1327" s="1269"/>
      <c r="E1327" s="1269"/>
      <c r="F1327" s="1268"/>
      <c r="G1327" s="1268"/>
      <c r="H1327" s="1268"/>
      <c r="I1327" s="1269"/>
      <c r="J1327" s="1268"/>
      <c r="K1327" s="1268"/>
      <c r="L1327" s="1269"/>
      <c r="M1327" s="1268"/>
      <c r="N1327" s="1268"/>
      <c r="O1327" s="1269"/>
      <c r="P1327" s="1269"/>
      <c r="Q1327" s="1269"/>
      <c r="R1327" s="1269"/>
    </row>
    <row r="1328" ht="12.75" customHeight="1">
      <c r="A1328" s="1268"/>
      <c r="B1328" s="1269"/>
      <c r="C1328" s="1269"/>
      <c r="D1328" s="1269"/>
      <c r="E1328" s="1269"/>
      <c r="F1328" s="1268"/>
      <c r="G1328" s="1268"/>
      <c r="H1328" s="1268"/>
      <c r="I1328" s="1269"/>
      <c r="J1328" s="1268"/>
      <c r="K1328" s="1268"/>
      <c r="L1328" s="1269"/>
      <c r="M1328" s="1268"/>
      <c r="N1328" s="1268"/>
      <c r="O1328" s="1269"/>
      <c r="P1328" s="1269"/>
      <c r="Q1328" s="1269"/>
      <c r="R1328" s="1269"/>
    </row>
    <row r="1329" ht="12.75" customHeight="1">
      <c r="A1329" s="1268"/>
      <c r="B1329" s="1269"/>
      <c r="C1329" s="1269"/>
      <c r="D1329" s="1269"/>
      <c r="E1329" s="1269"/>
      <c r="F1329" s="1268"/>
      <c r="G1329" s="1268"/>
      <c r="H1329" s="1268"/>
      <c r="I1329" s="1269"/>
      <c r="J1329" s="1268"/>
      <c r="K1329" s="1268"/>
      <c r="L1329" s="1269"/>
      <c r="M1329" s="1268"/>
      <c r="N1329" s="1268"/>
      <c r="O1329" s="1269"/>
      <c r="P1329" s="1269"/>
      <c r="Q1329" s="1269"/>
      <c r="R1329" s="1269"/>
    </row>
    <row r="1330" ht="12.75" customHeight="1">
      <c r="A1330" s="1268"/>
      <c r="B1330" s="1269"/>
      <c r="C1330" s="1269"/>
      <c r="D1330" s="1269"/>
      <c r="E1330" s="1269"/>
      <c r="F1330" s="1268"/>
      <c r="G1330" s="1268"/>
      <c r="H1330" s="1268"/>
      <c r="I1330" s="1269"/>
      <c r="J1330" s="1268"/>
      <c r="K1330" s="1268"/>
      <c r="L1330" s="1269"/>
      <c r="M1330" s="1268"/>
      <c r="N1330" s="1268"/>
      <c r="O1330" s="1269"/>
      <c r="P1330" s="1269"/>
      <c r="Q1330" s="1269"/>
      <c r="R1330" s="1269"/>
    </row>
    <row r="1331" ht="12.75" customHeight="1">
      <c r="A1331" s="1268"/>
      <c r="B1331" s="1269"/>
      <c r="C1331" s="1269"/>
      <c r="D1331" s="1269"/>
      <c r="E1331" s="1269"/>
      <c r="F1331" s="1268"/>
      <c r="G1331" s="1268"/>
      <c r="H1331" s="1268"/>
      <c r="I1331" s="1269"/>
      <c r="J1331" s="1268"/>
      <c r="K1331" s="1268"/>
      <c r="L1331" s="1269"/>
      <c r="M1331" s="1268"/>
      <c r="N1331" s="1268"/>
      <c r="O1331" s="1269"/>
      <c r="P1331" s="1269"/>
      <c r="Q1331" s="1269"/>
      <c r="R1331" s="1269"/>
    </row>
    <row r="1332" ht="12.75" customHeight="1">
      <c r="A1332" s="1268"/>
      <c r="B1332" s="1269"/>
      <c r="C1332" s="1269"/>
      <c r="D1332" s="1269"/>
      <c r="E1332" s="1269"/>
      <c r="F1332" s="1268"/>
      <c r="G1332" s="1268"/>
      <c r="H1332" s="1268"/>
      <c r="I1332" s="1269"/>
      <c r="J1332" s="1268"/>
      <c r="K1332" s="1268"/>
      <c r="L1332" s="1269"/>
      <c r="M1332" s="1268"/>
      <c r="N1332" s="1268"/>
      <c r="O1332" s="1269"/>
      <c r="P1332" s="1269"/>
      <c r="Q1332" s="1269"/>
      <c r="R1332" s="1269"/>
    </row>
    <row r="1333" ht="12.75" customHeight="1">
      <c r="A1333" s="1268"/>
      <c r="B1333" s="1269"/>
      <c r="C1333" s="1269"/>
      <c r="D1333" s="1269"/>
      <c r="E1333" s="1269"/>
      <c r="F1333" s="1268"/>
      <c r="G1333" s="1268"/>
      <c r="H1333" s="1268"/>
      <c r="I1333" s="1269"/>
      <c r="J1333" s="1268"/>
      <c r="K1333" s="1268"/>
      <c r="L1333" s="1269"/>
      <c r="M1333" s="1268"/>
      <c r="N1333" s="1268"/>
      <c r="O1333" s="1269"/>
      <c r="P1333" s="1269"/>
      <c r="Q1333" s="1269"/>
      <c r="R1333" s="1269"/>
    </row>
    <row r="1334" ht="12.75" customHeight="1">
      <c r="A1334" s="1268"/>
      <c r="B1334" s="1269"/>
      <c r="C1334" s="1269"/>
      <c r="D1334" s="1269"/>
      <c r="E1334" s="1269"/>
      <c r="F1334" s="1268"/>
      <c r="G1334" s="1268"/>
      <c r="H1334" s="1268"/>
      <c r="I1334" s="1269"/>
      <c r="J1334" s="1268"/>
      <c r="K1334" s="1268"/>
      <c r="L1334" s="1269"/>
      <c r="M1334" s="1268"/>
      <c r="N1334" s="1268"/>
      <c r="O1334" s="1269"/>
      <c r="P1334" s="1269"/>
      <c r="Q1334" s="1269"/>
      <c r="R1334" s="1269"/>
    </row>
    <row r="1335" ht="12.75" customHeight="1">
      <c r="A1335" s="1268"/>
      <c r="B1335" s="1269"/>
      <c r="C1335" s="1269"/>
      <c r="D1335" s="1269"/>
      <c r="E1335" s="1269"/>
      <c r="F1335" s="1268"/>
      <c r="G1335" s="1268"/>
      <c r="H1335" s="1268"/>
      <c r="I1335" s="1269"/>
      <c r="J1335" s="1268"/>
      <c r="K1335" s="1268"/>
      <c r="L1335" s="1269"/>
      <c r="M1335" s="1268"/>
      <c r="N1335" s="1268"/>
      <c r="O1335" s="1269"/>
      <c r="P1335" s="1269"/>
      <c r="Q1335" s="1269"/>
      <c r="R1335" s="1269"/>
    </row>
    <row r="1336" ht="12.75" customHeight="1">
      <c r="A1336" s="1268"/>
      <c r="B1336" s="1269"/>
      <c r="C1336" s="1269"/>
      <c r="D1336" s="1269"/>
      <c r="E1336" s="1269"/>
      <c r="F1336" s="1268"/>
      <c r="G1336" s="1268"/>
      <c r="H1336" s="1268"/>
      <c r="I1336" s="1269"/>
      <c r="J1336" s="1268"/>
      <c r="K1336" s="1268"/>
      <c r="L1336" s="1269"/>
      <c r="M1336" s="1268"/>
      <c r="N1336" s="1268"/>
      <c r="O1336" s="1269"/>
      <c r="P1336" s="1269"/>
      <c r="Q1336" s="1269"/>
      <c r="R1336" s="1269"/>
    </row>
    <row r="1337" ht="12.75" customHeight="1">
      <c r="A1337" s="1268"/>
      <c r="B1337" s="1269"/>
      <c r="C1337" s="1269"/>
      <c r="D1337" s="1269"/>
      <c r="E1337" s="1269"/>
      <c r="F1337" s="1268"/>
      <c r="G1337" s="1268"/>
      <c r="H1337" s="1268"/>
      <c r="I1337" s="1269"/>
      <c r="J1337" s="1268"/>
      <c r="K1337" s="1268"/>
      <c r="L1337" s="1269"/>
      <c r="M1337" s="1268"/>
      <c r="N1337" s="1268"/>
      <c r="O1337" s="1269"/>
      <c r="P1337" s="1269"/>
      <c r="Q1337" s="1269"/>
      <c r="R1337" s="1269"/>
    </row>
    <row r="1338" ht="12.75" customHeight="1">
      <c r="A1338" s="1268"/>
      <c r="B1338" s="1269"/>
      <c r="C1338" s="1269"/>
      <c r="D1338" s="1269"/>
      <c r="E1338" s="1269"/>
      <c r="F1338" s="1268"/>
      <c r="G1338" s="1268"/>
      <c r="H1338" s="1268"/>
      <c r="I1338" s="1269"/>
      <c r="J1338" s="1268"/>
      <c r="K1338" s="1268"/>
      <c r="L1338" s="1269"/>
      <c r="M1338" s="1268"/>
      <c r="N1338" s="1268"/>
      <c r="O1338" s="1269"/>
      <c r="P1338" s="1269"/>
      <c r="Q1338" s="1269"/>
      <c r="R1338" s="1269"/>
    </row>
    <row r="1339" ht="12.75" customHeight="1">
      <c r="A1339" s="1268"/>
      <c r="B1339" s="1269"/>
      <c r="C1339" s="1269"/>
      <c r="D1339" s="1269"/>
      <c r="E1339" s="1269"/>
      <c r="F1339" s="1268"/>
      <c r="G1339" s="1268"/>
      <c r="H1339" s="1268"/>
      <c r="I1339" s="1269"/>
      <c r="J1339" s="1268"/>
      <c r="K1339" s="1268"/>
      <c r="L1339" s="1269"/>
      <c r="M1339" s="1268"/>
      <c r="N1339" s="1268"/>
      <c r="O1339" s="1269"/>
      <c r="P1339" s="1269"/>
      <c r="Q1339" s="1269"/>
      <c r="R1339" s="1269"/>
    </row>
    <row r="1340" ht="12.75" customHeight="1">
      <c r="A1340" s="1268"/>
      <c r="B1340" s="1269"/>
      <c r="C1340" s="1269"/>
      <c r="D1340" s="1269"/>
      <c r="E1340" s="1269"/>
      <c r="F1340" s="1268"/>
      <c r="G1340" s="1268"/>
      <c r="H1340" s="1268"/>
      <c r="I1340" s="1269"/>
      <c r="J1340" s="1268"/>
      <c r="K1340" s="1268"/>
      <c r="L1340" s="1269"/>
      <c r="M1340" s="1268"/>
      <c r="N1340" s="1268"/>
      <c r="O1340" s="1269"/>
      <c r="P1340" s="1269"/>
      <c r="Q1340" s="1269"/>
      <c r="R1340" s="1269"/>
    </row>
    <row r="1341" ht="12.75" customHeight="1">
      <c r="A1341" s="1268"/>
      <c r="B1341" s="1269"/>
      <c r="C1341" s="1269"/>
      <c r="D1341" s="1269"/>
      <c r="E1341" s="1269"/>
      <c r="F1341" s="1268"/>
      <c r="G1341" s="1268"/>
      <c r="H1341" s="1268"/>
      <c r="I1341" s="1269"/>
      <c r="J1341" s="1268"/>
      <c r="K1341" s="1268"/>
      <c r="L1341" s="1269"/>
      <c r="M1341" s="1268"/>
      <c r="N1341" s="1268"/>
      <c r="O1341" s="1269"/>
      <c r="P1341" s="1269"/>
      <c r="Q1341" s="1269"/>
      <c r="R1341" s="1269"/>
    </row>
    <row r="1342" ht="12.75" customHeight="1">
      <c r="A1342" s="1268"/>
      <c r="B1342" s="1269"/>
      <c r="C1342" s="1269"/>
      <c r="D1342" s="1269"/>
      <c r="E1342" s="1269"/>
      <c r="F1342" s="1268"/>
      <c r="G1342" s="1268"/>
      <c r="H1342" s="1268"/>
      <c r="I1342" s="1269"/>
      <c r="J1342" s="1268"/>
      <c r="K1342" s="1268"/>
      <c r="L1342" s="1269"/>
      <c r="M1342" s="1268"/>
      <c r="N1342" s="1268"/>
      <c r="O1342" s="1269"/>
      <c r="P1342" s="1269"/>
      <c r="Q1342" s="1269"/>
      <c r="R1342" s="1269"/>
    </row>
    <row r="1343" ht="12.75" customHeight="1">
      <c r="A1343" s="1268"/>
      <c r="B1343" s="1269"/>
      <c r="C1343" s="1269"/>
      <c r="D1343" s="1269"/>
      <c r="E1343" s="1269"/>
      <c r="F1343" s="1268"/>
      <c r="G1343" s="1268"/>
      <c r="H1343" s="1268"/>
      <c r="I1343" s="1269"/>
      <c r="J1343" s="1268"/>
      <c r="K1343" s="1268"/>
      <c r="L1343" s="1269"/>
      <c r="M1343" s="1268"/>
      <c r="N1343" s="1268"/>
      <c r="O1343" s="1269"/>
      <c r="P1343" s="1269"/>
      <c r="Q1343" s="1269"/>
      <c r="R1343" s="1269"/>
    </row>
    <row r="1344" ht="12.75" customHeight="1">
      <c r="A1344" s="1268"/>
      <c r="B1344" s="1269"/>
      <c r="C1344" s="1269"/>
      <c r="D1344" s="1269"/>
      <c r="E1344" s="1269"/>
      <c r="F1344" s="1268"/>
      <c r="G1344" s="1268"/>
      <c r="H1344" s="1268"/>
      <c r="I1344" s="1269"/>
      <c r="J1344" s="1268"/>
      <c r="K1344" s="1268"/>
      <c r="L1344" s="1269"/>
      <c r="M1344" s="1268"/>
      <c r="N1344" s="1268"/>
      <c r="O1344" s="1269"/>
      <c r="P1344" s="1269"/>
      <c r="Q1344" s="1269"/>
      <c r="R1344" s="1269"/>
    </row>
    <row r="1345" ht="12.75" customHeight="1">
      <c r="A1345" s="1268"/>
      <c r="B1345" s="1269"/>
      <c r="C1345" s="1269"/>
      <c r="D1345" s="1269"/>
      <c r="E1345" s="1269"/>
      <c r="F1345" s="1268"/>
      <c r="G1345" s="1268"/>
      <c r="H1345" s="1268"/>
      <c r="I1345" s="1269"/>
      <c r="J1345" s="1268"/>
      <c r="K1345" s="1268"/>
      <c r="L1345" s="1269"/>
      <c r="M1345" s="1268"/>
      <c r="N1345" s="1268"/>
      <c r="O1345" s="1269"/>
      <c r="P1345" s="1269"/>
      <c r="Q1345" s="1269"/>
      <c r="R1345" s="1269"/>
    </row>
    <row r="1346" ht="12.75" customHeight="1">
      <c r="A1346" s="1268"/>
      <c r="B1346" s="1269"/>
      <c r="C1346" s="1269"/>
      <c r="D1346" s="1269"/>
      <c r="E1346" s="1269"/>
      <c r="F1346" s="1268"/>
      <c r="G1346" s="1268"/>
      <c r="H1346" s="1268"/>
      <c r="I1346" s="1269"/>
      <c r="J1346" s="1268"/>
      <c r="K1346" s="1268"/>
      <c r="L1346" s="1269"/>
      <c r="M1346" s="1268"/>
      <c r="N1346" s="1268"/>
      <c r="O1346" s="1269"/>
      <c r="P1346" s="1269"/>
      <c r="Q1346" s="1269"/>
      <c r="R1346" s="1269"/>
    </row>
    <row r="1347" ht="12.75" customHeight="1">
      <c r="A1347" s="1268"/>
      <c r="B1347" s="1269"/>
      <c r="C1347" s="1269"/>
      <c r="D1347" s="1269"/>
      <c r="E1347" s="1269"/>
      <c r="F1347" s="1268"/>
      <c r="G1347" s="1268"/>
      <c r="H1347" s="1268"/>
      <c r="I1347" s="1269"/>
      <c r="J1347" s="1268"/>
      <c r="K1347" s="1268"/>
      <c r="L1347" s="1269"/>
      <c r="M1347" s="1268"/>
      <c r="N1347" s="1268"/>
      <c r="O1347" s="1269"/>
      <c r="P1347" s="1269"/>
      <c r="Q1347" s="1269"/>
      <c r="R1347" s="1269"/>
    </row>
    <row r="1348" ht="12.75" customHeight="1">
      <c r="A1348" s="1268"/>
      <c r="B1348" s="1269"/>
      <c r="C1348" s="1269"/>
      <c r="D1348" s="1269"/>
      <c r="E1348" s="1269"/>
      <c r="F1348" s="1268"/>
      <c r="G1348" s="1268"/>
      <c r="H1348" s="1268"/>
      <c r="I1348" s="1269"/>
      <c r="J1348" s="1268"/>
      <c r="K1348" s="1268"/>
      <c r="L1348" s="1269"/>
      <c r="M1348" s="1268"/>
      <c r="N1348" s="1268"/>
      <c r="O1348" s="1269"/>
      <c r="P1348" s="1269"/>
      <c r="Q1348" s="1269"/>
      <c r="R1348" s="1269"/>
    </row>
    <row r="1349" ht="12.75" customHeight="1">
      <c r="A1349" s="1268"/>
      <c r="B1349" s="1269"/>
      <c r="C1349" s="1269"/>
      <c r="D1349" s="1269"/>
      <c r="E1349" s="1269"/>
      <c r="F1349" s="1268"/>
      <c r="G1349" s="1268"/>
      <c r="H1349" s="1268"/>
      <c r="I1349" s="1269"/>
      <c r="J1349" s="1268"/>
      <c r="K1349" s="1268"/>
      <c r="L1349" s="1269"/>
      <c r="M1349" s="1268"/>
      <c r="N1349" s="1268"/>
      <c r="O1349" s="1269"/>
      <c r="P1349" s="1269"/>
      <c r="Q1349" s="1269"/>
      <c r="R1349" s="1269"/>
    </row>
    <row r="1350" ht="12.75" customHeight="1">
      <c r="A1350" s="1268"/>
      <c r="B1350" s="1269"/>
      <c r="C1350" s="1269"/>
      <c r="D1350" s="1269"/>
      <c r="E1350" s="1269"/>
      <c r="F1350" s="1268"/>
      <c r="G1350" s="1268"/>
      <c r="H1350" s="1268"/>
      <c r="I1350" s="1269"/>
      <c r="J1350" s="1268"/>
      <c r="K1350" s="1268"/>
      <c r="L1350" s="1269"/>
      <c r="M1350" s="1268"/>
      <c r="N1350" s="1268"/>
      <c r="O1350" s="1269"/>
      <c r="P1350" s="1269"/>
      <c r="Q1350" s="1269"/>
      <c r="R1350" s="1269"/>
    </row>
    <row r="1351" ht="12.75" customHeight="1">
      <c r="A1351" s="1268"/>
      <c r="B1351" s="1269"/>
      <c r="C1351" s="1269"/>
      <c r="D1351" s="1269"/>
      <c r="E1351" s="1269"/>
      <c r="F1351" s="1268"/>
      <c r="G1351" s="1268"/>
      <c r="H1351" s="1268"/>
      <c r="I1351" s="1269"/>
      <c r="J1351" s="1268"/>
      <c r="K1351" s="1268"/>
      <c r="L1351" s="1269"/>
      <c r="M1351" s="1268"/>
      <c r="N1351" s="1268"/>
      <c r="O1351" s="1269"/>
      <c r="P1351" s="1269"/>
      <c r="Q1351" s="1269"/>
      <c r="R1351" s="1269"/>
    </row>
    <row r="1352" ht="12.75" customHeight="1">
      <c r="A1352" s="1268"/>
      <c r="B1352" s="1269"/>
      <c r="C1352" s="1269"/>
      <c r="D1352" s="1269"/>
      <c r="E1352" s="1269"/>
      <c r="F1352" s="1268"/>
      <c r="G1352" s="1268"/>
      <c r="H1352" s="1268"/>
      <c r="I1352" s="1269"/>
      <c r="J1352" s="1268"/>
      <c r="K1352" s="1268"/>
      <c r="L1352" s="1269"/>
      <c r="M1352" s="1268"/>
      <c r="N1352" s="1268"/>
      <c r="O1352" s="1269"/>
      <c r="P1352" s="1269"/>
      <c r="Q1352" s="1269"/>
      <c r="R1352" s="1269"/>
    </row>
    <row r="1353" ht="12.75" customHeight="1">
      <c r="A1353" s="1268"/>
      <c r="B1353" s="1269"/>
      <c r="C1353" s="1269"/>
      <c r="D1353" s="1269"/>
      <c r="E1353" s="1269"/>
      <c r="F1353" s="1268"/>
      <c r="G1353" s="1268"/>
      <c r="H1353" s="1268"/>
      <c r="I1353" s="1269"/>
      <c r="J1353" s="1268"/>
      <c r="K1353" s="1268"/>
      <c r="L1353" s="1269"/>
      <c r="M1353" s="1268"/>
      <c r="N1353" s="1268"/>
      <c r="O1353" s="1269"/>
      <c r="P1353" s="1269"/>
      <c r="Q1353" s="1269"/>
      <c r="R1353" s="1269"/>
    </row>
    <row r="1354" ht="12.75" customHeight="1">
      <c r="A1354" s="1268"/>
      <c r="B1354" s="1269"/>
      <c r="C1354" s="1269"/>
      <c r="D1354" s="1269"/>
      <c r="E1354" s="1269"/>
      <c r="F1354" s="1268"/>
      <c r="G1354" s="1268"/>
      <c r="H1354" s="1268"/>
      <c r="I1354" s="1269"/>
      <c r="J1354" s="1268"/>
      <c r="K1354" s="1268"/>
      <c r="L1354" s="1269"/>
      <c r="M1354" s="1268"/>
      <c r="N1354" s="1268"/>
      <c r="O1354" s="1269"/>
      <c r="P1354" s="1269"/>
      <c r="Q1354" s="1269"/>
      <c r="R1354" s="1269"/>
    </row>
    <row r="1355" ht="12.75" customHeight="1">
      <c r="A1355" s="1268"/>
      <c r="B1355" s="1269"/>
      <c r="C1355" s="1269"/>
      <c r="D1355" s="1269"/>
      <c r="E1355" s="1269"/>
      <c r="F1355" s="1268"/>
      <c r="G1355" s="1268"/>
      <c r="H1355" s="1268"/>
      <c r="I1355" s="1269"/>
      <c r="J1355" s="1268"/>
      <c r="K1355" s="1268"/>
      <c r="L1355" s="1269"/>
      <c r="M1355" s="1268"/>
      <c r="N1355" s="1268"/>
      <c r="O1355" s="1269"/>
      <c r="P1355" s="1269"/>
      <c r="Q1355" s="1269"/>
      <c r="R1355" s="1269"/>
    </row>
    <row r="1356" ht="12.75" customHeight="1">
      <c r="A1356" s="1268"/>
      <c r="B1356" s="1269"/>
      <c r="C1356" s="1269"/>
      <c r="D1356" s="1269"/>
      <c r="E1356" s="1269"/>
      <c r="F1356" s="1268"/>
      <c r="G1356" s="1268"/>
      <c r="H1356" s="1268"/>
      <c r="I1356" s="1269"/>
      <c r="J1356" s="1268"/>
      <c r="K1356" s="1268"/>
      <c r="L1356" s="1269"/>
      <c r="M1356" s="1268"/>
      <c r="N1356" s="1268"/>
      <c r="O1356" s="1269"/>
      <c r="P1356" s="1269"/>
      <c r="Q1356" s="1269"/>
      <c r="R1356" s="1269"/>
    </row>
    <row r="1357" ht="12.75" customHeight="1">
      <c r="A1357" s="1268"/>
      <c r="B1357" s="1269"/>
      <c r="C1357" s="1269"/>
      <c r="D1357" s="1269"/>
      <c r="E1357" s="1269"/>
      <c r="F1357" s="1268"/>
      <c r="G1357" s="1268"/>
      <c r="H1357" s="1268"/>
      <c r="I1357" s="1269"/>
      <c r="J1357" s="1268"/>
      <c r="K1357" s="1268"/>
      <c r="L1357" s="1269"/>
      <c r="M1357" s="1268"/>
      <c r="N1357" s="1268"/>
      <c r="O1357" s="1269"/>
      <c r="P1357" s="1269"/>
      <c r="Q1357" s="1269"/>
      <c r="R1357" s="1269"/>
    </row>
    <row r="1358" ht="12.75" customHeight="1">
      <c r="A1358" s="1268"/>
      <c r="B1358" s="1269"/>
      <c r="C1358" s="1269"/>
      <c r="D1358" s="1269"/>
      <c r="E1358" s="1269"/>
      <c r="F1358" s="1268"/>
      <c r="G1358" s="1268"/>
      <c r="H1358" s="1268"/>
      <c r="I1358" s="1269"/>
      <c r="J1358" s="1268"/>
      <c r="K1358" s="1268"/>
      <c r="L1358" s="1269"/>
      <c r="M1358" s="1268"/>
      <c r="N1358" s="1268"/>
      <c r="O1358" s="1269"/>
      <c r="P1358" s="1269"/>
      <c r="Q1358" s="1269"/>
      <c r="R1358" s="1269"/>
    </row>
    <row r="1359" ht="12.75" customHeight="1">
      <c r="A1359" s="1268"/>
      <c r="B1359" s="1269"/>
      <c r="C1359" s="1269"/>
      <c r="D1359" s="1269"/>
      <c r="E1359" s="1269"/>
      <c r="F1359" s="1268"/>
      <c r="G1359" s="1268"/>
      <c r="H1359" s="1268"/>
      <c r="I1359" s="1269"/>
      <c r="J1359" s="1268"/>
      <c r="K1359" s="1268"/>
      <c r="L1359" s="1269"/>
      <c r="M1359" s="1268"/>
      <c r="N1359" s="1268"/>
      <c r="O1359" s="1269"/>
      <c r="P1359" s="1269"/>
      <c r="Q1359" s="1269"/>
      <c r="R1359" s="1269"/>
    </row>
    <row r="1360" ht="12.75" customHeight="1">
      <c r="A1360" s="1268"/>
      <c r="B1360" s="1269"/>
      <c r="C1360" s="1269"/>
      <c r="D1360" s="1269"/>
      <c r="E1360" s="1269"/>
      <c r="F1360" s="1268"/>
      <c r="G1360" s="1268"/>
      <c r="H1360" s="1268"/>
      <c r="I1360" s="1269"/>
      <c r="J1360" s="1268"/>
      <c r="K1360" s="1268"/>
      <c r="L1360" s="1269"/>
      <c r="M1360" s="1268"/>
      <c r="N1360" s="1268"/>
      <c r="O1360" s="1269"/>
      <c r="P1360" s="1269"/>
      <c r="Q1360" s="1269"/>
      <c r="R1360" s="1269"/>
    </row>
    <row r="1361" ht="12.75" customHeight="1">
      <c r="A1361" s="1268"/>
      <c r="B1361" s="1269"/>
      <c r="C1361" s="1269"/>
      <c r="D1361" s="1269"/>
      <c r="E1361" s="1269"/>
      <c r="F1361" s="1268"/>
      <c r="G1361" s="1268"/>
      <c r="H1361" s="1268"/>
      <c r="I1361" s="1269"/>
      <c r="J1361" s="1268"/>
      <c r="K1361" s="1268"/>
      <c r="L1361" s="1269"/>
      <c r="M1361" s="1268"/>
      <c r="N1361" s="1268"/>
      <c r="O1361" s="1269"/>
      <c r="P1361" s="1269"/>
      <c r="Q1361" s="1269"/>
      <c r="R1361" s="1269"/>
    </row>
    <row r="1362" ht="12.75" customHeight="1">
      <c r="A1362" s="1268"/>
      <c r="B1362" s="1269"/>
      <c r="C1362" s="1269"/>
      <c r="D1362" s="1269"/>
      <c r="E1362" s="1269"/>
      <c r="F1362" s="1268"/>
      <c r="G1362" s="1268"/>
      <c r="H1362" s="1268"/>
      <c r="I1362" s="1269"/>
      <c r="J1362" s="1268"/>
      <c r="K1362" s="1268"/>
      <c r="L1362" s="1269"/>
      <c r="M1362" s="1268"/>
      <c r="N1362" s="1268"/>
      <c r="O1362" s="1269"/>
      <c r="P1362" s="1269"/>
      <c r="Q1362" s="1269"/>
      <c r="R1362" s="1269"/>
    </row>
    <row r="1363" ht="12.75" customHeight="1">
      <c r="A1363" s="1268"/>
      <c r="B1363" s="1269"/>
      <c r="C1363" s="1269"/>
      <c r="D1363" s="1269"/>
      <c r="E1363" s="1269"/>
      <c r="F1363" s="1268"/>
      <c r="G1363" s="1268"/>
      <c r="H1363" s="1268"/>
      <c r="I1363" s="1269"/>
      <c r="J1363" s="1268"/>
      <c r="K1363" s="1268"/>
      <c r="L1363" s="1269"/>
      <c r="M1363" s="1268"/>
      <c r="N1363" s="1268"/>
      <c r="O1363" s="1269"/>
      <c r="P1363" s="1269"/>
      <c r="Q1363" s="1269"/>
      <c r="R1363" s="1269"/>
    </row>
    <row r="1364" ht="12.75" customHeight="1">
      <c r="A1364" s="1268"/>
      <c r="B1364" s="1269"/>
      <c r="C1364" s="1269"/>
      <c r="D1364" s="1269"/>
      <c r="E1364" s="1269"/>
      <c r="F1364" s="1268"/>
      <c r="G1364" s="1268"/>
      <c r="H1364" s="1268"/>
      <c r="I1364" s="1269"/>
      <c r="J1364" s="1268"/>
      <c r="K1364" s="1268"/>
      <c r="L1364" s="1269"/>
      <c r="M1364" s="1268"/>
      <c r="N1364" s="1268"/>
      <c r="O1364" s="1269"/>
      <c r="P1364" s="1269"/>
      <c r="Q1364" s="1269"/>
      <c r="R1364" s="1269"/>
    </row>
    <row r="1365" ht="12.75" customHeight="1">
      <c r="A1365" s="1268"/>
      <c r="B1365" s="1269"/>
      <c r="C1365" s="1269"/>
      <c r="D1365" s="1269"/>
      <c r="E1365" s="1269"/>
      <c r="F1365" s="1268"/>
      <c r="G1365" s="1268"/>
      <c r="H1365" s="1268"/>
      <c r="I1365" s="1269"/>
      <c r="J1365" s="1268"/>
      <c r="K1365" s="1268"/>
      <c r="L1365" s="1269"/>
      <c r="M1365" s="1268"/>
      <c r="N1365" s="1268"/>
      <c r="O1365" s="1269"/>
      <c r="P1365" s="1269"/>
      <c r="Q1365" s="1269"/>
      <c r="R1365" s="1269"/>
    </row>
    <row r="1366" ht="12.75" customHeight="1">
      <c r="A1366" s="1268"/>
      <c r="B1366" s="1269"/>
      <c r="C1366" s="1269"/>
      <c r="D1366" s="1269"/>
      <c r="E1366" s="1269"/>
      <c r="F1366" s="1268"/>
      <c r="G1366" s="1268"/>
      <c r="H1366" s="1268"/>
      <c r="I1366" s="1269"/>
      <c r="J1366" s="1268"/>
      <c r="K1366" s="1268"/>
      <c r="L1366" s="1269"/>
      <c r="M1366" s="1268"/>
      <c r="N1366" s="1268"/>
      <c r="O1366" s="1269"/>
      <c r="P1366" s="1269"/>
      <c r="Q1366" s="1269"/>
      <c r="R1366" s="1269"/>
    </row>
    <row r="1367" ht="12.75" customHeight="1">
      <c r="A1367" s="1268"/>
      <c r="B1367" s="1269"/>
      <c r="C1367" s="1269"/>
      <c r="D1367" s="1269"/>
      <c r="E1367" s="1269"/>
      <c r="F1367" s="1268"/>
      <c r="G1367" s="1268"/>
      <c r="H1367" s="1268"/>
      <c r="I1367" s="1269"/>
      <c r="J1367" s="1268"/>
      <c r="K1367" s="1268"/>
      <c r="L1367" s="1269"/>
      <c r="M1367" s="1268"/>
      <c r="N1367" s="1268"/>
      <c r="O1367" s="1269"/>
      <c r="P1367" s="1269"/>
      <c r="Q1367" s="1269"/>
      <c r="R1367" s="1269"/>
    </row>
    <row r="1368" ht="12.75" customHeight="1">
      <c r="A1368" s="1268"/>
      <c r="B1368" s="1269"/>
      <c r="C1368" s="1269"/>
      <c r="D1368" s="1269"/>
      <c r="E1368" s="1269"/>
      <c r="F1368" s="1268"/>
      <c r="G1368" s="1268"/>
      <c r="H1368" s="1268"/>
      <c r="I1368" s="1269"/>
      <c r="J1368" s="1268"/>
      <c r="K1368" s="1268"/>
      <c r="L1368" s="1269"/>
      <c r="M1368" s="1268"/>
      <c r="N1368" s="1268"/>
      <c r="O1368" s="1269"/>
      <c r="P1368" s="1269"/>
      <c r="Q1368" s="1269"/>
      <c r="R1368" s="1269"/>
    </row>
    <row r="1369" ht="12.75" customHeight="1">
      <c r="A1369" s="1268"/>
      <c r="B1369" s="1269"/>
      <c r="C1369" s="1269"/>
      <c r="D1369" s="1269"/>
      <c r="E1369" s="1269"/>
      <c r="F1369" s="1268"/>
      <c r="G1369" s="1268"/>
      <c r="H1369" s="1268"/>
      <c r="I1369" s="1269"/>
      <c r="J1369" s="1268"/>
      <c r="K1369" s="1268"/>
      <c r="L1369" s="1269"/>
      <c r="M1369" s="1268"/>
      <c r="N1369" s="1268"/>
      <c r="O1369" s="1269"/>
      <c r="P1369" s="1269"/>
      <c r="Q1369" s="1269"/>
      <c r="R1369" s="1269"/>
    </row>
    <row r="1370" ht="12.75" customHeight="1">
      <c r="A1370" s="1268"/>
      <c r="B1370" s="1269"/>
      <c r="C1370" s="1269"/>
      <c r="D1370" s="1269"/>
      <c r="E1370" s="1269"/>
      <c r="F1370" s="1268"/>
      <c r="G1370" s="1268"/>
      <c r="H1370" s="1268"/>
      <c r="I1370" s="1269"/>
      <c r="J1370" s="1268"/>
      <c r="K1370" s="1268"/>
      <c r="L1370" s="1269"/>
      <c r="M1370" s="1268"/>
      <c r="N1370" s="1268"/>
      <c r="O1370" s="1269"/>
      <c r="P1370" s="1269"/>
      <c r="Q1370" s="1269"/>
      <c r="R1370" s="1269"/>
    </row>
    <row r="1371" ht="12.75" customHeight="1">
      <c r="A1371" s="1268"/>
      <c r="B1371" s="1269"/>
      <c r="C1371" s="1269"/>
      <c r="D1371" s="1269"/>
      <c r="E1371" s="1269"/>
      <c r="F1371" s="1268"/>
      <c r="G1371" s="1268"/>
      <c r="H1371" s="1268"/>
      <c r="I1371" s="1269"/>
      <c r="J1371" s="1268"/>
      <c r="K1371" s="1268"/>
      <c r="L1371" s="1269"/>
      <c r="M1371" s="1268"/>
      <c r="N1371" s="1268"/>
      <c r="O1371" s="1269"/>
      <c r="P1371" s="1269"/>
      <c r="Q1371" s="1269"/>
      <c r="R1371" s="1269"/>
    </row>
    <row r="1372" ht="12.75" customHeight="1">
      <c r="A1372" s="1268"/>
      <c r="B1372" s="1269"/>
      <c r="C1372" s="1269"/>
      <c r="D1372" s="1269"/>
      <c r="E1372" s="1269"/>
      <c r="F1372" s="1268"/>
      <c r="G1372" s="1268"/>
      <c r="H1372" s="1268"/>
      <c r="I1372" s="1269"/>
      <c r="J1372" s="1268"/>
      <c r="K1372" s="1268"/>
      <c r="L1372" s="1269"/>
      <c r="M1372" s="1268"/>
      <c r="N1372" s="1268"/>
      <c r="O1372" s="1269"/>
      <c r="P1372" s="1269"/>
      <c r="Q1372" s="1269"/>
      <c r="R1372" s="1269"/>
    </row>
    <row r="1373" ht="12.75" customHeight="1">
      <c r="A1373" s="1268"/>
      <c r="B1373" s="1269"/>
      <c r="C1373" s="1269"/>
      <c r="D1373" s="1269"/>
      <c r="E1373" s="1269"/>
      <c r="F1373" s="1268"/>
      <c r="G1373" s="1268"/>
      <c r="H1373" s="1268"/>
      <c r="I1373" s="1269"/>
      <c r="J1373" s="1268"/>
      <c r="K1373" s="1268"/>
      <c r="L1373" s="1269"/>
      <c r="M1373" s="1268"/>
      <c r="N1373" s="1268"/>
      <c r="O1373" s="1269"/>
      <c r="P1373" s="1269"/>
      <c r="Q1373" s="1269"/>
      <c r="R1373" s="1269"/>
    </row>
    <row r="1374" ht="12.75" customHeight="1">
      <c r="A1374" s="1268"/>
      <c r="B1374" s="1269"/>
      <c r="C1374" s="1269"/>
      <c r="D1374" s="1269"/>
      <c r="E1374" s="1269"/>
      <c r="F1374" s="1268"/>
      <c r="G1374" s="1268"/>
      <c r="H1374" s="1268"/>
      <c r="I1374" s="1269"/>
      <c r="J1374" s="1268"/>
      <c r="K1374" s="1268"/>
      <c r="L1374" s="1269"/>
      <c r="M1374" s="1268"/>
      <c r="N1374" s="1268"/>
      <c r="O1374" s="1269"/>
      <c r="P1374" s="1269"/>
      <c r="Q1374" s="1269"/>
      <c r="R1374" s="1269"/>
    </row>
    <row r="1375" ht="12.75" customHeight="1">
      <c r="A1375" s="1268"/>
      <c r="B1375" s="1269"/>
      <c r="C1375" s="1269"/>
      <c r="D1375" s="1269"/>
      <c r="E1375" s="1269"/>
      <c r="F1375" s="1268"/>
      <c r="G1375" s="1268"/>
      <c r="H1375" s="1268"/>
      <c r="I1375" s="1269"/>
      <c r="J1375" s="1268"/>
      <c r="K1375" s="1268"/>
      <c r="L1375" s="1269"/>
      <c r="M1375" s="1268"/>
      <c r="N1375" s="1268"/>
      <c r="O1375" s="1269"/>
      <c r="P1375" s="1269"/>
      <c r="Q1375" s="1269"/>
      <c r="R1375" s="1269"/>
    </row>
    <row r="1376" ht="12.75" customHeight="1">
      <c r="A1376" s="1268"/>
      <c r="B1376" s="1269"/>
      <c r="C1376" s="1269"/>
      <c r="D1376" s="1269"/>
      <c r="E1376" s="1269"/>
      <c r="F1376" s="1268"/>
      <c r="G1376" s="1268"/>
      <c r="H1376" s="1268"/>
      <c r="I1376" s="1269"/>
      <c r="J1376" s="1268"/>
      <c r="K1376" s="1268"/>
      <c r="L1376" s="1269"/>
      <c r="M1376" s="1268"/>
      <c r="N1376" s="1268"/>
      <c r="O1376" s="1269"/>
      <c r="P1376" s="1269"/>
      <c r="Q1376" s="1269"/>
      <c r="R1376" s="1269"/>
    </row>
    <row r="1377" ht="12.75" customHeight="1">
      <c r="A1377" s="1268"/>
      <c r="B1377" s="1269"/>
      <c r="C1377" s="1269"/>
      <c r="D1377" s="1269"/>
      <c r="E1377" s="1269"/>
      <c r="F1377" s="1268"/>
      <c r="G1377" s="1268"/>
      <c r="H1377" s="1268"/>
      <c r="I1377" s="1269"/>
      <c r="J1377" s="1268"/>
      <c r="K1377" s="1268"/>
      <c r="L1377" s="1269"/>
      <c r="M1377" s="1268"/>
      <c r="N1377" s="1268"/>
      <c r="O1377" s="1269"/>
      <c r="P1377" s="1269"/>
      <c r="Q1377" s="1269"/>
      <c r="R1377" s="1269"/>
    </row>
    <row r="1378" ht="12.75" customHeight="1">
      <c r="A1378" s="1268"/>
      <c r="B1378" s="1269"/>
      <c r="C1378" s="1269"/>
      <c r="D1378" s="1269"/>
      <c r="E1378" s="1269"/>
      <c r="F1378" s="1268"/>
      <c r="G1378" s="1268"/>
      <c r="H1378" s="1268"/>
      <c r="I1378" s="1269"/>
      <c r="J1378" s="1268"/>
      <c r="K1378" s="1268"/>
      <c r="L1378" s="1269"/>
      <c r="M1378" s="1268"/>
      <c r="N1378" s="1268"/>
      <c r="O1378" s="1269"/>
      <c r="P1378" s="1269"/>
      <c r="Q1378" s="1269"/>
      <c r="R1378" s="1269"/>
    </row>
    <row r="1379" ht="12.75" customHeight="1">
      <c r="A1379" s="1268"/>
      <c r="B1379" s="1269"/>
      <c r="C1379" s="1269"/>
      <c r="D1379" s="1269"/>
      <c r="E1379" s="1269"/>
      <c r="F1379" s="1268"/>
      <c r="G1379" s="1268"/>
      <c r="H1379" s="1268"/>
      <c r="I1379" s="1269"/>
      <c r="J1379" s="1268"/>
      <c r="K1379" s="1268"/>
      <c r="L1379" s="1269"/>
      <c r="M1379" s="1268"/>
      <c r="N1379" s="1268"/>
      <c r="O1379" s="1269"/>
      <c r="P1379" s="1269"/>
      <c r="Q1379" s="1269"/>
      <c r="R1379" s="1269"/>
    </row>
    <row r="1380" ht="12.75" customHeight="1">
      <c r="A1380" s="1268"/>
      <c r="B1380" s="1269"/>
      <c r="C1380" s="1269"/>
      <c r="D1380" s="1269"/>
      <c r="E1380" s="1269"/>
      <c r="F1380" s="1268"/>
      <c r="G1380" s="1268"/>
      <c r="H1380" s="1268"/>
      <c r="I1380" s="1269"/>
      <c r="J1380" s="1268"/>
      <c r="K1380" s="1268"/>
      <c r="L1380" s="1269"/>
      <c r="M1380" s="1268"/>
      <c r="N1380" s="1268"/>
      <c r="O1380" s="1269"/>
      <c r="P1380" s="1269"/>
      <c r="Q1380" s="1269"/>
      <c r="R1380" s="1269"/>
    </row>
    <row r="1381" ht="12.75" customHeight="1">
      <c r="A1381" s="1268"/>
      <c r="B1381" s="1269"/>
      <c r="C1381" s="1269"/>
      <c r="D1381" s="1269"/>
      <c r="E1381" s="1269"/>
      <c r="F1381" s="1268"/>
      <c r="G1381" s="1268"/>
      <c r="H1381" s="1268"/>
      <c r="I1381" s="1269"/>
      <c r="J1381" s="1268"/>
      <c r="K1381" s="1268"/>
      <c r="L1381" s="1269"/>
      <c r="M1381" s="1268"/>
      <c r="N1381" s="1268"/>
      <c r="O1381" s="1269"/>
      <c r="P1381" s="1269"/>
      <c r="Q1381" s="1269"/>
      <c r="R1381" s="1269"/>
    </row>
    <row r="1382" ht="12.75" customHeight="1">
      <c r="A1382" s="1268"/>
      <c r="B1382" s="1269"/>
      <c r="C1382" s="1269"/>
      <c r="D1382" s="1269"/>
      <c r="E1382" s="1269"/>
      <c r="F1382" s="1268"/>
      <c r="G1382" s="1268"/>
      <c r="H1382" s="1268"/>
      <c r="I1382" s="1269"/>
      <c r="J1382" s="1268"/>
      <c r="K1382" s="1268"/>
      <c r="L1382" s="1269"/>
      <c r="M1382" s="1268"/>
      <c r="N1382" s="1268"/>
      <c r="O1382" s="1269"/>
      <c r="P1382" s="1269"/>
      <c r="Q1382" s="1269"/>
      <c r="R1382" s="1269"/>
    </row>
    <row r="1383" ht="12.75" customHeight="1">
      <c r="A1383" s="1268"/>
      <c r="B1383" s="1269"/>
      <c r="C1383" s="1269"/>
      <c r="D1383" s="1269"/>
      <c r="E1383" s="1269"/>
      <c r="F1383" s="1268"/>
      <c r="G1383" s="1268"/>
      <c r="H1383" s="1268"/>
      <c r="I1383" s="1269"/>
      <c r="J1383" s="1268"/>
      <c r="K1383" s="1268"/>
      <c r="L1383" s="1269"/>
      <c r="M1383" s="1268"/>
      <c r="N1383" s="1268"/>
      <c r="O1383" s="1269"/>
      <c r="P1383" s="1269"/>
      <c r="Q1383" s="1269"/>
      <c r="R1383" s="1269"/>
    </row>
    <row r="1384" ht="12.75" customHeight="1">
      <c r="A1384" s="1268"/>
      <c r="B1384" s="1269"/>
      <c r="C1384" s="1269"/>
      <c r="D1384" s="1269"/>
      <c r="E1384" s="1269"/>
      <c r="F1384" s="1268"/>
      <c r="G1384" s="1268"/>
      <c r="H1384" s="1268"/>
      <c r="I1384" s="1269"/>
      <c r="J1384" s="1268"/>
      <c r="K1384" s="1268"/>
      <c r="L1384" s="1269"/>
      <c r="M1384" s="1268"/>
      <c r="N1384" s="1268"/>
      <c r="O1384" s="1269"/>
      <c r="P1384" s="1269"/>
      <c r="Q1384" s="1269"/>
      <c r="R1384" s="1269"/>
    </row>
    <row r="1385" ht="12.75" customHeight="1">
      <c r="A1385" s="1268"/>
      <c r="B1385" s="1269"/>
      <c r="C1385" s="1269"/>
      <c r="D1385" s="1269"/>
      <c r="E1385" s="1269"/>
      <c r="F1385" s="1268"/>
      <c r="G1385" s="1268"/>
      <c r="H1385" s="1268"/>
      <c r="I1385" s="1269"/>
      <c r="J1385" s="1268"/>
      <c r="K1385" s="1268"/>
      <c r="L1385" s="1269"/>
      <c r="M1385" s="1268"/>
      <c r="N1385" s="1268"/>
      <c r="O1385" s="1269"/>
      <c r="P1385" s="1269"/>
      <c r="Q1385" s="1269"/>
      <c r="R1385" s="1269"/>
    </row>
    <row r="1386" ht="12.75" customHeight="1">
      <c r="A1386" s="1268"/>
      <c r="B1386" s="1269"/>
      <c r="C1386" s="1269"/>
      <c r="D1386" s="1269"/>
      <c r="E1386" s="1269"/>
      <c r="F1386" s="1268"/>
      <c r="G1386" s="1268"/>
      <c r="H1386" s="1268"/>
      <c r="I1386" s="1269"/>
      <c r="J1386" s="1268"/>
      <c r="K1386" s="1268"/>
      <c r="L1386" s="1269"/>
      <c r="M1386" s="1268"/>
      <c r="N1386" s="1268"/>
      <c r="O1386" s="1269"/>
      <c r="P1386" s="1269"/>
      <c r="Q1386" s="1269"/>
      <c r="R1386" s="1269"/>
    </row>
    <row r="1387" ht="12.75" customHeight="1">
      <c r="A1387" s="1268"/>
      <c r="B1387" s="1269"/>
      <c r="C1387" s="1269"/>
      <c r="D1387" s="1269"/>
      <c r="E1387" s="1269"/>
      <c r="F1387" s="1268"/>
      <c r="G1387" s="1268"/>
      <c r="H1387" s="1268"/>
      <c r="I1387" s="1269"/>
      <c r="J1387" s="1268"/>
      <c r="K1387" s="1268"/>
      <c r="L1387" s="1269"/>
      <c r="M1387" s="1268"/>
      <c r="N1387" s="1268"/>
      <c r="O1387" s="1269"/>
      <c r="P1387" s="1269"/>
      <c r="Q1387" s="1269"/>
      <c r="R1387" s="1269"/>
    </row>
    <row r="1388" ht="12.75" customHeight="1">
      <c r="A1388" s="1268"/>
      <c r="B1388" s="1269"/>
      <c r="C1388" s="1269"/>
      <c r="D1388" s="1269"/>
      <c r="E1388" s="1269"/>
      <c r="F1388" s="1268"/>
      <c r="G1388" s="1268"/>
      <c r="H1388" s="1268"/>
      <c r="I1388" s="1269"/>
      <c r="J1388" s="1268"/>
      <c r="K1388" s="1268"/>
      <c r="L1388" s="1269"/>
      <c r="M1388" s="1268"/>
      <c r="N1388" s="1268"/>
      <c r="O1388" s="1269"/>
      <c r="P1388" s="1269"/>
      <c r="Q1388" s="1269"/>
      <c r="R1388" s="1269"/>
    </row>
    <row r="1389" ht="12.75" customHeight="1">
      <c r="A1389" s="1268"/>
      <c r="B1389" s="1269"/>
      <c r="C1389" s="1269"/>
      <c r="D1389" s="1269"/>
      <c r="E1389" s="1269"/>
      <c r="F1389" s="1268"/>
      <c r="G1389" s="1268"/>
      <c r="H1389" s="1268"/>
      <c r="I1389" s="1269"/>
      <c r="J1389" s="1268"/>
      <c r="K1389" s="1268"/>
      <c r="L1389" s="1269"/>
      <c r="M1389" s="1268"/>
      <c r="N1389" s="1268"/>
      <c r="O1389" s="1269"/>
      <c r="P1389" s="1269"/>
      <c r="Q1389" s="1269"/>
      <c r="R1389" s="1269"/>
    </row>
    <row r="1390" ht="12.75" customHeight="1">
      <c r="A1390" s="1268"/>
      <c r="B1390" s="1269"/>
      <c r="C1390" s="1269"/>
      <c r="D1390" s="1269"/>
      <c r="E1390" s="1269"/>
      <c r="F1390" s="1268"/>
      <c r="G1390" s="1268"/>
      <c r="H1390" s="1268"/>
      <c r="I1390" s="1269"/>
      <c r="J1390" s="1268"/>
      <c r="K1390" s="1268"/>
      <c r="L1390" s="1269"/>
      <c r="M1390" s="1268"/>
      <c r="N1390" s="1268"/>
      <c r="O1390" s="1269"/>
      <c r="P1390" s="1269"/>
      <c r="Q1390" s="1269"/>
      <c r="R1390" s="1269"/>
    </row>
    <row r="1391" ht="12.75" customHeight="1">
      <c r="A1391" s="1268"/>
      <c r="B1391" s="1269"/>
      <c r="C1391" s="1269"/>
      <c r="D1391" s="1269"/>
      <c r="E1391" s="1269"/>
      <c r="F1391" s="1268"/>
      <c r="G1391" s="1268"/>
      <c r="H1391" s="1268"/>
      <c r="I1391" s="1269"/>
      <c r="J1391" s="1268"/>
      <c r="K1391" s="1268"/>
      <c r="L1391" s="1269"/>
      <c r="M1391" s="1268"/>
      <c r="N1391" s="1268"/>
      <c r="O1391" s="1269"/>
      <c r="P1391" s="1269"/>
      <c r="Q1391" s="1269"/>
      <c r="R1391" s="1269"/>
    </row>
    <row r="1392" ht="12.75" customHeight="1">
      <c r="A1392" s="1268"/>
      <c r="B1392" s="1269"/>
      <c r="C1392" s="1269"/>
      <c r="D1392" s="1269"/>
      <c r="E1392" s="1269"/>
      <c r="F1392" s="1268"/>
      <c r="G1392" s="1268"/>
      <c r="H1392" s="1268"/>
      <c r="I1392" s="1269"/>
      <c r="J1392" s="1268"/>
      <c r="K1392" s="1268"/>
      <c r="L1392" s="1269"/>
      <c r="M1392" s="1268"/>
      <c r="N1392" s="1268"/>
      <c r="O1392" s="1269"/>
      <c r="P1392" s="1269"/>
      <c r="Q1392" s="1269"/>
      <c r="R1392" s="1269"/>
    </row>
    <row r="1393" ht="12.75" customHeight="1">
      <c r="A1393" s="1268"/>
      <c r="B1393" s="1269"/>
      <c r="C1393" s="1269"/>
      <c r="D1393" s="1269"/>
      <c r="E1393" s="1269"/>
      <c r="F1393" s="1268"/>
      <c r="G1393" s="1268"/>
      <c r="H1393" s="1268"/>
      <c r="I1393" s="1269"/>
      <c r="J1393" s="1268"/>
      <c r="K1393" s="1268"/>
      <c r="L1393" s="1269"/>
      <c r="M1393" s="1268"/>
      <c r="N1393" s="1268"/>
      <c r="O1393" s="1269"/>
      <c r="P1393" s="1269"/>
      <c r="Q1393" s="1269"/>
      <c r="R1393" s="1269"/>
    </row>
    <row r="1394" ht="12.75" customHeight="1">
      <c r="A1394" s="1268"/>
      <c r="B1394" s="1269"/>
      <c r="C1394" s="1269"/>
      <c r="D1394" s="1269"/>
      <c r="E1394" s="1269"/>
      <c r="F1394" s="1268"/>
      <c r="G1394" s="1268"/>
      <c r="H1394" s="1268"/>
      <c r="I1394" s="1269"/>
      <c r="J1394" s="1268"/>
      <c r="K1394" s="1268"/>
      <c r="L1394" s="1269"/>
      <c r="M1394" s="1268"/>
      <c r="N1394" s="1268"/>
      <c r="O1394" s="1269"/>
      <c r="P1394" s="1269"/>
      <c r="Q1394" s="1269"/>
      <c r="R1394" s="1269"/>
    </row>
    <row r="1395" ht="12.75" customHeight="1">
      <c r="A1395" s="1268"/>
      <c r="B1395" s="1269"/>
      <c r="C1395" s="1269"/>
      <c r="D1395" s="1269"/>
      <c r="E1395" s="1269"/>
      <c r="F1395" s="1268"/>
      <c r="G1395" s="1268"/>
      <c r="H1395" s="1268"/>
      <c r="I1395" s="1269"/>
      <c r="J1395" s="1268"/>
      <c r="K1395" s="1268"/>
      <c r="L1395" s="1269"/>
      <c r="M1395" s="1268"/>
      <c r="N1395" s="1268"/>
      <c r="O1395" s="1269"/>
      <c r="P1395" s="1269"/>
      <c r="Q1395" s="1269"/>
      <c r="R1395" s="1269"/>
    </row>
    <row r="1396" ht="12.75" customHeight="1">
      <c r="A1396" s="1268"/>
      <c r="B1396" s="1269"/>
      <c r="C1396" s="1269"/>
      <c r="D1396" s="1269"/>
      <c r="E1396" s="1269"/>
      <c r="F1396" s="1268"/>
      <c r="G1396" s="1268"/>
      <c r="H1396" s="1268"/>
      <c r="I1396" s="1269"/>
      <c r="J1396" s="1268"/>
      <c r="K1396" s="1268"/>
      <c r="L1396" s="1269"/>
      <c r="M1396" s="1268"/>
      <c r="N1396" s="1268"/>
      <c r="O1396" s="1269"/>
      <c r="P1396" s="1269"/>
      <c r="Q1396" s="1269"/>
      <c r="R1396" s="1269"/>
    </row>
    <row r="1397" ht="12.75" customHeight="1">
      <c r="A1397" s="1268"/>
      <c r="B1397" s="1269"/>
      <c r="C1397" s="1269"/>
      <c r="D1397" s="1269"/>
      <c r="E1397" s="1269"/>
      <c r="F1397" s="1268"/>
      <c r="G1397" s="1268"/>
      <c r="H1397" s="1268"/>
      <c r="I1397" s="1269"/>
      <c r="J1397" s="1268"/>
      <c r="K1397" s="1268"/>
      <c r="L1397" s="1269"/>
      <c r="M1397" s="1268"/>
      <c r="N1397" s="1268"/>
      <c r="O1397" s="1269"/>
      <c r="P1397" s="1269"/>
      <c r="Q1397" s="1269"/>
      <c r="R1397" s="1269"/>
    </row>
    <row r="1398" ht="12.75" customHeight="1">
      <c r="A1398" s="1268"/>
      <c r="B1398" s="1269"/>
      <c r="C1398" s="1269"/>
      <c r="D1398" s="1269"/>
      <c r="E1398" s="1269"/>
      <c r="F1398" s="1268"/>
      <c r="G1398" s="1268"/>
      <c r="H1398" s="1268"/>
      <c r="I1398" s="1269"/>
      <c r="J1398" s="1268"/>
      <c r="K1398" s="1268"/>
      <c r="L1398" s="1269"/>
      <c r="M1398" s="1268"/>
      <c r="N1398" s="1268"/>
      <c r="O1398" s="1269"/>
      <c r="P1398" s="1269"/>
      <c r="Q1398" s="1269"/>
      <c r="R1398" s="1269"/>
    </row>
    <row r="1399" ht="12.75" customHeight="1">
      <c r="A1399" s="1268"/>
      <c r="B1399" s="1269"/>
      <c r="C1399" s="1269"/>
      <c r="D1399" s="1269"/>
      <c r="E1399" s="1269"/>
      <c r="F1399" s="1268"/>
      <c r="G1399" s="1268"/>
      <c r="H1399" s="1268"/>
      <c r="I1399" s="1269"/>
      <c r="J1399" s="1268"/>
      <c r="K1399" s="1268"/>
      <c r="L1399" s="1269"/>
      <c r="M1399" s="1268"/>
      <c r="N1399" s="1268"/>
      <c r="O1399" s="1269"/>
      <c r="P1399" s="1269"/>
      <c r="Q1399" s="1269"/>
      <c r="R1399" s="1269"/>
    </row>
    <row r="1400" ht="12.75" customHeight="1">
      <c r="A1400" s="1268"/>
      <c r="B1400" s="1269"/>
      <c r="C1400" s="1269"/>
      <c r="D1400" s="1269"/>
      <c r="E1400" s="1269"/>
      <c r="F1400" s="1268"/>
      <c r="G1400" s="1268"/>
      <c r="H1400" s="1268"/>
      <c r="I1400" s="1269"/>
      <c r="J1400" s="1268"/>
      <c r="K1400" s="1268"/>
      <c r="L1400" s="1269"/>
      <c r="M1400" s="1268"/>
      <c r="N1400" s="1268"/>
      <c r="O1400" s="1269"/>
      <c r="P1400" s="1269"/>
      <c r="Q1400" s="1269"/>
      <c r="R1400" s="1269"/>
    </row>
    <row r="1401" ht="12.75" customHeight="1">
      <c r="A1401" s="1268"/>
      <c r="B1401" s="1269"/>
      <c r="C1401" s="1269"/>
      <c r="D1401" s="1269"/>
      <c r="E1401" s="1269"/>
      <c r="F1401" s="1268"/>
      <c r="G1401" s="1268"/>
      <c r="H1401" s="1268"/>
      <c r="I1401" s="1269"/>
      <c r="J1401" s="1268"/>
      <c r="K1401" s="1268"/>
      <c r="L1401" s="1269"/>
      <c r="M1401" s="1268"/>
      <c r="N1401" s="1268"/>
      <c r="O1401" s="1269"/>
      <c r="P1401" s="1269"/>
      <c r="Q1401" s="1269"/>
      <c r="R1401" s="1269"/>
    </row>
    <row r="1402" ht="12.75" customHeight="1">
      <c r="A1402" s="1268"/>
      <c r="B1402" s="1269"/>
      <c r="C1402" s="1269"/>
      <c r="D1402" s="1269"/>
      <c r="E1402" s="1269"/>
      <c r="F1402" s="1268"/>
      <c r="G1402" s="1268"/>
      <c r="H1402" s="1268"/>
      <c r="I1402" s="1269"/>
      <c r="J1402" s="1268"/>
      <c r="K1402" s="1268"/>
      <c r="L1402" s="1269"/>
      <c r="M1402" s="1268"/>
      <c r="N1402" s="1268"/>
      <c r="O1402" s="1269"/>
      <c r="P1402" s="1269"/>
      <c r="Q1402" s="1269"/>
      <c r="R1402" s="1269"/>
    </row>
    <row r="1403" ht="12.75" customHeight="1">
      <c r="A1403" s="1268"/>
      <c r="B1403" s="1269"/>
      <c r="C1403" s="1269"/>
      <c r="D1403" s="1269"/>
      <c r="E1403" s="1269"/>
      <c r="F1403" s="1268"/>
      <c r="G1403" s="1268"/>
      <c r="H1403" s="1268"/>
      <c r="I1403" s="1269"/>
      <c r="J1403" s="1268"/>
      <c r="K1403" s="1268"/>
      <c r="L1403" s="1269"/>
      <c r="M1403" s="1268"/>
      <c r="N1403" s="1268"/>
      <c r="O1403" s="1269"/>
      <c r="P1403" s="1269"/>
      <c r="Q1403" s="1269"/>
      <c r="R1403" s="1269"/>
    </row>
    <row r="1404" ht="12.75" customHeight="1">
      <c r="A1404" s="1268"/>
      <c r="B1404" s="1269"/>
      <c r="C1404" s="1269"/>
      <c r="D1404" s="1269"/>
      <c r="E1404" s="1269"/>
      <c r="F1404" s="1268"/>
      <c r="G1404" s="1268"/>
      <c r="H1404" s="1268"/>
      <c r="I1404" s="1269"/>
      <c r="J1404" s="1268"/>
      <c r="K1404" s="1268"/>
      <c r="L1404" s="1269"/>
      <c r="M1404" s="1268"/>
      <c r="N1404" s="1268"/>
      <c r="O1404" s="1269"/>
      <c r="P1404" s="1269"/>
      <c r="Q1404" s="1269"/>
      <c r="R1404" s="1269"/>
    </row>
    <row r="1405" ht="12.75" customHeight="1">
      <c r="A1405" s="1268"/>
      <c r="B1405" s="1269"/>
      <c r="C1405" s="1269"/>
      <c r="D1405" s="1269"/>
      <c r="E1405" s="1269"/>
      <c r="F1405" s="1268"/>
      <c r="G1405" s="1268"/>
      <c r="H1405" s="1268"/>
      <c r="I1405" s="1269"/>
      <c r="J1405" s="1268"/>
      <c r="K1405" s="1268"/>
      <c r="L1405" s="1269"/>
      <c r="M1405" s="1268"/>
      <c r="N1405" s="1268"/>
      <c r="O1405" s="1269"/>
      <c r="P1405" s="1269"/>
      <c r="Q1405" s="1269"/>
      <c r="R1405" s="1269"/>
    </row>
    <row r="1406" ht="12.75" customHeight="1">
      <c r="A1406" s="1268"/>
      <c r="B1406" s="1269"/>
      <c r="C1406" s="1269"/>
      <c r="D1406" s="1269"/>
      <c r="E1406" s="1269"/>
      <c r="F1406" s="1268"/>
      <c r="G1406" s="1268"/>
      <c r="H1406" s="1268"/>
      <c r="I1406" s="1269"/>
      <c r="J1406" s="1268"/>
      <c r="K1406" s="1268"/>
      <c r="L1406" s="1269"/>
      <c r="M1406" s="1268"/>
      <c r="N1406" s="1268"/>
      <c r="O1406" s="1269"/>
      <c r="P1406" s="1269"/>
      <c r="Q1406" s="1269"/>
      <c r="R1406" s="1269"/>
    </row>
    <row r="1407" ht="12.75" customHeight="1">
      <c r="A1407" s="1268"/>
      <c r="B1407" s="1269"/>
      <c r="C1407" s="1269"/>
      <c r="D1407" s="1269"/>
      <c r="E1407" s="1269"/>
      <c r="F1407" s="1268"/>
      <c r="G1407" s="1268"/>
      <c r="H1407" s="1268"/>
      <c r="I1407" s="1269"/>
      <c r="J1407" s="1268"/>
      <c r="K1407" s="1268"/>
      <c r="L1407" s="1269"/>
      <c r="M1407" s="1268"/>
      <c r="N1407" s="1268"/>
      <c r="O1407" s="1269"/>
      <c r="P1407" s="1269"/>
      <c r="Q1407" s="1269"/>
      <c r="R1407" s="1269"/>
    </row>
    <row r="1408" ht="12.75" customHeight="1">
      <c r="A1408" s="1268"/>
      <c r="B1408" s="1269"/>
      <c r="C1408" s="1269"/>
      <c r="D1408" s="1269"/>
      <c r="E1408" s="1269"/>
      <c r="F1408" s="1268"/>
      <c r="G1408" s="1268"/>
      <c r="H1408" s="1268"/>
      <c r="I1408" s="1269"/>
      <c r="J1408" s="1268"/>
      <c r="K1408" s="1268"/>
      <c r="L1408" s="1269"/>
      <c r="M1408" s="1268"/>
      <c r="N1408" s="1268"/>
      <c r="O1408" s="1269"/>
      <c r="P1408" s="1269"/>
      <c r="Q1408" s="1269"/>
      <c r="R1408" s="1269"/>
    </row>
    <row r="1409" ht="12.75" customHeight="1">
      <c r="A1409" s="1268"/>
      <c r="B1409" s="1269"/>
      <c r="C1409" s="1269"/>
      <c r="D1409" s="1269"/>
      <c r="E1409" s="1269"/>
      <c r="F1409" s="1268"/>
      <c r="G1409" s="1268"/>
      <c r="H1409" s="1268"/>
      <c r="I1409" s="1269"/>
      <c r="J1409" s="1268"/>
      <c r="K1409" s="1268"/>
      <c r="L1409" s="1269"/>
      <c r="M1409" s="1268"/>
      <c r="N1409" s="1268"/>
      <c r="O1409" s="1269"/>
      <c r="P1409" s="1269"/>
      <c r="Q1409" s="1269"/>
      <c r="R1409" s="1269"/>
    </row>
    <row r="1410" ht="12.75" customHeight="1">
      <c r="A1410" s="1268"/>
      <c r="B1410" s="1269"/>
      <c r="C1410" s="1269"/>
      <c r="D1410" s="1269"/>
      <c r="E1410" s="1269"/>
      <c r="F1410" s="1268"/>
      <c r="G1410" s="1268"/>
      <c r="H1410" s="1268"/>
      <c r="I1410" s="1269"/>
      <c r="J1410" s="1268"/>
      <c r="K1410" s="1268"/>
      <c r="L1410" s="1269"/>
      <c r="M1410" s="1268"/>
      <c r="N1410" s="1268"/>
      <c r="O1410" s="1269"/>
      <c r="P1410" s="1269"/>
      <c r="Q1410" s="1269"/>
      <c r="R1410" s="1269"/>
    </row>
    <row r="1411" ht="12.75" customHeight="1">
      <c r="A1411" s="1268"/>
      <c r="B1411" s="1269"/>
      <c r="C1411" s="1269"/>
      <c r="D1411" s="1269"/>
      <c r="E1411" s="1269"/>
      <c r="F1411" s="1268"/>
      <c r="G1411" s="1268"/>
      <c r="H1411" s="1268"/>
      <c r="I1411" s="1269"/>
      <c r="J1411" s="1268"/>
      <c r="K1411" s="1268"/>
      <c r="L1411" s="1269"/>
      <c r="M1411" s="1268"/>
      <c r="N1411" s="1268"/>
      <c r="O1411" s="1269"/>
      <c r="P1411" s="1269"/>
      <c r="Q1411" s="1269"/>
      <c r="R1411" s="1269"/>
    </row>
    <row r="1412" ht="12.75" customHeight="1">
      <c r="A1412" s="1268"/>
      <c r="B1412" s="1269"/>
      <c r="C1412" s="1269"/>
      <c r="D1412" s="1269"/>
      <c r="E1412" s="1269"/>
      <c r="F1412" s="1268"/>
      <c r="G1412" s="1268"/>
      <c r="H1412" s="1268"/>
      <c r="I1412" s="1269"/>
      <c r="J1412" s="1268"/>
      <c r="K1412" s="1268"/>
      <c r="L1412" s="1269"/>
      <c r="M1412" s="1268"/>
      <c r="N1412" s="1268"/>
      <c r="O1412" s="1269"/>
      <c r="P1412" s="1269"/>
      <c r="Q1412" s="1269"/>
      <c r="R1412" s="1269"/>
    </row>
    <row r="1413" ht="12.75" customHeight="1">
      <c r="A1413" s="1268"/>
      <c r="B1413" s="1269"/>
      <c r="C1413" s="1269"/>
      <c r="D1413" s="1269"/>
      <c r="E1413" s="1269"/>
      <c r="F1413" s="1268"/>
      <c r="G1413" s="1268"/>
      <c r="H1413" s="1268"/>
      <c r="I1413" s="1269"/>
      <c r="J1413" s="1268"/>
      <c r="K1413" s="1268"/>
      <c r="L1413" s="1269"/>
      <c r="M1413" s="1268"/>
      <c r="N1413" s="1268"/>
      <c r="O1413" s="1269"/>
      <c r="P1413" s="1269"/>
      <c r="Q1413" s="1269"/>
      <c r="R1413" s="1269"/>
    </row>
    <row r="1414" ht="12.75" customHeight="1">
      <c r="A1414" s="1268"/>
      <c r="B1414" s="1269"/>
      <c r="C1414" s="1269"/>
      <c r="D1414" s="1269"/>
      <c r="E1414" s="1269"/>
      <c r="F1414" s="1268"/>
      <c r="G1414" s="1268"/>
      <c r="H1414" s="1268"/>
      <c r="I1414" s="1269"/>
      <c r="J1414" s="1268"/>
      <c r="K1414" s="1268"/>
      <c r="L1414" s="1269"/>
      <c r="M1414" s="1268"/>
      <c r="N1414" s="1268"/>
      <c r="O1414" s="1269"/>
      <c r="P1414" s="1269"/>
      <c r="Q1414" s="1269"/>
      <c r="R1414" s="1269"/>
    </row>
    <row r="1415" ht="12.75" customHeight="1">
      <c r="A1415" s="1268"/>
      <c r="B1415" s="1269"/>
      <c r="C1415" s="1269"/>
      <c r="D1415" s="1269"/>
      <c r="E1415" s="1269"/>
      <c r="F1415" s="1268"/>
      <c r="G1415" s="1268"/>
      <c r="H1415" s="1268"/>
      <c r="I1415" s="1269"/>
      <c r="J1415" s="1268"/>
      <c r="K1415" s="1268"/>
      <c r="L1415" s="1269"/>
      <c r="M1415" s="1268"/>
      <c r="N1415" s="1268"/>
      <c r="O1415" s="1269"/>
      <c r="P1415" s="1269"/>
      <c r="Q1415" s="1269"/>
      <c r="R1415" s="1269"/>
    </row>
    <row r="1416" ht="12.75" customHeight="1">
      <c r="A1416" s="1268"/>
      <c r="B1416" s="1269"/>
      <c r="C1416" s="1269"/>
      <c r="D1416" s="1269"/>
      <c r="E1416" s="1269"/>
      <c r="F1416" s="1268"/>
      <c r="G1416" s="1268"/>
      <c r="H1416" s="1268"/>
      <c r="I1416" s="1269"/>
      <c r="J1416" s="1268"/>
      <c r="K1416" s="1268"/>
      <c r="L1416" s="1269"/>
      <c r="M1416" s="1268"/>
      <c r="N1416" s="1268"/>
      <c r="O1416" s="1269"/>
      <c r="P1416" s="1269"/>
      <c r="Q1416" s="1269"/>
      <c r="R1416" s="1269"/>
    </row>
    <row r="1417" ht="12.75" customHeight="1">
      <c r="A1417" s="1268"/>
      <c r="B1417" s="1269"/>
      <c r="C1417" s="1269"/>
      <c r="D1417" s="1269"/>
      <c r="E1417" s="1269"/>
      <c r="F1417" s="1268"/>
      <c r="G1417" s="1268"/>
      <c r="H1417" s="1268"/>
      <c r="I1417" s="1269"/>
      <c r="J1417" s="1268"/>
      <c r="K1417" s="1268"/>
      <c r="L1417" s="1269"/>
      <c r="M1417" s="1268"/>
      <c r="N1417" s="1268"/>
      <c r="O1417" s="1269"/>
      <c r="P1417" s="1269"/>
      <c r="Q1417" s="1269"/>
      <c r="R1417" s="1269"/>
    </row>
    <row r="1418" ht="12.75" customHeight="1">
      <c r="A1418" s="1268"/>
      <c r="B1418" s="1269"/>
      <c r="C1418" s="1269"/>
      <c r="D1418" s="1269"/>
      <c r="E1418" s="1269"/>
      <c r="F1418" s="1268"/>
      <c r="G1418" s="1268"/>
      <c r="H1418" s="1268"/>
      <c r="I1418" s="1269"/>
      <c r="J1418" s="1268"/>
      <c r="K1418" s="1268"/>
      <c r="L1418" s="1269"/>
      <c r="M1418" s="1268"/>
      <c r="N1418" s="1268"/>
      <c r="O1418" s="1269"/>
      <c r="P1418" s="1269"/>
      <c r="Q1418" s="1269"/>
      <c r="R1418" s="1269"/>
    </row>
    <row r="1419" ht="12.75" customHeight="1">
      <c r="A1419" s="1268"/>
      <c r="B1419" s="1269"/>
      <c r="C1419" s="1269"/>
      <c r="D1419" s="1269"/>
      <c r="E1419" s="1269"/>
      <c r="F1419" s="1268"/>
      <c r="G1419" s="1268"/>
      <c r="H1419" s="1268"/>
      <c r="I1419" s="1269"/>
      <c r="J1419" s="1268"/>
      <c r="K1419" s="1268"/>
      <c r="L1419" s="1269"/>
      <c r="M1419" s="1268"/>
      <c r="N1419" s="1268"/>
      <c r="O1419" s="1269"/>
      <c r="P1419" s="1269"/>
      <c r="Q1419" s="1269"/>
      <c r="R1419" s="1269"/>
    </row>
    <row r="1420" ht="12.75" customHeight="1">
      <c r="A1420" s="1268"/>
      <c r="B1420" s="1269"/>
      <c r="C1420" s="1269"/>
      <c r="D1420" s="1269"/>
      <c r="E1420" s="1269"/>
      <c r="F1420" s="1268"/>
      <c r="G1420" s="1268"/>
      <c r="H1420" s="1268"/>
      <c r="I1420" s="1269"/>
      <c r="J1420" s="1268"/>
      <c r="K1420" s="1268"/>
      <c r="L1420" s="1269"/>
      <c r="M1420" s="1268"/>
      <c r="N1420" s="1268"/>
      <c r="O1420" s="1269"/>
      <c r="P1420" s="1269"/>
      <c r="Q1420" s="1269"/>
      <c r="R1420" s="1269"/>
    </row>
    <row r="1421" ht="12.75" customHeight="1">
      <c r="A1421" s="1268"/>
      <c r="B1421" s="1269"/>
      <c r="C1421" s="1269"/>
      <c r="D1421" s="1269"/>
      <c r="E1421" s="1269"/>
      <c r="F1421" s="1268"/>
      <c r="G1421" s="1268"/>
      <c r="H1421" s="1268"/>
      <c r="I1421" s="1269"/>
      <c r="J1421" s="1268"/>
      <c r="K1421" s="1268"/>
      <c r="L1421" s="1269"/>
      <c r="M1421" s="1268"/>
      <c r="N1421" s="1268"/>
      <c r="O1421" s="1269"/>
      <c r="P1421" s="1269"/>
      <c r="Q1421" s="1269"/>
      <c r="R1421" s="1269"/>
    </row>
    <row r="1422" ht="12.75" customHeight="1">
      <c r="A1422" s="1268"/>
      <c r="B1422" s="1269"/>
      <c r="C1422" s="1269"/>
      <c r="D1422" s="1269"/>
      <c r="E1422" s="1269"/>
      <c r="F1422" s="1268"/>
      <c r="G1422" s="1268"/>
      <c r="H1422" s="1268"/>
      <c r="I1422" s="1269"/>
      <c r="J1422" s="1268"/>
      <c r="K1422" s="1268"/>
      <c r="L1422" s="1269"/>
      <c r="M1422" s="1268"/>
      <c r="N1422" s="1268"/>
      <c r="O1422" s="1269"/>
      <c r="P1422" s="1269"/>
      <c r="Q1422" s="1269"/>
      <c r="R1422" s="1269"/>
    </row>
    <row r="1423" ht="12.75" customHeight="1">
      <c r="A1423" s="1268"/>
      <c r="B1423" s="1269"/>
      <c r="C1423" s="1269"/>
      <c r="D1423" s="1269"/>
      <c r="E1423" s="1269"/>
      <c r="F1423" s="1268"/>
      <c r="G1423" s="1268"/>
      <c r="H1423" s="1268"/>
      <c r="I1423" s="1269"/>
      <c r="J1423" s="1268"/>
      <c r="K1423" s="1268"/>
      <c r="L1423" s="1269"/>
      <c r="M1423" s="1268"/>
      <c r="N1423" s="1268"/>
      <c r="O1423" s="1269"/>
      <c r="P1423" s="1269"/>
      <c r="Q1423" s="1269"/>
      <c r="R1423" s="1269"/>
    </row>
    <row r="1424" ht="12.75" customHeight="1">
      <c r="A1424" s="1268"/>
      <c r="B1424" s="1269"/>
      <c r="C1424" s="1269"/>
      <c r="D1424" s="1269"/>
      <c r="E1424" s="1269"/>
      <c r="F1424" s="1268"/>
      <c r="G1424" s="1268"/>
      <c r="H1424" s="1268"/>
      <c r="I1424" s="1269"/>
      <c r="J1424" s="1268"/>
      <c r="K1424" s="1268"/>
      <c r="L1424" s="1269"/>
      <c r="M1424" s="1268"/>
      <c r="N1424" s="1268"/>
      <c r="O1424" s="1269"/>
      <c r="P1424" s="1269"/>
      <c r="Q1424" s="1269"/>
      <c r="R1424" s="1269"/>
    </row>
    <row r="1425" ht="12.75" customHeight="1">
      <c r="A1425" s="1268"/>
      <c r="B1425" s="1269"/>
      <c r="C1425" s="1269"/>
      <c r="D1425" s="1269"/>
      <c r="E1425" s="1269"/>
      <c r="F1425" s="1268"/>
      <c r="G1425" s="1268"/>
      <c r="H1425" s="1268"/>
      <c r="I1425" s="1269"/>
      <c r="J1425" s="1268"/>
      <c r="K1425" s="1268"/>
      <c r="L1425" s="1269"/>
      <c r="M1425" s="1268"/>
      <c r="N1425" s="1268"/>
      <c r="O1425" s="1269"/>
      <c r="P1425" s="1269"/>
      <c r="Q1425" s="1269"/>
      <c r="R1425" s="1269"/>
    </row>
    <row r="1426" ht="12.75" customHeight="1">
      <c r="A1426" s="1268"/>
      <c r="B1426" s="1269"/>
      <c r="C1426" s="1269"/>
      <c r="D1426" s="1269"/>
      <c r="E1426" s="1269"/>
      <c r="F1426" s="1268"/>
      <c r="G1426" s="1268"/>
      <c r="H1426" s="1268"/>
      <c r="I1426" s="1269"/>
      <c r="J1426" s="1268"/>
      <c r="K1426" s="1268"/>
      <c r="L1426" s="1269"/>
      <c r="M1426" s="1268"/>
      <c r="N1426" s="1268"/>
      <c r="O1426" s="1269"/>
      <c r="P1426" s="1269"/>
      <c r="Q1426" s="1269"/>
      <c r="R1426" s="1269"/>
    </row>
    <row r="1427" ht="12.75" customHeight="1">
      <c r="A1427" s="1268"/>
      <c r="B1427" s="1269"/>
      <c r="C1427" s="1269"/>
      <c r="D1427" s="1269"/>
      <c r="E1427" s="1269"/>
      <c r="F1427" s="1268"/>
      <c r="G1427" s="1268"/>
      <c r="H1427" s="1268"/>
      <c r="I1427" s="1269"/>
      <c r="J1427" s="1268"/>
      <c r="K1427" s="1268"/>
      <c r="L1427" s="1269"/>
      <c r="M1427" s="1268"/>
      <c r="N1427" s="1268"/>
      <c r="O1427" s="1269"/>
      <c r="P1427" s="1269"/>
      <c r="Q1427" s="1269"/>
      <c r="R1427" s="1269"/>
    </row>
    <row r="1428" ht="12.75" customHeight="1">
      <c r="A1428" s="1268"/>
      <c r="B1428" s="1269"/>
      <c r="C1428" s="1269"/>
      <c r="D1428" s="1269"/>
      <c r="E1428" s="1269"/>
      <c r="F1428" s="1268"/>
      <c r="G1428" s="1268"/>
      <c r="H1428" s="1268"/>
      <c r="I1428" s="1269"/>
      <c r="J1428" s="1268"/>
      <c r="K1428" s="1268"/>
      <c r="L1428" s="1269"/>
      <c r="M1428" s="1268"/>
      <c r="N1428" s="1268"/>
      <c r="O1428" s="1269"/>
      <c r="P1428" s="1269"/>
      <c r="Q1428" s="1269"/>
      <c r="R1428" s="1269"/>
    </row>
    <row r="1429" ht="12.75" customHeight="1">
      <c r="A1429" s="1268"/>
      <c r="B1429" s="1269"/>
      <c r="C1429" s="1269"/>
      <c r="D1429" s="1269"/>
      <c r="E1429" s="1269"/>
      <c r="F1429" s="1268"/>
      <c r="G1429" s="1268"/>
      <c r="H1429" s="1268"/>
      <c r="I1429" s="1269"/>
      <c r="J1429" s="1268"/>
      <c r="K1429" s="1268"/>
      <c r="L1429" s="1269"/>
      <c r="M1429" s="1268"/>
      <c r="N1429" s="1268"/>
      <c r="O1429" s="1269"/>
      <c r="P1429" s="1269"/>
      <c r="Q1429" s="1269"/>
      <c r="R1429" s="1269"/>
    </row>
    <row r="1430" ht="12.75" customHeight="1">
      <c r="A1430" s="1268"/>
      <c r="B1430" s="1269"/>
      <c r="C1430" s="1269"/>
      <c r="D1430" s="1269"/>
      <c r="E1430" s="1269"/>
      <c r="F1430" s="1268"/>
      <c r="G1430" s="1268"/>
      <c r="H1430" s="1268"/>
      <c r="I1430" s="1269"/>
      <c r="J1430" s="1268"/>
      <c r="K1430" s="1268"/>
      <c r="L1430" s="1269"/>
      <c r="M1430" s="1268"/>
      <c r="N1430" s="1268"/>
      <c r="O1430" s="1269"/>
      <c r="P1430" s="1269"/>
      <c r="Q1430" s="1269"/>
      <c r="R1430" s="1269"/>
    </row>
    <row r="1431" ht="12.75" customHeight="1">
      <c r="A1431" s="1268"/>
      <c r="B1431" s="1269"/>
      <c r="C1431" s="1269"/>
      <c r="D1431" s="1269"/>
      <c r="E1431" s="1269"/>
      <c r="F1431" s="1268"/>
      <c r="G1431" s="1268"/>
      <c r="H1431" s="1268"/>
      <c r="I1431" s="1269"/>
      <c r="J1431" s="1268"/>
      <c r="K1431" s="1268"/>
      <c r="L1431" s="1269"/>
      <c r="M1431" s="1268"/>
      <c r="N1431" s="1268"/>
      <c r="O1431" s="1269"/>
      <c r="P1431" s="1269"/>
      <c r="Q1431" s="1269"/>
      <c r="R1431" s="1269"/>
    </row>
    <row r="1432" ht="12.75" customHeight="1">
      <c r="A1432" s="1268"/>
      <c r="B1432" s="1269"/>
      <c r="C1432" s="1269"/>
      <c r="D1432" s="1269"/>
      <c r="E1432" s="1269"/>
      <c r="F1432" s="1268"/>
      <c r="G1432" s="1268"/>
      <c r="H1432" s="1268"/>
      <c r="I1432" s="1269"/>
      <c r="J1432" s="1268"/>
      <c r="K1432" s="1268"/>
      <c r="L1432" s="1269"/>
      <c r="M1432" s="1268"/>
      <c r="N1432" s="1268"/>
      <c r="O1432" s="1269"/>
      <c r="P1432" s="1269"/>
      <c r="Q1432" s="1269"/>
      <c r="R1432" s="1269"/>
    </row>
    <row r="1433" ht="12.75" customHeight="1">
      <c r="A1433" s="1268"/>
      <c r="B1433" s="1269"/>
      <c r="C1433" s="1269"/>
      <c r="D1433" s="1269"/>
      <c r="E1433" s="1269"/>
      <c r="F1433" s="1268"/>
      <c r="G1433" s="1268"/>
      <c r="H1433" s="1268"/>
      <c r="I1433" s="1269"/>
      <c r="J1433" s="1268"/>
      <c r="K1433" s="1268"/>
      <c r="L1433" s="1269"/>
      <c r="M1433" s="1268"/>
      <c r="N1433" s="1268"/>
      <c r="O1433" s="1269"/>
      <c r="P1433" s="1269"/>
      <c r="Q1433" s="1269"/>
      <c r="R1433" s="1269"/>
    </row>
    <row r="1434" ht="12.75" customHeight="1">
      <c r="A1434" s="1268"/>
      <c r="B1434" s="1269"/>
      <c r="C1434" s="1269"/>
      <c r="D1434" s="1269"/>
      <c r="E1434" s="1269"/>
      <c r="F1434" s="1268"/>
      <c r="G1434" s="1268"/>
      <c r="H1434" s="1268"/>
      <c r="I1434" s="1269"/>
      <c r="J1434" s="1268"/>
      <c r="K1434" s="1268"/>
      <c r="L1434" s="1269"/>
      <c r="M1434" s="1268"/>
      <c r="N1434" s="1268"/>
      <c r="O1434" s="1269"/>
      <c r="P1434" s="1269"/>
      <c r="Q1434" s="1269"/>
      <c r="R1434" s="1269"/>
    </row>
    <row r="1435" ht="12.75" customHeight="1">
      <c r="A1435" s="1268"/>
      <c r="B1435" s="1269"/>
      <c r="C1435" s="1269"/>
      <c r="D1435" s="1269"/>
      <c r="E1435" s="1269"/>
      <c r="F1435" s="1268"/>
      <c r="G1435" s="1268"/>
      <c r="H1435" s="1268"/>
      <c r="I1435" s="1269"/>
      <c r="J1435" s="1268"/>
      <c r="K1435" s="1268"/>
      <c r="L1435" s="1269"/>
      <c r="M1435" s="1268"/>
      <c r="N1435" s="1268"/>
      <c r="O1435" s="1269"/>
      <c r="P1435" s="1269"/>
      <c r="Q1435" s="1269"/>
      <c r="R1435" s="1269"/>
    </row>
    <row r="1436" ht="12.75" customHeight="1">
      <c r="A1436" s="1268"/>
      <c r="B1436" s="1269"/>
      <c r="C1436" s="1269"/>
      <c r="D1436" s="1269"/>
      <c r="E1436" s="1269"/>
      <c r="F1436" s="1268"/>
      <c r="G1436" s="1268"/>
      <c r="H1436" s="1268"/>
      <c r="I1436" s="1269"/>
      <c r="J1436" s="1268"/>
      <c r="K1436" s="1268"/>
      <c r="L1436" s="1269"/>
      <c r="M1436" s="1268"/>
      <c r="N1436" s="1268"/>
      <c r="O1436" s="1269"/>
      <c r="P1436" s="1269"/>
      <c r="Q1436" s="1269"/>
      <c r="R1436" s="1269"/>
    </row>
    <row r="1437" ht="12.75" customHeight="1">
      <c r="A1437" s="1268"/>
      <c r="B1437" s="1269"/>
      <c r="C1437" s="1269"/>
      <c r="D1437" s="1269"/>
      <c r="E1437" s="1269"/>
      <c r="F1437" s="1268"/>
      <c r="G1437" s="1268"/>
      <c r="H1437" s="1268"/>
      <c r="I1437" s="1269"/>
      <c r="J1437" s="1268"/>
      <c r="K1437" s="1268"/>
      <c r="L1437" s="1269"/>
      <c r="M1437" s="1268"/>
      <c r="N1437" s="1268"/>
      <c r="O1437" s="1269"/>
      <c r="P1437" s="1269"/>
      <c r="Q1437" s="1269"/>
      <c r="R1437" s="1269"/>
    </row>
    <row r="1438" ht="12.75" customHeight="1">
      <c r="A1438" s="1268"/>
      <c r="B1438" s="1269"/>
      <c r="C1438" s="1269"/>
      <c r="D1438" s="1269"/>
      <c r="E1438" s="1269"/>
      <c r="F1438" s="1268"/>
      <c r="G1438" s="1268"/>
      <c r="H1438" s="1268"/>
      <c r="I1438" s="1269"/>
      <c r="J1438" s="1268"/>
      <c r="K1438" s="1268"/>
      <c r="L1438" s="1269"/>
      <c r="M1438" s="1268"/>
      <c r="N1438" s="1268"/>
      <c r="O1438" s="1269"/>
      <c r="P1438" s="1269"/>
      <c r="Q1438" s="1269"/>
      <c r="R1438" s="1269"/>
    </row>
    <row r="1439" ht="12.75" customHeight="1">
      <c r="A1439" s="1268"/>
      <c r="B1439" s="1269"/>
      <c r="C1439" s="1269"/>
      <c r="D1439" s="1269"/>
      <c r="E1439" s="1269"/>
      <c r="F1439" s="1268"/>
      <c r="G1439" s="1268"/>
      <c r="H1439" s="1268"/>
      <c r="I1439" s="1269"/>
      <c r="J1439" s="1268"/>
      <c r="K1439" s="1268"/>
      <c r="L1439" s="1269"/>
      <c r="M1439" s="1268"/>
      <c r="N1439" s="1268"/>
      <c r="O1439" s="1269"/>
      <c r="P1439" s="1269"/>
      <c r="Q1439" s="1269"/>
      <c r="R1439" s="1269"/>
    </row>
    <row r="1440" ht="12.75" customHeight="1">
      <c r="A1440" s="1268"/>
      <c r="B1440" s="1269"/>
      <c r="C1440" s="1269"/>
      <c r="D1440" s="1269"/>
      <c r="E1440" s="1269"/>
      <c r="F1440" s="1268"/>
      <c r="G1440" s="1268"/>
      <c r="H1440" s="1268"/>
      <c r="I1440" s="1269"/>
      <c r="J1440" s="1268"/>
      <c r="K1440" s="1268"/>
      <c r="L1440" s="1269"/>
      <c r="M1440" s="1268"/>
      <c r="N1440" s="1268"/>
      <c r="O1440" s="1269"/>
      <c r="P1440" s="1269"/>
      <c r="Q1440" s="1269"/>
      <c r="R1440" s="1269"/>
    </row>
    <row r="1441" ht="12.75" customHeight="1">
      <c r="A1441" s="1268"/>
      <c r="B1441" s="1269"/>
      <c r="C1441" s="1269"/>
      <c r="D1441" s="1269"/>
      <c r="E1441" s="1269"/>
      <c r="F1441" s="1268"/>
      <c r="G1441" s="1268"/>
      <c r="H1441" s="1268"/>
      <c r="I1441" s="1269"/>
      <c r="J1441" s="1268"/>
      <c r="K1441" s="1268"/>
      <c r="L1441" s="1269"/>
      <c r="M1441" s="1268"/>
      <c r="N1441" s="1268"/>
      <c r="O1441" s="1269"/>
      <c r="P1441" s="1269"/>
      <c r="Q1441" s="1269"/>
      <c r="R1441" s="1269"/>
    </row>
    <row r="1442" ht="12.75" customHeight="1">
      <c r="A1442" s="1268"/>
      <c r="B1442" s="1269"/>
      <c r="C1442" s="1269"/>
      <c r="D1442" s="1269"/>
      <c r="E1442" s="1269"/>
      <c r="F1442" s="1268"/>
      <c r="G1442" s="1268"/>
      <c r="H1442" s="1268"/>
      <c r="I1442" s="1269"/>
      <c r="J1442" s="1268"/>
      <c r="K1442" s="1268"/>
      <c r="L1442" s="1269"/>
      <c r="M1442" s="1268"/>
      <c r="N1442" s="1268"/>
      <c r="O1442" s="1269"/>
      <c r="P1442" s="1269"/>
      <c r="Q1442" s="1269"/>
      <c r="R1442" s="1269"/>
    </row>
    <row r="1443" ht="12.75" customHeight="1">
      <c r="A1443" s="1268"/>
      <c r="B1443" s="1269"/>
      <c r="C1443" s="1269"/>
      <c r="D1443" s="1269"/>
      <c r="E1443" s="1269"/>
      <c r="F1443" s="1268"/>
      <c r="G1443" s="1268"/>
      <c r="H1443" s="1268"/>
      <c r="I1443" s="1269"/>
      <c r="J1443" s="1268"/>
      <c r="K1443" s="1268"/>
      <c r="L1443" s="1269"/>
      <c r="M1443" s="1268"/>
      <c r="N1443" s="1268"/>
      <c r="O1443" s="1269"/>
      <c r="P1443" s="1269"/>
      <c r="Q1443" s="1269"/>
      <c r="R1443" s="1269"/>
    </row>
    <row r="1444" ht="12.75" customHeight="1">
      <c r="A1444" s="1268"/>
      <c r="B1444" s="1269"/>
      <c r="C1444" s="1269"/>
      <c r="D1444" s="1269"/>
      <c r="E1444" s="1269"/>
      <c r="F1444" s="1268"/>
      <c r="G1444" s="1268"/>
      <c r="H1444" s="1268"/>
      <c r="I1444" s="1269"/>
      <c r="J1444" s="1268"/>
      <c r="K1444" s="1268"/>
      <c r="L1444" s="1269"/>
      <c r="M1444" s="1268"/>
      <c r="N1444" s="1268"/>
      <c r="O1444" s="1269"/>
      <c r="P1444" s="1269"/>
      <c r="Q1444" s="1269"/>
      <c r="R1444" s="1269"/>
    </row>
    <row r="1445" ht="12.75" customHeight="1">
      <c r="A1445" s="1268"/>
      <c r="B1445" s="1269"/>
      <c r="C1445" s="1269"/>
      <c r="D1445" s="1269"/>
      <c r="E1445" s="1269"/>
      <c r="F1445" s="1268"/>
      <c r="G1445" s="1268"/>
      <c r="H1445" s="1268"/>
      <c r="I1445" s="1269"/>
      <c r="J1445" s="1268"/>
      <c r="K1445" s="1268"/>
      <c r="L1445" s="1269"/>
      <c r="M1445" s="1268"/>
      <c r="N1445" s="1268"/>
      <c r="O1445" s="1269"/>
      <c r="P1445" s="1269"/>
      <c r="Q1445" s="1269"/>
      <c r="R1445" s="1269"/>
    </row>
    <row r="1446" ht="12.75" customHeight="1">
      <c r="A1446" s="1268"/>
      <c r="B1446" s="1269"/>
      <c r="C1446" s="1269"/>
      <c r="D1446" s="1269"/>
      <c r="E1446" s="1269"/>
      <c r="F1446" s="1268"/>
      <c r="G1446" s="1268"/>
      <c r="H1446" s="1268"/>
      <c r="I1446" s="1269"/>
      <c r="J1446" s="1268"/>
      <c r="K1446" s="1268"/>
      <c r="L1446" s="1269"/>
      <c r="M1446" s="1268"/>
      <c r="N1446" s="1268"/>
      <c r="O1446" s="1269"/>
      <c r="P1446" s="1269"/>
      <c r="Q1446" s="1269"/>
      <c r="R1446" s="1269"/>
    </row>
    <row r="1447" ht="12.75" customHeight="1">
      <c r="A1447" s="1268"/>
      <c r="B1447" s="1269"/>
      <c r="C1447" s="1269"/>
      <c r="D1447" s="1269"/>
      <c r="E1447" s="1269"/>
      <c r="F1447" s="1268"/>
      <c r="G1447" s="1268"/>
      <c r="H1447" s="1268"/>
      <c r="I1447" s="1269"/>
      <c r="J1447" s="1268"/>
      <c r="K1447" s="1268"/>
      <c r="L1447" s="1269"/>
      <c r="M1447" s="1268"/>
      <c r="N1447" s="1268"/>
      <c r="O1447" s="1269"/>
      <c r="P1447" s="1269"/>
      <c r="Q1447" s="1269"/>
      <c r="R1447" s="1269"/>
    </row>
    <row r="1448" ht="12.75" customHeight="1">
      <c r="A1448" s="1268"/>
      <c r="B1448" s="1269"/>
      <c r="C1448" s="1269"/>
      <c r="D1448" s="1269"/>
      <c r="E1448" s="1269"/>
      <c r="F1448" s="1268"/>
      <c r="G1448" s="1268"/>
      <c r="H1448" s="1268"/>
      <c r="I1448" s="1269"/>
      <c r="J1448" s="1268"/>
      <c r="K1448" s="1268"/>
      <c r="L1448" s="1269"/>
      <c r="M1448" s="1268"/>
      <c r="N1448" s="1268"/>
      <c r="O1448" s="1269"/>
      <c r="P1448" s="1269"/>
      <c r="Q1448" s="1269"/>
      <c r="R1448" s="1269"/>
    </row>
    <row r="1449" ht="12.75" customHeight="1">
      <c r="A1449" s="1268"/>
      <c r="B1449" s="1269"/>
      <c r="C1449" s="1269"/>
      <c r="D1449" s="1269"/>
      <c r="E1449" s="1269"/>
      <c r="F1449" s="1268"/>
      <c r="G1449" s="1268"/>
      <c r="H1449" s="1268"/>
      <c r="I1449" s="1269"/>
      <c r="J1449" s="1268"/>
      <c r="K1449" s="1268"/>
      <c r="L1449" s="1269"/>
      <c r="M1449" s="1268"/>
      <c r="N1449" s="1268"/>
      <c r="O1449" s="1269"/>
      <c r="P1449" s="1269"/>
      <c r="Q1449" s="1269"/>
      <c r="R1449" s="1269"/>
    </row>
    <row r="1450" ht="12.75" customHeight="1">
      <c r="A1450" s="1268"/>
      <c r="B1450" s="1269"/>
      <c r="C1450" s="1269"/>
      <c r="D1450" s="1269"/>
      <c r="E1450" s="1269"/>
      <c r="F1450" s="1268"/>
      <c r="G1450" s="1268"/>
      <c r="H1450" s="1268"/>
      <c r="I1450" s="1269"/>
      <c r="J1450" s="1268"/>
      <c r="K1450" s="1268"/>
      <c r="L1450" s="1269"/>
      <c r="M1450" s="1268"/>
      <c r="N1450" s="1268"/>
      <c r="O1450" s="1269"/>
      <c r="P1450" s="1269"/>
      <c r="Q1450" s="1269"/>
      <c r="R1450" s="1269"/>
    </row>
    <row r="1451" ht="12.75" customHeight="1">
      <c r="A1451" s="1268"/>
      <c r="B1451" s="1269"/>
      <c r="C1451" s="1269"/>
      <c r="D1451" s="1269"/>
      <c r="E1451" s="1269"/>
      <c r="F1451" s="1268"/>
      <c r="G1451" s="1268"/>
      <c r="H1451" s="1268"/>
      <c r="I1451" s="1269"/>
      <c r="J1451" s="1268"/>
      <c r="K1451" s="1268"/>
      <c r="L1451" s="1269"/>
      <c r="M1451" s="1268"/>
      <c r="N1451" s="1268"/>
      <c r="O1451" s="1269"/>
      <c r="P1451" s="1269"/>
      <c r="Q1451" s="1269"/>
      <c r="R1451" s="1269"/>
    </row>
    <row r="1452" ht="12.75" customHeight="1">
      <c r="A1452" s="1268"/>
      <c r="B1452" s="1269"/>
      <c r="C1452" s="1269"/>
      <c r="D1452" s="1269"/>
      <c r="E1452" s="1269"/>
      <c r="F1452" s="1268"/>
      <c r="G1452" s="1268"/>
      <c r="H1452" s="1268"/>
      <c r="I1452" s="1269"/>
      <c r="J1452" s="1268"/>
      <c r="K1452" s="1268"/>
      <c r="L1452" s="1269"/>
      <c r="M1452" s="1268"/>
      <c r="N1452" s="1268"/>
      <c r="O1452" s="1269"/>
      <c r="P1452" s="1269"/>
      <c r="Q1452" s="1269"/>
      <c r="R1452" s="1269"/>
    </row>
    <row r="1453" ht="12.75" customHeight="1">
      <c r="A1453" s="1268"/>
      <c r="B1453" s="1269"/>
      <c r="C1453" s="1269"/>
      <c r="D1453" s="1269"/>
      <c r="E1453" s="1269"/>
      <c r="F1453" s="1268"/>
      <c r="G1453" s="1268"/>
      <c r="H1453" s="1268"/>
      <c r="I1453" s="1269"/>
      <c r="J1453" s="1268"/>
      <c r="K1453" s="1268"/>
      <c r="L1453" s="1269"/>
      <c r="M1453" s="1268"/>
      <c r="N1453" s="1268"/>
      <c r="O1453" s="1269"/>
      <c r="P1453" s="1269"/>
      <c r="Q1453" s="1269"/>
      <c r="R1453" s="1269"/>
    </row>
    <row r="1454" ht="12.75" customHeight="1">
      <c r="A1454" s="1268"/>
      <c r="B1454" s="1269"/>
      <c r="C1454" s="1269"/>
      <c r="D1454" s="1269"/>
      <c r="E1454" s="1269"/>
      <c r="F1454" s="1268"/>
      <c r="G1454" s="1268"/>
      <c r="H1454" s="1268"/>
      <c r="I1454" s="1269"/>
      <c r="J1454" s="1268"/>
      <c r="K1454" s="1268"/>
      <c r="L1454" s="1269"/>
      <c r="M1454" s="1268"/>
      <c r="N1454" s="1268"/>
      <c r="O1454" s="1269"/>
      <c r="P1454" s="1269"/>
      <c r="Q1454" s="1269"/>
      <c r="R1454" s="1269"/>
    </row>
    <row r="1455" ht="12.75" customHeight="1">
      <c r="A1455" s="1268"/>
      <c r="B1455" s="1269"/>
      <c r="C1455" s="1269"/>
      <c r="D1455" s="1269"/>
      <c r="E1455" s="1269"/>
      <c r="F1455" s="1268"/>
      <c r="G1455" s="1268"/>
      <c r="H1455" s="1268"/>
      <c r="I1455" s="1269"/>
      <c r="J1455" s="1268"/>
      <c r="K1455" s="1268"/>
      <c r="L1455" s="1269"/>
      <c r="M1455" s="1268"/>
      <c r="N1455" s="1268"/>
      <c r="O1455" s="1269"/>
      <c r="P1455" s="1269"/>
      <c r="Q1455" s="1269"/>
      <c r="R1455" s="1269"/>
    </row>
    <row r="1456" ht="12.75" customHeight="1">
      <c r="A1456" s="1268"/>
      <c r="B1456" s="1269"/>
      <c r="C1456" s="1269"/>
      <c r="D1456" s="1269"/>
      <c r="E1456" s="1269"/>
      <c r="F1456" s="1268"/>
      <c r="G1456" s="1268"/>
      <c r="H1456" s="1268"/>
      <c r="I1456" s="1269"/>
      <c r="J1456" s="1268"/>
      <c r="K1456" s="1268"/>
      <c r="L1456" s="1269"/>
      <c r="M1456" s="1268"/>
      <c r="N1456" s="1268"/>
      <c r="O1456" s="1269"/>
      <c r="P1456" s="1269"/>
      <c r="Q1456" s="1269"/>
      <c r="R1456" s="1269"/>
    </row>
    <row r="1457" ht="12.75" customHeight="1">
      <c r="A1457" s="1268"/>
      <c r="B1457" s="1269"/>
      <c r="C1457" s="1269"/>
      <c r="D1457" s="1269"/>
      <c r="E1457" s="1269"/>
      <c r="F1457" s="1268"/>
      <c r="G1457" s="1268"/>
      <c r="H1457" s="1268"/>
      <c r="I1457" s="1269"/>
      <c r="J1457" s="1268"/>
      <c r="K1457" s="1268"/>
      <c r="L1457" s="1269"/>
      <c r="M1457" s="1268"/>
      <c r="N1457" s="1268"/>
      <c r="O1457" s="1269"/>
      <c r="P1457" s="1269"/>
      <c r="Q1457" s="1269"/>
      <c r="R1457" s="1269"/>
    </row>
    <row r="1458" ht="12.75" customHeight="1">
      <c r="A1458" s="1268"/>
      <c r="B1458" s="1269"/>
      <c r="C1458" s="1269"/>
      <c r="D1458" s="1269"/>
      <c r="E1458" s="1269"/>
      <c r="F1458" s="1268"/>
      <c r="G1458" s="1268"/>
      <c r="H1458" s="1268"/>
      <c r="I1458" s="1269"/>
      <c r="J1458" s="1268"/>
      <c r="K1458" s="1268"/>
      <c r="L1458" s="1269"/>
      <c r="M1458" s="1268"/>
      <c r="N1458" s="1268"/>
      <c r="O1458" s="1269"/>
      <c r="P1458" s="1269"/>
      <c r="Q1458" s="1269"/>
      <c r="R1458" s="1269"/>
    </row>
    <row r="1459" ht="12.75" customHeight="1">
      <c r="A1459" s="1268"/>
      <c r="B1459" s="1269"/>
      <c r="C1459" s="1269"/>
      <c r="D1459" s="1269"/>
      <c r="E1459" s="1269"/>
      <c r="F1459" s="1268"/>
      <c r="G1459" s="1268"/>
      <c r="H1459" s="1268"/>
      <c r="I1459" s="1269"/>
      <c r="J1459" s="1268"/>
      <c r="K1459" s="1268"/>
      <c r="L1459" s="1269"/>
      <c r="M1459" s="1268"/>
      <c r="N1459" s="1268"/>
      <c r="O1459" s="1269"/>
      <c r="P1459" s="1269"/>
      <c r="Q1459" s="1269"/>
      <c r="R1459" s="1269"/>
    </row>
    <row r="1460" ht="12.75" customHeight="1">
      <c r="A1460" s="1268"/>
      <c r="B1460" s="1269"/>
      <c r="C1460" s="1269"/>
      <c r="D1460" s="1269"/>
      <c r="E1460" s="1269"/>
      <c r="F1460" s="1268"/>
      <c r="G1460" s="1268"/>
      <c r="H1460" s="1268"/>
      <c r="I1460" s="1269"/>
      <c r="J1460" s="1268"/>
      <c r="K1460" s="1268"/>
      <c r="L1460" s="1269"/>
      <c r="M1460" s="1268"/>
      <c r="N1460" s="1268"/>
      <c r="O1460" s="1269"/>
      <c r="P1460" s="1269"/>
      <c r="Q1460" s="1269"/>
      <c r="R1460" s="1269"/>
    </row>
    <row r="1461" ht="12.75" customHeight="1">
      <c r="A1461" s="1268"/>
      <c r="B1461" s="1269"/>
      <c r="C1461" s="1269"/>
      <c r="D1461" s="1269"/>
      <c r="E1461" s="1269"/>
      <c r="F1461" s="1268"/>
      <c r="G1461" s="1268"/>
      <c r="H1461" s="1268"/>
      <c r="I1461" s="1269"/>
      <c r="J1461" s="1268"/>
      <c r="K1461" s="1268"/>
      <c r="L1461" s="1269"/>
      <c r="M1461" s="1268"/>
      <c r="N1461" s="1268"/>
      <c r="O1461" s="1269"/>
      <c r="P1461" s="1269"/>
      <c r="Q1461" s="1269"/>
      <c r="R1461" s="1269"/>
    </row>
    <row r="1462" ht="12.75" customHeight="1">
      <c r="A1462" s="1268"/>
      <c r="B1462" s="1269"/>
      <c r="C1462" s="1269"/>
      <c r="D1462" s="1269"/>
      <c r="E1462" s="1269"/>
      <c r="F1462" s="1268"/>
      <c r="G1462" s="1268"/>
      <c r="H1462" s="1268"/>
      <c r="I1462" s="1269"/>
      <c r="J1462" s="1268"/>
      <c r="K1462" s="1268"/>
      <c r="L1462" s="1269"/>
      <c r="M1462" s="1268"/>
      <c r="N1462" s="1268"/>
      <c r="O1462" s="1269"/>
      <c r="P1462" s="1269"/>
      <c r="Q1462" s="1269"/>
      <c r="R1462" s="1269"/>
    </row>
    <row r="1463" ht="12.75" customHeight="1">
      <c r="A1463" s="1268"/>
      <c r="B1463" s="1269"/>
      <c r="C1463" s="1269"/>
      <c r="D1463" s="1269"/>
      <c r="E1463" s="1269"/>
      <c r="F1463" s="1268"/>
      <c r="G1463" s="1268"/>
      <c r="H1463" s="1268"/>
      <c r="I1463" s="1269"/>
      <c r="J1463" s="1268"/>
      <c r="K1463" s="1268"/>
      <c r="L1463" s="1269"/>
      <c r="M1463" s="1268"/>
      <c r="N1463" s="1268"/>
      <c r="O1463" s="1269"/>
      <c r="P1463" s="1269"/>
      <c r="Q1463" s="1269"/>
      <c r="R1463" s="1269"/>
    </row>
    <row r="1464" ht="12.75" customHeight="1">
      <c r="A1464" s="1268"/>
      <c r="B1464" s="1269"/>
      <c r="C1464" s="1269"/>
      <c r="D1464" s="1269"/>
      <c r="E1464" s="1269"/>
      <c r="F1464" s="1268"/>
      <c r="G1464" s="1268"/>
      <c r="H1464" s="1268"/>
      <c r="I1464" s="1269"/>
      <c r="J1464" s="1268"/>
      <c r="K1464" s="1268"/>
      <c r="L1464" s="1269"/>
      <c r="M1464" s="1268"/>
      <c r="N1464" s="1268"/>
      <c r="O1464" s="1269"/>
      <c r="P1464" s="1269"/>
      <c r="Q1464" s="1269"/>
      <c r="R1464" s="1269"/>
    </row>
    <row r="1465" ht="12.75" customHeight="1">
      <c r="A1465" s="1268"/>
      <c r="B1465" s="1269"/>
      <c r="C1465" s="1269"/>
      <c r="D1465" s="1269"/>
      <c r="E1465" s="1269"/>
      <c r="F1465" s="1268"/>
      <c r="G1465" s="1268"/>
      <c r="H1465" s="1268"/>
      <c r="I1465" s="1269"/>
      <c r="J1465" s="1268"/>
      <c r="K1465" s="1268"/>
      <c r="L1465" s="1269"/>
      <c r="M1465" s="1268"/>
      <c r="N1465" s="1268"/>
      <c r="O1465" s="1269"/>
      <c r="P1465" s="1269"/>
      <c r="Q1465" s="1269"/>
      <c r="R1465" s="1269"/>
    </row>
    <row r="1466" ht="12.75" customHeight="1">
      <c r="A1466" s="1268"/>
      <c r="B1466" s="1269"/>
      <c r="C1466" s="1269"/>
      <c r="D1466" s="1269"/>
      <c r="E1466" s="1269"/>
      <c r="F1466" s="1268"/>
      <c r="G1466" s="1268"/>
      <c r="H1466" s="1268"/>
      <c r="I1466" s="1269"/>
      <c r="J1466" s="1268"/>
      <c r="K1466" s="1268"/>
      <c r="L1466" s="1269"/>
      <c r="M1466" s="1268"/>
      <c r="N1466" s="1268"/>
      <c r="O1466" s="1269"/>
      <c r="P1466" s="1269"/>
      <c r="Q1466" s="1269"/>
      <c r="R1466" s="1269"/>
    </row>
    <row r="1467" ht="12.75" customHeight="1">
      <c r="A1467" s="1268"/>
      <c r="B1467" s="1269"/>
      <c r="C1467" s="1269"/>
      <c r="D1467" s="1269"/>
      <c r="E1467" s="1269"/>
      <c r="F1467" s="1268"/>
      <c r="G1467" s="1268"/>
      <c r="H1467" s="1268"/>
      <c r="I1467" s="1269"/>
      <c r="J1467" s="1268"/>
      <c r="K1467" s="1268"/>
      <c r="L1467" s="1269"/>
      <c r="M1467" s="1268"/>
      <c r="N1467" s="1268"/>
      <c r="O1467" s="1269"/>
      <c r="P1467" s="1269"/>
      <c r="Q1467" s="1269"/>
      <c r="R1467" s="1269"/>
    </row>
    <row r="1468" ht="12.75" customHeight="1">
      <c r="A1468" s="1268"/>
      <c r="B1468" s="1269"/>
      <c r="C1468" s="1269"/>
      <c r="D1468" s="1269"/>
      <c r="E1468" s="1269"/>
      <c r="F1468" s="1268"/>
      <c r="G1468" s="1268"/>
      <c r="H1468" s="1268"/>
      <c r="I1468" s="1269"/>
      <c r="J1468" s="1268"/>
      <c r="K1468" s="1268"/>
      <c r="L1468" s="1269"/>
      <c r="M1468" s="1268"/>
      <c r="N1468" s="1268"/>
      <c r="O1468" s="1269"/>
      <c r="P1468" s="1269"/>
      <c r="Q1468" s="1269"/>
      <c r="R1468" s="1269"/>
    </row>
    <row r="1469" ht="12.75" customHeight="1">
      <c r="A1469" s="1268"/>
      <c r="B1469" s="1269"/>
      <c r="C1469" s="1269"/>
      <c r="D1469" s="1269"/>
      <c r="E1469" s="1269"/>
      <c r="F1469" s="1268"/>
      <c r="G1469" s="1268"/>
      <c r="H1469" s="1268"/>
      <c r="I1469" s="1269"/>
      <c r="J1469" s="1268"/>
      <c r="K1469" s="1268"/>
      <c r="L1469" s="1269"/>
      <c r="M1469" s="1268"/>
      <c r="N1469" s="1268"/>
      <c r="O1469" s="1269"/>
      <c r="P1469" s="1269"/>
      <c r="Q1469" s="1269"/>
      <c r="R1469" s="1269"/>
    </row>
    <row r="1470" ht="12.75" customHeight="1">
      <c r="A1470" s="1268"/>
      <c r="B1470" s="1269"/>
      <c r="C1470" s="1269"/>
      <c r="D1470" s="1269"/>
      <c r="E1470" s="1269"/>
      <c r="F1470" s="1268"/>
      <c r="G1470" s="1268"/>
      <c r="H1470" s="1268"/>
      <c r="I1470" s="1269"/>
      <c r="J1470" s="1268"/>
      <c r="K1470" s="1268"/>
      <c r="L1470" s="1269"/>
      <c r="M1470" s="1268"/>
      <c r="N1470" s="1268"/>
      <c r="O1470" s="1269"/>
      <c r="P1470" s="1269"/>
      <c r="Q1470" s="1269"/>
      <c r="R1470" s="1269"/>
    </row>
    <row r="1471" ht="12.75" customHeight="1">
      <c r="A1471" s="1268"/>
      <c r="B1471" s="1269"/>
      <c r="C1471" s="1269"/>
      <c r="D1471" s="1269"/>
      <c r="E1471" s="1269"/>
      <c r="F1471" s="1268"/>
      <c r="G1471" s="1268"/>
      <c r="H1471" s="1268"/>
      <c r="I1471" s="1269"/>
      <c r="J1471" s="1268"/>
      <c r="K1471" s="1268"/>
      <c r="L1471" s="1269"/>
      <c r="M1471" s="1268"/>
      <c r="N1471" s="1268"/>
      <c r="O1471" s="1269"/>
      <c r="P1471" s="1269"/>
      <c r="Q1471" s="1269"/>
      <c r="R1471" s="1269"/>
    </row>
    <row r="1472" ht="12.75" customHeight="1">
      <c r="A1472" s="1268"/>
      <c r="B1472" s="1269"/>
      <c r="C1472" s="1269"/>
      <c r="D1472" s="1269"/>
      <c r="E1472" s="1269"/>
      <c r="F1472" s="1268"/>
      <c r="G1472" s="1268"/>
      <c r="H1472" s="1268"/>
      <c r="I1472" s="1269"/>
      <c r="J1472" s="1268"/>
      <c r="K1472" s="1268"/>
      <c r="L1472" s="1269"/>
      <c r="M1472" s="1268"/>
      <c r="N1472" s="1268"/>
      <c r="O1472" s="1269"/>
      <c r="P1472" s="1269"/>
      <c r="Q1472" s="1269"/>
      <c r="R1472" s="1269"/>
    </row>
    <row r="1473" ht="12.75" customHeight="1">
      <c r="A1473" s="1268"/>
      <c r="B1473" s="1269"/>
      <c r="C1473" s="1269"/>
      <c r="D1473" s="1269"/>
      <c r="E1473" s="1269"/>
      <c r="F1473" s="1268"/>
      <c r="G1473" s="1268"/>
      <c r="H1473" s="1268"/>
      <c r="I1473" s="1269"/>
      <c r="J1473" s="1268"/>
      <c r="K1473" s="1268"/>
      <c r="L1473" s="1269"/>
      <c r="M1473" s="1268"/>
      <c r="N1473" s="1268"/>
      <c r="O1473" s="1269"/>
      <c r="P1473" s="1269"/>
      <c r="Q1473" s="1269"/>
      <c r="R1473" s="1269"/>
    </row>
    <row r="1474" ht="12.75" customHeight="1">
      <c r="A1474" s="1268"/>
      <c r="B1474" s="1269"/>
      <c r="C1474" s="1269"/>
      <c r="D1474" s="1269"/>
      <c r="E1474" s="1269"/>
      <c r="F1474" s="1268"/>
      <c r="G1474" s="1268"/>
      <c r="H1474" s="1268"/>
      <c r="I1474" s="1269"/>
      <c r="J1474" s="1268"/>
      <c r="K1474" s="1268"/>
      <c r="L1474" s="1269"/>
      <c r="M1474" s="1268"/>
      <c r="N1474" s="1268"/>
      <c r="O1474" s="1269"/>
      <c r="P1474" s="1269"/>
      <c r="Q1474" s="1269"/>
      <c r="R1474" s="1269"/>
    </row>
    <row r="1475" ht="12.75" customHeight="1">
      <c r="A1475" s="1268"/>
      <c r="B1475" s="1269"/>
      <c r="C1475" s="1269"/>
      <c r="D1475" s="1269"/>
      <c r="E1475" s="1269"/>
      <c r="F1475" s="1268"/>
      <c r="G1475" s="1268"/>
      <c r="H1475" s="1268"/>
      <c r="I1475" s="1269"/>
      <c r="J1475" s="1268"/>
      <c r="K1475" s="1268"/>
      <c r="L1475" s="1269"/>
      <c r="M1475" s="1268"/>
      <c r="N1475" s="1268"/>
      <c r="O1475" s="1269"/>
      <c r="P1475" s="1269"/>
      <c r="Q1475" s="1269"/>
      <c r="R1475" s="1269"/>
    </row>
    <row r="1476" ht="12.75" customHeight="1">
      <c r="A1476" s="1268"/>
      <c r="B1476" s="1269"/>
      <c r="C1476" s="1269"/>
      <c r="D1476" s="1269"/>
      <c r="E1476" s="1269"/>
      <c r="F1476" s="1268"/>
      <c r="G1476" s="1268"/>
      <c r="H1476" s="1268"/>
      <c r="I1476" s="1269"/>
      <c r="J1476" s="1268"/>
      <c r="K1476" s="1268"/>
      <c r="L1476" s="1269"/>
      <c r="M1476" s="1268"/>
      <c r="N1476" s="1268"/>
      <c r="O1476" s="1269"/>
      <c r="P1476" s="1269"/>
      <c r="Q1476" s="1269"/>
      <c r="R1476" s="1269"/>
    </row>
    <row r="1477" ht="12.75" customHeight="1">
      <c r="A1477" s="1268"/>
      <c r="B1477" s="1269"/>
      <c r="C1477" s="1269"/>
      <c r="D1477" s="1269"/>
      <c r="E1477" s="1269"/>
      <c r="F1477" s="1268"/>
      <c r="G1477" s="1268"/>
      <c r="H1477" s="1268"/>
      <c r="I1477" s="1269"/>
      <c r="J1477" s="1268"/>
      <c r="K1477" s="1268"/>
      <c r="L1477" s="1269"/>
      <c r="M1477" s="1268"/>
      <c r="N1477" s="1268"/>
      <c r="O1477" s="1269"/>
      <c r="P1477" s="1269"/>
      <c r="Q1477" s="1269"/>
      <c r="R1477" s="1269"/>
    </row>
    <row r="1478" ht="12.75" customHeight="1">
      <c r="A1478" s="1268"/>
      <c r="B1478" s="1269"/>
      <c r="C1478" s="1269"/>
      <c r="D1478" s="1269"/>
      <c r="E1478" s="1269"/>
      <c r="F1478" s="1268"/>
      <c r="G1478" s="1268"/>
      <c r="H1478" s="1268"/>
      <c r="I1478" s="1269"/>
      <c r="J1478" s="1268"/>
      <c r="K1478" s="1268"/>
      <c r="L1478" s="1269"/>
      <c r="M1478" s="1268"/>
      <c r="N1478" s="1268"/>
      <c r="O1478" s="1269"/>
      <c r="P1478" s="1269"/>
      <c r="Q1478" s="1269"/>
      <c r="R1478" s="1269"/>
    </row>
    <row r="1479" ht="12.75" customHeight="1">
      <c r="A1479" s="1268"/>
      <c r="B1479" s="1269"/>
      <c r="C1479" s="1269"/>
      <c r="D1479" s="1269"/>
      <c r="E1479" s="1269"/>
      <c r="F1479" s="1268"/>
      <c r="G1479" s="1268"/>
      <c r="H1479" s="1268"/>
      <c r="I1479" s="1269"/>
      <c r="J1479" s="1268"/>
      <c r="K1479" s="1268"/>
      <c r="L1479" s="1269"/>
      <c r="M1479" s="1268"/>
      <c r="N1479" s="1268"/>
      <c r="O1479" s="1269"/>
      <c r="P1479" s="1269"/>
      <c r="Q1479" s="1269"/>
      <c r="R1479" s="1269"/>
    </row>
    <row r="1480" ht="12.75" customHeight="1">
      <c r="A1480" s="1268"/>
      <c r="B1480" s="1269"/>
      <c r="C1480" s="1269"/>
      <c r="D1480" s="1269"/>
      <c r="E1480" s="1269"/>
      <c r="F1480" s="1268"/>
      <c r="G1480" s="1268"/>
      <c r="H1480" s="1268"/>
      <c r="I1480" s="1269"/>
      <c r="J1480" s="1268"/>
      <c r="K1480" s="1268"/>
      <c r="L1480" s="1269"/>
      <c r="M1480" s="1268"/>
      <c r="N1480" s="1268"/>
      <c r="O1480" s="1269"/>
      <c r="P1480" s="1269"/>
      <c r="Q1480" s="1269"/>
      <c r="R1480" s="1269"/>
    </row>
    <row r="1481" ht="12.75" customHeight="1">
      <c r="A1481" s="1268"/>
      <c r="B1481" s="1269"/>
      <c r="C1481" s="1269"/>
      <c r="D1481" s="1269"/>
      <c r="E1481" s="1269"/>
      <c r="F1481" s="1268"/>
      <c r="G1481" s="1268"/>
      <c r="H1481" s="1268"/>
      <c r="I1481" s="1269"/>
      <c r="J1481" s="1268"/>
      <c r="K1481" s="1268"/>
      <c r="L1481" s="1269"/>
      <c r="M1481" s="1268"/>
      <c r="N1481" s="1268"/>
      <c r="O1481" s="1269"/>
      <c r="P1481" s="1269"/>
      <c r="Q1481" s="1269"/>
      <c r="R1481" s="1269"/>
    </row>
    <row r="1482" ht="12.75" customHeight="1">
      <c r="A1482" s="1268"/>
      <c r="B1482" s="1269"/>
      <c r="C1482" s="1269"/>
      <c r="D1482" s="1269"/>
      <c r="E1482" s="1269"/>
      <c r="F1482" s="1268"/>
      <c r="G1482" s="1268"/>
      <c r="H1482" s="1268"/>
      <c r="I1482" s="1269"/>
      <c r="J1482" s="1268"/>
      <c r="K1482" s="1268"/>
      <c r="L1482" s="1269"/>
      <c r="M1482" s="1268"/>
      <c r="N1482" s="1268"/>
      <c r="O1482" s="1269"/>
      <c r="P1482" s="1269"/>
      <c r="Q1482" s="1269"/>
      <c r="R1482" s="1269"/>
    </row>
    <row r="1483" ht="12.75" customHeight="1">
      <c r="A1483" s="1268"/>
      <c r="B1483" s="1269"/>
      <c r="C1483" s="1269"/>
      <c r="D1483" s="1269"/>
      <c r="E1483" s="1269"/>
      <c r="F1483" s="1268"/>
      <c r="G1483" s="1268"/>
      <c r="H1483" s="1268"/>
      <c r="I1483" s="1269"/>
      <c r="J1483" s="1268"/>
      <c r="K1483" s="1268"/>
      <c r="L1483" s="1269"/>
      <c r="M1483" s="1268"/>
      <c r="N1483" s="1268"/>
      <c r="O1483" s="1269"/>
      <c r="P1483" s="1269"/>
      <c r="Q1483" s="1269"/>
      <c r="R1483" s="1269"/>
    </row>
    <row r="1484" ht="12.75" customHeight="1">
      <c r="A1484" s="1268"/>
      <c r="B1484" s="1269"/>
      <c r="C1484" s="1269"/>
      <c r="D1484" s="1269"/>
      <c r="E1484" s="1269"/>
      <c r="F1484" s="1268"/>
      <c r="G1484" s="1268"/>
      <c r="H1484" s="1268"/>
      <c r="I1484" s="1269"/>
      <c r="J1484" s="1268"/>
      <c r="K1484" s="1268"/>
      <c r="L1484" s="1269"/>
      <c r="M1484" s="1268"/>
      <c r="N1484" s="1268"/>
      <c r="O1484" s="1269"/>
      <c r="P1484" s="1269"/>
      <c r="Q1484" s="1269"/>
      <c r="R1484" s="1269"/>
    </row>
    <row r="1485" ht="12.75" customHeight="1">
      <c r="A1485" s="1268"/>
      <c r="B1485" s="1269"/>
      <c r="C1485" s="1269"/>
      <c r="D1485" s="1269"/>
      <c r="E1485" s="1269"/>
      <c r="F1485" s="1268"/>
      <c r="G1485" s="1268"/>
      <c r="H1485" s="1268"/>
      <c r="I1485" s="1269"/>
      <c r="J1485" s="1268"/>
      <c r="K1485" s="1268"/>
      <c r="L1485" s="1269"/>
      <c r="M1485" s="1268"/>
      <c r="N1485" s="1268"/>
      <c r="O1485" s="1269"/>
      <c r="P1485" s="1269"/>
      <c r="Q1485" s="1269"/>
      <c r="R1485" s="1269"/>
    </row>
    <row r="1486" ht="12.75" customHeight="1">
      <c r="A1486" s="1268"/>
      <c r="B1486" s="1269"/>
      <c r="C1486" s="1269"/>
      <c r="D1486" s="1269"/>
      <c r="E1486" s="1269"/>
      <c r="F1486" s="1268"/>
      <c r="G1486" s="1268"/>
      <c r="H1486" s="1268"/>
      <c r="I1486" s="1269"/>
      <c r="J1486" s="1268"/>
      <c r="K1486" s="1268"/>
      <c r="L1486" s="1269"/>
      <c r="M1486" s="1268"/>
      <c r="N1486" s="1268"/>
      <c r="O1486" s="1269"/>
      <c r="P1486" s="1269"/>
      <c r="Q1486" s="1269"/>
      <c r="R1486" s="1269"/>
    </row>
    <row r="1487" ht="12.75" customHeight="1">
      <c r="A1487" s="1268"/>
      <c r="B1487" s="1269"/>
      <c r="C1487" s="1269"/>
      <c r="D1487" s="1269"/>
      <c r="E1487" s="1269"/>
      <c r="F1487" s="1268"/>
      <c r="G1487" s="1268"/>
      <c r="H1487" s="1268"/>
      <c r="I1487" s="1269"/>
      <c r="J1487" s="1268"/>
      <c r="K1487" s="1268"/>
      <c r="L1487" s="1269"/>
      <c r="M1487" s="1268"/>
      <c r="N1487" s="1268"/>
      <c r="O1487" s="1269"/>
      <c r="P1487" s="1269"/>
      <c r="Q1487" s="1269"/>
      <c r="R1487" s="1269"/>
    </row>
    <row r="1488" ht="12.75" customHeight="1">
      <c r="A1488" s="1268"/>
      <c r="B1488" s="1269"/>
      <c r="C1488" s="1269"/>
      <c r="D1488" s="1269"/>
      <c r="E1488" s="1269"/>
      <c r="F1488" s="1268"/>
      <c r="G1488" s="1268"/>
      <c r="H1488" s="1268"/>
      <c r="I1488" s="1269"/>
      <c r="J1488" s="1268"/>
      <c r="K1488" s="1268"/>
      <c r="L1488" s="1269"/>
      <c r="M1488" s="1268"/>
      <c r="N1488" s="1268"/>
      <c r="O1488" s="1269"/>
      <c r="P1488" s="1269"/>
      <c r="Q1488" s="1269"/>
      <c r="R1488" s="1269"/>
    </row>
    <row r="1489" ht="12.75" customHeight="1">
      <c r="A1489" s="1268"/>
      <c r="B1489" s="1269"/>
      <c r="C1489" s="1269"/>
      <c r="D1489" s="1269"/>
      <c r="E1489" s="1269"/>
      <c r="F1489" s="1268"/>
      <c r="G1489" s="1268"/>
      <c r="H1489" s="1268"/>
      <c r="I1489" s="1269"/>
      <c r="J1489" s="1268"/>
      <c r="K1489" s="1268"/>
      <c r="L1489" s="1269"/>
      <c r="M1489" s="1268"/>
      <c r="N1489" s="1268"/>
      <c r="O1489" s="1269"/>
      <c r="P1489" s="1269"/>
      <c r="Q1489" s="1269"/>
      <c r="R1489" s="1269"/>
    </row>
    <row r="1490" ht="12.75" customHeight="1">
      <c r="A1490" s="1268"/>
      <c r="B1490" s="1269"/>
      <c r="C1490" s="1269"/>
      <c r="D1490" s="1269"/>
      <c r="E1490" s="1269"/>
      <c r="F1490" s="1268"/>
      <c r="G1490" s="1268"/>
      <c r="H1490" s="1268"/>
      <c r="I1490" s="1269"/>
      <c r="J1490" s="1268"/>
      <c r="K1490" s="1268"/>
      <c r="L1490" s="1269"/>
      <c r="M1490" s="1268"/>
      <c r="N1490" s="1268"/>
      <c r="O1490" s="1269"/>
      <c r="P1490" s="1269"/>
      <c r="Q1490" s="1269"/>
      <c r="R1490" s="1269"/>
    </row>
    <row r="1491" ht="12.75" customHeight="1">
      <c r="A1491" s="1268"/>
      <c r="B1491" s="1269"/>
      <c r="C1491" s="1269"/>
      <c r="D1491" s="1269"/>
      <c r="E1491" s="1269"/>
      <c r="F1491" s="1268"/>
      <c r="G1491" s="1268"/>
      <c r="H1491" s="1268"/>
      <c r="I1491" s="1269"/>
      <c r="J1491" s="1268"/>
      <c r="K1491" s="1268"/>
      <c r="L1491" s="1269"/>
      <c r="M1491" s="1268"/>
      <c r="N1491" s="1268"/>
      <c r="O1491" s="1269"/>
      <c r="P1491" s="1269"/>
      <c r="Q1491" s="1269"/>
      <c r="R1491" s="1269"/>
    </row>
    <row r="1492" ht="12.75" customHeight="1">
      <c r="A1492" s="1268"/>
      <c r="B1492" s="1269"/>
      <c r="C1492" s="1269"/>
      <c r="D1492" s="1269"/>
      <c r="E1492" s="1269"/>
      <c r="F1492" s="1268"/>
      <c r="G1492" s="1268"/>
      <c r="H1492" s="1268"/>
      <c r="I1492" s="1269"/>
      <c r="J1492" s="1268"/>
      <c r="K1492" s="1268"/>
      <c r="L1492" s="1269"/>
      <c r="M1492" s="1268"/>
      <c r="N1492" s="1268"/>
      <c r="O1492" s="1269"/>
      <c r="P1492" s="1269"/>
      <c r="Q1492" s="1269"/>
      <c r="R1492" s="1269"/>
    </row>
    <row r="1493" ht="12.75" customHeight="1">
      <c r="A1493" s="1268"/>
      <c r="B1493" s="1269"/>
      <c r="C1493" s="1269"/>
      <c r="D1493" s="1269"/>
      <c r="E1493" s="1269"/>
      <c r="F1493" s="1268"/>
      <c r="G1493" s="1268"/>
      <c r="H1493" s="1268"/>
      <c r="I1493" s="1269"/>
      <c r="J1493" s="1268"/>
      <c r="K1493" s="1268"/>
      <c r="L1493" s="1269"/>
      <c r="M1493" s="1268"/>
      <c r="N1493" s="1268"/>
      <c r="O1493" s="1269"/>
      <c r="P1493" s="1269"/>
      <c r="Q1493" s="1269"/>
      <c r="R1493" s="1269"/>
    </row>
    <row r="1494" ht="12.75" customHeight="1">
      <c r="A1494" s="1268"/>
      <c r="B1494" s="1269"/>
      <c r="C1494" s="1269"/>
      <c r="D1494" s="1269"/>
      <c r="E1494" s="1269"/>
      <c r="F1494" s="1268"/>
      <c r="G1494" s="1268"/>
      <c r="H1494" s="1268"/>
      <c r="I1494" s="1269"/>
      <c r="J1494" s="1268"/>
      <c r="K1494" s="1268"/>
      <c r="L1494" s="1269"/>
      <c r="M1494" s="1268"/>
      <c r="N1494" s="1268"/>
      <c r="O1494" s="1269"/>
      <c r="P1494" s="1269"/>
      <c r="Q1494" s="1269"/>
      <c r="R1494" s="1269"/>
    </row>
    <row r="1495" ht="12.75" customHeight="1">
      <c r="A1495" s="1268"/>
      <c r="B1495" s="1269"/>
      <c r="C1495" s="1269"/>
      <c r="D1495" s="1269"/>
      <c r="E1495" s="1269"/>
      <c r="F1495" s="1268"/>
      <c r="G1495" s="1268"/>
      <c r="H1495" s="1268"/>
      <c r="I1495" s="1269"/>
      <c r="J1495" s="1268"/>
      <c r="K1495" s="1268"/>
      <c r="L1495" s="1269"/>
      <c r="M1495" s="1268"/>
      <c r="N1495" s="1268"/>
      <c r="O1495" s="1269"/>
      <c r="P1495" s="1269"/>
      <c r="Q1495" s="1269"/>
      <c r="R1495" s="1269"/>
    </row>
    <row r="1496" ht="12.75" customHeight="1">
      <c r="A1496" s="1268"/>
      <c r="B1496" s="1269"/>
      <c r="C1496" s="1269"/>
      <c r="D1496" s="1269"/>
      <c r="E1496" s="1269"/>
      <c r="F1496" s="1268"/>
      <c r="G1496" s="1268"/>
      <c r="H1496" s="1268"/>
      <c r="I1496" s="1269"/>
      <c r="J1496" s="1268"/>
      <c r="K1496" s="1268"/>
      <c r="L1496" s="1269"/>
      <c r="M1496" s="1268"/>
      <c r="N1496" s="1268"/>
      <c r="O1496" s="1269"/>
      <c r="P1496" s="1269"/>
      <c r="Q1496" s="1269"/>
      <c r="R1496" s="1269"/>
    </row>
    <row r="1497" ht="12.75" customHeight="1">
      <c r="A1497" s="1268"/>
      <c r="B1497" s="1269"/>
      <c r="C1497" s="1269"/>
      <c r="D1497" s="1269"/>
      <c r="E1497" s="1269"/>
      <c r="F1497" s="1268"/>
      <c r="G1497" s="1268"/>
      <c r="H1497" s="1268"/>
      <c r="I1497" s="1269"/>
      <c r="J1497" s="1268"/>
      <c r="K1497" s="1268"/>
      <c r="L1497" s="1269"/>
      <c r="M1497" s="1268"/>
      <c r="N1497" s="1268"/>
      <c r="O1497" s="1269"/>
      <c r="P1497" s="1269"/>
      <c r="Q1497" s="1269"/>
      <c r="R1497" s="1269"/>
    </row>
    <row r="1498" ht="12.75" customHeight="1">
      <c r="A1498" s="1268"/>
      <c r="B1498" s="1269"/>
      <c r="C1498" s="1269"/>
      <c r="D1498" s="1269"/>
      <c r="E1498" s="1269"/>
      <c r="F1498" s="1268"/>
      <c r="G1498" s="1268"/>
      <c r="H1498" s="1268"/>
      <c r="I1498" s="1269"/>
      <c r="J1498" s="1268"/>
      <c r="K1498" s="1268"/>
      <c r="L1498" s="1269"/>
      <c r="M1498" s="1268"/>
      <c r="N1498" s="1268"/>
      <c r="O1498" s="1269"/>
      <c r="P1498" s="1269"/>
      <c r="Q1498" s="1269"/>
      <c r="R1498" s="1269"/>
    </row>
    <row r="1499" ht="12.75" customHeight="1">
      <c r="A1499" s="1268"/>
      <c r="B1499" s="1269"/>
      <c r="C1499" s="1269"/>
      <c r="D1499" s="1269"/>
      <c r="E1499" s="1269"/>
      <c r="F1499" s="1268"/>
      <c r="G1499" s="1268"/>
      <c r="H1499" s="1268"/>
      <c r="I1499" s="1269"/>
      <c r="J1499" s="1268"/>
      <c r="K1499" s="1268"/>
      <c r="L1499" s="1269"/>
      <c r="M1499" s="1268"/>
      <c r="N1499" s="1268"/>
      <c r="O1499" s="1269"/>
      <c r="P1499" s="1269"/>
      <c r="Q1499" s="1269"/>
      <c r="R1499" s="1269"/>
    </row>
    <row r="1500" ht="12.75" customHeight="1">
      <c r="A1500" s="1268"/>
      <c r="B1500" s="1269"/>
      <c r="C1500" s="1269"/>
      <c r="D1500" s="1269"/>
      <c r="E1500" s="1269"/>
      <c r="F1500" s="1268"/>
      <c r="G1500" s="1268"/>
      <c r="H1500" s="1268"/>
      <c r="I1500" s="1269"/>
      <c r="J1500" s="1268"/>
      <c r="K1500" s="1268"/>
      <c r="L1500" s="1269"/>
      <c r="M1500" s="1268"/>
      <c r="N1500" s="1268"/>
      <c r="O1500" s="1269"/>
      <c r="P1500" s="1269"/>
      <c r="Q1500" s="1269"/>
      <c r="R1500" s="1269"/>
    </row>
    <row r="1501" ht="12.75" customHeight="1">
      <c r="A1501" s="1268"/>
      <c r="B1501" s="1269"/>
      <c r="C1501" s="1269"/>
      <c r="D1501" s="1269"/>
      <c r="E1501" s="1269"/>
      <c r="F1501" s="1268"/>
      <c r="G1501" s="1268"/>
      <c r="H1501" s="1268"/>
      <c r="I1501" s="1269"/>
      <c r="J1501" s="1268"/>
      <c r="K1501" s="1268"/>
      <c r="L1501" s="1269"/>
      <c r="M1501" s="1268"/>
      <c r="N1501" s="1268"/>
      <c r="O1501" s="1269"/>
      <c r="P1501" s="1269"/>
      <c r="Q1501" s="1269"/>
      <c r="R1501" s="1269"/>
    </row>
    <row r="1502" ht="12.75" customHeight="1">
      <c r="A1502" s="1268"/>
      <c r="B1502" s="1269"/>
      <c r="C1502" s="1269"/>
      <c r="D1502" s="1269"/>
      <c r="E1502" s="1269"/>
      <c r="F1502" s="1268"/>
      <c r="G1502" s="1268"/>
      <c r="H1502" s="1268"/>
      <c r="I1502" s="1269"/>
      <c r="J1502" s="1268"/>
      <c r="K1502" s="1268"/>
      <c r="L1502" s="1269"/>
      <c r="M1502" s="1268"/>
      <c r="N1502" s="1268"/>
      <c r="O1502" s="1269"/>
      <c r="P1502" s="1269"/>
      <c r="Q1502" s="1269"/>
      <c r="R1502" s="1269"/>
    </row>
    <row r="1503" ht="12.75" customHeight="1">
      <c r="A1503" s="1268"/>
      <c r="B1503" s="1269"/>
      <c r="C1503" s="1269"/>
      <c r="D1503" s="1269"/>
      <c r="E1503" s="1269"/>
      <c r="F1503" s="1268"/>
      <c r="G1503" s="1268"/>
      <c r="H1503" s="1268"/>
      <c r="I1503" s="1269"/>
      <c r="J1503" s="1268"/>
      <c r="K1503" s="1268"/>
      <c r="L1503" s="1269"/>
      <c r="M1503" s="1268"/>
      <c r="N1503" s="1268"/>
      <c r="O1503" s="1269"/>
      <c r="P1503" s="1269"/>
      <c r="Q1503" s="1269"/>
      <c r="R1503" s="1269"/>
    </row>
    <row r="1504" ht="12.75" customHeight="1">
      <c r="A1504" s="1268"/>
      <c r="B1504" s="1269"/>
      <c r="C1504" s="1269"/>
      <c r="D1504" s="1269"/>
      <c r="E1504" s="1269"/>
      <c r="F1504" s="1268"/>
      <c r="G1504" s="1268"/>
      <c r="H1504" s="1268"/>
      <c r="I1504" s="1269"/>
      <c r="J1504" s="1268"/>
      <c r="K1504" s="1268"/>
      <c r="L1504" s="1269"/>
      <c r="M1504" s="1268"/>
      <c r="N1504" s="1268"/>
      <c r="O1504" s="1269"/>
      <c r="P1504" s="1269"/>
      <c r="Q1504" s="1269"/>
      <c r="R1504" s="1269"/>
    </row>
    <row r="1505" ht="12.75" customHeight="1">
      <c r="A1505" s="1268"/>
      <c r="B1505" s="1269"/>
      <c r="C1505" s="1269"/>
      <c r="D1505" s="1269"/>
      <c r="E1505" s="1269"/>
      <c r="F1505" s="1268"/>
      <c r="G1505" s="1268"/>
      <c r="H1505" s="1268"/>
      <c r="I1505" s="1269"/>
      <c r="J1505" s="1268"/>
      <c r="K1505" s="1268"/>
      <c r="L1505" s="1269"/>
      <c r="M1505" s="1268"/>
      <c r="N1505" s="1268"/>
      <c r="O1505" s="1269"/>
      <c r="P1505" s="1269"/>
      <c r="Q1505" s="1269"/>
      <c r="R1505" s="1269"/>
    </row>
    <row r="1506" ht="12.75" customHeight="1">
      <c r="A1506" s="1268"/>
      <c r="B1506" s="1269"/>
      <c r="C1506" s="1269"/>
      <c r="D1506" s="1269"/>
      <c r="E1506" s="1269"/>
      <c r="F1506" s="1268"/>
      <c r="G1506" s="1268"/>
      <c r="H1506" s="1268"/>
      <c r="I1506" s="1269"/>
      <c r="J1506" s="1268"/>
      <c r="K1506" s="1268"/>
      <c r="L1506" s="1269"/>
      <c r="M1506" s="1268"/>
      <c r="N1506" s="1268"/>
      <c r="O1506" s="1269"/>
      <c r="P1506" s="1269"/>
      <c r="Q1506" s="1269"/>
      <c r="R1506" s="1269"/>
    </row>
    <row r="1507" ht="12.75" customHeight="1">
      <c r="A1507" s="1268"/>
      <c r="B1507" s="1269"/>
      <c r="C1507" s="1269"/>
      <c r="D1507" s="1269"/>
      <c r="E1507" s="1269"/>
      <c r="F1507" s="1268"/>
      <c r="G1507" s="1268"/>
      <c r="H1507" s="1268"/>
      <c r="I1507" s="1269"/>
      <c r="J1507" s="1268"/>
      <c r="K1507" s="1268"/>
      <c r="L1507" s="1269"/>
      <c r="M1507" s="1268"/>
      <c r="N1507" s="1268"/>
      <c r="O1507" s="1269"/>
      <c r="P1507" s="1269"/>
      <c r="Q1507" s="1269"/>
      <c r="R1507" s="1269"/>
    </row>
    <row r="1508" ht="12.75" customHeight="1">
      <c r="A1508" s="1268"/>
      <c r="B1508" s="1269"/>
      <c r="C1508" s="1269"/>
      <c r="D1508" s="1269"/>
      <c r="E1508" s="1269"/>
      <c r="F1508" s="1268"/>
      <c r="G1508" s="1268"/>
      <c r="H1508" s="1268"/>
      <c r="I1508" s="1269"/>
      <c r="J1508" s="1268"/>
      <c r="K1508" s="1268"/>
      <c r="L1508" s="1269"/>
      <c r="M1508" s="1268"/>
      <c r="N1508" s="1268"/>
      <c r="O1508" s="1269"/>
      <c r="P1508" s="1269"/>
      <c r="Q1508" s="1269"/>
      <c r="R1508" s="1269"/>
    </row>
    <row r="1509" ht="12.75" customHeight="1">
      <c r="A1509" s="1268"/>
      <c r="B1509" s="1269"/>
      <c r="C1509" s="1269"/>
      <c r="D1509" s="1269"/>
      <c r="E1509" s="1269"/>
      <c r="F1509" s="1268"/>
      <c r="G1509" s="1268"/>
      <c r="H1509" s="1268"/>
      <c r="I1509" s="1269"/>
      <c r="J1509" s="1268"/>
      <c r="K1509" s="1268"/>
      <c r="L1509" s="1269"/>
      <c r="M1509" s="1268"/>
      <c r="N1509" s="1268"/>
      <c r="O1509" s="1269"/>
      <c r="P1509" s="1269"/>
      <c r="Q1509" s="1269"/>
      <c r="R1509" s="1269"/>
    </row>
    <row r="1510" ht="12.75" customHeight="1">
      <c r="A1510" s="1268"/>
      <c r="B1510" s="1269"/>
      <c r="C1510" s="1269"/>
      <c r="D1510" s="1269"/>
      <c r="E1510" s="1269"/>
      <c r="F1510" s="1268"/>
      <c r="G1510" s="1268"/>
      <c r="H1510" s="1268"/>
      <c r="I1510" s="1269"/>
      <c r="J1510" s="1268"/>
      <c r="K1510" s="1268"/>
      <c r="L1510" s="1269"/>
      <c r="M1510" s="1268"/>
      <c r="N1510" s="1268"/>
      <c r="O1510" s="1269"/>
      <c r="P1510" s="1269"/>
      <c r="Q1510" s="1269"/>
      <c r="R1510" s="1269"/>
    </row>
    <row r="1511" ht="12.75" customHeight="1">
      <c r="A1511" s="1268"/>
      <c r="B1511" s="1269"/>
      <c r="C1511" s="1269"/>
      <c r="D1511" s="1269"/>
      <c r="E1511" s="1269"/>
      <c r="F1511" s="1268"/>
      <c r="G1511" s="1268"/>
      <c r="H1511" s="1268"/>
      <c r="I1511" s="1269"/>
      <c r="J1511" s="1268"/>
      <c r="K1511" s="1268"/>
      <c r="L1511" s="1269"/>
      <c r="M1511" s="1268"/>
      <c r="N1511" s="1268"/>
      <c r="O1511" s="1269"/>
      <c r="P1511" s="1269"/>
      <c r="Q1511" s="1269"/>
      <c r="R1511" s="1269"/>
    </row>
    <row r="1512" ht="12.75" customHeight="1">
      <c r="A1512" s="1268"/>
      <c r="B1512" s="1269"/>
      <c r="C1512" s="1269"/>
      <c r="D1512" s="1269"/>
      <c r="E1512" s="1269"/>
      <c r="F1512" s="1268"/>
      <c r="G1512" s="1268"/>
      <c r="H1512" s="1268"/>
      <c r="I1512" s="1269"/>
      <c r="J1512" s="1268"/>
      <c r="K1512" s="1268"/>
      <c r="L1512" s="1269"/>
      <c r="M1512" s="1268"/>
      <c r="N1512" s="1268"/>
      <c r="O1512" s="1269"/>
      <c r="P1512" s="1269"/>
      <c r="Q1512" s="1269"/>
      <c r="R1512" s="1269"/>
    </row>
    <row r="1513" ht="12.75" customHeight="1">
      <c r="A1513" s="1268"/>
      <c r="B1513" s="1269"/>
      <c r="C1513" s="1269"/>
      <c r="D1513" s="1269"/>
      <c r="E1513" s="1269"/>
      <c r="F1513" s="1268"/>
      <c r="G1513" s="1268"/>
      <c r="H1513" s="1268"/>
      <c r="I1513" s="1269"/>
      <c r="J1513" s="1268"/>
      <c r="K1513" s="1268"/>
      <c r="L1513" s="1269"/>
      <c r="M1513" s="1268"/>
      <c r="N1513" s="1268"/>
      <c r="O1513" s="1269"/>
      <c r="P1513" s="1269"/>
      <c r="Q1513" s="1269"/>
      <c r="R1513" s="1269"/>
    </row>
    <row r="1514" ht="12.75" customHeight="1">
      <c r="A1514" s="1268"/>
      <c r="B1514" s="1269"/>
      <c r="C1514" s="1269"/>
      <c r="D1514" s="1269"/>
      <c r="E1514" s="1269"/>
      <c r="F1514" s="1268"/>
      <c r="G1514" s="1268"/>
      <c r="H1514" s="1268"/>
      <c r="I1514" s="1269"/>
      <c r="J1514" s="1268"/>
      <c r="K1514" s="1268"/>
      <c r="L1514" s="1269"/>
      <c r="M1514" s="1268"/>
      <c r="N1514" s="1268"/>
      <c r="O1514" s="1269"/>
      <c r="P1514" s="1269"/>
      <c r="Q1514" s="1269"/>
      <c r="R1514" s="1269"/>
    </row>
    <row r="1515" ht="12.75" customHeight="1">
      <c r="A1515" s="1268"/>
      <c r="B1515" s="1269"/>
      <c r="C1515" s="1269"/>
      <c r="D1515" s="1269"/>
      <c r="E1515" s="1269"/>
      <c r="F1515" s="1268"/>
      <c r="G1515" s="1268"/>
      <c r="H1515" s="1268"/>
      <c r="I1515" s="1269"/>
      <c r="J1515" s="1268"/>
      <c r="K1515" s="1268"/>
      <c r="L1515" s="1269"/>
      <c r="M1515" s="1268"/>
      <c r="N1515" s="1268"/>
      <c r="O1515" s="1269"/>
      <c r="P1515" s="1269"/>
      <c r="Q1515" s="1269"/>
      <c r="R1515" s="1269"/>
    </row>
    <row r="1516" ht="12.75" customHeight="1">
      <c r="A1516" s="1268"/>
      <c r="B1516" s="1269"/>
      <c r="C1516" s="1269"/>
      <c r="D1516" s="1269"/>
      <c r="E1516" s="1269"/>
      <c r="F1516" s="1268"/>
      <c r="G1516" s="1268"/>
      <c r="H1516" s="1268"/>
      <c r="I1516" s="1269"/>
      <c r="J1516" s="1268"/>
      <c r="K1516" s="1268"/>
      <c r="L1516" s="1269"/>
      <c r="M1516" s="1268"/>
      <c r="N1516" s="1268"/>
      <c r="O1516" s="1269"/>
      <c r="P1516" s="1269"/>
      <c r="Q1516" s="1269"/>
      <c r="R1516" s="1269"/>
    </row>
    <row r="1517" ht="12.75" customHeight="1">
      <c r="A1517" s="1268"/>
      <c r="B1517" s="1269"/>
      <c r="C1517" s="1269"/>
      <c r="D1517" s="1269"/>
      <c r="E1517" s="1269"/>
      <c r="F1517" s="1268"/>
      <c r="G1517" s="1268"/>
      <c r="H1517" s="1268"/>
      <c r="I1517" s="1269"/>
      <c r="J1517" s="1268"/>
      <c r="K1517" s="1268"/>
      <c r="L1517" s="1269"/>
      <c r="M1517" s="1268"/>
      <c r="N1517" s="1268"/>
      <c r="O1517" s="1269"/>
      <c r="P1517" s="1269"/>
      <c r="Q1517" s="1269"/>
      <c r="R1517" s="1269"/>
    </row>
    <row r="1518" ht="12.75" customHeight="1">
      <c r="A1518" s="1268"/>
      <c r="B1518" s="1269"/>
      <c r="C1518" s="1269"/>
      <c r="D1518" s="1269"/>
      <c r="E1518" s="1269"/>
      <c r="F1518" s="1268"/>
      <c r="G1518" s="1268"/>
      <c r="H1518" s="1268"/>
      <c r="I1518" s="1269"/>
      <c r="J1518" s="1268"/>
      <c r="K1518" s="1268"/>
      <c r="L1518" s="1269"/>
      <c r="M1518" s="1268"/>
      <c r="N1518" s="1268"/>
      <c r="O1518" s="1269"/>
      <c r="P1518" s="1269"/>
      <c r="Q1518" s="1269"/>
      <c r="R1518" s="1269"/>
    </row>
    <row r="1519" ht="12.75" customHeight="1">
      <c r="A1519" s="1268"/>
      <c r="B1519" s="1269"/>
      <c r="C1519" s="1269"/>
      <c r="D1519" s="1269"/>
      <c r="E1519" s="1269"/>
      <c r="F1519" s="1268"/>
      <c r="G1519" s="1268"/>
      <c r="H1519" s="1268"/>
      <c r="I1519" s="1269"/>
      <c r="J1519" s="1268"/>
      <c r="K1519" s="1268"/>
      <c r="L1519" s="1269"/>
      <c r="M1519" s="1268"/>
      <c r="N1519" s="1268"/>
      <c r="O1519" s="1269"/>
      <c r="P1519" s="1269"/>
      <c r="Q1519" s="1269"/>
      <c r="R1519" s="1269"/>
    </row>
    <row r="1520" ht="12.75" customHeight="1">
      <c r="A1520" s="1268"/>
      <c r="B1520" s="1269"/>
      <c r="C1520" s="1269"/>
      <c r="D1520" s="1269"/>
      <c r="E1520" s="1269"/>
      <c r="F1520" s="1268"/>
      <c r="G1520" s="1268"/>
      <c r="H1520" s="1268"/>
      <c r="I1520" s="1269"/>
      <c r="J1520" s="1268"/>
      <c r="K1520" s="1268"/>
      <c r="L1520" s="1269"/>
      <c r="M1520" s="1268"/>
      <c r="N1520" s="1268"/>
      <c r="O1520" s="1269"/>
      <c r="P1520" s="1269"/>
      <c r="Q1520" s="1269"/>
      <c r="R1520" s="1269"/>
    </row>
    <row r="1521" ht="12.75" customHeight="1">
      <c r="A1521" s="1268"/>
      <c r="B1521" s="1269"/>
      <c r="C1521" s="1269"/>
      <c r="D1521" s="1269"/>
      <c r="E1521" s="1269"/>
      <c r="F1521" s="1268"/>
      <c r="G1521" s="1268"/>
      <c r="H1521" s="1268"/>
      <c r="I1521" s="1269"/>
      <c r="J1521" s="1268"/>
      <c r="K1521" s="1268"/>
      <c r="L1521" s="1269"/>
      <c r="M1521" s="1268"/>
      <c r="N1521" s="1268"/>
      <c r="O1521" s="1269"/>
      <c r="P1521" s="1269"/>
      <c r="Q1521" s="1269"/>
      <c r="R1521" s="1269"/>
    </row>
    <row r="1522" ht="12.75" customHeight="1">
      <c r="A1522" s="1268"/>
      <c r="B1522" s="1269"/>
      <c r="C1522" s="1269"/>
      <c r="D1522" s="1269"/>
      <c r="E1522" s="1269"/>
      <c r="F1522" s="1268"/>
      <c r="G1522" s="1268"/>
      <c r="H1522" s="1268"/>
      <c r="I1522" s="1269"/>
      <c r="J1522" s="1268"/>
      <c r="K1522" s="1268"/>
      <c r="L1522" s="1269"/>
      <c r="M1522" s="1268"/>
      <c r="N1522" s="1268"/>
      <c r="O1522" s="1269"/>
      <c r="P1522" s="1269"/>
      <c r="Q1522" s="1269"/>
      <c r="R1522" s="1269"/>
    </row>
    <row r="1523" ht="12.75" customHeight="1">
      <c r="A1523" s="1268"/>
      <c r="B1523" s="1269"/>
      <c r="C1523" s="1269"/>
      <c r="D1523" s="1269"/>
      <c r="E1523" s="1269"/>
      <c r="F1523" s="1268"/>
      <c r="G1523" s="1268"/>
      <c r="H1523" s="1268"/>
      <c r="I1523" s="1269"/>
      <c r="J1523" s="1268"/>
      <c r="K1523" s="1268"/>
      <c r="L1523" s="1269"/>
      <c r="M1523" s="1268"/>
      <c r="N1523" s="1268"/>
      <c r="O1523" s="1269"/>
      <c r="P1523" s="1269"/>
      <c r="Q1523" s="1269"/>
      <c r="R1523" s="1269"/>
    </row>
    <row r="1524" ht="12.75" customHeight="1">
      <c r="A1524" s="1268"/>
      <c r="B1524" s="1269"/>
      <c r="C1524" s="1269"/>
      <c r="D1524" s="1269"/>
      <c r="E1524" s="1269"/>
      <c r="F1524" s="1268"/>
      <c r="G1524" s="1268"/>
      <c r="H1524" s="1268"/>
      <c r="I1524" s="1269"/>
      <c r="J1524" s="1268"/>
      <c r="K1524" s="1268"/>
      <c r="L1524" s="1269"/>
      <c r="M1524" s="1268"/>
      <c r="N1524" s="1268"/>
      <c r="O1524" s="1269"/>
      <c r="P1524" s="1269"/>
      <c r="Q1524" s="1269"/>
      <c r="R1524" s="1269"/>
    </row>
    <row r="1525" ht="12.75" customHeight="1">
      <c r="A1525" s="1268"/>
      <c r="B1525" s="1269"/>
      <c r="C1525" s="1269"/>
      <c r="D1525" s="1269"/>
      <c r="E1525" s="1269"/>
      <c r="F1525" s="1268"/>
      <c r="G1525" s="1268"/>
      <c r="H1525" s="1268"/>
      <c r="I1525" s="1269"/>
      <c r="J1525" s="1268"/>
      <c r="K1525" s="1268"/>
      <c r="L1525" s="1269"/>
      <c r="M1525" s="1268"/>
      <c r="N1525" s="1268"/>
      <c r="O1525" s="1269"/>
      <c r="P1525" s="1269"/>
      <c r="Q1525" s="1269"/>
      <c r="R1525" s="1269"/>
    </row>
    <row r="1526" ht="12.75" customHeight="1">
      <c r="A1526" s="1268"/>
      <c r="B1526" s="1269"/>
      <c r="C1526" s="1269"/>
      <c r="D1526" s="1269"/>
      <c r="E1526" s="1269"/>
      <c r="F1526" s="1268"/>
      <c r="G1526" s="1268"/>
      <c r="H1526" s="1268"/>
      <c r="I1526" s="1269"/>
      <c r="J1526" s="1268"/>
      <c r="K1526" s="1268"/>
      <c r="L1526" s="1269"/>
      <c r="M1526" s="1268"/>
      <c r="N1526" s="1268"/>
      <c r="O1526" s="1269"/>
      <c r="P1526" s="1269"/>
      <c r="Q1526" s="1269"/>
      <c r="R1526" s="1269"/>
    </row>
    <row r="1527" ht="12.75" customHeight="1">
      <c r="A1527" s="1268"/>
      <c r="B1527" s="1269"/>
      <c r="C1527" s="1269"/>
      <c r="D1527" s="1269"/>
      <c r="E1527" s="1269"/>
      <c r="F1527" s="1268"/>
      <c r="G1527" s="1268"/>
      <c r="H1527" s="1268"/>
      <c r="I1527" s="1269"/>
      <c r="J1527" s="1268"/>
      <c r="K1527" s="1268"/>
      <c r="L1527" s="1269"/>
      <c r="M1527" s="1268"/>
      <c r="N1527" s="1268"/>
      <c r="O1527" s="1269"/>
      <c r="P1527" s="1269"/>
      <c r="Q1527" s="1269"/>
      <c r="R1527" s="1269"/>
    </row>
    <row r="1528" ht="12.75" customHeight="1">
      <c r="A1528" s="1268"/>
      <c r="B1528" s="1269"/>
      <c r="C1528" s="1269"/>
      <c r="D1528" s="1269"/>
      <c r="E1528" s="1269"/>
      <c r="F1528" s="1268"/>
      <c r="G1528" s="1268"/>
      <c r="H1528" s="1268"/>
      <c r="I1528" s="1269"/>
      <c r="J1528" s="1268"/>
      <c r="K1528" s="1268"/>
      <c r="L1528" s="1269"/>
      <c r="M1528" s="1268"/>
      <c r="N1528" s="1268"/>
      <c r="O1528" s="1269"/>
      <c r="P1528" s="1269"/>
      <c r="Q1528" s="1269"/>
      <c r="R1528" s="1269"/>
    </row>
    <row r="1529" ht="12.75" customHeight="1">
      <c r="A1529" s="1268"/>
      <c r="B1529" s="1269"/>
      <c r="C1529" s="1269"/>
      <c r="D1529" s="1269"/>
      <c r="E1529" s="1269"/>
      <c r="F1529" s="1268"/>
      <c r="G1529" s="1268"/>
      <c r="H1529" s="1268"/>
      <c r="I1529" s="1269"/>
      <c r="J1529" s="1268"/>
      <c r="K1529" s="1268"/>
      <c r="L1529" s="1269"/>
      <c r="M1529" s="1268"/>
      <c r="N1529" s="1268"/>
      <c r="O1529" s="1269"/>
      <c r="P1529" s="1269"/>
      <c r="Q1529" s="1269"/>
      <c r="R1529" s="1269"/>
    </row>
    <row r="1530" ht="12.75" customHeight="1">
      <c r="A1530" s="1268"/>
      <c r="B1530" s="1269"/>
      <c r="C1530" s="1269"/>
      <c r="D1530" s="1269"/>
      <c r="E1530" s="1269"/>
      <c r="F1530" s="1268"/>
      <c r="G1530" s="1268"/>
      <c r="H1530" s="1268"/>
      <c r="I1530" s="1269"/>
      <c r="J1530" s="1268"/>
      <c r="K1530" s="1268"/>
      <c r="L1530" s="1269"/>
      <c r="M1530" s="1268"/>
      <c r="N1530" s="1268"/>
      <c r="O1530" s="1269"/>
      <c r="P1530" s="1269"/>
      <c r="Q1530" s="1269"/>
      <c r="R1530" s="1269"/>
    </row>
  </sheetData>
  <mergeCells count="1">
    <mergeCell ref="A530:C530"/>
  </mergeCells>
  <conditionalFormatting sqref="R2:R4">
    <cfRule type="expression" dxfId="4" priority="1">
      <formula>$K2="Hư hỏng"</formula>
    </cfRule>
  </conditionalFormatting>
  <conditionalFormatting sqref="B700:E700 G700:H700 J700:P700">
    <cfRule type="notContainsBlanks" dxfId="5" priority="2">
      <formula>LEN(TRIM(B700))&gt;0</formula>
    </cfRule>
  </conditionalFormatting>
  <conditionalFormatting sqref="G596">
    <cfRule type="notContainsBlanks" dxfId="5" priority="3">
      <formula>LEN(TRIM(G596))&gt;0</formula>
    </cfRule>
  </conditionalFormatting>
  <hyperlinks>
    <hyperlink r:id="rId1" ref="R4"/>
  </hyperlinks>
  <printOptions/>
  <pageMargins bottom="0.75" footer="0.0" header="0.0" left="0.7" right="0.7" top="0.75"/>
  <pageSetup paperSize="9" orientation="portrait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0" outlineLevelRow="1"/>
  <cols>
    <col customWidth="1" min="1" max="1" width="7.0"/>
    <col customWidth="1" min="2" max="2" width="20.63"/>
    <col customWidth="1" min="3" max="3" width="14.75"/>
    <col customWidth="1" min="4" max="5" width="18.5"/>
    <col customWidth="1" min="6" max="6" width="14.5"/>
    <col customWidth="1" min="7" max="7" width="18.75"/>
    <col customWidth="1" min="8" max="8" width="12.0"/>
    <col customWidth="1" min="9" max="9" width="12.63"/>
    <col customWidth="1" min="10" max="10" width="10.63"/>
    <col customWidth="1" min="11" max="11" width="10.13"/>
    <col customWidth="1" min="12" max="12" width="9.13"/>
    <col customWidth="1" min="13" max="13" width="15.88"/>
    <col customWidth="1" min="14" max="15" width="13.25"/>
    <col customWidth="1" min="16" max="16" width="14.0"/>
    <col customWidth="1" min="17" max="25" width="29.63"/>
  </cols>
  <sheetData>
    <row r="1" ht="28.5" customHeight="1">
      <c r="A1" s="1091" t="s">
        <v>7229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092"/>
      <c r="R1" s="1093"/>
      <c r="S1" s="1093"/>
      <c r="T1" s="1093"/>
      <c r="U1" s="1093"/>
      <c r="V1" s="1093"/>
      <c r="W1" s="1093"/>
      <c r="X1" s="1093"/>
      <c r="Y1" s="1093"/>
    </row>
    <row r="2" ht="33.0" customHeight="1">
      <c r="A2" s="790" t="s">
        <v>5</v>
      </c>
      <c r="B2" s="790" t="s">
        <v>7231</v>
      </c>
      <c r="C2" s="793" t="s">
        <v>7232</v>
      </c>
      <c r="D2" s="791" t="s">
        <v>6082</v>
      </c>
      <c r="E2" s="790" t="s">
        <v>7234</v>
      </c>
      <c r="F2" s="791" t="s">
        <v>7235</v>
      </c>
      <c r="G2" s="790" t="s">
        <v>7236</v>
      </c>
      <c r="H2" s="790" t="s">
        <v>25</v>
      </c>
      <c r="I2" s="791" t="s">
        <v>21</v>
      </c>
      <c r="J2" s="790" t="s">
        <v>23</v>
      </c>
      <c r="K2" s="790" t="s">
        <v>22</v>
      </c>
      <c r="L2" s="790" t="s">
        <v>26</v>
      </c>
      <c r="M2" s="793" t="s">
        <v>7237</v>
      </c>
      <c r="N2" s="793" t="s">
        <v>7238</v>
      </c>
      <c r="O2" s="790" t="s">
        <v>7239</v>
      </c>
      <c r="P2" s="1094" t="s">
        <v>43</v>
      </c>
      <c r="Q2" s="1094" t="s">
        <v>7240</v>
      </c>
      <c r="R2" s="1095"/>
      <c r="S2" s="1095"/>
      <c r="T2" s="1095"/>
      <c r="U2" s="1095"/>
      <c r="V2" s="1095"/>
      <c r="W2" s="1095"/>
      <c r="X2" s="1095"/>
      <c r="Y2" s="1095"/>
    </row>
    <row r="3" ht="22.5" customHeight="1">
      <c r="A3" s="1096" t="s">
        <v>3228</v>
      </c>
      <c r="B3" s="1096" t="s">
        <v>7241</v>
      </c>
      <c r="C3" s="1097">
        <f>$C$4+$C$10+$C$16+$C$29+$C$25</f>
        <v>30</v>
      </c>
      <c r="D3" s="1098"/>
      <c r="E3" s="1098"/>
      <c r="F3" s="1098"/>
      <c r="G3" s="1098"/>
      <c r="H3" s="1098"/>
      <c r="I3" s="1098"/>
      <c r="J3" s="1098"/>
      <c r="K3" s="1098"/>
      <c r="L3" s="1098"/>
      <c r="M3" s="1098"/>
      <c r="N3" s="1098"/>
      <c r="O3" s="1098"/>
      <c r="P3" s="1099"/>
      <c r="Q3" s="1099"/>
      <c r="R3" s="1100"/>
      <c r="S3" s="1100"/>
      <c r="T3" s="1100"/>
      <c r="U3" s="1100"/>
      <c r="V3" s="1100"/>
      <c r="W3" s="1100"/>
      <c r="X3" s="1100"/>
      <c r="Y3" s="1100"/>
    </row>
    <row r="4" ht="17.25" customHeight="1">
      <c r="A4" s="437">
        <v>1.0</v>
      </c>
      <c r="B4" s="437" t="s">
        <v>6091</v>
      </c>
      <c r="C4" s="1040">
        <f>COUNTA($B$5:$B$9)</f>
        <v>4</v>
      </c>
      <c r="D4" s="1101"/>
      <c r="E4" s="1101"/>
      <c r="F4" s="1101"/>
      <c r="G4" s="1101"/>
      <c r="H4" s="1101"/>
      <c r="I4" s="1101"/>
      <c r="J4" s="1101"/>
      <c r="K4" s="1101"/>
      <c r="L4" s="1101"/>
      <c r="M4" s="1101"/>
      <c r="N4" s="1101"/>
      <c r="O4" s="1101"/>
      <c r="P4" s="1102"/>
      <c r="Q4" s="1102"/>
      <c r="R4" s="1103"/>
      <c r="S4" s="1103"/>
      <c r="T4" s="1103"/>
      <c r="U4" s="1103"/>
      <c r="V4" s="1103"/>
      <c r="W4" s="1103"/>
      <c r="X4" s="1103"/>
      <c r="Y4" s="1103"/>
    </row>
    <row r="5" ht="12.75" customHeight="1">
      <c r="A5" s="1104">
        <v>1.0</v>
      </c>
      <c r="B5" s="1105" t="s">
        <v>7249</v>
      </c>
      <c r="C5" s="1081" t="s">
        <v>7250</v>
      </c>
      <c r="D5" s="1104"/>
      <c r="E5" s="1104" t="s">
        <v>7252</v>
      </c>
      <c r="F5" s="1081" t="s">
        <v>7253</v>
      </c>
      <c r="G5" s="806" t="s">
        <v>6091</v>
      </c>
      <c r="H5" s="1106" t="s">
        <v>7254</v>
      </c>
      <c r="I5" s="1106" t="s">
        <v>7255</v>
      </c>
      <c r="J5" s="1107"/>
      <c r="K5" s="1107"/>
      <c r="L5" s="1104" t="s">
        <v>7257</v>
      </c>
      <c r="M5" s="1104">
        <v>7.5</v>
      </c>
      <c r="N5" s="1107"/>
      <c r="O5" s="1107"/>
      <c r="P5" s="1108"/>
      <c r="Q5" s="1108" t="s">
        <v>7258</v>
      </c>
      <c r="R5" s="1109"/>
      <c r="S5" s="1109"/>
      <c r="T5" s="1109"/>
      <c r="U5" s="1109"/>
      <c r="V5" s="1109"/>
      <c r="W5" s="1109"/>
      <c r="X5" s="1109"/>
      <c r="Y5" s="1109"/>
    </row>
    <row r="6" ht="12.75" customHeight="1">
      <c r="A6" s="1104">
        <f>1+A5</f>
        <v>2</v>
      </c>
      <c r="B6" s="1105" t="s">
        <v>7261</v>
      </c>
      <c r="C6" s="806"/>
      <c r="D6" s="1104"/>
      <c r="E6" s="1104" t="s">
        <v>7262</v>
      </c>
      <c r="F6" s="1084"/>
      <c r="G6" s="806" t="s">
        <v>6091</v>
      </c>
      <c r="H6" s="1110" t="s">
        <v>7263</v>
      </c>
      <c r="I6" s="1110" t="s">
        <v>7265</v>
      </c>
      <c r="J6" s="1104">
        <v>2023.0</v>
      </c>
      <c r="K6" s="1104" t="s">
        <v>740</v>
      </c>
      <c r="L6" s="1104" t="s">
        <v>7266</v>
      </c>
      <c r="M6" s="1111">
        <v>4.0</v>
      </c>
      <c r="N6" s="1112">
        <v>45150.0</v>
      </c>
      <c r="O6" s="1104" t="s">
        <v>890</v>
      </c>
      <c r="P6" s="1113"/>
      <c r="Q6" s="1113" t="s">
        <v>7268</v>
      </c>
      <c r="R6" s="1114"/>
      <c r="S6" s="1114"/>
      <c r="T6" s="1114"/>
      <c r="U6" s="1114"/>
      <c r="V6" s="1114"/>
      <c r="W6" s="1114"/>
      <c r="X6" s="1114"/>
      <c r="Y6" s="1114"/>
    </row>
    <row r="7" ht="12.75" customHeight="1">
      <c r="A7" s="1104">
        <f>A58+1</f>
        <v>2</v>
      </c>
      <c r="B7" s="1105" t="s">
        <v>7270</v>
      </c>
      <c r="C7" s="806" t="s">
        <v>7271</v>
      </c>
      <c r="D7" s="1104"/>
      <c r="E7" s="1104" t="s">
        <v>7272</v>
      </c>
      <c r="F7" s="1084"/>
      <c r="G7" s="806" t="s">
        <v>6091</v>
      </c>
      <c r="H7" s="1115" t="s">
        <v>7274</v>
      </c>
      <c r="I7" s="1106" t="s">
        <v>7275</v>
      </c>
      <c r="J7" s="1104">
        <v>2020.0</v>
      </c>
      <c r="K7" s="1107"/>
      <c r="L7" s="1104" t="s">
        <v>7276</v>
      </c>
      <c r="M7" s="1104">
        <v>7.0</v>
      </c>
      <c r="N7" s="1107"/>
      <c r="O7" s="1107"/>
      <c r="P7" s="1116"/>
      <c r="Q7" s="1116" t="s">
        <v>7277</v>
      </c>
      <c r="R7" s="1117"/>
      <c r="S7" s="1117"/>
      <c r="T7" s="1117"/>
      <c r="U7" s="1117"/>
      <c r="V7" s="1117"/>
      <c r="W7" s="1117"/>
      <c r="X7" s="1117"/>
      <c r="Y7" s="1117"/>
    </row>
    <row r="8" ht="12.75" customHeight="1">
      <c r="A8" s="1104">
        <v>4.0</v>
      </c>
      <c r="B8" s="1105" t="s">
        <v>7279</v>
      </c>
      <c r="C8" s="806"/>
      <c r="D8" s="1104"/>
      <c r="E8" s="1104" t="s">
        <v>7280</v>
      </c>
      <c r="F8" s="1084"/>
      <c r="G8" s="806" t="s">
        <v>6091</v>
      </c>
      <c r="H8" s="1110"/>
      <c r="I8" s="1110" t="s">
        <v>7281</v>
      </c>
      <c r="J8" s="1104"/>
      <c r="K8" s="1104"/>
      <c r="L8" s="1104" t="s">
        <v>7282</v>
      </c>
      <c r="M8" s="1111">
        <v>1.5</v>
      </c>
      <c r="N8" s="1112">
        <v>46000.0</v>
      </c>
      <c r="O8" s="1104" t="s">
        <v>890</v>
      </c>
      <c r="P8" s="1113"/>
      <c r="Q8" s="1113" t="s">
        <v>7284</v>
      </c>
      <c r="R8" s="1114"/>
      <c r="S8" s="1114"/>
      <c r="T8" s="1114"/>
      <c r="U8" s="1114"/>
      <c r="V8" s="1114"/>
      <c r="W8" s="1114"/>
      <c r="X8" s="1114"/>
      <c r="Y8" s="1114"/>
    </row>
    <row r="9" ht="12.75" customHeight="1">
      <c r="A9" s="1104"/>
      <c r="B9" s="1105"/>
      <c r="C9" s="806" t="s">
        <v>651</v>
      </c>
      <c r="D9" s="1104"/>
      <c r="E9" s="1104"/>
      <c r="F9" s="1084"/>
      <c r="G9" s="806"/>
      <c r="H9" s="1110"/>
      <c r="I9" s="1110"/>
      <c r="J9" s="1104"/>
      <c r="K9" s="1104"/>
      <c r="L9" s="1104"/>
      <c r="M9" s="1111"/>
      <c r="N9" s="1112"/>
      <c r="O9" s="1104"/>
      <c r="P9" s="1113"/>
      <c r="Q9" s="1113"/>
      <c r="R9" s="1114"/>
      <c r="S9" s="1114"/>
      <c r="T9" s="1114"/>
      <c r="U9" s="1114"/>
      <c r="V9" s="1114"/>
      <c r="W9" s="1114"/>
      <c r="X9" s="1114"/>
      <c r="Y9" s="1114"/>
    </row>
    <row r="10" ht="17.25" customHeight="1">
      <c r="A10" s="437">
        <v>2.0</v>
      </c>
      <c r="B10" s="437" t="s">
        <v>6128</v>
      </c>
      <c r="C10" s="1040">
        <f>COUNTA($B$11:$B$15)</f>
        <v>3</v>
      </c>
      <c r="D10" s="1101"/>
      <c r="E10" s="1101"/>
      <c r="F10" s="1101"/>
      <c r="G10" s="1101"/>
      <c r="H10" s="1101"/>
      <c r="I10" s="1101"/>
      <c r="J10" s="1101"/>
      <c r="K10" s="1101"/>
      <c r="L10" s="1101"/>
      <c r="M10" s="1101"/>
      <c r="N10" s="1101"/>
      <c r="O10" s="1101"/>
      <c r="P10" s="1102"/>
      <c r="Q10" s="1102"/>
      <c r="R10" s="1103"/>
      <c r="S10" s="1103"/>
      <c r="T10" s="1103"/>
      <c r="U10" s="1103"/>
      <c r="V10" s="1103"/>
      <c r="W10" s="1103"/>
      <c r="X10" s="1103"/>
      <c r="Y10" s="1103"/>
    </row>
    <row r="11" ht="12.75" customHeight="1">
      <c r="A11" s="1104">
        <v>1.0</v>
      </c>
      <c r="B11" s="1105" t="s">
        <v>7288</v>
      </c>
      <c r="C11" s="1081" t="s">
        <v>7289</v>
      </c>
      <c r="D11" s="1104"/>
      <c r="E11" s="1104" t="s">
        <v>7252</v>
      </c>
      <c r="F11" s="1081" t="s">
        <v>7290</v>
      </c>
      <c r="G11" s="806" t="s">
        <v>6128</v>
      </c>
      <c r="H11" s="1106" t="s">
        <v>7254</v>
      </c>
      <c r="I11" s="1106" t="s">
        <v>7255</v>
      </c>
      <c r="J11" s="1107"/>
      <c r="K11" s="1107"/>
      <c r="L11" s="1104" t="s">
        <v>7257</v>
      </c>
      <c r="M11" s="1118">
        <v>7.5</v>
      </c>
      <c r="N11" s="1107"/>
      <c r="O11" s="1107"/>
      <c r="P11" s="1108"/>
      <c r="Q11" s="1108" t="s">
        <v>7291</v>
      </c>
      <c r="R11" s="1109"/>
      <c r="S11" s="1109"/>
      <c r="T11" s="1109"/>
      <c r="U11" s="1109"/>
      <c r="V11" s="1109"/>
      <c r="W11" s="1109"/>
      <c r="X11" s="1109"/>
      <c r="Y11" s="1109"/>
    </row>
    <row r="12" ht="12.75" customHeight="1">
      <c r="A12" s="1104">
        <f>A11+1</f>
        <v>2</v>
      </c>
      <c r="B12" s="1105" t="s">
        <v>7292</v>
      </c>
      <c r="C12" s="1081" t="s">
        <v>7293</v>
      </c>
      <c r="D12" s="1104"/>
      <c r="E12" s="1104" t="s">
        <v>7252</v>
      </c>
      <c r="F12" s="1081" t="s">
        <v>7294</v>
      </c>
      <c r="G12" s="806" t="s">
        <v>6128</v>
      </c>
      <c r="H12" s="1106" t="s">
        <v>7295</v>
      </c>
      <c r="I12" s="1106" t="s">
        <v>7296</v>
      </c>
      <c r="J12" s="1107"/>
      <c r="K12" s="1107"/>
      <c r="L12" s="1104" t="s">
        <v>7257</v>
      </c>
      <c r="M12" s="1104">
        <v>7.5</v>
      </c>
      <c r="N12" s="1107"/>
      <c r="O12" s="1107"/>
      <c r="P12" s="1108"/>
      <c r="Q12" s="1108" t="s">
        <v>7298</v>
      </c>
      <c r="R12" s="1109"/>
      <c r="S12" s="1109"/>
      <c r="T12" s="1109"/>
      <c r="U12" s="1109"/>
      <c r="V12" s="1109"/>
      <c r="W12" s="1109"/>
      <c r="X12" s="1109"/>
      <c r="Y12" s="1109"/>
    </row>
    <row r="13" ht="12.75" customHeight="1">
      <c r="A13" s="1104">
        <v>3.0</v>
      </c>
      <c r="B13" s="1105" t="s">
        <v>7299</v>
      </c>
      <c r="C13" s="806"/>
      <c r="D13" s="1104"/>
      <c r="E13" s="1104" t="s">
        <v>7280</v>
      </c>
      <c r="F13" s="1084"/>
      <c r="G13" s="806" t="s">
        <v>6128</v>
      </c>
      <c r="H13" s="1110"/>
      <c r="I13" s="1110" t="s">
        <v>7281</v>
      </c>
      <c r="J13" s="1104"/>
      <c r="K13" s="1104"/>
      <c r="L13" s="1104" t="s">
        <v>7282</v>
      </c>
      <c r="M13" s="1111">
        <v>1.5</v>
      </c>
      <c r="N13" s="1112">
        <v>46000.0</v>
      </c>
      <c r="O13" s="1104" t="s">
        <v>890</v>
      </c>
      <c r="P13" s="1113"/>
      <c r="Q13" s="1113" t="s">
        <v>7300</v>
      </c>
      <c r="R13" s="1114"/>
      <c r="S13" s="1114"/>
      <c r="T13" s="1114"/>
      <c r="U13" s="1114"/>
      <c r="V13" s="1114"/>
      <c r="W13" s="1114"/>
      <c r="X13" s="1114"/>
      <c r="Y13" s="1114"/>
    </row>
    <row r="14" ht="12.75" customHeight="1">
      <c r="A14" s="1104"/>
      <c r="B14" s="1105"/>
      <c r="C14" s="1081"/>
      <c r="D14" s="1104"/>
      <c r="E14" s="1104"/>
      <c r="F14" s="1081"/>
      <c r="G14" s="806"/>
      <c r="H14" s="1106"/>
      <c r="I14" s="1106"/>
      <c r="J14" s="1107"/>
      <c r="K14" s="1107"/>
      <c r="L14" s="1104"/>
      <c r="M14" s="1104"/>
      <c r="N14" s="1107"/>
      <c r="O14" s="1107"/>
      <c r="P14" s="1108"/>
      <c r="Q14" s="1108"/>
      <c r="R14" s="1109"/>
      <c r="S14" s="1109"/>
      <c r="T14" s="1109"/>
      <c r="U14" s="1109"/>
      <c r="V14" s="1109"/>
      <c r="W14" s="1109"/>
      <c r="X14" s="1109"/>
      <c r="Y14" s="1109"/>
    </row>
    <row r="15" ht="12.75" hidden="1" customHeight="1">
      <c r="A15" s="1104"/>
      <c r="B15" s="1105"/>
      <c r="C15" s="806" t="s">
        <v>651</v>
      </c>
      <c r="D15" s="1104"/>
      <c r="E15" s="1104"/>
      <c r="F15" s="1081"/>
      <c r="G15" s="806"/>
      <c r="H15" s="1106"/>
      <c r="I15" s="1106"/>
      <c r="J15" s="1107"/>
      <c r="K15" s="1107"/>
      <c r="L15" s="1104"/>
      <c r="M15" s="1104"/>
      <c r="N15" s="1107"/>
      <c r="O15" s="1107"/>
      <c r="P15" s="1108"/>
      <c r="Q15" s="1108"/>
      <c r="R15" s="1109"/>
      <c r="S15" s="1109"/>
      <c r="T15" s="1109"/>
      <c r="U15" s="1109"/>
      <c r="V15" s="1109"/>
      <c r="W15" s="1109"/>
      <c r="X15" s="1109"/>
      <c r="Y15" s="1109"/>
    </row>
    <row r="16" ht="17.25" customHeight="1">
      <c r="A16" s="437">
        <v>3.0</v>
      </c>
      <c r="B16" s="437" t="s">
        <v>6153</v>
      </c>
      <c r="C16" s="1040">
        <f>COUNTA($B$17:$B$24)</f>
        <v>6</v>
      </c>
      <c r="D16" s="1101"/>
      <c r="E16" s="1101"/>
      <c r="F16" s="1101"/>
      <c r="G16" s="1101"/>
      <c r="H16" s="1101"/>
      <c r="I16" s="1101"/>
      <c r="J16" s="1101"/>
      <c r="K16" s="1101"/>
      <c r="L16" s="1101"/>
      <c r="M16" s="1101"/>
      <c r="N16" s="1101"/>
      <c r="O16" s="1101"/>
      <c r="P16" s="1102"/>
      <c r="Q16" s="1102"/>
      <c r="R16" s="1103"/>
      <c r="S16" s="1103"/>
      <c r="T16" s="1103"/>
      <c r="U16" s="1103"/>
      <c r="V16" s="1103"/>
      <c r="W16" s="1103"/>
      <c r="X16" s="1103"/>
      <c r="Y16" s="1103"/>
    </row>
    <row r="17" ht="12.75" customHeight="1">
      <c r="A17" s="1104">
        <v>1.0</v>
      </c>
      <c r="B17" s="1105" t="s">
        <v>7306</v>
      </c>
      <c r="C17" s="1081" t="s">
        <v>7307</v>
      </c>
      <c r="D17" s="1104"/>
      <c r="E17" s="1104" t="s">
        <v>7252</v>
      </c>
      <c r="F17" s="1081" t="s">
        <v>7308</v>
      </c>
      <c r="G17" s="806" t="s">
        <v>6153</v>
      </c>
      <c r="H17" s="1106" t="s">
        <v>7254</v>
      </c>
      <c r="I17" s="1106" t="s">
        <v>7255</v>
      </c>
      <c r="J17" s="1107"/>
      <c r="K17" s="1107"/>
      <c r="L17" s="1104" t="s">
        <v>7257</v>
      </c>
      <c r="M17" s="1118">
        <v>7.5</v>
      </c>
      <c r="N17" s="1107"/>
      <c r="O17" s="1107"/>
      <c r="P17" s="1119"/>
      <c r="Q17" s="1119" t="s">
        <v>7310</v>
      </c>
      <c r="R17" s="1120"/>
      <c r="S17" s="1120"/>
      <c r="T17" s="1120"/>
      <c r="U17" s="1120"/>
      <c r="V17" s="1120"/>
      <c r="W17" s="1120"/>
      <c r="X17" s="1120"/>
      <c r="Y17" s="1120"/>
    </row>
    <row r="18" ht="12.75" customHeight="1">
      <c r="A18" s="1104">
        <f t="shared" ref="A18:A21" si="1">A17+1</f>
        <v>2</v>
      </c>
      <c r="B18" s="1105" t="s">
        <v>7312</v>
      </c>
      <c r="C18" s="1081" t="s">
        <v>7313</v>
      </c>
      <c r="D18" s="1104"/>
      <c r="E18" s="1104" t="s">
        <v>7252</v>
      </c>
      <c r="F18" s="1081" t="s">
        <v>7314</v>
      </c>
      <c r="G18" s="806" t="s">
        <v>6153</v>
      </c>
      <c r="H18" s="1106" t="s">
        <v>7295</v>
      </c>
      <c r="I18" s="1106" t="s">
        <v>7296</v>
      </c>
      <c r="J18" s="1107"/>
      <c r="K18" s="1107"/>
      <c r="L18" s="1104" t="s">
        <v>7257</v>
      </c>
      <c r="M18" s="1104">
        <v>7.5</v>
      </c>
      <c r="N18" s="1107"/>
      <c r="O18" s="1107"/>
      <c r="P18" s="1108"/>
      <c r="Q18" s="1108" t="s">
        <v>7316</v>
      </c>
      <c r="R18" s="1109"/>
      <c r="S18" s="1109"/>
      <c r="T18" s="1109"/>
      <c r="U18" s="1109"/>
      <c r="V18" s="1109"/>
      <c r="W18" s="1109"/>
      <c r="X18" s="1109"/>
      <c r="Y18" s="1109"/>
    </row>
    <row r="19" ht="12.75" customHeight="1">
      <c r="A19" s="1104">
        <f t="shared" si="1"/>
        <v>3</v>
      </c>
      <c r="B19" s="1105" t="s">
        <v>7317</v>
      </c>
      <c r="C19" s="1081" t="s">
        <v>7318</v>
      </c>
      <c r="D19" s="1104"/>
      <c r="E19" s="1104" t="s">
        <v>7320</v>
      </c>
      <c r="F19" s="1084"/>
      <c r="G19" s="806" t="s">
        <v>6153</v>
      </c>
      <c r="H19" s="1121"/>
      <c r="I19" s="1121"/>
      <c r="J19" s="1107"/>
      <c r="K19" s="1107"/>
      <c r="L19" s="1104" t="s">
        <v>7321</v>
      </c>
      <c r="M19" s="1104">
        <v>12.5</v>
      </c>
      <c r="N19" s="1107"/>
      <c r="O19" s="1107"/>
      <c r="P19" s="1108"/>
      <c r="Q19" s="1108" t="s">
        <v>7322</v>
      </c>
      <c r="R19" s="1109"/>
      <c r="S19" s="1109"/>
      <c r="T19" s="1109"/>
      <c r="U19" s="1109"/>
      <c r="V19" s="1109"/>
      <c r="W19" s="1109"/>
      <c r="X19" s="1109"/>
      <c r="Y19" s="1109"/>
    </row>
    <row r="20" ht="12.75" customHeight="1">
      <c r="A20" s="1104">
        <f t="shared" si="1"/>
        <v>4</v>
      </c>
      <c r="B20" s="1105" t="s">
        <v>7324</v>
      </c>
      <c r="C20" s="1081" t="s">
        <v>7325</v>
      </c>
      <c r="D20" s="1104"/>
      <c r="E20" s="1104" t="s">
        <v>7252</v>
      </c>
      <c r="F20" s="1084"/>
      <c r="G20" s="806" t="s">
        <v>6153</v>
      </c>
      <c r="H20" s="1121"/>
      <c r="I20" s="1121"/>
      <c r="J20" s="1107"/>
      <c r="K20" s="1107"/>
      <c r="L20" s="1104" t="s">
        <v>7257</v>
      </c>
      <c r="M20" s="1104">
        <v>7.5</v>
      </c>
      <c r="N20" s="1107"/>
      <c r="O20" s="1107"/>
      <c r="P20" s="1108"/>
      <c r="Q20" s="1108" t="s">
        <v>7326</v>
      </c>
      <c r="R20" s="1109"/>
      <c r="S20" s="1109"/>
      <c r="T20" s="1109"/>
      <c r="U20" s="1109"/>
      <c r="V20" s="1109"/>
      <c r="W20" s="1109"/>
      <c r="X20" s="1109"/>
      <c r="Y20" s="1109"/>
    </row>
    <row r="21" ht="12.75" customHeight="1">
      <c r="A21" s="1104">
        <f t="shared" si="1"/>
        <v>5</v>
      </c>
      <c r="B21" s="1105" t="s">
        <v>7328</v>
      </c>
      <c r="C21" s="806"/>
      <c r="D21" s="1104"/>
      <c r="E21" s="1104" t="s">
        <v>7262</v>
      </c>
      <c r="F21" s="1084"/>
      <c r="G21" s="806" t="s">
        <v>6153</v>
      </c>
      <c r="H21" s="1110" t="s">
        <v>7263</v>
      </c>
      <c r="I21" s="1110" t="s">
        <v>7265</v>
      </c>
      <c r="J21" s="1104">
        <v>2023.0</v>
      </c>
      <c r="K21" s="1104" t="s">
        <v>740</v>
      </c>
      <c r="L21" s="1104" t="s">
        <v>7266</v>
      </c>
      <c r="M21" s="1111">
        <v>4.0</v>
      </c>
      <c r="N21" s="1122">
        <v>45272.0</v>
      </c>
      <c r="O21" s="1104" t="s">
        <v>890</v>
      </c>
      <c r="P21" s="1113"/>
      <c r="Q21" s="1113" t="s">
        <v>7330</v>
      </c>
      <c r="R21" s="1114"/>
      <c r="S21" s="1114"/>
      <c r="T21" s="1114"/>
      <c r="U21" s="1114"/>
      <c r="V21" s="1114"/>
      <c r="W21" s="1114"/>
      <c r="X21" s="1114"/>
      <c r="Y21" s="1114"/>
    </row>
    <row r="22" ht="12.75" customHeight="1">
      <c r="A22" s="1104">
        <v>6.0</v>
      </c>
      <c r="B22" s="1105" t="s">
        <v>7331</v>
      </c>
      <c r="C22" s="806"/>
      <c r="D22" s="1104"/>
      <c r="E22" s="1104" t="s">
        <v>7280</v>
      </c>
      <c r="F22" s="1084"/>
      <c r="G22" s="806" t="s">
        <v>6153</v>
      </c>
      <c r="H22" s="1110"/>
      <c r="I22" s="1110" t="s">
        <v>7281</v>
      </c>
      <c r="J22" s="1104"/>
      <c r="K22" s="1104"/>
      <c r="L22" s="1104" t="s">
        <v>7282</v>
      </c>
      <c r="M22" s="1111">
        <v>1.5</v>
      </c>
      <c r="N22" s="1112">
        <v>46000.0</v>
      </c>
      <c r="O22" s="1104" t="s">
        <v>890</v>
      </c>
      <c r="P22" s="1113"/>
      <c r="Q22" s="1113" t="s">
        <v>7333</v>
      </c>
      <c r="R22" s="1114"/>
      <c r="S22" s="1114"/>
      <c r="T22" s="1114"/>
      <c r="U22" s="1114"/>
      <c r="V22" s="1114"/>
      <c r="W22" s="1114"/>
      <c r="X22" s="1114"/>
      <c r="Y22" s="1114"/>
    </row>
    <row r="23" ht="12.75" customHeight="1">
      <c r="A23" s="1104"/>
      <c r="B23" s="324"/>
      <c r="C23" s="806"/>
      <c r="D23" s="1105"/>
      <c r="E23" s="1104"/>
      <c r="F23" s="1084"/>
      <c r="G23" s="806"/>
      <c r="H23" s="1110"/>
      <c r="I23" s="1110"/>
      <c r="J23" s="1104"/>
      <c r="K23" s="1104"/>
      <c r="L23" s="1104"/>
      <c r="M23" s="1111"/>
      <c r="N23" s="1122"/>
      <c r="O23" s="1104"/>
      <c r="P23" s="1113"/>
      <c r="Q23" s="1113"/>
      <c r="R23" s="1114"/>
      <c r="S23" s="1114"/>
      <c r="T23" s="1114"/>
      <c r="U23" s="1114"/>
      <c r="V23" s="1114"/>
      <c r="W23" s="1114"/>
      <c r="X23" s="1114"/>
      <c r="Y23" s="1114"/>
    </row>
    <row r="24" ht="12.75" hidden="1" customHeight="1">
      <c r="A24" s="1104"/>
      <c r="B24" s="1105"/>
      <c r="C24" s="806" t="s">
        <v>651</v>
      </c>
      <c r="D24" s="1104"/>
      <c r="E24" s="1104"/>
      <c r="F24" s="1081"/>
      <c r="G24" s="806"/>
      <c r="H24" s="1106"/>
      <c r="I24" s="1106"/>
      <c r="J24" s="1107"/>
      <c r="K24" s="1107"/>
      <c r="L24" s="1104"/>
      <c r="M24" s="1104"/>
      <c r="N24" s="1107"/>
      <c r="O24" s="1107"/>
      <c r="P24" s="1113"/>
      <c r="Q24" s="1113"/>
      <c r="R24" s="1114"/>
      <c r="S24" s="1114"/>
      <c r="T24" s="1114"/>
      <c r="U24" s="1114"/>
      <c r="V24" s="1114"/>
      <c r="W24" s="1114"/>
      <c r="X24" s="1114"/>
      <c r="Y24" s="1114"/>
    </row>
    <row r="25" ht="17.25" customHeight="1">
      <c r="A25" s="437">
        <v>4.0</v>
      </c>
      <c r="B25" s="437" t="s">
        <v>49</v>
      </c>
      <c r="C25" s="1040">
        <f>COUNTA($B$26:$B$28)</f>
        <v>0</v>
      </c>
      <c r="D25" s="1101"/>
      <c r="E25" s="1101"/>
      <c r="F25" s="1101"/>
      <c r="G25" s="1101"/>
      <c r="H25" s="1101"/>
      <c r="I25" s="1101"/>
      <c r="J25" s="1101"/>
      <c r="K25" s="1101"/>
      <c r="L25" s="1101"/>
      <c r="M25" s="1101"/>
      <c r="N25" s="1101"/>
      <c r="O25" s="1101"/>
      <c r="P25" s="1102"/>
      <c r="Q25" s="1102"/>
      <c r="R25" s="1103"/>
      <c r="S25" s="1103"/>
      <c r="T25" s="1103"/>
      <c r="U25" s="1103"/>
      <c r="V25" s="1103"/>
      <c r="W25" s="1103"/>
      <c r="X25" s="1103"/>
      <c r="Y25" s="1103"/>
    </row>
    <row r="26" ht="12.75" customHeight="1">
      <c r="A26" s="1123"/>
      <c r="B26" s="1123"/>
      <c r="C26" s="1124"/>
      <c r="D26" s="225"/>
      <c r="E26" s="225"/>
      <c r="F26" s="225"/>
      <c r="G26" s="225"/>
      <c r="H26" s="225"/>
      <c r="I26" s="225"/>
      <c r="J26" s="1125"/>
      <c r="K26" s="1125"/>
      <c r="L26" s="225"/>
      <c r="M26" s="225"/>
      <c r="N26" s="1125"/>
      <c r="O26" s="1125"/>
      <c r="P26" s="225"/>
      <c r="Q26" s="225"/>
      <c r="R26" s="1126"/>
      <c r="S26" s="1126"/>
      <c r="T26" s="1126"/>
      <c r="U26" s="1126"/>
      <c r="V26" s="1126"/>
      <c r="W26" s="1126"/>
      <c r="X26" s="1126"/>
      <c r="Y26" s="1126"/>
    </row>
    <row r="27" ht="12.75" customHeight="1">
      <c r="A27" s="1123"/>
      <c r="B27" s="1123"/>
      <c r="C27" s="1124"/>
      <c r="D27" s="225"/>
      <c r="E27" s="225"/>
      <c r="F27" s="225"/>
      <c r="G27" s="225"/>
      <c r="H27" s="225"/>
      <c r="I27" s="225"/>
      <c r="J27" s="1125"/>
      <c r="K27" s="1125"/>
      <c r="L27" s="225"/>
      <c r="M27" s="225"/>
      <c r="N27" s="1125"/>
      <c r="O27" s="1125"/>
      <c r="P27" s="225"/>
      <c r="Q27" s="225"/>
      <c r="R27" s="1126"/>
      <c r="S27" s="1126"/>
      <c r="T27" s="1126"/>
      <c r="U27" s="1126"/>
      <c r="V27" s="1126"/>
      <c r="W27" s="1126"/>
      <c r="X27" s="1126"/>
      <c r="Y27" s="1126"/>
    </row>
    <row r="28" ht="12.75" hidden="1" customHeight="1">
      <c r="A28" s="1123"/>
      <c r="B28" s="1123"/>
      <c r="C28" s="1123" t="s">
        <v>7205</v>
      </c>
      <c r="D28" s="225"/>
      <c r="E28" s="225"/>
      <c r="F28" s="225"/>
      <c r="G28" s="225"/>
      <c r="H28" s="225"/>
      <c r="I28" s="225"/>
      <c r="J28" s="1125"/>
      <c r="K28" s="1125"/>
      <c r="L28" s="225"/>
      <c r="M28" s="225"/>
      <c r="N28" s="1125"/>
      <c r="O28" s="1125"/>
      <c r="P28" s="225"/>
      <c r="Q28" s="225"/>
      <c r="R28" s="1126"/>
      <c r="S28" s="1126"/>
      <c r="T28" s="1126"/>
      <c r="U28" s="1126"/>
      <c r="V28" s="1126"/>
      <c r="W28" s="1126"/>
      <c r="X28" s="1126"/>
      <c r="Y28" s="1126"/>
    </row>
    <row r="29" ht="12.75" customHeight="1">
      <c r="A29" s="1127">
        <v>4.0</v>
      </c>
      <c r="B29" s="1127" t="s">
        <v>7076</v>
      </c>
      <c r="C29" s="1128">
        <f>COUNTA($B$30:$B$48)</f>
        <v>17</v>
      </c>
      <c r="D29" s="1129"/>
      <c r="E29" s="1129"/>
      <c r="F29" s="1129"/>
      <c r="G29" s="1129"/>
      <c r="H29" s="1129"/>
      <c r="I29" s="1129"/>
      <c r="J29" s="1130"/>
      <c r="K29" s="1130"/>
      <c r="L29" s="1129"/>
      <c r="M29" s="1129"/>
      <c r="N29" s="1130"/>
      <c r="O29" s="1130"/>
      <c r="P29" s="1129"/>
      <c r="Q29" s="1129"/>
      <c r="R29" s="1131"/>
      <c r="S29" s="1131"/>
      <c r="T29" s="1131"/>
      <c r="U29" s="1131"/>
      <c r="V29" s="1131"/>
      <c r="W29" s="1131"/>
      <c r="X29" s="1131"/>
      <c r="Y29" s="1131"/>
    </row>
    <row r="30" ht="12.75" customHeight="1">
      <c r="A30" s="1104">
        <v>1.0</v>
      </c>
      <c r="B30" s="1105" t="s">
        <v>7339</v>
      </c>
      <c r="C30" s="1084"/>
      <c r="D30" s="1104"/>
      <c r="E30" s="1104" t="s">
        <v>7252</v>
      </c>
      <c r="F30" s="1081" t="s">
        <v>7340</v>
      </c>
      <c r="G30" s="806" t="s">
        <v>2649</v>
      </c>
      <c r="H30" s="1106" t="s">
        <v>7295</v>
      </c>
      <c r="I30" s="1106" t="s">
        <v>7296</v>
      </c>
      <c r="J30" s="1107"/>
      <c r="K30" s="1107"/>
      <c r="L30" s="1104" t="s">
        <v>7257</v>
      </c>
      <c r="M30" s="1104">
        <v>7.5</v>
      </c>
      <c r="N30" s="1107"/>
      <c r="O30" s="1107"/>
      <c r="P30" s="1113"/>
      <c r="Q30" s="1113" t="s">
        <v>7341</v>
      </c>
      <c r="R30" s="1114"/>
      <c r="S30" s="1114"/>
      <c r="T30" s="1114"/>
      <c r="U30" s="1114"/>
      <c r="V30" s="1114"/>
      <c r="W30" s="1114"/>
      <c r="X30" s="1114"/>
      <c r="Y30" s="1114"/>
    </row>
    <row r="31" ht="12.75" customHeight="1">
      <c r="A31" s="1104">
        <f t="shared" ref="A31:A39" si="2">A30+1</f>
        <v>2</v>
      </c>
      <c r="B31" s="1105" t="s">
        <v>7342</v>
      </c>
      <c r="C31" s="1084"/>
      <c r="D31" s="1104"/>
      <c r="E31" s="1104" t="s">
        <v>7343</v>
      </c>
      <c r="F31" s="1081" t="s">
        <v>7344</v>
      </c>
      <c r="G31" s="806" t="s">
        <v>52</v>
      </c>
      <c r="H31" s="1106" t="s">
        <v>7345</v>
      </c>
      <c r="I31" s="1106" t="s">
        <v>7346</v>
      </c>
      <c r="J31" s="1107"/>
      <c r="K31" s="1107"/>
      <c r="L31" s="1104" t="s">
        <v>7347</v>
      </c>
      <c r="M31" s="1104">
        <v>55.0</v>
      </c>
      <c r="N31" s="1107"/>
      <c r="O31" s="1107"/>
      <c r="P31" s="1113"/>
      <c r="Q31" s="1113" t="s">
        <v>7348</v>
      </c>
      <c r="R31" s="1114"/>
      <c r="S31" s="1114"/>
      <c r="T31" s="1114"/>
      <c r="U31" s="1114"/>
      <c r="V31" s="1114"/>
      <c r="W31" s="1114"/>
      <c r="X31" s="1114"/>
      <c r="Y31" s="1114"/>
    </row>
    <row r="32" ht="12.75" customHeight="1">
      <c r="A32" s="1104">
        <f t="shared" si="2"/>
        <v>3</v>
      </c>
      <c r="B32" s="1105" t="s">
        <v>7349</v>
      </c>
      <c r="C32" s="806" t="s">
        <v>7350</v>
      </c>
      <c r="D32" s="1104"/>
      <c r="E32" s="1104" t="s">
        <v>7351</v>
      </c>
      <c r="F32" s="1084"/>
      <c r="G32" s="806" t="s">
        <v>7352</v>
      </c>
      <c r="H32" s="1110" t="s">
        <v>7353</v>
      </c>
      <c r="I32" s="1121"/>
      <c r="J32" s="1107"/>
      <c r="K32" s="1107"/>
      <c r="L32" s="1104" t="s">
        <v>7354</v>
      </c>
      <c r="M32" s="1134">
        <v>1.8</v>
      </c>
      <c r="N32" s="1135"/>
      <c r="O32" s="1107"/>
      <c r="P32" s="1136"/>
      <c r="Q32" s="1136"/>
      <c r="R32" s="1137"/>
      <c r="S32" s="1137"/>
      <c r="T32" s="1137"/>
      <c r="U32" s="1137"/>
      <c r="V32" s="1137"/>
      <c r="W32" s="1137"/>
      <c r="X32" s="1137"/>
      <c r="Y32" s="1137"/>
    </row>
    <row r="33" ht="12.75" customHeight="1">
      <c r="A33" s="1104">
        <f t="shared" si="2"/>
        <v>4</v>
      </c>
      <c r="B33" s="1105" t="s">
        <v>7355</v>
      </c>
      <c r="C33" s="806" t="s">
        <v>7356</v>
      </c>
      <c r="D33" s="1104"/>
      <c r="E33" s="1104" t="s">
        <v>7357</v>
      </c>
      <c r="F33" s="1084"/>
      <c r="G33" s="806" t="s">
        <v>7352</v>
      </c>
      <c r="H33" s="1110" t="s">
        <v>5671</v>
      </c>
      <c r="I33" s="1121"/>
      <c r="J33" s="1107"/>
      <c r="K33" s="1107"/>
      <c r="L33" s="1104" t="s">
        <v>7358</v>
      </c>
      <c r="M33" s="1104">
        <v>1.8</v>
      </c>
      <c r="N33" s="1107"/>
      <c r="O33" s="1107"/>
      <c r="P33" s="1136"/>
      <c r="Q33" s="1136"/>
      <c r="R33" s="1137"/>
      <c r="S33" s="1137"/>
      <c r="T33" s="1137"/>
      <c r="U33" s="1137"/>
      <c r="V33" s="1137"/>
      <c r="W33" s="1137"/>
      <c r="X33" s="1137"/>
      <c r="Y33" s="1137"/>
    </row>
    <row r="34" ht="12.75" customHeight="1">
      <c r="A34" s="1104">
        <f t="shared" si="2"/>
        <v>5</v>
      </c>
      <c r="B34" s="1105" t="s">
        <v>7359</v>
      </c>
      <c r="C34" s="806" t="s">
        <v>7360</v>
      </c>
      <c r="D34" s="1104"/>
      <c r="E34" s="1104" t="s">
        <v>7361</v>
      </c>
      <c r="F34" s="1084"/>
      <c r="G34" s="806" t="s">
        <v>7352</v>
      </c>
      <c r="H34" s="1110" t="s">
        <v>7362</v>
      </c>
      <c r="I34" s="1121"/>
      <c r="J34" s="1107"/>
      <c r="K34" s="1107"/>
      <c r="L34" s="1104" t="s">
        <v>7363</v>
      </c>
      <c r="M34" s="1104">
        <v>1.8</v>
      </c>
      <c r="N34" s="1107"/>
      <c r="O34" s="1107"/>
      <c r="P34" s="1136"/>
      <c r="Q34" s="1136"/>
      <c r="R34" s="1137"/>
      <c r="S34" s="1137"/>
      <c r="T34" s="1137"/>
      <c r="U34" s="1137"/>
      <c r="V34" s="1137"/>
      <c r="W34" s="1137"/>
      <c r="X34" s="1137"/>
      <c r="Y34" s="1137"/>
    </row>
    <row r="35" ht="12.75" customHeight="1">
      <c r="A35" s="1104">
        <f t="shared" si="2"/>
        <v>6</v>
      </c>
      <c r="B35" s="1138" t="s">
        <v>7364</v>
      </c>
      <c r="C35" s="1139" t="s">
        <v>7365</v>
      </c>
      <c r="D35" s="1140"/>
      <c r="E35" s="1140" t="s">
        <v>7351</v>
      </c>
      <c r="F35" s="1141"/>
      <c r="G35" s="1139" t="s">
        <v>7352</v>
      </c>
      <c r="H35" s="1142" t="s">
        <v>7353</v>
      </c>
      <c r="I35" s="1143"/>
      <c r="J35" s="1144"/>
      <c r="K35" s="1144"/>
      <c r="L35" s="1140" t="s">
        <v>7354</v>
      </c>
      <c r="M35" s="1140">
        <v>1.8</v>
      </c>
      <c r="N35" s="1144"/>
      <c r="O35" s="1144"/>
      <c r="P35" s="1145" t="s">
        <v>865</v>
      </c>
      <c r="Q35" s="1146"/>
      <c r="R35" s="1147"/>
      <c r="S35" s="1147"/>
      <c r="T35" s="1147"/>
      <c r="U35" s="1147"/>
      <c r="V35" s="1147"/>
      <c r="W35" s="1147"/>
      <c r="X35" s="1147"/>
      <c r="Y35" s="1147"/>
    </row>
    <row r="36" ht="12.75" customHeight="1">
      <c r="A36" s="1104">
        <f t="shared" si="2"/>
        <v>7</v>
      </c>
      <c r="B36" s="1105" t="s">
        <v>7366</v>
      </c>
      <c r="C36" s="806"/>
      <c r="D36" s="1104"/>
      <c r="E36" s="1104" t="s">
        <v>7252</v>
      </c>
      <c r="F36" s="806" t="s">
        <v>7367</v>
      </c>
      <c r="G36" s="806" t="s">
        <v>7368</v>
      </c>
      <c r="H36" s="1110" t="s">
        <v>7295</v>
      </c>
      <c r="I36" s="324"/>
      <c r="J36" s="1104"/>
      <c r="K36" s="1104"/>
      <c r="L36" s="1104" t="s">
        <v>7369</v>
      </c>
      <c r="M36" s="1111">
        <v>7.5</v>
      </c>
      <c r="N36" s="1112">
        <v>45383.0</v>
      </c>
      <c r="O36" s="1104"/>
      <c r="P36" s="1113"/>
      <c r="Q36" s="1113" t="s">
        <v>7370</v>
      </c>
      <c r="R36" s="1114"/>
      <c r="S36" s="1114"/>
      <c r="T36" s="1114"/>
      <c r="U36" s="1114"/>
      <c r="V36" s="1114"/>
      <c r="W36" s="1114"/>
      <c r="X36" s="1114"/>
      <c r="Y36" s="1114"/>
    </row>
    <row r="37" ht="12.75" customHeight="1">
      <c r="A37" s="1104">
        <f t="shared" si="2"/>
        <v>8</v>
      </c>
      <c r="B37" s="1105" t="s">
        <v>7371</v>
      </c>
      <c r="C37" s="806"/>
      <c r="D37" s="1104"/>
      <c r="E37" s="1104" t="s">
        <v>7252</v>
      </c>
      <c r="F37" s="806" t="s">
        <v>7372</v>
      </c>
      <c r="G37" s="806" t="s">
        <v>7368</v>
      </c>
      <c r="H37" s="1110" t="s">
        <v>7295</v>
      </c>
      <c r="I37" s="1110" t="s">
        <v>7296</v>
      </c>
      <c r="J37" s="1104"/>
      <c r="K37" s="1104"/>
      <c r="L37" s="1104" t="s">
        <v>7369</v>
      </c>
      <c r="M37" s="1111">
        <v>7.5</v>
      </c>
      <c r="N37" s="1104" t="s">
        <v>7373</v>
      </c>
      <c r="O37" s="1104"/>
      <c r="P37" s="1113"/>
      <c r="Q37" s="1113" t="s">
        <v>7374</v>
      </c>
      <c r="R37" s="1114"/>
      <c r="S37" s="1114"/>
      <c r="T37" s="1114"/>
      <c r="U37" s="1114"/>
      <c r="V37" s="1114"/>
      <c r="W37" s="1114"/>
      <c r="X37" s="1114"/>
      <c r="Y37" s="1114"/>
    </row>
    <row r="38" ht="12.75" customHeight="1">
      <c r="A38" s="1104">
        <f t="shared" si="2"/>
        <v>9</v>
      </c>
      <c r="B38" s="1105" t="s">
        <v>7375</v>
      </c>
      <c r="C38" s="806" t="s">
        <v>7376</v>
      </c>
      <c r="D38" s="1104"/>
      <c r="E38" s="1104" t="s">
        <v>7320</v>
      </c>
      <c r="F38" s="806"/>
      <c r="G38" s="806"/>
      <c r="H38" s="1110"/>
      <c r="I38" s="1110" t="s">
        <v>7296</v>
      </c>
      <c r="J38" s="1104"/>
      <c r="K38" s="1104"/>
      <c r="L38" s="1104" t="s">
        <v>7377</v>
      </c>
      <c r="M38" s="1111">
        <v>12.5</v>
      </c>
      <c r="N38" s="1104" t="s">
        <v>7378</v>
      </c>
      <c r="O38" s="1104" t="s">
        <v>2306</v>
      </c>
      <c r="P38" s="1104" t="s">
        <v>7379</v>
      </c>
      <c r="Q38" s="1113" t="s">
        <v>7380</v>
      </c>
      <c r="R38" s="1114"/>
      <c r="S38" s="1114"/>
      <c r="T38" s="1114"/>
      <c r="U38" s="1114"/>
      <c r="V38" s="1114"/>
      <c r="W38" s="1114"/>
      <c r="X38" s="1114"/>
      <c r="Y38" s="1114"/>
    </row>
    <row r="39" ht="12.75" customHeight="1">
      <c r="A39" s="1104">
        <f t="shared" si="2"/>
        <v>10</v>
      </c>
      <c r="B39" s="1105" t="s">
        <v>7381</v>
      </c>
      <c r="C39" s="806"/>
      <c r="D39" s="1104"/>
      <c r="E39" s="1104" t="s">
        <v>7382</v>
      </c>
      <c r="F39" s="806" t="s">
        <v>7383</v>
      </c>
      <c r="G39" s="806" t="s">
        <v>7384</v>
      </c>
      <c r="H39" s="1110" t="s">
        <v>7385</v>
      </c>
      <c r="I39" s="1110" t="s">
        <v>1093</v>
      </c>
      <c r="J39" s="1104"/>
      <c r="K39" s="1104"/>
      <c r="L39" s="1104" t="s">
        <v>7386</v>
      </c>
      <c r="M39" s="1104">
        <v>1.8</v>
      </c>
      <c r="N39" s="1104" t="s">
        <v>7387</v>
      </c>
      <c r="O39" s="1104" t="s">
        <v>890</v>
      </c>
      <c r="P39" s="1113"/>
      <c r="Q39" s="1113" t="s">
        <v>7388</v>
      </c>
      <c r="R39" s="1114"/>
      <c r="S39" s="1114"/>
      <c r="T39" s="1114"/>
      <c r="U39" s="1114"/>
      <c r="V39" s="1114"/>
      <c r="W39" s="1114"/>
      <c r="X39" s="1114"/>
      <c r="Y39" s="1114"/>
    </row>
    <row r="40" ht="12.75" customHeight="1">
      <c r="A40" s="1104">
        <v>11.0</v>
      </c>
      <c r="B40" s="1105" t="s">
        <v>7389</v>
      </c>
      <c r="C40" s="806"/>
      <c r="D40" s="1104"/>
      <c r="E40" s="1104" t="s">
        <v>7382</v>
      </c>
      <c r="F40" s="806" t="s">
        <v>7390</v>
      </c>
      <c r="G40" s="806" t="s">
        <v>7384</v>
      </c>
      <c r="H40" s="1110" t="s">
        <v>7385</v>
      </c>
      <c r="I40" s="1110" t="s">
        <v>1093</v>
      </c>
      <c r="J40" s="1104"/>
      <c r="K40" s="1104"/>
      <c r="L40" s="1104" t="s">
        <v>7386</v>
      </c>
      <c r="M40" s="1104">
        <v>1.8</v>
      </c>
      <c r="N40" s="1104" t="s">
        <v>7387</v>
      </c>
      <c r="O40" s="1104" t="s">
        <v>890</v>
      </c>
      <c r="P40" s="1113"/>
      <c r="Q40" s="1113" t="s">
        <v>7388</v>
      </c>
      <c r="R40" s="1114"/>
      <c r="S40" s="1114"/>
      <c r="T40" s="1114"/>
      <c r="U40" s="1114"/>
      <c r="V40" s="1114"/>
      <c r="W40" s="1114"/>
      <c r="X40" s="1114"/>
      <c r="Y40" s="1114"/>
    </row>
    <row r="41" ht="12.75" customHeight="1">
      <c r="A41" s="1104">
        <v>12.0</v>
      </c>
      <c r="B41" s="1105" t="s">
        <v>7391</v>
      </c>
      <c r="C41" s="806"/>
      <c r="D41" s="1104" t="s">
        <v>7392</v>
      </c>
      <c r="E41" s="1104" t="s">
        <v>7393</v>
      </c>
      <c r="F41" s="806"/>
      <c r="G41" s="806" t="s">
        <v>7394</v>
      </c>
      <c r="H41" s="1110"/>
      <c r="I41" s="1110" t="s">
        <v>123</v>
      </c>
      <c r="J41" s="1104"/>
      <c r="K41" s="1104"/>
      <c r="L41" s="1104" t="s">
        <v>7395</v>
      </c>
      <c r="M41" s="1111">
        <v>25.0</v>
      </c>
      <c r="N41" s="1104" t="s">
        <v>7396</v>
      </c>
      <c r="O41" s="1104" t="s">
        <v>2306</v>
      </c>
      <c r="P41" s="1113"/>
      <c r="Q41" s="1113" t="s">
        <v>7397</v>
      </c>
      <c r="R41" s="1114"/>
      <c r="S41" s="1114"/>
      <c r="T41" s="1114"/>
      <c r="U41" s="1114"/>
      <c r="V41" s="1114"/>
      <c r="W41" s="1114"/>
      <c r="X41" s="1114"/>
      <c r="Y41" s="1114"/>
    </row>
    <row r="42" ht="12.75" customHeight="1">
      <c r="A42" s="1104">
        <v>13.0</v>
      </c>
      <c r="B42" s="1105" t="s">
        <v>7398</v>
      </c>
      <c r="C42" s="806"/>
      <c r="D42" s="1104"/>
      <c r="E42" s="1104" t="s">
        <v>7320</v>
      </c>
      <c r="F42" s="806"/>
      <c r="G42" s="806" t="s">
        <v>7399</v>
      </c>
      <c r="H42" s="1110"/>
      <c r="I42" s="1110"/>
      <c r="J42" s="1104"/>
      <c r="K42" s="1104"/>
      <c r="L42" s="1104"/>
      <c r="M42" s="1111"/>
      <c r="N42" s="1104" t="s">
        <v>7400</v>
      </c>
      <c r="O42" s="1104" t="s">
        <v>890</v>
      </c>
      <c r="P42" s="1113"/>
      <c r="Q42" s="1113"/>
      <c r="R42" s="1114"/>
      <c r="S42" s="1114"/>
      <c r="T42" s="1114"/>
      <c r="U42" s="1114"/>
      <c r="V42" s="1114"/>
      <c r="W42" s="1114"/>
      <c r="X42" s="1114"/>
      <c r="Y42" s="1114"/>
    </row>
    <row r="43" ht="12.75" customHeight="1">
      <c r="A43" s="1104">
        <v>14.0</v>
      </c>
      <c r="B43" s="1105" t="s">
        <v>7401</v>
      </c>
      <c r="C43" s="806"/>
      <c r="D43" s="1104"/>
      <c r="E43" s="1104" t="s">
        <v>7320</v>
      </c>
      <c r="F43" s="806"/>
      <c r="G43" s="806"/>
      <c r="H43" s="1110"/>
      <c r="I43" s="1110"/>
      <c r="J43" s="1104"/>
      <c r="K43" s="1104"/>
      <c r="L43" s="1104"/>
      <c r="M43" s="1104">
        <v>12.5</v>
      </c>
      <c r="N43" s="1104"/>
      <c r="O43" s="1104" t="s">
        <v>2306</v>
      </c>
      <c r="P43" s="1113"/>
      <c r="Q43" s="1113" t="s">
        <v>7402</v>
      </c>
      <c r="R43" s="1114"/>
      <c r="S43" s="1114"/>
      <c r="T43" s="1114"/>
      <c r="U43" s="1114"/>
      <c r="V43" s="1114"/>
      <c r="W43" s="1114"/>
      <c r="X43" s="1114"/>
      <c r="Y43" s="1114"/>
    </row>
    <row r="44" ht="12.75" customHeight="1">
      <c r="A44" s="764">
        <v>15.0</v>
      </c>
      <c r="B44" s="1148" t="s">
        <v>7403</v>
      </c>
      <c r="C44" s="608"/>
      <c r="D44" s="1148"/>
      <c r="E44" s="1104" t="s">
        <v>7404</v>
      </c>
      <c r="F44" s="806" t="s">
        <v>7405</v>
      </c>
      <c r="G44" s="806" t="s">
        <v>7406</v>
      </c>
      <c r="H44" s="1149" t="s">
        <v>7407</v>
      </c>
      <c r="I44" s="806" t="s">
        <v>7408</v>
      </c>
      <c r="J44" s="608"/>
      <c r="K44" s="1148"/>
      <c r="L44" s="1150" t="s">
        <v>7409</v>
      </c>
      <c r="M44" s="608"/>
      <c r="N44" s="1151"/>
      <c r="O44" s="608"/>
      <c r="P44" s="1151"/>
      <c r="Q44" s="1113" t="s">
        <v>7410</v>
      </c>
      <c r="R44" s="1152"/>
      <c r="S44" s="1152"/>
      <c r="T44" s="1152"/>
      <c r="U44" s="1152"/>
      <c r="V44" s="1152"/>
      <c r="W44" s="1152"/>
      <c r="X44" s="1152"/>
      <c r="Y44" s="1152"/>
    </row>
    <row r="45" ht="12.75" customHeight="1">
      <c r="A45" s="1151">
        <v>8.0</v>
      </c>
      <c r="B45" s="1151" t="s">
        <v>7411</v>
      </c>
      <c r="C45" s="608"/>
      <c r="D45" s="1151"/>
      <c r="E45" s="1151" t="s">
        <v>7412</v>
      </c>
      <c r="F45" s="1151" t="s">
        <v>7413</v>
      </c>
      <c r="G45" s="1151" t="s">
        <v>7414</v>
      </c>
      <c r="H45" s="1153" t="s">
        <v>7415</v>
      </c>
      <c r="I45" s="608"/>
      <c r="J45" s="608"/>
      <c r="K45" s="1151"/>
      <c r="L45" s="1151" t="s">
        <v>7416</v>
      </c>
      <c r="M45" s="608"/>
      <c r="N45" s="1151"/>
      <c r="O45" s="608"/>
      <c r="P45" s="1151"/>
      <c r="Q45" s="1151" t="s">
        <v>7414</v>
      </c>
      <c r="R45" s="1152"/>
      <c r="S45" s="1152"/>
      <c r="T45" s="1152"/>
      <c r="U45" s="1152"/>
      <c r="V45" s="1152"/>
      <c r="W45" s="1152"/>
      <c r="X45" s="1152"/>
      <c r="Y45" s="1152"/>
    </row>
    <row r="46" ht="12.75" customHeight="1">
      <c r="A46" s="1151">
        <v>9.0</v>
      </c>
      <c r="B46" s="1151" t="s">
        <v>7417</v>
      </c>
      <c r="C46" s="608"/>
      <c r="D46" s="1151"/>
      <c r="E46" s="1151" t="s">
        <v>7412</v>
      </c>
      <c r="F46" s="1151" t="s">
        <v>7419</v>
      </c>
      <c r="G46" s="1151" t="s">
        <v>7414</v>
      </c>
      <c r="H46" s="1153" t="s">
        <v>7415</v>
      </c>
      <c r="I46" s="608"/>
      <c r="J46" s="608"/>
      <c r="K46" s="1151"/>
      <c r="L46" s="1151" t="s">
        <v>7416</v>
      </c>
      <c r="M46" s="608"/>
      <c r="N46" s="1151"/>
      <c r="O46" s="608"/>
      <c r="P46" s="1151"/>
      <c r="Q46" s="1151" t="s">
        <v>7414</v>
      </c>
      <c r="R46" s="1152"/>
      <c r="S46" s="1152"/>
      <c r="T46" s="1152"/>
      <c r="U46" s="1152"/>
      <c r="V46" s="1152"/>
      <c r="W46" s="1152"/>
      <c r="X46" s="1152"/>
      <c r="Y46" s="1152"/>
    </row>
    <row r="47" ht="12.75" customHeight="1">
      <c r="A47" s="1104"/>
      <c r="B47" s="1105"/>
      <c r="C47" s="806"/>
      <c r="D47" s="1104"/>
      <c r="E47" s="1104"/>
      <c r="F47" s="806"/>
      <c r="G47" s="806"/>
      <c r="H47" s="1110"/>
      <c r="I47" s="1110"/>
      <c r="J47" s="1104"/>
      <c r="K47" s="1104"/>
      <c r="L47" s="1104"/>
      <c r="M47" s="1111"/>
      <c r="N47" s="1104"/>
      <c r="O47" s="1104"/>
      <c r="P47" s="1113"/>
      <c r="Q47" s="1113"/>
      <c r="R47" s="1114"/>
      <c r="S47" s="1114"/>
      <c r="T47" s="1114"/>
      <c r="U47" s="1114"/>
      <c r="V47" s="1114"/>
      <c r="W47" s="1114"/>
      <c r="X47" s="1114"/>
      <c r="Y47" s="1114"/>
    </row>
    <row r="48" ht="12.75" customHeight="1">
      <c r="A48" s="1104"/>
      <c r="B48" s="1105"/>
      <c r="C48" s="806" t="s">
        <v>651</v>
      </c>
      <c r="D48" s="1104"/>
      <c r="E48" s="1104"/>
      <c r="F48" s="806"/>
      <c r="G48" s="806"/>
      <c r="H48" s="1110"/>
      <c r="I48" s="1110"/>
      <c r="J48" s="1104"/>
      <c r="K48" s="1104"/>
      <c r="L48" s="1104"/>
      <c r="M48" s="1111"/>
      <c r="N48" s="1104"/>
      <c r="O48" s="1104"/>
      <c r="P48" s="1113"/>
      <c r="Q48" s="1113"/>
      <c r="R48" s="1114"/>
      <c r="S48" s="1114"/>
      <c r="T48" s="1114"/>
      <c r="U48" s="1114"/>
      <c r="V48" s="1114"/>
      <c r="W48" s="1114"/>
      <c r="X48" s="1114"/>
      <c r="Y48" s="1114"/>
    </row>
    <row r="49" ht="17.25" customHeight="1">
      <c r="A49" s="1096" t="s">
        <v>3516</v>
      </c>
      <c r="B49" s="1096" t="s">
        <v>7420</v>
      </c>
      <c r="C49" s="1097">
        <f>$C$50+$C$57+$C$62+$C$66</f>
        <v>14</v>
      </c>
      <c r="D49" s="1098"/>
      <c r="E49" s="1098"/>
      <c r="F49" s="1098"/>
      <c r="G49" s="1098"/>
      <c r="H49" s="1098"/>
      <c r="I49" s="1098"/>
      <c r="J49" s="1098"/>
      <c r="K49" s="1098"/>
      <c r="L49" s="1098"/>
      <c r="M49" s="1098"/>
      <c r="N49" s="1098"/>
      <c r="O49" s="1098"/>
      <c r="P49" s="1099"/>
      <c r="Q49" s="1099"/>
      <c r="R49" s="1100"/>
      <c r="S49" s="1100"/>
      <c r="T49" s="1100"/>
      <c r="U49" s="1100"/>
      <c r="V49" s="1100"/>
      <c r="W49" s="1100"/>
      <c r="X49" s="1100"/>
      <c r="Y49" s="1100"/>
    </row>
    <row r="50" ht="17.25" customHeight="1">
      <c r="A50" s="437">
        <v>1.0</v>
      </c>
      <c r="B50" s="437" t="s">
        <v>6841</v>
      </c>
      <c r="C50" s="1040">
        <f>COUNTA($B$51:$B$56)</f>
        <v>4</v>
      </c>
      <c r="D50" s="1101"/>
      <c r="E50" s="1101"/>
      <c r="F50" s="1101"/>
      <c r="G50" s="1101"/>
      <c r="H50" s="1101"/>
      <c r="I50" s="1101"/>
      <c r="J50" s="1101"/>
      <c r="K50" s="1101"/>
      <c r="L50" s="1101"/>
      <c r="M50" s="1101"/>
      <c r="N50" s="1101"/>
      <c r="O50" s="1101"/>
      <c r="P50" s="1102"/>
      <c r="Q50" s="1102"/>
      <c r="R50" s="1103"/>
      <c r="S50" s="1103"/>
      <c r="T50" s="1103"/>
      <c r="U50" s="1103"/>
      <c r="V50" s="1103"/>
      <c r="W50" s="1103"/>
      <c r="X50" s="1103"/>
      <c r="Y50" s="1103"/>
    </row>
    <row r="51" ht="12.75" customHeight="1">
      <c r="A51" s="1104">
        <v>1.0</v>
      </c>
      <c r="B51" s="1105" t="s">
        <v>7421</v>
      </c>
      <c r="C51" s="1081" t="s">
        <v>7422</v>
      </c>
      <c r="D51" s="1104"/>
      <c r="E51" s="1104" t="s">
        <v>7252</v>
      </c>
      <c r="F51" s="1081" t="s">
        <v>7423</v>
      </c>
      <c r="G51" s="806" t="s">
        <v>6841</v>
      </c>
      <c r="H51" s="1106" t="s">
        <v>7295</v>
      </c>
      <c r="I51" s="1106" t="s">
        <v>7296</v>
      </c>
      <c r="J51" s="1107"/>
      <c r="K51" s="1107"/>
      <c r="L51" s="1104" t="s">
        <v>7257</v>
      </c>
      <c r="M51" s="1104">
        <v>7.5</v>
      </c>
      <c r="N51" s="1107"/>
      <c r="O51" s="1107"/>
      <c r="P51" s="1108"/>
      <c r="Q51" s="1108" t="s">
        <v>7424</v>
      </c>
      <c r="R51" s="1109"/>
      <c r="S51" s="1109"/>
      <c r="T51" s="1109"/>
      <c r="U51" s="1109"/>
      <c r="V51" s="1109"/>
      <c r="W51" s="1109"/>
      <c r="X51" s="1109"/>
      <c r="Y51" s="1109"/>
    </row>
    <row r="52" ht="12.75" customHeight="1">
      <c r="A52" s="1104">
        <v>1.0</v>
      </c>
      <c r="B52" s="1105" t="s">
        <v>7425</v>
      </c>
      <c r="C52" s="1081" t="s">
        <v>7426</v>
      </c>
      <c r="D52" s="1104"/>
      <c r="E52" s="1104" t="s">
        <v>7252</v>
      </c>
      <c r="F52" s="1081" t="s">
        <v>7427</v>
      </c>
      <c r="G52" s="806" t="s">
        <v>6841</v>
      </c>
      <c r="H52" s="1106" t="s">
        <v>7295</v>
      </c>
      <c r="I52" s="1106" t="s">
        <v>7296</v>
      </c>
      <c r="J52" s="1107"/>
      <c r="K52" s="1107"/>
      <c r="L52" s="1104" t="s">
        <v>7257</v>
      </c>
      <c r="M52" s="1104">
        <v>7.5</v>
      </c>
      <c r="N52" s="1107"/>
      <c r="O52" s="1107"/>
      <c r="P52" s="1108"/>
      <c r="Q52" s="1108" t="s">
        <v>7428</v>
      </c>
      <c r="R52" s="1109"/>
      <c r="S52" s="1109"/>
      <c r="T52" s="1109"/>
      <c r="U52" s="1109"/>
      <c r="V52" s="1109"/>
      <c r="W52" s="1109"/>
      <c r="X52" s="1109"/>
      <c r="Y52" s="1109"/>
    </row>
    <row r="53" ht="12.75" customHeight="1">
      <c r="A53" s="1104">
        <v>2.0</v>
      </c>
      <c r="B53" s="1105" t="s">
        <v>7271</v>
      </c>
      <c r="C53" s="1081"/>
      <c r="D53" s="1104"/>
      <c r="E53" s="1104" t="s">
        <v>7262</v>
      </c>
      <c r="F53" s="1081" t="s">
        <v>7429</v>
      </c>
      <c r="G53" s="806" t="s">
        <v>6841</v>
      </c>
      <c r="H53" s="1106" t="s">
        <v>7430</v>
      </c>
      <c r="I53" s="1106" t="s">
        <v>7431</v>
      </c>
      <c r="J53" s="1107"/>
      <c r="K53" s="1107"/>
      <c r="L53" s="1104" t="s">
        <v>7432</v>
      </c>
      <c r="M53" s="1104">
        <v>1.5</v>
      </c>
      <c r="N53" s="1155">
        <v>45695.0</v>
      </c>
      <c r="O53" s="1104" t="s">
        <v>890</v>
      </c>
      <c r="P53" s="1108"/>
      <c r="Q53" s="1108" t="s">
        <v>7433</v>
      </c>
      <c r="R53" s="1109"/>
      <c r="S53" s="1109"/>
      <c r="T53" s="1109"/>
      <c r="U53" s="1109"/>
      <c r="V53" s="1109"/>
      <c r="W53" s="1109"/>
      <c r="X53" s="1109"/>
      <c r="Y53" s="1109"/>
    </row>
    <row r="54" ht="12.75" customHeight="1">
      <c r="A54" s="1104">
        <v>3.0</v>
      </c>
      <c r="B54" s="1105" t="s">
        <v>7434</v>
      </c>
      <c r="C54" s="806"/>
      <c r="D54" s="1104"/>
      <c r="E54" s="1104" t="s">
        <v>7280</v>
      </c>
      <c r="F54" s="1084"/>
      <c r="G54" s="806" t="s">
        <v>6841</v>
      </c>
      <c r="H54" s="1110"/>
      <c r="I54" s="1110" t="s">
        <v>7281</v>
      </c>
      <c r="J54" s="1104"/>
      <c r="K54" s="1104"/>
      <c r="L54" s="1104" t="s">
        <v>7282</v>
      </c>
      <c r="M54" s="1111">
        <v>1.5</v>
      </c>
      <c r="N54" s="1112">
        <v>46000.0</v>
      </c>
      <c r="O54" s="1104" t="s">
        <v>890</v>
      </c>
      <c r="P54" s="1113"/>
      <c r="Q54" s="1113" t="s">
        <v>7435</v>
      </c>
      <c r="R54" s="1114"/>
      <c r="S54" s="1114"/>
      <c r="T54" s="1114"/>
      <c r="U54" s="1114"/>
      <c r="V54" s="1114"/>
      <c r="W54" s="1114"/>
      <c r="X54" s="1114"/>
      <c r="Y54" s="1114"/>
    </row>
    <row r="55" ht="12.75" customHeight="1">
      <c r="A55" s="1104"/>
      <c r="B55" s="1105"/>
      <c r="C55" s="1081"/>
      <c r="D55" s="1104"/>
      <c r="E55" s="1104"/>
      <c r="F55" s="1081"/>
      <c r="G55" s="806"/>
      <c r="H55" s="1106"/>
      <c r="I55" s="1106"/>
      <c r="J55" s="1107"/>
      <c r="K55" s="1107"/>
      <c r="L55" s="1104"/>
      <c r="M55" s="1104"/>
      <c r="N55" s="1107"/>
      <c r="O55" s="1107"/>
      <c r="P55" s="1108"/>
      <c r="Q55" s="1108"/>
      <c r="R55" s="1109"/>
      <c r="S55" s="1109"/>
      <c r="T55" s="1109"/>
      <c r="U55" s="1109"/>
      <c r="V55" s="1109"/>
      <c r="W55" s="1109"/>
      <c r="X55" s="1109"/>
      <c r="Y55" s="1109"/>
    </row>
    <row r="56" ht="12.75" hidden="1" customHeight="1">
      <c r="A56" s="1104"/>
      <c r="B56" s="1105"/>
      <c r="C56" s="1081" t="s">
        <v>374</v>
      </c>
      <c r="D56" s="1104"/>
      <c r="E56" s="1104"/>
      <c r="F56" s="1081"/>
      <c r="G56" s="806"/>
      <c r="H56" s="1106"/>
      <c r="I56" s="1106"/>
      <c r="J56" s="1107"/>
      <c r="K56" s="1107"/>
      <c r="L56" s="1104"/>
      <c r="M56" s="1104"/>
      <c r="N56" s="1107"/>
      <c r="O56" s="1107"/>
      <c r="P56" s="1108"/>
      <c r="Q56" s="1108"/>
      <c r="R56" s="1109"/>
      <c r="S56" s="1109"/>
      <c r="T56" s="1109"/>
      <c r="U56" s="1109"/>
      <c r="V56" s="1109"/>
      <c r="W56" s="1109"/>
      <c r="X56" s="1109"/>
      <c r="Y56" s="1109"/>
    </row>
    <row r="57" ht="17.25" customHeight="1">
      <c r="A57" s="437">
        <v>2.0</v>
      </c>
      <c r="B57" s="437" t="s">
        <v>6866</v>
      </c>
      <c r="C57" s="1040">
        <f>COUNTA($B$58:$B$61)</f>
        <v>3</v>
      </c>
      <c r="D57" s="1101"/>
      <c r="E57" s="1101"/>
      <c r="F57" s="1101"/>
      <c r="G57" s="1101"/>
      <c r="H57" s="1101"/>
      <c r="I57" s="1101"/>
      <c r="J57" s="1101"/>
      <c r="K57" s="1101"/>
      <c r="L57" s="1101"/>
      <c r="M57" s="1101"/>
      <c r="N57" s="1101"/>
      <c r="O57" s="1101"/>
      <c r="P57" s="1102"/>
      <c r="Q57" s="1102"/>
      <c r="R57" s="1103"/>
      <c r="S57" s="1103"/>
      <c r="T57" s="1103"/>
      <c r="U57" s="1103"/>
      <c r="V57" s="1103"/>
      <c r="W57" s="1103"/>
      <c r="X57" s="1103"/>
      <c r="Y57" s="1103"/>
    </row>
    <row r="58" ht="12.75" customHeight="1">
      <c r="A58" s="1104">
        <v>1.0</v>
      </c>
      <c r="B58" s="1138" t="s">
        <v>7436</v>
      </c>
      <c r="C58" s="1141"/>
      <c r="D58" s="1140"/>
      <c r="E58" s="1140" t="s">
        <v>7262</v>
      </c>
      <c r="F58" s="1139" t="s">
        <v>7437</v>
      </c>
      <c r="G58" s="1139" t="s">
        <v>6866</v>
      </c>
      <c r="H58" s="1156" t="s">
        <v>7263</v>
      </c>
      <c r="I58" s="1142" t="s">
        <v>7265</v>
      </c>
      <c r="J58" s="1140">
        <v>2023.0</v>
      </c>
      <c r="K58" s="1140" t="s">
        <v>883</v>
      </c>
      <c r="L58" s="1140" t="s">
        <v>7266</v>
      </c>
      <c r="M58" s="1157">
        <v>4.0</v>
      </c>
      <c r="N58" s="1158">
        <v>45272.0</v>
      </c>
      <c r="O58" s="1140" t="s">
        <v>1565</v>
      </c>
      <c r="P58" s="1159"/>
      <c r="Q58" s="1159" t="s">
        <v>6866</v>
      </c>
      <c r="R58" s="1160"/>
      <c r="S58" s="1160"/>
      <c r="T58" s="1160"/>
      <c r="U58" s="1160"/>
      <c r="V58" s="1160"/>
      <c r="W58" s="1160"/>
      <c r="X58" s="1160"/>
      <c r="Y58" s="1160"/>
    </row>
    <row r="59" ht="12.75" customHeight="1">
      <c r="A59" s="1104">
        <v>2.0</v>
      </c>
      <c r="B59" s="1105" t="s">
        <v>7438</v>
      </c>
      <c r="C59" s="806"/>
      <c r="D59" s="1104"/>
      <c r="E59" s="1104" t="s">
        <v>7280</v>
      </c>
      <c r="F59" s="1084"/>
      <c r="G59" s="806" t="s">
        <v>6866</v>
      </c>
      <c r="H59" s="1110"/>
      <c r="I59" s="1110" t="s">
        <v>7281</v>
      </c>
      <c r="J59" s="1104"/>
      <c r="K59" s="1104"/>
      <c r="L59" s="1104" t="s">
        <v>7282</v>
      </c>
      <c r="M59" s="1111">
        <v>1.5</v>
      </c>
      <c r="N59" s="1112">
        <v>46000.0</v>
      </c>
      <c r="O59" s="1104" t="s">
        <v>890</v>
      </c>
      <c r="P59" s="1113"/>
      <c r="Q59" s="1113" t="s">
        <v>7439</v>
      </c>
      <c r="R59" s="1114"/>
      <c r="S59" s="1114"/>
      <c r="T59" s="1114"/>
      <c r="U59" s="1114"/>
      <c r="V59" s="1114"/>
      <c r="W59" s="1114"/>
      <c r="X59" s="1114"/>
      <c r="Y59" s="1114"/>
    </row>
    <row r="60" ht="12.75" customHeight="1">
      <c r="A60" s="1104">
        <v>3.0</v>
      </c>
      <c r="B60" s="1105" t="s">
        <v>7440</v>
      </c>
      <c r="C60" s="1081"/>
      <c r="D60" s="1104"/>
      <c r="E60" s="1104" t="s">
        <v>7441</v>
      </c>
      <c r="F60" s="1081" t="s">
        <v>2020</v>
      </c>
      <c r="G60" s="806" t="s">
        <v>6866</v>
      </c>
      <c r="H60" s="1106" t="s">
        <v>7442</v>
      </c>
      <c r="I60" s="1106"/>
      <c r="J60" s="1107"/>
      <c r="K60" s="1107"/>
      <c r="L60" s="1104" t="s">
        <v>7443</v>
      </c>
      <c r="M60" s="1104"/>
      <c r="N60" s="1112">
        <v>45996.0</v>
      </c>
      <c r="O60" s="1104" t="s">
        <v>2795</v>
      </c>
      <c r="P60" s="1108"/>
      <c r="Q60" s="1108" t="s">
        <v>7444</v>
      </c>
      <c r="R60" s="1109"/>
      <c r="S60" s="1109"/>
      <c r="T60" s="1109"/>
      <c r="U60" s="1109"/>
      <c r="V60" s="1109"/>
      <c r="W60" s="1109"/>
      <c r="X60" s="1109"/>
      <c r="Y60" s="1109"/>
    </row>
    <row r="61" ht="12.75" customHeight="1">
      <c r="A61" s="1104"/>
      <c r="B61" s="1105"/>
      <c r="C61" s="1081" t="s">
        <v>374</v>
      </c>
      <c r="D61" s="1104"/>
      <c r="E61" s="1104"/>
      <c r="F61" s="1081"/>
      <c r="G61" s="806"/>
      <c r="H61" s="1106"/>
      <c r="I61" s="1106"/>
      <c r="J61" s="1107"/>
      <c r="K61" s="1107"/>
      <c r="L61" s="1104"/>
      <c r="M61" s="1104"/>
      <c r="N61" s="1107"/>
      <c r="O61" s="1107"/>
      <c r="P61" s="1108"/>
      <c r="Q61" s="1108"/>
      <c r="R61" s="1109"/>
      <c r="S61" s="1109"/>
      <c r="T61" s="1109"/>
      <c r="U61" s="1109"/>
      <c r="V61" s="1109"/>
      <c r="W61" s="1109"/>
      <c r="X61" s="1109"/>
      <c r="Y61" s="1109"/>
    </row>
    <row r="62" ht="17.25" customHeight="1">
      <c r="A62" s="437">
        <v>3.0</v>
      </c>
      <c r="B62" s="437" t="s">
        <v>7445</v>
      </c>
      <c r="C62" s="1040">
        <f>COUNTA($B$63:$B$65)</f>
        <v>1</v>
      </c>
      <c r="D62" s="1101"/>
      <c r="E62" s="1101"/>
      <c r="F62" s="1101"/>
      <c r="G62" s="1101"/>
      <c r="H62" s="1101"/>
      <c r="I62" s="1101"/>
      <c r="J62" s="1101"/>
      <c r="K62" s="1101"/>
      <c r="L62" s="1101"/>
      <c r="M62" s="1101"/>
      <c r="N62" s="1101"/>
      <c r="O62" s="1101"/>
      <c r="P62" s="1102"/>
      <c r="Q62" s="1102"/>
      <c r="R62" s="1103"/>
      <c r="S62" s="1103"/>
      <c r="T62" s="1103"/>
      <c r="U62" s="1103"/>
      <c r="V62" s="1103"/>
      <c r="W62" s="1103"/>
      <c r="X62" s="1103"/>
      <c r="Y62" s="1103"/>
    </row>
    <row r="63" ht="12.75" customHeight="1">
      <c r="A63" s="1104">
        <v>1.0</v>
      </c>
      <c r="B63" s="1105" t="s">
        <v>7446</v>
      </c>
      <c r="C63" s="1081" t="s">
        <v>7447</v>
      </c>
      <c r="D63" s="1104"/>
      <c r="E63" s="1104" t="s">
        <v>7252</v>
      </c>
      <c r="F63" s="1081" t="s">
        <v>7448</v>
      </c>
      <c r="G63" s="806" t="s">
        <v>7445</v>
      </c>
      <c r="H63" s="1106" t="s">
        <v>7254</v>
      </c>
      <c r="I63" s="1106" t="s">
        <v>7255</v>
      </c>
      <c r="J63" s="1107"/>
      <c r="K63" s="1107"/>
      <c r="L63" s="1104" t="s">
        <v>7257</v>
      </c>
      <c r="M63" s="1104">
        <v>7.5</v>
      </c>
      <c r="N63" s="1107"/>
      <c r="O63" s="1107"/>
      <c r="P63" s="1108"/>
      <c r="Q63" s="1108" t="s">
        <v>7449</v>
      </c>
      <c r="R63" s="1109"/>
      <c r="S63" s="1109"/>
      <c r="T63" s="1109"/>
      <c r="U63" s="1109"/>
      <c r="V63" s="1109"/>
      <c r="W63" s="1109"/>
      <c r="X63" s="1109"/>
      <c r="Y63" s="1109"/>
    </row>
    <row r="64" ht="12.75" customHeight="1">
      <c r="A64" s="1104"/>
      <c r="B64" s="1105"/>
      <c r="C64" s="1081"/>
      <c r="D64" s="1104"/>
      <c r="E64" s="1104"/>
      <c r="F64" s="1081"/>
      <c r="G64" s="806"/>
      <c r="H64" s="1106"/>
      <c r="I64" s="1106"/>
      <c r="J64" s="1107"/>
      <c r="K64" s="1107"/>
      <c r="L64" s="1104"/>
      <c r="M64" s="1104"/>
      <c r="N64" s="1107"/>
      <c r="O64" s="1107"/>
      <c r="P64" s="1108"/>
      <c r="Q64" s="1108"/>
      <c r="R64" s="1109"/>
      <c r="S64" s="1109"/>
      <c r="T64" s="1109"/>
      <c r="U64" s="1109"/>
      <c r="V64" s="1109"/>
      <c r="W64" s="1109"/>
      <c r="X64" s="1109"/>
      <c r="Y64" s="1109"/>
    </row>
    <row r="65" ht="12.75" hidden="1" customHeight="1">
      <c r="A65" s="1104"/>
      <c r="B65" s="1105"/>
      <c r="C65" s="1081" t="s">
        <v>374</v>
      </c>
      <c r="D65" s="1104"/>
      <c r="E65" s="1104"/>
      <c r="F65" s="1081"/>
      <c r="G65" s="806"/>
      <c r="H65" s="1106"/>
      <c r="I65" s="1106"/>
      <c r="J65" s="1107"/>
      <c r="K65" s="1107"/>
      <c r="L65" s="1104"/>
      <c r="M65" s="1104"/>
      <c r="N65" s="1107"/>
      <c r="O65" s="1107"/>
      <c r="P65" s="1108"/>
      <c r="Q65" s="1108"/>
      <c r="R65" s="1109"/>
      <c r="S65" s="1109"/>
      <c r="T65" s="1109"/>
      <c r="U65" s="1109"/>
      <c r="V65" s="1109"/>
      <c r="W65" s="1109"/>
      <c r="X65" s="1109"/>
      <c r="Y65" s="1109"/>
    </row>
    <row r="66" ht="17.25" customHeight="1">
      <c r="A66" s="437">
        <v>4.0</v>
      </c>
      <c r="B66" s="437" t="s">
        <v>7076</v>
      </c>
      <c r="C66" s="1040">
        <f>COUNTA($B$67:$B$74)</f>
        <v>6</v>
      </c>
      <c r="D66" s="1101"/>
      <c r="E66" s="1101"/>
      <c r="F66" s="1101"/>
      <c r="G66" s="1101"/>
      <c r="H66" s="1101"/>
      <c r="I66" s="1101"/>
      <c r="J66" s="1101"/>
      <c r="K66" s="1101"/>
      <c r="L66" s="1101"/>
      <c r="M66" s="1101"/>
      <c r="N66" s="1101"/>
      <c r="O66" s="1101"/>
      <c r="P66" s="1102"/>
      <c r="Q66" s="1102"/>
      <c r="R66" s="1103"/>
      <c r="S66" s="1103"/>
      <c r="T66" s="1103"/>
      <c r="U66" s="1103"/>
      <c r="V66" s="1103"/>
      <c r="W66" s="1103"/>
      <c r="X66" s="1103"/>
      <c r="Y66" s="1103"/>
    </row>
    <row r="67" ht="12.75" customHeight="1">
      <c r="A67" s="1104">
        <v>1.0</v>
      </c>
      <c r="B67" s="1105" t="s">
        <v>7451</v>
      </c>
      <c r="C67" s="1084"/>
      <c r="D67" s="1104"/>
      <c r="E67" s="1104" t="s">
        <v>7252</v>
      </c>
      <c r="F67" s="1081" t="s">
        <v>7452</v>
      </c>
      <c r="G67" s="806" t="s">
        <v>7453</v>
      </c>
      <c r="H67" s="1106" t="s">
        <v>7295</v>
      </c>
      <c r="I67" s="1106" t="s">
        <v>7296</v>
      </c>
      <c r="J67" s="1107"/>
      <c r="K67" s="1107"/>
      <c r="L67" s="1104" t="s">
        <v>7257</v>
      </c>
      <c r="M67" s="1104">
        <v>7.5</v>
      </c>
      <c r="N67" s="1107"/>
      <c r="O67" s="1107"/>
      <c r="P67" s="1116"/>
      <c r="Q67" s="1116" t="s">
        <v>7454</v>
      </c>
      <c r="R67" s="1117"/>
      <c r="S67" s="1117"/>
      <c r="T67" s="1117"/>
      <c r="U67" s="1117"/>
      <c r="V67" s="1117"/>
      <c r="W67" s="1117"/>
      <c r="X67" s="1117"/>
      <c r="Y67" s="1117"/>
    </row>
    <row r="68" ht="12.75" customHeight="1">
      <c r="A68" s="1104">
        <f t="shared" ref="A68:A71" si="3">A67+1</f>
        <v>2</v>
      </c>
      <c r="B68" s="1105" t="s">
        <v>7455</v>
      </c>
      <c r="C68" s="1161" t="s">
        <v>7456</v>
      </c>
      <c r="D68" s="1104"/>
      <c r="E68" s="1104" t="s">
        <v>7252</v>
      </c>
      <c r="F68" s="1084"/>
      <c r="G68" s="806" t="s">
        <v>65</v>
      </c>
      <c r="H68" s="1121"/>
      <c r="I68" s="1121"/>
      <c r="J68" s="1107"/>
      <c r="K68" s="1107"/>
      <c r="L68" s="1104" t="s">
        <v>7257</v>
      </c>
      <c r="M68" s="1104">
        <v>7.5</v>
      </c>
      <c r="N68" s="1107"/>
      <c r="O68" s="1107"/>
      <c r="P68" s="1162"/>
      <c r="Q68" s="1162"/>
      <c r="R68" s="1163"/>
      <c r="S68" s="1163"/>
      <c r="T68" s="1163"/>
      <c r="U68" s="1163"/>
      <c r="V68" s="1163"/>
      <c r="W68" s="1163"/>
      <c r="X68" s="1163"/>
      <c r="Y68" s="1163"/>
    </row>
    <row r="69" ht="12.75" customHeight="1">
      <c r="A69" s="1104">
        <f t="shared" si="3"/>
        <v>3</v>
      </c>
      <c r="B69" s="1105" t="s">
        <v>7457</v>
      </c>
      <c r="C69" s="1084"/>
      <c r="D69" s="1104"/>
      <c r="E69" s="1104" t="s">
        <v>7252</v>
      </c>
      <c r="F69" s="1084"/>
      <c r="G69" s="806" t="s">
        <v>7458</v>
      </c>
      <c r="H69" s="1121"/>
      <c r="I69" s="1121"/>
      <c r="J69" s="1107"/>
      <c r="K69" s="1107"/>
      <c r="L69" s="1104" t="s">
        <v>7257</v>
      </c>
      <c r="M69" s="1104">
        <v>7.5</v>
      </c>
      <c r="N69" s="1107"/>
      <c r="O69" s="1107"/>
      <c r="P69" s="1116"/>
      <c r="Q69" s="1116" t="s">
        <v>7459</v>
      </c>
      <c r="R69" s="1117"/>
      <c r="S69" s="1117"/>
      <c r="T69" s="1117"/>
      <c r="U69" s="1117"/>
      <c r="V69" s="1117"/>
      <c r="W69" s="1117"/>
      <c r="X69" s="1117"/>
      <c r="Y69" s="1117"/>
    </row>
    <row r="70" ht="12.75" customHeight="1">
      <c r="A70" s="1104">
        <f t="shared" si="3"/>
        <v>4</v>
      </c>
      <c r="B70" s="1105" t="s">
        <v>7460</v>
      </c>
      <c r="C70" s="1084"/>
      <c r="D70" s="1104"/>
      <c r="E70" s="1104" t="s">
        <v>7252</v>
      </c>
      <c r="F70" s="1081" t="s">
        <v>7461</v>
      </c>
      <c r="G70" s="806" t="s">
        <v>7458</v>
      </c>
      <c r="H70" s="1106" t="s">
        <v>7295</v>
      </c>
      <c r="I70" s="1106" t="s">
        <v>7296</v>
      </c>
      <c r="J70" s="1107"/>
      <c r="K70" s="1107"/>
      <c r="L70" s="1104" t="s">
        <v>7257</v>
      </c>
      <c r="M70" s="1104">
        <v>7.5</v>
      </c>
      <c r="N70" s="1107"/>
      <c r="O70" s="1107"/>
      <c r="P70" s="1116"/>
      <c r="Q70" s="1116" t="s">
        <v>7462</v>
      </c>
      <c r="R70" s="1117"/>
      <c r="S70" s="1117"/>
      <c r="T70" s="1117"/>
      <c r="U70" s="1117"/>
      <c r="V70" s="1117"/>
      <c r="W70" s="1117"/>
      <c r="X70" s="1117"/>
      <c r="Y70" s="1117"/>
    </row>
    <row r="71" ht="12.75" customHeight="1">
      <c r="A71" s="1164">
        <f t="shared" si="3"/>
        <v>5</v>
      </c>
      <c r="B71" s="1165" t="s">
        <v>7463</v>
      </c>
      <c r="C71" s="1166"/>
      <c r="D71" s="1164"/>
      <c r="E71" s="1164" t="s">
        <v>7393</v>
      </c>
      <c r="F71" s="1166"/>
      <c r="G71" s="1167" t="s">
        <v>7464</v>
      </c>
      <c r="H71" s="1121"/>
      <c r="I71" s="1106" t="s">
        <v>7465</v>
      </c>
      <c r="J71" s="1107"/>
      <c r="K71" s="1107"/>
      <c r="L71" s="1104" t="s">
        <v>7395</v>
      </c>
      <c r="M71" s="1104">
        <v>25.0</v>
      </c>
      <c r="N71" s="1107"/>
      <c r="O71" s="1107"/>
      <c r="P71" s="1116" t="s">
        <v>7466</v>
      </c>
      <c r="Q71" s="1116" t="s">
        <v>7467</v>
      </c>
      <c r="R71" s="1117"/>
      <c r="S71" s="1117"/>
      <c r="T71" s="1117"/>
      <c r="U71" s="1117"/>
      <c r="V71" s="1117"/>
      <c r="W71" s="1117"/>
      <c r="X71" s="1117"/>
      <c r="Y71" s="1117"/>
    </row>
    <row r="72" ht="12.75" customHeight="1">
      <c r="A72" s="1104"/>
      <c r="B72" s="809" t="s">
        <v>7468</v>
      </c>
      <c r="C72" s="806"/>
      <c r="D72" s="1104"/>
      <c r="E72" s="806" t="s">
        <v>7469</v>
      </c>
      <c r="F72" s="806" t="s">
        <v>7470</v>
      </c>
      <c r="G72" s="806" t="s">
        <v>6866</v>
      </c>
      <c r="H72" s="1110"/>
      <c r="I72" s="1115" t="s">
        <v>7471</v>
      </c>
      <c r="J72" s="1104"/>
      <c r="K72" s="1104"/>
      <c r="L72" s="806" t="s">
        <v>7472</v>
      </c>
      <c r="M72" s="806">
        <v>3.5</v>
      </c>
      <c r="N72" s="1104"/>
      <c r="O72" s="1104"/>
      <c r="P72" s="806" t="s">
        <v>1027</v>
      </c>
      <c r="Q72" s="1168" t="s">
        <v>7473</v>
      </c>
      <c r="R72" s="1117"/>
      <c r="S72" s="1117"/>
      <c r="T72" s="1117"/>
      <c r="U72" s="1117"/>
      <c r="V72" s="1117"/>
      <c r="W72" s="1117"/>
      <c r="X72" s="1117"/>
      <c r="Y72" s="1117"/>
    </row>
    <row r="73" ht="12.75" customHeight="1">
      <c r="A73" s="1164"/>
      <c r="B73" s="1165"/>
      <c r="C73" s="1166"/>
      <c r="D73" s="1164"/>
      <c r="E73" s="1164"/>
      <c r="F73" s="1166"/>
      <c r="G73" s="1167"/>
      <c r="H73" s="1121"/>
      <c r="I73" s="1106"/>
      <c r="J73" s="1107"/>
      <c r="K73" s="1107"/>
      <c r="L73" s="1104"/>
      <c r="M73" s="1104"/>
      <c r="N73" s="1107"/>
      <c r="O73" s="1107"/>
      <c r="P73" s="1116"/>
      <c r="Q73" s="1116"/>
      <c r="R73" s="1117"/>
      <c r="S73" s="1117"/>
      <c r="T73" s="1117"/>
      <c r="U73" s="1117"/>
      <c r="V73" s="1117"/>
      <c r="W73" s="1117"/>
      <c r="X73" s="1117"/>
      <c r="Y73" s="1117"/>
    </row>
    <row r="74" ht="12.75" hidden="1" customHeight="1">
      <c r="A74" s="1104"/>
      <c r="B74" s="1105"/>
      <c r="C74" s="1081" t="s">
        <v>374</v>
      </c>
      <c r="D74" s="1104"/>
      <c r="E74" s="1104"/>
      <c r="F74" s="1084"/>
      <c r="G74" s="806"/>
      <c r="H74" s="1121"/>
      <c r="I74" s="1106"/>
      <c r="J74" s="1107"/>
      <c r="K74" s="1107"/>
      <c r="L74" s="1104"/>
      <c r="M74" s="1104"/>
      <c r="N74" s="1107"/>
      <c r="O74" s="1107"/>
      <c r="P74" s="1116"/>
      <c r="Q74" s="1116"/>
      <c r="R74" s="1117"/>
      <c r="S74" s="1117"/>
      <c r="T74" s="1117"/>
      <c r="U74" s="1117"/>
      <c r="V74" s="1117"/>
      <c r="W74" s="1117"/>
      <c r="X74" s="1117"/>
      <c r="Y74" s="1117"/>
    </row>
    <row r="75" ht="21.75" customHeight="1">
      <c r="A75" s="1096" t="s">
        <v>3884</v>
      </c>
      <c r="B75" s="1096" t="s">
        <v>7478</v>
      </c>
      <c r="C75" s="1097">
        <f>$C$76+$C$85+$C$94+$C$90</f>
        <v>26</v>
      </c>
      <c r="D75" s="1098"/>
      <c r="E75" s="1098"/>
      <c r="F75" s="1098"/>
      <c r="G75" s="1098"/>
      <c r="H75" s="1098"/>
      <c r="I75" s="1098"/>
      <c r="J75" s="1098"/>
      <c r="K75" s="1098"/>
      <c r="L75" s="1098"/>
      <c r="M75" s="1098"/>
      <c r="N75" s="1098"/>
      <c r="O75" s="1098"/>
      <c r="P75" s="1099"/>
      <c r="Q75" s="1099"/>
      <c r="R75" s="1100"/>
      <c r="S75" s="1100"/>
      <c r="T75" s="1100"/>
      <c r="U75" s="1100"/>
      <c r="V75" s="1100"/>
      <c r="W75" s="1100"/>
      <c r="X75" s="1100"/>
      <c r="Y75" s="1100"/>
    </row>
    <row r="76" ht="17.25" customHeight="1">
      <c r="A76" s="437">
        <v>1.0</v>
      </c>
      <c r="B76" s="437" t="s">
        <v>6329</v>
      </c>
      <c r="C76" s="1040">
        <f>COUNTA($B$77:$B$84)</f>
        <v>7</v>
      </c>
      <c r="D76" s="1101"/>
      <c r="E76" s="1101"/>
      <c r="F76" s="1101"/>
      <c r="G76" s="1101"/>
      <c r="H76" s="1101"/>
      <c r="I76" s="1101"/>
      <c r="J76" s="1101"/>
      <c r="K76" s="1101"/>
      <c r="L76" s="1101"/>
      <c r="M76" s="1101"/>
      <c r="N76" s="1101"/>
      <c r="O76" s="1101"/>
      <c r="P76" s="1102"/>
      <c r="Q76" s="1102"/>
      <c r="R76" s="1103"/>
      <c r="S76" s="1103"/>
      <c r="T76" s="1103"/>
      <c r="U76" s="1103"/>
      <c r="V76" s="1103"/>
      <c r="W76" s="1103"/>
      <c r="X76" s="1103"/>
      <c r="Y76" s="1103"/>
    </row>
    <row r="77" ht="12.75" customHeight="1">
      <c r="A77" s="1104">
        <v>1.0</v>
      </c>
      <c r="B77" s="1105" t="s">
        <v>7482</v>
      </c>
      <c r="C77" s="1081" t="s">
        <v>7483</v>
      </c>
      <c r="D77" s="1104"/>
      <c r="E77" s="1104" t="s">
        <v>7485</v>
      </c>
      <c r="F77" s="1084"/>
      <c r="G77" s="806" t="s">
        <v>7486</v>
      </c>
      <c r="H77" s="1121"/>
      <c r="I77" s="1106" t="s">
        <v>7487</v>
      </c>
      <c r="J77" s="1107"/>
      <c r="K77" s="1107"/>
      <c r="L77" s="1104" t="s">
        <v>7488</v>
      </c>
      <c r="M77" s="1104">
        <v>3.25</v>
      </c>
      <c r="N77" s="1107"/>
      <c r="O77" s="1107"/>
      <c r="P77" s="1116"/>
      <c r="Q77" s="1116" t="s">
        <v>7489</v>
      </c>
      <c r="R77" s="1117"/>
      <c r="S77" s="1117"/>
      <c r="T77" s="1117"/>
      <c r="U77" s="1117"/>
      <c r="V77" s="1117"/>
      <c r="W77" s="1117"/>
      <c r="X77" s="1117"/>
      <c r="Y77" s="1117"/>
    </row>
    <row r="78" ht="12.75" customHeight="1">
      <c r="A78" s="1104">
        <f t="shared" ref="A78:A83" si="4">A77+1</f>
        <v>2</v>
      </c>
      <c r="B78" s="1105" t="s">
        <v>7492</v>
      </c>
      <c r="C78" s="1081" t="s">
        <v>7493</v>
      </c>
      <c r="D78" s="1104"/>
      <c r="E78" s="1104" t="s">
        <v>7393</v>
      </c>
      <c r="F78" s="1084"/>
      <c r="G78" s="806" t="s">
        <v>7486</v>
      </c>
      <c r="H78" s="1121"/>
      <c r="I78" s="1121"/>
      <c r="J78" s="1107"/>
      <c r="K78" s="1107"/>
      <c r="L78" s="1104" t="s">
        <v>7395</v>
      </c>
      <c r="M78" s="1104">
        <v>25.0</v>
      </c>
      <c r="N78" s="1107"/>
      <c r="O78" s="1107"/>
      <c r="P78" s="1108"/>
      <c r="Q78" s="1108" t="s">
        <v>7494</v>
      </c>
      <c r="R78" s="1109"/>
      <c r="S78" s="1109"/>
      <c r="T78" s="1109"/>
      <c r="U78" s="1109"/>
      <c r="V78" s="1109"/>
      <c r="W78" s="1109"/>
      <c r="X78" s="1109"/>
      <c r="Y78" s="1109"/>
    </row>
    <row r="79" ht="12.75" customHeight="1">
      <c r="A79" s="1104">
        <f t="shared" si="4"/>
        <v>3</v>
      </c>
      <c r="B79" s="1105" t="s">
        <v>7495</v>
      </c>
      <c r="C79" s="1081" t="s">
        <v>7496</v>
      </c>
      <c r="D79" s="1104"/>
      <c r="E79" s="1104" t="s">
        <v>7252</v>
      </c>
      <c r="F79" s="1081" t="s">
        <v>7497</v>
      </c>
      <c r="G79" s="806" t="s">
        <v>7486</v>
      </c>
      <c r="H79" s="1106" t="s">
        <v>7295</v>
      </c>
      <c r="I79" s="1106" t="s">
        <v>7296</v>
      </c>
      <c r="J79" s="1107"/>
      <c r="K79" s="1107"/>
      <c r="L79" s="1104" t="s">
        <v>7257</v>
      </c>
      <c r="M79" s="1104">
        <v>7.5</v>
      </c>
      <c r="N79" s="1107"/>
      <c r="O79" s="1107"/>
      <c r="P79" s="1108"/>
      <c r="Q79" s="1108" t="s">
        <v>7499</v>
      </c>
      <c r="R79" s="1109"/>
      <c r="S79" s="1109"/>
      <c r="T79" s="1109"/>
      <c r="U79" s="1109"/>
      <c r="V79" s="1109"/>
      <c r="W79" s="1109"/>
      <c r="X79" s="1109"/>
      <c r="Y79" s="1109"/>
    </row>
    <row r="80" ht="12.75" customHeight="1">
      <c r="A80" s="1104">
        <f t="shared" si="4"/>
        <v>4</v>
      </c>
      <c r="B80" s="1105" t="s">
        <v>7501</v>
      </c>
      <c r="C80" s="1080" t="s">
        <v>890</v>
      </c>
      <c r="D80" s="1080" t="s">
        <v>7502</v>
      </c>
      <c r="E80" s="1104" t="s">
        <v>7503</v>
      </c>
      <c r="F80" s="1084"/>
      <c r="G80" s="806" t="s">
        <v>7486</v>
      </c>
      <c r="H80" s="1106" t="s">
        <v>7504</v>
      </c>
      <c r="I80" s="1106">
        <v>3800.0</v>
      </c>
      <c r="J80" s="1107"/>
      <c r="K80" s="1107"/>
      <c r="L80" s="1104" t="s">
        <v>7505</v>
      </c>
      <c r="M80" s="1169">
        <v>2.0</v>
      </c>
      <c r="N80" s="1104" t="s">
        <v>1680</v>
      </c>
      <c r="O80" s="1104" t="s">
        <v>1938</v>
      </c>
      <c r="P80" s="1113"/>
      <c r="Q80" s="1113" t="s">
        <v>7486</v>
      </c>
      <c r="R80" s="1114"/>
      <c r="S80" s="1114"/>
      <c r="T80" s="1114"/>
      <c r="U80" s="1114"/>
      <c r="V80" s="1114"/>
      <c r="W80" s="1114"/>
      <c r="X80" s="1114"/>
      <c r="Y80" s="1114"/>
    </row>
    <row r="81" ht="12.75" customHeight="1">
      <c r="A81" s="1104">
        <f t="shared" si="4"/>
        <v>5</v>
      </c>
      <c r="B81" s="1105" t="s">
        <v>7507</v>
      </c>
      <c r="C81" s="1080" t="s">
        <v>890</v>
      </c>
      <c r="D81" s="1170"/>
      <c r="E81" s="1104" t="s">
        <v>7252</v>
      </c>
      <c r="F81" s="806" t="s">
        <v>7509</v>
      </c>
      <c r="G81" s="806" t="s">
        <v>7510</v>
      </c>
      <c r="H81" s="1106" t="s">
        <v>7254</v>
      </c>
      <c r="I81" s="1106" t="s">
        <v>7255</v>
      </c>
      <c r="J81" s="1104">
        <v>2021.0</v>
      </c>
      <c r="K81" s="1104" t="s">
        <v>883</v>
      </c>
      <c r="L81" s="1104" t="s">
        <v>7257</v>
      </c>
      <c r="M81" s="1169">
        <v>7.5</v>
      </c>
      <c r="N81" s="1171">
        <v>45211.0</v>
      </c>
      <c r="O81" s="1104" t="s">
        <v>1938</v>
      </c>
      <c r="P81" s="1113"/>
      <c r="Q81" s="1113" t="s">
        <v>7512</v>
      </c>
      <c r="R81" s="1114"/>
      <c r="S81" s="1114"/>
      <c r="T81" s="1114"/>
      <c r="U81" s="1114"/>
      <c r="V81" s="1114"/>
      <c r="W81" s="1114"/>
      <c r="X81" s="1114"/>
      <c r="Y81" s="1114"/>
    </row>
    <row r="82" ht="12.75" customHeight="1">
      <c r="A82" s="1104">
        <f t="shared" si="4"/>
        <v>6</v>
      </c>
      <c r="B82" s="1105" t="s">
        <v>7401</v>
      </c>
      <c r="C82" s="1080" t="s">
        <v>2306</v>
      </c>
      <c r="D82" s="1170"/>
      <c r="E82" s="1104" t="s">
        <v>7252</v>
      </c>
      <c r="F82" s="806"/>
      <c r="G82" s="806" t="s">
        <v>7486</v>
      </c>
      <c r="H82" s="1106"/>
      <c r="I82" s="1106"/>
      <c r="J82" s="1104"/>
      <c r="K82" s="1104"/>
      <c r="L82" s="1104" t="s">
        <v>7369</v>
      </c>
      <c r="M82" s="1169">
        <v>7.5</v>
      </c>
      <c r="N82" s="1112">
        <v>45536.0</v>
      </c>
      <c r="O82" s="1104" t="s">
        <v>2306</v>
      </c>
      <c r="P82" s="1172" t="s">
        <v>7514</v>
      </c>
      <c r="Q82" s="1113" t="s">
        <v>7515</v>
      </c>
      <c r="R82" s="1114"/>
      <c r="S82" s="1114"/>
      <c r="T82" s="1114"/>
      <c r="U82" s="1114"/>
      <c r="V82" s="1114"/>
      <c r="W82" s="1114"/>
      <c r="X82" s="1114"/>
      <c r="Y82" s="1114"/>
    </row>
    <row r="83" ht="12.75" customHeight="1">
      <c r="A83" s="1104">
        <f t="shared" si="4"/>
        <v>7</v>
      </c>
      <c r="B83" s="1105" t="s">
        <v>7517</v>
      </c>
      <c r="C83" s="1080" t="s">
        <v>2306</v>
      </c>
      <c r="D83" s="1170"/>
      <c r="E83" s="1104" t="s">
        <v>7252</v>
      </c>
      <c r="F83" s="806">
        <v>8.2269979E7</v>
      </c>
      <c r="G83" s="806" t="s">
        <v>7486</v>
      </c>
      <c r="H83" s="1106" t="s">
        <v>7518</v>
      </c>
      <c r="I83" s="1106" t="s">
        <v>7519</v>
      </c>
      <c r="J83" s="1104"/>
      <c r="K83" s="1104" t="s">
        <v>883</v>
      </c>
      <c r="L83" s="1104" t="s">
        <v>7369</v>
      </c>
      <c r="M83" s="1169">
        <v>7.5</v>
      </c>
      <c r="N83" s="1112">
        <v>45512.0</v>
      </c>
      <c r="O83" s="1104" t="s">
        <v>7520</v>
      </c>
      <c r="P83" s="1172"/>
      <c r="Q83" s="1113" t="s">
        <v>7521</v>
      </c>
      <c r="R83" s="1114"/>
      <c r="S83" s="1114"/>
      <c r="T83" s="1114"/>
      <c r="U83" s="1114"/>
      <c r="V83" s="1114"/>
      <c r="W83" s="1114"/>
      <c r="X83" s="1114"/>
      <c r="Y83" s="1114"/>
    </row>
    <row r="84" ht="12.75" hidden="1" customHeight="1">
      <c r="A84" s="1104"/>
      <c r="B84" s="1105"/>
      <c r="C84" s="1080" t="s">
        <v>374</v>
      </c>
      <c r="D84" s="1170"/>
      <c r="E84" s="1104"/>
      <c r="F84" s="806"/>
      <c r="G84" s="806"/>
      <c r="H84" s="1106"/>
      <c r="I84" s="1106"/>
      <c r="J84" s="1104"/>
      <c r="K84" s="1104"/>
      <c r="L84" s="1104"/>
      <c r="M84" s="1169"/>
      <c r="N84" s="1112"/>
      <c r="O84" s="1104"/>
      <c r="P84" s="1172"/>
      <c r="Q84" s="1113"/>
      <c r="R84" s="1114"/>
      <c r="S84" s="1114"/>
      <c r="T84" s="1114"/>
      <c r="U84" s="1114"/>
      <c r="V84" s="1114"/>
      <c r="W84" s="1114"/>
      <c r="X84" s="1114"/>
      <c r="Y84" s="1114"/>
    </row>
    <row r="85" ht="17.25" customHeight="1">
      <c r="A85" s="437">
        <v>2.0</v>
      </c>
      <c r="B85" s="437" t="s">
        <v>6295</v>
      </c>
      <c r="C85" s="1040">
        <f>COUNTA($B$86:$B$89)</f>
        <v>3</v>
      </c>
      <c r="D85" s="1101"/>
      <c r="E85" s="1101"/>
      <c r="F85" s="1101"/>
      <c r="G85" s="1101"/>
      <c r="H85" s="1101"/>
      <c r="I85" s="1101"/>
      <c r="J85" s="1101"/>
      <c r="K85" s="1101"/>
      <c r="L85" s="1101"/>
      <c r="M85" s="1101"/>
      <c r="N85" s="1101"/>
      <c r="O85" s="1101"/>
      <c r="P85" s="1102"/>
      <c r="Q85" s="1102"/>
      <c r="R85" s="1103"/>
      <c r="S85" s="1103"/>
      <c r="T85" s="1103"/>
      <c r="U85" s="1103"/>
      <c r="V85" s="1103"/>
      <c r="W85" s="1103"/>
      <c r="X85" s="1103"/>
      <c r="Y85" s="1103"/>
    </row>
    <row r="86" ht="12.75" customHeight="1">
      <c r="A86" s="1104">
        <v>1.0</v>
      </c>
      <c r="B86" s="1105" t="s">
        <v>7525</v>
      </c>
      <c r="C86" s="1081" t="s">
        <v>7526</v>
      </c>
      <c r="D86" s="1104"/>
      <c r="E86" s="1104" t="s">
        <v>7320</v>
      </c>
      <c r="F86" s="1084"/>
      <c r="G86" s="806" t="s">
        <v>6295</v>
      </c>
      <c r="H86" s="1121"/>
      <c r="I86" s="1121"/>
      <c r="J86" s="1107"/>
      <c r="K86" s="1107"/>
      <c r="L86" s="1104" t="s">
        <v>7321</v>
      </c>
      <c r="M86" s="1104">
        <v>12.5</v>
      </c>
      <c r="N86" s="1107"/>
      <c r="O86" s="1107"/>
      <c r="P86" s="1108"/>
      <c r="Q86" s="1108" t="s">
        <v>7527</v>
      </c>
      <c r="R86" s="1109"/>
      <c r="S86" s="1109"/>
      <c r="T86" s="1109"/>
      <c r="U86" s="1109"/>
      <c r="V86" s="1109"/>
      <c r="W86" s="1109"/>
      <c r="X86" s="1109"/>
      <c r="Y86" s="1109"/>
    </row>
    <row r="87" ht="12.75" customHeight="1">
      <c r="A87" s="1104">
        <f t="shared" ref="A87:A88" si="5">A86+1</f>
        <v>2</v>
      </c>
      <c r="B87" s="1105" t="s">
        <v>7529</v>
      </c>
      <c r="C87" s="1081" t="s">
        <v>7530</v>
      </c>
      <c r="D87" s="1104"/>
      <c r="E87" s="1104" t="s">
        <v>7320</v>
      </c>
      <c r="F87" s="1084"/>
      <c r="G87" s="806" t="s">
        <v>6295</v>
      </c>
      <c r="H87" s="1121"/>
      <c r="I87" s="1106" t="s">
        <v>7255</v>
      </c>
      <c r="J87" s="1107"/>
      <c r="K87" s="1107"/>
      <c r="L87" s="1104" t="s">
        <v>7321</v>
      </c>
      <c r="M87" s="1104">
        <v>12.5</v>
      </c>
      <c r="N87" s="1107"/>
      <c r="O87" s="1107"/>
      <c r="P87" s="1108"/>
      <c r="Q87" s="1108" t="s">
        <v>7531</v>
      </c>
      <c r="R87" s="1109"/>
      <c r="S87" s="1109"/>
      <c r="T87" s="1109"/>
      <c r="U87" s="1109"/>
      <c r="V87" s="1109"/>
      <c r="W87" s="1109"/>
      <c r="X87" s="1109"/>
      <c r="Y87" s="1109"/>
    </row>
    <row r="88" ht="12.75" customHeight="1">
      <c r="A88" s="1104">
        <f t="shared" si="5"/>
        <v>3</v>
      </c>
      <c r="B88" s="1105" t="s">
        <v>7532</v>
      </c>
      <c r="C88" s="806" t="s">
        <v>890</v>
      </c>
      <c r="D88" s="1104" t="s">
        <v>7533</v>
      </c>
      <c r="E88" s="1104" t="s">
        <v>7262</v>
      </c>
      <c r="F88" s="806" t="s">
        <v>7534</v>
      </c>
      <c r="G88" s="806" t="s">
        <v>6295</v>
      </c>
      <c r="H88" s="1115" t="s">
        <v>7263</v>
      </c>
      <c r="I88" s="1106" t="s">
        <v>7265</v>
      </c>
      <c r="J88" s="1104">
        <v>2023.0</v>
      </c>
      <c r="K88" s="1104" t="s">
        <v>883</v>
      </c>
      <c r="L88" s="1104" t="s">
        <v>7266</v>
      </c>
      <c r="M88" s="1169">
        <v>4.0</v>
      </c>
      <c r="N88" s="1122">
        <v>45508.0</v>
      </c>
      <c r="O88" s="1104" t="s">
        <v>1675</v>
      </c>
      <c r="P88" s="1116"/>
      <c r="Q88" s="1116" t="s">
        <v>7535</v>
      </c>
      <c r="R88" s="1117"/>
      <c r="S88" s="1117"/>
      <c r="T88" s="1117"/>
      <c r="U88" s="1117"/>
      <c r="V88" s="1117"/>
      <c r="W88" s="1117"/>
      <c r="X88" s="1117"/>
      <c r="Y88" s="1117"/>
    </row>
    <row r="89" ht="12.75" hidden="1" customHeight="1">
      <c r="A89" s="1104"/>
      <c r="B89" s="1105"/>
      <c r="C89" s="806" t="s">
        <v>374</v>
      </c>
      <c r="D89" s="1104"/>
      <c r="E89" s="1104"/>
      <c r="F89" s="806"/>
      <c r="G89" s="806"/>
      <c r="H89" s="1115"/>
      <c r="I89" s="1106"/>
      <c r="J89" s="1104"/>
      <c r="K89" s="1104"/>
      <c r="L89" s="1104"/>
      <c r="M89" s="1169"/>
      <c r="N89" s="1122"/>
      <c r="O89" s="1104"/>
      <c r="P89" s="1116"/>
      <c r="Q89" s="1116"/>
      <c r="R89" s="1117"/>
      <c r="S89" s="1117"/>
      <c r="T89" s="1117"/>
      <c r="U89" s="1117"/>
      <c r="V89" s="1117"/>
      <c r="W89" s="1117"/>
      <c r="X89" s="1117"/>
      <c r="Y89" s="1117"/>
    </row>
    <row r="90" ht="17.25" customHeight="1">
      <c r="A90" s="437">
        <v>3.0</v>
      </c>
      <c r="B90" s="437" t="s">
        <v>7537</v>
      </c>
      <c r="C90" s="1040">
        <f>COUNTA($B$91:$B$93)</f>
        <v>1</v>
      </c>
      <c r="D90" s="1101"/>
      <c r="E90" s="1101"/>
      <c r="F90" s="1101"/>
      <c r="G90" s="1101"/>
      <c r="H90" s="1101"/>
      <c r="I90" s="1101"/>
      <c r="J90" s="1101"/>
      <c r="K90" s="1101"/>
      <c r="L90" s="1101"/>
      <c r="M90" s="1101"/>
      <c r="N90" s="1101"/>
      <c r="O90" s="1101"/>
      <c r="P90" s="1102"/>
      <c r="Q90" s="1102"/>
      <c r="R90" s="1103"/>
      <c r="S90" s="1103"/>
      <c r="T90" s="1103"/>
      <c r="U90" s="1103"/>
      <c r="V90" s="1103"/>
      <c r="W90" s="1103"/>
      <c r="X90" s="1103"/>
      <c r="Y90" s="1103"/>
    </row>
    <row r="91" ht="17.25" customHeight="1">
      <c r="A91" s="818"/>
      <c r="B91" s="809" t="s">
        <v>7538</v>
      </c>
      <c r="C91" s="1174"/>
      <c r="D91" s="1175"/>
      <c r="E91" s="1104" t="s">
        <v>7540</v>
      </c>
      <c r="F91" s="806" t="s">
        <v>7541</v>
      </c>
      <c r="G91" s="806" t="s">
        <v>7406</v>
      </c>
      <c r="H91" s="1175"/>
      <c r="I91" s="806" t="s">
        <v>7542</v>
      </c>
      <c r="J91" s="1175"/>
      <c r="K91" s="806" t="s">
        <v>7543</v>
      </c>
      <c r="L91" s="806" t="s">
        <v>7544</v>
      </c>
      <c r="M91" s="1175"/>
      <c r="N91" s="1175"/>
      <c r="O91" s="1104" t="s">
        <v>7520</v>
      </c>
      <c r="P91" s="1176"/>
      <c r="Q91" s="1176"/>
      <c r="R91" s="1177"/>
      <c r="S91" s="1177"/>
      <c r="T91" s="1177"/>
      <c r="U91" s="1177"/>
      <c r="V91" s="1177"/>
      <c r="W91" s="1177"/>
      <c r="X91" s="1177"/>
      <c r="Y91" s="1177"/>
    </row>
    <row r="92" ht="17.25" customHeight="1">
      <c r="A92" s="818"/>
      <c r="B92" s="818"/>
      <c r="C92" s="1174"/>
      <c r="D92" s="1175"/>
      <c r="E92" s="1175"/>
      <c r="F92" s="1175"/>
      <c r="G92" s="1175"/>
      <c r="H92" s="1175"/>
      <c r="I92" s="1175"/>
      <c r="J92" s="1175"/>
      <c r="K92" s="1175"/>
      <c r="L92" s="1175"/>
      <c r="M92" s="1175"/>
      <c r="N92" s="1175"/>
      <c r="O92" s="1175"/>
      <c r="P92" s="1176"/>
      <c r="Q92" s="1176"/>
      <c r="R92" s="1177"/>
      <c r="S92" s="1177"/>
      <c r="T92" s="1177"/>
      <c r="U92" s="1177"/>
      <c r="V92" s="1177"/>
      <c r="W92" s="1177"/>
      <c r="X92" s="1177"/>
      <c r="Y92" s="1177"/>
    </row>
    <row r="93" ht="17.25" hidden="1" customHeight="1">
      <c r="A93" s="818"/>
      <c r="B93" s="818"/>
      <c r="C93" s="818" t="s">
        <v>651</v>
      </c>
      <c r="D93" s="1175"/>
      <c r="E93" s="1175"/>
      <c r="F93" s="1175"/>
      <c r="G93" s="1175"/>
      <c r="H93" s="1175"/>
      <c r="I93" s="1175"/>
      <c r="J93" s="1175"/>
      <c r="K93" s="1175"/>
      <c r="L93" s="1175"/>
      <c r="M93" s="1175"/>
      <c r="N93" s="1175"/>
      <c r="O93" s="1175"/>
      <c r="P93" s="1176"/>
      <c r="Q93" s="1176"/>
      <c r="R93" s="1177"/>
      <c r="S93" s="1177"/>
      <c r="T93" s="1177"/>
      <c r="U93" s="1177"/>
      <c r="V93" s="1177"/>
      <c r="W93" s="1177"/>
      <c r="X93" s="1177"/>
      <c r="Y93" s="1177"/>
    </row>
    <row r="94" ht="17.25" customHeight="1">
      <c r="A94" s="437">
        <v>3.0</v>
      </c>
      <c r="B94" s="437" t="s">
        <v>7076</v>
      </c>
      <c r="C94" s="1040">
        <f>COUNTA($B$95:$B$110)</f>
        <v>15</v>
      </c>
      <c r="D94" s="1101"/>
      <c r="E94" s="1101"/>
      <c r="F94" s="1101"/>
      <c r="G94" s="1101"/>
      <c r="H94" s="1101"/>
      <c r="I94" s="1101"/>
      <c r="J94" s="1101"/>
      <c r="K94" s="1101"/>
      <c r="L94" s="1101"/>
      <c r="M94" s="1101"/>
      <c r="N94" s="1101"/>
      <c r="O94" s="1101"/>
      <c r="P94" s="1102"/>
      <c r="Q94" s="1102"/>
      <c r="R94" s="1103"/>
      <c r="S94" s="1103"/>
      <c r="T94" s="1103"/>
      <c r="U94" s="1103"/>
      <c r="V94" s="1103"/>
      <c r="W94" s="1103"/>
      <c r="X94" s="1103"/>
      <c r="Y94" s="1103"/>
    </row>
    <row r="95" ht="12.75" customHeight="1">
      <c r="A95" s="1104">
        <v>1.0</v>
      </c>
      <c r="B95" s="1105" t="s">
        <v>7548</v>
      </c>
      <c r="C95" s="1084"/>
      <c r="D95" s="1104"/>
      <c r="E95" s="1104" t="s">
        <v>7252</v>
      </c>
      <c r="F95" s="1081" t="s">
        <v>7549</v>
      </c>
      <c r="G95" s="806" t="s">
        <v>7550</v>
      </c>
      <c r="H95" s="1121"/>
      <c r="I95" s="1106" t="s">
        <v>7296</v>
      </c>
      <c r="J95" s="1107"/>
      <c r="K95" s="1107"/>
      <c r="L95" s="1104" t="s">
        <v>7257</v>
      </c>
      <c r="M95" s="1104">
        <v>7.5</v>
      </c>
      <c r="N95" s="1107"/>
      <c r="O95" s="1107"/>
      <c r="P95" s="1116"/>
      <c r="Q95" s="1116" t="s">
        <v>7551</v>
      </c>
      <c r="R95" s="1117"/>
      <c r="S95" s="1117"/>
      <c r="T95" s="1117"/>
      <c r="U95" s="1117"/>
      <c r="V95" s="1117"/>
      <c r="W95" s="1117"/>
      <c r="X95" s="1117"/>
      <c r="Y95" s="1117"/>
    </row>
    <row r="96" ht="12.75" customHeight="1">
      <c r="A96" s="1104">
        <f t="shared" ref="A96:A109" si="6">A95+1</f>
        <v>2</v>
      </c>
      <c r="B96" s="1105" t="s">
        <v>7552</v>
      </c>
      <c r="C96" s="1084"/>
      <c r="D96" s="1104"/>
      <c r="E96" s="1104" t="s">
        <v>7252</v>
      </c>
      <c r="F96" s="1084"/>
      <c r="G96" s="806" t="s">
        <v>7553</v>
      </c>
      <c r="H96" s="1121"/>
      <c r="I96" s="1106" t="s">
        <v>7554</v>
      </c>
      <c r="J96" s="1107"/>
      <c r="K96" s="1107"/>
      <c r="L96" s="1104" t="s">
        <v>7257</v>
      </c>
      <c r="M96" s="1104">
        <v>7.5</v>
      </c>
      <c r="N96" s="1107"/>
      <c r="O96" s="1107"/>
      <c r="P96" s="1108"/>
      <c r="Q96" s="1108" t="s">
        <v>7555</v>
      </c>
      <c r="R96" s="1109"/>
      <c r="S96" s="1109"/>
      <c r="T96" s="1109"/>
      <c r="U96" s="1109"/>
      <c r="V96" s="1109"/>
      <c r="W96" s="1109"/>
      <c r="X96" s="1109"/>
      <c r="Y96" s="1109"/>
    </row>
    <row r="97" ht="12.75" customHeight="1">
      <c r="A97" s="1104">
        <f t="shared" si="6"/>
        <v>3</v>
      </c>
      <c r="B97" s="1105" t="s">
        <v>7556</v>
      </c>
      <c r="C97" s="1081" t="s">
        <v>7557</v>
      </c>
      <c r="D97" s="1104"/>
      <c r="E97" s="1104" t="s">
        <v>7558</v>
      </c>
      <c r="F97" s="1084"/>
      <c r="G97" s="806" t="s">
        <v>7553</v>
      </c>
      <c r="H97" s="1106" t="s">
        <v>7559</v>
      </c>
      <c r="I97" s="1121"/>
      <c r="J97" s="1107"/>
      <c r="K97" s="1107"/>
      <c r="L97" s="1104" t="s">
        <v>7560</v>
      </c>
      <c r="M97" s="1104">
        <v>3.0</v>
      </c>
      <c r="N97" s="1107"/>
      <c r="O97" s="1107"/>
      <c r="P97" s="1108"/>
      <c r="Q97" s="1108" t="s">
        <v>7561</v>
      </c>
      <c r="R97" s="1109"/>
      <c r="S97" s="1109"/>
      <c r="T97" s="1109"/>
      <c r="U97" s="1109"/>
      <c r="V97" s="1109"/>
      <c r="W97" s="1109"/>
      <c r="X97" s="1109"/>
      <c r="Y97" s="1109"/>
    </row>
    <row r="98" ht="12.75" customHeight="1">
      <c r="A98" s="1104">
        <f t="shared" si="6"/>
        <v>4</v>
      </c>
      <c r="B98" s="1105" t="s">
        <v>7562</v>
      </c>
      <c r="C98" s="1081" t="s">
        <v>7563</v>
      </c>
      <c r="D98" s="1104"/>
      <c r="E98" s="1104" t="s">
        <v>7320</v>
      </c>
      <c r="F98" s="1084"/>
      <c r="G98" s="806" t="s">
        <v>7564</v>
      </c>
      <c r="H98" s="1121"/>
      <c r="I98" s="1106" t="s">
        <v>7565</v>
      </c>
      <c r="J98" s="1107"/>
      <c r="K98" s="1107"/>
      <c r="L98" s="1104" t="s">
        <v>7321</v>
      </c>
      <c r="M98" s="1104">
        <v>12.5</v>
      </c>
      <c r="N98" s="1107"/>
      <c r="O98" s="1107"/>
      <c r="P98" s="1116"/>
      <c r="Q98" s="1116" t="s">
        <v>7566</v>
      </c>
      <c r="R98" s="1117"/>
      <c r="S98" s="1117"/>
      <c r="T98" s="1117"/>
      <c r="U98" s="1117"/>
      <c r="V98" s="1117"/>
      <c r="W98" s="1117"/>
      <c r="X98" s="1117"/>
      <c r="Y98" s="1117"/>
    </row>
    <row r="99" ht="12.75" customHeight="1">
      <c r="A99" s="1104">
        <f t="shared" si="6"/>
        <v>5</v>
      </c>
      <c r="B99" s="1105" t="s">
        <v>7567</v>
      </c>
      <c r="C99" s="1081" t="s">
        <v>7568</v>
      </c>
      <c r="D99" s="1104"/>
      <c r="E99" s="1104" t="s">
        <v>7252</v>
      </c>
      <c r="F99" s="1081"/>
      <c r="G99" s="806" t="s">
        <v>7569</v>
      </c>
      <c r="H99" s="1106"/>
      <c r="I99" s="1106"/>
      <c r="J99" s="1107"/>
      <c r="K99" s="1107"/>
      <c r="L99" s="1104" t="s">
        <v>7257</v>
      </c>
      <c r="M99" s="1104">
        <v>7.5</v>
      </c>
      <c r="N99" s="1107"/>
      <c r="O99" s="1107"/>
      <c r="P99" s="1108"/>
      <c r="Q99" s="1108" t="s">
        <v>7570</v>
      </c>
      <c r="R99" s="1109"/>
      <c r="S99" s="1109"/>
      <c r="T99" s="1109"/>
      <c r="U99" s="1109"/>
      <c r="V99" s="1109"/>
      <c r="W99" s="1109"/>
      <c r="X99" s="1109"/>
      <c r="Y99" s="1109"/>
    </row>
    <row r="100" ht="12.75" customHeight="1">
      <c r="A100" s="1104">
        <f t="shared" si="6"/>
        <v>6</v>
      </c>
      <c r="B100" s="1105" t="s">
        <v>7571</v>
      </c>
      <c r="C100" s="1081" t="s">
        <v>7572</v>
      </c>
      <c r="D100" s="1104"/>
      <c r="E100" s="1104" t="s">
        <v>7252</v>
      </c>
      <c r="F100" s="1081" t="s">
        <v>7573</v>
      </c>
      <c r="G100" s="806" t="s">
        <v>7569</v>
      </c>
      <c r="H100" s="1106" t="s">
        <v>7295</v>
      </c>
      <c r="I100" s="1106" t="s">
        <v>7296</v>
      </c>
      <c r="J100" s="1107"/>
      <c r="K100" s="1107"/>
      <c r="L100" s="1104" t="s">
        <v>7257</v>
      </c>
      <c r="M100" s="1104">
        <v>7.5</v>
      </c>
      <c r="N100" s="1107"/>
      <c r="O100" s="1107"/>
      <c r="P100" s="1116"/>
      <c r="Q100" s="1116" t="s">
        <v>7574</v>
      </c>
      <c r="R100" s="1117"/>
      <c r="S100" s="1117"/>
      <c r="T100" s="1117"/>
      <c r="U100" s="1117"/>
      <c r="V100" s="1117"/>
      <c r="W100" s="1117"/>
      <c r="X100" s="1117"/>
      <c r="Y100" s="1117"/>
    </row>
    <row r="101" ht="12.75" customHeight="1">
      <c r="A101" s="1104">
        <f t="shared" si="6"/>
        <v>7</v>
      </c>
      <c r="B101" s="1105" t="s">
        <v>7575</v>
      </c>
      <c r="C101" s="1081" t="s">
        <v>7576</v>
      </c>
      <c r="D101" s="1104"/>
      <c r="E101" s="1104" t="s">
        <v>7320</v>
      </c>
      <c r="F101" s="1081" t="s">
        <v>7577</v>
      </c>
      <c r="G101" s="806" t="s">
        <v>7569</v>
      </c>
      <c r="H101" s="1121"/>
      <c r="I101" s="1106" t="s">
        <v>7565</v>
      </c>
      <c r="J101" s="1107"/>
      <c r="K101" s="1107"/>
      <c r="L101" s="1104" t="s">
        <v>7321</v>
      </c>
      <c r="M101" s="1104">
        <v>12.5</v>
      </c>
      <c r="N101" s="1107"/>
      <c r="O101" s="1107"/>
      <c r="P101" s="1116"/>
      <c r="Q101" s="1116" t="s">
        <v>7578</v>
      </c>
      <c r="R101" s="1117"/>
      <c r="S101" s="1117"/>
      <c r="T101" s="1117"/>
      <c r="U101" s="1117"/>
      <c r="V101" s="1117"/>
      <c r="W101" s="1117"/>
      <c r="X101" s="1117"/>
      <c r="Y101" s="1117"/>
    </row>
    <row r="102" ht="12.75" customHeight="1">
      <c r="A102" s="1104">
        <f t="shared" si="6"/>
        <v>8</v>
      </c>
      <c r="B102" s="1105" t="s">
        <v>7579</v>
      </c>
      <c r="C102" s="1084"/>
      <c r="D102" s="1104"/>
      <c r="E102" s="1104" t="s">
        <v>7558</v>
      </c>
      <c r="F102" s="1084"/>
      <c r="G102" s="806" t="s">
        <v>7580</v>
      </c>
      <c r="H102" s="1121"/>
      <c r="I102" s="1121"/>
      <c r="J102" s="1107"/>
      <c r="K102" s="1107"/>
      <c r="L102" s="1104" t="s">
        <v>7560</v>
      </c>
      <c r="M102" s="1104">
        <v>3.0</v>
      </c>
      <c r="N102" s="1107"/>
      <c r="O102" s="1107"/>
      <c r="P102" s="1108"/>
      <c r="Q102" s="1108" t="s">
        <v>7581</v>
      </c>
      <c r="R102" s="1109"/>
      <c r="S102" s="1109"/>
      <c r="T102" s="1109"/>
      <c r="U102" s="1109"/>
      <c r="V102" s="1109"/>
      <c r="W102" s="1109"/>
      <c r="X102" s="1109"/>
      <c r="Y102" s="1109"/>
    </row>
    <row r="103" ht="12.75" customHeight="1">
      <c r="A103" s="1104">
        <f t="shared" si="6"/>
        <v>9</v>
      </c>
      <c r="B103" s="1105" t="s">
        <v>7582</v>
      </c>
      <c r="C103" s="1084"/>
      <c r="D103" s="1104"/>
      <c r="E103" s="1104" t="s">
        <v>7252</v>
      </c>
      <c r="F103" s="1081" t="s">
        <v>7583</v>
      </c>
      <c r="G103" s="806" t="s">
        <v>7584</v>
      </c>
      <c r="H103" s="1106" t="s">
        <v>7254</v>
      </c>
      <c r="I103" s="1106" t="s">
        <v>7255</v>
      </c>
      <c r="J103" s="1107"/>
      <c r="K103" s="1107"/>
      <c r="L103" s="1104" t="s">
        <v>7257</v>
      </c>
      <c r="M103" s="1104">
        <v>7.5</v>
      </c>
      <c r="N103" s="1107"/>
      <c r="O103" s="1107"/>
      <c r="P103" s="1116"/>
      <c r="Q103" s="1116" t="s">
        <v>7585</v>
      </c>
      <c r="R103" s="1117"/>
      <c r="S103" s="1117"/>
      <c r="T103" s="1117"/>
      <c r="U103" s="1117"/>
      <c r="V103" s="1117"/>
      <c r="W103" s="1117"/>
      <c r="X103" s="1117"/>
      <c r="Y103" s="1117"/>
    </row>
    <row r="104" ht="12.75" customHeight="1">
      <c r="A104" s="1104">
        <f t="shared" si="6"/>
        <v>10</v>
      </c>
      <c r="B104" s="1105" t="s">
        <v>7586</v>
      </c>
      <c r="C104" s="1081" t="s">
        <v>7587</v>
      </c>
      <c r="D104" s="1104"/>
      <c r="E104" s="1104" t="s">
        <v>7485</v>
      </c>
      <c r="F104" s="1084"/>
      <c r="G104" s="806" t="s">
        <v>7588</v>
      </c>
      <c r="H104" s="1121"/>
      <c r="I104" s="1121"/>
      <c r="J104" s="1107"/>
      <c r="K104" s="1107"/>
      <c r="L104" s="1104" t="s">
        <v>7488</v>
      </c>
      <c r="M104" s="1104">
        <v>3.25</v>
      </c>
      <c r="N104" s="1107"/>
      <c r="O104" s="1107"/>
      <c r="P104" s="1113"/>
      <c r="Q104" s="1178" t="s">
        <v>7589</v>
      </c>
      <c r="R104" s="1114"/>
      <c r="S104" s="1114"/>
      <c r="T104" s="1114"/>
      <c r="U104" s="1114"/>
      <c r="V104" s="1114"/>
      <c r="W104" s="1114"/>
      <c r="X104" s="1114"/>
      <c r="Y104" s="1114"/>
    </row>
    <row r="105" ht="12.75" customHeight="1">
      <c r="A105" s="1104">
        <f t="shared" si="6"/>
        <v>11</v>
      </c>
      <c r="B105" s="1105" t="s">
        <v>7590</v>
      </c>
      <c r="C105" s="1080" t="s">
        <v>7591</v>
      </c>
      <c r="D105" s="1170"/>
      <c r="E105" s="1104" t="s">
        <v>7592</v>
      </c>
      <c r="F105" s="1084"/>
      <c r="G105" s="806" t="s">
        <v>7588</v>
      </c>
      <c r="H105" s="1121"/>
      <c r="I105" s="1121"/>
      <c r="J105" s="1107"/>
      <c r="K105" s="1107"/>
      <c r="L105" s="1104" t="s">
        <v>7593</v>
      </c>
      <c r="M105" s="1104">
        <v>2.5</v>
      </c>
      <c r="N105" s="1107"/>
      <c r="O105" s="1107"/>
      <c r="P105" s="1113"/>
      <c r="Q105" s="694"/>
      <c r="R105" s="1114"/>
      <c r="S105" s="1114"/>
      <c r="T105" s="1114"/>
      <c r="U105" s="1114"/>
      <c r="V105" s="1114"/>
      <c r="W105" s="1114"/>
      <c r="X105" s="1114"/>
      <c r="Y105" s="1114"/>
    </row>
    <row r="106" ht="12.75" customHeight="1">
      <c r="A106" s="1104">
        <f t="shared" si="6"/>
        <v>12</v>
      </c>
      <c r="B106" s="1105" t="s">
        <v>7594</v>
      </c>
      <c r="C106" s="1080" t="s">
        <v>7595</v>
      </c>
      <c r="D106" s="1170"/>
      <c r="E106" s="1104" t="s">
        <v>7596</v>
      </c>
      <c r="F106" s="1084"/>
      <c r="G106" s="806" t="s">
        <v>7588</v>
      </c>
      <c r="H106" s="1121"/>
      <c r="I106" s="1121"/>
      <c r="J106" s="1107"/>
      <c r="K106" s="1107"/>
      <c r="L106" s="1104" t="s">
        <v>7597</v>
      </c>
      <c r="M106" s="1104">
        <v>5.0</v>
      </c>
      <c r="N106" s="1107"/>
      <c r="O106" s="1107"/>
      <c r="P106" s="1113"/>
      <c r="Q106" s="58"/>
      <c r="R106" s="1114"/>
      <c r="S106" s="1114"/>
      <c r="T106" s="1114"/>
      <c r="U106" s="1114"/>
      <c r="V106" s="1114"/>
      <c r="W106" s="1114"/>
      <c r="X106" s="1114"/>
      <c r="Y106" s="1114"/>
    </row>
    <row r="107" ht="12.75" customHeight="1">
      <c r="A107" s="1104">
        <f t="shared" si="6"/>
        <v>13</v>
      </c>
      <c r="B107" s="1105" t="s">
        <v>7598</v>
      </c>
      <c r="C107" s="1081" t="s">
        <v>7599</v>
      </c>
      <c r="D107" s="1104"/>
      <c r="E107" s="1104" t="s">
        <v>7600</v>
      </c>
      <c r="F107" s="1084"/>
      <c r="G107" s="806" t="s">
        <v>7601</v>
      </c>
      <c r="H107" s="1106" t="s">
        <v>7602</v>
      </c>
      <c r="I107" s="1106" t="s">
        <v>1093</v>
      </c>
      <c r="J107" s="1107"/>
      <c r="K107" s="1107"/>
      <c r="L107" s="1104" t="s">
        <v>7603</v>
      </c>
      <c r="M107" s="1169">
        <v>2.6</v>
      </c>
      <c r="N107" s="1107"/>
      <c r="O107" s="1107"/>
      <c r="P107" s="1113"/>
      <c r="Q107" s="1178" t="s">
        <v>7604</v>
      </c>
      <c r="R107" s="1114"/>
      <c r="S107" s="1114"/>
      <c r="T107" s="1114"/>
      <c r="U107" s="1114"/>
      <c r="V107" s="1114"/>
      <c r="W107" s="1114"/>
      <c r="X107" s="1114"/>
      <c r="Y107" s="1114"/>
    </row>
    <row r="108" ht="12.75" customHeight="1">
      <c r="A108" s="1104">
        <f t="shared" si="6"/>
        <v>14</v>
      </c>
      <c r="B108" s="1105" t="s">
        <v>7605</v>
      </c>
      <c r="C108" s="1080" t="s">
        <v>7606</v>
      </c>
      <c r="D108" s="1170"/>
      <c r="E108" s="1104" t="s">
        <v>7607</v>
      </c>
      <c r="F108" s="1084"/>
      <c r="G108" s="806" t="s">
        <v>7601</v>
      </c>
      <c r="H108" s="1106" t="s">
        <v>7608</v>
      </c>
      <c r="I108" s="1106" t="s">
        <v>7431</v>
      </c>
      <c r="J108" s="1107"/>
      <c r="K108" s="1107"/>
      <c r="L108" s="1104" t="s">
        <v>7609</v>
      </c>
      <c r="M108" s="1169">
        <v>3.5</v>
      </c>
      <c r="N108" s="1107"/>
      <c r="O108" s="1107"/>
      <c r="P108" s="1113"/>
      <c r="Q108" s="58"/>
      <c r="R108" s="1114"/>
      <c r="S108" s="1114"/>
      <c r="T108" s="1114"/>
      <c r="U108" s="1114"/>
      <c r="V108" s="1114"/>
      <c r="W108" s="1114"/>
      <c r="X108" s="1114"/>
      <c r="Y108" s="1114"/>
    </row>
    <row r="109" ht="12.75" customHeight="1">
      <c r="A109" s="1104">
        <f t="shared" si="6"/>
        <v>15</v>
      </c>
      <c r="B109" s="1105" t="s">
        <v>7610</v>
      </c>
      <c r="C109" s="1080" t="s">
        <v>2306</v>
      </c>
      <c r="D109" s="1170"/>
      <c r="E109" s="1104" t="s">
        <v>7320</v>
      </c>
      <c r="F109" s="806"/>
      <c r="G109" s="806" t="s">
        <v>65</v>
      </c>
      <c r="H109" s="1106"/>
      <c r="I109" s="1106"/>
      <c r="J109" s="1104"/>
      <c r="K109" s="1104"/>
      <c r="L109" s="1104" t="s">
        <v>7377</v>
      </c>
      <c r="M109" s="1169">
        <v>12.5</v>
      </c>
      <c r="N109" s="1104"/>
      <c r="O109" s="1104"/>
      <c r="P109" s="1172"/>
      <c r="Q109" s="1113" t="s">
        <v>7611</v>
      </c>
      <c r="R109" s="1114"/>
      <c r="S109" s="1114"/>
      <c r="T109" s="1114"/>
      <c r="U109" s="1114"/>
      <c r="V109" s="1114"/>
      <c r="W109" s="1114"/>
      <c r="X109" s="1114"/>
      <c r="Y109" s="1114"/>
    </row>
    <row r="110" ht="12.75" hidden="1" customHeight="1">
      <c r="A110" s="1104"/>
      <c r="B110" s="1105"/>
      <c r="C110" s="1080" t="s">
        <v>374</v>
      </c>
      <c r="D110" s="1170"/>
      <c r="E110" s="1104"/>
      <c r="F110" s="806"/>
      <c r="G110" s="806"/>
      <c r="H110" s="1106"/>
      <c r="I110" s="1106"/>
      <c r="J110" s="1104"/>
      <c r="K110" s="1104"/>
      <c r="L110" s="1104"/>
      <c r="M110" s="1169"/>
      <c r="N110" s="1104"/>
      <c r="O110" s="1104"/>
      <c r="P110" s="1172"/>
      <c r="Q110" s="1113"/>
      <c r="R110" s="1114"/>
      <c r="S110" s="1114"/>
      <c r="T110" s="1114"/>
      <c r="U110" s="1114"/>
      <c r="V110" s="1114"/>
      <c r="W110" s="1114"/>
      <c r="X110" s="1114"/>
      <c r="Y110" s="1114"/>
    </row>
    <row r="111" ht="21.75" customHeight="1">
      <c r="A111" s="1179" t="s">
        <v>7612</v>
      </c>
      <c r="B111" s="1179"/>
      <c r="C111" s="1180">
        <f>$C$3+$C$49+$C$75</f>
        <v>70</v>
      </c>
      <c r="D111" s="1181"/>
      <c r="E111" s="1181"/>
      <c r="F111" s="1181"/>
      <c r="G111" s="1181"/>
      <c r="H111" s="1181"/>
      <c r="I111" s="1181"/>
      <c r="J111" s="1181"/>
      <c r="K111" s="1181"/>
      <c r="L111" s="1181"/>
      <c r="M111" s="1181"/>
      <c r="N111" s="1181"/>
      <c r="O111" s="1181"/>
      <c r="P111" s="1182"/>
      <c r="Q111" s="1182"/>
      <c r="R111" s="1183"/>
      <c r="S111" s="1183"/>
      <c r="T111" s="1183"/>
      <c r="U111" s="1183"/>
      <c r="V111" s="1183"/>
      <c r="W111" s="1183"/>
      <c r="X111" s="1183"/>
      <c r="Y111" s="1183"/>
    </row>
    <row r="112" ht="12.75" customHeight="1">
      <c r="A112" s="1184"/>
      <c r="B112" s="1184"/>
      <c r="C112" s="1184"/>
      <c r="D112" s="1184"/>
      <c r="E112" s="1184"/>
      <c r="F112" s="1184"/>
      <c r="G112" s="1184"/>
      <c r="H112" s="1184"/>
      <c r="I112" s="1184"/>
      <c r="J112" s="1184"/>
      <c r="K112" s="1184"/>
      <c r="L112" s="1184"/>
      <c r="M112" s="1184"/>
      <c r="N112" s="1184"/>
      <c r="O112" s="1184"/>
      <c r="P112" s="1163"/>
      <c r="Q112" s="1163"/>
      <c r="R112" s="1163"/>
      <c r="S112" s="1163"/>
      <c r="T112" s="1163"/>
      <c r="U112" s="1163"/>
      <c r="V112" s="1163"/>
      <c r="W112" s="1163"/>
      <c r="X112" s="1163"/>
      <c r="Y112" s="1163"/>
    </row>
    <row r="113" ht="12.75" customHeight="1">
      <c r="A113" s="1184"/>
      <c r="B113" s="1184"/>
      <c r="C113" s="1184"/>
      <c r="D113" s="1184"/>
      <c r="E113" s="1184"/>
      <c r="F113" s="1184"/>
      <c r="G113" s="1184"/>
      <c r="H113" s="1184"/>
      <c r="I113" s="1184"/>
      <c r="J113" s="1184"/>
      <c r="K113" s="1184"/>
      <c r="L113" s="1184"/>
      <c r="M113" s="1184"/>
      <c r="N113" s="1184"/>
      <c r="O113" s="1184"/>
      <c r="P113" s="1163"/>
      <c r="Q113" s="1163"/>
      <c r="R113" s="1163"/>
      <c r="S113" s="1163"/>
      <c r="T113" s="1163"/>
      <c r="U113" s="1163"/>
      <c r="V113" s="1163"/>
      <c r="W113" s="1163"/>
      <c r="X113" s="1163"/>
      <c r="Y113" s="1163"/>
    </row>
    <row r="114" ht="12.75" customHeight="1">
      <c r="A114" s="1184"/>
      <c r="B114" s="1184"/>
      <c r="C114" s="1184"/>
      <c r="D114" s="1184"/>
      <c r="E114" s="1184"/>
      <c r="F114" s="1184"/>
      <c r="G114" s="1184"/>
      <c r="H114" s="1184"/>
      <c r="I114" s="1184"/>
      <c r="J114" s="1184"/>
      <c r="K114" s="1184"/>
      <c r="L114" s="1184"/>
      <c r="M114" s="1184"/>
      <c r="N114" s="1184"/>
      <c r="O114" s="1184"/>
      <c r="P114" s="1163"/>
      <c r="Q114" s="1163"/>
      <c r="R114" s="1163"/>
      <c r="S114" s="1163"/>
      <c r="T114" s="1163"/>
      <c r="U114" s="1163"/>
      <c r="V114" s="1163"/>
      <c r="W114" s="1163"/>
      <c r="X114" s="1163"/>
      <c r="Y114" s="1163"/>
    </row>
    <row r="115" ht="12.75" customHeight="1">
      <c r="A115" s="1184"/>
      <c r="B115" s="1184"/>
      <c r="C115" s="1184"/>
      <c r="D115" s="1184"/>
      <c r="E115" s="1184"/>
      <c r="F115" s="1184"/>
      <c r="G115" s="1184"/>
      <c r="H115" s="1184"/>
      <c r="I115" s="1184"/>
      <c r="J115" s="1184"/>
      <c r="K115" s="1184"/>
      <c r="L115" s="1184"/>
      <c r="M115" s="1184"/>
      <c r="N115" s="1184"/>
      <c r="O115" s="1184"/>
      <c r="P115" s="1163"/>
      <c r="Q115" s="1163"/>
      <c r="R115" s="1163"/>
      <c r="S115" s="1163"/>
      <c r="T115" s="1163"/>
      <c r="U115" s="1163"/>
      <c r="V115" s="1163"/>
      <c r="W115" s="1163"/>
      <c r="X115" s="1163"/>
      <c r="Y115" s="1163"/>
    </row>
    <row r="116" ht="12.75" customHeight="1">
      <c r="A116" s="1184"/>
      <c r="B116" s="1184"/>
      <c r="C116" s="1184"/>
      <c r="D116" s="1184"/>
      <c r="E116" s="1184"/>
      <c r="F116" s="1184"/>
      <c r="G116" s="1184"/>
      <c r="H116" s="1184"/>
      <c r="I116" s="1184"/>
      <c r="J116" s="1184"/>
      <c r="K116" s="1184"/>
      <c r="L116" s="1184"/>
      <c r="M116" s="1184"/>
      <c r="N116" s="1184"/>
      <c r="O116" s="1184"/>
      <c r="P116" s="1163"/>
      <c r="Q116" s="1163"/>
      <c r="R116" s="1163"/>
      <c r="S116" s="1163"/>
      <c r="T116" s="1163"/>
      <c r="U116" s="1163"/>
      <c r="V116" s="1163"/>
      <c r="W116" s="1163"/>
      <c r="X116" s="1163"/>
      <c r="Y116" s="1163"/>
    </row>
    <row r="117" ht="12.75" customHeight="1">
      <c r="A117" s="1184"/>
      <c r="B117" s="1184"/>
      <c r="C117" s="1184"/>
      <c r="D117" s="1184"/>
      <c r="E117" s="1184"/>
      <c r="F117" s="1184"/>
      <c r="G117" s="1184"/>
      <c r="H117" s="1184"/>
      <c r="I117" s="1184"/>
      <c r="J117" s="1184"/>
      <c r="K117" s="1184"/>
      <c r="L117" s="1184"/>
      <c r="M117" s="1184"/>
      <c r="N117" s="1184"/>
      <c r="O117" s="1184"/>
      <c r="P117" s="1163"/>
      <c r="Q117" s="1163"/>
      <c r="R117" s="1163"/>
      <c r="S117" s="1163"/>
      <c r="T117" s="1163"/>
      <c r="U117" s="1163"/>
      <c r="V117" s="1163"/>
      <c r="W117" s="1163"/>
      <c r="X117" s="1163"/>
      <c r="Y117" s="1163"/>
    </row>
    <row r="118" ht="12.75" customHeight="1">
      <c r="A118" s="1184"/>
      <c r="B118" s="1184"/>
      <c r="C118" s="1184"/>
      <c r="D118" s="1184"/>
      <c r="E118" s="1184"/>
      <c r="F118" s="1184"/>
      <c r="G118" s="1184"/>
      <c r="H118" s="1184"/>
      <c r="I118" s="1184"/>
      <c r="J118" s="1184"/>
      <c r="K118" s="1184"/>
      <c r="L118" s="1184"/>
      <c r="M118" s="1184"/>
      <c r="N118" s="1184"/>
      <c r="O118" s="1184"/>
      <c r="P118" s="1163"/>
      <c r="Q118" s="1163"/>
      <c r="R118" s="1163"/>
      <c r="S118" s="1163"/>
      <c r="T118" s="1163"/>
      <c r="U118" s="1163"/>
      <c r="V118" s="1163"/>
      <c r="W118" s="1163"/>
      <c r="X118" s="1163"/>
      <c r="Y118" s="1163"/>
    </row>
    <row r="119" ht="12.75" customHeight="1">
      <c r="A119" s="1184"/>
      <c r="B119" s="1184"/>
      <c r="C119" s="1184"/>
      <c r="D119" s="1184"/>
      <c r="E119" s="1184"/>
      <c r="F119" s="1184"/>
      <c r="G119" s="1184"/>
      <c r="H119" s="1184"/>
      <c r="I119" s="1184"/>
      <c r="J119" s="1184"/>
      <c r="K119" s="1184"/>
      <c r="L119" s="1184"/>
      <c r="M119" s="1184"/>
      <c r="N119" s="1184"/>
      <c r="O119" s="1184"/>
      <c r="P119" s="1163"/>
      <c r="Q119" s="1163"/>
      <c r="R119" s="1163"/>
      <c r="S119" s="1163"/>
      <c r="T119" s="1163"/>
      <c r="U119" s="1163"/>
      <c r="V119" s="1163"/>
      <c r="W119" s="1163"/>
      <c r="X119" s="1163"/>
      <c r="Y119" s="1163"/>
    </row>
    <row r="120" ht="12.75" customHeight="1">
      <c r="A120" s="1184"/>
      <c r="B120" s="1184"/>
      <c r="C120" s="1184"/>
      <c r="D120" s="1184"/>
      <c r="E120" s="1184"/>
      <c r="F120" s="1184"/>
      <c r="G120" s="1184"/>
      <c r="H120" s="1184"/>
      <c r="I120" s="1184"/>
      <c r="J120" s="1184"/>
      <c r="K120" s="1184"/>
      <c r="L120" s="1184"/>
      <c r="M120" s="1184"/>
      <c r="N120" s="1184"/>
      <c r="O120" s="1184"/>
      <c r="P120" s="1163"/>
      <c r="Q120" s="1163"/>
      <c r="R120" s="1163"/>
      <c r="S120" s="1163"/>
      <c r="T120" s="1163"/>
      <c r="U120" s="1163"/>
      <c r="V120" s="1163"/>
      <c r="W120" s="1163"/>
      <c r="X120" s="1163"/>
      <c r="Y120" s="1163"/>
    </row>
    <row r="121" ht="12.75" customHeight="1">
      <c r="A121" s="1184"/>
      <c r="B121" s="1184"/>
      <c r="C121" s="1184"/>
      <c r="D121" s="1184"/>
      <c r="E121" s="1184"/>
      <c r="F121" s="1184"/>
      <c r="G121" s="1184"/>
      <c r="H121" s="1184"/>
      <c r="I121" s="1184"/>
      <c r="J121" s="1184"/>
      <c r="K121" s="1184"/>
      <c r="L121" s="1184"/>
      <c r="M121" s="1184"/>
      <c r="N121" s="1184"/>
      <c r="O121" s="1184"/>
      <c r="P121" s="1163"/>
      <c r="Q121" s="1163"/>
      <c r="R121" s="1163"/>
      <c r="S121" s="1163"/>
      <c r="T121" s="1163"/>
      <c r="U121" s="1163"/>
      <c r="V121" s="1163"/>
      <c r="W121" s="1163"/>
      <c r="X121" s="1163"/>
      <c r="Y121" s="1163"/>
    </row>
    <row r="122" ht="12.75" customHeight="1">
      <c r="A122" s="1184"/>
      <c r="B122" s="1184"/>
      <c r="C122" s="1184"/>
      <c r="D122" s="1184"/>
      <c r="E122" s="1184"/>
      <c r="F122" s="1184"/>
      <c r="G122" s="1184"/>
      <c r="H122" s="1184"/>
      <c r="I122" s="1184"/>
      <c r="J122" s="1184"/>
      <c r="K122" s="1184"/>
      <c r="L122" s="1184"/>
      <c r="M122" s="1184"/>
      <c r="N122" s="1184"/>
      <c r="O122" s="1184"/>
      <c r="P122" s="1163"/>
      <c r="Q122" s="1163"/>
      <c r="R122" s="1163"/>
      <c r="S122" s="1163"/>
      <c r="T122" s="1163"/>
      <c r="U122" s="1163"/>
      <c r="V122" s="1163"/>
      <c r="W122" s="1163"/>
      <c r="X122" s="1163"/>
      <c r="Y122" s="1163"/>
    </row>
    <row r="123" ht="12.75" customHeight="1">
      <c r="A123" s="1184"/>
      <c r="B123" s="1184"/>
      <c r="C123" s="1184"/>
      <c r="D123" s="1184"/>
      <c r="E123" s="1184"/>
      <c r="F123" s="1184"/>
      <c r="G123" s="1184"/>
      <c r="H123" s="1184"/>
      <c r="I123" s="1184"/>
      <c r="J123" s="1184"/>
      <c r="K123" s="1184"/>
      <c r="L123" s="1184"/>
      <c r="M123" s="1184"/>
      <c r="N123" s="1184"/>
      <c r="O123" s="1184"/>
      <c r="P123" s="1163"/>
      <c r="Q123" s="1163"/>
      <c r="R123" s="1163"/>
      <c r="S123" s="1163"/>
      <c r="T123" s="1163"/>
      <c r="U123" s="1163"/>
      <c r="V123" s="1163"/>
      <c r="W123" s="1163"/>
      <c r="X123" s="1163"/>
      <c r="Y123" s="1163"/>
    </row>
    <row r="124" ht="12.75" customHeight="1">
      <c r="A124" s="1184"/>
      <c r="B124" s="1184"/>
      <c r="C124" s="1184"/>
      <c r="D124" s="1184"/>
      <c r="E124" s="1184"/>
      <c r="F124" s="1184"/>
      <c r="G124" s="1184"/>
      <c r="H124" s="1184"/>
      <c r="I124" s="1184"/>
      <c r="J124" s="1184"/>
      <c r="K124" s="1184"/>
      <c r="L124" s="1184"/>
      <c r="M124" s="1184"/>
      <c r="N124" s="1184"/>
      <c r="O124" s="1184"/>
      <c r="P124" s="1163"/>
      <c r="Q124" s="1163"/>
      <c r="R124" s="1163"/>
      <c r="S124" s="1163"/>
      <c r="T124" s="1163"/>
      <c r="U124" s="1163"/>
      <c r="V124" s="1163"/>
      <c r="W124" s="1163"/>
      <c r="X124" s="1163"/>
      <c r="Y124" s="1163"/>
    </row>
    <row r="125" ht="12.75" customHeight="1">
      <c r="A125" s="1184"/>
      <c r="B125" s="1184"/>
      <c r="C125" s="1184"/>
      <c r="D125" s="1184"/>
      <c r="E125" s="1184"/>
      <c r="F125" s="1184"/>
      <c r="G125" s="1184"/>
      <c r="H125" s="1184"/>
      <c r="I125" s="1184"/>
      <c r="J125" s="1184"/>
      <c r="K125" s="1184"/>
      <c r="L125" s="1184"/>
      <c r="M125" s="1184"/>
      <c r="N125" s="1184"/>
      <c r="O125" s="1184"/>
      <c r="P125" s="1163"/>
      <c r="Q125" s="1163"/>
      <c r="R125" s="1163"/>
      <c r="S125" s="1163"/>
      <c r="T125" s="1163"/>
      <c r="U125" s="1163"/>
      <c r="V125" s="1163"/>
      <c r="W125" s="1163"/>
      <c r="X125" s="1163"/>
      <c r="Y125" s="1163"/>
    </row>
    <row r="126" ht="12.75" customHeight="1">
      <c r="A126" s="1184"/>
      <c r="B126" s="1184"/>
      <c r="C126" s="1184"/>
      <c r="D126" s="1184"/>
      <c r="E126" s="1184"/>
      <c r="F126" s="1184"/>
      <c r="G126" s="1184"/>
      <c r="H126" s="1184"/>
      <c r="I126" s="1184"/>
      <c r="J126" s="1184"/>
      <c r="K126" s="1184"/>
      <c r="L126" s="1184"/>
      <c r="M126" s="1184"/>
      <c r="N126" s="1184"/>
      <c r="O126" s="1184"/>
      <c r="P126" s="1163"/>
      <c r="Q126" s="1163"/>
      <c r="R126" s="1163"/>
      <c r="S126" s="1163"/>
      <c r="T126" s="1163"/>
      <c r="U126" s="1163"/>
      <c r="V126" s="1163"/>
      <c r="W126" s="1163"/>
      <c r="X126" s="1163"/>
      <c r="Y126" s="1163"/>
    </row>
    <row r="127" ht="12.75" customHeight="1">
      <c r="A127" s="1184"/>
      <c r="B127" s="1184"/>
      <c r="C127" s="1184"/>
      <c r="D127" s="1184"/>
      <c r="E127" s="1184"/>
      <c r="F127" s="1184"/>
      <c r="G127" s="1184"/>
      <c r="H127" s="1184"/>
      <c r="I127" s="1184"/>
      <c r="J127" s="1184"/>
      <c r="K127" s="1184"/>
      <c r="L127" s="1184"/>
      <c r="M127" s="1184"/>
      <c r="N127" s="1184"/>
      <c r="O127" s="1184"/>
      <c r="P127" s="1163"/>
      <c r="Q127" s="1163"/>
      <c r="R127" s="1163"/>
      <c r="S127" s="1163"/>
      <c r="T127" s="1163"/>
      <c r="U127" s="1163"/>
      <c r="V127" s="1163"/>
      <c r="W127" s="1163"/>
      <c r="X127" s="1163"/>
      <c r="Y127" s="1163"/>
    </row>
    <row r="128" ht="12.75" customHeight="1">
      <c r="A128" s="1184"/>
      <c r="B128" s="1184"/>
      <c r="C128" s="1184"/>
      <c r="D128" s="1184"/>
      <c r="E128" s="1184"/>
      <c r="F128" s="1184"/>
      <c r="G128" s="1184"/>
      <c r="H128" s="1184"/>
      <c r="I128" s="1184"/>
      <c r="J128" s="1184"/>
      <c r="K128" s="1184"/>
      <c r="L128" s="1184"/>
      <c r="M128" s="1184"/>
      <c r="N128" s="1184"/>
      <c r="O128" s="1184"/>
      <c r="P128" s="1163"/>
      <c r="Q128" s="1163"/>
      <c r="R128" s="1163"/>
      <c r="S128" s="1163"/>
      <c r="T128" s="1163"/>
      <c r="U128" s="1163"/>
      <c r="V128" s="1163"/>
      <c r="W128" s="1163"/>
      <c r="X128" s="1163"/>
      <c r="Y128" s="1163"/>
    </row>
    <row r="129" ht="12.75" customHeight="1">
      <c r="A129" s="1184"/>
      <c r="B129" s="1184"/>
      <c r="C129" s="1184"/>
      <c r="D129" s="1184"/>
      <c r="E129" s="1184"/>
      <c r="F129" s="1184"/>
      <c r="G129" s="1184"/>
      <c r="H129" s="1184"/>
      <c r="I129" s="1184"/>
      <c r="J129" s="1184"/>
      <c r="K129" s="1184"/>
      <c r="L129" s="1184"/>
      <c r="M129" s="1184"/>
      <c r="N129" s="1184"/>
      <c r="O129" s="1184"/>
      <c r="P129" s="1163"/>
      <c r="Q129" s="1163"/>
      <c r="R129" s="1163"/>
      <c r="S129" s="1163"/>
      <c r="T129" s="1163"/>
      <c r="U129" s="1163"/>
      <c r="V129" s="1163"/>
      <c r="W129" s="1163"/>
      <c r="X129" s="1163"/>
      <c r="Y129" s="1163"/>
    </row>
    <row r="130" ht="12.75" customHeight="1">
      <c r="A130" s="1184"/>
      <c r="B130" s="1184"/>
      <c r="C130" s="1184"/>
      <c r="D130" s="1184"/>
      <c r="E130" s="1184"/>
      <c r="F130" s="1184"/>
      <c r="G130" s="1184"/>
      <c r="H130" s="1184"/>
      <c r="I130" s="1184"/>
      <c r="J130" s="1184"/>
      <c r="K130" s="1184"/>
      <c r="L130" s="1184"/>
      <c r="M130" s="1184"/>
      <c r="N130" s="1184"/>
      <c r="O130" s="1184"/>
      <c r="P130" s="1163"/>
      <c r="Q130" s="1163"/>
      <c r="R130" s="1163"/>
      <c r="S130" s="1163"/>
      <c r="T130" s="1163"/>
      <c r="U130" s="1163"/>
      <c r="V130" s="1163"/>
      <c r="W130" s="1163"/>
      <c r="X130" s="1163"/>
      <c r="Y130" s="1163"/>
    </row>
    <row r="131" ht="12.75" customHeight="1">
      <c r="A131" s="1184"/>
      <c r="B131" s="1184"/>
      <c r="C131" s="1184"/>
      <c r="D131" s="1184"/>
      <c r="E131" s="1184"/>
      <c r="F131" s="1184"/>
      <c r="G131" s="1184"/>
      <c r="H131" s="1184"/>
      <c r="I131" s="1184"/>
      <c r="J131" s="1184"/>
      <c r="K131" s="1184"/>
      <c r="L131" s="1184"/>
      <c r="M131" s="1184"/>
      <c r="N131" s="1184"/>
      <c r="O131" s="1184"/>
      <c r="P131" s="1163"/>
      <c r="Q131" s="1163"/>
      <c r="R131" s="1163"/>
      <c r="S131" s="1163"/>
      <c r="T131" s="1163"/>
      <c r="U131" s="1163"/>
      <c r="V131" s="1163"/>
      <c r="W131" s="1163"/>
      <c r="X131" s="1163"/>
      <c r="Y131" s="1163"/>
    </row>
    <row r="132" ht="12.75" customHeight="1">
      <c r="A132" s="1184"/>
      <c r="B132" s="1184"/>
      <c r="C132" s="1184"/>
      <c r="D132" s="1184"/>
      <c r="E132" s="1184"/>
      <c r="F132" s="1184"/>
      <c r="G132" s="1184"/>
      <c r="H132" s="1184"/>
      <c r="I132" s="1184"/>
      <c r="J132" s="1184"/>
      <c r="K132" s="1184"/>
      <c r="L132" s="1184"/>
      <c r="M132" s="1184"/>
      <c r="N132" s="1184"/>
      <c r="O132" s="1184"/>
      <c r="P132" s="1163"/>
      <c r="Q132" s="1163"/>
      <c r="R132" s="1163"/>
      <c r="S132" s="1163"/>
      <c r="T132" s="1163"/>
      <c r="U132" s="1163"/>
      <c r="V132" s="1163"/>
      <c r="W132" s="1163"/>
      <c r="X132" s="1163"/>
      <c r="Y132" s="1163"/>
    </row>
    <row r="133" ht="12.75" customHeight="1">
      <c r="A133" s="1184"/>
      <c r="B133" s="1184"/>
      <c r="C133" s="1184"/>
      <c r="D133" s="1184"/>
      <c r="E133" s="1184"/>
      <c r="F133" s="1184"/>
      <c r="G133" s="1184"/>
      <c r="H133" s="1184"/>
      <c r="I133" s="1184"/>
      <c r="J133" s="1184"/>
      <c r="K133" s="1184"/>
      <c r="L133" s="1184"/>
      <c r="M133" s="1184"/>
      <c r="N133" s="1184"/>
      <c r="O133" s="1184"/>
      <c r="P133" s="1163"/>
      <c r="Q133" s="1163"/>
      <c r="R133" s="1163"/>
      <c r="S133" s="1163"/>
      <c r="T133" s="1163"/>
      <c r="U133" s="1163"/>
      <c r="V133" s="1163"/>
      <c r="W133" s="1163"/>
      <c r="X133" s="1163"/>
      <c r="Y133" s="1163"/>
    </row>
    <row r="134" ht="12.75" customHeight="1">
      <c r="A134" s="1184"/>
      <c r="B134" s="1184"/>
      <c r="C134" s="1184"/>
      <c r="D134" s="1184"/>
      <c r="E134" s="1184"/>
      <c r="F134" s="1184"/>
      <c r="G134" s="1184"/>
      <c r="H134" s="1184"/>
      <c r="I134" s="1184"/>
      <c r="J134" s="1184"/>
      <c r="K134" s="1184"/>
      <c r="L134" s="1184"/>
      <c r="M134" s="1184"/>
      <c r="N134" s="1184"/>
      <c r="O134" s="1184"/>
      <c r="P134" s="1163"/>
      <c r="Q134" s="1163"/>
      <c r="R134" s="1163"/>
      <c r="S134" s="1163"/>
      <c r="T134" s="1163"/>
      <c r="U134" s="1163"/>
      <c r="V134" s="1163"/>
      <c r="W134" s="1163"/>
      <c r="X134" s="1163"/>
      <c r="Y134" s="1163"/>
    </row>
    <row r="135" ht="12.75" customHeight="1">
      <c r="A135" s="1184"/>
      <c r="B135" s="1184"/>
      <c r="C135" s="1184"/>
      <c r="D135" s="1184"/>
      <c r="E135" s="1184"/>
      <c r="F135" s="1184"/>
      <c r="G135" s="1184"/>
      <c r="H135" s="1184"/>
      <c r="I135" s="1184"/>
      <c r="J135" s="1184"/>
      <c r="K135" s="1184"/>
      <c r="L135" s="1184"/>
      <c r="M135" s="1184"/>
      <c r="N135" s="1184"/>
      <c r="O135" s="1184"/>
      <c r="P135" s="1163"/>
      <c r="Q135" s="1163"/>
      <c r="R135" s="1163"/>
      <c r="S135" s="1163"/>
      <c r="T135" s="1163"/>
      <c r="U135" s="1163"/>
      <c r="V135" s="1163"/>
      <c r="W135" s="1163"/>
      <c r="X135" s="1163"/>
      <c r="Y135" s="1163"/>
    </row>
    <row r="136" ht="12.75" customHeight="1">
      <c r="A136" s="1184"/>
      <c r="B136" s="1184"/>
      <c r="C136" s="1184"/>
      <c r="D136" s="1184"/>
      <c r="E136" s="1184"/>
      <c r="F136" s="1184"/>
      <c r="G136" s="1184"/>
      <c r="H136" s="1184"/>
      <c r="I136" s="1184"/>
      <c r="J136" s="1184"/>
      <c r="K136" s="1184"/>
      <c r="L136" s="1184"/>
      <c r="M136" s="1184"/>
      <c r="N136" s="1184"/>
      <c r="O136" s="1184"/>
      <c r="P136" s="1163"/>
      <c r="Q136" s="1163"/>
      <c r="R136" s="1163"/>
      <c r="S136" s="1163"/>
      <c r="T136" s="1163"/>
      <c r="U136" s="1163"/>
      <c r="V136" s="1163"/>
      <c r="W136" s="1163"/>
      <c r="X136" s="1163"/>
      <c r="Y136" s="1163"/>
    </row>
    <row r="137" ht="12.75" customHeight="1">
      <c r="A137" s="1184"/>
      <c r="B137" s="1184"/>
      <c r="C137" s="1184"/>
      <c r="D137" s="1184"/>
      <c r="E137" s="1184"/>
      <c r="F137" s="1184"/>
      <c r="G137" s="1184"/>
      <c r="H137" s="1184"/>
      <c r="I137" s="1184"/>
      <c r="J137" s="1184"/>
      <c r="K137" s="1184"/>
      <c r="L137" s="1184"/>
      <c r="M137" s="1184"/>
      <c r="N137" s="1184"/>
      <c r="O137" s="1184"/>
      <c r="P137" s="1163"/>
      <c r="Q137" s="1163"/>
      <c r="R137" s="1163"/>
      <c r="S137" s="1163"/>
      <c r="T137" s="1163"/>
      <c r="U137" s="1163"/>
      <c r="V137" s="1163"/>
      <c r="W137" s="1163"/>
      <c r="X137" s="1163"/>
      <c r="Y137" s="1163"/>
    </row>
    <row r="138" ht="12.75" customHeight="1">
      <c r="A138" s="1184"/>
      <c r="B138" s="1184"/>
      <c r="C138" s="1184"/>
      <c r="D138" s="1184"/>
      <c r="E138" s="1184"/>
      <c r="F138" s="1184"/>
      <c r="G138" s="1184"/>
      <c r="H138" s="1184"/>
      <c r="I138" s="1184"/>
      <c r="J138" s="1184"/>
      <c r="K138" s="1184"/>
      <c r="L138" s="1184"/>
      <c r="M138" s="1184"/>
      <c r="N138" s="1184"/>
      <c r="O138" s="1184"/>
      <c r="P138" s="1163"/>
      <c r="Q138" s="1163"/>
      <c r="R138" s="1163"/>
      <c r="S138" s="1163"/>
      <c r="T138" s="1163"/>
      <c r="U138" s="1163"/>
      <c r="V138" s="1163"/>
      <c r="W138" s="1163"/>
      <c r="X138" s="1163"/>
      <c r="Y138" s="1163"/>
    </row>
    <row r="139" ht="12.75" customHeight="1">
      <c r="A139" s="1184"/>
      <c r="B139" s="1184"/>
      <c r="C139" s="1184"/>
      <c r="D139" s="1184"/>
      <c r="E139" s="1184"/>
      <c r="F139" s="1184"/>
      <c r="G139" s="1184"/>
      <c r="H139" s="1184"/>
      <c r="I139" s="1184"/>
      <c r="J139" s="1184"/>
      <c r="K139" s="1184"/>
      <c r="L139" s="1184"/>
      <c r="M139" s="1184"/>
      <c r="N139" s="1184"/>
      <c r="O139" s="1184"/>
      <c r="P139" s="1163"/>
      <c r="Q139" s="1163"/>
      <c r="R139" s="1163"/>
      <c r="S139" s="1163"/>
      <c r="T139" s="1163"/>
      <c r="U139" s="1163"/>
      <c r="V139" s="1163"/>
      <c r="W139" s="1163"/>
      <c r="X139" s="1163"/>
      <c r="Y139" s="1163"/>
    </row>
    <row r="140" ht="12.75" customHeight="1">
      <c r="A140" s="1184"/>
      <c r="B140" s="1184"/>
      <c r="C140" s="1184"/>
      <c r="D140" s="1184"/>
      <c r="E140" s="1184"/>
      <c r="F140" s="1184"/>
      <c r="G140" s="1184"/>
      <c r="H140" s="1184"/>
      <c r="I140" s="1184"/>
      <c r="J140" s="1184"/>
      <c r="K140" s="1184"/>
      <c r="L140" s="1184"/>
      <c r="M140" s="1184"/>
      <c r="N140" s="1184"/>
      <c r="O140" s="1184"/>
      <c r="P140" s="1163"/>
      <c r="Q140" s="1163"/>
      <c r="R140" s="1163"/>
      <c r="S140" s="1163"/>
      <c r="T140" s="1163"/>
      <c r="U140" s="1163"/>
      <c r="V140" s="1163"/>
      <c r="W140" s="1163"/>
      <c r="X140" s="1163"/>
      <c r="Y140" s="1163"/>
    </row>
    <row r="141" ht="12.75" customHeight="1">
      <c r="A141" s="1184"/>
      <c r="B141" s="1184"/>
      <c r="C141" s="1184"/>
      <c r="D141" s="1184"/>
      <c r="E141" s="1184"/>
      <c r="F141" s="1184"/>
      <c r="G141" s="1184"/>
      <c r="H141" s="1184"/>
      <c r="I141" s="1184"/>
      <c r="J141" s="1184"/>
      <c r="K141" s="1184"/>
      <c r="L141" s="1184"/>
      <c r="M141" s="1184"/>
      <c r="N141" s="1184"/>
      <c r="O141" s="1184"/>
      <c r="P141" s="1163"/>
      <c r="Q141" s="1163"/>
      <c r="R141" s="1163"/>
      <c r="S141" s="1163"/>
      <c r="T141" s="1163"/>
      <c r="U141" s="1163"/>
      <c r="V141" s="1163"/>
      <c r="W141" s="1163"/>
      <c r="X141" s="1163"/>
      <c r="Y141" s="1163"/>
    </row>
    <row r="142" ht="12.75" customHeight="1">
      <c r="A142" s="1184"/>
      <c r="B142" s="1184"/>
      <c r="C142" s="1184"/>
      <c r="D142" s="1184"/>
      <c r="E142" s="1184"/>
      <c r="F142" s="1184"/>
      <c r="G142" s="1184"/>
      <c r="H142" s="1184"/>
      <c r="I142" s="1184"/>
      <c r="J142" s="1184"/>
      <c r="K142" s="1184"/>
      <c r="L142" s="1184"/>
      <c r="M142" s="1184"/>
      <c r="N142" s="1184"/>
      <c r="O142" s="1184"/>
      <c r="P142" s="1163"/>
      <c r="Q142" s="1163"/>
      <c r="R142" s="1163"/>
      <c r="S142" s="1163"/>
      <c r="T142" s="1163"/>
      <c r="U142" s="1163"/>
      <c r="V142" s="1163"/>
      <c r="W142" s="1163"/>
      <c r="X142" s="1163"/>
      <c r="Y142" s="1163"/>
    </row>
    <row r="143" ht="12.75" customHeight="1">
      <c r="A143" s="1184"/>
      <c r="B143" s="1184"/>
      <c r="C143" s="1184"/>
      <c r="D143" s="1184"/>
      <c r="E143" s="1184"/>
      <c r="F143" s="1184"/>
      <c r="G143" s="1184"/>
      <c r="H143" s="1184"/>
      <c r="I143" s="1184"/>
      <c r="J143" s="1184"/>
      <c r="K143" s="1184"/>
      <c r="L143" s="1184"/>
      <c r="M143" s="1184"/>
      <c r="N143" s="1184"/>
      <c r="O143" s="1184"/>
      <c r="P143" s="1163"/>
      <c r="Q143" s="1163"/>
      <c r="R143" s="1163"/>
      <c r="S143" s="1163"/>
      <c r="T143" s="1163"/>
      <c r="U143" s="1163"/>
      <c r="V143" s="1163"/>
      <c r="W143" s="1163"/>
      <c r="X143" s="1163"/>
      <c r="Y143" s="1163"/>
    </row>
    <row r="144" ht="12.75" customHeight="1">
      <c r="A144" s="1184"/>
      <c r="B144" s="1184"/>
      <c r="C144" s="1184"/>
      <c r="D144" s="1184"/>
      <c r="E144" s="1184"/>
      <c r="F144" s="1184"/>
      <c r="G144" s="1184"/>
      <c r="H144" s="1184"/>
      <c r="I144" s="1184"/>
      <c r="J144" s="1184"/>
      <c r="K144" s="1184"/>
      <c r="L144" s="1184"/>
      <c r="M144" s="1184"/>
      <c r="N144" s="1184"/>
      <c r="O144" s="1184"/>
      <c r="P144" s="1163"/>
      <c r="Q144" s="1163"/>
      <c r="R144" s="1163"/>
      <c r="S144" s="1163"/>
      <c r="T144" s="1163"/>
      <c r="U144" s="1163"/>
      <c r="V144" s="1163"/>
      <c r="W144" s="1163"/>
      <c r="X144" s="1163"/>
      <c r="Y144" s="1163"/>
    </row>
    <row r="145" ht="12.75" customHeight="1">
      <c r="A145" s="1184"/>
      <c r="B145" s="1184"/>
      <c r="C145" s="1184"/>
      <c r="D145" s="1184"/>
      <c r="E145" s="1184"/>
      <c r="F145" s="1184"/>
      <c r="G145" s="1184"/>
      <c r="H145" s="1184"/>
      <c r="I145" s="1184"/>
      <c r="J145" s="1184"/>
      <c r="K145" s="1184"/>
      <c r="L145" s="1184"/>
      <c r="M145" s="1184"/>
      <c r="N145" s="1184"/>
      <c r="O145" s="1184"/>
      <c r="P145" s="1163"/>
      <c r="Q145" s="1163"/>
      <c r="R145" s="1163"/>
      <c r="S145" s="1163"/>
      <c r="T145" s="1163"/>
      <c r="U145" s="1163"/>
      <c r="V145" s="1163"/>
      <c r="W145" s="1163"/>
      <c r="X145" s="1163"/>
      <c r="Y145" s="1163"/>
    </row>
    <row r="146" ht="12.75" customHeight="1">
      <c r="A146" s="1184"/>
      <c r="B146" s="1184"/>
      <c r="C146" s="1184"/>
      <c r="D146" s="1184"/>
      <c r="E146" s="1184"/>
      <c r="F146" s="1184"/>
      <c r="G146" s="1184"/>
      <c r="H146" s="1184"/>
      <c r="I146" s="1184"/>
      <c r="J146" s="1184"/>
      <c r="K146" s="1184"/>
      <c r="L146" s="1184"/>
      <c r="M146" s="1184"/>
      <c r="N146" s="1184"/>
      <c r="O146" s="1184"/>
      <c r="P146" s="1163"/>
      <c r="Q146" s="1163"/>
      <c r="R146" s="1163"/>
      <c r="S146" s="1163"/>
      <c r="T146" s="1163"/>
      <c r="U146" s="1163"/>
      <c r="V146" s="1163"/>
      <c r="W146" s="1163"/>
      <c r="X146" s="1163"/>
      <c r="Y146" s="1163"/>
    </row>
    <row r="147" ht="12.75" customHeight="1">
      <c r="A147" s="1184"/>
      <c r="B147" s="1184"/>
      <c r="C147" s="1184"/>
      <c r="D147" s="1184"/>
      <c r="E147" s="1184"/>
      <c r="F147" s="1184"/>
      <c r="G147" s="1184"/>
      <c r="H147" s="1184"/>
      <c r="I147" s="1184"/>
      <c r="J147" s="1184"/>
      <c r="K147" s="1184"/>
      <c r="L147" s="1184"/>
      <c r="M147" s="1184"/>
      <c r="N147" s="1184"/>
      <c r="O147" s="1184"/>
      <c r="P147" s="1163"/>
      <c r="Q147" s="1163"/>
      <c r="R147" s="1163"/>
      <c r="S147" s="1163"/>
      <c r="T147" s="1163"/>
      <c r="U147" s="1163"/>
      <c r="V147" s="1163"/>
      <c r="W147" s="1163"/>
      <c r="X147" s="1163"/>
      <c r="Y147" s="1163"/>
    </row>
    <row r="148" ht="12.75" customHeight="1">
      <c r="A148" s="1184"/>
      <c r="B148" s="1184"/>
      <c r="C148" s="1184"/>
      <c r="D148" s="1184"/>
      <c r="E148" s="1184"/>
      <c r="F148" s="1184"/>
      <c r="G148" s="1184"/>
      <c r="H148" s="1184"/>
      <c r="I148" s="1184"/>
      <c r="J148" s="1184"/>
      <c r="K148" s="1184"/>
      <c r="L148" s="1184"/>
      <c r="M148" s="1184"/>
      <c r="N148" s="1184"/>
      <c r="O148" s="1184"/>
      <c r="P148" s="1163"/>
      <c r="Q148" s="1163"/>
      <c r="R148" s="1163"/>
      <c r="S148" s="1163"/>
      <c r="T148" s="1163"/>
      <c r="U148" s="1163"/>
      <c r="V148" s="1163"/>
      <c r="W148" s="1163"/>
      <c r="X148" s="1163"/>
      <c r="Y148" s="1163"/>
    </row>
    <row r="149" ht="12.75" customHeight="1">
      <c r="A149" s="1184"/>
      <c r="B149" s="1184"/>
      <c r="C149" s="1184"/>
      <c r="D149" s="1184"/>
      <c r="E149" s="1184"/>
      <c r="F149" s="1184"/>
      <c r="G149" s="1184"/>
      <c r="H149" s="1184"/>
      <c r="I149" s="1184"/>
      <c r="J149" s="1184"/>
      <c r="K149" s="1184"/>
      <c r="L149" s="1184"/>
      <c r="M149" s="1184"/>
      <c r="N149" s="1184"/>
      <c r="O149" s="1184"/>
      <c r="P149" s="1163"/>
      <c r="Q149" s="1163"/>
      <c r="R149" s="1163"/>
      <c r="S149" s="1163"/>
      <c r="T149" s="1163"/>
      <c r="U149" s="1163"/>
      <c r="V149" s="1163"/>
      <c r="W149" s="1163"/>
      <c r="X149" s="1163"/>
      <c r="Y149" s="1163"/>
    </row>
    <row r="150" ht="12.75" customHeight="1">
      <c r="A150" s="1184"/>
      <c r="B150" s="1184"/>
      <c r="C150" s="1184"/>
      <c r="D150" s="1184"/>
      <c r="E150" s="1184"/>
      <c r="F150" s="1184"/>
      <c r="G150" s="1184"/>
      <c r="H150" s="1184"/>
      <c r="I150" s="1184"/>
      <c r="J150" s="1184"/>
      <c r="K150" s="1184"/>
      <c r="L150" s="1184"/>
      <c r="M150" s="1184"/>
      <c r="N150" s="1184"/>
      <c r="O150" s="1184"/>
      <c r="P150" s="1163"/>
      <c r="Q150" s="1163"/>
      <c r="R150" s="1163"/>
      <c r="S150" s="1163"/>
      <c r="T150" s="1163"/>
      <c r="U150" s="1163"/>
      <c r="V150" s="1163"/>
      <c r="W150" s="1163"/>
      <c r="X150" s="1163"/>
      <c r="Y150" s="1163"/>
    </row>
    <row r="151" ht="12.75" customHeight="1">
      <c r="A151" s="1184"/>
      <c r="B151" s="1184"/>
      <c r="C151" s="1184"/>
      <c r="D151" s="1184"/>
      <c r="E151" s="1184"/>
      <c r="F151" s="1184"/>
      <c r="G151" s="1184"/>
      <c r="H151" s="1184"/>
      <c r="I151" s="1184"/>
      <c r="J151" s="1184"/>
      <c r="K151" s="1184"/>
      <c r="L151" s="1184"/>
      <c r="M151" s="1184"/>
      <c r="N151" s="1184"/>
      <c r="O151" s="1184"/>
      <c r="P151" s="1163"/>
      <c r="Q151" s="1163"/>
      <c r="R151" s="1163"/>
      <c r="S151" s="1163"/>
      <c r="T151" s="1163"/>
      <c r="U151" s="1163"/>
      <c r="V151" s="1163"/>
      <c r="W151" s="1163"/>
      <c r="X151" s="1163"/>
      <c r="Y151" s="1163"/>
    </row>
    <row r="152" ht="12.75" customHeight="1">
      <c r="A152" s="1184"/>
      <c r="B152" s="1184"/>
      <c r="C152" s="1184"/>
      <c r="D152" s="1184"/>
      <c r="E152" s="1184"/>
      <c r="F152" s="1184"/>
      <c r="G152" s="1184"/>
      <c r="H152" s="1184"/>
      <c r="I152" s="1184"/>
      <c r="J152" s="1184"/>
      <c r="K152" s="1184"/>
      <c r="L152" s="1184"/>
      <c r="M152" s="1184"/>
      <c r="N152" s="1184"/>
      <c r="O152" s="1184"/>
      <c r="P152" s="1163"/>
      <c r="Q152" s="1163"/>
      <c r="R152" s="1163"/>
      <c r="S152" s="1163"/>
      <c r="T152" s="1163"/>
      <c r="U152" s="1163"/>
      <c r="V152" s="1163"/>
      <c r="W152" s="1163"/>
      <c r="X152" s="1163"/>
      <c r="Y152" s="1163"/>
    </row>
    <row r="153" ht="12.75" customHeight="1">
      <c r="A153" s="1184"/>
      <c r="B153" s="1184"/>
      <c r="C153" s="1184"/>
      <c r="D153" s="1184"/>
      <c r="E153" s="1184"/>
      <c r="F153" s="1184"/>
      <c r="G153" s="1184"/>
      <c r="H153" s="1184"/>
      <c r="I153" s="1184"/>
      <c r="J153" s="1184"/>
      <c r="K153" s="1184"/>
      <c r="L153" s="1184"/>
      <c r="M153" s="1184"/>
      <c r="N153" s="1184"/>
      <c r="O153" s="1184"/>
      <c r="P153" s="1163"/>
      <c r="Q153" s="1163"/>
      <c r="R153" s="1163"/>
      <c r="S153" s="1163"/>
      <c r="T153" s="1163"/>
      <c r="U153" s="1163"/>
      <c r="V153" s="1163"/>
      <c r="W153" s="1163"/>
      <c r="X153" s="1163"/>
      <c r="Y153" s="1163"/>
    </row>
    <row r="154" ht="12.75" customHeight="1">
      <c r="A154" s="1184"/>
      <c r="B154" s="1184"/>
      <c r="C154" s="1184"/>
      <c r="D154" s="1184"/>
      <c r="E154" s="1184"/>
      <c r="F154" s="1184"/>
      <c r="G154" s="1184"/>
      <c r="H154" s="1184"/>
      <c r="I154" s="1184"/>
      <c r="J154" s="1184"/>
      <c r="K154" s="1184"/>
      <c r="L154" s="1184"/>
      <c r="M154" s="1184"/>
      <c r="N154" s="1184"/>
      <c r="O154" s="1184"/>
      <c r="P154" s="1163"/>
      <c r="Q154" s="1163"/>
      <c r="R154" s="1163"/>
      <c r="S154" s="1163"/>
      <c r="T154" s="1163"/>
      <c r="U154" s="1163"/>
      <c r="V154" s="1163"/>
      <c r="W154" s="1163"/>
      <c r="X154" s="1163"/>
      <c r="Y154" s="1163"/>
    </row>
    <row r="155" ht="12.75" customHeight="1">
      <c r="A155" s="1184"/>
      <c r="B155" s="1184"/>
      <c r="C155" s="1184"/>
      <c r="D155" s="1184"/>
      <c r="E155" s="1184"/>
      <c r="F155" s="1184"/>
      <c r="G155" s="1184"/>
      <c r="H155" s="1184"/>
      <c r="I155" s="1184"/>
      <c r="J155" s="1184"/>
      <c r="K155" s="1184"/>
      <c r="L155" s="1184"/>
      <c r="M155" s="1184"/>
      <c r="N155" s="1184"/>
      <c r="O155" s="1184"/>
      <c r="P155" s="1163"/>
      <c r="Q155" s="1163"/>
      <c r="R155" s="1163"/>
      <c r="S155" s="1163"/>
      <c r="T155" s="1163"/>
      <c r="U155" s="1163"/>
      <c r="V155" s="1163"/>
      <c r="W155" s="1163"/>
      <c r="X155" s="1163"/>
      <c r="Y155" s="1163"/>
    </row>
    <row r="156" ht="12.75" customHeight="1">
      <c r="A156" s="1184"/>
      <c r="B156" s="1184"/>
      <c r="C156" s="1184"/>
      <c r="D156" s="1184"/>
      <c r="E156" s="1184"/>
      <c r="F156" s="1184"/>
      <c r="G156" s="1184"/>
      <c r="H156" s="1184"/>
      <c r="I156" s="1184"/>
      <c r="J156" s="1184"/>
      <c r="K156" s="1184"/>
      <c r="L156" s="1184"/>
      <c r="M156" s="1184"/>
      <c r="N156" s="1184"/>
      <c r="O156" s="1184"/>
      <c r="P156" s="1163"/>
      <c r="Q156" s="1163"/>
      <c r="R156" s="1163"/>
      <c r="S156" s="1163"/>
      <c r="T156" s="1163"/>
      <c r="U156" s="1163"/>
      <c r="V156" s="1163"/>
      <c r="W156" s="1163"/>
      <c r="X156" s="1163"/>
      <c r="Y156" s="1163"/>
    </row>
    <row r="157" ht="12.75" customHeight="1">
      <c r="A157" s="1184"/>
      <c r="B157" s="1184"/>
      <c r="C157" s="1184"/>
      <c r="D157" s="1184"/>
      <c r="E157" s="1184"/>
      <c r="F157" s="1184"/>
      <c r="G157" s="1184"/>
      <c r="H157" s="1184"/>
      <c r="I157" s="1184"/>
      <c r="J157" s="1184"/>
      <c r="K157" s="1184"/>
      <c r="L157" s="1184"/>
      <c r="M157" s="1184"/>
      <c r="N157" s="1184"/>
      <c r="O157" s="1184"/>
      <c r="P157" s="1163"/>
      <c r="Q157" s="1163"/>
      <c r="R157" s="1163"/>
      <c r="S157" s="1163"/>
      <c r="T157" s="1163"/>
      <c r="U157" s="1163"/>
      <c r="V157" s="1163"/>
      <c r="W157" s="1163"/>
      <c r="X157" s="1163"/>
      <c r="Y157" s="1163"/>
    </row>
    <row r="158" ht="12.75" customHeight="1">
      <c r="A158" s="1184"/>
      <c r="B158" s="1184"/>
      <c r="C158" s="1184"/>
      <c r="D158" s="1184"/>
      <c r="E158" s="1184"/>
      <c r="F158" s="1184"/>
      <c r="G158" s="1184"/>
      <c r="H158" s="1184"/>
      <c r="I158" s="1184"/>
      <c r="J158" s="1184"/>
      <c r="K158" s="1184"/>
      <c r="L158" s="1184"/>
      <c r="M158" s="1184"/>
      <c r="N158" s="1184"/>
      <c r="O158" s="1184"/>
      <c r="P158" s="1163"/>
      <c r="Q158" s="1163"/>
      <c r="R158" s="1163"/>
      <c r="S158" s="1163"/>
      <c r="T158" s="1163"/>
      <c r="U158" s="1163"/>
      <c r="V158" s="1163"/>
      <c r="W158" s="1163"/>
      <c r="X158" s="1163"/>
      <c r="Y158" s="1163"/>
    </row>
    <row r="159" ht="12.75" customHeight="1">
      <c r="A159" s="1184"/>
      <c r="B159" s="1184"/>
      <c r="C159" s="1184"/>
      <c r="D159" s="1184"/>
      <c r="E159" s="1184"/>
      <c r="F159" s="1184"/>
      <c r="G159" s="1184"/>
      <c r="H159" s="1184"/>
      <c r="I159" s="1184"/>
      <c r="J159" s="1184"/>
      <c r="K159" s="1184"/>
      <c r="L159" s="1184"/>
      <c r="M159" s="1184"/>
      <c r="N159" s="1184"/>
      <c r="O159" s="1184"/>
      <c r="P159" s="1163"/>
      <c r="Q159" s="1163"/>
      <c r="R159" s="1163"/>
      <c r="S159" s="1163"/>
      <c r="T159" s="1163"/>
      <c r="U159" s="1163"/>
      <c r="V159" s="1163"/>
      <c r="W159" s="1163"/>
      <c r="X159" s="1163"/>
      <c r="Y159" s="1163"/>
    </row>
    <row r="160" ht="12.75" customHeight="1">
      <c r="A160" s="1184"/>
      <c r="B160" s="1184"/>
      <c r="C160" s="1184"/>
      <c r="D160" s="1184"/>
      <c r="E160" s="1184"/>
      <c r="F160" s="1184"/>
      <c r="G160" s="1184"/>
      <c r="H160" s="1184"/>
      <c r="I160" s="1184"/>
      <c r="J160" s="1184"/>
      <c r="K160" s="1184"/>
      <c r="L160" s="1184"/>
      <c r="M160" s="1184"/>
      <c r="N160" s="1184"/>
      <c r="O160" s="1184"/>
      <c r="P160" s="1163"/>
      <c r="Q160" s="1163"/>
      <c r="R160" s="1163"/>
      <c r="S160" s="1163"/>
      <c r="T160" s="1163"/>
      <c r="U160" s="1163"/>
      <c r="V160" s="1163"/>
      <c r="W160" s="1163"/>
      <c r="X160" s="1163"/>
      <c r="Y160" s="1163"/>
    </row>
    <row r="161" ht="12.75" customHeight="1">
      <c r="A161" s="1184"/>
      <c r="B161" s="1184"/>
      <c r="C161" s="1184"/>
      <c r="D161" s="1184"/>
      <c r="E161" s="1184"/>
      <c r="F161" s="1184"/>
      <c r="G161" s="1184"/>
      <c r="H161" s="1184"/>
      <c r="I161" s="1184"/>
      <c r="J161" s="1184"/>
      <c r="K161" s="1184"/>
      <c r="L161" s="1184"/>
      <c r="M161" s="1184"/>
      <c r="N161" s="1184"/>
      <c r="O161" s="1184"/>
      <c r="P161" s="1163"/>
      <c r="Q161" s="1163"/>
      <c r="R161" s="1163"/>
      <c r="S161" s="1163"/>
      <c r="T161" s="1163"/>
      <c r="U161" s="1163"/>
      <c r="V161" s="1163"/>
      <c r="W161" s="1163"/>
      <c r="X161" s="1163"/>
      <c r="Y161" s="1163"/>
    </row>
    <row r="162" ht="12.75" customHeight="1">
      <c r="A162" s="1184"/>
      <c r="B162" s="1184"/>
      <c r="C162" s="1184"/>
      <c r="D162" s="1184"/>
      <c r="E162" s="1184"/>
      <c r="F162" s="1184"/>
      <c r="G162" s="1184"/>
      <c r="H162" s="1184"/>
      <c r="I162" s="1184"/>
      <c r="J162" s="1184"/>
      <c r="K162" s="1184"/>
      <c r="L162" s="1184"/>
      <c r="M162" s="1184"/>
      <c r="N162" s="1184"/>
      <c r="O162" s="1184"/>
      <c r="P162" s="1163"/>
      <c r="Q162" s="1163"/>
      <c r="R162" s="1163"/>
      <c r="S162" s="1163"/>
      <c r="T162" s="1163"/>
      <c r="U162" s="1163"/>
      <c r="V162" s="1163"/>
      <c r="W162" s="1163"/>
      <c r="X162" s="1163"/>
      <c r="Y162" s="1163"/>
    </row>
    <row r="163" ht="12.75" customHeight="1">
      <c r="A163" s="1184"/>
      <c r="B163" s="1184"/>
      <c r="C163" s="1184"/>
      <c r="D163" s="1184"/>
      <c r="E163" s="1184"/>
      <c r="F163" s="1184"/>
      <c r="G163" s="1184"/>
      <c r="H163" s="1184"/>
      <c r="I163" s="1184"/>
      <c r="J163" s="1184"/>
      <c r="K163" s="1184"/>
      <c r="L163" s="1184"/>
      <c r="M163" s="1184"/>
      <c r="N163" s="1184"/>
      <c r="O163" s="1184"/>
      <c r="P163" s="1163"/>
      <c r="Q163" s="1163"/>
      <c r="R163" s="1163"/>
      <c r="S163" s="1163"/>
      <c r="T163" s="1163"/>
      <c r="U163" s="1163"/>
      <c r="V163" s="1163"/>
      <c r="W163" s="1163"/>
      <c r="X163" s="1163"/>
      <c r="Y163" s="1163"/>
    </row>
    <row r="164" ht="12.75" customHeight="1">
      <c r="A164" s="1184"/>
      <c r="B164" s="1184"/>
      <c r="C164" s="1184"/>
      <c r="D164" s="1184"/>
      <c r="E164" s="1184"/>
      <c r="F164" s="1184"/>
      <c r="G164" s="1184"/>
      <c r="H164" s="1184"/>
      <c r="I164" s="1184"/>
      <c r="J164" s="1184"/>
      <c r="K164" s="1184"/>
      <c r="L164" s="1184"/>
      <c r="M164" s="1184"/>
      <c r="N164" s="1184"/>
      <c r="O164" s="1184"/>
      <c r="P164" s="1163"/>
      <c r="Q164" s="1163"/>
      <c r="R164" s="1163"/>
      <c r="S164" s="1163"/>
      <c r="T164" s="1163"/>
      <c r="U164" s="1163"/>
      <c r="V164" s="1163"/>
      <c r="W164" s="1163"/>
      <c r="X164" s="1163"/>
      <c r="Y164" s="1163"/>
    </row>
    <row r="165" ht="12.75" customHeight="1">
      <c r="A165" s="1184"/>
      <c r="B165" s="1184"/>
      <c r="C165" s="1184"/>
      <c r="D165" s="1184"/>
      <c r="E165" s="1184"/>
      <c r="F165" s="1184"/>
      <c r="G165" s="1184"/>
      <c r="H165" s="1184"/>
      <c r="I165" s="1184"/>
      <c r="J165" s="1184"/>
      <c r="K165" s="1184"/>
      <c r="L165" s="1184"/>
      <c r="M165" s="1184"/>
      <c r="N165" s="1184"/>
      <c r="O165" s="1184"/>
      <c r="P165" s="1163"/>
      <c r="Q165" s="1163"/>
      <c r="R165" s="1163"/>
      <c r="S165" s="1163"/>
      <c r="T165" s="1163"/>
      <c r="U165" s="1163"/>
      <c r="V165" s="1163"/>
      <c r="W165" s="1163"/>
      <c r="X165" s="1163"/>
      <c r="Y165" s="1163"/>
    </row>
    <row r="166" ht="12.75" customHeight="1">
      <c r="A166" s="1184"/>
      <c r="B166" s="1184"/>
      <c r="C166" s="1184"/>
      <c r="D166" s="1184"/>
      <c r="E166" s="1184"/>
      <c r="F166" s="1184"/>
      <c r="G166" s="1184"/>
      <c r="H166" s="1184"/>
      <c r="I166" s="1184"/>
      <c r="J166" s="1184"/>
      <c r="K166" s="1184"/>
      <c r="L166" s="1184"/>
      <c r="M166" s="1184"/>
      <c r="N166" s="1184"/>
      <c r="O166" s="1184"/>
      <c r="P166" s="1163"/>
      <c r="Q166" s="1163"/>
      <c r="R166" s="1163"/>
      <c r="S166" s="1163"/>
      <c r="T166" s="1163"/>
      <c r="U166" s="1163"/>
      <c r="V166" s="1163"/>
      <c r="W166" s="1163"/>
      <c r="X166" s="1163"/>
      <c r="Y166" s="1163"/>
    </row>
    <row r="167" ht="12.75" customHeight="1">
      <c r="A167" s="1184"/>
      <c r="B167" s="1184"/>
      <c r="C167" s="1184"/>
      <c r="D167" s="1184"/>
      <c r="E167" s="1184"/>
      <c r="F167" s="1184"/>
      <c r="G167" s="1184"/>
      <c r="H167" s="1184"/>
      <c r="I167" s="1184"/>
      <c r="J167" s="1184"/>
      <c r="K167" s="1184"/>
      <c r="L167" s="1184"/>
      <c r="M167" s="1184"/>
      <c r="N167" s="1184"/>
      <c r="O167" s="1184"/>
      <c r="P167" s="1163"/>
      <c r="Q167" s="1163"/>
      <c r="R167" s="1163"/>
      <c r="S167" s="1163"/>
      <c r="T167" s="1163"/>
      <c r="U167" s="1163"/>
      <c r="V167" s="1163"/>
      <c r="W167" s="1163"/>
      <c r="X167" s="1163"/>
      <c r="Y167" s="1163"/>
    </row>
    <row r="168" ht="12.75" customHeight="1">
      <c r="A168" s="1184"/>
      <c r="B168" s="1184"/>
      <c r="C168" s="1184"/>
      <c r="D168" s="1184"/>
      <c r="E168" s="1184"/>
      <c r="F168" s="1184"/>
      <c r="G168" s="1184"/>
      <c r="H168" s="1184"/>
      <c r="I168" s="1184"/>
      <c r="J168" s="1184"/>
      <c r="K168" s="1184"/>
      <c r="L168" s="1184"/>
      <c r="M168" s="1184"/>
      <c r="N168" s="1184"/>
      <c r="O168" s="1184"/>
      <c r="P168" s="1163"/>
      <c r="Q168" s="1163"/>
      <c r="R168" s="1163"/>
      <c r="S168" s="1163"/>
      <c r="T168" s="1163"/>
      <c r="U168" s="1163"/>
      <c r="V168" s="1163"/>
      <c r="W168" s="1163"/>
      <c r="X168" s="1163"/>
      <c r="Y168" s="1163"/>
    </row>
    <row r="169" ht="12.75" customHeight="1">
      <c r="A169" s="1184"/>
      <c r="B169" s="1184"/>
      <c r="C169" s="1184"/>
      <c r="D169" s="1184"/>
      <c r="E169" s="1184"/>
      <c r="F169" s="1184"/>
      <c r="G169" s="1184"/>
      <c r="H169" s="1184"/>
      <c r="I169" s="1184"/>
      <c r="J169" s="1184"/>
      <c r="K169" s="1184"/>
      <c r="L169" s="1184"/>
      <c r="M169" s="1184"/>
      <c r="N169" s="1184"/>
      <c r="O169" s="1184"/>
      <c r="P169" s="1163"/>
      <c r="Q169" s="1163"/>
      <c r="R169" s="1163"/>
      <c r="S169" s="1163"/>
      <c r="T169" s="1163"/>
      <c r="U169" s="1163"/>
      <c r="V169" s="1163"/>
      <c r="W169" s="1163"/>
      <c r="X169" s="1163"/>
      <c r="Y169" s="1163"/>
    </row>
    <row r="170" ht="12.75" customHeight="1">
      <c r="A170" s="1184"/>
      <c r="B170" s="1184"/>
      <c r="C170" s="1184"/>
      <c r="D170" s="1184"/>
      <c r="E170" s="1184"/>
      <c r="F170" s="1184"/>
      <c r="G170" s="1184"/>
      <c r="H170" s="1184"/>
      <c r="I170" s="1184"/>
      <c r="J170" s="1184"/>
      <c r="K170" s="1184"/>
      <c r="L170" s="1184"/>
      <c r="M170" s="1184"/>
      <c r="N170" s="1184"/>
      <c r="O170" s="1184"/>
      <c r="P170" s="1163"/>
      <c r="Q170" s="1163"/>
      <c r="R170" s="1163"/>
      <c r="S170" s="1163"/>
      <c r="T170" s="1163"/>
      <c r="U170" s="1163"/>
      <c r="V170" s="1163"/>
      <c r="W170" s="1163"/>
      <c r="X170" s="1163"/>
      <c r="Y170" s="1163"/>
    </row>
    <row r="171" ht="12.75" customHeight="1">
      <c r="A171" s="1184"/>
      <c r="B171" s="1184"/>
      <c r="C171" s="1184"/>
      <c r="D171" s="1184"/>
      <c r="E171" s="1184"/>
      <c r="F171" s="1184"/>
      <c r="G171" s="1184"/>
      <c r="H171" s="1184"/>
      <c r="I171" s="1184"/>
      <c r="J171" s="1184"/>
      <c r="K171" s="1184"/>
      <c r="L171" s="1184"/>
      <c r="M171" s="1184"/>
      <c r="N171" s="1184"/>
      <c r="O171" s="1184"/>
      <c r="P171" s="1163"/>
      <c r="Q171" s="1163"/>
      <c r="R171" s="1163"/>
      <c r="S171" s="1163"/>
      <c r="T171" s="1163"/>
      <c r="U171" s="1163"/>
      <c r="V171" s="1163"/>
      <c r="W171" s="1163"/>
      <c r="X171" s="1163"/>
      <c r="Y171" s="1163"/>
    </row>
    <row r="172" ht="12.75" customHeight="1">
      <c r="A172" s="1184"/>
      <c r="B172" s="1184"/>
      <c r="C172" s="1184"/>
      <c r="D172" s="1184"/>
      <c r="E172" s="1184"/>
      <c r="F172" s="1184"/>
      <c r="G172" s="1184"/>
      <c r="H172" s="1184"/>
      <c r="I172" s="1184"/>
      <c r="J172" s="1184"/>
      <c r="K172" s="1184"/>
      <c r="L172" s="1184"/>
      <c r="M172" s="1184"/>
      <c r="N172" s="1184"/>
      <c r="O172" s="1184"/>
      <c r="P172" s="1163"/>
      <c r="Q172" s="1163"/>
      <c r="R172" s="1163"/>
      <c r="S172" s="1163"/>
      <c r="T172" s="1163"/>
      <c r="U172" s="1163"/>
      <c r="V172" s="1163"/>
      <c r="W172" s="1163"/>
      <c r="X172" s="1163"/>
      <c r="Y172" s="1163"/>
    </row>
    <row r="173" ht="12.75" customHeight="1">
      <c r="A173" s="1184"/>
      <c r="B173" s="1184"/>
      <c r="C173" s="1184"/>
      <c r="D173" s="1184"/>
      <c r="E173" s="1184"/>
      <c r="F173" s="1184"/>
      <c r="G173" s="1184"/>
      <c r="H173" s="1184"/>
      <c r="I173" s="1184"/>
      <c r="J173" s="1184"/>
      <c r="K173" s="1184"/>
      <c r="L173" s="1184"/>
      <c r="M173" s="1184"/>
      <c r="N173" s="1184"/>
      <c r="O173" s="1184"/>
      <c r="P173" s="1163"/>
      <c r="Q173" s="1163"/>
      <c r="R173" s="1163"/>
      <c r="S173" s="1163"/>
      <c r="T173" s="1163"/>
      <c r="U173" s="1163"/>
      <c r="V173" s="1163"/>
      <c r="W173" s="1163"/>
      <c r="X173" s="1163"/>
      <c r="Y173" s="1163"/>
    </row>
    <row r="174" ht="12.75" customHeight="1">
      <c r="A174" s="1184"/>
      <c r="B174" s="1184"/>
      <c r="C174" s="1184"/>
      <c r="D174" s="1184"/>
      <c r="E174" s="1184"/>
      <c r="F174" s="1184"/>
      <c r="G174" s="1184"/>
      <c r="H174" s="1184"/>
      <c r="I174" s="1184"/>
      <c r="J174" s="1184"/>
      <c r="K174" s="1184"/>
      <c r="L174" s="1184"/>
      <c r="M174" s="1184"/>
      <c r="N174" s="1184"/>
      <c r="O174" s="1184"/>
      <c r="P174" s="1163"/>
      <c r="Q174" s="1163"/>
      <c r="R174" s="1163"/>
      <c r="S174" s="1163"/>
      <c r="T174" s="1163"/>
      <c r="U174" s="1163"/>
      <c r="V174" s="1163"/>
      <c r="W174" s="1163"/>
      <c r="X174" s="1163"/>
      <c r="Y174" s="1163"/>
    </row>
    <row r="175" ht="12.75" customHeight="1">
      <c r="A175" s="1184"/>
      <c r="B175" s="1184"/>
      <c r="C175" s="1184"/>
      <c r="D175" s="1184"/>
      <c r="E175" s="1184"/>
      <c r="F175" s="1184"/>
      <c r="G175" s="1184"/>
      <c r="H175" s="1184"/>
      <c r="I175" s="1184"/>
      <c r="J175" s="1184"/>
      <c r="K175" s="1184"/>
      <c r="L175" s="1184"/>
      <c r="M175" s="1184"/>
      <c r="N175" s="1184"/>
      <c r="O175" s="1184"/>
      <c r="P175" s="1163"/>
      <c r="Q175" s="1163"/>
      <c r="R175" s="1163"/>
      <c r="S175" s="1163"/>
      <c r="T175" s="1163"/>
      <c r="U175" s="1163"/>
      <c r="V175" s="1163"/>
      <c r="W175" s="1163"/>
      <c r="X175" s="1163"/>
      <c r="Y175" s="1163"/>
    </row>
    <row r="176" ht="12.75" customHeight="1">
      <c r="A176" s="1184"/>
      <c r="B176" s="1184"/>
      <c r="C176" s="1184"/>
      <c r="D176" s="1184"/>
      <c r="E176" s="1184"/>
      <c r="F176" s="1184"/>
      <c r="G176" s="1184"/>
      <c r="H176" s="1184"/>
      <c r="I176" s="1184"/>
      <c r="J176" s="1184"/>
      <c r="K176" s="1184"/>
      <c r="L176" s="1184"/>
      <c r="M176" s="1184"/>
      <c r="N176" s="1184"/>
      <c r="O176" s="1184"/>
      <c r="P176" s="1163"/>
      <c r="Q176" s="1163"/>
      <c r="R176" s="1163"/>
      <c r="S176" s="1163"/>
      <c r="T176" s="1163"/>
      <c r="U176" s="1163"/>
      <c r="V176" s="1163"/>
      <c r="W176" s="1163"/>
      <c r="X176" s="1163"/>
      <c r="Y176" s="1163"/>
    </row>
    <row r="177" ht="12.75" customHeight="1">
      <c r="A177" s="1184"/>
      <c r="B177" s="1184"/>
      <c r="C177" s="1184"/>
      <c r="D177" s="1184"/>
      <c r="E177" s="1184"/>
      <c r="F177" s="1184"/>
      <c r="G177" s="1184"/>
      <c r="H177" s="1184"/>
      <c r="I177" s="1184"/>
      <c r="J177" s="1184"/>
      <c r="K177" s="1184"/>
      <c r="L177" s="1184"/>
      <c r="M177" s="1184"/>
      <c r="N177" s="1184"/>
      <c r="O177" s="1184"/>
      <c r="P177" s="1163"/>
      <c r="Q177" s="1163"/>
      <c r="R177" s="1163"/>
      <c r="S177" s="1163"/>
      <c r="T177" s="1163"/>
      <c r="U177" s="1163"/>
      <c r="V177" s="1163"/>
      <c r="W177" s="1163"/>
      <c r="X177" s="1163"/>
      <c r="Y177" s="1163"/>
    </row>
    <row r="178" ht="12.75" customHeight="1">
      <c r="A178" s="1184"/>
      <c r="B178" s="1184"/>
      <c r="C178" s="1184"/>
      <c r="D178" s="1184"/>
      <c r="E178" s="1184"/>
      <c r="F178" s="1184"/>
      <c r="G178" s="1184"/>
      <c r="H178" s="1184"/>
      <c r="I178" s="1184"/>
      <c r="J178" s="1184"/>
      <c r="K178" s="1184"/>
      <c r="L178" s="1184"/>
      <c r="M178" s="1184"/>
      <c r="N178" s="1184"/>
      <c r="O178" s="1184"/>
      <c r="P178" s="1163"/>
      <c r="Q178" s="1163"/>
      <c r="R178" s="1163"/>
      <c r="S178" s="1163"/>
      <c r="T178" s="1163"/>
      <c r="U178" s="1163"/>
      <c r="V178" s="1163"/>
      <c r="W178" s="1163"/>
      <c r="X178" s="1163"/>
      <c r="Y178" s="1163"/>
    </row>
    <row r="179" ht="12.75" customHeight="1">
      <c r="A179" s="1184"/>
      <c r="B179" s="1184"/>
      <c r="C179" s="1184"/>
      <c r="D179" s="1184"/>
      <c r="E179" s="1184"/>
      <c r="F179" s="1184"/>
      <c r="G179" s="1184"/>
      <c r="H179" s="1184"/>
      <c r="I179" s="1184"/>
      <c r="J179" s="1184"/>
      <c r="K179" s="1184"/>
      <c r="L179" s="1184"/>
      <c r="M179" s="1184"/>
      <c r="N179" s="1184"/>
      <c r="O179" s="1184"/>
      <c r="P179" s="1163"/>
      <c r="Q179" s="1163"/>
      <c r="R179" s="1163"/>
      <c r="S179" s="1163"/>
      <c r="T179" s="1163"/>
      <c r="U179" s="1163"/>
      <c r="V179" s="1163"/>
      <c r="W179" s="1163"/>
      <c r="X179" s="1163"/>
      <c r="Y179" s="1163"/>
    </row>
    <row r="180" ht="12.75" customHeight="1">
      <c r="A180" s="1184"/>
      <c r="B180" s="1184"/>
      <c r="C180" s="1184"/>
      <c r="D180" s="1184"/>
      <c r="E180" s="1184"/>
      <c r="F180" s="1184"/>
      <c r="G180" s="1184"/>
      <c r="H180" s="1184"/>
      <c r="I180" s="1184"/>
      <c r="J180" s="1184"/>
      <c r="K180" s="1184"/>
      <c r="L180" s="1184"/>
      <c r="M180" s="1184"/>
      <c r="N180" s="1184"/>
      <c r="O180" s="1184"/>
      <c r="P180" s="1163"/>
      <c r="Q180" s="1163"/>
      <c r="R180" s="1163"/>
      <c r="S180" s="1163"/>
      <c r="T180" s="1163"/>
      <c r="U180" s="1163"/>
      <c r="V180" s="1163"/>
      <c r="W180" s="1163"/>
      <c r="X180" s="1163"/>
      <c r="Y180" s="1163"/>
    </row>
    <row r="181" ht="12.75" customHeight="1">
      <c r="A181" s="1184"/>
      <c r="B181" s="1184"/>
      <c r="C181" s="1184"/>
      <c r="D181" s="1184"/>
      <c r="E181" s="1184"/>
      <c r="F181" s="1184"/>
      <c r="G181" s="1184"/>
      <c r="H181" s="1184"/>
      <c r="I181" s="1184"/>
      <c r="J181" s="1184"/>
      <c r="K181" s="1184"/>
      <c r="L181" s="1184"/>
      <c r="M181" s="1184"/>
      <c r="N181" s="1184"/>
      <c r="O181" s="1184"/>
      <c r="P181" s="1163"/>
      <c r="Q181" s="1163"/>
      <c r="R181" s="1163"/>
      <c r="S181" s="1163"/>
      <c r="T181" s="1163"/>
      <c r="U181" s="1163"/>
      <c r="V181" s="1163"/>
      <c r="W181" s="1163"/>
      <c r="X181" s="1163"/>
      <c r="Y181" s="1163"/>
    </row>
    <row r="182" ht="12.75" customHeight="1">
      <c r="A182" s="1184"/>
      <c r="B182" s="1184"/>
      <c r="C182" s="1184"/>
      <c r="D182" s="1184"/>
      <c r="E182" s="1184"/>
      <c r="F182" s="1184"/>
      <c r="G182" s="1184"/>
      <c r="H182" s="1184"/>
      <c r="I182" s="1184"/>
      <c r="J182" s="1184"/>
      <c r="K182" s="1184"/>
      <c r="L182" s="1184"/>
      <c r="M182" s="1184"/>
      <c r="N182" s="1184"/>
      <c r="O182" s="1184"/>
      <c r="P182" s="1163"/>
      <c r="Q182" s="1163"/>
      <c r="R182" s="1163"/>
      <c r="S182" s="1163"/>
      <c r="T182" s="1163"/>
      <c r="U182" s="1163"/>
      <c r="V182" s="1163"/>
      <c r="W182" s="1163"/>
      <c r="X182" s="1163"/>
      <c r="Y182" s="1163"/>
    </row>
    <row r="183" ht="12.75" customHeight="1">
      <c r="A183" s="1184"/>
      <c r="B183" s="1184"/>
      <c r="C183" s="1184"/>
      <c r="D183" s="1184"/>
      <c r="E183" s="1184"/>
      <c r="F183" s="1184"/>
      <c r="G183" s="1184"/>
      <c r="H183" s="1184"/>
      <c r="I183" s="1184"/>
      <c r="J183" s="1184"/>
      <c r="K183" s="1184"/>
      <c r="L183" s="1184"/>
      <c r="M183" s="1184"/>
      <c r="N183" s="1184"/>
      <c r="O183" s="1184"/>
      <c r="P183" s="1163"/>
      <c r="Q183" s="1163"/>
      <c r="R183" s="1163"/>
      <c r="S183" s="1163"/>
      <c r="T183" s="1163"/>
      <c r="U183" s="1163"/>
      <c r="V183" s="1163"/>
      <c r="W183" s="1163"/>
      <c r="X183" s="1163"/>
      <c r="Y183" s="1163"/>
    </row>
    <row r="184" ht="12.75" customHeight="1">
      <c r="A184" s="1184"/>
      <c r="B184" s="1184"/>
      <c r="C184" s="1184"/>
      <c r="D184" s="1184"/>
      <c r="E184" s="1184"/>
      <c r="F184" s="1184"/>
      <c r="G184" s="1184"/>
      <c r="H184" s="1184"/>
      <c r="I184" s="1184"/>
      <c r="J184" s="1184"/>
      <c r="K184" s="1184"/>
      <c r="L184" s="1184"/>
      <c r="M184" s="1184"/>
      <c r="N184" s="1184"/>
      <c r="O184" s="1184"/>
      <c r="P184" s="1163"/>
      <c r="Q184" s="1163"/>
      <c r="R184" s="1163"/>
      <c r="S184" s="1163"/>
      <c r="T184" s="1163"/>
      <c r="U184" s="1163"/>
      <c r="V184" s="1163"/>
      <c r="W184" s="1163"/>
      <c r="X184" s="1163"/>
      <c r="Y184" s="1163"/>
    </row>
    <row r="185" ht="12.75" customHeight="1">
      <c r="A185" s="1184"/>
      <c r="B185" s="1184"/>
      <c r="C185" s="1184"/>
      <c r="D185" s="1184"/>
      <c r="E185" s="1184"/>
      <c r="F185" s="1184"/>
      <c r="G185" s="1184"/>
      <c r="H185" s="1184"/>
      <c r="I185" s="1184"/>
      <c r="J185" s="1184"/>
      <c r="K185" s="1184"/>
      <c r="L185" s="1184"/>
      <c r="M185" s="1184"/>
      <c r="N185" s="1184"/>
      <c r="O185" s="1184"/>
      <c r="P185" s="1163"/>
      <c r="Q185" s="1163"/>
      <c r="R185" s="1163"/>
      <c r="S185" s="1163"/>
      <c r="T185" s="1163"/>
      <c r="U185" s="1163"/>
      <c r="V185" s="1163"/>
      <c r="W185" s="1163"/>
      <c r="X185" s="1163"/>
      <c r="Y185" s="1163"/>
    </row>
    <row r="186" ht="12.75" customHeight="1">
      <c r="A186" s="1184"/>
      <c r="B186" s="1184"/>
      <c r="C186" s="1184"/>
      <c r="D186" s="1184"/>
      <c r="E186" s="1184"/>
      <c r="F186" s="1184"/>
      <c r="G186" s="1184"/>
      <c r="H186" s="1184"/>
      <c r="I186" s="1184"/>
      <c r="J186" s="1184"/>
      <c r="K186" s="1184"/>
      <c r="L186" s="1184"/>
      <c r="M186" s="1184"/>
      <c r="N186" s="1184"/>
      <c r="O186" s="1184"/>
      <c r="P186" s="1163"/>
      <c r="Q186" s="1163"/>
      <c r="R186" s="1163"/>
      <c r="S186" s="1163"/>
      <c r="T186" s="1163"/>
      <c r="U186" s="1163"/>
      <c r="V186" s="1163"/>
      <c r="W186" s="1163"/>
      <c r="X186" s="1163"/>
      <c r="Y186" s="1163"/>
    </row>
    <row r="187" ht="12.75" customHeight="1">
      <c r="A187" s="1184"/>
      <c r="B187" s="1184"/>
      <c r="C187" s="1184"/>
      <c r="D187" s="1184"/>
      <c r="E187" s="1184"/>
      <c r="F187" s="1184"/>
      <c r="G187" s="1184"/>
      <c r="H187" s="1184"/>
      <c r="I187" s="1184"/>
      <c r="J187" s="1184"/>
      <c r="K187" s="1184"/>
      <c r="L187" s="1184"/>
      <c r="M187" s="1184"/>
      <c r="N187" s="1184"/>
      <c r="O187" s="1184"/>
      <c r="P187" s="1163"/>
      <c r="Q187" s="1163"/>
      <c r="R187" s="1163"/>
      <c r="S187" s="1163"/>
      <c r="T187" s="1163"/>
      <c r="U187" s="1163"/>
      <c r="V187" s="1163"/>
      <c r="W187" s="1163"/>
      <c r="X187" s="1163"/>
      <c r="Y187" s="1163"/>
    </row>
    <row r="188" ht="12.75" customHeight="1">
      <c r="A188" s="1184"/>
      <c r="B188" s="1184"/>
      <c r="C188" s="1184"/>
      <c r="D188" s="1184"/>
      <c r="E188" s="1184"/>
      <c r="F188" s="1184"/>
      <c r="G188" s="1184"/>
      <c r="H188" s="1184"/>
      <c r="I188" s="1184"/>
      <c r="J188" s="1184"/>
      <c r="K188" s="1184"/>
      <c r="L188" s="1184"/>
      <c r="M188" s="1184"/>
      <c r="N188" s="1184"/>
      <c r="O188" s="1184"/>
      <c r="P188" s="1163"/>
      <c r="Q188" s="1163"/>
      <c r="R188" s="1163"/>
      <c r="S188" s="1163"/>
      <c r="T188" s="1163"/>
      <c r="U188" s="1163"/>
      <c r="V188" s="1163"/>
      <c r="W188" s="1163"/>
      <c r="X188" s="1163"/>
      <c r="Y188" s="1163"/>
    </row>
    <row r="189" ht="12.75" customHeight="1">
      <c r="A189" s="1184"/>
      <c r="B189" s="1184"/>
      <c r="C189" s="1184"/>
      <c r="D189" s="1184"/>
      <c r="E189" s="1184"/>
      <c r="F189" s="1184"/>
      <c r="G189" s="1184"/>
      <c r="H189" s="1184"/>
      <c r="I189" s="1184"/>
      <c r="J189" s="1184"/>
      <c r="K189" s="1184"/>
      <c r="L189" s="1184"/>
      <c r="M189" s="1184"/>
      <c r="N189" s="1184"/>
      <c r="O189" s="1184"/>
      <c r="P189" s="1163"/>
      <c r="Q189" s="1163"/>
      <c r="R189" s="1163"/>
      <c r="S189" s="1163"/>
      <c r="T189" s="1163"/>
      <c r="U189" s="1163"/>
      <c r="V189" s="1163"/>
      <c r="W189" s="1163"/>
      <c r="X189" s="1163"/>
      <c r="Y189" s="1163"/>
    </row>
    <row r="190" ht="12.75" customHeight="1">
      <c r="A190" s="1184"/>
      <c r="B190" s="1184"/>
      <c r="C190" s="1184"/>
      <c r="D190" s="1184"/>
      <c r="E190" s="1184"/>
      <c r="F190" s="1184"/>
      <c r="G190" s="1184"/>
      <c r="H190" s="1184"/>
      <c r="I190" s="1184"/>
      <c r="J190" s="1184"/>
      <c r="K190" s="1184"/>
      <c r="L190" s="1184"/>
      <c r="M190" s="1184"/>
      <c r="N190" s="1184"/>
      <c r="O190" s="1184"/>
      <c r="P190" s="1163"/>
      <c r="Q190" s="1163"/>
      <c r="R190" s="1163"/>
      <c r="S190" s="1163"/>
      <c r="T190" s="1163"/>
      <c r="U190" s="1163"/>
      <c r="V190" s="1163"/>
      <c r="W190" s="1163"/>
      <c r="X190" s="1163"/>
      <c r="Y190" s="1163"/>
    </row>
    <row r="191" ht="12.75" customHeight="1">
      <c r="A191" s="1184"/>
      <c r="B191" s="1184"/>
      <c r="C191" s="1184"/>
      <c r="D191" s="1184"/>
      <c r="E191" s="1184"/>
      <c r="F191" s="1184"/>
      <c r="G191" s="1184"/>
      <c r="H191" s="1184"/>
      <c r="I191" s="1184"/>
      <c r="J191" s="1184"/>
      <c r="K191" s="1184"/>
      <c r="L191" s="1184"/>
      <c r="M191" s="1184"/>
      <c r="N191" s="1184"/>
      <c r="O191" s="1184"/>
      <c r="P191" s="1163"/>
      <c r="Q191" s="1163"/>
      <c r="R191" s="1163"/>
      <c r="S191" s="1163"/>
      <c r="T191" s="1163"/>
      <c r="U191" s="1163"/>
      <c r="V191" s="1163"/>
      <c r="W191" s="1163"/>
      <c r="X191" s="1163"/>
      <c r="Y191" s="1163"/>
    </row>
    <row r="192" ht="12.75" customHeight="1">
      <c r="A192" s="1184"/>
      <c r="B192" s="1184"/>
      <c r="C192" s="1184"/>
      <c r="D192" s="1184"/>
      <c r="E192" s="1184"/>
      <c r="F192" s="1184"/>
      <c r="G192" s="1184"/>
      <c r="H192" s="1184"/>
      <c r="I192" s="1184"/>
      <c r="J192" s="1184"/>
      <c r="K192" s="1184"/>
      <c r="L192" s="1184"/>
      <c r="M192" s="1184"/>
      <c r="N192" s="1184"/>
      <c r="O192" s="1184"/>
      <c r="P192" s="1163"/>
      <c r="Q192" s="1163"/>
      <c r="R192" s="1163"/>
      <c r="S192" s="1163"/>
      <c r="T192" s="1163"/>
      <c r="U192" s="1163"/>
      <c r="V192" s="1163"/>
      <c r="W192" s="1163"/>
      <c r="X192" s="1163"/>
      <c r="Y192" s="1163"/>
    </row>
    <row r="193" ht="12.75" customHeight="1">
      <c r="A193" s="1184"/>
      <c r="B193" s="1184"/>
      <c r="C193" s="1184"/>
      <c r="D193" s="1184"/>
      <c r="E193" s="1184"/>
      <c r="F193" s="1184"/>
      <c r="G193" s="1184"/>
      <c r="H193" s="1184"/>
      <c r="I193" s="1184"/>
      <c r="J193" s="1184"/>
      <c r="K193" s="1184"/>
      <c r="L193" s="1184"/>
      <c r="M193" s="1184"/>
      <c r="N193" s="1184"/>
      <c r="O193" s="1184"/>
      <c r="P193" s="1163"/>
      <c r="Q193" s="1163"/>
      <c r="R193" s="1163"/>
      <c r="S193" s="1163"/>
      <c r="T193" s="1163"/>
      <c r="U193" s="1163"/>
      <c r="V193" s="1163"/>
      <c r="W193" s="1163"/>
      <c r="X193" s="1163"/>
      <c r="Y193" s="1163"/>
    </row>
    <row r="194" ht="12.75" customHeight="1">
      <c r="A194" s="1184"/>
      <c r="B194" s="1184"/>
      <c r="C194" s="1184"/>
      <c r="D194" s="1184"/>
      <c r="E194" s="1184"/>
      <c r="F194" s="1184"/>
      <c r="G194" s="1184"/>
      <c r="H194" s="1184"/>
      <c r="I194" s="1184"/>
      <c r="J194" s="1184"/>
      <c r="K194" s="1184"/>
      <c r="L194" s="1184"/>
      <c r="M194" s="1184"/>
      <c r="N194" s="1184"/>
      <c r="O194" s="1184"/>
      <c r="P194" s="1163"/>
      <c r="Q194" s="1163"/>
      <c r="R194" s="1163"/>
      <c r="S194" s="1163"/>
      <c r="T194" s="1163"/>
      <c r="U194" s="1163"/>
      <c r="V194" s="1163"/>
      <c r="W194" s="1163"/>
      <c r="X194" s="1163"/>
      <c r="Y194" s="1163"/>
    </row>
    <row r="195" ht="12.75" customHeight="1">
      <c r="A195" s="1184"/>
      <c r="B195" s="1184"/>
      <c r="C195" s="1184"/>
      <c r="D195" s="1184"/>
      <c r="E195" s="1184"/>
      <c r="F195" s="1184"/>
      <c r="G195" s="1184"/>
      <c r="H195" s="1184"/>
      <c r="I195" s="1184"/>
      <c r="J195" s="1184"/>
      <c r="K195" s="1184"/>
      <c r="L195" s="1184"/>
      <c r="M195" s="1184"/>
      <c r="N195" s="1184"/>
      <c r="O195" s="1184"/>
      <c r="P195" s="1163"/>
      <c r="Q195" s="1163"/>
      <c r="R195" s="1163"/>
      <c r="S195" s="1163"/>
      <c r="T195" s="1163"/>
      <c r="U195" s="1163"/>
      <c r="V195" s="1163"/>
      <c r="W195" s="1163"/>
      <c r="X195" s="1163"/>
      <c r="Y195" s="1163"/>
    </row>
    <row r="196" ht="12.75" customHeight="1">
      <c r="A196" s="1184"/>
      <c r="B196" s="1184"/>
      <c r="C196" s="1184"/>
      <c r="D196" s="1184"/>
      <c r="E196" s="1184"/>
      <c r="F196" s="1184"/>
      <c r="G196" s="1184"/>
      <c r="H196" s="1184"/>
      <c r="I196" s="1184"/>
      <c r="J196" s="1184"/>
      <c r="K196" s="1184"/>
      <c r="L196" s="1184"/>
      <c r="M196" s="1184"/>
      <c r="N196" s="1184"/>
      <c r="O196" s="1184"/>
      <c r="P196" s="1163"/>
      <c r="Q196" s="1163"/>
      <c r="R196" s="1163"/>
      <c r="S196" s="1163"/>
      <c r="T196" s="1163"/>
      <c r="U196" s="1163"/>
      <c r="V196" s="1163"/>
      <c r="W196" s="1163"/>
      <c r="X196" s="1163"/>
      <c r="Y196" s="1163"/>
    </row>
    <row r="197" ht="12.75" customHeight="1">
      <c r="A197" s="1184"/>
      <c r="B197" s="1184"/>
      <c r="C197" s="1184"/>
      <c r="D197" s="1184"/>
      <c r="E197" s="1184"/>
      <c r="F197" s="1184"/>
      <c r="G197" s="1184"/>
      <c r="H197" s="1184"/>
      <c r="I197" s="1184"/>
      <c r="J197" s="1184"/>
      <c r="K197" s="1184"/>
      <c r="L197" s="1184"/>
      <c r="M197" s="1184"/>
      <c r="N197" s="1184"/>
      <c r="O197" s="1184"/>
      <c r="P197" s="1163"/>
      <c r="Q197" s="1163"/>
      <c r="R197" s="1163"/>
      <c r="S197" s="1163"/>
      <c r="T197" s="1163"/>
      <c r="U197" s="1163"/>
      <c r="V197" s="1163"/>
      <c r="W197" s="1163"/>
      <c r="X197" s="1163"/>
      <c r="Y197" s="1163"/>
    </row>
    <row r="198" ht="12.75" customHeight="1">
      <c r="A198" s="1184"/>
      <c r="B198" s="1184"/>
      <c r="C198" s="1184"/>
      <c r="D198" s="1184"/>
      <c r="E198" s="1184"/>
      <c r="F198" s="1184"/>
      <c r="G198" s="1184"/>
      <c r="H198" s="1184"/>
      <c r="I198" s="1184"/>
      <c r="J198" s="1184"/>
      <c r="K198" s="1184"/>
      <c r="L198" s="1184"/>
      <c r="M198" s="1184"/>
      <c r="N198" s="1184"/>
      <c r="O198" s="1184"/>
      <c r="P198" s="1163"/>
      <c r="Q198" s="1163"/>
      <c r="R198" s="1163"/>
      <c r="S198" s="1163"/>
      <c r="T198" s="1163"/>
      <c r="U198" s="1163"/>
      <c r="V198" s="1163"/>
      <c r="W198" s="1163"/>
      <c r="X198" s="1163"/>
      <c r="Y198" s="1163"/>
    </row>
    <row r="199" ht="12.75" customHeight="1">
      <c r="A199" s="1184"/>
      <c r="B199" s="1184"/>
      <c r="C199" s="1184"/>
      <c r="D199" s="1184"/>
      <c r="E199" s="1184"/>
      <c r="F199" s="1184"/>
      <c r="G199" s="1184"/>
      <c r="H199" s="1184"/>
      <c r="I199" s="1184"/>
      <c r="J199" s="1184"/>
      <c r="K199" s="1184"/>
      <c r="L199" s="1184"/>
      <c r="M199" s="1184"/>
      <c r="N199" s="1184"/>
      <c r="O199" s="1184"/>
      <c r="P199" s="1163"/>
      <c r="Q199" s="1163"/>
      <c r="R199" s="1163"/>
      <c r="S199" s="1163"/>
      <c r="T199" s="1163"/>
      <c r="U199" s="1163"/>
      <c r="V199" s="1163"/>
      <c r="W199" s="1163"/>
      <c r="X199" s="1163"/>
      <c r="Y199" s="1163"/>
    </row>
    <row r="200" ht="12.75" customHeight="1">
      <c r="A200" s="1184"/>
      <c r="B200" s="1184"/>
      <c r="C200" s="1184"/>
      <c r="D200" s="1184"/>
      <c r="E200" s="1184"/>
      <c r="F200" s="1184"/>
      <c r="G200" s="1184"/>
      <c r="H200" s="1184"/>
      <c r="I200" s="1184"/>
      <c r="J200" s="1184"/>
      <c r="K200" s="1184"/>
      <c r="L200" s="1184"/>
      <c r="M200" s="1184"/>
      <c r="N200" s="1184"/>
      <c r="O200" s="1184"/>
      <c r="P200" s="1163"/>
      <c r="Q200" s="1163"/>
      <c r="R200" s="1163"/>
      <c r="S200" s="1163"/>
      <c r="T200" s="1163"/>
      <c r="U200" s="1163"/>
      <c r="V200" s="1163"/>
      <c r="W200" s="1163"/>
      <c r="X200" s="1163"/>
      <c r="Y200" s="1163"/>
    </row>
    <row r="201" ht="12.75" customHeight="1">
      <c r="A201" s="1184"/>
      <c r="B201" s="1184"/>
      <c r="C201" s="1184"/>
      <c r="D201" s="1184"/>
      <c r="E201" s="1184"/>
      <c r="F201" s="1184"/>
      <c r="G201" s="1184"/>
      <c r="H201" s="1184"/>
      <c r="I201" s="1184"/>
      <c r="J201" s="1184"/>
      <c r="K201" s="1184"/>
      <c r="L201" s="1184"/>
      <c r="M201" s="1184"/>
      <c r="N201" s="1184"/>
      <c r="O201" s="1184"/>
      <c r="P201" s="1163"/>
      <c r="Q201" s="1163"/>
      <c r="R201" s="1163"/>
      <c r="S201" s="1163"/>
      <c r="T201" s="1163"/>
      <c r="U201" s="1163"/>
      <c r="V201" s="1163"/>
      <c r="W201" s="1163"/>
      <c r="X201" s="1163"/>
      <c r="Y201" s="1163"/>
    </row>
    <row r="202" ht="12.75" customHeight="1">
      <c r="A202" s="1184"/>
      <c r="B202" s="1184"/>
      <c r="C202" s="1184"/>
      <c r="D202" s="1184"/>
      <c r="E202" s="1184"/>
      <c r="F202" s="1184"/>
      <c r="G202" s="1184"/>
      <c r="H202" s="1184"/>
      <c r="I202" s="1184"/>
      <c r="J202" s="1184"/>
      <c r="K202" s="1184"/>
      <c r="L202" s="1184"/>
      <c r="M202" s="1184"/>
      <c r="N202" s="1184"/>
      <c r="O202" s="1184"/>
      <c r="P202" s="1163"/>
      <c r="Q202" s="1163"/>
      <c r="R202" s="1163"/>
      <c r="S202" s="1163"/>
      <c r="T202" s="1163"/>
      <c r="U202" s="1163"/>
      <c r="V202" s="1163"/>
      <c r="W202" s="1163"/>
      <c r="X202" s="1163"/>
      <c r="Y202" s="1163"/>
    </row>
    <row r="203" ht="12.75" customHeight="1">
      <c r="A203" s="1184"/>
      <c r="B203" s="1184"/>
      <c r="C203" s="1184"/>
      <c r="D203" s="1184"/>
      <c r="E203" s="1184"/>
      <c r="F203" s="1184"/>
      <c r="G203" s="1184"/>
      <c r="H203" s="1184"/>
      <c r="I203" s="1184"/>
      <c r="J203" s="1184"/>
      <c r="K203" s="1184"/>
      <c r="L203" s="1184"/>
      <c r="M203" s="1184"/>
      <c r="N203" s="1184"/>
      <c r="O203" s="1184"/>
      <c r="P203" s="1163"/>
      <c r="Q203" s="1163"/>
      <c r="R203" s="1163"/>
      <c r="S203" s="1163"/>
      <c r="T203" s="1163"/>
      <c r="U203" s="1163"/>
      <c r="V203" s="1163"/>
      <c r="W203" s="1163"/>
      <c r="X203" s="1163"/>
      <c r="Y203" s="1163"/>
    </row>
    <row r="204" ht="12.75" customHeight="1">
      <c r="A204" s="1184"/>
      <c r="B204" s="1184"/>
      <c r="C204" s="1184"/>
      <c r="D204" s="1184"/>
      <c r="E204" s="1184"/>
      <c r="F204" s="1184"/>
      <c r="G204" s="1184"/>
      <c r="H204" s="1184"/>
      <c r="I204" s="1184"/>
      <c r="J204" s="1184"/>
      <c r="K204" s="1184"/>
      <c r="L204" s="1184"/>
      <c r="M204" s="1184"/>
      <c r="N204" s="1184"/>
      <c r="O204" s="1184"/>
      <c r="P204" s="1163"/>
      <c r="Q204" s="1163"/>
      <c r="R204" s="1163"/>
      <c r="S204" s="1163"/>
      <c r="T204" s="1163"/>
      <c r="U204" s="1163"/>
      <c r="V204" s="1163"/>
      <c r="W204" s="1163"/>
      <c r="X204" s="1163"/>
      <c r="Y204" s="1163"/>
    </row>
    <row r="205" ht="12.75" customHeight="1">
      <c r="A205" s="1184"/>
      <c r="B205" s="1184"/>
      <c r="C205" s="1184"/>
      <c r="D205" s="1184"/>
      <c r="E205" s="1184"/>
      <c r="F205" s="1184"/>
      <c r="G205" s="1184"/>
      <c r="H205" s="1184"/>
      <c r="I205" s="1184"/>
      <c r="J205" s="1184"/>
      <c r="K205" s="1184"/>
      <c r="L205" s="1184"/>
      <c r="M205" s="1184"/>
      <c r="N205" s="1184"/>
      <c r="O205" s="1184"/>
      <c r="P205" s="1163"/>
      <c r="Q205" s="1163"/>
      <c r="R205" s="1163"/>
      <c r="S205" s="1163"/>
      <c r="T205" s="1163"/>
      <c r="U205" s="1163"/>
      <c r="V205" s="1163"/>
      <c r="W205" s="1163"/>
      <c r="X205" s="1163"/>
      <c r="Y205" s="1163"/>
    </row>
    <row r="206" ht="12.75" customHeight="1">
      <c r="A206" s="1184"/>
      <c r="B206" s="1184"/>
      <c r="C206" s="1184"/>
      <c r="D206" s="1184"/>
      <c r="E206" s="1184"/>
      <c r="F206" s="1184"/>
      <c r="G206" s="1184"/>
      <c r="H206" s="1184"/>
      <c r="I206" s="1184"/>
      <c r="J206" s="1184"/>
      <c r="K206" s="1184"/>
      <c r="L206" s="1184"/>
      <c r="M206" s="1184"/>
      <c r="N206" s="1184"/>
      <c r="O206" s="1184"/>
      <c r="P206" s="1163"/>
      <c r="Q206" s="1163"/>
      <c r="R206" s="1163"/>
      <c r="S206" s="1163"/>
      <c r="T206" s="1163"/>
      <c r="U206" s="1163"/>
      <c r="V206" s="1163"/>
      <c r="W206" s="1163"/>
      <c r="X206" s="1163"/>
      <c r="Y206" s="1163"/>
    </row>
    <row r="207" ht="12.75" customHeight="1">
      <c r="A207" s="1184"/>
      <c r="B207" s="1184"/>
      <c r="C207" s="1184"/>
      <c r="D207" s="1184"/>
      <c r="E207" s="1184"/>
      <c r="F207" s="1184"/>
      <c r="G207" s="1184"/>
      <c r="H207" s="1184"/>
      <c r="I207" s="1184"/>
      <c r="J207" s="1184"/>
      <c r="K207" s="1184"/>
      <c r="L207" s="1184"/>
      <c r="M207" s="1184"/>
      <c r="N207" s="1184"/>
      <c r="O207" s="1184"/>
      <c r="P207" s="1163"/>
      <c r="Q207" s="1163"/>
      <c r="R207" s="1163"/>
      <c r="S207" s="1163"/>
      <c r="T207" s="1163"/>
      <c r="U207" s="1163"/>
      <c r="V207" s="1163"/>
      <c r="W207" s="1163"/>
      <c r="X207" s="1163"/>
      <c r="Y207" s="1163"/>
    </row>
    <row r="208" ht="12.75" customHeight="1">
      <c r="A208" s="1184"/>
      <c r="B208" s="1184"/>
      <c r="C208" s="1184"/>
      <c r="D208" s="1184"/>
      <c r="E208" s="1184"/>
      <c r="F208" s="1184"/>
      <c r="G208" s="1184"/>
      <c r="H208" s="1184"/>
      <c r="I208" s="1184"/>
      <c r="J208" s="1184"/>
      <c r="K208" s="1184"/>
      <c r="L208" s="1184"/>
      <c r="M208" s="1184"/>
      <c r="N208" s="1184"/>
      <c r="O208" s="1184"/>
      <c r="P208" s="1163"/>
      <c r="Q208" s="1163"/>
      <c r="R208" s="1163"/>
      <c r="S208" s="1163"/>
      <c r="T208" s="1163"/>
      <c r="U208" s="1163"/>
      <c r="V208" s="1163"/>
      <c r="W208" s="1163"/>
      <c r="X208" s="1163"/>
      <c r="Y208" s="1163"/>
    </row>
    <row r="209" ht="12.75" customHeight="1">
      <c r="A209" s="1184"/>
      <c r="B209" s="1184"/>
      <c r="C209" s="1184"/>
      <c r="D209" s="1184"/>
      <c r="E209" s="1184"/>
      <c r="F209" s="1184"/>
      <c r="G209" s="1184"/>
      <c r="H209" s="1184"/>
      <c r="I209" s="1184"/>
      <c r="J209" s="1184"/>
      <c r="K209" s="1184"/>
      <c r="L209" s="1184"/>
      <c r="M209" s="1184"/>
      <c r="N209" s="1184"/>
      <c r="O209" s="1184"/>
      <c r="P209" s="1163"/>
      <c r="Q209" s="1163"/>
      <c r="R209" s="1163"/>
      <c r="S209" s="1163"/>
      <c r="T209" s="1163"/>
      <c r="U209" s="1163"/>
      <c r="V209" s="1163"/>
      <c r="W209" s="1163"/>
      <c r="X209" s="1163"/>
      <c r="Y209" s="1163"/>
    </row>
    <row r="210" ht="12.75" customHeight="1">
      <c r="A210" s="1184"/>
      <c r="B210" s="1184"/>
      <c r="C210" s="1184"/>
      <c r="D210" s="1184"/>
      <c r="E210" s="1184"/>
      <c r="F210" s="1184"/>
      <c r="G210" s="1184"/>
      <c r="H210" s="1184"/>
      <c r="I210" s="1184"/>
      <c r="J210" s="1184"/>
      <c r="K210" s="1184"/>
      <c r="L210" s="1184"/>
      <c r="M210" s="1184"/>
      <c r="N210" s="1184"/>
      <c r="O210" s="1184"/>
      <c r="P210" s="1163"/>
      <c r="Q210" s="1163"/>
      <c r="R210" s="1163"/>
      <c r="S210" s="1163"/>
      <c r="T210" s="1163"/>
      <c r="U210" s="1163"/>
      <c r="V210" s="1163"/>
      <c r="W210" s="1163"/>
      <c r="X210" s="1163"/>
      <c r="Y210" s="1163"/>
    </row>
    <row r="211" ht="12.75" customHeight="1">
      <c r="A211" s="1184"/>
      <c r="B211" s="1184"/>
      <c r="C211" s="1184"/>
      <c r="D211" s="1184"/>
      <c r="E211" s="1184"/>
      <c r="F211" s="1184"/>
      <c r="G211" s="1184"/>
      <c r="H211" s="1184"/>
      <c r="I211" s="1184"/>
      <c r="J211" s="1184"/>
      <c r="K211" s="1184"/>
      <c r="L211" s="1184"/>
      <c r="M211" s="1184"/>
      <c r="N211" s="1184"/>
      <c r="O211" s="1184"/>
      <c r="P211" s="1163"/>
      <c r="Q211" s="1163"/>
      <c r="R211" s="1163"/>
      <c r="S211" s="1163"/>
      <c r="T211" s="1163"/>
      <c r="U211" s="1163"/>
      <c r="V211" s="1163"/>
      <c r="W211" s="1163"/>
      <c r="X211" s="1163"/>
      <c r="Y211" s="1163"/>
    </row>
    <row r="212" ht="12.75" customHeight="1">
      <c r="A212" s="1184"/>
      <c r="B212" s="1184"/>
      <c r="C212" s="1184"/>
      <c r="D212" s="1184"/>
      <c r="E212" s="1184"/>
      <c r="F212" s="1184"/>
      <c r="G212" s="1184"/>
      <c r="H212" s="1184"/>
      <c r="I212" s="1184"/>
      <c r="J212" s="1184"/>
      <c r="K212" s="1184"/>
      <c r="L212" s="1184"/>
      <c r="M212" s="1184"/>
      <c r="N212" s="1184"/>
      <c r="O212" s="1184"/>
      <c r="P212" s="1163"/>
      <c r="Q212" s="1163"/>
      <c r="R212" s="1163"/>
      <c r="S212" s="1163"/>
      <c r="T212" s="1163"/>
      <c r="U212" s="1163"/>
      <c r="V212" s="1163"/>
      <c r="W212" s="1163"/>
      <c r="X212" s="1163"/>
      <c r="Y212" s="1163"/>
    </row>
    <row r="213" ht="12.75" customHeight="1">
      <c r="A213" s="1184"/>
      <c r="B213" s="1184"/>
      <c r="C213" s="1184"/>
      <c r="D213" s="1184"/>
      <c r="E213" s="1184"/>
      <c r="F213" s="1184"/>
      <c r="G213" s="1184"/>
      <c r="H213" s="1184"/>
      <c r="I213" s="1184"/>
      <c r="J213" s="1184"/>
      <c r="K213" s="1184"/>
      <c r="L213" s="1184"/>
      <c r="M213" s="1184"/>
      <c r="N213" s="1184"/>
      <c r="O213" s="1184"/>
      <c r="P213" s="1163"/>
      <c r="Q213" s="1163"/>
      <c r="R213" s="1163"/>
      <c r="S213" s="1163"/>
      <c r="T213" s="1163"/>
      <c r="U213" s="1163"/>
      <c r="V213" s="1163"/>
      <c r="W213" s="1163"/>
      <c r="X213" s="1163"/>
      <c r="Y213" s="1163"/>
    </row>
    <row r="214" ht="12.75" customHeight="1">
      <c r="A214" s="1184"/>
      <c r="B214" s="1184"/>
      <c r="C214" s="1184"/>
      <c r="D214" s="1184"/>
      <c r="E214" s="1184"/>
      <c r="F214" s="1184"/>
      <c r="G214" s="1184"/>
      <c r="H214" s="1184"/>
      <c r="I214" s="1184"/>
      <c r="J214" s="1184"/>
      <c r="K214" s="1184"/>
      <c r="L214" s="1184"/>
      <c r="M214" s="1184"/>
      <c r="N214" s="1184"/>
      <c r="O214" s="1184"/>
      <c r="P214" s="1163"/>
      <c r="Q214" s="1163"/>
      <c r="R214" s="1163"/>
      <c r="S214" s="1163"/>
      <c r="T214" s="1163"/>
      <c r="U214" s="1163"/>
      <c r="V214" s="1163"/>
      <c r="W214" s="1163"/>
      <c r="X214" s="1163"/>
      <c r="Y214" s="1163"/>
    </row>
    <row r="215" ht="12.75" customHeight="1">
      <c r="A215" s="1184"/>
      <c r="B215" s="1184"/>
      <c r="C215" s="1184"/>
      <c r="D215" s="1184"/>
      <c r="E215" s="1184"/>
      <c r="F215" s="1184"/>
      <c r="G215" s="1184"/>
      <c r="H215" s="1184"/>
      <c r="I215" s="1184"/>
      <c r="J215" s="1184"/>
      <c r="K215" s="1184"/>
      <c r="L215" s="1184"/>
      <c r="M215" s="1184"/>
      <c r="N215" s="1184"/>
      <c r="O215" s="1184"/>
      <c r="P215" s="1163"/>
      <c r="Q215" s="1163"/>
      <c r="R215" s="1163"/>
      <c r="S215" s="1163"/>
      <c r="T215" s="1163"/>
      <c r="U215" s="1163"/>
      <c r="V215" s="1163"/>
      <c r="W215" s="1163"/>
      <c r="X215" s="1163"/>
      <c r="Y215" s="1163"/>
    </row>
    <row r="216" ht="12.75" customHeight="1">
      <c r="A216" s="1184"/>
      <c r="B216" s="1184"/>
      <c r="C216" s="1184"/>
      <c r="D216" s="1184"/>
      <c r="E216" s="1184"/>
      <c r="F216" s="1184"/>
      <c r="G216" s="1184"/>
      <c r="H216" s="1184"/>
      <c r="I216" s="1184"/>
      <c r="J216" s="1184"/>
      <c r="K216" s="1184"/>
      <c r="L216" s="1184"/>
      <c r="M216" s="1184"/>
      <c r="N216" s="1184"/>
      <c r="O216" s="1184"/>
      <c r="P216" s="1163"/>
      <c r="Q216" s="1163"/>
      <c r="R216" s="1163"/>
      <c r="S216" s="1163"/>
      <c r="T216" s="1163"/>
      <c r="U216" s="1163"/>
      <c r="V216" s="1163"/>
      <c r="W216" s="1163"/>
      <c r="X216" s="1163"/>
      <c r="Y216" s="1163"/>
    </row>
    <row r="217" ht="12.75" customHeight="1">
      <c r="A217" s="1184"/>
      <c r="B217" s="1184"/>
      <c r="C217" s="1184"/>
      <c r="D217" s="1184"/>
      <c r="E217" s="1184"/>
      <c r="F217" s="1184"/>
      <c r="G217" s="1184"/>
      <c r="H217" s="1184"/>
      <c r="I217" s="1184"/>
      <c r="J217" s="1184"/>
      <c r="K217" s="1184"/>
      <c r="L217" s="1184"/>
      <c r="M217" s="1184"/>
      <c r="N217" s="1184"/>
      <c r="O217" s="1184"/>
      <c r="P217" s="1163"/>
      <c r="Q217" s="1163"/>
      <c r="R217" s="1163"/>
      <c r="S217" s="1163"/>
      <c r="T217" s="1163"/>
      <c r="U217" s="1163"/>
      <c r="V217" s="1163"/>
      <c r="W217" s="1163"/>
      <c r="X217" s="1163"/>
      <c r="Y217" s="1163"/>
    </row>
    <row r="218" ht="12.75" customHeight="1">
      <c r="A218" s="1184"/>
      <c r="B218" s="1184"/>
      <c r="C218" s="1184"/>
      <c r="D218" s="1184"/>
      <c r="E218" s="1184"/>
      <c r="F218" s="1184"/>
      <c r="G218" s="1184"/>
      <c r="H218" s="1184"/>
      <c r="I218" s="1184"/>
      <c r="J218" s="1184"/>
      <c r="K218" s="1184"/>
      <c r="L218" s="1184"/>
      <c r="M218" s="1184"/>
      <c r="N218" s="1184"/>
      <c r="O218" s="1184"/>
      <c r="P218" s="1163"/>
      <c r="Q218" s="1163"/>
      <c r="R218" s="1163"/>
      <c r="S218" s="1163"/>
      <c r="T218" s="1163"/>
      <c r="U218" s="1163"/>
      <c r="V218" s="1163"/>
      <c r="W218" s="1163"/>
      <c r="X218" s="1163"/>
      <c r="Y218" s="1163"/>
    </row>
    <row r="219" ht="12.75" customHeight="1">
      <c r="A219" s="1184"/>
      <c r="B219" s="1184"/>
      <c r="C219" s="1184"/>
      <c r="D219" s="1184"/>
      <c r="E219" s="1184"/>
      <c r="F219" s="1184"/>
      <c r="G219" s="1184"/>
      <c r="H219" s="1184"/>
      <c r="I219" s="1184"/>
      <c r="J219" s="1184"/>
      <c r="K219" s="1184"/>
      <c r="L219" s="1184"/>
      <c r="M219" s="1184"/>
      <c r="N219" s="1184"/>
      <c r="O219" s="1184"/>
      <c r="P219" s="1163"/>
      <c r="Q219" s="1163"/>
      <c r="R219" s="1163"/>
      <c r="S219" s="1163"/>
      <c r="T219" s="1163"/>
      <c r="U219" s="1163"/>
      <c r="V219" s="1163"/>
      <c r="W219" s="1163"/>
      <c r="X219" s="1163"/>
      <c r="Y219" s="1163"/>
    </row>
    <row r="220" ht="12.75" customHeight="1">
      <c r="A220" s="1184"/>
      <c r="B220" s="1184"/>
      <c r="C220" s="1184"/>
      <c r="D220" s="1184"/>
      <c r="E220" s="1184"/>
      <c r="F220" s="1184"/>
      <c r="G220" s="1184"/>
      <c r="H220" s="1184"/>
      <c r="I220" s="1184"/>
      <c r="J220" s="1184"/>
      <c r="K220" s="1184"/>
      <c r="L220" s="1184"/>
      <c r="M220" s="1184"/>
      <c r="N220" s="1184"/>
      <c r="O220" s="1184"/>
      <c r="P220" s="1163"/>
      <c r="Q220" s="1163"/>
      <c r="R220" s="1163"/>
      <c r="S220" s="1163"/>
      <c r="T220" s="1163"/>
      <c r="U220" s="1163"/>
      <c r="V220" s="1163"/>
      <c r="W220" s="1163"/>
      <c r="X220" s="1163"/>
      <c r="Y220" s="1163"/>
    </row>
    <row r="221" ht="12.75" customHeight="1">
      <c r="A221" s="1184"/>
      <c r="B221" s="1184"/>
      <c r="C221" s="1184"/>
      <c r="D221" s="1184"/>
      <c r="E221" s="1184"/>
      <c r="F221" s="1184"/>
      <c r="G221" s="1184"/>
      <c r="H221" s="1184"/>
      <c r="I221" s="1184"/>
      <c r="J221" s="1184"/>
      <c r="K221" s="1184"/>
      <c r="L221" s="1184"/>
      <c r="M221" s="1184"/>
      <c r="N221" s="1184"/>
      <c r="O221" s="1184"/>
      <c r="P221" s="1163"/>
      <c r="Q221" s="1163"/>
      <c r="R221" s="1163"/>
      <c r="S221" s="1163"/>
      <c r="T221" s="1163"/>
      <c r="U221" s="1163"/>
      <c r="V221" s="1163"/>
      <c r="W221" s="1163"/>
      <c r="X221" s="1163"/>
      <c r="Y221" s="1163"/>
    </row>
    <row r="222" ht="12.75" customHeight="1">
      <c r="A222" s="1184"/>
      <c r="B222" s="1184"/>
      <c r="C222" s="1184"/>
      <c r="D222" s="1184"/>
      <c r="E222" s="1184"/>
      <c r="F222" s="1184"/>
      <c r="G222" s="1184"/>
      <c r="H222" s="1184"/>
      <c r="I222" s="1184"/>
      <c r="J222" s="1184"/>
      <c r="K222" s="1184"/>
      <c r="L222" s="1184"/>
      <c r="M222" s="1184"/>
      <c r="N222" s="1184"/>
      <c r="O222" s="1184"/>
      <c r="P222" s="1163"/>
      <c r="Q222" s="1163"/>
      <c r="R222" s="1163"/>
      <c r="S222" s="1163"/>
      <c r="T222" s="1163"/>
      <c r="U222" s="1163"/>
      <c r="V222" s="1163"/>
      <c r="W222" s="1163"/>
      <c r="X222" s="1163"/>
      <c r="Y222" s="1163"/>
    </row>
    <row r="223" ht="12.75" customHeight="1">
      <c r="A223" s="1184"/>
      <c r="B223" s="1184"/>
      <c r="C223" s="1184"/>
      <c r="D223" s="1184"/>
      <c r="E223" s="1184"/>
      <c r="F223" s="1184"/>
      <c r="G223" s="1184"/>
      <c r="H223" s="1184"/>
      <c r="I223" s="1184"/>
      <c r="J223" s="1184"/>
      <c r="K223" s="1184"/>
      <c r="L223" s="1184"/>
      <c r="M223" s="1184"/>
      <c r="N223" s="1184"/>
      <c r="O223" s="1184"/>
      <c r="P223" s="1163"/>
      <c r="Q223" s="1163"/>
      <c r="R223" s="1163"/>
      <c r="S223" s="1163"/>
      <c r="T223" s="1163"/>
      <c r="U223" s="1163"/>
      <c r="V223" s="1163"/>
      <c r="W223" s="1163"/>
      <c r="X223" s="1163"/>
      <c r="Y223" s="1163"/>
    </row>
    <row r="224" ht="12.75" customHeight="1">
      <c r="A224" s="1184"/>
      <c r="B224" s="1184"/>
      <c r="C224" s="1184"/>
      <c r="D224" s="1184"/>
      <c r="E224" s="1184"/>
      <c r="F224" s="1184"/>
      <c r="G224" s="1184"/>
      <c r="H224" s="1184"/>
      <c r="I224" s="1184"/>
      <c r="J224" s="1184"/>
      <c r="K224" s="1184"/>
      <c r="L224" s="1184"/>
      <c r="M224" s="1184"/>
      <c r="N224" s="1184"/>
      <c r="O224" s="1184"/>
      <c r="P224" s="1163"/>
      <c r="Q224" s="1163"/>
      <c r="R224" s="1163"/>
      <c r="S224" s="1163"/>
      <c r="T224" s="1163"/>
      <c r="U224" s="1163"/>
      <c r="V224" s="1163"/>
      <c r="W224" s="1163"/>
      <c r="X224" s="1163"/>
      <c r="Y224" s="1163"/>
    </row>
    <row r="225" ht="12.75" customHeight="1">
      <c r="A225" s="1184"/>
      <c r="B225" s="1184"/>
      <c r="C225" s="1184"/>
      <c r="D225" s="1184"/>
      <c r="E225" s="1184"/>
      <c r="F225" s="1184"/>
      <c r="G225" s="1184"/>
      <c r="H225" s="1184"/>
      <c r="I225" s="1184"/>
      <c r="J225" s="1184"/>
      <c r="K225" s="1184"/>
      <c r="L225" s="1184"/>
      <c r="M225" s="1184"/>
      <c r="N225" s="1184"/>
      <c r="O225" s="1184"/>
      <c r="P225" s="1163"/>
      <c r="Q225" s="1163"/>
      <c r="R225" s="1163"/>
      <c r="S225" s="1163"/>
      <c r="T225" s="1163"/>
      <c r="U225" s="1163"/>
      <c r="V225" s="1163"/>
      <c r="W225" s="1163"/>
      <c r="X225" s="1163"/>
      <c r="Y225" s="1163"/>
    </row>
    <row r="226" ht="12.75" customHeight="1">
      <c r="A226" s="1184"/>
      <c r="B226" s="1184"/>
      <c r="C226" s="1184"/>
      <c r="D226" s="1184"/>
      <c r="E226" s="1184"/>
      <c r="F226" s="1184"/>
      <c r="G226" s="1184"/>
      <c r="H226" s="1184"/>
      <c r="I226" s="1184"/>
      <c r="J226" s="1184"/>
      <c r="K226" s="1184"/>
      <c r="L226" s="1184"/>
      <c r="M226" s="1184"/>
      <c r="N226" s="1184"/>
      <c r="O226" s="1184"/>
      <c r="P226" s="1163"/>
      <c r="Q226" s="1163"/>
      <c r="R226" s="1163"/>
      <c r="S226" s="1163"/>
      <c r="T226" s="1163"/>
      <c r="U226" s="1163"/>
      <c r="V226" s="1163"/>
      <c r="W226" s="1163"/>
      <c r="X226" s="1163"/>
      <c r="Y226" s="1163"/>
    </row>
    <row r="227" ht="12.75" customHeight="1">
      <c r="A227" s="1184"/>
      <c r="B227" s="1184"/>
      <c r="C227" s="1184"/>
      <c r="D227" s="1184"/>
      <c r="E227" s="1184"/>
      <c r="F227" s="1184"/>
      <c r="G227" s="1184"/>
      <c r="H227" s="1184"/>
      <c r="I227" s="1184"/>
      <c r="J227" s="1184"/>
      <c r="K227" s="1184"/>
      <c r="L227" s="1184"/>
      <c r="M227" s="1184"/>
      <c r="N227" s="1184"/>
      <c r="O227" s="1184"/>
      <c r="P227" s="1163"/>
      <c r="Q227" s="1163"/>
      <c r="R227" s="1163"/>
      <c r="S227" s="1163"/>
      <c r="T227" s="1163"/>
      <c r="U227" s="1163"/>
      <c r="V227" s="1163"/>
      <c r="W227" s="1163"/>
      <c r="X227" s="1163"/>
      <c r="Y227" s="1163"/>
    </row>
    <row r="228" ht="12.75" customHeight="1">
      <c r="A228" s="1184"/>
      <c r="B228" s="1184"/>
      <c r="C228" s="1184"/>
      <c r="D228" s="1184"/>
      <c r="E228" s="1184"/>
      <c r="F228" s="1184"/>
      <c r="G228" s="1184"/>
      <c r="H228" s="1184"/>
      <c r="I228" s="1184"/>
      <c r="J228" s="1184"/>
      <c r="K228" s="1184"/>
      <c r="L228" s="1184"/>
      <c r="M228" s="1184"/>
      <c r="N228" s="1184"/>
      <c r="O228" s="1184"/>
      <c r="P228" s="1163"/>
      <c r="Q228" s="1163"/>
      <c r="R228" s="1163"/>
      <c r="S228" s="1163"/>
      <c r="T228" s="1163"/>
      <c r="U228" s="1163"/>
      <c r="V228" s="1163"/>
      <c r="W228" s="1163"/>
      <c r="X228" s="1163"/>
      <c r="Y228" s="1163"/>
    </row>
    <row r="229" ht="12.75" customHeight="1">
      <c r="A229" s="1184"/>
      <c r="B229" s="1184"/>
      <c r="C229" s="1184"/>
      <c r="D229" s="1184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P229" s="1163"/>
      <c r="Q229" s="1163"/>
      <c r="R229" s="1163"/>
      <c r="S229" s="1163"/>
      <c r="T229" s="1163"/>
      <c r="U229" s="1163"/>
      <c r="V229" s="1163"/>
      <c r="W229" s="1163"/>
      <c r="X229" s="1163"/>
      <c r="Y229" s="1163"/>
    </row>
    <row r="230" ht="12.75" customHeight="1">
      <c r="A230" s="1184"/>
      <c r="B230" s="1184"/>
      <c r="C230" s="1184"/>
      <c r="D230" s="1184"/>
      <c r="E230" s="1184"/>
      <c r="F230" s="1184"/>
      <c r="G230" s="1184"/>
      <c r="H230" s="1184"/>
      <c r="I230" s="1184"/>
      <c r="J230" s="1184"/>
      <c r="K230" s="1184"/>
      <c r="L230" s="1184"/>
      <c r="M230" s="1184"/>
      <c r="N230" s="1184"/>
      <c r="O230" s="1184"/>
      <c r="P230" s="1163"/>
      <c r="Q230" s="1163"/>
      <c r="R230" s="1163"/>
      <c r="S230" s="1163"/>
      <c r="T230" s="1163"/>
      <c r="U230" s="1163"/>
      <c r="V230" s="1163"/>
      <c r="W230" s="1163"/>
      <c r="X230" s="1163"/>
      <c r="Y230" s="1163"/>
    </row>
    <row r="231" ht="12.75" customHeight="1">
      <c r="A231" s="1184"/>
      <c r="B231" s="1184"/>
      <c r="C231" s="1184"/>
      <c r="D231" s="1184"/>
      <c r="E231" s="1184"/>
      <c r="F231" s="1184"/>
      <c r="G231" s="1184"/>
      <c r="H231" s="1184"/>
      <c r="I231" s="1184"/>
      <c r="J231" s="1184"/>
      <c r="K231" s="1184"/>
      <c r="L231" s="1184"/>
      <c r="M231" s="1184"/>
      <c r="N231" s="1184"/>
      <c r="O231" s="1184"/>
      <c r="P231" s="1163"/>
      <c r="Q231" s="1163"/>
      <c r="R231" s="1163"/>
      <c r="S231" s="1163"/>
      <c r="T231" s="1163"/>
      <c r="U231" s="1163"/>
      <c r="V231" s="1163"/>
      <c r="W231" s="1163"/>
      <c r="X231" s="1163"/>
      <c r="Y231" s="1163"/>
    </row>
    <row r="232" ht="12.75" customHeight="1">
      <c r="A232" s="1184"/>
      <c r="B232" s="1184"/>
      <c r="C232" s="1184"/>
      <c r="D232" s="1184"/>
      <c r="E232" s="1184"/>
      <c r="F232" s="1184"/>
      <c r="G232" s="1184"/>
      <c r="H232" s="1184"/>
      <c r="I232" s="1184"/>
      <c r="J232" s="1184"/>
      <c r="K232" s="1184"/>
      <c r="L232" s="1184"/>
      <c r="M232" s="1184"/>
      <c r="N232" s="1184"/>
      <c r="O232" s="1184"/>
      <c r="P232" s="1163"/>
      <c r="Q232" s="1163"/>
      <c r="R232" s="1163"/>
      <c r="S232" s="1163"/>
      <c r="T232" s="1163"/>
      <c r="U232" s="1163"/>
      <c r="V232" s="1163"/>
      <c r="W232" s="1163"/>
      <c r="X232" s="1163"/>
      <c r="Y232" s="1163"/>
    </row>
    <row r="233" ht="12.75" customHeight="1">
      <c r="A233" s="1184"/>
      <c r="B233" s="1184"/>
      <c r="C233" s="1184"/>
      <c r="D233" s="1184"/>
      <c r="E233" s="1184"/>
      <c r="F233" s="1184"/>
      <c r="G233" s="1184"/>
      <c r="H233" s="1184"/>
      <c r="I233" s="1184"/>
      <c r="J233" s="1184"/>
      <c r="K233" s="1184"/>
      <c r="L233" s="1184"/>
      <c r="M233" s="1184"/>
      <c r="N233" s="1184"/>
      <c r="O233" s="1184"/>
      <c r="P233" s="1163"/>
      <c r="Q233" s="1163"/>
      <c r="R233" s="1163"/>
      <c r="S233" s="1163"/>
      <c r="T233" s="1163"/>
      <c r="U233" s="1163"/>
      <c r="V233" s="1163"/>
      <c r="W233" s="1163"/>
      <c r="X233" s="1163"/>
      <c r="Y233" s="1163"/>
    </row>
    <row r="234" ht="12.75" customHeight="1">
      <c r="A234" s="1184"/>
      <c r="B234" s="1184"/>
      <c r="C234" s="1184"/>
      <c r="D234" s="1184"/>
      <c r="E234" s="1184"/>
      <c r="F234" s="1184"/>
      <c r="G234" s="1184"/>
      <c r="H234" s="1184"/>
      <c r="I234" s="1184"/>
      <c r="J234" s="1184"/>
      <c r="K234" s="1184"/>
      <c r="L234" s="1184"/>
      <c r="M234" s="1184"/>
      <c r="N234" s="1184"/>
      <c r="O234" s="1184"/>
      <c r="P234" s="1163"/>
      <c r="Q234" s="1163"/>
      <c r="R234" s="1163"/>
      <c r="S234" s="1163"/>
      <c r="T234" s="1163"/>
      <c r="U234" s="1163"/>
      <c r="V234" s="1163"/>
      <c r="W234" s="1163"/>
      <c r="X234" s="1163"/>
      <c r="Y234" s="1163"/>
    </row>
    <row r="235" ht="12.75" customHeight="1">
      <c r="A235" s="1184"/>
      <c r="B235" s="1184"/>
      <c r="C235" s="1184"/>
      <c r="D235" s="1184"/>
      <c r="E235" s="1184"/>
      <c r="F235" s="1184"/>
      <c r="G235" s="1184"/>
      <c r="H235" s="1184"/>
      <c r="I235" s="1184"/>
      <c r="J235" s="1184"/>
      <c r="K235" s="1184"/>
      <c r="L235" s="1184"/>
      <c r="M235" s="1184"/>
      <c r="N235" s="1184"/>
      <c r="O235" s="1184"/>
      <c r="P235" s="1163"/>
      <c r="Q235" s="1163"/>
      <c r="R235" s="1163"/>
      <c r="S235" s="1163"/>
      <c r="T235" s="1163"/>
      <c r="U235" s="1163"/>
      <c r="V235" s="1163"/>
      <c r="W235" s="1163"/>
      <c r="X235" s="1163"/>
      <c r="Y235" s="1163"/>
    </row>
    <row r="236" ht="12.75" customHeight="1">
      <c r="A236" s="1184"/>
      <c r="B236" s="1184"/>
      <c r="C236" s="1184"/>
      <c r="D236" s="1184"/>
      <c r="E236" s="1184"/>
      <c r="F236" s="1184"/>
      <c r="G236" s="1184"/>
      <c r="H236" s="1184"/>
      <c r="I236" s="1184"/>
      <c r="J236" s="1184"/>
      <c r="K236" s="1184"/>
      <c r="L236" s="1184"/>
      <c r="M236" s="1184"/>
      <c r="N236" s="1184"/>
      <c r="O236" s="1184"/>
      <c r="P236" s="1163"/>
      <c r="Q236" s="1163"/>
      <c r="R236" s="1163"/>
      <c r="S236" s="1163"/>
      <c r="T236" s="1163"/>
      <c r="U236" s="1163"/>
      <c r="V236" s="1163"/>
      <c r="W236" s="1163"/>
      <c r="X236" s="1163"/>
      <c r="Y236" s="1163"/>
    </row>
    <row r="237" ht="12.75" customHeight="1">
      <c r="A237" s="1184"/>
      <c r="B237" s="1184"/>
      <c r="C237" s="1184"/>
      <c r="D237" s="1184"/>
      <c r="E237" s="1184"/>
      <c r="F237" s="1184"/>
      <c r="G237" s="1184"/>
      <c r="H237" s="1184"/>
      <c r="I237" s="1184"/>
      <c r="J237" s="1184"/>
      <c r="K237" s="1184"/>
      <c r="L237" s="1184"/>
      <c r="M237" s="1184"/>
      <c r="N237" s="1184"/>
      <c r="O237" s="1184"/>
      <c r="P237" s="1163"/>
      <c r="Q237" s="1163"/>
      <c r="R237" s="1163"/>
      <c r="S237" s="1163"/>
      <c r="T237" s="1163"/>
      <c r="U237" s="1163"/>
      <c r="V237" s="1163"/>
      <c r="W237" s="1163"/>
      <c r="X237" s="1163"/>
      <c r="Y237" s="1163"/>
    </row>
    <row r="238" ht="12.75" customHeight="1">
      <c r="A238" s="1184"/>
      <c r="B238" s="1184"/>
      <c r="C238" s="1184"/>
      <c r="D238" s="1184"/>
      <c r="E238" s="1184"/>
      <c r="F238" s="1184"/>
      <c r="G238" s="1184"/>
      <c r="H238" s="1184"/>
      <c r="I238" s="1184"/>
      <c r="J238" s="1184"/>
      <c r="K238" s="1184"/>
      <c r="L238" s="1184"/>
      <c r="M238" s="1184"/>
      <c r="N238" s="1184"/>
      <c r="O238" s="1184"/>
      <c r="P238" s="1163"/>
      <c r="Q238" s="1163"/>
      <c r="R238" s="1163"/>
      <c r="S238" s="1163"/>
      <c r="T238" s="1163"/>
      <c r="U238" s="1163"/>
      <c r="V238" s="1163"/>
      <c r="W238" s="1163"/>
      <c r="X238" s="1163"/>
      <c r="Y238" s="1163"/>
    </row>
    <row r="239" ht="12.75" customHeight="1">
      <c r="A239" s="1184"/>
      <c r="B239" s="1184"/>
      <c r="C239" s="1184"/>
      <c r="D239" s="1184"/>
      <c r="E239" s="1184"/>
      <c r="F239" s="1184"/>
      <c r="G239" s="1184"/>
      <c r="H239" s="1184"/>
      <c r="I239" s="1184"/>
      <c r="J239" s="1184"/>
      <c r="K239" s="1184"/>
      <c r="L239" s="1184"/>
      <c r="M239" s="1184"/>
      <c r="N239" s="1184"/>
      <c r="O239" s="1184"/>
      <c r="P239" s="1163"/>
      <c r="Q239" s="1163"/>
      <c r="R239" s="1163"/>
      <c r="S239" s="1163"/>
      <c r="T239" s="1163"/>
      <c r="U239" s="1163"/>
      <c r="V239" s="1163"/>
      <c r="W239" s="1163"/>
      <c r="X239" s="1163"/>
      <c r="Y239" s="1163"/>
    </row>
    <row r="240" ht="12.75" customHeight="1">
      <c r="A240" s="1184"/>
      <c r="B240" s="1184"/>
      <c r="C240" s="1184"/>
      <c r="D240" s="1184"/>
      <c r="E240" s="1184"/>
      <c r="F240" s="1184"/>
      <c r="G240" s="1184"/>
      <c r="H240" s="1184"/>
      <c r="I240" s="1184"/>
      <c r="J240" s="1184"/>
      <c r="K240" s="1184"/>
      <c r="L240" s="1184"/>
      <c r="M240" s="1184"/>
      <c r="N240" s="1184"/>
      <c r="O240" s="1184"/>
      <c r="P240" s="1163"/>
      <c r="Q240" s="1163"/>
      <c r="R240" s="1163"/>
      <c r="S240" s="1163"/>
      <c r="T240" s="1163"/>
      <c r="U240" s="1163"/>
      <c r="V240" s="1163"/>
      <c r="W240" s="1163"/>
      <c r="X240" s="1163"/>
      <c r="Y240" s="1163"/>
    </row>
    <row r="241" ht="12.75" customHeight="1">
      <c r="A241" s="1184"/>
      <c r="B241" s="1184"/>
      <c r="C241" s="1184"/>
      <c r="D241" s="1184"/>
      <c r="E241" s="1184"/>
      <c r="F241" s="1184"/>
      <c r="G241" s="1184"/>
      <c r="H241" s="1184"/>
      <c r="I241" s="1184"/>
      <c r="J241" s="1184"/>
      <c r="K241" s="1184"/>
      <c r="L241" s="1184"/>
      <c r="M241" s="1184"/>
      <c r="N241" s="1184"/>
      <c r="O241" s="1184"/>
      <c r="P241" s="1163"/>
      <c r="Q241" s="1163"/>
      <c r="R241" s="1163"/>
      <c r="S241" s="1163"/>
      <c r="T241" s="1163"/>
      <c r="U241" s="1163"/>
      <c r="V241" s="1163"/>
      <c r="W241" s="1163"/>
      <c r="X241" s="1163"/>
      <c r="Y241" s="1163"/>
    </row>
    <row r="242" ht="12.75" customHeight="1">
      <c r="A242" s="1184"/>
      <c r="B242" s="1184"/>
      <c r="C242" s="1184"/>
      <c r="D242" s="1184"/>
      <c r="E242" s="1184"/>
      <c r="F242" s="1184"/>
      <c r="G242" s="1184"/>
      <c r="H242" s="1184"/>
      <c r="I242" s="1184"/>
      <c r="J242" s="1184"/>
      <c r="K242" s="1184"/>
      <c r="L242" s="1184"/>
      <c r="M242" s="1184"/>
      <c r="N242" s="1184"/>
      <c r="O242" s="1184"/>
      <c r="P242" s="1163"/>
      <c r="Q242" s="1163"/>
      <c r="R242" s="1163"/>
      <c r="S242" s="1163"/>
      <c r="T242" s="1163"/>
      <c r="U242" s="1163"/>
      <c r="V242" s="1163"/>
      <c r="W242" s="1163"/>
      <c r="X242" s="1163"/>
      <c r="Y242" s="1163"/>
    </row>
    <row r="243" ht="12.75" customHeight="1">
      <c r="A243" s="1184"/>
      <c r="B243" s="1184"/>
      <c r="C243" s="1184"/>
      <c r="D243" s="1184"/>
      <c r="E243" s="1184"/>
      <c r="F243" s="1184"/>
      <c r="G243" s="1184"/>
      <c r="H243" s="1184"/>
      <c r="I243" s="1184"/>
      <c r="J243" s="1184"/>
      <c r="K243" s="1184"/>
      <c r="L243" s="1184"/>
      <c r="M243" s="1184"/>
      <c r="N243" s="1184"/>
      <c r="O243" s="1184"/>
      <c r="P243" s="1163"/>
      <c r="Q243" s="1163"/>
      <c r="R243" s="1163"/>
      <c r="S243" s="1163"/>
      <c r="T243" s="1163"/>
      <c r="U243" s="1163"/>
      <c r="V243" s="1163"/>
      <c r="W243" s="1163"/>
      <c r="X243" s="1163"/>
      <c r="Y243" s="1163"/>
    </row>
    <row r="244" ht="12.75" customHeight="1">
      <c r="A244" s="1184"/>
      <c r="B244" s="1184"/>
      <c r="C244" s="1184"/>
      <c r="D244" s="1184"/>
      <c r="E244" s="1184"/>
      <c r="F244" s="1184"/>
      <c r="G244" s="1184"/>
      <c r="H244" s="1184"/>
      <c r="I244" s="1184"/>
      <c r="J244" s="1184"/>
      <c r="K244" s="1184"/>
      <c r="L244" s="1184"/>
      <c r="M244" s="1184"/>
      <c r="N244" s="1184"/>
      <c r="O244" s="1184"/>
      <c r="P244" s="1163"/>
      <c r="Q244" s="1163"/>
      <c r="R244" s="1163"/>
      <c r="S244" s="1163"/>
      <c r="T244" s="1163"/>
      <c r="U244" s="1163"/>
      <c r="V244" s="1163"/>
      <c r="W244" s="1163"/>
      <c r="X244" s="1163"/>
      <c r="Y244" s="1163"/>
    </row>
    <row r="245" ht="12.75" customHeight="1">
      <c r="A245" s="1184"/>
      <c r="B245" s="1184"/>
      <c r="C245" s="1184"/>
      <c r="D245" s="1184"/>
      <c r="E245" s="1184"/>
      <c r="F245" s="1184"/>
      <c r="G245" s="1184"/>
      <c r="H245" s="1184"/>
      <c r="I245" s="1184"/>
      <c r="J245" s="1184"/>
      <c r="K245" s="1184"/>
      <c r="L245" s="1184"/>
      <c r="M245" s="1184"/>
      <c r="N245" s="1184"/>
      <c r="O245" s="1184"/>
      <c r="P245" s="1163"/>
      <c r="Q245" s="1163"/>
      <c r="R245" s="1163"/>
      <c r="S245" s="1163"/>
      <c r="T245" s="1163"/>
      <c r="U245" s="1163"/>
      <c r="V245" s="1163"/>
      <c r="W245" s="1163"/>
      <c r="X245" s="1163"/>
      <c r="Y245" s="1163"/>
    </row>
    <row r="246" ht="12.75" customHeight="1">
      <c r="A246" s="1184"/>
      <c r="B246" s="1184"/>
      <c r="C246" s="1184"/>
      <c r="D246" s="1184"/>
      <c r="E246" s="1184"/>
      <c r="F246" s="1184"/>
      <c r="G246" s="1184"/>
      <c r="H246" s="1184"/>
      <c r="I246" s="1184"/>
      <c r="J246" s="1184"/>
      <c r="K246" s="1184"/>
      <c r="L246" s="1184"/>
      <c r="M246" s="1184"/>
      <c r="N246" s="1184"/>
      <c r="O246" s="1184"/>
      <c r="P246" s="1163"/>
      <c r="Q246" s="1163"/>
      <c r="R246" s="1163"/>
      <c r="S246" s="1163"/>
      <c r="T246" s="1163"/>
      <c r="U246" s="1163"/>
      <c r="V246" s="1163"/>
      <c r="W246" s="1163"/>
      <c r="X246" s="1163"/>
      <c r="Y246" s="1163"/>
    </row>
    <row r="247" ht="12.75" customHeight="1">
      <c r="A247" s="1184"/>
      <c r="B247" s="1184"/>
      <c r="C247" s="1184"/>
      <c r="D247" s="1184"/>
      <c r="E247" s="1184"/>
      <c r="F247" s="1184"/>
      <c r="G247" s="1184"/>
      <c r="H247" s="1184"/>
      <c r="I247" s="1184"/>
      <c r="J247" s="1184"/>
      <c r="K247" s="1184"/>
      <c r="L247" s="1184"/>
      <c r="M247" s="1184"/>
      <c r="N247" s="1184"/>
      <c r="O247" s="1184"/>
      <c r="P247" s="1163"/>
      <c r="Q247" s="1163"/>
      <c r="R247" s="1163"/>
      <c r="S247" s="1163"/>
      <c r="T247" s="1163"/>
      <c r="U247" s="1163"/>
      <c r="V247" s="1163"/>
      <c r="W247" s="1163"/>
      <c r="X247" s="1163"/>
      <c r="Y247" s="1163"/>
    </row>
    <row r="248" ht="12.75" customHeight="1">
      <c r="A248" s="1184"/>
      <c r="B248" s="1184"/>
      <c r="C248" s="1184"/>
      <c r="D248" s="1184"/>
      <c r="E248" s="1184"/>
      <c r="F248" s="1184"/>
      <c r="G248" s="1184"/>
      <c r="H248" s="1184"/>
      <c r="I248" s="1184"/>
      <c r="J248" s="1184"/>
      <c r="K248" s="1184"/>
      <c r="L248" s="1184"/>
      <c r="M248" s="1184"/>
      <c r="N248" s="1184"/>
      <c r="O248" s="1184"/>
      <c r="P248" s="1163"/>
      <c r="Q248" s="1163"/>
      <c r="R248" s="1163"/>
      <c r="S248" s="1163"/>
      <c r="T248" s="1163"/>
      <c r="U248" s="1163"/>
      <c r="V248" s="1163"/>
      <c r="W248" s="1163"/>
      <c r="X248" s="1163"/>
      <c r="Y248" s="1163"/>
    </row>
    <row r="249" ht="12.75" customHeight="1">
      <c r="A249" s="1184"/>
      <c r="B249" s="1184"/>
      <c r="C249" s="1184"/>
      <c r="D249" s="1184"/>
      <c r="E249" s="1184"/>
      <c r="F249" s="1184"/>
      <c r="G249" s="1184"/>
      <c r="H249" s="1184"/>
      <c r="I249" s="1184"/>
      <c r="J249" s="1184"/>
      <c r="K249" s="1184"/>
      <c r="L249" s="1184"/>
      <c r="M249" s="1184"/>
      <c r="N249" s="1184"/>
      <c r="O249" s="1184"/>
      <c r="P249" s="1163"/>
      <c r="Q249" s="1163"/>
      <c r="R249" s="1163"/>
      <c r="S249" s="1163"/>
      <c r="T249" s="1163"/>
      <c r="U249" s="1163"/>
      <c r="V249" s="1163"/>
      <c r="W249" s="1163"/>
      <c r="X249" s="1163"/>
      <c r="Y249" s="1163"/>
    </row>
    <row r="250" ht="12.75" customHeight="1">
      <c r="A250" s="1184"/>
      <c r="B250" s="1184"/>
      <c r="C250" s="1184"/>
      <c r="D250" s="1184"/>
      <c r="E250" s="1184"/>
      <c r="F250" s="1184"/>
      <c r="G250" s="1184"/>
      <c r="H250" s="1184"/>
      <c r="I250" s="1184"/>
      <c r="J250" s="1184"/>
      <c r="K250" s="1184"/>
      <c r="L250" s="1184"/>
      <c r="M250" s="1184"/>
      <c r="N250" s="1184"/>
      <c r="O250" s="1184"/>
      <c r="P250" s="1163"/>
      <c r="Q250" s="1163"/>
      <c r="R250" s="1163"/>
      <c r="S250" s="1163"/>
      <c r="T250" s="1163"/>
      <c r="U250" s="1163"/>
      <c r="V250" s="1163"/>
      <c r="W250" s="1163"/>
      <c r="X250" s="1163"/>
      <c r="Y250" s="1163"/>
    </row>
    <row r="251" ht="12.75" customHeight="1">
      <c r="A251" s="1184"/>
      <c r="B251" s="1184"/>
      <c r="C251" s="1184"/>
      <c r="D251" s="1184"/>
      <c r="E251" s="1184"/>
      <c r="F251" s="1184"/>
      <c r="G251" s="1184"/>
      <c r="H251" s="1184"/>
      <c r="I251" s="1184"/>
      <c r="J251" s="1184"/>
      <c r="K251" s="1184"/>
      <c r="L251" s="1184"/>
      <c r="M251" s="1184"/>
      <c r="N251" s="1184"/>
      <c r="O251" s="1184"/>
      <c r="P251" s="1163"/>
      <c r="Q251" s="1163"/>
      <c r="R251" s="1163"/>
      <c r="S251" s="1163"/>
      <c r="T251" s="1163"/>
      <c r="U251" s="1163"/>
      <c r="V251" s="1163"/>
      <c r="W251" s="1163"/>
      <c r="X251" s="1163"/>
      <c r="Y251" s="1163"/>
    </row>
    <row r="252" ht="12.75" customHeight="1">
      <c r="A252" s="1184"/>
      <c r="B252" s="1184"/>
      <c r="C252" s="1184"/>
      <c r="D252" s="1184"/>
      <c r="E252" s="1184"/>
      <c r="F252" s="1184"/>
      <c r="G252" s="1184"/>
      <c r="H252" s="1184"/>
      <c r="I252" s="1184"/>
      <c r="J252" s="1184"/>
      <c r="K252" s="1184"/>
      <c r="L252" s="1184"/>
      <c r="M252" s="1184"/>
      <c r="N252" s="1184"/>
      <c r="O252" s="1184"/>
      <c r="P252" s="1163"/>
      <c r="Q252" s="1163"/>
      <c r="R252" s="1163"/>
      <c r="S252" s="1163"/>
      <c r="T252" s="1163"/>
      <c r="U252" s="1163"/>
      <c r="V252" s="1163"/>
      <c r="W252" s="1163"/>
      <c r="X252" s="1163"/>
      <c r="Y252" s="1163"/>
    </row>
    <row r="253" ht="12.75" customHeight="1">
      <c r="A253" s="1184"/>
      <c r="B253" s="1184"/>
      <c r="C253" s="1184"/>
      <c r="D253" s="1184"/>
      <c r="E253" s="1184"/>
      <c r="F253" s="1184"/>
      <c r="G253" s="1184"/>
      <c r="H253" s="1184"/>
      <c r="I253" s="1184"/>
      <c r="J253" s="1184"/>
      <c r="K253" s="1184"/>
      <c r="L253" s="1184"/>
      <c r="M253" s="1184"/>
      <c r="N253" s="1184"/>
      <c r="O253" s="1184"/>
      <c r="P253" s="1163"/>
      <c r="Q253" s="1163"/>
      <c r="R253" s="1163"/>
      <c r="S253" s="1163"/>
      <c r="T253" s="1163"/>
      <c r="U253" s="1163"/>
      <c r="V253" s="1163"/>
      <c r="W253" s="1163"/>
      <c r="X253" s="1163"/>
      <c r="Y253" s="1163"/>
    </row>
    <row r="254" ht="12.75" customHeight="1">
      <c r="A254" s="1184"/>
      <c r="B254" s="1184"/>
      <c r="C254" s="1184"/>
      <c r="D254" s="1184"/>
      <c r="E254" s="1184"/>
      <c r="F254" s="1184"/>
      <c r="G254" s="1184"/>
      <c r="H254" s="1184"/>
      <c r="I254" s="1184"/>
      <c r="J254" s="1184"/>
      <c r="K254" s="1184"/>
      <c r="L254" s="1184"/>
      <c r="M254" s="1184"/>
      <c r="N254" s="1184"/>
      <c r="O254" s="1184"/>
      <c r="P254" s="1163"/>
      <c r="Q254" s="1163"/>
      <c r="R254" s="1163"/>
      <c r="S254" s="1163"/>
      <c r="T254" s="1163"/>
      <c r="U254" s="1163"/>
      <c r="V254" s="1163"/>
      <c r="W254" s="1163"/>
      <c r="X254" s="1163"/>
      <c r="Y254" s="1163"/>
    </row>
    <row r="255" ht="12.75" customHeight="1">
      <c r="A255" s="1184"/>
      <c r="B255" s="1184"/>
      <c r="C255" s="1184"/>
      <c r="D255" s="1184"/>
      <c r="E255" s="1184"/>
      <c r="F255" s="1184"/>
      <c r="G255" s="1184"/>
      <c r="H255" s="1184"/>
      <c r="I255" s="1184"/>
      <c r="J255" s="1184"/>
      <c r="K255" s="1184"/>
      <c r="L255" s="1184"/>
      <c r="M255" s="1184"/>
      <c r="N255" s="1184"/>
      <c r="O255" s="1184"/>
      <c r="P255" s="1163"/>
      <c r="Q255" s="1163"/>
      <c r="R255" s="1163"/>
      <c r="S255" s="1163"/>
      <c r="T255" s="1163"/>
      <c r="U255" s="1163"/>
      <c r="V255" s="1163"/>
      <c r="W255" s="1163"/>
      <c r="X255" s="1163"/>
      <c r="Y255" s="1163"/>
    </row>
    <row r="256" ht="12.75" customHeight="1">
      <c r="A256" s="1184"/>
      <c r="B256" s="1184"/>
      <c r="C256" s="1184"/>
      <c r="D256" s="1184"/>
      <c r="E256" s="1184"/>
      <c r="F256" s="1184"/>
      <c r="G256" s="1184"/>
      <c r="H256" s="1184"/>
      <c r="I256" s="1184"/>
      <c r="J256" s="1184"/>
      <c r="K256" s="1184"/>
      <c r="L256" s="1184"/>
      <c r="M256" s="1184"/>
      <c r="N256" s="1184"/>
      <c r="O256" s="1184"/>
      <c r="P256" s="1163"/>
      <c r="Q256" s="1163"/>
      <c r="R256" s="1163"/>
      <c r="S256" s="1163"/>
      <c r="T256" s="1163"/>
      <c r="U256" s="1163"/>
      <c r="V256" s="1163"/>
      <c r="W256" s="1163"/>
      <c r="X256" s="1163"/>
      <c r="Y256" s="1163"/>
    </row>
    <row r="257" ht="12.75" customHeight="1">
      <c r="A257" s="1184"/>
      <c r="B257" s="1184"/>
      <c r="C257" s="1184"/>
      <c r="D257" s="1184"/>
      <c r="E257" s="1184"/>
      <c r="F257" s="1184"/>
      <c r="G257" s="1184"/>
      <c r="H257" s="1184"/>
      <c r="I257" s="1184"/>
      <c r="J257" s="1184"/>
      <c r="K257" s="1184"/>
      <c r="L257" s="1184"/>
      <c r="M257" s="1184"/>
      <c r="N257" s="1184"/>
      <c r="O257" s="1184"/>
      <c r="P257" s="1163"/>
      <c r="Q257" s="1163"/>
      <c r="R257" s="1163"/>
      <c r="S257" s="1163"/>
      <c r="T257" s="1163"/>
      <c r="U257" s="1163"/>
      <c r="V257" s="1163"/>
      <c r="W257" s="1163"/>
      <c r="X257" s="1163"/>
      <c r="Y257" s="1163"/>
    </row>
    <row r="258" ht="12.75" customHeight="1">
      <c r="A258" s="1184"/>
      <c r="B258" s="1184"/>
      <c r="C258" s="1184"/>
      <c r="D258" s="1184"/>
      <c r="E258" s="1184"/>
      <c r="F258" s="1184"/>
      <c r="G258" s="1184"/>
      <c r="H258" s="1184"/>
      <c r="I258" s="1184"/>
      <c r="J258" s="1184"/>
      <c r="K258" s="1184"/>
      <c r="L258" s="1184"/>
      <c r="M258" s="1184"/>
      <c r="N258" s="1184"/>
      <c r="O258" s="1184"/>
      <c r="P258" s="1163"/>
      <c r="Q258" s="1163"/>
      <c r="R258" s="1163"/>
      <c r="S258" s="1163"/>
      <c r="T258" s="1163"/>
      <c r="U258" s="1163"/>
      <c r="V258" s="1163"/>
      <c r="W258" s="1163"/>
      <c r="X258" s="1163"/>
      <c r="Y258" s="1163"/>
    </row>
    <row r="259" ht="12.75" customHeight="1">
      <c r="A259" s="1184"/>
      <c r="B259" s="1184"/>
      <c r="C259" s="1184"/>
      <c r="D259" s="1184"/>
      <c r="E259" s="1184"/>
      <c r="F259" s="1184"/>
      <c r="G259" s="1184"/>
      <c r="H259" s="1184"/>
      <c r="I259" s="1184"/>
      <c r="J259" s="1184"/>
      <c r="K259" s="1184"/>
      <c r="L259" s="1184"/>
      <c r="M259" s="1184"/>
      <c r="N259" s="1184"/>
      <c r="O259" s="1184"/>
      <c r="P259" s="1163"/>
      <c r="Q259" s="1163"/>
      <c r="R259" s="1163"/>
      <c r="S259" s="1163"/>
      <c r="T259" s="1163"/>
      <c r="U259" s="1163"/>
      <c r="V259" s="1163"/>
      <c r="W259" s="1163"/>
      <c r="X259" s="1163"/>
      <c r="Y259" s="1163"/>
    </row>
    <row r="260" ht="12.75" customHeight="1">
      <c r="A260" s="1184"/>
      <c r="B260" s="1184"/>
      <c r="C260" s="1184"/>
      <c r="D260" s="1184"/>
      <c r="E260" s="1184"/>
      <c r="F260" s="1184"/>
      <c r="G260" s="1184"/>
      <c r="H260" s="1184"/>
      <c r="I260" s="1184"/>
      <c r="J260" s="1184"/>
      <c r="K260" s="1184"/>
      <c r="L260" s="1184"/>
      <c r="M260" s="1184"/>
      <c r="N260" s="1184"/>
      <c r="O260" s="1184"/>
      <c r="P260" s="1163"/>
      <c r="Q260" s="1163"/>
      <c r="R260" s="1163"/>
      <c r="S260" s="1163"/>
      <c r="T260" s="1163"/>
      <c r="U260" s="1163"/>
      <c r="V260" s="1163"/>
      <c r="W260" s="1163"/>
      <c r="X260" s="1163"/>
      <c r="Y260" s="1163"/>
    </row>
    <row r="261" ht="12.75" customHeight="1">
      <c r="A261" s="1184"/>
      <c r="B261" s="1184"/>
      <c r="C261" s="1184"/>
      <c r="D261" s="1184"/>
      <c r="E261" s="1184"/>
      <c r="F261" s="1184"/>
      <c r="G261" s="1184"/>
      <c r="H261" s="1184"/>
      <c r="I261" s="1184"/>
      <c r="J261" s="1184"/>
      <c r="K261" s="1184"/>
      <c r="L261" s="1184"/>
      <c r="M261" s="1184"/>
      <c r="N261" s="1184"/>
      <c r="O261" s="1184"/>
      <c r="P261" s="1163"/>
      <c r="Q261" s="1163"/>
      <c r="R261" s="1163"/>
      <c r="S261" s="1163"/>
      <c r="T261" s="1163"/>
      <c r="U261" s="1163"/>
      <c r="V261" s="1163"/>
      <c r="W261" s="1163"/>
      <c r="X261" s="1163"/>
      <c r="Y261" s="1163"/>
    </row>
    <row r="262" ht="12.75" customHeight="1">
      <c r="A262" s="1184"/>
      <c r="B262" s="1184"/>
      <c r="C262" s="1184"/>
      <c r="D262" s="1184"/>
      <c r="E262" s="1184"/>
      <c r="F262" s="1184"/>
      <c r="G262" s="1184"/>
      <c r="H262" s="1184"/>
      <c r="I262" s="1184"/>
      <c r="J262" s="1184"/>
      <c r="K262" s="1184"/>
      <c r="L262" s="1184"/>
      <c r="M262" s="1184"/>
      <c r="N262" s="1184"/>
      <c r="O262" s="1184"/>
      <c r="P262" s="1163"/>
      <c r="Q262" s="1163"/>
      <c r="R262" s="1163"/>
      <c r="S262" s="1163"/>
      <c r="T262" s="1163"/>
      <c r="U262" s="1163"/>
      <c r="V262" s="1163"/>
      <c r="W262" s="1163"/>
      <c r="X262" s="1163"/>
      <c r="Y262" s="1163"/>
    </row>
    <row r="263" ht="12.75" customHeight="1">
      <c r="A263" s="1184"/>
      <c r="B263" s="1184"/>
      <c r="C263" s="1184"/>
      <c r="D263" s="1184"/>
      <c r="E263" s="1184"/>
      <c r="F263" s="1184"/>
      <c r="G263" s="1184"/>
      <c r="H263" s="1184"/>
      <c r="I263" s="1184"/>
      <c r="J263" s="1184"/>
      <c r="K263" s="1184"/>
      <c r="L263" s="1184"/>
      <c r="M263" s="1184"/>
      <c r="N263" s="1184"/>
      <c r="O263" s="1184"/>
      <c r="P263" s="1163"/>
      <c r="Q263" s="1163"/>
      <c r="R263" s="1163"/>
      <c r="S263" s="1163"/>
      <c r="T263" s="1163"/>
      <c r="U263" s="1163"/>
      <c r="V263" s="1163"/>
      <c r="W263" s="1163"/>
      <c r="X263" s="1163"/>
      <c r="Y263" s="1163"/>
    </row>
    <row r="264" ht="12.75" customHeight="1">
      <c r="A264" s="1184"/>
      <c r="B264" s="1184"/>
      <c r="C264" s="1184"/>
      <c r="D264" s="1184"/>
      <c r="E264" s="1184"/>
      <c r="F264" s="1184"/>
      <c r="G264" s="1184"/>
      <c r="H264" s="1184"/>
      <c r="I264" s="1184"/>
      <c r="J264" s="1184"/>
      <c r="K264" s="1184"/>
      <c r="L264" s="1184"/>
      <c r="M264" s="1184"/>
      <c r="N264" s="1184"/>
      <c r="O264" s="1184"/>
      <c r="P264" s="1163"/>
      <c r="Q264" s="1163"/>
      <c r="R264" s="1163"/>
      <c r="S264" s="1163"/>
      <c r="T264" s="1163"/>
      <c r="U264" s="1163"/>
      <c r="V264" s="1163"/>
      <c r="W264" s="1163"/>
      <c r="X264" s="1163"/>
      <c r="Y264" s="1163"/>
    </row>
    <row r="265" ht="12.75" customHeight="1">
      <c r="A265" s="1184"/>
      <c r="B265" s="1184"/>
      <c r="C265" s="1184"/>
      <c r="D265" s="1184"/>
      <c r="E265" s="1184"/>
      <c r="F265" s="1184"/>
      <c r="G265" s="1184"/>
      <c r="H265" s="1184"/>
      <c r="I265" s="1184"/>
      <c r="J265" s="1184"/>
      <c r="K265" s="1184"/>
      <c r="L265" s="1184"/>
      <c r="M265" s="1184"/>
      <c r="N265" s="1184"/>
      <c r="O265" s="1184"/>
      <c r="P265" s="1163"/>
      <c r="Q265" s="1163"/>
      <c r="R265" s="1163"/>
      <c r="S265" s="1163"/>
      <c r="T265" s="1163"/>
      <c r="U265" s="1163"/>
      <c r="V265" s="1163"/>
      <c r="W265" s="1163"/>
      <c r="X265" s="1163"/>
      <c r="Y265" s="1163"/>
    </row>
    <row r="266" ht="12.75" customHeight="1">
      <c r="A266" s="1184"/>
      <c r="B266" s="1184"/>
      <c r="C266" s="1184"/>
      <c r="D266" s="1184"/>
      <c r="E266" s="1184"/>
      <c r="F266" s="1184"/>
      <c r="G266" s="1184"/>
      <c r="H266" s="1184"/>
      <c r="I266" s="1184"/>
      <c r="J266" s="1184"/>
      <c r="K266" s="1184"/>
      <c r="L266" s="1184"/>
      <c r="M266" s="1184"/>
      <c r="N266" s="1184"/>
      <c r="O266" s="1184"/>
      <c r="P266" s="1163"/>
      <c r="Q266" s="1163"/>
      <c r="R266" s="1163"/>
      <c r="S266" s="1163"/>
      <c r="T266" s="1163"/>
      <c r="U266" s="1163"/>
      <c r="V266" s="1163"/>
      <c r="W266" s="1163"/>
      <c r="X266" s="1163"/>
      <c r="Y266" s="1163"/>
    </row>
    <row r="267" ht="12.75" customHeight="1">
      <c r="A267" s="1184"/>
      <c r="B267" s="1184"/>
      <c r="C267" s="1184"/>
      <c r="D267" s="1184"/>
      <c r="E267" s="1184"/>
      <c r="F267" s="1184"/>
      <c r="G267" s="1184"/>
      <c r="H267" s="1184"/>
      <c r="I267" s="1184"/>
      <c r="J267" s="1184"/>
      <c r="K267" s="1184"/>
      <c r="L267" s="1184"/>
      <c r="M267" s="1184"/>
      <c r="N267" s="1184"/>
      <c r="O267" s="1184"/>
      <c r="P267" s="1163"/>
      <c r="Q267" s="1163"/>
      <c r="R267" s="1163"/>
      <c r="S267" s="1163"/>
      <c r="T267" s="1163"/>
      <c r="U267" s="1163"/>
      <c r="V267" s="1163"/>
      <c r="W267" s="1163"/>
      <c r="X267" s="1163"/>
      <c r="Y267" s="1163"/>
    </row>
    <row r="268" ht="12.75" customHeight="1">
      <c r="A268" s="1184"/>
      <c r="B268" s="1184"/>
      <c r="C268" s="1184"/>
      <c r="D268" s="1184"/>
      <c r="E268" s="1184"/>
      <c r="F268" s="1184"/>
      <c r="G268" s="1184"/>
      <c r="H268" s="1184"/>
      <c r="I268" s="1184"/>
      <c r="J268" s="1184"/>
      <c r="K268" s="1184"/>
      <c r="L268" s="1184"/>
      <c r="M268" s="1184"/>
      <c r="N268" s="1184"/>
      <c r="O268" s="1184"/>
      <c r="P268" s="1163"/>
      <c r="Q268" s="1163"/>
      <c r="R268" s="1163"/>
      <c r="S268" s="1163"/>
      <c r="T268" s="1163"/>
      <c r="U268" s="1163"/>
      <c r="V268" s="1163"/>
      <c r="W268" s="1163"/>
      <c r="X268" s="1163"/>
      <c r="Y268" s="1163"/>
    </row>
    <row r="269" ht="12.75" customHeight="1">
      <c r="A269" s="1184"/>
      <c r="B269" s="1184"/>
      <c r="C269" s="1184"/>
      <c r="D269" s="1184"/>
      <c r="E269" s="1184"/>
      <c r="F269" s="1184"/>
      <c r="G269" s="1184"/>
      <c r="H269" s="1184"/>
      <c r="I269" s="1184"/>
      <c r="J269" s="1184"/>
      <c r="K269" s="1184"/>
      <c r="L269" s="1184"/>
      <c r="M269" s="1184"/>
      <c r="N269" s="1184"/>
      <c r="O269" s="1184"/>
      <c r="P269" s="1163"/>
      <c r="Q269" s="1163"/>
      <c r="R269" s="1163"/>
      <c r="S269" s="1163"/>
      <c r="T269" s="1163"/>
      <c r="U269" s="1163"/>
      <c r="V269" s="1163"/>
      <c r="W269" s="1163"/>
      <c r="X269" s="1163"/>
      <c r="Y269" s="1163"/>
    </row>
    <row r="270" ht="12.75" customHeight="1">
      <c r="A270" s="1184"/>
      <c r="B270" s="1184"/>
      <c r="C270" s="1184"/>
      <c r="D270" s="1184"/>
      <c r="E270" s="1184"/>
      <c r="F270" s="1184"/>
      <c r="G270" s="1184"/>
      <c r="H270" s="1184"/>
      <c r="I270" s="1184"/>
      <c r="J270" s="1184"/>
      <c r="K270" s="1184"/>
      <c r="L270" s="1184"/>
      <c r="M270" s="1184"/>
      <c r="N270" s="1184"/>
      <c r="O270" s="1184"/>
      <c r="P270" s="1163"/>
      <c r="Q270" s="1163"/>
      <c r="R270" s="1163"/>
      <c r="S270" s="1163"/>
      <c r="T270" s="1163"/>
      <c r="U270" s="1163"/>
      <c r="V270" s="1163"/>
      <c r="W270" s="1163"/>
      <c r="X270" s="1163"/>
      <c r="Y270" s="1163"/>
    </row>
    <row r="271" ht="12.75" customHeight="1">
      <c r="A271" s="1184"/>
      <c r="B271" s="1184"/>
      <c r="C271" s="1184"/>
      <c r="D271" s="1184"/>
      <c r="E271" s="1184"/>
      <c r="F271" s="1184"/>
      <c r="G271" s="1184"/>
      <c r="H271" s="1184"/>
      <c r="I271" s="1184"/>
      <c r="J271" s="1184"/>
      <c r="K271" s="1184"/>
      <c r="L271" s="1184"/>
      <c r="M271" s="1184"/>
      <c r="N271" s="1184"/>
      <c r="O271" s="1184"/>
      <c r="P271" s="1163"/>
      <c r="Q271" s="1163"/>
      <c r="R271" s="1163"/>
      <c r="S271" s="1163"/>
      <c r="T271" s="1163"/>
      <c r="U271" s="1163"/>
      <c r="V271" s="1163"/>
      <c r="W271" s="1163"/>
      <c r="X271" s="1163"/>
      <c r="Y271" s="1163"/>
    </row>
    <row r="272" ht="12.75" customHeight="1">
      <c r="A272" s="1184"/>
      <c r="B272" s="1184"/>
      <c r="C272" s="1184"/>
      <c r="D272" s="1184"/>
      <c r="E272" s="1184"/>
      <c r="F272" s="1184"/>
      <c r="G272" s="1184"/>
      <c r="H272" s="1184"/>
      <c r="I272" s="1184"/>
      <c r="J272" s="1184"/>
      <c r="K272" s="1184"/>
      <c r="L272" s="1184"/>
      <c r="M272" s="1184"/>
      <c r="N272" s="1184"/>
      <c r="O272" s="1184"/>
      <c r="P272" s="1163"/>
      <c r="Q272" s="1163"/>
      <c r="R272" s="1163"/>
      <c r="S272" s="1163"/>
      <c r="T272" s="1163"/>
      <c r="U272" s="1163"/>
      <c r="V272" s="1163"/>
      <c r="W272" s="1163"/>
      <c r="X272" s="1163"/>
      <c r="Y272" s="1163"/>
    </row>
    <row r="273" ht="12.75" customHeight="1">
      <c r="A273" s="1184"/>
      <c r="B273" s="1184"/>
      <c r="C273" s="1184"/>
      <c r="D273" s="1184"/>
      <c r="E273" s="1184"/>
      <c r="F273" s="1184"/>
      <c r="G273" s="1184"/>
      <c r="H273" s="1184"/>
      <c r="I273" s="1184"/>
      <c r="J273" s="1184"/>
      <c r="K273" s="1184"/>
      <c r="L273" s="1184"/>
      <c r="M273" s="1184"/>
      <c r="N273" s="1184"/>
      <c r="O273" s="1184"/>
      <c r="P273" s="1163"/>
      <c r="Q273" s="1163"/>
      <c r="R273" s="1163"/>
      <c r="S273" s="1163"/>
      <c r="T273" s="1163"/>
      <c r="U273" s="1163"/>
      <c r="V273" s="1163"/>
      <c r="W273" s="1163"/>
      <c r="X273" s="1163"/>
      <c r="Y273" s="1163"/>
    </row>
    <row r="274" ht="12.75" customHeight="1">
      <c r="A274" s="1184"/>
      <c r="B274" s="1184"/>
      <c r="C274" s="1184"/>
      <c r="D274" s="1184"/>
      <c r="E274" s="1184"/>
      <c r="F274" s="1184"/>
      <c r="G274" s="1184"/>
      <c r="H274" s="1184"/>
      <c r="I274" s="1184"/>
      <c r="J274" s="1184"/>
      <c r="K274" s="1184"/>
      <c r="L274" s="1184"/>
      <c r="M274" s="1184"/>
      <c r="N274" s="1184"/>
      <c r="O274" s="1184"/>
      <c r="P274" s="1163"/>
      <c r="Q274" s="1163"/>
      <c r="R274" s="1163"/>
      <c r="S274" s="1163"/>
      <c r="T274" s="1163"/>
      <c r="U274" s="1163"/>
      <c r="V274" s="1163"/>
      <c r="W274" s="1163"/>
      <c r="X274" s="1163"/>
      <c r="Y274" s="1163"/>
    </row>
    <row r="275" ht="12.75" customHeight="1">
      <c r="A275" s="1184"/>
      <c r="B275" s="1184"/>
      <c r="C275" s="1184"/>
      <c r="D275" s="1184"/>
      <c r="E275" s="1184"/>
      <c r="F275" s="1184"/>
      <c r="G275" s="1184"/>
      <c r="H275" s="1184"/>
      <c r="I275" s="1184"/>
      <c r="J275" s="1184"/>
      <c r="K275" s="1184"/>
      <c r="L275" s="1184"/>
      <c r="M275" s="1184"/>
      <c r="N275" s="1184"/>
      <c r="O275" s="1184"/>
      <c r="P275" s="1163"/>
      <c r="Q275" s="1163"/>
      <c r="R275" s="1163"/>
      <c r="S275" s="1163"/>
      <c r="T275" s="1163"/>
      <c r="U275" s="1163"/>
      <c r="V275" s="1163"/>
      <c r="W275" s="1163"/>
      <c r="X275" s="1163"/>
      <c r="Y275" s="1163"/>
    </row>
    <row r="276" ht="12.75" customHeight="1">
      <c r="A276" s="1184"/>
      <c r="B276" s="1184"/>
      <c r="C276" s="1184"/>
      <c r="D276" s="1184"/>
      <c r="E276" s="1184"/>
      <c r="F276" s="1184"/>
      <c r="G276" s="1184"/>
      <c r="H276" s="1184"/>
      <c r="I276" s="1184"/>
      <c r="J276" s="1184"/>
      <c r="K276" s="1184"/>
      <c r="L276" s="1184"/>
      <c r="M276" s="1184"/>
      <c r="N276" s="1184"/>
      <c r="O276" s="1184"/>
      <c r="P276" s="1163"/>
      <c r="Q276" s="1163"/>
      <c r="R276" s="1163"/>
      <c r="S276" s="1163"/>
      <c r="T276" s="1163"/>
      <c r="U276" s="1163"/>
      <c r="V276" s="1163"/>
      <c r="W276" s="1163"/>
      <c r="X276" s="1163"/>
      <c r="Y276" s="1163"/>
    </row>
    <row r="277" ht="12.75" customHeight="1">
      <c r="A277" s="1184"/>
      <c r="B277" s="1184"/>
      <c r="C277" s="1184"/>
      <c r="D277" s="1184"/>
      <c r="E277" s="1184"/>
      <c r="F277" s="1184"/>
      <c r="G277" s="1184"/>
      <c r="H277" s="1184"/>
      <c r="I277" s="1184"/>
      <c r="J277" s="1184"/>
      <c r="K277" s="1184"/>
      <c r="L277" s="1184"/>
      <c r="M277" s="1184"/>
      <c r="N277" s="1184"/>
      <c r="O277" s="1184"/>
      <c r="P277" s="1163"/>
      <c r="Q277" s="1163"/>
      <c r="R277" s="1163"/>
      <c r="S277" s="1163"/>
      <c r="T277" s="1163"/>
      <c r="U277" s="1163"/>
      <c r="V277" s="1163"/>
      <c r="W277" s="1163"/>
      <c r="X277" s="1163"/>
      <c r="Y277" s="1163"/>
    </row>
    <row r="278" ht="12.75" customHeight="1">
      <c r="A278" s="1184"/>
      <c r="B278" s="1184"/>
      <c r="C278" s="1184"/>
      <c r="D278" s="1184"/>
      <c r="E278" s="1184"/>
      <c r="F278" s="1184"/>
      <c r="G278" s="1184"/>
      <c r="H278" s="1184"/>
      <c r="I278" s="1184"/>
      <c r="J278" s="1184"/>
      <c r="K278" s="1184"/>
      <c r="L278" s="1184"/>
      <c r="M278" s="1184"/>
      <c r="N278" s="1184"/>
      <c r="O278" s="1184"/>
      <c r="P278" s="1163"/>
      <c r="Q278" s="1163"/>
      <c r="R278" s="1163"/>
      <c r="S278" s="1163"/>
      <c r="T278" s="1163"/>
      <c r="U278" s="1163"/>
      <c r="V278" s="1163"/>
      <c r="W278" s="1163"/>
      <c r="X278" s="1163"/>
      <c r="Y278" s="1163"/>
    </row>
    <row r="279" ht="12.75" customHeight="1">
      <c r="A279" s="1184"/>
      <c r="B279" s="1184"/>
      <c r="C279" s="1184"/>
      <c r="D279" s="1184"/>
      <c r="E279" s="1184"/>
      <c r="F279" s="1184"/>
      <c r="G279" s="1184"/>
      <c r="H279" s="1184"/>
      <c r="I279" s="1184"/>
      <c r="J279" s="1184"/>
      <c r="K279" s="1184"/>
      <c r="L279" s="1184"/>
      <c r="M279" s="1184"/>
      <c r="N279" s="1184"/>
      <c r="O279" s="1184"/>
      <c r="P279" s="1163"/>
      <c r="Q279" s="1163"/>
      <c r="R279" s="1163"/>
      <c r="S279" s="1163"/>
      <c r="T279" s="1163"/>
      <c r="U279" s="1163"/>
      <c r="V279" s="1163"/>
      <c r="W279" s="1163"/>
      <c r="X279" s="1163"/>
      <c r="Y279" s="1163"/>
    </row>
    <row r="280" ht="12.75" customHeight="1">
      <c r="A280" s="1184"/>
      <c r="B280" s="1184"/>
      <c r="C280" s="1184"/>
      <c r="D280" s="1184"/>
      <c r="E280" s="1184"/>
      <c r="F280" s="1184"/>
      <c r="G280" s="1184"/>
      <c r="H280" s="1184"/>
      <c r="I280" s="1184"/>
      <c r="J280" s="1184"/>
      <c r="K280" s="1184"/>
      <c r="L280" s="1184"/>
      <c r="M280" s="1184"/>
      <c r="N280" s="1184"/>
      <c r="O280" s="1184"/>
      <c r="P280" s="1163"/>
      <c r="Q280" s="1163"/>
      <c r="R280" s="1163"/>
      <c r="S280" s="1163"/>
      <c r="T280" s="1163"/>
      <c r="U280" s="1163"/>
      <c r="V280" s="1163"/>
      <c r="W280" s="1163"/>
      <c r="X280" s="1163"/>
      <c r="Y280" s="1163"/>
    </row>
    <row r="281" ht="12.75" customHeight="1">
      <c r="A281" s="1184"/>
      <c r="B281" s="1184"/>
      <c r="C281" s="1184"/>
      <c r="D281" s="1184"/>
      <c r="E281" s="1184"/>
      <c r="F281" s="1184"/>
      <c r="G281" s="1184"/>
      <c r="H281" s="1184"/>
      <c r="I281" s="1184"/>
      <c r="J281" s="1184"/>
      <c r="K281" s="1184"/>
      <c r="L281" s="1184"/>
      <c r="M281" s="1184"/>
      <c r="N281" s="1184"/>
      <c r="O281" s="1184"/>
      <c r="P281" s="1163"/>
      <c r="Q281" s="1163"/>
      <c r="R281" s="1163"/>
      <c r="S281" s="1163"/>
      <c r="T281" s="1163"/>
      <c r="U281" s="1163"/>
      <c r="V281" s="1163"/>
      <c r="W281" s="1163"/>
      <c r="X281" s="1163"/>
      <c r="Y281" s="1163"/>
    </row>
    <row r="282" ht="12.75" customHeight="1">
      <c r="A282" s="1184"/>
      <c r="B282" s="1184"/>
      <c r="C282" s="1184"/>
      <c r="D282" s="1184"/>
      <c r="E282" s="1184"/>
      <c r="F282" s="1184"/>
      <c r="G282" s="1184"/>
      <c r="H282" s="1184"/>
      <c r="I282" s="1184"/>
      <c r="J282" s="1184"/>
      <c r="K282" s="1184"/>
      <c r="L282" s="1184"/>
      <c r="M282" s="1184"/>
      <c r="N282" s="1184"/>
      <c r="O282" s="1184"/>
      <c r="P282" s="1163"/>
      <c r="Q282" s="1163"/>
      <c r="R282" s="1163"/>
      <c r="S282" s="1163"/>
      <c r="T282" s="1163"/>
      <c r="U282" s="1163"/>
      <c r="V282" s="1163"/>
      <c r="W282" s="1163"/>
      <c r="X282" s="1163"/>
      <c r="Y282" s="1163"/>
    </row>
    <row r="283" ht="12.75" customHeight="1">
      <c r="A283" s="1184"/>
      <c r="B283" s="1184"/>
      <c r="C283" s="1184"/>
      <c r="D283" s="1184"/>
      <c r="E283" s="1184"/>
      <c r="F283" s="1184"/>
      <c r="G283" s="1184"/>
      <c r="H283" s="1184"/>
      <c r="I283" s="1184"/>
      <c r="J283" s="1184"/>
      <c r="K283" s="1184"/>
      <c r="L283" s="1184"/>
      <c r="M283" s="1184"/>
      <c r="N283" s="1184"/>
      <c r="O283" s="1184"/>
      <c r="P283" s="1163"/>
      <c r="Q283" s="1163"/>
      <c r="R283" s="1163"/>
      <c r="S283" s="1163"/>
      <c r="T283" s="1163"/>
      <c r="U283" s="1163"/>
      <c r="V283" s="1163"/>
      <c r="W283" s="1163"/>
      <c r="X283" s="1163"/>
      <c r="Y283" s="1163"/>
    </row>
    <row r="284" ht="12.75" customHeight="1">
      <c r="A284" s="1184"/>
      <c r="B284" s="1184"/>
      <c r="C284" s="1184"/>
      <c r="D284" s="1184"/>
      <c r="E284" s="1184"/>
      <c r="F284" s="1184"/>
      <c r="G284" s="1184"/>
      <c r="H284" s="1184"/>
      <c r="I284" s="1184"/>
      <c r="J284" s="1184"/>
      <c r="K284" s="1184"/>
      <c r="L284" s="1184"/>
      <c r="M284" s="1184"/>
      <c r="N284" s="1184"/>
      <c r="O284" s="1184"/>
      <c r="P284" s="1163"/>
      <c r="Q284" s="1163"/>
      <c r="R284" s="1163"/>
      <c r="S284" s="1163"/>
      <c r="T284" s="1163"/>
      <c r="U284" s="1163"/>
      <c r="V284" s="1163"/>
      <c r="W284" s="1163"/>
      <c r="X284" s="1163"/>
      <c r="Y284" s="1163"/>
    </row>
    <row r="285" ht="12.75" customHeight="1">
      <c r="A285" s="1184"/>
      <c r="B285" s="1184"/>
      <c r="C285" s="1184"/>
      <c r="D285" s="1184"/>
      <c r="E285" s="1184"/>
      <c r="F285" s="1184"/>
      <c r="G285" s="1184"/>
      <c r="H285" s="1184"/>
      <c r="I285" s="1184"/>
      <c r="J285" s="1184"/>
      <c r="K285" s="1184"/>
      <c r="L285" s="1184"/>
      <c r="M285" s="1184"/>
      <c r="N285" s="1184"/>
      <c r="O285" s="1184"/>
      <c r="P285" s="1163"/>
      <c r="Q285" s="1163"/>
      <c r="R285" s="1163"/>
      <c r="S285" s="1163"/>
      <c r="T285" s="1163"/>
      <c r="U285" s="1163"/>
      <c r="V285" s="1163"/>
      <c r="W285" s="1163"/>
      <c r="X285" s="1163"/>
      <c r="Y285" s="1163"/>
    </row>
    <row r="286" ht="12.75" customHeight="1">
      <c r="A286" s="1184"/>
      <c r="B286" s="1184"/>
      <c r="C286" s="1184"/>
      <c r="D286" s="1184"/>
      <c r="E286" s="1184"/>
      <c r="F286" s="1184"/>
      <c r="G286" s="1184"/>
      <c r="H286" s="1184"/>
      <c r="I286" s="1184"/>
      <c r="J286" s="1184"/>
      <c r="K286" s="1184"/>
      <c r="L286" s="1184"/>
      <c r="M286" s="1184"/>
      <c r="N286" s="1184"/>
      <c r="O286" s="1184"/>
      <c r="P286" s="1163"/>
      <c r="Q286" s="1163"/>
      <c r="R286" s="1163"/>
      <c r="S286" s="1163"/>
      <c r="T286" s="1163"/>
      <c r="U286" s="1163"/>
      <c r="V286" s="1163"/>
      <c r="W286" s="1163"/>
      <c r="X286" s="1163"/>
      <c r="Y286" s="1163"/>
    </row>
    <row r="287" ht="12.75" customHeight="1">
      <c r="A287" s="1184"/>
      <c r="B287" s="1184"/>
      <c r="C287" s="1184"/>
      <c r="D287" s="1184"/>
      <c r="E287" s="1184"/>
      <c r="F287" s="1184"/>
      <c r="G287" s="1184"/>
      <c r="H287" s="1184"/>
      <c r="I287" s="1184"/>
      <c r="J287" s="1184"/>
      <c r="K287" s="1184"/>
      <c r="L287" s="1184"/>
      <c r="M287" s="1184"/>
      <c r="N287" s="1184"/>
      <c r="O287" s="1184"/>
      <c r="P287" s="1163"/>
      <c r="Q287" s="1163"/>
      <c r="R287" s="1163"/>
      <c r="S287" s="1163"/>
      <c r="T287" s="1163"/>
      <c r="U287" s="1163"/>
      <c r="V287" s="1163"/>
      <c r="W287" s="1163"/>
      <c r="X287" s="1163"/>
      <c r="Y287" s="1163"/>
    </row>
    <row r="288" ht="12.75" customHeight="1">
      <c r="A288" s="1184"/>
      <c r="B288" s="1184"/>
      <c r="C288" s="1184"/>
      <c r="D288" s="1184"/>
      <c r="E288" s="1184"/>
      <c r="F288" s="1184"/>
      <c r="G288" s="1184"/>
      <c r="H288" s="1184"/>
      <c r="I288" s="1184"/>
      <c r="J288" s="1184"/>
      <c r="K288" s="1184"/>
      <c r="L288" s="1184"/>
      <c r="M288" s="1184"/>
      <c r="N288" s="1184"/>
      <c r="O288" s="1184"/>
      <c r="P288" s="1163"/>
      <c r="Q288" s="1163"/>
      <c r="R288" s="1163"/>
      <c r="S288" s="1163"/>
      <c r="T288" s="1163"/>
      <c r="U288" s="1163"/>
      <c r="V288" s="1163"/>
      <c r="W288" s="1163"/>
      <c r="X288" s="1163"/>
      <c r="Y288" s="1163"/>
    </row>
    <row r="289" ht="12.75" customHeight="1">
      <c r="A289" s="1184"/>
      <c r="B289" s="1184"/>
      <c r="C289" s="1184"/>
      <c r="D289" s="1184"/>
      <c r="E289" s="1184"/>
      <c r="F289" s="1184"/>
      <c r="G289" s="1184"/>
      <c r="H289" s="1184"/>
      <c r="I289" s="1184"/>
      <c r="J289" s="1184"/>
      <c r="K289" s="1184"/>
      <c r="L289" s="1184"/>
      <c r="M289" s="1184"/>
      <c r="N289" s="1184"/>
      <c r="O289" s="1184"/>
      <c r="P289" s="1163"/>
      <c r="Q289" s="1163"/>
      <c r="R289" s="1163"/>
      <c r="S289" s="1163"/>
      <c r="T289" s="1163"/>
      <c r="U289" s="1163"/>
      <c r="V289" s="1163"/>
      <c r="W289" s="1163"/>
      <c r="X289" s="1163"/>
      <c r="Y289" s="1163"/>
    </row>
    <row r="290" ht="12.75" customHeight="1">
      <c r="A290" s="1184"/>
      <c r="B290" s="1184"/>
      <c r="C290" s="1184"/>
      <c r="D290" s="1184"/>
      <c r="E290" s="1184"/>
      <c r="F290" s="1184"/>
      <c r="G290" s="1184"/>
      <c r="H290" s="1184"/>
      <c r="I290" s="1184"/>
      <c r="J290" s="1184"/>
      <c r="K290" s="1184"/>
      <c r="L290" s="1184"/>
      <c r="M290" s="1184"/>
      <c r="N290" s="1184"/>
      <c r="O290" s="1184"/>
      <c r="P290" s="1163"/>
      <c r="Q290" s="1163"/>
      <c r="R290" s="1163"/>
      <c r="S290" s="1163"/>
      <c r="T290" s="1163"/>
      <c r="U290" s="1163"/>
      <c r="V290" s="1163"/>
      <c r="W290" s="1163"/>
      <c r="X290" s="1163"/>
      <c r="Y290" s="1163"/>
    </row>
    <row r="291" ht="12.75" customHeight="1">
      <c r="A291" s="1184"/>
      <c r="B291" s="1184"/>
      <c r="C291" s="1184"/>
      <c r="D291" s="1184"/>
      <c r="E291" s="1184"/>
      <c r="F291" s="1184"/>
      <c r="G291" s="1184"/>
      <c r="H291" s="1184"/>
      <c r="I291" s="1184"/>
      <c r="J291" s="1184"/>
      <c r="K291" s="1184"/>
      <c r="L291" s="1184"/>
      <c r="M291" s="1184"/>
      <c r="N291" s="1184"/>
      <c r="O291" s="1184"/>
      <c r="P291" s="1163"/>
      <c r="Q291" s="1163"/>
      <c r="R291" s="1163"/>
      <c r="S291" s="1163"/>
      <c r="T291" s="1163"/>
      <c r="U291" s="1163"/>
      <c r="V291" s="1163"/>
      <c r="W291" s="1163"/>
      <c r="X291" s="1163"/>
      <c r="Y291" s="1163"/>
    </row>
    <row r="292" ht="12.75" customHeight="1">
      <c r="A292" s="1184"/>
      <c r="B292" s="1184"/>
      <c r="C292" s="1184"/>
      <c r="D292" s="1184"/>
      <c r="E292" s="1184"/>
      <c r="F292" s="1184"/>
      <c r="G292" s="1184"/>
      <c r="H292" s="1184"/>
      <c r="I292" s="1184"/>
      <c r="J292" s="1184"/>
      <c r="K292" s="1184"/>
      <c r="L292" s="1184"/>
      <c r="M292" s="1184"/>
      <c r="N292" s="1184"/>
      <c r="O292" s="1184"/>
      <c r="P292" s="1163"/>
      <c r="Q292" s="1163"/>
      <c r="R292" s="1163"/>
      <c r="S292" s="1163"/>
      <c r="T292" s="1163"/>
      <c r="U292" s="1163"/>
      <c r="V292" s="1163"/>
      <c r="W292" s="1163"/>
      <c r="X292" s="1163"/>
      <c r="Y292" s="1163"/>
    </row>
    <row r="293" ht="12.75" customHeight="1">
      <c r="A293" s="1184"/>
      <c r="B293" s="1184"/>
      <c r="C293" s="1184"/>
      <c r="D293" s="1184"/>
      <c r="E293" s="1184"/>
      <c r="F293" s="1184"/>
      <c r="G293" s="1184"/>
      <c r="H293" s="1184"/>
      <c r="I293" s="1184"/>
      <c r="J293" s="1184"/>
      <c r="K293" s="1184"/>
      <c r="L293" s="1184"/>
      <c r="M293" s="1184"/>
      <c r="N293" s="1184"/>
      <c r="O293" s="1184"/>
      <c r="P293" s="1163"/>
      <c r="Q293" s="1163"/>
      <c r="R293" s="1163"/>
      <c r="S293" s="1163"/>
      <c r="T293" s="1163"/>
      <c r="U293" s="1163"/>
      <c r="V293" s="1163"/>
      <c r="W293" s="1163"/>
      <c r="X293" s="1163"/>
      <c r="Y293" s="1163"/>
    </row>
    <row r="294" ht="12.75" customHeight="1">
      <c r="A294" s="1184"/>
      <c r="B294" s="1184"/>
      <c r="C294" s="1184"/>
      <c r="D294" s="1184"/>
      <c r="E294" s="1184"/>
      <c r="F294" s="1184"/>
      <c r="G294" s="1184"/>
      <c r="H294" s="1184"/>
      <c r="I294" s="1184"/>
      <c r="J294" s="1184"/>
      <c r="K294" s="1184"/>
      <c r="L294" s="1184"/>
      <c r="M294" s="1184"/>
      <c r="N294" s="1184"/>
      <c r="O294" s="1184"/>
      <c r="P294" s="1163"/>
      <c r="Q294" s="1163"/>
      <c r="R294" s="1163"/>
      <c r="S294" s="1163"/>
      <c r="T294" s="1163"/>
      <c r="U294" s="1163"/>
      <c r="V294" s="1163"/>
      <c r="W294" s="1163"/>
      <c r="X294" s="1163"/>
      <c r="Y294" s="1163"/>
    </row>
    <row r="295" ht="12.75" customHeight="1">
      <c r="A295" s="1184"/>
      <c r="B295" s="1184"/>
      <c r="C295" s="1184"/>
      <c r="D295" s="1184"/>
      <c r="E295" s="1184"/>
      <c r="F295" s="1184"/>
      <c r="G295" s="1184"/>
      <c r="H295" s="1184"/>
      <c r="I295" s="1184"/>
      <c r="J295" s="1184"/>
      <c r="K295" s="1184"/>
      <c r="L295" s="1184"/>
      <c r="M295" s="1184"/>
      <c r="N295" s="1184"/>
      <c r="O295" s="1184"/>
      <c r="P295" s="1163"/>
      <c r="Q295" s="1163"/>
      <c r="R295" s="1163"/>
      <c r="S295" s="1163"/>
      <c r="T295" s="1163"/>
      <c r="U295" s="1163"/>
      <c r="V295" s="1163"/>
      <c r="W295" s="1163"/>
      <c r="X295" s="1163"/>
      <c r="Y295" s="1163"/>
    </row>
    <row r="296" ht="12.75" customHeight="1">
      <c r="A296" s="1184"/>
      <c r="B296" s="1184"/>
      <c r="C296" s="1184"/>
      <c r="D296" s="1184"/>
      <c r="E296" s="1184"/>
      <c r="F296" s="1184"/>
      <c r="G296" s="1184"/>
      <c r="H296" s="1184"/>
      <c r="I296" s="1184"/>
      <c r="J296" s="1184"/>
      <c r="K296" s="1184"/>
      <c r="L296" s="1184"/>
      <c r="M296" s="1184"/>
      <c r="N296" s="1184"/>
      <c r="O296" s="1184"/>
      <c r="P296" s="1163"/>
      <c r="Q296" s="1163"/>
      <c r="R296" s="1163"/>
      <c r="S296" s="1163"/>
      <c r="T296" s="1163"/>
      <c r="U296" s="1163"/>
      <c r="V296" s="1163"/>
      <c r="W296" s="1163"/>
      <c r="X296" s="1163"/>
      <c r="Y296" s="1163"/>
    </row>
    <row r="297" ht="12.75" customHeight="1">
      <c r="A297" s="1184"/>
      <c r="B297" s="1184"/>
      <c r="C297" s="1184"/>
      <c r="D297" s="1184"/>
      <c r="E297" s="1184"/>
      <c r="F297" s="1184"/>
      <c r="G297" s="1184"/>
      <c r="H297" s="1184"/>
      <c r="I297" s="1184"/>
      <c r="J297" s="1184"/>
      <c r="K297" s="1184"/>
      <c r="L297" s="1184"/>
      <c r="M297" s="1184"/>
      <c r="N297" s="1184"/>
      <c r="O297" s="1184"/>
      <c r="P297" s="1163"/>
      <c r="Q297" s="1163"/>
      <c r="R297" s="1163"/>
      <c r="S297" s="1163"/>
      <c r="T297" s="1163"/>
      <c r="U297" s="1163"/>
      <c r="V297" s="1163"/>
      <c r="W297" s="1163"/>
      <c r="X297" s="1163"/>
      <c r="Y297" s="1163"/>
    </row>
    <row r="298" ht="12.75" customHeight="1">
      <c r="A298" s="1184"/>
      <c r="B298" s="1184"/>
      <c r="C298" s="1184"/>
      <c r="D298" s="1184"/>
      <c r="E298" s="1184"/>
      <c r="F298" s="1184"/>
      <c r="G298" s="1184"/>
      <c r="H298" s="1184"/>
      <c r="I298" s="1184"/>
      <c r="J298" s="1184"/>
      <c r="K298" s="1184"/>
      <c r="L298" s="1184"/>
      <c r="M298" s="1184"/>
      <c r="N298" s="1184"/>
      <c r="O298" s="1184"/>
      <c r="P298" s="1163"/>
      <c r="Q298" s="1163"/>
      <c r="R298" s="1163"/>
      <c r="S298" s="1163"/>
      <c r="T298" s="1163"/>
      <c r="U298" s="1163"/>
      <c r="V298" s="1163"/>
      <c r="W298" s="1163"/>
      <c r="X298" s="1163"/>
      <c r="Y298" s="1163"/>
    </row>
    <row r="299" ht="12.75" customHeight="1">
      <c r="A299" s="1184"/>
      <c r="B299" s="1184"/>
      <c r="C299" s="1184"/>
      <c r="D299" s="1184"/>
      <c r="E299" s="1184"/>
      <c r="F299" s="1184"/>
      <c r="G299" s="1184"/>
      <c r="H299" s="1184"/>
      <c r="I299" s="1184"/>
      <c r="J299" s="1184"/>
      <c r="K299" s="1184"/>
      <c r="L299" s="1184"/>
      <c r="M299" s="1184"/>
      <c r="N299" s="1184"/>
      <c r="O299" s="1184"/>
      <c r="P299" s="1163"/>
      <c r="Q299" s="1163"/>
      <c r="R299" s="1163"/>
      <c r="S299" s="1163"/>
      <c r="T299" s="1163"/>
      <c r="U299" s="1163"/>
      <c r="V299" s="1163"/>
      <c r="W299" s="1163"/>
      <c r="X299" s="1163"/>
      <c r="Y299" s="1163"/>
    </row>
    <row r="300" ht="12.75" customHeight="1">
      <c r="A300" s="1184"/>
      <c r="B300" s="1184"/>
      <c r="C300" s="1184"/>
      <c r="D300" s="1184"/>
      <c r="E300" s="1184"/>
      <c r="F300" s="1184"/>
      <c r="G300" s="1184"/>
      <c r="H300" s="1184"/>
      <c r="I300" s="1184"/>
      <c r="J300" s="1184"/>
      <c r="K300" s="1184"/>
      <c r="L300" s="1184"/>
      <c r="M300" s="1184"/>
      <c r="N300" s="1184"/>
      <c r="O300" s="1184"/>
      <c r="P300" s="1163"/>
      <c r="Q300" s="1163"/>
      <c r="R300" s="1163"/>
      <c r="S300" s="1163"/>
      <c r="T300" s="1163"/>
      <c r="U300" s="1163"/>
      <c r="V300" s="1163"/>
      <c r="W300" s="1163"/>
      <c r="X300" s="1163"/>
      <c r="Y300" s="1163"/>
    </row>
    <row r="301" ht="12.75" customHeight="1">
      <c r="A301" s="1184"/>
      <c r="B301" s="1184"/>
      <c r="C301" s="1184"/>
      <c r="D301" s="1184"/>
      <c r="E301" s="1184"/>
      <c r="F301" s="1184"/>
      <c r="G301" s="1184"/>
      <c r="H301" s="1184"/>
      <c r="I301" s="1184"/>
      <c r="J301" s="1184"/>
      <c r="K301" s="1184"/>
      <c r="L301" s="1184"/>
      <c r="M301" s="1184"/>
      <c r="N301" s="1184"/>
      <c r="O301" s="1184"/>
      <c r="P301" s="1163"/>
      <c r="Q301" s="1163"/>
      <c r="R301" s="1163"/>
      <c r="S301" s="1163"/>
      <c r="T301" s="1163"/>
      <c r="U301" s="1163"/>
      <c r="V301" s="1163"/>
      <c r="W301" s="1163"/>
      <c r="X301" s="1163"/>
      <c r="Y301" s="1163"/>
    </row>
    <row r="302" ht="12.75" customHeight="1">
      <c r="A302" s="1184"/>
      <c r="B302" s="1184"/>
      <c r="C302" s="1184"/>
      <c r="D302" s="1184"/>
      <c r="E302" s="1184"/>
      <c r="F302" s="1184"/>
      <c r="G302" s="1184"/>
      <c r="H302" s="1184"/>
      <c r="I302" s="1184"/>
      <c r="J302" s="1184"/>
      <c r="K302" s="1184"/>
      <c r="L302" s="1184"/>
      <c r="M302" s="1184"/>
      <c r="N302" s="1184"/>
      <c r="O302" s="1184"/>
      <c r="P302" s="1163"/>
      <c r="Q302" s="1163"/>
      <c r="R302" s="1163"/>
      <c r="S302" s="1163"/>
      <c r="T302" s="1163"/>
      <c r="U302" s="1163"/>
      <c r="V302" s="1163"/>
      <c r="W302" s="1163"/>
      <c r="X302" s="1163"/>
      <c r="Y302" s="1163"/>
    </row>
    <row r="303" ht="12.75" customHeight="1">
      <c r="A303" s="1184"/>
      <c r="B303" s="1184"/>
      <c r="C303" s="1184"/>
      <c r="D303" s="1184"/>
      <c r="E303" s="1184"/>
      <c r="F303" s="1184"/>
      <c r="G303" s="1184"/>
      <c r="H303" s="1184"/>
      <c r="I303" s="1184"/>
      <c r="J303" s="1184"/>
      <c r="K303" s="1184"/>
      <c r="L303" s="1184"/>
      <c r="M303" s="1184"/>
      <c r="N303" s="1184"/>
      <c r="O303" s="1184"/>
      <c r="P303" s="1163"/>
      <c r="Q303" s="1163"/>
      <c r="R303" s="1163"/>
      <c r="S303" s="1163"/>
      <c r="T303" s="1163"/>
      <c r="U303" s="1163"/>
      <c r="V303" s="1163"/>
      <c r="W303" s="1163"/>
      <c r="X303" s="1163"/>
      <c r="Y303" s="1163"/>
    </row>
    <row r="304" ht="12.75" customHeight="1">
      <c r="A304" s="1184"/>
      <c r="B304" s="1184"/>
      <c r="C304" s="1184"/>
      <c r="D304" s="1184"/>
      <c r="E304" s="1184"/>
      <c r="F304" s="1184"/>
      <c r="G304" s="1184"/>
      <c r="H304" s="1184"/>
      <c r="I304" s="1184"/>
      <c r="J304" s="1184"/>
      <c r="K304" s="1184"/>
      <c r="L304" s="1184"/>
      <c r="M304" s="1184"/>
      <c r="N304" s="1184"/>
      <c r="O304" s="1184"/>
      <c r="P304" s="1163"/>
      <c r="Q304" s="1163"/>
      <c r="R304" s="1163"/>
      <c r="S304" s="1163"/>
      <c r="T304" s="1163"/>
      <c r="U304" s="1163"/>
      <c r="V304" s="1163"/>
      <c r="W304" s="1163"/>
      <c r="X304" s="1163"/>
      <c r="Y304" s="1163"/>
    </row>
    <row r="305" ht="12.75" customHeight="1">
      <c r="A305" s="1184"/>
      <c r="B305" s="1184"/>
      <c r="C305" s="1184"/>
      <c r="D305" s="1184"/>
      <c r="E305" s="1184"/>
      <c r="F305" s="1184"/>
      <c r="G305" s="1184"/>
      <c r="H305" s="1184"/>
      <c r="I305" s="1184"/>
      <c r="J305" s="1184"/>
      <c r="K305" s="1184"/>
      <c r="L305" s="1184"/>
      <c r="M305" s="1184"/>
      <c r="N305" s="1184"/>
      <c r="O305" s="1184"/>
      <c r="P305" s="1163"/>
      <c r="Q305" s="1163"/>
      <c r="R305" s="1163"/>
      <c r="S305" s="1163"/>
      <c r="T305" s="1163"/>
      <c r="U305" s="1163"/>
      <c r="V305" s="1163"/>
      <c r="W305" s="1163"/>
      <c r="X305" s="1163"/>
      <c r="Y305" s="1163"/>
    </row>
    <row r="306" ht="12.75" customHeight="1">
      <c r="A306" s="1184"/>
      <c r="B306" s="1184"/>
      <c r="C306" s="1184"/>
      <c r="D306" s="1184"/>
      <c r="E306" s="1184"/>
      <c r="F306" s="1184"/>
      <c r="G306" s="1184"/>
      <c r="H306" s="1184"/>
      <c r="I306" s="1184"/>
      <c r="J306" s="1184"/>
      <c r="K306" s="1184"/>
      <c r="L306" s="1184"/>
      <c r="M306" s="1184"/>
      <c r="N306" s="1184"/>
      <c r="O306" s="1184"/>
      <c r="P306" s="1163"/>
      <c r="Q306" s="1163"/>
      <c r="R306" s="1163"/>
      <c r="S306" s="1163"/>
      <c r="T306" s="1163"/>
      <c r="U306" s="1163"/>
      <c r="V306" s="1163"/>
      <c r="W306" s="1163"/>
      <c r="X306" s="1163"/>
      <c r="Y306" s="1163"/>
    </row>
    <row r="307" ht="12.75" customHeight="1">
      <c r="A307" s="1184"/>
      <c r="B307" s="1184"/>
      <c r="C307" s="1184"/>
      <c r="D307" s="1184"/>
      <c r="E307" s="1184"/>
      <c r="F307" s="1184"/>
      <c r="G307" s="1184"/>
      <c r="H307" s="1184"/>
      <c r="I307" s="1184"/>
      <c r="J307" s="1184"/>
      <c r="K307" s="1184"/>
      <c r="L307" s="1184"/>
      <c r="M307" s="1184"/>
      <c r="N307" s="1184"/>
      <c r="O307" s="1184"/>
      <c r="P307" s="1163"/>
      <c r="Q307" s="1163"/>
      <c r="R307" s="1163"/>
      <c r="S307" s="1163"/>
      <c r="T307" s="1163"/>
      <c r="U307" s="1163"/>
      <c r="V307" s="1163"/>
      <c r="W307" s="1163"/>
      <c r="X307" s="1163"/>
      <c r="Y307" s="1163"/>
    </row>
    <row r="308" ht="12.75" customHeight="1">
      <c r="A308" s="1184"/>
      <c r="B308" s="1184"/>
      <c r="C308" s="1184"/>
      <c r="D308" s="1184"/>
      <c r="E308" s="1184"/>
      <c r="F308" s="1184"/>
      <c r="G308" s="1184"/>
      <c r="H308" s="1184"/>
      <c r="I308" s="1184"/>
      <c r="J308" s="1184"/>
      <c r="K308" s="1184"/>
      <c r="L308" s="1184"/>
      <c r="M308" s="1184"/>
      <c r="N308" s="1184"/>
      <c r="O308" s="1184"/>
      <c r="P308" s="1163"/>
      <c r="Q308" s="1163"/>
      <c r="R308" s="1163"/>
      <c r="S308" s="1163"/>
      <c r="T308" s="1163"/>
      <c r="U308" s="1163"/>
      <c r="V308" s="1163"/>
      <c r="W308" s="1163"/>
      <c r="X308" s="1163"/>
      <c r="Y308" s="1163"/>
    </row>
    <row r="309" ht="12.75" customHeight="1">
      <c r="A309" s="1184"/>
      <c r="B309" s="1184"/>
      <c r="C309" s="1184"/>
      <c r="D309" s="1184"/>
      <c r="E309" s="1184"/>
      <c r="F309" s="1184"/>
      <c r="G309" s="1184"/>
      <c r="H309" s="1184"/>
      <c r="I309" s="1184"/>
      <c r="J309" s="1184"/>
      <c r="K309" s="1184"/>
      <c r="L309" s="1184"/>
      <c r="M309" s="1184"/>
      <c r="N309" s="1184"/>
      <c r="O309" s="1184"/>
      <c r="P309" s="1163"/>
      <c r="Q309" s="1163"/>
      <c r="R309" s="1163"/>
      <c r="S309" s="1163"/>
      <c r="T309" s="1163"/>
      <c r="U309" s="1163"/>
      <c r="V309" s="1163"/>
      <c r="W309" s="1163"/>
      <c r="X309" s="1163"/>
      <c r="Y309" s="1163"/>
    </row>
    <row r="310" ht="12.75" customHeight="1">
      <c r="A310" s="1184"/>
      <c r="B310" s="1184"/>
      <c r="C310" s="1184"/>
      <c r="D310" s="1184"/>
      <c r="E310" s="1184"/>
      <c r="F310" s="1184"/>
      <c r="G310" s="1184"/>
      <c r="H310" s="1184"/>
      <c r="I310" s="1184"/>
      <c r="J310" s="1184"/>
      <c r="K310" s="1184"/>
      <c r="L310" s="1184"/>
      <c r="M310" s="1184"/>
      <c r="N310" s="1184"/>
      <c r="O310" s="1184"/>
      <c r="P310" s="1163"/>
      <c r="Q310" s="1163"/>
      <c r="R310" s="1163"/>
      <c r="S310" s="1163"/>
      <c r="T310" s="1163"/>
      <c r="U310" s="1163"/>
      <c r="V310" s="1163"/>
      <c r="W310" s="1163"/>
      <c r="X310" s="1163"/>
      <c r="Y310" s="1163"/>
    </row>
    <row r="311" ht="12.75" customHeight="1">
      <c r="A311" s="1184"/>
      <c r="B311" s="1184"/>
      <c r="C311" s="1184"/>
      <c r="D311" s="1184"/>
      <c r="E311" s="1184"/>
      <c r="F311" s="1184"/>
      <c r="G311" s="1184"/>
      <c r="H311" s="1184"/>
      <c r="I311" s="1184"/>
      <c r="J311" s="1184"/>
      <c r="K311" s="1184"/>
      <c r="L311" s="1184"/>
      <c r="M311" s="1184"/>
      <c r="N311" s="1184"/>
      <c r="O311" s="1184"/>
      <c r="P311" s="1163"/>
      <c r="Q311" s="1163"/>
      <c r="R311" s="1163"/>
      <c r="S311" s="1163"/>
      <c r="T311" s="1163"/>
      <c r="U311" s="1163"/>
      <c r="V311" s="1163"/>
      <c r="W311" s="1163"/>
      <c r="X311" s="1163"/>
      <c r="Y311" s="1163"/>
    </row>
    <row r="312" ht="12.75" customHeight="1">
      <c r="A312" s="1184"/>
      <c r="B312" s="1184"/>
      <c r="C312" s="1184"/>
      <c r="D312" s="1184"/>
      <c r="E312" s="1184"/>
      <c r="F312" s="1184"/>
      <c r="G312" s="1184"/>
      <c r="H312" s="1184"/>
      <c r="I312" s="1184"/>
      <c r="J312" s="1184"/>
      <c r="K312" s="1184"/>
      <c r="L312" s="1184"/>
      <c r="M312" s="1184"/>
      <c r="N312" s="1184"/>
      <c r="O312" s="1184"/>
      <c r="P312" s="1163"/>
      <c r="Q312" s="1163"/>
      <c r="R312" s="1163"/>
      <c r="S312" s="1163"/>
      <c r="T312" s="1163"/>
      <c r="U312" s="1163"/>
      <c r="V312" s="1163"/>
      <c r="W312" s="1163"/>
      <c r="X312" s="1163"/>
      <c r="Y312" s="1163"/>
    </row>
    <row r="313" ht="12.75" customHeight="1">
      <c r="A313" s="1184"/>
      <c r="B313" s="1184"/>
      <c r="C313" s="1184"/>
      <c r="D313" s="1184"/>
      <c r="E313" s="1184"/>
      <c r="F313" s="1184"/>
      <c r="G313" s="1184"/>
      <c r="H313" s="1184"/>
      <c r="I313" s="1184"/>
      <c r="J313" s="1184"/>
      <c r="K313" s="1184"/>
      <c r="L313" s="1184"/>
      <c r="M313" s="1184"/>
      <c r="N313" s="1184"/>
      <c r="O313" s="1184"/>
      <c r="P313" s="1163"/>
      <c r="Q313" s="1163"/>
      <c r="R313" s="1163"/>
      <c r="S313" s="1163"/>
      <c r="T313" s="1163"/>
      <c r="U313" s="1163"/>
      <c r="V313" s="1163"/>
      <c r="W313" s="1163"/>
      <c r="X313" s="1163"/>
      <c r="Y313" s="1163"/>
    </row>
    <row r="314" ht="12.75" customHeight="1">
      <c r="A314" s="1184"/>
      <c r="B314" s="1184"/>
      <c r="C314" s="1184"/>
      <c r="D314" s="1184"/>
      <c r="E314" s="1184"/>
      <c r="F314" s="1184"/>
      <c r="G314" s="1184"/>
      <c r="H314" s="1184"/>
      <c r="I314" s="1184"/>
      <c r="J314" s="1184"/>
      <c r="K314" s="1184"/>
      <c r="L314" s="1184"/>
      <c r="M314" s="1184"/>
      <c r="N314" s="1184"/>
      <c r="O314" s="1184"/>
      <c r="P314" s="1163"/>
      <c r="Q314" s="1163"/>
      <c r="R314" s="1163"/>
      <c r="S314" s="1163"/>
      <c r="T314" s="1163"/>
      <c r="U314" s="1163"/>
      <c r="V314" s="1163"/>
      <c r="W314" s="1163"/>
      <c r="X314" s="1163"/>
      <c r="Y314" s="1163"/>
    </row>
    <row r="315" ht="12.75" customHeight="1">
      <c r="A315" s="1184"/>
      <c r="B315" s="1184"/>
      <c r="C315" s="1184"/>
      <c r="D315" s="1184"/>
      <c r="E315" s="1184"/>
      <c r="F315" s="1184"/>
      <c r="G315" s="1184"/>
      <c r="H315" s="1184"/>
      <c r="I315" s="1184"/>
      <c r="J315" s="1184"/>
      <c r="K315" s="1184"/>
      <c r="L315" s="1184"/>
      <c r="M315" s="1184"/>
      <c r="N315" s="1184"/>
      <c r="O315" s="1184"/>
      <c r="P315" s="1163"/>
      <c r="Q315" s="1163"/>
      <c r="R315" s="1163"/>
      <c r="S315" s="1163"/>
      <c r="T315" s="1163"/>
      <c r="U315" s="1163"/>
      <c r="V315" s="1163"/>
      <c r="W315" s="1163"/>
      <c r="X315" s="1163"/>
      <c r="Y315" s="1163"/>
    </row>
    <row r="316" ht="12.75" customHeight="1">
      <c r="A316" s="1184"/>
      <c r="B316" s="1184"/>
      <c r="C316" s="1184"/>
      <c r="D316" s="1184"/>
      <c r="E316" s="1184"/>
      <c r="F316" s="1184"/>
      <c r="G316" s="1184"/>
      <c r="H316" s="1184"/>
      <c r="I316" s="1184"/>
      <c r="J316" s="1184"/>
      <c r="K316" s="1184"/>
      <c r="L316" s="1184"/>
      <c r="M316" s="1184"/>
      <c r="N316" s="1184"/>
      <c r="O316" s="1184"/>
      <c r="P316" s="1163"/>
      <c r="Q316" s="1163"/>
      <c r="R316" s="1163"/>
      <c r="S316" s="1163"/>
      <c r="T316" s="1163"/>
      <c r="U316" s="1163"/>
      <c r="V316" s="1163"/>
      <c r="W316" s="1163"/>
      <c r="X316" s="1163"/>
      <c r="Y316" s="1163"/>
    </row>
    <row r="317" ht="12.75" customHeight="1">
      <c r="A317" s="1184"/>
      <c r="B317" s="1184"/>
      <c r="C317" s="1184"/>
      <c r="D317" s="1184"/>
      <c r="E317" s="1184"/>
      <c r="F317" s="1184"/>
      <c r="G317" s="1184"/>
      <c r="H317" s="1184"/>
      <c r="I317" s="1184"/>
      <c r="J317" s="1184"/>
      <c r="K317" s="1184"/>
      <c r="L317" s="1184"/>
      <c r="M317" s="1184"/>
      <c r="N317" s="1184"/>
      <c r="O317" s="1184"/>
      <c r="P317" s="1163"/>
      <c r="Q317" s="1163"/>
      <c r="R317" s="1163"/>
      <c r="S317" s="1163"/>
      <c r="T317" s="1163"/>
      <c r="U317" s="1163"/>
      <c r="V317" s="1163"/>
      <c r="W317" s="1163"/>
      <c r="X317" s="1163"/>
      <c r="Y317" s="1163"/>
    </row>
    <row r="318" ht="12.75" customHeight="1">
      <c r="A318" s="1184"/>
      <c r="B318" s="1184"/>
      <c r="C318" s="1184"/>
      <c r="D318" s="1184"/>
      <c r="E318" s="1184"/>
      <c r="F318" s="1184"/>
      <c r="G318" s="1184"/>
      <c r="H318" s="1184"/>
      <c r="I318" s="1184"/>
      <c r="J318" s="1184"/>
      <c r="K318" s="1184"/>
      <c r="L318" s="1184"/>
      <c r="M318" s="1184"/>
      <c r="N318" s="1184"/>
      <c r="O318" s="1184"/>
      <c r="P318" s="1163"/>
      <c r="Q318" s="1163"/>
      <c r="R318" s="1163"/>
      <c r="S318" s="1163"/>
      <c r="T318" s="1163"/>
      <c r="U318" s="1163"/>
      <c r="V318" s="1163"/>
      <c r="W318" s="1163"/>
      <c r="X318" s="1163"/>
      <c r="Y318" s="1163"/>
    </row>
    <row r="319" ht="12.75" customHeight="1">
      <c r="A319" s="1184"/>
      <c r="B319" s="1184"/>
      <c r="C319" s="1184"/>
      <c r="D319" s="1184"/>
      <c r="E319" s="1184"/>
      <c r="F319" s="1184"/>
      <c r="G319" s="1184"/>
      <c r="H319" s="1184"/>
      <c r="I319" s="1184"/>
      <c r="J319" s="1184"/>
      <c r="K319" s="1184"/>
      <c r="L319" s="1184"/>
      <c r="M319" s="1184"/>
      <c r="N319" s="1184"/>
      <c r="O319" s="1184"/>
      <c r="P319" s="1163"/>
      <c r="Q319" s="1163"/>
      <c r="R319" s="1163"/>
      <c r="S319" s="1163"/>
      <c r="T319" s="1163"/>
      <c r="U319" s="1163"/>
      <c r="V319" s="1163"/>
      <c r="W319" s="1163"/>
      <c r="X319" s="1163"/>
      <c r="Y319" s="1163"/>
    </row>
    <row r="320" ht="12.75" customHeight="1">
      <c r="A320" s="1184"/>
      <c r="B320" s="1184"/>
      <c r="C320" s="1184"/>
      <c r="D320" s="1184"/>
      <c r="E320" s="1184"/>
      <c r="F320" s="1184"/>
      <c r="G320" s="1184"/>
      <c r="H320" s="1184"/>
      <c r="I320" s="1184"/>
      <c r="J320" s="1184"/>
      <c r="K320" s="1184"/>
      <c r="L320" s="1184"/>
      <c r="M320" s="1184"/>
      <c r="N320" s="1184"/>
      <c r="O320" s="1184"/>
      <c r="P320" s="1163"/>
      <c r="Q320" s="1163"/>
      <c r="R320" s="1163"/>
      <c r="S320" s="1163"/>
      <c r="T320" s="1163"/>
      <c r="U320" s="1163"/>
      <c r="V320" s="1163"/>
      <c r="W320" s="1163"/>
      <c r="X320" s="1163"/>
      <c r="Y320" s="1163"/>
    </row>
    <row r="321" ht="12.75" customHeight="1">
      <c r="A321" s="1184"/>
      <c r="B321" s="1184"/>
      <c r="C321" s="1184"/>
      <c r="D321" s="1184"/>
      <c r="E321" s="1184"/>
      <c r="F321" s="1184"/>
      <c r="G321" s="1184"/>
      <c r="H321" s="1184"/>
      <c r="I321" s="1184"/>
      <c r="J321" s="1184"/>
      <c r="K321" s="1184"/>
      <c r="L321" s="1184"/>
      <c r="M321" s="1184"/>
      <c r="N321" s="1184"/>
      <c r="O321" s="1184"/>
      <c r="P321" s="1163"/>
      <c r="Q321" s="1163"/>
      <c r="R321" s="1163"/>
      <c r="S321" s="1163"/>
      <c r="T321" s="1163"/>
      <c r="U321" s="1163"/>
      <c r="V321" s="1163"/>
      <c r="W321" s="1163"/>
      <c r="X321" s="1163"/>
      <c r="Y321" s="1163"/>
    </row>
    <row r="322" ht="12.75" customHeight="1">
      <c r="A322" s="1184"/>
      <c r="B322" s="1184"/>
      <c r="C322" s="1184"/>
      <c r="D322" s="1184"/>
      <c r="E322" s="1184"/>
      <c r="F322" s="1184"/>
      <c r="G322" s="1184"/>
      <c r="H322" s="1184"/>
      <c r="I322" s="1184"/>
      <c r="J322" s="1184"/>
      <c r="K322" s="1184"/>
      <c r="L322" s="1184"/>
      <c r="M322" s="1184"/>
      <c r="N322" s="1184"/>
      <c r="O322" s="1184"/>
      <c r="P322" s="1163"/>
      <c r="Q322" s="1163"/>
      <c r="R322" s="1163"/>
      <c r="S322" s="1163"/>
      <c r="T322" s="1163"/>
      <c r="U322" s="1163"/>
      <c r="V322" s="1163"/>
      <c r="W322" s="1163"/>
      <c r="X322" s="1163"/>
      <c r="Y322" s="1163"/>
    </row>
    <row r="323" ht="12.75" customHeight="1">
      <c r="A323" s="1184"/>
      <c r="B323" s="1184"/>
      <c r="C323" s="1184"/>
      <c r="D323" s="1184"/>
      <c r="E323" s="1184"/>
      <c r="F323" s="1184"/>
      <c r="G323" s="1184"/>
      <c r="H323" s="1184"/>
      <c r="I323" s="1184"/>
      <c r="J323" s="1184"/>
      <c r="K323" s="1184"/>
      <c r="L323" s="1184"/>
      <c r="M323" s="1184"/>
      <c r="N323" s="1184"/>
      <c r="O323" s="1184"/>
      <c r="P323" s="1163"/>
      <c r="Q323" s="1163"/>
      <c r="R323" s="1163"/>
      <c r="S323" s="1163"/>
      <c r="T323" s="1163"/>
      <c r="U323" s="1163"/>
      <c r="V323" s="1163"/>
      <c r="W323" s="1163"/>
      <c r="X323" s="1163"/>
      <c r="Y323" s="1163"/>
    </row>
    <row r="324" ht="12.75" customHeight="1">
      <c r="A324" s="1184"/>
      <c r="B324" s="1184"/>
      <c r="C324" s="1184"/>
      <c r="D324" s="1184"/>
      <c r="E324" s="1184"/>
      <c r="F324" s="1184"/>
      <c r="G324" s="1184"/>
      <c r="H324" s="1184"/>
      <c r="I324" s="1184"/>
      <c r="J324" s="1184"/>
      <c r="K324" s="1184"/>
      <c r="L324" s="1184"/>
      <c r="M324" s="1184"/>
      <c r="N324" s="1184"/>
      <c r="O324" s="1184"/>
      <c r="P324" s="1163"/>
      <c r="Q324" s="1163"/>
      <c r="R324" s="1163"/>
      <c r="S324" s="1163"/>
      <c r="T324" s="1163"/>
      <c r="U324" s="1163"/>
      <c r="V324" s="1163"/>
      <c r="W324" s="1163"/>
      <c r="X324" s="1163"/>
      <c r="Y324" s="1163"/>
    </row>
    <row r="325" ht="12.75" customHeight="1">
      <c r="A325" s="1184"/>
      <c r="B325" s="1184"/>
      <c r="C325" s="1184"/>
      <c r="D325" s="1184"/>
      <c r="E325" s="1184"/>
      <c r="F325" s="1184"/>
      <c r="G325" s="1184"/>
      <c r="H325" s="1184"/>
      <c r="I325" s="1184"/>
      <c r="J325" s="1184"/>
      <c r="K325" s="1184"/>
      <c r="L325" s="1184"/>
      <c r="M325" s="1184"/>
      <c r="N325" s="1184"/>
      <c r="O325" s="1184"/>
      <c r="P325" s="1163"/>
      <c r="Q325" s="1163"/>
      <c r="R325" s="1163"/>
      <c r="S325" s="1163"/>
      <c r="T325" s="1163"/>
      <c r="U325" s="1163"/>
      <c r="V325" s="1163"/>
      <c r="W325" s="1163"/>
      <c r="X325" s="1163"/>
      <c r="Y325" s="1163"/>
    </row>
    <row r="326" ht="12.75" customHeight="1">
      <c r="A326" s="1184"/>
      <c r="B326" s="1184"/>
      <c r="C326" s="1184"/>
      <c r="D326" s="1184"/>
      <c r="E326" s="1184"/>
      <c r="F326" s="1184"/>
      <c r="G326" s="1184"/>
      <c r="H326" s="1184"/>
      <c r="I326" s="1184"/>
      <c r="J326" s="1184"/>
      <c r="K326" s="1184"/>
      <c r="L326" s="1184"/>
      <c r="M326" s="1184"/>
      <c r="N326" s="1184"/>
      <c r="O326" s="1184"/>
      <c r="P326" s="1163"/>
      <c r="Q326" s="1163"/>
      <c r="R326" s="1163"/>
      <c r="S326" s="1163"/>
      <c r="T326" s="1163"/>
      <c r="U326" s="1163"/>
      <c r="V326" s="1163"/>
      <c r="W326" s="1163"/>
      <c r="X326" s="1163"/>
      <c r="Y326" s="1163"/>
    </row>
    <row r="327" ht="12.75" customHeight="1">
      <c r="A327" s="1184"/>
      <c r="B327" s="1184"/>
      <c r="C327" s="1184"/>
      <c r="D327" s="1184"/>
      <c r="E327" s="1184"/>
      <c r="F327" s="1184"/>
      <c r="G327" s="1184"/>
      <c r="H327" s="1184"/>
      <c r="I327" s="1184"/>
      <c r="J327" s="1184"/>
      <c r="K327" s="1184"/>
      <c r="L327" s="1184"/>
      <c r="M327" s="1184"/>
      <c r="N327" s="1184"/>
      <c r="O327" s="1184"/>
      <c r="P327" s="1163"/>
      <c r="Q327" s="1163"/>
      <c r="R327" s="1163"/>
      <c r="S327" s="1163"/>
      <c r="T327" s="1163"/>
      <c r="U327" s="1163"/>
      <c r="V327" s="1163"/>
      <c r="W327" s="1163"/>
      <c r="X327" s="1163"/>
      <c r="Y327" s="1163"/>
    </row>
    <row r="328" ht="12.75" customHeight="1">
      <c r="A328" s="1184"/>
      <c r="B328" s="1184"/>
      <c r="C328" s="1184"/>
      <c r="D328" s="1184"/>
      <c r="E328" s="1184"/>
      <c r="F328" s="1184"/>
      <c r="G328" s="1184"/>
      <c r="H328" s="1184"/>
      <c r="I328" s="1184"/>
      <c r="J328" s="1184"/>
      <c r="K328" s="1184"/>
      <c r="L328" s="1184"/>
      <c r="M328" s="1184"/>
      <c r="N328" s="1184"/>
      <c r="O328" s="1184"/>
      <c r="P328" s="1163"/>
      <c r="Q328" s="1163"/>
      <c r="R328" s="1163"/>
      <c r="S328" s="1163"/>
      <c r="T328" s="1163"/>
      <c r="U328" s="1163"/>
      <c r="V328" s="1163"/>
      <c r="W328" s="1163"/>
      <c r="X328" s="1163"/>
      <c r="Y328" s="1163"/>
    </row>
    <row r="329" ht="12.75" customHeight="1">
      <c r="A329" s="1184"/>
      <c r="B329" s="1184"/>
      <c r="C329" s="1184"/>
      <c r="D329" s="1184"/>
      <c r="E329" s="1184"/>
      <c r="F329" s="1184"/>
      <c r="G329" s="1184"/>
      <c r="H329" s="1184"/>
      <c r="I329" s="1184"/>
      <c r="J329" s="1184"/>
      <c r="K329" s="1184"/>
      <c r="L329" s="1184"/>
      <c r="M329" s="1184"/>
      <c r="N329" s="1184"/>
      <c r="O329" s="1184"/>
      <c r="P329" s="1163"/>
      <c r="Q329" s="1163"/>
      <c r="R329" s="1163"/>
      <c r="S329" s="1163"/>
      <c r="T329" s="1163"/>
      <c r="U329" s="1163"/>
      <c r="V329" s="1163"/>
      <c r="W329" s="1163"/>
      <c r="X329" s="1163"/>
      <c r="Y329" s="1163"/>
    </row>
    <row r="330" ht="12.75" customHeight="1">
      <c r="A330" s="1184"/>
      <c r="B330" s="1184"/>
      <c r="C330" s="1184"/>
      <c r="D330" s="1184"/>
      <c r="E330" s="1184"/>
      <c r="F330" s="1184"/>
      <c r="G330" s="1184"/>
      <c r="H330" s="1184"/>
      <c r="I330" s="1184"/>
      <c r="J330" s="1184"/>
      <c r="K330" s="1184"/>
      <c r="L330" s="1184"/>
      <c r="M330" s="1184"/>
      <c r="N330" s="1184"/>
      <c r="O330" s="1184"/>
      <c r="P330" s="1163"/>
      <c r="Q330" s="1163"/>
      <c r="R330" s="1163"/>
      <c r="S330" s="1163"/>
      <c r="T330" s="1163"/>
      <c r="U330" s="1163"/>
      <c r="V330" s="1163"/>
      <c r="W330" s="1163"/>
      <c r="X330" s="1163"/>
      <c r="Y330" s="1163"/>
    </row>
    <row r="331" ht="12.75" customHeight="1">
      <c r="A331" s="1184"/>
      <c r="B331" s="1184"/>
      <c r="C331" s="1184"/>
      <c r="D331" s="1184"/>
      <c r="E331" s="1184"/>
      <c r="F331" s="1184"/>
      <c r="G331" s="1184"/>
      <c r="H331" s="1184"/>
      <c r="I331" s="1184"/>
      <c r="J331" s="1184"/>
      <c r="K331" s="1184"/>
      <c r="L331" s="1184"/>
      <c r="M331" s="1184"/>
      <c r="N331" s="1184"/>
      <c r="O331" s="1184"/>
      <c r="P331" s="1163"/>
      <c r="Q331" s="1163"/>
      <c r="R331" s="1163"/>
      <c r="S331" s="1163"/>
      <c r="T331" s="1163"/>
      <c r="U331" s="1163"/>
      <c r="V331" s="1163"/>
      <c r="W331" s="1163"/>
      <c r="X331" s="1163"/>
      <c r="Y331" s="1163"/>
    </row>
    <row r="332" ht="12.75" customHeight="1">
      <c r="A332" s="1184"/>
      <c r="B332" s="1184"/>
      <c r="C332" s="1184"/>
      <c r="D332" s="1184"/>
      <c r="E332" s="1184"/>
      <c r="F332" s="1184"/>
      <c r="G332" s="1184"/>
      <c r="H332" s="1184"/>
      <c r="I332" s="1184"/>
      <c r="J332" s="1184"/>
      <c r="K332" s="1184"/>
      <c r="L332" s="1184"/>
      <c r="M332" s="1184"/>
      <c r="N332" s="1184"/>
      <c r="O332" s="1184"/>
      <c r="P332" s="1163"/>
      <c r="Q332" s="1163"/>
      <c r="R332" s="1163"/>
      <c r="S332" s="1163"/>
      <c r="T332" s="1163"/>
      <c r="U332" s="1163"/>
      <c r="V332" s="1163"/>
      <c r="W332" s="1163"/>
      <c r="X332" s="1163"/>
      <c r="Y332" s="1163"/>
    </row>
    <row r="333" ht="12.75" customHeight="1">
      <c r="A333" s="1184"/>
      <c r="B333" s="1184"/>
      <c r="C333" s="1184"/>
      <c r="D333" s="1184"/>
      <c r="E333" s="1184"/>
      <c r="F333" s="1184"/>
      <c r="G333" s="1184"/>
      <c r="H333" s="1184"/>
      <c r="I333" s="1184"/>
      <c r="J333" s="1184"/>
      <c r="K333" s="1184"/>
      <c r="L333" s="1184"/>
      <c r="M333" s="1184"/>
      <c r="N333" s="1184"/>
      <c r="O333" s="1184"/>
      <c r="P333" s="1163"/>
      <c r="Q333" s="1163"/>
      <c r="R333" s="1163"/>
      <c r="S333" s="1163"/>
      <c r="T333" s="1163"/>
      <c r="U333" s="1163"/>
      <c r="V333" s="1163"/>
      <c r="W333" s="1163"/>
      <c r="X333" s="1163"/>
      <c r="Y333" s="1163"/>
    </row>
    <row r="334" ht="12.75" customHeight="1">
      <c r="A334" s="1184"/>
      <c r="B334" s="1184"/>
      <c r="C334" s="1184"/>
      <c r="D334" s="1184"/>
      <c r="E334" s="1184"/>
      <c r="F334" s="1184"/>
      <c r="G334" s="1184"/>
      <c r="H334" s="1184"/>
      <c r="I334" s="1184"/>
      <c r="J334" s="1184"/>
      <c r="K334" s="1184"/>
      <c r="L334" s="1184"/>
      <c r="M334" s="1184"/>
      <c r="N334" s="1184"/>
      <c r="O334" s="1184"/>
      <c r="P334" s="1163"/>
      <c r="Q334" s="1163"/>
      <c r="R334" s="1163"/>
      <c r="S334" s="1163"/>
      <c r="T334" s="1163"/>
      <c r="U334" s="1163"/>
      <c r="V334" s="1163"/>
      <c r="W334" s="1163"/>
      <c r="X334" s="1163"/>
      <c r="Y334" s="1163"/>
    </row>
    <row r="335" ht="12.75" customHeight="1">
      <c r="A335" s="1184"/>
      <c r="B335" s="1184"/>
      <c r="C335" s="1184"/>
      <c r="D335" s="1184"/>
      <c r="E335" s="1184"/>
      <c r="F335" s="1184"/>
      <c r="G335" s="1184"/>
      <c r="H335" s="1184"/>
      <c r="I335" s="1184"/>
      <c r="J335" s="1184"/>
      <c r="K335" s="1184"/>
      <c r="L335" s="1184"/>
      <c r="M335" s="1184"/>
      <c r="N335" s="1184"/>
      <c r="O335" s="1184"/>
      <c r="P335" s="1163"/>
      <c r="Q335" s="1163"/>
      <c r="R335" s="1163"/>
      <c r="S335" s="1163"/>
      <c r="T335" s="1163"/>
      <c r="U335" s="1163"/>
      <c r="V335" s="1163"/>
      <c r="W335" s="1163"/>
      <c r="X335" s="1163"/>
      <c r="Y335" s="1163"/>
    </row>
    <row r="336" ht="12.75" customHeight="1">
      <c r="A336" s="1184"/>
      <c r="B336" s="1184"/>
      <c r="C336" s="1184"/>
      <c r="D336" s="1184"/>
      <c r="E336" s="1184"/>
      <c r="F336" s="1184"/>
      <c r="G336" s="1184"/>
      <c r="H336" s="1184"/>
      <c r="I336" s="1184"/>
      <c r="J336" s="1184"/>
      <c r="K336" s="1184"/>
      <c r="L336" s="1184"/>
      <c r="M336" s="1184"/>
      <c r="N336" s="1184"/>
      <c r="O336" s="1184"/>
      <c r="P336" s="1163"/>
      <c r="Q336" s="1163"/>
      <c r="R336" s="1163"/>
      <c r="S336" s="1163"/>
      <c r="T336" s="1163"/>
      <c r="U336" s="1163"/>
      <c r="V336" s="1163"/>
      <c r="W336" s="1163"/>
      <c r="X336" s="1163"/>
      <c r="Y336" s="1163"/>
    </row>
    <row r="337" ht="12.75" customHeight="1">
      <c r="A337" s="1184"/>
      <c r="B337" s="1184"/>
      <c r="C337" s="1184"/>
      <c r="D337" s="1184"/>
      <c r="E337" s="1184"/>
      <c r="F337" s="1184"/>
      <c r="G337" s="1184"/>
      <c r="H337" s="1184"/>
      <c r="I337" s="1184"/>
      <c r="J337" s="1184"/>
      <c r="K337" s="1184"/>
      <c r="L337" s="1184"/>
      <c r="M337" s="1184"/>
      <c r="N337" s="1184"/>
      <c r="O337" s="1184"/>
      <c r="P337" s="1163"/>
      <c r="Q337" s="1163"/>
      <c r="R337" s="1163"/>
      <c r="S337" s="1163"/>
      <c r="T337" s="1163"/>
      <c r="U337" s="1163"/>
      <c r="V337" s="1163"/>
      <c r="W337" s="1163"/>
      <c r="X337" s="1163"/>
      <c r="Y337" s="1163"/>
    </row>
    <row r="338" ht="12.75" customHeight="1">
      <c r="A338" s="1184"/>
      <c r="B338" s="1184"/>
      <c r="C338" s="1184"/>
      <c r="D338" s="1184"/>
      <c r="E338" s="1184"/>
      <c r="F338" s="1184"/>
      <c r="G338" s="1184"/>
      <c r="H338" s="1184"/>
      <c r="I338" s="1184"/>
      <c r="J338" s="1184"/>
      <c r="K338" s="1184"/>
      <c r="L338" s="1184"/>
      <c r="M338" s="1184"/>
      <c r="N338" s="1184"/>
      <c r="O338" s="1184"/>
      <c r="P338" s="1163"/>
      <c r="Q338" s="1163"/>
      <c r="R338" s="1163"/>
      <c r="S338" s="1163"/>
      <c r="T338" s="1163"/>
      <c r="U338" s="1163"/>
      <c r="V338" s="1163"/>
      <c r="W338" s="1163"/>
      <c r="X338" s="1163"/>
      <c r="Y338" s="1163"/>
    </row>
    <row r="339" ht="12.75" customHeight="1">
      <c r="A339" s="1184"/>
      <c r="B339" s="1184"/>
      <c r="C339" s="1184"/>
      <c r="D339" s="1184"/>
      <c r="E339" s="1184"/>
      <c r="F339" s="1184"/>
      <c r="G339" s="1184"/>
      <c r="H339" s="1184"/>
      <c r="I339" s="1184"/>
      <c r="J339" s="1184"/>
      <c r="K339" s="1184"/>
      <c r="L339" s="1184"/>
      <c r="M339" s="1184"/>
      <c r="N339" s="1184"/>
      <c r="O339" s="1184"/>
      <c r="P339" s="1163"/>
      <c r="Q339" s="1163"/>
      <c r="R339" s="1163"/>
      <c r="S339" s="1163"/>
      <c r="T339" s="1163"/>
      <c r="U339" s="1163"/>
      <c r="V339" s="1163"/>
      <c r="W339" s="1163"/>
      <c r="X339" s="1163"/>
      <c r="Y339" s="1163"/>
    </row>
    <row r="340" ht="12.75" customHeight="1">
      <c r="A340" s="1184"/>
      <c r="B340" s="1184"/>
      <c r="C340" s="1184"/>
      <c r="D340" s="1184"/>
      <c r="E340" s="1184"/>
      <c r="F340" s="1184"/>
      <c r="G340" s="1184"/>
      <c r="H340" s="1184"/>
      <c r="I340" s="1184"/>
      <c r="J340" s="1184"/>
      <c r="K340" s="1184"/>
      <c r="L340" s="1184"/>
      <c r="M340" s="1184"/>
      <c r="N340" s="1184"/>
      <c r="O340" s="1184"/>
      <c r="P340" s="1163"/>
      <c r="Q340" s="1163"/>
      <c r="R340" s="1163"/>
      <c r="S340" s="1163"/>
      <c r="T340" s="1163"/>
      <c r="U340" s="1163"/>
      <c r="V340" s="1163"/>
      <c r="W340" s="1163"/>
      <c r="X340" s="1163"/>
      <c r="Y340" s="1163"/>
    </row>
    <row r="341" ht="12.75" customHeight="1">
      <c r="A341" s="1184"/>
      <c r="B341" s="1184"/>
      <c r="C341" s="1184"/>
      <c r="D341" s="1184"/>
      <c r="E341" s="1184"/>
      <c r="F341" s="1184"/>
      <c r="G341" s="1184"/>
      <c r="H341" s="1184"/>
      <c r="I341" s="1184"/>
      <c r="J341" s="1184"/>
      <c r="K341" s="1184"/>
      <c r="L341" s="1184"/>
      <c r="M341" s="1184"/>
      <c r="N341" s="1184"/>
      <c r="O341" s="1184"/>
      <c r="P341" s="1163"/>
      <c r="Q341" s="1163"/>
      <c r="R341" s="1163"/>
      <c r="S341" s="1163"/>
      <c r="T341" s="1163"/>
      <c r="U341" s="1163"/>
      <c r="V341" s="1163"/>
      <c r="W341" s="1163"/>
      <c r="X341" s="1163"/>
      <c r="Y341" s="1163"/>
    </row>
    <row r="342" ht="12.75" customHeight="1">
      <c r="A342" s="1184"/>
      <c r="B342" s="1184"/>
      <c r="C342" s="1184"/>
      <c r="D342" s="1184"/>
      <c r="E342" s="1184"/>
      <c r="F342" s="1184"/>
      <c r="G342" s="1184"/>
      <c r="H342" s="1184"/>
      <c r="I342" s="1184"/>
      <c r="J342" s="1184"/>
      <c r="K342" s="1184"/>
      <c r="L342" s="1184"/>
      <c r="M342" s="1184"/>
      <c r="N342" s="1184"/>
      <c r="O342" s="1184"/>
      <c r="P342" s="1163"/>
      <c r="Q342" s="1163"/>
      <c r="R342" s="1163"/>
      <c r="S342" s="1163"/>
      <c r="T342" s="1163"/>
      <c r="U342" s="1163"/>
      <c r="V342" s="1163"/>
      <c r="W342" s="1163"/>
      <c r="X342" s="1163"/>
      <c r="Y342" s="1163"/>
    </row>
    <row r="343" ht="12.75" customHeight="1">
      <c r="A343" s="1184"/>
      <c r="B343" s="1184"/>
      <c r="C343" s="1184"/>
      <c r="D343" s="1184"/>
      <c r="E343" s="1184"/>
      <c r="F343" s="1184"/>
      <c r="G343" s="1184"/>
      <c r="H343" s="1184"/>
      <c r="I343" s="1184"/>
      <c r="J343" s="1184"/>
      <c r="K343" s="1184"/>
      <c r="L343" s="1184"/>
      <c r="M343" s="1184"/>
      <c r="N343" s="1184"/>
      <c r="O343" s="1184"/>
      <c r="P343" s="1163"/>
      <c r="Q343" s="1163"/>
      <c r="R343" s="1163"/>
      <c r="S343" s="1163"/>
      <c r="T343" s="1163"/>
      <c r="U343" s="1163"/>
      <c r="V343" s="1163"/>
      <c r="W343" s="1163"/>
      <c r="X343" s="1163"/>
      <c r="Y343" s="1163"/>
    </row>
    <row r="344" ht="12.75" customHeight="1">
      <c r="A344" s="1184"/>
      <c r="B344" s="1184"/>
      <c r="C344" s="1184"/>
      <c r="D344" s="1184"/>
      <c r="E344" s="1184"/>
      <c r="F344" s="1184"/>
      <c r="G344" s="1184"/>
      <c r="H344" s="1184"/>
      <c r="I344" s="1184"/>
      <c r="J344" s="1184"/>
      <c r="K344" s="1184"/>
      <c r="L344" s="1184"/>
      <c r="M344" s="1184"/>
      <c r="N344" s="1184"/>
      <c r="O344" s="1184"/>
      <c r="P344" s="1163"/>
      <c r="Q344" s="1163"/>
      <c r="R344" s="1163"/>
      <c r="S344" s="1163"/>
      <c r="T344" s="1163"/>
      <c r="U344" s="1163"/>
      <c r="V344" s="1163"/>
      <c r="W344" s="1163"/>
      <c r="X344" s="1163"/>
      <c r="Y344" s="1163"/>
    </row>
    <row r="345" ht="12.75" customHeight="1">
      <c r="A345" s="1184"/>
      <c r="B345" s="1184"/>
      <c r="C345" s="1184"/>
      <c r="D345" s="1184"/>
      <c r="E345" s="1184"/>
      <c r="F345" s="1184"/>
      <c r="G345" s="1184"/>
      <c r="H345" s="1184"/>
      <c r="I345" s="1184"/>
      <c r="J345" s="1184"/>
      <c r="K345" s="1184"/>
      <c r="L345" s="1184"/>
      <c r="M345" s="1184"/>
      <c r="N345" s="1184"/>
      <c r="O345" s="1184"/>
      <c r="P345" s="1163"/>
      <c r="Q345" s="1163"/>
      <c r="R345" s="1163"/>
      <c r="S345" s="1163"/>
      <c r="T345" s="1163"/>
      <c r="U345" s="1163"/>
      <c r="V345" s="1163"/>
      <c r="W345" s="1163"/>
      <c r="X345" s="1163"/>
      <c r="Y345" s="1163"/>
    </row>
    <row r="346" ht="12.75" customHeight="1">
      <c r="A346" s="1184"/>
      <c r="B346" s="1184"/>
      <c r="C346" s="1184"/>
      <c r="D346" s="1184"/>
      <c r="E346" s="1184"/>
      <c r="F346" s="1184"/>
      <c r="G346" s="1184"/>
      <c r="H346" s="1184"/>
      <c r="I346" s="1184"/>
      <c r="J346" s="1184"/>
      <c r="K346" s="1184"/>
      <c r="L346" s="1184"/>
      <c r="M346" s="1184"/>
      <c r="N346" s="1184"/>
      <c r="O346" s="1184"/>
      <c r="P346" s="1163"/>
      <c r="Q346" s="1163"/>
      <c r="R346" s="1163"/>
      <c r="S346" s="1163"/>
      <c r="T346" s="1163"/>
      <c r="U346" s="1163"/>
      <c r="V346" s="1163"/>
      <c r="W346" s="1163"/>
      <c r="X346" s="1163"/>
      <c r="Y346" s="1163"/>
    </row>
    <row r="347" ht="12.75" customHeight="1">
      <c r="A347" s="1184"/>
      <c r="B347" s="1184"/>
      <c r="C347" s="1184"/>
      <c r="D347" s="1184"/>
      <c r="E347" s="1184"/>
      <c r="F347" s="1184"/>
      <c r="G347" s="1184"/>
      <c r="H347" s="1184"/>
      <c r="I347" s="1184"/>
      <c r="J347" s="1184"/>
      <c r="K347" s="1184"/>
      <c r="L347" s="1184"/>
      <c r="M347" s="1184"/>
      <c r="N347" s="1184"/>
      <c r="O347" s="1184"/>
      <c r="P347" s="1163"/>
      <c r="Q347" s="1163"/>
      <c r="R347" s="1163"/>
      <c r="S347" s="1163"/>
      <c r="T347" s="1163"/>
      <c r="U347" s="1163"/>
      <c r="V347" s="1163"/>
      <c r="W347" s="1163"/>
      <c r="X347" s="1163"/>
      <c r="Y347" s="1163"/>
    </row>
    <row r="348" ht="12.75" customHeight="1">
      <c r="A348" s="1184"/>
      <c r="B348" s="1184"/>
      <c r="C348" s="1184"/>
      <c r="D348" s="1184"/>
      <c r="E348" s="1184"/>
      <c r="F348" s="1184"/>
      <c r="G348" s="1184"/>
      <c r="H348" s="1184"/>
      <c r="I348" s="1184"/>
      <c r="J348" s="1184"/>
      <c r="K348" s="1184"/>
      <c r="L348" s="1184"/>
      <c r="M348" s="1184"/>
      <c r="N348" s="1184"/>
      <c r="O348" s="1184"/>
      <c r="P348" s="1163"/>
      <c r="Q348" s="1163"/>
      <c r="R348" s="1163"/>
      <c r="S348" s="1163"/>
      <c r="T348" s="1163"/>
      <c r="U348" s="1163"/>
      <c r="V348" s="1163"/>
      <c r="W348" s="1163"/>
      <c r="X348" s="1163"/>
      <c r="Y348" s="1163"/>
    </row>
    <row r="349" ht="12.75" customHeight="1">
      <c r="A349" s="1184"/>
      <c r="B349" s="1184"/>
      <c r="C349" s="1184"/>
      <c r="D349" s="1184"/>
      <c r="E349" s="1184"/>
      <c r="F349" s="1184"/>
      <c r="G349" s="1184"/>
      <c r="H349" s="1184"/>
      <c r="I349" s="1184"/>
      <c r="J349" s="1184"/>
      <c r="K349" s="1184"/>
      <c r="L349" s="1184"/>
      <c r="M349" s="1184"/>
      <c r="N349" s="1184"/>
      <c r="O349" s="1184"/>
      <c r="P349" s="1163"/>
      <c r="Q349" s="1163"/>
      <c r="R349" s="1163"/>
      <c r="S349" s="1163"/>
      <c r="T349" s="1163"/>
      <c r="U349" s="1163"/>
      <c r="V349" s="1163"/>
      <c r="W349" s="1163"/>
      <c r="X349" s="1163"/>
      <c r="Y349" s="1163"/>
    </row>
    <row r="350" ht="12.75" customHeight="1">
      <c r="A350" s="1184"/>
      <c r="B350" s="1184"/>
      <c r="C350" s="1184"/>
      <c r="D350" s="1184"/>
      <c r="E350" s="1184"/>
      <c r="F350" s="1184"/>
      <c r="G350" s="1184"/>
      <c r="H350" s="1184"/>
      <c r="I350" s="1184"/>
      <c r="J350" s="1184"/>
      <c r="K350" s="1184"/>
      <c r="L350" s="1184"/>
      <c r="M350" s="1184"/>
      <c r="N350" s="1184"/>
      <c r="O350" s="1184"/>
      <c r="P350" s="1163"/>
      <c r="Q350" s="1163"/>
      <c r="R350" s="1163"/>
      <c r="S350" s="1163"/>
      <c r="T350" s="1163"/>
      <c r="U350" s="1163"/>
      <c r="V350" s="1163"/>
      <c r="W350" s="1163"/>
      <c r="X350" s="1163"/>
      <c r="Y350" s="1163"/>
    </row>
    <row r="351" ht="12.75" customHeight="1">
      <c r="A351" s="1184"/>
      <c r="B351" s="1184"/>
      <c r="C351" s="1184"/>
      <c r="D351" s="1184"/>
      <c r="E351" s="1184"/>
      <c r="F351" s="1184"/>
      <c r="G351" s="1184"/>
      <c r="H351" s="1184"/>
      <c r="I351" s="1184"/>
      <c r="J351" s="1184"/>
      <c r="K351" s="1184"/>
      <c r="L351" s="1184"/>
      <c r="M351" s="1184"/>
      <c r="N351" s="1184"/>
      <c r="O351" s="1184"/>
      <c r="P351" s="1163"/>
      <c r="Q351" s="1163"/>
      <c r="R351" s="1163"/>
      <c r="S351" s="1163"/>
      <c r="T351" s="1163"/>
      <c r="U351" s="1163"/>
      <c r="V351" s="1163"/>
      <c r="W351" s="1163"/>
      <c r="X351" s="1163"/>
      <c r="Y351" s="1163"/>
    </row>
    <row r="352" ht="12.75" customHeight="1">
      <c r="A352" s="1184"/>
      <c r="B352" s="1184"/>
      <c r="C352" s="1184"/>
      <c r="D352" s="1184"/>
      <c r="E352" s="1184"/>
      <c r="F352" s="1184"/>
      <c r="G352" s="1184"/>
      <c r="H352" s="1184"/>
      <c r="I352" s="1184"/>
      <c r="J352" s="1184"/>
      <c r="K352" s="1184"/>
      <c r="L352" s="1184"/>
      <c r="M352" s="1184"/>
      <c r="N352" s="1184"/>
      <c r="O352" s="1184"/>
      <c r="P352" s="1163"/>
      <c r="Q352" s="1163"/>
      <c r="R352" s="1163"/>
      <c r="S352" s="1163"/>
      <c r="T352" s="1163"/>
      <c r="U352" s="1163"/>
      <c r="V352" s="1163"/>
      <c r="W352" s="1163"/>
      <c r="X352" s="1163"/>
      <c r="Y352" s="1163"/>
    </row>
    <row r="353" ht="12.75" customHeight="1">
      <c r="A353" s="1184"/>
      <c r="B353" s="1184"/>
      <c r="C353" s="1184"/>
      <c r="D353" s="1184"/>
      <c r="E353" s="1184"/>
      <c r="F353" s="1184"/>
      <c r="G353" s="1184"/>
      <c r="H353" s="1184"/>
      <c r="I353" s="1184"/>
      <c r="J353" s="1184"/>
      <c r="K353" s="1184"/>
      <c r="L353" s="1184"/>
      <c r="M353" s="1184"/>
      <c r="N353" s="1184"/>
      <c r="O353" s="1184"/>
      <c r="P353" s="1163"/>
      <c r="Q353" s="1163"/>
      <c r="R353" s="1163"/>
      <c r="S353" s="1163"/>
      <c r="T353" s="1163"/>
      <c r="U353" s="1163"/>
      <c r="V353" s="1163"/>
      <c r="W353" s="1163"/>
      <c r="X353" s="1163"/>
      <c r="Y353" s="1163"/>
    </row>
    <row r="354" ht="12.75" customHeight="1">
      <c r="A354" s="1184"/>
      <c r="B354" s="1184"/>
      <c r="C354" s="1184"/>
      <c r="D354" s="1184"/>
      <c r="E354" s="1184"/>
      <c r="F354" s="1184"/>
      <c r="G354" s="1184"/>
      <c r="H354" s="1184"/>
      <c r="I354" s="1184"/>
      <c r="J354" s="1184"/>
      <c r="K354" s="1184"/>
      <c r="L354" s="1184"/>
      <c r="M354" s="1184"/>
      <c r="N354" s="1184"/>
      <c r="O354" s="1184"/>
      <c r="P354" s="1163"/>
      <c r="Q354" s="1163"/>
      <c r="R354" s="1163"/>
      <c r="S354" s="1163"/>
      <c r="T354" s="1163"/>
      <c r="U354" s="1163"/>
      <c r="V354" s="1163"/>
      <c r="W354" s="1163"/>
      <c r="X354" s="1163"/>
      <c r="Y354" s="1163"/>
    </row>
    <row r="355" ht="12.75" customHeight="1">
      <c r="A355" s="1184"/>
      <c r="B355" s="1184"/>
      <c r="C355" s="1184"/>
      <c r="D355" s="1184"/>
      <c r="E355" s="1184"/>
      <c r="F355" s="1184"/>
      <c r="G355" s="1184"/>
      <c r="H355" s="1184"/>
      <c r="I355" s="1184"/>
      <c r="J355" s="1184"/>
      <c r="K355" s="1184"/>
      <c r="L355" s="1184"/>
      <c r="M355" s="1184"/>
      <c r="N355" s="1184"/>
      <c r="O355" s="1184"/>
      <c r="P355" s="1163"/>
      <c r="Q355" s="1163"/>
      <c r="R355" s="1163"/>
      <c r="S355" s="1163"/>
      <c r="T355" s="1163"/>
      <c r="U355" s="1163"/>
      <c r="V355" s="1163"/>
      <c r="W355" s="1163"/>
      <c r="X355" s="1163"/>
      <c r="Y355" s="1163"/>
    </row>
    <row r="356" ht="12.75" customHeight="1">
      <c r="A356" s="1184"/>
      <c r="B356" s="1184"/>
      <c r="C356" s="1184"/>
      <c r="D356" s="1184"/>
      <c r="E356" s="1184"/>
      <c r="F356" s="1184"/>
      <c r="G356" s="1184"/>
      <c r="H356" s="1184"/>
      <c r="I356" s="1184"/>
      <c r="J356" s="1184"/>
      <c r="K356" s="1184"/>
      <c r="L356" s="1184"/>
      <c r="M356" s="1184"/>
      <c r="N356" s="1184"/>
      <c r="O356" s="1184"/>
      <c r="P356" s="1163"/>
      <c r="Q356" s="1163"/>
      <c r="R356" s="1163"/>
      <c r="S356" s="1163"/>
      <c r="T356" s="1163"/>
      <c r="U356" s="1163"/>
      <c r="V356" s="1163"/>
      <c r="W356" s="1163"/>
      <c r="X356" s="1163"/>
      <c r="Y356" s="1163"/>
    </row>
    <row r="357" ht="12.75" customHeight="1">
      <c r="A357" s="1184"/>
      <c r="B357" s="1184"/>
      <c r="C357" s="1184"/>
      <c r="D357" s="1184"/>
      <c r="E357" s="1184"/>
      <c r="F357" s="1184"/>
      <c r="G357" s="1184"/>
      <c r="H357" s="1184"/>
      <c r="I357" s="1184"/>
      <c r="J357" s="1184"/>
      <c r="K357" s="1184"/>
      <c r="L357" s="1184"/>
      <c r="M357" s="1184"/>
      <c r="N357" s="1184"/>
      <c r="O357" s="1184"/>
      <c r="P357" s="1163"/>
      <c r="Q357" s="1163"/>
      <c r="R357" s="1163"/>
      <c r="S357" s="1163"/>
      <c r="T357" s="1163"/>
      <c r="U357" s="1163"/>
      <c r="V357" s="1163"/>
      <c r="W357" s="1163"/>
      <c r="X357" s="1163"/>
      <c r="Y357" s="1163"/>
    </row>
    <row r="358" ht="12.75" customHeight="1">
      <c r="A358" s="1184"/>
      <c r="B358" s="1184"/>
      <c r="C358" s="1184"/>
      <c r="D358" s="1184"/>
      <c r="E358" s="1184"/>
      <c r="F358" s="1184"/>
      <c r="G358" s="1184"/>
      <c r="H358" s="1184"/>
      <c r="I358" s="1184"/>
      <c r="J358" s="1184"/>
      <c r="K358" s="1184"/>
      <c r="L358" s="1184"/>
      <c r="M358" s="1184"/>
      <c r="N358" s="1184"/>
      <c r="O358" s="1184"/>
      <c r="P358" s="1163"/>
      <c r="Q358" s="1163"/>
      <c r="R358" s="1163"/>
      <c r="S358" s="1163"/>
      <c r="T358" s="1163"/>
      <c r="U358" s="1163"/>
      <c r="V358" s="1163"/>
      <c r="W358" s="1163"/>
      <c r="X358" s="1163"/>
      <c r="Y358" s="1163"/>
    </row>
    <row r="359" ht="12.75" customHeight="1">
      <c r="A359" s="1184"/>
      <c r="B359" s="1184"/>
      <c r="C359" s="1184"/>
      <c r="D359" s="1184"/>
      <c r="E359" s="1184"/>
      <c r="F359" s="1184"/>
      <c r="G359" s="1184"/>
      <c r="H359" s="1184"/>
      <c r="I359" s="1184"/>
      <c r="J359" s="1184"/>
      <c r="K359" s="1184"/>
      <c r="L359" s="1184"/>
      <c r="M359" s="1184"/>
      <c r="N359" s="1184"/>
      <c r="O359" s="1184"/>
      <c r="P359" s="1163"/>
      <c r="Q359" s="1163"/>
      <c r="R359" s="1163"/>
      <c r="S359" s="1163"/>
      <c r="T359" s="1163"/>
      <c r="U359" s="1163"/>
      <c r="V359" s="1163"/>
      <c r="W359" s="1163"/>
      <c r="X359" s="1163"/>
      <c r="Y359" s="1163"/>
    </row>
    <row r="360" ht="12.75" customHeight="1">
      <c r="A360" s="1184"/>
      <c r="B360" s="1184"/>
      <c r="C360" s="1184"/>
      <c r="D360" s="1184"/>
      <c r="E360" s="1184"/>
      <c r="F360" s="1184"/>
      <c r="G360" s="1184"/>
      <c r="H360" s="1184"/>
      <c r="I360" s="1184"/>
      <c r="J360" s="1184"/>
      <c r="K360" s="1184"/>
      <c r="L360" s="1184"/>
      <c r="M360" s="1184"/>
      <c r="N360" s="1184"/>
      <c r="O360" s="1184"/>
      <c r="P360" s="1163"/>
      <c r="Q360" s="1163"/>
      <c r="R360" s="1163"/>
      <c r="S360" s="1163"/>
      <c r="T360" s="1163"/>
      <c r="U360" s="1163"/>
      <c r="V360" s="1163"/>
      <c r="W360" s="1163"/>
      <c r="X360" s="1163"/>
      <c r="Y360" s="1163"/>
    </row>
    <row r="361" ht="12.75" customHeight="1">
      <c r="A361" s="1184"/>
      <c r="B361" s="1184"/>
      <c r="C361" s="1184"/>
      <c r="D361" s="1184"/>
      <c r="E361" s="1184"/>
      <c r="F361" s="1184"/>
      <c r="G361" s="1184"/>
      <c r="H361" s="1184"/>
      <c r="I361" s="1184"/>
      <c r="J361" s="1184"/>
      <c r="K361" s="1184"/>
      <c r="L361" s="1184"/>
      <c r="M361" s="1184"/>
      <c r="N361" s="1184"/>
      <c r="O361" s="1184"/>
      <c r="P361" s="1163"/>
      <c r="Q361" s="1163"/>
      <c r="R361" s="1163"/>
      <c r="S361" s="1163"/>
      <c r="T361" s="1163"/>
      <c r="U361" s="1163"/>
      <c r="V361" s="1163"/>
      <c r="W361" s="1163"/>
      <c r="X361" s="1163"/>
      <c r="Y361" s="1163"/>
    </row>
    <row r="362" ht="12.75" customHeight="1">
      <c r="A362" s="1184"/>
      <c r="B362" s="1184"/>
      <c r="C362" s="1184"/>
      <c r="D362" s="1184"/>
      <c r="E362" s="1184"/>
      <c r="F362" s="1184"/>
      <c r="G362" s="1184"/>
      <c r="H362" s="1184"/>
      <c r="I362" s="1184"/>
      <c r="J362" s="1184"/>
      <c r="K362" s="1184"/>
      <c r="L362" s="1184"/>
      <c r="M362" s="1184"/>
      <c r="N362" s="1184"/>
      <c r="O362" s="1184"/>
      <c r="P362" s="1163"/>
      <c r="Q362" s="1163"/>
      <c r="R362" s="1163"/>
      <c r="S362" s="1163"/>
      <c r="T362" s="1163"/>
      <c r="U362" s="1163"/>
      <c r="V362" s="1163"/>
      <c r="W362" s="1163"/>
      <c r="X362" s="1163"/>
      <c r="Y362" s="1163"/>
    </row>
    <row r="363" ht="12.75" customHeight="1">
      <c r="A363" s="1184"/>
      <c r="B363" s="1184"/>
      <c r="C363" s="1184"/>
      <c r="D363" s="1184"/>
      <c r="E363" s="1184"/>
      <c r="F363" s="1184"/>
      <c r="G363" s="1184"/>
      <c r="H363" s="1184"/>
      <c r="I363" s="1184"/>
      <c r="J363" s="1184"/>
      <c r="K363" s="1184"/>
      <c r="L363" s="1184"/>
      <c r="M363" s="1184"/>
      <c r="N363" s="1184"/>
      <c r="O363" s="1184"/>
      <c r="P363" s="1163"/>
      <c r="Q363" s="1163"/>
      <c r="R363" s="1163"/>
      <c r="S363" s="1163"/>
      <c r="T363" s="1163"/>
      <c r="U363" s="1163"/>
      <c r="V363" s="1163"/>
      <c r="W363" s="1163"/>
      <c r="X363" s="1163"/>
      <c r="Y363" s="1163"/>
    </row>
    <row r="364" ht="12.75" customHeight="1">
      <c r="A364" s="1184"/>
      <c r="B364" s="1184"/>
      <c r="C364" s="1184"/>
      <c r="D364" s="1184"/>
      <c r="E364" s="1184"/>
      <c r="F364" s="1184"/>
      <c r="G364" s="1184"/>
      <c r="H364" s="1184"/>
      <c r="I364" s="1184"/>
      <c r="J364" s="1184"/>
      <c r="K364" s="1184"/>
      <c r="L364" s="1184"/>
      <c r="M364" s="1184"/>
      <c r="N364" s="1184"/>
      <c r="O364" s="1184"/>
      <c r="P364" s="1163"/>
      <c r="Q364" s="1163"/>
      <c r="R364" s="1163"/>
      <c r="S364" s="1163"/>
      <c r="T364" s="1163"/>
      <c r="U364" s="1163"/>
      <c r="V364" s="1163"/>
      <c r="W364" s="1163"/>
      <c r="X364" s="1163"/>
      <c r="Y364" s="1163"/>
    </row>
    <row r="365" ht="12.75" customHeight="1">
      <c r="A365" s="1184"/>
      <c r="B365" s="1184"/>
      <c r="C365" s="1184"/>
      <c r="D365" s="1184"/>
      <c r="E365" s="1184"/>
      <c r="F365" s="1184"/>
      <c r="G365" s="1184"/>
      <c r="H365" s="1184"/>
      <c r="I365" s="1184"/>
      <c r="J365" s="1184"/>
      <c r="K365" s="1184"/>
      <c r="L365" s="1184"/>
      <c r="M365" s="1184"/>
      <c r="N365" s="1184"/>
      <c r="O365" s="1184"/>
      <c r="P365" s="1163"/>
      <c r="Q365" s="1163"/>
      <c r="R365" s="1163"/>
      <c r="S365" s="1163"/>
      <c r="T365" s="1163"/>
      <c r="U365" s="1163"/>
      <c r="V365" s="1163"/>
      <c r="W365" s="1163"/>
      <c r="X365" s="1163"/>
      <c r="Y365" s="1163"/>
    </row>
    <row r="366" ht="12.75" customHeight="1">
      <c r="A366" s="1184"/>
      <c r="B366" s="1184"/>
      <c r="C366" s="1184"/>
      <c r="D366" s="1184"/>
      <c r="E366" s="1184"/>
      <c r="F366" s="1184"/>
      <c r="G366" s="1184"/>
      <c r="H366" s="1184"/>
      <c r="I366" s="1184"/>
      <c r="J366" s="1184"/>
      <c r="K366" s="1184"/>
      <c r="L366" s="1184"/>
      <c r="M366" s="1184"/>
      <c r="N366" s="1184"/>
      <c r="O366" s="1184"/>
      <c r="P366" s="1163"/>
      <c r="Q366" s="1163"/>
      <c r="R366" s="1163"/>
      <c r="S366" s="1163"/>
      <c r="T366" s="1163"/>
      <c r="U366" s="1163"/>
      <c r="V366" s="1163"/>
      <c r="W366" s="1163"/>
      <c r="X366" s="1163"/>
      <c r="Y366" s="1163"/>
    </row>
    <row r="367" ht="12.75" customHeight="1">
      <c r="A367" s="1184"/>
      <c r="B367" s="1184"/>
      <c r="C367" s="1184"/>
      <c r="D367" s="1184"/>
      <c r="E367" s="1184"/>
      <c r="F367" s="1184"/>
      <c r="G367" s="1184"/>
      <c r="H367" s="1184"/>
      <c r="I367" s="1184"/>
      <c r="J367" s="1184"/>
      <c r="K367" s="1184"/>
      <c r="L367" s="1184"/>
      <c r="M367" s="1184"/>
      <c r="N367" s="1184"/>
      <c r="O367" s="1184"/>
      <c r="P367" s="1163"/>
      <c r="Q367" s="1163"/>
      <c r="R367" s="1163"/>
      <c r="S367" s="1163"/>
      <c r="T367" s="1163"/>
      <c r="U367" s="1163"/>
      <c r="V367" s="1163"/>
      <c r="W367" s="1163"/>
      <c r="X367" s="1163"/>
      <c r="Y367" s="1163"/>
    </row>
    <row r="368" ht="12.75" customHeight="1">
      <c r="A368" s="1184"/>
      <c r="B368" s="1184"/>
      <c r="C368" s="1184"/>
      <c r="D368" s="1184"/>
      <c r="E368" s="1184"/>
      <c r="F368" s="1184"/>
      <c r="G368" s="1184"/>
      <c r="H368" s="1184"/>
      <c r="I368" s="1184"/>
      <c r="J368" s="1184"/>
      <c r="K368" s="1184"/>
      <c r="L368" s="1184"/>
      <c r="M368" s="1184"/>
      <c r="N368" s="1184"/>
      <c r="O368" s="1184"/>
      <c r="P368" s="1163"/>
      <c r="Q368" s="1163"/>
      <c r="R368" s="1163"/>
      <c r="S368" s="1163"/>
      <c r="T368" s="1163"/>
      <c r="U368" s="1163"/>
      <c r="V368" s="1163"/>
      <c r="W368" s="1163"/>
      <c r="X368" s="1163"/>
      <c r="Y368" s="1163"/>
    </row>
    <row r="369" ht="12.75" customHeight="1">
      <c r="A369" s="1184"/>
      <c r="B369" s="1184"/>
      <c r="C369" s="1184"/>
      <c r="D369" s="1184"/>
      <c r="E369" s="1184"/>
      <c r="F369" s="1184"/>
      <c r="G369" s="1184"/>
      <c r="H369" s="1184"/>
      <c r="I369" s="1184"/>
      <c r="J369" s="1184"/>
      <c r="K369" s="1184"/>
      <c r="L369" s="1184"/>
      <c r="M369" s="1184"/>
      <c r="N369" s="1184"/>
      <c r="O369" s="1184"/>
      <c r="P369" s="1163"/>
      <c r="Q369" s="1163"/>
      <c r="R369" s="1163"/>
      <c r="S369" s="1163"/>
      <c r="T369" s="1163"/>
      <c r="U369" s="1163"/>
      <c r="V369" s="1163"/>
      <c r="W369" s="1163"/>
      <c r="X369" s="1163"/>
      <c r="Y369" s="1163"/>
    </row>
    <row r="370" ht="12.75" customHeight="1">
      <c r="A370" s="1184"/>
      <c r="B370" s="1184"/>
      <c r="C370" s="1184"/>
      <c r="D370" s="1184"/>
      <c r="E370" s="1184"/>
      <c r="F370" s="1184"/>
      <c r="G370" s="1184"/>
      <c r="H370" s="1184"/>
      <c r="I370" s="1184"/>
      <c r="J370" s="1184"/>
      <c r="K370" s="1184"/>
      <c r="L370" s="1184"/>
      <c r="M370" s="1184"/>
      <c r="N370" s="1184"/>
      <c r="O370" s="1184"/>
      <c r="P370" s="1163"/>
      <c r="Q370" s="1163"/>
      <c r="R370" s="1163"/>
      <c r="S370" s="1163"/>
      <c r="T370" s="1163"/>
      <c r="U370" s="1163"/>
      <c r="V370" s="1163"/>
      <c r="W370" s="1163"/>
      <c r="X370" s="1163"/>
      <c r="Y370" s="1163"/>
    </row>
    <row r="371" ht="12.75" customHeight="1">
      <c r="A371" s="1184"/>
      <c r="B371" s="1184"/>
      <c r="C371" s="1184"/>
      <c r="D371" s="1184"/>
      <c r="E371" s="1184"/>
      <c r="F371" s="1184"/>
      <c r="G371" s="1184"/>
      <c r="H371" s="1184"/>
      <c r="I371" s="1184"/>
      <c r="J371" s="1184"/>
      <c r="K371" s="1184"/>
      <c r="L371" s="1184"/>
      <c r="M371" s="1184"/>
      <c r="N371" s="1184"/>
      <c r="O371" s="1184"/>
      <c r="P371" s="1163"/>
      <c r="Q371" s="1163"/>
      <c r="R371" s="1163"/>
      <c r="S371" s="1163"/>
      <c r="T371" s="1163"/>
      <c r="U371" s="1163"/>
      <c r="V371" s="1163"/>
      <c r="W371" s="1163"/>
      <c r="X371" s="1163"/>
      <c r="Y371" s="1163"/>
    </row>
    <row r="372" ht="12.75" customHeight="1">
      <c r="A372" s="1184"/>
      <c r="B372" s="1184"/>
      <c r="C372" s="1184"/>
      <c r="D372" s="1184"/>
      <c r="E372" s="1184"/>
      <c r="F372" s="1184"/>
      <c r="G372" s="1184"/>
      <c r="H372" s="1184"/>
      <c r="I372" s="1184"/>
      <c r="J372" s="1184"/>
      <c r="K372" s="1184"/>
      <c r="L372" s="1184"/>
      <c r="M372" s="1184"/>
      <c r="N372" s="1184"/>
      <c r="O372" s="1184"/>
      <c r="P372" s="1163"/>
      <c r="Q372" s="1163"/>
      <c r="R372" s="1163"/>
      <c r="S372" s="1163"/>
      <c r="T372" s="1163"/>
      <c r="U372" s="1163"/>
      <c r="V372" s="1163"/>
      <c r="W372" s="1163"/>
      <c r="X372" s="1163"/>
      <c r="Y372" s="1163"/>
    </row>
    <row r="373" ht="12.75" customHeight="1">
      <c r="A373" s="1184"/>
      <c r="B373" s="1184"/>
      <c r="C373" s="1184"/>
      <c r="D373" s="1184"/>
      <c r="E373" s="1184"/>
      <c r="F373" s="1184"/>
      <c r="G373" s="1184"/>
      <c r="H373" s="1184"/>
      <c r="I373" s="1184"/>
      <c r="J373" s="1184"/>
      <c r="K373" s="1184"/>
      <c r="L373" s="1184"/>
      <c r="M373" s="1184"/>
      <c r="N373" s="1184"/>
      <c r="O373" s="1184"/>
      <c r="P373" s="1163"/>
      <c r="Q373" s="1163"/>
      <c r="R373" s="1163"/>
      <c r="S373" s="1163"/>
      <c r="T373" s="1163"/>
      <c r="U373" s="1163"/>
      <c r="V373" s="1163"/>
      <c r="W373" s="1163"/>
      <c r="X373" s="1163"/>
      <c r="Y373" s="1163"/>
    </row>
    <row r="374" ht="12.75" customHeight="1">
      <c r="A374" s="1184"/>
      <c r="B374" s="1184"/>
      <c r="C374" s="1184"/>
      <c r="D374" s="1184"/>
      <c r="E374" s="1184"/>
      <c r="F374" s="1184"/>
      <c r="G374" s="1184"/>
      <c r="H374" s="1184"/>
      <c r="I374" s="1184"/>
      <c r="J374" s="1184"/>
      <c r="K374" s="1184"/>
      <c r="L374" s="1184"/>
      <c r="M374" s="1184"/>
      <c r="N374" s="1184"/>
      <c r="O374" s="1184"/>
      <c r="P374" s="1163"/>
      <c r="Q374" s="1163"/>
      <c r="R374" s="1163"/>
      <c r="S374" s="1163"/>
      <c r="T374" s="1163"/>
      <c r="U374" s="1163"/>
      <c r="V374" s="1163"/>
      <c r="W374" s="1163"/>
      <c r="X374" s="1163"/>
      <c r="Y374" s="1163"/>
    </row>
    <row r="375" ht="12.75" customHeight="1">
      <c r="A375" s="1184"/>
      <c r="B375" s="1184"/>
      <c r="C375" s="1184"/>
      <c r="D375" s="1184"/>
      <c r="E375" s="1184"/>
      <c r="F375" s="1184"/>
      <c r="G375" s="1184"/>
      <c r="H375" s="1184"/>
      <c r="I375" s="1184"/>
      <c r="J375" s="1184"/>
      <c r="K375" s="1184"/>
      <c r="L375" s="1184"/>
      <c r="M375" s="1184"/>
      <c r="N375" s="1184"/>
      <c r="O375" s="1184"/>
      <c r="P375" s="1163"/>
      <c r="Q375" s="1163"/>
      <c r="R375" s="1163"/>
      <c r="S375" s="1163"/>
      <c r="T375" s="1163"/>
      <c r="U375" s="1163"/>
      <c r="V375" s="1163"/>
      <c r="W375" s="1163"/>
      <c r="X375" s="1163"/>
      <c r="Y375" s="1163"/>
    </row>
    <row r="376" ht="12.75" customHeight="1">
      <c r="A376" s="1184"/>
      <c r="B376" s="1184"/>
      <c r="C376" s="1184"/>
      <c r="D376" s="1184"/>
      <c r="E376" s="1184"/>
      <c r="F376" s="1184"/>
      <c r="G376" s="1184"/>
      <c r="H376" s="1184"/>
      <c r="I376" s="1184"/>
      <c r="J376" s="1184"/>
      <c r="K376" s="1184"/>
      <c r="L376" s="1184"/>
      <c r="M376" s="1184"/>
      <c r="N376" s="1184"/>
      <c r="O376" s="1184"/>
      <c r="P376" s="1163"/>
      <c r="Q376" s="1163"/>
      <c r="R376" s="1163"/>
      <c r="S376" s="1163"/>
      <c r="T376" s="1163"/>
      <c r="U376" s="1163"/>
      <c r="V376" s="1163"/>
      <c r="W376" s="1163"/>
      <c r="X376" s="1163"/>
      <c r="Y376" s="1163"/>
    </row>
    <row r="377" ht="12.75" customHeight="1">
      <c r="A377" s="1184"/>
      <c r="B377" s="1184"/>
      <c r="C377" s="1184"/>
      <c r="D377" s="1184"/>
      <c r="E377" s="1184"/>
      <c r="F377" s="1184"/>
      <c r="G377" s="1184"/>
      <c r="H377" s="1184"/>
      <c r="I377" s="1184"/>
      <c r="J377" s="1184"/>
      <c r="K377" s="1184"/>
      <c r="L377" s="1184"/>
      <c r="M377" s="1184"/>
      <c r="N377" s="1184"/>
      <c r="O377" s="1184"/>
      <c r="P377" s="1163"/>
      <c r="Q377" s="1163"/>
      <c r="R377" s="1163"/>
      <c r="S377" s="1163"/>
      <c r="T377" s="1163"/>
      <c r="U377" s="1163"/>
      <c r="V377" s="1163"/>
      <c r="W377" s="1163"/>
      <c r="X377" s="1163"/>
      <c r="Y377" s="1163"/>
    </row>
    <row r="378" ht="12.75" customHeight="1">
      <c r="A378" s="1184"/>
      <c r="B378" s="1184"/>
      <c r="C378" s="1184"/>
      <c r="D378" s="1184"/>
      <c r="E378" s="1184"/>
      <c r="F378" s="1184"/>
      <c r="G378" s="1184"/>
      <c r="H378" s="1184"/>
      <c r="I378" s="1184"/>
      <c r="J378" s="1184"/>
      <c r="K378" s="1184"/>
      <c r="L378" s="1184"/>
      <c r="M378" s="1184"/>
      <c r="N378" s="1184"/>
      <c r="O378" s="1184"/>
      <c r="P378" s="1163"/>
      <c r="Q378" s="1163"/>
      <c r="R378" s="1163"/>
      <c r="S378" s="1163"/>
      <c r="T378" s="1163"/>
      <c r="U378" s="1163"/>
      <c r="V378" s="1163"/>
      <c r="W378" s="1163"/>
      <c r="X378" s="1163"/>
      <c r="Y378" s="1163"/>
    </row>
    <row r="379" ht="12.75" customHeight="1">
      <c r="A379" s="1184"/>
      <c r="B379" s="1184"/>
      <c r="C379" s="1184"/>
      <c r="D379" s="1184"/>
      <c r="E379" s="1184"/>
      <c r="F379" s="1184"/>
      <c r="G379" s="1184"/>
      <c r="H379" s="1184"/>
      <c r="I379" s="1184"/>
      <c r="J379" s="1184"/>
      <c r="K379" s="1184"/>
      <c r="L379" s="1184"/>
      <c r="M379" s="1184"/>
      <c r="N379" s="1184"/>
      <c r="O379" s="1184"/>
      <c r="P379" s="1163"/>
      <c r="Q379" s="1163"/>
      <c r="R379" s="1163"/>
      <c r="S379" s="1163"/>
      <c r="T379" s="1163"/>
      <c r="U379" s="1163"/>
      <c r="V379" s="1163"/>
      <c r="W379" s="1163"/>
      <c r="X379" s="1163"/>
      <c r="Y379" s="1163"/>
    </row>
    <row r="380" ht="12.75" customHeight="1">
      <c r="A380" s="1184"/>
      <c r="B380" s="1184"/>
      <c r="C380" s="1184"/>
      <c r="D380" s="1184"/>
      <c r="E380" s="1184"/>
      <c r="F380" s="1184"/>
      <c r="G380" s="1184"/>
      <c r="H380" s="1184"/>
      <c r="I380" s="1184"/>
      <c r="J380" s="1184"/>
      <c r="K380" s="1184"/>
      <c r="L380" s="1184"/>
      <c r="M380" s="1184"/>
      <c r="N380" s="1184"/>
      <c r="O380" s="1184"/>
      <c r="P380" s="1163"/>
      <c r="Q380" s="1163"/>
      <c r="R380" s="1163"/>
      <c r="S380" s="1163"/>
      <c r="T380" s="1163"/>
      <c r="U380" s="1163"/>
      <c r="V380" s="1163"/>
      <c r="W380" s="1163"/>
      <c r="X380" s="1163"/>
      <c r="Y380" s="1163"/>
    </row>
    <row r="381" ht="12.75" customHeight="1">
      <c r="A381" s="1184"/>
      <c r="B381" s="1184"/>
      <c r="C381" s="1184"/>
      <c r="D381" s="1184"/>
      <c r="E381" s="1184"/>
      <c r="F381" s="1184"/>
      <c r="G381" s="1184"/>
      <c r="H381" s="1184"/>
      <c r="I381" s="1184"/>
      <c r="J381" s="1184"/>
      <c r="K381" s="1184"/>
      <c r="L381" s="1184"/>
      <c r="M381" s="1184"/>
      <c r="N381" s="1184"/>
      <c r="O381" s="1184"/>
      <c r="P381" s="1163"/>
      <c r="Q381" s="1163"/>
      <c r="R381" s="1163"/>
      <c r="S381" s="1163"/>
      <c r="T381" s="1163"/>
      <c r="U381" s="1163"/>
      <c r="V381" s="1163"/>
      <c r="W381" s="1163"/>
      <c r="X381" s="1163"/>
      <c r="Y381" s="1163"/>
    </row>
    <row r="382" ht="12.75" customHeight="1">
      <c r="A382" s="1184"/>
      <c r="B382" s="1184"/>
      <c r="C382" s="1184"/>
      <c r="D382" s="1184"/>
      <c r="E382" s="1184"/>
      <c r="F382" s="1184"/>
      <c r="G382" s="1184"/>
      <c r="H382" s="1184"/>
      <c r="I382" s="1184"/>
      <c r="J382" s="1184"/>
      <c r="K382" s="1184"/>
      <c r="L382" s="1184"/>
      <c r="M382" s="1184"/>
      <c r="N382" s="1184"/>
      <c r="O382" s="1184"/>
      <c r="P382" s="1163"/>
      <c r="Q382" s="1163"/>
      <c r="R382" s="1163"/>
      <c r="S382" s="1163"/>
      <c r="T382" s="1163"/>
      <c r="U382" s="1163"/>
      <c r="V382" s="1163"/>
      <c r="W382" s="1163"/>
      <c r="X382" s="1163"/>
      <c r="Y382" s="1163"/>
    </row>
    <row r="383" ht="12.75" customHeight="1">
      <c r="A383" s="1184"/>
      <c r="B383" s="1184"/>
      <c r="C383" s="1184"/>
      <c r="D383" s="1184"/>
      <c r="E383" s="1184"/>
      <c r="F383" s="1184"/>
      <c r="G383" s="1184"/>
      <c r="H383" s="1184"/>
      <c r="I383" s="1184"/>
      <c r="J383" s="1184"/>
      <c r="K383" s="1184"/>
      <c r="L383" s="1184"/>
      <c r="M383" s="1184"/>
      <c r="N383" s="1184"/>
      <c r="O383" s="1184"/>
      <c r="P383" s="1163"/>
      <c r="Q383" s="1163"/>
      <c r="R383" s="1163"/>
      <c r="S383" s="1163"/>
      <c r="T383" s="1163"/>
      <c r="U383" s="1163"/>
      <c r="V383" s="1163"/>
      <c r="W383" s="1163"/>
      <c r="X383" s="1163"/>
      <c r="Y383" s="1163"/>
    </row>
    <row r="384" ht="12.75" customHeight="1">
      <c r="A384" s="1184"/>
      <c r="B384" s="1184"/>
      <c r="C384" s="1184"/>
      <c r="D384" s="1184"/>
      <c r="E384" s="1184"/>
      <c r="F384" s="1184"/>
      <c r="G384" s="1184"/>
      <c r="H384" s="1184"/>
      <c r="I384" s="1184"/>
      <c r="J384" s="1184"/>
      <c r="K384" s="1184"/>
      <c r="L384" s="1184"/>
      <c r="M384" s="1184"/>
      <c r="N384" s="1184"/>
      <c r="O384" s="1184"/>
      <c r="P384" s="1163"/>
      <c r="Q384" s="1163"/>
      <c r="R384" s="1163"/>
      <c r="S384" s="1163"/>
      <c r="T384" s="1163"/>
      <c r="U384" s="1163"/>
      <c r="V384" s="1163"/>
      <c r="W384" s="1163"/>
      <c r="X384" s="1163"/>
      <c r="Y384" s="1163"/>
    </row>
    <row r="385" ht="12.75" customHeight="1">
      <c r="A385" s="1184"/>
      <c r="B385" s="1184"/>
      <c r="C385" s="1184"/>
      <c r="D385" s="1184"/>
      <c r="E385" s="1184"/>
      <c r="F385" s="1184"/>
      <c r="G385" s="1184"/>
      <c r="H385" s="1184"/>
      <c r="I385" s="1184"/>
      <c r="J385" s="1184"/>
      <c r="K385" s="1184"/>
      <c r="L385" s="1184"/>
      <c r="M385" s="1184"/>
      <c r="N385" s="1184"/>
      <c r="O385" s="1184"/>
      <c r="P385" s="1163"/>
      <c r="Q385" s="1163"/>
      <c r="R385" s="1163"/>
      <c r="S385" s="1163"/>
      <c r="T385" s="1163"/>
      <c r="U385" s="1163"/>
      <c r="V385" s="1163"/>
      <c r="W385" s="1163"/>
      <c r="X385" s="1163"/>
      <c r="Y385" s="1163"/>
    </row>
    <row r="386" ht="12.75" customHeight="1">
      <c r="A386" s="1184"/>
      <c r="B386" s="1184"/>
      <c r="C386" s="1184"/>
      <c r="D386" s="1184"/>
      <c r="E386" s="1184"/>
      <c r="F386" s="1184"/>
      <c r="G386" s="1184"/>
      <c r="H386" s="1184"/>
      <c r="I386" s="1184"/>
      <c r="J386" s="1184"/>
      <c r="K386" s="1184"/>
      <c r="L386" s="1184"/>
      <c r="M386" s="1184"/>
      <c r="N386" s="1184"/>
      <c r="O386" s="1184"/>
      <c r="P386" s="1163"/>
      <c r="Q386" s="1163"/>
      <c r="R386" s="1163"/>
      <c r="S386" s="1163"/>
      <c r="T386" s="1163"/>
      <c r="U386" s="1163"/>
      <c r="V386" s="1163"/>
      <c r="W386" s="1163"/>
      <c r="X386" s="1163"/>
      <c r="Y386" s="1163"/>
    </row>
    <row r="387" ht="12.75" customHeight="1">
      <c r="A387" s="1184"/>
      <c r="B387" s="1184"/>
      <c r="C387" s="1184"/>
      <c r="D387" s="1184"/>
      <c r="E387" s="1184"/>
      <c r="F387" s="1184"/>
      <c r="G387" s="1184"/>
      <c r="H387" s="1184"/>
      <c r="I387" s="1184"/>
      <c r="J387" s="1184"/>
      <c r="K387" s="1184"/>
      <c r="L387" s="1184"/>
      <c r="M387" s="1184"/>
      <c r="N387" s="1184"/>
      <c r="O387" s="1184"/>
      <c r="P387" s="1163"/>
      <c r="Q387" s="1163"/>
      <c r="R387" s="1163"/>
      <c r="S387" s="1163"/>
      <c r="T387" s="1163"/>
      <c r="U387" s="1163"/>
      <c r="V387" s="1163"/>
      <c r="W387" s="1163"/>
      <c r="X387" s="1163"/>
      <c r="Y387" s="1163"/>
    </row>
    <row r="388" ht="12.75" customHeight="1">
      <c r="A388" s="1184"/>
      <c r="B388" s="1184"/>
      <c r="C388" s="1184"/>
      <c r="D388" s="1184"/>
      <c r="E388" s="1184"/>
      <c r="F388" s="1184"/>
      <c r="G388" s="1184"/>
      <c r="H388" s="1184"/>
      <c r="I388" s="1184"/>
      <c r="J388" s="1184"/>
      <c r="K388" s="1184"/>
      <c r="L388" s="1184"/>
      <c r="M388" s="1184"/>
      <c r="N388" s="1184"/>
      <c r="O388" s="1184"/>
      <c r="P388" s="1163"/>
      <c r="Q388" s="1163"/>
      <c r="R388" s="1163"/>
      <c r="S388" s="1163"/>
      <c r="T388" s="1163"/>
      <c r="U388" s="1163"/>
      <c r="V388" s="1163"/>
      <c r="W388" s="1163"/>
      <c r="X388" s="1163"/>
      <c r="Y388" s="1163"/>
    </row>
    <row r="389" ht="12.75" customHeight="1">
      <c r="A389" s="1184"/>
      <c r="B389" s="1184"/>
      <c r="C389" s="1184"/>
      <c r="D389" s="1184"/>
      <c r="E389" s="1184"/>
      <c r="F389" s="1184"/>
      <c r="G389" s="1184"/>
      <c r="H389" s="1184"/>
      <c r="I389" s="1184"/>
      <c r="J389" s="1184"/>
      <c r="K389" s="1184"/>
      <c r="L389" s="1184"/>
      <c r="M389" s="1184"/>
      <c r="N389" s="1184"/>
      <c r="O389" s="1184"/>
      <c r="P389" s="1163"/>
      <c r="Q389" s="1163"/>
      <c r="R389" s="1163"/>
      <c r="S389" s="1163"/>
      <c r="T389" s="1163"/>
      <c r="U389" s="1163"/>
      <c r="V389" s="1163"/>
      <c r="W389" s="1163"/>
      <c r="X389" s="1163"/>
      <c r="Y389" s="1163"/>
    </row>
    <row r="390" ht="12.75" customHeight="1">
      <c r="A390" s="1184"/>
      <c r="B390" s="1184"/>
      <c r="C390" s="1184"/>
      <c r="D390" s="1184"/>
      <c r="E390" s="1184"/>
      <c r="F390" s="1184"/>
      <c r="G390" s="1184"/>
      <c r="H390" s="1184"/>
      <c r="I390" s="1184"/>
      <c r="J390" s="1184"/>
      <c r="K390" s="1184"/>
      <c r="L390" s="1184"/>
      <c r="M390" s="1184"/>
      <c r="N390" s="1184"/>
      <c r="O390" s="1184"/>
      <c r="P390" s="1163"/>
      <c r="Q390" s="1163"/>
      <c r="R390" s="1163"/>
      <c r="S390" s="1163"/>
      <c r="T390" s="1163"/>
      <c r="U390" s="1163"/>
      <c r="V390" s="1163"/>
      <c r="W390" s="1163"/>
      <c r="X390" s="1163"/>
      <c r="Y390" s="1163"/>
    </row>
    <row r="391" ht="12.75" customHeight="1">
      <c r="A391" s="1184"/>
      <c r="B391" s="1184"/>
      <c r="C391" s="1184"/>
      <c r="D391" s="1184"/>
      <c r="E391" s="1184"/>
      <c r="F391" s="1184"/>
      <c r="G391" s="1184"/>
      <c r="H391" s="1184"/>
      <c r="I391" s="1184"/>
      <c r="J391" s="1184"/>
      <c r="K391" s="1184"/>
      <c r="L391" s="1184"/>
      <c r="M391" s="1184"/>
      <c r="N391" s="1184"/>
      <c r="O391" s="1184"/>
      <c r="P391" s="1163"/>
      <c r="Q391" s="1163"/>
      <c r="R391" s="1163"/>
      <c r="S391" s="1163"/>
      <c r="T391" s="1163"/>
      <c r="U391" s="1163"/>
      <c r="V391" s="1163"/>
      <c r="W391" s="1163"/>
      <c r="X391" s="1163"/>
      <c r="Y391" s="1163"/>
    </row>
    <row r="392" ht="12.75" customHeight="1">
      <c r="A392" s="1184"/>
      <c r="B392" s="1184"/>
      <c r="C392" s="1184"/>
      <c r="D392" s="1184"/>
      <c r="E392" s="1184"/>
      <c r="F392" s="1184"/>
      <c r="G392" s="1184"/>
      <c r="H392" s="1184"/>
      <c r="I392" s="1184"/>
      <c r="J392" s="1184"/>
      <c r="K392" s="1184"/>
      <c r="L392" s="1184"/>
      <c r="M392" s="1184"/>
      <c r="N392" s="1184"/>
      <c r="O392" s="1184"/>
      <c r="P392" s="1163"/>
      <c r="Q392" s="1163"/>
      <c r="R392" s="1163"/>
      <c r="S392" s="1163"/>
      <c r="T392" s="1163"/>
      <c r="U392" s="1163"/>
      <c r="V392" s="1163"/>
      <c r="W392" s="1163"/>
      <c r="X392" s="1163"/>
      <c r="Y392" s="1163"/>
    </row>
    <row r="393" ht="12.75" customHeight="1">
      <c r="A393" s="1184"/>
      <c r="B393" s="1184"/>
      <c r="C393" s="1184"/>
      <c r="D393" s="1184"/>
      <c r="E393" s="1184"/>
      <c r="F393" s="1184"/>
      <c r="G393" s="1184"/>
      <c r="H393" s="1184"/>
      <c r="I393" s="1184"/>
      <c r="J393" s="1184"/>
      <c r="K393" s="1184"/>
      <c r="L393" s="1184"/>
      <c r="M393" s="1184"/>
      <c r="N393" s="1184"/>
      <c r="O393" s="1184"/>
      <c r="P393" s="1163"/>
      <c r="Q393" s="1163"/>
      <c r="R393" s="1163"/>
      <c r="S393" s="1163"/>
      <c r="T393" s="1163"/>
      <c r="U393" s="1163"/>
      <c r="V393" s="1163"/>
      <c r="W393" s="1163"/>
      <c r="X393" s="1163"/>
      <c r="Y393" s="1163"/>
    </row>
    <row r="394" ht="12.75" customHeight="1">
      <c r="A394" s="1184"/>
      <c r="B394" s="1184"/>
      <c r="C394" s="1184"/>
      <c r="D394" s="1184"/>
      <c r="E394" s="1184"/>
      <c r="F394" s="1184"/>
      <c r="G394" s="1184"/>
      <c r="H394" s="1184"/>
      <c r="I394" s="1184"/>
      <c r="J394" s="1184"/>
      <c r="K394" s="1184"/>
      <c r="L394" s="1184"/>
      <c r="M394" s="1184"/>
      <c r="N394" s="1184"/>
      <c r="O394" s="1184"/>
      <c r="P394" s="1163"/>
      <c r="Q394" s="1163"/>
      <c r="R394" s="1163"/>
      <c r="S394" s="1163"/>
      <c r="T394" s="1163"/>
      <c r="U394" s="1163"/>
      <c r="V394" s="1163"/>
      <c r="W394" s="1163"/>
      <c r="X394" s="1163"/>
      <c r="Y394" s="1163"/>
    </row>
    <row r="395" ht="12.75" customHeight="1">
      <c r="A395" s="1184"/>
      <c r="B395" s="1184"/>
      <c r="C395" s="1184"/>
      <c r="D395" s="1184"/>
      <c r="E395" s="1184"/>
      <c r="F395" s="1184"/>
      <c r="G395" s="1184"/>
      <c r="H395" s="1184"/>
      <c r="I395" s="1184"/>
      <c r="J395" s="1184"/>
      <c r="K395" s="1184"/>
      <c r="L395" s="1184"/>
      <c r="M395" s="1184"/>
      <c r="N395" s="1184"/>
      <c r="O395" s="1184"/>
      <c r="P395" s="1163"/>
      <c r="Q395" s="1163"/>
      <c r="R395" s="1163"/>
      <c r="S395" s="1163"/>
      <c r="T395" s="1163"/>
      <c r="U395" s="1163"/>
      <c r="V395" s="1163"/>
      <c r="W395" s="1163"/>
      <c r="X395" s="1163"/>
      <c r="Y395" s="1163"/>
    </row>
    <row r="396" ht="12.75" customHeight="1">
      <c r="A396" s="1184"/>
      <c r="B396" s="1184"/>
      <c r="C396" s="1184"/>
      <c r="D396" s="1184"/>
      <c r="E396" s="1184"/>
      <c r="F396" s="1184"/>
      <c r="G396" s="1184"/>
      <c r="H396" s="1184"/>
      <c r="I396" s="1184"/>
      <c r="J396" s="1184"/>
      <c r="K396" s="1184"/>
      <c r="L396" s="1184"/>
      <c r="M396" s="1184"/>
      <c r="N396" s="1184"/>
      <c r="O396" s="1184"/>
      <c r="P396" s="1163"/>
      <c r="Q396" s="1163"/>
      <c r="R396" s="1163"/>
      <c r="S396" s="1163"/>
      <c r="T396" s="1163"/>
      <c r="U396" s="1163"/>
      <c r="V396" s="1163"/>
      <c r="W396" s="1163"/>
      <c r="X396" s="1163"/>
      <c r="Y396" s="1163"/>
    </row>
    <row r="397" ht="12.75" customHeight="1">
      <c r="A397" s="1184"/>
      <c r="B397" s="1184"/>
      <c r="C397" s="1184"/>
      <c r="D397" s="1184"/>
      <c r="E397" s="1184"/>
      <c r="F397" s="1184"/>
      <c r="G397" s="1184"/>
      <c r="H397" s="1184"/>
      <c r="I397" s="1184"/>
      <c r="J397" s="1184"/>
      <c r="K397" s="1184"/>
      <c r="L397" s="1184"/>
      <c r="M397" s="1184"/>
      <c r="N397" s="1184"/>
      <c r="O397" s="1184"/>
      <c r="P397" s="1163"/>
      <c r="Q397" s="1163"/>
      <c r="R397" s="1163"/>
      <c r="S397" s="1163"/>
      <c r="T397" s="1163"/>
      <c r="U397" s="1163"/>
      <c r="V397" s="1163"/>
      <c r="W397" s="1163"/>
      <c r="X397" s="1163"/>
      <c r="Y397" s="1163"/>
    </row>
    <row r="398" ht="12.75" customHeight="1">
      <c r="A398" s="1184"/>
      <c r="B398" s="1184"/>
      <c r="C398" s="1184"/>
      <c r="D398" s="1184"/>
      <c r="E398" s="1184"/>
      <c r="F398" s="1184"/>
      <c r="G398" s="1184"/>
      <c r="H398" s="1184"/>
      <c r="I398" s="1184"/>
      <c r="J398" s="1184"/>
      <c r="K398" s="1184"/>
      <c r="L398" s="1184"/>
      <c r="M398" s="1184"/>
      <c r="N398" s="1184"/>
      <c r="O398" s="1184"/>
      <c r="P398" s="1163"/>
      <c r="Q398" s="1163"/>
      <c r="R398" s="1163"/>
      <c r="S398" s="1163"/>
      <c r="T398" s="1163"/>
      <c r="U398" s="1163"/>
      <c r="V398" s="1163"/>
      <c r="W398" s="1163"/>
      <c r="X398" s="1163"/>
      <c r="Y398" s="1163"/>
    </row>
    <row r="399" ht="12.75" customHeight="1">
      <c r="A399" s="1184"/>
      <c r="B399" s="1184"/>
      <c r="C399" s="1184"/>
      <c r="D399" s="1184"/>
      <c r="E399" s="1184"/>
      <c r="F399" s="1184"/>
      <c r="G399" s="1184"/>
      <c r="H399" s="1184"/>
      <c r="I399" s="1184"/>
      <c r="J399" s="1184"/>
      <c r="K399" s="1184"/>
      <c r="L399" s="1184"/>
      <c r="M399" s="1184"/>
      <c r="N399" s="1184"/>
      <c r="O399" s="1184"/>
      <c r="P399" s="1163"/>
      <c r="Q399" s="1163"/>
      <c r="R399" s="1163"/>
      <c r="S399" s="1163"/>
      <c r="T399" s="1163"/>
      <c r="U399" s="1163"/>
      <c r="V399" s="1163"/>
      <c r="W399" s="1163"/>
      <c r="X399" s="1163"/>
      <c r="Y399" s="1163"/>
    </row>
    <row r="400" ht="12.75" customHeight="1">
      <c r="A400" s="1184"/>
      <c r="B400" s="1184"/>
      <c r="C400" s="1184"/>
      <c r="D400" s="1184"/>
      <c r="E400" s="1184"/>
      <c r="F400" s="1184"/>
      <c r="G400" s="1184"/>
      <c r="H400" s="1184"/>
      <c r="I400" s="1184"/>
      <c r="J400" s="1184"/>
      <c r="K400" s="1184"/>
      <c r="L400" s="1184"/>
      <c r="M400" s="1184"/>
      <c r="N400" s="1184"/>
      <c r="O400" s="1184"/>
      <c r="P400" s="1163"/>
      <c r="Q400" s="1163"/>
      <c r="R400" s="1163"/>
      <c r="S400" s="1163"/>
      <c r="T400" s="1163"/>
      <c r="U400" s="1163"/>
      <c r="V400" s="1163"/>
      <c r="W400" s="1163"/>
      <c r="X400" s="1163"/>
      <c r="Y400" s="1163"/>
    </row>
    <row r="401" ht="12.75" customHeight="1">
      <c r="A401" s="1184"/>
      <c r="B401" s="1184"/>
      <c r="C401" s="1184"/>
      <c r="D401" s="1184"/>
      <c r="E401" s="1184"/>
      <c r="F401" s="1184"/>
      <c r="G401" s="1184"/>
      <c r="H401" s="1184"/>
      <c r="I401" s="1184"/>
      <c r="J401" s="1184"/>
      <c r="K401" s="1184"/>
      <c r="L401" s="1184"/>
      <c r="M401" s="1184"/>
      <c r="N401" s="1184"/>
      <c r="O401" s="1184"/>
      <c r="P401" s="1163"/>
      <c r="Q401" s="1163"/>
      <c r="R401" s="1163"/>
      <c r="S401" s="1163"/>
      <c r="T401" s="1163"/>
      <c r="U401" s="1163"/>
      <c r="V401" s="1163"/>
      <c r="W401" s="1163"/>
      <c r="X401" s="1163"/>
      <c r="Y401" s="1163"/>
    </row>
    <row r="402" ht="12.75" customHeight="1">
      <c r="A402" s="1184"/>
      <c r="B402" s="1184"/>
      <c r="C402" s="1184"/>
      <c r="D402" s="1184"/>
      <c r="E402" s="1184"/>
      <c r="F402" s="1184"/>
      <c r="G402" s="1184"/>
      <c r="H402" s="1184"/>
      <c r="I402" s="1184"/>
      <c r="J402" s="1184"/>
      <c r="K402" s="1184"/>
      <c r="L402" s="1184"/>
      <c r="M402" s="1184"/>
      <c r="N402" s="1184"/>
      <c r="O402" s="1184"/>
      <c r="P402" s="1163"/>
      <c r="Q402" s="1163"/>
      <c r="R402" s="1163"/>
      <c r="S402" s="1163"/>
      <c r="T402" s="1163"/>
      <c r="U402" s="1163"/>
      <c r="V402" s="1163"/>
      <c r="W402" s="1163"/>
      <c r="X402" s="1163"/>
      <c r="Y402" s="1163"/>
    </row>
    <row r="403" ht="12.75" customHeight="1">
      <c r="A403" s="1184"/>
      <c r="B403" s="1184"/>
      <c r="C403" s="1184"/>
      <c r="D403" s="1184"/>
      <c r="E403" s="1184"/>
      <c r="F403" s="1184"/>
      <c r="G403" s="1184"/>
      <c r="H403" s="1184"/>
      <c r="I403" s="1184"/>
      <c r="J403" s="1184"/>
      <c r="K403" s="1184"/>
      <c r="L403" s="1184"/>
      <c r="M403" s="1184"/>
      <c r="N403" s="1184"/>
      <c r="O403" s="1184"/>
      <c r="P403" s="1163"/>
      <c r="Q403" s="1163"/>
      <c r="R403" s="1163"/>
      <c r="S403" s="1163"/>
      <c r="T403" s="1163"/>
      <c r="U403" s="1163"/>
      <c r="V403" s="1163"/>
      <c r="W403" s="1163"/>
      <c r="X403" s="1163"/>
      <c r="Y403" s="1163"/>
    </row>
    <row r="404" ht="12.75" customHeight="1">
      <c r="A404" s="1184"/>
      <c r="B404" s="1184"/>
      <c r="C404" s="1184"/>
      <c r="D404" s="1184"/>
      <c r="E404" s="1184"/>
      <c r="F404" s="1184"/>
      <c r="G404" s="1184"/>
      <c r="H404" s="1184"/>
      <c r="I404" s="1184"/>
      <c r="J404" s="1184"/>
      <c r="K404" s="1184"/>
      <c r="L404" s="1184"/>
      <c r="M404" s="1184"/>
      <c r="N404" s="1184"/>
      <c r="O404" s="1184"/>
      <c r="P404" s="1163"/>
      <c r="Q404" s="1163"/>
      <c r="R404" s="1163"/>
      <c r="S404" s="1163"/>
      <c r="T404" s="1163"/>
      <c r="U404" s="1163"/>
      <c r="V404" s="1163"/>
      <c r="W404" s="1163"/>
      <c r="X404" s="1163"/>
      <c r="Y404" s="1163"/>
    </row>
    <row r="405" ht="12.75" customHeight="1">
      <c r="A405" s="1184"/>
      <c r="B405" s="1184"/>
      <c r="C405" s="1184"/>
      <c r="D405" s="1184"/>
      <c r="E405" s="1184"/>
      <c r="F405" s="1184"/>
      <c r="G405" s="1184"/>
      <c r="H405" s="1184"/>
      <c r="I405" s="1184"/>
      <c r="J405" s="1184"/>
      <c r="K405" s="1184"/>
      <c r="L405" s="1184"/>
      <c r="M405" s="1184"/>
      <c r="N405" s="1184"/>
      <c r="O405" s="1184"/>
      <c r="P405" s="1163"/>
      <c r="Q405" s="1163"/>
      <c r="R405" s="1163"/>
      <c r="S405" s="1163"/>
      <c r="T405" s="1163"/>
      <c r="U405" s="1163"/>
      <c r="V405" s="1163"/>
      <c r="W405" s="1163"/>
      <c r="X405" s="1163"/>
      <c r="Y405" s="1163"/>
    </row>
    <row r="406" ht="12.75" customHeight="1">
      <c r="A406" s="1184"/>
      <c r="B406" s="1184"/>
      <c r="C406" s="1184"/>
      <c r="D406" s="1184"/>
      <c r="E406" s="1184"/>
      <c r="F406" s="1184"/>
      <c r="G406" s="1184"/>
      <c r="H406" s="1184"/>
      <c r="I406" s="1184"/>
      <c r="J406" s="1184"/>
      <c r="K406" s="1184"/>
      <c r="L406" s="1184"/>
      <c r="M406" s="1184"/>
      <c r="N406" s="1184"/>
      <c r="O406" s="1184"/>
      <c r="P406" s="1163"/>
      <c r="Q406" s="1163"/>
      <c r="R406" s="1163"/>
      <c r="S406" s="1163"/>
      <c r="T406" s="1163"/>
      <c r="U406" s="1163"/>
      <c r="V406" s="1163"/>
      <c r="W406" s="1163"/>
      <c r="X406" s="1163"/>
      <c r="Y406" s="1163"/>
    </row>
    <row r="407" ht="12.75" customHeight="1">
      <c r="A407" s="1184"/>
      <c r="B407" s="1184"/>
      <c r="C407" s="1184"/>
      <c r="D407" s="1184"/>
      <c r="E407" s="1184"/>
      <c r="F407" s="1184"/>
      <c r="G407" s="1184"/>
      <c r="H407" s="1184"/>
      <c r="I407" s="1184"/>
      <c r="J407" s="1184"/>
      <c r="K407" s="1184"/>
      <c r="L407" s="1184"/>
      <c r="M407" s="1184"/>
      <c r="N407" s="1184"/>
      <c r="O407" s="1184"/>
      <c r="P407" s="1163"/>
      <c r="Q407" s="1163"/>
      <c r="R407" s="1163"/>
      <c r="S407" s="1163"/>
      <c r="T407" s="1163"/>
      <c r="U407" s="1163"/>
      <c r="V407" s="1163"/>
      <c r="W407" s="1163"/>
      <c r="X407" s="1163"/>
      <c r="Y407" s="1163"/>
    </row>
    <row r="408" ht="12.75" customHeight="1">
      <c r="A408" s="1184"/>
      <c r="B408" s="1184"/>
      <c r="C408" s="1184"/>
      <c r="D408" s="1184"/>
      <c r="E408" s="1184"/>
      <c r="F408" s="1184"/>
      <c r="G408" s="1184"/>
      <c r="H408" s="1184"/>
      <c r="I408" s="1184"/>
      <c r="J408" s="1184"/>
      <c r="K408" s="1184"/>
      <c r="L408" s="1184"/>
      <c r="M408" s="1184"/>
      <c r="N408" s="1184"/>
      <c r="O408" s="1184"/>
      <c r="P408" s="1163"/>
      <c r="Q408" s="1163"/>
      <c r="R408" s="1163"/>
      <c r="S408" s="1163"/>
      <c r="T408" s="1163"/>
      <c r="U408" s="1163"/>
      <c r="V408" s="1163"/>
      <c r="W408" s="1163"/>
      <c r="X408" s="1163"/>
      <c r="Y408" s="1163"/>
    </row>
    <row r="409" ht="12.75" customHeight="1">
      <c r="A409" s="1184"/>
      <c r="B409" s="1184"/>
      <c r="C409" s="1184"/>
      <c r="D409" s="1184"/>
      <c r="E409" s="1184"/>
      <c r="F409" s="1184"/>
      <c r="G409" s="1184"/>
      <c r="H409" s="1184"/>
      <c r="I409" s="1184"/>
      <c r="J409" s="1184"/>
      <c r="K409" s="1184"/>
      <c r="L409" s="1184"/>
      <c r="M409" s="1184"/>
      <c r="N409" s="1184"/>
      <c r="O409" s="1184"/>
      <c r="P409" s="1163"/>
      <c r="Q409" s="1163"/>
      <c r="R409" s="1163"/>
      <c r="S409" s="1163"/>
      <c r="T409" s="1163"/>
      <c r="U409" s="1163"/>
      <c r="V409" s="1163"/>
      <c r="W409" s="1163"/>
      <c r="X409" s="1163"/>
      <c r="Y409" s="1163"/>
    </row>
    <row r="410" ht="12.75" customHeight="1">
      <c r="A410" s="1184"/>
      <c r="B410" s="1184"/>
      <c r="C410" s="1184"/>
      <c r="D410" s="1184"/>
      <c r="E410" s="1184"/>
      <c r="F410" s="1184"/>
      <c r="G410" s="1184"/>
      <c r="H410" s="1184"/>
      <c r="I410" s="1184"/>
      <c r="J410" s="1184"/>
      <c r="K410" s="1184"/>
      <c r="L410" s="1184"/>
      <c r="M410" s="1184"/>
      <c r="N410" s="1184"/>
      <c r="O410" s="1184"/>
      <c r="P410" s="1163"/>
      <c r="Q410" s="1163"/>
      <c r="R410" s="1163"/>
      <c r="S410" s="1163"/>
      <c r="T410" s="1163"/>
      <c r="U410" s="1163"/>
      <c r="V410" s="1163"/>
      <c r="W410" s="1163"/>
      <c r="X410" s="1163"/>
      <c r="Y410" s="1163"/>
    </row>
    <row r="411" ht="12.75" customHeight="1">
      <c r="A411" s="1184"/>
      <c r="B411" s="1184"/>
      <c r="C411" s="1184"/>
      <c r="D411" s="1184"/>
      <c r="E411" s="1184"/>
      <c r="F411" s="1184"/>
      <c r="G411" s="1184"/>
      <c r="H411" s="1184"/>
      <c r="I411" s="1184"/>
      <c r="J411" s="1184"/>
      <c r="K411" s="1184"/>
      <c r="L411" s="1184"/>
      <c r="M411" s="1184"/>
      <c r="N411" s="1184"/>
      <c r="O411" s="1184"/>
      <c r="P411" s="1163"/>
      <c r="Q411" s="1163"/>
      <c r="R411" s="1163"/>
      <c r="S411" s="1163"/>
      <c r="T411" s="1163"/>
      <c r="U411" s="1163"/>
      <c r="V411" s="1163"/>
      <c r="W411" s="1163"/>
      <c r="X411" s="1163"/>
      <c r="Y411" s="1163"/>
    </row>
    <row r="412" ht="12.75" customHeight="1">
      <c r="A412" s="1184"/>
      <c r="B412" s="1184"/>
      <c r="C412" s="1184"/>
      <c r="D412" s="1184"/>
      <c r="E412" s="1184"/>
      <c r="F412" s="1184"/>
      <c r="G412" s="1184"/>
      <c r="H412" s="1184"/>
      <c r="I412" s="1184"/>
      <c r="J412" s="1184"/>
      <c r="K412" s="1184"/>
      <c r="L412" s="1184"/>
      <c r="M412" s="1184"/>
      <c r="N412" s="1184"/>
      <c r="O412" s="1184"/>
      <c r="P412" s="1163"/>
      <c r="Q412" s="1163"/>
      <c r="R412" s="1163"/>
      <c r="S412" s="1163"/>
      <c r="T412" s="1163"/>
      <c r="U412" s="1163"/>
      <c r="V412" s="1163"/>
      <c r="W412" s="1163"/>
      <c r="X412" s="1163"/>
      <c r="Y412" s="1163"/>
    </row>
    <row r="413" ht="12.75" customHeight="1">
      <c r="A413" s="1184"/>
      <c r="B413" s="1184"/>
      <c r="C413" s="1184"/>
      <c r="D413" s="1184"/>
      <c r="E413" s="1184"/>
      <c r="F413" s="1184"/>
      <c r="G413" s="1184"/>
      <c r="H413" s="1184"/>
      <c r="I413" s="1184"/>
      <c r="J413" s="1184"/>
      <c r="K413" s="1184"/>
      <c r="L413" s="1184"/>
      <c r="M413" s="1184"/>
      <c r="N413" s="1184"/>
      <c r="O413" s="1184"/>
      <c r="P413" s="1163"/>
      <c r="Q413" s="1163"/>
      <c r="R413" s="1163"/>
      <c r="S413" s="1163"/>
      <c r="T413" s="1163"/>
      <c r="U413" s="1163"/>
      <c r="V413" s="1163"/>
      <c r="W413" s="1163"/>
      <c r="X413" s="1163"/>
      <c r="Y413" s="1163"/>
    </row>
    <row r="414" ht="12.75" customHeight="1">
      <c r="A414" s="1184"/>
      <c r="B414" s="1184"/>
      <c r="C414" s="1184"/>
      <c r="D414" s="1184"/>
      <c r="E414" s="1184"/>
      <c r="F414" s="1184"/>
      <c r="G414" s="1184"/>
      <c r="H414" s="1184"/>
      <c r="I414" s="1184"/>
      <c r="J414" s="1184"/>
      <c r="K414" s="1184"/>
      <c r="L414" s="1184"/>
      <c r="M414" s="1184"/>
      <c r="N414" s="1184"/>
      <c r="O414" s="1184"/>
      <c r="P414" s="1163"/>
      <c r="Q414" s="1163"/>
      <c r="R414" s="1163"/>
      <c r="S414" s="1163"/>
      <c r="T414" s="1163"/>
      <c r="U414" s="1163"/>
      <c r="V414" s="1163"/>
      <c r="W414" s="1163"/>
      <c r="X414" s="1163"/>
      <c r="Y414" s="1163"/>
    </row>
    <row r="415" ht="12.75" customHeight="1">
      <c r="A415" s="1184"/>
      <c r="B415" s="1184"/>
      <c r="C415" s="1184"/>
      <c r="D415" s="1184"/>
      <c r="E415" s="1184"/>
      <c r="F415" s="1184"/>
      <c r="G415" s="1184"/>
      <c r="H415" s="1184"/>
      <c r="I415" s="1184"/>
      <c r="J415" s="1184"/>
      <c r="K415" s="1184"/>
      <c r="L415" s="1184"/>
      <c r="M415" s="1184"/>
      <c r="N415" s="1184"/>
      <c r="O415" s="1184"/>
      <c r="P415" s="1163"/>
      <c r="Q415" s="1163"/>
      <c r="R415" s="1163"/>
      <c r="S415" s="1163"/>
      <c r="T415" s="1163"/>
      <c r="U415" s="1163"/>
      <c r="V415" s="1163"/>
      <c r="W415" s="1163"/>
      <c r="X415" s="1163"/>
      <c r="Y415" s="1163"/>
    </row>
    <row r="416" ht="12.75" customHeight="1">
      <c r="A416" s="1184"/>
      <c r="B416" s="1184"/>
      <c r="C416" s="1184"/>
      <c r="D416" s="1184"/>
      <c r="E416" s="1184"/>
      <c r="F416" s="1184"/>
      <c r="G416" s="1184"/>
      <c r="H416" s="1184"/>
      <c r="I416" s="1184"/>
      <c r="J416" s="1184"/>
      <c r="K416" s="1184"/>
      <c r="L416" s="1184"/>
      <c r="M416" s="1184"/>
      <c r="N416" s="1184"/>
      <c r="O416" s="1184"/>
      <c r="P416" s="1163"/>
      <c r="Q416" s="1163"/>
      <c r="R416" s="1163"/>
      <c r="S416" s="1163"/>
      <c r="T416" s="1163"/>
      <c r="U416" s="1163"/>
      <c r="V416" s="1163"/>
      <c r="W416" s="1163"/>
      <c r="X416" s="1163"/>
      <c r="Y416" s="1163"/>
    </row>
    <row r="417" ht="12.75" customHeight="1">
      <c r="A417" s="1184"/>
      <c r="B417" s="1184"/>
      <c r="C417" s="1184"/>
      <c r="D417" s="1184"/>
      <c r="E417" s="1184"/>
      <c r="F417" s="1184"/>
      <c r="G417" s="1184"/>
      <c r="H417" s="1184"/>
      <c r="I417" s="1184"/>
      <c r="J417" s="1184"/>
      <c r="K417" s="1184"/>
      <c r="L417" s="1184"/>
      <c r="M417" s="1184"/>
      <c r="N417" s="1184"/>
      <c r="O417" s="1184"/>
      <c r="P417" s="1163"/>
      <c r="Q417" s="1163"/>
      <c r="R417" s="1163"/>
      <c r="S417" s="1163"/>
      <c r="T417" s="1163"/>
      <c r="U417" s="1163"/>
      <c r="V417" s="1163"/>
      <c r="W417" s="1163"/>
      <c r="X417" s="1163"/>
      <c r="Y417" s="1163"/>
    </row>
    <row r="418" ht="12.75" customHeight="1">
      <c r="A418" s="1184"/>
      <c r="B418" s="1184"/>
      <c r="C418" s="1184"/>
      <c r="D418" s="1184"/>
      <c r="E418" s="1184"/>
      <c r="F418" s="1184"/>
      <c r="G418" s="1184"/>
      <c r="H418" s="1184"/>
      <c r="I418" s="1184"/>
      <c r="J418" s="1184"/>
      <c r="K418" s="1184"/>
      <c r="L418" s="1184"/>
      <c r="M418" s="1184"/>
      <c r="N418" s="1184"/>
      <c r="O418" s="1184"/>
      <c r="P418" s="1163"/>
      <c r="Q418" s="1163"/>
      <c r="R418" s="1163"/>
      <c r="S418" s="1163"/>
      <c r="T418" s="1163"/>
      <c r="U418" s="1163"/>
      <c r="V418" s="1163"/>
      <c r="W418" s="1163"/>
      <c r="X418" s="1163"/>
      <c r="Y418" s="1163"/>
    </row>
    <row r="419" ht="12.75" customHeight="1">
      <c r="A419" s="1184"/>
      <c r="B419" s="1184"/>
      <c r="C419" s="1184"/>
      <c r="D419" s="1184"/>
      <c r="E419" s="1184"/>
      <c r="F419" s="1184"/>
      <c r="G419" s="1184"/>
      <c r="H419" s="1184"/>
      <c r="I419" s="1184"/>
      <c r="J419" s="1184"/>
      <c r="K419" s="1184"/>
      <c r="L419" s="1184"/>
      <c r="M419" s="1184"/>
      <c r="N419" s="1184"/>
      <c r="O419" s="1184"/>
      <c r="P419" s="1163"/>
      <c r="Q419" s="1163"/>
      <c r="R419" s="1163"/>
      <c r="S419" s="1163"/>
      <c r="T419" s="1163"/>
      <c r="U419" s="1163"/>
      <c r="V419" s="1163"/>
      <c r="W419" s="1163"/>
      <c r="X419" s="1163"/>
      <c r="Y419" s="1163"/>
    </row>
    <row r="420" ht="12.75" customHeight="1">
      <c r="A420" s="1184"/>
      <c r="B420" s="1184"/>
      <c r="C420" s="1184"/>
      <c r="D420" s="1184"/>
      <c r="E420" s="1184"/>
      <c r="F420" s="1184"/>
      <c r="G420" s="1184"/>
      <c r="H420" s="1184"/>
      <c r="I420" s="1184"/>
      <c r="J420" s="1184"/>
      <c r="K420" s="1184"/>
      <c r="L420" s="1184"/>
      <c r="M420" s="1184"/>
      <c r="N420" s="1184"/>
      <c r="O420" s="1184"/>
      <c r="P420" s="1163"/>
      <c r="Q420" s="1163"/>
      <c r="R420" s="1163"/>
      <c r="S420" s="1163"/>
      <c r="T420" s="1163"/>
      <c r="U420" s="1163"/>
      <c r="V420" s="1163"/>
      <c r="W420" s="1163"/>
      <c r="X420" s="1163"/>
      <c r="Y420" s="1163"/>
    </row>
    <row r="421" ht="12.75" customHeight="1">
      <c r="A421" s="1184"/>
      <c r="B421" s="1184"/>
      <c r="C421" s="1184"/>
      <c r="D421" s="1184"/>
      <c r="E421" s="1184"/>
      <c r="F421" s="1184"/>
      <c r="G421" s="1184"/>
      <c r="H421" s="1184"/>
      <c r="I421" s="1184"/>
      <c r="J421" s="1184"/>
      <c r="K421" s="1184"/>
      <c r="L421" s="1184"/>
      <c r="M421" s="1184"/>
      <c r="N421" s="1184"/>
      <c r="O421" s="1184"/>
      <c r="P421" s="1163"/>
      <c r="Q421" s="1163"/>
      <c r="R421" s="1163"/>
      <c r="S421" s="1163"/>
      <c r="T421" s="1163"/>
      <c r="U421" s="1163"/>
      <c r="V421" s="1163"/>
      <c r="W421" s="1163"/>
      <c r="X421" s="1163"/>
      <c r="Y421" s="1163"/>
    </row>
    <row r="422" ht="12.75" customHeight="1">
      <c r="A422" s="1184"/>
      <c r="B422" s="1184"/>
      <c r="C422" s="1184"/>
      <c r="D422" s="1184"/>
      <c r="E422" s="1184"/>
      <c r="F422" s="1184"/>
      <c r="G422" s="1184"/>
      <c r="H422" s="1184"/>
      <c r="I422" s="1184"/>
      <c r="J422" s="1184"/>
      <c r="K422" s="1184"/>
      <c r="L422" s="1184"/>
      <c r="M422" s="1184"/>
      <c r="N422" s="1184"/>
      <c r="O422" s="1184"/>
      <c r="P422" s="1163"/>
      <c r="Q422" s="1163"/>
      <c r="R422" s="1163"/>
      <c r="S422" s="1163"/>
      <c r="T422" s="1163"/>
      <c r="U422" s="1163"/>
      <c r="V422" s="1163"/>
      <c r="W422" s="1163"/>
      <c r="X422" s="1163"/>
      <c r="Y422" s="1163"/>
    </row>
    <row r="423" ht="12.75" customHeight="1">
      <c r="A423" s="1184"/>
      <c r="B423" s="1184"/>
      <c r="C423" s="1184"/>
      <c r="D423" s="1184"/>
      <c r="E423" s="1184"/>
      <c r="F423" s="1184"/>
      <c r="G423" s="1184"/>
      <c r="H423" s="1184"/>
      <c r="I423" s="1184"/>
      <c r="J423" s="1184"/>
      <c r="K423" s="1184"/>
      <c r="L423" s="1184"/>
      <c r="M423" s="1184"/>
      <c r="N423" s="1184"/>
      <c r="O423" s="1184"/>
      <c r="P423" s="1163"/>
      <c r="Q423" s="1163"/>
      <c r="R423" s="1163"/>
      <c r="S423" s="1163"/>
      <c r="T423" s="1163"/>
      <c r="U423" s="1163"/>
      <c r="V423" s="1163"/>
      <c r="W423" s="1163"/>
      <c r="X423" s="1163"/>
      <c r="Y423" s="1163"/>
    </row>
    <row r="424" ht="12.75" customHeight="1">
      <c r="A424" s="1184"/>
      <c r="B424" s="1184"/>
      <c r="C424" s="1184"/>
      <c r="D424" s="1184"/>
      <c r="E424" s="1184"/>
      <c r="F424" s="1184"/>
      <c r="G424" s="1184"/>
      <c r="H424" s="1184"/>
      <c r="I424" s="1184"/>
      <c r="J424" s="1184"/>
      <c r="K424" s="1184"/>
      <c r="L424" s="1184"/>
      <c r="M424" s="1184"/>
      <c r="N424" s="1184"/>
      <c r="O424" s="1184"/>
      <c r="P424" s="1163"/>
      <c r="Q424" s="1163"/>
      <c r="R424" s="1163"/>
      <c r="S424" s="1163"/>
      <c r="T424" s="1163"/>
      <c r="U424" s="1163"/>
      <c r="V424" s="1163"/>
      <c r="W424" s="1163"/>
      <c r="X424" s="1163"/>
      <c r="Y424" s="1163"/>
    </row>
    <row r="425" ht="12.75" customHeight="1">
      <c r="A425" s="1184"/>
      <c r="B425" s="1184"/>
      <c r="C425" s="1184"/>
      <c r="D425" s="1184"/>
      <c r="E425" s="1184"/>
      <c r="F425" s="1184"/>
      <c r="G425" s="1184"/>
      <c r="H425" s="1184"/>
      <c r="I425" s="1184"/>
      <c r="J425" s="1184"/>
      <c r="K425" s="1184"/>
      <c r="L425" s="1184"/>
      <c r="M425" s="1184"/>
      <c r="N425" s="1184"/>
      <c r="O425" s="1184"/>
      <c r="P425" s="1163"/>
      <c r="Q425" s="1163"/>
      <c r="R425" s="1163"/>
      <c r="S425" s="1163"/>
      <c r="T425" s="1163"/>
      <c r="U425" s="1163"/>
      <c r="V425" s="1163"/>
      <c r="W425" s="1163"/>
      <c r="X425" s="1163"/>
      <c r="Y425" s="1163"/>
    </row>
    <row r="426" ht="12.75" customHeight="1">
      <c r="A426" s="1184"/>
      <c r="B426" s="1184"/>
      <c r="C426" s="1184"/>
      <c r="D426" s="1184"/>
      <c r="E426" s="1184"/>
      <c r="F426" s="1184"/>
      <c r="G426" s="1184"/>
      <c r="H426" s="1184"/>
      <c r="I426" s="1184"/>
      <c r="J426" s="1184"/>
      <c r="K426" s="1184"/>
      <c r="L426" s="1184"/>
      <c r="M426" s="1184"/>
      <c r="N426" s="1184"/>
      <c r="O426" s="1184"/>
      <c r="P426" s="1163"/>
      <c r="Q426" s="1163"/>
      <c r="R426" s="1163"/>
      <c r="S426" s="1163"/>
      <c r="T426" s="1163"/>
      <c r="U426" s="1163"/>
      <c r="V426" s="1163"/>
      <c r="W426" s="1163"/>
      <c r="X426" s="1163"/>
      <c r="Y426" s="1163"/>
    </row>
    <row r="427" ht="12.75" customHeight="1">
      <c r="A427" s="1184"/>
      <c r="B427" s="1184"/>
      <c r="C427" s="1184"/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184"/>
      <c r="P427" s="1163"/>
      <c r="Q427" s="1163"/>
      <c r="R427" s="1163"/>
      <c r="S427" s="1163"/>
      <c r="T427" s="1163"/>
      <c r="U427" s="1163"/>
      <c r="V427" s="1163"/>
      <c r="W427" s="1163"/>
      <c r="X427" s="1163"/>
      <c r="Y427" s="1163"/>
    </row>
    <row r="428" ht="12.75" customHeight="1">
      <c r="A428" s="1184"/>
      <c r="B428" s="1184"/>
      <c r="C428" s="1184"/>
      <c r="D428" s="1184"/>
      <c r="E428" s="1184"/>
      <c r="F428" s="1184"/>
      <c r="G428" s="1184"/>
      <c r="H428" s="1184"/>
      <c r="I428" s="1184"/>
      <c r="J428" s="1184"/>
      <c r="K428" s="1184"/>
      <c r="L428" s="1184"/>
      <c r="M428" s="1184"/>
      <c r="N428" s="1184"/>
      <c r="O428" s="1184"/>
      <c r="P428" s="1163"/>
      <c r="Q428" s="1163"/>
      <c r="R428" s="1163"/>
      <c r="S428" s="1163"/>
      <c r="T428" s="1163"/>
      <c r="U428" s="1163"/>
      <c r="V428" s="1163"/>
      <c r="W428" s="1163"/>
      <c r="X428" s="1163"/>
      <c r="Y428" s="1163"/>
    </row>
    <row r="429" ht="12.75" customHeight="1">
      <c r="A429" s="1184"/>
      <c r="B429" s="1184"/>
      <c r="C429" s="1184"/>
      <c r="D429" s="1184"/>
      <c r="E429" s="1184"/>
      <c r="F429" s="1184"/>
      <c r="G429" s="1184"/>
      <c r="H429" s="1184"/>
      <c r="I429" s="1184"/>
      <c r="J429" s="1184"/>
      <c r="K429" s="1184"/>
      <c r="L429" s="1184"/>
      <c r="M429" s="1184"/>
      <c r="N429" s="1184"/>
      <c r="O429" s="1184"/>
      <c r="P429" s="1163"/>
      <c r="Q429" s="1163"/>
      <c r="R429" s="1163"/>
      <c r="S429" s="1163"/>
      <c r="T429" s="1163"/>
      <c r="U429" s="1163"/>
      <c r="V429" s="1163"/>
      <c r="W429" s="1163"/>
      <c r="X429" s="1163"/>
      <c r="Y429" s="1163"/>
    </row>
    <row r="430" ht="12.75" customHeight="1">
      <c r="A430" s="1184"/>
      <c r="B430" s="1184"/>
      <c r="C430" s="1184"/>
      <c r="D430" s="1184"/>
      <c r="E430" s="1184"/>
      <c r="F430" s="1184"/>
      <c r="G430" s="1184"/>
      <c r="H430" s="1184"/>
      <c r="I430" s="1184"/>
      <c r="J430" s="1184"/>
      <c r="K430" s="1184"/>
      <c r="L430" s="1184"/>
      <c r="M430" s="1184"/>
      <c r="N430" s="1184"/>
      <c r="O430" s="1184"/>
      <c r="P430" s="1163"/>
      <c r="Q430" s="1163"/>
      <c r="R430" s="1163"/>
      <c r="S430" s="1163"/>
      <c r="T430" s="1163"/>
      <c r="U430" s="1163"/>
      <c r="V430" s="1163"/>
      <c r="W430" s="1163"/>
      <c r="X430" s="1163"/>
      <c r="Y430" s="1163"/>
    </row>
    <row r="431" ht="12.75" customHeight="1">
      <c r="A431" s="1184"/>
      <c r="B431" s="1184"/>
      <c r="C431" s="1184"/>
      <c r="D431" s="1184"/>
      <c r="E431" s="1184"/>
      <c r="F431" s="1184"/>
      <c r="G431" s="1184"/>
      <c r="H431" s="1184"/>
      <c r="I431" s="1184"/>
      <c r="J431" s="1184"/>
      <c r="K431" s="1184"/>
      <c r="L431" s="1184"/>
      <c r="M431" s="1184"/>
      <c r="N431" s="1184"/>
      <c r="O431" s="1184"/>
      <c r="P431" s="1163"/>
      <c r="Q431" s="1163"/>
      <c r="R431" s="1163"/>
      <c r="S431" s="1163"/>
      <c r="T431" s="1163"/>
      <c r="U431" s="1163"/>
      <c r="V431" s="1163"/>
      <c r="W431" s="1163"/>
      <c r="X431" s="1163"/>
      <c r="Y431" s="1163"/>
    </row>
    <row r="432" ht="12.75" customHeight="1">
      <c r="A432" s="1184"/>
      <c r="B432" s="1184"/>
      <c r="C432" s="1184"/>
      <c r="D432" s="1184"/>
      <c r="E432" s="1184"/>
      <c r="F432" s="1184"/>
      <c r="G432" s="1184"/>
      <c r="H432" s="1184"/>
      <c r="I432" s="1184"/>
      <c r="J432" s="1184"/>
      <c r="K432" s="1184"/>
      <c r="L432" s="1184"/>
      <c r="M432" s="1184"/>
      <c r="N432" s="1184"/>
      <c r="O432" s="1184"/>
      <c r="P432" s="1163"/>
      <c r="Q432" s="1163"/>
      <c r="R432" s="1163"/>
      <c r="S432" s="1163"/>
      <c r="T432" s="1163"/>
      <c r="U432" s="1163"/>
      <c r="V432" s="1163"/>
      <c r="W432" s="1163"/>
      <c r="X432" s="1163"/>
      <c r="Y432" s="1163"/>
    </row>
    <row r="433" ht="12.75" customHeight="1">
      <c r="A433" s="1184"/>
      <c r="B433" s="1184"/>
      <c r="C433" s="1184"/>
      <c r="D433" s="1184"/>
      <c r="E433" s="1184"/>
      <c r="F433" s="1184"/>
      <c r="G433" s="1184"/>
      <c r="H433" s="1184"/>
      <c r="I433" s="1184"/>
      <c r="J433" s="1184"/>
      <c r="K433" s="1184"/>
      <c r="L433" s="1184"/>
      <c r="M433" s="1184"/>
      <c r="N433" s="1184"/>
      <c r="O433" s="1184"/>
      <c r="P433" s="1163"/>
      <c r="Q433" s="1163"/>
      <c r="R433" s="1163"/>
      <c r="S433" s="1163"/>
      <c r="T433" s="1163"/>
      <c r="U433" s="1163"/>
      <c r="V433" s="1163"/>
      <c r="W433" s="1163"/>
      <c r="X433" s="1163"/>
      <c r="Y433" s="1163"/>
    </row>
    <row r="434" ht="12.75" customHeight="1">
      <c r="A434" s="1184"/>
      <c r="B434" s="1184"/>
      <c r="C434" s="1184"/>
      <c r="D434" s="1184"/>
      <c r="E434" s="1184"/>
      <c r="F434" s="1184"/>
      <c r="G434" s="1184"/>
      <c r="H434" s="1184"/>
      <c r="I434" s="1184"/>
      <c r="J434" s="1184"/>
      <c r="K434" s="1184"/>
      <c r="L434" s="1184"/>
      <c r="M434" s="1184"/>
      <c r="N434" s="1184"/>
      <c r="O434" s="1184"/>
      <c r="P434" s="1163"/>
      <c r="Q434" s="1163"/>
      <c r="R434" s="1163"/>
      <c r="S434" s="1163"/>
      <c r="T434" s="1163"/>
      <c r="U434" s="1163"/>
      <c r="V434" s="1163"/>
      <c r="W434" s="1163"/>
      <c r="X434" s="1163"/>
      <c r="Y434" s="1163"/>
    </row>
    <row r="435" ht="12.75" customHeight="1">
      <c r="A435" s="1184"/>
      <c r="B435" s="1184"/>
      <c r="C435" s="1184"/>
      <c r="D435" s="1184"/>
      <c r="E435" s="1184"/>
      <c r="F435" s="1184"/>
      <c r="G435" s="1184"/>
      <c r="H435" s="1184"/>
      <c r="I435" s="1184"/>
      <c r="J435" s="1184"/>
      <c r="K435" s="1184"/>
      <c r="L435" s="1184"/>
      <c r="M435" s="1184"/>
      <c r="N435" s="1184"/>
      <c r="O435" s="1184"/>
      <c r="P435" s="1163"/>
      <c r="Q435" s="1163"/>
      <c r="R435" s="1163"/>
      <c r="S435" s="1163"/>
      <c r="T435" s="1163"/>
      <c r="U435" s="1163"/>
      <c r="V435" s="1163"/>
      <c r="W435" s="1163"/>
      <c r="X435" s="1163"/>
      <c r="Y435" s="1163"/>
    </row>
    <row r="436" ht="12.75" customHeight="1">
      <c r="A436" s="1184"/>
      <c r="B436" s="1184"/>
      <c r="C436" s="1184"/>
      <c r="D436" s="1184"/>
      <c r="E436" s="1184"/>
      <c r="F436" s="1184"/>
      <c r="G436" s="1184"/>
      <c r="H436" s="1184"/>
      <c r="I436" s="1184"/>
      <c r="J436" s="1184"/>
      <c r="K436" s="1184"/>
      <c r="L436" s="1184"/>
      <c r="M436" s="1184"/>
      <c r="N436" s="1184"/>
      <c r="O436" s="1184"/>
      <c r="P436" s="1163"/>
      <c r="Q436" s="1163"/>
      <c r="R436" s="1163"/>
      <c r="S436" s="1163"/>
      <c r="T436" s="1163"/>
      <c r="U436" s="1163"/>
      <c r="V436" s="1163"/>
      <c r="W436" s="1163"/>
      <c r="X436" s="1163"/>
      <c r="Y436" s="1163"/>
    </row>
    <row r="437" ht="12.75" customHeight="1">
      <c r="A437" s="1184"/>
      <c r="B437" s="1184"/>
      <c r="C437" s="1184"/>
      <c r="D437" s="1184"/>
      <c r="E437" s="1184"/>
      <c r="F437" s="1184"/>
      <c r="G437" s="1184"/>
      <c r="H437" s="1184"/>
      <c r="I437" s="1184"/>
      <c r="J437" s="1184"/>
      <c r="K437" s="1184"/>
      <c r="L437" s="1184"/>
      <c r="M437" s="1184"/>
      <c r="N437" s="1184"/>
      <c r="O437" s="1184"/>
      <c r="P437" s="1163"/>
      <c r="Q437" s="1163"/>
      <c r="R437" s="1163"/>
      <c r="S437" s="1163"/>
      <c r="T437" s="1163"/>
      <c r="U437" s="1163"/>
      <c r="V437" s="1163"/>
      <c r="W437" s="1163"/>
      <c r="X437" s="1163"/>
      <c r="Y437" s="1163"/>
    </row>
    <row r="438" ht="12.75" customHeight="1">
      <c r="A438" s="1184"/>
      <c r="B438" s="1184"/>
      <c r="C438" s="1184"/>
      <c r="D438" s="1184"/>
      <c r="E438" s="1184"/>
      <c r="F438" s="1184"/>
      <c r="G438" s="1184"/>
      <c r="H438" s="1184"/>
      <c r="I438" s="1184"/>
      <c r="J438" s="1184"/>
      <c r="K438" s="1184"/>
      <c r="L438" s="1184"/>
      <c r="M438" s="1184"/>
      <c r="N438" s="1184"/>
      <c r="O438" s="1184"/>
      <c r="P438" s="1163"/>
      <c r="Q438" s="1163"/>
      <c r="R438" s="1163"/>
      <c r="S438" s="1163"/>
      <c r="T438" s="1163"/>
      <c r="U438" s="1163"/>
      <c r="V438" s="1163"/>
      <c r="W438" s="1163"/>
      <c r="X438" s="1163"/>
      <c r="Y438" s="1163"/>
    </row>
    <row r="439" ht="12.75" customHeight="1">
      <c r="A439" s="1184"/>
      <c r="B439" s="1184"/>
      <c r="C439" s="1184"/>
      <c r="D439" s="1184"/>
      <c r="E439" s="1184"/>
      <c r="F439" s="1184"/>
      <c r="G439" s="1184"/>
      <c r="H439" s="1184"/>
      <c r="I439" s="1184"/>
      <c r="J439" s="1184"/>
      <c r="K439" s="1184"/>
      <c r="L439" s="1184"/>
      <c r="M439" s="1184"/>
      <c r="N439" s="1184"/>
      <c r="O439" s="1184"/>
      <c r="P439" s="1163"/>
      <c r="Q439" s="1163"/>
      <c r="R439" s="1163"/>
      <c r="S439" s="1163"/>
      <c r="T439" s="1163"/>
      <c r="U439" s="1163"/>
      <c r="V439" s="1163"/>
      <c r="W439" s="1163"/>
      <c r="X439" s="1163"/>
      <c r="Y439" s="1163"/>
    </row>
    <row r="440" ht="12.75" customHeight="1">
      <c r="A440" s="1184"/>
      <c r="B440" s="1184"/>
      <c r="C440" s="1184"/>
      <c r="D440" s="1184"/>
      <c r="E440" s="1184"/>
      <c r="F440" s="1184"/>
      <c r="G440" s="1184"/>
      <c r="H440" s="1184"/>
      <c r="I440" s="1184"/>
      <c r="J440" s="1184"/>
      <c r="K440" s="1184"/>
      <c r="L440" s="1184"/>
      <c r="M440" s="1184"/>
      <c r="N440" s="1184"/>
      <c r="O440" s="1184"/>
      <c r="P440" s="1163"/>
      <c r="Q440" s="1163"/>
      <c r="R440" s="1163"/>
      <c r="S440" s="1163"/>
      <c r="T440" s="1163"/>
      <c r="U440" s="1163"/>
      <c r="V440" s="1163"/>
      <c r="W440" s="1163"/>
      <c r="X440" s="1163"/>
      <c r="Y440" s="1163"/>
    </row>
    <row r="441" ht="12.75" customHeight="1">
      <c r="A441" s="1184"/>
      <c r="B441" s="1184"/>
      <c r="C441" s="1184"/>
      <c r="D441" s="1184"/>
      <c r="E441" s="1184"/>
      <c r="F441" s="1184"/>
      <c r="G441" s="1184"/>
      <c r="H441" s="1184"/>
      <c r="I441" s="1184"/>
      <c r="J441" s="1184"/>
      <c r="K441" s="1184"/>
      <c r="L441" s="1184"/>
      <c r="M441" s="1184"/>
      <c r="N441" s="1184"/>
      <c r="O441" s="1184"/>
      <c r="P441" s="1163"/>
      <c r="Q441" s="1163"/>
      <c r="R441" s="1163"/>
      <c r="S441" s="1163"/>
      <c r="T441" s="1163"/>
      <c r="U441" s="1163"/>
      <c r="V441" s="1163"/>
      <c r="W441" s="1163"/>
      <c r="X441" s="1163"/>
      <c r="Y441" s="1163"/>
    </row>
    <row r="442" ht="12.75" customHeight="1">
      <c r="A442" s="1184"/>
      <c r="B442" s="1184"/>
      <c r="C442" s="1184"/>
      <c r="D442" s="1184"/>
      <c r="E442" s="1184"/>
      <c r="F442" s="1184"/>
      <c r="G442" s="1184"/>
      <c r="H442" s="1184"/>
      <c r="I442" s="1184"/>
      <c r="J442" s="1184"/>
      <c r="K442" s="1184"/>
      <c r="L442" s="1184"/>
      <c r="M442" s="1184"/>
      <c r="N442" s="1184"/>
      <c r="O442" s="1184"/>
      <c r="P442" s="1163"/>
      <c r="Q442" s="1163"/>
      <c r="R442" s="1163"/>
      <c r="S442" s="1163"/>
      <c r="T442" s="1163"/>
      <c r="U442" s="1163"/>
      <c r="V442" s="1163"/>
      <c r="W442" s="1163"/>
      <c r="X442" s="1163"/>
      <c r="Y442" s="1163"/>
    </row>
    <row r="443" ht="12.75" customHeight="1">
      <c r="A443" s="1184"/>
      <c r="B443" s="1184"/>
      <c r="C443" s="1184"/>
      <c r="D443" s="1184"/>
      <c r="E443" s="1184"/>
      <c r="F443" s="1184"/>
      <c r="G443" s="1184"/>
      <c r="H443" s="1184"/>
      <c r="I443" s="1184"/>
      <c r="J443" s="1184"/>
      <c r="K443" s="1184"/>
      <c r="L443" s="1184"/>
      <c r="M443" s="1184"/>
      <c r="N443" s="1184"/>
      <c r="O443" s="1184"/>
      <c r="P443" s="1163"/>
      <c r="Q443" s="1163"/>
      <c r="R443" s="1163"/>
      <c r="S443" s="1163"/>
      <c r="T443" s="1163"/>
      <c r="U443" s="1163"/>
      <c r="V443" s="1163"/>
      <c r="W443" s="1163"/>
      <c r="X443" s="1163"/>
      <c r="Y443" s="1163"/>
    </row>
    <row r="444" ht="12.75" customHeight="1">
      <c r="A444" s="1184"/>
      <c r="B444" s="1184"/>
      <c r="C444" s="1184"/>
      <c r="D444" s="1184"/>
      <c r="E444" s="1184"/>
      <c r="F444" s="1184"/>
      <c r="G444" s="1184"/>
      <c r="H444" s="1184"/>
      <c r="I444" s="1184"/>
      <c r="J444" s="1184"/>
      <c r="K444" s="1184"/>
      <c r="L444" s="1184"/>
      <c r="M444" s="1184"/>
      <c r="N444" s="1184"/>
      <c r="O444" s="1184"/>
      <c r="P444" s="1163"/>
      <c r="Q444" s="1163"/>
      <c r="R444" s="1163"/>
      <c r="S444" s="1163"/>
      <c r="T444" s="1163"/>
      <c r="U444" s="1163"/>
      <c r="V444" s="1163"/>
      <c r="W444" s="1163"/>
      <c r="X444" s="1163"/>
      <c r="Y444" s="1163"/>
    </row>
    <row r="445" ht="12.75" customHeight="1">
      <c r="A445" s="1184"/>
      <c r="B445" s="1184"/>
      <c r="C445" s="1184"/>
      <c r="D445" s="1184"/>
      <c r="E445" s="1184"/>
      <c r="F445" s="1184"/>
      <c r="G445" s="1184"/>
      <c r="H445" s="1184"/>
      <c r="I445" s="1184"/>
      <c r="J445" s="1184"/>
      <c r="K445" s="1184"/>
      <c r="L445" s="1184"/>
      <c r="M445" s="1184"/>
      <c r="N445" s="1184"/>
      <c r="O445" s="1184"/>
      <c r="P445" s="1163"/>
      <c r="Q445" s="1163"/>
      <c r="R445" s="1163"/>
      <c r="S445" s="1163"/>
      <c r="T445" s="1163"/>
      <c r="U445" s="1163"/>
      <c r="V445" s="1163"/>
      <c r="W445" s="1163"/>
      <c r="X445" s="1163"/>
      <c r="Y445" s="1163"/>
    </row>
    <row r="446" ht="12.75" customHeight="1">
      <c r="A446" s="1184"/>
      <c r="B446" s="1184"/>
      <c r="C446" s="1184"/>
      <c r="D446" s="1184"/>
      <c r="E446" s="1184"/>
      <c r="F446" s="1184"/>
      <c r="G446" s="1184"/>
      <c r="H446" s="1184"/>
      <c r="I446" s="1184"/>
      <c r="J446" s="1184"/>
      <c r="K446" s="1184"/>
      <c r="L446" s="1184"/>
      <c r="M446" s="1184"/>
      <c r="N446" s="1184"/>
      <c r="O446" s="1184"/>
      <c r="P446" s="1163"/>
      <c r="Q446" s="1163"/>
      <c r="R446" s="1163"/>
      <c r="S446" s="1163"/>
      <c r="T446" s="1163"/>
      <c r="U446" s="1163"/>
      <c r="V446" s="1163"/>
      <c r="W446" s="1163"/>
      <c r="X446" s="1163"/>
      <c r="Y446" s="1163"/>
    </row>
    <row r="447" ht="12.75" customHeight="1">
      <c r="A447" s="1184"/>
      <c r="B447" s="1184"/>
      <c r="C447" s="1184"/>
      <c r="D447" s="1184"/>
      <c r="E447" s="1184"/>
      <c r="F447" s="1184"/>
      <c r="G447" s="1184"/>
      <c r="H447" s="1184"/>
      <c r="I447" s="1184"/>
      <c r="J447" s="1184"/>
      <c r="K447" s="1184"/>
      <c r="L447" s="1184"/>
      <c r="M447" s="1184"/>
      <c r="N447" s="1184"/>
      <c r="O447" s="1184"/>
      <c r="P447" s="1163"/>
      <c r="Q447" s="1163"/>
      <c r="R447" s="1163"/>
      <c r="S447" s="1163"/>
      <c r="T447" s="1163"/>
      <c r="U447" s="1163"/>
      <c r="V447" s="1163"/>
      <c r="W447" s="1163"/>
      <c r="X447" s="1163"/>
      <c r="Y447" s="1163"/>
    </row>
    <row r="448" ht="12.75" customHeight="1">
      <c r="A448" s="1184"/>
      <c r="B448" s="1184"/>
      <c r="C448" s="1184"/>
      <c r="D448" s="1184"/>
      <c r="E448" s="1184"/>
      <c r="F448" s="1184"/>
      <c r="G448" s="1184"/>
      <c r="H448" s="1184"/>
      <c r="I448" s="1184"/>
      <c r="J448" s="1184"/>
      <c r="K448" s="1184"/>
      <c r="L448" s="1184"/>
      <c r="M448" s="1184"/>
      <c r="N448" s="1184"/>
      <c r="O448" s="1184"/>
      <c r="P448" s="1163"/>
      <c r="Q448" s="1163"/>
      <c r="R448" s="1163"/>
      <c r="S448" s="1163"/>
      <c r="T448" s="1163"/>
      <c r="U448" s="1163"/>
      <c r="V448" s="1163"/>
      <c r="W448" s="1163"/>
      <c r="X448" s="1163"/>
      <c r="Y448" s="1163"/>
    </row>
    <row r="449" ht="12.75" customHeight="1">
      <c r="A449" s="1184"/>
      <c r="B449" s="1184"/>
      <c r="C449" s="1184"/>
      <c r="D449" s="1184"/>
      <c r="E449" s="1184"/>
      <c r="F449" s="1184"/>
      <c r="G449" s="1184"/>
      <c r="H449" s="1184"/>
      <c r="I449" s="1184"/>
      <c r="J449" s="1184"/>
      <c r="K449" s="1184"/>
      <c r="L449" s="1184"/>
      <c r="M449" s="1184"/>
      <c r="N449" s="1184"/>
      <c r="O449" s="1184"/>
      <c r="P449" s="1163"/>
      <c r="Q449" s="1163"/>
      <c r="R449" s="1163"/>
      <c r="S449" s="1163"/>
      <c r="T449" s="1163"/>
      <c r="U449" s="1163"/>
      <c r="V449" s="1163"/>
      <c r="W449" s="1163"/>
      <c r="X449" s="1163"/>
      <c r="Y449" s="1163"/>
    </row>
    <row r="450" ht="12.75" customHeight="1">
      <c r="A450" s="1184"/>
      <c r="B450" s="1184"/>
      <c r="C450" s="1184"/>
      <c r="D450" s="1184"/>
      <c r="E450" s="1184"/>
      <c r="F450" s="1184"/>
      <c r="G450" s="1184"/>
      <c r="H450" s="1184"/>
      <c r="I450" s="1184"/>
      <c r="J450" s="1184"/>
      <c r="K450" s="1184"/>
      <c r="L450" s="1184"/>
      <c r="M450" s="1184"/>
      <c r="N450" s="1184"/>
      <c r="O450" s="1184"/>
      <c r="P450" s="1163"/>
      <c r="Q450" s="1163"/>
      <c r="R450" s="1163"/>
      <c r="S450" s="1163"/>
      <c r="T450" s="1163"/>
      <c r="U450" s="1163"/>
      <c r="V450" s="1163"/>
      <c r="W450" s="1163"/>
      <c r="X450" s="1163"/>
      <c r="Y450" s="1163"/>
    </row>
    <row r="451" ht="12.75" customHeight="1">
      <c r="A451" s="1184"/>
      <c r="B451" s="1184"/>
      <c r="C451" s="1184"/>
      <c r="D451" s="1184"/>
      <c r="E451" s="1184"/>
      <c r="F451" s="1184"/>
      <c r="G451" s="1184"/>
      <c r="H451" s="1184"/>
      <c r="I451" s="1184"/>
      <c r="J451" s="1184"/>
      <c r="K451" s="1184"/>
      <c r="L451" s="1184"/>
      <c r="M451" s="1184"/>
      <c r="N451" s="1184"/>
      <c r="O451" s="1184"/>
      <c r="P451" s="1163"/>
      <c r="Q451" s="1163"/>
      <c r="R451" s="1163"/>
      <c r="S451" s="1163"/>
      <c r="T451" s="1163"/>
      <c r="U451" s="1163"/>
      <c r="V451" s="1163"/>
      <c r="W451" s="1163"/>
      <c r="X451" s="1163"/>
      <c r="Y451" s="1163"/>
    </row>
    <row r="452" ht="12.75" customHeight="1">
      <c r="A452" s="1184"/>
      <c r="B452" s="1184"/>
      <c r="C452" s="1184"/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163"/>
      <c r="Q452" s="1163"/>
      <c r="R452" s="1163"/>
      <c r="S452" s="1163"/>
      <c r="T452" s="1163"/>
      <c r="U452" s="1163"/>
      <c r="V452" s="1163"/>
      <c r="W452" s="1163"/>
      <c r="X452" s="1163"/>
      <c r="Y452" s="1163"/>
    </row>
    <row r="453" ht="12.75" customHeight="1">
      <c r="A453" s="1184"/>
      <c r="B453" s="1184"/>
      <c r="C453" s="1184"/>
      <c r="D453" s="1184"/>
      <c r="E453" s="1184"/>
      <c r="F453" s="1184"/>
      <c r="G453" s="1184"/>
      <c r="H453" s="1184"/>
      <c r="I453" s="1184"/>
      <c r="J453" s="1184"/>
      <c r="K453" s="1184"/>
      <c r="L453" s="1184"/>
      <c r="M453" s="1184"/>
      <c r="N453" s="1184"/>
      <c r="O453" s="1184"/>
      <c r="P453" s="1163"/>
      <c r="Q453" s="1163"/>
      <c r="R453" s="1163"/>
      <c r="S453" s="1163"/>
      <c r="T453" s="1163"/>
      <c r="U453" s="1163"/>
      <c r="V453" s="1163"/>
      <c r="W453" s="1163"/>
      <c r="X453" s="1163"/>
      <c r="Y453" s="1163"/>
    </row>
    <row r="454" ht="12.75" customHeight="1">
      <c r="A454" s="1184"/>
      <c r="B454" s="1184"/>
      <c r="C454" s="1184"/>
      <c r="D454" s="1184"/>
      <c r="E454" s="1184"/>
      <c r="F454" s="1184"/>
      <c r="G454" s="1184"/>
      <c r="H454" s="1184"/>
      <c r="I454" s="1184"/>
      <c r="J454" s="1184"/>
      <c r="K454" s="1184"/>
      <c r="L454" s="1184"/>
      <c r="M454" s="1184"/>
      <c r="N454" s="1184"/>
      <c r="O454" s="1184"/>
      <c r="P454" s="1163"/>
      <c r="Q454" s="1163"/>
      <c r="R454" s="1163"/>
      <c r="S454" s="1163"/>
      <c r="T454" s="1163"/>
      <c r="U454" s="1163"/>
      <c r="V454" s="1163"/>
      <c r="W454" s="1163"/>
      <c r="X454" s="1163"/>
      <c r="Y454" s="1163"/>
    </row>
    <row r="455" ht="12.75" customHeight="1">
      <c r="A455" s="1184"/>
      <c r="B455" s="1184"/>
      <c r="C455" s="1184"/>
      <c r="D455" s="1184"/>
      <c r="E455" s="1184"/>
      <c r="F455" s="1184"/>
      <c r="G455" s="1184"/>
      <c r="H455" s="1184"/>
      <c r="I455" s="1184"/>
      <c r="J455" s="1184"/>
      <c r="K455" s="1184"/>
      <c r="L455" s="1184"/>
      <c r="M455" s="1184"/>
      <c r="N455" s="1184"/>
      <c r="O455" s="1184"/>
      <c r="P455" s="1163"/>
      <c r="Q455" s="1163"/>
      <c r="R455" s="1163"/>
      <c r="S455" s="1163"/>
      <c r="T455" s="1163"/>
      <c r="U455" s="1163"/>
      <c r="V455" s="1163"/>
      <c r="W455" s="1163"/>
      <c r="X455" s="1163"/>
      <c r="Y455" s="1163"/>
    </row>
    <row r="456" ht="12.75" customHeight="1">
      <c r="A456" s="1184"/>
      <c r="B456" s="1184"/>
      <c r="C456" s="1184"/>
      <c r="D456" s="1184"/>
      <c r="E456" s="1184"/>
      <c r="F456" s="1184"/>
      <c r="G456" s="1184"/>
      <c r="H456" s="1184"/>
      <c r="I456" s="1184"/>
      <c r="J456" s="1184"/>
      <c r="K456" s="1184"/>
      <c r="L456" s="1184"/>
      <c r="M456" s="1184"/>
      <c r="N456" s="1184"/>
      <c r="O456" s="1184"/>
      <c r="P456" s="1163"/>
      <c r="Q456" s="1163"/>
      <c r="R456" s="1163"/>
      <c r="S456" s="1163"/>
      <c r="T456" s="1163"/>
      <c r="U456" s="1163"/>
      <c r="V456" s="1163"/>
      <c r="W456" s="1163"/>
      <c r="X456" s="1163"/>
      <c r="Y456" s="1163"/>
    </row>
    <row r="457" ht="12.75" customHeight="1">
      <c r="A457" s="1184"/>
      <c r="B457" s="1184"/>
      <c r="C457" s="1184"/>
      <c r="D457" s="1184"/>
      <c r="E457" s="1184"/>
      <c r="F457" s="1184"/>
      <c r="G457" s="1184"/>
      <c r="H457" s="1184"/>
      <c r="I457" s="1184"/>
      <c r="J457" s="1184"/>
      <c r="K457" s="1184"/>
      <c r="L457" s="1184"/>
      <c r="M457" s="1184"/>
      <c r="N457" s="1184"/>
      <c r="O457" s="1184"/>
      <c r="P457" s="1163"/>
      <c r="Q457" s="1163"/>
      <c r="R457" s="1163"/>
      <c r="S457" s="1163"/>
      <c r="T457" s="1163"/>
      <c r="U457" s="1163"/>
      <c r="V457" s="1163"/>
      <c r="W457" s="1163"/>
      <c r="X457" s="1163"/>
      <c r="Y457" s="1163"/>
    </row>
    <row r="458" ht="12.75" customHeight="1">
      <c r="A458" s="1184"/>
      <c r="B458" s="1184"/>
      <c r="C458" s="1184"/>
      <c r="D458" s="1184"/>
      <c r="E458" s="1184"/>
      <c r="F458" s="1184"/>
      <c r="G458" s="1184"/>
      <c r="H458" s="1184"/>
      <c r="I458" s="1184"/>
      <c r="J458" s="1184"/>
      <c r="K458" s="1184"/>
      <c r="L458" s="1184"/>
      <c r="M458" s="1184"/>
      <c r="N458" s="1184"/>
      <c r="O458" s="1184"/>
      <c r="P458" s="1163"/>
      <c r="Q458" s="1163"/>
      <c r="R458" s="1163"/>
      <c r="S458" s="1163"/>
      <c r="T458" s="1163"/>
      <c r="U458" s="1163"/>
      <c r="V458" s="1163"/>
      <c r="W458" s="1163"/>
      <c r="X458" s="1163"/>
      <c r="Y458" s="1163"/>
    </row>
    <row r="459" ht="12.75" customHeight="1">
      <c r="A459" s="1184"/>
      <c r="B459" s="1184"/>
      <c r="C459" s="1184"/>
      <c r="D459" s="1184"/>
      <c r="E459" s="1184"/>
      <c r="F459" s="1184"/>
      <c r="G459" s="1184"/>
      <c r="H459" s="1184"/>
      <c r="I459" s="1184"/>
      <c r="J459" s="1184"/>
      <c r="K459" s="1184"/>
      <c r="L459" s="1184"/>
      <c r="M459" s="1184"/>
      <c r="N459" s="1184"/>
      <c r="O459" s="1184"/>
      <c r="P459" s="1163"/>
      <c r="Q459" s="1163"/>
      <c r="R459" s="1163"/>
      <c r="S459" s="1163"/>
      <c r="T459" s="1163"/>
      <c r="U459" s="1163"/>
      <c r="V459" s="1163"/>
      <c r="W459" s="1163"/>
      <c r="X459" s="1163"/>
      <c r="Y459" s="1163"/>
    </row>
    <row r="460" ht="12.75" customHeight="1">
      <c r="A460" s="1184"/>
      <c r="B460" s="1184"/>
      <c r="C460" s="1184"/>
      <c r="D460" s="1184"/>
      <c r="E460" s="1184"/>
      <c r="F460" s="1184"/>
      <c r="G460" s="1184"/>
      <c r="H460" s="1184"/>
      <c r="I460" s="1184"/>
      <c r="J460" s="1184"/>
      <c r="K460" s="1184"/>
      <c r="L460" s="1184"/>
      <c r="M460" s="1184"/>
      <c r="N460" s="1184"/>
      <c r="O460" s="1184"/>
      <c r="P460" s="1163"/>
      <c r="Q460" s="1163"/>
      <c r="R460" s="1163"/>
      <c r="S460" s="1163"/>
      <c r="T460" s="1163"/>
      <c r="U460" s="1163"/>
      <c r="V460" s="1163"/>
      <c r="W460" s="1163"/>
      <c r="X460" s="1163"/>
      <c r="Y460" s="1163"/>
    </row>
    <row r="461" ht="12.75" customHeight="1">
      <c r="A461" s="1184"/>
      <c r="B461" s="1184"/>
      <c r="C461" s="1184"/>
      <c r="D461" s="1184"/>
      <c r="E461" s="1184"/>
      <c r="F461" s="1184"/>
      <c r="G461" s="1184"/>
      <c r="H461" s="1184"/>
      <c r="I461" s="1184"/>
      <c r="J461" s="1184"/>
      <c r="K461" s="1184"/>
      <c r="L461" s="1184"/>
      <c r="M461" s="1184"/>
      <c r="N461" s="1184"/>
      <c r="O461" s="1184"/>
      <c r="P461" s="1163"/>
      <c r="Q461" s="1163"/>
      <c r="R461" s="1163"/>
      <c r="S461" s="1163"/>
      <c r="T461" s="1163"/>
      <c r="U461" s="1163"/>
      <c r="V461" s="1163"/>
      <c r="W461" s="1163"/>
      <c r="X461" s="1163"/>
      <c r="Y461" s="1163"/>
    </row>
    <row r="462" ht="12.75" customHeight="1">
      <c r="A462" s="1184"/>
      <c r="B462" s="1184"/>
      <c r="C462" s="1184"/>
      <c r="D462" s="1184"/>
      <c r="E462" s="1184"/>
      <c r="F462" s="1184"/>
      <c r="G462" s="1184"/>
      <c r="H462" s="1184"/>
      <c r="I462" s="1184"/>
      <c r="J462" s="1184"/>
      <c r="K462" s="1184"/>
      <c r="L462" s="1184"/>
      <c r="M462" s="1184"/>
      <c r="N462" s="1184"/>
      <c r="O462" s="1184"/>
      <c r="P462" s="1163"/>
      <c r="Q462" s="1163"/>
      <c r="R462" s="1163"/>
      <c r="S462" s="1163"/>
      <c r="T462" s="1163"/>
      <c r="U462" s="1163"/>
      <c r="V462" s="1163"/>
      <c r="W462" s="1163"/>
      <c r="X462" s="1163"/>
      <c r="Y462" s="1163"/>
    </row>
    <row r="463" ht="12.75" customHeight="1">
      <c r="A463" s="1184"/>
      <c r="B463" s="1184"/>
      <c r="C463" s="1184"/>
      <c r="D463" s="1184"/>
      <c r="E463" s="1184"/>
      <c r="F463" s="1184"/>
      <c r="G463" s="1184"/>
      <c r="H463" s="1184"/>
      <c r="I463" s="1184"/>
      <c r="J463" s="1184"/>
      <c r="K463" s="1184"/>
      <c r="L463" s="1184"/>
      <c r="M463" s="1184"/>
      <c r="N463" s="1184"/>
      <c r="O463" s="1184"/>
      <c r="P463" s="1163"/>
      <c r="Q463" s="1163"/>
      <c r="R463" s="1163"/>
      <c r="S463" s="1163"/>
      <c r="T463" s="1163"/>
      <c r="U463" s="1163"/>
      <c r="V463" s="1163"/>
      <c r="W463" s="1163"/>
      <c r="X463" s="1163"/>
      <c r="Y463" s="1163"/>
    </row>
    <row r="464" ht="12.75" customHeight="1">
      <c r="A464" s="1184"/>
      <c r="B464" s="1184"/>
      <c r="C464" s="1184"/>
      <c r="D464" s="1184"/>
      <c r="E464" s="1184"/>
      <c r="F464" s="1184"/>
      <c r="G464" s="1184"/>
      <c r="H464" s="1184"/>
      <c r="I464" s="1184"/>
      <c r="J464" s="1184"/>
      <c r="K464" s="1184"/>
      <c r="L464" s="1184"/>
      <c r="M464" s="1184"/>
      <c r="N464" s="1184"/>
      <c r="O464" s="1184"/>
      <c r="P464" s="1163"/>
      <c r="Q464" s="1163"/>
      <c r="R464" s="1163"/>
      <c r="S464" s="1163"/>
      <c r="T464" s="1163"/>
      <c r="U464" s="1163"/>
      <c r="V464" s="1163"/>
      <c r="W464" s="1163"/>
      <c r="X464" s="1163"/>
      <c r="Y464" s="1163"/>
    </row>
    <row r="465" ht="12.75" customHeight="1">
      <c r="A465" s="1184"/>
      <c r="B465" s="1184"/>
      <c r="C465" s="1184"/>
      <c r="D465" s="1184"/>
      <c r="E465" s="1184"/>
      <c r="F465" s="1184"/>
      <c r="G465" s="1184"/>
      <c r="H465" s="1184"/>
      <c r="I465" s="1184"/>
      <c r="J465" s="1184"/>
      <c r="K465" s="1184"/>
      <c r="L465" s="1184"/>
      <c r="M465" s="1184"/>
      <c r="N465" s="1184"/>
      <c r="O465" s="1184"/>
      <c r="P465" s="1163"/>
      <c r="Q465" s="1163"/>
      <c r="R465" s="1163"/>
      <c r="S465" s="1163"/>
      <c r="T465" s="1163"/>
      <c r="U465" s="1163"/>
      <c r="V465" s="1163"/>
      <c r="W465" s="1163"/>
      <c r="X465" s="1163"/>
      <c r="Y465" s="1163"/>
    </row>
    <row r="466" ht="12.75" customHeight="1">
      <c r="A466" s="1184"/>
      <c r="B466" s="1184"/>
      <c r="C466" s="1184"/>
      <c r="D466" s="1184"/>
      <c r="E466" s="1184"/>
      <c r="F466" s="1184"/>
      <c r="G466" s="1184"/>
      <c r="H466" s="1184"/>
      <c r="I466" s="1184"/>
      <c r="J466" s="1184"/>
      <c r="K466" s="1184"/>
      <c r="L466" s="1184"/>
      <c r="M466" s="1184"/>
      <c r="N466" s="1184"/>
      <c r="O466" s="1184"/>
      <c r="P466" s="1163"/>
      <c r="Q466" s="1163"/>
      <c r="R466" s="1163"/>
      <c r="S466" s="1163"/>
      <c r="T466" s="1163"/>
      <c r="U466" s="1163"/>
      <c r="V466" s="1163"/>
      <c r="W466" s="1163"/>
      <c r="X466" s="1163"/>
      <c r="Y466" s="1163"/>
    </row>
    <row r="467" ht="12.75" customHeight="1">
      <c r="A467" s="1184"/>
      <c r="B467" s="1184"/>
      <c r="C467" s="1184"/>
      <c r="D467" s="1184"/>
      <c r="E467" s="1184"/>
      <c r="F467" s="1184"/>
      <c r="G467" s="1184"/>
      <c r="H467" s="1184"/>
      <c r="I467" s="1184"/>
      <c r="J467" s="1184"/>
      <c r="K467" s="1184"/>
      <c r="L467" s="1184"/>
      <c r="M467" s="1184"/>
      <c r="N467" s="1184"/>
      <c r="O467" s="1184"/>
      <c r="P467" s="1163"/>
      <c r="Q467" s="1163"/>
      <c r="R467" s="1163"/>
      <c r="S467" s="1163"/>
      <c r="T467" s="1163"/>
      <c r="U467" s="1163"/>
      <c r="V467" s="1163"/>
      <c r="W467" s="1163"/>
      <c r="X467" s="1163"/>
      <c r="Y467" s="1163"/>
    </row>
    <row r="468" ht="12.75" customHeight="1">
      <c r="A468" s="1184"/>
      <c r="B468" s="1184"/>
      <c r="C468" s="1184"/>
      <c r="D468" s="1184"/>
      <c r="E468" s="1184"/>
      <c r="F468" s="1184"/>
      <c r="G468" s="1184"/>
      <c r="H468" s="1184"/>
      <c r="I468" s="1184"/>
      <c r="J468" s="1184"/>
      <c r="K468" s="1184"/>
      <c r="L468" s="1184"/>
      <c r="M468" s="1184"/>
      <c r="N468" s="1184"/>
      <c r="O468" s="1184"/>
      <c r="P468" s="1163"/>
      <c r="Q468" s="1163"/>
      <c r="R468" s="1163"/>
      <c r="S468" s="1163"/>
      <c r="T468" s="1163"/>
      <c r="U468" s="1163"/>
      <c r="V468" s="1163"/>
      <c r="W468" s="1163"/>
      <c r="X468" s="1163"/>
      <c r="Y468" s="1163"/>
    </row>
    <row r="469" ht="12.75" customHeight="1">
      <c r="A469" s="1184"/>
      <c r="B469" s="1184"/>
      <c r="C469" s="1184"/>
      <c r="D469" s="1184"/>
      <c r="E469" s="1184"/>
      <c r="F469" s="1184"/>
      <c r="G469" s="1184"/>
      <c r="H469" s="1184"/>
      <c r="I469" s="1184"/>
      <c r="J469" s="1184"/>
      <c r="K469" s="1184"/>
      <c r="L469" s="1184"/>
      <c r="M469" s="1184"/>
      <c r="N469" s="1184"/>
      <c r="O469" s="1184"/>
      <c r="P469" s="1163"/>
      <c r="Q469" s="1163"/>
      <c r="R469" s="1163"/>
      <c r="S469" s="1163"/>
      <c r="T469" s="1163"/>
      <c r="U469" s="1163"/>
      <c r="V469" s="1163"/>
      <c r="W469" s="1163"/>
      <c r="X469" s="1163"/>
      <c r="Y469" s="1163"/>
    </row>
    <row r="470" ht="12.75" customHeight="1">
      <c r="A470" s="1184"/>
      <c r="B470" s="1184"/>
      <c r="C470" s="1184"/>
      <c r="D470" s="1184"/>
      <c r="E470" s="1184"/>
      <c r="F470" s="1184"/>
      <c r="G470" s="1184"/>
      <c r="H470" s="1184"/>
      <c r="I470" s="1184"/>
      <c r="J470" s="1184"/>
      <c r="K470" s="1184"/>
      <c r="L470" s="1184"/>
      <c r="M470" s="1184"/>
      <c r="N470" s="1184"/>
      <c r="O470" s="1184"/>
      <c r="P470" s="1163"/>
      <c r="Q470" s="1163"/>
      <c r="R470" s="1163"/>
      <c r="S470" s="1163"/>
      <c r="T470" s="1163"/>
      <c r="U470" s="1163"/>
      <c r="V470" s="1163"/>
      <c r="W470" s="1163"/>
      <c r="X470" s="1163"/>
      <c r="Y470" s="1163"/>
    </row>
    <row r="471" ht="12.75" customHeight="1">
      <c r="A471" s="1184"/>
      <c r="B471" s="1184"/>
      <c r="C471" s="1184"/>
      <c r="D471" s="1184"/>
      <c r="E471" s="1184"/>
      <c r="F471" s="1184"/>
      <c r="G471" s="1184"/>
      <c r="H471" s="1184"/>
      <c r="I471" s="1184"/>
      <c r="J471" s="1184"/>
      <c r="K471" s="1184"/>
      <c r="L471" s="1184"/>
      <c r="M471" s="1184"/>
      <c r="N471" s="1184"/>
      <c r="O471" s="1184"/>
      <c r="P471" s="1163"/>
      <c r="Q471" s="1163"/>
      <c r="R471" s="1163"/>
      <c r="S471" s="1163"/>
      <c r="T471" s="1163"/>
      <c r="U471" s="1163"/>
      <c r="V471" s="1163"/>
      <c r="W471" s="1163"/>
      <c r="X471" s="1163"/>
      <c r="Y471" s="1163"/>
    </row>
    <row r="472" ht="12.75" customHeight="1">
      <c r="A472" s="1184"/>
      <c r="B472" s="1184"/>
      <c r="C472" s="1184"/>
      <c r="D472" s="1184"/>
      <c r="E472" s="1184"/>
      <c r="F472" s="1184"/>
      <c r="G472" s="1184"/>
      <c r="H472" s="1184"/>
      <c r="I472" s="1184"/>
      <c r="J472" s="1184"/>
      <c r="K472" s="1184"/>
      <c r="L472" s="1184"/>
      <c r="M472" s="1184"/>
      <c r="N472" s="1184"/>
      <c r="O472" s="1184"/>
      <c r="P472" s="1163"/>
      <c r="Q472" s="1163"/>
      <c r="R472" s="1163"/>
      <c r="S472" s="1163"/>
      <c r="T472" s="1163"/>
      <c r="U472" s="1163"/>
      <c r="V472" s="1163"/>
      <c r="W472" s="1163"/>
      <c r="X472" s="1163"/>
      <c r="Y472" s="1163"/>
    </row>
    <row r="473" ht="12.75" customHeight="1">
      <c r="A473" s="1184"/>
      <c r="B473" s="1184"/>
      <c r="C473" s="1184"/>
      <c r="D473" s="1184"/>
      <c r="E473" s="1184"/>
      <c r="F473" s="1184"/>
      <c r="G473" s="1184"/>
      <c r="H473" s="1184"/>
      <c r="I473" s="1184"/>
      <c r="J473" s="1184"/>
      <c r="K473" s="1184"/>
      <c r="L473" s="1184"/>
      <c r="M473" s="1184"/>
      <c r="N473" s="1184"/>
      <c r="O473" s="1184"/>
      <c r="P473" s="1163"/>
      <c r="Q473" s="1163"/>
      <c r="R473" s="1163"/>
      <c r="S473" s="1163"/>
      <c r="T473" s="1163"/>
      <c r="U473" s="1163"/>
      <c r="V473" s="1163"/>
      <c r="W473" s="1163"/>
      <c r="X473" s="1163"/>
      <c r="Y473" s="1163"/>
    </row>
    <row r="474" ht="12.75" customHeight="1">
      <c r="A474" s="1184"/>
      <c r="B474" s="1184"/>
      <c r="C474" s="1184"/>
      <c r="D474" s="1184"/>
      <c r="E474" s="1184"/>
      <c r="F474" s="1184"/>
      <c r="G474" s="1184"/>
      <c r="H474" s="1184"/>
      <c r="I474" s="1184"/>
      <c r="J474" s="1184"/>
      <c r="K474" s="1184"/>
      <c r="L474" s="1184"/>
      <c r="M474" s="1184"/>
      <c r="N474" s="1184"/>
      <c r="O474" s="1184"/>
      <c r="P474" s="1163"/>
      <c r="Q474" s="1163"/>
      <c r="R474" s="1163"/>
      <c r="S474" s="1163"/>
      <c r="T474" s="1163"/>
      <c r="U474" s="1163"/>
      <c r="V474" s="1163"/>
      <c r="W474" s="1163"/>
      <c r="X474" s="1163"/>
      <c r="Y474" s="1163"/>
    </row>
    <row r="475" ht="12.75" customHeight="1">
      <c r="A475" s="1184"/>
      <c r="B475" s="1184"/>
      <c r="C475" s="1184"/>
      <c r="D475" s="1184"/>
      <c r="E475" s="1184"/>
      <c r="F475" s="1184"/>
      <c r="G475" s="1184"/>
      <c r="H475" s="1184"/>
      <c r="I475" s="1184"/>
      <c r="J475" s="1184"/>
      <c r="K475" s="1184"/>
      <c r="L475" s="1184"/>
      <c r="M475" s="1184"/>
      <c r="N475" s="1184"/>
      <c r="O475" s="1184"/>
      <c r="P475" s="1163"/>
      <c r="Q475" s="1163"/>
      <c r="R475" s="1163"/>
      <c r="S475" s="1163"/>
      <c r="T475" s="1163"/>
      <c r="U475" s="1163"/>
      <c r="V475" s="1163"/>
      <c r="W475" s="1163"/>
      <c r="X475" s="1163"/>
      <c r="Y475" s="1163"/>
    </row>
    <row r="476" ht="12.75" customHeight="1">
      <c r="A476" s="1184"/>
      <c r="B476" s="1184"/>
      <c r="C476" s="1184"/>
      <c r="D476" s="1184"/>
      <c r="E476" s="1184"/>
      <c r="F476" s="1184"/>
      <c r="G476" s="1184"/>
      <c r="H476" s="1184"/>
      <c r="I476" s="1184"/>
      <c r="J476" s="1184"/>
      <c r="K476" s="1184"/>
      <c r="L476" s="1184"/>
      <c r="M476" s="1184"/>
      <c r="N476" s="1184"/>
      <c r="O476" s="1184"/>
      <c r="P476" s="1163"/>
      <c r="Q476" s="1163"/>
      <c r="R476" s="1163"/>
      <c r="S476" s="1163"/>
      <c r="T476" s="1163"/>
      <c r="U476" s="1163"/>
      <c r="V476" s="1163"/>
      <c r="W476" s="1163"/>
      <c r="X476" s="1163"/>
      <c r="Y476" s="1163"/>
    </row>
    <row r="477" ht="12.75" customHeight="1">
      <c r="A477" s="1184"/>
      <c r="B477" s="1184"/>
      <c r="C477" s="1184"/>
      <c r="D477" s="1184"/>
      <c r="E477" s="1184"/>
      <c r="F477" s="1184"/>
      <c r="G477" s="1184"/>
      <c r="H477" s="1184"/>
      <c r="I477" s="1184"/>
      <c r="J477" s="1184"/>
      <c r="K477" s="1184"/>
      <c r="L477" s="1184"/>
      <c r="M477" s="1184"/>
      <c r="N477" s="1184"/>
      <c r="O477" s="1184"/>
      <c r="P477" s="1163"/>
      <c r="Q477" s="1163"/>
      <c r="R477" s="1163"/>
      <c r="S477" s="1163"/>
      <c r="T477" s="1163"/>
      <c r="U477" s="1163"/>
      <c r="V477" s="1163"/>
      <c r="W477" s="1163"/>
      <c r="X477" s="1163"/>
      <c r="Y477" s="1163"/>
    </row>
    <row r="478" ht="12.75" customHeight="1">
      <c r="A478" s="1184"/>
      <c r="B478" s="1184"/>
      <c r="C478" s="1184"/>
      <c r="D478" s="1184"/>
      <c r="E478" s="1184"/>
      <c r="F478" s="1184"/>
      <c r="G478" s="1184"/>
      <c r="H478" s="1184"/>
      <c r="I478" s="1184"/>
      <c r="J478" s="1184"/>
      <c r="K478" s="1184"/>
      <c r="L478" s="1184"/>
      <c r="M478" s="1184"/>
      <c r="N478" s="1184"/>
      <c r="O478" s="1184"/>
      <c r="P478" s="1163"/>
      <c r="Q478" s="1163"/>
      <c r="R478" s="1163"/>
      <c r="S478" s="1163"/>
      <c r="T478" s="1163"/>
      <c r="U478" s="1163"/>
      <c r="V478" s="1163"/>
      <c r="W478" s="1163"/>
      <c r="X478" s="1163"/>
      <c r="Y478" s="1163"/>
    </row>
    <row r="479" ht="12.75" customHeight="1">
      <c r="A479" s="1184"/>
      <c r="B479" s="1184"/>
      <c r="C479" s="1184"/>
      <c r="D479" s="1184"/>
      <c r="E479" s="1184"/>
      <c r="F479" s="1184"/>
      <c r="G479" s="1184"/>
      <c r="H479" s="1184"/>
      <c r="I479" s="1184"/>
      <c r="J479" s="1184"/>
      <c r="K479" s="1184"/>
      <c r="L479" s="1184"/>
      <c r="M479" s="1184"/>
      <c r="N479" s="1184"/>
      <c r="O479" s="1184"/>
      <c r="P479" s="1163"/>
      <c r="Q479" s="1163"/>
      <c r="R479" s="1163"/>
      <c r="S479" s="1163"/>
      <c r="T479" s="1163"/>
      <c r="U479" s="1163"/>
      <c r="V479" s="1163"/>
      <c r="W479" s="1163"/>
      <c r="X479" s="1163"/>
      <c r="Y479" s="1163"/>
    </row>
    <row r="480" ht="12.75" customHeight="1">
      <c r="A480" s="1184"/>
      <c r="B480" s="1184"/>
      <c r="C480" s="1184"/>
      <c r="D480" s="1184"/>
      <c r="E480" s="1184"/>
      <c r="F480" s="1184"/>
      <c r="G480" s="1184"/>
      <c r="H480" s="1184"/>
      <c r="I480" s="1184"/>
      <c r="J480" s="1184"/>
      <c r="K480" s="1184"/>
      <c r="L480" s="1184"/>
      <c r="M480" s="1184"/>
      <c r="N480" s="1184"/>
      <c r="O480" s="1184"/>
      <c r="P480" s="1163"/>
      <c r="Q480" s="1163"/>
      <c r="R480" s="1163"/>
      <c r="S480" s="1163"/>
      <c r="T480" s="1163"/>
      <c r="U480" s="1163"/>
      <c r="V480" s="1163"/>
      <c r="W480" s="1163"/>
      <c r="X480" s="1163"/>
      <c r="Y480" s="1163"/>
    </row>
    <row r="481" ht="12.75" customHeight="1">
      <c r="A481" s="1184"/>
      <c r="B481" s="1184"/>
      <c r="C481" s="1184"/>
      <c r="D481" s="1184"/>
      <c r="E481" s="1184"/>
      <c r="F481" s="1184"/>
      <c r="G481" s="1184"/>
      <c r="H481" s="1184"/>
      <c r="I481" s="1184"/>
      <c r="J481" s="1184"/>
      <c r="K481" s="1184"/>
      <c r="L481" s="1184"/>
      <c r="M481" s="1184"/>
      <c r="N481" s="1184"/>
      <c r="O481" s="1184"/>
      <c r="P481" s="1163"/>
      <c r="Q481" s="1163"/>
      <c r="R481" s="1163"/>
      <c r="S481" s="1163"/>
      <c r="T481" s="1163"/>
      <c r="U481" s="1163"/>
      <c r="V481" s="1163"/>
      <c r="W481" s="1163"/>
      <c r="X481" s="1163"/>
      <c r="Y481" s="1163"/>
    </row>
    <row r="482" ht="12.75" customHeight="1">
      <c r="A482" s="1184"/>
      <c r="B482" s="1184"/>
      <c r="C482" s="1184"/>
      <c r="D482" s="1184"/>
      <c r="E482" s="1184"/>
      <c r="F482" s="1184"/>
      <c r="G482" s="1184"/>
      <c r="H482" s="1184"/>
      <c r="I482" s="1184"/>
      <c r="J482" s="1184"/>
      <c r="K482" s="1184"/>
      <c r="L482" s="1184"/>
      <c r="M482" s="1184"/>
      <c r="N482" s="1184"/>
      <c r="O482" s="1184"/>
      <c r="P482" s="1163"/>
      <c r="Q482" s="1163"/>
      <c r="R482" s="1163"/>
      <c r="S482" s="1163"/>
      <c r="T482" s="1163"/>
      <c r="U482" s="1163"/>
      <c r="V482" s="1163"/>
      <c r="W482" s="1163"/>
      <c r="X482" s="1163"/>
      <c r="Y482" s="1163"/>
    </row>
    <row r="483" ht="12.75" customHeight="1">
      <c r="A483" s="1184"/>
      <c r="B483" s="1184"/>
      <c r="C483" s="1184"/>
      <c r="D483" s="1184"/>
      <c r="E483" s="1184"/>
      <c r="F483" s="1184"/>
      <c r="G483" s="1184"/>
      <c r="H483" s="1184"/>
      <c r="I483" s="1184"/>
      <c r="J483" s="1184"/>
      <c r="K483" s="1184"/>
      <c r="L483" s="1184"/>
      <c r="M483" s="1184"/>
      <c r="N483" s="1184"/>
      <c r="O483" s="1184"/>
      <c r="P483" s="1163"/>
      <c r="Q483" s="1163"/>
      <c r="R483" s="1163"/>
      <c r="S483" s="1163"/>
      <c r="T483" s="1163"/>
      <c r="U483" s="1163"/>
      <c r="V483" s="1163"/>
      <c r="W483" s="1163"/>
      <c r="X483" s="1163"/>
      <c r="Y483" s="1163"/>
    </row>
    <row r="484" ht="12.75" customHeight="1">
      <c r="A484" s="1184"/>
      <c r="B484" s="1184"/>
      <c r="C484" s="1184"/>
      <c r="D484" s="1184"/>
      <c r="E484" s="1184"/>
      <c r="F484" s="1184"/>
      <c r="G484" s="1184"/>
      <c r="H484" s="1184"/>
      <c r="I484" s="1184"/>
      <c r="J484" s="1184"/>
      <c r="K484" s="1184"/>
      <c r="L484" s="1184"/>
      <c r="M484" s="1184"/>
      <c r="N484" s="1184"/>
      <c r="O484" s="1184"/>
      <c r="P484" s="1163"/>
      <c r="Q484" s="1163"/>
      <c r="R484" s="1163"/>
      <c r="S484" s="1163"/>
      <c r="T484" s="1163"/>
      <c r="U484" s="1163"/>
      <c r="V484" s="1163"/>
      <c r="W484" s="1163"/>
      <c r="X484" s="1163"/>
      <c r="Y484" s="1163"/>
    </row>
    <row r="485" ht="12.75" customHeight="1">
      <c r="A485" s="1184"/>
      <c r="B485" s="1184"/>
      <c r="C485" s="1184"/>
      <c r="D485" s="1184"/>
      <c r="E485" s="1184"/>
      <c r="F485" s="1184"/>
      <c r="G485" s="1184"/>
      <c r="H485" s="1184"/>
      <c r="I485" s="1184"/>
      <c r="J485" s="1184"/>
      <c r="K485" s="1184"/>
      <c r="L485" s="1184"/>
      <c r="M485" s="1184"/>
      <c r="N485" s="1184"/>
      <c r="O485" s="1184"/>
      <c r="P485" s="1163"/>
      <c r="Q485" s="1163"/>
      <c r="R485" s="1163"/>
      <c r="S485" s="1163"/>
      <c r="T485" s="1163"/>
      <c r="U485" s="1163"/>
      <c r="V485" s="1163"/>
      <c r="W485" s="1163"/>
      <c r="X485" s="1163"/>
      <c r="Y485" s="1163"/>
    </row>
    <row r="486" ht="12.75" customHeight="1">
      <c r="A486" s="1184"/>
      <c r="B486" s="1184"/>
      <c r="C486" s="1184"/>
      <c r="D486" s="1184"/>
      <c r="E486" s="1184"/>
      <c r="F486" s="1184"/>
      <c r="G486" s="1184"/>
      <c r="H486" s="1184"/>
      <c r="I486" s="1184"/>
      <c r="J486" s="1184"/>
      <c r="K486" s="1184"/>
      <c r="L486" s="1184"/>
      <c r="M486" s="1184"/>
      <c r="N486" s="1184"/>
      <c r="O486" s="1184"/>
      <c r="P486" s="1163"/>
      <c r="Q486" s="1163"/>
      <c r="R486" s="1163"/>
      <c r="S486" s="1163"/>
      <c r="T486" s="1163"/>
      <c r="U486" s="1163"/>
      <c r="V486" s="1163"/>
      <c r="W486" s="1163"/>
      <c r="X486" s="1163"/>
      <c r="Y486" s="1163"/>
    </row>
    <row r="487" ht="12.75" customHeight="1">
      <c r="A487" s="1184"/>
      <c r="B487" s="1184"/>
      <c r="C487" s="1184"/>
      <c r="D487" s="1184"/>
      <c r="E487" s="1184"/>
      <c r="F487" s="1184"/>
      <c r="G487" s="1184"/>
      <c r="H487" s="1184"/>
      <c r="I487" s="1184"/>
      <c r="J487" s="1184"/>
      <c r="K487" s="1184"/>
      <c r="L487" s="1184"/>
      <c r="M487" s="1184"/>
      <c r="N487" s="1184"/>
      <c r="O487" s="1184"/>
      <c r="P487" s="1163"/>
      <c r="Q487" s="1163"/>
      <c r="R487" s="1163"/>
      <c r="S487" s="1163"/>
      <c r="T487" s="1163"/>
      <c r="U487" s="1163"/>
      <c r="V487" s="1163"/>
      <c r="W487" s="1163"/>
      <c r="X487" s="1163"/>
      <c r="Y487" s="1163"/>
    </row>
    <row r="488" ht="12.75" customHeight="1">
      <c r="A488" s="1184"/>
      <c r="B488" s="1184"/>
      <c r="C488" s="1184"/>
      <c r="D488" s="1184"/>
      <c r="E488" s="1184"/>
      <c r="F488" s="1184"/>
      <c r="G488" s="1184"/>
      <c r="H488" s="1184"/>
      <c r="I488" s="1184"/>
      <c r="J488" s="1184"/>
      <c r="K488" s="1184"/>
      <c r="L488" s="1184"/>
      <c r="M488" s="1184"/>
      <c r="N488" s="1184"/>
      <c r="O488" s="1184"/>
      <c r="P488" s="1163"/>
      <c r="Q488" s="1163"/>
      <c r="R488" s="1163"/>
      <c r="S488" s="1163"/>
      <c r="T488" s="1163"/>
      <c r="U488" s="1163"/>
      <c r="V488" s="1163"/>
      <c r="W488" s="1163"/>
      <c r="X488" s="1163"/>
      <c r="Y488" s="1163"/>
    </row>
    <row r="489" ht="12.75" customHeight="1">
      <c r="A489" s="1184"/>
      <c r="B489" s="1184"/>
      <c r="C489" s="1184"/>
      <c r="D489" s="1184"/>
      <c r="E489" s="1184"/>
      <c r="F489" s="1184"/>
      <c r="G489" s="1184"/>
      <c r="H489" s="1184"/>
      <c r="I489" s="1184"/>
      <c r="J489" s="1184"/>
      <c r="K489" s="1184"/>
      <c r="L489" s="1184"/>
      <c r="M489" s="1184"/>
      <c r="N489" s="1184"/>
      <c r="O489" s="1184"/>
      <c r="P489" s="1163"/>
      <c r="Q489" s="1163"/>
      <c r="R489" s="1163"/>
      <c r="S489" s="1163"/>
      <c r="T489" s="1163"/>
      <c r="U489" s="1163"/>
      <c r="V489" s="1163"/>
      <c r="W489" s="1163"/>
      <c r="X489" s="1163"/>
      <c r="Y489" s="1163"/>
    </row>
    <row r="490" ht="12.75" customHeight="1">
      <c r="A490" s="1184"/>
      <c r="B490" s="1184"/>
      <c r="C490" s="1184"/>
      <c r="D490" s="1184"/>
      <c r="E490" s="1184"/>
      <c r="F490" s="1184"/>
      <c r="G490" s="1184"/>
      <c r="H490" s="1184"/>
      <c r="I490" s="1184"/>
      <c r="J490" s="1184"/>
      <c r="K490" s="1184"/>
      <c r="L490" s="1184"/>
      <c r="M490" s="1184"/>
      <c r="N490" s="1184"/>
      <c r="O490" s="1184"/>
      <c r="P490" s="1163"/>
      <c r="Q490" s="1163"/>
      <c r="R490" s="1163"/>
      <c r="S490" s="1163"/>
      <c r="T490" s="1163"/>
      <c r="U490" s="1163"/>
      <c r="V490" s="1163"/>
      <c r="W490" s="1163"/>
      <c r="X490" s="1163"/>
      <c r="Y490" s="1163"/>
    </row>
    <row r="491" ht="12.75" customHeight="1">
      <c r="A491" s="1184"/>
      <c r="B491" s="1184"/>
      <c r="C491" s="1184"/>
      <c r="D491" s="1184"/>
      <c r="E491" s="1184"/>
      <c r="F491" s="1184"/>
      <c r="G491" s="1184"/>
      <c r="H491" s="1184"/>
      <c r="I491" s="1184"/>
      <c r="J491" s="1184"/>
      <c r="K491" s="1184"/>
      <c r="L491" s="1184"/>
      <c r="M491" s="1184"/>
      <c r="N491" s="1184"/>
      <c r="O491" s="1184"/>
      <c r="P491" s="1163"/>
      <c r="Q491" s="1163"/>
      <c r="R491" s="1163"/>
      <c r="S491" s="1163"/>
      <c r="T491" s="1163"/>
      <c r="U491" s="1163"/>
      <c r="V491" s="1163"/>
      <c r="W491" s="1163"/>
      <c r="X491" s="1163"/>
      <c r="Y491" s="1163"/>
    </row>
    <row r="492" ht="12.75" customHeight="1">
      <c r="A492" s="1184"/>
      <c r="B492" s="1184"/>
      <c r="C492" s="1184"/>
      <c r="D492" s="1184"/>
      <c r="E492" s="1184"/>
      <c r="F492" s="1184"/>
      <c r="G492" s="1184"/>
      <c r="H492" s="1184"/>
      <c r="I492" s="1184"/>
      <c r="J492" s="1184"/>
      <c r="K492" s="1184"/>
      <c r="L492" s="1184"/>
      <c r="M492" s="1184"/>
      <c r="N492" s="1184"/>
      <c r="O492" s="1184"/>
      <c r="P492" s="1163"/>
      <c r="Q492" s="1163"/>
      <c r="R492" s="1163"/>
      <c r="S492" s="1163"/>
      <c r="T492" s="1163"/>
      <c r="U492" s="1163"/>
      <c r="V492" s="1163"/>
      <c r="W492" s="1163"/>
      <c r="X492" s="1163"/>
      <c r="Y492" s="1163"/>
    </row>
    <row r="493" ht="12.75" customHeight="1">
      <c r="A493" s="1184"/>
      <c r="B493" s="1184"/>
      <c r="C493" s="1184"/>
      <c r="D493" s="1184"/>
      <c r="E493" s="1184"/>
      <c r="F493" s="1184"/>
      <c r="G493" s="1184"/>
      <c r="H493" s="1184"/>
      <c r="I493" s="1184"/>
      <c r="J493" s="1184"/>
      <c r="K493" s="1184"/>
      <c r="L493" s="1184"/>
      <c r="M493" s="1184"/>
      <c r="N493" s="1184"/>
      <c r="O493" s="1184"/>
      <c r="P493" s="1163"/>
      <c r="Q493" s="1163"/>
      <c r="R493" s="1163"/>
      <c r="S493" s="1163"/>
      <c r="T493" s="1163"/>
      <c r="U493" s="1163"/>
      <c r="V493" s="1163"/>
      <c r="W493" s="1163"/>
      <c r="X493" s="1163"/>
      <c r="Y493" s="1163"/>
    </row>
    <row r="494" ht="12.75" customHeight="1">
      <c r="A494" s="1184"/>
      <c r="B494" s="1184"/>
      <c r="C494" s="1184"/>
      <c r="D494" s="1184"/>
      <c r="E494" s="1184"/>
      <c r="F494" s="1184"/>
      <c r="G494" s="1184"/>
      <c r="H494" s="1184"/>
      <c r="I494" s="1184"/>
      <c r="J494" s="1184"/>
      <c r="K494" s="1184"/>
      <c r="L494" s="1184"/>
      <c r="M494" s="1184"/>
      <c r="N494" s="1184"/>
      <c r="O494" s="1184"/>
      <c r="P494" s="1163"/>
      <c r="Q494" s="1163"/>
      <c r="R494" s="1163"/>
      <c r="S494" s="1163"/>
      <c r="T494" s="1163"/>
      <c r="U494" s="1163"/>
      <c r="V494" s="1163"/>
      <c r="W494" s="1163"/>
      <c r="X494" s="1163"/>
      <c r="Y494" s="1163"/>
    </row>
    <row r="495" ht="12.75" customHeight="1">
      <c r="A495" s="1184"/>
      <c r="B495" s="1184"/>
      <c r="C495" s="1184"/>
      <c r="D495" s="1184"/>
      <c r="E495" s="1184"/>
      <c r="F495" s="1184"/>
      <c r="G495" s="1184"/>
      <c r="H495" s="1184"/>
      <c r="I495" s="1184"/>
      <c r="J495" s="1184"/>
      <c r="K495" s="1184"/>
      <c r="L495" s="1184"/>
      <c r="M495" s="1184"/>
      <c r="N495" s="1184"/>
      <c r="O495" s="1184"/>
      <c r="P495" s="1163"/>
      <c r="Q495" s="1163"/>
      <c r="R495" s="1163"/>
      <c r="S495" s="1163"/>
      <c r="T495" s="1163"/>
      <c r="U495" s="1163"/>
      <c r="V495" s="1163"/>
      <c r="W495" s="1163"/>
      <c r="X495" s="1163"/>
      <c r="Y495" s="1163"/>
    </row>
    <row r="496" ht="12.75" customHeight="1">
      <c r="A496" s="1184"/>
      <c r="B496" s="1184"/>
      <c r="C496" s="1184"/>
      <c r="D496" s="1184"/>
      <c r="E496" s="1184"/>
      <c r="F496" s="1184"/>
      <c r="G496" s="1184"/>
      <c r="H496" s="1184"/>
      <c r="I496" s="1184"/>
      <c r="J496" s="1184"/>
      <c r="K496" s="1184"/>
      <c r="L496" s="1184"/>
      <c r="M496" s="1184"/>
      <c r="N496" s="1184"/>
      <c r="O496" s="1184"/>
      <c r="P496" s="1163"/>
      <c r="Q496" s="1163"/>
      <c r="R496" s="1163"/>
      <c r="S496" s="1163"/>
      <c r="T496" s="1163"/>
      <c r="U496" s="1163"/>
      <c r="V496" s="1163"/>
      <c r="W496" s="1163"/>
      <c r="X496" s="1163"/>
      <c r="Y496" s="1163"/>
    </row>
    <row r="497" ht="12.75" customHeight="1">
      <c r="A497" s="1184"/>
      <c r="B497" s="1184"/>
      <c r="C497" s="1184"/>
      <c r="D497" s="1184"/>
      <c r="E497" s="1184"/>
      <c r="F497" s="1184"/>
      <c r="G497" s="1184"/>
      <c r="H497" s="1184"/>
      <c r="I497" s="1184"/>
      <c r="J497" s="1184"/>
      <c r="K497" s="1184"/>
      <c r="L497" s="1184"/>
      <c r="M497" s="1184"/>
      <c r="N497" s="1184"/>
      <c r="O497" s="1184"/>
      <c r="P497" s="1163"/>
      <c r="Q497" s="1163"/>
      <c r="R497" s="1163"/>
      <c r="S497" s="1163"/>
      <c r="T497" s="1163"/>
      <c r="U497" s="1163"/>
      <c r="V497" s="1163"/>
      <c r="W497" s="1163"/>
      <c r="X497" s="1163"/>
      <c r="Y497" s="1163"/>
    </row>
    <row r="498" ht="12.75" customHeight="1">
      <c r="A498" s="1184"/>
      <c r="B498" s="1184"/>
      <c r="C498" s="1184"/>
      <c r="D498" s="1184"/>
      <c r="E498" s="1184"/>
      <c r="F498" s="1184"/>
      <c r="G498" s="1184"/>
      <c r="H498" s="1184"/>
      <c r="I498" s="1184"/>
      <c r="J498" s="1184"/>
      <c r="K498" s="1184"/>
      <c r="L498" s="1184"/>
      <c r="M498" s="1184"/>
      <c r="N498" s="1184"/>
      <c r="O498" s="1184"/>
      <c r="P498" s="1163"/>
      <c r="Q498" s="1163"/>
      <c r="R498" s="1163"/>
      <c r="S498" s="1163"/>
      <c r="T498" s="1163"/>
      <c r="U498" s="1163"/>
      <c r="V498" s="1163"/>
      <c r="W498" s="1163"/>
      <c r="X498" s="1163"/>
      <c r="Y498" s="1163"/>
    </row>
    <row r="499" ht="12.75" customHeight="1">
      <c r="A499" s="1184"/>
      <c r="B499" s="1184"/>
      <c r="C499" s="1184"/>
      <c r="D499" s="1184"/>
      <c r="E499" s="1184"/>
      <c r="F499" s="1184"/>
      <c r="G499" s="1184"/>
      <c r="H499" s="1184"/>
      <c r="I499" s="1184"/>
      <c r="J499" s="1184"/>
      <c r="K499" s="1184"/>
      <c r="L499" s="1184"/>
      <c r="M499" s="1184"/>
      <c r="N499" s="1184"/>
      <c r="O499" s="1184"/>
      <c r="P499" s="1163"/>
      <c r="Q499" s="1163"/>
      <c r="R499" s="1163"/>
      <c r="S499" s="1163"/>
      <c r="T499" s="1163"/>
      <c r="U499" s="1163"/>
      <c r="V499" s="1163"/>
      <c r="W499" s="1163"/>
      <c r="X499" s="1163"/>
      <c r="Y499" s="1163"/>
    </row>
    <row r="500" ht="12.75" customHeight="1">
      <c r="A500" s="1184"/>
      <c r="B500" s="1184"/>
      <c r="C500" s="1184"/>
      <c r="D500" s="1184"/>
      <c r="E500" s="1184"/>
      <c r="F500" s="1184"/>
      <c r="G500" s="1184"/>
      <c r="H500" s="1184"/>
      <c r="I500" s="1184"/>
      <c r="J500" s="1184"/>
      <c r="K500" s="1184"/>
      <c r="L500" s="1184"/>
      <c r="M500" s="1184"/>
      <c r="N500" s="1184"/>
      <c r="O500" s="1184"/>
      <c r="P500" s="1163"/>
      <c r="Q500" s="1163"/>
      <c r="R500" s="1163"/>
      <c r="S500" s="1163"/>
      <c r="T500" s="1163"/>
      <c r="U500" s="1163"/>
      <c r="V500" s="1163"/>
      <c r="W500" s="1163"/>
      <c r="X500" s="1163"/>
      <c r="Y500" s="1163"/>
    </row>
    <row r="501" ht="12.75" customHeight="1">
      <c r="A501" s="1184"/>
      <c r="B501" s="1184"/>
      <c r="C501" s="1184"/>
      <c r="D501" s="1184"/>
      <c r="E501" s="1184"/>
      <c r="F501" s="1184"/>
      <c r="G501" s="1184"/>
      <c r="H501" s="1184"/>
      <c r="I501" s="1184"/>
      <c r="J501" s="1184"/>
      <c r="K501" s="1184"/>
      <c r="L501" s="1184"/>
      <c r="M501" s="1184"/>
      <c r="N501" s="1184"/>
      <c r="O501" s="1184"/>
      <c r="P501" s="1163"/>
      <c r="Q501" s="1163"/>
      <c r="R501" s="1163"/>
      <c r="S501" s="1163"/>
      <c r="T501" s="1163"/>
      <c r="U501" s="1163"/>
      <c r="V501" s="1163"/>
      <c r="W501" s="1163"/>
      <c r="X501" s="1163"/>
      <c r="Y501" s="1163"/>
    </row>
    <row r="502" ht="12.75" customHeight="1">
      <c r="A502" s="1184"/>
      <c r="B502" s="1184"/>
      <c r="C502" s="1184"/>
      <c r="D502" s="1184"/>
      <c r="E502" s="1184"/>
      <c r="F502" s="1184"/>
      <c r="G502" s="1184"/>
      <c r="H502" s="1184"/>
      <c r="I502" s="1184"/>
      <c r="J502" s="1184"/>
      <c r="K502" s="1184"/>
      <c r="L502" s="1184"/>
      <c r="M502" s="1184"/>
      <c r="N502" s="1184"/>
      <c r="O502" s="1184"/>
      <c r="P502" s="1163"/>
      <c r="Q502" s="1163"/>
      <c r="R502" s="1163"/>
      <c r="S502" s="1163"/>
      <c r="T502" s="1163"/>
      <c r="U502" s="1163"/>
      <c r="V502" s="1163"/>
      <c r="W502" s="1163"/>
      <c r="X502" s="1163"/>
      <c r="Y502" s="1163"/>
    </row>
    <row r="503" ht="12.75" customHeight="1">
      <c r="A503" s="1184"/>
      <c r="B503" s="1184"/>
      <c r="C503" s="1184"/>
      <c r="D503" s="1184"/>
      <c r="E503" s="1184"/>
      <c r="F503" s="1184"/>
      <c r="G503" s="1184"/>
      <c r="H503" s="1184"/>
      <c r="I503" s="1184"/>
      <c r="J503" s="1184"/>
      <c r="K503" s="1184"/>
      <c r="L503" s="1184"/>
      <c r="M503" s="1184"/>
      <c r="N503" s="1184"/>
      <c r="O503" s="1184"/>
      <c r="P503" s="1163"/>
      <c r="Q503" s="1163"/>
      <c r="R503" s="1163"/>
      <c r="S503" s="1163"/>
      <c r="T503" s="1163"/>
      <c r="U503" s="1163"/>
      <c r="V503" s="1163"/>
      <c r="W503" s="1163"/>
      <c r="X503" s="1163"/>
      <c r="Y503" s="1163"/>
    </row>
    <row r="504" ht="12.75" customHeight="1">
      <c r="A504" s="1184"/>
      <c r="B504" s="1184"/>
      <c r="C504" s="1184"/>
      <c r="D504" s="1184"/>
      <c r="E504" s="1184"/>
      <c r="F504" s="1184"/>
      <c r="G504" s="1184"/>
      <c r="H504" s="1184"/>
      <c r="I504" s="1184"/>
      <c r="J504" s="1184"/>
      <c r="K504" s="1184"/>
      <c r="L504" s="1184"/>
      <c r="M504" s="1184"/>
      <c r="N504" s="1184"/>
      <c r="O504" s="1184"/>
      <c r="P504" s="1163"/>
      <c r="Q504" s="1163"/>
      <c r="R504" s="1163"/>
      <c r="S504" s="1163"/>
      <c r="T504" s="1163"/>
      <c r="U504" s="1163"/>
      <c r="V504" s="1163"/>
      <c r="W504" s="1163"/>
      <c r="X504" s="1163"/>
      <c r="Y504" s="1163"/>
    </row>
    <row r="505" ht="12.75" customHeight="1">
      <c r="A505" s="1184"/>
      <c r="B505" s="1184"/>
      <c r="C505" s="1184"/>
      <c r="D505" s="1184"/>
      <c r="E505" s="1184"/>
      <c r="F505" s="1184"/>
      <c r="G505" s="1184"/>
      <c r="H505" s="1184"/>
      <c r="I505" s="1184"/>
      <c r="J505" s="1184"/>
      <c r="K505" s="1184"/>
      <c r="L505" s="1184"/>
      <c r="M505" s="1184"/>
      <c r="N505" s="1184"/>
      <c r="O505" s="1184"/>
      <c r="P505" s="1163"/>
      <c r="Q505" s="1163"/>
      <c r="R505" s="1163"/>
      <c r="S505" s="1163"/>
      <c r="T505" s="1163"/>
      <c r="U505" s="1163"/>
      <c r="V505" s="1163"/>
      <c r="W505" s="1163"/>
      <c r="X505" s="1163"/>
      <c r="Y505" s="1163"/>
    </row>
    <row r="506" ht="12.75" customHeight="1">
      <c r="A506" s="1184"/>
      <c r="B506" s="1184"/>
      <c r="C506" s="1184"/>
      <c r="D506" s="1184"/>
      <c r="E506" s="1184"/>
      <c r="F506" s="1184"/>
      <c r="G506" s="1184"/>
      <c r="H506" s="1184"/>
      <c r="I506" s="1184"/>
      <c r="J506" s="1184"/>
      <c r="K506" s="1184"/>
      <c r="L506" s="1184"/>
      <c r="M506" s="1184"/>
      <c r="N506" s="1184"/>
      <c r="O506" s="1184"/>
      <c r="P506" s="1163"/>
      <c r="Q506" s="1163"/>
      <c r="R506" s="1163"/>
      <c r="S506" s="1163"/>
      <c r="T506" s="1163"/>
      <c r="U506" s="1163"/>
      <c r="V506" s="1163"/>
      <c r="W506" s="1163"/>
      <c r="X506" s="1163"/>
      <c r="Y506" s="1163"/>
    </row>
    <row r="507" ht="12.75" customHeight="1">
      <c r="A507" s="1184"/>
      <c r="B507" s="1184"/>
      <c r="C507" s="1184"/>
      <c r="D507" s="1184"/>
      <c r="E507" s="1184"/>
      <c r="F507" s="1184"/>
      <c r="G507" s="1184"/>
      <c r="H507" s="1184"/>
      <c r="I507" s="1184"/>
      <c r="J507" s="1184"/>
      <c r="K507" s="1184"/>
      <c r="L507" s="1184"/>
      <c r="M507" s="1184"/>
      <c r="N507" s="1184"/>
      <c r="O507" s="1184"/>
      <c r="P507" s="1163"/>
      <c r="Q507" s="1163"/>
      <c r="R507" s="1163"/>
      <c r="S507" s="1163"/>
      <c r="T507" s="1163"/>
      <c r="U507" s="1163"/>
      <c r="V507" s="1163"/>
      <c r="W507" s="1163"/>
      <c r="X507" s="1163"/>
      <c r="Y507" s="1163"/>
    </row>
    <row r="508" ht="12.75" customHeight="1">
      <c r="A508" s="1184"/>
      <c r="B508" s="1184"/>
      <c r="C508" s="1184"/>
      <c r="D508" s="1184"/>
      <c r="E508" s="1184"/>
      <c r="F508" s="1184"/>
      <c r="G508" s="1184"/>
      <c r="H508" s="1184"/>
      <c r="I508" s="1184"/>
      <c r="J508" s="1184"/>
      <c r="K508" s="1184"/>
      <c r="L508" s="1184"/>
      <c r="M508" s="1184"/>
      <c r="N508" s="1184"/>
      <c r="O508" s="1184"/>
      <c r="P508" s="1163"/>
      <c r="Q508" s="1163"/>
      <c r="R508" s="1163"/>
      <c r="S508" s="1163"/>
      <c r="T508" s="1163"/>
      <c r="U508" s="1163"/>
      <c r="V508" s="1163"/>
      <c r="W508" s="1163"/>
      <c r="X508" s="1163"/>
      <c r="Y508" s="1163"/>
    </row>
    <row r="509" ht="12.75" customHeight="1">
      <c r="A509" s="1184"/>
      <c r="B509" s="1184"/>
      <c r="C509" s="1184"/>
      <c r="D509" s="1184"/>
      <c r="E509" s="1184"/>
      <c r="F509" s="1184"/>
      <c r="G509" s="1184"/>
      <c r="H509" s="1184"/>
      <c r="I509" s="1184"/>
      <c r="J509" s="1184"/>
      <c r="K509" s="1184"/>
      <c r="L509" s="1184"/>
      <c r="M509" s="1184"/>
      <c r="N509" s="1184"/>
      <c r="O509" s="1184"/>
      <c r="P509" s="1163"/>
      <c r="Q509" s="1163"/>
      <c r="R509" s="1163"/>
      <c r="S509" s="1163"/>
      <c r="T509" s="1163"/>
      <c r="U509" s="1163"/>
      <c r="V509" s="1163"/>
      <c r="W509" s="1163"/>
      <c r="X509" s="1163"/>
      <c r="Y509" s="1163"/>
    </row>
    <row r="510" ht="12.75" customHeight="1">
      <c r="A510" s="1184"/>
      <c r="B510" s="1184"/>
      <c r="C510" s="1184"/>
      <c r="D510" s="1184"/>
      <c r="E510" s="1184"/>
      <c r="F510" s="1184"/>
      <c r="G510" s="1184"/>
      <c r="H510" s="1184"/>
      <c r="I510" s="1184"/>
      <c r="J510" s="1184"/>
      <c r="K510" s="1184"/>
      <c r="L510" s="1184"/>
      <c r="M510" s="1184"/>
      <c r="N510" s="1184"/>
      <c r="O510" s="1184"/>
      <c r="P510" s="1163"/>
      <c r="Q510" s="1163"/>
      <c r="R510" s="1163"/>
      <c r="S510" s="1163"/>
      <c r="T510" s="1163"/>
      <c r="U510" s="1163"/>
      <c r="V510" s="1163"/>
      <c r="W510" s="1163"/>
      <c r="X510" s="1163"/>
      <c r="Y510" s="1163"/>
    </row>
    <row r="511" ht="12.75" customHeight="1">
      <c r="A511" s="1184"/>
      <c r="B511" s="1184"/>
      <c r="C511" s="1184"/>
      <c r="D511" s="1184"/>
      <c r="E511" s="1184"/>
      <c r="F511" s="1184"/>
      <c r="G511" s="1184"/>
      <c r="H511" s="1184"/>
      <c r="I511" s="1184"/>
      <c r="J511" s="1184"/>
      <c r="K511" s="1184"/>
      <c r="L511" s="1184"/>
      <c r="M511" s="1184"/>
      <c r="N511" s="1184"/>
      <c r="O511" s="1184"/>
      <c r="P511" s="1163"/>
      <c r="Q511" s="1163"/>
      <c r="R511" s="1163"/>
      <c r="S511" s="1163"/>
      <c r="T511" s="1163"/>
      <c r="U511" s="1163"/>
      <c r="V511" s="1163"/>
      <c r="W511" s="1163"/>
      <c r="X511" s="1163"/>
      <c r="Y511" s="1163"/>
    </row>
    <row r="512" ht="12.75" customHeight="1">
      <c r="A512" s="1184"/>
      <c r="B512" s="1184"/>
      <c r="C512" s="1184"/>
      <c r="D512" s="1184"/>
      <c r="E512" s="1184"/>
      <c r="F512" s="1184"/>
      <c r="G512" s="1184"/>
      <c r="H512" s="1184"/>
      <c r="I512" s="1184"/>
      <c r="J512" s="1184"/>
      <c r="K512" s="1184"/>
      <c r="L512" s="1184"/>
      <c r="M512" s="1184"/>
      <c r="N512" s="1184"/>
      <c r="O512" s="1184"/>
      <c r="P512" s="1163"/>
      <c r="Q512" s="1163"/>
      <c r="R512" s="1163"/>
      <c r="S512" s="1163"/>
      <c r="T512" s="1163"/>
      <c r="U512" s="1163"/>
      <c r="V512" s="1163"/>
      <c r="W512" s="1163"/>
      <c r="X512" s="1163"/>
      <c r="Y512" s="1163"/>
    </row>
    <row r="513" ht="12.75" customHeight="1">
      <c r="A513" s="1184"/>
      <c r="B513" s="1184"/>
      <c r="C513" s="1184"/>
      <c r="D513" s="1184"/>
      <c r="E513" s="1184"/>
      <c r="F513" s="1184"/>
      <c r="G513" s="1184"/>
      <c r="H513" s="1184"/>
      <c r="I513" s="1184"/>
      <c r="J513" s="1184"/>
      <c r="K513" s="1184"/>
      <c r="L513" s="1184"/>
      <c r="M513" s="1184"/>
      <c r="N513" s="1184"/>
      <c r="O513" s="1184"/>
      <c r="P513" s="1163"/>
      <c r="Q513" s="1163"/>
      <c r="R513" s="1163"/>
      <c r="S513" s="1163"/>
      <c r="T513" s="1163"/>
      <c r="U513" s="1163"/>
      <c r="V513" s="1163"/>
      <c r="W513" s="1163"/>
      <c r="X513" s="1163"/>
      <c r="Y513" s="1163"/>
    </row>
    <row r="514" ht="12.75" customHeight="1">
      <c r="A514" s="1184"/>
      <c r="B514" s="1184"/>
      <c r="C514" s="1184"/>
      <c r="D514" s="1184"/>
      <c r="E514" s="1184"/>
      <c r="F514" s="1184"/>
      <c r="G514" s="1184"/>
      <c r="H514" s="1184"/>
      <c r="I514" s="1184"/>
      <c r="J514" s="1184"/>
      <c r="K514" s="1184"/>
      <c r="L514" s="1184"/>
      <c r="M514" s="1184"/>
      <c r="N514" s="1184"/>
      <c r="O514" s="1184"/>
      <c r="P514" s="1163"/>
      <c r="Q514" s="1163"/>
      <c r="R514" s="1163"/>
      <c r="S514" s="1163"/>
      <c r="T514" s="1163"/>
      <c r="U514" s="1163"/>
      <c r="V514" s="1163"/>
      <c r="W514" s="1163"/>
      <c r="X514" s="1163"/>
      <c r="Y514" s="1163"/>
    </row>
    <row r="515" ht="12.75" customHeight="1">
      <c r="A515" s="1184"/>
      <c r="B515" s="1184"/>
      <c r="C515" s="1184"/>
      <c r="D515" s="1184"/>
      <c r="E515" s="1184"/>
      <c r="F515" s="1184"/>
      <c r="G515" s="1184"/>
      <c r="H515" s="1184"/>
      <c r="I515" s="1184"/>
      <c r="J515" s="1184"/>
      <c r="K515" s="1184"/>
      <c r="L515" s="1184"/>
      <c r="M515" s="1184"/>
      <c r="N515" s="1184"/>
      <c r="O515" s="1184"/>
      <c r="P515" s="1163"/>
      <c r="Q515" s="1163"/>
      <c r="R515" s="1163"/>
      <c r="S515" s="1163"/>
      <c r="T515" s="1163"/>
      <c r="U515" s="1163"/>
      <c r="V515" s="1163"/>
      <c r="W515" s="1163"/>
      <c r="X515" s="1163"/>
      <c r="Y515" s="1163"/>
    </row>
    <row r="516" ht="12.75" customHeight="1">
      <c r="A516" s="1184"/>
      <c r="B516" s="1184"/>
      <c r="C516" s="1184"/>
      <c r="D516" s="1184"/>
      <c r="E516" s="1184"/>
      <c r="F516" s="1184"/>
      <c r="G516" s="1184"/>
      <c r="H516" s="1184"/>
      <c r="I516" s="1184"/>
      <c r="J516" s="1184"/>
      <c r="K516" s="1184"/>
      <c r="L516" s="1184"/>
      <c r="M516" s="1184"/>
      <c r="N516" s="1184"/>
      <c r="O516" s="1184"/>
      <c r="P516" s="1163"/>
      <c r="Q516" s="1163"/>
      <c r="R516" s="1163"/>
      <c r="S516" s="1163"/>
      <c r="T516" s="1163"/>
      <c r="U516" s="1163"/>
      <c r="V516" s="1163"/>
      <c r="W516" s="1163"/>
      <c r="X516" s="1163"/>
      <c r="Y516" s="1163"/>
    </row>
    <row r="517" ht="12.75" customHeight="1">
      <c r="A517" s="1184"/>
      <c r="B517" s="1184"/>
      <c r="C517" s="1184"/>
      <c r="D517" s="1184"/>
      <c r="E517" s="1184"/>
      <c r="F517" s="1184"/>
      <c r="G517" s="1184"/>
      <c r="H517" s="1184"/>
      <c r="I517" s="1184"/>
      <c r="J517" s="1184"/>
      <c r="K517" s="1184"/>
      <c r="L517" s="1184"/>
      <c r="M517" s="1184"/>
      <c r="N517" s="1184"/>
      <c r="O517" s="1184"/>
      <c r="P517" s="1163"/>
      <c r="Q517" s="1163"/>
      <c r="R517" s="1163"/>
      <c r="S517" s="1163"/>
      <c r="T517" s="1163"/>
      <c r="U517" s="1163"/>
      <c r="V517" s="1163"/>
      <c r="W517" s="1163"/>
      <c r="X517" s="1163"/>
      <c r="Y517" s="1163"/>
    </row>
    <row r="518" ht="12.75" customHeight="1">
      <c r="A518" s="1184"/>
      <c r="B518" s="1184"/>
      <c r="C518" s="1184"/>
      <c r="D518" s="1184"/>
      <c r="E518" s="1184"/>
      <c r="F518" s="1184"/>
      <c r="G518" s="1184"/>
      <c r="H518" s="1184"/>
      <c r="I518" s="1184"/>
      <c r="J518" s="1184"/>
      <c r="K518" s="1184"/>
      <c r="L518" s="1184"/>
      <c r="M518" s="1184"/>
      <c r="N518" s="1184"/>
      <c r="O518" s="1184"/>
      <c r="P518" s="1163"/>
      <c r="Q518" s="1163"/>
      <c r="R518" s="1163"/>
      <c r="S518" s="1163"/>
      <c r="T518" s="1163"/>
      <c r="U518" s="1163"/>
      <c r="V518" s="1163"/>
      <c r="W518" s="1163"/>
      <c r="X518" s="1163"/>
      <c r="Y518" s="1163"/>
    </row>
    <row r="519" ht="12.75" customHeight="1">
      <c r="A519" s="1184"/>
      <c r="B519" s="1184"/>
      <c r="C519" s="1184"/>
      <c r="D519" s="1184"/>
      <c r="E519" s="1184"/>
      <c r="F519" s="1184"/>
      <c r="G519" s="1184"/>
      <c r="H519" s="1184"/>
      <c r="I519" s="1184"/>
      <c r="J519" s="1184"/>
      <c r="K519" s="1184"/>
      <c r="L519" s="1184"/>
      <c r="M519" s="1184"/>
      <c r="N519" s="1184"/>
      <c r="O519" s="1184"/>
      <c r="P519" s="1163"/>
      <c r="Q519" s="1163"/>
      <c r="R519" s="1163"/>
      <c r="S519" s="1163"/>
      <c r="T519" s="1163"/>
      <c r="U519" s="1163"/>
      <c r="V519" s="1163"/>
      <c r="W519" s="1163"/>
      <c r="X519" s="1163"/>
      <c r="Y519" s="1163"/>
    </row>
    <row r="520" ht="12.75" customHeight="1">
      <c r="A520" s="1184"/>
      <c r="B520" s="1184"/>
      <c r="C520" s="1184"/>
      <c r="D520" s="1184"/>
      <c r="E520" s="1184"/>
      <c r="F520" s="1184"/>
      <c r="G520" s="1184"/>
      <c r="H520" s="1184"/>
      <c r="I520" s="1184"/>
      <c r="J520" s="1184"/>
      <c r="K520" s="1184"/>
      <c r="L520" s="1184"/>
      <c r="M520" s="1184"/>
      <c r="N520" s="1184"/>
      <c r="O520" s="1184"/>
      <c r="P520" s="1163"/>
      <c r="Q520" s="1163"/>
      <c r="R520" s="1163"/>
      <c r="S520" s="1163"/>
      <c r="T520" s="1163"/>
      <c r="U520" s="1163"/>
      <c r="V520" s="1163"/>
      <c r="W520" s="1163"/>
      <c r="X520" s="1163"/>
      <c r="Y520" s="1163"/>
    </row>
    <row r="521" ht="12.75" customHeight="1">
      <c r="A521" s="1184"/>
      <c r="B521" s="1184"/>
      <c r="C521" s="1184"/>
      <c r="D521" s="1184"/>
      <c r="E521" s="1184"/>
      <c r="F521" s="1184"/>
      <c r="G521" s="1184"/>
      <c r="H521" s="1184"/>
      <c r="I521" s="1184"/>
      <c r="J521" s="1184"/>
      <c r="K521" s="1184"/>
      <c r="L521" s="1184"/>
      <c r="M521" s="1184"/>
      <c r="N521" s="1184"/>
      <c r="O521" s="1184"/>
      <c r="P521" s="1163"/>
      <c r="Q521" s="1163"/>
      <c r="R521" s="1163"/>
      <c r="S521" s="1163"/>
      <c r="T521" s="1163"/>
      <c r="U521" s="1163"/>
      <c r="V521" s="1163"/>
      <c r="W521" s="1163"/>
      <c r="X521" s="1163"/>
      <c r="Y521" s="1163"/>
    </row>
    <row r="522" ht="12.75" customHeight="1">
      <c r="A522" s="1184"/>
      <c r="B522" s="1184"/>
      <c r="C522" s="1184"/>
      <c r="D522" s="1184"/>
      <c r="E522" s="1184"/>
      <c r="F522" s="1184"/>
      <c r="G522" s="1184"/>
      <c r="H522" s="1184"/>
      <c r="I522" s="1184"/>
      <c r="J522" s="1184"/>
      <c r="K522" s="1184"/>
      <c r="L522" s="1184"/>
      <c r="M522" s="1184"/>
      <c r="N522" s="1184"/>
      <c r="O522" s="1184"/>
      <c r="P522" s="1163"/>
      <c r="Q522" s="1163"/>
      <c r="R522" s="1163"/>
      <c r="S522" s="1163"/>
      <c r="T522" s="1163"/>
      <c r="U522" s="1163"/>
      <c r="V522" s="1163"/>
      <c r="W522" s="1163"/>
      <c r="X522" s="1163"/>
      <c r="Y522" s="1163"/>
    </row>
    <row r="523" ht="12.75" customHeight="1">
      <c r="A523" s="1184"/>
      <c r="B523" s="1184"/>
      <c r="C523" s="1184"/>
      <c r="D523" s="1184"/>
      <c r="E523" s="1184"/>
      <c r="F523" s="1184"/>
      <c r="G523" s="1184"/>
      <c r="H523" s="1184"/>
      <c r="I523" s="1184"/>
      <c r="J523" s="1184"/>
      <c r="K523" s="1184"/>
      <c r="L523" s="1184"/>
      <c r="M523" s="1184"/>
      <c r="N523" s="1184"/>
      <c r="O523" s="1184"/>
      <c r="P523" s="1163"/>
      <c r="Q523" s="1163"/>
      <c r="R523" s="1163"/>
      <c r="S523" s="1163"/>
      <c r="T523" s="1163"/>
      <c r="U523" s="1163"/>
      <c r="V523" s="1163"/>
      <c r="W523" s="1163"/>
      <c r="X523" s="1163"/>
      <c r="Y523" s="1163"/>
    </row>
    <row r="524" ht="12.75" customHeight="1">
      <c r="A524" s="1184"/>
      <c r="B524" s="1184"/>
      <c r="C524" s="1184"/>
      <c r="D524" s="1184"/>
      <c r="E524" s="1184"/>
      <c r="F524" s="1184"/>
      <c r="G524" s="1184"/>
      <c r="H524" s="1184"/>
      <c r="I524" s="1184"/>
      <c r="J524" s="1184"/>
      <c r="K524" s="1184"/>
      <c r="L524" s="1184"/>
      <c r="M524" s="1184"/>
      <c r="N524" s="1184"/>
      <c r="O524" s="1184"/>
      <c r="P524" s="1163"/>
      <c r="Q524" s="1163"/>
      <c r="R524" s="1163"/>
      <c r="S524" s="1163"/>
      <c r="T524" s="1163"/>
      <c r="U524" s="1163"/>
      <c r="V524" s="1163"/>
      <c r="W524" s="1163"/>
      <c r="X524" s="1163"/>
      <c r="Y524" s="1163"/>
    </row>
    <row r="525" ht="12.75" customHeight="1">
      <c r="A525" s="1184"/>
      <c r="B525" s="1184"/>
      <c r="C525" s="1184"/>
      <c r="D525" s="1184"/>
      <c r="E525" s="1184"/>
      <c r="F525" s="1184"/>
      <c r="G525" s="1184"/>
      <c r="H525" s="1184"/>
      <c r="I525" s="1184"/>
      <c r="J525" s="1184"/>
      <c r="K525" s="1184"/>
      <c r="L525" s="1184"/>
      <c r="M525" s="1184"/>
      <c r="N525" s="1184"/>
      <c r="O525" s="1184"/>
      <c r="P525" s="1163"/>
      <c r="Q525" s="1163"/>
      <c r="R525" s="1163"/>
      <c r="S525" s="1163"/>
      <c r="T525" s="1163"/>
      <c r="U525" s="1163"/>
      <c r="V525" s="1163"/>
      <c r="W525" s="1163"/>
      <c r="X525" s="1163"/>
      <c r="Y525" s="1163"/>
    </row>
    <row r="526" ht="12.75" customHeight="1">
      <c r="A526" s="1184"/>
      <c r="B526" s="1184"/>
      <c r="C526" s="1184"/>
      <c r="D526" s="1184"/>
      <c r="E526" s="1184"/>
      <c r="F526" s="1184"/>
      <c r="G526" s="1184"/>
      <c r="H526" s="1184"/>
      <c r="I526" s="1184"/>
      <c r="J526" s="1184"/>
      <c r="K526" s="1184"/>
      <c r="L526" s="1184"/>
      <c r="M526" s="1184"/>
      <c r="N526" s="1184"/>
      <c r="O526" s="1184"/>
      <c r="P526" s="1163"/>
      <c r="Q526" s="1163"/>
      <c r="R526" s="1163"/>
      <c r="S526" s="1163"/>
      <c r="T526" s="1163"/>
      <c r="U526" s="1163"/>
      <c r="V526" s="1163"/>
      <c r="W526" s="1163"/>
      <c r="X526" s="1163"/>
      <c r="Y526" s="1163"/>
    </row>
    <row r="527" ht="12.75" customHeight="1">
      <c r="A527" s="1184"/>
      <c r="B527" s="1184"/>
      <c r="C527" s="1184"/>
      <c r="D527" s="1184"/>
      <c r="E527" s="1184"/>
      <c r="F527" s="1184"/>
      <c r="G527" s="1184"/>
      <c r="H527" s="1184"/>
      <c r="I527" s="1184"/>
      <c r="J527" s="1184"/>
      <c r="K527" s="1184"/>
      <c r="L527" s="1184"/>
      <c r="M527" s="1184"/>
      <c r="N527" s="1184"/>
      <c r="O527" s="1184"/>
      <c r="P527" s="1163"/>
      <c r="Q527" s="1163"/>
      <c r="R527" s="1163"/>
      <c r="S527" s="1163"/>
      <c r="T527" s="1163"/>
      <c r="U527" s="1163"/>
      <c r="V527" s="1163"/>
      <c r="W527" s="1163"/>
      <c r="X527" s="1163"/>
      <c r="Y527" s="1163"/>
    </row>
    <row r="528" ht="12.75" customHeight="1">
      <c r="A528" s="1184"/>
      <c r="B528" s="1184"/>
      <c r="C528" s="1184"/>
      <c r="D528" s="1184"/>
      <c r="E528" s="1184"/>
      <c r="F528" s="1184"/>
      <c r="G528" s="1184"/>
      <c r="H528" s="1184"/>
      <c r="I528" s="1184"/>
      <c r="J528" s="1184"/>
      <c r="K528" s="1184"/>
      <c r="L528" s="1184"/>
      <c r="M528" s="1184"/>
      <c r="N528" s="1184"/>
      <c r="O528" s="1184"/>
      <c r="P528" s="1163"/>
      <c r="Q528" s="1163"/>
      <c r="R528" s="1163"/>
      <c r="S528" s="1163"/>
      <c r="T528" s="1163"/>
      <c r="U528" s="1163"/>
      <c r="V528" s="1163"/>
      <c r="W528" s="1163"/>
      <c r="X528" s="1163"/>
      <c r="Y528" s="1163"/>
    </row>
    <row r="529" ht="12.75" customHeight="1">
      <c r="A529" s="1184"/>
      <c r="B529" s="1184"/>
      <c r="C529" s="1184"/>
      <c r="D529" s="1184"/>
      <c r="E529" s="1184"/>
      <c r="F529" s="1184"/>
      <c r="G529" s="1184"/>
      <c r="H529" s="1184"/>
      <c r="I529" s="1184"/>
      <c r="J529" s="1184"/>
      <c r="K529" s="1184"/>
      <c r="L529" s="1184"/>
      <c r="M529" s="1184"/>
      <c r="N529" s="1184"/>
      <c r="O529" s="1184"/>
      <c r="P529" s="1163"/>
      <c r="Q529" s="1163"/>
      <c r="R529" s="1163"/>
      <c r="S529" s="1163"/>
      <c r="T529" s="1163"/>
      <c r="U529" s="1163"/>
      <c r="V529" s="1163"/>
      <c r="W529" s="1163"/>
      <c r="X529" s="1163"/>
      <c r="Y529" s="1163"/>
    </row>
    <row r="530" ht="12.75" customHeight="1">
      <c r="A530" s="1184"/>
      <c r="B530" s="1184"/>
      <c r="C530" s="1184"/>
      <c r="D530" s="1184"/>
      <c r="E530" s="1184"/>
      <c r="F530" s="1184"/>
      <c r="G530" s="1184"/>
      <c r="H530" s="1184"/>
      <c r="I530" s="1184"/>
      <c r="J530" s="1184"/>
      <c r="K530" s="1184"/>
      <c r="L530" s="1184"/>
      <c r="M530" s="1184"/>
      <c r="N530" s="1184"/>
      <c r="O530" s="1184"/>
      <c r="P530" s="1163"/>
      <c r="Q530" s="1163"/>
      <c r="R530" s="1163"/>
      <c r="S530" s="1163"/>
      <c r="T530" s="1163"/>
      <c r="U530" s="1163"/>
      <c r="V530" s="1163"/>
      <c r="W530" s="1163"/>
      <c r="X530" s="1163"/>
      <c r="Y530" s="1163"/>
    </row>
    <row r="531" ht="12.75" customHeight="1">
      <c r="A531" s="1184"/>
      <c r="B531" s="1184"/>
      <c r="C531" s="1184"/>
      <c r="D531" s="1184"/>
      <c r="E531" s="1184"/>
      <c r="F531" s="1184"/>
      <c r="G531" s="1184"/>
      <c r="H531" s="1184"/>
      <c r="I531" s="1184"/>
      <c r="J531" s="1184"/>
      <c r="K531" s="1184"/>
      <c r="L531" s="1184"/>
      <c r="M531" s="1184"/>
      <c r="N531" s="1184"/>
      <c r="O531" s="1184"/>
      <c r="P531" s="1163"/>
      <c r="Q531" s="1163"/>
      <c r="R531" s="1163"/>
      <c r="S531" s="1163"/>
      <c r="T531" s="1163"/>
      <c r="U531" s="1163"/>
      <c r="V531" s="1163"/>
      <c r="W531" s="1163"/>
      <c r="X531" s="1163"/>
      <c r="Y531" s="1163"/>
    </row>
    <row r="532" ht="12.75" customHeight="1">
      <c r="A532" s="1184"/>
      <c r="B532" s="1184"/>
      <c r="C532" s="1184"/>
      <c r="D532" s="1184"/>
      <c r="E532" s="1184"/>
      <c r="F532" s="1184"/>
      <c r="G532" s="1184"/>
      <c r="H532" s="1184"/>
      <c r="I532" s="1184"/>
      <c r="J532" s="1184"/>
      <c r="K532" s="1184"/>
      <c r="L532" s="1184"/>
      <c r="M532" s="1184"/>
      <c r="N532" s="1184"/>
      <c r="O532" s="1184"/>
      <c r="P532" s="1163"/>
      <c r="Q532" s="1163"/>
      <c r="R532" s="1163"/>
      <c r="S532" s="1163"/>
      <c r="T532" s="1163"/>
      <c r="U532" s="1163"/>
      <c r="V532" s="1163"/>
      <c r="W532" s="1163"/>
      <c r="X532" s="1163"/>
      <c r="Y532" s="1163"/>
    </row>
    <row r="533" ht="12.75" customHeight="1">
      <c r="A533" s="1184"/>
      <c r="B533" s="1184"/>
      <c r="C533" s="1184"/>
      <c r="D533" s="1184"/>
      <c r="E533" s="1184"/>
      <c r="F533" s="1184"/>
      <c r="G533" s="1184"/>
      <c r="H533" s="1184"/>
      <c r="I533" s="1184"/>
      <c r="J533" s="1184"/>
      <c r="K533" s="1184"/>
      <c r="L533" s="1184"/>
      <c r="M533" s="1184"/>
      <c r="N533" s="1184"/>
      <c r="O533" s="1184"/>
      <c r="P533" s="1163"/>
      <c r="Q533" s="1163"/>
      <c r="R533" s="1163"/>
      <c r="S533" s="1163"/>
      <c r="T533" s="1163"/>
      <c r="U533" s="1163"/>
      <c r="V533" s="1163"/>
      <c r="W533" s="1163"/>
      <c r="X533" s="1163"/>
      <c r="Y533" s="1163"/>
    </row>
    <row r="534" ht="12.75" customHeight="1">
      <c r="A534" s="1184"/>
      <c r="B534" s="1184"/>
      <c r="C534" s="1184"/>
      <c r="D534" s="1184"/>
      <c r="E534" s="1184"/>
      <c r="F534" s="1184"/>
      <c r="G534" s="1184"/>
      <c r="H534" s="1184"/>
      <c r="I534" s="1184"/>
      <c r="J534" s="1184"/>
      <c r="K534" s="1184"/>
      <c r="L534" s="1184"/>
      <c r="M534" s="1184"/>
      <c r="N534" s="1184"/>
      <c r="O534" s="1184"/>
      <c r="P534" s="1163"/>
      <c r="Q534" s="1163"/>
      <c r="R534" s="1163"/>
      <c r="S534" s="1163"/>
      <c r="T534" s="1163"/>
      <c r="U534" s="1163"/>
      <c r="V534" s="1163"/>
      <c r="W534" s="1163"/>
      <c r="X534" s="1163"/>
      <c r="Y534" s="1163"/>
    </row>
    <row r="535" ht="12.75" customHeight="1">
      <c r="A535" s="1184"/>
      <c r="B535" s="1184"/>
      <c r="C535" s="1184"/>
      <c r="D535" s="1184"/>
      <c r="E535" s="1184"/>
      <c r="F535" s="1184"/>
      <c r="G535" s="1184"/>
      <c r="H535" s="1184"/>
      <c r="I535" s="1184"/>
      <c r="J535" s="1184"/>
      <c r="K535" s="1184"/>
      <c r="L535" s="1184"/>
      <c r="M535" s="1184"/>
      <c r="N535" s="1184"/>
      <c r="O535" s="1184"/>
      <c r="P535" s="1163"/>
      <c r="Q535" s="1163"/>
      <c r="R535" s="1163"/>
      <c r="S535" s="1163"/>
      <c r="T535" s="1163"/>
      <c r="U535" s="1163"/>
      <c r="V535" s="1163"/>
      <c r="W535" s="1163"/>
      <c r="X535" s="1163"/>
      <c r="Y535" s="1163"/>
    </row>
    <row r="536" ht="12.75" customHeight="1">
      <c r="A536" s="1184"/>
      <c r="B536" s="1184"/>
      <c r="C536" s="1184"/>
      <c r="D536" s="1184"/>
      <c r="E536" s="1184"/>
      <c r="F536" s="1184"/>
      <c r="G536" s="1184"/>
      <c r="H536" s="1184"/>
      <c r="I536" s="1184"/>
      <c r="J536" s="1184"/>
      <c r="K536" s="1184"/>
      <c r="L536" s="1184"/>
      <c r="M536" s="1184"/>
      <c r="N536" s="1184"/>
      <c r="O536" s="1184"/>
      <c r="P536" s="1163"/>
      <c r="Q536" s="1163"/>
      <c r="R536" s="1163"/>
      <c r="S536" s="1163"/>
      <c r="T536" s="1163"/>
      <c r="U536" s="1163"/>
      <c r="V536" s="1163"/>
      <c r="W536" s="1163"/>
      <c r="X536" s="1163"/>
      <c r="Y536" s="1163"/>
    </row>
    <row r="537" ht="12.75" customHeight="1">
      <c r="A537" s="1184"/>
      <c r="B537" s="1184"/>
      <c r="C537" s="1184"/>
      <c r="D537" s="1184"/>
      <c r="E537" s="1184"/>
      <c r="F537" s="1184"/>
      <c r="G537" s="1184"/>
      <c r="H537" s="1184"/>
      <c r="I537" s="1184"/>
      <c r="J537" s="1184"/>
      <c r="K537" s="1184"/>
      <c r="L537" s="1184"/>
      <c r="M537" s="1184"/>
      <c r="N537" s="1184"/>
      <c r="O537" s="1184"/>
      <c r="P537" s="1163"/>
      <c r="Q537" s="1163"/>
      <c r="R537" s="1163"/>
      <c r="S537" s="1163"/>
      <c r="T537" s="1163"/>
      <c r="U537" s="1163"/>
      <c r="V537" s="1163"/>
      <c r="W537" s="1163"/>
      <c r="X537" s="1163"/>
      <c r="Y537" s="1163"/>
    </row>
    <row r="538" ht="12.75" customHeight="1">
      <c r="A538" s="1184"/>
      <c r="B538" s="1184"/>
      <c r="C538" s="1184"/>
      <c r="D538" s="1184"/>
      <c r="E538" s="1184"/>
      <c r="F538" s="1184"/>
      <c r="G538" s="1184"/>
      <c r="H538" s="1184"/>
      <c r="I538" s="1184"/>
      <c r="J538" s="1184"/>
      <c r="K538" s="1184"/>
      <c r="L538" s="1184"/>
      <c r="M538" s="1184"/>
      <c r="N538" s="1184"/>
      <c r="O538" s="1184"/>
      <c r="P538" s="1163"/>
      <c r="Q538" s="1163"/>
      <c r="R538" s="1163"/>
      <c r="S538" s="1163"/>
      <c r="T538" s="1163"/>
      <c r="U538" s="1163"/>
      <c r="V538" s="1163"/>
      <c r="W538" s="1163"/>
      <c r="X538" s="1163"/>
      <c r="Y538" s="1163"/>
    </row>
    <row r="539" ht="12.75" customHeight="1">
      <c r="A539" s="1184"/>
      <c r="B539" s="1184"/>
      <c r="C539" s="1184"/>
      <c r="D539" s="1184"/>
      <c r="E539" s="1184"/>
      <c r="F539" s="1184"/>
      <c r="G539" s="1184"/>
      <c r="H539" s="1184"/>
      <c r="I539" s="1184"/>
      <c r="J539" s="1184"/>
      <c r="K539" s="1184"/>
      <c r="L539" s="1184"/>
      <c r="M539" s="1184"/>
      <c r="N539" s="1184"/>
      <c r="O539" s="1184"/>
      <c r="P539" s="1163"/>
      <c r="Q539" s="1163"/>
      <c r="R539" s="1163"/>
      <c r="S539" s="1163"/>
      <c r="T539" s="1163"/>
      <c r="U539" s="1163"/>
      <c r="V539" s="1163"/>
      <c r="W539" s="1163"/>
      <c r="X539" s="1163"/>
      <c r="Y539" s="1163"/>
    </row>
    <row r="540" ht="12.75" customHeight="1">
      <c r="A540" s="1184"/>
      <c r="B540" s="1184"/>
      <c r="C540" s="1184"/>
      <c r="D540" s="1184"/>
      <c r="E540" s="1184"/>
      <c r="F540" s="1184"/>
      <c r="G540" s="1184"/>
      <c r="H540" s="1184"/>
      <c r="I540" s="1184"/>
      <c r="J540" s="1184"/>
      <c r="K540" s="1184"/>
      <c r="L540" s="1184"/>
      <c r="M540" s="1184"/>
      <c r="N540" s="1184"/>
      <c r="O540" s="1184"/>
      <c r="P540" s="1163"/>
      <c r="Q540" s="1163"/>
      <c r="R540" s="1163"/>
      <c r="S540" s="1163"/>
      <c r="T540" s="1163"/>
      <c r="U540" s="1163"/>
      <c r="V540" s="1163"/>
      <c r="W540" s="1163"/>
      <c r="X540" s="1163"/>
      <c r="Y540" s="1163"/>
    </row>
    <row r="541" ht="12.75" customHeight="1">
      <c r="A541" s="1184"/>
      <c r="B541" s="1184"/>
      <c r="C541" s="1184"/>
      <c r="D541" s="1184"/>
      <c r="E541" s="1184"/>
      <c r="F541" s="1184"/>
      <c r="G541" s="1184"/>
      <c r="H541" s="1184"/>
      <c r="I541" s="1184"/>
      <c r="J541" s="1184"/>
      <c r="K541" s="1184"/>
      <c r="L541" s="1184"/>
      <c r="M541" s="1184"/>
      <c r="N541" s="1184"/>
      <c r="O541" s="1184"/>
      <c r="P541" s="1163"/>
      <c r="Q541" s="1163"/>
      <c r="R541" s="1163"/>
      <c r="S541" s="1163"/>
      <c r="T541" s="1163"/>
      <c r="U541" s="1163"/>
      <c r="V541" s="1163"/>
      <c r="W541" s="1163"/>
      <c r="X541" s="1163"/>
      <c r="Y541" s="1163"/>
    </row>
    <row r="542" ht="12.75" customHeight="1">
      <c r="A542" s="1184"/>
      <c r="B542" s="1184"/>
      <c r="C542" s="1184"/>
      <c r="D542" s="1184"/>
      <c r="E542" s="1184"/>
      <c r="F542" s="1184"/>
      <c r="G542" s="1184"/>
      <c r="H542" s="1184"/>
      <c r="I542" s="1184"/>
      <c r="J542" s="1184"/>
      <c r="K542" s="1184"/>
      <c r="L542" s="1184"/>
      <c r="M542" s="1184"/>
      <c r="N542" s="1184"/>
      <c r="O542" s="1184"/>
      <c r="P542" s="1163"/>
      <c r="Q542" s="1163"/>
      <c r="R542" s="1163"/>
      <c r="S542" s="1163"/>
      <c r="T542" s="1163"/>
      <c r="U542" s="1163"/>
      <c r="V542" s="1163"/>
      <c r="W542" s="1163"/>
      <c r="X542" s="1163"/>
      <c r="Y542" s="1163"/>
    </row>
    <row r="543" ht="12.75" customHeight="1">
      <c r="A543" s="1184"/>
      <c r="B543" s="1184"/>
      <c r="C543" s="1184"/>
      <c r="D543" s="1184"/>
      <c r="E543" s="1184"/>
      <c r="F543" s="1184"/>
      <c r="G543" s="1184"/>
      <c r="H543" s="1184"/>
      <c r="I543" s="1184"/>
      <c r="J543" s="1184"/>
      <c r="K543" s="1184"/>
      <c r="L543" s="1184"/>
      <c r="M543" s="1184"/>
      <c r="N543" s="1184"/>
      <c r="O543" s="1184"/>
      <c r="P543" s="1163"/>
      <c r="Q543" s="1163"/>
      <c r="R543" s="1163"/>
      <c r="S543" s="1163"/>
      <c r="T543" s="1163"/>
      <c r="U543" s="1163"/>
      <c r="V543" s="1163"/>
      <c r="W543" s="1163"/>
      <c r="X543" s="1163"/>
      <c r="Y543" s="1163"/>
    </row>
    <row r="544" ht="12.75" customHeight="1">
      <c r="A544" s="1184"/>
      <c r="B544" s="1184"/>
      <c r="C544" s="1184"/>
      <c r="D544" s="1184"/>
      <c r="E544" s="1184"/>
      <c r="F544" s="1184"/>
      <c r="G544" s="1184"/>
      <c r="H544" s="1184"/>
      <c r="I544" s="1184"/>
      <c r="J544" s="1184"/>
      <c r="K544" s="1184"/>
      <c r="L544" s="1184"/>
      <c r="M544" s="1184"/>
      <c r="N544" s="1184"/>
      <c r="O544" s="1184"/>
      <c r="P544" s="1163"/>
      <c r="Q544" s="1163"/>
      <c r="R544" s="1163"/>
      <c r="S544" s="1163"/>
      <c r="T544" s="1163"/>
      <c r="U544" s="1163"/>
      <c r="V544" s="1163"/>
      <c r="W544" s="1163"/>
      <c r="X544" s="1163"/>
      <c r="Y544" s="1163"/>
    </row>
    <row r="545" ht="12.75" customHeight="1">
      <c r="A545" s="1184"/>
      <c r="B545" s="1184"/>
      <c r="C545" s="1184"/>
      <c r="D545" s="1184"/>
      <c r="E545" s="1184"/>
      <c r="F545" s="1184"/>
      <c r="G545" s="1184"/>
      <c r="H545" s="1184"/>
      <c r="I545" s="1184"/>
      <c r="J545" s="1184"/>
      <c r="K545" s="1184"/>
      <c r="L545" s="1184"/>
      <c r="M545" s="1184"/>
      <c r="N545" s="1184"/>
      <c r="O545" s="1184"/>
      <c r="P545" s="1163"/>
      <c r="Q545" s="1163"/>
      <c r="R545" s="1163"/>
      <c r="S545" s="1163"/>
      <c r="T545" s="1163"/>
      <c r="U545" s="1163"/>
      <c r="V545" s="1163"/>
      <c r="W545" s="1163"/>
      <c r="X545" s="1163"/>
      <c r="Y545" s="1163"/>
    </row>
    <row r="546" ht="12.75" customHeight="1">
      <c r="A546" s="1184"/>
      <c r="B546" s="1184"/>
      <c r="C546" s="1184"/>
      <c r="D546" s="1184"/>
      <c r="E546" s="1184"/>
      <c r="F546" s="1184"/>
      <c r="G546" s="1184"/>
      <c r="H546" s="1184"/>
      <c r="I546" s="1184"/>
      <c r="J546" s="1184"/>
      <c r="K546" s="1184"/>
      <c r="L546" s="1184"/>
      <c r="M546" s="1184"/>
      <c r="N546" s="1184"/>
      <c r="O546" s="1184"/>
      <c r="P546" s="1163"/>
      <c r="Q546" s="1163"/>
      <c r="R546" s="1163"/>
      <c r="S546" s="1163"/>
      <c r="T546" s="1163"/>
      <c r="U546" s="1163"/>
      <c r="V546" s="1163"/>
      <c r="W546" s="1163"/>
      <c r="X546" s="1163"/>
      <c r="Y546" s="1163"/>
    </row>
    <row r="547" ht="12.75" customHeight="1">
      <c r="A547" s="1184"/>
      <c r="B547" s="1184"/>
      <c r="C547" s="1184"/>
      <c r="D547" s="1184"/>
      <c r="E547" s="1184"/>
      <c r="F547" s="1184"/>
      <c r="G547" s="1184"/>
      <c r="H547" s="1184"/>
      <c r="I547" s="1184"/>
      <c r="J547" s="1184"/>
      <c r="K547" s="1184"/>
      <c r="L547" s="1184"/>
      <c r="M547" s="1184"/>
      <c r="N547" s="1184"/>
      <c r="O547" s="1184"/>
      <c r="P547" s="1163"/>
      <c r="Q547" s="1163"/>
      <c r="R547" s="1163"/>
      <c r="S547" s="1163"/>
      <c r="T547" s="1163"/>
      <c r="U547" s="1163"/>
      <c r="V547" s="1163"/>
      <c r="W547" s="1163"/>
      <c r="X547" s="1163"/>
      <c r="Y547" s="1163"/>
    </row>
    <row r="548" ht="12.75" customHeight="1">
      <c r="A548" s="1184"/>
      <c r="B548" s="1184"/>
      <c r="C548" s="1184"/>
      <c r="D548" s="1184"/>
      <c r="E548" s="1184"/>
      <c r="F548" s="1184"/>
      <c r="G548" s="1184"/>
      <c r="H548" s="1184"/>
      <c r="I548" s="1184"/>
      <c r="J548" s="1184"/>
      <c r="K548" s="1184"/>
      <c r="L548" s="1184"/>
      <c r="M548" s="1184"/>
      <c r="N548" s="1184"/>
      <c r="O548" s="1184"/>
      <c r="P548" s="1163"/>
      <c r="Q548" s="1163"/>
      <c r="R548" s="1163"/>
      <c r="S548" s="1163"/>
      <c r="T548" s="1163"/>
      <c r="U548" s="1163"/>
      <c r="V548" s="1163"/>
      <c r="W548" s="1163"/>
      <c r="X548" s="1163"/>
      <c r="Y548" s="1163"/>
    </row>
    <row r="549" ht="12.75" customHeight="1">
      <c r="A549" s="1184"/>
      <c r="B549" s="1184"/>
      <c r="C549" s="1184"/>
      <c r="D549" s="1184"/>
      <c r="E549" s="1184"/>
      <c r="F549" s="1184"/>
      <c r="G549" s="1184"/>
      <c r="H549" s="1184"/>
      <c r="I549" s="1184"/>
      <c r="J549" s="1184"/>
      <c r="K549" s="1184"/>
      <c r="L549" s="1184"/>
      <c r="M549" s="1184"/>
      <c r="N549" s="1184"/>
      <c r="O549" s="1184"/>
      <c r="P549" s="1163"/>
      <c r="Q549" s="1163"/>
      <c r="R549" s="1163"/>
      <c r="S549" s="1163"/>
      <c r="T549" s="1163"/>
      <c r="U549" s="1163"/>
      <c r="V549" s="1163"/>
      <c r="W549" s="1163"/>
      <c r="X549" s="1163"/>
      <c r="Y549" s="1163"/>
    </row>
    <row r="550" ht="12.75" customHeight="1">
      <c r="A550" s="1184"/>
      <c r="B550" s="1184"/>
      <c r="C550" s="1184"/>
      <c r="D550" s="1184"/>
      <c r="E550" s="1184"/>
      <c r="F550" s="1184"/>
      <c r="G550" s="1184"/>
      <c r="H550" s="1184"/>
      <c r="I550" s="1184"/>
      <c r="J550" s="1184"/>
      <c r="K550" s="1184"/>
      <c r="L550" s="1184"/>
      <c r="M550" s="1184"/>
      <c r="N550" s="1184"/>
      <c r="O550" s="1184"/>
      <c r="P550" s="1163"/>
      <c r="Q550" s="1163"/>
      <c r="R550" s="1163"/>
      <c r="S550" s="1163"/>
      <c r="T550" s="1163"/>
      <c r="U550" s="1163"/>
      <c r="V550" s="1163"/>
      <c r="W550" s="1163"/>
      <c r="X550" s="1163"/>
      <c r="Y550" s="1163"/>
    </row>
    <row r="551" ht="12.75" customHeight="1">
      <c r="A551" s="1184"/>
      <c r="B551" s="1184"/>
      <c r="C551" s="1184"/>
      <c r="D551" s="1184"/>
      <c r="E551" s="1184"/>
      <c r="F551" s="1184"/>
      <c r="G551" s="1184"/>
      <c r="H551" s="1184"/>
      <c r="I551" s="1184"/>
      <c r="J551" s="1184"/>
      <c r="K551" s="1184"/>
      <c r="L551" s="1184"/>
      <c r="M551" s="1184"/>
      <c r="N551" s="1184"/>
      <c r="O551" s="1184"/>
      <c r="P551" s="1163"/>
      <c r="Q551" s="1163"/>
      <c r="R551" s="1163"/>
      <c r="S551" s="1163"/>
      <c r="T551" s="1163"/>
      <c r="U551" s="1163"/>
      <c r="V551" s="1163"/>
      <c r="W551" s="1163"/>
      <c r="X551" s="1163"/>
      <c r="Y551" s="1163"/>
    </row>
    <row r="552" ht="12.75" customHeight="1">
      <c r="A552" s="1184"/>
      <c r="B552" s="1184"/>
      <c r="C552" s="1184"/>
      <c r="D552" s="1184"/>
      <c r="E552" s="1184"/>
      <c r="F552" s="1184"/>
      <c r="G552" s="1184"/>
      <c r="H552" s="1184"/>
      <c r="I552" s="1184"/>
      <c r="J552" s="1184"/>
      <c r="K552" s="1184"/>
      <c r="L552" s="1184"/>
      <c r="M552" s="1184"/>
      <c r="N552" s="1184"/>
      <c r="O552" s="1184"/>
      <c r="P552" s="1163"/>
      <c r="Q552" s="1163"/>
      <c r="R552" s="1163"/>
      <c r="S552" s="1163"/>
      <c r="T552" s="1163"/>
      <c r="U552" s="1163"/>
      <c r="V552" s="1163"/>
      <c r="W552" s="1163"/>
      <c r="X552" s="1163"/>
      <c r="Y552" s="1163"/>
    </row>
    <row r="553" ht="12.75" customHeight="1">
      <c r="A553" s="1184"/>
      <c r="B553" s="1184"/>
      <c r="C553" s="1184"/>
      <c r="D553" s="1184"/>
      <c r="E553" s="1184"/>
      <c r="F553" s="1184"/>
      <c r="G553" s="1184"/>
      <c r="H553" s="1184"/>
      <c r="I553" s="1184"/>
      <c r="J553" s="1184"/>
      <c r="K553" s="1184"/>
      <c r="L553" s="1184"/>
      <c r="M553" s="1184"/>
      <c r="N553" s="1184"/>
      <c r="O553" s="1184"/>
      <c r="P553" s="1163"/>
      <c r="Q553" s="1163"/>
      <c r="R553" s="1163"/>
      <c r="S553" s="1163"/>
      <c r="T553" s="1163"/>
      <c r="U553" s="1163"/>
      <c r="V553" s="1163"/>
      <c r="W553" s="1163"/>
      <c r="X553" s="1163"/>
      <c r="Y553" s="1163"/>
    </row>
    <row r="554" ht="12.75" customHeight="1">
      <c r="A554" s="1184"/>
      <c r="B554" s="1184"/>
      <c r="C554" s="1184"/>
      <c r="D554" s="1184"/>
      <c r="E554" s="1184"/>
      <c r="F554" s="1184"/>
      <c r="G554" s="1184"/>
      <c r="H554" s="1184"/>
      <c r="I554" s="1184"/>
      <c r="J554" s="1184"/>
      <c r="K554" s="1184"/>
      <c r="L554" s="1184"/>
      <c r="M554" s="1184"/>
      <c r="N554" s="1184"/>
      <c r="O554" s="1184"/>
      <c r="P554" s="1163"/>
      <c r="Q554" s="1163"/>
      <c r="R554" s="1163"/>
      <c r="S554" s="1163"/>
      <c r="T554" s="1163"/>
      <c r="U554" s="1163"/>
      <c r="V554" s="1163"/>
      <c r="W554" s="1163"/>
      <c r="X554" s="1163"/>
      <c r="Y554" s="1163"/>
    </row>
    <row r="555" ht="12.75" customHeight="1">
      <c r="A555" s="1184"/>
      <c r="B555" s="1184"/>
      <c r="C555" s="1184"/>
      <c r="D555" s="1184"/>
      <c r="E555" s="1184"/>
      <c r="F555" s="1184"/>
      <c r="G555" s="1184"/>
      <c r="H555" s="1184"/>
      <c r="I555" s="1184"/>
      <c r="J555" s="1184"/>
      <c r="K555" s="1184"/>
      <c r="L555" s="1184"/>
      <c r="M555" s="1184"/>
      <c r="N555" s="1184"/>
      <c r="O555" s="1184"/>
      <c r="P555" s="1163"/>
      <c r="Q555" s="1163"/>
      <c r="R555" s="1163"/>
      <c r="S555" s="1163"/>
      <c r="T555" s="1163"/>
      <c r="U555" s="1163"/>
      <c r="V555" s="1163"/>
      <c r="W555" s="1163"/>
      <c r="X555" s="1163"/>
      <c r="Y555" s="1163"/>
    </row>
    <row r="556" ht="12.75" customHeight="1">
      <c r="A556" s="1184"/>
      <c r="B556" s="1184"/>
      <c r="C556" s="1184"/>
      <c r="D556" s="1184"/>
      <c r="E556" s="1184"/>
      <c r="F556" s="1184"/>
      <c r="G556" s="1184"/>
      <c r="H556" s="1184"/>
      <c r="I556" s="1184"/>
      <c r="J556" s="1184"/>
      <c r="K556" s="1184"/>
      <c r="L556" s="1184"/>
      <c r="M556" s="1184"/>
      <c r="N556" s="1184"/>
      <c r="O556" s="1184"/>
      <c r="P556" s="1163"/>
      <c r="Q556" s="1163"/>
      <c r="R556" s="1163"/>
      <c r="S556" s="1163"/>
      <c r="T556" s="1163"/>
      <c r="U556" s="1163"/>
      <c r="V556" s="1163"/>
      <c r="W556" s="1163"/>
      <c r="X556" s="1163"/>
      <c r="Y556" s="1163"/>
    </row>
    <row r="557" ht="12.75" customHeight="1">
      <c r="A557" s="1184"/>
      <c r="B557" s="1184"/>
      <c r="C557" s="1184"/>
      <c r="D557" s="1184"/>
      <c r="E557" s="1184"/>
      <c r="F557" s="1184"/>
      <c r="G557" s="1184"/>
      <c r="H557" s="1184"/>
      <c r="I557" s="1184"/>
      <c r="J557" s="1184"/>
      <c r="K557" s="1184"/>
      <c r="L557" s="1184"/>
      <c r="M557" s="1184"/>
      <c r="N557" s="1184"/>
      <c r="O557" s="1184"/>
      <c r="P557" s="1163"/>
      <c r="Q557" s="1163"/>
      <c r="R557" s="1163"/>
      <c r="S557" s="1163"/>
      <c r="T557" s="1163"/>
      <c r="U557" s="1163"/>
      <c r="V557" s="1163"/>
      <c r="W557" s="1163"/>
      <c r="X557" s="1163"/>
      <c r="Y557" s="1163"/>
    </row>
    <row r="558" ht="12.75" customHeight="1">
      <c r="A558" s="1184"/>
      <c r="B558" s="1184"/>
      <c r="C558" s="1184"/>
      <c r="D558" s="1184"/>
      <c r="E558" s="1184"/>
      <c r="F558" s="1184"/>
      <c r="G558" s="1184"/>
      <c r="H558" s="1184"/>
      <c r="I558" s="1184"/>
      <c r="J558" s="1184"/>
      <c r="K558" s="1184"/>
      <c r="L558" s="1184"/>
      <c r="M558" s="1184"/>
      <c r="N558" s="1184"/>
      <c r="O558" s="1184"/>
      <c r="P558" s="1163"/>
      <c r="Q558" s="1163"/>
      <c r="R558" s="1163"/>
      <c r="S558" s="1163"/>
      <c r="T558" s="1163"/>
      <c r="U558" s="1163"/>
      <c r="V558" s="1163"/>
      <c r="W558" s="1163"/>
      <c r="X558" s="1163"/>
      <c r="Y558" s="1163"/>
    </row>
    <row r="559" ht="12.75" customHeight="1">
      <c r="A559" s="1184"/>
      <c r="B559" s="1184"/>
      <c r="C559" s="1184"/>
      <c r="D559" s="1184"/>
      <c r="E559" s="1184"/>
      <c r="F559" s="1184"/>
      <c r="G559" s="1184"/>
      <c r="H559" s="1184"/>
      <c r="I559" s="1184"/>
      <c r="J559" s="1184"/>
      <c r="K559" s="1184"/>
      <c r="L559" s="1184"/>
      <c r="M559" s="1184"/>
      <c r="N559" s="1184"/>
      <c r="O559" s="1184"/>
      <c r="P559" s="1163"/>
      <c r="Q559" s="1163"/>
      <c r="R559" s="1163"/>
      <c r="S559" s="1163"/>
      <c r="T559" s="1163"/>
      <c r="U559" s="1163"/>
      <c r="V559" s="1163"/>
      <c r="W559" s="1163"/>
      <c r="X559" s="1163"/>
      <c r="Y559" s="1163"/>
    </row>
    <row r="560" ht="12.75" customHeight="1">
      <c r="A560" s="1184"/>
      <c r="B560" s="1184"/>
      <c r="C560" s="1184"/>
      <c r="D560" s="1184"/>
      <c r="E560" s="1184"/>
      <c r="F560" s="1184"/>
      <c r="G560" s="1184"/>
      <c r="H560" s="1184"/>
      <c r="I560" s="1184"/>
      <c r="J560" s="1184"/>
      <c r="K560" s="1184"/>
      <c r="L560" s="1184"/>
      <c r="M560" s="1184"/>
      <c r="N560" s="1184"/>
      <c r="O560" s="1184"/>
      <c r="P560" s="1163"/>
      <c r="Q560" s="1163"/>
      <c r="R560" s="1163"/>
      <c r="S560" s="1163"/>
      <c r="T560" s="1163"/>
      <c r="U560" s="1163"/>
      <c r="V560" s="1163"/>
      <c r="W560" s="1163"/>
      <c r="X560" s="1163"/>
      <c r="Y560" s="1163"/>
    </row>
    <row r="561" ht="12.75" customHeight="1">
      <c r="A561" s="1184"/>
      <c r="B561" s="1184"/>
      <c r="C561" s="1184"/>
      <c r="D561" s="1184"/>
      <c r="E561" s="1184"/>
      <c r="F561" s="1184"/>
      <c r="G561" s="1184"/>
      <c r="H561" s="1184"/>
      <c r="I561" s="1184"/>
      <c r="J561" s="1184"/>
      <c r="K561" s="1184"/>
      <c r="L561" s="1184"/>
      <c r="M561" s="1184"/>
      <c r="N561" s="1184"/>
      <c r="O561" s="1184"/>
      <c r="P561" s="1163"/>
      <c r="Q561" s="1163"/>
      <c r="R561" s="1163"/>
      <c r="S561" s="1163"/>
      <c r="T561" s="1163"/>
      <c r="U561" s="1163"/>
      <c r="V561" s="1163"/>
      <c r="W561" s="1163"/>
      <c r="X561" s="1163"/>
      <c r="Y561" s="1163"/>
    </row>
    <row r="562" ht="12.75" customHeight="1">
      <c r="A562" s="1184"/>
      <c r="B562" s="1184"/>
      <c r="C562" s="1184"/>
      <c r="D562" s="1184"/>
      <c r="E562" s="1184"/>
      <c r="F562" s="1184"/>
      <c r="G562" s="1184"/>
      <c r="H562" s="1184"/>
      <c r="I562" s="1184"/>
      <c r="J562" s="1184"/>
      <c r="K562" s="1184"/>
      <c r="L562" s="1184"/>
      <c r="M562" s="1184"/>
      <c r="N562" s="1184"/>
      <c r="O562" s="1184"/>
      <c r="P562" s="1163"/>
      <c r="Q562" s="1163"/>
      <c r="R562" s="1163"/>
      <c r="S562" s="1163"/>
      <c r="T562" s="1163"/>
      <c r="U562" s="1163"/>
      <c r="V562" s="1163"/>
      <c r="W562" s="1163"/>
      <c r="X562" s="1163"/>
      <c r="Y562" s="1163"/>
    </row>
    <row r="563" ht="12.75" customHeight="1">
      <c r="A563" s="1184"/>
      <c r="B563" s="1184"/>
      <c r="C563" s="1184"/>
      <c r="D563" s="1184"/>
      <c r="E563" s="1184"/>
      <c r="F563" s="1184"/>
      <c r="G563" s="1184"/>
      <c r="H563" s="1184"/>
      <c r="I563" s="1184"/>
      <c r="J563" s="1184"/>
      <c r="K563" s="1184"/>
      <c r="L563" s="1184"/>
      <c r="M563" s="1184"/>
      <c r="N563" s="1184"/>
      <c r="O563" s="1184"/>
      <c r="P563" s="1163"/>
      <c r="Q563" s="1163"/>
      <c r="R563" s="1163"/>
      <c r="S563" s="1163"/>
      <c r="T563" s="1163"/>
      <c r="U563" s="1163"/>
      <c r="V563" s="1163"/>
      <c r="W563" s="1163"/>
      <c r="X563" s="1163"/>
      <c r="Y563" s="1163"/>
    </row>
    <row r="564" ht="12.75" customHeight="1">
      <c r="A564" s="1184"/>
      <c r="B564" s="1184"/>
      <c r="C564" s="1184"/>
      <c r="D564" s="1184"/>
      <c r="E564" s="1184"/>
      <c r="F564" s="1184"/>
      <c r="G564" s="1184"/>
      <c r="H564" s="1184"/>
      <c r="I564" s="1184"/>
      <c r="J564" s="1184"/>
      <c r="K564" s="1184"/>
      <c r="L564" s="1184"/>
      <c r="M564" s="1184"/>
      <c r="N564" s="1184"/>
      <c r="O564" s="1184"/>
      <c r="P564" s="1163"/>
      <c r="Q564" s="1163"/>
      <c r="R564" s="1163"/>
      <c r="S564" s="1163"/>
      <c r="T564" s="1163"/>
      <c r="U564" s="1163"/>
      <c r="V564" s="1163"/>
      <c r="W564" s="1163"/>
      <c r="X564" s="1163"/>
      <c r="Y564" s="1163"/>
    </row>
    <row r="565" ht="12.75" customHeight="1">
      <c r="A565" s="1184"/>
      <c r="B565" s="1184"/>
      <c r="C565" s="1184"/>
      <c r="D565" s="1184"/>
      <c r="E565" s="1184"/>
      <c r="F565" s="1184"/>
      <c r="G565" s="1184"/>
      <c r="H565" s="1184"/>
      <c r="I565" s="1184"/>
      <c r="J565" s="1184"/>
      <c r="K565" s="1184"/>
      <c r="L565" s="1184"/>
      <c r="M565" s="1184"/>
      <c r="N565" s="1184"/>
      <c r="O565" s="1184"/>
      <c r="P565" s="1163"/>
      <c r="Q565" s="1163"/>
      <c r="R565" s="1163"/>
      <c r="S565" s="1163"/>
      <c r="T565" s="1163"/>
      <c r="U565" s="1163"/>
      <c r="V565" s="1163"/>
      <c r="W565" s="1163"/>
      <c r="X565" s="1163"/>
      <c r="Y565" s="1163"/>
    </row>
    <row r="566" ht="12.75" customHeight="1">
      <c r="A566" s="1184"/>
      <c r="B566" s="1184"/>
      <c r="C566" s="1184"/>
      <c r="D566" s="1184"/>
      <c r="E566" s="1184"/>
      <c r="F566" s="1184"/>
      <c r="G566" s="1184"/>
      <c r="H566" s="1184"/>
      <c r="I566" s="1184"/>
      <c r="J566" s="1184"/>
      <c r="K566" s="1184"/>
      <c r="L566" s="1184"/>
      <c r="M566" s="1184"/>
      <c r="N566" s="1184"/>
      <c r="O566" s="1184"/>
      <c r="P566" s="1163"/>
      <c r="Q566" s="1163"/>
      <c r="R566" s="1163"/>
      <c r="S566" s="1163"/>
      <c r="T566" s="1163"/>
      <c r="U566" s="1163"/>
      <c r="V566" s="1163"/>
      <c r="W566" s="1163"/>
      <c r="X566" s="1163"/>
      <c r="Y566" s="1163"/>
    </row>
    <row r="567" ht="12.75" customHeight="1">
      <c r="A567" s="1184"/>
      <c r="B567" s="1184"/>
      <c r="C567" s="1184"/>
      <c r="D567" s="1184"/>
      <c r="E567" s="1184"/>
      <c r="F567" s="1184"/>
      <c r="G567" s="1184"/>
      <c r="H567" s="1184"/>
      <c r="I567" s="1184"/>
      <c r="J567" s="1184"/>
      <c r="K567" s="1184"/>
      <c r="L567" s="1184"/>
      <c r="M567" s="1184"/>
      <c r="N567" s="1184"/>
      <c r="O567" s="1184"/>
      <c r="P567" s="1163"/>
      <c r="Q567" s="1163"/>
      <c r="R567" s="1163"/>
      <c r="S567" s="1163"/>
      <c r="T567" s="1163"/>
      <c r="U567" s="1163"/>
      <c r="V567" s="1163"/>
      <c r="W567" s="1163"/>
      <c r="X567" s="1163"/>
      <c r="Y567" s="1163"/>
    </row>
    <row r="568" ht="12.75" customHeight="1">
      <c r="A568" s="1184"/>
      <c r="B568" s="1184"/>
      <c r="C568" s="1184"/>
      <c r="D568" s="1184"/>
      <c r="E568" s="1184"/>
      <c r="F568" s="1184"/>
      <c r="G568" s="1184"/>
      <c r="H568" s="1184"/>
      <c r="I568" s="1184"/>
      <c r="J568" s="1184"/>
      <c r="K568" s="1184"/>
      <c r="L568" s="1184"/>
      <c r="M568" s="1184"/>
      <c r="N568" s="1184"/>
      <c r="O568" s="1184"/>
      <c r="P568" s="1163"/>
      <c r="Q568" s="1163"/>
      <c r="R568" s="1163"/>
      <c r="S568" s="1163"/>
      <c r="T568" s="1163"/>
      <c r="U568" s="1163"/>
      <c r="V568" s="1163"/>
      <c r="W568" s="1163"/>
      <c r="X568" s="1163"/>
      <c r="Y568" s="1163"/>
    </row>
    <row r="569" ht="12.75" customHeight="1">
      <c r="A569" s="1184"/>
      <c r="B569" s="1184"/>
      <c r="C569" s="1184"/>
      <c r="D569" s="1184"/>
      <c r="E569" s="1184"/>
      <c r="F569" s="1184"/>
      <c r="G569" s="1184"/>
      <c r="H569" s="1184"/>
      <c r="I569" s="1184"/>
      <c r="J569" s="1184"/>
      <c r="K569" s="1184"/>
      <c r="L569" s="1184"/>
      <c r="M569" s="1184"/>
      <c r="N569" s="1184"/>
      <c r="O569" s="1184"/>
      <c r="P569" s="1163"/>
      <c r="Q569" s="1163"/>
      <c r="R569" s="1163"/>
      <c r="S569" s="1163"/>
      <c r="T569" s="1163"/>
      <c r="U569" s="1163"/>
      <c r="V569" s="1163"/>
      <c r="W569" s="1163"/>
      <c r="X569" s="1163"/>
      <c r="Y569" s="1163"/>
    </row>
    <row r="570" ht="12.75" customHeight="1">
      <c r="A570" s="1184"/>
      <c r="B570" s="1184"/>
      <c r="C570" s="1184"/>
      <c r="D570" s="1184"/>
      <c r="E570" s="1184"/>
      <c r="F570" s="1184"/>
      <c r="G570" s="1184"/>
      <c r="H570" s="1184"/>
      <c r="I570" s="1184"/>
      <c r="J570" s="1184"/>
      <c r="K570" s="1184"/>
      <c r="L570" s="1184"/>
      <c r="M570" s="1184"/>
      <c r="N570" s="1184"/>
      <c r="O570" s="1184"/>
      <c r="P570" s="1163"/>
      <c r="Q570" s="1163"/>
      <c r="R570" s="1163"/>
      <c r="S570" s="1163"/>
      <c r="T570" s="1163"/>
      <c r="U570" s="1163"/>
      <c r="V570" s="1163"/>
      <c r="W570" s="1163"/>
      <c r="X570" s="1163"/>
      <c r="Y570" s="1163"/>
    </row>
    <row r="571" ht="12.75" customHeight="1">
      <c r="A571" s="1184"/>
      <c r="B571" s="1184"/>
      <c r="C571" s="1184"/>
      <c r="D571" s="1184"/>
      <c r="E571" s="1184"/>
      <c r="F571" s="1184"/>
      <c r="G571" s="1184"/>
      <c r="H571" s="1184"/>
      <c r="I571" s="1184"/>
      <c r="J571" s="1184"/>
      <c r="K571" s="1184"/>
      <c r="L571" s="1184"/>
      <c r="M571" s="1184"/>
      <c r="N571" s="1184"/>
      <c r="O571" s="1184"/>
      <c r="P571" s="1163"/>
      <c r="Q571" s="1163"/>
      <c r="R571" s="1163"/>
      <c r="S571" s="1163"/>
      <c r="T571" s="1163"/>
      <c r="U571" s="1163"/>
      <c r="V571" s="1163"/>
      <c r="W571" s="1163"/>
      <c r="X571" s="1163"/>
      <c r="Y571" s="1163"/>
    </row>
    <row r="572" ht="12.75" customHeight="1">
      <c r="A572" s="1184"/>
      <c r="B572" s="1184"/>
      <c r="C572" s="1184"/>
      <c r="D572" s="1184"/>
      <c r="E572" s="1184"/>
      <c r="F572" s="1184"/>
      <c r="G572" s="1184"/>
      <c r="H572" s="1184"/>
      <c r="I572" s="1184"/>
      <c r="J572" s="1184"/>
      <c r="K572" s="1184"/>
      <c r="L572" s="1184"/>
      <c r="M572" s="1184"/>
      <c r="N572" s="1184"/>
      <c r="O572" s="1184"/>
      <c r="P572" s="1163"/>
      <c r="Q572" s="1163"/>
      <c r="R572" s="1163"/>
      <c r="S572" s="1163"/>
      <c r="T572" s="1163"/>
      <c r="U572" s="1163"/>
      <c r="V572" s="1163"/>
      <c r="W572" s="1163"/>
      <c r="X572" s="1163"/>
      <c r="Y572" s="1163"/>
    </row>
    <row r="573" ht="12.75" customHeight="1">
      <c r="A573" s="1184"/>
      <c r="B573" s="1184"/>
      <c r="C573" s="1184"/>
      <c r="D573" s="1184"/>
      <c r="E573" s="1184"/>
      <c r="F573" s="1184"/>
      <c r="G573" s="1184"/>
      <c r="H573" s="1184"/>
      <c r="I573" s="1184"/>
      <c r="J573" s="1184"/>
      <c r="K573" s="1184"/>
      <c r="L573" s="1184"/>
      <c r="M573" s="1184"/>
      <c r="N573" s="1184"/>
      <c r="O573" s="1184"/>
      <c r="P573" s="1163"/>
      <c r="Q573" s="1163"/>
      <c r="R573" s="1163"/>
      <c r="S573" s="1163"/>
      <c r="T573" s="1163"/>
      <c r="U573" s="1163"/>
      <c r="V573" s="1163"/>
      <c r="W573" s="1163"/>
      <c r="X573" s="1163"/>
      <c r="Y573" s="1163"/>
    </row>
    <row r="574" ht="12.75" customHeight="1">
      <c r="A574" s="1184"/>
      <c r="B574" s="1184"/>
      <c r="C574" s="1184"/>
      <c r="D574" s="1184"/>
      <c r="E574" s="1184"/>
      <c r="F574" s="1184"/>
      <c r="G574" s="1184"/>
      <c r="H574" s="1184"/>
      <c r="I574" s="1184"/>
      <c r="J574" s="1184"/>
      <c r="K574" s="1184"/>
      <c r="L574" s="1184"/>
      <c r="M574" s="1184"/>
      <c r="N574" s="1184"/>
      <c r="O574" s="1184"/>
      <c r="P574" s="1163"/>
      <c r="Q574" s="1163"/>
      <c r="R574" s="1163"/>
      <c r="S574" s="1163"/>
      <c r="T574" s="1163"/>
      <c r="U574" s="1163"/>
      <c r="V574" s="1163"/>
      <c r="W574" s="1163"/>
      <c r="X574" s="1163"/>
      <c r="Y574" s="1163"/>
    </row>
    <row r="575" ht="12.75" customHeight="1">
      <c r="A575" s="1184"/>
      <c r="B575" s="1184"/>
      <c r="C575" s="1184"/>
      <c r="D575" s="1184"/>
      <c r="E575" s="1184"/>
      <c r="F575" s="1184"/>
      <c r="G575" s="1184"/>
      <c r="H575" s="1184"/>
      <c r="I575" s="1184"/>
      <c r="J575" s="1184"/>
      <c r="K575" s="1184"/>
      <c r="L575" s="1184"/>
      <c r="M575" s="1184"/>
      <c r="N575" s="1184"/>
      <c r="O575" s="1184"/>
      <c r="P575" s="1163"/>
      <c r="Q575" s="1163"/>
      <c r="R575" s="1163"/>
      <c r="S575" s="1163"/>
      <c r="T575" s="1163"/>
      <c r="U575" s="1163"/>
      <c r="V575" s="1163"/>
      <c r="W575" s="1163"/>
      <c r="X575" s="1163"/>
      <c r="Y575" s="1163"/>
    </row>
    <row r="576" ht="12.75" customHeight="1">
      <c r="A576" s="1184"/>
      <c r="B576" s="1184"/>
      <c r="C576" s="1184"/>
      <c r="D576" s="1184"/>
      <c r="E576" s="1184"/>
      <c r="F576" s="1184"/>
      <c r="G576" s="1184"/>
      <c r="H576" s="1184"/>
      <c r="I576" s="1184"/>
      <c r="J576" s="1184"/>
      <c r="K576" s="1184"/>
      <c r="L576" s="1184"/>
      <c r="M576" s="1184"/>
      <c r="N576" s="1184"/>
      <c r="O576" s="1184"/>
      <c r="P576" s="1163"/>
      <c r="Q576" s="1163"/>
      <c r="R576" s="1163"/>
      <c r="S576" s="1163"/>
      <c r="T576" s="1163"/>
      <c r="U576" s="1163"/>
      <c r="V576" s="1163"/>
      <c r="W576" s="1163"/>
      <c r="X576" s="1163"/>
      <c r="Y576" s="1163"/>
    </row>
    <row r="577" ht="12.75" customHeight="1">
      <c r="A577" s="1184"/>
      <c r="B577" s="1184"/>
      <c r="C577" s="1184"/>
      <c r="D577" s="1184"/>
      <c r="E577" s="1184"/>
      <c r="F577" s="1184"/>
      <c r="G577" s="1184"/>
      <c r="H577" s="1184"/>
      <c r="I577" s="1184"/>
      <c r="J577" s="1184"/>
      <c r="K577" s="1184"/>
      <c r="L577" s="1184"/>
      <c r="M577" s="1184"/>
      <c r="N577" s="1184"/>
      <c r="O577" s="1184"/>
      <c r="P577" s="1163"/>
      <c r="Q577" s="1163"/>
      <c r="R577" s="1163"/>
      <c r="S577" s="1163"/>
      <c r="T577" s="1163"/>
      <c r="U577" s="1163"/>
      <c r="V577" s="1163"/>
      <c r="W577" s="1163"/>
      <c r="X577" s="1163"/>
      <c r="Y577" s="1163"/>
    </row>
    <row r="578" ht="12.75" customHeight="1">
      <c r="A578" s="1184"/>
      <c r="B578" s="1184"/>
      <c r="C578" s="1184"/>
      <c r="D578" s="1184"/>
      <c r="E578" s="1184"/>
      <c r="F578" s="1184"/>
      <c r="G578" s="1184"/>
      <c r="H578" s="1184"/>
      <c r="I578" s="1184"/>
      <c r="J578" s="1184"/>
      <c r="K578" s="1184"/>
      <c r="L578" s="1184"/>
      <c r="M578" s="1184"/>
      <c r="N578" s="1184"/>
      <c r="O578" s="1184"/>
      <c r="P578" s="1163"/>
      <c r="Q578" s="1163"/>
      <c r="R578" s="1163"/>
      <c r="S578" s="1163"/>
      <c r="T578" s="1163"/>
      <c r="U578" s="1163"/>
      <c r="V578" s="1163"/>
      <c r="W578" s="1163"/>
      <c r="X578" s="1163"/>
      <c r="Y578" s="1163"/>
    </row>
    <row r="579" ht="12.75" customHeight="1">
      <c r="A579" s="1184"/>
      <c r="B579" s="1184"/>
      <c r="C579" s="1184"/>
      <c r="D579" s="1184"/>
      <c r="E579" s="1184"/>
      <c r="F579" s="1184"/>
      <c r="G579" s="1184"/>
      <c r="H579" s="1184"/>
      <c r="I579" s="1184"/>
      <c r="J579" s="1184"/>
      <c r="K579" s="1184"/>
      <c r="L579" s="1184"/>
      <c r="M579" s="1184"/>
      <c r="N579" s="1184"/>
      <c r="O579" s="1184"/>
      <c r="P579" s="1163"/>
      <c r="Q579" s="1163"/>
      <c r="R579" s="1163"/>
      <c r="S579" s="1163"/>
      <c r="T579" s="1163"/>
      <c r="U579" s="1163"/>
      <c r="V579" s="1163"/>
      <c r="W579" s="1163"/>
      <c r="X579" s="1163"/>
      <c r="Y579" s="1163"/>
    </row>
    <row r="580" ht="12.75" customHeight="1">
      <c r="A580" s="1184"/>
      <c r="B580" s="1184"/>
      <c r="C580" s="1184"/>
      <c r="D580" s="1184"/>
      <c r="E580" s="1184"/>
      <c r="F580" s="1184"/>
      <c r="G580" s="1184"/>
      <c r="H580" s="1184"/>
      <c r="I580" s="1184"/>
      <c r="J580" s="1184"/>
      <c r="K580" s="1184"/>
      <c r="L580" s="1184"/>
      <c r="M580" s="1184"/>
      <c r="N580" s="1184"/>
      <c r="O580" s="1184"/>
      <c r="P580" s="1163"/>
      <c r="Q580" s="1163"/>
      <c r="R580" s="1163"/>
      <c r="S580" s="1163"/>
      <c r="T580" s="1163"/>
      <c r="U580" s="1163"/>
      <c r="V580" s="1163"/>
      <c r="W580" s="1163"/>
      <c r="X580" s="1163"/>
      <c r="Y580" s="1163"/>
    </row>
    <row r="581" ht="12.75" customHeight="1">
      <c r="A581" s="1184"/>
      <c r="B581" s="1184"/>
      <c r="C581" s="1184"/>
      <c r="D581" s="1184"/>
      <c r="E581" s="1184"/>
      <c r="F581" s="1184"/>
      <c r="G581" s="1184"/>
      <c r="H581" s="1184"/>
      <c r="I581" s="1184"/>
      <c r="J581" s="1184"/>
      <c r="K581" s="1184"/>
      <c r="L581" s="1184"/>
      <c r="M581" s="1184"/>
      <c r="N581" s="1184"/>
      <c r="O581" s="1184"/>
      <c r="P581" s="1163"/>
      <c r="Q581" s="1163"/>
      <c r="R581" s="1163"/>
      <c r="S581" s="1163"/>
      <c r="T581" s="1163"/>
      <c r="U581" s="1163"/>
      <c r="V581" s="1163"/>
      <c r="W581" s="1163"/>
      <c r="X581" s="1163"/>
      <c r="Y581" s="1163"/>
    </row>
    <row r="582" ht="12.75" customHeight="1">
      <c r="A582" s="1184"/>
      <c r="B582" s="1184"/>
      <c r="C582" s="1184"/>
      <c r="D582" s="1184"/>
      <c r="E582" s="1184"/>
      <c r="F582" s="1184"/>
      <c r="G582" s="1184"/>
      <c r="H582" s="1184"/>
      <c r="I582" s="1184"/>
      <c r="J582" s="1184"/>
      <c r="K582" s="1184"/>
      <c r="L582" s="1184"/>
      <c r="M582" s="1184"/>
      <c r="N582" s="1184"/>
      <c r="O582" s="1184"/>
      <c r="P582" s="1163"/>
      <c r="Q582" s="1163"/>
      <c r="R582" s="1163"/>
      <c r="S582" s="1163"/>
      <c r="T582" s="1163"/>
      <c r="U582" s="1163"/>
      <c r="V582" s="1163"/>
      <c r="W582" s="1163"/>
      <c r="X582" s="1163"/>
      <c r="Y582" s="1163"/>
    </row>
    <row r="583" ht="12.75" customHeight="1">
      <c r="A583" s="1184"/>
      <c r="B583" s="1184"/>
      <c r="C583" s="1184"/>
      <c r="D583" s="1184"/>
      <c r="E583" s="1184"/>
      <c r="F583" s="1184"/>
      <c r="G583" s="1184"/>
      <c r="H583" s="1184"/>
      <c r="I583" s="1184"/>
      <c r="J583" s="1184"/>
      <c r="K583" s="1184"/>
      <c r="L583" s="1184"/>
      <c r="M583" s="1184"/>
      <c r="N583" s="1184"/>
      <c r="O583" s="1184"/>
      <c r="P583" s="1163"/>
      <c r="Q583" s="1163"/>
      <c r="R583" s="1163"/>
      <c r="S583" s="1163"/>
      <c r="T583" s="1163"/>
      <c r="U583" s="1163"/>
      <c r="V583" s="1163"/>
      <c r="W583" s="1163"/>
      <c r="X583" s="1163"/>
      <c r="Y583" s="1163"/>
    </row>
    <row r="584" ht="12.75" customHeight="1">
      <c r="A584" s="1184"/>
      <c r="B584" s="1184"/>
      <c r="C584" s="1184"/>
      <c r="D584" s="1184"/>
      <c r="E584" s="1184"/>
      <c r="F584" s="1184"/>
      <c r="G584" s="1184"/>
      <c r="H584" s="1184"/>
      <c r="I584" s="1184"/>
      <c r="J584" s="1184"/>
      <c r="K584" s="1184"/>
      <c r="L584" s="1184"/>
      <c r="M584" s="1184"/>
      <c r="N584" s="1184"/>
      <c r="O584" s="1184"/>
      <c r="P584" s="1163"/>
      <c r="Q584" s="1163"/>
      <c r="R584" s="1163"/>
      <c r="S584" s="1163"/>
      <c r="T584" s="1163"/>
      <c r="U584" s="1163"/>
      <c r="V584" s="1163"/>
      <c r="W584" s="1163"/>
      <c r="X584" s="1163"/>
      <c r="Y584" s="1163"/>
    </row>
    <row r="585" ht="12.75" customHeight="1">
      <c r="A585" s="1184"/>
      <c r="B585" s="1184"/>
      <c r="C585" s="1184"/>
      <c r="D585" s="1184"/>
      <c r="E585" s="1184"/>
      <c r="F585" s="1184"/>
      <c r="G585" s="1184"/>
      <c r="H585" s="1184"/>
      <c r="I585" s="1184"/>
      <c r="J585" s="1184"/>
      <c r="K585" s="1184"/>
      <c r="L585" s="1184"/>
      <c r="M585" s="1184"/>
      <c r="N585" s="1184"/>
      <c r="O585" s="1184"/>
      <c r="P585" s="1163"/>
      <c r="Q585" s="1163"/>
      <c r="R585" s="1163"/>
      <c r="S585" s="1163"/>
      <c r="T585" s="1163"/>
      <c r="U585" s="1163"/>
      <c r="V585" s="1163"/>
      <c r="W585" s="1163"/>
      <c r="X585" s="1163"/>
      <c r="Y585" s="1163"/>
    </row>
    <row r="586" ht="12.75" customHeight="1">
      <c r="A586" s="1184"/>
      <c r="B586" s="1184"/>
      <c r="C586" s="1184"/>
      <c r="D586" s="1184"/>
      <c r="E586" s="1184"/>
      <c r="F586" s="1184"/>
      <c r="G586" s="1184"/>
      <c r="H586" s="1184"/>
      <c r="I586" s="1184"/>
      <c r="J586" s="1184"/>
      <c r="K586" s="1184"/>
      <c r="L586" s="1184"/>
      <c r="M586" s="1184"/>
      <c r="N586" s="1184"/>
      <c r="O586" s="1184"/>
      <c r="P586" s="1163"/>
      <c r="Q586" s="1163"/>
      <c r="R586" s="1163"/>
      <c r="S586" s="1163"/>
      <c r="T586" s="1163"/>
      <c r="U586" s="1163"/>
      <c r="V586" s="1163"/>
      <c r="W586" s="1163"/>
      <c r="X586" s="1163"/>
      <c r="Y586" s="1163"/>
    </row>
    <row r="587" ht="12.75" customHeight="1">
      <c r="A587" s="1184"/>
      <c r="B587" s="1184"/>
      <c r="C587" s="1184"/>
      <c r="D587" s="1184"/>
      <c r="E587" s="1184"/>
      <c r="F587" s="1184"/>
      <c r="G587" s="1184"/>
      <c r="H587" s="1184"/>
      <c r="I587" s="1184"/>
      <c r="J587" s="1184"/>
      <c r="K587" s="1184"/>
      <c r="L587" s="1184"/>
      <c r="M587" s="1184"/>
      <c r="N587" s="1184"/>
      <c r="O587" s="1184"/>
      <c r="P587" s="1163"/>
      <c r="Q587" s="1163"/>
      <c r="R587" s="1163"/>
      <c r="S587" s="1163"/>
      <c r="T587" s="1163"/>
      <c r="U587" s="1163"/>
      <c r="V587" s="1163"/>
      <c r="W587" s="1163"/>
      <c r="X587" s="1163"/>
      <c r="Y587" s="1163"/>
    </row>
    <row r="588" ht="12.75" customHeight="1">
      <c r="A588" s="1184"/>
      <c r="B588" s="1184"/>
      <c r="C588" s="1184"/>
      <c r="D588" s="1184"/>
      <c r="E588" s="1184"/>
      <c r="F588" s="1184"/>
      <c r="G588" s="1184"/>
      <c r="H588" s="1184"/>
      <c r="I588" s="1184"/>
      <c r="J588" s="1184"/>
      <c r="K588" s="1184"/>
      <c r="L588" s="1184"/>
      <c r="M588" s="1184"/>
      <c r="N588" s="1184"/>
      <c r="O588" s="1184"/>
      <c r="P588" s="1163"/>
      <c r="Q588" s="1163"/>
      <c r="R588" s="1163"/>
      <c r="S588" s="1163"/>
      <c r="T588" s="1163"/>
      <c r="U588" s="1163"/>
      <c r="V588" s="1163"/>
      <c r="W588" s="1163"/>
      <c r="X588" s="1163"/>
      <c r="Y588" s="1163"/>
    </row>
    <row r="589" ht="12.75" customHeight="1">
      <c r="A589" s="1184"/>
      <c r="B589" s="1184"/>
      <c r="C589" s="1184"/>
      <c r="D589" s="1184"/>
      <c r="E589" s="1184"/>
      <c r="F589" s="1184"/>
      <c r="G589" s="1184"/>
      <c r="H589" s="1184"/>
      <c r="I589" s="1184"/>
      <c r="J589" s="1184"/>
      <c r="K589" s="1184"/>
      <c r="L589" s="1184"/>
      <c r="M589" s="1184"/>
      <c r="N589" s="1184"/>
      <c r="O589" s="1184"/>
      <c r="P589" s="1163"/>
      <c r="Q589" s="1163"/>
      <c r="R589" s="1163"/>
      <c r="S589" s="1163"/>
      <c r="T589" s="1163"/>
      <c r="U589" s="1163"/>
      <c r="V589" s="1163"/>
      <c r="W589" s="1163"/>
      <c r="X589" s="1163"/>
      <c r="Y589" s="1163"/>
    </row>
    <row r="590" ht="12.75" customHeight="1">
      <c r="A590" s="1184"/>
      <c r="B590" s="1184"/>
      <c r="C590" s="1184"/>
      <c r="D590" s="1184"/>
      <c r="E590" s="1184"/>
      <c r="F590" s="1184"/>
      <c r="G590" s="1184"/>
      <c r="H590" s="1184"/>
      <c r="I590" s="1184"/>
      <c r="J590" s="1184"/>
      <c r="K590" s="1184"/>
      <c r="L590" s="1184"/>
      <c r="M590" s="1184"/>
      <c r="N590" s="1184"/>
      <c r="O590" s="1184"/>
      <c r="P590" s="1163"/>
      <c r="Q590" s="1163"/>
      <c r="R590" s="1163"/>
      <c r="S590" s="1163"/>
      <c r="T590" s="1163"/>
      <c r="U590" s="1163"/>
      <c r="V590" s="1163"/>
      <c r="W590" s="1163"/>
      <c r="X590" s="1163"/>
      <c r="Y590" s="1163"/>
    </row>
    <row r="591" ht="12.75" customHeight="1">
      <c r="A591" s="1184"/>
      <c r="B591" s="1184"/>
      <c r="C591" s="1184"/>
      <c r="D591" s="1184"/>
      <c r="E591" s="1184"/>
      <c r="F591" s="1184"/>
      <c r="G591" s="1184"/>
      <c r="H591" s="1184"/>
      <c r="I591" s="1184"/>
      <c r="J591" s="1184"/>
      <c r="K591" s="1184"/>
      <c r="L591" s="1184"/>
      <c r="M591" s="1184"/>
      <c r="N591" s="1184"/>
      <c r="O591" s="1184"/>
      <c r="P591" s="1163"/>
      <c r="Q591" s="1163"/>
      <c r="R591" s="1163"/>
      <c r="S591" s="1163"/>
      <c r="T591" s="1163"/>
      <c r="U591" s="1163"/>
      <c r="V591" s="1163"/>
      <c r="W591" s="1163"/>
      <c r="X591" s="1163"/>
      <c r="Y591" s="1163"/>
    </row>
    <row r="592" ht="12.75" customHeight="1">
      <c r="A592" s="1184"/>
      <c r="B592" s="1184"/>
      <c r="C592" s="1184"/>
      <c r="D592" s="1184"/>
      <c r="E592" s="1184"/>
      <c r="F592" s="1184"/>
      <c r="G592" s="1184"/>
      <c r="H592" s="1184"/>
      <c r="I592" s="1184"/>
      <c r="J592" s="1184"/>
      <c r="K592" s="1184"/>
      <c r="L592" s="1184"/>
      <c r="M592" s="1184"/>
      <c r="N592" s="1184"/>
      <c r="O592" s="1184"/>
      <c r="P592" s="1163"/>
      <c r="Q592" s="1163"/>
      <c r="R592" s="1163"/>
      <c r="S592" s="1163"/>
      <c r="T592" s="1163"/>
      <c r="U592" s="1163"/>
      <c r="V592" s="1163"/>
      <c r="W592" s="1163"/>
      <c r="X592" s="1163"/>
      <c r="Y592" s="1163"/>
    </row>
    <row r="593" ht="12.75" customHeight="1">
      <c r="A593" s="1184"/>
      <c r="B593" s="1184"/>
      <c r="C593" s="1184"/>
      <c r="D593" s="1184"/>
      <c r="E593" s="1184"/>
      <c r="F593" s="1184"/>
      <c r="G593" s="1184"/>
      <c r="H593" s="1184"/>
      <c r="I593" s="1184"/>
      <c r="J593" s="1184"/>
      <c r="K593" s="1184"/>
      <c r="L593" s="1184"/>
      <c r="M593" s="1184"/>
      <c r="N593" s="1184"/>
      <c r="O593" s="1184"/>
      <c r="P593" s="1163"/>
      <c r="Q593" s="1163"/>
      <c r="R593" s="1163"/>
      <c r="S593" s="1163"/>
      <c r="T593" s="1163"/>
      <c r="U593" s="1163"/>
      <c r="V593" s="1163"/>
      <c r="W593" s="1163"/>
      <c r="X593" s="1163"/>
      <c r="Y593" s="1163"/>
    </row>
    <row r="594" ht="12.75" customHeight="1">
      <c r="A594" s="1184"/>
      <c r="B594" s="1184"/>
      <c r="C594" s="1184"/>
      <c r="D594" s="1184"/>
      <c r="E594" s="1184"/>
      <c r="F594" s="1184"/>
      <c r="G594" s="1184"/>
      <c r="H594" s="1184"/>
      <c r="I594" s="1184"/>
      <c r="J594" s="1184"/>
      <c r="K594" s="1184"/>
      <c r="L594" s="1184"/>
      <c r="M594" s="1184"/>
      <c r="N594" s="1184"/>
      <c r="O594" s="1184"/>
      <c r="P594" s="1163"/>
      <c r="Q594" s="1163"/>
      <c r="R594" s="1163"/>
      <c r="S594" s="1163"/>
      <c r="T594" s="1163"/>
      <c r="U594" s="1163"/>
      <c r="V594" s="1163"/>
      <c r="W594" s="1163"/>
      <c r="X594" s="1163"/>
      <c r="Y594" s="1163"/>
    </row>
    <row r="595" ht="12.75" customHeight="1">
      <c r="A595" s="1184"/>
      <c r="B595" s="1184"/>
      <c r="C595" s="1184"/>
      <c r="D595" s="1184"/>
      <c r="E595" s="1184"/>
      <c r="F595" s="1184"/>
      <c r="G595" s="1184"/>
      <c r="H595" s="1184"/>
      <c r="I595" s="1184"/>
      <c r="J595" s="1184"/>
      <c r="K595" s="1184"/>
      <c r="L595" s="1184"/>
      <c r="M595" s="1184"/>
      <c r="N595" s="1184"/>
      <c r="O595" s="1184"/>
      <c r="P595" s="1163"/>
      <c r="Q595" s="1163"/>
      <c r="R595" s="1163"/>
      <c r="S595" s="1163"/>
      <c r="T595" s="1163"/>
      <c r="U595" s="1163"/>
      <c r="V595" s="1163"/>
      <c r="W595" s="1163"/>
      <c r="X595" s="1163"/>
      <c r="Y595" s="1163"/>
    </row>
    <row r="596" ht="12.75" customHeight="1">
      <c r="A596" s="1184"/>
      <c r="B596" s="1184"/>
      <c r="C596" s="1184"/>
      <c r="D596" s="1184"/>
      <c r="E596" s="1184"/>
      <c r="F596" s="1184"/>
      <c r="G596" s="1184"/>
      <c r="H596" s="1184"/>
      <c r="I596" s="1184"/>
      <c r="J596" s="1184"/>
      <c r="K596" s="1184"/>
      <c r="L596" s="1184"/>
      <c r="M596" s="1184"/>
      <c r="N596" s="1184"/>
      <c r="O596" s="1184"/>
      <c r="P596" s="1163"/>
      <c r="Q596" s="1163"/>
      <c r="R596" s="1163"/>
      <c r="S596" s="1163"/>
      <c r="T596" s="1163"/>
      <c r="U596" s="1163"/>
      <c r="V596" s="1163"/>
      <c r="W596" s="1163"/>
      <c r="X596" s="1163"/>
      <c r="Y596" s="1163"/>
    </row>
    <row r="597" ht="12.75" customHeight="1">
      <c r="A597" s="1184"/>
      <c r="B597" s="1184"/>
      <c r="C597" s="1184"/>
      <c r="D597" s="1184"/>
      <c r="E597" s="1184"/>
      <c r="F597" s="1184"/>
      <c r="G597" s="1184"/>
      <c r="H597" s="1184"/>
      <c r="I597" s="1184"/>
      <c r="J597" s="1184"/>
      <c r="K597" s="1184"/>
      <c r="L597" s="1184"/>
      <c r="M597" s="1184"/>
      <c r="N597" s="1184"/>
      <c r="O597" s="1184"/>
      <c r="P597" s="1163"/>
      <c r="Q597" s="1163"/>
      <c r="R597" s="1163"/>
      <c r="S597" s="1163"/>
      <c r="T597" s="1163"/>
      <c r="U597" s="1163"/>
      <c r="V597" s="1163"/>
      <c r="W597" s="1163"/>
      <c r="X597" s="1163"/>
      <c r="Y597" s="1163"/>
    </row>
    <row r="598" ht="12.75" customHeight="1">
      <c r="A598" s="1184"/>
      <c r="B598" s="1184"/>
      <c r="C598" s="1184"/>
      <c r="D598" s="1184"/>
      <c r="E598" s="1184"/>
      <c r="F598" s="1184"/>
      <c r="G598" s="1184"/>
      <c r="H598" s="1184"/>
      <c r="I598" s="1184"/>
      <c r="J598" s="1184"/>
      <c r="K598" s="1184"/>
      <c r="L598" s="1184"/>
      <c r="M598" s="1184"/>
      <c r="N598" s="1184"/>
      <c r="O598" s="1184"/>
      <c r="P598" s="1163"/>
      <c r="Q598" s="1163"/>
      <c r="R598" s="1163"/>
      <c r="S598" s="1163"/>
      <c r="T598" s="1163"/>
      <c r="U598" s="1163"/>
      <c r="V598" s="1163"/>
      <c r="W598" s="1163"/>
      <c r="X598" s="1163"/>
      <c r="Y598" s="1163"/>
    </row>
    <row r="599" ht="12.75" customHeight="1">
      <c r="A599" s="1184"/>
      <c r="B599" s="1184"/>
      <c r="C599" s="1184"/>
      <c r="D599" s="1184"/>
      <c r="E599" s="1184"/>
      <c r="F599" s="1184"/>
      <c r="G599" s="1184"/>
      <c r="H599" s="1184"/>
      <c r="I599" s="1184"/>
      <c r="J599" s="1184"/>
      <c r="K599" s="1184"/>
      <c r="L599" s="1184"/>
      <c r="M599" s="1184"/>
      <c r="N599" s="1184"/>
      <c r="O599" s="1184"/>
      <c r="P599" s="1163"/>
      <c r="Q599" s="1163"/>
      <c r="R599" s="1163"/>
      <c r="S599" s="1163"/>
      <c r="T599" s="1163"/>
      <c r="U599" s="1163"/>
      <c r="V599" s="1163"/>
      <c r="W599" s="1163"/>
      <c r="X599" s="1163"/>
      <c r="Y599" s="1163"/>
    </row>
    <row r="600" ht="12.75" customHeight="1">
      <c r="A600" s="1184"/>
      <c r="B600" s="1184"/>
      <c r="C600" s="1184"/>
      <c r="D600" s="1184"/>
      <c r="E600" s="1184"/>
      <c r="F600" s="1184"/>
      <c r="G600" s="1184"/>
      <c r="H600" s="1184"/>
      <c r="I600" s="1184"/>
      <c r="J600" s="1184"/>
      <c r="K600" s="1184"/>
      <c r="L600" s="1184"/>
      <c r="M600" s="1184"/>
      <c r="N600" s="1184"/>
      <c r="O600" s="1184"/>
      <c r="P600" s="1163"/>
      <c r="Q600" s="1163"/>
      <c r="R600" s="1163"/>
      <c r="S600" s="1163"/>
      <c r="T600" s="1163"/>
      <c r="U600" s="1163"/>
      <c r="V600" s="1163"/>
      <c r="W600" s="1163"/>
      <c r="X600" s="1163"/>
      <c r="Y600" s="1163"/>
    </row>
    <row r="601" ht="12.75" customHeight="1">
      <c r="A601" s="1184"/>
      <c r="B601" s="1184"/>
      <c r="C601" s="1184"/>
      <c r="D601" s="1184"/>
      <c r="E601" s="1184"/>
      <c r="F601" s="1184"/>
      <c r="G601" s="1184"/>
      <c r="H601" s="1184"/>
      <c r="I601" s="1184"/>
      <c r="J601" s="1184"/>
      <c r="K601" s="1184"/>
      <c r="L601" s="1184"/>
      <c r="M601" s="1184"/>
      <c r="N601" s="1184"/>
      <c r="O601" s="1184"/>
      <c r="P601" s="1163"/>
      <c r="Q601" s="1163"/>
      <c r="R601" s="1163"/>
      <c r="S601" s="1163"/>
      <c r="T601" s="1163"/>
      <c r="U601" s="1163"/>
      <c r="V601" s="1163"/>
      <c r="W601" s="1163"/>
      <c r="X601" s="1163"/>
      <c r="Y601" s="1163"/>
    </row>
    <row r="602" ht="12.75" customHeight="1">
      <c r="A602" s="1184"/>
      <c r="B602" s="1184"/>
      <c r="C602" s="1184"/>
      <c r="D602" s="1184"/>
      <c r="E602" s="1184"/>
      <c r="F602" s="1184"/>
      <c r="G602" s="1184"/>
      <c r="H602" s="1184"/>
      <c r="I602" s="1184"/>
      <c r="J602" s="1184"/>
      <c r="K602" s="1184"/>
      <c r="L602" s="1184"/>
      <c r="M602" s="1184"/>
      <c r="N602" s="1184"/>
      <c r="O602" s="1184"/>
      <c r="P602" s="1163"/>
      <c r="Q602" s="1163"/>
      <c r="R602" s="1163"/>
      <c r="S602" s="1163"/>
      <c r="T602" s="1163"/>
      <c r="U602" s="1163"/>
      <c r="V602" s="1163"/>
      <c r="W602" s="1163"/>
      <c r="X602" s="1163"/>
      <c r="Y602" s="1163"/>
    </row>
    <row r="603" ht="12.75" customHeight="1">
      <c r="A603" s="1184"/>
      <c r="B603" s="1184"/>
      <c r="C603" s="1184"/>
      <c r="D603" s="1184"/>
      <c r="E603" s="1184"/>
      <c r="F603" s="1184"/>
      <c r="G603" s="1184"/>
      <c r="H603" s="1184"/>
      <c r="I603" s="1184"/>
      <c r="J603" s="1184"/>
      <c r="K603" s="1184"/>
      <c r="L603" s="1184"/>
      <c r="M603" s="1184"/>
      <c r="N603" s="1184"/>
      <c r="O603" s="1184"/>
      <c r="P603" s="1163"/>
      <c r="Q603" s="1163"/>
      <c r="R603" s="1163"/>
      <c r="S603" s="1163"/>
      <c r="T603" s="1163"/>
      <c r="U603" s="1163"/>
      <c r="V603" s="1163"/>
      <c r="W603" s="1163"/>
      <c r="X603" s="1163"/>
      <c r="Y603" s="1163"/>
    </row>
    <row r="604" ht="12.75" customHeight="1">
      <c r="A604" s="1184"/>
      <c r="B604" s="1184"/>
      <c r="C604" s="1184"/>
      <c r="D604" s="1184"/>
      <c r="E604" s="1184"/>
      <c r="F604" s="1184"/>
      <c r="G604" s="1184"/>
      <c r="H604" s="1184"/>
      <c r="I604" s="1184"/>
      <c r="J604" s="1184"/>
      <c r="K604" s="1184"/>
      <c r="L604" s="1184"/>
      <c r="M604" s="1184"/>
      <c r="N604" s="1184"/>
      <c r="O604" s="1184"/>
      <c r="P604" s="1163"/>
      <c r="Q604" s="1163"/>
      <c r="R604" s="1163"/>
      <c r="S604" s="1163"/>
      <c r="T604" s="1163"/>
      <c r="U604" s="1163"/>
      <c r="V604" s="1163"/>
      <c r="W604" s="1163"/>
      <c r="X604" s="1163"/>
      <c r="Y604" s="1163"/>
    </row>
    <row r="605" ht="12.75" customHeight="1">
      <c r="A605" s="1184"/>
      <c r="B605" s="1184"/>
      <c r="C605" s="1184"/>
      <c r="D605" s="1184"/>
      <c r="E605" s="1184"/>
      <c r="F605" s="1184"/>
      <c r="G605" s="1184"/>
      <c r="H605" s="1184"/>
      <c r="I605" s="1184"/>
      <c r="J605" s="1184"/>
      <c r="K605" s="1184"/>
      <c r="L605" s="1184"/>
      <c r="M605" s="1184"/>
      <c r="N605" s="1184"/>
      <c r="O605" s="1184"/>
      <c r="P605" s="1163"/>
      <c r="Q605" s="1163"/>
      <c r="R605" s="1163"/>
      <c r="S605" s="1163"/>
      <c r="T605" s="1163"/>
      <c r="U605" s="1163"/>
      <c r="V605" s="1163"/>
      <c r="W605" s="1163"/>
      <c r="X605" s="1163"/>
      <c r="Y605" s="1163"/>
    </row>
    <row r="606" ht="12.75" customHeight="1">
      <c r="A606" s="1184"/>
      <c r="B606" s="1184"/>
      <c r="C606" s="1184"/>
      <c r="D606" s="1184"/>
      <c r="E606" s="1184"/>
      <c r="F606" s="1184"/>
      <c r="G606" s="1184"/>
      <c r="H606" s="1184"/>
      <c r="I606" s="1184"/>
      <c r="J606" s="1184"/>
      <c r="K606" s="1184"/>
      <c r="L606" s="1184"/>
      <c r="M606" s="1184"/>
      <c r="N606" s="1184"/>
      <c r="O606" s="1184"/>
      <c r="P606" s="1163"/>
      <c r="Q606" s="1163"/>
      <c r="R606" s="1163"/>
      <c r="S606" s="1163"/>
      <c r="T606" s="1163"/>
      <c r="U606" s="1163"/>
      <c r="V606" s="1163"/>
      <c r="W606" s="1163"/>
      <c r="X606" s="1163"/>
      <c r="Y606" s="1163"/>
    </row>
    <row r="607" ht="12.75" customHeight="1">
      <c r="A607" s="1184"/>
      <c r="B607" s="1184"/>
      <c r="C607" s="1184"/>
      <c r="D607" s="1184"/>
      <c r="E607" s="1184"/>
      <c r="F607" s="1184"/>
      <c r="G607" s="1184"/>
      <c r="H607" s="1184"/>
      <c r="I607" s="1184"/>
      <c r="J607" s="1184"/>
      <c r="K607" s="1184"/>
      <c r="L607" s="1184"/>
      <c r="M607" s="1184"/>
      <c r="N607" s="1184"/>
      <c r="O607" s="1184"/>
      <c r="P607" s="1163"/>
      <c r="Q607" s="1163"/>
      <c r="R607" s="1163"/>
      <c r="S607" s="1163"/>
      <c r="T607" s="1163"/>
      <c r="U607" s="1163"/>
      <c r="V607" s="1163"/>
      <c r="W607" s="1163"/>
      <c r="X607" s="1163"/>
      <c r="Y607" s="1163"/>
    </row>
    <row r="608" ht="12.75" customHeight="1">
      <c r="A608" s="1184"/>
      <c r="B608" s="1184"/>
      <c r="C608" s="1184"/>
      <c r="D608" s="1184"/>
      <c r="E608" s="1184"/>
      <c r="F608" s="1184"/>
      <c r="G608" s="1184"/>
      <c r="H608" s="1184"/>
      <c r="I608" s="1184"/>
      <c r="J608" s="1184"/>
      <c r="K608" s="1184"/>
      <c r="L608" s="1184"/>
      <c r="M608" s="1184"/>
      <c r="N608" s="1184"/>
      <c r="O608" s="1184"/>
      <c r="P608" s="1163"/>
      <c r="Q608" s="1163"/>
      <c r="R608" s="1163"/>
      <c r="S608" s="1163"/>
      <c r="T608" s="1163"/>
      <c r="U608" s="1163"/>
      <c r="V608" s="1163"/>
      <c r="W608" s="1163"/>
      <c r="X608" s="1163"/>
      <c r="Y608" s="1163"/>
    </row>
    <row r="609" ht="12.75" customHeight="1">
      <c r="A609" s="1184"/>
      <c r="B609" s="1184"/>
      <c r="C609" s="1184"/>
      <c r="D609" s="1184"/>
      <c r="E609" s="1184"/>
      <c r="F609" s="1184"/>
      <c r="G609" s="1184"/>
      <c r="H609" s="1184"/>
      <c r="I609" s="1184"/>
      <c r="J609" s="1184"/>
      <c r="K609" s="1184"/>
      <c r="L609" s="1184"/>
      <c r="M609" s="1184"/>
      <c r="N609" s="1184"/>
      <c r="O609" s="1184"/>
      <c r="P609" s="1163"/>
      <c r="Q609" s="1163"/>
      <c r="R609" s="1163"/>
      <c r="S609" s="1163"/>
      <c r="T609" s="1163"/>
      <c r="U609" s="1163"/>
      <c r="V609" s="1163"/>
      <c r="W609" s="1163"/>
      <c r="X609" s="1163"/>
      <c r="Y609" s="1163"/>
    </row>
    <row r="610" ht="12.75" customHeight="1">
      <c r="A610" s="1184"/>
      <c r="B610" s="1184"/>
      <c r="C610" s="1184"/>
      <c r="D610" s="1184"/>
      <c r="E610" s="1184"/>
      <c r="F610" s="1184"/>
      <c r="G610" s="1184"/>
      <c r="H610" s="1184"/>
      <c r="I610" s="1184"/>
      <c r="J610" s="1184"/>
      <c r="K610" s="1184"/>
      <c r="L610" s="1184"/>
      <c r="M610" s="1184"/>
      <c r="N610" s="1184"/>
      <c r="O610" s="1184"/>
      <c r="P610" s="1163"/>
      <c r="Q610" s="1163"/>
      <c r="R610" s="1163"/>
      <c r="S610" s="1163"/>
      <c r="T610" s="1163"/>
      <c r="U610" s="1163"/>
      <c r="V610" s="1163"/>
      <c r="W610" s="1163"/>
      <c r="X610" s="1163"/>
      <c r="Y610" s="1163"/>
    </row>
    <row r="611" ht="12.75" customHeight="1">
      <c r="A611" s="1184"/>
      <c r="B611" s="1184"/>
      <c r="C611" s="1184"/>
      <c r="D611" s="1184"/>
      <c r="E611" s="1184"/>
      <c r="F611" s="1184"/>
      <c r="G611" s="1184"/>
      <c r="H611" s="1184"/>
      <c r="I611" s="1184"/>
      <c r="J611" s="1184"/>
      <c r="K611" s="1184"/>
      <c r="L611" s="1184"/>
      <c r="M611" s="1184"/>
      <c r="N611" s="1184"/>
      <c r="O611" s="1184"/>
      <c r="P611" s="1163"/>
      <c r="Q611" s="1163"/>
      <c r="R611" s="1163"/>
      <c r="S611" s="1163"/>
      <c r="T611" s="1163"/>
      <c r="U611" s="1163"/>
      <c r="V611" s="1163"/>
      <c r="W611" s="1163"/>
      <c r="X611" s="1163"/>
      <c r="Y611" s="1163"/>
    </row>
    <row r="612" ht="12.75" customHeight="1">
      <c r="A612" s="1184"/>
      <c r="B612" s="1184"/>
      <c r="C612" s="1184"/>
      <c r="D612" s="1184"/>
      <c r="E612" s="1184"/>
      <c r="F612" s="1184"/>
      <c r="G612" s="1184"/>
      <c r="H612" s="1184"/>
      <c r="I612" s="1184"/>
      <c r="J612" s="1184"/>
      <c r="K612" s="1184"/>
      <c r="L612" s="1184"/>
      <c r="M612" s="1184"/>
      <c r="N612" s="1184"/>
      <c r="O612" s="1184"/>
      <c r="P612" s="1163"/>
      <c r="Q612" s="1163"/>
      <c r="R612" s="1163"/>
      <c r="S612" s="1163"/>
      <c r="T612" s="1163"/>
      <c r="U612" s="1163"/>
      <c r="V612" s="1163"/>
      <c r="W612" s="1163"/>
      <c r="X612" s="1163"/>
      <c r="Y612" s="1163"/>
    </row>
    <row r="613" ht="12.75" customHeight="1">
      <c r="A613" s="1184"/>
      <c r="B613" s="1184"/>
      <c r="C613" s="1184"/>
      <c r="D613" s="1184"/>
      <c r="E613" s="1184"/>
      <c r="F613" s="1184"/>
      <c r="G613" s="1184"/>
      <c r="H613" s="1184"/>
      <c r="I613" s="1184"/>
      <c r="J613" s="1184"/>
      <c r="K613" s="1184"/>
      <c r="L613" s="1184"/>
      <c r="M613" s="1184"/>
      <c r="N613" s="1184"/>
      <c r="O613" s="1184"/>
      <c r="P613" s="1163"/>
      <c r="Q613" s="1163"/>
      <c r="R613" s="1163"/>
      <c r="S613" s="1163"/>
      <c r="T613" s="1163"/>
      <c r="U613" s="1163"/>
      <c r="V613" s="1163"/>
      <c r="W613" s="1163"/>
      <c r="X613" s="1163"/>
      <c r="Y613" s="1163"/>
    </row>
    <row r="614" ht="12.75" customHeight="1">
      <c r="A614" s="1184"/>
      <c r="B614" s="1184"/>
      <c r="C614" s="1184"/>
      <c r="D614" s="1184"/>
      <c r="E614" s="1184"/>
      <c r="F614" s="1184"/>
      <c r="G614" s="1184"/>
      <c r="H614" s="1184"/>
      <c r="I614" s="1184"/>
      <c r="J614" s="1184"/>
      <c r="K614" s="1184"/>
      <c r="L614" s="1184"/>
      <c r="M614" s="1184"/>
      <c r="N614" s="1184"/>
      <c r="O614" s="1184"/>
      <c r="P614" s="1163"/>
      <c r="Q614" s="1163"/>
      <c r="R614" s="1163"/>
      <c r="S614" s="1163"/>
      <c r="T614" s="1163"/>
      <c r="U614" s="1163"/>
      <c r="V614" s="1163"/>
      <c r="W614" s="1163"/>
      <c r="X614" s="1163"/>
      <c r="Y614" s="1163"/>
    </row>
    <row r="615" ht="12.75" customHeight="1">
      <c r="A615" s="1184"/>
      <c r="B615" s="1184"/>
      <c r="C615" s="1184"/>
      <c r="D615" s="1184"/>
      <c r="E615" s="1184"/>
      <c r="F615" s="1184"/>
      <c r="G615" s="1184"/>
      <c r="H615" s="1184"/>
      <c r="I615" s="1184"/>
      <c r="J615" s="1184"/>
      <c r="K615" s="1184"/>
      <c r="L615" s="1184"/>
      <c r="M615" s="1184"/>
      <c r="N615" s="1184"/>
      <c r="O615" s="1184"/>
      <c r="P615" s="1163"/>
      <c r="Q615" s="1163"/>
      <c r="R615" s="1163"/>
      <c r="S615" s="1163"/>
      <c r="T615" s="1163"/>
      <c r="U615" s="1163"/>
      <c r="V615" s="1163"/>
      <c r="W615" s="1163"/>
      <c r="X615" s="1163"/>
      <c r="Y615" s="1163"/>
    </row>
    <row r="616" ht="12.75" customHeight="1">
      <c r="A616" s="1184"/>
      <c r="B616" s="1184"/>
      <c r="C616" s="1184"/>
      <c r="D616" s="1184"/>
      <c r="E616" s="1184"/>
      <c r="F616" s="1184"/>
      <c r="G616" s="1184"/>
      <c r="H616" s="1184"/>
      <c r="I616" s="1184"/>
      <c r="J616" s="1184"/>
      <c r="K616" s="1184"/>
      <c r="L616" s="1184"/>
      <c r="M616" s="1184"/>
      <c r="N616" s="1184"/>
      <c r="O616" s="1184"/>
      <c r="P616" s="1163"/>
      <c r="Q616" s="1163"/>
      <c r="R616" s="1163"/>
      <c r="S616" s="1163"/>
      <c r="T616" s="1163"/>
      <c r="U616" s="1163"/>
      <c r="V616" s="1163"/>
      <c r="W616" s="1163"/>
      <c r="X616" s="1163"/>
      <c r="Y616" s="1163"/>
    </row>
    <row r="617" ht="12.75" customHeight="1">
      <c r="A617" s="1184"/>
      <c r="B617" s="1184"/>
      <c r="C617" s="1184"/>
      <c r="D617" s="1184"/>
      <c r="E617" s="1184"/>
      <c r="F617" s="1184"/>
      <c r="G617" s="1184"/>
      <c r="H617" s="1184"/>
      <c r="I617" s="1184"/>
      <c r="J617" s="1184"/>
      <c r="K617" s="1184"/>
      <c r="L617" s="1184"/>
      <c r="M617" s="1184"/>
      <c r="N617" s="1184"/>
      <c r="O617" s="1184"/>
      <c r="P617" s="1163"/>
      <c r="Q617" s="1163"/>
      <c r="R617" s="1163"/>
      <c r="S617" s="1163"/>
      <c r="T617" s="1163"/>
      <c r="U617" s="1163"/>
      <c r="V617" s="1163"/>
      <c r="W617" s="1163"/>
      <c r="X617" s="1163"/>
      <c r="Y617" s="1163"/>
    </row>
    <row r="618" ht="12.75" customHeight="1">
      <c r="A618" s="1184"/>
      <c r="B618" s="1184"/>
      <c r="C618" s="1184"/>
      <c r="D618" s="1184"/>
      <c r="E618" s="1184"/>
      <c r="F618" s="1184"/>
      <c r="G618" s="1184"/>
      <c r="H618" s="1184"/>
      <c r="I618" s="1184"/>
      <c r="J618" s="1184"/>
      <c r="K618" s="1184"/>
      <c r="L618" s="1184"/>
      <c r="M618" s="1184"/>
      <c r="N618" s="1184"/>
      <c r="O618" s="1184"/>
      <c r="P618" s="1163"/>
      <c r="Q618" s="1163"/>
      <c r="R618" s="1163"/>
      <c r="S618" s="1163"/>
      <c r="T618" s="1163"/>
      <c r="U618" s="1163"/>
      <c r="V618" s="1163"/>
      <c r="W618" s="1163"/>
      <c r="X618" s="1163"/>
      <c r="Y618" s="1163"/>
    </row>
    <row r="619" ht="12.75" customHeight="1">
      <c r="A619" s="1184"/>
      <c r="B619" s="1184"/>
      <c r="C619" s="1184"/>
      <c r="D619" s="1184"/>
      <c r="E619" s="1184"/>
      <c r="F619" s="1184"/>
      <c r="G619" s="1184"/>
      <c r="H619" s="1184"/>
      <c r="I619" s="1184"/>
      <c r="J619" s="1184"/>
      <c r="K619" s="1184"/>
      <c r="L619" s="1184"/>
      <c r="M619" s="1184"/>
      <c r="N619" s="1184"/>
      <c r="O619" s="1184"/>
      <c r="P619" s="1163"/>
      <c r="Q619" s="1163"/>
      <c r="R619" s="1163"/>
      <c r="S619" s="1163"/>
      <c r="T619" s="1163"/>
      <c r="U619" s="1163"/>
      <c r="V619" s="1163"/>
      <c r="W619" s="1163"/>
      <c r="X619" s="1163"/>
      <c r="Y619" s="1163"/>
    </row>
    <row r="620" ht="12.75" customHeight="1">
      <c r="A620" s="1184"/>
      <c r="B620" s="1184"/>
      <c r="C620" s="1184"/>
      <c r="D620" s="1184"/>
      <c r="E620" s="1184"/>
      <c r="F620" s="1184"/>
      <c r="G620" s="1184"/>
      <c r="H620" s="1184"/>
      <c r="I620" s="1184"/>
      <c r="J620" s="1184"/>
      <c r="K620" s="1184"/>
      <c r="L620" s="1184"/>
      <c r="M620" s="1184"/>
      <c r="N620" s="1184"/>
      <c r="O620" s="1184"/>
      <c r="P620" s="1163"/>
      <c r="Q620" s="1163"/>
      <c r="R620" s="1163"/>
      <c r="S620" s="1163"/>
      <c r="T620" s="1163"/>
      <c r="U620" s="1163"/>
      <c r="V620" s="1163"/>
      <c r="W620" s="1163"/>
      <c r="X620" s="1163"/>
      <c r="Y620" s="1163"/>
    </row>
    <row r="621" ht="12.75" customHeight="1">
      <c r="A621" s="1184"/>
      <c r="B621" s="1184"/>
      <c r="C621" s="1184"/>
      <c r="D621" s="1184"/>
      <c r="E621" s="1184"/>
      <c r="F621" s="1184"/>
      <c r="G621" s="1184"/>
      <c r="H621" s="1184"/>
      <c r="I621" s="1184"/>
      <c r="J621" s="1184"/>
      <c r="K621" s="1184"/>
      <c r="L621" s="1184"/>
      <c r="M621" s="1184"/>
      <c r="N621" s="1184"/>
      <c r="O621" s="1184"/>
      <c r="P621" s="1163"/>
      <c r="Q621" s="1163"/>
      <c r="R621" s="1163"/>
      <c r="S621" s="1163"/>
      <c r="T621" s="1163"/>
      <c r="U621" s="1163"/>
      <c r="V621" s="1163"/>
      <c r="W621" s="1163"/>
      <c r="X621" s="1163"/>
      <c r="Y621" s="1163"/>
    </row>
    <row r="622" ht="12.75" customHeight="1">
      <c r="A622" s="1184"/>
      <c r="B622" s="1184"/>
      <c r="C622" s="1184"/>
      <c r="D622" s="1184"/>
      <c r="E622" s="1184"/>
      <c r="F622" s="1184"/>
      <c r="G622" s="1184"/>
      <c r="H622" s="1184"/>
      <c r="I622" s="1184"/>
      <c r="J622" s="1184"/>
      <c r="K622" s="1184"/>
      <c r="L622" s="1184"/>
      <c r="M622" s="1184"/>
      <c r="N622" s="1184"/>
      <c r="O622" s="1184"/>
      <c r="P622" s="1163"/>
      <c r="Q622" s="1163"/>
      <c r="R622" s="1163"/>
      <c r="S622" s="1163"/>
      <c r="T622" s="1163"/>
      <c r="U622" s="1163"/>
      <c r="V622" s="1163"/>
      <c r="W622" s="1163"/>
      <c r="X622" s="1163"/>
      <c r="Y622" s="1163"/>
    </row>
    <row r="623" ht="12.75" customHeight="1">
      <c r="A623" s="1184"/>
      <c r="B623" s="1184"/>
      <c r="C623" s="1184"/>
      <c r="D623" s="1184"/>
      <c r="E623" s="1184"/>
      <c r="F623" s="1184"/>
      <c r="G623" s="1184"/>
      <c r="H623" s="1184"/>
      <c r="I623" s="1184"/>
      <c r="J623" s="1184"/>
      <c r="K623" s="1184"/>
      <c r="L623" s="1184"/>
      <c r="M623" s="1184"/>
      <c r="N623" s="1184"/>
      <c r="O623" s="1184"/>
      <c r="P623" s="1163"/>
      <c r="Q623" s="1163"/>
      <c r="R623" s="1163"/>
      <c r="S623" s="1163"/>
      <c r="T623" s="1163"/>
      <c r="U623" s="1163"/>
      <c r="V623" s="1163"/>
      <c r="W623" s="1163"/>
      <c r="X623" s="1163"/>
      <c r="Y623" s="1163"/>
    </row>
    <row r="624" ht="12.75" customHeight="1">
      <c r="A624" s="1184"/>
      <c r="B624" s="1184"/>
      <c r="C624" s="1184"/>
      <c r="D624" s="1184"/>
      <c r="E624" s="1184"/>
      <c r="F624" s="1184"/>
      <c r="G624" s="1184"/>
      <c r="H624" s="1184"/>
      <c r="I624" s="1184"/>
      <c r="J624" s="1184"/>
      <c r="K624" s="1184"/>
      <c r="L624" s="1184"/>
      <c r="M624" s="1184"/>
      <c r="N624" s="1184"/>
      <c r="O624" s="1184"/>
      <c r="P624" s="1163"/>
      <c r="Q624" s="1163"/>
      <c r="R624" s="1163"/>
      <c r="S624" s="1163"/>
      <c r="T624" s="1163"/>
      <c r="U624" s="1163"/>
      <c r="V624" s="1163"/>
      <c r="W624" s="1163"/>
      <c r="X624" s="1163"/>
      <c r="Y624" s="1163"/>
    </row>
    <row r="625" ht="12.75" customHeight="1">
      <c r="A625" s="1184"/>
      <c r="B625" s="1184"/>
      <c r="C625" s="1184"/>
      <c r="D625" s="1184"/>
      <c r="E625" s="1184"/>
      <c r="F625" s="1184"/>
      <c r="G625" s="1184"/>
      <c r="H625" s="1184"/>
      <c r="I625" s="1184"/>
      <c r="J625" s="1184"/>
      <c r="K625" s="1184"/>
      <c r="L625" s="1184"/>
      <c r="M625" s="1184"/>
      <c r="N625" s="1184"/>
      <c r="O625" s="1184"/>
      <c r="P625" s="1163"/>
      <c r="Q625" s="1163"/>
      <c r="R625" s="1163"/>
      <c r="S625" s="1163"/>
      <c r="T625" s="1163"/>
      <c r="U625" s="1163"/>
      <c r="V625" s="1163"/>
      <c r="W625" s="1163"/>
      <c r="X625" s="1163"/>
      <c r="Y625" s="1163"/>
    </row>
    <row r="626" ht="12.75" customHeight="1">
      <c r="A626" s="1184"/>
      <c r="B626" s="1184"/>
      <c r="C626" s="1184"/>
      <c r="D626" s="1184"/>
      <c r="E626" s="1184"/>
      <c r="F626" s="1184"/>
      <c r="G626" s="1184"/>
      <c r="H626" s="1184"/>
      <c r="I626" s="1184"/>
      <c r="J626" s="1184"/>
      <c r="K626" s="1184"/>
      <c r="L626" s="1184"/>
      <c r="M626" s="1184"/>
      <c r="N626" s="1184"/>
      <c r="O626" s="1184"/>
      <c r="P626" s="1163"/>
      <c r="Q626" s="1163"/>
      <c r="R626" s="1163"/>
      <c r="S626" s="1163"/>
      <c r="T626" s="1163"/>
      <c r="U626" s="1163"/>
      <c r="V626" s="1163"/>
      <c r="W626" s="1163"/>
      <c r="X626" s="1163"/>
      <c r="Y626" s="1163"/>
    </row>
    <row r="627" ht="12.75" customHeight="1">
      <c r="A627" s="1184"/>
      <c r="B627" s="1184"/>
      <c r="C627" s="1184"/>
      <c r="D627" s="1184"/>
      <c r="E627" s="1184"/>
      <c r="F627" s="1184"/>
      <c r="G627" s="1184"/>
      <c r="H627" s="1184"/>
      <c r="I627" s="1184"/>
      <c r="J627" s="1184"/>
      <c r="K627" s="1184"/>
      <c r="L627" s="1184"/>
      <c r="M627" s="1184"/>
      <c r="N627" s="1184"/>
      <c r="O627" s="1184"/>
      <c r="P627" s="1163"/>
      <c r="Q627" s="1163"/>
      <c r="R627" s="1163"/>
      <c r="S627" s="1163"/>
      <c r="T627" s="1163"/>
      <c r="U627" s="1163"/>
      <c r="V627" s="1163"/>
      <c r="W627" s="1163"/>
      <c r="X627" s="1163"/>
      <c r="Y627" s="1163"/>
    </row>
    <row r="628" ht="12.75" customHeight="1">
      <c r="A628" s="1184"/>
      <c r="B628" s="1184"/>
      <c r="C628" s="1184"/>
      <c r="D628" s="1184"/>
      <c r="E628" s="1184"/>
      <c r="F628" s="1184"/>
      <c r="G628" s="1184"/>
      <c r="H628" s="1184"/>
      <c r="I628" s="1184"/>
      <c r="J628" s="1184"/>
      <c r="K628" s="1184"/>
      <c r="L628" s="1184"/>
      <c r="M628" s="1184"/>
      <c r="N628" s="1184"/>
      <c r="O628" s="1184"/>
      <c r="P628" s="1163"/>
      <c r="Q628" s="1163"/>
      <c r="R628" s="1163"/>
      <c r="S628" s="1163"/>
      <c r="T628" s="1163"/>
      <c r="U628" s="1163"/>
      <c r="V628" s="1163"/>
      <c r="W628" s="1163"/>
      <c r="X628" s="1163"/>
      <c r="Y628" s="1163"/>
    </row>
    <row r="629" ht="12.75" customHeight="1">
      <c r="A629" s="1184"/>
      <c r="B629" s="1184"/>
      <c r="C629" s="1184"/>
      <c r="D629" s="1184"/>
      <c r="E629" s="1184"/>
      <c r="F629" s="1184"/>
      <c r="G629" s="1184"/>
      <c r="H629" s="1184"/>
      <c r="I629" s="1184"/>
      <c r="J629" s="1184"/>
      <c r="K629" s="1184"/>
      <c r="L629" s="1184"/>
      <c r="M629" s="1184"/>
      <c r="N629" s="1184"/>
      <c r="O629" s="1184"/>
      <c r="P629" s="1163"/>
      <c r="Q629" s="1163"/>
      <c r="R629" s="1163"/>
      <c r="S629" s="1163"/>
      <c r="T629" s="1163"/>
      <c r="U629" s="1163"/>
      <c r="V629" s="1163"/>
      <c r="W629" s="1163"/>
      <c r="X629" s="1163"/>
      <c r="Y629" s="1163"/>
    </row>
    <row r="630" ht="12.75" customHeight="1">
      <c r="A630" s="1184"/>
      <c r="B630" s="1184"/>
      <c r="C630" s="1184"/>
      <c r="D630" s="1184"/>
      <c r="E630" s="1184"/>
      <c r="F630" s="1184"/>
      <c r="G630" s="1184"/>
      <c r="H630" s="1184"/>
      <c r="I630" s="1184"/>
      <c r="J630" s="1184"/>
      <c r="K630" s="1184"/>
      <c r="L630" s="1184"/>
      <c r="M630" s="1184"/>
      <c r="N630" s="1184"/>
      <c r="O630" s="1184"/>
      <c r="P630" s="1163"/>
      <c r="Q630" s="1163"/>
      <c r="R630" s="1163"/>
      <c r="S630" s="1163"/>
      <c r="T630" s="1163"/>
      <c r="U630" s="1163"/>
      <c r="V630" s="1163"/>
      <c r="W630" s="1163"/>
      <c r="X630" s="1163"/>
      <c r="Y630" s="1163"/>
    </row>
    <row r="631" ht="12.75" customHeight="1">
      <c r="A631" s="1184"/>
      <c r="B631" s="1184"/>
      <c r="C631" s="1184"/>
      <c r="D631" s="1184"/>
      <c r="E631" s="1184"/>
      <c r="F631" s="1184"/>
      <c r="G631" s="1184"/>
      <c r="H631" s="1184"/>
      <c r="I631" s="1184"/>
      <c r="J631" s="1184"/>
      <c r="K631" s="1184"/>
      <c r="L631" s="1184"/>
      <c r="M631" s="1184"/>
      <c r="N631" s="1184"/>
      <c r="O631" s="1184"/>
      <c r="P631" s="1163"/>
      <c r="Q631" s="1163"/>
      <c r="R631" s="1163"/>
      <c r="S631" s="1163"/>
      <c r="T631" s="1163"/>
      <c r="U631" s="1163"/>
      <c r="V631" s="1163"/>
      <c r="W631" s="1163"/>
      <c r="X631" s="1163"/>
      <c r="Y631" s="1163"/>
    </row>
    <row r="632" ht="12.75" customHeight="1">
      <c r="A632" s="1184"/>
      <c r="B632" s="1184"/>
      <c r="C632" s="1184"/>
      <c r="D632" s="1184"/>
      <c r="E632" s="1184"/>
      <c r="F632" s="1184"/>
      <c r="G632" s="1184"/>
      <c r="H632" s="1184"/>
      <c r="I632" s="1184"/>
      <c r="J632" s="1184"/>
      <c r="K632" s="1184"/>
      <c r="L632" s="1184"/>
      <c r="M632" s="1184"/>
      <c r="N632" s="1184"/>
      <c r="O632" s="1184"/>
      <c r="P632" s="1163"/>
      <c r="Q632" s="1163"/>
      <c r="R632" s="1163"/>
      <c r="S632" s="1163"/>
      <c r="T632" s="1163"/>
      <c r="U632" s="1163"/>
      <c r="V632" s="1163"/>
      <c r="W632" s="1163"/>
      <c r="X632" s="1163"/>
      <c r="Y632" s="1163"/>
    </row>
    <row r="633" ht="12.75" customHeight="1">
      <c r="A633" s="1184"/>
      <c r="B633" s="1184"/>
      <c r="C633" s="1184"/>
      <c r="D633" s="1184"/>
      <c r="E633" s="1184"/>
      <c r="F633" s="1184"/>
      <c r="G633" s="1184"/>
      <c r="H633" s="1184"/>
      <c r="I633" s="1184"/>
      <c r="J633" s="1184"/>
      <c r="K633" s="1184"/>
      <c r="L633" s="1184"/>
      <c r="M633" s="1184"/>
      <c r="N633" s="1184"/>
      <c r="O633" s="1184"/>
      <c r="P633" s="1163"/>
      <c r="Q633" s="1163"/>
      <c r="R633" s="1163"/>
      <c r="S633" s="1163"/>
      <c r="T633" s="1163"/>
      <c r="U633" s="1163"/>
      <c r="V633" s="1163"/>
      <c r="W633" s="1163"/>
      <c r="X633" s="1163"/>
      <c r="Y633" s="1163"/>
    </row>
    <row r="634" ht="12.75" customHeight="1">
      <c r="A634" s="1184"/>
      <c r="B634" s="1184"/>
      <c r="C634" s="1184"/>
      <c r="D634" s="1184"/>
      <c r="E634" s="1184"/>
      <c r="F634" s="1184"/>
      <c r="G634" s="1184"/>
      <c r="H634" s="1184"/>
      <c r="I634" s="1184"/>
      <c r="J634" s="1184"/>
      <c r="K634" s="1184"/>
      <c r="L634" s="1184"/>
      <c r="M634" s="1184"/>
      <c r="N634" s="1184"/>
      <c r="O634" s="1184"/>
      <c r="P634" s="1163"/>
      <c r="Q634" s="1163"/>
      <c r="R634" s="1163"/>
      <c r="S634" s="1163"/>
      <c r="T634" s="1163"/>
      <c r="U634" s="1163"/>
      <c r="V634" s="1163"/>
      <c r="W634" s="1163"/>
      <c r="X634" s="1163"/>
      <c r="Y634" s="1163"/>
    </row>
    <row r="635" ht="12.75" customHeight="1">
      <c r="A635" s="1184"/>
      <c r="B635" s="1184"/>
      <c r="C635" s="1184"/>
      <c r="D635" s="1184"/>
      <c r="E635" s="1184"/>
      <c r="F635" s="1184"/>
      <c r="G635" s="1184"/>
      <c r="H635" s="1184"/>
      <c r="I635" s="1184"/>
      <c r="J635" s="1184"/>
      <c r="K635" s="1184"/>
      <c r="L635" s="1184"/>
      <c r="M635" s="1184"/>
      <c r="N635" s="1184"/>
      <c r="O635" s="1184"/>
      <c r="P635" s="1163"/>
      <c r="Q635" s="1163"/>
      <c r="R635" s="1163"/>
      <c r="S635" s="1163"/>
      <c r="T635" s="1163"/>
      <c r="U635" s="1163"/>
      <c r="V635" s="1163"/>
      <c r="W635" s="1163"/>
      <c r="X635" s="1163"/>
      <c r="Y635" s="1163"/>
    </row>
    <row r="636" ht="12.75" customHeight="1">
      <c r="A636" s="1184"/>
      <c r="B636" s="1184"/>
      <c r="C636" s="1184"/>
      <c r="D636" s="1184"/>
      <c r="E636" s="1184"/>
      <c r="F636" s="1184"/>
      <c r="G636" s="1184"/>
      <c r="H636" s="1184"/>
      <c r="I636" s="1184"/>
      <c r="J636" s="1184"/>
      <c r="K636" s="1184"/>
      <c r="L636" s="1184"/>
      <c r="M636" s="1184"/>
      <c r="N636" s="1184"/>
      <c r="O636" s="1184"/>
      <c r="P636" s="1163"/>
      <c r="Q636" s="1163"/>
      <c r="R636" s="1163"/>
      <c r="S636" s="1163"/>
      <c r="T636" s="1163"/>
      <c r="U636" s="1163"/>
      <c r="V636" s="1163"/>
      <c r="W636" s="1163"/>
      <c r="X636" s="1163"/>
      <c r="Y636" s="1163"/>
    </row>
    <row r="637" ht="12.75" customHeight="1">
      <c r="A637" s="1184"/>
      <c r="B637" s="1184"/>
      <c r="C637" s="1184"/>
      <c r="D637" s="1184"/>
      <c r="E637" s="1184"/>
      <c r="F637" s="1184"/>
      <c r="G637" s="1184"/>
      <c r="H637" s="1184"/>
      <c r="I637" s="1184"/>
      <c r="J637" s="1184"/>
      <c r="K637" s="1184"/>
      <c r="L637" s="1184"/>
      <c r="M637" s="1184"/>
      <c r="N637" s="1184"/>
      <c r="O637" s="1184"/>
      <c r="P637" s="1163"/>
      <c r="Q637" s="1163"/>
      <c r="R637" s="1163"/>
      <c r="S637" s="1163"/>
      <c r="T637" s="1163"/>
      <c r="U637" s="1163"/>
      <c r="V637" s="1163"/>
      <c r="W637" s="1163"/>
      <c r="X637" s="1163"/>
      <c r="Y637" s="1163"/>
    </row>
    <row r="638" ht="12.75" customHeight="1">
      <c r="A638" s="1184"/>
      <c r="B638" s="1184"/>
      <c r="C638" s="1184"/>
      <c r="D638" s="1184"/>
      <c r="E638" s="1184"/>
      <c r="F638" s="1184"/>
      <c r="G638" s="1184"/>
      <c r="H638" s="1184"/>
      <c r="I638" s="1184"/>
      <c r="J638" s="1184"/>
      <c r="K638" s="1184"/>
      <c r="L638" s="1184"/>
      <c r="M638" s="1184"/>
      <c r="N638" s="1184"/>
      <c r="O638" s="1184"/>
      <c r="P638" s="1163"/>
      <c r="Q638" s="1163"/>
      <c r="R638" s="1163"/>
      <c r="S638" s="1163"/>
      <c r="T638" s="1163"/>
      <c r="U638" s="1163"/>
      <c r="V638" s="1163"/>
      <c r="W638" s="1163"/>
      <c r="X638" s="1163"/>
      <c r="Y638" s="1163"/>
    </row>
    <row r="639" ht="12.75" customHeight="1">
      <c r="A639" s="1184"/>
      <c r="B639" s="1184"/>
      <c r="C639" s="1184"/>
      <c r="D639" s="1184"/>
      <c r="E639" s="1184"/>
      <c r="F639" s="1184"/>
      <c r="G639" s="1184"/>
      <c r="H639" s="1184"/>
      <c r="I639" s="1184"/>
      <c r="J639" s="1184"/>
      <c r="K639" s="1184"/>
      <c r="L639" s="1184"/>
      <c r="M639" s="1184"/>
      <c r="N639" s="1184"/>
      <c r="O639" s="1184"/>
      <c r="P639" s="1163"/>
      <c r="Q639" s="1163"/>
      <c r="R639" s="1163"/>
      <c r="S639" s="1163"/>
      <c r="T639" s="1163"/>
      <c r="U639" s="1163"/>
      <c r="V639" s="1163"/>
      <c r="W639" s="1163"/>
      <c r="X639" s="1163"/>
      <c r="Y639" s="1163"/>
    </row>
    <row r="640" ht="12.75" customHeight="1">
      <c r="A640" s="1184"/>
      <c r="B640" s="1184"/>
      <c r="C640" s="1184"/>
      <c r="D640" s="1184"/>
      <c r="E640" s="1184"/>
      <c r="F640" s="1184"/>
      <c r="G640" s="1184"/>
      <c r="H640" s="1184"/>
      <c r="I640" s="1184"/>
      <c r="J640" s="1184"/>
      <c r="K640" s="1184"/>
      <c r="L640" s="1184"/>
      <c r="M640" s="1184"/>
      <c r="N640" s="1184"/>
      <c r="O640" s="1184"/>
      <c r="P640" s="1163"/>
      <c r="Q640" s="1163"/>
      <c r="R640" s="1163"/>
      <c r="S640" s="1163"/>
      <c r="T640" s="1163"/>
      <c r="U640" s="1163"/>
      <c r="V640" s="1163"/>
      <c r="W640" s="1163"/>
      <c r="X640" s="1163"/>
      <c r="Y640" s="1163"/>
    </row>
    <row r="641" ht="12.75" customHeight="1">
      <c r="A641" s="1184"/>
      <c r="B641" s="1184"/>
      <c r="C641" s="1184"/>
      <c r="D641" s="1184"/>
      <c r="E641" s="1184"/>
      <c r="F641" s="1184"/>
      <c r="G641" s="1184"/>
      <c r="H641" s="1184"/>
      <c r="I641" s="1184"/>
      <c r="J641" s="1184"/>
      <c r="K641" s="1184"/>
      <c r="L641" s="1184"/>
      <c r="M641" s="1184"/>
      <c r="N641" s="1184"/>
      <c r="O641" s="1184"/>
      <c r="P641" s="1163"/>
      <c r="Q641" s="1163"/>
      <c r="R641" s="1163"/>
      <c r="S641" s="1163"/>
      <c r="T641" s="1163"/>
      <c r="U641" s="1163"/>
      <c r="V641" s="1163"/>
      <c r="W641" s="1163"/>
      <c r="X641" s="1163"/>
      <c r="Y641" s="1163"/>
    </row>
    <row r="642" ht="12.75" customHeight="1">
      <c r="A642" s="1184"/>
      <c r="B642" s="1184"/>
      <c r="C642" s="1184"/>
      <c r="D642" s="1184"/>
      <c r="E642" s="1184"/>
      <c r="F642" s="1184"/>
      <c r="G642" s="1184"/>
      <c r="H642" s="1184"/>
      <c r="I642" s="1184"/>
      <c r="J642" s="1184"/>
      <c r="K642" s="1184"/>
      <c r="L642" s="1184"/>
      <c r="M642" s="1184"/>
      <c r="N642" s="1184"/>
      <c r="O642" s="1184"/>
      <c r="P642" s="1163"/>
      <c r="Q642" s="1163"/>
      <c r="R642" s="1163"/>
      <c r="S642" s="1163"/>
      <c r="T642" s="1163"/>
      <c r="U642" s="1163"/>
      <c r="V642" s="1163"/>
      <c r="W642" s="1163"/>
      <c r="X642" s="1163"/>
      <c r="Y642" s="1163"/>
    </row>
    <row r="643" ht="12.75" customHeight="1">
      <c r="A643" s="1184"/>
      <c r="B643" s="1184"/>
      <c r="C643" s="1184"/>
      <c r="D643" s="1184"/>
      <c r="E643" s="1184"/>
      <c r="F643" s="1184"/>
      <c r="G643" s="1184"/>
      <c r="H643" s="1184"/>
      <c r="I643" s="1184"/>
      <c r="J643" s="1184"/>
      <c r="K643" s="1184"/>
      <c r="L643" s="1184"/>
      <c r="M643" s="1184"/>
      <c r="N643" s="1184"/>
      <c r="O643" s="1184"/>
      <c r="P643" s="1163"/>
      <c r="Q643" s="1163"/>
      <c r="R643" s="1163"/>
      <c r="S643" s="1163"/>
      <c r="T643" s="1163"/>
      <c r="U643" s="1163"/>
      <c r="V643" s="1163"/>
      <c r="W643" s="1163"/>
      <c r="X643" s="1163"/>
      <c r="Y643" s="1163"/>
    </row>
    <row r="644" ht="12.75" customHeight="1">
      <c r="A644" s="1184"/>
      <c r="B644" s="1184"/>
      <c r="C644" s="1184"/>
      <c r="D644" s="1184"/>
      <c r="E644" s="1184"/>
      <c r="F644" s="1184"/>
      <c r="G644" s="1184"/>
      <c r="H644" s="1184"/>
      <c r="I644" s="1184"/>
      <c r="J644" s="1184"/>
      <c r="K644" s="1184"/>
      <c r="L644" s="1184"/>
      <c r="M644" s="1184"/>
      <c r="N644" s="1184"/>
      <c r="O644" s="1184"/>
      <c r="P644" s="1163"/>
      <c r="Q644" s="1163"/>
      <c r="R644" s="1163"/>
      <c r="S644" s="1163"/>
      <c r="T644" s="1163"/>
      <c r="U644" s="1163"/>
      <c r="V644" s="1163"/>
      <c r="W644" s="1163"/>
      <c r="X644" s="1163"/>
      <c r="Y644" s="1163"/>
    </row>
    <row r="645" ht="12.75" customHeight="1">
      <c r="A645" s="1184"/>
      <c r="B645" s="1184"/>
      <c r="C645" s="1184"/>
      <c r="D645" s="1184"/>
      <c r="E645" s="1184"/>
      <c r="F645" s="1184"/>
      <c r="G645" s="1184"/>
      <c r="H645" s="1184"/>
      <c r="I645" s="1184"/>
      <c r="J645" s="1184"/>
      <c r="K645" s="1184"/>
      <c r="L645" s="1184"/>
      <c r="M645" s="1184"/>
      <c r="N645" s="1184"/>
      <c r="O645" s="1184"/>
      <c r="P645" s="1163"/>
      <c r="Q645" s="1163"/>
      <c r="R645" s="1163"/>
      <c r="S645" s="1163"/>
      <c r="T645" s="1163"/>
      <c r="U645" s="1163"/>
      <c r="V645" s="1163"/>
      <c r="W645" s="1163"/>
      <c r="X645" s="1163"/>
      <c r="Y645" s="1163"/>
    </row>
    <row r="646" ht="12.75" customHeight="1">
      <c r="A646" s="1184"/>
      <c r="B646" s="1184"/>
      <c r="C646" s="1184"/>
      <c r="D646" s="1184"/>
      <c r="E646" s="1184"/>
      <c r="F646" s="1184"/>
      <c r="G646" s="1184"/>
      <c r="H646" s="1184"/>
      <c r="I646" s="1184"/>
      <c r="J646" s="1184"/>
      <c r="K646" s="1184"/>
      <c r="L646" s="1184"/>
      <c r="M646" s="1184"/>
      <c r="N646" s="1184"/>
      <c r="O646" s="1184"/>
      <c r="P646" s="1163"/>
      <c r="Q646" s="1163"/>
      <c r="R646" s="1163"/>
      <c r="S646" s="1163"/>
      <c r="T646" s="1163"/>
      <c r="U646" s="1163"/>
      <c r="V646" s="1163"/>
      <c r="W646" s="1163"/>
      <c r="X646" s="1163"/>
      <c r="Y646" s="1163"/>
    </row>
    <row r="647" ht="12.75" customHeight="1">
      <c r="A647" s="1184"/>
      <c r="B647" s="1184"/>
      <c r="C647" s="1184"/>
      <c r="D647" s="1184"/>
      <c r="E647" s="1184"/>
      <c r="F647" s="1184"/>
      <c r="G647" s="1184"/>
      <c r="H647" s="1184"/>
      <c r="I647" s="1184"/>
      <c r="J647" s="1184"/>
      <c r="K647" s="1184"/>
      <c r="L647" s="1184"/>
      <c r="M647" s="1184"/>
      <c r="N647" s="1184"/>
      <c r="O647" s="1184"/>
      <c r="P647" s="1163"/>
      <c r="Q647" s="1163"/>
      <c r="R647" s="1163"/>
      <c r="S647" s="1163"/>
      <c r="T647" s="1163"/>
      <c r="U647" s="1163"/>
      <c r="V647" s="1163"/>
      <c r="W647" s="1163"/>
      <c r="X647" s="1163"/>
      <c r="Y647" s="1163"/>
    </row>
    <row r="648" ht="12.75" customHeight="1">
      <c r="A648" s="1184"/>
      <c r="B648" s="1184"/>
      <c r="C648" s="1184"/>
      <c r="D648" s="1184"/>
      <c r="E648" s="1184"/>
      <c r="F648" s="1184"/>
      <c r="G648" s="1184"/>
      <c r="H648" s="1184"/>
      <c r="I648" s="1184"/>
      <c r="J648" s="1184"/>
      <c r="K648" s="1184"/>
      <c r="L648" s="1184"/>
      <c r="M648" s="1184"/>
      <c r="N648" s="1184"/>
      <c r="O648" s="1184"/>
      <c r="P648" s="1163"/>
      <c r="Q648" s="1163"/>
      <c r="R648" s="1163"/>
      <c r="S648" s="1163"/>
      <c r="T648" s="1163"/>
      <c r="U648" s="1163"/>
      <c r="V648" s="1163"/>
      <c r="W648" s="1163"/>
      <c r="X648" s="1163"/>
      <c r="Y648" s="1163"/>
    </row>
    <row r="649" ht="12.75" customHeight="1">
      <c r="A649" s="1184"/>
      <c r="B649" s="1184"/>
      <c r="C649" s="1184"/>
      <c r="D649" s="1184"/>
      <c r="E649" s="1184"/>
      <c r="F649" s="1184"/>
      <c r="G649" s="1184"/>
      <c r="H649" s="1184"/>
      <c r="I649" s="1184"/>
      <c r="J649" s="1184"/>
      <c r="K649" s="1184"/>
      <c r="L649" s="1184"/>
      <c r="M649" s="1184"/>
      <c r="N649" s="1184"/>
      <c r="O649" s="1184"/>
      <c r="P649" s="1163"/>
      <c r="Q649" s="1163"/>
      <c r="R649" s="1163"/>
      <c r="S649" s="1163"/>
      <c r="T649" s="1163"/>
      <c r="U649" s="1163"/>
      <c r="V649" s="1163"/>
      <c r="W649" s="1163"/>
      <c r="X649" s="1163"/>
      <c r="Y649" s="1163"/>
    </row>
    <row r="650" ht="12.75" customHeight="1">
      <c r="A650" s="1184"/>
      <c r="B650" s="1184"/>
      <c r="C650" s="1184"/>
      <c r="D650" s="1184"/>
      <c r="E650" s="1184"/>
      <c r="F650" s="1184"/>
      <c r="G650" s="1184"/>
      <c r="H650" s="1184"/>
      <c r="I650" s="1184"/>
      <c r="J650" s="1184"/>
      <c r="K650" s="1184"/>
      <c r="L650" s="1184"/>
      <c r="M650" s="1184"/>
      <c r="N650" s="1184"/>
      <c r="O650" s="1184"/>
      <c r="P650" s="1163"/>
      <c r="Q650" s="1163"/>
      <c r="R650" s="1163"/>
      <c r="S650" s="1163"/>
      <c r="T650" s="1163"/>
      <c r="U650" s="1163"/>
      <c r="V650" s="1163"/>
      <c r="W650" s="1163"/>
      <c r="X650" s="1163"/>
      <c r="Y650" s="1163"/>
    </row>
    <row r="651" ht="12.75" customHeight="1">
      <c r="A651" s="1184"/>
      <c r="B651" s="1184"/>
      <c r="C651" s="1184"/>
      <c r="D651" s="1184"/>
      <c r="E651" s="1184"/>
      <c r="F651" s="1184"/>
      <c r="G651" s="1184"/>
      <c r="H651" s="1184"/>
      <c r="I651" s="1184"/>
      <c r="J651" s="1184"/>
      <c r="K651" s="1184"/>
      <c r="L651" s="1184"/>
      <c r="M651" s="1184"/>
      <c r="N651" s="1184"/>
      <c r="O651" s="1184"/>
      <c r="P651" s="1163"/>
      <c r="Q651" s="1163"/>
      <c r="R651" s="1163"/>
      <c r="S651" s="1163"/>
      <c r="T651" s="1163"/>
      <c r="U651" s="1163"/>
      <c r="V651" s="1163"/>
      <c r="W651" s="1163"/>
      <c r="X651" s="1163"/>
      <c r="Y651" s="1163"/>
    </row>
    <row r="652" ht="12.75" customHeight="1">
      <c r="A652" s="1184"/>
      <c r="B652" s="1184"/>
      <c r="C652" s="1184"/>
      <c r="D652" s="1184"/>
      <c r="E652" s="1184"/>
      <c r="F652" s="1184"/>
      <c r="G652" s="1184"/>
      <c r="H652" s="1184"/>
      <c r="I652" s="1184"/>
      <c r="J652" s="1184"/>
      <c r="K652" s="1184"/>
      <c r="L652" s="1184"/>
      <c r="M652" s="1184"/>
      <c r="N652" s="1184"/>
      <c r="O652" s="1184"/>
      <c r="P652" s="1163"/>
      <c r="Q652" s="1163"/>
      <c r="R652" s="1163"/>
      <c r="S652" s="1163"/>
      <c r="T652" s="1163"/>
      <c r="U652" s="1163"/>
      <c r="V652" s="1163"/>
      <c r="W652" s="1163"/>
      <c r="X652" s="1163"/>
      <c r="Y652" s="1163"/>
    </row>
    <row r="653" ht="12.75" customHeight="1">
      <c r="A653" s="1184"/>
      <c r="B653" s="1184"/>
      <c r="C653" s="1184"/>
      <c r="D653" s="1184"/>
      <c r="E653" s="1184"/>
      <c r="F653" s="1184"/>
      <c r="G653" s="1184"/>
      <c r="H653" s="1184"/>
      <c r="I653" s="1184"/>
      <c r="J653" s="1184"/>
      <c r="K653" s="1184"/>
      <c r="L653" s="1184"/>
      <c r="M653" s="1184"/>
      <c r="N653" s="1184"/>
      <c r="O653" s="1184"/>
      <c r="P653" s="1163"/>
      <c r="Q653" s="1163"/>
      <c r="R653" s="1163"/>
      <c r="S653" s="1163"/>
      <c r="T653" s="1163"/>
      <c r="U653" s="1163"/>
      <c r="V653" s="1163"/>
      <c r="W653" s="1163"/>
      <c r="X653" s="1163"/>
      <c r="Y653" s="1163"/>
    </row>
    <row r="654" ht="12.75" customHeight="1">
      <c r="A654" s="1184"/>
      <c r="B654" s="1184"/>
      <c r="C654" s="1184"/>
      <c r="D654" s="1184"/>
      <c r="E654" s="1184"/>
      <c r="F654" s="1184"/>
      <c r="G654" s="1184"/>
      <c r="H654" s="1184"/>
      <c r="I654" s="1184"/>
      <c r="J654" s="1184"/>
      <c r="K654" s="1184"/>
      <c r="L654" s="1184"/>
      <c r="M654" s="1184"/>
      <c r="N654" s="1184"/>
      <c r="O654" s="1184"/>
      <c r="P654" s="1163"/>
      <c r="Q654" s="1163"/>
      <c r="R654" s="1163"/>
      <c r="S654" s="1163"/>
      <c r="T654" s="1163"/>
      <c r="U654" s="1163"/>
      <c r="V654" s="1163"/>
      <c r="W654" s="1163"/>
      <c r="X654" s="1163"/>
      <c r="Y654" s="1163"/>
    </row>
    <row r="655" ht="12.75" customHeight="1">
      <c r="A655" s="1184"/>
      <c r="B655" s="1184"/>
      <c r="C655" s="1184"/>
      <c r="D655" s="1184"/>
      <c r="E655" s="1184"/>
      <c r="F655" s="1184"/>
      <c r="G655" s="1184"/>
      <c r="H655" s="1184"/>
      <c r="I655" s="1184"/>
      <c r="J655" s="1184"/>
      <c r="K655" s="1184"/>
      <c r="L655" s="1184"/>
      <c r="M655" s="1184"/>
      <c r="N655" s="1184"/>
      <c r="O655" s="1184"/>
      <c r="P655" s="1163"/>
      <c r="Q655" s="1163"/>
      <c r="R655" s="1163"/>
      <c r="S655" s="1163"/>
      <c r="T655" s="1163"/>
      <c r="U655" s="1163"/>
      <c r="V655" s="1163"/>
      <c r="W655" s="1163"/>
      <c r="X655" s="1163"/>
      <c r="Y655" s="1163"/>
    </row>
    <row r="656" ht="12.75" customHeight="1">
      <c r="A656" s="1184"/>
      <c r="B656" s="1184"/>
      <c r="C656" s="1184"/>
      <c r="D656" s="1184"/>
      <c r="E656" s="1184"/>
      <c r="F656" s="1184"/>
      <c r="G656" s="1184"/>
      <c r="H656" s="1184"/>
      <c r="I656" s="1184"/>
      <c r="J656" s="1184"/>
      <c r="K656" s="1184"/>
      <c r="L656" s="1184"/>
      <c r="M656" s="1184"/>
      <c r="N656" s="1184"/>
      <c r="O656" s="1184"/>
      <c r="P656" s="1163"/>
      <c r="Q656" s="1163"/>
      <c r="R656" s="1163"/>
      <c r="S656" s="1163"/>
      <c r="T656" s="1163"/>
      <c r="U656" s="1163"/>
      <c r="V656" s="1163"/>
      <c r="W656" s="1163"/>
      <c r="X656" s="1163"/>
      <c r="Y656" s="1163"/>
    </row>
    <row r="657" ht="12.75" customHeight="1">
      <c r="A657" s="1184"/>
      <c r="B657" s="1184"/>
      <c r="C657" s="1184"/>
      <c r="D657" s="1184"/>
      <c r="E657" s="1184"/>
      <c r="F657" s="1184"/>
      <c r="G657" s="1184"/>
      <c r="H657" s="1184"/>
      <c r="I657" s="1184"/>
      <c r="J657" s="1184"/>
      <c r="K657" s="1184"/>
      <c r="L657" s="1184"/>
      <c r="M657" s="1184"/>
      <c r="N657" s="1184"/>
      <c r="O657" s="1184"/>
      <c r="P657" s="1163"/>
      <c r="Q657" s="1163"/>
      <c r="R657" s="1163"/>
      <c r="S657" s="1163"/>
      <c r="T657" s="1163"/>
      <c r="U657" s="1163"/>
      <c r="V657" s="1163"/>
      <c r="W657" s="1163"/>
      <c r="X657" s="1163"/>
      <c r="Y657" s="1163"/>
    </row>
    <row r="658" ht="12.75" customHeight="1">
      <c r="A658" s="1184"/>
      <c r="B658" s="1184"/>
      <c r="C658" s="1184"/>
      <c r="D658" s="1184"/>
      <c r="E658" s="1184"/>
      <c r="F658" s="1184"/>
      <c r="G658" s="1184"/>
      <c r="H658" s="1184"/>
      <c r="I658" s="1184"/>
      <c r="J658" s="1184"/>
      <c r="K658" s="1184"/>
      <c r="L658" s="1184"/>
      <c r="M658" s="1184"/>
      <c r="N658" s="1184"/>
      <c r="O658" s="1184"/>
      <c r="P658" s="1163"/>
      <c r="Q658" s="1163"/>
      <c r="R658" s="1163"/>
      <c r="S658" s="1163"/>
      <c r="T658" s="1163"/>
      <c r="U658" s="1163"/>
      <c r="V658" s="1163"/>
      <c r="W658" s="1163"/>
      <c r="X658" s="1163"/>
      <c r="Y658" s="1163"/>
    </row>
    <row r="659" ht="12.75" customHeight="1">
      <c r="A659" s="1184"/>
      <c r="B659" s="1184"/>
      <c r="C659" s="1184"/>
      <c r="D659" s="1184"/>
      <c r="E659" s="1184"/>
      <c r="F659" s="1184"/>
      <c r="G659" s="1184"/>
      <c r="H659" s="1184"/>
      <c r="I659" s="1184"/>
      <c r="J659" s="1184"/>
      <c r="K659" s="1184"/>
      <c r="L659" s="1184"/>
      <c r="M659" s="1184"/>
      <c r="N659" s="1184"/>
      <c r="O659" s="1184"/>
      <c r="P659" s="1163"/>
      <c r="Q659" s="1163"/>
      <c r="R659" s="1163"/>
      <c r="S659" s="1163"/>
      <c r="T659" s="1163"/>
      <c r="U659" s="1163"/>
      <c r="V659" s="1163"/>
      <c r="W659" s="1163"/>
      <c r="X659" s="1163"/>
      <c r="Y659" s="1163"/>
    </row>
    <row r="660" ht="12.75" customHeight="1">
      <c r="A660" s="1184"/>
      <c r="B660" s="1184"/>
      <c r="C660" s="1184"/>
      <c r="D660" s="1184"/>
      <c r="E660" s="1184"/>
      <c r="F660" s="1184"/>
      <c r="G660" s="1184"/>
      <c r="H660" s="1184"/>
      <c r="I660" s="1184"/>
      <c r="J660" s="1184"/>
      <c r="K660" s="1184"/>
      <c r="L660" s="1184"/>
      <c r="M660" s="1184"/>
      <c r="N660" s="1184"/>
      <c r="O660" s="1184"/>
      <c r="P660" s="1163"/>
      <c r="Q660" s="1163"/>
      <c r="R660" s="1163"/>
      <c r="S660" s="1163"/>
      <c r="T660" s="1163"/>
      <c r="U660" s="1163"/>
      <c r="V660" s="1163"/>
      <c r="W660" s="1163"/>
      <c r="X660" s="1163"/>
      <c r="Y660" s="1163"/>
    </row>
    <row r="661" ht="12.75" customHeight="1">
      <c r="A661" s="1184"/>
      <c r="B661" s="1184"/>
      <c r="C661" s="1184"/>
      <c r="D661" s="1184"/>
      <c r="E661" s="1184"/>
      <c r="F661" s="1184"/>
      <c r="G661" s="1184"/>
      <c r="H661" s="1184"/>
      <c r="I661" s="1184"/>
      <c r="J661" s="1184"/>
      <c r="K661" s="1184"/>
      <c r="L661" s="1184"/>
      <c r="M661" s="1184"/>
      <c r="N661" s="1184"/>
      <c r="O661" s="1184"/>
      <c r="P661" s="1163"/>
      <c r="Q661" s="1163"/>
      <c r="R661" s="1163"/>
      <c r="S661" s="1163"/>
      <c r="T661" s="1163"/>
      <c r="U661" s="1163"/>
      <c r="V661" s="1163"/>
      <c r="W661" s="1163"/>
      <c r="X661" s="1163"/>
      <c r="Y661" s="1163"/>
    </row>
    <row r="662" ht="12.75" customHeight="1">
      <c r="A662" s="1184"/>
      <c r="B662" s="1184"/>
      <c r="C662" s="1184"/>
      <c r="D662" s="1184"/>
      <c r="E662" s="1184"/>
      <c r="F662" s="1184"/>
      <c r="G662" s="1184"/>
      <c r="H662" s="1184"/>
      <c r="I662" s="1184"/>
      <c r="J662" s="1184"/>
      <c r="K662" s="1184"/>
      <c r="L662" s="1184"/>
      <c r="M662" s="1184"/>
      <c r="N662" s="1184"/>
      <c r="O662" s="1184"/>
      <c r="P662" s="1163"/>
      <c r="Q662" s="1163"/>
      <c r="R662" s="1163"/>
      <c r="S662" s="1163"/>
      <c r="T662" s="1163"/>
      <c r="U662" s="1163"/>
      <c r="V662" s="1163"/>
      <c r="W662" s="1163"/>
      <c r="X662" s="1163"/>
      <c r="Y662" s="1163"/>
    </row>
    <row r="663" ht="12.75" customHeight="1">
      <c r="A663" s="1184"/>
      <c r="B663" s="1184"/>
      <c r="C663" s="1184"/>
      <c r="D663" s="1184"/>
      <c r="E663" s="1184"/>
      <c r="F663" s="1184"/>
      <c r="G663" s="1184"/>
      <c r="H663" s="1184"/>
      <c r="I663" s="1184"/>
      <c r="J663" s="1184"/>
      <c r="K663" s="1184"/>
      <c r="L663" s="1184"/>
      <c r="M663" s="1184"/>
      <c r="N663" s="1184"/>
      <c r="O663" s="1184"/>
      <c r="P663" s="1163"/>
      <c r="Q663" s="1163"/>
      <c r="R663" s="1163"/>
      <c r="S663" s="1163"/>
      <c r="T663" s="1163"/>
      <c r="U663" s="1163"/>
      <c r="V663" s="1163"/>
      <c r="W663" s="1163"/>
      <c r="X663" s="1163"/>
      <c r="Y663" s="1163"/>
    </row>
    <row r="664" ht="12.75" customHeight="1">
      <c r="A664" s="1184"/>
      <c r="B664" s="1184"/>
      <c r="C664" s="1184"/>
      <c r="D664" s="1184"/>
      <c r="E664" s="1184"/>
      <c r="F664" s="1184"/>
      <c r="G664" s="1184"/>
      <c r="H664" s="1184"/>
      <c r="I664" s="1184"/>
      <c r="J664" s="1184"/>
      <c r="K664" s="1184"/>
      <c r="L664" s="1184"/>
      <c r="M664" s="1184"/>
      <c r="N664" s="1184"/>
      <c r="O664" s="1184"/>
      <c r="P664" s="1163"/>
      <c r="Q664" s="1163"/>
      <c r="R664" s="1163"/>
      <c r="S664" s="1163"/>
      <c r="T664" s="1163"/>
      <c r="U664" s="1163"/>
      <c r="V664" s="1163"/>
      <c r="W664" s="1163"/>
      <c r="X664" s="1163"/>
      <c r="Y664" s="1163"/>
    </row>
    <row r="665" ht="12.75" customHeight="1">
      <c r="A665" s="1184"/>
      <c r="B665" s="1184"/>
      <c r="C665" s="1184"/>
      <c r="D665" s="1184"/>
      <c r="E665" s="1184"/>
      <c r="F665" s="1184"/>
      <c r="G665" s="1184"/>
      <c r="H665" s="1184"/>
      <c r="I665" s="1184"/>
      <c r="J665" s="1184"/>
      <c r="K665" s="1184"/>
      <c r="L665" s="1184"/>
      <c r="M665" s="1184"/>
      <c r="N665" s="1184"/>
      <c r="O665" s="1184"/>
      <c r="P665" s="1163"/>
      <c r="Q665" s="1163"/>
      <c r="R665" s="1163"/>
      <c r="S665" s="1163"/>
      <c r="T665" s="1163"/>
      <c r="U665" s="1163"/>
      <c r="V665" s="1163"/>
      <c r="W665" s="1163"/>
      <c r="X665" s="1163"/>
      <c r="Y665" s="1163"/>
    </row>
    <row r="666" ht="12.75" customHeight="1">
      <c r="A666" s="1184"/>
      <c r="B666" s="1184"/>
      <c r="C666" s="1184"/>
      <c r="D666" s="1184"/>
      <c r="E666" s="1184"/>
      <c r="F666" s="1184"/>
      <c r="G666" s="1184"/>
      <c r="H666" s="1184"/>
      <c r="I666" s="1184"/>
      <c r="J666" s="1184"/>
      <c r="K666" s="1184"/>
      <c r="L666" s="1184"/>
      <c r="M666" s="1184"/>
      <c r="N666" s="1184"/>
      <c r="O666" s="1184"/>
      <c r="P666" s="1163"/>
      <c r="Q666" s="1163"/>
      <c r="R666" s="1163"/>
      <c r="S666" s="1163"/>
      <c r="T666" s="1163"/>
      <c r="U666" s="1163"/>
      <c r="V666" s="1163"/>
      <c r="W666" s="1163"/>
      <c r="X666" s="1163"/>
      <c r="Y666" s="1163"/>
    </row>
    <row r="667" ht="12.75" customHeight="1">
      <c r="A667" s="1184"/>
      <c r="B667" s="1184"/>
      <c r="C667" s="1184"/>
      <c r="D667" s="1184"/>
      <c r="E667" s="1184"/>
      <c r="F667" s="1184"/>
      <c r="G667" s="1184"/>
      <c r="H667" s="1184"/>
      <c r="I667" s="1184"/>
      <c r="J667" s="1184"/>
      <c r="K667" s="1184"/>
      <c r="L667" s="1184"/>
      <c r="M667" s="1184"/>
      <c r="N667" s="1184"/>
      <c r="O667" s="1184"/>
      <c r="P667" s="1163"/>
      <c r="Q667" s="1163"/>
      <c r="R667" s="1163"/>
      <c r="S667" s="1163"/>
      <c r="T667" s="1163"/>
      <c r="U667" s="1163"/>
      <c r="V667" s="1163"/>
      <c r="W667" s="1163"/>
      <c r="X667" s="1163"/>
      <c r="Y667" s="1163"/>
    </row>
    <row r="668" ht="12.75" customHeight="1">
      <c r="A668" s="1184"/>
      <c r="B668" s="1184"/>
      <c r="C668" s="1184"/>
      <c r="D668" s="1184"/>
      <c r="E668" s="1184"/>
      <c r="F668" s="1184"/>
      <c r="G668" s="1184"/>
      <c r="H668" s="1184"/>
      <c r="I668" s="1184"/>
      <c r="J668" s="1184"/>
      <c r="K668" s="1184"/>
      <c r="L668" s="1184"/>
      <c r="M668" s="1184"/>
      <c r="N668" s="1184"/>
      <c r="O668" s="1184"/>
      <c r="P668" s="1163"/>
      <c r="Q668" s="1163"/>
      <c r="R668" s="1163"/>
      <c r="S668" s="1163"/>
      <c r="T668" s="1163"/>
      <c r="U668" s="1163"/>
      <c r="V668" s="1163"/>
      <c r="W668" s="1163"/>
      <c r="X668" s="1163"/>
      <c r="Y668" s="1163"/>
    </row>
    <row r="669" ht="12.75" customHeight="1">
      <c r="A669" s="1184"/>
      <c r="B669" s="1184"/>
      <c r="C669" s="1184"/>
      <c r="D669" s="1184"/>
      <c r="E669" s="1184"/>
      <c r="F669" s="1184"/>
      <c r="G669" s="1184"/>
      <c r="H669" s="1184"/>
      <c r="I669" s="1184"/>
      <c r="J669" s="1184"/>
      <c r="K669" s="1184"/>
      <c r="L669" s="1184"/>
      <c r="M669" s="1184"/>
      <c r="N669" s="1184"/>
      <c r="O669" s="1184"/>
      <c r="P669" s="1163"/>
      <c r="Q669" s="1163"/>
      <c r="R669" s="1163"/>
      <c r="S669" s="1163"/>
      <c r="T669" s="1163"/>
      <c r="U669" s="1163"/>
      <c r="V669" s="1163"/>
      <c r="W669" s="1163"/>
      <c r="X669" s="1163"/>
      <c r="Y669" s="1163"/>
    </row>
    <row r="670" ht="12.75" customHeight="1">
      <c r="A670" s="1184"/>
      <c r="B670" s="1184"/>
      <c r="C670" s="1184"/>
      <c r="D670" s="1184"/>
      <c r="E670" s="1184"/>
      <c r="F670" s="1184"/>
      <c r="G670" s="1184"/>
      <c r="H670" s="1184"/>
      <c r="I670" s="1184"/>
      <c r="J670" s="1184"/>
      <c r="K670" s="1184"/>
      <c r="L670" s="1184"/>
      <c r="M670" s="1184"/>
      <c r="N670" s="1184"/>
      <c r="O670" s="1184"/>
      <c r="P670" s="1163"/>
      <c r="Q670" s="1163"/>
      <c r="R670" s="1163"/>
      <c r="S670" s="1163"/>
      <c r="T670" s="1163"/>
      <c r="U670" s="1163"/>
      <c r="V670" s="1163"/>
      <c r="W670" s="1163"/>
      <c r="X670" s="1163"/>
      <c r="Y670" s="1163"/>
    </row>
    <row r="671" ht="12.75" customHeight="1">
      <c r="A671" s="1184"/>
      <c r="B671" s="1184"/>
      <c r="C671" s="1184"/>
      <c r="D671" s="1184"/>
      <c r="E671" s="1184"/>
      <c r="F671" s="1184"/>
      <c r="G671" s="1184"/>
      <c r="H671" s="1184"/>
      <c r="I671" s="1184"/>
      <c r="J671" s="1184"/>
      <c r="K671" s="1184"/>
      <c r="L671" s="1184"/>
      <c r="M671" s="1184"/>
      <c r="N671" s="1184"/>
      <c r="O671" s="1184"/>
      <c r="P671" s="1163"/>
      <c r="Q671" s="1163"/>
      <c r="R671" s="1163"/>
      <c r="S671" s="1163"/>
      <c r="T671" s="1163"/>
      <c r="U671" s="1163"/>
      <c r="V671" s="1163"/>
      <c r="W671" s="1163"/>
      <c r="X671" s="1163"/>
      <c r="Y671" s="1163"/>
    </row>
    <row r="672" ht="12.75" customHeight="1">
      <c r="A672" s="1184"/>
      <c r="B672" s="1184"/>
      <c r="C672" s="1184"/>
      <c r="D672" s="1184"/>
      <c r="E672" s="1184"/>
      <c r="F672" s="1184"/>
      <c r="G672" s="1184"/>
      <c r="H672" s="1184"/>
      <c r="I672" s="1184"/>
      <c r="J672" s="1184"/>
      <c r="K672" s="1184"/>
      <c r="L672" s="1184"/>
      <c r="M672" s="1184"/>
      <c r="N672" s="1184"/>
      <c r="O672" s="1184"/>
      <c r="P672" s="1163"/>
      <c r="Q672" s="1163"/>
      <c r="R672" s="1163"/>
      <c r="S672" s="1163"/>
      <c r="T672" s="1163"/>
      <c r="U672" s="1163"/>
      <c r="V672" s="1163"/>
      <c r="W672" s="1163"/>
      <c r="X672" s="1163"/>
      <c r="Y672" s="1163"/>
    </row>
    <row r="673" ht="12.75" customHeight="1">
      <c r="A673" s="1184"/>
      <c r="B673" s="1184"/>
      <c r="C673" s="1184"/>
      <c r="D673" s="1184"/>
      <c r="E673" s="1184"/>
      <c r="F673" s="1184"/>
      <c r="G673" s="1184"/>
      <c r="H673" s="1184"/>
      <c r="I673" s="1184"/>
      <c r="J673" s="1184"/>
      <c r="K673" s="1184"/>
      <c r="L673" s="1184"/>
      <c r="M673" s="1184"/>
      <c r="N673" s="1184"/>
      <c r="O673" s="1184"/>
      <c r="P673" s="1163"/>
      <c r="Q673" s="1163"/>
      <c r="R673" s="1163"/>
      <c r="S673" s="1163"/>
      <c r="T673" s="1163"/>
      <c r="U673" s="1163"/>
      <c r="V673" s="1163"/>
      <c r="W673" s="1163"/>
      <c r="X673" s="1163"/>
      <c r="Y673" s="1163"/>
    </row>
    <row r="674" ht="12.75" customHeight="1">
      <c r="A674" s="1184"/>
      <c r="B674" s="1184"/>
      <c r="C674" s="1184"/>
      <c r="D674" s="1184"/>
      <c r="E674" s="1184"/>
      <c r="F674" s="1184"/>
      <c r="G674" s="1184"/>
      <c r="H674" s="1184"/>
      <c r="I674" s="1184"/>
      <c r="J674" s="1184"/>
      <c r="K674" s="1184"/>
      <c r="L674" s="1184"/>
      <c r="M674" s="1184"/>
      <c r="N674" s="1184"/>
      <c r="O674" s="1184"/>
      <c r="P674" s="1163"/>
      <c r="Q674" s="1163"/>
      <c r="R674" s="1163"/>
      <c r="S674" s="1163"/>
      <c r="T674" s="1163"/>
      <c r="U674" s="1163"/>
      <c r="V674" s="1163"/>
      <c r="W674" s="1163"/>
      <c r="X674" s="1163"/>
      <c r="Y674" s="1163"/>
    </row>
    <row r="675" ht="12.75" customHeight="1">
      <c r="A675" s="1184"/>
      <c r="B675" s="1184"/>
      <c r="C675" s="1184"/>
      <c r="D675" s="1184"/>
      <c r="E675" s="1184"/>
      <c r="F675" s="1184"/>
      <c r="G675" s="1184"/>
      <c r="H675" s="1184"/>
      <c r="I675" s="1184"/>
      <c r="J675" s="1184"/>
      <c r="K675" s="1184"/>
      <c r="L675" s="1184"/>
      <c r="M675" s="1184"/>
      <c r="N675" s="1184"/>
      <c r="O675" s="1184"/>
      <c r="P675" s="1163"/>
      <c r="Q675" s="1163"/>
      <c r="R675" s="1163"/>
      <c r="S675" s="1163"/>
      <c r="T675" s="1163"/>
      <c r="U675" s="1163"/>
      <c r="V675" s="1163"/>
      <c r="W675" s="1163"/>
      <c r="X675" s="1163"/>
      <c r="Y675" s="1163"/>
    </row>
    <row r="676" ht="12.75" customHeight="1">
      <c r="A676" s="1184"/>
      <c r="B676" s="1184"/>
      <c r="C676" s="1184"/>
      <c r="D676" s="1184"/>
      <c r="E676" s="1184"/>
      <c r="F676" s="1184"/>
      <c r="G676" s="1184"/>
      <c r="H676" s="1184"/>
      <c r="I676" s="1184"/>
      <c r="J676" s="1184"/>
      <c r="K676" s="1184"/>
      <c r="L676" s="1184"/>
      <c r="M676" s="1184"/>
      <c r="N676" s="1184"/>
      <c r="O676" s="1184"/>
      <c r="P676" s="1163"/>
      <c r="Q676" s="1163"/>
      <c r="R676" s="1163"/>
      <c r="S676" s="1163"/>
      <c r="T676" s="1163"/>
      <c r="U676" s="1163"/>
      <c r="V676" s="1163"/>
      <c r="W676" s="1163"/>
      <c r="X676" s="1163"/>
      <c r="Y676" s="1163"/>
    </row>
    <row r="677" ht="12.75" customHeight="1">
      <c r="A677" s="1184"/>
      <c r="B677" s="1184"/>
      <c r="C677" s="1184"/>
      <c r="D677" s="1184"/>
      <c r="E677" s="1184"/>
      <c r="F677" s="1184"/>
      <c r="G677" s="1184"/>
      <c r="H677" s="1184"/>
      <c r="I677" s="1184"/>
      <c r="J677" s="1184"/>
      <c r="K677" s="1184"/>
      <c r="L677" s="1184"/>
      <c r="M677" s="1184"/>
      <c r="N677" s="1184"/>
      <c r="O677" s="1184"/>
      <c r="P677" s="1163"/>
      <c r="Q677" s="1163"/>
      <c r="R677" s="1163"/>
      <c r="S677" s="1163"/>
      <c r="T677" s="1163"/>
      <c r="U677" s="1163"/>
      <c r="V677" s="1163"/>
      <c r="W677" s="1163"/>
      <c r="X677" s="1163"/>
      <c r="Y677" s="1163"/>
    </row>
    <row r="678" ht="12.75" customHeight="1">
      <c r="A678" s="1184"/>
      <c r="B678" s="1184"/>
      <c r="C678" s="1184"/>
      <c r="D678" s="1184"/>
      <c r="E678" s="1184"/>
      <c r="F678" s="1184"/>
      <c r="G678" s="1184"/>
      <c r="H678" s="1184"/>
      <c r="I678" s="1184"/>
      <c r="J678" s="1184"/>
      <c r="K678" s="1184"/>
      <c r="L678" s="1184"/>
      <c r="M678" s="1184"/>
      <c r="N678" s="1184"/>
      <c r="O678" s="1184"/>
      <c r="P678" s="1163"/>
      <c r="Q678" s="1163"/>
      <c r="R678" s="1163"/>
      <c r="S678" s="1163"/>
      <c r="T678" s="1163"/>
      <c r="U678" s="1163"/>
      <c r="V678" s="1163"/>
      <c r="W678" s="1163"/>
      <c r="X678" s="1163"/>
      <c r="Y678" s="1163"/>
    </row>
    <row r="679" ht="12.75" customHeight="1">
      <c r="A679" s="1184"/>
      <c r="B679" s="1184"/>
      <c r="C679" s="1184"/>
      <c r="D679" s="1184"/>
      <c r="E679" s="1184"/>
      <c r="F679" s="1184"/>
      <c r="G679" s="1184"/>
      <c r="H679" s="1184"/>
      <c r="I679" s="1184"/>
      <c r="J679" s="1184"/>
      <c r="K679" s="1184"/>
      <c r="L679" s="1184"/>
      <c r="M679" s="1184"/>
      <c r="N679" s="1184"/>
      <c r="O679" s="1184"/>
      <c r="P679" s="1163"/>
      <c r="Q679" s="1163"/>
      <c r="R679" s="1163"/>
      <c r="S679" s="1163"/>
      <c r="T679" s="1163"/>
      <c r="U679" s="1163"/>
      <c r="V679" s="1163"/>
      <c r="W679" s="1163"/>
      <c r="X679" s="1163"/>
      <c r="Y679" s="1163"/>
    </row>
    <row r="680" ht="12.75" customHeight="1">
      <c r="A680" s="1184"/>
      <c r="B680" s="1184"/>
      <c r="C680" s="1184"/>
      <c r="D680" s="1184"/>
      <c r="E680" s="1184"/>
      <c r="F680" s="1184"/>
      <c r="G680" s="1184"/>
      <c r="H680" s="1184"/>
      <c r="I680" s="1184"/>
      <c r="J680" s="1184"/>
      <c r="K680" s="1184"/>
      <c r="L680" s="1184"/>
      <c r="M680" s="1184"/>
      <c r="N680" s="1184"/>
      <c r="O680" s="1184"/>
      <c r="P680" s="1163"/>
      <c r="Q680" s="1163"/>
      <c r="R680" s="1163"/>
      <c r="S680" s="1163"/>
      <c r="T680" s="1163"/>
      <c r="U680" s="1163"/>
      <c r="V680" s="1163"/>
      <c r="W680" s="1163"/>
      <c r="X680" s="1163"/>
      <c r="Y680" s="1163"/>
    </row>
    <row r="681" ht="12.75" customHeight="1">
      <c r="A681" s="1184"/>
      <c r="B681" s="1184"/>
      <c r="C681" s="1184"/>
      <c r="D681" s="1184"/>
      <c r="E681" s="1184"/>
      <c r="F681" s="1184"/>
      <c r="G681" s="1184"/>
      <c r="H681" s="1184"/>
      <c r="I681" s="1184"/>
      <c r="J681" s="1184"/>
      <c r="K681" s="1184"/>
      <c r="L681" s="1184"/>
      <c r="M681" s="1184"/>
      <c r="N681" s="1184"/>
      <c r="O681" s="1184"/>
      <c r="P681" s="1163"/>
      <c r="Q681" s="1163"/>
      <c r="R681" s="1163"/>
      <c r="S681" s="1163"/>
      <c r="T681" s="1163"/>
      <c r="U681" s="1163"/>
      <c r="V681" s="1163"/>
      <c r="W681" s="1163"/>
      <c r="X681" s="1163"/>
      <c r="Y681" s="1163"/>
    </row>
    <row r="682" ht="12.75" customHeight="1">
      <c r="A682" s="1184"/>
      <c r="B682" s="1184"/>
      <c r="C682" s="1184"/>
      <c r="D682" s="1184"/>
      <c r="E682" s="1184"/>
      <c r="F682" s="1184"/>
      <c r="G682" s="1184"/>
      <c r="H682" s="1184"/>
      <c r="I682" s="1184"/>
      <c r="J682" s="1184"/>
      <c r="K682" s="1184"/>
      <c r="L682" s="1184"/>
      <c r="M682" s="1184"/>
      <c r="N682" s="1184"/>
      <c r="O682" s="1184"/>
      <c r="P682" s="1163"/>
      <c r="Q682" s="1163"/>
      <c r="R682" s="1163"/>
      <c r="S682" s="1163"/>
      <c r="T682" s="1163"/>
      <c r="U682" s="1163"/>
      <c r="V682" s="1163"/>
      <c r="W682" s="1163"/>
      <c r="X682" s="1163"/>
      <c r="Y682" s="1163"/>
    </row>
    <row r="683" ht="12.75" customHeight="1">
      <c r="A683" s="1184"/>
      <c r="B683" s="1184"/>
      <c r="C683" s="1184"/>
      <c r="D683" s="1184"/>
      <c r="E683" s="1184"/>
      <c r="F683" s="1184"/>
      <c r="G683" s="1184"/>
      <c r="H683" s="1184"/>
      <c r="I683" s="1184"/>
      <c r="J683" s="1184"/>
      <c r="K683" s="1184"/>
      <c r="L683" s="1184"/>
      <c r="M683" s="1184"/>
      <c r="N683" s="1184"/>
      <c r="O683" s="1184"/>
      <c r="P683" s="1163"/>
      <c r="Q683" s="1163"/>
      <c r="R683" s="1163"/>
      <c r="S683" s="1163"/>
      <c r="T683" s="1163"/>
      <c r="U683" s="1163"/>
      <c r="V683" s="1163"/>
      <c r="W683" s="1163"/>
      <c r="X683" s="1163"/>
      <c r="Y683" s="1163"/>
    </row>
    <row r="684" ht="12.75" customHeight="1">
      <c r="A684" s="1184"/>
      <c r="B684" s="1184"/>
      <c r="C684" s="1184"/>
      <c r="D684" s="1184"/>
      <c r="E684" s="1184"/>
      <c r="F684" s="1184"/>
      <c r="G684" s="1184"/>
      <c r="H684" s="1184"/>
      <c r="I684" s="1184"/>
      <c r="J684" s="1184"/>
      <c r="K684" s="1184"/>
      <c r="L684" s="1184"/>
      <c r="M684" s="1184"/>
      <c r="N684" s="1184"/>
      <c r="O684" s="1184"/>
      <c r="P684" s="1163"/>
      <c r="Q684" s="1163"/>
      <c r="R684" s="1163"/>
      <c r="S684" s="1163"/>
      <c r="T684" s="1163"/>
      <c r="U684" s="1163"/>
      <c r="V684" s="1163"/>
      <c r="W684" s="1163"/>
      <c r="X684" s="1163"/>
      <c r="Y684" s="1163"/>
    </row>
    <row r="685" ht="12.75" customHeight="1">
      <c r="A685" s="1184"/>
      <c r="B685" s="1184"/>
      <c r="C685" s="1184"/>
      <c r="D685" s="1184"/>
      <c r="E685" s="1184"/>
      <c r="F685" s="1184"/>
      <c r="G685" s="1184"/>
      <c r="H685" s="1184"/>
      <c r="I685" s="1184"/>
      <c r="J685" s="1184"/>
      <c r="K685" s="1184"/>
      <c r="L685" s="1184"/>
      <c r="M685" s="1184"/>
      <c r="N685" s="1184"/>
      <c r="O685" s="1184"/>
      <c r="P685" s="1163"/>
      <c r="Q685" s="1163"/>
      <c r="R685" s="1163"/>
      <c r="S685" s="1163"/>
      <c r="T685" s="1163"/>
      <c r="U685" s="1163"/>
      <c r="V685" s="1163"/>
      <c r="W685" s="1163"/>
      <c r="X685" s="1163"/>
      <c r="Y685" s="1163"/>
    </row>
    <row r="686" ht="12.75" customHeight="1">
      <c r="A686" s="1184"/>
      <c r="B686" s="1184"/>
      <c r="C686" s="1184"/>
      <c r="D686" s="1184"/>
      <c r="E686" s="1184"/>
      <c r="F686" s="1184"/>
      <c r="G686" s="1184"/>
      <c r="H686" s="1184"/>
      <c r="I686" s="1184"/>
      <c r="J686" s="1184"/>
      <c r="K686" s="1184"/>
      <c r="L686" s="1184"/>
      <c r="M686" s="1184"/>
      <c r="N686" s="1184"/>
      <c r="O686" s="1184"/>
      <c r="P686" s="1163"/>
      <c r="Q686" s="1163"/>
      <c r="R686" s="1163"/>
      <c r="S686" s="1163"/>
      <c r="T686" s="1163"/>
      <c r="U686" s="1163"/>
      <c r="V686" s="1163"/>
      <c r="W686" s="1163"/>
      <c r="X686" s="1163"/>
      <c r="Y686" s="1163"/>
    </row>
    <row r="687" ht="12.75" customHeight="1">
      <c r="A687" s="1184"/>
      <c r="B687" s="1184"/>
      <c r="C687" s="1184"/>
      <c r="D687" s="1184"/>
      <c r="E687" s="1184"/>
      <c r="F687" s="1184"/>
      <c r="G687" s="1184"/>
      <c r="H687" s="1184"/>
      <c r="I687" s="1184"/>
      <c r="J687" s="1184"/>
      <c r="K687" s="1184"/>
      <c r="L687" s="1184"/>
      <c r="M687" s="1184"/>
      <c r="N687" s="1184"/>
      <c r="O687" s="1184"/>
      <c r="P687" s="1163"/>
      <c r="Q687" s="1163"/>
      <c r="R687" s="1163"/>
      <c r="S687" s="1163"/>
      <c r="T687" s="1163"/>
      <c r="U687" s="1163"/>
      <c r="V687" s="1163"/>
      <c r="W687" s="1163"/>
      <c r="X687" s="1163"/>
      <c r="Y687" s="1163"/>
    </row>
    <row r="688" ht="12.75" customHeight="1">
      <c r="A688" s="1184"/>
      <c r="B688" s="1184"/>
      <c r="C688" s="1184"/>
      <c r="D688" s="1184"/>
      <c r="E688" s="1184"/>
      <c r="F688" s="1184"/>
      <c r="G688" s="1184"/>
      <c r="H688" s="1184"/>
      <c r="I688" s="1184"/>
      <c r="J688" s="1184"/>
      <c r="K688" s="1184"/>
      <c r="L688" s="1184"/>
      <c r="M688" s="1184"/>
      <c r="N688" s="1184"/>
      <c r="O688" s="1184"/>
      <c r="P688" s="1163"/>
      <c r="Q688" s="1163"/>
      <c r="R688" s="1163"/>
      <c r="S688" s="1163"/>
      <c r="T688" s="1163"/>
      <c r="U688" s="1163"/>
      <c r="V688" s="1163"/>
      <c r="W688" s="1163"/>
      <c r="X688" s="1163"/>
      <c r="Y688" s="1163"/>
    </row>
    <row r="689" ht="12.75" customHeight="1">
      <c r="A689" s="1184"/>
      <c r="B689" s="1184"/>
      <c r="C689" s="1184"/>
      <c r="D689" s="1184"/>
      <c r="E689" s="1184"/>
      <c r="F689" s="1184"/>
      <c r="G689" s="1184"/>
      <c r="H689" s="1184"/>
      <c r="I689" s="1184"/>
      <c r="J689" s="1184"/>
      <c r="K689" s="1184"/>
      <c r="L689" s="1184"/>
      <c r="M689" s="1184"/>
      <c r="N689" s="1184"/>
      <c r="O689" s="1184"/>
      <c r="P689" s="1163"/>
      <c r="Q689" s="1163"/>
      <c r="R689" s="1163"/>
      <c r="S689" s="1163"/>
      <c r="T689" s="1163"/>
      <c r="U689" s="1163"/>
      <c r="V689" s="1163"/>
      <c r="W689" s="1163"/>
      <c r="X689" s="1163"/>
      <c r="Y689" s="1163"/>
    </row>
    <row r="690" ht="12.75" customHeight="1">
      <c r="A690" s="1184"/>
      <c r="B690" s="1184"/>
      <c r="C690" s="1184"/>
      <c r="D690" s="1184"/>
      <c r="E690" s="1184"/>
      <c r="F690" s="1184"/>
      <c r="G690" s="1184"/>
      <c r="H690" s="1184"/>
      <c r="I690" s="1184"/>
      <c r="J690" s="1184"/>
      <c r="K690" s="1184"/>
      <c r="L690" s="1184"/>
      <c r="M690" s="1184"/>
      <c r="N690" s="1184"/>
      <c r="O690" s="1184"/>
      <c r="P690" s="1163"/>
      <c r="Q690" s="1163"/>
      <c r="R690" s="1163"/>
      <c r="S690" s="1163"/>
      <c r="T690" s="1163"/>
      <c r="U690" s="1163"/>
      <c r="V690" s="1163"/>
      <c r="W690" s="1163"/>
      <c r="X690" s="1163"/>
      <c r="Y690" s="1163"/>
    </row>
    <row r="691" ht="12.75" customHeight="1">
      <c r="A691" s="1184"/>
      <c r="B691" s="1184"/>
      <c r="C691" s="1184"/>
      <c r="D691" s="1184"/>
      <c r="E691" s="1184"/>
      <c r="F691" s="1184"/>
      <c r="G691" s="1184"/>
      <c r="H691" s="1184"/>
      <c r="I691" s="1184"/>
      <c r="J691" s="1184"/>
      <c r="K691" s="1184"/>
      <c r="L691" s="1184"/>
      <c r="M691" s="1184"/>
      <c r="N691" s="1184"/>
      <c r="O691" s="1184"/>
      <c r="P691" s="1163"/>
      <c r="Q691" s="1163"/>
      <c r="R691" s="1163"/>
      <c r="S691" s="1163"/>
      <c r="T691" s="1163"/>
      <c r="U691" s="1163"/>
      <c r="V691" s="1163"/>
      <c r="W691" s="1163"/>
      <c r="X691" s="1163"/>
      <c r="Y691" s="1163"/>
    </row>
    <row r="692" ht="12.75" customHeight="1">
      <c r="A692" s="1184"/>
      <c r="B692" s="1184"/>
      <c r="C692" s="1184"/>
      <c r="D692" s="1184"/>
      <c r="E692" s="1184"/>
      <c r="F692" s="1184"/>
      <c r="G692" s="1184"/>
      <c r="H692" s="1184"/>
      <c r="I692" s="1184"/>
      <c r="J692" s="1184"/>
      <c r="K692" s="1184"/>
      <c r="L692" s="1184"/>
      <c r="M692" s="1184"/>
      <c r="N692" s="1184"/>
      <c r="O692" s="1184"/>
      <c r="P692" s="1163"/>
      <c r="Q692" s="1163"/>
      <c r="R692" s="1163"/>
      <c r="S692" s="1163"/>
      <c r="T692" s="1163"/>
      <c r="U692" s="1163"/>
      <c r="V692" s="1163"/>
      <c r="W692" s="1163"/>
      <c r="X692" s="1163"/>
      <c r="Y692" s="1163"/>
    </row>
    <row r="693" ht="12.75" customHeight="1">
      <c r="A693" s="1184"/>
      <c r="B693" s="1184"/>
      <c r="C693" s="1184"/>
      <c r="D693" s="1184"/>
      <c r="E693" s="1184"/>
      <c r="F693" s="1184"/>
      <c r="G693" s="1184"/>
      <c r="H693" s="1184"/>
      <c r="I693" s="1184"/>
      <c r="J693" s="1184"/>
      <c r="K693" s="1184"/>
      <c r="L693" s="1184"/>
      <c r="M693" s="1184"/>
      <c r="N693" s="1184"/>
      <c r="O693" s="1184"/>
      <c r="P693" s="1163"/>
      <c r="Q693" s="1163"/>
      <c r="R693" s="1163"/>
      <c r="S693" s="1163"/>
      <c r="T693" s="1163"/>
      <c r="U693" s="1163"/>
      <c r="V693" s="1163"/>
      <c r="W693" s="1163"/>
      <c r="X693" s="1163"/>
      <c r="Y693" s="1163"/>
    </row>
    <row r="694" ht="12.75" customHeight="1">
      <c r="A694" s="1184"/>
      <c r="B694" s="1184"/>
      <c r="C694" s="1184"/>
      <c r="D694" s="1184"/>
      <c r="E694" s="1184"/>
      <c r="F694" s="1184"/>
      <c r="G694" s="1184"/>
      <c r="H694" s="1184"/>
      <c r="I694" s="1184"/>
      <c r="J694" s="1184"/>
      <c r="K694" s="1184"/>
      <c r="L694" s="1184"/>
      <c r="M694" s="1184"/>
      <c r="N694" s="1184"/>
      <c r="O694" s="1184"/>
      <c r="P694" s="1163"/>
      <c r="Q694" s="1163"/>
      <c r="R694" s="1163"/>
      <c r="S694" s="1163"/>
      <c r="T694" s="1163"/>
      <c r="U694" s="1163"/>
      <c r="V694" s="1163"/>
      <c r="W694" s="1163"/>
      <c r="X694" s="1163"/>
      <c r="Y694" s="1163"/>
    </row>
    <row r="695" ht="12.75" customHeight="1">
      <c r="A695" s="1184"/>
      <c r="B695" s="1184"/>
      <c r="C695" s="1184"/>
      <c r="D695" s="1184"/>
      <c r="E695" s="1184"/>
      <c r="F695" s="1184"/>
      <c r="G695" s="1184"/>
      <c r="H695" s="1184"/>
      <c r="I695" s="1184"/>
      <c r="J695" s="1184"/>
      <c r="K695" s="1184"/>
      <c r="L695" s="1184"/>
      <c r="M695" s="1184"/>
      <c r="N695" s="1184"/>
      <c r="O695" s="1184"/>
      <c r="P695" s="1163"/>
      <c r="Q695" s="1163"/>
      <c r="R695" s="1163"/>
      <c r="S695" s="1163"/>
      <c r="T695" s="1163"/>
      <c r="U695" s="1163"/>
      <c r="V695" s="1163"/>
      <c r="W695" s="1163"/>
      <c r="X695" s="1163"/>
      <c r="Y695" s="1163"/>
    </row>
    <row r="696" ht="12.75" customHeight="1">
      <c r="A696" s="1184"/>
      <c r="B696" s="1184"/>
      <c r="C696" s="1184"/>
      <c r="D696" s="1184"/>
      <c r="E696" s="1184"/>
      <c r="F696" s="1184"/>
      <c r="G696" s="1184"/>
      <c r="H696" s="1184"/>
      <c r="I696" s="1184"/>
      <c r="J696" s="1184"/>
      <c r="K696" s="1184"/>
      <c r="L696" s="1184"/>
      <c r="M696" s="1184"/>
      <c r="N696" s="1184"/>
      <c r="O696" s="1184"/>
      <c r="P696" s="1163"/>
      <c r="Q696" s="1163"/>
      <c r="R696" s="1163"/>
      <c r="S696" s="1163"/>
      <c r="T696" s="1163"/>
      <c r="U696" s="1163"/>
      <c r="V696" s="1163"/>
      <c r="W696" s="1163"/>
      <c r="X696" s="1163"/>
      <c r="Y696" s="1163"/>
    </row>
    <row r="697" ht="12.75" customHeight="1">
      <c r="A697" s="1184"/>
      <c r="B697" s="1184"/>
      <c r="C697" s="1184"/>
      <c r="D697" s="1184"/>
      <c r="E697" s="1184"/>
      <c r="F697" s="1184"/>
      <c r="G697" s="1184"/>
      <c r="H697" s="1184"/>
      <c r="I697" s="1184"/>
      <c r="J697" s="1184"/>
      <c r="K697" s="1184"/>
      <c r="L697" s="1184"/>
      <c r="M697" s="1184"/>
      <c r="N697" s="1184"/>
      <c r="O697" s="1184"/>
      <c r="P697" s="1163"/>
      <c r="Q697" s="1163"/>
      <c r="R697" s="1163"/>
      <c r="S697" s="1163"/>
      <c r="T697" s="1163"/>
      <c r="U697" s="1163"/>
      <c r="V697" s="1163"/>
      <c r="W697" s="1163"/>
      <c r="X697" s="1163"/>
      <c r="Y697" s="1163"/>
    </row>
    <row r="698" ht="12.75" customHeight="1">
      <c r="A698" s="1184"/>
      <c r="B698" s="1184"/>
      <c r="C698" s="1184"/>
      <c r="D698" s="1184"/>
      <c r="E698" s="1184"/>
      <c r="F698" s="1184"/>
      <c r="G698" s="1184"/>
      <c r="H698" s="1184"/>
      <c r="I698" s="1184"/>
      <c r="J698" s="1184"/>
      <c r="K698" s="1184"/>
      <c r="L698" s="1184"/>
      <c r="M698" s="1184"/>
      <c r="N698" s="1184"/>
      <c r="O698" s="1184"/>
      <c r="P698" s="1163"/>
      <c r="Q698" s="1163"/>
      <c r="R698" s="1163"/>
      <c r="S698" s="1163"/>
      <c r="T698" s="1163"/>
      <c r="U698" s="1163"/>
      <c r="V698" s="1163"/>
      <c r="W698" s="1163"/>
      <c r="X698" s="1163"/>
      <c r="Y698" s="1163"/>
    </row>
    <row r="699" ht="12.75" customHeight="1">
      <c r="A699" s="1184"/>
      <c r="B699" s="1184"/>
      <c r="C699" s="1184"/>
      <c r="D699" s="1184"/>
      <c r="E699" s="1184"/>
      <c r="F699" s="1184"/>
      <c r="G699" s="1184"/>
      <c r="H699" s="1184"/>
      <c r="I699" s="1184"/>
      <c r="J699" s="1184"/>
      <c r="K699" s="1184"/>
      <c r="L699" s="1184"/>
      <c r="M699" s="1184"/>
      <c r="N699" s="1184"/>
      <c r="O699" s="1184"/>
      <c r="P699" s="1163"/>
      <c r="Q699" s="1163"/>
      <c r="R699" s="1163"/>
      <c r="S699" s="1163"/>
      <c r="T699" s="1163"/>
      <c r="U699" s="1163"/>
      <c r="V699" s="1163"/>
      <c r="W699" s="1163"/>
      <c r="X699" s="1163"/>
      <c r="Y699" s="1163"/>
    </row>
    <row r="700" ht="12.75" customHeight="1">
      <c r="A700" s="1184"/>
      <c r="B700" s="1184"/>
      <c r="C700" s="1184"/>
      <c r="D700" s="1184"/>
      <c r="E700" s="1184"/>
      <c r="F700" s="1184"/>
      <c r="G700" s="1184"/>
      <c r="H700" s="1184"/>
      <c r="I700" s="1184"/>
      <c r="J700" s="1184"/>
      <c r="K700" s="1184"/>
      <c r="L700" s="1184"/>
      <c r="M700" s="1184"/>
      <c r="N700" s="1184"/>
      <c r="O700" s="1184"/>
      <c r="P700" s="1163"/>
      <c r="Q700" s="1163"/>
      <c r="R700" s="1163"/>
      <c r="S700" s="1163"/>
      <c r="T700" s="1163"/>
      <c r="U700" s="1163"/>
      <c r="V700" s="1163"/>
      <c r="W700" s="1163"/>
      <c r="X700" s="1163"/>
      <c r="Y700" s="1163"/>
    </row>
    <row r="701" ht="12.75" customHeight="1">
      <c r="A701" s="1184"/>
      <c r="B701" s="1184"/>
      <c r="C701" s="1184"/>
      <c r="D701" s="1184"/>
      <c r="E701" s="1184"/>
      <c r="F701" s="1184"/>
      <c r="G701" s="1184"/>
      <c r="H701" s="1184"/>
      <c r="I701" s="1184"/>
      <c r="J701" s="1184"/>
      <c r="K701" s="1184"/>
      <c r="L701" s="1184"/>
      <c r="M701" s="1184"/>
      <c r="N701" s="1184"/>
      <c r="O701" s="1184"/>
      <c r="P701" s="1163"/>
      <c r="Q701" s="1163"/>
      <c r="R701" s="1163"/>
      <c r="S701" s="1163"/>
      <c r="T701" s="1163"/>
      <c r="U701" s="1163"/>
      <c r="V701" s="1163"/>
      <c r="W701" s="1163"/>
      <c r="X701" s="1163"/>
      <c r="Y701" s="1163"/>
    </row>
    <row r="702" ht="12.75" customHeight="1">
      <c r="A702" s="1184"/>
      <c r="B702" s="1184"/>
      <c r="C702" s="1184"/>
      <c r="D702" s="1184"/>
      <c r="E702" s="1184"/>
      <c r="F702" s="1184"/>
      <c r="G702" s="1184"/>
      <c r="H702" s="1184"/>
      <c r="I702" s="1184"/>
      <c r="J702" s="1184"/>
      <c r="K702" s="1184"/>
      <c r="L702" s="1184"/>
      <c r="M702" s="1184"/>
      <c r="N702" s="1184"/>
      <c r="O702" s="1184"/>
      <c r="P702" s="1163"/>
      <c r="Q702" s="1163"/>
      <c r="R702" s="1163"/>
      <c r="S702" s="1163"/>
      <c r="T702" s="1163"/>
      <c r="U702" s="1163"/>
      <c r="V702" s="1163"/>
      <c r="W702" s="1163"/>
      <c r="X702" s="1163"/>
      <c r="Y702" s="1163"/>
    </row>
    <row r="703" ht="12.75" customHeight="1">
      <c r="A703" s="1184"/>
      <c r="B703" s="1184"/>
      <c r="C703" s="1184"/>
      <c r="D703" s="1184"/>
      <c r="E703" s="1184"/>
      <c r="F703" s="1184"/>
      <c r="G703" s="1184"/>
      <c r="H703" s="1184"/>
      <c r="I703" s="1184"/>
      <c r="J703" s="1184"/>
      <c r="K703" s="1184"/>
      <c r="L703" s="1184"/>
      <c r="M703" s="1184"/>
      <c r="N703" s="1184"/>
      <c r="O703" s="1184"/>
      <c r="P703" s="1163"/>
      <c r="Q703" s="1163"/>
      <c r="R703" s="1163"/>
      <c r="S703" s="1163"/>
      <c r="T703" s="1163"/>
      <c r="U703" s="1163"/>
      <c r="V703" s="1163"/>
      <c r="W703" s="1163"/>
      <c r="X703" s="1163"/>
      <c r="Y703" s="1163"/>
    </row>
    <row r="704" ht="12.75" customHeight="1">
      <c r="A704" s="1184"/>
      <c r="B704" s="1184"/>
      <c r="C704" s="1184"/>
      <c r="D704" s="1184"/>
      <c r="E704" s="1184"/>
      <c r="F704" s="1184"/>
      <c r="G704" s="1184"/>
      <c r="H704" s="1184"/>
      <c r="I704" s="1184"/>
      <c r="J704" s="1184"/>
      <c r="K704" s="1184"/>
      <c r="L704" s="1184"/>
      <c r="M704" s="1184"/>
      <c r="N704" s="1184"/>
      <c r="O704" s="1184"/>
      <c r="P704" s="1163"/>
      <c r="Q704" s="1163"/>
      <c r="R704" s="1163"/>
      <c r="S704" s="1163"/>
      <c r="T704" s="1163"/>
      <c r="U704" s="1163"/>
      <c r="V704" s="1163"/>
      <c r="W704" s="1163"/>
      <c r="X704" s="1163"/>
      <c r="Y704" s="1163"/>
    </row>
    <row r="705" ht="12.75" customHeight="1">
      <c r="A705" s="1184"/>
      <c r="B705" s="1184"/>
      <c r="C705" s="1184"/>
      <c r="D705" s="1184"/>
      <c r="E705" s="1184"/>
      <c r="F705" s="1184"/>
      <c r="G705" s="1184"/>
      <c r="H705" s="1184"/>
      <c r="I705" s="1184"/>
      <c r="J705" s="1184"/>
      <c r="K705" s="1184"/>
      <c r="L705" s="1184"/>
      <c r="M705" s="1184"/>
      <c r="N705" s="1184"/>
      <c r="O705" s="1184"/>
      <c r="P705" s="1163"/>
      <c r="Q705" s="1163"/>
      <c r="R705" s="1163"/>
      <c r="S705" s="1163"/>
      <c r="T705" s="1163"/>
      <c r="U705" s="1163"/>
      <c r="V705" s="1163"/>
      <c r="W705" s="1163"/>
      <c r="X705" s="1163"/>
      <c r="Y705" s="1163"/>
    </row>
    <row r="706" ht="12.75" customHeight="1">
      <c r="A706" s="1184"/>
      <c r="B706" s="1184"/>
      <c r="C706" s="1184"/>
      <c r="D706" s="1184"/>
      <c r="E706" s="1184"/>
      <c r="F706" s="1184"/>
      <c r="G706" s="1184"/>
      <c r="H706" s="1184"/>
      <c r="I706" s="1184"/>
      <c r="J706" s="1184"/>
      <c r="K706" s="1184"/>
      <c r="L706" s="1184"/>
      <c r="M706" s="1184"/>
      <c r="N706" s="1184"/>
      <c r="O706" s="1184"/>
      <c r="P706" s="1163"/>
      <c r="Q706" s="1163"/>
      <c r="R706" s="1163"/>
      <c r="S706" s="1163"/>
      <c r="T706" s="1163"/>
      <c r="U706" s="1163"/>
      <c r="V706" s="1163"/>
      <c r="W706" s="1163"/>
      <c r="X706" s="1163"/>
      <c r="Y706" s="1163"/>
    </row>
    <row r="707" ht="12.75" customHeight="1">
      <c r="A707" s="1184"/>
      <c r="B707" s="1184"/>
      <c r="C707" s="1184"/>
      <c r="D707" s="1184"/>
      <c r="E707" s="1184"/>
      <c r="F707" s="1184"/>
      <c r="G707" s="1184"/>
      <c r="H707" s="1184"/>
      <c r="I707" s="1184"/>
      <c r="J707" s="1184"/>
      <c r="K707" s="1184"/>
      <c r="L707" s="1184"/>
      <c r="M707" s="1184"/>
      <c r="N707" s="1184"/>
      <c r="O707" s="1184"/>
      <c r="P707" s="1163"/>
      <c r="Q707" s="1163"/>
      <c r="R707" s="1163"/>
      <c r="S707" s="1163"/>
      <c r="T707" s="1163"/>
      <c r="U707" s="1163"/>
      <c r="V707" s="1163"/>
      <c r="W707" s="1163"/>
      <c r="X707" s="1163"/>
      <c r="Y707" s="1163"/>
    </row>
    <row r="708" ht="12.75" customHeight="1">
      <c r="A708" s="1184"/>
      <c r="B708" s="1184"/>
      <c r="C708" s="1184"/>
      <c r="D708" s="1184"/>
      <c r="E708" s="1184"/>
      <c r="F708" s="1184"/>
      <c r="G708" s="1184"/>
      <c r="H708" s="1184"/>
      <c r="I708" s="1184"/>
      <c r="J708" s="1184"/>
      <c r="K708" s="1184"/>
      <c r="L708" s="1184"/>
      <c r="M708" s="1184"/>
      <c r="N708" s="1184"/>
      <c r="O708" s="1184"/>
      <c r="P708" s="1163"/>
      <c r="Q708" s="1163"/>
      <c r="R708" s="1163"/>
      <c r="S708" s="1163"/>
      <c r="T708" s="1163"/>
      <c r="U708" s="1163"/>
      <c r="V708" s="1163"/>
      <c r="W708" s="1163"/>
      <c r="X708" s="1163"/>
      <c r="Y708" s="1163"/>
    </row>
    <row r="709" ht="12.75" customHeight="1">
      <c r="A709" s="1184"/>
      <c r="B709" s="1184"/>
      <c r="C709" s="1184"/>
      <c r="D709" s="1184"/>
      <c r="E709" s="1184"/>
      <c r="F709" s="1184"/>
      <c r="G709" s="1184"/>
      <c r="H709" s="1184"/>
      <c r="I709" s="1184"/>
      <c r="J709" s="1184"/>
      <c r="K709" s="1184"/>
      <c r="L709" s="1184"/>
      <c r="M709" s="1184"/>
      <c r="N709" s="1184"/>
      <c r="O709" s="1184"/>
      <c r="P709" s="1163"/>
      <c r="Q709" s="1163"/>
      <c r="R709" s="1163"/>
      <c r="S709" s="1163"/>
      <c r="T709" s="1163"/>
      <c r="U709" s="1163"/>
      <c r="V709" s="1163"/>
      <c r="W709" s="1163"/>
      <c r="X709" s="1163"/>
      <c r="Y709" s="1163"/>
    </row>
    <row r="710" ht="12.75" customHeight="1">
      <c r="A710" s="1184"/>
      <c r="B710" s="1184"/>
      <c r="C710" s="1184"/>
      <c r="D710" s="1184"/>
      <c r="E710" s="1184"/>
      <c r="F710" s="1184"/>
      <c r="G710" s="1184"/>
      <c r="H710" s="1184"/>
      <c r="I710" s="1184"/>
      <c r="J710" s="1184"/>
      <c r="K710" s="1184"/>
      <c r="L710" s="1184"/>
      <c r="M710" s="1184"/>
      <c r="N710" s="1184"/>
      <c r="O710" s="1184"/>
      <c r="P710" s="1163"/>
      <c r="Q710" s="1163"/>
      <c r="R710" s="1163"/>
      <c r="S710" s="1163"/>
      <c r="T710" s="1163"/>
      <c r="U710" s="1163"/>
      <c r="V710" s="1163"/>
      <c r="W710" s="1163"/>
      <c r="X710" s="1163"/>
      <c r="Y710" s="1163"/>
    </row>
    <row r="711" ht="12.75" customHeight="1">
      <c r="A711" s="1184"/>
      <c r="B711" s="1184"/>
      <c r="C711" s="1184"/>
      <c r="D711" s="1184"/>
      <c r="E711" s="1184"/>
      <c r="F711" s="1184"/>
      <c r="G711" s="1184"/>
      <c r="H711" s="1184"/>
      <c r="I711" s="1184"/>
      <c r="J711" s="1184"/>
      <c r="K711" s="1184"/>
      <c r="L711" s="1184"/>
      <c r="M711" s="1184"/>
      <c r="N711" s="1184"/>
      <c r="O711" s="1184"/>
      <c r="P711" s="1163"/>
      <c r="Q711" s="1163"/>
      <c r="R711" s="1163"/>
      <c r="S711" s="1163"/>
      <c r="T711" s="1163"/>
      <c r="U711" s="1163"/>
      <c r="V711" s="1163"/>
      <c r="W711" s="1163"/>
      <c r="X711" s="1163"/>
      <c r="Y711" s="1163"/>
    </row>
    <row r="712" ht="12.75" customHeight="1">
      <c r="A712" s="1184"/>
      <c r="B712" s="1184"/>
      <c r="C712" s="1184"/>
      <c r="D712" s="1184"/>
      <c r="E712" s="1184"/>
      <c r="F712" s="1184"/>
      <c r="G712" s="1184"/>
      <c r="H712" s="1184"/>
      <c r="I712" s="1184"/>
      <c r="J712" s="1184"/>
      <c r="K712" s="1184"/>
      <c r="L712" s="1184"/>
      <c r="M712" s="1184"/>
      <c r="N712" s="1184"/>
      <c r="O712" s="1184"/>
      <c r="P712" s="1163"/>
      <c r="Q712" s="1163"/>
      <c r="R712" s="1163"/>
      <c r="S712" s="1163"/>
      <c r="T712" s="1163"/>
      <c r="U712" s="1163"/>
      <c r="V712" s="1163"/>
      <c r="W712" s="1163"/>
      <c r="X712" s="1163"/>
      <c r="Y712" s="1163"/>
    </row>
    <row r="713" ht="12.75" customHeight="1">
      <c r="A713" s="1184"/>
      <c r="B713" s="1184"/>
      <c r="C713" s="1184"/>
      <c r="D713" s="1184"/>
      <c r="E713" s="1184"/>
      <c r="F713" s="1184"/>
      <c r="G713" s="1184"/>
      <c r="H713" s="1184"/>
      <c r="I713" s="1184"/>
      <c r="J713" s="1184"/>
      <c r="K713" s="1184"/>
      <c r="L713" s="1184"/>
      <c r="M713" s="1184"/>
      <c r="N713" s="1184"/>
      <c r="O713" s="1184"/>
      <c r="P713" s="1163"/>
      <c r="Q713" s="1163"/>
      <c r="R713" s="1163"/>
      <c r="S713" s="1163"/>
      <c r="T713" s="1163"/>
      <c r="U713" s="1163"/>
      <c r="V713" s="1163"/>
      <c r="W713" s="1163"/>
      <c r="X713" s="1163"/>
      <c r="Y713" s="1163"/>
    </row>
    <row r="714" ht="12.75" customHeight="1">
      <c r="A714" s="1184"/>
      <c r="B714" s="1184"/>
      <c r="C714" s="1184"/>
      <c r="D714" s="1184"/>
      <c r="E714" s="1184"/>
      <c r="F714" s="1184"/>
      <c r="G714" s="1184"/>
      <c r="H714" s="1184"/>
      <c r="I714" s="1184"/>
      <c r="J714" s="1184"/>
      <c r="K714" s="1184"/>
      <c r="L714" s="1184"/>
      <c r="M714" s="1184"/>
      <c r="N714" s="1184"/>
      <c r="O714" s="1184"/>
      <c r="P714" s="1163"/>
      <c r="Q714" s="1163"/>
      <c r="R714" s="1163"/>
      <c r="S714" s="1163"/>
      <c r="T714" s="1163"/>
      <c r="U714" s="1163"/>
      <c r="V714" s="1163"/>
      <c r="W714" s="1163"/>
      <c r="X714" s="1163"/>
      <c r="Y714" s="1163"/>
    </row>
    <row r="715" ht="12.75" customHeight="1">
      <c r="A715" s="1184"/>
      <c r="B715" s="1184"/>
      <c r="C715" s="1184"/>
      <c r="D715" s="1184"/>
      <c r="E715" s="1184"/>
      <c r="F715" s="1184"/>
      <c r="G715" s="1184"/>
      <c r="H715" s="1184"/>
      <c r="I715" s="1184"/>
      <c r="J715" s="1184"/>
      <c r="K715" s="1184"/>
      <c r="L715" s="1184"/>
      <c r="M715" s="1184"/>
      <c r="N715" s="1184"/>
      <c r="O715" s="1184"/>
      <c r="P715" s="1163"/>
      <c r="Q715" s="1163"/>
      <c r="R715" s="1163"/>
      <c r="S715" s="1163"/>
      <c r="T715" s="1163"/>
      <c r="U715" s="1163"/>
      <c r="V715" s="1163"/>
      <c r="W715" s="1163"/>
      <c r="X715" s="1163"/>
      <c r="Y715" s="1163"/>
    </row>
    <row r="716" ht="12.75" customHeight="1">
      <c r="A716" s="1184"/>
      <c r="B716" s="1184"/>
      <c r="C716" s="1184"/>
      <c r="D716" s="1184"/>
      <c r="E716" s="1184"/>
      <c r="F716" s="1184"/>
      <c r="G716" s="1184"/>
      <c r="H716" s="1184"/>
      <c r="I716" s="1184"/>
      <c r="J716" s="1184"/>
      <c r="K716" s="1184"/>
      <c r="L716" s="1184"/>
      <c r="M716" s="1184"/>
      <c r="N716" s="1184"/>
      <c r="O716" s="1184"/>
      <c r="P716" s="1163"/>
      <c r="Q716" s="1163"/>
      <c r="R716" s="1163"/>
      <c r="S716" s="1163"/>
      <c r="T716" s="1163"/>
      <c r="U716" s="1163"/>
      <c r="V716" s="1163"/>
      <c r="W716" s="1163"/>
      <c r="X716" s="1163"/>
      <c r="Y716" s="1163"/>
    </row>
    <row r="717" ht="12.75" customHeight="1">
      <c r="A717" s="1184"/>
      <c r="B717" s="1184"/>
      <c r="C717" s="1184"/>
      <c r="D717" s="1184"/>
      <c r="E717" s="1184"/>
      <c r="F717" s="1184"/>
      <c r="G717" s="1184"/>
      <c r="H717" s="1184"/>
      <c r="I717" s="1184"/>
      <c r="J717" s="1184"/>
      <c r="K717" s="1184"/>
      <c r="L717" s="1184"/>
      <c r="M717" s="1184"/>
      <c r="N717" s="1184"/>
      <c r="O717" s="1184"/>
      <c r="P717" s="1163"/>
      <c r="Q717" s="1163"/>
      <c r="R717" s="1163"/>
      <c r="S717" s="1163"/>
      <c r="T717" s="1163"/>
      <c r="U717" s="1163"/>
      <c r="V717" s="1163"/>
      <c r="W717" s="1163"/>
      <c r="X717" s="1163"/>
      <c r="Y717" s="1163"/>
    </row>
    <row r="718" ht="12.75" customHeight="1">
      <c r="A718" s="1184"/>
      <c r="B718" s="1184"/>
      <c r="C718" s="1184"/>
      <c r="D718" s="1184"/>
      <c r="E718" s="1184"/>
      <c r="F718" s="1184"/>
      <c r="G718" s="1184"/>
      <c r="H718" s="1184"/>
      <c r="I718" s="1184"/>
      <c r="J718" s="1184"/>
      <c r="K718" s="1184"/>
      <c r="L718" s="1184"/>
      <c r="M718" s="1184"/>
      <c r="N718" s="1184"/>
      <c r="O718" s="1184"/>
      <c r="P718" s="1163"/>
      <c r="Q718" s="1163"/>
      <c r="R718" s="1163"/>
      <c r="S718" s="1163"/>
      <c r="T718" s="1163"/>
      <c r="U718" s="1163"/>
      <c r="V718" s="1163"/>
      <c r="W718" s="1163"/>
      <c r="X718" s="1163"/>
      <c r="Y718" s="1163"/>
    </row>
    <row r="719" ht="12.75" customHeight="1">
      <c r="A719" s="1184"/>
      <c r="B719" s="1184"/>
      <c r="C719" s="1184"/>
      <c r="D719" s="1184"/>
      <c r="E719" s="1184"/>
      <c r="F719" s="1184"/>
      <c r="G719" s="1184"/>
      <c r="H719" s="1184"/>
      <c r="I719" s="1184"/>
      <c r="J719" s="1184"/>
      <c r="K719" s="1184"/>
      <c r="L719" s="1184"/>
      <c r="M719" s="1184"/>
      <c r="N719" s="1184"/>
      <c r="O719" s="1184"/>
      <c r="P719" s="1163"/>
      <c r="Q719" s="1163"/>
      <c r="R719" s="1163"/>
      <c r="S719" s="1163"/>
      <c r="T719" s="1163"/>
      <c r="U719" s="1163"/>
      <c r="V719" s="1163"/>
      <c r="W719" s="1163"/>
      <c r="X719" s="1163"/>
      <c r="Y719" s="1163"/>
    </row>
    <row r="720" ht="12.75" customHeight="1">
      <c r="A720" s="1184"/>
      <c r="B720" s="1184"/>
      <c r="C720" s="1184"/>
      <c r="D720" s="1184"/>
      <c r="E720" s="1184"/>
      <c r="F720" s="1184"/>
      <c r="G720" s="1184"/>
      <c r="H720" s="1184"/>
      <c r="I720" s="1184"/>
      <c r="J720" s="1184"/>
      <c r="K720" s="1184"/>
      <c r="L720" s="1184"/>
      <c r="M720" s="1184"/>
      <c r="N720" s="1184"/>
      <c r="O720" s="1184"/>
      <c r="P720" s="1163"/>
      <c r="Q720" s="1163"/>
      <c r="R720" s="1163"/>
      <c r="S720" s="1163"/>
      <c r="T720" s="1163"/>
      <c r="U720" s="1163"/>
      <c r="V720" s="1163"/>
      <c r="W720" s="1163"/>
      <c r="X720" s="1163"/>
      <c r="Y720" s="1163"/>
    </row>
    <row r="721" ht="12.75" customHeight="1">
      <c r="A721" s="1184"/>
      <c r="B721" s="1184"/>
      <c r="C721" s="1184"/>
      <c r="D721" s="1184"/>
      <c r="E721" s="1184"/>
      <c r="F721" s="1184"/>
      <c r="G721" s="1184"/>
      <c r="H721" s="1184"/>
      <c r="I721" s="1184"/>
      <c r="J721" s="1184"/>
      <c r="K721" s="1184"/>
      <c r="L721" s="1184"/>
      <c r="M721" s="1184"/>
      <c r="N721" s="1184"/>
      <c r="O721" s="1184"/>
      <c r="P721" s="1163"/>
      <c r="Q721" s="1163"/>
      <c r="R721" s="1163"/>
      <c r="S721" s="1163"/>
      <c r="T721" s="1163"/>
      <c r="U721" s="1163"/>
      <c r="V721" s="1163"/>
      <c r="W721" s="1163"/>
      <c r="X721" s="1163"/>
      <c r="Y721" s="1163"/>
    </row>
    <row r="722" ht="12.75" customHeight="1">
      <c r="A722" s="1184"/>
      <c r="B722" s="1184"/>
      <c r="C722" s="1184"/>
      <c r="D722" s="1184"/>
      <c r="E722" s="1184"/>
      <c r="F722" s="1184"/>
      <c r="G722" s="1184"/>
      <c r="H722" s="1184"/>
      <c r="I722" s="1184"/>
      <c r="J722" s="1184"/>
      <c r="K722" s="1184"/>
      <c r="L722" s="1184"/>
      <c r="M722" s="1184"/>
      <c r="N722" s="1184"/>
      <c r="O722" s="1184"/>
      <c r="P722" s="1163"/>
      <c r="Q722" s="1163"/>
      <c r="R722" s="1163"/>
      <c r="S722" s="1163"/>
      <c r="T722" s="1163"/>
      <c r="U722" s="1163"/>
      <c r="V722" s="1163"/>
      <c r="W722" s="1163"/>
      <c r="X722" s="1163"/>
      <c r="Y722" s="1163"/>
    </row>
    <row r="723" ht="12.75" customHeight="1">
      <c r="A723" s="1184"/>
      <c r="B723" s="1184"/>
      <c r="C723" s="1184"/>
      <c r="D723" s="1184"/>
      <c r="E723" s="1184"/>
      <c r="F723" s="1184"/>
      <c r="G723" s="1184"/>
      <c r="H723" s="1184"/>
      <c r="I723" s="1184"/>
      <c r="J723" s="1184"/>
      <c r="K723" s="1184"/>
      <c r="L723" s="1184"/>
      <c r="M723" s="1184"/>
      <c r="N723" s="1184"/>
      <c r="O723" s="1184"/>
      <c r="P723" s="1163"/>
      <c r="Q723" s="1163"/>
      <c r="R723" s="1163"/>
      <c r="S723" s="1163"/>
      <c r="T723" s="1163"/>
      <c r="U723" s="1163"/>
      <c r="V723" s="1163"/>
      <c r="W723" s="1163"/>
      <c r="X723" s="1163"/>
      <c r="Y723" s="1163"/>
    </row>
    <row r="724" ht="12.75" customHeight="1">
      <c r="A724" s="1184"/>
      <c r="B724" s="1184"/>
      <c r="C724" s="1184"/>
      <c r="D724" s="1184"/>
      <c r="E724" s="1184"/>
      <c r="F724" s="1184"/>
      <c r="G724" s="1184"/>
      <c r="H724" s="1184"/>
      <c r="I724" s="1184"/>
      <c r="J724" s="1184"/>
      <c r="K724" s="1184"/>
      <c r="L724" s="1184"/>
      <c r="M724" s="1184"/>
      <c r="N724" s="1184"/>
      <c r="O724" s="1184"/>
      <c r="P724" s="1163"/>
      <c r="Q724" s="1163"/>
      <c r="R724" s="1163"/>
      <c r="S724" s="1163"/>
      <c r="T724" s="1163"/>
      <c r="U724" s="1163"/>
      <c r="V724" s="1163"/>
      <c r="W724" s="1163"/>
      <c r="X724" s="1163"/>
      <c r="Y724" s="1163"/>
    </row>
    <row r="725" ht="12.75" customHeight="1">
      <c r="A725" s="1184"/>
      <c r="B725" s="1184"/>
      <c r="C725" s="1184"/>
      <c r="D725" s="1184"/>
      <c r="E725" s="1184"/>
      <c r="F725" s="1184"/>
      <c r="G725" s="1184"/>
      <c r="H725" s="1184"/>
      <c r="I725" s="1184"/>
      <c r="J725" s="1184"/>
      <c r="K725" s="1184"/>
      <c r="L725" s="1184"/>
      <c r="M725" s="1184"/>
      <c r="N725" s="1184"/>
      <c r="O725" s="1184"/>
      <c r="P725" s="1163"/>
      <c r="Q725" s="1163"/>
      <c r="R725" s="1163"/>
      <c r="S725" s="1163"/>
      <c r="T725" s="1163"/>
      <c r="U725" s="1163"/>
      <c r="V725" s="1163"/>
      <c r="W725" s="1163"/>
      <c r="X725" s="1163"/>
      <c r="Y725" s="1163"/>
    </row>
    <row r="726" ht="12.75" customHeight="1">
      <c r="A726" s="1184"/>
      <c r="B726" s="1184"/>
      <c r="C726" s="1184"/>
      <c r="D726" s="1184"/>
      <c r="E726" s="1184"/>
      <c r="F726" s="1184"/>
      <c r="G726" s="1184"/>
      <c r="H726" s="1184"/>
      <c r="I726" s="1184"/>
      <c r="J726" s="1184"/>
      <c r="K726" s="1184"/>
      <c r="L726" s="1184"/>
      <c r="M726" s="1184"/>
      <c r="N726" s="1184"/>
      <c r="O726" s="1184"/>
      <c r="P726" s="1163"/>
      <c r="Q726" s="1163"/>
      <c r="R726" s="1163"/>
      <c r="S726" s="1163"/>
      <c r="T726" s="1163"/>
      <c r="U726" s="1163"/>
      <c r="V726" s="1163"/>
      <c r="W726" s="1163"/>
      <c r="X726" s="1163"/>
      <c r="Y726" s="1163"/>
    </row>
    <row r="727" ht="12.75" customHeight="1">
      <c r="A727" s="1184"/>
      <c r="B727" s="1184"/>
      <c r="C727" s="1184"/>
      <c r="D727" s="1184"/>
      <c r="E727" s="1184"/>
      <c r="F727" s="1184"/>
      <c r="G727" s="1184"/>
      <c r="H727" s="1184"/>
      <c r="I727" s="1184"/>
      <c r="J727" s="1184"/>
      <c r="K727" s="1184"/>
      <c r="L727" s="1184"/>
      <c r="M727" s="1184"/>
      <c r="N727" s="1184"/>
      <c r="O727" s="1184"/>
      <c r="P727" s="1163"/>
      <c r="Q727" s="1163"/>
      <c r="R727" s="1163"/>
      <c r="S727" s="1163"/>
      <c r="T727" s="1163"/>
      <c r="U727" s="1163"/>
      <c r="V727" s="1163"/>
      <c r="W727" s="1163"/>
      <c r="X727" s="1163"/>
      <c r="Y727" s="1163"/>
    </row>
    <row r="728" ht="12.75" customHeight="1">
      <c r="A728" s="1184"/>
      <c r="B728" s="1184"/>
      <c r="C728" s="1184"/>
      <c r="D728" s="1184"/>
      <c r="E728" s="1184"/>
      <c r="F728" s="1184"/>
      <c r="G728" s="1184"/>
      <c r="H728" s="1184"/>
      <c r="I728" s="1184"/>
      <c r="J728" s="1184"/>
      <c r="K728" s="1184"/>
      <c r="L728" s="1184"/>
      <c r="M728" s="1184"/>
      <c r="N728" s="1184"/>
      <c r="O728" s="1184"/>
      <c r="P728" s="1163"/>
      <c r="Q728" s="1163"/>
      <c r="R728" s="1163"/>
      <c r="S728" s="1163"/>
      <c r="T728" s="1163"/>
      <c r="U728" s="1163"/>
      <c r="V728" s="1163"/>
      <c r="W728" s="1163"/>
      <c r="X728" s="1163"/>
      <c r="Y728" s="1163"/>
    </row>
    <row r="729" ht="12.75" customHeight="1">
      <c r="A729" s="1184"/>
      <c r="B729" s="1184"/>
      <c r="C729" s="1184"/>
      <c r="D729" s="1184"/>
      <c r="E729" s="1184"/>
      <c r="F729" s="1184"/>
      <c r="G729" s="1184"/>
      <c r="H729" s="1184"/>
      <c r="I729" s="1184"/>
      <c r="J729" s="1184"/>
      <c r="K729" s="1184"/>
      <c r="L729" s="1184"/>
      <c r="M729" s="1184"/>
      <c r="N729" s="1184"/>
      <c r="O729" s="1184"/>
      <c r="P729" s="1163"/>
      <c r="Q729" s="1163"/>
      <c r="R729" s="1163"/>
      <c r="S729" s="1163"/>
      <c r="T729" s="1163"/>
      <c r="U729" s="1163"/>
      <c r="V729" s="1163"/>
      <c r="W729" s="1163"/>
      <c r="X729" s="1163"/>
      <c r="Y729" s="1163"/>
    </row>
    <row r="730" ht="12.75" customHeight="1">
      <c r="A730" s="1184"/>
      <c r="B730" s="1184"/>
      <c r="C730" s="1184"/>
      <c r="D730" s="1184"/>
      <c r="E730" s="1184"/>
      <c r="F730" s="1184"/>
      <c r="G730" s="1184"/>
      <c r="H730" s="1184"/>
      <c r="I730" s="1184"/>
      <c r="J730" s="1184"/>
      <c r="K730" s="1184"/>
      <c r="L730" s="1184"/>
      <c r="M730" s="1184"/>
      <c r="N730" s="1184"/>
      <c r="O730" s="1184"/>
      <c r="P730" s="1163"/>
      <c r="Q730" s="1163"/>
      <c r="R730" s="1163"/>
      <c r="S730" s="1163"/>
      <c r="T730" s="1163"/>
      <c r="U730" s="1163"/>
      <c r="V730" s="1163"/>
      <c r="W730" s="1163"/>
      <c r="X730" s="1163"/>
      <c r="Y730" s="1163"/>
    </row>
    <row r="731" ht="12.75" customHeight="1">
      <c r="A731" s="1184"/>
      <c r="B731" s="1184"/>
      <c r="C731" s="1184"/>
      <c r="D731" s="1184"/>
      <c r="E731" s="1184"/>
      <c r="F731" s="1184"/>
      <c r="G731" s="1184"/>
      <c r="H731" s="1184"/>
      <c r="I731" s="1184"/>
      <c r="J731" s="1184"/>
      <c r="K731" s="1184"/>
      <c r="L731" s="1184"/>
      <c r="M731" s="1184"/>
      <c r="N731" s="1184"/>
      <c r="O731" s="1184"/>
      <c r="P731" s="1163"/>
      <c r="Q731" s="1163"/>
      <c r="R731" s="1163"/>
      <c r="S731" s="1163"/>
      <c r="T731" s="1163"/>
      <c r="U731" s="1163"/>
      <c r="V731" s="1163"/>
      <c r="W731" s="1163"/>
      <c r="X731" s="1163"/>
      <c r="Y731" s="1163"/>
    </row>
    <row r="732" ht="12.75" customHeight="1">
      <c r="A732" s="1184"/>
      <c r="B732" s="1184"/>
      <c r="C732" s="1184"/>
      <c r="D732" s="1184"/>
      <c r="E732" s="1184"/>
      <c r="F732" s="1184"/>
      <c r="G732" s="1184"/>
      <c r="H732" s="1184"/>
      <c r="I732" s="1184"/>
      <c r="J732" s="1184"/>
      <c r="K732" s="1184"/>
      <c r="L732" s="1184"/>
      <c r="M732" s="1184"/>
      <c r="N732" s="1184"/>
      <c r="O732" s="1184"/>
      <c r="P732" s="1163"/>
      <c r="Q732" s="1163"/>
      <c r="R732" s="1163"/>
      <c r="S732" s="1163"/>
      <c r="T732" s="1163"/>
      <c r="U732" s="1163"/>
      <c r="V732" s="1163"/>
      <c r="W732" s="1163"/>
      <c r="X732" s="1163"/>
      <c r="Y732" s="1163"/>
    </row>
    <row r="733" ht="12.75" customHeight="1">
      <c r="A733" s="1184"/>
      <c r="B733" s="1184"/>
      <c r="C733" s="1184"/>
      <c r="D733" s="1184"/>
      <c r="E733" s="1184"/>
      <c r="F733" s="1184"/>
      <c r="G733" s="1184"/>
      <c r="H733" s="1184"/>
      <c r="I733" s="1184"/>
      <c r="J733" s="1184"/>
      <c r="K733" s="1184"/>
      <c r="L733" s="1184"/>
      <c r="M733" s="1184"/>
      <c r="N733" s="1184"/>
      <c r="O733" s="1184"/>
      <c r="P733" s="1163"/>
      <c r="Q733" s="1163"/>
      <c r="R733" s="1163"/>
      <c r="S733" s="1163"/>
      <c r="T733" s="1163"/>
      <c r="U733" s="1163"/>
      <c r="V733" s="1163"/>
      <c r="W733" s="1163"/>
      <c r="X733" s="1163"/>
      <c r="Y733" s="1163"/>
    </row>
    <row r="734" ht="12.75" customHeight="1">
      <c r="A734" s="1184"/>
      <c r="B734" s="1184"/>
      <c r="C734" s="1184"/>
      <c r="D734" s="1184"/>
      <c r="E734" s="1184"/>
      <c r="F734" s="1184"/>
      <c r="G734" s="1184"/>
      <c r="H734" s="1184"/>
      <c r="I734" s="1184"/>
      <c r="J734" s="1184"/>
      <c r="K734" s="1184"/>
      <c r="L734" s="1184"/>
      <c r="M734" s="1184"/>
      <c r="N734" s="1184"/>
      <c r="O734" s="1184"/>
      <c r="P734" s="1163"/>
      <c r="Q734" s="1163"/>
      <c r="R734" s="1163"/>
      <c r="S734" s="1163"/>
      <c r="T734" s="1163"/>
      <c r="U734" s="1163"/>
      <c r="V734" s="1163"/>
      <c r="W734" s="1163"/>
      <c r="X734" s="1163"/>
      <c r="Y734" s="1163"/>
    </row>
    <row r="735" ht="12.75" customHeight="1">
      <c r="A735" s="1184"/>
      <c r="B735" s="1184"/>
      <c r="C735" s="1184"/>
      <c r="D735" s="1184"/>
      <c r="E735" s="1184"/>
      <c r="F735" s="1184"/>
      <c r="G735" s="1184"/>
      <c r="H735" s="1184"/>
      <c r="I735" s="1184"/>
      <c r="J735" s="1184"/>
      <c r="K735" s="1184"/>
      <c r="L735" s="1184"/>
      <c r="M735" s="1184"/>
      <c r="N735" s="1184"/>
      <c r="O735" s="1184"/>
      <c r="P735" s="1163"/>
      <c r="Q735" s="1163"/>
      <c r="R735" s="1163"/>
      <c r="S735" s="1163"/>
      <c r="T735" s="1163"/>
      <c r="U735" s="1163"/>
      <c r="V735" s="1163"/>
      <c r="W735" s="1163"/>
      <c r="X735" s="1163"/>
      <c r="Y735" s="1163"/>
    </row>
    <row r="736" ht="12.75" customHeight="1">
      <c r="A736" s="1184"/>
      <c r="B736" s="1184"/>
      <c r="C736" s="1184"/>
      <c r="D736" s="1184"/>
      <c r="E736" s="1184"/>
      <c r="F736" s="1184"/>
      <c r="G736" s="1184"/>
      <c r="H736" s="1184"/>
      <c r="I736" s="1184"/>
      <c r="J736" s="1184"/>
      <c r="K736" s="1184"/>
      <c r="L736" s="1184"/>
      <c r="M736" s="1184"/>
      <c r="N736" s="1184"/>
      <c r="O736" s="1184"/>
      <c r="P736" s="1163"/>
      <c r="Q736" s="1163"/>
      <c r="R736" s="1163"/>
      <c r="S736" s="1163"/>
      <c r="T736" s="1163"/>
      <c r="U736" s="1163"/>
      <c r="V736" s="1163"/>
      <c r="W736" s="1163"/>
      <c r="X736" s="1163"/>
      <c r="Y736" s="1163"/>
    </row>
    <row r="737" ht="12.75" customHeight="1">
      <c r="A737" s="1184"/>
      <c r="B737" s="1184"/>
      <c r="C737" s="1184"/>
      <c r="D737" s="1184"/>
      <c r="E737" s="1184"/>
      <c r="F737" s="1184"/>
      <c r="G737" s="1184"/>
      <c r="H737" s="1184"/>
      <c r="I737" s="1184"/>
      <c r="J737" s="1184"/>
      <c r="K737" s="1184"/>
      <c r="L737" s="1184"/>
      <c r="M737" s="1184"/>
      <c r="N737" s="1184"/>
      <c r="O737" s="1184"/>
      <c r="P737" s="1163"/>
      <c r="Q737" s="1163"/>
      <c r="R737" s="1163"/>
      <c r="S737" s="1163"/>
      <c r="T737" s="1163"/>
      <c r="U737" s="1163"/>
      <c r="V737" s="1163"/>
      <c r="W737" s="1163"/>
      <c r="X737" s="1163"/>
      <c r="Y737" s="1163"/>
    </row>
    <row r="738" ht="12.75" customHeight="1">
      <c r="A738" s="1184"/>
      <c r="B738" s="1184"/>
      <c r="C738" s="1184"/>
      <c r="D738" s="1184"/>
      <c r="E738" s="1184"/>
      <c r="F738" s="1184"/>
      <c r="G738" s="1184"/>
      <c r="H738" s="1184"/>
      <c r="I738" s="1184"/>
      <c r="J738" s="1184"/>
      <c r="K738" s="1184"/>
      <c r="L738" s="1184"/>
      <c r="M738" s="1184"/>
      <c r="N738" s="1184"/>
      <c r="O738" s="1184"/>
      <c r="P738" s="1163"/>
      <c r="Q738" s="1163"/>
      <c r="R738" s="1163"/>
      <c r="S738" s="1163"/>
      <c r="T738" s="1163"/>
      <c r="U738" s="1163"/>
      <c r="V738" s="1163"/>
      <c r="W738" s="1163"/>
      <c r="X738" s="1163"/>
      <c r="Y738" s="1163"/>
    </row>
    <row r="739" ht="12.75" customHeight="1">
      <c r="A739" s="1184"/>
      <c r="B739" s="1184"/>
      <c r="C739" s="1184"/>
      <c r="D739" s="1184"/>
      <c r="E739" s="1184"/>
      <c r="F739" s="1184"/>
      <c r="G739" s="1184"/>
      <c r="H739" s="1184"/>
      <c r="I739" s="1184"/>
      <c r="J739" s="1184"/>
      <c r="K739" s="1184"/>
      <c r="L739" s="1184"/>
      <c r="M739" s="1184"/>
      <c r="N739" s="1184"/>
      <c r="O739" s="1184"/>
      <c r="P739" s="1163"/>
      <c r="Q739" s="1163"/>
      <c r="R739" s="1163"/>
      <c r="S739" s="1163"/>
      <c r="T739" s="1163"/>
      <c r="U739" s="1163"/>
      <c r="V739" s="1163"/>
      <c r="W739" s="1163"/>
      <c r="X739" s="1163"/>
      <c r="Y739" s="1163"/>
    </row>
    <row r="740" ht="12.75" customHeight="1">
      <c r="A740" s="1184"/>
      <c r="B740" s="1184"/>
      <c r="C740" s="1184"/>
      <c r="D740" s="1184"/>
      <c r="E740" s="1184"/>
      <c r="F740" s="1184"/>
      <c r="G740" s="1184"/>
      <c r="H740" s="1184"/>
      <c r="I740" s="1184"/>
      <c r="J740" s="1184"/>
      <c r="K740" s="1184"/>
      <c r="L740" s="1184"/>
      <c r="M740" s="1184"/>
      <c r="N740" s="1184"/>
      <c r="O740" s="1184"/>
      <c r="P740" s="1163"/>
      <c r="Q740" s="1163"/>
      <c r="R740" s="1163"/>
      <c r="S740" s="1163"/>
      <c r="T740" s="1163"/>
      <c r="U740" s="1163"/>
      <c r="V740" s="1163"/>
      <c r="W740" s="1163"/>
      <c r="X740" s="1163"/>
      <c r="Y740" s="1163"/>
    </row>
    <row r="741" ht="12.75" customHeight="1">
      <c r="A741" s="1184"/>
      <c r="B741" s="1184"/>
      <c r="C741" s="1184"/>
      <c r="D741" s="1184"/>
      <c r="E741" s="1184"/>
      <c r="F741" s="1184"/>
      <c r="G741" s="1184"/>
      <c r="H741" s="1184"/>
      <c r="I741" s="1184"/>
      <c r="J741" s="1184"/>
      <c r="K741" s="1184"/>
      <c r="L741" s="1184"/>
      <c r="M741" s="1184"/>
      <c r="N741" s="1184"/>
      <c r="O741" s="1184"/>
      <c r="P741" s="1163"/>
      <c r="Q741" s="1163"/>
      <c r="R741" s="1163"/>
      <c r="S741" s="1163"/>
      <c r="T741" s="1163"/>
      <c r="U741" s="1163"/>
      <c r="V741" s="1163"/>
      <c r="W741" s="1163"/>
      <c r="X741" s="1163"/>
      <c r="Y741" s="1163"/>
    </row>
    <row r="742" ht="12.75" customHeight="1">
      <c r="A742" s="1184"/>
      <c r="B742" s="1184"/>
      <c r="C742" s="1184"/>
      <c r="D742" s="1184"/>
      <c r="E742" s="1184"/>
      <c r="F742" s="1184"/>
      <c r="G742" s="1184"/>
      <c r="H742" s="1184"/>
      <c r="I742" s="1184"/>
      <c r="J742" s="1184"/>
      <c r="K742" s="1184"/>
      <c r="L742" s="1184"/>
      <c r="M742" s="1184"/>
      <c r="N742" s="1184"/>
      <c r="O742" s="1184"/>
      <c r="P742" s="1163"/>
      <c r="Q742" s="1163"/>
      <c r="R742" s="1163"/>
      <c r="S742" s="1163"/>
      <c r="T742" s="1163"/>
      <c r="U742" s="1163"/>
      <c r="V742" s="1163"/>
      <c r="W742" s="1163"/>
      <c r="X742" s="1163"/>
      <c r="Y742" s="1163"/>
    </row>
    <row r="743" ht="12.75" customHeight="1">
      <c r="A743" s="1184"/>
      <c r="B743" s="1184"/>
      <c r="C743" s="1184"/>
      <c r="D743" s="1184"/>
      <c r="E743" s="1184"/>
      <c r="F743" s="1184"/>
      <c r="G743" s="1184"/>
      <c r="H743" s="1184"/>
      <c r="I743" s="1184"/>
      <c r="J743" s="1184"/>
      <c r="K743" s="1184"/>
      <c r="L743" s="1184"/>
      <c r="M743" s="1184"/>
      <c r="N743" s="1184"/>
      <c r="O743" s="1184"/>
      <c r="P743" s="1163"/>
      <c r="Q743" s="1163"/>
      <c r="R743" s="1163"/>
      <c r="S743" s="1163"/>
      <c r="T743" s="1163"/>
      <c r="U743" s="1163"/>
      <c r="V743" s="1163"/>
      <c r="W743" s="1163"/>
      <c r="X743" s="1163"/>
      <c r="Y743" s="1163"/>
    </row>
    <row r="744" ht="12.75" customHeight="1">
      <c r="A744" s="1184"/>
      <c r="B744" s="1184"/>
      <c r="C744" s="1184"/>
      <c r="D744" s="1184"/>
      <c r="E744" s="1184"/>
      <c r="F744" s="1184"/>
      <c r="G744" s="1184"/>
      <c r="H744" s="1184"/>
      <c r="I744" s="1184"/>
      <c r="J744" s="1184"/>
      <c r="K744" s="1184"/>
      <c r="L744" s="1184"/>
      <c r="M744" s="1184"/>
      <c r="N744" s="1184"/>
      <c r="O744" s="1184"/>
      <c r="P744" s="1163"/>
      <c r="Q744" s="1163"/>
      <c r="R744" s="1163"/>
      <c r="S744" s="1163"/>
      <c r="T744" s="1163"/>
      <c r="U744" s="1163"/>
      <c r="V744" s="1163"/>
      <c r="W744" s="1163"/>
      <c r="X744" s="1163"/>
      <c r="Y744" s="1163"/>
    </row>
    <row r="745" ht="12.75" customHeight="1">
      <c r="A745" s="1184"/>
      <c r="B745" s="1184"/>
      <c r="C745" s="1184"/>
      <c r="D745" s="1184"/>
      <c r="E745" s="1184"/>
      <c r="F745" s="1184"/>
      <c r="G745" s="1184"/>
      <c r="H745" s="1184"/>
      <c r="I745" s="1184"/>
      <c r="J745" s="1184"/>
      <c r="K745" s="1184"/>
      <c r="L745" s="1184"/>
      <c r="M745" s="1184"/>
      <c r="N745" s="1184"/>
      <c r="O745" s="1184"/>
      <c r="P745" s="1163"/>
      <c r="Q745" s="1163"/>
      <c r="R745" s="1163"/>
      <c r="S745" s="1163"/>
      <c r="T745" s="1163"/>
      <c r="U745" s="1163"/>
      <c r="V745" s="1163"/>
      <c r="W745" s="1163"/>
      <c r="X745" s="1163"/>
      <c r="Y745" s="1163"/>
    </row>
    <row r="746" ht="12.75" customHeight="1">
      <c r="A746" s="1184"/>
      <c r="B746" s="1184"/>
      <c r="C746" s="1184"/>
      <c r="D746" s="1184"/>
      <c r="E746" s="1184"/>
      <c r="F746" s="1184"/>
      <c r="G746" s="1184"/>
      <c r="H746" s="1184"/>
      <c r="I746" s="1184"/>
      <c r="J746" s="1184"/>
      <c r="K746" s="1184"/>
      <c r="L746" s="1184"/>
      <c r="M746" s="1184"/>
      <c r="N746" s="1184"/>
      <c r="O746" s="1184"/>
      <c r="P746" s="1163"/>
      <c r="Q746" s="1163"/>
      <c r="R746" s="1163"/>
      <c r="S746" s="1163"/>
      <c r="T746" s="1163"/>
      <c r="U746" s="1163"/>
      <c r="V746" s="1163"/>
      <c r="W746" s="1163"/>
      <c r="X746" s="1163"/>
      <c r="Y746" s="1163"/>
    </row>
    <row r="747" ht="12.75" customHeight="1">
      <c r="A747" s="1184"/>
      <c r="B747" s="1184"/>
      <c r="C747" s="1184"/>
      <c r="D747" s="1184"/>
      <c r="E747" s="1184"/>
      <c r="F747" s="1184"/>
      <c r="G747" s="1184"/>
      <c r="H747" s="1184"/>
      <c r="I747" s="1184"/>
      <c r="J747" s="1184"/>
      <c r="K747" s="1184"/>
      <c r="L747" s="1184"/>
      <c r="M747" s="1184"/>
      <c r="N747" s="1184"/>
      <c r="O747" s="1184"/>
      <c r="P747" s="1163"/>
      <c r="Q747" s="1163"/>
      <c r="R747" s="1163"/>
      <c r="S747" s="1163"/>
      <c r="T747" s="1163"/>
      <c r="U747" s="1163"/>
      <c r="V747" s="1163"/>
      <c r="W747" s="1163"/>
      <c r="X747" s="1163"/>
      <c r="Y747" s="1163"/>
    </row>
    <row r="748" ht="12.75" customHeight="1">
      <c r="A748" s="1184"/>
      <c r="B748" s="1184"/>
      <c r="C748" s="1184"/>
      <c r="D748" s="1184"/>
      <c r="E748" s="1184"/>
      <c r="F748" s="1184"/>
      <c r="G748" s="1184"/>
      <c r="H748" s="1184"/>
      <c r="I748" s="1184"/>
      <c r="J748" s="1184"/>
      <c r="K748" s="1184"/>
      <c r="L748" s="1184"/>
      <c r="M748" s="1184"/>
      <c r="N748" s="1184"/>
      <c r="O748" s="1184"/>
      <c r="P748" s="1163"/>
      <c r="Q748" s="1163"/>
      <c r="R748" s="1163"/>
      <c r="S748" s="1163"/>
      <c r="T748" s="1163"/>
      <c r="U748" s="1163"/>
      <c r="V748" s="1163"/>
      <c r="W748" s="1163"/>
      <c r="X748" s="1163"/>
      <c r="Y748" s="1163"/>
    </row>
    <row r="749" ht="12.75" customHeight="1">
      <c r="A749" s="1184"/>
      <c r="B749" s="1184"/>
      <c r="C749" s="1184"/>
      <c r="D749" s="1184"/>
      <c r="E749" s="1184"/>
      <c r="F749" s="1184"/>
      <c r="G749" s="1184"/>
      <c r="H749" s="1184"/>
      <c r="I749" s="1184"/>
      <c r="J749" s="1184"/>
      <c r="K749" s="1184"/>
      <c r="L749" s="1184"/>
      <c r="M749" s="1184"/>
      <c r="N749" s="1184"/>
      <c r="O749" s="1184"/>
      <c r="P749" s="1163"/>
      <c r="Q749" s="1163"/>
      <c r="R749" s="1163"/>
      <c r="S749" s="1163"/>
      <c r="T749" s="1163"/>
      <c r="U749" s="1163"/>
      <c r="V749" s="1163"/>
      <c r="W749" s="1163"/>
      <c r="X749" s="1163"/>
      <c r="Y749" s="1163"/>
    </row>
    <row r="750" ht="12.75" customHeight="1">
      <c r="A750" s="1184"/>
      <c r="B750" s="1184"/>
      <c r="C750" s="1184"/>
      <c r="D750" s="1184"/>
      <c r="E750" s="1184"/>
      <c r="F750" s="1184"/>
      <c r="G750" s="1184"/>
      <c r="H750" s="1184"/>
      <c r="I750" s="1184"/>
      <c r="J750" s="1184"/>
      <c r="K750" s="1184"/>
      <c r="L750" s="1184"/>
      <c r="M750" s="1184"/>
      <c r="N750" s="1184"/>
      <c r="O750" s="1184"/>
      <c r="P750" s="1163"/>
      <c r="Q750" s="1163"/>
      <c r="R750" s="1163"/>
      <c r="S750" s="1163"/>
      <c r="T750" s="1163"/>
      <c r="U750" s="1163"/>
      <c r="V750" s="1163"/>
      <c r="W750" s="1163"/>
      <c r="X750" s="1163"/>
      <c r="Y750" s="1163"/>
    </row>
    <row r="751" ht="12.75" customHeight="1">
      <c r="A751" s="1184"/>
      <c r="B751" s="1184"/>
      <c r="C751" s="1184"/>
      <c r="D751" s="1184"/>
      <c r="E751" s="1184"/>
      <c r="F751" s="1184"/>
      <c r="G751" s="1184"/>
      <c r="H751" s="1184"/>
      <c r="I751" s="1184"/>
      <c r="J751" s="1184"/>
      <c r="K751" s="1184"/>
      <c r="L751" s="1184"/>
      <c r="M751" s="1184"/>
      <c r="N751" s="1184"/>
      <c r="O751" s="1184"/>
      <c r="P751" s="1163"/>
      <c r="Q751" s="1163"/>
      <c r="R751" s="1163"/>
      <c r="S751" s="1163"/>
      <c r="T751" s="1163"/>
      <c r="U751" s="1163"/>
      <c r="V751" s="1163"/>
      <c r="W751" s="1163"/>
      <c r="X751" s="1163"/>
      <c r="Y751" s="1163"/>
    </row>
    <row r="752" ht="12.75" customHeight="1">
      <c r="A752" s="1184"/>
      <c r="B752" s="1184"/>
      <c r="C752" s="1184"/>
      <c r="D752" s="1184"/>
      <c r="E752" s="1184"/>
      <c r="F752" s="1184"/>
      <c r="G752" s="1184"/>
      <c r="H752" s="1184"/>
      <c r="I752" s="1184"/>
      <c r="J752" s="1184"/>
      <c r="K752" s="1184"/>
      <c r="L752" s="1184"/>
      <c r="M752" s="1184"/>
      <c r="N752" s="1184"/>
      <c r="O752" s="1184"/>
      <c r="P752" s="1163"/>
      <c r="Q752" s="1163"/>
      <c r="R752" s="1163"/>
      <c r="S752" s="1163"/>
      <c r="T752" s="1163"/>
      <c r="U752" s="1163"/>
      <c r="V752" s="1163"/>
      <c r="W752" s="1163"/>
      <c r="X752" s="1163"/>
      <c r="Y752" s="1163"/>
    </row>
    <row r="753" ht="12.75" customHeight="1">
      <c r="A753" s="1184"/>
      <c r="B753" s="1184"/>
      <c r="C753" s="1184"/>
      <c r="D753" s="1184"/>
      <c r="E753" s="1184"/>
      <c r="F753" s="1184"/>
      <c r="G753" s="1184"/>
      <c r="H753" s="1184"/>
      <c r="I753" s="1184"/>
      <c r="J753" s="1184"/>
      <c r="K753" s="1184"/>
      <c r="L753" s="1184"/>
      <c r="M753" s="1184"/>
      <c r="N753" s="1184"/>
      <c r="O753" s="1184"/>
      <c r="P753" s="1163"/>
      <c r="Q753" s="1163"/>
      <c r="R753" s="1163"/>
      <c r="S753" s="1163"/>
      <c r="T753" s="1163"/>
      <c r="U753" s="1163"/>
      <c r="V753" s="1163"/>
      <c r="W753" s="1163"/>
      <c r="X753" s="1163"/>
      <c r="Y753" s="1163"/>
    </row>
    <row r="754" ht="12.75" customHeight="1">
      <c r="A754" s="1184"/>
      <c r="B754" s="1184"/>
      <c r="C754" s="1184"/>
      <c r="D754" s="1184"/>
      <c r="E754" s="1184"/>
      <c r="F754" s="1184"/>
      <c r="G754" s="1184"/>
      <c r="H754" s="1184"/>
      <c r="I754" s="1184"/>
      <c r="J754" s="1184"/>
      <c r="K754" s="1184"/>
      <c r="L754" s="1184"/>
      <c r="M754" s="1184"/>
      <c r="N754" s="1184"/>
      <c r="O754" s="1184"/>
      <c r="P754" s="1163"/>
      <c r="Q754" s="1163"/>
      <c r="R754" s="1163"/>
      <c r="S754" s="1163"/>
      <c r="T754" s="1163"/>
      <c r="U754" s="1163"/>
      <c r="V754" s="1163"/>
      <c r="W754" s="1163"/>
      <c r="X754" s="1163"/>
      <c r="Y754" s="1163"/>
    </row>
    <row r="755" ht="12.75" customHeight="1">
      <c r="A755" s="1184"/>
      <c r="B755" s="1184"/>
      <c r="C755" s="1184"/>
      <c r="D755" s="1184"/>
      <c r="E755" s="1184"/>
      <c r="F755" s="1184"/>
      <c r="G755" s="1184"/>
      <c r="H755" s="1184"/>
      <c r="I755" s="1184"/>
      <c r="J755" s="1184"/>
      <c r="K755" s="1184"/>
      <c r="L755" s="1184"/>
      <c r="M755" s="1184"/>
      <c r="N755" s="1184"/>
      <c r="O755" s="1184"/>
      <c r="P755" s="1163"/>
      <c r="Q755" s="1163"/>
      <c r="R755" s="1163"/>
      <c r="S755" s="1163"/>
      <c r="T755" s="1163"/>
      <c r="U755" s="1163"/>
      <c r="V755" s="1163"/>
      <c r="W755" s="1163"/>
      <c r="X755" s="1163"/>
      <c r="Y755" s="1163"/>
    </row>
    <row r="756" ht="12.75" customHeight="1">
      <c r="A756" s="1184"/>
      <c r="B756" s="1184"/>
      <c r="C756" s="1184"/>
      <c r="D756" s="1184"/>
      <c r="E756" s="1184"/>
      <c r="F756" s="1184"/>
      <c r="G756" s="1184"/>
      <c r="H756" s="1184"/>
      <c r="I756" s="1184"/>
      <c r="J756" s="1184"/>
      <c r="K756" s="1184"/>
      <c r="L756" s="1184"/>
      <c r="M756" s="1184"/>
      <c r="N756" s="1184"/>
      <c r="O756" s="1184"/>
      <c r="P756" s="1163"/>
      <c r="Q756" s="1163"/>
      <c r="R756" s="1163"/>
      <c r="S756" s="1163"/>
      <c r="T756" s="1163"/>
      <c r="U756" s="1163"/>
      <c r="V756" s="1163"/>
      <c r="W756" s="1163"/>
      <c r="X756" s="1163"/>
      <c r="Y756" s="1163"/>
    </row>
    <row r="757" ht="12.75" customHeight="1">
      <c r="A757" s="1184"/>
      <c r="B757" s="1184"/>
      <c r="C757" s="1184"/>
      <c r="D757" s="1184"/>
      <c r="E757" s="1184"/>
      <c r="F757" s="1184"/>
      <c r="G757" s="1184"/>
      <c r="H757" s="1184"/>
      <c r="I757" s="1184"/>
      <c r="J757" s="1184"/>
      <c r="K757" s="1184"/>
      <c r="L757" s="1184"/>
      <c r="M757" s="1184"/>
      <c r="N757" s="1184"/>
      <c r="O757" s="1184"/>
      <c r="P757" s="1163"/>
      <c r="Q757" s="1163"/>
      <c r="R757" s="1163"/>
      <c r="S757" s="1163"/>
      <c r="T757" s="1163"/>
      <c r="U757" s="1163"/>
      <c r="V757" s="1163"/>
      <c r="W757" s="1163"/>
      <c r="X757" s="1163"/>
      <c r="Y757" s="1163"/>
    </row>
    <row r="758" ht="12.75" customHeight="1">
      <c r="A758" s="1184"/>
      <c r="B758" s="1184"/>
      <c r="C758" s="1184"/>
      <c r="D758" s="1184"/>
      <c r="E758" s="1184"/>
      <c r="F758" s="1184"/>
      <c r="G758" s="1184"/>
      <c r="H758" s="1184"/>
      <c r="I758" s="1184"/>
      <c r="J758" s="1184"/>
      <c r="K758" s="1184"/>
      <c r="L758" s="1184"/>
      <c r="M758" s="1184"/>
      <c r="N758" s="1184"/>
      <c r="O758" s="1184"/>
      <c r="P758" s="1163"/>
      <c r="Q758" s="1163"/>
      <c r="R758" s="1163"/>
      <c r="S758" s="1163"/>
      <c r="T758" s="1163"/>
      <c r="U758" s="1163"/>
      <c r="V758" s="1163"/>
      <c r="W758" s="1163"/>
      <c r="X758" s="1163"/>
      <c r="Y758" s="1163"/>
    </row>
    <row r="759" ht="12.75" customHeight="1">
      <c r="A759" s="1184"/>
      <c r="B759" s="1184"/>
      <c r="C759" s="1184"/>
      <c r="D759" s="1184"/>
      <c r="E759" s="1184"/>
      <c r="F759" s="1184"/>
      <c r="G759" s="1184"/>
      <c r="H759" s="1184"/>
      <c r="I759" s="1184"/>
      <c r="J759" s="1184"/>
      <c r="K759" s="1184"/>
      <c r="L759" s="1184"/>
      <c r="M759" s="1184"/>
      <c r="N759" s="1184"/>
      <c r="O759" s="1184"/>
      <c r="P759" s="1163"/>
      <c r="Q759" s="1163"/>
      <c r="R759" s="1163"/>
      <c r="S759" s="1163"/>
      <c r="T759" s="1163"/>
      <c r="U759" s="1163"/>
      <c r="V759" s="1163"/>
      <c r="W759" s="1163"/>
      <c r="X759" s="1163"/>
      <c r="Y759" s="1163"/>
    </row>
    <row r="760" ht="12.75" customHeight="1">
      <c r="A760" s="1184"/>
      <c r="B760" s="1184"/>
      <c r="C760" s="1184"/>
      <c r="D760" s="1184"/>
      <c r="E760" s="1184"/>
      <c r="F760" s="1184"/>
      <c r="G760" s="1184"/>
      <c r="H760" s="1184"/>
      <c r="I760" s="1184"/>
      <c r="J760" s="1184"/>
      <c r="K760" s="1184"/>
      <c r="L760" s="1184"/>
      <c r="M760" s="1184"/>
      <c r="N760" s="1184"/>
      <c r="O760" s="1184"/>
      <c r="P760" s="1163"/>
      <c r="Q760" s="1163"/>
      <c r="R760" s="1163"/>
      <c r="S760" s="1163"/>
      <c r="T760" s="1163"/>
      <c r="U760" s="1163"/>
      <c r="V760" s="1163"/>
      <c r="W760" s="1163"/>
      <c r="X760" s="1163"/>
      <c r="Y760" s="1163"/>
    </row>
    <row r="761" ht="12.75" customHeight="1">
      <c r="A761" s="1184"/>
      <c r="B761" s="1184"/>
      <c r="C761" s="1184"/>
      <c r="D761" s="1184"/>
      <c r="E761" s="1184"/>
      <c r="F761" s="1184"/>
      <c r="G761" s="1184"/>
      <c r="H761" s="1184"/>
      <c r="I761" s="1184"/>
      <c r="J761" s="1184"/>
      <c r="K761" s="1184"/>
      <c r="L761" s="1184"/>
      <c r="M761" s="1184"/>
      <c r="N761" s="1184"/>
      <c r="O761" s="1184"/>
      <c r="P761" s="1163"/>
      <c r="Q761" s="1163"/>
      <c r="R761" s="1163"/>
      <c r="S761" s="1163"/>
      <c r="T761" s="1163"/>
      <c r="U761" s="1163"/>
      <c r="V761" s="1163"/>
      <c r="W761" s="1163"/>
      <c r="X761" s="1163"/>
      <c r="Y761" s="1163"/>
    </row>
    <row r="762" ht="12.75" customHeight="1">
      <c r="A762" s="1184"/>
      <c r="B762" s="1184"/>
      <c r="C762" s="1184"/>
      <c r="D762" s="1184"/>
      <c r="E762" s="1184"/>
      <c r="F762" s="1184"/>
      <c r="G762" s="1184"/>
      <c r="H762" s="1184"/>
      <c r="I762" s="1184"/>
      <c r="J762" s="1184"/>
      <c r="K762" s="1184"/>
      <c r="L762" s="1184"/>
      <c r="M762" s="1184"/>
      <c r="N762" s="1184"/>
      <c r="O762" s="1184"/>
      <c r="P762" s="1163"/>
      <c r="Q762" s="1163"/>
      <c r="R762" s="1163"/>
      <c r="S762" s="1163"/>
      <c r="T762" s="1163"/>
      <c r="U762" s="1163"/>
      <c r="V762" s="1163"/>
      <c r="W762" s="1163"/>
      <c r="X762" s="1163"/>
      <c r="Y762" s="1163"/>
    </row>
    <row r="763" ht="12.75" customHeight="1">
      <c r="A763" s="1184"/>
      <c r="B763" s="1184"/>
      <c r="C763" s="1184"/>
      <c r="D763" s="1184"/>
      <c r="E763" s="1184"/>
      <c r="F763" s="1184"/>
      <c r="G763" s="1184"/>
      <c r="H763" s="1184"/>
      <c r="I763" s="1184"/>
      <c r="J763" s="1184"/>
      <c r="K763" s="1184"/>
      <c r="L763" s="1184"/>
      <c r="M763" s="1184"/>
      <c r="N763" s="1184"/>
      <c r="O763" s="1184"/>
      <c r="P763" s="1163"/>
      <c r="Q763" s="1163"/>
      <c r="R763" s="1163"/>
      <c r="S763" s="1163"/>
      <c r="T763" s="1163"/>
      <c r="U763" s="1163"/>
      <c r="V763" s="1163"/>
      <c r="W763" s="1163"/>
      <c r="X763" s="1163"/>
      <c r="Y763" s="1163"/>
    </row>
    <row r="764" ht="12.75" customHeight="1">
      <c r="A764" s="1184"/>
      <c r="B764" s="1184"/>
      <c r="C764" s="1184"/>
      <c r="D764" s="1184"/>
      <c r="E764" s="1184"/>
      <c r="F764" s="1184"/>
      <c r="G764" s="1184"/>
      <c r="H764" s="1184"/>
      <c r="I764" s="1184"/>
      <c r="J764" s="1184"/>
      <c r="K764" s="1184"/>
      <c r="L764" s="1184"/>
      <c r="M764" s="1184"/>
      <c r="N764" s="1184"/>
      <c r="O764" s="1184"/>
      <c r="P764" s="1163"/>
      <c r="Q764" s="1163"/>
      <c r="R764" s="1163"/>
      <c r="S764" s="1163"/>
      <c r="T764" s="1163"/>
      <c r="U764" s="1163"/>
      <c r="V764" s="1163"/>
      <c r="W764" s="1163"/>
      <c r="X764" s="1163"/>
      <c r="Y764" s="1163"/>
    </row>
    <row r="765" ht="12.75" customHeight="1">
      <c r="A765" s="1184"/>
      <c r="B765" s="1184"/>
      <c r="C765" s="1184"/>
      <c r="D765" s="1184"/>
      <c r="E765" s="1184"/>
      <c r="F765" s="1184"/>
      <c r="G765" s="1184"/>
      <c r="H765" s="1184"/>
      <c r="I765" s="1184"/>
      <c r="J765" s="1184"/>
      <c r="K765" s="1184"/>
      <c r="L765" s="1184"/>
      <c r="M765" s="1184"/>
      <c r="N765" s="1184"/>
      <c r="O765" s="1184"/>
      <c r="P765" s="1163"/>
      <c r="Q765" s="1163"/>
      <c r="R765" s="1163"/>
      <c r="S765" s="1163"/>
      <c r="T765" s="1163"/>
      <c r="U765" s="1163"/>
      <c r="V765" s="1163"/>
      <c r="W765" s="1163"/>
      <c r="X765" s="1163"/>
      <c r="Y765" s="1163"/>
    </row>
    <row r="766" ht="12.75" customHeight="1">
      <c r="A766" s="1184"/>
      <c r="B766" s="1184"/>
      <c r="C766" s="1184"/>
      <c r="D766" s="1184"/>
      <c r="E766" s="1184"/>
      <c r="F766" s="1184"/>
      <c r="G766" s="1184"/>
      <c r="H766" s="1184"/>
      <c r="I766" s="1184"/>
      <c r="J766" s="1184"/>
      <c r="K766" s="1184"/>
      <c r="L766" s="1184"/>
      <c r="M766" s="1184"/>
      <c r="N766" s="1184"/>
      <c r="O766" s="1184"/>
      <c r="P766" s="1163"/>
      <c r="Q766" s="1163"/>
      <c r="R766" s="1163"/>
      <c r="S766" s="1163"/>
      <c r="T766" s="1163"/>
      <c r="U766" s="1163"/>
      <c r="V766" s="1163"/>
      <c r="W766" s="1163"/>
      <c r="X766" s="1163"/>
      <c r="Y766" s="1163"/>
    </row>
    <row r="767" ht="12.75" customHeight="1">
      <c r="A767" s="1184"/>
      <c r="B767" s="1184"/>
      <c r="C767" s="1184"/>
      <c r="D767" s="1184"/>
      <c r="E767" s="1184"/>
      <c r="F767" s="1184"/>
      <c r="G767" s="1184"/>
      <c r="H767" s="1184"/>
      <c r="I767" s="1184"/>
      <c r="J767" s="1184"/>
      <c r="K767" s="1184"/>
      <c r="L767" s="1184"/>
      <c r="M767" s="1184"/>
      <c r="N767" s="1184"/>
      <c r="O767" s="1184"/>
      <c r="P767" s="1163"/>
      <c r="Q767" s="1163"/>
      <c r="R767" s="1163"/>
      <c r="S767" s="1163"/>
      <c r="T767" s="1163"/>
      <c r="U767" s="1163"/>
      <c r="V767" s="1163"/>
      <c r="W767" s="1163"/>
      <c r="X767" s="1163"/>
      <c r="Y767" s="1163"/>
    </row>
    <row r="768" ht="12.75" customHeight="1">
      <c r="A768" s="1184"/>
      <c r="B768" s="1184"/>
      <c r="C768" s="1184"/>
      <c r="D768" s="1184"/>
      <c r="E768" s="1184"/>
      <c r="F768" s="1184"/>
      <c r="G768" s="1184"/>
      <c r="H768" s="1184"/>
      <c r="I768" s="1184"/>
      <c r="J768" s="1184"/>
      <c r="K768" s="1184"/>
      <c r="L768" s="1184"/>
      <c r="M768" s="1184"/>
      <c r="N768" s="1184"/>
      <c r="O768" s="1184"/>
      <c r="P768" s="1163"/>
      <c r="Q768" s="1163"/>
      <c r="R768" s="1163"/>
      <c r="S768" s="1163"/>
      <c r="T768" s="1163"/>
      <c r="U768" s="1163"/>
      <c r="V768" s="1163"/>
      <c r="W768" s="1163"/>
      <c r="X768" s="1163"/>
      <c r="Y768" s="1163"/>
    </row>
    <row r="769" ht="12.75" customHeight="1">
      <c r="A769" s="1184"/>
      <c r="B769" s="1184"/>
      <c r="C769" s="1184"/>
      <c r="D769" s="1184"/>
      <c r="E769" s="1184"/>
      <c r="F769" s="1184"/>
      <c r="G769" s="1184"/>
      <c r="H769" s="1184"/>
      <c r="I769" s="1184"/>
      <c r="J769" s="1184"/>
      <c r="K769" s="1184"/>
      <c r="L769" s="1184"/>
      <c r="M769" s="1184"/>
      <c r="N769" s="1184"/>
      <c r="O769" s="1184"/>
      <c r="P769" s="1163"/>
      <c r="Q769" s="1163"/>
      <c r="R769" s="1163"/>
      <c r="S769" s="1163"/>
      <c r="T769" s="1163"/>
      <c r="U769" s="1163"/>
      <c r="V769" s="1163"/>
      <c r="W769" s="1163"/>
      <c r="X769" s="1163"/>
      <c r="Y769" s="1163"/>
    </row>
    <row r="770" ht="12.75" customHeight="1">
      <c r="A770" s="1184"/>
      <c r="B770" s="1184"/>
      <c r="C770" s="1184"/>
      <c r="D770" s="1184"/>
      <c r="E770" s="1184"/>
      <c r="F770" s="1184"/>
      <c r="G770" s="1184"/>
      <c r="H770" s="1184"/>
      <c r="I770" s="1184"/>
      <c r="J770" s="1184"/>
      <c r="K770" s="1184"/>
      <c r="L770" s="1184"/>
      <c r="M770" s="1184"/>
      <c r="N770" s="1184"/>
      <c r="O770" s="1184"/>
      <c r="P770" s="1163"/>
      <c r="Q770" s="1163"/>
      <c r="R770" s="1163"/>
      <c r="S770" s="1163"/>
      <c r="T770" s="1163"/>
      <c r="U770" s="1163"/>
      <c r="V770" s="1163"/>
      <c r="W770" s="1163"/>
      <c r="X770" s="1163"/>
      <c r="Y770" s="1163"/>
    </row>
    <row r="771" ht="12.75" customHeight="1">
      <c r="A771" s="1184"/>
      <c r="B771" s="1184"/>
      <c r="C771" s="1184"/>
      <c r="D771" s="1184"/>
      <c r="E771" s="1184"/>
      <c r="F771" s="1184"/>
      <c r="G771" s="1184"/>
      <c r="H771" s="1184"/>
      <c r="I771" s="1184"/>
      <c r="J771" s="1184"/>
      <c r="K771" s="1184"/>
      <c r="L771" s="1184"/>
      <c r="M771" s="1184"/>
      <c r="N771" s="1184"/>
      <c r="O771" s="1184"/>
      <c r="P771" s="1163"/>
      <c r="Q771" s="1163"/>
      <c r="R771" s="1163"/>
      <c r="S771" s="1163"/>
      <c r="T771" s="1163"/>
      <c r="U771" s="1163"/>
      <c r="V771" s="1163"/>
      <c r="W771" s="1163"/>
      <c r="X771" s="1163"/>
      <c r="Y771" s="1163"/>
    </row>
    <row r="772" ht="12.75" customHeight="1">
      <c r="A772" s="1184"/>
      <c r="B772" s="1184"/>
      <c r="C772" s="1184"/>
      <c r="D772" s="1184"/>
      <c r="E772" s="1184"/>
      <c r="F772" s="1184"/>
      <c r="G772" s="1184"/>
      <c r="H772" s="1184"/>
      <c r="I772" s="1184"/>
      <c r="J772" s="1184"/>
      <c r="K772" s="1184"/>
      <c r="L772" s="1184"/>
      <c r="M772" s="1184"/>
      <c r="N772" s="1184"/>
      <c r="O772" s="1184"/>
      <c r="P772" s="1163"/>
      <c r="Q772" s="1163"/>
      <c r="R772" s="1163"/>
      <c r="S772" s="1163"/>
      <c r="T772" s="1163"/>
      <c r="U772" s="1163"/>
      <c r="V772" s="1163"/>
      <c r="W772" s="1163"/>
      <c r="X772" s="1163"/>
      <c r="Y772" s="1163"/>
    </row>
    <row r="773" ht="12.75" customHeight="1">
      <c r="A773" s="1184"/>
      <c r="B773" s="1184"/>
      <c r="C773" s="1184"/>
      <c r="D773" s="1184"/>
      <c r="E773" s="1184"/>
      <c r="F773" s="1184"/>
      <c r="G773" s="1184"/>
      <c r="H773" s="1184"/>
      <c r="I773" s="1184"/>
      <c r="J773" s="1184"/>
      <c r="K773" s="1184"/>
      <c r="L773" s="1184"/>
      <c r="M773" s="1184"/>
      <c r="N773" s="1184"/>
      <c r="O773" s="1184"/>
      <c r="P773" s="1163"/>
      <c r="Q773" s="1163"/>
      <c r="R773" s="1163"/>
      <c r="S773" s="1163"/>
      <c r="T773" s="1163"/>
      <c r="U773" s="1163"/>
      <c r="V773" s="1163"/>
      <c r="W773" s="1163"/>
      <c r="X773" s="1163"/>
      <c r="Y773" s="1163"/>
    </row>
    <row r="774" ht="12.75" customHeight="1">
      <c r="A774" s="1184"/>
      <c r="B774" s="1184"/>
      <c r="C774" s="1184"/>
      <c r="D774" s="1184"/>
      <c r="E774" s="1184"/>
      <c r="F774" s="1184"/>
      <c r="G774" s="1184"/>
      <c r="H774" s="1184"/>
      <c r="I774" s="1184"/>
      <c r="J774" s="1184"/>
      <c r="K774" s="1184"/>
      <c r="L774" s="1184"/>
      <c r="M774" s="1184"/>
      <c r="N774" s="1184"/>
      <c r="O774" s="1184"/>
      <c r="P774" s="1163"/>
      <c r="Q774" s="1163"/>
      <c r="R774" s="1163"/>
      <c r="S774" s="1163"/>
      <c r="T774" s="1163"/>
      <c r="U774" s="1163"/>
      <c r="V774" s="1163"/>
      <c r="W774" s="1163"/>
      <c r="X774" s="1163"/>
      <c r="Y774" s="1163"/>
    </row>
    <row r="775" ht="12.75" customHeight="1">
      <c r="A775" s="1184"/>
      <c r="B775" s="1184"/>
      <c r="C775" s="1184"/>
      <c r="D775" s="1184"/>
      <c r="E775" s="1184"/>
      <c r="F775" s="1184"/>
      <c r="G775" s="1184"/>
      <c r="H775" s="1184"/>
      <c r="I775" s="1184"/>
      <c r="J775" s="1184"/>
      <c r="K775" s="1184"/>
      <c r="L775" s="1184"/>
      <c r="M775" s="1184"/>
      <c r="N775" s="1184"/>
      <c r="O775" s="1184"/>
      <c r="P775" s="1163"/>
      <c r="Q775" s="1163"/>
      <c r="R775" s="1163"/>
      <c r="S775" s="1163"/>
      <c r="T775" s="1163"/>
      <c r="U775" s="1163"/>
      <c r="V775" s="1163"/>
      <c r="W775" s="1163"/>
      <c r="X775" s="1163"/>
      <c r="Y775" s="1163"/>
    </row>
    <row r="776" ht="12.75" customHeight="1">
      <c r="A776" s="1184"/>
      <c r="B776" s="1184"/>
      <c r="C776" s="1184"/>
      <c r="D776" s="1184"/>
      <c r="E776" s="1184"/>
      <c r="F776" s="1184"/>
      <c r="G776" s="1184"/>
      <c r="H776" s="1184"/>
      <c r="I776" s="1184"/>
      <c r="J776" s="1184"/>
      <c r="K776" s="1184"/>
      <c r="L776" s="1184"/>
      <c r="M776" s="1184"/>
      <c r="N776" s="1184"/>
      <c r="O776" s="1184"/>
      <c r="P776" s="1163"/>
      <c r="Q776" s="1163"/>
      <c r="R776" s="1163"/>
      <c r="S776" s="1163"/>
      <c r="T776" s="1163"/>
      <c r="U776" s="1163"/>
      <c r="V776" s="1163"/>
      <c r="W776" s="1163"/>
      <c r="X776" s="1163"/>
      <c r="Y776" s="1163"/>
    </row>
    <row r="777" ht="12.75" customHeight="1">
      <c r="A777" s="1184"/>
      <c r="B777" s="1184"/>
      <c r="C777" s="1184"/>
      <c r="D777" s="1184"/>
      <c r="E777" s="1184"/>
      <c r="F777" s="1184"/>
      <c r="G777" s="1184"/>
      <c r="H777" s="1184"/>
      <c r="I777" s="1184"/>
      <c r="J777" s="1184"/>
      <c r="K777" s="1184"/>
      <c r="L777" s="1184"/>
      <c r="M777" s="1184"/>
      <c r="N777" s="1184"/>
      <c r="O777" s="1184"/>
      <c r="P777" s="1163"/>
      <c r="Q777" s="1163"/>
      <c r="R777" s="1163"/>
      <c r="S777" s="1163"/>
      <c r="T777" s="1163"/>
      <c r="U777" s="1163"/>
      <c r="V777" s="1163"/>
      <c r="W777" s="1163"/>
      <c r="X777" s="1163"/>
      <c r="Y777" s="1163"/>
    </row>
    <row r="778" ht="12.75" customHeight="1">
      <c r="A778" s="1184"/>
      <c r="B778" s="1184"/>
      <c r="C778" s="1184"/>
      <c r="D778" s="1184"/>
      <c r="E778" s="1184"/>
      <c r="F778" s="1184"/>
      <c r="G778" s="1184"/>
      <c r="H778" s="1184"/>
      <c r="I778" s="1184"/>
      <c r="J778" s="1184"/>
      <c r="K778" s="1184"/>
      <c r="L778" s="1184"/>
      <c r="M778" s="1184"/>
      <c r="N778" s="1184"/>
      <c r="O778" s="1184"/>
      <c r="P778" s="1163"/>
      <c r="Q778" s="1163"/>
      <c r="R778" s="1163"/>
      <c r="S778" s="1163"/>
      <c r="T778" s="1163"/>
      <c r="U778" s="1163"/>
      <c r="V778" s="1163"/>
      <c r="W778" s="1163"/>
      <c r="X778" s="1163"/>
      <c r="Y778" s="1163"/>
    </row>
    <row r="779" ht="12.75" customHeight="1">
      <c r="A779" s="1184"/>
      <c r="B779" s="1184"/>
      <c r="C779" s="1184"/>
      <c r="D779" s="1184"/>
      <c r="E779" s="1184"/>
      <c r="F779" s="1184"/>
      <c r="G779" s="1184"/>
      <c r="H779" s="1184"/>
      <c r="I779" s="1184"/>
      <c r="J779" s="1184"/>
      <c r="K779" s="1184"/>
      <c r="L779" s="1184"/>
      <c r="M779" s="1184"/>
      <c r="N779" s="1184"/>
      <c r="O779" s="1184"/>
      <c r="P779" s="1163"/>
      <c r="Q779" s="1163"/>
      <c r="R779" s="1163"/>
      <c r="S779" s="1163"/>
      <c r="T779" s="1163"/>
      <c r="U779" s="1163"/>
      <c r="V779" s="1163"/>
      <c r="W779" s="1163"/>
      <c r="X779" s="1163"/>
      <c r="Y779" s="1163"/>
    </row>
    <row r="780" ht="12.75" customHeight="1">
      <c r="A780" s="1184"/>
      <c r="B780" s="1184"/>
      <c r="C780" s="1184"/>
      <c r="D780" s="1184"/>
      <c r="E780" s="1184"/>
      <c r="F780" s="1184"/>
      <c r="G780" s="1184"/>
      <c r="H780" s="1184"/>
      <c r="I780" s="1184"/>
      <c r="J780" s="1184"/>
      <c r="K780" s="1184"/>
      <c r="L780" s="1184"/>
      <c r="M780" s="1184"/>
      <c r="N780" s="1184"/>
      <c r="O780" s="1184"/>
      <c r="P780" s="1163"/>
      <c r="Q780" s="1163"/>
      <c r="R780" s="1163"/>
      <c r="S780" s="1163"/>
      <c r="T780" s="1163"/>
      <c r="U780" s="1163"/>
      <c r="V780" s="1163"/>
      <c r="W780" s="1163"/>
      <c r="X780" s="1163"/>
      <c r="Y780" s="1163"/>
    </row>
    <row r="781" ht="12.75" customHeight="1">
      <c r="A781" s="1184"/>
      <c r="B781" s="1184"/>
      <c r="C781" s="1184"/>
      <c r="D781" s="1184"/>
      <c r="E781" s="1184"/>
      <c r="F781" s="1184"/>
      <c r="G781" s="1184"/>
      <c r="H781" s="1184"/>
      <c r="I781" s="1184"/>
      <c r="J781" s="1184"/>
      <c r="K781" s="1184"/>
      <c r="L781" s="1184"/>
      <c r="M781" s="1184"/>
      <c r="N781" s="1184"/>
      <c r="O781" s="1184"/>
      <c r="P781" s="1163"/>
      <c r="Q781" s="1163"/>
      <c r="R781" s="1163"/>
      <c r="S781" s="1163"/>
      <c r="T781" s="1163"/>
      <c r="U781" s="1163"/>
      <c r="V781" s="1163"/>
      <c r="W781" s="1163"/>
      <c r="X781" s="1163"/>
      <c r="Y781" s="1163"/>
    </row>
    <row r="782" ht="12.75" customHeight="1">
      <c r="A782" s="1184"/>
      <c r="B782" s="1184"/>
      <c r="C782" s="1184"/>
      <c r="D782" s="1184"/>
      <c r="E782" s="1184"/>
      <c r="F782" s="1184"/>
      <c r="G782" s="1184"/>
      <c r="H782" s="1184"/>
      <c r="I782" s="1184"/>
      <c r="J782" s="1184"/>
      <c r="K782" s="1184"/>
      <c r="L782" s="1184"/>
      <c r="M782" s="1184"/>
      <c r="N782" s="1184"/>
      <c r="O782" s="1184"/>
      <c r="P782" s="1163"/>
      <c r="Q782" s="1163"/>
      <c r="R782" s="1163"/>
      <c r="S782" s="1163"/>
      <c r="T782" s="1163"/>
      <c r="U782" s="1163"/>
      <c r="V782" s="1163"/>
      <c r="W782" s="1163"/>
      <c r="X782" s="1163"/>
      <c r="Y782" s="1163"/>
    </row>
    <row r="783" ht="12.75" customHeight="1">
      <c r="A783" s="1184"/>
      <c r="B783" s="1184"/>
      <c r="C783" s="1184"/>
      <c r="D783" s="1184"/>
      <c r="E783" s="1184"/>
      <c r="F783" s="1184"/>
      <c r="G783" s="1184"/>
      <c r="H783" s="1184"/>
      <c r="I783" s="1184"/>
      <c r="J783" s="1184"/>
      <c r="K783" s="1184"/>
      <c r="L783" s="1184"/>
      <c r="M783" s="1184"/>
      <c r="N783" s="1184"/>
      <c r="O783" s="1184"/>
      <c r="P783" s="1163"/>
      <c r="Q783" s="1163"/>
      <c r="R783" s="1163"/>
      <c r="S783" s="1163"/>
      <c r="T783" s="1163"/>
      <c r="U783" s="1163"/>
      <c r="V783" s="1163"/>
      <c r="W783" s="1163"/>
      <c r="X783" s="1163"/>
      <c r="Y783" s="1163"/>
    </row>
    <row r="784" ht="12.75" customHeight="1">
      <c r="A784" s="1184"/>
      <c r="B784" s="1184"/>
      <c r="C784" s="1184"/>
      <c r="D784" s="1184"/>
      <c r="E784" s="1184"/>
      <c r="F784" s="1184"/>
      <c r="G784" s="1184"/>
      <c r="H784" s="1184"/>
      <c r="I784" s="1184"/>
      <c r="J784" s="1184"/>
      <c r="K784" s="1184"/>
      <c r="L784" s="1184"/>
      <c r="M784" s="1184"/>
      <c r="N784" s="1184"/>
      <c r="O784" s="1184"/>
      <c r="P784" s="1163"/>
      <c r="Q784" s="1163"/>
      <c r="R784" s="1163"/>
      <c r="S784" s="1163"/>
      <c r="T784" s="1163"/>
      <c r="U784" s="1163"/>
      <c r="V784" s="1163"/>
      <c r="W784" s="1163"/>
      <c r="X784" s="1163"/>
      <c r="Y784" s="1163"/>
    </row>
    <row r="785" ht="12.75" customHeight="1">
      <c r="A785" s="1184"/>
      <c r="B785" s="1184"/>
      <c r="C785" s="1184"/>
      <c r="D785" s="1184"/>
      <c r="E785" s="1184"/>
      <c r="F785" s="1184"/>
      <c r="G785" s="1184"/>
      <c r="H785" s="1184"/>
      <c r="I785" s="1184"/>
      <c r="J785" s="1184"/>
      <c r="K785" s="1184"/>
      <c r="L785" s="1184"/>
      <c r="M785" s="1184"/>
      <c r="N785" s="1184"/>
      <c r="O785" s="1184"/>
      <c r="P785" s="1163"/>
      <c r="Q785" s="1163"/>
      <c r="R785" s="1163"/>
      <c r="S785" s="1163"/>
      <c r="T785" s="1163"/>
      <c r="U785" s="1163"/>
      <c r="V785" s="1163"/>
      <c r="W785" s="1163"/>
      <c r="X785" s="1163"/>
      <c r="Y785" s="1163"/>
    </row>
    <row r="786" ht="12.75" customHeight="1">
      <c r="A786" s="1184"/>
      <c r="B786" s="1184"/>
      <c r="C786" s="1184"/>
      <c r="D786" s="1184"/>
      <c r="E786" s="1184"/>
      <c r="F786" s="1184"/>
      <c r="G786" s="1184"/>
      <c r="H786" s="1184"/>
      <c r="I786" s="1184"/>
      <c r="J786" s="1184"/>
      <c r="K786" s="1184"/>
      <c r="L786" s="1184"/>
      <c r="M786" s="1184"/>
      <c r="N786" s="1184"/>
      <c r="O786" s="1184"/>
      <c r="P786" s="1163"/>
      <c r="Q786" s="1163"/>
      <c r="R786" s="1163"/>
      <c r="S786" s="1163"/>
      <c r="T786" s="1163"/>
      <c r="U786" s="1163"/>
      <c r="V786" s="1163"/>
      <c r="W786" s="1163"/>
      <c r="X786" s="1163"/>
      <c r="Y786" s="1163"/>
    </row>
    <row r="787" ht="12.75" customHeight="1">
      <c r="A787" s="1184"/>
      <c r="B787" s="1184"/>
      <c r="C787" s="1184"/>
      <c r="D787" s="1184"/>
      <c r="E787" s="1184"/>
      <c r="F787" s="1184"/>
      <c r="G787" s="1184"/>
      <c r="H787" s="1184"/>
      <c r="I787" s="1184"/>
      <c r="J787" s="1184"/>
      <c r="K787" s="1184"/>
      <c r="L787" s="1184"/>
      <c r="M787" s="1184"/>
      <c r="N787" s="1184"/>
      <c r="O787" s="1184"/>
      <c r="P787" s="1163"/>
      <c r="Q787" s="1163"/>
      <c r="R787" s="1163"/>
      <c r="S787" s="1163"/>
      <c r="T787" s="1163"/>
      <c r="U787" s="1163"/>
      <c r="V787" s="1163"/>
      <c r="W787" s="1163"/>
      <c r="X787" s="1163"/>
      <c r="Y787" s="1163"/>
    </row>
    <row r="788" ht="12.75" customHeight="1">
      <c r="A788" s="1184"/>
      <c r="B788" s="1184"/>
      <c r="C788" s="1184"/>
      <c r="D788" s="1184"/>
      <c r="E788" s="1184"/>
      <c r="F788" s="1184"/>
      <c r="G788" s="1184"/>
      <c r="H788" s="1184"/>
      <c r="I788" s="1184"/>
      <c r="J788" s="1184"/>
      <c r="K788" s="1184"/>
      <c r="L788" s="1184"/>
      <c r="M788" s="1184"/>
      <c r="N788" s="1184"/>
      <c r="O788" s="1184"/>
      <c r="P788" s="1163"/>
      <c r="Q788" s="1163"/>
      <c r="R788" s="1163"/>
      <c r="S788" s="1163"/>
      <c r="T788" s="1163"/>
      <c r="U788" s="1163"/>
      <c r="V788" s="1163"/>
      <c r="W788" s="1163"/>
      <c r="X788" s="1163"/>
      <c r="Y788" s="1163"/>
    </row>
    <row r="789" ht="12.75" customHeight="1">
      <c r="A789" s="1184"/>
      <c r="B789" s="1184"/>
      <c r="C789" s="1184"/>
      <c r="D789" s="1184"/>
      <c r="E789" s="1184"/>
      <c r="F789" s="1184"/>
      <c r="G789" s="1184"/>
      <c r="H789" s="1184"/>
      <c r="I789" s="1184"/>
      <c r="J789" s="1184"/>
      <c r="K789" s="1184"/>
      <c r="L789" s="1184"/>
      <c r="M789" s="1184"/>
      <c r="N789" s="1184"/>
      <c r="O789" s="1184"/>
      <c r="P789" s="1163"/>
      <c r="Q789" s="1163"/>
      <c r="R789" s="1163"/>
      <c r="S789" s="1163"/>
      <c r="T789" s="1163"/>
      <c r="U789" s="1163"/>
      <c r="V789" s="1163"/>
      <c r="W789" s="1163"/>
      <c r="X789" s="1163"/>
      <c r="Y789" s="1163"/>
    </row>
    <row r="790" ht="12.75" customHeight="1">
      <c r="A790" s="1184"/>
      <c r="B790" s="1184"/>
      <c r="C790" s="1184"/>
      <c r="D790" s="1184"/>
      <c r="E790" s="1184"/>
      <c r="F790" s="1184"/>
      <c r="G790" s="1184"/>
      <c r="H790" s="1184"/>
      <c r="I790" s="1184"/>
      <c r="J790" s="1184"/>
      <c r="K790" s="1184"/>
      <c r="L790" s="1184"/>
      <c r="M790" s="1184"/>
      <c r="N790" s="1184"/>
      <c r="O790" s="1184"/>
      <c r="P790" s="1163"/>
      <c r="Q790" s="1163"/>
      <c r="R790" s="1163"/>
      <c r="S790" s="1163"/>
      <c r="T790" s="1163"/>
      <c r="U790" s="1163"/>
      <c r="V790" s="1163"/>
      <c r="W790" s="1163"/>
      <c r="X790" s="1163"/>
      <c r="Y790" s="1163"/>
    </row>
    <row r="791" ht="12.75" customHeight="1">
      <c r="A791" s="1184"/>
      <c r="B791" s="1184"/>
      <c r="C791" s="1184"/>
      <c r="D791" s="1184"/>
      <c r="E791" s="1184"/>
      <c r="F791" s="1184"/>
      <c r="G791" s="1184"/>
      <c r="H791" s="1184"/>
      <c r="I791" s="1184"/>
      <c r="J791" s="1184"/>
      <c r="K791" s="1184"/>
      <c r="L791" s="1184"/>
      <c r="M791" s="1184"/>
      <c r="N791" s="1184"/>
      <c r="O791" s="1184"/>
      <c r="P791" s="1163"/>
      <c r="Q791" s="1163"/>
      <c r="R791" s="1163"/>
      <c r="S791" s="1163"/>
      <c r="T791" s="1163"/>
      <c r="U791" s="1163"/>
      <c r="V791" s="1163"/>
      <c r="W791" s="1163"/>
      <c r="X791" s="1163"/>
      <c r="Y791" s="1163"/>
    </row>
    <row r="792" ht="12.75" customHeight="1">
      <c r="A792" s="1184"/>
      <c r="B792" s="1184"/>
      <c r="C792" s="1184"/>
      <c r="D792" s="1184"/>
      <c r="E792" s="1184"/>
      <c r="F792" s="1184"/>
      <c r="G792" s="1184"/>
      <c r="H792" s="1184"/>
      <c r="I792" s="1184"/>
      <c r="J792" s="1184"/>
      <c r="K792" s="1184"/>
      <c r="L792" s="1184"/>
      <c r="M792" s="1184"/>
      <c r="N792" s="1184"/>
      <c r="O792" s="1184"/>
      <c r="P792" s="1163"/>
      <c r="Q792" s="1163"/>
      <c r="R792" s="1163"/>
      <c r="S792" s="1163"/>
      <c r="T792" s="1163"/>
      <c r="U792" s="1163"/>
      <c r="V792" s="1163"/>
      <c r="W792" s="1163"/>
      <c r="X792" s="1163"/>
      <c r="Y792" s="1163"/>
    </row>
    <row r="793" ht="12.75" customHeight="1">
      <c r="A793" s="1184"/>
      <c r="B793" s="1184"/>
      <c r="C793" s="1184"/>
      <c r="D793" s="1184"/>
      <c r="E793" s="1184"/>
      <c r="F793" s="1184"/>
      <c r="G793" s="1184"/>
      <c r="H793" s="1184"/>
      <c r="I793" s="1184"/>
      <c r="J793" s="1184"/>
      <c r="K793" s="1184"/>
      <c r="L793" s="1184"/>
      <c r="M793" s="1184"/>
      <c r="N793" s="1184"/>
      <c r="O793" s="1184"/>
      <c r="P793" s="1163"/>
      <c r="Q793" s="1163"/>
      <c r="R793" s="1163"/>
      <c r="S793" s="1163"/>
      <c r="T793" s="1163"/>
      <c r="U793" s="1163"/>
      <c r="V793" s="1163"/>
      <c r="W793" s="1163"/>
      <c r="X793" s="1163"/>
      <c r="Y793" s="1163"/>
    </row>
    <row r="794" ht="12.75" customHeight="1">
      <c r="A794" s="1184"/>
      <c r="B794" s="1184"/>
      <c r="C794" s="1184"/>
      <c r="D794" s="1184"/>
      <c r="E794" s="1184"/>
      <c r="F794" s="1184"/>
      <c r="G794" s="1184"/>
      <c r="H794" s="1184"/>
      <c r="I794" s="1184"/>
      <c r="J794" s="1184"/>
      <c r="K794" s="1184"/>
      <c r="L794" s="1184"/>
      <c r="M794" s="1184"/>
      <c r="N794" s="1184"/>
      <c r="O794" s="1184"/>
      <c r="P794" s="1163"/>
      <c r="Q794" s="1163"/>
      <c r="R794" s="1163"/>
      <c r="S794" s="1163"/>
      <c r="T794" s="1163"/>
      <c r="U794" s="1163"/>
      <c r="V794" s="1163"/>
      <c r="W794" s="1163"/>
      <c r="X794" s="1163"/>
      <c r="Y794" s="1163"/>
    </row>
    <row r="795" ht="12.75" customHeight="1">
      <c r="A795" s="1184"/>
      <c r="B795" s="1184"/>
      <c r="C795" s="1184"/>
      <c r="D795" s="1184"/>
      <c r="E795" s="1184"/>
      <c r="F795" s="1184"/>
      <c r="G795" s="1184"/>
      <c r="H795" s="1184"/>
      <c r="I795" s="1184"/>
      <c r="J795" s="1184"/>
      <c r="K795" s="1184"/>
      <c r="L795" s="1184"/>
      <c r="M795" s="1184"/>
      <c r="N795" s="1184"/>
      <c r="O795" s="1184"/>
      <c r="P795" s="1163"/>
      <c r="Q795" s="1163"/>
      <c r="R795" s="1163"/>
      <c r="S795" s="1163"/>
      <c r="T795" s="1163"/>
      <c r="U795" s="1163"/>
      <c r="V795" s="1163"/>
      <c r="W795" s="1163"/>
      <c r="X795" s="1163"/>
      <c r="Y795" s="1163"/>
    </row>
    <row r="796" ht="12.75" customHeight="1">
      <c r="A796" s="1184"/>
      <c r="B796" s="1184"/>
      <c r="C796" s="1184"/>
      <c r="D796" s="1184"/>
      <c r="E796" s="1184"/>
      <c r="F796" s="1184"/>
      <c r="G796" s="1184"/>
      <c r="H796" s="1184"/>
      <c r="I796" s="1184"/>
      <c r="J796" s="1184"/>
      <c r="K796" s="1184"/>
      <c r="L796" s="1184"/>
      <c r="M796" s="1184"/>
      <c r="N796" s="1184"/>
      <c r="O796" s="1184"/>
      <c r="P796" s="1163"/>
      <c r="Q796" s="1163"/>
      <c r="R796" s="1163"/>
      <c r="S796" s="1163"/>
      <c r="T796" s="1163"/>
      <c r="U796" s="1163"/>
      <c r="V796" s="1163"/>
      <c r="W796" s="1163"/>
      <c r="X796" s="1163"/>
      <c r="Y796" s="1163"/>
    </row>
    <row r="797" ht="12.75" customHeight="1">
      <c r="A797" s="1184"/>
      <c r="B797" s="1184"/>
      <c r="C797" s="1184"/>
      <c r="D797" s="1184"/>
      <c r="E797" s="1184"/>
      <c r="F797" s="1184"/>
      <c r="G797" s="1184"/>
      <c r="H797" s="1184"/>
      <c r="I797" s="1184"/>
      <c r="J797" s="1184"/>
      <c r="K797" s="1184"/>
      <c r="L797" s="1184"/>
      <c r="M797" s="1184"/>
      <c r="N797" s="1184"/>
      <c r="O797" s="1184"/>
      <c r="P797" s="1163"/>
      <c r="Q797" s="1163"/>
      <c r="R797" s="1163"/>
      <c r="S797" s="1163"/>
      <c r="T797" s="1163"/>
      <c r="U797" s="1163"/>
      <c r="V797" s="1163"/>
      <c r="W797" s="1163"/>
      <c r="X797" s="1163"/>
      <c r="Y797" s="1163"/>
    </row>
    <row r="798" ht="12.75" customHeight="1">
      <c r="A798" s="1184"/>
      <c r="B798" s="1184"/>
      <c r="C798" s="1184"/>
      <c r="D798" s="1184"/>
      <c r="E798" s="1184"/>
      <c r="F798" s="1184"/>
      <c r="G798" s="1184"/>
      <c r="H798" s="1184"/>
      <c r="I798" s="1184"/>
      <c r="J798" s="1184"/>
      <c r="K798" s="1184"/>
      <c r="L798" s="1184"/>
      <c r="M798" s="1184"/>
      <c r="N798" s="1184"/>
      <c r="O798" s="1184"/>
      <c r="P798" s="1163"/>
      <c r="Q798" s="1163"/>
      <c r="R798" s="1163"/>
      <c r="S798" s="1163"/>
      <c r="T798" s="1163"/>
      <c r="U798" s="1163"/>
      <c r="V798" s="1163"/>
      <c r="W798" s="1163"/>
      <c r="X798" s="1163"/>
      <c r="Y798" s="1163"/>
    </row>
    <row r="799" ht="12.75" customHeight="1">
      <c r="A799" s="1184"/>
      <c r="B799" s="1184"/>
      <c r="C799" s="1184"/>
      <c r="D799" s="1184"/>
      <c r="E799" s="1184"/>
      <c r="F799" s="1184"/>
      <c r="G799" s="1184"/>
      <c r="H799" s="1184"/>
      <c r="I799" s="1184"/>
      <c r="J799" s="1184"/>
      <c r="K799" s="1184"/>
      <c r="L799" s="1184"/>
      <c r="M799" s="1184"/>
      <c r="N799" s="1184"/>
      <c r="O799" s="1184"/>
      <c r="P799" s="1163"/>
      <c r="Q799" s="1163"/>
      <c r="R799" s="1163"/>
      <c r="S799" s="1163"/>
      <c r="T799" s="1163"/>
      <c r="U799" s="1163"/>
      <c r="V799" s="1163"/>
      <c r="W799" s="1163"/>
      <c r="X799" s="1163"/>
      <c r="Y799" s="1163"/>
    </row>
    <row r="800" ht="12.75" customHeight="1">
      <c r="A800" s="1184"/>
      <c r="B800" s="1184"/>
      <c r="C800" s="1184"/>
      <c r="D800" s="1184"/>
      <c r="E800" s="1184"/>
      <c r="F800" s="1184"/>
      <c r="G800" s="1184"/>
      <c r="H800" s="1184"/>
      <c r="I800" s="1184"/>
      <c r="J800" s="1184"/>
      <c r="K800" s="1184"/>
      <c r="L800" s="1184"/>
      <c r="M800" s="1184"/>
      <c r="N800" s="1184"/>
      <c r="O800" s="1184"/>
      <c r="P800" s="1163"/>
      <c r="Q800" s="1163"/>
      <c r="R800" s="1163"/>
      <c r="S800" s="1163"/>
      <c r="T800" s="1163"/>
      <c r="U800" s="1163"/>
      <c r="V800" s="1163"/>
      <c r="W800" s="1163"/>
      <c r="X800" s="1163"/>
      <c r="Y800" s="1163"/>
    </row>
    <row r="801" ht="12.75" customHeight="1">
      <c r="A801" s="1184"/>
      <c r="B801" s="1184"/>
      <c r="C801" s="1184"/>
      <c r="D801" s="1184"/>
      <c r="E801" s="1184"/>
      <c r="F801" s="1184"/>
      <c r="G801" s="1184"/>
      <c r="H801" s="1184"/>
      <c r="I801" s="1184"/>
      <c r="J801" s="1184"/>
      <c r="K801" s="1184"/>
      <c r="L801" s="1184"/>
      <c r="M801" s="1184"/>
      <c r="N801" s="1184"/>
      <c r="O801" s="1184"/>
      <c r="P801" s="1163"/>
      <c r="Q801" s="1163"/>
      <c r="R801" s="1163"/>
      <c r="S801" s="1163"/>
      <c r="T801" s="1163"/>
      <c r="U801" s="1163"/>
      <c r="V801" s="1163"/>
      <c r="W801" s="1163"/>
      <c r="X801" s="1163"/>
      <c r="Y801" s="1163"/>
    </row>
    <row r="802" ht="12.75" customHeight="1">
      <c r="A802" s="1184"/>
      <c r="B802" s="1184"/>
      <c r="C802" s="1184"/>
      <c r="D802" s="1184"/>
      <c r="E802" s="1184"/>
      <c r="F802" s="1184"/>
      <c r="G802" s="1184"/>
      <c r="H802" s="1184"/>
      <c r="I802" s="1184"/>
      <c r="J802" s="1184"/>
      <c r="K802" s="1184"/>
      <c r="L802" s="1184"/>
      <c r="M802" s="1184"/>
      <c r="N802" s="1184"/>
      <c r="O802" s="1184"/>
      <c r="P802" s="1163"/>
      <c r="Q802" s="1163"/>
      <c r="R802" s="1163"/>
      <c r="S802" s="1163"/>
      <c r="T802" s="1163"/>
      <c r="U802" s="1163"/>
      <c r="V802" s="1163"/>
      <c r="W802" s="1163"/>
      <c r="X802" s="1163"/>
      <c r="Y802" s="1163"/>
    </row>
    <row r="803" ht="12.75" customHeight="1">
      <c r="A803" s="1184"/>
      <c r="B803" s="1184"/>
      <c r="C803" s="1184"/>
      <c r="D803" s="1184"/>
      <c r="E803" s="1184"/>
      <c r="F803" s="1184"/>
      <c r="G803" s="1184"/>
      <c r="H803" s="1184"/>
      <c r="I803" s="1184"/>
      <c r="J803" s="1184"/>
      <c r="K803" s="1184"/>
      <c r="L803" s="1184"/>
      <c r="M803" s="1184"/>
      <c r="N803" s="1184"/>
      <c r="O803" s="1184"/>
      <c r="P803" s="1163"/>
      <c r="Q803" s="1163"/>
      <c r="R803" s="1163"/>
      <c r="S803" s="1163"/>
      <c r="T803" s="1163"/>
      <c r="U803" s="1163"/>
      <c r="V803" s="1163"/>
      <c r="W803" s="1163"/>
      <c r="X803" s="1163"/>
      <c r="Y803" s="1163"/>
    </row>
    <row r="804" ht="12.75" customHeight="1">
      <c r="A804" s="1184"/>
      <c r="B804" s="1184"/>
      <c r="C804" s="1184"/>
      <c r="D804" s="1184"/>
      <c r="E804" s="1184"/>
      <c r="F804" s="1184"/>
      <c r="G804" s="1184"/>
      <c r="H804" s="1184"/>
      <c r="I804" s="1184"/>
      <c r="J804" s="1184"/>
      <c r="K804" s="1184"/>
      <c r="L804" s="1184"/>
      <c r="M804" s="1184"/>
      <c r="N804" s="1184"/>
      <c r="O804" s="1184"/>
      <c r="P804" s="1163"/>
      <c r="Q804" s="1163"/>
      <c r="R804" s="1163"/>
      <c r="S804" s="1163"/>
      <c r="T804" s="1163"/>
      <c r="U804" s="1163"/>
      <c r="V804" s="1163"/>
      <c r="W804" s="1163"/>
      <c r="X804" s="1163"/>
      <c r="Y804" s="1163"/>
    </row>
    <row r="805" ht="12.75" customHeight="1">
      <c r="A805" s="1184"/>
      <c r="B805" s="1184"/>
      <c r="C805" s="1184"/>
      <c r="D805" s="1184"/>
      <c r="E805" s="1184"/>
      <c r="F805" s="1184"/>
      <c r="G805" s="1184"/>
      <c r="H805" s="1184"/>
      <c r="I805" s="1184"/>
      <c r="J805" s="1184"/>
      <c r="K805" s="1184"/>
      <c r="L805" s="1184"/>
      <c r="M805" s="1184"/>
      <c r="N805" s="1184"/>
      <c r="O805" s="1184"/>
      <c r="P805" s="1163"/>
      <c r="Q805" s="1163"/>
      <c r="R805" s="1163"/>
      <c r="S805" s="1163"/>
      <c r="T805" s="1163"/>
      <c r="U805" s="1163"/>
      <c r="V805" s="1163"/>
      <c r="W805" s="1163"/>
      <c r="X805" s="1163"/>
      <c r="Y805" s="1163"/>
    </row>
    <row r="806" ht="12.75" customHeight="1">
      <c r="A806" s="1184"/>
      <c r="B806" s="1184"/>
      <c r="C806" s="1184"/>
      <c r="D806" s="1184"/>
      <c r="E806" s="1184"/>
      <c r="F806" s="1184"/>
      <c r="G806" s="1184"/>
      <c r="H806" s="1184"/>
      <c r="I806" s="1184"/>
      <c r="J806" s="1184"/>
      <c r="K806" s="1184"/>
      <c r="L806" s="1184"/>
      <c r="M806" s="1184"/>
      <c r="N806" s="1184"/>
      <c r="O806" s="1184"/>
      <c r="P806" s="1163"/>
      <c r="Q806" s="1163"/>
      <c r="R806" s="1163"/>
      <c r="S806" s="1163"/>
      <c r="T806" s="1163"/>
      <c r="U806" s="1163"/>
      <c r="V806" s="1163"/>
      <c r="W806" s="1163"/>
      <c r="X806" s="1163"/>
      <c r="Y806" s="1163"/>
    </row>
    <row r="807" ht="12.75" customHeight="1">
      <c r="A807" s="1184"/>
      <c r="B807" s="1184"/>
      <c r="C807" s="1184"/>
      <c r="D807" s="1184"/>
      <c r="E807" s="1184"/>
      <c r="F807" s="1184"/>
      <c r="G807" s="1184"/>
      <c r="H807" s="1184"/>
      <c r="I807" s="1184"/>
      <c r="J807" s="1184"/>
      <c r="K807" s="1184"/>
      <c r="L807" s="1184"/>
      <c r="M807" s="1184"/>
      <c r="N807" s="1184"/>
      <c r="O807" s="1184"/>
      <c r="P807" s="1163"/>
      <c r="Q807" s="1163"/>
      <c r="R807" s="1163"/>
      <c r="S807" s="1163"/>
      <c r="T807" s="1163"/>
      <c r="U807" s="1163"/>
      <c r="V807" s="1163"/>
      <c r="W807" s="1163"/>
      <c r="X807" s="1163"/>
      <c r="Y807" s="1163"/>
    </row>
    <row r="808" ht="12.75" customHeight="1">
      <c r="A808" s="1184"/>
      <c r="B808" s="1184"/>
      <c r="C808" s="1184"/>
      <c r="D808" s="1184"/>
      <c r="E808" s="1184"/>
      <c r="F808" s="1184"/>
      <c r="G808" s="1184"/>
      <c r="H808" s="1184"/>
      <c r="I808" s="1184"/>
      <c r="J808" s="1184"/>
      <c r="K808" s="1184"/>
      <c r="L808" s="1184"/>
      <c r="M808" s="1184"/>
      <c r="N808" s="1184"/>
      <c r="O808" s="1184"/>
      <c r="P808" s="1163"/>
      <c r="Q808" s="1163"/>
      <c r="R808" s="1163"/>
      <c r="S808" s="1163"/>
      <c r="T808" s="1163"/>
      <c r="U808" s="1163"/>
      <c r="V808" s="1163"/>
      <c r="W808" s="1163"/>
      <c r="X808" s="1163"/>
      <c r="Y808" s="1163"/>
    </row>
    <row r="809" ht="12.75" customHeight="1">
      <c r="A809" s="1184"/>
      <c r="B809" s="1184"/>
      <c r="C809" s="1184"/>
      <c r="D809" s="1184"/>
      <c r="E809" s="1184"/>
      <c r="F809" s="1184"/>
      <c r="G809" s="1184"/>
      <c r="H809" s="1184"/>
      <c r="I809" s="1184"/>
      <c r="J809" s="1184"/>
      <c r="K809" s="1184"/>
      <c r="L809" s="1184"/>
      <c r="M809" s="1184"/>
      <c r="N809" s="1184"/>
      <c r="O809" s="1184"/>
      <c r="P809" s="1163"/>
      <c r="Q809" s="1163"/>
      <c r="R809" s="1163"/>
      <c r="S809" s="1163"/>
      <c r="T809" s="1163"/>
      <c r="U809" s="1163"/>
      <c r="V809" s="1163"/>
      <c r="W809" s="1163"/>
      <c r="X809" s="1163"/>
      <c r="Y809" s="1163"/>
    </row>
    <row r="810" ht="12.75" customHeight="1">
      <c r="A810" s="1184"/>
      <c r="B810" s="1184"/>
      <c r="C810" s="1184"/>
      <c r="D810" s="1184"/>
      <c r="E810" s="1184"/>
      <c r="F810" s="1184"/>
      <c r="G810" s="1184"/>
      <c r="H810" s="1184"/>
      <c r="I810" s="1184"/>
      <c r="J810" s="1184"/>
      <c r="K810" s="1184"/>
      <c r="L810" s="1184"/>
      <c r="M810" s="1184"/>
      <c r="N810" s="1184"/>
      <c r="O810" s="1184"/>
      <c r="P810" s="1163"/>
      <c r="Q810" s="1163"/>
      <c r="R810" s="1163"/>
      <c r="S810" s="1163"/>
      <c r="T810" s="1163"/>
      <c r="U810" s="1163"/>
      <c r="V810" s="1163"/>
      <c r="W810" s="1163"/>
      <c r="X810" s="1163"/>
      <c r="Y810" s="1163"/>
    </row>
    <row r="811" ht="12.75" customHeight="1">
      <c r="A811" s="1184"/>
      <c r="B811" s="1184"/>
      <c r="C811" s="1184"/>
      <c r="D811" s="1184"/>
      <c r="E811" s="1184"/>
      <c r="F811" s="1184"/>
      <c r="G811" s="1184"/>
      <c r="H811" s="1184"/>
      <c r="I811" s="1184"/>
      <c r="J811" s="1184"/>
      <c r="K811" s="1184"/>
      <c r="L811" s="1184"/>
      <c r="M811" s="1184"/>
      <c r="N811" s="1184"/>
      <c r="O811" s="1184"/>
      <c r="P811" s="1163"/>
      <c r="Q811" s="1163"/>
      <c r="R811" s="1163"/>
      <c r="S811" s="1163"/>
      <c r="T811" s="1163"/>
      <c r="U811" s="1163"/>
      <c r="V811" s="1163"/>
      <c r="W811" s="1163"/>
      <c r="X811" s="1163"/>
      <c r="Y811" s="1163"/>
    </row>
    <row r="812" ht="12.75" customHeight="1">
      <c r="A812" s="1184"/>
      <c r="B812" s="1184"/>
      <c r="C812" s="1184"/>
      <c r="D812" s="1184"/>
      <c r="E812" s="1184"/>
      <c r="F812" s="1184"/>
      <c r="G812" s="1184"/>
      <c r="H812" s="1184"/>
      <c r="I812" s="1184"/>
      <c r="J812" s="1184"/>
      <c r="K812" s="1184"/>
      <c r="L812" s="1184"/>
      <c r="M812" s="1184"/>
      <c r="N812" s="1184"/>
      <c r="O812" s="1184"/>
      <c r="P812" s="1163"/>
      <c r="Q812" s="1163"/>
      <c r="R812" s="1163"/>
      <c r="S812" s="1163"/>
      <c r="T812" s="1163"/>
      <c r="U812" s="1163"/>
      <c r="V812" s="1163"/>
      <c r="W812" s="1163"/>
      <c r="X812" s="1163"/>
      <c r="Y812" s="1163"/>
    </row>
    <row r="813" ht="12.75" customHeight="1">
      <c r="A813" s="1184"/>
      <c r="B813" s="1184"/>
      <c r="C813" s="1184"/>
      <c r="D813" s="1184"/>
      <c r="E813" s="1184"/>
      <c r="F813" s="1184"/>
      <c r="G813" s="1184"/>
      <c r="H813" s="1184"/>
      <c r="I813" s="1184"/>
      <c r="J813" s="1184"/>
      <c r="K813" s="1184"/>
      <c r="L813" s="1184"/>
      <c r="M813" s="1184"/>
      <c r="N813" s="1184"/>
      <c r="O813" s="1184"/>
      <c r="P813" s="1163"/>
      <c r="Q813" s="1163"/>
      <c r="R813" s="1163"/>
      <c r="S813" s="1163"/>
      <c r="T813" s="1163"/>
      <c r="U813" s="1163"/>
      <c r="V813" s="1163"/>
      <c r="W813" s="1163"/>
      <c r="X813" s="1163"/>
      <c r="Y813" s="1163"/>
    </row>
    <row r="814" ht="12.75" customHeight="1">
      <c r="A814" s="1184"/>
      <c r="B814" s="1184"/>
      <c r="C814" s="1184"/>
      <c r="D814" s="1184"/>
      <c r="E814" s="1184"/>
      <c r="F814" s="1184"/>
      <c r="G814" s="1184"/>
      <c r="H814" s="1184"/>
      <c r="I814" s="1184"/>
      <c r="J814" s="1184"/>
      <c r="K814" s="1184"/>
      <c r="L814" s="1184"/>
      <c r="M814" s="1184"/>
      <c r="N814" s="1184"/>
      <c r="O814" s="1184"/>
      <c r="P814" s="1163"/>
      <c r="Q814" s="1163"/>
      <c r="R814" s="1163"/>
      <c r="S814" s="1163"/>
      <c r="T814" s="1163"/>
      <c r="U814" s="1163"/>
      <c r="V814" s="1163"/>
      <c r="W814" s="1163"/>
      <c r="X814" s="1163"/>
      <c r="Y814" s="1163"/>
    </row>
    <row r="815" ht="12.75" customHeight="1">
      <c r="A815" s="1184"/>
      <c r="B815" s="1184"/>
      <c r="C815" s="1184"/>
      <c r="D815" s="1184"/>
      <c r="E815" s="1184"/>
      <c r="F815" s="1184"/>
      <c r="G815" s="1184"/>
      <c r="H815" s="1184"/>
      <c r="I815" s="1184"/>
      <c r="J815" s="1184"/>
      <c r="K815" s="1184"/>
      <c r="L815" s="1184"/>
      <c r="M815" s="1184"/>
      <c r="N815" s="1184"/>
      <c r="O815" s="1184"/>
      <c r="P815" s="1163"/>
      <c r="Q815" s="1163"/>
      <c r="R815" s="1163"/>
      <c r="S815" s="1163"/>
      <c r="T815" s="1163"/>
      <c r="U815" s="1163"/>
      <c r="V815" s="1163"/>
      <c r="W815" s="1163"/>
      <c r="X815" s="1163"/>
      <c r="Y815" s="1163"/>
    </row>
    <row r="816" ht="12.75" customHeight="1">
      <c r="A816" s="1184"/>
      <c r="B816" s="1184"/>
      <c r="C816" s="1184"/>
      <c r="D816" s="1184"/>
      <c r="E816" s="1184"/>
      <c r="F816" s="1184"/>
      <c r="G816" s="1184"/>
      <c r="H816" s="1184"/>
      <c r="I816" s="1184"/>
      <c r="J816" s="1184"/>
      <c r="K816" s="1184"/>
      <c r="L816" s="1184"/>
      <c r="M816" s="1184"/>
      <c r="N816" s="1184"/>
      <c r="O816" s="1184"/>
      <c r="P816" s="1163"/>
      <c r="Q816" s="1163"/>
      <c r="R816" s="1163"/>
      <c r="S816" s="1163"/>
      <c r="T816" s="1163"/>
      <c r="U816" s="1163"/>
      <c r="V816" s="1163"/>
      <c r="W816" s="1163"/>
      <c r="X816" s="1163"/>
      <c r="Y816" s="1163"/>
    </row>
    <row r="817" ht="12.75" customHeight="1">
      <c r="A817" s="1184"/>
      <c r="B817" s="1184"/>
      <c r="C817" s="1184"/>
      <c r="D817" s="1184"/>
      <c r="E817" s="1184"/>
      <c r="F817" s="1184"/>
      <c r="G817" s="1184"/>
      <c r="H817" s="1184"/>
      <c r="I817" s="1184"/>
      <c r="J817" s="1184"/>
      <c r="K817" s="1184"/>
      <c r="L817" s="1184"/>
      <c r="M817" s="1184"/>
      <c r="N817" s="1184"/>
      <c r="O817" s="1184"/>
      <c r="P817" s="1163"/>
      <c r="Q817" s="1163"/>
      <c r="R817" s="1163"/>
      <c r="S817" s="1163"/>
      <c r="T817" s="1163"/>
      <c r="U817" s="1163"/>
      <c r="V817" s="1163"/>
      <c r="W817" s="1163"/>
      <c r="X817" s="1163"/>
      <c r="Y817" s="1163"/>
    </row>
    <row r="818" ht="12.75" customHeight="1">
      <c r="A818" s="1184"/>
      <c r="B818" s="1184"/>
      <c r="C818" s="1184"/>
      <c r="D818" s="1184"/>
      <c r="E818" s="1184"/>
      <c r="F818" s="1184"/>
      <c r="G818" s="1184"/>
      <c r="H818" s="1184"/>
      <c r="I818" s="1184"/>
      <c r="J818" s="1184"/>
      <c r="K818" s="1184"/>
      <c r="L818" s="1184"/>
      <c r="M818" s="1184"/>
      <c r="N818" s="1184"/>
      <c r="O818" s="1184"/>
      <c r="P818" s="1163"/>
      <c r="Q818" s="1163"/>
      <c r="R818" s="1163"/>
      <c r="S818" s="1163"/>
      <c r="T818" s="1163"/>
      <c r="U818" s="1163"/>
      <c r="V818" s="1163"/>
      <c r="W818" s="1163"/>
      <c r="X818" s="1163"/>
      <c r="Y818" s="1163"/>
    </row>
    <row r="819" ht="12.75" customHeight="1">
      <c r="A819" s="1184"/>
      <c r="B819" s="1184"/>
      <c r="C819" s="1184"/>
      <c r="D819" s="1184"/>
      <c r="E819" s="1184"/>
      <c r="F819" s="1184"/>
      <c r="G819" s="1184"/>
      <c r="H819" s="1184"/>
      <c r="I819" s="1184"/>
      <c r="J819" s="1184"/>
      <c r="K819" s="1184"/>
      <c r="L819" s="1184"/>
      <c r="M819" s="1184"/>
      <c r="N819" s="1184"/>
      <c r="O819" s="1184"/>
      <c r="P819" s="1163"/>
      <c r="Q819" s="1163"/>
      <c r="R819" s="1163"/>
      <c r="S819" s="1163"/>
      <c r="T819" s="1163"/>
      <c r="U819" s="1163"/>
      <c r="V819" s="1163"/>
      <c r="W819" s="1163"/>
      <c r="X819" s="1163"/>
      <c r="Y819" s="1163"/>
    </row>
    <row r="820" ht="12.75" customHeight="1">
      <c r="A820" s="1184"/>
      <c r="B820" s="1184"/>
      <c r="C820" s="1184"/>
      <c r="D820" s="1184"/>
      <c r="E820" s="1184"/>
      <c r="F820" s="1184"/>
      <c r="G820" s="1184"/>
      <c r="H820" s="1184"/>
      <c r="I820" s="1184"/>
      <c r="J820" s="1184"/>
      <c r="K820" s="1184"/>
      <c r="L820" s="1184"/>
      <c r="M820" s="1184"/>
      <c r="N820" s="1184"/>
      <c r="O820" s="1184"/>
      <c r="P820" s="1163"/>
      <c r="Q820" s="1163"/>
      <c r="R820" s="1163"/>
      <c r="S820" s="1163"/>
      <c r="T820" s="1163"/>
      <c r="U820" s="1163"/>
      <c r="V820" s="1163"/>
      <c r="W820" s="1163"/>
      <c r="X820" s="1163"/>
      <c r="Y820" s="1163"/>
    </row>
    <row r="821" ht="12.75" customHeight="1">
      <c r="A821" s="1184"/>
      <c r="B821" s="1184"/>
      <c r="C821" s="1184"/>
      <c r="D821" s="1184"/>
      <c r="E821" s="1184"/>
      <c r="F821" s="1184"/>
      <c r="G821" s="1184"/>
      <c r="H821" s="1184"/>
      <c r="I821" s="1184"/>
      <c r="J821" s="1184"/>
      <c r="K821" s="1184"/>
      <c r="L821" s="1184"/>
      <c r="M821" s="1184"/>
      <c r="N821" s="1184"/>
      <c r="O821" s="1184"/>
      <c r="P821" s="1163"/>
      <c r="Q821" s="1163"/>
      <c r="R821" s="1163"/>
      <c r="S821" s="1163"/>
      <c r="T821" s="1163"/>
      <c r="U821" s="1163"/>
      <c r="V821" s="1163"/>
      <c r="W821" s="1163"/>
      <c r="X821" s="1163"/>
      <c r="Y821" s="1163"/>
    </row>
    <row r="822" ht="12.75" customHeight="1">
      <c r="A822" s="1184"/>
      <c r="B822" s="1184"/>
      <c r="C822" s="1184"/>
      <c r="D822" s="1184"/>
      <c r="E822" s="1184"/>
      <c r="F822" s="1184"/>
      <c r="G822" s="1184"/>
      <c r="H822" s="1184"/>
      <c r="I822" s="1184"/>
      <c r="J822" s="1184"/>
      <c r="K822" s="1184"/>
      <c r="L822" s="1184"/>
      <c r="M822" s="1184"/>
      <c r="N822" s="1184"/>
      <c r="O822" s="1184"/>
      <c r="P822" s="1163"/>
      <c r="Q822" s="1163"/>
      <c r="R822" s="1163"/>
      <c r="S822" s="1163"/>
      <c r="T822" s="1163"/>
      <c r="U822" s="1163"/>
      <c r="V822" s="1163"/>
      <c r="W822" s="1163"/>
      <c r="X822" s="1163"/>
      <c r="Y822" s="1163"/>
    </row>
    <row r="823" ht="12.75" customHeight="1">
      <c r="A823" s="1184"/>
      <c r="B823" s="1184"/>
      <c r="C823" s="1184"/>
      <c r="D823" s="1184"/>
      <c r="E823" s="1184"/>
      <c r="F823" s="1184"/>
      <c r="G823" s="1184"/>
      <c r="H823" s="1184"/>
      <c r="I823" s="1184"/>
      <c r="J823" s="1184"/>
      <c r="K823" s="1184"/>
      <c r="L823" s="1184"/>
      <c r="M823" s="1184"/>
      <c r="N823" s="1184"/>
      <c r="O823" s="1184"/>
      <c r="P823" s="1163"/>
      <c r="Q823" s="1163"/>
      <c r="R823" s="1163"/>
      <c r="S823" s="1163"/>
      <c r="T823" s="1163"/>
      <c r="U823" s="1163"/>
      <c r="V823" s="1163"/>
      <c r="W823" s="1163"/>
      <c r="X823" s="1163"/>
      <c r="Y823" s="1163"/>
    </row>
    <row r="824" ht="12.75" customHeight="1">
      <c r="A824" s="1184"/>
      <c r="B824" s="1184"/>
      <c r="C824" s="1184"/>
      <c r="D824" s="1184"/>
      <c r="E824" s="1184"/>
      <c r="F824" s="1184"/>
      <c r="G824" s="1184"/>
      <c r="H824" s="1184"/>
      <c r="I824" s="1184"/>
      <c r="J824" s="1184"/>
      <c r="K824" s="1184"/>
      <c r="L824" s="1184"/>
      <c r="M824" s="1184"/>
      <c r="N824" s="1184"/>
      <c r="O824" s="1184"/>
      <c r="P824" s="1163"/>
      <c r="Q824" s="1163"/>
      <c r="R824" s="1163"/>
      <c r="S824" s="1163"/>
      <c r="T824" s="1163"/>
      <c r="U824" s="1163"/>
      <c r="V824" s="1163"/>
      <c r="W824" s="1163"/>
      <c r="X824" s="1163"/>
      <c r="Y824" s="1163"/>
    </row>
    <row r="825" ht="12.75" customHeight="1">
      <c r="A825" s="1184"/>
      <c r="B825" s="1184"/>
      <c r="C825" s="1184"/>
      <c r="D825" s="1184"/>
      <c r="E825" s="1184"/>
      <c r="F825" s="1184"/>
      <c r="G825" s="1184"/>
      <c r="H825" s="1184"/>
      <c r="I825" s="1184"/>
      <c r="J825" s="1184"/>
      <c r="K825" s="1184"/>
      <c r="L825" s="1184"/>
      <c r="M825" s="1184"/>
      <c r="N825" s="1184"/>
      <c r="O825" s="1184"/>
      <c r="P825" s="1163"/>
      <c r="Q825" s="1163"/>
      <c r="R825" s="1163"/>
      <c r="S825" s="1163"/>
      <c r="T825" s="1163"/>
      <c r="U825" s="1163"/>
      <c r="V825" s="1163"/>
      <c r="W825" s="1163"/>
      <c r="X825" s="1163"/>
      <c r="Y825" s="1163"/>
    </row>
    <row r="826" ht="12.75" customHeight="1">
      <c r="A826" s="1184"/>
      <c r="B826" s="1184"/>
      <c r="C826" s="1184"/>
      <c r="D826" s="1184"/>
      <c r="E826" s="1184"/>
      <c r="F826" s="1184"/>
      <c r="G826" s="1184"/>
      <c r="H826" s="1184"/>
      <c r="I826" s="1184"/>
      <c r="J826" s="1184"/>
      <c r="K826" s="1184"/>
      <c r="L826" s="1184"/>
      <c r="M826" s="1184"/>
      <c r="N826" s="1184"/>
      <c r="O826" s="1184"/>
      <c r="P826" s="1163"/>
      <c r="Q826" s="1163"/>
      <c r="R826" s="1163"/>
      <c r="S826" s="1163"/>
      <c r="T826" s="1163"/>
      <c r="U826" s="1163"/>
      <c r="V826" s="1163"/>
      <c r="W826" s="1163"/>
      <c r="X826" s="1163"/>
      <c r="Y826" s="1163"/>
    </row>
    <row r="827" ht="12.75" customHeight="1">
      <c r="A827" s="1184"/>
      <c r="B827" s="1184"/>
      <c r="C827" s="1184"/>
      <c r="D827" s="1184"/>
      <c r="E827" s="1184"/>
      <c r="F827" s="1184"/>
      <c r="G827" s="1184"/>
      <c r="H827" s="1184"/>
      <c r="I827" s="1184"/>
      <c r="J827" s="1184"/>
      <c r="K827" s="1184"/>
      <c r="L827" s="1184"/>
      <c r="M827" s="1184"/>
      <c r="N827" s="1184"/>
      <c r="O827" s="1184"/>
      <c r="P827" s="1163"/>
      <c r="Q827" s="1163"/>
      <c r="R827" s="1163"/>
      <c r="S827" s="1163"/>
      <c r="T827" s="1163"/>
      <c r="U827" s="1163"/>
      <c r="V827" s="1163"/>
      <c r="W827" s="1163"/>
      <c r="X827" s="1163"/>
      <c r="Y827" s="1163"/>
    </row>
    <row r="828" ht="12.75" customHeight="1">
      <c r="A828" s="1184"/>
      <c r="B828" s="1184"/>
      <c r="C828" s="1184"/>
      <c r="D828" s="1184"/>
      <c r="E828" s="1184"/>
      <c r="F828" s="1184"/>
      <c r="G828" s="1184"/>
      <c r="H828" s="1184"/>
      <c r="I828" s="1184"/>
      <c r="J828" s="1184"/>
      <c r="K828" s="1184"/>
      <c r="L828" s="1184"/>
      <c r="M828" s="1184"/>
      <c r="N828" s="1184"/>
      <c r="O828" s="1184"/>
      <c r="P828" s="1163"/>
      <c r="Q828" s="1163"/>
      <c r="R828" s="1163"/>
      <c r="S828" s="1163"/>
      <c r="T828" s="1163"/>
      <c r="U828" s="1163"/>
      <c r="V828" s="1163"/>
      <c r="W828" s="1163"/>
      <c r="X828" s="1163"/>
      <c r="Y828" s="1163"/>
    </row>
    <row r="829" ht="12.75" customHeight="1">
      <c r="A829" s="1184"/>
      <c r="B829" s="1184"/>
      <c r="C829" s="1184"/>
      <c r="D829" s="1184"/>
      <c r="E829" s="1184"/>
      <c r="F829" s="1184"/>
      <c r="G829" s="1184"/>
      <c r="H829" s="1184"/>
      <c r="I829" s="1184"/>
      <c r="J829" s="1184"/>
      <c r="K829" s="1184"/>
      <c r="L829" s="1184"/>
      <c r="M829" s="1184"/>
      <c r="N829" s="1184"/>
      <c r="O829" s="1184"/>
      <c r="P829" s="1163"/>
      <c r="Q829" s="1163"/>
      <c r="R829" s="1163"/>
      <c r="S829" s="1163"/>
      <c r="T829" s="1163"/>
      <c r="U829" s="1163"/>
      <c r="V829" s="1163"/>
      <c r="W829" s="1163"/>
      <c r="X829" s="1163"/>
      <c r="Y829" s="1163"/>
    </row>
    <row r="830" ht="12.75" customHeight="1">
      <c r="A830" s="1184"/>
      <c r="B830" s="1184"/>
      <c r="C830" s="1184"/>
      <c r="D830" s="1184"/>
      <c r="E830" s="1184"/>
      <c r="F830" s="1184"/>
      <c r="G830" s="1184"/>
      <c r="H830" s="1184"/>
      <c r="I830" s="1184"/>
      <c r="J830" s="1184"/>
      <c r="K830" s="1184"/>
      <c r="L830" s="1184"/>
      <c r="M830" s="1184"/>
      <c r="N830" s="1184"/>
      <c r="O830" s="1184"/>
      <c r="P830" s="1163"/>
      <c r="Q830" s="1163"/>
      <c r="R830" s="1163"/>
      <c r="S830" s="1163"/>
      <c r="T830" s="1163"/>
      <c r="U830" s="1163"/>
      <c r="V830" s="1163"/>
      <c r="W830" s="1163"/>
      <c r="X830" s="1163"/>
      <c r="Y830" s="1163"/>
    </row>
    <row r="831" ht="12.75" customHeight="1">
      <c r="A831" s="1184"/>
      <c r="B831" s="1184"/>
      <c r="C831" s="1184"/>
      <c r="D831" s="1184"/>
      <c r="E831" s="1184"/>
      <c r="F831" s="1184"/>
      <c r="G831" s="1184"/>
      <c r="H831" s="1184"/>
      <c r="I831" s="1184"/>
      <c r="J831" s="1184"/>
      <c r="K831" s="1184"/>
      <c r="L831" s="1184"/>
      <c r="M831" s="1184"/>
      <c r="N831" s="1184"/>
      <c r="O831" s="1184"/>
      <c r="P831" s="1163"/>
      <c r="Q831" s="1163"/>
      <c r="R831" s="1163"/>
      <c r="S831" s="1163"/>
      <c r="T831" s="1163"/>
      <c r="U831" s="1163"/>
      <c r="V831" s="1163"/>
      <c r="W831" s="1163"/>
      <c r="X831" s="1163"/>
      <c r="Y831" s="1163"/>
    </row>
    <row r="832" ht="12.75" customHeight="1">
      <c r="A832" s="1184"/>
      <c r="B832" s="1184"/>
      <c r="C832" s="1184"/>
      <c r="D832" s="1184"/>
      <c r="E832" s="1184"/>
      <c r="F832" s="1184"/>
      <c r="G832" s="1184"/>
      <c r="H832" s="1184"/>
      <c r="I832" s="1184"/>
      <c r="J832" s="1184"/>
      <c r="K832" s="1184"/>
      <c r="L832" s="1184"/>
      <c r="M832" s="1184"/>
      <c r="N832" s="1184"/>
      <c r="O832" s="1184"/>
      <c r="P832" s="1163"/>
      <c r="Q832" s="1163"/>
      <c r="R832" s="1163"/>
      <c r="S832" s="1163"/>
      <c r="T832" s="1163"/>
      <c r="U832" s="1163"/>
      <c r="V832" s="1163"/>
      <c r="W832" s="1163"/>
      <c r="X832" s="1163"/>
      <c r="Y832" s="1163"/>
    </row>
    <row r="833" ht="12.75" customHeight="1">
      <c r="A833" s="1184"/>
      <c r="B833" s="1184"/>
      <c r="C833" s="1184"/>
      <c r="D833" s="1184"/>
      <c r="E833" s="1184"/>
      <c r="F833" s="1184"/>
      <c r="G833" s="1184"/>
      <c r="H833" s="1184"/>
      <c r="I833" s="1184"/>
      <c r="J833" s="1184"/>
      <c r="K833" s="1184"/>
      <c r="L833" s="1184"/>
      <c r="M833" s="1184"/>
      <c r="N833" s="1184"/>
      <c r="O833" s="1184"/>
      <c r="P833" s="1163"/>
      <c r="Q833" s="1163"/>
      <c r="R833" s="1163"/>
      <c r="S833" s="1163"/>
      <c r="T833" s="1163"/>
      <c r="U833" s="1163"/>
      <c r="V833" s="1163"/>
      <c r="W833" s="1163"/>
      <c r="X833" s="1163"/>
      <c r="Y833" s="1163"/>
    </row>
    <row r="834" ht="12.75" customHeight="1">
      <c r="A834" s="1184"/>
      <c r="B834" s="1184"/>
      <c r="C834" s="1184"/>
      <c r="D834" s="1184"/>
      <c r="E834" s="1184"/>
      <c r="F834" s="1184"/>
      <c r="G834" s="1184"/>
      <c r="H834" s="1184"/>
      <c r="I834" s="1184"/>
      <c r="J834" s="1184"/>
      <c r="K834" s="1184"/>
      <c r="L834" s="1184"/>
      <c r="M834" s="1184"/>
      <c r="N834" s="1184"/>
      <c r="O834" s="1184"/>
      <c r="P834" s="1163"/>
      <c r="Q834" s="1163"/>
      <c r="R834" s="1163"/>
      <c r="S834" s="1163"/>
      <c r="T834" s="1163"/>
      <c r="U834" s="1163"/>
      <c r="V834" s="1163"/>
      <c r="W834" s="1163"/>
      <c r="X834" s="1163"/>
      <c r="Y834" s="1163"/>
    </row>
    <row r="835" ht="12.75" customHeight="1">
      <c r="A835" s="1184"/>
      <c r="B835" s="1184"/>
      <c r="C835" s="1184"/>
      <c r="D835" s="1184"/>
      <c r="E835" s="1184"/>
      <c r="F835" s="1184"/>
      <c r="G835" s="1184"/>
      <c r="H835" s="1184"/>
      <c r="I835" s="1184"/>
      <c r="J835" s="1184"/>
      <c r="K835" s="1184"/>
      <c r="L835" s="1184"/>
      <c r="M835" s="1184"/>
      <c r="N835" s="1184"/>
      <c r="O835" s="1184"/>
      <c r="P835" s="1163"/>
      <c r="Q835" s="1163"/>
      <c r="R835" s="1163"/>
      <c r="S835" s="1163"/>
      <c r="T835" s="1163"/>
      <c r="U835" s="1163"/>
      <c r="V835" s="1163"/>
      <c r="W835" s="1163"/>
      <c r="X835" s="1163"/>
      <c r="Y835" s="1163"/>
    </row>
    <row r="836" ht="12.75" customHeight="1">
      <c r="A836" s="1184"/>
      <c r="B836" s="1184"/>
      <c r="C836" s="1184"/>
      <c r="D836" s="1184"/>
      <c r="E836" s="1184"/>
      <c r="F836" s="1184"/>
      <c r="G836" s="1184"/>
      <c r="H836" s="1184"/>
      <c r="I836" s="1184"/>
      <c r="J836" s="1184"/>
      <c r="K836" s="1184"/>
      <c r="L836" s="1184"/>
      <c r="M836" s="1184"/>
      <c r="N836" s="1184"/>
      <c r="O836" s="1184"/>
      <c r="P836" s="1163"/>
      <c r="Q836" s="1163"/>
      <c r="R836" s="1163"/>
      <c r="S836" s="1163"/>
      <c r="T836" s="1163"/>
      <c r="U836" s="1163"/>
      <c r="V836" s="1163"/>
      <c r="W836" s="1163"/>
      <c r="X836" s="1163"/>
      <c r="Y836" s="1163"/>
    </row>
    <row r="837" ht="12.75" customHeight="1">
      <c r="A837" s="1184"/>
      <c r="B837" s="1184"/>
      <c r="C837" s="1184"/>
      <c r="D837" s="1184"/>
      <c r="E837" s="1184"/>
      <c r="F837" s="1184"/>
      <c r="G837" s="1184"/>
      <c r="H837" s="1184"/>
      <c r="I837" s="1184"/>
      <c r="J837" s="1184"/>
      <c r="K837" s="1184"/>
      <c r="L837" s="1184"/>
      <c r="M837" s="1184"/>
      <c r="N837" s="1184"/>
      <c r="O837" s="1184"/>
      <c r="P837" s="1163"/>
      <c r="Q837" s="1163"/>
      <c r="R837" s="1163"/>
      <c r="S837" s="1163"/>
      <c r="T837" s="1163"/>
      <c r="U837" s="1163"/>
      <c r="V837" s="1163"/>
      <c r="W837" s="1163"/>
      <c r="X837" s="1163"/>
      <c r="Y837" s="1163"/>
    </row>
    <row r="838" ht="12.75" customHeight="1">
      <c r="A838" s="1184"/>
      <c r="B838" s="1184"/>
      <c r="C838" s="1184"/>
      <c r="D838" s="1184"/>
      <c r="E838" s="1184"/>
      <c r="F838" s="1184"/>
      <c r="G838" s="1184"/>
      <c r="H838" s="1184"/>
      <c r="I838" s="1184"/>
      <c r="J838" s="1184"/>
      <c r="K838" s="1184"/>
      <c r="L838" s="1184"/>
      <c r="M838" s="1184"/>
      <c r="N838" s="1184"/>
      <c r="O838" s="1184"/>
      <c r="P838" s="1163"/>
      <c r="Q838" s="1163"/>
      <c r="R838" s="1163"/>
      <c r="S838" s="1163"/>
      <c r="T838" s="1163"/>
      <c r="U838" s="1163"/>
      <c r="V838" s="1163"/>
      <c r="W838" s="1163"/>
      <c r="X838" s="1163"/>
      <c r="Y838" s="1163"/>
    </row>
    <row r="839" ht="12.75" customHeight="1">
      <c r="A839" s="1184"/>
      <c r="B839" s="1184"/>
      <c r="C839" s="1184"/>
      <c r="D839" s="1184"/>
      <c r="E839" s="1184"/>
      <c r="F839" s="1184"/>
      <c r="G839" s="1184"/>
      <c r="H839" s="1184"/>
      <c r="I839" s="1184"/>
      <c r="J839" s="1184"/>
      <c r="K839" s="1184"/>
      <c r="L839" s="1184"/>
      <c r="M839" s="1184"/>
      <c r="N839" s="1184"/>
      <c r="O839" s="1184"/>
      <c r="P839" s="1163"/>
      <c r="Q839" s="1163"/>
      <c r="R839" s="1163"/>
      <c r="S839" s="1163"/>
      <c r="T839" s="1163"/>
      <c r="U839" s="1163"/>
      <c r="V839" s="1163"/>
      <c r="W839" s="1163"/>
      <c r="X839" s="1163"/>
      <c r="Y839" s="1163"/>
    </row>
    <row r="840" ht="12.75" customHeight="1">
      <c r="A840" s="1184"/>
      <c r="B840" s="1184"/>
      <c r="C840" s="1184"/>
      <c r="D840" s="1184"/>
      <c r="E840" s="1184"/>
      <c r="F840" s="1184"/>
      <c r="G840" s="1184"/>
      <c r="H840" s="1184"/>
      <c r="I840" s="1184"/>
      <c r="J840" s="1184"/>
      <c r="K840" s="1184"/>
      <c r="L840" s="1184"/>
      <c r="M840" s="1184"/>
      <c r="N840" s="1184"/>
      <c r="O840" s="1184"/>
      <c r="P840" s="1163"/>
      <c r="Q840" s="1163"/>
      <c r="R840" s="1163"/>
      <c r="S840" s="1163"/>
      <c r="T840" s="1163"/>
      <c r="U840" s="1163"/>
      <c r="V840" s="1163"/>
      <c r="W840" s="1163"/>
      <c r="X840" s="1163"/>
      <c r="Y840" s="1163"/>
    </row>
    <row r="841" ht="12.75" customHeight="1">
      <c r="A841" s="1184"/>
      <c r="B841" s="1184"/>
      <c r="C841" s="1184"/>
      <c r="D841" s="1184"/>
      <c r="E841" s="1184"/>
      <c r="F841" s="1184"/>
      <c r="G841" s="1184"/>
      <c r="H841" s="1184"/>
      <c r="I841" s="1184"/>
      <c r="J841" s="1184"/>
      <c r="K841" s="1184"/>
      <c r="L841" s="1184"/>
      <c r="M841" s="1184"/>
      <c r="N841" s="1184"/>
      <c r="O841" s="1184"/>
      <c r="P841" s="1163"/>
      <c r="Q841" s="1163"/>
      <c r="R841" s="1163"/>
      <c r="S841" s="1163"/>
      <c r="T841" s="1163"/>
      <c r="U841" s="1163"/>
      <c r="V841" s="1163"/>
      <c r="W841" s="1163"/>
      <c r="X841" s="1163"/>
      <c r="Y841" s="1163"/>
    </row>
    <row r="842" ht="12.75" customHeight="1">
      <c r="A842" s="1184"/>
      <c r="B842" s="1184"/>
      <c r="C842" s="1184"/>
      <c r="D842" s="1184"/>
      <c r="E842" s="1184"/>
      <c r="F842" s="1184"/>
      <c r="G842" s="1184"/>
      <c r="H842" s="1184"/>
      <c r="I842" s="1184"/>
      <c r="J842" s="1184"/>
      <c r="K842" s="1184"/>
      <c r="L842" s="1184"/>
      <c r="M842" s="1184"/>
      <c r="N842" s="1184"/>
      <c r="O842" s="1184"/>
      <c r="P842" s="1163"/>
      <c r="Q842" s="1163"/>
      <c r="R842" s="1163"/>
      <c r="S842" s="1163"/>
      <c r="T842" s="1163"/>
      <c r="U842" s="1163"/>
      <c r="V842" s="1163"/>
      <c r="W842" s="1163"/>
      <c r="X842" s="1163"/>
      <c r="Y842" s="1163"/>
    </row>
    <row r="843" ht="12.75" customHeight="1">
      <c r="A843" s="1184"/>
      <c r="B843" s="1184"/>
      <c r="C843" s="1184"/>
      <c r="D843" s="1184"/>
      <c r="E843" s="1184"/>
      <c r="F843" s="1184"/>
      <c r="G843" s="1184"/>
      <c r="H843" s="1184"/>
      <c r="I843" s="1184"/>
      <c r="J843" s="1184"/>
      <c r="K843" s="1184"/>
      <c r="L843" s="1184"/>
      <c r="M843" s="1184"/>
      <c r="N843" s="1184"/>
      <c r="O843" s="1184"/>
      <c r="P843" s="1163"/>
      <c r="Q843" s="1163"/>
      <c r="R843" s="1163"/>
      <c r="S843" s="1163"/>
      <c r="T843" s="1163"/>
      <c r="U843" s="1163"/>
      <c r="V843" s="1163"/>
      <c r="W843" s="1163"/>
      <c r="X843" s="1163"/>
      <c r="Y843" s="1163"/>
    </row>
    <row r="844" ht="12.75" customHeight="1">
      <c r="A844" s="1184"/>
      <c r="B844" s="1184"/>
      <c r="C844" s="1184"/>
      <c r="D844" s="1184"/>
      <c r="E844" s="1184"/>
      <c r="F844" s="1184"/>
      <c r="G844" s="1184"/>
      <c r="H844" s="1184"/>
      <c r="I844" s="1184"/>
      <c r="J844" s="1184"/>
      <c r="K844" s="1184"/>
      <c r="L844" s="1184"/>
      <c r="M844" s="1184"/>
      <c r="N844" s="1184"/>
      <c r="O844" s="1184"/>
      <c r="P844" s="1163"/>
      <c r="Q844" s="1163"/>
      <c r="R844" s="1163"/>
      <c r="S844" s="1163"/>
      <c r="T844" s="1163"/>
      <c r="U844" s="1163"/>
      <c r="V844" s="1163"/>
      <c r="W844" s="1163"/>
      <c r="X844" s="1163"/>
      <c r="Y844" s="1163"/>
    </row>
    <row r="845" ht="12.75" customHeight="1">
      <c r="A845" s="1184"/>
      <c r="B845" s="1184"/>
      <c r="C845" s="1184"/>
      <c r="D845" s="1184"/>
      <c r="E845" s="1184"/>
      <c r="F845" s="1184"/>
      <c r="G845" s="1184"/>
      <c r="H845" s="1184"/>
      <c r="I845" s="1184"/>
      <c r="J845" s="1184"/>
      <c r="K845" s="1184"/>
      <c r="L845" s="1184"/>
      <c r="M845" s="1184"/>
      <c r="N845" s="1184"/>
      <c r="O845" s="1184"/>
      <c r="P845" s="1163"/>
      <c r="Q845" s="1163"/>
      <c r="R845" s="1163"/>
      <c r="S845" s="1163"/>
      <c r="T845" s="1163"/>
      <c r="U845" s="1163"/>
      <c r="V845" s="1163"/>
      <c r="W845" s="1163"/>
      <c r="X845" s="1163"/>
      <c r="Y845" s="1163"/>
    </row>
    <row r="846" ht="12.75" customHeight="1">
      <c r="A846" s="1184"/>
      <c r="B846" s="1184"/>
      <c r="C846" s="1184"/>
      <c r="D846" s="1184"/>
      <c r="E846" s="1184"/>
      <c r="F846" s="1184"/>
      <c r="G846" s="1184"/>
      <c r="H846" s="1184"/>
      <c r="I846" s="1184"/>
      <c r="J846" s="1184"/>
      <c r="K846" s="1184"/>
      <c r="L846" s="1184"/>
      <c r="M846" s="1184"/>
      <c r="N846" s="1184"/>
      <c r="O846" s="1184"/>
      <c r="P846" s="1163"/>
      <c r="Q846" s="1163"/>
      <c r="R846" s="1163"/>
      <c r="S846" s="1163"/>
      <c r="T846" s="1163"/>
      <c r="U846" s="1163"/>
      <c r="V846" s="1163"/>
      <c r="W846" s="1163"/>
      <c r="X846" s="1163"/>
      <c r="Y846" s="1163"/>
    </row>
    <row r="847" ht="12.75" customHeight="1">
      <c r="A847" s="1184"/>
      <c r="B847" s="1184"/>
      <c r="C847" s="1184"/>
      <c r="D847" s="1184"/>
      <c r="E847" s="1184"/>
      <c r="F847" s="1184"/>
      <c r="G847" s="1184"/>
      <c r="H847" s="1184"/>
      <c r="I847" s="1184"/>
      <c r="J847" s="1184"/>
      <c r="K847" s="1184"/>
      <c r="L847" s="1184"/>
      <c r="M847" s="1184"/>
      <c r="N847" s="1184"/>
      <c r="O847" s="1184"/>
      <c r="P847" s="1163"/>
      <c r="Q847" s="1163"/>
      <c r="R847" s="1163"/>
      <c r="S847" s="1163"/>
      <c r="T847" s="1163"/>
      <c r="U847" s="1163"/>
      <c r="V847" s="1163"/>
      <c r="W847" s="1163"/>
      <c r="X847" s="1163"/>
      <c r="Y847" s="1163"/>
    </row>
    <row r="848" ht="12.75" customHeight="1">
      <c r="A848" s="1184"/>
      <c r="B848" s="1184"/>
      <c r="C848" s="1184"/>
      <c r="D848" s="1184"/>
      <c r="E848" s="1184"/>
      <c r="F848" s="1184"/>
      <c r="G848" s="1184"/>
      <c r="H848" s="1184"/>
      <c r="I848" s="1184"/>
      <c r="J848" s="1184"/>
      <c r="K848" s="1184"/>
      <c r="L848" s="1184"/>
      <c r="M848" s="1184"/>
      <c r="N848" s="1184"/>
      <c r="O848" s="1184"/>
      <c r="P848" s="1163"/>
      <c r="Q848" s="1163"/>
      <c r="R848" s="1163"/>
      <c r="S848" s="1163"/>
      <c r="T848" s="1163"/>
      <c r="U848" s="1163"/>
      <c r="V848" s="1163"/>
      <c r="W848" s="1163"/>
      <c r="X848" s="1163"/>
      <c r="Y848" s="1163"/>
    </row>
    <row r="849" ht="12.75" customHeight="1">
      <c r="A849" s="1184"/>
      <c r="B849" s="1184"/>
      <c r="C849" s="1184"/>
      <c r="D849" s="1184"/>
      <c r="E849" s="1184"/>
      <c r="F849" s="1184"/>
      <c r="G849" s="1184"/>
      <c r="H849" s="1184"/>
      <c r="I849" s="1184"/>
      <c r="J849" s="1184"/>
      <c r="K849" s="1184"/>
      <c r="L849" s="1184"/>
      <c r="M849" s="1184"/>
      <c r="N849" s="1184"/>
      <c r="O849" s="1184"/>
      <c r="P849" s="1163"/>
      <c r="Q849" s="1163"/>
      <c r="R849" s="1163"/>
      <c r="S849" s="1163"/>
      <c r="T849" s="1163"/>
      <c r="U849" s="1163"/>
      <c r="V849" s="1163"/>
      <c r="W849" s="1163"/>
      <c r="X849" s="1163"/>
      <c r="Y849" s="1163"/>
    </row>
    <row r="850" ht="12.75" customHeight="1">
      <c r="A850" s="1184"/>
      <c r="B850" s="1184"/>
      <c r="C850" s="1184"/>
      <c r="D850" s="1184"/>
      <c r="E850" s="1184"/>
      <c r="F850" s="1184"/>
      <c r="G850" s="1184"/>
      <c r="H850" s="1184"/>
      <c r="I850" s="1184"/>
      <c r="J850" s="1184"/>
      <c r="K850" s="1184"/>
      <c r="L850" s="1184"/>
      <c r="M850" s="1184"/>
      <c r="N850" s="1184"/>
      <c r="O850" s="1184"/>
      <c r="P850" s="1163"/>
      <c r="Q850" s="1163"/>
      <c r="R850" s="1163"/>
      <c r="S850" s="1163"/>
      <c r="T850" s="1163"/>
      <c r="U850" s="1163"/>
      <c r="V850" s="1163"/>
      <c r="W850" s="1163"/>
      <c r="X850" s="1163"/>
      <c r="Y850" s="1163"/>
    </row>
    <row r="851" ht="12.75" customHeight="1">
      <c r="A851" s="1184"/>
      <c r="B851" s="1184"/>
      <c r="C851" s="1184"/>
      <c r="D851" s="1184"/>
      <c r="E851" s="1184"/>
      <c r="F851" s="1184"/>
      <c r="G851" s="1184"/>
      <c r="H851" s="1184"/>
      <c r="I851" s="1184"/>
      <c r="J851" s="1184"/>
      <c r="K851" s="1184"/>
      <c r="L851" s="1184"/>
      <c r="M851" s="1184"/>
      <c r="N851" s="1184"/>
      <c r="O851" s="1184"/>
      <c r="P851" s="1163"/>
      <c r="Q851" s="1163"/>
      <c r="R851" s="1163"/>
      <c r="S851" s="1163"/>
      <c r="T851" s="1163"/>
      <c r="U851" s="1163"/>
      <c r="V851" s="1163"/>
      <c r="W851" s="1163"/>
      <c r="X851" s="1163"/>
      <c r="Y851" s="1163"/>
    </row>
    <row r="852" ht="12.75" customHeight="1">
      <c r="A852" s="1184"/>
      <c r="B852" s="1184"/>
      <c r="C852" s="1184"/>
      <c r="D852" s="1184"/>
      <c r="E852" s="1184"/>
      <c r="F852" s="1184"/>
      <c r="G852" s="1184"/>
      <c r="H852" s="1184"/>
      <c r="I852" s="1184"/>
      <c r="J852" s="1184"/>
      <c r="K852" s="1184"/>
      <c r="L852" s="1184"/>
      <c r="M852" s="1184"/>
      <c r="N852" s="1184"/>
      <c r="O852" s="1184"/>
      <c r="P852" s="1163"/>
      <c r="Q852" s="1163"/>
      <c r="R852" s="1163"/>
      <c r="S852" s="1163"/>
      <c r="T852" s="1163"/>
      <c r="U852" s="1163"/>
      <c r="V852" s="1163"/>
      <c r="W852" s="1163"/>
      <c r="X852" s="1163"/>
      <c r="Y852" s="1163"/>
    </row>
    <row r="853" ht="12.75" customHeight="1">
      <c r="A853" s="1184"/>
      <c r="B853" s="1184"/>
      <c r="C853" s="1184"/>
      <c r="D853" s="1184"/>
      <c r="E853" s="1184"/>
      <c r="F853" s="1184"/>
      <c r="G853" s="1184"/>
      <c r="H853" s="1184"/>
      <c r="I853" s="1184"/>
      <c r="J853" s="1184"/>
      <c r="K853" s="1184"/>
      <c r="L853" s="1184"/>
      <c r="M853" s="1184"/>
      <c r="N853" s="1184"/>
      <c r="O853" s="1184"/>
      <c r="P853" s="1163"/>
      <c r="Q853" s="1163"/>
      <c r="R853" s="1163"/>
      <c r="S853" s="1163"/>
      <c r="T853" s="1163"/>
      <c r="U853" s="1163"/>
      <c r="V853" s="1163"/>
      <c r="W853" s="1163"/>
      <c r="X853" s="1163"/>
      <c r="Y853" s="1163"/>
    </row>
    <row r="854" ht="12.75" customHeight="1">
      <c r="A854" s="1184"/>
      <c r="B854" s="1184"/>
      <c r="C854" s="1184"/>
      <c r="D854" s="1184"/>
      <c r="E854" s="1184"/>
      <c r="F854" s="1184"/>
      <c r="G854" s="1184"/>
      <c r="H854" s="1184"/>
      <c r="I854" s="1184"/>
      <c r="J854" s="1184"/>
      <c r="K854" s="1184"/>
      <c r="L854" s="1184"/>
      <c r="M854" s="1184"/>
      <c r="N854" s="1184"/>
      <c r="O854" s="1184"/>
      <c r="P854" s="1163"/>
      <c r="Q854" s="1163"/>
      <c r="R854" s="1163"/>
      <c r="S854" s="1163"/>
      <c r="T854" s="1163"/>
      <c r="U854" s="1163"/>
      <c r="V854" s="1163"/>
      <c r="W854" s="1163"/>
      <c r="X854" s="1163"/>
      <c r="Y854" s="1163"/>
    </row>
    <row r="855" ht="12.75" customHeight="1">
      <c r="A855" s="1184"/>
      <c r="B855" s="1184"/>
      <c r="C855" s="1184"/>
      <c r="D855" s="1184"/>
      <c r="E855" s="1184"/>
      <c r="F855" s="1184"/>
      <c r="G855" s="1184"/>
      <c r="H855" s="1184"/>
      <c r="I855" s="1184"/>
      <c r="J855" s="1184"/>
      <c r="K855" s="1184"/>
      <c r="L855" s="1184"/>
      <c r="M855" s="1184"/>
      <c r="N855" s="1184"/>
      <c r="O855" s="1184"/>
      <c r="P855" s="1163"/>
      <c r="Q855" s="1163"/>
      <c r="R855" s="1163"/>
      <c r="S855" s="1163"/>
      <c r="T855" s="1163"/>
      <c r="U855" s="1163"/>
      <c r="V855" s="1163"/>
      <c r="W855" s="1163"/>
      <c r="X855" s="1163"/>
      <c r="Y855" s="1163"/>
    </row>
    <row r="856" ht="12.75" customHeight="1">
      <c r="A856" s="1184"/>
      <c r="B856" s="1184"/>
      <c r="C856" s="1184"/>
      <c r="D856" s="1184"/>
      <c r="E856" s="1184"/>
      <c r="F856" s="1184"/>
      <c r="G856" s="1184"/>
      <c r="H856" s="1184"/>
      <c r="I856" s="1184"/>
      <c r="J856" s="1184"/>
      <c r="K856" s="1184"/>
      <c r="L856" s="1184"/>
      <c r="M856" s="1184"/>
      <c r="N856" s="1184"/>
      <c r="O856" s="1184"/>
      <c r="P856" s="1163"/>
      <c r="Q856" s="1163"/>
      <c r="R856" s="1163"/>
      <c r="S856" s="1163"/>
      <c r="T856" s="1163"/>
      <c r="U856" s="1163"/>
      <c r="V856" s="1163"/>
      <c r="W856" s="1163"/>
      <c r="X856" s="1163"/>
      <c r="Y856" s="1163"/>
    </row>
    <row r="857" ht="12.75" customHeight="1">
      <c r="A857" s="1184"/>
      <c r="B857" s="1184"/>
      <c r="C857" s="1184"/>
      <c r="D857" s="1184"/>
      <c r="E857" s="1184"/>
      <c r="F857" s="1184"/>
      <c r="G857" s="1184"/>
      <c r="H857" s="1184"/>
      <c r="I857" s="1184"/>
      <c r="J857" s="1184"/>
      <c r="K857" s="1184"/>
      <c r="L857" s="1184"/>
      <c r="M857" s="1184"/>
      <c r="N857" s="1184"/>
      <c r="O857" s="1184"/>
      <c r="P857" s="1163"/>
      <c r="Q857" s="1163"/>
      <c r="R857" s="1163"/>
      <c r="S857" s="1163"/>
      <c r="T857" s="1163"/>
      <c r="U857" s="1163"/>
      <c r="V857" s="1163"/>
      <c r="W857" s="1163"/>
      <c r="X857" s="1163"/>
      <c r="Y857" s="1163"/>
    </row>
    <row r="858" ht="12.75" customHeight="1">
      <c r="A858" s="1184"/>
      <c r="B858" s="1184"/>
      <c r="C858" s="1184"/>
      <c r="D858" s="1184"/>
      <c r="E858" s="1184"/>
      <c r="F858" s="1184"/>
      <c r="G858" s="1184"/>
      <c r="H858" s="1184"/>
      <c r="I858" s="1184"/>
      <c r="J858" s="1184"/>
      <c r="K858" s="1184"/>
      <c r="L858" s="1184"/>
      <c r="M858" s="1184"/>
      <c r="N858" s="1184"/>
      <c r="O858" s="1184"/>
      <c r="P858" s="1163"/>
      <c r="Q858" s="1163"/>
      <c r="R858" s="1163"/>
      <c r="S858" s="1163"/>
      <c r="T858" s="1163"/>
      <c r="U858" s="1163"/>
      <c r="V858" s="1163"/>
      <c r="W858" s="1163"/>
      <c r="X858" s="1163"/>
      <c r="Y858" s="1163"/>
    </row>
    <row r="859" ht="12.75" customHeight="1">
      <c r="A859" s="1184"/>
      <c r="B859" s="1184"/>
      <c r="C859" s="1184"/>
      <c r="D859" s="1184"/>
      <c r="E859" s="1184"/>
      <c r="F859" s="1184"/>
      <c r="G859" s="1184"/>
      <c r="H859" s="1184"/>
      <c r="I859" s="1184"/>
      <c r="J859" s="1184"/>
      <c r="K859" s="1184"/>
      <c r="L859" s="1184"/>
      <c r="M859" s="1184"/>
      <c r="N859" s="1184"/>
      <c r="O859" s="1184"/>
      <c r="P859" s="1163"/>
      <c r="Q859" s="1163"/>
      <c r="R859" s="1163"/>
      <c r="S859" s="1163"/>
      <c r="T859" s="1163"/>
      <c r="U859" s="1163"/>
      <c r="V859" s="1163"/>
      <c r="W859" s="1163"/>
      <c r="X859" s="1163"/>
      <c r="Y859" s="1163"/>
    </row>
    <row r="860" ht="12.75" customHeight="1">
      <c r="A860" s="1184"/>
      <c r="B860" s="1184"/>
      <c r="C860" s="1184"/>
      <c r="D860" s="1184"/>
      <c r="E860" s="1184"/>
      <c r="F860" s="1184"/>
      <c r="G860" s="1184"/>
      <c r="H860" s="1184"/>
      <c r="I860" s="1184"/>
      <c r="J860" s="1184"/>
      <c r="K860" s="1184"/>
      <c r="L860" s="1184"/>
      <c r="M860" s="1184"/>
      <c r="N860" s="1184"/>
      <c r="O860" s="1184"/>
      <c r="P860" s="1163"/>
      <c r="Q860" s="1163"/>
      <c r="R860" s="1163"/>
      <c r="S860" s="1163"/>
      <c r="T860" s="1163"/>
      <c r="U860" s="1163"/>
      <c r="V860" s="1163"/>
      <c r="W860" s="1163"/>
      <c r="X860" s="1163"/>
      <c r="Y860" s="1163"/>
    </row>
    <row r="861" ht="12.75" customHeight="1">
      <c r="A861" s="1184"/>
      <c r="B861" s="1184"/>
      <c r="C861" s="1184"/>
      <c r="D861" s="1184"/>
      <c r="E861" s="1184"/>
      <c r="F861" s="1184"/>
      <c r="G861" s="1184"/>
      <c r="H861" s="1184"/>
      <c r="I861" s="1184"/>
      <c r="J861" s="1184"/>
      <c r="K861" s="1184"/>
      <c r="L861" s="1184"/>
      <c r="M861" s="1184"/>
      <c r="N861" s="1184"/>
      <c r="O861" s="1184"/>
      <c r="P861" s="1163"/>
      <c r="Q861" s="1163"/>
      <c r="R861" s="1163"/>
      <c r="S861" s="1163"/>
      <c r="T861" s="1163"/>
      <c r="U861" s="1163"/>
      <c r="V861" s="1163"/>
      <c r="W861" s="1163"/>
      <c r="X861" s="1163"/>
      <c r="Y861" s="1163"/>
    </row>
    <row r="862" ht="12.75" customHeight="1">
      <c r="A862" s="1184"/>
      <c r="B862" s="1184"/>
      <c r="C862" s="1184"/>
      <c r="D862" s="1184"/>
      <c r="E862" s="1184"/>
      <c r="F862" s="1184"/>
      <c r="G862" s="1184"/>
      <c r="H862" s="1184"/>
      <c r="I862" s="1184"/>
      <c r="J862" s="1184"/>
      <c r="K862" s="1184"/>
      <c r="L862" s="1184"/>
      <c r="M862" s="1184"/>
      <c r="N862" s="1184"/>
      <c r="O862" s="1184"/>
      <c r="P862" s="1163"/>
      <c r="Q862" s="1163"/>
      <c r="R862" s="1163"/>
      <c r="S862" s="1163"/>
      <c r="T862" s="1163"/>
      <c r="U862" s="1163"/>
      <c r="V862" s="1163"/>
      <c r="W862" s="1163"/>
      <c r="X862" s="1163"/>
      <c r="Y862" s="1163"/>
    </row>
    <row r="863" ht="12.75" customHeight="1">
      <c r="A863" s="1184"/>
      <c r="B863" s="1184"/>
      <c r="C863" s="1184"/>
      <c r="D863" s="1184"/>
      <c r="E863" s="1184"/>
      <c r="F863" s="1184"/>
      <c r="G863" s="1184"/>
      <c r="H863" s="1184"/>
      <c r="I863" s="1184"/>
      <c r="J863" s="1184"/>
      <c r="K863" s="1184"/>
      <c r="L863" s="1184"/>
      <c r="M863" s="1184"/>
      <c r="N863" s="1184"/>
      <c r="O863" s="1184"/>
      <c r="P863" s="1163"/>
      <c r="Q863" s="1163"/>
      <c r="R863" s="1163"/>
      <c r="S863" s="1163"/>
      <c r="T863" s="1163"/>
      <c r="U863" s="1163"/>
      <c r="V863" s="1163"/>
      <c r="W863" s="1163"/>
      <c r="X863" s="1163"/>
      <c r="Y863" s="1163"/>
    </row>
    <row r="864" ht="12.75" customHeight="1">
      <c r="A864" s="1184"/>
      <c r="B864" s="1184"/>
      <c r="C864" s="1184"/>
      <c r="D864" s="1184"/>
      <c r="E864" s="1184"/>
      <c r="F864" s="1184"/>
      <c r="G864" s="1184"/>
      <c r="H864" s="1184"/>
      <c r="I864" s="1184"/>
      <c r="J864" s="1184"/>
      <c r="K864" s="1184"/>
      <c r="L864" s="1184"/>
      <c r="M864" s="1184"/>
      <c r="N864" s="1184"/>
      <c r="O864" s="1184"/>
      <c r="P864" s="1163"/>
      <c r="Q864" s="1163"/>
      <c r="R864" s="1163"/>
      <c r="S864" s="1163"/>
      <c r="T864" s="1163"/>
      <c r="U864" s="1163"/>
      <c r="V864" s="1163"/>
      <c r="W864" s="1163"/>
      <c r="X864" s="1163"/>
      <c r="Y864" s="1163"/>
    </row>
    <row r="865" ht="12.75" customHeight="1">
      <c r="A865" s="1184"/>
      <c r="B865" s="1184"/>
      <c r="C865" s="1184"/>
      <c r="D865" s="1184"/>
      <c r="E865" s="1184"/>
      <c r="F865" s="1184"/>
      <c r="G865" s="1184"/>
      <c r="H865" s="1184"/>
      <c r="I865" s="1184"/>
      <c r="J865" s="1184"/>
      <c r="K865" s="1184"/>
      <c r="L865" s="1184"/>
      <c r="M865" s="1184"/>
      <c r="N865" s="1184"/>
      <c r="O865" s="1184"/>
      <c r="P865" s="1163"/>
      <c r="Q865" s="1163"/>
      <c r="R865" s="1163"/>
      <c r="S865" s="1163"/>
      <c r="T865" s="1163"/>
      <c r="U865" s="1163"/>
      <c r="V865" s="1163"/>
      <c r="W865" s="1163"/>
      <c r="X865" s="1163"/>
      <c r="Y865" s="1163"/>
    </row>
    <row r="866" ht="12.75" customHeight="1">
      <c r="A866" s="1184"/>
      <c r="B866" s="1184"/>
      <c r="C866" s="1184"/>
      <c r="D866" s="1184"/>
      <c r="E866" s="1184"/>
      <c r="F866" s="1184"/>
      <c r="G866" s="1184"/>
      <c r="H866" s="1184"/>
      <c r="I866" s="1184"/>
      <c r="J866" s="1184"/>
      <c r="K866" s="1184"/>
      <c r="L866" s="1184"/>
      <c r="M866" s="1184"/>
      <c r="N866" s="1184"/>
      <c r="O866" s="1184"/>
      <c r="P866" s="1163"/>
      <c r="Q866" s="1163"/>
      <c r="R866" s="1163"/>
      <c r="S866" s="1163"/>
      <c r="T866" s="1163"/>
      <c r="U866" s="1163"/>
      <c r="V866" s="1163"/>
      <c r="W866" s="1163"/>
      <c r="X866" s="1163"/>
      <c r="Y866" s="1163"/>
    </row>
    <row r="867" ht="12.75" customHeight="1">
      <c r="A867" s="1184"/>
      <c r="B867" s="1184"/>
      <c r="C867" s="1184"/>
      <c r="D867" s="1184"/>
      <c r="E867" s="1184"/>
      <c r="F867" s="1184"/>
      <c r="G867" s="1184"/>
      <c r="H867" s="1184"/>
      <c r="I867" s="1184"/>
      <c r="J867" s="1184"/>
      <c r="K867" s="1184"/>
      <c r="L867" s="1184"/>
      <c r="M867" s="1184"/>
      <c r="N867" s="1184"/>
      <c r="O867" s="1184"/>
      <c r="P867" s="1163"/>
      <c r="Q867" s="1163"/>
      <c r="R867" s="1163"/>
      <c r="S867" s="1163"/>
      <c r="T867" s="1163"/>
      <c r="U867" s="1163"/>
      <c r="V867" s="1163"/>
      <c r="W867" s="1163"/>
      <c r="X867" s="1163"/>
      <c r="Y867" s="1163"/>
    </row>
    <row r="868" ht="12.75" customHeight="1">
      <c r="A868" s="1184"/>
      <c r="B868" s="1184"/>
      <c r="C868" s="1184"/>
      <c r="D868" s="1184"/>
      <c r="E868" s="1184"/>
      <c r="F868" s="1184"/>
      <c r="G868" s="1184"/>
      <c r="H868" s="1184"/>
      <c r="I868" s="1184"/>
      <c r="J868" s="1184"/>
      <c r="K868" s="1184"/>
      <c r="L868" s="1184"/>
      <c r="M868" s="1184"/>
      <c r="N868" s="1184"/>
      <c r="O868" s="1184"/>
      <c r="P868" s="1163"/>
      <c r="Q868" s="1163"/>
      <c r="R868" s="1163"/>
      <c r="S868" s="1163"/>
      <c r="T868" s="1163"/>
      <c r="U868" s="1163"/>
      <c r="V868" s="1163"/>
      <c r="W868" s="1163"/>
      <c r="X868" s="1163"/>
      <c r="Y868" s="1163"/>
    </row>
    <row r="869" ht="12.75" customHeight="1">
      <c r="A869" s="1184"/>
      <c r="B869" s="1184"/>
      <c r="C869" s="1184"/>
      <c r="D869" s="1184"/>
      <c r="E869" s="1184"/>
      <c r="F869" s="1184"/>
      <c r="G869" s="1184"/>
      <c r="H869" s="1184"/>
      <c r="I869" s="1184"/>
      <c r="J869" s="1184"/>
      <c r="K869" s="1184"/>
      <c r="L869" s="1184"/>
      <c r="M869" s="1184"/>
      <c r="N869" s="1184"/>
      <c r="O869" s="1184"/>
      <c r="P869" s="1163"/>
      <c r="Q869" s="1163"/>
      <c r="R869" s="1163"/>
      <c r="S869" s="1163"/>
      <c r="T869" s="1163"/>
      <c r="U869" s="1163"/>
      <c r="V869" s="1163"/>
      <c r="W869" s="1163"/>
      <c r="X869" s="1163"/>
      <c r="Y869" s="1163"/>
    </row>
    <row r="870" ht="12.75" customHeight="1">
      <c r="A870" s="1184"/>
      <c r="B870" s="1184"/>
      <c r="C870" s="1184"/>
      <c r="D870" s="1184"/>
      <c r="E870" s="1184"/>
      <c r="F870" s="1184"/>
      <c r="G870" s="1184"/>
      <c r="H870" s="1184"/>
      <c r="I870" s="1184"/>
      <c r="J870" s="1184"/>
      <c r="K870" s="1184"/>
      <c r="L870" s="1184"/>
      <c r="M870" s="1184"/>
      <c r="N870" s="1184"/>
      <c r="O870" s="1184"/>
      <c r="P870" s="1163"/>
      <c r="Q870" s="1163"/>
      <c r="R870" s="1163"/>
      <c r="S870" s="1163"/>
      <c r="T870" s="1163"/>
      <c r="U870" s="1163"/>
      <c r="V870" s="1163"/>
      <c r="W870" s="1163"/>
      <c r="X870" s="1163"/>
      <c r="Y870" s="1163"/>
    </row>
    <row r="871" ht="12.75" customHeight="1">
      <c r="A871" s="1184"/>
      <c r="B871" s="1184"/>
      <c r="C871" s="1184"/>
      <c r="D871" s="1184"/>
      <c r="E871" s="1184"/>
      <c r="F871" s="1184"/>
      <c r="G871" s="1184"/>
      <c r="H871" s="1184"/>
      <c r="I871" s="1184"/>
      <c r="J871" s="1184"/>
      <c r="K871" s="1184"/>
      <c r="L871" s="1184"/>
      <c r="M871" s="1184"/>
      <c r="N871" s="1184"/>
      <c r="O871" s="1184"/>
      <c r="P871" s="1163"/>
      <c r="Q871" s="1163"/>
      <c r="R871" s="1163"/>
      <c r="S871" s="1163"/>
      <c r="T871" s="1163"/>
      <c r="U871" s="1163"/>
      <c r="V871" s="1163"/>
      <c r="W871" s="1163"/>
      <c r="X871" s="1163"/>
      <c r="Y871" s="1163"/>
    </row>
    <row r="872" ht="12.75" customHeight="1">
      <c r="A872" s="1184"/>
      <c r="B872" s="1184"/>
      <c r="C872" s="1184"/>
      <c r="D872" s="1184"/>
      <c r="E872" s="1184"/>
      <c r="F872" s="1184"/>
      <c r="G872" s="1184"/>
      <c r="H872" s="1184"/>
      <c r="I872" s="1184"/>
      <c r="J872" s="1184"/>
      <c r="K872" s="1184"/>
      <c r="L872" s="1184"/>
      <c r="M872" s="1184"/>
      <c r="N872" s="1184"/>
      <c r="O872" s="1184"/>
      <c r="P872" s="1163"/>
      <c r="Q872" s="1163"/>
      <c r="R872" s="1163"/>
      <c r="S872" s="1163"/>
      <c r="T872" s="1163"/>
      <c r="U872" s="1163"/>
      <c r="V872" s="1163"/>
      <c r="W872" s="1163"/>
      <c r="X872" s="1163"/>
      <c r="Y872" s="1163"/>
    </row>
    <row r="873" ht="12.75" customHeight="1">
      <c r="A873" s="1184"/>
      <c r="B873" s="1184"/>
      <c r="C873" s="1184"/>
      <c r="D873" s="1184"/>
      <c r="E873" s="1184"/>
      <c r="F873" s="1184"/>
      <c r="G873" s="1184"/>
      <c r="H873" s="1184"/>
      <c r="I873" s="1184"/>
      <c r="J873" s="1184"/>
      <c r="K873" s="1184"/>
      <c r="L873" s="1184"/>
      <c r="M873" s="1184"/>
      <c r="N873" s="1184"/>
      <c r="O873" s="1184"/>
      <c r="P873" s="1163"/>
      <c r="Q873" s="1163"/>
      <c r="R873" s="1163"/>
      <c r="S873" s="1163"/>
      <c r="T873" s="1163"/>
      <c r="U873" s="1163"/>
      <c r="V873" s="1163"/>
      <c r="W873" s="1163"/>
      <c r="X873" s="1163"/>
      <c r="Y873" s="1163"/>
    </row>
    <row r="874" ht="12.75" customHeight="1">
      <c r="A874" s="1184"/>
      <c r="B874" s="1184"/>
      <c r="C874" s="1184"/>
      <c r="D874" s="1184"/>
      <c r="E874" s="1184"/>
      <c r="F874" s="1184"/>
      <c r="G874" s="1184"/>
      <c r="H874" s="1184"/>
      <c r="I874" s="1184"/>
      <c r="J874" s="1184"/>
      <c r="K874" s="1184"/>
      <c r="L874" s="1184"/>
      <c r="M874" s="1184"/>
      <c r="N874" s="1184"/>
      <c r="O874" s="1184"/>
      <c r="P874" s="1163"/>
      <c r="Q874" s="1163"/>
      <c r="R874" s="1163"/>
      <c r="S874" s="1163"/>
      <c r="T874" s="1163"/>
      <c r="U874" s="1163"/>
      <c r="V874" s="1163"/>
      <c r="W874" s="1163"/>
      <c r="X874" s="1163"/>
      <c r="Y874" s="1163"/>
    </row>
    <row r="875" ht="12.75" customHeight="1">
      <c r="A875" s="1184"/>
      <c r="B875" s="1184"/>
      <c r="C875" s="1184"/>
      <c r="D875" s="1184"/>
      <c r="E875" s="1184"/>
      <c r="F875" s="1184"/>
      <c r="G875" s="1184"/>
      <c r="H875" s="1184"/>
      <c r="I875" s="1184"/>
      <c r="J875" s="1184"/>
      <c r="K875" s="1184"/>
      <c r="L875" s="1184"/>
      <c r="M875" s="1184"/>
      <c r="N875" s="1184"/>
      <c r="O875" s="1184"/>
      <c r="P875" s="1163"/>
      <c r="Q875" s="1163"/>
      <c r="R875" s="1163"/>
      <c r="S875" s="1163"/>
      <c r="T875" s="1163"/>
      <c r="U875" s="1163"/>
      <c r="V875" s="1163"/>
      <c r="W875" s="1163"/>
      <c r="X875" s="1163"/>
      <c r="Y875" s="1163"/>
    </row>
    <row r="876" ht="12.75" customHeight="1">
      <c r="A876" s="1184"/>
      <c r="B876" s="1184"/>
      <c r="C876" s="1184"/>
      <c r="D876" s="1184"/>
      <c r="E876" s="1184"/>
      <c r="F876" s="1184"/>
      <c r="G876" s="1184"/>
      <c r="H876" s="1184"/>
      <c r="I876" s="1184"/>
      <c r="J876" s="1184"/>
      <c r="K876" s="1184"/>
      <c r="L876" s="1184"/>
      <c r="M876" s="1184"/>
      <c r="N876" s="1184"/>
      <c r="O876" s="1184"/>
      <c r="P876" s="1163"/>
      <c r="Q876" s="1163"/>
      <c r="R876" s="1163"/>
      <c r="S876" s="1163"/>
      <c r="T876" s="1163"/>
      <c r="U876" s="1163"/>
      <c r="V876" s="1163"/>
      <c r="W876" s="1163"/>
      <c r="X876" s="1163"/>
      <c r="Y876" s="1163"/>
    </row>
    <row r="877" ht="12.75" customHeight="1">
      <c r="A877" s="1184"/>
      <c r="B877" s="1184"/>
      <c r="C877" s="1184"/>
      <c r="D877" s="1184"/>
      <c r="E877" s="1184"/>
      <c r="F877" s="1184"/>
      <c r="G877" s="1184"/>
      <c r="H877" s="1184"/>
      <c r="I877" s="1184"/>
      <c r="J877" s="1184"/>
      <c r="K877" s="1184"/>
      <c r="L877" s="1184"/>
      <c r="M877" s="1184"/>
      <c r="N877" s="1184"/>
      <c r="O877" s="1184"/>
      <c r="P877" s="1163"/>
      <c r="Q877" s="1163"/>
      <c r="R877" s="1163"/>
      <c r="S877" s="1163"/>
      <c r="T877" s="1163"/>
      <c r="U877" s="1163"/>
      <c r="V877" s="1163"/>
      <c r="W877" s="1163"/>
      <c r="X877" s="1163"/>
      <c r="Y877" s="1163"/>
    </row>
    <row r="878" ht="12.75" customHeight="1">
      <c r="A878" s="1184"/>
      <c r="B878" s="1184"/>
      <c r="C878" s="1184"/>
      <c r="D878" s="1184"/>
      <c r="E878" s="1184"/>
      <c r="F878" s="1184"/>
      <c r="G878" s="1184"/>
      <c r="H878" s="1184"/>
      <c r="I878" s="1184"/>
      <c r="J878" s="1184"/>
      <c r="K878" s="1184"/>
      <c r="L878" s="1184"/>
      <c r="M878" s="1184"/>
      <c r="N878" s="1184"/>
      <c r="O878" s="1184"/>
      <c r="P878" s="1163"/>
      <c r="Q878" s="1163"/>
      <c r="R878" s="1163"/>
      <c r="S878" s="1163"/>
      <c r="T878" s="1163"/>
      <c r="U878" s="1163"/>
      <c r="V878" s="1163"/>
      <c r="W878" s="1163"/>
      <c r="X878" s="1163"/>
      <c r="Y878" s="1163"/>
    </row>
    <row r="879" ht="12.75" customHeight="1">
      <c r="A879" s="1184"/>
      <c r="B879" s="1184"/>
      <c r="C879" s="1184"/>
      <c r="D879" s="1184"/>
      <c r="E879" s="1184"/>
      <c r="F879" s="1184"/>
      <c r="G879" s="1184"/>
      <c r="H879" s="1184"/>
      <c r="I879" s="1184"/>
      <c r="J879" s="1184"/>
      <c r="K879" s="1184"/>
      <c r="L879" s="1184"/>
      <c r="M879" s="1184"/>
      <c r="N879" s="1184"/>
      <c r="O879" s="1184"/>
      <c r="P879" s="1163"/>
      <c r="Q879" s="1163"/>
      <c r="R879" s="1163"/>
      <c r="S879" s="1163"/>
      <c r="T879" s="1163"/>
      <c r="U879" s="1163"/>
      <c r="V879" s="1163"/>
      <c r="W879" s="1163"/>
      <c r="X879" s="1163"/>
      <c r="Y879" s="1163"/>
    </row>
    <row r="880" ht="12.75" customHeight="1">
      <c r="A880" s="1184"/>
      <c r="B880" s="1184"/>
      <c r="C880" s="1184"/>
      <c r="D880" s="1184"/>
      <c r="E880" s="1184"/>
      <c r="F880" s="1184"/>
      <c r="G880" s="1184"/>
      <c r="H880" s="1184"/>
      <c r="I880" s="1184"/>
      <c r="J880" s="1184"/>
      <c r="K880" s="1184"/>
      <c r="L880" s="1184"/>
      <c r="M880" s="1184"/>
      <c r="N880" s="1184"/>
      <c r="O880" s="1184"/>
      <c r="P880" s="1163"/>
      <c r="Q880" s="1163"/>
      <c r="R880" s="1163"/>
      <c r="S880" s="1163"/>
      <c r="T880" s="1163"/>
      <c r="U880" s="1163"/>
      <c r="V880" s="1163"/>
      <c r="W880" s="1163"/>
      <c r="X880" s="1163"/>
      <c r="Y880" s="1163"/>
    </row>
    <row r="881" ht="12.75" customHeight="1">
      <c r="A881" s="1184"/>
      <c r="B881" s="1184"/>
      <c r="C881" s="1184"/>
      <c r="D881" s="1184"/>
      <c r="E881" s="1184"/>
      <c r="F881" s="1184"/>
      <c r="G881" s="1184"/>
      <c r="H881" s="1184"/>
      <c r="I881" s="1184"/>
      <c r="J881" s="1184"/>
      <c r="K881" s="1184"/>
      <c r="L881" s="1184"/>
      <c r="M881" s="1184"/>
      <c r="N881" s="1184"/>
      <c r="O881" s="1184"/>
      <c r="P881" s="1163"/>
      <c r="Q881" s="1163"/>
      <c r="R881" s="1163"/>
      <c r="S881" s="1163"/>
      <c r="T881" s="1163"/>
      <c r="U881" s="1163"/>
      <c r="V881" s="1163"/>
      <c r="W881" s="1163"/>
      <c r="X881" s="1163"/>
      <c r="Y881" s="1163"/>
    </row>
    <row r="882" ht="12.75" customHeight="1">
      <c r="A882" s="1184"/>
      <c r="B882" s="1184"/>
      <c r="C882" s="1184"/>
      <c r="D882" s="1184"/>
      <c r="E882" s="1184"/>
      <c r="F882" s="1184"/>
      <c r="G882" s="1184"/>
      <c r="H882" s="1184"/>
      <c r="I882" s="1184"/>
      <c r="J882" s="1184"/>
      <c r="K882" s="1184"/>
      <c r="L882" s="1184"/>
      <c r="M882" s="1184"/>
      <c r="N882" s="1184"/>
      <c r="O882" s="1184"/>
      <c r="P882" s="1163"/>
      <c r="Q882" s="1163"/>
      <c r="R882" s="1163"/>
      <c r="S882" s="1163"/>
      <c r="T882" s="1163"/>
      <c r="U882" s="1163"/>
      <c r="V882" s="1163"/>
      <c r="W882" s="1163"/>
      <c r="X882" s="1163"/>
      <c r="Y882" s="1163"/>
    </row>
    <row r="883" ht="12.75" customHeight="1">
      <c r="A883" s="1184"/>
      <c r="B883" s="1184"/>
      <c r="C883" s="1184"/>
      <c r="D883" s="1184"/>
      <c r="E883" s="1184"/>
      <c r="F883" s="1184"/>
      <c r="G883" s="1184"/>
      <c r="H883" s="1184"/>
      <c r="I883" s="1184"/>
      <c r="J883" s="1184"/>
      <c r="K883" s="1184"/>
      <c r="L883" s="1184"/>
      <c r="M883" s="1184"/>
      <c r="N883" s="1184"/>
      <c r="O883" s="1184"/>
      <c r="P883" s="1163"/>
      <c r="Q883" s="1163"/>
      <c r="R883" s="1163"/>
      <c r="S883" s="1163"/>
      <c r="T883" s="1163"/>
      <c r="U883" s="1163"/>
      <c r="V883" s="1163"/>
      <c r="W883" s="1163"/>
      <c r="X883" s="1163"/>
      <c r="Y883" s="1163"/>
    </row>
    <row r="884" ht="12.75" customHeight="1">
      <c r="A884" s="1184"/>
      <c r="B884" s="1184"/>
      <c r="C884" s="1184"/>
      <c r="D884" s="1184"/>
      <c r="E884" s="1184"/>
      <c r="F884" s="1184"/>
      <c r="G884" s="1184"/>
      <c r="H884" s="1184"/>
      <c r="I884" s="1184"/>
      <c r="J884" s="1184"/>
      <c r="K884" s="1184"/>
      <c r="L884" s="1184"/>
      <c r="M884" s="1184"/>
      <c r="N884" s="1184"/>
      <c r="O884" s="1184"/>
      <c r="P884" s="1163"/>
      <c r="Q884" s="1163"/>
      <c r="R884" s="1163"/>
      <c r="S884" s="1163"/>
      <c r="T884" s="1163"/>
      <c r="U884" s="1163"/>
      <c r="V884" s="1163"/>
      <c r="W884" s="1163"/>
      <c r="X884" s="1163"/>
      <c r="Y884" s="1163"/>
    </row>
    <row r="885" ht="12.75" customHeight="1">
      <c r="A885" s="1184"/>
      <c r="B885" s="1184"/>
      <c r="C885" s="1184"/>
      <c r="D885" s="1184"/>
      <c r="E885" s="1184"/>
      <c r="F885" s="1184"/>
      <c r="G885" s="1184"/>
      <c r="H885" s="1184"/>
      <c r="I885" s="1184"/>
      <c r="J885" s="1184"/>
      <c r="K885" s="1184"/>
      <c r="L885" s="1184"/>
      <c r="M885" s="1184"/>
      <c r="N885" s="1184"/>
      <c r="O885" s="1184"/>
      <c r="P885" s="1163"/>
      <c r="Q885" s="1163"/>
      <c r="R885" s="1163"/>
      <c r="S885" s="1163"/>
      <c r="T885" s="1163"/>
      <c r="U885" s="1163"/>
      <c r="V885" s="1163"/>
      <c r="W885" s="1163"/>
      <c r="X885" s="1163"/>
      <c r="Y885" s="1163"/>
    </row>
    <row r="886" ht="12.75" customHeight="1">
      <c r="A886" s="1184"/>
      <c r="B886" s="1184"/>
      <c r="C886" s="1184"/>
      <c r="D886" s="1184"/>
      <c r="E886" s="1184"/>
      <c r="F886" s="1184"/>
      <c r="G886" s="1184"/>
      <c r="H886" s="1184"/>
      <c r="I886" s="1184"/>
      <c r="J886" s="1184"/>
      <c r="K886" s="1184"/>
      <c r="L886" s="1184"/>
      <c r="M886" s="1184"/>
      <c r="N886" s="1184"/>
      <c r="O886" s="1184"/>
      <c r="P886" s="1163"/>
      <c r="Q886" s="1163"/>
      <c r="R886" s="1163"/>
      <c r="S886" s="1163"/>
      <c r="T886" s="1163"/>
      <c r="U886" s="1163"/>
      <c r="V886" s="1163"/>
      <c r="W886" s="1163"/>
      <c r="X886" s="1163"/>
      <c r="Y886" s="1163"/>
    </row>
    <row r="887" ht="12.75" customHeight="1">
      <c r="A887" s="1184"/>
      <c r="B887" s="1184"/>
      <c r="C887" s="1184"/>
      <c r="D887" s="1184"/>
      <c r="E887" s="1184"/>
      <c r="F887" s="1184"/>
      <c r="G887" s="1184"/>
      <c r="H887" s="1184"/>
      <c r="I887" s="1184"/>
      <c r="J887" s="1184"/>
      <c r="K887" s="1184"/>
      <c r="L887" s="1184"/>
      <c r="M887" s="1184"/>
      <c r="N887" s="1184"/>
      <c r="O887" s="1184"/>
      <c r="P887" s="1163"/>
      <c r="Q887" s="1163"/>
      <c r="R887" s="1163"/>
      <c r="S887" s="1163"/>
      <c r="T887" s="1163"/>
      <c r="U887" s="1163"/>
      <c r="V887" s="1163"/>
      <c r="W887" s="1163"/>
      <c r="X887" s="1163"/>
      <c r="Y887" s="1163"/>
    </row>
    <row r="888" ht="12.75" customHeight="1">
      <c r="A888" s="1184"/>
      <c r="B888" s="1184"/>
      <c r="C888" s="1184"/>
      <c r="D888" s="1184"/>
      <c r="E888" s="1184"/>
      <c r="F888" s="1184"/>
      <c r="G888" s="1184"/>
      <c r="H888" s="1184"/>
      <c r="I888" s="1184"/>
      <c r="J888" s="1184"/>
      <c r="K888" s="1184"/>
      <c r="L888" s="1184"/>
      <c r="M888" s="1184"/>
      <c r="N888" s="1184"/>
      <c r="O888" s="1184"/>
      <c r="P888" s="1163"/>
      <c r="Q888" s="1163"/>
      <c r="R888" s="1163"/>
      <c r="S888" s="1163"/>
      <c r="T888" s="1163"/>
      <c r="U888" s="1163"/>
      <c r="V888" s="1163"/>
      <c r="W888" s="1163"/>
      <c r="X888" s="1163"/>
      <c r="Y888" s="1163"/>
    </row>
    <row r="889" ht="12.75" customHeight="1">
      <c r="A889" s="1184"/>
      <c r="B889" s="1184"/>
      <c r="C889" s="1184"/>
      <c r="D889" s="1184"/>
      <c r="E889" s="1184"/>
      <c r="F889" s="1184"/>
      <c r="G889" s="1184"/>
      <c r="H889" s="1184"/>
      <c r="I889" s="1184"/>
      <c r="J889" s="1184"/>
      <c r="K889" s="1184"/>
      <c r="L889" s="1184"/>
      <c r="M889" s="1184"/>
      <c r="N889" s="1184"/>
      <c r="O889" s="1184"/>
      <c r="P889" s="1163"/>
      <c r="Q889" s="1163"/>
      <c r="R889" s="1163"/>
      <c r="S889" s="1163"/>
      <c r="T889" s="1163"/>
      <c r="U889" s="1163"/>
      <c r="V889" s="1163"/>
      <c r="W889" s="1163"/>
      <c r="X889" s="1163"/>
      <c r="Y889" s="1163"/>
    </row>
    <row r="890" ht="12.75" customHeight="1">
      <c r="A890" s="1184"/>
      <c r="B890" s="1184"/>
      <c r="C890" s="1184"/>
      <c r="D890" s="1184"/>
      <c r="E890" s="1184"/>
      <c r="F890" s="1184"/>
      <c r="G890" s="1184"/>
      <c r="H890" s="1184"/>
      <c r="I890" s="1184"/>
      <c r="J890" s="1184"/>
      <c r="K890" s="1184"/>
      <c r="L890" s="1184"/>
      <c r="M890" s="1184"/>
      <c r="N890" s="1184"/>
      <c r="O890" s="1184"/>
      <c r="P890" s="1163"/>
      <c r="Q890" s="1163"/>
      <c r="R890" s="1163"/>
      <c r="S890" s="1163"/>
      <c r="T890" s="1163"/>
      <c r="U890" s="1163"/>
      <c r="V890" s="1163"/>
      <c r="W890" s="1163"/>
      <c r="X890" s="1163"/>
      <c r="Y890" s="1163"/>
    </row>
    <row r="891" ht="12.75" customHeight="1">
      <c r="A891" s="1184"/>
      <c r="B891" s="1184"/>
      <c r="C891" s="1184"/>
      <c r="D891" s="1184"/>
      <c r="E891" s="1184"/>
      <c r="F891" s="1184"/>
      <c r="G891" s="1184"/>
      <c r="H891" s="1184"/>
      <c r="I891" s="1184"/>
      <c r="J891" s="1184"/>
      <c r="K891" s="1184"/>
      <c r="L891" s="1184"/>
      <c r="M891" s="1184"/>
      <c r="N891" s="1184"/>
      <c r="O891" s="1184"/>
      <c r="P891" s="1163"/>
      <c r="Q891" s="1163"/>
      <c r="R891" s="1163"/>
      <c r="S891" s="1163"/>
      <c r="T891" s="1163"/>
      <c r="U891" s="1163"/>
      <c r="V891" s="1163"/>
      <c r="W891" s="1163"/>
      <c r="X891" s="1163"/>
      <c r="Y891" s="1163"/>
    </row>
    <row r="892" ht="12.75" customHeight="1">
      <c r="A892" s="1184"/>
      <c r="B892" s="1184"/>
      <c r="C892" s="1184"/>
      <c r="D892" s="1184"/>
      <c r="E892" s="1184"/>
      <c r="F892" s="1184"/>
      <c r="G892" s="1184"/>
      <c r="H892" s="1184"/>
      <c r="I892" s="1184"/>
      <c r="J892" s="1184"/>
      <c r="K892" s="1184"/>
      <c r="L892" s="1184"/>
      <c r="M892" s="1184"/>
      <c r="N892" s="1184"/>
      <c r="O892" s="1184"/>
      <c r="P892" s="1163"/>
      <c r="Q892" s="1163"/>
      <c r="R892" s="1163"/>
      <c r="S892" s="1163"/>
      <c r="T892" s="1163"/>
      <c r="U892" s="1163"/>
      <c r="V892" s="1163"/>
      <c r="W892" s="1163"/>
      <c r="X892" s="1163"/>
      <c r="Y892" s="1163"/>
    </row>
    <row r="893" ht="12.75" customHeight="1">
      <c r="A893" s="1184"/>
      <c r="B893" s="1184"/>
      <c r="C893" s="1184"/>
      <c r="D893" s="1184"/>
      <c r="E893" s="1184"/>
      <c r="F893" s="1184"/>
      <c r="G893" s="1184"/>
      <c r="H893" s="1184"/>
      <c r="I893" s="1184"/>
      <c r="J893" s="1184"/>
      <c r="K893" s="1184"/>
      <c r="L893" s="1184"/>
      <c r="M893" s="1184"/>
      <c r="N893" s="1184"/>
      <c r="O893" s="1184"/>
      <c r="P893" s="1163"/>
      <c r="Q893" s="1163"/>
      <c r="R893" s="1163"/>
      <c r="S893" s="1163"/>
      <c r="T893" s="1163"/>
      <c r="U893" s="1163"/>
      <c r="V893" s="1163"/>
      <c r="W893" s="1163"/>
      <c r="X893" s="1163"/>
      <c r="Y893" s="1163"/>
    </row>
    <row r="894" ht="12.75" customHeight="1">
      <c r="A894" s="1184"/>
      <c r="B894" s="1184"/>
      <c r="C894" s="1184"/>
      <c r="D894" s="1184"/>
      <c r="E894" s="1184"/>
      <c r="F894" s="1184"/>
      <c r="G894" s="1184"/>
      <c r="H894" s="1184"/>
      <c r="I894" s="1184"/>
      <c r="J894" s="1184"/>
      <c r="K894" s="1184"/>
      <c r="L894" s="1184"/>
      <c r="M894" s="1184"/>
      <c r="N894" s="1184"/>
      <c r="O894" s="1184"/>
      <c r="P894" s="1163"/>
      <c r="Q894" s="1163"/>
      <c r="R894" s="1163"/>
      <c r="S894" s="1163"/>
      <c r="T894" s="1163"/>
      <c r="U894" s="1163"/>
      <c r="V894" s="1163"/>
      <c r="W894" s="1163"/>
      <c r="X894" s="1163"/>
      <c r="Y894" s="1163"/>
    </row>
    <row r="895" ht="12.75" customHeight="1">
      <c r="A895" s="1184"/>
      <c r="B895" s="1184"/>
      <c r="C895" s="1184"/>
      <c r="D895" s="1184"/>
      <c r="E895" s="1184"/>
      <c r="F895" s="1184"/>
      <c r="G895" s="1184"/>
      <c r="H895" s="1184"/>
      <c r="I895" s="1184"/>
      <c r="J895" s="1184"/>
      <c r="K895" s="1184"/>
      <c r="L895" s="1184"/>
      <c r="M895" s="1184"/>
      <c r="N895" s="1184"/>
      <c r="O895" s="1184"/>
      <c r="P895" s="1163"/>
      <c r="Q895" s="1163"/>
      <c r="R895" s="1163"/>
      <c r="S895" s="1163"/>
      <c r="T895" s="1163"/>
      <c r="U895" s="1163"/>
      <c r="V895" s="1163"/>
      <c r="W895" s="1163"/>
      <c r="X895" s="1163"/>
      <c r="Y895" s="1163"/>
    </row>
    <row r="896" ht="12.75" customHeight="1">
      <c r="A896" s="1184"/>
      <c r="B896" s="1184"/>
      <c r="C896" s="1184"/>
      <c r="D896" s="1184"/>
      <c r="E896" s="1184"/>
      <c r="F896" s="1184"/>
      <c r="G896" s="1184"/>
      <c r="H896" s="1184"/>
      <c r="I896" s="1184"/>
      <c r="J896" s="1184"/>
      <c r="K896" s="1184"/>
      <c r="L896" s="1184"/>
      <c r="M896" s="1184"/>
      <c r="N896" s="1184"/>
      <c r="O896" s="1184"/>
      <c r="P896" s="1163"/>
      <c r="Q896" s="1163"/>
      <c r="R896" s="1163"/>
      <c r="S896" s="1163"/>
      <c r="T896" s="1163"/>
      <c r="U896" s="1163"/>
      <c r="V896" s="1163"/>
      <c r="W896" s="1163"/>
      <c r="X896" s="1163"/>
      <c r="Y896" s="1163"/>
    </row>
    <row r="897" ht="12.75" customHeight="1">
      <c r="A897" s="1184"/>
      <c r="B897" s="1184"/>
      <c r="C897" s="1184"/>
      <c r="D897" s="1184"/>
      <c r="E897" s="1184"/>
      <c r="F897" s="1184"/>
      <c r="G897" s="1184"/>
      <c r="H897" s="1184"/>
      <c r="I897" s="1184"/>
      <c r="J897" s="1184"/>
      <c r="K897" s="1184"/>
      <c r="L897" s="1184"/>
      <c r="M897" s="1184"/>
      <c r="N897" s="1184"/>
      <c r="O897" s="1184"/>
      <c r="P897" s="1163"/>
      <c r="Q897" s="1163"/>
      <c r="R897" s="1163"/>
      <c r="S897" s="1163"/>
      <c r="T897" s="1163"/>
      <c r="U897" s="1163"/>
      <c r="V897" s="1163"/>
      <c r="W897" s="1163"/>
      <c r="X897" s="1163"/>
      <c r="Y897" s="1163"/>
    </row>
    <row r="898" ht="12.75" customHeight="1">
      <c r="A898" s="1184"/>
      <c r="B898" s="1184"/>
      <c r="C898" s="1184"/>
      <c r="D898" s="1184"/>
      <c r="E898" s="1184"/>
      <c r="F898" s="1184"/>
      <c r="G898" s="1184"/>
      <c r="H898" s="1184"/>
      <c r="I898" s="1184"/>
      <c r="J898" s="1184"/>
      <c r="K898" s="1184"/>
      <c r="L898" s="1184"/>
      <c r="M898" s="1184"/>
      <c r="N898" s="1184"/>
      <c r="O898" s="1184"/>
      <c r="P898" s="1163"/>
      <c r="Q898" s="1163"/>
      <c r="R898" s="1163"/>
      <c r="S898" s="1163"/>
      <c r="T898" s="1163"/>
      <c r="U898" s="1163"/>
      <c r="V898" s="1163"/>
      <c r="W898" s="1163"/>
      <c r="X898" s="1163"/>
      <c r="Y898" s="1163"/>
    </row>
    <row r="899" ht="12.75" customHeight="1">
      <c r="A899" s="1184"/>
      <c r="B899" s="1184"/>
      <c r="C899" s="1184"/>
      <c r="D899" s="1184"/>
      <c r="E899" s="1184"/>
      <c r="F899" s="1184"/>
      <c r="G899" s="1184"/>
      <c r="H899" s="1184"/>
      <c r="I899" s="1184"/>
      <c r="J899" s="1184"/>
      <c r="K899" s="1184"/>
      <c r="L899" s="1184"/>
      <c r="M899" s="1184"/>
      <c r="N899" s="1184"/>
      <c r="O899" s="1184"/>
      <c r="P899" s="1163"/>
      <c r="Q899" s="1163"/>
      <c r="R899" s="1163"/>
      <c r="S899" s="1163"/>
      <c r="T899" s="1163"/>
      <c r="U899" s="1163"/>
      <c r="V899" s="1163"/>
      <c r="W899" s="1163"/>
      <c r="X899" s="1163"/>
      <c r="Y899" s="1163"/>
    </row>
    <row r="900" ht="12.75" customHeight="1">
      <c r="A900" s="1184"/>
      <c r="B900" s="1184"/>
      <c r="C900" s="1184"/>
      <c r="D900" s="1184"/>
      <c r="E900" s="1184"/>
      <c r="F900" s="1184"/>
      <c r="G900" s="1184"/>
      <c r="H900" s="1184"/>
      <c r="I900" s="1184"/>
      <c r="J900" s="1184"/>
      <c r="K900" s="1184"/>
      <c r="L900" s="1184"/>
      <c r="M900" s="1184"/>
      <c r="N900" s="1184"/>
      <c r="O900" s="1184"/>
      <c r="P900" s="1163"/>
      <c r="Q900" s="1163"/>
      <c r="R900" s="1163"/>
      <c r="S900" s="1163"/>
      <c r="T900" s="1163"/>
      <c r="U900" s="1163"/>
      <c r="V900" s="1163"/>
      <c r="W900" s="1163"/>
      <c r="X900" s="1163"/>
      <c r="Y900" s="1163"/>
    </row>
    <row r="901" ht="12.75" customHeight="1">
      <c r="A901" s="1184"/>
      <c r="B901" s="1184"/>
      <c r="C901" s="1184"/>
      <c r="D901" s="1184"/>
      <c r="E901" s="1184"/>
      <c r="F901" s="1184"/>
      <c r="G901" s="1184"/>
      <c r="H901" s="1184"/>
      <c r="I901" s="1184"/>
      <c r="J901" s="1184"/>
      <c r="K901" s="1184"/>
      <c r="L901" s="1184"/>
      <c r="M901" s="1184"/>
      <c r="N901" s="1184"/>
      <c r="O901" s="1184"/>
      <c r="P901" s="1163"/>
      <c r="Q901" s="1163"/>
      <c r="R901" s="1163"/>
      <c r="S901" s="1163"/>
      <c r="T901" s="1163"/>
      <c r="U901" s="1163"/>
      <c r="V901" s="1163"/>
      <c r="W901" s="1163"/>
      <c r="X901" s="1163"/>
      <c r="Y901" s="1163"/>
    </row>
    <row r="902" ht="12.75" customHeight="1">
      <c r="A902" s="1184"/>
      <c r="B902" s="1184"/>
      <c r="C902" s="1184"/>
      <c r="D902" s="1184"/>
      <c r="E902" s="1184"/>
      <c r="F902" s="1184"/>
      <c r="G902" s="1184"/>
      <c r="H902" s="1184"/>
      <c r="I902" s="1184"/>
      <c r="J902" s="1184"/>
      <c r="K902" s="1184"/>
      <c r="L902" s="1184"/>
      <c r="M902" s="1184"/>
      <c r="N902" s="1184"/>
      <c r="O902" s="1184"/>
      <c r="P902" s="1163"/>
      <c r="Q902" s="1163"/>
      <c r="R902" s="1163"/>
      <c r="S902" s="1163"/>
      <c r="T902" s="1163"/>
      <c r="U902" s="1163"/>
      <c r="V902" s="1163"/>
      <c r="W902" s="1163"/>
      <c r="X902" s="1163"/>
      <c r="Y902" s="1163"/>
    </row>
    <row r="903" ht="12.75" customHeight="1">
      <c r="A903" s="1184"/>
      <c r="B903" s="1184"/>
      <c r="C903" s="1184"/>
      <c r="D903" s="1184"/>
      <c r="E903" s="1184"/>
      <c r="F903" s="1184"/>
      <c r="G903" s="1184"/>
      <c r="H903" s="1184"/>
      <c r="I903" s="1184"/>
      <c r="J903" s="1184"/>
      <c r="K903" s="1184"/>
      <c r="L903" s="1184"/>
      <c r="M903" s="1184"/>
      <c r="N903" s="1184"/>
      <c r="O903" s="1184"/>
      <c r="P903" s="1163"/>
      <c r="Q903" s="1163"/>
      <c r="R903" s="1163"/>
      <c r="S903" s="1163"/>
      <c r="T903" s="1163"/>
      <c r="U903" s="1163"/>
      <c r="V903" s="1163"/>
      <c r="W903" s="1163"/>
      <c r="X903" s="1163"/>
      <c r="Y903" s="1163"/>
    </row>
    <row r="904" ht="12.75" customHeight="1">
      <c r="A904" s="1184"/>
      <c r="B904" s="1184"/>
      <c r="C904" s="1184"/>
      <c r="D904" s="1184"/>
      <c r="E904" s="1184"/>
      <c r="F904" s="1184"/>
      <c r="G904" s="1184"/>
      <c r="H904" s="1184"/>
      <c r="I904" s="1184"/>
      <c r="J904" s="1184"/>
      <c r="K904" s="1184"/>
      <c r="L904" s="1184"/>
      <c r="M904" s="1184"/>
      <c r="N904" s="1184"/>
      <c r="O904" s="1184"/>
      <c r="P904" s="1163"/>
      <c r="Q904" s="1163"/>
      <c r="R904" s="1163"/>
      <c r="S904" s="1163"/>
      <c r="T904" s="1163"/>
      <c r="U904" s="1163"/>
      <c r="V904" s="1163"/>
      <c r="W904" s="1163"/>
      <c r="X904" s="1163"/>
      <c r="Y904" s="1163"/>
    </row>
    <row r="905" ht="12.75" customHeight="1">
      <c r="A905" s="1184"/>
      <c r="B905" s="1184"/>
      <c r="C905" s="1184"/>
      <c r="D905" s="1184"/>
      <c r="E905" s="1184"/>
      <c r="F905" s="1184"/>
      <c r="G905" s="1184"/>
      <c r="H905" s="1184"/>
      <c r="I905" s="1184"/>
      <c r="J905" s="1184"/>
      <c r="K905" s="1184"/>
      <c r="L905" s="1184"/>
      <c r="M905" s="1184"/>
      <c r="N905" s="1184"/>
      <c r="O905" s="1184"/>
      <c r="P905" s="1163"/>
      <c r="Q905" s="1163"/>
      <c r="R905" s="1163"/>
      <c r="S905" s="1163"/>
      <c r="T905" s="1163"/>
      <c r="U905" s="1163"/>
      <c r="V905" s="1163"/>
      <c r="W905" s="1163"/>
      <c r="X905" s="1163"/>
      <c r="Y905" s="1163"/>
    </row>
    <row r="906" ht="12.75" customHeight="1">
      <c r="A906" s="1184"/>
      <c r="B906" s="1184"/>
      <c r="C906" s="1184"/>
      <c r="D906" s="1184"/>
      <c r="E906" s="1184"/>
      <c r="F906" s="1184"/>
      <c r="G906" s="1184"/>
      <c r="H906" s="1184"/>
      <c r="I906" s="1184"/>
      <c r="J906" s="1184"/>
      <c r="K906" s="1184"/>
      <c r="L906" s="1184"/>
      <c r="M906" s="1184"/>
      <c r="N906" s="1184"/>
      <c r="O906" s="1184"/>
      <c r="P906" s="1163"/>
      <c r="Q906" s="1163"/>
      <c r="R906" s="1163"/>
      <c r="S906" s="1163"/>
      <c r="T906" s="1163"/>
      <c r="U906" s="1163"/>
      <c r="V906" s="1163"/>
      <c r="W906" s="1163"/>
      <c r="X906" s="1163"/>
      <c r="Y906" s="1163"/>
    </row>
    <row r="907" ht="12.75" customHeight="1">
      <c r="A907" s="1184"/>
      <c r="B907" s="1184"/>
      <c r="C907" s="1184"/>
      <c r="D907" s="1184"/>
      <c r="E907" s="1184"/>
      <c r="F907" s="1184"/>
      <c r="G907" s="1184"/>
      <c r="H907" s="1184"/>
      <c r="I907" s="1184"/>
      <c r="J907" s="1184"/>
      <c r="K907" s="1184"/>
      <c r="L907" s="1184"/>
      <c r="M907" s="1184"/>
      <c r="N907" s="1184"/>
      <c r="O907" s="1184"/>
      <c r="P907" s="1163"/>
      <c r="Q907" s="1163"/>
      <c r="R907" s="1163"/>
      <c r="S907" s="1163"/>
      <c r="T907" s="1163"/>
      <c r="U907" s="1163"/>
      <c r="V907" s="1163"/>
      <c r="W907" s="1163"/>
      <c r="X907" s="1163"/>
      <c r="Y907" s="1163"/>
    </row>
    <row r="908" ht="12.75" customHeight="1">
      <c r="A908" s="1184"/>
      <c r="B908" s="1184"/>
      <c r="C908" s="1184"/>
      <c r="D908" s="1184"/>
      <c r="E908" s="1184"/>
      <c r="F908" s="1184"/>
      <c r="G908" s="1184"/>
      <c r="H908" s="1184"/>
      <c r="I908" s="1184"/>
      <c r="J908" s="1184"/>
      <c r="K908" s="1184"/>
      <c r="L908" s="1184"/>
      <c r="M908" s="1184"/>
      <c r="N908" s="1184"/>
      <c r="O908" s="1184"/>
      <c r="P908" s="1163"/>
      <c r="Q908" s="1163"/>
      <c r="R908" s="1163"/>
      <c r="S908" s="1163"/>
      <c r="T908" s="1163"/>
      <c r="U908" s="1163"/>
      <c r="V908" s="1163"/>
      <c r="W908" s="1163"/>
      <c r="X908" s="1163"/>
      <c r="Y908" s="1163"/>
    </row>
    <row r="909" ht="12.75" customHeight="1">
      <c r="A909" s="1184"/>
      <c r="B909" s="1184"/>
      <c r="C909" s="1184"/>
      <c r="D909" s="1184"/>
      <c r="E909" s="1184"/>
      <c r="F909" s="1184"/>
      <c r="G909" s="1184"/>
      <c r="H909" s="1184"/>
      <c r="I909" s="1184"/>
      <c r="J909" s="1184"/>
      <c r="K909" s="1184"/>
      <c r="L909" s="1184"/>
      <c r="M909" s="1184"/>
      <c r="N909" s="1184"/>
      <c r="O909" s="1184"/>
      <c r="P909" s="1163"/>
      <c r="Q909" s="1163"/>
      <c r="R909" s="1163"/>
      <c r="S909" s="1163"/>
      <c r="T909" s="1163"/>
      <c r="U909" s="1163"/>
      <c r="V909" s="1163"/>
      <c r="W909" s="1163"/>
      <c r="X909" s="1163"/>
      <c r="Y909" s="1163"/>
    </row>
    <row r="910" ht="12.75" customHeight="1">
      <c r="A910" s="1184"/>
      <c r="B910" s="1184"/>
      <c r="C910" s="1184"/>
      <c r="D910" s="1184"/>
      <c r="E910" s="1184"/>
      <c r="F910" s="1184"/>
      <c r="G910" s="1184"/>
      <c r="H910" s="1184"/>
      <c r="I910" s="1184"/>
      <c r="J910" s="1184"/>
      <c r="K910" s="1184"/>
      <c r="L910" s="1184"/>
      <c r="M910" s="1184"/>
      <c r="N910" s="1184"/>
      <c r="O910" s="1184"/>
      <c r="P910" s="1163"/>
      <c r="Q910" s="1163"/>
      <c r="R910" s="1163"/>
      <c r="S910" s="1163"/>
      <c r="T910" s="1163"/>
      <c r="U910" s="1163"/>
      <c r="V910" s="1163"/>
      <c r="W910" s="1163"/>
      <c r="X910" s="1163"/>
      <c r="Y910" s="1163"/>
    </row>
    <row r="911" ht="12.75" customHeight="1">
      <c r="A911" s="1184"/>
      <c r="B911" s="1184"/>
      <c r="C911" s="1184"/>
      <c r="D911" s="1184"/>
      <c r="E911" s="1184"/>
      <c r="F911" s="1184"/>
      <c r="G911" s="1184"/>
      <c r="H911" s="1184"/>
      <c r="I911" s="1184"/>
      <c r="J911" s="1184"/>
      <c r="K911" s="1184"/>
      <c r="L911" s="1184"/>
      <c r="M911" s="1184"/>
      <c r="N911" s="1184"/>
      <c r="O911" s="1184"/>
      <c r="P911" s="1163"/>
      <c r="Q911" s="1163"/>
      <c r="R911" s="1163"/>
      <c r="S911" s="1163"/>
      <c r="T911" s="1163"/>
      <c r="U911" s="1163"/>
      <c r="V911" s="1163"/>
      <c r="W911" s="1163"/>
      <c r="X911" s="1163"/>
      <c r="Y911" s="1163"/>
    </row>
    <row r="912" ht="12.75" customHeight="1">
      <c r="A912" s="1184"/>
      <c r="B912" s="1184"/>
      <c r="C912" s="1184"/>
      <c r="D912" s="1184"/>
      <c r="E912" s="1184"/>
      <c r="F912" s="1184"/>
      <c r="G912" s="1184"/>
      <c r="H912" s="1184"/>
      <c r="I912" s="1184"/>
      <c r="J912" s="1184"/>
      <c r="K912" s="1184"/>
      <c r="L912" s="1184"/>
      <c r="M912" s="1184"/>
      <c r="N912" s="1184"/>
      <c r="O912" s="1184"/>
      <c r="P912" s="1163"/>
      <c r="Q912" s="1163"/>
      <c r="R912" s="1163"/>
      <c r="S912" s="1163"/>
      <c r="T912" s="1163"/>
      <c r="U912" s="1163"/>
      <c r="V912" s="1163"/>
      <c r="W912" s="1163"/>
      <c r="X912" s="1163"/>
      <c r="Y912" s="1163"/>
    </row>
    <row r="913" ht="12.75" customHeight="1">
      <c r="A913" s="1184"/>
      <c r="B913" s="1184"/>
      <c r="C913" s="1184"/>
      <c r="D913" s="1184"/>
      <c r="E913" s="1184"/>
      <c r="F913" s="1184"/>
      <c r="G913" s="1184"/>
      <c r="H913" s="1184"/>
      <c r="I913" s="1184"/>
      <c r="J913" s="1184"/>
      <c r="K913" s="1184"/>
      <c r="L913" s="1184"/>
      <c r="M913" s="1184"/>
      <c r="N913" s="1184"/>
      <c r="O913" s="1184"/>
      <c r="P913" s="1163"/>
      <c r="Q913" s="1163"/>
      <c r="R913" s="1163"/>
      <c r="S913" s="1163"/>
      <c r="T913" s="1163"/>
      <c r="U913" s="1163"/>
      <c r="V913" s="1163"/>
      <c r="W913" s="1163"/>
      <c r="X913" s="1163"/>
      <c r="Y913" s="1163"/>
    </row>
    <row r="914" ht="12.75" customHeight="1">
      <c r="A914" s="1184"/>
      <c r="B914" s="1184"/>
      <c r="C914" s="1184"/>
      <c r="D914" s="1184"/>
      <c r="E914" s="1184"/>
      <c r="F914" s="1184"/>
      <c r="G914" s="1184"/>
      <c r="H914" s="1184"/>
      <c r="I914" s="1184"/>
      <c r="J914" s="1184"/>
      <c r="K914" s="1184"/>
      <c r="L914" s="1184"/>
      <c r="M914" s="1184"/>
      <c r="N914" s="1184"/>
      <c r="O914" s="1184"/>
      <c r="P914" s="1163"/>
      <c r="Q914" s="1163"/>
      <c r="R914" s="1163"/>
      <c r="S914" s="1163"/>
      <c r="T914" s="1163"/>
      <c r="U914" s="1163"/>
      <c r="V914" s="1163"/>
      <c r="W914" s="1163"/>
      <c r="X914" s="1163"/>
      <c r="Y914" s="1163"/>
    </row>
    <row r="915" ht="12.75" customHeight="1">
      <c r="A915" s="1184"/>
      <c r="B915" s="1184"/>
      <c r="C915" s="1184"/>
      <c r="D915" s="1184"/>
      <c r="E915" s="1184"/>
      <c r="F915" s="1184"/>
      <c r="G915" s="1184"/>
      <c r="H915" s="1184"/>
      <c r="I915" s="1184"/>
      <c r="J915" s="1184"/>
      <c r="K915" s="1184"/>
      <c r="L915" s="1184"/>
      <c r="M915" s="1184"/>
      <c r="N915" s="1184"/>
      <c r="O915" s="1184"/>
      <c r="P915" s="1163"/>
      <c r="Q915" s="1163"/>
      <c r="R915" s="1163"/>
      <c r="S915" s="1163"/>
      <c r="T915" s="1163"/>
      <c r="U915" s="1163"/>
      <c r="V915" s="1163"/>
      <c r="W915" s="1163"/>
      <c r="X915" s="1163"/>
      <c r="Y915" s="1163"/>
    </row>
    <row r="916" ht="12.75" customHeight="1">
      <c r="A916" s="1184"/>
      <c r="B916" s="1184"/>
      <c r="C916" s="1184"/>
      <c r="D916" s="1184"/>
      <c r="E916" s="1184"/>
      <c r="F916" s="1184"/>
      <c r="G916" s="1184"/>
      <c r="H916" s="1184"/>
      <c r="I916" s="1184"/>
      <c r="J916" s="1184"/>
      <c r="K916" s="1184"/>
      <c r="L916" s="1184"/>
      <c r="M916" s="1184"/>
      <c r="N916" s="1184"/>
      <c r="O916" s="1184"/>
      <c r="P916" s="1163"/>
      <c r="Q916" s="1163"/>
      <c r="R916" s="1163"/>
      <c r="S916" s="1163"/>
      <c r="T916" s="1163"/>
      <c r="U916" s="1163"/>
      <c r="V916" s="1163"/>
      <c r="W916" s="1163"/>
      <c r="X916" s="1163"/>
      <c r="Y916" s="1163"/>
    </row>
    <row r="917" ht="12.75" customHeight="1">
      <c r="A917" s="1184"/>
      <c r="B917" s="1184"/>
      <c r="C917" s="1184"/>
      <c r="D917" s="1184"/>
      <c r="E917" s="1184"/>
      <c r="F917" s="1184"/>
      <c r="G917" s="1184"/>
      <c r="H917" s="1184"/>
      <c r="I917" s="1184"/>
      <c r="J917" s="1184"/>
      <c r="K917" s="1184"/>
      <c r="L917" s="1184"/>
      <c r="M917" s="1184"/>
      <c r="N917" s="1184"/>
      <c r="O917" s="1184"/>
      <c r="P917" s="1163"/>
      <c r="Q917" s="1163"/>
      <c r="R917" s="1163"/>
      <c r="S917" s="1163"/>
      <c r="T917" s="1163"/>
      <c r="U917" s="1163"/>
      <c r="V917" s="1163"/>
      <c r="W917" s="1163"/>
      <c r="X917" s="1163"/>
      <c r="Y917" s="1163"/>
    </row>
    <row r="918" ht="12.75" customHeight="1">
      <c r="A918" s="1184"/>
      <c r="B918" s="1184"/>
      <c r="C918" s="1184"/>
      <c r="D918" s="1184"/>
      <c r="E918" s="1184"/>
      <c r="F918" s="1184"/>
      <c r="G918" s="1184"/>
      <c r="H918" s="1184"/>
      <c r="I918" s="1184"/>
      <c r="J918" s="1184"/>
      <c r="K918" s="1184"/>
      <c r="L918" s="1184"/>
      <c r="M918" s="1184"/>
      <c r="N918" s="1184"/>
      <c r="O918" s="1184"/>
      <c r="P918" s="1163"/>
      <c r="Q918" s="1163"/>
      <c r="R918" s="1163"/>
      <c r="S918" s="1163"/>
      <c r="T918" s="1163"/>
      <c r="U918" s="1163"/>
      <c r="V918" s="1163"/>
      <c r="W918" s="1163"/>
      <c r="X918" s="1163"/>
      <c r="Y918" s="1163"/>
    </row>
    <row r="919" ht="12.75" customHeight="1">
      <c r="A919" s="1184"/>
      <c r="B919" s="1184"/>
      <c r="C919" s="1184"/>
      <c r="D919" s="1184"/>
      <c r="E919" s="1184"/>
      <c r="F919" s="1184"/>
      <c r="G919" s="1184"/>
      <c r="H919" s="1184"/>
      <c r="I919" s="1184"/>
      <c r="J919" s="1184"/>
      <c r="K919" s="1184"/>
      <c r="L919" s="1184"/>
      <c r="M919" s="1184"/>
      <c r="N919" s="1184"/>
      <c r="O919" s="1184"/>
      <c r="P919" s="1163"/>
      <c r="Q919" s="1163"/>
      <c r="R919" s="1163"/>
      <c r="S919" s="1163"/>
      <c r="T919" s="1163"/>
      <c r="U919" s="1163"/>
      <c r="V919" s="1163"/>
      <c r="W919" s="1163"/>
      <c r="X919" s="1163"/>
      <c r="Y919" s="1163"/>
    </row>
    <row r="920" ht="12.75" customHeight="1">
      <c r="A920" s="1184"/>
      <c r="B920" s="1184"/>
      <c r="C920" s="1184"/>
      <c r="D920" s="1184"/>
      <c r="E920" s="1184"/>
      <c r="F920" s="1184"/>
      <c r="G920" s="1184"/>
      <c r="H920" s="1184"/>
      <c r="I920" s="1184"/>
      <c r="J920" s="1184"/>
      <c r="K920" s="1184"/>
      <c r="L920" s="1184"/>
      <c r="M920" s="1184"/>
      <c r="N920" s="1184"/>
      <c r="O920" s="1184"/>
      <c r="P920" s="1163"/>
      <c r="Q920" s="1163"/>
      <c r="R920" s="1163"/>
      <c r="S920" s="1163"/>
      <c r="T920" s="1163"/>
      <c r="U920" s="1163"/>
      <c r="V920" s="1163"/>
      <c r="W920" s="1163"/>
      <c r="X920" s="1163"/>
      <c r="Y920" s="1163"/>
    </row>
    <row r="921" ht="12.75" customHeight="1">
      <c r="A921" s="1184"/>
      <c r="B921" s="1184"/>
      <c r="C921" s="1184"/>
      <c r="D921" s="1184"/>
      <c r="E921" s="1184"/>
      <c r="F921" s="1184"/>
      <c r="G921" s="1184"/>
      <c r="H921" s="1184"/>
      <c r="I921" s="1184"/>
      <c r="J921" s="1184"/>
      <c r="K921" s="1184"/>
      <c r="L921" s="1184"/>
      <c r="M921" s="1184"/>
      <c r="N921" s="1184"/>
      <c r="O921" s="1184"/>
      <c r="P921" s="1163"/>
      <c r="Q921" s="1163"/>
      <c r="R921" s="1163"/>
      <c r="S921" s="1163"/>
      <c r="T921" s="1163"/>
      <c r="U921" s="1163"/>
      <c r="V921" s="1163"/>
      <c r="W921" s="1163"/>
      <c r="X921" s="1163"/>
      <c r="Y921" s="1163"/>
    </row>
    <row r="922" ht="12.75" customHeight="1">
      <c r="A922" s="1184"/>
      <c r="B922" s="1184"/>
      <c r="C922" s="1184"/>
      <c r="D922" s="1184"/>
      <c r="E922" s="1184"/>
      <c r="F922" s="1184"/>
      <c r="G922" s="1184"/>
      <c r="H922" s="1184"/>
      <c r="I922" s="1184"/>
      <c r="J922" s="1184"/>
      <c r="K922" s="1184"/>
      <c r="L922" s="1184"/>
      <c r="M922" s="1184"/>
      <c r="N922" s="1184"/>
      <c r="O922" s="1184"/>
      <c r="P922" s="1163"/>
      <c r="Q922" s="1163"/>
      <c r="R922" s="1163"/>
      <c r="S922" s="1163"/>
      <c r="T922" s="1163"/>
      <c r="U922" s="1163"/>
      <c r="V922" s="1163"/>
      <c r="W922" s="1163"/>
      <c r="X922" s="1163"/>
      <c r="Y922" s="1163"/>
    </row>
    <row r="923" ht="12.75" customHeight="1">
      <c r="A923" s="1184"/>
      <c r="B923" s="1184"/>
      <c r="C923" s="1184"/>
      <c r="D923" s="1184"/>
      <c r="E923" s="1184"/>
      <c r="F923" s="1184"/>
      <c r="G923" s="1184"/>
      <c r="H923" s="1184"/>
      <c r="I923" s="1184"/>
      <c r="J923" s="1184"/>
      <c r="K923" s="1184"/>
      <c r="L923" s="1184"/>
      <c r="M923" s="1184"/>
      <c r="N923" s="1184"/>
      <c r="O923" s="1184"/>
      <c r="P923" s="1163"/>
      <c r="Q923" s="1163"/>
      <c r="R923" s="1163"/>
      <c r="S923" s="1163"/>
      <c r="T923" s="1163"/>
      <c r="U923" s="1163"/>
      <c r="V923" s="1163"/>
      <c r="W923" s="1163"/>
      <c r="X923" s="1163"/>
      <c r="Y923" s="1163"/>
    </row>
    <row r="924" ht="12.75" customHeight="1">
      <c r="A924" s="1184"/>
      <c r="B924" s="1184"/>
      <c r="C924" s="1184"/>
      <c r="D924" s="1184"/>
      <c r="E924" s="1184"/>
      <c r="F924" s="1184"/>
      <c r="G924" s="1184"/>
      <c r="H924" s="1184"/>
      <c r="I924" s="1184"/>
      <c r="J924" s="1184"/>
      <c r="K924" s="1184"/>
      <c r="L924" s="1184"/>
      <c r="M924" s="1184"/>
      <c r="N924" s="1184"/>
      <c r="O924" s="1184"/>
      <c r="P924" s="1163"/>
      <c r="Q924" s="1163"/>
      <c r="R924" s="1163"/>
      <c r="S924" s="1163"/>
      <c r="T924" s="1163"/>
      <c r="U924" s="1163"/>
      <c r="V924" s="1163"/>
      <c r="W924" s="1163"/>
      <c r="X924" s="1163"/>
      <c r="Y924" s="1163"/>
    </row>
    <row r="925" ht="12.75" customHeight="1">
      <c r="A925" s="1184"/>
      <c r="B925" s="1184"/>
      <c r="C925" s="1184"/>
      <c r="D925" s="1184"/>
      <c r="E925" s="1184"/>
      <c r="F925" s="1184"/>
      <c r="G925" s="1184"/>
      <c r="H925" s="1184"/>
      <c r="I925" s="1184"/>
      <c r="J925" s="1184"/>
      <c r="K925" s="1184"/>
      <c r="L925" s="1184"/>
      <c r="M925" s="1184"/>
      <c r="N925" s="1184"/>
      <c r="O925" s="1184"/>
      <c r="P925" s="1163"/>
      <c r="Q925" s="1163"/>
      <c r="R925" s="1163"/>
      <c r="S925" s="1163"/>
      <c r="T925" s="1163"/>
      <c r="U925" s="1163"/>
      <c r="V925" s="1163"/>
      <c r="W925" s="1163"/>
      <c r="X925" s="1163"/>
      <c r="Y925" s="1163"/>
    </row>
    <row r="926" ht="12.75" customHeight="1">
      <c r="A926" s="1184"/>
      <c r="B926" s="1184"/>
      <c r="C926" s="1184"/>
      <c r="D926" s="1184"/>
      <c r="E926" s="1184"/>
      <c r="F926" s="1184"/>
      <c r="G926" s="1184"/>
      <c r="H926" s="1184"/>
      <c r="I926" s="1184"/>
      <c r="J926" s="1184"/>
      <c r="K926" s="1184"/>
      <c r="L926" s="1184"/>
      <c r="M926" s="1184"/>
      <c r="N926" s="1184"/>
      <c r="O926" s="1184"/>
      <c r="P926" s="1163"/>
      <c r="Q926" s="1163"/>
      <c r="R926" s="1163"/>
      <c r="S926" s="1163"/>
      <c r="T926" s="1163"/>
      <c r="U926" s="1163"/>
      <c r="V926" s="1163"/>
      <c r="W926" s="1163"/>
      <c r="X926" s="1163"/>
      <c r="Y926" s="1163"/>
    </row>
    <row r="927" ht="12.75" customHeight="1">
      <c r="A927" s="1184"/>
      <c r="B927" s="1184"/>
      <c r="C927" s="1184"/>
      <c r="D927" s="1184"/>
      <c r="E927" s="1184"/>
      <c r="F927" s="1184"/>
      <c r="G927" s="1184"/>
      <c r="H927" s="1184"/>
      <c r="I927" s="1184"/>
      <c r="J927" s="1184"/>
      <c r="K927" s="1184"/>
      <c r="L927" s="1184"/>
      <c r="M927" s="1184"/>
      <c r="N927" s="1184"/>
      <c r="O927" s="1184"/>
      <c r="P927" s="1163"/>
      <c r="Q927" s="1163"/>
      <c r="R927" s="1163"/>
      <c r="S927" s="1163"/>
      <c r="T927" s="1163"/>
      <c r="U927" s="1163"/>
      <c r="V927" s="1163"/>
      <c r="W927" s="1163"/>
      <c r="X927" s="1163"/>
      <c r="Y927" s="1163"/>
    </row>
    <row r="928" ht="12.75" customHeight="1">
      <c r="A928" s="1184"/>
      <c r="B928" s="1184"/>
      <c r="C928" s="1184"/>
      <c r="D928" s="1184"/>
      <c r="E928" s="1184"/>
      <c r="F928" s="1184"/>
      <c r="G928" s="1184"/>
      <c r="H928" s="1184"/>
      <c r="I928" s="1184"/>
      <c r="J928" s="1184"/>
      <c r="K928" s="1184"/>
      <c r="L928" s="1184"/>
      <c r="M928" s="1184"/>
      <c r="N928" s="1184"/>
      <c r="O928" s="1184"/>
      <c r="P928" s="1163"/>
      <c r="Q928" s="1163"/>
      <c r="R928" s="1163"/>
      <c r="S928" s="1163"/>
      <c r="T928" s="1163"/>
      <c r="U928" s="1163"/>
      <c r="V928" s="1163"/>
      <c r="W928" s="1163"/>
      <c r="X928" s="1163"/>
      <c r="Y928" s="1163"/>
    </row>
    <row r="929" ht="12.75" customHeight="1">
      <c r="A929" s="1184"/>
      <c r="B929" s="1184"/>
      <c r="C929" s="1184"/>
      <c r="D929" s="1184"/>
      <c r="E929" s="1184"/>
      <c r="F929" s="1184"/>
      <c r="G929" s="1184"/>
      <c r="H929" s="1184"/>
      <c r="I929" s="1184"/>
      <c r="J929" s="1184"/>
      <c r="K929" s="1184"/>
      <c r="L929" s="1184"/>
      <c r="M929" s="1184"/>
      <c r="N929" s="1184"/>
      <c r="O929" s="1184"/>
      <c r="P929" s="1163"/>
      <c r="Q929" s="1163"/>
      <c r="R929" s="1163"/>
      <c r="S929" s="1163"/>
      <c r="T929" s="1163"/>
      <c r="U929" s="1163"/>
      <c r="V929" s="1163"/>
      <c r="W929" s="1163"/>
      <c r="X929" s="1163"/>
      <c r="Y929" s="1163"/>
    </row>
    <row r="930" ht="12.75" customHeight="1">
      <c r="A930" s="1184"/>
      <c r="B930" s="1184"/>
      <c r="C930" s="1184"/>
      <c r="D930" s="1184"/>
      <c r="E930" s="1184"/>
      <c r="F930" s="1184"/>
      <c r="G930" s="1184"/>
      <c r="H930" s="1184"/>
      <c r="I930" s="1184"/>
      <c r="J930" s="1184"/>
      <c r="K930" s="1184"/>
      <c r="L930" s="1184"/>
      <c r="M930" s="1184"/>
      <c r="N930" s="1184"/>
      <c r="O930" s="1184"/>
      <c r="P930" s="1163"/>
      <c r="Q930" s="1163"/>
      <c r="R930" s="1163"/>
      <c r="S930" s="1163"/>
      <c r="T930" s="1163"/>
      <c r="U930" s="1163"/>
      <c r="V930" s="1163"/>
      <c r="W930" s="1163"/>
      <c r="X930" s="1163"/>
      <c r="Y930" s="1163"/>
    </row>
    <row r="931" ht="12.75" customHeight="1">
      <c r="A931" s="1184"/>
      <c r="B931" s="1184"/>
      <c r="C931" s="1184"/>
      <c r="D931" s="1184"/>
      <c r="E931" s="1184"/>
      <c r="F931" s="1184"/>
      <c r="G931" s="1184"/>
      <c r="H931" s="1184"/>
      <c r="I931" s="1184"/>
      <c r="J931" s="1184"/>
      <c r="K931" s="1184"/>
      <c r="L931" s="1184"/>
      <c r="M931" s="1184"/>
      <c r="N931" s="1184"/>
      <c r="O931" s="1184"/>
      <c r="P931" s="1163"/>
      <c r="Q931" s="1163"/>
      <c r="R931" s="1163"/>
      <c r="S931" s="1163"/>
      <c r="T931" s="1163"/>
      <c r="U931" s="1163"/>
      <c r="V931" s="1163"/>
      <c r="W931" s="1163"/>
      <c r="X931" s="1163"/>
      <c r="Y931" s="1163"/>
    </row>
    <row r="932" ht="12.75" customHeight="1">
      <c r="A932" s="1184"/>
      <c r="B932" s="1184"/>
      <c r="C932" s="1184"/>
      <c r="D932" s="1184"/>
      <c r="E932" s="1184"/>
      <c r="F932" s="1184"/>
      <c r="G932" s="1184"/>
      <c r="H932" s="1184"/>
      <c r="I932" s="1184"/>
      <c r="J932" s="1184"/>
      <c r="K932" s="1184"/>
      <c r="L932" s="1184"/>
      <c r="M932" s="1184"/>
      <c r="N932" s="1184"/>
      <c r="O932" s="1184"/>
      <c r="P932" s="1163"/>
      <c r="Q932" s="1163"/>
      <c r="R932" s="1163"/>
      <c r="S932" s="1163"/>
      <c r="T932" s="1163"/>
      <c r="U932" s="1163"/>
      <c r="V932" s="1163"/>
      <c r="W932" s="1163"/>
      <c r="X932" s="1163"/>
      <c r="Y932" s="1163"/>
    </row>
    <row r="933" ht="12.75" customHeight="1">
      <c r="A933" s="1184"/>
      <c r="B933" s="1184"/>
      <c r="C933" s="1184"/>
      <c r="D933" s="1184"/>
      <c r="E933" s="1184"/>
      <c r="F933" s="1184"/>
      <c r="G933" s="1184"/>
      <c r="H933" s="1184"/>
      <c r="I933" s="1184"/>
      <c r="J933" s="1184"/>
      <c r="K933" s="1184"/>
      <c r="L933" s="1184"/>
      <c r="M933" s="1184"/>
      <c r="N933" s="1184"/>
      <c r="O933" s="1184"/>
      <c r="P933" s="1163"/>
      <c r="Q933" s="1163"/>
      <c r="R933" s="1163"/>
      <c r="S933" s="1163"/>
      <c r="T933" s="1163"/>
      <c r="U933" s="1163"/>
      <c r="V933" s="1163"/>
      <c r="W933" s="1163"/>
      <c r="X933" s="1163"/>
      <c r="Y933" s="1163"/>
    </row>
    <row r="934" ht="12.75" customHeight="1">
      <c r="A934" s="1184"/>
      <c r="B934" s="1184"/>
      <c r="C934" s="1184"/>
      <c r="D934" s="1184"/>
      <c r="E934" s="1184"/>
      <c r="F934" s="1184"/>
      <c r="G934" s="1184"/>
      <c r="H934" s="1184"/>
      <c r="I934" s="1184"/>
      <c r="J934" s="1184"/>
      <c r="K934" s="1184"/>
      <c r="L934" s="1184"/>
      <c r="M934" s="1184"/>
      <c r="N934" s="1184"/>
      <c r="O934" s="1184"/>
      <c r="P934" s="1163"/>
      <c r="Q934" s="1163"/>
      <c r="R934" s="1163"/>
      <c r="S934" s="1163"/>
      <c r="T934" s="1163"/>
      <c r="U934" s="1163"/>
      <c r="V934" s="1163"/>
      <c r="W934" s="1163"/>
      <c r="X934" s="1163"/>
      <c r="Y934" s="1163"/>
    </row>
    <row r="935" ht="12.75" customHeight="1">
      <c r="A935" s="1184"/>
      <c r="B935" s="1184"/>
      <c r="C935" s="1184"/>
      <c r="D935" s="1184"/>
      <c r="E935" s="1184"/>
      <c r="F935" s="1184"/>
      <c r="G935" s="1184"/>
      <c r="H935" s="1184"/>
      <c r="I935" s="1184"/>
      <c r="J935" s="1184"/>
      <c r="K935" s="1184"/>
      <c r="L935" s="1184"/>
      <c r="M935" s="1184"/>
      <c r="N935" s="1184"/>
      <c r="O935" s="1184"/>
      <c r="P935" s="1163"/>
      <c r="Q935" s="1163"/>
      <c r="R935" s="1163"/>
      <c r="S935" s="1163"/>
      <c r="T935" s="1163"/>
      <c r="U935" s="1163"/>
      <c r="V935" s="1163"/>
      <c r="W935" s="1163"/>
      <c r="X935" s="1163"/>
      <c r="Y935" s="1163"/>
    </row>
    <row r="936" ht="12.75" customHeight="1">
      <c r="A936" s="1184"/>
      <c r="B936" s="1184"/>
      <c r="C936" s="1184"/>
      <c r="D936" s="1184"/>
      <c r="E936" s="1184"/>
      <c r="F936" s="1184"/>
      <c r="G936" s="1184"/>
      <c r="H936" s="1184"/>
      <c r="I936" s="1184"/>
      <c r="J936" s="1184"/>
      <c r="K936" s="1184"/>
      <c r="L936" s="1184"/>
      <c r="M936" s="1184"/>
      <c r="N936" s="1184"/>
      <c r="O936" s="1184"/>
      <c r="P936" s="1163"/>
      <c r="Q936" s="1163"/>
      <c r="R936" s="1163"/>
      <c r="S936" s="1163"/>
      <c r="T936" s="1163"/>
      <c r="U936" s="1163"/>
      <c r="V936" s="1163"/>
      <c r="W936" s="1163"/>
      <c r="X936" s="1163"/>
      <c r="Y936" s="1163"/>
    </row>
    <row r="937" ht="12.75" customHeight="1">
      <c r="A937" s="1184"/>
      <c r="B937" s="1184"/>
      <c r="C937" s="1184"/>
      <c r="D937" s="1184"/>
      <c r="E937" s="1184"/>
      <c r="F937" s="1184"/>
      <c r="G937" s="1184"/>
      <c r="H937" s="1184"/>
      <c r="I937" s="1184"/>
      <c r="J937" s="1184"/>
      <c r="K937" s="1184"/>
      <c r="L937" s="1184"/>
      <c r="M937" s="1184"/>
      <c r="N937" s="1184"/>
      <c r="O937" s="1184"/>
      <c r="P937" s="1163"/>
      <c r="Q937" s="1163"/>
      <c r="R937" s="1163"/>
      <c r="S937" s="1163"/>
      <c r="T937" s="1163"/>
      <c r="U937" s="1163"/>
      <c r="V937" s="1163"/>
      <c r="W937" s="1163"/>
      <c r="X937" s="1163"/>
      <c r="Y937" s="1163"/>
    </row>
    <row r="938" ht="12.75" customHeight="1">
      <c r="A938" s="1184"/>
      <c r="B938" s="1184"/>
      <c r="C938" s="1184"/>
      <c r="D938" s="1184"/>
      <c r="E938" s="1184"/>
      <c r="F938" s="1184"/>
      <c r="G938" s="1184"/>
      <c r="H938" s="1184"/>
      <c r="I938" s="1184"/>
      <c r="J938" s="1184"/>
      <c r="K938" s="1184"/>
      <c r="L938" s="1184"/>
      <c r="M938" s="1184"/>
      <c r="N938" s="1184"/>
      <c r="O938" s="1184"/>
      <c r="P938" s="1163"/>
      <c r="Q938" s="1163"/>
      <c r="R938" s="1163"/>
      <c r="S938" s="1163"/>
      <c r="T938" s="1163"/>
      <c r="U938" s="1163"/>
      <c r="V938" s="1163"/>
      <c r="W938" s="1163"/>
      <c r="X938" s="1163"/>
      <c r="Y938" s="1163"/>
    </row>
    <row r="939" ht="12.75" customHeight="1">
      <c r="A939" s="1184"/>
      <c r="B939" s="1184"/>
      <c r="C939" s="1184"/>
      <c r="D939" s="1184"/>
      <c r="E939" s="1184"/>
      <c r="F939" s="1184"/>
      <c r="G939" s="1184"/>
      <c r="H939" s="1184"/>
      <c r="I939" s="1184"/>
      <c r="J939" s="1184"/>
      <c r="K939" s="1184"/>
      <c r="L939" s="1184"/>
      <c r="M939" s="1184"/>
      <c r="N939" s="1184"/>
      <c r="O939" s="1184"/>
      <c r="P939" s="1163"/>
      <c r="Q939" s="1163"/>
      <c r="R939" s="1163"/>
      <c r="S939" s="1163"/>
      <c r="T939" s="1163"/>
      <c r="U939" s="1163"/>
      <c r="V939" s="1163"/>
      <c r="W939" s="1163"/>
      <c r="X939" s="1163"/>
      <c r="Y939" s="1163"/>
    </row>
    <row r="940" ht="12.75" customHeight="1">
      <c r="A940" s="1184"/>
      <c r="B940" s="1184"/>
      <c r="C940" s="1184"/>
      <c r="D940" s="1184"/>
      <c r="E940" s="1184"/>
      <c r="F940" s="1184"/>
      <c r="G940" s="1184"/>
      <c r="H940" s="1184"/>
      <c r="I940" s="1184"/>
      <c r="J940" s="1184"/>
      <c r="K940" s="1184"/>
      <c r="L940" s="1184"/>
      <c r="M940" s="1184"/>
      <c r="N940" s="1184"/>
      <c r="O940" s="1184"/>
      <c r="P940" s="1163"/>
      <c r="Q940" s="1163"/>
      <c r="R940" s="1163"/>
      <c r="S940" s="1163"/>
      <c r="T940" s="1163"/>
      <c r="U940" s="1163"/>
      <c r="V940" s="1163"/>
      <c r="W940" s="1163"/>
      <c r="X940" s="1163"/>
      <c r="Y940" s="1163"/>
    </row>
    <row r="941" ht="12.75" customHeight="1">
      <c r="A941" s="1184"/>
      <c r="B941" s="1184"/>
      <c r="C941" s="1184"/>
      <c r="D941" s="1184"/>
      <c r="E941" s="1184"/>
      <c r="F941" s="1184"/>
      <c r="G941" s="1184"/>
      <c r="H941" s="1184"/>
      <c r="I941" s="1184"/>
      <c r="J941" s="1184"/>
      <c r="K941" s="1184"/>
      <c r="L941" s="1184"/>
      <c r="M941" s="1184"/>
      <c r="N941" s="1184"/>
      <c r="O941" s="1184"/>
      <c r="P941" s="1163"/>
      <c r="Q941" s="1163"/>
      <c r="R941" s="1163"/>
      <c r="S941" s="1163"/>
      <c r="T941" s="1163"/>
      <c r="U941" s="1163"/>
      <c r="V941" s="1163"/>
      <c r="W941" s="1163"/>
      <c r="X941" s="1163"/>
      <c r="Y941" s="1163"/>
    </row>
    <row r="942" ht="12.75" customHeight="1">
      <c r="A942" s="1184"/>
      <c r="B942" s="1184"/>
      <c r="C942" s="1184"/>
      <c r="D942" s="1184"/>
      <c r="E942" s="1184"/>
      <c r="F942" s="1184"/>
      <c r="G942" s="1184"/>
      <c r="H942" s="1184"/>
      <c r="I942" s="1184"/>
      <c r="J942" s="1184"/>
      <c r="K942" s="1184"/>
      <c r="L942" s="1184"/>
      <c r="M942" s="1184"/>
      <c r="N942" s="1184"/>
      <c r="O942" s="1184"/>
      <c r="P942" s="1163"/>
      <c r="Q942" s="1163"/>
      <c r="R942" s="1163"/>
      <c r="S942" s="1163"/>
      <c r="T942" s="1163"/>
      <c r="U942" s="1163"/>
      <c r="V942" s="1163"/>
      <c r="W942" s="1163"/>
      <c r="X942" s="1163"/>
      <c r="Y942" s="1163"/>
    </row>
    <row r="943" ht="12.75" customHeight="1">
      <c r="A943" s="1184"/>
      <c r="B943" s="1184"/>
      <c r="C943" s="1184"/>
      <c r="D943" s="1184"/>
      <c r="E943" s="1184"/>
      <c r="F943" s="1184"/>
      <c r="G943" s="1184"/>
      <c r="H943" s="1184"/>
      <c r="I943" s="1184"/>
      <c r="J943" s="1184"/>
      <c r="K943" s="1184"/>
      <c r="L943" s="1184"/>
      <c r="M943" s="1184"/>
      <c r="N943" s="1184"/>
      <c r="O943" s="1184"/>
      <c r="P943" s="1163"/>
      <c r="Q943" s="1163"/>
      <c r="R943" s="1163"/>
      <c r="S943" s="1163"/>
      <c r="T943" s="1163"/>
      <c r="U943" s="1163"/>
      <c r="V943" s="1163"/>
      <c r="W943" s="1163"/>
      <c r="X943" s="1163"/>
      <c r="Y943" s="1163"/>
    </row>
    <row r="944" ht="12.75" customHeight="1">
      <c r="A944" s="1184"/>
      <c r="B944" s="1184"/>
      <c r="C944" s="1184"/>
      <c r="D944" s="1184"/>
      <c r="E944" s="1184"/>
      <c r="F944" s="1184"/>
      <c r="G944" s="1184"/>
      <c r="H944" s="1184"/>
      <c r="I944" s="1184"/>
      <c r="J944" s="1184"/>
      <c r="K944" s="1184"/>
      <c r="L944" s="1184"/>
      <c r="M944" s="1184"/>
      <c r="N944" s="1184"/>
      <c r="O944" s="1184"/>
      <c r="P944" s="1163"/>
      <c r="Q944" s="1163"/>
      <c r="R944" s="1163"/>
      <c r="S944" s="1163"/>
      <c r="T944" s="1163"/>
      <c r="U944" s="1163"/>
      <c r="V944" s="1163"/>
      <c r="W944" s="1163"/>
      <c r="X944" s="1163"/>
      <c r="Y944" s="1163"/>
    </row>
    <row r="945" ht="12.75" customHeight="1">
      <c r="A945" s="1184"/>
      <c r="B945" s="1184"/>
      <c r="C945" s="1184"/>
      <c r="D945" s="1184"/>
      <c r="E945" s="1184"/>
      <c r="F945" s="1184"/>
      <c r="G945" s="1184"/>
      <c r="H945" s="1184"/>
      <c r="I945" s="1184"/>
      <c r="J945" s="1184"/>
      <c r="K945" s="1184"/>
      <c r="L945" s="1184"/>
      <c r="M945" s="1184"/>
      <c r="N945" s="1184"/>
      <c r="O945" s="1184"/>
      <c r="P945" s="1163"/>
      <c r="Q945" s="1163"/>
      <c r="R945" s="1163"/>
      <c r="S945" s="1163"/>
      <c r="T945" s="1163"/>
      <c r="U945" s="1163"/>
      <c r="V945" s="1163"/>
      <c r="W945" s="1163"/>
      <c r="X945" s="1163"/>
      <c r="Y945" s="1163"/>
    </row>
    <row r="946" ht="12.75" customHeight="1">
      <c r="A946" s="1184"/>
      <c r="B946" s="1184"/>
      <c r="C946" s="1184"/>
      <c r="D946" s="1184"/>
      <c r="E946" s="1184"/>
      <c r="F946" s="1184"/>
      <c r="G946" s="1184"/>
      <c r="H946" s="1184"/>
      <c r="I946" s="1184"/>
      <c r="J946" s="1184"/>
      <c r="K946" s="1184"/>
      <c r="L946" s="1184"/>
      <c r="M946" s="1184"/>
      <c r="N946" s="1184"/>
      <c r="O946" s="1184"/>
      <c r="P946" s="1163"/>
      <c r="Q946" s="1163"/>
      <c r="R946" s="1163"/>
      <c r="S946" s="1163"/>
      <c r="T946" s="1163"/>
      <c r="U946" s="1163"/>
      <c r="V946" s="1163"/>
      <c r="W946" s="1163"/>
      <c r="X946" s="1163"/>
      <c r="Y946" s="1163"/>
    </row>
    <row r="947" ht="12.75" customHeight="1">
      <c r="A947" s="1184"/>
      <c r="B947" s="1184"/>
      <c r="C947" s="1184"/>
      <c r="D947" s="1184"/>
      <c r="E947" s="1184"/>
      <c r="F947" s="1184"/>
      <c r="G947" s="1184"/>
      <c r="H947" s="1184"/>
      <c r="I947" s="1184"/>
      <c r="J947" s="1184"/>
      <c r="K947" s="1184"/>
      <c r="L947" s="1184"/>
      <c r="M947" s="1184"/>
      <c r="N947" s="1184"/>
      <c r="O947" s="1184"/>
      <c r="P947" s="1163"/>
      <c r="Q947" s="1163"/>
      <c r="R947" s="1163"/>
      <c r="S947" s="1163"/>
      <c r="T947" s="1163"/>
      <c r="U947" s="1163"/>
      <c r="V947" s="1163"/>
      <c r="W947" s="1163"/>
      <c r="X947" s="1163"/>
      <c r="Y947" s="1163"/>
    </row>
    <row r="948" ht="12.75" customHeight="1">
      <c r="A948" s="1184"/>
      <c r="B948" s="1184"/>
      <c r="C948" s="1184"/>
      <c r="D948" s="1184"/>
      <c r="E948" s="1184"/>
      <c r="F948" s="1184"/>
      <c r="G948" s="1184"/>
      <c r="H948" s="1184"/>
      <c r="I948" s="1184"/>
      <c r="J948" s="1184"/>
      <c r="K948" s="1184"/>
      <c r="L948" s="1184"/>
      <c r="M948" s="1184"/>
      <c r="N948" s="1184"/>
      <c r="O948" s="1184"/>
      <c r="P948" s="1163"/>
      <c r="Q948" s="1163"/>
      <c r="R948" s="1163"/>
      <c r="S948" s="1163"/>
      <c r="T948" s="1163"/>
      <c r="U948" s="1163"/>
      <c r="V948" s="1163"/>
      <c r="W948" s="1163"/>
      <c r="X948" s="1163"/>
      <c r="Y948" s="1163"/>
    </row>
    <row r="949" ht="12.75" customHeight="1">
      <c r="A949" s="1184"/>
      <c r="B949" s="1184"/>
      <c r="C949" s="1184"/>
      <c r="D949" s="1184"/>
      <c r="E949" s="1184"/>
      <c r="F949" s="1184"/>
      <c r="G949" s="1184"/>
      <c r="H949" s="1184"/>
      <c r="I949" s="1184"/>
      <c r="J949" s="1184"/>
      <c r="K949" s="1184"/>
      <c r="L949" s="1184"/>
      <c r="M949" s="1184"/>
      <c r="N949" s="1184"/>
      <c r="O949" s="1184"/>
      <c r="P949" s="1163"/>
      <c r="Q949" s="1163"/>
      <c r="R949" s="1163"/>
      <c r="S949" s="1163"/>
      <c r="T949" s="1163"/>
      <c r="U949" s="1163"/>
      <c r="V949" s="1163"/>
      <c r="W949" s="1163"/>
      <c r="X949" s="1163"/>
      <c r="Y949" s="1163"/>
    </row>
    <row r="950" ht="12.75" customHeight="1">
      <c r="A950" s="1184"/>
      <c r="B950" s="1184"/>
      <c r="C950" s="1184"/>
      <c r="D950" s="1184"/>
      <c r="E950" s="1184"/>
      <c r="F950" s="1184"/>
      <c r="G950" s="1184"/>
      <c r="H950" s="1184"/>
      <c r="I950" s="1184"/>
      <c r="J950" s="1184"/>
      <c r="K950" s="1184"/>
      <c r="L950" s="1184"/>
      <c r="M950" s="1184"/>
      <c r="N950" s="1184"/>
      <c r="O950" s="1184"/>
      <c r="P950" s="1163"/>
      <c r="Q950" s="1163"/>
      <c r="R950" s="1163"/>
      <c r="S950" s="1163"/>
      <c r="T950" s="1163"/>
      <c r="U950" s="1163"/>
      <c r="V950" s="1163"/>
      <c r="W950" s="1163"/>
      <c r="X950" s="1163"/>
      <c r="Y950" s="1163"/>
    </row>
    <row r="951" ht="12.75" customHeight="1">
      <c r="A951" s="1184"/>
      <c r="B951" s="1184"/>
      <c r="C951" s="1184"/>
      <c r="D951" s="1184"/>
      <c r="E951" s="1184"/>
      <c r="F951" s="1184"/>
      <c r="G951" s="1184"/>
      <c r="H951" s="1184"/>
      <c r="I951" s="1184"/>
      <c r="J951" s="1184"/>
      <c r="K951" s="1184"/>
      <c r="L951" s="1184"/>
      <c r="M951" s="1184"/>
      <c r="N951" s="1184"/>
      <c r="O951" s="1184"/>
      <c r="P951" s="1163"/>
      <c r="Q951" s="1163"/>
      <c r="R951" s="1163"/>
      <c r="S951" s="1163"/>
      <c r="T951" s="1163"/>
      <c r="U951" s="1163"/>
      <c r="V951" s="1163"/>
      <c r="W951" s="1163"/>
      <c r="X951" s="1163"/>
      <c r="Y951" s="1163"/>
    </row>
    <row r="952" ht="12.75" customHeight="1">
      <c r="A952" s="1184"/>
      <c r="B952" s="1184"/>
      <c r="C952" s="1184"/>
      <c r="D952" s="1184"/>
      <c r="E952" s="1184"/>
      <c r="F952" s="1184"/>
      <c r="G952" s="1184"/>
      <c r="H952" s="1184"/>
      <c r="I952" s="1184"/>
      <c r="J952" s="1184"/>
      <c r="K952" s="1184"/>
      <c r="L952" s="1184"/>
      <c r="M952" s="1184"/>
      <c r="N952" s="1184"/>
      <c r="O952" s="1184"/>
      <c r="P952" s="1163"/>
      <c r="Q952" s="1163"/>
      <c r="R952" s="1163"/>
      <c r="S952" s="1163"/>
      <c r="T952" s="1163"/>
      <c r="U952" s="1163"/>
      <c r="V952" s="1163"/>
      <c r="W952" s="1163"/>
      <c r="X952" s="1163"/>
      <c r="Y952" s="1163"/>
    </row>
    <row r="953" ht="12.75" customHeight="1">
      <c r="A953" s="1184"/>
      <c r="B953" s="1184"/>
      <c r="C953" s="1184"/>
      <c r="D953" s="1184"/>
      <c r="E953" s="1184"/>
      <c r="F953" s="1184"/>
      <c r="G953" s="1184"/>
      <c r="H953" s="1184"/>
      <c r="I953" s="1184"/>
      <c r="J953" s="1184"/>
      <c r="K953" s="1184"/>
      <c r="L953" s="1184"/>
      <c r="M953" s="1184"/>
      <c r="N953" s="1184"/>
      <c r="O953" s="1184"/>
      <c r="P953" s="1163"/>
      <c r="Q953" s="1163"/>
      <c r="R953" s="1163"/>
      <c r="S953" s="1163"/>
      <c r="T953" s="1163"/>
      <c r="U953" s="1163"/>
      <c r="V953" s="1163"/>
      <c r="W953" s="1163"/>
      <c r="X953" s="1163"/>
      <c r="Y953" s="1163"/>
    </row>
    <row r="954" ht="12.75" customHeight="1">
      <c r="A954" s="1184"/>
      <c r="B954" s="1184"/>
      <c r="C954" s="1184"/>
      <c r="D954" s="1184"/>
      <c r="E954" s="1184"/>
      <c r="F954" s="1184"/>
      <c r="G954" s="1184"/>
      <c r="H954" s="1184"/>
      <c r="I954" s="1184"/>
      <c r="J954" s="1184"/>
      <c r="K954" s="1184"/>
      <c r="L954" s="1184"/>
      <c r="M954" s="1184"/>
      <c r="N954" s="1184"/>
      <c r="O954" s="1184"/>
      <c r="P954" s="1163"/>
      <c r="Q954" s="1163"/>
      <c r="R954" s="1163"/>
      <c r="S954" s="1163"/>
      <c r="T954" s="1163"/>
      <c r="U954" s="1163"/>
      <c r="V954" s="1163"/>
      <c r="W954" s="1163"/>
      <c r="X954" s="1163"/>
      <c r="Y954" s="1163"/>
    </row>
    <row r="955" ht="12.75" customHeight="1">
      <c r="A955" s="1184"/>
      <c r="B955" s="1184"/>
      <c r="C955" s="1184"/>
      <c r="D955" s="1184"/>
      <c r="E955" s="1184"/>
      <c r="F955" s="1184"/>
      <c r="G955" s="1184"/>
      <c r="H955" s="1184"/>
      <c r="I955" s="1184"/>
      <c r="J955" s="1184"/>
      <c r="K955" s="1184"/>
      <c r="L955" s="1184"/>
      <c r="M955" s="1184"/>
      <c r="N955" s="1184"/>
      <c r="O955" s="1184"/>
      <c r="P955" s="1163"/>
      <c r="Q955" s="1163"/>
      <c r="R955" s="1163"/>
      <c r="S955" s="1163"/>
      <c r="T955" s="1163"/>
      <c r="U955" s="1163"/>
      <c r="V955" s="1163"/>
      <c r="W955" s="1163"/>
      <c r="X955" s="1163"/>
      <c r="Y955" s="1163"/>
    </row>
    <row r="956" ht="12.75" customHeight="1">
      <c r="A956" s="1184"/>
      <c r="B956" s="1184"/>
      <c r="C956" s="1184"/>
      <c r="D956" s="1184"/>
      <c r="E956" s="1184"/>
      <c r="F956" s="1184"/>
      <c r="G956" s="1184"/>
      <c r="H956" s="1184"/>
      <c r="I956" s="1184"/>
      <c r="J956" s="1184"/>
      <c r="K956" s="1184"/>
      <c r="L956" s="1184"/>
      <c r="M956" s="1184"/>
      <c r="N956" s="1184"/>
      <c r="O956" s="1184"/>
      <c r="P956" s="1163"/>
      <c r="Q956" s="1163"/>
      <c r="R956" s="1163"/>
      <c r="S956" s="1163"/>
      <c r="T956" s="1163"/>
      <c r="U956" s="1163"/>
      <c r="V956" s="1163"/>
      <c r="W956" s="1163"/>
      <c r="X956" s="1163"/>
      <c r="Y956" s="1163"/>
    </row>
    <row r="957" ht="12.75" customHeight="1">
      <c r="A957" s="1184"/>
      <c r="B957" s="1184"/>
      <c r="C957" s="1184"/>
      <c r="D957" s="1184"/>
      <c r="E957" s="1184"/>
      <c r="F957" s="1184"/>
      <c r="G957" s="1184"/>
      <c r="H957" s="1184"/>
      <c r="I957" s="1184"/>
      <c r="J957" s="1184"/>
      <c r="K957" s="1184"/>
      <c r="L957" s="1184"/>
      <c r="M957" s="1184"/>
      <c r="N957" s="1184"/>
      <c r="O957" s="1184"/>
      <c r="P957" s="1163"/>
      <c r="Q957" s="1163"/>
      <c r="R957" s="1163"/>
      <c r="S957" s="1163"/>
      <c r="T957" s="1163"/>
      <c r="U957" s="1163"/>
      <c r="V957" s="1163"/>
      <c r="W957" s="1163"/>
      <c r="X957" s="1163"/>
      <c r="Y957" s="1163"/>
    </row>
    <row r="958" ht="12.75" customHeight="1">
      <c r="A958" s="1184"/>
      <c r="B958" s="1184"/>
      <c r="C958" s="1184"/>
      <c r="D958" s="1184"/>
      <c r="E958" s="1184"/>
      <c r="F958" s="1184"/>
      <c r="G958" s="1184"/>
      <c r="H958" s="1184"/>
      <c r="I958" s="1184"/>
      <c r="J958" s="1184"/>
      <c r="K958" s="1184"/>
      <c r="L958" s="1184"/>
      <c r="M958" s="1184"/>
      <c r="N958" s="1184"/>
      <c r="O958" s="1184"/>
      <c r="P958" s="1163"/>
      <c r="Q958" s="1163"/>
      <c r="R958" s="1163"/>
      <c r="S958" s="1163"/>
      <c r="T958" s="1163"/>
      <c r="U958" s="1163"/>
      <c r="V958" s="1163"/>
      <c r="W958" s="1163"/>
      <c r="X958" s="1163"/>
      <c r="Y958" s="1163"/>
    </row>
    <row r="959" ht="12.75" customHeight="1">
      <c r="A959" s="1184"/>
      <c r="B959" s="1184"/>
      <c r="C959" s="1184"/>
      <c r="D959" s="1184"/>
      <c r="E959" s="1184"/>
      <c r="F959" s="1184"/>
      <c r="G959" s="1184"/>
      <c r="H959" s="1184"/>
      <c r="I959" s="1184"/>
      <c r="J959" s="1184"/>
      <c r="K959" s="1184"/>
      <c r="L959" s="1184"/>
      <c r="M959" s="1184"/>
      <c r="N959" s="1184"/>
      <c r="O959" s="1184"/>
      <c r="P959" s="1163"/>
      <c r="Q959" s="1163"/>
      <c r="R959" s="1163"/>
      <c r="S959" s="1163"/>
      <c r="T959" s="1163"/>
      <c r="U959" s="1163"/>
      <c r="V959" s="1163"/>
      <c r="W959" s="1163"/>
      <c r="X959" s="1163"/>
      <c r="Y959" s="1163"/>
    </row>
    <row r="960" ht="12.75" customHeight="1">
      <c r="A960" s="1184"/>
      <c r="B960" s="1184"/>
      <c r="C960" s="1184"/>
      <c r="D960" s="1184"/>
      <c r="E960" s="1184"/>
      <c r="F960" s="1184"/>
      <c r="G960" s="1184"/>
      <c r="H960" s="1184"/>
      <c r="I960" s="1184"/>
      <c r="J960" s="1184"/>
      <c r="K960" s="1184"/>
      <c r="L960" s="1184"/>
      <c r="M960" s="1184"/>
      <c r="N960" s="1184"/>
      <c r="O960" s="1184"/>
      <c r="P960" s="1163"/>
      <c r="Q960" s="1163"/>
      <c r="R960" s="1163"/>
      <c r="S960" s="1163"/>
      <c r="T960" s="1163"/>
      <c r="U960" s="1163"/>
      <c r="V960" s="1163"/>
      <c r="W960" s="1163"/>
      <c r="X960" s="1163"/>
      <c r="Y960" s="1163"/>
    </row>
    <row r="961" ht="12.75" customHeight="1">
      <c r="A961" s="1184"/>
      <c r="B961" s="1184"/>
      <c r="C961" s="1184"/>
      <c r="D961" s="1184"/>
      <c r="E961" s="1184"/>
      <c r="F961" s="1184"/>
      <c r="G961" s="1184"/>
      <c r="H961" s="1184"/>
      <c r="I961" s="1184"/>
      <c r="J961" s="1184"/>
      <c r="K961" s="1184"/>
      <c r="L961" s="1184"/>
      <c r="M961" s="1184"/>
      <c r="N961" s="1184"/>
      <c r="O961" s="1184"/>
      <c r="P961" s="1163"/>
      <c r="Q961" s="1163"/>
      <c r="R961" s="1163"/>
      <c r="S961" s="1163"/>
      <c r="T961" s="1163"/>
      <c r="U961" s="1163"/>
      <c r="V961" s="1163"/>
      <c r="W961" s="1163"/>
      <c r="X961" s="1163"/>
      <c r="Y961" s="1163"/>
    </row>
    <row r="962" ht="12.75" customHeight="1">
      <c r="A962" s="1184"/>
      <c r="B962" s="1184"/>
      <c r="C962" s="1184"/>
      <c r="D962" s="1184"/>
      <c r="E962" s="1184"/>
      <c r="F962" s="1184"/>
      <c r="G962" s="1184"/>
      <c r="H962" s="1184"/>
      <c r="I962" s="1184"/>
      <c r="J962" s="1184"/>
      <c r="K962" s="1184"/>
      <c r="L962" s="1184"/>
      <c r="M962" s="1184"/>
      <c r="N962" s="1184"/>
      <c r="O962" s="1184"/>
      <c r="P962" s="1163"/>
      <c r="Q962" s="1163"/>
      <c r="R962" s="1163"/>
      <c r="S962" s="1163"/>
      <c r="T962" s="1163"/>
      <c r="U962" s="1163"/>
      <c r="V962" s="1163"/>
      <c r="W962" s="1163"/>
      <c r="X962" s="1163"/>
      <c r="Y962" s="1163"/>
    </row>
    <row r="963" ht="12.75" customHeight="1">
      <c r="A963" s="1184"/>
      <c r="B963" s="1184"/>
      <c r="C963" s="1184"/>
      <c r="D963" s="1184"/>
      <c r="E963" s="1184"/>
      <c r="F963" s="1184"/>
      <c r="G963" s="1184"/>
      <c r="H963" s="1184"/>
      <c r="I963" s="1184"/>
      <c r="J963" s="1184"/>
      <c r="K963" s="1184"/>
      <c r="L963" s="1184"/>
      <c r="M963" s="1184"/>
      <c r="N963" s="1184"/>
      <c r="O963" s="1184"/>
      <c r="P963" s="1163"/>
      <c r="Q963" s="1163"/>
      <c r="R963" s="1163"/>
      <c r="S963" s="1163"/>
      <c r="T963" s="1163"/>
      <c r="U963" s="1163"/>
      <c r="V963" s="1163"/>
      <c r="W963" s="1163"/>
      <c r="X963" s="1163"/>
      <c r="Y963" s="1163"/>
    </row>
    <row r="964" ht="12.75" customHeight="1">
      <c r="A964" s="1184"/>
      <c r="B964" s="1184"/>
      <c r="C964" s="1184"/>
      <c r="D964" s="1184"/>
      <c r="E964" s="1184"/>
      <c r="F964" s="1184"/>
      <c r="G964" s="1184"/>
      <c r="H964" s="1184"/>
      <c r="I964" s="1184"/>
      <c r="J964" s="1184"/>
      <c r="K964" s="1184"/>
      <c r="L964" s="1184"/>
      <c r="M964" s="1184"/>
      <c r="N964" s="1184"/>
      <c r="O964" s="1184"/>
      <c r="P964" s="1163"/>
      <c r="Q964" s="1163"/>
      <c r="R964" s="1163"/>
      <c r="S964" s="1163"/>
      <c r="T964" s="1163"/>
      <c r="U964" s="1163"/>
      <c r="V964" s="1163"/>
      <c r="W964" s="1163"/>
      <c r="X964" s="1163"/>
      <c r="Y964" s="1163"/>
    </row>
    <row r="965" ht="12.75" customHeight="1">
      <c r="A965" s="1184"/>
      <c r="B965" s="1184"/>
      <c r="C965" s="1184"/>
      <c r="D965" s="1184"/>
      <c r="E965" s="1184"/>
      <c r="F965" s="1184"/>
      <c r="G965" s="1184"/>
      <c r="H965" s="1184"/>
      <c r="I965" s="1184"/>
      <c r="J965" s="1184"/>
      <c r="K965" s="1184"/>
      <c r="L965" s="1184"/>
      <c r="M965" s="1184"/>
      <c r="N965" s="1184"/>
      <c r="O965" s="1184"/>
      <c r="P965" s="1163"/>
      <c r="Q965" s="1163"/>
      <c r="R965" s="1163"/>
      <c r="S965" s="1163"/>
      <c r="T965" s="1163"/>
      <c r="U965" s="1163"/>
      <c r="V965" s="1163"/>
      <c r="W965" s="1163"/>
      <c r="X965" s="1163"/>
      <c r="Y965" s="1163"/>
    </row>
    <row r="966" ht="12.75" customHeight="1">
      <c r="A966" s="1184"/>
      <c r="B966" s="1184"/>
      <c r="C966" s="1184"/>
      <c r="D966" s="1184"/>
      <c r="E966" s="1184"/>
      <c r="F966" s="1184"/>
      <c r="G966" s="1184"/>
      <c r="H966" s="1184"/>
      <c r="I966" s="1184"/>
      <c r="J966" s="1184"/>
      <c r="K966" s="1184"/>
      <c r="L966" s="1184"/>
      <c r="M966" s="1184"/>
      <c r="N966" s="1184"/>
      <c r="O966" s="1184"/>
      <c r="P966" s="1163"/>
      <c r="Q966" s="1163"/>
      <c r="R966" s="1163"/>
      <c r="S966" s="1163"/>
      <c r="T966" s="1163"/>
      <c r="U966" s="1163"/>
      <c r="V966" s="1163"/>
      <c r="W966" s="1163"/>
      <c r="X966" s="1163"/>
      <c r="Y966" s="1163"/>
    </row>
    <row r="967" ht="12.75" customHeight="1">
      <c r="A967" s="1184"/>
      <c r="B967" s="1184"/>
      <c r="C967" s="1184"/>
      <c r="D967" s="1184"/>
      <c r="E967" s="1184"/>
      <c r="F967" s="1184"/>
      <c r="G967" s="1184"/>
      <c r="H967" s="1184"/>
      <c r="I967" s="1184"/>
      <c r="J967" s="1184"/>
      <c r="K967" s="1184"/>
      <c r="L967" s="1184"/>
      <c r="M967" s="1184"/>
      <c r="N967" s="1184"/>
      <c r="O967" s="1184"/>
      <c r="P967" s="1163"/>
      <c r="Q967" s="1163"/>
      <c r="R967" s="1163"/>
      <c r="S967" s="1163"/>
      <c r="T967" s="1163"/>
      <c r="U967" s="1163"/>
      <c r="V967" s="1163"/>
      <c r="W967" s="1163"/>
      <c r="X967" s="1163"/>
      <c r="Y967" s="1163"/>
    </row>
    <row r="968" ht="12.75" customHeight="1">
      <c r="A968" s="1184"/>
      <c r="B968" s="1184"/>
      <c r="C968" s="1184"/>
      <c r="D968" s="1184"/>
      <c r="E968" s="1184"/>
      <c r="F968" s="1184"/>
      <c r="G968" s="1184"/>
      <c r="H968" s="1184"/>
      <c r="I968" s="1184"/>
      <c r="J968" s="1184"/>
      <c r="K968" s="1184"/>
      <c r="L968" s="1184"/>
      <c r="M968" s="1184"/>
      <c r="N968" s="1184"/>
      <c r="O968" s="1184"/>
      <c r="P968" s="1163"/>
      <c r="Q968" s="1163"/>
      <c r="R968" s="1163"/>
      <c r="S968" s="1163"/>
      <c r="T968" s="1163"/>
      <c r="U968" s="1163"/>
      <c r="V968" s="1163"/>
      <c r="W968" s="1163"/>
      <c r="X968" s="1163"/>
      <c r="Y968" s="1163"/>
    </row>
    <row r="969" ht="12.75" customHeight="1">
      <c r="A969" s="1184"/>
      <c r="B969" s="1184"/>
      <c r="C969" s="1184"/>
      <c r="D969" s="1184"/>
      <c r="E969" s="1184"/>
      <c r="F969" s="1184"/>
      <c r="G969" s="1184"/>
      <c r="H969" s="1184"/>
      <c r="I969" s="1184"/>
      <c r="J969" s="1184"/>
      <c r="K969" s="1184"/>
      <c r="L969" s="1184"/>
      <c r="M969" s="1184"/>
      <c r="N969" s="1184"/>
      <c r="O969" s="1184"/>
      <c r="P969" s="1163"/>
      <c r="Q969" s="1163"/>
      <c r="R969" s="1163"/>
      <c r="S969" s="1163"/>
      <c r="T969" s="1163"/>
      <c r="U969" s="1163"/>
      <c r="V969" s="1163"/>
      <c r="W969" s="1163"/>
      <c r="X969" s="1163"/>
      <c r="Y969" s="1163"/>
    </row>
    <row r="970" ht="12.75" customHeight="1">
      <c r="A970" s="1184"/>
      <c r="B970" s="1184"/>
      <c r="C970" s="1184"/>
      <c r="D970" s="1184"/>
      <c r="E970" s="1184"/>
      <c r="F970" s="1184"/>
      <c r="G970" s="1184"/>
      <c r="H970" s="1184"/>
      <c r="I970" s="1184"/>
      <c r="J970" s="1184"/>
      <c r="K970" s="1184"/>
      <c r="L970" s="1184"/>
      <c r="M970" s="1184"/>
      <c r="N970" s="1184"/>
      <c r="O970" s="1184"/>
      <c r="P970" s="1163"/>
      <c r="Q970" s="1163"/>
      <c r="R970" s="1163"/>
      <c r="S970" s="1163"/>
      <c r="T970" s="1163"/>
      <c r="U970" s="1163"/>
      <c r="V970" s="1163"/>
      <c r="W970" s="1163"/>
      <c r="X970" s="1163"/>
      <c r="Y970" s="1163"/>
    </row>
    <row r="971" ht="12.75" customHeight="1">
      <c r="A971" s="1184"/>
      <c r="B971" s="1184"/>
      <c r="C971" s="1184"/>
      <c r="D971" s="1184"/>
      <c r="E971" s="1184"/>
      <c r="F971" s="1184"/>
      <c r="G971" s="1184"/>
      <c r="H971" s="1184"/>
      <c r="I971" s="1184"/>
      <c r="J971" s="1184"/>
      <c r="K971" s="1184"/>
      <c r="L971" s="1184"/>
      <c r="M971" s="1184"/>
      <c r="N971" s="1184"/>
      <c r="O971" s="1184"/>
      <c r="P971" s="1163"/>
      <c r="Q971" s="1163"/>
      <c r="R971" s="1163"/>
      <c r="S971" s="1163"/>
      <c r="T971" s="1163"/>
      <c r="U971" s="1163"/>
      <c r="V971" s="1163"/>
      <c r="W971" s="1163"/>
      <c r="X971" s="1163"/>
      <c r="Y971" s="1163"/>
    </row>
    <row r="972" ht="12.75" customHeight="1">
      <c r="A972" s="1184"/>
      <c r="B972" s="1184"/>
      <c r="C972" s="1184"/>
      <c r="D972" s="1184"/>
      <c r="E972" s="1184"/>
      <c r="F972" s="1184"/>
      <c r="G972" s="1184"/>
      <c r="H972" s="1184"/>
      <c r="I972" s="1184"/>
      <c r="J972" s="1184"/>
      <c r="K972" s="1184"/>
      <c r="L972" s="1184"/>
      <c r="M972" s="1184"/>
      <c r="N972" s="1184"/>
      <c r="O972" s="1184"/>
      <c r="P972" s="1163"/>
      <c r="Q972" s="1163"/>
      <c r="R972" s="1163"/>
      <c r="S972" s="1163"/>
      <c r="T972" s="1163"/>
      <c r="U972" s="1163"/>
      <c r="V972" s="1163"/>
      <c r="W972" s="1163"/>
      <c r="X972" s="1163"/>
      <c r="Y972" s="1163"/>
    </row>
    <row r="973" ht="12.75" customHeight="1">
      <c r="A973" s="1184"/>
      <c r="B973" s="1184"/>
      <c r="C973" s="1184"/>
      <c r="D973" s="1184"/>
      <c r="E973" s="1184"/>
      <c r="F973" s="1184"/>
      <c r="G973" s="1184"/>
      <c r="H973" s="1184"/>
      <c r="I973" s="1184"/>
      <c r="J973" s="1184"/>
      <c r="K973" s="1184"/>
      <c r="L973" s="1184"/>
      <c r="M973" s="1184"/>
      <c r="N973" s="1184"/>
      <c r="O973" s="1184"/>
      <c r="P973" s="1163"/>
      <c r="Q973" s="1163"/>
      <c r="R973" s="1163"/>
      <c r="S973" s="1163"/>
      <c r="T973" s="1163"/>
      <c r="U973" s="1163"/>
      <c r="V973" s="1163"/>
      <c r="W973" s="1163"/>
      <c r="X973" s="1163"/>
      <c r="Y973" s="1163"/>
    </row>
    <row r="974" ht="12.75" customHeight="1">
      <c r="A974" s="1184"/>
      <c r="B974" s="1184"/>
      <c r="C974" s="1184"/>
      <c r="D974" s="1184"/>
      <c r="E974" s="1184"/>
      <c r="F974" s="1184"/>
      <c r="G974" s="1184"/>
      <c r="H974" s="1184"/>
      <c r="I974" s="1184"/>
      <c r="J974" s="1184"/>
      <c r="K974" s="1184"/>
      <c r="L974" s="1184"/>
      <c r="M974" s="1184"/>
      <c r="N974" s="1184"/>
      <c r="O974" s="1184"/>
      <c r="P974" s="1163"/>
      <c r="Q974" s="1163"/>
      <c r="R974" s="1163"/>
      <c r="S974" s="1163"/>
      <c r="T974" s="1163"/>
      <c r="U974" s="1163"/>
      <c r="V974" s="1163"/>
      <c r="W974" s="1163"/>
      <c r="X974" s="1163"/>
      <c r="Y974" s="1163"/>
    </row>
    <row r="975" ht="12.75" customHeight="1">
      <c r="A975" s="1184"/>
      <c r="B975" s="1184"/>
      <c r="C975" s="1184"/>
      <c r="D975" s="1184"/>
      <c r="E975" s="1184"/>
      <c r="F975" s="1184"/>
      <c r="G975" s="1184"/>
      <c r="H975" s="1184"/>
      <c r="I975" s="1184"/>
      <c r="J975" s="1184"/>
      <c r="K975" s="1184"/>
      <c r="L975" s="1184"/>
      <c r="M975" s="1184"/>
      <c r="N975" s="1184"/>
      <c r="O975" s="1184"/>
      <c r="P975" s="1163"/>
      <c r="Q975" s="1163"/>
      <c r="R975" s="1163"/>
      <c r="S975" s="1163"/>
      <c r="T975" s="1163"/>
      <c r="U975" s="1163"/>
      <c r="V975" s="1163"/>
      <c r="W975" s="1163"/>
      <c r="X975" s="1163"/>
      <c r="Y975" s="1163"/>
    </row>
    <row r="976" ht="12.75" customHeight="1">
      <c r="A976" s="1184"/>
      <c r="B976" s="1184"/>
      <c r="C976" s="1184"/>
      <c r="D976" s="1184"/>
      <c r="E976" s="1184"/>
      <c r="F976" s="1184"/>
      <c r="G976" s="1184"/>
      <c r="H976" s="1184"/>
      <c r="I976" s="1184"/>
      <c r="J976" s="1184"/>
      <c r="K976" s="1184"/>
      <c r="L976" s="1184"/>
      <c r="M976" s="1184"/>
      <c r="N976" s="1184"/>
      <c r="O976" s="1184"/>
      <c r="P976" s="1163"/>
      <c r="Q976" s="1163"/>
      <c r="R976" s="1163"/>
      <c r="S976" s="1163"/>
      <c r="T976" s="1163"/>
      <c r="U976" s="1163"/>
      <c r="V976" s="1163"/>
      <c r="W976" s="1163"/>
      <c r="X976" s="1163"/>
      <c r="Y976" s="1163"/>
    </row>
    <row r="977" ht="12.75" customHeight="1">
      <c r="A977" s="1184"/>
      <c r="B977" s="1184"/>
      <c r="C977" s="1184"/>
      <c r="D977" s="1184"/>
      <c r="E977" s="1184"/>
      <c r="F977" s="1184"/>
      <c r="G977" s="1184"/>
      <c r="H977" s="1184"/>
      <c r="I977" s="1184"/>
      <c r="J977" s="1184"/>
      <c r="K977" s="1184"/>
      <c r="L977" s="1184"/>
      <c r="M977" s="1184"/>
      <c r="N977" s="1184"/>
      <c r="O977" s="1184"/>
      <c r="P977" s="1163"/>
      <c r="Q977" s="1163"/>
      <c r="R977" s="1163"/>
      <c r="S977" s="1163"/>
      <c r="T977" s="1163"/>
      <c r="U977" s="1163"/>
      <c r="V977" s="1163"/>
      <c r="W977" s="1163"/>
      <c r="X977" s="1163"/>
      <c r="Y977" s="1163"/>
    </row>
    <row r="978" ht="12.75" customHeight="1">
      <c r="A978" s="1184"/>
      <c r="B978" s="1184"/>
      <c r="C978" s="1184"/>
      <c r="D978" s="1184"/>
      <c r="E978" s="1184"/>
      <c r="F978" s="1184"/>
      <c r="G978" s="1184"/>
      <c r="H978" s="1184"/>
      <c r="I978" s="1184"/>
      <c r="J978" s="1184"/>
      <c r="K978" s="1184"/>
      <c r="L978" s="1184"/>
      <c r="M978" s="1184"/>
      <c r="N978" s="1184"/>
      <c r="O978" s="1184"/>
      <c r="P978" s="1163"/>
      <c r="Q978" s="1163"/>
      <c r="R978" s="1163"/>
      <c r="S978" s="1163"/>
      <c r="T978" s="1163"/>
      <c r="U978" s="1163"/>
      <c r="V978" s="1163"/>
      <c r="W978" s="1163"/>
      <c r="X978" s="1163"/>
      <c r="Y978" s="1163"/>
    </row>
    <row r="979" ht="12.75" customHeight="1">
      <c r="A979" s="1184"/>
      <c r="B979" s="1184"/>
      <c r="C979" s="1184"/>
      <c r="D979" s="1184"/>
      <c r="E979" s="1184"/>
      <c r="F979" s="1184"/>
      <c r="G979" s="1184"/>
      <c r="H979" s="1184"/>
      <c r="I979" s="1184"/>
      <c r="J979" s="1184"/>
      <c r="K979" s="1184"/>
      <c r="L979" s="1184"/>
      <c r="M979" s="1184"/>
      <c r="N979" s="1184"/>
      <c r="O979" s="1184"/>
      <c r="P979" s="1163"/>
      <c r="Q979" s="1163"/>
      <c r="R979" s="1163"/>
      <c r="S979" s="1163"/>
      <c r="T979" s="1163"/>
      <c r="U979" s="1163"/>
      <c r="V979" s="1163"/>
      <c r="W979" s="1163"/>
      <c r="X979" s="1163"/>
      <c r="Y979" s="1163"/>
    </row>
    <row r="980" ht="12.75" customHeight="1">
      <c r="A980" s="1184"/>
      <c r="B980" s="1184"/>
      <c r="C980" s="1184"/>
      <c r="D980" s="1184"/>
      <c r="E980" s="1184"/>
      <c r="F980" s="1184"/>
      <c r="G980" s="1184"/>
      <c r="H980" s="1184"/>
      <c r="I980" s="1184"/>
      <c r="J980" s="1184"/>
      <c r="K980" s="1184"/>
      <c r="L980" s="1184"/>
      <c r="M980" s="1184"/>
      <c r="N980" s="1184"/>
      <c r="O980" s="1184"/>
      <c r="P980" s="1163"/>
      <c r="Q980" s="1163"/>
      <c r="R980" s="1163"/>
      <c r="S980" s="1163"/>
      <c r="T980" s="1163"/>
      <c r="U980" s="1163"/>
      <c r="V980" s="1163"/>
      <c r="W980" s="1163"/>
      <c r="X980" s="1163"/>
      <c r="Y980" s="1163"/>
    </row>
    <row r="981" ht="12.75" customHeight="1">
      <c r="A981" s="1184"/>
      <c r="B981" s="1184"/>
      <c r="C981" s="1184"/>
      <c r="D981" s="1184"/>
      <c r="E981" s="1184"/>
      <c r="F981" s="1184"/>
      <c r="G981" s="1184"/>
      <c r="H981" s="1184"/>
      <c r="I981" s="1184"/>
      <c r="J981" s="1184"/>
      <c r="K981" s="1184"/>
      <c r="L981" s="1184"/>
      <c r="M981" s="1184"/>
      <c r="N981" s="1184"/>
      <c r="O981" s="1184"/>
      <c r="P981" s="1163"/>
      <c r="Q981" s="1163"/>
      <c r="R981" s="1163"/>
      <c r="S981" s="1163"/>
      <c r="T981" s="1163"/>
      <c r="U981" s="1163"/>
      <c r="V981" s="1163"/>
      <c r="W981" s="1163"/>
      <c r="X981" s="1163"/>
      <c r="Y981" s="1163"/>
    </row>
    <row r="982" ht="12.75" customHeight="1">
      <c r="A982" s="1184"/>
      <c r="B982" s="1184"/>
      <c r="C982" s="1184"/>
      <c r="D982" s="1184"/>
      <c r="E982" s="1184"/>
      <c r="F982" s="1184"/>
      <c r="G982" s="1184"/>
      <c r="H982" s="1184"/>
      <c r="I982" s="1184"/>
      <c r="J982" s="1184"/>
      <c r="K982" s="1184"/>
      <c r="L982" s="1184"/>
      <c r="M982" s="1184"/>
      <c r="N982" s="1184"/>
      <c r="O982" s="1184"/>
      <c r="P982" s="1163"/>
      <c r="Q982" s="1163"/>
      <c r="R982" s="1163"/>
      <c r="S982" s="1163"/>
      <c r="T982" s="1163"/>
      <c r="U982" s="1163"/>
      <c r="V982" s="1163"/>
      <c r="W982" s="1163"/>
      <c r="X982" s="1163"/>
      <c r="Y982" s="1163"/>
    </row>
    <row r="983" ht="12.75" customHeight="1">
      <c r="A983" s="1184"/>
      <c r="B983" s="1184"/>
      <c r="C983" s="1184"/>
      <c r="D983" s="1184"/>
      <c r="E983" s="1184"/>
      <c r="F983" s="1184"/>
      <c r="G983" s="1184"/>
      <c r="H983" s="1184"/>
      <c r="I983" s="1184"/>
      <c r="J983" s="1184"/>
      <c r="K983" s="1184"/>
      <c r="L983" s="1184"/>
      <c r="M983" s="1184"/>
      <c r="N983" s="1184"/>
      <c r="O983" s="1184"/>
      <c r="P983" s="1163"/>
      <c r="Q983" s="1163"/>
      <c r="R983" s="1163"/>
      <c r="S983" s="1163"/>
      <c r="T983" s="1163"/>
      <c r="U983" s="1163"/>
      <c r="V983" s="1163"/>
      <c r="W983" s="1163"/>
      <c r="X983" s="1163"/>
      <c r="Y983" s="1163"/>
    </row>
    <row r="984" ht="12.75" customHeight="1">
      <c r="A984" s="1184"/>
      <c r="B984" s="1184"/>
      <c r="C984" s="1184"/>
      <c r="D984" s="1184"/>
      <c r="E984" s="1184"/>
      <c r="F984" s="1184"/>
      <c r="G984" s="1184"/>
      <c r="H984" s="1184"/>
      <c r="I984" s="1184"/>
      <c r="J984" s="1184"/>
      <c r="K984" s="1184"/>
      <c r="L984" s="1184"/>
      <c r="M984" s="1184"/>
      <c r="N984" s="1184"/>
      <c r="O984" s="1184"/>
      <c r="P984" s="1163"/>
      <c r="Q984" s="1163"/>
      <c r="R984" s="1163"/>
      <c r="S984" s="1163"/>
      <c r="T984" s="1163"/>
      <c r="U984" s="1163"/>
      <c r="V984" s="1163"/>
      <c r="W984" s="1163"/>
      <c r="X984" s="1163"/>
      <c r="Y984" s="1163"/>
    </row>
    <row r="985" ht="12.75" customHeight="1">
      <c r="A985" s="1184"/>
      <c r="B985" s="1184"/>
      <c r="C985" s="1184"/>
      <c r="D985" s="1184"/>
      <c r="E985" s="1184"/>
      <c r="F985" s="1184"/>
      <c r="G985" s="1184"/>
      <c r="H985" s="1184"/>
      <c r="I985" s="1184"/>
      <c r="J985" s="1184"/>
      <c r="K985" s="1184"/>
      <c r="L985" s="1184"/>
      <c r="M985" s="1184"/>
      <c r="N985" s="1184"/>
      <c r="O985" s="1184"/>
      <c r="P985" s="1163"/>
      <c r="Q985" s="1163"/>
      <c r="R985" s="1163"/>
      <c r="S985" s="1163"/>
      <c r="T985" s="1163"/>
      <c r="U985" s="1163"/>
      <c r="V985" s="1163"/>
      <c r="W985" s="1163"/>
      <c r="X985" s="1163"/>
      <c r="Y985" s="1163"/>
    </row>
    <row r="986" ht="12.75" customHeight="1">
      <c r="A986" s="1184"/>
      <c r="B986" s="1184"/>
      <c r="C986" s="1184"/>
      <c r="D986" s="1184"/>
      <c r="E986" s="1184"/>
      <c r="F986" s="1184"/>
      <c r="G986" s="1184"/>
      <c r="H986" s="1184"/>
      <c r="I986" s="1184"/>
      <c r="J986" s="1184"/>
      <c r="K986" s="1184"/>
      <c r="L986" s="1184"/>
      <c r="M986" s="1184"/>
      <c r="N986" s="1184"/>
      <c r="O986" s="1184"/>
      <c r="P986" s="1163"/>
      <c r="Q986" s="1163"/>
      <c r="R986" s="1163"/>
      <c r="S986" s="1163"/>
      <c r="T986" s="1163"/>
      <c r="U986" s="1163"/>
      <c r="V986" s="1163"/>
      <c r="W986" s="1163"/>
      <c r="X986" s="1163"/>
      <c r="Y986" s="1163"/>
    </row>
    <row r="987" ht="12.75" customHeight="1">
      <c r="A987" s="1184"/>
      <c r="B987" s="1184"/>
      <c r="C987" s="1184"/>
      <c r="D987" s="1184"/>
      <c r="E987" s="1184"/>
      <c r="F987" s="1184"/>
      <c r="G987" s="1184"/>
      <c r="H987" s="1184"/>
      <c r="I987" s="1184"/>
      <c r="J987" s="1184"/>
      <c r="K987" s="1184"/>
      <c r="L987" s="1184"/>
      <c r="M987" s="1184"/>
      <c r="N987" s="1184"/>
      <c r="O987" s="1184"/>
      <c r="P987" s="1163"/>
      <c r="Q987" s="1163"/>
      <c r="R987" s="1163"/>
      <c r="S987" s="1163"/>
      <c r="T987" s="1163"/>
      <c r="U987" s="1163"/>
      <c r="V987" s="1163"/>
      <c r="W987" s="1163"/>
      <c r="X987" s="1163"/>
      <c r="Y987" s="1163"/>
    </row>
    <row r="988" ht="12.75" customHeight="1">
      <c r="A988" s="1184"/>
      <c r="B988" s="1184"/>
      <c r="C988" s="1184"/>
      <c r="D988" s="1184"/>
      <c r="E988" s="1184"/>
      <c r="F988" s="1184"/>
      <c r="G988" s="1184"/>
      <c r="H988" s="1184"/>
      <c r="I988" s="1184"/>
      <c r="J988" s="1184"/>
      <c r="K988" s="1184"/>
      <c r="L988" s="1184"/>
      <c r="M988" s="1184"/>
      <c r="N988" s="1184"/>
      <c r="O988" s="1184"/>
      <c r="P988" s="1163"/>
      <c r="Q988" s="1163"/>
      <c r="R988" s="1163"/>
      <c r="S988" s="1163"/>
      <c r="T988" s="1163"/>
      <c r="U988" s="1163"/>
      <c r="V988" s="1163"/>
      <c r="W988" s="1163"/>
      <c r="X988" s="1163"/>
      <c r="Y988" s="1163"/>
    </row>
    <row r="989" ht="12.75" customHeight="1">
      <c r="A989" s="1184"/>
      <c r="B989" s="1184"/>
      <c r="C989" s="1184"/>
      <c r="D989" s="1184"/>
      <c r="E989" s="1184"/>
      <c r="F989" s="1184"/>
      <c r="G989" s="1184"/>
      <c r="H989" s="1184"/>
      <c r="I989" s="1184"/>
      <c r="J989" s="1184"/>
      <c r="K989" s="1184"/>
      <c r="L989" s="1184"/>
      <c r="M989" s="1184"/>
      <c r="N989" s="1184"/>
      <c r="O989" s="1184"/>
      <c r="P989" s="1163"/>
      <c r="Q989" s="1163"/>
      <c r="R989" s="1163"/>
      <c r="S989" s="1163"/>
      <c r="T989" s="1163"/>
      <c r="U989" s="1163"/>
      <c r="V989" s="1163"/>
      <c r="W989" s="1163"/>
      <c r="X989" s="1163"/>
      <c r="Y989" s="1163"/>
    </row>
    <row r="990" ht="12.75" customHeight="1">
      <c r="A990" s="1184"/>
      <c r="B990" s="1184"/>
      <c r="C990" s="1184"/>
      <c r="D990" s="1184"/>
      <c r="E990" s="1184"/>
      <c r="F990" s="1184"/>
      <c r="G990" s="1184"/>
      <c r="H990" s="1184"/>
      <c r="I990" s="1184"/>
      <c r="J990" s="1184"/>
      <c r="K990" s="1184"/>
      <c r="L990" s="1184"/>
      <c r="M990" s="1184"/>
      <c r="N990" s="1184"/>
      <c r="O990" s="1184"/>
      <c r="P990" s="1163"/>
      <c r="Q990" s="1163"/>
      <c r="R990" s="1163"/>
      <c r="S990" s="1163"/>
      <c r="T990" s="1163"/>
      <c r="U990" s="1163"/>
      <c r="V990" s="1163"/>
      <c r="W990" s="1163"/>
      <c r="X990" s="1163"/>
      <c r="Y990" s="1163"/>
    </row>
    <row r="991" ht="12.75" customHeight="1">
      <c r="A991" s="1184"/>
      <c r="B991" s="1184"/>
      <c r="C991" s="1184"/>
      <c r="D991" s="1184"/>
      <c r="E991" s="1184"/>
      <c r="F991" s="1184"/>
      <c r="G991" s="1184"/>
      <c r="H991" s="1184"/>
      <c r="I991" s="1184"/>
      <c r="J991" s="1184"/>
      <c r="K991" s="1184"/>
      <c r="L991" s="1184"/>
      <c r="M991" s="1184"/>
      <c r="N991" s="1184"/>
      <c r="O991" s="1184"/>
      <c r="P991" s="1163"/>
      <c r="Q991" s="1163"/>
      <c r="R991" s="1163"/>
      <c r="S991" s="1163"/>
      <c r="T991" s="1163"/>
      <c r="U991" s="1163"/>
      <c r="V991" s="1163"/>
      <c r="W991" s="1163"/>
      <c r="X991" s="1163"/>
      <c r="Y991" s="1163"/>
    </row>
    <row r="992" ht="12.75" customHeight="1">
      <c r="A992" s="1184"/>
      <c r="B992" s="1184"/>
      <c r="C992" s="1184"/>
      <c r="D992" s="1184"/>
      <c r="E992" s="1184"/>
      <c r="F992" s="1184"/>
      <c r="G992" s="1184"/>
      <c r="H992" s="1184"/>
      <c r="I992" s="1184"/>
      <c r="J992" s="1184"/>
      <c r="K992" s="1184"/>
      <c r="L992" s="1184"/>
      <c r="M992" s="1184"/>
      <c r="N992" s="1184"/>
      <c r="O992" s="1184"/>
      <c r="P992" s="1163"/>
      <c r="Q992" s="1163"/>
      <c r="R992" s="1163"/>
      <c r="S992" s="1163"/>
      <c r="T992" s="1163"/>
      <c r="U992" s="1163"/>
      <c r="V992" s="1163"/>
      <c r="W992" s="1163"/>
      <c r="X992" s="1163"/>
      <c r="Y992" s="1163"/>
    </row>
    <row r="993" ht="12.75" customHeight="1">
      <c r="A993" s="1184"/>
      <c r="B993" s="1184"/>
      <c r="C993" s="1184"/>
      <c r="D993" s="1184"/>
      <c r="E993" s="1184"/>
      <c r="F993" s="1184"/>
      <c r="G993" s="1184"/>
      <c r="H993" s="1184"/>
      <c r="I993" s="1184"/>
      <c r="J993" s="1184"/>
      <c r="K993" s="1184"/>
      <c r="L993" s="1184"/>
      <c r="M993" s="1184"/>
      <c r="N993" s="1184"/>
      <c r="O993" s="1184"/>
      <c r="P993" s="1163"/>
      <c r="Q993" s="1163"/>
      <c r="R993" s="1163"/>
      <c r="S993" s="1163"/>
      <c r="T993" s="1163"/>
      <c r="U993" s="1163"/>
      <c r="V993" s="1163"/>
      <c r="W993" s="1163"/>
      <c r="X993" s="1163"/>
      <c r="Y993" s="1163"/>
    </row>
    <row r="994" ht="12.75" customHeight="1">
      <c r="A994" s="1184"/>
      <c r="B994" s="1184"/>
      <c r="C994" s="1184"/>
      <c r="D994" s="1184"/>
      <c r="E994" s="1184"/>
      <c r="F994" s="1184"/>
      <c r="G994" s="1184"/>
      <c r="H994" s="1184"/>
      <c r="I994" s="1184"/>
      <c r="J994" s="1184"/>
      <c r="K994" s="1184"/>
      <c r="L994" s="1184"/>
      <c r="M994" s="1184"/>
      <c r="N994" s="1184"/>
      <c r="O994" s="1184"/>
      <c r="P994" s="1163"/>
      <c r="Q994" s="1163"/>
      <c r="R994" s="1163"/>
      <c r="S994" s="1163"/>
      <c r="T994" s="1163"/>
      <c r="U994" s="1163"/>
      <c r="V994" s="1163"/>
      <c r="W994" s="1163"/>
      <c r="X994" s="1163"/>
      <c r="Y994" s="1163"/>
    </row>
    <row r="995" ht="12.75" customHeight="1">
      <c r="A995" s="1184"/>
      <c r="B995" s="1184"/>
      <c r="C995" s="1184"/>
      <c r="D995" s="1184"/>
      <c r="E995" s="1184"/>
      <c r="F995" s="1184"/>
      <c r="G995" s="1184"/>
      <c r="H995" s="1184"/>
      <c r="I995" s="1184"/>
      <c r="J995" s="1184"/>
      <c r="K995" s="1184"/>
      <c r="L995" s="1184"/>
      <c r="M995" s="1184"/>
      <c r="N995" s="1184"/>
      <c r="O995" s="1184"/>
      <c r="P995" s="1163"/>
      <c r="Q995" s="1163"/>
      <c r="R995" s="1163"/>
      <c r="S995" s="1163"/>
      <c r="T995" s="1163"/>
      <c r="U995" s="1163"/>
      <c r="V995" s="1163"/>
      <c r="W995" s="1163"/>
      <c r="X995" s="1163"/>
      <c r="Y995" s="1163"/>
    </row>
    <row r="996" ht="12.75" customHeight="1">
      <c r="A996" s="1184"/>
      <c r="B996" s="1184"/>
      <c r="C996" s="1184"/>
      <c r="D996" s="1184"/>
      <c r="E996" s="1184"/>
      <c r="F996" s="1184"/>
      <c r="G996" s="1184"/>
      <c r="H996" s="1184"/>
      <c r="I996" s="1184"/>
      <c r="J996" s="1184"/>
      <c r="K996" s="1184"/>
      <c r="L996" s="1184"/>
      <c r="M996" s="1184"/>
      <c r="N996" s="1184"/>
      <c r="O996" s="1184"/>
      <c r="P996" s="1163"/>
      <c r="Q996" s="1163"/>
      <c r="R996" s="1163"/>
      <c r="S996" s="1163"/>
      <c r="T996" s="1163"/>
      <c r="U996" s="1163"/>
      <c r="V996" s="1163"/>
      <c r="W996" s="1163"/>
      <c r="X996" s="1163"/>
      <c r="Y996" s="1163"/>
    </row>
    <row r="997" ht="12.75" customHeight="1">
      <c r="A997" s="1184"/>
      <c r="B997" s="1184"/>
      <c r="C997" s="1184"/>
      <c r="D997" s="1184"/>
      <c r="E997" s="1184"/>
      <c r="F997" s="1184"/>
      <c r="G997" s="1184"/>
      <c r="H997" s="1184"/>
      <c r="I997" s="1184"/>
      <c r="J997" s="1184"/>
      <c r="K997" s="1184"/>
      <c r="L997" s="1184"/>
      <c r="M997" s="1184"/>
      <c r="N997" s="1184"/>
      <c r="O997" s="1184"/>
      <c r="P997" s="1163"/>
      <c r="Q997" s="1163"/>
      <c r="R997" s="1163"/>
      <c r="S997" s="1163"/>
      <c r="T997" s="1163"/>
      <c r="U997" s="1163"/>
      <c r="V997" s="1163"/>
      <c r="W997" s="1163"/>
      <c r="X997" s="1163"/>
      <c r="Y997" s="1163"/>
    </row>
    <row r="998" ht="12.75" customHeight="1">
      <c r="A998" s="1184"/>
      <c r="B998" s="1184"/>
      <c r="C998" s="1184"/>
      <c r="D998" s="1184"/>
      <c r="E998" s="1184"/>
      <c r="F998" s="1184"/>
      <c r="G998" s="1184"/>
      <c r="H998" s="1184"/>
      <c r="I998" s="1184"/>
      <c r="J998" s="1184"/>
      <c r="K998" s="1184"/>
      <c r="L998" s="1184"/>
      <c r="M998" s="1184"/>
      <c r="N998" s="1184"/>
      <c r="O998" s="1184"/>
      <c r="P998" s="1163"/>
      <c r="Q998" s="1163"/>
      <c r="R998" s="1163"/>
      <c r="S998" s="1163"/>
      <c r="T998" s="1163"/>
      <c r="U998" s="1163"/>
      <c r="V998" s="1163"/>
      <c r="W998" s="1163"/>
      <c r="X998" s="1163"/>
      <c r="Y998" s="1163"/>
    </row>
    <row r="999" ht="12.75" customHeight="1">
      <c r="A999" s="1184"/>
      <c r="B999" s="1184"/>
      <c r="C999" s="1184"/>
      <c r="D999" s="1184"/>
      <c r="E999" s="1184"/>
      <c r="F999" s="1184"/>
      <c r="G999" s="1184"/>
      <c r="H999" s="1184"/>
      <c r="I999" s="1184"/>
      <c r="J999" s="1184"/>
      <c r="K999" s="1184"/>
      <c r="L999" s="1184"/>
      <c r="M999" s="1184"/>
      <c r="N999" s="1184"/>
      <c r="O999" s="1184"/>
      <c r="P999" s="1163"/>
      <c r="Q999" s="1163"/>
      <c r="R999" s="1163"/>
      <c r="S999" s="1163"/>
      <c r="T999" s="1163"/>
      <c r="U999" s="1163"/>
      <c r="V999" s="1163"/>
      <c r="W999" s="1163"/>
      <c r="X999" s="1163"/>
      <c r="Y999" s="1163"/>
    </row>
    <row r="1000" ht="12.75" customHeight="1">
      <c r="A1000" s="1184"/>
      <c r="B1000" s="1184"/>
      <c r="C1000" s="1184"/>
      <c r="D1000" s="1184"/>
      <c r="E1000" s="1184"/>
      <c r="F1000" s="1184"/>
      <c r="G1000" s="1184"/>
      <c r="H1000" s="1184"/>
      <c r="I1000" s="1184"/>
      <c r="J1000" s="1184"/>
      <c r="K1000" s="1184"/>
      <c r="L1000" s="1184"/>
      <c r="M1000" s="1184"/>
      <c r="N1000" s="1184"/>
      <c r="O1000" s="1184"/>
      <c r="P1000" s="1163"/>
      <c r="Q1000" s="1163"/>
      <c r="R1000" s="1163"/>
      <c r="S1000" s="1163"/>
      <c r="T1000" s="1163"/>
      <c r="U1000" s="1163"/>
      <c r="V1000" s="1163"/>
      <c r="W1000" s="1163"/>
      <c r="X1000" s="1163"/>
      <c r="Y1000" s="1163"/>
    </row>
    <row r="1001" ht="12.75" customHeight="1">
      <c r="A1001" s="1184"/>
      <c r="B1001" s="1184"/>
      <c r="C1001" s="1184"/>
      <c r="D1001" s="1184"/>
      <c r="E1001" s="1184"/>
      <c r="F1001" s="1184"/>
      <c r="G1001" s="1184"/>
      <c r="H1001" s="1184"/>
      <c r="I1001" s="1184"/>
      <c r="J1001" s="1184"/>
      <c r="K1001" s="1184"/>
      <c r="L1001" s="1184"/>
      <c r="M1001" s="1184"/>
      <c r="N1001" s="1184"/>
      <c r="O1001" s="1184"/>
      <c r="P1001" s="1163"/>
      <c r="Q1001" s="1163"/>
      <c r="R1001" s="1163"/>
      <c r="S1001" s="1163"/>
      <c r="T1001" s="1163"/>
      <c r="U1001" s="1163"/>
      <c r="V1001" s="1163"/>
      <c r="W1001" s="1163"/>
      <c r="X1001" s="1163"/>
      <c r="Y1001" s="1163"/>
    </row>
    <row r="1002" ht="12.75" customHeight="1">
      <c r="A1002" s="1184"/>
      <c r="B1002" s="1184"/>
      <c r="C1002" s="1184"/>
      <c r="D1002" s="1184"/>
      <c r="E1002" s="1184"/>
      <c r="F1002" s="1184"/>
      <c r="G1002" s="1184"/>
      <c r="H1002" s="1184"/>
      <c r="I1002" s="1184"/>
      <c r="J1002" s="1184"/>
      <c r="K1002" s="1184"/>
      <c r="L1002" s="1184"/>
      <c r="M1002" s="1184"/>
      <c r="N1002" s="1184"/>
      <c r="O1002" s="1184"/>
      <c r="P1002" s="1163"/>
      <c r="Q1002" s="1163"/>
      <c r="R1002" s="1163"/>
      <c r="S1002" s="1163"/>
      <c r="T1002" s="1163"/>
      <c r="U1002" s="1163"/>
      <c r="V1002" s="1163"/>
      <c r="W1002" s="1163"/>
      <c r="X1002" s="1163"/>
      <c r="Y1002" s="1163"/>
    </row>
    <row r="1003" ht="12.75" customHeight="1">
      <c r="A1003" s="1184"/>
      <c r="B1003" s="1184"/>
      <c r="C1003" s="1184"/>
      <c r="D1003" s="1184"/>
      <c r="E1003" s="1184"/>
      <c r="F1003" s="1184"/>
      <c r="G1003" s="1184"/>
      <c r="H1003" s="1184"/>
      <c r="I1003" s="1184"/>
      <c r="J1003" s="1184"/>
      <c r="K1003" s="1184"/>
      <c r="L1003" s="1184"/>
      <c r="M1003" s="1184"/>
      <c r="N1003" s="1184"/>
      <c r="O1003" s="1184"/>
      <c r="P1003" s="1163"/>
      <c r="Q1003" s="1163"/>
      <c r="R1003" s="1163"/>
      <c r="S1003" s="1163"/>
      <c r="T1003" s="1163"/>
      <c r="U1003" s="1163"/>
      <c r="V1003" s="1163"/>
      <c r="W1003" s="1163"/>
      <c r="X1003" s="1163"/>
      <c r="Y1003" s="1163"/>
    </row>
    <row r="1004" ht="12.75" customHeight="1">
      <c r="A1004" s="1184"/>
      <c r="B1004" s="1184"/>
      <c r="C1004" s="1184"/>
      <c r="D1004" s="1184"/>
      <c r="E1004" s="1184"/>
      <c r="F1004" s="1184"/>
      <c r="G1004" s="1184"/>
      <c r="H1004" s="1184"/>
      <c r="I1004" s="1184"/>
      <c r="J1004" s="1184"/>
      <c r="K1004" s="1184"/>
      <c r="L1004" s="1184"/>
      <c r="M1004" s="1184"/>
      <c r="N1004" s="1184"/>
      <c r="O1004" s="1184"/>
      <c r="P1004" s="1163"/>
      <c r="Q1004" s="1163"/>
      <c r="R1004" s="1163"/>
      <c r="S1004" s="1163"/>
      <c r="T1004" s="1163"/>
      <c r="U1004" s="1163"/>
      <c r="V1004" s="1163"/>
      <c r="W1004" s="1163"/>
      <c r="X1004" s="1163"/>
      <c r="Y1004" s="1163"/>
    </row>
    <row r="1005" ht="12.75" customHeight="1">
      <c r="A1005" s="1184"/>
      <c r="B1005" s="1184"/>
      <c r="C1005" s="1184"/>
      <c r="D1005" s="1184"/>
      <c r="E1005" s="1184"/>
      <c r="F1005" s="1184"/>
      <c r="G1005" s="1184"/>
      <c r="H1005" s="1184"/>
      <c r="I1005" s="1184"/>
      <c r="J1005" s="1184"/>
      <c r="K1005" s="1184"/>
      <c r="L1005" s="1184"/>
      <c r="M1005" s="1184"/>
      <c r="N1005" s="1184"/>
      <c r="O1005" s="1184"/>
      <c r="P1005" s="1163"/>
      <c r="Q1005" s="1163"/>
      <c r="R1005" s="1163"/>
      <c r="S1005" s="1163"/>
      <c r="T1005" s="1163"/>
      <c r="U1005" s="1163"/>
      <c r="V1005" s="1163"/>
      <c r="W1005" s="1163"/>
      <c r="X1005" s="1163"/>
      <c r="Y1005" s="1163"/>
    </row>
    <row r="1006" ht="12.75" customHeight="1">
      <c r="A1006" s="1184"/>
      <c r="B1006" s="1184"/>
      <c r="C1006" s="1184"/>
      <c r="D1006" s="1184"/>
      <c r="E1006" s="1184"/>
      <c r="F1006" s="1184"/>
      <c r="G1006" s="1184"/>
      <c r="H1006" s="1184"/>
      <c r="I1006" s="1184"/>
      <c r="J1006" s="1184"/>
      <c r="K1006" s="1184"/>
      <c r="L1006" s="1184"/>
      <c r="M1006" s="1184"/>
      <c r="N1006" s="1184"/>
      <c r="O1006" s="1184"/>
      <c r="P1006" s="1163"/>
      <c r="Q1006" s="1163"/>
      <c r="R1006" s="1163"/>
      <c r="S1006" s="1163"/>
      <c r="T1006" s="1163"/>
      <c r="U1006" s="1163"/>
      <c r="V1006" s="1163"/>
      <c r="W1006" s="1163"/>
      <c r="X1006" s="1163"/>
      <c r="Y1006" s="1163"/>
    </row>
    <row r="1007" ht="12.75" customHeight="1">
      <c r="A1007" s="1184"/>
      <c r="B1007" s="1184"/>
      <c r="C1007" s="1184"/>
      <c r="D1007" s="1184"/>
      <c r="E1007" s="1184"/>
      <c r="F1007" s="1184"/>
      <c r="G1007" s="1184"/>
      <c r="H1007" s="1184"/>
      <c r="I1007" s="1184"/>
      <c r="J1007" s="1184"/>
      <c r="K1007" s="1184"/>
      <c r="L1007" s="1184"/>
      <c r="M1007" s="1184"/>
      <c r="N1007" s="1184"/>
      <c r="O1007" s="1184"/>
      <c r="P1007" s="1163"/>
      <c r="Q1007" s="1163"/>
      <c r="R1007" s="1163"/>
      <c r="S1007" s="1163"/>
      <c r="T1007" s="1163"/>
      <c r="U1007" s="1163"/>
      <c r="V1007" s="1163"/>
      <c r="W1007" s="1163"/>
      <c r="X1007" s="1163"/>
      <c r="Y1007" s="1163"/>
    </row>
    <row r="1008" ht="12.75" customHeight="1">
      <c r="A1008" s="1184"/>
      <c r="B1008" s="1184"/>
      <c r="C1008" s="1184"/>
      <c r="D1008" s="1184"/>
      <c r="E1008" s="1184"/>
      <c r="F1008" s="1184"/>
      <c r="G1008" s="1184"/>
      <c r="H1008" s="1184"/>
      <c r="I1008" s="1184"/>
      <c r="J1008" s="1184"/>
      <c r="K1008" s="1184"/>
      <c r="L1008" s="1184"/>
      <c r="M1008" s="1184"/>
      <c r="N1008" s="1184"/>
      <c r="O1008" s="1184"/>
      <c r="P1008" s="1163"/>
      <c r="Q1008" s="1163"/>
      <c r="R1008" s="1163"/>
      <c r="S1008" s="1163"/>
      <c r="T1008" s="1163"/>
      <c r="U1008" s="1163"/>
      <c r="V1008" s="1163"/>
      <c r="W1008" s="1163"/>
      <c r="X1008" s="1163"/>
      <c r="Y1008" s="1163"/>
    </row>
    <row r="1009" ht="12.75" customHeight="1">
      <c r="A1009" s="1184"/>
      <c r="B1009" s="1184"/>
      <c r="C1009" s="1184"/>
      <c r="D1009" s="1184"/>
      <c r="E1009" s="1184"/>
      <c r="F1009" s="1184"/>
      <c r="G1009" s="1184"/>
      <c r="H1009" s="1184"/>
      <c r="I1009" s="1184"/>
      <c r="J1009" s="1184"/>
      <c r="K1009" s="1184"/>
      <c r="L1009" s="1184"/>
      <c r="M1009" s="1184"/>
      <c r="N1009" s="1184"/>
      <c r="O1009" s="1184"/>
      <c r="P1009" s="1163"/>
      <c r="Q1009" s="1163"/>
      <c r="R1009" s="1163"/>
      <c r="S1009" s="1163"/>
      <c r="T1009" s="1163"/>
      <c r="U1009" s="1163"/>
      <c r="V1009" s="1163"/>
      <c r="W1009" s="1163"/>
      <c r="X1009" s="1163"/>
      <c r="Y1009" s="1163"/>
    </row>
    <row r="1010" ht="12.75" customHeight="1">
      <c r="A1010" s="1184"/>
      <c r="B1010" s="1184"/>
      <c r="C1010" s="1184"/>
      <c r="D1010" s="1184"/>
      <c r="E1010" s="1184"/>
      <c r="F1010" s="1184"/>
      <c r="G1010" s="1184"/>
      <c r="H1010" s="1184"/>
      <c r="I1010" s="1184"/>
      <c r="J1010" s="1184"/>
      <c r="K1010" s="1184"/>
      <c r="L1010" s="1184"/>
      <c r="M1010" s="1184"/>
      <c r="N1010" s="1184"/>
      <c r="O1010" s="1184"/>
      <c r="P1010" s="1163"/>
      <c r="Q1010" s="1163"/>
      <c r="R1010" s="1163"/>
      <c r="S1010" s="1163"/>
      <c r="T1010" s="1163"/>
      <c r="U1010" s="1163"/>
      <c r="V1010" s="1163"/>
      <c r="W1010" s="1163"/>
      <c r="X1010" s="1163"/>
      <c r="Y1010" s="1163"/>
    </row>
    <row r="1011" ht="12.75" customHeight="1">
      <c r="A1011" s="1184"/>
      <c r="B1011" s="1184"/>
      <c r="C1011" s="1184"/>
      <c r="D1011" s="1184"/>
      <c r="E1011" s="1184"/>
      <c r="F1011" s="1184"/>
      <c r="G1011" s="1184"/>
      <c r="H1011" s="1184"/>
      <c r="I1011" s="1184"/>
      <c r="J1011" s="1184"/>
      <c r="K1011" s="1184"/>
      <c r="L1011" s="1184"/>
      <c r="M1011" s="1184"/>
      <c r="N1011" s="1184"/>
      <c r="O1011" s="1184"/>
      <c r="P1011" s="1163"/>
      <c r="Q1011" s="1163"/>
      <c r="R1011" s="1163"/>
      <c r="S1011" s="1163"/>
      <c r="T1011" s="1163"/>
      <c r="U1011" s="1163"/>
      <c r="V1011" s="1163"/>
      <c r="W1011" s="1163"/>
      <c r="X1011" s="1163"/>
      <c r="Y1011" s="1163"/>
    </row>
    <row r="1012" ht="12.75" customHeight="1">
      <c r="A1012" s="1184"/>
      <c r="B1012" s="1184"/>
      <c r="C1012" s="1184"/>
      <c r="D1012" s="1184"/>
      <c r="E1012" s="1184"/>
      <c r="F1012" s="1184"/>
      <c r="G1012" s="1184"/>
      <c r="H1012" s="1184"/>
      <c r="I1012" s="1184"/>
      <c r="J1012" s="1184"/>
      <c r="K1012" s="1184"/>
      <c r="L1012" s="1184"/>
      <c r="M1012" s="1184"/>
      <c r="N1012" s="1184"/>
      <c r="O1012" s="1184"/>
      <c r="P1012" s="1163"/>
      <c r="Q1012" s="1163"/>
      <c r="R1012" s="1163"/>
      <c r="S1012" s="1163"/>
      <c r="T1012" s="1163"/>
      <c r="U1012" s="1163"/>
      <c r="V1012" s="1163"/>
      <c r="W1012" s="1163"/>
      <c r="X1012" s="1163"/>
      <c r="Y1012" s="1163"/>
    </row>
    <row r="1013" ht="12.75" customHeight="1">
      <c r="A1013" s="1184"/>
      <c r="B1013" s="1184"/>
      <c r="C1013" s="1184"/>
      <c r="D1013" s="1184"/>
      <c r="E1013" s="1184"/>
      <c r="F1013" s="1184"/>
      <c r="G1013" s="1184"/>
      <c r="H1013" s="1184"/>
      <c r="I1013" s="1184"/>
      <c r="J1013" s="1184"/>
      <c r="K1013" s="1184"/>
      <c r="L1013" s="1184"/>
      <c r="M1013" s="1184"/>
      <c r="N1013" s="1184"/>
      <c r="O1013" s="1184"/>
      <c r="P1013" s="1163"/>
      <c r="Q1013" s="1163"/>
      <c r="R1013" s="1163"/>
      <c r="S1013" s="1163"/>
      <c r="T1013" s="1163"/>
      <c r="U1013" s="1163"/>
      <c r="V1013" s="1163"/>
      <c r="W1013" s="1163"/>
      <c r="X1013" s="1163"/>
      <c r="Y1013" s="1163"/>
    </row>
    <row r="1014" ht="12.75" customHeight="1">
      <c r="A1014" s="1184"/>
      <c r="B1014" s="1184"/>
      <c r="C1014" s="1184"/>
      <c r="D1014" s="1184"/>
      <c r="E1014" s="1184"/>
      <c r="F1014" s="1184"/>
      <c r="G1014" s="1184"/>
      <c r="H1014" s="1184"/>
      <c r="I1014" s="1184"/>
      <c r="J1014" s="1184"/>
      <c r="K1014" s="1184"/>
      <c r="L1014" s="1184"/>
      <c r="M1014" s="1184"/>
      <c r="N1014" s="1184"/>
      <c r="O1014" s="1184"/>
      <c r="P1014" s="1163"/>
      <c r="Q1014" s="1163"/>
      <c r="R1014" s="1163"/>
      <c r="S1014" s="1163"/>
      <c r="T1014" s="1163"/>
      <c r="U1014" s="1163"/>
      <c r="V1014" s="1163"/>
      <c r="W1014" s="1163"/>
      <c r="X1014" s="1163"/>
      <c r="Y1014" s="1163"/>
    </row>
    <row r="1015" ht="12.75" customHeight="1">
      <c r="A1015" s="1184"/>
      <c r="B1015" s="1184"/>
      <c r="C1015" s="1184"/>
      <c r="D1015" s="1184"/>
      <c r="E1015" s="1184"/>
      <c r="F1015" s="1184"/>
      <c r="G1015" s="1184"/>
      <c r="H1015" s="1184"/>
      <c r="I1015" s="1184"/>
      <c r="J1015" s="1184"/>
      <c r="K1015" s="1184"/>
      <c r="L1015" s="1184"/>
      <c r="M1015" s="1184"/>
      <c r="N1015" s="1184"/>
      <c r="O1015" s="1184"/>
      <c r="P1015" s="1163"/>
      <c r="Q1015" s="1163"/>
      <c r="R1015" s="1163"/>
      <c r="S1015" s="1163"/>
      <c r="T1015" s="1163"/>
      <c r="U1015" s="1163"/>
      <c r="V1015" s="1163"/>
      <c r="W1015" s="1163"/>
      <c r="X1015" s="1163"/>
      <c r="Y1015" s="1163"/>
    </row>
    <row r="1016" ht="12.75" customHeight="1">
      <c r="A1016" s="1184"/>
      <c r="B1016" s="1184"/>
      <c r="C1016" s="1184"/>
      <c r="D1016" s="1184"/>
      <c r="E1016" s="1184"/>
      <c r="F1016" s="1184"/>
      <c r="G1016" s="1184"/>
      <c r="H1016" s="1184"/>
      <c r="I1016" s="1184"/>
      <c r="J1016" s="1184"/>
      <c r="K1016" s="1184"/>
      <c r="L1016" s="1184"/>
      <c r="M1016" s="1184"/>
      <c r="N1016" s="1184"/>
      <c r="O1016" s="1184"/>
      <c r="P1016" s="1163"/>
      <c r="Q1016" s="1163"/>
      <c r="R1016" s="1163"/>
      <c r="S1016" s="1163"/>
      <c r="T1016" s="1163"/>
      <c r="U1016" s="1163"/>
      <c r="V1016" s="1163"/>
      <c r="W1016" s="1163"/>
      <c r="X1016" s="1163"/>
      <c r="Y1016" s="1163"/>
    </row>
    <row r="1017" ht="12.75" customHeight="1">
      <c r="A1017" s="1184"/>
      <c r="B1017" s="1184"/>
      <c r="C1017" s="1184"/>
      <c r="D1017" s="1184"/>
      <c r="E1017" s="1184"/>
      <c r="F1017" s="1184"/>
      <c r="G1017" s="1184"/>
      <c r="H1017" s="1184"/>
      <c r="I1017" s="1184"/>
      <c r="J1017" s="1184"/>
      <c r="K1017" s="1184"/>
      <c r="L1017" s="1184"/>
      <c r="M1017" s="1184"/>
      <c r="N1017" s="1184"/>
      <c r="O1017" s="1184"/>
      <c r="P1017" s="1163"/>
      <c r="Q1017" s="1163"/>
      <c r="R1017" s="1163"/>
      <c r="S1017" s="1163"/>
      <c r="T1017" s="1163"/>
      <c r="U1017" s="1163"/>
      <c r="V1017" s="1163"/>
      <c r="W1017" s="1163"/>
      <c r="X1017" s="1163"/>
      <c r="Y1017" s="1163"/>
    </row>
    <row r="1018" ht="12.75" customHeight="1">
      <c r="A1018" s="1184"/>
      <c r="B1018" s="1184"/>
      <c r="C1018" s="1184"/>
      <c r="D1018" s="1184"/>
      <c r="E1018" s="1184"/>
      <c r="F1018" s="1184"/>
      <c r="G1018" s="1184"/>
      <c r="H1018" s="1184"/>
      <c r="I1018" s="1184"/>
      <c r="J1018" s="1184"/>
      <c r="K1018" s="1184"/>
      <c r="L1018" s="1184"/>
      <c r="M1018" s="1184"/>
      <c r="N1018" s="1184"/>
      <c r="O1018" s="1184"/>
      <c r="P1018" s="1163"/>
      <c r="Q1018" s="1163"/>
      <c r="R1018" s="1163"/>
      <c r="S1018" s="1163"/>
      <c r="T1018" s="1163"/>
      <c r="U1018" s="1163"/>
      <c r="V1018" s="1163"/>
      <c r="W1018" s="1163"/>
      <c r="X1018" s="1163"/>
      <c r="Y1018" s="1163"/>
    </row>
    <row r="1019" ht="12.75" customHeight="1">
      <c r="A1019" s="1184"/>
      <c r="B1019" s="1184"/>
      <c r="C1019" s="1184"/>
      <c r="D1019" s="1184"/>
      <c r="E1019" s="1184"/>
      <c r="F1019" s="1184"/>
      <c r="G1019" s="1184"/>
      <c r="H1019" s="1184"/>
      <c r="I1019" s="1184"/>
      <c r="J1019" s="1184"/>
      <c r="K1019" s="1184"/>
      <c r="L1019" s="1184"/>
      <c r="M1019" s="1184"/>
      <c r="N1019" s="1184"/>
      <c r="O1019" s="1184"/>
      <c r="P1019" s="1163"/>
      <c r="Q1019" s="1163"/>
      <c r="R1019" s="1163"/>
      <c r="S1019" s="1163"/>
      <c r="T1019" s="1163"/>
      <c r="U1019" s="1163"/>
      <c r="V1019" s="1163"/>
      <c r="W1019" s="1163"/>
      <c r="X1019" s="1163"/>
      <c r="Y1019" s="1163"/>
    </row>
    <row r="1020" ht="12.75" customHeight="1">
      <c r="A1020" s="1184"/>
      <c r="B1020" s="1184"/>
      <c r="C1020" s="1184"/>
      <c r="D1020" s="1184"/>
      <c r="E1020" s="1184"/>
      <c r="F1020" s="1184"/>
      <c r="G1020" s="1184"/>
      <c r="H1020" s="1184"/>
      <c r="I1020" s="1184"/>
      <c r="J1020" s="1184"/>
      <c r="K1020" s="1184"/>
      <c r="L1020" s="1184"/>
      <c r="M1020" s="1184"/>
      <c r="N1020" s="1184"/>
      <c r="O1020" s="1184"/>
      <c r="P1020" s="1163"/>
      <c r="Q1020" s="1163"/>
      <c r="R1020" s="1163"/>
      <c r="S1020" s="1163"/>
      <c r="T1020" s="1163"/>
      <c r="U1020" s="1163"/>
      <c r="V1020" s="1163"/>
      <c r="W1020" s="1163"/>
      <c r="X1020" s="1163"/>
      <c r="Y1020" s="1163"/>
    </row>
    <row r="1021" ht="12.75" customHeight="1">
      <c r="A1021" s="1184"/>
      <c r="B1021" s="1184"/>
      <c r="C1021" s="1184"/>
      <c r="D1021" s="1184"/>
      <c r="E1021" s="1184"/>
      <c r="F1021" s="1184"/>
      <c r="G1021" s="1184"/>
      <c r="H1021" s="1184"/>
      <c r="I1021" s="1184"/>
      <c r="J1021" s="1184"/>
      <c r="K1021" s="1184"/>
      <c r="L1021" s="1184"/>
      <c r="M1021" s="1184"/>
      <c r="N1021" s="1184"/>
      <c r="O1021" s="1184"/>
      <c r="P1021" s="1163"/>
      <c r="Q1021" s="1163"/>
      <c r="R1021" s="1163"/>
      <c r="S1021" s="1163"/>
      <c r="T1021" s="1163"/>
      <c r="U1021" s="1163"/>
      <c r="V1021" s="1163"/>
      <c r="W1021" s="1163"/>
      <c r="X1021" s="1163"/>
      <c r="Y1021" s="1163"/>
    </row>
    <row r="1022" ht="12.75" customHeight="1">
      <c r="A1022" s="1184"/>
      <c r="B1022" s="1184"/>
      <c r="C1022" s="1184"/>
      <c r="D1022" s="1184"/>
      <c r="E1022" s="1184"/>
      <c r="F1022" s="1184"/>
      <c r="G1022" s="1184"/>
      <c r="H1022" s="1184"/>
      <c r="I1022" s="1184"/>
      <c r="J1022" s="1184"/>
      <c r="K1022" s="1184"/>
      <c r="L1022" s="1184"/>
      <c r="M1022" s="1184"/>
      <c r="N1022" s="1184"/>
      <c r="O1022" s="1184"/>
      <c r="P1022" s="1163"/>
      <c r="Q1022" s="1163"/>
      <c r="R1022" s="1163"/>
      <c r="S1022" s="1163"/>
      <c r="T1022" s="1163"/>
      <c r="U1022" s="1163"/>
      <c r="V1022" s="1163"/>
      <c r="W1022" s="1163"/>
      <c r="X1022" s="1163"/>
      <c r="Y1022" s="1163"/>
    </row>
    <row r="1023" ht="12.75" customHeight="1">
      <c r="A1023" s="1184"/>
      <c r="B1023" s="1184"/>
      <c r="C1023" s="1184"/>
      <c r="D1023" s="1184"/>
      <c r="E1023" s="1184"/>
      <c r="F1023" s="1184"/>
      <c r="G1023" s="1184"/>
      <c r="H1023" s="1184"/>
      <c r="I1023" s="1184"/>
      <c r="J1023" s="1184"/>
      <c r="K1023" s="1184"/>
      <c r="L1023" s="1184"/>
      <c r="M1023" s="1184"/>
      <c r="N1023" s="1184"/>
      <c r="O1023" s="1184"/>
      <c r="P1023" s="1163"/>
      <c r="Q1023" s="1163"/>
      <c r="R1023" s="1163"/>
      <c r="S1023" s="1163"/>
      <c r="T1023" s="1163"/>
      <c r="U1023" s="1163"/>
      <c r="V1023" s="1163"/>
      <c r="W1023" s="1163"/>
      <c r="X1023" s="1163"/>
      <c r="Y1023" s="1163"/>
    </row>
    <row r="1024" ht="12.75" customHeight="1">
      <c r="A1024" s="1184"/>
      <c r="B1024" s="1184"/>
      <c r="C1024" s="1184"/>
      <c r="D1024" s="1184"/>
      <c r="E1024" s="1184"/>
      <c r="F1024" s="1184"/>
      <c r="G1024" s="1184"/>
      <c r="H1024" s="1184"/>
      <c r="I1024" s="1184"/>
      <c r="J1024" s="1184"/>
      <c r="K1024" s="1184"/>
      <c r="L1024" s="1184"/>
      <c r="M1024" s="1184"/>
      <c r="N1024" s="1184"/>
      <c r="O1024" s="1184"/>
      <c r="P1024" s="1163"/>
      <c r="Q1024" s="1163"/>
      <c r="R1024" s="1163"/>
      <c r="S1024" s="1163"/>
      <c r="T1024" s="1163"/>
      <c r="U1024" s="1163"/>
      <c r="V1024" s="1163"/>
      <c r="W1024" s="1163"/>
      <c r="X1024" s="1163"/>
      <c r="Y1024" s="1163"/>
    </row>
    <row r="1025" ht="12.75" customHeight="1">
      <c r="A1025" s="1184"/>
      <c r="B1025" s="1184"/>
      <c r="C1025" s="1184"/>
      <c r="D1025" s="1184"/>
      <c r="E1025" s="1184"/>
      <c r="F1025" s="1184"/>
      <c r="G1025" s="1184"/>
      <c r="H1025" s="1184"/>
      <c r="I1025" s="1184"/>
      <c r="J1025" s="1184"/>
      <c r="K1025" s="1184"/>
      <c r="L1025" s="1184"/>
      <c r="M1025" s="1184"/>
      <c r="N1025" s="1184"/>
      <c r="O1025" s="1184"/>
      <c r="P1025" s="1163"/>
      <c r="Q1025" s="1163"/>
      <c r="R1025" s="1163"/>
      <c r="S1025" s="1163"/>
      <c r="T1025" s="1163"/>
      <c r="U1025" s="1163"/>
      <c r="V1025" s="1163"/>
      <c r="W1025" s="1163"/>
      <c r="X1025" s="1163"/>
      <c r="Y1025" s="1163"/>
    </row>
    <row r="1026" ht="12.75" customHeight="1">
      <c r="A1026" s="1184"/>
      <c r="B1026" s="1184"/>
      <c r="C1026" s="1184"/>
      <c r="D1026" s="1184"/>
      <c r="E1026" s="1184"/>
      <c r="F1026" s="1184"/>
      <c r="G1026" s="1184"/>
      <c r="H1026" s="1184"/>
      <c r="I1026" s="1184"/>
      <c r="J1026" s="1184"/>
      <c r="K1026" s="1184"/>
      <c r="L1026" s="1184"/>
      <c r="M1026" s="1184"/>
      <c r="N1026" s="1184"/>
      <c r="O1026" s="1184"/>
      <c r="P1026" s="1163"/>
      <c r="Q1026" s="1163"/>
      <c r="R1026" s="1163"/>
      <c r="S1026" s="1163"/>
      <c r="T1026" s="1163"/>
      <c r="U1026" s="1163"/>
      <c r="V1026" s="1163"/>
      <c r="W1026" s="1163"/>
      <c r="X1026" s="1163"/>
      <c r="Y1026" s="1163"/>
    </row>
    <row r="1027" ht="12.75" customHeight="1">
      <c r="A1027" s="1184"/>
      <c r="B1027" s="1184"/>
      <c r="C1027" s="1184"/>
      <c r="D1027" s="1184"/>
      <c r="E1027" s="1184"/>
      <c r="F1027" s="1184"/>
      <c r="G1027" s="1184"/>
      <c r="H1027" s="1184"/>
      <c r="I1027" s="1184"/>
      <c r="J1027" s="1184"/>
      <c r="K1027" s="1184"/>
      <c r="L1027" s="1184"/>
      <c r="M1027" s="1184"/>
      <c r="N1027" s="1184"/>
      <c r="O1027" s="1184"/>
      <c r="P1027" s="1163"/>
      <c r="Q1027" s="1163"/>
      <c r="R1027" s="1163"/>
      <c r="S1027" s="1163"/>
      <c r="T1027" s="1163"/>
      <c r="U1027" s="1163"/>
      <c r="V1027" s="1163"/>
      <c r="W1027" s="1163"/>
      <c r="X1027" s="1163"/>
      <c r="Y1027" s="1163"/>
    </row>
    <row r="1028" ht="12.75" customHeight="1">
      <c r="A1028" s="1184"/>
      <c r="B1028" s="1184"/>
      <c r="C1028" s="1184"/>
      <c r="D1028" s="1184"/>
      <c r="E1028" s="1184"/>
      <c r="F1028" s="1184"/>
      <c r="G1028" s="1184"/>
      <c r="H1028" s="1184"/>
      <c r="I1028" s="1184"/>
      <c r="J1028" s="1184"/>
      <c r="K1028" s="1184"/>
      <c r="L1028" s="1184"/>
      <c r="M1028" s="1184"/>
      <c r="N1028" s="1184"/>
      <c r="O1028" s="1184"/>
      <c r="P1028" s="1163"/>
      <c r="Q1028" s="1163"/>
      <c r="R1028" s="1163"/>
      <c r="S1028" s="1163"/>
      <c r="T1028" s="1163"/>
      <c r="U1028" s="1163"/>
      <c r="V1028" s="1163"/>
      <c r="W1028" s="1163"/>
      <c r="X1028" s="1163"/>
      <c r="Y1028" s="1163"/>
    </row>
    <row r="1029" ht="12.75" customHeight="1">
      <c r="A1029" s="1184"/>
      <c r="B1029" s="1184"/>
      <c r="C1029" s="1184"/>
      <c r="D1029" s="1184"/>
      <c r="E1029" s="1184"/>
      <c r="F1029" s="1184"/>
      <c r="G1029" s="1184"/>
      <c r="H1029" s="1184"/>
      <c r="I1029" s="1184"/>
      <c r="J1029" s="1184"/>
      <c r="K1029" s="1184"/>
      <c r="L1029" s="1184"/>
      <c r="M1029" s="1184"/>
      <c r="N1029" s="1184"/>
      <c r="O1029" s="1184"/>
      <c r="P1029" s="1163"/>
      <c r="Q1029" s="1163"/>
      <c r="R1029" s="1163"/>
      <c r="S1029" s="1163"/>
      <c r="T1029" s="1163"/>
      <c r="U1029" s="1163"/>
      <c r="V1029" s="1163"/>
      <c r="W1029" s="1163"/>
      <c r="X1029" s="1163"/>
      <c r="Y1029" s="1163"/>
    </row>
    <row r="1030" ht="12.75" customHeight="1">
      <c r="A1030" s="1184"/>
      <c r="B1030" s="1184"/>
      <c r="C1030" s="1184"/>
      <c r="D1030" s="1184"/>
      <c r="E1030" s="1184"/>
      <c r="F1030" s="1184"/>
      <c r="G1030" s="1184"/>
      <c r="H1030" s="1184"/>
      <c r="I1030" s="1184"/>
      <c r="J1030" s="1184"/>
      <c r="K1030" s="1184"/>
      <c r="L1030" s="1184"/>
      <c r="M1030" s="1184"/>
      <c r="N1030" s="1184"/>
      <c r="O1030" s="1184"/>
      <c r="P1030" s="1163"/>
      <c r="Q1030" s="1163"/>
      <c r="R1030" s="1163"/>
      <c r="S1030" s="1163"/>
      <c r="T1030" s="1163"/>
      <c r="U1030" s="1163"/>
      <c r="V1030" s="1163"/>
      <c r="W1030" s="1163"/>
      <c r="X1030" s="1163"/>
      <c r="Y1030" s="1163"/>
    </row>
    <row r="1031" ht="12.75" customHeight="1">
      <c r="A1031" s="1184"/>
      <c r="B1031" s="1184"/>
      <c r="C1031" s="1184"/>
      <c r="D1031" s="1184"/>
      <c r="E1031" s="1184"/>
      <c r="F1031" s="1184"/>
      <c r="G1031" s="1184"/>
      <c r="H1031" s="1184"/>
      <c r="I1031" s="1184"/>
      <c r="J1031" s="1184"/>
      <c r="K1031" s="1184"/>
      <c r="L1031" s="1184"/>
      <c r="M1031" s="1184"/>
      <c r="N1031" s="1184"/>
      <c r="O1031" s="1184"/>
      <c r="P1031" s="1163"/>
      <c r="Q1031" s="1163"/>
      <c r="R1031" s="1163"/>
      <c r="S1031" s="1163"/>
      <c r="T1031" s="1163"/>
      <c r="U1031" s="1163"/>
      <c r="V1031" s="1163"/>
      <c r="W1031" s="1163"/>
      <c r="X1031" s="1163"/>
      <c r="Y1031" s="1163"/>
    </row>
    <row r="1032" ht="12.75" customHeight="1">
      <c r="A1032" s="1184"/>
      <c r="B1032" s="1184"/>
      <c r="C1032" s="1184"/>
      <c r="D1032" s="1184"/>
      <c r="E1032" s="1184"/>
      <c r="F1032" s="1184"/>
      <c r="G1032" s="1184"/>
      <c r="H1032" s="1184"/>
      <c r="I1032" s="1184"/>
      <c r="J1032" s="1184"/>
      <c r="K1032" s="1184"/>
      <c r="L1032" s="1184"/>
      <c r="M1032" s="1184"/>
      <c r="N1032" s="1184"/>
      <c r="O1032" s="1184"/>
      <c r="P1032" s="1163"/>
      <c r="Q1032" s="1163"/>
      <c r="R1032" s="1163"/>
      <c r="S1032" s="1163"/>
      <c r="T1032" s="1163"/>
      <c r="U1032" s="1163"/>
      <c r="V1032" s="1163"/>
      <c r="W1032" s="1163"/>
      <c r="X1032" s="1163"/>
      <c r="Y1032" s="1163"/>
    </row>
    <row r="1033" ht="12.75" customHeight="1">
      <c r="A1033" s="1184"/>
      <c r="B1033" s="1184"/>
      <c r="C1033" s="1184"/>
      <c r="D1033" s="1184"/>
      <c r="E1033" s="1184"/>
      <c r="F1033" s="1184"/>
      <c r="G1033" s="1184"/>
      <c r="H1033" s="1184"/>
      <c r="I1033" s="1184"/>
      <c r="J1033" s="1184"/>
      <c r="K1033" s="1184"/>
      <c r="L1033" s="1184"/>
      <c r="M1033" s="1184"/>
      <c r="N1033" s="1184"/>
      <c r="O1033" s="1184"/>
      <c r="P1033" s="1163"/>
      <c r="Q1033" s="1163"/>
      <c r="R1033" s="1163"/>
      <c r="S1033" s="1163"/>
      <c r="T1033" s="1163"/>
      <c r="U1033" s="1163"/>
      <c r="V1033" s="1163"/>
      <c r="W1033" s="1163"/>
      <c r="X1033" s="1163"/>
      <c r="Y1033" s="1163"/>
    </row>
    <row r="1034" ht="12.75" customHeight="1">
      <c r="A1034" s="1184"/>
      <c r="B1034" s="1184"/>
      <c r="C1034" s="1184"/>
      <c r="D1034" s="1184"/>
      <c r="E1034" s="1184"/>
      <c r="F1034" s="1184"/>
      <c r="G1034" s="1184"/>
      <c r="H1034" s="1184"/>
      <c r="I1034" s="1184"/>
      <c r="J1034" s="1184"/>
      <c r="K1034" s="1184"/>
      <c r="L1034" s="1184"/>
      <c r="M1034" s="1184"/>
      <c r="N1034" s="1184"/>
      <c r="O1034" s="1184"/>
      <c r="P1034" s="1163"/>
      <c r="Q1034" s="1163"/>
      <c r="R1034" s="1163"/>
      <c r="S1034" s="1163"/>
      <c r="T1034" s="1163"/>
      <c r="U1034" s="1163"/>
      <c r="V1034" s="1163"/>
      <c r="W1034" s="1163"/>
      <c r="X1034" s="1163"/>
      <c r="Y1034" s="1163"/>
    </row>
    <row r="1035" ht="12.75" customHeight="1">
      <c r="A1035" s="1184"/>
      <c r="B1035" s="1184"/>
      <c r="C1035" s="1184"/>
      <c r="D1035" s="1184"/>
      <c r="E1035" s="1184"/>
      <c r="F1035" s="1184"/>
      <c r="G1035" s="1184"/>
      <c r="H1035" s="1184"/>
      <c r="I1035" s="1184"/>
      <c r="J1035" s="1184"/>
      <c r="K1035" s="1184"/>
      <c r="L1035" s="1184"/>
      <c r="M1035" s="1184"/>
      <c r="N1035" s="1184"/>
      <c r="O1035" s="1184"/>
      <c r="P1035" s="1163"/>
      <c r="Q1035" s="1163"/>
      <c r="R1035" s="1163"/>
      <c r="S1035" s="1163"/>
      <c r="T1035" s="1163"/>
      <c r="U1035" s="1163"/>
      <c r="V1035" s="1163"/>
      <c r="W1035" s="1163"/>
      <c r="X1035" s="1163"/>
      <c r="Y1035" s="1163"/>
    </row>
    <row r="1036" ht="12.75" customHeight="1">
      <c r="A1036" s="1184"/>
      <c r="B1036" s="1184"/>
      <c r="C1036" s="1184"/>
      <c r="D1036" s="1184"/>
      <c r="E1036" s="1184"/>
      <c r="F1036" s="1184"/>
      <c r="G1036" s="1184"/>
      <c r="H1036" s="1184"/>
      <c r="I1036" s="1184"/>
      <c r="J1036" s="1184"/>
      <c r="K1036" s="1184"/>
      <c r="L1036" s="1184"/>
      <c r="M1036" s="1184"/>
      <c r="N1036" s="1184"/>
      <c r="O1036" s="1184"/>
      <c r="P1036" s="1163"/>
      <c r="Q1036" s="1163"/>
      <c r="R1036" s="1163"/>
      <c r="S1036" s="1163"/>
      <c r="T1036" s="1163"/>
      <c r="U1036" s="1163"/>
      <c r="V1036" s="1163"/>
      <c r="W1036" s="1163"/>
      <c r="X1036" s="1163"/>
      <c r="Y1036" s="1163"/>
    </row>
    <row r="1037" ht="12.75" customHeight="1">
      <c r="A1037" s="1184"/>
      <c r="B1037" s="1184"/>
      <c r="C1037" s="1184"/>
      <c r="D1037" s="1184"/>
      <c r="E1037" s="1184"/>
      <c r="F1037" s="1184"/>
      <c r="G1037" s="1184"/>
      <c r="H1037" s="1184"/>
      <c r="I1037" s="1184"/>
      <c r="J1037" s="1184"/>
      <c r="K1037" s="1184"/>
      <c r="L1037" s="1184"/>
      <c r="M1037" s="1184"/>
      <c r="N1037" s="1184"/>
      <c r="O1037" s="1184"/>
      <c r="P1037" s="1163"/>
      <c r="Q1037" s="1163"/>
      <c r="R1037" s="1163"/>
      <c r="S1037" s="1163"/>
      <c r="T1037" s="1163"/>
      <c r="U1037" s="1163"/>
      <c r="V1037" s="1163"/>
      <c r="W1037" s="1163"/>
      <c r="X1037" s="1163"/>
      <c r="Y1037" s="1163"/>
    </row>
    <row r="1038" ht="12.75" customHeight="1">
      <c r="A1038" s="1184"/>
      <c r="B1038" s="1184"/>
      <c r="C1038" s="1184"/>
      <c r="D1038" s="1184"/>
      <c r="E1038" s="1184"/>
      <c r="F1038" s="1184"/>
      <c r="G1038" s="1184"/>
      <c r="H1038" s="1184"/>
      <c r="I1038" s="1184"/>
      <c r="J1038" s="1184"/>
      <c r="K1038" s="1184"/>
      <c r="L1038" s="1184"/>
      <c r="M1038" s="1184"/>
      <c r="N1038" s="1184"/>
      <c r="O1038" s="1184"/>
      <c r="P1038" s="1163"/>
      <c r="Q1038" s="1163"/>
      <c r="R1038" s="1163"/>
      <c r="S1038" s="1163"/>
      <c r="T1038" s="1163"/>
      <c r="U1038" s="1163"/>
      <c r="V1038" s="1163"/>
      <c r="W1038" s="1163"/>
      <c r="X1038" s="1163"/>
      <c r="Y1038" s="1163"/>
    </row>
    <row r="1039" ht="12.75" customHeight="1">
      <c r="A1039" s="1184"/>
      <c r="B1039" s="1184"/>
      <c r="C1039" s="1184"/>
      <c r="D1039" s="1184"/>
      <c r="E1039" s="1184"/>
      <c r="F1039" s="1184"/>
      <c r="G1039" s="1184"/>
      <c r="H1039" s="1184"/>
      <c r="I1039" s="1184"/>
      <c r="J1039" s="1184"/>
      <c r="K1039" s="1184"/>
      <c r="L1039" s="1184"/>
      <c r="M1039" s="1184"/>
      <c r="N1039" s="1184"/>
      <c r="O1039" s="1184"/>
      <c r="P1039" s="1163"/>
      <c r="Q1039" s="1163"/>
      <c r="R1039" s="1163"/>
      <c r="S1039" s="1163"/>
      <c r="T1039" s="1163"/>
      <c r="U1039" s="1163"/>
      <c r="V1039" s="1163"/>
      <c r="W1039" s="1163"/>
      <c r="X1039" s="1163"/>
      <c r="Y1039" s="1163"/>
    </row>
    <row r="1040" ht="12.75" customHeight="1">
      <c r="A1040" s="1184"/>
      <c r="B1040" s="1184"/>
      <c r="C1040" s="1184"/>
      <c r="D1040" s="1184"/>
      <c r="E1040" s="1184"/>
      <c r="F1040" s="1184"/>
      <c r="G1040" s="1184"/>
      <c r="H1040" s="1184"/>
      <c r="I1040" s="1184"/>
      <c r="J1040" s="1184"/>
      <c r="K1040" s="1184"/>
      <c r="L1040" s="1184"/>
      <c r="M1040" s="1184"/>
      <c r="N1040" s="1184"/>
      <c r="O1040" s="1184"/>
      <c r="P1040" s="1163"/>
      <c r="Q1040" s="1163"/>
      <c r="R1040" s="1163"/>
      <c r="S1040" s="1163"/>
      <c r="T1040" s="1163"/>
      <c r="U1040" s="1163"/>
      <c r="V1040" s="1163"/>
      <c r="W1040" s="1163"/>
      <c r="X1040" s="1163"/>
      <c r="Y1040" s="1163"/>
    </row>
    <row r="1041" ht="12.75" customHeight="1">
      <c r="A1041" s="1184"/>
      <c r="B1041" s="1184"/>
      <c r="C1041" s="1184"/>
      <c r="D1041" s="1184"/>
      <c r="E1041" s="1184"/>
      <c r="F1041" s="1184"/>
      <c r="G1041" s="1184"/>
      <c r="H1041" s="1184"/>
      <c r="I1041" s="1184"/>
      <c r="J1041" s="1184"/>
      <c r="K1041" s="1184"/>
      <c r="L1041" s="1184"/>
      <c r="M1041" s="1184"/>
      <c r="N1041" s="1184"/>
      <c r="O1041" s="1184"/>
      <c r="P1041" s="1163"/>
      <c r="Q1041" s="1163"/>
      <c r="R1041" s="1163"/>
      <c r="S1041" s="1163"/>
      <c r="T1041" s="1163"/>
      <c r="U1041" s="1163"/>
      <c r="V1041" s="1163"/>
      <c r="W1041" s="1163"/>
      <c r="X1041" s="1163"/>
      <c r="Y1041" s="1163"/>
    </row>
    <row r="1042" ht="12.75" customHeight="1">
      <c r="A1042" s="1184"/>
      <c r="B1042" s="1184"/>
      <c r="C1042" s="1184"/>
      <c r="D1042" s="1184"/>
      <c r="E1042" s="1184"/>
      <c r="F1042" s="1184"/>
      <c r="G1042" s="1184"/>
      <c r="H1042" s="1184"/>
      <c r="I1042" s="1184"/>
      <c r="J1042" s="1184"/>
      <c r="K1042" s="1184"/>
      <c r="L1042" s="1184"/>
      <c r="M1042" s="1184"/>
      <c r="N1042" s="1184"/>
      <c r="O1042" s="1184"/>
      <c r="P1042" s="1163"/>
      <c r="Q1042" s="1163"/>
      <c r="R1042" s="1163"/>
      <c r="S1042" s="1163"/>
      <c r="T1042" s="1163"/>
      <c r="U1042" s="1163"/>
      <c r="V1042" s="1163"/>
      <c r="W1042" s="1163"/>
      <c r="X1042" s="1163"/>
      <c r="Y1042" s="1163"/>
    </row>
    <row r="1043" ht="12.75" customHeight="1">
      <c r="A1043" s="1184"/>
      <c r="B1043" s="1184"/>
      <c r="C1043" s="1184"/>
      <c r="D1043" s="1184"/>
      <c r="E1043" s="1184"/>
      <c r="F1043" s="1184"/>
      <c r="G1043" s="1184"/>
      <c r="H1043" s="1184"/>
      <c r="I1043" s="1184"/>
      <c r="J1043" s="1184"/>
      <c r="K1043" s="1184"/>
      <c r="L1043" s="1184"/>
      <c r="M1043" s="1184"/>
      <c r="N1043" s="1184"/>
      <c r="O1043" s="1184"/>
      <c r="P1043" s="1163"/>
      <c r="Q1043" s="1163"/>
      <c r="R1043" s="1163"/>
      <c r="S1043" s="1163"/>
      <c r="T1043" s="1163"/>
      <c r="U1043" s="1163"/>
      <c r="V1043" s="1163"/>
      <c r="W1043" s="1163"/>
      <c r="X1043" s="1163"/>
      <c r="Y1043" s="1163"/>
    </row>
    <row r="1044" ht="12.75" customHeight="1">
      <c r="A1044" s="1184"/>
      <c r="B1044" s="1184"/>
      <c r="C1044" s="1184"/>
      <c r="D1044" s="1184"/>
      <c r="E1044" s="1184"/>
      <c r="F1044" s="1184"/>
      <c r="G1044" s="1184"/>
      <c r="H1044" s="1184"/>
      <c r="I1044" s="1184"/>
      <c r="J1044" s="1184"/>
      <c r="K1044" s="1184"/>
      <c r="L1044" s="1184"/>
      <c r="M1044" s="1184"/>
      <c r="N1044" s="1184"/>
      <c r="O1044" s="1184"/>
      <c r="P1044" s="1163"/>
      <c r="Q1044" s="1163"/>
      <c r="R1044" s="1163"/>
      <c r="S1044" s="1163"/>
      <c r="T1044" s="1163"/>
      <c r="U1044" s="1163"/>
      <c r="V1044" s="1163"/>
      <c r="W1044" s="1163"/>
      <c r="X1044" s="1163"/>
      <c r="Y1044" s="1163"/>
    </row>
    <row r="1045" ht="12.75" customHeight="1">
      <c r="A1045" s="1184"/>
      <c r="B1045" s="1184"/>
      <c r="C1045" s="1184"/>
      <c r="D1045" s="1184"/>
      <c r="E1045" s="1184"/>
      <c r="F1045" s="1184"/>
      <c r="G1045" s="1184"/>
      <c r="H1045" s="1184"/>
      <c r="I1045" s="1184"/>
      <c r="J1045" s="1184"/>
      <c r="K1045" s="1184"/>
      <c r="L1045" s="1184"/>
      <c r="M1045" s="1184"/>
      <c r="N1045" s="1184"/>
      <c r="O1045" s="1184"/>
      <c r="P1045" s="1163"/>
      <c r="Q1045" s="1163"/>
      <c r="R1045" s="1163"/>
      <c r="S1045" s="1163"/>
      <c r="T1045" s="1163"/>
      <c r="U1045" s="1163"/>
      <c r="V1045" s="1163"/>
      <c r="W1045" s="1163"/>
      <c r="X1045" s="1163"/>
      <c r="Y1045" s="1163"/>
    </row>
    <row r="1046" ht="12.75" customHeight="1">
      <c r="A1046" s="1184"/>
      <c r="B1046" s="1184"/>
      <c r="C1046" s="1184"/>
      <c r="D1046" s="1184"/>
      <c r="E1046" s="1184"/>
      <c r="F1046" s="1184"/>
      <c r="G1046" s="1184"/>
      <c r="H1046" s="1184"/>
      <c r="I1046" s="1184"/>
      <c r="J1046" s="1184"/>
      <c r="K1046" s="1184"/>
      <c r="L1046" s="1184"/>
      <c r="M1046" s="1184"/>
      <c r="N1046" s="1184"/>
      <c r="O1046" s="1184"/>
      <c r="P1046" s="1163"/>
      <c r="Q1046" s="1163"/>
      <c r="R1046" s="1163"/>
      <c r="S1046" s="1163"/>
      <c r="T1046" s="1163"/>
      <c r="U1046" s="1163"/>
      <c r="V1046" s="1163"/>
      <c r="W1046" s="1163"/>
      <c r="X1046" s="1163"/>
      <c r="Y1046" s="1163"/>
    </row>
    <row r="1047" ht="12.75" customHeight="1">
      <c r="A1047" s="1184"/>
      <c r="B1047" s="1184"/>
      <c r="C1047" s="1184"/>
      <c r="D1047" s="1184"/>
      <c r="E1047" s="1184"/>
      <c r="F1047" s="1184"/>
      <c r="G1047" s="1184"/>
      <c r="H1047" s="1184"/>
      <c r="I1047" s="1184"/>
      <c r="J1047" s="1184"/>
      <c r="K1047" s="1184"/>
      <c r="L1047" s="1184"/>
      <c r="M1047" s="1184"/>
      <c r="N1047" s="1184"/>
      <c r="O1047" s="1184"/>
      <c r="P1047" s="1163"/>
      <c r="Q1047" s="1163"/>
      <c r="R1047" s="1163"/>
      <c r="S1047" s="1163"/>
      <c r="T1047" s="1163"/>
      <c r="U1047" s="1163"/>
      <c r="V1047" s="1163"/>
      <c r="W1047" s="1163"/>
      <c r="X1047" s="1163"/>
      <c r="Y1047" s="1163"/>
    </row>
    <row r="1048" ht="12.75" customHeight="1">
      <c r="A1048" s="1184"/>
      <c r="B1048" s="1184"/>
      <c r="C1048" s="1184"/>
      <c r="D1048" s="1184"/>
      <c r="E1048" s="1184"/>
      <c r="F1048" s="1184"/>
      <c r="G1048" s="1184"/>
      <c r="H1048" s="1184"/>
      <c r="I1048" s="1184"/>
      <c r="J1048" s="1184"/>
      <c r="K1048" s="1184"/>
      <c r="L1048" s="1184"/>
      <c r="M1048" s="1184"/>
      <c r="N1048" s="1184"/>
      <c r="O1048" s="1184"/>
      <c r="P1048" s="1163"/>
      <c r="Q1048" s="1163"/>
      <c r="R1048" s="1163"/>
      <c r="S1048" s="1163"/>
      <c r="T1048" s="1163"/>
      <c r="U1048" s="1163"/>
      <c r="V1048" s="1163"/>
      <c r="W1048" s="1163"/>
      <c r="X1048" s="1163"/>
      <c r="Y1048" s="1163"/>
    </row>
    <row r="1049" ht="12.75" customHeight="1">
      <c r="A1049" s="1184"/>
      <c r="B1049" s="1184"/>
      <c r="C1049" s="1184"/>
      <c r="D1049" s="1184"/>
      <c r="E1049" s="1184"/>
      <c r="F1049" s="1184"/>
      <c r="G1049" s="1184"/>
      <c r="H1049" s="1184"/>
      <c r="I1049" s="1184"/>
      <c r="J1049" s="1184"/>
      <c r="K1049" s="1184"/>
      <c r="L1049" s="1184"/>
      <c r="M1049" s="1184"/>
      <c r="N1049" s="1184"/>
      <c r="O1049" s="1184"/>
      <c r="P1049" s="1163"/>
      <c r="Q1049" s="1163"/>
      <c r="R1049" s="1163"/>
      <c r="S1049" s="1163"/>
      <c r="T1049" s="1163"/>
      <c r="U1049" s="1163"/>
      <c r="V1049" s="1163"/>
      <c r="W1049" s="1163"/>
      <c r="X1049" s="1163"/>
      <c r="Y1049" s="1163"/>
    </row>
    <row r="1050" ht="12.75" customHeight="1">
      <c r="A1050" s="1184"/>
      <c r="B1050" s="1184"/>
      <c r="C1050" s="1184"/>
      <c r="D1050" s="1184"/>
      <c r="E1050" s="1184"/>
      <c r="F1050" s="1184"/>
      <c r="G1050" s="1184"/>
      <c r="H1050" s="1184"/>
      <c r="I1050" s="1184"/>
      <c r="J1050" s="1184"/>
      <c r="K1050" s="1184"/>
      <c r="L1050" s="1184"/>
      <c r="M1050" s="1184"/>
      <c r="N1050" s="1184"/>
      <c r="O1050" s="1184"/>
      <c r="P1050" s="1163"/>
      <c r="Q1050" s="1163"/>
      <c r="R1050" s="1163"/>
      <c r="S1050" s="1163"/>
      <c r="T1050" s="1163"/>
      <c r="U1050" s="1163"/>
      <c r="V1050" s="1163"/>
      <c r="W1050" s="1163"/>
      <c r="X1050" s="1163"/>
      <c r="Y1050" s="1163"/>
    </row>
    <row r="1051" ht="12.75" customHeight="1">
      <c r="A1051" s="1184"/>
      <c r="B1051" s="1184"/>
      <c r="C1051" s="1184"/>
      <c r="D1051" s="1184"/>
      <c r="E1051" s="1184"/>
      <c r="F1051" s="1184"/>
      <c r="G1051" s="1184"/>
      <c r="H1051" s="1184"/>
      <c r="I1051" s="1184"/>
      <c r="J1051" s="1184"/>
      <c r="K1051" s="1184"/>
      <c r="L1051" s="1184"/>
      <c r="M1051" s="1184"/>
      <c r="N1051" s="1184"/>
      <c r="O1051" s="1184"/>
      <c r="P1051" s="1163"/>
      <c r="Q1051" s="1163"/>
      <c r="R1051" s="1163"/>
      <c r="S1051" s="1163"/>
      <c r="T1051" s="1163"/>
      <c r="U1051" s="1163"/>
      <c r="V1051" s="1163"/>
      <c r="W1051" s="1163"/>
      <c r="X1051" s="1163"/>
      <c r="Y1051" s="1163"/>
    </row>
    <row r="1052" ht="12.75" customHeight="1">
      <c r="A1052" s="1184"/>
      <c r="B1052" s="1184"/>
      <c r="C1052" s="1184"/>
      <c r="D1052" s="1184"/>
      <c r="E1052" s="1184"/>
      <c r="F1052" s="1184"/>
      <c r="G1052" s="1184"/>
      <c r="H1052" s="1184"/>
      <c r="I1052" s="1184"/>
      <c r="J1052" s="1184"/>
      <c r="K1052" s="1184"/>
      <c r="L1052" s="1184"/>
      <c r="M1052" s="1184"/>
      <c r="N1052" s="1184"/>
      <c r="O1052" s="1184"/>
      <c r="P1052" s="1163"/>
      <c r="Q1052" s="1163"/>
      <c r="R1052" s="1163"/>
      <c r="S1052" s="1163"/>
      <c r="T1052" s="1163"/>
      <c r="U1052" s="1163"/>
      <c r="V1052" s="1163"/>
      <c r="W1052" s="1163"/>
      <c r="X1052" s="1163"/>
      <c r="Y1052" s="1163"/>
    </row>
    <row r="1053" ht="12.75" customHeight="1">
      <c r="A1053" s="1184"/>
      <c r="B1053" s="1184"/>
      <c r="C1053" s="1184"/>
      <c r="D1053" s="1184"/>
      <c r="E1053" s="1184"/>
      <c r="F1053" s="1184"/>
      <c r="G1053" s="1184"/>
      <c r="H1053" s="1184"/>
      <c r="I1053" s="1184"/>
      <c r="J1053" s="1184"/>
      <c r="K1053" s="1184"/>
      <c r="L1053" s="1184"/>
      <c r="M1053" s="1184"/>
      <c r="N1053" s="1184"/>
      <c r="O1053" s="1184"/>
      <c r="P1053" s="1163"/>
      <c r="Q1053" s="1163"/>
      <c r="R1053" s="1163"/>
      <c r="S1053" s="1163"/>
      <c r="T1053" s="1163"/>
      <c r="U1053" s="1163"/>
      <c r="V1053" s="1163"/>
      <c r="W1053" s="1163"/>
      <c r="X1053" s="1163"/>
      <c r="Y1053" s="1163"/>
    </row>
    <row r="1054" ht="12.75" customHeight="1">
      <c r="A1054" s="1184"/>
      <c r="B1054" s="1184"/>
      <c r="C1054" s="1184"/>
      <c r="D1054" s="1184"/>
      <c r="E1054" s="1184"/>
      <c r="F1054" s="1184"/>
      <c r="G1054" s="1184"/>
      <c r="H1054" s="1184"/>
      <c r="I1054" s="1184"/>
      <c r="J1054" s="1184"/>
      <c r="K1054" s="1184"/>
      <c r="L1054" s="1184"/>
      <c r="M1054" s="1184"/>
      <c r="N1054" s="1184"/>
      <c r="O1054" s="1184"/>
      <c r="P1054" s="1163"/>
      <c r="Q1054" s="1163"/>
      <c r="R1054" s="1163"/>
      <c r="S1054" s="1163"/>
      <c r="T1054" s="1163"/>
      <c r="U1054" s="1163"/>
      <c r="V1054" s="1163"/>
      <c r="W1054" s="1163"/>
      <c r="X1054" s="1163"/>
      <c r="Y1054" s="1163"/>
    </row>
    <row r="1055" ht="12.75" customHeight="1">
      <c r="A1055" s="1184"/>
      <c r="B1055" s="1184"/>
      <c r="C1055" s="1184"/>
      <c r="D1055" s="1184"/>
      <c r="E1055" s="1184"/>
      <c r="F1055" s="1184"/>
      <c r="G1055" s="1184"/>
      <c r="H1055" s="1184"/>
      <c r="I1055" s="1184"/>
      <c r="J1055" s="1184"/>
      <c r="K1055" s="1184"/>
      <c r="L1055" s="1184"/>
      <c r="M1055" s="1184"/>
      <c r="N1055" s="1184"/>
      <c r="O1055" s="1184"/>
      <c r="P1055" s="1163"/>
      <c r="Q1055" s="1163"/>
      <c r="R1055" s="1163"/>
      <c r="S1055" s="1163"/>
      <c r="T1055" s="1163"/>
      <c r="U1055" s="1163"/>
      <c r="V1055" s="1163"/>
      <c r="W1055" s="1163"/>
      <c r="X1055" s="1163"/>
      <c r="Y1055" s="1163"/>
    </row>
    <row r="1056" ht="12.75" customHeight="1">
      <c r="A1056" s="1184"/>
      <c r="B1056" s="1184"/>
      <c r="C1056" s="1184"/>
      <c r="D1056" s="1184"/>
      <c r="E1056" s="1184"/>
      <c r="F1056" s="1184"/>
      <c r="G1056" s="1184"/>
      <c r="H1056" s="1184"/>
      <c r="I1056" s="1184"/>
      <c r="J1056" s="1184"/>
      <c r="K1056" s="1184"/>
      <c r="L1056" s="1184"/>
      <c r="M1056" s="1184"/>
      <c r="N1056" s="1184"/>
      <c r="O1056" s="1184"/>
      <c r="P1056" s="1163"/>
      <c r="Q1056" s="1163"/>
      <c r="R1056" s="1163"/>
      <c r="S1056" s="1163"/>
      <c r="T1056" s="1163"/>
      <c r="U1056" s="1163"/>
      <c r="V1056" s="1163"/>
      <c r="W1056" s="1163"/>
      <c r="X1056" s="1163"/>
      <c r="Y1056" s="1163"/>
    </row>
    <row r="1057" ht="12.75" customHeight="1">
      <c r="A1057" s="1184"/>
      <c r="B1057" s="1184"/>
      <c r="C1057" s="1184"/>
      <c r="D1057" s="1184"/>
      <c r="E1057" s="1184"/>
      <c r="F1057" s="1184"/>
      <c r="G1057" s="1184"/>
      <c r="H1057" s="1184"/>
      <c r="I1057" s="1184"/>
      <c r="J1057" s="1184"/>
      <c r="K1057" s="1184"/>
      <c r="L1057" s="1184"/>
      <c r="M1057" s="1184"/>
      <c r="N1057" s="1184"/>
      <c r="O1057" s="1184"/>
      <c r="P1057" s="1163"/>
      <c r="Q1057" s="1163"/>
      <c r="R1057" s="1163"/>
      <c r="S1057" s="1163"/>
      <c r="T1057" s="1163"/>
      <c r="U1057" s="1163"/>
      <c r="V1057" s="1163"/>
      <c r="W1057" s="1163"/>
      <c r="X1057" s="1163"/>
      <c r="Y1057" s="1163"/>
    </row>
    <row r="1058" ht="12.75" customHeight="1">
      <c r="A1058" s="1184"/>
      <c r="B1058" s="1184"/>
      <c r="C1058" s="1184"/>
      <c r="D1058" s="1184"/>
      <c r="E1058" s="1184"/>
      <c r="F1058" s="1184"/>
      <c r="G1058" s="1184"/>
      <c r="H1058" s="1184"/>
      <c r="I1058" s="1184"/>
      <c r="J1058" s="1184"/>
      <c r="K1058" s="1184"/>
      <c r="L1058" s="1184"/>
      <c r="M1058" s="1184"/>
      <c r="N1058" s="1184"/>
      <c r="O1058" s="1184"/>
      <c r="P1058" s="1163"/>
      <c r="Q1058" s="1163"/>
      <c r="R1058" s="1163"/>
      <c r="S1058" s="1163"/>
      <c r="T1058" s="1163"/>
      <c r="U1058" s="1163"/>
      <c r="V1058" s="1163"/>
      <c r="W1058" s="1163"/>
      <c r="X1058" s="1163"/>
      <c r="Y1058" s="1163"/>
    </row>
    <row r="1059" ht="12.75" customHeight="1">
      <c r="A1059" s="1184"/>
      <c r="B1059" s="1184"/>
      <c r="C1059" s="1184"/>
      <c r="D1059" s="1184"/>
      <c r="E1059" s="1184"/>
      <c r="F1059" s="1184"/>
      <c r="G1059" s="1184"/>
      <c r="H1059" s="1184"/>
      <c r="I1059" s="1184"/>
      <c r="J1059" s="1184"/>
      <c r="K1059" s="1184"/>
      <c r="L1059" s="1184"/>
      <c r="M1059" s="1184"/>
      <c r="N1059" s="1184"/>
      <c r="O1059" s="1184"/>
      <c r="P1059" s="1163"/>
      <c r="Q1059" s="1163"/>
      <c r="R1059" s="1163"/>
      <c r="S1059" s="1163"/>
      <c r="T1059" s="1163"/>
      <c r="U1059" s="1163"/>
      <c r="V1059" s="1163"/>
      <c r="W1059" s="1163"/>
      <c r="X1059" s="1163"/>
      <c r="Y1059" s="1163"/>
    </row>
  </sheetData>
  <mergeCells count="3">
    <mergeCell ref="A1:Q1"/>
    <mergeCell ref="Q104:Q106"/>
    <mergeCell ref="Q107:Q108"/>
  </mergeCells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Row="1"/>
  <cols>
    <col customWidth="1" min="1" max="1" width="5.38"/>
    <col customWidth="1" min="2" max="2" width="21.0"/>
    <col customWidth="1" min="3" max="3" width="14.5"/>
    <col customWidth="1" min="4" max="4" width="16.38"/>
    <col customWidth="1" min="5" max="5" width="26.88"/>
    <col customWidth="1" min="6" max="6" width="21.13"/>
    <col customWidth="1" min="7" max="8" width="15.5"/>
    <col customWidth="1" min="9" max="9" width="34.13"/>
    <col customWidth="1" min="10" max="10" width="9.5"/>
    <col customWidth="1" min="11" max="11" width="10.0"/>
    <col customWidth="1" min="12" max="12" width="9.25"/>
    <col customWidth="1" min="13" max="13" width="13.0"/>
    <col customWidth="1" min="14" max="14" width="8.63"/>
    <col customWidth="1" min="15" max="15" width="15.5"/>
    <col customWidth="1" min="16" max="16" width="14.63"/>
    <col customWidth="1" min="17" max="18" width="12.88"/>
  </cols>
  <sheetData>
    <row r="1" ht="28.5" customHeight="1">
      <c r="A1" s="1036" t="s">
        <v>8128</v>
      </c>
      <c r="B1" s="1038"/>
      <c r="C1" s="1038"/>
      <c r="D1" s="1037"/>
      <c r="E1" s="1037"/>
      <c r="F1" s="1037"/>
      <c r="G1" s="1037"/>
      <c r="H1" s="1037"/>
      <c r="I1" s="1037"/>
      <c r="J1" s="788" t="s">
        <v>3</v>
      </c>
      <c r="K1" s="1037"/>
      <c r="L1" s="1037"/>
      <c r="M1" s="1037"/>
      <c r="N1" s="1037"/>
      <c r="O1" s="1037"/>
      <c r="P1" s="1037"/>
      <c r="Q1" s="1039"/>
      <c r="R1" s="1039"/>
    </row>
    <row r="2" ht="12.75" customHeight="1">
      <c r="A2" s="790" t="s">
        <v>5</v>
      </c>
      <c r="B2" s="435" t="s">
        <v>3216</v>
      </c>
      <c r="C2" s="435" t="s">
        <v>3217</v>
      </c>
      <c r="D2" s="435" t="s">
        <v>6082</v>
      </c>
      <c r="E2" s="435" t="s">
        <v>11</v>
      </c>
      <c r="F2" s="435" t="s">
        <v>6083</v>
      </c>
      <c r="G2" s="791" t="s">
        <v>3219</v>
      </c>
      <c r="H2" s="435" t="s">
        <v>3221</v>
      </c>
      <c r="I2" s="435" t="s">
        <v>33</v>
      </c>
      <c r="J2" s="790" t="s">
        <v>21</v>
      </c>
      <c r="K2" s="790" t="s">
        <v>22</v>
      </c>
      <c r="L2" s="790" t="s">
        <v>23</v>
      </c>
      <c r="M2" s="790" t="s">
        <v>25</v>
      </c>
      <c r="N2" s="790" t="s">
        <v>26</v>
      </c>
      <c r="O2" s="790" t="s">
        <v>6085</v>
      </c>
      <c r="P2" s="792" t="s">
        <v>6086</v>
      </c>
      <c r="Q2" s="1042" t="s">
        <v>3226</v>
      </c>
      <c r="R2" s="794" t="s">
        <v>34</v>
      </c>
    </row>
    <row r="3" ht="20.25" customHeight="1">
      <c r="A3" s="1270" t="s">
        <v>7148</v>
      </c>
      <c r="B3" s="436" t="s">
        <v>8129</v>
      </c>
      <c r="C3" s="1271"/>
      <c r="D3" s="1272">
        <f>SUM($C$4,$C$23,$C$31,$C$62)</f>
        <v>25</v>
      </c>
      <c r="E3" s="1273"/>
      <c r="F3" s="1271"/>
      <c r="G3" s="1273"/>
      <c r="H3" s="1273"/>
      <c r="I3" s="1273"/>
      <c r="J3" s="1271"/>
      <c r="K3" s="1271"/>
      <c r="L3" s="1273"/>
      <c r="M3" s="1271"/>
      <c r="N3" s="1271"/>
      <c r="O3" s="1273"/>
      <c r="P3" s="1273"/>
      <c r="Q3" s="1274"/>
      <c r="R3" s="802" t="s">
        <v>41</v>
      </c>
    </row>
    <row r="4" ht="21.75" customHeight="1">
      <c r="A4" s="1275" t="s">
        <v>2947</v>
      </c>
      <c r="B4" s="1275" t="s">
        <v>7049</v>
      </c>
      <c r="C4" s="1276">
        <f>SUM($C$5,$C$9,$C$13,$C$17)</f>
        <v>5</v>
      </c>
      <c r="D4" s="1277"/>
      <c r="E4" s="1277"/>
      <c r="F4" s="1278"/>
      <c r="G4" s="1277"/>
      <c r="H4" s="1277"/>
      <c r="I4" s="1277"/>
      <c r="J4" s="1278"/>
      <c r="K4" s="1278"/>
      <c r="L4" s="1277"/>
      <c r="M4" s="1278"/>
      <c r="N4" s="1278"/>
      <c r="O4" s="1277"/>
      <c r="P4" s="1277"/>
      <c r="Q4" s="1279"/>
      <c r="R4" s="805" t="s">
        <v>54</v>
      </c>
    </row>
    <row r="5" ht="21.75" customHeight="1">
      <c r="A5" s="1280" t="s">
        <v>72</v>
      </c>
      <c r="B5" s="1280" t="s">
        <v>7050</v>
      </c>
      <c r="C5" s="1281">
        <f>COUNTA($B$6:$B$8)</f>
        <v>1</v>
      </c>
      <c r="D5" s="1282"/>
      <c r="E5" s="1282"/>
      <c r="F5" s="1281"/>
      <c r="G5" s="1282"/>
      <c r="H5" s="1282"/>
      <c r="I5" s="1282"/>
      <c r="J5" s="1281"/>
      <c r="K5" s="1281"/>
      <c r="L5" s="1282"/>
      <c r="M5" s="1281"/>
      <c r="N5" s="1281"/>
      <c r="O5" s="1282"/>
      <c r="P5" s="1282"/>
      <c r="Q5" s="1283"/>
      <c r="R5" s="1283"/>
    </row>
    <row r="6" ht="21.75" customHeight="1">
      <c r="A6" s="1284"/>
      <c r="B6" s="1284" t="s">
        <v>7051</v>
      </c>
      <c r="C6" s="1285"/>
      <c r="D6" s="1286"/>
      <c r="E6" s="464" t="s">
        <v>5812</v>
      </c>
      <c r="F6" s="463" t="s">
        <v>46</v>
      </c>
      <c r="G6" s="1287">
        <v>45420.0</v>
      </c>
      <c r="H6" s="464" t="s">
        <v>1661</v>
      </c>
      <c r="I6" s="1286"/>
      <c r="J6" s="463" t="s">
        <v>8130</v>
      </c>
      <c r="K6" s="463" t="s">
        <v>8131</v>
      </c>
      <c r="L6" s="467"/>
      <c r="M6" s="463" t="s">
        <v>8132</v>
      </c>
      <c r="N6" s="463" t="s">
        <v>8133</v>
      </c>
      <c r="O6" s="1286"/>
      <c r="P6" s="1286"/>
      <c r="Q6" s="1288">
        <v>0.63</v>
      </c>
      <c r="R6" s="1288"/>
    </row>
    <row r="7" ht="21.75" customHeight="1">
      <c r="A7" s="1284"/>
      <c r="B7" s="1284"/>
      <c r="C7" s="1285"/>
      <c r="D7" s="1286"/>
      <c r="E7" s="1286"/>
      <c r="F7" s="1285"/>
      <c r="G7" s="1286"/>
      <c r="H7" s="1286"/>
      <c r="I7" s="1286"/>
      <c r="J7" s="1285"/>
      <c r="K7" s="1285"/>
      <c r="L7" s="1286"/>
      <c r="M7" s="1285"/>
      <c r="N7" s="1285"/>
      <c r="O7" s="1286"/>
      <c r="P7" s="1286"/>
      <c r="Q7" s="1289"/>
      <c r="R7" s="1289"/>
    </row>
    <row r="8" ht="21.75" hidden="1" customHeight="1">
      <c r="A8" s="1284"/>
      <c r="B8" s="1284"/>
      <c r="C8" s="588" t="s">
        <v>2436</v>
      </c>
      <c r="D8" s="1286"/>
      <c r="E8" s="1286"/>
      <c r="F8" s="1285"/>
      <c r="G8" s="1286"/>
      <c r="H8" s="1286"/>
      <c r="I8" s="1286"/>
      <c r="J8" s="1285"/>
      <c r="K8" s="1285"/>
      <c r="L8" s="1286"/>
      <c r="M8" s="1285"/>
      <c r="N8" s="1285"/>
      <c r="O8" s="1286"/>
      <c r="P8" s="1286"/>
      <c r="Q8" s="1289"/>
      <c r="R8" s="1289"/>
    </row>
    <row r="9" ht="21.75" customHeight="1">
      <c r="A9" s="1280" t="s">
        <v>375</v>
      </c>
      <c r="B9" s="1280" t="s">
        <v>7052</v>
      </c>
      <c r="C9" s="1281">
        <f>COUNTA($B$10:$B$12)</f>
        <v>0</v>
      </c>
      <c r="D9" s="1282"/>
      <c r="E9" s="1282"/>
      <c r="F9" s="1281"/>
      <c r="G9" s="1282"/>
      <c r="H9" s="1282"/>
      <c r="I9" s="1282"/>
      <c r="J9" s="1281"/>
      <c r="K9" s="1281"/>
      <c r="L9" s="1282"/>
      <c r="M9" s="1281"/>
      <c r="N9" s="1281"/>
      <c r="O9" s="1282"/>
      <c r="P9" s="1282"/>
      <c r="Q9" s="1283"/>
      <c r="R9" s="1283"/>
    </row>
    <row r="10" ht="21.75" customHeight="1">
      <c r="A10" s="1284"/>
      <c r="B10" s="1284"/>
      <c r="C10" s="1285"/>
      <c r="D10" s="1286"/>
      <c r="E10" s="1286"/>
      <c r="F10" s="1285"/>
      <c r="G10" s="1286"/>
      <c r="H10" s="1286"/>
      <c r="I10" s="1286"/>
      <c r="J10" s="1285"/>
      <c r="K10" s="1285"/>
      <c r="L10" s="1286"/>
      <c r="M10" s="1285"/>
      <c r="N10" s="1285"/>
      <c r="O10" s="1286"/>
      <c r="P10" s="1286"/>
      <c r="Q10" s="1289"/>
      <c r="R10" s="1289"/>
    </row>
    <row r="11" ht="21.75" customHeight="1">
      <c r="A11" s="1284"/>
      <c r="B11" s="1284"/>
      <c r="C11" s="1285"/>
      <c r="D11" s="1286"/>
      <c r="E11" s="1286"/>
      <c r="F11" s="1285"/>
      <c r="G11" s="1286"/>
      <c r="H11" s="1286"/>
      <c r="I11" s="1286"/>
      <c r="J11" s="1285"/>
      <c r="K11" s="1285"/>
      <c r="L11" s="1286"/>
      <c r="M11" s="1285"/>
      <c r="N11" s="1285"/>
      <c r="O11" s="1286"/>
      <c r="P11" s="1286"/>
      <c r="Q11" s="1289"/>
      <c r="R11" s="1289"/>
    </row>
    <row r="12" ht="21.75" hidden="1" customHeight="1">
      <c r="A12" s="1284"/>
      <c r="B12" s="1284"/>
      <c r="C12" s="588" t="s">
        <v>2436</v>
      </c>
      <c r="D12" s="1286"/>
      <c r="E12" s="1286"/>
      <c r="F12" s="1285"/>
      <c r="G12" s="1286"/>
      <c r="H12" s="1286"/>
      <c r="I12" s="1286"/>
      <c r="J12" s="1285"/>
      <c r="K12" s="1285"/>
      <c r="L12" s="1286"/>
      <c r="M12" s="1285"/>
      <c r="N12" s="1285"/>
      <c r="O12" s="1286"/>
      <c r="P12" s="1286"/>
      <c r="Q12" s="1289"/>
      <c r="R12" s="1289"/>
    </row>
    <row r="13" ht="21.75" customHeight="1">
      <c r="A13" s="1280" t="s">
        <v>515</v>
      </c>
      <c r="B13" s="1280" t="s">
        <v>7053</v>
      </c>
      <c r="C13" s="1281">
        <f>COUNTA($B$14:$B$16)</f>
        <v>0</v>
      </c>
      <c r="D13" s="1282"/>
      <c r="E13" s="1282"/>
      <c r="F13" s="1281"/>
      <c r="G13" s="1282"/>
      <c r="H13" s="1282"/>
      <c r="I13" s="1282"/>
      <c r="J13" s="1281"/>
      <c r="K13" s="1281"/>
      <c r="L13" s="1282"/>
      <c r="M13" s="1281"/>
      <c r="N13" s="1281"/>
      <c r="O13" s="1282"/>
      <c r="P13" s="1282"/>
      <c r="Q13" s="1283"/>
      <c r="R13" s="1283"/>
    </row>
    <row r="14" ht="21.75" customHeight="1">
      <c r="A14" s="1284"/>
      <c r="B14" s="1284"/>
      <c r="C14" s="1285"/>
      <c r="D14" s="1286"/>
      <c r="E14" s="1286"/>
      <c r="F14" s="1285"/>
      <c r="G14" s="1286"/>
      <c r="H14" s="1286"/>
      <c r="I14" s="1286"/>
      <c r="J14" s="1285"/>
      <c r="K14" s="1285"/>
      <c r="L14" s="1286"/>
      <c r="M14" s="1285"/>
      <c r="N14" s="1285"/>
      <c r="O14" s="1286"/>
      <c r="P14" s="1286"/>
      <c r="Q14" s="1289"/>
      <c r="R14" s="1289"/>
    </row>
    <row r="15" ht="21.75" customHeight="1">
      <c r="A15" s="1284"/>
      <c r="B15" s="1284"/>
      <c r="C15" s="1285"/>
      <c r="D15" s="1286"/>
      <c r="E15" s="1286"/>
      <c r="F15" s="1285"/>
      <c r="G15" s="1286"/>
      <c r="H15" s="1286"/>
      <c r="I15" s="1286"/>
      <c r="J15" s="1285"/>
      <c r="K15" s="1285"/>
      <c r="L15" s="1286"/>
      <c r="M15" s="1285"/>
      <c r="N15" s="1285"/>
      <c r="O15" s="1286"/>
      <c r="P15" s="1286"/>
      <c r="Q15" s="1289"/>
      <c r="R15" s="1289"/>
    </row>
    <row r="16" ht="21.75" hidden="1" customHeight="1">
      <c r="A16" s="1284"/>
      <c r="B16" s="1284"/>
      <c r="C16" s="588" t="s">
        <v>2436</v>
      </c>
      <c r="D16" s="1286"/>
      <c r="E16" s="1286"/>
      <c r="F16" s="1285"/>
      <c r="G16" s="1286"/>
      <c r="H16" s="1286"/>
      <c r="I16" s="1286"/>
      <c r="J16" s="1285"/>
      <c r="K16" s="1285"/>
      <c r="L16" s="1286"/>
      <c r="M16" s="1285"/>
      <c r="N16" s="1285"/>
      <c r="O16" s="1286"/>
      <c r="P16" s="1286"/>
      <c r="Q16" s="1289"/>
      <c r="R16" s="1289"/>
    </row>
    <row r="17" ht="21.75" customHeight="1">
      <c r="A17" s="1280" t="s">
        <v>8134</v>
      </c>
      <c r="B17" s="1280" t="s">
        <v>49</v>
      </c>
      <c r="C17" s="1281">
        <f>COUNTA(B18:B21)</f>
        <v>4</v>
      </c>
      <c r="D17" s="1282"/>
      <c r="E17" s="1282"/>
      <c r="F17" s="1281"/>
      <c r="G17" s="1282"/>
      <c r="H17" s="1282"/>
      <c r="I17" s="1282"/>
      <c r="J17" s="1281"/>
      <c r="K17" s="1281"/>
      <c r="L17" s="1282"/>
      <c r="M17" s="1281"/>
      <c r="N17" s="1281"/>
      <c r="O17" s="1282"/>
      <c r="P17" s="1282"/>
      <c r="Q17" s="1283"/>
      <c r="R17" s="1283"/>
    </row>
    <row r="18" ht="21.75" customHeight="1">
      <c r="A18" s="588">
        <v>1.0</v>
      </c>
      <c r="B18" s="588" t="s">
        <v>7054</v>
      </c>
      <c r="C18" s="1285"/>
      <c r="D18" s="1286"/>
      <c r="E18" s="464" t="s">
        <v>5812</v>
      </c>
      <c r="F18" s="588" t="s">
        <v>4948</v>
      </c>
      <c r="G18" s="1290" t="s">
        <v>8135</v>
      </c>
      <c r="H18" s="464" t="s">
        <v>1661</v>
      </c>
      <c r="I18" s="1286"/>
      <c r="J18" s="588" t="s">
        <v>8130</v>
      </c>
      <c r="K18" s="463" t="s">
        <v>8131</v>
      </c>
      <c r="L18" s="1286"/>
      <c r="M18" s="588" t="s">
        <v>8136</v>
      </c>
      <c r="N18" s="588" t="s">
        <v>8137</v>
      </c>
      <c r="O18" s="463">
        <v>8.37566473E8</v>
      </c>
      <c r="P18" s="463">
        <v>134.0</v>
      </c>
      <c r="Q18" s="1288">
        <v>0.63</v>
      </c>
      <c r="R18" s="1288"/>
    </row>
    <row r="19" ht="21.75" customHeight="1">
      <c r="A19" s="588">
        <v>2.0</v>
      </c>
      <c r="B19" s="588" t="s">
        <v>7055</v>
      </c>
      <c r="C19" s="1285"/>
      <c r="D19" s="1286"/>
      <c r="E19" s="464" t="s">
        <v>5812</v>
      </c>
      <c r="F19" s="588" t="s">
        <v>4948</v>
      </c>
      <c r="G19" s="1290" t="s">
        <v>8135</v>
      </c>
      <c r="H19" s="464" t="s">
        <v>1661</v>
      </c>
      <c r="I19" s="1286"/>
      <c r="J19" s="588" t="s">
        <v>8130</v>
      </c>
      <c r="K19" s="463" t="s">
        <v>8131</v>
      </c>
      <c r="L19" s="1286"/>
      <c r="M19" s="588" t="s">
        <v>8136</v>
      </c>
      <c r="N19" s="588" t="s">
        <v>8137</v>
      </c>
      <c r="O19" s="463">
        <v>8.37566474E8</v>
      </c>
      <c r="P19" s="463">
        <v>135.0</v>
      </c>
      <c r="Q19" s="1288">
        <v>0.63</v>
      </c>
      <c r="R19" s="1288"/>
    </row>
    <row r="20" ht="21.75" customHeight="1">
      <c r="A20" s="588">
        <v>3.0</v>
      </c>
      <c r="B20" s="588" t="s">
        <v>7056</v>
      </c>
      <c r="C20" s="1285"/>
      <c r="D20" s="1286"/>
      <c r="E20" s="464" t="s">
        <v>5812</v>
      </c>
      <c r="F20" s="588" t="s">
        <v>4948</v>
      </c>
      <c r="G20" s="1290" t="s">
        <v>8135</v>
      </c>
      <c r="H20" s="464" t="s">
        <v>1661</v>
      </c>
      <c r="I20" s="1286"/>
      <c r="J20" s="588" t="s">
        <v>8130</v>
      </c>
      <c r="K20" s="463" t="s">
        <v>8131</v>
      </c>
      <c r="L20" s="1286"/>
      <c r="M20" s="588" t="s">
        <v>8136</v>
      </c>
      <c r="N20" s="588" t="s">
        <v>8137</v>
      </c>
      <c r="O20" s="463">
        <v>8.37566439E8</v>
      </c>
      <c r="P20" s="463">
        <v>100.0</v>
      </c>
      <c r="Q20" s="1288">
        <v>0.63</v>
      </c>
      <c r="R20" s="1288"/>
    </row>
    <row r="21" ht="21.75" customHeight="1">
      <c r="A21" s="588">
        <v>4.0</v>
      </c>
      <c r="B21" s="588" t="s">
        <v>7057</v>
      </c>
      <c r="C21" s="1285"/>
      <c r="D21" s="1286"/>
      <c r="E21" s="464" t="s">
        <v>5812</v>
      </c>
      <c r="F21" s="588" t="s">
        <v>4948</v>
      </c>
      <c r="G21" s="1290" t="s">
        <v>8135</v>
      </c>
      <c r="H21" s="464" t="s">
        <v>1661</v>
      </c>
      <c r="I21" s="1286"/>
      <c r="J21" s="588" t="s">
        <v>8130</v>
      </c>
      <c r="K21" s="463" t="s">
        <v>8131</v>
      </c>
      <c r="L21" s="1286"/>
      <c r="M21" s="588" t="s">
        <v>8136</v>
      </c>
      <c r="N21" s="588" t="s">
        <v>8137</v>
      </c>
      <c r="O21" s="463">
        <v>8.37566434E8</v>
      </c>
      <c r="P21" s="463">
        <v>95.0</v>
      </c>
      <c r="Q21" s="1288">
        <v>0.63</v>
      </c>
      <c r="R21" s="1288"/>
    </row>
    <row r="22" ht="21.75" customHeight="1">
      <c r="A22" s="1284"/>
      <c r="B22" s="1284"/>
      <c r="C22" s="588" t="s">
        <v>2436</v>
      </c>
      <c r="D22" s="1286"/>
      <c r="E22" s="1286"/>
      <c r="F22" s="1285"/>
      <c r="G22" s="1286"/>
      <c r="H22" s="1286"/>
      <c r="I22" s="1286"/>
      <c r="J22" s="1285"/>
      <c r="K22" s="1285"/>
      <c r="L22" s="1286"/>
      <c r="M22" s="1285"/>
      <c r="N22" s="1285"/>
      <c r="O22" s="1286"/>
      <c r="P22" s="1286"/>
      <c r="Q22" s="1289"/>
      <c r="R22" s="1289"/>
    </row>
    <row r="23" ht="21.75" customHeight="1">
      <c r="A23" s="1275" t="s">
        <v>1974</v>
      </c>
      <c r="B23" s="1275" t="s">
        <v>6182</v>
      </c>
      <c r="C23" s="1276">
        <f>SUM($C$24,$C$27)</f>
        <v>1</v>
      </c>
      <c r="D23" s="1277"/>
      <c r="E23" s="1277"/>
      <c r="F23" s="1278"/>
      <c r="G23" s="1277"/>
      <c r="H23" s="1277"/>
      <c r="I23" s="1277"/>
      <c r="J23" s="1278"/>
      <c r="K23" s="1278"/>
      <c r="L23" s="1277"/>
      <c r="M23" s="1278"/>
      <c r="N23" s="1278"/>
      <c r="O23" s="1277"/>
      <c r="P23" s="1277"/>
      <c r="Q23" s="1279"/>
      <c r="R23" s="1279"/>
    </row>
    <row r="24" ht="21.75" customHeight="1">
      <c r="A24" s="1280" t="s">
        <v>653</v>
      </c>
      <c r="B24" s="1280" t="s">
        <v>6183</v>
      </c>
      <c r="C24" s="1281">
        <f>COUNTA($B$25:$B$26)</f>
        <v>1</v>
      </c>
      <c r="D24" s="1282"/>
      <c r="E24" s="1282"/>
      <c r="F24" s="1281"/>
      <c r="G24" s="1282"/>
      <c r="H24" s="1282"/>
      <c r="I24" s="1282"/>
      <c r="J24" s="1281"/>
      <c r="K24" s="1281"/>
      <c r="L24" s="1282"/>
      <c r="M24" s="1281"/>
      <c r="N24" s="1281"/>
      <c r="O24" s="1282"/>
      <c r="P24" s="1282"/>
      <c r="Q24" s="1283"/>
      <c r="R24" s="1283"/>
    </row>
    <row r="25" ht="21.75" customHeight="1">
      <c r="A25" s="463">
        <v>1.0</v>
      </c>
      <c r="B25" s="1291" t="s">
        <v>7058</v>
      </c>
      <c r="C25" s="463"/>
      <c r="D25" s="467"/>
      <c r="E25" s="464" t="s">
        <v>5812</v>
      </c>
      <c r="F25" s="463" t="s">
        <v>57</v>
      </c>
      <c r="G25" s="464" t="s">
        <v>4771</v>
      </c>
      <c r="H25" s="464" t="s">
        <v>1661</v>
      </c>
      <c r="I25" s="464"/>
      <c r="J25" s="463" t="s">
        <v>8130</v>
      </c>
      <c r="K25" s="463" t="s">
        <v>8131</v>
      </c>
      <c r="L25" s="467"/>
      <c r="M25" s="463" t="s">
        <v>8132</v>
      </c>
      <c r="N25" s="463" t="s">
        <v>8133</v>
      </c>
      <c r="O25" s="467"/>
      <c r="P25" s="467"/>
      <c r="Q25" s="1288">
        <v>0.63</v>
      </c>
      <c r="R25" s="1288"/>
    </row>
    <row r="26" ht="21.75" hidden="1" customHeight="1">
      <c r="A26" s="1284"/>
      <c r="B26" s="1284"/>
      <c r="C26" s="588" t="s">
        <v>2436</v>
      </c>
      <c r="D26" s="1286"/>
      <c r="E26" s="1286"/>
      <c r="F26" s="1285"/>
      <c r="G26" s="1286"/>
      <c r="H26" s="1286"/>
      <c r="I26" s="1286"/>
      <c r="J26" s="1285"/>
      <c r="K26" s="1285"/>
      <c r="L26" s="1286"/>
      <c r="M26" s="1285"/>
      <c r="N26" s="1285"/>
      <c r="O26" s="1286"/>
      <c r="P26" s="1286"/>
      <c r="Q26" s="1289"/>
      <c r="R26" s="1289"/>
    </row>
    <row r="27" ht="21.75" customHeight="1">
      <c r="A27" s="1280" t="s">
        <v>760</v>
      </c>
      <c r="B27" s="1280" t="s">
        <v>6231</v>
      </c>
      <c r="C27" s="1281">
        <f>COUNTA($B$28:$B$30)</f>
        <v>0</v>
      </c>
      <c r="D27" s="1282"/>
      <c r="E27" s="1282"/>
      <c r="F27" s="1281"/>
      <c r="G27" s="1282"/>
      <c r="H27" s="1282"/>
      <c r="I27" s="1282"/>
      <c r="J27" s="1281"/>
      <c r="K27" s="1281"/>
      <c r="L27" s="1282"/>
      <c r="M27" s="1281"/>
      <c r="N27" s="1281"/>
      <c r="O27" s="1282"/>
      <c r="P27" s="1282"/>
      <c r="Q27" s="1283"/>
      <c r="R27" s="1283"/>
    </row>
    <row r="28" ht="21.75" customHeight="1">
      <c r="A28" s="1284"/>
      <c r="B28" s="1284"/>
      <c r="C28" s="1285"/>
      <c r="D28" s="1286"/>
      <c r="E28" s="1286"/>
      <c r="F28" s="1285"/>
      <c r="G28" s="1286"/>
      <c r="H28" s="1286"/>
      <c r="I28" s="1286"/>
      <c r="J28" s="1285"/>
      <c r="K28" s="1285"/>
      <c r="L28" s="1286"/>
      <c r="M28" s="1285"/>
      <c r="N28" s="1285"/>
      <c r="O28" s="1286"/>
      <c r="P28" s="1286"/>
      <c r="Q28" s="1289"/>
      <c r="R28" s="1289"/>
    </row>
    <row r="29" ht="21.75" customHeight="1">
      <c r="A29" s="1284"/>
      <c r="B29" s="1284"/>
      <c r="C29" s="1285"/>
      <c r="D29" s="1286"/>
      <c r="E29" s="1286"/>
      <c r="F29" s="1285"/>
      <c r="G29" s="1286"/>
      <c r="H29" s="1286"/>
      <c r="I29" s="1286"/>
      <c r="J29" s="1285"/>
      <c r="K29" s="1285"/>
      <c r="L29" s="1286"/>
      <c r="M29" s="1285"/>
      <c r="N29" s="1285"/>
      <c r="O29" s="1286"/>
      <c r="P29" s="1286"/>
      <c r="Q29" s="1289"/>
      <c r="R29" s="1289"/>
    </row>
    <row r="30" ht="21.75" hidden="1" customHeight="1">
      <c r="A30" s="1284"/>
      <c r="B30" s="1284"/>
      <c r="C30" s="588" t="s">
        <v>2436</v>
      </c>
      <c r="D30" s="1286"/>
      <c r="E30" s="1286"/>
      <c r="F30" s="1285"/>
      <c r="G30" s="1286"/>
      <c r="H30" s="1286"/>
      <c r="I30" s="1286"/>
      <c r="J30" s="1285"/>
      <c r="K30" s="1285"/>
      <c r="L30" s="1286"/>
      <c r="M30" s="1285"/>
      <c r="N30" s="1285"/>
      <c r="O30" s="1286"/>
      <c r="P30" s="1286"/>
      <c r="Q30" s="1289"/>
      <c r="R30" s="1289"/>
    </row>
    <row r="31" ht="21.75" customHeight="1">
      <c r="A31" s="1275" t="s">
        <v>2642</v>
      </c>
      <c r="B31" s="1275" t="s">
        <v>6294</v>
      </c>
      <c r="C31" s="1276">
        <f>SUM($C$32,$C$36,$C$43)</f>
        <v>16</v>
      </c>
      <c r="D31" s="1277"/>
      <c r="E31" s="1277"/>
      <c r="F31" s="1278"/>
      <c r="G31" s="1277"/>
      <c r="H31" s="1277"/>
      <c r="I31" s="1277"/>
      <c r="J31" s="1278"/>
      <c r="K31" s="1278"/>
      <c r="L31" s="1277"/>
      <c r="M31" s="1278"/>
      <c r="N31" s="1278"/>
      <c r="O31" s="1277"/>
      <c r="P31" s="1277"/>
      <c r="Q31" s="1279"/>
      <c r="R31" s="1279"/>
    </row>
    <row r="32" ht="21.75" customHeight="1">
      <c r="A32" s="1280" t="s">
        <v>853</v>
      </c>
      <c r="B32" s="1280" t="s">
        <v>6295</v>
      </c>
      <c r="C32" s="1281">
        <f>COUNTA($B$33:$B$35)</f>
        <v>0</v>
      </c>
      <c r="D32" s="1282"/>
      <c r="E32" s="1282"/>
      <c r="F32" s="1281"/>
      <c r="G32" s="1282"/>
      <c r="H32" s="1282"/>
      <c r="I32" s="1282"/>
      <c r="J32" s="1281"/>
      <c r="K32" s="1281"/>
      <c r="L32" s="1282"/>
      <c r="M32" s="1281"/>
      <c r="N32" s="1281"/>
      <c r="O32" s="1282"/>
      <c r="P32" s="1282"/>
      <c r="Q32" s="1283"/>
      <c r="R32" s="1283"/>
    </row>
    <row r="33" ht="21.75" customHeight="1">
      <c r="A33" s="1284"/>
      <c r="B33" s="1284"/>
      <c r="C33" s="1285"/>
      <c r="D33" s="1286"/>
      <c r="E33" s="1286"/>
      <c r="F33" s="1285"/>
      <c r="G33" s="1286"/>
      <c r="H33" s="1286"/>
      <c r="I33" s="1286"/>
      <c r="J33" s="1285"/>
      <c r="K33" s="1285"/>
      <c r="L33" s="1286"/>
      <c r="M33" s="1285"/>
      <c r="N33" s="1285"/>
      <c r="O33" s="1286"/>
      <c r="P33" s="1286"/>
      <c r="Q33" s="1289"/>
      <c r="R33" s="1289"/>
    </row>
    <row r="34" ht="21.75" customHeight="1">
      <c r="A34" s="1284"/>
      <c r="B34" s="1284"/>
      <c r="C34" s="1285"/>
      <c r="D34" s="1286"/>
      <c r="E34" s="1286"/>
      <c r="F34" s="1285"/>
      <c r="G34" s="1286"/>
      <c r="H34" s="1286"/>
      <c r="I34" s="1286"/>
      <c r="J34" s="1285"/>
      <c r="K34" s="1285"/>
      <c r="L34" s="1286"/>
      <c r="M34" s="1285"/>
      <c r="N34" s="1285"/>
      <c r="O34" s="1286"/>
      <c r="P34" s="1286"/>
      <c r="Q34" s="1289"/>
      <c r="R34" s="1289"/>
    </row>
    <row r="35" ht="21.75" hidden="1" customHeight="1">
      <c r="A35" s="1284"/>
      <c r="B35" s="1284"/>
      <c r="C35" s="588" t="s">
        <v>2436</v>
      </c>
      <c r="D35" s="1286"/>
      <c r="E35" s="1286"/>
      <c r="F35" s="1285"/>
      <c r="G35" s="1286"/>
      <c r="H35" s="1286"/>
      <c r="I35" s="1286"/>
      <c r="J35" s="1285"/>
      <c r="K35" s="1285"/>
      <c r="L35" s="1286"/>
      <c r="M35" s="1285"/>
      <c r="N35" s="1285"/>
      <c r="O35" s="1286"/>
      <c r="P35" s="1286"/>
      <c r="Q35" s="1289"/>
      <c r="R35" s="1289"/>
    </row>
    <row r="36" ht="21.75" customHeight="1">
      <c r="A36" s="1280" t="s">
        <v>1005</v>
      </c>
      <c r="B36" s="1280" t="s">
        <v>61</v>
      </c>
      <c r="C36" s="1281">
        <f>COUNTA($B$37:$B$42)</f>
        <v>5</v>
      </c>
      <c r="D36" s="1282"/>
      <c r="E36" s="1282"/>
      <c r="F36" s="1281"/>
      <c r="G36" s="1282"/>
      <c r="H36" s="1282"/>
      <c r="I36" s="1282"/>
      <c r="J36" s="1281"/>
      <c r="K36" s="1281"/>
      <c r="L36" s="1282"/>
      <c r="M36" s="1281"/>
      <c r="N36" s="1281"/>
      <c r="O36" s="1282"/>
      <c r="P36" s="1282"/>
      <c r="Q36" s="1283"/>
      <c r="R36" s="1283"/>
    </row>
    <row r="37" ht="21.75" customHeight="1">
      <c r="A37" s="463">
        <v>1.0</v>
      </c>
      <c r="B37" s="1291" t="s">
        <v>7059</v>
      </c>
      <c r="C37" s="463"/>
      <c r="D37" s="464" t="s">
        <v>8139</v>
      </c>
      <c r="E37" s="464" t="s">
        <v>5812</v>
      </c>
      <c r="F37" s="463" t="s">
        <v>6054</v>
      </c>
      <c r="G37" s="464" t="s">
        <v>8140</v>
      </c>
      <c r="H37" s="464" t="s">
        <v>1661</v>
      </c>
      <c r="I37" s="464"/>
      <c r="J37" s="463" t="s">
        <v>8141</v>
      </c>
      <c r="K37" s="463"/>
      <c r="L37" s="467"/>
      <c r="M37" s="463" t="s">
        <v>8142</v>
      </c>
      <c r="N37" s="463" t="s">
        <v>7157</v>
      </c>
      <c r="O37" s="464" t="s">
        <v>8143</v>
      </c>
      <c r="P37" s="464" t="s">
        <v>8144</v>
      </c>
      <c r="Q37" s="1288">
        <v>0.63</v>
      </c>
      <c r="R37" s="1288"/>
    </row>
    <row r="38" ht="21.75" customHeight="1">
      <c r="A38" s="463">
        <f t="shared" ref="A38:A41" si="1">1+A37</f>
        <v>2</v>
      </c>
      <c r="B38" s="1291" t="s">
        <v>7060</v>
      </c>
      <c r="C38" s="463"/>
      <c r="D38" s="464" t="s">
        <v>8139</v>
      </c>
      <c r="E38" s="464" t="s">
        <v>5812</v>
      </c>
      <c r="F38" s="463" t="s">
        <v>6054</v>
      </c>
      <c r="G38" s="464" t="s">
        <v>8140</v>
      </c>
      <c r="H38" s="464" t="s">
        <v>1661</v>
      </c>
      <c r="I38" s="464"/>
      <c r="J38" s="463" t="s">
        <v>8141</v>
      </c>
      <c r="K38" s="463"/>
      <c r="L38" s="467"/>
      <c r="M38" s="463" t="s">
        <v>8142</v>
      </c>
      <c r="N38" s="463" t="s">
        <v>7157</v>
      </c>
      <c r="O38" s="464" t="s">
        <v>8145</v>
      </c>
      <c r="P38" s="464" t="s">
        <v>8146</v>
      </c>
      <c r="Q38" s="1288">
        <v>0.63</v>
      </c>
      <c r="R38" s="1288"/>
    </row>
    <row r="39" ht="21.75" customHeight="1">
      <c r="A39" s="463">
        <f t="shared" si="1"/>
        <v>3</v>
      </c>
      <c r="B39" s="1291" t="s">
        <v>7061</v>
      </c>
      <c r="C39" s="463"/>
      <c r="D39" s="464" t="s">
        <v>8139</v>
      </c>
      <c r="E39" s="464" t="s">
        <v>5812</v>
      </c>
      <c r="F39" s="463" t="s">
        <v>6054</v>
      </c>
      <c r="G39" s="464" t="s">
        <v>8140</v>
      </c>
      <c r="H39" s="464" t="s">
        <v>1661</v>
      </c>
      <c r="I39" s="464"/>
      <c r="J39" s="463" t="s">
        <v>8141</v>
      </c>
      <c r="K39" s="463"/>
      <c r="L39" s="467"/>
      <c r="M39" s="463" t="s">
        <v>8142</v>
      </c>
      <c r="N39" s="463" t="s">
        <v>7157</v>
      </c>
      <c r="O39" s="464" t="s">
        <v>8147</v>
      </c>
      <c r="P39" s="464" t="s">
        <v>8148</v>
      </c>
      <c r="Q39" s="1288">
        <v>0.63</v>
      </c>
      <c r="R39" s="1288"/>
    </row>
    <row r="40" ht="21.75" customHeight="1">
      <c r="A40" s="463">
        <f t="shared" si="1"/>
        <v>4</v>
      </c>
      <c r="B40" s="1291" t="s">
        <v>7062</v>
      </c>
      <c r="C40" s="463"/>
      <c r="D40" s="464" t="s">
        <v>8139</v>
      </c>
      <c r="E40" s="464" t="s">
        <v>5812</v>
      </c>
      <c r="F40" s="463" t="s">
        <v>6054</v>
      </c>
      <c r="G40" s="464" t="s">
        <v>8140</v>
      </c>
      <c r="H40" s="464" t="s">
        <v>1661</v>
      </c>
      <c r="I40" s="464"/>
      <c r="J40" s="463" t="s">
        <v>8141</v>
      </c>
      <c r="K40" s="463"/>
      <c r="L40" s="467"/>
      <c r="M40" s="463" t="s">
        <v>8142</v>
      </c>
      <c r="N40" s="463" t="s">
        <v>7157</v>
      </c>
      <c r="O40" s="464" t="s">
        <v>8149</v>
      </c>
      <c r="P40" s="464" t="s">
        <v>8150</v>
      </c>
      <c r="Q40" s="1288">
        <v>0.63</v>
      </c>
      <c r="R40" s="1288"/>
    </row>
    <row r="41" ht="21.75" customHeight="1">
      <c r="A41" s="463">
        <f t="shared" si="1"/>
        <v>5</v>
      </c>
      <c r="B41" s="1291" t="s">
        <v>7063</v>
      </c>
      <c r="C41" s="463"/>
      <c r="D41" s="464" t="s">
        <v>8139</v>
      </c>
      <c r="E41" s="464" t="s">
        <v>5812</v>
      </c>
      <c r="F41" s="463" t="s">
        <v>6054</v>
      </c>
      <c r="G41" s="464" t="s">
        <v>8140</v>
      </c>
      <c r="H41" s="464" t="s">
        <v>1661</v>
      </c>
      <c r="I41" s="464"/>
      <c r="J41" s="463" t="s">
        <v>8141</v>
      </c>
      <c r="K41" s="463"/>
      <c r="L41" s="467"/>
      <c r="M41" s="463" t="s">
        <v>8142</v>
      </c>
      <c r="N41" s="463" t="s">
        <v>7157</v>
      </c>
      <c r="O41" s="464" t="s">
        <v>8147</v>
      </c>
      <c r="P41" s="464" t="s">
        <v>8151</v>
      </c>
      <c r="Q41" s="1288">
        <v>0.63</v>
      </c>
      <c r="R41" s="1288"/>
    </row>
    <row r="42" ht="21.75" customHeight="1">
      <c r="A42" s="1284"/>
      <c r="B42" s="1284"/>
      <c r="C42" s="588" t="s">
        <v>4580</v>
      </c>
      <c r="D42" s="1286"/>
      <c r="E42" s="1286"/>
      <c r="F42" s="1285"/>
      <c r="G42" s="1286"/>
      <c r="H42" s="1286"/>
      <c r="I42" s="1286"/>
      <c r="J42" s="1285"/>
      <c r="K42" s="1285"/>
      <c r="L42" s="1286"/>
      <c r="M42" s="1285"/>
      <c r="N42" s="1285"/>
      <c r="O42" s="1286"/>
      <c r="P42" s="1286"/>
      <c r="Q42" s="1289"/>
      <c r="R42" s="1289"/>
    </row>
    <row r="43" ht="21.75" customHeight="1">
      <c r="A43" s="1280" t="s">
        <v>1116</v>
      </c>
      <c r="B43" s="1280" t="s">
        <v>7064</v>
      </c>
      <c r="C43" s="1281">
        <f>counta($B$44:$B$55)</f>
        <v>11</v>
      </c>
      <c r="D43" s="1282"/>
      <c r="E43" s="1282"/>
      <c r="F43" s="1281"/>
      <c r="G43" s="1282"/>
      <c r="H43" s="1282"/>
      <c r="I43" s="1282"/>
      <c r="J43" s="1281"/>
      <c r="K43" s="1281"/>
      <c r="L43" s="1282"/>
      <c r="M43" s="1281"/>
      <c r="N43" s="1281"/>
      <c r="O43" s="1282"/>
      <c r="P43" s="1282"/>
      <c r="Q43" s="1283"/>
      <c r="R43" s="1283"/>
    </row>
    <row r="44" ht="21.75" customHeight="1">
      <c r="A44" s="463">
        <v>1.0</v>
      </c>
      <c r="B44" s="463" t="s">
        <v>7065</v>
      </c>
      <c r="C44" s="475"/>
      <c r="D44" s="467"/>
      <c r="E44" s="464" t="s">
        <v>5812</v>
      </c>
      <c r="F44" s="463" t="s">
        <v>62</v>
      </c>
      <c r="G44" s="464" t="s">
        <v>8152</v>
      </c>
      <c r="H44" s="464" t="s">
        <v>1661</v>
      </c>
      <c r="I44" s="467"/>
      <c r="J44" s="463" t="s">
        <v>8153</v>
      </c>
      <c r="K44" s="475"/>
      <c r="L44" s="467"/>
      <c r="M44" s="475"/>
      <c r="N44" s="475"/>
      <c r="O44" s="467"/>
      <c r="P44" s="467"/>
      <c r="Q44" s="1288">
        <v>0.63</v>
      </c>
      <c r="R44" s="1288"/>
    </row>
    <row r="45" ht="21.75" customHeight="1">
      <c r="A45" s="463">
        <v>2.0</v>
      </c>
      <c r="B45" s="463" t="s">
        <v>7066</v>
      </c>
      <c r="C45" s="475"/>
      <c r="D45" s="467"/>
      <c r="E45" s="464" t="s">
        <v>5812</v>
      </c>
      <c r="F45" s="463" t="s">
        <v>62</v>
      </c>
      <c r="G45" s="464" t="s">
        <v>8152</v>
      </c>
      <c r="H45" s="464" t="s">
        <v>1661</v>
      </c>
      <c r="I45" s="467"/>
      <c r="J45" s="463" t="s">
        <v>8153</v>
      </c>
      <c r="K45" s="475"/>
      <c r="L45" s="467"/>
      <c r="M45" s="475"/>
      <c r="N45" s="475"/>
      <c r="O45" s="467"/>
      <c r="P45" s="467"/>
      <c r="Q45" s="1288">
        <v>0.63</v>
      </c>
      <c r="R45" s="1288"/>
    </row>
    <row r="46" ht="21.75" customHeight="1">
      <c r="A46" s="463">
        <v>3.0</v>
      </c>
      <c r="B46" s="463" t="s">
        <v>7067</v>
      </c>
      <c r="C46" s="475"/>
      <c r="D46" s="467"/>
      <c r="E46" s="464" t="s">
        <v>5812</v>
      </c>
      <c r="F46" s="463" t="s">
        <v>62</v>
      </c>
      <c r="G46" s="464" t="s">
        <v>8152</v>
      </c>
      <c r="H46" s="464" t="s">
        <v>1661</v>
      </c>
      <c r="I46" s="467"/>
      <c r="J46" s="463" t="s">
        <v>8153</v>
      </c>
      <c r="K46" s="475"/>
      <c r="L46" s="467"/>
      <c r="M46" s="475"/>
      <c r="N46" s="475"/>
      <c r="O46" s="467"/>
      <c r="P46" s="467"/>
      <c r="Q46" s="1288">
        <v>0.63</v>
      </c>
      <c r="R46" s="1288"/>
    </row>
    <row r="47" ht="21.75" customHeight="1">
      <c r="A47" s="463">
        <v>4.0</v>
      </c>
      <c r="B47" s="463" t="s">
        <v>7068</v>
      </c>
      <c r="C47" s="475"/>
      <c r="D47" s="467"/>
      <c r="E47" s="464" t="s">
        <v>5812</v>
      </c>
      <c r="F47" s="463" t="s">
        <v>62</v>
      </c>
      <c r="G47" s="464" t="s">
        <v>8152</v>
      </c>
      <c r="H47" s="464" t="s">
        <v>1661</v>
      </c>
      <c r="I47" s="467"/>
      <c r="J47" s="463" t="s">
        <v>8153</v>
      </c>
      <c r="K47" s="475"/>
      <c r="L47" s="467"/>
      <c r="M47" s="475"/>
      <c r="N47" s="475"/>
      <c r="O47" s="467"/>
      <c r="P47" s="467"/>
      <c r="Q47" s="1288">
        <v>0.63</v>
      </c>
      <c r="R47" s="1288"/>
    </row>
    <row r="48" ht="21.75" customHeight="1">
      <c r="A48" s="463">
        <v>5.0</v>
      </c>
      <c r="B48" s="1291" t="s">
        <v>7069</v>
      </c>
      <c r="C48" s="463"/>
      <c r="D48" s="467"/>
      <c r="E48" s="464" t="s">
        <v>5812</v>
      </c>
      <c r="F48" s="463" t="s">
        <v>62</v>
      </c>
      <c r="G48" s="467" t="s">
        <v>8152</v>
      </c>
      <c r="H48" s="467" t="s">
        <v>1661</v>
      </c>
      <c r="I48" s="464"/>
      <c r="J48" s="463" t="s">
        <v>8153</v>
      </c>
      <c r="K48" s="463"/>
      <c r="L48" s="467"/>
      <c r="M48" s="463"/>
      <c r="N48" s="463"/>
      <c r="O48" s="467"/>
      <c r="P48" s="467"/>
      <c r="Q48" s="1288">
        <v>0.63</v>
      </c>
      <c r="R48" s="1288"/>
    </row>
    <row r="49" ht="21.75" customHeight="1">
      <c r="A49" s="463">
        <v>6.0</v>
      </c>
      <c r="B49" s="1291" t="s">
        <v>7070</v>
      </c>
      <c r="C49" s="463"/>
      <c r="D49" s="467"/>
      <c r="E49" s="464" t="s">
        <v>5812</v>
      </c>
      <c r="F49" s="463" t="s">
        <v>62</v>
      </c>
      <c r="G49" s="467" t="s">
        <v>76</v>
      </c>
      <c r="H49" s="467" t="s">
        <v>1661</v>
      </c>
      <c r="I49" s="464"/>
      <c r="J49" s="463"/>
      <c r="K49" s="463"/>
      <c r="L49" s="467"/>
      <c r="M49" s="463"/>
      <c r="N49" s="463"/>
      <c r="O49" s="467"/>
      <c r="P49" s="467"/>
      <c r="Q49" s="1288">
        <v>0.63</v>
      </c>
      <c r="R49" s="1288"/>
    </row>
    <row r="50" ht="21.75" customHeight="1">
      <c r="A50" s="463">
        <v>7.0</v>
      </c>
      <c r="B50" s="1291" t="s">
        <v>7071</v>
      </c>
      <c r="C50" s="463"/>
      <c r="D50" s="467"/>
      <c r="E50" s="464" t="s">
        <v>5812</v>
      </c>
      <c r="F50" s="463" t="s">
        <v>62</v>
      </c>
      <c r="G50" s="467" t="s">
        <v>76</v>
      </c>
      <c r="H50" s="467" t="s">
        <v>1661</v>
      </c>
      <c r="I50" s="464"/>
      <c r="J50" s="463"/>
      <c r="K50" s="463"/>
      <c r="L50" s="467"/>
      <c r="M50" s="463"/>
      <c r="N50" s="463"/>
      <c r="O50" s="467"/>
      <c r="P50" s="467"/>
      <c r="Q50" s="1288">
        <v>0.63</v>
      </c>
      <c r="R50" s="1288"/>
    </row>
    <row r="51" ht="21.75" customHeight="1">
      <c r="A51" s="463">
        <v>8.0</v>
      </c>
      <c r="B51" s="463" t="s">
        <v>7072</v>
      </c>
      <c r="C51" s="463"/>
      <c r="D51" s="467"/>
      <c r="E51" s="464" t="s">
        <v>5812</v>
      </c>
      <c r="F51" s="463" t="s">
        <v>62</v>
      </c>
      <c r="G51" s="464" t="s">
        <v>1950</v>
      </c>
      <c r="H51" s="464" t="s">
        <v>1661</v>
      </c>
      <c r="I51" s="464"/>
      <c r="J51" s="463" t="s">
        <v>8130</v>
      </c>
      <c r="K51" s="463" t="s">
        <v>740</v>
      </c>
      <c r="L51" s="467"/>
      <c r="M51" s="463" t="s">
        <v>8132</v>
      </c>
      <c r="N51" s="463" t="s">
        <v>8133</v>
      </c>
      <c r="O51" s="467"/>
      <c r="P51" s="464">
        <v>3.72768383E8</v>
      </c>
      <c r="Q51" s="1288">
        <v>0.63</v>
      </c>
      <c r="R51" s="1288"/>
    </row>
    <row r="52" ht="21.75" customHeight="1">
      <c r="A52" s="463">
        <v>9.0</v>
      </c>
      <c r="B52" s="463" t="s">
        <v>7073</v>
      </c>
      <c r="C52" s="463"/>
      <c r="D52" s="467"/>
      <c r="E52" s="464" t="s">
        <v>5812</v>
      </c>
      <c r="F52" s="463" t="s">
        <v>62</v>
      </c>
      <c r="G52" s="464" t="s">
        <v>1950</v>
      </c>
      <c r="H52" s="464" t="s">
        <v>1661</v>
      </c>
      <c r="I52" s="464"/>
      <c r="J52" s="463" t="s">
        <v>8130</v>
      </c>
      <c r="K52" s="463" t="s">
        <v>740</v>
      </c>
      <c r="L52" s="467"/>
      <c r="M52" s="463" t="s">
        <v>8132</v>
      </c>
      <c r="N52" s="463" t="s">
        <v>8133</v>
      </c>
      <c r="O52" s="467"/>
      <c r="P52" s="464">
        <v>3.72768436E8</v>
      </c>
      <c r="Q52" s="1288">
        <v>0.63</v>
      </c>
      <c r="R52" s="1288"/>
    </row>
    <row r="53" ht="21.75" customHeight="1">
      <c r="A53" s="463">
        <v>10.0</v>
      </c>
      <c r="B53" s="463" t="s">
        <v>7074</v>
      </c>
      <c r="C53" s="463"/>
      <c r="D53" s="467"/>
      <c r="E53" s="464" t="s">
        <v>5812</v>
      </c>
      <c r="F53" s="463" t="s">
        <v>62</v>
      </c>
      <c r="G53" s="464" t="s">
        <v>8154</v>
      </c>
      <c r="H53" s="464" t="s">
        <v>1661</v>
      </c>
      <c r="I53" s="464"/>
      <c r="J53" s="463" t="s">
        <v>8130</v>
      </c>
      <c r="K53" s="463" t="s">
        <v>740</v>
      </c>
      <c r="L53" s="467"/>
      <c r="M53" s="463" t="s">
        <v>8132</v>
      </c>
      <c r="N53" s="463" t="s">
        <v>8133</v>
      </c>
      <c r="O53" s="467"/>
      <c r="P53" s="464">
        <v>3.72733522E8</v>
      </c>
      <c r="Q53" s="1288">
        <v>0.63</v>
      </c>
      <c r="R53" s="1288"/>
    </row>
    <row r="54" ht="21.75" customHeight="1">
      <c r="A54" s="1292" t="s">
        <v>8155</v>
      </c>
      <c r="B54" s="463" t="s">
        <v>7075</v>
      </c>
      <c r="C54" s="463"/>
      <c r="D54" s="467"/>
      <c r="E54" s="464" t="s">
        <v>5812</v>
      </c>
      <c r="F54" s="463" t="s">
        <v>62</v>
      </c>
      <c r="G54" s="464" t="s">
        <v>8154</v>
      </c>
      <c r="H54" s="464" t="s">
        <v>1661</v>
      </c>
      <c r="I54" s="464"/>
      <c r="J54" s="463" t="s">
        <v>8130</v>
      </c>
      <c r="K54" s="463" t="s">
        <v>740</v>
      </c>
      <c r="L54" s="467"/>
      <c r="M54" s="463" t="s">
        <v>8132</v>
      </c>
      <c r="N54" s="463" t="s">
        <v>8133</v>
      </c>
      <c r="O54" s="467"/>
      <c r="P54" s="464">
        <v>3.72733505E8</v>
      </c>
      <c r="Q54" s="1288">
        <v>0.63</v>
      </c>
      <c r="R54" s="1288"/>
    </row>
    <row r="55" ht="21.75" hidden="1" customHeight="1">
      <c r="A55" s="463" t="s">
        <v>8156</v>
      </c>
      <c r="B55" s="435"/>
      <c r="C55" s="1293" t="s">
        <v>2436</v>
      </c>
      <c r="D55" s="1273"/>
      <c r="E55" s="1273"/>
      <c r="F55" s="1271"/>
      <c r="G55" s="1273"/>
      <c r="H55" s="1273"/>
      <c r="I55" s="1273"/>
      <c r="J55" s="1271"/>
      <c r="K55" s="1271"/>
      <c r="L55" s="1273"/>
      <c r="M55" s="1271"/>
      <c r="N55" s="1271"/>
      <c r="O55" s="1273"/>
      <c r="P55" s="1273"/>
      <c r="Q55" s="1274"/>
      <c r="R55" s="1274"/>
    </row>
    <row r="56">
      <c r="A56" s="463" t="s">
        <v>8157</v>
      </c>
      <c r="B56" s="463" t="s">
        <v>8158</v>
      </c>
      <c r="C56" s="463"/>
      <c r="D56" s="463" t="s">
        <v>8159</v>
      </c>
      <c r="E56" s="464" t="s">
        <v>5812</v>
      </c>
      <c r="F56" s="463" t="s">
        <v>62</v>
      </c>
      <c r="G56" s="464" t="s">
        <v>8160</v>
      </c>
      <c r="H56" s="464" t="s">
        <v>1661</v>
      </c>
      <c r="I56" s="1294" t="s">
        <v>8161</v>
      </c>
      <c r="J56" s="603" t="s">
        <v>8130</v>
      </c>
      <c r="K56" s="604" t="s">
        <v>3626</v>
      </c>
      <c r="L56" s="604">
        <v>2025.0</v>
      </c>
      <c r="M56" s="604" t="s">
        <v>8162</v>
      </c>
      <c r="N56" s="604" t="s">
        <v>8163</v>
      </c>
      <c r="O56" s="605"/>
      <c r="P56" s="601">
        <v>3.74308719E8</v>
      </c>
      <c r="Q56" s="463"/>
      <c r="R56" s="463"/>
    </row>
    <row r="57">
      <c r="A57" s="463" t="s">
        <v>8164</v>
      </c>
      <c r="B57" s="463" t="s">
        <v>8165</v>
      </c>
      <c r="C57" s="463"/>
      <c r="D57" s="463" t="s">
        <v>8166</v>
      </c>
      <c r="E57" s="464" t="s">
        <v>5812</v>
      </c>
      <c r="F57" s="463" t="s">
        <v>62</v>
      </c>
      <c r="G57" s="464" t="s">
        <v>8160</v>
      </c>
      <c r="H57" s="464" t="s">
        <v>1661</v>
      </c>
      <c r="I57" s="1294" t="s">
        <v>8161</v>
      </c>
      <c r="J57" s="603" t="s">
        <v>8130</v>
      </c>
      <c r="K57" s="604" t="s">
        <v>3626</v>
      </c>
      <c r="L57" s="604">
        <v>2025.0</v>
      </c>
      <c r="M57" s="604" t="s">
        <v>8162</v>
      </c>
      <c r="N57" s="604" t="s">
        <v>8163</v>
      </c>
      <c r="O57" s="605"/>
      <c r="P57" s="601">
        <v>3.74500128E8</v>
      </c>
      <c r="Q57" s="463"/>
      <c r="R57" s="463"/>
    </row>
    <row r="58">
      <c r="A58" s="463" t="s">
        <v>8167</v>
      </c>
      <c r="B58" s="463" t="s">
        <v>8168</v>
      </c>
      <c r="C58" s="463"/>
      <c r="D58" s="463" t="s">
        <v>8169</v>
      </c>
      <c r="E58" s="464" t="s">
        <v>5812</v>
      </c>
      <c r="F58" s="463" t="s">
        <v>62</v>
      </c>
      <c r="G58" s="464" t="s">
        <v>8160</v>
      </c>
      <c r="H58" s="464" t="s">
        <v>1661</v>
      </c>
      <c r="I58" s="1294" t="s">
        <v>8161</v>
      </c>
      <c r="J58" s="603" t="s">
        <v>8130</v>
      </c>
      <c r="K58" s="604" t="s">
        <v>3626</v>
      </c>
      <c r="L58" s="604">
        <v>2025.0</v>
      </c>
      <c r="M58" s="604" t="s">
        <v>8162</v>
      </c>
      <c r="N58" s="604" t="s">
        <v>8163</v>
      </c>
      <c r="O58" s="605"/>
      <c r="P58" s="601">
        <v>3.74500138E8</v>
      </c>
      <c r="Q58" s="463"/>
      <c r="R58" s="463"/>
    </row>
    <row r="59">
      <c r="A59" s="463" t="s">
        <v>8170</v>
      </c>
      <c r="B59" s="463" t="s">
        <v>8171</v>
      </c>
      <c r="C59" s="463"/>
      <c r="D59" s="463" t="s">
        <v>8172</v>
      </c>
      <c r="E59" s="464" t="s">
        <v>5812</v>
      </c>
      <c r="F59" s="463" t="s">
        <v>62</v>
      </c>
      <c r="G59" s="464" t="s">
        <v>8160</v>
      </c>
      <c r="H59" s="464" t="s">
        <v>1661</v>
      </c>
      <c r="I59" s="1294" t="s">
        <v>8161</v>
      </c>
      <c r="J59" s="603" t="s">
        <v>8130</v>
      </c>
      <c r="K59" s="604" t="s">
        <v>3626</v>
      </c>
      <c r="L59" s="604">
        <v>2025.0</v>
      </c>
      <c r="M59" s="604" t="s">
        <v>8162</v>
      </c>
      <c r="N59" s="604" t="s">
        <v>8163</v>
      </c>
      <c r="O59" s="605"/>
      <c r="P59" s="601">
        <v>3.7445048E8</v>
      </c>
      <c r="Q59" s="463"/>
      <c r="R59" s="463"/>
    </row>
    <row r="60">
      <c r="A60" s="463" t="s">
        <v>8173</v>
      </c>
      <c r="B60" s="463" t="s">
        <v>8174</v>
      </c>
      <c r="C60" s="463"/>
      <c r="D60" s="463" t="s">
        <v>8175</v>
      </c>
      <c r="E60" s="464" t="s">
        <v>5812</v>
      </c>
      <c r="F60" s="463" t="s">
        <v>62</v>
      </c>
      <c r="G60" s="464" t="s">
        <v>8160</v>
      </c>
      <c r="H60" s="464" t="s">
        <v>1661</v>
      </c>
      <c r="I60" s="1294" t="s">
        <v>8161</v>
      </c>
      <c r="J60" s="603" t="s">
        <v>8130</v>
      </c>
      <c r="K60" s="604" t="s">
        <v>3626</v>
      </c>
      <c r="L60" s="604">
        <v>2025.0</v>
      </c>
      <c r="M60" s="604" t="s">
        <v>8162</v>
      </c>
      <c r="N60" s="604" t="s">
        <v>8163</v>
      </c>
      <c r="O60" s="605"/>
      <c r="P60" s="601">
        <v>3.74450513E8</v>
      </c>
      <c r="Q60" s="463"/>
      <c r="R60" s="463"/>
    </row>
    <row r="61" ht="21.75" customHeight="1">
      <c r="A61" s="463"/>
      <c r="B61" s="463"/>
      <c r="C61" s="463"/>
      <c r="D61" s="463"/>
      <c r="E61" s="463"/>
      <c r="F61" s="463"/>
      <c r="G61" s="463"/>
      <c r="H61" s="463"/>
      <c r="I61" s="463"/>
      <c r="J61" s="463"/>
      <c r="K61" s="463"/>
      <c r="L61" s="463"/>
      <c r="M61" s="463"/>
      <c r="N61" s="463"/>
      <c r="O61" s="463"/>
      <c r="P61" s="463"/>
      <c r="Q61" s="463"/>
      <c r="R61" s="463"/>
    </row>
    <row r="62" ht="21.75" customHeight="1">
      <c r="A62" s="463" t="s">
        <v>4476</v>
      </c>
      <c r="B62" s="463" t="s">
        <v>7076</v>
      </c>
      <c r="C62" s="463">
        <f>sum($C$63)</f>
        <v>3</v>
      </c>
      <c r="D62" s="463"/>
      <c r="E62" s="463"/>
      <c r="F62" s="463"/>
      <c r="G62" s="463"/>
      <c r="H62" s="463"/>
      <c r="I62" s="463"/>
      <c r="J62" s="463"/>
      <c r="K62" s="463"/>
      <c r="L62" s="463"/>
      <c r="M62" s="463"/>
      <c r="N62" s="463"/>
      <c r="O62" s="463"/>
      <c r="P62" s="463"/>
      <c r="Q62" s="463"/>
      <c r="R62" s="463"/>
    </row>
    <row r="63" ht="21.75" customHeight="1">
      <c r="A63" s="1280" t="s">
        <v>8176</v>
      </c>
      <c r="B63" s="1280" t="s">
        <v>7044</v>
      </c>
      <c r="C63" s="1281">
        <f>counta($B$64:$B$67)</f>
        <v>3</v>
      </c>
      <c r="D63" s="1282"/>
      <c r="E63" s="1282"/>
      <c r="F63" s="1281"/>
      <c r="G63" s="1282"/>
      <c r="H63" s="1282"/>
      <c r="I63" s="1282"/>
      <c r="J63" s="1281"/>
      <c r="K63" s="1281"/>
      <c r="L63" s="1282"/>
      <c r="M63" s="1281"/>
      <c r="N63" s="1281"/>
      <c r="O63" s="1282"/>
      <c r="P63" s="1282"/>
      <c r="Q63" s="1283"/>
      <c r="R63" s="1283"/>
    </row>
    <row r="64" ht="21.75" customHeight="1">
      <c r="A64" s="463">
        <v>1.0</v>
      </c>
      <c r="B64" s="1291" t="s">
        <v>7077</v>
      </c>
      <c r="C64" s="463" t="s">
        <v>8177</v>
      </c>
      <c r="D64" s="467"/>
      <c r="E64" s="464" t="s">
        <v>5812</v>
      </c>
      <c r="F64" s="463" t="s">
        <v>6062</v>
      </c>
      <c r="G64" s="467"/>
      <c r="H64" s="464" t="s">
        <v>1661</v>
      </c>
      <c r="I64" s="464" t="s">
        <v>4462</v>
      </c>
      <c r="J64" s="463" t="s">
        <v>8130</v>
      </c>
      <c r="K64" s="463" t="s">
        <v>740</v>
      </c>
      <c r="L64" s="467"/>
      <c r="M64" s="463" t="s">
        <v>8132</v>
      </c>
      <c r="N64" s="463" t="s">
        <v>8133</v>
      </c>
      <c r="O64" s="467"/>
      <c r="P64" s="467"/>
      <c r="Q64" s="1288">
        <v>0.63</v>
      </c>
      <c r="R64" s="1288"/>
    </row>
    <row r="65" ht="21.75" customHeight="1">
      <c r="A65" s="463">
        <f t="shared" ref="A65:A66" si="2">1+A64</f>
        <v>2</v>
      </c>
      <c r="B65" s="1291" t="s">
        <v>7078</v>
      </c>
      <c r="C65" s="463" t="s">
        <v>8178</v>
      </c>
      <c r="D65" s="467"/>
      <c r="E65" s="464" t="s">
        <v>5812</v>
      </c>
      <c r="F65" s="463" t="s">
        <v>6062</v>
      </c>
      <c r="G65" s="467"/>
      <c r="H65" s="464" t="s">
        <v>1661</v>
      </c>
      <c r="I65" s="464" t="s">
        <v>5046</v>
      </c>
      <c r="J65" s="463" t="s">
        <v>8179</v>
      </c>
      <c r="K65" s="463" t="s">
        <v>740</v>
      </c>
      <c r="L65" s="467"/>
      <c r="M65" s="463" t="s">
        <v>8180</v>
      </c>
      <c r="N65" s="463" t="s">
        <v>8181</v>
      </c>
      <c r="O65" s="467"/>
      <c r="P65" s="467"/>
      <c r="Q65" s="1288">
        <v>0.63</v>
      </c>
      <c r="R65" s="1288"/>
    </row>
    <row r="66" ht="21.75" customHeight="1">
      <c r="A66" s="463">
        <f t="shared" si="2"/>
        <v>3</v>
      </c>
      <c r="B66" s="1291" t="s">
        <v>7079</v>
      </c>
      <c r="C66" s="463" t="s">
        <v>8182</v>
      </c>
      <c r="D66" s="467"/>
      <c r="E66" s="464" t="s">
        <v>5812</v>
      </c>
      <c r="F66" s="463" t="s">
        <v>6062</v>
      </c>
      <c r="G66" s="467"/>
      <c r="H66" s="464" t="s">
        <v>1661</v>
      </c>
      <c r="I66" s="464" t="s">
        <v>4312</v>
      </c>
      <c r="J66" s="463" t="s">
        <v>8130</v>
      </c>
      <c r="K66" s="463" t="s">
        <v>740</v>
      </c>
      <c r="L66" s="467"/>
      <c r="M66" s="463" t="s">
        <v>8132</v>
      </c>
      <c r="N66" s="463" t="s">
        <v>8133</v>
      </c>
      <c r="O66" s="467"/>
      <c r="P66" s="467"/>
      <c r="Q66" s="1288">
        <v>0.63</v>
      </c>
      <c r="R66" s="1288"/>
    </row>
    <row r="67" ht="21.75" hidden="1" customHeight="1">
      <c r="A67" s="435"/>
      <c r="B67" s="435"/>
      <c r="C67" s="1293" t="s">
        <v>374</v>
      </c>
      <c r="D67" s="1273"/>
      <c r="E67" s="1273"/>
      <c r="F67" s="1271"/>
      <c r="G67" s="1273"/>
      <c r="H67" s="1273"/>
      <c r="I67" s="1273"/>
      <c r="J67" s="1271"/>
      <c r="K67" s="1271"/>
      <c r="L67" s="1273"/>
      <c r="M67" s="1271"/>
      <c r="N67" s="1271"/>
      <c r="O67" s="1273"/>
      <c r="P67" s="1273"/>
      <c r="Q67" s="1274"/>
      <c r="R67" s="1274"/>
    </row>
    <row r="68" ht="21.75" customHeight="1">
      <c r="A68" s="435" t="s">
        <v>6181</v>
      </c>
      <c r="B68" s="435" t="s">
        <v>7080</v>
      </c>
      <c r="C68" s="1272">
        <f>SUM($C$69,$C$91,$C$108,$C$120)</f>
        <v>22</v>
      </c>
      <c r="D68" s="1273"/>
      <c r="E68" s="1273"/>
      <c r="F68" s="1271"/>
      <c r="G68" s="1273"/>
      <c r="H68" s="1273"/>
      <c r="I68" s="1273"/>
      <c r="J68" s="1271"/>
      <c r="K68" s="1271"/>
      <c r="L68" s="1273"/>
      <c r="M68" s="1271"/>
      <c r="N68" s="1271"/>
      <c r="O68" s="1273"/>
      <c r="P68" s="1273"/>
      <c r="Q68" s="1274"/>
      <c r="R68" s="1274"/>
    </row>
    <row r="69" ht="21.75" customHeight="1">
      <c r="A69" s="1275" t="s">
        <v>2947</v>
      </c>
      <c r="B69" s="1275" t="s">
        <v>7049</v>
      </c>
      <c r="C69" s="1276">
        <f>sum($C$70,$C$78,$C$82,$C$87)</f>
        <v>11</v>
      </c>
      <c r="D69" s="1277"/>
      <c r="E69" s="1277"/>
      <c r="F69" s="1278"/>
      <c r="G69" s="1277"/>
      <c r="H69" s="1277"/>
      <c r="I69" s="1277"/>
      <c r="J69" s="1278"/>
      <c r="K69" s="1278"/>
      <c r="L69" s="1277"/>
      <c r="M69" s="1278"/>
      <c r="N69" s="1278"/>
      <c r="O69" s="1277"/>
      <c r="P69" s="1277"/>
      <c r="Q69" s="1279"/>
      <c r="R69" s="1279"/>
    </row>
    <row r="70" ht="21.75" customHeight="1">
      <c r="A70" s="1280" t="s">
        <v>72</v>
      </c>
      <c r="B70" s="1280" t="s">
        <v>7050</v>
      </c>
      <c r="C70" s="1281">
        <f>counta($B$71:$B$77)</f>
        <v>6</v>
      </c>
      <c r="D70" s="1282"/>
      <c r="E70" s="1282"/>
      <c r="F70" s="1281"/>
      <c r="G70" s="1282"/>
      <c r="H70" s="1282"/>
      <c r="I70" s="1282"/>
      <c r="J70" s="1281"/>
      <c r="K70" s="1281"/>
      <c r="L70" s="1282"/>
      <c r="M70" s="1281"/>
      <c r="N70" s="1281"/>
      <c r="O70" s="1282"/>
      <c r="P70" s="1282"/>
      <c r="Q70" s="1283"/>
      <c r="R70" s="1283"/>
    </row>
    <row r="71" ht="21.75" customHeight="1">
      <c r="A71" s="463">
        <v>1.0</v>
      </c>
      <c r="B71" s="1291" t="s">
        <v>7081</v>
      </c>
      <c r="C71" s="463" t="s">
        <v>154</v>
      </c>
      <c r="D71" s="467"/>
      <c r="E71" s="464" t="s">
        <v>5815</v>
      </c>
      <c r="F71" s="463" t="s">
        <v>46</v>
      </c>
      <c r="G71" s="464" t="s">
        <v>8183</v>
      </c>
      <c r="H71" s="467" t="s">
        <v>1027</v>
      </c>
      <c r="I71" s="467"/>
      <c r="J71" s="463" t="s">
        <v>7161</v>
      </c>
      <c r="K71" s="467" t="s">
        <v>883</v>
      </c>
      <c r="L71" s="463">
        <v>2022.0</v>
      </c>
      <c r="M71" s="463" t="s">
        <v>8184</v>
      </c>
      <c r="N71" s="467" t="s">
        <v>8185</v>
      </c>
      <c r="O71" s="467"/>
      <c r="P71" s="467"/>
      <c r="Q71" s="807">
        <v>1.2</v>
      </c>
      <c r="R71" s="807"/>
    </row>
    <row r="72" ht="21.75" customHeight="1">
      <c r="A72" s="463">
        <f t="shared" ref="A72:A76" si="3">1+A71</f>
        <v>2</v>
      </c>
      <c r="B72" s="1291" t="s">
        <v>7082</v>
      </c>
      <c r="C72" s="463"/>
      <c r="D72" s="467"/>
      <c r="E72" s="464" t="s">
        <v>5815</v>
      </c>
      <c r="F72" s="463" t="s">
        <v>46</v>
      </c>
      <c r="G72" s="464" t="s">
        <v>8183</v>
      </c>
      <c r="H72" s="467" t="s">
        <v>1027</v>
      </c>
      <c r="I72" s="467"/>
      <c r="J72" s="463" t="s">
        <v>7161</v>
      </c>
      <c r="K72" s="467" t="s">
        <v>883</v>
      </c>
      <c r="L72" s="463">
        <v>2022.0</v>
      </c>
      <c r="M72" s="463" t="s">
        <v>8184</v>
      </c>
      <c r="N72" s="467" t="s">
        <v>8185</v>
      </c>
      <c r="O72" s="467"/>
      <c r="P72" s="467"/>
      <c r="Q72" s="807">
        <v>1.2</v>
      </c>
      <c r="R72" s="807"/>
    </row>
    <row r="73" ht="21.75" customHeight="1">
      <c r="A73" s="463">
        <f t="shared" si="3"/>
        <v>3</v>
      </c>
      <c r="B73" s="1291" t="s">
        <v>7083</v>
      </c>
      <c r="C73" s="463"/>
      <c r="D73" s="467"/>
      <c r="E73" s="464" t="s">
        <v>5815</v>
      </c>
      <c r="F73" s="463" t="s">
        <v>46</v>
      </c>
      <c r="G73" s="464" t="s">
        <v>8183</v>
      </c>
      <c r="H73" s="467" t="s">
        <v>1027</v>
      </c>
      <c r="I73" s="467"/>
      <c r="J73" s="463" t="s">
        <v>7161</v>
      </c>
      <c r="K73" s="467" t="s">
        <v>883</v>
      </c>
      <c r="L73" s="463">
        <v>2022.0</v>
      </c>
      <c r="M73" s="463" t="s">
        <v>8184</v>
      </c>
      <c r="N73" s="467" t="s">
        <v>8185</v>
      </c>
      <c r="O73" s="467"/>
      <c r="P73" s="467"/>
      <c r="Q73" s="807">
        <v>1.2</v>
      </c>
      <c r="R73" s="807"/>
    </row>
    <row r="74" ht="21.75" customHeight="1">
      <c r="A74" s="463">
        <f t="shared" si="3"/>
        <v>4</v>
      </c>
      <c r="B74" s="1291" t="s">
        <v>7084</v>
      </c>
      <c r="C74" s="463"/>
      <c r="D74" s="467"/>
      <c r="E74" s="464" t="s">
        <v>5815</v>
      </c>
      <c r="F74" s="463" t="s">
        <v>46</v>
      </c>
      <c r="G74" s="464" t="s">
        <v>8183</v>
      </c>
      <c r="H74" s="467" t="s">
        <v>1027</v>
      </c>
      <c r="I74" s="467"/>
      <c r="J74" s="463" t="s">
        <v>7161</v>
      </c>
      <c r="K74" s="467" t="s">
        <v>883</v>
      </c>
      <c r="L74" s="463">
        <v>2022.0</v>
      </c>
      <c r="M74" s="463" t="s">
        <v>8184</v>
      </c>
      <c r="N74" s="467" t="s">
        <v>8185</v>
      </c>
      <c r="O74" s="467"/>
      <c r="P74" s="467"/>
      <c r="Q74" s="807">
        <v>1.2</v>
      </c>
      <c r="R74" s="807"/>
    </row>
    <row r="75" ht="21.75" customHeight="1">
      <c r="A75" s="463">
        <f t="shared" si="3"/>
        <v>5</v>
      </c>
      <c r="B75" s="1291" t="s">
        <v>7085</v>
      </c>
      <c r="C75" s="463" t="s">
        <v>694</v>
      </c>
      <c r="D75" s="467"/>
      <c r="E75" s="464" t="s">
        <v>5815</v>
      </c>
      <c r="F75" s="463" t="s">
        <v>46</v>
      </c>
      <c r="G75" s="464" t="s">
        <v>1736</v>
      </c>
      <c r="H75" s="467" t="s">
        <v>1027</v>
      </c>
      <c r="I75" s="467"/>
      <c r="J75" s="463" t="s">
        <v>7161</v>
      </c>
      <c r="K75" s="467" t="s">
        <v>883</v>
      </c>
      <c r="L75" s="463">
        <v>2022.0</v>
      </c>
      <c r="M75" s="463" t="s">
        <v>8184</v>
      </c>
      <c r="N75" s="467" t="s">
        <v>8185</v>
      </c>
      <c r="O75" s="467"/>
      <c r="P75" s="467"/>
      <c r="Q75" s="807">
        <v>1.2</v>
      </c>
      <c r="R75" s="807"/>
    </row>
    <row r="76" ht="21.75" customHeight="1">
      <c r="A76" s="463">
        <f t="shared" si="3"/>
        <v>6</v>
      </c>
      <c r="B76" s="1291" t="s">
        <v>7086</v>
      </c>
      <c r="C76" s="463" t="s">
        <v>694</v>
      </c>
      <c r="D76" s="467"/>
      <c r="E76" s="464" t="s">
        <v>5815</v>
      </c>
      <c r="F76" s="463" t="s">
        <v>46</v>
      </c>
      <c r="G76" s="464" t="s">
        <v>1736</v>
      </c>
      <c r="H76" s="467" t="s">
        <v>1027</v>
      </c>
      <c r="I76" s="467"/>
      <c r="J76" s="463" t="s">
        <v>7161</v>
      </c>
      <c r="K76" s="467" t="s">
        <v>883</v>
      </c>
      <c r="L76" s="463">
        <v>2022.0</v>
      </c>
      <c r="M76" s="463" t="s">
        <v>8184</v>
      </c>
      <c r="N76" s="467" t="s">
        <v>8185</v>
      </c>
      <c r="O76" s="467"/>
      <c r="P76" s="467"/>
      <c r="Q76" s="807">
        <v>1.2</v>
      </c>
      <c r="R76" s="807"/>
    </row>
    <row r="77" ht="21.75" hidden="1" customHeight="1">
      <c r="A77" s="463"/>
      <c r="B77" s="463"/>
      <c r="C77" s="463" t="s">
        <v>2436</v>
      </c>
      <c r="D77" s="467"/>
      <c r="E77" s="464"/>
      <c r="F77" s="463"/>
      <c r="G77" s="464"/>
      <c r="H77" s="467"/>
      <c r="I77" s="467"/>
      <c r="J77" s="463"/>
      <c r="K77" s="467"/>
      <c r="L77" s="463"/>
      <c r="M77" s="463"/>
      <c r="N77" s="467"/>
      <c r="O77" s="467"/>
      <c r="P77" s="467"/>
      <c r="Q77" s="812"/>
      <c r="R77" s="812"/>
    </row>
    <row r="78" ht="21.75" customHeight="1">
      <c r="A78" s="1280" t="s">
        <v>375</v>
      </c>
      <c r="B78" s="1280" t="s">
        <v>7052</v>
      </c>
      <c r="C78" s="1281">
        <f>counta($B$79:$B$81)</f>
        <v>2</v>
      </c>
      <c r="D78" s="1282"/>
      <c r="E78" s="1282"/>
      <c r="F78" s="1281"/>
      <c r="G78" s="1282"/>
      <c r="H78" s="1282"/>
      <c r="I78" s="1282"/>
      <c r="J78" s="1281"/>
      <c r="K78" s="1281"/>
      <c r="L78" s="1282"/>
      <c r="M78" s="1281"/>
      <c r="N78" s="1281"/>
      <c r="O78" s="1282"/>
      <c r="P78" s="1282"/>
      <c r="Q78" s="1283"/>
      <c r="R78" s="1283"/>
    </row>
    <row r="79" ht="21.75" customHeight="1">
      <c r="A79" s="463">
        <v>1.0</v>
      </c>
      <c r="B79" s="1291" t="s">
        <v>7087</v>
      </c>
      <c r="C79" s="463" t="s">
        <v>773</v>
      </c>
      <c r="D79" s="467"/>
      <c r="E79" s="464" t="s">
        <v>5815</v>
      </c>
      <c r="F79" s="463" t="s">
        <v>47</v>
      </c>
      <c r="G79" s="1295">
        <v>45571.0</v>
      </c>
      <c r="H79" s="467" t="s">
        <v>1027</v>
      </c>
      <c r="I79" s="467"/>
      <c r="J79" s="463" t="s">
        <v>8186</v>
      </c>
      <c r="K79" s="467" t="s">
        <v>883</v>
      </c>
      <c r="L79" s="463">
        <v>2022.0</v>
      </c>
      <c r="M79" s="463" t="s">
        <v>8187</v>
      </c>
      <c r="N79" s="467" t="s">
        <v>8185</v>
      </c>
      <c r="O79" s="467"/>
      <c r="P79" s="467"/>
      <c r="Q79" s="807">
        <v>1.2</v>
      </c>
      <c r="R79" s="807"/>
    </row>
    <row r="80" ht="21.75" customHeight="1">
      <c r="A80" s="463">
        <f>1+A79</f>
        <v>2</v>
      </c>
      <c r="B80" s="1291" t="s">
        <v>7088</v>
      </c>
      <c r="C80" s="463" t="s">
        <v>773</v>
      </c>
      <c r="D80" s="467"/>
      <c r="E80" s="464" t="s">
        <v>5815</v>
      </c>
      <c r="F80" s="463" t="s">
        <v>47</v>
      </c>
      <c r="G80" s="1295">
        <v>45571.0</v>
      </c>
      <c r="H80" s="467" t="s">
        <v>1027</v>
      </c>
      <c r="I80" s="467"/>
      <c r="J80" s="463" t="s">
        <v>8186</v>
      </c>
      <c r="K80" s="467" t="s">
        <v>883</v>
      </c>
      <c r="L80" s="463">
        <v>2022.0</v>
      </c>
      <c r="M80" s="463" t="s">
        <v>8187</v>
      </c>
      <c r="N80" s="467" t="s">
        <v>8185</v>
      </c>
      <c r="O80" s="467"/>
      <c r="P80" s="467"/>
      <c r="Q80" s="807">
        <v>1.2</v>
      </c>
      <c r="R80" s="807"/>
    </row>
    <row r="81" ht="21.75" hidden="1" customHeight="1">
      <c r="A81" s="463"/>
      <c r="B81" s="463"/>
      <c r="C81" s="464" t="s">
        <v>2436</v>
      </c>
      <c r="D81" s="467"/>
      <c r="E81" s="464"/>
      <c r="F81" s="463"/>
      <c r="G81" s="464"/>
      <c r="H81" s="467"/>
      <c r="I81" s="467"/>
      <c r="J81" s="463"/>
      <c r="K81" s="467"/>
      <c r="L81" s="463"/>
      <c r="M81" s="463"/>
      <c r="N81" s="467"/>
      <c r="O81" s="467"/>
      <c r="P81" s="467"/>
      <c r="Q81" s="812"/>
      <c r="R81" s="812"/>
    </row>
    <row r="82" ht="21.75" customHeight="1">
      <c r="A82" s="1280" t="s">
        <v>515</v>
      </c>
      <c r="B82" s="1280" t="s">
        <v>7053</v>
      </c>
      <c r="C82" s="1281">
        <f>counta($B$83:$B$86)</f>
        <v>3</v>
      </c>
      <c r="D82" s="1282"/>
      <c r="E82" s="1282"/>
      <c r="F82" s="1281"/>
      <c r="G82" s="1282"/>
      <c r="H82" s="1282"/>
      <c r="I82" s="1282"/>
      <c r="J82" s="1281"/>
      <c r="K82" s="1281"/>
      <c r="L82" s="1282"/>
      <c r="M82" s="1281"/>
      <c r="N82" s="1281"/>
      <c r="O82" s="1282"/>
      <c r="P82" s="1282"/>
      <c r="Q82" s="1283"/>
      <c r="R82" s="1283"/>
    </row>
    <row r="83" ht="21.75" customHeight="1">
      <c r="A83" s="463">
        <v>1.0</v>
      </c>
      <c r="B83" s="1291" t="s">
        <v>7089</v>
      </c>
      <c r="C83" s="463" t="s">
        <v>154</v>
      </c>
      <c r="D83" s="467"/>
      <c r="E83" s="464" t="s">
        <v>5815</v>
      </c>
      <c r="F83" s="463" t="s">
        <v>48</v>
      </c>
      <c r="G83" s="464" t="s">
        <v>8188</v>
      </c>
      <c r="H83" s="467" t="s">
        <v>1027</v>
      </c>
      <c r="I83" s="467"/>
      <c r="J83" s="463" t="s">
        <v>7161</v>
      </c>
      <c r="K83" s="467" t="s">
        <v>883</v>
      </c>
      <c r="L83" s="463">
        <v>2022.0</v>
      </c>
      <c r="M83" s="463" t="s">
        <v>8184</v>
      </c>
      <c r="N83" s="467" t="s">
        <v>8185</v>
      </c>
      <c r="O83" s="467"/>
      <c r="P83" s="467"/>
      <c r="Q83" s="807">
        <v>1.2</v>
      </c>
      <c r="R83" s="807"/>
    </row>
    <row r="84" ht="21.75" customHeight="1">
      <c r="A84" s="463">
        <f t="shared" ref="A84:A85" si="4">1+A83</f>
        <v>2</v>
      </c>
      <c r="B84" s="1291" t="s">
        <v>7090</v>
      </c>
      <c r="C84" s="463" t="s">
        <v>154</v>
      </c>
      <c r="D84" s="467"/>
      <c r="E84" s="464" t="s">
        <v>5815</v>
      </c>
      <c r="F84" s="463" t="s">
        <v>48</v>
      </c>
      <c r="G84" s="465" t="s">
        <v>4771</v>
      </c>
      <c r="H84" s="467" t="s">
        <v>1027</v>
      </c>
      <c r="I84" s="467"/>
      <c r="J84" s="463" t="s">
        <v>7161</v>
      </c>
      <c r="K84" s="467" t="s">
        <v>883</v>
      </c>
      <c r="L84" s="463">
        <v>2022.0</v>
      </c>
      <c r="M84" s="463" t="s">
        <v>8184</v>
      </c>
      <c r="N84" s="467" t="s">
        <v>8185</v>
      </c>
      <c r="O84" s="467"/>
      <c r="P84" s="467"/>
      <c r="Q84" s="807">
        <v>1.2</v>
      </c>
      <c r="R84" s="807"/>
    </row>
    <row r="85" ht="21.75" customHeight="1">
      <c r="A85" s="463">
        <f t="shared" si="4"/>
        <v>3</v>
      </c>
      <c r="B85" s="1291" t="s">
        <v>7091</v>
      </c>
      <c r="C85" s="463" t="s">
        <v>154</v>
      </c>
      <c r="D85" s="467"/>
      <c r="E85" s="464" t="s">
        <v>5815</v>
      </c>
      <c r="F85" s="463" t="s">
        <v>48</v>
      </c>
      <c r="G85" s="465" t="s">
        <v>4771</v>
      </c>
      <c r="H85" s="467" t="s">
        <v>1027</v>
      </c>
      <c r="I85" s="467"/>
      <c r="J85" s="463" t="s">
        <v>7161</v>
      </c>
      <c r="K85" s="467" t="s">
        <v>883</v>
      </c>
      <c r="L85" s="463">
        <v>2022.0</v>
      </c>
      <c r="M85" s="463" t="s">
        <v>8184</v>
      </c>
      <c r="N85" s="467" t="s">
        <v>8185</v>
      </c>
      <c r="O85" s="467"/>
      <c r="P85" s="467"/>
      <c r="Q85" s="807">
        <v>1.2</v>
      </c>
      <c r="R85" s="807"/>
    </row>
    <row r="86" hidden="1">
      <c r="A86" s="846"/>
      <c r="B86" s="1296"/>
      <c r="C86" s="1297" t="s">
        <v>4580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</row>
    <row r="87" ht="21.75" customHeight="1">
      <c r="A87" s="1280" t="s">
        <v>8134</v>
      </c>
      <c r="B87" s="1280" t="s">
        <v>49</v>
      </c>
      <c r="C87" s="1281">
        <f>counta($B$88:$B$90)</f>
        <v>0</v>
      </c>
      <c r="D87" s="1282"/>
      <c r="E87" s="1282"/>
      <c r="F87" s="1281"/>
      <c r="G87" s="1282"/>
      <c r="H87" s="1282"/>
      <c r="I87" s="1282"/>
      <c r="J87" s="1281"/>
      <c r="K87" s="1281"/>
      <c r="L87" s="1282"/>
      <c r="M87" s="1281"/>
      <c r="N87" s="1281"/>
      <c r="O87" s="1282"/>
      <c r="P87" s="1282"/>
      <c r="Q87" s="1283"/>
      <c r="R87" s="1283"/>
    </row>
    <row r="88" ht="21.75" customHeight="1">
      <c r="A88" s="1284"/>
      <c r="B88" s="1284"/>
      <c r="C88" s="1298"/>
      <c r="D88" s="1286"/>
      <c r="E88" s="1286"/>
      <c r="F88" s="1285"/>
      <c r="G88" s="1286"/>
      <c r="H88" s="1286"/>
      <c r="I88" s="1286"/>
      <c r="J88" s="1285"/>
      <c r="K88" s="1285"/>
      <c r="L88" s="1286"/>
      <c r="M88" s="1285"/>
      <c r="N88" s="1285"/>
      <c r="O88" s="1286"/>
      <c r="P88" s="1286"/>
      <c r="Q88" s="1286"/>
      <c r="R88" s="1289"/>
    </row>
    <row r="89" ht="21.75" customHeight="1">
      <c r="A89" s="1284"/>
      <c r="B89" s="1284"/>
      <c r="C89" s="1298"/>
      <c r="D89" s="1286"/>
      <c r="E89" s="1286"/>
      <c r="F89" s="1285"/>
      <c r="G89" s="1286"/>
      <c r="H89" s="1286"/>
      <c r="I89" s="1286"/>
      <c r="J89" s="1285"/>
      <c r="K89" s="1285"/>
      <c r="L89" s="1286"/>
      <c r="M89" s="1285"/>
      <c r="N89" s="1285"/>
      <c r="O89" s="1286"/>
      <c r="P89" s="1286"/>
      <c r="Q89" s="1286"/>
      <c r="R89" s="1289"/>
    </row>
    <row r="90" ht="21.75" hidden="1" customHeight="1">
      <c r="A90" s="1284"/>
      <c r="B90" s="1284"/>
      <c r="C90" s="1299" t="s">
        <v>4580</v>
      </c>
      <c r="D90" s="1286"/>
      <c r="E90" s="1286"/>
      <c r="F90" s="1285"/>
      <c r="G90" s="1286"/>
      <c r="H90" s="1286"/>
      <c r="I90" s="1286"/>
      <c r="J90" s="1285"/>
      <c r="K90" s="1285"/>
      <c r="L90" s="1286"/>
      <c r="M90" s="1285"/>
      <c r="N90" s="1285"/>
      <c r="O90" s="1286"/>
      <c r="P90" s="1286"/>
      <c r="Q90" s="1286"/>
      <c r="R90" s="1289"/>
    </row>
    <row r="91" ht="21.75" customHeight="1">
      <c r="A91" s="1275" t="s">
        <v>1974</v>
      </c>
      <c r="B91" s="1275" t="s">
        <v>6182</v>
      </c>
      <c r="C91" s="1276">
        <f>sum($C$92,$C$97,$C$101)</f>
        <v>10</v>
      </c>
      <c r="D91" s="1277"/>
      <c r="E91" s="1277"/>
      <c r="F91" s="1278"/>
      <c r="G91" s="1277"/>
      <c r="H91" s="1277"/>
      <c r="I91" s="1277"/>
      <c r="J91" s="1278"/>
      <c r="K91" s="1278"/>
      <c r="L91" s="1277"/>
      <c r="M91" s="1278"/>
      <c r="N91" s="1278"/>
      <c r="O91" s="1277"/>
      <c r="P91" s="1277"/>
      <c r="Q91" s="1279"/>
      <c r="R91" s="1279"/>
    </row>
    <row r="92" ht="21.75" customHeight="1">
      <c r="A92" s="1280" t="s">
        <v>653</v>
      </c>
      <c r="B92" s="1280" t="s">
        <v>6183</v>
      </c>
      <c r="C92" s="1281">
        <f>counta($B$93:$B$96)</f>
        <v>3</v>
      </c>
      <c r="D92" s="1282"/>
      <c r="E92" s="1282"/>
      <c r="F92" s="1281"/>
      <c r="G92" s="1282"/>
      <c r="H92" s="1282"/>
      <c r="I92" s="1282"/>
      <c r="J92" s="1281"/>
      <c r="K92" s="1281"/>
      <c r="L92" s="1282"/>
      <c r="M92" s="1281"/>
      <c r="N92" s="1281"/>
      <c r="O92" s="1282"/>
      <c r="P92" s="1282"/>
      <c r="Q92" s="1283"/>
      <c r="R92" s="1283"/>
    </row>
    <row r="93" ht="21.75" customHeight="1">
      <c r="A93" s="463">
        <v>1.0</v>
      </c>
      <c r="B93" s="463" t="s">
        <v>7092</v>
      </c>
      <c r="C93" s="475"/>
      <c r="D93" s="467"/>
      <c r="E93" s="464" t="s">
        <v>5815</v>
      </c>
      <c r="F93" s="463" t="s">
        <v>57</v>
      </c>
      <c r="G93" s="464" t="s">
        <v>4771</v>
      </c>
      <c r="H93" s="467" t="s">
        <v>1027</v>
      </c>
      <c r="I93" s="467"/>
      <c r="J93" s="463" t="s">
        <v>7161</v>
      </c>
      <c r="K93" s="467" t="s">
        <v>883</v>
      </c>
      <c r="L93" s="463"/>
      <c r="M93" s="463" t="s">
        <v>8184</v>
      </c>
      <c r="N93" s="467" t="s">
        <v>8185</v>
      </c>
      <c r="O93" s="467"/>
      <c r="P93" s="467"/>
      <c r="Q93" s="807">
        <v>1.2</v>
      </c>
      <c r="R93" s="807"/>
    </row>
    <row r="94" ht="21.75" customHeight="1">
      <c r="A94" s="463">
        <v>2.0</v>
      </c>
      <c r="B94" s="463" t="s">
        <v>7093</v>
      </c>
      <c r="C94" s="475"/>
      <c r="D94" s="467"/>
      <c r="E94" s="464" t="s">
        <v>5815</v>
      </c>
      <c r="F94" s="463" t="s">
        <v>57</v>
      </c>
      <c r="G94" s="464" t="s">
        <v>4771</v>
      </c>
      <c r="H94" s="467" t="s">
        <v>1027</v>
      </c>
      <c r="I94" s="467"/>
      <c r="J94" s="463" t="s">
        <v>7161</v>
      </c>
      <c r="K94" s="467" t="s">
        <v>883</v>
      </c>
      <c r="L94" s="463"/>
      <c r="M94" s="463" t="s">
        <v>8184</v>
      </c>
      <c r="N94" s="467" t="s">
        <v>8185</v>
      </c>
      <c r="O94" s="467"/>
      <c r="P94" s="467"/>
      <c r="Q94" s="807">
        <v>1.2</v>
      </c>
      <c r="R94" s="807"/>
    </row>
    <row r="95" ht="21.75" customHeight="1">
      <c r="A95" s="463">
        <v>3.0</v>
      </c>
      <c r="B95" s="463" t="s">
        <v>7094</v>
      </c>
      <c r="C95" s="475"/>
      <c r="D95" s="467"/>
      <c r="E95" s="464" t="s">
        <v>5815</v>
      </c>
      <c r="F95" s="463" t="s">
        <v>57</v>
      </c>
      <c r="G95" s="464" t="s">
        <v>4771</v>
      </c>
      <c r="H95" s="467" t="s">
        <v>1027</v>
      </c>
      <c r="I95" s="467"/>
      <c r="J95" s="463" t="s">
        <v>7161</v>
      </c>
      <c r="K95" s="467" t="s">
        <v>883</v>
      </c>
      <c r="L95" s="463"/>
      <c r="M95" s="463" t="s">
        <v>8184</v>
      </c>
      <c r="N95" s="467" t="s">
        <v>8185</v>
      </c>
      <c r="O95" s="467"/>
      <c r="P95" s="467"/>
      <c r="Q95" s="807">
        <v>1.2</v>
      </c>
      <c r="R95" s="807"/>
    </row>
    <row r="96" ht="21.75" hidden="1" customHeight="1">
      <c r="A96" s="463"/>
      <c r="B96" s="463"/>
      <c r="C96" s="463" t="s">
        <v>4580</v>
      </c>
      <c r="D96" s="467"/>
      <c r="E96" s="464"/>
      <c r="F96" s="463"/>
      <c r="G96" s="464"/>
      <c r="H96" s="467"/>
      <c r="I96" s="467"/>
      <c r="J96" s="463"/>
      <c r="K96" s="467"/>
      <c r="L96" s="463"/>
      <c r="M96" s="463"/>
      <c r="N96" s="467"/>
      <c r="O96" s="467"/>
      <c r="P96" s="467"/>
      <c r="Q96" s="812"/>
      <c r="R96" s="812"/>
    </row>
    <row r="97" ht="21.75" customHeight="1">
      <c r="A97" s="1280" t="s">
        <v>760</v>
      </c>
      <c r="B97" s="1280" t="s">
        <v>6231</v>
      </c>
      <c r="C97" s="1281">
        <f>counta($B$98:$B$100)</f>
        <v>2</v>
      </c>
      <c r="D97" s="1282"/>
      <c r="E97" s="1282"/>
      <c r="F97" s="1281"/>
      <c r="G97" s="1282"/>
      <c r="H97" s="1282"/>
      <c r="I97" s="1282"/>
      <c r="J97" s="1281"/>
      <c r="K97" s="1281"/>
      <c r="L97" s="1282"/>
      <c r="M97" s="1281"/>
      <c r="N97" s="1281"/>
      <c r="O97" s="1282"/>
      <c r="P97" s="1282"/>
      <c r="Q97" s="1283"/>
      <c r="R97" s="1283"/>
    </row>
    <row r="98" ht="21.75" customHeight="1">
      <c r="A98" s="588">
        <v>1.0</v>
      </c>
      <c r="B98" s="588" t="s">
        <v>7095</v>
      </c>
      <c r="C98" s="1285"/>
      <c r="D98" s="1286"/>
      <c r="E98" s="464" t="s">
        <v>5815</v>
      </c>
      <c r="F98" s="463" t="s">
        <v>58</v>
      </c>
      <c r="G98" s="1290" t="s">
        <v>3673</v>
      </c>
      <c r="H98" s="467" t="s">
        <v>1027</v>
      </c>
      <c r="I98" s="1286"/>
      <c r="J98" s="463" t="s">
        <v>7161</v>
      </c>
      <c r="K98" s="467" t="s">
        <v>883</v>
      </c>
      <c r="L98" s="463"/>
      <c r="M98" s="463" t="s">
        <v>8184</v>
      </c>
      <c r="N98" s="467" t="s">
        <v>8185</v>
      </c>
      <c r="O98" s="1286"/>
      <c r="P98" s="1286"/>
      <c r="Q98" s="807">
        <v>1.2</v>
      </c>
      <c r="R98" s="807"/>
    </row>
    <row r="99" ht="21.75" customHeight="1">
      <c r="A99" s="588">
        <v>2.0</v>
      </c>
      <c r="B99" s="588" t="s">
        <v>7096</v>
      </c>
      <c r="C99" s="1285"/>
      <c r="D99" s="1286"/>
      <c r="E99" s="464" t="s">
        <v>5815</v>
      </c>
      <c r="F99" s="463" t="s">
        <v>58</v>
      </c>
      <c r="G99" s="1290" t="s">
        <v>3673</v>
      </c>
      <c r="H99" s="467" t="s">
        <v>1027</v>
      </c>
      <c r="I99" s="1286"/>
      <c r="J99" s="463" t="s">
        <v>7161</v>
      </c>
      <c r="K99" s="467" t="s">
        <v>883</v>
      </c>
      <c r="L99" s="463"/>
      <c r="M99" s="463" t="s">
        <v>8184</v>
      </c>
      <c r="N99" s="467" t="s">
        <v>8185</v>
      </c>
      <c r="O99" s="1286"/>
      <c r="P99" s="1286"/>
      <c r="Q99" s="807">
        <v>1.2</v>
      </c>
      <c r="R99" s="807"/>
    </row>
    <row r="100" ht="21.75" hidden="1" customHeight="1">
      <c r="A100" s="1284"/>
      <c r="B100" s="1284"/>
      <c r="C100" s="588" t="s">
        <v>2436</v>
      </c>
      <c r="D100" s="1286"/>
      <c r="E100" s="1286"/>
      <c r="F100" s="1285"/>
      <c r="G100" s="1286"/>
      <c r="H100" s="1286"/>
      <c r="I100" s="1286"/>
      <c r="J100" s="1285"/>
      <c r="K100" s="1285"/>
      <c r="L100" s="1286"/>
      <c r="M100" s="1285"/>
      <c r="N100" s="1285"/>
      <c r="O100" s="1286"/>
      <c r="P100" s="1286"/>
      <c r="Q100" s="1289"/>
      <c r="R100" s="1289"/>
    </row>
    <row r="101" ht="21.75" customHeight="1">
      <c r="A101" s="1280" t="s">
        <v>831</v>
      </c>
      <c r="B101" s="1280" t="s">
        <v>6275</v>
      </c>
      <c r="C101" s="1281">
        <f>counta($B$102:$B$107)</f>
        <v>5</v>
      </c>
      <c r="D101" s="1282"/>
      <c r="E101" s="1282"/>
      <c r="F101" s="1281"/>
      <c r="G101" s="1282"/>
      <c r="H101" s="1282"/>
      <c r="I101" s="1282"/>
      <c r="J101" s="1281"/>
      <c r="K101" s="1281"/>
      <c r="L101" s="1282"/>
      <c r="M101" s="1281"/>
      <c r="N101" s="1281"/>
      <c r="O101" s="1282"/>
      <c r="P101" s="1282"/>
      <c r="Q101" s="1283"/>
      <c r="R101" s="1283"/>
    </row>
    <row r="102" ht="21.75" customHeight="1">
      <c r="A102" s="463">
        <v>4.0</v>
      </c>
      <c r="B102" s="463" t="s">
        <v>7097</v>
      </c>
      <c r="C102" s="475"/>
      <c r="D102" s="467"/>
      <c r="E102" s="464" t="s">
        <v>5815</v>
      </c>
      <c r="F102" s="463" t="s">
        <v>7098</v>
      </c>
      <c r="G102" s="464"/>
      <c r="H102" s="464" t="s">
        <v>1565</v>
      </c>
      <c r="I102" s="467"/>
      <c r="J102" s="463" t="s">
        <v>8186</v>
      </c>
      <c r="K102" s="467" t="s">
        <v>883</v>
      </c>
      <c r="L102" s="463">
        <v>2022.0</v>
      </c>
      <c r="M102" s="463" t="s">
        <v>8187</v>
      </c>
      <c r="N102" s="467" t="s">
        <v>8185</v>
      </c>
      <c r="O102" s="467"/>
      <c r="P102" s="467"/>
      <c r="Q102" s="807">
        <v>1.2</v>
      </c>
      <c r="R102" s="807"/>
    </row>
    <row r="103" ht="21.75" customHeight="1">
      <c r="A103" s="463">
        <v>5.0</v>
      </c>
      <c r="B103" s="463" t="s">
        <v>7099</v>
      </c>
      <c r="C103" s="475"/>
      <c r="D103" s="467"/>
      <c r="E103" s="464" t="s">
        <v>5815</v>
      </c>
      <c r="F103" s="463" t="s">
        <v>7098</v>
      </c>
      <c r="G103" s="464"/>
      <c r="H103" s="464" t="s">
        <v>1565</v>
      </c>
      <c r="I103" s="467"/>
      <c r="J103" s="463" t="s">
        <v>8186</v>
      </c>
      <c r="K103" s="467" t="s">
        <v>883</v>
      </c>
      <c r="L103" s="463">
        <v>2022.0</v>
      </c>
      <c r="M103" s="463" t="s">
        <v>8187</v>
      </c>
      <c r="N103" s="467" t="s">
        <v>8185</v>
      </c>
      <c r="O103" s="467"/>
      <c r="P103" s="467"/>
      <c r="Q103" s="807">
        <v>1.2</v>
      </c>
      <c r="R103" s="807"/>
    </row>
    <row r="104" ht="21.75" customHeight="1">
      <c r="A104" s="463">
        <v>6.0</v>
      </c>
      <c r="B104" s="463" t="s">
        <v>7100</v>
      </c>
      <c r="C104" s="475"/>
      <c r="D104" s="467"/>
      <c r="E104" s="464" t="s">
        <v>5815</v>
      </c>
      <c r="F104" s="463" t="s">
        <v>7098</v>
      </c>
      <c r="G104" s="464"/>
      <c r="H104" s="464" t="s">
        <v>1565</v>
      </c>
      <c r="I104" s="467"/>
      <c r="J104" s="463" t="s">
        <v>8186</v>
      </c>
      <c r="K104" s="467" t="s">
        <v>883</v>
      </c>
      <c r="L104" s="463">
        <v>2022.0</v>
      </c>
      <c r="M104" s="463" t="s">
        <v>8187</v>
      </c>
      <c r="N104" s="467" t="s">
        <v>8185</v>
      </c>
      <c r="O104" s="467"/>
      <c r="P104" s="467"/>
      <c r="Q104" s="807">
        <v>1.2</v>
      </c>
      <c r="R104" s="807"/>
    </row>
    <row r="105" ht="21.75" customHeight="1">
      <c r="A105" s="463">
        <v>7.0</v>
      </c>
      <c r="B105" s="1291" t="s">
        <v>7101</v>
      </c>
      <c r="C105" s="475"/>
      <c r="D105" s="467"/>
      <c r="E105" s="464" t="s">
        <v>5815</v>
      </c>
      <c r="F105" s="463" t="s">
        <v>7098</v>
      </c>
      <c r="G105" s="467"/>
      <c r="H105" s="464" t="s">
        <v>1565</v>
      </c>
      <c r="I105" s="467"/>
      <c r="J105" s="463" t="s">
        <v>8186</v>
      </c>
      <c r="K105" s="467" t="s">
        <v>883</v>
      </c>
      <c r="L105" s="463">
        <v>2022.0</v>
      </c>
      <c r="M105" s="463" t="s">
        <v>8187</v>
      </c>
      <c r="N105" s="467" t="s">
        <v>8185</v>
      </c>
      <c r="O105" s="467"/>
      <c r="P105" s="467"/>
      <c r="Q105" s="807">
        <v>1.2</v>
      </c>
      <c r="R105" s="807"/>
    </row>
    <row r="106" ht="21.75" customHeight="1">
      <c r="A106" s="463">
        <v>8.0</v>
      </c>
      <c r="B106" s="1291" t="s">
        <v>7102</v>
      </c>
      <c r="C106" s="475"/>
      <c r="D106" s="467"/>
      <c r="E106" s="464" t="s">
        <v>5815</v>
      </c>
      <c r="F106" s="463" t="s">
        <v>7098</v>
      </c>
      <c r="G106" s="467"/>
      <c r="H106" s="464" t="s">
        <v>1565</v>
      </c>
      <c r="I106" s="467"/>
      <c r="J106" s="463" t="s">
        <v>8186</v>
      </c>
      <c r="K106" s="467" t="s">
        <v>883</v>
      </c>
      <c r="L106" s="463">
        <v>2022.0</v>
      </c>
      <c r="M106" s="463" t="s">
        <v>8187</v>
      </c>
      <c r="N106" s="467" t="s">
        <v>8185</v>
      </c>
      <c r="O106" s="467"/>
      <c r="P106" s="467"/>
      <c r="Q106" s="807">
        <v>1.2</v>
      </c>
      <c r="R106" s="807"/>
    </row>
    <row r="107" hidden="1">
      <c r="A107" s="846"/>
      <c r="B107" s="1296"/>
      <c r="C107" s="1297" t="s">
        <v>4420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</row>
    <row r="108" ht="21.75" customHeight="1">
      <c r="A108" s="1275" t="s">
        <v>2642</v>
      </c>
      <c r="B108" s="1275" t="s">
        <v>7103</v>
      </c>
      <c r="C108" s="1276">
        <f>sum($C$109,$C$112,$C$116)</f>
        <v>1</v>
      </c>
      <c r="D108" s="1277"/>
      <c r="E108" s="1277"/>
      <c r="F108" s="1278"/>
      <c r="G108" s="1277"/>
      <c r="H108" s="1277"/>
      <c r="I108" s="1277"/>
      <c r="J108" s="1278"/>
      <c r="K108" s="1278"/>
      <c r="L108" s="1277"/>
      <c r="M108" s="1278"/>
      <c r="N108" s="1278"/>
      <c r="O108" s="1277"/>
      <c r="P108" s="1277"/>
      <c r="Q108" s="1279"/>
      <c r="R108" s="1279"/>
    </row>
    <row r="109" ht="21.75" customHeight="1">
      <c r="A109" s="1280" t="s">
        <v>653</v>
      </c>
      <c r="B109" s="1280" t="s">
        <v>6295</v>
      </c>
      <c r="C109" s="1281">
        <f>counta($B$110:$B$111)</f>
        <v>1</v>
      </c>
      <c r="D109" s="1282"/>
      <c r="E109" s="1282"/>
      <c r="F109" s="1281"/>
      <c r="G109" s="1282"/>
      <c r="H109" s="1282"/>
      <c r="I109" s="1282"/>
      <c r="J109" s="1281"/>
      <c r="K109" s="1281"/>
      <c r="L109" s="1282"/>
      <c r="M109" s="1281"/>
      <c r="N109" s="1281"/>
      <c r="O109" s="1282"/>
      <c r="P109" s="1282"/>
      <c r="Q109" s="1283"/>
      <c r="R109" s="1283"/>
    </row>
    <row r="110" ht="21.75" customHeight="1">
      <c r="A110" s="463">
        <v>1.0</v>
      </c>
      <c r="B110" s="1291" t="s">
        <v>7104</v>
      </c>
      <c r="C110" s="475" t="s">
        <v>773</v>
      </c>
      <c r="D110" s="467"/>
      <c r="E110" s="464" t="s">
        <v>5815</v>
      </c>
      <c r="F110" s="463" t="s">
        <v>2964</v>
      </c>
      <c r="G110" s="467"/>
      <c r="H110" s="467" t="s">
        <v>1027</v>
      </c>
      <c r="I110" s="467"/>
      <c r="J110" s="463" t="s">
        <v>7161</v>
      </c>
      <c r="K110" s="467" t="s">
        <v>883</v>
      </c>
      <c r="L110" s="463">
        <v>2022.0</v>
      </c>
      <c r="M110" s="463" t="s">
        <v>8184</v>
      </c>
      <c r="N110" s="467" t="s">
        <v>8185</v>
      </c>
      <c r="O110" s="467"/>
      <c r="P110" s="467"/>
      <c r="Q110" s="807">
        <v>1.2</v>
      </c>
      <c r="R110" s="807"/>
    </row>
    <row r="111" hidden="1">
      <c r="A111" s="846"/>
      <c r="B111" s="1296"/>
      <c r="C111" s="1297" t="s">
        <v>8190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</row>
    <row r="112" ht="21.75" customHeight="1">
      <c r="A112" s="1280" t="s">
        <v>760</v>
      </c>
      <c r="B112" s="1280" t="s">
        <v>61</v>
      </c>
      <c r="C112" s="1281">
        <f>counta($B$113:$B$115)</f>
        <v>0</v>
      </c>
      <c r="D112" s="1282"/>
      <c r="E112" s="1282"/>
      <c r="F112" s="1281"/>
      <c r="G112" s="1282"/>
      <c r="H112" s="1282"/>
      <c r="I112" s="1282"/>
      <c r="J112" s="1281"/>
      <c r="K112" s="1281"/>
      <c r="L112" s="1282"/>
      <c r="M112" s="1281"/>
      <c r="N112" s="1281"/>
      <c r="O112" s="1282"/>
      <c r="P112" s="1282"/>
      <c r="Q112" s="1283"/>
      <c r="R112" s="1283"/>
    </row>
    <row r="113" ht="21.75" customHeight="1">
      <c r="A113" s="463"/>
      <c r="B113" s="1291"/>
      <c r="C113" s="475"/>
      <c r="D113" s="467"/>
      <c r="E113" s="464"/>
      <c r="F113" s="463"/>
      <c r="G113" s="467"/>
      <c r="H113" s="467"/>
      <c r="I113" s="467"/>
      <c r="J113" s="463"/>
      <c r="K113" s="467"/>
      <c r="L113" s="463"/>
      <c r="M113" s="463"/>
      <c r="N113" s="467"/>
      <c r="O113" s="467"/>
      <c r="P113" s="467"/>
      <c r="Q113" s="812"/>
      <c r="R113" s="812"/>
    </row>
    <row r="114" ht="21.75" customHeight="1">
      <c r="A114" s="463"/>
      <c r="B114" s="1291"/>
      <c r="C114" s="475"/>
      <c r="D114" s="467"/>
      <c r="E114" s="464"/>
      <c r="F114" s="463"/>
      <c r="G114" s="467"/>
      <c r="H114" s="467"/>
      <c r="I114" s="467"/>
      <c r="J114" s="463"/>
      <c r="K114" s="467"/>
      <c r="L114" s="463"/>
      <c r="M114" s="463"/>
      <c r="N114" s="467"/>
      <c r="O114" s="467"/>
      <c r="P114" s="467"/>
      <c r="Q114" s="812"/>
      <c r="R114" s="812"/>
    </row>
    <row r="115" hidden="1">
      <c r="A115" s="846"/>
      <c r="B115" s="1296"/>
      <c r="C115" s="1297" t="s">
        <v>2436</v>
      </c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</row>
    <row r="116" ht="21.75" customHeight="1">
      <c r="A116" s="1280" t="s">
        <v>831</v>
      </c>
      <c r="B116" s="1280" t="s">
        <v>6329</v>
      </c>
      <c r="C116" s="1281">
        <f>counta($B$117:$B$119)</f>
        <v>0</v>
      </c>
      <c r="D116" s="1282"/>
      <c r="E116" s="1282"/>
      <c r="F116" s="1281"/>
      <c r="G116" s="1282"/>
      <c r="H116" s="1282"/>
      <c r="I116" s="1282"/>
      <c r="J116" s="1281"/>
      <c r="K116" s="1281"/>
      <c r="L116" s="1282"/>
      <c r="M116" s="1281"/>
      <c r="N116" s="1281"/>
      <c r="O116" s="1282"/>
      <c r="P116" s="1282"/>
      <c r="Q116" s="1283"/>
      <c r="R116" s="1283"/>
    </row>
    <row r="117" ht="21.75" customHeight="1">
      <c r="A117" s="463"/>
      <c r="B117" s="1291"/>
      <c r="C117" s="475"/>
      <c r="D117" s="467"/>
      <c r="E117" s="464"/>
      <c r="F117" s="463"/>
      <c r="G117" s="467"/>
      <c r="H117" s="467"/>
      <c r="I117" s="467"/>
      <c r="J117" s="463"/>
      <c r="K117" s="467"/>
      <c r="L117" s="463"/>
      <c r="M117" s="463"/>
      <c r="N117" s="467"/>
      <c r="O117" s="467"/>
      <c r="P117" s="467"/>
      <c r="Q117" s="812"/>
      <c r="R117" s="812"/>
    </row>
    <row r="118" ht="21.75" customHeight="1">
      <c r="A118" s="463"/>
      <c r="B118" s="1291"/>
      <c r="C118" s="475"/>
      <c r="D118" s="467"/>
      <c r="E118" s="464"/>
      <c r="F118" s="463"/>
      <c r="G118" s="467"/>
      <c r="H118" s="467"/>
      <c r="I118" s="467"/>
      <c r="J118" s="463"/>
      <c r="K118" s="467"/>
      <c r="L118" s="463"/>
      <c r="M118" s="463"/>
      <c r="N118" s="467"/>
      <c r="O118" s="467"/>
      <c r="P118" s="467"/>
      <c r="Q118" s="812"/>
      <c r="R118" s="812"/>
    </row>
    <row r="119" ht="21.75" hidden="1" customHeight="1">
      <c r="A119" s="1236"/>
      <c r="B119" s="1305"/>
      <c r="C119" s="1236" t="s">
        <v>4580</v>
      </c>
      <c r="D119" s="812"/>
      <c r="E119" s="807"/>
      <c r="F119" s="1236"/>
      <c r="G119" s="812"/>
      <c r="H119" s="812"/>
      <c r="I119" s="812"/>
      <c r="J119" s="1236"/>
      <c r="K119" s="812"/>
      <c r="L119" s="1236"/>
      <c r="M119" s="1236"/>
      <c r="N119" s="812"/>
      <c r="O119" s="812"/>
      <c r="P119" s="812"/>
      <c r="Q119" s="812"/>
      <c r="R119" s="812"/>
    </row>
    <row r="120" ht="21.75" customHeight="1">
      <c r="A120" s="1275" t="s">
        <v>4476</v>
      </c>
      <c r="B120" s="1275" t="s">
        <v>7076</v>
      </c>
      <c r="C120" s="1276"/>
      <c r="D120" s="1277"/>
      <c r="E120" s="1277"/>
      <c r="F120" s="1278"/>
      <c r="G120" s="1277"/>
      <c r="H120" s="1277"/>
      <c r="I120" s="1277"/>
      <c r="J120" s="1278"/>
      <c r="K120" s="1278"/>
      <c r="L120" s="1277"/>
      <c r="M120" s="1278"/>
      <c r="N120" s="1278"/>
      <c r="O120" s="1277"/>
      <c r="P120" s="1277"/>
      <c r="Q120" s="1279"/>
      <c r="R120" s="1279"/>
    </row>
    <row r="121" ht="21.75" customHeight="1">
      <c r="A121" s="1280"/>
      <c r="B121" s="1280"/>
      <c r="C121" s="1281"/>
      <c r="D121" s="1282"/>
      <c r="E121" s="1282"/>
      <c r="F121" s="1281"/>
      <c r="G121" s="1282"/>
      <c r="H121" s="1282"/>
      <c r="I121" s="1282"/>
      <c r="J121" s="1281"/>
      <c r="K121" s="1281"/>
      <c r="L121" s="1282"/>
      <c r="M121" s="1281"/>
      <c r="N121" s="1281"/>
      <c r="O121" s="1282"/>
      <c r="P121" s="1282"/>
      <c r="Q121" s="1283"/>
      <c r="R121" s="1283"/>
    </row>
    <row r="122" ht="21.75" customHeight="1">
      <c r="A122" s="463"/>
      <c r="B122" s="1291"/>
      <c r="C122" s="475"/>
      <c r="D122" s="467"/>
      <c r="E122" s="464"/>
      <c r="F122" s="463"/>
      <c r="G122" s="467"/>
      <c r="H122" s="467"/>
      <c r="I122" s="467"/>
      <c r="J122" s="463"/>
      <c r="K122" s="467"/>
      <c r="L122" s="463"/>
      <c r="M122" s="463"/>
      <c r="N122" s="467"/>
      <c r="O122" s="467"/>
      <c r="P122" s="467"/>
      <c r="Q122" s="812"/>
      <c r="R122" s="812"/>
    </row>
    <row r="123" ht="21.75" customHeight="1">
      <c r="A123" s="1236"/>
      <c r="B123" s="1305"/>
      <c r="C123" s="1309"/>
      <c r="D123" s="812"/>
      <c r="E123" s="807"/>
      <c r="F123" s="1236"/>
      <c r="G123" s="812"/>
      <c r="H123" s="812"/>
      <c r="I123" s="812"/>
      <c r="J123" s="1236"/>
      <c r="K123" s="812"/>
      <c r="L123" s="1236"/>
      <c r="M123" s="1236"/>
      <c r="N123" s="812"/>
      <c r="O123" s="812"/>
      <c r="P123" s="812"/>
      <c r="Q123" s="812"/>
      <c r="R123" s="812"/>
    </row>
  </sheetData>
  <conditionalFormatting sqref="R2:R4">
    <cfRule type="expression" dxfId="4" priority="1">
      <formula>$K2="Hư hỏng"</formula>
    </cfRule>
  </conditionalFormatting>
  <hyperlinks>
    <hyperlink r:id="rId1" ref="R4"/>
  </hyperlinks>
  <printOptions/>
  <pageMargins bottom="0.75" footer="0.0" header="0.0" left="0.7" right="0.7" top="0.75"/>
  <pageSetup paperSize="9" orientation="portrait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Row="1"/>
  <cols>
    <col customWidth="1" min="1" max="1" width="5.75"/>
    <col customWidth="1" min="2" max="2" width="13.13"/>
    <col customWidth="1" min="3" max="3" width="13.88"/>
    <col customWidth="1" min="4" max="4" width="15.38"/>
    <col customWidth="1" min="5" max="5" width="18.75"/>
    <col customWidth="1" min="6" max="6" width="19.38"/>
    <col customWidth="1" min="7" max="7" width="11.75"/>
    <col customWidth="1" min="8" max="8" width="10.63"/>
    <col customWidth="1" min="9" max="9" width="18.25"/>
    <col customWidth="1" min="10" max="10" width="11.0"/>
    <col customWidth="1" min="11" max="11" width="22.25"/>
    <col customWidth="1" min="12" max="12" width="26.88"/>
    <col customWidth="1" min="13" max="14" width="15.88"/>
    <col customWidth="1" min="15" max="15" width="18.25"/>
    <col customWidth="1" min="16" max="17" width="16.13"/>
    <col customWidth="1" min="18" max="18" width="18.38"/>
  </cols>
  <sheetData>
    <row r="1" ht="24.0" customHeight="1">
      <c r="A1" s="128"/>
      <c r="B1" s="128"/>
      <c r="C1" s="128"/>
      <c r="D1" s="128"/>
      <c r="E1" s="1300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301"/>
      <c r="Q1" s="1301"/>
      <c r="R1" s="1301"/>
    </row>
    <row r="2" ht="49.5" customHeight="1">
      <c r="A2" s="1302" t="s">
        <v>8189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30"/>
    </row>
    <row r="3" ht="37.5" customHeight="1">
      <c r="A3" s="1303" t="s">
        <v>15</v>
      </c>
      <c r="B3" s="1303" t="s">
        <v>4094</v>
      </c>
      <c r="C3" s="1303" t="s">
        <v>8191</v>
      </c>
      <c r="D3" s="1303" t="s">
        <v>8192</v>
      </c>
      <c r="E3" s="1303" t="s">
        <v>11</v>
      </c>
      <c r="F3" s="1303" t="s">
        <v>6083</v>
      </c>
      <c r="G3" s="1303" t="s">
        <v>8193</v>
      </c>
      <c r="H3" s="1303" t="s">
        <v>8194</v>
      </c>
      <c r="I3" s="1303" t="s">
        <v>3223</v>
      </c>
      <c r="J3" s="1303" t="s">
        <v>4116</v>
      </c>
      <c r="K3" s="1303" t="s">
        <v>27</v>
      </c>
      <c r="L3" s="1303" t="s">
        <v>29</v>
      </c>
      <c r="M3" s="1304" t="s">
        <v>8195</v>
      </c>
      <c r="N3" s="23"/>
      <c r="O3" s="23"/>
      <c r="P3" s="23"/>
      <c r="Q3" s="23"/>
      <c r="R3" s="30"/>
    </row>
    <row r="4" ht="37.5" customHeight="1">
      <c r="A4" s="694"/>
      <c r="B4" s="694"/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1306" t="s">
        <v>8196</v>
      </c>
      <c r="N4" s="23"/>
      <c r="O4" s="30"/>
      <c r="P4" s="1307" t="s">
        <v>8197</v>
      </c>
      <c r="Q4" s="23"/>
      <c r="R4" s="30"/>
    </row>
    <row r="5" ht="37.5" customHeight="1">
      <c r="A5" s="58"/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1308" t="s">
        <v>8198</v>
      </c>
      <c r="N5" s="1310" t="s">
        <v>8199</v>
      </c>
      <c r="O5" s="1311" t="s">
        <v>8200</v>
      </c>
      <c r="P5" s="1312" t="s">
        <v>8198</v>
      </c>
      <c r="Q5" s="1313" t="s">
        <v>8199</v>
      </c>
      <c r="R5" s="1311" t="s">
        <v>8200</v>
      </c>
    </row>
    <row r="6" ht="14.25" customHeight="1">
      <c r="A6" s="1314" t="s">
        <v>8201</v>
      </c>
      <c r="B6" s="1315"/>
      <c r="C6" s="1315"/>
      <c r="D6" s="1315"/>
      <c r="E6" s="1315"/>
      <c r="F6" s="1315"/>
      <c r="G6" s="1315"/>
      <c r="H6" s="1315"/>
      <c r="I6" s="1315"/>
      <c r="J6" s="1315"/>
      <c r="K6" s="1315"/>
      <c r="L6" s="1315"/>
      <c r="M6" s="1315"/>
      <c r="N6" s="1315"/>
      <c r="O6" s="1315"/>
      <c r="P6" s="1315"/>
      <c r="Q6" s="1315"/>
      <c r="R6" s="1315"/>
    </row>
    <row r="7" ht="33.75" hidden="1" customHeight="1">
      <c r="A7" s="1317" t="s">
        <v>8202</v>
      </c>
      <c r="B7" s="1318" t="s">
        <v>894</v>
      </c>
      <c r="C7" s="1318" t="s">
        <v>8203</v>
      </c>
      <c r="D7" s="1319" t="s">
        <v>5899</v>
      </c>
      <c r="E7" s="1320" t="s">
        <v>5900</v>
      </c>
      <c r="F7" s="1319" t="s">
        <v>858</v>
      </c>
      <c r="G7" s="1319" t="s">
        <v>897</v>
      </c>
      <c r="H7" s="1319">
        <v>2021.0</v>
      </c>
      <c r="I7" s="1321" t="s">
        <v>898</v>
      </c>
      <c r="J7" s="1319" t="s">
        <v>158</v>
      </c>
      <c r="K7" s="1321" t="s">
        <v>899</v>
      </c>
      <c r="L7" s="1321" t="s">
        <v>900</v>
      </c>
      <c r="M7" s="1322">
        <v>45370.0</v>
      </c>
      <c r="N7" s="1322">
        <v>45735.0</v>
      </c>
      <c r="O7" s="1323">
        <v>45731.0</v>
      </c>
      <c r="P7" s="1324">
        <v>45463.0</v>
      </c>
      <c r="Q7" s="1324">
        <v>45828.0</v>
      </c>
      <c r="R7" s="1323">
        <v>45797.0</v>
      </c>
    </row>
    <row r="8" ht="33.75" hidden="1" customHeight="1">
      <c r="A8" s="1317" t="s">
        <v>8204</v>
      </c>
      <c r="B8" s="1318" t="s">
        <v>1037</v>
      </c>
      <c r="C8" s="1318" t="s">
        <v>1038</v>
      </c>
      <c r="D8" s="1319" t="s">
        <v>5901</v>
      </c>
      <c r="E8" s="1320" t="s">
        <v>5900</v>
      </c>
      <c r="F8" s="1319" t="s">
        <v>1010</v>
      </c>
      <c r="G8" s="1319" t="s">
        <v>897</v>
      </c>
      <c r="H8" s="1319">
        <v>2021.0</v>
      </c>
      <c r="I8" s="1321" t="s">
        <v>898</v>
      </c>
      <c r="J8" s="1319" t="s">
        <v>158</v>
      </c>
      <c r="K8" s="1321" t="s">
        <v>1041</v>
      </c>
      <c r="L8" s="1321" t="s">
        <v>1042</v>
      </c>
      <c r="M8" s="1322">
        <v>45370.0</v>
      </c>
      <c r="N8" s="1322">
        <v>45735.0</v>
      </c>
      <c r="O8" s="1323">
        <v>45731.0</v>
      </c>
      <c r="P8" s="1324">
        <v>45463.0</v>
      </c>
      <c r="Q8" s="1324">
        <v>45828.0</v>
      </c>
      <c r="R8" s="1323">
        <v>45797.0</v>
      </c>
    </row>
    <row r="9" ht="33.75" hidden="1" customHeight="1">
      <c r="A9" s="1317" t="s">
        <v>8205</v>
      </c>
      <c r="B9" s="1319" t="s">
        <v>1148</v>
      </c>
      <c r="C9" s="1319" t="s">
        <v>1149</v>
      </c>
      <c r="D9" s="1319" t="s">
        <v>5902</v>
      </c>
      <c r="E9" s="1320" t="s">
        <v>5900</v>
      </c>
      <c r="F9" s="1319" t="s">
        <v>1120</v>
      </c>
      <c r="G9" s="1319" t="s">
        <v>897</v>
      </c>
      <c r="H9" s="1319">
        <v>2021.0</v>
      </c>
      <c r="I9" s="1321" t="s">
        <v>898</v>
      </c>
      <c r="J9" s="1319" t="s">
        <v>158</v>
      </c>
      <c r="K9" s="1321" t="s">
        <v>1151</v>
      </c>
      <c r="L9" s="1321" t="s">
        <v>1152</v>
      </c>
      <c r="M9" s="1322">
        <v>45370.0</v>
      </c>
      <c r="N9" s="1322">
        <v>45735.0</v>
      </c>
      <c r="O9" s="1323">
        <v>45731.0</v>
      </c>
      <c r="P9" s="1324">
        <v>45463.0</v>
      </c>
      <c r="Q9" s="1324">
        <v>45828.0</v>
      </c>
      <c r="R9" s="1323">
        <v>45797.0</v>
      </c>
    </row>
    <row r="10" ht="33.75" hidden="1" customHeight="1">
      <c r="A10" s="1317" t="s">
        <v>8206</v>
      </c>
      <c r="B10" s="1319" t="s">
        <v>1442</v>
      </c>
      <c r="C10" s="1319" t="s">
        <v>1443</v>
      </c>
      <c r="D10" s="1319" t="s">
        <v>5904</v>
      </c>
      <c r="E10" s="1320" t="s">
        <v>5900</v>
      </c>
      <c r="F10" s="1319" t="s">
        <v>1389</v>
      </c>
      <c r="G10" s="1319" t="s">
        <v>897</v>
      </c>
      <c r="H10" s="1319">
        <v>2021.0</v>
      </c>
      <c r="I10" s="1321" t="s">
        <v>898</v>
      </c>
      <c r="J10" s="1319" t="s">
        <v>158</v>
      </c>
      <c r="K10" s="1321" t="s">
        <v>1445</v>
      </c>
      <c r="L10" s="1321" t="s">
        <v>1446</v>
      </c>
      <c r="M10" s="1322">
        <v>45370.0</v>
      </c>
      <c r="N10" s="1322">
        <v>45735.0</v>
      </c>
      <c r="O10" s="1323">
        <v>45731.0</v>
      </c>
      <c r="P10" s="1324">
        <v>45463.0</v>
      </c>
      <c r="Q10" s="1324">
        <v>45828.0</v>
      </c>
      <c r="R10" s="1323">
        <v>45797.0</v>
      </c>
    </row>
    <row r="11" ht="33.75" hidden="1" customHeight="1">
      <c r="A11" s="1317" t="s">
        <v>8207</v>
      </c>
      <c r="B11" s="1319" t="s">
        <v>8208</v>
      </c>
      <c r="C11" s="1319" t="s">
        <v>2653</v>
      </c>
      <c r="D11" s="1319" t="s">
        <v>2652</v>
      </c>
      <c r="E11" s="1320" t="s">
        <v>5900</v>
      </c>
      <c r="F11" s="1319" t="s">
        <v>2964</v>
      </c>
      <c r="G11" s="1319" t="s">
        <v>897</v>
      </c>
      <c r="H11" s="1319">
        <v>2021.0</v>
      </c>
      <c r="I11" s="1321" t="s">
        <v>898</v>
      </c>
      <c r="J11" s="1319" t="s">
        <v>158</v>
      </c>
      <c r="K11" s="1321" t="s">
        <v>2655</v>
      </c>
      <c r="L11" s="1321" t="s">
        <v>2656</v>
      </c>
      <c r="M11" s="1322">
        <v>45370.0</v>
      </c>
      <c r="N11" s="1322">
        <v>45735.0</v>
      </c>
      <c r="O11" s="1323">
        <v>45731.0</v>
      </c>
      <c r="P11" s="1324">
        <v>45463.0</v>
      </c>
      <c r="Q11" s="1324">
        <v>45828.0</v>
      </c>
      <c r="R11" s="1323">
        <v>45797.0</v>
      </c>
    </row>
    <row r="12" ht="33.75" hidden="1" customHeight="1">
      <c r="A12" s="1317" t="s">
        <v>8209</v>
      </c>
      <c r="B12" s="1319" t="s">
        <v>2290</v>
      </c>
      <c r="C12" s="1319" t="s">
        <v>2291</v>
      </c>
      <c r="D12" s="1319" t="s">
        <v>5906</v>
      </c>
      <c r="E12" s="1320" t="s">
        <v>5900</v>
      </c>
      <c r="F12" s="1319" t="s">
        <v>836</v>
      </c>
      <c r="G12" s="1319" t="s">
        <v>897</v>
      </c>
      <c r="H12" s="1319">
        <v>2021.0</v>
      </c>
      <c r="I12" s="1321" t="s">
        <v>898</v>
      </c>
      <c r="J12" s="1319" t="s">
        <v>158</v>
      </c>
      <c r="K12" s="1321" t="s">
        <v>2292</v>
      </c>
      <c r="L12" s="1321" t="s">
        <v>2293</v>
      </c>
      <c r="M12" s="1322">
        <v>45370.0</v>
      </c>
      <c r="N12" s="1322">
        <v>45735.0</v>
      </c>
      <c r="O12" s="1323">
        <v>45731.0</v>
      </c>
      <c r="P12" s="1324">
        <v>45463.0</v>
      </c>
      <c r="Q12" s="1324">
        <v>45828.0</v>
      </c>
      <c r="R12" s="1323">
        <v>45797.0</v>
      </c>
    </row>
    <row r="13" ht="33.75" hidden="1" customHeight="1">
      <c r="A13" s="1317" t="s">
        <v>8210</v>
      </c>
      <c r="B13" s="1319" t="s">
        <v>2875</v>
      </c>
      <c r="C13" s="1319" t="s">
        <v>2878</v>
      </c>
      <c r="D13" s="1319"/>
      <c r="E13" s="1320" t="s">
        <v>5900</v>
      </c>
      <c r="F13" s="1319" t="s">
        <v>71</v>
      </c>
      <c r="G13" s="1319" t="s">
        <v>897</v>
      </c>
      <c r="H13" s="1319">
        <v>2021.0</v>
      </c>
      <c r="I13" s="1321" t="s">
        <v>898</v>
      </c>
      <c r="J13" s="1319" t="s">
        <v>158</v>
      </c>
      <c r="K13" s="1321" t="s">
        <v>2881</v>
      </c>
      <c r="L13" s="1321" t="s">
        <v>2882</v>
      </c>
      <c r="M13" s="1322">
        <v>45370.0</v>
      </c>
      <c r="N13" s="1322">
        <v>45735.0</v>
      </c>
      <c r="O13" s="1323">
        <v>45731.0</v>
      </c>
      <c r="P13" s="1324">
        <v>45463.0</v>
      </c>
      <c r="Q13" s="1324">
        <v>45828.0</v>
      </c>
      <c r="R13" s="1323">
        <v>45797.0</v>
      </c>
    </row>
    <row r="14" ht="33.75" hidden="1" customHeight="1">
      <c r="A14" s="1317" t="s">
        <v>8211</v>
      </c>
      <c r="B14" s="1319" t="s">
        <v>2758</v>
      </c>
      <c r="C14" s="1319" t="s">
        <v>2760</v>
      </c>
      <c r="D14" s="1319" t="s">
        <v>2759</v>
      </c>
      <c r="E14" s="1320" t="s">
        <v>8212</v>
      </c>
      <c r="F14" s="1319" t="s">
        <v>68</v>
      </c>
      <c r="G14" s="1319" t="s">
        <v>897</v>
      </c>
      <c r="H14" s="1319">
        <v>2024.0</v>
      </c>
      <c r="I14" s="1321" t="s">
        <v>2762</v>
      </c>
      <c r="J14" s="1319" t="s">
        <v>158</v>
      </c>
      <c r="K14" s="1321" t="s">
        <v>2763</v>
      </c>
      <c r="L14" s="1321" t="s">
        <v>2764</v>
      </c>
      <c r="M14" s="1322">
        <v>45560.0</v>
      </c>
      <c r="N14" s="1322">
        <v>45560.0</v>
      </c>
      <c r="O14" s="1322">
        <v>46285.0</v>
      </c>
      <c r="P14" s="1325" t="s">
        <v>8213</v>
      </c>
      <c r="Q14" s="1325"/>
      <c r="R14" s="1326"/>
    </row>
    <row r="15" ht="33.75" hidden="1" customHeight="1">
      <c r="A15" s="1317" t="s">
        <v>8214</v>
      </c>
      <c r="B15" s="1319" t="s">
        <v>2765</v>
      </c>
      <c r="C15" s="1319" t="s">
        <v>2767</v>
      </c>
      <c r="D15" s="1319" t="s">
        <v>2766</v>
      </c>
      <c r="E15" s="1320" t="s">
        <v>8212</v>
      </c>
      <c r="F15" s="1319" t="s">
        <v>68</v>
      </c>
      <c r="G15" s="1319" t="s">
        <v>897</v>
      </c>
      <c r="H15" s="1319">
        <v>2024.0</v>
      </c>
      <c r="I15" s="1321" t="s">
        <v>2762</v>
      </c>
      <c r="J15" s="1319" t="s">
        <v>158</v>
      </c>
      <c r="K15" s="1321" t="s">
        <v>2768</v>
      </c>
      <c r="L15" s="1321" t="s">
        <v>2769</v>
      </c>
      <c r="M15" s="1322">
        <v>45560.0</v>
      </c>
      <c r="N15" s="1322">
        <v>45560.0</v>
      </c>
      <c r="O15" s="1322">
        <v>46285.0</v>
      </c>
      <c r="P15" s="1325" t="s">
        <v>8213</v>
      </c>
      <c r="Q15" s="1325"/>
      <c r="R15" s="1326"/>
    </row>
    <row r="16" ht="33.75" hidden="1" customHeight="1">
      <c r="A16" s="1317" t="s">
        <v>8215</v>
      </c>
      <c r="B16" s="1319" t="s">
        <v>2770</v>
      </c>
      <c r="C16" s="1319" t="s">
        <v>2772</v>
      </c>
      <c r="D16" s="1319" t="s">
        <v>2771</v>
      </c>
      <c r="E16" s="1320" t="s">
        <v>8212</v>
      </c>
      <c r="F16" s="1319" t="s">
        <v>68</v>
      </c>
      <c r="G16" s="1319" t="s">
        <v>897</v>
      </c>
      <c r="H16" s="1319">
        <v>2024.0</v>
      </c>
      <c r="I16" s="1321" t="s">
        <v>2762</v>
      </c>
      <c r="J16" s="1319" t="s">
        <v>158</v>
      </c>
      <c r="K16" s="1321" t="s">
        <v>2773</v>
      </c>
      <c r="L16" s="1321" t="s">
        <v>2774</v>
      </c>
      <c r="M16" s="1322">
        <v>45560.0</v>
      </c>
      <c r="N16" s="1322">
        <v>45560.0</v>
      </c>
      <c r="O16" s="1322">
        <v>46285.0</v>
      </c>
      <c r="P16" s="1325" t="s">
        <v>8213</v>
      </c>
      <c r="Q16" s="1325"/>
      <c r="R16" s="1326"/>
    </row>
    <row r="17" ht="14.25" customHeight="1">
      <c r="A17" s="1330" t="s">
        <v>8216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30"/>
    </row>
    <row r="18" ht="33.0" hidden="1" customHeight="1">
      <c r="A18" s="1333">
        <v>1.0</v>
      </c>
      <c r="B18" s="1319" t="s">
        <v>2456</v>
      </c>
      <c r="C18" s="1320" t="str">
        <f>vlookup(B18,'02. MM-KLH'!$B:$T,4,0)</f>
        <v>5A-0004</v>
      </c>
      <c r="D18" s="1320" t="str">
        <f>vlookup(B18,'02. MM-KLH'!$B:$T,3,0)</f>
        <v>ATT-A22-0311</v>
      </c>
      <c r="E18" s="1320" t="str">
        <f>vlookup(B18,'02. MM-KLH'!$B:$T,6,0)</f>
        <v>Xe tải bồn CNHTC Sinotruk</v>
      </c>
      <c r="F18" s="1320" t="str">
        <f>vlookup(B18,'02. MM-KLH'!$B:$T,8,0)</f>
        <v>Trạm trộn bê tông</v>
      </c>
      <c r="G18" s="1320" t="str">
        <f>vlookup(B18,'02. MM-KLH'!$B:$T,13,0)</f>
        <v>CNHTC Sinotruk</v>
      </c>
      <c r="H18" s="1319">
        <f>vlookup(B18,'02. MM-KLH'!$B:$T,15,0)</f>
        <v>2023</v>
      </c>
      <c r="I18" s="1321" t="str">
        <f>vlookup(B18,'02. MM-KLH'!$B:$T,16,0)</f>
        <v>ZZ5257GJBN3847E1</v>
      </c>
      <c r="J18" s="1319" t="str">
        <f>vlookup(B18,'02. MM-KLH'!$B:$T,17,0)</f>
        <v>338.5HP</v>
      </c>
      <c r="K18" s="1321" t="str">
        <f>vlookup(B18,'02. MM-KLH'!$B:$T,18,0)</f>
        <v>LZZ1BLND6PA126475</v>
      </c>
      <c r="L18" s="1321" t="str">
        <f>vlookup(B18,'02. MM-KLH'!$B:$T,19,0)</f>
        <v>D103450230507007387</v>
      </c>
      <c r="M18" s="435" t="s">
        <v>2492</v>
      </c>
      <c r="N18" s="435" t="s">
        <v>8225</v>
      </c>
      <c r="O18" s="1344" t="s">
        <v>5612</v>
      </c>
      <c r="P18" s="1280" t="s">
        <v>8226</v>
      </c>
      <c r="Q18" s="1280" t="s">
        <v>8227</v>
      </c>
      <c r="R18" s="1344" t="s">
        <v>8228</v>
      </c>
    </row>
    <row r="19" ht="33.0" hidden="1" customHeight="1">
      <c r="A19" s="1319">
        <f t="shared" ref="A19:A23" si="1">A18+1</f>
        <v>2</v>
      </c>
      <c r="B19" s="1319" t="s">
        <v>2465</v>
      </c>
      <c r="C19" s="1320" t="str">
        <f>vlookup(B19,'02. MM-KLH'!$B:$T,4,0)</f>
        <v>5A-0006</v>
      </c>
      <c r="D19" s="1320" t="str">
        <f>vlookup(B19,'02. MM-KLH'!$B:$T,3,0)</f>
        <v>ATT-A22-0306</v>
      </c>
      <c r="E19" s="1320" t="str">
        <f>vlookup(B19,'02. MM-KLH'!$B:$T,6,0)</f>
        <v>Xe tải bồn CNHTC Sinotruk</v>
      </c>
      <c r="F19" s="1320" t="str">
        <f>vlookup(B19,'02. MM-KLH'!$B:$T,8,0)</f>
        <v>Trạm trộn bê tông</v>
      </c>
      <c r="G19" s="1320" t="str">
        <f>vlookup(B19,'02. MM-KLH'!$B:$T,13,0)</f>
        <v>CNHTC Sinotruk</v>
      </c>
      <c r="H19" s="1319">
        <f>vlookup(B19,'02. MM-KLH'!$B:$T,15,0)</f>
        <v>2023</v>
      </c>
      <c r="I19" s="1321" t="str">
        <f>vlookup(B19,'02. MM-KLH'!$B:$T,16,0)</f>
        <v>ZZ5257GJBN3847E1</v>
      </c>
      <c r="J19" s="1319" t="str">
        <f>vlookup(B19,'02. MM-KLH'!$B:$T,17,0)</f>
        <v>338.5HP</v>
      </c>
      <c r="K19" s="1321" t="str">
        <f>vlookup(B19,'02. MM-KLH'!$B:$T,18,0)</f>
        <v>LZZ1BLND8PA126476</v>
      </c>
      <c r="L19" s="1321" t="str">
        <f>vlookup(B19,'02. MM-KLH'!$B:$T,19,0)</f>
        <v>D103450230507007397</v>
      </c>
      <c r="M19" s="435" t="s">
        <v>2492</v>
      </c>
      <c r="N19" s="435" t="s">
        <v>8225</v>
      </c>
      <c r="O19" s="1344" t="s">
        <v>5612</v>
      </c>
      <c r="P19" s="1280" t="s">
        <v>8226</v>
      </c>
      <c r="Q19" s="1280" t="s">
        <v>8227</v>
      </c>
      <c r="R19" s="1344" t="s">
        <v>8228</v>
      </c>
    </row>
    <row r="20" ht="33.0" hidden="1" customHeight="1">
      <c r="A20" s="1319">
        <f t="shared" si="1"/>
        <v>3</v>
      </c>
      <c r="B20" s="1319" t="s">
        <v>2469</v>
      </c>
      <c r="C20" s="1320" t="str">
        <f>vlookup(B20,'02. MM-KLH'!$B:$T,4,0)</f>
        <v>5A-0002</v>
      </c>
      <c r="D20" s="1320" t="str">
        <f>vlookup(B20,'02. MM-KLH'!$B:$T,3,0)</f>
        <v>ATT-A22-0307</v>
      </c>
      <c r="E20" s="1320" t="str">
        <f>vlookup(B20,'02. MM-KLH'!$B:$T,6,0)</f>
        <v>Xe tải bồn CNHTC Sinotruk</v>
      </c>
      <c r="F20" s="1320" t="str">
        <f>vlookup(B20,'02. MM-KLH'!$B:$T,8,0)</f>
        <v>Trạm trộn bê tông</v>
      </c>
      <c r="G20" s="1320" t="str">
        <f>vlookup(B20,'02. MM-KLH'!$B:$T,13,0)</f>
        <v>CNHTC Sinotruk</v>
      </c>
      <c r="H20" s="1319">
        <f>vlookup(B20,'02. MM-KLH'!$B:$T,15,0)</f>
        <v>2023</v>
      </c>
      <c r="I20" s="1321" t="str">
        <f>vlookup(B20,'02. MM-KLH'!$B:$T,16,0)</f>
        <v>ZZ5257GJBN3847E1</v>
      </c>
      <c r="J20" s="1319" t="str">
        <f>vlookup(B20,'02. MM-KLH'!$B:$T,17,0)</f>
        <v>338.5HP</v>
      </c>
      <c r="K20" s="1321" t="str">
        <f>vlookup(B20,'02. MM-KLH'!$B:$T,18,0)</f>
        <v>LZZ1BLNDXPA126477</v>
      </c>
      <c r="L20" s="1321" t="str">
        <f>vlookup(B20,'02. MM-KLH'!$B:$T,19,0)</f>
        <v>D103450230507007367</v>
      </c>
      <c r="M20" s="435" t="s">
        <v>2492</v>
      </c>
      <c r="N20" s="435" t="s">
        <v>8225</v>
      </c>
      <c r="O20" s="1344" t="s">
        <v>5612</v>
      </c>
      <c r="P20" s="1280" t="s">
        <v>8226</v>
      </c>
      <c r="Q20" s="1280" t="s">
        <v>8227</v>
      </c>
      <c r="R20" s="1344" t="s">
        <v>8228</v>
      </c>
    </row>
    <row r="21" ht="33.0" hidden="1" customHeight="1">
      <c r="A21" s="1319">
        <f t="shared" si="1"/>
        <v>4</v>
      </c>
      <c r="B21" s="1319" t="s">
        <v>2473</v>
      </c>
      <c r="C21" s="1320" t="str">
        <f>vlookup(B21,'02. MM-KLH'!$B:$T,4,0)</f>
        <v>5A-0005</v>
      </c>
      <c r="D21" s="1320" t="str">
        <f>vlookup(B21,'02. MM-KLH'!$B:$T,3,0)</f>
        <v>ATT-A22-0308</v>
      </c>
      <c r="E21" s="1320" t="str">
        <f>vlookup(B21,'02. MM-KLH'!$B:$T,6,0)</f>
        <v>Xe tải bồn CNHTC Sinotruk</v>
      </c>
      <c r="F21" s="1320" t="str">
        <f>vlookup(B21,'02. MM-KLH'!$B:$T,8,0)</f>
        <v>Trạm trộn bê tông</v>
      </c>
      <c r="G21" s="1320" t="str">
        <f>vlookup(B21,'02. MM-KLH'!$B:$T,13,0)</f>
        <v>CNHTC Sinotruk</v>
      </c>
      <c r="H21" s="1319">
        <f>vlookup(B21,'02. MM-KLH'!$B:$T,15,0)</f>
        <v>2023</v>
      </c>
      <c r="I21" s="1321" t="str">
        <f>vlookup(B21,'02. MM-KLH'!$B:$T,16,0)</f>
        <v>ZZ5257GJBN3847E1</v>
      </c>
      <c r="J21" s="1319" t="str">
        <f>vlookup(B21,'02. MM-KLH'!$B:$T,17,0)</f>
        <v>338.5HP</v>
      </c>
      <c r="K21" s="1321" t="str">
        <f>vlookup(B21,'02. MM-KLH'!$B:$T,18,0)</f>
        <v>LZZ1BLND1PA126478</v>
      </c>
      <c r="L21" s="1321" t="str">
        <f>vlookup(B21,'02. MM-KLH'!$B:$T,19,0)</f>
        <v>D103450230507007327</v>
      </c>
      <c r="M21" s="435" t="s">
        <v>2492</v>
      </c>
      <c r="N21" s="435" t="s">
        <v>8225</v>
      </c>
      <c r="O21" s="1344" t="s">
        <v>5612</v>
      </c>
      <c r="P21" s="1280" t="s">
        <v>8226</v>
      </c>
      <c r="Q21" s="1280" t="s">
        <v>8227</v>
      </c>
      <c r="R21" s="1344" t="s">
        <v>8228</v>
      </c>
    </row>
    <row r="22" ht="33.0" hidden="1" customHeight="1">
      <c r="A22" s="1319">
        <f t="shared" si="1"/>
        <v>5</v>
      </c>
      <c r="B22" s="1319" t="s">
        <v>2477</v>
      </c>
      <c r="C22" s="1320" t="str">
        <f>vlookup(B22,'02. MM-KLH'!$B:$T,4,0)</f>
        <v>5A-0003</v>
      </c>
      <c r="D22" s="1320" t="str">
        <f>vlookup(B22,'02. MM-KLH'!$B:$T,3,0)</f>
        <v>ATT-A22-0309</v>
      </c>
      <c r="E22" s="1320" t="str">
        <f>vlookup(B22,'02. MM-KLH'!$B:$T,6,0)</f>
        <v>Xe tải bồn CNHTC Sinotruk</v>
      </c>
      <c r="F22" s="1320" t="str">
        <f>vlookup(B22,'02. MM-KLH'!$B:$T,8,0)</f>
        <v>Trạm trộn bê tông</v>
      </c>
      <c r="G22" s="1320" t="str">
        <f>vlookup(B22,'02. MM-KLH'!$B:$T,13,0)</f>
        <v>CNHTC Sinotruk</v>
      </c>
      <c r="H22" s="1319">
        <f>vlookup(B22,'02. MM-KLH'!$B:$T,15,0)</f>
        <v>2023</v>
      </c>
      <c r="I22" s="1321" t="str">
        <f>vlookup(B22,'02. MM-KLH'!$B:$T,16,0)</f>
        <v>ZZ5257GJBN3847E1</v>
      </c>
      <c r="J22" s="1319" t="str">
        <f>vlookup(B22,'02. MM-KLH'!$B:$T,17,0)</f>
        <v>338.5HP</v>
      </c>
      <c r="K22" s="1321" t="str">
        <f>vlookup(B22,'02. MM-KLH'!$B:$T,18,0)</f>
        <v>LZZ1BLND3PA126479</v>
      </c>
      <c r="L22" s="1321" t="str">
        <f>vlookup(B22,'02. MM-KLH'!$B:$T,19,0)</f>
        <v>D103450230507007377</v>
      </c>
      <c r="M22" s="435" t="s">
        <v>2492</v>
      </c>
      <c r="N22" s="435" t="s">
        <v>8225</v>
      </c>
      <c r="O22" s="1344" t="s">
        <v>5612</v>
      </c>
      <c r="P22" s="1280" t="s">
        <v>8226</v>
      </c>
      <c r="Q22" s="1280" t="s">
        <v>8227</v>
      </c>
      <c r="R22" s="1344" t="s">
        <v>8228</v>
      </c>
    </row>
    <row r="23" ht="33.0" hidden="1" customHeight="1">
      <c r="A23" s="1319">
        <f t="shared" si="1"/>
        <v>6</v>
      </c>
      <c r="B23" s="1319" t="s">
        <v>2482</v>
      </c>
      <c r="C23" s="1320" t="str">
        <f>vlookup(B23,'02. MM-KLH'!$B:$T,4,0)</f>
        <v>5A-0001</v>
      </c>
      <c r="D23" s="1320" t="str">
        <f>vlookup(B23,'02. MM-KLH'!$B:$T,3,0)</f>
        <v>ATT-A22-0310</v>
      </c>
      <c r="E23" s="1320" t="str">
        <f>vlookup(B23,'02. MM-KLH'!$B:$T,6,0)</f>
        <v>Xe tải bồn CNHTC Sinotruk</v>
      </c>
      <c r="F23" s="1320" t="str">
        <f>vlookup(B23,'02. MM-KLH'!$B:$T,8,0)</f>
        <v>Trạm trộn bê tông</v>
      </c>
      <c r="G23" s="1320" t="str">
        <f>vlookup(B23,'02. MM-KLH'!$B:$T,13,0)</f>
        <v>CNHTC Sinotruk</v>
      </c>
      <c r="H23" s="1319">
        <f>vlookup(B23,'02. MM-KLH'!$B:$T,15,0)</f>
        <v>2023</v>
      </c>
      <c r="I23" s="1321" t="str">
        <f>vlookup(B23,'02. MM-KLH'!$B:$T,16,0)</f>
        <v>ZZ5257GJBN3847E1</v>
      </c>
      <c r="J23" s="1319" t="str">
        <f>vlookup(B23,'02. MM-KLH'!$B:$T,17,0)</f>
        <v>338.5HP</v>
      </c>
      <c r="K23" s="1321" t="str">
        <f>vlookup(B23,'02. MM-KLH'!$B:$T,18,0)</f>
        <v>LZZ1BLND3PA126482</v>
      </c>
      <c r="L23" s="1321" t="str">
        <f>vlookup(B23,'02. MM-KLH'!$B:$T,19,0)</f>
        <v>D103450230507007347</v>
      </c>
      <c r="M23" s="435" t="s">
        <v>2492</v>
      </c>
      <c r="N23" s="435" t="s">
        <v>8225</v>
      </c>
      <c r="O23" s="1344" t="s">
        <v>5612</v>
      </c>
      <c r="P23" s="1280" t="s">
        <v>8226</v>
      </c>
      <c r="Q23" s="1280" t="s">
        <v>8227</v>
      </c>
      <c r="R23" s="1344" t="s">
        <v>8228</v>
      </c>
    </row>
    <row r="24" ht="18.0" customHeight="1">
      <c r="A24" s="1352" t="s">
        <v>8233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30"/>
    </row>
    <row r="25" ht="33.0" customHeight="1">
      <c r="A25" s="1333">
        <v>1.0</v>
      </c>
      <c r="B25" s="1320" t="s">
        <v>2357</v>
      </c>
      <c r="C25" s="1320" t="str">
        <f>vlookup(B25,'02. MM-KLH'!$B:$T,4,0)</f>
        <v>3A-0813</v>
      </c>
      <c r="D25" s="1320" t="str">
        <f>vlookup(B25,'02. MM-KLH'!$B:$T,3,0)</f>
        <v>ATT-A23-0023</v>
      </c>
      <c r="E25" s="1320" t="str">
        <f>vlookup(B25,'02. MM-KLH'!$B:$T,6,0)</f>
        <v>Xe tải thùng Auman C160</v>
      </c>
      <c r="F25" s="1320" t="str">
        <f>vlookup(B25,'02. MM-KLH'!$B:$T,8,0)</f>
        <v>Phòng GNVC</v>
      </c>
      <c r="G25" s="1320" t="str">
        <f>vlookup(B25,'02. MM-KLH'!$B:$T,13,0)</f>
        <v>THACO AUMAN</v>
      </c>
      <c r="H25" s="1319">
        <f>vlookup(B25,'02. MM-KLH'!$B:$T,15,0)</f>
        <v>2012</v>
      </c>
      <c r="I25" s="1321" t="str">
        <f>vlookup(B25,'02. MM-KLH'!$B:$T,16,0)</f>
        <v>C160</v>
      </c>
      <c r="J25" s="1319" t="str">
        <f>vlookup(B25,'02. MM-KLH'!$B:$T,17,0)</f>
        <v>96HP</v>
      </c>
      <c r="K25" s="1321">
        <f>vlookup(B25,'02. MM-KLH'!$B:$T,18,0)</f>
        <v>6005</v>
      </c>
      <c r="L25" s="1321">
        <f>vlookup(B25,'02. MM-KLH'!$B:$T,19,0)</f>
        <v>495027</v>
      </c>
      <c r="M25" s="1353">
        <v>45973.0</v>
      </c>
      <c r="N25" s="1353">
        <v>46338.0</v>
      </c>
      <c r="O25" s="1354">
        <v>46337.0</v>
      </c>
      <c r="P25" s="1355" t="s">
        <v>8234</v>
      </c>
      <c r="Q25" s="1355" t="s">
        <v>8235</v>
      </c>
      <c r="R25" s="1356" t="s">
        <v>8236</v>
      </c>
    </row>
    <row r="26" ht="33.0" customHeight="1">
      <c r="A26" s="1319">
        <f t="shared" ref="A26:A116" si="2">A25+1</f>
        <v>2</v>
      </c>
      <c r="B26" s="1357" t="s">
        <v>1469</v>
      </c>
      <c r="C26" s="1320" t="str">
        <f>vlookup(B26,'02. MM-KLH'!$B:$T,4,0)</f>
        <v>3A-6824</v>
      </c>
      <c r="D26" s="1320" t="str">
        <f>vlookup(B26,'02. MM-KLH'!$B:$T,3,0)</f>
        <v>A24-XTA-018</v>
      </c>
      <c r="E26" s="1320" t="str">
        <f>vlookup(B26,'02. MM-KLH'!$B:$T,6,0)</f>
        <v>Xe ben Forland FD990-4WDXTH4-5T</v>
      </c>
      <c r="F26" s="1320" t="str">
        <f>vlookup(B26,'02. MM-KLH'!$B:$T,8,0)</f>
        <v>XN Chuối LP3</v>
      </c>
      <c r="G26" s="1320" t="str">
        <f>vlookup(B26,'02. MM-KLH'!$B:$T,13,0)</f>
        <v>THACO FORLAND</v>
      </c>
      <c r="H26" s="1319">
        <f>vlookup(B26,'02. MM-KLH'!$B:$T,15,0)</f>
        <v>2024</v>
      </c>
      <c r="I26" s="1321" t="str">
        <f>vlookup(B26,'02. MM-KLH'!$B:$T,16,0)</f>
        <v> FD990-4WD</v>
      </c>
      <c r="J26" s="1319" t="str">
        <f>vlookup(B26,'02. MM-KLH'!$B:$T,17,0)</f>
        <v>94HP</v>
      </c>
      <c r="K26" s="1321" t="str">
        <f>vlookup(B26,'02. MM-KLH'!$B:$T,18,0)</f>
        <v>RNHF99FACRT092726</v>
      </c>
      <c r="L26" s="1321" t="str">
        <f>vlookup(B26,'02. MM-KLH'!$B:$T,19,0)</f>
        <v>B0577285</v>
      </c>
      <c r="M26" s="435" t="s">
        <v>8237</v>
      </c>
      <c r="N26" s="435" t="s">
        <v>8238</v>
      </c>
      <c r="O26" s="1344" t="s">
        <v>8239</v>
      </c>
      <c r="P26" s="1358" t="s">
        <v>76</v>
      </c>
      <c r="Q26" s="1358" t="s">
        <v>76</v>
      </c>
      <c r="R26" s="1344" t="s">
        <v>76</v>
      </c>
    </row>
    <row r="27" ht="33.0" customHeight="1">
      <c r="A27" s="1319">
        <f t="shared" si="2"/>
        <v>3</v>
      </c>
      <c r="B27" s="1357" t="s">
        <v>294</v>
      </c>
      <c r="C27" s="1320" t="str">
        <f>vlookup(B27,'02. MM-KLH'!$B:$T,4,0)</f>
        <v>3A-6816</v>
      </c>
      <c r="D27" s="1320" t="str">
        <f>vlookup(B27,'02. MM-KLH'!$B:$T,3,0)</f>
        <v>A23-XTA-030</v>
      </c>
      <c r="E27" s="1320" t="str">
        <f>vlookup(B27,'02. MM-KLH'!$B:$T,6,0)</f>
        <v>Xe ben FD150</v>
      </c>
      <c r="F27" s="1320" t="str">
        <f>vlookup(B27,'02. MM-KLH'!$B:$T,8,0)</f>
        <v>CGTC DP</v>
      </c>
      <c r="G27" s="1320" t="str">
        <f>vlookup(B27,'02. MM-KLH'!$B:$T,13,0)</f>
        <v>THACO FORLAND</v>
      </c>
      <c r="H27" s="1319">
        <f>vlookup(B27,'02. MM-KLH'!$B:$T,15,0)</f>
        <v>2024</v>
      </c>
      <c r="I27" s="1321" t="str">
        <f>vlookup(B27,'02. MM-KLH'!$B:$T,16,0)</f>
        <v>FD150-4WD </v>
      </c>
      <c r="J27" s="1319" t="str">
        <f>vlookup(B27,'02. MM-KLH'!$B:$T,17,0)</f>
        <v>150HP</v>
      </c>
      <c r="K27" s="1321" t="str">
        <f>vlookup(B27,'02. MM-KLH'!$B:$T,18,0)</f>
        <v>RNHF16FYART000834</v>
      </c>
      <c r="L27" s="1321" t="str">
        <f>vlookup(B27,'02. MM-KLH'!$B:$T,19,0)</f>
        <v>D59M1N01254</v>
      </c>
      <c r="M27" s="435" t="s">
        <v>8237</v>
      </c>
      <c r="N27" s="435" t="s">
        <v>8238</v>
      </c>
      <c r="O27" s="1344" t="s">
        <v>8239</v>
      </c>
      <c r="P27" s="1358" t="s">
        <v>76</v>
      </c>
      <c r="Q27" s="1358" t="s">
        <v>76</v>
      </c>
      <c r="R27" s="1344" t="s">
        <v>76</v>
      </c>
    </row>
    <row r="28" ht="33.0" customHeight="1">
      <c r="A28" s="1319">
        <f t="shared" si="2"/>
        <v>4</v>
      </c>
      <c r="B28" s="1357" t="s">
        <v>304</v>
      </c>
      <c r="C28" s="1320" t="str">
        <f>vlookup(B28,'02. MM-KLH'!$B:$T,4,0)</f>
        <v>3A-6817</v>
      </c>
      <c r="D28" s="1320" t="str">
        <f>vlookup(B28,'02. MM-KLH'!$B:$T,3,0)</f>
        <v>A23-XTA-031</v>
      </c>
      <c r="E28" s="1320" t="str">
        <f>vlookup(B28,'02. MM-KLH'!$B:$T,6,0)</f>
        <v>Xe ben FD150</v>
      </c>
      <c r="F28" s="1320" t="str">
        <f>vlookup(B28,'02. MM-KLH'!$B:$T,8,0)</f>
        <v>CGTC DP</v>
      </c>
      <c r="G28" s="1320" t="str">
        <f>vlookup(B28,'02. MM-KLH'!$B:$T,13,0)</f>
        <v>THACO FORLAND</v>
      </c>
      <c r="H28" s="1319">
        <f>vlookup(B28,'02. MM-KLH'!$B:$T,15,0)</f>
        <v>2024</v>
      </c>
      <c r="I28" s="1321" t="str">
        <f>vlookup(B28,'02. MM-KLH'!$B:$T,16,0)</f>
        <v>FD150-4WD</v>
      </c>
      <c r="J28" s="1319" t="str">
        <f>vlookup(B28,'02. MM-KLH'!$B:$T,17,0)</f>
        <v>150HP</v>
      </c>
      <c r="K28" s="1321" t="str">
        <f>vlookup(B28,'02. MM-KLH'!$B:$T,18,0)</f>
        <v>RNHF16FYART000835</v>
      </c>
      <c r="L28" s="1321" t="str">
        <f>vlookup(B28,'02. MM-KLH'!$B:$T,19,0)</f>
        <v>D59M1N01360</v>
      </c>
      <c r="M28" s="435" t="s">
        <v>8237</v>
      </c>
      <c r="N28" s="435" t="s">
        <v>8238</v>
      </c>
      <c r="O28" s="1344" t="s">
        <v>8239</v>
      </c>
      <c r="P28" s="1358" t="s">
        <v>76</v>
      </c>
      <c r="Q28" s="1358" t="s">
        <v>76</v>
      </c>
      <c r="R28" s="1344" t="s">
        <v>76</v>
      </c>
    </row>
    <row r="29" ht="33.0" customHeight="1">
      <c r="A29" s="1319">
        <f t="shared" si="2"/>
        <v>5</v>
      </c>
      <c r="B29" s="1357" t="s">
        <v>332</v>
      </c>
      <c r="C29" s="1320" t="str">
        <f>vlookup(B29,'02. MM-KLH'!$B:$T,4,0)</f>
        <v>3A-6828</v>
      </c>
      <c r="D29" s="1320" t="str">
        <f>vlookup(B29,'02. MM-KLH'!$B:$T,3,0)</f>
        <v>A23-XTA-041</v>
      </c>
      <c r="E29" s="1320" t="str">
        <f>vlookup(B29,'02. MM-KLH'!$B:$T,6,0)</f>
        <v>Xe ben FD120</v>
      </c>
      <c r="F29" s="1320" t="str">
        <f>vlookup(B29,'02. MM-KLH'!$B:$T,8,0)</f>
        <v>CGTC DP</v>
      </c>
      <c r="G29" s="1320" t="str">
        <f>vlookup(B29,'02. MM-KLH'!$B:$T,13,0)</f>
        <v>THACO FORLAND</v>
      </c>
      <c r="H29" s="1319">
        <f>vlookup(B29,'02. MM-KLH'!$B:$T,15,0)</f>
        <v>2024</v>
      </c>
      <c r="I29" s="1321" t="str">
        <f>vlookup(B29,'02. MM-KLH'!$B:$T,16,0)</f>
        <v>FD120-4WD</v>
      </c>
      <c r="J29" s="1319" t="str">
        <f>vlookup(B29,'02. MM-KLH'!$B:$T,17,0)</f>
        <v>129HP</v>
      </c>
      <c r="K29" s="1321" t="str">
        <f>vlookup(B29,'02. MM-KLH'!$B:$T,18,0)</f>
        <v>RNHF12FNBRT002062</v>
      </c>
      <c r="L29" s="1321" t="str">
        <f>vlookup(B29,'02. MM-KLH'!$B:$T,19,0)</f>
        <v>YN38CRD1*AGN22000242*</v>
      </c>
      <c r="M29" s="435" t="s">
        <v>8237</v>
      </c>
      <c r="N29" s="435" t="s">
        <v>8238</v>
      </c>
      <c r="O29" s="1344" t="s">
        <v>8239</v>
      </c>
      <c r="P29" s="1358" t="s">
        <v>76</v>
      </c>
      <c r="Q29" s="1358" t="s">
        <v>76</v>
      </c>
      <c r="R29" s="1344" t="s">
        <v>76</v>
      </c>
    </row>
    <row r="30" ht="33.0" customHeight="1">
      <c r="A30" s="1319">
        <f t="shared" si="2"/>
        <v>6</v>
      </c>
      <c r="B30" s="1357" t="s">
        <v>341</v>
      </c>
      <c r="C30" s="1320" t="str">
        <f>vlookup(B30,'02. MM-KLH'!$B:$T,4,0)</f>
        <v>3A-6827</v>
      </c>
      <c r="D30" s="1320" t="str">
        <f>vlookup(B30,'02. MM-KLH'!$B:$T,3,0)</f>
        <v>A23-XTA-042</v>
      </c>
      <c r="E30" s="1320" t="str">
        <f>vlookup(B30,'02. MM-KLH'!$B:$T,6,0)</f>
        <v>Xe ben FD120</v>
      </c>
      <c r="F30" s="1320" t="str">
        <f>vlookup(B30,'02. MM-KLH'!$B:$T,8,0)</f>
        <v>CGTC DP</v>
      </c>
      <c r="G30" s="1320" t="str">
        <f>vlookup(B30,'02. MM-KLH'!$B:$T,13,0)</f>
        <v>THACO FORLAND</v>
      </c>
      <c r="H30" s="1319">
        <f>vlookup(B30,'02. MM-KLH'!$B:$T,15,0)</f>
        <v>2024</v>
      </c>
      <c r="I30" s="1321" t="str">
        <f>vlookup(B30,'02. MM-KLH'!$B:$T,16,0)</f>
        <v>FD120-4WD</v>
      </c>
      <c r="J30" s="1319" t="str">
        <f>vlookup(B30,'02. MM-KLH'!$B:$T,17,0)</f>
        <v>129HP</v>
      </c>
      <c r="K30" s="1321" t="str">
        <f>vlookup(B30,'02. MM-KLH'!$B:$T,18,0)</f>
        <v>RNHF12FNBRT002063</v>
      </c>
      <c r="L30" s="1321" t="str">
        <f>vlookup(B30,'02. MM-KLH'!$B:$T,19,0)</f>
        <v>YN38CRD1*AGN22000243*</v>
      </c>
      <c r="M30" s="435" t="s">
        <v>8237</v>
      </c>
      <c r="N30" s="435" t="s">
        <v>8238</v>
      </c>
      <c r="O30" s="1344" t="s">
        <v>8239</v>
      </c>
      <c r="P30" s="1358" t="s">
        <v>76</v>
      </c>
      <c r="Q30" s="1358" t="s">
        <v>76</v>
      </c>
      <c r="R30" s="1344" t="s">
        <v>76</v>
      </c>
    </row>
    <row r="31" ht="33.0" customHeight="1">
      <c r="A31" s="1319">
        <f t="shared" si="2"/>
        <v>7</v>
      </c>
      <c r="B31" s="1357" t="s">
        <v>346</v>
      </c>
      <c r="C31" s="1320" t="str">
        <f>vlookup(B31,'02. MM-KLH'!$B:$T,4,0)</f>
        <v>3A-6826</v>
      </c>
      <c r="D31" s="1320" t="str">
        <f>vlookup(B31,'02. MM-KLH'!$B:$T,3,0)</f>
        <v>A23-XTA-043</v>
      </c>
      <c r="E31" s="1320" t="str">
        <f>vlookup(B31,'02. MM-KLH'!$B:$T,6,0)</f>
        <v>Xe ben FD120</v>
      </c>
      <c r="F31" s="1320" t="str">
        <f>vlookup(B31,'02. MM-KLH'!$B:$T,8,0)</f>
        <v>CGTC DP</v>
      </c>
      <c r="G31" s="1320" t="str">
        <f>vlookup(B31,'02. MM-KLH'!$B:$T,13,0)</f>
        <v>THACO FORLAND</v>
      </c>
      <c r="H31" s="1319">
        <f>vlookup(B31,'02. MM-KLH'!$B:$T,15,0)</f>
        <v>2024</v>
      </c>
      <c r="I31" s="1321" t="str">
        <f>vlookup(B31,'02. MM-KLH'!$B:$T,16,0)</f>
        <v>FD120-4WD</v>
      </c>
      <c r="J31" s="1319" t="str">
        <f>vlookup(B31,'02. MM-KLH'!$B:$T,17,0)</f>
        <v>129HP</v>
      </c>
      <c r="K31" s="1321" t="str">
        <f>vlookup(B31,'02. MM-KLH'!$B:$T,18,0)</f>
        <v>RNHF12FNBRT002064</v>
      </c>
      <c r="L31" s="1321" t="str">
        <f>vlookup(B31,'02. MM-KLH'!$B:$T,19,0)</f>
        <v>YN38CRD1*AGN22000244*</v>
      </c>
      <c r="M31" s="435" t="s">
        <v>8237</v>
      </c>
      <c r="N31" s="435" t="s">
        <v>8238</v>
      </c>
      <c r="O31" s="1344" t="s">
        <v>8239</v>
      </c>
      <c r="P31" s="1358" t="s">
        <v>76</v>
      </c>
      <c r="Q31" s="1358" t="s">
        <v>76</v>
      </c>
      <c r="R31" s="1344" t="s">
        <v>76</v>
      </c>
    </row>
    <row r="32" ht="33.0" customHeight="1">
      <c r="A32" s="1319">
        <f t="shared" si="2"/>
        <v>8</v>
      </c>
      <c r="B32" s="1357" t="s">
        <v>351</v>
      </c>
      <c r="C32" s="1320" t="str">
        <f>vlookup(B32,'02. MM-KLH'!$B:$T,4,0)</f>
        <v>3A-6825</v>
      </c>
      <c r="D32" s="1320" t="str">
        <f>vlookup(B32,'02. MM-KLH'!$B:$T,3,0)</f>
        <v>A23-XTA-044</v>
      </c>
      <c r="E32" s="1320" t="str">
        <f>vlookup(B32,'02. MM-KLH'!$B:$T,6,0)</f>
        <v>Xe ben FD120</v>
      </c>
      <c r="F32" s="1320" t="str">
        <f>vlookup(B32,'02. MM-KLH'!$B:$T,8,0)</f>
        <v>CGTC DP</v>
      </c>
      <c r="G32" s="1320" t="str">
        <f>vlookup(B32,'02. MM-KLH'!$B:$T,13,0)</f>
        <v>THACO FORLAND</v>
      </c>
      <c r="H32" s="1319">
        <f>vlookup(B32,'02. MM-KLH'!$B:$T,15,0)</f>
        <v>2024</v>
      </c>
      <c r="I32" s="1321" t="str">
        <f>vlookup(B32,'02. MM-KLH'!$B:$T,16,0)</f>
        <v>FD120-4WD</v>
      </c>
      <c r="J32" s="1319" t="str">
        <f>vlookup(B32,'02. MM-KLH'!$B:$T,17,0)</f>
        <v>129HP</v>
      </c>
      <c r="K32" s="1321" t="str">
        <f>vlookup(B32,'02. MM-KLH'!$B:$T,18,0)</f>
        <v>RNHF12FNBRT002065</v>
      </c>
      <c r="L32" s="1321" t="str">
        <f>vlookup(B32,'02. MM-KLH'!$B:$T,19,0)</f>
        <v>YN38CRD1*AGN22000245*</v>
      </c>
      <c r="M32" s="435" t="s">
        <v>8237</v>
      </c>
      <c r="N32" s="435" t="s">
        <v>8238</v>
      </c>
      <c r="O32" s="1344" t="s">
        <v>8239</v>
      </c>
      <c r="P32" s="1358" t="s">
        <v>76</v>
      </c>
      <c r="Q32" s="1358" t="s">
        <v>76</v>
      </c>
      <c r="R32" s="1344" t="s">
        <v>76</v>
      </c>
    </row>
    <row r="33" ht="33.0" customHeight="1">
      <c r="A33" s="1319">
        <f t="shared" si="2"/>
        <v>9</v>
      </c>
      <c r="B33" s="1357" t="s">
        <v>153</v>
      </c>
      <c r="C33" s="1320" t="str">
        <f>vlookup(B33,'02. MM-KLH'!$B:$T,4,0)</f>
        <v>3A-6815</v>
      </c>
      <c r="D33" s="1320" t="str">
        <f>vlookup(B33,'02. MM-KLH'!$B:$T,3,0)</f>
        <v>A23-XTA-024</v>
      </c>
      <c r="E33" s="1320" t="str">
        <f>vlookup(B33,'02. MM-KLH'!$B:$T,6,0)</f>
        <v>Xe ben HOWO TXD600</v>
      </c>
      <c r="F33" s="1320" t="str">
        <f>vlookup(B33,'02. MM-KLH'!$B:$T,8,0)</f>
        <v>CGTC DP</v>
      </c>
      <c r="G33" s="1320" t="str">
        <f>vlookup(B33,'02. MM-KLH'!$B:$T,13,0)</f>
        <v>HOWO</v>
      </c>
      <c r="H33" s="1319">
        <f>vlookup(B33,'02. MM-KLH'!$B:$T,15,0)</f>
        <v>2022</v>
      </c>
      <c r="I33" s="1321" t="str">
        <f>vlookup(B33,'02. MM-KLH'!$B:$T,16,0)</f>
        <v>HOWO TX D600</v>
      </c>
      <c r="J33" s="1319" t="str">
        <f>vlookup(B33,'02. MM-KLH'!$B:$T,17,0)</f>
        <v>380HP</v>
      </c>
      <c r="K33" s="1321" t="str">
        <f>vlookup(B33,'02. MM-KLH'!$B:$T,18,0)</f>
        <v>RNHD24CWANT057806</v>
      </c>
      <c r="L33" s="1321" t="str">
        <f>vlookup(B33,'02. MM-KLH'!$B:$T,19,0)</f>
        <v>1622B008395</v>
      </c>
      <c r="M33" s="435" t="s">
        <v>8237</v>
      </c>
      <c r="N33" s="435" t="s">
        <v>8238</v>
      </c>
      <c r="O33" s="1344" t="s">
        <v>8239</v>
      </c>
      <c r="P33" s="1358" t="s">
        <v>76</v>
      </c>
      <c r="Q33" s="1358" t="s">
        <v>76</v>
      </c>
      <c r="R33" s="1344" t="s">
        <v>76</v>
      </c>
    </row>
    <row r="34" ht="33.0" customHeight="1">
      <c r="A34" s="1319">
        <f t="shared" si="2"/>
        <v>10</v>
      </c>
      <c r="B34" s="1357" t="s">
        <v>166</v>
      </c>
      <c r="C34" s="1320" t="str">
        <f>vlookup(B34,'02. MM-KLH'!$B:$T,4,0)</f>
        <v>3A-6820</v>
      </c>
      <c r="D34" s="1320" t="str">
        <f>vlookup(B34,'02. MM-KLH'!$B:$T,3,0)</f>
        <v>A23-XTA-025</v>
      </c>
      <c r="E34" s="1320" t="str">
        <f>vlookup(B34,'02. MM-KLH'!$B:$T,6,0)</f>
        <v>Xe ben HOWO TXD600</v>
      </c>
      <c r="F34" s="1320" t="str">
        <f>vlookup(B34,'02. MM-KLH'!$B:$T,8,0)</f>
        <v>CGTC DP</v>
      </c>
      <c r="G34" s="1320" t="str">
        <f>vlookup(B34,'02. MM-KLH'!$B:$T,13,0)</f>
        <v>HOWO</v>
      </c>
      <c r="H34" s="1319">
        <f>vlookup(B34,'02. MM-KLH'!$B:$T,15,0)</f>
        <v>2022</v>
      </c>
      <c r="I34" s="1321" t="str">
        <f>vlookup(B34,'02. MM-KLH'!$B:$T,16,0)</f>
        <v>HOWO TX D600</v>
      </c>
      <c r="J34" s="1319" t="str">
        <f>vlookup(B34,'02. MM-KLH'!$B:$T,17,0)</f>
        <v>380HP</v>
      </c>
      <c r="K34" s="1321" t="str">
        <f>vlookup(B34,'02. MM-KLH'!$B:$T,18,0)</f>
        <v>RNHD24CWANT057808</v>
      </c>
      <c r="L34" s="1321" t="str">
        <f>vlookup(B34,'02. MM-KLH'!$B:$T,19,0)</f>
        <v>1622B008391</v>
      </c>
      <c r="M34" s="435" t="s">
        <v>8237</v>
      </c>
      <c r="N34" s="435" t="s">
        <v>8238</v>
      </c>
      <c r="O34" s="1344" t="s">
        <v>8239</v>
      </c>
      <c r="P34" s="1358" t="s">
        <v>76</v>
      </c>
      <c r="Q34" s="1358" t="s">
        <v>76</v>
      </c>
      <c r="R34" s="1344" t="s">
        <v>76</v>
      </c>
    </row>
    <row r="35" ht="33.0" customHeight="1">
      <c r="A35" s="1319">
        <f t="shared" si="2"/>
        <v>11</v>
      </c>
      <c r="B35" s="1357" t="s">
        <v>171</v>
      </c>
      <c r="C35" s="1320" t="str">
        <f>vlookup(B35,'02. MM-KLH'!$B:$T,4,0)</f>
        <v>3A-6821</v>
      </c>
      <c r="D35" s="1320" t="str">
        <f>vlookup(B35,'02. MM-KLH'!$B:$T,3,0)</f>
        <v>A23-XTA-026</v>
      </c>
      <c r="E35" s="1320" t="str">
        <f>vlookup(B35,'02. MM-KLH'!$B:$T,6,0)</f>
        <v>Xe ben HOWO TXD600</v>
      </c>
      <c r="F35" s="1320" t="str">
        <f>vlookup(B35,'02. MM-KLH'!$B:$T,8,0)</f>
        <v>CGTC DP</v>
      </c>
      <c r="G35" s="1320" t="str">
        <f>vlookup(B35,'02. MM-KLH'!$B:$T,13,0)</f>
        <v>HOWO</v>
      </c>
      <c r="H35" s="1319">
        <f>vlookup(B35,'02. MM-KLH'!$B:$T,15,0)</f>
        <v>2022</v>
      </c>
      <c r="I35" s="1321" t="str">
        <f>vlookup(B35,'02. MM-KLH'!$B:$T,16,0)</f>
        <v>HOWO TX D600</v>
      </c>
      <c r="J35" s="1319" t="str">
        <f>vlookup(B35,'02. MM-KLH'!$B:$T,17,0)</f>
        <v>380HP</v>
      </c>
      <c r="K35" s="1321" t="str">
        <f>vlookup(B35,'02. MM-KLH'!$B:$T,18,0)</f>
        <v>RNHD24CWANT057810</v>
      </c>
      <c r="L35" s="1321" t="str">
        <f>vlookup(B35,'02. MM-KLH'!$B:$T,19,0)</f>
        <v>1622B008389</v>
      </c>
      <c r="M35" s="435" t="s">
        <v>8237</v>
      </c>
      <c r="N35" s="435" t="s">
        <v>8238</v>
      </c>
      <c r="O35" s="1344" t="s">
        <v>8239</v>
      </c>
      <c r="P35" s="1358" t="s">
        <v>76</v>
      </c>
      <c r="Q35" s="1358" t="s">
        <v>76</v>
      </c>
      <c r="R35" s="1344" t="s">
        <v>76</v>
      </c>
    </row>
    <row r="36" ht="33.0" customHeight="1">
      <c r="A36" s="1319">
        <f t="shared" si="2"/>
        <v>12</v>
      </c>
      <c r="B36" s="1357" t="s">
        <v>620</v>
      </c>
      <c r="C36" s="1320" t="str">
        <f>vlookup(B36,'02. MM-KLH'!$B:$T,4,0)</f>
        <v>3A-6823</v>
      </c>
      <c r="D36" s="1320" t="str">
        <f>vlookup(B36,'02. MM-KLH'!$B:$T,3,0)</f>
        <v>A23-XTA-034</v>
      </c>
      <c r="E36" s="1320" t="str">
        <f>vlookup(B36,'02. MM-KLH'!$B:$T,6,0)</f>
        <v>Xe ben HOWO TXD600</v>
      </c>
      <c r="F36" s="1320" t="str">
        <f>vlookup(B36,'02. MM-KLH'!$B:$T,8,0)</f>
        <v>CGTC AD</v>
      </c>
      <c r="G36" s="1320" t="str">
        <f>vlookup(B36,'02. MM-KLH'!$B:$T,13,0)</f>
        <v>HOWO</v>
      </c>
      <c r="H36" s="1319">
        <f>vlookup(B36,'02. MM-KLH'!$B:$T,15,0)</f>
        <v>2022</v>
      </c>
      <c r="I36" s="1321" t="str">
        <f>vlookup(B36,'02. MM-KLH'!$B:$T,16,0)</f>
        <v>HOWO TX D600</v>
      </c>
      <c r="J36" s="1319" t="str">
        <f>vlookup(B36,'02. MM-KLH'!$B:$T,17,0)</f>
        <v>380HP</v>
      </c>
      <c r="K36" s="1321" t="str">
        <f>vlookup(B36,'02. MM-KLH'!$B:$T,18,0)</f>
        <v>RNHD24CWART000063</v>
      </c>
      <c r="L36" s="1321" t="str">
        <f>vlookup(B36,'02. MM-KLH'!$B:$T,19,0)</f>
        <v>1622F024356</v>
      </c>
      <c r="M36" s="435" t="s">
        <v>8237</v>
      </c>
      <c r="N36" s="435" t="s">
        <v>8238</v>
      </c>
      <c r="O36" s="1344" t="s">
        <v>8239</v>
      </c>
      <c r="P36" s="1358" t="s">
        <v>76</v>
      </c>
      <c r="Q36" s="1358" t="s">
        <v>76</v>
      </c>
      <c r="R36" s="1344" t="s">
        <v>76</v>
      </c>
    </row>
    <row r="37" ht="33.0" customHeight="1">
      <c r="A37" s="1319">
        <f t="shared" si="2"/>
        <v>13</v>
      </c>
      <c r="B37" s="1357" t="s">
        <v>626</v>
      </c>
      <c r="C37" s="1320" t="str">
        <f>vlookup(B37,'02. MM-KLH'!$B:$T,4,0)</f>
        <v>3A-6822</v>
      </c>
      <c r="D37" s="1320" t="str">
        <f>vlookup(B37,'02. MM-KLH'!$B:$T,3,0)</f>
        <v>A23-XTA-035</v>
      </c>
      <c r="E37" s="1320" t="str">
        <f>vlookup(B37,'02. MM-KLH'!$B:$T,6,0)</f>
        <v>Xe ben HOWO TXD600</v>
      </c>
      <c r="F37" s="1320" t="str">
        <f>vlookup(B37,'02. MM-KLH'!$B:$T,8,0)</f>
        <v>CGTC AD</v>
      </c>
      <c r="G37" s="1320" t="str">
        <f>vlookup(B37,'02. MM-KLH'!$B:$T,13,0)</f>
        <v>HOWO</v>
      </c>
      <c r="H37" s="1319">
        <f>vlookup(B37,'02. MM-KLH'!$B:$T,15,0)</f>
        <v>2022</v>
      </c>
      <c r="I37" s="1321" t="str">
        <f>vlookup(B37,'02. MM-KLH'!$B:$T,16,0)</f>
        <v>HOWO TX D600</v>
      </c>
      <c r="J37" s="1319" t="str">
        <f>vlookup(B37,'02. MM-KLH'!$B:$T,17,0)</f>
        <v>380HP</v>
      </c>
      <c r="K37" s="1321" t="str">
        <f>vlookup(B37,'02. MM-KLH'!$B:$T,18,0)</f>
        <v>RNHD24CWART000064</v>
      </c>
      <c r="L37" s="1321" t="str">
        <f>vlookup(B37,'02. MM-KLH'!$B:$T,19,0)</f>
        <v>1622F024357</v>
      </c>
      <c r="M37" s="435" t="s">
        <v>8237</v>
      </c>
      <c r="N37" s="435" t="s">
        <v>8238</v>
      </c>
      <c r="O37" s="1344" t="s">
        <v>8239</v>
      </c>
      <c r="P37" s="1358" t="s">
        <v>76</v>
      </c>
      <c r="Q37" s="1358" t="s">
        <v>76</v>
      </c>
      <c r="R37" s="1344" t="s">
        <v>76</v>
      </c>
    </row>
    <row r="38" ht="33.0" customHeight="1">
      <c r="A38" s="1319">
        <f t="shared" si="2"/>
        <v>14</v>
      </c>
      <c r="B38" s="1357" t="s">
        <v>178</v>
      </c>
      <c r="C38" s="1320" t="str">
        <f>vlookup(B38,'02. MM-KLH'!$B:$T,4,0)</f>
        <v>3A-6818</v>
      </c>
      <c r="D38" s="1320" t="str">
        <f>vlookup(B38,'02. MM-KLH'!$B:$T,3,0)</f>
        <v>A23-XTA-036</v>
      </c>
      <c r="E38" s="1320" t="str">
        <f>vlookup(B38,'02. MM-KLH'!$B:$T,6,0)</f>
        <v>Xe ben HOWO TXD600</v>
      </c>
      <c r="F38" s="1320" t="str">
        <f>vlookup(B38,'02. MM-KLH'!$B:$T,8,0)</f>
        <v>CGTC DP</v>
      </c>
      <c r="G38" s="1320" t="str">
        <f>vlookup(B38,'02. MM-KLH'!$B:$T,13,0)</f>
        <v>HOWO</v>
      </c>
      <c r="H38" s="1319">
        <f>vlookup(B38,'02. MM-KLH'!$B:$T,15,0)</f>
        <v>2022</v>
      </c>
      <c r="I38" s="1321" t="str">
        <f>vlookup(B38,'02. MM-KLH'!$B:$T,16,0)</f>
        <v>HOWO TX D600</v>
      </c>
      <c r="J38" s="1319" t="str">
        <f>vlookup(B38,'02. MM-KLH'!$B:$T,17,0)</f>
        <v>380HP</v>
      </c>
      <c r="K38" s="1321" t="str">
        <f>vlookup(B38,'02. MM-KLH'!$B:$T,18,0)</f>
        <v>RNHD24CWART000069</v>
      </c>
      <c r="L38" s="1321" t="str">
        <f>vlookup(B38,'02. MM-KLH'!$B:$T,19,0)</f>
        <v>1622F024360</v>
      </c>
      <c r="M38" s="435" t="s">
        <v>8237</v>
      </c>
      <c r="N38" s="435" t="s">
        <v>8238</v>
      </c>
      <c r="O38" s="1344" t="s">
        <v>8239</v>
      </c>
      <c r="P38" s="1358" t="s">
        <v>76</v>
      </c>
      <c r="Q38" s="1358" t="s">
        <v>76</v>
      </c>
      <c r="R38" s="1344" t="s">
        <v>76</v>
      </c>
    </row>
    <row r="39" ht="33.0" customHeight="1">
      <c r="A39" s="1319">
        <f t="shared" si="2"/>
        <v>15</v>
      </c>
      <c r="B39" s="1357" t="s">
        <v>357</v>
      </c>
      <c r="C39" s="1320" t="str">
        <f>vlookup(B39,'02. MM-KLH'!$B:$T,4,0)</f>
        <v>3A-6829</v>
      </c>
      <c r="D39" s="1320" t="str">
        <f>vlookup(B39,'02. MM-KLH'!$B:$T,3,0)</f>
        <v>A23-XTA-045</v>
      </c>
      <c r="E39" s="1320" t="str">
        <f>vlookup(B39,'02. MM-KLH'!$B:$T,6,0)</f>
        <v>Xe ben HOWO TXD600</v>
      </c>
      <c r="F39" s="1320" t="str">
        <f>vlookup(B39,'02. MM-KLH'!$B:$T,8,0)</f>
        <v>CGTC DP</v>
      </c>
      <c r="G39" s="1320" t="str">
        <f>vlookup(B39,'02. MM-KLH'!$B:$T,13,0)</f>
        <v>HOWO</v>
      </c>
      <c r="H39" s="1319">
        <f>vlookup(B39,'02. MM-KLH'!$B:$T,15,0)</f>
        <v>2022</v>
      </c>
      <c r="I39" s="1321" t="str">
        <f>vlookup(B39,'02. MM-KLH'!$B:$T,16,0)</f>
        <v>HOWO TX D600</v>
      </c>
      <c r="J39" s="1319" t="str">
        <f>vlookup(B39,'02. MM-KLH'!$B:$T,17,0)</f>
        <v>380HP</v>
      </c>
      <c r="K39" s="1321" t="str">
        <f>vlookup(B39,'02. MM-KLH'!$B:$T,18,0)</f>
        <v>RNHD24CWART00061</v>
      </c>
      <c r="L39" s="1321" t="str">
        <f>vlookup(B39,'02. MM-KLH'!$B:$T,19,0)</f>
        <v>WP10380E53*1622F024366*</v>
      </c>
      <c r="M39" s="435" t="s">
        <v>8237</v>
      </c>
      <c r="N39" s="435" t="s">
        <v>8238</v>
      </c>
      <c r="O39" s="1344" t="s">
        <v>8239</v>
      </c>
      <c r="P39" s="1358" t="s">
        <v>76</v>
      </c>
      <c r="Q39" s="1358" t="s">
        <v>76</v>
      </c>
      <c r="R39" s="1344" t="s">
        <v>76</v>
      </c>
    </row>
    <row r="40" ht="33.0" customHeight="1">
      <c r="A40" s="1319">
        <f t="shared" si="2"/>
        <v>16</v>
      </c>
      <c r="B40" s="1357" t="s">
        <v>363</v>
      </c>
      <c r="C40" s="1320" t="str">
        <f>vlookup(B40,'02. MM-KLH'!$B:$T,4,0)</f>
        <v>3A-6819</v>
      </c>
      <c r="D40" s="1320" t="str">
        <f>vlookup(B40,'02. MM-KLH'!$B:$T,3,0)</f>
        <v>A23-XTA-046</v>
      </c>
      <c r="E40" s="1320" t="str">
        <f>vlookup(B40,'02. MM-KLH'!$B:$T,6,0)</f>
        <v>Xe ben HOWO TXD600</v>
      </c>
      <c r="F40" s="1320" t="str">
        <f>vlookup(B40,'02. MM-KLH'!$B:$T,8,0)</f>
        <v>CGTC DP</v>
      </c>
      <c r="G40" s="1320" t="str">
        <f>vlookup(B40,'02. MM-KLH'!$B:$T,13,0)</f>
        <v>HOWO</v>
      </c>
      <c r="H40" s="1319">
        <f>vlookup(B40,'02. MM-KLH'!$B:$T,15,0)</f>
        <v>2022</v>
      </c>
      <c r="I40" s="1321" t="str">
        <f>vlookup(B40,'02. MM-KLH'!$B:$T,16,0)</f>
        <v>HOWO TX D600</v>
      </c>
      <c r="J40" s="1319" t="str">
        <f>vlookup(B40,'02. MM-KLH'!$B:$T,17,0)</f>
        <v>380HP</v>
      </c>
      <c r="K40" s="1321" t="str">
        <f>vlookup(B40,'02. MM-KLH'!$B:$T,18,0)</f>
        <v>RNHD24CWART00062</v>
      </c>
      <c r="L40" s="1321" t="str">
        <f>vlookup(B40,'02. MM-KLH'!$B:$T,19,0)</f>
        <v>WP10380E53*1622F024350*</v>
      </c>
      <c r="M40" s="435" t="s">
        <v>8237</v>
      </c>
      <c r="N40" s="435" t="s">
        <v>8238</v>
      </c>
      <c r="O40" s="1344" t="s">
        <v>8239</v>
      </c>
      <c r="P40" s="1358" t="s">
        <v>76</v>
      </c>
      <c r="Q40" s="1358" t="s">
        <v>76</v>
      </c>
      <c r="R40" s="1344" t="s">
        <v>76</v>
      </c>
    </row>
    <row r="41" ht="33.0" customHeight="1">
      <c r="A41" s="1319">
        <f t="shared" si="2"/>
        <v>17</v>
      </c>
      <c r="B41" s="1357" t="s">
        <v>1172</v>
      </c>
      <c r="C41" s="1320" t="str">
        <f>vlookup(B41,'02. MM-KLH'!$B:$T,4,0)</f>
        <v>3A-6810</v>
      </c>
      <c r="D41" s="1320" t="str">
        <f>vlookup(B41,'02. MM-KLH'!$B:$T,3,0)</f>
        <v>A23-XTA-021</v>
      </c>
      <c r="E41" s="1320" t="str">
        <f>vlookup(B41,'02. MM-KLH'!$B:$T,6,0)</f>
        <v>Xe ben Forland FD990-4WDXTH4-5T</v>
      </c>
      <c r="F41" s="1320" t="str">
        <f>vlookup(B41,'02. MM-KLH'!$B:$T,8,0)</f>
        <v>XN Chuối DP3</v>
      </c>
      <c r="G41" s="1320" t="str">
        <f>vlookup(B41,'02. MM-KLH'!$B:$T,13,0)</f>
        <v>FORLAND</v>
      </c>
      <c r="H41" s="1319">
        <f>vlookup(B41,'02. MM-KLH'!$B:$T,15,0)</f>
        <v>2024</v>
      </c>
      <c r="I41" s="1321" t="str">
        <f>vlookup(B41,'02. MM-KLH'!$B:$T,16,0)</f>
        <v> FD990-4WD</v>
      </c>
      <c r="J41" s="1319" t="str">
        <f>vlookup(B41,'02. MM-KLH'!$B:$T,17,0)</f>
        <v>94HP</v>
      </c>
      <c r="K41" s="1321" t="str">
        <f>vlookup(B41,'02. MM-KLH'!$B:$T,18,0)</f>
        <v>RNHF99FACRT092725</v>
      </c>
      <c r="L41" s="1321" t="str">
        <f>vlookup(B41,'02. MM-KLH'!$B:$T,19,0)</f>
        <v>B0576973</v>
      </c>
      <c r="M41" s="435" t="s">
        <v>8237</v>
      </c>
      <c r="N41" s="435" t="s">
        <v>8238</v>
      </c>
      <c r="O41" s="1344" t="s">
        <v>8239</v>
      </c>
      <c r="P41" s="1358" t="s">
        <v>76</v>
      </c>
      <c r="Q41" s="1358" t="s">
        <v>76</v>
      </c>
      <c r="R41" s="1344" t="s">
        <v>76</v>
      </c>
    </row>
    <row r="42" ht="33.0" customHeight="1">
      <c r="A42" s="1319">
        <f t="shared" si="2"/>
        <v>18</v>
      </c>
      <c r="B42" s="1357" t="s">
        <v>1177</v>
      </c>
      <c r="C42" s="1320" t="str">
        <f>vlookup(B42,'02. MM-KLH'!$B:$T,4,0)</f>
        <v>3A-6811</v>
      </c>
      <c r="D42" s="1320" t="str">
        <f>vlookup(B42,'02. MM-KLH'!$B:$T,3,0)</f>
        <v>A23-XTA-022</v>
      </c>
      <c r="E42" s="1320" t="str">
        <f>vlookup(B42,'02. MM-KLH'!$B:$T,6,0)</f>
        <v>Xe ben Forland FD990-4WDXTH4-5T</v>
      </c>
      <c r="F42" s="1320" t="str">
        <f>vlookup(B42,'02. MM-KLH'!$B:$T,8,0)</f>
        <v>XN Chuối DP3</v>
      </c>
      <c r="G42" s="1320" t="str">
        <f>vlookup(B42,'02. MM-KLH'!$B:$T,13,0)</f>
        <v>FORLAND</v>
      </c>
      <c r="H42" s="1319">
        <f>vlookup(B42,'02. MM-KLH'!$B:$T,15,0)</f>
        <v>2024</v>
      </c>
      <c r="I42" s="1321" t="str">
        <f>vlookup(B42,'02. MM-KLH'!$B:$T,16,0)</f>
        <v> FD990-4WD</v>
      </c>
      <c r="J42" s="1319" t="str">
        <f>vlookup(B42,'02. MM-KLH'!$B:$T,17,0)</f>
        <v>94HP</v>
      </c>
      <c r="K42" s="1321" t="str">
        <f>vlookup(B42,'02. MM-KLH'!$B:$T,18,0)</f>
        <v>RNHF99FACRT090615</v>
      </c>
      <c r="L42" s="1321" t="str">
        <f>vlookup(B42,'02. MM-KLH'!$B:$T,19,0)</f>
        <v>B0576944</v>
      </c>
      <c r="M42" s="435" t="s">
        <v>8237</v>
      </c>
      <c r="N42" s="435" t="s">
        <v>8238</v>
      </c>
      <c r="O42" s="1344" t="s">
        <v>8239</v>
      </c>
      <c r="P42" s="1358" t="s">
        <v>76</v>
      </c>
      <c r="Q42" s="1358" t="s">
        <v>76</v>
      </c>
      <c r="R42" s="1344" t="s">
        <v>76</v>
      </c>
    </row>
    <row r="43" ht="33.0" customHeight="1">
      <c r="A43" s="1319">
        <f t="shared" si="2"/>
        <v>19</v>
      </c>
      <c r="B43" s="1357" t="s">
        <v>1319</v>
      </c>
      <c r="C43" s="1320" t="str">
        <f>vlookup(B43,'02. MM-KLH'!$B:$T,4,0)</f>
        <v>3A-6812</v>
      </c>
      <c r="D43" s="1320" t="str">
        <f>vlookup(B43,'02. MM-KLH'!$B:$T,3,0)</f>
        <v>A24-XTA-019</v>
      </c>
      <c r="E43" s="1320" t="str">
        <f>vlookup(B43,'02. MM-KLH'!$B:$T,6,0)</f>
        <v>Xe ben Forland FD990-4WDXTH4-5T</v>
      </c>
      <c r="F43" s="1320" t="str">
        <f>vlookup(B43,'02. MM-KLH'!$B:$T,8,0)</f>
        <v>XN Chuối LP1</v>
      </c>
      <c r="G43" s="1320" t="str">
        <f>vlookup(B43,'02. MM-KLH'!$B:$T,13,0)</f>
        <v>THACO FORLAND</v>
      </c>
      <c r="H43" s="1319">
        <f>vlookup(B43,'02. MM-KLH'!$B:$T,15,0)</f>
        <v>2024</v>
      </c>
      <c r="I43" s="1321" t="str">
        <f>vlookup(B43,'02. MM-KLH'!$B:$T,16,0)</f>
        <v> FD990-4WD</v>
      </c>
      <c r="J43" s="1319" t="str">
        <f>vlookup(B43,'02. MM-KLH'!$B:$T,17,0)</f>
        <v>94HP</v>
      </c>
      <c r="K43" s="1321" t="str">
        <f>vlookup(B43,'02. MM-KLH'!$B:$T,18,0)</f>
        <v>RNHF99FACRT090616</v>
      </c>
      <c r="L43" s="1321" t="str">
        <f>vlookup(B43,'02. MM-KLH'!$B:$T,19,0)</f>
        <v>B0577292</v>
      </c>
      <c r="M43" s="435" t="s">
        <v>8237</v>
      </c>
      <c r="N43" s="435" t="s">
        <v>8238</v>
      </c>
      <c r="O43" s="1344" t="s">
        <v>8239</v>
      </c>
      <c r="P43" s="1358" t="s">
        <v>76</v>
      </c>
      <c r="Q43" s="1358" t="s">
        <v>76</v>
      </c>
      <c r="R43" s="1344" t="s">
        <v>76</v>
      </c>
    </row>
    <row r="44" ht="33.0" customHeight="1">
      <c r="A44" s="1319">
        <f t="shared" si="2"/>
        <v>20</v>
      </c>
      <c r="B44" s="1357" t="s">
        <v>463</v>
      </c>
      <c r="C44" s="1320" t="str">
        <f>vlookup(B44,'02. MM-KLH'!$B:$T,4,0)</f>
        <v>3A-6813</v>
      </c>
      <c r="D44" s="1320" t="str">
        <f>vlookup(B44,'02. MM-KLH'!$B:$T,3,0)</f>
        <v>A24-XTA-032</v>
      </c>
      <c r="E44" s="1320" t="str">
        <f>vlookup(B44,'02. MM-KLH'!$B:$T,6,0)</f>
        <v>Xe ben FD150</v>
      </c>
      <c r="F44" s="1320" t="str">
        <f>vlookup(B44,'02. MM-KLH'!$B:$T,8,0)</f>
        <v>CGTC LP</v>
      </c>
      <c r="G44" s="1320" t="str">
        <f>vlookup(B44,'02. MM-KLH'!$B:$T,13,0)</f>
        <v>FORLAND</v>
      </c>
      <c r="H44" s="1319">
        <f>vlookup(B44,'02. MM-KLH'!$B:$T,15,0)</f>
        <v>2024</v>
      </c>
      <c r="I44" s="1321" t="str">
        <f>vlookup(B44,'02. MM-KLH'!$B:$T,16,0)</f>
        <v>FD150-4WD</v>
      </c>
      <c r="J44" s="1319" t="str">
        <f>vlookup(B44,'02. MM-KLH'!$B:$T,17,0)</f>
        <v>150HP</v>
      </c>
      <c r="K44" s="1321" t="str">
        <f>vlookup(B44,'02. MM-KLH'!$B:$T,18,0)</f>
        <v>RNHF16FYART000830</v>
      </c>
      <c r="L44" s="1321" t="str">
        <f>vlookup(B44,'02. MM-KLH'!$B:$T,19,0)</f>
        <v>D59M1N01292</v>
      </c>
      <c r="M44" s="435" t="s">
        <v>8237</v>
      </c>
      <c r="N44" s="435" t="s">
        <v>8238</v>
      </c>
      <c r="O44" s="1344" t="s">
        <v>8239</v>
      </c>
      <c r="P44" s="1358" t="s">
        <v>76</v>
      </c>
      <c r="Q44" s="1358" t="s">
        <v>76</v>
      </c>
      <c r="R44" s="1344" t="s">
        <v>76</v>
      </c>
    </row>
    <row r="45" ht="33.0" customHeight="1">
      <c r="A45" s="1319">
        <f t="shared" si="2"/>
        <v>21</v>
      </c>
      <c r="B45" s="1357" t="s">
        <v>469</v>
      </c>
      <c r="C45" s="1320" t="str">
        <f>vlookup(B45,'02. MM-KLH'!$B:$T,4,0)</f>
        <v>3A-6804</v>
      </c>
      <c r="D45" s="1320" t="str">
        <f>vlookup(B45,'02. MM-KLH'!$B:$T,3,0)</f>
        <v>A24-XTA-033</v>
      </c>
      <c r="E45" s="1320" t="str">
        <f>vlookup(B45,'02. MM-KLH'!$B:$T,6,0)</f>
        <v>Xe ben FD150</v>
      </c>
      <c r="F45" s="1320" t="str">
        <f>vlookup(B45,'02. MM-KLH'!$B:$T,8,0)</f>
        <v>CGTC LP</v>
      </c>
      <c r="G45" s="1320" t="str">
        <f>vlookup(B45,'02. MM-KLH'!$B:$T,13,0)</f>
        <v>FORLAND</v>
      </c>
      <c r="H45" s="1319">
        <f>vlookup(B45,'02. MM-KLH'!$B:$T,15,0)</f>
        <v>2024</v>
      </c>
      <c r="I45" s="1321" t="str">
        <f>vlookup(B45,'02. MM-KLH'!$B:$T,16,0)</f>
        <v>FD150-4WD</v>
      </c>
      <c r="J45" s="1319" t="str">
        <f>vlookup(B45,'02. MM-KLH'!$B:$T,17,0)</f>
        <v>150HP</v>
      </c>
      <c r="K45" s="1321" t="str">
        <f>vlookup(B45,'02. MM-KLH'!$B:$T,18,0)</f>
        <v>RNHF16FYART000831</v>
      </c>
      <c r="L45" s="1321" t="str">
        <f>vlookup(B45,'02. MM-KLH'!$B:$T,19,0)</f>
        <v>D59M1N01308</v>
      </c>
      <c r="M45" s="435" t="s">
        <v>8237</v>
      </c>
      <c r="N45" s="435" t="s">
        <v>8238</v>
      </c>
      <c r="O45" s="1344" t="s">
        <v>8239</v>
      </c>
      <c r="P45" s="1358" t="s">
        <v>76</v>
      </c>
      <c r="Q45" s="1358" t="s">
        <v>76</v>
      </c>
      <c r="R45" s="1344" t="s">
        <v>76</v>
      </c>
    </row>
    <row r="46" ht="33.0" customHeight="1">
      <c r="A46" s="1319">
        <f t="shared" si="2"/>
        <v>22</v>
      </c>
      <c r="B46" s="1357" t="s">
        <v>631</v>
      </c>
      <c r="C46" s="1320" t="str">
        <f>vlookup(B46,'02. MM-KLH'!$B:$T,4,0)</f>
        <v>3A-6814</v>
      </c>
      <c r="D46" s="1320" t="str">
        <f>vlookup(B46,'02. MM-KLH'!$B:$T,3,0)</f>
        <v>A24-XTA-020</v>
      </c>
      <c r="E46" s="1320" t="str">
        <f>vlookup(B46,'02. MM-KLH'!$B:$T,6,0)</f>
        <v>Xe ben HOWO TXD600</v>
      </c>
      <c r="F46" s="1320" t="str">
        <f>vlookup(B46,'02. MM-KLH'!$B:$T,8,0)</f>
        <v>CGTC AD</v>
      </c>
      <c r="G46" s="1320" t="str">
        <f>vlookup(B46,'02. MM-KLH'!$B:$T,13,0)</f>
        <v>HOWO</v>
      </c>
      <c r="H46" s="1319">
        <f>vlookup(B46,'02. MM-KLH'!$B:$T,15,0)</f>
        <v>2022</v>
      </c>
      <c r="I46" s="1321" t="str">
        <f>vlookup(B46,'02. MM-KLH'!$B:$T,16,0)</f>
        <v>HOWO TX D600</v>
      </c>
      <c r="J46" s="1319" t="str">
        <f>vlookup(B46,'02. MM-KLH'!$B:$T,17,0)</f>
        <v>380HP</v>
      </c>
      <c r="K46" s="1321" t="str">
        <f>vlookup(B46,'02. MM-KLH'!$B:$T,18,0)</f>
        <v>RNHD24CWANT063481</v>
      </c>
      <c r="L46" s="1321" t="str">
        <f>vlookup(B46,'02. MM-KLH'!$B:$T,19,0)</f>
        <v>1622D017402</v>
      </c>
      <c r="M46" s="435" t="s">
        <v>8237</v>
      </c>
      <c r="N46" s="435" t="s">
        <v>8238</v>
      </c>
      <c r="O46" s="1344" t="s">
        <v>8239</v>
      </c>
      <c r="P46" s="1358" t="s">
        <v>76</v>
      </c>
      <c r="Q46" s="1358" t="s">
        <v>76</v>
      </c>
      <c r="R46" s="1344" t="s">
        <v>76</v>
      </c>
    </row>
    <row r="47" ht="33.0" customHeight="1">
      <c r="A47" s="1319">
        <f t="shared" si="2"/>
        <v>23</v>
      </c>
      <c r="B47" s="1357" t="s">
        <v>427</v>
      </c>
      <c r="C47" s="1320" t="str">
        <f>vlookup(B47,'02. MM-KLH'!$B:$T,4,0)</f>
        <v>3A-6808</v>
      </c>
      <c r="D47" s="1320" t="str">
        <f>vlookup(B47,'02. MM-KLH'!$B:$T,3,0)</f>
        <v>A24-XTA-021</v>
      </c>
      <c r="E47" s="1320" t="str">
        <f>vlookup(B47,'02. MM-KLH'!$B:$T,6,0)</f>
        <v>Xe ben HOWO TXD600</v>
      </c>
      <c r="F47" s="1320" t="str">
        <f>vlookup(B47,'02. MM-KLH'!$B:$T,8,0)</f>
        <v>CGTC LP</v>
      </c>
      <c r="G47" s="1320" t="str">
        <f>vlookup(B47,'02. MM-KLH'!$B:$T,13,0)</f>
        <v>HOWO</v>
      </c>
      <c r="H47" s="1319">
        <f>vlookup(B47,'02. MM-KLH'!$B:$T,15,0)</f>
        <v>2022</v>
      </c>
      <c r="I47" s="1321" t="str">
        <f>vlookup(B47,'02. MM-KLH'!$B:$T,16,0)</f>
        <v>HOWO TX D600</v>
      </c>
      <c r="J47" s="1319" t="str">
        <f>vlookup(B47,'02. MM-KLH'!$B:$T,17,0)</f>
        <v>380HP</v>
      </c>
      <c r="K47" s="1321" t="str">
        <f>vlookup(B47,'02. MM-KLH'!$B:$T,18,0)</f>
        <v>RNHD24CWANT063483</v>
      </c>
      <c r="L47" s="1321" t="str">
        <f>vlookup(B47,'02. MM-KLH'!$B:$T,19,0)</f>
        <v>1622D017391</v>
      </c>
      <c r="M47" s="435" t="s">
        <v>8237</v>
      </c>
      <c r="N47" s="435" t="s">
        <v>8238</v>
      </c>
      <c r="O47" s="1344" t="s">
        <v>8239</v>
      </c>
      <c r="P47" s="1358" t="s">
        <v>76</v>
      </c>
      <c r="Q47" s="1358" t="s">
        <v>76</v>
      </c>
      <c r="R47" s="1344" t="s">
        <v>76</v>
      </c>
    </row>
    <row r="48" ht="33.0" customHeight="1">
      <c r="A48" s="1319">
        <f t="shared" si="2"/>
        <v>24</v>
      </c>
      <c r="B48" s="1357" t="s">
        <v>432</v>
      </c>
      <c r="C48" s="1320" t="str">
        <f>vlookup(B48,'02. MM-KLH'!$B:$T,4,0)</f>
        <v>3A-6809</v>
      </c>
      <c r="D48" s="1320" t="str">
        <f>vlookup(B48,'02. MM-KLH'!$B:$T,3,0)</f>
        <v>A24-XTA-022</v>
      </c>
      <c r="E48" s="1320" t="str">
        <f>vlookup(B48,'02. MM-KLH'!$B:$T,6,0)</f>
        <v>Xe ben HOWO TXD600</v>
      </c>
      <c r="F48" s="1320" t="str">
        <f>vlookup(B48,'02. MM-KLH'!$B:$T,8,0)</f>
        <v>CGTC LP</v>
      </c>
      <c r="G48" s="1320" t="str">
        <f>vlookup(B48,'02. MM-KLH'!$B:$T,13,0)</f>
        <v>HOWO</v>
      </c>
      <c r="H48" s="1319">
        <f>vlookup(B48,'02. MM-KLH'!$B:$T,15,0)</f>
        <v>2022</v>
      </c>
      <c r="I48" s="1321" t="str">
        <f>vlookup(B48,'02. MM-KLH'!$B:$T,16,0)</f>
        <v>HOWO TX D600</v>
      </c>
      <c r="J48" s="1319" t="str">
        <f>vlookup(B48,'02. MM-KLH'!$B:$T,17,0)</f>
        <v>380HP</v>
      </c>
      <c r="K48" s="1321" t="str">
        <f>vlookup(B48,'02. MM-KLH'!$B:$T,18,0)</f>
        <v>RNHD24CWANT063484</v>
      </c>
      <c r="L48" s="1321" t="str">
        <f>vlookup(B48,'02. MM-KLH'!$B:$T,19,0)</f>
        <v>1622D017399</v>
      </c>
      <c r="M48" s="435" t="s">
        <v>8237</v>
      </c>
      <c r="N48" s="435" t="s">
        <v>8238</v>
      </c>
      <c r="O48" s="1344" t="s">
        <v>8239</v>
      </c>
      <c r="P48" s="1358" t="s">
        <v>76</v>
      </c>
      <c r="Q48" s="1358" t="s">
        <v>76</v>
      </c>
      <c r="R48" s="1344" t="s">
        <v>76</v>
      </c>
    </row>
    <row r="49" ht="33.0" customHeight="1">
      <c r="A49" s="1319">
        <f t="shared" si="2"/>
        <v>25</v>
      </c>
      <c r="B49" s="1357" t="s">
        <v>2175</v>
      </c>
      <c r="C49" s="1320" t="str">
        <f>vlookup(B49,'02. MM-KLH'!$B:$T,4,0)</f>
        <v>3A-6805</v>
      </c>
      <c r="D49" s="1320" t="str">
        <f>vlookup(B49,'02. MM-KLH'!$B:$T,3,0)</f>
        <v>A22-XTA-006</v>
      </c>
      <c r="E49" s="1320" t="str">
        <f>vlookup(B49,'02. MM-KLH'!$B:$T,6,0)</f>
        <v>Xe tải thùng FC150</v>
      </c>
      <c r="F49" s="1320" t="str">
        <f>vlookup(B49,'02. MM-KLH'!$B:$T,8,0)</f>
        <v>XN Bò AD</v>
      </c>
      <c r="G49" s="1320" t="str">
        <f>vlookup(B49,'02. MM-KLH'!$B:$T,13,0)</f>
        <v>THACO FORLAND</v>
      </c>
      <c r="H49" s="1319">
        <f>vlookup(B49,'02. MM-KLH'!$B:$T,15,0)</f>
        <v>2024</v>
      </c>
      <c r="I49" s="1321" t="str">
        <f>vlookup(B49,'02. MM-KLH'!$B:$T,16,0)</f>
        <v>FC150-4WD</v>
      </c>
      <c r="J49" s="1319" t="str">
        <f>vlookup(B49,'02. MM-KLH'!$B:$T,17,0)</f>
        <v>147HP</v>
      </c>
      <c r="K49" s="1321" t="str">
        <f>vlookup(B49,'02. MM-KLH'!$B:$T,18,0)</f>
        <v>RNHF16FYBRT077509</v>
      </c>
      <c r="L49" s="1321" t="str">
        <f>vlookup(B49,'02. MM-KLH'!$B:$T,19,0)</f>
        <v>D59M1N01082</v>
      </c>
      <c r="M49" s="435" t="s">
        <v>8237</v>
      </c>
      <c r="N49" s="435" t="s">
        <v>8238</v>
      </c>
      <c r="O49" s="1344" t="s">
        <v>8239</v>
      </c>
      <c r="P49" s="1358" t="s">
        <v>76</v>
      </c>
      <c r="Q49" s="1358" t="s">
        <v>76</v>
      </c>
      <c r="R49" s="1344" t="s">
        <v>76</v>
      </c>
    </row>
    <row r="50" ht="33.0" customHeight="1">
      <c r="A50" s="1319">
        <f t="shared" si="2"/>
        <v>26</v>
      </c>
      <c r="B50" s="1357" t="s">
        <v>645</v>
      </c>
      <c r="C50" s="1320" t="str">
        <f>vlookup(B50,'02. MM-KLH'!$B:$T,4,0)</f>
        <v>3A-6800</v>
      </c>
      <c r="D50" s="1320" t="str">
        <f>vlookup(B50,'02. MM-KLH'!$B:$T,3,0)</f>
        <v>A22-XTA-048</v>
      </c>
      <c r="E50" s="1320" t="str">
        <f>vlookup(B50,'02. MM-KLH'!$B:$T,6,0)</f>
        <v>Xe ben FD120</v>
      </c>
      <c r="F50" s="1320" t="str">
        <f>vlookup(B50,'02. MM-KLH'!$B:$T,8,0)</f>
        <v>CGTC AD</v>
      </c>
      <c r="G50" s="1320" t="str">
        <f>vlookup(B50,'02. MM-KLH'!$B:$T,13,0)</f>
        <v>FORLAND</v>
      </c>
      <c r="H50" s="1319">
        <f>vlookup(B50,'02. MM-KLH'!$B:$T,15,0)</f>
        <v>2024</v>
      </c>
      <c r="I50" s="1321" t="str">
        <f>vlookup(B50,'02. MM-KLH'!$B:$T,16,0)</f>
        <v>FD120-4WD</v>
      </c>
      <c r="J50" s="1319" t="str">
        <f>vlookup(B50,'02. MM-KLH'!$B:$T,17,0)</f>
        <v>129HP</v>
      </c>
      <c r="K50" s="1321" t="str">
        <f>vlookup(B50,'02. MM-KLH'!$B:$T,18,0)</f>
        <v>RNHF12FNBRT002066</v>
      </c>
      <c r="L50" s="1321" t="str">
        <f>vlookup(B50,'02. MM-KLH'!$B:$T,19,0)</f>
        <v>YN38CRD1*AGN22000246*</v>
      </c>
      <c r="M50" s="435" t="s">
        <v>8237</v>
      </c>
      <c r="N50" s="435" t="s">
        <v>8238</v>
      </c>
      <c r="O50" s="1344" t="s">
        <v>8239</v>
      </c>
      <c r="P50" s="1358" t="s">
        <v>76</v>
      </c>
      <c r="Q50" s="1358" t="s">
        <v>76</v>
      </c>
      <c r="R50" s="1344" t="s">
        <v>76</v>
      </c>
    </row>
    <row r="51" ht="33.0" customHeight="1">
      <c r="A51" s="1319">
        <f t="shared" si="2"/>
        <v>27</v>
      </c>
      <c r="B51" s="1357" t="s">
        <v>2136</v>
      </c>
      <c r="C51" s="1320" t="str">
        <f>vlookup(B51,'02. MM-KLH'!$B:$T,4,0)</f>
        <v>3A-6801</v>
      </c>
      <c r="D51" s="1320" t="str">
        <f>vlookup(B51,'02. MM-KLH'!$B:$T,3,0)</f>
        <v>A22-XCP-009</v>
      </c>
      <c r="E51" s="1320" t="str">
        <f>vlookup(B51,'02. MM-KLH'!$B:$T,6,0)</f>
        <v>Xe chở phân FD150 (8.7m3)</v>
      </c>
      <c r="F51" s="1320" t="str">
        <f>vlookup(B51,'02. MM-KLH'!$B:$T,8,0)</f>
        <v>XN Bò AD</v>
      </c>
      <c r="G51" s="1320" t="str">
        <f>vlookup(B51,'02. MM-KLH'!$B:$T,13,0)</f>
        <v>THACO FORLAND</v>
      </c>
      <c r="H51" s="1319">
        <f>vlookup(B51,'02. MM-KLH'!$B:$T,15,0)</f>
        <v>2024</v>
      </c>
      <c r="I51" s="1321" t="str">
        <f>vlookup(B51,'02. MM-KLH'!$B:$T,16,0)</f>
        <v>FD150-4WD</v>
      </c>
      <c r="J51" s="1319" t="str">
        <f>vlookup(B51,'02. MM-KLH'!$B:$T,17,0)</f>
        <v>150HP</v>
      </c>
      <c r="K51" s="1321" t="str">
        <f>vlookup(B51,'02. MM-KLH'!$B:$T,18,0)</f>
        <v>RNHF16FYART095002</v>
      </c>
      <c r="L51" s="1321" t="str">
        <f>vlookup(B51,'02. MM-KLH'!$B:$T,19,0)</f>
        <v>D59M1N01437</v>
      </c>
      <c r="M51" s="435" t="s">
        <v>8237</v>
      </c>
      <c r="N51" s="435" t="s">
        <v>8238</v>
      </c>
      <c r="O51" s="1344" t="s">
        <v>8239</v>
      </c>
      <c r="P51" s="1358" t="s">
        <v>76</v>
      </c>
      <c r="Q51" s="1358" t="s">
        <v>76</v>
      </c>
      <c r="R51" s="1344" t="s">
        <v>76</v>
      </c>
    </row>
    <row r="52" ht="33.0" customHeight="1">
      <c r="A52" s="1319">
        <f t="shared" si="2"/>
        <v>28</v>
      </c>
      <c r="B52" s="1357" t="s">
        <v>2131</v>
      </c>
      <c r="C52" s="1320" t="str">
        <f>vlookup(B52,'02. MM-KLH'!$B:$T,4,0)</f>
        <v>3A-6803</v>
      </c>
      <c r="D52" s="1320" t="str">
        <f>vlookup(B52,'02. MM-KLH'!$B:$T,3,0)</f>
        <v>A22-XCP-008</v>
      </c>
      <c r="E52" s="1320" t="str">
        <f>vlookup(B52,'02. MM-KLH'!$B:$T,6,0)</f>
        <v>Xe chở phân FD150 (8.7m3)</v>
      </c>
      <c r="F52" s="1320" t="str">
        <f>vlookup(B52,'02. MM-KLH'!$B:$T,8,0)</f>
        <v>XN Bò AD</v>
      </c>
      <c r="G52" s="1320" t="str">
        <f>vlookup(B52,'02. MM-KLH'!$B:$T,13,0)</f>
        <v>THACO FORLAND</v>
      </c>
      <c r="H52" s="1319">
        <f>vlookup(B52,'02. MM-KLH'!$B:$T,15,0)</f>
        <v>2024</v>
      </c>
      <c r="I52" s="1321" t="str">
        <f>vlookup(B52,'02. MM-KLH'!$B:$T,16,0)</f>
        <v>FD150-4WD</v>
      </c>
      <c r="J52" s="1319" t="str">
        <f>vlookup(B52,'02. MM-KLH'!$B:$T,17,0)</f>
        <v>150HP</v>
      </c>
      <c r="K52" s="1321" t="str">
        <f>vlookup(B52,'02. MM-KLH'!$B:$T,18,0)</f>
        <v>RNHF16FYART095004</v>
      </c>
      <c r="L52" s="1321" t="str">
        <f>vlookup(B52,'02. MM-KLH'!$B:$T,19,0)</f>
        <v>D59M1N01406</v>
      </c>
      <c r="M52" s="435" t="s">
        <v>8237</v>
      </c>
      <c r="N52" s="435" t="s">
        <v>8238</v>
      </c>
      <c r="O52" s="1344" t="s">
        <v>8239</v>
      </c>
      <c r="P52" s="1358" t="s">
        <v>76</v>
      </c>
      <c r="Q52" s="1358" t="s">
        <v>76</v>
      </c>
      <c r="R52" s="1344" t="s">
        <v>76</v>
      </c>
    </row>
    <row r="53" ht="33.0" customHeight="1">
      <c r="A53" s="1319">
        <f t="shared" si="2"/>
        <v>29</v>
      </c>
      <c r="B53" s="1357" t="s">
        <v>2146</v>
      </c>
      <c r="C53" s="1320" t="str">
        <f>vlookup(B53,'02. MM-KLH'!$B:$T,4,0)</f>
        <v>3A-6802</v>
      </c>
      <c r="D53" s="1320" t="str">
        <f>vlookup(B53,'02. MM-KLH'!$B:$T,3,0)</f>
        <v>A22-XCP-011</v>
      </c>
      <c r="E53" s="1320" t="str">
        <f>vlookup(B53,'02. MM-KLH'!$B:$T,6,0)</f>
        <v>Xe chở phân FD150 (8.7m3)</v>
      </c>
      <c r="F53" s="1320" t="str">
        <f>vlookup(B53,'02. MM-KLH'!$B:$T,8,0)</f>
        <v>XN Bò AD</v>
      </c>
      <c r="G53" s="1320" t="str">
        <f>vlookup(B53,'02. MM-KLH'!$B:$T,13,0)</f>
        <v>THACO FORLAND</v>
      </c>
      <c r="H53" s="1319">
        <f>vlookup(B53,'02. MM-KLH'!$B:$T,15,0)</f>
        <v>2024</v>
      </c>
      <c r="I53" s="1321" t="str">
        <f>vlookup(B53,'02. MM-KLH'!$B:$T,16,0)</f>
        <v>FD150-4WD</v>
      </c>
      <c r="J53" s="1319" t="str">
        <f>vlookup(B53,'02. MM-KLH'!$B:$T,17,0)</f>
        <v>150HP</v>
      </c>
      <c r="K53" s="1321" t="str">
        <f>vlookup(B53,'02. MM-KLH'!$B:$T,18,0)</f>
        <v>RNHF16FYART094996</v>
      </c>
      <c r="L53" s="1321" t="str">
        <f>vlookup(B53,'02. MM-KLH'!$B:$T,19,0)</f>
        <v>D59M1N01392</v>
      </c>
      <c r="M53" s="435" t="s">
        <v>8237</v>
      </c>
      <c r="N53" s="435" t="s">
        <v>8238</v>
      </c>
      <c r="O53" s="1344" t="s">
        <v>8239</v>
      </c>
      <c r="P53" s="1358" t="s">
        <v>76</v>
      </c>
      <c r="Q53" s="1358" t="s">
        <v>76</v>
      </c>
      <c r="R53" s="1344" t="s">
        <v>76</v>
      </c>
    </row>
    <row r="54" ht="33.0" customHeight="1">
      <c r="A54" s="1319">
        <f t="shared" si="2"/>
        <v>30</v>
      </c>
      <c r="B54" s="1357" t="s">
        <v>2141</v>
      </c>
      <c r="C54" s="1320" t="str">
        <f>vlookup(B54,'02. MM-KLH'!$B:$T,4,0)</f>
        <v>3A-6807</v>
      </c>
      <c r="D54" s="1320" t="str">
        <f>vlookup(B54,'02. MM-KLH'!$B:$T,3,0)</f>
        <v>A22-XCP-010</v>
      </c>
      <c r="E54" s="1320" t="str">
        <f>vlookup(B54,'02. MM-KLH'!$B:$T,6,0)</f>
        <v>Xe chở phân FD150 (8.7m3)</v>
      </c>
      <c r="F54" s="1320" t="str">
        <f>vlookup(B54,'02. MM-KLH'!$B:$T,8,0)</f>
        <v>XN Bò AD</v>
      </c>
      <c r="G54" s="1320" t="str">
        <f>vlookup(B54,'02. MM-KLH'!$B:$T,13,0)</f>
        <v>THACO FORLAND</v>
      </c>
      <c r="H54" s="1319">
        <f>vlookup(B54,'02. MM-KLH'!$B:$T,15,0)</f>
        <v>2024</v>
      </c>
      <c r="I54" s="1321" t="str">
        <f>vlookup(B54,'02. MM-KLH'!$B:$T,16,0)</f>
        <v>FD150-4WD</v>
      </c>
      <c r="J54" s="1319" t="str">
        <f>vlookup(B54,'02. MM-KLH'!$B:$T,17,0)</f>
        <v>150HP</v>
      </c>
      <c r="K54" s="1321" t="str">
        <f>vlookup(B54,'02. MM-KLH'!$B:$T,18,0)</f>
        <v>RNHF16FYART095001</v>
      </c>
      <c r="L54" s="1321" t="str">
        <f>vlookup(B54,'02. MM-KLH'!$B:$T,19,0)</f>
        <v>D59M1N01416</v>
      </c>
      <c r="M54" s="435" t="s">
        <v>8237</v>
      </c>
      <c r="N54" s="435" t="s">
        <v>8238</v>
      </c>
      <c r="O54" s="1344" t="s">
        <v>8239</v>
      </c>
      <c r="P54" s="1358" t="s">
        <v>76</v>
      </c>
      <c r="Q54" s="1358" t="s">
        <v>76</v>
      </c>
      <c r="R54" s="1344" t="s">
        <v>76</v>
      </c>
    </row>
    <row r="55" ht="33.0" customHeight="1">
      <c r="A55" s="1319">
        <f t="shared" si="2"/>
        <v>31</v>
      </c>
      <c r="B55" s="1357" t="s">
        <v>2189</v>
      </c>
      <c r="C55" s="1320" t="str">
        <f>vlookup(B55,'02. MM-KLH'!$B:$T,4,0)</f>
        <v>3A-6806</v>
      </c>
      <c r="D55" s="1320" t="str">
        <f>vlookup(B55,'02. MM-KLH'!$B:$T,3,0)</f>
        <v>A22-XĐK-002</v>
      </c>
      <c r="E55" s="1320" t="str">
        <f>vlookup(B55,'02. MM-KLH'!$B:$T,6,0)</f>
        <v>Xe đầu kéo TT261J-MT</v>
      </c>
      <c r="F55" s="1320" t="str">
        <f>vlookup(B55,'02. MM-KLH'!$B:$T,8,0)</f>
        <v>XN Bò AD</v>
      </c>
      <c r="G55" s="1320" t="str">
        <f>vlookup(B55,'02. MM-KLH'!$B:$T,13,0)</f>
        <v>THACO</v>
      </c>
      <c r="H55" s="1319">
        <f>vlookup(B55,'02. MM-KLH'!$B:$T,15,0)</f>
        <v>2024</v>
      </c>
      <c r="I55" s="1321" t="str">
        <f>vlookup(B55,'02. MM-KLH'!$B:$T,16,0)</f>
        <v>THACO TT261J-MT</v>
      </c>
      <c r="J55" s="1319" t="str">
        <f>vlookup(B55,'02. MM-KLH'!$B:$T,17,0)</f>
        <v>295HP</v>
      </c>
      <c r="K55" s="1321" t="str">
        <f>vlookup(B55,'02. MM-KLH'!$B:$T,18,0)</f>
        <v>RNHT16TWART098475</v>
      </c>
      <c r="L55" s="1321" t="str">
        <f>vlookup(B55,'02. MM-KLH'!$B:$T,19,0)</f>
        <v>1024A000597</v>
      </c>
      <c r="M55" s="435" t="s">
        <v>8237</v>
      </c>
      <c r="N55" s="435" t="s">
        <v>8238</v>
      </c>
      <c r="O55" s="1344" t="s">
        <v>8239</v>
      </c>
      <c r="P55" s="1358" t="s">
        <v>76</v>
      </c>
      <c r="Q55" s="1358" t="s">
        <v>76</v>
      </c>
      <c r="R55" s="1344" t="s">
        <v>76</v>
      </c>
    </row>
    <row r="56" ht="33.0" customHeight="1">
      <c r="A56" s="1319">
        <f t="shared" si="2"/>
        <v>32</v>
      </c>
      <c r="B56" s="1357" t="s">
        <v>2198</v>
      </c>
      <c r="C56" s="1320" t="str">
        <f>vlookup(B56,'02. MM-KLH'!$B:$T,4,0)</f>
        <v>3A-6837</v>
      </c>
      <c r="D56" s="1320" t="str">
        <f>vlookup(B56,'02. MM-KLH'!$B:$T,3,0)</f>
        <v>A22-XĐK-003</v>
      </c>
      <c r="E56" s="1320" t="str">
        <f>vlookup(B56,'02. MM-KLH'!$B:$T,6,0)</f>
        <v>Xe đầu kéo HOWO</v>
      </c>
      <c r="F56" s="1320" t="str">
        <f>vlookup(B56,'02. MM-KLH'!$B:$T,8,0)</f>
        <v>XN Bò AD</v>
      </c>
      <c r="G56" s="1320" t="str">
        <f>vlookup(B56,'02. MM-KLH'!$B:$T,13,0)</f>
        <v>CNHTC</v>
      </c>
      <c r="H56" s="1319">
        <f>vlookup(B56,'02. MM-KLH'!$B:$T,15,0)</f>
        <v>2025</v>
      </c>
      <c r="I56" s="1321" t="str">
        <f>vlookup(B56,'02. MM-KLH'!$B:$T,16,0)</f>
        <v>ZZ4187N391JE1</v>
      </c>
      <c r="J56" s="1319" t="str">
        <f>vlookup(B56,'02. MM-KLH'!$B:$T,17,0)</f>
        <v>299HP</v>
      </c>
      <c r="K56" s="1321" t="str">
        <f>vlookup(B56,'02. MM-KLH'!$B:$T,18,0)</f>
        <v>LZZ1CCMD2SJ416137</v>
      </c>
      <c r="L56" s="1321" t="str">
        <f>vlookup(B56,'02. MM-KLH'!$B:$T,19,0)</f>
        <v>WP7.300E51*1025G007299*</v>
      </c>
      <c r="M56" s="1359">
        <v>46177.0</v>
      </c>
      <c r="N56" s="1359">
        <v>46908.0</v>
      </c>
      <c r="O56" s="1360">
        <v>46755.0</v>
      </c>
      <c r="P56" s="1358" t="s">
        <v>76</v>
      </c>
      <c r="Q56" s="1358" t="s">
        <v>76</v>
      </c>
      <c r="R56" s="1344" t="s">
        <v>76</v>
      </c>
    </row>
    <row r="57" ht="33.0" customHeight="1">
      <c r="A57" s="1319">
        <f t="shared" si="2"/>
        <v>33</v>
      </c>
      <c r="B57" s="1357" t="s">
        <v>2208</v>
      </c>
      <c r="C57" s="1320" t="str">
        <f>vlookup(B57,'02. MM-KLH'!$B:$T,4,0)</f>
        <v>3A-6839</v>
      </c>
      <c r="D57" s="1320" t="str">
        <f>vlookup(B57,'02. MM-KLH'!$B:$T,3,0)</f>
        <v>A22-XĐK-004</v>
      </c>
      <c r="E57" s="1320" t="str">
        <f>vlookup(B57,'02. MM-KLH'!$B:$T,6,0)</f>
        <v>Xe đầu kéo HOWO</v>
      </c>
      <c r="F57" s="1320" t="str">
        <f>vlookup(B57,'02. MM-KLH'!$B:$T,8,0)</f>
        <v>XN Bò AD</v>
      </c>
      <c r="G57" s="1320" t="str">
        <f>vlookup(B57,'02. MM-KLH'!$B:$T,13,0)</f>
        <v>CNHTC</v>
      </c>
      <c r="H57" s="1319">
        <f>vlookup(B57,'02. MM-KLH'!$B:$T,15,0)</f>
        <v>2025</v>
      </c>
      <c r="I57" s="1321" t="str">
        <f>vlookup(B57,'02. MM-KLH'!$B:$T,16,0)</f>
        <v>ZZ4187N391JE1</v>
      </c>
      <c r="J57" s="1319" t="str">
        <f>vlookup(B57,'02. MM-KLH'!$B:$T,17,0)</f>
        <v>299HP</v>
      </c>
      <c r="K57" s="1321" t="str">
        <f>vlookup(B57,'02. MM-KLH'!$B:$T,18,0)</f>
        <v>LZZ1CCMD7SJ415209</v>
      </c>
      <c r="L57" s="1321" t="str">
        <f>vlookup(B57,'02. MM-KLH'!$B:$T,19,0)</f>
        <v>WP7.300E51*1025G006835*</v>
      </c>
      <c r="M57" s="1359">
        <v>46026.0</v>
      </c>
      <c r="N57" s="1359">
        <v>46756.0</v>
      </c>
      <c r="O57" s="1360">
        <v>46755.0</v>
      </c>
      <c r="P57" s="1358" t="s">
        <v>76</v>
      </c>
      <c r="Q57" s="1358" t="s">
        <v>76</v>
      </c>
      <c r="R57" s="1344" t="s">
        <v>76</v>
      </c>
    </row>
    <row r="58" ht="33.0" customHeight="1">
      <c r="A58" s="1319">
        <f t="shared" si="2"/>
        <v>34</v>
      </c>
      <c r="B58" s="1357" t="s">
        <v>2214</v>
      </c>
      <c r="C58" s="1320" t="str">
        <f>vlookup(B58,'02. MM-KLH'!$B:$T,4,0)</f>
        <v>3A-6836</v>
      </c>
      <c r="D58" s="1320" t="str">
        <f>vlookup(B58,'02. MM-KLH'!$B:$T,3,0)</f>
        <v>A22-XĐK-005</v>
      </c>
      <c r="E58" s="1320" t="str">
        <f>vlookup(B58,'02. MM-KLH'!$B:$T,6,0)</f>
        <v>Xe đầu kéo HOWO</v>
      </c>
      <c r="F58" s="1320" t="str">
        <f>vlookup(B58,'02. MM-KLH'!$B:$T,8,0)</f>
        <v>XN Bò AD</v>
      </c>
      <c r="G58" s="1320" t="str">
        <f>vlookup(B58,'02. MM-KLH'!$B:$T,13,0)</f>
        <v>CNHTC</v>
      </c>
      <c r="H58" s="1319">
        <f>vlookup(B58,'02. MM-KLH'!$B:$T,15,0)</f>
        <v>2025</v>
      </c>
      <c r="I58" s="1321" t="str">
        <f>vlookup(B58,'02. MM-KLH'!$B:$T,16,0)</f>
        <v>ZZ4187N391JE1</v>
      </c>
      <c r="J58" s="1319" t="str">
        <f>vlookup(B58,'02. MM-KLH'!$B:$T,17,0)</f>
        <v>299HP</v>
      </c>
      <c r="K58" s="1321" t="str">
        <f>vlookup(B58,'02. MM-KLH'!$B:$T,18,0)</f>
        <v>LZZ1CCMD3SJ415210</v>
      </c>
      <c r="L58" s="1321" t="str">
        <f>vlookup(B58,'02. MM-KLH'!$B:$T,19,0)</f>
        <v>WP7.300E51*1025G006838*</v>
      </c>
      <c r="M58" s="1359">
        <v>46026.0</v>
      </c>
      <c r="N58" s="1359">
        <v>46756.0</v>
      </c>
      <c r="O58" s="1360">
        <v>46755.0</v>
      </c>
      <c r="P58" s="1358" t="s">
        <v>76</v>
      </c>
      <c r="Q58" s="1358" t="s">
        <v>76</v>
      </c>
      <c r="R58" s="1344" t="s">
        <v>76</v>
      </c>
    </row>
    <row r="59" ht="33.0" customHeight="1">
      <c r="A59" s="1319">
        <f t="shared" si="2"/>
        <v>35</v>
      </c>
      <c r="B59" s="1357" t="s">
        <v>2220</v>
      </c>
      <c r="C59" s="1320" t="str">
        <f>vlookup(B59,'02. MM-KLH'!$B:$T,4,0)</f>
        <v>3A-6835</v>
      </c>
      <c r="D59" s="1320" t="str">
        <f>vlookup(B59,'02. MM-KLH'!$B:$T,3,0)</f>
        <v>A22-XĐK-006</v>
      </c>
      <c r="E59" s="1320" t="str">
        <f>vlookup(B59,'02. MM-KLH'!$B:$T,6,0)</f>
        <v>Xe đầu kéo HOWO</v>
      </c>
      <c r="F59" s="1320" t="str">
        <f>vlookup(B59,'02. MM-KLH'!$B:$T,8,0)</f>
        <v>XN Bò AD</v>
      </c>
      <c r="G59" s="1320" t="str">
        <f>vlookup(B59,'02. MM-KLH'!$B:$T,13,0)</f>
        <v>CNHTC</v>
      </c>
      <c r="H59" s="1319">
        <f>vlookup(B59,'02. MM-KLH'!$B:$T,15,0)</f>
        <v>2025</v>
      </c>
      <c r="I59" s="1321" t="str">
        <f>vlookup(B59,'02. MM-KLH'!$B:$T,16,0)</f>
        <v>ZZ4187N391JE1</v>
      </c>
      <c r="J59" s="1319" t="str">
        <f>vlookup(B59,'02. MM-KLH'!$B:$T,17,0)</f>
        <v>299HP</v>
      </c>
      <c r="K59" s="1321" t="str">
        <f>vlookup(B59,'02. MM-KLH'!$B:$T,18,0)</f>
        <v>LZZ1CCMD3SJ415207</v>
      </c>
      <c r="L59" s="1321" t="str">
        <f>vlookup(B59,'02. MM-KLH'!$B:$T,19,0)</f>
        <v>WP7.300E51*1025G006833*</v>
      </c>
      <c r="M59" s="1359">
        <v>46177.0</v>
      </c>
      <c r="N59" s="1359">
        <v>46908.0</v>
      </c>
      <c r="O59" s="1360">
        <v>46755.0</v>
      </c>
      <c r="P59" s="1358" t="s">
        <v>76</v>
      </c>
      <c r="Q59" s="1358" t="s">
        <v>76</v>
      </c>
      <c r="R59" s="1344" t="s">
        <v>76</v>
      </c>
    </row>
    <row r="60" ht="33.0" customHeight="1">
      <c r="A60" s="1319">
        <f t="shared" si="2"/>
        <v>36</v>
      </c>
      <c r="B60" s="1357" t="s">
        <v>2227</v>
      </c>
      <c r="C60" s="1320" t="str">
        <f>vlookup(B60,'02. MM-KLH'!$B:$T,4,0)</f>
        <v>3A-6840</v>
      </c>
      <c r="D60" s="1320" t="str">
        <f>vlookup(B60,'02. MM-KLH'!$B:$T,3,0)</f>
        <v>A22-XĐK-007</v>
      </c>
      <c r="E60" s="1320" t="str">
        <f>vlookup(B60,'02. MM-KLH'!$B:$T,6,0)</f>
        <v>Xe đầu kéo HOWO</v>
      </c>
      <c r="F60" s="1320" t="str">
        <f>vlookup(B60,'02. MM-KLH'!$B:$T,8,0)</f>
        <v>XN Bò AD</v>
      </c>
      <c r="G60" s="1320" t="str">
        <f>vlookup(B60,'02. MM-KLH'!$B:$T,13,0)</f>
        <v>CNHTC</v>
      </c>
      <c r="H60" s="1319">
        <f>vlookup(B60,'02. MM-KLH'!$B:$T,15,0)</f>
        <v>2025</v>
      </c>
      <c r="I60" s="1321" t="str">
        <f>vlookup(B60,'02. MM-KLH'!$B:$T,16,0)</f>
        <v>ZZ4187N391JE1</v>
      </c>
      <c r="J60" s="1319" t="str">
        <f>vlookup(B60,'02. MM-KLH'!$B:$T,17,0)</f>
        <v>299HP</v>
      </c>
      <c r="K60" s="1321" t="str">
        <f>vlookup(B60,'02. MM-KLH'!$B:$T,18,0)</f>
        <v>LZZ1CCMD3SJ415208</v>
      </c>
      <c r="L60" s="1321" t="str">
        <f>vlookup(B60,'02. MM-KLH'!$B:$T,19,0)</f>
        <v>WP7.300E51*1025G006834*</v>
      </c>
      <c r="M60" s="1359">
        <v>46177.0</v>
      </c>
      <c r="N60" s="1359">
        <v>46908.0</v>
      </c>
      <c r="O60" s="1360">
        <v>46755.0</v>
      </c>
      <c r="P60" s="1358" t="s">
        <v>76</v>
      </c>
      <c r="Q60" s="1358" t="s">
        <v>76</v>
      </c>
      <c r="R60" s="1344" t="s">
        <v>76</v>
      </c>
    </row>
    <row r="61" ht="33.0" customHeight="1">
      <c r="A61" s="1319">
        <f t="shared" si="2"/>
        <v>37</v>
      </c>
      <c r="B61" s="1357" t="s">
        <v>2234</v>
      </c>
      <c r="C61" s="1320" t="str">
        <f>vlookup(B61,'02. MM-KLH'!$B:$T,4,0)</f>
        <v>3A-6832</v>
      </c>
      <c r="D61" s="1320" t="str">
        <f>vlookup(B61,'02. MM-KLH'!$B:$T,3,0)</f>
        <v>A22-XĐK-008</v>
      </c>
      <c r="E61" s="1320" t="str">
        <f>vlookup(B61,'02. MM-KLH'!$B:$T,6,0)</f>
        <v>Xe đầu kéo HOWO</v>
      </c>
      <c r="F61" s="1320" t="str">
        <f>vlookup(B61,'02. MM-KLH'!$B:$T,8,0)</f>
        <v>XN Bò AD</v>
      </c>
      <c r="G61" s="1320" t="str">
        <f>vlookup(B61,'02. MM-KLH'!$B:$T,13,0)</f>
        <v>CNHTC</v>
      </c>
      <c r="H61" s="1319">
        <f>vlookup(B61,'02. MM-KLH'!$B:$T,15,0)</f>
        <v>2025</v>
      </c>
      <c r="I61" s="1321" t="str">
        <f>vlookup(B61,'02. MM-KLH'!$B:$T,16,0)</f>
        <v>ZZ4187N391JE1</v>
      </c>
      <c r="J61" s="1319" t="str">
        <f>vlookup(B61,'02. MM-KLH'!$B:$T,17,0)</f>
        <v>299HP</v>
      </c>
      <c r="K61" s="1321" t="str">
        <f>vlookup(B61,'02. MM-KLH'!$B:$T,18,0)</f>
        <v>LZZ1CCMD4SJ416138</v>
      </c>
      <c r="L61" s="1321" t="str">
        <f>vlookup(B61,'02. MM-KLH'!$B:$T,19,0)</f>
        <v>WP7.300E51*1025G007295*</v>
      </c>
      <c r="M61" s="1359">
        <v>46026.0</v>
      </c>
      <c r="N61" s="1359">
        <v>46756.0</v>
      </c>
      <c r="O61" s="1360">
        <v>46755.0</v>
      </c>
      <c r="P61" s="1358" t="s">
        <v>76</v>
      </c>
      <c r="Q61" s="1358" t="s">
        <v>76</v>
      </c>
      <c r="R61" s="1344" t="s">
        <v>76</v>
      </c>
    </row>
    <row r="62" ht="33.0" customHeight="1">
      <c r="A62" s="1319">
        <f t="shared" si="2"/>
        <v>38</v>
      </c>
      <c r="B62" s="1357" t="s">
        <v>2240</v>
      </c>
      <c r="C62" s="1320" t="str">
        <f>vlookup(B62,'02. MM-KLH'!$B:$T,4,0)</f>
        <v>3A-6831</v>
      </c>
      <c r="D62" s="1320" t="str">
        <f>vlookup(B62,'02. MM-KLH'!$B:$T,3,0)</f>
        <v>A22-XĐK-009</v>
      </c>
      <c r="E62" s="1320" t="str">
        <f>vlookup(B62,'02. MM-KLH'!$B:$T,6,0)</f>
        <v>Xe đầu kéo HOWO</v>
      </c>
      <c r="F62" s="1320" t="str">
        <f>vlookup(B62,'02. MM-KLH'!$B:$T,8,0)</f>
        <v>XN Bò AD</v>
      </c>
      <c r="G62" s="1320" t="str">
        <f>vlookup(B62,'02. MM-KLH'!$B:$T,13,0)</f>
        <v>CNHTC</v>
      </c>
      <c r="H62" s="1319">
        <f>vlookup(B62,'02. MM-KLH'!$B:$T,15,0)</f>
        <v>2025</v>
      </c>
      <c r="I62" s="1321" t="str">
        <f>vlookup(B62,'02. MM-KLH'!$B:$T,16,0)</f>
        <v>ZZ4187N391JE1</v>
      </c>
      <c r="J62" s="1319" t="str">
        <f>vlookup(B62,'02. MM-KLH'!$B:$T,17,0)</f>
        <v>299HP</v>
      </c>
      <c r="K62" s="1321" t="str">
        <f>vlookup(B62,'02. MM-KLH'!$B:$T,18,0)</f>
        <v>LZZ1CCMD5SJ416133</v>
      </c>
      <c r="L62" s="1321" t="str">
        <f>vlookup(B62,'02. MM-KLH'!$B:$T,19,0)</f>
        <v>WP7.300E51*1025G007305*</v>
      </c>
      <c r="M62" s="1359">
        <v>46026.0</v>
      </c>
      <c r="N62" s="1359">
        <v>46756.0</v>
      </c>
      <c r="O62" s="1360">
        <v>46755.0</v>
      </c>
      <c r="P62" s="1358" t="s">
        <v>76</v>
      </c>
      <c r="Q62" s="1358" t="s">
        <v>76</v>
      </c>
      <c r="R62" s="1344" t="s">
        <v>76</v>
      </c>
    </row>
    <row r="63" ht="33.0" customHeight="1">
      <c r="A63" s="1319">
        <f t="shared" si="2"/>
        <v>39</v>
      </c>
      <c r="B63" s="1357" t="s">
        <v>2247</v>
      </c>
      <c r="C63" s="1320" t="str">
        <f>vlookup(B63,'02. MM-KLH'!$B:$T,4,0)</f>
        <v>3A-6842</v>
      </c>
      <c r="D63" s="1320" t="str">
        <f>vlookup(B63,'02. MM-KLH'!$B:$T,3,0)</f>
        <v>A22-XĐK-010</v>
      </c>
      <c r="E63" s="1320" t="str">
        <f>vlookup(B63,'02. MM-KLH'!$B:$T,6,0)</f>
        <v>Xe đầu kéo HOWO</v>
      </c>
      <c r="F63" s="1320" t="str">
        <f>vlookup(B63,'02. MM-KLH'!$B:$T,8,0)</f>
        <v>XN Bò AD</v>
      </c>
      <c r="G63" s="1320" t="str">
        <f>vlookup(B63,'02. MM-KLH'!$B:$T,13,0)</f>
        <v>CNHTC</v>
      </c>
      <c r="H63" s="1319">
        <f>vlookup(B63,'02. MM-KLH'!$B:$T,15,0)</f>
        <v>2025</v>
      </c>
      <c r="I63" s="1321" t="str">
        <f>vlookup(B63,'02. MM-KLH'!$B:$T,16,0)</f>
        <v>ZZ4187N391JE1</v>
      </c>
      <c r="J63" s="1319" t="str">
        <f>vlookup(B63,'02. MM-KLH'!$B:$T,17,0)</f>
        <v>299 HP</v>
      </c>
      <c r="K63" s="1321" t="str">
        <f>vlookup(B63,'02. MM-KLH'!$B:$T,18,0)</f>
        <v>LZZ1CCMD6SJ416125</v>
      </c>
      <c r="L63" s="1321" t="str">
        <f>vlookup(B63,'02. MM-KLH'!$B:$T,19,0)</f>
        <v>WP7.300E51*1025G007298*</v>
      </c>
      <c r="M63" s="1359">
        <v>46026.0</v>
      </c>
      <c r="N63" s="1359">
        <v>46756.0</v>
      </c>
      <c r="O63" s="1360">
        <v>46755.0</v>
      </c>
      <c r="P63" s="1358" t="s">
        <v>76</v>
      </c>
      <c r="Q63" s="1358" t="s">
        <v>76</v>
      </c>
      <c r="R63" s="1344" t="s">
        <v>76</v>
      </c>
    </row>
    <row r="64" ht="33.0" customHeight="1">
      <c r="A64" s="1319">
        <f t="shared" si="2"/>
        <v>40</v>
      </c>
      <c r="B64" s="1357" t="s">
        <v>2254</v>
      </c>
      <c r="C64" s="1320" t="str">
        <f>vlookup(B64,'02. MM-KLH'!$B:$T,4,0)</f>
        <v>3A-6838</v>
      </c>
      <c r="D64" s="1320" t="str">
        <f>vlookup(B64,'02. MM-KLH'!$B:$T,3,0)</f>
        <v>A22-XĐK-011</v>
      </c>
      <c r="E64" s="1320" t="str">
        <f>vlookup(B64,'02. MM-KLH'!$B:$T,6,0)</f>
        <v>Xe đầu kéo HOWO</v>
      </c>
      <c r="F64" s="1320" t="str">
        <f>vlookup(B64,'02. MM-KLH'!$B:$T,8,0)</f>
        <v>XN Bò AD</v>
      </c>
      <c r="G64" s="1320" t="str">
        <f>vlookup(B64,'02. MM-KLH'!$B:$T,13,0)</f>
        <v>CNHTC</v>
      </c>
      <c r="H64" s="1319">
        <f>vlookup(B64,'02. MM-KLH'!$B:$T,15,0)</f>
        <v>2025</v>
      </c>
      <c r="I64" s="1321" t="str">
        <f>vlookup(B64,'02. MM-KLH'!$B:$T,16,0)</f>
        <v>ZZ4187N391JE1</v>
      </c>
      <c r="J64" s="1319" t="str">
        <f>vlookup(B64,'02. MM-KLH'!$B:$T,17,0)</f>
        <v>299 HP</v>
      </c>
      <c r="K64" s="1321" t="str">
        <f>vlookup(B64,'02. MM-KLH'!$B:$T,18,0)</f>
        <v>LZZ1CCMD9SJ416135</v>
      </c>
      <c r="L64" s="1321" t="str">
        <f>vlookup(B64,'02. MM-KLH'!$B:$T,19,0)</f>
        <v>WP7.300E51*1025G007310*</v>
      </c>
      <c r="M64" s="1359">
        <v>46026.0</v>
      </c>
      <c r="N64" s="1359">
        <v>46756.0</v>
      </c>
      <c r="O64" s="1360">
        <v>46755.0</v>
      </c>
      <c r="P64" s="1358" t="s">
        <v>76</v>
      </c>
      <c r="Q64" s="1358" t="s">
        <v>76</v>
      </c>
      <c r="R64" s="1344" t="s">
        <v>76</v>
      </c>
    </row>
    <row r="65" ht="33.0" customHeight="1">
      <c r="A65" s="1319">
        <f t="shared" si="2"/>
        <v>41</v>
      </c>
      <c r="B65" s="1357" t="s">
        <v>2260</v>
      </c>
      <c r="C65" s="1320" t="str">
        <f>vlookup(B65,'02. MM-KLH'!$B:$T,4,0)</f>
        <v>3A-6830</v>
      </c>
      <c r="D65" s="1320" t="str">
        <f>vlookup(B65,'02. MM-KLH'!$B:$T,3,0)</f>
        <v>A22-XĐK-012</v>
      </c>
      <c r="E65" s="1320" t="str">
        <f>vlookup(B65,'02. MM-KLH'!$B:$T,6,0)</f>
        <v>Xe đầu kéo HOWO</v>
      </c>
      <c r="F65" s="1320" t="str">
        <f>vlookup(B65,'02. MM-KLH'!$B:$T,8,0)</f>
        <v>XN Bò AD</v>
      </c>
      <c r="G65" s="1320" t="str">
        <f>vlookup(B65,'02. MM-KLH'!$B:$T,13,0)</f>
        <v>CNHTC</v>
      </c>
      <c r="H65" s="1319">
        <f>vlookup(B65,'02. MM-KLH'!$B:$T,15,0)</f>
        <v>2025</v>
      </c>
      <c r="I65" s="1321" t="str">
        <f>vlookup(B65,'02. MM-KLH'!$B:$T,16,0)</f>
        <v>ZZ4187N391JE1</v>
      </c>
      <c r="J65" s="1319" t="str">
        <f>vlookup(B65,'02. MM-KLH'!$B:$T,17,0)</f>
        <v>299 HP</v>
      </c>
      <c r="K65" s="1321" t="str">
        <f>vlookup(B65,'02. MM-KLH'!$B:$T,18,0)</f>
        <v>LZZ1CCMD0SJ416136</v>
      </c>
      <c r="L65" s="1321" t="str">
        <f>vlookup(B65,'02. MM-KLH'!$B:$T,19,0)</f>
        <v>WP7.300E51*1025G007303*</v>
      </c>
      <c r="M65" s="1359">
        <v>46026.0</v>
      </c>
      <c r="N65" s="1359">
        <v>46756.0</v>
      </c>
      <c r="O65" s="1360">
        <v>46755.0</v>
      </c>
      <c r="P65" s="1358" t="s">
        <v>76</v>
      </c>
      <c r="Q65" s="1358" t="s">
        <v>76</v>
      </c>
      <c r="R65" s="1344" t="s">
        <v>76</v>
      </c>
    </row>
    <row r="66" ht="33.0" customHeight="1">
      <c r="A66" s="1319">
        <f t="shared" si="2"/>
        <v>42</v>
      </c>
      <c r="B66" s="1357" t="s">
        <v>2267</v>
      </c>
      <c r="C66" s="1320" t="str">
        <f>vlookup(B66,'02. MM-KLH'!$B:$T,4,0)</f>
        <v>3A-6834</v>
      </c>
      <c r="D66" s="1320" t="str">
        <f>vlookup(B66,'02. MM-KLH'!$B:$T,3,0)</f>
        <v>A22-XĐK-013</v>
      </c>
      <c r="E66" s="1320" t="str">
        <f>vlookup(B66,'02. MM-KLH'!$B:$T,6,0)</f>
        <v>Xe đầu kéo HOWO</v>
      </c>
      <c r="F66" s="1320" t="str">
        <f>vlookup(B66,'02. MM-KLH'!$B:$T,8,0)</f>
        <v>XN Bò AD</v>
      </c>
      <c r="G66" s="1320" t="str">
        <f>vlookup(B66,'02. MM-KLH'!$B:$T,13,0)</f>
        <v>CNHTC</v>
      </c>
      <c r="H66" s="1319">
        <f>vlookup(B66,'02. MM-KLH'!$B:$T,15,0)</f>
        <v>2025</v>
      </c>
      <c r="I66" s="1321" t="str">
        <f>vlookup(B66,'02. MM-KLH'!$B:$T,16,0)</f>
        <v>ZZ4187N391JE1</v>
      </c>
      <c r="J66" s="1319" t="str">
        <f>vlookup(B66,'02. MM-KLH'!$B:$T,17,0)</f>
        <v>299 HP</v>
      </c>
      <c r="K66" s="1321" t="str">
        <f>vlookup(B66,'02. MM-KLH'!$B:$T,18,0)</f>
        <v>LZZ1CCMD6SJ416139</v>
      </c>
      <c r="L66" s="1321" t="str">
        <f>vlookup(B66,'02. MM-KLH'!$B:$T,19,0)</f>
        <v>WP7.300E51*1025G007301*</v>
      </c>
      <c r="M66" s="1359">
        <v>46026.0</v>
      </c>
      <c r="N66" s="1359">
        <v>46756.0</v>
      </c>
      <c r="O66" s="1360">
        <v>46755.0</v>
      </c>
      <c r="P66" s="1358" t="s">
        <v>76</v>
      </c>
      <c r="Q66" s="1358" t="s">
        <v>76</v>
      </c>
      <c r="R66" s="1344" t="s">
        <v>76</v>
      </c>
    </row>
    <row r="67" ht="33.0" customHeight="1">
      <c r="A67" s="1319">
        <f t="shared" si="2"/>
        <v>43</v>
      </c>
      <c r="B67" s="1357" t="s">
        <v>2151</v>
      </c>
      <c r="C67" s="1320" t="str">
        <f>vlookup(B67,'02. MM-KLH'!$B:$T,4,0)</f>
        <v>3A-6841</v>
      </c>
      <c r="D67" s="1320" t="str">
        <f>vlookup(B67,'02. MM-KLH'!$B:$T,3,0)</f>
        <v>A22-XCP-012</v>
      </c>
      <c r="E67" s="1320" t="str">
        <f>vlookup(B67,'02. MM-KLH'!$B:$T,6,0)</f>
        <v>Xe chở phân FD120 (5.41m3)</v>
      </c>
      <c r="F67" s="1320" t="str">
        <f>vlookup(B67,'02. MM-KLH'!$B:$T,8,0)</f>
        <v>XN Bò AD</v>
      </c>
      <c r="G67" s="1320" t="str">
        <f>vlookup(B67,'02. MM-KLH'!$B:$T,13,0)</f>
        <v>THACO FORLAND</v>
      </c>
      <c r="H67" s="1319">
        <f>vlookup(B67,'02. MM-KLH'!$B:$T,15,0)</f>
        <v>2024</v>
      </c>
      <c r="I67" s="1321" t="str">
        <f>vlookup(B67,'02. MM-KLH'!$B:$T,16,0)</f>
        <v> FD120-4WD</v>
      </c>
      <c r="J67" s="1319" t="str">
        <f>vlookup(B67,'02. MM-KLH'!$B:$T,17,0)</f>
        <v>129HP</v>
      </c>
      <c r="K67" s="1321" t="str">
        <f>vlookup(B67,'02. MM-KLH'!$B:$T,18,0)</f>
        <v>RNHF12FNBRT002112</v>
      </c>
      <c r="L67" s="1321" t="str">
        <f>vlookup(B67,'02. MM-KLH'!$B:$T,19,0)</f>
        <v>YN38CRD1*AGN22000292*</v>
      </c>
      <c r="M67" s="435" t="s">
        <v>8241</v>
      </c>
      <c r="N67" s="435" t="s">
        <v>8242</v>
      </c>
      <c r="O67" s="1344" t="s">
        <v>8243</v>
      </c>
      <c r="P67" s="1358" t="s">
        <v>76</v>
      </c>
      <c r="Q67" s="1358" t="s">
        <v>76</v>
      </c>
      <c r="R67" s="1344" t="s">
        <v>76</v>
      </c>
    </row>
    <row r="68" ht="33.0" customHeight="1">
      <c r="A68" s="1319">
        <f t="shared" si="2"/>
        <v>44</v>
      </c>
      <c r="B68" s="1357" t="s">
        <v>2163</v>
      </c>
      <c r="C68" s="1320" t="str">
        <f>vlookup(B68,'02. MM-KLH'!$B:$T,4,0)</f>
        <v>3A-6833</v>
      </c>
      <c r="D68" s="1320" t="str">
        <f>vlookup(B68,'02. MM-KLH'!$B:$T,3,0)</f>
        <v>A22-XCP-014</v>
      </c>
      <c r="E68" s="1320" t="str">
        <f>vlookup(B68,'02. MM-KLH'!$B:$T,6,0)</f>
        <v>Xe chở phân FD120 (5.41m3)</v>
      </c>
      <c r="F68" s="1320" t="str">
        <f>vlookup(B68,'02. MM-KLH'!$B:$T,8,0)</f>
        <v>XN Bò AD</v>
      </c>
      <c r="G68" s="1320" t="str">
        <f>vlookup(B68,'02. MM-KLH'!$B:$T,13,0)</f>
        <v>THACO FORLAND</v>
      </c>
      <c r="H68" s="1319">
        <f>vlookup(B68,'02. MM-KLH'!$B:$T,15,0)</f>
        <v>2024</v>
      </c>
      <c r="I68" s="1321" t="str">
        <f>vlookup(B68,'02. MM-KLH'!$B:$T,16,0)</f>
        <v> FD120-4WD</v>
      </c>
      <c r="J68" s="1319" t="str">
        <f>vlookup(B68,'02. MM-KLH'!$B:$T,17,0)</f>
        <v>129HP</v>
      </c>
      <c r="K68" s="1321" t="str">
        <f>vlookup(B68,'02. MM-KLH'!$B:$T,18,0)</f>
        <v>RNHF12FNBRT002117</v>
      </c>
      <c r="L68" s="1321" t="str">
        <f>vlookup(B68,'02. MM-KLH'!$B:$T,19,0)</f>
        <v>YN38CRD1*AGN22000297*</v>
      </c>
      <c r="M68" s="435" t="s">
        <v>8241</v>
      </c>
      <c r="N68" s="435" t="s">
        <v>8242</v>
      </c>
      <c r="O68" s="1344" t="s">
        <v>8243</v>
      </c>
      <c r="P68" s="1358" t="s">
        <v>76</v>
      </c>
      <c r="Q68" s="1358" t="s">
        <v>76</v>
      </c>
      <c r="R68" s="1344" t="s">
        <v>76</v>
      </c>
    </row>
    <row r="69" ht="33.0" customHeight="1">
      <c r="A69" s="1319">
        <f t="shared" si="2"/>
        <v>45</v>
      </c>
      <c r="B69" s="1357" t="s">
        <v>2835</v>
      </c>
      <c r="C69" s="1320" t="str">
        <f>vlookup(B69,'02. MM-KLH'!$B:$T,4,0)</f>
        <v>2A-0518</v>
      </c>
      <c r="D69" s="1320" t="str">
        <f>vlookup(B69,'02. MM-KLH'!$B:$T,3,0)</f>
        <v>A22-TCD-004</v>
      </c>
      <c r="E69" s="1320" t="str">
        <f>vlookup(B69,'02. MM-KLH'!$B:$T,6,0)</f>
        <v>Xe tải chuyên dụng (thùng SCLĐ)</v>
      </c>
      <c r="F69" s="1320" t="str">
        <f>vlookup(B69,'02. MM-KLH'!$B:$T,8,0)</f>
        <v>BAN CG-CK &amp; SXCN</v>
      </c>
      <c r="G69" s="1320" t="str">
        <f>vlookup(B69,'02. MM-KLH'!$B:$T,13,0)</f>
        <v>THACO KIA</v>
      </c>
      <c r="H69" s="1319">
        <f>vlookup(B69,'02. MM-KLH'!$B:$T,15,0)</f>
        <v>2024</v>
      </c>
      <c r="I69" s="1321" t="str">
        <f>vlookup(B69,'02. MM-KLH'!$B:$T,16,0)</f>
        <v>KIA K200SD</v>
      </c>
      <c r="J69" s="1319" t="str">
        <f>vlookup(B69,'02. MM-KLH'!$B:$T,17,0)</f>
        <v>130HP</v>
      </c>
      <c r="K69" s="1321" t="str">
        <f>vlookup(B69,'02. MM-KLH'!$B:$T,18,0)</f>
        <v>RNHF39KHBMT045676</v>
      </c>
      <c r="L69" s="1321" t="str">
        <f>vlookup(B69,'02. MM-KLH'!$B:$T,19,0)</f>
        <v>MD540074D4CB</v>
      </c>
      <c r="M69" s="435" t="s">
        <v>8241</v>
      </c>
      <c r="N69" s="435" t="s">
        <v>8242</v>
      </c>
      <c r="O69" s="1344" t="s">
        <v>8243</v>
      </c>
      <c r="P69" s="1358" t="s">
        <v>76</v>
      </c>
      <c r="Q69" s="1358" t="s">
        <v>76</v>
      </c>
      <c r="R69" s="1344" t="s">
        <v>76</v>
      </c>
    </row>
    <row r="70" ht="33.0" customHeight="1">
      <c r="A70" s="1319">
        <f t="shared" si="2"/>
        <v>46</v>
      </c>
      <c r="B70" s="1357"/>
      <c r="C70" s="1320"/>
      <c r="D70" s="1320"/>
      <c r="E70" s="1320"/>
      <c r="F70" s="1320"/>
      <c r="G70" s="1320"/>
      <c r="H70" s="1319"/>
      <c r="I70" s="1321"/>
      <c r="J70" s="1319"/>
      <c r="K70" s="1321"/>
      <c r="L70" s="1321"/>
      <c r="M70" s="438"/>
      <c r="N70" s="438"/>
      <c r="O70" s="1344"/>
      <c r="P70" s="1362"/>
      <c r="Q70" s="1362"/>
      <c r="R70" s="1344"/>
    </row>
    <row r="71" ht="33.0" customHeight="1">
      <c r="A71" s="1319">
        <f t="shared" si="2"/>
        <v>47</v>
      </c>
      <c r="B71" s="1357"/>
      <c r="C71" s="1320"/>
      <c r="D71" s="1320"/>
      <c r="E71" s="1320"/>
      <c r="F71" s="1320"/>
      <c r="G71" s="1320"/>
      <c r="H71" s="1319"/>
      <c r="I71" s="1321"/>
      <c r="J71" s="1319"/>
      <c r="K71" s="1321"/>
      <c r="L71" s="1321"/>
      <c r="M71" s="438"/>
      <c r="N71" s="438"/>
      <c r="O71" s="1344"/>
      <c r="P71" s="1362"/>
      <c r="Q71" s="1362"/>
      <c r="R71" s="1344"/>
    </row>
    <row r="72" ht="33.0" customHeight="1">
      <c r="A72" s="1319">
        <f t="shared" si="2"/>
        <v>48</v>
      </c>
      <c r="B72" s="1357"/>
      <c r="C72" s="1320"/>
      <c r="D72" s="1320"/>
      <c r="E72" s="1320"/>
      <c r="F72" s="1320"/>
      <c r="G72" s="1320"/>
      <c r="H72" s="1319"/>
      <c r="I72" s="1321"/>
      <c r="J72" s="1319"/>
      <c r="K72" s="1321"/>
      <c r="L72" s="1321"/>
      <c r="M72" s="438"/>
      <c r="N72" s="438"/>
      <c r="O72" s="1344"/>
      <c r="P72" s="1362"/>
      <c r="Q72" s="1362"/>
      <c r="R72" s="1344"/>
    </row>
    <row r="73" ht="33.0" customHeight="1">
      <c r="A73" s="1319">
        <f t="shared" si="2"/>
        <v>49</v>
      </c>
      <c r="B73" s="1357"/>
      <c r="C73" s="1320"/>
      <c r="D73" s="1320"/>
      <c r="E73" s="1320"/>
      <c r="F73" s="1320"/>
      <c r="G73" s="1320"/>
      <c r="H73" s="1319"/>
      <c r="I73" s="1321"/>
      <c r="J73" s="1319"/>
      <c r="K73" s="1321"/>
      <c r="L73" s="1321"/>
      <c r="M73" s="438"/>
      <c r="N73" s="438"/>
      <c r="O73" s="1344"/>
      <c r="P73" s="1362"/>
      <c r="Q73" s="1362"/>
      <c r="R73" s="1344"/>
    </row>
    <row r="74" ht="33.0" customHeight="1">
      <c r="A74" s="1319">
        <f t="shared" si="2"/>
        <v>50</v>
      </c>
      <c r="B74" s="1357"/>
      <c r="C74" s="1320"/>
      <c r="D74" s="1320"/>
      <c r="E74" s="1320"/>
      <c r="F74" s="1320"/>
      <c r="G74" s="1320"/>
      <c r="H74" s="1319"/>
      <c r="I74" s="1321"/>
      <c r="J74" s="1319"/>
      <c r="K74" s="1321"/>
      <c r="L74" s="1321"/>
      <c r="M74" s="438"/>
      <c r="N74" s="438"/>
      <c r="O74" s="1344"/>
      <c r="P74" s="1362"/>
      <c r="Q74" s="1362"/>
      <c r="R74" s="1344"/>
    </row>
    <row r="75" ht="33.0" customHeight="1">
      <c r="A75" s="1319">
        <f t="shared" si="2"/>
        <v>51</v>
      </c>
      <c r="B75" s="1357"/>
      <c r="C75" s="1320"/>
      <c r="D75" s="1320"/>
      <c r="E75" s="1320"/>
      <c r="F75" s="1320"/>
      <c r="G75" s="1320"/>
      <c r="H75" s="1319"/>
      <c r="I75" s="1321"/>
      <c r="J75" s="1319"/>
      <c r="K75" s="1321"/>
      <c r="L75" s="1321"/>
      <c r="M75" s="438"/>
      <c r="N75" s="438"/>
      <c r="O75" s="1344"/>
      <c r="P75" s="1362"/>
      <c r="Q75" s="1362"/>
      <c r="R75" s="1344"/>
    </row>
    <row r="76" ht="33.0" customHeight="1">
      <c r="A76" s="1319">
        <f t="shared" si="2"/>
        <v>52</v>
      </c>
      <c r="B76" s="1357"/>
      <c r="C76" s="1320"/>
      <c r="D76" s="1320"/>
      <c r="E76" s="1320"/>
      <c r="F76" s="1320"/>
      <c r="G76" s="1320"/>
      <c r="H76" s="1319"/>
      <c r="I76" s="1321"/>
      <c r="J76" s="1319"/>
      <c r="K76" s="1321"/>
      <c r="L76" s="1321"/>
      <c r="M76" s="438"/>
      <c r="N76" s="438"/>
      <c r="O76" s="1344"/>
      <c r="P76" s="1362"/>
      <c r="Q76" s="1362"/>
      <c r="R76" s="1344"/>
    </row>
    <row r="77" ht="33.0" customHeight="1">
      <c r="A77" s="1319">
        <f t="shared" si="2"/>
        <v>53</v>
      </c>
      <c r="B77" s="1357"/>
      <c r="C77" s="1320"/>
      <c r="D77" s="1320"/>
      <c r="E77" s="1320"/>
      <c r="F77" s="1320"/>
      <c r="G77" s="1320"/>
      <c r="H77" s="1319"/>
      <c r="I77" s="1321"/>
      <c r="J77" s="1319"/>
      <c r="K77" s="1321"/>
      <c r="L77" s="1321"/>
      <c r="M77" s="438"/>
      <c r="N77" s="438"/>
      <c r="O77" s="1344"/>
      <c r="P77" s="1362"/>
      <c r="Q77" s="1362"/>
      <c r="R77" s="1344"/>
    </row>
    <row r="78" ht="33.0" customHeight="1">
      <c r="A78" s="1319">
        <f t="shared" si="2"/>
        <v>54</v>
      </c>
      <c r="B78" s="1357"/>
      <c r="C78" s="1320"/>
      <c r="D78" s="1320"/>
      <c r="E78" s="1320"/>
      <c r="F78" s="1320"/>
      <c r="G78" s="1320"/>
      <c r="H78" s="1319"/>
      <c r="I78" s="1321"/>
      <c r="J78" s="1319"/>
      <c r="K78" s="1321"/>
      <c r="L78" s="1321"/>
      <c r="M78" s="438"/>
      <c r="N78" s="438"/>
      <c r="O78" s="1344"/>
      <c r="P78" s="1362"/>
      <c r="Q78" s="1362"/>
      <c r="R78" s="1344"/>
    </row>
    <row r="79" ht="33.0" customHeight="1">
      <c r="A79" s="1319">
        <f t="shared" si="2"/>
        <v>55</v>
      </c>
      <c r="B79" s="1357"/>
      <c r="C79" s="1320"/>
      <c r="D79" s="1320"/>
      <c r="E79" s="1320"/>
      <c r="F79" s="1320"/>
      <c r="G79" s="1320"/>
      <c r="H79" s="1319"/>
      <c r="I79" s="1321"/>
      <c r="J79" s="1319"/>
      <c r="K79" s="1321"/>
      <c r="L79" s="1321"/>
      <c r="M79" s="438"/>
      <c r="N79" s="438"/>
      <c r="O79" s="1344"/>
      <c r="P79" s="1362"/>
      <c r="Q79" s="1362"/>
      <c r="R79" s="1344"/>
    </row>
    <row r="80" ht="33.0" customHeight="1">
      <c r="A80" s="1319">
        <f t="shared" si="2"/>
        <v>56</v>
      </c>
      <c r="B80" s="1357"/>
      <c r="C80" s="1320"/>
      <c r="D80" s="1320"/>
      <c r="E80" s="1320"/>
      <c r="F80" s="1320"/>
      <c r="G80" s="1320"/>
      <c r="H80" s="1319"/>
      <c r="I80" s="1321"/>
      <c r="J80" s="1319"/>
      <c r="K80" s="1321"/>
      <c r="L80" s="1321"/>
      <c r="M80" s="438"/>
      <c r="N80" s="438"/>
      <c r="O80" s="1344"/>
      <c r="P80" s="1362"/>
      <c r="Q80" s="1362"/>
      <c r="R80" s="1344"/>
    </row>
    <row r="81" ht="33.0" customHeight="1">
      <c r="A81" s="1319">
        <f t="shared" si="2"/>
        <v>57</v>
      </c>
      <c r="B81" s="1357"/>
      <c r="C81" s="1320"/>
      <c r="D81" s="1320"/>
      <c r="E81" s="1320"/>
      <c r="F81" s="1320"/>
      <c r="G81" s="1320"/>
      <c r="H81" s="1319"/>
      <c r="I81" s="1321"/>
      <c r="J81" s="1319"/>
      <c r="K81" s="1321"/>
      <c r="L81" s="1321"/>
      <c r="M81" s="438"/>
      <c r="N81" s="438"/>
      <c r="O81" s="1344"/>
      <c r="P81" s="1362"/>
      <c r="Q81" s="1362"/>
      <c r="R81" s="1344"/>
    </row>
    <row r="82" ht="33.0" customHeight="1">
      <c r="A82" s="1319">
        <f t="shared" si="2"/>
        <v>58</v>
      </c>
      <c r="B82" s="1357"/>
      <c r="C82" s="1320"/>
      <c r="D82" s="1320"/>
      <c r="E82" s="1320"/>
      <c r="F82" s="1320"/>
      <c r="G82" s="1320"/>
      <c r="H82" s="1319"/>
      <c r="I82" s="1321"/>
      <c r="J82" s="1319"/>
      <c r="K82" s="1321"/>
      <c r="L82" s="1321"/>
      <c r="M82" s="438"/>
      <c r="N82" s="438"/>
      <c r="O82" s="1344"/>
      <c r="P82" s="1362"/>
      <c r="Q82" s="1362"/>
      <c r="R82" s="1344"/>
    </row>
    <row r="83" ht="33.0" customHeight="1">
      <c r="A83" s="1319">
        <f t="shared" si="2"/>
        <v>59</v>
      </c>
      <c r="B83" s="1357"/>
      <c r="C83" s="1320"/>
      <c r="D83" s="1320"/>
      <c r="E83" s="1320"/>
      <c r="F83" s="1320"/>
      <c r="G83" s="1320"/>
      <c r="H83" s="1319"/>
      <c r="I83" s="1321"/>
      <c r="J83" s="1319"/>
      <c r="K83" s="1321"/>
      <c r="L83" s="1321"/>
      <c r="M83" s="438"/>
      <c r="N83" s="438"/>
      <c r="O83" s="1344"/>
      <c r="P83" s="1362"/>
      <c r="Q83" s="1362"/>
      <c r="R83" s="1344"/>
    </row>
    <row r="84" ht="33.0" customHeight="1">
      <c r="A84" s="1319">
        <f t="shared" si="2"/>
        <v>60</v>
      </c>
      <c r="B84" s="1357"/>
      <c r="C84" s="1320"/>
      <c r="D84" s="1320"/>
      <c r="E84" s="1320"/>
      <c r="F84" s="1320"/>
      <c r="G84" s="1320"/>
      <c r="H84" s="1319"/>
      <c r="I84" s="1321"/>
      <c r="J84" s="1319"/>
      <c r="K84" s="1321"/>
      <c r="L84" s="1321"/>
      <c r="M84" s="438"/>
      <c r="N84" s="438"/>
      <c r="O84" s="1344"/>
      <c r="P84" s="1362"/>
      <c r="Q84" s="1362"/>
      <c r="R84" s="1344"/>
    </row>
    <row r="85" ht="33.0" customHeight="1">
      <c r="A85" s="1319">
        <f t="shared" si="2"/>
        <v>61</v>
      </c>
      <c r="B85" s="1357"/>
      <c r="C85" s="1320"/>
      <c r="D85" s="1320"/>
      <c r="E85" s="1320"/>
      <c r="F85" s="1320"/>
      <c r="G85" s="1320"/>
      <c r="H85" s="1319"/>
      <c r="I85" s="1321"/>
      <c r="J85" s="1319"/>
      <c r="K85" s="1321"/>
      <c r="L85" s="1321"/>
      <c r="M85" s="438"/>
      <c r="N85" s="438"/>
      <c r="O85" s="1344"/>
      <c r="P85" s="1362"/>
      <c r="Q85" s="1362"/>
      <c r="R85" s="1344"/>
    </row>
    <row r="86" ht="33.0" customHeight="1">
      <c r="A86" s="1319">
        <f t="shared" si="2"/>
        <v>62</v>
      </c>
      <c r="B86" s="1357"/>
      <c r="C86" s="1320"/>
      <c r="D86" s="1320"/>
      <c r="E86" s="1320"/>
      <c r="F86" s="1320"/>
      <c r="G86" s="1320"/>
      <c r="H86" s="1319"/>
      <c r="I86" s="1321"/>
      <c r="J86" s="1319"/>
      <c r="K86" s="1321"/>
      <c r="L86" s="1321"/>
      <c r="M86" s="438"/>
      <c r="N86" s="438"/>
      <c r="O86" s="1344"/>
      <c r="P86" s="1362"/>
      <c r="Q86" s="1362"/>
      <c r="R86" s="1344"/>
    </row>
    <row r="87" ht="33.0" customHeight="1">
      <c r="A87" s="1319">
        <f t="shared" si="2"/>
        <v>63</v>
      </c>
      <c r="B87" s="1357"/>
      <c r="C87" s="1320"/>
      <c r="D87" s="1320"/>
      <c r="E87" s="1320"/>
      <c r="F87" s="1320"/>
      <c r="G87" s="1320"/>
      <c r="H87" s="1319"/>
      <c r="I87" s="1321"/>
      <c r="J87" s="1319"/>
      <c r="K87" s="1321"/>
      <c r="L87" s="1321"/>
      <c r="M87" s="438"/>
      <c r="N87" s="438"/>
      <c r="O87" s="1344"/>
      <c r="P87" s="1362"/>
      <c r="Q87" s="1362"/>
      <c r="R87" s="1344"/>
    </row>
    <row r="88" ht="33.0" customHeight="1">
      <c r="A88" s="1319">
        <f t="shared" si="2"/>
        <v>64</v>
      </c>
      <c r="B88" s="1357"/>
      <c r="C88" s="1320"/>
      <c r="D88" s="1320"/>
      <c r="E88" s="1320"/>
      <c r="F88" s="1320"/>
      <c r="G88" s="1320"/>
      <c r="H88" s="1319"/>
      <c r="I88" s="1321"/>
      <c r="J88" s="1319"/>
      <c r="K88" s="1321"/>
      <c r="L88" s="1321"/>
      <c r="M88" s="438"/>
      <c r="N88" s="438"/>
      <c r="O88" s="1344"/>
      <c r="P88" s="1362"/>
      <c r="Q88" s="1362"/>
      <c r="R88" s="1344"/>
    </row>
    <row r="89" ht="33.0" customHeight="1">
      <c r="A89" s="1319">
        <f t="shared" si="2"/>
        <v>65</v>
      </c>
      <c r="B89" s="1357"/>
      <c r="C89" s="1320"/>
      <c r="D89" s="1320"/>
      <c r="E89" s="1320"/>
      <c r="F89" s="1320"/>
      <c r="G89" s="1320"/>
      <c r="H89" s="1319"/>
      <c r="I89" s="1321"/>
      <c r="J89" s="1319"/>
      <c r="K89" s="1321"/>
      <c r="L89" s="1321"/>
      <c r="M89" s="438"/>
      <c r="N89" s="438"/>
      <c r="O89" s="1344"/>
      <c r="P89" s="1362"/>
      <c r="Q89" s="1362"/>
      <c r="R89" s="1344"/>
    </row>
    <row r="90" ht="33.0" customHeight="1">
      <c r="A90" s="1319">
        <f t="shared" si="2"/>
        <v>66</v>
      </c>
      <c r="B90" s="1357"/>
      <c r="C90" s="1320"/>
      <c r="D90" s="1320"/>
      <c r="E90" s="1320"/>
      <c r="F90" s="1320"/>
      <c r="G90" s="1320"/>
      <c r="H90" s="1319"/>
      <c r="I90" s="1321"/>
      <c r="J90" s="1319"/>
      <c r="K90" s="1321"/>
      <c r="L90" s="1321"/>
      <c r="M90" s="438"/>
      <c r="N90" s="438"/>
      <c r="O90" s="1344"/>
      <c r="P90" s="1362"/>
      <c r="Q90" s="1362"/>
      <c r="R90" s="1344"/>
    </row>
    <row r="91" ht="33.0" customHeight="1">
      <c r="A91" s="1319">
        <f t="shared" si="2"/>
        <v>67</v>
      </c>
      <c r="B91" s="1357"/>
      <c r="C91" s="1320"/>
      <c r="D91" s="1320"/>
      <c r="E91" s="1320"/>
      <c r="F91" s="1320"/>
      <c r="G91" s="1320"/>
      <c r="H91" s="1319"/>
      <c r="I91" s="1321"/>
      <c r="J91" s="1319"/>
      <c r="K91" s="1321"/>
      <c r="L91" s="1321"/>
      <c r="M91" s="438"/>
      <c r="N91" s="438"/>
      <c r="O91" s="1344"/>
      <c r="P91" s="1362"/>
      <c r="Q91" s="1362"/>
      <c r="R91" s="1344"/>
    </row>
    <row r="92" ht="33.0" customHeight="1">
      <c r="A92" s="1319">
        <f t="shared" si="2"/>
        <v>68</v>
      </c>
      <c r="B92" s="1357"/>
      <c r="C92" s="1320"/>
      <c r="D92" s="1320"/>
      <c r="E92" s="1320"/>
      <c r="F92" s="1320"/>
      <c r="G92" s="1320"/>
      <c r="H92" s="1319"/>
      <c r="I92" s="1321"/>
      <c r="J92" s="1319"/>
      <c r="K92" s="1321"/>
      <c r="L92" s="1321"/>
      <c r="M92" s="438"/>
      <c r="N92" s="438"/>
      <c r="O92" s="1344"/>
      <c r="P92" s="1362"/>
      <c r="Q92" s="1362"/>
      <c r="R92" s="1344"/>
    </row>
    <row r="93" ht="33.0" customHeight="1">
      <c r="A93" s="1319">
        <f t="shared" si="2"/>
        <v>69</v>
      </c>
      <c r="B93" s="1357"/>
      <c r="C93" s="1320"/>
      <c r="D93" s="1320"/>
      <c r="E93" s="1320"/>
      <c r="F93" s="1320"/>
      <c r="G93" s="1320"/>
      <c r="H93" s="1319"/>
      <c r="I93" s="1321"/>
      <c r="J93" s="1319"/>
      <c r="K93" s="1321"/>
      <c r="L93" s="1321"/>
      <c r="M93" s="438"/>
      <c r="N93" s="438"/>
      <c r="O93" s="1344"/>
      <c r="P93" s="1362"/>
      <c r="Q93" s="1362"/>
      <c r="R93" s="1344"/>
    </row>
    <row r="94" ht="33.0" customHeight="1">
      <c r="A94" s="1319">
        <f t="shared" si="2"/>
        <v>70</v>
      </c>
      <c r="B94" s="1357"/>
      <c r="C94" s="1320"/>
      <c r="D94" s="1320"/>
      <c r="E94" s="1320"/>
      <c r="F94" s="1320"/>
      <c r="G94" s="1320"/>
      <c r="H94" s="1319"/>
      <c r="I94" s="1321"/>
      <c r="J94" s="1319"/>
      <c r="K94" s="1321"/>
      <c r="L94" s="1321"/>
      <c r="M94" s="438"/>
      <c r="N94" s="438"/>
      <c r="O94" s="1344"/>
      <c r="P94" s="1362"/>
      <c r="Q94" s="1362"/>
      <c r="R94" s="1344"/>
    </row>
    <row r="95" ht="33.0" customHeight="1">
      <c r="A95" s="1319">
        <f t="shared" si="2"/>
        <v>71</v>
      </c>
      <c r="B95" s="1357"/>
      <c r="C95" s="1320"/>
      <c r="D95" s="1320"/>
      <c r="E95" s="1320"/>
      <c r="F95" s="1320"/>
      <c r="G95" s="1320"/>
      <c r="H95" s="1319"/>
      <c r="I95" s="1321"/>
      <c r="J95" s="1319"/>
      <c r="K95" s="1321"/>
      <c r="L95" s="1321"/>
      <c r="M95" s="438"/>
      <c r="N95" s="438"/>
      <c r="O95" s="1344"/>
      <c r="P95" s="1362"/>
      <c r="Q95" s="1362"/>
      <c r="R95" s="1344"/>
    </row>
    <row r="96" ht="33.0" customHeight="1">
      <c r="A96" s="1319">
        <f t="shared" si="2"/>
        <v>72</v>
      </c>
      <c r="B96" s="1357"/>
      <c r="C96" s="1320"/>
      <c r="D96" s="1320"/>
      <c r="E96" s="1320"/>
      <c r="F96" s="1320"/>
      <c r="G96" s="1320"/>
      <c r="H96" s="1319"/>
      <c r="I96" s="1321"/>
      <c r="J96" s="1319"/>
      <c r="K96" s="1321"/>
      <c r="L96" s="1321"/>
      <c r="M96" s="438"/>
      <c r="N96" s="438"/>
      <c r="O96" s="1344"/>
      <c r="P96" s="1362"/>
      <c r="Q96" s="1362"/>
      <c r="R96" s="1344"/>
    </row>
    <row r="97" ht="33.0" customHeight="1">
      <c r="A97" s="1319">
        <f t="shared" si="2"/>
        <v>73</v>
      </c>
      <c r="B97" s="1357"/>
      <c r="C97" s="1320"/>
      <c r="D97" s="1320"/>
      <c r="E97" s="1320"/>
      <c r="F97" s="1320"/>
      <c r="G97" s="1320"/>
      <c r="H97" s="1319"/>
      <c r="I97" s="1321"/>
      <c r="J97" s="1319"/>
      <c r="K97" s="1321"/>
      <c r="L97" s="1321"/>
      <c r="M97" s="438"/>
      <c r="N97" s="438"/>
      <c r="O97" s="1344"/>
      <c r="P97" s="1362"/>
      <c r="Q97" s="1362"/>
      <c r="R97" s="1344"/>
    </row>
    <row r="98" ht="33.0" customHeight="1">
      <c r="A98" s="1319">
        <f t="shared" si="2"/>
        <v>74</v>
      </c>
      <c r="B98" s="1357"/>
      <c r="C98" s="1320"/>
      <c r="D98" s="1320"/>
      <c r="E98" s="1320"/>
      <c r="F98" s="1320"/>
      <c r="G98" s="1320"/>
      <c r="H98" s="1319"/>
      <c r="I98" s="1321"/>
      <c r="J98" s="1319"/>
      <c r="K98" s="1321"/>
      <c r="L98" s="1321"/>
      <c r="M98" s="438"/>
      <c r="N98" s="438"/>
      <c r="O98" s="1344"/>
      <c r="P98" s="1362"/>
      <c r="Q98" s="1362"/>
      <c r="R98" s="1344"/>
    </row>
    <row r="99" ht="33.0" customHeight="1">
      <c r="A99" s="1319">
        <f t="shared" si="2"/>
        <v>75</v>
      </c>
      <c r="B99" s="1357"/>
      <c r="C99" s="1320"/>
      <c r="D99" s="1320"/>
      <c r="E99" s="1320"/>
      <c r="F99" s="1320"/>
      <c r="G99" s="1320"/>
      <c r="H99" s="1319"/>
      <c r="I99" s="1321"/>
      <c r="J99" s="1319"/>
      <c r="K99" s="1321"/>
      <c r="L99" s="1321"/>
      <c r="M99" s="438"/>
      <c r="N99" s="438"/>
      <c r="O99" s="1344"/>
      <c r="P99" s="1362"/>
      <c r="Q99" s="1362"/>
      <c r="R99" s="1344"/>
    </row>
    <row r="100" ht="33.0" customHeight="1">
      <c r="A100" s="1319">
        <f t="shared" si="2"/>
        <v>76</v>
      </c>
      <c r="B100" s="1357"/>
      <c r="C100" s="1320"/>
      <c r="D100" s="1320"/>
      <c r="E100" s="1320"/>
      <c r="F100" s="1320"/>
      <c r="G100" s="1320"/>
      <c r="H100" s="1319"/>
      <c r="I100" s="1321"/>
      <c r="J100" s="1319"/>
      <c r="K100" s="1321"/>
      <c r="L100" s="1321"/>
      <c r="M100" s="438"/>
      <c r="N100" s="438"/>
      <c r="O100" s="1344"/>
      <c r="P100" s="1362"/>
      <c r="Q100" s="1362"/>
      <c r="R100" s="1344"/>
    </row>
    <row r="101" ht="14.25" customHeight="1">
      <c r="A101" s="1319">
        <f t="shared" si="2"/>
        <v>77</v>
      </c>
      <c r="B101" s="1357"/>
      <c r="C101" s="1320"/>
      <c r="D101" s="1320"/>
      <c r="E101" s="1320"/>
      <c r="F101" s="1320"/>
      <c r="G101" s="1320"/>
      <c r="H101" s="1319"/>
      <c r="I101" s="1321"/>
      <c r="J101" s="1319"/>
      <c r="K101" s="1321"/>
      <c r="L101" s="1321"/>
      <c r="M101" s="128"/>
      <c r="N101" s="128"/>
      <c r="O101" s="128"/>
      <c r="P101" s="1301"/>
      <c r="Q101" s="1301"/>
      <c r="R101" s="1301"/>
    </row>
    <row r="102" ht="14.25" customHeight="1">
      <c r="A102" s="1319">
        <f t="shared" si="2"/>
        <v>78</v>
      </c>
      <c r="B102" s="1357"/>
      <c r="C102" s="1320"/>
      <c r="D102" s="1320"/>
      <c r="E102" s="1320"/>
      <c r="F102" s="1320"/>
      <c r="G102" s="1320"/>
      <c r="H102" s="1319"/>
      <c r="I102" s="1321"/>
      <c r="J102" s="1319"/>
      <c r="K102" s="1321"/>
      <c r="L102" s="1321"/>
      <c r="M102" s="128"/>
      <c r="N102" s="128"/>
      <c r="O102" s="128"/>
      <c r="P102" s="1301"/>
      <c r="Q102" s="1301"/>
      <c r="R102" s="1301"/>
    </row>
    <row r="103" ht="14.25" customHeight="1">
      <c r="A103" s="1319">
        <f t="shared" si="2"/>
        <v>79</v>
      </c>
      <c r="B103" s="1357"/>
      <c r="C103" s="1320"/>
      <c r="D103" s="1320"/>
      <c r="E103" s="1320"/>
      <c r="F103" s="1320"/>
      <c r="G103" s="1320"/>
      <c r="H103" s="1319"/>
      <c r="I103" s="1321"/>
      <c r="J103" s="1319"/>
      <c r="K103" s="1321"/>
      <c r="L103" s="1321"/>
      <c r="M103" s="128"/>
      <c r="N103" s="128"/>
      <c r="O103" s="128"/>
      <c r="P103" s="1301"/>
      <c r="Q103" s="1301"/>
      <c r="R103" s="1301"/>
    </row>
    <row r="104" ht="14.25" customHeight="1">
      <c r="A104" s="1319">
        <f t="shared" si="2"/>
        <v>80</v>
      </c>
      <c r="B104" s="1357"/>
      <c r="C104" s="1320"/>
      <c r="D104" s="1320"/>
      <c r="E104" s="1320"/>
      <c r="F104" s="1320"/>
      <c r="G104" s="1320"/>
      <c r="H104" s="1319"/>
      <c r="I104" s="1321"/>
      <c r="J104" s="1319"/>
      <c r="K104" s="1321"/>
      <c r="L104" s="1321"/>
      <c r="M104" s="128"/>
      <c r="N104" s="128"/>
      <c r="O104" s="128"/>
      <c r="P104" s="1301"/>
      <c r="Q104" s="1301"/>
      <c r="R104" s="1301"/>
    </row>
    <row r="105" ht="14.25" customHeight="1">
      <c r="A105" s="1319">
        <f t="shared" si="2"/>
        <v>81</v>
      </c>
      <c r="B105" s="1357"/>
      <c r="C105" s="1320"/>
      <c r="D105" s="1320"/>
      <c r="E105" s="1320"/>
      <c r="F105" s="1320"/>
      <c r="G105" s="1320"/>
      <c r="H105" s="1319"/>
      <c r="I105" s="1321"/>
      <c r="J105" s="1319"/>
      <c r="K105" s="1321"/>
      <c r="L105" s="1321"/>
      <c r="M105" s="128"/>
      <c r="N105" s="128"/>
      <c r="O105" s="128"/>
      <c r="P105" s="1301"/>
      <c r="Q105" s="1301"/>
      <c r="R105" s="1301"/>
    </row>
    <row r="106" ht="14.25" customHeight="1">
      <c r="A106" s="1319">
        <f t="shared" si="2"/>
        <v>82</v>
      </c>
      <c r="B106" s="1357"/>
      <c r="C106" s="1320"/>
      <c r="D106" s="1320"/>
      <c r="E106" s="1320"/>
      <c r="F106" s="1320"/>
      <c r="G106" s="1320"/>
      <c r="H106" s="1319"/>
      <c r="I106" s="1321"/>
      <c r="J106" s="1319"/>
      <c r="K106" s="1321"/>
      <c r="L106" s="1321"/>
      <c r="M106" s="128"/>
      <c r="N106" s="128"/>
      <c r="O106" s="128"/>
      <c r="P106" s="1301"/>
      <c r="Q106" s="1301"/>
      <c r="R106" s="1301"/>
    </row>
    <row r="107" ht="14.25" customHeight="1">
      <c r="A107" s="1319">
        <f t="shared" si="2"/>
        <v>83</v>
      </c>
      <c r="B107" s="1357"/>
      <c r="C107" s="1320"/>
      <c r="D107" s="1320"/>
      <c r="E107" s="1320"/>
      <c r="F107" s="1320"/>
      <c r="G107" s="1320"/>
      <c r="H107" s="1319"/>
      <c r="I107" s="1321"/>
      <c r="J107" s="1319"/>
      <c r="K107" s="1321"/>
      <c r="L107" s="1321"/>
      <c r="M107" s="128"/>
      <c r="N107" s="128"/>
      <c r="O107" s="128"/>
      <c r="P107" s="1301"/>
      <c r="Q107" s="1301"/>
      <c r="R107" s="1301"/>
    </row>
    <row r="108" ht="14.25" customHeight="1">
      <c r="A108" s="1319">
        <f t="shared" si="2"/>
        <v>84</v>
      </c>
      <c r="B108" s="1357"/>
      <c r="C108" s="1320"/>
      <c r="D108" s="1320"/>
      <c r="E108" s="1320"/>
      <c r="F108" s="1320"/>
      <c r="G108" s="1320"/>
      <c r="H108" s="1319"/>
      <c r="I108" s="1321"/>
      <c r="J108" s="1319"/>
      <c r="K108" s="1321"/>
      <c r="L108" s="1321"/>
      <c r="M108" s="128"/>
      <c r="N108" s="128"/>
      <c r="O108" s="128"/>
      <c r="P108" s="1301"/>
      <c r="Q108" s="1301"/>
      <c r="R108" s="1301"/>
    </row>
    <row r="109" ht="14.25" customHeight="1">
      <c r="A109" s="1319">
        <f t="shared" si="2"/>
        <v>85</v>
      </c>
      <c r="B109" s="1357"/>
      <c r="C109" s="1320"/>
      <c r="D109" s="1320"/>
      <c r="E109" s="1320"/>
      <c r="F109" s="1320"/>
      <c r="G109" s="1320"/>
      <c r="H109" s="1319"/>
      <c r="I109" s="1321"/>
      <c r="J109" s="1319"/>
      <c r="K109" s="1321"/>
      <c r="L109" s="1321"/>
      <c r="M109" s="128"/>
      <c r="N109" s="128"/>
      <c r="O109" s="128"/>
      <c r="P109" s="1301"/>
      <c r="Q109" s="1301"/>
      <c r="R109" s="1301"/>
    </row>
    <row r="110" ht="14.25" customHeight="1">
      <c r="A110" s="1319">
        <f t="shared" si="2"/>
        <v>86</v>
      </c>
      <c r="B110" s="1357"/>
      <c r="C110" s="1320"/>
      <c r="D110" s="1320"/>
      <c r="E110" s="1320"/>
      <c r="F110" s="1320"/>
      <c r="G110" s="1320"/>
      <c r="H110" s="1319"/>
      <c r="I110" s="1321"/>
      <c r="J110" s="1319"/>
      <c r="K110" s="1321"/>
      <c r="L110" s="1321"/>
      <c r="M110" s="128"/>
      <c r="N110" s="128"/>
      <c r="O110" s="128"/>
      <c r="P110" s="1301"/>
      <c r="Q110" s="1301"/>
      <c r="R110" s="1301"/>
    </row>
    <row r="111" ht="14.25" customHeight="1">
      <c r="A111" s="1319">
        <f t="shared" si="2"/>
        <v>87</v>
      </c>
      <c r="B111" s="1357"/>
      <c r="C111" s="1320"/>
      <c r="D111" s="1320"/>
      <c r="E111" s="1320"/>
      <c r="F111" s="1320"/>
      <c r="G111" s="1320"/>
      <c r="H111" s="1319"/>
      <c r="I111" s="1321"/>
      <c r="J111" s="1319"/>
      <c r="K111" s="1321"/>
      <c r="L111" s="1321"/>
      <c r="M111" s="128"/>
      <c r="N111" s="128"/>
      <c r="O111" s="128"/>
      <c r="P111" s="1301"/>
      <c r="Q111" s="1301"/>
      <c r="R111" s="1301"/>
    </row>
    <row r="112" ht="14.25" customHeight="1">
      <c r="A112" s="1319">
        <f t="shared" si="2"/>
        <v>88</v>
      </c>
      <c r="B112" s="1357"/>
      <c r="C112" s="1320"/>
      <c r="D112" s="1320"/>
      <c r="E112" s="1320"/>
      <c r="F112" s="1320"/>
      <c r="G112" s="1320"/>
      <c r="H112" s="1319"/>
      <c r="I112" s="1321"/>
      <c r="J112" s="1319"/>
      <c r="K112" s="1321"/>
      <c r="L112" s="1321"/>
      <c r="M112" s="128"/>
      <c r="N112" s="128"/>
      <c r="O112" s="128"/>
      <c r="P112" s="1301"/>
      <c r="Q112" s="1301"/>
      <c r="R112" s="1301"/>
    </row>
    <row r="113" ht="14.25" customHeight="1">
      <c r="A113" s="1319">
        <f t="shared" si="2"/>
        <v>89</v>
      </c>
      <c r="B113" s="1357"/>
      <c r="C113" s="1320"/>
      <c r="D113" s="1320"/>
      <c r="E113" s="1320"/>
      <c r="F113" s="1320"/>
      <c r="G113" s="1320"/>
      <c r="H113" s="1319"/>
      <c r="I113" s="1321"/>
      <c r="J113" s="1319"/>
      <c r="K113" s="1321"/>
      <c r="L113" s="1321"/>
      <c r="M113" s="128"/>
      <c r="N113" s="128"/>
      <c r="O113" s="128"/>
      <c r="P113" s="1301"/>
      <c r="Q113" s="1301"/>
      <c r="R113" s="1301"/>
    </row>
    <row r="114" ht="14.25" customHeight="1">
      <c r="A114" s="1319">
        <f t="shared" si="2"/>
        <v>90</v>
      </c>
      <c r="B114" s="1357"/>
      <c r="C114" s="1320"/>
      <c r="D114" s="1320"/>
      <c r="E114" s="1320"/>
      <c r="F114" s="1320"/>
      <c r="G114" s="1320"/>
      <c r="H114" s="1319"/>
      <c r="I114" s="1321"/>
      <c r="J114" s="1319"/>
      <c r="K114" s="1321"/>
      <c r="L114" s="1321"/>
      <c r="M114" s="128"/>
      <c r="N114" s="128"/>
      <c r="O114" s="128"/>
      <c r="P114" s="1301"/>
      <c r="Q114" s="1301"/>
      <c r="R114" s="1301"/>
    </row>
    <row r="115" ht="14.25" customHeight="1">
      <c r="A115" s="1319">
        <f t="shared" si="2"/>
        <v>91</v>
      </c>
      <c r="B115" s="1357"/>
      <c r="C115" s="1320"/>
      <c r="D115" s="1320"/>
      <c r="E115" s="1320"/>
      <c r="F115" s="1320"/>
      <c r="G115" s="1320"/>
      <c r="H115" s="1319"/>
      <c r="I115" s="1321"/>
      <c r="J115" s="1319"/>
      <c r="K115" s="1321"/>
      <c r="L115" s="1321"/>
      <c r="M115" s="128"/>
      <c r="N115" s="128"/>
      <c r="O115" s="128"/>
      <c r="P115" s="1301"/>
      <c r="Q115" s="1301"/>
      <c r="R115" s="1301"/>
    </row>
    <row r="116" ht="14.25" customHeight="1">
      <c r="A116" s="1319">
        <f t="shared" si="2"/>
        <v>92</v>
      </c>
      <c r="B116" s="1357"/>
      <c r="C116" s="1320"/>
      <c r="D116" s="1320"/>
      <c r="E116" s="1320"/>
      <c r="F116" s="1320"/>
      <c r="G116" s="1320"/>
      <c r="H116" s="1319"/>
      <c r="I116" s="1321"/>
      <c r="J116" s="1319"/>
      <c r="K116" s="1321"/>
      <c r="L116" s="1321"/>
      <c r="M116" s="128"/>
      <c r="N116" s="128"/>
      <c r="O116" s="128"/>
      <c r="P116" s="1301"/>
      <c r="Q116" s="1301"/>
      <c r="R116" s="1301"/>
    </row>
    <row r="117" ht="14.25" customHeight="1">
      <c r="A117" s="128"/>
      <c r="B117" s="128"/>
      <c r="C117" s="128"/>
      <c r="D117" s="128"/>
      <c r="E117" s="1300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301"/>
      <c r="Q117" s="1301"/>
      <c r="R117" s="1301"/>
    </row>
    <row r="118" ht="14.25" customHeight="1">
      <c r="A118" s="128"/>
      <c r="B118" s="128"/>
      <c r="C118" s="128"/>
      <c r="D118" s="128"/>
      <c r="E118" s="1300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301"/>
      <c r="Q118" s="1301"/>
      <c r="R118" s="1301"/>
    </row>
    <row r="119" ht="14.25" customHeight="1">
      <c r="A119" s="128"/>
      <c r="B119" s="128"/>
      <c r="C119" s="128"/>
      <c r="D119" s="128"/>
      <c r="E119" s="1300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301"/>
      <c r="Q119" s="1301"/>
      <c r="R119" s="1301"/>
    </row>
    <row r="120" ht="14.25" customHeight="1">
      <c r="A120" s="128"/>
      <c r="B120" s="128"/>
      <c r="C120" s="128"/>
      <c r="D120" s="128"/>
      <c r="E120" s="1300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301"/>
      <c r="Q120" s="1301"/>
      <c r="R120" s="1301"/>
    </row>
    <row r="121" ht="14.25" customHeight="1">
      <c r="A121" s="128"/>
      <c r="B121" s="128"/>
      <c r="C121" s="128"/>
      <c r="D121" s="128"/>
      <c r="E121" s="1300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301"/>
      <c r="Q121" s="1301"/>
      <c r="R121" s="1301"/>
    </row>
    <row r="122" ht="14.25" customHeight="1">
      <c r="A122" s="128"/>
      <c r="B122" s="128"/>
      <c r="C122" s="128"/>
      <c r="D122" s="128"/>
      <c r="E122" s="1300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301"/>
      <c r="Q122" s="1301"/>
      <c r="R122" s="1301"/>
    </row>
    <row r="123" ht="14.25" customHeight="1">
      <c r="A123" s="128"/>
      <c r="B123" s="128"/>
      <c r="C123" s="128"/>
      <c r="D123" s="128"/>
      <c r="E123" s="1300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301"/>
      <c r="Q123" s="1301"/>
      <c r="R123" s="1301"/>
    </row>
    <row r="124" ht="14.25" customHeight="1">
      <c r="A124" s="128"/>
      <c r="B124" s="128"/>
      <c r="C124" s="128"/>
      <c r="D124" s="128"/>
      <c r="E124" s="1300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301"/>
      <c r="Q124" s="1301"/>
      <c r="R124" s="1301"/>
    </row>
    <row r="125" ht="14.25" customHeight="1">
      <c r="A125" s="128"/>
      <c r="B125" s="128"/>
      <c r="C125" s="128"/>
      <c r="D125" s="128"/>
      <c r="E125" s="1300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301"/>
      <c r="Q125" s="1301"/>
      <c r="R125" s="1301"/>
    </row>
    <row r="126" ht="14.25" customHeight="1">
      <c r="A126" s="128"/>
      <c r="B126" s="128"/>
      <c r="C126" s="128"/>
      <c r="D126" s="128"/>
      <c r="E126" s="1300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301"/>
      <c r="Q126" s="1301"/>
      <c r="R126" s="1301"/>
    </row>
    <row r="127" ht="14.25" customHeight="1">
      <c r="A127" s="128"/>
      <c r="B127" s="128"/>
      <c r="C127" s="128"/>
      <c r="D127" s="128"/>
      <c r="E127" s="1300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301"/>
      <c r="Q127" s="1301"/>
      <c r="R127" s="1301"/>
    </row>
    <row r="128" ht="14.25" customHeight="1">
      <c r="A128" s="128"/>
      <c r="B128" s="128"/>
      <c r="C128" s="128"/>
      <c r="D128" s="128"/>
      <c r="E128" s="1300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301"/>
      <c r="Q128" s="1301"/>
      <c r="R128" s="1301"/>
    </row>
    <row r="129" ht="14.25" customHeight="1">
      <c r="A129" s="128"/>
      <c r="B129" s="128"/>
      <c r="C129" s="128"/>
      <c r="D129" s="128"/>
      <c r="E129" s="1300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301"/>
      <c r="Q129" s="1301"/>
      <c r="R129" s="1301"/>
    </row>
    <row r="130" ht="14.25" customHeight="1">
      <c r="A130" s="128"/>
      <c r="B130" s="128"/>
      <c r="C130" s="128"/>
      <c r="D130" s="128"/>
      <c r="E130" s="1300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301"/>
      <c r="Q130" s="1301"/>
      <c r="R130" s="1301"/>
    </row>
    <row r="131" ht="14.25" customHeight="1">
      <c r="A131" s="128"/>
      <c r="B131" s="128"/>
      <c r="C131" s="128"/>
      <c r="D131" s="128"/>
      <c r="E131" s="1300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301"/>
      <c r="Q131" s="1301"/>
      <c r="R131" s="1301"/>
    </row>
    <row r="132" ht="14.25" customHeight="1">
      <c r="A132" s="128"/>
      <c r="B132" s="128"/>
      <c r="C132" s="128"/>
      <c r="D132" s="128"/>
      <c r="E132" s="1300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301"/>
      <c r="Q132" s="1301"/>
      <c r="R132" s="1301"/>
    </row>
    <row r="133" ht="14.25" customHeight="1">
      <c r="A133" s="128"/>
      <c r="B133" s="128"/>
      <c r="C133" s="128"/>
      <c r="D133" s="128"/>
      <c r="E133" s="1300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301"/>
      <c r="Q133" s="1301"/>
      <c r="R133" s="1301"/>
    </row>
    <row r="134" ht="14.25" customHeight="1">
      <c r="A134" s="128"/>
      <c r="B134" s="128"/>
      <c r="C134" s="128"/>
      <c r="D134" s="128"/>
      <c r="E134" s="1300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301"/>
      <c r="Q134" s="1301"/>
      <c r="R134" s="1301"/>
    </row>
    <row r="135" ht="14.25" customHeight="1">
      <c r="A135" s="128"/>
      <c r="B135" s="128"/>
      <c r="C135" s="128"/>
      <c r="D135" s="128"/>
      <c r="E135" s="1300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301"/>
      <c r="Q135" s="1301"/>
      <c r="R135" s="1301"/>
    </row>
    <row r="136" ht="14.25" customHeight="1">
      <c r="A136" s="128"/>
      <c r="B136" s="128"/>
      <c r="C136" s="128"/>
      <c r="D136" s="128"/>
      <c r="E136" s="1300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301"/>
      <c r="Q136" s="1301"/>
      <c r="R136" s="1301"/>
    </row>
    <row r="137" ht="14.25" customHeight="1">
      <c r="A137" s="128"/>
      <c r="B137" s="128"/>
      <c r="C137" s="128"/>
      <c r="D137" s="128"/>
      <c r="E137" s="1300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301"/>
      <c r="Q137" s="1301"/>
      <c r="R137" s="1301"/>
    </row>
    <row r="138" ht="14.25" customHeight="1">
      <c r="A138" s="128"/>
      <c r="B138" s="128"/>
      <c r="C138" s="128"/>
      <c r="D138" s="128"/>
      <c r="E138" s="1300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301"/>
      <c r="Q138" s="1301"/>
      <c r="R138" s="1301"/>
    </row>
    <row r="139" ht="14.25" customHeight="1">
      <c r="A139" s="128"/>
      <c r="B139" s="128"/>
      <c r="C139" s="128"/>
      <c r="D139" s="128"/>
      <c r="E139" s="1300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301"/>
      <c r="Q139" s="1301"/>
      <c r="R139" s="1301"/>
    </row>
    <row r="140" ht="14.25" customHeight="1">
      <c r="A140" s="128"/>
      <c r="B140" s="128"/>
      <c r="C140" s="128"/>
      <c r="D140" s="128"/>
      <c r="E140" s="1300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301"/>
      <c r="Q140" s="1301"/>
      <c r="R140" s="1301"/>
    </row>
    <row r="141" ht="14.25" customHeight="1">
      <c r="A141" s="128"/>
      <c r="B141" s="128"/>
      <c r="C141" s="128"/>
      <c r="D141" s="128"/>
      <c r="E141" s="1300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301"/>
      <c r="Q141" s="1301"/>
      <c r="R141" s="1301"/>
    </row>
    <row r="142" ht="14.25" customHeight="1">
      <c r="A142" s="128"/>
      <c r="B142" s="128"/>
      <c r="C142" s="128"/>
      <c r="D142" s="128"/>
      <c r="E142" s="1300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301"/>
      <c r="Q142" s="1301"/>
      <c r="R142" s="1301"/>
    </row>
    <row r="143" ht="14.25" customHeight="1">
      <c r="A143" s="128"/>
      <c r="B143" s="128"/>
      <c r="C143" s="128"/>
      <c r="D143" s="128"/>
      <c r="E143" s="1300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301"/>
      <c r="Q143" s="1301"/>
      <c r="R143" s="1301"/>
    </row>
    <row r="144" ht="14.25" customHeight="1">
      <c r="A144" s="128"/>
      <c r="B144" s="128"/>
      <c r="C144" s="128"/>
      <c r="D144" s="128"/>
      <c r="E144" s="1300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301"/>
      <c r="Q144" s="1301"/>
      <c r="R144" s="1301"/>
    </row>
    <row r="145" ht="14.25" customHeight="1">
      <c r="A145" s="128"/>
      <c r="B145" s="128"/>
      <c r="C145" s="128"/>
      <c r="D145" s="128"/>
      <c r="E145" s="1300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301"/>
      <c r="Q145" s="1301"/>
      <c r="R145" s="1301"/>
    </row>
    <row r="146" ht="14.25" customHeight="1">
      <c r="A146" s="128"/>
      <c r="B146" s="128"/>
      <c r="C146" s="128"/>
      <c r="D146" s="128"/>
      <c r="E146" s="1300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301"/>
      <c r="Q146" s="1301"/>
      <c r="R146" s="1301"/>
    </row>
    <row r="147" ht="14.25" customHeight="1">
      <c r="A147" s="128"/>
      <c r="B147" s="128"/>
      <c r="C147" s="128"/>
      <c r="D147" s="128"/>
      <c r="E147" s="1300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301"/>
      <c r="Q147" s="1301"/>
      <c r="R147" s="1301"/>
    </row>
    <row r="148" ht="14.25" customHeight="1">
      <c r="A148" s="128"/>
      <c r="B148" s="128"/>
      <c r="C148" s="128"/>
      <c r="D148" s="128"/>
      <c r="E148" s="1300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301"/>
      <c r="Q148" s="1301"/>
      <c r="R148" s="1301"/>
    </row>
    <row r="149" ht="14.25" customHeight="1">
      <c r="A149" s="128"/>
      <c r="B149" s="128"/>
      <c r="C149" s="128"/>
      <c r="D149" s="128"/>
      <c r="E149" s="1300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301"/>
      <c r="Q149" s="1301"/>
      <c r="R149" s="1301"/>
    </row>
    <row r="150" ht="14.25" customHeight="1">
      <c r="A150" s="128"/>
      <c r="B150" s="128"/>
      <c r="C150" s="128"/>
      <c r="D150" s="128"/>
      <c r="E150" s="1300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301"/>
      <c r="Q150" s="1301"/>
      <c r="R150" s="1301"/>
    </row>
    <row r="151" ht="14.25" customHeight="1">
      <c r="A151" s="128"/>
      <c r="B151" s="128"/>
      <c r="C151" s="128"/>
      <c r="D151" s="128"/>
      <c r="E151" s="1300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301"/>
      <c r="Q151" s="1301"/>
      <c r="R151" s="1301"/>
    </row>
    <row r="152" ht="14.25" customHeight="1">
      <c r="A152" s="128"/>
      <c r="B152" s="128"/>
      <c r="C152" s="128"/>
      <c r="D152" s="128"/>
      <c r="E152" s="1300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301"/>
      <c r="Q152" s="1301"/>
      <c r="R152" s="1301"/>
    </row>
    <row r="153" ht="14.25" customHeight="1">
      <c r="A153" s="128"/>
      <c r="B153" s="128"/>
      <c r="C153" s="128"/>
      <c r="D153" s="128"/>
      <c r="E153" s="1300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301"/>
      <c r="Q153" s="1301"/>
      <c r="R153" s="1301"/>
    </row>
    <row r="154" ht="14.25" customHeight="1">
      <c r="A154" s="128"/>
      <c r="B154" s="128"/>
      <c r="C154" s="128"/>
      <c r="D154" s="128"/>
      <c r="E154" s="1300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301"/>
      <c r="Q154" s="1301"/>
      <c r="R154" s="1301"/>
    </row>
    <row r="155" ht="14.25" customHeight="1">
      <c r="A155" s="128"/>
      <c r="B155" s="128"/>
      <c r="C155" s="128"/>
      <c r="D155" s="128"/>
      <c r="E155" s="1300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301"/>
      <c r="Q155" s="1301"/>
      <c r="R155" s="1301"/>
    </row>
    <row r="156" ht="14.25" customHeight="1">
      <c r="A156" s="128"/>
      <c r="B156" s="128"/>
      <c r="C156" s="128"/>
      <c r="D156" s="128"/>
      <c r="E156" s="1300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301"/>
      <c r="Q156" s="1301"/>
      <c r="R156" s="1301"/>
    </row>
    <row r="157" ht="14.25" customHeight="1">
      <c r="A157" s="128"/>
      <c r="B157" s="128"/>
      <c r="C157" s="128"/>
      <c r="D157" s="128"/>
      <c r="E157" s="1300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301"/>
      <c r="Q157" s="1301"/>
      <c r="R157" s="1301"/>
    </row>
    <row r="158" ht="14.25" customHeight="1">
      <c r="A158" s="128"/>
      <c r="B158" s="128"/>
      <c r="C158" s="128"/>
      <c r="D158" s="128"/>
      <c r="E158" s="1300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301"/>
      <c r="Q158" s="1301"/>
      <c r="R158" s="1301"/>
    </row>
    <row r="159" ht="14.25" customHeight="1">
      <c r="A159" s="128"/>
      <c r="B159" s="128"/>
      <c r="C159" s="128"/>
      <c r="D159" s="128"/>
      <c r="E159" s="1300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301"/>
      <c r="Q159" s="1301"/>
      <c r="R159" s="1301"/>
    </row>
    <row r="160" ht="14.25" customHeight="1">
      <c r="A160" s="128"/>
      <c r="B160" s="128"/>
      <c r="C160" s="128"/>
      <c r="D160" s="128"/>
      <c r="E160" s="1300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301"/>
      <c r="Q160" s="1301"/>
      <c r="R160" s="1301"/>
    </row>
    <row r="161" ht="14.25" customHeight="1">
      <c r="A161" s="128"/>
      <c r="B161" s="128"/>
      <c r="C161" s="128"/>
      <c r="D161" s="128"/>
      <c r="E161" s="1300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301"/>
      <c r="Q161" s="1301"/>
      <c r="R161" s="1301"/>
    </row>
    <row r="162" ht="14.25" customHeight="1">
      <c r="A162" s="128"/>
      <c r="B162" s="128"/>
      <c r="C162" s="128"/>
      <c r="D162" s="128"/>
      <c r="E162" s="1300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301"/>
      <c r="Q162" s="1301"/>
      <c r="R162" s="1301"/>
    </row>
    <row r="163" ht="14.25" customHeight="1">
      <c r="A163" s="128"/>
      <c r="B163" s="128"/>
      <c r="C163" s="128"/>
      <c r="D163" s="128"/>
      <c r="E163" s="1300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301"/>
      <c r="Q163" s="1301"/>
      <c r="R163" s="1301"/>
    </row>
    <row r="164" ht="14.25" customHeight="1">
      <c r="A164" s="128"/>
      <c r="B164" s="128"/>
      <c r="C164" s="128"/>
      <c r="D164" s="128"/>
      <c r="E164" s="1300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301"/>
      <c r="Q164" s="1301"/>
      <c r="R164" s="1301"/>
    </row>
    <row r="165" ht="14.25" customHeight="1">
      <c r="A165" s="128"/>
      <c r="B165" s="128"/>
      <c r="C165" s="128"/>
      <c r="D165" s="128"/>
      <c r="E165" s="1300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301"/>
      <c r="Q165" s="1301"/>
      <c r="R165" s="1301"/>
    </row>
    <row r="166" ht="14.25" customHeight="1">
      <c r="A166" s="128"/>
      <c r="B166" s="128"/>
      <c r="C166" s="128"/>
      <c r="D166" s="128"/>
      <c r="E166" s="1300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301"/>
      <c r="Q166" s="1301"/>
      <c r="R166" s="1301"/>
    </row>
    <row r="167" ht="14.25" customHeight="1">
      <c r="A167" s="128"/>
      <c r="B167" s="128"/>
      <c r="C167" s="128"/>
      <c r="D167" s="128"/>
      <c r="E167" s="1300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301"/>
      <c r="Q167" s="1301"/>
      <c r="R167" s="1301"/>
    </row>
    <row r="168" ht="14.25" customHeight="1">
      <c r="A168" s="128"/>
      <c r="B168" s="128"/>
      <c r="C168" s="128"/>
      <c r="D168" s="128"/>
      <c r="E168" s="1300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301"/>
      <c r="Q168" s="1301"/>
      <c r="R168" s="1301"/>
    </row>
    <row r="169" ht="14.25" customHeight="1">
      <c r="A169" s="128"/>
      <c r="B169" s="128"/>
      <c r="C169" s="128"/>
      <c r="D169" s="128"/>
      <c r="E169" s="1300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301"/>
      <c r="Q169" s="1301"/>
      <c r="R169" s="1301"/>
    </row>
    <row r="170" ht="14.25" customHeight="1">
      <c r="A170" s="128"/>
      <c r="B170" s="128"/>
      <c r="C170" s="128"/>
      <c r="D170" s="128"/>
      <c r="E170" s="1300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301"/>
      <c r="Q170" s="1301"/>
      <c r="R170" s="1301"/>
    </row>
    <row r="171" ht="14.25" customHeight="1">
      <c r="A171" s="128"/>
      <c r="B171" s="128"/>
      <c r="C171" s="128"/>
      <c r="D171" s="128"/>
      <c r="E171" s="1300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301"/>
      <c r="Q171" s="1301"/>
      <c r="R171" s="1301"/>
    </row>
    <row r="172" ht="14.25" customHeight="1">
      <c r="A172" s="128"/>
      <c r="B172" s="128"/>
      <c r="C172" s="128"/>
      <c r="D172" s="128"/>
      <c r="E172" s="1300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301"/>
      <c r="Q172" s="1301"/>
      <c r="R172" s="1301"/>
    </row>
    <row r="173" ht="14.25" customHeight="1">
      <c r="A173" s="128"/>
      <c r="B173" s="128"/>
      <c r="C173" s="128"/>
      <c r="D173" s="128"/>
      <c r="E173" s="1300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301"/>
      <c r="Q173" s="1301"/>
      <c r="R173" s="1301"/>
    </row>
    <row r="174" ht="14.25" customHeight="1">
      <c r="A174" s="128"/>
      <c r="B174" s="128"/>
      <c r="C174" s="128"/>
      <c r="D174" s="128"/>
      <c r="E174" s="1300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301"/>
      <c r="Q174" s="1301"/>
      <c r="R174" s="1301"/>
    </row>
    <row r="175" ht="14.25" customHeight="1">
      <c r="A175" s="128"/>
      <c r="B175" s="128"/>
      <c r="C175" s="128"/>
      <c r="D175" s="128"/>
      <c r="E175" s="1300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301"/>
      <c r="Q175" s="1301"/>
      <c r="R175" s="1301"/>
    </row>
    <row r="176" ht="14.25" customHeight="1">
      <c r="A176" s="128"/>
      <c r="B176" s="128"/>
      <c r="C176" s="128"/>
      <c r="D176" s="128"/>
      <c r="E176" s="1300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301"/>
      <c r="Q176" s="1301"/>
      <c r="R176" s="1301"/>
    </row>
    <row r="177" ht="14.25" customHeight="1">
      <c r="A177" s="128"/>
      <c r="B177" s="128"/>
      <c r="C177" s="128"/>
      <c r="D177" s="128"/>
      <c r="E177" s="1300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301"/>
      <c r="Q177" s="1301"/>
      <c r="R177" s="1301"/>
    </row>
    <row r="178" ht="14.25" customHeight="1">
      <c r="A178" s="128"/>
      <c r="B178" s="128"/>
      <c r="C178" s="128"/>
      <c r="D178" s="128"/>
      <c r="E178" s="1300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301"/>
      <c r="Q178" s="1301"/>
      <c r="R178" s="1301"/>
    </row>
    <row r="179" ht="14.25" customHeight="1">
      <c r="A179" s="128"/>
      <c r="B179" s="128"/>
      <c r="C179" s="128"/>
      <c r="D179" s="128"/>
      <c r="E179" s="1300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301"/>
      <c r="Q179" s="1301"/>
      <c r="R179" s="1301"/>
    </row>
    <row r="180" ht="14.25" customHeight="1">
      <c r="A180" s="128"/>
      <c r="B180" s="128"/>
      <c r="C180" s="128"/>
      <c r="D180" s="128"/>
      <c r="E180" s="1300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301"/>
      <c r="Q180" s="1301"/>
      <c r="R180" s="1301"/>
    </row>
    <row r="181" ht="14.25" customHeight="1">
      <c r="A181" s="128"/>
      <c r="B181" s="128"/>
      <c r="C181" s="128"/>
      <c r="D181" s="128"/>
      <c r="E181" s="1300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301"/>
      <c r="Q181" s="1301"/>
      <c r="R181" s="1301"/>
    </row>
    <row r="182" ht="14.25" customHeight="1">
      <c r="A182" s="128"/>
      <c r="B182" s="128"/>
      <c r="C182" s="128"/>
      <c r="D182" s="128"/>
      <c r="E182" s="1300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301"/>
      <c r="Q182" s="1301"/>
      <c r="R182" s="1301"/>
    </row>
    <row r="183" ht="14.25" customHeight="1">
      <c r="A183" s="128"/>
      <c r="B183" s="128"/>
      <c r="C183" s="128"/>
      <c r="D183" s="128"/>
      <c r="E183" s="1300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301"/>
      <c r="Q183" s="1301"/>
      <c r="R183" s="1301"/>
    </row>
    <row r="184" ht="14.25" customHeight="1">
      <c r="A184" s="128"/>
      <c r="B184" s="128"/>
      <c r="C184" s="128"/>
      <c r="D184" s="128"/>
      <c r="E184" s="1300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301"/>
      <c r="Q184" s="1301"/>
      <c r="R184" s="1301"/>
    </row>
    <row r="185" ht="14.25" customHeight="1">
      <c r="A185" s="128"/>
      <c r="B185" s="128"/>
      <c r="C185" s="128"/>
      <c r="D185" s="128"/>
      <c r="E185" s="1300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301"/>
      <c r="Q185" s="1301"/>
      <c r="R185" s="1301"/>
    </row>
    <row r="186" ht="14.25" customHeight="1">
      <c r="A186" s="128"/>
      <c r="B186" s="128"/>
      <c r="C186" s="128"/>
      <c r="D186" s="128"/>
      <c r="E186" s="1300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301"/>
      <c r="Q186" s="1301"/>
      <c r="R186" s="1301"/>
    </row>
    <row r="187" ht="14.25" customHeight="1">
      <c r="A187" s="128"/>
      <c r="B187" s="128"/>
      <c r="C187" s="128"/>
      <c r="D187" s="128"/>
      <c r="E187" s="1300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301"/>
      <c r="Q187" s="1301"/>
      <c r="R187" s="1301"/>
    </row>
    <row r="188" ht="14.25" customHeight="1">
      <c r="A188" s="128"/>
      <c r="B188" s="128"/>
      <c r="C188" s="128"/>
      <c r="D188" s="128"/>
      <c r="E188" s="1300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301"/>
      <c r="Q188" s="1301"/>
      <c r="R188" s="1301"/>
    </row>
    <row r="189" ht="14.25" customHeight="1">
      <c r="A189" s="128"/>
      <c r="B189" s="128"/>
      <c r="C189" s="128"/>
      <c r="D189" s="128"/>
      <c r="E189" s="1300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301"/>
      <c r="Q189" s="1301"/>
      <c r="R189" s="1301"/>
    </row>
    <row r="190" ht="14.25" customHeight="1">
      <c r="A190" s="128"/>
      <c r="B190" s="128"/>
      <c r="C190" s="128"/>
      <c r="D190" s="128"/>
      <c r="E190" s="1300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301"/>
      <c r="Q190" s="1301"/>
      <c r="R190" s="1301"/>
    </row>
    <row r="191" ht="14.25" customHeight="1">
      <c r="A191" s="128"/>
      <c r="B191" s="128"/>
      <c r="C191" s="128"/>
      <c r="D191" s="128"/>
      <c r="E191" s="1300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301"/>
      <c r="Q191" s="1301"/>
      <c r="R191" s="1301"/>
    </row>
    <row r="192" ht="14.25" customHeight="1">
      <c r="A192" s="128"/>
      <c r="B192" s="128"/>
      <c r="C192" s="128"/>
      <c r="D192" s="128"/>
      <c r="E192" s="1300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301"/>
      <c r="Q192" s="1301"/>
      <c r="R192" s="1301"/>
    </row>
    <row r="193" ht="14.25" customHeight="1">
      <c r="A193" s="128"/>
      <c r="B193" s="128"/>
      <c r="C193" s="128"/>
      <c r="D193" s="128"/>
      <c r="E193" s="1300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301"/>
      <c r="Q193" s="1301"/>
      <c r="R193" s="1301"/>
    </row>
    <row r="194" ht="14.25" customHeight="1">
      <c r="A194" s="128"/>
      <c r="B194" s="128"/>
      <c r="C194" s="128"/>
      <c r="D194" s="128"/>
      <c r="E194" s="1300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301"/>
      <c r="Q194" s="1301"/>
      <c r="R194" s="1301"/>
    </row>
    <row r="195" ht="14.25" customHeight="1">
      <c r="A195" s="128"/>
      <c r="B195" s="128"/>
      <c r="C195" s="128"/>
      <c r="D195" s="128"/>
      <c r="E195" s="1300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301"/>
      <c r="Q195" s="1301"/>
      <c r="R195" s="1301"/>
    </row>
    <row r="196" ht="14.25" customHeight="1">
      <c r="A196" s="128"/>
      <c r="B196" s="128"/>
      <c r="C196" s="128"/>
      <c r="D196" s="128"/>
      <c r="E196" s="1300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301"/>
      <c r="Q196" s="1301"/>
      <c r="R196" s="1301"/>
    </row>
    <row r="197" ht="14.25" customHeight="1">
      <c r="A197" s="128"/>
      <c r="B197" s="128"/>
      <c r="C197" s="128"/>
      <c r="D197" s="128"/>
      <c r="E197" s="1300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301"/>
      <c r="Q197" s="1301"/>
      <c r="R197" s="1301"/>
    </row>
    <row r="198" ht="14.25" customHeight="1">
      <c r="A198" s="128"/>
      <c r="B198" s="128"/>
      <c r="C198" s="128"/>
      <c r="D198" s="128"/>
      <c r="E198" s="1300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301"/>
      <c r="Q198" s="1301"/>
      <c r="R198" s="1301"/>
    </row>
    <row r="199" ht="14.25" customHeight="1">
      <c r="A199" s="128"/>
      <c r="B199" s="128"/>
      <c r="C199" s="128"/>
      <c r="D199" s="128"/>
      <c r="E199" s="1300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301"/>
      <c r="Q199" s="1301"/>
      <c r="R199" s="1301"/>
    </row>
    <row r="200" ht="14.25" customHeight="1">
      <c r="A200" s="128"/>
      <c r="B200" s="128"/>
      <c r="C200" s="128"/>
      <c r="D200" s="128"/>
      <c r="E200" s="1300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301"/>
      <c r="Q200" s="1301"/>
      <c r="R200" s="1301"/>
    </row>
    <row r="201" ht="14.25" customHeight="1">
      <c r="A201" s="128"/>
      <c r="B201" s="128"/>
      <c r="C201" s="128"/>
      <c r="D201" s="128"/>
      <c r="E201" s="1300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301"/>
      <c r="Q201" s="1301"/>
      <c r="R201" s="1301"/>
    </row>
    <row r="202" ht="14.25" customHeight="1">
      <c r="A202" s="128"/>
      <c r="B202" s="128"/>
      <c r="C202" s="128"/>
      <c r="D202" s="128"/>
      <c r="E202" s="1300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301"/>
      <c r="Q202" s="1301"/>
      <c r="R202" s="1301"/>
    </row>
    <row r="203" ht="14.25" customHeight="1">
      <c r="A203" s="128"/>
      <c r="B203" s="128"/>
      <c r="C203" s="128"/>
      <c r="D203" s="128"/>
      <c r="E203" s="1300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301"/>
      <c r="Q203" s="1301"/>
      <c r="R203" s="1301"/>
    </row>
    <row r="204" ht="14.25" customHeight="1">
      <c r="A204" s="128"/>
      <c r="B204" s="128"/>
      <c r="C204" s="128"/>
      <c r="D204" s="128"/>
      <c r="E204" s="1300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301"/>
      <c r="Q204" s="1301"/>
      <c r="R204" s="1301"/>
    </row>
    <row r="205" ht="14.25" customHeight="1">
      <c r="A205" s="128"/>
      <c r="B205" s="128"/>
      <c r="C205" s="128"/>
      <c r="D205" s="128"/>
      <c r="E205" s="1300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301"/>
      <c r="Q205" s="1301"/>
      <c r="R205" s="1301"/>
    </row>
    <row r="206" ht="14.25" customHeight="1">
      <c r="A206" s="128"/>
      <c r="B206" s="128"/>
      <c r="C206" s="128"/>
      <c r="D206" s="128"/>
      <c r="E206" s="1300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301"/>
      <c r="Q206" s="1301"/>
      <c r="R206" s="1301"/>
    </row>
    <row r="207" ht="14.25" customHeight="1">
      <c r="A207" s="128"/>
      <c r="B207" s="128"/>
      <c r="C207" s="128"/>
      <c r="D207" s="128"/>
      <c r="E207" s="1300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301"/>
      <c r="Q207" s="1301"/>
      <c r="R207" s="1301"/>
    </row>
    <row r="208" ht="14.25" customHeight="1">
      <c r="A208" s="128"/>
      <c r="B208" s="128"/>
      <c r="C208" s="128"/>
      <c r="D208" s="128"/>
      <c r="E208" s="1300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301"/>
      <c r="Q208" s="1301"/>
      <c r="R208" s="1301"/>
    </row>
    <row r="209" ht="14.25" customHeight="1">
      <c r="A209" s="128"/>
      <c r="B209" s="128"/>
      <c r="C209" s="128"/>
      <c r="D209" s="128"/>
      <c r="E209" s="1300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301"/>
      <c r="Q209" s="1301"/>
      <c r="R209" s="1301"/>
    </row>
    <row r="210" ht="14.25" customHeight="1">
      <c r="A210" s="128"/>
      <c r="B210" s="128"/>
      <c r="C210" s="128"/>
      <c r="D210" s="128"/>
      <c r="E210" s="1300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301"/>
      <c r="Q210" s="1301"/>
      <c r="R210" s="1301"/>
    </row>
    <row r="211" ht="14.25" customHeight="1">
      <c r="A211" s="128"/>
      <c r="B211" s="128"/>
      <c r="C211" s="128"/>
      <c r="D211" s="128"/>
      <c r="E211" s="1300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301"/>
      <c r="Q211" s="1301"/>
      <c r="R211" s="1301"/>
    </row>
    <row r="212" ht="14.25" customHeight="1">
      <c r="A212" s="128"/>
      <c r="B212" s="128"/>
      <c r="C212" s="128"/>
      <c r="D212" s="128"/>
      <c r="E212" s="1300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301"/>
      <c r="Q212" s="1301"/>
      <c r="R212" s="1301"/>
    </row>
    <row r="213" ht="14.25" customHeight="1">
      <c r="A213" s="128"/>
      <c r="B213" s="128"/>
      <c r="C213" s="128"/>
      <c r="D213" s="128"/>
      <c r="E213" s="1300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301"/>
      <c r="Q213" s="1301"/>
      <c r="R213" s="1301"/>
    </row>
    <row r="214" ht="14.25" customHeight="1">
      <c r="A214" s="128"/>
      <c r="B214" s="128"/>
      <c r="C214" s="128"/>
      <c r="D214" s="128"/>
      <c r="E214" s="1300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301"/>
      <c r="Q214" s="1301"/>
      <c r="R214" s="1301"/>
    </row>
    <row r="215" ht="14.25" customHeight="1">
      <c r="A215" s="128"/>
      <c r="B215" s="128"/>
      <c r="C215" s="128"/>
      <c r="D215" s="128"/>
      <c r="E215" s="1300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301"/>
      <c r="Q215" s="1301"/>
      <c r="R215" s="1301"/>
    </row>
    <row r="216" ht="14.25" customHeight="1">
      <c r="A216" s="128"/>
      <c r="B216" s="128"/>
      <c r="C216" s="128"/>
      <c r="D216" s="128"/>
      <c r="E216" s="1300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301"/>
      <c r="Q216" s="1301"/>
      <c r="R216" s="1301"/>
    </row>
    <row r="217" ht="14.25" customHeight="1">
      <c r="A217" s="128"/>
      <c r="B217" s="128"/>
      <c r="C217" s="128"/>
      <c r="D217" s="128"/>
      <c r="E217" s="1300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301"/>
      <c r="Q217" s="1301"/>
      <c r="R217" s="1301"/>
    </row>
    <row r="218" ht="14.25" customHeight="1">
      <c r="A218" s="128"/>
      <c r="B218" s="128"/>
      <c r="C218" s="128"/>
      <c r="D218" s="128"/>
      <c r="E218" s="1300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301"/>
      <c r="Q218" s="1301"/>
      <c r="R218" s="1301"/>
    </row>
    <row r="219" ht="14.25" customHeight="1">
      <c r="A219" s="128"/>
      <c r="B219" s="128"/>
      <c r="C219" s="128"/>
      <c r="D219" s="128"/>
      <c r="E219" s="1300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301"/>
      <c r="Q219" s="1301"/>
      <c r="R219" s="1301"/>
    </row>
    <row r="220" ht="14.25" customHeight="1">
      <c r="A220" s="128"/>
      <c r="B220" s="128"/>
      <c r="C220" s="128"/>
      <c r="D220" s="128"/>
      <c r="E220" s="1300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301"/>
      <c r="Q220" s="1301"/>
      <c r="R220" s="1301"/>
    </row>
    <row r="221" ht="14.25" customHeight="1">
      <c r="A221" s="128"/>
      <c r="B221" s="128"/>
      <c r="C221" s="128"/>
      <c r="D221" s="128"/>
      <c r="E221" s="1300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301"/>
      <c r="Q221" s="1301"/>
      <c r="R221" s="1301"/>
    </row>
    <row r="222" ht="14.25" customHeight="1">
      <c r="A222" s="128"/>
      <c r="B222" s="128"/>
      <c r="C222" s="128"/>
      <c r="D222" s="128"/>
      <c r="E222" s="1300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301"/>
      <c r="Q222" s="1301"/>
      <c r="R222" s="1301"/>
    </row>
    <row r="223" ht="14.25" customHeight="1">
      <c r="A223" s="128"/>
      <c r="B223" s="128"/>
      <c r="C223" s="128"/>
      <c r="D223" s="128"/>
      <c r="E223" s="1300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301"/>
      <c r="Q223" s="1301"/>
      <c r="R223" s="1301"/>
    </row>
    <row r="224" ht="14.25" customHeight="1">
      <c r="A224" s="128"/>
      <c r="B224" s="128"/>
      <c r="C224" s="128"/>
      <c r="D224" s="128"/>
      <c r="E224" s="1300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301"/>
      <c r="Q224" s="1301"/>
      <c r="R224" s="1301"/>
    </row>
    <row r="225" ht="14.25" customHeight="1">
      <c r="A225" s="128"/>
      <c r="B225" s="128"/>
      <c r="C225" s="128"/>
      <c r="D225" s="128"/>
      <c r="E225" s="1300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301"/>
      <c r="Q225" s="1301"/>
      <c r="R225" s="1301"/>
    </row>
    <row r="226" ht="14.25" customHeight="1">
      <c r="A226" s="128"/>
      <c r="B226" s="128"/>
      <c r="C226" s="128"/>
      <c r="D226" s="128"/>
      <c r="E226" s="1300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301"/>
      <c r="Q226" s="1301"/>
      <c r="R226" s="1301"/>
    </row>
    <row r="227" ht="14.25" customHeight="1">
      <c r="A227" s="128"/>
      <c r="B227" s="128"/>
      <c r="C227" s="128"/>
      <c r="D227" s="128"/>
      <c r="E227" s="1300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301"/>
      <c r="Q227" s="1301"/>
      <c r="R227" s="1301"/>
    </row>
    <row r="228" ht="14.25" customHeight="1">
      <c r="A228" s="128"/>
      <c r="B228" s="128"/>
      <c r="C228" s="128"/>
      <c r="D228" s="128"/>
      <c r="E228" s="1300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301"/>
      <c r="Q228" s="1301"/>
      <c r="R228" s="1301"/>
    </row>
    <row r="229" ht="14.25" customHeight="1">
      <c r="A229" s="128"/>
      <c r="B229" s="128"/>
      <c r="C229" s="128"/>
      <c r="D229" s="128"/>
      <c r="E229" s="1300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301"/>
      <c r="Q229" s="1301"/>
      <c r="R229" s="1301"/>
    </row>
    <row r="230" ht="14.25" customHeight="1">
      <c r="A230" s="128"/>
      <c r="B230" s="128"/>
      <c r="C230" s="128"/>
      <c r="D230" s="128"/>
      <c r="E230" s="1300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301"/>
      <c r="Q230" s="1301"/>
      <c r="R230" s="1301"/>
    </row>
    <row r="231" ht="14.25" customHeight="1">
      <c r="A231" s="128"/>
      <c r="B231" s="128"/>
      <c r="C231" s="128"/>
      <c r="D231" s="128"/>
      <c r="E231" s="1300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301"/>
      <c r="Q231" s="1301"/>
      <c r="R231" s="1301"/>
    </row>
    <row r="232" ht="14.25" customHeight="1">
      <c r="A232" s="128"/>
      <c r="B232" s="128"/>
      <c r="C232" s="128"/>
      <c r="D232" s="128"/>
      <c r="E232" s="1300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301"/>
      <c r="Q232" s="1301"/>
      <c r="R232" s="1301"/>
    </row>
    <row r="233" ht="14.25" customHeight="1">
      <c r="A233" s="128"/>
      <c r="B233" s="128"/>
      <c r="C233" s="128"/>
      <c r="D233" s="128"/>
      <c r="E233" s="1300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301"/>
      <c r="Q233" s="1301"/>
      <c r="R233" s="1301"/>
    </row>
    <row r="234" ht="14.25" customHeight="1">
      <c r="A234" s="128"/>
      <c r="B234" s="128"/>
      <c r="C234" s="128"/>
      <c r="D234" s="128"/>
      <c r="E234" s="1300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301"/>
      <c r="Q234" s="1301"/>
      <c r="R234" s="1301"/>
    </row>
    <row r="235" ht="14.25" customHeight="1">
      <c r="A235" s="128"/>
      <c r="B235" s="128"/>
      <c r="C235" s="128"/>
      <c r="D235" s="128"/>
      <c r="E235" s="1300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301"/>
      <c r="Q235" s="1301"/>
      <c r="R235" s="1301"/>
    </row>
    <row r="236" ht="14.25" customHeight="1">
      <c r="A236" s="128"/>
      <c r="B236" s="128"/>
      <c r="C236" s="128"/>
      <c r="D236" s="128"/>
      <c r="E236" s="1300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301"/>
      <c r="Q236" s="1301"/>
      <c r="R236" s="1301"/>
    </row>
    <row r="237" ht="14.25" customHeight="1">
      <c r="A237" s="128"/>
      <c r="B237" s="128"/>
      <c r="C237" s="128"/>
      <c r="D237" s="128"/>
      <c r="E237" s="1300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301"/>
      <c r="Q237" s="1301"/>
      <c r="R237" s="1301"/>
    </row>
    <row r="238" ht="14.25" customHeight="1">
      <c r="A238" s="128"/>
      <c r="B238" s="128"/>
      <c r="C238" s="128"/>
      <c r="D238" s="128"/>
      <c r="E238" s="1300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301"/>
      <c r="Q238" s="1301"/>
      <c r="R238" s="1301"/>
    </row>
    <row r="239" ht="14.25" customHeight="1">
      <c r="A239" s="128"/>
      <c r="B239" s="128"/>
      <c r="C239" s="128"/>
      <c r="D239" s="128"/>
      <c r="E239" s="1300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301"/>
      <c r="Q239" s="1301"/>
      <c r="R239" s="1301"/>
    </row>
    <row r="240" ht="14.25" customHeight="1">
      <c r="A240" s="128"/>
      <c r="B240" s="128"/>
      <c r="C240" s="128"/>
      <c r="D240" s="128"/>
      <c r="E240" s="1300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301"/>
      <c r="Q240" s="1301"/>
      <c r="R240" s="1301"/>
    </row>
    <row r="241" ht="14.25" customHeight="1">
      <c r="A241" s="128"/>
      <c r="B241" s="128"/>
      <c r="C241" s="128"/>
      <c r="D241" s="128"/>
      <c r="E241" s="1300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301"/>
      <c r="Q241" s="1301"/>
      <c r="R241" s="1301"/>
    </row>
    <row r="242" ht="14.25" customHeight="1">
      <c r="A242" s="128"/>
      <c r="B242" s="128"/>
      <c r="C242" s="128"/>
      <c r="D242" s="128"/>
      <c r="E242" s="1300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301"/>
      <c r="Q242" s="1301"/>
      <c r="R242" s="1301"/>
    </row>
    <row r="243" ht="14.25" customHeight="1">
      <c r="A243" s="128"/>
      <c r="B243" s="128"/>
      <c r="C243" s="128"/>
      <c r="D243" s="128"/>
      <c r="E243" s="1300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301"/>
      <c r="Q243" s="1301"/>
      <c r="R243" s="1301"/>
    </row>
    <row r="244" ht="14.25" customHeight="1">
      <c r="A244" s="128"/>
      <c r="B244" s="128"/>
      <c r="C244" s="128"/>
      <c r="D244" s="128"/>
      <c r="E244" s="1300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301"/>
      <c r="Q244" s="1301"/>
      <c r="R244" s="1301"/>
    </row>
    <row r="245" ht="14.25" customHeight="1">
      <c r="A245" s="128"/>
      <c r="B245" s="128"/>
      <c r="C245" s="128"/>
      <c r="D245" s="128"/>
      <c r="E245" s="1300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301"/>
      <c r="Q245" s="1301"/>
      <c r="R245" s="1301"/>
    </row>
    <row r="246" ht="14.25" customHeight="1">
      <c r="A246" s="128"/>
      <c r="B246" s="128"/>
      <c r="C246" s="128"/>
      <c r="D246" s="128"/>
      <c r="E246" s="1300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301"/>
      <c r="Q246" s="1301"/>
      <c r="R246" s="1301"/>
    </row>
    <row r="247" ht="14.25" customHeight="1">
      <c r="A247" s="128"/>
      <c r="B247" s="128"/>
      <c r="C247" s="128"/>
      <c r="D247" s="128"/>
      <c r="E247" s="1300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301"/>
      <c r="Q247" s="1301"/>
      <c r="R247" s="1301"/>
    </row>
    <row r="248" ht="14.25" customHeight="1">
      <c r="A248" s="128"/>
      <c r="B248" s="128"/>
      <c r="C248" s="128"/>
      <c r="D248" s="128"/>
      <c r="E248" s="1300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301"/>
      <c r="Q248" s="1301"/>
      <c r="R248" s="1301"/>
    </row>
    <row r="249" ht="14.25" customHeight="1">
      <c r="A249" s="128"/>
      <c r="B249" s="128"/>
      <c r="C249" s="128"/>
      <c r="D249" s="128"/>
      <c r="E249" s="1300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301"/>
      <c r="Q249" s="1301"/>
      <c r="R249" s="1301"/>
    </row>
    <row r="250" ht="14.25" customHeight="1">
      <c r="A250" s="128"/>
      <c r="B250" s="128"/>
      <c r="C250" s="128"/>
      <c r="D250" s="128"/>
      <c r="E250" s="1300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301"/>
      <c r="Q250" s="1301"/>
      <c r="R250" s="1301"/>
    </row>
    <row r="251" ht="14.25" customHeight="1">
      <c r="A251" s="128"/>
      <c r="B251" s="128"/>
      <c r="C251" s="128"/>
      <c r="D251" s="128"/>
      <c r="E251" s="1300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301"/>
      <c r="Q251" s="1301"/>
      <c r="R251" s="1301"/>
    </row>
    <row r="252" ht="14.25" customHeight="1">
      <c r="A252" s="128"/>
      <c r="B252" s="128"/>
      <c r="C252" s="128"/>
      <c r="D252" s="128"/>
      <c r="E252" s="1300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301"/>
      <c r="Q252" s="1301"/>
      <c r="R252" s="1301"/>
    </row>
    <row r="253" ht="14.25" customHeight="1">
      <c r="A253" s="128"/>
      <c r="B253" s="128"/>
      <c r="C253" s="128"/>
      <c r="D253" s="128"/>
      <c r="E253" s="1300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301"/>
      <c r="Q253" s="1301"/>
      <c r="R253" s="1301"/>
    </row>
    <row r="254" ht="14.25" customHeight="1">
      <c r="A254" s="128"/>
      <c r="B254" s="128"/>
      <c r="C254" s="128"/>
      <c r="D254" s="128"/>
      <c r="E254" s="1300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301"/>
      <c r="Q254" s="1301"/>
      <c r="R254" s="1301"/>
    </row>
    <row r="255" ht="14.25" customHeight="1">
      <c r="A255" s="128"/>
      <c r="B255" s="128"/>
      <c r="C255" s="128"/>
      <c r="D255" s="128"/>
      <c r="E255" s="1300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301"/>
      <c r="Q255" s="1301"/>
      <c r="R255" s="1301"/>
    </row>
    <row r="256" ht="14.25" customHeight="1">
      <c r="A256" s="128"/>
      <c r="B256" s="128"/>
      <c r="C256" s="128"/>
      <c r="D256" s="128"/>
      <c r="E256" s="1300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301"/>
      <c r="Q256" s="1301"/>
      <c r="R256" s="1301"/>
    </row>
    <row r="257" ht="14.25" customHeight="1">
      <c r="A257" s="128"/>
      <c r="B257" s="128"/>
      <c r="C257" s="128"/>
      <c r="D257" s="128"/>
      <c r="E257" s="1300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301"/>
      <c r="Q257" s="1301"/>
      <c r="R257" s="1301"/>
    </row>
    <row r="258" ht="14.25" customHeight="1">
      <c r="A258" s="128"/>
      <c r="B258" s="128"/>
      <c r="C258" s="128"/>
      <c r="D258" s="128"/>
      <c r="E258" s="1300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301"/>
      <c r="Q258" s="1301"/>
      <c r="R258" s="1301"/>
    </row>
    <row r="259" ht="14.25" customHeight="1">
      <c r="A259" s="128"/>
      <c r="B259" s="128"/>
      <c r="C259" s="128"/>
      <c r="D259" s="128"/>
      <c r="E259" s="1300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301"/>
      <c r="Q259" s="1301"/>
      <c r="R259" s="1301"/>
    </row>
    <row r="260" ht="14.25" customHeight="1">
      <c r="A260" s="128"/>
      <c r="B260" s="128"/>
      <c r="C260" s="128"/>
      <c r="D260" s="128"/>
      <c r="E260" s="1300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301"/>
      <c r="Q260" s="1301"/>
      <c r="R260" s="1301"/>
    </row>
    <row r="261" ht="14.25" customHeight="1">
      <c r="A261" s="128"/>
      <c r="B261" s="128"/>
      <c r="C261" s="128"/>
      <c r="D261" s="128"/>
      <c r="E261" s="1300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301"/>
      <c r="Q261" s="1301"/>
      <c r="R261" s="1301"/>
    </row>
    <row r="262" ht="14.25" customHeight="1">
      <c r="A262" s="128"/>
      <c r="B262" s="128"/>
      <c r="C262" s="128"/>
      <c r="D262" s="128"/>
      <c r="E262" s="1300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301"/>
      <c r="Q262" s="1301"/>
      <c r="R262" s="1301"/>
    </row>
    <row r="263" ht="14.25" customHeight="1">
      <c r="A263" s="128"/>
      <c r="B263" s="128"/>
      <c r="C263" s="128"/>
      <c r="D263" s="128"/>
      <c r="E263" s="1300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301"/>
      <c r="Q263" s="1301"/>
      <c r="R263" s="1301"/>
    </row>
    <row r="264" ht="14.25" customHeight="1">
      <c r="A264" s="128"/>
      <c r="B264" s="128"/>
      <c r="C264" s="128"/>
      <c r="D264" s="128"/>
      <c r="E264" s="1300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301"/>
      <c r="Q264" s="1301"/>
      <c r="R264" s="1301"/>
    </row>
    <row r="265" ht="14.25" customHeight="1">
      <c r="A265" s="128"/>
      <c r="B265" s="128"/>
      <c r="C265" s="128"/>
      <c r="D265" s="128"/>
      <c r="E265" s="1300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301"/>
      <c r="Q265" s="1301"/>
      <c r="R265" s="1301"/>
    </row>
    <row r="266" ht="14.25" customHeight="1">
      <c r="A266" s="128"/>
      <c r="B266" s="128"/>
      <c r="C266" s="128"/>
      <c r="D266" s="128"/>
      <c r="E266" s="1300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301"/>
      <c r="Q266" s="1301"/>
      <c r="R266" s="1301"/>
    </row>
    <row r="267" ht="14.25" customHeight="1">
      <c r="A267" s="128"/>
      <c r="B267" s="128"/>
      <c r="C267" s="128"/>
      <c r="D267" s="128"/>
      <c r="E267" s="1300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301"/>
      <c r="Q267" s="1301"/>
      <c r="R267" s="1301"/>
    </row>
    <row r="268" ht="14.25" customHeight="1">
      <c r="A268" s="128"/>
      <c r="B268" s="128"/>
      <c r="C268" s="128"/>
      <c r="D268" s="128"/>
      <c r="E268" s="1300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301"/>
      <c r="Q268" s="1301"/>
      <c r="R268" s="1301"/>
    </row>
    <row r="269" ht="14.25" customHeight="1">
      <c r="A269" s="128"/>
      <c r="B269" s="128"/>
      <c r="C269" s="128"/>
      <c r="D269" s="128"/>
      <c r="E269" s="1300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301"/>
      <c r="Q269" s="1301"/>
      <c r="R269" s="1301"/>
    </row>
    <row r="270" ht="14.25" customHeight="1">
      <c r="A270" s="128"/>
      <c r="B270" s="128"/>
      <c r="C270" s="128"/>
      <c r="D270" s="128"/>
      <c r="E270" s="1300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301"/>
      <c r="Q270" s="1301"/>
      <c r="R270" s="1301"/>
    </row>
    <row r="271" ht="14.25" customHeight="1">
      <c r="A271" s="128"/>
      <c r="B271" s="128"/>
      <c r="C271" s="128"/>
      <c r="D271" s="128"/>
      <c r="E271" s="1300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301"/>
      <c r="Q271" s="1301"/>
      <c r="R271" s="1301"/>
    </row>
    <row r="272" ht="14.25" customHeight="1">
      <c r="A272" s="128"/>
      <c r="B272" s="128"/>
      <c r="C272" s="128"/>
      <c r="D272" s="128"/>
      <c r="E272" s="1300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301"/>
      <c r="Q272" s="1301"/>
      <c r="R272" s="1301"/>
    </row>
    <row r="273" ht="14.25" customHeight="1">
      <c r="A273" s="128"/>
      <c r="B273" s="128"/>
      <c r="C273" s="128"/>
      <c r="D273" s="128"/>
      <c r="E273" s="1300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301"/>
      <c r="Q273" s="1301"/>
      <c r="R273" s="1301"/>
    </row>
    <row r="274" ht="14.25" customHeight="1">
      <c r="A274" s="128"/>
      <c r="B274" s="128"/>
      <c r="C274" s="128"/>
      <c r="D274" s="128"/>
      <c r="E274" s="1300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301"/>
      <c r="Q274" s="1301"/>
      <c r="R274" s="1301"/>
    </row>
    <row r="275" ht="14.25" customHeight="1">
      <c r="A275" s="128"/>
      <c r="B275" s="128"/>
      <c r="C275" s="128"/>
      <c r="D275" s="128"/>
      <c r="E275" s="1300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301"/>
      <c r="Q275" s="1301"/>
      <c r="R275" s="1301"/>
    </row>
    <row r="276" ht="14.25" customHeight="1">
      <c r="A276" s="128"/>
      <c r="B276" s="128"/>
      <c r="C276" s="128"/>
      <c r="D276" s="128"/>
      <c r="E276" s="1300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301"/>
      <c r="Q276" s="1301"/>
      <c r="R276" s="1301"/>
    </row>
    <row r="277" ht="14.25" customHeight="1">
      <c r="A277" s="128"/>
      <c r="B277" s="128"/>
      <c r="C277" s="128"/>
      <c r="D277" s="128"/>
      <c r="E277" s="1300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301"/>
      <c r="Q277" s="1301"/>
      <c r="R277" s="1301"/>
    </row>
    <row r="278" ht="14.25" customHeight="1">
      <c r="A278" s="128"/>
      <c r="B278" s="128"/>
      <c r="C278" s="128"/>
      <c r="D278" s="128"/>
      <c r="E278" s="1300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301"/>
      <c r="Q278" s="1301"/>
      <c r="R278" s="1301"/>
    </row>
    <row r="279" ht="14.25" customHeight="1">
      <c r="A279" s="128"/>
      <c r="B279" s="128"/>
      <c r="C279" s="128"/>
      <c r="D279" s="128"/>
      <c r="E279" s="1300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301"/>
      <c r="Q279" s="1301"/>
      <c r="R279" s="1301"/>
    </row>
    <row r="280" ht="14.25" customHeight="1">
      <c r="A280" s="128"/>
      <c r="B280" s="128"/>
      <c r="C280" s="128"/>
      <c r="D280" s="128"/>
      <c r="E280" s="1300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301"/>
      <c r="Q280" s="1301"/>
      <c r="R280" s="1301"/>
    </row>
    <row r="281" ht="14.25" customHeight="1">
      <c r="A281" s="128"/>
      <c r="B281" s="128"/>
      <c r="C281" s="128"/>
      <c r="D281" s="128"/>
      <c r="E281" s="1300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301"/>
      <c r="Q281" s="1301"/>
      <c r="R281" s="1301"/>
    </row>
    <row r="282" ht="14.25" customHeight="1">
      <c r="A282" s="128"/>
      <c r="B282" s="128"/>
      <c r="C282" s="128"/>
      <c r="D282" s="128"/>
      <c r="E282" s="1300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301"/>
      <c r="Q282" s="1301"/>
      <c r="R282" s="1301"/>
    </row>
    <row r="283" ht="14.25" customHeight="1">
      <c r="A283" s="128"/>
      <c r="B283" s="128"/>
      <c r="C283" s="128"/>
      <c r="D283" s="128"/>
      <c r="E283" s="1300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301"/>
      <c r="Q283" s="1301"/>
      <c r="R283" s="1301"/>
    </row>
    <row r="284" ht="14.25" customHeight="1">
      <c r="A284" s="128"/>
      <c r="B284" s="128"/>
      <c r="C284" s="128"/>
      <c r="D284" s="128"/>
      <c r="E284" s="1300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301"/>
      <c r="Q284" s="1301"/>
      <c r="R284" s="1301"/>
    </row>
    <row r="285" ht="14.25" customHeight="1">
      <c r="A285" s="128"/>
      <c r="B285" s="128"/>
      <c r="C285" s="128"/>
      <c r="D285" s="128"/>
      <c r="E285" s="1300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301"/>
      <c r="Q285" s="1301"/>
      <c r="R285" s="1301"/>
    </row>
    <row r="286" ht="14.25" customHeight="1">
      <c r="A286" s="128"/>
      <c r="B286" s="128"/>
      <c r="C286" s="128"/>
      <c r="D286" s="128"/>
      <c r="E286" s="1300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301"/>
      <c r="Q286" s="1301"/>
      <c r="R286" s="1301"/>
    </row>
    <row r="287" ht="14.25" customHeight="1">
      <c r="A287" s="128"/>
      <c r="B287" s="128"/>
      <c r="C287" s="128"/>
      <c r="D287" s="128"/>
      <c r="E287" s="1300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301"/>
      <c r="Q287" s="1301"/>
      <c r="R287" s="1301"/>
    </row>
    <row r="288" ht="14.25" customHeight="1">
      <c r="A288" s="128"/>
      <c r="B288" s="128"/>
      <c r="C288" s="128"/>
      <c r="D288" s="128"/>
      <c r="E288" s="1300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301"/>
      <c r="Q288" s="1301"/>
      <c r="R288" s="1301"/>
    </row>
    <row r="289" ht="14.25" customHeight="1">
      <c r="A289" s="128"/>
      <c r="B289" s="128"/>
      <c r="C289" s="128"/>
      <c r="D289" s="128"/>
      <c r="E289" s="1300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301"/>
      <c r="Q289" s="1301"/>
      <c r="R289" s="1301"/>
    </row>
    <row r="290" ht="14.25" customHeight="1">
      <c r="A290" s="128"/>
      <c r="B290" s="128"/>
      <c r="C290" s="128"/>
      <c r="D290" s="128"/>
      <c r="E290" s="1300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301"/>
      <c r="Q290" s="1301"/>
      <c r="R290" s="1301"/>
    </row>
    <row r="291" ht="14.25" customHeight="1">
      <c r="A291" s="128"/>
      <c r="B291" s="128"/>
      <c r="C291" s="128"/>
      <c r="D291" s="128"/>
      <c r="E291" s="1300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301"/>
      <c r="Q291" s="1301"/>
      <c r="R291" s="1301"/>
    </row>
    <row r="292" ht="14.25" customHeight="1">
      <c r="A292" s="128"/>
      <c r="B292" s="128"/>
      <c r="C292" s="128"/>
      <c r="D292" s="128"/>
      <c r="E292" s="1300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301"/>
      <c r="Q292" s="1301"/>
      <c r="R292" s="1301"/>
    </row>
    <row r="293" ht="14.25" customHeight="1">
      <c r="A293" s="128"/>
      <c r="B293" s="128"/>
      <c r="C293" s="128"/>
      <c r="D293" s="128"/>
      <c r="E293" s="1300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301"/>
      <c r="Q293" s="1301"/>
      <c r="R293" s="1301"/>
    </row>
    <row r="294" ht="14.25" customHeight="1">
      <c r="A294" s="128"/>
      <c r="B294" s="128"/>
      <c r="C294" s="128"/>
      <c r="D294" s="128"/>
      <c r="E294" s="1300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301"/>
      <c r="Q294" s="1301"/>
      <c r="R294" s="1301"/>
    </row>
    <row r="295" ht="14.25" customHeight="1">
      <c r="A295" s="128"/>
      <c r="B295" s="128"/>
      <c r="C295" s="128"/>
      <c r="D295" s="128"/>
      <c r="E295" s="1300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301"/>
      <c r="Q295" s="1301"/>
      <c r="R295" s="1301"/>
    </row>
    <row r="296" ht="14.25" customHeight="1">
      <c r="A296" s="128"/>
      <c r="B296" s="128"/>
      <c r="C296" s="128"/>
      <c r="D296" s="128"/>
      <c r="E296" s="1300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301"/>
      <c r="Q296" s="1301"/>
      <c r="R296" s="1301"/>
    </row>
    <row r="297" ht="14.25" customHeight="1">
      <c r="A297" s="128"/>
      <c r="B297" s="128"/>
      <c r="C297" s="128"/>
      <c r="D297" s="128"/>
      <c r="E297" s="1300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301"/>
      <c r="Q297" s="1301"/>
      <c r="R297" s="1301"/>
    </row>
    <row r="298" ht="14.25" customHeight="1">
      <c r="A298" s="128"/>
      <c r="B298" s="128"/>
      <c r="C298" s="128"/>
      <c r="D298" s="128"/>
      <c r="E298" s="1300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301"/>
      <c r="Q298" s="1301"/>
      <c r="R298" s="1301"/>
    </row>
    <row r="299" ht="14.25" customHeight="1">
      <c r="A299" s="128"/>
      <c r="B299" s="128"/>
      <c r="C299" s="128"/>
      <c r="D299" s="128"/>
      <c r="E299" s="1300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301"/>
      <c r="Q299" s="1301"/>
      <c r="R299" s="1301"/>
    </row>
    <row r="300" ht="14.25" customHeight="1">
      <c r="A300" s="128"/>
      <c r="B300" s="128"/>
      <c r="C300" s="128"/>
      <c r="D300" s="128"/>
      <c r="E300" s="1300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301"/>
      <c r="Q300" s="1301"/>
      <c r="R300" s="1301"/>
    </row>
    <row r="301" ht="14.25" customHeight="1">
      <c r="A301" s="128"/>
      <c r="B301" s="128"/>
      <c r="C301" s="128"/>
      <c r="D301" s="128"/>
      <c r="E301" s="1300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301"/>
      <c r="Q301" s="1301"/>
      <c r="R301" s="1301"/>
    </row>
    <row r="302" ht="14.25" customHeight="1">
      <c r="A302" s="128"/>
      <c r="B302" s="128"/>
      <c r="C302" s="128"/>
      <c r="D302" s="128"/>
      <c r="E302" s="1300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301"/>
      <c r="Q302" s="1301"/>
      <c r="R302" s="1301"/>
    </row>
    <row r="303" ht="14.25" customHeight="1">
      <c r="A303" s="128"/>
      <c r="B303" s="128"/>
      <c r="C303" s="128"/>
      <c r="D303" s="128"/>
      <c r="E303" s="1300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301"/>
      <c r="Q303" s="1301"/>
      <c r="R303" s="1301"/>
    </row>
    <row r="304" ht="14.25" customHeight="1">
      <c r="A304" s="128"/>
      <c r="B304" s="128"/>
      <c r="C304" s="128"/>
      <c r="D304" s="128"/>
      <c r="E304" s="1300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301"/>
      <c r="Q304" s="1301"/>
      <c r="R304" s="1301"/>
    </row>
    <row r="305" ht="14.25" customHeight="1">
      <c r="A305" s="128"/>
      <c r="B305" s="128"/>
      <c r="C305" s="128"/>
      <c r="D305" s="128"/>
      <c r="E305" s="1300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301"/>
      <c r="Q305" s="1301"/>
      <c r="R305" s="1301"/>
    </row>
    <row r="306" ht="14.25" customHeight="1">
      <c r="A306" s="128"/>
      <c r="B306" s="128"/>
      <c r="C306" s="128"/>
      <c r="D306" s="128"/>
      <c r="E306" s="1300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301"/>
      <c r="Q306" s="1301"/>
      <c r="R306" s="1301"/>
    </row>
    <row r="307" ht="14.25" customHeight="1">
      <c r="A307" s="128"/>
      <c r="B307" s="128"/>
      <c r="C307" s="128"/>
      <c r="D307" s="128"/>
      <c r="E307" s="1300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301"/>
      <c r="Q307" s="1301"/>
      <c r="R307" s="1301"/>
    </row>
    <row r="308" ht="14.25" customHeight="1">
      <c r="A308" s="128"/>
      <c r="B308" s="128"/>
      <c r="C308" s="128"/>
      <c r="D308" s="128"/>
      <c r="E308" s="1300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301"/>
      <c r="Q308" s="1301"/>
      <c r="R308" s="1301"/>
    </row>
    <row r="309" ht="14.25" customHeight="1">
      <c r="A309" s="128"/>
      <c r="B309" s="128"/>
      <c r="C309" s="128"/>
      <c r="D309" s="128"/>
      <c r="E309" s="1300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301"/>
      <c r="Q309" s="1301"/>
      <c r="R309" s="1301"/>
    </row>
    <row r="310" ht="14.25" customHeight="1">
      <c r="A310" s="128"/>
      <c r="B310" s="128"/>
      <c r="C310" s="128"/>
      <c r="D310" s="128"/>
      <c r="E310" s="1300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301"/>
      <c r="Q310" s="1301"/>
      <c r="R310" s="1301"/>
    </row>
    <row r="311" ht="14.25" customHeight="1">
      <c r="A311" s="128"/>
      <c r="B311" s="128"/>
      <c r="C311" s="128"/>
      <c r="D311" s="128"/>
      <c r="E311" s="1300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301"/>
      <c r="Q311" s="1301"/>
      <c r="R311" s="1301"/>
    </row>
    <row r="312" ht="14.25" customHeight="1">
      <c r="A312" s="128"/>
      <c r="B312" s="128"/>
      <c r="C312" s="128"/>
      <c r="D312" s="128"/>
      <c r="E312" s="1300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301"/>
      <c r="Q312" s="1301"/>
      <c r="R312" s="1301"/>
    </row>
    <row r="313" ht="14.25" customHeight="1">
      <c r="A313" s="128"/>
      <c r="B313" s="128"/>
      <c r="C313" s="128"/>
      <c r="D313" s="128"/>
      <c r="E313" s="1300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301"/>
      <c r="Q313" s="1301"/>
      <c r="R313" s="1301"/>
    </row>
    <row r="314" ht="14.25" customHeight="1">
      <c r="A314" s="128"/>
      <c r="B314" s="128"/>
      <c r="C314" s="128"/>
      <c r="D314" s="128"/>
      <c r="E314" s="1300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301"/>
      <c r="Q314" s="1301"/>
      <c r="R314" s="1301"/>
    </row>
    <row r="315" ht="14.25" customHeight="1">
      <c r="A315" s="128"/>
      <c r="B315" s="128"/>
      <c r="C315" s="128"/>
      <c r="D315" s="128"/>
      <c r="E315" s="1300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301"/>
      <c r="Q315" s="1301"/>
      <c r="R315" s="1301"/>
    </row>
    <row r="316" ht="14.25" customHeight="1">
      <c r="A316" s="128"/>
      <c r="B316" s="128"/>
      <c r="C316" s="128"/>
      <c r="D316" s="128"/>
      <c r="E316" s="1300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301"/>
      <c r="Q316" s="1301"/>
      <c r="R316" s="1301"/>
    </row>
    <row r="317" ht="14.25" customHeight="1">
      <c r="A317" s="128"/>
      <c r="B317" s="128"/>
      <c r="C317" s="128"/>
      <c r="D317" s="128"/>
      <c r="E317" s="1300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301"/>
      <c r="Q317" s="1301"/>
      <c r="R317" s="1301"/>
    </row>
    <row r="318" ht="14.25" customHeight="1">
      <c r="A318" s="128"/>
      <c r="B318" s="128"/>
      <c r="C318" s="128"/>
      <c r="D318" s="128"/>
      <c r="E318" s="1300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301"/>
      <c r="Q318" s="1301"/>
      <c r="R318" s="1301"/>
    </row>
    <row r="319" ht="14.25" customHeight="1">
      <c r="A319" s="128"/>
      <c r="B319" s="128"/>
      <c r="C319" s="128"/>
      <c r="D319" s="128"/>
      <c r="E319" s="1300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301"/>
      <c r="Q319" s="1301"/>
      <c r="R319" s="1301"/>
    </row>
    <row r="320" ht="14.25" customHeight="1">
      <c r="A320" s="128"/>
      <c r="B320" s="128"/>
      <c r="C320" s="128"/>
      <c r="D320" s="128"/>
      <c r="E320" s="1300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301"/>
      <c r="Q320" s="1301"/>
      <c r="R320" s="1301"/>
    </row>
    <row r="321" ht="14.25" customHeight="1">
      <c r="A321" s="128"/>
      <c r="B321" s="128"/>
      <c r="C321" s="128"/>
      <c r="D321" s="128"/>
      <c r="E321" s="1300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301"/>
      <c r="Q321" s="1301"/>
      <c r="R321" s="1301"/>
    </row>
    <row r="322" ht="14.25" customHeight="1">
      <c r="A322" s="128"/>
      <c r="B322" s="128"/>
      <c r="C322" s="128"/>
      <c r="D322" s="128"/>
      <c r="E322" s="1300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301"/>
      <c r="Q322" s="1301"/>
      <c r="R322" s="1301"/>
    </row>
    <row r="323" ht="14.25" customHeight="1">
      <c r="A323" s="128"/>
      <c r="B323" s="128"/>
      <c r="C323" s="128"/>
      <c r="D323" s="128"/>
      <c r="E323" s="1300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301"/>
      <c r="Q323" s="1301"/>
      <c r="R323" s="1301"/>
    </row>
    <row r="324" ht="14.25" customHeight="1">
      <c r="A324" s="128"/>
      <c r="B324" s="128"/>
      <c r="C324" s="128"/>
      <c r="D324" s="128"/>
      <c r="E324" s="1300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301"/>
      <c r="Q324" s="1301"/>
      <c r="R324" s="1301"/>
    </row>
    <row r="325" ht="14.25" customHeight="1">
      <c r="A325" s="128"/>
      <c r="B325" s="128"/>
      <c r="C325" s="128"/>
      <c r="D325" s="128"/>
      <c r="E325" s="1300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301"/>
      <c r="Q325" s="1301"/>
      <c r="R325" s="1301"/>
    </row>
    <row r="326" ht="14.25" customHeight="1">
      <c r="A326" s="128"/>
      <c r="B326" s="128"/>
      <c r="C326" s="128"/>
      <c r="D326" s="128"/>
      <c r="E326" s="1300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301"/>
      <c r="Q326" s="1301"/>
      <c r="R326" s="1301"/>
    </row>
    <row r="327" ht="14.25" customHeight="1">
      <c r="A327" s="128"/>
      <c r="B327" s="128"/>
      <c r="C327" s="128"/>
      <c r="D327" s="128"/>
      <c r="E327" s="1300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301"/>
      <c r="Q327" s="1301"/>
      <c r="R327" s="1301"/>
    </row>
    <row r="328" ht="14.25" customHeight="1">
      <c r="A328" s="128"/>
      <c r="B328" s="128"/>
      <c r="C328" s="128"/>
      <c r="D328" s="128"/>
      <c r="E328" s="1300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301"/>
      <c r="Q328" s="1301"/>
      <c r="R328" s="1301"/>
    </row>
    <row r="329" ht="14.25" customHeight="1">
      <c r="A329" s="128"/>
      <c r="B329" s="128"/>
      <c r="C329" s="128"/>
      <c r="D329" s="128"/>
      <c r="E329" s="1300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301"/>
      <c r="Q329" s="1301"/>
      <c r="R329" s="1301"/>
    </row>
    <row r="330" ht="14.25" customHeight="1">
      <c r="A330" s="128"/>
      <c r="B330" s="128"/>
      <c r="C330" s="128"/>
      <c r="D330" s="128"/>
      <c r="E330" s="1300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301"/>
      <c r="Q330" s="1301"/>
      <c r="R330" s="1301"/>
    </row>
    <row r="331" ht="14.25" customHeight="1">
      <c r="A331" s="128"/>
      <c r="B331" s="128"/>
      <c r="C331" s="128"/>
      <c r="D331" s="128"/>
      <c r="E331" s="1300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301"/>
      <c r="Q331" s="1301"/>
      <c r="R331" s="1301"/>
    </row>
    <row r="332" ht="14.25" customHeight="1">
      <c r="A332" s="128"/>
      <c r="B332" s="128"/>
      <c r="C332" s="128"/>
      <c r="D332" s="128"/>
      <c r="E332" s="1300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301"/>
      <c r="Q332" s="1301"/>
      <c r="R332" s="1301"/>
    </row>
    <row r="333" ht="14.25" customHeight="1">
      <c r="A333" s="128"/>
      <c r="B333" s="128"/>
      <c r="C333" s="128"/>
      <c r="D333" s="128"/>
      <c r="E333" s="1300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301"/>
      <c r="Q333" s="1301"/>
      <c r="R333" s="1301"/>
    </row>
    <row r="334" ht="14.25" customHeight="1">
      <c r="A334" s="128"/>
      <c r="B334" s="128"/>
      <c r="C334" s="128"/>
      <c r="D334" s="128"/>
      <c r="E334" s="1300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301"/>
      <c r="Q334" s="1301"/>
      <c r="R334" s="1301"/>
    </row>
    <row r="335" ht="14.25" customHeight="1">
      <c r="A335" s="128"/>
      <c r="B335" s="128"/>
      <c r="C335" s="128"/>
      <c r="D335" s="128"/>
      <c r="E335" s="1300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301"/>
      <c r="Q335" s="1301"/>
      <c r="R335" s="1301"/>
    </row>
    <row r="336" ht="14.25" customHeight="1">
      <c r="A336" s="128"/>
      <c r="B336" s="128"/>
      <c r="C336" s="128"/>
      <c r="D336" s="128"/>
      <c r="E336" s="1300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301"/>
      <c r="Q336" s="1301"/>
      <c r="R336" s="1301"/>
    </row>
    <row r="337" ht="14.25" customHeight="1">
      <c r="A337" s="128"/>
      <c r="B337" s="128"/>
      <c r="C337" s="128"/>
      <c r="D337" s="128"/>
      <c r="E337" s="1300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301"/>
      <c r="Q337" s="1301"/>
      <c r="R337" s="1301"/>
    </row>
    <row r="338" ht="14.25" customHeight="1">
      <c r="A338" s="128"/>
      <c r="B338" s="128"/>
      <c r="C338" s="128"/>
      <c r="D338" s="128"/>
      <c r="E338" s="1300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301"/>
      <c r="Q338" s="1301"/>
      <c r="R338" s="1301"/>
    </row>
    <row r="339" ht="14.25" customHeight="1">
      <c r="A339" s="128"/>
      <c r="B339" s="128"/>
      <c r="C339" s="128"/>
      <c r="D339" s="128"/>
      <c r="E339" s="1300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301"/>
      <c r="Q339" s="1301"/>
      <c r="R339" s="1301"/>
    </row>
    <row r="340" ht="14.25" customHeight="1">
      <c r="A340" s="128"/>
      <c r="B340" s="128"/>
      <c r="C340" s="128"/>
      <c r="D340" s="128"/>
      <c r="E340" s="1300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301"/>
      <c r="Q340" s="1301"/>
      <c r="R340" s="1301"/>
    </row>
    <row r="341" ht="14.25" customHeight="1">
      <c r="A341" s="128"/>
      <c r="B341" s="128"/>
      <c r="C341" s="128"/>
      <c r="D341" s="128"/>
      <c r="E341" s="1300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301"/>
      <c r="Q341" s="1301"/>
      <c r="R341" s="1301"/>
    </row>
    <row r="342" ht="14.25" customHeight="1">
      <c r="A342" s="128"/>
      <c r="B342" s="128"/>
      <c r="C342" s="128"/>
      <c r="D342" s="128"/>
      <c r="E342" s="1300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301"/>
      <c r="Q342" s="1301"/>
      <c r="R342" s="1301"/>
    </row>
    <row r="343" ht="14.25" customHeight="1">
      <c r="A343" s="128"/>
      <c r="B343" s="128"/>
      <c r="C343" s="128"/>
      <c r="D343" s="128"/>
      <c r="E343" s="1300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301"/>
      <c r="Q343" s="1301"/>
      <c r="R343" s="1301"/>
    </row>
    <row r="344" ht="14.25" customHeight="1">
      <c r="A344" s="128"/>
      <c r="B344" s="128"/>
      <c r="C344" s="128"/>
      <c r="D344" s="128"/>
      <c r="E344" s="1300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301"/>
      <c r="Q344" s="1301"/>
      <c r="R344" s="1301"/>
    </row>
    <row r="345" ht="14.25" customHeight="1">
      <c r="A345" s="128"/>
      <c r="B345" s="128"/>
      <c r="C345" s="128"/>
      <c r="D345" s="128"/>
      <c r="E345" s="1300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301"/>
      <c r="Q345" s="1301"/>
      <c r="R345" s="1301"/>
    </row>
    <row r="346" ht="14.25" customHeight="1">
      <c r="A346" s="128"/>
      <c r="B346" s="128"/>
      <c r="C346" s="128"/>
      <c r="D346" s="128"/>
      <c r="E346" s="1300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301"/>
      <c r="Q346" s="1301"/>
      <c r="R346" s="1301"/>
    </row>
    <row r="347" ht="14.25" customHeight="1">
      <c r="A347" s="128"/>
      <c r="B347" s="128"/>
      <c r="C347" s="128"/>
      <c r="D347" s="128"/>
      <c r="E347" s="1300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301"/>
      <c r="Q347" s="1301"/>
      <c r="R347" s="1301"/>
    </row>
    <row r="348" ht="14.25" customHeight="1">
      <c r="A348" s="128"/>
      <c r="B348" s="128"/>
      <c r="C348" s="128"/>
      <c r="D348" s="128"/>
      <c r="E348" s="1300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301"/>
      <c r="Q348" s="1301"/>
      <c r="R348" s="1301"/>
    </row>
    <row r="349" ht="14.25" customHeight="1">
      <c r="A349" s="128"/>
      <c r="B349" s="128"/>
      <c r="C349" s="128"/>
      <c r="D349" s="128"/>
      <c r="E349" s="1300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301"/>
      <c r="Q349" s="1301"/>
      <c r="R349" s="1301"/>
    </row>
    <row r="350" ht="14.25" customHeight="1">
      <c r="A350" s="128"/>
      <c r="B350" s="128"/>
      <c r="C350" s="128"/>
      <c r="D350" s="128"/>
      <c r="E350" s="1300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301"/>
      <c r="Q350" s="1301"/>
      <c r="R350" s="1301"/>
    </row>
    <row r="351" ht="14.25" customHeight="1">
      <c r="A351" s="128"/>
      <c r="B351" s="128"/>
      <c r="C351" s="128"/>
      <c r="D351" s="128"/>
      <c r="E351" s="1300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301"/>
      <c r="Q351" s="1301"/>
      <c r="R351" s="1301"/>
    </row>
    <row r="352" ht="14.25" customHeight="1">
      <c r="A352" s="128"/>
      <c r="B352" s="128"/>
      <c r="C352" s="128"/>
      <c r="D352" s="128"/>
      <c r="E352" s="1300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301"/>
      <c r="Q352" s="1301"/>
      <c r="R352" s="1301"/>
    </row>
    <row r="353" ht="14.25" customHeight="1">
      <c r="A353" s="128"/>
      <c r="B353" s="128"/>
      <c r="C353" s="128"/>
      <c r="D353" s="128"/>
      <c r="E353" s="1300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301"/>
      <c r="Q353" s="1301"/>
      <c r="R353" s="1301"/>
    </row>
    <row r="354" ht="14.25" customHeight="1">
      <c r="A354" s="128"/>
      <c r="B354" s="128"/>
      <c r="C354" s="128"/>
      <c r="D354" s="128"/>
      <c r="E354" s="1300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301"/>
      <c r="Q354" s="1301"/>
      <c r="R354" s="1301"/>
    </row>
    <row r="355" ht="14.25" customHeight="1">
      <c r="A355" s="128"/>
      <c r="B355" s="128"/>
      <c r="C355" s="128"/>
      <c r="D355" s="128"/>
      <c r="E355" s="1300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301"/>
      <c r="Q355" s="1301"/>
      <c r="R355" s="1301"/>
    </row>
    <row r="356" ht="14.25" customHeight="1">
      <c r="A356" s="128"/>
      <c r="B356" s="128"/>
      <c r="C356" s="128"/>
      <c r="D356" s="128"/>
      <c r="E356" s="1300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301"/>
      <c r="Q356" s="1301"/>
      <c r="R356" s="1301"/>
    </row>
    <row r="357" ht="14.25" customHeight="1">
      <c r="A357" s="128"/>
      <c r="B357" s="128"/>
      <c r="C357" s="128"/>
      <c r="D357" s="128"/>
      <c r="E357" s="1300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301"/>
      <c r="Q357" s="1301"/>
      <c r="R357" s="1301"/>
    </row>
    <row r="358" ht="14.25" customHeight="1">
      <c r="A358" s="128"/>
      <c r="B358" s="128"/>
      <c r="C358" s="128"/>
      <c r="D358" s="128"/>
      <c r="E358" s="1300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301"/>
      <c r="Q358" s="1301"/>
      <c r="R358" s="1301"/>
    </row>
    <row r="359" ht="14.25" customHeight="1">
      <c r="A359" s="128"/>
      <c r="B359" s="128"/>
      <c r="C359" s="128"/>
      <c r="D359" s="128"/>
      <c r="E359" s="1300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301"/>
      <c r="Q359" s="1301"/>
      <c r="R359" s="1301"/>
    </row>
    <row r="360" ht="14.25" customHeight="1">
      <c r="A360" s="128"/>
      <c r="B360" s="128"/>
      <c r="C360" s="128"/>
      <c r="D360" s="128"/>
      <c r="E360" s="1300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301"/>
      <c r="Q360" s="1301"/>
      <c r="R360" s="1301"/>
    </row>
    <row r="361" ht="14.25" customHeight="1">
      <c r="A361" s="128"/>
      <c r="B361" s="128"/>
      <c r="C361" s="128"/>
      <c r="D361" s="128"/>
      <c r="E361" s="1300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301"/>
      <c r="Q361" s="1301"/>
      <c r="R361" s="1301"/>
    </row>
    <row r="362" ht="14.25" customHeight="1">
      <c r="A362" s="128"/>
      <c r="B362" s="128"/>
      <c r="C362" s="128"/>
      <c r="D362" s="128"/>
      <c r="E362" s="1300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301"/>
      <c r="Q362" s="1301"/>
      <c r="R362" s="1301"/>
    </row>
    <row r="363" ht="14.25" customHeight="1">
      <c r="A363" s="128"/>
      <c r="B363" s="128"/>
      <c r="C363" s="128"/>
      <c r="D363" s="128"/>
      <c r="E363" s="1300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301"/>
      <c r="Q363" s="1301"/>
      <c r="R363" s="1301"/>
    </row>
    <row r="364" ht="14.25" customHeight="1">
      <c r="A364" s="128"/>
      <c r="B364" s="128"/>
      <c r="C364" s="128"/>
      <c r="D364" s="128"/>
      <c r="E364" s="1300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301"/>
      <c r="Q364" s="1301"/>
      <c r="R364" s="1301"/>
    </row>
    <row r="365" ht="14.25" customHeight="1">
      <c r="A365" s="128"/>
      <c r="B365" s="128"/>
      <c r="C365" s="128"/>
      <c r="D365" s="128"/>
      <c r="E365" s="1300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301"/>
      <c r="Q365" s="1301"/>
      <c r="R365" s="1301"/>
    </row>
    <row r="366" ht="14.25" customHeight="1">
      <c r="A366" s="128"/>
      <c r="B366" s="128"/>
      <c r="C366" s="128"/>
      <c r="D366" s="128"/>
      <c r="E366" s="1300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301"/>
      <c r="Q366" s="1301"/>
      <c r="R366" s="1301"/>
    </row>
    <row r="367" ht="14.25" customHeight="1">
      <c r="A367" s="128"/>
      <c r="B367" s="128"/>
      <c r="C367" s="128"/>
      <c r="D367" s="128"/>
      <c r="E367" s="1300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301"/>
      <c r="Q367" s="1301"/>
      <c r="R367" s="1301"/>
    </row>
    <row r="368" ht="14.25" customHeight="1">
      <c r="A368" s="128"/>
      <c r="B368" s="128"/>
      <c r="C368" s="128"/>
      <c r="D368" s="128"/>
      <c r="E368" s="1300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301"/>
      <c r="Q368" s="1301"/>
      <c r="R368" s="1301"/>
    </row>
    <row r="369" ht="14.25" customHeight="1">
      <c r="A369" s="128"/>
      <c r="B369" s="128"/>
      <c r="C369" s="128"/>
      <c r="D369" s="128"/>
      <c r="E369" s="1300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301"/>
      <c r="Q369" s="1301"/>
      <c r="R369" s="1301"/>
    </row>
    <row r="370" ht="14.25" customHeight="1">
      <c r="A370" s="128"/>
      <c r="B370" s="128"/>
      <c r="C370" s="128"/>
      <c r="D370" s="128"/>
      <c r="E370" s="1300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301"/>
      <c r="Q370" s="1301"/>
      <c r="R370" s="1301"/>
    </row>
    <row r="371" ht="14.25" customHeight="1">
      <c r="A371" s="128"/>
      <c r="B371" s="128"/>
      <c r="C371" s="128"/>
      <c r="D371" s="128"/>
      <c r="E371" s="1300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301"/>
      <c r="Q371" s="1301"/>
      <c r="R371" s="1301"/>
    </row>
    <row r="372" ht="14.25" customHeight="1">
      <c r="A372" s="128"/>
      <c r="B372" s="128"/>
      <c r="C372" s="128"/>
      <c r="D372" s="128"/>
      <c r="E372" s="1300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301"/>
      <c r="Q372" s="1301"/>
      <c r="R372" s="1301"/>
    </row>
    <row r="373" ht="14.25" customHeight="1">
      <c r="A373" s="128"/>
      <c r="B373" s="128"/>
      <c r="C373" s="128"/>
      <c r="D373" s="128"/>
      <c r="E373" s="1300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301"/>
      <c r="Q373" s="1301"/>
      <c r="R373" s="1301"/>
    </row>
    <row r="374" ht="14.25" customHeight="1">
      <c r="A374" s="128"/>
      <c r="B374" s="128"/>
      <c r="C374" s="128"/>
      <c r="D374" s="128"/>
      <c r="E374" s="1300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301"/>
      <c r="Q374" s="1301"/>
      <c r="R374" s="1301"/>
    </row>
    <row r="375" ht="14.25" customHeight="1">
      <c r="A375" s="128"/>
      <c r="B375" s="128"/>
      <c r="C375" s="128"/>
      <c r="D375" s="128"/>
      <c r="E375" s="1300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301"/>
      <c r="Q375" s="1301"/>
      <c r="R375" s="1301"/>
    </row>
    <row r="376" ht="14.25" customHeight="1">
      <c r="A376" s="128"/>
      <c r="B376" s="128"/>
      <c r="C376" s="128"/>
      <c r="D376" s="128"/>
      <c r="E376" s="1300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301"/>
      <c r="Q376" s="1301"/>
      <c r="R376" s="1301"/>
    </row>
    <row r="377" ht="14.25" customHeight="1">
      <c r="A377" s="128"/>
      <c r="B377" s="128"/>
      <c r="C377" s="128"/>
      <c r="D377" s="128"/>
      <c r="E377" s="1300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301"/>
      <c r="Q377" s="1301"/>
      <c r="R377" s="1301"/>
    </row>
    <row r="378" ht="14.25" customHeight="1">
      <c r="A378" s="128"/>
      <c r="B378" s="128"/>
      <c r="C378" s="128"/>
      <c r="D378" s="128"/>
      <c r="E378" s="1300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301"/>
      <c r="Q378" s="1301"/>
      <c r="R378" s="1301"/>
    </row>
    <row r="379" ht="14.25" customHeight="1">
      <c r="A379" s="128"/>
      <c r="B379" s="128"/>
      <c r="C379" s="128"/>
      <c r="D379" s="128"/>
      <c r="E379" s="1300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301"/>
      <c r="Q379" s="1301"/>
      <c r="R379" s="1301"/>
    </row>
    <row r="380" ht="14.25" customHeight="1">
      <c r="A380" s="128"/>
      <c r="B380" s="128"/>
      <c r="C380" s="128"/>
      <c r="D380" s="128"/>
      <c r="E380" s="1300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301"/>
      <c r="Q380" s="1301"/>
      <c r="R380" s="1301"/>
    </row>
    <row r="381" ht="14.25" customHeight="1">
      <c r="A381" s="128"/>
      <c r="B381" s="128"/>
      <c r="C381" s="128"/>
      <c r="D381" s="128"/>
      <c r="E381" s="1300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301"/>
      <c r="Q381" s="1301"/>
      <c r="R381" s="1301"/>
    </row>
    <row r="382" ht="14.25" customHeight="1">
      <c r="A382" s="128"/>
      <c r="B382" s="128"/>
      <c r="C382" s="128"/>
      <c r="D382" s="128"/>
      <c r="E382" s="1300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301"/>
      <c r="Q382" s="1301"/>
      <c r="R382" s="1301"/>
    </row>
    <row r="383" ht="14.25" customHeight="1">
      <c r="A383" s="128"/>
      <c r="B383" s="128"/>
      <c r="C383" s="128"/>
      <c r="D383" s="128"/>
      <c r="E383" s="1300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301"/>
      <c r="Q383" s="1301"/>
      <c r="R383" s="1301"/>
    </row>
    <row r="384" ht="14.25" customHeight="1">
      <c r="A384" s="128"/>
      <c r="B384" s="128"/>
      <c r="C384" s="128"/>
      <c r="D384" s="128"/>
      <c r="E384" s="1300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301"/>
      <c r="Q384" s="1301"/>
      <c r="R384" s="1301"/>
    </row>
    <row r="385" ht="14.25" customHeight="1">
      <c r="A385" s="128"/>
      <c r="B385" s="128"/>
      <c r="C385" s="128"/>
      <c r="D385" s="128"/>
      <c r="E385" s="1300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301"/>
      <c r="Q385" s="1301"/>
      <c r="R385" s="1301"/>
    </row>
    <row r="386" ht="14.25" customHeight="1">
      <c r="A386" s="128"/>
      <c r="B386" s="128"/>
      <c r="C386" s="128"/>
      <c r="D386" s="128"/>
      <c r="E386" s="1300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301"/>
      <c r="Q386" s="1301"/>
      <c r="R386" s="1301"/>
    </row>
    <row r="387" ht="14.25" customHeight="1">
      <c r="A387" s="128"/>
      <c r="B387" s="128"/>
      <c r="C387" s="128"/>
      <c r="D387" s="128"/>
      <c r="E387" s="1300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301"/>
      <c r="Q387" s="1301"/>
      <c r="R387" s="1301"/>
    </row>
    <row r="388" ht="14.25" customHeight="1">
      <c r="A388" s="128"/>
      <c r="B388" s="128"/>
      <c r="C388" s="128"/>
      <c r="D388" s="128"/>
      <c r="E388" s="1300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301"/>
      <c r="Q388" s="1301"/>
      <c r="R388" s="1301"/>
    </row>
    <row r="389" ht="14.25" customHeight="1">
      <c r="A389" s="128"/>
      <c r="B389" s="128"/>
      <c r="C389" s="128"/>
      <c r="D389" s="128"/>
      <c r="E389" s="1300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301"/>
      <c r="Q389" s="1301"/>
      <c r="R389" s="1301"/>
    </row>
    <row r="390" ht="14.25" customHeight="1">
      <c r="A390" s="128"/>
      <c r="B390" s="128"/>
      <c r="C390" s="128"/>
      <c r="D390" s="128"/>
      <c r="E390" s="1300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301"/>
      <c r="Q390" s="1301"/>
      <c r="R390" s="1301"/>
    </row>
    <row r="391" ht="14.25" customHeight="1">
      <c r="A391" s="128"/>
      <c r="B391" s="128"/>
      <c r="C391" s="128"/>
      <c r="D391" s="128"/>
      <c r="E391" s="1300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301"/>
      <c r="Q391" s="1301"/>
      <c r="R391" s="1301"/>
    </row>
    <row r="392" ht="14.25" customHeight="1">
      <c r="A392" s="128"/>
      <c r="B392" s="128"/>
      <c r="C392" s="128"/>
      <c r="D392" s="128"/>
      <c r="E392" s="1300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301"/>
      <c r="Q392" s="1301"/>
      <c r="R392" s="1301"/>
    </row>
    <row r="393" ht="14.25" customHeight="1">
      <c r="A393" s="128"/>
      <c r="B393" s="128"/>
      <c r="C393" s="128"/>
      <c r="D393" s="128"/>
      <c r="E393" s="1300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301"/>
      <c r="Q393" s="1301"/>
      <c r="R393" s="1301"/>
    </row>
    <row r="394" ht="14.25" customHeight="1">
      <c r="A394" s="128"/>
      <c r="B394" s="128"/>
      <c r="C394" s="128"/>
      <c r="D394" s="128"/>
      <c r="E394" s="1300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301"/>
      <c r="Q394" s="1301"/>
      <c r="R394" s="1301"/>
    </row>
    <row r="395" ht="14.25" customHeight="1">
      <c r="A395" s="128"/>
      <c r="B395" s="128"/>
      <c r="C395" s="128"/>
      <c r="D395" s="128"/>
      <c r="E395" s="1300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301"/>
      <c r="Q395" s="1301"/>
      <c r="R395" s="1301"/>
    </row>
    <row r="396" ht="14.25" customHeight="1">
      <c r="A396" s="128"/>
      <c r="B396" s="128"/>
      <c r="C396" s="128"/>
      <c r="D396" s="128"/>
      <c r="E396" s="1300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301"/>
      <c r="Q396" s="1301"/>
      <c r="R396" s="1301"/>
    </row>
    <row r="397" ht="14.25" customHeight="1">
      <c r="A397" s="128"/>
      <c r="B397" s="128"/>
      <c r="C397" s="128"/>
      <c r="D397" s="128"/>
      <c r="E397" s="1300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301"/>
      <c r="Q397" s="1301"/>
      <c r="R397" s="1301"/>
    </row>
    <row r="398" ht="14.25" customHeight="1">
      <c r="A398" s="128"/>
      <c r="B398" s="128"/>
      <c r="C398" s="128"/>
      <c r="D398" s="128"/>
      <c r="E398" s="1300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301"/>
      <c r="Q398" s="1301"/>
      <c r="R398" s="1301"/>
    </row>
    <row r="399" ht="14.25" customHeight="1">
      <c r="A399" s="128"/>
      <c r="B399" s="128"/>
      <c r="C399" s="128"/>
      <c r="D399" s="128"/>
      <c r="E399" s="1300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301"/>
      <c r="Q399" s="1301"/>
      <c r="R399" s="1301"/>
    </row>
    <row r="400" ht="14.25" customHeight="1">
      <c r="A400" s="128"/>
      <c r="B400" s="128"/>
      <c r="C400" s="128"/>
      <c r="D400" s="128"/>
      <c r="E400" s="1300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301"/>
      <c r="Q400" s="1301"/>
      <c r="R400" s="1301"/>
    </row>
    <row r="401" ht="14.25" customHeight="1">
      <c r="A401" s="128"/>
      <c r="B401" s="128"/>
      <c r="C401" s="128"/>
      <c r="D401" s="128"/>
      <c r="E401" s="1300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301"/>
      <c r="Q401" s="1301"/>
      <c r="R401" s="1301"/>
    </row>
    <row r="402" ht="14.25" customHeight="1">
      <c r="A402" s="128"/>
      <c r="B402" s="128"/>
      <c r="C402" s="128"/>
      <c r="D402" s="128"/>
      <c r="E402" s="1300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301"/>
      <c r="Q402" s="1301"/>
      <c r="R402" s="1301"/>
    </row>
    <row r="403" ht="14.25" customHeight="1">
      <c r="A403" s="128"/>
      <c r="B403" s="128"/>
      <c r="C403" s="128"/>
      <c r="D403" s="128"/>
      <c r="E403" s="1300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301"/>
      <c r="Q403" s="1301"/>
      <c r="R403" s="1301"/>
    </row>
    <row r="404" ht="14.25" customHeight="1">
      <c r="A404" s="128"/>
      <c r="B404" s="128"/>
      <c r="C404" s="128"/>
      <c r="D404" s="128"/>
      <c r="E404" s="1300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301"/>
      <c r="Q404" s="1301"/>
      <c r="R404" s="1301"/>
    </row>
    <row r="405" ht="14.25" customHeight="1">
      <c r="A405" s="128"/>
      <c r="B405" s="128"/>
      <c r="C405" s="128"/>
      <c r="D405" s="128"/>
      <c r="E405" s="1300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301"/>
      <c r="Q405" s="1301"/>
      <c r="R405" s="1301"/>
    </row>
    <row r="406" ht="14.25" customHeight="1">
      <c r="A406" s="128"/>
      <c r="B406" s="128"/>
      <c r="C406" s="128"/>
      <c r="D406" s="128"/>
      <c r="E406" s="1300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301"/>
      <c r="Q406" s="1301"/>
      <c r="R406" s="1301"/>
    </row>
    <row r="407" ht="14.25" customHeight="1">
      <c r="A407" s="128"/>
      <c r="B407" s="128"/>
      <c r="C407" s="128"/>
      <c r="D407" s="128"/>
      <c r="E407" s="1300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301"/>
      <c r="Q407" s="1301"/>
      <c r="R407" s="1301"/>
    </row>
    <row r="408" ht="14.25" customHeight="1">
      <c r="A408" s="128"/>
      <c r="B408" s="128"/>
      <c r="C408" s="128"/>
      <c r="D408" s="128"/>
      <c r="E408" s="1300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301"/>
      <c r="Q408" s="1301"/>
      <c r="R408" s="1301"/>
    </row>
    <row r="409" ht="14.25" customHeight="1">
      <c r="A409" s="128"/>
      <c r="B409" s="128"/>
      <c r="C409" s="128"/>
      <c r="D409" s="128"/>
      <c r="E409" s="1300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301"/>
      <c r="Q409" s="1301"/>
      <c r="R409" s="1301"/>
    </row>
    <row r="410" ht="14.25" customHeight="1">
      <c r="A410" s="128"/>
      <c r="B410" s="128"/>
      <c r="C410" s="128"/>
      <c r="D410" s="128"/>
      <c r="E410" s="1300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301"/>
      <c r="Q410" s="1301"/>
      <c r="R410" s="1301"/>
    </row>
    <row r="411" ht="14.25" customHeight="1">
      <c r="A411" s="128"/>
      <c r="B411" s="128"/>
      <c r="C411" s="128"/>
      <c r="D411" s="128"/>
      <c r="E411" s="1300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301"/>
      <c r="Q411" s="1301"/>
      <c r="R411" s="1301"/>
    </row>
    <row r="412" ht="14.25" customHeight="1">
      <c r="A412" s="128"/>
      <c r="B412" s="128"/>
      <c r="C412" s="128"/>
      <c r="D412" s="128"/>
      <c r="E412" s="1300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301"/>
      <c r="Q412" s="1301"/>
      <c r="R412" s="1301"/>
    </row>
    <row r="413" ht="14.25" customHeight="1">
      <c r="A413" s="128"/>
      <c r="B413" s="128"/>
      <c r="C413" s="128"/>
      <c r="D413" s="128"/>
      <c r="E413" s="1300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301"/>
      <c r="Q413" s="1301"/>
      <c r="R413" s="1301"/>
    </row>
    <row r="414" ht="14.25" customHeight="1">
      <c r="A414" s="128"/>
      <c r="B414" s="128"/>
      <c r="C414" s="128"/>
      <c r="D414" s="128"/>
      <c r="E414" s="1300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301"/>
      <c r="Q414" s="1301"/>
      <c r="R414" s="1301"/>
    </row>
    <row r="415" ht="14.25" customHeight="1">
      <c r="A415" s="128"/>
      <c r="B415" s="128"/>
      <c r="C415" s="128"/>
      <c r="D415" s="128"/>
      <c r="E415" s="1300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301"/>
      <c r="Q415" s="1301"/>
      <c r="R415" s="1301"/>
    </row>
    <row r="416" ht="14.25" customHeight="1">
      <c r="A416" s="128"/>
      <c r="B416" s="128"/>
      <c r="C416" s="128"/>
      <c r="D416" s="128"/>
      <c r="E416" s="1300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301"/>
      <c r="Q416" s="1301"/>
      <c r="R416" s="1301"/>
    </row>
    <row r="417" ht="14.25" customHeight="1">
      <c r="A417" s="128"/>
      <c r="B417" s="128"/>
      <c r="C417" s="128"/>
      <c r="D417" s="128"/>
      <c r="E417" s="1300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301"/>
      <c r="Q417" s="1301"/>
      <c r="R417" s="1301"/>
    </row>
    <row r="418" ht="14.25" customHeight="1">
      <c r="A418" s="128"/>
      <c r="B418" s="128"/>
      <c r="C418" s="128"/>
      <c r="D418" s="128"/>
      <c r="E418" s="1300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301"/>
      <c r="Q418" s="1301"/>
      <c r="R418" s="1301"/>
    </row>
    <row r="419" ht="14.25" customHeight="1">
      <c r="A419" s="128"/>
      <c r="B419" s="128"/>
      <c r="C419" s="128"/>
      <c r="D419" s="128"/>
      <c r="E419" s="1300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301"/>
      <c r="Q419" s="1301"/>
      <c r="R419" s="1301"/>
    </row>
    <row r="420" ht="14.25" customHeight="1">
      <c r="A420" s="128"/>
      <c r="B420" s="128"/>
      <c r="C420" s="128"/>
      <c r="D420" s="128"/>
      <c r="E420" s="1300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301"/>
      <c r="Q420" s="1301"/>
      <c r="R420" s="1301"/>
    </row>
    <row r="421" ht="14.25" customHeight="1">
      <c r="A421" s="128"/>
      <c r="B421" s="128"/>
      <c r="C421" s="128"/>
      <c r="D421" s="128"/>
      <c r="E421" s="1300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301"/>
      <c r="Q421" s="1301"/>
      <c r="R421" s="1301"/>
    </row>
    <row r="422" ht="14.25" customHeight="1">
      <c r="A422" s="128"/>
      <c r="B422" s="128"/>
      <c r="C422" s="128"/>
      <c r="D422" s="128"/>
      <c r="E422" s="1300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301"/>
      <c r="Q422" s="1301"/>
      <c r="R422" s="1301"/>
    </row>
    <row r="423" ht="14.25" customHeight="1">
      <c r="A423" s="128"/>
      <c r="B423" s="128"/>
      <c r="C423" s="128"/>
      <c r="D423" s="128"/>
      <c r="E423" s="1300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301"/>
      <c r="Q423" s="1301"/>
      <c r="R423" s="1301"/>
    </row>
    <row r="424" ht="14.25" customHeight="1">
      <c r="A424" s="128"/>
      <c r="B424" s="128"/>
      <c r="C424" s="128"/>
      <c r="D424" s="128"/>
      <c r="E424" s="1300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301"/>
      <c r="Q424" s="1301"/>
      <c r="R424" s="1301"/>
    </row>
    <row r="425" ht="14.25" customHeight="1">
      <c r="A425" s="128"/>
      <c r="B425" s="128"/>
      <c r="C425" s="128"/>
      <c r="D425" s="128"/>
      <c r="E425" s="1300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301"/>
      <c r="Q425" s="1301"/>
      <c r="R425" s="1301"/>
    </row>
    <row r="426" ht="14.25" customHeight="1">
      <c r="A426" s="128"/>
      <c r="B426" s="128"/>
      <c r="C426" s="128"/>
      <c r="D426" s="128"/>
      <c r="E426" s="1300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301"/>
      <c r="Q426" s="1301"/>
      <c r="R426" s="1301"/>
    </row>
    <row r="427" ht="14.25" customHeight="1">
      <c r="A427" s="128"/>
      <c r="B427" s="128"/>
      <c r="C427" s="128"/>
      <c r="D427" s="128"/>
      <c r="E427" s="1300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301"/>
      <c r="Q427" s="1301"/>
      <c r="R427" s="1301"/>
    </row>
    <row r="428" ht="14.25" customHeight="1">
      <c r="A428" s="128"/>
      <c r="B428" s="128"/>
      <c r="C428" s="128"/>
      <c r="D428" s="128"/>
      <c r="E428" s="1300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301"/>
      <c r="Q428" s="1301"/>
      <c r="R428" s="1301"/>
    </row>
    <row r="429" ht="14.25" customHeight="1">
      <c r="A429" s="128"/>
      <c r="B429" s="128"/>
      <c r="C429" s="128"/>
      <c r="D429" s="128"/>
      <c r="E429" s="1300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301"/>
      <c r="Q429" s="1301"/>
      <c r="R429" s="1301"/>
    </row>
    <row r="430" ht="14.25" customHeight="1">
      <c r="A430" s="128"/>
      <c r="B430" s="128"/>
      <c r="C430" s="128"/>
      <c r="D430" s="128"/>
      <c r="E430" s="1300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301"/>
      <c r="Q430" s="1301"/>
      <c r="R430" s="1301"/>
    </row>
    <row r="431" ht="14.25" customHeight="1">
      <c r="A431" s="128"/>
      <c r="B431" s="128"/>
      <c r="C431" s="128"/>
      <c r="D431" s="128"/>
      <c r="E431" s="1300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301"/>
      <c r="Q431" s="1301"/>
      <c r="R431" s="1301"/>
    </row>
    <row r="432" ht="14.25" customHeight="1">
      <c r="A432" s="128"/>
      <c r="B432" s="128"/>
      <c r="C432" s="128"/>
      <c r="D432" s="128"/>
      <c r="E432" s="1300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301"/>
      <c r="Q432" s="1301"/>
      <c r="R432" s="1301"/>
    </row>
    <row r="433" ht="14.25" customHeight="1">
      <c r="A433" s="128"/>
      <c r="B433" s="128"/>
      <c r="C433" s="128"/>
      <c r="D433" s="128"/>
      <c r="E433" s="1300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301"/>
      <c r="Q433" s="1301"/>
      <c r="R433" s="1301"/>
    </row>
    <row r="434" ht="14.25" customHeight="1">
      <c r="A434" s="128"/>
      <c r="B434" s="128"/>
      <c r="C434" s="128"/>
      <c r="D434" s="128"/>
      <c r="E434" s="1300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301"/>
      <c r="Q434" s="1301"/>
      <c r="R434" s="1301"/>
    </row>
    <row r="435" ht="14.25" customHeight="1">
      <c r="A435" s="128"/>
      <c r="B435" s="128"/>
      <c r="C435" s="128"/>
      <c r="D435" s="128"/>
      <c r="E435" s="1300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301"/>
      <c r="Q435" s="1301"/>
      <c r="R435" s="1301"/>
    </row>
    <row r="436" ht="14.25" customHeight="1">
      <c r="A436" s="128"/>
      <c r="B436" s="128"/>
      <c r="C436" s="128"/>
      <c r="D436" s="128"/>
      <c r="E436" s="1300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301"/>
      <c r="Q436" s="1301"/>
      <c r="R436" s="1301"/>
    </row>
    <row r="437" ht="14.25" customHeight="1">
      <c r="A437" s="128"/>
      <c r="B437" s="128"/>
      <c r="C437" s="128"/>
      <c r="D437" s="128"/>
      <c r="E437" s="1300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301"/>
      <c r="Q437" s="1301"/>
      <c r="R437" s="1301"/>
    </row>
    <row r="438" ht="14.25" customHeight="1">
      <c r="A438" s="128"/>
      <c r="B438" s="128"/>
      <c r="C438" s="128"/>
      <c r="D438" s="128"/>
      <c r="E438" s="1300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301"/>
      <c r="Q438" s="1301"/>
      <c r="R438" s="1301"/>
    </row>
    <row r="439" ht="14.25" customHeight="1">
      <c r="A439" s="128"/>
      <c r="B439" s="128"/>
      <c r="C439" s="128"/>
      <c r="D439" s="128"/>
      <c r="E439" s="1300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301"/>
      <c r="Q439" s="1301"/>
      <c r="R439" s="1301"/>
    </row>
    <row r="440" ht="14.25" customHeight="1">
      <c r="A440" s="128"/>
      <c r="B440" s="128"/>
      <c r="C440" s="128"/>
      <c r="D440" s="128"/>
      <c r="E440" s="1300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301"/>
      <c r="Q440" s="1301"/>
      <c r="R440" s="1301"/>
    </row>
    <row r="441" ht="14.25" customHeight="1">
      <c r="A441" s="128"/>
      <c r="B441" s="128"/>
      <c r="C441" s="128"/>
      <c r="D441" s="128"/>
      <c r="E441" s="1300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301"/>
      <c r="Q441" s="1301"/>
      <c r="R441" s="1301"/>
    </row>
    <row r="442" ht="14.25" customHeight="1">
      <c r="A442" s="128"/>
      <c r="B442" s="128"/>
      <c r="C442" s="128"/>
      <c r="D442" s="128"/>
      <c r="E442" s="1300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301"/>
      <c r="Q442" s="1301"/>
      <c r="R442" s="1301"/>
    </row>
    <row r="443" ht="14.25" customHeight="1">
      <c r="A443" s="128"/>
      <c r="B443" s="128"/>
      <c r="C443" s="128"/>
      <c r="D443" s="128"/>
      <c r="E443" s="1300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301"/>
      <c r="Q443" s="1301"/>
      <c r="R443" s="1301"/>
    </row>
    <row r="444" ht="14.25" customHeight="1">
      <c r="A444" s="128"/>
      <c r="B444" s="128"/>
      <c r="C444" s="128"/>
      <c r="D444" s="128"/>
      <c r="E444" s="1300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301"/>
      <c r="Q444" s="1301"/>
      <c r="R444" s="1301"/>
    </row>
    <row r="445" ht="14.25" customHeight="1">
      <c r="A445" s="128"/>
      <c r="B445" s="128"/>
      <c r="C445" s="128"/>
      <c r="D445" s="128"/>
      <c r="E445" s="1300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301"/>
      <c r="Q445" s="1301"/>
      <c r="R445" s="1301"/>
    </row>
    <row r="446" ht="14.25" customHeight="1">
      <c r="A446" s="128"/>
      <c r="B446" s="128"/>
      <c r="C446" s="128"/>
      <c r="D446" s="128"/>
      <c r="E446" s="1300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301"/>
      <c r="Q446" s="1301"/>
      <c r="R446" s="1301"/>
    </row>
    <row r="447" ht="14.25" customHeight="1">
      <c r="A447" s="128"/>
      <c r="B447" s="128"/>
      <c r="C447" s="128"/>
      <c r="D447" s="128"/>
      <c r="E447" s="1300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301"/>
      <c r="Q447" s="1301"/>
      <c r="R447" s="1301"/>
    </row>
    <row r="448" ht="14.25" customHeight="1">
      <c r="A448" s="128"/>
      <c r="B448" s="128"/>
      <c r="C448" s="128"/>
      <c r="D448" s="128"/>
      <c r="E448" s="1300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301"/>
      <c r="Q448" s="1301"/>
      <c r="R448" s="1301"/>
    </row>
    <row r="449" ht="14.25" customHeight="1">
      <c r="A449" s="128"/>
      <c r="B449" s="128"/>
      <c r="C449" s="128"/>
      <c r="D449" s="128"/>
      <c r="E449" s="1300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301"/>
      <c r="Q449" s="1301"/>
      <c r="R449" s="1301"/>
    </row>
    <row r="450" ht="14.25" customHeight="1">
      <c r="A450" s="128"/>
      <c r="B450" s="128"/>
      <c r="C450" s="128"/>
      <c r="D450" s="128"/>
      <c r="E450" s="1300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301"/>
      <c r="Q450" s="1301"/>
      <c r="R450" s="1301"/>
    </row>
    <row r="451" ht="14.25" customHeight="1">
      <c r="A451" s="128"/>
      <c r="B451" s="128"/>
      <c r="C451" s="128"/>
      <c r="D451" s="128"/>
      <c r="E451" s="1300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301"/>
      <c r="Q451" s="1301"/>
      <c r="R451" s="1301"/>
    </row>
    <row r="452" ht="14.25" customHeight="1">
      <c r="A452" s="128"/>
      <c r="B452" s="128"/>
      <c r="C452" s="128"/>
      <c r="D452" s="128"/>
      <c r="E452" s="1300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301"/>
      <c r="Q452" s="1301"/>
      <c r="R452" s="1301"/>
    </row>
    <row r="453" ht="14.25" customHeight="1">
      <c r="A453" s="128"/>
      <c r="B453" s="128"/>
      <c r="C453" s="128"/>
      <c r="D453" s="128"/>
      <c r="E453" s="1300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301"/>
      <c r="Q453" s="1301"/>
      <c r="R453" s="1301"/>
    </row>
    <row r="454" ht="14.25" customHeight="1">
      <c r="A454" s="128"/>
      <c r="B454" s="128"/>
      <c r="C454" s="128"/>
      <c r="D454" s="128"/>
      <c r="E454" s="1300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301"/>
      <c r="Q454" s="1301"/>
      <c r="R454" s="1301"/>
    </row>
    <row r="455" ht="14.25" customHeight="1">
      <c r="A455" s="128"/>
      <c r="B455" s="128"/>
      <c r="C455" s="128"/>
      <c r="D455" s="128"/>
      <c r="E455" s="1300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301"/>
      <c r="Q455" s="1301"/>
      <c r="R455" s="1301"/>
    </row>
    <row r="456" ht="14.25" customHeight="1">
      <c r="A456" s="128"/>
      <c r="B456" s="128"/>
      <c r="C456" s="128"/>
      <c r="D456" s="128"/>
      <c r="E456" s="1300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301"/>
      <c r="Q456" s="1301"/>
      <c r="R456" s="1301"/>
    </row>
    <row r="457" ht="14.25" customHeight="1">
      <c r="A457" s="128"/>
      <c r="B457" s="128"/>
      <c r="C457" s="128"/>
      <c r="D457" s="128"/>
      <c r="E457" s="1300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301"/>
      <c r="Q457" s="1301"/>
      <c r="R457" s="1301"/>
    </row>
    <row r="458" ht="14.25" customHeight="1">
      <c r="A458" s="128"/>
      <c r="B458" s="128"/>
      <c r="C458" s="128"/>
      <c r="D458" s="128"/>
      <c r="E458" s="1300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301"/>
      <c r="Q458" s="1301"/>
      <c r="R458" s="1301"/>
    </row>
    <row r="459" ht="14.25" customHeight="1">
      <c r="A459" s="128"/>
      <c r="B459" s="128"/>
      <c r="C459" s="128"/>
      <c r="D459" s="128"/>
      <c r="E459" s="1300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301"/>
      <c r="Q459" s="1301"/>
      <c r="R459" s="1301"/>
    </row>
    <row r="460" ht="14.25" customHeight="1">
      <c r="A460" s="128"/>
      <c r="B460" s="128"/>
      <c r="C460" s="128"/>
      <c r="D460" s="128"/>
      <c r="E460" s="1300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301"/>
      <c r="Q460" s="1301"/>
      <c r="R460" s="1301"/>
    </row>
    <row r="461" ht="14.25" customHeight="1">
      <c r="A461" s="128"/>
      <c r="B461" s="128"/>
      <c r="C461" s="128"/>
      <c r="D461" s="128"/>
      <c r="E461" s="1300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301"/>
      <c r="Q461" s="1301"/>
      <c r="R461" s="1301"/>
    </row>
    <row r="462" ht="14.25" customHeight="1">
      <c r="A462" s="128"/>
      <c r="B462" s="128"/>
      <c r="C462" s="128"/>
      <c r="D462" s="128"/>
      <c r="E462" s="1300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301"/>
      <c r="Q462" s="1301"/>
      <c r="R462" s="1301"/>
    </row>
    <row r="463" ht="14.25" customHeight="1">
      <c r="A463" s="128"/>
      <c r="B463" s="128"/>
      <c r="C463" s="128"/>
      <c r="D463" s="128"/>
      <c r="E463" s="1300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301"/>
      <c r="Q463" s="1301"/>
      <c r="R463" s="1301"/>
    </row>
    <row r="464" ht="14.25" customHeight="1">
      <c r="A464" s="128"/>
      <c r="B464" s="128"/>
      <c r="C464" s="128"/>
      <c r="D464" s="128"/>
      <c r="E464" s="1300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301"/>
      <c r="Q464" s="1301"/>
      <c r="R464" s="1301"/>
    </row>
    <row r="465" ht="14.25" customHeight="1">
      <c r="A465" s="128"/>
      <c r="B465" s="128"/>
      <c r="C465" s="128"/>
      <c r="D465" s="128"/>
      <c r="E465" s="1300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301"/>
      <c r="Q465" s="1301"/>
      <c r="R465" s="1301"/>
    </row>
    <row r="466" ht="14.25" customHeight="1">
      <c r="A466" s="128"/>
      <c r="B466" s="128"/>
      <c r="C466" s="128"/>
      <c r="D466" s="128"/>
      <c r="E466" s="1300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301"/>
      <c r="Q466" s="1301"/>
      <c r="R466" s="1301"/>
    </row>
    <row r="467" ht="14.25" customHeight="1">
      <c r="A467" s="128"/>
      <c r="B467" s="128"/>
      <c r="C467" s="128"/>
      <c r="D467" s="128"/>
      <c r="E467" s="1300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301"/>
      <c r="Q467" s="1301"/>
      <c r="R467" s="1301"/>
    </row>
    <row r="468" ht="14.25" customHeight="1">
      <c r="A468" s="128"/>
      <c r="B468" s="128"/>
      <c r="C468" s="128"/>
      <c r="D468" s="128"/>
      <c r="E468" s="1300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301"/>
      <c r="Q468" s="1301"/>
      <c r="R468" s="1301"/>
    </row>
    <row r="469" ht="14.25" customHeight="1">
      <c r="A469" s="128"/>
      <c r="B469" s="128"/>
      <c r="C469" s="128"/>
      <c r="D469" s="128"/>
      <c r="E469" s="1300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301"/>
      <c r="Q469" s="1301"/>
      <c r="R469" s="1301"/>
    </row>
    <row r="470" ht="14.25" customHeight="1">
      <c r="A470" s="128"/>
      <c r="B470" s="128"/>
      <c r="C470" s="128"/>
      <c r="D470" s="128"/>
      <c r="E470" s="1300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301"/>
      <c r="Q470" s="1301"/>
      <c r="R470" s="1301"/>
    </row>
    <row r="471" ht="14.25" customHeight="1">
      <c r="A471" s="128"/>
      <c r="B471" s="128"/>
      <c r="C471" s="128"/>
      <c r="D471" s="128"/>
      <c r="E471" s="1300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301"/>
      <c r="Q471" s="1301"/>
      <c r="R471" s="1301"/>
    </row>
    <row r="472" ht="14.25" customHeight="1">
      <c r="A472" s="128"/>
      <c r="B472" s="128"/>
      <c r="C472" s="128"/>
      <c r="D472" s="128"/>
      <c r="E472" s="1300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301"/>
      <c r="Q472" s="1301"/>
      <c r="R472" s="1301"/>
    </row>
    <row r="473" ht="14.25" customHeight="1">
      <c r="A473" s="128"/>
      <c r="B473" s="128"/>
      <c r="C473" s="128"/>
      <c r="D473" s="128"/>
      <c r="E473" s="1300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301"/>
      <c r="Q473" s="1301"/>
      <c r="R473" s="1301"/>
    </row>
    <row r="474" ht="14.25" customHeight="1">
      <c r="A474" s="128"/>
      <c r="B474" s="128"/>
      <c r="C474" s="128"/>
      <c r="D474" s="128"/>
      <c r="E474" s="1300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301"/>
      <c r="Q474" s="1301"/>
      <c r="R474" s="1301"/>
    </row>
    <row r="475" ht="14.25" customHeight="1">
      <c r="A475" s="128"/>
      <c r="B475" s="128"/>
      <c r="C475" s="128"/>
      <c r="D475" s="128"/>
      <c r="E475" s="1300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301"/>
      <c r="Q475" s="1301"/>
      <c r="R475" s="1301"/>
    </row>
    <row r="476" ht="14.25" customHeight="1">
      <c r="A476" s="128"/>
      <c r="B476" s="128"/>
      <c r="C476" s="128"/>
      <c r="D476" s="128"/>
      <c r="E476" s="1300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301"/>
      <c r="Q476" s="1301"/>
      <c r="R476" s="1301"/>
    </row>
    <row r="477" ht="14.25" customHeight="1">
      <c r="A477" s="128"/>
      <c r="B477" s="128"/>
      <c r="C477" s="128"/>
      <c r="D477" s="128"/>
      <c r="E477" s="1300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301"/>
      <c r="Q477" s="1301"/>
      <c r="R477" s="1301"/>
    </row>
    <row r="478" ht="14.25" customHeight="1">
      <c r="A478" s="128"/>
      <c r="B478" s="128"/>
      <c r="C478" s="128"/>
      <c r="D478" s="128"/>
      <c r="E478" s="1300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301"/>
      <c r="Q478" s="1301"/>
      <c r="R478" s="1301"/>
    </row>
    <row r="479" ht="14.25" customHeight="1">
      <c r="A479" s="128"/>
      <c r="B479" s="128"/>
      <c r="C479" s="128"/>
      <c r="D479" s="128"/>
      <c r="E479" s="1300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301"/>
      <c r="Q479" s="1301"/>
      <c r="R479" s="1301"/>
    </row>
    <row r="480" ht="14.25" customHeight="1">
      <c r="A480" s="128"/>
      <c r="B480" s="128"/>
      <c r="C480" s="128"/>
      <c r="D480" s="128"/>
      <c r="E480" s="1300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301"/>
      <c r="Q480" s="1301"/>
      <c r="R480" s="1301"/>
    </row>
    <row r="481" ht="14.25" customHeight="1">
      <c r="A481" s="128"/>
      <c r="B481" s="128"/>
      <c r="C481" s="128"/>
      <c r="D481" s="128"/>
      <c r="E481" s="1300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301"/>
      <c r="Q481" s="1301"/>
      <c r="R481" s="1301"/>
    </row>
    <row r="482" ht="14.25" customHeight="1">
      <c r="A482" s="128"/>
      <c r="B482" s="128"/>
      <c r="C482" s="128"/>
      <c r="D482" s="128"/>
      <c r="E482" s="1300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301"/>
      <c r="Q482" s="1301"/>
      <c r="R482" s="1301"/>
    </row>
    <row r="483" ht="14.25" customHeight="1">
      <c r="A483" s="128"/>
      <c r="B483" s="128"/>
      <c r="C483" s="128"/>
      <c r="D483" s="128"/>
      <c r="E483" s="1300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301"/>
      <c r="Q483" s="1301"/>
      <c r="R483" s="1301"/>
    </row>
    <row r="484" ht="14.25" customHeight="1">
      <c r="A484" s="128"/>
      <c r="B484" s="128"/>
      <c r="C484" s="128"/>
      <c r="D484" s="128"/>
      <c r="E484" s="1300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301"/>
      <c r="Q484" s="1301"/>
      <c r="R484" s="1301"/>
    </row>
    <row r="485" ht="14.25" customHeight="1">
      <c r="A485" s="128"/>
      <c r="B485" s="128"/>
      <c r="C485" s="128"/>
      <c r="D485" s="128"/>
      <c r="E485" s="1300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301"/>
      <c r="Q485" s="1301"/>
      <c r="R485" s="1301"/>
    </row>
    <row r="486" ht="14.25" customHeight="1">
      <c r="A486" s="128"/>
      <c r="B486" s="128"/>
      <c r="C486" s="128"/>
      <c r="D486" s="128"/>
      <c r="E486" s="1300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301"/>
      <c r="Q486" s="1301"/>
      <c r="R486" s="1301"/>
    </row>
    <row r="487" ht="14.25" customHeight="1">
      <c r="A487" s="128"/>
      <c r="B487" s="128"/>
      <c r="C487" s="128"/>
      <c r="D487" s="128"/>
      <c r="E487" s="1300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301"/>
      <c r="Q487" s="1301"/>
      <c r="R487" s="1301"/>
    </row>
    <row r="488" ht="14.25" customHeight="1">
      <c r="A488" s="128"/>
      <c r="B488" s="128"/>
      <c r="C488" s="128"/>
      <c r="D488" s="128"/>
      <c r="E488" s="1300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301"/>
      <c r="Q488" s="1301"/>
      <c r="R488" s="1301"/>
    </row>
    <row r="489" ht="14.25" customHeight="1">
      <c r="A489" s="128"/>
      <c r="B489" s="128"/>
      <c r="C489" s="128"/>
      <c r="D489" s="128"/>
      <c r="E489" s="1300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301"/>
      <c r="Q489" s="1301"/>
      <c r="R489" s="1301"/>
    </row>
    <row r="490" ht="14.25" customHeight="1">
      <c r="A490" s="128"/>
      <c r="B490" s="128"/>
      <c r="C490" s="128"/>
      <c r="D490" s="128"/>
      <c r="E490" s="1300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301"/>
      <c r="Q490" s="1301"/>
      <c r="R490" s="1301"/>
    </row>
    <row r="491" ht="14.25" customHeight="1">
      <c r="A491" s="128"/>
      <c r="B491" s="128"/>
      <c r="C491" s="128"/>
      <c r="D491" s="128"/>
      <c r="E491" s="1300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301"/>
      <c r="Q491" s="1301"/>
      <c r="R491" s="1301"/>
    </row>
    <row r="492" ht="14.25" customHeight="1">
      <c r="A492" s="128"/>
      <c r="B492" s="128"/>
      <c r="C492" s="128"/>
      <c r="D492" s="128"/>
      <c r="E492" s="1300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301"/>
      <c r="Q492" s="1301"/>
      <c r="R492" s="1301"/>
    </row>
    <row r="493" ht="14.25" customHeight="1">
      <c r="A493" s="128"/>
      <c r="B493" s="128"/>
      <c r="C493" s="128"/>
      <c r="D493" s="128"/>
      <c r="E493" s="1300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301"/>
      <c r="Q493" s="1301"/>
      <c r="R493" s="1301"/>
    </row>
    <row r="494" ht="14.25" customHeight="1">
      <c r="A494" s="128"/>
      <c r="B494" s="128"/>
      <c r="C494" s="128"/>
      <c r="D494" s="128"/>
      <c r="E494" s="1300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301"/>
      <c r="Q494" s="1301"/>
      <c r="R494" s="1301"/>
    </row>
    <row r="495" ht="14.25" customHeight="1">
      <c r="A495" s="128"/>
      <c r="B495" s="128"/>
      <c r="C495" s="128"/>
      <c r="D495" s="128"/>
      <c r="E495" s="1300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301"/>
      <c r="Q495" s="1301"/>
      <c r="R495" s="1301"/>
    </row>
    <row r="496" ht="14.25" customHeight="1">
      <c r="A496" s="128"/>
      <c r="B496" s="128"/>
      <c r="C496" s="128"/>
      <c r="D496" s="128"/>
      <c r="E496" s="1300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301"/>
      <c r="Q496" s="1301"/>
      <c r="R496" s="1301"/>
    </row>
    <row r="497" ht="14.25" customHeight="1">
      <c r="A497" s="128"/>
      <c r="B497" s="128"/>
      <c r="C497" s="128"/>
      <c r="D497" s="128"/>
      <c r="E497" s="1300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301"/>
      <c r="Q497" s="1301"/>
      <c r="R497" s="1301"/>
    </row>
    <row r="498" ht="14.25" customHeight="1">
      <c r="A498" s="128"/>
      <c r="B498" s="128"/>
      <c r="C498" s="128"/>
      <c r="D498" s="128"/>
      <c r="E498" s="1300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301"/>
      <c r="Q498" s="1301"/>
      <c r="R498" s="1301"/>
    </row>
    <row r="499" ht="14.25" customHeight="1">
      <c r="A499" s="128"/>
      <c r="B499" s="128"/>
      <c r="C499" s="128"/>
      <c r="D499" s="128"/>
      <c r="E499" s="1300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301"/>
      <c r="Q499" s="1301"/>
      <c r="R499" s="1301"/>
    </row>
    <row r="500" ht="14.25" customHeight="1">
      <c r="A500" s="128"/>
      <c r="B500" s="128"/>
      <c r="C500" s="128"/>
      <c r="D500" s="128"/>
      <c r="E500" s="1300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301"/>
      <c r="Q500" s="1301"/>
      <c r="R500" s="1301"/>
    </row>
    <row r="501" ht="14.25" customHeight="1">
      <c r="A501" s="128"/>
      <c r="B501" s="128"/>
      <c r="C501" s="128"/>
      <c r="D501" s="128"/>
      <c r="E501" s="1300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301"/>
      <c r="Q501" s="1301"/>
      <c r="R501" s="1301"/>
    </row>
    <row r="502" ht="14.25" customHeight="1">
      <c r="A502" s="128"/>
      <c r="B502" s="128"/>
      <c r="C502" s="128"/>
      <c r="D502" s="128"/>
      <c r="E502" s="1300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301"/>
      <c r="Q502" s="1301"/>
      <c r="R502" s="1301"/>
    </row>
    <row r="503" ht="14.25" customHeight="1">
      <c r="A503" s="128"/>
      <c r="B503" s="128"/>
      <c r="C503" s="128"/>
      <c r="D503" s="128"/>
      <c r="E503" s="1300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301"/>
      <c r="Q503" s="1301"/>
      <c r="R503" s="1301"/>
    </row>
    <row r="504" ht="14.25" customHeight="1">
      <c r="A504" s="128"/>
      <c r="B504" s="128"/>
      <c r="C504" s="128"/>
      <c r="D504" s="128"/>
      <c r="E504" s="1300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301"/>
      <c r="Q504" s="1301"/>
      <c r="R504" s="1301"/>
    </row>
    <row r="505" ht="14.25" customHeight="1">
      <c r="A505" s="128"/>
      <c r="B505" s="128"/>
      <c r="C505" s="128"/>
      <c r="D505" s="128"/>
      <c r="E505" s="1300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301"/>
      <c r="Q505" s="1301"/>
      <c r="R505" s="1301"/>
    </row>
    <row r="506" ht="14.25" customHeight="1">
      <c r="A506" s="128"/>
      <c r="B506" s="128"/>
      <c r="C506" s="128"/>
      <c r="D506" s="128"/>
      <c r="E506" s="1300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301"/>
      <c r="Q506" s="1301"/>
      <c r="R506" s="1301"/>
    </row>
    <row r="507" ht="14.25" customHeight="1">
      <c r="A507" s="128"/>
      <c r="B507" s="128"/>
      <c r="C507" s="128"/>
      <c r="D507" s="128"/>
      <c r="E507" s="1300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301"/>
      <c r="Q507" s="1301"/>
      <c r="R507" s="1301"/>
    </row>
    <row r="508" ht="14.25" customHeight="1">
      <c r="A508" s="128"/>
      <c r="B508" s="128"/>
      <c r="C508" s="128"/>
      <c r="D508" s="128"/>
      <c r="E508" s="1300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301"/>
      <c r="Q508" s="1301"/>
      <c r="R508" s="1301"/>
    </row>
    <row r="509" ht="14.25" customHeight="1">
      <c r="A509" s="128"/>
      <c r="B509" s="128"/>
      <c r="C509" s="128"/>
      <c r="D509" s="128"/>
      <c r="E509" s="1300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301"/>
      <c r="Q509" s="1301"/>
      <c r="R509" s="1301"/>
    </row>
    <row r="510" ht="14.25" customHeight="1">
      <c r="A510" s="128"/>
      <c r="B510" s="128"/>
      <c r="C510" s="128"/>
      <c r="D510" s="128"/>
      <c r="E510" s="1300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301"/>
      <c r="Q510" s="1301"/>
      <c r="R510" s="1301"/>
    </row>
    <row r="511" ht="14.25" customHeight="1">
      <c r="A511" s="128"/>
      <c r="B511" s="128"/>
      <c r="C511" s="128"/>
      <c r="D511" s="128"/>
      <c r="E511" s="1300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301"/>
      <c r="Q511" s="1301"/>
      <c r="R511" s="1301"/>
    </row>
    <row r="512" ht="14.25" customHeight="1">
      <c r="A512" s="128"/>
      <c r="B512" s="128"/>
      <c r="C512" s="128"/>
      <c r="D512" s="128"/>
      <c r="E512" s="1300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301"/>
      <c r="Q512" s="1301"/>
      <c r="R512" s="1301"/>
    </row>
    <row r="513" ht="14.25" customHeight="1">
      <c r="A513" s="128"/>
      <c r="B513" s="128"/>
      <c r="C513" s="128"/>
      <c r="D513" s="128"/>
      <c r="E513" s="1300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301"/>
      <c r="Q513" s="1301"/>
      <c r="R513" s="1301"/>
    </row>
    <row r="514" ht="14.25" customHeight="1">
      <c r="A514" s="128"/>
      <c r="B514" s="128"/>
      <c r="C514" s="128"/>
      <c r="D514" s="128"/>
      <c r="E514" s="1300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301"/>
      <c r="Q514" s="1301"/>
      <c r="R514" s="1301"/>
    </row>
    <row r="515" ht="14.25" customHeight="1">
      <c r="A515" s="128"/>
      <c r="B515" s="128"/>
      <c r="C515" s="128"/>
      <c r="D515" s="128"/>
      <c r="E515" s="1300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301"/>
      <c r="Q515" s="1301"/>
      <c r="R515" s="1301"/>
    </row>
    <row r="516" ht="14.25" customHeight="1">
      <c r="A516" s="128"/>
      <c r="B516" s="128"/>
      <c r="C516" s="128"/>
      <c r="D516" s="128"/>
      <c r="E516" s="1300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301"/>
      <c r="Q516" s="1301"/>
      <c r="R516" s="1301"/>
    </row>
    <row r="517" ht="14.25" customHeight="1">
      <c r="A517" s="128"/>
      <c r="B517" s="128"/>
      <c r="C517" s="128"/>
      <c r="D517" s="128"/>
      <c r="E517" s="1300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301"/>
      <c r="Q517" s="1301"/>
      <c r="R517" s="1301"/>
    </row>
    <row r="518" ht="14.25" customHeight="1">
      <c r="A518" s="128"/>
      <c r="B518" s="128"/>
      <c r="C518" s="128"/>
      <c r="D518" s="128"/>
      <c r="E518" s="1300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301"/>
      <c r="Q518" s="1301"/>
      <c r="R518" s="1301"/>
    </row>
    <row r="519" ht="14.25" customHeight="1">
      <c r="A519" s="128"/>
      <c r="B519" s="128"/>
      <c r="C519" s="128"/>
      <c r="D519" s="128"/>
      <c r="E519" s="1300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301"/>
      <c r="Q519" s="1301"/>
      <c r="R519" s="1301"/>
    </row>
    <row r="520" ht="14.25" customHeight="1">
      <c r="A520" s="128"/>
      <c r="B520" s="128"/>
      <c r="C520" s="128"/>
      <c r="D520" s="128"/>
      <c r="E520" s="1300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301"/>
      <c r="Q520" s="1301"/>
      <c r="R520" s="1301"/>
    </row>
    <row r="521" ht="14.25" customHeight="1">
      <c r="A521" s="128"/>
      <c r="B521" s="128"/>
      <c r="C521" s="128"/>
      <c r="D521" s="128"/>
      <c r="E521" s="1300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301"/>
      <c r="Q521" s="1301"/>
      <c r="R521" s="1301"/>
    </row>
    <row r="522" ht="14.25" customHeight="1">
      <c r="A522" s="128"/>
      <c r="B522" s="128"/>
      <c r="C522" s="128"/>
      <c r="D522" s="128"/>
      <c r="E522" s="1300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301"/>
      <c r="Q522" s="1301"/>
      <c r="R522" s="1301"/>
    </row>
    <row r="523" ht="14.25" customHeight="1">
      <c r="A523" s="128"/>
      <c r="B523" s="128"/>
      <c r="C523" s="128"/>
      <c r="D523" s="128"/>
      <c r="E523" s="1300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301"/>
      <c r="Q523" s="1301"/>
      <c r="R523" s="1301"/>
    </row>
    <row r="524" ht="14.25" customHeight="1">
      <c r="A524" s="128"/>
      <c r="B524" s="128"/>
      <c r="C524" s="128"/>
      <c r="D524" s="128"/>
      <c r="E524" s="1300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301"/>
      <c r="Q524" s="1301"/>
      <c r="R524" s="1301"/>
    </row>
    <row r="525" ht="14.25" customHeight="1">
      <c r="A525" s="128"/>
      <c r="B525" s="128"/>
      <c r="C525" s="128"/>
      <c r="D525" s="128"/>
      <c r="E525" s="1300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301"/>
      <c r="Q525" s="1301"/>
      <c r="R525" s="1301"/>
    </row>
    <row r="526" ht="14.25" customHeight="1">
      <c r="A526" s="128"/>
      <c r="B526" s="128"/>
      <c r="C526" s="128"/>
      <c r="D526" s="128"/>
      <c r="E526" s="1300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301"/>
      <c r="Q526" s="1301"/>
      <c r="R526" s="1301"/>
    </row>
    <row r="527" ht="14.25" customHeight="1">
      <c r="A527" s="128"/>
      <c r="B527" s="128"/>
      <c r="C527" s="128"/>
      <c r="D527" s="128"/>
      <c r="E527" s="1300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301"/>
      <c r="Q527" s="1301"/>
      <c r="R527" s="1301"/>
    </row>
    <row r="528" ht="14.25" customHeight="1">
      <c r="A528" s="128"/>
      <c r="B528" s="128"/>
      <c r="C528" s="128"/>
      <c r="D528" s="128"/>
      <c r="E528" s="1300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301"/>
      <c r="Q528" s="1301"/>
      <c r="R528" s="1301"/>
    </row>
    <row r="529" ht="14.25" customHeight="1">
      <c r="A529" s="128"/>
      <c r="B529" s="128"/>
      <c r="C529" s="128"/>
      <c r="D529" s="128"/>
      <c r="E529" s="1300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301"/>
      <c r="Q529" s="1301"/>
      <c r="R529" s="1301"/>
    </row>
    <row r="530" ht="14.25" customHeight="1">
      <c r="A530" s="128"/>
      <c r="B530" s="128"/>
      <c r="C530" s="128"/>
      <c r="D530" s="128"/>
      <c r="E530" s="1300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301"/>
      <c r="Q530" s="1301"/>
      <c r="R530" s="1301"/>
    </row>
    <row r="531" ht="14.25" customHeight="1">
      <c r="A531" s="128"/>
      <c r="B531" s="128"/>
      <c r="C531" s="128"/>
      <c r="D531" s="128"/>
      <c r="E531" s="1300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301"/>
      <c r="Q531" s="1301"/>
      <c r="R531" s="1301"/>
    </row>
    <row r="532" ht="14.25" customHeight="1">
      <c r="A532" s="128"/>
      <c r="B532" s="128"/>
      <c r="C532" s="128"/>
      <c r="D532" s="128"/>
      <c r="E532" s="1300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301"/>
      <c r="Q532" s="1301"/>
      <c r="R532" s="1301"/>
    </row>
    <row r="533" ht="14.25" customHeight="1">
      <c r="A533" s="128"/>
      <c r="B533" s="128"/>
      <c r="C533" s="128"/>
      <c r="D533" s="128"/>
      <c r="E533" s="1300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301"/>
      <c r="Q533" s="1301"/>
      <c r="R533" s="1301"/>
    </row>
    <row r="534" ht="14.25" customHeight="1">
      <c r="A534" s="128"/>
      <c r="B534" s="128"/>
      <c r="C534" s="128"/>
      <c r="D534" s="128"/>
      <c r="E534" s="1300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301"/>
      <c r="Q534" s="1301"/>
      <c r="R534" s="1301"/>
    </row>
    <row r="535" ht="14.25" customHeight="1">
      <c r="A535" s="128"/>
      <c r="B535" s="128"/>
      <c r="C535" s="128"/>
      <c r="D535" s="128"/>
      <c r="E535" s="1300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301"/>
      <c r="Q535" s="1301"/>
      <c r="R535" s="1301"/>
    </row>
    <row r="536" ht="14.25" customHeight="1">
      <c r="A536" s="128"/>
      <c r="B536" s="128"/>
      <c r="C536" s="128"/>
      <c r="D536" s="128"/>
      <c r="E536" s="1300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301"/>
      <c r="Q536" s="1301"/>
      <c r="R536" s="1301"/>
    </row>
    <row r="537" ht="14.25" customHeight="1">
      <c r="A537" s="128"/>
      <c r="B537" s="128"/>
      <c r="C537" s="128"/>
      <c r="D537" s="128"/>
      <c r="E537" s="1300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301"/>
      <c r="Q537" s="1301"/>
      <c r="R537" s="1301"/>
    </row>
    <row r="538" ht="14.25" customHeight="1">
      <c r="A538" s="128"/>
      <c r="B538" s="128"/>
      <c r="C538" s="128"/>
      <c r="D538" s="128"/>
      <c r="E538" s="1300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301"/>
      <c r="Q538" s="1301"/>
      <c r="R538" s="1301"/>
    </row>
    <row r="539" ht="14.25" customHeight="1">
      <c r="A539" s="128"/>
      <c r="B539" s="128"/>
      <c r="C539" s="128"/>
      <c r="D539" s="128"/>
      <c r="E539" s="1300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301"/>
      <c r="Q539" s="1301"/>
      <c r="R539" s="1301"/>
    </row>
    <row r="540" ht="14.25" customHeight="1">
      <c r="A540" s="128"/>
      <c r="B540" s="128"/>
      <c r="C540" s="128"/>
      <c r="D540" s="128"/>
      <c r="E540" s="1300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301"/>
      <c r="Q540" s="1301"/>
      <c r="R540" s="1301"/>
    </row>
    <row r="541" ht="14.25" customHeight="1">
      <c r="A541" s="128"/>
      <c r="B541" s="128"/>
      <c r="C541" s="128"/>
      <c r="D541" s="128"/>
      <c r="E541" s="1300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301"/>
      <c r="Q541" s="1301"/>
      <c r="R541" s="1301"/>
    </row>
    <row r="542" ht="14.25" customHeight="1">
      <c r="A542" s="128"/>
      <c r="B542" s="128"/>
      <c r="C542" s="128"/>
      <c r="D542" s="128"/>
      <c r="E542" s="1300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301"/>
      <c r="Q542" s="1301"/>
      <c r="R542" s="1301"/>
    </row>
    <row r="543" ht="14.25" customHeight="1">
      <c r="A543" s="128"/>
      <c r="B543" s="128"/>
      <c r="C543" s="128"/>
      <c r="D543" s="128"/>
      <c r="E543" s="1300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301"/>
      <c r="Q543" s="1301"/>
      <c r="R543" s="1301"/>
    </row>
    <row r="544" ht="14.25" customHeight="1">
      <c r="A544" s="128"/>
      <c r="B544" s="128"/>
      <c r="C544" s="128"/>
      <c r="D544" s="128"/>
      <c r="E544" s="1300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301"/>
      <c r="Q544" s="1301"/>
      <c r="R544" s="1301"/>
    </row>
    <row r="545" ht="14.25" customHeight="1">
      <c r="A545" s="128"/>
      <c r="B545" s="128"/>
      <c r="C545" s="128"/>
      <c r="D545" s="128"/>
      <c r="E545" s="1300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301"/>
      <c r="Q545" s="1301"/>
      <c r="R545" s="1301"/>
    </row>
    <row r="546" ht="14.25" customHeight="1">
      <c r="A546" s="128"/>
      <c r="B546" s="128"/>
      <c r="C546" s="128"/>
      <c r="D546" s="128"/>
      <c r="E546" s="1300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301"/>
      <c r="Q546" s="1301"/>
      <c r="R546" s="1301"/>
    </row>
    <row r="547" ht="14.25" customHeight="1">
      <c r="A547" s="128"/>
      <c r="B547" s="128"/>
      <c r="C547" s="128"/>
      <c r="D547" s="128"/>
      <c r="E547" s="1300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301"/>
      <c r="Q547" s="1301"/>
      <c r="R547" s="1301"/>
    </row>
    <row r="548" ht="14.25" customHeight="1">
      <c r="A548" s="128"/>
      <c r="B548" s="128"/>
      <c r="C548" s="128"/>
      <c r="D548" s="128"/>
      <c r="E548" s="1300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301"/>
      <c r="Q548" s="1301"/>
      <c r="R548" s="1301"/>
    </row>
    <row r="549" ht="14.25" customHeight="1">
      <c r="A549" s="128"/>
      <c r="B549" s="128"/>
      <c r="C549" s="128"/>
      <c r="D549" s="128"/>
      <c r="E549" s="1300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301"/>
      <c r="Q549" s="1301"/>
      <c r="R549" s="1301"/>
    </row>
    <row r="550" ht="14.25" customHeight="1">
      <c r="A550" s="128"/>
      <c r="B550" s="128"/>
      <c r="C550" s="128"/>
      <c r="D550" s="128"/>
      <c r="E550" s="1300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301"/>
      <c r="Q550" s="1301"/>
      <c r="R550" s="1301"/>
    </row>
    <row r="551" ht="14.25" customHeight="1">
      <c r="A551" s="128"/>
      <c r="B551" s="128"/>
      <c r="C551" s="128"/>
      <c r="D551" s="128"/>
      <c r="E551" s="1300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301"/>
      <c r="Q551" s="1301"/>
      <c r="R551" s="1301"/>
    </row>
    <row r="552" ht="14.25" customHeight="1">
      <c r="A552" s="128"/>
      <c r="B552" s="128"/>
      <c r="C552" s="128"/>
      <c r="D552" s="128"/>
      <c r="E552" s="1300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301"/>
      <c r="Q552" s="1301"/>
      <c r="R552" s="1301"/>
    </row>
    <row r="553" ht="14.25" customHeight="1">
      <c r="A553" s="128"/>
      <c r="B553" s="128"/>
      <c r="C553" s="128"/>
      <c r="D553" s="128"/>
      <c r="E553" s="1300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301"/>
      <c r="Q553" s="1301"/>
      <c r="R553" s="1301"/>
    </row>
    <row r="554" ht="14.25" customHeight="1">
      <c r="A554" s="128"/>
      <c r="B554" s="128"/>
      <c r="C554" s="128"/>
      <c r="D554" s="128"/>
      <c r="E554" s="1300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301"/>
      <c r="Q554" s="1301"/>
      <c r="R554" s="1301"/>
    </row>
    <row r="555" ht="14.25" customHeight="1">
      <c r="A555" s="128"/>
      <c r="B555" s="128"/>
      <c r="C555" s="128"/>
      <c r="D555" s="128"/>
      <c r="E555" s="1300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301"/>
      <c r="Q555" s="1301"/>
      <c r="R555" s="1301"/>
    </row>
    <row r="556" ht="14.25" customHeight="1">
      <c r="A556" s="128"/>
      <c r="B556" s="128"/>
      <c r="C556" s="128"/>
      <c r="D556" s="128"/>
      <c r="E556" s="1300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301"/>
      <c r="Q556" s="1301"/>
      <c r="R556" s="1301"/>
    </row>
    <row r="557" ht="14.25" customHeight="1">
      <c r="A557" s="128"/>
      <c r="B557" s="128"/>
      <c r="C557" s="128"/>
      <c r="D557" s="128"/>
      <c r="E557" s="1300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301"/>
      <c r="Q557" s="1301"/>
      <c r="R557" s="1301"/>
    </row>
    <row r="558" ht="14.25" customHeight="1">
      <c r="A558" s="128"/>
      <c r="B558" s="128"/>
      <c r="C558" s="128"/>
      <c r="D558" s="128"/>
      <c r="E558" s="1300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301"/>
      <c r="Q558" s="1301"/>
      <c r="R558" s="1301"/>
    </row>
    <row r="559" ht="14.25" customHeight="1">
      <c r="A559" s="128"/>
      <c r="B559" s="128"/>
      <c r="C559" s="128"/>
      <c r="D559" s="128"/>
      <c r="E559" s="1300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301"/>
      <c r="Q559" s="1301"/>
      <c r="R559" s="1301"/>
    </row>
    <row r="560" ht="14.25" customHeight="1">
      <c r="A560" s="128"/>
      <c r="B560" s="128"/>
      <c r="C560" s="128"/>
      <c r="D560" s="128"/>
      <c r="E560" s="1300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301"/>
      <c r="Q560" s="1301"/>
      <c r="R560" s="1301"/>
    </row>
    <row r="561" ht="14.25" customHeight="1">
      <c r="A561" s="128"/>
      <c r="B561" s="128"/>
      <c r="C561" s="128"/>
      <c r="D561" s="128"/>
      <c r="E561" s="1300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301"/>
      <c r="Q561" s="1301"/>
      <c r="R561" s="1301"/>
    </row>
    <row r="562" ht="14.25" customHeight="1">
      <c r="A562" s="128"/>
      <c r="B562" s="128"/>
      <c r="C562" s="128"/>
      <c r="D562" s="128"/>
      <c r="E562" s="1300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301"/>
      <c r="Q562" s="1301"/>
      <c r="R562" s="1301"/>
    </row>
    <row r="563" ht="14.25" customHeight="1">
      <c r="A563" s="128"/>
      <c r="B563" s="128"/>
      <c r="C563" s="128"/>
      <c r="D563" s="128"/>
      <c r="E563" s="1300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301"/>
      <c r="Q563" s="1301"/>
      <c r="R563" s="1301"/>
    </row>
    <row r="564" ht="14.25" customHeight="1">
      <c r="A564" s="128"/>
      <c r="B564" s="128"/>
      <c r="C564" s="128"/>
      <c r="D564" s="128"/>
      <c r="E564" s="1300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301"/>
      <c r="Q564" s="1301"/>
      <c r="R564" s="1301"/>
    </row>
    <row r="565" ht="14.25" customHeight="1">
      <c r="A565" s="128"/>
      <c r="B565" s="128"/>
      <c r="C565" s="128"/>
      <c r="D565" s="128"/>
      <c r="E565" s="1300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301"/>
      <c r="Q565" s="1301"/>
      <c r="R565" s="1301"/>
    </row>
    <row r="566" ht="14.25" customHeight="1">
      <c r="A566" s="128"/>
      <c r="B566" s="128"/>
      <c r="C566" s="128"/>
      <c r="D566" s="128"/>
      <c r="E566" s="1300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301"/>
      <c r="Q566" s="1301"/>
      <c r="R566" s="1301"/>
    </row>
    <row r="567" ht="14.25" customHeight="1">
      <c r="A567" s="128"/>
      <c r="B567" s="128"/>
      <c r="C567" s="128"/>
      <c r="D567" s="128"/>
      <c r="E567" s="1300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301"/>
      <c r="Q567" s="1301"/>
      <c r="R567" s="1301"/>
    </row>
    <row r="568" ht="14.25" customHeight="1">
      <c r="A568" s="128"/>
      <c r="B568" s="128"/>
      <c r="C568" s="128"/>
      <c r="D568" s="128"/>
      <c r="E568" s="1300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301"/>
      <c r="Q568" s="1301"/>
      <c r="R568" s="1301"/>
    </row>
    <row r="569" ht="14.25" customHeight="1">
      <c r="A569" s="128"/>
      <c r="B569" s="128"/>
      <c r="C569" s="128"/>
      <c r="D569" s="128"/>
      <c r="E569" s="1300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301"/>
      <c r="Q569" s="1301"/>
      <c r="R569" s="1301"/>
    </row>
    <row r="570" ht="14.25" customHeight="1">
      <c r="A570" s="128"/>
      <c r="B570" s="128"/>
      <c r="C570" s="128"/>
      <c r="D570" s="128"/>
      <c r="E570" s="1300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301"/>
      <c r="Q570" s="1301"/>
      <c r="R570" s="1301"/>
    </row>
    <row r="571" ht="14.25" customHeight="1">
      <c r="A571" s="128"/>
      <c r="B571" s="128"/>
      <c r="C571" s="128"/>
      <c r="D571" s="128"/>
      <c r="E571" s="1300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301"/>
      <c r="Q571" s="1301"/>
      <c r="R571" s="1301"/>
    </row>
    <row r="572" ht="14.25" customHeight="1">
      <c r="A572" s="128"/>
      <c r="B572" s="128"/>
      <c r="C572" s="128"/>
      <c r="D572" s="128"/>
      <c r="E572" s="1300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301"/>
      <c r="Q572" s="1301"/>
      <c r="R572" s="1301"/>
    </row>
    <row r="573" ht="14.25" customHeight="1">
      <c r="A573" s="128"/>
      <c r="B573" s="128"/>
      <c r="C573" s="128"/>
      <c r="D573" s="128"/>
      <c r="E573" s="1300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301"/>
      <c r="Q573" s="1301"/>
      <c r="R573" s="1301"/>
    </row>
    <row r="574" ht="14.25" customHeight="1">
      <c r="A574" s="128"/>
      <c r="B574" s="128"/>
      <c r="C574" s="128"/>
      <c r="D574" s="128"/>
      <c r="E574" s="1300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301"/>
      <c r="Q574" s="1301"/>
      <c r="R574" s="1301"/>
    </row>
    <row r="575" ht="14.25" customHeight="1">
      <c r="A575" s="128"/>
      <c r="B575" s="128"/>
      <c r="C575" s="128"/>
      <c r="D575" s="128"/>
      <c r="E575" s="1300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301"/>
      <c r="Q575" s="1301"/>
      <c r="R575" s="1301"/>
    </row>
    <row r="576" ht="14.25" customHeight="1">
      <c r="A576" s="128"/>
      <c r="B576" s="128"/>
      <c r="C576" s="128"/>
      <c r="D576" s="128"/>
      <c r="E576" s="1300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301"/>
      <c r="Q576" s="1301"/>
      <c r="R576" s="1301"/>
    </row>
    <row r="577" ht="14.25" customHeight="1">
      <c r="A577" s="128"/>
      <c r="B577" s="128"/>
      <c r="C577" s="128"/>
      <c r="D577" s="128"/>
      <c r="E577" s="1300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301"/>
      <c r="Q577" s="1301"/>
      <c r="R577" s="1301"/>
    </row>
    <row r="578" ht="14.25" customHeight="1">
      <c r="A578" s="128"/>
      <c r="B578" s="128"/>
      <c r="C578" s="128"/>
      <c r="D578" s="128"/>
      <c r="E578" s="1300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301"/>
      <c r="Q578" s="1301"/>
      <c r="R578" s="1301"/>
    </row>
    <row r="579" ht="14.25" customHeight="1">
      <c r="A579" s="128"/>
      <c r="B579" s="128"/>
      <c r="C579" s="128"/>
      <c r="D579" s="128"/>
      <c r="E579" s="1300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301"/>
      <c r="Q579" s="1301"/>
      <c r="R579" s="1301"/>
    </row>
    <row r="580" ht="14.25" customHeight="1">
      <c r="A580" s="128"/>
      <c r="B580" s="128"/>
      <c r="C580" s="128"/>
      <c r="D580" s="128"/>
      <c r="E580" s="1300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301"/>
      <c r="Q580" s="1301"/>
      <c r="R580" s="1301"/>
    </row>
    <row r="581" ht="14.25" customHeight="1">
      <c r="A581" s="128"/>
      <c r="B581" s="128"/>
      <c r="C581" s="128"/>
      <c r="D581" s="128"/>
      <c r="E581" s="1300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301"/>
      <c r="Q581" s="1301"/>
      <c r="R581" s="1301"/>
    </row>
    <row r="582" ht="14.25" customHeight="1">
      <c r="A582" s="128"/>
      <c r="B582" s="128"/>
      <c r="C582" s="128"/>
      <c r="D582" s="128"/>
      <c r="E582" s="1300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301"/>
      <c r="Q582" s="1301"/>
      <c r="R582" s="1301"/>
    </row>
    <row r="583" ht="14.25" customHeight="1">
      <c r="A583" s="128"/>
      <c r="B583" s="128"/>
      <c r="C583" s="128"/>
      <c r="D583" s="128"/>
      <c r="E583" s="1300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301"/>
      <c r="Q583" s="1301"/>
      <c r="R583" s="1301"/>
    </row>
    <row r="584" ht="14.25" customHeight="1">
      <c r="A584" s="128"/>
      <c r="B584" s="128"/>
      <c r="C584" s="128"/>
      <c r="D584" s="128"/>
      <c r="E584" s="1300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301"/>
      <c r="Q584" s="1301"/>
      <c r="R584" s="1301"/>
    </row>
    <row r="585" ht="14.25" customHeight="1">
      <c r="A585" s="128"/>
      <c r="B585" s="128"/>
      <c r="C585" s="128"/>
      <c r="D585" s="128"/>
      <c r="E585" s="1300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301"/>
      <c r="Q585" s="1301"/>
      <c r="R585" s="1301"/>
    </row>
    <row r="586" ht="14.25" customHeight="1">
      <c r="A586" s="128"/>
      <c r="B586" s="128"/>
      <c r="C586" s="128"/>
      <c r="D586" s="128"/>
      <c r="E586" s="1300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301"/>
      <c r="Q586" s="1301"/>
      <c r="R586" s="1301"/>
    </row>
    <row r="587" ht="14.25" customHeight="1">
      <c r="A587" s="128"/>
      <c r="B587" s="128"/>
      <c r="C587" s="128"/>
      <c r="D587" s="128"/>
      <c r="E587" s="1300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301"/>
      <c r="Q587" s="1301"/>
      <c r="R587" s="1301"/>
    </row>
    <row r="588" ht="14.25" customHeight="1">
      <c r="A588" s="128"/>
      <c r="B588" s="128"/>
      <c r="C588" s="128"/>
      <c r="D588" s="128"/>
      <c r="E588" s="1300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301"/>
      <c r="Q588" s="1301"/>
      <c r="R588" s="1301"/>
    </row>
    <row r="589" ht="14.25" customHeight="1">
      <c r="A589" s="128"/>
      <c r="B589" s="128"/>
      <c r="C589" s="128"/>
      <c r="D589" s="128"/>
      <c r="E589" s="1300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301"/>
      <c r="Q589" s="1301"/>
      <c r="R589" s="1301"/>
    </row>
    <row r="590" ht="14.25" customHeight="1">
      <c r="A590" s="128"/>
      <c r="B590" s="128"/>
      <c r="C590" s="128"/>
      <c r="D590" s="128"/>
      <c r="E590" s="1300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301"/>
      <c r="Q590" s="1301"/>
      <c r="R590" s="1301"/>
    </row>
    <row r="591" ht="14.25" customHeight="1">
      <c r="A591" s="128"/>
      <c r="B591" s="128"/>
      <c r="C591" s="128"/>
      <c r="D591" s="128"/>
      <c r="E591" s="1300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301"/>
      <c r="Q591" s="1301"/>
      <c r="R591" s="1301"/>
    </row>
    <row r="592" ht="14.25" customHeight="1">
      <c r="A592" s="128"/>
      <c r="B592" s="128"/>
      <c r="C592" s="128"/>
      <c r="D592" s="128"/>
      <c r="E592" s="1300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301"/>
      <c r="Q592" s="1301"/>
      <c r="R592" s="1301"/>
    </row>
    <row r="593" ht="14.25" customHeight="1">
      <c r="A593" s="128"/>
      <c r="B593" s="128"/>
      <c r="C593" s="128"/>
      <c r="D593" s="128"/>
      <c r="E593" s="1300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301"/>
      <c r="Q593" s="1301"/>
      <c r="R593" s="1301"/>
    </row>
    <row r="594" ht="14.25" customHeight="1">
      <c r="A594" s="128"/>
      <c r="B594" s="128"/>
      <c r="C594" s="128"/>
      <c r="D594" s="128"/>
      <c r="E594" s="1300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301"/>
      <c r="Q594" s="1301"/>
      <c r="R594" s="1301"/>
    </row>
    <row r="595" ht="14.25" customHeight="1">
      <c r="A595" s="128"/>
      <c r="B595" s="128"/>
      <c r="C595" s="128"/>
      <c r="D595" s="128"/>
      <c r="E595" s="1300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301"/>
      <c r="Q595" s="1301"/>
      <c r="R595" s="1301"/>
    </row>
    <row r="596" ht="14.25" customHeight="1">
      <c r="A596" s="128"/>
      <c r="B596" s="128"/>
      <c r="C596" s="128"/>
      <c r="D596" s="128"/>
      <c r="E596" s="1300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301"/>
      <c r="Q596" s="1301"/>
      <c r="R596" s="1301"/>
    </row>
    <row r="597" ht="14.25" customHeight="1">
      <c r="A597" s="128"/>
      <c r="B597" s="128"/>
      <c r="C597" s="128"/>
      <c r="D597" s="128"/>
      <c r="E597" s="1300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301"/>
      <c r="Q597" s="1301"/>
      <c r="R597" s="1301"/>
    </row>
    <row r="598" ht="14.25" customHeight="1">
      <c r="A598" s="128"/>
      <c r="B598" s="128"/>
      <c r="C598" s="128"/>
      <c r="D598" s="128"/>
      <c r="E598" s="1300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301"/>
      <c r="Q598" s="1301"/>
      <c r="R598" s="1301"/>
    </row>
    <row r="599" ht="14.25" customHeight="1">
      <c r="A599" s="128"/>
      <c r="B599" s="128"/>
      <c r="C599" s="128"/>
      <c r="D599" s="128"/>
      <c r="E599" s="1300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301"/>
      <c r="Q599" s="1301"/>
      <c r="R599" s="1301"/>
    </row>
    <row r="600" ht="14.25" customHeight="1">
      <c r="A600" s="128"/>
      <c r="B600" s="128"/>
      <c r="C600" s="128"/>
      <c r="D600" s="128"/>
      <c r="E600" s="1300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301"/>
      <c r="Q600" s="1301"/>
      <c r="R600" s="1301"/>
    </row>
    <row r="601" ht="14.25" customHeight="1">
      <c r="A601" s="128"/>
      <c r="B601" s="128"/>
      <c r="C601" s="128"/>
      <c r="D601" s="128"/>
      <c r="E601" s="1300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301"/>
      <c r="Q601" s="1301"/>
      <c r="R601" s="1301"/>
    </row>
    <row r="602" ht="14.25" customHeight="1">
      <c r="A602" s="128"/>
      <c r="B602" s="128"/>
      <c r="C602" s="128"/>
      <c r="D602" s="128"/>
      <c r="E602" s="1300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301"/>
      <c r="Q602" s="1301"/>
      <c r="R602" s="1301"/>
    </row>
    <row r="603" ht="14.25" customHeight="1">
      <c r="A603" s="128"/>
      <c r="B603" s="128"/>
      <c r="C603" s="128"/>
      <c r="D603" s="128"/>
      <c r="E603" s="1300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301"/>
      <c r="Q603" s="1301"/>
      <c r="R603" s="1301"/>
    </row>
    <row r="604" ht="14.25" customHeight="1">
      <c r="A604" s="128"/>
      <c r="B604" s="128"/>
      <c r="C604" s="128"/>
      <c r="D604" s="128"/>
      <c r="E604" s="1300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301"/>
      <c r="Q604" s="1301"/>
      <c r="R604" s="1301"/>
    </row>
    <row r="605" ht="14.25" customHeight="1">
      <c r="A605" s="128"/>
      <c r="B605" s="128"/>
      <c r="C605" s="128"/>
      <c r="D605" s="128"/>
      <c r="E605" s="1300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301"/>
      <c r="Q605" s="1301"/>
      <c r="R605" s="1301"/>
    </row>
    <row r="606" ht="14.25" customHeight="1">
      <c r="A606" s="128"/>
      <c r="B606" s="128"/>
      <c r="C606" s="128"/>
      <c r="D606" s="128"/>
      <c r="E606" s="1300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301"/>
      <c r="Q606" s="1301"/>
      <c r="R606" s="1301"/>
    </row>
    <row r="607" ht="14.25" customHeight="1">
      <c r="A607" s="128"/>
      <c r="B607" s="128"/>
      <c r="C607" s="128"/>
      <c r="D607" s="128"/>
      <c r="E607" s="1300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301"/>
      <c r="Q607" s="1301"/>
      <c r="R607" s="1301"/>
    </row>
    <row r="608" ht="14.25" customHeight="1">
      <c r="A608" s="128"/>
      <c r="B608" s="128"/>
      <c r="C608" s="128"/>
      <c r="D608" s="128"/>
      <c r="E608" s="1300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301"/>
      <c r="Q608" s="1301"/>
      <c r="R608" s="1301"/>
    </row>
    <row r="609" ht="14.25" customHeight="1">
      <c r="A609" s="128"/>
      <c r="B609" s="128"/>
      <c r="C609" s="128"/>
      <c r="D609" s="128"/>
      <c r="E609" s="1300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301"/>
      <c r="Q609" s="1301"/>
      <c r="R609" s="1301"/>
    </row>
    <row r="610" ht="14.25" customHeight="1">
      <c r="A610" s="128"/>
      <c r="B610" s="128"/>
      <c r="C610" s="128"/>
      <c r="D610" s="128"/>
      <c r="E610" s="1300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301"/>
      <c r="Q610" s="1301"/>
      <c r="R610" s="1301"/>
    </row>
    <row r="611" ht="14.25" customHeight="1">
      <c r="A611" s="128"/>
      <c r="B611" s="128"/>
      <c r="C611" s="128"/>
      <c r="D611" s="128"/>
      <c r="E611" s="1300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301"/>
      <c r="Q611" s="1301"/>
      <c r="R611" s="1301"/>
    </row>
    <row r="612" ht="14.25" customHeight="1">
      <c r="A612" s="128"/>
      <c r="B612" s="128"/>
      <c r="C612" s="128"/>
      <c r="D612" s="128"/>
      <c r="E612" s="1300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301"/>
      <c r="Q612" s="1301"/>
      <c r="R612" s="1301"/>
    </row>
    <row r="613" ht="14.25" customHeight="1">
      <c r="A613" s="128"/>
      <c r="B613" s="128"/>
      <c r="C613" s="128"/>
      <c r="D613" s="128"/>
      <c r="E613" s="1300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301"/>
      <c r="Q613" s="1301"/>
      <c r="R613" s="1301"/>
    </row>
    <row r="614" ht="14.25" customHeight="1">
      <c r="A614" s="128"/>
      <c r="B614" s="128"/>
      <c r="C614" s="128"/>
      <c r="D614" s="128"/>
      <c r="E614" s="1300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301"/>
      <c r="Q614" s="1301"/>
      <c r="R614" s="1301"/>
    </row>
    <row r="615" ht="14.25" customHeight="1">
      <c r="A615" s="128"/>
      <c r="B615" s="128"/>
      <c r="C615" s="128"/>
      <c r="D615" s="128"/>
      <c r="E615" s="1300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301"/>
      <c r="Q615" s="1301"/>
      <c r="R615" s="1301"/>
    </row>
    <row r="616" ht="14.25" customHeight="1">
      <c r="A616" s="128"/>
      <c r="B616" s="128"/>
      <c r="C616" s="128"/>
      <c r="D616" s="128"/>
      <c r="E616" s="1300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301"/>
      <c r="Q616" s="1301"/>
      <c r="R616" s="1301"/>
    </row>
    <row r="617" ht="14.25" customHeight="1">
      <c r="A617" s="128"/>
      <c r="B617" s="128"/>
      <c r="C617" s="128"/>
      <c r="D617" s="128"/>
      <c r="E617" s="1300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301"/>
      <c r="Q617" s="1301"/>
      <c r="R617" s="1301"/>
    </row>
    <row r="618" ht="14.25" customHeight="1">
      <c r="A618" s="128"/>
      <c r="B618" s="128"/>
      <c r="C618" s="128"/>
      <c r="D618" s="128"/>
      <c r="E618" s="1300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301"/>
      <c r="Q618" s="1301"/>
      <c r="R618" s="1301"/>
    </row>
    <row r="619" ht="14.25" customHeight="1">
      <c r="A619" s="128"/>
      <c r="B619" s="128"/>
      <c r="C619" s="128"/>
      <c r="D619" s="128"/>
      <c r="E619" s="1300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301"/>
      <c r="Q619" s="1301"/>
      <c r="R619" s="1301"/>
    </row>
    <row r="620" ht="14.25" customHeight="1">
      <c r="A620" s="128"/>
      <c r="B620" s="128"/>
      <c r="C620" s="128"/>
      <c r="D620" s="128"/>
      <c r="E620" s="1300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301"/>
      <c r="Q620" s="1301"/>
      <c r="R620" s="1301"/>
    </row>
    <row r="621" ht="14.25" customHeight="1">
      <c r="A621" s="128"/>
      <c r="B621" s="128"/>
      <c r="C621" s="128"/>
      <c r="D621" s="128"/>
      <c r="E621" s="1300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301"/>
      <c r="Q621" s="1301"/>
      <c r="R621" s="1301"/>
    </row>
    <row r="622" ht="14.25" customHeight="1">
      <c r="A622" s="128"/>
      <c r="B622" s="128"/>
      <c r="C622" s="128"/>
      <c r="D622" s="128"/>
      <c r="E622" s="1300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301"/>
      <c r="Q622" s="1301"/>
      <c r="R622" s="1301"/>
    </row>
    <row r="623" ht="14.25" customHeight="1">
      <c r="A623" s="128"/>
      <c r="B623" s="128"/>
      <c r="C623" s="128"/>
      <c r="D623" s="128"/>
      <c r="E623" s="1300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301"/>
      <c r="Q623" s="1301"/>
      <c r="R623" s="1301"/>
    </row>
    <row r="624" ht="14.25" customHeight="1">
      <c r="A624" s="128"/>
      <c r="B624" s="128"/>
      <c r="C624" s="128"/>
      <c r="D624" s="128"/>
      <c r="E624" s="1300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301"/>
      <c r="Q624" s="1301"/>
      <c r="R624" s="1301"/>
    </row>
    <row r="625" ht="14.25" customHeight="1">
      <c r="A625" s="128"/>
      <c r="B625" s="128"/>
      <c r="C625" s="128"/>
      <c r="D625" s="128"/>
      <c r="E625" s="1300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301"/>
      <c r="Q625" s="1301"/>
      <c r="R625" s="1301"/>
    </row>
    <row r="626" ht="14.25" customHeight="1">
      <c r="A626" s="128"/>
      <c r="B626" s="128"/>
      <c r="C626" s="128"/>
      <c r="D626" s="128"/>
      <c r="E626" s="1300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301"/>
      <c r="Q626" s="1301"/>
      <c r="R626" s="1301"/>
    </row>
    <row r="627" ht="14.25" customHeight="1">
      <c r="A627" s="128"/>
      <c r="B627" s="128"/>
      <c r="C627" s="128"/>
      <c r="D627" s="128"/>
      <c r="E627" s="1300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301"/>
      <c r="Q627" s="1301"/>
      <c r="R627" s="1301"/>
    </row>
    <row r="628" ht="14.25" customHeight="1">
      <c r="A628" s="128"/>
      <c r="B628" s="128"/>
      <c r="C628" s="128"/>
      <c r="D628" s="128"/>
      <c r="E628" s="1300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301"/>
      <c r="Q628" s="1301"/>
      <c r="R628" s="1301"/>
    </row>
    <row r="629" ht="14.25" customHeight="1">
      <c r="A629" s="128"/>
      <c r="B629" s="128"/>
      <c r="C629" s="128"/>
      <c r="D629" s="128"/>
      <c r="E629" s="1300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301"/>
      <c r="Q629" s="1301"/>
      <c r="R629" s="1301"/>
    </row>
    <row r="630" ht="14.25" customHeight="1">
      <c r="A630" s="128"/>
      <c r="B630" s="128"/>
      <c r="C630" s="128"/>
      <c r="D630" s="128"/>
      <c r="E630" s="1300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301"/>
      <c r="Q630" s="1301"/>
      <c r="R630" s="1301"/>
    </row>
    <row r="631" ht="14.25" customHeight="1">
      <c r="A631" s="128"/>
      <c r="B631" s="128"/>
      <c r="C631" s="128"/>
      <c r="D631" s="128"/>
      <c r="E631" s="1300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301"/>
      <c r="Q631" s="1301"/>
      <c r="R631" s="1301"/>
    </row>
    <row r="632" ht="14.25" customHeight="1">
      <c r="A632" s="128"/>
      <c r="B632" s="128"/>
      <c r="C632" s="128"/>
      <c r="D632" s="128"/>
      <c r="E632" s="1300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301"/>
      <c r="Q632" s="1301"/>
      <c r="R632" s="1301"/>
    </row>
    <row r="633" ht="14.25" customHeight="1">
      <c r="A633" s="128"/>
      <c r="B633" s="128"/>
      <c r="C633" s="128"/>
      <c r="D633" s="128"/>
      <c r="E633" s="1300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301"/>
      <c r="Q633" s="1301"/>
      <c r="R633" s="1301"/>
    </row>
    <row r="634" ht="14.25" customHeight="1">
      <c r="A634" s="128"/>
      <c r="B634" s="128"/>
      <c r="C634" s="128"/>
      <c r="D634" s="128"/>
      <c r="E634" s="1300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301"/>
      <c r="Q634" s="1301"/>
      <c r="R634" s="1301"/>
    </row>
    <row r="635" ht="14.25" customHeight="1">
      <c r="A635" s="128"/>
      <c r="B635" s="128"/>
      <c r="C635" s="128"/>
      <c r="D635" s="128"/>
      <c r="E635" s="1300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301"/>
      <c r="Q635" s="1301"/>
      <c r="R635" s="1301"/>
    </row>
    <row r="636" ht="14.25" customHeight="1">
      <c r="A636" s="128"/>
      <c r="B636" s="128"/>
      <c r="C636" s="128"/>
      <c r="D636" s="128"/>
      <c r="E636" s="1300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301"/>
      <c r="Q636" s="1301"/>
      <c r="R636" s="1301"/>
    </row>
    <row r="637" ht="14.25" customHeight="1">
      <c r="A637" s="128"/>
      <c r="B637" s="128"/>
      <c r="C637" s="128"/>
      <c r="D637" s="128"/>
      <c r="E637" s="1300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301"/>
      <c r="Q637" s="1301"/>
      <c r="R637" s="1301"/>
    </row>
    <row r="638" ht="14.25" customHeight="1">
      <c r="A638" s="128"/>
      <c r="B638" s="128"/>
      <c r="C638" s="128"/>
      <c r="D638" s="128"/>
      <c r="E638" s="1300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301"/>
      <c r="Q638" s="1301"/>
      <c r="R638" s="1301"/>
    </row>
    <row r="639" ht="14.25" customHeight="1">
      <c r="A639" s="128"/>
      <c r="B639" s="128"/>
      <c r="C639" s="128"/>
      <c r="D639" s="128"/>
      <c r="E639" s="1300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301"/>
      <c r="Q639" s="1301"/>
      <c r="R639" s="1301"/>
    </row>
    <row r="640" ht="14.25" customHeight="1">
      <c r="A640" s="128"/>
      <c r="B640" s="128"/>
      <c r="C640" s="128"/>
      <c r="D640" s="128"/>
      <c r="E640" s="1300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301"/>
      <c r="Q640" s="1301"/>
      <c r="R640" s="1301"/>
    </row>
    <row r="641" ht="14.25" customHeight="1">
      <c r="A641" s="128"/>
      <c r="B641" s="128"/>
      <c r="C641" s="128"/>
      <c r="D641" s="128"/>
      <c r="E641" s="1300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301"/>
      <c r="Q641" s="1301"/>
      <c r="R641" s="1301"/>
    </row>
    <row r="642" ht="14.25" customHeight="1">
      <c r="A642" s="128"/>
      <c r="B642" s="128"/>
      <c r="C642" s="128"/>
      <c r="D642" s="128"/>
      <c r="E642" s="1300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301"/>
      <c r="Q642" s="1301"/>
      <c r="R642" s="1301"/>
    </row>
    <row r="643" ht="14.25" customHeight="1">
      <c r="A643" s="128"/>
      <c r="B643" s="128"/>
      <c r="C643" s="128"/>
      <c r="D643" s="128"/>
      <c r="E643" s="1300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301"/>
      <c r="Q643" s="1301"/>
      <c r="R643" s="1301"/>
    </row>
    <row r="644" ht="14.25" customHeight="1">
      <c r="A644" s="128"/>
      <c r="B644" s="128"/>
      <c r="C644" s="128"/>
      <c r="D644" s="128"/>
      <c r="E644" s="1300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301"/>
      <c r="Q644" s="1301"/>
      <c r="R644" s="1301"/>
    </row>
    <row r="645" ht="14.25" customHeight="1">
      <c r="A645" s="128"/>
      <c r="B645" s="128"/>
      <c r="C645" s="128"/>
      <c r="D645" s="128"/>
      <c r="E645" s="1300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301"/>
      <c r="Q645" s="1301"/>
      <c r="R645" s="1301"/>
    </row>
    <row r="646" ht="14.25" customHeight="1">
      <c r="A646" s="128"/>
      <c r="B646" s="128"/>
      <c r="C646" s="128"/>
      <c r="D646" s="128"/>
      <c r="E646" s="1300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301"/>
      <c r="Q646" s="1301"/>
      <c r="R646" s="1301"/>
    </row>
    <row r="647" ht="14.25" customHeight="1">
      <c r="A647" s="128"/>
      <c r="B647" s="128"/>
      <c r="C647" s="128"/>
      <c r="D647" s="128"/>
      <c r="E647" s="1300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301"/>
      <c r="Q647" s="1301"/>
      <c r="R647" s="1301"/>
    </row>
    <row r="648" ht="14.25" customHeight="1">
      <c r="A648" s="128"/>
      <c r="B648" s="128"/>
      <c r="C648" s="128"/>
      <c r="D648" s="128"/>
      <c r="E648" s="1300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301"/>
      <c r="Q648" s="1301"/>
      <c r="R648" s="1301"/>
    </row>
    <row r="649" ht="14.25" customHeight="1">
      <c r="A649" s="128"/>
      <c r="B649" s="128"/>
      <c r="C649" s="128"/>
      <c r="D649" s="128"/>
      <c r="E649" s="1300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301"/>
      <c r="Q649" s="1301"/>
      <c r="R649" s="1301"/>
    </row>
    <row r="650" ht="14.25" customHeight="1">
      <c r="A650" s="128"/>
      <c r="B650" s="128"/>
      <c r="C650" s="128"/>
      <c r="D650" s="128"/>
      <c r="E650" s="1300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301"/>
      <c r="Q650" s="1301"/>
      <c r="R650" s="1301"/>
    </row>
    <row r="651" ht="14.25" customHeight="1">
      <c r="A651" s="128"/>
      <c r="B651" s="128"/>
      <c r="C651" s="128"/>
      <c r="D651" s="128"/>
      <c r="E651" s="1300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301"/>
      <c r="Q651" s="1301"/>
      <c r="R651" s="1301"/>
    </row>
    <row r="652" ht="14.25" customHeight="1">
      <c r="A652" s="128"/>
      <c r="B652" s="128"/>
      <c r="C652" s="128"/>
      <c r="D652" s="128"/>
      <c r="E652" s="1300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301"/>
      <c r="Q652" s="1301"/>
      <c r="R652" s="1301"/>
    </row>
    <row r="653" ht="14.25" customHeight="1">
      <c r="A653" s="128"/>
      <c r="B653" s="128"/>
      <c r="C653" s="128"/>
      <c r="D653" s="128"/>
      <c r="E653" s="1300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301"/>
      <c r="Q653" s="1301"/>
      <c r="R653" s="1301"/>
    </row>
    <row r="654" ht="14.25" customHeight="1">
      <c r="A654" s="128"/>
      <c r="B654" s="128"/>
      <c r="C654" s="128"/>
      <c r="D654" s="128"/>
      <c r="E654" s="1300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301"/>
      <c r="Q654" s="1301"/>
      <c r="R654" s="1301"/>
    </row>
    <row r="655" ht="14.25" customHeight="1">
      <c r="A655" s="128"/>
      <c r="B655" s="128"/>
      <c r="C655" s="128"/>
      <c r="D655" s="128"/>
      <c r="E655" s="1300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301"/>
      <c r="Q655" s="1301"/>
      <c r="R655" s="1301"/>
    </row>
    <row r="656" ht="14.25" customHeight="1">
      <c r="A656" s="128"/>
      <c r="B656" s="128"/>
      <c r="C656" s="128"/>
      <c r="D656" s="128"/>
      <c r="E656" s="1300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301"/>
      <c r="Q656" s="1301"/>
      <c r="R656" s="1301"/>
    </row>
    <row r="657" ht="14.25" customHeight="1">
      <c r="A657" s="128"/>
      <c r="B657" s="128"/>
      <c r="C657" s="128"/>
      <c r="D657" s="128"/>
      <c r="E657" s="1300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301"/>
      <c r="Q657" s="1301"/>
      <c r="R657" s="1301"/>
    </row>
    <row r="658" ht="14.25" customHeight="1">
      <c r="A658" s="128"/>
      <c r="B658" s="128"/>
      <c r="C658" s="128"/>
      <c r="D658" s="128"/>
      <c r="E658" s="1300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301"/>
      <c r="Q658" s="1301"/>
      <c r="R658" s="1301"/>
    </row>
    <row r="659" ht="14.25" customHeight="1">
      <c r="A659" s="128"/>
      <c r="B659" s="128"/>
      <c r="C659" s="128"/>
      <c r="D659" s="128"/>
      <c r="E659" s="1300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301"/>
      <c r="Q659" s="1301"/>
      <c r="R659" s="1301"/>
    </row>
    <row r="660" ht="14.25" customHeight="1">
      <c r="A660" s="128"/>
      <c r="B660" s="128"/>
      <c r="C660" s="128"/>
      <c r="D660" s="128"/>
      <c r="E660" s="1300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301"/>
      <c r="Q660" s="1301"/>
      <c r="R660" s="1301"/>
    </row>
    <row r="661" ht="14.25" customHeight="1">
      <c r="A661" s="128"/>
      <c r="B661" s="128"/>
      <c r="C661" s="128"/>
      <c r="D661" s="128"/>
      <c r="E661" s="1300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301"/>
      <c r="Q661" s="1301"/>
      <c r="R661" s="1301"/>
    </row>
    <row r="662" ht="14.25" customHeight="1">
      <c r="A662" s="128"/>
      <c r="B662" s="128"/>
      <c r="C662" s="128"/>
      <c r="D662" s="128"/>
      <c r="E662" s="1300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301"/>
      <c r="Q662" s="1301"/>
      <c r="R662" s="1301"/>
    </row>
    <row r="663" ht="14.25" customHeight="1">
      <c r="A663" s="128"/>
      <c r="B663" s="128"/>
      <c r="C663" s="128"/>
      <c r="D663" s="128"/>
      <c r="E663" s="1300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301"/>
      <c r="Q663" s="1301"/>
      <c r="R663" s="1301"/>
    </row>
    <row r="664" ht="14.25" customHeight="1">
      <c r="A664" s="128"/>
      <c r="B664" s="128"/>
      <c r="C664" s="128"/>
      <c r="D664" s="128"/>
      <c r="E664" s="1300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301"/>
      <c r="Q664" s="1301"/>
      <c r="R664" s="1301"/>
    </row>
    <row r="665" ht="14.25" customHeight="1">
      <c r="A665" s="128"/>
      <c r="B665" s="128"/>
      <c r="C665" s="128"/>
      <c r="D665" s="128"/>
      <c r="E665" s="1300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301"/>
      <c r="Q665" s="1301"/>
      <c r="R665" s="1301"/>
    </row>
    <row r="666" ht="14.25" customHeight="1">
      <c r="A666" s="128"/>
      <c r="B666" s="128"/>
      <c r="C666" s="128"/>
      <c r="D666" s="128"/>
      <c r="E666" s="1300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301"/>
      <c r="Q666" s="1301"/>
      <c r="R666" s="1301"/>
    </row>
    <row r="667" ht="14.25" customHeight="1">
      <c r="A667" s="128"/>
      <c r="B667" s="128"/>
      <c r="C667" s="128"/>
      <c r="D667" s="128"/>
      <c r="E667" s="1300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301"/>
      <c r="Q667" s="1301"/>
      <c r="R667" s="1301"/>
    </row>
    <row r="668" ht="14.25" customHeight="1">
      <c r="A668" s="128"/>
      <c r="B668" s="128"/>
      <c r="C668" s="128"/>
      <c r="D668" s="128"/>
      <c r="E668" s="1300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301"/>
      <c r="Q668" s="1301"/>
      <c r="R668" s="1301"/>
    </row>
    <row r="669" ht="14.25" customHeight="1">
      <c r="A669" s="128"/>
      <c r="B669" s="128"/>
      <c r="C669" s="128"/>
      <c r="D669" s="128"/>
      <c r="E669" s="1300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301"/>
      <c r="Q669" s="1301"/>
      <c r="R669" s="1301"/>
    </row>
    <row r="670" ht="14.25" customHeight="1">
      <c r="A670" s="128"/>
      <c r="B670" s="128"/>
      <c r="C670" s="128"/>
      <c r="D670" s="128"/>
      <c r="E670" s="1300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301"/>
      <c r="Q670" s="1301"/>
      <c r="R670" s="1301"/>
    </row>
    <row r="671" ht="14.25" customHeight="1">
      <c r="A671" s="128"/>
      <c r="B671" s="128"/>
      <c r="C671" s="128"/>
      <c r="D671" s="128"/>
      <c r="E671" s="1300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301"/>
      <c r="Q671" s="1301"/>
      <c r="R671" s="1301"/>
    </row>
    <row r="672" ht="14.25" customHeight="1">
      <c r="A672" s="128"/>
      <c r="B672" s="128"/>
      <c r="C672" s="128"/>
      <c r="D672" s="128"/>
      <c r="E672" s="1300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301"/>
      <c r="Q672" s="1301"/>
      <c r="R672" s="1301"/>
    </row>
    <row r="673" ht="14.25" customHeight="1">
      <c r="A673" s="128"/>
      <c r="B673" s="128"/>
      <c r="C673" s="128"/>
      <c r="D673" s="128"/>
      <c r="E673" s="1300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301"/>
      <c r="Q673" s="1301"/>
      <c r="R673" s="1301"/>
    </row>
    <row r="674" ht="14.25" customHeight="1">
      <c r="A674" s="128"/>
      <c r="B674" s="128"/>
      <c r="C674" s="128"/>
      <c r="D674" s="128"/>
      <c r="E674" s="1300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301"/>
      <c r="Q674" s="1301"/>
      <c r="R674" s="1301"/>
    </row>
    <row r="675" ht="14.25" customHeight="1">
      <c r="A675" s="128"/>
      <c r="B675" s="128"/>
      <c r="C675" s="128"/>
      <c r="D675" s="128"/>
      <c r="E675" s="1300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301"/>
      <c r="Q675" s="1301"/>
      <c r="R675" s="1301"/>
    </row>
    <row r="676" ht="14.25" customHeight="1">
      <c r="A676" s="128"/>
      <c r="B676" s="128"/>
      <c r="C676" s="128"/>
      <c r="D676" s="128"/>
      <c r="E676" s="1300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301"/>
      <c r="Q676" s="1301"/>
      <c r="R676" s="1301"/>
    </row>
    <row r="677" ht="14.25" customHeight="1">
      <c r="A677" s="128"/>
      <c r="B677" s="128"/>
      <c r="C677" s="128"/>
      <c r="D677" s="128"/>
      <c r="E677" s="1300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301"/>
      <c r="Q677" s="1301"/>
      <c r="R677" s="1301"/>
    </row>
    <row r="678" ht="14.25" customHeight="1">
      <c r="A678" s="128"/>
      <c r="B678" s="128"/>
      <c r="C678" s="128"/>
      <c r="D678" s="128"/>
      <c r="E678" s="1300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301"/>
      <c r="Q678" s="1301"/>
      <c r="R678" s="1301"/>
    </row>
    <row r="679" ht="14.25" customHeight="1">
      <c r="A679" s="128"/>
      <c r="B679" s="128"/>
      <c r="C679" s="128"/>
      <c r="D679" s="128"/>
      <c r="E679" s="1300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301"/>
      <c r="Q679" s="1301"/>
      <c r="R679" s="1301"/>
    </row>
    <row r="680" ht="14.25" customHeight="1">
      <c r="A680" s="128"/>
      <c r="B680" s="128"/>
      <c r="C680" s="128"/>
      <c r="D680" s="128"/>
      <c r="E680" s="1300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301"/>
      <c r="Q680" s="1301"/>
      <c r="R680" s="1301"/>
    </row>
    <row r="681" ht="14.25" customHeight="1">
      <c r="A681" s="128"/>
      <c r="B681" s="128"/>
      <c r="C681" s="128"/>
      <c r="D681" s="128"/>
      <c r="E681" s="1300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301"/>
      <c r="Q681" s="1301"/>
      <c r="R681" s="1301"/>
    </row>
    <row r="682" ht="14.25" customHeight="1">
      <c r="A682" s="128"/>
      <c r="B682" s="128"/>
      <c r="C682" s="128"/>
      <c r="D682" s="128"/>
      <c r="E682" s="1300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301"/>
      <c r="Q682" s="1301"/>
      <c r="R682" s="1301"/>
    </row>
    <row r="683" ht="14.25" customHeight="1">
      <c r="A683" s="128"/>
      <c r="B683" s="128"/>
      <c r="C683" s="128"/>
      <c r="D683" s="128"/>
      <c r="E683" s="1300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301"/>
      <c r="Q683" s="1301"/>
      <c r="R683" s="1301"/>
    </row>
    <row r="684" ht="14.25" customHeight="1">
      <c r="A684" s="128"/>
      <c r="B684" s="128"/>
      <c r="C684" s="128"/>
      <c r="D684" s="128"/>
      <c r="E684" s="1300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301"/>
      <c r="Q684" s="1301"/>
      <c r="R684" s="1301"/>
    </row>
    <row r="685" ht="14.25" customHeight="1">
      <c r="A685" s="128"/>
      <c r="B685" s="128"/>
      <c r="C685" s="128"/>
      <c r="D685" s="128"/>
      <c r="E685" s="1300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301"/>
      <c r="Q685" s="1301"/>
      <c r="R685" s="1301"/>
    </row>
    <row r="686" ht="14.25" customHeight="1">
      <c r="A686" s="128"/>
      <c r="B686" s="128"/>
      <c r="C686" s="128"/>
      <c r="D686" s="128"/>
      <c r="E686" s="1300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301"/>
      <c r="Q686" s="1301"/>
      <c r="R686" s="1301"/>
    </row>
    <row r="687" ht="14.25" customHeight="1">
      <c r="A687" s="128"/>
      <c r="B687" s="128"/>
      <c r="C687" s="128"/>
      <c r="D687" s="128"/>
      <c r="E687" s="1300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301"/>
      <c r="Q687" s="1301"/>
      <c r="R687" s="1301"/>
    </row>
    <row r="688" ht="14.25" customHeight="1">
      <c r="A688" s="128"/>
      <c r="B688" s="128"/>
      <c r="C688" s="128"/>
      <c r="D688" s="128"/>
      <c r="E688" s="1300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301"/>
      <c r="Q688" s="1301"/>
      <c r="R688" s="1301"/>
    </row>
    <row r="689" ht="14.25" customHeight="1">
      <c r="A689" s="128"/>
      <c r="B689" s="128"/>
      <c r="C689" s="128"/>
      <c r="D689" s="128"/>
      <c r="E689" s="1300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301"/>
      <c r="Q689" s="1301"/>
      <c r="R689" s="1301"/>
    </row>
    <row r="690" ht="14.25" customHeight="1">
      <c r="A690" s="128"/>
      <c r="B690" s="128"/>
      <c r="C690" s="128"/>
      <c r="D690" s="128"/>
      <c r="E690" s="1300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301"/>
      <c r="Q690" s="1301"/>
      <c r="R690" s="1301"/>
    </row>
    <row r="691" ht="14.25" customHeight="1">
      <c r="A691" s="128"/>
      <c r="B691" s="128"/>
      <c r="C691" s="128"/>
      <c r="D691" s="128"/>
      <c r="E691" s="1300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301"/>
      <c r="Q691" s="1301"/>
      <c r="R691" s="1301"/>
    </row>
    <row r="692" ht="14.25" customHeight="1">
      <c r="A692" s="128"/>
      <c r="B692" s="128"/>
      <c r="C692" s="128"/>
      <c r="D692" s="128"/>
      <c r="E692" s="1300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301"/>
      <c r="Q692" s="1301"/>
      <c r="R692" s="1301"/>
    </row>
    <row r="693" ht="14.25" customHeight="1">
      <c r="A693" s="128"/>
      <c r="B693" s="128"/>
      <c r="C693" s="128"/>
      <c r="D693" s="128"/>
      <c r="E693" s="1300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301"/>
      <c r="Q693" s="1301"/>
      <c r="R693" s="1301"/>
    </row>
    <row r="694" ht="14.25" customHeight="1">
      <c r="A694" s="128"/>
      <c r="B694" s="128"/>
      <c r="C694" s="128"/>
      <c r="D694" s="128"/>
      <c r="E694" s="1300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301"/>
      <c r="Q694" s="1301"/>
      <c r="R694" s="1301"/>
    </row>
    <row r="695" ht="14.25" customHeight="1">
      <c r="A695" s="128"/>
      <c r="B695" s="128"/>
      <c r="C695" s="128"/>
      <c r="D695" s="128"/>
      <c r="E695" s="1300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301"/>
      <c r="Q695" s="1301"/>
      <c r="R695" s="1301"/>
    </row>
    <row r="696" ht="14.25" customHeight="1">
      <c r="A696" s="128"/>
      <c r="B696" s="128"/>
      <c r="C696" s="128"/>
      <c r="D696" s="128"/>
      <c r="E696" s="1300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301"/>
      <c r="Q696" s="1301"/>
      <c r="R696" s="1301"/>
    </row>
    <row r="697" ht="14.25" customHeight="1">
      <c r="A697" s="128"/>
      <c r="B697" s="128"/>
      <c r="C697" s="128"/>
      <c r="D697" s="128"/>
      <c r="E697" s="1300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301"/>
      <c r="Q697" s="1301"/>
      <c r="R697" s="1301"/>
    </row>
    <row r="698" ht="14.25" customHeight="1">
      <c r="A698" s="128"/>
      <c r="B698" s="128"/>
      <c r="C698" s="128"/>
      <c r="D698" s="128"/>
      <c r="E698" s="1300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301"/>
      <c r="Q698" s="1301"/>
      <c r="R698" s="1301"/>
    </row>
    <row r="699" ht="14.25" customHeight="1">
      <c r="A699" s="128"/>
      <c r="B699" s="128"/>
      <c r="C699" s="128"/>
      <c r="D699" s="128"/>
      <c r="E699" s="1300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301"/>
      <c r="Q699" s="1301"/>
      <c r="R699" s="1301"/>
    </row>
    <row r="700" ht="14.25" customHeight="1">
      <c r="A700" s="128"/>
      <c r="B700" s="128"/>
      <c r="C700" s="128"/>
      <c r="D700" s="128"/>
      <c r="E700" s="1300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301"/>
      <c r="Q700" s="1301"/>
      <c r="R700" s="1301"/>
    </row>
    <row r="701" ht="14.25" customHeight="1">
      <c r="A701" s="128"/>
      <c r="B701" s="128"/>
      <c r="C701" s="128"/>
      <c r="D701" s="128"/>
      <c r="E701" s="1300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301"/>
      <c r="Q701" s="1301"/>
      <c r="R701" s="1301"/>
    </row>
    <row r="702" ht="14.25" customHeight="1">
      <c r="A702" s="128"/>
      <c r="B702" s="128"/>
      <c r="C702" s="128"/>
      <c r="D702" s="128"/>
      <c r="E702" s="1300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301"/>
      <c r="Q702" s="1301"/>
      <c r="R702" s="1301"/>
    </row>
    <row r="703" ht="14.25" customHeight="1">
      <c r="A703" s="128"/>
      <c r="B703" s="128"/>
      <c r="C703" s="128"/>
      <c r="D703" s="128"/>
      <c r="E703" s="1300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301"/>
      <c r="Q703" s="1301"/>
      <c r="R703" s="1301"/>
    </row>
    <row r="704" ht="14.25" customHeight="1">
      <c r="A704" s="128"/>
      <c r="B704" s="128"/>
      <c r="C704" s="128"/>
      <c r="D704" s="128"/>
      <c r="E704" s="1300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301"/>
      <c r="Q704" s="1301"/>
      <c r="R704" s="1301"/>
    </row>
    <row r="705" ht="14.25" customHeight="1">
      <c r="A705" s="128"/>
      <c r="B705" s="128"/>
      <c r="C705" s="128"/>
      <c r="D705" s="128"/>
      <c r="E705" s="1300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301"/>
      <c r="Q705" s="1301"/>
      <c r="R705" s="1301"/>
    </row>
    <row r="706" ht="14.25" customHeight="1">
      <c r="A706" s="128"/>
      <c r="B706" s="128"/>
      <c r="C706" s="128"/>
      <c r="D706" s="128"/>
      <c r="E706" s="1300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301"/>
      <c r="Q706" s="1301"/>
      <c r="R706" s="1301"/>
    </row>
    <row r="707" ht="14.25" customHeight="1">
      <c r="A707" s="128"/>
      <c r="B707" s="128"/>
      <c r="C707" s="128"/>
      <c r="D707" s="128"/>
      <c r="E707" s="1300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301"/>
      <c r="Q707" s="1301"/>
      <c r="R707" s="1301"/>
    </row>
    <row r="708" ht="14.25" customHeight="1">
      <c r="A708" s="128"/>
      <c r="B708" s="128"/>
      <c r="C708" s="128"/>
      <c r="D708" s="128"/>
      <c r="E708" s="1300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301"/>
      <c r="Q708" s="1301"/>
      <c r="R708" s="1301"/>
    </row>
    <row r="709" ht="14.25" customHeight="1">
      <c r="A709" s="128"/>
      <c r="B709" s="128"/>
      <c r="C709" s="128"/>
      <c r="D709" s="128"/>
      <c r="E709" s="1300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301"/>
      <c r="Q709" s="1301"/>
      <c r="R709" s="1301"/>
    </row>
    <row r="710" ht="14.25" customHeight="1">
      <c r="A710" s="128"/>
      <c r="B710" s="128"/>
      <c r="C710" s="128"/>
      <c r="D710" s="128"/>
      <c r="E710" s="1300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301"/>
      <c r="Q710" s="1301"/>
      <c r="R710" s="1301"/>
    </row>
    <row r="711" ht="14.25" customHeight="1">
      <c r="A711" s="128"/>
      <c r="B711" s="128"/>
      <c r="C711" s="128"/>
      <c r="D711" s="128"/>
      <c r="E711" s="1300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301"/>
      <c r="Q711" s="1301"/>
      <c r="R711" s="1301"/>
    </row>
    <row r="712" ht="14.25" customHeight="1">
      <c r="A712" s="128"/>
      <c r="B712" s="128"/>
      <c r="C712" s="128"/>
      <c r="D712" s="128"/>
      <c r="E712" s="1300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301"/>
      <c r="Q712" s="1301"/>
      <c r="R712" s="1301"/>
    </row>
    <row r="713" ht="14.25" customHeight="1">
      <c r="A713" s="128"/>
      <c r="B713" s="128"/>
      <c r="C713" s="128"/>
      <c r="D713" s="128"/>
      <c r="E713" s="1300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301"/>
      <c r="Q713" s="1301"/>
      <c r="R713" s="1301"/>
    </row>
    <row r="714" ht="14.25" customHeight="1">
      <c r="A714" s="128"/>
      <c r="B714" s="128"/>
      <c r="C714" s="128"/>
      <c r="D714" s="128"/>
      <c r="E714" s="1300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301"/>
      <c r="Q714" s="1301"/>
      <c r="R714" s="1301"/>
    </row>
    <row r="715" ht="14.25" customHeight="1">
      <c r="A715" s="128"/>
      <c r="B715" s="128"/>
      <c r="C715" s="128"/>
      <c r="D715" s="128"/>
      <c r="E715" s="1300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301"/>
      <c r="Q715" s="1301"/>
      <c r="R715" s="1301"/>
    </row>
    <row r="716" ht="14.25" customHeight="1">
      <c r="A716" s="128"/>
      <c r="B716" s="128"/>
      <c r="C716" s="128"/>
      <c r="D716" s="128"/>
      <c r="E716" s="1300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301"/>
      <c r="Q716" s="1301"/>
      <c r="R716" s="1301"/>
    </row>
    <row r="717" ht="14.25" customHeight="1">
      <c r="A717" s="128"/>
      <c r="B717" s="128"/>
      <c r="C717" s="128"/>
      <c r="D717" s="128"/>
      <c r="E717" s="1300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301"/>
      <c r="Q717" s="1301"/>
      <c r="R717" s="1301"/>
    </row>
    <row r="718" ht="14.25" customHeight="1">
      <c r="A718" s="128"/>
      <c r="B718" s="128"/>
      <c r="C718" s="128"/>
      <c r="D718" s="128"/>
      <c r="E718" s="1300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301"/>
      <c r="Q718" s="1301"/>
      <c r="R718" s="1301"/>
    </row>
    <row r="719" ht="14.25" customHeight="1">
      <c r="A719" s="128"/>
      <c r="B719" s="128"/>
      <c r="C719" s="128"/>
      <c r="D719" s="128"/>
      <c r="E719" s="1300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301"/>
      <c r="Q719" s="1301"/>
      <c r="R719" s="1301"/>
    </row>
    <row r="720" ht="14.25" customHeight="1">
      <c r="A720" s="128"/>
      <c r="B720" s="128"/>
      <c r="C720" s="128"/>
      <c r="D720" s="128"/>
      <c r="E720" s="1300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301"/>
      <c r="Q720" s="1301"/>
      <c r="R720" s="1301"/>
    </row>
    <row r="721" ht="14.25" customHeight="1">
      <c r="A721" s="128"/>
      <c r="B721" s="128"/>
      <c r="C721" s="128"/>
      <c r="D721" s="128"/>
      <c r="E721" s="1300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301"/>
      <c r="Q721" s="1301"/>
      <c r="R721" s="1301"/>
    </row>
    <row r="722" ht="14.25" customHeight="1">
      <c r="A722" s="128"/>
      <c r="B722" s="128"/>
      <c r="C722" s="128"/>
      <c r="D722" s="128"/>
      <c r="E722" s="1300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301"/>
      <c r="Q722" s="1301"/>
      <c r="R722" s="1301"/>
    </row>
    <row r="723" ht="14.25" customHeight="1">
      <c r="A723" s="128"/>
      <c r="B723" s="128"/>
      <c r="C723" s="128"/>
      <c r="D723" s="128"/>
      <c r="E723" s="1300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301"/>
      <c r="Q723" s="1301"/>
      <c r="R723" s="1301"/>
    </row>
    <row r="724" ht="14.25" customHeight="1">
      <c r="A724" s="128"/>
      <c r="B724" s="128"/>
      <c r="C724" s="128"/>
      <c r="D724" s="128"/>
      <c r="E724" s="1300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301"/>
      <c r="Q724" s="1301"/>
      <c r="R724" s="1301"/>
    </row>
    <row r="725" ht="14.25" customHeight="1">
      <c r="A725" s="128"/>
      <c r="B725" s="128"/>
      <c r="C725" s="128"/>
      <c r="D725" s="128"/>
      <c r="E725" s="1300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301"/>
      <c r="Q725" s="1301"/>
      <c r="R725" s="1301"/>
    </row>
    <row r="726" ht="14.25" customHeight="1">
      <c r="A726" s="128"/>
      <c r="B726" s="128"/>
      <c r="C726" s="128"/>
      <c r="D726" s="128"/>
      <c r="E726" s="1300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301"/>
      <c r="Q726" s="1301"/>
      <c r="R726" s="1301"/>
    </row>
    <row r="727" ht="14.25" customHeight="1">
      <c r="A727" s="128"/>
      <c r="B727" s="128"/>
      <c r="C727" s="128"/>
      <c r="D727" s="128"/>
      <c r="E727" s="1300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301"/>
      <c r="Q727" s="1301"/>
      <c r="R727" s="1301"/>
    </row>
    <row r="728" ht="14.25" customHeight="1">
      <c r="A728" s="128"/>
      <c r="B728" s="128"/>
      <c r="C728" s="128"/>
      <c r="D728" s="128"/>
      <c r="E728" s="1300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301"/>
      <c r="Q728" s="1301"/>
      <c r="R728" s="1301"/>
    </row>
    <row r="729" ht="14.25" customHeight="1">
      <c r="A729" s="128"/>
      <c r="B729" s="128"/>
      <c r="C729" s="128"/>
      <c r="D729" s="128"/>
      <c r="E729" s="1300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301"/>
      <c r="Q729" s="1301"/>
      <c r="R729" s="1301"/>
    </row>
    <row r="730" ht="14.25" customHeight="1">
      <c r="A730" s="128"/>
      <c r="B730" s="128"/>
      <c r="C730" s="128"/>
      <c r="D730" s="128"/>
      <c r="E730" s="1300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301"/>
      <c r="Q730" s="1301"/>
      <c r="R730" s="1301"/>
    </row>
    <row r="731" ht="14.25" customHeight="1">
      <c r="A731" s="128"/>
      <c r="B731" s="128"/>
      <c r="C731" s="128"/>
      <c r="D731" s="128"/>
      <c r="E731" s="1300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301"/>
      <c r="Q731" s="1301"/>
      <c r="R731" s="1301"/>
    </row>
    <row r="732" ht="14.25" customHeight="1">
      <c r="A732" s="128"/>
      <c r="B732" s="128"/>
      <c r="C732" s="128"/>
      <c r="D732" s="128"/>
      <c r="E732" s="1300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301"/>
      <c r="Q732" s="1301"/>
      <c r="R732" s="1301"/>
    </row>
    <row r="733" ht="14.25" customHeight="1">
      <c r="A733" s="128"/>
      <c r="B733" s="128"/>
      <c r="C733" s="128"/>
      <c r="D733" s="128"/>
      <c r="E733" s="1300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301"/>
      <c r="Q733" s="1301"/>
      <c r="R733" s="1301"/>
    </row>
    <row r="734" ht="14.25" customHeight="1">
      <c r="A734" s="128"/>
      <c r="B734" s="128"/>
      <c r="C734" s="128"/>
      <c r="D734" s="128"/>
      <c r="E734" s="1300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301"/>
      <c r="Q734" s="1301"/>
      <c r="R734" s="1301"/>
    </row>
    <row r="735" ht="14.25" customHeight="1">
      <c r="A735" s="128"/>
      <c r="B735" s="128"/>
      <c r="C735" s="128"/>
      <c r="D735" s="128"/>
      <c r="E735" s="1300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301"/>
      <c r="Q735" s="1301"/>
      <c r="R735" s="1301"/>
    </row>
    <row r="736" ht="14.25" customHeight="1">
      <c r="A736" s="128"/>
      <c r="B736" s="128"/>
      <c r="C736" s="128"/>
      <c r="D736" s="128"/>
      <c r="E736" s="1300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301"/>
      <c r="Q736" s="1301"/>
      <c r="R736" s="1301"/>
    </row>
    <row r="737" ht="14.25" customHeight="1">
      <c r="A737" s="128"/>
      <c r="B737" s="128"/>
      <c r="C737" s="128"/>
      <c r="D737" s="128"/>
      <c r="E737" s="1300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301"/>
      <c r="Q737" s="1301"/>
      <c r="R737" s="1301"/>
    </row>
    <row r="738" ht="14.25" customHeight="1">
      <c r="A738" s="128"/>
      <c r="B738" s="128"/>
      <c r="C738" s="128"/>
      <c r="D738" s="128"/>
      <c r="E738" s="1300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301"/>
      <c r="Q738" s="1301"/>
      <c r="R738" s="1301"/>
    </row>
    <row r="739" ht="14.25" customHeight="1">
      <c r="A739" s="128"/>
      <c r="B739" s="128"/>
      <c r="C739" s="128"/>
      <c r="D739" s="128"/>
      <c r="E739" s="1300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301"/>
      <c r="Q739" s="1301"/>
      <c r="R739" s="1301"/>
    </row>
    <row r="740" ht="14.25" customHeight="1">
      <c r="A740" s="128"/>
      <c r="B740" s="128"/>
      <c r="C740" s="128"/>
      <c r="D740" s="128"/>
      <c r="E740" s="1300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301"/>
      <c r="Q740" s="1301"/>
      <c r="R740" s="1301"/>
    </row>
    <row r="741" ht="14.25" customHeight="1">
      <c r="A741" s="128"/>
      <c r="B741" s="128"/>
      <c r="C741" s="128"/>
      <c r="D741" s="128"/>
      <c r="E741" s="1300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301"/>
      <c r="Q741" s="1301"/>
      <c r="R741" s="1301"/>
    </row>
    <row r="742" ht="14.25" customHeight="1">
      <c r="A742" s="128"/>
      <c r="B742" s="128"/>
      <c r="C742" s="128"/>
      <c r="D742" s="128"/>
      <c r="E742" s="1300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301"/>
      <c r="Q742" s="1301"/>
      <c r="R742" s="1301"/>
    </row>
    <row r="743" ht="14.25" customHeight="1">
      <c r="A743" s="128"/>
      <c r="B743" s="128"/>
      <c r="C743" s="128"/>
      <c r="D743" s="128"/>
      <c r="E743" s="1300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301"/>
      <c r="Q743" s="1301"/>
      <c r="R743" s="1301"/>
    </row>
    <row r="744" ht="14.25" customHeight="1">
      <c r="A744" s="128"/>
      <c r="B744" s="128"/>
      <c r="C744" s="128"/>
      <c r="D744" s="128"/>
      <c r="E744" s="1300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301"/>
      <c r="Q744" s="1301"/>
      <c r="R744" s="1301"/>
    </row>
    <row r="745" ht="14.25" customHeight="1">
      <c r="A745" s="128"/>
      <c r="B745" s="128"/>
      <c r="C745" s="128"/>
      <c r="D745" s="128"/>
      <c r="E745" s="1300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301"/>
      <c r="Q745" s="1301"/>
      <c r="R745" s="1301"/>
    </row>
    <row r="746" ht="14.25" customHeight="1">
      <c r="A746" s="128"/>
      <c r="B746" s="128"/>
      <c r="C746" s="128"/>
      <c r="D746" s="128"/>
      <c r="E746" s="1300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301"/>
      <c r="Q746" s="1301"/>
      <c r="R746" s="1301"/>
    </row>
    <row r="747" ht="14.25" customHeight="1">
      <c r="A747" s="128"/>
      <c r="B747" s="128"/>
      <c r="C747" s="128"/>
      <c r="D747" s="128"/>
      <c r="E747" s="1300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301"/>
      <c r="Q747" s="1301"/>
      <c r="R747" s="1301"/>
    </row>
    <row r="748" ht="14.25" customHeight="1">
      <c r="A748" s="128"/>
      <c r="B748" s="128"/>
      <c r="C748" s="128"/>
      <c r="D748" s="128"/>
      <c r="E748" s="1300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301"/>
      <c r="Q748" s="1301"/>
      <c r="R748" s="1301"/>
    </row>
    <row r="749" ht="14.25" customHeight="1">
      <c r="A749" s="128"/>
      <c r="B749" s="128"/>
      <c r="C749" s="128"/>
      <c r="D749" s="128"/>
      <c r="E749" s="1300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301"/>
      <c r="Q749" s="1301"/>
      <c r="R749" s="1301"/>
    </row>
    <row r="750" ht="14.25" customHeight="1">
      <c r="A750" s="128"/>
      <c r="B750" s="128"/>
      <c r="C750" s="128"/>
      <c r="D750" s="128"/>
      <c r="E750" s="1300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301"/>
      <c r="Q750" s="1301"/>
      <c r="R750" s="1301"/>
    </row>
    <row r="751" ht="14.25" customHeight="1">
      <c r="A751" s="128"/>
      <c r="B751" s="128"/>
      <c r="C751" s="128"/>
      <c r="D751" s="128"/>
      <c r="E751" s="1300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301"/>
      <c r="Q751" s="1301"/>
      <c r="R751" s="1301"/>
    </row>
    <row r="752" ht="14.25" customHeight="1">
      <c r="A752" s="128"/>
      <c r="B752" s="128"/>
      <c r="C752" s="128"/>
      <c r="D752" s="128"/>
      <c r="E752" s="1300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301"/>
      <c r="Q752" s="1301"/>
      <c r="R752" s="1301"/>
    </row>
    <row r="753" ht="14.25" customHeight="1">
      <c r="A753" s="128"/>
      <c r="B753" s="128"/>
      <c r="C753" s="128"/>
      <c r="D753" s="128"/>
      <c r="E753" s="1300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301"/>
      <c r="Q753" s="1301"/>
      <c r="R753" s="1301"/>
    </row>
    <row r="754" ht="14.25" customHeight="1">
      <c r="A754" s="128"/>
      <c r="B754" s="128"/>
      <c r="C754" s="128"/>
      <c r="D754" s="128"/>
      <c r="E754" s="1300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301"/>
      <c r="Q754" s="1301"/>
      <c r="R754" s="1301"/>
    </row>
    <row r="755" ht="14.25" customHeight="1">
      <c r="A755" s="128"/>
      <c r="B755" s="128"/>
      <c r="C755" s="128"/>
      <c r="D755" s="128"/>
      <c r="E755" s="1300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301"/>
      <c r="Q755" s="1301"/>
      <c r="R755" s="1301"/>
    </row>
    <row r="756" ht="14.25" customHeight="1">
      <c r="A756" s="128"/>
      <c r="B756" s="128"/>
      <c r="C756" s="128"/>
      <c r="D756" s="128"/>
      <c r="E756" s="1300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301"/>
      <c r="Q756" s="1301"/>
      <c r="R756" s="1301"/>
    </row>
    <row r="757" ht="14.25" customHeight="1">
      <c r="A757" s="128"/>
      <c r="B757" s="128"/>
      <c r="C757" s="128"/>
      <c r="D757" s="128"/>
      <c r="E757" s="1300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301"/>
      <c r="Q757" s="1301"/>
      <c r="R757" s="1301"/>
    </row>
    <row r="758" ht="14.25" customHeight="1">
      <c r="A758" s="128"/>
      <c r="B758" s="128"/>
      <c r="C758" s="128"/>
      <c r="D758" s="128"/>
      <c r="E758" s="1300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301"/>
      <c r="Q758" s="1301"/>
      <c r="R758" s="1301"/>
    </row>
    <row r="759" ht="14.25" customHeight="1">
      <c r="A759" s="128"/>
      <c r="B759" s="128"/>
      <c r="C759" s="128"/>
      <c r="D759" s="128"/>
      <c r="E759" s="1300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301"/>
      <c r="Q759" s="1301"/>
      <c r="R759" s="1301"/>
    </row>
    <row r="760" ht="14.25" customHeight="1">
      <c r="A760" s="128"/>
      <c r="B760" s="128"/>
      <c r="C760" s="128"/>
      <c r="D760" s="128"/>
      <c r="E760" s="1300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301"/>
      <c r="Q760" s="1301"/>
      <c r="R760" s="1301"/>
    </row>
    <row r="761" ht="14.25" customHeight="1">
      <c r="A761" s="128"/>
      <c r="B761" s="128"/>
      <c r="C761" s="128"/>
      <c r="D761" s="128"/>
      <c r="E761" s="1300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301"/>
      <c r="Q761" s="1301"/>
      <c r="R761" s="1301"/>
    </row>
    <row r="762" ht="14.25" customHeight="1">
      <c r="A762" s="128"/>
      <c r="B762" s="128"/>
      <c r="C762" s="128"/>
      <c r="D762" s="128"/>
      <c r="E762" s="1300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301"/>
      <c r="Q762" s="1301"/>
      <c r="R762" s="1301"/>
    </row>
    <row r="763" ht="14.25" customHeight="1">
      <c r="A763" s="128"/>
      <c r="B763" s="128"/>
      <c r="C763" s="128"/>
      <c r="D763" s="128"/>
      <c r="E763" s="1300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301"/>
      <c r="Q763" s="1301"/>
      <c r="R763" s="1301"/>
    </row>
    <row r="764" ht="14.25" customHeight="1">
      <c r="A764" s="128"/>
      <c r="B764" s="128"/>
      <c r="C764" s="128"/>
      <c r="D764" s="128"/>
      <c r="E764" s="1300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301"/>
      <c r="Q764" s="1301"/>
      <c r="R764" s="1301"/>
    </row>
    <row r="765" ht="14.25" customHeight="1">
      <c r="A765" s="128"/>
      <c r="B765" s="128"/>
      <c r="C765" s="128"/>
      <c r="D765" s="128"/>
      <c r="E765" s="1300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301"/>
      <c r="Q765" s="1301"/>
      <c r="R765" s="1301"/>
    </row>
    <row r="766" ht="14.25" customHeight="1">
      <c r="A766" s="128"/>
      <c r="B766" s="128"/>
      <c r="C766" s="128"/>
      <c r="D766" s="128"/>
      <c r="E766" s="1300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301"/>
      <c r="Q766" s="1301"/>
      <c r="R766" s="1301"/>
    </row>
    <row r="767" ht="14.25" customHeight="1">
      <c r="A767" s="128"/>
      <c r="B767" s="128"/>
      <c r="C767" s="128"/>
      <c r="D767" s="128"/>
      <c r="E767" s="1300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301"/>
      <c r="Q767" s="1301"/>
      <c r="R767" s="1301"/>
    </row>
    <row r="768" ht="14.25" customHeight="1">
      <c r="A768" s="128"/>
      <c r="B768" s="128"/>
      <c r="C768" s="128"/>
      <c r="D768" s="128"/>
      <c r="E768" s="1300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301"/>
      <c r="Q768" s="1301"/>
      <c r="R768" s="1301"/>
    </row>
    <row r="769" ht="14.25" customHeight="1">
      <c r="A769" s="128"/>
      <c r="B769" s="128"/>
      <c r="C769" s="128"/>
      <c r="D769" s="128"/>
      <c r="E769" s="1300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301"/>
      <c r="Q769" s="1301"/>
      <c r="R769" s="1301"/>
    </row>
    <row r="770" ht="14.25" customHeight="1">
      <c r="A770" s="128"/>
      <c r="B770" s="128"/>
      <c r="C770" s="128"/>
      <c r="D770" s="128"/>
      <c r="E770" s="1300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301"/>
      <c r="Q770" s="1301"/>
      <c r="R770" s="1301"/>
    </row>
    <row r="771" ht="14.25" customHeight="1">
      <c r="A771" s="128"/>
      <c r="B771" s="128"/>
      <c r="C771" s="128"/>
      <c r="D771" s="128"/>
      <c r="E771" s="1300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301"/>
      <c r="Q771" s="1301"/>
      <c r="R771" s="1301"/>
    </row>
    <row r="772" ht="14.25" customHeight="1">
      <c r="A772" s="128"/>
      <c r="B772" s="128"/>
      <c r="C772" s="128"/>
      <c r="D772" s="128"/>
      <c r="E772" s="1300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301"/>
      <c r="Q772" s="1301"/>
      <c r="R772" s="1301"/>
    </row>
    <row r="773" ht="14.25" customHeight="1">
      <c r="A773" s="128"/>
      <c r="B773" s="128"/>
      <c r="C773" s="128"/>
      <c r="D773" s="128"/>
      <c r="E773" s="1300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301"/>
      <c r="Q773" s="1301"/>
      <c r="R773" s="1301"/>
    </row>
    <row r="774" ht="14.25" customHeight="1">
      <c r="A774" s="128"/>
      <c r="B774" s="128"/>
      <c r="C774" s="128"/>
      <c r="D774" s="128"/>
      <c r="E774" s="1300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301"/>
      <c r="Q774" s="1301"/>
      <c r="R774" s="1301"/>
    </row>
    <row r="775" ht="14.25" customHeight="1">
      <c r="A775" s="128"/>
      <c r="B775" s="128"/>
      <c r="C775" s="128"/>
      <c r="D775" s="128"/>
      <c r="E775" s="1300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301"/>
      <c r="Q775" s="1301"/>
      <c r="R775" s="1301"/>
    </row>
    <row r="776" ht="14.25" customHeight="1">
      <c r="A776" s="128"/>
      <c r="B776" s="128"/>
      <c r="C776" s="128"/>
      <c r="D776" s="128"/>
      <c r="E776" s="1300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301"/>
      <c r="Q776" s="1301"/>
      <c r="R776" s="1301"/>
    </row>
    <row r="777" ht="14.25" customHeight="1">
      <c r="A777" s="128"/>
      <c r="B777" s="128"/>
      <c r="C777" s="128"/>
      <c r="D777" s="128"/>
      <c r="E777" s="1300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301"/>
      <c r="Q777" s="1301"/>
      <c r="R777" s="1301"/>
    </row>
    <row r="778" ht="14.25" customHeight="1">
      <c r="A778" s="128"/>
      <c r="B778" s="128"/>
      <c r="C778" s="128"/>
      <c r="D778" s="128"/>
      <c r="E778" s="1300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301"/>
      <c r="Q778" s="1301"/>
      <c r="R778" s="1301"/>
    </row>
    <row r="779" ht="14.25" customHeight="1">
      <c r="A779" s="128"/>
      <c r="B779" s="128"/>
      <c r="C779" s="128"/>
      <c r="D779" s="128"/>
      <c r="E779" s="1300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301"/>
      <c r="Q779" s="1301"/>
      <c r="R779" s="1301"/>
    </row>
    <row r="780" ht="14.25" customHeight="1">
      <c r="A780" s="128"/>
      <c r="B780" s="128"/>
      <c r="C780" s="128"/>
      <c r="D780" s="128"/>
      <c r="E780" s="1300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301"/>
      <c r="Q780" s="1301"/>
      <c r="R780" s="1301"/>
    </row>
    <row r="781" ht="14.25" customHeight="1">
      <c r="A781" s="128"/>
      <c r="B781" s="128"/>
      <c r="C781" s="128"/>
      <c r="D781" s="128"/>
      <c r="E781" s="1300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301"/>
      <c r="Q781" s="1301"/>
      <c r="R781" s="1301"/>
    </row>
    <row r="782" ht="14.25" customHeight="1">
      <c r="A782" s="128"/>
      <c r="B782" s="128"/>
      <c r="C782" s="128"/>
      <c r="D782" s="128"/>
      <c r="E782" s="1300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301"/>
      <c r="Q782" s="1301"/>
      <c r="R782" s="1301"/>
    </row>
    <row r="783" ht="14.25" customHeight="1">
      <c r="A783" s="128"/>
      <c r="B783" s="128"/>
      <c r="C783" s="128"/>
      <c r="D783" s="128"/>
      <c r="E783" s="1300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301"/>
      <c r="Q783" s="1301"/>
      <c r="R783" s="1301"/>
    </row>
    <row r="784" ht="14.25" customHeight="1">
      <c r="A784" s="128"/>
      <c r="B784" s="128"/>
      <c r="C784" s="128"/>
      <c r="D784" s="128"/>
      <c r="E784" s="1300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301"/>
      <c r="Q784" s="1301"/>
      <c r="R784" s="1301"/>
    </row>
    <row r="785" ht="14.25" customHeight="1">
      <c r="A785" s="128"/>
      <c r="B785" s="128"/>
      <c r="C785" s="128"/>
      <c r="D785" s="128"/>
      <c r="E785" s="1300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301"/>
      <c r="Q785" s="1301"/>
      <c r="R785" s="1301"/>
    </row>
    <row r="786" ht="14.25" customHeight="1">
      <c r="A786" s="128"/>
      <c r="B786" s="128"/>
      <c r="C786" s="128"/>
      <c r="D786" s="128"/>
      <c r="E786" s="1300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301"/>
      <c r="Q786" s="1301"/>
      <c r="R786" s="1301"/>
    </row>
    <row r="787" ht="14.25" customHeight="1">
      <c r="A787" s="128"/>
      <c r="B787" s="128"/>
      <c r="C787" s="128"/>
      <c r="D787" s="128"/>
      <c r="E787" s="1300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301"/>
      <c r="Q787" s="1301"/>
      <c r="R787" s="1301"/>
    </row>
    <row r="788" ht="14.25" customHeight="1">
      <c r="A788" s="128"/>
      <c r="B788" s="128"/>
      <c r="C788" s="128"/>
      <c r="D788" s="128"/>
      <c r="E788" s="1300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301"/>
      <c r="Q788" s="1301"/>
      <c r="R788" s="1301"/>
    </row>
    <row r="789" ht="14.25" customHeight="1">
      <c r="A789" s="128"/>
      <c r="B789" s="128"/>
      <c r="C789" s="128"/>
      <c r="D789" s="128"/>
      <c r="E789" s="1300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301"/>
      <c r="Q789" s="1301"/>
      <c r="R789" s="1301"/>
    </row>
    <row r="790" ht="14.25" customHeight="1">
      <c r="A790" s="128"/>
      <c r="B790" s="128"/>
      <c r="C790" s="128"/>
      <c r="D790" s="128"/>
      <c r="E790" s="1300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301"/>
      <c r="Q790" s="1301"/>
      <c r="R790" s="1301"/>
    </row>
    <row r="791" ht="14.25" customHeight="1">
      <c r="A791" s="128"/>
      <c r="B791" s="128"/>
      <c r="C791" s="128"/>
      <c r="D791" s="128"/>
      <c r="E791" s="1300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301"/>
      <c r="Q791" s="1301"/>
      <c r="R791" s="1301"/>
    </row>
    <row r="792" ht="14.25" customHeight="1">
      <c r="A792" s="128"/>
      <c r="B792" s="128"/>
      <c r="C792" s="128"/>
      <c r="D792" s="128"/>
      <c r="E792" s="1300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301"/>
      <c r="Q792" s="1301"/>
      <c r="R792" s="1301"/>
    </row>
    <row r="793" ht="14.25" customHeight="1">
      <c r="A793" s="128"/>
      <c r="B793" s="128"/>
      <c r="C793" s="128"/>
      <c r="D793" s="128"/>
      <c r="E793" s="1300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301"/>
      <c r="Q793" s="1301"/>
      <c r="R793" s="1301"/>
    </row>
    <row r="794" ht="14.25" customHeight="1">
      <c r="A794" s="128"/>
      <c r="B794" s="128"/>
      <c r="C794" s="128"/>
      <c r="D794" s="128"/>
      <c r="E794" s="1300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301"/>
      <c r="Q794" s="1301"/>
      <c r="R794" s="1301"/>
    </row>
    <row r="795" ht="14.25" customHeight="1">
      <c r="A795" s="128"/>
      <c r="B795" s="128"/>
      <c r="C795" s="128"/>
      <c r="D795" s="128"/>
      <c r="E795" s="1300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301"/>
      <c r="Q795" s="1301"/>
      <c r="R795" s="1301"/>
    </row>
    <row r="796" ht="14.25" customHeight="1">
      <c r="A796" s="128"/>
      <c r="B796" s="128"/>
      <c r="C796" s="128"/>
      <c r="D796" s="128"/>
      <c r="E796" s="1300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301"/>
      <c r="Q796" s="1301"/>
      <c r="R796" s="1301"/>
    </row>
    <row r="797" ht="14.25" customHeight="1">
      <c r="A797" s="128"/>
      <c r="B797" s="128"/>
      <c r="C797" s="128"/>
      <c r="D797" s="128"/>
      <c r="E797" s="1300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301"/>
      <c r="Q797" s="1301"/>
      <c r="R797" s="1301"/>
    </row>
    <row r="798" ht="14.25" customHeight="1">
      <c r="A798" s="128"/>
      <c r="B798" s="128"/>
      <c r="C798" s="128"/>
      <c r="D798" s="128"/>
      <c r="E798" s="1300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301"/>
      <c r="Q798" s="1301"/>
      <c r="R798" s="1301"/>
    </row>
    <row r="799" ht="14.25" customHeight="1">
      <c r="A799" s="128"/>
      <c r="B799" s="128"/>
      <c r="C799" s="128"/>
      <c r="D799" s="128"/>
      <c r="E799" s="1300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301"/>
      <c r="Q799" s="1301"/>
      <c r="R799" s="1301"/>
    </row>
    <row r="800" ht="14.25" customHeight="1">
      <c r="A800" s="128"/>
      <c r="B800" s="128"/>
      <c r="C800" s="128"/>
      <c r="D800" s="128"/>
      <c r="E800" s="1300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301"/>
      <c r="Q800" s="1301"/>
      <c r="R800" s="1301"/>
    </row>
    <row r="801" ht="14.25" customHeight="1">
      <c r="A801" s="128"/>
      <c r="B801" s="128"/>
      <c r="C801" s="128"/>
      <c r="D801" s="128"/>
      <c r="E801" s="1300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301"/>
      <c r="Q801" s="1301"/>
      <c r="R801" s="1301"/>
    </row>
    <row r="802" ht="14.25" customHeight="1">
      <c r="A802" s="128"/>
      <c r="B802" s="128"/>
      <c r="C802" s="128"/>
      <c r="D802" s="128"/>
      <c r="E802" s="1300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301"/>
      <c r="Q802" s="1301"/>
      <c r="R802" s="1301"/>
    </row>
    <row r="803" ht="14.25" customHeight="1">
      <c r="A803" s="128"/>
      <c r="B803" s="128"/>
      <c r="C803" s="128"/>
      <c r="D803" s="128"/>
      <c r="E803" s="1300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301"/>
      <c r="Q803" s="1301"/>
      <c r="R803" s="1301"/>
    </row>
    <row r="804" ht="14.25" customHeight="1">
      <c r="A804" s="128"/>
      <c r="B804" s="128"/>
      <c r="C804" s="128"/>
      <c r="D804" s="128"/>
      <c r="E804" s="1300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301"/>
      <c r="Q804" s="1301"/>
      <c r="R804" s="1301"/>
    </row>
    <row r="805" ht="14.25" customHeight="1">
      <c r="A805" s="128"/>
      <c r="B805" s="128"/>
      <c r="C805" s="128"/>
      <c r="D805" s="128"/>
      <c r="E805" s="1300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301"/>
      <c r="Q805" s="1301"/>
      <c r="R805" s="1301"/>
    </row>
    <row r="806" ht="14.25" customHeight="1">
      <c r="A806" s="128"/>
      <c r="B806" s="128"/>
      <c r="C806" s="128"/>
      <c r="D806" s="128"/>
      <c r="E806" s="1300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301"/>
      <c r="Q806" s="1301"/>
      <c r="R806" s="1301"/>
    </row>
    <row r="807" ht="14.25" customHeight="1">
      <c r="A807" s="128"/>
      <c r="B807" s="128"/>
      <c r="C807" s="128"/>
      <c r="D807" s="128"/>
      <c r="E807" s="1300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301"/>
      <c r="Q807" s="1301"/>
      <c r="R807" s="1301"/>
    </row>
    <row r="808" ht="14.25" customHeight="1">
      <c r="A808" s="128"/>
      <c r="B808" s="128"/>
      <c r="C808" s="128"/>
      <c r="D808" s="128"/>
      <c r="E808" s="1300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301"/>
      <c r="Q808" s="1301"/>
      <c r="R808" s="1301"/>
    </row>
    <row r="809" ht="14.25" customHeight="1">
      <c r="A809" s="128"/>
      <c r="B809" s="128"/>
      <c r="C809" s="128"/>
      <c r="D809" s="128"/>
      <c r="E809" s="1300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301"/>
      <c r="Q809" s="1301"/>
      <c r="R809" s="1301"/>
    </row>
    <row r="810" ht="14.25" customHeight="1">
      <c r="A810" s="128"/>
      <c r="B810" s="128"/>
      <c r="C810" s="128"/>
      <c r="D810" s="128"/>
      <c r="E810" s="1300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301"/>
      <c r="Q810" s="1301"/>
      <c r="R810" s="1301"/>
    </row>
    <row r="811" ht="14.25" customHeight="1">
      <c r="A811" s="128"/>
      <c r="B811" s="128"/>
      <c r="C811" s="128"/>
      <c r="D811" s="128"/>
      <c r="E811" s="1300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301"/>
      <c r="Q811" s="1301"/>
      <c r="R811" s="1301"/>
    </row>
    <row r="812" ht="14.25" customHeight="1">
      <c r="A812" s="128"/>
      <c r="B812" s="128"/>
      <c r="C812" s="128"/>
      <c r="D812" s="128"/>
      <c r="E812" s="1300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301"/>
      <c r="Q812" s="1301"/>
      <c r="R812" s="1301"/>
    </row>
    <row r="813" ht="14.25" customHeight="1">
      <c r="A813" s="128"/>
      <c r="B813" s="128"/>
      <c r="C813" s="128"/>
      <c r="D813" s="128"/>
      <c r="E813" s="1300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301"/>
      <c r="Q813" s="1301"/>
      <c r="R813" s="1301"/>
    </row>
    <row r="814" ht="14.25" customHeight="1">
      <c r="A814" s="128"/>
      <c r="B814" s="128"/>
      <c r="C814" s="128"/>
      <c r="D814" s="128"/>
      <c r="E814" s="1300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301"/>
      <c r="Q814" s="1301"/>
      <c r="R814" s="1301"/>
    </row>
    <row r="815" ht="14.25" customHeight="1">
      <c r="A815" s="128"/>
      <c r="B815" s="128"/>
      <c r="C815" s="128"/>
      <c r="D815" s="128"/>
      <c r="E815" s="1300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301"/>
      <c r="Q815" s="1301"/>
      <c r="R815" s="1301"/>
    </row>
    <row r="816" ht="14.25" customHeight="1">
      <c r="A816" s="128"/>
      <c r="B816" s="128"/>
      <c r="C816" s="128"/>
      <c r="D816" s="128"/>
      <c r="E816" s="1300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301"/>
      <c r="Q816" s="1301"/>
      <c r="R816" s="1301"/>
    </row>
    <row r="817" ht="14.25" customHeight="1">
      <c r="A817" s="128"/>
      <c r="B817" s="128"/>
      <c r="C817" s="128"/>
      <c r="D817" s="128"/>
      <c r="E817" s="1300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301"/>
      <c r="Q817" s="1301"/>
      <c r="R817" s="1301"/>
    </row>
    <row r="818" ht="14.25" customHeight="1">
      <c r="A818" s="128"/>
      <c r="B818" s="128"/>
      <c r="C818" s="128"/>
      <c r="D818" s="128"/>
      <c r="E818" s="1300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301"/>
      <c r="Q818" s="1301"/>
      <c r="R818" s="1301"/>
    </row>
    <row r="819" ht="14.25" customHeight="1">
      <c r="A819" s="128"/>
      <c r="B819" s="128"/>
      <c r="C819" s="128"/>
      <c r="D819" s="128"/>
      <c r="E819" s="1300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301"/>
      <c r="Q819" s="1301"/>
      <c r="R819" s="1301"/>
    </row>
    <row r="820" ht="14.25" customHeight="1">
      <c r="A820" s="128"/>
      <c r="B820" s="128"/>
      <c r="C820" s="128"/>
      <c r="D820" s="128"/>
      <c r="E820" s="1300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301"/>
      <c r="Q820" s="1301"/>
      <c r="R820" s="1301"/>
    </row>
    <row r="821" ht="14.25" customHeight="1">
      <c r="A821" s="128"/>
      <c r="B821" s="128"/>
      <c r="C821" s="128"/>
      <c r="D821" s="128"/>
      <c r="E821" s="1300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301"/>
      <c r="Q821" s="1301"/>
      <c r="R821" s="1301"/>
    </row>
    <row r="822" ht="14.25" customHeight="1">
      <c r="A822" s="128"/>
      <c r="B822" s="128"/>
      <c r="C822" s="128"/>
      <c r="D822" s="128"/>
      <c r="E822" s="1300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301"/>
      <c r="Q822" s="1301"/>
      <c r="R822" s="1301"/>
    </row>
    <row r="823" ht="14.25" customHeight="1">
      <c r="A823" s="128"/>
      <c r="B823" s="128"/>
      <c r="C823" s="128"/>
      <c r="D823" s="128"/>
      <c r="E823" s="1300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301"/>
      <c r="Q823" s="1301"/>
      <c r="R823" s="1301"/>
    </row>
    <row r="824" ht="14.25" customHeight="1">
      <c r="A824" s="128"/>
      <c r="B824" s="128"/>
      <c r="C824" s="128"/>
      <c r="D824" s="128"/>
      <c r="E824" s="1300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301"/>
      <c r="Q824" s="1301"/>
      <c r="R824" s="1301"/>
    </row>
    <row r="825" ht="14.25" customHeight="1">
      <c r="A825" s="128"/>
      <c r="B825" s="128"/>
      <c r="C825" s="128"/>
      <c r="D825" s="128"/>
      <c r="E825" s="1300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301"/>
      <c r="Q825" s="1301"/>
      <c r="R825" s="1301"/>
    </row>
    <row r="826" ht="14.25" customHeight="1">
      <c r="A826" s="128"/>
      <c r="B826" s="128"/>
      <c r="C826" s="128"/>
      <c r="D826" s="128"/>
      <c r="E826" s="1300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301"/>
      <c r="Q826" s="1301"/>
      <c r="R826" s="1301"/>
    </row>
    <row r="827" ht="14.25" customHeight="1">
      <c r="A827" s="128"/>
      <c r="B827" s="128"/>
      <c r="C827" s="128"/>
      <c r="D827" s="128"/>
      <c r="E827" s="1300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301"/>
      <c r="Q827" s="1301"/>
      <c r="R827" s="1301"/>
    </row>
    <row r="828" ht="14.25" customHeight="1">
      <c r="A828" s="128"/>
      <c r="B828" s="128"/>
      <c r="C828" s="128"/>
      <c r="D828" s="128"/>
      <c r="E828" s="1300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301"/>
      <c r="Q828" s="1301"/>
      <c r="R828" s="1301"/>
    </row>
    <row r="829" ht="14.25" customHeight="1">
      <c r="A829" s="128"/>
      <c r="B829" s="128"/>
      <c r="C829" s="128"/>
      <c r="D829" s="128"/>
      <c r="E829" s="1300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301"/>
      <c r="Q829" s="1301"/>
      <c r="R829" s="1301"/>
    </row>
    <row r="830" ht="14.25" customHeight="1">
      <c r="A830" s="128"/>
      <c r="B830" s="128"/>
      <c r="C830" s="128"/>
      <c r="D830" s="128"/>
      <c r="E830" s="1300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301"/>
      <c r="Q830" s="1301"/>
      <c r="R830" s="1301"/>
    </row>
    <row r="831" ht="14.25" customHeight="1">
      <c r="A831" s="128"/>
      <c r="B831" s="128"/>
      <c r="C831" s="128"/>
      <c r="D831" s="128"/>
      <c r="E831" s="1300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301"/>
      <c r="Q831" s="1301"/>
      <c r="R831" s="1301"/>
    </row>
    <row r="832" ht="14.25" customHeight="1">
      <c r="A832" s="128"/>
      <c r="B832" s="128"/>
      <c r="C832" s="128"/>
      <c r="D832" s="128"/>
      <c r="E832" s="1300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301"/>
      <c r="Q832" s="1301"/>
      <c r="R832" s="1301"/>
    </row>
    <row r="833" ht="14.25" customHeight="1">
      <c r="A833" s="128"/>
      <c r="B833" s="128"/>
      <c r="C833" s="128"/>
      <c r="D833" s="128"/>
      <c r="E833" s="1300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301"/>
      <c r="Q833" s="1301"/>
      <c r="R833" s="1301"/>
    </row>
    <row r="834" ht="14.25" customHeight="1">
      <c r="A834" s="128"/>
      <c r="B834" s="128"/>
      <c r="C834" s="128"/>
      <c r="D834" s="128"/>
      <c r="E834" s="1300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301"/>
      <c r="Q834" s="1301"/>
      <c r="R834" s="1301"/>
    </row>
    <row r="835" ht="14.25" customHeight="1">
      <c r="A835" s="128"/>
      <c r="B835" s="128"/>
      <c r="C835" s="128"/>
      <c r="D835" s="128"/>
      <c r="E835" s="1300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301"/>
      <c r="Q835" s="1301"/>
      <c r="R835" s="1301"/>
    </row>
    <row r="836" ht="14.25" customHeight="1">
      <c r="A836" s="128"/>
      <c r="B836" s="128"/>
      <c r="C836" s="128"/>
      <c r="D836" s="128"/>
      <c r="E836" s="1300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301"/>
      <c r="Q836" s="1301"/>
      <c r="R836" s="1301"/>
    </row>
    <row r="837" ht="14.25" customHeight="1">
      <c r="A837" s="128"/>
      <c r="B837" s="128"/>
      <c r="C837" s="128"/>
      <c r="D837" s="128"/>
      <c r="E837" s="1300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301"/>
      <c r="Q837" s="1301"/>
      <c r="R837" s="1301"/>
    </row>
    <row r="838" ht="14.25" customHeight="1">
      <c r="A838" s="128"/>
      <c r="B838" s="128"/>
      <c r="C838" s="128"/>
      <c r="D838" s="128"/>
      <c r="E838" s="1300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301"/>
      <c r="Q838" s="1301"/>
      <c r="R838" s="1301"/>
    </row>
    <row r="839" ht="14.25" customHeight="1">
      <c r="A839" s="128"/>
      <c r="B839" s="128"/>
      <c r="C839" s="128"/>
      <c r="D839" s="128"/>
      <c r="E839" s="1300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301"/>
      <c r="Q839" s="1301"/>
      <c r="R839" s="1301"/>
    </row>
    <row r="840" ht="14.25" customHeight="1">
      <c r="A840" s="128"/>
      <c r="B840" s="128"/>
      <c r="C840" s="128"/>
      <c r="D840" s="128"/>
      <c r="E840" s="1300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301"/>
      <c r="Q840" s="1301"/>
      <c r="R840" s="1301"/>
    </row>
    <row r="841" ht="14.25" customHeight="1">
      <c r="A841" s="128"/>
      <c r="B841" s="128"/>
      <c r="C841" s="128"/>
      <c r="D841" s="128"/>
      <c r="E841" s="1300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301"/>
      <c r="Q841" s="1301"/>
      <c r="R841" s="1301"/>
    </row>
    <row r="842" ht="14.25" customHeight="1">
      <c r="A842" s="128"/>
      <c r="B842" s="128"/>
      <c r="C842" s="128"/>
      <c r="D842" s="128"/>
      <c r="E842" s="1300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301"/>
      <c r="Q842" s="1301"/>
      <c r="R842" s="1301"/>
    </row>
    <row r="843" ht="14.25" customHeight="1">
      <c r="A843" s="128"/>
      <c r="B843" s="128"/>
      <c r="C843" s="128"/>
      <c r="D843" s="128"/>
      <c r="E843" s="1300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301"/>
      <c r="Q843" s="1301"/>
      <c r="R843" s="1301"/>
    </row>
    <row r="844" ht="14.25" customHeight="1">
      <c r="A844" s="128"/>
      <c r="B844" s="128"/>
      <c r="C844" s="128"/>
      <c r="D844" s="128"/>
      <c r="E844" s="1300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301"/>
      <c r="Q844" s="1301"/>
      <c r="R844" s="1301"/>
    </row>
    <row r="845" ht="14.25" customHeight="1">
      <c r="A845" s="128"/>
      <c r="B845" s="128"/>
      <c r="C845" s="128"/>
      <c r="D845" s="128"/>
      <c r="E845" s="1300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301"/>
      <c r="Q845" s="1301"/>
      <c r="R845" s="1301"/>
    </row>
    <row r="846" ht="14.25" customHeight="1">
      <c r="A846" s="128"/>
      <c r="B846" s="128"/>
      <c r="C846" s="128"/>
      <c r="D846" s="128"/>
      <c r="E846" s="1300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301"/>
      <c r="Q846" s="1301"/>
      <c r="R846" s="1301"/>
    </row>
    <row r="847" ht="14.25" customHeight="1">
      <c r="A847" s="128"/>
      <c r="B847" s="128"/>
      <c r="C847" s="128"/>
      <c r="D847" s="128"/>
      <c r="E847" s="1300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301"/>
      <c r="Q847" s="1301"/>
      <c r="R847" s="1301"/>
    </row>
    <row r="848" ht="14.25" customHeight="1">
      <c r="A848" s="128"/>
      <c r="B848" s="128"/>
      <c r="C848" s="128"/>
      <c r="D848" s="128"/>
      <c r="E848" s="1300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301"/>
      <c r="Q848" s="1301"/>
      <c r="R848" s="1301"/>
    </row>
    <row r="849" ht="14.25" customHeight="1">
      <c r="A849" s="128"/>
      <c r="B849" s="128"/>
      <c r="C849" s="128"/>
      <c r="D849" s="128"/>
      <c r="E849" s="1300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301"/>
      <c r="Q849" s="1301"/>
      <c r="R849" s="1301"/>
    </row>
    <row r="850" ht="14.25" customHeight="1">
      <c r="A850" s="128"/>
      <c r="B850" s="128"/>
      <c r="C850" s="128"/>
      <c r="D850" s="128"/>
      <c r="E850" s="1300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301"/>
      <c r="Q850" s="1301"/>
      <c r="R850" s="1301"/>
    </row>
    <row r="851" ht="14.25" customHeight="1">
      <c r="A851" s="128"/>
      <c r="B851" s="128"/>
      <c r="C851" s="128"/>
      <c r="D851" s="128"/>
      <c r="E851" s="1300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301"/>
      <c r="Q851" s="1301"/>
      <c r="R851" s="1301"/>
    </row>
    <row r="852" ht="14.25" customHeight="1">
      <c r="A852" s="128"/>
      <c r="B852" s="128"/>
      <c r="C852" s="128"/>
      <c r="D852" s="128"/>
      <c r="E852" s="1300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301"/>
      <c r="Q852" s="1301"/>
      <c r="R852" s="1301"/>
    </row>
    <row r="853" ht="14.25" customHeight="1">
      <c r="A853" s="128"/>
      <c r="B853" s="128"/>
      <c r="C853" s="128"/>
      <c r="D853" s="128"/>
      <c r="E853" s="1300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301"/>
      <c r="Q853" s="1301"/>
      <c r="R853" s="1301"/>
    </row>
    <row r="854" ht="14.25" customHeight="1">
      <c r="A854" s="128"/>
      <c r="B854" s="128"/>
      <c r="C854" s="128"/>
      <c r="D854" s="128"/>
      <c r="E854" s="1300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301"/>
      <c r="Q854" s="1301"/>
      <c r="R854" s="1301"/>
    </row>
    <row r="855" ht="14.25" customHeight="1">
      <c r="A855" s="128"/>
      <c r="B855" s="128"/>
      <c r="C855" s="128"/>
      <c r="D855" s="128"/>
      <c r="E855" s="1300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301"/>
      <c r="Q855" s="1301"/>
      <c r="R855" s="1301"/>
    </row>
    <row r="856" ht="14.25" customHeight="1">
      <c r="A856" s="128"/>
      <c r="B856" s="128"/>
      <c r="C856" s="128"/>
      <c r="D856" s="128"/>
      <c r="E856" s="1300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301"/>
      <c r="Q856" s="1301"/>
      <c r="R856" s="1301"/>
    </row>
    <row r="857" ht="14.25" customHeight="1">
      <c r="A857" s="128"/>
      <c r="B857" s="128"/>
      <c r="C857" s="128"/>
      <c r="D857" s="128"/>
      <c r="E857" s="1300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301"/>
      <c r="Q857" s="1301"/>
      <c r="R857" s="1301"/>
    </row>
    <row r="858" ht="14.25" customHeight="1">
      <c r="A858" s="128"/>
      <c r="B858" s="128"/>
      <c r="C858" s="128"/>
      <c r="D858" s="128"/>
      <c r="E858" s="1300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301"/>
      <c r="Q858" s="1301"/>
      <c r="R858" s="1301"/>
    </row>
    <row r="859" ht="14.25" customHeight="1">
      <c r="A859" s="128"/>
      <c r="B859" s="128"/>
      <c r="C859" s="128"/>
      <c r="D859" s="128"/>
      <c r="E859" s="1300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301"/>
      <c r="Q859" s="1301"/>
      <c r="R859" s="1301"/>
    </row>
    <row r="860" ht="14.25" customHeight="1">
      <c r="A860" s="128"/>
      <c r="B860" s="128"/>
      <c r="C860" s="128"/>
      <c r="D860" s="128"/>
      <c r="E860" s="1300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301"/>
      <c r="Q860" s="1301"/>
      <c r="R860" s="1301"/>
    </row>
    <row r="861" ht="14.25" customHeight="1">
      <c r="A861" s="128"/>
      <c r="B861" s="128"/>
      <c r="C861" s="128"/>
      <c r="D861" s="128"/>
      <c r="E861" s="1300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301"/>
      <c r="Q861" s="1301"/>
      <c r="R861" s="1301"/>
    </row>
    <row r="862" ht="14.25" customHeight="1">
      <c r="A862" s="128"/>
      <c r="B862" s="128"/>
      <c r="C862" s="128"/>
      <c r="D862" s="128"/>
      <c r="E862" s="1300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301"/>
      <c r="Q862" s="1301"/>
      <c r="R862" s="1301"/>
    </row>
    <row r="863" ht="14.25" customHeight="1">
      <c r="A863" s="128"/>
      <c r="B863" s="128"/>
      <c r="C863" s="128"/>
      <c r="D863" s="128"/>
      <c r="E863" s="1300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301"/>
      <c r="Q863" s="1301"/>
      <c r="R863" s="1301"/>
    </row>
    <row r="864" ht="14.25" customHeight="1">
      <c r="A864" s="128"/>
      <c r="B864" s="128"/>
      <c r="C864" s="128"/>
      <c r="D864" s="128"/>
      <c r="E864" s="1300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301"/>
      <c r="Q864" s="1301"/>
      <c r="R864" s="1301"/>
    </row>
    <row r="865" ht="14.25" customHeight="1">
      <c r="A865" s="128"/>
      <c r="B865" s="128"/>
      <c r="C865" s="128"/>
      <c r="D865" s="128"/>
      <c r="E865" s="1300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301"/>
      <c r="Q865" s="1301"/>
      <c r="R865" s="1301"/>
    </row>
    <row r="866" ht="14.25" customHeight="1">
      <c r="A866" s="128"/>
      <c r="B866" s="128"/>
      <c r="C866" s="128"/>
      <c r="D866" s="128"/>
      <c r="E866" s="1300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301"/>
      <c r="Q866" s="1301"/>
      <c r="R866" s="1301"/>
    </row>
    <row r="867" ht="14.25" customHeight="1">
      <c r="A867" s="128"/>
      <c r="B867" s="128"/>
      <c r="C867" s="128"/>
      <c r="D867" s="128"/>
      <c r="E867" s="1300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301"/>
      <c r="Q867" s="1301"/>
      <c r="R867" s="1301"/>
    </row>
    <row r="868" ht="14.25" customHeight="1">
      <c r="A868" s="128"/>
      <c r="B868" s="128"/>
      <c r="C868" s="128"/>
      <c r="D868" s="128"/>
      <c r="E868" s="1300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301"/>
      <c r="Q868" s="1301"/>
      <c r="R868" s="1301"/>
    </row>
    <row r="869" ht="14.25" customHeight="1">
      <c r="A869" s="128"/>
      <c r="B869" s="128"/>
      <c r="C869" s="128"/>
      <c r="D869" s="128"/>
      <c r="E869" s="1300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301"/>
      <c r="Q869" s="1301"/>
      <c r="R869" s="1301"/>
    </row>
    <row r="870" ht="14.25" customHeight="1">
      <c r="A870" s="128"/>
      <c r="B870" s="128"/>
      <c r="C870" s="128"/>
      <c r="D870" s="128"/>
      <c r="E870" s="1300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301"/>
      <c r="Q870" s="1301"/>
      <c r="R870" s="1301"/>
    </row>
    <row r="871" ht="14.25" customHeight="1">
      <c r="A871" s="128"/>
      <c r="B871" s="128"/>
      <c r="C871" s="128"/>
      <c r="D871" s="128"/>
      <c r="E871" s="1300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301"/>
      <c r="Q871" s="1301"/>
      <c r="R871" s="1301"/>
    </row>
    <row r="872" ht="14.25" customHeight="1">
      <c r="A872" s="128"/>
      <c r="B872" s="128"/>
      <c r="C872" s="128"/>
      <c r="D872" s="128"/>
      <c r="E872" s="1300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301"/>
      <c r="Q872" s="1301"/>
      <c r="R872" s="1301"/>
    </row>
    <row r="873" ht="14.25" customHeight="1">
      <c r="A873" s="128"/>
      <c r="B873" s="128"/>
      <c r="C873" s="128"/>
      <c r="D873" s="128"/>
      <c r="E873" s="1300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301"/>
      <c r="Q873" s="1301"/>
      <c r="R873" s="1301"/>
    </row>
    <row r="874" ht="14.25" customHeight="1">
      <c r="A874" s="128"/>
      <c r="B874" s="128"/>
      <c r="C874" s="128"/>
      <c r="D874" s="128"/>
      <c r="E874" s="1300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301"/>
      <c r="Q874" s="1301"/>
      <c r="R874" s="1301"/>
    </row>
    <row r="875" ht="14.25" customHeight="1">
      <c r="A875" s="128"/>
      <c r="B875" s="128"/>
      <c r="C875" s="128"/>
      <c r="D875" s="128"/>
      <c r="E875" s="1300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301"/>
      <c r="Q875" s="1301"/>
      <c r="R875" s="1301"/>
    </row>
    <row r="876" ht="14.25" customHeight="1">
      <c r="A876" s="128"/>
      <c r="B876" s="128"/>
      <c r="C876" s="128"/>
      <c r="D876" s="128"/>
      <c r="E876" s="1300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301"/>
      <c r="Q876" s="1301"/>
      <c r="R876" s="1301"/>
    </row>
    <row r="877" ht="14.25" customHeight="1">
      <c r="A877" s="128"/>
      <c r="B877" s="128"/>
      <c r="C877" s="128"/>
      <c r="D877" s="128"/>
      <c r="E877" s="1300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301"/>
      <c r="Q877" s="1301"/>
      <c r="R877" s="1301"/>
    </row>
    <row r="878" ht="14.25" customHeight="1">
      <c r="A878" s="128"/>
      <c r="B878" s="128"/>
      <c r="C878" s="128"/>
      <c r="D878" s="128"/>
      <c r="E878" s="1300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301"/>
      <c r="Q878" s="1301"/>
      <c r="R878" s="1301"/>
    </row>
    <row r="879" ht="14.25" customHeight="1">
      <c r="A879" s="128"/>
      <c r="B879" s="128"/>
      <c r="C879" s="128"/>
      <c r="D879" s="128"/>
      <c r="E879" s="1300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301"/>
      <c r="Q879" s="1301"/>
      <c r="R879" s="1301"/>
    </row>
    <row r="880" ht="14.25" customHeight="1">
      <c r="A880" s="128"/>
      <c r="B880" s="128"/>
      <c r="C880" s="128"/>
      <c r="D880" s="128"/>
      <c r="E880" s="1300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301"/>
      <c r="Q880" s="1301"/>
      <c r="R880" s="1301"/>
    </row>
    <row r="881" ht="14.25" customHeight="1">
      <c r="A881" s="128"/>
      <c r="B881" s="128"/>
      <c r="C881" s="128"/>
      <c r="D881" s="128"/>
      <c r="E881" s="1300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301"/>
      <c r="Q881" s="1301"/>
      <c r="R881" s="1301"/>
    </row>
    <row r="882" ht="14.25" customHeight="1">
      <c r="A882" s="128"/>
      <c r="B882" s="128"/>
      <c r="C882" s="128"/>
      <c r="D882" s="128"/>
      <c r="E882" s="1300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301"/>
      <c r="Q882" s="1301"/>
      <c r="R882" s="1301"/>
    </row>
    <row r="883" ht="14.25" customHeight="1">
      <c r="A883" s="128"/>
      <c r="B883" s="128"/>
      <c r="C883" s="128"/>
      <c r="D883" s="128"/>
      <c r="E883" s="1300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301"/>
      <c r="Q883" s="1301"/>
      <c r="R883" s="1301"/>
    </row>
    <row r="884" ht="14.25" customHeight="1">
      <c r="A884" s="128"/>
      <c r="B884" s="128"/>
      <c r="C884" s="128"/>
      <c r="D884" s="128"/>
      <c r="E884" s="1300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301"/>
      <c r="Q884" s="1301"/>
      <c r="R884" s="1301"/>
    </row>
    <row r="885" ht="14.25" customHeight="1">
      <c r="A885" s="128"/>
      <c r="B885" s="128"/>
      <c r="C885" s="128"/>
      <c r="D885" s="128"/>
      <c r="E885" s="1300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301"/>
      <c r="Q885" s="1301"/>
      <c r="R885" s="1301"/>
    </row>
    <row r="886" ht="14.25" customHeight="1">
      <c r="A886" s="128"/>
      <c r="B886" s="128"/>
      <c r="C886" s="128"/>
      <c r="D886" s="128"/>
      <c r="E886" s="1300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301"/>
      <c r="Q886" s="1301"/>
      <c r="R886" s="1301"/>
    </row>
    <row r="887" ht="14.25" customHeight="1">
      <c r="A887" s="128"/>
      <c r="B887" s="128"/>
      <c r="C887" s="128"/>
      <c r="D887" s="128"/>
      <c r="E887" s="1300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301"/>
      <c r="Q887" s="1301"/>
      <c r="R887" s="1301"/>
    </row>
    <row r="888" ht="14.25" customHeight="1">
      <c r="A888" s="128"/>
      <c r="B888" s="128"/>
      <c r="C888" s="128"/>
      <c r="D888" s="128"/>
      <c r="E888" s="1300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301"/>
      <c r="Q888" s="1301"/>
      <c r="R888" s="1301"/>
    </row>
    <row r="889" ht="14.25" customHeight="1">
      <c r="A889" s="128"/>
      <c r="B889" s="128"/>
      <c r="C889" s="128"/>
      <c r="D889" s="128"/>
      <c r="E889" s="1300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301"/>
      <c r="Q889" s="1301"/>
      <c r="R889" s="1301"/>
    </row>
    <row r="890" ht="14.25" customHeight="1">
      <c r="A890" s="128"/>
      <c r="B890" s="128"/>
      <c r="C890" s="128"/>
      <c r="D890" s="128"/>
      <c r="E890" s="1300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301"/>
      <c r="Q890" s="1301"/>
      <c r="R890" s="1301"/>
    </row>
    <row r="891" ht="14.25" customHeight="1">
      <c r="A891" s="128"/>
      <c r="B891" s="128"/>
      <c r="C891" s="128"/>
      <c r="D891" s="128"/>
      <c r="E891" s="1300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301"/>
      <c r="Q891" s="1301"/>
      <c r="R891" s="1301"/>
    </row>
    <row r="892" ht="14.25" customHeight="1">
      <c r="A892" s="128"/>
      <c r="B892" s="128"/>
      <c r="C892" s="128"/>
      <c r="D892" s="128"/>
      <c r="E892" s="1300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301"/>
      <c r="Q892" s="1301"/>
      <c r="R892" s="1301"/>
    </row>
    <row r="893" ht="14.25" customHeight="1">
      <c r="A893" s="128"/>
      <c r="B893" s="128"/>
      <c r="C893" s="128"/>
      <c r="D893" s="128"/>
      <c r="E893" s="1300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301"/>
      <c r="Q893" s="1301"/>
      <c r="R893" s="1301"/>
    </row>
    <row r="894" ht="14.25" customHeight="1">
      <c r="A894" s="128"/>
      <c r="B894" s="128"/>
      <c r="C894" s="128"/>
      <c r="D894" s="128"/>
      <c r="E894" s="1300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301"/>
      <c r="Q894" s="1301"/>
      <c r="R894" s="1301"/>
    </row>
    <row r="895" ht="14.25" customHeight="1">
      <c r="A895" s="128"/>
      <c r="B895" s="128"/>
      <c r="C895" s="128"/>
      <c r="D895" s="128"/>
      <c r="E895" s="1300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301"/>
      <c r="Q895" s="1301"/>
      <c r="R895" s="1301"/>
    </row>
    <row r="896" ht="14.25" customHeight="1">
      <c r="A896" s="128"/>
      <c r="B896" s="128"/>
      <c r="C896" s="128"/>
      <c r="D896" s="128"/>
      <c r="E896" s="1300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301"/>
      <c r="Q896" s="1301"/>
      <c r="R896" s="1301"/>
    </row>
    <row r="897" ht="14.25" customHeight="1">
      <c r="A897" s="128"/>
      <c r="B897" s="128"/>
      <c r="C897" s="128"/>
      <c r="D897" s="128"/>
      <c r="E897" s="1300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301"/>
      <c r="Q897" s="1301"/>
      <c r="R897" s="1301"/>
    </row>
    <row r="898" ht="14.25" customHeight="1">
      <c r="A898" s="128"/>
      <c r="B898" s="128"/>
      <c r="C898" s="128"/>
      <c r="D898" s="128"/>
      <c r="E898" s="1300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301"/>
      <c r="Q898" s="1301"/>
      <c r="R898" s="1301"/>
    </row>
    <row r="899" ht="14.25" customHeight="1">
      <c r="A899" s="128"/>
      <c r="B899" s="128"/>
      <c r="C899" s="128"/>
      <c r="D899" s="128"/>
      <c r="E899" s="1300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301"/>
      <c r="Q899" s="1301"/>
      <c r="R899" s="1301"/>
    </row>
    <row r="900" ht="14.25" customHeight="1">
      <c r="A900" s="128"/>
      <c r="B900" s="128"/>
      <c r="C900" s="128"/>
      <c r="D900" s="128"/>
      <c r="E900" s="1300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301"/>
      <c r="Q900" s="1301"/>
      <c r="R900" s="1301"/>
    </row>
    <row r="901" ht="14.25" customHeight="1">
      <c r="A901" s="128"/>
      <c r="B901" s="128"/>
      <c r="C901" s="128"/>
      <c r="D901" s="128"/>
      <c r="E901" s="1300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301"/>
      <c r="Q901" s="1301"/>
      <c r="R901" s="1301"/>
    </row>
    <row r="902" ht="14.25" customHeight="1">
      <c r="A902" s="128"/>
      <c r="B902" s="128"/>
      <c r="C902" s="128"/>
      <c r="D902" s="128"/>
      <c r="E902" s="1300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301"/>
      <c r="Q902" s="1301"/>
      <c r="R902" s="1301"/>
    </row>
    <row r="903" ht="14.25" customHeight="1">
      <c r="A903" s="128"/>
      <c r="B903" s="128"/>
      <c r="C903" s="128"/>
      <c r="D903" s="128"/>
      <c r="E903" s="1300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301"/>
      <c r="Q903" s="1301"/>
      <c r="R903" s="1301"/>
    </row>
    <row r="904" ht="14.25" customHeight="1">
      <c r="A904" s="128"/>
      <c r="B904" s="128"/>
      <c r="C904" s="128"/>
      <c r="D904" s="128"/>
      <c r="E904" s="1300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301"/>
      <c r="Q904" s="1301"/>
      <c r="R904" s="1301"/>
    </row>
    <row r="905" ht="14.25" customHeight="1">
      <c r="A905" s="128"/>
      <c r="B905" s="128"/>
      <c r="C905" s="128"/>
      <c r="D905" s="128"/>
      <c r="E905" s="1300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301"/>
      <c r="Q905" s="1301"/>
      <c r="R905" s="1301"/>
    </row>
    <row r="906" ht="14.25" customHeight="1">
      <c r="A906" s="128"/>
      <c r="B906" s="128"/>
      <c r="C906" s="128"/>
      <c r="D906" s="128"/>
      <c r="E906" s="1300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301"/>
      <c r="Q906" s="1301"/>
      <c r="R906" s="1301"/>
    </row>
    <row r="907" ht="14.25" customHeight="1">
      <c r="A907" s="128"/>
      <c r="B907" s="128"/>
      <c r="C907" s="128"/>
      <c r="D907" s="128"/>
      <c r="E907" s="1300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301"/>
      <c r="Q907" s="1301"/>
      <c r="R907" s="1301"/>
    </row>
    <row r="908" ht="14.25" customHeight="1">
      <c r="A908" s="128"/>
      <c r="B908" s="128"/>
      <c r="C908" s="128"/>
      <c r="D908" s="128"/>
      <c r="E908" s="1300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301"/>
      <c r="Q908" s="1301"/>
      <c r="R908" s="1301"/>
    </row>
    <row r="909" ht="14.25" customHeight="1">
      <c r="A909" s="128"/>
      <c r="B909" s="128"/>
      <c r="C909" s="128"/>
      <c r="D909" s="128"/>
      <c r="E909" s="1300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301"/>
      <c r="Q909" s="1301"/>
      <c r="R909" s="1301"/>
    </row>
    <row r="910" ht="14.25" customHeight="1">
      <c r="A910" s="128"/>
      <c r="B910" s="128"/>
      <c r="C910" s="128"/>
      <c r="D910" s="128"/>
      <c r="E910" s="1300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301"/>
      <c r="Q910" s="1301"/>
      <c r="R910" s="1301"/>
    </row>
    <row r="911" ht="14.25" customHeight="1">
      <c r="A911" s="128"/>
      <c r="B911" s="128"/>
      <c r="C911" s="128"/>
      <c r="D911" s="128"/>
      <c r="E911" s="1300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301"/>
      <c r="Q911" s="1301"/>
      <c r="R911" s="1301"/>
    </row>
    <row r="912" ht="14.25" customHeight="1">
      <c r="A912" s="128"/>
      <c r="B912" s="128"/>
      <c r="C912" s="128"/>
      <c r="D912" s="128"/>
      <c r="E912" s="1300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301"/>
      <c r="Q912" s="1301"/>
      <c r="R912" s="1301"/>
    </row>
    <row r="913" ht="14.25" customHeight="1">
      <c r="A913" s="128"/>
      <c r="B913" s="128"/>
      <c r="C913" s="128"/>
      <c r="D913" s="128"/>
      <c r="E913" s="1300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301"/>
      <c r="Q913" s="1301"/>
      <c r="R913" s="1301"/>
    </row>
    <row r="914" ht="14.25" customHeight="1">
      <c r="A914" s="128"/>
      <c r="B914" s="128"/>
      <c r="C914" s="128"/>
      <c r="D914" s="128"/>
      <c r="E914" s="1300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301"/>
      <c r="Q914" s="1301"/>
      <c r="R914" s="1301"/>
    </row>
    <row r="915" ht="14.25" customHeight="1">
      <c r="A915" s="128"/>
      <c r="B915" s="128"/>
      <c r="C915" s="128"/>
      <c r="D915" s="128"/>
      <c r="E915" s="1300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301"/>
      <c r="Q915" s="1301"/>
      <c r="R915" s="1301"/>
    </row>
    <row r="916" ht="14.25" customHeight="1">
      <c r="A916" s="128"/>
      <c r="B916" s="128"/>
      <c r="C916" s="128"/>
      <c r="D916" s="128"/>
      <c r="E916" s="1300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301"/>
      <c r="Q916" s="1301"/>
      <c r="R916" s="1301"/>
    </row>
    <row r="917" ht="14.25" customHeight="1">
      <c r="A917" s="128"/>
      <c r="B917" s="128"/>
      <c r="C917" s="128"/>
      <c r="D917" s="128"/>
      <c r="E917" s="1300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301"/>
      <c r="Q917" s="1301"/>
      <c r="R917" s="1301"/>
    </row>
    <row r="918" ht="14.25" customHeight="1">
      <c r="A918" s="128"/>
      <c r="B918" s="128"/>
      <c r="C918" s="128"/>
      <c r="D918" s="128"/>
      <c r="E918" s="1300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301"/>
      <c r="Q918" s="1301"/>
      <c r="R918" s="1301"/>
    </row>
    <row r="919" ht="14.25" customHeight="1">
      <c r="A919" s="128"/>
      <c r="B919" s="128"/>
      <c r="C919" s="128"/>
      <c r="D919" s="128"/>
      <c r="E919" s="1300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301"/>
      <c r="Q919" s="1301"/>
      <c r="R919" s="1301"/>
    </row>
    <row r="920" ht="14.25" customHeight="1">
      <c r="A920" s="128"/>
      <c r="B920" s="128"/>
      <c r="C920" s="128"/>
      <c r="D920" s="128"/>
      <c r="E920" s="1300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301"/>
      <c r="Q920" s="1301"/>
      <c r="R920" s="1301"/>
    </row>
    <row r="921" ht="14.25" customHeight="1">
      <c r="A921" s="128"/>
      <c r="B921" s="128"/>
      <c r="C921" s="128"/>
      <c r="D921" s="128"/>
      <c r="E921" s="1300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301"/>
      <c r="Q921" s="1301"/>
      <c r="R921" s="1301"/>
    </row>
    <row r="922" ht="14.25" customHeight="1">
      <c r="A922" s="128"/>
      <c r="B922" s="128"/>
      <c r="C922" s="128"/>
      <c r="D922" s="128"/>
      <c r="E922" s="1300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301"/>
      <c r="Q922" s="1301"/>
      <c r="R922" s="1301"/>
    </row>
    <row r="923" ht="14.25" customHeight="1">
      <c r="A923" s="128"/>
      <c r="B923" s="128"/>
      <c r="C923" s="128"/>
      <c r="D923" s="128"/>
      <c r="E923" s="1300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301"/>
      <c r="Q923" s="1301"/>
      <c r="R923" s="1301"/>
    </row>
    <row r="924" ht="14.25" customHeight="1">
      <c r="A924" s="128"/>
      <c r="B924" s="128"/>
      <c r="C924" s="128"/>
      <c r="D924" s="128"/>
      <c r="E924" s="1300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301"/>
      <c r="Q924" s="1301"/>
      <c r="R924" s="1301"/>
    </row>
    <row r="925" ht="14.25" customHeight="1">
      <c r="A925" s="128"/>
      <c r="B925" s="128"/>
      <c r="C925" s="128"/>
      <c r="D925" s="128"/>
      <c r="E925" s="1300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301"/>
      <c r="Q925" s="1301"/>
      <c r="R925" s="1301"/>
    </row>
    <row r="926" ht="14.25" customHeight="1">
      <c r="A926" s="128"/>
      <c r="B926" s="128"/>
      <c r="C926" s="128"/>
      <c r="D926" s="128"/>
      <c r="E926" s="1300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301"/>
      <c r="Q926" s="1301"/>
      <c r="R926" s="1301"/>
    </row>
    <row r="927" ht="14.25" customHeight="1">
      <c r="A927" s="128"/>
      <c r="B927" s="128"/>
      <c r="C927" s="128"/>
      <c r="D927" s="128"/>
      <c r="E927" s="1300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301"/>
      <c r="Q927" s="1301"/>
      <c r="R927" s="1301"/>
    </row>
    <row r="928" ht="14.25" customHeight="1">
      <c r="A928" s="128"/>
      <c r="B928" s="128"/>
      <c r="C928" s="128"/>
      <c r="D928" s="128"/>
      <c r="E928" s="1300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301"/>
      <c r="Q928" s="1301"/>
      <c r="R928" s="1301"/>
    </row>
    <row r="929" ht="14.25" customHeight="1">
      <c r="A929" s="128"/>
      <c r="B929" s="128"/>
      <c r="C929" s="128"/>
      <c r="D929" s="128"/>
      <c r="E929" s="1300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301"/>
      <c r="Q929" s="1301"/>
      <c r="R929" s="1301"/>
    </row>
    <row r="930" ht="14.25" customHeight="1">
      <c r="A930" s="128"/>
      <c r="B930" s="128"/>
      <c r="C930" s="128"/>
      <c r="D930" s="128"/>
      <c r="E930" s="1300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301"/>
      <c r="Q930" s="1301"/>
      <c r="R930" s="1301"/>
    </row>
    <row r="931" ht="14.25" customHeight="1">
      <c r="A931" s="128"/>
      <c r="B931" s="128"/>
      <c r="C931" s="128"/>
      <c r="D931" s="128"/>
      <c r="E931" s="1300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301"/>
      <c r="Q931" s="1301"/>
      <c r="R931" s="1301"/>
    </row>
    <row r="932" ht="14.25" customHeight="1">
      <c r="A932" s="128"/>
      <c r="B932" s="128"/>
      <c r="C932" s="128"/>
      <c r="D932" s="128"/>
      <c r="E932" s="1300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301"/>
      <c r="Q932" s="1301"/>
      <c r="R932" s="1301"/>
    </row>
    <row r="933" ht="14.25" customHeight="1">
      <c r="A933" s="128"/>
      <c r="B933" s="128"/>
      <c r="C933" s="128"/>
      <c r="D933" s="128"/>
      <c r="E933" s="1300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301"/>
      <c r="Q933" s="1301"/>
      <c r="R933" s="1301"/>
    </row>
    <row r="934" ht="14.25" customHeight="1">
      <c r="A934" s="128"/>
      <c r="B934" s="128"/>
      <c r="C934" s="128"/>
      <c r="D934" s="128"/>
      <c r="E934" s="1300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301"/>
      <c r="Q934" s="1301"/>
      <c r="R934" s="1301"/>
    </row>
    <row r="935" ht="14.25" customHeight="1">
      <c r="A935" s="128"/>
      <c r="B935" s="128"/>
      <c r="C935" s="128"/>
      <c r="D935" s="128"/>
      <c r="E935" s="1300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301"/>
      <c r="Q935" s="1301"/>
      <c r="R935" s="1301"/>
    </row>
    <row r="936" ht="14.25" customHeight="1">
      <c r="A936" s="128"/>
      <c r="B936" s="128"/>
      <c r="C936" s="128"/>
      <c r="D936" s="128"/>
      <c r="E936" s="1300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301"/>
      <c r="Q936" s="1301"/>
      <c r="R936" s="1301"/>
    </row>
    <row r="937" ht="14.25" customHeight="1">
      <c r="A937" s="128"/>
      <c r="B937" s="128"/>
      <c r="C937" s="128"/>
      <c r="D937" s="128"/>
      <c r="E937" s="1300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301"/>
      <c r="Q937" s="1301"/>
      <c r="R937" s="1301"/>
    </row>
    <row r="938" ht="14.25" customHeight="1">
      <c r="A938" s="128"/>
      <c r="B938" s="128"/>
      <c r="C938" s="128"/>
      <c r="D938" s="128"/>
      <c r="E938" s="1300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301"/>
      <c r="Q938" s="1301"/>
      <c r="R938" s="1301"/>
    </row>
    <row r="939" ht="14.25" customHeight="1">
      <c r="A939" s="128"/>
      <c r="B939" s="128"/>
      <c r="C939" s="128"/>
      <c r="D939" s="128"/>
      <c r="E939" s="1300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301"/>
      <c r="Q939" s="1301"/>
      <c r="R939" s="1301"/>
    </row>
    <row r="940" ht="14.25" customHeight="1">
      <c r="A940" s="128"/>
      <c r="B940" s="128"/>
      <c r="C940" s="128"/>
      <c r="D940" s="128"/>
      <c r="E940" s="1300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301"/>
      <c r="Q940" s="1301"/>
      <c r="R940" s="1301"/>
    </row>
    <row r="941" ht="14.25" customHeight="1">
      <c r="A941" s="128"/>
      <c r="B941" s="128"/>
      <c r="C941" s="128"/>
      <c r="D941" s="128"/>
      <c r="E941" s="1300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301"/>
      <c r="Q941" s="1301"/>
      <c r="R941" s="1301"/>
    </row>
    <row r="942" ht="14.25" customHeight="1">
      <c r="A942" s="128"/>
      <c r="B942" s="128"/>
      <c r="C942" s="128"/>
      <c r="D942" s="128"/>
      <c r="E942" s="1300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301"/>
      <c r="Q942" s="1301"/>
      <c r="R942" s="1301"/>
    </row>
    <row r="943" ht="14.25" customHeight="1">
      <c r="A943" s="128"/>
      <c r="B943" s="128"/>
      <c r="C943" s="128"/>
      <c r="D943" s="128"/>
      <c r="E943" s="1300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301"/>
      <c r="Q943" s="1301"/>
      <c r="R943" s="1301"/>
    </row>
    <row r="944" ht="14.25" customHeight="1">
      <c r="A944" s="128"/>
      <c r="B944" s="128"/>
      <c r="C944" s="128"/>
      <c r="D944" s="128"/>
      <c r="E944" s="1300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301"/>
      <c r="Q944" s="1301"/>
      <c r="R944" s="1301"/>
    </row>
    <row r="945" ht="14.25" customHeight="1">
      <c r="A945" s="128"/>
      <c r="B945" s="128"/>
      <c r="C945" s="128"/>
      <c r="D945" s="128"/>
      <c r="E945" s="1300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301"/>
      <c r="Q945" s="1301"/>
      <c r="R945" s="1301"/>
    </row>
    <row r="946" ht="14.25" customHeight="1">
      <c r="A946" s="128"/>
      <c r="B946" s="128"/>
      <c r="C946" s="128"/>
      <c r="D946" s="128"/>
      <c r="E946" s="1300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301"/>
      <c r="Q946" s="1301"/>
      <c r="R946" s="1301"/>
    </row>
    <row r="947" ht="14.25" customHeight="1">
      <c r="A947" s="128"/>
      <c r="B947" s="128"/>
      <c r="C947" s="128"/>
      <c r="D947" s="128"/>
      <c r="E947" s="1300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301"/>
      <c r="Q947" s="1301"/>
      <c r="R947" s="1301"/>
    </row>
    <row r="948" ht="14.25" customHeight="1">
      <c r="A948" s="128"/>
      <c r="B948" s="128"/>
      <c r="C948" s="128"/>
      <c r="D948" s="128"/>
      <c r="E948" s="1300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301"/>
      <c r="Q948" s="1301"/>
      <c r="R948" s="1301"/>
    </row>
    <row r="949" ht="14.25" customHeight="1">
      <c r="A949" s="128"/>
      <c r="B949" s="128"/>
      <c r="C949" s="128"/>
      <c r="D949" s="128"/>
      <c r="E949" s="1300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301"/>
      <c r="Q949" s="1301"/>
      <c r="R949" s="1301"/>
    </row>
    <row r="950" ht="14.25" customHeight="1">
      <c r="A950" s="128"/>
      <c r="B950" s="128"/>
      <c r="C950" s="128"/>
      <c r="D950" s="128"/>
      <c r="E950" s="1300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301"/>
      <c r="Q950" s="1301"/>
      <c r="R950" s="1301"/>
    </row>
    <row r="951" ht="14.25" customHeight="1">
      <c r="A951" s="128"/>
      <c r="B951" s="128"/>
      <c r="C951" s="128"/>
      <c r="D951" s="128"/>
      <c r="E951" s="1300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301"/>
      <c r="Q951" s="1301"/>
      <c r="R951" s="1301"/>
    </row>
    <row r="952" ht="14.25" customHeight="1">
      <c r="A952" s="128"/>
      <c r="B952" s="128"/>
      <c r="C952" s="128"/>
      <c r="D952" s="128"/>
      <c r="E952" s="1300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301"/>
      <c r="Q952" s="1301"/>
      <c r="R952" s="1301"/>
    </row>
    <row r="953" ht="14.25" customHeight="1">
      <c r="A953" s="128"/>
      <c r="B953" s="128"/>
      <c r="C953" s="128"/>
      <c r="D953" s="128"/>
      <c r="E953" s="1300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301"/>
      <c r="Q953" s="1301"/>
      <c r="R953" s="1301"/>
    </row>
    <row r="954" ht="14.25" customHeight="1">
      <c r="A954" s="128"/>
      <c r="B954" s="128"/>
      <c r="C954" s="128"/>
      <c r="D954" s="128"/>
      <c r="E954" s="1300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301"/>
      <c r="Q954" s="1301"/>
      <c r="R954" s="1301"/>
    </row>
    <row r="955" ht="14.25" customHeight="1">
      <c r="A955" s="128"/>
      <c r="B955" s="128"/>
      <c r="C955" s="128"/>
      <c r="D955" s="128"/>
      <c r="E955" s="1300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301"/>
      <c r="Q955" s="1301"/>
      <c r="R955" s="1301"/>
    </row>
    <row r="956" ht="14.25" customHeight="1">
      <c r="A956" s="128"/>
      <c r="B956" s="128"/>
      <c r="C956" s="128"/>
      <c r="D956" s="128"/>
      <c r="E956" s="1300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301"/>
      <c r="Q956" s="1301"/>
      <c r="R956" s="1301"/>
    </row>
    <row r="957" ht="14.25" customHeight="1">
      <c r="A957" s="128"/>
      <c r="B957" s="128"/>
      <c r="C957" s="128"/>
      <c r="D957" s="128"/>
      <c r="E957" s="1300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301"/>
      <c r="Q957" s="1301"/>
      <c r="R957" s="1301"/>
    </row>
    <row r="958" ht="14.25" customHeight="1">
      <c r="A958" s="128"/>
      <c r="B958" s="128"/>
      <c r="C958" s="128"/>
      <c r="D958" s="128"/>
      <c r="E958" s="1300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301"/>
      <c r="Q958" s="1301"/>
      <c r="R958" s="1301"/>
    </row>
    <row r="959" ht="14.25" customHeight="1">
      <c r="A959" s="128"/>
      <c r="B959" s="128"/>
      <c r="C959" s="128"/>
      <c r="D959" s="128"/>
      <c r="E959" s="1300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301"/>
      <c r="Q959" s="1301"/>
      <c r="R959" s="1301"/>
    </row>
    <row r="960" ht="14.25" customHeight="1">
      <c r="A960" s="128"/>
      <c r="B960" s="128"/>
      <c r="C960" s="128"/>
      <c r="D960" s="128"/>
      <c r="E960" s="1300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301"/>
      <c r="Q960" s="1301"/>
      <c r="R960" s="1301"/>
    </row>
    <row r="961" ht="14.25" customHeight="1">
      <c r="A961" s="128"/>
      <c r="B961" s="128"/>
      <c r="C961" s="128"/>
      <c r="D961" s="128"/>
      <c r="E961" s="1300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301"/>
      <c r="Q961" s="1301"/>
      <c r="R961" s="1301"/>
    </row>
    <row r="962" ht="14.25" customHeight="1">
      <c r="A962" s="128"/>
      <c r="B962" s="128"/>
      <c r="C962" s="128"/>
      <c r="D962" s="128"/>
      <c r="E962" s="1300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301"/>
      <c r="Q962" s="1301"/>
      <c r="R962" s="1301"/>
    </row>
    <row r="963" ht="14.25" customHeight="1">
      <c r="A963" s="128"/>
      <c r="B963" s="128"/>
      <c r="C963" s="128"/>
      <c r="D963" s="128"/>
      <c r="E963" s="1300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301"/>
      <c r="Q963" s="1301"/>
      <c r="R963" s="1301"/>
    </row>
    <row r="964" ht="14.25" customHeight="1">
      <c r="A964" s="128"/>
      <c r="B964" s="128"/>
      <c r="C964" s="128"/>
      <c r="D964" s="128"/>
      <c r="E964" s="1300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301"/>
      <c r="Q964" s="1301"/>
      <c r="R964" s="1301"/>
    </row>
    <row r="965" ht="14.25" customHeight="1">
      <c r="A965" s="128"/>
      <c r="B965" s="128"/>
      <c r="C965" s="128"/>
      <c r="D965" s="128"/>
      <c r="E965" s="1300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301"/>
      <c r="Q965" s="1301"/>
      <c r="R965" s="1301"/>
    </row>
    <row r="966" ht="14.25" customHeight="1">
      <c r="A966" s="128"/>
      <c r="B966" s="128"/>
      <c r="C966" s="128"/>
      <c r="D966" s="128"/>
      <c r="E966" s="1300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301"/>
      <c r="Q966" s="1301"/>
      <c r="R966" s="1301"/>
    </row>
    <row r="967" ht="14.25" customHeight="1">
      <c r="A967" s="128"/>
      <c r="B967" s="128"/>
      <c r="C967" s="128"/>
      <c r="D967" s="128"/>
      <c r="E967" s="1300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301"/>
      <c r="Q967" s="1301"/>
      <c r="R967" s="1301"/>
    </row>
    <row r="968" ht="14.25" customHeight="1">
      <c r="A968" s="128"/>
      <c r="B968" s="128"/>
      <c r="C968" s="128"/>
      <c r="D968" s="128"/>
      <c r="E968" s="1300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301"/>
      <c r="Q968" s="1301"/>
      <c r="R968" s="1301"/>
    </row>
    <row r="969" ht="14.25" customHeight="1">
      <c r="A969" s="128"/>
      <c r="B969" s="128"/>
      <c r="C969" s="128"/>
      <c r="D969" s="128"/>
      <c r="E969" s="1300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301"/>
      <c r="Q969" s="1301"/>
      <c r="R969" s="1301"/>
    </row>
    <row r="970" ht="14.25" customHeight="1">
      <c r="A970" s="128"/>
      <c r="B970" s="128"/>
      <c r="C970" s="128"/>
      <c r="D970" s="128"/>
      <c r="E970" s="1300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301"/>
      <c r="Q970" s="1301"/>
      <c r="R970" s="1301"/>
    </row>
    <row r="971" ht="14.25" customHeight="1">
      <c r="A971" s="128"/>
      <c r="B971" s="128"/>
      <c r="C971" s="128"/>
      <c r="D971" s="128"/>
      <c r="E971" s="1300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301"/>
      <c r="Q971" s="1301"/>
      <c r="R971" s="1301"/>
    </row>
    <row r="972" ht="14.25" customHeight="1">
      <c r="A972" s="128"/>
      <c r="B972" s="128"/>
      <c r="C972" s="128"/>
      <c r="D972" s="128"/>
      <c r="E972" s="1300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301"/>
      <c r="Q972" s="1301"/>
      <c r="R972" s="1301"/>
    </row>
    <row r="973" ht="14.25" customHeight="1">
      <c r="A973" s="128"/>
      <c r="B973" s="128"/>
      <c r="C973" s="128"/>
      <c r="D973" s="128"/>
      <c r="E973" s="1300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301"/>
      <c r="Q973" s="1301"/>
      <c r="R973" s="1301"/>
    </row>
    <row r="974" ht="14.25" customHeight="1">
      <c r="A974" s="128"/>
      <c r="B974" s="128"/>
      <c r="C974" s="128"/>
      <c r="D974" s="128"/>
      <c r="E974" s="1300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301"/>
      <c r="Q974" s="1301"/>
      <c r="R974" s="1301"/>
    </row>
    <row r="975" ht="14.25" customHeight="1">
      <c r="A975" s="128"/>
      <c r="B975" s="128"/>
      <c r="C975" s="128"/>
      <c r="D975" s="128"/>
      <c r="E975" s="1300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301"/>
      <c r="Q975" s="1301"/>
      <c r="R975" s="1301"/>
    </row>
    <row r="976" ht="14.25" customHeight="1">
      <c r="A976" s="128"/>
      <c r="B976" s="128"/>
      <c r="C976" s="128"/>
      <c r="D976" s="128"/>
      <c r="E976" s="1300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301"/>
      <c r="Q976" s="1301"/>
      <c r="R976" s="1301"/>
    </row>
    <row r="977" ht="14.25" customHeight="1">
      <c r="A977" s="128"/>
      <c r="B977" s="128"/>
      <c r="C977" s="128"/>
      <c r="D977" s="128"/>
      <c r="E977" s="1300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301"/>
      <c r="Q977" s="1301"/>
      <c r="R977" s="1301"/>
    </row>
    <row r="978" ht="14.25" customHeight="1">
      <c r="A978" s="128"/>
      <c r="B978" s="128"/>
      <c r="C978" s="128"/>
      <c r="D978" s="128"/>
      <c r="E978" s="1300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301"/>
      <c r="Q978" s="1301"/>
      <c r="R978" s="1301"/>
    </row>
    <row r="979" ht="14.25" customHeight="1">
      <c r="A979" s="128"/>
      <c r="B979" s="128"/>
      <c r="C979" s="128"/>
      <c r="D979" s="128"/>
      <c r="E979" s="1300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301"/>
      <c r="Q979" s="1301"/>
      <c r="R979" s="1301"/>
    </row>
    <row r="980" ht="14.25" customHeight="1">
      <c r="A980" s="128"/>
      <c r="B980" s="128"/>
      <c r="C980" s="128"/>
      <c r="D980" s="128"/>
      <c r="E980" s="1300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301"/>
      <c r="Q980" s="1301"/>
      <c r="R980" s="1301"/>
    </row>
    <row r="981" ht="14.25" customHeight="1">
      <c r="A981" s="128"/>
      <c r="B981" s="128"/>
      <c r="C981" s="128"/>
      <c r="D981" s="128"/>
      <c r="E981" s="1300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301"/>
      <c r="Q981" s="1301"/>
      <c r="R981" s="1301"/>
    </row>
    <row r="982" ht="14.25" customHeight="1">
      <c r="A982" s="128"/>
      <c r="B982" s="128"/>
      <c r="C982" s="128"/>
      <c r="D982" s="128"/>
      <c r="E982" s="1300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301"/>
      <c r="Q982" s="1301"/>
      <c r="R982" s="1301"/>
    </row>
    <row r="983" ht="14.25" customHeight="1">
      <c r="A983" s="128"/>
      <c r="B983" s="128"/>
      <c r="C983" s="128"/>
      <c r="D983" s="128"/>
      <c r="E983" s="1300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301"/>
      <c r="Q983" s="1301"/>
      <c r="R983" s="1301"/>
    </row>
    <row r="984" ht="14.25" customHeight="1">
      <c r="A984" s="128"/>
      <c r="B984" s="128"/>
      <c r="C984" s="128"/>
      <c r="D984" s="128"/>
      <c r="E984" s="1300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301"/>
      <c r="Q984" s="1301"/>
      <c r="R984" s="1301"/>
    </row>
    <row r="985" ht="14.25" customHeight="1">
      <c r="A985" s="128"/>
      <c r="B985" s="128"/>
      <c r="C985" s="128"/>
      <c r="D985" s="128"/>
      <c r="E985" s="1300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301"/>
      <c r="Q985" s="1301"/>
      <c r="R985" s="1301"/>
    </row>
    <row r="986" ht="14.25" customHeight="1">
      <c r="A986" s="128"/>
      <c r="B986" s="128"/>
      <c r="C986" s="128"/>
      <c r="D986" s="128"/>
      <c r="E986" s="1300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301"/>
      <c r="Q986" s="1301"/>
      <c r="R986" s="1301"/>
    </row>
    <row r="987" ht="14.25" customHeight="1">
      <c r="A987" s="128"/>
      <c r="B987" s="128"/>
      <c r="C987" s="128"/>
      <c r="D987" s="128"/>
      <c r="E987" s="1300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301"/>
      <c r="Q987" s="1301"/>
      <c r="R987" s="1301"/>
    </row>
    <row r="988" ht="14.25" customHeight="1">
      <c r="A988" s="128"/>
      <c r="B988" s="128"/>
      <c r="C988" s="128"/>
      <c r="D988" s="128"/>
      <c r="E988" s="1300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301"/>
      <c r="Q988" s="1301"/>
      <c r="R988" s="1301"/>
    </row>
    <row r="989" ht="14.25" customHeight="1">
      <c r="A989" s="128"/>
      <c r="B989" s="128"/>
      <c r="C989" s="128"/>
      <c r="D989" s="128"/>
      <c r="E989" s="1300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301"/>
      <c r="Q989" s="1301"/>
      <c r="R989" s="1301"/>
    </row>
    <row r="990" ht="14.25" customHeight="1">
      <c r="A990" s="128"/>
      <c r="B990" s="128"/>
      <c r="C990" s="128"/>
      <c r="D990" s="128"/>
      <c r="E990" s="1300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301"/>
      <c r="Q990" s="1301"/>
      <c r="R990" s="1301"/>
    </row>
    <row r="991" ht="14.25" customHeight="1">
      <c r="A991" s="128"/>
      <c r="B991" s="128"/>
      <c r="C991" s="128"/>
      <c r="D991" s="128"/>
      <c r="E991" s="1300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301"/>
      <c r="Q991" s="1301"/>
      <c r="R991" s="1301"/>
    </row>
    <row r="992" ht="14.25" customHeight="1">
      <c r="A992" s="128"/>
      <c r="B992" s="128"/>
      <c r="C992" s="128"/>
      <c r="D992" s="128"/>
      <c r="E992" s="1300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301"/>
      <c r="Q992" s="1301"/>
      <c r="R992" s="1301"/>
    </row>
    <row r="993" ht="14.25" customHeight="1">
      <c r="A993" s="128"/>
      <c r="B993" s="128"/>
      <c r="C993" s="128"/>
      <c r="D993" s="128"/>
      <c r="E993" s="1300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301"/>
      <c r="Q993" s="1301"/>
      <c r="R993" s="1301"/>
    </row>
    <row r="994" ht="14.25" customHeight="1">
      <c r="A994" s="128"/>
      <c r="B994" s="128"/>
      <c r="C994" s="128"/>
      <c r="D994" s="128"/>
      <c r="E994" s="1300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301"/>
      <c r="Q994" s="1301"/>
      <c r="R994" s="1301"/>
    </row>
    <row r="995" ht="14.25" customHeight="1">
      <c r="A995" s="128"/>
      <c r="B995" s="128"/>
      <c r="C995" s="128"/>
      <c r="D995" s="128"/>
      <c r="E995" s="1300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301"/>
      <c r="Q995" s="1301"/>
      <c r="R995" s="1301"/>
    </row>
    <row r="996" ht="14.25" customHeight="1">
      <c r="A996" s="128"/>
      <c r="B996" s="128"/>
      <c r="C996" s="128"/>
      <c r="D996" s="128"/>
      <c r="E996" s="1300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301"/>
      <c r="Q996" s="1301"/>
      <c r="R996" s="1301"/>
    </row>
    <row r="997" ht="14.25" customHeight="1">
      <c r="A997" s="128"/>
      <c r="B997" s="128"/>
      <c r="C997" s="128"/>
      <c r="D997" s="128"/>
      <c r="E997" s="1300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301"/>
      <c r="Q997" s="1301"/>
      <c r="R997" s="1301"/>
    </row>
    <row r="998" ht="14.25" customHeight="1">
      <c r="A998" s="128"/>
      <c r="B998" s="128"/>
      <c r="C998" s="128"/>
      <c r="D998" s="128"/>
      <c r="E998" s="1300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301"/>
      <c r="Q998" s="1301"/>
      <c r="R998" s="1301"/>
    </row>
    <row r="999" ht="14.25" customHeight="1">
      <c r="A999" s="128"/>
      <c r="B999" s="128"/>
      <c r="C999" s="128"/>
      <c r="D999" s="128"/>
      <c r="E999" s="1300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301"/>
      <c r="Q999" s="1301"/>
      <c r="R999" s="1301"/>
    </row>
    <row r="1000" ht="14.25" customHeight="1">
      <c r="A1000" s="128"/>
      <c r="B1000" s="128"/>
      <c r="C1000" s="128"/>
      <c r="D1000" s="128"/>
      <c r="E1000" s="1300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301"/>
      <c r="Q1000" s="1301"/>
      <c r="R1000" s="1301"/>
    </row>
  </sheetData>
  <mergeCells count="18">
    <mergeCell ref="G3:G5"/>
    <mergeCell ref="H3:H5"/>
    <mergeCell ref="I3:I5"/>
    <mergeCell ref="J3:J5"/>
    <mergeCell ref="K3:K5"/>
    <mergeCell ref="L3:L5"/>
    <mergeCell ref="M3:R3"/>
    <mergeCell ref="M4:O4"/>
    <mergeCell ref="P4:R4"/>
    <mergeCell ref="A17:R17"/>
    <mergeCell ref="A24:R24"/>
    <mergeCell ref="A2:R2"/>
    <mergeCell ref="A3:A5"/>
    <mergeCell ref="B3:B5"/>
    <mergeCell ref="C3:C5"/>
    <mergeCell ref="D3:D5"/>
    <mergeCell ref="E3:E5"/>
    <mergeCell ref="F3:F5"/>
  </mergeCells>
  <conditionalFormatting sqref="C14 C16">
    <cfRule type="expression" dxfId="4" priority="1">
      <formula>$K14="Hư hỏng"</formula>
    </cfRule>
  </conditionalFormatting>
  <conditionalFormatting sqref="C6:C1000 B56:B59">
    <cfRule type="expression" dxfId="7" priority="2">
      <formula>countif(C6:C1000,C6)&gt;1</formula>
    </cfRule>
  </conditionalFormatting>
  <printOptions/>
  <pageMargins bottom="0.75" footer="0.0" header="0.0" left="0.7" right="0.7" top="0.75"/>
  <pageSetup paperSize="9" scale="25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0" outlineLevelRow="1"/>
  <cols>
    <col customWidth="1" min="1" max="1" width="7.0"/>
    <col customWidth="1" min="2" max="2" width="20.63"/>
    <col customWidth="1" min="3" max="3" width="14.75"/>
    <col customWidth="1" min="4" max="5" width="18.5"/>
    <col customWidth="1" min="6" max="6" width="14.5"/>
    <col customWidth="1" min="7" max="7" width="18.75"/>
    <col customWidth="1" min="8" max="8" width="12.0"/>
    <col customWidth="1" min="9" max="9" width="12.63"/>
    <col customWidth="1" min="10" max="10" width="10.63"/>
    <col customWidth="1" min="11" max="11" width="10.13"/>
    <col customWidth="1" min="12" max="12" width="9.13"/>
    <col customWidth="1" min="13" max="13" width="15.88"/>
    <col customWidth="1" min="14" max="15" width="13.25"/>
    <col customWidth="1" min="16" max="16" width="14.0"/>
    <col customWidth="1" min="17" max="17" width="29.63"/>
  </cols>
  <sheetData>
    <row r="1" ht="28.5" customHeight="1">
      <c r="A1" s="1036" t="s">
        <v>7229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092"/>
    </row>
    <row r="2" ht="33.0" customHeight="1">
      <c r="A2" s="790" t="s">
        <v>5</v>
      </c>
      <c r="B2" s="790" t="s">
        <v>7231</v>
      </c>
      <c r="C2" s="793" t="s">
        <v>7232</v>
      </c>
      <c r="D2" s="791" t="s">
        <v>6082</v>
      </c>
      <c r="E2" s="790" t="s">
        <v>7234</v>
      </c>
      <c r="F2" s="791" t="s">
        <v>7235</v>
      </c>
      <c r="G2" s="790" t="s">
        <v>7236</v>
      </c>
      <c r="H2" s="790" t="s">
        <v>25</v>
      </c>
      <c r="I2" s="791" t="s">
        <v>21</v>
      </c>
      <c r="J2" s="790" t="s">
        <v>23</v>
      </c>
      <c r="K2" s="790" t="s">
        <v>22</v>
      </c>
      <c r="L2" s="790" t="s">
        <v>26</v>
      </c>
      <c r="M2" s="793" t="s">
        <v>7237</v>
      </c>
      <c r="N2" s="793" t="s">
        <v>7238</v>
      </c>
      <c r="O2" s="790" t="s">
        <v>7239</v>
      </c>
      <c r="P2" s="1094" t="s">
        <v>43</v>
      </c>
      <c r="Q2" s="1094" t="s">
        <v>7240</v>
      </c>
    </row>
    <row r="3" ht="22.5" customHeight="1">
      <c r="A3" s="1096" t="s">
        <v>3228</v>
      </c>
      <c r="B3" s="1327" t="s">
        <v>7241</v>
      </c>
      <c r="C3" s="1097"/>
      <c r="D3" s="1328"/>
      <c r="E3" s="1328"/>
      <c r="F3" s="1328"/>
      <c r="G3" s="1098"/>
      <c r="H3" s="1098"/>
      <c r="I3" s="1098"/>
      <c r="J3" s="1328"/>
      <c r="K3" s="1098"/>
      <c r="L3" s="1098"/>
      <c r="M3" s="1098"/>
      <c r="N3" s="1328"/>
      <c r="O3" s="1328"/>
      <c r="P3" s="1099"/>
      <c r="Q3" s="1099"/>
    </row>
    <row r="4" ht="17.25" customHeight="1">
      <c r="A4" s="437">
        <v>1.0</v>
      </c>
      <c r="B4" s="1329" t="s">
        <v>8217</v>
      </c>
      <c r="C4" s="1040"/>
      <c r="D4" s="1331"/>
      <c r="E4" s="1331"/>
      <c r="F4" s="1332"/>
      <c r="G4" s="1101"/>
      <c r="H4" s="1101"/>
      <c r="I4" s="1101"/>
      <c r="J4" s="1331"/>
      <c r="K4" s="1101"/>
      <c r="L4" s="1101"/>
      <c r="M4" s="1101"/>
      <c r="N4" s="1331"/>
      <c r="O4" s="1331"/>
      <c r="P4" s="1102"/>
      <c r="Q4" s="1102"/>
    </row>
    <row r="5" ht="12.75" customHeight="1">
      <c r="A5" s="1104">
        <v>1.0</v>
      </c>
      <c r="B5" s="1334" t="s">
        <v>8218</v>
      </c>
      <c r="C5" s="1173"/>
      <c r="D5" s="1335"/>
      <c r="E5" s="1335" t="s">
        <v>8219</v>
      </c>
      <c r="F5" s="806" t="s">
        <v>8220</v>
      </c>
      <c r="G5" s="1336" t="s">
        <v>8221</v>
      </c>
      <c r="H5" s="1337" t="s">
        <v>8222</v>
      </c>
      <c r="I5" s="1337"/>
      <c r="J5" s="1338"/>
      <c r="K5" s="1107"/>
      <c r="L5" s="1104"/>
      <c r="M5" s="1104">
        <v>12.5</v>
      </c>
      <c r="N5" s="1338"/>
      <c r="O5" s="1335" t="s">
        <v>1027</v>
      </c>
      <c r="P5" s="1108"/>
      <c r="Q5" s="1108"/>
    </row>
    <row r="6" ht="12.75" customHeight="1">
      <c r="A6" s="1104">
        <v>2.0</v>
      </c>
      <c r="B6" s="1334" t="s">
        <v>8223</v>
      </c>
      <c r="C6" s="1336"/>
      <c r="D6" s="1335"/>
      <c r="E6" s="1335" t="s">
        <v>8219</v>
      </c>
      <c r="F6" s="806" t="s">
        <v>8224</v>
      </c>
      <c r="G6" s="1336" t="s">
        <v>8221</v>
      </c>
      <c r="H6" s="1337" t="s">
        <v>8222</v>
      </c>
      <c r="I6" s="1339"/>
      <c r="J6" s="1335"/>
      <c r="K6" s="1104"/>
      <c r="L6" s="1104"/>
      <c r="M6" s="1104">
        <v>12.5</v>
      </c>
      <c r="N6" s="1340"/>
      <c r="O6" s="1335" t="s">
        <v>1027</v>
      </c>
      <c r="P6" s="1113"/>
      <c r="Q6" s="1113"/>
    </row>
    <row r="7" ht="12.75" customHeight="1">
      <c r="A7" s="1104">
        <v>3.0</v>
      </c>
      <c r="B7" s="1334"/>
      <c r="C7" s="1336"/>
      <c r="D7" s="1335"/>
      <c r="E7" s="1335"/>
      <c r="F7" s="1341"/>
      <c r="G7" s="1336"/>
      <c r="H7" s="1339"/>
      <c r="I7" s="1339"/>
      <c r="J7" s="1335"/>
      <c r="K7" s="1104"/>
      <c r="L7" s="1104"/>
      <c r="M7" s="1111"/>
      <c r="N7" s="1340"/>
      <c r="O7" s="1335"/>
      <c r="P7" s="1113"/>
      <c r="Q7" s="1113"/>
    </row>
    <row r="8" ht="12.75" customHeight="1">
      <c r="A8" s="1104">
        <v>4.0</v>
      </c>
      <c r="B8" s="1334"/>
      <c r="C8" s="1336"/>
      <c r="D8" s="1335"/>
      <c r="E8" s="1335"/>
      <c r="F8" s="1341"/>
      <c r="G8" s="1336"/>
      <c r="H8" s="1339"/>
      <c r="I8" s="1339"/>
      <c r="J8" s="1335"/>
      <c r="K8" s="1104"/>
      <c r="L8" s="1104"/>
      <c r="M8" s="1111"/>
      <c r="N8" s="1340"/>
      <c r="O8" s="1335"/>
      <c r="P8" s="1113"/>
      <c r="Q8" s="1113"/>
    </row>
    <row r="9" ht="12.75" customHeight="1">
      <c r="A9" s="1104">
        <v>5.0</v>
      </c>
      <c r="B9" s="1334"/>
      <c r="C9" s="1336"/>
      <c r="D9" s="1335"/>
      <c r="E9" s="1335"/>
      <c r="F9" s="1341"/>
      <c r="G9" s="1336"/>
      <c r="H9" s="1342"/>
      <c r="I9" s="1337"/>
      <c r="J9" s="1335"/>
      <c r="K9" s="1107"/>
      <c r="L9" s="1104"/>
      <c r="M9" s="1104"/>
      <c r="N9" s="1338"/>
      <c r="O9" s="1338"/>
      <c r="P9" s="1116"/>
      <c r="Q9" s="1116"/>
    </row>
    <row r="10" ht="17.25" customHeight="1">
      <c r="A10" s="1096" t="s">
        <v>3516</v>
      </c>
      <c r="B10" s="1327" t="s">
        <v>7420</v>
      </c>
      <c r="C10" s="1097"/>
      <c r="D10" s="1328"/>
      <c r="E10" s="1328"/>
      <c r="F10" s="1343"/>
      <c r="G10" s="1098"/>
      <c r="H10" s="1098"/>
      <c r="I10" s="1098"/>
      <c r="J10" s="1328"/>
      <c r="K10" s="1098"/>
      <c r="L10" s="1098"/>
      <c r="M10" s="1098"/>
      <c r="N10" s="1328"/>
      <c r="O10" s="1328"/>
      <c r="P10" s="1099"/>
      <c r="Q10" s="1099"/>
    </row>
    <row r="11" ht="17.25" customHeight="1">
      <c r="A11" s="437">
        <v>1.0</v>
      </c>
      <c r="B11" s="1329" t="s">
        <v>8217</v>
      </c>
      <c r="C11" s="1040"/>
      <c r="D11" s="1331"/>
      <c r="E11" s="1331"/>
      <c r="F11" s="1332"/>
      <c r="G11" s="1101"/>
      <c r="H11" s="1101"/>
      <c r="I11" s="1101"/>
      <c r="J11" s="1331"/>
      <c r="K11" s="1101"/>
      <c r="L11" s="1101"/>
      <c r="M11" s="1101"/>
      <c r="N11" s="1331"/>
      <c r="O11" s="1331"/>
      <c r="P11" s="1102"/>
      <c r="Q11" s="1102"/>
    </row>
    <row r="12" ht="12.75" customHeight="1">
      <c r="A12" s="1104">
        <v>1.0</v>
      </c>
      <c r="B12" s="1334"/>
      <c r="C12" s="1173"/>
      <c r="D12" s="1335"/>
      <c r="E12" s="1335"/>
      <c r="F12" s="1173"/>
      <c r="G12" s="1336"/>
      <c r="H12" s="1337"/>
      <c r="I12" s="1337"/>
      <c r="J12" s="1338"/>
      <c r="K12" s="1107"/>
      <c r="L12" s="1104"/>
      <c r="M12" s="1104"/>
      <c r="N12" s="1338"/>
      <c r="O12" s="1338"/>
      <c r="P12" s="1108"/>
      <c r="Q12" s="1108"/>
    </row>
    <row r="13" ht="12.75" customHeight="1">
      <c r="A13" s="1104">
        <v>2.0</v>
      </c>
      <c r="B13" s="1334"/>
      <c r="C13" s="1173"/>
      <c r="D13" s="1335"/>
      <c r="E13" s="1335"/>
      <c r="F13" s="1173"/>
      <c r="G13" s="1336"/>
      <c r="H13" s="1337"/>
      <c r="I13" s="1337"/>
      <c r="J13" s="1338"/>
      <c r="K13" s="1107"/>
      <c r="L13" s="1104"/>
      <c r="M13" s="1104"/>
      <c r="N13" s="1155"/>
      <c r="O13" s="1104"/>
      <c r="P13" s="1108"/>
      <c r="Q13" s="1108"/>
    </row>
    <row r="14" ht="12.75" customHeight="1">
      <c r="A14" s="1104">
        <v>3.0</v>
      </c>
      <c r="B14" s="1334"/>
      <c r="C14" s="1173"/>
      <c r="D14" s="1335"/>
      <c r="E14" s="1335"/>
      <c r="F14" s="1173"/>
      <c r="G14" s="1336"/>
      <c r="H14" s="1337"/>
      <c r="I14" s="1337"/>
      <c r="J14" s="1338"/>
      <c r="K14" s="1107"/>
      <c r="L14" s="1104"/>
      <c r="M14" s="1104"/>
      <c r="N14" s="1338"/>
      <c r="O14" s="1338"/>
      <c r="P14" s="1108"/>
      <c r="Q14" s="1108"/>
    </row>
    <row r="15" ht="12.75" hidden="1" customHeight="1">
      <c r="A15" s="1104"/>
      <c r="B15" s="1334"/>
      <c r="C15" s="1173"/>
      <c r="D15" s="1335"/>
      <c r="E15" s="1335"/>
      <c r="F15" s="1173"/>
      <c r="G15" s="1336"/>
      <c r="H15" s="1337"/>
      <c r="I15" s="1337"/>
      <c r="J15" s="1338"/>
      <c r="K15" s="1107"/>
      <c r="L15" s="1104"/>
      <c r="M15" s="1104"/>
      <c r="N15" s="1338"/>
      <c r="O15" s="1338"/>
      <c r="P15" s="1108"/>
      <c r="Q15" s="1108"/>
    </row>
    <row r="16" ht="12.75" hidden="1" customHeight="1">
      <c r="A16" s="1104"/>
      <c r="B16" s="1334"/>
      <c r="C16" s="1173" t="s">
        <v>374</v>
      </c>
      <c r="D16" s="1335"/>
      <c r="E16" s="1335"/>
      <c r="F16" s="1341"/>
      <c r="G16" s="1336"/>
      <c r="H16" s="1345"/>
      <c r="I16" s="1337"/>
      <c r="J16" s="1338"/>
      <c r="K16" s="1107"/>
      <c r="L16" s="1104"/>
      <c r="M16" s="1104"/>
      <c r="N16" s="1338"/>
      <c r="O16" s="1338"/>
      <c r="P16" s="1116"/>
      <c r="Q16" s="1116"/>
    </row>
    <row r="17" ht="21.75" customHeight="1">
      <c r="A17" s="1096" t="s">
        <v>3884</v>
      </c>
      <c r="B17" s="1327" t="s">
        <v>7478</v>
      </c>
      <c r="C17" s="1097"/>
      <c r="D17" s="1328"/>
      <c r="E17" s="1328"/>
      <c r="F17" s="1343"/>
      <c r="G17" s="1098"/>
      <c r="H17" s="1098"/>
      <c r="I17" s="1098"/>
      <c r="J17" s="1328"/>
      <c r="K17" s="1098"/>
      <c r="L17" s="1098"/>
      <c r="M17" s="1098"/>
      <c r="N17" s="1328"/>
      <c r="O17" s="1328"/>
      <c r="P17" s="1099"/>
      <c r="Q17" s="1099"/>
    </row>
    <row r="18" ht="17.25" customHeight="1">
      <c r="A18" s="437">
        <v>1.0</v>
      </c>
      <c r="B18" s="1329" t="s">
        <v>8217</v>
      </c>
      <c r="C18" s="1040"/>
      <c r="D18" s="1331"/>
      <c r="E18" s="1331"/>
      <c r="F18" s="1332"/>
      <c r="G18" s="1101"/>
      <c r="H18" s="1101"/>
      <c r="I18" s="1101"/>
      <c r="J18" s="1331"/>
      <c r="K18" s="1101"/>
      <c r="L18" s="1101"/>
      <c r="M18" s="1101"/>
      <c r="N18" s="1331"/>
      <c r="O18" s="1331"/>
      <c r="P18" s="1102"/>
      <c r="Q18" s="1102"/>
    </row>
    <row r="19" ht="12.75" customHeight="1">
      <c r="A19" s="1104">
        <v>1.0</v>
      </c>
      <c r="B19" s="1334" t="s">
        <v>8229</v>
      </c>
      <c r="C19" s="1173"/>
      <c r="D19" s="1335"/>
      <c r="E19" s="1335" t="s">
        <v>8219</v>
      </c>
      <c r="F19" s="806" t="s">
        <v>8230</v>
      </c>
      <c r="G19" s="1336" t="s">
        <v>8231</v>
      </c>
      <c r="H19" s="1337" t="s">
        <v>8222</v>
      </c>
      <c r="I19" s="1337"/>
      <c r="J19" s="1338"/>
      <c r="K19" s="1107"/>
      <c r="L19" s="1104"/>
      <c r="M19" s="1104">
        <v>12.5</v>
      </c>
      <c r="N19" s="1338"/>
      <c r="O19" s="1335" t="s">
        <v>1027</v>
      </c>
      <c r="P19" s="1116"/>
      <c r="Q19" s="1116"/>
    </row>
    <row r="20" ht="12.75" customHeight="1">
      <c r="A20" s="1104">
        <v>2.0</v>
      </c>
      <c r="B20" s="1334"/>
      <c r="C20" s="1173"/>
      <c r="D20" s="1335"/>
      <c r="F20" s="1341"/>
      <c r="G20" s="1336"/>
      <c r="H20" s="1345"/>
      <c r="I20" s="1345"/>
      <c r="J20" s="1338"/>
      <c r="K20" s="1107"/>
      <c r="L20" s="1104"/>
      <c r="M20" s="1104"/>
      <c r="N20" s="1338"/>
      <c r="O20" s="1338"/>
      <c r="P20" s="1108"/>
      <c r="Q20" s="1108"/>
    </row>
    <row r="21" ht="12.75" customHeight="1">
      <c r="A21" s="1104">
        <v>3.0</v>
      </c>
      <c r="B21" s="1334"/>
      <c r="C21" s="1173"/>
      <c r="D21" s="1335"/>
      <c r="E21" s="1335"/>
      <c r="F21" s="1173"/>
      <c r="G21" s="1336"/>
      <c r="H21" s="1337"/>
      <c r="I21" s="1337"/>
      <c r="J21" s="1338"/>
      <c r="K21" s="1107"/>
      <c r="L21" s="1104"/>
      <c r="M21" s="1104"/>
      <c r="N21" s="1338"/>
      <c r="O21" s="1338"/>
      <c r="P21" s="1108"/>
      <c r="Q21" s="1108"/>
    </row>
    <row r="22" ht="12.75" customHeight="1">
      <c r="A22" s="1104">
        <v>4.0</v>
      </c>
      <c r="B22" s="1334"/>
      <c r="C22" s="1346"/>
      <c r="D22" s="1346"/>
      <c r="E22" s="1335"/>
      <c r="F22" s="1341"/>
      <c r="G22" s="1336"/>
      <c r="H22" s="1337"/>
      <c r="I22" s="1337"/>
      <c r="J22" s="1338"/>
      <c r="K22" s="1107"/>
      <c r="L22" s="1104"/>
      <c r="M22" s="1169"/>
      <c r="N22" s="1347"/>
      <c r="O22" s="1335"/>
      <c r="P22" s="1113"/>
      <c r="Q22" s="1113"/>
    </row>
    <row r="23" ht="12.75" customHeight="1">
      <c r="A23" s="1104">
        <v>5.0</v>
      </c>
      <c r="B23" s="1334"/>
      <c r="C23" s="1346"/>
      <c r="D23" s="1348"/>
      <c r="E23" s="1335"/>
      <c r="F23" s="1336"/>
      <c r="G23" s="1336"/>
      <c r="H23" s="1337"/>
      <c r="I23" s="1337"/>
      <c r="J23" s="1335"/>
      <c r="K23" s="1104"/>
      <c r="L23" s="1104"/>
      <c r="M23" s="1169"/>
      <c r="N23" s="1349"/>
      <c r="O23" s="1335"/>
      <c r="P23" s="1113"/>
      <c r="Q23" s="1113"/>
    </row>
    <row r="24" ht="12.75" customHeight="1">
      <c r="A24" s="1104">
        <v>6.0</v>
      </c>
      <c r="B24" s="1334"/>
      <c r="C24" s="1346"/>
      <c r="D24" s="1348"/>
      <c r="E24" s="1335"/>
      <c r="F24" s="1336"/>
      <c r="G24" s="1336"/>
      <c r="H24" s="1337"/>
      <c r="I24" s="1337"/>
      <c r="J24" s="1335"/>
      <c r="K24" s="1104"/>
      <c r="L24" s="1104"/>
      <c r="M24" s="1169"/>
      <c r="N24" s="1350"/>
      <c r="O24" s="1335"/>
      <c r="P24" s="1172"/>
      <c r="Q24" s="1113"/>
    </row>
    <row r="25" ht="12.75" customHeight="1">
      <c r="A25" s="1104">
        <v>7.0</v>
      </c>
      <c r="B25" s="1334"/>
      <c r="C25" s="1346"/>
      <c r="D25" s="1348"/>
      <c r="E25" s="1335"/>
      <c r="F25" s="1336"/>
      <c r="G25" s="1336"/>
      <c r="H25" s="1337"/>
      <c r="I25" s="1337"/>
      <c r="J25" s="1335"/>
      <c r="K25" s="1104"/>
      <c r="L25" s="1104"/>
      <c r="M25" s="1169"/>
      <c r="N25" s="1340"/>
      <c r="O25" s="1335"/>
      <c r="P25" s="1172"/>
      <c r="Q25" s="1113"/>
    </row>
    <row r="26" ht="12.75" hidden="1" customHeight="1">
      <c r="A26" s="1104"/>
      <c r="B26" s="1334"/>
      <c r="C26" s="1346" t="s">
        <v>374</v>
      </c>
      <c r="D26" s="1348"/>
      <c r="E26" s="1335"/>
      <c r="F26" s="1336"/>
      <c r="G26" s="1336"/>
      <c r="H26" s="1337"/>
      <c r="I26" s="1337"/>
      <c r="J26" s="1335"/>
      <c r="K26" s="1104"/>
      <c r="L26" s="1104"/>
      <c r="M26" s="1169"/>
      <c r="N26" s="1340"/>
      <c r="O26" s="1335"/>
      <c r="P26" s="1172"/>
      <c r="Q26" s="1113"/>
    </row>
    <row r="27" ht="12.75" customHeight="1">
      <c r="A27" s="1351"/>
      <c r="B27" s="1351"/>
      <c r="C27" s="1351"/>
      <c r="D27" s="1351"/>
      <c r="E27" s="1351"/>
      <c r="F27" s="1351"/>
      <c r="G27" s="1184"/>
      <c r="H27" s="1351"/>
      <c r="I27" s="1184"/>
      <c r="J27" s="1351"/>
      <c r="K27" s="1184"/>
      <c r="L27" s="1184"/>
      <c r="M27" s="1184"/>
      <c r="N27" s="1351"/>
      <c r="O27" s="1351"/>
      <c r="P27" s="1163"/>
      <c r="Q27" s="1163"/>
    </row>
    <row r="28" ht="12.75" customHeight="1">
      <c r="A28" s="1351"/>
      <c r="B28" s="1351"/>
      <c r="C28" s="1351"/>
      <c r="D28" s="1351"/>
      <c r="E28" s="1351"/>
      <c r="F28" s="1351"/>
      <c r="G28" s="1184"/>
      <c r="H28" s="1351"/>
      <c r="I28" s="1184"/>
      <c r="J28" s="1351"/>
      <c r="K28" s="1184"/>
      <c r="L28" s="1184"/>
      <c r="M28" s="1184"/>
      <c r="N28" s="1351"/>
      <c r="O28" s="1351"/>
      <c r="P28" s="1163"/>
      <c r="Q28" s="1163"/>
    </row>
    <row r="29" ht="12.75" customHeight="1">
      <c r="A29" s="1351"/>
      <c r="B29" s="1351"/>
      <c r="C29" s="1351"/>
      <c r="D29" s="1351"/>
      <c r="E29" s="1351"/>
      <c r="F29" s="1351"/>
      <c r="G29" s="1184"/>
      <c r="H29" s="1351"/>
      <c r="I29" s="1184"/>
      <c r="J29" s="1351"/>
      <c r="K29" s="1184"/>
      <c r="L29" s="1184"/>
      <c r="M29" s="1184"/>
      <c r="N29" s="1351"/>
      <c r="O29" s="1351"/>
      <c r="P29" s="1163"/>
      <c r="Q29" s="1163"/>
    </row>
    <row r="30" ht="12.75" customHeight="1">
      <c r="A30" s="1351"/>
      <c r="B30" s="1351"/>
      <c r="C30" s="1351"/>
      <c r="D30" s="1351"/>
      <c r="E30" s="1351"/>
      <c r="F30" s="1351"/>
      <c r="G30" s="1184"/>
      <c r="H30" s="1351"/>
      <c r="I30" s="1184"/>
      <c r="J30" s="1351"/>
      <c r="K30" s="1184"/>
      <c r="L30" s="1184"/>
      <c r="M30" s="1184"/>
      <c r="N30" s="1351"/>
      <c r="O30" s="1351"/>
      <c r="P30" s="1163"/>
      <c r="Q30" s="1163"/>
    </row>
    <row r="31" ht="12.75" customHeight="1">
      <c r="A31" s="1351"/>
      <c r="B31" s="1351"/>
      <c r="C31" s="1351"/>
      <c r="D31" s="1351"/>
      <c r="E31" s="1351"/>
      <c r="F31" s="1351"/>
      <c r="G31" s="1184"/>
      <c r="H31" s="1351"/>
      <c r="I31" s="1184"/>
      <c r="J31" s="1351"/>
      <c r="K31" s="1184"/>
      <c r="L31" s="1184"/>
      <c r="M31" s="1184"/>
      <c r="N31" s="1351"/>
      <c r="O31" s="1351"/>
      <c r="P31" s="1163"/>
      <c r="Q31" s="1163"/>
    </row>
    <row r="32" ht="12.75" customHeight="1">
      <c r="A32" s="1351"/>
      <c r="B32" s="1351"/>
      <c r="C32" s="1351"/>
      <c r="D32" s="1351"/>
      <c r="E32" s="1351"/>
      <c r="F32" s="1351"/>
      <c r="G32" s="1184"/>
      <c r="H32" s="1351"/>
      <c r="I32" s="1184"/>
      <c r="J32" s="1351"/>
      <c r="K32" s="1184"/>
      <c r="L32" s="1184"/>
      <c r="M32" s="1184"/>
      <c r="N32" s="1351"/>
      <c r="O32" s="1351"/>
      <c r="P32" s="1163"/>
      <c r="Q32" s="1163"/>
    </row>
    <row r="33" ht="12.75" customHeight="1">
      <c r="A33" s="1351"/>
      <c r="B33" s="1351"/>
      <c r="C33" s="1351"/>
      <c r="D33" s="1351"/>
      <c r="E33" s="1351"/>
      <c r="F33" s="1351"/>
      <c r="G33" s="1184"/>
      <c r="H33" s="1351"/>
      <c r="I33" s="1184"/>
      <c r="J33" s="1351"/>
      <c r="K33" s="1184"/>
      <c r="L33" s="1184"/>
      <c r="M33" s="1184"/>
      <c r="N33" s="1351"/>
      <c r="O33" s="1351"/>
      <c r="P33" s="1163"/>
      <c r="Q33" s="1163"/>
    </row>
    <row r="34" ht="12.75" customHeight="1">
      <c r="A34" s="1351"/>
      <c r="B34" s="1351"/>
      <c r="C34" s="1351"/>
      <c r="D34" s="1351"/>
      <c r="E34" s="1351"/>
      <c r="F34" s="1351"/>
      <c r="G34" s="1184"/>
      <c r="H34" s="1351"/>
      <c r="I34" s="1184"/>
      <c r="J34" s="1351"/>
      <c r="K34" s="1184"/>
      <c r="L34" s="1184"/>
      <c r="M34" s="1184"/>
      <c r="N34" s="1351"/>
      <c r="O34" s="1351"/>
      <c r="P34" s="1163"/>
      <c r="Q34" s="1163"/>
    </row>
    <row r="35" ht="12.75" customHeight="1">
      <c r="A35" s="1351"/>
      <c r="B35" s="1351"/>
      <c r="C35" s="1351"/>
      <c r="D35" s="1351"/>
      <c r="E35" s="1351"/>
      <c r="F35" s="1351"/>
      <c r="G35" s="1184"/>
      <c r="H35" s="1351"/>
      <c r="I35" s="1184"/>
      <c r="J35" s="1351"/>
      <c r="K35" s="1184"/>
      <c r="L35" s="1184"/>
      <c r="M35" s="1184"/>
      <c r="N35" s="1351"/>
      <c r="O35" s="1351"/>
      <c r="P35" s="1163"/>
      <c r="Q35" s="1163"/>
    </row>
    <row r="36" ht="12.75" customHeight="1">
      <c r="A36" s="1351"/>
      <c r="B36" s="1351"/>
      <c r="C36" s="1351"/>
      <c r="D36" s="1351"/>
      <c r="E36" s="1351"/>
      <c r="F36" s="1351"/>
      <c r="G36" s="1184"/>
      <c r="H36" s="1351"/>
      <c r="I36" s="1184"/>
      <c r="J36" s="1351"/>
      <c r="K36" s="1184"/>
      <c r="L36" s="1184"/>
      <c r="M36" s="1184"/>
      <c r="N36" s="1351"/>
      <c r="O36" s="1351"/>
      <c r="P36" s="1163"/>
      <c r="Q36" s="1163"/>
    </row>
    <row r="37" ht="12.75" customHeight="1">
      <c r="A37" s="1351"/>
      <c r="B37" s="1351"/>
      <c r="C37" s="1351"/>
      <c r="D37" s="1351"/>
      <c r="E37" s="1351"/>
      <c r="F37" s="1351"/>
      <c r="G37" s="1184"/>
      <c r="H37" s="1351"/>
      <c r="I37" s="1184"/>
      <c r="J37" s="1351"/>
      <c r="K37" s="1184"/>
      <c r="L37" s="1184"/>
      <c r="M37" s="1184"/>
      <c r="N37" s="1351"/>
      <c r="O37" s="1351"/>
      <c r="P37" s="1163"/>
      <c r="Q37" s="1163"/>
    </row>
    <row r="38" ht="12.75" customHeight="1">
      <c r="A38" s="1351"/>
      <c r="B38" s="1351"/>
      <c r="C38" s="1351"/>
      <c r="D38" s="1351"/>
      <c r="E38" s="1351"/>
      <c r="F38" s="1351"/>
      <c r="G38" s="1184"/>
      <c r="H38" s="1351"/>
      <c r="I38" s="1184"/>
      <c r="J38" s="1351"/>
      <c r="K38" s="1184"/>
      <c r="L38" s="1184"/>
      <c r="M38" s="1184"/>
      <c r="N38" s="1351"/>
      <c r="O38" s="1351"/>
      <c r="P38" s="1163"/>
      <c r="Q38" s="1163"/>
    </row>
    <row r="39" ht="12.75" customHeight="1">
      <c r="A39" s="1351"/>
      <c r="B39" s="1351"/>
      <c r="C39" s="1351"/>
      <c r="D39" s="1351"/>
      <c r="E39" s="1351"/>
      <c r="F39" s="1351"/>
      <c r="G39" s="1184"/>
      <c r="H39" s="1351"/>
      <c r="I39" s="1184"/>
      <c r="J39" s="1351"/>
      <c r="K39" s="1184"/>
      <c r="L39" s="1184"/>
      <c r="M39" s="1184"/>
      <c r="N39" s="1351"/>
      <c r="O39" s="1351"/>
      <c r="P39" s="1163"/>
      <c r="Q39" s="1163"/>
    </row>
    <row r="40" ht="12.75" customHeight="1">
      <c r="A40" s="1351"/>
      <c r="B40" s="1351"/>
      <c r="C40" s="1351"/>
      <c r="D40" s="1351"/>
      <c r="E40" s="1351"/>
      <c r="F40" s="1351"/>
      <c r="G40" s="1184"/>
      <c r="H40" s="1351"/>
      <c r="I40" s="1184"/>
      <c r="J40" s="1351"/>
      <c r="K40" s="1184"/>
      <c r="L40" s="1184"/>
      <c r="M40" s="1184"/>
      <c r="N40" s="1351"/>
      <c r="O40" s="1351"/>
      <c r="P40" s="1163"/>
      <c r="Q40" s="1163"/>
    </row>
    <row r="41" ht="12.75" customHeight="1">
      <c r="A41" s="1351"/>
      <c r="B41" s="1351"/>
      <c r="C41" s="1351"/>
      <c r="D41" s="1351"/>
      <c r="E41" s="1351"/>
      <c r="F41" s="1351"/>
      <c r="G41" s="1184"/>
      <c r="H41" s="1351"/>
      <c r="I41" s="1184"/>
      <c r="J41" s="1351"/>
      <c r="K41" s="1184"/>
      <c r="L41" s="1184"/>
      <c r="M41" s="1184"/>
      <c r="N41" s="1351"/>
      <c r="O41" s="1351"/>
      <c r="P41" s="1163"/>
      <c r="Q41" s="1163"/>
    </row>
    <row r="42" ht="12.75" customHeight="1">
      <c r="A42" s="1351"/>
      <c r="B42" s="1351"/>
      <c r="C42" s="1351"/>
      <c r="D42" s="1351"/>
      <c r="E42" s="1351"/>
      <c r="F42" s="1351"/>
      <c r="G42" s="1184"/>
      <c r="H42" s="1351"/>
      <c r="I42" s="1184"/>
      <c r="J42" s="1351"/>
      <c r="K42" s="1184"/>
      <c r="L42" s="1184"/>
      <c r="M42" s="1184"/>
      <c r="N42" s="1351"/>
      <c r="O42" s="1351"/>
      <c r="P42" s="1163"/>
      <c r="Q42" s="1163"/>
    </row>
    <row r="43" ht="12.75" customHeight="1">
      <c r="A43" s="1351"/>
      <c r="B43" s="1351"/>
      <c r="C43" s="1351"/>
      <c r="D43" s="1351"/>
      <c r="E43" s="1351"/>
      <c r="F43" s="1351"/>
      <c r="G43" s="1184"/>
      <c r="H43" s="1351"/>
      <c r="I43" s="1184"/>
      <c r="J43" s="1351"/>
      <c r="K43" s="1184"/>
      <c r="L43" s="1184"/>
      <c r="M43" s="1184"/>
      <c r="N43" s="1351"/>
      <c r="O43" s="1351"/>
      <c r="P43" s="1163"/>
      <c r="Q43" s="1163"/>
    </row>
    <row r="44" ht="12.75" customHeight="1">
      <c r="A44" s="1351"/>
      <c r="B44" s="1351"/>
      <c r="C44" s="1351"/>
      <c r="D44" s="1351"/>
      <c r="E44" s="1351"/>
      <c r="F44" s="1351"/>
      <c r="G44" s="1184"/>
      <c r="H44" s="1351"/>
      <c r="I44" s="1184"/>
      <c r="J44" s="1351"/>
      <c r="K44" s="1184"/>
      <c r="L44" s="1184"/>
      <c r="M44" s="1184"/>
      <c r="N44" s="1351"/>
      <c r="O44" s="1351"/>
      <c r="P44" s="1163"/>
      <c r="Q44" s="1163"/>
    </row>
    <row r="45" ht="12.75" customHeight="1">
      <c r="A45" s="1351"/>
      <c r="B45" s="1351"/>
      <c r="C45" s="1351"/>
      <c r="D45" s="1351"/>
      <c r="E45" s="1351"/>
      <c r="F45" s="1351"/>
      <c r="G45" s="1184"/>
      <c r="H45" s="1351"/>
      <c r="I45" s="1184"/>
      <c r="J45" s="1351"/>
      <c r="K45" s="1184"/>
      <c r="L45" s="1184"/>
      <c r="M45" s="1184"/>
      <c r="N45" s="1351"/>
      <c r="O45" s="1351"/>
      <c r="P45" s="1163"/>
      <c r="Q45" s="1163"/>
    </row>
    <row r="46" ht="12.75" customHeight="1">
      <c r="A46" s="1351"/>
      <c r="B46" s="1351"/>
      <c r="C46" s="1351"/>
      <c r="D46" s="1351"/>
      <c r="E46" s="1351"/>
      <c r="F46" s="1351"/>
      <c r="G46" s="1184"/>
      <c r="H46" s="1351"/>
      <c r="I46" s="1184"/>
      <c r="J46" s="1351"/>
      <c r="K46" s="1184"/>
      <c r="L46" s="1184"/>
      <c r="M46" s="1184"/>
      <c r="N46" s="1351"/>
      <c r="O46" s="1351"/>
      <c r="P46" s="1163"/>
      <c r="Q46" s="1163"/>
    </row>
    <row r="47" ht="12.75" customHeight="1">
      <c r="A47" s="1351"/>
      <c r="B47" s="1351"/>
      <c r="C47" s="1351"/>
      <c r="D47" s="1351"/>
      <c r="E47" s="1351"/>
      <c r="F47" s="1351"/>
      <c r="G47" s="1184"/>
      <c r="H47" s="1351"/>
      <c r="I47" s="1184"/>
      <c r="J47" s="1351"/>
      <c r="K47" s="1184"/>
      <c r="L47" s="1184"/>
      <c r="M47" s="1184"/>
      <c r="N47" s="1351"/>
      <c r="O47" s="1351"/>
      <c r="P47" s="1163"/>
      <c r="Q47" s="1163"/>
    </row>
    <row r="48" ht="12.75" customHeight="1">
      <c r="A48" s="1351"/>
      <c r="B48" s="1351"/>
      <c r="C48" s="1351"/>
      <c r="D48" s="1351"/>
      <c r="E48" s="1351"/>
      <c r="F48" s="1351"/>
      <c r="G48" s="1184"/>
      <c r="H48" s="1351"/>
      <c r="I48" s="1184"/>
      <c r="J48" s="1351"/>
      <c r="K48" s="1184"/>
      <c r="L48" s="1184"/>
      <c r="M48" s="1184"/>
      <c r="N48" s="1351"/>
      <c r="O48" s="1351"/>
      <c r="P48" s="1163"/>
      <c r="Q48" s="1163"/>
    </row>
    <row r="49" ht="12.75" customHeight="1">
      <c r="A49" s="1351"/>
      <c r="B49" s="1351"/>
      <c r="C49" s="1351"/>
      <c r="D49" s="1351"/>
      <c r="E49" s="1351"/>
      <c r="F49" s="1351"/>
      <c r="G49" s="1184"/>
      <c r="H49" s="1351"/>
      <c r="I49" s="1184"/>
      <c r="J49" s="1351"/>
      <c r="K49" s="1184"/>
      <c r="L49" s="1184"/>
      <c r="M49" s="1184"/>
      <c r="N49" s="1351"/>
      <c r="O49" s="1351"/>
      <c r="P49" s="1163"/>
      <c r="Q49" s="1163"/>
    </row>
    <row r="50" ht="12.75" customHeight="1">
      <c r="A50" s="1351"/>
      <c r="B50" s="1351"/>
      <c r="C50" s="1351"/>
      <c r="D50" s="1351"/>
      <c r="E50" s="1351"/>
      <c r="F50" s="1351"/>
      <c r="G50" s="1184"/>
      <c r="H50" s="1351"/>
      <c r="I50" s="1184"/>
      <c r="J50" s="1351"/>
      <c r="K50" s="1184"/>
      <c r="L50" s="1184"/>
      <c r="M50" s="1184"/>
      <c r="N50" s="1351"/>
      <c r="O50" s="1351"/>
      <c r="P50" s="1163"/>
      <c r="Q50" s="1163"/>
    </row>
    <row r="51" ht="12.75" customHeight="1">
      <c r="A51" s="1351"/>
      <c r="B51" s="1351"/>
      <c r="C51" s="1351"/>
      <c r="D51" s="1351"/>
      <c r="E51" s="1351"/>
      <c r="F51" s="1351"/>
      <c r="G51" s="1184"/>
      <c r="H51" s="1351"/>
      <c r="I51" s="1184"/>
      <c r="J51" s="1351"/>
      <c r="K51" s="1184"/>
      <c r="L51" s="1184"/>
      <c r="M51" s="1184"/>
      <c r="N51" s="1351"/>
      <c r="O51" s="1351"/>
      <c r="P51" s="1163"/>
      <c r="Q51" s="1163"/>
    </row>
    <row r="52" ht="12.75" customHeight="1">
      <c r="A52" s="1351"/>
      <c r="B52" s="1351"/>
      <c r="C52" s="1351"/>
      <c r="D52" s="1351"/>
      <c r="E52" s="1351"/>
      <c r="F52" s="1351"/>
      <c r="G52" s="1184"/>
      <c r="H52" s="1351"/>
      <c r="I52" s="1184"/>
      <c r="J52" s="1351"/>
      <c r="K52" s="1184"/>
      <c r="L52" s="1184"/>
      <c r="M52" s="1184"/>
      <c r="N52" s="1351"/>
      <c r="O52" s="1351"/>
      <c r="P52" s="1163"/>
      <c r="Q52" s="1163"/>
    </row>
    <row r="53" ht="12.75" customHeight="1">
      <c r="A53" s="1351"/>
      <c r="B53" s="1351"/>
      <c r="C53" s="1351"/>
      <c r="D53" s="1351"/>
      <c r="E53" s="1351"/>
      <c r="F53" s="1351"/>
      <c r="G53" s="1184"/>
      <c r="H53" s="1351"/>
      <c r="I53" s="1184"/>
      <c r="J53" s="1351"/>
      <c r="K53" s="1184"/>
      <c r="L53" s="1184"/>
      <c r="M53" s="1184"/>
      <c r="N53" s="1351"/>
      <c r="O53" s="1351"/>
      <c r="P53" s="1163"/>
      <c r="Q53" s="1163"/>
    </row>
    <row r="54" ht="12.75" customHeight="1">
      <c r="A54" s="1351"/>
      <c r="B54" s="1351"/>
      <c r="C54" s="1351"/>
      <c r="D54" s="1351"/>
      <c r="E54" s="1351"/>
      <c r="F54" s="1351"/>
      <c r="G54" s="1184"/>
      <c r="H54" s="1351"/>
      <c r="I54" s="1184"/>
      <c r="J54" s="1351"/>
      <c r="K54" s="1184"/>
      <c r="L54" s="1184"/>
      <c r="M54" s="1184"/>
      <c r="N54" s="1351"/>
      <c r="O54" s="1351"/>
      <c r="P54" s="1163"/>
      <c r="Q54" s="1163"/>
    </row>
    <row r="55" ht="12.75" customHeight="1">
      <c r="A55" s="1351"/>
      <c r="B55" s="1351"/>
      <c r="C55" s="1351"/>
      <c r="D55" s="1351"/>
      <c r="E55" s="1351"/>
      <c r="F55" s="1351"/>
      <c r="G55" s="1184"/>
      <c r="H55" s="1351"/>
      <c r="I55" s="1184"/>
      <c r="J55" s="1351"/>
      <c r="K55" s="1184"/>
      <c r="L55" s="1184"/>
      <c r="M55" s="1184"/>
      <c r="N55" s="1351"/>
      <c r="O55" s="1351"/>
      <c r="P55" s="1163"/>
      <c r="Q55" s="1163"/>
    </row>
    <row r="56" ht="12.75" customHeight="1">
      <c r="A56" s="1351"/>
      <c r="B56" s="1351"/>
      <c r="C56" s="1351"/>
      <c r="D56" s="1351"/>
      <c r="E56" s="1351"/>
      <c r="F56" s="1351"/>
      <c r="G56" s="1184"/>
      <c r="H56" s="1351"/>
      <c r="I56" s="1184"/>
      <c r="J56" s="1351"/>
      <c r="K56" s="1184"/>
      <c r="L56" s="1184"/>
      <c r="M56" s="1184"/>
      <c r="N56" s="1351"/>
      <c r="O56" s="1351"/>
      <c r="P56" s="1163"/>
      <c r="Q56" s="1163"/>
    </row>
    <row r="57" ht="12.75" customHeight="1">
      <c r="A57" s="1351"/>
      <c r="B57" s="1351"/>
      <c r="C57" s="1351"/>
      <c r="D57" s="1351"/>
      <c r="E57" s="1351"/>
      <c r="F57" s="1351"/>
      <c r="G57" s="1184"/>
      <c r="H57" s="1351"/>
      <c r="I57" s="1184"/>
      <c r="J57" s="1351"/>
      <c r="K57" s="1184"/>
      <c r="L57" s="1184"/>
      <c r="M57" s="1184"/>
      <c r="N57" s="1351"/>
      <c r="O57" s="1351"/>
      <c r="P57" s="1163"/>
      <c r="Q57" s="1163"/>
    </row>
    <row r="58" ht="12.75" customHeight="1">
      <c r="A58" s="1351"/>
      <c r="B58" s="1351"/>
      <c r="C58" s="1351"/>
      <c r="D58" s="1351"/>
      <c r="E58" s="1351"/>
      <c r="F58" s="1351"/>
      <c r="G58" s="1184"/>
      <c r="H58" s="1351"/>
      <c r="I58" s="1184"/>
      <c r="J58" s="1351"/>
      <c r="K58" s="1184"/>
      <c r="L58" s="1184"/>
      <c r="M58" s="1184"/>
      <c r="N58" s="1351"/>
      <c r="O58" s="1351"/>
      <c r="P58" s="1163"/>
      <c r="Q58" s="1163"/>
    </row>
    <row r="59" ht="12.75" customHeight="1">
      <c r="A59" s="1351"/>
      <c r="B59" s="1351"/>
      <c r="C59" s="1351"/>
      <c r="D59" s="1351"/>
      <c r="E59" s="1351"/>
      <c r="F59" s="1351"/>
      <c r="G59" s="1184"/>
      <c r="H59" s="1351"/>
      <c r="I59" s="1184"/>
      <c r="J59" s="1351"/>
      <c r="K59" s="1184"/>
      <c r="L59" s="1184"/>
      <c r="M59" s="1184"/>
      <c r="N59" s="1351"/>
      <c r="O59" s="1351"/>
      <c r="P59" s="1163"/>
      <c r="Q59" s="1163"/>
    </row>
    <row r="60" ht="12.75" customHeight="1">
      <c r="A60" s="1351"/>
      <c r="B60" s="1351"/>
      <c r="C60" s="1351"/>
      <c r="D60" s="1351"/>
      <c r="E60" s="1351"/>
      <c r="F60" s="1351"/>
      <c r="G60" s="1184"/>
      <c r="H60" s="1351"/>
      <c r="I60" s="1184"/>
      <c r="J60" s="1351"/>
      <c r="K60" s="1184"/>
      <c r="L60" s="1184"/>
      <c r="M60" s="1184"/>
      <c r="N60" s="1351"/>
      <c r="O60" s="1351"/>
      <c r="P60" s="1163"/>
      <c r="Q60" s="1163"/>
    </row>
    <row r="61" ht="12.75" customHeight="1">
      <c r="A61" s="1351"/>
      <c r="B61" s="1351"/>
      <c r="C61" s="1351"/>
      <c r="D61" s="1351"/>
      <c r="E61" s="1351"/>
      <c r="F61" s="1351"/>
      <c r="G61" s="1184"/>
      <c r="H61" s="1351"/>
      <c r="I61" s="1184"/>
      <c r="J61" s="1351"/>
      <c r="K61" s="1184"/>
      <c r="L61" s="1184"/>
      <c r="M61" s="1184"/>
      <c r="N61" s="1351"/>
      <c r="O61" s="1351"/>
      <c r="P61" s="1163"/>
      <c r="Q61" s="1163"/>
    </row>
    <row r="62" ht="12.75" customHeight="1">
      <c r="A62" s="1351"/>
      <c r="B62" s="1351"/>
      <c r="C62" s="1351"/>
      <c r="D62" s="1351"/>
      <c r="E62" s="1351"/>
      <c r="F62" s="1351"/>
      <c r="G62" s="1184"/>
      <c r="H62" s="1351"/>
      <c r="I62" s="1184"/>
      <c r="J62" s="1351"/>
      <c r="K62" s="1184"/>
      <c r="L62" s="1184"/>
      <c r="M62" s="1184"/>
      <c r="N62" s="1351"/>
      <c r="O62" s="1351"/>
      <c r="P62" s="1163"/>
      <c r="Q62" s="1163"/>
    </row>
    <row r="63" ht="12.75" customHeight="1">
      <c r="A63" s="1351"/>
      <c r="B63" s="1351"/>
      <c r="C63" s="1351"/>
      <c r="D63" s="1351"/>
      <c r="E63" s="1351"/>
      <c r="F63" s="1351"/>
      <c r="G63" s="1184"/>
      <c r="H63" s="1351"/>
      <c r="I63" s="1184"/>
      <c r="J63" s="1351"/>
      <c r="K63" s="1184"/>
      <c r="L63" s="1184"/>
      <c r="M63" s="1184"/>
      <c r="N63" s="1351"/>
      <c r="O63" s="1351"/>
      <c r="P63" s="1163"/>
      <c r="Q63" s="1163"/>
    </row>
    <row r="64" ht="12.75" customHeight="1">
      <c r="A64" s="1351"/>
      <c r="B64" s="1351"/>
      <c r="C64" s="1351"/>
      <c r="D64" s="1351"/>
      <c r="E64" s="1351"/>
      <c r="F64" s="1351"/>
      <c r="G64" s="1184"/>
      <c r="H64" s="1351"/>
      <c r="I64" s="1184"/>
      <c r="J64" s="1351"/>
      <c r="K64" s="1184"/>
      <c r="L64" s="1184"/>
      <c r="M64" s="1184"/>
      <c r="N64" s="1351"/>
      <c r="O64" s="1351"/>
      <c r="P64" s="1163"/>
      <c r="Q64" s="1163"/>
    </row>
    <row r="65" ht="12.75" customHeight="1">
      <c r="A65" s="1351"/>
      <c r="B65" s="1351"/>
      <c r="C65" s="1351"/>
      <c r="D65" s="1351"/>
      <c r="E65" s="1351"/>
      <c r="F65" s="1351"/>
      <c r="G65" s="1184"/>
      <c r="H65" s="1351"/>
      <c r="I65" s="1184"/>
      <c r="J65" s="1351"/>
      <c r="K65" s="1184"/>
      <c r="L65" s="1184"/>
      <c r="M65" s="1184"/>
      <c r="N65" s="1351"/>
      <c r="O65" s="1351"/>
      <c r="P65" s="1163"/>
      <c r="Q65" s="1163"/>
    </row>
    <row r="66" ht="12.75" customHeight="1">
      <c r="A66" s="1351"/>
      <c r="B66" s="1351"/>
      <c r="C66" s="1351"/>
      <c r="D66" s="1351"/>
      <c r="E66" s="1351"/>
      <c r="F66" s="1351"/>
      <c r="G66" s="1184"/>
      <c r="H66" s="1351"/>
      <c r="I66" s="1184"/>
      <c r="J66" s="1351"/>
      <c r="K66" s="1184"/>
      <c r="L66" s="1184"/>
      <c r="M66" s="1184"/>
      <c r="N66" s="1351"/>
      <c r="O66" s="1351"/>
      <c r="P66" s="1163"/>
      <c r="Q66" s="1163"/>
    </row>
    <row r="67" ht="12.75" customHeight="1">
      <c r="A67" s="1351"/>
      <c r="B67" s="1351"/>
      <c r="C67" s="1351"/>
      <c r="D67" s="1351"/>
      <c r="E67" s="1351"/>
      <c r="F67" s="1351"/>
      <c r="G67" s="1184"/>
      <c r="H67" s="1351"/>
      <c r="I67" s="1184"/>
      <c r="J67" s="1351"/>
      <c r="K67" s="1184"/>
      <c r="L67" s="1184"/>
      <c r="M67" s="1184"/>
      <c r="N67" s="1351"/>
      <c r="O67" s="1351"/>
      <c r="P67" s="1163"/>
      <c r="Q67" s="1163"/>
    </row>
    <row r="68" ht="12.75" customHeight="1">
      <c r="A68" s="1351"/>
      <c r="B68" s="1351"/>
      <c r="C68" s="1351"/>
      <c r="D68" s="1351"/>
      <c r="E68" s="1351"/>
      <c r="F68" s="1351"/>
      <c r="G68" s="1184"/>
      <c r="H68" s="1351"/>
      <c r="I68" s="1184"/>
      <c r="J68" s="1351"/>
      <c r="K68" s="1184"/>
      <c r="L68" s="1184"/>
      <c r="M68" s="1184"/>
      <c r="N68" s="1351"/>
      <c r="O68" s="1351"/>
      <c r="P68" s="1163"/>
      <c r="Q68" s="1163"/>
    </row>
    <row r="69" ht="12.75" customHeight="1">
      <c r="A69" s="1351"/>
      <c r="B69" s="1351"/>
      <c r="C69" s="1351"/>
      <c r="D69" s="1351"/>
      <c r="E69" s="1351"/>
      <c r="F69" s="1351"/>
      <c r="G69" s="1184"/>
      <c r="H69" s="1351"/>
      <c r="I69" s="1184"/>
      <c r="J69" s="1351"/>
      <c r="K69" s="1184"/>
      <c r="L69" s="1184"/>
      <c r="M69" s="1184"/>
      <c r="N69" s="1351"/>
      <c r="O69" s="1351"/>
      <c r="P69" s="1163"/>
      <c r="Q69" s="1163"/>
    </row>
    <row r="70" ht="12.75" customHeight="1">
      <c r="A70" s="1351"/>
      <c r="B70" s="1351"/>
      <c r="C70" s="1351"/>
      <c r="D70" s="1351"/>
      <c r="E70" s="1351"/>
      <c r="F70" s="1351"/>
      <c r="G70" s="1184"/>
      <c r="H70" s="1351"/>
      <c r="I70" s="1184"/>
      <c r="J70" s="1351"/>
      <c r="K70" s="1184"/>
      <c r="L70" s="1184"/>
      <c r="M70" s="1184"/>
      <c r="N70" s="1351"/>
      <c r="O70" s="1351"/>
      <c r="P70" s="1163"/>
      <c r="Q70" s="1163"/>
    </row>
    <row r="71" ht="12.75" customHeight="1">
      <c r="A71" s="1351"/>
      <c r="B71" s="1351"/>
      <c r="C71" s="1351"/>
      <c r="D71" s="1351"/>
      <c r="E71" s="1351"/>
      <c r="F71" s="1351"/>
      <c r="G71" s="1184"/>
      <c r="H71" s="1351"/>
      <c r="I71" s="1184"/>
      <c r="J71" s="1351"/>
      <c r="K71" s="1184"/>
      <c r="L71" s="1184"/>
      <c r="M71" s="1184"/>
      <c r="N71" s="1351"/>
      <c r="O71" s="1351"/>
      <c r="P71" s="1163"/>
      <c r="Q71" s="1163"/>
    </row>
    <row r="72" ht="12.75" customHeight="1">
      <c r="A72" s="1351"/>
      <c r="B72" s="1351"/>
      <c r="C72" s="1351"/>
      <c r="D72" s="1351"/>
      <c r="E72" s="1351"/>
      <c r="F72" s="1351"/>
      <c r="G72" s="1184"/>
      <c r="H72" s="1351"/>
      <c r="I72" s="1184"/>
      <c r="J72" s="1351"/>
      <c r="K72" s="1184"/>
      <c r="L72" s="1184"/>
      <c r="M72" s="1184"/>
      <c r="N72" s="1351"/>
      <c r="O72" s="1351"/>
      <c r="P72" s="1163"/>
      <c r="Q72" s="1163"/>
    </row>
    <row r="73" ht="12.75" customHeight="1">
      <c r="A73" s="1351"/>
      <c r="B73" s="1351"/>
      <c r="C73" s="1351"/>
      <c r="D73" s="1351"/>
      <c r="E73" s="1351"/>
      <c r="F73" s="1351"/>
      <c r="G73" s="1184"/>
      <c r="H73" s="1351"/>
      <c r="I73" s="1184"/>
      <c r="J73" s="1351"/>
      <c r="K73" s="1184"/>
      <c r="L73" s="1184"/>
      <c r="M73" s="1184"/>
      <c r="N73" s="1351"/>
      <c r="O73" s="1351"/>
      <c r="P73" s="1163"/>
      <c r="Q73" s="1163"/>
    </row>
    <row r="74" ht="12.75" customHeight="1">
      <c r="A74" s="1351"/>
      <c r="B74" s="1351"/>
      <c r="C74" s="1351"/>
      <c r="D74" s="1351"/>
      <c r="E74" s="1351"/>
      <c r="F74" s="1351"/>
      <c r="G74" s="1184"/>
      <c r="H74" s="1351"/>
      <c r="I74" s="1184"/>
      <c r="J74" s="1351"/>
      <c r="K74" s="1184"/>
      <c r="L74" s="1184"/>
      <c r="M74" s="1184"/>
      <c r="N74" s="1351"/>
      <c r="O74" s="1351"/>
      <c r="P74" s="1163"/>
      <c r="Q74" s="1163"/>
    </row>
    <row r="75" ht="12.75" customHeight="1">
      <c r="A75" s="1351"/>
      <c r="B75" s="1351"/>
      <c r="C75" s="1351"/>
      <c r="D75" s="1351"/>
      <c r="E75" s="1351"/>
      <c r="F75" s="1351"/>
      <c r="G75" s="1184"/>
      <c r="H75" s="1351"/>
      <c r="I75" s="1184"/>
      <c r="J75" s="1351"/>
      <c r="K75" s="1184"/>
      <c r="L75" s="1184"/>
      <c r="M75" s="1184"/>
      <c r="N75" s="1351"/>
      <c r="O75" s="1351"/>
      <c r="P75" s="1163"/>
      <c r="Q75" s="1163"/>
    </row>
    <row r="76" ht="12.75" customHeight="1">
      <c r="A76" s="1351"/>
      <c r="B76" s="1351"/>
      <c r="C76" s="1351"/>
      <c r="D76" s="1351"/>
      <c r="E76" s="1351"/>
      <c r="F76" s="1351"/>
      <c r="G76" s="1184"/>
      <c r="H76" s="1351"/>
      <c r="I76" s="1184"/>
      <c r="J76" s="1351"/>
      <c r="K76" s="1184"/>
      <c r="L76" s="1184"/>
      <c r="M76" s="1184"/>
      <c r="N76" s="1351"/>
      <c r="O76" s="1351"/>
      <c r="P76" s="1163"/>
      <c r="Q76" s="1163"/>
    </row>
    <row r="77" ht="12.75" customHeight="1">
      <c r="A77" s="1351"/>
      <c r="B77" s="1351"/>
      <c r="C77" s="1351"/>
      <c r="D77" s="1351"/>
      <c r="E77" s="1351"/>
      <c r="F77" s="1351"/>
      <c r="G77" s="1184"/>
      <c r="H77" s="1351"/>
      <c r="I77" s="1184"/>
      <c r="J77" s="1351"/>
      <c r="K77" s="1184"/>
      <c r="L77" s="1184"/>
      <c r="M77" s="1184"/>
      <c r="N77" s="1351"/>
      <c r="O77" s="1351"/>
      <c r="P77" s="1163"/>
      <c r="Q77" s="1163"/>
    </row>
    <row r="78" ht="12.75" customHeight="1">
      <c r="A78" s="1351"/>
      <c r="B78" s="1351"/>
      <c r="C78" s="1351"/>
      <c r="D78" s="1351"/>
      <c r="E78" s="1351"/>
      <c r="F78" s="1351"/>
      <c r="G78" s="1184"/>
      <c r="H78" s="1351"/>
      <c r="I78" s="1184"/>
      <c r="J78" s="1351"/>
      <c r="K78" s="1184"/>
      <c r="L78" s="1184"/>
      <c r="M78" s="1184"/>
      <c r="N78" s="1351"/>
      <c r="O78" s="1351"/>
      <c r="P78" s="1163"/>
      <c r="Q78" s="1163"/>
    </row>
    <row r="79" ht="12.75" customHeight="1">
      <c r="A79" s="1351"/>
      <c r="B79" s="1351"/>
      <c r="C79" s="1351"/>
      <c r="D79" s="1351"/>
      <c r="E79" s="1351"/>
      <c r="F79" s="1351"/>
      <c r="G79" s="1184"/>
      <c r="H79" s="1351"/>
      <c r="I79" s="1184"/>
      <c r="J79" s="1351"/>
      <c r="K79" s="1184"/>
      <c r="L79" s="1184"/>
      <c r="M79" s="1184"/>
      <c r="N79" s="1351"/>
      <c r="O79" s="1351"/>
      <c r="P79" s="1163"/>
      <c r="Q79" s="1163"/>
    </row>
    <row r="80" ht="12.75" customHeight="1">
      <c r="A80" s="1351"/>
      <c r="B80" s="1351"/>
      <c r="C80" s="1351"/>
      <c r="D80" s="1351"/>
      <c r="E80" s="1351"/>
      <c r="F80" s="1351"/>
      <c r="G80" s="1184"/>
      <c r="H80" s="1351"/>
      <c r="I80" s="1184"/>
      <c r="J80" s="1351"/>
      <c r="K80" s="1184"/>
      <c r="L80" s="1184"/>
      <c r="M80" s="1184"/>
      <c r="N80" s="1351"/>
      <c r="O80" s="1351"/>
      <c r="P80" s="1163"/>
      <c r="Q80" s="1163"/>
    </row>
    <row r="81" ht="12.75" customHeight="1">
      <c r="A81" s="1351"/>
      <c r="B81" s="1351"/>
      <c r="C81" s="1351"/>
      <c r="D81" s="1351"/>
      <c r="E81" s="1351"/>
      <c r="F81" s="1351"/>
      <c r="G81" s="1184"/>
      <c r="H81" s="1351"/>
      <c r="I81" s="1184"/>
      <c r="J81" s="1351"/>
      <c r="K81" s="1184"/>
      <c r="L81" s="1184"/>
      <c r="M81" s="1184"/>
      <c r="N81" s="1351"/>
      <c r="O81" s="1351"/>
      <c r="P81" s="1163"/>
      <c r="Q81" s="1163"/>
    </row>
    <row r="82" ht="12.75" customHeight="1">
      <c r="A82" s="1351"/>
      <c r="B82" s="1351"/>
      <c r="C82" s="1351"/>
      <c r="D82" s="1351"/>
      <c r="E82" s="1351"/>
      <c r="F82" s="1351"/>
      <c r="G82" s="1184"/>
      <c r="H82" s="1351"/>
      <c r="I82" s="1184"/>
      <c r="J82" s="1351"/>
      <c r="K82" s="1184"/>
      <c r="L82" s="1184"/>
      <c r="M82" s="1184"/>
      <c r="N82" s="1351"/>
      <c r="O82" s="1351"/>
      <c r="P82" s="1163"/>
      <c r="Q82" s="1163"/>
    </row>
    <row r="83" ht="12.75" customHeight="1">
      <c r="A83" s="1351"/>
      <c r="B83" s="1351"/>
      <c r="C83" s="1351"/>
      <c r="D83" s="1351"/>
      <c r="E83" s="1351"/>
      <c r="F83" s="1351"/>
      <c r="G83" s="1184"/>
      <c r="H83" s="1351"/>
      <c r="I83" s="1184"/>
      <c r="J83" s="1351"/>
      <c r="K83" s="1184"/>
      <c r="L83" s="1184"/>
      <c r="M83" s="1184"/>
      <c r="N83" s="1351"/>
      <c r="O83" s="1351"/>
      <c r="P83" s="1163"/>
      <c r="Q83" s="1163"/>
    </row>
    <row r="84" ht="12.75" customHeight="1">
      <c r="A84" s="1351"/>
      <c r="B84" s="1351"/>
      <c r="C84" s="1351"/>
      <c r="D84" s="1351"/>
      <c r="E84" s="1351"/>
      <c r="F84" s="1351"/>
      <c r="G84" s="1184"/>
      <c r="H84" s="1351"/>
      <c r="I84" s="1184"/>
      <c r="J84" s="1351"/>
      <c r="K84" s="1184"/>
      <c r="L84" s="1184"/>
      <c r="M84" s="1184"/>
      <c r="N84" s="1351"/>
      <c r="O84" s="1351"/>
      <c r="P84" s="1163"/>
      <c r="Q84" s="1163"/>
    </row>
    <row r="85" ht="12.75" customHeight="1">
      <c r="A85" s="1351"/>
      <c r="B85" s="1351"/>
      <c r="C85" s="1351"/>
      <c r="D85" s="1351"/>
      <c r="E85" s="1351"/>
      <c r="F85" s="1351"/>
      <c r="G85" s="1184"/>
      <c r="H85" s="1351"/>
      <c r="I85" s="1184"/>
      <c r="J85" s="1351"/>
      <c r="K85" s="1184"/>
      <c r="L85" s="1184"/>
      <c r="M85" s="1184"/>
      <c r="N85" s="1351"/>
      <c r="O85" s="1351"/>
      <c r="P85" s="1163"/>
      <c r="Q85" s="1163"/>
    </row>
    <row r="86" ht="12.75" customHeight="1">
      <c r="A86" s="1351"/>
      <c r="B86" s="1351"/>
      <c r="C86" s="1351"/>
      <c r="D86" s="1351"/>
      <c r="E86" s="1351"/>
      <c r="F86" s="1351"/>
      <c r="G86" s="1184"/>
      <c r="H86" s="1351"/>
      <c r="I86" s="1184"/>
      <c r="J86" s="1351"/>
      <c r="K86" s="1184"/>
      <c r="L86" s="1184"/>
      <c r="M86" s="1184"/>
      <c r="N86" s="1351"/>
      <c r="O86" s="1351"/>
      <c r="P86" s="1163"/>
      <c r="Q86" s="1163"/>
    </row>
    <row r="87" ht="12.75" customHeight="1">
      <c r="A87" s="1351"/>
      <c r="B87" s="1351"/>
      <c r="C87" s="1351"/>
      <c r="D87" s="1351"/>
      <c r="E87" s="1351"/>
      <c r="F87" s="1351"/>
      <c r="G87" s="1184"/>
      <c r="H87" s="1351"/>
      <c r="I87" s="1184"/>
      <c r="J87" s="1351"/>
      <c r="K87" s="1184"/>
      <c r="L87" s="1184"/>
      <c r="M87" s="1184"/>
      <c r="N87" s="1351"/>
      <c r="O87" s="1351"/>
      <c r="P87" s="1163"/>
      <c r="Q87" s="1163"/>
    </row>
    <row r="88" ht="12.75" customHeight="1">
      <c r="A88" s="1351"/>
      <c r="B88" s="1351"/>
      <c r="C88" s="1351"/>
      <c r="D88" s="1351"/>
      <c r="E88" s="1351"/>
      <c r="F88" s="1351"/>
      <c r="G88" s="1184"/>
      <c r="H88" s="1351"/>
      <c r="I88" s="1184"/>
      <c r="J88" s="1351"/>
      <c r="K88" s="1184"/>
      <c r="L88" s="1184"/>
      <c r="M88" s="1184"/>
      <c r="N88" s="1351"/>
      <c r="O88" s="1351"/>
      <c r="P88" s="1163"/>
      <c r="Q88" s="1163"/>
    </row>
    <row r="89" ht="12.75" customHeight="1">
      <c r="A89" s="1351"/>
      <c r="B89" s="1351"/>
      <c r="C89" s="1351"/>
      <c r="D89" s="1351"/>
      <c r="E89" s="1351"/>
      <c r="F89" s="1351"/>
      <c r="G89" s="1184"/>
      <c r="H89" s="1351"/>
      <c r="I89" s="1184"/>
      <c r="J89" s="1351"/>
      <c r="K89" s="1184"/>
      <c r="L89" s="1184"/>
      <c r="M89" s="1184"/>
      <c r="N89" s="1351"/>
      <c r="O89" s="1351"/>
      <c r="P89" s="1163"/>
      <c r="Q89" s="1163"/>
    </row>
    <row r="90" ht="12.75" customHeight="1">
      <c r="A90" s="1351"/>
      <c r="B90" s="1351"/>
      <c r="C90" s="1351"/>
      <c r="D90" s="1351"/>
      <c r="E90" s="1351"/>
      <c r="F90" s="1351"/>
      <c r="G90" s="1184"/>
      <c r="H90" s="1351"/>
      <c r="I90" s="1184"/>
      <c r="J90" s="1351"/>
      <c r="K90" s="1184"/>
      <c r="L90" s="1184"/>
      <c r="M90" s="1184"/>
      <c r="N90" s="1351"/>
      <c r="O90" s="1351"/>
      <c r="P90" s="1163"/>
      <c r="Q90" s="1163"/>
    </row>
    <row r="91" ht="12.75" customHeight="1">
      <c r="A91" s="1351"/>
      <c r="B91" s="1351"/>
      <c r="C91" s="1351"/>
      <c r="D91" s="1351"/>
      <c r="E91" s="1351"/>
      <c r="F91" s="1351"/>
      <c r="G91" s="1184"/>
      <c r="H91" s="1351"/>
      <c r="I91" s="1184"/>
      <c r="J91" s="1351"/>
      <c r="K91" s="1184"/>
      <c r="L91" s="1184"/>
      <c r="M91" s="1184"/>
      <c r="N91" s="1351"/>
      <c r="O91" s="1351"/>
      <c r="P91" s="1163"/>
      <c r="Q91" s="1163"/>
    </row>
    <row r="92" ht="12.75" customHeight="1">
      <c r="A92" s="1351"/>
      <c r="B92" s="1351"/>
      <c r="C92" s="1351"/>
      <c r="D92" s="1351"/>
      <c r="E92" s="1351"/>
      <c r="F92" s="1351"/>
      <c r="G92" s="1184"/>
      <c r="H92" s="1351"/>
      <c r="I92" s="1184"/>
      <c r="J92" s="1351"/>
      <c r="K92" s="1184"/>
      <c r="L92" s="1184"/>
      <c r="M92" s="1184"/>
      <c r="N92" s="1351"/>
      <c r="O92" s="1351"/>
      <c r="P92" s="1163"/>
      <c r="Q92" s="1163"/>
    </row>
    <row r="93" ht="12.75" customHeight="1">
      <c r="A93" s="1351"/>
      <c r="B93" s="1351"/>
      <c r="C93" s="1351"/>
      <c r="D93" s="1351"/>
      <c r="E93" s="1351"/>
      <c r="F93" s="1351"/>
      <c r="G93" s="1184"/>
      <c r="H93" s="1351"/>
      <c r="I93" s="1184"/>
      <c r="J93" s="1351"/>
      <c r="K93" s="1184"/>
      <c r="L93" s="1184"/>
      <c r="M93" s="1184"/>
      <c r="N93" s="1351"/>
      <c r="O93" s="1351"/>
      <c r="P93" s="1163"/>
      <c r="Q93" s="1163"/>
    </row>
    <row r="94" ht="12.75" customHeight="1">
      <c r="A94" s="1351"/>
      <c r="B94" s="1351"/>
      <c r="C94" s="1351"/>
      <c r="D94" s="1351"/>
      <c r="E94" s="1351"/>
      <c r="F94" s="1351"/>
      <c r="G94" s="1184"/>
      <c r="H94" s="1351"/>
      <c r="I94" s="1184"/>
      <c r="J94" s="1351"/>
      <c r="K94" s="1184"/>
      <c r="L94" s="1184"/>
      <c r="M94" s="1184"/>
      <c r="N94" s="1351"/>
      <c r="O94" s="1351"/>
      <c r="P94" s="1163"/>
      <c r="Q94" s="1163"/>
    </row>
    <row r="95" ht="12.75" customHeight="1">
      <c r="A95" s="1351"/>
      <c r="B95" s="1351"/>
      <c r="C95" s="1351"/>
      <c r="D95" s="1351"/>
      <c r="E95" s="1351"/>
      <c r="F95" s="1351"/>
      <c r="G95" s="1184"/>
      <c r="H95" s="1351"/>
      <c r="I95" s="1184"/>
      <c r="J95" s="1351"/>
      <c r="K95" s="1184"/>
      <c r="L95" s="1184"/>
      <c r="M95" s="1184"/>
      <c r="N95" s="1351"/>
      <c r="O95" s="1351"/>
      <c r="P95" s="1163"/>
      <c r="Q95" s="1163"/>
    </row>
    <row r="96" ht="12.75" customHeight="1">
      <c r="A96" s="1351"/>
      <c r="B96" s="1351"/>
      <c r="C96" s="1351"/>
      <c r="D96" s="1351"/>
      <c r="E96" s="1351"/>
      <c r="F96" s="1351"/>
      <c r="G96" s="1184"/>
      <c r="H96" s="1351"/>
      <c r="I96" s="1184"/>
      <c r="J96" s="1351"/>
      <c r="K96" s="1184"/>
      <c r="L96" s="1184"/>
      <c r="M96" s="1184"/>
      <c r="N96" s="1351"/>
      <c r="O96" s="1351"/>
      <c r="P96" s="1163"/>
      <c r="Q96" s="1163"/>
    </row>
    <row r="97" ht="12.75" customHeight="1">
      <c r="A97" s="1351"/>
      <c r="B97" s="1351"/>
      <c r="C97" s="1351"/>
      <c r="D97" s="1351"/>
      <c r="E97" s="1351"/>
      <c r="F97" s="1351"/>
      <c r="G97" s="1184"/>
      <c r="H97" s="1351"/>
      <c r="I97" s="1184"/>
      <c r="J97" s="1351"/>
      <c r="K97" s="1184"/>
      <c r="L97" s="1184"/>
      <c r="M97" s="1184"/>
      <c r="N97" s="1351"/>
      <c r="O97" s="1351"/>
      <c r="P97" s="1163"/>
      <c r="Q97" s="1163"/>
    </row>
    <row r="98" ht="12.75" customHeight="1">
      <c r="A98" s="1351"/>
      <c r="B98" s="1351"/>
      <c r="C98" s="1351"/>
      <c r="D98" s="1351"/>
      <c r="E98" s="1351"/>
      <c r="F98" s="1351"/>
      <c r="G98" s="1184"/>
      <c r="H98" s="1351"/>
      <c r="I98" s="1184"/>
      <c r="J98" s="1351"/>
      <c r="K98" s="1184"/>
      <c r="L98" s="1184"/>
      <c r="M98" s="1184"/>
      <c r="N98" s="1351"/>
      <c r="O98" s="1351"/>
      <c r="P98" s="1163"/>
      <c r="Q98" s="1163"/>
    </row>
    <row r="99" ht="12.75" customHeight="1">
      <c r="A99" s="1351"/>
      <c r="B99" s="1351"/>
      <c r="C99" s="1351"/>
      <c r="D99" s="1351"/>
      <c r="E99" s="1351"/>
      <c r="F99" s="1351"/>
      <c r="G99" s="1184"/>
      <c r="H99" s="1351"/>
      <c r="I99" s="1184"/>
      <c r="J99" s="1351"/>
      <c r="K99" s="1184"/>
      <c r="L99" s="1184"/>
      <c r="M99" s="1184"/>
      <c r="N99" s="1351"/>
      <c r="O99" s="1351"/>
      <c r="P99" s="1163"/>
      <c r="Q99" s="1163"/>
    </row>
    <row r="100" ht="12.75" customHeight="1">
      <c r="A100" s="1351"/>
      <c r="B100" s="1351"/>
      <c r="C100" s="1351"/>
      <c r="D100" s="1351"/>
      <c r="E100" s="1351"/>
      <c r="F100" s="1351"/>
      <c r="G100" s="1184"/>
      <c r="H100" s="1351"/>
      <c r="I100" s="1184"/>
      <c r="J100" s="1351"/>
      <c r="K100" s="1184"/>
      <c r="L100" s="1184"/>
      <c r="M100" s="1184"/>
      <c r="N100" s="1351"/>
      <c r="O100" s="1351"/>
      <c r="P100" s="1163"/>
      <c r="Q100" s="1163"/>
    </row>
    <row r="101" ht="12.75" customHeight="1">
      <c r="A101" s="1351"/>
      <c r="B101" s="1351"/>
      <c r="C101" s="1351"/>
      <c r="D101" s="1351"/>
      <c r="E101" s="1351"/>
      <c r="F101" s="1351"/>
      <c r="G101" s="1184"/>
      <c r="H101" s="1351"/>
      <c r="I101" s="1184"/>
      <c r="J101" s="1351"/>
      <c r="K101" s="1184"/>
      <c r="L101" s="1184"/>
      <c r="M101" s="1184"/>
      <c r="N101" s="1351"/>
      <c r="O101" s="1351"/>
      <c r="P101" s="1163"/>
      <c r="Q101" s="1163"/>
    </row>
    <row r="102" ht="12.75" customHeight="1">
      <c r="A102" s="1351"/>
      <c r="B102" s="1351"/>
      <c r="C102" s="1351"/>
      <c r="D102" s="1351"/>
      <c r="E102" s="1351"/>
      <c r="F102" s="1351"/>
      <c r="G102" s="1184"/>
      <c r="H102" s="1351"/>
      <c r="I102" s="1184"/>
      <c r="J102" s="1351"/>
      <c r="K102" s="1184"/>
      <c r="L102" s="1184"/>
      <c r="M102" s="1184"/>
      <c r="N102" s="1351"/>
      <c r="O102" s="1351"/>
      <c r="P102" s="1163"/>
      <c r="Q102" s="1163"/>
    </row>
    <row r="103" ht="12.75" customHeight="1">
      <c r="A103" s="1351"/>
      <c r="B103" s="1351"/>
      <c r="C103" s="1351"/>
      <c r="D103" s="1351"/>
      <c r="E103" s="1351"/>
      <c r="F103" s="1351"/>
      <c r="G103" s="1184"/>
      <c r="H103" s="1351"/>
      <c r="I103" s="1184"/>
      <c r="J103" s="1351"/>
      <c r="K103" s="1184"/>
      <c r="L103" s="1184"/>
      <c r="M103" s="1184"/>
      <c r="N103" s="1351"/>
      <c r="O103" s="1351"/>
      <c r="P103" s="1163"/>
      <c r="Q103" s="1163"/>
    </row>
    <row r="104" ht="12.75" customHeight="1">
      <c r="A104" s="1351"/>
      <c r="B104" s="1351"/>
      <c r="C104" s="1351"/>
      <c r="D104" s="1351"/>
      <c r="E104" s="1351"/>
      <c r="F104" s="1351"/>
      <c r="G104" s="1184"/>
      <c r="H104" s="1351"/>
      <c r="I104" s="1184"/>
      <c r="J104" s="1351"/>
      <c r="K104" s="1184"/>
      <c r="L104" s="1184"/>
      <c r="M104" s="1184"/>
      <c r="N104" s="1351"/>
      <c r="O104" s="1351"/>
      <c r="P104" s="1163"/>
      <c r="Q104" s="1163"/>
    </row>
    <row r="105" ht="12.75" customHeight="1">
      <c r="A105" s="1351"/>
      <c r="B105" s="1351"/>
      <c r="C105" s="1351"/>
      <c r="D105" s="1351"/>
      <c r="E105" s="1351"/>
      <c r="F105" s="1351"/>
      <c r="G105" s="1184"/>
      <c r="H105" s="1351"/>
      <c r="I105" s="1184"/>
      <c r="J105" s="1351"/>
      <c r="K105" s="1184"/>
      <c r="L105" s="1184"/>
      <c r="M105" s="1184"/>
      <c r="N105" s="1351"/>
      <c r="O105" s="1351"/>
      <c r="P105" s="1163"/>
      <c r="Q105" s="1163"/>
    </row>
    <row r="106" ht="12.75" customHeight="1">
      <c r="A106" s="1351"/>
      <c r="B106" s="1351"/>
      <c r="C106" s="1351"/>
      <c r="D106" s="1351"/>
      <c r="E106" s="1351"/>
      <c r="F106" s="1351"/>
      <c r="G106" s="1184"/>
      <c r="H106" s="1351"/>
      <c r="I106" s="1184"/>
      <c r="J106" s="1351"/>
      <c r="K106" s="1184"/>
      <c r="L106" s="1184"/>
      <c r="M106" s="1184"/>
      <c r="N106" s="1351"/>
      <c r="O106" s="1351"/>
      <c r="P106" s="1163"/>
      <c r="Q106" s="1163"/>
    </row>
    <row r="107" ht="12.75" customHeight="1">
      <c r="A107" s="1351"/>
      <c r="B107" s="1351"/>
      <c r="C107" s="1351"/>
      <c r="D107" s="1351"/>
      <c r="E107" s="1351"/>
      <c r="F107" s="1351"/>
      <c r="G107" s="1184"/>
      <c r="H107" s="1351"/>
      <c r="I107" s="1184"/>
      <c r="J107" s="1351"/>
      <c r="K107" s="1184"/>
      <c r="L107" s="1184"/>
      <c r="M107" s="1184"/>
      <c r="N107" s="1351"/>
      <c r="O107" s="1351"/>
      <c r="P107" s="1163"/>
      <c r="Q107" s="1163"/>
    </row>
    <row r="108" ht="12.75" customHeight="1">
      <c r="A108" s="1351"/>
      <c r="B108" s="1351"/>
      <c r="C108" s="1351"/>
      <c r="D108" s="1351"/>
      <c r="E108" s="1351"/>
      <c r="F108" s="1351"/>
      <c r="G108" s="1184"/>
      <c r="H108" s="1351"/>
      <c r="I108" s="1184"/>
      <c r="J108" s="1351"/>
      <c r="K108" s="1184"/>
      <c r="L108" s="1184"/>
      <c r="M108" s="1184"/>
      <c r="N108" s="1351"/>
      <c r="O108" s="1351"/>
      <c r="P108" s="1163"/>
      <c r="Q108" s="1163"/>
    </row>
    <row r="109" ht="12.75" customHeight="1">
      <c r="A109" s="1351"/>
      <c r="B109" s="1351"/>
      <c r="C109" s="1351"/>
      <c r="D109" s="1351"/>
      <c r="E109" s="1351"/>
      <c r="F109" s="1351"/>
      <c r="G109" s="1184"/>
      <c r="H109" s="1351"/>
      <c r="I109" s="1184"/>
      <c r="J109" s="1351"/>
      <c r="K109" s="1184"/>
      <c r="L109" s="1184"/>
      <c r="M109" s="1184"/>
      <c r="N109" s="1351"/>
      <c r="O109" s="1351"/>
      <c r="P109" s="1163"/>
      <c r="Q109" s="1163"/>
    </row>
    <row r="110" ht="12.75" customHeight="1">
      <c r="A110" s="1351"/>
      <c r="B110" s="1351"/>
      <c r="C110" s="1351"/>
      <c r="D110" s="1351"/>
      <c r="E110" s="1351"/>
      <c r="F110" s="1351"/>
      <c r="G110" s="1184"/>
      <c r="H110" s="1351"/>
      <c r="I110" s="1184"/>
      <c r="J110" s="1351"/>
      <c r="K110" s="1184"/>
      <c r="L110" s="1184"/>
      <c r="M110" s="1184"/>
      <c r="N110" s="1351"/>
      <c r="O110" s="1351"/>
      <c r="P110" s="1163"/>
      <c r="Q110" s="1163"/>
    </row>
    <row r="111" ht="12.75" customHeight="1">
      <c r="A111" s="1351"/>
      <c r="B111" s="1351"/>
      <c r="C111" s="1351"/>
      <c r="D111" s="1351"/>
      <c r="E111" s="1351"/>
      <c r="F111" s="1351"/>
      <c r="G111" s="1184"/>
      <c r="H111" s="1351"/>
      <c r="I111" s="1184"/>
      <c r="J111" s="1351"/>
      <c r="K111" s="1184"/>
      <c r="L111" s="1184"/>
      <c r="M111" s="1184"/>
      <c r="N111" s="1351"/>
      <c r="O111" s="1351"/>
      <c r="P111" s="1163"/>
      <c r="Q111" s="1163"/>
    </row>
    <row r="112" ht="12.75" customHeight="1">
      <c r="A112" s="1351"/>
      <c r="B112" s="1351"/>
      <c r="C112" s="1351"/>
      <c r="D112" s="1351"/>
      <c r="E112" s="1351"/>
      <c r="F112" s="1351"/>
      <c r="G112" s="1184"/>
      <c r="H112" s="1351"/>
      <c r="I112" s="1184"/>
      <c r="J112" s="1351"/>
      <c r="K112" s="1184"/>
      <c r="L112" s="1184"/>
      <c r="M112" s="1184"/>
      <c r="N112" s="1351"/>
      <c r="O112" s="1351"/>
      <c r="P112" s="1163"/>
      <c r="Q112" s="1163"/>
    </row>
    <row r="113" ht="12.75" customHeight="1">
      <c r="A113" s="1351"/>
      <c r="B113" s="1351"/>
      <c r="C113" s="1351"/>
      <c r="D113" s="1351"/>
      <c r="E113" s="1351"/>
      <c r="F113" s="1351"/>
      <c r="G113" s="1184"/>
      <c r="H113" s="1351"/>
      <c r="I113" s="1184"/>
      <c r="J113" s="1351"/>
      <c r="K113" s="1184"/>
      <c r="L113" s="1184"/>
      <c r="M113" s="1184"/>
      <c r="N113" s="1351"/>
      <c r="O113" s="1351"/>
      <c r="P113" s="1163"/>
      <c r="Q113" s="1163"/>
    </row>
    <row r="114" ht="12.75" customHeight="1">
      <c r="A114" s="1351"/>
      <c r="B114" s="1351"/>
      <c r="C114" s="1351"/>
      <c r="D114" s="1351"/>
      <c r="E114" s="1351"/>
      <c r="F114" s="1351"/>
      <c r="G114" s="1184"/>
      <c r="H114" s="1351"/>
      <c r="I114" s="1184"/>
      <c r="J114" s="1351"/>
      <c r="K114" s="1184"/>
      <c r="L114" s="1184"/>
      <c r="M114" s="1184"/>
      <c r="N114" s="1351"/>
      <c r="O114" s="1351"/>
      <c r="P114" s="1163"/>
      <c r="Q114" s="1163"/>
    </row>
    <row r="115" ht="12.75" customHeight="1">
      <c r="A115" s="1351"/>
      <c r="B115" s="1351"/>
      <c r="C115" s="1351"/>
      <c r="D115" s="1351"/>
      <c r="E115" s="1351"/>
      <c r="F115" s="1351"/>
      <c r="G115" s="1184"/>
      <c r="H115" s="1351"/>
      <c r="I115" s="1184"/>
      <c r="J115" s="1351"/>
      <c r="K115" s="1184"/>
      <c r="L115" s="1184"/>
      <c r="M115" s="1184"/>
      <c r="N115" s="1351"/>
      <c r="O115" s="1351"/>
      <c r="P115" s="1163"/>
      <c r="Q115" s="1163"/>
    </row>
    <row r="116" ht="12.75" customHeight="1">
      <c r="A116" s="1351"/>
      <c r="B116" s="1351"/>
      <c r="C116" s="1351"/>
      <c r="D116" s="1351"/>
      <c r="E116" s="1351"/>
      <c r="F116" s="1351"/>
      <c r="G116" s="1184"/>
      <c r="H116" s="1351"/>
      <c r="I116" s="1184"/>
      <c r="J116" s="1351"/>
      <c r="K116" s="1184"/>
      <c r="L116" s="1184"/>
      <c r="M116" s="1184"/>
      <c r="N116" s="1351"/>
      <c r="O116" s="1351"/>
      <c r="P116" s="1163"/>
      <c r="Q116" s="1163"/>
    </row>
    <row r="117" ht="12.75" customHeight="1">
      <c r="A117" s="1351"/>
      <c r="B117" s="1351"/>
      <c r="C117" s="1351"/>
      <c r="D117" s="1351"/>
      <c r="E117" s="1351"/>
      <c r="F117" s="1351"/>
      <c r="G117" s="1184"/>
      <c r="H117" s="1351"/>
      <c r="I117" s="1184"/>
      <c r="J117" s="1351"/>
      <c r="K117" s="1184"/>
      <c r="L117" s="1184"/>
      <c r="M117" s="1184"/>
      <c r="N117" s="1351"/>
      <c r="O117" s="1351"/>
      <c r="P117" s="1163"/>
      <c r="Q117" s="1163"/>
    </row>
    <row r="118" ht="12.75" customHeight="1">
      <c r="A118" s="1351"/>
      <c r="B118" s="1351"/>
      <c r="C118" s="1351"/>
      <c r="D118" s="1351"/>
      <c r="E118" s="1351"/>
      <c r="F118" s="1351"/>
      <c r="G118" s="1184"/>
      <c r="H118" s="1351"/>
      <c r="I118" s="1184"/>
      <c r="J118" s="1351"/>
      <c r="K118" s="1184"/>
      <c r="L118" s="1184"/>
      <c r="M118" s="1184"/>
      <c r="N118" s="1351"/>
      <c r="O118" s="1351"/>
      <c r="P118" s="1163"/>
      <c r="Q118" s="1163"/>
    </row>
    <row r="119" ht="12.75" customHeight="1">
      <c r="A119" s="1351"/>
      <c r="B119" s="1351"/>
      <c r="C119" s="1351"/>
      <c r="D119" s="1351"/>
      <c r="E119" s="1351"/>
      <c r="F119" s="1351"/>
      <c r="G119" s="1184"/>
      <c r="H119" s="1351"/>
      <c r="I119" s="1184"/>
      <c r="J119" s="1351"/>
      <c r="K119" s="1184"/>
      <c r="L119" s="1184"/>
      <c r="M119" s="1184"/>
      <c r="N119" s="1351"/>
      <c r="O119" s="1351"/>
      <c r="P119" s="1163"/>
      <c r="Q119" s="1163"/>
    </row>
    <row r="120" ht="12.75" customHeight="1">
      <c r="A120" s="1351"/>
      <c r="B120" s="1351"/>
      <c r="C120" s="1351"/>
      <c r="D120" s="1351"/>
      <c r="E120" s="1351"/>
      <c r="F120" s="1351"/>
      <c r="G120" s="1184"/>
      <c r="H120" s="1351"/>
      <c r="I120" s="1184"/>
      <c r="J120" s="1351"/>
      <c r="K120" s="1184"/>
      <c r="L120" s="1184"/>
      <c r="M120" s="1184"/>
      <c r="N120" s="1351"/>
      <c r="O120" s="1351"/>
      <c r="P120" s="1163"/>
      <c r="Q120" s="1163"/>
    </row>
    <row r="121" ht="12.75" customHeight="1">
      <c r="A121" s="1351"/>
      <c r="B121" s="1351"/>
      <c r="C121" s="1351"/>
      <c r="D121" s="1351"/>
      <c r="E121" s="1351"/>
      <c r="F121" s="1351"/>
      <c r="G121" s="1184"/>
      <c r="H121" s="1351"/>
      <c r="I121" s="1184"/>
      <c r="J121" s="1351"/>
      <c r="K121" s="1184"/>
      <c r="L121" s="1184"/>
      <c r="M121" s="1184"/>
      <c r="N121" s="1351"/>
      <c r="O121" s="1351"/>
      <c r="P121" s="1163"/>
      <c r="Q121" s="1163"/>
    </row>
    <row r="122" ht="12.75" customHeight="1">
      <c r="A122" s="1351"/>
      <c r="B122" s="1351"/>
      <c r="C122" s="1351"/>
      <c r="D122" s="1351"/>
      <c r="E122" s="1351"/>
      <c r="F122" s="1351"/>
      <c r="G122" s="1184"/>
      <c r="H122" s="1351"/>
      <c r="I122" s="1184"/>
      <c r="J122" s="1351"/>
      <c r="K122" s="1184"/>
      <c r="L122" s="1184"/>
      <c r="M122" s="1184"/>
      <c r="N122" s="1351"/>
      <c r="O122" s="1351"/>
      <c r="P122" s="1163"/>
      <c r="Q122" s="1163"/>
    </row>
    <row r="123" ht="12.75" customHeight="1">
      <c r="A123" s="1351"/>
      <c r="B123" s="1351"/>
      <c r="C123" s="1351"/>
      <c r="D123" s="1351"/>
      <c r="E123" s="1351"/>
      <c r="F123" s="1351"/>
      <c r="G123" s="1184"/>
      <c r="H123" s="1351"/>
      <c r="I123" s="1184"/>
      <c r="J123" s="1351"/>
      <c r="K123" s="1184"/>
      <c r="L123" s="1184"/>
      <c r="M123" s="1184"/>
      <c r="N123" s="1351"/>
      <c r="O123" s="1351"/>
      <c r="P123" s="1163"/>
      <c r="Q123" s="1163"/>
    </row>
    <row r="124" ht="12.75" customHeight="1">
      <c r="A124" s="1351"/>
      <c r="B124" s="1351"/>
      <c r="C124" s="1351"/>
      <c r="D124" s="1351"/>
      <c r="E124" s="1351"/>
      <c r="F124" s="1351"/>
      <c r="G124" s="1184"/>
      <c r="H124" s="1351"/>
      <c r="I124" s="1184"/>
      <c r="J124" s="1351"/>
      <c r="K124" s="1184"/>
      <c r="L124" s="1184"/>
      <c r="M124" s="1184"/>
      <c r="N124" s="1351"/>
      <c r="O124" s="1351"/>
      <c r="P124" s="1163"/>
      <c r="Q124" s="1163"/>
    </row>
    <row r="125" ht="12.75" customHeight="1">
      <c r="A125" s="1351"/>
      <c r="B125" s="1351"/>
      <c r="C125" s="1351"/>
      <c r="D125" s="1351"/>
      <c r="E125" s="1351"/>
      <c r="F125" s="1351"/>
      <c r="G125" s="1184"/>
      <c r="H125" s="1351"/>
      <c r="I125" s="1184"/>
      <c r="J125" s="1351"/>
      <c r="K125" s="1184"/>
      <c r="L125" s="1184"/>
      <c r="M125" s="1184"/>
      <c r="N125" s="1351"/>
      <c r="O125" s="1351"/>
      <c r="P125" s="1163"/>
      <c r="Q125" s="1163"/>
    </row>
    <row r="126" ht="12.75" customHeight="1">
      <c r="A126" s="1351"/>
      <c r="B126" s="1351"/>
      <c r="C126" s="1351"/>
      <c r="D126" s="1351"/>
      <c r="E126" s="1351"/>
      <c r="F126" s="1351"/>
      <c r="G126" s="1184"/>
      <c r="H126" s="1351"/>
      <c r="I126" s="1184"/>
      <c r="J126" s="1351"/>
      <c r="K126" s="1184"/>
      <c r="L126" s="1184"/>
      <c r="M126" s="1184"/>
      <c r="N126" s="1351"/>
      <c r="O126" s="1351"/>
      <c r="P126" s="1163"/>
      <c r="Q126" s="1163"/>
    </row>
    <row r="127" ht="12.75" customHeight="1">
      <c r="A127" s="1351"/>
      <c r="B127" s="1351"/>
      <c r="C127" s="1351"/>
      <c r="D127" s="1351"/>
      <c r="E127" s="1351"/>
      <c r="F127" s="1351"/>
      <c r="G127" s="1184"/>
      <c r="H127" s="1351"/>
      <c r="I127" s="1184"/>
      <c r="J127" s="1351"/>
      <c r="K127" s="1184"/>
      <c r="L127" s="1184"/>
      <c r="M127" s="1184"/>
      <c r="N127" s="1351"/>
      <c r="O127" s="1351"/>
      <c r="P127" s="1163"/>
      <c r="Q127" s="1163"/>
    </row>
    <row r="128" ht="12.75" customHeight="1">
      <c r="A128" s="1351"/>
      <c r="B128" s="1351"/>
      <c r="C128" s="1351"/>
      <c r="D128" s="1351"/>
      <c r="E128" s="1351"/>
      <c r="F128" s="1351"/>
      <c r="G128" s="1184"/>
      <c r="H128" s="1351"/>
      <c r="I128" s="1184"/>
      <c r="J128" s="1351"/>
      <c r="K128" s="1184"/>
      <c r="L128" s="1184"/>
      <c r="M128" s="1184"/>
      <c r="N128" s="1351"/>
      <c r="O128" s="1351"/>
      <c r="P128" s="1163"/>
      <c r="Q128" s="1163"/>
    </row>
    <row r="129" ht="12.75" customHeight="1">
      <c r="A129" s="1351"/>
      <c r="B129" s="1351"/>
      <c r="C129" s="1351"/>
      <c r="D129" s="1351"/>
      <c r="E129" s="1351"/>
      <c r="F129" s="1351"/>
      <c r="G129" s="1184"/>
      <c r="H129" s="1351"/>
      <c r="I129" s="1184"/>
      <c r="J129" s="1351"/>
      <c r="K129" s="1184"/>
      <c r="L129" s="1184"/>
      <c r="M129" s="1184"/>
      <c r="N129" s="1351"/>
      <c r="O129" s="1351"/>
      <c r="P129" s="1163"/>
      <c r="Q129" s="1163"/>
    </row>
    <row r="130" ht="12.75" customHeight="1">
      <c r="A130" s="1351"/>
      <c r="B130" s="1351"/>
      <c r="C130" s="1351"/>
      <c r="D130" s="1351"/>
      <c r="E130" s="1351"/>
      <c r="F130" s="1351"/>
      <c r="G130" s="1184"/>
      <c r="H130" s="1351"/>
      <c r="I130" s="1184"/>
      <c r="J130" s="1351"/>
      <c r="K130" s="1184"/>
      <c r="L130" s="1184"/>
      <c r="M130" s="1184"/>
      <c r="N130" s="1351"/>
      <c r="O130" s="1351"/>
      <c r="P130" s="1163"/>
      <c r="Q130" s="1163"/>
    </row>
    <row r="131" ht="12.75" customHeight="1">
      <c r="A131" s="1351"/>
      <c r="B131" s="1351"/>
      <c r="C131" s="1351"/>
      <c r="D131" s="1351"/>
      <c r="E131" s="1351"/>
      <c r="F131" s="1351"/>
      <c r="G131" s="1184"/>
      <c r="H131" s="1351"/>
      <c r="I131" s="1184"/>
      <c r="J131" s="1351"/>
      <c r="K131" s="1184"/>
      <c r="L131" s="1184"/>
      <c r="M131" s="1184"/>
      <c r="N131" s="1351"/>
      <c r="O131" s="1351"/>
      <c r="P131" s="1163"/>
      <c r="Q131" s="1163"/>
    </row>
    <row r="132" ht="12.75" customHeight="1">
      <c r="A132" s="1351"/>
      <c r="B132" s="1351"/>
      <c r="C132" s="1351"/>
      <c r="D132" s="1351"/>
      <c r="E132" s="1351"/>
      <c r="F132" s="1351"/>
      <c r="G132" s="1184"/>
      <c r="H132" s="1351"/>
      <c r="I132" s="1184"/>
      <c r="J132" s="1351"/>
      <c r="K132" s="1184"/>
      <c r="L132" s="1184"/>
      <c r="M132" s="1184"/>
      <c r="N132" s="1351"/>
      <c r="O132" s="1351"/>
      <c r="P132" s="1163"/>
      <c r="Q132" s="1163"/>
    </row>
    <row r="133" ht="12.75" customHeight="1">
      <c r="A133" s="1351"/>
      <c r="B133" s="1351"/>
      <c r="C133" s="1351"/>
      <c r="D133" s="1351"/>
      <c r="E133" s="1351"/>
      <c r="F133" s="1351"/>
      <c r="G133" s="1184"/>
      <c r="H133" s="1351"/>
      <c r="I133" s="1184"/>
      <c r="J133" s="1351"/>
      <c r="K133" s="1184"/>
      <c r="L133" s="1184"/>
      <c r="M133" s="1184"/>
      <c r="N133" s="1351"/>
      <c r="O133" s="1351"/>
      <c r="P133" s="1163"/>
      <c r="Q133" s="1163"/>
    </row>
    <row r="134" ht="12.75" customHeight="1">
      <c r="A134" s="1351"/>
      <c r="B134" s="1351"/>
      <c r="C134" s="1351"/>
      <c r="D134" s="1351"/>
      <c r="E134" s="1351"/>
      <c r="F134" s="1351"/>
      <c r="G134" s="1184"/>
      <c r="H134" s="1351"/>
      <c r="I134" s="1184"/>
      <c r="J134" s="1351"/>
      <c r="K134" s="1184"/>
      <c r="L134" s="1184"/>
      <c r="M134" s="1184"/>
      <c r="N134" s="1351"/>
      <c r="O134" s="1351"/>
      <c r="P134" s="1163"/>
      <c r="Q134" s="1163"/>
    </row>
    <row r="135" ht="12.75" customHeight="1">
      <c r="A135" s="1351"/>
      <c r="B135" s="1351"/>
      <c r="C135" s="1351"/>
      <c r="D135" s="1351"/>
      <c r="E135" s="1351"/>
      <c r="F135" s="1351"/>
      <c r="G135" s="1184"/>
      <c r="H135" s="1351"/>
      <c r="I135" s="1184"/>
      <c r="J135" s="1351"/>
      <c r="K135" s="1184"/>
      <c r="L135" s="1184"/>
      <c r="M135" s="1184"/>
      <c r="N135" s="1351"/>
      <c r="O135" s="1351"/>
      <c r="P135" s="1163"/>
      <c r="Q135" s="1163"/>
    </row>
    <row r="136" ht="12.75" customHeight="1">
      <c r="A136" s="1351"/>
      <c r="B136" s="1351"/>
      <c r="C136" s="1351"/>
      <c r="D136" s="1351"/>
      <c r="E136" s="1351"/>
      <c r="F136" s="1351"/>
      <c r="G136" s="1184"/>
      <c r="H136" s="1351"/>
      <c r="I136" s="1184"/>
      <c r="J136" s="1351"/>
      <c r="K136" s="1184"/>
      <c r="L136" s="1184"/>
      <c r="M136" s="1184"/>
      <c r="N136" s="1351"/>
      <c r="O136" s="1351"/>
      <c r="P136" s="1163"/>
      <c r="Q136" s="1163"/>
    </row>
    <row r="137" ht="12.75" customHeight="1">
      <c r="A137" s="1351"/>
      <c r="B137" s="1351"/>
      <c r="C137" s="1351"/>
      <c r="D137" s="1351"/>
      <c r="E137" s="1351"/>
      <c r="F137" s="1351"/>
      <c r="G137" s="1184"/>
      <c r="H137" s="1351"/>
      <c r="I137" s="1184"/>
      <c r="J137" s="1351"/>
      <c r="K137" s="1184"/>
      <c r="L137" s="1184"/>
      <c r="M137" s="1184"/>
      <c r="N137" s="1351"/>
      <c r="O137" s="1351"/>
      <c r="P137" s="1163"/>
      <c r="Q137" s="1163"/>
    </row>
    <row r="138" ht="12.75" customHeight="1">
      <c r="A138" s="1351"/>
      <c r="B138" s="1351"/>
      <c r="C138" s="1351"/>
      <c r="D138" s="1351"/>
      <c r="E138" s="1351"/>
      <c r="F138" s="1351"/>
      <c r="G138" s="1184"/>
      <c r="H138" s="1351"/>
      <c r="I138" s="1184"/>
      <c r="J138" s="1351"/>
      <c r="K138" s="1184"/>
      <c r="L138" s="1184"/>
      <c r="M138" s="1184"/>
      <c r="N138" s="1351"/>
      <c r="O138" s="1351"/>
      <c r="P138" s="1163"/>
      <c r="Q138" s="1163"/>
    </row>
    <row r="139" ht="12.75" customHeight="1">
      <c r="A139" s="1351"/>
      <c r="B139" s="1351"/>
      <c r="C139" s="1351"/>
      <c r="D139" s="1351"/>
      <c r="E139" s="1351"/>
      <c r="F139" s="1351"/>
      <c r="G139" s="1184"/>
      <c r="H139" s="1351"/>
      <c r="I139" s="1184"/>
      <c r="J139" s="1351"/>
      <c r="K139" s="1184"/>
      <c r="L139" s="1184"/>
      <c r="M139" s="1184"/>
      <c r="N139" s="1351"/>
      <c r="O139" s="1351"/>
      <c r="P139" s="1163"/>
      <c r="Q139" s="1163"/>
    </row>
    <row r="140" ht="12.75" customHeight="1">
      <c r="A140" s="1351"/>
      <c r="B140" s="1351"/>
      <c r="C140" s="1351"/>
      <c r="D140" s="1351"/>
      <c r="E140" s="1351"/>
      <c r="F140" s="1351"/>
      <c r="G140" s="1184"/>
      <c r="H140" s="1351"/>
      <c r="I140" s="1184"/>
      <c r="J140" s="1351"/>
      <c r="K140" s="1184"/>
      <c r="L140" s="1184"/>
      <c r="M140" s="1184"/>
      <c r="N140" s="1351"/>
      <c r="O140" s="1351"/>
      <c r="P140" s="1163"/>
      <c r="Q140" s="1163"/>
    </row>
    <row r="141" ht="12.75" customHeight="1">
      <c r="A141" s="1351"/>
      <c r="B141" s="1351"/>
      <c r="C141" s="1351"/>
      <c r="D141" s="1351"/>
      <c r="E141" s="1351"/>
      <c r="F141" s="1351"/>
      <c r="G141" s="1184"/>
      <c r="H141" s="1351"/>
      <c r="I141" s="1184"/>
      <c r="J141" s="1351"/>
      <c r="K141" s="1184"/>
      <c r="L141" s="1184"/>
      <c r="M141" s="1184"/>
      <c r="N141" s="1351"/>
      <c r="O141" s="1351"/>
      <c r="P141" s="1163"/>
      <c r="Q141" s="1163"/>
    </row>
    <row r="142" ht="12.75" customHeight="1">
      <c r="A142" s="1351"/>
      <c r="B142" s="1351"/>
      <c r="C142" s="1351"/>
      <c r="D142" s="1351"/>
      <c r="E142" s="1351"/>
      <c r="F142" s="1351"/>
      <c r="G142" s="1184"/>
      <c r="H142" s="1351"/>
      <c r="I142" s="1184"/>
      <c r="J142" s="1351"/>
      <c r="K142" s="1184"/>
      <c r="L142" s="1184"/>
      <c r="M142" s="1184"/>
      <c r="N142" s="1351"/>
      <c r="O142" s="1351"/>
      <c r="P142" s="1163"/>
      <c r="Q142" s="1163"/>
    </row>
    <row r="143" ht="12.75" customHeight="1">
      <c r="A143" s="1351"/>
      <c r="B143" s="1351"/>
      <c r="C143" s="1351"/>
      <c r="D143" s="1351"/>
      <c r="E143" s="1351"/>
      <c r="F143" s="1351"/>
      <c r="G143" s="1184"/>
      <c r="H143" s="1351"/>
      <c r="I143" s="1184"/>
      <c r="J143" s="1351"/>
      <c r="K143" s="1184"/>
      <c r="L143" s="1184"/>
      <c r="M143" s="1184"/>
      <c r="N143" s="1351"/>
      <c r="O143" s="1351"/>
      <c r="P143" s="1163"/>
      <c r="Q143" s="1163"/>
    </row>
    <row r="144" ht="12.75" customHeight="1">
      <c r="A144" s="1351"/>
      <c r="B144" s="1351"/>
      <c r="C144" s="1351"/>
      <c r="D144" s="1351"/>
      <c r="E144" s="1351"/>
      <c r="F144" s="1351"/>
      <c r="G144" s="1184"/>
      <c r="H144" s="1351"/>
      <c r="I144" s="1184"/>
      <c r="J144" s="1351"/>
      <c r="K144" s="1184"/>
      <c r="L144" s="1184"/>
      <c r="M144" s="1184"/>
      <c r="N144" s="1351"/>
      <c r="O144" s="1351"/>
      <c r="P144" s="1163"/>
      <c r="Q144" s="1163"/>
    </row>
    <row r="145" ht="12.75" customHeight="1">
      <c r="A145" s="1351"/>
      <c r="B145" s="1351"/>
      <c r="C145" s="1351"/>
      <c r="D145" s="1351"/>
      <c r="E145" s="1351"/>
      <c r="F145" s="1351"/>
      <c r="G145" s="1184"/>
      <c r="H145" s="1351"/>
      <c r="I145" s="1184"/>
      <c r="J145" s="1351"/>
      <c r="K145" s="1184"/>
      <c r="L145" s="1184"/>
      <c r="M145" s="1184"/>
      <c r="N145" s="1351"/>
      <c r="O145" s="1351"/>
      <c r="P145" s="1163"/>
      <c r="Q145" s="1163"/>
    </row>
    <row r="146" ht="12.75" customHeight="1">
      <c r="A146" s="1351"/>
      <c r="B146" s="1351"/>
      <c r="C146" s="1351"/>
      <c r="D146" s="1351"/>
      <c r="E146" s="1351"/>
      <c r="F146" s="1351"/>
      <c r="G146" s="1184"/>
      <c r="H146" s="1351"/>
      <c r="I146" s="1184"/>
      <c r="J146" s="1351"/>
      <c r="K146" s="1184"/>
      <c r="L146" s="1184"/>
      <c r="M146" s="1184"/>
      <c r="N146" s="1351"/>
      <c r="O146" s="1351"/>
      <c r="P146" s="1163"/>
      <c r="Q146" s="1163"/>
    </row>
    <row r="147" ht="12.75" customHeight="1">
      <c r="A147" s="1351"/>
      <c r="B147" s="1351"/>
      <c r="C147" s="1351"/>
      <c r="D147" s="1351"/>
      <c r="E147" s="1351"/>
      <c r="F147" s="1351"/>
      <c r="G147" s="1184"/>
      <c r="H147" s="1351"/>
      <c r="I147" s="1184"/>
      <c r="J147" s="1351"/>
      <c r="K147" s="1184"/>
      <c r="L147" s="1184"/>
      <c r="M147" s="1184"/>
      <c r="N147" s="1351"/>
      <c r="O147" s="1351"/>
      <c r="P147" s="1163"/>
      <c r="Q147" s="1163"/>
    </row>
    <row r="148" ht="12.75" customHeight="1">
      <c r="A148" s="1351"/>
      <c r="B148" s="1351"/>
      <c r="C148" s="1351"/>
      <c r="D148" s="1351"/>
      <c r="E148" s="1351"/>
      <c r="F148" s="1351"/>
      <c r="G148" s="1184"/>
      <c r="H148" s="1351"/>
      <c r="I148" s="1184"/>
      <c r="J148" s="1351"/>
      <c r="K148" s="1184"/>
      <c r="L148" s="1184"/>
      <c r="M148" s="1184"/>
      <c r="N148" s="1351"/>
      <c r="O148" s="1351"/>
      <c r="P148" s="1163"/>
      <c r="Q148" s="1163"/>
    </row>
    <row r="149" ht="12.75" customHeight="1">
      <c r="A149" s="1351"/>
      <c r="B149" s="1351"/>
      <c r="C149" s="1351"/>
      <c r="D149" s="1351"/>
      <c r="E149" s="1351"/>
      <c r="F149" s="1351"/>
      <c r="G149" s="1184"/>
      <c r="H149" s="1351"/>
      <c r="I149" s="1184"/>
      <c r="J149" s="1351"/>
      <c r="K149" s="1184"/>
      <c r="L149" s="1184"/>
      <c r="M149" s="1184"/>
      <c r="N149" s="1351"/>
      <c r="O149" s="1351"/>
      <c r="P149" s="1163"/>
      <c r="Q149" s="1163"/>
    </row>
    <row r="150" ht="12.75" customHeight="1">
      <c r="A150" s="1351"/>
      <c r="B150" s="1351"/>
      <c r="C150" s="1351"/>
      <c r="D150" s="1351"/>
      <c r="E150" s="1351"/>
      <c r="F150" s="1351"/>
      <c r="G150" s="1184"/>
      <c r="H150" s="1351"/>
      <c r="I150" s="1184"/>
      <c r="J150" s="1351"/>
      <c r="K150" s="1184"/>
      <c r="L150" s="1184"/>
      <c r="M150" s="1184"/>
      <c r="N150" s="1351"/>
      <c r="O150" s="1351"/>
      <c r="P150" s="1163"/>
      <c r="Q150" s="1163"/>
    </row>
    <row r="151" ht="12.75" customHeight="1">
      <c r="A151" s="1351"/>
      <c r="B151" s="1351"/>
      <c r="C151" s="1351"/>
      <c r="D151" s="1351"/>
      <c r="E151" s="1351"/>
      <c r="F151" s="1351"/>
      <c r="G151" s="1184"/>
      <c r="H151" s="1351"/>
      <c r="I151" s="1184"/>
      <c r="J151" s="1351"/>
      <c r="K151" s="1184"/>
      <c r="L151" s="1184"/>
      <c r="M151" s="1184"/>
      <c r="N151" s="1351"/>
      <c r="O151" s="1351"/>
      <c r="P151" s="1163"/>
      <c r="Q151" s="1163"/>
    </row>
    <row r="152" ht="12.75" customHeight="1">
      <c r="A152" s="1351"/>
      <c r="B152" s="1351"/>
      <c r="C152" s="1351"/>
      <c r="D152" s="1351"/>
      <c r="E152" s="1351"/>
      <c r="F152" s="1351"/>
      <c r="G152" s="1184"/>
      <c r="H152" s="1351"/>
      <c r="I152" s="1184"/>
      <c r="J152" s="1351"/>
      <c r="K152" s="1184"/>
      <c r="L152" s="1184"/>
      <c r="M152" s="1184"/>
      <c r="N152" s="1351"/>
      <c r="O152" s="1351"/>
      <c r="P152" s="1163"/>
      <c r="Q152" s="1163"/>
    </row>
    <row r="153" ht="12.75" customHeight="1">
      <c r="A153" s="1351"/>
      <c r="B153" s="1351"/>
      <c r="C153" s="1351"/>
      <c r="D153" s="1351"/>
      <c r="E153" s="1351"/>
      <c r="F153" s="1351"/>
      <c r="G153" s="1184"/>
      <c r="H153" s="1351"/>
      <c r="I153" s="1184"/>
      <c r="J153" s="1351"/>
      <c r="K153" s="1184"/>
      <c r="L153" s="1184"/>
      <c r="M153" s="1184"/>
      <c r="N153" s="1351"/>
      <c r="O153" s="1351"/>
      <c r="P153" s="1163"/>
      <c r="Q153" s="1163"/>
    </row>
    <row r="154" ht="12.75" customHeight="1">
      <c r="A154" s="1351"/>
      <c r="B154" s="1351"/>
      <c r="C154" s="1351"/>
      <c r="D154" s="1351"/>
      <c r="E154" s="1351"/>
      <c r="F154" s="1351"/>
      <c r="G154" s="1184"/>
      <c r="H154" s="1351"/>
      <c r="I154" s="1184"/>
      <c r="J154" s="1351"/>
      <c r="K154" s="1184"/>
      <c r="L154" s="1184"/>
      <c r="M154" s="1184"/>
      <c r="N154" s="1351"/>
      <c r="O154" s="1351"/>
      <c r="P154" s="1163"/>
      <c r="Q154" s="1163"/>
    </row>
    <row r="155" ht="12.75" customHeight="1">
      <c r="A155" s="1351"/>
      <c r="B155" s="1351"/>
      <c r="C155" s="1351"/>
      <c r="D155" s="1351"/>
      <c r="E155" s="1351"/>
      <c r="F155" s="1351"/>
      <c r="G155" s="1184"/>
      <c r="H155" s="1351"/>
      <c r="I155" s="1184"/>
      <c r="J155" s="1351"/>
      <c r="K155" s="1184"/>
      <c r="L155" s="1184"/>
      <c r="M155" s="1184"/>
      <c r="N155" s="1351"/>
      <c r="O155" s="1351"/>
      <c r="P155" s="1163"/>
      <c r="Q155" s="1163"/>
    </row>
    <row r="156" ht="12.75" customHeight="1">
      <c r="A156" s="1351"/>
      <c r="B156" s="1351"/>
      <c r="C156" s="1351"/>
      <c r="D156" s="1351"/>
      <c r="E156" s="1351"/>
      <c r="F156" s="1351"/>
      <c r="G156" s="1184"/>
      <c r="H156" s="1351"/>
      <c r="I156" s="1184"/>
      <c r="J156" s="1351"/>
      <c r="K156" s="1184"/>
      <c r="L156" s="1184"/>
      <c r="M156" s="1184"/>
      <c r="N156" s="1351"/>
      <c r="O156" s="1351"/>
      <c r="P156" s="1163"/>
      <c r="Q156" s="1163"/>
    </row>
    <row r="157" ht="12.75" customHeight="1">
      <c r="A157" s="1351"/>
      <c r="B157" s="1351"/>
      <c r="C157" s="1351"/>
      <c r="D157" s="1351"/>
      <c r="E157" s="1351"/>
      <c r="F157" s="1351"/>
      <c r="G157" s="1184"/>
      <c r="H157" s="1351"/>
      <c r="I157" s="1184"/>
      <c r="J157" s="1351"/>
      <c r="K157" s="1184"/>
      <c r="L157" s="1184"/>
      <c r="M157" s="1184"/>
      <c r="N157" s="1351"/>
      <c r="O157" s="1351"/>
      <c r="P157" s="1163"/>
      <c r="Q157" s="1163"/>
    </row>
    <row r="158" ht="12.75" customHeight="1">
      <c r="A158" s="1351"/>
      <c r="B158" s="1351"/>
      <c r="C158" s="1351"/>
      <c r="D158" s="1351"/>
      <c r="E158" s="1351"/>
      <c r="F158" s="1351"/>
      <c r="G158" s="1184"/>
      <c r="H158" s="1351"/>
      <c r="I158" s="1184"/>
      <c r="J158" s="1351"/>
      <c r="K158" s="1184"/>
      <c r="L158" s="1184"/>
      <c r="M158" s="1184"/>
      <c r="N158" s="1351"/>
      <c r="O158" s="1351"/>
      <c r="P158" s="1163"/>
      <c r="Q158" s="1163"/>
    </row>
    <row r="159" ht="12.75" customHeight="1">
      <c r="A159" s="1351"/>
      <c r="B159" s="1351"/>
      <c r="C159" s="1351"/>
      <c r="D159" s="1351"/>
      <c r="E159" s="1351"/>
      <c r="F159" s="1351"/>
      <c r="G159" s="1184"/>
      <c r="H159" s="1351"/>
      <c r="I159" s="1184"/>
      <c r="J159" s="1351"/>
      <c r="K159" s="1184"/>
      <c r="L159" s="1184"/>
      <c r="M159" s="1184"/>
      <c r="N159" s="1351"/>
      <c r="O159" s="1351"/>
      <c r="P159" s="1163"/>
      <c r="Q159" s="1163"/>
    </row>
    <row r="160" ht="12.75" customHeight="1">
      <c r="A160" s="1351"/>
      <c r="B160" s="1351"/>
      <c r="C160" s="1351"/>
      <c r="D160" s="1351"/>
      <c r="E160" s="1351"/>
      <c r="F160" s="1351"/>
      <c r="G160" s="1184"/>
      <c r="H160" s="1351"/>
      <c r="I160" s="1184"/>
      <c r="J160" s="1351"/>
      <c r="K160" s="1184"/>
      <c r="L160" s="1184"/>
      <c r="M160" s="1184"/>
      <c r="N160" s="1351"/>
      <c r="O160" s="1351"/>
      <c r="P160" s="1163"/>
      <c r="Q160" s="1163"/>
    </row>
    <row r="161" ht="12.75" customHeight="1">
      <c r="A161" s="1351"/>
      <c r="B161" s="1351"/>
      <c r="C161" s="1351"/>
      <c r="D161" s="1351"/>
      <c r="E161" s="1351"/>
      <c r="F161" s="1351"/>
      <c r="G161" s="1184"/>
      <c r="H161" s="1351"/>
      <c r="I161" s="1184"/>
      <c r="J161" s="1351"/>
      <c r="K161" s="1184"/>
      <c r="L161" s="1184"/>
      <c r="M161" s="1184"/>
      <c r="N161" s="1351"/>
      <c r="O161" s="1351"/>
      <c r="P161" s="1163"/>
      <c r="Q161" s="1163"/>
    </row>
    <row r="162" ht="12.75" customHeight="1">
      <c r="A162" s="1351"/>
      <c r="B162" s="1351"/>
      <c r="C162" s="1351"/>
      <c r="D162" s="1351"/>
      <c r="E162" s="1351"/>
      <c r="F162" s="1351"/>
      <c r="G162" s="1184"/>
      <c r="H162" s="1351"/>
      <c r="I162" s="1184"/>
      <c r="J162" s="1351"/>
      <c r="K162" s="1184"/>
      <c r="L162" s="1184"/>
      <c r="M162" s="1184"/>
      <c r="N162" s="1351"/>
      <c r="O162" s="1351"/>
      <c r="P162" s="1163"/>
      <c r="Q162" s="1163"/>
    </row>
    <row r="163" ht="12.75" customHeight="1">
      <c r="A163" s="1351"/>
      <c r="B163" s="1351"/>
      <c r="C163" s="1351"/>
      <c r="D163" s="1351"/>
      <c r="E163" s="1351"/>
      <c r="F163" s="1351"/>
      <c r="G163" s="1184"/>
      <c r="H163" s="1351"/>
      <c r="I163" s="1184"/>
      <c r="J163" s="1351"/>
      <c r="K163" s="1184"/>
      <c r="L163" s="1184"/>
      <c r="M163" s="1184"/>
      <c r="N163" s="1351"/>
      <c r="O163" s="1351"/>
      <c r="P163" s="1163"/>
      <c r="Q163" s="1163"/>
    </row>
    <row r="164" ht="12.75" customHeight="1">
      <c r="A164" s="1351"/>
      <c r="B164" s="1351"/>
      <c r="C164" s="1351"/>
      <c r="D164" s="1351"/>
      <c r="E164" s="1351"/>
      <c r="F164" s="1351"/>
      <c r="G164" s="1184"/>
      <c r="H164" s="1351"/>
      <c r="I164" s="1184"/>
      <c r="J164" s="1351"/>
      <c r="K164" s="1184"/>
      <c r="L164" s="1184"/>
      <c r="M164" s="1184"/>
      <c r="N164" s="1351"/>
      <c r="O164" s="1351"/>
      <c r="P164" s="1163"/>
      <c r="Q164" s="1163"/>
    </row>
    <row r="165" ht="12.75" customHeight="1">
      <c r="A165" s="1351"/>
      <c r="B165" s="1351"/>
      <c r="C165" s="1351"/>
      <c r="D165" s="1351"/>
      <c r="E165" s="1351"/>
      <c r="F165" s="1351"/>
      <c r="G165" s="1184"/>
      <c r="H165" s="1351"/>
      <c r="I165" s="1184"/>
      <c r="J165" s="1351"/>
      <c r="K165" s="1184"/>
      <c r="L165" s="1184"/>
      <c r="M165" s="1184"/>
      <c r="N165" s="1351"/>
      <c r="O165" s="1351"/>
      <c r="P165" s="1163"/>
      <c r="Q165" s="1163"/>
    </row>
    <row r="166" ht="12.75" customHeight="1">
      <c r="A166" s="1351"/>
      <c r="B166" s="1351"/>
      <c r="C166" s="1351"/>
      <c r="D166" s="1351"/>
      <c r="E166" s="1351"/>
      <c r="F166" s="1351"/>
      <c r="G166" s="1184"/>
      <c r="H166" s="1351"/>
      <c r="I166" s="1184"/>
      <c r="J166" s="1351"/>
      <c r="K166" s="1184"/>
      <c r="L166" s="1184"/>
      <c r="M166" s="1184"/>
      <c r="N166" s="1351"/>
      <c r="O166" s="1351"/>
      <c r="P166" s="1163"/>
      <c r="Q166" s="1163"/>
    </row>
    <row r="167" ht="12.75" customHeight="1">
      <c r="A167" s="1351"/>
      <c r="B167" s="1351"/>
      <c r="C167" s="1351"/>
      <c r="D167" s="1351"/>
      <c r="E167" s="1351"/>
      <c r="F167" s="1351"/>
      <c r="G167" s="1184"/>
      <c r="H167" s="1351"/>
      <c r="I167" s="1184"/>
      <c r="J167" s="1351"/>
      <c r="K167" s="1184"/>
      <c r="L167" s="1184"/>
      <c r="M167" s="1184"/>
      <c r="N167" s="1351"/>
      <c r="O167" s="1351"/>
      <c r="P167" s="1163"/>
      <c r="Q167" s="1163"/>
    </row>
    <row r="168" ht="12.75" customHeight="1">
      <c r="A168" s="1351"/>
      <c r="B168" s="1351"/>
      <c r="C168" s="1351"/>
      <c r="D168" s="1351"/>
      <c r="E168" s="1351"/>
      <c r="F168" s="1351"/>
      <c r="G168" s="1184"/>
      <c r="H168" s="1351"/>
      <c r="I168" s="1184"/>
      <c r="J168" s="1351"/>
      <c r="K168" s="1184"/>
      <c r="L168" s="1184"/>
      <c r="M168" s="1184"/>
      <c r="N168" s="1351"/>
      <c r="O168" s="1351"/>
      <c r="P168" s="1163"/>
      <c r="Q168" s="1163"/>
    </row>
    <row r="169" ht="12.75" customHeight="1">
      <c r="A169" s="1351"/>
      <c r="B169" s="1351"/>
      <c r="C169" s="1351"/>
      <c r="D169" s="1351"/>
      <c r="E169" s="1351"/>
      <c r="F169" s="1351"/>
      <c r="G169" s="1184"/>
      <c r="H169" s="1351"/>
      <c r="I169" s="1184"/>
      <c r="J169" s="1351"/>
      <c r="K169" s="1184"/>
      <c r="L169" s="1184"/>
      <c r="M169" s="1184"/>
      <c r="N169" s="1351"/>
      <c r="O169" s="1351"/>
      <c r="P169" s="1163"/>
      <c r="Q169" s="1163"/>
    </row>
    <row r="170" ht="12.75" customHeight="1">
      <c r="A170" s="1351"/>
      <c r="B170" s="1351"/>
      <c r="C170" s="1351"/>
      <c r="D170" s="1351"/>
      <c r="E170" s="1351"/>
      <c r="F170" s="1351"/>
      <c r="G170" s="1184"/>
      <c r="H170" s="1351"/>
      <c r="I170" s="1184"/>
      <c r="J170" s="1351"/>
      <c r="K170" s="1184"/>
      <c r="L170" s="1184"/>
      <c r="M170" s="1184"/>
      <c r="N170" s="1351"/>
      <c r="O170" s="1351"/>
      <c r="P170" s="1163"/>
      <c r="Q170" s="1163"/>
    </row>
    <row r="171" ht="12.75" customHeight="1">
      <c r="A171" s="1351"/>
      <c r="B171" s="1351"/>
      <c r="C171" s="1351"/>
      <c r="D171" s="1351"/>
      <c r="E171" s="1351"/>
      <c r="F171" s="1351"/>
      <c r="G171" s="1184"/>
      <c r="H171" s="1351"/>
      <c r="I171" s="1184"/>
      <c r="J171" s="1351"/>
      <c r="K171" s="1184"/>
      <c r="L171" s="1184"/>
      <c r="M171" s="1184"/>
      <c r="N171" s="1351"/>
      <c r="O171" s="1351"/>
      <c r="P171" s="1163"/>
      <c r="Q171" s="1163"/>
    </row>
    <row r="172" ht="12.75" customHeight="1">
      <c r="A172" s="1351"/>
      <c r="B172" s="1351"/>
      <c r="C172" s="1351"/>
      <c r="D172" s="1351"/>
      <c r="E172" s="1351"/>
      <c r="F172" s="1351"/>
      <c r="G172" s="1184"/>
      <c r="H172" s="1351"/>
      <c r="I172" s="1184"/>
      <c r="J172" s="1351"/>
      <c r="K172" s="1184"/>
      <c r="L172" s="1184"/>
      <c r="M172" s="1184"/>
      <c r="N172" s="1351"/>
      <c r="O172" s="1351"/>
      <c r="P172" s="1163"/>
      <c r="Q172" s="1163"/>
    </row>
    <row r="173" ht="12.75" customHeight="1">
      <c r="A173" s="1351"/>
      <c r="B173" s="1351"/>
      <c r="C173" s="1351"/>
      <c r="D173" s="1351"/>
      <c r="E173" s="1351"/>
      <c r="F173" s="1351"/>
      <c r="G173" s="1184"/>
      <c r="H173" s="1351"/>
      <c r="I173" s="1184"/>
      <c r="J173" s="1351"/>
      <c r="K173" s="1184"/>
      <c r="L173" s="1184"/>
      <c r="M173" s="1184"/>
      <c r="N173" s="1351"/>
      <c r="O173" s="1351"/>
      <c r="P173" s="1163"/>
      <c r="Q173" s="1163"/>
    </row>
    <row r="174" ht="12.75" customHeight="1">
      <c r="A174" s="1351"/>
      <c r="B174" s="1351"/>
      <c r="C174" s="1351"/>
      <c r="D174" s="1351"/>
      <c r="E174" s="1351"/>
      <c r="F174" s="1351"/>
      <c r="G174" s="1184"/>
      <c r="H174" s="1351"/>
      <c r="I174" s="1184"/>
      <c r="J174" s="1351"/>
      <c r="K174" s="1184"/>
      <c r="L174" s="1184"/>
      <c r="M174" s="1184"/>
      <c r="N174" s="1351"/>
      <c r="O174" s="1351"/>
      <c r="P174" s="1163"/>
      <c r="Q174" s="1163"/>
    </row>
    <row r="175" ht="12.75" customHeight="1">
      <c r="A175" s="1351"/>
      <c r="B175" s="1351"/>
      <c r="C175" s="1351"/>
      <c r="D175" s="1351"/>
      <c r="E175" s="1351"/>
      <c r="F175" s="1351"/>
      <c r="G175" s="1184"/>
      <c r="H175" s="1351"/>
      <c r="I175" s="1184"/>
      <c r="J175" s="1351"/>
      <c r="K175" s="1184"/>
      <c r="L175" s="1184"/>
      <c r="M175" s="1184"/>
      <c r="N175" s="1351"/>
      <c r="O175" s="1351"/>
      <c r="P175" s="1163"/>
      <c r="Q175" s="1163"/>
    </row>
    <row r="176" ht="12.75" customHeight="1">
      <c r="A176" s="1351"/>
      <c r="B176" s="1351"/>
      <c r="C176" s="1351"/>
      <c r="D176" s="1351"/>
      <c r="E176" s="1351"/>
      <c r="F176" s="1351"/>
      <c r="G176" s="1184"/>
      <c r="H176" s="1351"/>
      <c r="I176" s="1184"/>
      <c r="J176" s="1351"/>
      <c r="K176" s="1184"/>
      <c r="L176" s="1184"/>
      <c r="M176" s="1184"/>
      <c r="N176" s="1351"/>
      <c r="O176" s="1351"/>
      <c r="P176" s="1163"/>
      <c r="Q176" s="1163"/>
    </row>
    <row r="177" ht="12.75" customHeight="1">
      <c r="A177" s="1351"/>
      <c r="B177" s="1351"/>
      <c r="C177" s="1351"/>
      <c r="D177" s="1351"/>
      <c r="E177" s="1351"/>
      <c r="F177" s="1351"/>
      <c r="G177" s="1184"/>
      <c r="H177" s="1351"/>
      <c r="I177" s="1184"/>
      <c r="J177" s="1351"/>
      <c r="K177" s="1184"/>
      <c r="L177" s="1184"/>
      <c r="M177" s="1184"/>
      <c r="N177" s="1351"/>
      <c r="O177" s="1351"/>
      <c r="P177" s="1163"/>
      <c r="Q177" s="1163"/>
    </row>
    <row r="178" ht="12.75" customHeight="1">
      <c r="A178" s="1351"/>
      <c r="B178" s="1351"/>
      <c r="C178" s="1351"/>
      <c r="D178" s="1351"/>
      <c r="E178" s="1351"/>
      <c r="F178" s="1351"/>
      <c r="G178" s="1184"/>
      <c r="H178" s="1351"/>
      <c r="I178" s="1184"/>
      <c r="J178" s="1351"/>
      <c r="K178" s="1184"/>
      <c r="L178" s="1184"/>
      <c r="M178" s="1184"/>
      <c r="N178" s="1351"/>
      <c r="O178" s="1351"/>
      <c r="P178" s="1163"/>
      <c r="Q178" s="1163"/>
    </row>
    <row r="179" ht="12.75" customHeight="1">
      <c r="A179" s="1351"/>
      <c r="B179" s="1351"/>
      <c r="C179" s="1351"/>
      <c r="D179" s="1351"/>
      <c r="E179" s="1351"/>
      <c r="F179" s="1351"/>
      <c r="G179" s="1184"/>
      <c r="H179" s="1351"/>
      <c r="I179" s="1184"/>
      <c r="J179" s="1351"/>
      <c r="K179" s="1184"/>
      <c r="L179" s="1184"/>
      <c r="M179" s="1184"/>
      <c r="N179" s="1351"/>
      <c r="O179" s="1351"/>
      <c r="P179" s="1163"/>
      <c r="Q179" s="1163"/>
    </row>
    <row r="180" ht="12.75" customHeight="1">
      <c r="A180" s="1351"/>
      <c r="B180" s="1351"/>
      <c r="C180" s="1351"/>
      <c r="D180" s="1351"/>
      <c r="E180" s="1351"/>
      <c r="F180" s="1351"/>
      <c r="G180" s="1184"/>
      <c r="H180" s="1351"/>
      <c r="I180" s="1184"/>
      <c r="J180" s="1351"/>
      <c r="K180" s="1184"/>
      <c r="L180" s="1184"/>
      <c r="M180" s="1184"/>
      <c r="N180" s="1351"/>
      <c r="O180" s="1351"/>
      <c r="P180" s="1163"/>
      <c r="Q180" s="1163"/>
    </row>
    <row r="181" ht="12.75" customHeight="1">
      <c r="A181" s="1351"/>
      <c r="B181" s="1351"/>
      <c r="C181" s="1351"/>
      <c r="D181" s="1351"/>
      <c r="E181" s="1351"/>
      <c r="F181" s="1351"/>
      <c r="G181" s="1184"/>
      <c r="H181" s="1351"/>
      <c r="I181" s="1184"/>
      <c r="J181" s="1351"/>
      <c r="K181" s="1184"/>
      <c r="L181" s="1184"/>
      <c r="M181" s="1184"/>
      <c r="N181" s="1351"/>
      <c r="O181" s="1351"/>
      <c r="P181" s="1163"/>
      <c r="Q181" s="1163"/>
    </row>
    <row r="182" ht="12.75" customHeight="1">
      <c r="A182" s="1351"/>
      <c r="B182" s="1351"/>
      <c r="C182" s="1351"/>
      <c r="D182" s="1351"/>
      <c r="E182" s="1351"/>
      <c r="F182" s="1351"/>
      <c r="G182" s="1184"/>
      <c r="H182" s="1351"/>
      <c r="I182" s="1184"/>
      <c r="J182" s="1351"/>
      <c r="K182" s="1184"/>
      <c r="L182" s="1184"/>
      <c r="M182" s="1184"/>
      <c r="N182" s="1351"/>
      <c r="O182" s="1351"/>
      <c r="P182" s="1163"/>
      <c r="Q182" s="1163"/>
    </row>
    <row r="183" ht="12.75" customHeight="1">
      <c r="A183" s="1351"/>
      <c r="B183" s="1351"/>
      <c r="C183" s="1351"/>
      <c r="D183" s="1351"/>
      <c r="E183" s="1351"/>
      <c r="F183" s="1351"/>
      <c r="G183" s="1184"/>
      <c r="H183" s="1351"/>
      <c r="I183" s="1184"/>
      <c r="J183" s="1351"/>
      <c r="K183" s="1184"/>
      <c r="L183" s="1184"/>
      <c r="M183" s="1184"/>
      <c r="N183" s="1351"/>
      <c r="O183" s="1351"/>
      <c r="P183" s="1163"/>
      <c r="Q183" s="1163"/>
    </row>
    <row r="184" ht="12.75" customHeight="1">
      <c r="A184" s="1351"/>
      <c r="B184" s="1351"/>
      <c r="C184" s="1351"/>
      <c r="D184" s="1351"/>
      <c r="E184" s="1351"/>
      <c r="F184" s="1351"/>
      <c r="G184" s="1184"/>
      <c r="H184" s="1351"/>
      <c r="I184" s="1184"/>
      <c r="J184" s="1351"/>
      <c r="K184" s="1184"/>
      <c r="L184" s="1184"/>
      <c r="M184" s="1184"/>
      <c r="N184" s="1351"/>
      <c r="O184" s="1351"/>
      <c r="P184" s="1163"/>
      <c r="Q184" s="1163"/>
    </row>
    <row r="185" ht="12.75" customHeight="1">
      <c r="A185" s="1351"/>
      <c r="B185" s="1351"/>
      <c r="C185" s="1351"/>
      <c r="D185" s="1351"/>
      <c r="E185" s="1351"/>
      <c r="F185" s="1351"/>
      <c r="G185" s="1184"/>
      <c r="H185" s="1351"/>
      <c r="I185" s="1184"/>
      <c r="J185" s="1351"/>
      <c r="K185" s="1184"/>
      <c r="L185" s="1184"/>
      <c r="M185" s="1184"/>
      <c r="N185" s="1351"/>
      <c r="O185" s="1351"/>
      <c r="P185" s="1163"/>
      <c r="Q185" s="1163"/>
    </row>
    <row r="186" ht="12.75" customHeight="1">
      <c r="A186" s="1351"/>
      <c r="B186" s="1351"/>
      <c r="C186" s="1351"/>
      <c r="D186" s="1351"/>
      <c r="E186" s="1351"/>
      <c r="F186" s="1351"/>
      <c r="G186" s="1184"/>
      <c r="H186" s="1351"/>
      <c r="I186" s="1184"/>
      <c r="J186" s="1351"/>
      <c r="K186" s="1184"/>
      <c r="L186" s="1184"/>
      <c r="M186" s="1184"/>
      <c r="N186" s="1351"/>
      <c r="O186" s="1351"/>
      <c r="P186" s="1163"/>
      <c r="Q186" s="1163"/>
    </row>
    <row r="187" ht="12.75" customHeight="1">
      <c r="A187" s="1351"/>
      <c r="B187" s="1351"/>
      <c r="C187" s="1351"/>
      <c r="D187" s="1351"/>
      <c r="E187" s="1351"/>
      <c r="F187" s="1351"/>
      <c r="G187" s="1184"/>
      <c r="H187" s="1351"/>
      <c r="I187" s="1184"/>
      <c r="J187" s="1351"/>
      <c r="K187" s="1184"/>
      <c r="L187" s="1184"/>
      <c r="M187" s="1184"/>
      <c r="N187" s="1351"/>
      <c r="O187" s="1351"/>
      <c r="P187" s="1163"/>
      <c r="Q187" s="1163"/>
    </row>
    <row r="188" ht="12.75" customHeight="1">
      <c r="A188" s="1351"/>
      <c r="B188" s="1351"/>
      <c r="C188" s="1351"/>
      <c r="D188" s="1351"/>
      <c r="E188" s="1351"/>
      <c r="F188" s="1351"/>
      <c r="G188" s="1184"/>
      <c r="H188" s="1351"/>
      <c r="I188" s="1184"/>
      <c r="J188" s="1351"/>
      <c r="K188" s="1184"/>
      <c r="L188" s="1184"/>
      <c r="M188" s="1184"/>
      <c r="N188" s="1351"/>
      <c r="O188" s="1351"/>
      <c r="P188" s="1163"/>
      <c r="Q188" s="1163"/>
    </row>
    <row r="189" ht="12.75" customHeight="1">
      <c r="A189" s="1351"/>
      <c r="B189" s="1351"/>
      <c r="C189" s="1351"/>
      <c r="D189" s="1351"/>
      <c r="E189" s="1351"/>
      <c r="F189" s="1351"/>
      <c r="G189" s="1184"/>
      <c r="H189" s="1351"/>
      <c r="I189" s="1184"/>
      <c r="J189" s="1351"/>
      <c r="K189" s="1184"/>
      <c r="L189" s="1184"/>
      <c r="M189" s="1184"/>
      <c r="N189" s="1351"/>
      <c r="O189" s="1351"/>
      <c r="P189" s="1163"/>
      <c r="Q189" s="1163"/>
    </row>
    <row r="190" ht="12.75" customHeight="1">
      <c r="A190" s="1351"/>
      <c r="B190" s="1351"/>
      <c r="C190" s="1351"/>
      <c r="D190" s="1351"/>
      <c r="E190" s="1351"/>
      <c r="F190" s="1351"/>
      <c r="G190" s="1184"/>
      <c r="H190" s="1351"/>
      <c r="I190" s="1184"/>
      <c r="J190" s="1351"/>
      <c r="K190" s="1184"/>
      <c r="L190" s="1184"/>
      <c r="M190" s="1184"/>
      <c r="N190" s="1351"/>
      <c r="O190" s="1351"/>
      <c r="P190" s="1163"/>
      <c r="Q190" s="1163"/>
    </row>
    <row r="191" ht="12.75" customHeight="1">
      <c r="A191" s="1351"/>
      <c r="B191" s="1351"/>
      <c r="C191" s="1351"/>
      <c r="D191" s="1351"/>
      <c r="E191" s="1351"/>
      <c r="F191" s="1351"/>
      <c r="G191" s="1184"/>
      <c r="H191" s="1351"/>
      <c r="I191" s="1184"/>
      <c r="J191" s="1351"/>
      <c r="K191" s="1184"/>
      <c r="L191" s="1184"/>
      <c r="M191" s="1184"/>
      <c r="N191" s="1351"/>
      <c r="O191" s="1351"/>
      <c r="P191" s="1163"/>
      <c r="Q191" s="1163"/>
    </row>
    <row r="192" ht="12.75" customHeight="1">
      <c r="A192" s="1351"/>
      <c r="B192" s="1351"/>
      <c r="C192" s="1351"/>
      <c r="D192" s="1351"/>
      <c r="E192" s="1351"/>
      <c r="F192" s="1351"/>
      <c r="G192" s="1184"/>
      <c r="H192" s="1351"/>
      <c r="I192" s="1184"/>
      <c r="J192" s="1351"/>
      <c r="K192" s="1184"/>
      <c r="L192" s="1184"/>
      <c r="M192" s="1184"/>
      <c r="N192" s="1351"/>
      <c r="O192" s="1351"/>
      <c r="P192" s="1163"/>
      <c r="Q192" s="1163"/>
    </row>
    <row r="193" ht="12.75" customHeight="1">
      <c r="A193" s="1351"/>
      <c r="B193" s="1351"/>
      <c r="C193" s="1351"/>
      <c r="D193" s="1351"/>
      <c r="E193" s="1351"/>
      <c r="F193" s="1351"/>
      <c r="G193" s="1184"/>
      <c r="H193" s="1351"/>
      <c r="I193" s="1184"/>
      <c r="J193" s="1351"/>
      <c r="K193" s="1184"/>
      <c r="L193" s="1184"/>
      <c r="M193" s="1184"/>
      <c r="N193" s="1351"/>
      <c r="O193" s="1351"/>
      <c r="P193" s="1163"/>
      <c r="Q193" s="1163"/>
    </row>
    <row r="194" ht="12.75" customHeight="1">
      <c r="A194" s="1351"/>
      <c r="B194" s="1351"/>
      <c r="C194" s="1351"/>
      <c r="D194" s="1351"/>
      <c r="E194" s="1351"/>
      <c r="F194" s="1351"/>
      <c r="G194" s="1184"/>
      <c r="H194" s="1351"/>
      <c r="I194" s="1184"/>
      <c r="J194" s="1351"/>
      <c r="K194" s="1184"/>
      <c r="L194" s="1184"/>
      <c r="M194" s="1184"/>
      <c r="N194" s="1351"/>
      <c r="O194" s="1351"/>
      <c r="P194" s="1163"/>
      <c r="Q194" s="1163"/>
    </row>
    <row r="195" ht="12.75" customHeight="1">
      <c r="A195" s="1351"/>
      <c r="B195" s="1351"/>
      <c r="C195" s="1351"/>
      <c r="D195" s="1351"/>
      <c r="E195" s="1351"/>
      <c r="F195" s="1351"/>
      <c r="G195" s="1184"/>
      <c r="H195" s="1351"/>
      <c r="I195" s="1184"/>
      <c r="J195" s="1351"/>
      <c r="K195" s="1184"/>
      <c r="L195" s="1184"/>
      <c r="M195" s="1184"/>
      <c r="N195" s="1351"/>
      <c r="O195" s="1351"/>
      <c r="P195" s="1163"/>
      <c r="Q195" s="1163"/>
    </row>
    <row r="196" ht="12.75" customHeight="1">
      <c r="A196" s="1351"/>
      <c r="B196" s="1351"/>
      <c r="C196" s="1351"/>
      <c r="D196" s="1351"/>
      <c r="E196" s="1351"/>
      <c r="F196" s="1351"/>
      <c r="G196" s="1184"/>
      <c r="H196" s="1351"/>
      <c r="I196" s="1184"/>
      <c r="J196" s="1351"/>
      <c r="K196" s="1184"/>
      <c r="L196" s="1184"/>
      <c r="M196" s="1184"/>
      <c r="N196" s="1351"/>
      <c r="O196" s="1351"/>
      <c r="P196" s="1163"/>
      <c r="Q196" s="1163"/>
    </row>
    <row r="197" ht="12.75" customHeight="1">
      <c r="A197" s="1351"/>
      <c r="B197" s="1351"/>
      <c r="C197" s="1351"/>
      <c r="D197" s="1351"/>
      <c r="E197" s="1351"/>
      <c r="F197" s="1351"/>
      <c r="G197" s="1184"/>
      <c r="H197" s="1351"/>
      <c r="I197" s="1184"/>
      <c r="J197" s="1351"/>
      <c r="K197" s="1184"/>
      <c r="L197" s="1184"/>
      <c r="M197" s="1184"/>
      <c r="N197" s="1351"/>
      <c r="O197" s="1351"/>
      <c r="P197" s="1163"/>
      <c r="Q197" s="1163"/>
    </row>
    <row r="198" ht="12.75" customHeight="1">
      <c r="A198" s="1351"/>
      <c r="B198" s="1351"/>
      <c r="C198" s="1351"/>
      <c r="D198" s="1351"/>
      <c r="E198" s="1351"/>
      <c r="F198" s="1351"/>
      <c r="G198" s="1184"/>
      <c r="H198" s="1351"/>
      <c r="I198" s="1184"/>
      <c r="J198" s="1351"/>
      <c r="K198" s="1184"/>
      <c r="L198" s="1184"/>
      <c r="M198" s="1184"/>
      <c r="N198" s="1351"/>
      <c r="O198" s="1351"/>
      <c r="P198" s="1163"/>
      <c r="Q198" s="1163"/>
    </row>
    <row r="199" ht="12.75" customHeight="1">
      <c r="A199" s="1351"/>
      <c r="B199" s="1351"/>
      <c r="C199" s="1351"/>
      <c r="D199" s="1351"/>
      <c r="E199" s="1351"/>
      <c r="F199" s="1351"/>
      <c r="G199" s="1184"/>
      <c r="H199" s="1351"/>
      <c r="I199" s="1184"/>
      <c r="J199" s="1351"/>
      <c r="K199" s="1184"/>
      <c r="L199" s="1184"/>
      <c r="M199" s="1184"/>
      <c r="N199" s="1351"/>
      <c r="O199" s="1351"/>
      <c r="P199" s="1163"/>
      <c r="Q199" s="1163"/>
    </row>
    <row r="200" ht="12.75" customHeight="1">
      <c r="A200" s="1351"/>
      <c r="B200" s="1351"/>
      <c r="C200" s="1351"/>
      <c r="D200" s="1351"/>
      <c r="E200" s="1351"/>
      <c r="F200" s="1351"/>
      <c r="G200" s="1184"/>
      <c r="H200" s="1351"/>
      <c r="I200" s="1184"/>
      <c r="J200" s="1351"/>
      <c r="K200" s="1184"/>
      <c r="L200" s="1184"/>
      <c r="M200" s="1184"/>
      <c r="N200" s="1351"/>
      <c r="O200" s="1351"/>
      <c r="P200" s="1163"/>
      <c r="Q200" s="1163"/>
    </row>
    <row r="201" ht="12.75" customHeight="1">
      <c r="A201" s="1351"/>
      <c r="B201" s="1351"/>
      <c r="C201" s="1351"/>
      <c r="D201" s="1351"/>
      <c r="E201" s="1351"/>
      <c r="F201" s="1351"/>
      <c r="G201" s="1184"/>
      <c r="H201" s="1351"/>
      <c r="I201" s="1184"/>
      <c r="J201" s="1351"/>
      <c r="K201" s="1184"/>
      <c r="L201" s="1184"/>
      <c r="M201" s="1184"/>
      <c r="N201" s="1351"/>
      <c r="O201" s="1351"/>
      <c r="P201" s="1163"/>
      <c r="Q201" s="1163"/>
    </row>
    <row r="202" ht="12.75" customHeight="1">
      <c r="A202" s="1351"/>
      <c r="B202" s="1351"/>
      <c r="C202" s="1351"/>
      <c r="D202" s="1351"/>
      <c r="E202" s="1351"/>
      <c r="F202" s="1351"/>
      <c r="G202" s="1184"/>
      <c r="H202" s="1351"/>
      <c r="I202" s="1184"/>
      <c r="J202" s="1351"/>
      <c r="K202" s="1184"/>
      <c r="L202" s="1184"/>
      <c r="M202" s="1184"/>
      <c r="N202" s="1351"/>
      <c r="O202" s="1351"/>
      <c r="P202" s="1163"/>
      <c r="Q202" s="1163"/>
    </row>
    <row r="203" ht="12.75" customHeight="1">
      <c r="A203" s="1351"/>
      <c r="B203" s="1351"/>
      <c r="C203" s="1351"/>
      <c r="D203" s="1351"/>
      <c r="E203" s="1351"/>
      <c r="F203" s="1351"/>
      <c r="G203" s="1184"/>
      <c r="H203" s="1351"/>
      <c r="I203" s="1184"/>
      <c r="J203" s="1351"/>
      <c r="K203" s="1184"/>
      <c r="L203" s="1184"/>
      <c r="M203" s="1184"/>
      <c r="N203" s="1351"/>
      <c r="O203" s="1351"/>
      <c r="P203" s="1163"/>
      <c r="Q203" s="1163"/>
    </row>
    <row r="204" ht="12.75" customHeight="1">
      <c r="A204" s="1351"/>
      <c r="B204" s="1351"/>
      <c r="C204" s="1351"/>
      <c r="D204" s="1351"/>
      <c r="E204" s="1351"/>
      <c r="F204" s="1351"/>
      <c r="G204" s="1184"/>
      <c r="H204" s="1351"/>
      <c r="I204" s="1184"/>
      <c r="J204" s="1351"/>
      <c r="K204" s="1184"/>
      <c r="L204" s="1184"/>
      <c r="M204" s="1184"/>
      <c r="N204" s="1351"/>
      <c r="O204" s="1351"/>
      <c r="P204" s="1163"/>
      <c r="Q204" s="1163"/>
    </row>
    <row r="205" ht="12.75" customHeight="1">
      <c r="A205" s="1351"/>
      <c r="B205" s="1351"/>
      <c r="C205" s="1351"/>
      <c r="D205" s="1351"/>
      <c r="E205" s="1351"/>
      <c r="F205" s="1351"/>
      <c r="G205" s="1184"/>
      <c r="H205" s="1351"/>
      <c r="I205" s="1184"/>
      <c r="J205" s="1351"/>
      <c r="K205" s="1184"/>
      <c r="L205" s="1184"/>
      <c r="M205" s="1184"/>
      <c r="N205" s="1351"/>
      <c r="O205" s="1351"/>
      <c r="P205" s="1163"/>
      <c r="Q205" s="1163"/>
    </row>
    <row r="206" ht="12.75" customHeight="1">
      <c r="A206" s="1351"/>
      <c r="B206" s="1351"/>
      <c r="C206" s="1351"/>
      <c r="D206" s="1351"/>
      <c r="E206" s="1351"/>
      <c r="F206" s="1351"/>
      <c r="G206" s="1184"/>
      <c r="H206" s="1351"/>
      <c r="I206" s="1184"/>
      <c r="J206" s="1351"/>
      <c r="K206" s="1184"/>
      <c r="L206" s="1184"/>
      <c r="M206" s="1184"/>
      <c r="N206" s="1351"/>
      <c r="O206" s="1351"/>
      <c r="P206" s="1163"/>
      <c r="Q206" s="1163"/>
    </row>
    <row r="207" ht="12.75" customHeight="1">
      <c r="A207" s="1351"/>
      <c r="B207" s="1351"/>
      <c r="C207" s="1351"/>
      <c r="D207" s="1351"/>
      <c r="E207" s="1351"/>
      <c r="F207" s="1351"/>
      <c r="G207" s="1184"/>
      <c r="H207" s="1351"/>
      <c r="I207" s="1184"/>
      <c r="J207" s="1351"/>
      <c r="K207" s="1184"/>
      <c r="L207" s="1184"/>
      <c r="M207" s="1184"/>
      <c r="N207" s="1351"/>
      <c r="O207" s="1351"/>
      <c r="P207" s="1163"/>
      <c r="Q207" s="1163"/>
    </row>
    <row r="208" ht="12.75" customHeight="1">
      <c r="A208" s="1351"/>
      <c r="B208" s="1351"/>
      <c r="C208" s="1351"/>
      <c r="D208" s="1351"/>
      <c r="E208" s="1351"/>
      <c r="F208" s="1351"/>
      <c r="G208" s="1184"/>
      <c r="H208" s="1351"/>
      <c r="I208" s="1184"/>
      <c r="J208" s="1351"/>
      <c r="K208" s="1184"/>
      <c r="L208" s="1184"/>
      <c r="M208" s="1184"/>
      <c r="N208" s="1351"/>
      <c r="O208" s="1351"/>
      <c r="P208" s="1163"/>
      <c r="Q208" s="1163"/>
    </row>
    <row r="209" ht="12.75" customHeight="1">
      <c r="A209" s="1351"/>
      <c r="B209" s="1351"/>
      <c r="C209" s="1351"/>
      <c r="D209" s="1351"/>
      <c r="E209" s="1351"/>
      <c r="F209" s="1351"/>
      <c r="G209" s="1184"/>
      <c r="H209" s="1351"/>
      <c r="I209" s="1184"/>
      <c r="J209" s="1351"/>
      <c r="K209" s="1184"/>
      <c r="L209" s="1184"/>
      <c r="M209" s="1184"/>
      <c r="N209" s="1351"/>
      <c r="O209" s="1351"/>
      <c r="P209" s="1163"/>
      <c r="Q209" s="1163"/>
    </row>
    <row r="210" ht="12.75" customHeight="1">
      <c r="A210" s="1351"/>
      <c r="B210" s="1351"/>
      <c r="C210" s="1351"/>
      <c r="D210" s="1351"/>
      <c r="E210" s="1351"/>
      <c r="F210" s="1351"/>
      <c r="G210" s="1184"/>
      <c r="H210" s="1351"/>
      <c r="I210" s="1184"/>
      <c r="J210" s="1351"/>
      <c r="K210" s="1184"/>
      <c r="L210" s="1184"/>
      <c r="M210" s="1184"/>
      <c r="N210" s="1351"/>
      <c r="O210" s="1351"/>
      <c r="P210" s="1163"/>
      <c r="Q210" s="1163"/>
    </row>
    <row r="211" ht="12.75" customHeight="1">
      <c r="A211" s="1351"/>
      <c r="B211" s="1351"/>
      <c r="C211" s="1351"/>
      <c r="D211" s="1351"/>
      <c r="E211" s="1351"/>
      <c r="F211" s="1351"/>
      <c r="G211" s="1184"/>
      <c r="H211" s="1351"/>
      <c r="I211" s="1184"/>
      <c r="J211" s="1351"/>
      <c r="K211" s="1184"/>
      <c r="L211" s="1184"/>
      <c r="M211" s="1184"/>
      <c r="N211" s="1351"/>
      <c r="O211" s="1351"/>
      <c r="P211" s="1163"/>
      <c r="Q211" s="1163"/>
    </row>
    <row r="212" ht="12.75" customHeight="1">
      <c r="A212" s="1351"/>
      <c r="B212" s="1351"/>
      <c r="C212" s="1351"/>
      <c r="D212" s="1351"/>
      <c r="E212" s="1351"/>
      <c r="F212" s="1351"/>
      <c r="G212" s="1184"/>
      <c r="H212" s="1351"/>
      <c r="I212" s="1184"/>
      <c r="J212" s="1351"/>
      <c r="K212" s="1184"/>
      <c r="L212" s="1184"/>
      <c r="M212" s="1184"/>
      <c r="N212" s="1351"/>
      <c r="O212" s="1351"/>
      <c r="P212" s="1163"/>
      <c r="Q212" s="1163"/>
    </row>
    <row r="213" ht="12.75" customHeight="1">
      <c r="A213" s="1351"/>
      <c r="B213" s="1351"/>
      <c r="C213" s="1351"/>
      <c r="D213" s="1351"/>
      <c r="E213" s="1351"/>
      <c r="F213" s="1351"/>
      <c r="G213" s="1184"/>
      <c r="H213" s="1351"/>
      <c r="I213" s="1184"/>
      <c r="J213" s="1351"/>
      <c r="K213" s="1184"/>
      <c r="L213" s="1184"/>
      <c r="M213" s="1184"/>
      <c r="N213" s="1351"/>
      <c r="O213" s="1351"/>
      <c r="P213" s="1163"/>
      <c r="Q213" s="1163"/>
    </row>
    <row r="214" ht="12.75" customHeight="1">
      <c r="A214" s="1351"/>
      <c r="B214" s="1351"/>
      <c r="C214" s="1351"/>
      <c r="D214" s="1351"/>
      <c r="E214" s="1351"/>
      <c r="F214" s="1351"/>
      <c r="G214" s="1184"/>
      <c r="H214" s="1351"/>
      <c r="I214" s="1184"/>
      <c r="J214" s="1351"/>
      <c r="K214" s="1184"/>
      <c r="L214" s="1184"/>
      <c r="M214" s="1184"/>
      <c r="N214" s="1351"/>
      <c r="O214" s="1351"/>
      <c r="P214" s="1163"/>
      <c r="Q214" s="1163"/>
    </row>
    <row r="215" ht="12.75" customHeight="1">
      <c r="A215" s="1351"/>
      <c r="B215" s="1351"/>
      <c r="C215" s="1351"/>
      <c r="D215" s="1351"/>
      <c r="E215" s="1351"/>
      <c r="F215" s="1351"/>
      <c r="G215" s="1184"/>
      <c r="H215" s="1351"/>
      <c r="I215" s="1184"/>
      <c r="J215" s="1351"/>
      <c r="K215" s="1184"/>
      <c r="L215" s="1184"/>
      <c r="M215" s="1184"/>
      <c r="N215" s="1351"/>
      <c r="O215" s="1351"/>
      <c r="P215" s="1163"/>
      <c r="Q215" s="1163"/>
    </row>
    <row r="216" ht="12.75" customHeight="1">
      <c r="A216" s="1351"/>
      <c r="B216" s="1351"/>
      <c r="C216" s="1351"/>
      <c r="D216" s="1351"/>
      <c r="E216" s="1351"/>
      <c r="F216" s="1351"/>
      <c r="G216" s="1184"/>
      <c r="H216" s="1351"/>
      <c r="I216" s="1184"/>
      <c r="J216" s="1351"/>
      <c r="K216" s="1184"/>
      <c r="L216" s="1184"/>
      <c r="M216" s="1184"/>
      <c r="N216" s="1351"/>
      <c r="O216" s="1351"/>
      <c r="P216" s="1163"/>
      <c r="Q216" s="1163"/>
    </row>
    <row r="217" ht="12.75" customHeight="1">
      <c r="A217" s="1351"/>
      <c r="B217" s="1351"/>
      <c r="C217" s="1351"/>
      <c r="D217" s="1351"/>
      <c r="E217" s="1351"/>
      <c r="F217" s="1351"/>
      <c r="G217" s="1184"/>
      <c r="H217" s="1351"/>
      <c r="I217" s="1184"/>
      <c r="J217" s="1351"/>
      <c r="K217" s="1184"/>
      <c r="L217" s="1184"/>
      <c r="M217" s="1184"/>
      <c r="N217" s="1351"/>
      <c r="O217" s="1351"/>
      <c r="P217" s="1163"/>
      <c r="Q217" s="1163"/>
    </row>
    <row r="218" ht="12.75" customHeight="1">
      <c r="A218" s="1351"/>
      <c r="B218" s="1351"/>
      <c r="C218" s="1351"/>
      <c r="D218" s="1351"/>
      <c r="E218" s="1351"/>
      <c r="F218" s="1351"/>
      <c r="G218" s="1184"/>
      <c r="H218" s="1351"/>
      <c r="I218" s="1184"/>
      <c r="J218" s="1351"/>
      <c r="K218" s="1184"/>
      <c r="L218" s="1184"/>
      <c r="M218" s="1184"/>
      <c r="N218" s="1351"/>
      <c r="O218" s="1351"/>
      <c r="P218" s="1163"/>
      <c r="Q218" s="1163"/>
    </row>
    <row r="219" ht="12.75" customHeight="1">
      <c r="A219" s="1351"/>
      <c r="B219" s="1351"/>
      <c r="C219" s="1351"/>
      <c r="D219" s="1351"/>
      <c r="E219" s="1351"/>
      <c r="F219" s="1351"/>
      <c r="G219" s="1184"/>
      <c r="H219" s="1351"/>
      <c r="I219" s="1184"/>
      <c r="J219" s="1351"/>
      <c r="K219" s="1184"/>
      <c r="L219" s="1184"/>
      <c r="M219" s="1184"/>
      <c r="N219" s="1351"/>
      <c r="O219" s="1351"/>
      <c r="P219" s="1163"/>
      <c r="Q219" s="1163"/>
    </row>
    <row r="220" ht="12.75" customHeight="1">
      <c r="A220" s="1351"/>
      <c r="B220" s="1351"/>
      <c r="C220" s="1351"/>
      <c r="D220" s="1351"/>
      <c r="E220" s="1351"/>
      <c r="F220" s="1351"/>
      <c r="G220" s="1184"/>
      <c r="H220" s="1351"/>
      <c r="I220" s="1184"/>
      <c r="J220" s="1351"/>
      <c r="K220" s="1184"/>
      <c r="L220" s="1184"/>
      <c r="M220" s="1184"/>
      <c r="N220" s="1351"/>
      <c r="O220" s="1351"/>
      <c r="P220" s="1163"/>
      <c r="Q220" s="1163"/>
    </row>
    <row r="221" ht="12.75" customHeight="1">
      <c r="A221" s="1351"/>
      <c r="B221" s="1351"/>
      <c r="C221" s="1351"/>
      <c r="D221" s="1351"/>
      <c r="E221" s="1351"/>
      <c r="F221" s="1351"/>
      <c r="G221" s="1184"/>
      <c r="H221" s="1351"/>
      <c r="I221" s="1184"/>
      <c r="J221" s="1351"/>
      <c r="K221" s="1184"/>
      <c r="L221" s="1184"/>
      <c r="M221" s="1184"/>
      <c r="N221" s="1351"/>
      <c r="O221" s="1351"/>
      <c r="P221" s="1163"/>
      <c r="Q221" s="1163"/>
    </row>
    <row r="222" ht="12.75" customHeight="1">
      <c r="A222" s="1351"/>
      <c r="B222" s="1351"/>
      <c r="C222" s="1351"/>
      <c r="D222" s="1351"/>
      <c r="E222" s="1351"/>
      <c r="F222" s="1351"/>
      <c r="G222" s="1184"/>
      <c r="H222" s="1351"/>
      <c r="I222" s="1184"/>
      <c r="J222" s="1351"/>
      <c r="K222" s="1184"/>
      <c r="L222" s="1184"/>
      <c r="M222" s="1184"/>
      <c r="N222" s="1351"/>
      <c r="O222" s="1351"/>
      <c r="P222" s="1163"/>
      <c r="Q222" s="1163"/>
    </row>
    <row r="223" ht="12.75" customHeight="1">
      <c r="A223" s="1351"/>
      <c r="B223" s="1351"/>
      <c r="C223" s="1351"/>
      <c r="D223" s="1351"/>
      <c r="E223" s="1351"/>
      <c r="F223" s="1351"/>
      <c r="G223" s="1184"/>
      <c r="H223" s="1351"/>
      <c r="I223" s="1184"/>
      <c r="J223" s="1351"/>
      <c r="K223" s="1184"/>
      <c r="L223" s="1184"/>
      <c r="M223" s="1184"/>
      <c r="N223" s="1351"/>
      <c r="O223" s="1351"/>
      <c r="P223" s="1163"/>
      <c r="Q223" s="1163"/>
    </row>
    <row r="224" ht="12.75" customHeight="1">
      <c r="A224" s="1351"/>
      <c r="B224" s="1351"/>
      <c r="C224" s="1351"/>
      <c r="D224" s="1351"/>
      <c r="E224" s="1351"/>
      <c r="F224" s="1351"/>
      <c r="G224" s="1184"/>
      <c r="H224" s="1351"/>
      <c r="I224" s="1184"/>
      <c r="J224" s="1351"/>
      <c r="K224" s="1184"/>
      <c r="L224" s="1184"/>
      <c r="M224" s="1184"/>
      <c r="N224" s="1351"/>
      <c r="O224" s="1351"/>
      <c r="P224" s="1163"/>
      <c r="Q224" s="1163"/>
    </row>
    <row r="225" ht="12.75" customHeight="1">
      <c r="A225" s="1351"/>
      <c r="B225" s="1351"/>
      <c r="C225" s="1351"/>
      <c r="D225" s="1351"/>
      <c r="E225" s="1351"/>
      <c r="F225" s="1351"/>
      <c r="G225" s="1184"/>
      <c r="H225" s="1351"/>
      <c r="I225" s="1184"/>
      <c r="J225" s="1351"/>
      <c r="K225" s="1184"/>
      <c r="L225" s="1184"/>
      <c r="M225" s="1184"/>
      <c r="N225" s="1351"/>
      <c r="O225" s="1351"/>
      <c r="P225" s="1163"/>
      <c r="Q225" s="1163"/>
    </row>
    <row r="226" ht="12.75" customHeight="1">
      <c r="A226" s="1351"/>
      <c r="B226" s="1351"/>
      <c r="C226" s="1351"/>
      <c r="D226" s="1351"/>
      <c r="E226" s="1351"/>
      <c r="F226" s="1351"/>
      <c r="G226" s="1184"/>
      <c r="H226" s="1351"/>
      <c r="I226" s="1184"/>
      <c r="J226" s="1351"/>
      <c r="K226" s="1184"/>
      <c r="L226" s="1184"/>
      <c r="M226" s="1184"/>
      <c r="N226" s="1351"/>
      <c r="O226" s="1351"/>
      <c r="P226" s="1163"/>
      <c r="Q226" s="1163"/>
    </row>
    <row r="227" ht="12.75" customHeight="1">
      <c r="A227" s="1351"/>
      <c r="B227" s="1351"/>
      <c r="C227" s="1351"/>
      <c r="D227" s="1351"/>
      <c r="E227" s="1351"/>
      <c r="F227" s="1351"/>
      <c r="G227" s="1184"/>
      <c r="H227" s="1351"/>
      <c r="I227" s="1184"/>
      <c r="J227" s="1351"/>
      <c r="K227" s="1184"/>
      <c r="L227" s="1184"/>
      <c r="M227" s="1184"/>
      <c r="N227" s="1351"/>
      <c r="O227" s="1351"/>
      <c r="P227" s="1163"/>
      <c r="Q227" s="1163"/>
    </row>
    <row r="228" ht="12.75" customHeight="1">
      <c r="A228" s="1351"/>
      <c r="B228" s="1351"/>
      <c r="C228" s="1351"/>
      <c r="D228" s="1351"/>
      <c r="E228" s="1351"/>
      <c r="F228" s="1351"/>
      <c r="G228" s="1184"/>
      <c r="H228" s="1351"/>
      <c r="I228" s="1184"/>
      <c r="J228" s="1351"/>
      <c r="K228" s="1184"/>
      <c r="L228" s="1184"/>
      <c r="M228" s="1184"/>
      <c r="N228" s="1351"/>
      <c r="O228" s="1351"/>
      <c r="P228" s="1163"/>
      <c r="Q228" s="1163"/>
    </row>
    <row r="229" ht="12.75" customHeight="1">
      <c r="A229" s="1351"/>
      <c r="B229" s="1351"/>
      <c r="C229" s="1351"/>
      <c r="D229" s="1351"/>
      <c r="E229" s="1351"/>
      <c r="F229" s="1351"/>
      <c r="G229" s="1184"/>
      <c r="H229" s="1351"/>
      <c r="I229" s="1184"/>
      <c r="J229" s="1351"/>
      <c r="K229" s="1184"/>
      <c r="L229" s="1184"/>
      <c r="M229" s="1184"/>
      <c r="N229" s="1351"/>
      <c r="O229" s="1351"/>
      <c r="P229" s="1163"/>
      <c r="Q229" s="1163"/>
    </row>
    <row r="230" ht="12.75" customHeight="1">
      <c r="A230" s="1351"/>
      <c r="B230" s="1351"/>
      <c r="C230" s="1351"/>
      <c r="D230" s="1351"/>
      <c r="E230" s="1351"/>
      <c r="F230" s="1351"/>
      <c r="G230" s="1184"/>
      <c r="H230" s="1351"/>
      <c r="I230" s="1184"/>
      <c r="J230" s="1351"/>
      <c r="K230" s="1184"/>
      <c r="L230" s="1184"/>
      <c r="M230" s="1184"/>
      <c r="N230" s="1351"/>
      <c r="O230" s="1351"/>
      <c r="P230" s="1163"/>
      <c r="Q230" s="1163"/>
    </row>
    <row r="231" ht="12.75" customHeight="1">
      <c r="A231" s="1351"/>
      <c r="B231" s="1351"/>
      <c r="C231" s="1351"/>
      <c r="D231" s="1351"/>
      <c r="E231" s="1351"/>
      <c r="F231" s="1351"/>
      <c r="G231" s="1184"/>
      <c r="H231" s="1351"/>
      <c r="I231" s="1184"/>
      <c r="J231" s="1351"/>
      <c r="K231" s="1184"/>
      <c r="L231" s="1184"/>
      <c r="M231" s="1184"/>
      <c r="N231" s="1351"/>
      <c r="O231" s="1351"/>
      <c r="P231" s="1163"/>
      <c r="Q231" s="1163"/>
    </row>
    <row r="232" ht="12.75" customHeight="1">
      <c r="A232" s="1351"/>
      <c r="B232" s="1351"/>
      <c r="C232" s="1351"/>
      <c r="D232" s="1351"/>
      <c r="E232" s="1351"/>
      <c r="F232" s="1351"/>
      <c r="G232" s="1184"/>
      <c r="H232" s="1351"/>
      <c r="I232" s="1184"/>
      <c r="J232" s="1351"/>
      <c r="K232" s="1184"/>
      <c r="L232" s="1184"/>
      <c r="M232" s="1184"/>
      <c r="N232" s="1351"/>
      <c r="O232" s="1351"/>
      <c r="P232" s="1163"/>
      <c r="Q232" s="1163"/>
    </row>
    <row r="233" ht="12.75" customHeight="1">
      <c r="A233" s="1351"/>
      <c r="B233" s="1351"/>
      <c r="C233" s="1351"/>
      <c r="D233" s="1351"/>
      <c r="E233" s="1351"/>
      <c r="F233" s="1351"/>
      <c r="G233" s="1184"/>
      <c r="H233" s="1351"/>
      <c r="I233" s="1184"/>
      <c r="J233" s="1351"/>
      <c r="K233" s="1184"/>
      <c r="L233" s="1184"/>
      <c r="M233" s="1184"/>
      <c r="N233" s="1351"/>
      <c r="O233" s="1351"/>
      <c r="P233" s="1163"/>
      <c r="Q233" s="1163"/>
    </row>
    <row r="234" ht="12.75" customHeight="1">
      <c r="A234" s="1351"/>
      <c r="B234" s="1351"/>
      <c r="C234" s="1351"/>
      <c r="D234" s="1351"/>
      <c r="E234" s="1351"/>
      <c r="F234" s="1351"/>
      <c r="G234" s="1184"/>
      <c r="H234" s="1351"/>
      <c r="I234" s="1184"/>
      <c r="J234" s="1351"/>
      <c r="K234" s="1184"/>
      <c r="L234" s="1184"/>
      <c r="M234" s="1184"/>
      <c r="N234" s="1351"/>
      <c r="O234" s="1351"/>
      <c r="P234" s="1163"/>
      <c r="Q234" s="1163"/>
    </row>
    <row r="235" ht="12.75" customHeight="1">
      <c r="A235" s="1351"/>
      <c r="B235" s="1351"/>
      <c r="C235" s="1351"/>
      <c r="D235" s="1351"/>
      <c r="E235" s="1351"/>
      <c r="F235" s="1351"/>
      <c r="G235" s="1184"/>
      <c r="H235" s="1351"/>
      <c r="I235" s="1184"/>
      <c r="J235" s="1351"/>
      <c r="K235" s="1184"/>
      <c r="L235" s="1184"/>
      <c r="M235" s="1184"/>
      <c r="N235" s="1351"/>
      <c r="O235" s="1351"/>
      <c r="P235" s="1163"/>
      <c r="Q235" s="1163"/>
    </row>
    <row r="236" ht="12.75" customHeight="1">
      <c r="A236" s="1351"/>
      <c r="B236" s="1351"/>
      <c r="C236" s="1351"/>
      <c r="D236" s="1351"/>
      <c r="E236" s="1351"/>
      <c r="F236" s="1351"/>
      <c r="G236" s="1184"/>
      <c r="H236" s="1351"/>
      <c r="I236" s="1184"/>
      <c r="J236" s="1351"/>
      <c r="K236" s="1184"/>
      <c r="L236" s="1184"/>
      <c r="M236" s="1184"/>
      <c r="N236" s="1351"/>
      <c r="O236" s="1351"/>
      <c r="P236" s="1163"/>
      <c r="Q236" s="1163"/>
    </row>
    <row r="237" ht="12.75" customHeight="1">
      <c r="A237" s="1351"/>
      <c r="B237" s="1351"/>
      <c r="C237" s="1351"/>
      <c r="D237" s="1351"/>
      <c r="E237" s="1351"/>
      <c r="F237" s="1351"/>
      <c r="G237" s="1184"/>
      <c r="H237" s="1351"/>
      <c r="I237" s="1184"/>
      <c r="J237" s="1351"/>
      <c r="K237" s="1184"/>
      <c r="L237" s="1184"/>
      <c r="M237" s="1184"/>
      <c r="N237" s="1351"/>
      <c r="O237" s="1351"/>
      <c r="P237" s="1163"/>
      <c r="Q237" s="1163"/>
    </row>
    <row r="238" ht="12.75" customHeight="1">
      <c r="A238" s="1351"/>
      <c r="B238" s="1351"/>
      <c r="C238" s="1351"/>
      <c r="D238" s="1351"/>
      <c r="E238" s="1351"/>
      <c r="F238" s="1351"/>
      <c r="G238" s="1184"/>
      <c r="H238" s="1351"/>
      <c r="I238" s="1184"/>
      <c r="J238" s="1351"/>
      <c r="K238" s="1184"/>
      <c r="L238" s="1184"/>
      <c r="M238" s="1184"/>
      <c r="N238" s="1351"/>
      <c r="O238" s="1351"/>
      <c r="P238" s="1163"/>
      <c r="Q238" s="1163"/>
    </row>
    <row r="239" ht="12.75" customHeight="1">
      <c r="A239" s="1351"/>
      <c r="B239" s="1351"/>
      <c r="C239" s="1351"/>
      <c r="D239" s="1351"/>
      <c r="E239" s="1351"/>
      <c r="F239" s="1351"/>
      <c r="G239" s="1184"/>
      <c r="H239" s="1351"/>
      <c r="I239" s="1184"/>
      <c r="J239" s="1351"/>
      <c r="K239" s="1184"/>
      <c r="L239" s="1184"/>
      <c r="M239" s="1184"/>
      <c r="N239" s="1351"/>
      <c r="O239" s="1351"/>
      <c r="P239" s="1163"/>
      <c r="Q239" s="1163"/>
    </row>
    <row r="240" ht="12.75" customHeight="1">
      <c r="A240" s="1351"/>
      <c r="B240" s="1351"/>
      <c r="C240" s="1351"/>
      <c r="D240" s="1351"/>
      <c r="E240" s="1351"/>
      <c r="F240" s="1351"/>
      <c r="G240" s="1184"/>
      <c r="H240" s="1351"/>
      <c r="I240" s="1184"/>
      <c r="J240" s="1351"/>
      <c r="K240" s="1184"/>
      <c r="L240" s="1184"/>
      <c r="M240" s="1184"/>
      <c r="N240" s="1351"/>
      <c r="O240" s="1351"/>
      <c r="P240" s="1163"/>
      <c r="Q240" s="1163"/>
    </row>
    <row r="241" ht="12.75" customHeight="1">
      <c r="A241" s="1351"/>
      <c r="B241" s="1351"/>
      <c r="C241" s="1351"/>
      <c r="D241" s="1351"/>
      <c r="E241" s="1351"/>
      <c r="F241" s="1351"/>
      <c r="G241" s="1184"/>
      <c r="H241" s="1351"/>
      <c r="I241" s="1184"/>
      <c r="J241" s="1351"/>
      <c r="K241" s="1184"/>
      <c r="L241" s="1184"/>
      <c r="M241" s="1184"/>
      <c r="N241" s="1351"/>
      <c r="O241" s="1351"/>
      <c r="P241" s="1163"/>
      <c r="Q241" s="1163"/>
    </row>
    <row r="242" ht="12.75" customHeight="1">
      <c r="A242" s="1351"/>
      <c r="B242" s="1351"/>
      <c r="C242" s="1351"/>
      <c r="D242" s="1351"/>
      <c r="E242" s="1351"/>
      <c r="F242" s="1351"/>
      <c r="G242" s="1184"/>
      <c r="H242" s="1351"/>
      <c r="I242" s="1184"/>
      <c r="J242" s="1351"/>
      <c r="K242" s="1184"/>
      <c r="L242" s="1184"/>
      <c r="M242" s="1184"/>
      <c r="N242" s="1351"/>
      <c r="O242" s="1351"/>
      <c r="P242" s="1163"/>
      <c r="Q242" s="1163"/>
    </row>
    <row r="243" ht="12.75" customHeight="1">
      <c r="A243" s="1351"/>
      <c r="B243" s="1351"/>
      <c r="C243" s="1351"/>
      <c r="D243" s="1351"/>
      <c r="E243" s="1351"/>
      <c r="F243" s="1351"/>
      <c r="G243" s="1184"/>
      <c r="H243" s="1351"/>
      <c r="I243" s="1184"/>
      <c r="J243" s="1351"/>
      <c r="K243" s="1184"/>
      <c r="L243" s="1184"/>
      <c r="M243" s="1184"/>
      <c r="N243" s="1351"/>
      <c r="O243" s="1351"/>
      <c r="P243" s="1163"/>
      <c r="Q243" s="1163"/>
    </row>
    <row r="244" ht="12.75" customHeight="1">
      <c r="A244" s="1351"/>
      <c r="B244" s="1351"/>
      <c r="C244" s="1351"/>
      <c r="D244" s="1351"/>
      <c r="E244" s="1351"/>
      <c r="F244" s="1351"/>
      <c r="G244" s="1184"/>
      <c r="H244" s="1351"/>
      <c r="I244" s="1184"/>
      <c r="J244" s="1351"/>
      <c r="K244" s="1184"/>
      <c r="L244" s="1184"/>
      <c r="M244" s="1184"/>
      <c r="N244" s="1351"/>
      <c r="O244" s="1351"/>
      <c r="P244" s="1163"/>
      <c r="Q244" s="1163"/>
    </row>
    <row r="245" ht="12.75" customHeight="1">
      <c r="A245" s="1351"/>
      <c r="B245" s="1351"/>
      <c r="C245" s="1351"/>
      <c r="D245" s="1351"/>
      <c r="E245" s="1351"/>
      <c r="F245" s="1351"/>
      <c r="G245" s="1184"/>
      <c r="H245" s="1351"/>
      <c r="I245" s="1184"/>
      <c r="J245" s="1351"/>
      <c r="K245" s="1184"/>
      <c r="L245" s="1184"/>
      <c r="M245" s="1184"/>
      <c r="N245" s="1351"/>
      <c r="O245" s="1351"/>
      <c r="P245" s="1163"/>
      <c r="Q245" s="1163"/>
    </row>
    <row r="246" ht="12.75" customHeight="1">
      <c r="A246" s="1351"/>
      <c r="B246" s="1351"/>
      <c r="C246" s="1351"/>
      <c r="D246" s="1351"/>
      <c r="E246" s="1351"/>
      <c r="F246" s="1351"/>
      <c r="G246" s="1184"/>
      <c r="H246" s="1351"/>
      <c r="I246" s="1184"/>
      <c r="J246" s="1351"/>
      <c r="K246" s="1184"/>
      <c r="L246" s="1184"/>
      <c r="M246" s="1184"/>
      <c r="N246" s="1351"/>
      <c r="O246" s="1351"/>
      <c r="P246" s="1163"/>
      <c r="Q246" s="1163"/>
    </row>
    <row r="247" ht="12.75" customHeight="1">
      <c r="A247" s="1351"/>
      <c r="B247" s="1351"/>
      <c r="C247" s="1351"/>
      <c r="D247" s="1351"/>
      <c r="E247" s="1351"/>
      <c r="F247" s="1351"/>
      <c r="G247" s="1184"/>
      <c r="H247" s="1351"/>
      <c r="I247" s="1184"/>
      <c r="J247" s="1351"/>
      <c r="K247" s="1184"/>
      <c r="L247" s="1184"/>
      <c r="M247" s="1184"/>
      <c r="N247" s="1351"/>
      <c r="O247" s="1351"/>
      <c r="P247" s="1163"/>
      <c r="Q247" s="1163"/>
    </row>
    <row r="248" ht="12.75" customHeight="1">
      <c r="A248" s="1351"/>
      <c r="B248" s="1351"/>
      <c r="C248" s="1351"/>
      <c r="D248" s="1351"/>
      <c r="E248" s="1351"/>
      <c r="F248" s="1351"/>
      <c r="G248" s="1184"/>
      <c r="H248" s="1351"/>
      <c r="I248" s="1184"/>
      <c r="J248" s="1351"/>
      <c r="K248" s="1184"/>
      <c r="L248" s="1184"/>
      <c r="M248" s="1184"/>
      <c r="N248" s="1351"/>
      <c r="O248" s="1351"/>
      <c r="P248" s="1163"/>
      <c r="Q248" s="1163"/>
    </row>
    <row r="249" ht="12.75" customHeight="1">
      <c r="A249" s="1351"/>
      <c r="B249" s="1351"/>
      <c r="C249" s="1351"/>
      <c r="D249" s="1351"/>
      <c r="E249" s="1351"/>
      <c r="F249" s="1351"/>
      <c r="G249" s="1184"/>
      <c r="H249" s="1351"/>
      <c r="I249" s="1184"/>
      <c r="J249" s="1351"/>
      <c r="K249" s="1184"/>
      <c r="L249" s="1184"/>
      <c r="M249" s="1184"/>
      <c r="N249" s="1351"/>
      <c r="O249" s="1351"/>
      <c r="P249" s="1163"/>
      <c r="Q249" s="1163"/>
    </row>
    <row r="250" ht="12.75" customHeight="1">
      <c r="A250" s="1351"/>
      <c r="B250" s="1351"/>
      <c r="C250" s="1351"/>
      <c r="D250" s="1351"/>
      <c r="E250" s="1351"/>
      <c r="F250" s="1351"/>
      <c r="G250" s="1184"/>
      <c r="H250" s="1351"/>
      <c r="I250" s="1184"/>
      <c r="J250" s="1351"/>
      <c r="K250" s="1184"/>
      <c r="L250" s="1184"/>
      <c r="M250" s="1184"/>
      <c r="N250" s="1351"/>
      <c r="O250" s="1351"/>
      <c r="P250" s="1163"/>
      <c r="Q250" s="1163"/>
    </row>
    <row r="251" ht="12.75" customHeight="1">
      <c r="A251" s="1351"/>
      <c r="B251" s="1351"/>
      <c r="C251" s="1351"/>
      <c r="D251" s="1351"/>
      <c r="E251" s="1351"/>
      <c r="F251" s="1351"/>
      <c r="G251" s="1184"/>
      <c r="H251" s="1351"/>
      <c r="I251" s="1184"/>
      <c r="J251" s="1351"/>
      <c r="K251" s="1184"/>
      <c r="L251" s="1184"/>
      <c r="M251" s="1184"/>
      <c r="N251" s="1351"/>
      <c r="O251" s="1351"/>
      <c r="P251" s="1163"/>
      <c r="Q251" s="1163"/>
    </row>
    <row r="252" ht="12.75" customHeight="1">
      <c r="A252" s="1351"/>
      <c r="B252" s="1351"/>
      <c r="C252" s="1351"/>
      <c r="D252" s="1351"/>
      <c r="E252" s="1351"/>
      <c r="F252" s="1351"/>
      <c r="G252" s="1184"/>
      <c r="H252" s="1351"/>
      <c r="I252" s="1184"/>
      <c r="J252" s="1351"/>
      <c r="K252" s="1184"/>
      <c r="L252" s="1184"/>
      <c r="M252" s="1184"/>
      <c r="N252" s="1351"/>
      <c r="O252" s="1351"/>
      <c r="P252" s="1163"/>
      <c r="Q252" s="1163"/>
    </row>
    <row r="253" ht="12.75" customHeight="1">
      <c r="A253" s="1351"/>
      <c r="B253" s="1351"/>
      <c r="C253" s="1351"/>
      <c r="D253" s="1351"/>
      <c r="E253" s="1351"/>
      <c r="F253" s="1351"/>
      <c r="G253" s="1184"/>
      <c r="H253" s="1351"/>
      <c r="I253" s="1184"/>
      <c r="J253" s="1351"/>
      <c r="K253" s="1184"/>
      <c r="L253" s="1184"/>
      <c r="M253" s="1184"/>
      <c r="N253" s="1351"/>
      <c r="O253" s="1351"/>
      <c r="P253" s="1163"/>
      <c r="Q253" s="1163"/>
    </row>
    <row r="254" ht="12.75" customHeight="1">
      <c r="A254" s="1351"/>
      <c r="B254" s="1351"/>
      <c r="C254" s="1351"/>
      <c r="D254" s="1351"/>
      <c r="E254" s="1351"/>
      <c r="F254" s="1351"/>
      <c r="G254" s="1184"/>
      <c r="H254" s="1351"/>
      <c r="I254" s="1184"/>
      <c r="J254" s="1351"/>
      <c r="K254" s="1184"/>
      <c r="L254" s="1184"/>
      <c r="M254" s="1184"/>
      <c r="N254" s="1351"/>
      <c r="O254" s="1351"/>
      <c r="P254" s="1163"/>
      <c r="Q254" s="1163"/>
    </row>
    <row r="255" ht="12.75" customHeight="1">
      <c r="A255" s="1351"/>
      <c r="B255" s="1351"/>
      <c r="C255" s="1351"/>
      <c r="D255" s="1351"/>
      <c r="E255" s="1351"/>
      <c r="F255" s="1351"/>
      <c r="G255" s="1184"/>
      <c r="H255" s="1351"/>
      <c r="I255" s="1184"/>
      <c r="J255" s="1351"/>
      <c r="K255" s="1184"/>
      <c r="L255" s="1184"/>
      <c r="M255" s="1184"/>
      <c r="N255" s="1351"/>
      <c r="O255" s="1351"/>
      <c r="P255" s="1163"/>
      <c r="Q255" s="1163"/>
    </row>
    <row r="256" ht="12.75" customHeight="1">
      <c r="A256" s="1351"/>
      <c r="B256" s="1351"/>
      <c r="C256" s="1351"/>
      <c r="D256" s="1351"/>
      <c r="E256" s="1351"/>
      <c r="F256" s="1351"/>
      <c r="G256" s="1184"/>
      <c r="H256" s="1351"/>
      <c r="I256" s="1184"/>
      <c r="J256" s="1351"/>
      <c r="K256" s="1184"/>
      <c r="L256" s="1184"/>
      <c r="M256" s="1184"/>
      <c r="N256" s="1351"/>
      <c r="O256" s="1351"/>
      <c r="P256" s="1163"/>
      <c r="Q256" s="1163"/>
    </row>
    <row r="257" ht="12.75" customHeight="1">
      <c r="A257" s="1351"/>
      <c r="B257" s="1351"/>
      <c r="C257" s="1351"/>
      <c r="D257" s="1351"/>
      <c r="E257" s="1351"/>
      <c r="F257" s="1351"/>
      <c r="G257" s="1184"/>
      <c r="H257" s="1351"/>
      <c r="I257" s="1184"/>
      <c r="J257" s="1351"/>
      <c r="K257" s="1184"/>
      <c r="L257" s="1184"/>
      <c r="M257" s="1184"/>
      <c r="N257" s="1351"/>
      <c r="O257" s="1351"/>
      <c r="P257" s="1163"/>
      <c r="Q257" s="1163"/>
    </row>
    <row r="258" ht="12.75" customHeight="1">
      <c r="A258" s="1351"/>
      <c r="B258" s="1351"/>
      <c r="C258" s="1351"/>
      <c r="D258" s="1351"/>
      <c r="E258" s="1351"/>
      <c r="F258" s="1351"/>
      <c r="G258" s="1184"/>
      <c r="H258" s="1351"/>
      <c r="I258" s="1184"/>
      <c r="J258" s="1351"/>
      <c r="K258" s="1184"/>
      <c r="L258" s="1184"/>
      <c r="M258" s="1184"/>
      <c r="N258" s="1351"/>
      <c r="O258" s="1351"/>
      <c r="P258" s="1163"/>
      <c r="Q258" s="1163"/>
    </row>
    <row r="259" ht="12.75" customHeight="1">
      <c r="A259" s="1351"/>
      <c r="B259" s="1351"/>
      <c r="C259" s="1351"/>
      <c r="D259" s="1351"/>
      <c r="E259" s="1351"/>
      <c r="F259" s="1351"/>
      <c r="G259" s="1184"/>
      <c r="H259" s="1351"/>
      <c r="I259" s="1184"/>
      <c r="J259" s="1351"/>
      <c r="K259" s="1184"/>
      <c r="L259" s="1184"/>
      <c r="M259" s="1184"/>
      <c r="N259" s="1351"/>
      <c r="O259" s="1351"/>
      <c r="P259" s="1163"/>
      <c r="Q259" s="1163"/>
    </row>
    <row r="260" ht="12.75" customHeight="1">
      <c r="A260" s="1351"/>
      <c r="B260" s="1351"/>
      <c r="C260" s="1351"/>
      <c r="D260" s="1351"/>
      <c r="E260" s="1351"/>
      <c r="F260" s="1351"/>
      <c r="G260" s="1184"/>
      <c r="H260" s="1351"/>
      <c r="I260" s="1184"/>
      <c r="J260" s="1351"/>
      <c r="K260" s="1184"/>
      <c r="L260" s="1184"/>
      <c r="M260" s="1184"/>
      <c r="N260" s="1351"/>
      <c r="O260" s="1351"/>
      <c r="P260" s="1163"/>
      <c r="Q260" s="1163"/>
    </row>
    <row r="261" ht="12.75" customHeight="1">
      <c r="A261" s="1351"/>
      <c r="B261" s="1351"/>
      <c r="C261" s="1351"/>
      <c r="D261" s="1351"/>
      <c r="E261" s="1351"/>
      <c r="F261" s="1351"/>
      <c r="G261" s="1184"/>
      <c r="H261" s="1351"/>
      <c r="I261" s="1184"/>
      <c r="J261" s="1351"/>
      <c r="K261" s="1184"/>
      <c r="L261" s="1184"/>
      <c r="M261" s="1184"/>
      <c r="N261" s="1351"/>
      <c r="O261" s="1351"/>
      <c r="P261" s="1163"/>
      <c r="Q261" s="1163"/>
    </row>
    <row r="262" ht="12.75" customHeight="1">
      <c r="A262" s="1351"/>
      <c r="B262" s="1351"/>
      <c r="C262" s="1351"/>
      <c r="D262" s="1351"/>
      <c r="E262" s="1351"/>
      <c r="F262" s="1351"/>
      <c r="G262" s="1184"/>
      <c r="H262" s="1351"/>
      <c r="I262" s="1184"/>
      <c r="J262" s="1351"/>
      <c r="K262" s="1184"/>
      <c r="L262" s="1184"/>
      <c r="M262" s="1184"/>
      <c r="N262" s="1351"/>
      <c r="O262" s="1351"/>
      <c r="P262" s="1163"/>
      <c r="Q262" s="1163"/>
    </row>
    <row r="263" ht="12.75" customHeight="1">
      <c r="A263" s="1351"/>
      <c r="B263" s="1351"/>
      <c r="C263" s="1351"/>
      <c r="D263" s="1351"/>
      <c r="E263" s="1351"/>
      <c r="F263" s="1351"/>
      <c r="G263" s="1184"/>
      <c r="H263" s="1351"/>
      <c r="I263" s="1184"/>
      <c r="J263" s="1351"/>
      <c r="K263" s="1184"/>
      <c r="L263" s="1184"/>
      <c r="M263" s="1184"/>
      <c r="N263" s="1351"/>
      <c r="O263" s="1351"/>
      <c r="P263" s="1163"/>
      <c r="Q263" s="1163"/>
    </row>
    <row r="264" ht="12.75" customHeight="1">
      <c r="A264" s="1351"/>
      <c r="B264" s="1351"/>
      <c r="C264" s="1351"/>
      <c r="D264" s="1351"/>
      <c r="E264" s="1351"/>
      <c r="F264" s="1351"/>
      <c r="G264" s="1184"/>
      <c r="H264" s="1351"/>
      <c r="I264" s="1184"/>
      <c r="J264" s="1351"/>
      <c r="K264" s="1184"/>
      <c r="L264" s="1184"/>
      <c r="M264" s="1184"/>
      <c r="N264" s="1351"/>
      <c r="O264" s="1351"/>
      <c r="P264" s="1163"/>
      <c r="Q264" s="1163"/>
    </row>
    <row r="265" ht="12.75" customHeight="1">
      <c r="A265" s="1351"/>
      <c r="B265" s="1351"/>
      <c r="C265" s="1351"/>
      <c r="D265" s="1351"/>
      <c r="E265" s="1351"/>
      <c r="F265" s="1351"/>
      <c r="G265" s="1184"/>
      <c r="H265" s="1351"/>
      <c r="I265" s="1184"/>
      <c r="J265" s="1351"/>
      <c r="K265" s="1184"/>
      <c r="L265" s="1184"/>
      <c r="M265" s="1184"/>
      <c r="N265" s="1351"/>
      <c r="O265" s="1351"/>
      <c r="P265" s="1163"/>
      <c r="Q265" s="1163"/>
    </row>
    <row r="266" ht="12.75" customHeight="1">
      <c r="A266" s="1351"/>
      <c r="B266" s="1351"/>
      <c r="C266" s="1351"/>
      <c r="D266" s="1351"/>
      <c r="E266" s="1351"/>
      <c r="F266" s="1351"/>
      <c r="G266" s="1184"/>
      <c r="H266" s="1351"/>
      <c r="I266" s="1184"/>
      <c r="J266" s="1351"/>
      <c r="K266" s="1184"/>
      <c r="L266" s="1184"/>
      <c r="M266" s="1184"/>
      <c r="N266" s="1351"/>
      <c r="O266" s="1351"/>
      <c r="P266" s="1163"/>
      <c r="Q266" s="1163"/>
    </row>
    <row r="267" ht="12.75" customHeight="1">
      <c r="A267" s="1351"/>
      <c r="B267" s="1351"/>
      <c r="C267" s="1351"/>
      <c r="D267" s="1351"/>
      <c r="E267" s="1351"/>
      <c r="F267" s="1351"/>
      <c r="G267" s="1184"/>
      <c r="H267" s="1351"/>
      <c r="I267" s="1184"/>
      <c r="J267" s="1351"/>
      <c r="K267" s="1184"/>
      <c r="L267" s="1184"/>
      <c r="M267" s="1184"/>
      <c r="N267" s="1351"/>
      <c r="O267" s="1351"/>
      <c r="P267" s="1163"/>
      <c r="Q267" s="1163"/>
    </row>
    <row r="268" ht="12.75" customHeight="1">
      <c r="A268" s="1351"/>
      <c r="B268" s="1351"/>
      <c r="C268" s="1351"/>
      <c r="D268" s="1351"/>
      <c r="E268" s="1351"/>
      <c r="F268" s="1351"/>
      <c r="G268" s="1184"/>
      <c r="H268" s="1351"/>
      <c r="I268" s="1184"/>
      <c r="J268" s="1351"/>
      <c r="K268" s="1184"/>
      <c r="L268" s="1184"/>
      <c r="M268" s="1184"/>
      <c r="N268" s="1351"/>
      <c r="O268" s="1351"/>
      <c r="P268" s="1163"/>
      <c r="Q268" s="1163"/>
    </row>
    <row r="269" ht="12.75" customHeight="1">
      <c r="A269" s="1351"/>
      <c r="B269" s="1351"/>
      <c r="C269" s="1351"/>
      <c r="D269" s="1351"/>
      <c r="E269" s="1351"/>
      <c r="F269" s="1351"/>
      <c r="G269" s="1184"/>
      <c r="H269" s="1351"/>
      <c r="I269" s="1184"/>
      <c r="J269" s="1351"/>
      <c r="K269" s="1184"/>
      <c r="L269" s="1184"/>
      <c r="M269" s="1184"/>
      <c r="N269" s="1351"/>
      <c r="O269" s="1351"/>
      <c r="P269" s="1163"/>
      <c r="Q269" s="1163"/>
    </row>
    <row r="270" ht="12.75" customHeight="1">
      <c r="A270" s="1351"/>
      <c r="B270" s="1351"/>
      <c r="C270" s="1351"/>
      <c r="D270" s="1351"/>
      <c r="E270" s="1351"/>
      <c r="F270" s="1351"/>
      <c r="G270" s="1184"/>
      <c r="H270" s="1351"/>
      <c r="I270" s="1184"/>
      <c r="J270" s="1351"/>
      <c r="K270" s="1184"/>
      <c r="L270" s="1184"/>
      <c r="M270" s="1184"/>
      <c r="N270" s="1351"/>
      <c r="O270" s="1351"/>
      <c r="P270" s="1163"/>
      <c r="Q270" s="1163"/>
    </row>
    <row r="271" ht="12.75" customHeight="1">
      <c r="A271" s="1351"/>
      <c r="B271" s="1351"/>
      <c r="C271" s="1351"/>
      <c r="D271" s="1351"/>
      <c r="E271" s="1351"/>
      <c r="F271" s="1351"/>
      <c r="G271" s="1184"/>
      <c r="H271" s="1351"/>
      <c r="I271" s="1184"/>
      <c r="J271" s="1351"/>
      <c r="K271" s="1184"/>
      <c r="L271" s="1184"/>
      <c r="M271" s="1184"/>
      <c r="N271" s="1351"/>
      <c r="O271" s="1351"/>
      <c r="P271" s="1163"/>
      <c r="Q271" s="1163"/>
    </row>
    <row r="272" ht="12.75" customHeight="1">
      <c r="A272" s="1351"/>
      <c r="B272" s="1351"/>
      <c r="C272" s="1351"/>
      <c r="D272" s="1351"/>
      <c r="E272" s="1351"/>
      <c r="F272" s="1351"/>
      <c r="G272" s="1184"/>
      <c r="H272" s="1351"/>
      <c r="I272" s="1184"/>
      <c r="J272" s="1351"/>
      <c r="K272" s="1184"/>
      <c r="L272" s="1184"/>
      <c r="M272" s="1184"/>
      <c r="N272" s="1351"/>
      <c r="O272" s="1351"/>
      <c r="P272" s="1163"/>
      <c r="Q272" s="1163"/>
    </row>
    <row r="273" ht="12.75" customHeight="1">
      <c r="A273" s="1351"/>
      <c r="B273" s="1351"/>
      <c r="C273" s="1351"/>
      <c r="D273" s="1351"/>
      <c r="E273" s="1351"/>
      <c r="F273" s="1351"/>
      <c r="G273" s="1184"/>
      <c r="H273" s="1351"/>
      <c r="I273" s="1184"/>
      <c r="J273" s="1351"/>
      <c r="K273" s="1184"/>
      <c r="L273" s="1184"/>
      <c r="M273" s="1184"/>
      <c r="N273" s="1351"/>
      <c r="O273" s="1351"/>
      <c r="P273" s="1163"/>
      <c r="Q273" s="1163"/>
    </row>
    <row r="274" ht="12.75" customHeight="1">
      <c r="A274" s="1351"/>
      <c r="B274" s="1351"/>
      <c r="C274" s="1351"/>
      <c r="D274" s="1351"/>
      <c r="E274" s="1351"/>
      <c r="F274" s="1351"/>
      <c r="G274" s="1184"/>
      <c r="H274" s="1351"/>
      <c r="I274" s="1184"/>
      <c r="J274" s="1351"/>
      <c r="K274" s="1184"/>
      <c r="L274" s="1184"/>
      <c r="M274" s="1184"/>
      <c r="N274" s="1351"/>
      <c r="O274" s="1351"/>
      <c r="P274" s="1163"/>
      <c r="Q274" s="1163"/>
    </row>
    <row r="275" ht="12.75" customHeight="1">
      <c r="A275" s="1351"/>
      <c r="B275" s="1351"/>
      <c r="C275" s="1351"/>
      <c r="D275" s="1351"/>
      <c r="E275" s="1351"/>
      <c r="F275" s="1351"/>
      <c r="G275" s="1184"/>
      <c r="H275" s="1351"/>
      <c r="I275" s="1184"/>
      <c r="J275" s="1351"/>
      <c r="K275" s="1184"/>
      <c r="L275" s="1184"/>
      <c r="M275" s="1184"/>
      <c r="N275" s="1351"/>
      <c r="O275" s="1351"/>
      <c r="P275" s="1163"/>
      <c r="Q275" s="1163"/>
    </row>
    <row r="276" ht="12.75" customHeight="1">
      <c r="A276" s="1351"/>
      <c r="B276" s="1351"/>
      <c r="C276" s="1351"/>
      <c r="D276" s="1351"/>
      <c r="E276" s="1351"/>
      <c r="F276" s="1351"/>
      <c r="G276" s="1184"/>
      <c r="H276" s="1351"/>
      <c r="I276" s="1184"/>
      <c r="J276" s="1351"/>
      <c r="K276" s="1184"/>
      <c r="L276" s="1184"/>
      <c r="M276" s="1184"/>
      <c r="N276" s="1351"/>
      <c r="O276" s="1351"/>
      <c r="P276" s="1163"/>
      <c r="Q276" s="1163"/>
    </row>
    <row r="277" ht="12.75" customHeight="1">
      <c r="A277" s="1351"/>
      <c r="B277" s="1351"/>
      <c r="C277" s="1351"/>
      <c r="D277" s="1351"/>
      <c r="E277" s="1351"/>
      <c r="F277" s="1351"/>
      <c r="G277" s="1184"/>
      <c r="H277" s="1351"/>
      <c r="I277" s="1184"/>
      <c r="J277" s="1351"/>
      <c r="K277" s="1184"/>
      <c r="L277" s="1184"/>
      <c r="M277" s="1184"/>
      <c r="N277" s="1351"/>
      <c r="O277" s="1351"/>
      <c r="P277" s="1163"/>
      <c r="Q277" s="1163"/>
    </row>
    <row r="278" ht="12.75" customHeight="1">
      <c r="A278" s="1351"/>
      <c r="B278" s="1351"/>
      <c r="C278" s="1351"/>
      <c r="D278" s="1351"/>
      <c r="E278" s="1351"/>
      <c r="F278" s="1351"/>
      <c r="G278" s="1184"/>
      <c r="H278" s="1351"/>
      <c r="I278" s="1184"/>
      <c r="J278" s="1351"/>
      <c r="K278" s="1184"/>
      <c r="L278" s="1184"/>
      <c r="M278" s="1184"/>
      <c r="N278" s="1351"/>
      <c r="O278" s="1351"/>
      <c r="P278" s="1163"/>
      <c r="Q278" s="1163"/>
    </row>
    <row r="279" ht="12.75" customHeight="1">
      <c r="A279" s="1351"/>
      <c r="B279" s="1351"/>
      <c r="C279" s="1351"/>
      <c r="D279" s="1351"/>
      <c r="E279" s="1351"/>
      <c r="F279" s="1351"/>
      <c r="G279" s="1184"/>
      <c r="H279" s="1351"/>
      <c r="I279" s="1184"/>
      <c r="J279" s="1351"/>
      <c r="K279" s="1184"/>
      <c r="L279" s="1184"/>
      <c r="M279" s="1184"/>
      <c r="N279" s="1351"/>
      <c r="O279" s="1351"/>
      <c r="P279" s="1163"/>
      <c r="Q279" s="1163"/>
    </row>
    <row r="280" ht="12.75" customHeight="1">
      <c r="A280" s="1351"/>
      <c r="B280" s="1351"/>
      <c r="C280" s="1351"/>
      <c r="D280" s="1351"/>
      <c r="E280" s="1351"/>
      <c r="F280" s="1351"/>
      <c r="G280" s="1184"/>
      <c r="H280" s="1351"/>
      <c r="I280" s="1184"/>
      <c r="J280" s="1351"/>
      <c r="K280" s="1184"/>
      <c r="L280" s="1184"/>
      <c r="M280" s="1184"/>
      <c r="N280" s="1351"/>
      <c r="O280" s="1351"/>
      <c r="P280" s="1163"/>
      <c r="Q280" s="1163"/>
    </row>
    <row r="281" ht="12.75" customHeight="1">
      <c r="A281" s="1351"/>
      <c r="B281" s="1351"/>
      <c r="C281" s="1351"/>
      <c r="D281" s="1351"/>
      <c r="E281" s="1351"/>
      <c r="F281" s="1351"/>
      <c r="G281" s="1184"/>
      <c r="H281" s="1351"/>
      <c r="I281" s="1184"/>
      <c r="J281" s="1351"/>
      <c r="K281" s="1184"/>
      <c r="L281" s="1184"/>
      <c r="M281" s="1184"/>
      <c r="N281" s="1351"/>
      <c r="O281" s="1351"/>
      <c r="P281" s="1163"/>
      <c r="Q281" s="1163"/>
    </row>
    <row r="282" ht="12.75" customHeight="1">
      <c r="A282" s="1351"/>
      <c r="B282" s="1351"/>
      <c r="C282" s="1351"/>
      <c r="D282" s="1351"/>
      <c r="E282" s="1351"/>
      <c r="F282" s="1351"/>
      <c r="G282" s="1184"/>
      <c r="H282" s="1351"/>
      <c r="I282" s="1184"/>
      <c r="J282" s="1351"/>
      <c r="K282" s="1184"/>
      <c r="L282" s="1184"/>
      <c r="M282" s="1184"/>
      <c r="N282" s="1351"/>
      <c r="O282" s="1351"/>
      <c r="P282" s="1163"/>
      <c r="Q282" s="1163"/>
    </row>
    <row r="283" ht="12.75" customHeight="1">
      <c r="A283" s="1351"/>
      <c r="B283" s="1351"/>
      <c r="C283" s="1351"/>
      <c r="D283" s="1351"/>
      <c r="E283" s="1351"/>
      <c r="F283" s="1351"/>
      <c r="G283" s="1184"/>
      <c r="H283" s="1351"/>
      <c r="I283" s="1184"/>
      <c r="J283" s="1351"/>
      <c r="K283" s="1184"/>
      <c r="L283" s="1184"/>
      <c r="M283" s="1184"/>
      <c r="N283" s="1351"/>
      <c r="O283" s="1351"/>
      <c r="P283" s="1163"/>
      <c r="Q283" s="1163"/>
    </row>
    <row r="284" ht="12.75" customHeight="1">
      <c r="A284" s="1351"/>
      <c r="B284" s="1351"/>
      <c r="C284" s="1351"/>
      <c r="D284" s="1351"/>
      <c r="E284" s="1351"/>
      <c r="F284" s="1351"/>
      <c r="G284" s="1184"/>
      <c r="H284" s="1351"/>
      <c r="I284" s="1184"/>
      <c r="J284" s="1351"/>
      <c r="K284" s="1184"/>
      <c r="L284" s="1184"/>
      <c r="M284" s="1184"/>
      <c r="N284" s="1351"/>
      <c r="O284" s="1351"/>
      <c r="P284" s="1163"/>
      <c r="Q284" s="1163"/>
    </row>
    <row r="285" ht="12.75" customHeight="1">
      <c r="A285" s="1351"/>
      <c r="B285" s="1351"/>
      <c r="C285" s="1351"/>
      <c r="D285" s="1351"/>
      <c r="E285" s="1351"/>
      <c r="F285" s="1351"/>
      <c r="G285" s="1184"/>
      <c r="H285" s="1351"/>
      <c r="I285" s="1184"/>
      <c r="J285" s="1351"/>
      <c r="K285" s="1184"/>
      <c r="L285" s="1184"/>
      <c r="M285" s="1184"/>
      <c r="N285" s="1351"/>
      <c r="O285" s="1351"/>
      <c r="P285" s="1163"/>
      <c r="Q285" s="1163"/>
    </row>
    <row r="286" ht="12.75" customHeight="1">
      <c r="A286" s="1351"/>
      <c r="B286" s="1351"/>
      <c r="C286" s="1351"/>
      <c r="D286" s="1351"/>
      <c r="E286" s="1351"/>
      <c r="F286" s="1351"/>
      <c r="G286" s="1184"/>
      <c r="H286" s="1351"/>
      <c r="I286" s="1184"/>
      <c r="J286" s="1351"/>
      <c r="K286" s="1184"/>
      <c r="L286" s="1184"/>
      <c r="M286" s="1184"/>
      <c r="N286" s="1351"/>
      <c r="O286" s="1351"/>
      <c r="P286" s="1163"/>
      <c r="Q286" s="1163"/>
    </row>
    <row r="287" ht="12.75" customHeight="1">
      <c r="A287" s="1351"/>
      <c r="B287" s="1351"/>
      <c r="C287" s="1351"/>
      <c r="D287" s="1351"/>
      <c r="E287" s="1351"/>
      <c r="F287" s="1351"/>
      <c r="G287" s="1184"/>
      <c r="H287" s="1351"/>
      <c r="I287" s="1184"/>
      <c r="J287" s="1351"/>
      <c r="K287" s="1184"/>
      <c r="L287" s="1184"/>
      <c r="M287" s="1184"/>
      <c r="N287" s="1351"/>
      <c r="O287" s="1351"/>
      <c r="P287" s="1163"/>
      <c r="Q287" s="1163"/>
    </row>
    <row r="288" ht="12.75" customHeight="1">
      <c r="A288" s="1351"/>
      <c r="B288" s="1351"/>
      <c r="C288" s="1351"/>
      <c r="D288" s="1351"/>
      <c r="E288" s="1351"/>
      <c r="F288" s="1351"/>
      <c r="G288" s="1184"/>
      <c r="H288" s="1351"/>
      <c r="I288" s="1184"/>
      <c r="J288" s="1351"/>
      <c r="K288" s="1184"/>
      <c r="L288" s="1184"/>
      <c r="M288" s="1184"/>
      <c r="N288" s="1351"/>
      <c r="O288" s="1351"/>
      <c r="P288" s="1163"/>
      <c r="Q288" s="1163"/>
    </row>
    <row r="289" ht="12.75" customHeight="1">
      <c r="A289" s="1351"/>
      <c r="B289" s="1351"/>
      <c r="C289" s="1351"/>
      <c r="D289" s="1351"/>
      <c r="E289" s="1351"/>
      <c r="F289" s="1351"/>
      <c r="G289" s="1184"/>
      <c r="H289" s="1351"/>
      <c r="I289" s="1184"/>
      <c r="J289" s="1351"/>
      <c r="K289" s="1184"/>
      <c r="L289" s="1184"/>
      <c r="M289" s="1184"/>
      <c r="N289" s="1351"/>
      <c r="O289" s="1351"/>
      <c r="P289" s="1163"/>
      <c r="Q289" s="1163"/>
    </row>
    <row r="290" ht="12.75" customHeight="1">
      <c r="A290" s="1351"/>
      <c r="B290" s="1351"/>
      <c r="C290" s="1351"/>
      <c r="D290" s="1351"/>
      <c r="E290" s="1351"/>
      <c r="F290" s="1351"/>
      <c r="G290" s="1184"/>
      <c r="H290" s="1351"/>
      <c r="I290" s="1184"/>
      <c r="J290" s="1351"/>
      <c r="K290" s="1184"/>
      <c r="L290" s="1184"/>
      <c r="M290" s="1184"/>
      <c r="N290" s="1351"/>
      <c r="O290" s="1351"/>
      <c r="P290" s="1163"/>
      <c r="Q290" s="1163"/>
    </row>
    <row r="291" ht="12.75" customHeight="1">
      <c r="A291" s="1351"/>
      <c r="B291" s="1351"/>
      <c r="C291" s="1351"/>
      <c r="D291" s="1351"/>
      <c r="E291" s="1351"/>
      <c r="F291" s="1351"/>
      <c r="G291" s="1184"/>
      <c r="H291" s="1351"/>
      <c r="I291" s="1184"/>
      <c r="J291" s="1351"/>
      <c r="K291" s="1184"/>
      <c r="L291" s="1184"/>
      <c r="M291" s="1184"/>
      <c r="N291" s="1351"/>
      <c r="O291" s="1351"/>
      <c r="P291" s="1163"/>
      <c r="Q291" s="1163"/>
    </row>
    <row r="292" ht="12.75" customHeight="1">
      <c r="A292" s="1351"/>
      <c r="B292" s="1351"/>
      <c r="C292" s="1351"/>
      <c r="D292" s="1351"/>
      <c r="E292" s="1351"/>
      <c r="F292" s="1351"/>
      <c r="G292" s="1184"/>
      <c r="H292" s="1351"/>
      <c r="I292" s="1184"/>
      <c r="J292" s="1351"/>
      <c r="K292" s="1184"/>
      <c r="L292" s="1184"/>
      <c r="M292" s="1184"/>
      <c r="N292" s="1351"/>
      <c r="O292" s="1351"/>
      <c r="P292" s="1163"/>
      <c r="Q292" s="1163"/>
    </row>
    <row r="293" ht="12.75" customHeight="1">
      <c r="A293" s="1351"/>
      <c r="B293" s="1351"/>
      <c r="C293" s="1351"/>
      <c r="D293" s="1351"/>
      <c r="E293" s="1351"/>
      <c r="F293" s="1351"/>
      <c r="G293" s="1184"/>
      <c r="H293" s="1351"/>
      <c r="I293" s="1184"/>
      <c r="J293" s="1351"/>
      <c r="K293" s="1184"/>
      <c r="L293" s="1184"/>
      <c r="M293" s="1184"/>
      <c r="N293" s="1351"/>
      <c r="O293" s="1351"/>
      <c r="P293" s="1163"/>
      <c r="Q293" s="1163"/>
    </row>
    <row r="294" ht="12.75" customHeight="1">
      <c r="A294" s="1351"/>
      <c r="B294" s="1351"/>
      <c r="C294" s="1351"/>
      <c r="D294" s="1351"/>
      <c r="E294" s="1351"/>
      <c r="F294" s="1351"/>
      <c r="G294" s="1184"/>
      <c r="H294" s="1351"/>
      <c r="I294" s="1184"/>
      <c r="J294" s="1351"/>
      <c r="K294" s="1184"/>
      <c r="L294" s="1184"/>
      <c r="M294" s="1184"/>
      <c r="N294" s="1351"/>
      <c r="O294" s="1351"/>
      <c r="P294" s="1163"/>
      <c r="Q294" s="1163"/>
    </row>
    <row r="295" ht="12.75" customHeight="1">
      <c r="A295" s="1351"/>
      <c r="B295" s="1351"/>
      <c r="C295" s="1351"/>
      <c r="D295" s="1351"/>
      <c r="E295" s="1351"/>
      <c r="F295" s="1351"/>
      <c r="G295" s="1184"/>
      <c r="H295" s="1351"/>
      <c r="I295" s="1184"/>
      <c r="J295" s="1351"/>
      <c r="K295" s="1184"/>
      <c r="L295" s="1184"/>
      <c r="M295" s="1184"/>
      <c r="N295" s="1351"/>
      <c r="O295" s="1351"/>
      <c r="P295" s="1163"/>
      <c r="Q295" s="1163"/>
    </row>
    <row r="296" ht="12.75" customHeight="1">
      <c r="A296" s="1351"/>
      <c r="B296" s="1351"/>
      <c r="C296" s="1351"/>
      <c r="D296" s="1351"/>
      <c r="E296" s="1351"/>
      <c r="F296" s="1351"/>
      <c r="G296" s="1184"/>
      <c r="H296" s="1351"/>
      <c r="I296" s="1184"/>
      <c r="J296" s="1351"/>
      <c r="K296" s="1184"/>
      <c r="L296" s="1184"/>
      <c r="M296" s="1184"/>
      <c r="N296" s="1351"/>
      <c r="O296" s="1351"/>
      <c r="P296" s="1163"/>
      <c r="Q296" s="1163"/>
    </row>
    <row r="297" ht="12.75" customHeight="1">
      <c r="A297" s="1351"/>
      <c r="B297" s="1351"/>
      <c r="C297" s="1351"/>
      <c r="D297" s="1351"/>
      <c r="E297" s="1351"/>
      <c r="F297" s="1351"/>
      <c r="G297" s="1184"/>
      <c r="H297" s="1351"/>
      <c r="I297" s="1184"/>
      <c r="J297" s="1351"/>
      <c r="K297" s="1184"/>
      <c r="L297" s="1184"/>
      <c r="M297" s="1184"/>
      <c r="N297" s="1351"/>
      <c r="O297" s="1351"/>
      <c r="P297" s="1163"/>
      <c r="Q297" s="1163"/>
    </row>
    <row r="298" ht="12.75" customHeight="1">
      <c r="A298" s="1351"/>
      <c r="B298" s="1351"/>
      <c r="C298" s="1351"/>
      <c r="D298" s="1351"/>
      <c r="E298" s="1351"/>
      <c r="F298" s="1351"/>
      <c r="G298" s="1184"/>
      <c r="H298" s="1351"/>
      <c r="I298" s="1184"/>
      <c r="J298" s="1351"/>
      <c r="K298" s="1184"/>
      <c r="L298" s="1184"/>
      <c r="M298" s="1184"/>
      <c r="N298" s="1351"/>
      <c r="O298" s="1351"/>
      <c r="P298" s="1163"/>
      <c r="Q298" s="1163"/>
    </row>
    <row r="299" ht="12.75" customHeight="1">
      <c r="A299" s="1351"/>
      <c r="B299" s="1351"/>
      <c r="C299" s="1351"/>
      <c r="D299" s="1351"/>
      <c r="E299" s="1351"/>
      <c r="F299" s="1351"/>
      <c r="G299" s="1184"/>
      <c r="H299" s="1351"/>
      <c r="I299" s="1184"/>
      <c r="J299" s="1351"/>
      <c r="K299" s="1184"/>
      <c r="L299" s="1184"/>
      <c r="M299" s="1184"/>
      <c r="N299" s="1351"/>
      <c r="O299" s="1351"/>
      <c r="P299" s="1163"/>
      <c r="Q299" s="1163"/>
    </row>
    <row r="300" ht="12.75" customHeight="1">
      <c r="A300" s="1351"/>
      <c r="B300" s="1351"/>
      <c r="C300" s="1351"/>
      <c r="D300" s="1351"/>
      <c r="E300" s="1351"/>
      <c r="F300" s="1351"/>
      <c r="G300" s="1184"/>
      <c r="H300" s="1351"/>
      <c r="I300" s="1184"/>
      <c r="J300" s="1351"/>
      <c r="K300" s="1184"/>
      <c r="L300" s="1184"/>
      <c r="M300" s="1184"/>
      <c r="N300" s="1351"/>
      <c r="O300" s="1351"/>
      <c r="P300" s="1163"/>
      <c r="Q300" s="1163"/>
    </row>
    <row r="301" ht="12.75" customHeight="1">
      <c r="A301" s="1351"/>
      <c r="B301" s="1351"/>
      <c r="C301" s="1351"/>
      <c r="D301" s="1351"/>
      <c r="E301" s="1351"/>
      <c r="F301" s="1351"/>
      <c r="G301" s="1184"/>
      <c r="H301" s="1351"/>
      <c r="I301" s="1184"/>
      <c r="J301" s="1351"/>
      <c r="K301" s="1184"/>
      <c r="L301" s="1184"/>
      <c r="M301" s="1184"/>
      <c r="N301" s="1351"/>
      <c r="O301" s="1351"/>
      <c r="P301" s="1163"/>
      <c r="Q301" s="1163"/>
    </row>
    <row r="302" ht="12.75" customHeight="1">
      <c r="A302" s="1351"/>
      <c r="B302" s="1351"/>
      <c r="C302" s="1351"/>
      <c r="D302" s="1351"/>
      <c r="E302" s="1351"/>
      <c r="F302" s="1351"/>
      <c r="G302" s="1184"/>
      <c r="H302" s="1351"/>
      <c r="I302" s="1184"/>
      <c r="J302" s="1351"/>
      <c r="K302" s="1184"/>
      <c r="L302" s="1184"/>
      <c r="M302" s="1184"/>
      <c r="N302" s="1351"/>
      <c r="O302" s="1351"/>
      <c r="P302" s="1163"/>
      <c r="Q302" s="1163"/>
    </row>
    <row r="303" ht="12.75" customHeight="1">
      <c r="A303" s="1351"/>
      <c r="B303" s="1351"/>
      <c r="C303" s="1351"/>
      <c r="D303" s="1351"/>
      <c r="E303" s="1351"/>
      <c r="F303" s="1351"/>
      <c r="G303" s="1184"/>
      <c r="H303" s="1351"/>
      <c r="I303" s="1184"/>
      <c r="J303" s="1351"/>
      <c r="K303" s="1184"/>
      <c r="L303" s="1184"/>
      <c r="M303" s="1184"/>
      <c r="N303" s="1351"/>
      <c r="O303" s="1351"/>
      <c r="P303" s="1163"/>
      <c r="Q303" s="1163"/>
    </row>
    <row r="304" ht="12.75" customHeight="1">
      <c r="A304" s="1351"/>
      <c r="B304" s="1351"/>
      <c r="C304" s="1351"/>
      <c r="D304" s="1351"/>
      <c r="E304" s="1351"/>
      <c r="F304" s="1351"/>
      <c r="G304" s="1184"/>
      <c r="H304" s="1351"/>
      <c r="I304" s="1184"/>
      <c r="J304" s="1351"/>
      <c r="K304" s="1184"/>
      <c r="L304" s="1184"/>
      <c r="M304" s="1184"/>
      <c r="N304" s="1351"/>
      <c r="O304" s="1351"/>
      <c r="P304" s="1163"/>
      <c r="Q304" s="1163"/>
    </row>
    <row r="305" ht="12.75" customHeight="1">
      <c r="A305" s="1351"/>
      <c r="B305" s="1351"/>
      <c r="C305" s="1351"/>
      <c r="D305" s="1351"/>
      <c r="E305" s="1351"/>
      <c r="F305" s="1351"/>
      <c r="G305" s="1184"/>
      <c r="H305" s="1351"/>
      <c r="I305" s="1184"/>
      <c r="J305" s="1351"/>
      <c r="K305" s="1184"/>
      <c r="L305" s="1184"/>
      <c r="M305" s="1184"/>
      <c r="N305" s="1351"/>
      <c r="O305" s="1351"/>
      <c r="P305" s="1163"/>
      <c r="Q305" s="1163"/>
    </row>
    <row r="306" ht="12.75" customHeight="1">
      <c r="A306" s="1351"/>
      <c r="B306" s="1351"/>
      <c r="C306" s="1351"/>
      <c r="D306" s="1351"/>
      <c r="E306" s="1351"/>
      <c r="F306" s="1351"/>
      <c r="G306" s="1184"/>
      <c r="H306" s="1351"/>
      <c r="I306" s="1184"/>
      <c r="J306" s="1351"/>
      <c r="K306" s="1184"/>
      <c r="L306" s="1184"/>
      <c r="M306" s="1184"/>
      <c r="N306" s="1351"/>
      <c r="O306" s="1351"/>
      <c r="P306" s="1163"/>
      <c r="Q306" s="1163"/>
    </row>
    <row r="307" ht="12.75" customHeight="1">
      <c r="A307" s="1351"/>
      <c r="B307" s="1351"/>
      <c r="C307" s="1351"/>
      <c r="D307" s="1351"/>
      <c r="E307" s="1351"/>
      <c r="F307" s="1351"/>
      <c r="G307" s="1184"/>
      <c r="H307" s="1351"/>
      <c r="I307" s="1184"/>
      <c r="J307" s="1351"/>
      <c r="K307" s="1184"/>
      <c r="L307" s="1184"/>
      <c r="M307" s="1184"/>
      <c r="N307" s="1351"/>
      <c r="O307" s="1351"/>
      <c r="P307" s="1163"/>
      <c r="Q307" s="1163"/>
    </row>
    <row r="308" ht="12.75" customHeight="1">
      <c r="A308" s="1351"/>
      <c r="B308" s="1351"/>
      <c r="C308" s="1351"/>
      <c r="D308" s="1351"/>
      <c r="E308" s="1351"/>
      <c r="F308" s="1351"/>
      <c r="G308" s="1184"/>
      <c r="H308" s="1351"/>
      <c r="I308" s="1184"/>
      <c r="J308" s="1351"/>
      <c r="K308" s="1184"/>
      <c r="L308" s="1184"/>
      <c r="M308" s="1184"/>
      <c r="N308" s="1351"/>
      <c r="O308" s="1351"/>
      <c r="P308" s="1163"/>
      <c r="Q308" s="1163"/>
    </row>
    <row r="309" ht="12.75" customHeight="1">
      <c r="A309" s="1351"/>
      <c r="B309" s="1351"/>
      <c r="C309" s="1351"/>
      <c r="D309" s="1351"/>
      <c r="E309" s="1351"/>
      <c r="F309" s="1351"/>
      <c r="G309" s="1184"/>
      <c r="H309" s="1351"/>
      <c r="I309" s="1184"/>
      <c r="J309" s="1351"/>
      <c r="K309" s="1184"/>
      <c r="L309" s="1184"/>
      <c r="M309" s="1184"/>
      <c r="N309" s="1351"/>
      <c r="O309" s="1351"/>
      <c r="P309" s="1163"/>
      <c r="Q309" s="1163"/>
    </row>
    <row r="310" ht="12.75" customHeight="1">
      <c r="A310" s="1351"/>
      <c r="B310" s="1351"/>
      <c r="C310" s="1351"/>
      <c r="D310" s="1351"/>
      <c r="E310" s="1351"/>
      <c r="F310" s="1351"/>
      <c r="G310" s="1184"/>
      <c r="H310" s="1351"/>
      <c r="I310" s="1184"/>
      <c r="J310" s="1351"/>
      <c r="K310" s="1184"/>
      <c r="L310" s="1184"/>
      <c r="M310" s="1184"/>
      <c r="N310" s="1351"/>
      <c r="O310" s="1351"/>
      <c r="P310" s="1163"/>
      <c r="Q310" s="1163"/>
    </row>
    <row r="311" ht="12.75" customHeight="1">
      <c r="A311" s="1351"/>
      <c r="B311" s="1351"/>
      <c r="C311" s="1351"/>
      <c r="D311" s="1351"/>
      <c r="E311" s="1351"/>
      <c r="F311" s="1351"/>
      <c r="G311" s="1184"/>
      <c r="H311" s="1351"/>
      <c r="I311" s="1184"/>
      <c r="J311" s="1351"/>
      <c r="K311" s="1184"/>
      <c r="L311" s="1184"/>
      <c r="M311" s="1184"/>
      <c r="N311" s="1351"/>
      <c r="O311" s="1351"/>
      <c r="P311" s="1163"/>
      <c r="Q311" s="1163"/>
    </row>
    <row r="312" ht="12.75" customHeight="1">
      <c r="A312" s="1351"/>
      <c r="B312" s="1351"/>
      <c r="C312" s="1351"/>
      <c r="D312" s="1351"/>
      <c r="E312" s="1351"/>
      <c r="F312" s="1351"/>
      <c r="G312" s="1184"/>
      <c r="H312" s="1351"/>
      <c r="I312" s="1184"/>
      <c r="J312" s="1351"/>
      <c r="K312" s="1184"/>
      <c r="L312" s="1184"/>
      <c r="M312" s="1184"/>
      <c r="N312" s="1351"/>
      <c r="O312" s="1351"/>
      <c r="P312" s="1163"/>
      <c r="Q312" s="1163"/>
    </row>
    <row r="313" ht="12.75" customHeight="1">
      <c r="A313" s="1351"/>
      <c r="B313" s="1351"/>
      <c r="C313" s="1351"/>
      <c r="D313" s="1351"/>
      <c r="E313" s="1351"/>
      <c r="F313" s="1351"/>
      <c r="G313" s="1184"/>
      <c r="H313" s="1351"/>
      <c r="I313" s="1184"/>
      <c r="J313" s="1351"/>
      <c r="K313" s="1184"/>
      <c r="L313" s="1184"/>
      <c r="M313" s="1184"/>
      <c r="N313" s="1351"/>
      <c r="O313" s="1351"/>
      <c r="P313" s="1163"/>
      <c r="Q313" s="1163"/>
    </row>
    <row r="314" ht="12.75" customHeight="1">
      <c r="A314" s="1351"/>
      <c r="B314" s="1351"/>
      <c r="C314" s="1351"/>
      <c r="D314" s="1351"/>
      <c r="E314" s="1351"/>
      <c r="F314" s="1351"/>
      <c r="G314" s="1184"/>
      <c r="H314" s="1351"/>
      <c r="I314" s="1184"/>
      <c r="J314" s="1351"/>
      <c r="K314" s="1184"/>
      <c r="L314" s="1184"/>
      <c r="M314" s="1184"/>
      <c r="N314" s="1351"/>
      <c r="O314" s="1351"/>
      <c r="P314" s="1163"/>
      <c r="Q314" s="1163"/>
    </row>
    <row r="315" ht="12.75" customHeight="1">
      <c r="A315" s="1351"/>
      <c r="B315" s="1351"/>
      <c r="C315" s="1351"/>
      <c r="D315" s="1351"/>
      <c r="E315" s="1351"/>
      <c r="F315" s="1351"/>
      <c r="G315" s="1184"/>
      <c r="H315" s="1351"/>
      <c r="I315" s="1184"/>
      <c r="J315" s="1351"/>
      <c r="K315" s="1184"/>
      <c r="L315" s="1184"/>
      <c r="M315" s="1184"/>
      <c r="N315" s="1351"/>
      <c r="O315" s="1351"/>
      <c r="P315" s="1163"/>
      <c r="Q315" s="1163"/>
    </row>
    <row r="316" ht="12.75" customHeight="1">
      <c r="A316" s="1351"/>
      <c r="B316" s="1351"/>
      <c r="C316" s="1351"/>
      <c r="D316" s="1351"/>
      <c r="E316" s="1351"/>
      <c r="F316" s="1351"/>
      <c r="G316" s="1184"/>
      <c r="H316" s="1351"/>
      <c r="I316" s="1184"/>
      <c r="J316" s="1351"/>
      <c r="K316" s="1184"/>
      <c r="L316" s="1184"/>
      <c r="M316" s="1184"/>
      <c r="N316" s="1351"/>
      <c r="O316" s="1351"/>
      <c r="P316" s="1163"/>
      <c r="Q316" s="1163"/>
    </row>
    <row r="317" ht="12.75" customHeight="1">
      <c r="A317" s="1351"/>
      <c r="B317" s="1351"/>
      <c r="C317" s="1351"/>
      <c r="D317" s="1351"/>
      <c r="E317" s="1351"/>
      <c r="F317" s="1351"/>
      <c r="G317" s="1184"/>
      <c r="H317" s="1351"/>
      <c r="I317" s="1184"/>
      <c r="J317" s="1351"/>
      <c r="K317" s="1184"/>
      <c r="L317" s="1184"/>
      <c r="M317" s="1184"/>
      <c r="N317" s="1351"/>
      <c r="O317" s="1351"/>
      <c r="P317" s="1163"/>
      <c r="Q317" s="1163"/>
    </row>
    <row r="318" ht="12.75" customHeight="1">
      <c r="A318" s="1351"/>
      <c r="B318" s="1351"/>
      <c r="C318" s="1351"/>
      <c r="D318" s="1351"/>
      <c r="E318" s="1351"/>
      <c r="F318" s="1351"/>
      <c r="G318" s="1184"/>
      <c r="H318" s="1351"/>
      <c r="I318" s="1184"/>
      <c r="J318" s="1351"/>
      <c r="K318" s="1184"/>
      <c r="L318" s="1184"/>
      <c r="M318" s="1184"/>
      <c r="N318" s="1351"/>
      <c r="O318" s="1351"/>
      <c r="P318" s="1163"/>
      <c r="Q318" s="1163"/>
    </row>
    <row r="319" ht="12.75" customHeight="1">
      <c r="A319" s="1351"/>
      <c r="B319" s="1351"/>
      <c r="C319" s="1351"/>
      <c r="D319" s="1351"/>
      <c r="E319" s="1351"/>
      <c r="F319" s="1351"/>
      <c r="G319" s="1184"/>
      <c r="H319" s="1351"/>
      <c r="I319" s="1184"/>
      <c r="J319" s="1351"/>
      <c r="K319" s="1184"/>
      <c r="L319" s="1184"/>
      <c r="M319" s="1184"/>
      <c r="N319" s="1351"/>
      <c r="O319" s="1351"/>
      <c r="P319" s="1163"/>
      <c r="Q319" s="1163"/>
    </row>
    <row r="320" ht="12.75" customHeight="1">
      <c r="A320" s="1351"/>
      <c r="B320" s="1351"/>
      <c r="C320" s="1351"/>
      <c r="D320" s="1351"/>
      <c r="E320" s="1351"/>
      <c r="F320" s="1351"/>
      <c r="G320" s="1184"/>
      <c r="H320" s="1351"/>
      <c r="I320" s="1184"/>
      <c r="J320" s="1351"/>
      <c r="K320" s="1184"/>
      <c r="L320" s="1184"/>
      <c r="M320" s="1184"/>
      <c r="N320" s="1351"/>
      <c r="O320" s="1351"/>
      <c r="P320" s="1163"/>
      <c r="Q320" s="1163"/>
    </row>
    <row r="321" ht="12.75" customHeight="1">
      <c r="A321" s="1351"/>
      <c r="B321" s="1351"/>
      <c r="C321" s="1351"/>
      <c r="D321" s="1351"/>
      <c r="E321" s="1351"/>
      <c r="F321" s="1351"/>
      <c r="G321" s="1184"/>
      <c r="H321" s="1351"/>
      <c r="I321" s="1184"/>
      <c r="J321" s="1351"/>
      <c r="K321" s="1184"/>
      <c r="L321" s="1184"/>
      <c r="M321" s="1184"/>
      <c r="N321" s="1351"/>
      <c r="O321" s="1351"/>
      <c r="P321" s="1163"/>
      <c r="Q321" s="1163"/>
    </row>
    <row r="322" ht="12.75" customHeight="1">
      <c r="A322" s="1351"/>
      <c r="B322" s="1351"/>
      <c r="C322" s="1351"/>
      <c r="D322" s="1351"/>
      <c r="E322" s="1351"/>
      <c r="F322" s="1351"/>
      <c r="G322" s="1184"/>
      <c r="H322" s="1351"/>
      <c r="I322" s="1184"/>
      <c r="J322" s="1351"/>
      <c r="K322" s="1184"/>
      <c r="L322" s="1184"/>
      <c r="M322" s="1184"/>
      <c r="N322" s="1351"/>
      <c r="O322" s="1351"/>
      <c r="P322" s="1163"/>
      <c r="Q322" s="1163"/>
    </row>
    <row r="323" ht="12.75" customHeight="1">
      <c r="A323" s="1351"/>
      <c r="B323" s="1351"/>
      <c r="C323" s="1351"/>
      <c r="D323" s="1351"/>
      <c r="E323" s="1351"/>
      <c r="F323" s="1351"/>
      <c r="G323" s="1184"/>
      <c r="H323" s="1351"/>
      <c r="I323" s="1184"/>
      <c r="J323" s="1351"/>
      <c r="K323" s="1184"/>
      <c r="L323" s="1184"/>
      <c r="M323" s="1184"/>
      <c r="N323" s="1351"/>
      <c r="O323" s="1351"/>
      <c r="P323" s="1163"/>
      <c r="Q323" s="1163"/>
    </row>
    <row r="324" ht="12.75" customHeight="1">
      <c r="A324" s="1351"/>
      <c r="B324" s="1351"/>
      <c r="C324" s="1351"/>
      <c r="D324" s="1351"/>
      <c r="E324" s="1351"/>
      <c r="F324" s="1351"/>
      <c r="G324" s="1184"/>
      <c r="H324" s="1351"/>
      <c r="I324" s="1184"/>
      <c r="J324" s="1351"/>
      <c r="K324" s="1184"/>
      <c r="L324" s="1184"/>
      <c r="M324" s="1184"/>
      <c r="N324" s="1351"/>
      <c r="O324" s="1351"/>
      <c r="P324" s="1163"/>
      <c r="Q324" s="1163"/>
    </row>
    <row r="325" ht="12.75" customHeight="1">
      <c r="A325" s="1351"/>
      <c r="B325" s="1351"/>
      <c r="C325" s="1351"/>
      <c r="D325" s="1351"/>
      <c r="E325" s="1351"/>
      <c r="F325" s="1351"/>
      <c r="G325" s="1184"/>
      <c r="H325" s="1351"/>
      <c r="I325" s="1184"/>
      <c r="J325" s="1351"/>
      <c r="K325" s="1184"/>
      <c r="L325" s="1184"/>
      <c r="M325" s="1184"/>
      <c r="N325" s="1351"/>
      <c r="O325" s="1351"/>
      <c r="P325" s="1163"/>
      <c r="Q325" s="1163"/>
    </row>
    <row r="326" ht="12.75" customHeight="1">
      <c r="A326" s="1351"/>
      <c r="B326" s="1351"/>
      <c r="C326" s="1351"/>
      <c r="D326" s="1351"/>
      <c r="E326" s="1351"/>
      <c r="F326" s="1351"/>
      <c r="G326" s="1184"/>
      <c r="H326" s="1351"/>
      <c r="I326" s="1184"/>
      <c r="J326" s="1351"/>
      <c r="K326" s="1184"/>
      <c r="L326" s="1184"/>
      <c r="M326" s="1184"/>
      <c r="N326" s="1351"/>
      <c r="O326" s="1351"/>
      <c r="P326" s="1163"/>
      <c r="Q326" s="1163"/>
    </row>
    <row r="327" ht="12.75" customHeight="1">
      <c r="A327" s="1351"/>
      <c r="B327" s="1351"/>
      <c r="C327" s="1351"/>
      <c r="D327" s="1351"/>
      <c r="E327" s="1351"/>
      <c r="F327" s="1351"/>
      <c r="G327" s="1184"/>
      <c r="H327" s="1351"/>
      <c r="I327" s="1184"/>
      <c r="J327" s="1351"/>
      <c r="K327" s="1184"/>
      <c r="L327" s="1184"/>
      <c r="M327" s="1184"/>
      <c r="N327" s="1351"/>
      <c r="O327" s="1351"/>
      <c r="P327" s="1163"/>
      <c r="Q327" s="1163"/>
    </row>
    <row r="328" ht="12.75" customHeight="1">
      <c r="A328" s="1351"/>
      <c r="B328" s="1351"/>
      <c r="C328" s="1351"/>
      <c r="D328" s="1351"/>
      <c r="E328" s="1351"/>
      <c r="F328" s="1351"/>
      <c r="G328" s="1184"/>
      <c r="H328" s="1351"/>
      <c r="I328" s="1184"/>
      <c r="J328" s="1351"/>
      <c r="K328" s="1184"/>
      <c r="L328" s="1184"/>
      <c r="M328" s="1184"/>
      <c r="N328" s="1351"/>
      <c r="O328" s="1351"/>
      <c r="P328" s="1163"/>
      <c r="Q328" s="1163"/>
    </row>
    <row r="329" ht="12.75" customHeight="1">
      <c r="A329" s="1351"/>
      <c r="B329" s="1351"/>
      <c r="C329" s="1351"/>
      <c r="D329" s="1351"/>
      <c r="E329" s="1351"/>
      <c r="F329" s="1351"/>
      <c r="G329" s="1184"/>
      <c r="H329" s="1351"/>
      <c r="I329" s="1184"/>
      <c r="J329" s="1351"/>
      <c r="K329" s="1184"/>
      <c r="L329" s="1184"/>
      <c r="M329" s="1184"/>
      <c r="N329" s="1351"/>
      <c r="O329" s="1351"/>
      <c r="P329" s="1163"/>
      <c r="Q329" s="1163"/>
    </row>
    <row r="330" ht="12.75" customHeight="1">
      <c r="A330" s="1351"/>
      <c r="B330" s="1351"/>
      <c r="C330" s="1351"/>
      <c r="D330" s="1351"/>
      <c r="E330" s="1351"/>
      <c r="F330" s="1351"/>
      <c r="G330" s="1184"/>
      <c r="H330" s="1351"/>
      <c r="I330" s="1184"/>
      <c r="J330" s="1351"/>
      <c r="K330" s="1184"/>
      <c r="L330" s="1184"/>
      <c r="M330" s="1184"/>
      <c r="N330" s="1351"/>
      <c r="O330" s="1351"/>
      <c r="P330" s="1163"/>
      <c r="Q330" s="1163"/>
    </row>
    <row r="331" ht="12.75" customHeight="1">
      <c r="A331" s="1351"/>
      <c r="B331" s="1351"/>
      <c r="C331" s="1351"/>
      <c r="D331" s="1351"/>
      <c r="E331" s="1351"/>
      <c r="F331" s="1351"/>
      <c r="G331" s="1184"/>
      <c r="H331" s="1351"/>
      <c r="I331" s="1184"/>
      <c r="J331" s="1351"/>
      <c r="K331" s="1184"/>
      <c r="L331" s="1184"/>
      <c r="M331" s="1184"/>
      <c r="N331" s="1351"/>
      <c r="O331" s="1351"/>
      <c r="P331" s="1163"/>
      <c r="Q331" s="1163"/>
    </row>
    <row r="332" ht="12.75" customHeight="1">
      <c r="A332" s="1351"/>
      <c r="B332" s="1351"/>
      <c r="C332" s="1351"/>
      <c r="D332" s="1351"/>
      <c r="E332" s="1351"/>
      <c r="F332" s="1351"/>
      <c r="G332" s="1184"/>
      <c r="H332" s="1351"/>
      <c r="I332" s="1184"/>
      <c r="J332" s="1351"/>
      <c r="K332" s="1184"/>
      <c r="L332" s="1184"/>
      <c r="M332" s="1184"/>
      <c r="N332" s="1351"/>
      <c r="O332" s="1351"/>
      <c r="P332" s="1163"/>
      <c r="Q332" s="1163"/>
    </row>
    <row r="333" ht="12.75" customHeight="1">
      <c r="A333" s="1351"/>
      <c r="B333" s="1351"/>
      <c r="C333" s="1351"/>
      <c r="D333" s="1351"/>
      <c r="E333" s="1351"/>
      <c r="F333" s="1351"/>
      <c r="G333" s="1184"/>
      <c r="H333" s="1351"/>
      <c r="I333" s="1184"/>
      <c r="J333" s="1351"/>
      <c r="K333" s="1184"/>
      <c r="L333" s="1184"/>
      <c r="M333" s="1184"/>
      <c r="N333" s="1351"/>
      <c r="O333" s="1351"/>
      <c r="P333" s="1163"/>
      <c r="Q333" s="1163"/>
    </row>
    <row r="334" ht="12.75" customHeight="1">
      <c r="A334" s="1351"/>
      <c r="B334" s="1351"/>
      <c r="C334" s="1351"/>
      <c r="D334" s="1351"/>
      <c r="E334" s="1351"/>
      <c r="F334" s="1351"/>
      <c r="G334" s="1184"/>
      <c r="H334" s="1351"/>
      <c r="I334" s="1184"/>
      <c r="J334" s="1351"/>
      <c r="K334" s="1184"/>
      <c r="L334" s="1184"/>
      <c r="M334" s="1184"/>
      <c r="N334" s="1351"/>
      <c r="O334" s="1351"/>
      <c r="P334" s="1163"/>
      <c r="Q334" s="1163"/>
    </row>
    <row r="335" ht="12.75" customHeight="1">
      <c r="A335" s="1351"/>
      <c r="B335" s="1351"/>
      <c r="C335" s="1351"/>
      <c r="D335" s="1351"/>
      <c r="E335" s="1351"/>
      <c r="F335" s="1351"/>
      <c r="G335" s="1184"/>
      <c r="H335" s="1351"/>
      <c r="I335" s="1184"/>
      <c r="J335" s="1351"/>
      <c r="K335" s="1184"/>
      <c r="L335" s="1184"/>
      <c r="M335" s="1184"/>
      <c r="N335" s="1351"/>
      <c r="O335" s="1351"/>
      <c r="P335" s="1163"/>
      <c r="Q335" s="1163"/>
    </row>
    <row r="336" ht="12.75" customHeight="1">
      <c r="A336" s="1351"/>
      <c r="B336" s="1351"/>
      <c r="C336" s="1351"/>
      <c r="D336" s="1351"/>
      <c r="E336" s="1351"/>
      <c r="F336" s="1351"/>
      <c r="G336" s="1184"/>
      <c r="H336" s="1351"/>
      <c r="I336" s="1184"/>
      <c r="J336" s="1351"/>
      <c r="K336" s="1184"/>
      <c r="L336" s="1184"/>
      <c r="M336" s="1184"/>
      <c r="N336" s="1351"/>
      <c r="O336" s="1351"/>
      <c r="P336" s="1163"/>
      <c r="Q336" s="1163"/>
    </row>
    <row r="337" ht="12.75" customHeight="1">
      <c r="A337" s="1351"/>
      <c r="B337" s="1351"/>
      <c r="C337" s="1351"/>
      <c r="D337" s="1351"/>
      <c r="E337" s="1351"/>
      <c r="F337" s="1351"/>
      <c r="G337" s="1184"/>
      <c r="H337" s="1351"/>
      <c r="I337" s="1184"/>
      <c r="J337" s="1351"/>
      <c r="K337" s="1184"/>
      <c r="L337" s="1184"/>
      <c r="M337" s="1184"/>
      <c r="N337" s="1351"/>
      <c r="O337" s="1351"/>
      <c r="P337" s="1163"/>
      <c r="Q337" s="1163"/>
    </row>
    <row r="338" ht="12.75" customHeight="1">
      <c r="A338" s="1351"/>
      <c r="B338" s="1351"/>
      <c r="C338" s="1351"/>
      <c r="D338" s="1351"/>
      <c r="E338" s="1351"/>
      <c r="F338" s="1351"/>
      <c r="G338" s="1184"/>
      <c r="H338" s="1351"/>
      <c r="I338" s="1184"/>
      <c r="J338" s="1351"/>
      <c r="K338" s="1184"/>
      <c r="L338" s="1184"/>
      <c r="M338" s="1184"/>
      <c r="N338" s="1351"/>
      <c r="O338" s="1351"/>
      <c r="P338" s="1163"/>
      <c r="Q338" s="1163"/>
    </row>
    <row r="339" ht="12.75" customHeight="1">
      <c r="A339" s="1351"/>
      <c r="B339" s="1351"/>
      <c r="C339" s="1351"/>
      <c r="D339" s="1351"/>
      <c r="E339" s="1351"/>
      <c r="F339" s="1351"/>
      <c r="G339" s="1184"/>
      <c r="H339" s="1351"/>
      <c r="I339" s="1184"/>
      <c r="J339" s="1351"/>
      <c r="K339" s="1184"/>
      <c r="L339" s="1184"/>
      <c r="M339" s="1184"/>
      <c r="N339" s="1351"/>
      <c r="O339" s="1351"/>
      <c r="P339" s="1163"/>
      <c r="Q339" s="1163"/>
    </row>
    <row r="340" ht="12.75" customHeight="1">
      <c r="A340" s="1351"/>
      <c r="B340" s="1351"/>
      <c r="C340" s="1351"/>
      <c r="D340" s="1351"/>
      <c r="E340" s="1351"/>
      <c r="F340" s="1351"/>
      <c r="G340" s="1184"/>
      <c r="H340" s="1351"/>
      <c r="I340" s="1184"/>
      <c r="J340" s="1351"/>
      <c r="K340" s="1184"/>
      <c r="L340" s="1184"/>
      <c r="M340" s="1184"/>
      <c r="N340" s="1351"/>
      <c r="O340" s="1351"/>
      <c r="P340" s="1163"/>
      <c r="Q340" s="1163"/>
    </row>
    <row r="341" ht="12.75" customHeight="1">
      <c r="A341" s="1351"/>
      <c r="B341" s="1351"/>
      <c r="C341" s="1351"/>
      <c r="D341" s="1351"/>
      <c r="E341" s="1351"/>
      <c r="F341" s="1351"/>
      <c r="G341" s="1184"/>
      <c r="H341" s="1351"/>
      <c r="I341" s="1184"/>
      <c r="J341" s="1351"/>
      <c r="K341" s="1184"/>
      <c r="L341" s="1184"/>
      <c r="M341" s="1184"/>
      <c r="N341" s="1351"/>
      <c r="O341" s="1351"/>
      <c r="P341" s="1163"/>
      <c r="Q341" s="1163"/>
    </row>
    <row r="342" ht="12.75" customHeight="1">
      <c r="A342" s="1351"/>
      <c r="B342" s="1351"/>
      <c r="C342" s="1351"/>
      <c r="D342" s="1351"/>
      <c r="E342" s="1351"/>
      <c r="F342" s="1351"/>
      <c r="G342" s="1184"/>
      <c r="H342" s="1351"/>
      <c r="I342" s="1184"/>
      <c r="J342" s="1351"/>
      <c r="K342" s="1184"/>
      <c r="L342" s="1184"/>
      <c r="M342" s="1184"/>
      <c r="N342" s="1351"/>
      <c r="O342" s="1351"/>
      <c r="P342" s="1163"/>
      <c r="Q342" s="1163"/>
    </row>
    <row r="343" ht="12.75" customHeight="1">
      <c r="A343" s="1351"/>
      <c r="B343" s="1351"/>
      <c r="C343" s="1351"/>
      <c r="D343" s="1351"/>
      <c r="E343" s="1351"/>
      <c r="F343" s="1351"/>
      <c r="G343" s="1184"/>
      <c r="H343" s="1351"/>
      <c r="I343" s="1184"/>
      <c r="J343" s="1351"/>
      <c r="K343" s="1184"/>
      <c r="L343" s="1184"/>
      <c r="M343" s="1184"/>
      <c r="N343" s="1351"/>
      <c r="O343" s="1351"/>
      <c r="P343" s="1163"/>
      <c r="Q343" s="1163"/>
    </row>
    <row r="344" ht="12.75" customHeight="1">
      <c r="A344" s="1351"/>
      <c r="B344" s="1351"/>
      <c r="C344" s="1351"/>
      <c r="D344" s="1351"/>
      <c r="E344" s="1351"/>
      <c r="F344" s="1351"/>
      <c r="G344" s="1184"/>
      <c r="H344" s="1351"/>
      <c r="I344" s="1184"/>
      <c r="J344" s="1351"/>
      <c r="K344" s="1184"/>
      <c r="L344" s="1184"/>
      <c r="M344" s="1184"/>
      <c r="N344" s="1351"/>
      <c r="O344" s="1351"/>
      <c r="P344" s="1163"/>
      <c r="Q344" s="1163"/>
    </row>
    <row r="345" ht="12.75" customHeight="1">
      <c r="A345" s="1351"/>
      <c r="B345" s="1351"/>
      <c r="C345" s="1351"/>
      <c r="D345" s="1351"/>
      <c r="E345" s="1351"/>
      <c r="F345" s="1351"/>
      <c r="G345" s="1184"/>
      <c r="H345" s="1351"/>
      <c r="I345" s="1184"/>
      <c r="J345" s="1351"/>
      <c r="K345" s="1184"/>
      <c r="L345" s="1184"/>
      <c r="M345" s="1184"/>
      <c r="N345" s="1351"/>
      <c r="O345" s="1351"/>
      <c r="P345" s="1163"/>
      <c r="Q345" s="1163"/>
    </row>
    <row r="346" ht="12.75" customHeight="1">
      <c r="A346" s="1351"/>
      <c r="B346" s="1351"/>
      <c r="C346" s="1351"/>
      <c r="D346" s="1351"/>
      <c r="E346" s="1351"/>
      <c r="F346" s="1351"/>
      <c r="G346" s="1184"/>
      <c r="H346" s="1351"/>
      <c r="I346" s="1184"/>
      <c r="J346" s="1351"/>
      <c r="K346" s="1184"/>
      <c r="L346" s="1184"/>
      <c r="M346" s="1184"/>
      <c r="N346" s="1351"/>
      <c r="O346" s="1351"/>
      <c r="P346" s="1163"/>
      <c r="Q346" s="1163"/>
    </row>
    <row r="347" ht="12.75" customHeight="1">
      <c r="A347" s="1351"/>
      <c r="B347" s="1351"/>
      <c r="C347" s="1351"/>
      <c r="D347" s="1351"/>
      <c r="E347" s="1351"/>
      <c r="F347" s="1351"/>
      <c r="G347" s="1184"/>
      <c r="H347" s="1351"/>
      <c r="I347" s="1184"/>
      <c r="J347" s="1351"/>
      <c r="K347" s="1184"/>
      <c r="L347" s="1184"/>
      <c r="M347" s="1184"/>
      <c r="N347" s="1351"/>
      <c r="O347" s="1351"/>
      <c r="P347" s="1163"/>
      <c r="Q347" s="1163"/>
    </row>
    <row r="348" ht="12.75" customHeight="1">
      <c r="A348" s="1351"/>
      <c r="B348" s="1351"/>
      <c r="C348" s="1351"/>
      <c r="D348" s="1351"/>
      <c r="E348" s="1351"/>
      <c r="F348" s="1351"/>
      <c r="G348" s="1184"/>
      <c r="H348" s="1351"/>
      <c r="I348" s="1184"/>
      <c r="J348" s="1351"/>
      <c r="K348" s="1184"/>
      <c r="L348" s="1184"/>
      <c r="M348" s="1184"/>
      <c r="N348" s="1351"/>
      <c r="O348" s="1351"/>
      <c r="P348" s="1163"/>
      <c r="Q348" s="1163"/>
    </row>
    <row r="349" ht="12.75" customHeight="1">
      <c r="A349" s="1351"/>
      <c r="B349" s="1351"/>
      <c r="C349" s="1351"/>
      <c r="D349" s="1351"/>
      <c r="E349" s="1351"/>
      <c r="F349" s="1351"/>
      <c r="G349" s="1184"/>
      <c r="H349" s="1351"/>
      <c r="I349" s="1184"/>
      <c r="J349" s="1351"/>
      <c r="K349" s="1184"/>
      <c r="L349" s="1184"/>
      <c r="M349" s="1184"/>
      <c r="N349" s="1351"/>
      <c r="O349" s="1351"/>
      <c r="P349" s="1163"/>
      <c r="Q349" s="1163"/>
    </row>
    <row r="350" ht="12.75" customHeight="1">
      <c r="A350" s="1351"/>
      <c r="B350" s="1351"/>
      <c r="C350" s="1351"/>
      <c r="D350" s="1351"/>
      <c r="E350" s="1351"/>
      <c r="F350" s="1351"/>
      <c r="G350" s="1184"/>
      <c r="H350" s="1351"/>
      <c r="I350" s="1184"/>
      <c r="J350" s="1351"/>
      <c r="K350" s="1184"/>
      <c r="L350" s="1184"/>
      <c r="M350" s="1184"/>
      <c r="N350" s="1351"/>
      <c r="O350" s="1351"/>
      <c r="P350" s="1163"/>
      <c r="Q350" s="1163"/>
    </row>
    <row r="351" ht="12.75" customHeight="1">
      <c r="A351" s="1351"/>
      <c r="B351" s="1351"/>
      <c r="C351" s="1351"/>
      <c r="D351" s="1351"/>
      <c r="E351" s="1351"/>
      <c r="F351" s="1351"/>
      <c r="G351" s="1184"/>
      <c r="H351" s="1351"/>
      <c r="I351" s="1184"/>
      <c r="J351" s="1351"/>
      <c r="K351" s="1184"/>
      <c r="L351" s="1184"/>
      <c r="M351" s="1184"/>
      <c r="N351" s="1351"/>
      <c r="O351" s="1351"/>
      <c r="P351" s="1163"/>
      <c r="Q351" s="1163"/>
    </row>
    <row r="352" ht="12.75" customHeight="1">
      <c r="A352" s="1351"/>
      <c r="B352" s="1351"/>
      <c r="C352" s="1351"/>
      <c r="D352" s="1351"/>
      <c r="E352" s="1351"/>
      <c r="F352" s="1351"/>
      <c r="G352" s="1184"/>
      <c r="H352" s="1351"/>
      <c r="I352" s="1184"/>
      <c r="J352" s="1351"/>
      <c r="K352" s="1184"/>
      <c r="L352" s="1184"/>
      <c r="M352" s="1184"/>
      <c r="N352" s="1351"/>
      <c r="O352" s="1351"/>
      <c r="P352" s="1163"/>
      <c r="Q352" s="1163"/>
    </row>
    <row r="353" ht="12.75" customHeight="1">
      <c r="A353" s="1351"/>
      <c r="B353" s="1351"/>
      <c r="C353" s="1351"/>
      <c r="D353" s="1351"/>
      <c r="E353" s="1351"/>
      <c r="F353" s="1351"/>
      <c r="G353" s="1184"/>
      <c r="H353" s="1351"/>
      <c r="I353" s="1184"/>
      <c r="J353" s="1351"/>
      <c r="K353" s="1184"/>
      <c r="L353" s="1184"/>
      <c r="M353" s="1184"/>
      <c r="N353" s="1351"/>
      <c r="O353" s="1351"/>
      <c r="P353" s="1163"/>
      <c r="Q353" s="1163"/>
    </row>
    <row r="354" ht="12.75" customHeight="1">
      <c r="A354" s="1351"/>
      <c r="B354" s="1351"/>
      <c r="C354" s="1351"/>
      <c r="D354" s="1351"/>
      <c r="E354" s="1351"/>
      <c r="F354" s="1351"/>
      <c r="G354" s="1184"/>
      <c r="H354" s="1351"/>
      <c r="I354" s="1184"/>
      <c r="J354" s="1351"/>
      <c r="K354" s="1184"/>
      <c r="L354" s="1184"/>
      <c r="M354" s="1184"/>
      <c r="N354" s="1351"/>
      <c r="O354" s="1351"/>
      <c r="P354" s="1163"/>
      <c r="Q354" s="1163"/>
    </row>
    <row r="355" ht="12.75" customHeight="1">
      <c r="A355" s="1351"/>
      <c r="B355" s="1351"/>
      <c r="C355" s="1351"/>
      <c r="D355" s="1351"/>
      <c r="E355" s="1351"/>
      <c r="F355" s="1351"/>
      <c r="G355" s="1184"/>
      <c r="H355" s="1351"/>
      <c r="I355" s="1184"/>
      <c r="J355" s="1351"/>
      <c r="K355" s="1184"/>
      <c r="L355" s="1184"/>
      <c r="M355" s="1184"/>
      <c r="N355" s="1351"/>
      <c r="O355" s="1351"/>
      <c r="P355" s="1163"/>
      <c r="Q355" s="1163"/>
    </row>
    <row r="356" ht="12.75" customHeight="1">
      <c r="A356" s="1351"/>
      <c r="B356" s="1351"/>
      <c r="C356" s="1351"/>
      <c r="D356" s="1351"/>
      <c r="E356" s="1351"/>
      <c r="F356" s="1351"/>
      <c r="G356" s="1184"/>
      <c r="H356" s="1351"/>
      <c r="I356" s="1184"/>
      <c r="J356" s="1351"/>
      <c r="K356" s="1184"/>
      <c r="L356" s="1184"/>
      <c r="M356" s="1184"/>
      <c r="N356" s="1351"/>
      <c r="O356" s="1351"/>
      <c r="P356" s="1163"/>
      <c r="Q356" s="1163"/>
    </row>
    <row r="357" ht="12.75" customHeight="1">
      <c r="A357" s="1351"/>
      <c r="B357" s="1351"/>
      <c r="C357" s="1351"/>
      <c r="D357" s="1351"/>
      <c r="E357" s="1351"/>
      <c r="F357" s="1351"/>
      <c r="G357" s="1184"/>
      <c r="H357" s="1351"/>
      <c r="I357" s="1184"/>
      <c r="J357" s="1351"/>
      <c r="K357" s="1184"/>
      <c r="L357" s="1184"/>
      <c r="M357" s="1184"/>
      <c r="N357" s="1351"/>
      <c r="O357" s="1351"/>
      <c r="P357" s="1163"/>
      <c r="Q357" s="1163"/>
    </row>
    <row r="358" ht="12.75" customHeight="1">
      <c r="A358" s="1351"/>
      <c r="B358" s="1351"/>
      <c r="C358" s="1351"/>
      <c r="D358" s="1351"/>
      <c r="E358" s="1351"/>
      <c r="F358" s="1351"/>
      <c r="G358" s="1184"/>
      <c r="H358" s="1351"/>
      <c r="I358" s="1184"/>
      <c r="J358" s="1351"/>
      <c r="K358" s="1184"/>
      <c r="L358" s="1184"/>
      <c r="M358" s="1184"/>
      <c r="N358" s="1351"/>
      <c r="O358" s="1351"/>
      <c r="P358" s="1163"/>
      <c r="Q358" s="1163"/>
    </row>
    <row r="359" ht="12.75" customHeight="1">
      <c r="A359" s="1351"/>
      <c r="B359" s="1351"/>
      <c r="C359" s="1351"/>
      <c r="D359" s="1351"/>
      <c r="E359" s="1351"/>
      <c r="F359" s="1351"/>
      <c r="G359" s="1184"/>
      <c r="H359" s="1351"/>
      <c r="I359" s="1184"/>
      <c r="J359" s="1351"/>
      <c r="K359" s="1184"/>
      <c r="L359" s="1184"/>
      <c r="M359" s="1184"/>
      <c r="N359" s="1351"/>
      <c r="O359" s="1351"/>
      <c r="P359" s="1163"/>
      <c r="Q359" s="1163"/>
    </row>
    <row r="360" ht="12.75" customHeight="1">
      <c r="A360" s="1351"/>
      <c r="B360" s="1351"/>
      <c r="C360" s="1351"/>
      <c r="D360" s="1351"/>
      <c r="E360" s="1351"/>
      <c r="F360" s="1351"/>
      <c r="G360" s="1184"/>
      <c r="H360" s="1351"/>
      <c r="I360" s="1184"/>
      <c r="J360" s="1351"/>
      <c r="K360" s="1184"/>
      <c r="L360" s="1184"/>
      <c r="M360" s="1184"/>
      <c r="N360" s="1351"/>
      <c r="O360" s="1351"/>
      <c r="P360" s="1163"/>
      <c r="Q360" s="1163"/>
    </row>
    <row r="361" ht="12.75" customHeight="1">
      <c r="A361" s="1351"/>
      <c r="B361" s="1351"/>
      <c r="C361" s="1351"/>
      <c r="D361" s="1351"/>
      <c r="E361" s="1351"/>
      <c r="F361" s="1351"/>
      <c r="G361" s="1184"/>
      <c r="H361" s="1351"/>
      <c r="I361" s="1184"/>
      <c r="J361" s="1351"/>
      <c r="K361" s="1184"/>
      <c r="L361" s="1184"/>
      <c r="M361" s="1184"/>
      <c r="N361" s="1351"/>
      <c r="O361" s="1351"/>
      <c r="P361" s="1163"/>
      <c r="Q361" s="1163"/>
    </row>
    <row r="362" ht="12.75" customHeight="1">
      <c r="A362" s="1351"/>
      <c r="B362" s="1351"/>
      <c r="C362" s="1351"/>
      <c r="D362" s="1351"/>
      <c r="E362" s="1351"/>
      <c r="F362" s="1351"/>
      <c r="G362" s="1184"/>
      <c r="H362" s="1351"/>
      <c r="I362" s="1184"/>
      <c r="J362" s="1351"/>
      <c r="K362" s="1184"/>
      <c r="L362" s="1184"/>
      <c r="M362" s="1184"/>
      <c r="N362" s="1351"/>
      <c r="O362" s="1351"/>
      <c r="P362" s="1163"/>
      <c r="Q362" s="1163"/>
    </row>
    <row r="363" ht="12.75" customHeight="1">
      <c r="A363" s="1351"/>
      <c r="B363" s="1351"/>
      <c r="C363" s="1351"/>
      <c r="D363" s="1351"/>
      <c r="E363" s="1351"/>
      <c r="F363" s="1351"/>
      <c r="G363" s="1184"/>
      <c r="H363" s="1351"/>
      <c r="I363" s="1184"/>
      <c r="J363" s="1351"/>
      <c r="K363" s="1184"/>
      <c r="L363" s="1184"/>
      <c r="M363" s="1184"/>
      <c r="N363" s="1351"/>
      <c r="O363" s="1351"/>
      <c r="P363" s="1163"/>
      <c r="Q363" s="1163"/>
    </row>
    <row r="364" ht="12.75" customHeight="1">
      <c r="A364" s="1351"/>
      <c r="B364" s="1351"/>
      <c r="C364" s="1351"/>
      <c r="D364" s="1351"/>
      <c r="E364" s="1351"/>
      <c r="F364" s="1351"/>
      <c r="G364" s="1184"/>
      <c r="H364" s="1351"/>
      <c r="I364" s="1184"/>
      <c r="J364" s="1351"/>
      <c r="K364" s="1184"/>
      <c r="L364" s="1184"/>
      <c r="M364" s="1184"/>
      <c r="N364" s="1351"/>
      <c r="O364" s="1351"/>
      <c r="P364" s="1163"/>
      <c r="Q364" s="1163"/>
    </row>
    <row r="365" ht="12.75" customHeight="1">
      <c r="A365" s="1351"/>
      <c r="B365" s="1351"/>
      <c r="C365" s="1351"/>
      <c r="D365" s="1351"/>
      <c r="E365" s="1351"/>
      <c r="F365" s="1351"/>
      <c r="G365" s="1184"/>
      <c r="H365" s="1351"/>
      <c r="I365" s="1184"/>
      <c r="J365" s="1351"/>
      <c r="K365" s="1184"/>
      <c r="L365" s="1184"/>
      <c r="M365" s="1184"/>
      <c r="N365" s="1351"/>
      <c r="O365" s="1351"/>
      <c r="P365" s="1163"/>
      <c r="Q365" s="1163"/>
    </row>
    <row r="366" ht="12.75" customHeight="1">
      <c r="A366" s="1351"/>
      <c r="B366" s="1351"/>
      <c r="C366" s="1351"/>
      <c r="D366" s="1351"/>
      <c r="E366" s="1351"/>
      <c r="F366" s="1351"/>
      <c r="G366" s="1184"/>
      <c r="H366" s="1351"/>
      <c r="I366" s="1184"/>
      <c r="J366" s="1351"/>
      <c r="K366" s="1184"/>
      <c r="L366" s="1184"/>
      <c r="M366" s="1184"/>
      <c r="N366" s="1351"/>
      <c r="O366" s="1351"/>
      <c r="P366" s="1163"/>
      <c r="Q366" s="1163"/>
    </row>
    <row r="367" ht="12.75" customHeight="1">
      <c r="A367" s="1351"/>
      <c r="B367" s="1351"/>
      <c r="C367" s="1351"/>
      <c r="D367" s="1351"/>
      <c r="E367" s="1351"/>
      <c r="F367" s="1351"/>
      <c r="G367" s="1184"/>
      <c r="H367" s="1351"/>
      <c r="I367" s="1184"/>
      <c r="J367" s="1351"/>
      <c r="K367" s="1184"/>
      <c r="L367" s="1184"/>
      <c r="M367" s="1184"/>
      <c r="N367" s="1351"/>
      <c r="O367" s="1351"/>
      <c r="P367" s="1163"/>
      <c r="Q367" s="1163"/>
    </row>
    <row r="368" ht="12.75" customHeight="1">
      <c r="A368" s="1351"/>
      <c r="B368" s="1351"/>
      <c r="C368" s="1351"/>
      <c r="D368" s="1351"/>
      <c r="E368" s="1351"/>
      <c r="F368" s="1351"/>
      <c r="G368" s="1184"/>
      <c r="H368" s="1351"/>
      <c r="I368" s="1184"/>
      <c r="J368" s="1351"/>
      <c r="K368" s="1184"/>
      <c r="L368" s="1184"/>
      <c r="M368" s="1184"/>
      <c r="N368" s="1351"/>
      <c r="O368" s="1351"/>
      <c r="P368" s="1163"/>
      <c r="Q368" s="1163"/>
    </row>
    <row r="369" ht="12.75" customHeight="1">
      <c r="A369" s="1351"/>
      <c r="B369" s="1351"/>
      <c r="C369" s="1351"/>
      <c r="D369" s="1351"/>
      <c r="E369" s="1351"/>
      <c r="F369" s="1351"/>
      <c r="G369" s="1184"/>
      <c r="H369" s="1351"/>
      <c r="I369" s="1184"/>
      <c r="J369" s="1351"/>
      <c r="K369" s="1184"/>
      <c r="L369" s="1184"/>
      <c r="M369" s="1184"/>
      <c r="N369" s="1351"/>
      <c r="O369" s="1351"/>
      <c r="P369" s="1163"/>
      <c r="Q369" s="1163"/>
    </row>
    <row r="370" ht="12.75" customHeight="1">
      <c r="A370" s="1351"/>
      <c r="B370" s="1351"/>
      <c r="C370" s="1351"/>
      <c r="D370" s="1351"/>
      <c r="E370" s="1351"/>
      <c r="F370" s="1351"/>
      <c r="G370" s="1184"/>
      <c r="H370" s="1351"/>
      <c r="I370" s="1184"/>
      <c r="J370" s="1351"/>
      <c r="K370" s="1184"/>
      <c r="L370" s="1184"/>
      <c r="M370" s="1184"/>
      <c r="N370" s="1351"/>
      <c r="O370" s="1351"/>
      <c r="P370" s="1163"/>
      <c r="Q370" s="1163"/>
    </row>
    <row r="371" ht="12.75" customHeight="1">
      <c r="A371" s="1351"/>
      <c r="B371" s="1351"/>
      <c r="C371" s="1351"/>
      <c r="D371" s="1351"/>
      <c r="E371" s="1351"/>
      <c r="F371" s="1351"/>
      <c r="G371" s="1184"/>
      <c r="H371" s="1351"/>
      <c r="I371" s="1184"/>
      <c r="J371" s="1351"/>
      <c r="K371" s="1184"/>
      <c r="L371" s="1184"/>
      <c r="M371" s="1184"/>
      <c r="N371" s="1351"/>
      <c r="O371" s="1351"/>
      <c r="P371" s="1163"/>
      <c r="Q371" s="1163"/>
    </row>
    <row r="372" ht="12.75" customHeight="1">
      <c r="A372" s="1351"/>
      <c r="B372" s="1351"/>
      <c r="C372" s="1351"/>
      <c r="D372" s="1351"/>
      <c r="E372" s="1351"/>
      <c r="F372" s="1351"/>
      <c r="G372" s="1184"/>
      <c r="H372" s="1351"/>
      <c r="I372" s="1184"/>
      <c r="J372" s="1351"/>
      <c r="K372" s="1184"/>
      <c r="L372" s="1184"/>
      <c r="M372" s="1184"/>
      <c r="N372" s="1351"/>
      <c r="O372" s="1351"/>
      <c r="P372" s="1163"/>
      <c r="Q372" s="1163"/>
    </row>
    <row r="373" ht="12.75" customHeight="1">
      <c r="A373" s="1351"/>
      <c r="B373" s="1351"/>
      <c r="C373" s="1351"/>
      <c r="D373" s="1351"/>
      <c r="E373" s="1351"/>
      <c r="F373" s="1351"/>
      <c r="G373" s="1184"/>
      <c r="H373" s="1351"/>
      <c r="I373" s="1184"/>
      <c r="J373" s="1351"/>
      <c r="K373" s="1184"/>
      <c r="L373" s="1184"/>
      <c r="M373" s="1184"/>
      <c r="N373" s="1351"/>
      <c r="O373" s="1351"/>
      <c r="P373" s="1163"/>
      <c r="Q373" s="1163"/>
    </row>
    <row r="374" ht="12.75" customHeight="1">
      <c r="A374" s="1351"/>
      <c r="B374" s="1351"/>
      <c r="C374" s="1351"/>
      <c r="D374" s="1351"/>
      <c r="E374" s="1351"/>
      <c r="F374" s="1351"/>
      <c r="G374" s="1184"/>
      <c r="H374" s="1351"/>
      <c r="I374" s="1184"/>
      <c r="J374" s="1351"/>
      <c r="K374" s="1184"/>
      <c r="L374" s="1184"/>
      <c r="M374" s="1184"/>
      <c r="N374" s="1351"/>
      <c r="O374" s="1351"/>
      <c r="P374" s="1163"/>
      <c r="Q374" s="1163"/>
    </row>
    <row r="375" ht="12.75" customHeight="1">
      <c r="A375" s="1351"/>
      <c r="B375" s="1351"/>
      <c r="C375" s="1351"/>
      <c r="D375" s="1351"/>
      <c r="E375" s="1351"/>
      <c r="F375" s="1351"/>
      <c r="G375" s="1184"/>
      <c r="H375" s="1351"/>
      <c r="I375" s="1184"/>
      <c r="J375" s="1351"/>
      <c r="K375" s="1184"/>
      <c r="L375" s="1184"/>
      <c r="M375" s="1184"/>
      <c r="N375" s="1351"/>
      <c r="O375" s="1351"/>
      <c r="P375" s="1163"/>
      <c r="Q375" s="1163"/>
    </row>
    <row r="376" ht="12.75" customHeight="1">
      <c r="A376" s="1351"/>
      <c r="B376" s="1351"/>
      <c r="C376" s="1351"/>
      <c r="D376" s="1351"/>
      <c r="E376" s="1351"/>
      <c r="F376" s="1351"/>
      <c r="G376" s="1184"/>
      <c r="H376" s="1351"/>
      <c r="I376" s="1184"/>
      <c r="J376" s="1351"/>
      <c r="K376" s="1184"/>
      <c r="L376" s="1184"/>
      <c r="M376" s="1184"/>
      <c r="N376" s="1351"/>
      <c r="O376" s="1351"/>
      <c r="P376" s="1163"/>
      <c r="Q376" s="1163"/>
    </row>
    <row r="377" ht="12.75" customHeight="1">
      <c r="A377" s="1351"/>
      <c r="B377" s="1351"/>
      <c r="C377" s="1351"/>
      <c r="D377" s="1351"/>
      <c r="E377" s="1351"/>
      <c r="F377" s="1351"/>
      <c r="G377" s="1184"/>
      <c r="H377" s="1351"/>
      <c r="I377" s="1184"/>
      <c r="J377" s="1351"/>
      <c r="K377" s="1184"/>
      <c r="L377" s="1184"/>
      <c r="M377" s="1184"/>
      <c r="N377" s="1351"/>
      <c r="O377" s="1351"/>
      <c r="P377" s="1163"/>
      <c r="Q377" s="1163"/>
    </row>
    <row r="378" ht="12.75" customHeight="1">
      <c r="A378" s="1351"/>
      <c r="B378" s="1351"/>
      <c r="C378" s="1351"/>
      <c r="D378" s="1351"/>
      <c r="E378" s="1351"/>
      <c r="F378" s="1351"/>
      <c r="G378" s="1184"/>
      <c r="H378" s="1351"/>
      <c r="I378" s="1184"/>
      <c r="J378" s="1351"/>
      <c r="K378" s="1184"/>
      <c r="L378" s="1184"/>
      <c r="M378" s="1184"/>
      <c r="N378" s="1351"/>
      <c r="O378" s="1351"/>
      <c r="P378" s="1163"/>
      <c r="Q378" s="1163"/>
    </row>
    <row r="379" ht="12.75" customHeight="1">
      <c r="A379" s="1351"/>
      <c r="B379" s="1351"/>
      <c r="C379" s="1351"/>
      <c r="D379" s="1351"/>
      <c r="E379" s="1351"/>
      <c r="F379" s="1351"/>
      <c r="G379" s="1184"/>
      <c r="H379" s="1351"/>
      <c r="I379" s="1184"/>
      <c r="J379" s="1351"/>
      <c r="K379" s="1184"/>
      <c r="L379" s="1184"/>
      <c r="M379" s="1184"/>
      <c r="N379" s="1351"/>
      <c r="O379" s="1351"/>
      <c r="P379" s="1163"/>
      <c r="Q379" s="1163"/>
    </row>
    <row r="380" ht="12.75" customHeight="1">
      <c r="A380" s="1351"/>
      <c r="B380" s="1351"/>
      <c r="C380" s="1351"/>
      <c r="D380" s="1351"/>
      <c r="E380" s="1351"/>
      <c r="F380" s="1351"/>
      <c r="G380" s="1184"/>
      <c r="H380" s="1351"/>
      <c r="I380" s="1184"/>
      <c r="J380" s="1351"/>
      <c r="K380" s="1184"/>
      <c r="L380" s="1184"/>
      <c r="M380" s="1184"/>
      <c r="N380" s="1351"/>
      <c r="O380" s="1351"/>
      <c r="P380" s="1163"/>
      <c r="Q380" s="1163"/>
    </row>
    <row r="381" ht="12.75" customHeight="1">
      <c r="A381" s="1351"/>
      <c r="B381" s="1351"/>
      <c r="C381" s="1351"/>
      <c r="D381" s="1351"/>
      <c r="E381" s="1351"/>
      <c r="F381" s="1351"/>
      <c r="G381" s="1184"/>
      <c r="H381" s="1351"/>
      <c r="I381" s="1184"/>
      <c r="J381" s="1351"/>
      <c r="K381" s="1184"/>
      <c r="L381" s="1184"/>
      <c r="M381" s="1184"/>
      <c r="N381" s="1351"/>
      <c r="O381" s="1351"/>
      <c r="P381" s="1163"/>
      <c r="Q381" s="1163"/>
    </row>
    <row r="382" ht="12.75" customHeight="1">
      <c r="A382" s="1351"/>
      <c r="B382" s="1351"/>
      <c r="C382" s="1351"/>
      <c r="D382" s="1351"/>
      <c r="E382" s="1351"/>
      <c r="F382" s="1351"/>
      <c r="G382" s="1184"/>
      <c r="H382" s="1351"/>
      <c r="I382" s="1184"/>
      <c r="J382" s="1351"/>
      <c r="K382" s="1184"/>
      <c r="L382" s="1184"/>
      <c r="M382" s="1184"/>
      <c r="N382" s="1351"/>
      <c r="O382" s="1351"/>
      <c r="P382" s="1163"/>
      <c r="Q382" s="1163"/>
    </row>
    <row r="383" ht="12.75" customHeight="1">
      <c r="A383" s="1351"/>
      <c r="B383" s="1351"/>
      <c r="C383" s="1351"/>
      <c r="D383" s="1351"/>
      <c r="E383" s="1351"/>
      <c r="F383" s="1351"/>
      <c r="G383" s="1184"/>
      <c r="H383" s="1351"/>
      <c r="I383" s="1184"/>
      <c r="J383" s="1351"/>
      <c r="K383" s="1184"/>
      <c r="L383" s="1184"/>
      <c r="M383" s="1184"/>
      <c r="N383" s="1351"/>
      <c r="O383" s="1351"/>
      <c r="P383" s="1163"/>
      <c r="Q383" s="1163"/>
    </row>
    <row r="384" ht="12.75" customHeight="1">
      <c r="A384" s="1351"/>
      <c r="B384" s="1351"/>
      <c r="C384" s="1351"/>
      <c r="D384" s="1351"/>
      <c r="E384" s="1351"/>
      <c r="F384" s="1351"/>
      <c r="G384" s="1184"/>
      <c r="H384" s="1351"/>
      <c r="I384" s="1184"/>
      <c r="J384" s="1351"/>
      <c r="K384" s="1184"/>
      <c r="L384" s="1184"/>
      <c r="M384" s="1184"/>
      <c r="N384" s="1351"/>
      <c r="O384" s="1351"/>
      <c r="P384" s="1163"/>
      <c r="Q384" s="1163"/>
    </row>
    <row r="385" ht="12.75" customHeight="1">
      <c r="A385" s="1351"/>
      <c r="B385" s="1351"/>
      <c r="C385" s="1351"/>
      <c r="D385" s="1351"/>
      <c r="E385" s="1351"/>
      <c r="F385" s="1351"/>
      <c r="G385" s="1184"/>
      <c r="H385" s="1351"/>
      <c r="I385" s="1184"/>
      <c r="J385" s="1351"/>
      <c r="K385" s="1184"/>
      <c r="L385" s="1184"/>
      <c r="M385" s="1184"/>
      <c r="N385" s="1351"/>
      <c r="O385" s="1351"/>
      <c r="P385" s="1163"/>
      <c r="Q385" s="1163"/>
    </row>
    <row r="386" ht="12.75" customHeight="1">
      <c r="A386" s="1351"/>
      <c r="B386" s="1351"/>
      <c r="C386" s="1351"/>
      <c r="D386" s="1351"/>
      <c r="E386" s="1351"/>
      <c r="F386" s="1351"/>
      <c r="G386" s="1184"/>
      <c r="H386" s="1351"/>
      <c r="I386" s="1184"/>
      <c r="J386" s="1351"/>
      <c r="K386" s="1184"/>
      <c r="L386" s="1184"/>
      <c r="M386" s="1184"/>
      <c r="N386" s="1351"/>
      <c r="O386" s="1351"/>
      <c r="P386" s="1163"/>
      <c r="Q386" s="1163"/>
    </row>
    <row r="387" ht="12.75" customHeight="1">
      <c r="A387" s="1351"/>
      <c r="B387" s="1351"/>
      <c r="C387" s="1351"/>
      <c r="D387" s="1351"/>
      <c r="E387" s="1351"/>
      <c r="F387" s="1351"/>
      <c r="G387" s="1184"/>
      <c r="H387" s="1351"/>
      <c r="I387" s="1184"/>
      <c r="J387" s="1351"/>
      <c r="K387" s="1184"/>
      <c r="L387" s="1184"/>
      <c r="M387" s="1184"/>
      <c r="N387" s="1351"/>
      <c r="O387" s="1351"/>
      <c r="P387" s="1163"/>
      <c r="Q387" s="1163"/>
    </row>
    <row r="388" ht="12.75" customHeight="1">
      <c r="A388" s="1351"/>
      <c r="B388" s="1351"/>
      <c r="C388" s="1351"/>
      <c r="D388" s="1351"/>
      <c r="E388" s="1351"/>
      <c r="F388" s="1351"/>
      <c r="G388" s="1184"/>
      <c r="H388" s="1351"/>
      <c r="I388" s="1184"/>
      <c r="J388" s="1351"/>
      <c r="K388" s="1184"/>
      <c r="L388" s="1184"/>
      <c r="M388" s="1184"/>
      <c r="N388" s="1351"/>
      <c r="O388" s="1351"/>
      <c r="P388" s="1163"/>
      <c r="Q388" s="1163"/>
    </row>
    <row r="389" ht="12.75" customHeight="1">
      <c r="A389" s="1351"/>
      <c r="B389" s="1351"/>
      <c r="C389" s="1351"/>
      <c r="D389" s="1351"/>
      <c r="E389" s="1351"/>
      <c r="F389" s="1351"/>
      <c r="G389" s="1184"/>
      <c r="H389" s="1351"/>
      <c r="I389" s="1184"/>
      <c r="J389" s="1351"/>
      <c r="K389" s="1184"/>
      <c r="L389" s="1184"/>
      <c r="M389" s="1184"/>
      <c r="N389" s="1351"/>
      <c r="O389" s="1351"/>
      <c r="P389" s="1163"/>
      <c r="Q389" s="1163"/>
    </row>
    <row r="390" ht="12.75" customHeight="1">
      <c r="A390" s="1351"/>
      <c r="B390" s="1351"/>
      <c r="C390" s="1351"/>
      <c r="D390" s="1351"/>
      <c r="E390" s="1351"/>
      <c r="F390" s="1351"/>
      <c r="G390" s="1184"/>
      <c r="H390" s="1351"/>
      <c r="I390" s="1184"/>
      <c r="J390" s="1351"/>
      <c r="K390" s="1184"/>
      <c r="L390" s="1184"/>
      <c r="M390" s="1184"/>
      <c r="N390" s="1351"/>
      <c r="O390" s="1351"/>
      <c r="P390" s="1163"/>
      <c r="Q390" s="1163"/>
    </row>
    <row r="391" ht="12.75" customHeight="1">
      <c r="A391" s="1351"/>
      <c r="B391" s="1351"/>
      <c r="C391" s="1351"/>
      <c r="D391" s="1351"/>
      <c r="E391" s="1351"/>
      <c r="F391" s="1351"/>
      <c r="G391" s="1184"/>
      <c r="H391" s="1351"/>
      <c r="I391" s="1184"/>
      <c r="J391" s="1351"/>
      <c r="K391" s="1184"/>
      <c r="L391" s="1184"/>
      <c r="M391" s="1184"/>
      <c r="N391" s="1351"/>
      <c r="O391" s="1351"/>
      <c r="P391" s="1163"/>
      <c r="Q391" s="1163"/>
    </row>
    <row r="392" ht="12.75" customHeight="1">
      <c r="A392" s="1351"/>
      <c r="B392" s="1351"/>
      <c r="C392" s="1351"/>
      <c r="D392" s="1351"/>
      <c r="E392" s="1351"/>
      <c r="F392" s="1351"/>
      <c r="G392" s="1184"/>
      <c r="H392" s="1351"/>
      <c r="I392" s="1184"/>
      <c r="J392" s="1351"/>
      <c r="K392" s="1184"/>
      <c r="L392" s="1184"/>
      <c r="M392" s="1184"/>
      <c r="N392" s="1351"/>
      <c r="O392" s="1351"/>
      <c r="P392" s="1163"/>
      <c r="Q392" s="1163"/>
    </row>
    <row r="393" ht="12.75" customHeight="1">
      <c r="A393" s="1351"/>
      <c r="B393" s="1351"/>
      <c r="C393" s="1351"/>
      <c r="D393" s="1351"/>
      <c r="E393" s="1351"/>
      <c r="F393" s="1351"/>
      <c r="G393" s="1184"/>
      <c r="H393" s="1351"/>
      <c r="I393" s="1184"/>
      <c r="J393" s="1351"/>
      <c r="K393" s="1184"/>
      <c r="L393" s="1184"/>
      <c r="M393" s="1184"/>
      <c r="N393" s="1351"/>
      <c r="O393" s="1351"/>
      <c r="P393" s="1163"/>
      <c r="Q393" s="1163"/>
    </row>
    <row r="394" ht="12.75" customHeight="1">
      <c r="A394" s="1351"/>
      <c r="B394" s="1351"/>
      <c r="C394" s="1351"/>
      <c r="D394" s="1351"/>
      <c r="E394" s="1351"/>
      <c r="F394" s="1351"/>
      <c r="G394" s="1184"/>
      <c r="H394" s="1351"/>
      <c r="I394" s="1184"/>
      <c r="J394" s="1351"/>
      <c r="K394" s="1184"/>
      <c r="L394" s="1184"/>
      <c r="M394" s="1184"/>
      <c r="N394" s="1351"/>
      <c r="O394" s="1351"/>
      <c r="P394" s="1163"/>
      <c r="Q394" s="1163"/>
    </row>
    <row r="395" ht="12.75" customHeight="1">
      <c r="A395" s="1351"/>
      <c r="B395" s="1351"/>
      <c r="C395" s="1351"/>
      <c r="D395" s="1351"/>
      <c r="E395" s="1351"/>
      <c r="F395" s="1351"/>
      <c r="G395" s="1184"/>
      <c r="H395" s="1351"/>
      <c r="I395" s="1184"/>
      <c r="J395" s="1351"/>
      <c r="K395" s="1184"/>
      <c r="L395" s="1184"/>
      <c r="M395" s="1184"/>
      <c r="N395" s="1351"/>
      <c r="O395" s="1351"/>
      <c r="P395" s="1163"/>
      <c r="Q395" s="1163"/>
    </row>
    <row r="396" ht="12.75" customHeight="1">
      <c r="A396" s="1351"/>
      <c r="B396" s="1351"/>
      <c r="C396" s="1351"/>
      <c r="D396" s="1351"/>
      <c r="E396" s="1351"/>
      <c r="F396" s="1351"/>
      <c r="G396" s="1184"/>
      <c r="H396" s="1351"/>
      <c r="I396" s="1184"/>
      <c r="J396" s="1351"/>
      <c r="K396" s="1184"/>
      <c r="L396" s="1184"/>
      <c r="M396" s="1184"/>
      <c r="N396" s="1351"/>
      <c r="O396" s="1351"/>
      <c r="P396" s="1163"/>
      <c r="Q396" s="1163"/>
    </row>
    <row r="397" ht="12.75" customHeight="1">
      <c r="A397" s="1351"/>
      <c r="B397" s="1351"/>
      <c r="C397" s="1351"/>
      <c r="D397" s="1351"/>
      <c r="E397" s="1351"/>
      <c r="F397" s="1351"/>
      <c r="G397" s="1184"/>
      <c r="H397" s="1351"/>
      <c r="I397" s="1184"/>
      <c r="J397" s="1351"/>
      <c r="K397" s="1184"/>
      <c r="L397" s="1184"/>
      <c r="M397" s="1184"/>
      <c r="N397" s="1351"/>
      <c r="O397" s="1351"/>
      <c r="P397" s="1163"/>
      <c r="Q397" s="1163"/>
    </row>
    <row r="398" ht="12.75" customHeight="1">
      <c r="A398" s="1351"/>
      <c r="B398" s="1351"/>
      <c r="C398" s="1351"/>
      <c r="D398" s="1351"/>
      <c r="E398" s="1351"/>
      <c r="F398" s="1351"/>
      <c r="G398" s="1184"/>
      <c r="H398" s="1351"/>
      <c r="I398" s="1184"/>
      <c r="J398" s="1351"/>
      <c r="K398" s="1184"/>
      <c r="L398" s="1184"/>
      <c r="M398" s="1184"/>
      <c r="N398" s="1351"/>
      <c r="O398" s="1351"/>
      <c r="P398" s="1163"/>
      <c r="Q398" s="1163"/>
    </row>
    <row r="399" ht="12.75" customHeight="1">
      <c r="A399" s="1351"/>
      <c r="B399" s="1351"/>
      <c r="C399" s="1351"/>
      <c r="D399" s="1351"/>
      <c r="E399" s="1351"/>
      <c r="F399" s="1351"/>
      <c r="G399" s="1184"/>
      <c r="H399" s="1351"/>
      <c r="I399" s="1184"/>
      <c r="J399" s="1351"/>
      <c r="K399" s="1184"/>
      <c r="L399" s="1184"/>
      <c r="M399" s="1184"/>
      <c r="N399" s="1351"/>
      <c r="O399" s="1351"/>
      <c r="P399" s="1163"/>
      <c r="Q399" s="1163"/>
    </row>
    <row r="400" ht="12.75" customHeight="1">
      <c r="A400" s="1351"/>
      <c r="B400" s="1351"/>
      <c r="C400" s="1351"/>
      <c r="D400" s="1351"/>
      <c r="E400" s="1351"/>
      <c r="F400" s="1351"/>
      <c r="G400" s="1184"/>
      <c r="H400" s="1351"/>
      <c r="I400" s="1184"/>
      <c r="J400" s="1351"/>
      <c r="K400" s="1184"/>
      <c r="L400" s="1184"/>
      <c r="M400" s="1184"/>
      <c r="N400" s="1351"/>
      <c r="O400" s="1351"/>
      <c r="P400" s="1163"/>
      <c r="Q400" s="1163"/>
    </row>
    <row r="401" ht="12.75" customHeight="1">
      <c r="A401" s="1351"/>
      <c r="B401" s="1351"/>
      <c r="C401" s="1351"/>
      <c r="D401" s="1351"/>
      <c r="E401" s="1351"/>
      <c r="F401" s="1351"/>
      <c r="G401" s="1184"/>
      <c r="H401" s="1351"/>
      <c r="I401" s="1184"/>
      <c r="J401" s="1351"/>
      <c r="K401" s="1184"/>
      <c r="L401" s="1184"/>
      <c r="M401" s="1184"/>
      <c r="N401" s="1351"/>
      <c r="O401" s="1351"/>
      <c r="P401" s="1163"/>
      <c r="Q401" s="1163"/>
    </row>
    <row r="402" ht="12.75" customHeight="1">
      <c r="A402" s="1351"/>
      <c r="B402" s="1351"/>
      <c r="C402" s="1351"/>
      <c r="D402" s="1351"/>
      <c r="E402" s="1351"/>
      <c r="F402" s="1351"/>
      <c r="G402" s="1184"/>
      <c r="H402" s="1351"/>
      <c r="I402" s="1184"/>
      <c r="J402" s="1351"/>
      <c r="K402" s="1184"/>
      <c r="L402" s="1184"/>
      <c r="M402" s="1184"/>
      <c r="N402" s="1351"/>
      <c r="O402" s="1351"/>
      <c r="P402" s="1163"/>
      <c r="Q402" s="1163"/>
    </row>
    <row r="403" ht="12.75" customHeight="1">
      <c r="A403" s="1351"/>
      <c r="B403" s="1351"/>
      <c r="C403" s="1351"/>
      <c r="D403" s="1351"/>
      <c r="E403" s="1351"/>
      <c r="F403" s="1351"/>
      <c r="G403" s="1184"/>
      <c r="H403" s="1351"/>
      <c r="I403" s="1184"/>
      <c r="J403" s="1351"/>
      <c r="K403" s="1184"/>
      <c r="L403" s="1184"/>
      <c r="M403" s="1184"/>
      <c r="N403" s="1351"/>
      <c r="O403" s="1351"/>
      <c r="P403" s="1163"/>
      <c r="Q403" s="1163"/>
    </row>
    <row r="404" ht="12.75" customHeight="1">
      <c r="A404" s="1351"/>
      <c r="B404" s="1351"/>
      <c r="C404" s="1351"/>
      <c r="D404" s="1351"/>
      <c r="E404" s="1351"/>
      <c r="F404" s="1351"/>
      <c r="G404" s="1184"/>
      <c r="H404" s="1351"/>
      <c r="I404" s="1184"/>
      <c r="J404" s="1351"/>
      <c r="K404" s="1184"/>
      <c r="L404" s="1184"/>
      <c r="M404" s="1184"/>
      <c r="N404" s="1351"/>
      <c r="O404" s="1351"/>
      <c r="P404" s="1163"/>
      <c r="Q404" s="1163"/>
    </row>
    <row r="405" ht="12.75" customHeight="1">
      <c r="A405" s="1351"/>
      <c r="B405" s="1351"/>
      <c r="C405" s="1351"/>
      <c r="D405" s="1351"/>
      <c r="E405" s="1351"/>
      <c r="F405" s="1351"/>
      <c r="G405" s="1184"/>
      <c r="H405" s="1351"/>
      <c r="I405" s="1184"/>
      <c r="J405" s="1351"/>
      <c r="K405" s="1184"/>
      <c r="L405" s="1184"/>
      <c r="M405" s="1184"/>
      <c r="N405" s="1351"/>
      <c r="O405" s="1351"/>
      <c r="P405" s="1163"/>
      <c r="Q405" s="1163"/>
    </row>
    <row r="406" ht="12.75" customHeight="1">
      <c r="A406" s="1351"/>
      <c r="B406" s="1351"/>
      <c r="C406" s="1351"/>
      <c r="D406" s="1351"/>
      <c r="E406" s="1351"/>
      <c r="F406" s="1351"/>
      <c r="G406" s="1184"/>
      <c r="H406" s="1351"/>
      <c r="I406" s="1184"/>
      <c r="J406" s="1351"/>
      <c r="K406" s="1184"/>
      <c r="L406" s="1184"/>
      <c r="M406" s="1184"/>
      <c r="N406" s="1351"/>
      <c r="O406" s="1351"/>
      <c r="P406" s="1163"/>
      <c r="Q406" s="1163"/>
    </row>
    <row r="407" ht="12.75" customHeight="1">
      <c r="A407" s="1351"/>
      <c r="B407" s="1351"/>
      <c r="C407" s="1351"/>
      <c r="D407" s="1351"/>
      <c r="E407" s="1351"/>
      <c r="F407" s="1351"/>
      <c r="G407" s="1184"/>
      <c r="H407" s="1351"/>
      <c r="I407" s="1184"/>
      <c r="J407" s="1351"/>
      <c r="K407" s="1184"/>
      <c r="L407" s="1184"/>
      <c r="M407" s="1184"/>
      <c r="N407" s="1351"/>
      <c r="O407" s="1351"/>
      <c r="P407" s="1163"/>
      <c r="Q407" s="1163"/>
    </row>
    <row r="408" ht="12.75" customHeight="1">
      <c r="A408" s="1351"/>
      <c r="B408" s="1351"/>
      <c r="C408" s="1351"/>
      <c r="D408" s="1351"/>
      <c r="E408" s="1351"/>
      <c r="F408" s="1351"/>
      <c r="G408" s="1184"/>
      <c r="H408" s="1351"/>
      <c r="I408" s="1184"/>
      <c r="J408" s="1351"/>
      <c r="K408" s="1184"/>
      <c r="L408" s="1184"/>
      <c r="M408" s="1184"/>
      <c r="N408" s="1351"/>
      <c r="O408" s="1351"/>
      <c r="P408" s="1163"/>
      <c r="Q408" s="1163"/>
    </row>
    <row r="409" ht="12.75" customHeight="1">
      <c r="A409" s="1351"/>
      <c r="B409" s="1351"/>
      <c r="C409" s="1351"/>
      <c r="D409" s="1351"/>
      <c r="E409" s="1351"/>
      <c r="F409" s="1351"/>
      <c r="G409" s="1184"/>
      <c r="H409" s="1351"/>
      <c r="I409" s="1184"/>
      <c r="J409" s="1351"/>
      <c r="K409" s="1184"/>
      <c r="L409" s="1184"/>
      <c r="M409" s="1184"/>
      <c r="N409" s="1351"/>
      <c r="O409" s="1351"/>
      <c r="P409" s="1163"/>
      <c r="Q409" s="1163"/>
    </row>
    <row r="410" ht="12.75" customHeight="1">
      <c r="A410" s="1351"/>
      <c r="B410" s="1351"/>
      <c r="C410" s="1351"/>
      <c r="D410" s="1351"/>
      <c r="E410" s="1351"/>
      <c r="F410" s="1351"/>
      <c r="G410" s="1184"/>
      <c r="H410" s="1351"/>
      <c r="I410" s="1184"/>
      <c r="J410" s="1351"/>
      <c r="K410" s="1184"/>
      <c r="L410" s="1184"/>
      <c r="M410" s="1184"/>
      <c r="N410" s="1351"/>
      <c r="O410" s="1351"/>
      <c r="P410" s="1163"/>
      <c r="Q410" s="1163"/>
    </row>
    <row r="411" ht="12.75" customHeight="1">
      <c r="A411" s="1351"/>
      <c r="B411" s="1351"/>
      <c r="C411" s="1351"/>
      <c r="D411" s="1351"/>
      <c r="E411" s="1351"/>
      <c r="F411" s="1351"/>
      <c r="G411" s="1184"/>
      <c r="H411" s="1351"/>
      <c r="I411" s="1184"/>
      <c r="J411" s="1351"/>
      <c r="K411" s="1184"/>
      <c r="L411" s="1184"/>
      <c r="M411" s="1184"/>
      <c r="N411" s="1351"/>
      <c r="O411" s="1351"/>
      <c r="P411" s="1163"/>
      <c r="Q411" s="1163"/>
    </row>
    <row r="412" ht="12.75" customHeight="1">
      <c r="A412" s="1351"/>
      <c r="B412" s="1351"/>
      <c r="C412" s="1351"/>
      <c r="D412" s="1351"/>
      <c r="E412" s="1351"/>
      <c r="F412" s="1351"/>
      <c r="G412" s="1184"/>
      <c r="H412" s="1351"/>
      <c r="I412" s="1184"/>
      <c r="J412" s="1351"/>
      <c r="K412" s="1184"/>
      <c r="L412" s="1184"/>
      <c r="M412" s="1184"/>
      <c r="N412" s="1351"/>
      <c r="O412" s="1351"/>
      <c r="P412" s="1163"/>
      <c r="Q412" s="1163"/>
    </row>
    <row r="413" ht="12.75" customHeight="1">
      <c r="A413" s="1351"/>
      <c r="B413" s="1351"/>
      <c r="C413" s="1351"/>
      <c r="D413" s="1351"/>
      <c r="E413" s="1351"/>
      <c r="F413" s="1351"/>
      <c r="G413" s="1184"/>
      <c r="H413" s="1351"/>
      <c r="I413" s="1184"/>
      <c r="J413" s="1351"/>
      <c r="K413" s="1184"/>
      <c r="L413" s="1184"/>
      <c r="M413" s="1184"/>
      <c r="N413" s="1351"/>
      <c r="O413" s="1351"/>
      <c r="P413" s="1163"/>
      <c r="Q413" s="1163"/>
    </row>
    <row r="414" ht="12.75" customHeight="1">
      <c r="A414" s="1351"/>
      <c r="B414" s="1351"/>
      <c r="C414" s="1351"/>
      <c r="D414" s="1351"/>
      <c r="E414" s="1351"/>
      <c r="F414" s="1351"/>
      <c r="G414" s="1184"/>
      <c r="H414" s="1351"/>
      <c r="I414" s="1184"/>
      <c r="J414" s="1351"/>
      <c r="K414" s="1184"/>
      <c r="L414" s="1184"/>
      <c r="M414" s="1184"/>
      <c r="N414" s="1351"/>
      <c r="O414" s="1351"/>
      <c r="P414" s="1163"/>
      <c r="Q414" s="1163"/>
    </row>
    <row r="415" ht="12.75" customHeight="1">
      <c r="A415" s="1351"/>
      <c r="B415" s="1351"/>
      <c r="C415" s="1351"/>
      <c r="D415" s="1351"/>
      <c r="E415" s="1351"/>
      <c r="F415" s="1351"/>
      <c r="G415" s="1184"/>
      <c r="H415" s="1351"/>
      <c r="I415" s="1184"/>
      <c r="J415" s="1351"/>
      <c r="K415" s="1184"/>
      <c r="L415" s="1184"/>
      <c r="M415" s="1184"/>
      <c r="N415" s="1351"/>
      <c r="O415" s="1351"/>
      <c r="P415" s="1163"/>
      <c r="Q415" s="1163"/>
    </row>
    <row r="416" ht="12.75" customHeight="1">
      <c r="A416" s="1351"/>
      <c r="B416" s="1351"/>
      <c r="C416" s="1351"/>
      <c r="D416" s="1351"/>
      <c r="E416" s="1351"/>
      <c r="F416" s="1351"/>
      <c r="G416" s="1184"/>
      <c r="H416" s="1351"/>
      <c r="I416" s="1184"/>
      <c r="J416" s="1351"/>
      <c r="K416" s="1184"/>
      <c r="L416" s="1184"/>
      <c r="M416" s="1184"/>
      <c r="N416" s="1351"/>
      <c r="O416" s="1351"/>
      <c r="P416" s="1163"/>
      <c r="Q416" s="1163"/>
    </row>
    <row r="417" ht="12.75" customHeight="1">
      <c r="A417" s="1351"/>
      <c r="B417" s="1351"/>
      <c r="C417" s="1351"/>
      <c r="D417" s="1351"/>
      <c r="E417" s="1351"/>
      <c r="F417" s="1351"/>
      <c r="G417" s="1184"/>
      <c r="H417" s="1351"/>
      <c r="I417" s="1184"/>
      <c r="J417" s="1351"/>
      <c r="K417" s="1184"/>
      <c r="L417" s="1184"/>
      <c r="M417" s="1184"/>
      <c r="N417" s="1351"/>
      <c r="O417" s="1351"/>
      <c r="P417" s="1163"/>
      <c r="Q417" s="1163"/>
    </row>
    <row r="418" ht="12.75" customHeight="1">
      <c r="A418" s="1351"/>
      <c r="B418" s="1351"/>
      <c r="C418" s="1351"/>
      <c r="D418" s="1351"/>
      <c r="E418" s="1351"/>
      <c r="F418" s="1351"/>
      <c r="G418" s="1184"/>
      <c r="H418" s="1351"/>
      <c r="I418" s="1184"/>
      <c r="J418" s="1351"/>
      <c r="K418" s="1184"/>
      <c r="L418" s="1184"/>
      <c r="M418" s="1184"/>
      <c r="N418" s="1351"/>
      <c r="O418" s="1351"/>
      <c r="P418" s="1163"/>
      <c r="Q418" s="1163"/>
    </row>
    <row r="419" ht="12.75" customHeight="1">
      <c r="A419" s="1351"/>
      <c r="B419" s="1351"/>
      <c r="C419" s="1351"/>
      <c r="D419" s="1351"/>
      <c r="E419" s="1351"/>
      <c r="F419" s="1351"/>
      <c r="G419" s="1184"/>
      <c r="H419" s="1351"/>
      <c r="I419" s="1184"/>
      <c r="J419" s="1351"/>
      <c r="K419" s="1184"/>
      <c r="L419" s="1184"/>
      <c r="M419" s="1184"/>
      <c r="N419" s="1351"/>
      <c r="O419" s="1351"/>
      <c r="P419" s="1163"/>
      <c r="Q419" s="1163"/>
    </row>
    <row r="420" ht="12.75" customHeight="1">
      <c r="A420" s="1351"/>
      <c r="B420" s="1351"/>
      <c r="C420" s="1351"/>
      <c r="D420" s="1351"/>
      <c r="E420" s="1351"/>
      <c r="F420" s="1351"/>
      <c r="G420" s="1184"/>
      <c r="H420" s="1351"/>
      <c r="I420" s="1184"/>
      <c r="J420" s="1351"/>
      <c r="K420" s="1184"/>
      <c r="L420" s="1184"/>
      <c r="M420" s="1184"/>
      <c r="N420" s="1351"/>
      <c r="O420" s="1351"/>
      <c r="P420" s="1163"/>
      <c r="Q420" s="1163"/>
    </row>
    <row r="421" ht="12.75" customHeight="1">
      <c r="A421" s="1351"/>
      <c r="B421" s="1351"/>
      <c r="C421" s="1351"/>
      <c r="D421" s="1351"/>
      <c r="E421" s="1351"/>
      <c r="F421" s="1351"/>
      <c r="G421" s="1184"/>
      <c r="H421" s="1351"/>
      <c r="I421" s="1184"/>
      <c r="J421" s="1351"/>
      <c r="K421" s="1184"/>
      <c r="L421" s="1184"/>
      <c r="M421" s="1184"/>
      <c r="N421" s="1351"/>
      <c r="O421" s="1351"/>
      <c r="P421" s="1163"/>
      <c r="Q421" s="1163"/>
    </row>
    <row r="422" ht="12.75" customHeight="1">
      <c r="A422" s="1351"/>
      <c r="B422" s="1351"/>
      <c r="C422" s="1351"/>
      <c r="D422" s="1351"/>
      <c r="E422" s="1351"/>
      <c r="F422" s="1351"/>
      <c r="G422" s="1184"/>
      <c r="H422" s="1351"/>
      <c r="I422" s="1184"/>
      <c r="J422" s="1351"/>
      <c r="K422" s="1184"/>
      <c r="L422" s="1184"/>
      <c r="M422" s="1184"/>
      <c r="N422" s="1351"/>
      <c r="O422" s="1351"/>
      <c r="P422" s="1163"/>
      <c r="Q422" s="1163"/>
    </row>
    <row r="423" ht="12.75" customHeight="1">
      <c r="A423" s="1351"/>
      <c r="B423" s="1351"/>
      <c r="C423" s="1351"/>
      <c r="D423" s="1351"/>
      <c r="E423" s="1351"/>
      <c r="F423" s="1351"/>
      <c r="G423" s="1184"/>
      <c r="H423" s="1351"/>
      <c r="I423" s="1184"/>
      <c r="J423" s="1351"/>
      <c r="K423" s="1184"/>
      <c r="L423" s="1184"/>
      <c r="M423" s="1184"/>
      <c r="N423" s="1351"/>
      <c r="O423" s="1351"/>
      <c r="P423" s="1163"/>
      <c r="Q423" s="1163"/>
    </row>
    <row r="424" ht="12.75" customHeight="1">
      <c r="A424" s="1351"/>
      <c r="B424" s="1351"/>
      <c r="C424" s="1351"/>
      <c r="D424" s="1351"/>
      <c r="E424" s="1351"/>
      <c r="F424" s="1351"/>
      <c r="G424" s="1184"/>
      <c r="H424" s="1351"/>
      <c r="I424" s="1184"/>
      <c r="J424" s="1351"/>
      <c r="K424" s="1184"/>
      <c r="L424" s="1184"/>
      <c r="M424" s="1184"/>
      <c r="N424" s="1351"/>
      <c r="O424" s="1351"/>
      <c r="P424" s="1163"/>
      <c r="Q424" s="1163"/>
    </row>
    <row r="425" ht="12.75" customHeight="1">
      <c r="A425" s="1351"/>
      <c r="B425" s="1351"/>
      <c r="C425" s="1351"/>
      <c r="D425" s="1351"/>
      <c r="E425" s="1351"/>
      <c r="F425" s="1351"/>
      <c r="G425" s="1184"/>
      <c r="H425" s="1351"/>
      <c r="I425" s="1184"/>
      <c r="J425" s="1351"/>
      <c r="K425" s="1184"/>
      <c r="L425" s="1184"/>
      <c r="M425" s="1184"/>
      <c r="N425" s="1351"/>
      <c r="O425" s="1351"/>
      <c r="P425" s="1163"/>
      <c r="Q425" s="1163"/>
    </row>
    <row r="426" ht="12.75" customHeight="1">
      <c r="A426" s="1351"/>
      <c r="B426" s="1351"/>
      <c r="C426" s="1351"/>
      <c r="D426" s="1351"/>
      <c r="E426" s="1351"/>
      <c r="F426" s="1351"/>
      <c r="G426" s="1184"/>
      <c r="H426" s="1351"/>
      <c r="I426" s="1184"/>
      <c r="J426" s="1351"/>
      <c r="K426" s="1184"/>
      <c r="L426" s="1184"/>
      <c r="M426" s="1184"/>
      <c r="N426" s="1351"/>
      <c r="O426" s="1351"/>
      <c r="P426" s="1163"/>
      <c r="Q426" s="1163"/>
    </row>
    <row r="427" ht="12.75" customHeight="1">
      <c r="A427" s="1351"/>
      <c r="B427" s="1351"/>
      <c r="C427" s="1351"/>
      <c r="D427" s="1351"/>
      <c r="E427" s="1351"/>
      <c r="F427" s="1351"/>
      <c r="G427" s="1184"/>
      <c r="H427" s="1351"/>
      <c r="I427" s="1184"/>
      <c r="J427" s="1351"/>
      <c r="K427" s="1184"/>
      <c r="L427" s="1184"/>
      <c r="M427" s="1184"/>
      <c r="N427" s="1351"/>
      <c r="O427" s="1351"/>
      <c r="P427" s="1163"/>
      <c r="Q427" s="1163"/>
    </row>
    <row r="428" ht="12.75" customHeight="1">
      <c r="A428" s="1351"/>
      <c r="B428" s="1351"/>
      <c r="C428" s="1351"/>
      <c r="D428" s="1351"/>
      <c r="E428" s="1351"/>
      <c r="F428" s="1351"/>
      <c r="G428" s="1184"/>
      <c r="H428" s="1351"/>
      <c r="I428" s="1184"/>
      <c r="J428" s="1351"/>
      <c r="K428" s="1184"/>
      <c r="L428" s="1184"/>
      <c r="M428" s="1184"/>
      <c r="N428" s="1351"/>
      <c r="O428" s="1351"/>
      <c r="P428" s="1163"/>
      <c r="Q428" s="1163"/>
    </row>
    <row r="429" ht="12.75" customHeight="1">
      <c r="A429" s="1351"/>
      <c r="B429" s="1351"/>
      <c r="C429" s="1351"/>
      <c r="D429" s="1351"/>
      <c r="E429" s="1351"/>
      <c r="F429" s="1351"/>
      <c r="G429" s="1184"/>
      <c r="H429" s="1351"/>
      <c r="I429" s="1184"/>
      <c r="J429" s="1351"/>
      <c r="K429" s="1184"/>
      <c r="L429" s="1184"/>
      <c r="M429" s="1184"/>
      <c r="N429" s="1351"/>
      <c r="O429" s="1351"/>
      <c r="P429" s="1163"/>
      <c r="Q429" s="1163"/>
    </row>
    <row r="430" ht="12.75" customHeight="1">
      <c r="A430" s="1351"/>
      <c r="B430" s="1351"/>
      <c r="C430" s="1351"/>
      <c r="D430" s="1351"/>
      <c r="E430" s="1351"/>
      <c r="F430" s="1351"/>
      <c r="G430" s="1184"/>
      <c r="H430" s="1351"/>
      <c r="I430" s="1184"/>
      <c r="J430" s="1351"/>
      <c r="K430" s="1184"/>
      <c r="L430" s="1184"/>
      <c r="M430" s="1184"/>
      <c r="N430" s="1351"/>
      <c r="O430" s="1351"/>
      <c r="P430" s="1163"/>
      <c r="Q430" s="1163"/>
    </row>
    <row r="431" ht="12.75" customHeight="1">
      <c r="A431" s="1351"/>
      <c r="B431" s="1351"/>
      <c r="C431" s="1351"/>
      <c r="D431" s="1351"/>
      <c r="E431" s="1351"/>
      <c r="F431" s="1351"/>
      <c r="G431" s="1184"/>
      <c r="H431" s="1351"/>
      <c r="I431" s="1184"/>
      <c r="J431" s="1351"/>
      <c r="K431" s="1184"/>
      <c r="L431" s="1184"/>
      <c r="M431" s="1184"/>
      <c r="N431" s="1351"/>
      <c r="O431" s="1351"/>
      <c r="P431" s="1163"/>
      <c r="Q431" s="1163"/>
    </row>
    <row r="432" ht="12.75" customHeight="1">
      <c r="A432" s="1351"/>
      <c r="B432" s="1351"/>
      <c r="C432" s="1351"/>
      <c r="D432" s="1351"/>
      <c r="E432" s="1351"/>
      <c r="F432" s="1351"/>
      <c r="G432" s="1184"/>
      <c r="H432" s="1351"/>
      <c r="I432" s="1184"/>
      <c r="J432" s="1351"/>
      <c r="K432" s="1184"/>
      <c r="L432" s="1184"/>
      <c r="M432" s="1184"/>
      <c r="N432" s="1351"/>
      <c r="O432" s="1351"/>
      <c r="P432" s="1163"/>
      <c r="Q432" s="1163"/>
    </row>
    <row r="433" ht="12.75" customHeight="1">
      <c r="A433" s="1351"/>
      <c r="B433" s="1351"/>
      <c r="C433" s="1351"/>
      <c r="D433" s="1351"/>
      <c r="E433" s="1351"/>
      <c r="F433" s="1351"/>
      <c r="G433" s="1184"/>
      <c r="H433" s="1351"/>
      <c r="I433" s="1184"/>
      <c r="J433" s="1351"/>
      <c r="K433" s="1184"/>
      <c r="L433" s="1184"/>
      <c r="M433" s="1184"/>
      <c r="N433" s="1351"/>
      <c r="O433" s="1351"/>
      <c r="P433" s="1163"/>
      <c r="Q433" s="1163"/>
    </row>
    <row r="434" ht="12.75" customHeight="1">
      <c r="A434" s="1351"/>
      <c r="B434" s="1351"/>
      <c r="C434" s="1351"/>
      <c r="D434" s="1351"/>
      <c r="E434" s="1351"/>
      <c r="F434" s="1351"/>
      <c r="G434" s="1184"/>
      <c r="H434" s="1351"/>
      <c r="I434" s="1184"/>
      <c r="J434" s="1351"/>
      <c r="K434" s="1184"/>
      <c r="L434" s="1184"/>
      <c r="M434" s="1184"/>
      <c r="N434" s="1351"/>
      <c r="O434" s="1351"/>
      <c r="P434" s="1163"/>
      <c r="Q434" s="1163"/>
    </row>
    <row r="435" ht="12.75" customHeight="1">
      <c r="A435" s="1351"/>
      <c r="B435" s="1351"/>
      <c r="C435" s="1351"/>
      <c r="D435" s="1351"/>
      <c r="E435" s="1351"/>
      <c r="F435" s="1351"/>
      <c r="G435" s="1184"/>
      <c r="H435" s="1351"/>
      <c r="I435" s="1184"/>
      <c r="J435" s="1351"/>
      <c r="K435" s="1184"/>
      <c r="L435" s="1184"/>
      <c r="M435" s="1184"/>
      <c r="N435" s="1351"/>
      <c r="O435" s="1351"/>
      <c r="P435" s="1163"/>
      <c r="Q435" s="1163"/>
    </row>
    <row r="436" ht="12.75" customHeight="1">
      <c r="A436" s="1351"/>
      <c r="B436" s="1351"/>
      <c r="C436" s="1351"/>
      <c r="D436" s="1351"/>
      <c r="E436" s="1351"/>
      <c r="F436" s="1351"/>
      <c r="G436" s="1184"/>
      <c r="H436" s="1351"/>
      <c r="I436" s="1184"/>
      <c r="J436" s="1351"/>
      <c r="K436" s="1184"/>
      <c r="L436" s="1184"/>
      <c r="M436" s="1184"/>
      <c r="N436" s="1351"/>
      <c r="O436" s="1351"/>
      <c r="P436" s="1163"/>
      <c r="Q436" s="1163"/>
    </row>
    <row r="437" ht="12.75" customHeight="1">
      <c r="A437" s="1351"/>
      <c r="B437" s="1351"/>
      <c r="C437" s="1351"/>
      <c r="D437" s="1351"/>
      <c r="E437" s="1351"/>
      <c r="F437" s="1351"/>
      <c r="G437" s="1184"/>
      <c r="H437" s="1351"/>
      <c r="I437" s="1184"/>
      <c r="J437" s="1351"/>
      <c r="K437" s="1184"/>
      <c r="L437" s="1184"/>
      <c r="M437" s="1184"/>
      <c r="N437" s="1351"/>
      <c r="O437" s="1351"/>
      <c r="P437" s="1163"/>
      <c r="Q437" s="1163"/>
    </row>
    <row r="438" ht="12.75" customHeight="1">
      <c r="A438" s="1351"/>
      <c r="B438" s="1351"/>
      <c r="C438" s="1351"/>
      <c r="D438" s="1351"/>
      <c r="E438" s="1351"/>
      <c r="F438" s="1351"/>
      <c r="G438" s="1184"/>
      <c r="H438" s="1351"/>
      <c r="I438" s="1184"/>
      <c r="J438" s="1351"/>
      <c r="K438" s="1184"/>
      <c r="L438" s="1184"/>
      <c r="M438" s="1184"/>
      <c r="N438" s="1351"/>
      <c r="O438" s="1351"/>
      <c r="P438" s="1163"/>
      <c r="Q438" s="1163"/>
    </row>
    <row r="439" ht="12.75" customHeight="1">
      <c r="A439" s="1351"/>
      <c r="B439" s="1351"/>
      <c r="C439" s="1351"/>
      <c r="D439" s="1351"/>
      <c r="E439" s="1351"/>
      <c r="F439" s="1351"/>
      <c r="G439" s="1184"/>
      <c r="H439" s="1351"/>
      <c r="I439" s="1184"/>
      <c r="J439" s="1351"/>
      <c r="K439" s="1184"/>
      <c r="L439" s="1184"/>
      <c r="M439" s="1184"/>
      <c r="N439" s="1351"/>
      <c r="O439" s="1351"/>
      <c r="P439" s="1163"/>
      <c r="Q439" s="1163"/>
    </row>
    <row r="440" ht="12.75" customHeight="1">
      <c r="A440" s="1351"/>
      <c r="B440" s="1351"/>
      <c r="C440" s="1351"/>
      <c r="D440" s="1351"/>
      <c r="E440" s="1351"/>
      <c r="F440" s="1351"/>
      <c r="G440" s="1184"/>
      <c r="H440" s="1351"/>
      <c r="I440" s="1184"/>
      <c r="J440" s="1351"/>
      <c r="K440" s="1184"/>
      <c r="L440" s="1184"/>
      <c r="M440" s="1184"/>
      <c r="N440" s="1351"/>
      <c r="O440" s="1351"/>
      <c r="P440" s="1163"/>
      <c r="Q440" s="1163"/>
    </row>
    <row r="441" ht="12.75" customHeight="1">
      <c r="A441" s="1351"/>
      <c r="B441" s="1351"/>
      <c r="C441" s="1351"/>
      <c r="D441" s="1351"/>
      <c r="E441" s="1351"/>
      <c r="F441" s="1351"/>
      <c r="G441" s="1184"/>
      <c r="H441" s="1351"/>
      <c r="I441" s="1184"/>
      <c r="J441" s="1351"/>
      <c r="K441" s="1184"/>
      <c r="L441" s="1184"/>
      <c r="M441" s="1184"/>
      <c r="N441" s="1351"/>
      <c r="O441" s="1351"/>
      <c r="P441" s="1163"/>
      <c r="Q441" s="1163"/>
    </row>
    <row r="442" ht="12.75" customHeight="1">
      <c r="A442" s="1351"/>
      <c r="B442" s="1351"/>
      <c r="C442" s="1351"/>
      <c r="D442" s="1351"/>
      <c r="E442" s="1351"/>
      <c r="F442" s="1351"/>
      <c r="G442" s="1184"/>
      <c r="H442" s="1351"/>
      <c r="I442" s="1184"/>
      <c r="J442" s="1351"/>
      <c r="K442" s="1184"/>
      <c r="L442" s="1184"/>
      <c r="M442" s="1184"/>
      <c r="N442" s="1351"/>
      <c r="O442" s="1351"/>
      <c r="P442" s="1163"/>
      <c r="Q442" s="1163"/>
    </row>
    <row r="443" ht="12.75" customHeight="1">
      <c r="A443" s="1351"/>
      <c r="B443" s="1351"/>
      <c r="C443" s="1351"/>
      <c r="D443" s="1351"/>
      <c r="E443" s="1351"/>
      <c r="F443" s="1351"/>
      <c r="G443" s="1184"/>
      <c r="H443" s="1351"/>
      <c r="I443" s="1184"/>
      <c r="J443" s="1351"/>
      <c r="K443" s="1184"/>
      <c r="L443" s="1184"/>
      <c r="M443" s="1184"/>
      <c r="N443" s="1351"/>
      <c r="O443" s="1351"/>
      <c r="P443" s="1163"/>
      <c r="Q443" s="1163"/>
    </row>
    <row r="444" ht="12.75" customHeight="1">
      <c r="A444" s="1351"/>
      <c r="B444" s="1351"/>
      <c r="C444" s="1351"/>
      <c r="D444" s="1351"/>
      <c r="E444" s="1351"/>
      <c r="F444" s="1351"/>
      <c r="G444" s="1184"/>
      <c r="H444" s="1351"/>
      <c r="I444" s="1184"/>
      <c r="J444" s="1351"/>
      <c r="K444" s="1184"/>
      <c r="L444" s="1184"/>
      <c r="M444" s="1184"/>
      <c r="N444" s="1351"/>
      <c r="O444" s="1351"/>
      <c r="P444" s="1163"/>
      <c r="Q444" s="1163"/>
    </row>
    <row r="445" ht="12.75" customHeight="1">
      <c r="A445" s="1351"/>
      <c r="B445" s="1351"/>
      <c r="C445" s="1351"/>
      <c r="D445" s="1351"/>
      <c r="E445" s="1351"/>
      <c r="F445" s="1351"/>
      <c r="G445" s="1184"/>
      <c r="H445" s="1351"/>
      <c r="I445" s="1184"/>
      <c r="J445" s="1351"/>
      <c r="K445" s="1184"/>
      <c r="L445" s="1184"/>
      <c r="M445" s="1184"/>
      <c r="N445" s="1351"/>
      <c r="O445" s="1351"/>
      <c r="P445" s="1163"/>
      <c r="Q445" s="1163"/>
    </row>
    <row r="446" ht="12.75" customHeight="1">
      <c r="A446" s="1351"/>
      <c r="B446" s="1351"/>
      <c r="C446" s="1351"/>
      <c r="D446" s="1351"/>
      <c r="E446" s="1351"/>
      <c r="F446" s="1351"/>
      <c r="G446" s="1184"/>
      <c r="H446" s="1351"/>
      <c r="I446" s="1184"/>
      <c r="J446" s="1351"/>
      <c r="K446" s="1184"/>
      <c r="L446" s="1184"/>
      <c r="M446" s="1184"/>
      <c r="N446" s="1351"/>
      <c r="O446" s="1351"/>
      <c r="P446" s="1163"/>
      <c r="Q446" s="1163"/>
    </row>
    <row r="447" ht="12.75" customHeight="1">
      <c r="A447" s="1351"/>
      <c r="B447" s="1351"/>
      <c r="C447" s="1351"/>
      <c r="D447" s="1351"/>
      <c r="E447" s="1351"/>
      <c r="F447" s="1351"/>
      <c r="G447" s="1184"/>
      <c r="H447" s="1351"/>
      <c r="I447" s="1184"/>
      <c r="J447" s="1351"/>
      <c r="K447" s="1184"/>
      <c r="L447" s="1184"/>
      <c r="M447" s="1184"/>
      <c r="N447" s="1351"/>
      <c r="O447" s="1351"/>
      <c r="P447" s="1163"/>
      <c r="Q447" s="1163"/>
    </row>
    <row r="448" ht="12.75" customHeight="1">
      <c r="A448" s="1351"/>
      <c r="B448" s="1351"/>
      <c r="C448" s="1351"/>
      <c r="D448" s="1351"/>
      <c r="E448" s="1351"/>
      <c r="F448" s="1351"/>
      <c r="G448" s="1184"/>
      <c r="H448" s="1351"/>
      <c r="I448" s="1184"/>
      <c r="J448" s="1351"/>
      <c r="K448" s="1184"/>
      <c r="L448" s="1184"/>
      <c r="M448" s="1184"/>
      <c r="N448" s="1351"/>
      <c r="O448" s="1351"/>
      <c r="P448" s="1163"/>
      <c r="Q448" s="1163"/>
    </row>
    <row r="449" ht="12.75" customHeight="1">
      <c r="A449" s="1351"/>
      <c r="B449" s="1351"/>
      <c r="C449" s="1351"/>
      <c r="D449" s="1351"/>
      <c r="E449" s="1351"/>
      <c r="F449" s="1351"/>
      <c r="G449" s="1184"/>
      <c r="H449" s="1351"/>
      <c r="I449" s="1184"/>
      <c r="J449" s="1351"/>
      <c r="K449" s="1184"/>
      <c r="L449" s="1184"/>
      <c r="M449" s="1184"/>
      <c r="N449" s="1351"/>
      <c r="O449" s="1351"/>
      <c r="P449" s="1163"/>
      <c r="Q449" s="1163"/>
    </row>
    <row r="450" ht="12.75" customHeight="1">
      <c r="A450" s="1351"/>
      <c r="B450" s="1351"/>
      <c r="C450" s="1351"/>
      <c r="D450" s="1351"/>
      <c r="E450" s="1351"/>
      <c r="F450" s="1351"/>
      <c r="G450" s="1184"/>
      <c r="H450" s="1351"/>
      <c r="I450" s="1184"/>
      <c r="J450" s="1351"/>
      <c r="K450" s="1184"/>
      <c r="L450" s="1184"/>
      <c r="M450" s="1184"/>
      <c r="N450" s="1351"/>
      <c r="O450" s="1351"/>
      <c r="P450" s="1163"/>
      <c r="Q450" s="1163"/>
    </row>
    <row r="451" ht="12.75" customHeight="1">
      <c r="A451" s="1351"/>
      <c r="B451" s="1351"/>
      <c r="C451" s="1351"/>
      <c r="D451" s="1351"/>
      <c r="E451" s="1351"/>
      <c r="F451" s="1351"/>
      <c r="G451" s="1184"/>
      <c r="H451" s="1351"/>
      <c r="I451" s="1184"/>
      <c r="J451" s="1351"/>
      <c r="K451" s="1184"/>
      <c r="L451" s="1184"/>
      <c r="M451" s="1184"/>
      <c r="N451" s="1351"/>
      <c r="O451" s="1351"/>
      <c r="P451" s="1163"/>
      <c r="Q451" s="1163"/>
    </row>
    <row r="452" ht="12.75" customHeight="1">
      <c r="A452" s="1351"/>
      <c r="B452" s="1351"/>
      <c r="C452" s="1351"/>
      <c r="D452" s="1351"/>
      <c r="E452" s="1351"/>
      <c r="F452" s="1351"/>
      <c r="G452" s="1184"/>
      <c r="H452" s="1351"/>
      <c r="I452" s="1184"/>
      <c r="J452" s="1351"/>
      <c r="K452" s="1184"/>
      <c r="L452" s="1184"/>
      <c r="M452" s="1184"/>
      <c r="N452" s="1351"/>
      <c r="O452" s="1351"/>
      <c r="P452" s="1163"/>
      <c r="Q452" s="1163"/>
    </row>
    <row r="453" ht="12.75" customHeight="1">
      <c r="A453" s="1351"/>
      <c r="B453" s="1351"/>
      <c r="C453" s="1351"/>
      <c r="D453" s="1351"/>
      <c r="E453" s="1351"/>
      <c r="F453" s="1351"/>
      <c r="G453" s="1184"/>
      <c r="H453" s="1351"/>
      <c r="I453" s="1184"/>
      <c r="J453" s="1351"/>
      <c r="K453" s="1184"/>
      <c r="L453" s="1184"/>
      <c r="M453" s="1184"/>
      <c r="N453" s="1351"/>
      <c r="O453" s="1351"/>
      <c r="P453" s="1163"/>
      <c r="Q453" s="1163"/>
    </row>
    <row r="454" ht="12.75" customHeight="1">
      <c r="A454" s="1351"/>
      <c r="B454" s="1351"/>
      <c r="C454" s="1351"/>
      <c r="D454" s="1351"/>
      <c r="E454" s="1351"/>
      <c r="F454" s="1351"/>
      <c r="G454" s="1184"/>
      <c r="H454" s="1351"/>
      <c r="I454" s="1184"/>
      <c r="J454" s="1351"/>
      <c r="K454" s="1184"/>
      <c r="L454" s="1184"/>
      <c r="M454" s="1184"/>
      <c r="N454" s="1351"/>
      <c r="O454" s="1351"/>
      <c r="P454" s="1163"/>
      <c r="Q454" s="1163"/>
    </row>
    <row r="455" ht="12.75" customHeight="1">
      <c r="A455" s="1351"/>
      <c r="B455" s="1351"/>
      <c r="C455" s="1351"/>
      <c r="D455" s="1351"/>
      <c r="E455" s="1351"/>
      <c r="F455" s="1351"/>
      <c r="G455" s="1184"/>
      <c r="H455" s="1351"/>
      <c r="I455" s="1184"/>
      <c r="J455" s="1351"/>
      <c r="K455" s="1184"/>
      <c r="L455" s="1184"/>
      <c r="M455" s="1184"/>
      <c r="N455" s="1351"/>
      <c r="O455" s="1351"/>
      <c r="P455" s="1163"/>
      <c r="Q455" s="1163"/>
    </row>
    <row r="456" ht="12.75" customHeight="1">
      <c r="A456" s="1351"/>
      <c r="B456" s="1351"/>
      <c r="C456" s="1351"/>
      <c r="D456" s="1351"/>
      <c r="E456" s="1351"/>
      <c r="F456" s="1351"/>
      <c r="G456" s="1184"/>
      <c r="H456" s="1351"/>
      <c r="I456" s="1184"/>
      <c r="J456" s="1351"/>
      <c r="K456" s="1184"/>
      <c r="L456" s="1184"/>
      <c r="M456" s="1184"/>
      <c r="N456" s="1351"/>
      <c r="O456" s="1351"/>
      <c r="P456" s="1163"/>
      <c r="Q456" s="1163"/>
    </row>
    <row r="457" ht="12.75" customHeight="1">
      <c r="A457" s="1351"/>
      <c r="B457" s="1351"/>
      <c r="C457" s="1351"/>
      <c r="D457" s="1351"/>
      <c r="E457" s="1351"/>
      <c r="F457" s="1351"/>
      <c r="G457" s="1184"/>
      <c r="H457" s="1351"/>
      <c r="I457" s="1184"/>
      <c r="J457" s="1351"/>
      <c r="K457" s="1184"/>
      <c r="L457" s="1184"/>
      <c r="M457" s="1184"/>
      <c r="N457" s="1351"/>
      <c r="O457" s="1351"/>
      <c r="P457" s="1163"/>
      <c r="Q457" s="1163"/>
    </row>
    <row r="458" ht="12.75" customHeight="1">
      <c r="A458" s="1351"/>
      <c r="B458" s="1351"/>
      <c r="C458" s="1351"/>
      <c r="D458" s="1351"/>
      <c r="E458" s="1351"/>
      <c r="F458" s="1351"/>
      <c r="G458" s="1184"/>
      <c r="H458" s="1351"/>
      <c r="I458" s="1184"/>
      <c r="J458" s="1351"/>
      <c r="K458" s="1184"/>
      <c r="L458" s="1184"/>
      <c r="M458" s="1184"/>
      <c r="N458" s="1351"/>
      <c r="O458" s="1351"/>
      <c r="P458" s="1163"/>
      <c r="Q458" s="1163"/>
    </row>
    <row r="459" ht="12.75" customHeight="1">
      <c r="A459" s="1351"/>
      <c r="B459" s="1351"/>
      <c r="C459" s="1351"/>
      <c r="D459" s="1351"/>
      <c r="E459" s="1351"/>
      <c r="F459" s="1351"/>
      <c r="G459" s="1184"/>
      <c r="H459" s="1351"/>
      <c r="I459" s="1184"/>
      <c r="J459" s="1351"/>
      <c r="K459" s="1184"/>
      <c r="L459" s="1184"/>
      <c r="M459" s="1184"/>
      <c r="N459" s="1351"/>
      <c r="O459" s="1351"/>
      <c r="P459" s="1163"/>
      <c r="Q459" s="1163"/>
    </row>
    <row r="460" ht="12.75" customHeight="1">
      <c r="A460" s="1351"/>
      <c r="B460" s="1351"/>
      <c r="C460" s="1351"/>
      <c r="D460" s="1351"/>
      <c r="E460" s="1351"/>
      <c r="F460" s="1351"/>
      <c r="G460" s="1184"/>
      <c r="H460" s="1351"/>
      <c r="I460" s="1184"/>
      <c r="J460" s="1351"/>
      <c r="K460" s="1184"/>
      <c r="L460" s="1184"/>
      <c r="M460" s="1184"/>
      <c r="N460" s="1351"/>
      <c r="O460" s="1351"/>
      <c r="P460" s="1163"/>
      <c r="Q460" s="1163"/>
    </row>
    <row r="461" ht="12.75" customHeight="1">
      <c r="A461" s="1351"/>
      <c r="B461" s="1351"/>
      <c r="C461" s="1351"/>
      <c r="D461" s="1351"/>
      <c r="E461" s="1351"/>
      <c r="F461" s="1351"/>
      <c r="G461" s="1184"/>
      <c r="H461" s="1351"/>
      <c r="I461" s="1184"/>
      <c r="J461" s="1351"/>
      <c r="K461" s="1184"/>
      <c r="L461" s="1184"/>
      <c r="M461" s="1184"/>
      <c r="N461" s="1351"/>
      <c r="O461" s="1351"/>
      <c r="P461" s="1163"/>
      <c r="Q461" s="1163"/>
    </row>
    <row r="462" ht="12.75" customHeight="1">
      <c r="A462" s="1351"/>
      <c r="B462" s="1351"/>
      <c r="C462" s="1351"/>
      <c r="D462" s="1351"/>
      <c r="E462" s="1351"/>
      <c r="F462" s="1351"/>
      <c r="G462" s="1184"/>
      <c r="H462" s="1351"/>
      <c r="I462" s="1184"/>
      <c r="J462" s="1351"/>
      <c r="K462" s="1184"/>
      <c r="L462" s="1184"/>
      <c r="M462" s="1184"/>
      <c r="N462" s="1351"/>
      <c r="O462" s="1351"/>
      <c r="P462" s="1163"/>
      <c r="Q462" s="1163"/>
    </row>
    <row r="463" ht="12.75" customHeight="1">
      <c r="A463" s="1351"/>
      <c r="B463" s="1351"/>
      <c r="C463" s="1351"/>
      <c r="D463" s="1351"/>
      <c r="E463" s="1351"/>
      <c r="F463" s="1351"/>
      <c r="G463" s="1184"/>
      <c r="H463" s="1351"/>
      <c r="I463" s="1184"/>
      <c r="J463" s="1351"/>
      <c r="K463" s="1184"/>
      <c r="L463" s="1184"/>
      <c r="M463" s="1184"/>
      <c r="N463" s="1351"/>
      <c r="O463" s="1351"/>
      <c r="P463" s="1163"/>
      <c r="Q463" s="1163"/>
    </row>
    <row r="464" ht="12.75" customHeight="1">
      <c r="A464" s="1351"/>
      <c r="B464" s="1351"/>
      <c r="C464" s="1351"/>
      <c r="D464" s="1351"/>
      <c r="E464" s="1351"/>
      <c r="F464" s="1351"/>
      <c r="G464" s="1184"/>
      <c r="H464" s="1351"/>
      <c r="I464" s="1184"/>
      <c r="J464" s="1351"/>
      <c r="K464" s="1184"/>
      <c r="L464" s="1184"/>
      <c r="M464" s="1184"/>
      <c r="N464" s="1351"/>
      <c r="O464" s="1351"/>
      <c r="P464" s="1163"/>
      <c r="Q464" s="1163"/>
    </row>
    <row r="465" ht="12.75" customHeight="1">
      <c r="A465" s="1351"/>
      <c r="B465" s="1351"/>
      <c r="C465" s="1351"/>
      <c r="D465" s="1351"/>
      <c r="E465" s="1351"/>
      <c r="F465" s="1351"/>
      <c r="G465" s="1184"/>
      <c r="H465" s="1351"/>
      <c r="I465" s="1184"/>
      <c r="J465" s="1351"/>
      <c r="K465" s="1184"/>
      <c r="L465" s="1184"/>
      <c r="M465" s="1184"/>
      <c r="N465" s="1351"/>
      <c r="O465" s="1351"/>
      <c r="P465" s="1163"/>
      <c r="Q465" s="1163"/>
    </row>
    <row r="466" ht="12.75" customHeight="1">
      <c r="A466" s="1351"/>
      <c r="B466" s="1351"/>
      <c r="C466" s="1351"/>
      <c r="D466" s="1351"/>
      <c r="E466" s="1351"/>
      <c r="F466" s="1351"/>
      <c r="G466" s="1184"/>
      <c r="H466" s="1351"/>
      <c r="I466" s="1184"/>
      <c r="J466" s="1351"/>
      <c r="K466" s="1184"/>
      <c r="L466" s="1184"/>
      <c r="M466" s="1184"/>
      <c r="N466" s="1351"/>
      <c r="O466" s="1351"/>
      <c r="P466" s="1163"/>
      <c r="Q466" s="1163"/>
    </row>
    <row r="467" ht="12.75" customHeight="1">
      <c r="A467" s="1351"/>
      <c r="B467" s="1351"/>
      <c r="C467" s="1351"/>
      <c r="D467" s="1351"/>
      <c r="E467" s="1351"/>
      <c r="F467" s="1351"/>
      <c r="G467" s="1184"/>
      <c r="H467" s="1351"/>
      <c r="I467" s="1184"/>
      <c r="J467" s="1351"/>
      <c r="K467" s="1184"/>
      <c r="L467" s="1184"/>
      <c r="M467" s="1184"/>
      <c r="N467" s="1351"/>
      <c r="O467" s="1351"/>
      <c r="P467" s="1163"/>
      <c r="Q467" s="1163"/>
    </row>
    <row r="468" ht="12.75" customHeight="1">
      <c r="A468" s="1351"/>
      <c r="B468" s="1351"/>
      <c r="C468" s="1351"/>
      <c r="D468" s="1351"/>
      <c r="E468" s="1351"/>
      <c r="F468" s="1351"/>
      <c r="G468" s="1184"/>
      <c r="H468" s="1351"/>
      <c r="I468" s="1184"/>
      <c r="J468" s="1351"/>
      <c r="K468" s="1184"/>
      <c r="L468" s="1184"/>
      <c r="M468" s="1184"/>
      <c r="N468" s="1351"/>
      <c r="O468" s="1351"/>
      <c r="P468" s="1163"/>
      <c r="Q468" s="1163"/>
    </row>
    <row r="469" ht="12.75" customHeight="1">
      <c r="A469" s="1351"/>
      <c r="B469" s="1351"/>
      <c r="C469" s="1351"/>
      <c r="D469" s="1351"/>
      <c r="E469" s="1351"/>
      <c r="F469" s="1351"/>
      <c r="G469" s="1184"/>
      <c r="H469" s="1351"/>
      <c r="I469" s="1184"/>
      <c r="J469" s="1351"/>
      <c r="K469" s="1184"/>
      <c r="L469" s="1184"/>
      <c r="M469" s="1184"/>
      <c r="N469" s="1351"/>
      <c r="O469" s="1351"/>
      <c r="P469" s="1163"/>
      <c r="Q469" s="1163"/>
    </row>
    <row r="470" ht="12.75" customHeight="1">
      <c r="A470" s="1351"/>
      <c r="B470" s="1351"/>
      <c r="C470" s="1351"/>
      <c r="D470" s="1351"/>
      <c r="E470" s="1351"/>
      <c r="F470" s="1351"/>
      <c r="G470" s="1184"/>
      <c r="H470" s="1351"/>
      <c r="I470" s="1184"/>
      <c r="J470" s="1351"/>
      <c r="K470" s="1184"/>
      <c r="L470" s="1184"/>
      <c r="M470" s="1184"/>
      <c r="N470" s="1351"/>
      <c r="O470" s="1351"/>
      <c r="P470" s="1163"/>
      <c r="Q470" s="1163"/>
    </row>
    <row r="471" ht="12.75" customHeight="1">
      <c r="A471" s="1351"/>
      <c r="B471" s="1351"/>
      <c r="C471" s="1351"/>
      <c r="D471" s="1351"/>
      <c r="E471" s="1351"/>
      <c r="F471" s="1351"/>
      <c r="G471" s="1184"/>
      <c r="H471" s="1351"/>
      <c r="I471" s="1184"/>
      <c r="J471" s="1351"/>
      <c r="K471" s="1184"/>
      <c r="L471" s="1184"/>
      <c r="M471" s="1184"/>
      <c r="N471" s="1351"/>
      <c r="O471" s="1351"/>
      <c r="P471" s="1163"/>
      <c r="Q471" s="1163"/>
    </row>
    <row r="472" ht="12.75" customHeight="1">
      <c r="A472" s="1351"/>
      <c r="B472" s="1351"/>
      <c r="C472" s="1351"/>
      <c r="D472" s="1351"/>
      <c r="E472" s="1351"/>
      <c r="F472" s="1351"/>
      <c r="G472" s="1184"/>
      <c r="H472" s="1351"/>
      <c r="I472" s="1184"/>
      <c r="J472" s="1351"/>
      <c r="K472" s="1184"/>
      <c r="L472" s="1184"/>
      <c r="M472" s="1184"/>
      <c r="N472" s="1351"/>
      <c r="O472" s="1351"/>
      <c r="P472" s="1163"/>
      <c r="Q472" s="1163"/>
    </row>
    <row r="473" ht="12.75" customHeight="1">
      <c r="A473" s="1351"/>
      <c r="B473" s="1351"/>
      <c r="C473" s="1351"/>
      <c r="D473" s="1351"/>
      <c r="E473" s="1351"/>
      <c r="F473" s="1351"/>
      <c r="G473" s="1184"/>
      <c r="H473" s="1351"/>
      <c r="I473" s="1184"/>
      <c r="J473" s="1351"/>
      <c r="K473" s="1184"/>
      <c r="L473" s="1184"/>
      <c r="M473" s="1184"/>
      <c r="N473" s="1351"/>
      <c r="O473" s="1351"/>
      <c r="P473" s="1163"/>
      <c r="Q473" s="1163"/>
    </row>
    <row r="474" ht="12.75" customHeight="1">
      <c r="A474" s="1351"/>
      <c r="B474" s="1351"/>
      <c r="C474" s="1351"/>
      <c r="D474" s="1351"/>
      <c r="E474" s="1351"/>
      <c r="F474" s="1351"/>
      <c r="G474" s="1184"/>
      <c r="H474" s="1351"/>
      <c r="I474" s="1184"/>
      <c r="J474" s="1351"/>
      <c r="K474" s="1184"/>
      <c r="L474" s="1184"/>
      <c r="M474" s="1184"/>
      <c r="N474" s="1351"/>
      <c r="O474" s="1351"/>
      <c r="P474" s="1163"/>
      <c r="Q474" s="1163"/>
    </row>
    <row r="475" ht="12.75" customHeight="1">
      <c r="A475" s="1351"/>
      <c r="B475" s="1351"/>
      <c r="C475" s="1351"/>
      <c r="D475" s="1351"/>
      <c r="E475" s="1351"/>
      <c r="F475" s="1351"/>
      <c r="G475" s="1184"/>
      <c r="H475" s="1351"/>
      <c r="I475" s="1184"/>
      <c r="J475" s="1351"/>
      <c r="K475" s="1184"/>
      <c r="L475" s="1184"/>
      <c r="M475" s="1184"/>
      <c r="N475" s="1351"/>
      <c r="O475" s="1351"/>
      <c r="P475" s="1163"/>
      <c r="Q475" s="1163"/>
    </row>
    <row r="476" ht="12.75" customHeight="1">
      <c r="A476" s="1351"/>
      <c r="B476" s="1351"/>
      <c r="C476" s="1351"/>
      <c r="D476" s="1351"/>
      <c r="E476" s="1351"/>
      <c r="F476" s="1351"/>
      <c r="G476" s="1184"/>
      <c r="H476" s="1351"/>
      <c r="I476" s="1184"/>
      <c r="J476" s="1351"/>
      <c r="K476" s="1184"/>
      <c r="L476" s="1184"/>
      <c r="M476" s="1184"/>
      <c r="N476" s="1351"/>
      <c r="O476" s="1351"/>
      <c r="P476" s="1163"/>
      <c r="Q476" s="1163"/>
    </row>
    <row r="477" ht="12.75" customHeight="1">
      <c r="A477" s="1351"/>
      <c r="B477" s="1351"/>
      <c r="C477" s="1351"/>
      <c r="D477" s="1351"/>
      <c r="E477" s="1351"/>
      <c r="F477" s="1351"/>
      <c r="G477" s="1184"/>
      <c r="H477" s="1351"/>
      <c r="I477" s="1184"/>
      <c r="J477" s="1351"/>
      <c r="K477" s="1184"/>
      <c r="L477" s="1184"/>
      <c r="M477" s="1184"/>
      <c r="N477" s="1351"/>
      <c r="O477" s="1351"/>
      <c r="P477" s="1163"/>
      <c r="Q477" s="1163"/>
    </row>
    <row r="478" ht="12.75" customHeight="1">
      <c r="A478" s="1351"/>
      <c r="B478" s="1351"/>
      <c r="C478" s="1351"/>
      <c r="D478" s="1351"/>
      <c r="E478" s="1351"/>
      <c r="F478" s="1351"/>
      <c r="G478" s="1184"/>
      <c r="H478" s="1351"/>
      <c r="I478" s="1184"/>
      <c r="J478" s="1351"/>
      <c r="K478" s="1184"/>
      <c r="L478" s="1184"/>
      <c r="M478" s="1184"/>
      <c r="N478" s="1351"/>
      <c r="O478" s="1351"/>
      <c r="P478" s="1163"/>
      <c r="Q478" s="1163"/>
    </row>
    <row r="479" ht="12.75" customHeight="1">
      <c r="A479" s="1351"/>
      <c r="B479" s="1351"/>
      <c r="C479" s="1351"/>
      <c r="D479" s="1351"/>
      <c r="E479" s="1351"/>
      <c r="F479" s="1351"/>
      <c r="G479" s="1184"/>
      <c r="H479" s="1351"/>
      <c r="I479" s="1184"/>
      <c r="J479" s="1351"/>
      <c r="K479" s="1184"/>
      <c r="L479" s="1184"/>
      <c r="M479" s="1184"/>
      <c r="N479" s="1351"/>
      <c r="O479" s="1351"/>
      <c r="P479" s="1163"/>
      <c r="Q479" s="1163"/>
    </row>
    <row r="480" ht="12.75" customHeight="1">
      <c r="A480" s="1351"/>
      <c r="B480" s="1351"/>
      <c r="C480" s="1351"/>
      <c r="D480" s="1351"/>
      <c r="E480" s="1351"/>
      <c r="F480" s="1351"/>
      <c r="G480" s="1184"/>
      <c r="H480" s="1351"/>
      <c r="I480" s="1184"/>
      <c r="J480" s="1351"/>
      <c r="K480" s="1184"/>
      <c r="L480" s="1184"/>
      <c r="M480" s="1184"/>
      <c r="N480" s="1351"/>
      <c r="O480" s="1351"/>
      <c r="P480" s="1163"/>
      <c r="Q480" s="1163"/>
    </row>
    <row r="481" ht="12.75" customHeight="1">
      <c r="A481" s="1351"/>
      <c r="B481" s="1351"/>
      <c r="C481" s="1351"/>
      <c r="D481" s="1351"/>
      <c r="E481" s="1351"/>
      <c r="F481" s="1351"/>
      <c r="G481" s="1184"/>
      <c r="H481" s="1351"/>
      <c r="I481" s="1184"/>
      <c r="J481" s="1351"/>
      <c r="K481" s="1184"/>
      <c r="L481" s="1184"/>
      <c r="M481" s="1184"/>
      <c r="N481" s="1351"/>
      <c r="O481" s="1351"/>
      <c r="P481" s="1163"/>
      <c r="Q481" s="1163"/>
    </row>
    <row r="482" ht="12.75" customHeight="1">
      <c r="A482" s="1351"/>
      <c r="B482" s="1351"/>
      <c r="C482" s="1351"/>
      <c r="D482" s="1351"/>
      <c r="E482" s="1351"/>
      <c r="F482" s="1351"/>
      <c r="G482" s="1184"/>
      <c r="H482" s="1351"/>
      <c r="I482" s="1184"/>
      <c r="J482" s="1351"/>
      <c r="K482" s="1184"/>
      <c r="L482" s="1184"/>
      <c r="M482" s="1184"/>
      <c r="N482" s="1351"/>
      <c r="O482" s="1351"/>
      <c r="P482" s="1163"/>
      <c r="Q482" s="1163"/>
    </row>
    <row r="483" ht="12.75" customHeight="1">
      <c r="A483" s="1351"/>
      <c r="B483" s="1351"/>
      <c r="C483" s="1351"/>
      <c r="D483" s="1351"/>
      <c r="E483" s="1351"/>
      <c r="F483" s="1351"/>
      <c r="G483" s="1184"/>
      <c r="H483" s="1351"/>
      <c r="I483" s="1184"/>
      <c r="J483" s="1351"/>
      <c r="K483" s="1184"/>
      <c r="L483" s="1184"/>
      <c r="M483" s="1184"/>
      <c r="N483" s="1351"/>
      <c r="O483" s="1351"/>
      <c r="P483" s="1163"/>
      <c r="Q483" s="1163"/>
    </row>
    <row r="484" ht="12.75" customHeight="1">
      <c r="A484" s="1351"/>
      <c r="B484" s="1351"/>
      <c r="C484" s="1351"/>
      <c r="D484" s="1351"/>
      <c r="E484" s="1351"/>
      <c r="F484" s="1351"/>
      <c r="G484" s="1184"/>
      <c r="H484" s="1351"/>
      <c r="I484" s="1184"/>
      <c r="J484" s="1351"/>
      <c r="K484" s="1184"/>
      <c r="L484" s="1184"/>
      <c r="M484" s="1184"/>
      <c r="N484" s="1351"/>
      <c r="O484" s="1351"/>
      <c r="P484" s="1163"/>
      <c r="Q484" s="1163"/>
    </row>
    <row r="485" ht="12.75" customHeight="1">
      <c r="A485" s="1351"/>
      <c r="B485" s="1351"/>
      <c r="C485" s="1351"/>
      <c r="D485" s="1351"/>
      <c r="E485" s="1351"/>
      <c r="F485" s="1351"/>
      <c r="G485" s="1184"/>
      <c r="H485" s="1351"/>
      <c r="I485" s="1184"/>
      <c r="J485" s="1351"/>
      <c r="K485" s="1184"/>
      <c r="L485" s="1184"/>
      <c r="M485" s="1184"/>
      <c r="N485" s="1351"/>
      <c r="O485" s="1351"/>
      <c r="P485" s="1163"/>
      <c r="Q485" s="1163"/>
    </row>
    <row r="486" ht="12.75" customHeight="1">
      <c r="A486" s="1351"/>
      <c r="B486" s="1351"/>
      <c r="C486" s="1351"/>
      <c r="D486" s="1351"/>
      <c r="E486" s="1351"/>
      <c r="F486" s="1351"/>
      <c r="G486" s="1184"/>
      <c r="H486" s="1351"/>
      <c r="I486" s="1184"/>
      <c r="J486" s="1351"/>
      <c r="K486" s="1184"/>
      <c r="L486" s="1184"/>
      <c r="M486" s="1184"/>
      <c r="N486" s="1351"/>
      <c r="O486" s="1351"/>
      <c r="P486" s="1163"/>
      <c r="Q486" s="1163"/>
    </row>
    <row r="487" ht="12.75" customHeight="1">
      <c r="A487" s="1351"/>
      <c r="B487" s="1351"/>
      <c r="C487" s="1351"/>
      <c r="D487" s="1351"/>
      <c r="E487" s="1351"/>
      <c r="F487" s="1351"/>
      <c r="G487" s="1184"/>
      <c r="H487" s="1351"/>
      <c r="I487" s="1184"/>
      <c r="J487" s="1351"/>
      <c r="K487" s="1184"/>
      <c r="L487" s="1184"/>
      <c r="M487" s="1184"/>
      <c r="N487" s="1351"/>
      <c r="O487" s="1351"/>
      <c r="P487" s="1163"/>
      <c r="Q487" s="1163"/>
    </row>
    <row r="488" ht="12.75" customHeight="1">
      <c r="A488" s="1351"/>
      <c r="B488" s="1351"/>
      <c r="C488" s="1351"/>
      <c r="D488" s="1351"/>
      <c r="E488" s="1351"/>
      <c r="F488" s="1351"/>
      <c r="G488" s="1184"/>
      <c r="H488" s="1351"/>
      <c r="I488" s="1184"/>
      <c r="J488" s="1351"/>
      <c r="K488" s="1184"/>
      <c r="L488" s="1184"/>
      <c r="M488" s="1184"/>
      <c r="N488" s="1351"/>
      <c r="O488" s="1351"/>
      <c r="P488" s="1163"/>
      <c r="Q488" s="1163"/>
    </row>
    <row r="489" ht="12.75" customHeight="1">
      <c r="A489" s="1351"/>
      <c r="B489" s="1351"/>
      <c r="C489" s="1351"/>
      <c r="D489" s="1351"/>
      <c r="E489" s="1351"/>
      <c r="F489" s="1351"/>
      <c r="G489" s="1184"/>
      <c r="H489" s="1351"/>
      <c r="I489" s="1184"/>
      <c r="J489" s="1351"/>
      <c r="K489" s="1184"/>
      <c r="L489" s="1184"/>
      <c r="M489" s="1184"/>
      <c r="N489" s="1351"/>
      <c r="O489" s="1351"/>
      <c r="P489" s="1163"/>
      <c r="Q489" s="1163"/>
    </row>
    <row r="490" ht="12.75" customHeight="1">
      <c r="A490" s="1351"/>
      <c r="B490" s="1351"/>
      <c r="C490" s="1351"/>
      <c r="D490" s="1351"/>
      <c r="E490" s="1351"/>
      <c r="F490" s="1351"/>
      <c r="G490" s="1184"/>
      <c r="H490" s="1351"/>
      <c r="I490" s="1184"/>
      <c r="J490" s="1351"/>
      <c r="K490" s="1184"/>
      <c r="L490" s="1184"/>
      <c r="M490" s="1184"/>
      <c r="N490" s="1351"/>
      <c r="O490" s="1351"/>
      <c r="P490" s="1163"/>
      <c r="Q490" s="1163"/>
    </row>
    <row r="491" ht="12.75" customHeight="1">
      <c r="A491" s="1351"/>
      <c r="B491" s="1351"/>
      <c r="C491" s="1351"/>
      <c r="D491" s="1351"/>
      <c r="E491" s="1351"/>
      <c r="F491" s="1351"/>
      <c r="G491" s="1184"/>
      <c r="H491" s="1351"/>
      <c r="I491" s="1184"/>
      <c r="J491" s="1351"/>
      <c r="K491" s="1184"/>
      <c r="L491" s="1184"/>
      <c r="M491" s="1184"/>
      <c r="N491" s="1351"/>
      <c r="O491" s="1351"/>
      <c r="P491" s="1163"/>
      <c r="Q491" s="1163"/>
    </row>
    <row r="492" ht="12.75" customHeight="1">
      <c r="A492" s="1351"/>
      <c r="B492" s="1351"/>
      <c r="C492" s="1351"/>
      <c r="D492" s="1351"/>
      <c r="E492" s="1351"/>
      <c r="F492" s="1351"/>
      <c r="G492" s="1184"/>
      <c r="H492" s="1351"/>
      <c r="I492" s="1184"/>
      <c r="J492" s="1351"/>
      <c r="K492" s="1184"/>
      <c r="L492" s="1184"/>
      <c r="M492" s="1184"/>
      <c r="N492" s="1351"/>
      <c r="O492" s="1351"/>
      <c r="P492" s="1163"/>
      <c r="Q492" s="1163"/>
    </row>
    <row r="493" ht="12.75" customHeight="1">
      <c r="A493" s="1351"/>
      <c r="B493" s="1351"/>
      <c r="C493" s="1351"/>
      <c r="D493" s="1351"/>
      <c r="E493" s="1351"/>
      <c r="F493" s="1351"/>
      <c r="G493" s="1184"/>
      <c r="H493" s="1351"/>
      <c r="I493" s="1184"/>
      <c r="J493" s="1351"/>
      <c r="K493" s="1184"/>
      <c r="L493" s="1184"/>
      <c r="M493" s="1184"/>
      <c r="N493" s="1351"/>
      <c r="O493" s="1351"/>
      <c r="P493" s="1163"/>
      <c r="Q493" s="1163"/>
    </row>
    <row r="494" ht="12.75" customHeight="1">
      <c r="A494" s="1351"/>
      <c r="B494" s="1351"/>
      <c r="C494" s="1351"/>
      <c r="D494" s="1351"/>
      <c r="E494" s="1351"/>
      <c r="F494" s="1351"/>
      <c r="G494" s="1184"/>
      <c r="H494" s="1351"/>
      <c r="I494" s="1184"/>
      <c r="J494" s="1351"/>
      <c r="K494" s="1184"/>
      <c r="L494" s="1184"/>
      <c r="M494" s="1184"/>
      <c r="N494" s="1351"/>
      <c r="O494" s="1351"/>
      <c r="P494" s="1163"/>
      <c r="Q494" s="1163"/>
    </row>
    <row r="495" ht="12.75" customHeight="1">
      <c r="A495" s="1351"/>
      <c r="B495" s="1351"/>
      <c r="C495" s="1351"/>
      <c r="D495" s="1351"/>
      <c r="E495" s="1351"/>
      <c r="F495" s="1351"/>
      <c r="G495" s="1184"/>
      <c r="H495" s="1351"/>
      <c r="I495" s="1184"/>
      <c r="J495" s="1351"/>
      <c r="K495" s="1184"/>
      <c r="L495" s="1184"/>
      <c r="M495" s="1184"/>
      <c r="N495" s="1351"/>
      <c r="O495" s="1351"/>
      <c r="P495" s="1163"/>
      <c r="Q495" s="1163"/>
    </row>
    <row r="496" ht="12.75" customHeight="1">
      <c r="A496" s="1351"/>
      <c r="B496" s="1351"/>
      <c r="C496" s="1351"/>
      <c r="D496" s="1351"/>
      <c r="E496" s="1351"/>
      <c r="F496" s="1351"/>
      <c r="G496" s="1184"/>
      <c r="H496" s="1351"/>
      <c r="I496" s="1184"/>
      <c r="J496" s="1351"/>
      <c r="K496" s="1184"/>
      <c r="L496" s="1184"/>
      <c r="M496" s="1184"/>
      <c r="N496" s="1351"/>
      <c r="O496" s="1351"/>
      <c r="P496" s="1163"/>
      <c r="Q496" s="1163"/>
    </row>
    <row r="497" ht="12.75" customHeight="1">
      <c r="A497" s="1351"/>
      <c r="B497" s="1351"/>
      <c r="C497" s="1351"/>
      <c r="D497" s="1351"/>
      <c r="E497" s="1351"/>
      <c r="F497" s="1351"/>
      <c r="G497" s="1184"/>
      <c r="H497" s="1351"/>
      <c r="I497" s="1184"/>
      <c r="J497" s="1351"/>
      <c r="K497" s="1184"/>
      <c r="L497" s="1184"/>
      <c r="M497" s="1184"/>
      <c r="N497" s="1351"/>
      <c r="O497" s="1351"/>
      <c r="P497" s="1163"/>
      <c r="Q497" s="1163"/>
    </row>
    <row r="498" ht="12.75" customHeight="1">
      <c r="A498" s="1351"/>
      <c r="B498" s="1351"/>
      <c r="C498" s="1351"/>
      <c r="D498" s="1351"/>
      <c r="E498" s="1351"/>
      <c r="F498" s="1351"/>
      <c r="G498" s="1184"/>
      <c r="H498" s="1351"/>
      <c r="I498" s="1184"/>
      <c r="J498" s="1351"/>
      <c r="K498" s="1184"/>
      <c r="L498" s="1184"/>
      <c r="M498" s="1184"/>
      <c r="N498" s="1351"/>
      <c r="O498" s="1351"/>
      <c r="P498" s="1163"/>
      <c r="Q498" s="1163"/>
    </row>
    <row r="499" ht="12.75" customHeight="1">
      <c r="A499" s="1351"/>
      <c r="B499" s="1351"/>
      <c r="C499" s="1351"/>
      <c r="D499" s="1351"/>
      <c r="E499" s="1351"/>
      <c r="F499" s="1351"/>
      <c r="G499" s="1184"/>
      <c r="H499" s="1351"/>
      <c r="I499" s="1184"/>
      <c r="J499" s="1351"/>
      <c r="K499" s="1184"/>
      <c r="L499" s="1184"/>
      <c r="M499" s="1184"/>
      <c r="N499" s="1351"/>
      <c r="O499" s="1351"/>
      <c r="P499" s="1163"/>
      <c r="Q499" s="1163"/>
    </row>
    <row r="500" ht="12.75" customHeight="1">
      <c r="A500" s="1351"/>
      <c r="B500" s="1351"/>
      <c r="C500" s="1351"/>
      <c r="D500" s="1351"/>
      <c r="E500" s="1351"/>
      <c r="F500" s="1351"/>
      <c r="G500" s="1184"/>
      <c r="H500" s="1351"/>
      <c r="I500" s="1184"/>
      <c r="J500" s="1351"/>
      <c r="K500" s="1184"/>
      <c r="L500" s="1184"/>
      <c r="M500" s="1184"/>
      <c r="N500" s="1351"/>
      <c r="O500" s="1351"/>
      <c r="P500" s="1163"/>
      <c r="Q500" s="1163"/>
    </row>
    <row r="501" ht="12.75" customHeight="1">
      <c r="A501" s="1351"/>
      <c r="B501" s="1351"/>
      <c r="C501" s="1351"/>
      <c r="D501" s="1351"/>
      <c r="E501" s="1351"/>
      <c r="F501" s="1351"/>
      <c r="G501" s="1184"/>
      <c r="H501" s="1351"/>
      <c r="I501" s="1184"/>
      <c r="J501" s="1351"/>
      <c r="K501" s="1184"/>
      <c r="L501" s="1184"/>
      <c r="M501" s="1184"/>
      <c r="N501" s="1351"/>
      <c r="O501" s="1351"/>
      <c r="P501" s="1163"/>
      <c r="Q501" s="1163"/>
    </row>
    <row r="502" ht="12.75" customHeight="1">
      <c r="A502" s="1351"/>
      <c r="B502" s="1351"/>
      <c r="C502" s="1351"/>
      <c r="D502" s="1351"/>
      <c r="E502" s="1351"/>
      <c r="F502" s="1351"/>
      <c r="G502" s="1184"/>
      <c r="H502" s="1351"/>
      <c r="I502" s="1184"/>
      <c r="J502" s="1351"/>
      <c r="K502" s="1184"/>
      <c r="L502" s="1184"/>
      <c r="M502" s="1184"/>
      <c r="N502" s="1351"/>
      <c r="O502" s="1351"/>
      <c r="P502" s="1163"/>
      <c r="Q502" s="1163"/>
    </row>
    <row r="503" ht="12.75" customHeight="1">
      <c r="A503" s="1351"/>
      <c r="B503" s="1351"/>
      <c r="C503" s="1351"/>
      <c r="D503" s="1351"/>
      <c r="E503" s="1351"/>
      <c r="F503" s="1351"/>
      <c r="G503" s="1184"/>
      <c r="H503" s="1351"/>
      <c r="I503" s="1184"/>
      <c r="J503" s="1351"/>
      <c r="K503" s="1184"/>
      <c r="L503" s="1184"/>
      <c r="M503" s="1184"/>
      <c r="N503" s="1351"/>
      <c r="O503" s="1351"/>
      <c r="P503" s="1163"/>
      <c r="Q503" s="1163"/>
    </row>
    <row r="504" ht="12.75" customHeight="1">
      <c r="A504" s="1351"/>
      <c r="B504" s="1351"/>
      <c r="C504" s="1351"/>
      <c r="D504" s="1351"/>
      <c r="E504" s="1351"/>
      <c r="F504" s="1351"/>
      <c r="G504" s="1184"/>
      <c r="H504" s="1351"/>
      <c r="I504" s="1184"/>
      <c r="J504" s="1351"/>
      <c r="K504" s="1184"/>
      <c r="L504" s="1184"/>
      <c r="M504" s="1184"/>
      <c r="N504" s="1351"/>
      <c r="O504" s="1351"/>
      <c r="P504" s="1163"/>
      <c r="Q504" s="1163"/>
    </row>
    <row r="505" ht="12.75" customHeight="1">
      <c r="A505" s="1351"/>
      <c r="B505" s="1351"/>
      <c r="C505" s="1351"/>
      <c r="D505" s="1351"/>
      <c r="E505" s="1351"/>
      <c r="F505" s="1351"/>
      <c r="G505" s="1184"/>
      <c r="H505" s="1351"/>
      <c r="I505" s="1184"/>
      <c r="J505" s="1351"/>
      <c r="K505" s="1184"/>
      <c r="L505" s="1184"/>
      <c r="M505" s="1184"/>
      <c r="N505" s="1351"/>
      <c r="O505" s="1351"/>
      <c r="P505" s="1163"/>
      <c r="Q505" s="1163"/>
    </row>
    <row r="506" ht="12.75" customHeight="1">
      <c r="A506" s="1351"/>
      <c r="B506" s="1351"/>
      <c r="C506" s="1351"/>
      <c r="D506" s="1351"/>
      <c r="E506" s="1351"/>
      <c r="F506" s="1351"/>
      <c r="G506" s="1184"/>
      <c r="H506" s="1351"/>
      <c r="I506" s="1184"/>
      <c r="J506" s="1351"/>
      <c r="K506" s="1184"/>
      <c r="L506" s="1184"/>
      <c r="M506" s="1184"/>
      <c r="N506" s="1351"/>
      <c r="O506" s="1351"/>
      <c r="P506" s="1163"/>
      <c r="Q506" s="1163"/>
    </row>
    <row r="507" ht="12.75" customHeight="1">
      <c r="A507" s="1351"/>
      <c r="B507" s="1351"/>
      <c r="C507" s="1351"/>
      <c r="D507" s="1351"/>
      <c r="E507" s="1351"/>
      <c r="F507" s="1351"/>
      <c r="G507" s="1184"/>
      <c r="H507" s="1351"/>
      <c r="I507" s="1184"/>
      <c r="J507" s="1351"/>
      <c r="K507" s="1184"/>
      <c r="L507" s="1184"/>
      <c r="M507" s="1184"/>
      <c r="N507" s="1351"/>
      <c r="O507" s="1351"/>
      <c r="P507" s="1163"/>
      <c r="Q507" s="1163"/>
    </row>
    <row r="508" ht="12.75" customHeight="1">
      <c r="A508" s="1351"/>
      <c r="B508" s="1351"/>
      <c r="C508" s="1351"/>
      <c r="D508" s="1351"/>
      <c r="E508" s="1351"/>
      <c r="F508" s="1351"/>
      <c r="G508" s="1184"/>
      <c r="H508" s="1351"/>
      <c r="I508" s="1184"/>
      <c r="J508" s="1351"/>
      <c r="K508" s="1184"/>
      <c r="L508" s="1184"/>
      <c r="M508" s="1184"/>
      <c r="N508" s="1351"/>
      <c r="O508" s="1351"/>
      <c r="P508" s="1163"/>
      <c r="Q508" s="1163"/>
    </row>
    <row r="509" ht="12.75" customHeight="1">
      <c r="A509" s="1351"/>
      <c r="B509" s="1351"/>
      <c r="C509" s="1351"/>
      <c r="D509" s="1351"/>
      <c r="E509" s="1351"/>
      <c r="F509" s="1351"/>
      <c r="G509" s="1184"/>
      <c r="H509" s="1351"/>
      <c r="I509" s="1184"/>
      <c r="J509" s="1351"/>
      <c r="K509" s="1184"/>
      <c r="L509" s="1184"/>
      <c r="M509" s="1184"/>
      <c r="N509" s="1351"/>
      <c r="O509" s="1351"/>
      <c r="P509" s="1163"/>
      <c r="Q509" s="1163"/>
    </row>
    <row r="510" ht="12.75" customHeight="1">
      <c r="A510" s="1351"/>
      <c r="B510" s="1351"/>
      <c r="C510" s="1351"/>
      <c r="D510" s="1351"/>
      <c r="E510" s="1351"/>
      <c r="F510" s="1351"/>
      <c r="G510" s="1184"/>
      <c r="H510" s="1351"/>
      <c r="I510" s="1184"/>
      <c r="J510" s="1351"/>
      <c r="K510" s="1184"/>
      <c r="L510" s="1184"/>
      <c r="M510" s="1184"/>
      <c r="N510" s="1351"/>
      <c r="O510" s="1351"/>
      <c r="P510" s="1163"/>
      <c r="Q510" s="1163"/>
    </row>
    <row r="511" ht="12.75" customHeight="1">
      <c r="A511" s="1351"/>
      <c r="B511" s="1351"/>
      <c r="C511" s="1351"/>
      <c r="D511" s="1351"/>
      <c r="E511" s="1351"/>
      <c r="F511" s="1351"/>
      <c r="G511" s="1184"/>
      <c r="H511" s="1351"/>
      <c r="I511" s="1184"/>
      <c r="J511" s="1351"/>
      <c r="K511" s="1184"/>
      <c r="L511" s="1184"/>
      <c r="M511" s="1184"/>
      <c r="N511" s="1351"/>
      <c r="O511" s="1351"/>
      <c r="P511" s="1163"/>
      <c r="Q511" s="1163"/>
    </row>
    <row r="512" ht="12.75" customHeight="1">
      <c r="A512" s="1351"/>
      <c r="B512" s="1351"/>
      <c r="C512" s="1351"/>
      <c r="D512" s="1351"/>
      <c r="E512" s="1351"/>
      <c r="F512" s="1351"/>
      <c r="G512" s="1184"/>
      <c r="H512" s="1351"/>
      <c r="I512" s="1184"/>
      <c r="J512" s="1351"/>
      <c r="K512" s="1184"/>
      <c r="L512" s="1184"/>
      <c r="M512" s="1184"/>
      <c r="N512" s="1351"/>
      <c r="O512" s="1351"/>
      <c r="P512" s="1163"/>
      <c r="Q512" s="1163"/>
    </row>
    <row r="513" ht="12.75" customHeight="1">
      <c r="A513" s="1351"/>
      <c r="B513" s="1351"/>
      <c r="C513" s="1351"/>
      <c r="D513" s="1351"/>
      <c r="E513" s="1351"/>
      <c r="F513" s="1351"/>
      <c r="G513" s="1184"/>
      <c r="H513" s="1351"/>
      <c r="I513" s="1184"/>
      <c r="J513" s="1351"/>
      <c r="K513" s="1184"/>
      <c r="L513" s="1184"/>
      <c r="M513" s="1184"/>
      <c r="N513" s="1351"/>
      <c r="O513" s="1351"/>
      <c r="P513" s="1163"/>
      <c r="Q513" s="1163"/>
    </row>
    <row r="514" ht="12.75" customHeight="1">
      <c r="A514" s="1351"/>
      <c r="B514" s="1351"/>
      <c r="C514" s="1351"/>
      <c r="D514" s="1351"/>
      <c r="E514" s="1351"/>
      <c r="F514" s="1351"/>
      <c r="G514" s="1184"/>
      <c r="H514" s="1351"/>
      <c r="I514" s="1184"/>
      <c r="J514" s="1351"/>
      <c r="K514" s="1184"/>
      <c r="L514" s="1184"/>
      <c r="M514" s="1184"/>
      <c r="N514" s="1351"/>
      <c r="O514" s="1351"/>
      <c r="P514" s="1163"/>
      <c r="Q514" s="1163"/>
    </row>
    <row r="515" ht="12.75" customHeight="1">
      <c r="A515" s="1351"/>
      <c r="B515" s="1351"/>
      <c r="C515" s="1351"/>
      <c r="D515" s="1351"/>
      <c r="E515" s="1351"/>
      <c r="F515" s="1351"/>
      <c r="G515" s="1184"/>
      <c r="H515" s="1351"/>
      <c r="I515" s="1184"/>
      <c r="J515" s="1351"/>
      <c r="K515" s="1184"/>
      <c r="L515" s="1184"/>
      <c r="M515" s="1184"/>
      <c r="N515" s="1351"/>
      <c r="O515" s="1351"/>
      <c r="P515" s="1163"/>
      <c r="Q515" s="1163"/>
    </row>
    <row r="516" ht="12.75" customHeight="1">
      <c r="A516" s="1351"/>
      <c r="B516" s="1351"/>
      <c r="C516" s="1351"/>
      <c r="D516" s="1351"/>
      <c r="E516" s="1351"/>
      <c r="F516" s="1351"/>
      <c r="G516" s="1184"/>
      <c r="H516" s="1351"/>
      <c r="I516" s="1184"/>
      <c r="J516" s="1351"/>
      <c r="K516" s="1184"/>
      <c r="L516" s="1184"/>
      <c r="M516" s="1184"/>
      <c r="N516" s="1351"/>
      <c r="O516" s="1351"/>
      <c r="P516" s="1163"/>
      <c r="Q516" s="1163"/>
    </row>
    <row r="517" ht="12.75" customHeight="1">
      <c r="A517" s="1351"/>
      <c r="B517" s="1351"/>
      <c r="C517" s="1351"/>
      <c r="D517" s="1351"/>
      <c r="E517" s="1351"/>
      <c r="F517" s="1351"/>
      <c r="G517" s="1184"/>
      <c r="H517" s="1351"/>
      <c r="I517" s="1184"/>
      <c r="J517" s="1351"/>
      <c r="K517" s="1184"/>
      <c r="L517" s="1184"/>
      <c r="M517" s="1184"/>
      <c r="N517" s="1351"/>
      <c r="O517" s="1351"/>
      <c r="P517" s="1163"/>
      <c r="Q517" s="1163"/>
    </row>
    <row r="518" ht="12.75" customHeight="1">
      <c r="A518" s="1351"/>
      <c r="B518" s="1351"/>
      <c r="C518" s="1351"/>
      <c r="D518" s="1351"/>
      <c r="E518" s="1351"/>
      <c r="F518" s="1351"/>
      <c r="G518" s="1184"/>
      <c r="H518" s="1351"/>
      <c r="I518" s="1184"/>
      <c r="J518" s="1351"/>
      <c r="K518" s="1184"/>
      <c r="L518" s="1184"/>
      <c r="M518" s="1184"/>
      <c r="N518" s="1351"/>
      <c r="O518" s="1351"/>
      <c r="P518" s="1163"/>
      <c r="Q518" s="1163"/>
    </row>
    <row r="519" ht="12.75" customHeight="1">
      <c r="A519" s="1351"/>
      <c r="B519" s="1351"/>
      <c r="C519" s="1351"/>
      <c r="D519" s="1351"/>
      <c r="E519" s="1351"/>
      <c r="F519" s="1351"/>
      <c r="G519" s="1184"/>
      <c r="H519" s="1351"/>
      <c r="I519" s="1184"/>
      <c r="J519" s="1351"/>
      <c r="K519" s="1184"/>
      <c r="L519" s="1184"/>
      <c r="M519" s="1184"/>
      <c r="N519" s="1351"/>
      <c r="O519" s="1351"/>
      <c r="P519" s="1163"/>
      <c r="Q519" s="1163"/>
    </row>
    <row r="520" ht="12.75" customHeight="1">
      <c r="A520" s="1351"/>
      <c r="B520" s="1351"/>
      <c r="C520" s="1351"/>
      <c r="D520" s="1351"/>
      <c r="E520" s="1351"/>
      <c r="F520" s="1351"/>
      <c r="G520" s="1184"/>
      <c r="H520" s="1351"/>
      <c r="I520" s="1184"/>
      <c r="J520" s="1351"/>
      <c r="K520" s="1184"/>
      <c r="L520" s="1184"/>
      <c r="M520" s="1184"/>
      <c r="N520" s="1351"/>
      <c r="O520" s="1351"/>
      <c r="P520" s="1163"/>
      <c r="Q520" s="1163"/>
    </row>
    <row r="521" ht="12.75" customHeight="1">
      <c r="A521" s="1351"/>
      <c r="B521" s="1351"/>
      <c r="C521" s="1351"/>
      <c r="D521" s="1351"/>
      <c r="E521" s="1351"/>
      <c r="F521" s="1351"/>
      <c r="G521" s="1184"/>
      <c r="H521" s="1351"/>
      <c r="I521" s="1184"/>
      <c r="J521" s="1351"/>
      <c r="K521" s="1184"/>
      <c r="L521" s="1184"/>
      <c r="M521" s="1184"/>
      <c r="N521" s="1351"/>
      <c r="O521" s="1351"/>
      <c r="P521" s="1163"/>
      <c r="Q521" s="1163"/>
    </row>
    <row r="522" ht="12.75" customHeight="1">
      <c r="A522" s="1351"/>
      <c r="B522" s="1351"/>
      <c r="C522" s="1351"/>
      <c r="D522" s="1351"/>
      <c r="E522" s="1351"/>
      <c r="F522" s="1351"/>
      <c r="G522" s="1184"/>
      <c r="H522" s="1351"/>
      <c r="I522" s="1184"/>
      <c r="J522" s="1351"/>
      <c r="K522" s="1184"/>
      <c r="L522" s="1184"/>
      <c r="M522" s="1184"/>
      <c r="N522" s="1351"/>
      <c r="O522" s="1351"/>
      <c r="P522" s="1163"/>
      <c r="Q522" s="1163"/>
    </row>
    <row r="523" ht="12.75" customHeight="1">
      <c r="A523" s="1351"/>
      <c r="B523" s="1351"/>
      <c r="C523" s="1351"/>
      <c r="D523" s="1351"/>
      <c r="E523" s="1351"/>
      <c r="F523" s="1351"/>
      <c r="G523" s="1184"/>
      <c r="H523" s="1351"/>
      <c r="I523" s="1184"/>
      <c r="J523" s="1351"/>
      <c r="K523" s="1184"/>
      <c r="L523" s="1184"/>
      <c r="M523" s="1184"/>
      <c r="N523" s="1351"/>
      <c r="O523" s="1351"/>
      <c r="P523" s="1163"/>
      <c r="Q523" s="1163"/>
    </row>
    <row r="524" ht="12.75" customHeight="1">
      <c r="A524" s="1351"/>
      <c r="B524" s="1351"/>
      <c r="C524" s="1351"/>
      <c r="D524" s="1351"/>
      <c r="E524" s="1351"/>
      <c r="F524" s="1351"/>
      <c r="G524" s="1184"/>
      <c r="H524" s="1351"/>
      <c r="I524" s="1184"/>
      <c r="J524" s="1351"/>
      <c r="K524" s="1184"/>
      <c r="L524" s="1184"/>
      <c r="M524" s="1184"/>
      <c r="N524" s="1351"/>
      <c r="O524" s="1351"/>
      <c r="P524" s="1163"/>
      <c r="Q524" s="1163"/>
    </row>
    <row r="525" ht="12.75" customHeight="1">
      <c r="A525" s="1351"/>
      <c r="B525" s="1351"/>
      <c r="C525" s="1351"/>
      <c r="D525" s="1351"/>
      <c r="E525" s="1351"/>
      <c r="F525" s="1351"/>
      <c r="G525" s="1184"/>
      <c r="H525" s="1351"/>
      <c r="I525" s="1184"/>
      <c r="J525" s="1351"/>
      <c r="K525" s="1184"/>
      <c r="L525" s="1184"/>
      <c r="M525" s="1184"/>
      <c r="N525" s="1351"/>
      <c r="O525" s="1351"/>
      <c r="P525" s="1163"/>
      <c r="Q525" s="1163"/>
    </row>
    <row r="526" ht="12.75" customHeight="1">
      <c r="A526" s="1351"/>
      <c r="B526" s="1351"/>
      <c r="C526" s="1351"/>
      <c r="D526" s="1351"/>
      <c r="E526" s="1351"/>
      <c r="F526" s="1351"/>
      <c r="G526" s="1184"/>
      <c r="H526" s="1351"/>
      <c r="I526" s="1184"/>
      <c r="J526" s="1351"/>
      <c r="K526" s="1184"/>
      <c r="L526" s="1184"/>
      <c r="M526" s="1184"/>
      <c r="N526" s="1351"/>
      <c r="O526" s="1351"/>
      <c r="P526" s="1163"/>
      <c r="Q526" s="1163"/>
    </row>
    <row r="527" ht="12.75" customHeight="1">
      <c r="A527" s="1351"/>
      <c r="B527" s="1351"/>
      <c r="C527" s="1351"/>
      <c r="D527" s="1351"/>
      <c r="E527" s="1351"/>
      <c r="F527" s="1351"/>
      <c r="G527" s="1184"/>
      <c r="H527" s="1351"/>
      <c r="I527" s="1184"/>
      <c r="J527" s="1351"/>
      <c r="K527" s="1184"/>
      <c r="L527" s="1184"/>
      <c r="M527" s="1184"/>
      <c r="N527" s="1351"/>
      <c r="O527" s="1351"/>
      <c r="P527" s="1163"/>
      <c r="Q527" s="1163"/>
    </row>
    <row r="528" ht="12.75" customHeight="1">
      <c r="A528" s="1351"/>
      <c r="B528" s="1351"/>
      <c r="C528" s="1351"/>
      <c r="D528" s="1351"/>
      <c r="E528" s="1351"/>
      <c r="F528" s="1351"/>
      <c r="G528" s="1184"/>
      <c r="H528" s="1351"/>
      <c r="I528" s="1184"/>
      <c r="J528" s="1351"/>
      <c r="K528" s="1184"/>
      <c r="L528" s="1184"/>
      <c r="M528" s="1184"/>
      <c r="N528" s="1351"/>
      <c r="O528" s="1351"/>
      <c r="P528" s="1163"/>
      <c r="Q528" s="1163"/>
    </row>
    <row r="529" ht="12.75" customHeight="1">
      <c r="A529" s="1351"/>
      <c r="B529" s="1351"/>
      <c r="C529" s="1351"/>
      <c r="D529" s="1351"/>
      <c r="E529" s="1351"/>
      <c r="F529" s="1351"/>
      <c r="G529" s="1184"/>
      <c r="H529" s="1351"/>
      <c r="I529" s="1184"/>
      <c r="J529" s="1351"/>
      <c r="K529" s="1184"/>
      <c r="L529" s="1184"/>
      <c r="M529" s="1184"/>
      <c r="N529" s="1351"/>
      <c r="O529" s="1351"/>
      <c r="P529" s="1163"/>
      <c r="Q529" s="1163"/>
    </row>
    <row r="530" ht="12.75" customHeight="1">
      <c r="A530" s="1351"/>
      <c r="B530" s="1351"/>
      <c r="C530" s="1351"/>
      <c r="D530" s="1351"/>
      <c r="E530" s="1351"/>
      <c r="F530" s="1351"/>
      <c r="G530" s="1184"/>
      <c r="H530" s="1351"/>
      <c r="I530" s="1184"/>
      <c r="J530" s="1351"/>
      <c r="K530" s="1184"/>
      <c r="L530" s="1184"/>
      <c r="M530" s="1184"/>
      <c r="N530" s="1351"/>
      <c r="O530" s="1351"/>
      <c r="P530" s="1163"/>
      <c r="Q530" s="1163"/>
    </row>
    <row r="531" ht="12.75" customHeight="1">
      <c r="A531" s="1351"/>
      <c r="B531" s="1351"/>
      <c r="C531" s="1351"/>
      <c r="D531" s="1351"/>
      <c r="E531" s="1351"/>
      <c r="F531" s="1351"/>
      <c r="G531" s="1184"/>
      <c r="H531" s="1351"/>
      <c r="I531" s="1184"/>
      <c r="J531" s="1351"/>
      <c r="K531" s="1184"/>
      <c r="L531" s="1184"/>
      <c r="M531" s="1184"/>
      <c r="N531" s="1351"/>
      <c r="O531" s="1351"/>
      <c r="P531" s="1163"/>
      <c r="Q531" s="1163"/>
    </row>
    <row r="532" ht="12.75" customHeight="1">
      <c r="A532" s="1351"/>
      <c r="B532" s="1351"/>
      <c r="C532" s="1351"/>
      <c r="D532" s="1351"/>
      <c r="E532" s="1351"/>
      <c r="F532" s="1351"/>
      <c r="G532" s="1184"/>
      <c r="H532" s="1351"/>
      <c r="I532" s="1184"/>
      <c r="J532" s="1351"/>
      <c r="K532" s="1184"/>
      <c r="L532" s="1184"/>
      <c r="M532" s="1184"/>
      <c r="N532" s="1351"/>
      <c r="O532" s="1351"/>
      <c r="P532" s="1163"/>
      <c r="Q532" s="1163"/>
    </row>
    <row r="533" ht="12.75" customHeight="1">
      <c r="A533" s="1351"/>
      <c r="B533" s="1351"/>
      <c r="C533" s="1351"/>
      <c r="D533" s="1351"/>
      <c r="E533" s="1351"/>
      <c r="F533" s="1351"/>
      <c r="G533" s="1184"/>
      <c r="H533" s="1351"/>
      <c r="I533" s="1184"/>
      <c r="J533" s="1351"/>
      <c r="K533" s="1184"/>
      <c r="L533" s="1184"/>
      <c r="M533" s="1184"/>
      <c r="N533" s="1351"/>
      <c r="O533" s="1351"/>
      <c r="P533" s="1163"/>
      <c r="Q533" s="1163"/>
    </row>
    <row r="534" ht="12.75" customHeight="1">
      <c r="A534" s="1351"/>
      <c r="B534" s="1351"/>
      <c r="C534" s="1351"/>
      <c r="D534" s="1351"/>
      <c r="E534" s="1351"/>
      <c r="F534" s="1351"/>
      <c r="G534" s="1184"/>
      <c r="H534" s="1351"/>
      <c r="I534" s="1184"/>
      <c r="J534" s="1351"/>
      <c r="K534" s="1184"/>
      <c r="L534" s="1184"/>
      <c r="M534" s="1184"/>
      <c r="N534" s="1351"/>
      <c r="O534" s="1351"/>
      <c r="P534" s="1163"/>
      <c r="Q534" s="1163"/>
    </row>
    <row r="535" ht="12.75" customHeight="1">
      <c r="A535" s="1351"/>
      <c r="B535" s="1351"/>
      <c r="C535" s="1351"/>
      <c r="D535" s="1351"/>
      <c r="E535" s="1351"/>
      <c r="F535" s="1351"/>
      <c r="G535" s="1184"/>
      <c r="H535" s="1351"/>
      <c r="I535" s="1184"/>
      <c r="J535" s="1351"/>
      <c r="K535" s="1184"/>
      <c r="L535" s="1184"/>
      <c r="M535" s="1184"/>
      <c r="N535" s="1351"/>
      <c r="O535" s="1351"/>
      <c r="P535" s="1163"/>
      <c r="Q535" s="1163"/>
    </row>
    <row r="536" ht="12.75" customHeight="1">
      <c r="A536" s="1351"/>
      <c r="B536" s="1351"/>
      <c r="C536" s="1351"/>
      <c r="D536" s="1351"/>
      <c r="E536" s="1351"/>
      <c r="F536" s="1351"/>
      <c r="G536" s="1184"/>
      <c r="H536" s="1351"/>
      <c r="I536" s="1184"/>
      <c r="J536" s="1351"/>
      <c r="K536" s="1184"/>
      <c r="L536" s="1184"/>
      <c r="M536" s="1184"/>
      <c r="N536" s="1351"/>
      <c r="O536" s="1351"/>
      <c r="P536" s="1163"/>
      <c r="Q536" s="1163"/>
    </row>
    <row r="537" ht="12.75" customHeight="1">
      <c r="A537" s="1351"/>
      <c r="B537" s="1351"/>
      <c r="C537" s="1351"/>
      <c r="D537" s="1351"/>
      <c r="E537" s="1351"/>
      <c r="F537" s="1351"/>
      <c r="G537" s="1184"/>
      <c r="H537" s="1351"/>
      <c r="I537" s="1184"/>
      <c r="J537" s="1351"/>
      <c r="K537" s="1184"/>
      <c r="L537" s="1184"/>
      <c r="M537" s="1184"/>
      <c r="N537" s="1351"/>
      <c r="O537" s="1351"/>
      <c r="P537" s="1163"/>
      <c r="Q537" s="1163"/>
    </row>
    <row r="538" ht="12.75" customHeight="1">
      <c r="A538" s="1351"/>
      <c r="B538" s="1351"/>
      <c r="C538" s="1351"/>
      <c r="D538" s="1351"/>
      <c r="E538" s="1351"/>
      <c r="F538" s="1351"/>
      <c r="G538" s="1184"/>
      <c r="H538" s="1351"/>
      <c r="I538" s="1184"/>
      <c r="J538" s="1351"/>
      <c r="K538" s="1184"/>
      <c r="L538" s="1184"/>
      <c r="M538" s="1184"/>
      <c r="N538" s="1351"/>
      <c r="O538" s="1351"/>
      <c r="P538" s="1163"/>
      <c r="Q538" s="1163"/>
    </row>
    <row r="539" ht="12.75" customHeight="1">
      <c r="A539" s="1351"/>
      <c r="B539" s="1351"/>
      <c r="C539" s="1351"/>
      <c r="D539" s="1351"/>
      <c r="E539" s="1351"/>
      <c r="F539" s="1351"/>
      <c r="G539" s="1184"/>
      <c r="H539" s="1351"/>
      <c r="I539" s="1184"/>
      <c r="J539" s="1351"/>
      <c r="K539" s="1184"/>
      <c r="L539" s="1184"/>
      <c r="M539" s="1184"/>
      <c r="N539" s="1351"/>
      <c r="O539" s="1351"/>
      <c r="P539" s="1163"/>
      <c r="Q539" s="1163"/>
    </row>
    <row r="540" ht="12.75" customHeight="1">
      <c r="A540" s="1351"/>
      <c r="B540" s="1351"/>
      <c r="C540" s="1351"/>
      <c r="D540" s="1351"/>
      <c r="E540" s="1351"/>
      <c r="F540" s="1351"/>
      <c r="G540" s="1184"/>
      <c r="H540" s="1351"/>
      <c r="I540" s="1184"/>
      <c r="J540" s="1351"/>
      <c r="K540" s="1184"/>
      <c r="L540" s="1184"/>
      <c r="M540" s="1184"/>
      <c r="N540" s="1351"/>
      <c r="O540" s="1351"/>
      <c r="P540" s="1163"/>
      <c r="Q540" s="1163"/>
    </row>
    <row r="541" ht="12.75" customHeight="1">
      <c r="A541" s="1351"/>
      <c r="B541" s="1351"/>
      <c r="C541" s="1351"/>
      <c r="D541" s="1351"/>
      <c r="E541" s="1351"/>
      <c r="F541" s="1351"/>
      <c r="G541" s="1184"/>
      <c r="H541" s="1351"/>
      <c r="I541" s="1184"/>
      <c r="J541" s="1351"/>
      <c r="K541" s="1184"/>
      <c r="L541" s="1184"/>
      <c r="M541" s="1184"/>
      <c r="N541" s="1351"/>
      <c r="O541" s="1351"/>
      <c r="P541" s="1163"/>
      <c r="Q541" s="1163"/>
    </row>
    <row r="542" ht="12.75" customHeight="1">
      <c r="A542" s="1351"/>
      <c r="B542" s="1351"/>
      <c r="C542" s="1351"/>
      <c r="D542" s="1351"/>
      <c r="E542" s="1351"/>
      <c r="F542" s="1351"/>
      <c r="G542" s="1184"/>
      <c r="H542" s="1351"/>
      <c r="I542" s="1184"/>
      <c r="J542" s="1351"/>
      <c r="K542" s="1184"/>
      <c r="L542" s="1184"/>
      <c r="M542" s="1184"/>
      <c r="N542" s="1351"/>
      <c r="O542" s="1351"/>
      <c r="P542" s="1163"/>
      <c r="Q542" s="1163"/>
    </row>
    <row r="543" ht="12.75" customHeight="1">
      <c r="A543" s="1351"/>
      <c r="B543" s="1351"/>
      <c r="C543" s="1351"/>
      <c r="D543" s="1351"/>
      <c r="E543" s="1351"/>
      <c r="F543" s="1351"/>
      <c r="G543" s="1184"/>
      <c r="H543" s="1351"/>
      <c r="I543" s="1184"/>
      <c r="J543" s="1351"/>
      <c r="K543" s="1184"/>
      <c r="L543" s="1184"/>
      <c r="M543" s="1184"/>
      <c r="N543" s="1351"/>
      <c r="O543" s="1351"/>
      <c r="P543" s="1163"/>
      <c r="Q543" s="1163"/>
    </row>
    <row r="544" ht="12.75" customHeight="1">
      <c r="A544" s="1351"/>
      <c r="B544" s="1351"/>
      <c r="C544" s="1351"/>
      <c r="D544" s="1351"/>
      <c r="E544" s="1351"/>
      <c r="F544" s="1351"/>
      <c r="G544" s="1184"/>
      <c r="H544" s="1351"/>
      <c r="I544" s="1184"/>
      <c r="J544" s="1351"/>
      <c r="K544" s="1184"/>
      <c r="L544" s="1184"/>
      <c r="M544" s="1184"/>
      <c r="N544" s="1351"/>
      <c r="O544" s="1351"/>
      <c r="P544" s="1163"/>
      <c r="Q544" s="1163"/>
    </row>
    <row r="545" ht="12.75" customHeight="1">
      <c r="A545" s="1351"/>
      <c r="B545" s="1351"/>
      <c r="C545" s="1351"/>
      <c r="D545" s="1351"/>
      <c r="E545" s="1351"/>
      <c r="F545" s="1351"/>
      <c r="G545" s="1184"/>
      <c r="H545" s="1351"/>
      <c r="I545" s="1184"/>
      <c r="J545" s="1351"/>
      <c r="K545" s="1184"/>
      <c r="L545" s="1184"/>
      <c r="M545" s="1184"/>
      <c r="N545" s="1351"/>
      <c r="O545" s="1351"/>
      <c r="P545" s="1163"/>
      <c r="Q545" s="1163"/>
    </row>
    <row r="546" ht="12.75" customHeight="1">
      <c r="A546" s="1351"/>
      <c r="B546" s="1351"/>
      <c r="C546" s="1351"/>
      <c r="D546" s="1351"/>
      <c r="E546" s="1351"/>
      <c r="F546" s="1351"/>
      <c r="G546" s="1184"/>
      <c r="H546" s="1351"/>
      <c r="I546" s="1184"/>
      <c r="J546" s="1351"/>
      <c r="K546" s="1184"/>
      <c r="L546" s="1184"/>
      <c r="M546" s="1184"/>
      <c r="N546" s="1351"/>
      <c r="O546" s="1351"/>
      <c r="P546" s="1163"/>
      <c r="Q546" s="1163"/>
    </row>
    <row r="547" ht="12.75" customHeight="1">
      <c r="A547" s="1351"/>
      <c r="B547" s="1351"/>
      <c r="C547" s="1351"/>
      <c r="D547" s="1351"/>
      <c r="E547" s="1351"/>
      <c r="F547" s="1351"/>
      <c r="G547" s="1184"/>
      <c r="H547" s="1351"/>
      <c r="I547" s="1184"/>
      <c r="J547" s="1351"/>
      <c r="K547" s="1184"/>
      <c r="L547" s="1184"/>
      <c r="M547" s="1184"/>
      <c r="N547" s="1351"/>
      <c r="O547" s="1351"/>
      <c r="P547" s="1163"/>
      <c r="Q547" s="1163"/>
    </row>
    <row r="548" ht="12.75" customHeight="1">
      <c r="A548" s="1351"/>
      <c r="B548" s="1351"/>
      <c r="C548" s="1351"/>
      <c r="D548" s="1351"/>
      <c r="E548" s="1351"/>
      <c r="F548" s="1351"/>
      <c r="G548" s="1184"/>
      <c r="H548" s="1351"/>
      <c r="I548" s="1184"/>
      <c r="J548" s="1351"/>
      <c r="K548" s="1184"/>
      <c r="L548" s="1184"/>
      <c r="M548" s="1184"/>
      <c r="N548" s="1351"/>
      <c r="O548" s="1351"/>
      <c r="P548" s="1163"/>
      <c r="Q548" s="1163"/>
    </row>
    <row r="549" ht="12.75" customHeight="1">
      <c r="A549" s="1351"/>
      <c r="B549" s="1351"/>
      <c r="C549" s="1351"/>
      <c r="D549" s="1351"/>
      <c r="E549" s="1351"/>
      <c r="F549" s="1351"/>
      <c r="G549" s="1184"/>
      <c r="H549" s="1351"/>
      <c r="I549" s="1184"/>
      <c r="J549" s="1351"/>
      <c r="K549" s="1184"/>
      <c r="L549" s="1184"/>
      <c r="M549" s="1184"/>
      <c r="N549" s="1351"/>
      <c r="O549" s="1351"/>
      <c r="P549" s="1163"/>
      <c r="Q549" s="1163"/>
    </row>
    <row r="550" ht="12.75" customHeight="1">
      <c r="A550" s="1351"/>
      <c r="B550" s="1351"/>
      <c r="C550" s="1351"/>
      <c r="D550" s="1351"/>
      <c r="E550" s="1351"/>
      <c r="F550" s="1351"/>
      <c r="G550" s="1184"/>
      <c r="H550" s="1351"/>
      <c r="I550" s="1184"/>
      <c r="J550" s="1351"/>
      <c r="K550" s="1184"/>
      <c r="L550" s="1184"/>
      <c r="M550" s="1184"/>
      <c r="N550" s="1351"/>
      <c r="O550" s="1351"/>
      <c r="P550" s="1163"/>
      <c r="Q550" s="1163"/>
    </row>
    <row r="551" ht="12.75" customHeight="1">
      <c r="A551" s="1351"/>
      <c r="B551" s="1351"/>
      <c r="C551" s="1351"/>
      <c r="D551" s="1351"/>
      <c r="E551" s="1351"/>
      <c r="F551" s="1351"/>
      <c r="G551" s="1184"/>
      <c r="H551" s="1351"/>
      <c r="I551" s="1184"/>
      <c r="J551" s="1351"/>
      <c r="K551" s="1184"/>
      <c r="L551" s="1184"/>
      <c r="M551" s="1184"/>
      <c r="N551" s="1351"/>
      <c r="O551" s="1351"/>
      <c r="P551" s="1163"/>
      <c r="Q551" s="1163"/>
    </row>
    <row r="552" ht="12.75" customHeight="1">
      <c r="A552" s="1351"/>
      <c r="B552" s="1351"/>
      <c r="C552" s="1351"/>
      <c r="D552" s="1351"/>
      <c r="E552" s="1351"/>
      <c r="F552" s="1351"/>
      <c r="G552" s="1184"/>
      <c r="H552" s="1351"/>
      <c r="I552" s="1184"/>
      <c r="J552" s="1351"/>
      <c r="K552" s="1184"/>
      <c r="L552" s="1184"/>
      <c r="M552" s="1184"/>
      <c r="N552" s="1351"/>
      <c r="O552" s="1351"/>
      <c r="P552" s="1163"/>
      <c r="Q552" s="1163"/>
    </row>
    <row r="553" ht="12.75" customHeight="1">
      <c r="A553" s="1351"/>
      <c r="B553" s="1351"/>
      <c r="C553" s="1351"/>
      <c r="D553" s="1351"/>
      <c r="E553" s="1351"/>
      <c r="F553" s="1351"/>
      <c r="G553" s="1184"/>
      <c r="H553" s="1351"/>
      <c r="I553" s="1184"/>
      <c r="J553" s="1351"/>
      <c r="K553" s="1184"/>
      <c r="L553" s="1184"/>
      <c r="M553" s="1184"/>
      <c r="N553" s="1351"/>
      <c r="O553" s="1351"/>
      <c r="P553" s="1163"/>
      <c r="Q553" s="1163"/>
    </row>
    <row r="554" ht="12.75" customHeight="1">
      <c r="A554" s="1351"/>
      <c r="B554" s="1351"/>
      <c r="C554" s="1351"/>
      <c r="D554" s="1351"/>
      <c r="E554" s="1351"/>
      <c r="F554" s="1351"/>
      <c r="G554" s="1184"/>
      <c r="H554" s="1351"/>
      <c r="I554" s="1184"/>
      <c r="J554" s="1351"/>
      <c r="K554" s="1184"/>
      <c r="L554" s="1184"/>
      <c r="M554" s="1184"/>
      <c r="N554" s="1351"/>
      <c r="O554" s="1351"/>
      <c r="P554" s="1163"/>
      <c r="Q554" s="1163"/>
    </row>
    <row r="555" ht="12.75" customHeight="1">
      <c r="A555" s="1351"/>
      <c r="B555" s="1351"/>
      <c r="C555" s="1351"/>
      <c r="D555" s="1351"/>
      <c r="E555" s="1351"/>
      <c r="F555" s="1351"/>
      <c r="G555" s="1184"/>
      <c r="H555" s="1351"/>
      <c r="I555" s="1184"/>
      <c r="J555" s="1351"/>
      <c r="K555" s="1184"/>
      <c r="L555" s="1184"/>
      <c r="M555" s="1184"/>
      <c r="N555" s="1351"/>
      <c r="O555" s="1351"/>
      <c r="P555" s="1163"/>
      <c r="Q555" s="1163"/>
    </row>
    <row r="556" ht="12.75" customHeight="1">
      <c r="A556" s="1351"/>
      <c r="B556" s="1351"/>
      <c r="C556" s="1351"/>
      <c r="D556" s="1351"/>
      <c r="E556" s="1351"/>
      <c r="F556" s="1351"/>
      <c r="G556" s="1184"/>
      <c r="H556" s="1351"/>
      <c r="I556" s="1184"/>
      <c r="J556" s="1351"/>
      <c r="K556" s="1184"/>
      <c r="L556" s="1184"/>
      <c r="M556" s="1184"/>
      <c r="N556" s="1351"/>
      <c r="O556" s="1351"/>
      <c r="P556" s="1163"/>
      <c r="Q556" s="1163"/>
    </row>
    <row r="557" ht="12.75" customHeight="1">
      <c r="A557" s="1351"/>
      <c r="B557" s="1351"/>
      <c r="C557" s="1351"/>
      <c r="D557" s="1351"/>
      <c r="E557" s="1351"/>
      <c r="F557" s="1351"/>
      <c r="G557" s="1184"/>
      <c r="H557" s="1351"/>
      <c r="I557" s="1184"/>
      <c r="J557" s="1351"/>
      <c r="K557" s="1184"/>
      <c r="L557" s="1184"/>
      <c r="M557" s="1184"/>
      <c r="N557" s="1351"/>
      <c r="O557" s="1351"/>
      <c r="P557" s="1163"/>
      <c r="Q557" s="1163"/>
    </row>
    <row r="558" ht="12.75" customHeight="1">
      <c r="A558" s="1351"/>
      <c r="B558" s="1351"/>
      <c r="C558" s="1351"/>
      <c r="D558" s="1351"/>
      <c r="E558" s="1351"/>
      <c r="F558" s="1351"/>
      <c r="G558" s="1184"/>
      <c r="H558" s="1351"/>
      <c r="I558" s="1184"/>
      <c r="J558" s="1351"/>
      <c r="K558" s="1184"/>
      <c r="L558" s="1184"/>
      <c r="M558" s="1184"/>
      <c r="N558" s="1351"/>
      <c r="O558" s="1351"/>
      <c r="P558" s="1163"/>
      <c r="Q558" s="1163"/>
    </row>
    <row r="559" ht="12.75" customHeight="1">
      <c r="A559" s="1351"/>
      <c r="B559" s="1351"/>
      <c r="C559" s="1351"/>
      <c r="D559" s="1351"/>
      <c r="E559" s="1351"/>
      <c r="F559" s="1351"/>
      <c r="G559" s="1184"/>
      <c r="H559" s="1351"/>
      <c r="I559" s="1184"/>
      <c r="J559" s="1351"/>
      <c r="K559" s="1184"/>
      <c r="L559" s="1184"/>
      <c r="M559" s="1184"/>
      <c r="N559" s="1351"/>
      <c r="O559" s="1351"/>
      <c r="P559" s="1163"/>
      <c r="Q559" s="1163"/>
    </row>
    <row r="560" ht="12.75" customHeight="1">
      <c r="A560" s="1351"/>
      <c r="B560" s="1351"/>
      <c r="C560" s="1351"/>
      <c r="D560" s="1351"/>
      <c r="E560" s="1351"/>
      <c r="F560" s="1351"/>
      <c r="G560" s="1184"/>
      <c r="H560" s="1351"/>
      <c r="I560" s="1184"/>
      <c r="J560" s="1351"/>
      <c r="K560" s="1184"/>
      <c r="L560" s="1184"/>
      <c r="M560" s="1184"/>
      <c r="N560" s="1351"/>
      <c r="O560" s="1351"/>
      <c r="P560" s="1163"/>
      <c r="Q560" s="1163"/>
    </row>
    <row r="561" ht="12.75" customHeight="1">
      <c r="A561" s="1351"/>
      <c r="B561" s="1351"/>
      <c r="C561" s="1351"/>
      <c r="D561" s="1351"/>
      <c r="E561" s="1351"/>
      <c r="F561" s="1351"/>
      <c r="G561" s="1184"/>
      <c r="H561" s="1351"/>
      <c r="I561" s="1184"/>
      <c r="J561" s="1351"/>
      <c r="K561" s="1184"/>
      <c r="L561" s="1184"/>
      <c r="M561" s="1184"/>
      <c r="N561" s="1351"/>
      <c r="O561" s="1351"/>
      <c r="P561" s="1163"/>
      <c r="Q561" s="1163"/>
    </row>
    <row r="562" ht="12.75" customHeight="1">
      <c r="A562" s="1351"/>
      <c r="B562" s="1351"/>
      <c r="C562" s="1351"/>
      <c r="D562" s="1351"/>
      <c r="E562" s="1351"/>
      <c r="F562" s="1351"/>
      <c r="G562" s="1184"/>
      <c r="H562" s="1351"/>
      <c r="I562" s="1184"/>
      <c r="J562" s="1351"/>
      <c r="K562" s="1184"/>
      <c r="L562" s="1184"/>
      <c r="M562" s="1184"/>
      <c r="N562" s="1351"/>
      <c r="O562" s="1351"/>
      <c r="P562" s="1163"/>
      <c r="Q562" s="1163"/>
    </row>
    <row r="563" ht="12.75" customHeight="1">
      <c r="A563" s="1351"/>
      <c r="B563" s="1351"/>
      <c r="C563" s="1351"/>
      <c r="D563" s="1351"/>
      <c r="E563" s="1351"/>
      <c r="F563" s="1351"/>
      <c r="G563" s="1184"/>
      <c r="H563" s="1351"/>
      <c r="I563" s="1184"/>
      <c r="J563" s="1351"/>
      <c r="K563" s="1184"/>
      <c r="L563" s="1184"/>
      <c r="M563" s="1184"/>
      <c r="N563" s="1351"/>
      <c r="O563" s="1351"/>
      <c r="P563" s="1163"/>
      <c r="Q563" s="1163"/>
    </row>
    <row r="564" ht="12.75" customHeight="1">
      <c r="A564" s="1351"/>
      <c r="B564" s="1351"/>
      <c r="C564" s="1351"/>
      <c r="D564" s="1351"/>
      <c r="E564" s="1351"/>
      <c r="F564" s="1351"/>
      <c r="G564" s="1184"/>
      <c r="H564" s="1351"/>
      <c r="I564" s="1184"/>
      <c r="J564" s="1351"/>
      <c r="K564" s="1184"/>
      <c r="L564" s="1184"/>
      <c r="M564" s="1184"/>
      <c r="N564" s="1351"/>
      <c r="O564" s="1351"/>
      <c r="P564" s="1163"/>
      <c r="Q564" s="1163"/>
    </row>
    <row r="565" ht="12.75" customHeight="1">
      <c r="A565" s="1351"/>
      <c r="B565" s="1351"/>
      <c r="C565" s="1351"/>
      <c r="D565" s="1351"/>
      <c r="E565" s="1351"/>
      <c r="F565" s="1351"/>
      <c r="G565" s="1184"/>
      <c r="H565" s="1351"/>
      <c r="I565" s="1184"/>
      <c r="J565" s="1351"/>
      <c r="K565" s="1184"/>
      <c r="L565" s="1184"/>
      <c r="M565" s="1184"/>
      <c r="N565" s="1351"/>
      <c r="O565" s="1351"/>
      <c r="P565" s="1163"/>
      <c r="Q565" s="1163"/>
    </row>
    <row r="566" ht="12.75" customHeight="1">
      <c r="A566" s="1351"/>
      <c r="B566" s="1351"/>
      <c r="C566" s="1351"/>
      <c r="D566" s="1351"/>
      <c r="E566" s="1351"/>
      <c r="F566" s="1351"/>
      <c r="G566" s="1184"/>
      <c r="H566" s="1351"/>
      <c r="I566" s="1184"/>
      <c r="J566" s="1351"/>
      <c r="K566" s="1184"/>
      <c r="L566" s="1184"/>
      <c r="M566" s="1184"/>
      <c r="N566" s="1351"/>
      <c r="O566" s="1351"/>
      <c r="P566" s="1163"/>
      <c r="Q566" s="1163"/>
    </row>
    <row r="567" ht="12.75" customHeight="1">
      <c r="A567" s="1351"/>
      <c r="B567" s="1351"/>
      <c r="C567" s="1351"/>
      <c r="D567" s="1351"/>
      <c r="E567" s="1351"/>
      <c r="F567" s="1351"/>
      <c r="G567" s="1184"/>
      <c r="H567" s="1351"/>
      <c r="I567" s="1184"/>
      <c r="J567" s="1351"/>
      <c r="K567" s="1184"/>
      <c r="L567" s="1184"/>
      <c r="M567" s="1184"/>
      <c r="N567" s="1351"/>
      <c r="O567" s="1351"/>
      <c r="P567" s="1163"/>
      <c r="Q567" s="1163"/>
    </row>
    <row r="568" ht="12.75" customHeight="1">
      <c r="A568" s="1351"/>
      <c r="B568" s="1351"/>
      <c r="C568" s="1351"/>
      <c r="D568" s="1351"/>
      <c r="E568" s="1351"/>
      <c r="F568" s="1351"/>
      <c r="G568" s="1184"/>
      <c r="H568" s="1351"/>
      <c r="I568" s="1184"/>
      <c r="J568" s="1351"/>
      <c r="K568" s="1184"/>
      <c r="L568" s="1184"/>
      <c r="M568" s="1184"/>
      <c r="N568" s="1351"/>
      <c r="O568" s="1351"/>
      <c r="P568" s="1163"/>
      <c r="Q568" s="1163"/>
    </row>
    <row r="569" ht="12.75" customHeight="1">
      <c r="A569" s="1351"/>
      <c r="B569" s="1351"/>
      <c r="C569" s="1351"/>
      <c r="D569" s="1351"/>
      <c r="E569" s="1351"/>
      <c r="F569" s="1351"/>
      <c r="G569" s="1184"/>
      <c r="H569" s="1351"/>
      <c r="I569" s="1184"/>
      <c r="J569" s="1351"/>
      <c r="K569" s="1184"/>
      <c r="L569" s="1184"/>
      <c r="M569" s="1184"/>
      <c r="N569" s="1351"/>
      <c r="O569" s="1351"/>
      <c r="P569" s="1163"/>
      <c r="Q569" s="1163"/>
    </row>
    <row r="570" ht="12.75" customHeight="1">
      <c r="A570" s="1351"/>
      <c r="B570" s="1351"/>
      <c r="C570" s="1351"/>
      <c r="D570" s="1351"/>
      <c r="E570" s="1351"/>
      <c r="F570" s="1351"/>
      <c r="G570" s="1184"/>
      <c r="H570" s="1351"/>
      <c r="I570" s="1184"/>
      <c r="J570" s="1351"/>
      <c r="K570" s="1184"/>
      <c r="L570" s="1184"/>
      <c r="M570" s="1184"/>
      <c r="N570" s="1351"/>
      <c r="O570" s="1351"/>
      <c r="P570" s="1163"/>
      <c r="Q570" s="1163"/>
    </row>
    <row r="571" ht="12.75" customHeight="1">
      <c r="A571" s="1351"/>
      <c r="B571" s="1351"/>
      <c r="C571" s="1351"/>
      <c r="D571" s="1351"/>
      <c r="E571" s="1351"/>
      <c r="F571" s="1351"/>
      <c r="G571" s="1184"/>
      <c r="H571" s="1351"/>
      <c r="I571" s="1184"/>
      <c r="J571" s="1351"/>
      <c r="K571" s="1184"/>
      <c r="L571" s="1184"/>
      <c r="M571" s="1184"/>
      <c r="N571" s="1351"/>
      <c r="O571" s="1351"/>
      <c r="P571" s="1163"/>
      <c r="Q571" s="1163"/>
    </row>
    <row r="572" ht="12.75" customHeight="1">
      <c r="A572" s="1351"/>
      <c r="B572" s="1351"/>
      <c r="C572" s="1351"/>
      <c r="D572" s="1351"/>
      <c r="E572" s="1351"/>
      <c r="F572" s="1351"/>
      <c r="G572" s="1184"/>
      <c r="H572" s="1351"/>
      <c r="I572" s="1184"/>
      <c r="J572" s="1351"/>
      <c r="K572" s="1184"/>
      <c r="L572" s="1184"/>
      <c r="M572" s="1184"/>
      <c r="N572" s="1351"/>
      <c r="O572" s="1351"/>
      <c r="P572" s="1163"/>
      <c r="Q572" s="1163"/>
    </row>
    <row r="573" ht="12.75" customHeight="1">
      <c r="A573" s="1351"/>
      <c r="B573" s="1351"/>
      <c r="C573" s="1351"/>
      <c r="D573" s="1351"/>
      <c r="E573" s="1351"/>
      <c r="F573" s="1351"/>
      <c r="G573" s="1184"/>
      <c r="H573" s="1351"/>
      <c r="I573" s="1184"/>
      <c r="J573" s="1351"/>
      <c r="K573" s="1184"/>
      <c r="L573" s="1184"/>
      <c r="M573" s="1184"/>
      <c r="N573" s="1351"/>
      <c r="O573" s="1351"/>
      <c r="P573" s="1163"/>
      <c r="Q573" s="1163"/>
    </row>
    <row r="574" ht="12.75" customHeight="1">
      <c r="A574" s="1351"/>
      <c r="B574" s="1351"/>
      <c r="C574" s="1351"/>
      <c r="D574" s="1351"/>
      <c r="E574" s="1351"/>
      <c r="F574" s="1351"/>
      <c r="G574" s="1184"/>
      <c r="H574" s="1351"/>
      <c r="I574" s="1184"/>
      <c r="J574" s="1351"/>
      <c r="K574" s="1184"/>
      <c r="L574" s="1184"/>
      <c r="M574" s="1184"/>
      <c r="N574" s="1351"/>
      <c r="O574" s="1351"/>
      <c r="P574" s="1163"/>
      <c r="Q574" s="1163"/>
    </row>
    <row r="575" ht="12.75" customHeight="1">
      <c r="A575" s="1351"/>
      <c r="B575" s="1351"/>
      <c r="C575" s="1351"/>
      <c r="D575" s="1351"/>
      <c r="E575" s="1351"/>
      <c r="F575" s="1351"/>
      <c r="G575" s="1184"/>
      <c r="H575" s="1351"/>
      <c r="I575" s="1184"/>
      <c r="J575" s="1351"/>
      <c r="K575" s="1184"/>
      <c r="L575" s="1184"/>
      <c r="M575" s="1184"/>
      <c r="N575" s="1351"/>
      <c r="O575" s="1351"/>
      <c r="P575" s="1163"/>
      <c r="Q575" s="1163"/>
    </row>
    <row r="576" ht="12.75" customHeight="1">
      <c r="A576" s="1351"/>
      <c r="B576" s="1351"/>
      <c r="C576" s="1351"/>
      <c r="D576" s="1351"/>
      <c r="E576" s="1351"/>
      <c r="F576" s="1351"/>
      <c r="G576" s="1184"/>
      <c r="H576" s="1351"/>
      <c r="I576" s="1184"/>
      <c r="J576" s="1351"/>
      <c r="K576" s="1184"/>
      <c r="L576" s="1184"/>
      <c r="M576" s="1184"/>
      <c r="N576" s="1351"/>
      <c r="O576" s="1351"/>
      <c r="P576" s="1163"/>
      <c r="Q576" s="1163"/>
    </row>
    <row r="577" ht="12.75" customHeight="1">
      <c r="A577" s="1351"/>
      <c r="B577" s="1351"/>
      <c r="C577" s="1351"/>
      <c r="D577" s="1351"/>
      <c r="E577" s="1351"/>
      <c r="F577" s="1351"/>
      <c r="G577" s="1184"/>
      <c r="H577" s="1351"/>
      <c r="I577" s="1184"/>
      <c r="J577" s="1351"/>
      <c r="K577" s="1184"/>
      <c r="L577" s="1184"/>
      <c r="M577" s="1184"/>
      <c r="N577" s="1351"/>
      <c r="O577" s="1351"/>
      <c r="P577" s="1163"/>
      <c r="Q577" s="1163"/>
    </row>
    <row r="578" ht="12.75" customHeight="1">
      <c r="A578" s="1351"/>
      <c r="B578" s="1351"/>
      <c r="C578" s="1351"/>
      <c r="D578" s="1351"/>
      <c r="E578" s="1351"/>
      <c r="F578" s="1351"/>
      <c r="G578" s="1184"/>
      <c r="H578" s="1351"/>
      <c r="I578" s="1184"/>
      <c r="J578" s="1351"/>
      <c r="K578" s="1184"/>
      <c r="L578" s="1184"/>
      <c r="M578" s="1184"/>
      <c r="N578" s="1351"/>
      <c r="O578" s="1351"/>
      <c r="P578" s="1163"/>
      <c r="Q578" s="1163"/>
    </row>
    <row r="579" ht="12.75" customHeight="1">
      <c r="A579" s="1351"/>
      <c r="B579" s="1351"/>
      <c r="C579" s="1351"/>
      <c r="D579" s="1351"/>
      <c r="E579" s="1351"/>
      <c r="F579" s="1351"/>
      <c r="G579" s="1184"/>
      <c r="H579" s="1351"/>
      <c r="I579" s="1184"/>
      <c r="J579" s="1351"/>
      <c r="K579" s="1184"/>
      <c r="L579" s="1184"/>
      <c r="M579" s="1184"/>
      <c r="N579" s="1351"/>
      <c r="O579" s="1351"/>
      <c r="P579" s="1163"/>
      <c r="Q579" s="1163"/>
    </row>
    <row r="580" ht="12.75" customHeight="1">
      <c r="A580" s="1351"/>
      <c r="B580" s="1351"/>
      <c r="C580" s="1351"/>
      <c r="D580" s="1351"/>
      <c r="E580" s="1351"/>
      <c r="F580" s="1351"/>
      <c r="G580" s="1184"/>
      <c r="H580" s="1351"/>
      <c r="I580" s="1184"/>
      <c r="J580" s="1351"/>
      <c r="K580" s="1184"/>
      <c r="L580" s="1184"/>
      <c r="M580" s="1184"/>
      <c r="N580" s="1351"/>
      <c r="O580" s="1351"/>
      <c r="P580" s="1163"/>
      <c r="Q580" s="1163"/>
    </row>
    <row r="581" ht="12.75" customHeight="1">
      <c r="A581" s="1351"/>
      <c r="B581" s="1351"/>
      <c r="C581" s="1351"/>
      <c r="D581" s="1351"/>
      <c r="E581" s="1351"/>
      <c r="F581" s="1351"/>
      <c r="G581" s="1184"/>
      <c r="H581" s="1351"/>
      <c r="I581" s="1184"/>
      <c r="J581" s="1351"/>
      <c r="K581" s="1184"/>
      <c r="L581" s="1184"/>
      <c r="M581" s="1184"/>
      <c r="N581" s="1351"/>
      <c r="O581" s="1351"/>
      <c r="P581" s="1163"/>
      <c r="Q581" s="1163"/>
    </row>
    <row r="582" ht="12.75" customHeight="1">
      <c r="A582" s="1351"/>
      <c r="B582" s="1351"/>
      <c r="C582" s="1351"/>
      <c r="D582" s="1351"/>
      <c r="E582" s="1351"/>
      <c r="F582" s="1351"/>
      <c r="G582" s="1184"/>
      <c r="H582" s="1351"/>
      <c r="I582" s="1184"/>
      <c r="J582" s="1351"/>
      <c r="K582" s="1184"/>
      <c r="L582" s="1184"/>
      <c r="M582" s="1184"/>
      <c r="N582" s="1351"/>
      <c r="O582" s="1351"/>
      <c r="P582" s="1163"/>
      <c r="Q582" s="1163"/>
    </row>
    <row r="583" ht="12.75" customHeight="1">
      <c r="A583" s="1351"/>
      <c r="B583" s="1351"/>
      <c r="C583" s="1351"/>
      <c r="D583" s="1351"/>
      <c r="E583" s="1351"/>
      <c r="F583" s="1351"/>
      <c r="G583" s="1184"/>
      <c r="H583" s="1351"/>
      <c r="I583" s="1184"/>
      <c r="J583" s="1351"/>
      <c r="K583" s="1184"/>
      <c r="L583" s="1184"/>
      <c r="M583" s="1184"/>
      <c r="N583" s="1351"/>
      <c r="O583" s="1351"/>
      <c r="P583" s="1163"/>
      <c r="Q583" s="1163"/>
    </row>
    <row r="584" ht="12.75" customHeight="1">
      <c r="A584" s="1351"/>
      <c r="B584" s="1351"/>
      <c r="C584" s="1351"/>
      <c r="D584" s="1351"/>
      <c r="E584" s="1351"/>
      <c r="F584" s="1351"/>
      <c r="G584" s="1184"/>
      <c r="H584" s="1351"/>
      <c r="I584" s="1184"/>
      <c r="J584" s="1351"/>
      <c r="K584" s="1184"/>
      <c r="L584" s="1184"/>
      <c r="M584" s="1184"/>
      <c r="N584" s="1351"/>
      <c r="O584" s="1351"/>
      <c r="P584" s="1163"/>
      <c r="Q584" s="1163"/>
    </row>
    <row r="585" ht="12.75" customHeight="1">
      <c r="A585" s="1351"/>
      <c r="B585" s="1351"/>
      <c r="C585" s="1351"/>
      <c r="D585" s="1351"/>
      <c r="E585" s="1351"/>
      <c r="F585" s="1351"/>
      <c r="G585" s="1184"/>
      <c r="H585" s="1351"/>
      <c r="I585" s="1184"/>
      <c r="J585" s="1351"/>
      <c r="K585" s="1184"/>
      <c r="L585" s="1184"/>
      <c r="M585" s="1184"/>
      <c r="N585" s="1351"/>
      <c r="O585" s="1351"/>
      <c r="P585" s="1163"/>
      <c r="Q585" s="1163"/>
    </row>
    <row r="586" ht="12.75" customHeight="1">
      <c r="A586" s="1351"/>
      <c r="B586" s="1351"/>
      <c r="C586" s="1351"/>
      <c r="D586" s="1351"/>
      <c r="E586" s="1351"/>
      <c r="F586" s="1351"/>
      <c r="G586" s="1184"/>
      <c r="H586" s="1351"/>
      <c r="I586" s="1184"/>
      <c r="J586" s="1351"/>
      <c r="K586" s="1184"/>
      <c r="L586" s="1184"/>
      <c r="M586" s="1184"/>
      <c r="N586" s="1351"/>
      <c r="O586" s="1351"/>
      <c r="P586" s="1163"/>
      <c r="Q586" s="1163"/>
    </row>
    <row r="587" ht="12.75" customHeight="1">
      <c r="A587" s="1351"/>
      <c r="B587" s="1351"/>
      <c r="C587" s="1351"/>
      <c r="D587" s="1351"/>
      <c r="E587" s="1351"/>
      <c r="F587" s="1351"/>
      <c r="G587" s="1184"/>
      <c r="H587" s="1351"/>
      <c r="I587" s="1184"/>
      <c r="J587" s="1351"/>
      <c r="K587" s="1184"/>
      <c r="L587" s="1184"/>
      <c r="M587" s="1184"/>
      <c r="N587" s="1351"/>
      <c r="O587" s="1351"/>
      <c r="P587" s="1163"/>
      <c r="Q587" s="1163"/>
    </row>
    <row r="588" ht="12.75" customHeight="1">
      <c r="A588" s="1351"/>
      <c r="B588" s="1351"/>
      <c r="C588" s="1351"/>
      <c r="D588" s="1351"/>
      <c r="E588" s="1351"/>
      <c r="F588" s="1351"/>
      <c r="G588" s="1184"/>
      <c r="H588" s="1351"/>
      <c r="I588" s="1184"/>
      <c r="J588" s="1351"/>
      <c r="K588" s="1184"/>
      <c r="L588" s="1184"/>
      <c r="M588" s="1184"/>
      <c r="N588" s="1351"/>
      <c r="O588" s="1351"/>
      <c r="P588" s="1163"/>
      <c r="Q588" s="1163"/>
    </row>
    <row r="589" ht="12.75" customHeight="1">
      <c r="A589" s="1351"/>
      <c r="B589" s="1351"/>
      <c r="C589" s="1351"/>
      <c r="D589" s="1351"/>
      <c r="E589" s="1351"/>
      <c r="F589" s="1351"/>
      <c r="G589" s="1184"/>
      <c r="H589" s="1351"/>
      <c r="I589" s="1184"/>
      <c r="J589" s="1351"/>
      <c r="K589" s="1184"/>
      <c r="L589" s="1184"/>
      <c r="M589" s="1184"/>
      <c r="N589" s="1351"/>
      <c r="O589" s="1351"/>
      <c r="P589" s="1163"/>
      <c r="Q589" s="1163"/>
    </row>
    <row r="590" ht="12.75" customHeight="1">
      <c r="A590" s="1351"/>
      <c r="B590" s="1351"/>
      <c r="C590" s="1351"/>
      <c r="D590" s="1351"/>
      <c r="E590" s="1351"/>
      <c r="F590" s="1351"/>
      <c r="G590" s="1184"/>
      <c r="H590" s="1351"/>
      <c r="I590" s="1184"/>
      <c r="J590" s="1351"/>
      <c r="K590" s="1184"/>
      <c r="L590" s="1184"/>
      <c r="M590" s="1184"/>
      <c r="N590" s="1351"/>
      <c r="O590" s="1351"/>
      <c r="P590" s="1163"/>
      <c r="Q590" s="1163"/>
    </row>
    <row r="591" ht="12.75" customHeight="1">
      <c r="A591" s="1351"/>
      <c r="B591" s="1351"/>
      <c r="C591" s="1351"/>
      <c r="D591" s="1351"/>
      <c r="E591" s="1351"/>
      <c r="F591" s="1351"/>
      <c r="G591" s="1184"/>
      <c r="H591" s="1351"/>
      <c r="I591" s="1184"/>
      <c r="J591" s="1351"/>
      <c r="K591" s="1184"/>
      <c r="L591" s="1184"/>
      <c r="M591" s="1184"/>
      <c r="N591" s="1351"/>
      <c r="O591" s="1351"/>
      <c r="P591" s="1163"/>
      <c r="Q591" s="1163"/>
    </row>
    <row r="592" ht="12.75" customHeight="1">
      <c r="A592" s="1351"/>
      <c r="B592" s="1351"/>
      <c r="C592" s="1351"/>
      <c r="D592" s="1351"/>
      <c r="E592" s="1351"/>
      <c r="F592" s="1351"/>
      <c r="G592" s="1184"/>
      <c r="H592" s="1351"/>
      <c r="I592" s="1184"/>
      <c r="J592" s="1351"/>
      <c r="K592" s="1184"/>
      <c r="L592" s="1184"/>
      <c r="M592" s="1184"/>
      <c r="N592" s="1351"/>
      <c r="O592" s="1351"/>
      <c r="P592" s="1163"/>
      <c r="Q592" s="1163"/>
    </row>
    <row r="593" ht="12.75" customHeight="1">
      <c r="A593" s="1351"/>
      <c r="B593" s="1351"/>
      <c r="C593" s="1351"/>
      <c r="D593" s="1351"/>
      <c r="E593" s="1351"/>
      <c r="F593" s="1351"/>
      <c r="G593" s="1184"/>
      <c r="H593" s="1351"/>
      <c r="I593" s="1184"/>
      <c r="J593" s="1351"/>
      <c r="K593" s="1184"/>
      <c r="L593" s="1184"/>
      <c r="M593" s="1184"/>
      <c r="N593" s="1351"/>
      <c r="O593" s="1351"/>
      <c r="P593" s="1163"/>
      <c r="Q593" s="1163"/>
    </row>
    <row r="594" ht="12.75" customHeight="1">
      <c r="A594" s="1351"/>
      <c r="B594" s="1351"/>
      <c r="C594" s="1351"/>
      <c r="D594" s="1351"/>
      <c r="E594" s="1351"/>
      <c r="F594" s="1351"/>
      <c r="G594" s="1184"/>
      <c r="H594" s="1351"/>
      <c r="I594" s="1184"/>
      <c r="J594" s="1351"/>
      <c r="K594" s="1184"/>
      <c r="L594" s="1184"/>
      <c r="M594" s="1184"/>
      <c r="N594" s="1351"/>
      <c r="O594" s="1351"/>
      <c r="P594" s="1163"/>
      <c r="Q594" s="1163"/>
    </row>
    <row r="595" ht="12.75" customHeight="1">
      <c r="A595" s="1351"/>
      <c r="B595" s="1351"/>
      <c r="C595" s="1351"/>
      <c r="D595" s="1351"/>
      <c r="E595" s="1351"/>
      <c r="F595" s="1351"/>
      <c r="G595" s="1184"/>
      <c r="H595" s="1351"/>
      <c r="I595" s="1184"/>
      <c r="J595" s="1351"/>
      <c r="K595" s="1184"/>
      <c r="L595" s="1184"/>
      <c r="M595" s="1184"/>
      <c r="N595" s="1351"/>
      <c r="O595" s="1351"/>
      <c r="P595" s="1163"/>
      <c r="Q595" s="1163"/>
    </row>
    <row r="596" ht="12.75" customHeight="1">
      <c r="A596" s="1351"/>
      <c r="B596" s="1351"/>
      <c r="C596" s="1351"/>
      <c r="D596" s="1351"/>
      <c r="E596" s="1351"/>
      <c r="F596" s="1351"/>
      <c r="G596" s="1184"/>
      <c r="H596" s="1351"/>
      <c r="I596" s="1184"/>
      <c r="J596" s="1351"/>
      <c r="K596" s="1184"/>
      <c r="L596" s="1184"/>
      <c r="M596" s="1184"/>
      <c r="N596" s="1351"/>
      <c r="O596" s="1351"/>
      <c r="P596" s="1163"/>
      <c r="Q596" s="1163"/>
    </row>
    <row r="597" ht="12.75" customHeight="1">
      <c r="A597" s="1351"/>
      <c r="B597" s="1351"/>
      <c r="C597" s="1351"/>
      <c r="D597" s="1351"/>
      <c r="E597" s="1351"/>
      <c r="F597" s="1351"/>
      <c r="G597" s="1184"/>
      <c r="H597" s="1351"/>
      <c r="I597" s="1184"/>
      <c r="J597" s="1351"/>
      <c r="K597" s="1184"/>
      <c r="L597" s="1184"/>
      <c r="M597" s="1184"/>
      <c r="N597" s="1351"/>
      <c r="O597" s="1351"/>
      <c r="P597" s="1163"/>
      <c r="Q597" s="1163"/>
    </row>
    <row r="598" ht="12.75" customHeight="1">
      <c r="A598" s="1351"/>
      <c r="B598" s="1351"/>
      <c r="C598" s="1351"/>
      <c r="D598" s="1351"/>
      <c r="E598" s="1351"/>
      <c r="F598" s="1351"/>
      <c r="G598" s="1184"/>
      <c r="H598" s="1351"/>
      <c r="I598" s="1184"/>
      <c r="J598" s="1351"/>
      <c r="K598" s="1184"/>
      <c r="L598" s="1184"/>
      <c r="M598" s="1184"/>
      <c r="N598" s="1351"/>
      <c r="O598" s="1351"/>
      <c r="P598" s="1163"/>
      <c r="Q598" s="1163"/>
    </row>
    <row r="599" ht="12.75" customHeight="1">
      <c r="A599" s="1351"/>
      <c r="B599" s="1351"/>
      <c r="C599" s="1351"/>
      <c r="D599" s="1351"/>
      <c r="E599" s="1351"/>
      <c r="F599" s="1351"/>
      <c r="G599" s="1184"/>
      <c r="H599" s="1351"/>
      <c r="I599" s="1184"/>
      <c r="J599" s="1351"/>
      <c r="K599" s="1184"/>
      <c r="L599" s="1184"/>
      <c r="M599" s="1184"/>
      <c r="N599" s="1351"/>
      <c r="O599" s="1351"/>
      <c r="P599" s="1163"/>
      <c r="Q599" s="1163"/>
    </row>
    <row r="600" ht="12.75" customHeight="1">
      <c r="A600" s="1351"/>
      <c r="B600" s="1351"/>
      <c r="C600" s="1351"/>
      <c r="D600" s="1351"/>
      <c r="E600" s="1351"/>
      <c r="F600" s="1351"/>
      <c r="G600" s="1184"/>
      <c r="H600" s="1351"/>
      <c r="I600" s="1184"/>
      <c r="J600" s="1351"/>
      <c r="K600" s="1184"/>
      <c r="L600" s="1184"/>
      <c r="M600" s="1184"/>
      <c r="N600" s="1351"/>
      <c r="O600" s="1351"/>
      <c r="P600" s="1163"/>
      <c r="Q600" s="1163"/>
    </row>
    <row r="601" ht="12.75" customHeight="1">
      <c r="A601" s="1351"/>
      <c r="B601" s="1351"/>
      <c r="C601" s="1351"/>
      <c r="D601" s="1351"/>
      <c r="E601" s="1351"/>
      <c r="F601" s="1351"/>
      <c r="G601" s="1184"/>
      <c r="H601" s="1351"/>
      <c r="I601" s="1184"/>
      <c r="J601" s="1351"/>
      <c r="K601" s="1184"/>
      <c r="L601" s="1184"/>
      <c r="M601" s="1184"/>
      <c r="N601" s="1351"/>
      <c r="O601" s="1351"/>
      <c r="P601" s="1163"/>
      <c r="Q601" s="1163"/>
    </row>
    <row r="602" ht="12.75" customHeight="1">
      <c r="A602" s="1351"/>
      <c r="B602" s="1351"/>
      <c r="C602" s="1351"/>
      <c r="D602" s="1351"/>
      <c r="E602" s="1351"/>
      <c r="F602" s="1351"/>
      <c r="G602" s="1184"/>
      <c r="H602" s="1351"/>
      <c r="I602" s="1184"/>
      <c r="J602" s="1351"/>
      <c r="K602" s="1184"/>
      <c r="L602" s="1184"/>
      <c r="M602" s="1184"/>
      <c r="N602" s="1351"/>
      <c r="O602" s="1351"/>
      <c r="P602" s="1163"/>
      <c r="Q602" s="1163"/>
    </row>
    <row r="603" ht="12.75" customHeight="1">
      <c r="A603" s="1351"/>
      <c r="B603" s="1351"/>
      <c r="C603" s="1351"/>
      <c r="D603" s="1351"/>
      <c r="E603" s="1351"/>
      <c r="F603" s="1351"/>
      <c r="G603" s="1184"/>
      <c r="H603" s="1351"/>
      <c r="I603" s="1184"/>
      <c r="J603" s="1351"/>
      <c r="K603" s="1184"/>
      <c r="L603" s="1184"/>
      <c r="M603" s="1184"/>
      <c r="N603" s="1351"/>
      <c r="O603" s="1351"/>
      <c r="P603" s="1163"/>
      <c r="Q603" s="1163"/>
    </row>
    <row r="604" ht="12.75" customHeight="1">
      <c r="A604" s="1351"/>
      <c r="B604" s="1351"/>
      <c r="C604" s="1351"/>
      <c r="D604" s="1351"/>
      <c r="E604" s="1351"/>
      <c r="F604" s="1351"/>
      <c r="G604" s="1184"/>
      <c r="H604" s="1351"/>
      <c r="I604" s="1184"/>
      <c r="J604" s="1351"/>
      <c r="K604" s="1184"/>
      <c r="L604" s="1184"/>
      <c r="M604" s="1184"/>
      <c r="N604" s="1351"/>
      <c r="O604" s="1351"/>
      <c r="P604" s="1163"/>
      <c r="Q604" s="1163"/>
    </row>
    <row r="605" ht="12.75" customHeight="1">
      <c r="A605" s="1351"/>
      <c r="B605" s="1351"/>
      <c r="C605" s="1351"/>
      <c r="D605" s="1351"/>
      <c r="E605" s="1351"/>
      <c r="F605" s="1351"/>
      <c r="G605" s="1184"/>
      <c r="H605" s="1351"/>
      <c r="I605" s="1184"/>
      <c r="J605" s="1351"/>
      <c r="K605" s="1184"/>
      <c r="L605" s="1184"/>
      <c r="M605" s="1184"/>
      <c r="N605" s="1351"/>
      <c r="O605" s="1351"/>
      <c r="P605" s="1163"/>
      <c r="Q605" s="1163"/>
    </row>
    <row r="606" ht="12.75" customHeight="1">
      <c r="A606" s="1351"/>
      <c r="B606" s="1351"/>
      <c r="C606" s="1351"/>
      <c r="D606" s="1351"/>
      <c r="E606" s="1351"/>
      <c r="F606" s="1351"/>
      <c r="G606" s="1184"/>
      <c r="H606" s="1351"/>
      <c r="I606" s="1184"/>
      <c r="J606" s="1351"/>
      <c r="K606" s="1184"/>
      <c r="L606" s="1184"/>
      <c r="M606" s="1184"/>
      <c r="N606" s="1351"/>
      <c r="O606" s="1351"/>
      <c r="P606" s="1163"/>
      <c r="Q606" s="1163"/>
    </row>
    <row r="607" ht="12.75" customHeight="1">
      <c r="A607" s="1351"/>
      <c r="B607" s="1351"/>
      <c r="C607" s="1351"/>
      <c r="D607" s="1351"/>
      <c r="E607" s="1351"/>
      <c r="F607" s="1351"/>
      <c r="G607" s="1184"/>
      <c r="H607" s="1351"/>
      <c r="I607" s="1184"/>
      <c r="J607" s="1351"/>
      <c r="K607" s="1184"/>
      <c r="L607" s="1184"/>
      <c r="M607" s="1184"/>
      <c r="N607" s="1351"/>
      <c r="O607" s="1351"/>
      <c r="P607" s="1163"/>
      <c r="Q607" s="1163"/>
    </row>
    <row r="608" ht="12.75" customHeight="1">
      <c r="A608" s="1351"/>
      <c r="B608" s="1351"/>
      <c r="C608" s="1351"/>
      <c r="D608" s="1351"/>
      <c r="E608" s="1351"/>
      <c r="F608" s="1351"/>
      <c r="G608" s="1184"/>
      <c r="H608" s="1351"/>
      <c r="I608" s="1184"/>
      <c r="J608" s="1351"/>
      <c r="K608" s="1184"/>
      <c r="L608" s="1184"/>
      <c r="M608" s="1184"/>
      <c r="N608" s="1351"/>
      <c r="O608" s="1351"/>
      <c r="P608" s="1163"/>
      <c r="Q608" s="1163"/>
    </row>
    <row r="609" ht="12.75" customHeight="1">
      <c r="A609" s="1351"/>
      <c r="B609" s="1351"/>
      <c r="C609" s="1351"/>
      <c r="D609" s="1351"/>
      <c r="E609" s="1351"/>
      <c r="F609" s="1351"/>
      <c r="G609" s="1184"/>
      <c r="H609" s="1351"/>
      <c r="I609" s="1184"/>
      <c r="J609" s="1351"/>
      <c r="K609" s="1184"/>
      <c r="L609" s="1184"/>
      <c r="M609" s="1184"/>
      <c r="N609" s="1351"/>
      <c r="O609" s="1351"/>
      <c r="P609" s="1163"/>
      <c r="Q609" s="1163"/>
    </row>
    <row r="610" ht="12.75" customHeight="1">
      <c r="A610" s="1351"/>
      <c r="B610" s="1351"/>
      <c r="C610" s="1351"/>
      <c r="D610" s="1351"/>
      <c r="E610" s="1351"/>
      <c r="F610" s="1351"/>
      <c r="G610" s="1184"/>
      <c r="H610" s="1351"/>
      <c r="I610" s="1184"/>
      <c r="J610" s="1351"/>
      <c r="K610" s="1184"/>
      <c r="L610" s="1184"/>
      <c r="M610" s="1184"/>
      <c r="N610" s="1351"/>
      <c r="O610" s="1351"/>
      <c r="P610" s="1163"/>
      <c r="Q610" s="1163"/>
    </row>
    <row r="611" ht="12.75" customHeight="1">
      <c r="A611" s="1351"/>
      <c r="B611" s="1351"/>
      <c r="C611" s="1351"/>
      <c r="D611" s="1351"/>
      <c r="E611" s="1351"/>
      <c r="F611" s="1351"/>
      <c r="G611" s="1184"/>
      <c r="H611" s="1351"/>
      <c r="I611" s="1184"/>
      <c r="J611" s="1351"/>
      <c r="K611" s="1184"/>
      <c r="L611" s="1184"/>
      <c r="M611" s="1184"/>
      <c r="N611" s="1351"/>
      <c r="O611" s="1351"/>
      <c r="P611" s="1163"/>
      <c r="Q611" s="1163"/>
    </row>
    <row r="612" ht="12.75" customHeight="1">
      <c r="A612" s="1351"/>
      <c r="B612" s="1351"/>
      <c r="C612" s="1351"/>
      <c r="D612" s="1351"/>
      <c r="E612" s="1351"/>
      <c r="F612" s="1351"/>
      <c r="G612" s="1184"/>
      <c r="H612" s="1351"/>
      <c r="I612" s="1184"/>
      <c r="J612" s="1351"/>
      <c r="K612" s="1184"/>
      <c r="L612" s="1184"/>
      <c r="M612" s="1184"/>
      <c r="N612" s="1351"/>
      <c r="O612" s="1351"/>
      <c r="P612" s="1163"/>
      <c r="Q612" s="1163"/>
    </row>
    <row r="613" ht="12.75" customHeight="1">
      <c r="A613" s="1351"/>
      <c r="B613" s="1351"/>
      <c r="C613" s="1351"/>
      <c r="D613" s="1351"/>
      <c r="E613" s="1351"/>
      <c r="F613" s="1351"/>
      <c r="G613" s="1184"/>
      <c r="H613" s="1351"/>
      <c r="I613" s="1184"/>
      <c r="J613" s="1351"/>
      <c r="K613" s="1184"/>
      <c r="L613" s="1184"/>
      <c r="M613" s="1184"/>
      <c r="N613" s="1351"/>
      <c r="O613" s="1351"/>
      <c r="P613" s="1163"/>
      <c r="Q613" s="1163"/>
    </row>
    <row r="614" ht="12.75" customHeight="1">
      <c r="A614" s="1351"/>
      <c r="B614" s="1351"/>
      <c r="C614" s="1351"/>
      <c r="D614" s="1351"/>
      <c r="E614" s="1351"/>
      <c r="F614" s="1351"/>
      <c r="G614" s="1184"/>
      <c r="H614" s="1351"/>
      <c r="I614" s="1184"/>
      <c r="J614" s="1351"/>
      <c r="K614" s="1184"/>
      <c r="L614" s="1184"/>
      <c r="M614" s="1184"/>
      <c r="N614" s="1351"/>
      <c r="O614" s="1351"/>
      <c r="P614" s="1163"/>
      <c r="Q614" s="1163"/>
    </row>
    <row r="615" ht="12.75" customHeight="1">
      <c r="A615" s="1351"/>
      <c r="B615" s="1351"/>
      <c r="C615" s="1351"/>
      <c r="D615" s="1351"/>
      <c r="E615" s="1351"/>
      <c r="F615" s="1351"/>
      <c r="G615" s="1184"/>
      <c r="H615" s="1351"/>
      <c r="I615" s="1184"/>
      <c r="J615" s="1351"/>
      <c r="K615" s="1184"/>
      <c r="L615" s="1184"/>
      <c r="M615" s="1184"/>
      <c r="N615" s="1351"/>
      <c r="O615" s="1351"/>
      <c r="P615" s="1163"/>
      <c r="Q615" s="1163"/>
    </row>
    <row r="616" ht="12.75" customHeight="1">
      <c r="A616" s="1351"/>
      <c r="B616" s="1351"/>
      <c r="C616" s="1351"/>
      <c r="D616" s="1351"/>
      <c r="E616" s="1351"/>
      <c r="F616" s="1351"/>
      <c r="G616" s="1184"/>
      <c r="H616" s="1351"/>
      <c r="I616" s="1184"/>
      <c r="J616" s="1351"/>
      <c r="K616" s="1184"/>
      <c r="L616" s="1184"/>
      <c r="M616" s="1184"/>
      <c r="N616" s="1351"/>
      <c r="O616" s="1351"/>
      <c r="P616" s="1163"/>
      <c r="Q616" s="1163"/>
    </row>
    <row r="617" ht="12.75" customHeight="1">
      <c r="A617" s="1351"/>
      <c r="B617" s="1351"/>
      <c r="C617" s="1351"/>
      <c r="D617" s="1351"/>
      <c r="E617" s="1351"/>
      <c r="F617" s="1351"/>
      <c r="G617" s="1184"/>
      <c r="H617" s="1351"/>
      <c r="I617" s="1184"/>
      <c r="J617" s="1351"/>
      <c r="K617" s="1184"/>
      <c r="L617" s="1184"/>
      <c r="M617" s="1184"/>
      <c r="N617" s="1351"/>
      <c r="O617" s="1351"/>
      <c r="P617" s="1163"/>
      <c r="Q617" s="1163"/>
    </row>
    <row r="618" ht="12.75" customHeight="1">
      <c r="A618" s="1351"/>
      <c r="B618" s="1351"/>
      <c r="C618" s="1351"/>
      <c r="D618" s="1351"/>
      <c r="E618" s="1351"/>
      <c r="F618" s="1351"/>
      <c r="G618" s="1184"/>
      <c r="H618" s="1351"/>
      <c r="I618" s="1184"/>
      <c r="J618" s="1351"/>
      <c r="K618" s="1184"/>
      <c r="L618" s="1184"/>
      <c r="M618" s="1184"/>
      <c r="N618" s="1351"/>
      <c r="O618" s="1351"/>
      <c r="P618" s="1163"/>
      <c r="Q618" s="1163"/>
    </row>
    <row r="619" ht="12.75" customHeight="1">
      <c r="A619" s="1351"/>
      <c r="B619" s="1351"/>
      <c r="C619" s="1351"/>
      <c r="D619" s="1351"/>
      <c r="E619" s="1351"/>
      <c r="F619" s="1351"/>
      <c r="G619" s="1184"/>
      <c r="H619" s="1351"/>
      <c r="I619" s="1184"/>
      <c r="J619" s="1351"/>
      <c r="K619" s="1184"/>
      <c r="L619" s="1184"/>
      <c r="M619" s="1184"/>
      <c r="N619" s="1351"/>
      <c r="O619" s="1351"/>
      <c r="P619" s="1163"/>
      <c r="Q619" s="1163"/>
    </row>
    <row r="620" ht="12.75" customHeight="1">
      <c r="A620" s="1351"/>
      <c r="B620" s="1351"/>
      <c r="C620" s="1351"/>
      <c r="D620" s="1351"/>
      <c r="E620" s="1351"/>
      <c r="F620" s="1351"/>
      <c r="G620" s="1184"/>
      <c r="H620" s="1351"/>
      <c r="I620" s="1184"/>
      <c r="J620" s="1351"/>
      <c r="K620" s="1184"/>
      <c r="L620" s="1184"/>
      <c r="M620" s="1184"/>
      <c r="N620" s="1351"/>
      <c r="O620" s="1351"/>
      <c r="P620" s="1163"/>
      <c r="Q620" s="1163"/>
    </row>
    <row r="621" ht="12.75" customHeight="1">
      <c r="A621" s="1351"/>
      <c r="B621" s="1351"/>
      <c r="C621" s="1351"/>
      <c r="D621" s="1351"/>
      <c r="E621" s="1351"/>
      <c r="F621" s="1351"/>
      <c r="G621" s="1184"/>
      <c r="H621" s="1351"/>
      <c r="I621" s="1184"/>
      <c r="J621" s="1351"/>
      <c r="K621" s="1184"/>
      <c r="L621" s="1184"/>
      <c r="M621" s="1184"/>
      <c r="N621" s="1351"/>
      <c r="O621" s="1351"/>
      <c r="P621" s="1163"/>
      <c r="Q621" s="1163"/>
    </row>
    <row r="622" ht="12.75" customHeight="1">
      <c r="A622" s="1351"/>
      <c r="B622" s="1351"/>
      <c r="C622" s="1351"/>
      <c r="D622" s="1351"/>
      <c r="E622" s="1351"/>
      <c r="F622" s="1351"/>
      <c r="G622" s="1184"/>
      <c r="H622" s="1351"/>
      <c r="I622" s="1184"/>
      <c r="J622" s="1351"/>
      <c r="K622" s="1184"/>
      <c r="L622" s="1184"/>
      <c r="M622" s="1184"/>
      <c r="N622" s="1351"/>
      <c r="O622" s="1351"/>
      <c r="P622" s="1163"/>
      <c r="Q622" s="1163"/>
    </row>
    <row r="623" ht="12.75" customHeight="1">
      <c r="A623" s="1351"/>
      <c r="B623" s="1351"/>
      <c r="C623" s="1351"/>
      <c r="D623" s="1351"/>
      <c r="E623" s="1351"/>
      <c r="F623" s="1351"/>
      <c r="G623" s="1184"/>
      <c r="H623" s="1351"/>
      <c r="I623" s="1184"/>
      <c r="J623" s="1351"/>
      <c r="K623" s="1184"/>
      <c r="L623" s="1184"/>
      <c r="M623" s="1184"/>
      <c r="N623" s="1351"/>
      <c r="O623" s="1351"/>
      <c r="P623" s="1163"/>
      <c r="Q623" s="1163"/>
    </row>
    <row r="624" ht="12.75" customHeight="1">
      <c r="A624" s="1351"/>
      <c r="B624" s="1351"/>
      <c r="C624" s="1351"/>
      <c r="D624" s="1351"/>
      <c r="E624" s="1351"/>
      <c r="F624" s="1351"/>
      <c r="G624" s="1184"/>
      <c r="H624" s="1351"/>
      <c r="I624" s="1184"/>
      <c r="J624" s="1351"/>
      <c r="K624" s="1184"/>
      <c r="L624" s="1184"/>
      <c r="M624" s="1184"/>
      <c r="N624" s="1351"/>
      <c r="O624" s="1351"/>
      <c r="P624" s="1163"/>
      <c r="Q624" s="1163"/>
    </row>
    <row r="625" ht="12.75" customHeight="1">
      <c r="A625" s="1351"/>
      <c r="B625" s="1351"/>
      <c r="C625" s="1351"/>
      <c r="D625" s="1351"/>
      <c r="E625" s="1351"/>
      <c r="F625" s="1351"/>
      <c r="G625" s="1184"/>
      <c r="H625" s="1351"/>
      <c r="I625" s="1184"/>
      <c r="J625" s="1351"/>
      <c r="K625" s="1184"/>
      <c r="L625" s="1184"/>
      <c r="M625" s="1184"/>
      <c r="N625" s="1351"/>
      <c r="O625" s="1351"/>
      <c r="P625" s="1163"/>
      <c r="Q625" s="1163"/>
    </row>
    <row r="626" ht="12.75" customHeight="1">
      <c r="A626" s="1351"/>
      <c r="B626" s="1351"/>
      <c r="C626" s="1351"/>
      <c r="D626" s="1351"/>
      <c r="E626" s="1351"/>
      <c r="F626" s="1351"/>
      <c r="G626" s="1184"/>
      <c r="H626" s="1351"/>
      <c r="I626" s="1184"/>
      <c r="J626" s="1351"/>
      <c r="K626" s="1184"/>
      <c r="L626" s="1184"/>
      <c r="M626" s="1184"/>
      <c r="N626" s="1351"/>
      <c r="O626" s="1351"/>
      <c r="P626" s="1163"/>
      <c r="Q626" s="1163"/>
    </row>
    <row r="627" ht="12.75" customHeight="1">
      <c r="A627" s="1351"/>
      <c r="B627" s="1351"/>
      <c r="C627" s="1351"/>
      <c r="D627" s="1351"/>
      <c r="E627" s="1351"/>
      <c r="F627" s="1351"/>
      <c r="G627" s="1184"/>
      <c r="H627" s="1351"/>
      <c r="I627" s="1184"/>
      <c r="J627" s="1351"/>
      <c r="K627" s="1184"/>
      <c r="L627" s="1184"/>
      <c r="M627" s="1184"/>
      <c r="N627" s="1351"/>
      <c r="O627" s="1351"/>
      <c r="P627" s="1163"/>
      <c r="Q627" s="1163"/>
    </row>
    <row r="628" ht="12.75" customHeight="1">
      <c r="A628" s="1351"/>
      <c r="B628" s="1351"/>
      <c r="C628" s="1351"/>
      <c r="D628" s="1351"/>
      <c r="E628" s="1351"/>
      <c r="F628" s="1351"/>
      <c r="G628" s="1184"/>
      <c r="H628" s="1351"/>
      <c r="I628" s="1184"/>
      <c r="J628" s="1351"/>
      <c r="K628" s="1184"/>
      <c r="L628" s="1184"/>
      <c r="M628" s="1184"/>
      <c r="N628" s="1351"/>
      <c r="O628" s="1351"/>
      <c r="P628" s="1163"/>
      <c r="Q628" s="1163"/>
    </row>
    <row r="629" ht="12.75" customHeight="1">
      <c r="A629" s="1351"/>
      <c r="B629" s="1351"/>
      <c r="C629" s="1351"/>
      <c r="D629" s="1351"/>
      <c r="E629" s="1351"/>
      <c r="F629" s="1351"/>
      <c r="G629" s="1184"/>
      <c r="H629" s="1351"/>
      <c r="I629" s="1184"/>
      <c r="J629" s="1351"/>
      <c r="K629" s="1184"/>
      <c r="L629" s="1184"/>
      <c r="M629" s="1184"/>
      <c r="N629" s="1351"/>
      <c r="O629" s="1351"/>
      <c r="P629" s="1163"/>
      <c r="Q629" s="1163"/>
    </row>
    <row r="630" ht="12.75" customHeight="1">
      <c r="A630" s="1351"/>
      <c r="B630" s="1351"/>
      <c r="C630" s="1351"/>
      <c r="D630" s="1351"/>
      <c r="E630" s="1351"/>
      <c r="F630" s="1351"/>
      <c r="G630" s="1184"/>
      <c r="H630" s="1351"/>
      <c r="I630" s="1184"/>
      <c r="J630" s="1351"/>
      <c r="K630" s="1184"/>
      <c r="L630" s="1184"/>
      <c r="M630" s="1184"/>
      <c r="N630" s="1351"/>
      <c r="O630" s="1351"/>
      <c r="P630" s="1163"/>
      <c r="Q630" s="1163"/>
    </row>
    <row r="631" ht="12.75" customHeight="1">
      <c r="A631" s="1351"/>
      <c r="B631" s="1351"/>
      <c r="C631" s="1351"/>
      <c r="D631" s="1351"/>
      <c r="E631" s="1351"/>
      <c r="F631" s="1351"/>
      <c r="G631" s="1184"/>
      <c r="H631" s="1351"/>
      <c r="I631" s="1184"/>
      <c r="J631" s="1351"/>
      <c r="K631" s="1184"/>
      <c r="L631" s="1184"/>
      <c r="M631" s="1184"/>
      <c r="N631" s="1351"/>
      <c r="O631" s="1351"/>
      <c r="P631" s="1163"/>
      <c r="Q631" s="1163"/>
    </row>
    <row r="632" ht="12.75" customHeight="1">
      <c r="A632" s="1351"/>
      <c r="B632" s="1351"/>
      <c r="C632" s="1351"/>
      <c r="D632" s="1351"/>
      <c r="E632" s="1351"/>
      <c r="F632" s="1351"/>
      <c r="G632" s="1184"/>
      <c r="H632" s="1351"/>
      <c r="I632" s="1184"/>
      <c r="J632" s="1351"/>
      <c r="K632" s="1184"/>
      <c r="L632" s="1184"/>
      <c r="M632" s="1184"/>
      <c r="N632" s="1351"/>
      <c r="O632" s="1351"/>
      <c r="P632" s="1163"/>
      <c r="Q632" s="1163"/>
    </row>
    <row r="633" ht="12.75" customHeight="1">
      <c r="A633" s="1351"/>
      <c r="B633" s="1351"/>
      <c r="C633" s="1351"/>
      <c r="D633" s="1351"/>
      <c r="E633" s="1351"/>
      <c r="F633" s="1351"/>
      <c r="G633" s="1184"/>
      <c r="H633" s="1351"/>
      <c r="I633" s="1184"/>
      <c r="J633" s="1351"/>
      <c r="K633" s="1184"/>
      <c r="L633" s="1184"/>
      <c r="M633" s="1184"/>
      <c r="N633" s="1351"/>
      <c r="O633" s="1351"/>
      <c r="P633" s="1163"/>
      <c r="Q633" s="1163"/>
    </row>
    <row r="634" ht="12.75" customHeight="1">
      <c r="A634" s="1351"/>
      <c r="B634" s="1351"/>
      <c r="C634" s="1351"/>
      <c r="D634" s="1351"/>
      <c r="E634" s="1351"/>
      <c r="F634" s="1351"/>
      <c r="G634" s="1184"/>
      <c r="H634" s="1351"/>
      <c r="I634" s="1184"/>
      <c r="J634" s="1351"/>
      <c r="K634" s="1184"/>
      <c r="L634" s="1184"/>
      <c r="M634" s="1184"/>
      <c r="N634" s="1351"/>
      <c r="O634" s="1351"/>
      <c r="P634" s="1163"/>
      <c r="Q634" s="1163"/>
    </row>
    <row r="635" ht="12.75" customHeight="1">
      <c r="A635" s="1351"/>
      <c r="B635" s="1351"/>
      <c r="C635" s="1351"/>
      <c r="D635" s="1351"/>
      <c r="E635" s="1351"/>
      <c r="F635" s="1351"/>
      <c r="G635" s="1184"/>
      <c r="H635" s="1351"/>
      <c r="I635" s="1184"/>
      <c r="J635" s="1351"/>
      <c r="K635" s="1184"/>
      <c r="L635" s="1184"/>
      <c r="M635" s="1184"/>
      <c r="N635" s="1351"/>
      <c r="O635" s="1351"/>
      <c r="P635" s="1163"/>
      <c r="Q635" s="1163"/>
    </row>
    <row r="636" ht="12.75" customHeight="1">
      <c r="A636" s="1351"/>
      <c r="B636" s="1351"/>
      <c r="C636" s="1351"/>
      <c r="D636" s="1351"/>
      <c r="E636" s="1351"/>
      <c r="F636" s="1351"/>
      <c r="G636" s="1184"/>
      <c r="H636" s="1351"/>
      <c r="I636" s="1184"/>
      <c r="J636" s="1351"/>
      <c r="K636" s="1184"/>
      <c r="L636" s="1184"/>
      <c r="M636" s="1184"/>
      <c r="N636" s="1351"/>
      <c r="O636" s="1351"/>
      <c r="P636" s="1163"/>
      <c r="Q636" s="1163"/>
    </row>
    <row r="637" ht="12.75" customHeight="1">
      <c r="A637" s="1351"/>
      <c r="B637" s="1351"/>
      <c r="C637" s="1351"/>
      <c r="D637" s="1351"/>
      <c r="E637" s="1351"/>
      <c r="F637" s="1351"/>
      <c r="G637" s="1184"/>
      <c r="H637" s="1351"/>
      <c r="I637" s="1184"/>
      <c r="J637" s="1351"/>
      <c r="K637" s="1184"/>
      <c r="L637" s="1184"/>
      <c r="M637" s="1184"/>
      <c r="N637" s="1351"/>
      <c r="O637" s="1351"/>
      <c r="P637" s="1163"/>
      <c r="Q637" s="1163"/>
    </row>
    <row r="638" ht="12.75" customHeight="1">
      <c r="A638" s="1351"/>
      <c r="B638" s="1351"/>
      <c r="C638" s="1351"/>
      <c r="D638" s="1351"/>
      <c r="E638" s="1351"/>
      <c r="F638" s="1351"/>
      <c r="G638" s="1184"/>
      <c r="H638" s="1351"/>
      <c r="I638" s="1184"/>
      <c r="J638" s="1351"/>
      <c r="K638" s="1184"/>
      <c r="L638" s="1184"/>
      <c r="M638" s="1184"/>
      <c r="N638" s="1351"/>
      <c r="O638" s="1351"/>
      <c r="P638" s="1163"/>
      <c r="Q638" s="1163"/>
    </row>
    <row r="639" ht="12.75" customHeight="1">
      <c r="A639" s="1351"/>
      <c r="B639" s="1351"/>
      <c r="C639" s="1351"/>
      <c r="D639" s="1351"/>
      <c r="E639" s="1351"/>
      <c r="F639" s="1351"/>
      <c r="G639" s="1184"/>
      <c r="H639" s="1351"/>
      <c r="I639" s="1184"/>
      <c r="J639" s="1351"/>
      <c r="K639" s="1184"/>
      <c r="L639" s="1184"/>
      <c r="M639" s="1184"/>
      <c r="N639" s="1351"/>
      <c r="O639" s="1351"/>
      <c r="P639" s="1163"/>
      <c r="Q639" s="1163"/>
    </row>
    <row r="640" ht="12.75" customHeight="1">
      <c r="A640" s="1351"/>
      <c r="B640" s="1351"/>
      <c r="C640" s="1351"/>
      <c r="D640" s="1351"/>
      <c r="E640" s="1351"/>
      <c r="F640" s="1351"/>
      <c r="G640" s="1184"/>
      <c r="H640" s="1351"/>
      <c r="I640" s="1184"/>
      <c r="J640" s="1351"/>
      <c r="K640" s="1184"/>
      <c r="L640" s="1184"/>
      <c r="M640" s="1184"/>
      <c r="N640" s="1351"/>
      <c r="O640" s="1351"/>
      <c r="P640" s="1163"/>
      <c r="Q640" s="1163"/>
    </row>
    <row r="641" ht="12.75" customHeight="1">
      <c r="A641" s="1351"/>
      <c r="B641" s="1351"/>
      <c r="C641" s="1351"/>
      <c r="D641" s="1351"/>
      <c r="E641" s="1351"/>
      <c r="F641" s="1351"/>
      <c r="G641" s="1184"/>
      <c r="H641" s="1351"/>
      <c r="I641" s="1184"/>
      <c r="J641" s="1351"/>
      <c r="K641" s="1184"/>
      <c r="L641" s="1184"/>
      <c r="M641" s="1184"/>
      <c r="N641" s="1351"/>
      <c r="O641" s="1351"/>
      <c r="P641" s="1163"/>
      <c r="Q641" s="1163"/>
    </row>
    <row r="642" ht="12.75" customHeight="1">
      <c r="A642" s="1351"/>
      <c r="B642" s="1351"/>
      <c r="C642" s="1351"/>
      <c r="D642" s="1351"/>
      <c r="E642" s="1351"/>
      <c r="F642" s="1351"/>
      <c r="G642" s="1184"/>
      <c r="H642" s="1351"/>
      <c r="I642" s="1184"/>
      <c r="J642" s="1351"/>
      <c r="K642" s="1184"/>
      <c r="L642" s="1184"/>
      <c r="M642" s="1184"/>
      <c r="N642" s="1351"/>
      <c r="O642" s="1351"/>
      <c r="P642" s="1163"/>
      <c r="Q642" s="1163"/>
    </row>
    <row r="643" ht="12.75" customHeight="1">
      <c r="A643" s="1351"/>
      <c r="B643" s="1351"/>
      <c r="C643" s="1351"/>
      <c r="D643" s="1351"/>
      <c r="E643" s="1351"/>
      <c r="F643" s="1351"/>
      <c r="G643" s="1184"/>
      <c r="H643" s="1351"/>
      <c r="I643" s="1184"/>
      <c r="J643" s="1351"/>
      <c r="K643" s="1184"/>
      <c r="L643" s="1184"/>
      <c r="M643" s="1184"/>
      <c r="N643" s="1351"/>
      <c r="O643" s="1351"/>
      <c r="P643" s="1163"/>
      <c r="Q643" s="1163"/>
    </row>
    <row r="644" ht="12.75" customHeight="1">
      <c r="A644" s="1351"/>
      <c r="B644" s="1351"/>
      <c r="C644" s="1351"/>
      <c r="D644" s="1351"/>
      <c r="E644" s="1351"/>
      <c r="F644" s="1351"/>
      <c r="G644" s="1184"/>
      <c r="H644" s="1351"/>
      <c r="I644" s="1184"/>
      <c r="J644" s="1351"/>
      <c r="K644" s="1184"/>
      <c r="L644" s="1184"/>
      <c r="M644" s="1184"/>
      <c r="N644" s="1351"/>
      <c r="O644" s="1351"/>
      <c r="P644" s="1163"/>
      <c r="Q644" s="1163"/>
    </row>
    <row r="645" ht="12.75" customHeight="1">
      <c r="A645" s="1351"/>
      <c r="B645" s="1351"/>
      <c r="C645" s="1351"/>
      <c r="D645" s="1351"/>
      <c r="E645" s="1351"/>
      <c r="F645" s="1351"/>
      <c r="G645" s="1184"/>
      <c r="H645" s="1351"/>
      <c r="I645" s="1184"/>
      <c r="J645" s="1351"/>
      <c r="K645" s="1184"/>
      <c r="L645" s="1184"/>
      <c r="M645" s="1184"/>
      <c r="N645" s="1351"/>
      <c r="O645" s="1351"/>
      <c r="P645" s="1163"/>
      <c r="Q645" s="1163"/>
    </row>
    <row r="646" ht="12.75" customHeight="1">
      <c r="A646" s="1351"/>
      <c r="B646" s="1351"/>
      <c r="C646" s="1351"/>
      <c r="D646" s="1351"/>
      <c r="E646" s="1351"/>
      <c r="F646" s="1351"/>
      <c r="G646" s="1184"/>
      <c r="H646" s="1351"/>
      <c r="I646" s="1184"/>
      <c r="J646" s="1351"/>
      <c r="K646" s="1184"/>
      <c r="L646" s="1184"/>
      <c r="M646" s="1184"/>
      <c r="N646" s="1351"/>
      <c r="O646" s="1351"/>
      <c r="P646" s="1163"/>
      <c r="Q646" s="1163"/>
    </row>
    <row r="647" ht="12.75" customHeight="1">
      <c r="A647" s="1351"/>
      <c r="B647" s="1351"/>
      <c r="C647" s="1351"/>
      <c r="D647" s="1351"/>
      <c r="E647" s="1351"/>
      <c r="F647" s="1351"/>
      <c r="G647" s="1184"/>
      <c r="H647" s="1351"/>
      <c r="I647" s="1184"/>
      <c r="J647" s="1351"/>
      <c r="K647" s="1184"/>
      <c r="L647" s="1184"/>
      <c r="M647" s="1184"/>
      <c r="N647" s="1351"/>
      <c r="O647" s="1351"/>
      <c r="P647" s="1163"/>
      <c r="Q647" s="1163"/>
    </row>
    <row r="648" ht="12.75" customHeight="1">
      <c r="A648" s="1351"/>
      <c r="B648" s="1351"/>
      <c r="C648" s="1351"/>
      <c r="D648" s="1351"/>
      <c r="E648" s="1351"/>
      <c r="F648" s="1351"/>
      <c r="G648" s="1184"/>
      <c r="H648" s="1351"/>
      <c r="I648" s="1184"/>
      <c r="J648" s="1351"/>
      <c r="K648" s="1184"/>
      <c r="L648" s="1184"/>
      <c r="M648" s="1184"/>
      <c r="N648" s="1351"/>
      <c r="O648" s="1351"/>
      <c r="P648" s="1163"/>
      <c r="Q648" s="1163"/>
    </row>
    <row r="649" ht="12.75" customHeight="1">
      <c r="A649" s="1351"/>
      <c r="B649" s="1351"/>
      <c r="C649" s="1351"/>
      <c r="D649" s="1351"/>
      <c r="E649" s="1351"/>
      <c r="F649" s="1351"/>
      <c r="G649" s="1184"/>
      <c r="H649" s="1351"/>
      <c r="I649" s="1184"/>
      <c r="J649" s="1351"/>
      <c r="K649" s="1184"/>
      <c r="L649" s="1184"/>
      <c r="M649" s="1184"/>
      <c r="N649" s="1351"/>
      <c r="O649" s="1351"/>
      <c r="P649" s="1163"/>
      <c r="Q649" s="1163"/>
    </row>
    <row r="650" ht="12.75" customHeight="1">
      <c r="A650" s="1351"/>
      <c r="B650" s="1351"/>
      <c r="C650" s="1351"/>
      <c r="D650" s="1351"/>
      <c r="E650" s="1351"/>
      <c r="F650" s="1351"/>
      <c r="G650" s="1184"/>
      <c r="H650" s="1351"/>
      <c r="I650" s="1184"/>
      <c r="J650" s="1351"/>
      <c r="K650" s="1184"/>
      <c r="L650" s="1184"/>
      <c r="M650" s="1184"/>
      <c r="N650" s="1351"/>
      <c r="O650" s="1351"/>
      <c r="P650" s="1163"/>
      <c r="Q650" s="1163"/>
    </row>
    <row r="651" ht="12.75" customHeight="1">
      <c r="A651" s="1351"/>
      <c r="B651" s="1351"/>
      <c r="C651" s="1351"/>
      <c r="D651" s="1351"/>
      <c r="E651" s="1351"/>
      <c r="F651" s="1351"/>
      <c r="G651" s="1184"/>
      <c r="H651" s="1351"/>
      <c r="I651" s="1184"/>
      <c r="J651" s="1351"/>
      <c r="K651" s="1184"/>
      <c r="L651" s="1184"/>
      <c r="M651" s="1184"/>
      <c r="N651" s="1351"/>
      <c r="O651" s="1351"/>
      <c r="P651" s="1163"/>
      <c r="Q651" s="1163"/>
    </row>
    <row r="652" ht="12.75" customHeight="1">
      <c r="A652" s="1351"/>
      <c r="B652" s="1351"/>
      <c r="C652" s="1351"/>
      <c r="D652" s="1351"/>
      <c r="E652" s="1351"/>
      <c r="F652" s="1351"/>
      <c r="G652" s="1184"/>
      <c r="H652" s="1351"/>
      <c r="I652" s="1184"/>
      <c r="J652" s="1351"/>
      <c r="K652" s="1184"/>
      <c r="L652" s="1184"/>
      <c r="M652" s="1184"/>
      <c r="N652" s="1351"/>
      <c r="O652" s="1351"/>
      <c r="P652" s="1163"/>
      <c r="Q652" s="1163"/>
    </row>
    <row r="653" ht="12.75" customHeight="1">
      <c r="A653" s="1351"/>
      <c r="B653" s="1351"/>
      <c r="C653" s="1351"/>
      <c r="D653" s="1351"/>
      <c r="E653" s="1351"/>
      <c r="F653" s="1351"/>
      <c r="G653" s="1184"/>
      <c r="H653" s="1351"/>
      <c r="I653" s="1184"/>
      <c r="J653" s="1351"/>
      <c r="K653" s="1184"/>
      <c r="L653" s="1184"/>
      <c r="M653" s="1184"/>
      <c r="N653" s="1351"/>
      <c r="O653" s="1351"/>
      <c r="P653" s="1163"/>
      <c r="Q653" s="1163"/>
    </row>
    <row r="654" ht="12.75" customHeight="1">
      <c r="A654" s="1351"/>
      <c r="B654" s="1351"/>
      <c r="C654" s="1351"/>
      <c r="D654" s="1351"/>
      <c r="E654" s="1351"/>
      <c r="F654" s="1351"/>
      <c r="G654" s="1184"/>
      <c r="H654" s="1351"/>
      <c r="I654" s="1184"/>
      <c r="J654" s="1351"/>
      <c r="K654" s="1184"/>
      <c r="L654" s="1184"/>
      <c r="M654" s="1184"/>
      <c r="N654" s="1351"/>
      <c r="O654" s="1351"/>
      <c r="P654" s="1163"/>
      <c r="Q654" s="1163"/>
    </row>
    <row r="655" ht="12.75" customHeight="1">
      <c r="A655" s="1351"/>
      <c r="B655" s="1351"/>
      <c r="C655" s="1351"/>
      <c r="D655" s="1351"/>
      <c r="E655" s="1351"/>
      <c r="F655" s="1351"/>
      <c r="G655" s="1184"/>
      <c r="H655" s="1351"/>
      <c r="I655" s="1184"/>
      <c r="J655" s="1351"/>
      <c r="K655" s="1184"/>
      <c r="L655" s="1184"/>
      <c r="M655" s="1184"/>
      <c r="N655" s="1351"/>
      <c r="O655" s="1351"/>
      <c r="P655" s="1163"/>
      <c r="Q655" s="1163"/>
    </row>
    <row r="656" ht="12.75" customHeight="1">
      <c r="A656" s="1351"/>
      <c r="B656" s="1351"/>
      <c r="C656" s="1351"/>
      <c r="D656" s="1351"/>
      <c r="E656" s="1351"/>
      <c r="F656" s="1351"/>
      <c r="G656" s="1184"/>
      <c r="H656" s="1351"/>
      <c r="I656" s="1184"/>
      <c r="J656" s="1351"/>
      <c r="K656" s="1184"/>
      <c r="L656" s="1184"/>
      <c r="M656" s="1184"/>
      <c r="N656" s="1351"/>
      <c r="O656" s="1351"/>
      <c r="P656" s="1163"/>
      <c r="Q656" s="1163"/>
    </row>
    <row r="657" ht="12.75" customHeight="1">
      <c r="A657" s="1351"/>
      <c r="B657" s="1351"/>
      <c r="C657" s="1351"/>
      <c r="D657" s="1351"/>
      <c r="E657" s="1351"/>
      <c r="F657" s="1351"/>
      <c r="G657" s="1184"/>
      <c r="H657" s="1351"/>
      <c r="I657" s="1184"/>
      <c r="J657" s="1351"/>
      <c r="K657" s="1184"/>
      <c r="L657" s="1184"/>
      <c r="M657" s="1184"/>
      <c r="N657" s="1351"/>
      <c r="O657" s="1351"/>
      <c r="P657" s="1163"/>
      <c r="Q657" s="1163"/>
    </row>
    <row r="658" ht="12.75" customHeight="1">
      <c r="A658" s="1351"/>
      <c r="B658" s="1351"/>
      <c r="C658" s="1351"/>
      <c r="D658" s="1351"/>
      <c r="E658" s="1351"/>
      <c r="F658" s="1351"/>
      <c r="G658" s="1184"/>
      <c r="H658" s="1351"/>
      <c r="I658" s="1184"/>
      <c r="J658" s="1351"/>
      <c r="K658" s="1184"/>
      <c r="L658" s="1184"/>
      <c r="M658" s="1184"/>
      <c r="N658" s="1351"/>
      <c r="O658" s="1351"/>
      <c r="P658" s="1163"/>
      <c r="Q658" s="1163"/>
    </row>
    <row r="659" ht="12.75" customHeight="1">
      <c r="A659" s="1351"/>
      <c r="B659" s="1351"/>
      <c r="C659" s="1351"/>
      <c r="D659" s="1351"/>
      <c r="E659" s="1351"/>
      <c r="F659" s="1351"/>
      <c r="G659" s="1184"/>
      <c r="H659" s="1351"/>
      <c r="I659" s="1184"/>
      <c r="J659" s="1351"/>
      <c r="K659" s="1184"/>
      <c r="L659" s="1184"/>
      <c r="M659" s="1184"/>
      <c r="N659" s="1351"/>
      <c r="O659" s="1351"/>
      <c r="P659" s="1163"/>
      <c r="Q659" s="1163"/>
    </row>
    <row r="660" ht="12.75" customHeight="1">
      <c r="A660" s="1351"/>
      <c r="B660" s="1351"/>
      <c r="C660" s="1351"/>
      <c r="D660" s="1351"/>
      <c r="E660" s="1351"/>
      <c r="F660" s="1351"/>
      <c r="G660" s="1184"/>
      <c r="H660" s="1351"/>
      <c r="I660" s="1184"/>
      <c r="J660" s="1351"/>
      <c r="K660" s="1184"/>
      <c r="L660" s="1184"/>
      <c r="M660" s="1184"/>
      <c r="N660" s="1351"/>
      <c r="O660" s="1351"/>
      <c r="P660" s="1163"/>
      <c r="Q660" s="1163"/>
    </row>
    <row r="661" ht="12.75" customHeight="1">
      <c r="A661" s="1351"/>
      <c r="B661" s="1351"/>
      <c r="C661" s="1351"/>
      <c r="D661" s="1351"/>
      <c r="E661" s="1351"/>
      <c r="F661" s="1351"/>
      <c r="G661" s="1184"/>
      <c r="H661" s="1351"/>
      <c r="I661" s="1184"/>
      <c r="J661" s="1351"/>
      <c r="K661" s="1184"/>
      <c r="L661" s="1184"/>
      <c r="M661" s="1184"/>
      <c r="N661" s="1351"/>
      <c r="O661" s="1351"/>
      <c r="P661" s="1163"/>
      <c r="Q661" s="1163"/>
    </row>
    <row r="662" ht="12.75" customHeight="1">
      <c r="A662" s="1351"/>
      <c r="B662" s="1351"/>
      <c r="C662" s="1351"/>
      <c r="D662" s="1351"/>
      <c r="E662" s="1351"/>
      <c r="F662" s="1351"/>
      <c r="G662" s="1184"/>
      <c r="H662" s="1351"/>
      <c r="I662" s="1184"/>
      <c r="J662" s="1351"/>
      <c r="K662" s="1184"/>
      <c r="L662" s="1184"/>
      <c r="M662" s="1184"/>
      <c r="N662" s="1351"/>
      <c r="O662" s="1351"/>
      <c r="P662" s="1163"/>
      <c r="Q662" s="1163"/>
    </row>
    <row r="663" ht="12.75" customHeight="1">
      <c r="A663" s="1351"/>
      <c r="B663" s="1351"/>
      <c r="C663" s="1351"/>
      <c r="D663" s="1351"/>
      <c r="E663" s="1351"/>
      <c r="F663" s="1351"/>
      <c r="G663" s="1184"/>
      <c r="H663" s="1351"/>
      <c r="I663" s="1184"/>
      <c r="J663" s="1351"/>
      <c r="K663" s="1184"/>
      <c r="L663" s="1184"/>
      <c r="M663" s="1184"/>
      <c r="N663" s="1351"/>
      <c r="O663" s="1351"/>
      <c r="P663" s="1163"/>
      <c r="Q663" s="1163"/>
    </row>
    <row r="664" ht="12.75" customHeight="1">
      <c r="A664" s="1351"/>
      <c r="B664" s="1351"/>
      <c r="C664" s="1351"/>
      <c r="D664" s="1351"/>
      <c r="E664" s="1351"/>
      <c r="F664" s="1351"/>
      <c r="G664" s="1184"/>
      <c r="H664" s="1351"/>
      <c r="I664" s="1184"/>
      <c r="J664" s="1351"/>
      <c r="K664" s="1184"/>
      <c r="L664" s="1184"/>
      <c r="M664" s="1184"/>
      <c r="N664" s="1351"/>
      <c r="O664" s="1351"/>
      <c r="P664" s="1163"/>
      <c r="Q664" s="1163"/>
    </row>
    <row r="665" ht="12.75" customHeight="1">
      <c r="A665" s="1351"/>
      <c r="B665" s="1351"/>
      <c r="C665" s="1351"/>
      <c r="D665" s="1351"/>
      <c r="E665" s="1351"/>
      <c r="F665" s="1351"/>
      <c r="G665" s="1184"/>
      <c r="H665" s="1351"/>
      <c r="I665" s="1184"/>
      <c r="J665" s="1351"/>
      <c r="K665" s="1184"/>
      <c r="L665" s="1184"/>
      <c r="M665" s="1184"/>
      <c r="N665" s="1351"/>
      <c r="O665" s="1351"/>
      <c r="P665" s="1163"/>
      <c r="Q665" s="1163"/>
    </row>
    <row r="666" ht="12.75" customHeight="1">
      <c r="A666" s="1351"/>
      <c r="B666" s="1351"/>
      <c r="C666" s="1351"/>
      <c r="D666" s="1351"/>
      <c r="E666" s="1351"/>
      <c r="F666" s="1351"/>
      <c r="G666" s="1184"/>
      <c r="H666" s="1351"/>
      <c r="I666" s="1184"/>
      <c r="J666" s="1351"/>
      <c r="K666" s="1184"/>
      <c r="L666" s="1184"/>
      <c r="M666" s="1184"/>
      <c r="N666" s="1351"/>
      <c r="O666" s="1351"/>
      <c r="P666" s="1163"/>
      <c r="Q666" s="1163"/>
    </row>
    <row r="667" ht="12.75" customHeight="1">
      <c r="A667" s="1351"/>
      <c r="B667" s="1351"/>
      <c r="C667" s="1351"/>
      <c r="D667" s="1351"/>
      <c r="E667" s="1351"/>
      <c r="F667" s="1351"/>
      <c r="G667" s="1184"/>
      <c r="H667" s="1351"/>
      <c r="I667" s="1184"/>
      <c r="J667" s="1351"/>
      <c r="K667" s="1184"/>
      <c r="L667" s="1184"/>
      <c r="M667" s="1184"/>
      <c r="N667" s="1351"/>
      <c r="O667" s="1351"/>
      <c r="P667" s="1163"/>
      <c r="Q667" s="1163"/>
    </row>
    <row r="668" ht="12.75" customHeight="1">
      <c r="A668" s="1351"/>
      <c r="B668" s="1351"/>
      <c r="C668" s="1351"/>
      <c r="D668" s="1351"/>
      <c r="E668" s="1351"/>
      <c r="F668" s="1351"/>
      <c r="G668" s="1184"/>
      <c r="H668" s="1351"/>
      <c r="I668" s="1184"/>
      <c r="J668" s="1351"/>
      <c r="K668" s="1184"/>
      <c r="L668" s="1184"/>
      <c r="M668" s="1184"/>
      <c r="N668" s="1351"/>
      <c r="O668" s="1351"/>
      <c r="P668" s="1163"/>
      <c r="Q668" s="1163"/>
    </row>
    <row r="669" ht="12.75" customHeight="1">
      <c r="A669" s="1351"/>
      <c r="B669" s="1351"/>
      <c r="C669" s="1351"/>
      <c r="D669" s="1351"/>
      <c r="E669" s="1351"/>
      <c r="F669" s="1351"/>
      <c r="G669" s="1184"/>
      <c r="H669" s="1351"/>
      <c r="I669" s="1184"/>
      <c r="J669" s="1351"/>
      <c r="K669" s="1184"/>
      <c r="L669" s="1184"/>
      <c r="M669" s="1184"/>
      <c r="N669" s="1351"/>
      <c r="O669" s="1351"/>
      <c r="P669" s="1163"/>
      <c r="Q669" s="1163"/>
    </row>
    <row r="670" ht="12.75" customHeight="1">
      <c r="A670" s="1351"/>
      <c r="B670" s="1351"/>
      <c r="C670" s="1351"/>
      <c r="D670" s="1351"/>
      <c r="E670" s="1351"/>
      <c r="F670" s="1351"/>
      <c r="G670" s="1184"/>
      <c r="H670" s="1351"/>
      <c r="I670" s="1184"/>
      <c r="J670" s="1351"/>
      <c r="K670" s="1184"/>
      <c r="L670" s="1184"/>
      <c r="M670" s="1184"/>
      <c r="N670" s="1351"/>
      <c r="O670" s="1351"/>
      <c r="P670" s="1163"/>
      <c r="Q670" s="1163"/>
    </row>
    <row r="671" ht="12.75" customHeight="1">
      <c r="A671" s="1351"/>
      <c r="B671" s="1351"/>
      <c r="C671" s="1351"/>
      <c r="D671" s="1351"/>
      <c r="E671" s="1351"/>
      <c r="F671" s="1351"/>
      <c r="G671" s="1184"/>
      <c r="H671" s="1351"/>
      <c r="I671" s="1184"/>
      <c r="J671" s="1351"/>
      <c r="K671" s="1184"/>
      <c r="L671" s="1184"/>
      <c r="M671" s="1184"/>
      <c r="N671" s="1351"/>
      <c r="O671" s="1351"/>
      <c r="P671" s="1163"/>
      <c r="Q671" s="1163"/>
    </row>
    <row r="672" ht="12.75" customHeight="1">
      <c r="A672" s="1351"/>
      <c r="B672" s="1351"/>
      <c r="C672" s="1351"/>
      <c r="D672" s="1351"/>
      <c r="E672" s="1351"/>
      <c r="F672" s="1351"/>
      <c r="G672" s="1184"/>
      <c r="H672" s="1351"/>
      <c r="I672" s="1184"/>
      <c r="J672" s="1351"/>
      <c r="K672" s="1184"/>
      <c r="L672" s="1184"/>
      <c r="M672" s="1184"/>
      <c r="N672" s="1351"/>
      <c r="O672" s="1351"/>
      <c r="P672" s="1163"/>
      <c r="Q672" s="1163"/>
    </row>
    <row r="673" ht="12.75" customHeight="1">
      <c r="A673" s="1351"/>
      <c r="B673" s="1351"/>
      <c r="C673" s="1351"/>
      <c r="D673" s="1351"/>
      <c r="E673" s="1351"/>
      <c r="F673" s="1351"/>
      <c r="G673" s="1184"/>
      <c r="H673" s="1351"/>
      <c r="I673" s="1184"/>
      <c r="J673" s="1351"/>
      <c r="K673" s="1184"/>
      <c r="L673" s="1184"/>
      <c r="M673" s="1184"/>
      <c r="N673" s="1351"/>
      <c r="O673" s="1351"/>
      <c r="P673" s="1163"/>
      <c r="Q673" s="1163"/>
    </row>
    <row r="674" ht="12.75" customHeight="1">
      <c r="A674" s="1351"/>
      <c r="B674" s="1351"/>
      <c r="C674" s="1351"/>
      <c r="D674" s="1351"/>
      <c r="E674" s="1351"/>
      <c r="F674" s="1351"/>
      <c r="G674" s="1184"/>
      <c r="H674" s="1351"/>
      <c r="I674" s="1184"/>
      <c r="J674" s="1351"/>
      <c r="K674" s="1184"/>
      <c r="L674" s="1184"/>
      <c r="M674" s="1184"/>
      <c r="N674" s="1351"/>
      <c r="O674" s="1351"/>
      <c r="P674" s="1163"/>
      <c r="Q674" s="1163"/>
    </row>
    <row r="675" ht="12.75" customHeight="1">
      <c r="A675" s="1351"/>
      <c r="B675" s="1351"/>
      <c r="C675" s="1351"/>
      <c r="D675" s="1351"/>
      <c r="E675" s="1351"/>
      <c r="F675" s="1351"/>
      <c r="G675" s="1184"/>
      <c r="H675" s="1351"/>
      <c r="I675" s="1184"/>
      <c r="J675" s="1351"/>
      <c r="K675" s="1184"/>
      <c r="L675" s="1184"/>
      <c r="M675" s="1184"/>
      <c r="N675" s="1351"/>
      <c r="O675" s="1351"/>
      <c r="P675" s="1163"/>
      <c r="Q675" s="1163"/>
    </row>
    <row r="676" ht="12.75" customHeight="1">
      <c r="A676" s="1351"/>
      <c r="B676" s="1351"/>
      <c r="C676" s="1351"/>
      <c r="D676" s="1351"/>
      <c r="E676" s="1351"/>
      <c r="F676" s="1351"/>
      <c r="G676" s="1184"/>
      <c r="H676" s="1351"/>
      <c r="I676" s="1184"/>
      <c r="J676" s="1351"/>
      <c r="K676" s="1184"/>
      <c r="L676" s="1184"/>
      <c r="M676" s="1184"/>
      <c r="N676" s="1351"/>
      <c r="O676" s="1351"/>
      <c r="P676" s="1163"/>
      <c r="Q676" s="1163"/>
    </row>
    <row r="677" ht="12.75" customHeight="1">
      <c r="A677" s="1351"/>
      <c r="B677" s="1351"/>
      <c r="C677" s="1351"/>
      <c r="D677" s="1351"/>
      <c r="E677" s="1351"/>
      <c r="F677" s="1351"/>
      <c r="G677" s="1184"/>
      <c r="H677" s="1351"/>
      <c r="I677" s="1184"/>
      <c r="J677" s="1351"/>
      <c r="K677" s="1184"/>
      <c r="L677" s="1184"/>
      <c r="M677" s="1184"/>
      <c r="N677" s="1351"/>
      <c r="O677" s="1351"/>
      <c r="P677" s="1163"/>
      <c r="Q677" s="1163"/>
    </row>
    <row r="678" ht="12.75" customHeight="1">
      <c r="A678" s="1351"/>
      <c r="B678" s="1351"/>
      <c r="C678" s="1351"/>
      <c r="D678" s="1351"/>
      <c r="E678" s="1351"/>
      <c r="F678" s="1351"/>
      <c r="G678" s="1184"/>
      <c r="H678" s="1351"/>
      <c r="I678" s="1184"/>
      <c r="J678" s="1351"/>
      <c r="K678" s="1184"/>
      <c r="L678" s="1184"/>
      <c r="M678" s="1184"/>
      <c r="N678" s="1351"/>
      <c r="O678" s="1351"/>
      <c r="P678" s="1163"/>
      <c r="Q678" s="1163"/>
    </row>
    <row r="679" ht="12.75" customHeight="1">
      <c r="A679" s="1351"/>
      <c r="B679" s="1351"/>
      <c r="C679" s="1351"/>
      <c r="D679" s="1351"/>
      <c r="E679" s="1351"/>
      <c r="F679" s="1351"/>
      <c r="G679" s="1184"/>
      <c r="H679" s="1351"/>
      <c r="I679" s="1184"/>
      <c r="J679" s="1351"/>
      <c r="K679" s="1184"/>
      <c r="L679" s="1184"/>
      <c r="M679" s="1184"/>
      <c r="N679" s="1351"/>
      <c r="O679" s="1351"/>
      <c r="P679" s="1163"/>
      <c r="Q679" s="1163"/>
    </row>
    <row r="680" ht="12.75" customHeight="1">
      <c r="A680" s="1351"/>
      <c r="B680" s="1351"/>
      <c r="C680" s="1351"/>
      <c r="D680" s="1351"/>
      <c r="E680" s="1351"/>
      <c r="F680" s="1351"/>
      <c r="G680" s="1184"/>
      <c r="H680" s="1351"/>
      <c r="I680" s="1184"/>
      <c r="J680" s="1351"/>
      <c r="K680" s="1184"/>
      <c r="L680" s="1184"/>
      <c r="M680" s="1184"/>
      <c r="N680" s="1351"/>
      <c r="O680" s="1351"/>
      <c r="P680" s="1163"/>
      <c r="Q680" s="1163"/>
    </row>
    <row r="681" ht="12.75" customHeight="1">
      <c r="A681" s="1351"/>
      <c r="B681" s="1351"/>
      <c r="C681" s="1351"/>
      <c r="D681" s="1351"/>
      <c r="E681" s="1351"/>
      <c r="F681" s="1351"/>
      <c r="G681" s="1184"/>
      <c r="H681" s="1351"/>
      <c r="I681" s="1184"/>
      <c r="J681" s="1351"/>
      <c r="K681" s="1184"/>
      <c r="L681" s="1184"/>
      <c r="M681" s="1184"/>
      <c r="N681" s="1351"/>
      <c r="O681" s="1351"/>
      <c r="P681" s="1163"/>
      <c r="Q681" s="1163"/>
    </row>
    <row r="682" ht="12.75" customHeight="1">
      <c r="A682" s="1351"/>
      <c r="B682" s="1351"/>
      <c r="C682" s="1351"/>
      <c r="D682" s="1351"/>
      <c r="E682" s="1351"/>
      <c r="F682" s="1351"/>
      <c r="G682" s="1184"/>
      <c r="H682" s="1351"/>
      <c r="I682" s="1184"/>
      <c r="J682" s="1351"/>
      <c r="K682" s="1184"/>
      <c r="L682" s="1184"/>
      <c r="M682" s="1184"/>
      <c r="N682" s="1351"/>
      <c r="O682" s="1351"/>
      <c r="P682" s="1163"/>
      <c r="Q682" s="1163"/>
    </row>
    <row r="683" ht="12.75" customHeight="1">
      <c r="A683" s="1351"/>
      <c r="B683" s="1351"/>
      <c r="C683" s="1351"/>
      <c r="D683" s="1351"/>
      <c r="E683" s="1351"/>
      <c r="F683" s="1351"/>
      <c r="G683" s="1184"/>
      <c r="H683" s="1351"/>
      <c r="I683" s="1184"/>
      <c r="J683" s="1351"/>
      <c r="K683" s="1184"/>
      <c r="L683" s="1184"/>
      <c r="M683" s="1184"/>
      <c r="N683" s="1351"/>
      <c r="O683" s="1351"/>
      <c r="P683" s="1163"/>
      <c r="Q683" s="1163"/>
    </row>
    <row r="684" ht="12.75" customHeight="1">
      <c r="A684" s="1351"/>
      <c r="B684" s="1351"/>
      <c r="C684" s="1351"/>
      <c r="D684" s="1351"/>
      <c r="E684" s="1351"/>
      <c r="F684" s="1351"/>
      <c r="G684" s="1184"/>
      <c r="H684" s="1351"/>
      <c r="I684" s="1184"/>
      <c r="J684" s="1351"/>
      <c r="K684" s="1184"/>
      <c r="L684" s="1184"/>
      <c r="M684" s="1184"/>
      <c r="N684" s="1351"/>
      <c r="O684" s="1351"/>
      <c r="P684" s="1163"/>
      <c r="Q684" s="1163"/>
    </row>
    <row r="685" ht="12.75" customHeight="1">
      <c r="A685" s="1351"/>
      <c r="B685" s="1351"/>
      <c r="C685" s="1351"/>
      <c r="D685" s="1351"/>
      <c r="E685" s="1351"/>
      <c r="F685" s="1351"/>
      <c r="G685" s="1184"/>
      <c r="H685" s="1351"/>
      <c r="I685" s="1184"/>
      <c r="J685" s="1351"/>
      <c r="K685" s="1184"/>
      <c r="L685" s="1184"/>
      <c r="M685" s="1184"/>
      <c r="N685" s="1351"/>
      <c r="O685" s="1351"/>
      <c r="P685" s="1163"/>
      <c r="Q685" s="1163"/>
    </row>
    <row r="686" ht="12.75" customHeight="1">
      <c r="A686" s="1351"/>
      <c r="B686" s="1351"/>
      <c r="C686" s="1351"/>
      <c r="D686" s="1351"/>
      <c r="E686" s="1351"/>
      <c r="F686" s="1351"/>
      <c r="G686" s="1184"/>
      <c r="H686" s="1351"/>
      <c r="I686" s="1184"/>
      <c r="J686" s="1351"/>
      <c r="K686" s="1184"/>
      <c r="L686" s="1184"/>
      <c r="M686" s="1184"/>
      <c r="N686" s="1351"/>
      <c r="O686" s="1351"/>
      <c r="P686" s="1163"/>
      <c r="Q686" s="1163"/>
    </row>
    <row r="687" ht="12.75" customHeight="1">
      <c r="A687" s="1351"/>
      <c r="B687" s="1351"/>
      <c r="C687" s="1351"/>
      <c r="D687" s="1351"/>
      <c r="E687" s="1351"/>
      <c r="F687" s="1351"/>
      <c r="G687" s="1184"/>
      <c r="H687" s="1351"/>
      <c r="I687" s="1184"/>
      <c r="J687" s="1351"/>
      <c r="K687" s="1184"/>
      <c r="L687" s="1184"/>
      <c r="M687" s="1184"/>
      <c r="N687" s="1351"/>
      <c r="O687" s="1351"/>
      <c r="P687" s="1163"/>
      <c r="Q687" s="1163"/>
    </row>
    <row r="688" ht="12.75" customHeight="1">
      <c r="A688" s="1351"/>
      <c r="B688" s="1351"/>
      <c r="C688" s="1351"/>
      <c r="D688" s="1351"/>
      <c r="E688" s="1351"/>
      <c r="F688" s="1351"/>
      <c r="G688" s="1184"/>
      <c r="H688" s="1351"/>
      <c r="I688" s="1184"/>
      <c r="J688" s="1351"/>
      <c r="K688" s="1184"/>
      <c r="L688" s="1184"/>
      <c r="M688" s="1184"/>
      <c r="N688" s="1351"/>
      <c r="O688" s="1351"/>
      <c r="P688" s="1163"/>
      <c r="Q688" s="1163"/>
    </row>
    <row r="689" ht="12.75" customHeight="1">
      <c r="A689" s="1351"/>
      <c r="B689" s="1351"/>
      <c r="C689" s="1351"/>
      <c r="D689" s="1351"/>
      <c r="E689" s="1351"/>
      <c r="F689" s="1351"/>
      <c r="G689" s="1184"/>
      <c r="H689" s="1351"/>
      <c r="I689" s="1184"/>
      <c r="J689" s="1351"/>
      <c r="K689" s="1184"/>
      <c r="L689" s="1184"/>
      <c r="M689" s="1184"/>
      <c r="N689" s="1351"/>
      <c r="O689" s="1351"/>
      <c r="P689" s="1163"/>
      <c r="Q689" s="1163"/>
    </row>
    <row r="690" ht="12.75" customHeight="1">
      <c r="A690" s="1351"/>
      <c r="B690" s="1351"/>
      <c r="C690" s="1351"/>
      <c r="D690" s="1351"/>
      <c r="E690" s="1351"/>
      <c r="F690" s="1351"/>
      <c r="G690" s="1184"/>
      <c r="H690" s="1351"/>
      <c r="I690" s="1184"/>
      <c r="J690" s="1351"/>
      <c r="K690" s="1184"/>
      <c r="L690" s="1184"/>
      <c r="M690" s="1184"/>
      <c r="N690" s="1351"/>
      <c r="O690" s="1351"/>
      <c r="P690" s="1163"/>
      <c r="Q690" s="1163"/>
    </row>
    <row r="691" ht="12.75" customHeight="1">
      <c r="A691" s="1351"/>
      <c r="B691" s="1351"/>
      <c r="C691" s="1351"/>
      <c r="D691" s="1351"/>
      <c r="E691" s="1351"/>
      <c r="F691" s="1351"/>
      <c r="G691" s="1184"/>
      <c r="H691" s="1351"/>
      <c r="I691" s="1184"/>
      <c r="J691" s="1351"/>
      <c r="K691" s="1184"/>
      <c r="L691" s="1184"/>
      <c r="M691" s="1184"/>
      <c r="N691" s="1351"/>
      <c r="O691" s="1351"/>
      <c r="P691" s="1163"/>
      <c r="Q691" s="1163"/>
    </row>
    <row r="692" ht="12.75" customHeight="1">
      <c r="A692" s="1351"/>
      <c r="B692" s="1351"/>
      <c r="C692" s="1351"/>
      <c r="D692" s="1351"/>
      <c r="E692" s="1351"/>
      <c r="F692" s="1351"/>
      <c r="G692" s="1184"/>
      <c r="H692" s="1351"/>
      <c r="I692" s="1184"/>
      <c r="J692" s="1351"/>
      <c r="K692" s="1184"/>
      <c r="L692" s="1184"/>
      <c r="M692" s="1184"/>
      <c r="N692" s="1351"/>
      <c r="O692" s="1351"/>
      <c r="P692" s="1163"/>
      <c r="Q692" s="1163"/>
    </row>
    <row r="693" ht="12.75" customHeight="1">
      <c r="A693" s="1351"/>
      <c r="B693" s="1351"/>
      <c r="C693" s="1351"/>
      <c r="D693" s="1351"/>
      <c r="E693" s="1351"/>
      <c r="F693" s="1351"/>
      <c r="G693" s="1184"/>
      <c r="H693" s="1351"/>
      <c r="I693" s="1184"/>
      <c r="J693" s="1351"/>
      <c r="K693" s="1184"/>
      <c r="L693" s="1184"/>
      <c r="M693" s="1184"/>
      <c r="N693" s="1351"/>
      <c r="O693" s="1351"/>
      <c r="P693" s="1163"/>
      <c r="Q693" s="1163"/>
    </row>
    <row r="694" ht="12.75" customHeight="1">
      <c r="A694" s="1351"/>
      <c r="B694" s="1351"/>
      <c r="C694" s="1351"/>
      <c r="D694" s="1351"/>
      <c r="E694" s="1351"/>
      <c r="F694" s="1351"/>
      <c r="G694" s="1184"/>
      <c r="H694" s="1351"/>
      <c r="I694" s="1184"/>
      <c r="J694" s="1351"/>
      <c r="K694" s="1184"/>
      <c r="L694" s="1184"/>
      <c r="M694" s="1184"/>
      <c r="N694" s="1351"/>
      <c r="O694" s="1351"/>
      <c r="P694" s="1163"/>
      <c r="Q694" s="1163"/>
    </row>
    <row r="695" ht="12.75" customHeight="1">
      <c r="A695" s="1351"/>
      <c r="B695" s="1351"/>
      <c r="C695" s="1351"/>
      <c r="D695" s="1351"/>
      <c r="E695" s="1351"/>
      <c r="F695" s="1351"/>
      <c r="G695" s="1184"/>
      <c r="H695" s="1351"/>
      <c r="I695" s="1184"/>
      <c r="J695" s="1351"/>
      <c r="K695" s="1184"/>
      <c r="L695" s="1184"/>
      <c r="M695" s="1184"/>
      <c r="N695" s="1351"/>
      <c r="O695" s="1351"/>
      <c r="P695" s="1163"/>
      <c r="Q695" s="1163"/>
    </row>
    <row r="696" ht="12.75" customHeight="1">
      <c r="A696" s="1351"/>
      <c r="B696" s="1351"/>
      <c r="C696" s="1351"/>
      <c r="D696" s="1351"/>
      <c r="E696" s="1351"/>
      <c r="F696" s="1351"/>
      <c r="G696" s="1184"/>
      <c r="H696" s="1351"/>
      <c r="I696" s="1184"/>
      <c r="J696" s="1351"/>
      <c r="K696" s="1184"/>
      <c r="L696" s="1184"/>
      <c r="M696" s="1184"/>
      <c r="N696" s="1351"/>
      <c r="O696" s="1351"/>
      <c r="P696" s="1163"/>
      <c r="Q696" s="1163"/>
    </row>
    <row r="697" ht="12.75" customHeight="1">
      <c r="A697" s="1351"/>
      <c r="B697" s="1351"/>
      <c r="C697" s="1351"/>
      <c r="D697" s="1351"/>
      <c r="E697" s="1351"/>
      <c r="F697" s="1351"/>
      <c r="G697" s="1184"/>
      <c r="H697" s="1351"/>
      <c r="I697" s="1184"/>
      <c r="J697" s="1351"/>
      <c r="K697" s="1184"/>
      <c r="L697" s="1184"/>
      <c r="M697" s="1184"/>
      <c r="N697" s="1351"/>
      <c r="O697" s="1351"/>
      <c r="P697" s="1163"/>
      <c r="Q697" s="1163"/>
    </row>
    <row r="698" ht="12.75" customHeight="1">
      <c r="A698" s="1351"/>
      <c r="B698" s="1351"/>
      <c r="C698" s="1351"/>
      <c r="D698" s="1351"/>
      <c r="E698" s="1351"/>
      <c r="F698" s="1351"/>
      <c r="G698" s="1184"/>
      <c r="H698" s="1351"/>
      <c r="I698" s="1184"/>
      <c r="J698" s="1351"/>
      <c r="K698" s="1184"/>
      <c r="L698" s="1184"/>
      <c r="M698" s="1184"/>
      <c r="N698" s="1351"/>
      <c r="O698" s="1351"/>
      <c r="P698" s="1163"/>
      <c r="Q698" s="1163"/>
    </row>
    <row r="699" ht="12.75" customHeight="1">
      <c r="A699" s="1351"/>
      <c r="B699" s="1351"/>
      <c r="C699" s="1351"/>
      <c r="D699" s="1351"/>
      <c r="E699" s="1351"/>
      <c r="F699" s="1351"/>
      <c r="G699" s="1184"/>
      <c r="H699" s="1351"/>
      <c r="I699" s="1184"/>
      <c r="J699" s="1351"/>
      <c r="K699" s="1184"/>
      <c r="L699" s="1184"/>
      <c r="M699" s="1184"/>
      <c r="N699" s="1351"/>
      <c r="O699" s="1351"/>
      <c r="P699" s="1163"/>
      <c r="Q699" s="1163"/>
    </row>
    <row r="700" ht="12.75" customHeight="1">
      <c r="A700" s="1351"/>
      <c r="B700" s="1351"/>
      <c r="C700" s="1351"/>
      <c r="D700" s="1351"/>
      <c r="E700" s="1351"/>
      <c r="F700" s="1351"/>
      <c r="G700" s="1184"/>
      <c r="H700" s="1351"/>
      <c r="I700" s="1184"/>
      <c r="J700" s="1351"/>
      <c r="K700" s="1184"/>
      <c r="L700" s="1184"/>
      <c r="M700" s="1184"/>
      <c r="N700" s="1351"/>
      <c r="O700" s="1351"/>
      <c r="P700" s="1163"/>
      <c r="Q700" s="1163"/>
    </row>
    <row r="701" ht="12.75" customHeight="1">
      <c r="A701" s="1351"/>
      <c r="B701" s="1351"/>
      <c r="C701" s="1351"/>
      <c r="D701" s="1351"/>
      <c r="E701" s="1351"/>
      <c r="F701" s="1351"/>
      <c r="G701" s="1184"/>
      <c r="H701" s="1351"/>
      <c r="I701" s="1184"/>
      <c r="J701" s="1351"/>
      <c r="K701" s="1184"/>
      <c r="L701" s="1184"/>
      <c r="M701" s="1184"/>
      <c r="N701" s="1351"/>
      <c r="O701" s="1351"/>
      <c r="P701" s="1163"/>
      <c r="Q701" s="1163"/>
    </row>
    <row r="702" ht="12.75" customHeight="1">
      <c r="A702" s="1351"/>
      <c r="B702" s="1351"/>
      <c r="C702" s="1351"/>
      <c r="D702" s="1351"/>
      <c r="E702" s="1351"/>
      <c r="F702" s="1351"/>
      <c r="G702" s="1184"/>
      <c r="H702" s="1351"/>
      <c r="I702" s="1184"/>
      <c r="J702" s="1351"/>
      <c r="K702" s="1184"/>
      <c r="L702" s="1184"/>
      <c r="M702" s="1184"/>
      <c r="N702" s="1351"/>
      <c r="O702" s="1351"/>
      <c r="P702" s="1163"/>
      <c r="Q702" s="1163"/>
    </row>
    <row r="703" ht="12.75" customHeight="1">
      <c r="A703" s="1351"/>
      <c r="B703" s="1351"/>
      <c r="C703" s="1351"/>
      <c r="D703" s="1351"/>
      <c r="E703" s="1351"/>
      <c r="F703" s="1351"/>
      <c r="G703" s="1184"/>
      <c r="H703" s="1351"/>
      <c r="I703" s="1184"/>
      <c r="J703" s="1351"/>
      <c r="K703" s="1184"/>
      <c r="L703" s="1184"/>
      <c r="M703" s="1184"/>
      <c r="N703" s="1351"/>
      <c r="O703" s="1351"/>
      <c r="P703" s="1163"/>
      <c r="Q703" s="1163"/>
    </row>
    <row r="704" ht="12.75" customHeight="1">
      <c r="A704" s="1351"/>
      <c r="B704" s="1351"/>
      <c r="C704" s="1351"/>
      <c r="D704" s="1351"/>
      <c r="E704" s="1351"/>
      <c r="F704" s="1351"/>
      <c r="G704" s="1184"/>
      <c r="H704" s="1351"/>
      <c r="I704" s="1184"/>
      <c r="J704" s="1351"/>
      <c r="K704" s="1184"/>
      <c r="L704" s="1184"/>
      <c r="M704" s="1184"/>
      <c r="N704" s="1351"/>
      <c r="O704" s="1351"/>
      <c r="P704" s="1163"/>
      <c r="Q704" s="1163"/>
    </row>
    <row r="705" ht="12.75" customHeight="1">
      <c r="A705" s="1351"/>
      <c r="B705" s="1351"/>
      <c r="C705" s="1351"/>
      <c r="D705" s="1351"/>
      <c r="E705" s="1351"/>
      <c r="F705" s="1351"/>
      <c r="G705" s="1184"/>
      <c r="H705" s="1351"/>
      <c r="I705" s="1184"/>
      <c r="J705" s="1351"/>
      <c r="K705" s="1184"/>
      <c r="L705" s="1184"/>
      <c r="M705" s="1184"/>
      <c r="N705" s="1351"/>
      <c r="O705" s="1351"/>
      <c r="P705" s="1163"/>
      <c r="Q705" s="1163"/>
    </row>
    <row r="706" ht="12.75" customHeight="1">
      <c r="A706" s="1351"/>
      <c r="B706" s="1351"/>
      <c r="C706" s="1351"/>
      <c r="D706" s="1351"/>
      <c r="E706" s="1351"/>
      <c r="F706" s="1351"/>
      <c r="G706" s="1184"/>
      <c r="H706" s="1351"/>
      <c r="I706" s="1184"/>
      <c r="J706" s="1351"/>
      <c r="K706" s="1184"/>
      <c r="L706" s="1184"/>
      <c r="M706" s="1184"/>
      <c r="N706" s="1351"/>
      <c r="O706" s="1351"/>
      <c r="P706" s="1163"/>
      <c r="Q706" s="1163"/>
    </row>
    <row r="707" ht="12.75" customHeight="1">
      <c r="A707" s="1351"/>
      <c r="B707" s="1351"/>
      <c r="C707" s="1351"/>
      <c r="D707" s="1351"/>
      <c r="E707" s="1351"/>
      <c r="F707" s="1351"/>
      <c r="G707" s="1184"/>
      <c r="H707" s="1351"/>
      <c r="I707" s="1184"/>
      <c r="J707" s="1351"/>
      <c r="K707" s="1184"/>
      <c r="L707" s="1184"/>
      <c r="M707" s="1184"/>
      <c r="N707" s="1351"/>
      <c r="O707" s="1351"/>
      <c r="P707" s="1163"/>
      <c r="Q707" s="1163"/>
    </row>
    <row r="708" ht="12.75" customHeight="1">
      <c r="A708" s="1351"/>
      <c r="B708" s="1351"/>
      <c r="C708" s="1351"/>
      <c r="D708" s="1351"/>
      <c r="E708" s="1351"/>
      <c r="F708" s="1351"/>
      <c r="G708" s="1184"/>
      <c r="H708" s="1351"/>
      <c r="I708" s="1184"/>
      <c r="J708" s="1351"/>
      <c r="K708" s="1184"/>
      <c r="L708" s="1184"/>
      <c r="M708" s="1184"/>
      <c r="N708" s="1351"/>
      <c r="O708" s="1351"/>
      <c r="P708" s="1163"/>
      <c r="Q708" s="1163"/>
    </row>
    <row r="709" ht="12.75" customHeight="1">
      <c r="A709" s="1351"/>
      <c r="B709" s="1351"/>
      <c r="C709" s="1351"/>
      <c r="D709" s="1351"/>
      <c r="E709" s="1351"/>
      <c r="F709" s="1351"/>
      <c r="G709" s="1184"/>
      <c r="H709" s="1351"/>
      <c r="I709" s="1184"/>
      <c r="J709" s="1351"/>
      <c r="K709" s="1184"/>
      <c r="L709" s="1184"/>
      <c r="M709" s="1184"/>
      <c r="N709" s="1351"/>
      <c r="O709" s="1351"/>
      <c r="P709" s="1163"/>
      <c r="Q709" s="1163"/>
    </row>
    <row r="710" ht="12.75" customHeight="1">
      <c r="A710" s="1351"/>
      <c r="B710" s="1351"/>
      <c r="C710" s="1351"/>
      <c r="D710" s="1351"/>
      <c r="E710" s="1351"/>
      <c r="F710" s="1351"/>
      <c r="G710" s="1184"/>
      <c r="H710" s="1351"/>
      <c r="I710" s="1184"/>
      <c r="J710" s="1351"/>
      <c r="K710" s="1184"/>
      <c r="L710" s="1184"/>
      <c r="M710" s="1184"/>
      <c r="N710" s="1351"/>
      <c r="O710" s="1351"/>
      <c r="P710" s="1163"/>
      <c r="Q710" s="1163"/>
    </row>
    <row r="711" ht="12.75" customHeight="1">
      <c r="A711" s="1351"/>
      <c r="B711" s="1351"/>
      <c r="C711" s="1351"/>
      <c r="D711" s="1351"/>
      <c r="E711" s="1351"/>
      <c r="F711" s="1351"/>
      <c r="G711" s="1184"/>
      <c r="H711" s="1351"/>
      <c r="I711" s="1184"/>
      <c r="J711" s="1351"/>
      <c r="K711" s="1184"/>
      <c r="L711" s="1184"/>
      <c r="M711" s="1184"/>
      <c r="N711" s="1351"/>
      <c r="O711" s="1351"/>
      <c r="P711" s="1163"/>
      <c r="Q711" s="1163"/>
    </row>
    <row r="712" ht="12.75" customHeight="1">
      <c r="A712" s="1351"/>
      <c r="B712" s="1351"/>
      <c r="C712" s="1351"/>
      <c r="D712" s="1351"/>
      <c r="E712" s="1351"/>
      <c r="F712" s="1351"/>
      <c r="G712" s="1184"/>
      <c r="H712" s="1351"/>
      <c r="I712" s="1184"/>
      <c r="J712" s="1351"/>
      <c r="K712" s="1184"/>
      <c r="L712" s="1184"/>
      <c r="M712" s="1184"/>
      <c r="N712" s="1351"/>
      <c r="O712" s="1351"/>
      <c r="P712" s="1163"/>
      <c r="Q712" s="1163"/>
    </row>
    <row r="713" ht="12.75" customHeight="1">
      <c r="A713" s="1351"/>
      <c r="B713" s="1351"/>
      <c r="C713" s="1351"/>
      <c r="D713" s="1351"/>
      <c r="E713" s="1351"/>
      <c r="F713" s="1351"/>
      <c r="G713" s="1184"/>
      <c r="H713" s="1351"/>
      <c r="I713" s="1184"/>
      <c r="J713" s="1351"/>
      <c r="K713" s="1184"/>
      <c r="L713" s="1184"/>
      <c r="M713" s="1184"/>
      <c r="N713" s="1351"/>
      <c r="O713" s="1351"/>
      <c r="P713" s="1163"/>
      <c r="Q713" s="1163"/>
    </row>
    <row r="714" ht="12.75" customHeight="1">
      <c r="A714" s="1351"/>
      <c r="B714" s="1351"/>
      <c r="C714" s="1351"/>
      <c r="D714" s="1351"/>
      <c r="E714" s="1351"/>
      <c r="F714" s="1351"/>
      <c r="G714" s="1184"/>
      <c r="H714" s="1351"/>
      <c r="I714" s="1184"/>
      <c r="J714" s="1351"/>
      <c r="K714" s="1184"/>
      <c r="L714" s="1184"/>
      <c r="M714" s="1184"/>
      <c r="N714" s="1351"/>
      <c r="O714" s="1351"/>
      <c r="P714" s="1163"/>
      <c r="Q714" s="1163"/>
    </row>
    <row r="715" ht="12.75" customHeight="1">
      <c r="A715" s="1351"/>
      <c r="B715" s="1351"/>
      <c r="C715" s="1351"/>
      <c r="D715" s="1351"/>
      <c r="E715" s="1351"/>
      <c r="F715" s="1351"/>
      <c r="G715" s="1184"/>
      <c r="H715" s="1351"/>
      <c r="I715" s="1184"/>
      <c r="J715" s="1351"/>
      <c r="K715" s="1184"/>
      <c r="L715" s="1184"/>
      <c r="M715" s="1184"/>
      <c r="N715" s="1351"/>
      <c r="O715" s="1351"/>
      <c r="P715" s="1163"/>
      <c r="Q715" s="1163"/>
    </row>
    <row r="716" ht="12.75" customHeight="1">
      <c r="A716" s="1351"/>
      <c r="B716" s="1351"/>
      <c r="C716" s="1351"/>
      <c r="D716" s="1351"/>
      <c r="E716" s="1351"/>
      <c r="F716" s="1351"/>
      <c r="G716" s="1184"/>
      <c r="H716" s="1351"/>
      <c r="I716" s="1184"/>
      <c r="J716" s="1351"/>
      <c r="K716" s="1184"/>
      <c r="L716" s="1184"/>
      <c r="M716" s="1184"/>
      <c r="N716" s="1351"/>
      <c r="O716" s="1351"/>
      <c r="P716" s="1163"/>
      <c r="Q716" s="1163"/>
    </row>
    <row r="717" ht="12.75" customHeight="1">
      <c r="A717" s="1351"/>
      <c r="B717" s="1351"/>
      <c r="C717" s="1351"/>
      <c r="D717" s="1351"/>
      <c r="E717" s="1351"/>
      <c r="F717" s="1351"/>
      <c r="G717" s="1184"/>
      <c r="H717" s="1351"/>
      <c r="I717" s="1184"/>
      <c r="J717" s="1351"/>
      <c r="K717" s="1184"/>
      <c r="L717" s="1184"/>
      <c r="M717" s="1184"/>
      <c r="N717" s="1351"/>
      <c r="O717" s="1351"/>
      <c r="P717" s="1163"/>
      <c r="Q717" s="1163"/>
    </row>
    <row r="718" ht="12.75" customHeight="1">
      <c r="A718" s="1351"/>
      <c r="B718" s="1351"/>
      <c r="C718" s="1351"/>
      <c r="D718" s="1351"/>
      <c r="E718" s="1351"/>
      <c r="F718" s="1351"/>
      <c r="G718" s="1184"/>
      <c r="H718" s="1351"/>
      <c r="I718" s="1184"/>
      <c r="J718" s="1351"/>
      <c r="K718" s="1184"/>
      <c r="L718" s="1184"/>
      <c r="M718" s="1184"/>
      <c r="N718" s="1351"/>
      <c r="O718" s="1351"/>
      <c r="P718" s="1163"/>
      <c r="Q718" s="1163"/>
    </row>
    <row r="719" ht="12.75" customHeight="1">
      <c r="A719" s="1351"/>
      <c r="B719" s="1351"/>
      <c r="C719" s="1351"/>
      <c r="D719" s="1351"/>
      <c r="E719" s="1351"/>
      <c r="F719" s="1351"/>
      <c r="G719" s="1184"/>
      <c r="H719" s="1351"/>
      <c r="I719" s="1184"/>
      <c r="J719" s="1351"/>
      <c r="K719" s="1184"/>
      <c r="L719" s="1184"/>
      <c r="M719" s="1184"/>
      <c r="N719" s="1351"/>
      <c r="O719" s="1351"/>
      <c r="P719" s="1163"/>
      <c r="Q719" s="1163"/>
    </row>
    <row r="720" ht="12.75" customHeight="1">
      <c r="A720" s="1351"/>
      <c r="B720" s="1351"/>
      <c r="C720" s="1351"/>
      <c r="D720" s="1351"/>
      <c r="E720" s="1351"/>
      <c r="F720" s="1351"/>
      <c r="G720" s="1184"/>
      <c r="H720" s="1351"/>
      <c r="I720" s="1184"/>
      <c r="J720" s="1351"/>
      <c r="K720" s="1184"/>
      <c r="L720" s="1184"/>
      <c r="M720" s="1184"/>
      <c r="N720" s="1351"/>
      <c r="O720" s="1351"/>
      <c r="P720" s="1163"/>
      <c r="Q720" s="1163"/>
    </row>
    <row r="721" ht="12.75" customHeight="1">
      <c r="A721" s="1351"/>
      <c r="B721" s="1351"/>
      <c r="C721" s="1351"/>
      <c r="D721" s="1351"/>
      <c r="E721" s="1351"/>
      <c r="F721" s="1351"/>
      <c r="G721" s="1184"/>
      <c r="H721" s="1351"/>
      <c r="I721" s="1184"/>
      <c r="J721" s="1351"/>
      <c r="K721" s="1184"/>
      <c r="L721" s="1184"/>
      <c r="M721" s="1184"/>
      <c r="N721" s="1351"/>
      <c r="O721" s="1351"/>
      <c r="P721" s="1163"/>
      <c r="Q721" s="1163"/>
    </row>
    <row r="722" ht="12.75" customHeight="1">
      <c r="A722" s="1351"/>
      <c r="B722" s="1351"/>
      <c r="C722" s="1351"/>
      <c r="D722" s="1351"/>
      <c r="E722" s="1351"/>
      <c r="F722" s="1351"/>
      <c r="G722" s="1184"/>
      <c r="H722" s="1351"/>
      <c r="I722" s="1184"/>
      <c r="J722" s="1351"/>
      <c r="K722" s="1184"/>
      <c r="L722" s="1184"/>
      <c r="M722" s="1184"/>
      <c r="N722" s="1351"/>
      <c r="O722" s="1351"/>
      <c r="P722" s="1163"/>
      <c r="Q722" s="1163"/>
    </row>
    <row r="723" ht="12.75" customHeight="1">
      <c r="A723" s="1351"/>
      <c r="B723" s="1351"/>
      <c r="C723" s="1351"/>
      <c r="D723" s="1351"/>
      <c r="E723" s="1351"/>
      <c r="F723" s="1351"/>
      <c r="G723" s="1184"/>
      <c r="H723" s="1351"/>
      <c r="I723" s="1184"/>
      <c r="J723" s="1351"/>
      <c r="K723" s="1184"/>
      <c r="L723" s="1184"/>
      <c r="M723" s="1184"/>
      <c r="N723" s="1351"/>
      <c r="O723" s="1351"/>
      <c r="P723" s="1163"/>
      <c r="Q723" s="1163"/>
    </row>
    <row r="724" ht="12.75" customHeight="1">
      <c r="A724" s="1351"/>
      <c r="B724" s="1351"/>
      <c r="C724" s="1351"/>
      <c r="D724" s="1351"/>
      <c r="E724" s="1351"/>
      <c r="F724" s="1351"/>
      <c r="G724" s="1184"/>
      <c r="H724" s="1351"/>
      <c r="I724" s="1184"/>
      <c r="J724" s="1351"/>
      <c r="K724" s="1184"/>
      <c r="L724" s="1184"/>
      <c r="M724" s="1184"/>
      <c r="N724" s="1351"/>
      <c r="O724" s="1351"/>
      <c r="P724" s="1163"/>
      <c r="Q724" s="1163"/>
    </row>
    <row r="725" ht="12.75" customHeight="1">
      <c r="A725" s="1351"/>
      <c r="B725" s="1351"/>
      <c r="C725" s="1351"/>
      <c r="D725" s="1351"/>
      <c r="E725" s="1351"/>
      <c r="F725" s="1351"/>
      <c r="G725" s="1184"/>
      <c r="H725" s="1351"/>
      <c r="I725" s="1184"/>
      <c r="J725" s="1351"/>
      <c r="K725" s="1184"/>
      <c r="L725" s="1184"/>
      <c r="M725" s="1184"/>
      <c r="N725" s="1351"/>
      <c r="O725" s="1351"/>
      <c r="P725" s="1163"/>
      <c r="Q725" s="1163"/>
    </row>
    <row r="726" ht="12.75" customHeight="1">
      <c r="A726" s="1351"/>
      <c r="B726" s="1351"/>
      <c r="C726" s="1351"/>
      <c r="D726" s="1351"/>
      <c r="E726" s="1351"/>
      <c r="F726" s="1351"/>
      <c r="G726" s="1184"/>
      <c r="H726" s="1351"/>
      <c r="I726" s="1184"/>
      <c r="J726" s="1351"/>
      <c r="K726" s="1184"/>
      <c r="L726" s="1184"/>
      <c r="M726" s="1184"/>
      <c r="N726" s="1351"/>
      <c r="O726" s="1351"/>
      <c r="P726" s="1163"/>
      <c r="Q726" s="1163"/>
    </row>
    <row r="727" ht="12.75" customHeight="1">
      <c r="A727" s="1351"/>
      <c r="B727" s="1351"/>
      <c r="C727" s="1351"/>
      <c r="D727" s="1351"/>
      <c r="E727" s="1351"/>
      <c r="F727" s="1351"/>
      <c r="G727" s="1184"/>
      <c r="H727" s="1351"/>
      <c r="I727" s="1184"/>
      <c r="J727" s="1351"/>
      <c r="K727" s="1184"/>
      <c r="L727" s="1184"/>
      <c r="M727" s="1184"/>
      <c r="N727" s="1351"/>
      <c r="O727" s="1351"/>
      <c r="P727" s="1163"/>
      <c r="Q727" s="1163"/>
    </row>
    <row r="728" ht="12.75" customHeight="1">
      <c r="A728" s="1351"/>
      <c r="B728" s="1351"/>
      <c r="C728" s="1351"/>
      <c r="D728" s="1351"/>
      <c r="E728" s="1351"/>
      <c r="F728" s="1351"/>
      <c r="G728" s="1184"/>
      <c r="H728" s="1351"/>
      <c r="I728" s="1184"/>
      <c r="J728" s="1351"/>
      <c r="K728" s="1184"/>
      <c r="L728" s="1184"/>
      <c r="M728" s="1184"/>
      <c r="N728" s="1351"/>
      <c r="O728" s="1351"/>
      <c r="P728" s="1163"/>
      <c r="Q728" s="1163"/>
    </row>
    <row r="729" ht="12.75" customHeight="1">
      <c r="A729" s="1351"/>
      <c r="B729" s="1351"/>
      <c r="C729" s="1351"/>
      <c r="D729" s="1351"/>
      <c r="E729" s="1351"/>
      <c r="F729" s="1351"/>
      <c r="G729" s="1184"/>
      <c r="H729" s="1351"/>
      <c r="I729" s="1184"/>
      <c r="J729" s="1351"/>
      <c r="K729" s="1184"/>
      <c r="L729" s="1184"/>
      <c r="M729" s="1184"/>
      <c r="N729" s="1351"/>
      <c r="O729" s="1351"/>
      <c r="P729" s="1163"/>
      <c r="Q729" s="1163"/>
    </row>
    <row r="730" ht="12.75" customHeight="1">
      <c r="A730" s="1351"/>
      <c r="B730" s="1351"/>
      <c r="C730" s="1351"/>
      <c r="D730" s="1351"/>
      <c r="E730" s="1351"/>
      <c r="F730" s="1351"/>
      <c r="G730" s="1184"/>
      <c r="H730" s="1351"/>
      <c r="I730" s="1184"/>
      <c r="J730" s="1351"/>
      <c r="K730" s="1184"/>
      <c r="L730" s="1184"/>
      <c r="M730" s="1184"/>
      <c r="N730" s="1351"/>
      <c r="O730" s="1351"/>
      <c r="P730" s="1163"/>
      <c r="Q730" s="1163"/>
    </row>
    <row r="731" ht="12.75" customHeight="1">
      <c r="A731" s="1351"/>
      <c r="B731" s="1351"/>
      <c r="C731" s="1351"/>
      <c r="D731" s="1351"/>
      <c r="E731" s="1351"/>
      <c r="F731" s="1351"/>
      <c r="G731" s="1184"/>
      <c r="H731" s="1351"/>
      <c r="I731" s="1184"/>
      <c r="J731" s="1351"/>
      <c r="K731" s="1184"/>
      <c r="L731" s="1184"/>
      <c r="M731" s="1184"/>
      <c r="N731" s="1351"/>
      <c r="O731" s="1351"/>
      <c r="P731" s="1163"/>
      <c r="Q731" s="1163"/>
    </row>
    <row r="732" ht="12.75" customHeight="1">
      <c r="A732" s="1351"/>
      <c r="B732" s="1351"/>
      <c r="C732" s="1351"/>
      <c r="D732" s="1351"/>
      <c r="E732" s="1351"/>
      <c r="F732" s="1351"/>
      <c r="G732" s="1184"/>
      <c r="H732" s="1351"/>
      <c r="I732" s="1184"/>
      <c r="J732" s="1351"/>
      <c r="K732" s="1184"/>
      <c r="L732" s="1184"/>
      <c r="M732" s="1184"/>
      <c r="N732" s="1351"/>
      <c r="O732" s="1351"/>
      <c r="P732" s="1163"/>
      <c r="Q732" s="1163"/>
    </row>
    <row r="733" ht="12.75" customHeight="1">
      <c r="A733" s="1351"/>
      <c r="B733" s="1351"/>
      <c r="C733" s="1351"/>
      <c r="D733" s="1351"/>
      <c r="E733" s="1351"/>
      <c r="F733" s="1351"/>
      <c r="G733" s="1184"/>
      <c r="H733" s="1351"/>
      <c r="I733" s="1184"/>
      <c r="J733" s="1351"/>
      <c r="K733" s="1184"/>
      <c r="L733" s="1184"/>
      <c r="M733" s="1184"/>
      <c r="N733" s="1351"/>
      <c r="O733" s="1351"/>
      <c r="P733" s="1163"/>
      <c r="Q733" s="1163"/>
    </row>
    <row r="734" ht="12.75" customHeight="1">
      <c r="A734" s="1351"/>
      <c r="B734" s="1351"/>
      <c r="C734" s="1351"/>
      <c r="D734" s="1351"/>
      <c r="E734" s="1351"/>
      <c r="F734" s="1351"/>
      <c r="G734" s="1184"/>
      <c r="H734" s="1351"/>
      <c r="I734" s="1184"/>
      <c r="J734" s="1351"/>
      <c r="K734" s="1184"/>
      <c r="L734" s="1184"/>
      <c r="M734" s="1184"/>
      <c r="N734" s="1351"/>
      <c r="O734" s="1351"/>
      <c r="P734" s="1163"/>
      <c r="Q734" s="1163"/>
    </row>
    <row r="735" ht="12.75" customHeight="1">
      <c r="A735" s="1351"/>
      <c r="B735" s="1351"/>
      <c r="C735" s="1351"/>
      <c r="D735" s="1351"/>
      <c r="E735" s="1351"/>
      <c r="F735" s="1351"/>
      <c r="G735" s="1184"/>
      <c r="H735" s="1351"/>
      <c r="I735" s="1184"/>
      <c r="J735" s="1351"/>
      <c r="K735" s="1184"/>
      <c r="L735" s="1184"/>
      <c r="M735" s="1184"/>
      <c r="N735" s="1351"/>
      <c r="O735" s="1351"/>
      <c r="P735" s="1163"/>
      <c r="Q735" s="1163"/>
    </row>
    <row r="736" ht="12.75" customHeight="1">
      <c r="A736" s="1351"/>
      <c r="B736" s="1351"/>
      <c r="C736" s="1351"/>
      <c r="D736" s="1351"/>
      <c r="E736" s="1351"/>
      <c r="F736" s="1351"/>
      <c r="G736" s="1184"/>
      <c r="H736" s="1351"/>
      <c r="I736" s="1184"/>
      <c r="J736" s="1351"/>
      <c r="K736" s="1184"/>
      <c r="L736" s="1184"/>
      <c r="M736" s="1184"/>
      <c r="N736" s="1351"/>
      <c r="O736" s="1351"/>
      <c r="P736" s="1163"/>
      <c r="Q736" s="1163"/>
    </row>
    <row r="737" ht="12.75" customHeight="1">
      <c r="A737" s="1351"/>
      <c r="B737" s="1351"/>
      <c r="C737" s="1351"/>
      <c r="D737" s="1351"/>
      <c r="E737" s="1351"/>
      <c r="F737" s="1351"/>
      <c r="G737" s="1184"/>
      <c r="H737" s="1351"/>
      <c r="I737" s="1184"/>
      <c r="J737" s="1351"/>
      <c r="K737" s="1184"/>
      <c r="L737" s="1184"/>
      <c r="M737" s="1184"/>
      <c r="N737" s="1351"/>
      <c r="O737" s="1351"/>
      <c r="P737" s="1163"/>
      <c r="Q737" s="1163"/>
    </row>
    <row r="738" ht="12.75" customHeight="1">
      <c r="A738" s="1351"/>
      <c r="B738" s="1351"/>
      <c r="C738" s="1351"/>
      <c r="D738" s="1351"/>
      <c r="E738" s="1351"/>
      <c r="F738" s="1351"/>
      <c r="G738" s="1184"/>
      <c r="H738" s="1351"/>
      <c r="I738" s="1184"/>
      <c r="J738" s="1351"/>
      <c r="K738" s="1184"/>
      <c r="L738" s="1184"/>
      <c r="M738" s="1184"/>
      <c r="N738" s="1351"/>
      <c r="O738" s="1351"/>
      <c r="P738" s="1163"/>
      <c r="Q738" s="1163"/>
    </row>
    <row r="739" ht="12.75" customHeight="1">
      <c r="A739" s="1351"/>
      <c r="B739" s="1351"/>
      <c r="C739" s="1351"/>
      <c r="D739" s="1351"/>
      <c r="E739" s="1351"/>
      <c r="F739" s="1351"/>
      <c r="G739" s="1184"/>
      <c r="H739" s="1351"/>
      <c r="I739" s="1184"/>
      <c r="J739" s="1351"/>
      <c r="K739" s="1184"/>
      <c r="L739" s="1184"/>
      <c r="M739" s="1184"/>
      <c r="N739" s="1351"/>
      <c r="O739" s="1351"/>
      <c r="P739" s="1163"/>
      <c r="Q739" s="1163"/>
    </row>
    <row r="740" ht="12.75" customHeight="1">
      <c r="A740" s="1351"/>
      <c r="B740" s="1351"/>
      <c r="C740" s="1351"/>
      <c r="D740" s="1351"/>
      <c r="E740" s="1351"/>
      <c r="F740" s="1351"/>
      <c r="G740" s="1184"/>
      <c r="H740" s="1351"/>
      <c r="I740" s="1184"/>
      <c r="J740" s="1351"/>
      <c r="K740" s="1184"/>
      <c r="L740" s="1184"/>
      <c r="M740" s="1184"/>
      <c r="N740" s="1351"/>
      <c r="O740" s="1351"/>
      <c r="P740" s="1163"/>
      <c r="Q740" s="1163"/>
    </row>
    <row r="741" ht="12.75" customHeight="1">
      <c r="A741" s="1351"/>
      <c r="B741" s="1351"/>
      <c r="C741" s="1351"/>
      <c r="D741" s="1351"/>
      <c r="E741" s="1351"/>
      <c r="F741" s="1351"/>
      <c r="G741" s="1184"/>
      <c r="H741" s="1351"/>
      <c r="I741" s="1184"/>
      <c r="J741" s="1351"/>
      <c r="K741" s="1184"/>
      <c r="L741" s="1184"/>
      <c r="M741" s="1184"/>
      <c r="N741" s="1351"/>
      <c r="O741" s="1351"/>
      <c r="P741" s="1163"/>
      <c r="Q741" s="1163"/>
    </row>
    <row r="742" ht="12.75" customHeight="1">
      <c r="A742" s="1351"/>
      <c r="B742" s="1351"/>
      <c r="C742" s="1351"/>
      <c r="D742" s="1351"/>
      <c r="E742" s="1351"/>
      <c r="F742" s="1351"/>
      <c r="G742" s="1184"/>
      <c r="H742" s="1351"/>
      <c r="I742" s="1184"/>
      <c r="J742" s="1351"/>
      <c r="K742" s="1184"/>
      <c r="L742" s="1184"/>
      <c r="M742" s="1184"/>
      <c r="N742" s="1351"/>
      <c r="O742" s="1351"/>
      <c r="P742" s="1163"/>
      <c r="Q742" s="1163"/>
    </row>
    <row r="743" ht="12.75" customHeight="1">
      <c r="A743" s="1351"/>
      <c r="B743" s="1351"/>
      <c r="C743" s="1351"/>
      <c r="D743" s="1351"/>
      <c r="E743" s="1351"/>
      <c r="F743" s="1351"/>
      <c r="G743" s="1184"/>
      <c r="H743" s="1351"/>
      <c r="I743" s="1184"/>
      <c r="J743" s="1351"/>
      <c r="K743" s="1184"/>
      <c r="L743" s="1184"/>
      <c r="M743" s="1184"/>
      <c r="N743" s="1351"/>
      <c r="O743" s="1351"/>
      <c r="P743" s="1163"/>
      <c r="Q743" s="1163"/>
    </row>
    <row r="744" ht="12.75" customHeight="1">
      <c r="A744" s="1351"/>
      <c r="B744" s="1351"/>
      <c r="C744" s="1351"/>
      <c r="D744" s="1351"/>
      <c r="E744" s="1351"/>
      <c r="F744" s="1351"/>
      <c r="G744" s="1184"/>
      <c r="H744" s="1351"/>
      <c r="I744" s="1184"/>
      <c r="J744" s="1351"/>
      <c r="K744" s="1184"/>
      <c r="L744" s="1184"/>
      <c r="M744" s="1184"/>
      <c r="N744" s="1351"/>
      <c r="O744" s="1351"/>
      <c r="P744" s="1163"/>
      <c r="Q744" s="1163"/>
    </row>
    <row r="745" ht="12.75" customHeight="1">
      <c r="A745" s="1351"/>
      <c r="B745" s="1351"/>
      <c r="C745" s="1351"/>
      <c r="D745" s="1351"/>
      <c r="E745" s="1351"/>
      <c r="F745" s="1351"/>
      <c r="G745" s="1184"/>
      <c r="H745" s="1351"/>
      <c r="I745" s="1184"/>
      <c r="J745" s="1351"/>
      <c r="K745" s="1184"/>
      <c r="L745" s="1184"/>
      <c r="M745" s="1184"/>
      <c r="N745" s="1351"/>
      <c r="O745" s="1351"/>
      <c r="P745" s="1163"/>
      <c r="Q745" s="1163"/>
    </row>
    <row r="746" ht="12.75" customHeight="1">
      <c r="A746" s="1351"/>
      <c r="B746" s="1351"/>
      <c r="C746" s="1351"/>
      <c r="D746" s="1351"/>
      <c r="E746" s="1351"/>
      <c r="F746" s="1351"/>
      <c r="G746" s="1184"/>
      <c r="H746" s="1351"/>
      <c r="I746" s="1184"/>
      <c r="J746" s="1351"/>
      <c r="K746" s="1184"/>
      <c r="L746" s="1184"/>
      <c r="M746" s="1184"/>
      <c r="N746" s="1351"/>
      <c r="O746" s="1351"/>
      <c r="P746" s="1163"/>
      <c r="Q746" s="1163"/>
    </row>
    <row r="747" ht="12.75" customHeight="1">
      <c r="A747" s="1351"/>
      <c r="B747" s="1351"/>
      <c r="C747" s="1351"/>
      <c r="D747" s="1351"/>
      <c r="E747" s="1351"/>
      <c r="F747" s="1351"/>
      <c r="G747" s="1184"/>
      <c r="H747" s="1351"/>
      <c r="I747" s="1184"/>
      <c r="J747" s="1351"/>
      <c r="K747" s="1184"/>
      <c r="L747" s="1184"/>
      <c r="M747" s="1184"/>
      <c r="N747" s="1351"/>
      <c r="O747" s="1351"/>
      <c r="P747" s="1163"/>
      <c r="Q747" s="1163"/>
    </row>
    <row r="748" ht="12.75" customHeight="1">
      <c r="A748" s="1351"/>
      <c r="B748" s="1351"/>
      <c r="C748" s="1351"/>
      <c r="D748" s="1351"/>
      <c r="E748" s="1351"/>
      <c r="F748" s="1351"/>
      <c r="G748" s="1184"/>
      <c r="H748" s="1351"/>
      <c r="I748" s="1184"/>
      <c r="J748" s="1351"/>
      <c r="K748" s="1184"/>
      <c r="L748" s="1184"/>
      <c r="M748" s="1184"/>
      <c r="N748" s="1351"/>
      <c r="O748" s="1351"/>
      <c r="P748" s="1163"/>
      <c r="Q748" s="1163"/>
    </row>
    <row r="749" ht="12.75" customHeight="1">
      <c r="A749" s="1351"/>
      <c r="B749" s="1351"/>
      <c r="C749" s="1351"/>
      <c r="D749" s="1351"/>
      <c r="E749" s="1351"/>
      <c r="F749" s="1351"/>
      <c r="G749" s="1184"/>
      <c r="H749" s="1351"/>
      <c r="I749" s="1184"/>
      <c r="J749" s="1351"/>
      <c r="K749" s="1184"/>
      <c r="L749" s="1184"/>
      <c r="M749" s="1184"/>
      <c r="N749" s="1351"/>
      <c r="O749" s="1351"/>
      <c r="P749" s="1163"/>
      <c r="Q749" s="1163"/>
    </row>
    <row r="750" ht="12.75" customHeight="1">
      <c r="A750" s="1351"/>
      <c r="B750" s="1351"/>
      <c r="C750" s="1351"/>
      <c r="D750" s="1351"/>
      <c r="E750" s="1351"/>
      <c r="F750" s="1351"/>
      <c r="G750" s="1184"/>
      <c r="H750" s="1351"/>
      <c r="I750" s="1184"/>
      <c r="J750" s="1351"/>
      <c r="K750" s="1184"/>
      <c r="L750" s="1184"/>
      <c r="M750" s="1184"/>
      <c r="N750" s="1351"/>
      <c r="O750" s="1351"/>
      <c r="P750" s="1163"/>
      <c r="Q750" s="1163"/>
    </row>
    <row r="751" ht="12.75" customHeight="1">
      <c r="A751" s="1351"/>
      <c r="B751" s="1351"/>
      <c r="C751" s="1351"/>
      <c r="D751" s="1351"/>
      <c r="E751" s="1351"/>
      <c r="F751" s="1351"/>
      <c r="G751" s="1184"/>
      <c r="H751" s="1351"/>
      <c r="I751" s="1184"/>
      <c r="J751" s="1351"/>
      <c r="K751" s="1184"/>
      <c r="L751" s="1184"/>
      <c r="M751" s="1184"/>
      <c r="N751" s="1351"/>
      <c r="O751" s="1351"/>
      <c r="P751" s="1163"/>
      <c r="Q751" s="1163"/>
    </row>
    <row r="752" ht="12.75" customHeight="1">
      <c r="A752" s="1351"/>
      <c r="B752" s="1351"/>
      <c r="C752" s="1351"/>
      <c r="D752" s="1351"/>
      <c r="E752" s="1351"/>
      <c r="F752" s="1351"/>
      <c r="G752" s="1184"/>
      <c r="H752" s="1351"/>
      <c r="I752" s="1184"/>
      <c r="J752" s="1351"/>
      <c r="K752" s="1184"/>
      <c r="L752" s="1184"/>
      <c r="M752" s="1184"/>
      <c r="N752" s="1351"/>
      <c r="O752" s="1351"/>
      <c r="P752" s="1163"/>
      <c r="Q752" s="1163"/>
    </row>
    <row r="753" ht="12.75" customHeight="1">
      <c r="A753" s="1351"/>
      <c r="B753" s="1351"/>
      <c r="C753" s="1351"/>
      <c r="D753" s="1351"/>
      <c r="E753" s="1351"/>
      <c r="F753" s="1351"/>
      <c r="G753" s="1184"/>
      <c r="H753" s="1351"/>
      <c r="I753" s="1184"/>
      <c r="J753" s="1351"/>
      <c r="K753" s="1184"/>
      <c r="L753" s="1184"/>
      <c r="M753" s="1184"/>
      <c r="N753" s="1351"/>
      <c r="O753" s="1351"/>
      <c r="P753" s="1163"/>
      <c r="Q753" s="1163"/>
    </row>
    <row r="754" ht="12.75" customHeight="1">
      <c r="A754" s="1351"/>
      <c r="B754" s="1351"/>
      <c r="C754" s="1351"/>
      <c r="D754" s="1351"/>
      <c r="E754" s="1351"/>
      <c r="F754" s="1351"/>
      <c r="G754" s="1184"/>
      <c r="H754" s="1351"/>
      <c r="I754" s="1184"/>
      <c r="J754" s="1351"/>
      <c r="K754" s="1184"/>
      <c r="L754" s="1184"/>
      <c r="M754" s="1184"/>
      <c r="N754" s="1351"/>
      <c r="O754" s="1351"/>
      <c r="P754" s="1163"/>
      <c r="Q754" s="1163"/>
    </row>
    <row r="755" ht="12.75" customHeight="1">
      <c r="A755" s="1351"/>
      <c r="B755" s="1351"/>
      <c r="C755" s="1351"/>
      <c r="D755" s="1351"/>
      <c r="E755" s="1351"/>
      <c r="F755" s="1351"/>
      <c r="G755" s="1184"/>
      <c r="H755" s="1351"/>
      <c r="I755" s="1184"/>
      <c r="J755" s="1351"/>
      <c r="K755" s="1184"/>
      <c r="L755" s="1184"/>
      <c r="M755" s="1184"/>
      <c r="N755" s="1351"/>
      <c r="O755" s="1351"/>
      <c r="P755" s="1163"/>
      <c r="Q755" s="1163"/>
    </row>
    <row r="756" ht="12.75" customHeight="1">
      <c r="A756" s="1351"/>
      <c r="B756" s="1351"/>
      <c r="C756" s="1351"/>
      <c r="D756" s="1351"/>
      <c r="E756" s="1351"/>
      <c r="F756" s="1351"/>
      <c r="G756" s="1184"/>
      <c r="H756" s="1351"/>
      <c r="I756" s="1184"/>
      <c r="J756" s="1351"/>
      <c r="K756" s="1184"/>
      <c r="L756" s="1184"/>
      <c r="M756" s="1184"/>
      <c r="N756" s="1351"/>
      <c r="O756" s="1351"/>
      <c r="P756" s="1163"/>
      <c r="Q756" s="1163"/>
    </row>
    <row r="757" ht="12.75" customHeight="1">
      <c r="A757" s="1351"/>
      <c r="B757" s="1351"/>
      <c r="C757" s="1351"/>
      <c r="D757" s="1351"/>
      <c r="E757" s="1351"/>
      <c r="F757" s="1351"/>
      <c r="G757" s="1184"/>
      <c r="H757" s="1351"/>
      <c r="I757" s="1184"/>
      <c r="J757" s="1351"/>
      <c r="K757" s="1184"/>
      <c r="L757" s="1184"/>
      <c r="M757" s="1184"/>
      <c r="N757" s="1351"/>
      <c r="O757" s="1351"/>
      <c r="P757" s="1163"/>
      <c r="Q757" s="1163"/>
    </row>
    <row r="758" ht="12.75" customHeight="1">
      <c r="A758" s="1351"/>
      <c r="B758" s="1351"/>
      <c r="C758" s="1351"/>
      <c r="D758" s="1351"/>
      <c r="E758" s="1351"/>
      <c r="F758" s="1351"/>
      <c r="G758" s="1184"/>
      <c r="H758" s="1351"/>
      <c r="I758" s="1184"/>
      <c r="J758" s="1351"/>
      <c r="K758" s="1184"/>
      <c r="L758" s="1184"/>
      <c r="M758" s="1184"/>
      <c r="N758" s="1351"/>
      <c r="O758" s="1351"/>
      <c r="P758" s="1163"/>
      <c r="Q758" s="1163"/>
    </row>
    <row r="759" ht="12.75" customHeight="1">
      <c r="A759" s="1351"/>
      <c r="B759" s="1351"/>
      <c r="C759" s="1351"/>
      <c r="D759" s="1351"/>
      <c r="E759" s="1351"/>
      <c r="F759" s="1351"/>
      <c r="G759" s="1184"/>
      <c r="H759" s="1351"/>
      <c r="I759" s="1184"/>
      <c r="J759" s="1351"/>
      <c r="K759" s="1184"/>
      <c r="L759" s="1184"/>
      <c r="M759" s="1184"/>
      <c r="N759" s="1351"/>
      <c r="O759" s="1351"/>
      <c r="P759" s="1163"/>
      <c r="Q759" s="1163"/>
    </row>
    <row r="760" ht="12.75" customHeight="1">
      <c r="A760" s="1351"/>
      <c r="B760" s="1351"/>
      <c r="C760" s="1351"/>
      <c r="D760" s="1351"/>
      <c r="E760" s="1351"/>
      <c r="F760" s="1351"/>
      <c r="G760" s="1184"/>
      <c r="H760" s="1351"/>
      <c r="I760" s="1184"/>
      <c r="J760" s="1351"/>
      <c r="K760" s="1184"/>
      <c r="L760" s="1184"/>
      <c r="M760" s="1184"/>
      <c r="N760" s="1351"/>
      <c r="O760" s="1351"/>
      <c r="P760" s="1163"/>
      <c r="Q760" s="1163"/>
    </row>
    <row r="761" ht="12.75" customHeight="1">
      <c r="A761" s="1351"/>
      <c r="B761" s="1351"/>
      <c r="C761" s="1351"/>
      <c r="D761" s="1351"/>
      <c r="E761" s="1351"/>
      <c r="F761" s="1351"/>
      <c r="G761" s="1184"/>
      <c r="H761" s="1351"/>
      <c r="I761" s="1184"/>
      <c r="J761" s="1351"/>
      <c r="K761" s="1184"/>
      <c r="L761" s="1184"/>
      <c r="M761" s="1184"/>
      <c r="N761" s="1351"/>
      <c r="O761" s="1351"/>
      <c r="P761" s="1163"/>
      <c r="Q761" s="1163"/>
    </row>
    <row r="762" ht="12.75" customHeight="1">
      <c r="A762" s="1351"/>
      <c r="B762" s="1351"/>
      <c r="C762" s="1351"/>
      <c r="D762" s="1351"/>
      <c r="E762" s="1351"/>
      <c r="F762" s="1351"/>
      <c r="G762" s="1184"/>
      <c r="H762" s="1351"/>
      <c r="I762" s="1184"/>
      <c r="J762" s="1351"/>
      <c r="K762" s="1184"/>
      <c r="L762" s="1184"/>
      <c r="M762" s="1184"/>
      <c r="N762" s="1351"/>
      <c r="O762" s="1351"/>
      <c r="P762" s="1163"/>
      <c r="Q762" s="1163"/>
    </row>
    <row r="763" ht="12.75" customHeight="1">
      <c r="A763" s="1351"/>
      <c r="B763" s="1351"/>
      <c r="C763" s="1351"/>
      <c r="D763" s="1351"/>
      <c r="E763" s="1351"/>
      <c r="F763" s="1351"/>
      <c r="G763" s="1184"/>
      <c r="H763" s="1351"/>
      <c r="I763" s="1184"/>
      <c r="J763" s="1351"/>
      <c r="K763" s="1184"/>
      <c r="L763" s="1184"/>
      <c r="M763" s="1184"/>
      <c r="N763" s="1351"/>
      <c r="O763" s="1351"/>
      <c r="P763" s="1163"/>
      <c r="Q763" s="1163"/>
    </row>
    <row r="764" ht="12.75" customHeight="1">
      <c r="A764" s="1351"/>
      <c r="B764" s="1351"/>
      <c r="C764" s="1351"/>
      <c r="D764" s="1351"/>
      <c r="E764" s="1351"/>
      <c r="F764" s="1351"/>
      <c r="G764" s="1184"/>
      <c r="H764" s="1351"/>
      <c r="I764" s="1184"/>
      <c r="J764" s="1351"/>
      <c r="K764" s="1184"/>
      <c r="L764" s="1184"/>
      <c r="M764" s="1184"/>
      <c r="N764" s="1351"/>
      <c r="O764" s="1351"/>
      <c r="P764" s="1163"/>
      <c r="Q764" s="1163"/>
    </row>
    <row r="765" ht="12.75" customHeight="1">
      <c r="A765" s="1351"/>
      <c r="B765" s="1351"/>
      <c r="C765" s="1351"/>
      <c r="D765" s="1351"/>
      <c r="E765" s="1351"/>
      <c r="F765" s="1351"/>
      <c r="G765" s="1184"/>
      <c r="H765" s="1351"/>
      <c r="I765" s="1184"/>
      <c r="J765" s="1351"/>
      <c r="K765" s="1184"/>
      <c r="L765" s="1184"/>
      <c r="M765" s="1184"/>
      <c r="N765" s="1351"/>
      <c r="O765" s="1351"/>
      <c r="P765" s="1163"/>
      <c r="Q765" s="1163"/>
    </row>
    <row r="766" ht="12.75" customHeight="1">
      <c r="A766" s="1351"/>
      <c r="B766" s="1351"/>
      <c r="C766" s="1351"/>
      <c r="D766" s="1351"/>
      <c r="E766" s="1351"/>
      <c r="F766" s="1351"/>
      <c r="G766" s="1184"/>
      <c r="H766" s="1351"/>
      <c r="I766" s="1184"/>
      <c r="J766" s="1351"/>
      <c r="K766" s="1184"/>
      <c r="L766" s="1184"/>
      <c r="M766" s="1184"/>
      <c r="N766" s="1351"/>
      <c r="O766" s="1351"/>
      <c r="P766" s="1163"/>
      <c r="Q766" s="1163"/>
    </row>
    <row r="767" ht="12.75" customHeight="1">
      <c r="A767" s="1351"/>
      <c r="B767" s="1351"/>
      <c r="C767" s="1351"/>
      <c r="D767" s="1351"/>
      <c r="E767" s="1351"/>
      <c r="F767" s="1351"/>
      <c r="G767" s="1184"/>
      <c r="H767" s="1351"/>
      <c r="I767" s="1184"/>
      <c r="J767" s="1351"/>
      <c r="K767" s="1184"/>
      <c r="L767" s="1184"/>
      <c r="M767" s="1184"/>
      <c r="N767" s="1351"/>
      <c r="O767" s="1351"/>
      <c r="P767" s="1163"/>
      <c r="Q767" s="1163"/>
    </row>
    <row r="768" ht="12.75" customHeight="1">
      <c r="A768" s="1351"/>
      <c r="B768" s="1351"/>
      <c r="C768" s="1351"/>
      <c r="D768" s="1351"/>
      <c r="E768" s="1351"/>
      <c r="F768" s="1351"/>
      <c r="G768" s="1184"/>
      <c r="H768" s="1351"/>
      <c r="I768" s="1184"/>
      <c r="J768" s="1351"/>
      <c r="K768" s="1184"/>
      <c r="L768" s="1184"/>
      <c r="M768" s="1184"/>
      <c r="N768" s="1351"/>
      <c r="O768" s="1351"/>
      <c r="P768" s="1163"/>
      <c r="Q768" s="1163"/>
    </row>
    <row r="769" ht="12.75" customHeight="1">
      <c r="A769" s="1351"/>
      <c r="B769" s="1351"/>
      <c r="C769" s="1351"/>
      <c r="D769" s="1351"/>
      <c r="E769" s="1351"/>
      <c r="F769" s="1351"/>
      <c r="G769" s="1184"/>
      <c r="H769" s="1351"/>
      <c r="I769" s="1184"/>
      <c r="J769" s="1351"/>
      <c r="K769" s="1184"/>
      <c r="L769" s="1184"/>
      <c r="M769" s="1184"/>
      <c r="N769" s="1351"/>
      <c r="O769" s="1351"/>
      <c r="P769" s="1163"/>
      <c r="Q769" s="1163"/>
    </row>
    <row r="770" ht="12.75" customHeight="1">
      <c r="A770" s="1351"/>
      <c r="B770" s="1351"/>
      <c r="C770" s="1351"/>
      <c r="D770" s="1351"/>
      <c r="E770" s="1351"/>
      <c r="F770" s="1351"/>
      <c r="G770" s="1184"/>
      <c r="H770" s="1351"/>
      <c r="I770" s="1184"/>
      <c r="J770" s="1351"/>
      <c r="K770" s="1184"/>
      <c r="L770" s="1184"/>
      <c r="M770" s="1184"/>
      <c r="N770" s="1351"/>
      <c r="O770" s="1351"/>
      <c r="P770" s="1163"/>
      <c r="Q770" s="1163"/>
    </row>
    <row r="771" ht="12.75" customHeight="1">
      <c r="A771" s="1351"/>
      <c r="B771" s="1351"/>
      <c r="C771" s="1351"/>
      <c r="D771" s="1351"/>
      <c r="E771" s="1351"/>
      <c r="F771" s="1351"/>
      <c r="G771" s="1184"/>
      <c r="H771" s="1351"/>
      <c r="I771" s="1184"/>
      <c r="J771" s="1351"/>
      <c r="K771" s="1184"/>
      <c r="L771" s="1184"/>
      <c r="M771" s="1184"/>
      <c r="N771" s="1351"/>
      <c r="O771" s="1351"/>
      <c r="P771" s="1163"/>
      <c r="Q771" s="1163"/>
    </row>
    <row r="772" ht="12.75" customHeight="1">
      <c r="A772" s="1351"/>
      <c r="B772" s="1351"/>
      <c r="C772" s="1351"/>
      <c r="D772" s="1351"/>
      <c r="E772" s="1351"/>
      <c r="F772" s="1351"/>
      <c r="G772" s="1184"/>
      <c r="H772" s="1351"/>
      <c r="I772" s="1184"/>
      <c r="J772" s="1351"/>
      <c r="K772" s="1184"/>
      <c r="L772" s="1184"/>
      <c r="M772" s="1184"/>
      <c r="N772" s="1351"/>
      <c r="O772" s="1351"/>
      <c r="P772" s="1163"/>
      <c r="Q772" s="1163"/>
    </row>
    <row r="773" ht="12.75" customHeight="1">
      <c r="A773" s="1351"/>
      <c r="B773" s="1351"/>
      <c r="C773" s="1351"/>
      <c r="D773" s="1351"/>
      <c r="E773" s="1351"/>
      <c r="F773" s="1351"/>
      <c r="G773" s="1184"/>
      <c r="H773" s="1351"/>
      <c r="I773" s="1184"/>
      <c r="J773" s="1351"/>
      <c r="K773" s="1184"/>
      <c r="L773" s="1184"/>
      <c r="M773" s="1184"/>
      <c r="N773" s="1351"/>
      <c r="O773" s="1351"/>
      <c r="P773" s="1163"/>
      <c r="Q773" s="1163"/>
    </row>
    <row r="774" ht="12.75" customHeight="1">
      <c r="A774" s="1351"/>
      <c r="B774" s="1351"/>
      <c r="C774" s="1351"/>
      <c r="D774" s="1351"/>
      <c r="E774" s="1351"/>
      <c r="F774" s="1351"/>
      <c r="G774" s="1184"/>
      <c r="H774" s="1351"/>
      <c r="I774" s="1184"/>
      <c r="J774" s="1351"/>
      <c r="K774" s="1184"/>
      <c r="L774" s="1184"/>
      <c r="M774" s="1184"/>
      <c r="N774" s="1351"/>
      <c r="O774" s="1351"/>
      <c r="P774" s="1163"/>
      <c r="Q774" s="1163"/>
    </row>
    <row r="775" ht="12.75" customHeight="1">
      <c r="A775" s="1351"/>
      <c r="B775" s="1351"/>
      <c r="C775" s="1351"/>
      <c r="D775" s="1351"/>
      <c r="E775" s="1351"/>
      <c r="F775" s="1351"/>
      <c r="G775" s="1184"/>
      <c r="H775" s="1351"/>
      <c r="I775" s="1184"/>
      <c r="J775" s="1351"/>
      <c r="K775" s="1184"/>
      <c r="L775" s="1184"/>
      <c r="M775" s="1184"/>
      <c r="N775" s="1351"/>
      <c r="O775" s="1351"/>
      <c r="P775" s="1163"/>
      <c r="Q775" s="1163"/>
    </row>
    <row r="776" ht="12.75" customHeight="1">
      <c r="A776" s="1351"/>
      <c r="B776" s="1351"/>
      <c r="C776" s="1351"/>
      <c r="D776" s="1351"/>
      <c r="E776" s="1351"/>
      <c r="F776" s="1351"/>
      <c r="G776" s="1184"/>
      <c r="H776" s="1351"/>
      <c r="I776" s="1184"/>
      <c r="J776" s="1351"/>
      <c r="K776" s="1184"/>
      <c r="L776" s="1184"/>
      <c r="M776" s="1184"/>
      <c r="N776" s="1351"/>
      <c r="O776" s="1351"/>
      <c r="P776" s="1163"/>
      <c r="Q776" s="1163"/>
    </row>
    <row r="777" ht="12.75" customHeight="1">
      <c r="A777" s="1351"/>
      <c r="B777" s="1351"/>
      <c r="C777" s="1351"/>
      <c r="D777" s="1351"/>
      <c r="E777" s="1351"/>
      <c r="F777" s="1351"/>
      <c r="G777" s="1184"/>
      <c r="H777" s="1351"/>
      <c r="I777" s="1184"/>
      <c r="J777" s="1351"/>
      <c r="K777" s="1184"/>
      <c r="L777" s="1184"/>
      <c r="M777" s="1184"/>
      <c r="N777" s="1351"/>
      <c r="O777" s="1351"/>
      <c r="P777" s="1163"/>
      <c r="Q777" s="1163"/>
    </row>
    <row r="778" ht="12.75" customHeight="1">
      <c r="A778" s="1351"/>
      <c r="B778" s="1351"/>
      <c r="C778" s="1351"/>
      <c r="D778" s="1351"/>
      <c r="E778" s="1351"/>
      <c r="F778" s="1351"/>
      <c r="G778" s="1184"/>
      <c r="H778" s="1351"/>
      <c r="I778" s="1184"/>
      <c r="J778" s="1351"/>
      <c r="K778" s="1184"/>
      <c r="L778" s="1184"/>
      <c r="M778" s="1184"/>
      <c r="N778" s="1351"/>
      <c r="O778" s="1351"/>
      <c r="P778" s="1163"/>
      <c r="Q778" s="1163"/>
    </row>
    <row r="779" ht="12.75" customHeight="1">
      <c r="A779" s="1351"/>
      <c r="B779" s="1351"/>
      <c r="C779" s="1351"/>
      <c r="D779" s="1351"/>
      <c r="E779" s="1351"/>
      <c r="F779" s="1351"/>
      <c r="G779" s="1184"/>
      <c r="H779" s="1351"/>
      <c r="I779" s="1184"/>
      <c r="J779" s="1351"/>
      <c r="K779" s="1184"/>
      <c r="L779" s="1184"/>
      <c r="M779" s="1184"/>
      <c r="N779" s="1351"/>
      <c r="O779" s="1351"/>
      <c r="P779" s="1163"/>
      <c r="Q779" s="1163"/>
    </row>
    <row r="780" ht="12.75" customHeight="1">
      <c r="A780" s="1351"/>
      <c r="B780" s="1351"/>
      <c r="C780" s="1351"/>
      <c r="D780" s="1351"/>
      <c r="E780" s="1351"/>
      <c r="F780" s="1351"/>
      <c r="G780" s="1184"/>
      <c r="H780" s="1351"/>
      <c r="I780" s="1184"/>
      <c r="J780" s="1351"/>
      <c r="K780" s="1184"/>
      <c r="L780" s="1184"/>
      <c r="M780" s="1184"/>
      <c r="N780" s="1351"/>
      <c r="O780" s="1351"/>
      <c r="P780" s="1163"/>
      <c r="Q780" s="1163"/>
    </row>
    <row r="781" ht="12.75" customHeight="1">
      <c r="A781" s="1351"/>
      <c r="B781" s="1351"/>
      <c r="C781" s="1351"/>
      <c r="D781" s="1351"/>
      <c r="E781" s="1351"/>
      <c r="F781" s="1351"/>
      <c r="G781" s="1184"/>
      <c r="H781" s="1351"/>
      <c r="I781" s="1184"/>
      <c r="J781" s="1351"/>
      <c r="K781" s="1184"/>
      <c r="L781" s="1184"/>
      <c r="M781" s="1184"/>
      <c r="N781" s="1351"/>
      <c r="O781" s="1351"/>
      <c r="P781" s="1163"/>
      <c r="Q781" s="1163"/>
    </row>
    <row r="782" ht="12.75" customHeight="1">
      <c r="A782" s="1351"/>
      <c r="B782" s="1351"/>
      <c r="C782" s="1351"/>
      <c r="D782" s="1351"/>
      <c r="E782" s="1351"/>
      <c r="F782" s="1351"/>
      <c r="G782" s="1184"/>
      <c r="H782" s="1351"/>
      <c r="I782" s="1184"/>
      <c r="J782" s="1351"/>
      <c r="K782" s="1184"/>
      <c r="L782" s="1184"/>
      <c r="M782" s="1184"/>
      <c r="N782" s="1351"/>
      <c r="O782" s="1351"/>
      <c r="P782" s="1163"/>
      <c r="Q782" s="1163"/>
    </row>
    <row r="783" ht="12.75" customHeight="1">
      <c r="A783" s="1351"/>
      <c r="B783" s="1351"/>
      <c r="C783" s="1351"/>
      <c r="D783" s="1351"/>
      <c r="E783" s="1351"/>
      <c r="F783" s="1351"/>
      <c r="G783" s="1184"/>
      <c r="H783" s="1351"/>
      <c r="I783" s="1184"/>
      <c r="J783" s="1351"/>
      <c r="K783" s="1184"/>
      <c r="L783" s="1184"/>
      <c r="M783" s="1184"/>
      <c r="N783" s="1351"/>
      <c r="O783" s="1351"/>
      <c r="P783" s="1163"/>
      <c r="Q783" s="1163"/>
    </row>
    <row r="784" ht="12.75" customHeight="1">
      <c r="A784" s="1351"/>
      <c r="B784" s="1351"/>
      <c r="C784" s="1351"/>
      <c r="D784" s="1351"/>
      <c r="E784" s="1351"/>
      <c r="F784" s="1351"/>
      <c r="G784" s="1184"/>
      <c r="H784" s="1351"/>
      <c r="I784" s="1184"/>
      <c r="J784" s="1351"/>
      <c r="K784" s="1184"/>
      <c r="L784" s="1184"/>
      <c r="M784" s="1184"/>
      <c r="N784" s="1351"/>
      <c r="O784" s="1351"/>
      <c r="P784" s="1163"/>
      <c r="Q784" s="1163"/>
    </row>
    <row r="785" ht="12.75" customHeight="1">
      <c r="A785" s="1351"/>
      <c r="B785" s="1351"/>
      <c r="C785" s="1351"/>
      <c r="D785" s="1351"/>
      <c r="E785" s="1351"/>
      <c r="F785" s="1351"/>
      <c r="G785" s="1184"/>
      <c r="H785" s="1351"/>
      <c r="I785" s="1184"/>
      <c r="J785" s="1351"/>
      <c r="K785" s="1184"/>
      <c r="L785" s="1184"/>
      <c r="M785" s="1184"/>
      <c r="N785" s="1351"/>
      <c r="O785" s="1351"/>
      <c r="P785" s="1163"/>
      <c r="Q785" s="1163"/>
    </row>
    <row r="786" ht="12.75" customHeight="1">
      <c r="A786" s="1351"/>
      <c r="B786" s="1351"/>
      <c r="C786" s="1351"/>
      <c r="D786" s="1351"/>
      <c r="E786" s="1351"/>
      <c r="F786" s="1351"/>
      <c r="G786" s="1184"/>
      <c r="H786" s="1351"/>
      <c r="I786" s="1184"/>
      <c r="J786" s="1351"/>
      <c r="K786" s="1184"/>
      <c r="L786" s="1184"/>
      <c r="M786" s="1184"/>
      <c r="N786" s="1351"/>
      <c r="O786" s="1351"/>
      <c r="P786" s="1163"/>
      <c r="Q786" s="1163"/>
    </row>
    <row r="787" ht="12.75" customHeight="1">
      <c r="A787" s="1351"/>
      <c r="B787" s="1351"/>
      <c r="C787" s="1351"/>
      <c r="D787" s="1351"/>
      <c r="E787" s="1351"/>
      <c r="F787" s="1351"/>
      <c r="G787" s="1184"/>
      <c r="H787" s="1351"/>
      <c r="I787" s="1184"/>
      <c r="J787" s="1351"/>
      <c r="K787" s="1184"/>
      <c r="L787" s="1184"/>
      <c r="M787" s="1184"/>
      <c r="N787" s="1351"/>
      <c r="O787" s="1351"/>
      <c r="P787" s="1163"/>
      <c r="Q787" s="1163"/>
    </row>
    <row r="788" ht="12.75" customHeight="1">
      <c r="A788" s="1351"/>
      <c r="B788" s="1351"/>
      <c r="C788" s="1351"/>
      <c r="D788" s="1351"/>
      <c r="E788" s="1351"/>
      <c r="F788" s="1351"/>
      <c r="G788" s="1184"/>
      <c r="H788" s="1351"/>
      <c r="I788" s="1184"/>
      <c r="J788" s="1351"/>
      <c r="K788" s="1184"/>
      <c r="L788" s="1184"/>
      <c r="M788" s="1184"/>
      <c r="N788" s="1351"/>
      <c r="O788" s="1351"/>
      <c r="P788" s="1163"/>
      <c r="Q788" s="1163"/>
    </row>
    <row r="789" ht="12.75" customHeight="1">
      <c r="A789" s="1351"/>
      <c r="B789" s="1351"/>
      <c r="C789" s="1351"/>
      <c r="D789" s="1351"/>
      <c r="E789" s="1351"/>
      <c r="F789" s="1351"/>
      <c r="G789" s="1184"/>
      <c r="H789" s="1351"/>
      <c r="I789" s="1184"/>
      <c r="J789" s="1351"/>
      <c r="K789" s="1184"/>
      <c r="L789" s="1184"/>
      <c r="M789" s="1184"/>
      <c r="N789" s="1351"/>
      <c r="O789" s="1351"/>
      <c r="P789" s="1163"/>
      <c r="Q789" s="1163"/>
    </row>
    <row r="790" ht="12.75" customHeight="1">
      <c r="A790" s="1351"/>
      <c r="B790" s="1351"/>
      <c r="C790" s="1351"/>
      <c r="D790" s="1351"/>
      <c r="E790" s="1351"/>
      <c r="F790" s="1351"/>
      <c r="G790" s="1184"/>
      <c r="H790" s="1351"/>
      <c r="I790" s="1184"/>
      <c r="J790" s="1351"/>
      <c r="K790" s="1184"/>
      <c r="L790" s="1184"/>
      <c r="M790" s="1184"/>
      <c r="N790" s="1351"/>
      <c r="O790" s="1351"/>
      <c r="P790" s="1163"/>
      <c r="Q790" s="1163"/>
    </row>
    <row r="791" ht="12.75" customHeight="1">
      <c r="A791" s="1351"/>
      <c r="B791" s="1351"/>
      <c r="C791" s="1351"/>
      <c r="D791" s="1351"/>
      <c r="E791" s="1351"/>
      <c r="F791" s="1351"/>
      <c r="G791" s="1184"/>
      <c r="H791" s="1351"/>
      <c r="I791" s="1184"/>
      <c r="J791" s="1351"/>
      <c r="K791" s="1184"/>
      <c r="L791" s="1184"/>
      <c r="M791" s="1184"/>
      <c r="N791" s="1351"/>
      <c r="O791" s="1351"/>
      <c r="P791" s="1163"/>
      <c r="Q791" s="1163"/>
    </row>
    <row r="792" ht="12.75" customHeight="1">
      <c r="A792" s="1351"/>
      <c r="B792" s="1351"/>
      <c r="C792" s="1351"/>
      <c r="D792" s="1351"/>
      <c r="E792" s="1351"/>
      <c r="F792" s="1351"/>
      <c r="G792" s="1184"/>
      <c r="H792" s="1351"/>
      <c r="I792" s="1184"/>
      <c r="J792" s="1351"/>
      <c r="K792" s="1184"/>
      <c r="L792" s="1184"/>
      <c r="M792" s="1184"/>
      <c r="N792" s="1351"/>
      <c r="O792" s="1351"/>
      <c r="P792" s="1163"/>
      <c r="Q792" s="1163"/>
    </row>
    <row r="793" ht="12.75" customHeight="1">
      <c r="A793" s="1351"/>
      <c r="B793" s="1351"/>
      <c r="C793" s="1351"/>
      <c r="D793" s="1351"/>
      <c r="E793" s="1351"/>
      <c r="F793" s="1351"/>
      <c r="G793" s="1184"/>
      <c r="H793" s="1351"/>
      <c r="I793" s="1184"/>
      <c r="J793" s="1351"/>
      <c r="K793" s="1184"/>
      <c r="L793" s="1184"/>
      <c r="M793" s="1184"/>
      <c r="N793" s="1351"/>
      <c r="O793" s="1351"/>
      <c r="P793" s="1163"/>
      <c r="Q793" s="1163"/>
    </row>
    <row r="794" ht="12.75" customHeight="1">
      <c r="A794" s="1351"/>
      <c r="B794" s="1351"/>
      <c r="C794" s="1351"/>
      <c r="D794" s="1351"/>
      <c r="E794" s="1351"/>
      <c r="F794" s="1351"/>
      <c r="G794" s="1184"/>
      <c r="H794" s="1351"/>
      <c r="I794" s="1184"/>
      <c r="J794" s="1351"/>
      <c r="K794" s="1184"/>
      <c r="L794" s="1184"/>
      <c r="M794" s="1184"/>
      <c r="N794" s="1351"/>
      <c r="O794" s="1351"/>
      <c r="P794" s="1163"/>
      <c r="Q794" s="1163"/>
    </row>
    <row r="795" ht="12.75" customHeight="1">
      <c r="A795" s="1351"/>
      <c r="B795" s="1351"/>
      <c r="C795" s="1351"/>
      <c r="D795" s="1351"/>
      <c r="E795" s="1351"/>
      <c r="F795" s="1351"/>
      <c r="G795" s="1184"/>
      <c r="H795" s="1351"/>
      <c r="I795" s="1184"/>
      <c r="J795" s="1351"/>
      <c r="K795" s="1184"/>
      <c r="L795" s="1184"/>
      <c r="M795" s="1184"/>
      <c r="N795" s="1351"/>
      <c r="O795" s="1351"/>
      <c r="P795" s="1163"/>
      <c r="Q795" s="1163"/>
    </row>
    <row r="796" ht="12.75" customHeight="1">
      <c r="A796" s="1351"/>
      <c r="B796" s="1351"/>
      <c r="C796" s="1351"/>
      <c r="D796" s="1351"/>
      <c r="E796" s="1351"/>
      <c r="F796" s="1351"/>
      <c r="G796" s="1184"/>
      <c r="H796" s="1351"/>
      <c r="I796" s="1184"/>
      <c r="J796" s="1351"/>
      <c r="K796" s="1184"/>
      <c r="L796" s="1184"/>
      <c r="M796" s="1184"/>
      <c r="N796" s="1351"/>
      <c r="O796" s="1351"/>
      <c r="P796" s="1163"/>
      <c r="Q796" s="1163"/>
    </row>
    <row r="797" ht="12.75" customHeight="1">
      <c r="A797" s="1351"/>
      <c r="B797" s="1351"/>
      <c r="C797" s="1351"/>
      <c r="D797" s="1351"/>
      <c r="E797" s="1351"/>
      <c r="F797" s="1351"/>
      <c r="G797" s="1184"/>
      <c r="H797" s="1351"/>
      <c r="I797" s="1184"/>
      <c r="J797" s="1351"/>
      <c r="K797" s="1184"/>
      <c r="L797" s="1184"/>
      <c r="M797" s="1184"/>
      <c r="N797" s="1351"/>
      <c r="O797" s="1351"/>
      <c r="P797" s="1163"/>
      <c r="Q797" s="1163"/>
    </row>
    <row r="798" ht="12.75" customHeight="1">
      <c r="A798" s="1351"/>
      <c r="B798" s="1351"/>
      <c r="C798" s="1351"/>
      <c r="D798" s="1351"/>
      <c r="E798" s="1351"/>
      <c r="F798" s="1351"/>
      <c r="G798" s="1184"/>
      <c r="H798" s="1351"/>
      <c r="I798" s="1184"/>
      <c r="J798" s="1351"/>
      <c r="K798" s="1184"/>
      <c r="L798" s="1184"/>
      <c r="M798" s="1184"/>
      <c r="N798" s="1351"/>
      <c r="O798" s="1351"/>
      <c r="P798" s="1163"/>
      <c r="Q798" s="1163"/>
    </row>
    <row r="799" ht="12.75" customHeight="1">
      <c r="A799" s="1351"/>
      <c r="B799" s="1351"/>
      <c r="C799" s="1351"/>
      <c r="D799" s="1351"/>
      <c r="E799" s="1351"/>
      <c r="F799" s="1351"/>
      <c r="G799" s="1184"/>
      <c r="H799" s="1351"/>
      <c r="I799" s="1184"/>
      <c r="J799" s="1351"/>
      <c r="K799" s="1184"/>
      <c r="L799" s="1184"/>
      <c r="M799" s="1184"/>
      <c r="N799" s="1351"/>
      <c r="O799" s="1351"/>
      <c r="P799" s="1163"/>
      <c r="Q799" s="1163"/>
    </row>
    <row r="800" ht="12.75" customHeight="1">
      <c r="A800" s="1351"/>
      <c r="B800" s="1351"/>
      <c r="C800" s="1351"/>
      <c r="D800" s="1351"/>
      <c r="E800" s="1351"/>
      <c r="F800" s="1351"/>
      <c r="G800" s="1184"/>
      <c r="H800" s="1351"/>
      <c r="I800" s="1184"/>
      <c r="J800" s="1351"/>
      <c r="K800" s="1184"/>
      <c r="L800" s="1184"/>
      <c r="M800" s="1184"/>
      <c r="N800" s="1351"/>
      <c r="O800" s="1351"/>
      <c r="P800" s="1163"/>
      <c r="Q800" s="1163"/>
    </row>
    <row r="801" ht="12.75" customHeight="1">
      <c r="A801" s="1351"/>
      <c r="B801" s="1351"/>
      <c r="C801" s="1351"/>
      <c r="D801" s="1351"/>
      <c r="E801" s="1351"/>
      <c r="F801" s="1351"/>
      <c r="G801" s="1184"/>
      <c r="H801" s="1351"/>
      <c r="I801" s="1184"/>
      <c r="J801" s="1351"/>
      <c r="K801" s="1184"/>
      <c r="L801" s="1184"/>
      <c r="M801" s="1184"/>
      <c r="N801" s="1351"/>
      <c r="O801" s="1351"/>
      <c r="P801" s="1163"/>
      <c r="Q801" s="1163"/>
    </row>
    <row r="802" ht="12.75" customHeight="1">
      <c r="A802" s="1351"/>
      <c r="B802" s="1351"/>
      <c r="C802" s="1351"/>
      <c r="D802" s="1351"/>
      <c r="E802" s="1351"/>
      <c r="F802" s="1351"/>
      <c r="G802" s="1184"/>
      <c r="H802" s="1351"/>
      <c r="I802" s="1184"/>
      <c r="J802" s="1351"/>
      <c r="K802" s="1184"/>
      <c r="L802" s="1184"/>
      <c r="M802" s="1184"/>
      <c r="N802" s="1351"/>
      <c r="O802" s="1351"/>
      <c r="P802" s="1163"/>
      <c r="Q802" s="1163"/>
    </row>
    <row r="803" ht="12.75" customHeight="1">
      <c r="A803" s="1351"/>
      <c r="B803" s="1351"/>
      <c r="C803" s="1351"/>
      <c r="D803" s="1351"/>
      <c r="E803" s="1351"/>
      <c r="F803" s="1351"/>
      <c r="G803" s="1184"/>
      <c r="H803" s="1351"/>
      <c r="I803" s="1184"/>
      <c r="J803" s="1351"/>
      <c r="K803" s="1184"/>
      <c r="L803" s="1184"/>
      <c r="M803" s="1184"/>
      <c r="N803" s="1351"/>
      <c r="O803" s="1351"/>
      <c r="P803" s="1163"/>
      <c r="Q803" s="1163"/>
    </row>
    <row r="804" ht="12.75" customHeight="1">
      <c r="A804" s="1351"/>
      <c r="B804" s="1351"/>
      <c r="C804" s="1351"/>
      <c r="D804" s="1351"/>
      <c r="E804" s="1351"/>
      <c r="F804" s="1351"/>
      <c r="G804" s="1184"/>
      <c r="H804" s="1351"/>
      <c r="I804" s="1184"/>
      <c r="J804" s="1351"/>
      <c r="K804" s="1184"/>
      <c r="L804" s="1184"/>
      <c r="M804" s="1184"/>
      <c r="N804" s="1351"/>
      <c r="O804" s="1351"/>
      <c r="P804" s="1163"/>
      <c r="Q804" s="1163"/>
    </row>
    <row r="805" ht="12.75" customHeight="1">
      <c r="A805" s="1351"/>
      <c r="B805" s="1351"/>
      <c r="C805" s="1351"/>
      <c r="D805" s="1351"/>
      <c r="E805" s="1351"/>
      <c r="F805" s="1351"/>
      <c r="G805" s="1184"/>
      <c r="H805" s="1351"/>
      <c r="I805" s="1184"/>
      <c r="J805" s="1351"/>
      <c r="K805" s="1184"/>
      <c r="L805" s="1184"/>
      <c r="M805" s="1184"/>
      <c r="N805" s="1351"/>
      <c r="O805" s="1351"/>
      <c r="P805" s="1163"/>
      <c r="Q805" s="1163"/>
    </row>
    <row r="806" ht="12.75" customHeight="1">
      <c r="A806" s="1351"/>
      <c r="B806" s="1351"/>
      <c r="C806" s="1351"/>
      <c r="D806" s="1351"/>
      <c r="E806" s="1351"/>
      <c r="F806" s="1351"/>
      <c r="G806" s="1184"/>
      <c r="H806" s="1351"/>
      <c r="I806" s="1184"/>
      <c r="J806" s="1351"/>
      <c r="K806" s="1184"/>
      <c r="L806" s="1184"/>
      <c r="M806" s="1184"/>
      <c r="N806" s="1351"/>
      <c r="O806" s="1351"/>
      <c r="P806" s="1163"/>
      <c r="Q806" s="1163"/>
    </row>
    <row r="807" ht="12.75" customHeight="1">
      <c r="A807" s="1351"/>
      <c r="B807" s="1351"/>
      <c r="C807" s="1351"/>
      <c r="D807" s="1351"/>
      <c r="E807" s="1351"/>
      <c r="F807" s="1351"/>
      <c r="G807" s="1184"/>
      <c r="H807" s="1351"/>
      <c r="I807" s="1184"/>
      <c r="J807" s="1351"/>
      <c r="K807" s="1184"/>
      <c r="L807" s="1184"/>
      <c r="M807" s="1184"/>
      <c r="N807" s="1351"/>
      <c r="O807" s="1351"/>
      <c r="P807" s="1163"/>
      <c r="Q807" s="1163"/>
    </row>
    <row r="808" ht="12.75" customHeight="1">
      <c r="A808" s="1351"/>
      <c r="B808" s="1351"/>
      <c r="C808" s="1351"/>
      <c r="D808" s="1351"/>
      <c r="E808" s="1351"/>
      <c r="F808" s="1351"/>
      <c r="G808" s="1184"/>
      <c r="H808" s="1351"/>
      <c r="I808" s="1184"/>
      <c r="J808" s="1351"/>
      <c r="K808" s="1184"/>
      <c r="L808" s="1184"/>
      <c r="M808" s="1184"/>
      <c r="N808" s="1351"/>
      <c r="O808" s="1351"/>
      <c r="P808" s="1163"/>
      <c r="Q808" s="1163"/>
    </row>
    <row r="809" ht="12.75" customHeight="1">
      <c r="A809" s="1351"/>
      <c r="B809" s="1351"/>
      <c r="C809" s="1351"/>
      <c r="D809" s="1351"/>
      <c r="E809" s="1351"/>
      <c r="F809" s="1351"/>
      <c r="G809" s="1184"/>
      <c r="H809" s="1351"/>
      <c r="I809" s="1184"/>
      <c r="J809" s="1351"/>
      <c r="K809" s="1184"/>
      <c r="L809" s="1184"/>
      <c r="M809" s="1184"/>
      <c r="N809" s="1351"/>
      <c r="O809" s="1351"/>
      <c r="P809" s="1163"/>
      <c r="Q809" s="1163"/>
    </row>
    <row r="810" ht="12.75" customHeight="1">
      <c r="A810" s="1351"/>
      <c r="B810" s="1351"/>
      <c r="C810" s="1351"/>
      <c r="D810" s="1351"/>
      <c r="E810" s="1351"/>
      <c r="F810" s="1351"/>
      <c r="G810" s="1184"/>
      <c r="H810" s="1351"/>
      <c r="I810" s="1184"/>
      <c r="J810" s="1351"/>
      <c r="K810" s="1184"/>
      <c r="L810" s="1184"/>
      <c r="M810" s="1184"/>
      <c r="N810" s="1351"/>
      <c r="O810" s="1351"/>
      <c r="P810" s="1163"/>
      <c r="Q810" s="1163"/>
    </row>
    <row r="811" ht="12.75" customHeight="1">
      <c r="A811" s="1351"/>
      <c r="B811" s="1351"/>
      <c r="C811" s="1351"/>
      <c r="D811" s="1351"/>
      <c r="E811" s="1351"/>
      <c r="F811" s="1351"/>
      <c r="G811" s="1184"/>
      <c r="H811" s="1351"/>
      <c r="I811" s="1184"/>
      <c r="J811" s="1351"/>
      <c r="K811" s="1184"/>
      <c r="L811" s="1184"/>
      <c r="M811" s="1184"/>
      <c r="N811" s="1351"/>
      <c r="O811" s="1351"/>
      <c r="P811" s="1163"/>
      <c r="Q811" s="1163"/>
    </row>
    <row r="812" ht="12.75" customHeight="1">
      <c r="A812" s="1351"/>
      <c r="B812" s="1351"/>
      <c r="C812" s="1351"/>
      <c r="D812" s="1351"/>
      <c r="E812" s="1351"/>
      <c r="F812" s="1351"/>
      <c r="G812" s="1184"/>
      <c r="H812" s="1351"/>
      <c r="I812" s="1184"/>
      <c r="J812" s="1351"/>
      <c r="K812" s="1184"/>
      <c r="L812" s="1184"/>
      <c r="M812" s="1184"/>
      <c r="N812" s="1351"/>
      <c r="O812" s="1351"/>
      <c r="P812" s="1163"/>
      <c r="Q812" s="1163"/>
    </row>
    <row r="813" ht="12.75" customHeight="1">
      <c r="A813" s="1351"/>
      <c r="B813" s="1351"/>
      <c r="C813" s="1351"/>
      <c r="D813" s="1351"/>
      <c r="E813" s="1351"/>
      <c r="F813" s="1351"/>
      <c r="G813" s="1184"/>
      <c r="H813" s="1351"/>
      <c r="I813" s="1184"/>
      <c r="J813" s="1351"/>
      <c r="K813" s="1184"/>
      <c r="L813" s="1184"/>
      <c r="M813" s="1184"/>
      <c r="N813" s="1351"/>
      <c r="O813" s="1351"/>
      <c r="P813" s="1163"/>
      <c r="Q813" s="1163"/>
    </row>
    <row r="814" ht="12.75" customHeight="1">
      <c r="A814" s="1351"/>
      <c r="B814" s="1351"/>
      <c r="C814" s="1351"/>
      <c r="D814" s="1351"/>
      <c r="E814" s="1351"/>
      <c r="F814" s="1351"/>
      <c r="G814" s="1184"/>
      <c r="H814" s="1351"/>
      <c r="I814" s="1184"/>
      <c r="J814" s="1351"/>
      <c r="K814" s="1184"/>
      <c r="L814" s="1184"/>
      <c r="M814" s="1184"/>
      <c r="N814" s="1351"/>
      <c r="O814" s="1351"/>
      <c r="P814" s="1163"/>
      <c r="Q814" s="1163"/>
    </row>
    <row r="815" ht="12.75" customHeight="1">
      <c r="A815" s="1351"/>
      <c r="B815" s="1351"/>
      <c r="C815" s="1351"/>
      <c r="D815" s="1351"/>
      <c r="E815" s="1351"/>
      <c r="F815" s="1351"/>
      <c r="G815" s="1184"/>
      <c r="H815" s="1351"/>
      <c r="I815" s="1184"/>
      <c r="J815" s="1351"/>
      <c r="K815" s="1184"/>
      <c r="L815" s="1184"/>
      <c r="M815" s="1184"/>
      <c r="N815" s="1351"/>
      <c r="O815" s="1351"/>
      <c r="P815" s="1163"/>
      <c r="Q815" s="1163"/>
    </row>
    <row r="816" ht="12.75" customHeight="1">
      <c r="A816" s="1351"/>
      <c r="B816" s="1351"/>
      <c r="C816" s="1351"/>
      <c r="D816" s="1351"/>
      <c r="E816" s="1351"/>
      <c r="F816" s="1351"/>
      <c r="G816" s="1184"/>
      <c r="H816" s="1351"/>
      <c r="I816" s="1184"/>
      <c r="J816" s="1351"/>
      <c r="K816" s="1184"/>
      <c r="L816" s="1184"/>
      <c r="M816" s="1184"/>
      <c r="N816" s="1351"/>
      <c r="O816" s="1351"/>
      <c r="P816" s="1163"/>
      <c r="Q816" s="1163"/>
    </row>
    <row r="817" ht="12.75" customHeight="1">
      <c r="A817" s="1351"/>
      <c r="B817" s="1351"/>
      <c r="C817" s="1351"/>
      <c r="D817" s="1351"/>
      <c r="E817" s="1351"/>
      <c r="F817" s="1351"/>
      <c r="G817" s="1184"/>
      <c r="H817" s="1351"/>
      <c r="I817" s="1184"/>
      <c r="J817" s="1351"/>
      <c r="K817" s="1184"/>
      <c r="L817" s="1184"/>
      <c r="M817" s="1184"/>
      <c r="N817" s="1351"/>
      <c r="O817" s="1351"/>
      <c r="P817" s="1163"/>
      <c r="Q817" s="1163"/>
    </row>
    <row r="818" ht="12.75" customHeight="1">
      <c r="A818" s="1351"/>
      <c r="B818" s="1351"/>
      <c r="C818" s="1351"/>
      <c r="D818" s="1351"/>
      <c r="E818" s="1351"/>
      <c r="F818" s="1351"/>
      <c r="G818" s="1184"/>
      <c r="H818" s="1351"/>
      <c r="I818" s="1184"/>
      <c r="J818" s="1351"/>
      <c r="K818" s="1184"/>
      <c r="L818" s="1184"/>
      <c r="M818" s="1184"/>
      <c r="N818" s="1351"/>
      <c r="O818" s="1351"/>
      <c r="P818" s="1163"/>
      <c r="Q818" s="1163"/>
    </row>
    <row r="819" ht="12.75" customHeight="1">
      <c r="A819" s="1351"/>
      <c r="B819" s="1351"/>
      <c r="C819" s="1351"/>
      <c r="D819" s="1351"/>
      <c r="E819" s="1351"/>
      <c r="F819" s="1351"/>
      <c r="G819" s="1184"/>
      <c r="H819" s="1351"/>
      <c r="I819" s="1184"/>
      <c r="J819" s="1351"/>
      <c r="K819" s="1184"/>
      <c r="L819" s="1184"/>
      <c r="M819" s="1184"/>
      <c r="N819" s="1351"/>
      <c r="O819" s="1351"/>
      <c r="P819" s="1163"/>
      <c r="Q819" s="1163"/>
    </row>
    <row r="820" ht="12.75" customHeight="1">
      <c r="A820" s="1351"/>
      <c r="B820" s="1351"/>
      <c r="C820" s="1351"/>
      <c r="D820" s="1351"/>
      <c r="E820" s="1351"/>
      <c r="F820" s="1351"/>
      <c r="G820" s="1184"/>
      <c r="H820" s="1351"/>
      <c r="I820" s="1184"/>
      <c r="J820" s="1351"/>
      <c r="K820" s="1184"/>
      <c r="L820" s="1184"/>
      <c r="M820" s="1184"/>
      <c r="N820" s="1351"/>
      <c r="O820" s="1351"/>
      <c r="P820" s="1163"/>
      <c r="Q820" s="1163"/>
    </row>
    <row r="821" ht="12.75" customHeight="1">
      <c r="A821" s="1351"/>
      <c r="B821" s="1351"/>
      <c r="C821" s="1351"/>
      <c r="D821" s="1351"/>
      <c r="E821" s="1351"/>
      <c r="F821" s="1351"/>
      <c r="G821" s="1184"/>
      <c r="H821" s="1351"/>
      <c r="I821" s="1184"/>
      <c r="J821" s="1351"/>
      <c r="K821" s="1184"/>
      <c r="L821" s="1184"/>
      <c r="M821" s="1184"/>
      <c r="N821" s="1351"/>
      <c r="O821" s="1351"/>
      <c r="P821" s="1163"/>
      <c r="Q821" s="1163"/>
    </row>
    <row r="822" ht="12.75" customHeight="1">
      <c r="A822" s="1351"/>
      <c r="B822" s="1351"/>
      <c r="C822" s="1351"/>
      <c r="D822" s="1351"/>
      <c r="E822" s="1351"/>
      <c r="F822" s="1351"/>
      <c r="G822" s="1184"/>
      <c r="H822" s="1351"/>
      <c r="I822" s="1184"/>
      <c r="J822" s="1351"/>
      <c r="K822" s="1184"/>
      <c r="L822" s="1184"/>
      <c r="M822" s="1184"/>
      <c r="N822" s="1351"/>
      <c r="O822" s="1351"/>
      <c r="P822" s="1163"/>
      <c r="Q822" s="1163"/>
    </row>
    <row r="823" ht="12.75" customHeight="1">
      <c r="A823" s="1351"/>
      <c r="B823" s="1351"/>
      <c r="C823" s="1351"/>
      <c r="D823" s="1351"/>
      <c r="E823" s="1351"/>
      <c r="F823" s="1351"/>
      <c r="G823" s="1184"/>
      <c r="H823" s="1351"/>
      <c r="I823" s="1184"/>
      <c r="J823" s="1351"/>
      <c r="K823" s="1184"/>
      <c r="L823" s="1184"/>
      <c r="M823" s="1184"/>
      <c r="N823" s="1351"/>
      <c r="O823" s="1351"/>
      <c r="P823" s="1163"/>
      <c r="Q823" s="1163"/>
    </row>
    <row r="824" ht="12.75" customHeight="1">
      <c r="A824" s="1351"/>
      <c r="B824" s="1351"/>
      <c r="C824" s="1351"/>
      <c r="D824" s="1351"/>
      <c r="E824" s="1351"/>
      <c r="F824" s="1351"/>
      <c r="G824" s="1184"/>
      <c r="H824" s="1351"/>
      <c r="I824" s="1184"/>
      <c r="J824" s="1351"/>
      <c r="K824" s="1184"/>
      <c r="L824" s="1184"/>
      <c r="M824" s="1184"/>
      <c r="N824" s="1351"/>
      <c r="O824" s="1351"/>
      <c r="P824" s="1163"/>
      <c r="Q824" s="1163"/>
    </row>
    <row r="825" ht="12.75" customHeight="1">
      <c r="A825" s="1351"/>
      <c r="B825" s="1351"/>
      <c r="C825" s="1351"/>
      <c r="D825" s="1351"/>
      <c r="E825" s="1351"/>
      <c r="F825" s="1351"/>
      <c r="G825" s="1184"/>
      <c r="H825" s="1351"/>
      <c r="I825" s="1184"/>
      <c r="J825" s="1351"/>
      <c r="K825" s="1184"/>
      <c r="L825" s="1184"/>
      <c r="M825" s="1184"/>
      <c r="N825" s="1351"/>
      <c r="O825" s="1351"/>
      <c r="P825" s="1163"/>
      <c r="Q825" s="1163"/>
    </row>
    <row r="826" ht="12.75" customHeight="1">
      <c r="A826" s="1351"/>
      <c r="B826" s="1351"/>
      <c r="C826" s="1351"/>
      <c r="D826" s="1351"/>
      <c r="E826" s="1351"/>
      <c r="F826" s="1351"/>
      <c r="G826" s="1184"/>
      <c r="H826" s="1351"/>
      <c r="I826" s="1184"/>
      <c r="J826" s="1351"/>
      <c r="K826" s="1184"/>
      <c r="L826" s="1184"/>
      <c r="M826" s="1184"/>
      <c r="N826" s="1351"/>
      <c r="O826" s="1351"/>
      <c r="P826" s="1163"/>
      <c r="Q826" s="1163"/>
    </row>
    <row r="827" ht="12.75" customHeight="1">
      <c r="A827" s="1351"/>
      <c r="B827" s="1351"/>
      <c r="C827" s="1351"/>
      <c r="D827" s="1351"/>
      <c r="E827" s="1351"/>
      <c r="F827" s="1351"/>
      <c r="G827" s="1184"/>
      <c r="H827" s="1351"/>
      <c r="I827" s="1184"/>
      <c r="J827" s="1351"/>
      <c r="K827" s="1184"/>
      <c r="L827" s="1184"/>
      <c r="M827" s="1184"/>
      <c r="N827" s="1351"/>
      <c r="O827" s="1351"/>
      <c r="P827" s="1163"/>
      <c r="Q827" s="1163"/>
    </row>
    <row r="828" ht="12.75" customHeight="1">
      <c r="A828" s="1351"/>
      <c r="B828" s="1351"/>
      <c r="C828" s="1351"/>
      <c r="D828" s="1351"/>
      <c r="E828" s="1351"/>
      <c r="F828" s="1351"/>
      <c r="G828" s="1184"/>
      <c r="H828" s="1351"/>
      <c r="I828" s="1184"/>
      <c r="J828" s="1351"/>
      <c r="K828" s="1184"/>
      <c r="L828" s="1184"/>
      <c r="M828" s="1184"/>
      <c r="N828" s="1351"/>
      <c r="O828" s="1351"/>
      <c r="P828" s="1163"/>
      <c r="Q828" s="1163"/>
    </row>
    <row r="829" ht="12.75" customHeight="1">
      <c r="A829" s="1351"/>
      <c r="B829" s="1351"/>
      <c r="C829" s="1351"/>
      <c r="D829" s="1351"/>
      <c r="E829" s="1351"/>
      <c r="F829" s="1351"/>
      <c r="G829" s="1184"/>
      <c r="H829" s="1351"/>
      <c r="I829" s="1184"/>
      <c r="J829" s="1351"/>
      <c r="K829" s="1184"/>
      <c r="L829" s="1184"/>
      <c r="M829" s="1184"/>
      <c r="N829" s="1351"/>
      <c r="O829" s="1351"/>
      <c r="P829" s="1163"/>
      <c r="Q829" s="1163"/>
    </row>
    <row r="830" ht="12.75" customHeight="1">
      <c r="A830" s="1351"/>
      <c r="B830" s="1351"/>
      <c r="C830" s="1351"/>
      <c r="D830" s="1351"/>
      <c r="E830" s="1351"/>
      <c r="F830" s="1351"/>
      <c r="G830" s="1184"/>
      <c r="H830" s="1351"/>
      <c r="I830" s="1184"/>
      <c r="J830" s="1351"/>
      <c r="K830" s="1184"/>
      <c r="L830" s="1184"/>
      <c r="M830" s="1184"/>
      <c r="N830" s="1351"/>
      <c r="O830" s="1351"/>
      <c r="P830" s="1163"/>
      <c r="Q830" s="1163"/>
    </row>
    <row r="831" ht="12.75" customHeight="1">
      <c r="A831" s="1351"/>
      <c r="B831" s="1351"/>
      <c r="C831" s="1351"/>
      <c r="D831" s="1351"/>
      <c r="E831" s="1351"/>
      <c r="F831" s="1351"/>
      <c r="G831" s="1184"/>
      <c r="H831" s="1351"/>
      <c r="I831" s="1184"/>
      <c r="J831" s="1351"/>
      <c r="K831" s="1184"/>
      <c r="L831" s="1184"/>
      <c r="M831" s="1184"/>
      <c r="N831" s="1351"/>
      <c r="O831" s="1351"/>
      <c r="P831" s="1163"/>
      <c r="Q831" s="1163"/>
    </row>
    <row r="832" ht="12.75" customHeight="1">
      <c r="A832" s="1351"/>
      <c r="B832" s="1351"/>
      <c r="C832" s="1351"/>
      <c r="D832" s="1351"/>
      <c r="E832" s="1351"/>
      <c r="F832" s="1351"/>
      <c r="G832" s="1184"/>
      <c r="H832" s="1351"/>
      <c r="I832" s="1184"/>
      <c r="J832" s="1351"/>
      <c r="K832" s="1184"/>
      <c r="L832" s="1184"/>
      <c r="M832" s="1184"/>
      <c r="N832" s="1351"/>
      <c r="O832" s="1351"/>
      <c r="P832" s="1163"/>
      <c r="Q832" s="1163"/>
    </row>
    <row r="833" ht="12.75" customHeight="1">
      <c r="A833" s="1351"/>
      <c r="B833" s="1351"/>
      <c r="C833" s="1351"/>
      <c r="D833" s="1351"/>
      <c r="E833" s="1351"/>
      <c r="F833" s="1351"/>
      <c r="G833" s="1184"/>
      <c r="H833" s="1351"/>
      <c r="I833" s="1184"/>
      <c r="J833" s="1351"/>
      <c r="K833" s="1184"/>
      <c r="L833" s="1184"/>
      <c r="M833" s="1184"/>
      <c r="N833" s="1351"/>
      <c r="O833" s="1351"/>
      <c r="P833" s="1163"/>
      <c r="Q833" s="1163"/>
    </row>
    <row r="834" ht="12.75" customHeight="1">
      <c r="A834" s="1351"/>
      <c r="B834" s="1351"/>
      <c r="C834" s="1351"/>
      <c r="D834" s="1351"/>
      <c r="E834" s="1351"/>
      <c r="F834" s="1351"/>
      <c r="G834" s="1184"/>
      <c r="H834" s="1351"/>
      <c r="I834" s="1184"/>
      <c r="J834" s="1351"/>
      <c r="K834" s="1184"/>
      <c r="L834" s="1184"/>
      <c r="M834" s="1184"/>
      <c r="N834" s="1351"/>
      <c r="O834" s="1351"/>
      <c r="P834" s="1163"/>
      <c r="Q834" s="1163"/>
    </row>
    <row r="835" ht="12.75" customHeight="1">
      <c r="A835" s="1351"/>
      <c r="B835" s="1351"/>
      <c r="C835" s="1351"/>
      <c r="D835" s="1351"/>
      <c r="E835" s="1351"/>
      <c r="F835" s="1351"/>
      <c r="G835" s="1184"/>
      <c r="H835" s="1351"/>
      <c r="I835" s="1184"/>
      <c r="J835" s="1351"/>
      <c r="K835" s="1184"/>
      <c r="L835" s="1184"/>
      <c r="M835" s="1184"/>
      <c r="N835" s="1351"/>
      <c r="O835" s="1351"/>
      <c r="P835" s="1163"/>
      <c r="Q835" s="1163"/>
    </row>
    <row r="836" ht="12.75" customHeight="1">
      <c r="A836" s="1351"/>
      <c r="B836" s="1351"/>
      <c r="C836" s="1351"/>
      <c r="D836" s="1351"/>
      <c r="E836" s="1351"/>
      <c r="F836" s="1351"/>
      <c r="G836" s="1184"/>
      <c r="H836" s="1351"/>
      <c r="I836" s="1184"/>
      <c r="J836" s="1351"/>
      <c r="K836" s="1184"/>
      <c r="L836" s="1184"/>
      <c r="M836" s="1184"/>
      <c r="N836" s="1351"/>
      <c r="O836" s="1351"/>
      <c r="P836" s="1163"/>
      <c r="Q836" s="1163"/>
    </row>
    <row r="837" ht="12.75" customHeight="1">
      <c r="A837" s="1351"/>
      <c r="B837" s="1351"/>
      <c r="C837" s="1351"/>
      <c r="D837" s="1351"/>
      <c r="E837" s="1351"/>
      <c r="F837" s="1351"/>
      <c r="G837" s="1184"/>
      <c r="H837" s="1351"/>
      <c r="I837" s="1184"/>
      <c r="J837" s="1351"/>
      <c r="K837" s="1184"/>
      <c r="L837" s="1184"/>
      <c r="M837" s="1184"/>
      <c r="N837" s="1351"/>
      <c r="O837" s="1351"/>
      <c r="P837" s="1163"/>
      <c r="Q837" s="1163"/>
    </row>
    <row r="838" ht="12.75" customHeight="1">
      <c r="A838" s="1351"/>
      <c r="B838" s="1351"/>
      <c r="C838" s="1351"/>
      <c r="D838" s="1351"/>
      <c r="E838" s="1351"/>
      <c r="F838" s="1351"/>
      <c r="G838" s="1184"/>
      <c r="H838" s="1351"/>
      <c r="I838" s="1184"/>
      <c r="J838" s="1351"/>
      <c r="K838" s="1184"/>
      <c r="L838" s="1184"/>
      <c r="M838" s="1184"/>
      <c r="N838" s="1351"/>
      <c r="O838" s="1351"/>
      <c r="P838" s="1163"/>
      <c r="Q838" s="1163"/>
    </row>
    <row r="839" ht="12.75" customHeight="1">
      <c r="A839" s="1351"/>
      <c r="B839" s="1351"/>
      <c r="C839" s="1351"/>
      <c r="D839" s="1351"/>
      <c r="E839" s="1351"/>
      <c r="F839" s="1351"/>
      <c r="G839" s="1184"/>
      <c r="H839" s="1351"/>
      <c r="I839" s="1184"/>
      <c r="J839" s="1351"/>
      <c r="K839" s="1184"/>
      <c r="L839" s="1184"/>
      <c r="M839" s="1184"/>
      <c r="N839" s="1351"/>
      <c r="O839" s="1351"/>
      <c r="P839" s="1163"/>
      <c r="Q839" s="1163"/>
    </row>
    <row r="840" ht="12.75" customHeight="1">
      <c r="A840" s="1351"/>
      <c r="B840" s="1351"/>
      <c r="C840" s="1351"/>
      <c r="D840" s="1351"/>
      <c r="E840" s="1351"/>
      <c r="F840" s="1351"/>
      <c r="G840" s="1184"/>
      <c r="H840" s="1351"/>
      <c r="I840" s="1184"/>
      <c r="J840" s="1351"/>
      <c r="K840" s="1184"/>
      <c r="L840" s="1184"/>
      <c r="M840" s="1184"/>
      <c r="N840" s="1351"/>
      <c r="O840" s="1351"/>
      <c r="P840" s="1163"/>
      <c r="Q840" s="1163"/>
    </row>
    <row r="841" ht="12.75" customHeight="1">
      <c r="A841" s="1351"/>
      <c r="B841" s="1351"/>
      <c r="C841" s="1351"/>
      <c r="D841" s="1351"/>
      <c r="E841" s="1351"/>
      <c r="F841" s="1351"/>
      <c r="G841" s="1184"/>
      <c r="H841" s="1351"/>
      <c r="I841" s="1184"/>
      <c r="J841" s="1351"/>
      <c r="K841" s="1184"/>
      <c r="L841" s="1184"/>
      <c r="M841" s="1184"/>
      <c r="N841" s="1351"/>
      <c r="O841" s="1351"/>
      <c r="P841" s="1163"/>
      <c r="Q841" s="1163"/>
    </row>
    <row r="842" ht="12.75" customHeight="1">
      <c r="A842" s="1351"/>
      <c r="B842" s="1351"/>
      <c r="C842" s="1351"/>
      <c r="D842" s="1351"/>
      <c r="E842" s="1351"/>
      <c r="F842" s="1351"/>
      <c r="G842" s="1184"/>
      <c r="H842" s="1351"/>
      <c r="I842" s="1184"/>
      <c r="J842" s="1351"/>
      <c r="K842" s="1184"/>
      <c r="L842" s="1184"/>
      <c r="M842" s="1184"/>
      <c r="N842" s="1351"/>
      <c r="O842" s="1351"/>
      <c r="P842" s="1163"/>
      <c r="Q842" s="1163"/>
    </row>
    <row r="843" ht="12.75" customHeight="1">
      <c r="A843" s="1351"/>
      <c r="B843" s="1351"/>
      <c r="C843" s="1351"/>
      <c r="D843" s="1351"/>
      <c r="E843" s="1351"/>
      <c r="F843" s="1351"/>
      <c r="G843" s="1184"/>
      <c r="H843" s="1351"/>
      <c r="I843" s="1184"/>
      <c r="J843" s="1351"/>
      <c r="K843" s="1184"/>
      <c r="L843" s="1184"/>
      <c r="M843" s="1184"/>
      <c r="N843" s="1351"/>
      <c r="O843" s="1351"/>
      <c r="P843" s="1163"/>
      <c r="Q843" s="1163"/>
    </row>
    <row r="844" ht="12.75" customHeight="1">
      <c r="A844" s="1351"/>
      <c r="B844" s="1351"/>
      <c r="C844" s="1351"/>
      <c r="D844" s="1351"/>
      <c r="E844" s="1351"/>
      <c r="F844" s="1351"/>
      <c r="G844" s="1184"/>
      <c r="H844" s="1351"/>
      <c r="I844" s="1184"/>
      <c r="J844" s="1351"/>
      <c r="K844" s="1184"/>
      <c r="L844" s="1184"/>
      <c r="M844" s="1184"/>
      <c r="N844" s="1351"/>
      <c r="O844" s="1351"/>
      <c r="P844" s="1163"/>
      <c r="Q844" s="1163"/>
    </row>
    <row r="845" ht="12.75" customHeight="1">
      <c r="A845" s="1351"/>
      <c r="B845" s="1351"/>
      <c r="C845" s="1351"/>
      <c r="D845" s="1351"/>
      <c r="E845" s="1351"/>
      <c r="F845" s="1351"/>
      <c r="G845" s="1184"/>
      <c r="H845" s="1351"/>
      <c r="I845" s="1184"/>
      <c r="J845" s="1351"/>
      <c r="K845" s="1184"/>
      <c r="L845" s="1184"/>
      <c r="M845" s="1184"/>
      <c r="N845" s="1351"/>
      <c r="O845" s="1351"/>
      <c r="P845" s="1163"/>
      <c r="Q845" s="1163"/>
    </row>
    <row r="846" ht="12.75" customHeight="1">
      <c r="A846" s="1351"/>
      <c r="B846" s="1351"/>
      <c r="C846" s="1351"/>
      <c r="D846" s="1351"/>
      <c r="E846" s="1351"/>
      <c r="F846" s="1351"/>
      <c r="G846" s="1184"/>
      <c r="H846" s="1351"/>
      <c r="I846" s="1184"/>
      <c r="J846" s="1351"/>
      <c r="K846" s="1184"/>
      <c r="L846" s="1184"/>
      <c r="M846" s="1184"/>
      <c r="N846" s="1351"/>
      <c r="O846" s="1351"/>
      <c r="P846" s="1163"/>
      <c r="Q846" s="1163"/>
    </row>
    <row r="847" ht="12.75" customHeight="1">
      <c r="A847" s="1351"/>
      <c r="B847" s="1351"/>
      <c r="C847" s="1351"/>
      <c r="D847" s="1351"/>
      <c r="E847" s="1351"/>
      <c r="F847" s="1351"/>
      <c r="G847" s="1184"/>
      <c r="H847" s="1351"/>
      <c r="I847" s="1184"/>
      <c r="J847" s="1351"/>
      <c r="K847" s="1184"/>
      <c r="L847" s="1184"/>
      <c r="M847" s="1184"/>
      <c r="N847" s="1351"/>
      <c r="O847" s="1351"/>
      <c r="P847" s="1163"/>
      <c r="Q847" s="1163"/>
    </row>
    <row r="848" ht="12.75" customHeight="1">
      <c r="A848" s="1351"/>
      <c r="B848" s="1351"/>
      <c r="C848" s="1351"/>
      <c r="D848" s="1351"/>
      <c r="E848" s="1351"/>
      <c r="F848" s="1351"/>
      <c r="G848" s="1184"/>
      <c r="H848" s="1351"/>
      <c r="I848" s="1184"/>
      <c r="J848" s="1351"/>
      <c r="K848" s="1184"/>
      <c r="L848" s="1184"/>
      <c r="M848" s="1184"/>
      <c r="N848" s="1351"/>
      <c r="O848" s="1351"/>
      <c r="P848" s="1163"/>
      <c r="Q848" s="1163"/>
    </row>
    <row r="849" ht="12.75" customHeight="1">
      <c r="A849" s="1351"/>
      <c r="B849" s="1351"/>
      <c r="C849" s="1351"/>
      <c r="D849" s="1351"/>
      <c r="E849" s="1351"/>
      <c r="F849" s="1351"/>
      <c r="G849" s="1184"/>
      <c r="H849" s="1351"/>
      <c r="I849" s="1184"/>
      <c r="J849" s="1351"/>
      <c r="K849" s="1184"/>
      <c r="L849" s="1184"/>
      <c r="M849" s="1184"/>
      <c r="N849" s="1351"/>
      <c r="O849" s="1351"/>
      <c r="P849" s="1163"/>
      <c r="Q849" s="1163"/>
    </row>
    <row r="850" ht="12.75" customHeight="1">
      <c r="A850" s="1351"/>
      <c r="B850" s="1351"/>
      <c r="C850" s="1351"/>
      <c r="D850" s="1351"/>
      <c r="E850" s="1351"/>
      <c r="F850" s="1351"/>
      <c r="G850" s="1184"/>
      <c r="H850" s="1351"/>
      <c r="I850" s="1184"/>
      <c r="J850" s="1351"/>
      <c r="K850" s="1184"/>
      <c r="L850" s="1184"/>
      <c r="M850" s="1184"/>
      <c r="N850" s="1351"/>
      <c r="O850" s="1351"/>
      <c r="P850" s="1163"/>
      <c r="Q850" s="1163"/>
    </row>
    <row r="851" ht="12.75" customHeight="1">
      <c r="A851" s="1351"/>
      <c r="B851" s="1351"/>
      <c r="C851" s="1351"/>
      <c r="D851" s="1351"/>
      <c r="E851" s="1351"/>
      <c r="F851" s="1351"/>
      <c r="G851" s="1184"/>
      <c r="H851" s="1351"/>
      <c r="I851" s="1184"/>
      <c r="J851" s="1351"/>
      <c r="K851" s="1184"/>
      <c r="L851" s="1184"/>
      <c r="M851" s="1184"/>
      <c r="N851" s="1351"/>
      <c r="O851" s="1351"/>
      <c r="P851" s="1163"/>
      <c r="Q851" s="1163"/>
    </row>
    <row r="852" ht="12.75" customHeight="1">
      <c r="A852" s="1351"/>
      <c r="B852" s="1351"/>
      <c r="C852" s="1351"/>
      <c r="D852" s="1351"/>
      <c r="E852" s="1351"/>
      <c r="F852" s="1351"/>
      <c r="G852" s="1184"/>
      <c r="H852" s="1351"/>
      <c r="I852" s="1184"/>
      <c r="J852" s="1351"/>
      <c r="K852" s="1184"/>
      <c r="L852" s="1184"/>
      <c r="M852" s="1184"/>
      <c r="N852" s="1351"/>
      <c r="O852" s="1351"/>
      <c r="P852" s="1163"/>
      <c r="Q852" s="1163"/>
    </row>
    <row r="853" ht="12.75" customHeight="1">
      <c r="A853" s="1351"/>
      <c r="B853" s="1351"/>
      <c r="C853" s="1351"/>
      <c r="D853" s="1351"/>
      <c r="E853" s="1351"/>
      <c r="F853" s="1351"/>
      <c r="G853" s="1184"/>
      <c r="H853" s="1351"/>
      <c r="I853" s="1184"/>
      <c r="J853" s="1351"/>
      <c r="K853" s="1184"/>
      <c r="L853" s="1184"/>
      <c r="M853" s="1184"/>
      <c r="N853" s="1351"/>
      <c r="O853" s="1351"/>
      <c r="P853" s="1163"/>
      <c r="Q853" s="1163"/>
    </row>
    <row r="854" ht="12.75" customHeight="1">
      <c r="A854" s="1351"/>
      <c r="B854" s="1351"/>
      <c r="C854" s="1351"/>
      <c r="D854" s="1351"/>
      <c r="E854" s="1351"/>
      <c r="F854" s="1351"/>
      <c r="G854" s="1184"/>
      <c r="H854" s="1351"/>
      <c r="I854" s="1184"/>
      <c r="J854" s="1351"/>
      <c r="K854" s="1184"/>
      <c r="L854" s="1184"/>
      <c r="M854" s="1184"/>
      <c r="N854" s="1351"/>
      <c r="O854" s="1351"/>
      <c r="P854" s="1163"/>
      <c r="Q854" s="1163"/>
    </row>
    <row r="855" ht="12.75" customHeight="1">
      <c r="A855" s="1351"/>
      <c r="B855" s="1351"/>
      <c r="C855" s="1351"/>
      <c r="D855" s="1351"/>
      <c r="E855" s="1351"/>
      <c r="F855" s="1351"/>
      <c r="G855" s="1184"/>
      <c r="H855" s="1351"/>
      <c r="I855" s="1184"/>
      <c r="J855" s="1351"/>
      <c r="K855" s="1184"/>
      <c r="L855" s="1184"/>
      <c r="M855" s="1184"/>
      <c r="N855" s="1351"/>
      <c r="O855" s="1351"/>
      <c r="P855" s="1163"/>
      <c r="Q855" s="1163"/>
    </row>
    <row r="856" ht="12.75" customHeight="1">
      <c r="A856" s="1351"/>
      <c r="B856" s="1351"/>
      <c r="C856" s="1351"/>
      <c r="D856" s="1351"/>
      <c r="E856" s="1351"/>
      <c r="F856" s="1351"/>
      <c r="G856" s="1184"/>
      <c r="H856" s="1351"/>
      <c r="I856" s="1184"/>
      <c r="J856" s="1351"/>
      <c r="K856" s="1184"/>
      <c r="L856" s="1184"/>
      <c r="M856" s="1184"/>
      <c r="N856" s="1351"/>
      <c r="O856" s="1351"/>
      <c r="P856" s="1163"/>
      <c r="Q856" s="1163"/>
    </row>
    <row r="857" ht="12.75" customHeight="1">
      <c r="A857" s="1351"/>
      <c r="B857" s="1351"/>
      <c r="C857" s="1351"/>
      <c r="D857" s="1351"/>
      <c r="E857" s="1351"/>
      <c r="F857" s="1351"/>
      <c r="G857" s="1184"/>
      <c r="H857" s="1351"/>
      <c r="I857" s="1184"/>
      <c r="J857" s="1351"/>
      <c r="K857" s="1184"/>
      <c r="L857" s="1184"/>
      <c r="M857" s="1184"/>
      <c r="N857" s="1351"/>
      <c r="O857" s="1351"/>
      <c r="P857" s="1163"/>
      <c r="Q857" s="1163"/>
    </row>
    <row r="858" ht="12.75" customHeight="1">
      <c r="A858" s="1351"/>
      <c r="B858" s="1351"/>
      <c r="C858" s="1351"/>
      <c r="D858" s="1351"/>
      <c r="E858" s="1351"/>
      <c r="F858" s="1351"/>
      <c r="G858" s="1184"/>
      <c r="H858" s="1351"/>
      <c r="I858" s="1184"/>
      <c r="J858" s="1351"/>
      <c r="K858" s="1184"/>
      <c r="L858" s="1184"/>
      <c r="M858" s="1184"/>
      <c r="N858" s="1351"/>
      <c r="O858" s="1351"/>
      <c r="P858" s="1163"/>
      <c r="Q858" s="1163"/>
    </row>
    <row r="859" ht="12.75" customHeight="1">
      <c r="A859" s="1351"/>
      <c r="B859" s="1351"/>
      <c r="C859" s="1351"/>
      <c r="D859" s="1351"/>
      <c r="E859" s="1351"/>
      <c r="F859" s="1351"/>
      <c r="G859" s="1184"/>
      <c r="H859" s="1351"/>
      <c r="I859" s="1184"/>
      <c r="J859" s="1351"/>
      <c r="K859" s="1184"/>
      <c r="L859" s="1184"/>
      <c r="M859" s="1184"/>
      <c r="N859" s="1351"/>
      <c r="O859" s="1351"/>
      <c r="P859" s="1163"/>
      <c r="Q859" s="1163"/>
    </row>
    <row r="860" ht="12.75" customHeight="1">
      <c r="A860" s="1351"/>
      <c r="B860" s="1351"/>
      <c r="C860" s="1351"/>
      <c r="D860" s="1351"/>
      <c r="E860" s="1351"/>
      <c r="F860" s="1351"/>
      <c r="G860" s="1184"/>
      <c r="H860" s="1351"/>
      <c r="I860" s="1184"/>
      <c r="J860" s="1351"/>
      <c r="K860" s="1184"/>
      <c r="L860" s="1184"/>
      <c r="M860" s="1184"/>
      <c r="N860" s="1351"/>
      <c r="O860" s="1351"/>
      <c r="P860" s="1163"/>
      <c r="Q860" s="1163"/>
    </row>
    <row r="861" ht="12.75" customHeight="1">
      <c r="A861" s="1351"/>
      <c r="B861" s="1351"/>
      <c r="C861" s="1351"/>
      <c r="D861" s="1351"/>
      <c r="E861" s="1351"/>
      <c r="F861" s="1351"/>
      <c r="G861" s="1184"/>
      <c r="H861" s="1351"/>
      <c r="I861" s="1184"/>
      <c r="J861" s="1351"/>
      <c r="K861" s="1184"/>
      <c r="L861" s="1184"/>
      <c r="M861" s="1184"/>
      <c r="N861" s="1351"/>
      <c r="O861" s="1351"/>
      <c r="P861" s="1163"/>
      <c r="Q861" s="1163"/>
    </row>
    <row r="862" ht="12.75" customHeight="1">
      <c r="A862" s="1351"/>
      <c r="B862" s="1351"/>
      <c r="C862" s="1351"/>
      <c r="D862" s="1351"/>
      <c r="E862" s="1351"/>
      <c r="F862" s="1351"/>
      <c r="G862" s="1184"/>
      <c r="H862" s="1351"/>
      <c r="I862" s="1184"/>
      <c r="J862" s="1351"/>
      <c r="K862" s="1184"/>
      <c r="L862" s="1184"/>
      <c r="M862" s="1184"/>
      <c r="N862" s="1351"/>
      <c r="O862" s="1351"/>
      <c r="P862" s="1163"/>
      <c r="Q862" s="1163"/>
    </row>
    <row r="863" ht="12.75" customHeight="1">
      <c r="A863" s="1351"/>
      <c r="B863" s="1351"/>
      <c r="C863" s="1351"/>
      <c r="D863" s="1351"/>
      <c r="E863" s="1351"/>
      <c r="F863" s="1351"/>
      <c r="G863" s="1184"/>
      <c r="H863" s="1351"/>
      <c r="I863" s="1184"/>
      <c r="J863" s="1351"/>
      <c r="K863" s="1184"/>
      <c r="L863" s="1184"/>
      <c r="M863" s="1184"/>
      <c r="N863" s="1351"/>
      <c r="O863" s="1351"/>
      <c r="P863" s="1163"/>
      <c r="Q863" s="1163"/>
    </row>
    <row r="864" ht="12.75" customHeight="1">
      <c r="A864" s="1351"/>
      <c r="B864" s="1351"/>
      <c r="C864" s="1351"/>
      <c r="D864" s="1351"/>
      <c r="E864" s="1351"/>
      <c r="F864" s="1351"/>
      <c r="G864" s="1184"/>
      <c r="H864" s="1351"/>
      <c r="I864" s="1184"/>
      <c r="J864" s="1351"/>
      <c r="K864" s="1184"/>
      <c r="L864" s="1184"/>
      <c r="M864" s="1184"/>
      <c r="N864" s="1351"/>
      <c r="O864" s="1351"/>
      <c r="P864" s="1163"/>
      <c r="Q864" s="1163"/>
    </row>
    <row r="865" ht="12.75" customHeight="1">
      <c r="A865" s="1351"/>
      <c r="B865" s="1351"/>
      <c r="C865" s="1351"/>
      <c r="D865" s="1351"/>
      <c r="E865" s="1351"/>
      <c r="F865" s="1351"/>
      <c r="G865" s="1184"/>
      <c r="H865" s="1351"/>
      <c r="I865" s="1184"/>
      <c r="J865" s="1351"/>
      <c r="K865" s="1184"/>
      <c r="L865" s="1184"/>
      <c r="M865" s="1184"/>
      <c r="N865" s="1351"/>
      <c r="O865" s="1351"/>
      <c r="P865" s="1163"/>
      <c r="Q865" s="1163"/>
    </row>
    <row r="866" ht="12.75" customHeight="1">
      <c r="A866" s="1351"/>
      <c r="B866" s="1351"/>
      <c r="C866" s="1351"/>
      <c r="D866" s="1351"/>
      <c r="E866" s="1351"/>
      <c r="F866" s="1351"/>
      <c r="G866" s="1184"/>
      <c r="H866" s="1351"/>
      <c r="I866" s="1184"/>
      <c r="J866" s="1351"/>
      <c r="K866" s="1184"/>
      <c r="L866" s="1184"/>
      <c r="M866" s="1184"/>
      <c r="N866" s="1351"/>
      <c r="O866" s="1351"/>
      <c r="P866" s="1163"/>
      <c r="Q866" s="1163"/>
    </row>
    <row r="867" ht="12.75" customHeight="1">
      <c r="A867" s="1351"/>
      <c r="B867" s="1351"/>
      <c r="C867" s="1351"/>
      <c r="D867" s="1351"/>
      <c r="E867" s="1351"/>
      <c r="F867" s="1351"/>
      <c r="G867" s="1184"/>
      <c r="H867" s="1351"/>
      <c r="I867" s="1184"/>
      <c r="J867" s="1351"/>
      <c r="K867" s="1184"/>
      <c r="L867" s="1184"/>
      <c r="M867" s="1184"/>
      <c r="N867" s="1351"/>
      <c r="O867" s="1351"/>
      <c r="P867" s="1163"/>
      <c r="Q867" s="1163"/>
    </row>
    <row r="868" ht="12.75" customHeight="1">
      <c r="A868" s="1351"/>
      <c r="B868" s="1351"/>
      <c r="C868" s="1351"/>
      <c r="D868" s="1351"/>
      <c r="E868" s="1351"/>
      <c r="F868" s="1351"/>
      <c r="G868" s="1184"/>
      <c r="H868" s="1351"/>
      <c r="I868" s="1184"/>
      <c r="J868" s="1351"/>
      <c r="K868" s="1184"/>
      <c r="L868" s="1184"/>
      <c r="M868" s="1184"/>
      <c r="N868" s="1351"/>
      <c r="O868" s="1351"/>
      <c r="P868" s="1163"/>
      <c r="Q868" s="1163"/>
    </row>
    <row r="869" ht="12.75" customHeight="1">
      <c r="A869" s="1351"/>
      <c r="B869" s="1351"/>
      <c r="C869" s="1351"/>
      <c r="D869" s="1351"/>
      <c r="E869" s="1351"/>
      <c r="F869" s="1351"/>
      <c r="G869" s="1184"/>
      <c r="H869" s="1351"/>
      <c r="I869" s="1184"/>
      <c r="J869" s="1351"/>
      <c r="K869" s="1184"/>
      <c r="L869" s="1184"/>
      <c r="M869" s="1184"/>
      <c r="N869" s="1351"/>
      <c r="O869" s="1351"/>
      <c r="P869" s="1163"/>
      <c r="Q869" s="1163"/>
    </row>
    <row r="870" ht="12.75" customHeight="1">
      <c r="A870" s="1351"/>
      <c r="B870" s="1351"/>
      <c r="C870" s="1351"/>
      <c r="D870" s="1351"/>
      <c r="E870" s="1351"/>
      <c r="F870" s="1351"/>
      <c r="G870" s="1184"/>
      <c r="H870" s="1351"/>
      <c r="I870" s="1184"/>
      <c r="J870" s="1351"/>
      <c r="K870" s="1184"/>
      <c r="L870" s="1184"/>
      <c r="M870" s="1184"/>
      <c r="N870" s="1351"/>
      <c r="O870" s="1351"/>
      <c r="P870" s="1163"/>
      <c r="Q870" s="1163"/>
    </row>
    <row r="871" ht="12.75" customHeight="1">
      <c r="A871" s="1351"/>
      <c r="B871" s="1351"/>
      <c r="C871" s="1351"/>
      <c r="D871" s="1351"/>
      <c r="E871" s="1351"/>
      <c r="F871" s="1351"/>
      <c r="G871" s="1184"/>
      <c r="H871" s="1351"/>
      <c r="I871" s="1184"/>
      <c r="J871" s="1351"/>
      <c r="K871" s="1184"/>
      <c r="L871" s="1184"/>
      <c r="M871" s="1184"/>
      <c r="N871" s="1351"/>
      <c r="O871" s="1351"/>
      <c r="P871" s="1163"/>
      <c r="Q871" s="1163"/>
    </row>
    <row r="872" ht="12.75" customHeight="1">
      <c r="A872" s="1351"/>
      <c r="B872" s="1351"/>
      <c r="C872" s="1351"/>
      <c r="D872" s="1351"/>
      <c r="E872" s="1351"/>
      <c r="F872" s="1351"/>
      <c r="G872" s="1184"/>
      <c r="H872" s="1351"/>
      <c r="I872" s="1184"/>
      <c r="J872" s="1351"/>
      <c r="K872" s="1184"/>
      <c r="L872" s="1184"/>
      <c r="M872" s="1184"/>
      <c r="N872" s="1351"/>
      <c r="O872" s="1351"/>
      <c r="P872" s="1163"/>
      <c r="Q872" s="1163"/>
    </row>
    <row r="873" ht="12.75" customHeight="1">
      <c r="A873" s="1351"/>
      <c r="B873" s="1351"/>
      <c r="C873" s="1351"/>
      <c r="D873" s="1351"/>
      <c r="E873" s="1351"/>
      <c r="F873" s="1351"/>
      <c r="G873" s="1184"/>
      <c r="H873" s="1351"/>
      <c r="I873" s="1184"/>
      <c r="J873" s="1351"/>
      <c r="K873" s="1184"/>
      <c r="L873" s="1184"/>
      <c r="M873" s="1184"/>
      <c r="N873" s="1351"/>
      <c r="O873" s="1351"/>
      <c r="P873" s="1163"/>
      <c r="Q873" s="1163"/>
    </row>
    <row r="874" ht="12.75" customHeight="1">
      <c r="A874" s="1351"/>
      <c r="B874" s="1351"/>
      <c r="C874" s="1351"/>
      <c r="D874" s="1351"/>
      <c r="E874" s="1351"/>
      <c r="F874" s="1351"/>
      <c r="G874" s="1184"/>
      <c r="H874" s="1351"/>
      <c r="I874" s="1184"/>
      <c r="J874" s="1351"/>
      <c r="K874" s="1184"/>
      <c r="L874" s="1184"/>
      <c r="M874" s="1184"/>
      <c r="N874" s="1351"/>
      <c r="O874" s="1351"/>
      <c r="P874" s="1163"/>
      <c r="Q874" s="1163"/>
    </row>
    <row r="875" ht="12.75" customHeight="1">
      <c r="A875" s="1351"/>
      <c r="B875" s="1351"/>
      <c r="C875" s="1351"/>
      <c r="D875" s="1351"/>
      <c r="E875" s="1351"/>
      <c r="F875" s="1351"/>
      <c r="G875" s="1184"/>
      <c r="H875" s="1351"/>
      <c r="I875" s="1184"/>
      <c r="J875" s="1351"/>
      <c r="K875" s="1184"/>
      <c r="L875" s="1184"/>
      <c r="M875" s="1184"/>
      <c r="N875" s="1351"/>
      <c r="O875" s="1351"/>
      <c r="P875" s="1163"/>
      <c r="Q875" s="1163"/>
    </row>
    <row r="876" ht="12.75" customHeight="1">
      <c r="A876" s="1351"/>
      <c r="B876" s="1351"/>
      <c r="C876" s="1351"/>
      <c r="D876" s="1351"/>
      <c r="E876" s="1351"/>
      <c r="F876" s="1351"/>
      <c r="G876" s="1184"/>
      <c r="H876" s="1351"/>
      <c r="I876" s="1184"/>
      <c r="J876" s="1351"/>
      <c r="K876" s="1184"/>
      <c r="L876" s="1184"/>
      <c r="M876" s="1184"/>
      <c r="N876" s="1351"/>
      <c r="O876" s="1351"/>
      <c r="P876" s="1163"/>
      <c r="Q876" s="1163"/>
    </row>
    <row r="877" ht="12.75" customHeight="1">
      <c r="A877" s="1351"/>
      <c r="B877" s="1351"/>
      <c r="C877" s="1351"/>
      <c r="D877" s="1351"/>
      <c r="E877" s="1351"/>
      <c r="F877" s="1351"/>
      <c r="G877" s="1184"/>
      <c r="H877" s="1351"/>
      <c r="I877" s="1184"/>
      <c r="J877" s="1351"/>
      <c r="K877" s="1184"/>
      <c r="L877" s="1184"/>
      <c r="M877" s="1184"/>
      <c r="N877" s="1351"/>
      <c r="O877" s="1351"/>
      <c r="P877" s="1163"/>
      <c r="Q877" s="1163"/>
    </row>
    <row r="878" ht="12.75" customHeight="1">
      <c r="A878" s="1351"/>
      <c r="B878" s="1351"/>
      <c r="C878" s="1351"/>
      <c r="D878" s="1351"/>
      <c r="E878" s="1351"/>
      <c r="F878" s="1351"/>
      <c r="G878" s="1184"/>
      <c r="H878" s="1351"/>
      <c r="I878" s="1184"/>
      <c r="J878" s="1351"/>
      <c r="K878" s="1184"/>
      <c r="L878" s="1184"/>
      <c r="M878" s="1184"/>
      <c r="N878" s="1351"/>
      <c r="O878" s="1351"/>
      <c r="P878" s="1163"/>
      <c r="Q878" s="1163"/>
    </row>
    <row r="879" ht="12.75" customHeight="1">
      <c r="A879" s="1351"/>
      <c r="B879" s="1351"/>
      <c r="C879" s="1351"/>
      <c r="D879" s="1351"/>
      <c r="E879" s="1351"/>
      <c r="F879" s="1351"/>
      <c r="G879" s="1184"/>
      <c r="H879" s="1351"/>
      <c r="I879" s="1184"/>
      <c r="J879" s="1351"/>
      <c r="K879" s="1184"/>
      <c r="L879" s="1184"/>
      <c r="M879" s="1184"/>
      <c r="N879" s="1351"/>
      <c r="O879" s="1351"/>
      <c r="P879" s="1163"/>
      <c r="Q879" s="1163"/>
    </row>
    <row r="880" ht="12.75" customHeight="1">
      <c r="A880" s="1351"/>
      <c r="B880" s="1351"/>
      <c r="C880" s="1351"/>
      <c r="D880" s="1351"/>
      <c r="E880" s="1351"/>
      <c r="F880" s="1351"/>
      <c r="G880" s="1184"/>
      <c r="H880" s="1351"/>
      <c r="I880" s="1184"/>
      <c r="J880" s="1351"/>
      <c r="K880" s="1184"/>
      <c r="L880" s="1184"/>
      <c r="M880" s="1184"/>
      <c r="N880" s="1351"/>
      <c r="O880" s="1351"/>
      <c r="P880" s="1163"/>
      <c r="Q880" s="1163"/>
    </row>
    <row r="881" ht="12.75" customHeight="1">
      <c r="A881" s="1351"/>
      <c r="B881" s="1351"/>
      <c r="C881" s="1351"/>
      <c r="D881" s="1351"/>
      <c r="E881" s="1351"/>
      <c r="F881" s="1351"/>
      <c r="G881" s="1184"/>
      <c r="H881" s="1351"/>
      <c r="I881" s="1184"/>
      <c r="J881" s="1351"/>
      <c r="K881" s="1184"/>
      <c r="L881" s="1184"/>
      <c r="M881" s="1184"/>
      <c r="N881" s="1351"/>
      <c r="O881" s="1351"/>
      <c r="P881" s="1163"/>
      <c r="Q881" s="1163"/>
    </row>
    <row r="882" ht="12.75" customHeight="1">
      <c r="A882" s="1351"/>
      <c r="B882" s="1351"/>
      <c r="C882" s="1351"/>
      <c r="D882" s="1351"/>
      <c r="E882" s="1351"/>
      <c r="F882" s="1351"/>
      <c r="G882" s="1184"/>
      <c r="H882" s="1351"/>
      <c r="I882" s="1184"/>
      <c r="J882" s="1351"/>
      <c r="K882" s="1184"/>
      <c r="L882" s="1184"/>
      <c r="M882" s="1184"/>
      <c r="N882" s="1351"/>
      <c r="O882" s="1351"/>
      <c r="P882" s="1163"/>
      <c r="Q882" s="1163"/>
    </row>
    <row r="883" ht="12.75" customHeight="1">
      <c r="A883" s="1351"/>
      <c r="B883" s="1351"/>
      <c r="C883" s="1351"/>
      <c r="D883" s="1351"/>
      <c r="E883" s="1351"/>
      <c r="F883" s="1351"/>
      <c r="G883" s="1184"/>
      <c r="H883" s="1351"/>
      <c r="I883" s="1184"/>
      <c r="J883" s="1351"/>
      <c r="K883" s="1184"/>
      <c r="L883" s="1184"/>
      <c r="M883" s="1184"/>
      <c r="N883" s="1351"/>
      <c r="O883" s="1351"/>
      <c r="P883" s="1163"/>
      <c r="Q883" s="1163"/>
    </row>
    <row r="884" ht="12.75" customHeight="1">
      <c r="A884" s="1351"/>
      <c r="B884" s="1351"/>
      <c r="C884" s="1351"/>
      <c r="D884" s="1351"/>
      <c r="E884" s="1351"/>
      <c r="F884" s="1351"/>
      <c r="G884" s="1184"/>
      <c r="H884" s="1351"/>
      <c r="I884" s="1184"/>
      <c r="J884" s="1351"/>
      <c r="K884" s="1184"/>
      <c r="L884" s="1184"/>
      <c r="M884" s="1184"/>
      <c r="N884" s="1351"/>
      <c r="O884" s="1351"/>
      <c r="P884" s="1163"/>
      <c r="Q884" s="1163"/>
    </row>
    <row r="885" ht="12.75" customHeight="1">
      <c r="A885" s="1351"/>
      <c r="B885" s="1351"/>
      <c r="C885" s="1351"/>
      <c r="D885" s="1351"/>
      <c r="E885" s="1351"/>
      <c r="F885" s="1351"/>
      <c r="G885" s="1184"/>
      <c r="H885" s="1351"/>
      <c r="I885" s="1184"/>
      <c r="J885" s="1351"/>
      <c r="K885" s="1184"/>
      <c r="L885" s="1184"/>
      <c r="M885" s="1184"/>
      <c r="N885" s="1351"/>
      <c r="O885" s="1351"/>
      <c r="P885" s="1163"/>
      <c r="Q885" s="1163"/>
    </row>
    <row r="886" ht="12.75" customHeight="1">
      <c r="A886" s="1351"/>
      <c r="B886" s="1351"/>
      <c r="C886" s="1351"/>
      <c r="D886" s="1351"/>
      <c r="E886" s="1351"/>
      <c r="F886" s="1351"/>
      <c r="G886" s="1184"/>
      <c r="H886" s="1351"/>
      <c r="I886" s="1184"/>
      <c r="J886" s="1351"/>
      <c r="K886" s="1184"/>
      <c r="L886" s="1184"/>
      <c r="M886" s="1184"/>
      <c r="N886" s="1351"/>
      <c r="O886" s="1351"/>
      <c r="P886" s="1163"/>
      <c r="Q886" s="1163"/>
    </row>
    <row r="887" ht="12.75" customHeight="1">
      <c r="A887" s="1351"/>
      <c r="B887" s="1351"/>
      <c r="C887" s="1351"/>
      <c r="D887" s="1351"/>
      <c r="E887" s="1351"/>
      <c r="F887" s="1351"/>
      <c r="G887" s="1184"/>
      <c r="H887" s="1351"/>
      <c r="I887" s="1184"/>
      <c r="J887" s="1351"/>
      <c r="K887" s="1184"/>
      <c r="L887" s="1184"/>
      <c r="M887" s="1184"/>
      <c r="N887" s="1351"/>
      <c r="O887" s="1351"/>
      <c r="P887" s="1163"/>
      <c r="Q887" s="1163"/>
    </row>
    <row r="888" ht="12.75" customHeight="1">
      <c r="A888" s="1351"/>
      <c r="B888" s="1351"/>
      <c r="C888" s="1351"/>
      <c r="D888" s="1351"/>
      <c r="E888" s="1351"/>
      <c r="F888" s="1351"/>
      <c r="G888" s="1184"/>
      <c r="H888" s="1351"/>
      <c r="I888" s="1184"/>
      <c r="J888" s="1351"/>
      <c r="K888" s="1184"/>
      <c r="L888" s="1184"/>
      <c r="M888" s="1184"/>
      <c r="N888" s="1351"/>
      <c r="O888" s="1351"/>
      <c r="P888" s="1163"/>
      <c r="Q888" s="1163"/>
    </row>
    <row r="889" ht="12.75" customHeight="1">
      <c r="A889" s="1351"/>
      <c r="B889" s="1351"/>
      <c r="C889" s="1351"/>
      <c r="D889" s="1351"/>
      <c r="E889" s="1351"/>
      <c r="F889" s="1351"/>
      <c r="G889" s="1184"/>
      <c r="H889" s="1351"/>
      <c r="I889" s="1184"/>
      <c r="J889" s="1351"/>
      <c r="K889" s="1184"/>
      <c r="L889" s="1184"/>
      <c r="M889" s="1184"/>
      <c r="N889" s="1351"/>
      <c r="O889" s="1351"/>
      <c r="P889" s="1163"/>
      <c r="Q889" s="1163"/>
    </row>
    <row r="890" ht="12.75" customHeight="1">
      <c r="A890" s="1351"/>
      <c r="B890" s="1351"/>
      <c r="C890" s="1351"/>
      <c r="D890" s="1351"/>
      <c r="E890" s="1351"/>
      <c r="F890" s="1351"/>
      <c r="G890" s="1184"/>
      <c r="H890" s="1351"/>
      <c r="I890" s="1184"/>
      <c r="J890" s="1351"/>
      <c r="K890" s="1184"/>
      <c r="L890" s="1184"/>
      <c r="M890" s="1184"/>
      <c r="N890" s="1351"/>
      <c r="O890" s="1351"/>
      <c r="P890" s="1163"/>
      <c r="Q890" s="1163"/>
    </row>
    <row r="891" ht="12.75" customHeight="1">
      <c r="A891" s="1351"/>
      <c r="B891" s="1351"/>
      <c r="C891" s="1351"/>
      <c r="D891" s="1351"/>
      <c r="E891" s="1351"/>
      <c r="F891" s="1351"/>
      <c r="G891" s="1184"/>
      <c r="H891" s="1351"/>
      <c r="I891" s="1184"/>
      <c r="J891" s="1351"/>
      <c r="K891" s="1184"/>
      <c r="L891" s="1184"/>
      <c r="M891" s="1184"/>
      <c r="N891" s="1351"/>
      <c r="O891" s="1351"/>
      <c r="P891" s="1163"/>
      <c r="Q891" s="1163"/>
    </row>
    <row r="892" ht="12.75" customHeight="1">
      <c r="A892" s="1351"/>
      <c r="B892" s="1351"/>
      <c r="C892" s="1351"/>
      <c r="D892" s="1351"/>
      <c r="E892" s="1351"/>
      <c r="F892" s="1351"/>
      <c r="G892" s="1184"/>
      <c r="H892" s="1351"/>
      <c r="I892" s="1184"/>
      <c r="J892" s="1351"/>
      <c r="K892" s="1184"/>
      <c r="L892" s="1184"/>
      <c r="M892" s="1184"/>
      <c r="N892" s="1351"/>
      <c r="O892" s="1351"/>
      <c r="P892" s="1163"/>
      <c r="Q892" s="1163"/>
    </row>
    <row r="893" ht="12.75" customHeight="1">
      <c r="A893" s="1351"/>
      <c r="B893" s="1351"/>
      <c r="C893" s="1351"/>
      <c r="D893" s="1351"/>
      <c r="E893" s="1351"/>
      <c r="F893" s="1351"/>
      <c r="G893" s="1184"/>
      <c r="H893" s="1351"/>
      <c r="I893" s="1184"/>
      <c r="J893" s="1351"/>
      <c r="K893" s="1184"/>
      <c r="L893" s="1184"/>
      <c r="M893" s="1184"/>
      <c r="N893" s="1351"/>
      <c r="O893" s="1351"/>
      <c r="P893" s="1163"/>
      <c r="Q893" s="1163"/>
    </row>
    <row r="894" ht="12.75" customHeight="1">
      <c r="A894" s="1351"/>
      <c r="B894" s="1351"/>
      <c r="C894" s="1351"/>
      <c r="D894" s="1351"/>
      <c r="E894" s="1351"/>
      <c r="F894" s="1351"/>
      <c r="G894" s="1184"/>
      <c r="H894" s="1351"/>
      <c r="I894" s="1184"/>
      <c r="J894" s="1351"/>
      <c r="K894" s="1184"/>
      <c r="L894" s="1184"/>
      <c r="M894" s="1184"/>
      <c r="N894" s="1351"/>
      <c r="O894" s="1351"/>
      <c r="P894" s="1163"/>
      <c r="Q894" s="1163"/>
    </row>
    <row r="895" ht="12.75" customHeight="1">
      <c r="A895" s="1351"/>
      <c r="B895" s="1351"/>
      <c r="C895" s="1351"/>
      <c r="D895" s="1351"/>
      <c r="E895" s="1351"/>
      <c r="F895" s="1351"/>
      <c r="G895" s="1184"/>
      <c r="H895" s="1351"/>
      <c r="I895" s="1184"/>
      <c r="J895" s="1351"/>
      <c r="K895" s="1184"/>
      <c r="L895" s="1184"/>
      <c r="M895" s="1184"/>
      <c r="N895" s="1351"/>
      <c r="O895" s="1351"/>
      <c r="P895" s="1163"/>
      <c r="Q895" s="1163"/>
    </row>
    <row r="896" ht="12.75" customHeight="1">
      <c r="A896" s="1351"/>
      <c r="B896" s="1351"/>
      <c r="C896" s="1351"/>
      <c r="D896" s="1351"/>
      <c r="E896" s="1351"/>
      <c r="F896" s="1351"/>
      <c r="G896" s="1184"/>
      <c r="H896" s="1351"/>
      <c r="I896" s="1184"/>
      <c r="J896" s="1351"/>
      <c r="K896" s="1184"/>
      <c r="L896" s="1184"/>
      <c r="M896" s="1184"/>
      <c r="N896" s="1351"/>
      <c r="O896" s="1351"/>
      <c r="P896" s="1163"/>
      <c r="Q896" s="1163"/>
    </row>
    <row r="897" ht="12.75" customHeight="1">
      <c r="A897" s="1351"/>
      <c r="B897" s="1351"/>
      <c r="C897" s="1351"/>
      <c r="D897" s="1351"/>
      <c r="E897" s="1351"/>
      <c r="F897" s="1351"/>
      <c r="G897" s="1184"/>
      <c r="H897" s="1351"/>
      <c r="I897" s="1184"/>
      <c r="J897" s="1351"/>
      <c r="K897" s="1184"/>
      <c r="L897" s="1184"/>
      <c r="M897" s="1184"/>
      <c r="N897" s="1351"/>
      <c r="O897" s="1351"/>
      <c r="P897" s="1163"/>
      <c r="Q897" s="1163"/>
    </row>
    <row r="898" ht="12.75" customHeight="1">
      <c r="A898" s="1351"/>
      <c r="B898" s="1351"/>
      <c r="C898" s="1351"/>
      <c r="D898" s="1351"/>
      <c r="E898" s="1351"/>
      <c r="F898" s="1351"/>
      <c r="G898" s="1184"/>
      <c r="H898" s="1351"/>
      <c r="I898" s="1184"/>
      <c r="J898" s="1351"/>
      <c r="K898" s="1184"/>
      <c r="L898" s="1184"/>
      <c r="M898" s="1184"/>
      <c r="N898" s="1351"/>
      <c r="O898" s="1351"/>
      <c r="P898" s="1163"/>
      <c r="Q898" s="1163"/>
    </row>
    <row r="899" ht="12.75" customHeight="1">
      <c r="A899" s="1351"/>
      <c r="B899" s="1351"/>
      <c r="C899" s="1351"/>
      <c r="D899" s="1351"/>
      <c r="E899" s="1351"/>
      <c r="F899" s="1351"/>
      <c r="G899" s="1184"/>
      <c r="H899" s="1351"/>
      <c r="I899" s="1184"/>
      <c r="J899" s="1351"/>
      <c r="K899" s="1184"/>
      <c r="L899" s="1184"/>
      <c r="M899" s="1184"/>
      <c r="N899" s="1351"/>
      <c r="O899" s="1351"/>
      <c r="P899" s="1163"/>
      <c r="Q899" s="1163"/>
    </row>
    <row r="900" ht="12.75" customHeight="1">
      <c r="A900" s="1351"/>
      <c r="B900" s="1351"/>
      <c r="C900" s="1351"/>
      <c r="D900" s="1351"/>
      <c r="E900" s="1351"/>
      <c r="F900" s="1351"/>
      <c r="G900" s="1184"/>
      <c r="H900" s="1351"/>
      <c r="I900" s="1184"/>
      <c r="J900" s="1351"/>
      <c r="K900" s="1184"/>
      <c r="L900" s="1184"/>
      <c r="M900" s="1184"/>
      <c r="N900" s="1351"/>
      <c r="O900" s="1351"/>
      <c r="P900" s="1163"/>
      <c r="Q900" s="1163"/>
    </row>
    <row r="901" ht="12.75" customHeight="1">
      <c r="A901" s="1351"/>
      <c r="B901" s="1351"/>
      <c r="C901" s="1351"/>
      <c r="D901" s="1351"/>
      <c r="E901" s="1351"/>
      <c r="F901" s="1351"/>
      <c r="G901" s="1184"/>
      <c r="H901" s="1351"/>
      <c r="I901" s="1184"/>
      <c r="J901" s="1351"/>
      <c r="K901" s="1184"/>
      <c r="L901" s="1184"/>
      <c r="M901" s="1184"/>
      <c r="N901" s="1351"/>
      <c r="O901" s="1351"/>
      <c r="P901" s="1163"/>
      <c r="Q901" s="1163"/>
    </row>
    <row r="902" ht="12.75" customHeight="1">
      <c r="A902" s="1351"/>
      <c r="B902" s="1351"/>
      <c r="C902" s="1351"/>
      <c r="D902" s="1351"/>
      <c r="E902" s="1351"/>
      <c r="F902" s="1351"/>
      <c r="G902" s="1184"/>
      <c r="H902" s="1351"/>
      <c r="I902" s="1184"/>
      <c r="J902" s="1351"/>
      <c r="K902" s="1184"/>
      <c r="L902" s="1184"/>
      <c r="M902" s="1184"/>
      <c r="N902" s="1351"/>
      <c r="O902" s="1351"/>
      <c r="P902" s="1163"/>
      <c r="Q902" s="1163"/>
    </row>
    <row r="903" ht="12.75" customHeight="1">
      <c r="A903" s="1351"/>
      <c r="B903" s="1351"/>
      <c r="C903" s="1351"/>
      <c r="D903" s="1351"/>
      <c r="E903" s="1351"/>
      <c r="F903" s="1351"/>
      <c r="G903" s="1184"/>
      <c r="H903" s="1351"/>
      <c r="I903" s="1184"/>
      <c r="J903" s="1351"/>
      <c r="K903" s="1184"/>
      <c r="L903" s="1184"/>
      <c r="M903" s="1184"/>
      <c r="N903" s="1351"/>
      <c r="O903" s="1351"/>
      <c r="P903" s="1163"/>
      <c r="Q903" s="1163"/>
    </row>
    <row r="904" ht="12.75" customHeight="1">
      <c r="A904" s="1351"/>
      <c r="B904" s="1351"/>
      <c r="C904" s="1351"/>
      <c r="D904" s="1351"/>
      <c r="E904" s="1351"/>
      <c r="F904" s="1351"/>
      <c r="G904" s="1184"/>
      <c r="H904" s="1351"/>
      <c r="I904" s="1184"/>
      <c r="J904" s="1351"/>
      <c r="K904" s="1184"/>
      <c r="L904" s="1184"/>
      <c r="M904" s="1184"/>
      <c r="N904" s="1351"/>
      <c r="O904" s="1351"/>
      <c r="P904" s="1163"/>
      <c r="Q904" s="1163"/>
    </row>
    <row r="905" ht="12.75" customHeight="1">
      <c r="A905" s="1351"/>
      <c r="B905" s="1351"/>
      <c r="C905" s="1351"/>
      <c r="D905" s="1351"/>
      <c r="E905" s="1351"/>
      <c r="F905" s="1351"/>
      <c r="G905" s="1184"/>
      <c r="H905" s="1351"/>
      <c r="I905" s="1184"/>
      <c r="J905" s="1351"/>
      <c r="K905" s="1184"/>
      <c r="L905" s="1184"/>
      <c r="M905" s="1184"/>
      <c r="N905" s="1351"/>
      <c r="O905" s="1351"/>
      <c r="P905" s="1163"/>
      <c r="Q905" s="1163"/>
    </row>
    <row r="906" ht="12.75" customHeight="1">
      <c r="A906" s="1351"/>
      <c r="B906" s="1351"/>
      <c r="C906" s="1351"/>
      <c r="D906" s="1351"/>
      <c r="E906" s="1351"/>
      <c r="F906" s="1351"/>
      <c r="G906" s="1184"/>
      <c r="H906" s="1351"/>
      <c r="I906" s="1184"/>
      <c r="J906" s="1351"/>
      <c r="K906" s="1184"/>
      <c r="L906" s="1184"/>
      <c r="M906" s="1184"/>
      <c r="N906" s="1351"/>
      <c r="O906" s="1351"/>
      <c r="P906" s="1163"/>
      <c r="Q906" s="1163"/>
    </row>
    <row r="907" ht="12.75" customHeight="1">
      <c r="A907" s="1351"/>
      <c r="B907" s="1351"/>
      <c r="C907" s="1351"/>
      <c r="D907" s="1351"/>
      <c r="E907" s="1351"/>
      <c r="F907" s="1351"/>
      <c r="G907" s="1184"/>
      <c r="H907" s="1351"/>
      <c r="I907" s="1184"/>
      <c r="J907" s="1351"/>
      <c r="K907" s="1184"/>
      <c r="L907" s="1184"/>
      <c r="M907" s="1184"/>
      <c r="N907" s="1351"/>
      <c r="O907" s="1351"/>
      <c r="P907" s="1163"/>
      <c r="Q907" s="1163"/>
    </row>
    <row r="908" ht="12.75" customHeight="1">
      <c r="A908" s="1351"/>
      <c r="B908" s="1351"/>
      <c r="C908" s="1351"/>
      <c r="D908" s="1351"/>
      <c r="E908" s="1351"/>
      <c r="F908" s="1351"/>
      <c r="G908" s="1184"/>
      <c r="H908" s="1351"/>
      <c r="I908" s="1184"/>
      <c r="J908" s="1351"/>
      <c r="K908" s="1184"/>
      <c r="L908" s="1184"/>
      <c r="M908" s="1184"/>
      <c r="N908" s="1351"/>
      <c r="O908" s="1351"/>
      <c r="P908" s="1163"/>
      <c r="Q908" s="1163"/>
    </row>
    <row r="909" ht="12.75" customHeight="1">
      <c r="A909" s="1351"/>
      <c r="B909" s="1351"/>
      <c r="C909" s="1351"/>
      <c r="D909" s="1351"/>
      <c r="E909" s="1351"/>
      <c r="F909" s="1351"/>
      <c r="G909" s="1184"/>
      <c r="H909" s="1351"/>
      <c r="I909" s="1184"/>
      <c r="J909" s="1351"/>
      <c r="K909" s="1184"/>
      <c r="L909" s="1184"/>
      <c r="M909" s="1184"/>
      <c r="N909" s="1351"/>
      <c r="O909" s="1351"/>
      <c r="P909" s="1163"/>
      <c r="Q909" s="1163"/>
    </row>
    <row r="910" ht="12.75" customHeight="1">
      <c r="A910" s="1351"/>
      <c r="B910" s="1351"/>
      <c r="C910" s="1351"/>
      <c r="D910" s="1351"/>
      <c r="E910" s="1351"/>
      <c r="F910" s="1351"/>
      <c r="G910" s="1184"/>
      <c r="H910" s="1351"/>
      <c r="I910" s="1184"/>
      <c r="J910" s="1351"/>
      <c r="K910" s="1184"/>
      <c r="L910" s="1184"/>
      <c r="M910" s="1184"/>
      <c r="N910" s="1351"/>
      <c r="O910" s="1351"/>
      <c r="P910" s="1163"/>
      <c r="Q910" s="1163"/>
    </row>
    <row r="911" ht="12.75" customHeight="1">
      <c r="A911" s="1351"/>
      <c r="B911" s="1351"/>
      <c r="C911" s="1351"/>
      <c r="D911" s="1351"/>
      <c r="E911" s="1351"/>
      <c r="F911" s="1351"/>
      <c r="G911" s="1184"/>
      <c r="H911" s="1351"/>
      <c r="I911" s="1184"/>
      <c r="J911" s="1351"/>
      <c r="K911" s="1184"/>
      <c r="L911" s="1184"/>
      <c r="M911" s="1184"/>
      <c r="N911" s="1351"/>
      <c r="O911" s="1351"/>
      <c r="P911" s="1163"/>
      <c r="Q911" s="1163"/>
    </row>
    <row r="912" ht="12.75" customHeight="1">
      <c r="A912" s="1351"/>
      <c r="B912" s="1351"/>
      <c r="C912" s="1351"/>
      <c r="D912" s="1351"/>
      <c r="E912" s="1351"/>
      <c r="F912" s="1351"/>
      <c r="G912" s="1184"/>
      <c r="H912" s="1351"/>
      <c r="I912" s="1184"/>
      <c r="J912" s="1351"/>
      <c r="K912" s="1184"/>
      <c r="L912" s="1184"/>
      <c r="M912" s="1184"/>
      <c r="N912" s="1351"/>
      <c r="O912" s="1351"/>
      <c r="P912" s="1163"/>
      <c r="Q912" s="1163"/>
    </row>
    <row r="913" ht="12.75" customHeight="1">
      <c r="A913" s="1351"/>
      <c r="B913" s="1351"/>
      <c r="C913" s="1351"/>
      <c r="D913" s="1351"/>
      <c r="E913" s="1351"/>
      <c r="F913" s="1351"/>
      <c r="G913" s="1184"/>
      <c r="H913" s="1351"/>
      <c r="I913" s="1184"/>
      <c r="J913" s="1351"/>
      <c r="K913" s="1184"/>
      <c r="L913" s="1184"/>
      <c r="M913" s="1184"/>
      <c r="N913" s="1351"/>
      <c r="O913" s="1351"/>
      <c r="P913" s="1163"/>
      <c r="Q913" s="1163"/>
    </row>
    <row r="914" ht="12.75" customHeight="1">
      <c r="A914" s="1351"/>
      <c r="B914" s="1351"/>
      <c r="C914" s="1351"/>
      <c r="D914" s="1351"/>
      <c r="E914" s="1351"/>
      <c r="F914" s="1351"/>
      <c r="G914" s="1184"/>
      <c r="H914" s="1351"/>
      <c r="I914" s="1184"/>
      <c r="J914" s="1351"/>
      <c r="K914" s="1184"/>
      <c r="L914" s="1184"/>
      <c r="M914" s="1184"/>
      <c r="N914" s="1351"/>
      <c r="O914" s="1351"/>
      <c r="P914" s="1163"/>
      <c r="Q914" s="1163"/>
    </row>
    <row r="915" ht="12.75" customHeight="1">
      <c r="A915" s="1351"/>
      <c r="B915" s="1351"/>
      <c r="C915" s="1351"/>
      <c r="D915" s="1351"/>
      <c r="E915" s="1351"/>
      <c r="F915" s="1351"/>
      <c r="G915" s="1184"/>
      <c r="H915" s="1351"/>
      <c r="I915" s="1184"/>
      <c r="J915" s="1351"/>
      <c r="K915" s="1184"/>
      <c r="L915" s="1184"/>
      <c r="M915" s="1184"/>
      <c r="N915" s="1351"/>
      <c r="O915" s="1351"/>
      <c r="P915" s="1163"/>
      <c r="Q915" s="1163"/>
    </row>
    <row r="916" ht="12.75" customHeight="1">
      <c r="A916" s="1351"/>
      <c r="B916" s="1351"/>
      <c r="C916" s="1351"/>
      <c r="D916" s="1351"/>
      <c r="E916" s="1351"/>
      <c r="F916" s="1351"/>
      <c r="G916" s="1184"/>
      <c r="H916" s="1351"/>
      <c r="I916" s="1184"/>
      <c r="J916" s="1351"/>
      <c r="K916" s="1184"/>
      <c r="L916" s="1184"/>
      <c r="M916" s="1184"/>
      <c r="N916" s="1351"/>
      <c r="O916" s="1351"/>
      <c r="P916" s="1163"/>
      <c r="Q916" s="1163"/>
    </row>
    <row r="917" ht="12.75" customHeight="1">
      <c r="A917" s="1351"/>
      <c r="B917" s="1351"/>
      <c r="C917" s="1351"/>
      <c r="D917" s="1351"/>
      <c r="E917" s="1351"/>
      <c r="F917" s="1351"/>
      <c r="G917" s="1184"/>
      <c r="H917" s="1351"/>
      <c r="I917" s="1184"/>
      <c r="J917" s="1351"/>
      <c r="K917" s="1184"/>
      <c r="L917" s="1184"/>
      <c r="M917" s="1184"/>
      <c r="N917" s="1351"/>
      <c r="O917" s="1351"/>
      <c r="P917" s="1163"/>
      <c r="Q917" s="1163"/>
    </row>
    <row r="918" ht="12.75" customHeight="1">
      <c r="A918" s="1351"/>
      <c r="B918" s="1351"/>
      <c r="C918" s="1351"/>
      <c r="D918" s="1351"/>
      <c r="E918" s="1351"/>
      <c r="F918" s="1351"/>
      <c r="G918" s="1184"/>
      <c r="H918" s="1351"/>
      <c r="I918" s="1184"/>
      <c r="J918" s="1351"/>
      <c r="K918" s="1184"/>
      <c r="L918" s="1184"/>
      <c r="M918" s="1184"/>
      <c r="N918" s="1351"/>
      <c r="O918" s="1351"/>
      <c r="P918" s="1163"/>
      <c r="Q918" s="1163"/>
    </row>
    <row r="919" ht="12.75" customHeight="1">
      <c r="A919" s="1351"/>
      <c r="B919" s="1351"/>
      <c r="C919" s="1351"/>
      <c r="D919" s="1351"/>
      <c r="E919" s="1351"/>
      <c r="F919" s="1351"/>
      <c r="G919" s="1184"/>
      <c r="H919" s="1351"/>
      <c r="I919" s="1184"/>
      <c r="J919" s="1351"/>
      <c r="K919" s="1184"/>
      <c r="L919" s="1184"/>
      <c r="M919" s="1184"/>
      <c r="N919" s="1351"/>
      <c r="O919" s="1351"/>
      <c r="P919" s="1163"/>
      <c r="Q919" s="1163"/>
    </row>
    <row r="920" ht="12.75" customHeight="1">
      <c r="A920" s="1351"/>
      <c r="B920" s="1351"/>
      <c r="C920" s="1351"/>
      <c r="D920" s="1351"/>
      <c r="E920" s="1351"/>
      <c r="F920" s="1351"/>
      <c r="G920" s="1184"/>
      <c r="H920" s="1351"/>
      <c r="I920" s="1184"/>
      <c r="J920" s="1351"/>
      <c r="K920" s="1184"/>
      <c r="L920" s="1184"/>
      <c r="M920" s="1184"/>
      <c r="N920" s="1351"/>
      <c r="O920" s="1351"/>
      <c r="P920" s="1163"/>
      <c r="Q920" s="1163"/>
    </row>
    <row r="921" ht="12.75" customHeight="1">
      <c r="A921" s="1351"/>
      <c r="B921" s="1351"/>
      <c r="C921" s="1351"/>
      <c r="D921" s="1351"/>
      <c r="E921" s="1351"/>
      <c r="F921" s="1351"/>
      <c r="G921" s="1184"/>
      <c r="H921" s="1351"/>
      <c r="I921" s="1184"/>
      <c r="J921" s="1351"/>
      <c r="K921" s="1184"/>
      <c r="L921" s="1184"/>
      <c r="M921" s="1184"/>
      <c r="N921" s="1351"/>
      <c r="O921" s="1351"/>
      <c r="P921" s="1163"/>
      <c r="Q921" s="1163"/>
    </row>
    <row r="922" ht="12.75" customHeight="1">
      <c r="A922" s="1351"/>
      <c r="B922" s="1351"/>
      <c r="C922" s="1351"/>
      <c r="D922" s="1351"/>
      <c r="E922" s="1351"/>
      <c r="F922" s="1351"/>
      <c r="G922" s="1184"/>
      <c r="H922" s="1351"/>
      <c r="I922" s="1184"/>
      <c r="J922" s="1351"/>
      <c r="K922" s="1184"/>
      <c r="L922" s="1184"/>
      <c r="M922" s="1184"/>
      <c r="N922" s="1351"/>
      <c r="O922" s="1351"/>
      <c r="P922" s="1163"/>
      <c r="Q922" s="1163"/>
    </row>
    <row r="923" ht="12.75" customHeight="1">
      <c r="A923" s="1351"/>
      <c r="B923" s="1351"/>
      <c r="C923" s="1351"/>
      <c r="D923" s="1351"/>
      <c r="E923" s="1351"/>
      <c r="F923" s="1351"/>
      <c r="G923" s="1184"/>
      <c r="H923" s="1351"/>
      <c r="I923" s="1184"/>
      <c r="J923" s="1351"/>
      <c r="K923" s="1184"/>
      <c r="L923" s="1184"/>
      <c r="M923" s="1184"/>
      <c r="N923" s="1351"/>
      <c r="O923" s="1351"/>
      <c r="P923" s="1163"/>
      <c r="Q923" s="1163"/>
    </row>
    <row r="924" ht="12.75" customHeight="1">
      <c r="A924" s="1351"/>
      <c r="B924" s="1351"/>
      <c r="C924" s="1351"/>
      <c r="D924" s="1351"/>
      <c r="E924" s="1351"/>
      <c r="F924" s="1351"/>
      <c r="G924" s="1184"/>
      <c r="H924" s="1351"/>
      <c r="I924" s="1184"/>
      <c r="J924" s="1351"/>
      <c r="K924" s="1184"/>
      <c r="L924" s="1184"/>
      <c r="M924" s="1184"/>
      <c r="N924" s="1351"/>
      <c r="O924" s="1351"/>
      <c r="P924" s="1163"/>
      <c r="Q924" s="1163"/>
    </row>
    <row r="925" ht="12.75" customHeight="1">
      <c r="A925" s="1351"/>
      <c r="B925" s="1351"/>
      <c r="C925" s="1351"/>
      <c r="D925" s="1351"/>
      <c r="E925" s="1351"/>
      <c r="F925" s="1351"/>
      <c r="G925" s="1184"/>
      <c r="H925" s="1351"/>
      <c r="I925" s="1184"/>
      <c r="J925" s="1351"/>
      <c r="K925" s="1184"/>
      <c r="L925" s="1184"/>
      <c r="M925" s="1184"/>
      <c r="N925" s="1351"/>
      <c r="O925" s="1351"/>
      <c r="P925" s="1163"/>
      <c r="Q925" s="1163"/>
    </row>
    <row r="926" ht="12.75" customHeight="1">
      <c r="A926" s="1351"/>
      <c r="B926" s="1351"/>
      <c r="C926" s="1351"/>
      <c r="D926" s="1351"/>
      <c r="E926" s="1351"/>
      <c r="F926" s="1351"/>
      <c r="G926" s="1184"/>
      <c r="H926" s="1351"/>
      <c r="I926" s="1184"/>
      <c r="J926" s="1351"/>
      <c r="K926" s="1184"/>
      <c r="L926" s="1184"/>
      <c r="M926" s="1184"/>
      <c r="N926" s="1351"/>
      <c r="O926" s="1351"/>
      <c r="P926" s="1163"/>
      <c r="Q926" s="1163"/>
    </row>
    <row r="927" ht="12.75" customHeight="1">
      <c r="A927" s="1351"/>
      <c r="B927" s="1351"/>
      <c r="C927" s="1351"/>
      <c r="D927" s="1351"/>
      <c r="E927" s="1351"/>
      <c r="F927" s="1351"/>
      <c r="G927" s="1184"/>
      <c r="H927" s="1351"/>
      <c r="I927" s="1184"/>
      <c r="J927" s="1351"/>
      <c r="K927" s="1184"/>
      <c r="L927" s="1184"/>
      <c r="M927" s="1184"/>
      <c r="N927" s="1351"/>
      <c r="O927" s="1351"/>
      <c r="P927" s="1163"/>
      <c r="Q927" s="1163"/>
    </row>
    <row r="928" ht="12.75" customHeight="1">
      <c r="A928" s="1351"/>
      <c r="B928" s="1351"/>
      <c r="C928" s="1351"/>
      <c r="D928" s="1351"/>
      <c r="E928" s="1351"/>
      <c r="F928" s="1351"/>
      <c r="G928" s="1184"/>
      <c r="H928" s="1351"/>
      <c r="I928" s="1184"/>
      <c r="J928" s="1351"/>
      <c r="K928" s="1184"/>
      <c r="L928" s="1184"/>
      <c r="M928" s="1184"/>
      <c r="N928" s="1351"/>
      <c r="O928" s="1351"/>
      <c r="P928" s="1163"/>
      <c r="Q928" s="1163"/>
    </row>
    <row r="929" ht="12.75" customHeight="1">
      <c r="A929" s="1351"/>
      <c r="B929" s="1351"/>
      <c r="C929" s="1351"/>
      <c r="D929" s="1351"/>
      <c r="E929" s="1351"/>
      <c r="F929" s="1351"/>
      <c r="G929" s="1184"/>
      <c r="H929" s="1351"/>
      <c r="I929" s="1184"/>
      <c r="J929" s="1351"/>
      <c r="K929" s="1184"/>
      <c r="L929" s="1184"/>
      <c r="M929" s="1184"/>
      <c r="N929" s="1351"/>
      <c r="O929" s="1351"/>
      <c r="P929" s="1163"/>
      <c r="Q929" s="1163"/>
    </row>
    <row r="930" ht="12.75" customHeight="1">
      <c r="A930" s="1351"/>
      <c r="B930" s="1351"/>
      <c r="C930" s="1351"/>
      <c r="D930" s="1351"/>
      <c r="E930" s="1351"/>
      <c r="F930" s="1351"/>
      <c r="G930" s="1184"/>
      <c r="H930" s="1351"/>
      <c r="I930" s="1184"/>
      <c r="J930" s="1351"/>
      <c r="K930" s="1184"/>
      <c r="L930" s="1184"/>
      <c r="M930" s="1184"/>
      <c r="N930" s="1351"/>
      <c r="O930" s="1351"/>
      <c r="P930" s="1163"/>
      <c r="Q930" s="1163"/>
    </row>
    <row r="931" ht="12.75" customHeight="1">
      <c r="A931" s="1351"/>
      <c r="B931" s="1351"/>
      <c r="C931" s="1351"/>
      <c r="D931" s="1351"/>
      <c r="E931" s="1351"/>
      <c r="F931" s="1351"/>
      <c r="G931" s="1184"/>
      <c r="H931" s="1351"/>
      <c r="I931" s="1184"/>
      <c r="J931" s="1351"/>
      <c r="K931" s="1184"/>
      <c r="L931" s="1184"/>
      <c r="M931" s="1184"/>
      <c r="N931" s="1351"/>
      <c r="O931" s="1351"/>
      <c r="P931" s="1163"/>
      <c r="Q931" s="1163"/>
    </row>
    <row r="932" ht="12.75" customHeight="1">
      <c r="A932" s="1351"/>
      <c r="B932" s="1351"/>
      <c r="C932" s="1351"/>
      <c r="D932" s="1351"/>
      <c r="E932" s="1351"/>
      <c r="F932" s="1351"/>
      <c r="G932" s="1184"/>
      <c r="H932" s="1351"/>
      <c r="I932" s="1184"/>
      <c r="J932" s="1351"/>
      <c r="K932" s="1184"/>
      <c r="L932" s="1184"/>
      <c r="M932" s="1184"/>
      <c r="N932" s="1351"/>
      <c r="O932" s="1351"/>
      <c r="P932" s="1163"/>
      <c r="Q932" s="1163"/>
    </row>
    <row r="933" ht="12.75" customHeight="1">
      <c r="A933" s="1351"/>
      <c r="B933" s="1351"/>
      <c r="C933" s="1351"/>
      <c r="D933" s="1351"/>
      <c r="E933" s="1351"/>
      <c r="F933" s="1351"/>
      <c r="G933" s="1184"/>
      <c r="H933" s="1351"/>
      <c r="I933" s="1184"/>
      <c r="J933" s="1351"/>
      <c r="K933" s="1184"/>
      <c r="L933" s="1184"/>
      <c r="M933" s="1184"/>
      <c r="N933" s="1351"/>
      <c r="O933" s="1351"/>
      <c r="P933" s="1163"/>
      <c r="Q933" s="1163"/>
    </row>
    <row r="934" ht="12.75" customHeight="1">
      <c r="A934" s="1351"/>
      <c r="B934" s="1351"/>
      <c r="C934" s="1351"/>
      <c r="D934" s="1351"/>
      <c r="E934" s="1351"/>
      <c r="F934" s="1351"/>
      <c r="G934" s="1184"/>
      <c r="H934" s="1351"/>
      <c r="I934" s="1184"/>
      <c r="J934" s="1351"/>
      <c r="K934" s="1184"/>
      <c r="L934" s="1184"/>
      <c r="M934" s="1184"/>
      <c r="N934" s="1351"/>
      <c r="O934" s="1351"/>
      <c r="P934" s="1163"/>
      <c r="Q934" s="1163"/>
    </row>
    <row r="935" ht="12.75" customHeight="1">
      <c r="A935" s="1351"/>
      <c r="B935" s="1351"/>
      <c r="C935" s="1351"/>
      <c r="D935" s="1351"/>
      <c r="E935" s="1351"/>
      <c r="F935" s="1351"/>
      <c r="G935" s="1184"/>
      <c r="H935" s="1351"/>
      <c r="I935" s="1184"/>
      <c r="J935" s="1351"/>
      <c r="K935" s="1184"/>
      <c r="L935" s="1184"/>
      <c r="M935" s="1184"/>
      <c r="N935" s="1351"/>
      <c r="O935" s="1351"/>
      <c r="P935" s="1163"/>
      <c r="Q935" s="1163"/>
    </row>
    <row r="936" ht="12.75" customHeight="1">
      <c r="A936" s="1351"/>
      <c r="B936" s="1351"/>
      <c r="C936" s="1351"/>
      <c r="D936" s="1351"/>
      <c r="E936" s="1351"/>
      <c r="F936" s="1351"/>
      <c r="G936" s="1184"/>
      <c r="H936" s="1351"/>
      <c r="I936" s="1184"/>
      <c r="J936" s="1351"/>
      <c r="K936" s="1184"/>
      <c r="L936" s="1184"/>
      <c r="M936" s="1184"/>
      <c r="N936" s="1351"/>
      <c r="O936" s="1351"/>
      <c r="P936" s="1163"/>
      <c r="Q936" s="1163"/>
    </row>
    <row r="937" ht="12.75" customHeight="1">
      <c r="A937" s="1351"/>
      <c r="B937" s="1351"/>
      <c r="C937" s="1351"/>
      <c r="D937" s="1351"/>
      <c r="E937" s="1351"/>
      <c r="F937" s="1351"/>
      <c r="G937" s="1184"/>
      <c r="H937" s="1351"/>
      <c r="I937" s="1184"/>
      <c r="J937" s="1351"/>
      <c r="K937" s="1184"/>
      <c r="L937" s="1184"/>
      <c r="M937" s="1184"/>
      <c r="N937" s="1351"/>
      <c r="O937" s="1351"/>
      <c r="P937" s="1163"/>
      <c r="Q937" s="1163"/>
    </row>
    <row r="938" ht="12.75" customHeight="1">
      <c r="A938" s="1351"/>
      <c r="B938" s="1351"/>
      <c r="C938" s="1351"/>
      <c r="D938" s="1351"/>
      <c r="E938" s="1351"/>
      <c r="F938" s="1351"/>
      <c r="G938" s="1184"/>
      <c r="H938" s="1351"/>
      <c r="I938" s="1184"/>
      <c r="J938" s="1351"/>
      <c r="K938" s="1184"/>
      <c r="L938" s="1184"/>
      <c r="M938" s="1184"/>
      <c r="N938" s="1351"/>
      <c r="O938" s="1351"/>
      <c r="P938" s="1163"/>
      <c r="Q938" s="1163"/>
    </row>
    <row r="939" ht="12.75" customHeight="1">
      <c r="A939" s="1351"/>
      <c r="B939" s="1351"/>
      <c r="C939" s="1351"/>
      <c r="D939" s="1351"/>
      <c r="E939" s="1351"/>
      <c r="F939" s="1351"/>
      <c r="G939" s="1184"/>
      <c r="H939" s="1351"/>
      <c r="I939" s="1184"/>
      <c r="J939" s="1351"/>
      <c r="K939" s="1184"/>
      <c r="L939" s="1184"/>
      <c r="M939" s="1184"/>
      <c r="N939" s="1351"/>
      <c r="O939" s="1351"/>
      <c r="P939" s="1163"/>
      <c r="Q939" s="1163"/>
    </row>
    <row r="940" ht="12.75" customHeight="1">
      <c r="A940" s="1351"/>
      <c r="B940" s="1351"/>
      <c r="C940" s="1351"/>
      <c r="D940" s="1351"/>
      <c r="E940" s="1351"/>
      <c r="F940" s="1351"/>
      <c r="G940" s="1184"/>
      <c r="H940" s="1351"/>
      <c r="I940" s="1184"/>
      <c r="J940" s="1351"/>
      <c r="K940" s="1184"/>
      <c r="L940" s="1184"/>
      <c r="M940" s="1184"/>
      <c r="N940" s="1351"/>
      <c r="O940" s="1351"/>
      <c r="P940" s="1163"/>
      <c r="Q940" s="1163"/>
    </row>
    <row r="941" ht="12.75" customHeight="1">
      <c r="A941" s="1351"/>
      <c r="B941" s="1351"/>
      <c r="C941" s="1351"/>
      <c r="D941" s="1351"/>
      <c r="E941" s="1351"/>
      <c r="F941" s="1351"/>
      <c r="G941" s="1184"/>
      <c r="H941" s="1351"/>
      <c r="I941" s="1184"/>
      <c r="J941" s="1351"/>
      <c r="K941" s="1184"/>
      <c r="L941" s="1184"/>
      <c r="M941" s="1184"/>
      <c r="N941" s="1351"/>
      <c r="O941" s="1351"/>
      <c r="P941" s="1163"/>
      <c r="Q941" s="1163"/>
    </row>
    <row r="942" ht="12.75" customHeight="1">
      <c r="A942" s="1351"/>
      <c r="B942" s="1351"/>
      <c r="C942" s="1351"/>
      <c r="D942" s="1351"/>
      <c r="E942" s="1351"/>
      <c r="F942" s="1351"/>
      <c r="G942" s="1184"/>
      <c r="H942" s="1351"/>
      <c r="I942" s="1184"/>
      <c r="J942" s="1351"/>
      <c r="K942" s="1184"/>
      <c r="L942" s="1184"/>
      <c r="M942" s="1184"/>
      <c r="N942" s="1351"/>
      <c r="O942" s="1351"/>
      <c r="P942" s="1163"/>
      <c r="Q942" s="1163"/>
    </row>
    <row r="943" ht="12.75" customHeight="1">
      <c r="A943" s="1351"/>
      <c r="B943" s="1351"/>
      <c r="C943" s="1351"/>
      <c r="D943" s="1351"/>
      <c r="E943" s="1351"/>
      <c r="F943" s="1351"/>
      <c r="G943" s="1184"/>
      <c r="H943" s="1351"/>
      <c r="I943" s="1184"/>
      <c r="J943" s="1351"/>
      <c r="K943" s="1184"/>
      <c r="L943" s="1184"/>
      <c r="M943" s="1184"/>
      <c r="N943" s="1351"/>
      <c r="O943" s="1351"/>
      <c r="P943" s="1163"/>
      <c r="Q943" s="1163"/>
    </row>
    <row r="944" ht="12.75" customHeight="1">
      <c r="A944" s="1351"/>
      <c r="B944" s="1351"/>
      <c r="C944" s="1351"/>
      <c r="D944" s="1351"/>
      <c r="E944" s="1351"/>
      <c r="F944" s="1351"/>
      <c r="G944" s="1184"/>
      <c r="H944" s="1351"/>
      <c r="I944" s="1184"/>
      <c r="J944" s="1351"/>
      <c r="K944" s="1184"/>
      <c r="L944" s="1184"/>
      <c r="M944" s="1184"/>
      <c r="N944" s="1351"/>
      <c r="O944" s="1351"/>
      <c r="P944" s="1163"/>
      <c r="Q944" s="1163"/>
    </row>
    <row r="945" ht="12.75" customHeight="1">
      <c r="A945" s="1351"/>
      <c r="B945" s="1351"/>
      <c r="C945" s="1351"/>
      <c r="D945" s="1351"/>
      <c r="E945" s="1351"/>
      <c r="F945" s="1351"/>
      <c r="G945" s="1184"/>
      <c r="H945" s="1351"/>
      <c r="I945" s="1184"/>
      <c r="J945" s="1351"/>
      <c r="K945" s="1184"/>
      <c r="L945" s="1184"/>
      <c r="M945" s="1184"/>
      <c r="N945" s="1351"/>
      <c r="O945" s="1351"/>
      <c r="P945" s="1163"/>
      <c r="Q945" s="1163"/>
    </row>
    <row r="946" ht="12.75" customHeight="1">
      <c r="A946" s="1351"/>
      <c r="B946" s="1351"/>
      <c r="C946" s="1351"/>
      <c r="D946" s="1351"/>
      <c r="E946" s="1351"/>
      <c r="F946" s="1351"/>
      <c r="G946" s="1184"/>
      <c r="H946" s="1351"/>
      <c r="I946" s="1184"/>
      <c r="J946" s="1351"/>
      <c r="K946" s="1184"/>
      <c r="L946" s="1184"/>
      <c r="M946" s="1184"/>
      <c r="N946" s="1351"/>
      <c r="O946" s="1351"/>
      <c r="P946" s="1163"/>
      <c r="Q946" s="1163"/>
    </row>
    <row r="947" ht="12.75" customHeight="1">
      <c r="A947" s="1351"/>
      <c r="B947" s="1351"/>
      <c r="C947" s="1351"/>
      <c r="D947" s="1351"/>
      <c r="E947" s="1351"/>
      <c r="F947" s="1351"/>
      <c r="G947" s="1184"/>
      <c r="H947" s="1351"/>
      <c r="I947" s="1184"/>
      <c r="J947" s="1351"/>
      <c r="K947" s="1184"/>
      <c r="L947" s="1184"/>
      <c r="M947" s="1184"/>
      <c r="N947" s="1351"/>
      <c r="O947" s="1351"/>
      <c r="P947" s="1163"/>
      <c r="Q947" s="1163"/>
    </row>
    <row r="948" ht="12.75" customHeight="1">
      <c r="A948" s="1351"/>
      <c r="B948" s="1351"/>
      <c r="C948" s="1351"/>
      <c r="D948" s="1351"/>
      <c r="E948" s="1351"/>
      <c r="F948" s="1351"/>
      <c r="G948" s="1184"/>
      <c r="H948" s="1351"/>
      <c r="I948" s="1184"/>
      <c r="J948" s="1351"/>
      <c r="K948" s="1184"/>
      <c r="L948" s="1184"/>
      <c r="M948" s="1184"/>
      <c r="N948" s="1351"/>
      <c r="O948" s="1351"/>
      <c r="P948" s="1163"/>
      <c r="Q948" s="1163"/>
    </row>
    <row r="949" ht="12.75" customHeight="1">
      <c r="A949" s="1351"/>
      <c r="B949" s="1351"/>
      <c r="C949" s="1351"/>
      <c r="D949" s="1351"/>
      <c r="E949" s="1351"/>
      <c r="F949" s="1351"/>
      <c r="G949" s="1184"/>
      <c r="H949" s="1351"/>
      <c r="I949" s="1184"/>
      <c r="J949" s="1351"/>
      <c r="K949" s="1184"/>
      <c r="L949" s="1184"/>
      <c r="M949" s="1184"/>
      <c r="N949" s="1351"/>
      <c r="O949" s="1351"/>
      <c r="P949" s="1163"/>
      <c r="Q949" s="1163"/>
    </row>
    <row r="950" ht="12.75" customHeight="1">
      <c r="A950" s="1351"/>
      <c r="B950" s="1351"/>
      <c r="C950" s="1351"/>
      <c r="D950" s="1351"/>
      <c r="E950" s="1351"/>
      <c r="F950" s="1351"/>
      <c r="G950" s="1184"/>
      <c r="H950" s="1351"/>
      <c r="I950" s="1184"/>
      <c r="J950" s="1351"/>
      <c r="K950" s="1184"/>
      <c r="L950" s="1184"/>
      <c r="M950" s="1184"/>
      <c r="N950" s="1351"/>
      <c r="O950" s="1351"/>
      <c r="P950" s="1163"/>
      <c r="Q950" s="1163"/>
    </row>
    <row r="951" ht="12.75" customHeight="1">
      <c r="A951" s="1351"/>
      <c r="B951" s="1351"/>
      <c r="C951" s="1351"/>
      <c r="D951" s="1351"/>
      <c r="E951" s="1351"/>
      <c r="F951" s="1351"/>
      <c r="G951" s="1184"/>
      <c r="H951" s="1351"/>
      <c r="I951" s="1184"/>
      <c r="J951" s="1351"/>
      <c r="K951" s="1184"/>
      <c r="L951" s="1184"/>
      <c r="M951" s="1184"/>
      <c r="N951" s="1351"/>
      <c r="O951" s="1351"/>
      <c r="P951" s="1163"/>
      <c r="Q951" s="1163"/>
    </row>
    <row r="952" ht="12.75" customHeight="1">
      <c r="A952" s="1351"/>
      <c r="B952" s="1351"/>
      <c r="C952" s="1351"/>
      <c r="D952" s="1351"/>
      <c r="E952" s="1351"/>
      <c r="F952" s="1351"/>
      <c r="G952" s="1184"/>
      <c r="H952" s="1351"/>
      <c r="I952" s="1184"/>
      <c r="J952" s="1351"/>
      <c r="K952" s="1184"/>
      <c r="L952" s="1184"/>
      <c r="M952" s="1184"/>
      <c r="N952" s="1351"/>
      <c r="O952" s="1351"/>
      <c r="P952" s="1163"/>
      <c r="Q952" s="1163"/>
    </row>
    <row r="953" ht="12.75" customHeight="1">
      <c r="A953" s="1351"/>
      <c r="B953" s="1351"/>
      <c r="C953" s="1351"/>
      <c r="D953" s="1351"/>
      <c r="E953" s="1351"/>
      <c r="F953" s="1351"/>
      <c r="G953" s="1184"/>
      <c r="H953" s="1351"/>
      <c r="I953" s="1184"/>
      <c r="J953" s="1351"/>
      <c r="K953" s="1184"/>
      <c r="L953" s="1184"/>
      <c r="M953" s="1184"/>
      <c r="N953" s="1351"/>
      <c r="O953" s="1351"/>
      <c r="P953" s="1163"/>
      <c r="Q953" s="1163"/>
    </row>
    <row r="954" ht="12.75" customHeight="1">
      <c r="A954" s="1351"/>
      <c r="B954" s="1351"/>
      <c r="C954" s="1351"/>
      <c r="D954" s="1351"/>
      <c r="E954" s="1351"/>
      <c r="F954" s="1351"/>
      <c r="G954" s="1184"/>
      <c r="H954" s="1351"/>
      <c r="I954" s="1184"/>
      <c r="J954" s="1351"/>
      <c r="K954" s="1184"/>
      <c r="L954" s="1184"/>
      <c r="M954" s="1184"/>
      <c r="N954" s="1351"/>
      <c r="O954" s="1351"/>
      <c r="P954" s="1163"/>
      <c r="Q954" s="1163"/>
    </row>
    <row r="955" ht="12.75" customHeight="1">
      <c r="A955" s="1351"/>
      <c r="B955" s="1351"/>
      <c r="C955" s="1351"/>
      <c r="D955" s="1351"/>
      <c r="E955" s="1351"/>
      <c r="F955" s="1351"/>
      <c r="G955" s="1184"/>
      <c r="H955" s="1351"/>
      <c r="I955" s="1184"/>
      <c r="J955" s="1351"/>
      <c r="K955" s="1184"/>
      <c r="L955" s="1184"/>
      <c r="M955" s="1184"/>
      <c r="N955" s="1351"/>
      <c r="O955" s="1351"/>
      <c r="P955" s="1163"/>
      <c r="Q955" s="1163"/>
    </row>
    <row r="956" ht="12.75" customHeight="1">
      <c r="A956" s="1351"/>
      <c r="B956" s="1351"/>
      <c r="C956" s="1351"/>
      <c r="D956" s="1351"/>
      <c r="E956" s="1351"/>
      <c r="F956" s="1351"/>
      <c r="G956" s="1184"/>
      <c r="H956" s="1351"/>
      <c r="I956" s="1184"/>
      <c r="J956" s="1351"/>
      <c r="K956" s="1184"/>
      <c r="L956" s="1184"/>
      <c r="M956" s="1184"/>
      <c r="N956" s="1351"/>
      <c r="O956" s="1351"/>
      <c r="P956" s="1163"/>
      <c r="Q956" s="1163"/>
    </row>
    <row r="957" ht="12.75" customHeight="1">
      <c r="A957" s="1351"/>
      <c r="B957" s="1351"/>
      <c r="C957" s="1351"/>
      <c r="D957" s="1351"/>
      <c r="E957" s="1351"/>
      <c r="F957" s="1351"/>
      <c r="G957" s="1184"/>
      <c r="H957" s="1351"/>
      <c r="I957" s="1184"/>
      <c r="J957" s="1351"/>
      <c r="K957" s="1184"/>
      <c r="L957" s="1184"/>
      <c r="M957" s="1184"/>
      <c r="N957" s="1351"/>
      <c r="O957" s="1351"/>
      <c r="P957" s="1163"/>
      <c r="Q957" s="1163"/>
    </row>
    <row r="958" ht="12.75" customHeight="1">
      <c r="A958" s="1351"/>
      <c r="B958" s="1351"/>
      <c r="C958" s="1351"/>
      <c r="D958" s="1351"/>
      <c r="E958" s="1351"/>
      <c r="F958" s="1351"/>
      <c r="G958" s="1184"/>
      <c r="H958" s="1351"/>
      <c r="I958" s="1184"/>
      <c r="J958" s="1351"/>
      <c r="K958" s="1184"/>
      <c r="L958" s="1184"/>
      <c r="M958" s="1184"/>
      <c r="N958" s="1351"/>
      <c r="O958" s="1351"/>
      <c r="P958" s="1163"/>
      <c r="Q958" s="1163"/>
    </row>
    <row r="959" ht="12.75" customHeight="1">
      <c r="A959" s="1351"/>
      <c r="B959" s="1351"/>
      <c r="C959" s="1351"/>
      <c r="D959" s="1351"/>
      <c r="E959" s="1351"/>
      <c r="F959" s="1351"/>
      <c r="G959" s="1184"/>
      <c r="H959" s="1351"/>
      <c r="I959" s="1184"/>
      <c r="J959" s="1351"/>
      <c r="K959" s="1184"/>
      <c r="L959" s="1184"/>
      <c r="M959" s="1184"/>
      <c r="N959" s="1351"/>
      <c r="O959" s="1351"/>
      <c r="P959" s="1163"/>
      <c r="Q959" s="1163"/>
    </row>
    <row r="960" ht="12.75" customHeight="1">
      <c r="A960" s="1351"/>
      <c r="B960" s="1351"/>
      <c r="C960" s="1351"/>
      <c r="D960" s="1351"/>
      <c r="E960" s="1351"/>
      <c r="F960" s="1351"/>
      <c r="G960" s="1184"/>
      <c r="H960" s="1351"/>
      <c r="I960" s="1184"/>
      <c r="J960" s="1351"/>
      <c r="K960" s="1184"/>
      <c r="L960" s="1184"/>
      <c r="M960" s="1184"/>
      <c r="N960" s="1351"/>
      <c r="O960" s="1351"/>
      <c r="P960" s="1163"/>
      <c r="Q960" s="1163"/>
    </row>
    <row r="961" ht="12.75" customHeight="1">
      <c r="A961" s="1351"/>
      <c r="B961" s="1351"/>
      <c r="C961" s="1351"/>
      <c r="D961" s="1351"/>
      <c r="E961" s="1351"/>
      <c r="F961" s="1351"/>
      <c r="G961" s="1184"/>
      <c r="H961" s="1351"/>
      <c r="I961" s="1184"/>
      <c r="J961" s="1351"/>
      <c r="K961" s="1184"/>
      <c r="L961" s="1184"/>
      <c r="M961" s="1184"/>
      <c r="N961" s="1351"/>
      <c r="O961" s="1351"/>
      <c r="P961" s="1163"/>
      <c r="Q961" s="1163"/>
    </row>
    <row r="962" ht="12.75" customHeight="1">
      <c r="A962" s="1351"/>
      <c r="B962" s="1351"/>
      <c r="C962" s="1351"/>
      <c r="D962" s="1351"/>
      <c r="E962" s="1351"/>
      <c r="F962" s="1351"/>
      <c r="G962" s="1184"/>
      <c r="H962" s="1351"/>
      <c r="I962" s="1184"/>
      <c r="J962" s="1351"/>
      <c r="K962" s="1184"/>
      <c r="L962" s="1184"/>
      <c r="M962" s="1184"/>
      <c r="N962" s="1351"/>
      <c r="O962" s="1351"/>
      <c r="P962" s="1163"/>
      <c r="Q962" s="1163"/>
    </row>
    <row r="963" ht="12.75" customHeight="1">
      <c r="A963" s="1351"/>
      <c r="B963" s="1351"/>
      <c r="C963" s="1351"/>
      <c r="D963" s="1351"/>
      <c r="E963" s="1351"/>
      <c r="F963" s="1351"/>
      <c r="G963" s="1184"/>
      <c r="H963" s="1351"/>
      <c r="I963" s="1184"/>
      <c r="J963" s="1351"/>
      <c r="K963" s="1184"/>
      <c r="L963" s="1184"/>
      <c r="M963" s="1184"/>
      <c r="N963" s="1351"/>
      <c r="O963" s="1351"/>
      <c r="P963" s="1163"/>
      <c r="Q963" s="1163"/>
    </row>
    <row r="964" ht="12.75" customHeight="1">
      <c r="A964" s="1351"/>
      <c r="B964" s="1351"/>
      <c r="C964" s="1351"/>
      <c r="D964" s="1351"/>
      <c r="E964" s="1351"/>
      <c r="F964" s="1351"/>
      <c r="G964" s="1184"/>
      <c r="H964" s="1351"/>
      <c r="I964" s="1184"/>
      <c r="J964" s="1351"/>
      <c r="K964" s="1184"/>
      <c r="L964" s="1184"/>
      <c r="M964" s="1184"/>
      <c r="N964" s="1351"/>
      <c r="O964" s="1351"/>
      <c r="P964" s="1163"/>
      <c r="Q964" s="1163"/>
    </row>
    <row r="965" ht="12.75" customHeight="1">
      <c r="A965" s="1351"/>
      <c r="B965" s="1351"/>
      <c r="C965" s="1351"/>
      <c r="D965" s="1351"/>
      <c r="E965" s="1351"/>
      <c r="F965" s="1351"/>
      <c r="G965" s="1184"/>
      <c r="H965" s="1351"/>
      <c r="I965" s="1184"/>
      <c r="J965" s="1351"/>
      <c r="K965" s="1184"/>
      <c r="L965" s="1184"/>
      <c r="M965" s="1184"/>
      <c r="N965" s="1351"/>
      <c r="O965" s="1351"/>
      <c r="P965" s="1163"/>
      <c r="Q965" s="1163"/>
    </row>
    <row r="966" ht="12.75" customHeight="1">
      <c r="A966" s="1351"/>
      <c r="B966" s="1351"/>
      <c r="C966" s="1351"/>
      <c r="D966" s="1351"/>
      <c r="E966" s="1351"/>
      <c r="F966" s="1351"/>
      <c r="G966" s="1184"/>
      <c r="H966" s="1351"/>
      <c r="I966" s="1184"/>
      <c r="J966" s="1351"/>
      <c r="K966" s="1184"/>
      <c r="L966" s="1184"/>
      <c r="M966" s="1184"/>
      <c r="N966" s="1351"/>
      <c r="O966" s="1351"/>
      <c r="P966" s="1163"/>
      <c r="Q966" s="1163"/>
    </row>
    <row r="967" ht="12.75" customHeight="1">
      <c r="A967" s="1351"/>
      <c r="B967" s="1351"/>
      <c r="C967" s="1351"/>
      <c r="D967" s="1351"/>
      <c r="E967" s="1351"/>
      <c r="F967" s="1351"/>
      <c r="G967" s="1184"/>
      <c r="H967" s="1351"/>
      <c r="I967" s="1184"/>
      <c r="J967" s="1351"/>
      <c r="K967" s="1184"/>
      <c r="L967" s="1184"/>
      <c r="M967" s="1184"/>
      <c r="N967" s="1351"/>
      <c r="O967" s="1351"/>
      <c r="P967" s="1163"/>
      <c r="Q967" s="1163"/>
    </row>
    <row r="968" ht="12.75" customHeight="1">
      <c r="A968" s="1351"/>
      <c r="B968" s="1351"/>
      <c r="C968" s="1351"/>
      <c r="D968" s="1351"/>
      <c r="E968" s="1351"/>
      <c r="F968" s="1351"/>
      <c r="G968" s="1184"/>
      <c r="H968" s="1351"/>
      <c r="I968" s="1184"/>
      <c r="J968" s="1351"/>
      <c r="K968" s="1184"/>
      <c r="L968" s="1184"/>
      <c r="M968" s="1184"/>
      <c r="N968" s="1351"/>
      <c r="O968" s="1351"/>
      <c r="P968" s="1163"/>
      <c r="Q968" s="1163"/>
    </row>
  </sheetData>
  <mergeCells count="1">
    <mergeCell ref="A1:Q1"/>
  </mergeCells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135"/>
    <pageSetUpPr/>
  </sheetPr>
  <sheetViews>
    <sheetView showGridLines="0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0" outlineLevelRow="1"/>
  <cols>
    <col customWidth="1" min="1" max="1" width="6.38"/>
    <col customWidth="1" min="2" max="2" width="19.63"/>
    <col customWidth="1" min="3" max="3" width="14.0"/>
    <col customWidth="1" hidden="1" min="4" max="4" width="14.0"/>
    <col customWidth="1" min="5" max="5" width="12.63"/>
    <col customWidth="1" min="6" max="6" width="28.75"/>
    <col customWidth="1" min="7" max="7" width="16.5"/>
    <col customWidth="1" min="8" max="8" width="13.88"/>
    <col customWidth="1" min="9" max="9" width="14.75"/>
    <col customWidth="1" min="10" max="10" width="7.63"/>
    <col customWidth="1" min="11" max="11" width="56.25"/>
    <col customWidth="1" hidden="1" min="12" max="12" width="10.75"/>
    <col customWidth="1" hidden="1" min="13" max="14" width="9.63"/>
    <col customWidth="1" hidden="1" min="15" max="15" width="11.25"/>
    <col customWidth="1" hidden="1" min="16" max="16" width="10.5"/>
    <col customWidth="1" hidden="1" min="17" max="17" width="16.63"/>
    <col customWidth="1" hidden="1" min="18" max="18" width="19.88"/>
  </cols>
  <sheetData>
    <row r="1" ht="27.75" customHeight="1">
      <c r="A1" s="15" t="s">
        <v>8245</v>
      </c>
      <c r="B1" s="18"/>
      <c r="C1" s="20"/>
      <c r="D1" s="20"/>
      <c r="E1" s="18"/>
      <c r="F1" s="18"/>
      <c r="G1" s="18"/>
      <c r="H1" s="27"/>
      <c r="I1" s="32"/>
      <c r="J1" s="35"/>
      <c r="K1" s="32"/>
      <c r="L1" s="1363" t="s">
        <v>3</v>
      </c>
      <c r="M1" s="40"/>
      <c r="N1" s="40"/>
      <c r="O1" s="40"/>
      <c r="P1" s="40"/>
      <c r="Q1" s="40"/>
      <c r="R1" s="40"/>
    </row>
    <row r="2" ht="26.25" customHeight="1">
      <c r="A2" s="21" t="s">
        <v>5</v>
      </c>
      <c r="B2" s="24" t="s">
        <v>6</v>
      </c>
      <c r="C2" s="24" t="s">
        <v>8246</v>
      </c>
      <c r="D2" s="24" t="s">
        <v>3218</v>
      </c>
      <c r="E2" s="24" t="s">
        <v>37</v>
      </c>
      <c r="F2" s="24" t="s">
        <v>11</v>
      </c>
      <c r="G2" s="24" t="s">
        <v>13</v>
      </c>
      <c r="H2" s="24" t="s">
        <v>14</v>
      </c>
      <c r="I2" s="24" t="str">
        <f>"Tình trạng "&amp;char(10)&amp;"Hỏng: "&amp;COUNTIF(I3:I1146,"Hư hỏng")&amp;"/"&amp;COUNTa(I3:I1146)</f>
        <v>Tình trạng 
Hỏng: 0/196</v>
      </c>
      <c r="J2" s="24" t="s">
        <v>18</v>
      </c>
      <c r="K2" s="61" t="s">
        <v>19</v>
      </c>
      <c r="L2" s="1364" t="s">
        <v>21</v>
      </c>
      <c r="M2" s="21" t="s">
        <v>22</v>
      </c>
      <c r="N2" s="21" t="s">
        <v>23</v>
      </c>
      <c r="O2" s="24" t="s">
        <v>25</v>
      </c>
      <c r="P2" s="21" t="s">
        <v>26</v>
      </c>
      <c r="Q2" s="41" t="s">
        <v>27</v>
      </c>
      <c r="R2" s="24" t="s">
        <v>29</v>
      </c>
    </row>
    <row r="3" ht="12.75" customHeight="1">
      <c r="A3" s="21"/>
      <c r="B3" s="24"/>
      <c r="C3" s="24">
        <f>SUM(C4,C159,C260)</f>
        <v>398</v>
      </c>
      <c r="D3" s="24"/>
      <c r="E3" s="24"/>
      <c r="F3" s="24"/>
      <c r="G3" s="24"/>
      <c r="H3" s="24"/>
      <c r="I3" s="24"/>
      <c r="J3" s="24"/>
      <c r="K3" s="61"/>
      <c r="L3" s="1364"/>
      <c r="M3" s="21"/>
      <c r="N3" s="21"/>
      <c r="O3" s="24"/>
      <c r="P3" s="21"/>
      <c r="Q3" s="41"/>
      <c r="R3" s="24"/>
    </row>
    <row r="4" ht="13.5" customHeight="1">
      <c r="A4" s="76" t="s">
        <v>8247</v>
      </c>
      <c r="B4" s="55"/>
      <c r="C4" s="59">
        <f>COUNTA(C6:C158)</f>
        <v>125</v>
      </c>
      <c r="D4" s="59"/>
      <c r="E4" s="55"/>
      <c r="F4" s="59"/>
      <c r="G4" s="55"/>
      <c r="H4" s="62"/>
      <c r="I4" s="55"/>
      <c r="J4" s="59"/>
      <c r="K4" s="81"/>
      <c r="L4" s="1365"/>
      <c r="M4" s="55"/>
      <c r="N4" s="55"/>
      <c r="O4" s="55"/>
      <c r="P4" s="55"/>
      <c r="Q4" s="55"/>
      <c r="R4" s="55"/>
    </row>
    <row r="5" ht="13.5" customHeight="1">
      <c r="A5" s="72" t="s">
        <v>72</v>
      </c>
      <c r="B5" s="152" t="s">
        <v>73</v>
      </c>
      <c r="C5" s="72"/>
      <c r="D5" s="72"/>
      <c r="E5" s="75"/>
      <c r="F5" s="72"/>
      <c r="G5" s="75"/>
      <c r="H5" s="79"/>
      <c r="I5" s="75"/>
      <c r="J5" s="72"/>
      <c r="K5" s="1366"/>
      <c r="L5" s="1367"/>
      <c r="M5" s="75"/>
      <c r="N5" s="75"/>
      <c r="O5" s="75"/>
      <c r="P5" s="75"/>
      <c r="Q5" s="75"/>
      <c r="R5" s="75"/>
    </row>
    <row r="6" ht="13.5" customHeight="1">
      <c r="A6" s="80">
        <v>1.0</v>
      </c>
      <c r="B6" s="84" t="s">
        <v>78</v>
      </c>
      <c r="C6" s="95" t="s">
        <v>91</v>
      </c>
      <c r="D6" s="95" t="s">
        <v>8248</v>
      </c>
      <c r="E6" s="115" t="s">
        <v>91</v>
      </c>
      <c r="F6" s="86" t="s">
        <v>8249</v>
      </c>
      <c r="G6" s="80" t="s">
        <v>44</v>
      </c>
      <c r="H6" s="99">
        <v>43835.0</v>
      </c>
      <c r="I6" s="1368">
        <f>IFERROR(VLOOKUP(B6, '02. MM-KLH'!$B:$K, 9, FALSE),"")</f>
        <v>43835</v>
      </c>
      <c r="J6" s="102">
        <v>0.67</v>
      </c>
      <c r="K6" s="1369"/>
      <c r="L6" s="1370" t="s">
        <v>83</v>
      </c>
      <c r="M6" s="108" t="s">
        <v>84</v>
      </c>
      <c r="N6" s="80">
        <v>2019.0</v>
      </c>
      <c r="O6" s="80" t="s">
        <v>8250</v>
      </c>
      <c r="P6" s="106" t="s">
        <v>86</v>
      </c>
      <c r="Q6" s="108" t="s">
        <v>8251</v>
      </c>
      <c r="R6" s="110" t="s">
        <v>96</v>
      </c>
    </row>
    <row r="7" ht="13.5" customHeight="1">
      <c r="A7" s="80">
        <v>2.0</v>
      </c>
      <c r="B7" s="84" t="s">
        <v>89</v>
      </c>
      <c r="C7" s="95" t="s">
        <v>120</v>
      </c>
      <c r="D7" s="95" t="s">
        <v>8252</v>
      </c>
      <c r="E7" s="115" t="s">
        <v>120</v>
      </c>
      <c r="F7" s="86" t="s">
        <v>8253</v>
      </c>
      <c r="G7" s="80" t="s">
        <v>44</v>
      </c>
      <c r="H7" s="99">
        <v>41644.0</v>
      </c>
      <c r="I7" s="1368">
        <f>IFERROR(VLOOKUP(B7, '02. MM-KLH'!$B:$K, 9, FALSE),"")</f>
        <v>43801</v>
      </c>
      <c r="J7" s="102">
        <v>0.63</v>
      </c>
      <c r="K7" s="1369"/>
      <c r="L7" s="1370" t="s">
        <v>92</v>
      </c>
      <c r="M7" s="108" t="s">
        <v>84</v>
      </c>
      <c r="N7" s="80">
        <v>1993.0</v>
      </c>
      <c r="O7" s="80" t="s">
        <v>93</v>
      </c>
      <c r="P7" s="106" t="s">
        <v>94</v>
      </c>
      <c r="Q7" s="108" t="s">
        <v>95</v>
      </c>
      <c r="R7" s="110" t="s">
        <v>96</v>
      </c>
    </row>
    <row r="8" ht="13.5" customHeight="1">
      <c r="A8" s="80">
        <v>3.0</v>
      </c>
      <c r="B8" s="84" t="s">
        <v>98</v>
      </c>
      <c r="C8" s="95" t="s">
        <v>241</v>
      </c>
      <c r="D8" s="95" t="s">
        <v>8254</v>
      </c>
      <c r="E8" s="115" t="s">
        <v>241</v>
      </c>
      <c r="F8" s="86" t="s">
        <v>8255</v>
      </c>
      <c r="G8" s="80" t="s">
        <v>44</v>
      </c>
      <c r="H8" s="99">
        <v>44110.0</v>
      </c>
      <c r="I8" s="1368">
        <f>IFERROR(VLOOKUP(B8, '02. MM-KLH'!$B:$K, 9, FALSE),"")</f>
        <v>44110</v>
      </c>
      <c r="J8" s="102">
        <v>0.68</v>
      </c>
      <c r="K8" s="1371"/>
      <c r="L8" s="1370" t="s">
        <v>102</v>
      </c>
      <c r="M8" s="108" t="s">
        <v>103</v>
      </c>
      <c r="N8" s="80">
        <v>2019.0</v>
      </c>
      <c r="O8" s="80" t="s">
        <v>104</v>
      </c>
      <c r="P8" s="106" t="s">
        <v>105</v>
      </c>
      <c r="Q8" s="108" t="s">
        <v>106</v>
      </c>
      <c r="R8" s="110" t="s">
        <v>96</v>
      </c>
    </row>
    <row r="9" ht="13.5" customHeight="1">
      <c r="A9" s="80">
        <v>4.0</v>
      </c>
      <c r="B9" s="113" t="s">
        <v>107</v>
      </c>
      <c r="C9" s="95" t="s">
        <v>263</v>
      </c>
      <c r="D9" s="95" t="s">
        <v>8256</v>
      </c>
      <c r="E9" s="115" t="s">
        <v>263</v>
      </c>
      <c r="F9" s="115" t="s">
        <v>8255</v>
      </c>
      <c r="G9" s="95" t="s">
        <v>44</v>
      </c>
      <c r="H9" s="116">
        <v>43508.0</v>
      </c>
      <c r="I9" s="1368">
        <f>IFERROR(VLOOKUP(B9, '02. MM-KLH'!$B:$K, 9, FALSE),"")</f>
        <v>43801</v>
      </c>
      <c r="J9" s="117">
        <v>0.63</v>
      </c>
      <c r="K9" s="1372"/>
      <c r="L9" s="1373" t="s">
        <v>102</v>
      </c>
      <c r="M9" s="110" t="s">
        <v>103</v>
      </c>
      <c r="N9" s="95">
        <v>2018.0</v>
      </c>
      <c r="O9" s="95" t="s">
        <v>104</v>
      </c>
      <c r="P9" s="119" t="s">
        <v>105</v>
      </c>
      <c r="Q9" s="110" t="s">
        <v>109</v>
      </c>
      <c r="R9" s="110" t="s">
        <v>96</v>
      </c>
    </row>
    <row r="10" ht="13.5" customHeight="1">
      <c r="A10" s="80">
        <v>5.0</v>
      </c>
      <c r="B10" s="84" t="s">
        <v>110</v>
      </c>
      <c r="C10" s="95" t="s">
        <v>134</v>
      </c>
      <c r="D10" s="95" t="s">
        <v>8257</v>
      </c>
      <c r="E10" s="115" t="s">
        <v>134</v>
      </c>
      <c r="F10" s="86" t="s">
        <v>8253</v>
      </c>
      <c r="G10" s="80" t="s">
        <v>44</v>
      </c>
      <c r="H10" s="99">
        <v>44200.0</v>
      </c>
      <c r="I10" s="1368">
        <f>IFERROR(VLOOKUP(B10, '02. MM-KLH'!$B:$K, 9, FALSE),"")</f>
        <v>44200</v>
      </c>
      <c r="J10" s="102">
        <v>0.7</v>
      </c>
      <c r="K10" s="1369"/>
      <c r="L10" s="1370" t="s">
        <v>92</v>
      </c>
      <c r="M10" s="108" t="s">
        <v>84</v>
      </c>
      <c r="N10" s="80">
        <v>2020.0</v>
      </c>
      <c r="O10" s="80" t="s">
        <v>111</v>
      </c>
      <c r="P10" s="106" t="s">
        <v>112</v>
      </c>
      <c r="Q10" s="108" t="s">
        <v>113</v>
      </c>
      <c r="R10" s="110">
        <v>801502.0</v>
      </c>
    </row>
    <row r="11" ht="13.5" customHeight="1">
      <c r="A11" s="80">
        <v>6.0</v>
      </c>
      <c r="B11" s="84" t="s">
        <v>114</v>
      </c>
      <c r="C11" s="95" t="s">
        <v>581</v>
      </c>
      <c r="D11" s="95" t="s">
        <v>8258</v>
      </c>
      <c r="E11" s="115" t="s">
        <v>581</v>
      </c>
      <c r="F11" s="86" t="s">
        <v>8259</v>
      </c>
      <c r="G11" s="80" t="s">
        <v>44</v>
      </c>
      <c r="H11" s="99">
        <v>44200.0</v>
      </c>
      <c r="I11" s="1368">
        <f>IFERROR(VLOOKUP(B11, '02. MM-KLH'!$B:$K, 9, FALSE),"")</f>
        <v>44200</v>
      </c>
      <c r="J11" s="102">
        <v>0.7</v>
      </c>
      <c r="K11" s="1371"/>
      <c r="L11" s="1370" t="s">
        <v>92</v>
      </c>
      <c r="M11" s="108" t="s">
        <v>84</v>
      </c>
      <c r="N11" s="80">
        <v>2021.0</v>
      </c>
      <c r="O11" s="80" t="s">
        <v>116</v>
      </c>
      <c r="P11" s="106" t="s">
        <v>117</v>
      </c>
      <c r="Q11" s="108" t="s">
        <v>118</v>
      </c>
      <c r="R11" s="110" t="s">
        <v>119</v>
      </c>
    </row>
    <row r="12" ht="13.5" customHeight="1">
      <c r="A12" s="80">
        <v>7.0</v>
      </c>
      <c r="B12" s="1374" t="s">
        <v>243</v>
      </c>
      <c r="C12" s="1375" t="s">
        <v>6462</v>
      </c>
      <c r="D12" s="1376" t="s">
        <v>6462</v>
      </c>
      <c r="E12" s="1374"/>
      <c r="F12" s="1374" t="s">
        <v>6491</v>
      </c>
      <c r="G12" s="1377" t="s">
        <v>44</v>
      </c>
      <c r="H12" s="1378">
        <v>45298.0</v>
      </c>
      <c r="I12" s="1368">
        <f>IFERROR(VLOOKUP(B12, '02. MM-KLH'!$B:$K, 9, FALSE),"")</f>
        <v>45298</v>
      </c>
      <c r="J12" s="1379"/>
      <c r="K12" s="1380" t="s">
        <v>8260</v>
      </c>
      <c r="L12" s="1381" t="s">
        <v>123</v>
      </c>
      <c r="M12" s="1382" t="s">
        <v>8261</v>
      </c>
      <c r="N12" s="1376">
        <v>2013.0</v>
      </c>
      <c r="O12" s="1376" t="s">
        <v>223</v>
      </c>
      <c r="P12" s="1379" t="s">
        <v>224</v>
      </c>
      <c r="Q12" s="1382" t="s">
        <v>245</v>
      </c>
      <c r="R12" s="1382">
        <v>28275.0</v>
      </c>
    </row>
    <row r="13" ht="13.5" customHeight="1">
      <c r="A13" s="80">
        <v>8.0</v>
      </c>
      <c r="B13" s="1374" t="s">
        <v>246</v>
      </c>
      <c r="C13" s="1375" t="s">
        <v>6464</v>
      </c>
      <c r="D13" s="1376" t="s">
        <v>6464</v>
      </c>
      <c r="E13" s="1374"/>
      <c r="F13" s="1374" t="s">
        <v>6491</v>
      </c>
      <c r="G13" s="1377" t="s">
        <v>44</v>
      </c>
      <c r="H13" s="1378">
        <v>45298.0</v>
      </c>
      <c r="I13" s="1368">
        <f>IFERROR(VLOOKUP(B13, '02. MM-KLH'!$B:$K, 9, FALSE),"")</f>
        <v>45298</v>
      </c>
      <c r="J13" s="1379"/>
      <c r="K13" s="1380" t="s">
        <v>8260</v>
      </c>
      <c r="L13" s="1381" t="s">
        <v>123</v>
      </c>
      <c r="M13" s="1382" t="s">
        <v>8261</v>
      </c>
      <c r="N13" s="1376">
        <v>2013.0</v>
      </c>
      <c r="O13" s="1376" t="s">
        <v>223</v>
      </c>
      <c r="P13" s="1379" t="s">
        <v>224</v>
      </c>
      <c r="Q13" s="1382" t="s">
        <v>248</v>
      </c>
      <c r="R13" s="1382">
        <v>27440.0</v>
      </c>
    </row>
    <row r="14" ht="13.5" customHeight="1">
      <c r="A14" s="80">
        <v>9.0</v>
      </c>
      <c r="B14" s="183" t="s">
        <v>941</v>
      </c>
      <c r="C14" s="95" t="s">
        <v>1003</v>
      </c>
      <c r="D14" s="95" t="s">
        <v>8248</v>
      </c>
      <c r="E14" s="115" t="s">
        <v>1003</v>
      </c>
      <c r="F14" s="256" t="s">
        <v>8262</v>
      </c>
      <c r="G14" s="258" t="s">
        <v>858</v>
      </c>
      <c r="H14" s="99">
        <v>45419.0</v>
      </c>
      <c r="I14" s="1368">
        <f>IFERROR(VLOOKUP(B14, '02. MM-KLH'!$B:$K, 9, FALSE),"")</f>
        <v>45419</v>
      </c>
      <c r="J14" s="259"/>
      <c r="K14" s="1383" t="s">
        <v>943</v>
      </c>
      <c r="L14" s="1384" t="s">
        <v>123</v>
      </c>
      <c r="M14" s="928" t="s">
        <v>84</v>
      </c>
      <c r="N14" s="258">
        <v>2006.0</v>
      </c>
      <c r="O14" s="258"/>
      <c r="P14" s="258" t="s">
        <v>462</v>
      </c>
      <c r="Q14" s="928">
        <v>5288.0</v>
      </c>
      <c r="R14" s="185" t="s">
        <v>96</v>
      </c>
    </row>
    <row r="15" ht="13.5" customHeight="1">
      <c r="A15" s="80">
        <v>10.0</v>
      </c>
      <c r="B15" s="84" t="s">
        <v>1009</v>
      </c>
      <c r="C15" s="95" t="s">
        <v>1011</v>
      </c>
      <c r="D15" s="95" t="s">
        <v>8248</v>
      </c>
      <c r="E15" s="115" t="s">
        <v>1011</v>
      </c>
      <c r="F15" s="86" t="s">
        <v>8262</v>
      </c>
      <c r="G15" s="80" t="s">
        <v>1010</v>
      </c>
      <c r="H15" s="99"/>
      <c r="I15" s="80" t="str">
        <f>IFERROR(VLOOKUP(B15, '02. MM-KLH'!$B:$K, 9, FALSE),"")</f>
        <v/>
      </c>
      <c r="J15" s="106"/>
      <c r="K15" s="1369"/>
      <c r="L15" s="1370" t="s">
        <v>123</v>
      </c>
      <c r="M15" s="108" t="s">
        <v>84</v>
      </c>
      <c r="N15" s="80">
        <v>2006.0</v>
      </c>
      <c r="O15" s="80"/>
      <c r="P15" s="106" t="s">
        <v>462</v>
      </c>
      <c r="Q15" s="108">
        <v>8332.0</v>
      </c>
      <c r="R15" s="110" t="s">
        <v>96</v>
      </c>
    </row>
    <row r="16" ht="13.5" customHeight="1">
      <c r="A16" s="80">
        <v>11.0</v>
      </c>
      <c r="B16" s="84" t="s">
        <v>1020</v>
      </c>
      <c r="C16" s="95" t="s">
        <v>1021</v>
      </c>
      <c r="D16" s="95" t="s">
        <v>8252</v>
      </c>
      <c r="E16" s="115" t="s">
        <v>1021</v>
      </c>
      <c r="F16" s="86" t="s">
        <v>8262</v>
      </c>
      <c r="G16" s="80" t="s">
        <v>1120</v>
      </c>
      <c r="H16" s="99"/>
      <c r="I16" s="80" t="str">
        <f>IFERROR(VLOOKUP(B16, '02. MM-KLH'!$B:$K, 9, FALSE),"")</f>
        <v/>
      </c>
      <c r="J16" s="106"/>
      <c r="K16" s="1369"/>
      <c r="L16" s="1370" t="s">
        <v>123</v>
      </c>
      <c r="M16" s="108" t="s">
        <v>84</v>
      </c>
      <c r="N16" s="80">
        <v>2006.0</v>
      </c>
      <c r="O16" s="80"/>
      <c r="P16" s="106" t="s">
        <v>462</v>
      </c>
      <c r="Q16" s="108">
        <v>8608.0</v>
      </c>
      <c r="R16" s="110" t="s">
        <v>96</v>
      </c>
    </row>
    <row r="17" ht="13.5" customHeight="1">
      <c r="A17" s="80">
        <v>12.0</v>
      </c>
      <c r="B17" s="348" t="s">
        <v>3094</v>
      </c>
      <c r="C17" s="95" t="s">
        <v>3096</v>
      </c>
      <c r="D17" s="337" t="s">
        <v>8248</v>
      </c>
      <c r="E17" s="338" t="s">
        <v>3096</v>
      </c>
      <c r="F17" s="338" t="s">
        <v>8262</v>
      </c>
      <c r="G17" s="337" t="s">
        <v>1120</v>
      </c>
      <c r="H17" s="353"/>
      <c r="I17" s="80" t="str">
        <f>IFERROR(VLOOKUP(B17, '02. MM-KLH'!$B:$K, 9, FALSE),"")</f>
        <v/>
      </c>
      <c r="J17" s="340"/>
      <c r="K17" s="1385" t="s">
        <v>8263</v>
      </c>
      <c r="L17" s="1386" t="s">
        <v>123</v>
      </c>
      <c r="M17" s="344" t="s">
        <v>84</v>
      </c>
      <c r="N17" s="337">
        <v>2006.0</v>
      </c>
      <c r="O17" s="337" t="s">
        <v>1428</v>
      </c>
      <c r="P17" s="340" t="s">
        <v>462</v>
      </c>
      <c r="Q17" s="344">
        <v>9873.0</v>
      </c>
      <c r="R17" s="345" t="s">
        <v>96</v>
      </c>
    </row>
    <row r="18" ht="13.5" customHeight="1">
      <c r="A18" s="80">
        <v>13.0</v>
      </c>
      <c r="B18" s="86" t="s">
        <v>217</v>
      </c>
      <c r="C18" s="95" t="s">
        <v>6448</v>
      </c>
      <c r="D18" s="95"/>
      <c r="E18" s="115"/>
      <c r="F18" s="86" t="s">
        <v>8262</v>
      </c>
      <c r="G18" s="80" t="s">
        <v>8264</v>
      </c>
      <c r="H18" s="80" t="s">
        <v>220</v>
      </c>
      <c r="I18" s="80" t="str">
        <f>IFERROR(VLOOKUP(B18, '02. MM-KLH'!$B:$K, 9, FALSE),"")</f>
        <v>29/07/2024</v>
      </c>
      <c r="J18" s="102">
        <v>0.99</v>
      </c>
      <c r="K18" s="1369"/>
      <c r="L18" s="1370"/>
      <c r="M18" s="108"/>
      <c r="N18" s="80"/>
      <c r="O18" s="80"/>
      <c r="P18" s="106"/>
      <c r="Q18" s="108"/>
      <c r="R18" s="110"/>
    </row>
    <row r="19" ht="13.5" customHeight="1">
      <c r="A19" s="80">
        <v>14.0</v>
      </c>
      <c r="B19" s="86" t="s">
        <v>226</v>
      </c>
      <c r="C19" s="95" t="s">
        <v>6453</v>
      </c>
      <c r="D19" s="95"/>
      <c r="E19" s="115"/>
      <c r="F19" s="86" t="s">
        <v>8262</v>
      </c>
      <c r="G19" s="80" t="s">
        <v>8264</v>
      </c>
      <c r="H19" s="80" t="s">
        <v>220</v>
      </c>
      <c r="I19" s="80" t="str">
        <f>IFERROR(VLOOKUP(B19, '02. MM-KLH'!$B:$K, 9, FALSE),"")</f>
        <v>26/07/2024</v>
      </c>
      <c r="J19" s="102">
        <v>0.99</v>
      </c>
      <c r="K19" s="1369"/>
      <c r="L19" s="1370"/>
      <c r="M19" s="108"/>
      <c r="N19" s="80"/>
      <c r="O19" s="80"/>
      <c r="P19" s="106"/>
      <c r="Q19" s="108"/>
      <c r="R19" s="110"/>
    </row>
    <row r="20" ht="13.5" customHeight="1">
      <c r="A20" s="80">
        <v>15.0</v>
      </c>
      <c r="B20" s="86" t="s">
        <v>230</v>
      </c>
      <c r="C20" s="95" t="s">
        <v>6456</v>
      </c>
      <c r="D20" s="95"/>
      <c r="E20" s="115"/>
      <c r="F20" s="86" t="s">
        <v>8262</v>
      </c>
      <c r="G20" s="80" t="s">
        <v>8264</v>
      </c>
      <c r="H20" s="80" t="s">
        <v>220</v>
      </c>
      <c r="I20" s="80" t="str">
        <f>IFERROR(VLOOKUP(B20, '02. MM-KLH'!$B:$K, 9, FALSE),"")</f>
        <v>29/07/2024</v>
      </c>
      <c r="J20" s="102">
        <v>0.99</v>
      </c>
      <c r="K20" s="1369"/>
      <c r="L20" s="1370"/>
      <c r="M20" s="108"/>
      <c r="N20" s="80"/>
      <c r="O20" s="80"/>
      <c r="P20" s="106"/>
      <c r="Q20" s="108"/>
      <c r="R20" s="110"/>
    </row>
    <row r="21" ht="13.5" customHeight="1">
      <c r="A21" s="80"/>
      <c r="B21" s="86"/>
      <c r="C21" s="95"/>
      <c r="D21" s="95"/>
      <c r="E21" s="115"/>
      <c r="F21" s="86"/>
      <c r="G21" s="80"/>
      <c r="H21" s="80"/>
      <c r="I21" s="80"/>
      <c r="J21" s="102"/>
      <c r="K21" s="1369"/>
      <c r="L21" s="1370"/>
      <c r="M21" s="108"/>
      <c r="N21" s="80"/>
      <c r="O21" s="80"/>
      <c r="P21" s="106"/>
      <c r="Q21" s="108"/>
      <c r="R21" s="110"/>
    </row>
    <row r="22" ht="13.5" customHeight="1">
      <c r="A22" s="80"/>
      <c r="B22" s="86"/>
      <c r="C22" s="95"/>
      <c r="D22" s="95"/>
      <c r="E22" s="115"/>
      <c r="F22" s="86"/>
      <c r="G22" s="80"/>
      <c r="H22" s="80"/>
      <c r="I22" s="80"/>
      <c r="J22" s="102"/>
      <c r="K22" s="1369"/>
      <c r="L22" s="1370"/>
      <c r="M22" s="108"/>
      <c r="N22" s="80"/>
      <c r="O22" s="80"/>
      <c r="P22" s="106"/>
      <c r="Q22" s="108"/>
      <c r="R22" s="110"/>
    </row>
    <row r="23" ht="13.5" customHeight="1">
      <c r="A23" s="80"/>
      <c r="B23" s="86"/>
      <c r="C23" s="95"/>
      <c r="D23" s="95"/>
      <c r="E23" s="115"/>
      <c r="F23" s="86"/>
      <c r="G23" s="80"/>
      <c r="H23" s="80"/>
      <c r="I23" s="80"/>
      <c r="J23" s="102"/>
      <c r="K23" s="1369"/>
      <c r="L23" s="1370"/>
      <c r="M23" s="108"/>
      <c r="N23" s="80"/>
      <c r="O23" s="80"/>
      <c r="P23" s="106"/>
      <c r="Q23" s="108"/>
      <c r="R23" s="110"/>
    </row>
    <row r="24" ht="13.5" customHeight="1">
      <c r="A24" s="80"/>
      <c r="B24" s="86"/>
      <c r="C24" s="95"/>
      <c r="D24" s="95"/>
      <c r="E24" s="115"/>
      <c r="F24" s="86"/>
      <c r="G24" s="80"/>
      <c r="H24" s="80"/>
      <c r="I24" s="80"/>
      <c r="J24" s="102"/>
      <c r="K24" s="1369"/>
      <c r="L24" s="1370"/>
      <c r="M24" s="108"/>
      <c r="N24" s="80"/>
      <c r="O24" s="80"/>
      <c r="P24" s="106"/>
      <c r="Q24" s="108"/>
      <c r="R24" s="110"/>
    </row>
    <row r="25" ht="13.5" customHeight="1">
      <c r="A25" s="151" t="s">
        <v>375</v>
      </c>
      <c r="B25" s="152" t="s">
        <v>703</v>
      </c>
      <c r="C25" s="72"/>
      <c r="D25" s="72"/>
      <c r="E25" s="75"/>
      <c r="F25" s="72"/>
      <c r="G25" s="75"/>
      <c r="H25" s="79"/>
      <c r="I25" s="79"/>
      <c r="J25" s="72"/>
      <c r="K25" s="1366"/>
      <c r="L25" s="1367"/>
      <c r="M25" s="75"/>
      <c r="N25" s="75"/>
      <c r="O25" s="75"/>
      <c r="P25" s="75"/>
      <c r="Q25" s="75"/>
      <c r="R25" s="75"/>
    </row>
    <row r="26" ht="13.5" customHeight="1">
      <c r="A26" s="80">
        <v>1.0</v>
      </c>
      <c r="B26" s="113" t="s">
        <v>121</v>
      </c>
      <c r="C26" s="95" t="s">
        <v>1289</v>
      </c>
      <c r="D26" s="95" t="s">
        <v>8265</v>
      </c>
      <c r="E26" s="115" t="s">
        <v>1289</v>
      </c>
      <c r="F26" s="115" t="s">
        <v>122</v>
      </c>
      <c r="G26" s="95" t="s">
        <v>44</v>
      </c>
      <c r="H26" s="116">
        <v>43835.0</v>
      </c>
      <c r="I26" s="1368">
        <f>IFERROR(VLOOKUP(B26, '02. MM-KLH'!$B:$K, 9, FALSE),"")</f>
        <v>43952</v>
      </c>
      <c r="J26" s="119"/>
      <c r="K26" s="1372"/>
      <c r="L26" s="1373" t="s">
        <v>123</v>
      </c>
      <c r="M26" s="110" t="s">
        <v>84</v>
      </c>
      <c r="N26" s="95">
        <v>1997.0</v>
      </c>
      <c r="O26" s="95" t="s">
        <v>124</v>
      </c>
      <c r="P26" s="119" t="s">
        <v>125</v>
      </c>
      <c r="Q26" s="110" t="s">
        <v>126</v>
      </c>
      <c r="R26" s="110" t="s">
        <v>96</v>
      </c>
    </row>
    <row r="27" ht="13.5" customHeight="1">
      <c r="A27" s="80">
        <v>2.0</v>
      </c>
      <c r="B27" s="84" t="s">
        <v>127</v>
      </c>
      <c r="C27" s="95" t="s">
        <v>1438</v>
      </c>
      <c r="D27" s="95" t="s">
        <v>8266</v>
      </c>
      <c r="E27" s="115" t="s">
        <v>1438</v>
      </c>
      <c r="F27" s="86" t="s">
        <v>128</v>
      </c>
      <c r="G27" s="80" t="s">
        <v>44</v>
      </c>
      <c r="H27" s="99">
        <v>43837.0</v>
      </c>
      <c r="I27" s="1368">
        <f>IFERROR(VLOOKUP(B27, '02. MM-KLH'!$B:$K, 9, FALSE),"")</f>
        <v>43837</v>
      </c>
      <c r="J27" s="106"/>
      <c r="K27" s="1369"/>
      <c r="L27" s="1370" t="s">
        <v>123</v>
      </c>
      <c r="M27" s="108" t="s">
        <v>84</v>
      </c>
      <c r="N27" s="80">
        <v>2002.0</v>
      </c>
      <c r="O27" s="80" t="s">
        <v>129</v>
      </c>
      <c r="P27" s="106" t="s">
        <v>130</v>
      </c>
      <c r="Q27" s="108" t="s">
        <v>131</v>
      </c>
      <c r="R27" s="110" t="s">
        <v>96</v>
      </c>
    </row>
    <row r="28" ht="13.5" customHeight="1">
      <c r="A28" s="80">
        <v>3.0</v>
      </c>
      <c r="B28" s="113" t="s">
        <v>132</v>
      </c>
      <c r="C28" s="95" t="s">
        <v>1455</v>
      </c>
      <c r="D28" s="95" t="s">
        <v>8267</v>
      </c>
      <c r="E28" s="115" t="s">
        <v>1455</v>
      </c>
      <c r="F28" s="115" t="s">
        <v>133</v>
      </c>
      <c r="G28" s="95" t="s">
        <v>44</v>
      </c>
      <c r="H28" s="116">
        <v>44200.0</v>
      </c>
      <c r="I28" s="1368">
        <f>IFERROR(VLOOKUP(B28, '02. MM-KLH'!$B:$K, 9, FALSE),"")</f>
        <v>44287</v>
      </c>
      <c r="J28" s="117">
        <v>0.7</v>
      </c>
      <c r="K28" s="1372"/>
      <c r="L28" s="1373" t="s">
        <v>123</v>
      </c>
      <c r="M28" s="110" t="s">
        <v>84</v>
      </c>
      <c r="N28" s="95">
        <v>1992.0</v>
      </c>
      <c r="O28" s="95" t="s">
        <v>135</v>
      </c>
      <c r="P28" s="119" t="s">
        <v>130</v>
      </c>
      <c r="Q28" s="110" t="s">
        <v>136</v>
      </c>
      <c r="R28" s="110" t="s">
        <v>137</v>
      </c>
    </row>
    <row r="29" ht="13.5" customHeight="1">
      <c r="A29" s="80"/>
      <c r="B29" s="113"/>
      <c r="C29" s="95"/>
      <c r="D29" s="95"/>
      <c r="E29" s="115"/>
      <c r="F29" s="115"/>
      <c r="G29" s="95"/>
      <c r="H29" s="116"/>
      <c r="I29" s="1368"/>
      <c r="J29" s="117"/>
      <c r="K29" s="1372"/>
      <c r="L29" s="1373"/>
      <c r="M29" s="110"/>
      <c r="N29" s="95"/>
      <c r="O29" s="95"/>
      <c r="P29" s="119"/>
      <c r="Q29" s="110"/>
      <c r="R29" s="110"/>
    </row>
    <row r="30" ht="13.5" customHeight="1">
      <c r="A30" s="80"/>
      <c r="B30" s="113"/>
      <c r="C30" s="95"/>
      <c r="D30" s="95"/>
      <c r="E30" s="115"/>
      <c r="F30" s="115"/>
      <c r="G30" s="95"/>
      <c r="H30" s="116"/>
      <c r="I30" s="1368"/>
      <c r="J30" s="117"/>
      <c r="K30" s="1372"/>
      <c r="L30" s="1373"/>
      <c r="M30" s="110"/>
      <c r="N30" s="95"/>
      <c r="O30" s="95"/>
      <c r="P30" s="119"/>
      <c r="Q30" s="110"/>
      <c r="R30" s="110"/>
    </row>
    <row r="31" ht="13.5" customHeight="1">
      <c r="A31" s="151" t="s">
        <v>515</v>
      </c>
      <c r="B31" s="152" t="s">
        <v>2237</v>
      </c>
      <c r="C31" s="72"/>
      <c r="D31" s="72"/>
      <c r="E31" s="75"/>
      <c r="F31" s="72"/>
      <c r="G31" s="75"/>
      <c r="H31" s="79"/>
      <c r="I31" s="79"/>
      <c r="J31" s="72"/>
      <c r="K31" s="1366"/>
      <c r="L31" s="1367"/>
      <c r="M31" s="75"/>
      <c r="N31" s="75"/>
      <c r="O31" s="75"/>
      <c r="P31" s="75"/>
      <c r="Q31" s="75"/>
      <c r="R31" s="75"/>
    </row>
    <row r="32" ht="13.5" customHeight="1">
      <c r="A32" s="80">
        <v>1.0</v>
      </c>
      <c r="B32" s="84" t="s">
        <v>2403</v>
      </c>
      <c r="C32" s="95" t="s">
        <v>5735</v>
      </c>
      <c r="D32" s="95" t="s">
        <v>6643</v>
      </c>
      <c r="E32" s="570"/>
      <c r="F32" s="86" t="s">
        <v>146</v>
      </c>
      <c r="G32" s="80" t="s">
        <v>44</v>
      </c>
      <c r="H32" s="99">
        <v>44198.0</v>
      </c>
      <c r="I32" s="1368" t="str">
        <f>IFERROR(VLOOKUP(B32, '02. MM-KLH'!$B:$K, 9, FALSE),"")</f>
        <v/>
      </c>
      <c r="J32" s="106"/>
      <c r="K32" s="1369"/>
      <c r="L32" s="1370" t="s">
        <v>147</v>
      </c>
      <c r="M32" s="108" t="s">
        <v>148</v>
      </c>
      <c r="N32" s="80">
        <v>2018.0</v>
      </c>
      <c r="O32" s="80" t="s">
        <v>8269</v>
      </c>
      <c r="P32" s="106" t="s">
        <v>150</v>
      </c>
      <c r="Q32" s="108" t="s">
        <v>2405</v>
      </c>
      <c r="R32" s="110" t="s">
        <v>96</v>
      </c>
    </row>
    <row r="33" ht="13.5" customHeight="1">
      <c r="A33" s="80">
        <v>2.0</v>
      </c>
      <c r="B33" s="84" t="s">
        <v>145</v>
      </c>
      <c r="C33" s="95" t="s">
        <v>5736</v>
      </c>
      <c r="D33" s="95" t="s">
        <v>8270</v>
      </c>
      <c r="E33" s="570"/>
      <c r="F33" s="86" t="s">
        <v>146</v>
      </c>
      <c r="G33" s="80" t="s">
        <v>44</v>
      </c>
      <c r="H33" s="99"/>
      <c r="I33" s="80" t="str">
        <f>IFERROR(VLOOKUP(B33, '02. MM-KLH'!$B:$K, 9, FALSE),"")</f>
        <v/>
      </c>
      <c r="J33" s="106"/>
      <c r="K33" s="1369"/>
      <c r="L33" s="1370" t="s">
        <v>147</v>
      </c>
      <c r="M33" s="108" t="s">
        <v>148</v>
      </c>
      <c r="N33" s="80">
        <v>2018.0</v>
      </c>
      <c r="O33" s="80" t="s">
        <v>8269</v>
      </c>
      <c r="P33" s="106" t="s">
        <v>150</v>
      </c>
      <c r="Q33" s="108" t="s">
        <v>151</v>
      </c>
      <c r="R33" s="110" t="s">
        <v>96</v>
      </c>
    </row>
    <row r="34">
      <c r="A34" s="80">
        <v>3.0</v>
      </c>
      <c r="B34" s="86" t="s">
        <v>8271</v>
      </c>
      <c r="C34" s="95" t="s">
        <v>918</v>
      </c>
      <c r="D34" s="95" t="s">
        <v>918</v>
      </c>
      <c r="E34" s="115"/>
      <c r="F34" s="86" t="s">
        <v>8272</v>
      </c>
      <c r="G34" s="80" t="s">
        <v>44</v>
      </c>
      <c r="H34" s="99">
        <v>45632.0</v>
      </c>
      <c r="I34" s="80" t="str">
        <f>IFERROR(VLOOKUP(B34, '02. MM-KLH'!$B:$K, 9, FALSE),"")</f>
        <v/>
      </c>
      <c r="J34" s="102">
        <v>1.0</v>
      </c>
      <c r="K34" s="1383" t="s">
        <v>8273</v>
      </c>
      <c r="L34" s="1387" t="s">
        <v>743</v>
      </c>
      <c r="M34" s="108" t="s">
        <v>148</v>
      </c>
      <c r="N34" s="80">
        <v>2024.0</v>
      </c>
      <c r="O34" s="80" t="s">
        <v>8274</v>
      </c>
      <c r="P34" s="80" t="s">
        <v>922</v>
      </c>
      <c r="Q34" s="108" t="s">
        <v>923</v>
      </c>
      <c r="R34" s="110" t="s">
        <v>924</v>
      </c>
    </row>
    <row r="35" ht="13.5" customHeight="1">
      <c r="A35" s="80">
        <v>4.0</v>
      </c>
      <c r="B35" s="86" t="s">
        <v>8275</v>
      </c>
      <c r="C35" s="95" t="s">
        <v>927</v>
      </c>
      <c r="D35" s="95" t="s">
        <v>927</v>
      </c>
      <c r="E35" s="115"/>
      <c r="F35" s="86" t="s">
        <v>8272</v>
      </c>
      <c r="G35" s="80" t="s">
        <v>44</v>
      </c>
      <c r="H35" s="99">
        <v>45632.0</v>
      </c>
      <c r="I35" s="80" t="str">
        <f>IFERROR(VLOOKUP(B35, '02. MM-KLH'!$B:$K, 9, FALSE),"")</f>
        <v/>
      </c>
      <c r="J35" s="102">
        <v>1.0</v>
      </c>
      <c r="K35" s="1383" t="s">
        <v>8273</v>
      </c>
      <c r="L35" s="1387" t="s">
        <v>743</v>
      </c>
      <c r="M35" s="108" t="s">
        <v>148</v>
      </c>
      <c r="N35" s="80">
        <v>2024.0</v>
      </c>
      <c r="O35" s="80" t="s">
        <v>8274</v>
      </c>
      <c r="P35" s="80" t="s">
        <v>922</v>
      </c>
      <c r="Q35" s="108" t="s">
        <v>928</v>
      </c>
      <c r="R35" s="110" t="s">
        <v>929</v>
      </c>
    </row>
    <row r="36" ht="13.5" customHeight="1">
      <c r="A36" s="80">
        <v>5.0</v>
      </c>
      <c r="B36" s="86" t="s">
        <v>8276</v>
      </c>
      <c r="C36" s="95" t="s">
        <v>932</v>
      </c>
      <c r="D36" s="95" t="s">
        <v>932</v>
      </c>
      <c r="E36" s="115"/>
      <c r="F36" s="86" t="s">
        <v>8272</v>
      </c>
      <c r="G36" s="80" t="s">
        <v>44</v>
      </c>
      <c r="H36" s="99">
        <v>45632.0</v>
      </c>
      <c r="I36" s="80" t="str">
        <f>IFERROR(VLOOKUP(B36, '02. MM-KLH'!$B:$K, 9, FALSE),"")</f>
        <v/>
      </c>
      <c r="J36" s="102">
        <v>1.0</v>
      </c>
      <c r="K36" s="1383" t="s">
        <v>8273</v>
      </c>
      <c r="L36" s="1387" t="s">
        <v>743</v>
      </c>
      <c r="M36" s="108" t="s">
        <v>148</v>
      </c>
      <c r="N36" s="80">
        <v>2024.0</v>
      </c>
      <c r="O36" s="80" t="s">
        <v>8274</v>
      </c>
      <c r="P36" s="80" t="s">
        <v>922</v>
      </c>
      <c r="Q36" s="108" t="s">
        <v>934</v>
      </c>
      <c r="R36" s="110" t="s">
        <v>935</v>
      </c>
    </row>
    <row r="37" ht="13.5" customHeight="1">
      <c r="A37" s="80">
        <v>6.0</v>
      </c>
      <c r="B37" s="86" t="s">
        <v>8277</v>
      </c>
      <c r="C37" s="95" t="s">
        <v>938</v>
      </c>
      <c r="D37" s="95" t="s">
        <v>938</v>
      </c>
      <c r="E37" s="115"/>
      <c r="F37" s="86" t="s">
        <v>8272</v>
      </c>
      <c r="G37" s="80" t="s">
        <v>44</v>
      </c>
      <c r="H37" s="99">
        <v>45632.0</v>
      </c>
      <c r="I37" s="80" t="str">
        <f>IFERROR(VLOOKUP(B37, '02. MM-KLH'!$B:$K, 9, FALSE),"")</f>
        <v/>
      </c>
      <c r="J37" s="102">
        <v>1.0</v>
      </c>
      <c r="K37" s="1383" t="s">
        <v>8273</v>
      </c>
      <c r="L37" s="1387" t="s">
        <v>743</v>
      </c>
      <c r="M37" s="108" t="s">
        <v>148</v>
      </c>
      <c r="N37" s="80">
        <v>2024.0</v>
      </c>
      <c r="O37" s="80" t="s">
        <v>8274</v>
      </c>
      <c r="P37" s="80" t="s">
        <v>922</v>
      </c>
      <c r="Q37" s="108" t="s">
        <v>939</v>
      </c>
      <c r="R37" s="110" t="s">
        <v>940</v>
      </c>
    </row>
    <row r="38" ht="13.5" customHeight="1">
      <c r="A38" s="80">
        <v>7.0</v>
      </c>
      <c r="B38" s="113" t="s">
        <v>1192</v>
      </c>
      <c r="C38" s="95" t="s">
        <v>6679</v>
      </c>
      <c r="D38" s="95"/>
      <c r="E38" s="115"/>
      <c r="F38" s="115" t="s">
        <v>8278</v>
      </c>
      <c r="G38" s="95" t="s">
        <v>44</v>
      </c>
      <c r="H38" s="95" t="s">
        <v>1193</v>
      </c>
      <c r="I38" s="80" t="str">
        <f>IFERROR(VLOOKUP(B38, '02. MM-KLH'!$B:$K, 9, FALSE),"")</f>
        <v/>
      </c>
      <c r="J38" s="119"/>
      <c r="K38" s="1388" t="s">
        <v>8279</v>
      </c>
      <c r="L38" s="1373" t="s">
        <v>300</v>
      </c>
      <c r="M38" s="110" t="s">
        <v>148</v>
      </c>
      <c r="N38" s="95">
        <v>2010.0</v>
      </c>
      <c r="O38" s="80" t="s">
        <v>1195</v>
      </c>
      <c r="P38" s="119" t="s">
        <v>413</v>
      </c>
      <c r="Q38" s="110" t="s">
        <v>6682</v>
      </c>
      <c r="R38" s="110" t="s">
        <v>96</v>
      </c>
    </row>
    <row r="39" ht="13.5" customHeight="1">
      <c r="A39" s="80">
        <v>8.0</v>
      </c>
      <c r="B39" s="84" t="s">
        <v>908</v>
      </c>
      <c r="C39" s="95" t="s">
        <v>6536</v>
      </c>
      <c r="D39" s="95"/>
      <c r="E39" s="115"/>
      <c r="F39" s="86" t="s">
        <v>910</v>
      </c>
      <c r="G39" s="80" t="s">
        <v>858</v>
      </c>
      <c r="H39" s="99"/>
      <c r="I39" s="80" t="str">
        <f>IFERROR(VLOOKUP(B39, '02. MM-KLH'!$B:$K, 9, FALSE),"")</f>
        <v/>
      </c>
      <c r="J39" s="106"/>
      <c r="K39" s="1369"/>
      <c r="L39" s="1370" t="s">
        <v>911</v>
      </c>
      <c r="M39" s="108" t="s">
        <v>912</v>
      </c>
      <c r="N39" s="80"/>
      <c r="O39" s="80"/>
      <c r="P39" s="106" t="s">
        <v>792</v>
      </c>
      <c r="Q39" s="108">
        <v>113819.0</v>
      </c>
      <c r="R39" s="110" t="s">
        <v>96</v>
      </c>
    </row>
    <row r="40" ht="13.5" customHeight="1">
      <c r="A40" s="80">
        <v>9.0</v>
      </c>
      <c r="B40" s="84" t="s">
        <v>913</v>
      </c>
      <c r="C40" s="95" t="s">
        <v>6538</v>
      </c>
      <c r="D40" s="95"/>
      <c r="E40" s="115"/>
      <c r="F40" s="86" t="s">
        <v>910</v>
      </c>
      <c r="G40" s="80" t="s">
        <v>858</v>
      </c>
      <c r="H40" s="80" t="s">
        <v>915</v>
      </c>
      <c r="I40" s="80" t="str">
        <f>IFERROR(VLOOKUP(B40, '02. MM-KLH'!$B:$K, 9, FALSE),"")</f>
        <v>13/05/2024</v>
      </c>
      <c r="J40" s="106"/>
      <c r="K40" s="1369"/>
      <c r="L40" s="1370" t="s">
        <v>911</v>
      </c>
      <c r="M40" s="108" t="s">
        <v>912</v>
      </c>
      <c r="N40" s="80"/>
      <c r="O40" s="80"/>
      <c r="P40" s="106" t="s">
        <v>792</v>
      </c>
      <c r="Q40" s="108">
        <v>78504.0</v>
      </c>
      <c r="R40" s="110" t="s">
        <v>96</v>
      </c>
    </row>
    <row r="41" ht="13.5" customHeight="1">
      <c r="A41" s="80">
        <v>10.0</v>
      </c>
      <c r="B41" s="84" t="s">
        <v>3101</v>
      </c>
      <c r="C41" s="95" t="s">
        <v>6494</v>
      </c>
      <c r="D41" s="1389" t="s">
        <v>5735</v>
      </c>
      <c r="E41" s="1390"/>
      <c r="F41" s="86" t="s">
        <v>910</v>
      </c>
      <c r="G41" s="1389" t="s">
        <v>1010</v>
      </c>
      <c r="H41" s="1391"/>
      <c r="I41" s="80" t="str">
        <f>IFERROR(VLOOKUP(B41, '02. MM-KLH'!$B:$K, 9, FALSE),"")</f>
        <v/>
      </c>
      <c r="J41" s="1390"/>
      <c r="K41" s="1392"/>
      <c r="L41" s="1393" t="s">
        <v>911</v>
      </c>
      <c r="M41" s="1393" t="s">
        <v>912</v>
      </c>
      <c r="N41" s="1390"/>
      <c r="O41" s="1390"/>
      <c r="P41" s="1389" t="s">
        <v>792</v>
      </c>
      <c r="Q41" s="1390"/>
      <c r="R41" s="1393" t="s">
        <v>96</v>
      </c>
    </row>
    <row r="42" ht="13.5" customHeight="1">
      <c r="A42" s="80">
        <v>11.0</v>
      </c>
      <c r="B42" s="84" t="s">
        <v>3097</v>
      </c>
      <c r="C42" s="95" t="s">
        <v>6492</v>
      </c>
      <c r="D42" s="1394" t="s">
        <v>5735</v>
      </c>
      <c r="E42" s="1395"/>
      <c r="F42" s="86" t="s">
        <v>910</v>
      </c>
      <c r="G42" s="1394" t="s">
        <v>1120</v>
      </c>
      <c r="H42" s="1396"/>
      <c r="I42" s="80" t="str">
        <f>IFERROR(VLOOKUP(B42, '02. MM-KLH'!$B:$K, 9, FALSE),"")</f>
        <v/>
      </c>
      <c r="J42" s="1395"/>
      <c r="K42" s="1397"/>
      <c r="L42" s="1398" t="s">
        <v>911</v>
      </c>
      <c r="M42" s="1398" t="s">
        <v>912</v>
      </c>
      <c r="N42" s="1395"/>
      <c r="O42" s="1395"/>
      <c r="P42" s="1394" t="s">
        <v>792</v>
      </c>
      <c r="Q42" s="1395"/>
      <c r="R42" s="1398" t="s">
        <v>96</v>
      </c>
    </row>
    <row r="43" ht="13.5" customHeight="1">
      <c r="A43" s="80">
        <v>12.0</v>
      </c>
      <c r="B43" s="84" t="s">
        <v>3099</v>
      </c>
      <c r="C43" s="95" t="s">
        <v>6493</v>
      </c>
      <c r="D43" s="95"/>
      <c r="E43" s="115"/>
      <c r="F43" s="86" t="s">
        <v>910</v>
      </c>
      <c r="G43" s="95" t="s">
        <v>1120</v>
      </c>
      <c r="H43" s="116"/>
      <c r="I43" s="80" t="str">
        <f>IFERROR(VLOOKUP(B43, '02. MM-KLH'!$B:$K, 9, FALSE),"")</f>
        <v/>
      </c>
      <c r="J43" s="119"/>
      <c r="K43" s="1372"/>
      <c r="L43" s="1373" t="s">
        <v>911</v>
      </c>
      <c r="M43" s="110" t="s">
        <v>912</v>
      </c>
      <c r="N43" s="95"/>
      <c r="O43" s="95"/>
      <c r="P43" s="119" t="s">
        <v>792</v>
      </c>
      <c r="Q43" s="110"/>
      <c r="R43" s="110" t="s">
        <v>96</v>
      </c>
    </row>
    <row r="44" ht="13.5" customHeight="1">
      <c r="A44" s="80">
        <v>13.0</v>
      </c>
      <c r="B44" s="86" t="s">
        <v>2362</v>
      </c>
      <c r="C44" s="95" t="s">
        <v>6643</v>
      </c>
      <c r="D44" s="95"/>
      <c r="E44" s="115"/>
      <c r="F44" s="86" t="s">
        <v>2360</v>
      </c>
      <c r="G44" s="80" t="s">
        <v>64</v>
      </c>
      <c r="H44" s="99"/>
      <c r="I44" s="80" t="str">
        <f>IFERROR(VLOOKUP(B44, '02. MM-KLH'!$B:$K, 9, FALSE),"")</f>
        <v/>
      </c>
      <c r="J44" s="106"/>
      <c r="K44" s="1371" t="s">
        <v>4312</v>
      </c>
      <c r="L44" s="1370" t="s">
        <v>147</v>
      </c>
      <c r="M44" s="108" t="s">
        <v>148</v>
      </c>
      <c r="N44" s="80">
        <v>2012.0</v>
      </c>
      <c r="O44" s="80" t="s">
        <v>2361</v>
      </c>
      <c r="P44" s="106" t="s">
        <v>8280</v>
      </c>
      <c r="Q44" s="108" t="s">
        <v>2365</v>
      </c>
      <c r="R44" s="110" t="s">
        <v>96</v>
      </c>
    </row>
    <row r="45" ht="13.5" customHeight="1">
      <c r="A45" s="80">
        <v>14.0</v>
      </c>
      <c r="B45" s="86" t="s">
        <v>2366</v>
      </c>
      <c r="C45" s="95" t="s">
        <v>5751</v>
      </c>
      <c r="D45" s="95" t="s">
        <v>918</v>
      </c>
      <c r="E45" s="115" t="s">
        <v>5751</v>
      </c>
      <c r="F45" s="115" t="s">
        <v>2360</v>
      </c>
      <c r="G45" s="95" t="s">
        <v>64</v>
      </c>
      <c r="H45" s="116">
        <v>44114.0</v>
      </c>
      <c r="I45" s="80">
        <f>IFERROR(VLOOKUP(B45, '02. MM-KLH'!$B:$K, 9, FALSE),"")</f>
        <v>44114</v>
      </c>
      <c r="J45" s="117">
        <v>0.65</v>
      </c>
      <c r="K45" s="1388" t="s">
        <v>4312</v>
      </c>
      <c r="L45" s="1373" t="s">
        <v>147</v>
      </c>
      <c r="M45" s="110" t="s">
        <v>148</v>
      </c>
      <c r="N45" s="95">
        <v>2012.0</v>
      </c>
      <c r="O45" s="95" t="s">
        <v>2361</v>
      </c>
      <c r="P45" s="119" t="s">
        <v>8280</v>
      </c>
      <c r="Q45" s="110" t="s">
        <v>2369</v>
      </c>
      <c r="R45" s="110" t="s">
        <v>96</v>
      </c>
    </row>
    <row r="46" ht="13.5" customHeight="1">
      <c r="A46" s="80">
        <v>15.0</v>
      </c>
      <c r="B46" s="86" t="s">
        <v>2375</v>
      </c>
      <c r="C46" s="95" t="s">
        <v>5753</v>
      </c>
      <c r="D46" s="95" t="s">
        <v>2176</v>
      </c>
      <c r="E46" s="115" t="s">
        <v>5753</v>
      </c>
      <c r="F46" s="86" t="s">
        <v>2170</v>
      </c>
      <c r="G46" s="80" t="s">
        <v>64</v>
      </c>
      <c r="H46" s="99">
        <v>44564.0</v>
      </c>
      <c r="I46" s="80">
        <f>IFERROR(VLOOKUP(B46, '02. MM-KLH'!$B:$K, 9, FALSE),"")</f>
        <v>44564</v>
      </c>
      <c r="J46" s="102">
        <v>0.79</v>
      </c>
      <c r="K46" s="1371" t="s">
        <v>4312</v>
      </c>
      <c r="L46" s="1370" t="s">
        <v>300</v>
      </c>
      <c r="M46" s="108" t="s">
        <v>148</v>
      </c>
      <c r="N46" s="80">
        <v>2021.0</v>
      </c>
      <c r="O46" s="80" t="s">
        <v>2372</v>
      </c>
      <c r="P46" s="106" t="s">
        <v>413</v>
      </c>
      <c r="Q46" s="108" t="s">
        <v>2376</v>
      </c>
      <c r="R46" s="110" t="s">
        <v>2377</v>
      </c>
    </row>
    <row r="47" ht="13.5" customHeight="1">
      <c r="A47" s="80">
        <v>16.0</v>
      </c>
      <c r="B47" s="86" t="s">
        <v>2788</v>
      </c>
      <c r="C47" s="95" t="s">
        <v>2789</v>
      </c>
      <c r="D47" s="95" t="s">
        <v>6536</v>
      </c>
      <c r="E47" s="115" t="s">
        <v>2789</v>
      </c>
      <c r="F47" s="86" t="s">
        <v>2170</v>
      </c>
      <c r="G47" s="80" t="s">
        <v>64</v>
      </c>
      <c r="H47" s="99">
        <v>44570.0</v>
      </c>
      <c r="I47" s="80" t="str">
        <f>IFERROR(VLOOKUP(B47, '02. MM-KLH'!$B:$K, 9, FALSE),"")</f>
        <v/>
      </c>
      <c r="J47" s="102">
        <v>0.76</v>
      </c>
      <c r="K47" s="1371" t="s">
        <v>4312</v>
      </c>
      <c r="L47" s="1370" t="s">
        <v>300</v>
      </c>
      <c r="M47" s="108" t="s">
        <v>148</v>
      </c>
      <c r="N47" s="80">
        <v>2021.0</v>
      </c>
      <c r="O47" s="80" t="s">
        <v>2372</v>
      </c>
      <c r="P47" s="106" t="s">
        <v>413</v>
      </c>
      <c r="Q47" s="108">
        <v>49596.0</v>
      </c>
      <c r="R47" s="110" t="s">
        <v>96</v>
      </c>
    </row>
    <row r="48" ht="13.5" customHeight="1">
      <c r="A48" s="80">
        <v>17.0</v>
      </c>
      <c r="B48" s="86" t="s">
        <v>2381</v>
      </c>
      <c r="C48" s="95" t="s">
        <v>5755</v>
      </c>
      <c r="D48" s="95" t="s">
        <v>6538</v>
      </c>
      <c r="E48" s="115" t="s">
        <v>5755</v>
      </c>
      <c r="F48" s="86" t="s">
        <v>2170</v>
      </c>
      <c r="G48" s="80" t="s">
        <v>64</v>
      </c>
      <c r="H48" s="99">
        <v>44570.0</v>
      </c>
      <c r="I48" s="80">
        <f>IFERROR(VLOOKUP(B48, '02. MM-KLH'!$B:$K, 9, FALSE),"")</f>
        <v>44570</v>
      </c>
      <c r="J48" s="102">
        <v>0.86</v>
      </c>
      <c r="K48" s="1371" t="s">
        <v>4312</v>
      </c>
      <c r="L48" s="1370" t="s">
        <v>300</v>
      </c>
      <c r="M48" s="108" t="s">
        <v>148</v>
      </c>
      <c r="N48" s="80">
        <v>2021.0</v>
      </c>
      <c r="O48" s="80" t="s">
        <v>2372</v>
      </c>
      <c r="P48" s="106" t="s">
        <v>413</v>
      </c>
      <c r="Q48" s="108">
        <v>49595.0</v>
      </c>
      <c r="R48" s="110" t="s">
        <v>96</v>
      </c>
    </row>
    <row r="49" ht="13.5" customHeight="1">
      <c r="A49" s="80">
        <v>18.0</v>
      </c>
      <c r="B49" s="86" t="s">
        <v>2390</v>
      </c>
      <c r="C49" s="95" t="s">
        <v>5885</v>
      </c>
      <c r="D49" s="95"/>
      <c r="E49" s="115" t="s">
        <v>5885</v>
      </c>
      <c r="F49" s="86" t="s">
        <v>8281</v>
      </c>
      <c r="G49" s="80" t="s">
        <v>64</v>
      </c>
      <c r="H49" s="99"/>
      <c r="I49" s="80" t="str">
        <f>IFERROR(VLOOKUP(B49, '02. MM-KLH'!$B:$K, 9, FALSE),"")</f>
        <v/>
      </c>
      <c r="J49" s="106"/>
      <c r="K49" s="1371" t="s">
        <v>4312</v>
      </c>
      <c r="L49" s="1370" t="s">
        <v>6647</v>
      </c>
      <c r="M49" s="108" t="s">
        <v>148</v>
      </c>
      <c r="N49" s="80">
        <v>2018.0</v>
      </c>
      <c r="O49" s="80" t="s">
        <v>8269</v>
      </c>
      <c r="P49" s="106"/>
      <c r="Q49" s="108" t="s">
        <v>2392</v>
      </c>
      <c r="R49" s="110" t="s">
        <v>96</v>
      </c>
    </row>
    <row r="50" ht="13.5" customHeight="1">
      <c r="A50" s="80">
        <v>19.0</v>
      </c>
      <c r="B50" s="86" t="s">
        <v>1043</v>
      </c>
      <c r="C50" s="95" t="s">
        <v>6548</v>
      </c>
      <c r="D50" s="95"/>
      <c r="E50" s="115"/>
      <c r="F50" s="86" t="s">
        <v>8272</v>
      </c>
      <c r="G50" s="80" t="s">
        <v>7052</v>
      </c>
      <c r="H50" s="80" t="s">
        <v>966</v>
      </c>
      <c r="I50" s="80" t="str">
        <f>IFERROR(VLOOKUP(B50, '02. MM-KLH'!$B:$K, 9, FALSE),"")</f>
        <v>30/07/2024</v>
      </c>
      <c r="J50" s="102">
        <v>1.0</v>
      </c>
      <c r="K50" s="1371"/>
      <c r="L50" s="1370"/>
      <c r="M50" s="108"/>
      <c r="N50" s="80"/>
      <c r="O50" s="80"/>
      <c r="P50" s="106"/>
      <c r="Q50" s="108"/>
      <c r="R50" s="110"/>
    </row>
    <row r="51" ht="13.5" customHeight="1">
      <c r="A51" s="80">
        <v>20.0</v>
      </c>
      <c r="B51" s="86" t="s">
        <v>1048</v>
      </c>
      <c r="C51" s="95" t="s">
        <v>6550</v>
      </c>
      <c r="D51" s="95"/>
      <c r="E51" s="115"/>
      <c r="F51" s="86" t="s">
        <v>8272</v>
      </c>
      <c r="G51" s="80" t="s">
        <v>7052</v>
      </c>
      <c r="H51" s="80" t="s">
        <v>966</v>
      </c>
      <c r="I51" s="80" t="str">
        <f>IFERROR(VLOOKUP(B51, '02. MM-KLH'!$B:$K, 9, FALSE),"")</f>
        <v>30/07/2024</v>
      </c>
      <c r="J51" s="102">
        <v>1.0</v>
      </c>
      <c r="K51" s="1371"/>
      <c r="L51" s="1370"/>
      <c r="M51" s="108"/>
      <c r="N51" s="80"/>
      <c r="O51" s="80"/>
      <c r="P51" s="106"/>
      <c r="Q51" s="108"/>
      <c r="R51" s="110"/>
    </row>
    <row r="52" ht="13.5" customHeight="1">
      <c r="A52" s="80">
        <v>21.0</v>
      </c>
      <c r="B52" s="86" t="s">
        <v>1172</v>
      </c>
      <c r="C52" s="95" t="s">
        <v>6564</v>
      </c>
      <c r="D52" s="95"/>
      <c r="E52" s="115"/>
      <c r="F52" s="86" t="s">
        <v>8272</v>
      </c>
      <c r="G52" s="80" t="s">
        <v>7053</v>
      </c>
      <c r="H52" s="80" t="s">
        <v>966</v>
      </c>
      <c r="I52" s="80" t="str">
        <f>IFERROR(VLOOKUP(B52, '02. MM-KLH'!$B:$K, 9, FALSE),"")</f>
        <v>30/07/2024</v>
      </c>
      <c r="J52" s="102">
        <v>1.0</v>
      </c>
      <c r="K52" s="1371"/>
      <c r="L52" s="1370"/>
      <c r="M52" s="108"/>
      <c r="N52" s="80"/>
      <c r="O52" s="80"/>
      <c r="P52" s="106"/>
      <c r="Q52" s="108"/>
      <c r="R52" s="110"/>
    </row>
    <row r="53" ht="13.5" customHeight="1">
      <c r="A53" s="80">
        <v>22.0</v>
      </c>
      <c r="B53" s="86" t="s">
        <v>1177</v>
      </c>
      <c r="C53" s="95" t="s">
        <v>6565</v>
      </c>
      <c r="D53" s="95"/>
      <c r="E53" s="115"/>
      <c r="F53" s="86" t="s">
        <v>8272</v>
      </c>
      <c r="G53" s="80" t="s">
        <v>7053</v>
      </c>
      <c r="H53" s="80" t="s">
        <v>966</v>
      </c>
      <c r="I53" s="80" t="str">
        <f>IFERROR(VLOOKUP(B53, '02. MM-KLH'!$B:$K, 9, FALSE),"")</f>
        <v>30/07/2024</v>
      </c>
      <c r="J53" s="102">
        <v>1.0</v>
      </c>
      <c r="K53" s="1371"/>
      <c r="L53" s="1370"/>
      <c r="M53" s="108"/>
      <c r="N53" s="80"/>
      <c r="O53" s="80"/>
      <c r="P53" s="106"/>
      <c r="Q53" s="108"/>
      <c r="R53" s="110"/>
    </row>
    <row r="54" ht="13.5" customHeight="1">
      <c r="A54" s="80">
        <v>23.0</v>
      </c>
      <c r="B54" s="86" t="s">
        <v>294</v>
      </c>
      <c r="C54" s="95" t="s">
        <v>295</v>
      </c>
      <c r="D54" s="95"/>
      <c r="E54" s="115"/>
      <c r="F54" s="515" t="s">
        <v>8282</v>
      </c>
      <c r="G54" s="80" t="s">
        <v>44</v>
      </c>
      <c r="H54" s="80"/>
      <c r="I54" s="80"/>
      <c r="J54" s="102"/>
      <c r="K54" s="1371"/>
      <c r="L54" s="1370"/>
      <c r="M54" s="108"/>
      <c r="N54" s="80"/>
      <c r="O54" s="80"/>
      <c r="P54" s="106"/>
      <c r="Q54" s="108"/>
      <c r="R54" s="110"/>
    </row>
    <row r="55" ht="13.5" customHeight="1">
      <c r="A55" s="80">
        <v>24.0</v>
      </c>
      <c r="B55" s="86" t="s">
        <v>304</v>
      </c>
      <c r="C55" s="95" t="s">
        <v>305</v>
      </c>
      <c r="D55" s="95"/>
      <c r="E55" s="115"/>
      <c r="F55" s="515" t="s">
        <v>8282</v>
      </c>
      <c r="G55" s="80" t="s">
        <v>44</v>
      </c>
      <c r="H55" s="80"/>
      <c r="I55" s="80"/>
      <c r="J55" s="102"/>
      <c r="K55" s="1371"/>
      <c r="L55" s="1370"/>
      <c r="M55" s="108"/>
      <c r="N55" s="80"/>
      <c r="O55" s="80"/>
      <c r="P55" s="106"/>
      <c r="Q55" s="108"/>
      <c r="R55" s="110"/>
    </row>
    <row r="56" ht="13.5" customHeight="1">
      <c r="A56" s="80">
        <v>25.0</v>
      </c>
      <c r="B56" s="86" t="s">
        <v>620</v>
      </c>
      <c r="C56" s="95" t="s">
        <v>621</v>
      </c>
      <c r="D56" s="95"/>
      <c r="E56" s="115"/>
      <c r="F56" s="86" t="s">
        <v>157</v>
      </c>
      <c r="G56" s="80" t="s">
        <v>44</v>
      </c>
      <c r="H56" s="80"/>
      <c r="I56" s="80"/>
      <c r="J56" s="102"/>
      <c r="K56" s="1371"/>
      <c r="L56" s="1370"/>
      <c r="M56" s="108"/>
      <c r="N56" s="80"/>
      <c r="O56" s="80"/>
      <c r="P56" s="106"/>
      <c r="Q56" s="108"/>
      <c r="R56" s="110"/>
    </row>
    <row r="57" ht="13.5" customHeight="1">
      <c r="A57" s="80">
        <v>26.0</v>
      </c>
      <c r="B57" s="86" t="s">
        <v>626</v>
      </c>
      <c r="C57" s="95" t="s">
        <v>627</v>
      </c>
      <c r="D57" s="95"/>
      <c r="E57" s="115"/>
      <c r="F57" s="86" t="s">
        <v>157</v>
      </c>
      <c r="G57" s="80" t="s">
        <v>44</v>
      </c>
      <c r="H57" s="80"/>
      <c r="I57" s="80"/>
      <c r="J57" s="102"/>
      <c r="K57" s="1371"/>
      <c r="L57" s="1370"/>
      <c r="M57" s="108"/>
      <c r="N57" s="80"/>
      <c r="O57" s="80"/>
      <c r="P57" s="106"/>
      <c r="Q57" s="108"/>
      <c r="R57" s="110"/>
    </row>
    <row r="58" ht="13.5" customHeight="1">
      <c r="A58" s="80">
        <v>27.0</v>
      </c>
      <c r="B58" s="86" t="s">
        <v>178</v>
      </c>
      <c r="C58" s="95" t="s">
        <v>179</v>
      </c>
      <c r="D58" s="95"/>
      <c r="E58" s="115"/>
      <c r="F58" s="86" t="s">
        <v>157</v>
      </c>
      <c r="G58" s="80" t="s">
        <v>44</v>
      </c>
      <c r="H58" s="80"/>
      <c r="I58" s="80"/>
      <c r="J58" s="102"/>
      <c r="K58" s="1371"/>
      <c r="L58" s="1370"/>
      <c r="M58" s="108"/>
      <c r="N58" s="80"/>
      <c r="O58" s="80"/>
      <c r="P58" s="106"/>
      <c r="Q58" s="108"/>
      <c r="R58" s="110"/>
    </row>
    <row r="59" ht="13.5" customHeight="1">
      <c r="A59" s="80"/>
      <c r="B59" s="86" t="s">
        <v>310</v>
      </c>
      <c r="C59" s="95" t="s">
        <v>311</v>
      </c>
      <c r="D59" s="95"/>
      <c r="E59" s="115"/>
      <c r="F59" s="86"/>
      <c r="G59" s="80"/>
      <c r="H59" s="80"/>
      <c r="I59" s="80"/>
      <c r="J59" s="102"/>
      <c r="K59" s="1371"/>
      <c r="L59" s="1370"/>
      <c r="M59" s="108"/>
      <c r="N59" s="80"/>
      <c r="O59" s="80"/>
      <c r="P59" s="106"/>
      <c r="Q59" s="108"/>
      <c r="R59" s="110"/>
    </row>
    <row r="60" ht="13.5" customHeight="1">
      <c r="A60" s="80"/>
      <c r="B60" s="86" t="s">
        <v>318</v>
      </c>
      <c r="C60" s="95" t="s">
        <v>319</v>
      </c>
      <c r="D60" s="95"/>
      <c r="E60" s="115"/>
      <c r="F60" s="86"/>
      <c r="G60" s="80"/>
      <c r="H60" s="80"/>
      <c r="I60" s="80"/>
      <c r="J60" s="102"/>
      <c r="K60" s="1371"/>
      <c r="L60" s="1370"/>
      <c r="M60" s="108"/>
      <c r="N60" s="80"/>
      <c r="O60" s="80"/>
      <c r="P60" s="106"/>
      <c r="Q60" s="108"/>
      <c r="R60" s="110"/>
    </row>
    <row r="61" ht="13.5" customHeight="1">
      <c r="A61" s="80"/>
      <c r="B61" s="86" t="s">
        <v>323</v>
      </c>
      <c r="C61" s="95" t="s">
        <v>324</v>
      </c>
      <c r="D61" s="95"/>
      <c r="E61" s="115"/>
      <c r="F61" s="86"/>
      <c r="G61" s="80"/>
      <c r="H61" s="80"/>
      <c r="I61" s="80"/>
      <c r="J61" s="102"/>
      <c r="K61" s="1371"/>
      <c r="L61" s="1370"/>
      <c r="M61" s="108"/>
      <c r="N61" s="80"/>
      <c r="O61" s="80"/>
      <c r="P61" s="106"/>
      <c r="Q61" s="108"/>
      <c r="R61" s="110"/>
    </row>
    <row r="62" ht="13.5" customHeight="1">
      <c r="A62" s="80"/>
      <c r="B62" s="86" t="s">
        <v>327</v>
      </c>
      <c r="C62" s="95" t="s">
        <v>328</v>
      </c>
      <c r="D62" s="95"/>
      <c r="E62" s="115"/>
      <c r="F62" s="86"/>
      <c r="G62" s="80"/>
      <c r="H62" s="80"/>
      <c r="I62" s="80"/>
      <c r="J62" s="102"/>
      <c r="K62" s="1371"/>
      <c r="L62" s="1370"/>
      <c r="M62" s="108"/>
      <c r="N62" s="80"/>
      <c r="O62" s="80"/>
      <c r="P62" s="106"/>
      <c r="Q62" s="108"/>
      <c r="R62" s="110"/>
    </row>
    <row r="63" ht="13.5" customHeight="1">
      <c r="A63" s="80"/>
      <c r="B63" s="86" t="s">
        <v>332</v>
      </c>
      <c r="C63" s="95" t="s">
        <v>333</v>
      </c>
      <c r="D63" s="95"/>
      <c r="E63" s="115"/>
      <c r="F63" s="86"/>
      <c r="G63" s="80"/>
      <c r="H63" s="80"/>
      <c r="I63" s="80"/>
      <c r="J63" s="102"/>
      <c r="K63" s="1371"/>
      <c r="L63" s="1370"/>
      <c r="M63" s="108"/>
      <c r="N63" s="80"/>
      <c r="O63" s="80"/>
      <c r="P63" s="106"/>
      <c r="Q63" s="108"/>
      <c r="R63" s="110"/>
    </row>
    <row r="64" ht="13.5" customHeight="1">
      <c r="A64" s="80"/>
      <c r="B64" s="86" t="s">
        <v>341</v>
      </c>
      <c r="C64" s="95" t="s">
        <v>342</v>
      </c>
      <c r="D64" s="95"/>
      <c r="E64" s="115"/>
      <c r="F64" s="86"/>
      <c r="G64" s="80"/>
      <c r="H64" s="80"/>
      <c r="I64" s="80"/>
      <c r="J64" s="102"/>
      <c r="K64" s="1371"/>
      <c r="L64" s="1370"/>
      <c r="M64" s="108"/>
      <c r="N64" s="80"/>
      <c r="O64" s="80"/>
      <c r="P64" s="106"/>
      <c r="Q64" s="108"/>
      <c r="R64" s="110"/>
    </row>
    <row r="65" ht="13.5" customHeight="1">
      <c r="A65" s="80"/>
      <c r="B65" s="86" t="s">
        <v>346</v>
      </c>
      <c r="C65" s="95" t="s">
        <v>347</v>
      </c>
      <c r="D65" s="95"/>
      <c r="E65" s="115"/>
      <c r="F65" s="86"/>
      <c r="G65" s="80"/>
      <c r="H65" s="80"/>
      <c r="I65" s="80"/>
      <c r="J65" s="102"/>
      <c r="K65" s="1371"/>
      <c r="L65" s="1370"/>
      <c r="M65" s="108"/>
      <c r="N65" s="80"/>
      <c r="O65" s="80"/>
      <c r="P65" s="106"/>
      <c r="Q65" s="108"/>
      <c r="R65" s="110"/>
    </row>
    <row r="66" ht="13.5" customHeight="1">
      <c r="A66" s="80"/>
      <c r="B66" s="86" t="s">
        <v>351</v>
      </c>
      <c r="C66" s="95" t="s">
        <v>352</v>
      </c>
      <c r="D66" s="95"/>
      <c r="E66" s="115"/>
      <c r="F66" s="86"/>
      <c r="G66" s="80"/>
      <c r="H66" s="80"/>
      <c r="I66" s="80"/>
      <c r="J66" s="102"/>
      <c r="K66" s="1371"/>
      <c r="L66" s="1370"/>
      <c r="M66" s="108"/>
      <c r="N66" s="80"/>
      <c r="O66" s="80"/>
      <c r="P66" s="106"/>
      <c r="Q66" s="108"/>
      <c r="R66" s="110"/>
    </row>
    <row r="67" ht="13.5" customHeight="1">
      <c r="A67" s="80"/>
      <c r="B67" s="86" t="s">
        <v>357</v>
      </c>
      <c r="C67" s="95" t="s">
        <v>358</v>
      </c>
      <c r="D67" s="95"/>
      <c r="E67" s="115"/>
      <c r="F67" s="86"/>
      <c r="G67" s="80"/>
      <c r="H67" s="80"/>
      <c r="I67" s="80"/>
      <c r="J67" s="102"/>
      <c r="K67" s="1371"/>
      <c r="L67" s="1370"/>
      <c r="M67" s="108"/>
      <c r="N67" s="80"/>
      <c r="O67" s="80"/>
      <c r="P67" s="106"/>
      <c r="Q67" s="108"/>
      <c r="R67" s="110"/>
    </row>
    <row r="68" ht="13.5" customHeight="1">
      <c r="A68" s="80"/>
      <c r="B68" s="86" t="s">
        <v>363</v>
      </c>
      <c r="C68" s="95" t="s">
        <v>364</v>
      </c>
      <c r="D68" s="95"/>
      <c r="E68" s="115"/>
      <c r="F68" s="86"/>
      <c r="G68" s="80"/>
      <c r="H68" s="80"/>
      <c r="I68" s="80"/>
      <c r="J68" s="102"/>
      <c r="K68" s="1371"/>
      <c r="L68" s="1370"/>
      <c r="M68" s="108"/>
      <c r="N68" s="80"/>
      <c r="O68" s="80"/>
      <c r="P68" s="106"/>
      <c r="Q68" s="108"/>
      <c r="R68" s="110"/>
    </row>
    <row r="69" ht="13.5" customHeight="1">
      <c r="A69" s="80"/>
      <c r="B69" s="86"/>
      <c r="C69" s="95" t="s">
        <v>2783</v>
      </c>
      <c r="D69" s="95"/>
      <c r="E69" s="115"/>
      <c r="F69" s="86"/>
      <c r="G69" s="80"/>
      <c r="H69" s="80"/>
      <c r="I69" s="80"/>
      <c r="J69" s="102"/>
      <c r="K69" s="1371"/>
      <c r="L69" s="1370"/>
      <c r="M69" s="108"/>
      <c r="N69" s="80"/>
      <c r="O69" s="80"/>
      <c r="P69" s="106"/>
      <c r="Q69" s="108"/>
      <c r="R69" s="110"/>
    </row>
    <row r="70" ht="13.5" customHeight="1">
      <c r="A70" s="80"/>
      <c r="B70" s="86"/>
      <c r="C70" s="95" t="s">
        <v>657</v>
      </c>
      <c r="D70" s="95"/>
      <c r="E70" s="115"/>
      <c r="F70" s="86"/>
      <c r="G70" s="80"/>
      <c r="H70" s="80"/>
      <c r="I70" s="80"/>
      <c r="J70" s="102"/>
      <c r="K70" s="1371"/>
      <c r="L70" s="1370"/>
      <c r="M70" s="108"/>
      <c r="N70" s="80"/>
      <c r="O70" s="80"/>
      <c r="P70" s="106"/>
      <c r="Q70" s="108"/>
      <c r="R70" s="110"/>
    </row>
    <row r="71" ht="13.5" customHeight="1">
      <c r="A71" s="80"/>
      <c r="B71" s="86"/>
      <c r="C71" s="95" t="s">
        <v>1059</v>
      </c>
      <c r="D71" s="95"/>
      <c r="E71" s="115"/>
      <c r="F71" s="86"/>
      <c r="G71" s="80"/>
      <c r="H71" s="80"/>
      <c r="I71" s="80"/>
      <c r="J71" s="102"/>
      <c r="K71" s="1371"/>
      <c r="L71" s="1370"/>
      <c r="M71" s="108"/>
      <c r="N71" s="80"/>
      <c r="O71" s="80"/>
      <c r="P71" s="106"/>
      <c r="Q71" s="108"/>
      <c r="R71" s="110"/>
    </row>
    <row r="72" ht="13.5" customHeight="1">
      <c r="A72" s="80"/>
      <c r="B72" s="86"/>
      <c r="C72" s="95" t="s">
        <v>8283</v>
      </c>
      <c r="D72" s="95"/>
      <c r="E72" s="115"/>
      <c r="F72" s="86"/>
      <c r="G72" s="80"/>
      <c r="H72" s="80"/>
      <c r="I72" s="80"/>
      <c r="J72" s="102"/>
      <c r="K72" s="1371"/>
      <c r="L72" s="1370"/>
      <c r="M72" s="108"/>
      <c r="N72" s="80"/>
      <c r="O72" s="80"/>
      <c r="P72" s="106"/>
      <c r="Q72" s="108"/>
      <c r="R72" s="110"/>
    </row>
    <row r="73" ht="13.5" customHeight="1">
      <c r="A73" s="80"/>
      <c r="B73" s="86"/>
      <c r="C73" s="95" t="s">
        <v>8284</v>
      </c>
      <c r="D73" s="95"/>
      <c r="E73" s="115"/>
      <c r="F73" s="86"/>
      <c r="G73" s="80"/>
      <c r="H73" s="80"/>
      <c r="I73" s="80"/>
      <c r="J73" s="102"/>
      <c r="K73" s="1371"/>
      <c r="L73" s="1370"/>
      <c r="M73" s="108"/>
      <c r="N73" s="80"/>
      <c r="O73" s="80"/>
      <c r="P73" s="106"/>
      <c r="Q73" s="108"/>
      <c r="R73" s="110"/>
    </row>
    <row r="74" ht="13.5" customHeight="1">
      <c r="A74" s="80"/>
      <c r="B74" s="86"/>
      <c r="C74" s="95" t="s">
        <v>8285</v>
      </c>
      <c r="D74" s="95"/>
      <c r="E74" s="115"/>
      <c r="F74" s="86"/>
      <c r="G74" s="80"/>
      <c r="H74" s="80"/>
      <c r="I74" s="80"/>
      <c r="J74" s="102"/>
      <c r="K74" s="1371"/>
      <c r="L74" s="1370"/>
      <c r="M74" s="108"/>
      <c r="N74" s="80"/>
      <c r="O74" s="80"/>
      <c r="P74" s="106"/>
      <c r="Q74" s="108"/>
      <c r="R74" s="110"/>
    </row>
    <row r="75" ht="13.5" customHeight="1">
      <c r="A75" s="80"/>
      <c r="B75" s="86"/>
      <c r="C75" s="95"/>
      <c r="D75" s="95"/>
      <c r="E75" s="115"/>
      <c r="F75" s="86"/>
      <c r="G75" s="80"/>
      <c r="H75" s="80"/>
      <c r="I75" s="80"/>
      <c r="J75" s="102"/>
      <c r="K75" s="1371"/>
      <c r="L75" s="1370"/>
      <c r="M75" s="108"/>
      <c r="N75" s="80"/>
      <c r="O75" s="80"/>
      <c r="P75" s="106"/>
      <c r="Q75" s="108"/>
      <c r="R75" s="110"/>
    </row>
    <row r="76" ht="13.5" customHeight="1">
      <c r="A76" s="80"/>
      <c r="B76" s="86"/>
      <c r="C76" s="95"/>
      <c r="D76" s="95"/>
      <c r="E76" s="115"/>
      <c r="F76" s="86"/>
      <c r="G76" s="80"/>
      <c r="H76" s="80"/>
      <c r="I76" s="80"/>
      <c r="J76" s="102"/>
      <c r="K76" s="1371"/>
      <c r="L76" s="1370"/>
      <c r="M76" s="108"/>
      <c r="N76" s="80"/>
      <c r="O76" s="80"/>
      <c r="P76" s="106"/>
      <c r="Q76" s="108"/>
      <c r="R76" s="110"/>
    </row>
    <row r="77" ht="13.5" customHeight="1">
      <c r="A77" s="151" t="s">
        <v>8134</v>
      </c>
      <c r="B77" s="152" t="s">
        <v>2613</v>
      </c>
      <c r="C77" s="72"/>
      <c r="D77" s="72"/>
      <c r="E77" s="75"/>
      <c r="F77" s="72"/>
      <c r="G77" s="75"/>
      <c r="H77" s="79"/>
      <c r="I77" s="79"/>
      <c r="J77" s="72"/>
      <c r="K77" s="1366"/>
      <c r="L77" s="1367"/>
      <c r="M77" s="75"/>
      <c r="N77" s="75"/>
      <c r="O77" s="75"/>
      <c r="P77" s="75"/>
      <c r="Q77" s="75"/>
      <c r="R77" s="75"/>
    </row>
    <row r="78" ht="13.5" customHeight="1">
      <c r="A78" s="80">
        <v>1.0</v>
      </c>
      <c r="B78" s="84" t="s">
        <v>199</v>
      </c>
      <c r="C78" s="95" t="s">
        <v>5858</v>
      </c>
      <c r="D78" s="95" t="s">
        <v>8286</v>
      </c>
      <c r="E78" s="115" t="s">
        <v>5858</v>
      </c>
      <c r="F78" s="86" t="s">
        <v>2708</v>
      </c>
      <c r="G78" s="80" t="s">
        <v>44</v>
      </c>
      <c r="H78" s="99">
        <v>45261.0</v>
      </c>
      <c r="I78" s="80" t="str">
        <f>IFERROR(VLOOKUP(B78, '02. MM-KLH'!$B:$K, 9, FALSE),"")</f>
        <v> </v>
      </c>
      <c r="J78" s="102">
        <v>0.97</v>
      </c>
      <c r="K78" s="1369"/>
      <c r="L78" s="1370" t="s">
        <v>201</v>
      </c>
      <c r="M78" s="108" t="s">
        <v>148</v>
      </c>
      <c r="N78" s="80">
        <v>2022.0</v>
      </c>
      <c r="O78" s="80" t="s">
        <v>8287</v>
      </c>
      <c r="P78" s="106" t="s">
        <v>203</v>
      </c>
      <c r="Q78" s="108" t="s">
        <v>204</v>
      </c>
      <c r="R78" s="110" t="s">
        <v>205</v>
      </c>
    </row>
    <row r="79" ht="13.5" customHeight="1">
      <c r="A79" s="151" t="s">
        <v>8288</v>
      </c>
      <c r="B79" s="152" t="s">
        <v>1019</v>
      </c>
      <c r="C79" s="72"/>
      <c r="D79" s="72"/>
      <c r="E79" s="75"/>
      <c r="F79" s="72"/>
      <c r="G79" s="75"/>
      <c r="H79" s="79"/>
      <c r="I79" s="79"/>
      <c r="J79" s="72"/>
      <c r="K79" s="1366"/>
      <c r="L79" s="1367"/>
      <c r="M79" s="75"/>
      <c r="N79" s="75"/>
      <c r="O79" s="75"/>
      <c r="P79" s="75"/>
      <c r="Q79" s="75"/>
      <c r="R79" s="75"/>
    </row>
    <row r="80" ht="13.5" customHeight="1">
      <c r="A80" s="80">
        <v>1.0</v>
      </c>
      <c r="B80" s="113" t="s">
        <v>206</v>
      </c>
      <c r="C80" s="95" t="s">
        <v>1816</v>
      </c>
      <c r="D80" s="95" t="s">
        <v>8289</v>
      </c>
      <c r="E80" s="115" t="s">
        <v>1816</v>
      </c>
      <c r="F80" s="115" t="s">
        <v>207</v>
      </c>
      <c r="G80" s="95" t="s">
        <v>44</v>
      </c>
      <c r="H80" s="116">
        <v>44166.0</v>
      </c>
      <c r="I80" s="80">
        <f>IFERROR(VLOOKUP(B80, '02. MM-KLH'!$B:$K, 9, FALSE),"")</f>
        <v>44166</v>
      </c>
      <c r="J80" s="117">
        <v>0.67</v>
      </c>
      <c r="K80" s="1372"/>
      <c r="L80" s="1373" t="s">
        <v>123</v>
      </c>
      <c r="M80" s="110" t="s">
        <v>84</v>
      </c>
      <c r="N80" s="95">
        <v>1994.0</v>
      </c>
      <c r="O80" s="95" t="s">
        <v>208</v>
      </c>
      <c r="P80" s="119" t="s">
        <v>209</v>
      </c>
      <c r="Q80" s="110" t="s">
        <v>210</v>
      </c>
      <c r="R80" s="110" t="s">
        <v>211</v>
      </c>
    </row>
    <row r="81" ht="13.5" customHeight="1">
      <c r="A81" s="80">
        <v>2.0</v>
      </c>
      <c r="B81" s="84" t="s">
        <v>212</v>
      </c>
      <c r="C81" s="95" t="s">
        <v>1914</v>
      </c>
      <c r="D81" s="95" t="s">
        <v>8290</v>
      </c>
      <c r="E81" s="115" t="s">
        <v>1914</v>
      </c>
      <c r="F81" s="86" t="s">
        <v>213</v>
      </c>
      <c r="G81" s="80" t="s">
        <v>44</v>
      </c>
      <c r="H81" s="99">
        <v>43837.0</v>
      </c>
      <c r="I81" s="80">
        <f>IFERROR(VLOOKUP(B81, '02. MM-KLH'!$B:$K, 9, FALSE),"")</f>
        <v>43837</v>
      </c>
      <c r="J81" s="106"/>
      <c r="K81" s="1369"/>
      <c r="L81" s="1370" t="s">
        <v>123</v>
      </c>
      <c r="M81" s="108" t="s">
        <v>84</v>
      </c>
      <c r="N81" s="80">
        <v>2018.0</v>
      </c>
      <c r="O81" s="80" t="s">
        <v>214</v>
      </c>
      <c r="P81" s="106" t="s">
        <v>215</v>
      </c>
      <c r="Q81" s="108" t="s">
        <v>216</v>
      </c>
      <c r="R81" s="110" t="s">
        <v>96</v>
      </c>
    </row>
    <row r="82" ht="13.5" customHeight="1">
      <c r="A82" s="151" t="s">
        <v>8291</v>
      </c>
      <c r="B82" s="152" t="s">
        <v>1113</v>
      </c>
      <c r="C82" s="72"/>
      <c r="D82" s="72"/>
      <c r="E82" s="75"/>
      <c r="F82" s="72"/>
      <c r="G82" s="75"/>
      <c r="H82" s="79"/>
      <c r="I82" s="79"/>
      <c r="J82" s="72"/>
      <c r="K82" s="1366"/>
      <c r="L82" s="1367"/>
      <c r="M82" s="75"/>
      <c r="N82" s="75"/>
      <c r="O82" s="75"/>
      <c r="P82" s="75"/>
      <c r="Q82" s="75"/>
      <c r="R82" s="75"/>
    </row>
    <row r="83" ht="13.5" customHeight="1">
      <c r="A83" s="80">
        <v>1.0</v>
      </c>
      <c r="B83" s="84" t="s">
        <v>185</v>
      </c>
      <c r="C83" s="95" t="s">
        <v>1573</v>
      </c>
      <c r="D83" s="95"/>
      <c r="E83" s="115" t="s">
        <v>1573</v>
      </c>
      <c r="F83" s="86" t="s">
        <v>8292</v>
      </c>
      <c r="G83" s="80" t="s">
        <v>44</v>
      </c>
      <c r="H83" s="99">
        <v>43835.0</v>
      </c>
      <c r="I83" s="80">
        <f>IFERROR(VLOOKUP(B83, '02. MM-KLH'!$B:$K, 9, FALSE),"")</f>
        <v>43835</v>
      </c>
      <c r="J83" s="102">
        <v>0.67</v>
      </c>
      <c r="K83" s="1369"/>
      <c r="L83" s="1370" t="s">
        <v>187</v>
      </c>
      <c r="M83" s="108" t="s">
        <v>84</v>
      </c>
      <c r="N83" s="80">
        <v>2006.0</v>
      </c>
      <c r="O83" s="80" t="s">
        <v>188</v>
      </c>
      <c r="P83" s="106" t="s">
        <v>189</v>
      </c>
      <c r="Q83" s="108" t="s">
        <v>190</v>
      </c>
      <c r="R83" s="110" t="s">
        <v>96</v>
      </c>
    </row>
    <row r="84" ht="13.5" customHeight="1">
      <c r="A84" s="80">
        <v>2.0</v>
      </c>
      <c r="B84" s="84" t="s">
        <v>191</v>
      </c>
      <c r="C84" s="95" t="s">
        <v>1646</v>
      </c>
      <c r="D84" s="95"/>
      <c r="E84" s="115" t="s">
        <v>1646</v>
      </c>
      <c r="F84" s="86" t="s">
        <v>8293</v>
      </c>
      <c r="G84" s="80" t="s">
        <v>44</v>
      </c>
      <c r="H84" s="99"/>
      <c r="I84" s="80">
        <f>IFERROR(VLOOKUP(B84, '02. MM-KLH'!$B:$K, 9, FALSE),"")</f>
        <v>44136</v>
      </c>
      <c r="J84" s="102">
        <v>0.66</v>
      </c>
      <c r="K84" s="1369"/>
      <c r="L84" s="1370" t="s">
        <v>187</v>
      </c>
      <c r="M84" s="108" t="s">
        <v>84</v>
      </c>
      <c r="N84" s="80">
        <v>1990.0</v>
      </c>
      <c r="O84" s="80" t="s">
        <v>194</v>
      </c>
      <c r="P84" s="106" t="s">
        <v>195</v>
      </c>
      <c r="Q84" s="108" t="s">
        <v>196</v>
      </c>
      <c r="R84" s="110" t="s">
        <v>197</v>
      </c>
    </row>
    <row r="85" ht="13.5" customHeight="1">
      <c r="A85" s="80">
        <v>3.0</v>
      </c>
      <c r="B85" s="86" t="s">
        <v>256</v>
      </c>
      <c r="C85" s="95" t="s">
        <v>6467</v>
      </c>
      <c r="D85" s="95"/>
      <c r="E85" s="115"/>
      <c r="F85" s="86" t="s">
        <v>257</v>
      </c>
      <c r="G85" s="80" t="s">
        <v>8294</v>
      </c>
      <c r="H85" s="99">
        <v>45330.0</v>
      </c>
      <c r="I85" s="80">
        <f>IFERROR(VLOOKUP(B85, '02. MM-KLH'!$B:$K, 9, FALSE),"")</f>
        <v>45330</v>
      </c>
      <c r="J85" s="102"/>
      <c r="K85" s="1371" t="s">
        <v>8295</v>
      </c>
      <c r="L85" s="1370"/>
      <c r="M85" s="108"/>
      <c r="N85" s="80"/>
      <c r="O85" s="80"/>
      <c r="P85" s="106"/>
      <c r="Q85" s="108"/>
      <c r="R85" s="110"/>
    </row>
    <row r="86" ht="13.5" customHeight="1">
      <c r="A86" s="151" t="s">
        <v>8296</v>
      </c>
      <c r="B86" s="152" t="s">
        <v>5440</v>
      </c>
      <c r="C86" s="72"/>
      <c r="D86" s="72"/>
      <c r="E86" s="75"/>
      <c r="F86" s="72"/>
      <c r="G86" s="75"/>
      <c r="H86" s="79"/>
      <c r="I86" s="79"/>
      <c r="J86" s="72"/>
      <c r="K86" s="1366"/>
      <c r="L86" s="1367"/>
      <c r="M86" s="75"/>
      <c r="N86" s="75"/>
      <c r="O86" s="75"/>
      <c r="P86" s="75"/>
      <c r="Q86" s="75"/>
      <c r="R86" s="75"/>
    </row>
    <row r="87" ht="13.5" customHeight="1">
      <c r="A87" s="80">
        <v>1.0</v>
      </c>
      <c r="B87" s="84" t="s">
        <v>879</v>
      </c>
      <c r="C87" s="95" t="s">
        <v>5819</v>
      </c>
      <c r="D87" s="95" t="s">
        <v>2535</v>
      </c>
      <c r="E87" s="115" t="s">
        <v>5819</v>
      </c>
      <c r="F87" s="86" t="s">
        <v>880</v>
      </c>
      <c r="G87" s="80" t="s">
        <v>858</v>
      </c>
      <c r="H87" s="99"/>
      <c r="I87" s="80" t="str">
        <f>IFERROR(VLOOKUP(B87, '02. MM-KLH'!$B:$K, 9, FALSE),"")</f>
        <v/>
      </c>
      <c r="J87" s="106"/>
      <c r="K87" s="1369"/>
      <c r="L87" s="1370" t="s">
        <v>882</v>
      </c>
      <c r="M87" s="108" t="s">
        <v>883</v>
      </c>
      <c r="N87" s="80">
        <v>2019.0</v>
      </c>
      <c r="O87" s="80" t="s">
        <v>884</v>
      </c>
      <c r="P87" s="106" t="s">
        <v>885</v>
      </c>
      <c r="Q87" s="108">
        <v>1.5011901E9</v>
      </c>
      <c r="R87" s="110" t="s">
        <v>886</v>
      </c>
    </row>
    <row r="88" ht="13.5" customHeight="1">
      <c r="A88" s="80">
        <v>2.0</v>
      </c>
      <c r="B88" s="86" t="s">
        <v>1153</v>
      </c>
      <c r="C88" s="95" t="s">
        <v>5819</v>
      </c>
      <c r="D88" s="95" t="s">
        <v>2535</v>
      </c>
      <c r="E88" s="115" t="s">
        <v>5819</v>
      </c>
      <c r="F88" s="86" t="s">
        <v>8297</v>
      </c>
      <c r="G88" s="80" t="s">
        <v>1120</v>
      </c>
      <c r="H88" s="99"/>
      <c r="I88" s="80" t="str">
        <f>IFERROR(VLOOKUP(B88, '02. MM-KLH'!$B:$K, 9, FALSE),"")</f>
        <v/>
      </c>
      <c r="J88" s="102"/>
      <c r="K88" s="1371" t="s">
        <v>1156</v>
      </c>
      <c r="L88" s="1387" t="s">
        <v>1157</v>
      </c>
      <c r="M88" s="108" t="s">
        <v>260</v>
      </c>
      <c r="N88" s="80">
        <v>2022.0</v>
      </c>
      <c r="O88" s="80" t="s">
        <v>1158</v>
      </c>
      <c r="P88" s="80" t="s">
        <v>1159</v>
      </c>
      <c r="Q88" s="108" t="s">
        <v>1160</v>
      </c>
      <c r="R88" s="110" t="s">
        <v>1161</v>
      </c>
    </row>
    <row r="89" ht="13.5" customHeight="1">
      <c r="A89" s="80">
        <v>3.0</v>
      </c>
      <c r="B89" s="86" t="s">
        <v>1162</v>
      </c>
      <c r="C89" s="95" t="s">
        <v>5819</v>
      </c>
      <c r="D89" s="95" t="s">
        <v>8298</v>
      </c>
      <c r="E89" s="115" t="s">
        <v>5819</v>
      </c>
      <c r="F89" s="86" t="s">
        <v>8299</v>
      </c>
      <c r="G89" s="80" t="s">
        <v>1120</v>
      </c>
      <c r="H89" s="99"/>
      <c r="I89" s="80" t="str">
        <f>IFERROR(VLOOKUP(B89, '02. MM-KLH'!$B:$K, 9, FALSE),"")</f>
        <v/>
      </c>
      <c r="J89" s="102"/>
      <c r="K89" s="1371"/>
      <c r="L89" s="1387" t="s">
        <v>123</v>
      </c>
      <c r="M89" s="108" t="s">
        <v>222</v>
      </c>
      <c r="N89" s="80">
        <v>2008.0</v>
      </c>
      <c r="O89" s="80" t="s">
        <v>1163</v>
      </c>
      <c r="P89" s="80"/>
      <c r="Q89" s="108">
        <v>809168.0</v>
      </c>
      <c r="R89" s="201">
        <v>39630.0</v>
      </c>
    </row>
    <row r="90" ht="13.5" customHeight="1">
      <c r="A90" s="151" t="s">
        <v>8300</v>
      </c>
      <c r="B90" s="152" t="s">
        <v>4836</v>
      </c>
      <c r="C90" s="72"/>
      <c r="D90" s="72"/>
      <c r="E90" s="75"/>
      <c r="F90" s="72"/>
      <c r="G90" s="75"/>
      <c r="H90" s="79"/>
      <c r="I90" s="79"/>
      <c r="J90" s="72"/>
      <c r="K90" s="1366"/>
      <c r="L90" s="1367"/>
      <c r="M90" s="75"/>
      <c r="N90" s="75"/>
      <c r="O90" s="75"/>
      <c r="P90" s="75"/>
      <c r="Q90" s="75"/>
      <c r="R90" s="75"/>
    </row>
    <row r="91" ht="13.5" customHeight="1">
      <c r="A91" s="80">
        <v>1.0</v>
      </c>
      <c r="B91" s="86" t="s">
        <v>901</v>
      </c>
      <c r="C91" s="95" t="s">
        <v>6534</v>
      </c>
      <c r="D91" s="95" t="s">
        <v>6534</v>
      </c>
      <c r="E91" s="115"/>
      <c r="F91" s="86" t="s">
        <v>8301</v>
      </c>
      <c r="G91" s="80" t="s">
        <v>858</v>
      </c>
      <c r="H91" s="99">
        <v>45446.0</v>
      </c>
      <c r="I91" s="80">
        <f>IFERROR(VLOOKUP(B91, '02. MM-KLH'!$B:$K, 9, FALSE),"")</f>
        <v>45446</v>
      </c>
      <c r="J91" s="106"/>
      <c r="K91" s="1371" t="s">
        <v>904</v>
      </c>
      <c r="L91" s="1370" t="s">
        <v>905</v>
      </c>
      <c r="M91" s="108" t="s">
        <v>883</v>
      </c>
      <c r="N91" s="80">
        <v>2010.0</v>
      </c>
      <c r="O91" s="80"/>
      <c r="P91" s="106"/>
      <c r="Q91" s="108" t="s">
        <v>906</v>
      </c>
      <c r="R91" s="110" t="s">
        <v>96</v>
      </c>
    </row>
    <row r="92" ht="13.5" customHeight="1">
      <c r="A92" s="80">
        <v>2.0</v>
      </c>
      <c r="B92" s="86" t="s">
        <v>1029</v>
      </c>
      <c r="C92" s="95" t="s">
        <v>6547</v>
      </c>
      <c r="D92" s="95" t="s">
        <v>6534</v>
      </c>
      <c r="E92" s="115"/>
      <c r="F92" s="86" t="s">
        <v>8302</v>
      </c>
      <c r="G92" s="80" t="s">
        <v>1010</v>
      </c>
      <c r="H92" s="99"/>
      <c r="I92" s="80" t="str">
        <f>IFERROR(VLOOKUP(B92, '02. MM-KLH'!$B:$K, 9, FALSE),"")</f>
        <v/>
      </c>
      <c r="J92" s="106"/>
      <c r="K92" s="1369"/>
      <c r="L92" s="1370" t="s">
        <v>1032</v>
      </c>
      <c r="M92" s="108" t="s">
        <v>103</v>
      </c>
      <c r="N92" s="80">
        <v>1992.0</v>
      </c>
      <c r="O92" s="80" t="s">
        <v>1033</v>
      </c>
      <c r="P92" s="106"/>
      <c r="Q92" s="108" t="s">
        <v>1034</v>
      </c>
      <c r="R92" s="110" t="s">
        <v>1035</v>
      </c>
    </row>
    <row r="93" ht="13.5" customHeight="1">
      <c r="A93" s="80">
        <v>3.0</v>
      </c>
      <c r="B93" s="84" t="s">
        <v>1141</v>
      </c>
      <c r="C93" s="95" t="s">
        <v>6560</v>
      </c>
      <c r="D93" s="95" t="s">
        <v>6547</v>
      </c>
      <c r="E93" s="115"/>
      <c r="F93" s="86" t="s">
        <v>8303</v>
      </c>
      <c r="G93" s="80" t="s">
        <v>1120</v>
      </c>
      <c r="H93" s="99"/>
      <c r="I93" s="80" t="str">
        <f>IFERROR(VLOOKUP(B93, '02. MM-KLH'!$B:$K, 9, FALSE),"")</f>
        <v/>
      </c>
      <c r="J93" s="106"/>
      <c r="K93" s="1369"/>
      <c r="L93" s="1370" t="s">
        <v>300</v>
      </c>
      <c r="M93" s="108" t="s">
        <v>148</v>
      </c>
      <c r="N93" s="80">
        <v>2018.0</v>
      </c>
      <c r="O93" s="80" t="s">
        <v>1144</v>
      </c>
      <c r="P93" s="106" t="s">
        <v>112</v>
      </c>
      <c r="Q93" s="108" t="s">
        <v>1146</v>
      </c>
      <c r="R93" s="110" t="s">
        <v>1147</v>
      </c>
    </row>
    <row r="94" ht="13.5" customHeight="1">
      <c r="A94" s="151" t="s">
        <v>8304</v>
      </c>
      <c r="B94" s="152" t="s">
        <v>8305</v>
      </c>
      <c r="C94" s="72"/>
      <c r="D94" s="72"/>
      <c r="E94" s="75"/>
      <c r="F94" s="72"/>
      <c r="G94" s="75"/>
      <c r="H94" s="79"/>
      <c r="I94" s="79"/>
      <c r="J94" s="72"/>
      <c r="K94" s="1366"/>
      <c r="L94" s="1367"/>
      <c r="M94" s="75"/>
      <c r="N94" s="75"/>
      <c r="O94" s="75"/>
      <c r="P94" s="75"/>
      <c r="Q94" s="75"/>
      <c r="R94" s="75"/>
    </row>
    <row r="95" ht="13.5" customHeight="1">
      <c r="A95" s="80">
        <v>1.0</v>
      </c>
      <c r="B95" s="84" t="s">
        <v>894</v>
      </c>
      <c r="C95" s="95" t="s">
        <v>5899</v>
      </c>
      <c r="D95" s="95" t="s">
        <v>2885</v>
      </c>
      <c r="E95" s="115" t="s">
        <v>5899</v>
      </c>
      <c r="F95" s="86" t="s">
        <v>896</v>
      </c>
      <c r="G95" s="80" t="s">
        <v>858</v>
      </c>
      <c r="H95" s="99">
        <v>45566.0</v>
      </c>
      <c r="I95" s="80">
        <f>IFERROR(VLOOKUP(B95, '02. MM-KLH'!$B:$K, 9, FALSE),"")</f>
        <v>45566</v>
      </c>
      <c r="J95" s="102">
        <v>0.98</v>
      </c>
      <c r="K95" s="1369"/>
      <c r="L95" s="1370" t="s">
        <v>897</v>
      </c>
      <c r="M95" s="108" t="s">
        <v>148</v>
      </c>
      <c r="N95" s="80">
        <v>2021.0</v>
      </c>
      <c r="O95" s="80" t="s">
        <v>898</v>
      </c>
      <c r="P95" s="106" t="s">
        <v>158</v>
      </c>
      <c r="Q95" s="108" t="s">
        <v>899</v>
      </c>
      <c r="R95" s="110" t="s">
        <v>900</v>
      </c>
    </row>
    <row r="96" ht="14.25" customHeight="1">
      <c r="A96" s="80">
        <v>2.0</v>
      </c>
      <c r="B96" s="84" t="s">
        <v>1037</v>
      </c>
      <c r="C96" s="95" t="s">
        <v>5901</v>
      </c>
      <c r="D96" s="95" t="s">
        <v>2885</v>
      </c>
      <c r="E96" s="115" t="s">
        <v>5901</v>
      </c>
      <c r="F96" s="86" t="s">
        <v>896</v>
      </c>
      <c r="G96" s="80" t="s">
        <v>1010</v>
      </c>
      <c r="H96" s="99">
        <v>45566.0</v>
      </c>
      <c r="I96" s="80">
        <f>IFERROR(VLOOKUP(B96, '02. MM-KLH'!$B:$K, 9, FALSE),"")</f>
        <v>45566</v>
      </c>
      <c r="J96" s="102">
        <v>0.98</v>
      </c>
      <c r="K96" s="1369"/>
      <c r="L96" s="1370" t="s">
        <v>897</v>
      </c>
      <c r="M96" s="108" t="s">
        <v>148</v>
      </c>
      <c r="N96" s="80">
        <v>2021.0</v>
      </c>
      <c r="O96" s="80" t="s">
        <v>898</v>
      </c>
      <c r="P96" s="106" t="s">
        <v>158</v>
      </c>
      <c r="Q96" s="108" t="s">
        <v>1041</v>
      </c>
      <c r="R96" s="110" t="s">
        <v>1042</v>
      </c>
    </row>
    <row r="97" ht="13.5" customHeight="1">
      <c r="A97" s="80">
        <v>3.0</v>
      </c>
      <c r="B97" s="84" t="s">
        <v>1148</v>
      </c>
      <c r="C97" s="95" t="s">
        <v>5902</v>
      </c>
      <c r="D97" s="95" t="s">
        <v>2885</v>
      </c>
      <c r="E97" s="115" t="s">
        <v>5902</v>
      </c>
      <c r="F97" s="86" t="s">
        <v>896</v>
      </c>
      <c r="G97" s="80" t="s">
        <v>1120</v>
      </c>
      <c r="H97" s="99">
        <v>45566.0</v>
      </c>
      <c r="I97" s="80">
        <f>IFERROR(VLOOKUP(B97, '02. MM-KLH'!$B:$K, 9, FALSE),"")</f>
        <v>45566</v>
      </c>
      <c r="J97" s="102">
        <v>0.98</v>
      </c>
      <c r="K97" s="1369"/>
      <c r="L97" s="1370" t="s">
        <v>897</v>
      </c>
      <c r="M97" s="108" t="s">
        <v>148</v>
      </c>
      <c r="N97" s="80">
        <v>2021.0</v>
      </c>
      <c r="O97" s="80" t="s">
        <v>898</v>
      </c>
      <c r="P97" s="106" t="s">
        <v>158</v>
      </c>
      <c r="Q97" s="108" t="s">
        <v>1151</v>
      </c>
      <c r="R97" s="110" t="s">
        <v>1152</v>
      </c>
    </row>
    <row r="98" ht="13.5" customHeight="1">
      <c r="A98" s="80">
        <v>4.0</v>
      </c>
      <c r="B98" s="86" t="s">
        <v>751</v>
      </c>
      <c r="C98" s="137" t="s">
        <v>752</v>
      </c>
      <c r="D98" s="137"/>
      <c r="E98" s="137" t="s">
        <v>752</v>
      </c>
      <c r="F98" s="706" t="s">
        <v>8306</v>
      </c>
      <c r="G98" s="80" t="s">
        <v>2834</v>
      </c>
      <c r="H98" s="193"/>
      <c r="I98" s="80" t="str">
        <f>IFERROR(VLOOKUP(B98, '02. MM-KLH'!$B:$K, 9, FALSE),"")</f>
        <v/>
      </c>
      <c r="J98" s="275"/>
      <c r="K98" s="1399"/>
      <c r="L98" s="833" t="s">
        <v>756</v>
      </c>
      <c r="M98" s="108"/>
      <c r="N98" s="137"/>
      <c r="O98" s="1400"/>
      <c r="P98" s="1401"/>
      <c r="Q98" s="1402" t="s">
        <v>757</v>
      </c>
      <c r="R98" s="1403" t="s">
        <v>758</v>
      </c>
    </row>
    <row r="99" ht="13.5" customHeight="1">
      <c r="A99" s="151" t="s">
        <v>8307</v>
      </c>
      <c r="B99" s="152" t="s">
        <v>8308</v>
      </c>
      <c r="C99" s="72"/>
      <c r="D99" s="72"/>
      <c r="E99" s="75"/>
      <c r="F99" s="72"/>
      <c r="G99" s="75"/>
      <c r="H99" s="79"/>
      <c r="I99" s="79"/>
      <c r="J99" s="72"/>
      <c r="K99" s="1366"/>
      <c r="L99" s="1367"/>
      <c r="M99" s="75"/>
      <c r="N99" s="75"/>
      <c r="O99" s="75"/>
      <c r="P99" s="75"/>
      <c r="Q99" s="75"/>
      <c r="R99" s="75"/>
    </row>
    <row r="100" ht="13.5" customHeight="1">
      <c r="A100" s="80">
        <v>1.0</v>
      </c>
      <c r="B100" s="84" t="s">
        <v>8309</v>
      </c>
      <c r="C100" s="95" t="s">
        <v>8310</v>
      </c>
      <c r="D100" s="95" t="s">
        <v>1025</v>
      </c>
      <c r="E100" s="115" t="s">
        <v>2029</v>
      </c>
      <c r="F100" s="86" t="s">
        <v>6466</v>
      </c>
      <c r="G100" s="80" t="s">
        <v>45</v>
      </c>
      <c r="H100" s="99"/>
      <c r="I100" s="80" t="str">
        <f>IFERROR(VLOOKUP(B100, '02. MM-KLH'!$B:$K, 9, FALSE),"")</f>
        <v/>
      </c>
      <c r="J100" s="106"/>
      <c r="K100" s="1369"/>
      <c r="L100" s="1370" t="s">
        <v>454</v>
      </c>
      <c r="M100" s="108" t="s">
        <v>84</v>
      </c>
      <c r="N100" s="80">
        <v>2013.0</v>
      </c>
      <c r="O100" s="80" t="s">
        <v>791</v>
      </c>
      <c r="P100" s="106" t="s">
        <v>792</v>
      </c>
      <c r="Q100" s="108">
        <v>57652.0</v>
      </c>
      <c r="R100" s="110" t="s">
        <v>96</v>
      </c>
    </row>
    <row r="101" ht="13.5" customHeight="1">
      <c r="A101" s="80">
        <v>2.0</v>
      </c>
      <c r="B101" s="84" t="s">
        <v>1024</v>
      </c>
      <c r="C101" s="95" t="s">
        <v>1025</v>
      </c>
      <c r="D101" s="95" t="s">
        <v>6479</v>
      </c>
      <c r="E101" s="115" t="s">
        <v>2029</v>
      </c>
      <c r="F101" s="86" t="s">
        <v>6466</v>
      </c>
      <c r="G101" s="80" t="s">
        <v>45</v>
      </c>
      <c r="H101" s="99"/>
      <c r="I101" s="80" t="str">
        <f>IFERROR(VLOOKUP(B101, '02. MM-KLH'!$B:$K, 9, FALSE),"")</f>
        <v/>
      </c>
      <c r="J101" s="106"/>
      <c r="K101" s="1369"/>
      <c r="L101" s="1370" t="s">
        <v>454</v>
      </c>
      <c r="M101" s="108" t="s">
        <v>84</v>
      </c>
      <c r="N101" s="80">
        <v>2013.0</v>
      </c>
      <c r="O101" s="80" t="s">
        <v>791</v>
      </c>
      <c r="P101" s="106" t="s">
        <v>792</v>
      </c>
      <c r="Q101" s="108">
        <v>57273.0</v>
      </c>
      <c r="R101" s="110" t="s">
        <v>96</v>
      </c>
    </row>
    <row r="102" ht="13.5" customHeight="1">
      <c r="A102" s="80">
        <v>3.0</v>
      </c>
      <c r="B102" s="86" t="s">
        <v>3028</v>
      </c>
      <c r="C102" s="95" t="s">
        <v>6479</v>
      </c>
      <c r="D102" s="95" t="s">
        <v>8311</v>
      </c>
      <c r="E102" s="115" t="s">
        <v>2029</v>
      </c>
      <c r="F102" s="86" t="s">
        <v>6466</v>
      </c>
      <c r="G102" s="80" t="s">
        <v>45</v>
      </c>
      <c r="H102" s="99">
        <v>45352.0</v>
      </c>
      <c r="I102" s="80">
        <f>IFERROR(VLOOKUP(B102, '02. MM-KLH'!$B:$K, 9, FALSE),"")</f>
        <v>45352</v>
      </c>
      <c r="J102" s="106"/>
      <c r="K102" s="1371" t="s">
        <v>8312</v>
      </c>
      <c r="L102" s="1370" t="s">
        <v>454</v>
      </c>
      <c r="M102" s="108" t="s">
        <v>84</v>
      </c>
      <c r="N102" s="80">
        <v>2013.0</v>
      </c>
      <c r="O102" s="80" t="s">
        <v>791</v>
      </c>
      <c r="P102" s="106" t="s">
        <v>792</v>
      </c>
      <c r="Q102" s="108">
        <v>57271.0</v>
      </c>
      <c r="R102" s="110" t="s">
        <v>96</v>
      </c>
    </row>
    <row r="103" ht="13.5" customHeight="1">
      <c r="A103" s="80">
        <v>4.0</v>
      </c>
      <c r="B103" s="84" t="s">
        <v>3156</v>
      </c>
      <c r="C103" s="95" t="s">
        <v>8313</v>
      </c>
      <c r="D103" s="95" t="s">
        <v>8313</v>
      </c>
      <c r="E103" s="115" t="s">
        <v>2029</v>
      </c>
      <c r="F103" s="86" t="s">
        <v>6473</v>
      </c>
      <c r="G103" s="80" t="s">
        <v>45</v>
      </c>
      <c r="H103" s="99"/>
      <c r="I103" s="80" t="str">
        <f>IFERROR(VLOOKUP(B103, '02. MM-KLH'!$B:$K, 9, FALSE),"")</f>
        <v/>
      </c>
      <c r="J103" s="106"/>
      <c r="K103" s="1369"/>
      <c r="L103" s="1370" t="s">
        <v>454</v>
      </c>
      <c r="M103" s="108" t="s">
        <v>84</v>
      </c>
      <c r="N103" s="80">
        <v>2011.0</v>
      </c>
      <c r="O103" s="80">
        <v>9540.0</v>
      </c>
      <c r="P103" s="106" t="s">
        <v>845</v>
      </c>
      <c r="Q103" s="108">
        <v>77433.0</v>
      </c>
      <c r="R103" s="110" t="s">
        <v>96</v>
      </c>
    </row>
    <row r="104" ht="13.5" customHeight="1">
      <c r="A104" s="80">
        <v>5.0</v>
      </c>
      <c r="B104" s="84" t="s">
        <v>685</v>
      </c>
      <c r="C104" s="95" t="s">
        <v>6519</v>
      </c>
      <c r="D104" s="95" t="s">
        <v>6519</v>
      </c>
      <c r="E104" s="115" t="s">
        <v>1747</v>
      </c>
      <c r="F104" s="86" t="s">
        <v>8315</v>
      </c>
      <c r="G104" s="80" t="s">
        <v>45</v>
      </c>
      <c r="H104" s="99"/>
      <c r="I104" s="80" t="str">
        <f>IFERROR(VLOOKUP(B104, '02. MM-KLH'!$B:$K, 9, FALSE),"")</f>
        <v/>
      </c>
      <c r="J104" s="106"/>
      <c r="K104" s="1369"/>
      <c r="L104" s="1370" t="s">
        <v>689</v>
      </c>
      <c r="M104" s="108" t="s">
        <v>690</v>
      </c>
      <c r="N104" s="80">
        <v>2018.0</v>
      </c>
      <c r="O104" s="80">
        <v>6603.0</v>
      </c>
      <c r="P104" s="106" t="s">
        <v>271</v>
      </c>
      <c r="Q104" s="108">
        <v>33028.0</v>
      </c>
      <c r="R104" s="110" t="s">
        <v>96</v>
      </c>
    </row>
    <row r="105" ht="13.5" customHeight="1">
      <c r="A105" s="80">
        <v>6.0</v>
      </c>
      <c r="B105" s="84" t="s">
        <v>691</v>
      </c>
      <c r="C105" s="95" t="s">
        <v>6521</v>
      </c>
      <c r="D105" s="95" t="s">
        <v>6521</v>
      </c>
      <c r="E105" s="115" t="s">
        <v>1747</v>
      </c>
      <c r="F105" s="86" t="s">
        <v>8315</v>
      </c>
      <c r="G105" s="80" t="s">
        <v>45</v>
      </c>
      <c r="H105" s="99"/>
      <c r="I105" s="80">
        <f>IFERROR(VLOOKUP(B105, '02. MM-KLH'!$B:$K, 9, FALSE),"")</f>
        <v>43862</v>
      </c>
      <c r="J105" s="106"/>
      <c r="K105" s="1369"/>
      <c r="L105" s="1370" t="s">
        <v>689</v>
      </c>
      <c r="M105" s="108" t="s">
        <v>690</v>
      </c>
      <c r="N105" s="80">
        <v>2018.0</v>
      </c>
      <c r="O105" s="80">
        <v>6603.0</v>
      </c>
      <c r="P105" s="106" t="s">
        <v>271</v>
      </c>
      <c r="Q105" s="108">
        <v>33178.0</v>
      </c>
      <c r="R105" s="110" t="s">
        <v>96</v>
      </c>
    </row>
    <row r="106" ht="13.5" customHeight="1">
      <c r="A106" s="80">
        <v>7.0</v>
      </c>
      <c r="B106" s="86" t="s">
        <v>693</v>
      </c>
      <c r="C106" s="95" t="s">
        <v>6522</v>
      </c>
      <c r="D106" s="95" t="s">
        <v>6545</v>
      </c>
      <c r="E106" s="115" t="s">
        <v>2288</v>
      </c>
      <c r="F106" s="86" t="s">
        <v>8316</v>
      </c>
      <c r="G106" s="80" t="s">
        <v>45</v>
      </c>
      <c r="H106" s="80" t="s">
        <v>696</v>
      </c>
      <c r="I106" s="80" t="str">
        <f>IFERROR(VLOOKUP(B106, '02. MM-KLH'!$B:$K, 9, FALSE),"")</f>
        <v>15/03/2024</v>
      </c>
      <c r="J106" s="106"/>
      <c r="K106" s="1369"/>
      <c r="L106" s="1387" t="s">
        <v>8317</v>
      </c>
      <c r="M106" s="108" t="s">
        <v>690</v>
      </c>
      <c r="N106" s="80">
        <v>2022.0</v>
      </c>
      <c r="O106" s="80" t="s">
        <v>697</v>
      </c>
      <c r="P106" s="80" t="s">
        <v>271</v>
      </c>
      <c r="Q106" s="108" t="s">
        <v>698</v>
      </c>
      <c r="R106" s="110" t="s">
        <v>699</v>
      </c>
    </row>
    <row r="107" ht="13.5" customHeight="1">
      <c r="A107" s="80">
        <v>8.0</v>
      </c>
      <c r="B107" s="86" t="s">
        <v>700</v>
      </c>
      <c r="C107" s="95" t="s">
        <v>6523</v>
      </c>
      <c r="D107" s="95" t="s">
        <v>6546</v>
      </c>
      <c r="E107" s="115" t="s">
        <v>2333</v>
      </c>
      <c r="F107" s="86" t="s">
        <v>8318</v>
      </c>
      <c r="G107" s="80" t="s">
        <v>45</v>
      </c>
      <c r="H107" s="80" t="s">
        <v>696</v>
      </c>
      <c r="I107" s="80" t="str">
        <f>IFERROR(VLOOKUP(B107, '02. MM-KLH'!$B:$K, 9, FALSE),"")</f>
        <v>15/03/2024</v>
      </c>
      <c r="J107" s="106"/>
      <c r="K107" s="1369"/>
      <c r="L107" s="1387" t="s">
        <v>8317</v>
      </c>
      <c r="M107" s="108" t="s">
        <v>690</v>
      </c>
      <c r="N107" s="80">
        <v>2022.0</v>
      </c>
      <c r="O107" s="80" t="s">
        <v>704</v>
      </c>
      <c r="P107" s="80" t="s">
        <v>705</v>
      </c>
      <c r="Q107" s="108" t="s">
        <v>706</v>
      </c>
      <c r="R107" s="110" t="s">
        <v>707</v>
      </c>
    </row>
    <row r="108" ht="13.5" customHeight="1">
      <c r="A108" s="80">
        <v>9.0</v>
      </c>
      <c r="B108" s="86" t="s">
        <v>1833</v>
      </c>
      <c r="C108" s="95" t="s">
        <v>6525</v>
      </c>
      <c r="D108" s="95" t="s">
        <v>6554</v>
      </c>
      <c r="E108" s="115"/>
      <c r="F108" s="115" t="s">
        <v>8319</v>
      </c>
      <c r="G108" s="80" t="s">
        <v>45</v>
      </c>
      <c r="H108" s="116">
        <v>45540.0</v>
      </c>
      <c r="I108" s="80" t="str">
        <f>IFERROR(VLOOKUP(B108, '02. MM-KLH'!$B:$K, 9, FALSE),"")</f>
        <v/>
      </c>
      <c r="J108" s="119"/>
      <c r="K108" s="1372"/>
      <c r="L108" s="1404" t="s">
        <v>747</v>
      </c>
      <c r="M108" s="108" t="s">
        <v>690</v>
      </c>
      <c r="N108" s="95">
        <v>2022.0</v>
      </c>
      <c r="O108" s="95" t="s">
        <v>783</v>
      </c>
      <c r="P108" s="95" t="s">
        <v>549</v>
      </c>
      <c r="Q108" s="110" t="s">
        <v>1835</v>
      </c>
      <c r="R108" s="110" t="s">
        <v>1836</v>
      </c>
    </row>
    <row r="109" ht="13.5" customHeight="1">
      <c r="A109" s="80">
        <v>10.0</v>
      </c>
      <c r="B109" s="113" t="s">
        <v>3030</v>
      </c>
      <c r="C109" s="95" t="s">
        <v>6480</v>
      </c>
      <c r="D109" s="95" t="s">
        <v>6522</v>
      </c>
      <c r="E109" s="115" t="s">
        <v>3032</v>
      </c>
      <c r="F109" s="115" t="s">
        <v>6481</v>
      </c>
      <c r="G109" s="95" t="s">
        <v>45</v>
      </c>
      <c r="H109" s="116"/>
      <c r="I109" s="80">
        <f>IFERROR(VLOOKUP(B109, '02. MM-KLH'!$B:$K, 9, FALSE),"")</f>
        <v>43862</v>
      </c>
      <c r="J109" s="119"/>
      <c r="K109" s="1372"/>
      <c r="L109" s="1373" t="s">
        <v>837</v>
      </c>
      <c r="M109" s="110" t="s">
        <v>3034</v>
      </c>
      <c r="N109" s="95">
        <v>2018.0</v>
      </c>
      <c r="O109" s="95" t="s">
        <v>3035</v>
      </c>
      <c r="P109" s="119" t="s">
        <v>824</v>
      </c>
      <c r="Q109" s="110">
        <v>162744.0</v>
      </c>
      <c r="R109" s="110" t="s">
        <v>96</v>
      </c>
    </row>
    <row r="110" ht="13.5" customHeight="1">
      <c r="A110" s="80">
        <v>11.0</v>
      </c>
      <c r="B110" s="84" t="s">
        <v>3036</v>
      </c>
      <c r="C110" s="95" t="s">
        <v>6482</v>
      </c>
      <c r="D110" s="95" t="s">
        <v>6523</v>
      </c>
      <c r="E110" s="115" t="s">
        <v>3032</v>
      </c>
      <c r="F110" s="86" t="s">
        <v>6481</v>
      </c>
      <c r="G110" s="80" t="s">
        <v>45</v>
      </c>
      <c r="H110" s="99"/>
      <c r="I110" s="80">
        <f>IFERROR(VLOOKUP(B110, '02. MM-KLH'!$B:$K, 9, FALSE),"")</f>
        <v>43862</v>
      </c>
      <c r="J110" s="106"/>
      <c r="K110" s="1369"/>
      <c r="L110" s="1370" t="s">
        <v>837</v>
      </c>
      <c r="M110" s="108" t="s">
        <v>3034</v>
      </c>
      <c r="N110" s="80">
        <v>2018.0</v>
      </c>
      <c r="O110" s="80" t="s">
        <v>3035</v>
      </c>
      <c r="P110" s="106" t="s">
        <v>824</v>
      </c>
      <c r="Q110" s="108">
        <v>171754.0</v>
      </c>
      <c r="R110" s="110" t="s">
        <v>96</v>
      </c>
    </row>
    <row r="111" ht="13.5" customHeight="1">
      <c r="A111" s="80">
        <v>12.0</v>
      </c>
      <c r="B111" s="84" t="s">
        <v>855</v>
      </c>
      <c r="C111" s="95" t="s">
        <v>6531</v>
      </c>
      <c r="D111" s="95" t="s">
        <v>8310</v>
      </c>
      <c r="E111" s="115" t="s">
        <v>1824</v>
      </c>
      <c r="F111" s="86" t="s">
        <v>8320</v>
      </c>
      <c r="G111" s="80" t="s">
        <v>858</v>
      </c>
      <c r="H111" s="99"/>
      <c r="I111" s="80" t="str">
        <f>IFERROR(VLOOKUP(B111, '02. MM-KLH'!$B:$K, 9, FALSE),"")</f>
        <v/>
      </c>
      <c r="J111" s="106"/>
      <c r="K111" s="1369"/>
      <c r="L111" s="1370" t="s">
        <v>743</v>
      </c>
      <c r="M111" s="108" t="s">
        <v>148</v>
      </c>
      <c r="N111" s="80">
        <v>2018.0</v>
      </c>
      <c r="O111" s="80" t="s">
        <v>860</v>
      </c>
      <c r="P111" s="106" t="s">
        <v>861</v>
      </c>
      <c r="Q111" s="108" t="s">
        <v>862</v>
      </c>
      <c r="R111" s="110" t="s">
        <v>96</v>
      </c>
    </row>
    <row r="112" ht="13.5" customHeight="1">
      <c r="A112" s="80">
        <v>13.0</v>
      </c>
      <c r="B112" s="84" t="s">
        <v>863</v>
      </c>
      <c r="C112" s="95" t="s">
        <v>6532</v>
      </c>
      <c r="D112" s="95" t="s">
        <v>1025</v>
      </c>
      <c r="E112" s="115" t="s">
        <v>1824</v>
      </c>
      <c r="F112" s="86" t="s">
        <v>8320</v>
      </c>
      <c r="G112" s="80" t="s">
        <v>858</v>
      </c>
      <c r="H112" s="99"/>
      <c r="I112" s="80" t="str">
        <f>IFERROR(VLOOKUP(B112, '02. MM-KLH'!$B:$K, 9, FALSE),"")</f>
        <v/>
      </c>
      <c r="J112" s="106"/>
      <c r="K112" s="1369"/>
      <c r="L112" s="1370" t="s">
        <v>743</v>
      </c>
      <c r="M112" s="108" t="s">
        <v>148</v>
      </c>
      <c r="N112" s="80">
        <v>2018.0</v>
      </c>
      <c r="O112" s="80" t="s">
        <v>860</v>
      </c>
      <c r="P112" s="106" t="s">
        <v>861</v>
      </c>
      <c r="Q112" s="108" t="s">
        <v>867</v>
      </c>
      <c r="R112" s="110" t="s">
        <v>96</v>
      </c>
    </row>
    <row r="113" ht="13.5" customHeight="1">
      <c r="A113" s="80">
        <v>14.0</v>
      </c>
      <c r="B113" s="86" t="s">
        <v>868</v>
      </c>
      <c r="C113" s="95" t="s">
        <v>6533</v>
      </c>
      <c r="D113" s="95" t="s">
        <v>6479</v>
      </c>
      <c r="E113" s="115" t="s">
        <v>1824</v>
      </c>
      <c r="F113" s="86" t="s">
        <v>8320</v>
      </c>
      <c r="G113" s="80" t="s">
        <v>858</v>
      </c>
      <c r="H113" s="80" t="s">
        <v>870</v>
      </c>
      <c r="I113" s="80" t="str">
        <f>IFERROR(VLOOKUP(B113, '02. MM-KLH'!$B:$K, 9, FALSE),"")</f>
        <v>24/04/2024</v>
      </c>
      <c r="J113" s="106"/>
      <c r="K113" s="1371" t="s">
        <v>871</v>
      </c>
      <c r="L113" s="1370" t="s">
        <v>743</v>
      </c>
      <c r="M113" s="108" t="s">
        <v>148</v>
      </c>
      <c r="N113" s="80">
        <v>2018.0</v>
      </c>
      <c r="O113" s="80" t="s">
        <v>860</v>
      </c>
      <c r="P113" s="106" t="s">
        <v>861</v>
      </c>
      <c r="Q113" s="108" t="s">
        <v>872</v>
      </c>
      <c r="R113" s="110" t="s">
        <v>96</v>
      </c>
    </row>
    <row r="114" ht="13.5" customHeight="1">
      <c r="A114" s="80">
        <v>15.0</v>
      </c>
      <c r="B114" s="84" t="s">
        <v>3159</v>
      </c>
      <c r="C114" s="95" t="s">
        <v>8321</v>
      </c>
      <c r="D114" s="95" t="s">
        <v>8310</v>
      </c>
      <c r="E114" s="115" t="s">
        <v>2029</v>
      </c>
      <c r="F114" s="86" t="s">
        <v>6473</v>
      </c>
      <c r="G114" s="80" t="s">
        <v>1010</v>
      </c>
      <c r="H114" s="99"/>
      <c r="I114" s="80" t="str">
        <f>IFERROR(VLOOKUP(B114, '02. MM-KLH'!$B:$K, 9, FALSE),"")</f>
        <v/>
      </c>
      <c r="J114" s="106"/>
      <c r="K114" s="1369"/>
      <c r="L114" s="1370" t="s">
        <v>454</v>
      </c>
      <c r="M114" s="108" t="s">
        <v>84</v>
      </c>
      <c r="N114" s="80">
        <v>2013.0</v>
      </c>
      <c r="O114" s="80">
        <v>9540.0</v>
      </c>
      <c r="P114" s="106" t="s">
        <v>845</v>
      </c>
      <c r="Q114" s="108">
        <v>173035.0</v>
      </c>
      <c r="R114" s="110" t="s">
        <v>96</v>
      </c>
    </row>
    <row r="115" ht="13.5" customHeight="1">
      <c r="A115" s="80">
        <v>16.0</v>
      </c>
      <c r="B115" s="84" t="s">
        <v>1007</v>
      </c>
      <c r="C115" s="95" t="s">
        <v>6543</v>
      </c>
      <c r="D115" s="95" t="s">
        <v>1025</v>
      </c>
      <c r="E115" s="115" t="s">
        <v>2029</v>
      </c>
      <c r="F115" s="86" t="s">
        <v>6466</v>
      </c>
      <c r="G115" s="80" t="s">
        <v>1010</v>
      </c>
      <c r="H115" s="99"/>
      <c r="I115" s="80" t="str">
        <f>IFERROR(VLOOKUP(B115, '02. MM-KLH'!$B:$K, 9, FALSE),"")</f>
        <v/>
      </c>
      <c r="J115" s="106"/>
      <c r="K115" s="1369"/>
      <c r="L115" s="1370" t="s">
        <v>454</v>
      </c>
      <c r="M115" s="108" t="s">
        <v>84</v>
      </c>
      <c r="N115" s="80">
        <v>2013.0</v>
      </c>
      <c r="O115" s="80" t="s">
        <v>791</v>
      </c>
      <c r="P115" s="106" t="s">
        <v>792</v>
      </c>
      <c r="Q115" s="108">
        <v>57646.0</v>
      </c>
      <c r="R115" s="110" t="s">
        <v>96</v>
      </c>
    </row>
    <row r="116" ht="13.5" customHeight="1">
      <c r="A116" s="80">
        <v>17.0</v>
      </c>
      <c r="B116" s="84" t="s">
        <v>1012</v>
      </c>
      <c r="C116" s="95" t="s">
        <v>6544</v>
      </c>
      <c r="D116" s="95" t="s">
        <v>6479</v>
      </c>
      <c r="E116" s="115" t="s">
        <v>2029</v>
      </c>
      <c r="F116" s="86" t="s">
        <v>6466</v>
      </c>
      <c r="G116" s="80" t="s">
        <v>1010</v>
      </c>
      <c r="H116" s="99"/>
      <c r="I116" s="80" t="str">
        <f>IFERROR(VLOOKUP(B116, '02. MM-KLH'!$B:$K, 9, FALSE),"")</f>
        <v/>
      </c>
      <c r="J116" s="106"/>
      <c r="K116" s="1369"/>
      <c r="L116" s="1370" t="s">
        <v>454</v>
      </c>
      <c r="M116" s="108" t="s">
        <v>84</v>
      </c>
      <c r="N116" s="80">
        <v>2013.0</v>
      </c>
      <c r="O116" s="80" t="s">
        <v>791</v>
      </c>
      <c r="P116" s="106" t="s">
        <v>792</v>
      </c>
      <c r="Q116" s="108">
        <v>56797.0</v>
      </c>
      <c r="R116" s="110" t="s">
        <v>96</v>
      </c>
    </row>
    <row r="117" ht="13.5" customHeight="1">
      <c r="A117" s="80">
        <v>18.0</v>
      </c>
      <c r="B117" s="84" t="s">
        <v>8322</v>
      </c>
      <c r="C117" s="95" t="s">
        <v>8311</v>
      </c>
      <c r="D117" s="95" t="s">
        <v>8313</v>
      </c>
      <c r="E117" s="115" t="s">
        <v>1824</v>
      </c>
      <c r="F117" s="86" t="s">
        <v>8320</v>
      </c>
      <c r="G117" s="80" t="s">
        <v>1010</v>
      </c>
      <c r="H117" s="99"/>
      <c r="I117" s="80" t="str">
        <f>IFERROR(VLOOKUP(B117, '02. MM-KLH'!$B:$K, 9, FALSE),"")</f>
        <v/>
      </c>
      <c r="J117" s="106"/>
      <c r="K117" s="1369"/>
      <c r="L117" s="1370" t="s">
        <v>743</v>
      </c>
      <c r="M117" s="108" t="s">
        <v>148</v>
      </c>
      <c r="N117" s="80">
        <v>2018.0</v>
      </c>
      <c r="O117" s="80" t="s">
        <v>860</v>
      </c>
      <c r="P117" s="106" t="s">
        <v>861</v>
      </c>
      <c r="Q117" s="108" t="s">
        <v>8323</v>
      </c>
      <c r="R117" s="110" t="s">
        <v>96</v>
      </c>
    </row>
    <row r="118" ht="13.5" customHeight="1">
      <c r="A118" s="80">
        <v>19.0</v>
      </c>
      <c r="B118" s="192" t="s">
        <v>1014</v>
      </c>
      <c r="C118" s="95" t="s">
        <v>6545</v>
      </c>
      <c r="D118" s="9" t="s">
        <v>6519</v>
      </c>
      <c r="E118" s="134" t="s">
        <v>1824</v>
      </c>
      <c r="F118" s="161" t="s">
        <v>8320</v>
      </c>
      <c r="G118" s="137" t="s">
        <v>1010</v>
      </c>
      <c r="H118" s="193"/>
      <c r="I118" s="80" t="str">
        <f>IFERROR(VLOOKUP(B118, '02. MM-KLH'!$B:$K, 9, FALSE),"")</f>
        <v/>
      </c>
      <c r="J118" s="6"/>
      <c r="K118" s="1405" t="s">
        <v>8324</v>
      </c>
      <c r="L118" s="1406" t="s">
        <v>743</v>
      </c>
      <c r="M118" s="186" t="s">
        <v>148</v>
      </c>
      <c r="N118" s="137">
        <v>2018.0</v>
      </c>
      <c r="O118" s="137" t="s">
        <v>860</v>
      </c>
      <c r="P118" s="6" t="s">
        <v>861</v>
      </c>
      <c r="Q118" s="186" t="s">
        <v>1016</v>
      </c>
      <c r="R118" s="140" t="s">
        <v>96</v>
      </c>
    </row>
    <row r="119" ht="13.5" customHeight="1">
      <c r="A119" s="80">
        <v>20.0</v>
      </c>
      <c r="B119" s="84" t="s">
        <v>1017</v>
      </c>
      <c r="C119" s="95" t="s">
        <v>6546</v>
      </c>
      <c r="D119" s="95" t="s">
        <v>6521</v>
      </c>
      <c r="E119" s="115" t="s">
        <v>1824</v>
      </c>
      <c r="F119" s="86" t="s">
        <v>8320</v>
      </c>
      <c r="G119" s="80" t="s">
        <v>1010</v>
      </c>
      <c r="H119" s="99"/>
      <c r="I119" s="80" t="str">
        <f>IFERROR(VLOOKUP(B119, '02. MM-KLH'!$B:$K, 9, FALSE),"")</f>
        <v/>
      </c>
      <c r="J119" s="106"/>
      <c r="K119" s="1369"/>
      <c r="L119" s="1370" t="s">
        <v>743</v>
      </c>
      <c r="M119" s="108" t="s">
        <v>148</v>
      </c>
      <c r="N119" s="80">
        <v>2018.0</v>
      </c>
      <c r="O119" s="80" t="s">
        <v>860</v>
      </c>
      <c r="P119" s="106" t="s">
        <v>861</v>
      </c>
      <c r="Q119" s="108" t="s">
        <v>1022</v>
      </c>
      <c r="R119" s="110" t="s">
        <v>96</v>
      </c>
    </row>
    <row r="120" ht="13.5" customHeight="1">
      <c r="A120" s="80">
        <v>21.0</v>
      </c>
      <c r="B120" s="84" t="s">
        <v>1023</v>
      </c>
      <c r="C120" s="95" t="s">
        <v>8325</v>
      </c>
      <c r="D120" s="95" t="s">
        <v>6522</v>
      </c>
      <c r="E120" s="115" t="s">
        <v>1824</v>
      </c>
      <c r="F120" s="86" t="s">
        <v>8320</v>
      </c>
      <c r="G120" s="80" t="s">
        <v>1010</v>
      </c>
      <c r="H120" s="99"/>
      <c r="I120" s="80" t="str">
        <f>IFERROR(VLOOKUP(B120, '02. MM-KLH'!$B:$K, 9, FALSE),"")</f>
        <v>28/01/2026</v>
      </c>
      <c r="J120" s="106"/>
      <c r="K120" s="1369"/>
      <c r="L120" s="1370" t="s">
        <v>743</v>
      </c>
      <c r="M120" s="108" t="s">
        <v>148</v>
      </c>
      <c r="N120" s="80">
        <v>2018.0</v>
      </c>
      <c r="O120" s="80" t="s">
        <v>860</v>
      </c>
      <c r="P120" s="106" t="s">
        <v>861</v>
      </c>
      <c r="Q120" s="108" t="s">
        <v>1744</v>
      </c>
      <c r="R120" s="110" t="s">
        <v>96</v>
      </c>
    </row>
    <row r="121" ht="13.5" customHeight="1">
      <c r="A121" s="80">
        <v>22.0</v>
      </c>
      <c r="B121" s="84" t="s">
        <v>3092</v>
      </c>
      <c r="C121" s="95" t="s">
        <v>6490</v>
      </c>
      <c r="D121" s="95" t="s">
        <v>8310</v>
      </c>
      <c r="E121" s="115" t="s">
        <v>2029</v>
      </c>
      <c r="F121" s="86" t="s">
        <v>6466</v>
      </c>
      <c r="G121" s="80" t="s">
        <v>1120</v>
      </c>
      <c r="H121" s="99"/>
      <c r="I121" s="80" t="str">
        <f>IFERROR(VLOOKUP(B121, '02. MM-KLH'!$B:$K, 9, FALSE),"")</f>
        <v/>
      </c>
      <c r="J121" s="106"/>
      <c r="K121" s="1369"/>
      <c r="L121" s="1370" t="s">
        <v>454</v>
      </c>
      <c r="M121" s="108" t="s">
        <v>84</v>
      </c>
      <c r="N121" s="80">
        <v>2013.0</v>
      </c>
      <c r="O121" s="80" t="s">
        <v>791</v>
      </c>
      <c r="P121" s="106" t="s">
        <v>792</v>
      </c>
      <c r="Q121" s="108">
        <v>57125.0</v>
      </c>
      <c r="R121" s="110" t="s">
        <v>96</v>
      </c>
    </row>
    <row r="122" ht="13.5" customHeight="1">
      <c r="A122" s="80">
        <v>23.0</v>
      </c>
      <c r="B122" s="84" t="s">
        <v>1118</v>
      </c>
      <c r="C122" s="95" t="s">
        <v>6553</v>
      </c>
      <c r="D122" s="95" t="s">
        <v>1025</v>
      </c>
      <c r="E122" s="115"/>
      <c r="F122" s="86" t="s">
        <v>6476</v>
      </c>
      <c r="G122" s="80" t="s">
        <v>1120</v>
      </c>
      <c r="H122" s="99"/>
      <c r="I122" s="80" t="str">
        <f>IFERROR(VLOOKUP(B122, '02. MM-KLH'!$B:$K, 9, FALSE),"")</f>
        <v/>
      </c>
      <c r="J122" s="106"/>
      <c r="K122" s="1369"/>
      <c r="L122" s="1370" t="s">
        <v>454</v>
      </c>
      <c r="M122" s="108" t="s">
        <v>84</v>
      </c>
      <c r="N122" s="80">
        <v>2019.0</v>
      </c>
      <c r="O122" s="80" t="s">
        <v>878</v>
      </c>
      <c r="P122" s="106" t="s">
        <v>101</v>
      </c>
      <c r="Q122" s="108">
        <v>14720.0</v>
      </c>
      <c r="R122" s="110" t="s">
        <v>96</v>
      </c>
    </row>
    <row r="123" ht="13.5" customHeight="1">
      <c r="A123" s="80">
        <v>24.0</v>
      </c>
      <c r="B123" s="84" t="s">
        <v>1121</v>
      </c>
      <c r="C123" s="95" t="s">
        <v>6554</v>
      </c>
      <c r="D123" s="95" t="s">
        <v>6479</v>
      </c>
      <c r="E123" s="115" t="s">
        <v>1824</v>
      </c>
      <c r="F123" s="86" t="s">
        <v>8320</v>
      </c>
      <c r="G123" s="80" t="s">
        <v>1120</v>
      </c>
      <c r="H123" s="99"/>
      <c r="I123" s="80">
        <f>IFERROR(VLOOKUP(B123, '02. MM-KLH'!$B:$K, 9, FALSE),"")</f>
        <v>43525</v>
      </c>
      <c r="J123" s="106"/>
      <c r="K123" s="1369"/>
      <c r="L123" s="1370" t="s">
        <v>743</v>
      </c>
      <c r="M123" s="108" t="s">
        <v>148</v>
      </c>
      <c r="N123" s="80">
        <v>2018.0</v>
      </c>
      <c r="O123" s="80" t="s">
        <v>860</v>
      </c>
      <c r="P123" s="106" t="s">
        <v>861</v>
      </c>
      <c r="Q123" s="108" t="s">
        <v>1123</v>
      </c>
      <c r="R123" s="110" t="s">
        <v>96</v>
      </c>
    </row>
    <row r="124" ht="13.5" customHeight="1">
      <c r="A124" s="80">
        <v>25.0</v>
      </c>
      <c r="B124" s="84" t="s">
        <v>1124</v>
      </c>
      <c r="C124" s="95" t="s">
        <v>6555</v>
      </c>
      <c r="D124" s="95" t="s">
        <v>8313</v>
      </c>
      <c r="E124" s="115" t="s">
        <v>1824</v>
      </c>
      <c r="F124" s="86" t="s">
        <v>8320</v>
      </c>
      <c r="G124" s="80" t="s">
        <v>1120</v>
      </c>
      <c r="H124" s="99"/>
      <c r="I124" s="80">
        <f>IFERROR(VLOOKUP(B124, '02. MM-KLH'!$B:$K, 9, FALSE),"")</f>
        <v>43525</v>
      </c>
      <c r="J124" s="106"/>
      <c r="K124" s="1369"/>
      <c r="L124" s="1370" t="s">
        <v>743</v>
      </c>
      <c r="M124" s="108" t="s">
        <v>148</v>
      </c>
      <c r="N124" s="80">
        <v>2018.0</v>
      </c>
      <c r="O124" s="80" t="s">
        <v>860</v>
      </c>
      <c r="P124" s="106" t="s">
        <v>861</v>
      </c>
      <c r="Q124" s="108" t="s">
        <v>1126</v>
      </c>
      <c r="R124" s="110" t="s">
        <v>96</v>
      </c>
    </row>
    <row r="125" ht="13.5" customHeight="1">
      <c r="A125" s="80">
        <v>26.0</v>
      </c>
      <c r="B125" s="84" t="s">
        <v>1127</v>
      </c>
      <c r="C125" s="95" t="s">
        <v>6556</v>
      </c>
      <c r="D125" s="95" t="s">
        <v>6519</v>
      </c>
      <c r="E125" s="115" t="s">
        <v>1824</v>
      </c>
      <c r="F125" s="86" t="s">
        <v>8320</v>
      </c>
      <c r="G125" s="80" t="s">
        <v>1120</v>
      </c>
      <c r="H125" s="99"/>
      <c r="I125" s="80">
        <f>IFERROR(VLOOKUP(B125, '02. MM-KLH'!$B:$K, 9, FALSE),"")</f>
        <v>43525</v>
      </c>
      <c r="J125" s="106"/>
      <c r="K125" s="1369"/>
      <c r="L125" s="1370" t="s">
        <v>743</v>
      </c>
      <c r="M125" s="108" t="s">
        <v>148</v>
      </c>
      <c r="N125" s="80">
        <v>2018.0</v>
      </c>
      <c r="O125" s="80" t="s">
        <v>860</v>
      </c>
      <c r="P125" s="106" t="s">
        <v>861</v>
      </c>
      <c r="Q125" s="108" t="s">
        <v>1129</v>
      </c>
      <c r="R125" s="110" t="s">
        <v>96</v>
      </c>
    </row>
    <row r="126" ht="13.5" customHeight="1">
      <c r="A126" s="80">
        <v>27.0</v>
      </c>
      <c r="B126" s="84" t="s">
        <v>1130</v>
      </c>
      <c r="C126" s="95" t="s">
        <v>6557</v>
      </c>
      <c r="D126" s="95" t="s">
        <v>6521</v>
      </c>
      <c r="E126" s="115" t="s">
        <v>1824</v>
      </c>
      <c r="F126" s="86" t="s">
        <v>8320</v>
      </c>
      <c r="G126" s="80" t="s">
        <v>1120</v>
      </c>
      <c r="H126" s="99"/>
      <c r="I126" s="80">
        <f>IFERROR(VLOOKUP(B126, '02. MM-KLH'!$B:$K, 9, FALSE),"")</f>
        <v>43525</v>
      </c>
      <c r="J126" s="106"/>
      <c r="K126" s="1369"/>
      <c r="L126" s="1370" t="s">
        <v>743</v>
      </c>
      <c r="M126" s="108" t="s">
        <v>148</v>
      </c>
      <c r="N126" s="80">
        <v>2018.0</v>
      </c>
      <c r="O126" s="80" t="s">
        <v>860</v>
      </c>
      <c r="P126" s="106" t="s">
        <v>861</v>
      </c>
      <c r="Q126" s="108" t="s">
        <v>1132</v>
      </c>
      <c r="R126" s="110" t="s">
        <v>96</v>
      </c>
    </row>
    <row r="127" ht="13.5" customHeight="1">
      <c r="A127" s="80">
        <v>28.0</v>
      </c>
      <c r="B127" s="84" t="s">
        <v>1134</v>
      </c>
      <c r="C127" s="95" t="s">
        <v>6558</v>
      </c>
      <c r="D127" s="95" t="s">
        <v>6523</v>
      </c>
      <c r="E127" s="115" t="s">
        <v>1824</v>
      </c>
      <c r="F127" s="86" t="s">
        <v>8320</v>
      </c>
      <c r="G127" s="80" t="s">
        <v>1120</v>
      </c>
      <c r="H127" s="99"/>
      <c r="I127" s="80" t="str">
        <f>IFERROR(VLOOKUP(B127, '02. MM-KLH'!$B:$K, 9, FALSE),"")</f>
        <v/>
      </c>
      <c r="J127" s="106"/>
      <c r="K127" s="1369"/>
      <c r="L127" s="1370" t="s">
        <v>743</v>
      </c>
      <c r="M127" s="108" t="s">
        <v>148</v>
      </c>
      <c r="N127" s="80">
        <v>2018.0</v>
      </c>
      <c r="O127" s="80" t="s">
        <v>860</v>
      </c>
      <c r="P127" s="106" t="s">
        <v>861</v>
      </c>
      <c r="Q127" s="108" t="s">
        <v>1137</v>
      </c>
      <c r="R127" s="110" t="s">
        <v>96</v>
      </c>
    </row>
    <row r="128" ht="13.5" customHeight="1">
      <c r="A128" s="80">
        <v>29.0</v>
      </c>
      <c r="B128" s="84" t="s">
        <v>1138</v>
      </c>
      <c r="C128" s="95" t="s">
        <v>6559</v>
      </c>
      <c r="D128" s="95" t="s">
        <v>6480</v>
      </c>
      <c r="E128" s="115"/>
      <c r="F128" s="86" t="s">
        <v>6476</v>
      </c>
      <c r="G128" s="80" t="s">
        <v>1120</v>
      </c>
      <c r="H128" s="99"/>
      <c r="I128" s="80" t="str">
        <f>IFERROR(VLOOKUP(B128, '02. MM-KLH'!$B:$K, 9, FALSE),"")</f>
        <v/>
      </c>
      <c r="J128" s="106"/>
      <c r="K128" s="1371" t="s">
        <v>1140</v>
      </c>
      <c r="L128" s="1370" t="s">
        <v>454</v>
      </c>
      <c r="M128" s="108" t="s">
        <v>84</v>
      </c>
      <c r="N128" s="80">
        <v>2019.0</v>
      </c>
      <c r="O128" s="80" t="s">
        <v>878</v>
      </c>
      <c r="P128" s="106" t="s">
        <v>101</v>
      </c>
      <c r="Q128" s="108">
        <v>14716.0</v>
      </c>
      <c r="R128" s="110" t="s">
        <v>96</v>
      </c>
    </row>
    <row r="129" ht="13.5" customHeight="1">
      <c r="A129" s="80">
        <v>30.0</v>
      </c>
      <c r="B129" s="84" t="s">
        <v>1568</v>
      </c>
      <c r="C129" s="95" t="s">
        <v>6592</v>
      </c>
      <c r="D129" s="95" t="s">
        <v>8310</v>
      </c>
      <c r="E129" s="115"/>
      <c r="F129" s="86" t="s">
        <v>8326</v>
      </c>
      <c r="G129" s="80" t="s">
        <v>1559</v>
      </c>
      <c r="H129" s="99"/>
      <c r="I129" s="80" t="str">
        <f>IFERROR(VLOOKUP(B129, '02. MM-KLH'!$B:$K, 9, FALSE),"")</f>
        <v/>
      </c>
      <c r="J129" s="106"/>
      <c r="K129" s="1369"/>
      <c r="L129" s="1370" t="s">
        <v>454</v>
      </c>
      <c r="M129" s="108" t="s">
        <v>84</v>
      </c>
      <c r="N129" s="80"/>
      <c r="O129" s="80" t="s">
        <v>1276</v>
      </c>
      <c r="P129" s="106" t="s">
        <v>1277</v>
      </c>
      <c r="Q129" s="108" t="s">
        <v>96</v>
      </c>
      <c r="R129" s="176" t="s">
        <v>1570</v>
      </c>
    </row>
    <row r="130" ht="13.5" customHeight="1">
      <c r="A130" s="80">
        <v>31.0</v>
      </c>
      <c r="B130" s="84" t="s">
        <v>1571</v>
      </c>
      <c r="C130" s="95" t="s">
        <v>6593</v>
      </c>
      <c r="D130" s="95" t="s">
        <v>1025</v>
      </c>
      <c r="E130" s="115"/>
      <c r="F130" s="86" t="s">
        <v>8326</v>
      </c>
      <c r="G130" s="80" t="s">
        <v>1559</v>
      </c>
      <c r="H130" s="99"/>
      <c r="I130" s="80" t="str">
        <f>IFERROR(VLOOKUP(B130, '02. MM-KLH'!$B:$K, 9, FALSE),"")</f>
        <v/>
      </c>
      <c r="J130" s="106"/>
      <c r="K130" s="1369"/>
      <c r="L130" s="1370" t="s">
        <v>454</v>
      </c>
      <c r="M130" s="108" t="s">
        <v>84</v>
      </c>
      <c r="N130" s="80"/>
      <c r="O130" s="80" t="s">
        <v>1276</v>
      </c>
      <c r="P130" s="106" t="s">
        <v>1277</v>
      </c>
      <c r="Q130" s="108" t="s">
        <v>96</v>
      </c>
      <c r="R130" s="176" t="s">
        <v>1574</v>
      </c>
    </row>
    <row r="131" ht="13.5" customHeight="1">
      <c r="A131" s="80">
        <v>32.0</v>
      </c>
      <c r="B131" s="86" t="s">
        <v>2545</v>
      </c>
      <c r="C131" s="95" t="s">
        <v>6661</v>
      </c>
      <c r="D131" s="95"/>
      <c r="E131" s="115" t="s">
        <v>3143</v>
      </c>
      <c r="F131" s="86" t="s">
        <v>8320</v>
      </c>
      <c r="G131" s="80" t="s">
        <v>50</v>
      </c>
      <c r="H131" s="99"/>
      <c r="I131" s="80" t="str">
        <f>IFERROR(VLOOKUP(B131, '02. MM-KLH'!$B:$K, 9, FALSE),"")</f>
        <v/>
      </c>
      <c r="J131" s="106"/>
      <c r="K131" s="1369"/>
      <c r="L131" s="1387" t="s">
        <v>743</v>
      </c>
      <c r="M131" s="108" t="s">
        <v>148</v>
      </c>
      <c r="N131" s="80"/>
      <c r="O131" s="80" t="s">
        <v>860</v>
      </c>
      <c r="P131" s="80" t="s">
        <v>861</v>
      </c>
      <c r="Q131" s="108" t="s">
        <v>2547</v>
      </c>
      <c r="R131" s="110"/>
    </row>
    <row r="132" ht="13.5" customHeight="1">
      <c r="A132" s="80">
        <v>33.0</v>
      </c>
      <c r="B132" s="86" t="s">
        <v>2548</v>
      </c>
      <c r="C132" s="95" t="s">
        <v>6662</v>
      </c>
      <c r="D132" s="95"/>
      <c r="E132" s="115" t="s">
        <v>3143</v>
      </c>
      <c r="F132" s="86" t="s">
        <v>8320</v>
      </c>
      <c r="G132" s="80" t="s">
        <v>50</v>
      </c>
      <c r="H132" s="99"/>
      <c r="I132" s="80" t="str">
        <f>IFERROR(VLOOKUP(B132, '02. MM-KLH'!$B:$K, 9, FALSE),"")</f>
        <v/>
      </c>
      <c r="J132" s="106"/>
      <c r="K132" s="1369"/>
      <c r="L132" s="1387" t="s">
        <v>743</v>
      </c>
      <c r="M132" s="108" t="s">
        <v>148</v>
      </c>
      <c r="N132" s="80"/>
      <c r="O132" s="80" t="s">
        <v>860</v>
      </c>
      <c r="P132" s="80" t="s">
        <v>861</v>
      </c>
      <c r="Q132" s="108" t="s">
        <v>2550</v>
      </c>
      <c r="R132" s="110"/>
    </row>
    <row r="133" ht="13.5" customHeight="1">
      <c r="A133" s="80">
        <v>34.0</v>
      </c>
      <c r="B133" s="86" t="s">
        <v>708</v>
      </c>
      <c r="C133" s="95" t="s">
        <v>709</v>
      </c>
      <c r="D133" s="95"/>
      <c r="E133" s="115"/>
      <c r="F133" s="86" t="s">
        <v>8327</v>
      </c>
      <c r="G133" s="80" t="s">
        <v>8328</v>
      </c>
      <c r="H133" s="80" t="s">
        <v>8329</v>
      </c>
      <c r="I133" s="80"/>
      <c r="J133" s="106"/>
      <c r="K133" s="1369"/>
      <c r="L133" s="1387"/>
      <c r="M133" s="108"/>
      <c r="N133" s="80"/>
      <c r="O133" s="80"/>
      <c r="P133" s="80"/>
      <c r="Q133" s="108"/>
      <c r="R133" s="110"/>
    </row>
    <row r="134" ht="13.5" customHeight="1">
      <c r="A134" s="80">
        <v>35.0</v>
      </c>
      <c r="B134" s="86" t="s">
        <v>714</v>
      </c>
      <c r="C134" s="95" t="s">
        <v>715</v>
      </c>
      <c r="D134" s="95"/>
      <c r="E134" s="115"/>
      <c r="F134" s="86" t="s">
        <v>8327</v>
      </c>
      <c r="G134" s="80" t="s">
        <v>8328</v>
      </c>
      <c r="H134" s="80" t="s">
        <v>8329</v>
      </c>
      <c r="I134" s="80"/>
      <c r="J134" s="106"/>
      <c r="K134" s="1369"/>
      <c r="L134" s="1387"/>
      <c r="M134" s="108"/>
      <c r="N134" s="80"/>
      <c r="O134" s="80"/>
      <c r="P134" s="80"/>
      <c r="Q134" s="108"/>
      <c r="R134" s="110"/>
    </row>
    <row r="135" ht="13.5" customHeight="1">
      <c r="A135" s="80">
        <v>36.0</v>
      </c>
      <c r="B135" s="86" t="s">
        <v>798</v>
      </c>
      <c r="C135" s="1375" t="s">
        <v>800</v>
      </c>
      <c r="D135" s="95"/>
      <c r="E135" s="115"/>
      <c r="F135" s="86" t="s">
        <v>8330</v>
      </c>
      <c r="G135" s="80" t="s">
        <v>8328</v>
      </c>
      <c r="H135" s="99"/>
      <c r="I135" s="80"/>
      <c r="J135" s="106"/>
      <c r="K135" s="1369"/>
      <c r="L135" s="1387"/>
      <c r="M135" s="108"/>
      <c r="N135" s="80"/>
      <c r="O135" s="80"/>
      <c r="P135" s="80"/>
      <c r="Q135" s="108"/>
      <c r="R135" s="110"/>
    </row>
    <row r="136" ht="13.5" customHeight="1">
      <c r="A136" s="80">
        <v>37.0</v>
      </c>
      <c r="B136" s="86" t="s">
        <v>718</v>
      </c>
      <c r="C136" s="95" t="s">
        <v>719</v>
      </c>
      <c r="D136" s="95"/>
      <c r="E136" s="115"/>
      <c r="F136" s="86" t="s">
        <v>8331</v>
      </c>
      <c r="G136" s="80" t="s">
        <v>8328</v>
      </c>
      <c r="H136" s="99"/>
      <c r="I136" s="80"/>
      <c r="J136" s="106"/>
      <c r="K136" s="1369"/>
      <c r="L136" s="1387"/>
      <c r="M136" s="108"/>
      <c r="N136" s="80"/>
      <c r="O136" s="80"/>
      <c r="P136" s="80"/>
      <c r="Q136" s="108"/>
      <c r="R136" s="110"/>
    </row>
    <row r="137" ht="13.5" customHeight="1">
      <c r="A137" s="80">
        <v>38.0</v>
      </c>
      <c r="B137" s="86" t="s">
        <v>724</v>
      </c>
      <c r="C137" s="95" t="s">
        <v>725</v>
      </c>
      <c r="D137" s="95"/>
      <c r="E137" s="115"/>
      <c r="F137" s="86" t="s">
        <v>8332</v>
      </c>
      <c r="G137" s="80" t="s">
        <v>8328</v>
      </c>
      <c r="H137" s="99"/>
      <c r="I137" s="80"/>
      <c r="J137" s="106"/>
      <c r="K137" s="1369"/>
      <c r="L137" s="1387"/>
      <c r="M137" s="108"/>
      <c r="N137" s="80"/>
      <c r="O137" s="80"/>
      <c r="P137" s="80"/>
      <c r="Q137" s="108"/>
      <c r="R137" s="110"/>
    </row>
    <row r="138" ht="13.5" customHeight="1">
      <c r="A138" s="80">
        <v>39.0</v>
      </c>
      <c r="B138" s="86" t="s">
        <v>729</v>
      </c>
      <c r="C138" s="95" t="s">
        <v>730</v>
      </c>
      <c r="D138" s="95"/>
      <c r="E138" s="115"/>
      <c r="F138" s="86" t="s">
        <v>8333</v>
      </c>
      <c r="G138" s="80" t="s">
        <v>8328</v>
      </c>
      <c r="H138" s="99"/>
      <c r="I138" s="80"/>
      <c r="J138" s="106"/>
      <c r="K138" s="1369"/>
      <c r="L138" s="1387"/>
      <c r="M138" s="108"/>
      <c r="N138" s="80"/>
      <c r="O138" s="80"/>
      <c r="P138" s="80"/>
      <c r="Q138" s="108"/>
      <c r="R138" s="110"/>
    </row>
    <row r="139" ht="13.5" customHeight="1">
      <c r="A139" s="80"/>
      <c r="B139" s="86"/>
      <c r="C139" s="95"/>
      <c r="D139" s="95"/>
      <c r="E139" s="115"/>
      <c r="F139" s="86"/>
      <c r="G139" s="80"/>
      <c r="H139" s="99"/>
      <c r="I139" s="80"/>
      <c r="J139" s="106"/>
      <c r="K139" s="1369"/>
      <c r="L139" s="1387"/>
      <c r="M139" s="108"/>
      <c r="N139" s="80"/>
      <c r="O139" s="80"/>
      <c r="P139" s="80"/>
      <c r="Q139" s="108"/>
      <c r="R139" s="110"/>
    </row>
    <row r="140" ht="13.5" customHeight="1">
      <c r="A140" s="80"/>
      <c r="B140" s="86"/>
      <c r="C140" s="95"/>
      <c r="D140" s="95"/>
      <c r="E140" s="115"/>
      <c r="F140" s="86"/>
      <c r="G140" s="80"/>
      <c r="H140" s="99"/>
      <c r="I140" s="80"/>
      <c r="J140" s="106"/>
      <c r="K140" s="1369"/>
      <c r="L140" s="1387"/>
      <c r="M140" s="108"/>
      <c r="N140" s="80"/>
      <c r="O140" s="80"/>
      <c r="P140" s="80"/>
      <c r="Q140" s="108"/>
      <c r="R140" s="110"/>
    </row>
    <row r="141" ht="13.5" customHeight="1">
      <c r="A141" s="80"/>
      <c r="B141" s="86"/>
      <c r="C141" s="95"/>
      <c r="D141" s="95"/>
      <c r="E141" s="115"/>
      <c r="F141" s="86"/>
      <c r="G141" s="80"/>
      <c r="H141" s="99"/>
      <c r="I141" s="80"/>
      <c r="J141" s="106"/>
      <c r="K141" s="1369"/>
      <c r="L141" s="1387"/>
      <c r="M141" s="108"/>
      <c r="N141" s="80"/>
      <c r="O141" s="80"/>
      <c r="P141" s="80"/>
      <c r="Q141" s="108"/>
      <c r="R141" s="110"/>
    </row>
    <row r="142" ht="13.5" customHeight="1">
      <c r="A142" s="80"/>
      <c r="B142" s="86"/>
      <c r="C142" s="95"/>
      <c r="D142" s="95"/>
      <c r="E142" s="115"/>
      <c r="F142" s="86"/>
      <c r="G142" s="80"/>
      <c r="H142" s="99"/>
      <c r="I142" s="80"/>
      <c r="J142" s="106"/>
      <c r="K142" s="1369"/>
      <c r="L142" s="1387"/>
      <c r="M142" s="108"/>
      <c r="N142" s="80"/>
      <c r="O142" s="80"/>
      <c r="P142" s="80"/>
      <c r="Q142" s="108"/>
      <c r="R142" s="110"/>
    </row>
    <row r="143" ht="13.5" customHeight="1">
      <c r="A143" s="80"/>
      <c r="B143" s="86"/>
      <c r="C143" s="95"/>
      <c r="D143" s="95"/>
      <c r="E143" s="115"/>
      <c r="F143" s="86"/>
      <c r="G143" s="80"/>
      <c r="H143" s="99"/>
      <c r="I143" s="80"/>
      <c r="J143" s="106"/>
      <c r="K143" s="1369"/>
      <c r="L143" s="1387"/>
      <c r="M143" s="108"/>
      <c r="N143" s="80"/>
      <c r="O143" s="80"/>
      <c r="P143" s="80"/>
      <c r="Q143" s="108"/>
      <c r="R143" s="110"/>
    </row>
    <row r="144" ht="13.5" customHeight="1">
      <c r="A144" s="151" t="s">
        <v>8334</v>
      </c>
      <c r="B144" s="152" t="s">
        <v>8335</v>
      </c>
      <c r="C144" s="72"/>
      <c r="D144" s="72"/>
      <c r="E144" s="75"/>
      <c r="F144" s="72"/>
      <c r="G144" s="75"/>
      <c r="H144" s="79"/>
      <c r="I144" s="79"/>
      <c r="J144" s="72"/>
      <c r="K144" s="1366"/>
      <c r="L144" s="1367"/>
      <c r="M144" s="75"/>
      <c r="N144" s="75"/>
      <c r="O144" s="75"/>
      <c r="P144" s="75"/>
      <c r="Q144" s="75"/>
      <c r="R144" s="75"/>
    </row>
    <row r="145" ht="13.5" customHeight="1">
      <c r="A145" s="80">
        <v>1.0</v>
      </c>
      <c r="B145" s="84" t="s">
        <v>8336</v>
      </c>
      <c r="C145" s="95" t="s">
        <v>945</v>
      </c>
      <c r="D145" s="95" t="s">
        <v>945</v>
      </c>
      <c r="E145" s="115"/>
      <c r="F145" s="86" t="s">
        <v>8337</v>
      </c>
      <c r="G145" s="80" t="s">
        <v>8338</v>
      </c>
      <c r="H145" s="99"/>
      <c r="I145" s="80" t="str">
        <f>IFERROR(VLOOKUP(B145, '02. MM-KLH'!$B:$K, 9, FALSE),"")</f>
        <v/>
      </c>
      <c r="J145" s="106"/>
      <c r="K145" s="1369" t="s">
        <v>8339</v>
      </c>
      <c r="L145" s="1370" t="s">
        <v>1561</v>
      </c>
      <c r="M145" s="108" t="s">
        <v>912</v>
      </c>
      <c r="N145" s="80"/>
      <c r="O145" s="80"/>
      <c r="P145" s="80" t="s">
        <v>950</v>
      </c>
      <c r="Q145" s="108" t="s">
        <v>1562</v>
      </c>
      <c r="R145" s="110" t="s">
        <v>96</v>
      </c>
    </row>
    <row r="146" ht="13.5" customHeight="1">
      <c r="A146" s="80">
        <v>2.0</v>
      </c>
      <c r="B146" s="84" t="s">
        <v>8340</v>
      </c>
      <c r="C146" s="95" t="s">
        <v>953</v>
      </c>
      <c r="D146" s="95" t="s">
        <v>953</v>
      </c>
      <c r="E146" s="115"/>
      <c r="F146" s="86" t="s">
        <v>8337</v>
      </c>
      <c r="G146" s="80" t="s">
        <v>8338</v>
      </c>
      <c r="H146" s="99"/>
      <c r="I146" s="80" t="str">
        <f>IFERROR(VLOOKUP(B146, '02. MM-KLH'!$B:$K, 9, FALSE),"")</f>
        <v/>
      </c>
      <c r="J146" s="106"/>
      <c r="K146" s="1369"/>
      <c r="L146" s="1370" t="s">
        <v>1561</v>
      </c>
      <c r="M146" s="108" t="s">
        <v>912</v>
      </c>
      <c r="N146" s="80"/>
      <c r="O146" s="80"/>
      <c r="P146" s="80" t="s">
        <v>950</v>
      </c>
      <c r="Q146" s="108" t="s">
        <v>1567</v>
      </c>
      <c r="R146" s="110" t="s">
        <v>96</v>
      </c>
    </row>
    <row r="147" ht="13.5" customHeight="1">
      <c r="A147" s="151" t="s">
        <v>8341</v>
      </c>
      <c r="B147" s="152" t="s">
        <v>2962</v>
      </c>
      <c r="C147" s="72"/>
      <c r="D147" s="72"/>
      <c r="E147" s="75"/>
      <c r="F147" s="72"/>
      <c r="G147" s="75"/>
      <c r="H147" s="79"/>
      <c r="I147" s="79"/>
      <c r="J147" s="72"/>
      <c r="K147" s="1366"/>
      <c r="L147" s="1367"/>
      <c r="M147" s="75"/>
      <c r="N147" s="75"/>
      <c r="O147" s="75"/>
      <c r="P147" s="75"/>
      <c r="Q147" s="75"/>
      <c r="R147" s="75"/>
    </row>
    <row r="148" ht="13.5" customHeight="1">
      <c r="A148" s="80"/>
      <c r="B148" s="86"/>
      <c r="C148" s="95"/>
      <c r="D148" s="95"/>
      <c r="E148" s="115"/>
      <c r="F148" s="86"/>
      <c r="G148" s="80"/>
      <c r="H148" s="99"/>
      <c r="I148" s="80"/>
      <c r="J148" s="102"/>
      <c r="K148" s="1371"/>
      <c r="L148" s="1370"/>
      <c r="M148" s="108"/>
      <c r="N148" s="80"/>
      <c r="O148" s="80"/>
      <c r="P148" s="106"/>
      <c r="Q148" s="108"/>
      <c r="R148" s="110"/>
    </row>
    <row r="149" ht="13.5" customHeight="1">
      <c r="A149" s="151" t="s">
        <v>8342</v>
      </c>
      <c r="B149" s="152" t="s">
        <v>8343</v>
      </c>
      <c r="C149" s="72"/>
      <c r="D149" s="72"/>
      <c r="E149" s="75"/>
      <c r="F149" s="72"/>
      <c r="G149" s="75"/>
      <c r="H149" s="79"/>
      <c r="I149" s="79"/>
      <c r="J149" s="72"/>
      <c r="K149" s="1366"/>
      <c r="L149" s="1367"/>
      <c r="M149" s="75"/>
      <c r="N149" s="75"/>
      <c r="O149" s="75"/>
      <c r="P149" s="75"/>
      <c r="Q149" s="75"/>
      <c r="R149" s="75"/>
    </row>
    <row r="150" ht="13.5" customHeight="1">
      <c r="A150" s="289">
        <v>1.0</v>
      </c>
      <c r="B150" s="911" t="s">
        <v>2412</v>
      </c>
      <c r="C150" s="920" t="s">
        <v>6651</v>
      </c>
      <c r="D150" s="920"/>
      <c r="E150" s="910"/>
      <c r="F150" s="911" t="s">
        <v>8344</v>
      </c>
      <c r="G150" s="289" t="s">
        <v>64</v>
      </c>
      <c r="H150" s="289"/>
      <c r="I150" s="80" t="str">
        <f>IFERROR(VLOOKUP(B150, '02. MM-KLH'!$B:$K, 9, FALSE),"")</f>
        <v/>
      </c>
      <c r="J150" s="1407"/>
      <c r="K150" s="1408" t="s">
        <v>4312</v>
      </c>
      <c r="L150" s="1409" t="s">
        <v>2416</v>
      </c>
      <c r="M150" s="266"/>
      <c r="N150" s="263"/>
      <c r="O150" s="263" t="s">
        <v>8345</v>
      </c>
      <c r="P150" s="263"/>
      <c r="Q150" s="266" t="s">
        <v>2419</v>
      </c>
      <c r="R150" s="255"/>
    </row>
    <row r="151" ht="13.5" customHeight="1">
      <c r="A151" s="289">
        <v>2.0</v>
      </c>
      <c r="B151" s="911" t="s">
        <v>2420</v>
      </c>
      <c r="C151" s="920" t="s">
        <v>6652</v>
      </c>
      <c r="D151" s="920"/>
      <c r="E151" s="910"/>
      <c r="F151" s="911" t="s">
        <v>8344</v>
      </c>
      <c r="G151" s="289" t="s">
        <v>64</v>
      </c>
      <c r="H151" s="289"/>
      <c r="I151" s="80" t="str">
        <f>IFERROR(VLOOKUP(B151, '02. MM-KLH'!$B:$K, 9, FALSE),"")</f>
        <v/>
      </c>
      <c r="J151" s="1407"/>
      <c r="K151" s="1408" t="s">
        <v>4312</v>
      </c>
      <c r="L151" s="1409" t="s">
        <v>2416</v>
      </c>
      <c r="M151" s="266"/>
      <c r="N151" s="263"/>
      <c r="O151" s="263" t="s">
        <v>8345</v>
      </c>
      <c r="P151" s="263"/>
      <c r="Q151" s="266" t="s">
        <v>2422</v>
      </c>
      <c r="R151" s="255"/>
    </row>
    <row r="152" ht="13.5" customHeight="1">
      <c r="A152" s="289">
        <v>3.0</v>
      </c>
      <c r="B152" s="911" t="s">
        <v>2423</v>
      </c>
      <c r="C152" s="920" t="s">
        <v>6653</v>
      </c>
      <c r="D152" s="920"/>
      <c r="E152" s="910"/>
      <c r="F152" s="911" t="s">
        <v>8344</v>
      </c>
      <c r="G152" s="289" t="s">
        <v>64</v>
      </c>
      <c r="H152" s="289"/>
      <c r="I152" s="80" t="str">
        <f>IFERROR(VLOOKUP(B152, '02. MM-KLH'!$B:$K, 9, FALSE),"")</f>
        <v/>
      </c>
      <c r="J152" s="1407"/>
      <c r="K152" s="1408" t="s">
        <v>4312</v>
      </c>
      <c r="L152" s="1409" t="s">
        <v>2416</v>
      </c>
      <c r="M152" s="266"/>
      <c r="N152" s="263"/>
      <c r="O152" s="263" t="s">
        <v>8345</v>
      </c>
      <c r="P152" s="263"/>
      <c r="Q152" s="266" t="s">
        <v>2425</v>
      </c>
      <c r="R152" s="255"/>
    </row>
    <row r="153" ht="13.5" customHeight="1">
      <c r="A153" s="289">
        <v>4.0</v>
      </c>
      <c r="B153" s="911" t="s">
        <v>2426</v>
      </c>
      <c r="C153" s="920" t="s">
        <v>6654</v>
      </c>
      <c r="D153" s="920"/>
      <c r="E153" s="910"/>
      <c r="F153" s="911" t="s">
        <v>8344</v>
      </c>
      <c r="G153" s="289" t="s">
        <v>64</v>
      </c>
      <c r="H153" s="289"/>
      <c r="I153" s="80" t="str">
        <f>IFERROR(VLOOKUP(B153, '02. MM-KLH'!$B:$K, 9, FALSE),"")</f>
        <v/>
      </c>
      <c r="J153" s="1407"/>
      <c r="K153" s="1408" t="s">
        <v>4312</v>
      </c>
      <c r="L153" s="1409" t="s">
        <v>2416</v>
      </c>
      <c r="M153" s="266"/>
      <c r="N153" s="263"/>
      <c r="O153" s="263" t="s">
        <v>8345</v>
      </c>
      <c r="P153" s="263"/>
      <c r="Q153" s="266" t="s">
        <v>2428</v>
      </c>
      <c r="R153" s="255"/>
    </row>
    <row r="154" ht="13.5" customHeight="1">
      <c r="A154" s="289">
        <v>5.0</v>
      </c>
      <c r="B154" s="911" t="s">
        <v>2429</v>
      </c>
      <c r="C154" s="920" t="s">
        <v>6655</v>
      </c>
      <c r="D154" s="920"/>
      <c r="E154" s="910"/>
      <c r="F154" s="911" t="s">
        <v>8344</v>
      </c>
      <c r="G154" s="289" t="s">
        <v>64</v>
      </c>
      <c r="H154" s="289"/>
      <c r="I154" s="80" t="str">
        <f>IFERROR(VLOOKUP(B154, '02. MM-KLH'!$B:$K, 9, FALSE),"")</f>
        <v/>
      </c>
      <c r="J154" s="1407"/>
      <c r="K154" s="1408" t="s">
        <v>4312</v>
      </c>
      <c r="L154" s="1409" t="s">
        <v>2416</v>
      </c>
      <c r="M154" s="266"/>
      <c r="N154" s="263"/>
      <c r="O154" s="263" t="s">
        <v>8345</v>
      </c>
      <c r="P154" s="263"/>
      <c r="Q154" s="266" t="s">
        <v>2431</v>
      </c>
      <c r="R154" s="255"/>
    </row>
    <row r="155" ht="13.5" customHeight="1">
      <c r="A155" s="289">
        <v>6.0</v>
      </c>
      <c r="B155" s="911" t="s">
        <v>2432</v>
      </c>
      <c r="C155" s="920" t="s">
        <v>6656</v>
      </c>
      <c r="D155" s="920"/>
      <c r="E155" s="910"/>
      <c r="F155" s="911" t="s">
        <v>8344</v>
      </c>
      <c r="G155" s="289" t="s">
        <v>64</v>
      </c>
      <c r="H155" s="289"/>
      <c r="I155" s="80" t="str">
        <f>IFERROR(VLOOKUP(B155, '02. MM-KLH'!$B:$K, 9, FALSE),"")</f>
        <v/>
      </c>
      <c r="J155" s="1407"/>
      <c r="K155" s="1408" t="s">
        <v>4312</v>
      </c>
      <c r="L155" s="1409" t="s">
        <v>2416</v>
      </c>
      <c r="M155" s="266"/>
      <c r="N155" s="263"/>
      <c r="O155" s="263" t="s">
        <v>8345</v>
      </c>
      <c r="P155" s="263"/>
      <c r="Q155" s="266" t="s">
        <v>2434</v>
      </c>
      <c r="R155" s="255" t="s">
        <v>2435</v>
      </c>
    </row>
    <row r="156" ht="13.5" customHeight="1">
      <c r="A156" s="289"/>
      <c r="B156" s="911"/>
      <c r="C156" s="920"/>
      <c r="D156" s="920"/>
      <c r="E156" s="910"/>
      <c r="F156" s="911"/>
      <c r="G156" s="289"/>
      <c r="H156" s="289"/>
      <c r="I156" s="80"/>
      <c r="J156" s="1407"/>
      <c r="K156" s="1408"/>
      <c r="L156" s="1409"/>
      <c r="M156" s="266"/>
      <c r="N156" s="263"/>
      <c r="O156" s="263"/>
      <c r="P156" s="263"/>
      <c r="Q156" s="266"/>
      <c r="R156" s="255"/>
    </row>
    <row r="157" ht="13.5" customHeight="1">
      <c r="A157" s="151" t="s">
        <v>8346</v>
      </c>
      <c r="B157" s="152" t="s">
        <v>8347</v>
      </c>
      <c r="C157" s="72"/>
      <c r="D157" s="72"/>
      <c r="E157" s="75"/>
      <c r="F157" s="72"/>
      <c r="G157" s="75"/>
      <c r="H157" s="79"/>
      <c r="I157" s="79"/>
      <c r="J157" s="72"/>
      <c r="K157" s="1366"/>
      <c r="L157" s="1367"/>
      <c r="M157" s="75"/>
      <c r="N157" s="75"/>
      <c r="O157" s="75"/>
      <c r="P157" s="75"/>
      <c r="Q157" s="75"/>
      <c r="R157" s="75"/>
    </row>
    <row r="158" ht="13.5" customHeight="1">
      <c r="A158" s="289">
        <v>1.0</v>
      </c>
      <c r="B158" s="911" t="s">
        <v>964</v>
      </c>
      <c r="C158" s="920" t="s">
        <v>6541</v>
      </c>
      <c r="D158" s="920"/>
      <c r="E158" s="910"/>
      <c r="F158" s="911" t="s">
        <v>8348</v>
      </c>
      <c r="G158" s="289" t="s">
        <v>8349</v>
      </c>
      <c r="H158" s="289" t="s">
        <v>966</v>
      </c>
      <c r="I158" s="80" t="str">
        <f>IFERROR(VLOOKUP(B158, '02. MM-KLH'!$B:$K, 9, FALSE),"")</f>
        <v>30/07/2024</v>
      </c>
      <c r="J158" s="1410">
        <v>0.7</v>
      </c>
      <c r="K158" s="1408"/>
      <c r="L158" s="1409"/>
      <c r="M158" s="266"/>
      <c r="N158" s="263"/>
      <c r="O158" s="263"/>
      <c r="P158" s="263"/>
      <c r="Q158" s="266"/>
      <c r="R158" s="255"/>
    </row>
    <row r="159" ht="13.5" customHeight="1">
      <c r="A159" s="76" t="s">
        <v>8350</v>
      </c>
      <c r="B159" s="55"/>
      <c r="C159" s="59">
        <f>COUNTA(C161:C259)</f>
        <v>80</v>
      </c>
      <c r="D159" s="59"/>
      <c r="E159" s="55"/>
      <c r="F159" s="59"/>
      <c r="G159" s="55"/>
      <c r="H159" s="62"/>
      <c r="I159" s="1411"/>
      <c r="J159" s="59"/>
      <c r="K159" s="81"/>
      <c r="L159" s="1365"/>
      <c r="M159" s="55"/>
      <c r="N159" s="55"/>
      <c r="O159" s="55"/>
      <c r="P159" s="55"/>
      <c r="Q159" s="55"/>
      <c r="R159" s="55"/>
    </row>
    <row r="160" ht="13.5" customHeight="1">
      <c r="A160" s="151" t="s">
        <v>653</v>
      </c>
      <c r="B160" s="152" t="s">
        <v>8351</v>
      </c>
      <c r="C160" s="72"/>
      <c r="D160" s="72"/>
      <c r="E160" s="75"/>
      <c r="F160" s="72"/>
      <c r="G160" s="75"/>
      <c r="H160" s="79"/>
      <c r="I160" s="79"/>
      <c r="J160" s="72"/>
      <c r="K160" s="1366"/>
      <c r="L160" s="1367"/>
      <c r="M160" s="75"/>
      <c r="N160" s="75"/>
      <c r="O160" s="75"/>
      <c r="P160" s="75"/>
      <c r="Q160" s="75"/>
      <c r="R160" s="75"/>
    </row>
    <row r="161" ht="13.5" customHeight="1">
      <c r="A161" s="80">
        <v>1.0</v>
      </c>
      <c r="B161" s="84" t="s">
        <v>152</v>
      </c>
      <c r="C161" s="95" t="s">
        <v>159</v>
      </c>
      <c r="D161" s="95" t="s">
        <v>6448</v>
      </c>
      <c r="E161" s="115" t="s">
        <v>159</v>
      </c>
      <c r="F161" s="86" t="s">
        <v>8253</v>
      </c>
      <c r="G161" s="80" t="s">
        <v>55</v>
      </c>
      <c r="H161" s="99">
        <v>44197.0</v>
      </c>
      <c r="I161" s="80">
        <f>IFERROR(VLOOKUP(B161, '02. MM-KLH'!$B:$K, 9, FALSE),"")</f>
        <v>44197</v>
      </c>
      <c r="J161" s="102">
        <v>0.67</v>
      </c>
      <c r="K161" s="1369"/>
      <c r="L161" s="1370" t="s">
        <v>92</v>
      </c>
      <c r="M161" s="108" t="s">
        <v>84</v>
      </c>
      <c r="N161" s="80">
        <v>2020.0</v>
      </c>
      <c r="O161" s="80" t="s">
        <v>111</v>
      </c>
      <c r="P161" s="106" t="s">
        <v>94</v>
      </c>
      <c r="Q161" s="108" t="s">
        <v>438</v>
      </c>
      <c r="R161" s="110">
        <v>800391.0</v>
      </c>
    </row>
    <row r="162" ht="13.5" customHeight="1">
      <c r="A162" s="80">
        <v>2.0</v>
      </c>
      <c r="B162" s="84" t="s">
        <v>439</v>
      </c>
      <c r="C162" s="95" t="s">
        <v>601</v>
      </c>
      <c r="D162" s="95" t="s">
        <v>6453</v>
      </c>
      <c r="E162" s="115" t="s">
        <v>601</v>
      </c>
      <c r="F162" s="86" t="s">
        <v>8259</v>
      </c>
      <c r="G162" s="80" t="s">
        <v>55</v>
      </c>
      <c r="H162" s="99">
        <v>44197.0</v>
      </c>
      <c r="I162" s="80">
        <f>IFERROR(VLOOKUP(B162, '02. MM-KLH'!$B:$K, 9, FALSE),"")</f>
        <v>44197</v>
      </c>
      <c r="J162" s="102">
        <v>0.67</v>
      </c>
      <c r="K162" s="1369"/>
      <c r="L162" s="1370" t="s">
        <v>92</v>
      </c>
      <c r="M162" s="108" t="s">
        <v>84</v>
      </c>
      <c r="N162" s="80">
        <v>2019.0</v>
      </c>
      <c r="O162" s="80" t="s">
        <v>116</v>
      </c>
      <c r="P162" s="106" t="s">
        <v>117</v>
      </c>
      <c r="Q162" s="108" t="s">
        <v>441</v>
      </c>
      <c r="R162" s="110" t="s">
        <v>442</v>
      </c>
    </row>
    <row r="163" ht="13.5" customHeight="1">
      <c r="A163" s="80">
        <v>3.0</v>
      </c>
      <c r="B163" s="84" t="s">
        <v>289</v>
      </c>
      <c r="C163" s="95" t="s">
        <v>298</v>
      </c>
      <c r="D163" s="95" t="s">
        <v>6456</v>
      </c>
      <c r="E163" s="115" t="s">
        <v>298</v>
      </c>
      <c r="F163" s="86" t="s">
        <v>8255</v>
      </c>
      <c r="G163" s="80" t="s">
        <v>55</v>
      </c>
      <c r="H163" s="99">
        <v>44197.0</v>
      </c>
      <c r="I163" s="80">
        <f>IFERROR(VLOOKUP(B163, '02. MM-KLH'!$B:$K, 9, FALSE),"")</f>
        <v>44197</v>
      </c>
      <c r="J163" s="102">
        <v>0.67</v>
      </c>
      <c r="K163" s="1369"/>
      <c r="L163" s="1370" t="s">
        <v>102</v>
      </c>
      <c r="M163" s="108" t="s">
        <v>103</v>
      </c>
      <c r="N163" s="80">
        <v>2020.0</v>
      </c>
      <c r="O163" s="80" t="s">
        <v>104</v>
      </c>
      <c r="P163" s="106" t="s">
        <v>105</v>
      </c>
      <c r="Q163" s="108" t="s">
        <v>445</v>
      </c>
      <c r="R163" s="110" t="s">
        <v>446</v>
      </c>
    </row>
    <row r="164" ht="13.5" customHeight="1">
      <c r="A164" s="80">
        <v>4.0</v>
      </c>
      <c r="B164" s="84" t="s">
        <v>322</v>
      </c>
      <c r="C164" s="95" t="s">
        <v>329</v>
      </c>
      <c r="D164" s="95" t="s">
        <v>8353</v>
      </c>
      <c r="E164" s="115" t="s">
        <v>329</v>
      </c>
      <c r="F164" s="86" t="s">
        <v>8255</v>
      </c>
      <c r="G164" s="80" t="s">
        <v>55</v>
      </c>
      <c r="H164" s="99">
        <v>44197.0</v>
      </c>
      <c r="I164" s="80">
        <f>IFERROR(VLOOKUP(B164, '02. MM-KLH'!$B:$K, 9, FALSE),"")</f>
        <v>44197</v>
      </c>
      <c r="J164" s="102">
        <v>0.67</v>
      </c>
      <c r="K164" s="1369"/>
      <c r="L164" s="1370" t="s">
        <v>102</v>
      </c>
      <c r="M164" s="108" t="s">
        <v>103</v>
      </c>
      <c r="N164" s="80">
        <v>2020.0</v>
      </c>
      <c r="O164" s="80" t="s">
        <v>104</v>
      </c>
      <c r="P164" s="106" t="s">
        <v>105</v>
      </c>
      <c r="Q164" s="108" t="s">
        <v>448</v>
      </c>
      <c r="R164" s="110" t="s">
        <v>449</v>
      </c>
    </row>
    <row r="165" ht="13.5" customHeight="1">
      <c r="A165" s="80">
        <v>5.0</v>
      </c>
      <c r="B165" s="115" t="s">
        <v>8354</v>
      </c>
      <c r="C165" s="95" t="s">
        <v>1083</v>
      </c>
      <c r="D165" s="95" t="s">
        <v>8355</v>
      </c>
      <c r="E165" s="115" t="s">
        <v>1083</v>
      </c>
      <c r="F165" s="86" t="s">
        <v>6486</v>
      </c>
      <c r="G165" s="80" t="s">
        <v>55</v>
      </c>
      <c r="H165" s="99"/>
      <c r="I165" s="80" t="str">
        <f>IFERROR(VLOOKUP(B165, '02. MM-KLH'!$B:$K, 9, FALSE),"")</f>
        <v/>
      </c>
      <c r="J165" s="106"/>
      <c r="K165" s="1383" t="s">
        <v>453</v>
      </c>
      <c r="L165" s="1370" t="s">
        <v>454</v>
      </c>
      <c r="M165" s="108" t="s">
        <v>84</v>
      </c>
      <c r="N165" s="80">
        <v>2015.0</v>
      </c>
      <c r="O165" s="80" t="s">
        <v>455</v>
      </c>
      <c r="P165" s="106" t="s">
        <v>456</v>
      </c>
      <c r="Q165" s="108">
        <v>60432.0</v>
      </c>
      <c r="R165" s="110" t="s">
        <v>96</v>
      </c>
    </row>
    <row r="166" ht="13.5" customHeight="1">
      <c r="A166" s="80">
        <v>6.0</v>
      </c>
      <c r="B166" s="115" t="s">
        <v>877</v>
      </c>
      <c r="C166" s="95" t="s">
        <v>881</v>
      </c>
      <c r="D166" s="9" t="s">
        <v>8356</v>
      </c>
      <c r="E166" s="134" t="s">
        <v>881</v>
      </c>
      <c r="F166" s="134" t="s">
        <v>8262</v>
      </c>
      <c r="G166" s="80" t="s">
        <v>55</v>
      </c>
      <c r="H166" s="9" t="s">
        <v>1402</v>
      </c>
      <c r="I166" s="80" t="str">
        <f>IFERROR(VLOOKUP(B166, '02. MM-KLH'!$B:$K, 9, FALSE),"")</f>
        <v>21/02/2024</v>
      </c>
      <c r="J166" s="139">
        <v>0.69</v>
      </c>
      <c r="K166" s="1383" t="s">
        <v>453</v>
      </c>
      <c r="L166" s="1412" t="s">
        <v>123</v>
      </c>
      <c r="M166" s="140" t="s">
        <v>84</v>
      </c>
      <c r="N166" s="9">
        <v>2006.0</v>
      </c>
      <c r="O166" s="9" t="s">
        <v>1428</v>
      </c>
      <c r="P166" s="209" t="s">
        <v>462</v>
      </c>
      <c r="Q166" s="140" t="s">
        <v>1429</v>
      </c>
      <c r="R166" s="140">
        <v>11014.0</v>
      </c>
    </row>
    <row r="167" ht="13.5" customHeight="1">
      <c r="A167" s="80">
        <v>7.0</v>
      </c>
      <c r="B167" s="86" t="s">
        <v>859</v>
      </c>
      <c r="C167" s="1375" t="s">
        <v>6500</v>
      </c>
      <c r="D167" s="95"/>
      <c r="E167" s="115"/>
      <c r="F167" s="86" t="s">
        <v>8357</v>
      </c>
      <c r="G167" s="80" t="s">
        <v>55</v>
      </c>
      <c r="H167" s="80" t="s">
        <v>1430</v>
      </c>
      <c r="I167" s="80" t="str">
        <f>IFERROR(VLOOKUP(B167, '02. MM-KLH'!$B:$K, 9, FALSE),"")</f>
        <v>30/06/2024</v>
      </c>
      <c r="J167" s="102"/>
      <c r="K167" s="1369"/>
      <c r="L167" s="1387" t="s">
        <v>123</v>
      </c>
      <c r="M167" s="108" t="s">
        <v>8261</v>
      </c>
      <c r="N167" s="80">
        <v>2005.0</v>
      </c>
      <c r="O167" s="80" t="s">
        <v>237</v>
      </c>
      <c r="P167" s="80" t="s">
        <v>8358</v>
      </c>
      <c r="Q167" s="108" t="s">
        <v>1433</v>
      </c>
      <c r="R167" s="110">
        <v>27150.0</v>
      </c>
    </row>
    <row r="168" ht="13.5" customHeight="1">
      <c r="A168" s="80">
        <v>8.0</v>
      </c>
      <c r="B168" s="113" t="s">
        <v>1040</v>
      </c>
      <c r="C168" s="95" t="s">
        <v>1044</v>
      </c>
      <c r="D168" s="95" t="s">
        <v>8359</v>
      </c>
      <c r="E168" s="115" t="s">
        <v>1044</v>
      </c>
      <c r="F168" s="115" t="s">
        <v>8262</v>
      </c>
      <c r="G168" s="95" t="s">
        <v>1389</v>
      </c>
      <c r="H168" s="116"/>
      <c r="I168" s="80" t="str">
        <f>IFERROR(VLOOKUP(B168, '02. MM-KLH'!$B:$K, 9, FALSE),"")</f>
        <v/>
      </c>
      <c r="J168" s="117">
        <v>0.69</v>
      </c>
      <c r="K168" s="1372"/>
      <c r="L168" s="1373" t="s">
        <v>123</v>
      </c>
      <c r="M168" s="110" t="s">
        <v>84</v>
      </c>
      <c r="N168" s="95">
        <v>2010.0</v>
      </c>
      <c r="O168" s="95" t="s">
        <v>237</v>
      </c>
      <c r="P168" s="119" t="s">
        <v>462</v>
      </c>
      <c r="Q168" s="110" t="s">
        <v>1439</v>
      </c>
      <c r="R168" s="110">
        <v>21629.0</v>
      </c>
    </row>
    <row r="169" ht="13.5" customHeight="1">
      <c r="A169" s="80">
        <v>9.0</v>
      </c>
      <c r="B169" s="84" t="s">
        <v>3050</v>
      </c>
      <c r="C169" s="95" t="s">
        <v>1083</v>
      </c>
      <c r="D169" s="95" t="s">
        <v>8360</v>
      </c>
      <c r="E169" s="115" t="s">
        <v>1083</v>
      </c>
      <c r="F169" s="86" t="s">
        <v>6486</v>
      </c>
      <c r="G169" s="80" t="s">
        <v>1389</v>
      </c>
      <c r="H169" s="99"/>
      <c r="I169" s="80" t="str">
        <f>IFERROR(VLOOKUP(B169, '02. MM-KLH'!$B:$K, 9, FALSE),"")</f>
        <v/>
      </c>
      <c r="J169" s="106"/>
      <c r="K169" s="127" t="s">
        <v>8361</v>
      </c>
      <c r="L169" s="1370" t="s">
        <v>454</v>
      </c>
      <c r="M169" s="108" t="s">
        <v>84</v>
      </c>
      <c r="N169" s="80">
        <v>2015.0</v>
      </c>
      <c r="O169" s="80" t="s">
        <v>455</v>
      </c>
      <c r="P169" s="106" t="s">
        <v>456</v>
      </c>
      <c r="Q169" s="108">
        <v>60284.0</v>
      </c>
      <c r="R169" s="110" t="s">
        <v>96</v>
      </c>
    </row>
    <row r="170" ht="13.5" customHeight="1">
      <c r="A170" s="80">
        <v>10.0</v>
      </c>
      <c r="B170" s="84" t="s">
        <v>3052</v>
      </c>
      <c r="C170" s="95" t="s">
        <v>1083</v>
      </c>
      <c r="D170" s="95" t="s">
        <v>8362</v>
      </c>
      <c r="E170" s="115" t="s">
        <v>1083</v>
      </c>
      <c r="F170" s="86" t="s">
        <v>6486</v>
      </c>
      <c r="G170" s="80" t="s">
        <v>1389</v>
      </c>
      <c r="H170" s="99"/>
      <c r="I170" s="80">
        <f>IFERROR(VLOOKUP(B170, '02. MM-KLH'!$B:$K, 9, FALSE),"")</f>
        <v>43617</v>
      </c>
      <c r="J170" s="106"/>
      <c r="K170" s="1369"/>
      <c r="L170" s="1370" t="s">
        <v>454</v>
      </c>
      <c r="M170" s="108" t="s">
        <v>84</v>
      </c>
      <c r="N170" s="80">
        <v>2015.0</v>
      </c>
      <c r="O170" s="80" t="s">
        <v>455</v>
      </c>
      <c r="P170" s="106" t="s">
        <v>456</v>
      </c>
      <c r="Q170" s="108">
        <v>60273.0</v>
      </c>
      <c r="R170" s="110" t="s">
        <v>96</v>
      </c>
    </row>
    <row r="171" ht="13.5" customHeight="1">
      <c r="A171" s="80">
        <v>11.0</v>
      </c>
      <c r="B171" s="183" t="s">
        <v>1150</v>
      </c>
      <c r="C171" s="95" t="s">
        <v>1155</v>
      </c>
      <c r="D171" s="95" t="s">
        <v>8363</v>
      </c>
      <c r="E171" s="115" t="s">
        <v>1155</v>
      </c>
      <c r="F171" s="115" t="s">
        <v>8364</v>
      </c>
      <c r="G171" s="95" t="s">
        <v>1389</v>
      </c>
      <c r="H171" s="116"/>
      <c r="I171" s="80">
        <f>IFERROR(VLOOKUP(B171, '02. MM-KLH'!$B:$K, 9, FALSE),"")</f>
        <v>45139</v>
      </c>
      <c r="J171" s="119"/>
      <c r="K171" s="1372"/>
      <c r="L171" s="1373" t="s">
        <v>1441</v>
      </c>
      <c r="M171" s="110" t="s">
        <v>84</v>
      </c>
      <c r="N171" s="95">
        <v>2006.0</v>
      </c>
      <c r="O171" s="95">
        <v>305.0</v>
      </c>
      <c r="P171" s="119" t="s">
        <v>224</v>
      </c>
      <c r="Q171" s="110">
        <v>2208498.0</v>
      </c>
      <c r="R171" s="110" t="s">
        <v>96</v>
      </c>
    </row>
    <row r="172" ht="13.5" customHeight="1">
      <c r="A172" s="80">
        <v>12.0</v>
      </c>
      <c r="B172" s="84" t="s">
        <v>457</v>
      </c>
      <c r="C172" s="95" t="s">
        <v>6505</v>
      </c>
      <c r="D172" s="95" t="s">
        <v>8359</v>
      </c>
      <c r="E172" s="115"/>
      <c r="F172" s="86" t="s">
        <v>8262</v>
      </c>
      <c r="G172" s="80" t="s">
        <v>4789</v>
      </c>
      <c r="H172" s="99"/>
      <c r="I172" s="80" t="str">
        <f>IFERROR(VLOOKUP(B172, '02. MM-KLH'!$B:$K, 9, FALSE),"")</f>
        <v>16/07/2024</v>
      </c>
      <c r="J172" s="106"/>
      <c r="K172" s="1369"/>
      <c r="L172" s="1370" t="s">
        <v>123</v>
      </c>
      <c r="M172" s="108" t="s">
        <v>84</v>
      </c>
      <c r="N172" s="80">
        <v>2006.0</v>
      </c>
      <c r="O172" s="80" t="s">
        <v>461</v>
      </c>
      <c r="P172" s="80" t="s">
        <v>462</v>
      </c>
      <c r="Q172" s="108">
        <v>9101.0</v>
      </c>
      <c r="R172" s="110" t="s">
        <v>96</v>
      </c>
    </row>
    <row r="173" ht="13.5" customHeight="1">
      <c r="A173" s="80">
        <v>13.0</v>
      </c>
      <c r="B173" s="1413" t="s">
        <v>907</v>
      </c>
      <c r="C173" s="95" t="s">
        <v>6502</v>
      </c>
      <c r="D173" s="95"/>
      <c r="E173" s="115"/>
      <c r="F173" s="86" t="s">
        <v>8262</v>
      </c>
      <c r="G173" s="80" t="s">
        <v>8365</v>
      </c>
      <c r="H173" s="80" t="s">
        <v>8366</v>
      </c>
      <c r="I173" s="80" t="str">
        <f>IFERROR(VLOOKUP(B173, '02. MM-KLH'!$B:$K, 9, FALSE),"")</f>
        <v>29/07/2024</v>
      </c>
      <c r="J173" s="102">
        <v>0.99</v>
      </c>
      <c r="K173" s="1371" t="s">
        <v>154</v>
      </c>
      <c r="L173" s="1370"/>
      <c r="M173" s="108"/>
      <c r="N173" s="80"/>
      <c r="O173" s="80"/>
      <c r="P173" s="80"/>
      <c r="Q173" s="108"/>
      <c r="R173" s="110"/>
    </row>
    <row r="174" ht="13.5" customHeight="1">
      <c r="A174" s="80">
        <v>14.0</v>
      </c>
      <c r="B174" s="1413" t="s">
        <v>933</v>
      </c>
      <c r="C174" s="95" t="s">
        <v>6503</v>
      </c>
      <c r="D174" s="95"/>
      <c r="E174" s="115"/>
      <c r="F174" s="86" t="s">
        <v>8262</v>
      </c>
      <c r="G174" s="80" t="s">
        <v>8365</v>
      </c>
      <c r="H174" s="80" t="s">
        <v>8366</v>
      </c>
      <c r="I174" s="80" t="str">
        <f>IFERROR(VLOOKUP(B174, '02. MM-KLH'!$B:$K, 9, FALSE),"")</f>
        <v>29/07/2024</v>
      </c>
      <c r="J174" s="102">
        <v>0.99</v>
      </c>
      <c r="K174" s="1371" t="s">
        <v>154</v>
      </c>
      <c r="L174" s="1370"/>
      <c r="M174" s="108"/>
      <c r="N174" s="80"/>
      <c r="O174" s="80"/>
      <c r="P174" s="80"/>
      <c r="Q174" s="108"/>
      <c r="R174" s="110"/>
    </row>
    <row r="175" ht="13.5" customHeight="1">
      <c r="A175" s="151" t="s">
        <v>760</v>
      </c>
      <c r="B175" s="152" t="s">
        <v>8367</v>
      </c>
      <c r="C175" s="72"/>
      <c r="D175" s="72"/>
      <c r="E175" s="75"/>
      <c r="F175" s="72"/>
      <c r="G175" s="75"/>
      <c r="H175" s="79"/>
      <c r="I175" s="79"/>
      <c r="J175" s="72"/>
      <c r="K175" s="1366"/>
      <c r="L175" s="1367"/>
      <c r="M175" s="75"/>
      <c r="N175" s="75"/>
      <c r="O175" s="75"/>
      <c r="P175" s="75"/>
      <c r="Q175" s="75"/>
      <c r="R175" s="75"/>
    </row>
    <row r="176" ht="13.5" customHeight="1">
      <c r="A176" s="95">
        <v>1.0</v>
      </c>
      <c r="B176" s="113" t="s">
        <v>382</v>
      </c>
      <c r="C176" s="95" t="s">
        <v>1341</v>
      </c>
      <c r="D176" s="95" t="s">
        <v>8368</v>
      </c>
      <c r="E176" s="115" t="s">
        <v>1341</v>
      </c>
      <c r="F176" s="115" t="s">
        <v>122</v>
      </c>
      <c r="G176" s="95" t="s">
        <v>55</v>
      </c>
      <c r="H176" s="116">
        <v>44197.0</v>
      </c>
      <c r="I176" s="80">
        <f>IFERROR(VLOOKUP(B176, '02. MM-KLH'!$B:$K, 9, FALSE),"")</f>
        <v>44197</v>
      </c>
      <c r="J176" s="117">
        <v>0.67</v>
      </c>
      <c r="K176" s="1372"/>
      <c r="L176" s="1373" t="s">
        <v>123</v>
      </c>
      <c r="M176" s="110" t="s">
        <v>84</v>
      </c>
      <c r="N176" s="95">
        <v>2006.0</v>
      </c>
      <c r="O176" s="95" t="s">
        <v>290</v>
      </c>
      <c r="P176" s="119" t="s">
        <v>125</v>
      </c>
      <c r="Q176" s="110" t="s">
        <v>384</v>
      </c>
      <c r="R176" s="110" t="s">
        <v>385</v>
      </c>
    </row>
    <row r="177" ht="13.5" customHeight="1">
      <c r="A177" s="95">
        <v>2.0</v>
      </c>
      <c r="B177" s="113" t="s">
        <v>386</v>
      </c>
      <c r="C177" s="95" t="s">
        <v>1354</v>
      </c>
      <c r="D177" s="95" t="s">
        <v>8369</v>
      </c>
      <c r="E177" s="115" t="s">
        <v>1354</v>
      </c>
      <c r="F177" s="115" t="s">
        <v>122</v>
      </c>
      <c r="G177" s="95" t="s">
        <v>55</v>
      </c>
      <c r="H177" s="116">
        <v>44197.0</v>
      </c>
      <c r="I177" s="80">
        <f>IFERROR(VLOOKUP(B177, '02. MM-KLH'!$B:$K, 9, FALSE),"")</f>
        <v>44197</v>
      </c>
      <c r="J177" s="117">
        <v>0.66</v>
      </c>
      <c r="K177" s="1372"/>
      <c r="L177" s="1373" t="s">
        <v>123</v>
      </c>
      <c r="M177" s="110" t="s">
        <v>84</v>
      </c>
      <c r="N177" s="95">
        <v>2008.0</v>
      </c>
      <c r="O177" s="95" t="s">
        <v>290</v>
      </c>
      <c r="P177" s="119" t="s">
        <v>125</v>
      </c>
      <c r="Q177" s="110" t="s">
        <v>389</v>
      </c>
      <c r="R177" s="110" t="s">
        <v>390</v>
      </c>
    </row>
    <row r="178" ht="13.5" customHeight="1">
      <c r="A178" s="95">
        <v>3.0</v>
      </c>
      <c r="B178" s="84" t="s">
        <v>392</v>
      </c>
      <c r="C178" s="95" t="s">
        <v>1425</v>
      </c>
      <c r="D178" s="95" t="s">
        <v>8370</v>
      </c>
      <c r="E178" s="115" t="s">
        <v>1425</v>
      </c>
      <c r="F178" s="86" t="s">
        <v>395</v>
      </c>
      <c r="G178" s="80" t="s">
        <v>55</v>
      </c>
      <c r="H178" s="99">
        <v>44228.0</v>
      </c>
      <c r="I178" s="80">
        <f>IFERROR(VLOOKUP(B178, '02. MM-KLH'!$B:$K, 9, FALSE),"")</f>
        <v>44228</v>
      </c>
      <c r="J178" s="102">
        <v>0.68</v>
      </c>
      <c r="K178" s="1369"/>
      <c r="L178" s="1370" t="s">
        <v>123</v>
      </c>
      <c r="M178" s="108" t="s">
        <v>84</v>
      </c>
      <c r="N178" s="80">
        <v>1995.0</v>
      </c>
      <c r="O178" s="80" t="s">
        <v>396</v>
      </c>
      <c r="P178" s="106" t="s">
        <v>130</v>
      </c>
      <c r="Q178" s="108" t="s">
        <v>397</v>
      </c>
      <c r="R178" s="110" t="s">
        <v>398</v>
      </c>
    </row>
    <row r="179" ht="13.5" customHeight="1">
      <c r="A179" s="151" t="s">
        <v>831</v>
      </c>
      <c r="B179" s="152" t="s">
        <v>8371</v>
      </c>
      <c r="C179" s="72"/>
      <c r="D179" s="72"/>
      <c r="E179" s="75"/>
      <c r="F179" s="72"/>
      <c r="G179" s="75"/>
      <c r="H179" s="79"/>
      <c r="I179" s="80" t="str">
        <f>IFERROR(VLOOKUP(B179, '02. MM-KLH'!$B:$K, 9, FALSE),"")</f>
        <v/>
      </c>
      <c r="J179" s="72"/>
      <c r="K179" s="1366"/>
      <c r="L179" s="1367"/>
      <c r="M179" s="75"/>
      <c r="N179" s="75"/>
      <c r="O179" s="75"/>
      <c r="P179" s="75"/>
      <c r="Q179" s="75"/>
      <c r="R179" s="75"/>
    </row>
    <row r="180" ht="13.5" customHeight="1">
      <c r="A180" s="95">
        <v>1.0</v>
      </c>
      <c r="B180" s="86" t="s">
        <v>8372</v>
      </c>
      <c r="C180" s="95" t="s">
        <v>1310</v>
      </c>
      <c r="D180" s="95" t="s">
        <v>1310</v>
      </c>
      <c r="E180" s="115" t="s">
        <v>5735</v>
      </c>
      <c r="F180" s="86" t="s">
        <v>8272</v>
      </c>
      <c r="G180" s="80" t="s">
        <v>55</v>
      </c>
      <c r="H180" s="99">
        <v>45632.0</v>
      </c>
      <c r="I180" s="80" t="str">
        <f>IFERROR(VLOOKUP(B180, '02. MM-KLH'!$B:$K, 9, FALSE),"")</f>
        <v/>
      </c>
      <c r="J180" s="102">
        <v>1.0</v>
      </c>
      <c r="K180" s="1383" t="s">
        <v>1311</v>
      </c>
      <c r="L180" s="1370" t="s">
        <v>743</v>
      </c>
      <c r="M180" s="108" t="s">
        <v>148</v>
      </c>
      <c r="N180" s="1414">
        <v>2024.0</v>
      </c>
      <c r="O180" s="80" t="s">
        <v>8274</v>
      </c>
      <c r="P180" s="80" t="s">
        <v>922</v>
      </c>
      <c r="Q180" s="108" t="s">
        <v>1312</v>
      </c>
      <c r="R180" s="201" t="s">
        <v>1313</v>
      </c>
    </row>
    <row r="181" ht="13.5" customHeight="1">
      <c r="A181" s="95">
        <v>2.0</v>
      </c>
      <c r="B181" s="86" t="s">
        <v>8373</v>
      </c>
      <c r="C181" s="95" t="s">
        <v>1316</v>
      </c>
      <c r="D181" s="95" t="s">
        <v>1316</v>
      </c>
      <c r="E181" s="115" t="s">
        <v>5736</v>
      </c>
      <c r="F181" s="86" t="s">
        <v>8272</v>
      </c>
      <c r="G181" s="80" t="s">
        <v>55</v>
      </c>
      <c r="H181" s="99">
        <v>45632.0</v>
      </c>
      <c r="I181" s="80" t="str">
        <f>IFERROR(VLOOKUP(B181, '02. MM-KLH'!$B:$K, 9, FALSE),"")</f>
        <v/>
      </c>
      <c r="J181" s="102">
        <v>0.99</v>
      </c>
      <c r="K181" s="1383" t="s">
        <v>1311</v>
      </c>
      <c r="L181" s="1370" t="s">
        <v>743</v>
      </c>
      <c r="M181" s="108" t="s">
        <v>148</v>
      </c>
      <c r="N181" s="1414">
        <v>2024.0</v>
      </c>
      <c r="O181" s="80" t="s">
        <v>8274</v>
      </c>
      <c r="P181" s="80" t="s">
        <v>922</v>
      </c>
      <c r="Q181" s="108" t="s">
        <v>1317</v>
      </c>
      <c r="R181" s="201" t="s">
        <v>1318</v>
      </c>
    </row>
    <row r="182" ht="13.5" customHeight="1">
      <c r="A182" s="95">
        <v>3.0</v>
      </c>
      <c r="B182" s="86" t="s">
        <v>1053</v>
      </c>
      <c r="C182" s="95" t="s">
        <v>1054</v>
      </c>
      <c r="D182" s="95" t="s">
        <v>1054</v>
      </c>
      <c r="E182" s="115"/>
      <c r="F182" s="86" t="s">
        <v>8272</v>
      </c>
      <c r="G182" s="80" t="s">
        <v>1389</v>
      </c>
      <c r="H182" s="99">
        <v>45569.0</v>
      </c>
      <c r="I182" s="80" t="str">
        <f>IFERROR(VLOOKUP(B182, '02. MM-KLH'!$B:$K, 9, FALSE),"")</f>
        <v/>
      </c>
      <c r="J182" s="106"/>
      <c r="K182" s="1383"/>
      <c r="L182" s="1387" t="s">
        <v>300</v>
      </c>
      <c r="M182" s="108" t="s">
        <v>148</v>
      </c>
      <c r="N182" s="80">
        <v>2023.0</v>
      </c>
      <c r="O182" s="80" t="s">
        <v>8374</v>
      </c>
      <c r="P182" s="80" t="s">
        <v>682</v>
      </c>
      <c r="Q182" s="108" t="s">
        <v>1056</v>
      </c>
      <c r="R182" s="110" t="s">
        <v>1057</v>
      </c>
    </row>
    <row r="183" ht="13.5" customHeight="1">
      <c r="A183" s="95">
        <v>4.0</v>
      </c>
      <c r="B183" s="86" t="s">
        <v>1457</v>
      </c>
      <c r="C183" s="95" t="s">
        <v>5525</v>
      </c>
      <c r="D183" s="95" t="s">
        <v>5525</v>
      </c>
      <c r="E183" s="115"/>
      <c r="F183" s="86" t="s">
        <v>8272</v>
      </c>
      <c r="G183" s="80" t="s">
        <v>1389</v>
      </c>
      <c r="H183" s="99">
        <v>45569.0</v>
      </c>
      <c r="I183" s="80">
        <f>IFERROR(VLOOKUP(B183, '02. MM-KLH'!$B:$K, 9, FALSE),"")</f>
        <v>45569</v>
      </c>
      <c r="J183" s="106"/>
      <c r="K183" s="1383"/>
      <c r="L183" s="1387" t="s">
        <v>300</v>
      </c>
      <c r="M183" s="108" t="s">
        <v>148</v>
      </c>
      <c r="N183" s="80">
        <v>2023.0</v>
      </c>
      <c r="O183" s="80" t="s">
        <v>8374</v>
      </c>
      <c r="P183" s="80" t="s">
        <v>682</v>
      </c>
      <c r="Q183" s="108" t="s">
        <v>1458</v>
      </c>
      <c r="R183" s="110" t="s">
        <v>1459</v>
      </c>
    </row>
    <row r="184" ht="13.5" customHeight="1">
      <c r="A184" s="95">
        <v>5.0</v>
      </c>
      <c r="B184" s="86" t="s">
        <v>1460</v>
      </c>
      <c r="C184" s="95" t="s">
        <v>5562</v>
      </c>
      <c r="D184" s="95" t="s">
        <v>5562</v>
      </c>
      <c r="E184" s="115"/>
      <c r="F184" s="86" t="s">
        <v>8272</v>
      </c>
      <c r="G184" s="80" t="s">
        <v>1389</v>
      </c>
      <c r="H184" s="99">
        <v>45569.0</v>
      </c>
      <c r="I184" s="80">
        <f>IFERROR(VLOOKUP(B184, '02. MM-KLH'!$B:$K, 9, FALSE),"")</f>
        <v>45569</v>
      </c>
      <c r="J184" s="106"/>
      <c r="K184" s="1383"/>
      <c r="L184" s="1387" t="s">
        <v>300</v>
      </c>
      <c r="M184" s="108" t="s">
        <v>148</v>
      </c>
      <c r="N184" s="80">
        <v>2023.0</v>
      </c>
      <c r="O184" s="80" t="s">
        <v>8374</v>
      </c>
      <c r="P184" s="80" t="s">
        <v>682</v>
      </c>
      <c r="Q184" s="108" t="s">
        <v>1461</v>
      </c>
      <c r="R184" s="110" t="s">
        <v>1462</v>
      </c>
    </row>
    <row r="185" ht="13.5" customHeight="1">
      <c r="A185" s="95">
        <v>6.0</v>
      </c>
      <c r="B185" s="86" t="s">
        <v>1182</v>
      </c>
      <c r="C185" s="95" t="s">
        <v>5595</v>
      </c>
      <c r="D185" s="95" t="s">
        <v>5595</v>
      </c>
      <c r="E185" s="115"/>
      <c r="F185" s="86" t="s">
        <v>8272</v>
      </c>
      <c r="G185" s="80" t="s">
        <v>1389</v>
      </c>
      <c r="H185" s="99">
        <v>45569.0</v>
      </c>
      <c r="I185" s="80" t="str">
        <f>IFERROR(VLOOKUP(B185, '02. MM-KLH'!$B:$K, 9, FALSE),"")</f>
        <v/>
      </c>
      <c r="J185" s="106"/>
      <c r="K185" s="1383"/>
      <c r="L185" s="1387" t="s">
        <v>300</v>
      </c>
      <c r="M185" s="108" t="s">
        <v>148</v>
      </c>
      <c r="N185" s="80">
        <v>2023.0</v>
      </c>
      <c r="O185" s="80" t="s">
        <v>8374</v>
      </c>
      <c r="P185" s="80" t="s">
        <v>682</v>
      </c>
      <c r="Q185" s="108" t="s">
        <v>1184</v>
      </c>
      <c r="R185" s="110" t="s">
        <v>1185</v>
      </c>
    </row>
    <row r="186" ht="13.5" customHeight="1">
      <c r="A186" s="95">
        <v>7.0</v>
      </c>
      <c r="B186" s="86" t="s">
        <v>1187</v>
      </c>
      <c r="C186" s="95" t="s">
        <v>6566</v>
      </c>
      <c r="D186" s="95" t="s">
        <v>6566</v>
      </c>
      <c r="E186" s="115"/>
      <c r="F186" s="86" t="s">
        <v>8272</v>
      </c>
      <c r="G186" s="80" t="s">
        <v>1389</v>
      </c>
      <c r="H186" s="99">
        <v>45569.0</v>
      </c>
      <c r="I186" s="80" t="str">
        <f>IFERROR(VLOOKUP(B186, '02. MM-KLH'!$B:$K, 9, FALSE),"")</f>
        <v/>
      </c>
      <c r="J186" s="106"/>
      <c r="K186" s="1383"/>
      <c r="L186" s="1387" t="s">
        <v>300</v>
      </c>
      <c r="M186" s="108" t="s">
        <v>148</v>
      </c>
      <c r="N186" s="80">
        <v>2023.0</v>
      </c>
      <c r="O186" s="80" t="s">
        <v>8374</v>
      </c>
      <c r="P186" s="80" t="s">
        <v>682</v>
      </c>
      <c r="Q186" s="108" t="s">
        <v>1189</v>
      </c>
      <c r="R186" s="110" t="s">
        <v>1190</v>
      </c>
    </row>
    <row r="187" ht="13.5" customHeight="1">
      <c r="A187" s="95">
        <v>8.0</v>
      </c>
      <c r="B187" s="86" t="s">
        <v>1463</v>
      </c>
      <c r="C187" s="95" t="s">
        <v>6585</v>
      </c>
      <c r="D187" s="95" t="s">
        <v>6585</v>
      </c>
      <c r="E187" s="115"/>
      <c r="F187" s="86" t="s">
        <v>8272</v>
      </c>
      <c r="G187" s="80" t="s">
        <v>1389</v>
      </c>
      <c r="H187" s="99">
        <v>45569.0</v>
      </c>
      <c r="I187" s="80">
        <f>IFERROR(VLOOKUP(B187, '02. MM-KLH'!$B:$K, 9, FALSE),"")</f>
        <v>45569</v>
      </c>
      <c r="J187" s="106"/>
      <c r="K187" s="1383"/>
      <c r="L187" s="1387" t="s">
        <v>300</v>
      </c>
      <c r="M187" s="108" t="s">
        <v>148</v>
      </c>
      <c r="N187" s="80">
        <v>2023.0</v>
      </c>
      <c r="O187" s="80" t="s">
        <v>8374</v>
      </c>
      <c r="P187" s="80" t="s">
        <v>682</v>
      </c>
      <c r="Q187" s="108" t="s">
        <v>1467</v>
      </c>
      <c r="R187" s="110" t="s">
        <v>1468</v>
      </c>
    </row>
    <row r="188" ht="13.5" customHeight="1">
      <c r="A188" s="95">
        <v>9.0</v>
      </c>
      <c r="B188" s="84" t="s">
        <v>408</v>
      </c>
      <c r="C188" s="95" t="s">
        <v>4606</v>
      </c>
      <c r="D188" s="95" t="s">
        <v>927</v>
      </c>
      <c r="E188" s="115" t="s">
        <v>4606</v>
      </c>
      <c r="F188" s="86" t="s">
        <v>8375</v>
      </c>
      <c r="G188" s="80" t="s">
        <v>55</v>
      </c>
      <c r="H188" s="99">
        <v>44197.0</v>
      </c>
      <c r="I188" s="80">
        <f>IFERROR(VLOOKUP(B188, '02. MM-KLH'!$B:$K, 9, FALSE),"")</f>
        <v>44197</v>
      </c>
      <c r="J188" s="102">
        <v>0.68</v>
      </c>
      <c r="K188" s="1369"/>
      <c r="L188" s="1370" t="s">
        <v>300</v>
      </c>
      <c r="M188" s="108" t="s">
        <v>148</v>
      </c>
      <c r="N188" s="80">
        <v>2020.0</v>
      </c>
      <c r="O188" s="80" t="s">
        <v>412</v>
      </c>
      <c r="P188" s="106" t="s">
        <v>413</v>
      </c>
      <c r="Q188" s="108" t="s">
        <v>414</v>
      </c>
      <c r="R188" s="110" t="s">
        <v>415</v>
      </c>
    </row>
    <row r="189" ht="13.5" customHeight="1">
      <c r="A189" s="95">
        <v>10.0</v>
      </c>
      <c r="B189" s="84" t="s">
        <v>417</v>
      </c>
      <c r="C189" s="95" t="s">
        <v>6495</v>
      </c>
      <c r="D189" s="95" t="s">
        <v>932</v>
      </c>
      <c r="E189" s="115"/>
      <c r="F189" s="86" t="s">
        <v>8376</v>
      </c>
      <c r="G189" s="80" t="s">
        <v>55</v>
      </c>
      <c r="H189" s="99"/>
      <c r="I189" s="80" t="str">
        <f>IFERROR(VLOOKUP(B189, '02. MM-KLH'!$B:$K, 9, FALSE),"")</f>
        <v/>
      </c>
      <c r="J189" s="106"/>
      <c r="K189" s="1369"/>
      <c r="L189" s="1370" t="s">
        <v>300</v>
      </c>
      <c r="M189" s="108" t="s">
        <v>148</v>
      </c>
      <c r="N189" s="80">
        <v>2020.0</v>
      </c>
      <c r="O189" s="80" t="s">
        <v>1195</v>
      </c>
      <c r="P189" s="106" t="s">
        <v>413</v>
      </c>
      <c r="Q189" s="108" t="s">
        <v>421</v>
      </c>
      <c r="R189" s="110" t="s">
        <v>422</v>
      </c>
    </row>
    <row r="190" ht="13.5" customHeight="1">
      <c r="A190" s="95">
        <v>11.0</v>
      </c>
      <c r="B190" s="113" t="s">
        <v>2407</v>
      </c>
      <c r="C190" s="95" t="s">
        <v>2408</v>
      </c>
      <c r="D190" s="95" t="s">
        <v>8377</v>
      </c>
      <c r="E190" s="115" t="s">
        <v>2408</v>
      </c>
      <c r="F190" s="115" t="s">
        <v>146</v>
      </c>
      <c r="G190" s="95" t="s">
        <v>55</v>
      </c>
      <c r="H190" s="116">
        <v>44205.0</v>
      </c>
      <c r="I190" s="80" t="str">
        <f>IFERROR(VLOOKUP(B190, '02. MM-KLH'!$B:$K, 9, FALSE),"")</f>
        <v/>
      </c>
      <c r="J190" s="117">
        <v>0.7</v>
      </c>
      <c r="K190" s="1372"/>
      <c r="L190" s="1373" t="s">
        <v>147</v>
      </c>
      <c r="M190" s="110" t="s">
        <v>148</v>
      </c>
      <c r="N190" s="95">
        <v>2018.0</v>
      </c>
      <c r="O190" s="80" t="s">
        <v>8269</v>
      </c>
      <c r="P190" s="119" t="s">
        <v>150</v>
      </c>
      <c r="Q190" s="110" t="s">
        <v>2410</v>
      </c>
      <c r="R190" s="110" t="s">
        <v>2411</v>
      </c>
    </row>
    <row r="191" ht="13.5" customHeight="1">
      <c r="A191" s="95">
        <v>12.0</v>
      </c>
      <c r="B191" s="84" t="s">
        <v>423</v>
      </c>
      <c r="C191" s="95" t="s">
        <v>4551</v>
      </c>
      <c r="D191" s="95" t="s">
        <v>8379</v>
      </c>
      <c r="E191" s="115" t="s">
        <v>4551</v>
      </c>
      <c r="F191" s="86" t="s">
        <v>146</v>
      </c>
      <c r="G191" s="80" t="s">
        <v>55</v>
      </c>
      <c r="H191" s="99">
        <v>44205.0</v>
      </c>
      <c r="I191" s="80">
        <f>IFERROR(VLOOKUP(B191, '02. MM-KLH'!$B:$K, 9, FALSE),"")</f>
        <v>44205</v>
      </c>
      <c r="J191" s="102">
        <v>0.7</v>
      </c>
      <c r="K191" s="1371"/>
      <c r="L191" s="1370" t="s">
        <v>147</v>
      </c>
      <c r="M191" s="108" t="s">
        <v>148</v>
      </c>
      <c r="N191" s="80">
        <v>2018.0</v>
      </c>
      <c r="O191" s="80" t="s">
        <v>8269</v>
      </c>
      <c r="P191" s="106" t="s">
        <v>150</v>
      </c>
      <c r="Q191" s="108" t="s">
        <v>425</v>
      </c>
      <c r="R191" s="110" t="s">
        <v>426</v>
      </c>
    </row>
    <row r="192" ht="13.5" customHeight="1">
      <c r="A192" s="95">
        <v>13.0</v>
      </c>
      <c r="B192" s="84" t="s">
        <v>3048</v>
      </c>
      <c r="C192" s="95" t="s">
        <v>3047</v>
      </c>
      <c r="D192" s="95" t="s">
        <v>1310</v>
      </c>
      <c r="E192" s="115" t="s">
        <v>3047</v>
      </c>
      <c r="F192" s="86" t="s">
        <v>910</v>
      </c>
      <c r="G192" s="80" t="s">
        <v>1389</v>
      </c>
      <c r="H192" s="99"/>
      <c r="I192" s="80" t="str">
        <f>IFERROR(VLOOKUP(B192, '02. MM-KLH'!$B:$K, 9, FALSE),"")</f>
        <v/>
      </c>
      <c r="J192" s="106"/>
      <c r="K192" s="1369"/>
      <c r="L192" s="1370" t="s">
        <v>911</v>
      </c>
      <c r="M192" s="108" t="s">
        <v>912</v>
      </c>
      <c r="N192" s="80"/>
      <c r="O192" s="80"/>
      <c r="P192" s="106" t="s">
        <v>792</v>
      </c>
      <c r="Q192" s="108" t="s">
        <v>1456</v>
      </c>
      <c r="R192" s="110">
        <v>77052.0</v>
      </c>
    </row>
    <row r="193" ht="13.5" customHeight="1">
      <c r="A193" s="95">
        <v>14.0</v>
      </c>
      <c r="B193" s="84" t="s">
        <v>1453</v>
      </c>
      <c r="C193" s="95" t="s">
        <v>3047</v>
      </c>
      <c r="D193" s="95" t="s">
        <v>1316</v>
      </c>
      <c r="E193" s="115" t="s">
        <v>3047</v>
      </c>
      <c r="F193" s="86" t="s">
        <v>910</v>
      </c>
      <c r="G193" s="80" t="s">
        <v>1389</v>
      </c>
      <c r="H193" s="99"/>
      <c r="I193" s="80">
        <f>IFERROR(VLOOKUP(B193, '02. MM-KLH'!$B:$K, 9, FALSE),"")</f>
        <v>40914</v>
      </c>
      <c r="J193" s="106"/>
      <c r="K193" s="1369"/>
      <c r="L193" s="1370" t="s">
        <v>911</v>
      </c>
      <c r="M193" s="108" t="s">
        <v>912</v>
      </c>
      <c r="N193" s="80"/>
      <c r="O193" s="80"/>
      <c r="P193" s="106" t="s">
        <v>792</v>
      </c>
      <c r="Q193" s="108" t="s">
        <v>1456</v>
      </c>
      <c r="R193" s="110">
        <v>115002.0</v>
      </c>
    </row>
    <row r="194" ht="13.5" customHeight="1">
      <c r="A194" s="95">
        <v>15.0</v>
      </c>
      <c r="B194" s="161" t="s">
        <v>3045</v>
      </c>
      <c r="C194" s="95" t="s">
        <v>3047</v>
      </c>
      <c r="D194" s="9" t="s">
        <v>8381</v>
      </c>
      <c r="E194" s="134" t="s">
        <v>3047</v>
      </c>
      <c r="F194" s="161" t="s">
        <v>910</v>
      </c>
      <c r="G194" s="137" t="s">
        <v>1389</v>
      </c>
      <c r="H194" s="137" t="s">
        <v>1402</v>
      </c>
      <c r="I194" s="80" t="str">
        <f>IFERROR(VLOOKUP(B194, '02. MM-KLH'!$B:$K, 9, FALSE),"")</f>
        <v>21/02/2024</v>
      </c>
      <c r="J194" s="6"/>
      <c r="K194" s="1417" t="s">
        <v>8384</v>
      </c>
      <c r="L194" s="1406" t="s">
        <v>911</v>
      </c>
      <c r="M194" s="186" t="s">
        <v>912</v>
      </c>
      <c r="N194" s="137"/>
      <c r="O194" s="137"/>
      <c r="P194" s="6" t="s">
        <v>792</v>
      </c>
      <c r="Q194" s="186" t="s">
        <v>1456</v>
      </c>
      <c r="R194" s="140">
        <v>77109.0</v>
      </c>
    </row>
    <row r="195" ht="13.5" customHeight="1">
      <c r="A195" s="95">
        <v>16.0</v>
      </c>
      <c r="B195" s="86" t="s">
        <v>8386</v>
      </c>
      <c r="C195" s="95" t="s">
        <v>3047</v>
      </c>
      <c r="D195" s="95" t="s">
        <v>1310</v>
      </c>
      <c r="E195" s="115" t="s">
        <v>3047</v>
      </c>
      <c r="F195" s="86" t="s">
        <v>910</v>
      </c>
      <c r="G195" s="80" t="s">
        <v>4789</v>
      </c>
      <c r="H195" s="99"/>
      <c r="I195" s="80" t="str">
        <f>IFERROR(VLOOKUP(B195, '02. MM-KLH'!$B:$K, 9, FALSE),"")</f>
        <v/>
      </c>
      <c r="J195" s="106"/>
      <c r="K195" s="1369"/>
      <c r="L195" s="1370" t="s">
        <v>911</v>
      </c>
      <c r="M195" s="108" t="s">
        <v>912</v>
      </c>
      <c r="N195" s="80"/>
      <c r="O195" s="80"/>
      <c r="P195" s="106" t="s">
        <v>792</v>
      </c>
      <c r="Q195" s="108" t="s">
        <v>1456</v>
      </c>
      <c r="R195" s="110" t="s">
        <v>96</v>
      </c>
    </row>
    <row r="196" ht="13.5" customHeight="1">
      <c r="A196" s="95">
        <v>17.0</v>
      </c>
      <c r="B196" s="115" t="s">
        <v>2396</v>
      </c>
      <c r="C196" s="95" t="s">
        <v>5888</v>
      </c>
      <c r="D196" s="95"/>
      <c r="E196" s="115" t="s">
        <v>5888</v>
      </c>
      <c r="F196" s="115" t="s">
        <v>8389</v>
      </c>
      <c r="G196" s="95" t="s">
        <v>64</v>
      </c>
      <c r="H196" s="116"/>
      <c r="I196" s="80" t="str">
        <f>IFERROR(VLOOKUP(B196, '02. MM-KLH'!$B:$K, 9, FALSE),"")</f>
        <v/>
      </c>
      <c r="J196" s="119"/>
      <c r="K196" s="1388" t="s">
        <v>5046</v>
      </c>
      <c r="L196" s="1373" t="s">
        <v>300</v>
      </c>
      <c r="M196" s="110" t="s">
        <v>148</v>
      </c>
      <c r="N196" s="95">
        <v>2020.0</v>
      </c>
      <c r="O196" s="80" t="s">
        <v>1195</v>
      </c>
      <c r="P196" s="119" t="s">
        <v>413</v>
      </c>
      <c r="Q196" s="110" t="s">
        <v>2401</v>
      </c>
      <c r="R196" s="110" t="s">
        <v>96</v>
      </c>
    </row>
    <row r="197" ht="13.5" customHeight="1">
      <c r="A197" s="95">
        <v>18.0</v>
      </c>
      <c r="B197" s="115" t="s">
        <v>1470</v>
      </c>
      <c r="C197" s="95" t="s">
        <v>6586</v>
      </c>
      <c r="D197" s="95"/>
      <c r="E197" s="115"/>
      <c r="F197" s="86" t="s">
        <v>8272</v>
      </c>
      <c r="G197" s="95" t="s">
        <v>57</v>
      </c>
      <c r="H197" s="95" t="s">
        <v>966</v>
      </c>
      <c r="I197" s="80" t="str">
        <f>IFERROR(VLOOKUP(B197, '02. MM-KLH'!$B:$K, 9, FALSE),"")</f>
        <v/>
      </c>
      <c r="J197" s="117">
        <v>1.0</v>
      </c>
      <c r="K197" s="1388"/>
      <c r="L197" s="1373"/>
      <c r="M197" s="110"/>
      <c r="N197" s="95"/>
      <c r="O197" s="80"/>
      <c r="P197" s="119"/>
      <c r="Q197" s="110"/>
      <c r="R197" s="110"/>
    </row>
    <row r="198" ht="13.5" customHeight="1">
      <c r="A198" s="95">
        <v>19.0</v>
      </c>
      <c r="B198" s="115" t="s">
        <v>1319</v>
      </c>
      <c r="C198" s="95" t="s">
        <v>6573</v>
      </c>
      <c r="D198" s="95"/>
      <c r="E198" s="115"/>
      <c r="F198" s="86" t="s">
        <v>8272</v>
      </c>
      <c r="G198" s="95" t="s">
        <v>57</v>
      </c>
      <c r="H198" s="95" t="s">
        <v>966</v>
      </c>
      <c r="I198" s="80" t="str">
        <f>IFERROR(VLOOKUP(B198, '02. MM-KLH'!$B:$K, 9, FALSE),"")</f>
        <v>30/07/2024</v>
      </c>
      <c r="J198" s="117">
        <v>1.0</v>
      </c>
      <c r="K198" s="1388"/>
      <c r="L198" s="1373"/>
      <c r="M198" s="110"/>
      <c r="N198" s="95"/>
      <c r="O198" s="80"/>
      <c r="P198" s="119"/>
      <c r="Q198" s="110"/>
      <c r="R198" s="110"/>
    </row>
    <row r="199" ht="13.5" customHeight="1">
      <c r="A199" s="95"/>
      <c r="B199" s="115" t="s">
        <v>463</v>
      </c>
      <c r="C199" s="95" t="s">
        <v>464</v>
      </c>
      <c r="D199" s="95"/>
      <c r="E199" s="115"/>
      <c r="F199" s="515" t="s">
        <v>8282</v>
      </c>
      <c r="G199" s="95" t="s">
        <v>55</v>
      </c>
      <c r="H199" s="95"/>
      <c r="I199" s="80"/>
      <c r="J199" s="117"/>
      <c r="K199" s="1388"/>
      <c r="L199" s="1373"/>
      <c r="M199" s="110"/>
      <c r="N199" s="95"/>
      <c r="O199" s="80"/>
      <c r="P199" s="119"/>
      <c r="Q199" s="110"/>
      <c r="R199" s="110"/>
    </row>
    <row r="200" ht="13.5" customHeight="1">
      <c r="A200" s="95"/>
      <c r="B200" s="115" t="s">
        <v>469</v>
      </c>
      <c r="C200" s="95" t="s">
        <v>470</v>
      </c>
      <c r="D200" s="95"/>
      <c r="E200" s="115"/>
      <c r="F200" s="515" t="s">
        <v>8282</v>
      </c>
      <c r="G200" s="95" t="s">
        <v>55</v>
      </c>
      <c r="H200" s="95"/>
      <c r="I200" s="80"/>
      <c r="J200" s="117"/>
      <c r="K200" s="1388"/>
      <c r="L200" s="1373"/>
      <c r="M200" s="110"/>
      <c r="N200" s="95"/>
      <c r="O200" s="80"/>
      <c r="P200" s="119"/>
      <c r="Q200" s="110"/>
      <c r="R200" s="110"/>
    </row>
    <row r="201" ht="13.5" customHeight="1">
      <c r="A201" s="95"/>
      <c r="B201" s="115"/>
      <c r="C201" s="95"/>
      <c r="D201" s="95"/>
      <c r="E201" s="115"/>
      <c r="F201" s="86"/>
      <c r="G201" s="95"/>
      <c r="H201" s="95"/>
      <c r="I201" s="80"/>
      <c r="J201" s="117"/>
      <c r="K201" s="1388"/>
      <c r="L201" s="1373"/>
      <c r="M201" s="110"/>
      <c r="N201" s="95"/>
      <c r="O201" s="80"/>
      <c r="P201" s="119"/>
      <c r="Q201" s="110"/>
      <c r="R201" s="110"/>
    </row>
    <row r="202" ht="13.5" customHeight="1">
      <c r="A202" s="95"/>
      <c r="B202" s="115"/>
      <c r="C202" s="95"/>
      <c r="D202" s="95"/>
      <c r="E202" s="115"/>
      <c r="F202" s="86"/>
      <c r="G202" s="95"/>
      <c r="H202" s="95"/>
      <c r="I202" s="80"/>
      <c r="J202" s="117"/>
      <c r="K202" s="1388"/>
      <c r="L202" s="1373"/>
      <c r="M202" s="110"/>
      <c r="N202" s="95"/>
      <c r="O202" s="80"/>
      <c r="P202" s="119"/>
      <c r="Q202" s="110"/>
      <c r="R202" s="110"/>
    </row>
    <row r="203" ht="13.5" customHeight="1">
      <c r="A203" s="95"/>
      <c r="B203" s="115"/>
      <c r="C203" s="95"/>
      <c r="D203" s="95"/>
      <c r="E203" s="115"/>
      <c r="F203" s="86"/>
      <c r="G203" s="95"/>
      <c r="H203" s="95"/>
      <c r="I203" s="80"/>
      <c r="J203" s="117"/>
      <c r="K203" s="1388"/>
      <c r="L203" s="1373"/>
      <c r="M203" s="110"/>
      <c r="N203" s="95"/>
      <c r="O203" s="80"/>
      <c r="P203" s="119"/>
      <c r="Q203" s="110"/>
      <c r="R203" s="110"/>
    </row>
    <row r="204" ht="13.5" customHeight="1">
      <c r="A204" s="95"/>
      <c r="B204" s="115"/>
      <c r="C204" s="95"/>
      <c r="D204" s="95"/>
      <c r="E204" s="115"/>
      <c r="F204" s="86"/>
      <c r="G204" s="95"/>
      <c r="H204" s="95"/>
      <c r="I204" s="80"/>
      <c r="J204" s="117"/>
      <c r="K204" s="1388"/>
      <c r="L204" s="1373"/>
      <c r="M204" s="110"/>
      <c r="N204" s="95"/>
      <c r="O204" s="80"/>
      <c r="P204" s="119"/>
      <c r="Q204" s="110"/>
      <c r="R204" s="110"/>
    </row>
    <row r="205" ht="13.5" customHeight="1">
      <c r="A205" s="151" t="s">
        <v>8396</v>
      </c>
      <c r="B205" s="152" t="s">
        <v>8397</v>
      </c>
      <c r="C205" s="72"/>
      <c r="D205" s="72"/>
      <c r="E205" s="75"/>
      <c r="F205" s="72"/>
      <c r="G205" s="75"/>
      <c r="H205" s="79"/>
      <c r="I205" s="79"/>
      <c r="J205" s="72"/>
      <c r="K205" s="1366"/>
      <c r="L205" s="1367"/>
      <c r="M205" s="75"/>
      <c r="N205" s="75"/>
      <c r="O205" s="75"/>
      <c r="P205" s="75"/>
      <c r="Q205" s="75"/>
      <c r="R205" s="75"/>
    </row>
    <row r="206" ht="13.5" customHeight="1">
      <c r="A206" s="95">
        <v>17.0</v>
      </c>
      <c r="B206" s="84" t="s">
        <v>3114</v>
      </c>
      <c r="C206" s="95" t="s">
        <v>8398</v>
      </c>
      <c r="D206" s="95" t="s">
        <v>8399</v>
      </c>
      <c r="E206" s="115"/>
      <c r="F206" s="86" t="s">
        <v>3115</v>
      </c>
      <c r="G206" s="80" t="s">
        <v>55</v>
      </c>
      <c r="H206" s="99"/>
      <c r="I206" s="80" t="str">
        <f>IFERROR(VLOOKUP(B206, '02. MM-KLH'!$B:$K, 9, FALSE),"")</f>
        <v/>
      </c>
      <c r="J206" s="102">
        <v>0.05</v>
      </c>
      <c r="K206" s="1423" t="s">
        <v>8401</v>
      </c>
      <c r="L206" s="1370" t="s">
        <v>1032</v>
      </c>
      <c r="M206" s="108" t="s">
        <v>103</v>
      </c>
      <c r="N206" s="80">
        <v>2005.0</v>
      </c>
      <c r="O206" s="80" t="s">
        <v>3116</v>
      </c>
      <c r="P206" s="106" t="s">
        <v>571</v>
      </c>
      <c r="Q206" s="108" t="s">
        <v>3117</v>
      </c>
      <c r="R206" s="110" t="s">
        <v>96</v>
      </c>
    </row>
    <row r="207" ht="13.5" customHeight="1">
      <c r="A207" s="151" t="s">
        <v>8402</v>
      </c>
      <c r="B207" s="152" t="s">
        <v>8403</v>
      </c>
      <c r="C207" s="72"/>
      <c r="D207" s="72"/>
      <c r="E207" s="75"/>
      <c r="F207" s="72"/>
      <c r="G207" s="75"/>
      <c r="H207" s="79"/>
      <c r="I207" s="79"/>
      <c r="J207" s="72"/>
      <c r="K207" s="1366"/>
      <c r="L207" s="1367"/>
      <c r="M207" s="75"/>
      <c r="N207" s="75"/>
      <c r="O207" s="75"/>
      <c r="P207" s="75"/>
      <c r="Q207" s="75"/>
      <c r="R207" s="75"/>
    </row>
    <row r="208" ht="13.5" customHeight="1">
      <c r="A208" s="95">
        <v>1.0</v>
      </c>
      <c r="B208" s="113" t="s">
        <v>378</v>
      </c>
      <c r="C208" s="95" t="s">
        <v>1848</v>
      </c>
      <c r="D208" s="95" t="s">
        <v>8404</v>
      </c>
      <c r="E208" s="115" t="s">
        <v>1848</v>
      </c>
      <c r="F208" s="115" t="s">
        <v>207</v>
      </c>
      <c r="G208" s="95" t="s">
        <v>55</v>
      </c>
      <c r="H208" s="116">
        <v>44197.0</v>
      </c>
      <c r="I208" s="80">
        <f>IFERROR(VLOOKUP(B208, '02. MM-KLH'!$B:$K, 9, FALSE),"")</f>
        <v>44197</v>
      </c>
      <c r="J208" s="117">
        <v>0.67</v>
      </c>
      <c r="K208" s="1372"/>
      <c r="L208" s="1373" t="s">
        <v>123</v>
      </c>
      <c r="M208" s="110" t="s">
        <v>84</v>
      </c>
      <c r="N208" s="95">
        <v>1995.0</v>
      </c>
      <c r="O208" s="95" t="s">
        <v>208</v>
      </c>
      <c r="P208" s="119" t="s">
        <v>209</v>
      </c>
      <c r="Q208" s="110" t="s">
        <v>380</v>
      </c>
      <c r="R208" s="110" t="s">
        <v>381</v>
      </c>
    </row>
    <row r="209" ht="13.5" customHeight="1">
      <c r="A209" s="151" t="s">
        <v>8405</v>
      </c>
      <c r="B209" s="152" t="s">
        <v>8406</v>
      </c>
      <c r="C209" s="72"/>
      <c r="D209" s="72"/>
      <c r="E209" s="75"/>
      <c r="F209" s="72"/>
      <c r="G209" s="75"/>
      <c r="H209" s="79"/>
      <c r="I209" s="79"/>
      <c r="J209" s="72"/>
      <c r="K209" s="1366"/>
      <c r="L209" s="1367"/>
      <c r="M209" s="75"/>
      <c r="N209" s="75"/>
      <c r="O209" s="75"/>
      <c r="P209" s="75"/>
      <c r="Q209" s="75"/>
      <c r="R209" s="75"/>
    </row>
    <row r="210" ht="13.5" customHeight="1">
      <c r="A210" s="95">
        <v>1.0</v>
      </c>
      <c r="B210" s="84" t="s">
        <v>399</v>
      </c>
      <c r="C210" s="95" t="s">
        <v>1589</v>
      </c>
      <c r="D210" s="95" t="s">
        <v>8408</v>
      </c>
      <c r="E210" s="115" t="s">
        <v>1589</v>
      </c>
      <c r="F210" s="86" t="s">
        <v>8292</v>
      </c>
      <c r="G210" s="80" t="s">
        <v>55</v>
      </c>
      <c r="H210" s="99">
        <v>44197.0</v>
      </c>
      <c r="I210" s="80">
        <f>IFERROR(VLOOKUP(B210, '02. MM-KLH'!$B:$K, 9, FALSE),"")</f>
        <v>44197</v>
      </c>
      <c r="J210" s="102">
        <v>0.67</v>
      </c>
      <c r="K210" s="1369"/>
      <c r="L210" s="1370" t="s">
        <v>187</v>
      </c>
      <c r="M210" s="108" t="s">
        <v>84</v>
      </c>
      <c r="N210" s="80">
        <v>2020.0</v>
      </c>
      <c r="O210" s="80" t="s">
        <v>8412</v>
      </c>
      <c r="P210" s="106" t="s">
        <v>189</v>
      </c>
      <c r="Q210" s="108" t="s">
        <v>401</v>
      </c>
      <c r="R210" s="110">
        <v>133243.0</v>
      </c>
    </row>
    <row r="211" ht="13.5" customHeight="1">
      <c r="A211" s="95">
        <v>2.0</v>
      </c>
      <c r="B211" s="84" t="s">
        <v>402</v>
      </c>
      <c r="C211" s="95" t="s">
        <v>1629</v>
      </c>
      <c r="D211" s="95" t="s">
        <v>8413</v>
      </c>
      <c r="E211" s="115" t="s">
        <v>1629</v>
      </c>
      <c r="F211" s="86" t="s">
        <v>8293</v>
      </c>
      <c r="G211" s="80" t="s">
        <v>55</v>
      </c>
      <c r="H211" s="99">
        <v>44197.0</v>
      </c>
      <c r="I211" s="80">
        <f>IFERROR(VLOOKUP(B211, '02. MM-KLH'!$B:$K, 9, FALSE),"")</f>
        <v>44197</v>
      </c>
      <c r="J211" s="102">
        <v>0.67</v>
      </c>
      <c r="K211" s="1369"/>
      <c r="L211" s="1370" t="s">
        <v>187</v>
      </c>
      <c r="M211" s="108" t="s">
        <v>84</v>
      </c>
      <c r="N211" s="80">
        <v>2000.0</v>
      </c>
      <c r="O211" s="80" t="s">
        <v>404</v>
      </c>
      <c r="P211" s="106" t="s">
        <v>195</v>
      </c>
      <c r="Q211" s="108" t="s">
        <v>406</v>
      </c>
      <c r="R211" s="110" t="s">
        <v>407</v>
      </c>
    </row>
    <row r="212" ht="13.5" customHeight="1">
      <c r="A212" s="95">
        <v>3.0</v>
      </c>
      <c r="B212" s="86" t="s">
        <v>1543</v>
      </c>
      <c r="C212" s="1375" t="s">
        <v>6499</v>
      </c>
      <c r="D212" s="95"/>
      <c r="E212" s="115"/>
      <c r="F212" s="86" t="s">
        <v>257</v>
      </c>
      <c r="G212" s="80" t="s">
        <v>55</v>
      </c>
      <c r="H212" s="80" t="s">
        <v>1430</v>
      </c>
      <c r="I212" s="80" t="str">
        <f>IFERROR(VLOOKUP(B212, '02. MM-KLH'!$B:$K, 9, FALSE),"")</f>
        <v>30/06/2024</v>
      </c>
      <c r="J212" s="102"/>
      <c r="K212" s="1369"/>
      <c r="L212" s="1387" t="s">
        <v>259</v>
      </c>
      <c r="M212" s="108" t="s">
        <v>8261</v>
      </c>
      <c r="N212" s="80"/>
      <c r="O212" s="80" t="s">
        <v>1545</v>
      </c>
      <c r="P212" s="106"/>
      <c r="Q212" s="108" t="s">
        <v>1547</v>
      </c>
      <c r="R212" s="110" t="s">
        <v>1548</v>
      </c>
    </row>
    <row r="213" ht="13.5" customHeight="1">
      <c r="A213" s="151" t="s">
        <v>8420</v>
      </c>
      <c r="B213" s="152" t="s">
        <v>8421</v>
      </c>
      <c r="C213" s="72"/>
      <c r="D213" s="72"/>
      <c r="E213" s="75"/>
      <c r="F213" s="72"/>
      <c r="G213" s="75"/>
      <c r="H213" s="79"/>
      <c r="I213" s="79"/>
      <c r="J213" s="72"/>
      <c r="K213" s="1366"/>
      <c r="L213" s="1367"/>
      <c r="M213" s="75"/>
      <c r="N213" s="75"/>
      <c r="O213" s="75"/>
      <c r="P213" s="75"/>
      <c r="Q213" s="75"/>
      <c r="R213" s="75"/>
    </row>
    <row r="214" ht="13.5" customHeight="1">
      <c r="A214" s="80">
        <v>1.0</v>
      </c>
      <c r="B214" s="161" t="s">
        <v>1488</v>
      </c>
      <c r="C214" s="9" t="s">
        <v>6588</v>
      </c>
      <c r="D214" s="9" t="s">
        <v>6588</v>
      </c>
      <c r="E214" s="134"/>
      <c r="F214" s="161" t="s">
        <v>8423</v>
      </c>
      <c r="G214" s="137" t="s">
        <v>1389</v>
      </c>
      <c r="H214" s="137"/>
      <c r="I214" s="80" t="str">
        <f>IFERROR(VLOOKUP(B214, '02. MM-KLH'!$B:$K, 9, FALSE),"")</f>
        <v/>
      </c>
      <c r="J214" s="6"/>
      <c r="K214" s="1417" t="s">
        <v>1490</v>
      </c>
      <c r="L214" s="833" t="s">
        <v>123</v>
      </c>
      <c r="M214" s="186"/>
      <c r="N214" s="137">
        <v>2007.0</v>
      </c>
      <c r="O214" s="137" t="s">
        <v>1491</v>
      </c>
      <c r="P214" s="6"/>
      <c r="Q214" s="186">
        <v>830261.0</v>
      </c>
      <c r="R214" s="211">
        <v>39114.0</v>
      </c>
    </row>
    <row r="215" ht="13.5" customHeight="1">
      <c r="A215" s="80">
        <v>2.0</v>
      </c>
      <c r="B215" s="161" t="s">
        <v>1345</v>
      </c>
      <c r="C215" s="9" t="s">
        <v>1349</v>
      </c>
      <c r="D215" s="9"/>
      <c r="E215" s="134"/>
      <c r="F215" s="161" t="s">
        <v>880</v>
      </c>
      <c r="G215" s="137" t="s">
        <v>4789</v>
      </c>
      <c r="H215" s="137"/>
      <c r="I215" s="80" t="str">
        <f>IFERROR(VLOOKUP(B215, '02. MM-KLH'!$B:$K, 9, FALSE),"")</f>
        <v/>
      </c>
      <c r="J215" s="6"/>
      <c r="K215" s="1417"/>
      <c r="L215" s="833"/>
      <c r="M215" s="186"/>
      <c r="N215" s="137"/>
      <c r="O215" s="137"/>
      <c r="P215" s="6"/>
      <c r="Q215" s="186"/>
      <c r="R215" s="211"/>
    </row>
    <row r="216" ht="13.5" customHeight="1">
      <c r="A216" s="151" t="s">
        <v>8425</v>
      </c>
      <c r="B216" s="152" t="s">
        <v>8426</v>
      </c>
      <c r="C216" s="72"/>
      <c r="D216" s="72"/>
      <c r="E216" s="75"/>
      <c r="F216" s="72"/>
      <c r="G216" s="75"/>
      <c r="H216" s="79"/>
      <c r="I216" s="79"/>
      <c r="J216" s="72"/>
      <c r="K216" s="1366"/>
      <c r="L216" s="1367"/>
      <c r="M216" s="75"/>
      <c r="N216" s="75"/>
      <c r="O216" s="75"/>
      <c r="P216" s="75"/>
      <c r="Q216" s="75"/>
      <c r="R216" s="75"/>
    </row>
    <row r="217" ht="13.5" customHeight="1">
      <c r="A217" s="80">
        <v>22.0</v>
      </c>
      <c r="B217" s="161" t="s">
        <v>1480</v>
      </c>
      <c r="C217" s="9" t="s">
        <v>6587</v>
      </c>
      <c r="D217" s="9" t="s">
        <v>6587</v>
      </c>
      <c r="E217" s="134"/>
      <c r="F217" s="161" t="s">
        <v>8301</v>
      </c>
      <c r="G217" s="137" t="s">
        <v>1389</v>
      </c>
      <c r="H217" s="137" t="s">
        <v>1402</v>
      </c>
      <c r="I217" s="80" t="str">
        <f>IFERROR(VLOOKUP(B217, '02. MM-KLH'!$B:$K, 9, FALSE),"")</f>
        <v>21/02/2024</v>
      </c>
      <c r="J217" s="6"/>
      <c r="K217" s="1417" t="s">
        <v>1403</v>
      </c>
      <c r="L217" s="1406" t="s">
        <v>905</v>
      </c>
      <c r="M217" s="186"/>
      <c r="N217" s="137">
        <v>2010.0</v>
      </c>
      <c r="O217" s="137"/>
      <c r="P217" s="6" t="s">
        <v>1482</v>
      </c>
      <c r="Q217" s="186" t="s">
        <v>1483</v>
      </c>
      <c r="R217" s="140" t="s">
        <v>96</v>
      </c>
    </row>
    <row r="218" ht="13.5" customHeight="1">
      <c r="A218" s="80">
        <v>1.0</v>
      </c>
      <c r="B218" s="86" t="s">
        <v>8430</v>
      </c>
      <c r="C218" s="9" t="s">
        <v>8431</v>
      </c>
      <c r="D218" s="95" t="s">
        <v>6587</v>
      </c>
      <c r="E218" s="115"/>
      <c r="F218" s="86" t="s">
        <v>8432</v>
      </c>
      <c r="G218" s="80" t="s">
        <v>4789</v>
      </c>
      <c r="H218" s="99"/>
      <c r="I218" s="80" t="str">
        <f>IFERROR(VLOOKUP(B218, '02. MM-KLH'!$B:$K, 9, FALSE),"")</f>
        <v/>
      </c>
      <c r="J218" s="106"/>
      <c r="K218" s="1369"/>
      <c r="L218" s="1370" t="s">
        <v>1032</v>
      </c>
      <c r="M218" s="108" t="s">
        <v>103</v>
      </c>
      <c r="N218" s="80"/>
      <c r="O218" s="80"/>
      <c r="P218" s="106" t="s">
        <v>1482</v>
      </c>
      <c r="Q218" s="108">
        <v>6958.0</v>
      </c>
      <c r="R218" s="110" t="s">
        <v>96</v>
      </c>
    </row>
    <row r="219" ht="13.5" customHeight="1">
      <c r="A219" s="151" t="s">
        <v>8433</v>
      </c>
      <c r="B219" s="152" t="s">
        <v>8434</v>
      </c>
      <c r="C219" s="72"/>
      <c r="D219" s="72"/>
      <c r="E219" s="75"/>
      <c r="F219" s="72"/>
      <c r="G219" s="75"/>
      <c r="H219" s="79"/>
      <c r="I219" s="79"/>
      <c r="J219" s="72"/>
      <c r="K219" s="1366"/>
      <c r="L219" s="1367"/>
      <c r="M219" s="75"/>
      <c r="N219" s="75"/>
      <c r="O219" s="75"/>
      <c r="P219" s="75"/>
      <c r="Q219" s="75"/>
      <c r="R219" s="75"/>
    </row>
    <row r="220" ht="13.5" customHeight="1">
      <c r="A220" s="80">
        <v>12.0</v>
      </c>
      <c r="B220" s="84" t="s">
        <v>1442</v>
      </c>
      <c r="C220" s="95" t="s">
        <v>5904</v>
      </c>
      <c r="D220" s="95" t="s">
        <v>1250</v>
      </c>
      <c r="E220" s="115" t="s">
        <v>5904</v>
      </c>
      <c r="F220" s="86" t="s">
        <v>896</v>
      </c>
      <c r="G220" s="80" t="s">
        <v>1389</v>
      </c>
      <c r="H220" s="99">
        <v>45566.0</v>
      </c>
      <c r="I220" s="80">
        <f>IFERROR(VLOOKUP(B220, '02. MM-KLH'!$B:$K, 9, FALSE),"")</f>
        <v>45566</v>
      </c>
      <c r="J220" s="102">
        <v>0.98</v>
      </c>
      <c r="K220" s="1369"/>
      <c r="L220" s="1370" t="s">
        <v>897</v>
      </c>
      <c r="M220" s="108" t="s">
        <v>148</v>
      </c>
      <c r="N220" s="80">
        <v>2021.0</v>
      </c>
      <c r="O220" s="80" t="s">
        <v>898</v>
      </c>
      <c r="P220" s="106" t="s">
        <v>158</v>
      </c>
      <c r="Q220" s="108" t="s">
        <v>1445</v>
      </c>
      <c r="R220" s="110" t="s">
        <v>1446</v>
      </c>
    </row>
    <row r="221" ht="13.5" customHeight="1">
      <c r="A221" s="151" t="s">
        <v>8435</v>
      </c>
      <c r="B221" s="152" t="s">
        <v>8436</v>
      </c>
      <c r="C221" s="72"/>
      <c r="D221" s="72"/>
      <c r="E221" s="75"/>
      <c r="F221" s="72"/>
      <c r="G221" s="75"/>
      <c r="H221" s="79"/>
      <c r="I221" s="79"/>
      <c r="J221" s="72"/>
      <c r="K221" s="1366"/>
      <c r="L221" s="1367"/>
      <c r="M221" s="75"/>
      <c r="N221" s="75"/>
      <c r="O221" s="75"/>
      <c r="P221" s="75"/>
      <c r="Q221" s="75"/>
      <c r="R221" s="75"/>
    </row>
    <row r="222" ht="13.5" customHeight="1">
      <c r="A222" s="95">
        <v>1.0</v>
      </c>
      <c r="B222" s="115" t="s">
        <v>3038</v>
      </c>
      <c r="C222" s="95" t="s">
        <v>3032</v>
      </c>
      <c r="D222" s="95" t="s">
        <v>8437</v>
      </c>
      <c r="E222" s="115" t="s">
        <v>3032</v>
      </c>
      <c r="F222" s="115" t="s">
        <v>6481</v>
      </c>
      <c r="G222" s="95" t="s">
        <v>56</v>
      </c>
      <c r="H222" s="116"/>
      <c r="I222" s="80">
        <f>IFERROR(VLOOKUP(B222, '02. MM-KLH'!$B:$K, 9, FALSE),"")</f>
        <v>43862</v>
      </c>
      <c r="J222" s="119"/>
      <c r="K222" s="1372"/>
      <c r="L222" s="1373" t="s">
        <v>837</v>
      </c>
      <c r="M222" s="110" t="s">
        <v>838</v>
      </c>
      <c r="N222" s="95">
        <v>2018.0</v>
      </c>
      <c r="O222" s="95" t="s">
        <v>3035</v>
      </c>
      <c r="P222" s="119" t="s">
        <v>824</v>
      </c>
      <c r="Q222" s="110">
        <v>394479.0</v>
      </c>
      <c r="R222" s="110" t="s">
        <v>96</v>
      </c>
    </row>
    <row r="223" ht="13.5" customHeight="1">
      <c r="A223" s="95">
        <v>2.0</v>
      </c>
      <c r="B223" s="115" t="s">
        <v>8438</v>
      </c>
      <c r="C223" s="95" t="s">
        <v>1747</v>
      </c>
      <c r="D223" s="95" t="s">
        <v>6567</v>
      </c>
      <c r="E223" s="115" t="s">
        <v>1747</v>
      </c>
      <c r="F223" s="115" t="s">
        <v>8315</v>
      </c>
      <c r="G223" s="95" t="s">
        <v>56</v>
      </c>
      <c r="H223" s="116"/>
      <c r="I223" s="80" t="str">
        <f>IFERROR(VLOOKUP(B223, '02. MM-KLH'!$B:$K, 9, FALSE),"")</f>
        <v/>
      </c>
      <c r="J223" s="119"/>
      <c r="K223" s="1372"/>
      <c r="L223" s="1373" t="s">
        <v>689</v>
      </c>
      <c r="M223" s="110" t="s">
        <v>690</v>
      </c>
      <c r="N223" s="95">
        <v>2018.0</v>
      </c>
      <c r="O223" s="95">
        <v>6603.0</v>
      </c>
      <c r="P223" s="119" t="s">
        <v>8439</v>
      </c>
      <c r="Q223" s="110">
        <v>32550.0</v>
      </c>
      <c r="R223" s="110" t="s">
        <v>96</v>
      </c>
    </row>
    <row r="224" ht="13.5" customHeight="1">
      <c r="A224" s="95">
        <v>3.0</v>
      </c>
      <c r="B224" s="115" t="s">
        <v>762</v>
      </c>
      <c r="C224" s="95" t="s">
        <v>1747</v>
      </c>
      <c r="D224" s="95" t="s">
        <v>6576</v>
      </c>
      <c r="E224" s="115" t="s">
        <v>1747</v>
      </c>
      <c r="F224" s="115" t="s">
        <v>8315</v>
      </c>
      <c r="G224" s="95" t="s">
        <v>56</v>
      </c>
      <c r="H224" s="116"/>
      <c r="I224" s="80" t="str">
        <f>IFERROR(VLOOKUP(B224, '02. MM-KLH'!$B:$K, 9, FALSE),"")</f>
        <v/>
      </c>
      <c r="J224" s="119"/>
      <c r="K224" s="1372"/>
      <c r="L224" s="1373" t="s">
        <v>689</v>
      </c>
      <c r="M224" s="110" t="s">
        <v>690</v>
      </c>
      <c r="N224" s="95">
        <v>2018.0</v>
      </c>
      <c r="O224" s="95">
        <v>6603.0</v>
      </c>
      <c r="P224" s="119" t="s">
        <v>8439</v>
      </c>
      <c r="Q224" s="110">
        <v>32607.0</v>
      </c>
      <c r="R224" s="110" t="s">
        <v>96</v>
      </c>
    </row>
    <row r="225" ht="13.5" customHeight="1">
      <c r="A225" s="95">
        <v>4.0</v>
      </c>
      <c r="B225" s="115" t="s">
        <v>764</v>
      </c>
      <c r="C225" s="95" t="s">
        <v>1747</v>
      </c>
      <c r="D225" s="95" t="s">
        <v>6577</v>
      </c>
      <c r="E225" s="115" t="s">
        <v>1747</v>
      </c>
      <c r="F225" s="115" t="s">
        <v>8315</v>
      </c>
      <c r="G225" s="95" t="s">
        <v>56</v>
      </c>
      <c r="H225" s="116"/>
      <c r="I225" s="80" t="str">
        <f>IFERROR(VLOOKUP(B225, '02. MM-KLH'!$B:$K, 9, FALSE),"")</f>
        <v/>
      </c>
      <c r="J225" s="119"/>
      <c r="K225" s="1372"/>
      <c r="L225" s="1373" t="s">
        <v>689</v>
      </c>
      <c r="M225" s="110" t="s">
        <v>690</v>
      </c>
      <c r="N225" s="95">
        <v>2018.0</v>
      </c>
      <c r="O225" s="95">
        <v>6603.0</v>
      </c>
      <c r="P225" s="119" t="s">
        <v>8439</v>
      </c>
      <c r="Q225" s="110">
        <v>5958.0</v>
      </c>
      <c r="R225" s="110" t="s">
        <v>96</v>
      </c>
    </row>
    <row r="226" ht="13.5" customHeight="1">
      <c r="A226" s="95">
        <v>5.0</v>
      </c>
      <c r="B226" s="86" t="s">
        <v>768</v>
      </c>
      <c r="C226" s="95" t="s">
        <v>1747</v>
      </c>
      <c r="D226" s="95" t="s">
        <v>6578</v>
      </c>
      <c r="E226" s="115" t="s">
        <v>1747</v>
      </c>
      <c r="F226" s="86" t="s">
        <v>8315</v>
      </c>
      <c r="G226" s="80" t="s">
        <v>56</v>
      </c>
      <c r="H226" s="99"/>
      <c r="I226" s="80" t="str">
        <f>IFERROR(VLOOKUP(B226, '02. MM-KLH'!$B:$K, 9, FALSE),"")</f>
        <v/>
      </c>
      <c r="J226" s="106"/>
      <c r="K226" s="1369"/>
      <c r="L226" s="1370" t="s">
        <v>689</v>
      </c>
      <c r="M226" s="108" t="s">
        <v>690</v>
      </c>
      <c r="N226" s="80">
        <v>2018.0</v>
      </c>
      <c r="O226" s="80">
        <v>6603.0</v>
      </c>
      <c r="P226" s="106" t="s">
        <v>8439</v>
      </c>
      <c r="Q226" s="108" t="s">
        <v>770</v>
      </c>
      <c r="R226" s="110" t="s">
        <v>771</v>
      </c>
    </row>
    <row r="227" ht="13.5" customHeight="1">
      <c r="A227" s="95">
        <v>6.0</v>
      </c>
      <c r="B227" s="86" t="s">
        <v>772</v>
      </c>
      <c r="C227" s="95" t="s">
        <v>2305</v>
      </c>
      <c r="D227" s="95" t="s">
        <v>794</v>
      </c>
      <c r="E227" s="115" t="s">
        <v>2305</v>
      </c>
      <c r="F227" s="86" t="s">
        <v>8316</v>
      </c>
      <c r="G227" s="80" t="s">
        <v>56</v>
      </c>
      <c r="H227" s="80" t="s">
        <v>696</v>
      </c>
      <c r="I227" s="80" t="str">
        <f>IFERROR(VLOOKUP(B227, '02. MM-KLH'!$B:$K, 9, FALSE),"")</f>
        <v>15/03/2024</v>
      </c>
      <c r="J227" s="106"/>
      <c r="K227" s="1369"/>
      <c r="L227" s="1387" t="s">
        <v>8317</v>
      </c>
      <c r="M227" s="108" t="s">
        <v>690</v>
      </c>
      <c r="N227" s="80">
        <v>2022.0</v>
      </c>
      <c r="O227" s="80" t="s">
        <v>697</v>
      </c>
      <c r="P227" s="80" t="s">
        <v>271</v>
      </c>
      <c r="Q227" s="108" t="s">
        <v>774</v>
      </c>
      <c r="R227" s="110" t="s">
        <v>775</v>
      </c>
    </row>
    <row r="228" ht="13.5" customHeight="1">
      <c r="A228" s="95">
        <v>7.0</v>
      </c>
      <c r="B228" s="86" t="s">
        <v>847</v>
      </c>
      <c r="C228" s="95" t="s">
        <v>2346</v>
      </c>
      <c r="D228" s="95" t="s">
        <v>8443</v>
      </c>
      <c r="E228" s="115" t="s">
        <v>2346</v>
      </c>
      <c r="F228" s="86" t="s">
        <v>8318</v>
      </c>
      <c r="G228" s="80" t="s">
        <v>56</v>
      </c>
      <c r="H228" s="80" t="s">
        <v>696</v>
      </c>
      <c r="I228" s="80" t="str">
        <f>IFERROR(VLOOKUP(B228, '02. MM-KLH'!$B:$K, 9, FALSE),"")</f>
        <v>15/03/2024</v>
      </c>
      <c r="J228" s="106"/>
      <c r="K228" s="1369"/>
      <c r="L228" s="1387" t="s">
        <v>8317</v>
      </c>
      <c r="M228" s="108" t="s">
        <v>690</v>
      </c>
      <c r="N228" s="80">
        <v>2022.0</v>
      </c>
      <c r="O228" s="80" t="s">
        <v>704</v>
      </c>
      <c r="P228" s="80" t="s">
        <v>705</v>
      </c>
      <c r="Q228" s="108" t="s">
        <v>849</v>
      </c>
      <c r="R228" s="110" t="s">
        <v>850</v>
      </c>
    </row>
    <row r="229" ht="13.5" customHeight="1">
      <c r="A229" s="95">
        <v>8.0</v>
      </c>
      <c r="B229" s="86" t="s">
        <v>781</v>
      </c>
      <c r="C229" s="95" t="s">
        <v>2382</v>
      </c>
      <c r="D229" s="95" t="s">
        <v>8444</v>
      </c>
      <c r="E229" s="115" t="s">
        <v>2382</v>
      </c>
      <c r="F229" s="86" t="s">
        <v>8319</v>
      </c>
      <c r="G229" s="80" t="s">
        <v>56</v>
      </c>
      <c r="H229" s="99">
        <v>45540.0</v>
      </c>
      <c r="I229" s="80">
        <f>IFERROR(VLOOKUP(B229, '02. MM-KLH'!$B:$K, 9, FALSE),"")</f>
        <v>45540</v>
      </c>
      <c r="J229" s="106"/>
      <c r="K229" s="1371"/>
      <c r="L229" s="1387" t="s">
        <v>747</v>
      </c>
      <c r="M229" s="108" t="s">
        <v>690</v>
      </c>
      <c r="N229" s="80">
        <v>2022.0</v>
      </c>
      <c r="O229" s="80" t="s">
        <v>783</v>
      </c>
      <c r="P229" s="80" t="s">
        <v>549</v>
      </c>
      <c r="Q229" s="108" t="s">
        <v>784</v>
      </c>
      <c r="R229" s="110" t="s">
        <v>785</v>
      </c>
    </row>
    <row r="230" ht="13.5" customHeight="1">
      <c r="A230" s="95">
        <v>9.0</v>
      </c>
      <c r="B230" s="86" t="s">
        <v>786</v>
      </c>
      <c r="C230" s="95" t="s">
        <v>2029</v>
      </c>
      <c r="D230" s="95" t="s">
        <v>8446</v>
      </c>
      <c r="E230" s="115" t="s">
        <v>2029</v>
      </c>
      <c r="F230" s="86" t="s">
        <v>6466</v>
      </c>
      <c r="G230" s="80" t="s">
        <v>56</v>
      </c>
      <c r="H230" s="80" t="s">
        <v>789</v>
      </c>
      <c r="I230" s="80" t="str">
        <f>IFERROR(VLOOKUP(B230, '02. MM-KLH'!$B:$K, 9, FALSE),"")</f>
        <v>30/03/2024</v>
      </c>
      <c r="J230" s="106"/>
      <c r="K230" s="1371" t="s">
        <v>790</v>
      </c>
      <c r="L230" s="1370" t="s">
        <v>454</v>
      </c>
      <c r="M230" s="108" t="s">
        <v>84</v>
      </c>
      <c r="N230" s="80">
        <v>2013.0</v>
      </c>
      <c r="O230" s="80" t="s">
        <v>791</v>
      </c>
      <c r="P230" s="106" t="s">
        <v>101</v>
      </c>
      <c r="Q230" s="108">
        <v>57548.0</v>
      </c>
      <c r="R230" s="110" t="s">
        <v>96</v>
      </c>
    </row>
    <row r="231" ht="13.5" customHeight="1">
      <c r="A231" s="95">
        <v>10.0</v>
      </c>
      <c r="B231" s="86" t="s">
        <v>1259</v>
      </c>
      <c r="C231" s="95" t="s">
        <v>6567</v>
      </c>
      <c r="D231" s="95" t="s">
        <v>8447</v>
      </c>
      <c r="E231" s="115"/>
      <c r="F231" s="86" t="s">
        <v>8320</v>
      </c>
      <c r="G231" s="80" t="s">
        <v>1253</v>
      </c>
      <c r="H231" s="80" t="s">
        <v>1261</v>
      </c>
      <c r="I231" s="80" t="str">
        <f>IFERROR(VLOOKUP(B231, '02. MM-KLH'!$B:$K, 9, FALSE),"")</f>
        <v>28/06/2024</v>
      </c>
      <c r="J231" s="106"/>
      <c r="K231" s="1371" t="s">
        <v>1262</v>
      </c>
      <c r="L231" s="1370" t="s">
        <v>743</v>
      </c>
      <c r="M231" s="108" t="s">
        <v>148</v>
      </c>
      <c r="N231" s="80">
        <v>2018.0</v>
      </c>
      <c r="O231" s="80" t="s">
        <v>860</v>
      </c>
      <c r="P231" s="106" t="s">
        <v>861</v>
      </c>
      <c r="Q231" s="108" t="s">
        <v>1263</v>
      </c>
      <c r="R231" s="110" t="s">
        <v>96</v>
      </c>
    </row>
    <row r="232" ht="13.5" customHeight="1">
      <c r="A232" s="95">
        <v>11.0</v>
      </c>
      <c r="B232" s="84" t="s">
        <v>1387</v>
      </c>
      <c r="C232" s="95" t="s">
        <v>6576</v>
      </c>
      <c r="D232" s="95" t="s">
        <v>8448</v>
      </c>
      <c r="E232" s="115"/>
      <c r="F232" s="86" t="s">
        <v>8320</v>
      </c>
      <c r="G232" s="80" t="s">
        <v>1389</v>
      </c>
      <c r="H232" s="99"/>
      <c r="I232" s="80" t="str">
        <f>IFERROR(VLOOKUP(B232, '02. MM-KLH'!$B:$K, 9, FALSE),"")</f>
        <v/>
      </c>
      <c r="J232" s="106"/>
      <c r="K232" s="1369"/>
      <c r="L232" s="1370" t="s">
        <v>743</v>
      </c>
      <c r="M232" s="108" t="s">
        <v>148</v>
      </c>
      <c r="N232" s="80">
        <v>2018.0</v>
      </c>
      <c r="O232" s="80" t="s">
        <v>860</v>
      </c>
      <c r="P232" s="106" t="s">
        <v>861</v>
      </c>
      <c r="Q232" s="108" t="s">
        <v>1390</v>
      </c>
      <c r="R232" s="110" t="s">
        <v>96</v>
      </c>
    </row>
    <row r="233" ht="13.5" customHeight="1">
      <c r="A233" s="95">
        <v>12.0</v>
      </c>
      <c r="B233" s="84" t="s">
        <v>1391</v>
      </c>
      <c r="C233" s="95" t="s">
        <v>6577</v>
      </c>
      <c r="D233" s="95" t="s">
        <v>8450</v>
      </c>
      <c r="E233" s="115"/>
      <c r="F233" s="86" t="s">
        <v>8320</v>
      </c>
      <c r="G233" s="80" t="s">
        <v>1389</v>
      </c>
      <c r="H233" s="99"/>
      <c r="I233" s="80" t="str">
        <f>IFERROR(VLOOKUP(B233, '02. MM-KLH'!$B:$K, 9, FALSE),"")</f>
        <v/>
      </c>
      <c r="J233" s="106"/>
      <c r="K233" s="1369"/>
      <c r="L233" s="1370" t="s">
        <v>743</v>
      </c>
      <c r="M233" s="108" t="s">
        <v>148</v>
      </c>
      <c r="N233" s="80">
        <v>2018.0</v>
      </c>
      <c r="O233" s="80" t="s">
        <v>860</v>
      </c>
      <c r="P233" s="106" t="s">
        <v>861</v>
      </c>
      <c r="Q233" s="108" t="s">
        <v>1393</v>
      </c>
      <c r="R233" s="110" t="s">
        <v>96</v>
      </c>
    </row>
    <row r="234" ht="13.5" customHeight="1">
      <c r="A234" s="95">
        <v>13.0</v>
      </c>
      <c r="B234" s="84" t="s">
        <v>1394</v>
      </c>
      <c r="C234" s="95" t="s">
        <v>6578</v>
      </c>
      <c r="D234" s="95" t="s">
        <v>8451</v>
      </c>
      <c r="E234" s="115"/>
      <c r="F234" s="86" t="s">
        <v>8320</v>
      </c>
      <c r="G234" s="80" t="s">
        <v>1389</v>
      </c>
      <c r="H234" s="99"/>
      <c r="I234" s="80" t="str">
        <f>IFERROR(VLOOKUP(B234, '02. MM-KLH'!$B:$K, 9, FALSE),"")</f>
        <v/>
      </c>
      <c r="J234" s="106"/>
      <c r="K234" s="1369"/>
      <c r="L234" s="1370" t="s">
        <v>743</v>
      </c>
      <c r="M234" s="108" t="s">
        <v>148</v>
      </c>
      <c r="N234" s="80">
        <v>2018.0</v>
      </c>
      <c r="O234" s="80" t="s">
        <v>860</v>
      </c>
      <c r="P234" s="106" t="s">
        <v>861</v>
      </c>
      <c r="Q234" s="108" t="s">
        <v>1397</v>
      </c>
      <c r="R234" s="110" t="s">
        <v>96</v>
      </c>
    </row>
    <row r="235" ht="13.5" customHeight="1">
      <c r="A235" s="95">
        <v>14.0</v>
      </c>
      <c r="B235" s="84" t="s">
        <v>1398</v>
      </c>
      <c r="C235" s="95" t="s">
        <v>6579</v>
      </c>
      <c r="D235" s="95" t="s">
        <v>8447</v>
      </c>
      <c r="E235" s="115"/>
      <c r="F235" s="86" t="s">
        <v>6476</v>
      </c>
      <c r="G235" s="80" t="s">
        <v>1389</v>
      </c>
      <c r="H235" s="99"/>
      <c r="I235" s="80" t="str">
        <f>IFERROR(VLOOKUP(B235, '02. MM-KLH'!$B:$K, 9, FALSE),"")</f>
        <v/>
      </c>
      <c r="J235" s="106"/>
      <c r="K235" s="1369"/>
      <c r="L235" s="1370" t="s">
        <v>454</v>
      </c>
      <c r="M235" s="108" t="s">
        <v>84</v>
      </c>
      <c r="N235" s="80">
        <v>2019.0</v>
      </c>
      <c r="O235" s="80" t="s">
        <v>878</v>
      </c>
      <c r="P235" s="106" t="s">
        <v>101</v>
      </c>
      <c r="Q235" s="108">
        <v>1665.0</v>
      </c>
      <c r="R235" s="110" t="s">
        <v>96</v>
      </c>
    </row>
    <row r="236" ht="13.5" customHeight="1">
      <c r="A236" s="95">
        <v>15.0</v>
      </c>
      <c r="B236" s="161" t="s">
        <v>1400</v>
      </c>
      <c r="C236" s="95" t="s">
        <v>6580</v>
      </c>
      <c r="D236" s="9" t="s">
        <v>8452</v>
      </c>
      <c r="E236" s="134"/>
      <c r="F236" s="161" t="s">
        <v>6466</v>
      </c>
      <c r="G236" s="137" t="s">
        <v>1389</v>
      </c>
      <c r="H236" s="137" t="s">
        <v>1402</v>
      </c>
      <c r="I236" s="80" t="str">
        <f>IFERROR(VLOOKUP(B236, '02. MM-KLH'!$B:$K, 9, FALSE),"")</f>
        <v>21/02/2024</v>
      </c>
      <c r="J236" s="106"/>
      <c r="K236" s="1417" t="s">
        <v>1403</v>
      </c>
      <c r="L236" s="1406" t="s">
        <v>454</v>
      </c>
      <c r="M236" s="186" t="s">
        <v>84</v>
      </c>
      <c r="N236" s="137">
        <v>2013.0</v>
      </c>
      <c r="O236" s="137" t="s">
        <v>791</v>
      </c>
      <c r="P236" s="6" t="s">
        <v>792</v>
      </c>
      <c r="Q236" s="186" t="s">
        <v>1404</v>
      </c>
      <c r="R236" s="140" t="s">
        <v>96</v>
      </c>
    </row>
    <row r="237" ht="13.5" customHeight="1">
      <c r="A237" s="95">
        <v>16.0</v>
      </c>
      <c r="B237" s="86" t="s">
        <v>1405</v>
      </c>
      <c r="C237" s="95" t="s">
        <v>6581</v>
      </c>
      <c r="D237" s="95" t="s">
        <v>8456</v>
      </c>
      <c r="E237" s="115"/>
      <c r="F237" s="86" t="s">
        <v>8320</v>
      </c>
      <c r="G237" s="80" t="s">
        <v>1389</v>
      </c>
      <c r="H237" s="99">
        <v>45600.0</v>
      </c>
      <c r="I237" s="80">
        <f>IFERROR(VLOOKUP(B237, '02. MM-KLH'!$B:$K, 9, FALSE),"")</f>
        <v>45600</v>
      </c>
      <c r="J237" s="324"/>
      <c r="K237" s="1371" t="s">
        <v>1408</v>
      </c>
      <c r="L237" s="1370" t="s">
        <v>743</v>
      </c>
      <c r="M237" s="108" t="s">
        <v>148</v>
      </c>
      <c r="N237" s="80">
        <v>2018.0</v>
      </c>
      <c r="O237" s="80" t="s">
        <v>860</v>
      </c>
      <c r="P237" s="106" t="s">
        <v>861</v>
      </c>
      <c r="Q237" s="108">
        <v>180046.0</v>
      </c>
      <c r="R237" s="110" t="s">
        <v>96</v>
      </c>
    </row>
    <row r="238" ht="13.5" customHeight="1">
      <c r="A238" s="95">
        <v>17.0</v>
      </c>
      <c r="B238" s="84" t="s">
        <v>1278</v>
      </c>
      <c r="C238" s="95" t="s">
        <v>6572</v>
      </c>
      <c r="D238" s="95" t="s">
        <v>8448</v>
      </c>
      <c r="E238" s="115"/>
      <c r="F238" s="86" t="s">
        <v>6476</v>
      </c>
      <c r="G238" s="80" t="s">
        <v>4789</v>
      </c>
      <c r="H238" s="99"/>
      <c r="I238" s="80" t="str">
        <f>IFERROR(VLOOKUP(B238, '02. MM-KLH'!$B:$K, 9, FALSE),"")</f>
        <v/>
      </c>
      <c r="J238" s="106"/>
      <c r="K238" s="1369"/>
      <c r="L238" s="1370" t="s">
        <v>454</v>
      </c>
      <c r="M238" s="108" t="s">
        <v>84</v>
      </c>
      <c r="N238" s="80">
        <v>2019.0</v>
      </c>
      <c r="O238" s="80" t="s">
        <v>878</v>
      </c>
      <c r="P238" s="106" t="s">
        <v>101</v>
      </c>
      <c r="Q238" s="108" t="s">
        <v>1281</v>
      </c>
      <c r="R238" s="110" t="s">
        <v>96</v>
      </c>
    </row>
    <row r="239" ht="13.5" customHeight="1">
      <c r="A239" s="95">
        <v>18.0</v>
      </c>
      <c r="B239" s="84" t="s">
        <v>1264</v>
      </c>
      <c r="C239" s="95" t="s">
        <v>6568</v>
      </c>
      <c r="D239" s="95" t="s">
        <v>8450</v>
      </c>
      <c r="E239" s="115"/>
      <c r="F239" s="86" t="s">
        <v>8320</v>
      </c>
      <c r="G239" s="80" t="s">
        <v>4789</v>
      </c>
      <c r="H239" s="99"/>
      <c r="I239" s="80" t="str">
        <f>IFERROR(VLOOKUP(B239, '02. MM-KLH'!$B:$K, 9, FALSE),"")</f>
        <v/>
      </c>
      <c r="J239" s="106"/>
      <c r="K239" s="1369"/>
      <c r="L239" s="1370" t="s">
        <v>743</v>
      </c>
      <c r="M239" s="108" t="s">
        <v>148</v>
      </c>
      <c r="N239" s="80">
        <v>2018.0</v>
      </c>
      <c r="O239" s="80" t="s">
        <v>860</v>
      </c>
      <c r="P239" s="106" t="s">
        <v>861</v>
      </c>
      <c r="Q239" s="108" t="s">
        <v>1267</v>
      </c>
      <c r="R239" s="110" t="s">
        <v>96</v>
      </c>
    </row>
    <row r="240" ht="13.5" customHeight="1">
      <c r="A240" s="95">
        <v>19.0</v>
      </c>
      <c r="B240" s="84" t="s">
        <v>1268</v>
      </c>
      <c r="C240" s="95" t="s">
        <v>6569</v>
      </c>
      <c r="D240" s="95" t="s">
        <v>8451</v>
      </c>
      <c r="E240" s="115"/>
      <c r="F240" s="86" t="s">
        <v>8320</v>
      </c>
      <c r="G240" s="80" t="s">
        <v>4789</v>
      </c>
      <c r="H240" s="99"/>
      <c r="I240" s="80" t="str">
        <f>IFERROR(VLOOKUP(B240, '02. MM-KLH'!$B:$K, 9, FALSE),"")</f>
        <v/>
      </c>
      <c r="J240" s="106"/>
      <c r="K240" s="1369"/>
      <c r="L240" s="1370" t="s">
        <v>743</v>
      </c>
      <c r="M240" s="108" t="s">
        <v>148</v>
      </c>
      <c r="N240" s="80">
        <v>2018.0</v>
      </c>
      <c r="O240" s="80" t="s">
        <v>860</v>
      </c>
      <c r="P240" s="106" t="s">
        <v>861</v>
      </c>
      <c r="Q240" s="108" t="s">
        <v>1271</v>
      </c>
      <c r="R240" s="110" t="s">
        <v>96</v>
      </c>
    </row>
    <row r="241" ht="13.5" customHeight="1">
      <c r="A241" s="95">
        <v>20.0</v>
      </c>
      <c r="B241" s="86" t="s">
        <v>1272</v>
      </c>
      <c r="C241" s="95" t="s">
        <v>6570</v>
      </c>
      <c r="D241" s="95" t="s">
        <v>8452</v>
      </c>
      <c r="E241" s="115"/>
      <c r="F241" s="86" t="s">
        <v>8326</v>
      </c>
      <c r="G241" s="80" t="s">
        <v>4789</v>
      </c>
      <c r="H241" s="80" t="s">
        <v>1275</v>
      </c>
      <c r="I241" s="80" t="str">
        <f>IFERROR(VLOOKUP(B241, '02. MM-KLH'!$B:$K, 9, FALSE),"")</f>
        <v>23/01/2024</v>
      </c>
      <c r="J241" s="106"/>
      <c r="K241" s="1369"/>
      <c r="L241" s="1387" t="s">
        <v>454</v>
      </c>
      <c r="M241" s="108" t="s">
        <v>148</v>
      </c>
      <c r="N241" s="80"/>
      <c r="O241" s="80" t="s">
        <v>1276</v>
      </c>
      <c r="P241" s="80" t="s">
        <v>1277</v>
      </c>
      <c r="Q241" s="108" t="s">
        <v>96</v>
      </c>
      <c r="R241" s="110">
        <v>11368.0</v>
      </c>
    </row>
    <row r="242" ht="13.5" customHeight="1">
      <c r="A242" s="95">
        <v>21.0</v>
      </c>
      <c r="B242" s="86" t="s">
        <v>793</v>
      </c>
      <c r="C242" s="95" t="s">
        <v>794</v>
      </c>
      <c r="D242" s="72"/>
      <c r="E242" s="115"/>
      <c r="F242" s="86" t="s">
        <v>8327</v>
      </c>
      <c r="G242" s="80" t="s">
        <v>56</v>
      </c>
      <c r="H242" s="99">
        <v>45360.0</v>
      </c>
      <c r="I242" s="80"/>
      <c r="J242" s="80"/>
      <c r="K242" s="1366"/>
      <c r="L242" s="1367"/>
      <c r="M242" s="75"/>
      <c r="N242" s="75"/>
      <c r="O242" s="75"/>
      <c r="P242" s="75"/>
      <c r="Q242" s="75"/>
      <c r="R242" s="75"/>
    </row>
    <row r="243" ht="13.5" customHeight="1">
      <c r="A243" s="1375">
        <v>22.0</v>
      </c>
      <c r="B243" s="1413" t="s">
        <v>798</v>
      </c>
      <c r="C243" s="1375" t="s">
        <v>8482</v>
      </c>
      <c r="D243" s="72"/>
      <c r="E243" s="115"/>
      <c r="F243" s="1413" t="s">
        <v>8332</v>
      </c>
      <c r="G243" s="1428" t="s">
        <v>56</v>
      </c>
      <c r="H243" s="1429">
        <v>45993.0</v>
      </c>
      <c r="I243" s="1428"/>
      <c r="J243" s="80"/>
      <c r="K243" s="1366"/>
      <c r="L243" s="1367"/>
      <c r="M243" s="75"/>
      <c r="N243" s="75"/>
      <c r="O243" s="75"/>
      <c r="P243" s="75"/>
      <c r="Q243" s="75"/>
      <c r="R243" s="75"/>
    </row>
    <row r="244" ht="13.5" customHeight="1">
      <c r="A244" s="80"/>
      <c r="B244" s="86" t="s">
        <v>806</v>
      </c>
      <c r="C244" s="95" t="s">
        <v>807</v>
      </c>
      <c r="D244" s="95"/>
      <c r="E244" s="115"/>
      <c r="F244" s="86" t="s">
        <v>8332</v>
      </c>
      <c r="G244" s="80" t="s">
        <v>56</v>
      </c>
      <c r="H244" s="99"/>
      <c r="I244" s="80"/>
      <c r="J244" s="106"/>
      <c r="K244" s="1369"/>
      <c r="L244" s="1387"/>
      <c r="M244" s="108"/>
      <c r="N244" s="80"/>
      <c r="O244" s="80"/>
      <c r="P244" s="80"/>
      <c r="Q244" s="108"/>
      <c r="R244" s="110"/>
    </row>
    <row r="245" ht="13.5" customHeight="1">
      <c r="A245" s="80"/>
      <c r="B245" s="86" t="s">
        <v>809</v>
      </c>
      <c r="C245" s="95" t="s">
        <v>810</v>
      </c>
      <c r="D245" s="95"/>
      <c r="E245" s="115"/>
      <c r="F245" s="86" t="s">
        <v>811</v>
      </c>
      <c r="G245" s="80" t="s">
        <v>56</v>
      </c>
      <c r="H245" s="99"/>
      <c r="I245" s="80"/>
      <c r="J245" s="106"/>
      <c r="K245" s="1369"/>
      <c r="L245" s="1387"/>
      <c r="M245" s="108"/>
      <c r="N245" s="80"/>
      <c r="O245" s="80"/>
      <c r="P245" s="80"/>
      <c r="Q245" s="108"/>
      <c r="R245" s="110"/>
    </row>
    <row r="246" ht="13.5" customHeight="1">
      <c r="A246" s="95"/>
      <c r="B246" s="86"/>
      <c r="C246" s="95"/>
      <c r="D246" s="72"/>
      <c r="E246" s="115"/>
      <c r="F246" s="86"/>
      <c r="G246" s="80"/>
      <c r="H246" s="99"/>
      <c r="I246" s="80"/>
      <c r="J246" s="80"/>
      <c r="K246" s="1366"/>
      <c r="L246" s="1367"/>
      <c r="M246" s="75"/>
      <c r="N246" s="75"/>
      <c r="O246" s="75"/>
      <c r="P246" s="75"/>
      <c r="Q246" s="75"/>
      <c r="R246" s="75"/>
    </row>
    <row r="247" ht="13.5" customHeight="1">
      <c r="A247" s="95"/>
      <c r="B247" s="86"/>
      <c r="C247" s="95"/>
      <c r="D247" s="72"/>
      <c r="E247" s="115"/>
      <c r="F247" s="86"/>
      <c r="G247" s="80"/>
      <c r="H247" s="99"/>
      <c r="I247" s="80"/>
      <c r="J247" s="80"/>
      <c r="K247" s="1366"/>
      <c r="L247" s="1367"/>
      <c r="M247" s="75"/>
      <c r="N247" s="75"/>
      <c r="O247" s="75"/>
      <c r="P247" s="75"/>
      <c r="Q247" s="75"/>
      <c r="R247" s="75"/>
    </row>
    <row r="248" ht="13.5" customHeight="1">
      <c r="A248" s="95"/>
      <c r="B248" s="86"/>
      <c r="C248" s="95"/>
      <c r="D248" s="72"/>
      <c r="E248" s="115"/>
      <c r="F248" s="86"/>
      <c r="G248" s="80"/>
      <c r="H248" s="99"/>
      <c r="I248" s="80"/>
      <c r="J248" s="80"/>
      <c r="K248" s="1366"/>
      <c r="L248" s="1367"/>
      <c r="M248" s="75"/>
      <c r="N248" s="75"/>
      <c r="O248" s="75"/>
      <c r="P248" s="75"/>
      <c r="Q248" s="75"/>
      <c r="R248" s="75"/>
    </row>
    <row r="249" ht="13.5" customHeight="1">
      <c r="A249" s="151" t="s">
        <v>8494</v>
      </c>
      <c r="B249" s="152" t="s">
        <v>8495</v>
      </c>
      <c r="C249" s="72"/>
      <c r="D249" s="72"/>
      <c r="E249" s="75"/>
      <c r="F249" s="72"/>
      <c r="G249" s="75"/>
      <c r="H249" s="79"/>
      <c r="I249" s="79"/>
      <c r="J249" s="72"/>
      <c r="K249" s="1366"/>
      <c r="L249" s="1367"/>
      <c r="M249" s="75"/>
      <c r="N249" s="75"/>
      <c r="O249" s="75"/>
      <c r="P249" s="75"/>
      <c r="Q249" s="75"/>
      <c r="R249" s="75"/>
    </row>
    <row r="250" ht="13.5" customHeight="1">
      <c r="A250" s="80">
        <v>1.0</v>
      </c>
      <c r="B250" s="86" t="s">
        <v>3070</v>
      </c>
      <c r="C250" s="95" t="s">
        <v>3059</v>
      </c>
      <c r="D250" s="95" t="s">
        <v>1511</v>
      </c>
      <c r="E250" s="115" t="s">
        <v>3059</v>
      </c>
      <c r="F250" s="86" t="s">
        <v>8337</v>
      </c>
      <c r="G250" s="80" t="s">
        <v>1253</v>
      </c>
      <c r="H250" s="80" t="s">
        <v>1261</v>
      </c>
      <c r="I250" s="80" t="str">
        <f>IFERROR(VLOOKUP(B250, '02. MM-KLH'!$B:$K, 9, FALSE),"")</f>
        <v>28/06/2024</v>
      </c>
      <c r="J250" s="106"/>
      <c r="K250" s="1371" t="s">
        <v>1262</v>
      </c>
      <c r="L250" s="1370" t="s">
        <v>1561</v>
      </c>
      <c r="M250" s="108" t="s">
        <v>912</v>
      </c>
      <c r="N250" s="80"/>
      <c r="O250" s="80"/>
      <c r="P250" s="106" t="s">
        <v>950</v>
      </c>
      <c r="Q250" s="108" t="s">
        <v>3072</v>
      </c>
      <c r="R250" s="110" t="s">
        <v>96</v>
      </c>
    </row>
    <row r="251" ht="13.5" customHeight="1">
      <c r="A251" s="80">
        <v>2.0</v>
      </c>
      <c r="B251" s="86" t="s">
        <v>3067</v>
      </c>
      <c r="C251" s="95" t="s">
        <v>3059</v>
      </c>
      <c r="D251" s="95" t="s">
        <v>1509</v>
      </c>
      <c r="E251" s="115" t="s">
        <v>3059</v>
      </c>
      <c r="F251" s="86" t="s">
        <v>8337</v>
      </c>
      <c r="G251" s="80" t="s">
        <v>1253</v>
      </c>
      <c r="H251" s="80" t="s">
        <v>1261</v>
      </c>
      <c r="I251" s="80" t="str">
        <f>IFERROR(VLOOKUP(B251, '02. MM-KLH'!$B:$K, 9, FALSE),"")</f>
        <v>28/06/2024</v>
      </c>
      <c r="J251" s="106"/>
      <c r="K251" s="1371" t="s">
        <v>1262</v>
      </c>
      <c r="L251" s="1370" t="s">
        <v>1561</v>
      </c>
      <c r="M251" s="108" t="s">
        <v>912</v>
      </c>
      <c r="N251" s="80"/>
      <c r="O251" s="80"/>
      <c r="P251" s="106" t="s">
        <v>950</v>
      </c>
      <c r="Q251" s="108" t="s">
        <v>3069</v>
      </c>
      <c r="R251" s="110" t="s">
        <v>96</v>
      </c>
    </row>
    <row r="252" ht="13.5" customHeight="1">
      <c r="A252" s="80">
        <v>8.0</v>
      </c>
      <c r="B252" s="84" t="s">
        <v>3058</v>
      </c>
      <c r="C252" s="95" t="s">
        <v>3059</v>
      </c>
      <c r="D252" s="95" t="s">
        <v>1497</v>
      </c>
      <c r="E252" s="115" t="s">
        <v>3059</v>
      </c>
      <c r="F252" s="86" t="s">
        <v>8337</v>
      </c>
      <c r="G252" s="80" t="s">
        <v>4789</v>
      </c>
      <c r="H252" s="99"/>
      <c r="I252" s="80" t="str">
        <f>IFERROR(VLOOKUP(B252, '02. MM-KLH'!$B:$K, 9, FALSE),"")</f>
        <v/>
      </c>
      <c r="J252" s="106"/>
      <c r="K252" s="1369"/>
      <c r="L252" s="1370" t="s">
        <v>1561</v>
      </c>
      <c r="M252" s="108" t="s">
        <v>912</v>
      </c>
      <c r="N252" s="80"/>
      <c r="O252" s="80"/>
      <c r="P252" s="106" t="s">
        <v>950</v>
      </c>
      <c r="Q252" s="108" t="s">
        <v>3060</v>
      </c>
      <c r="R252" s="110" t="s">
        <v>96</v>
      </c>
    </row>
    <row r="253" ht="13.5" customHeight="1">
      <c r="A253" s="80">
        <v>9.0</v>
      </c>
      <c r="B253" s="84" t="s">
        <v>3062</v>
      </c>
      <c r="C253" s="95" t="s">
        <v>3059</v>
      </c>
      <c r="D253" s="95" t="s">
        <v>1500</v>
      </c>
      <c r="E253" s="115" t="s">
        <v>3059</v>
      </c>
      <c r="F253" s="86" t="s">
        <v>8337</v>
      </c>
      <c r="G253" s="80" t="s">
        <v>4789</v>
      </c>
      <c r="H253" s="99"/>
      <c r="I253" s="80" t="str">
        <f>IFERROR(VLOOKUP(B253, '02. MM-KLH'!$B:$K, 9, FALSE),"")</f>
        <v/>
      </c>
      <c r="J253" s="106"/>
      <c r="K253" s="1369"/>
      <c r="L253" s="1370" t="s">
        <v>1561</v>
      </c>
      <c r="M253" s="108" t="s">
        <v>912</v>
      </c>
      <c r="N253" s="80"/>
      <c r="O253" s="80"/>
      <c r="P253" s="106" t="s">
        <v>950</v>
      </c>
      <c r="Q253" s="108" t="s">
        <v>3063</v>
      </c>
      <c r="R253" s="110" t="s">
        <v>96</v>
      </c>
    </row>
    <row r="254" ht="13.5" customHeight="1">
      <c r="A254" s="80">
        <v>10.0</v>
      </c>
      <c r="B254" s="84" t="s">
        <v>3065</v>
      </c>
      <c r="C254" s="95" t="s">
        <v>3059</v>
      </c>
      <c r="D254" s="95" t="s">
        <v>1506</v>
      </c>
      <c r="E254" s="115" t="s">
        <v>3059</v>
      </c>
      <c r="F254" s="86" t="s">
        <v>8337</v>
      </c>
      <c r="G254" s="80" t="s">
        <v>4789</v>
      </c>
      <c r="H254" s="99"/>
      <c r="I254" s="80" t="str">
        <f>IFERROR(VLOOKUP(B254, '02. MM-KLH'!$B:$K, 9, FALSE),"")</f>
        <v/>
      </c>
      <c r="J254" s="106"/>
      <c r="K254" s="1369"/>
      <c r="L254" s="1370" t="s">
        <v>1561</v>
      </c>
      <c r="M254" s="108" t="s">
        <v>912</v>
      </c>
      <c r="N254" s="80"/>
      <c r="O254" s="80"/>
      <c r="P254" s="106" t="s">
        <v>950</v>
      </c>
      <c r="Q254" s="108" t="s">
        <v>3066</v>
      </c>
      <c r="R254" s="110" t="s">
        <v>96</v>
      </c>
    </row>
    <row r="255" ht="13.5" customHeight="1">
      <c r="A255" s="1428">
        <v>11.0</v>
      </c>
      <c r="B255" s="247" t="s">
        <v>4780</v>
      </c>
      <c r="C255" s="1375" t="s">
        <v>6582</v>
      </c>
      <c r="D255" s="1375" t="s">
        <v>6582</v>
      </c>
      <c r="E255" s="570" t="s">
        <v>6583</v>
      </c>
      <c r="F255" s="1413" t="s">
        <v>4782</v>
      </c>
      <c r="G255" s="1428" t="s">
        <v>1389</v>
      </c>
      <c r="H255" s="1429"/>
      <c r="I255" s="80" t="str">
        <f>IFERROR(VLOOKUP(B255, '02. MM-KLH'!$B:$K, 9, FALSE),"")</f>
        <v/>
      </c>
      <c r="J255" s="1431">
        <v>0.54</v>
      </c>
      <c r="K255" s="127"/>
      <c r="L255" s="1432" t="s">
        <v>187</v>
      </c>
      <c r="M255" s="129" t="s">
        <v>84</v>
      </c>
      <c r="N255" s="1428"/>
      <c r="O255" s="1428" t="s">
        <v>4783</v>
      </c>
      <c r="P255" s="1433" t="s">
        <v>4784</v>
      </c>
      <c r="Q255" s="129" t="s">
        <v>4785</v>
      </c>
      <c r="R255" s="155" t="s">
        <v>6584</v>
      </c>
    </row>
    <row r="256" ht="13.5" customHeight="1">
      <c r="A256" s="151" t="s">
        <v>8500</v>
      </c>
      <c r="B256" s="152" t="s">
        <v>8501</v>
      </c>
      <c r="C256" s="72"/>
      <c r="D256" s="72"/>
      <c r="E256" s="75"/>
      <c r="F256" s="72"/>
      <c r="G256" s="75"/>
      <c r="H256" s="79"/>
      <c r="I256" s="79"/>
      <c r="J256" s="72"/>
      <c r="K256" s="1366"/>
      <c r="L256" s="1367"/>
      <c r="M256" s="75"/>
      <c r="N256" s="75"/>
      <c r="O256" s="75"/>
      <c r="P256" s="75"/>
      <c r="Q256" s="75"/>
      <c r="R256" s="75"/>
    </row>
    <row r="257" ht="13.5" customHeight="1">
      <c r="A257" s="80">
        <v>1.0</v>
      </c>
      <c r="B257" s="86" t="s">
        <v>2508</v>
      </c>
      <c r="C257" s="95" t="s">
        <v>8502</v>
      </c>
      <c r="D257" s="95" t="s">
        <v>8503</v>
      </c>
      <c r="E257" s="115" t="s">
        <v>8502</v>
      </c>
      <c r="F257" s="86" t="s">
        <v>8504</v>
      </c>
      <c r="G257" s="80" t="s">
        <v>66</v>
      </c>
      <c r="H257" s="99">
        <v>43835.0</v>
      </c>
      <c r="I257" s="80" t="str">
        <f>IFERROR(VLOOKUP(B257, '02. MM-KLH'!$B:$K, 9, FALSE),"")</f>
        <v/>
      </c>
      <c r="J257" s="102">
        <v>0.67</v>
      </c>
      <c r="K257" s="1369"/>
      <c r="L257" s="1370" t="s">
        <v>1593</v>
      </c>
      <c r="M257" s="108" t="s">
        <v>148</v>
      </c>
      <c r="N257" s="1434" t="s">
        <v>8505</v>
      </c>
      <c r="O257" s="80" t="s">
        <v>2512</v>
      </c>
      <c r="P257" s="106" t="s">
        <v>112</v>
      </c>
      <c r="Q257" s="108" t="s">
        <v>2513</v>
      </c>
      <c r="R257" s="110" t="s">
        <v>96</v>
      </c>
    </row>
    <row r="258" ht="13.5" customHeight="1">
      <c r="A258" s="151" t="s">
        <v>8506</v>
      </c>
      <c r="B258" s="152" t="s">
        <v>8347</v>
      </c>
      <c r="C258" s="72"/>
      <c r="D258" s="72"/>
      <c r="E258" s="75"/>
      <c r="F258" s="72"/>
      <c r="G258" s="75"/>
      <c r="H258" s="79"/>
      <c r="I258" s="79"/>
      <c r="J258" s="72"/>
      <c r="K258" s="1366"/>
      <c r="L258" s="1367"/>
      <c r="M258" s="75"/>
      <c r="N258" s="75"/>
      <c r="O258" s="75"/>
      <c r="P258" s="75"/>
      <c r="Q258" s="75"/>
      <c r="R258" s="75"/>
    </row>
    <row r="259" ht="13.5" customHeight="1">
      <c r="A259" s="80">
        <v>1.0</v>
      </c>
      <c r="B259" s="86" t="s">
        <v>1632</v>
      </c>
      <c r="C259" s="95" t="s">
        <v>8507</v>
      </c>
      <c r="D259" s="95"/>
      <c r="E259" s="115"/>
      <c r="F259" s="86" t="s">
        <v>8348</v>
      </c>
      <c r="G259" s="80" t="s">
        <v>58</v>
      </c>
      <c r="H259" s="80" t="s">
        <v>966</v>
      </c>
      <c r="I259" s="80" t="str">
        <f>IFERROR(VLOOKUP(B259, '02. MM-KLH'!$B:$K, 9, FALSE),"")</f>
        <v/>
      </c>
      <c r="J259" s="102">
        <v>0.7</v>
      </c>
      <c r="K259" s="1369"/>
      <c r="L259" s="1370"/>
      <c r="M259" s="108"/>
      <c r="N259" s="80"/>
      <c r="O259" s="80"/>
      <c r="P259" s="106"/>
      <c r="Q259" s="108"/>
      <c r="R259" s="110"/>
    </row>
    <row r="260" ht="13.5" customHeight="1">
      <c r="A260" s="76" t="s">
        <v>8508</v>
      </c>
      <c r="B260" s="55"/>
      <c r="C260" s="59">
        <f>COUNTA(C262:C489)</f>
        <v>193</v>
      </c>
      <c r="D260" s="59"/>
      <c r="E260" s="55"/>
      <c r="F260" s="59"/>
      <c r="G260" s="55"/>
      <c r="H260" s="62"/>
      <c r="I260" s="1411"/>
      <c r="J260" s="59"/>
      <c r="K260" s="81"/>
      <c r="L260" s="1365"/>
      <c r="M260" s="55"/>
      <c r="N260" s="55"/>
      <c r="O260" s="55"/>
      <c r="P260" s="55"/>
      <c r="Q260" s="55"/>
      <c r="R260" s="55"/>
    </row>
    <row r="261" ht="13.5" customHeight="1">
      <c r="A261" s="151" t="s">
        <v>853</v>
      </c>
      <c r="B261" s="152" t="s">
        <v>8509</v>
      </c>
      <c r="C261" s="72"/>
      <c r="D261" s="72"/>
      <c r="E261" s="75"/>
      <c r="F261" s="72"/>
      <c r="G261" s="75"/>
      <c r="H261" s="79"/>
      <c r="I261" s="79"/>
      <c r="J261" s="72"/>
      <c r="K261" s="1366"/>
      <c r="L261" s="1367"/>
      <c r="M261" s="75"/>
      <c r="N261" s="75"/>
      <c r="O261" s="75"/>
      <c r="P261" s="75"/>
      <c r="Q261" s="75"/>
      <c r="R261" s="75"/>
    </row>
    <row r="262" ht="13.5" customHeight="1">
      <c r="A262" s="80">
        <v>1.0</v>
      </c>
      <c r="B262" s="84" t="s">
        <v>181</v>
      </c>
      <c r="C262" s="95" t="s">
        <v>182</v>
      </c>
      <c r="D262" s="95" t="s">
        <v>8510</v>
      </c>
      <c r="E262" s="115" t="s">
        <v>182</v>
      </c>
      <c r="F262" s="86" t="s">
        <v>8253</v>
      </c>
      <c r="G262" s="80" t="s">
        <v>59</v>
      </c>
      <c r="H262" s="99">
        <v>44287.0</v>
      </c>
      <c r="I262" s="80">
        <f>IFERROR(VLOOKUP(B262, '02. MM-KLH'!$B:$K, 9, FALSE),"")</f>
        <v>44287</v>
      </c>
      <c r="J262" s="102">
        <v>0.7</v>
      </c>
      <c r="K262" s="1369"/>
      <c r="L262" s="1370" t="s">
        <v>92</v>
      </c>
      <c r="M262" s="108" t="s">
        <v>84</v>
      </c>
      <c r="N262" s="80">
        <v>2021.0</v>
      </c>
      <c r="O262" s="80" t="s">
        <v>111</v>
      </c>
      <c r="P262" s="106" t="s">
        <v>112</v>
      </c>
      <c r="Q262" s="108" t="s">
        <v>574</v>
      </c>
      <c r="R262" s="110">
        <v>816364.0</v>
      </c>
    </row>
    <row r="263" ht="13.5" customHeight="1">
      <c r="A263" s="80">
        <v>2.0</v>
      </c>
      <c r="B263" s="84" t="s">
        <v>193</v>
      </c>
      <c r="C263" s="95" t="s">
        <v>198</v>
      </c>
      <c r="D263" s="95" t="s">
        <v>8511</v>
      </c>
      <c r="E263" s="115" t="s">
        <v>198</v>
      </c>
      <c r="F263" s="86" t="s">
        <v>8253</v>
      </c>
      <c r="G263" s="80" t="s">
        <v>59</v>
      </c>
      <c r="H263" s="99"/>
      <c r="I263" s="80" t="str">
        <f>IFERROR(VLOOKUP(B263, '02. MM-KLH'!$B:$K, 9, FALSE),"")</f>
        <v/>
      </c>
      <c r="J263" s="102">
        <v>0.66</v>
      </c>
      <c r="K263" s="1369"/>
      <c r="L263" s="1370" t="s">
        <v>92</v>
      </c>
      <c r="M263" s="108" t="s">
        <v>84</v>
      </c>
      <c r="N263" s="80">
        <v>2020.0</v>
      </c>
      <c r="O263" s="80" t="s">
        <v>111</v>
      </c>
      <c r="P263" s="106" t="s">
        <v>94</v>
      </c>
      <c r="Q263" s="108" t="s">
        <v>575</v>
      </c>
      <c r="R263" s="110">
        <v>800456.0</v>
      </c>
    </row>
    <row r="264" ht="13.5" customHeight="1">
      <c r="A264" s="80">
        <v>3.0</v>
      </c>
      <c r="B264" s="84" t="s">
        <v>354</v>
      </c>
      <c r="C264" s="95" t="s">
        <v>360</v>
      </c>
      <c r="D264" s="95" t="s">
        <v>8513</v>
      </c>
      <c r="E264" s="115" t="s">
        <v>360</v>
      </c>
      <c r="F264" s="86" t="s">
        <v>8255</v>
      </c>
      <c r="G264" s="80" t="s">
        <v>59</v>
      </c>
      <c r="H264" s="99"/>
      <c r="I264" s="80" t="str">
        <f>IFERROR(VLOOKUP(B264, '02. MM-KLH'!$B:$K, 9, FALSE),"")</f>
        <v>14/09/2020</v>
      </c>
      <c r="J264" s="106"/>
      <c r="K264" s="1369"/>
      <c r="L264" s="1370" t="s">
        <v>102</v>
      </c>
      <c r="M264" s="108" t="s">
        <v>103</v>
      </c>
      <c r="N264" s="80">
        <v>2020.0</v>
      </c>
      <c r="O264" s="80" t="s">
        <v>104</v>
      </c>
      <c r="P264" s="106" t="s">
        <v>105</v>
      </c>
      <c r="Q264" s="108" t="s">
        <v>577</v>
      </c>
      <c r="R264" s="110" t="s">
        <v>578</v>
      </c>
    </row>
    <row r="265" ht="13.5" customHeight="1">
      <c r="A265" s="80">
        <v>4.0</v>
      </c>
      <c r="B265" s="84" t="s">
        <v>377</v>
      </c>
      <c r="C265" s="95" t="s">
        <v>360</v>
      </c>
      <c r="D265" s="95" t="s">
        <v>8514</v>
      </c>
      <c r="E265" s="115" t="s">
        <v>360</v>
      </c>
      <c r="F265" s="86" t="s">
        <v>8255</v>
      </c>
      <c r="G265" s="80" t="s">
        <v>59</v>
      </c>
      <c r="H265" s="99"/>
      <c r="I265" s="80" t="str">
        <f>IFERROR(VLOOKUP(B265, '02. MM-KLH'!$B:$K, 9, FALSE),"")</f>
        <v>14/09/2020</v>
      </c>
      <c r="J265" s="106"/>
      <c r="K265" s="1369"/>
      <c r="L265" s="1370" t="s">
        <v>102</v>
      </c>
      <c r="M265" s="108" t="s">
        <v>103</v>
      </c>
      <c r="N265" s="80">
        <v>2020.0</v>
      </c>
      <c r="O265" s="80" t="s">
        <v>104</v>
      </c>
      <c r="P265" s="106" t="s">
        <v>105</v>
      </c>
      <c r="Q265" s="108" t="s">
        <v>579</v>
      </c>
      <c r="R265" s="110" t="s">
        <v>580</v>
      </c>
    </row>
    <row r="266" ht="13.5" customHeight="1">
      <c r="A266" s="80">
        <v>5.0</v>
      </c>
      <c r="B266" s="86" t="s">
        <v>590</v>
      </c>
      <c r="C266" s="95" t="s">
        <v>977</v>
      </c>
      <c r="D266" s="95" t="s">
        <v>8515</v>
      </c>
      <c r="E266" s="115" t="s">
        <v>977</v>
      </c>
      <c r="F266" s="86" t="s">
        <v>8262</v>
      </c>
      <c r="G266" s="80" t="s">
        <v>59</v>
      </c>
      <c r="H266" s="99">
        <v>44199.0</v>
      </c>
      <c r="I266" s="80">
        <f>IFERROR(VLOOKUP(B266, '02. MM-KLH'!$B:$K, 9, FALSE),"")</f>
        <v>44199</v>
      </c>
      <c r="J266" s="102">
        <v>0.69</v>
      </c>
      <c r="K266" s="1383" t="s">
        <v>592</v>
      </c>
      <c r="L266" s="1370" t="s">
        <v>123</v>
      </c>
      <c r="M266" s="108" t="s">
        <v>84</v>
      </c>
      <c r="N266" s="80">
        <v>2014.0</v>
      </c>
      <c r="O266" s="80" t="s">
        <v>223</v>
      </c>
      <c r="P266" s="106" t="s">
        <v>462</v>
      </c>
      <c r="Q266" s="108" t="s">
        <v>593</v>
      </c>
      <c r="R266" s="110">
        <v>32816.0</v>
      </c>
    </row>
    <row r="267" ht="13.5" customHeight="1">
      <c r="A267" s="80">
        <v>6.0</v>
      </c>
      <c r="B267" s="86" t="s">
        <v>2041</v>
      </c>
      <c r="C267" s="95" t="s">
        <v>6510</v>
      </c>
      <c r="D267" s="95" t="s">
        <v>8516</v>
      </c>
      <c r="E267" s="115"/>
      <c r="F267" s="86" t="s">
        <v>8517</v>
      </c>
      <c r="G267" s="80" t="s">
        <v>59</v>
      </c>
      <c r="H267" s="99">
        <v>45446.0</v>
      </c>
      <c r="I267" s="80" t="str">
        <f>IFERROR(VLOOKUP(B267, '02. MM-KLH'!$B:$K, 9, FALSE),"")</f>
        <v/>
      </c>
      <c r="J267" s="106"/>
      <c r="K267" s="1383" t="s">
        <v>592</v>
      </c>
      <c r="L267" s="1387" t="s">
        <v>1441</v>
      </c>
      <c r="M267" s="108"/>
      <c r="N267" s="80"/>
      <c r="O267" s="80">
        <v>305.0</v>
      </c>
      <c r="P267" s="80" t="s">
        <v>2043</v>
      </c>
      <c r="Q267" s="108" t="s">
        <v>2044</v>
      </c>
      <c r="R267" s="110" t="s">
        <v>2045</v>
      </c>
    </row>
    <row r="268" ht="13.5" customHeight="1">
      <c r="A268" s="80">
        <v>7.0</v>
      </c>
      <c r="B268" s="1374" t="s">
        <v>594</v>
      </c>
      <c r="C268" s="95" t="s">
        <v>1102</v>
      </c>
      <c r="D268" s="1376" t="s">
        <v>8518</v>
      </c>
      <c r="E268" s="1374" t="s">
        <v>1102</v>
      </c>
      <c r="F268" s="1374" t="s">
        <v>6486</v>
      </c>
      <c r="G268" s="1377" t="s">
        <v>59</v>
      </c>
      <c r="H268" s="1378"/>
      <c r="I268" s="80" t="str">
        <f>IFERROR(VLOOKUP(B268, '02. MM-KLH'!$B:$K, 9, FALSE),"")</f>
        <v/>
      </c>
      <c r="J268" s="1379"/>
      <c r="K268" s="1380" t="s">
        <v>8519</v>
      </c>
      <c r="L268" s="1381" t="s">
        <v>454</v>
      </c>
      <c r="M268" s="1382" t="s">
        <v>84</v>
      </c>
      <c r="N268" s="1376">
        <v>2015.0</v>
      </c>
      <c r="O268" s="1376" t="s">
        <v>455</v>
      </c>
      <c r="P268" s="1379" t="s">
        <v>456</v>
      </c>
      <c r="Q268" s="1382" t="s">
        <v>597</v>
      </c>
      <c r="R268" s="1382" t="s">
        <v>598</v>
      </c>
    </row>
    <row r="269" ht="13.5" customHeight="1">
      <c r="A269" s="80">
        <v>8.0</v>
      </c>
      <c r="B269" s="1374" t="s">
        <v>599</v>
      </c>
      <c r="C269" s="95" t="s">
        <v>1102</v>
      </c>
      <c r="D269" s="1376" t="s">
        <v>8516</v>
      </c>
      <c r="E269" s="1374" t="s">
        <v>1102</v>
      </c>
      <c r="F269" s="1374" t="s">
        <v>6486</v>
      </c>
      <c r="G269" s="1377" t="s">
        <v>59</v>
      </c>
      <c r="H269" s="1378"/>
      <c r="I269" s="80" t="str">
        <f>IFERROR(VLOOKUP(B269, '02. MM-KLH'!$B:$K, 9, FALSE),"")</f>
        <v/>
      </c>
      <c r="J269" s="1379"/>
      <c r="K269" s="1380" t="s">
        <v>8519</v>
      </c>
      <c r="L269" s="1381" t="s">
        <v>454</v>
      </c>
      <c r="M269" s="1382" t="s">
        <v>84</v>
      </c>
      <c r="N269" s="1376">
        <v>2015.0</v>
      </c>
      <c r="O269" s="1376" t="s">
        <v>455</v>
      </c>
      <c r="P269" s="1379" t="s">
        <v>456</v>
      </c>
      <c r="Q269" s="1382" t="s">
        <v>602</v>
      </c>
      <c r="R269" s="1382" t="s">
        <v>603</v>
      </c>
    </row>
    <row r="270" ht="13.5" customHeight="1">
      <c r="A270" s="80">
        <v>9.0</v>
      </c>
      <c r="B270" s="84" t="s">
        <v>3103</v>
      </c>
      <c r="C270" s="95" t="s">
        <v>3105</v>
      </c>
      <c r="D270" s="95" t="s">
        <v>8520</v>
      </c>
      <c r="E270" s="115" t="s">
        <v>3105</v>
      </c>
      <c r="F270" s="86" t="s">
        <v>8262</v>
      </c>
      <c r="G270" s="80" t="s">
        <v>2964</v>
      </c>
      <c r="H270" s="99"/>
      <c r="I270" s="80">
        <f>IFERROR(VLOOKUP(B270, '02. MM-KLH'!$B:$K, 9, FALSE),"")</f>
        <v>44105</v>
      </c>
      <c r="J270" s="102">
        <v>0.65</v>
      </c>
      <c r="K270" s="1369"/>
      <c r="L270" s="1370" t="s">
        <v>123</v>
      </c>
      <c r="M270" s="108" t="s">
        <v>84</v>
      </c>
      <c r="N270" s="80">
        <v>2006.0</v>
      </c>
      <c r="O270" s="80" t="s">
        <v>3107</v>
      </c>
      <c r="P270" s="106"/>
      <c r="Q270" s="108" t="s">
        <v>3108</v>
      </c>
      <c r="R270" s="110">
        <v>10189.0</v>
      </c>
    </row>
    <row r="271" ht="13.5" customHeight="1">
      <c r="A271" s="80">
        <v>10.0</v>
      </c>
      <c r="B271" s="86" t="s">
        <v>1060</v>
      </c>
      <c r="C271" s="95" t="s">
        <v>1064</v>
      </c>
      <c r="D271" s="95" t="s">
        <v>8520</v>
      </c>
      <c r="E271" s="115" t="s">
        <v>1064</v>
      </c>
      <c r="F271" s="115" t="s">
        <v>8262</v>
      </c>
      <c r="G271" s="80" t="s">
        <v>836</v>
      </c>
      <c r="H271" s="116"/>
      <c r="I271" s="80" t="str">
        <f>IFERROR(VLOOKUP(B271, '02. MM-KLH'!$B:$K, 9, FALSE),"")</f>
        <v/>
      </c>
      <c r="J271" s="119"/>
      <c r="K271" s="1369" t="s">
        <v>2005</v>
      </c>
      <c r="L271" s="1373" t="s">
        <v>123</v>
      </c>
      <c r="M271" s="110" t="s">
        <v>84</v>
      </c>
      <c r="N271" s="95">
        <v>2006.0</v>
      </c>
      <c r="O271" s="95" t="s">
        <v>1428</v>
      </c>
      <c r="P271" s="119" t="s">
        <v>462</v>
      </c>
      <c r="Q271" s="110" t="s">
        <v>2030</v>
      </c>
      <c r="R271" s="110" t="s">
        <v>96</v>
      </c>
    </row>
    <row r="272" ht="13.5" customHeight="1">
      <c r="A272" s="80">
        <v>11.0</v>
      </c>
      <c r="B272" s="115" t="s">
        <v>604</v>
      </c>
      <c r="C272" s="95" t="s">
        <v>6513</v>
      </c>
      <c r="D272" s="95"/>
      <c r="E272" s="115"/>
      <c r="F272" s="115" t="s">
        <v>6486</v>
      </c>
      <c r="G272" s="80" t="s">
        <v>59</v>
      </c>
      <c r="H272" s="116"/>
      <c r="I272" s="80">
        <f>IFERROR(VLOOKUP(B272, '02. MM-KLH'!$B:$K, 9, FALSE),"")</f>
        <v>45512</v>
      </c>
      <c r="J272" s="119"/>
      <c r="K272" s="1388" t="s">
        <v>8521</v>
      </c>
      <c r="L272" s="1373"/>
      <c r="M272" s="110"/>
      <c r="N272" s="95"/>
      <c r="O272" s="95"/>
      <c r="P272" s="119"/>
      <c r="Q272" s="110"/>
      <c r="R272" s="110"/>
    </row>
    <row r="273" ht="13.5" customHeight="1">
      <c r="A273" s="80"/>
      <c r="B273" s="115" t="s">
        <v>612</v>
      </c>
      <c r="C273" s="95" t="s">
        <v>613</v>
      </c>
      <c r="D273" s="95"/>
      <c r="E273" s="115"/>
      <c r="F273" s="115" t="s">
        <v>6491</v>
      </c>
      <c r="G273" s="80" t="s">
        <v>59</v>
      </c>
      <c r="H273" s="116"/>
      <c r="I273" s="80"/>
      <c r="J273" s="119"/>
      <c r="K273" s="1388"/>
      <c r="L273" s="1373"/>
      <c r="M273" s="110"/>
      <c r="N273" s="95"/>
      <c r="O273" s="95"/>
      <c r="P273" s="119"/>
      <c r="Q273" s="110"/>
      <c r="R273" s="110"/>
    </row>
    <row r="274" ht="13.5" customHeight="1">
      <c r="A274" s="80"/>
      <c r="B274" s="115" t="s">
        <v>2037</v>
      </c>
      <c r="C274" s="95" t="s">
        <v>2038</v>
      </c>
      <c r="D274" s="95"/>
      <c r="E274" s="115"/>
      <c r="F274" s="115" t="s">
        <v>8522</v>
      </c>
      <c r="G274" s="80" t="s">
        <v>59</v>
      </c>
      <c r="H274" s="116"/>
      <c r="I274" s="80"/>
      <c r="J274" s="119"/>
      <c r="K274" s="1388"/>
      <c r="L274" s="1373"/>
      <c r="M274" s="110"/>
      <c r="N274" s="95"/>
      <c r="O274" s="95"/>
      <c r="P274" s="119"/>
      <c r="Q274" s="110"/>
      <c r="R274" s="110"/>
    </row>
    <row r="275" ht="13.5" customHeight="1">
      <c r="A275" s="80"/>
      <c r="B275" s="115" t="s">
        <v>444</v>
      </c>
      <c r="C275" s="95" t="s">
        <v>616</v>
      </c>
      <c r="D275" s="95"/>
      <c r="E275" s="115"/>
      <c r="F275" s="115" t="s">
        <v>8523</v>
      </c>
      <c r="G275" s="80" t="s">
        <v>59</v>
      </c>
      <c r="H275" s="116"/>
      <c r="I275" s="80"/>
      <c r="J275" s="119"/>
      <c r="K275" s="1388"/>
      <c r="L275" s="1373"/>
      <c r="M275" s="110"/>
      <c r="N275" s="95"/>
      <c r="O275" s="95"/>
      <c r="P275" s="119"/>
      <c r="Q275" s="110"/>
      <c r="R275" s="110"/>
    </row>
    <row r="276" ht="13.5" customHeight="1">
      <c r="A276" s="80"/>
      <c r="B276" s="115"/>
      <c r="C276" s="95"/>
      <c r="D276" s="95"/>
      <c r="E276" s="115"/>
      <c r="F276" s="115"/>
      <c r="G276" s="80"/>
      <c r="H276" s="116"/>
      <c r="I276" s="80"/>
      <c r="J276" s="119"/>
      <c r="K276" s="1388"/>
      <c r="L276" s="1373"/>
      <c r="M276" s="110"/>
      <c r="N276" s="95"/>
      <c r="O276" s="95"/>
      <c r="P276" s="119"/>
      <c r="Q276" s="110"/>
      <c r="R276" s="110"/>
    </row>
    <row r="277" ht="13.5" customHeight="1">
      <c r="A277" s="151" t="s">
        <v>1005</v>
      </c>
      <c r="B277" s="152" t="s">
        <v>8524</v>
      </c>
      <c r="C277" s="72"/>
      <c r="D277" s="72"/>
      <c r="E277" s="75"/>
      <c r="F277" s="72"/>
      <c r="G277" s="75"/>
      <c r="H277" s="79"/>
      <c r="I277" s="79"/>
      <c r="J277" s="72"/>
      <c r="K277" s="1366"/>
      <c r="L277" s="1367"/>
      <c r="M277" s="75"/>
      <c r="N277" s="75"/>
      <c r="O277" s="75"/>
      <c r="P277" s="75"/>
      <c r="Q277" s="75"/>
      <c r="R277" s="75"/>
    </row>
    <row r="278" ht="13.5" customHeight="1">
      <c r="A278" s="95">
        <v>1.0</v>
      </c>
      <c r="B278" s="113" t="s">
        <v>520</v>
      </c>
      <c r="C278" s="95" t="s">
        <v>1304</v>
      </c>
      <c r="D278" s="95" t="s">
        <v>8525</v>
      </c>
      <c r="E278" s="115" t="s">
        <v>1304</v>
      </c>
      <c r="F278" s="115" t="s">
        <v>122</v>
      </c>
      <c r="G278" s="95" t="s">
        <v>59</v>
      </c>
      <c r="H278" s="116">
        <v>44228.0</v>
      </c>
      <c r="I278" s="80">
        <f>IFERROR(VLOOKUP(B278, '02. MM-KLH'!$B:$K, 9, FALSE),"")</f>
        <v>43841</v>
      </c>
      <c r="J278" s="117">
        <v>0.65</v>
      </c>
      <c r="K278" s="1372"/>
      <c r="L278" s="1373" t="s">
        <v>123</v>
      </c>
      <c r="M278" s="110" t="s">
        <v>84</v>
      </c>
      <c r="N278" s="95">
        <v>2005.0</v>
      </c>
      <c r="O278" s="95" t="s">
        <v>124</v>
      </c>
      <c r="P278" s="119" t="s">
        <v>125</v>
      </c>
      <c r="Q278" s="110" t="s">
        <v>522</v>
      </c>
      <c r="R278" s="110" t="s">
        <v>523</v>
      </c>
    </row>
    <row r="279" ht="13.5" customHeight="1">
      <c r="A279" s="80">
        <v>2.0</v>
      </c>
      <c r="B279" s="84" t="s">
        <v>524</v>
      </c>
      <c r="C279" s="95" t="s">
        <v>1320</v>
      </c>
      <c r="D279" s="95" t="s">
        <v>8526</v>
      </c>
      <c r="E279" s="115" t="s">
        <v>1320</v>
      </c>
      <c r="F279" s="86" t="s">
        <v>122</v>
      </c>
      <c r="G279" s="80" t="s">
        <v>59</v>
      </c>
      <c r="H279" s="80"/>
      <c r="I279" s="80">
        <f>IFERROR(VLOOKUP(B279, '02. MM-KLH'!$B:$K, 9, FALSE),"")</f>
        <v>43841</v>
      </c>
      <c r="J279" s="102">
        <v>0.66</v>
      </c>
      <c r="K279" s="1369"/>
      <c r="L279" s="1370" t="s">
        <v>123</v>
      </c>
      <c r="M279" s="108" t="s">
        <v>84</v>
      </c>
      <c r="N279" s="80">
        <v>2004.0</v>
      </c>
      <c r="O279" s="80" t="s">
        <v>124</v>
      </c>
      <c r="P279" s="106" t="s">
        <v>125</v>
      </c>
      <c r="Q279" s="108" t="s">
        <v>526</v>
      </c>
      <c r="R279" s="110" t="s">
        <v>527</v>
      </c>
    </row>
    <row r="280" ht="13.5" customHeight="1">
      <c r="A280" s="95">
        <v>3.0</v>
      </c>
      <c r="B280" s="84" t="s">
        <v>528</v>
      </c>
      <c r="C280" s="95" t="s">
        <v>1471</v>
      </c>
      <c r="D280" s="95" t="s">
        <v>8527</v>
      </c>
      <c r="E280" s="115" t="s">
        <v>1471</v>
      </c>
      <c r="F280" s="86" t="s">
        <v>8528</v>
      </c>
      <c r="G280" s="80" t="s">
        <v>59</v>
      </c>
      <c r="H280" s="99">
        <v>44287.0</v>
      </c>
      <c r="I280" s="80">
        <f>IFERROR(VLOOKUP(B280, '02. MM-KLH'!$B:$K, 9, FALSE),"")</f>
        <v>43841</v>
      </c>
      <c r="J280" s="102">
        <v>0.66</v>
      </c>
      <c r="K280" s="1369"/>
      <c r="L280" s="1370" t="s">
        <v>123</v>
      </c>
      <c r="M280" s="108" t="s">
        <v>84</v>
      </c>
      <c r="N280" s="80">
        <v>1996.0</v>
      </c>
      <c r="O280" s="80" t="s">
        <v>530</v>
      </c>
      <c r="P280" s="106" t="s">
        <v>531</v>
      </c>
      <c r="Q280" s="108" t="s">
        <v>532</v>
      </c>
      <c r="R280" s="110" t="s">
        <v>533</v>
      </c>
    </row>
    <row r="281" ht="13.5" customHeight="1">
      <c r="A281" s="80">
        <v>4.0</v>
      </c>
      <c r="B281" s="113" t="s">
        <v>534</v>
      </c>
      <c r="C281" s="95" t="s">
        <v>1372</v>
      </c>
      <c r="D281" s="95" t="s">
        <v>8529</v>
      </c>
      <c r="E281" s="115" t="s">
        <v>1372</v>
      </c>
      <c r="F281" s="115" t="s">
        <v>122</v>
      </c>
      <c r="G281" s="95" t="s">
        <v>59</v>
      </c>
      <c r="H281" s="116">
        <v>44136.0</v>
      </c>
      <c r="I281" s="80">
        <f>IFERROR(VLOOKUP(B281, '02. MM-KLH'!$B:$K, 9, FALSE),"")</f>
        <v>44198</v>
      </c>
      <c r="J281" s="117">
        <v>0.68</v>
      </c>
      <c r="K281" s="1372"/>
      <c r="L281" s="1373" t="s">
        <v>123</v>
      </c>
      <c r="M281" s="110" t="s">
        <v>84</v>
      </c>
      <c r="N281" s="95">
        <v>2006.0</v>
      </c>
      <c r="O281" s="95" t="s">
        <v>290</v>
      </c>
      <c r="P281" s="119" t="s">
        <v>262</v>
      </c>
      <c r="Q281" s="110" t="s">
        <v>535</v>
      </c>
      <c r="R281" s="110" t="s">
        <v>536</v>
      </c>
    </row>
    <row r="282" ht="13.5" customHeight="1">
      <c r="A282" s="151" t="s">
        <v>1116</v>
      </c>
      <c r="B282" s="152" t="s">
        <v>8530</v>
      </c>
      <c r="C282" s="72"/>
      <c r="D282" s="72"/>
      <c r="E282" s="75"/>
      <c r="F282" s="72"/>
      <c r="G282" s="75"/>
      <c r="H282" s="79"/>
      <c r="I282" s="79"/>
      <c r="J282" s="72"/>
      <c r="K282" s="1366"/>
      <c r="L282" s="1367"/>
      <c r="M282" s="75"/>
      <c r="N282" s="75"/>
      <c r="O282" s="75"/>
      <c r="P282" s="75"/>
      <c r="Q282" s="75"/>
      <c r="R282" s="75"/>
    </row>
    <row r="283" ht="13.5" customHeight="1">
      <c r="A283" s="95">
        <v>1.0</v>
      </c>
      <c r="B283" s="84" t="s">
        <v>558</v>
      </c>
      <c r="C283" s="95" t="s">
        <v>4632</v>
      </c>
      <c r="D283" s="95" t="s">
        <v>6536</v>
      </c>
      <c r="E283" s="115" t="s">
        <v>4632</v>
      </c>
      <c r="F283" s="86" t="s">
        <v>8375</v>
      </c>
      <c r="G283" s="80" t="s">
        <v>59</v>
      </c>
      <c r="H283" s="99"/>
      <c r="I283" s="80" t="str">
        <f>IFERROR(VLOOKUP(B283, '02. MM-KLH'!$B:$K, 9, FALSE),"")</f>
        <v/>
      </c>
      <c r="J283" s="102">
        <v>0.68</v>
      </c>
      <c r="K283" s="1369"/>
      <c r="L283" s="1370" t="s">
        <v>300</v>
      </c>
      <c r="M283" s="108" t="s">
        <v>148</v>
      </c>
      <c r="N283" s="80">
        <v>2020.0</v>
      </c>
      <c r="O283" s="80" t="s">
        <v>412</v>
      </c>
      <c r="P283" s="106" t="s">
        <v>413</v>
      </c>
      <c r="Q283" s="108" t="s">
        <v>559</v>
      </c>
      <c r="R283" s="110" t="s">
        <v>560</v>
      </c>
    </row>
    <row r="284" ht="13.5" customHeight="1">
      <c r="A284" s="80">
        <v>2.0</v>
      </c>
      <c r="B284" s="84" t="s">
        <v>561</v>
      </c>
      <c r="C284" s="95" t="s">
        <v>4567</v>
      </c>
      <c r="D284" s="95" t="s">
        <v>6492</v>
      </c>
      <c r="E284" s="115" t="s">
        <v>4567</v>
      </c>
      <c r="F284" s="86" t="s">
        <v>146</v>
      </c>
      <c r="G284" s="80" t="s">
        <v>59</v>
      </c>
      <c r="H284" s="99">
        <v>44198.0</v>
      </c>
      <c r="I284" s="80">
        <f>IFERROR(VLOOKUP(B284, '02. MM-KLH'!$B:$K, 9, FALSE),"")</f>
        <v>44198</v>
      </c>
      <c r="J284" s="102">
        <v>0.32</v>
      </c>
      <c r="K284" s="1369"/>
      <c r="L284" s="1370" t="s">
        <v>147</v>
      </c>
      <c r="M284" s="108" t="s">
        <v>148</v>
      </c>
      <c r="N284" s="80">
        <v>2018.0</v>
      </c>
      <c r="O284" s="80" t="s">
        <v>8269</v>
      </c>
      <c r="P284" s="106" t="s">
        <v>150</v>
      </c>
      <c r="Q284" s="108" t="s">
        <v>562</v>
      </c>
      <c r="R284" s="110" t="s">
        <v>563</v>
      </c>
    </row>
    <row r="285" ht="13.5" customHeight="1">
      <c r="A285" s="95">
        <v>3.0</v>
      </c>
      <c r="B285" s="113" t="s">
        <v>564</v>
      </c>
      <c r="C285" s="95" t="s">
        <v>4567</v>
      </c>
      <c r="D285" s="95" t="s">
        <v>6493</v>
      </c>
      <c r="E285" s="115" t="s">
        <v>4567</v>
      </c>
      <c r="F285" s="115" t="s">
        <v>146</v>
      </c>
      <c r="G285" s="95" t="s">
        <v>59</v>
      </c>
      <c r="H285" s="116">
        <v>44198.0</v>
      </c>
      <c r="I285" s="80">
        <f>IFERROR(VLOOKUP(B285, '02. MM-KLH'!$B:$K, 9, FALSE),"")</f>
        <v>44198</v>
      </c>
      <c r="J285" s="119"/>
      <c r="K285" s="1372"/>
      <c r="L285" s="1373" t="s">
        <v>147</v>
      </c>
      <c r="M285" s="110" t="s">
        <v>148</v>
      </c>
      <c r="N285" s="95">
        <v>2018.0</v>
      </c>
      <c r="O285" s="80" t="s">
        <v>8269</v>
      </c>
      <c r="P285" s="119" t="s">
        <v>150</v>
      </c>
      <c r="Q285" s="110" t="s">
        <v>565</v>
      </c>
      <c r="R285" s="110" t="s">
        <v>566</v>
      </c>
    </row>
    <row r="286" ht="13.5" customHeight="1">
      <c r="A286" s="80">
        <v>4.0</v>
      </c>
      <c r="B286" s="86" t="s">
        <v>3109</v>
      </c>
      <c r="C286" s="95" t="s">
        <v>3025</v>
      </c>
      <c r="D286" s="95" t="s">
        <v>8531</v>
      </c>
      <c r="E286" s="115" t="s">
        <v>3025</v>
      </c>
      <c r="F286" s="86" t="s">
        <v>910</v>
      </c>
      <c r="G286" s="80" t="s">
        <v>2964</v>
      </c>
      <c r="H286" s="99"/>
      <c r="I286" s="80">
        <f>IFERROR(VLOOKUP(B286, '02. MM-KLH'!$B:$K, 9, FALSE),"")</f>
        <v>41651</v>
      </c>
      <c r="J286" s="106"/>
      <c r="K286" s="1369"/>
      <c r="L286" s="1370" t="s">
        <v>911</v>
      </c>
      <c r="M286" s="108" t="s">
        <v>912</v>
      </c>
      <c r="N286" s="80"/>
      <c r="O286" s="80"/>
      <c r="P286" s="106" t="s">
        <v>792</v>
      </c>
      <c r="Q286" s="108">
        <v>55065.0</v>
      </c>
      <c r="R286" s="110" t="s">
        <v>96</v>
      </c>
    </row>
    <row r="287" ht="13.5" customHeight="1">
      <c r="A287" s="95">
        <v>5.0</v>
      </c>
      <c r="B287" s="86" t="s">
        <v>8532</v>
      </c>
      <c r="C287" s="95" t="s">
        <v>3025</v>
      </c>
      <c r="D287" s="95" t="s">
        <v>8533</v>
      </c>
      <c r="E287" s="115" t="s">
        <v>3025</v>
      </c>
      <c r="F287" s="86" t="s">
        <v>910</v>
      </c>
      <c r="G287" s="80" t="s">
        <v>2964</v>
      </c>
      <c r="H287" s="99"/>
      <c r="I287" s="80" t="str">
        <f>IFERROR(VLOOKUP(B287, '02. MM-KLH'!$B:$K, 9, FALSE),"")</f>
        <v/>
      </c>
      <c r="J287" s="106"/>
      <c r="K287" s="1369"/>
      <c r="L287" s="1370" t="s">
        <v>911</v>
      </c>
      <c r="M287" s="108" t="s">
        <v>912</v>
      </c>
      <c r="N287" s="80"/>
      <c r="O287" s="80"/>
      <c r="P287" s="106" t="s">
        <v>792</v>
      </c>
      <c r="Q287" s="108">
        <v>29823.0</v>
      </c>
      <c r="R287" s="110" t="s">
        <v>96</v>
      </c>
    </row>
    <row r="288" ht="13.5" customHeight="1">
      <c r="A288" s="80">
        <v>6.0</v>
      </c>
      <c r="B288" s="86" t="s">
        <v>8534</v>
      </c>
      <c r="C288" s="95" t="s">
        <v>3025</v>
      </c>
      <c r="D288" s="95" t="s">
        <v>8535</v>
      </c>
      <c r="E288" s="115" t="s">
        <v>3025</v>
      </c>
      <c r="F288" s="86" t="s">
        <v>910</v>
      </c>
      <c r="G288" s="80" t="s">
        <v>2964</v>
      </c>
      <c r="H288" s="99"/>
      <c r="I288" s="80" t="str">
        <f>IFERROR(VLOOKUP(B288, '02. MM-KLH'!$B:$K, 9, FALSE),"")</f>
        <v/>
      </c>
      <c r="J288" s="106"/>
      <c r="K288" s="1369"/>
      <c r="L288" s="1370" t="s">
        <v>911</v>
      </c>
      <c r="M288" s="108" t="s">
        <v>912</v>
      </c>
      <c r="N288" s="80"/>
      <c r="O288" s="80"/>
      <c r="P288" s="106" t="s">
        <v>792</v>
      </c>
      <c r="Q288" s="108">
        <v>101437.0</v>
      </c>
      <c r="R288" s="110" t="s">
        <v>96</v>
      </c>
    </row>
    <row r="289" ht="13.5" customHeight="1">
      <c r="A289" s="95">
        <v>7.0</v>
      </c>
      <c r="B289" s="113" t="s">
        <v>3023</v>
      </c>
      <c r="C289" s="95" t="s">
        <v>3025</v>
      </c>
      <c r="D289" s="95" t="s">
        <v>8531</v>
      </c>
      <c r="E289" s="115" t="s">
        <v>3025</v>
      </c>
      <c r="F289" s="115" t="s">
        <v>910</v>
      </c>
      <c r="G289" s="95" t="s">
        <v>836</v>
      </c>
      <c r="H289" s="116"/>
      <c r="I289" s="80" t="str">
        <f>IFERROR(VLOOKUP(B289, '02. MM-KLH'!$B:$K, 9, FALSE),"")</f>
        <v/>
      </c>
      <c r="J289" s="119"/>
      <c r="K289" s="1372"/>
      <c r="L289" s="1373" t="s">
        <v>911</v>
      </c>
      <c r="M289" s="110" t="s">
        <v>912</v>
      </c>
      <c r="N289" s="95"/>
      <c r="O289" s="95"/>
      <c r="P289" s="119" t="s">
        <v>792</v>
      </c>
      <c r="Q289" s="110">
        <v>78509.0</v>
      </c>
      <c r="R289" s="110" t="s">
        <v>96</v>
      </c>
    </row>
    <row r="290" ht="13.5" customHeight="1">
      <c r="A290" s="80">
        <v>8.0</v>
      </c>
      <c r="B290" s="84" t="s">
        <v>3026</v>
      </c>
      <c r="C290" s="95" t="s">
        <v>3025</v>
      </c>
      <c r="D290" s="95" t="s">
        <v>8535</v>
      </c>
      <c r="E290" s="115" t="s">
        <v>3025</v>
      </c>
      <c r="F290" s="86" t="s">
        <v>910</v>
      </c>
      <c r="G290" s="80" t="s">
        <v>836</v>
      </c>
      <c r="H290" s="99"/>
      <c r="I290" s="80" t="str">
        <f>IFERROR(VLOOKUP(B290, '02. MM-KLH'!$B:$K, 9, FALSE),"")</f>
        <v/>
      </c>
      <c r="J290" s="106"/>
      <c r="K290" s="1369"/>
      <c r="L290" s="1370" t="s">
        <v>911</v>
      </c>
      <c r="M290" s="108" t="s">
        <v>912</v>
      </c>
      <c r="N290" s="80"/>
      <c r="O290" s="80"/>
      <c r="P290" s="106" t="s">
        <v>792</v>
      </c>
      <c r="Q290" s="108">
        <v>58759.0</v>
      </c>
      <c r="R290" s="110" t="s">
        <v>96</v>
      </c>
    </row>
    <row r="291" ht="13.5" customHeight="1">
      <c r="A291" s="95">
        <v>9.0</v>
      </c>
      <c r="B291" s="1413" t="s">
        <v>2168</v>
      </c>
      <c r="C291" s="95" t="s">
        <v>5748</v>
      </c>
      <c r="D291" s="1375" t="s">
        <v>8537</v>
      </c>
      <c r="E291" s="570" t="s">
        <v>5748</v>
      </c>
      <c r="F291" s="1413" t="s">
        <v>2170</v>
      </c>
      <c r="G291" s="1428" t="s">
        <v>836</v>
      </c>
      <c r="H291" s="1429">
        <v>44564.0</v>
      </c>
      <c r="I291" s="80">
        <f>IFERROR(VLOOKUP(B291, '02. MM-KLH'!$B:$K, 9, FALSE),"")</f>
        <v>44564</v>
      </c>
      <c r="J291" s="1431">
        <v>0.79</v>
      </c>
      <c r="K291" s="1383" t="s">
        <v>8538</v>
      </c>
      <c r="L291" s="1432" t="s">
        <v>300</v>
      </c>
      <c r="M291" s="129" t="s">
        <v>148</v>
      </c>
      <c r="N291" s="1428">
        <v>2021.0</v>
      </c>
      <c r="O291" s="1428" t="s">
        <v>2372</v>
      </c>
      <c r="P291" s="1433" t="s">
        <v>413</v>
      </c>
      <c r="Q291" s="129" t="s">
        <v>2173</v>
      </c>
      <c r="R291" s="155" t="s">
        <v>2174</v>
      </c>
    </row>
    <row r="292" ht="13.5" customHeight="1">
      <c r="A292" s="80">
        <v>10.0</v>
      </c>
      <c r="B292" s="1438" t="s">
        <v>2357</v>
      </c>
      <c r="C292" s="95" t="s">
        <v>5750</v>
      </c>
      <c r="D292" s="1439" t="s">
        <v>5735</v>
      </c>
      <c r="E292" s="1440" t="s">
        <v>5750</v>
      </c>
      <c r="F292" s="1440" t="s">
        <v>2360</v>
      </c>
      <c r="G292" s="1439" t="s">
        <v>64</v>
      </c>
      <c r="H292" s="1441">
        <v>43835.0</v>
      </c>
      <c r="I292" s="80">
        <f>IFERROR(VLOOKUP(B292, '02. MM-KLH'!$B:$K, 9, FALSE),"")</f>
        <v>43835</v>
      </c>
      <c r="J292" s="1442">
        <v>0.67</v>
      </c>
      <c r="K292" s="1443" t="s">
        <v>8539</v>
      </c>
      <c r="L292" s="1393" t="s">
        <v>147</v>
      </c>
      <c r="M292" s="1440" t="s">
        <v>148</v>
      </c>
      <c r="N292" s="1439">
        <v>2012.0</v>
      </c>
      <c r="O292" s="1439" t="s">
        <v>2361</v>
      </c>
      <c r="P292" s="1389" t="s">
        <v>8280</v>
      </c>
      <c r="Q292" s="1440">
        <v>6005.0</v>
      </c>
      <c r="R292" s="1440" t="s">
        <v>96</v>
      </c>
    </row>
    <row r="293" ht="13.5" customHeight="1">
      <c r="A293" s="95">
        <v>11.0</v>
      </c>
      <c r="B293" s="1438" t="s">
        <v>2371</v>
      </c>
      <c r="C293" s="95" t="s">
        <v>5752</v>
      </c>
      <c r="D293" s="1394" t="s">
        <v>8540</v>
      </c>
      <c r="E293" s="1398" t="s">
        <v>5752</v>
      </c>
      <c r="F293" s="1398" t="s">
        <v>2170</v>
      </c>
      <c r="G293" s="1394" t="s">
        <v>64</v>
      </c>
      <c r="H293" s="1444">
        <v>44564.0</v>
      </c>
      <c r="I293" s="80">
        <f>IFERROR(VLOOKUP(B293, '02. MM-KLH'!$B:$K, 9, FALSE),"")</f>
        <v>44564</v>
      </c>
      <c r="J293" s="1445">
        <v>0.79</v>
      </c>
      <c r="K293" s="1446" t="s">
        <v>8539</v>
      </c>
      <c r="L293" s="1398" t="s">
        <v>300</v>
      </c>
      <c r="M293" s="1398" t="s">
        <v>148</v>
      </c>
      <c r="N293" s="1394">
        <v>583.0</v>
      </c>
      <c r="O293" s="1394" t="s">
        <v>2372</v>
      </c>
      <c r="P293" s="1394" t="s">
        <v>413</v>
      </c>
      <c r="Q293" s="1398" t="s">
        <v>2373</v>
      </c>
      <c r="R293" s="1398" t="s">
        <v>2374</v>
      </c>
    </row>
    <row r="294" ht="13.5" customHeight="1">
      <c r="A294" s="80">
        <v>12.0</v>
      </c>
      <c r="B294" s="1438" t="s">
        <v>2378</v>
      </c>
      <c r="C294" s="95" t="s">
        <v>5754</v>
      </c>
      <c r="D294" s="1394" t="s">
        <v>8541</v>
      </c>
      <c r="E294" s="1398" t="s">
        <v>5754</v>
      </c>
      <c r="F294" s="1398" t="s">
        <v>2170</v>
      </c>
      <c r="G294" s="1394" t="s">
        <v>64</v>
      </c>
      <c r="H294" s="1444">
        <v>44564.0</v>
      </c>
      <c r="I294" s="80">
        <f>IFERROR(VLOOKUP(B294, '02. MM-KLH'!$B:$K, 9, FALSE),"")</f>
        <v>44564</v>
      </c>
      <c r="J294" s="1445">
        <v>0.79</v>
      </c>
      <c r="K294" s="1446" t="s">
        <v>8539</v>
      </c>
      <c r="L294" s="1398" t="s">
        <v>300</v>
      </c>
      <c r="M294" s="1398" t="s">
        <v>148</v>
      </c>
      <c r="N294" s="1394">
        <v>2021.0</v>
      </c>
      <c r="O294" s="1394" t="s">
        <v>2372</v>
      </c>
      <c r="P294" s="1394" t="s">
        <v>413</v>
      </c>
      <c r="Q294" s="1398" t="s">
        <v>2379</v>
      </c>
      <c r="R294" s="1398" t="s">
        <v>2380</v>
      </c>
    </row>
    <row r="295" ht="13.5" customHeight="1">
      <c r="A295" s="95">
        <v>13.0</v>
      </c>
      <c r="B295" s="1438" t="s">
        <v>2383</v>
      </c>
      <c r="C295" s="95" t="s">
        <v>6645</v>
      </c>
      <c r="D295" s="1395"/>
      <c r="E295" s="1395"/>
      <c r="F295" s="1398" t="s">
        <v>8542</v>
      </c>
      <c r="G295" s="1394" t="s">
        <v>64</v>
      </c>
      <c r="H295" s="1396"/>
      <c r="I295" s="80" t="str">
        <f>IFERROR(VLOOKUP(B295, '02. MM-KLH'!$B:$K, 9, FALSE),"")</f>
        <v/>
      </c>
      <c r="J295" s="1395"/>
      <c r="K295" s="1446" t="s">
        <v>8539</v>
      </c>
      <c r="L295" s="1398" t="s">
        <v>161</v>
      </c>
      <c r="M295" s="1395"/>
      <c r="N295" s="1395"/>
      <c r="O295" s="1395"/>
      <c r="P295" s="1395"/>
      <c r="Q295" s="1398">
        <v>63965.0</v>
      </c>
      <c r="R295" s="1398" t="s">
        <v>96</v>
      </c>
    </row>
    <row r="296" ht="13.5" customHeight="1">
      <c r="A296" s="80">
        <v>14.0</v>
      </c>
      <c r="B296" s="1438" t="s">
        <v>2388</v>
      </c>
      <c r="C296" s="95" t="s">
        <v>6646</v>
      </c>
      <c r="D296" s="1395"/>
      <c r="E296" s="1395"/>
      <c r="F296" s="1398" t="s">
        <v>8542</v>
      </c>
      <c r="G296" s="1394" t="s">
        <v>64</v>
      </c>
      <c r="H296" s="1396"/>
      <c r="I296" s="80" t="str">
        <f>IFERROR(VLOOKUP(B296, '02. MM-KLH'!$B:$K, 9, FALSE),"")</f>
        <v/>
      </c>
      <c r="J296" s="1395"/>
      <c r="K296" s="1446" t="s">
        <v>8539</v>
      </c>
      <c r="L296" s="1398" t="s">
        <v>161</v>
      </c>
      <c r="M296" s="1395"/>
      <c r="N296" s="1395"/>
      <c r="O296" s="1395"/>
      <c r="P296" s="1395"/>
      <c r="Q296" s="1398">
        <v>933513.0</v>
      </c>
      <c r="R296" s="1398" t="s">
        <v>96</v>
      </c>
    </row>
    <row r="297" ht="13.5" customHeight="1">
      <c r="A297" s="95">
        <v>15.0</v>
      </c>
      <c r="B297" s="1438" t="s">
        <v>2393</v>
      </c>
      <c r="C297" s="95" t="s">
        <v>5885</v>
      </c>
      <c r="D297" s="95" t="s">
        <v>8544</v>
      </c>
      <c r="E297" s="115" t="s">
        <v>5885</v>
      </c>
      <c r="F297" s="86" t="s">
        <v>8281</v>
      </c>
      <c r="G297" s="80" t="s">
        <v>64</v>
      </c>
      <c r="H297" s="99">
        <v>44198.0</v>
      </c>
      <c r="I297" s="80">
        <f>IFERROR(VLOOKUP(B297, '02. MM-KLH'!$B:$K, 9, FALSE),"")</f>
        <v>44198</v>
      </c>
      <c r="J297" s="102">
        <v>0.68</v>
      </c>
      <c r="K297" s="1371" t="s">
        <v>8539</v>
      </c>
      <c r="L297" s="1370" t="s">
        <v>147</v>
      </c>
      <c r="M297" s="108" t="s">
        <v>148</v>
      </c>
      <c r="N297" s="80">
        <v>2018.0</v>
      </c>
      <c r="O297" s="80" t="s">
        <v>8269</v>
      </c>
      <c r="P297" s="106" t="s">
        <v>150</v>
      </c>
      <c r="Q297" s="108" t="s">
        <v>2394</v>
      </c>
      <c r="R297" s="110" t="s">
        <v>2395</v>
      </c>
    </row>
    <row r="298" ht="13.5" customHeight="1">
      <c r="A298" s="151" t="s">
        <v>1247</v>
      </c>
      <c r="B298" s="152" t="s">
        <v>8545</v>
      </c>
      <c r="C298" s="72"/>
      <c r="D298" s="72"/>
      <c r="E298" s="75"/>
      <c r="F298" s="72"/>
      <c r="G298" s="75"/>
      <c r="H298" s="79"/>
      <c r="I298" s="79"/>
      <c r="J298" s="72"/>
      <c r="K298" s="1366"/>
      <c r="L298" s="1367"/>
      <c r="M298" s="75"/>
      <c r="N298" s="75"/>
      <c r="O298" s="75"/>
      <c r="P298" s="75"/>
      <c r="Q298" s="75"/>
      <c r="R298" s="75"/>
    </row>
    <row r="299" ht="13.5" customHeight="1">
      <c r="A299" s="80">
        <v>11.0</v>
      </c>
      <c r="B299" s="84" t="s">
        <v>567</v>
      </c>
      <c r="C299" s="95" t="s">
        <v>5864</v>
      </c>
      <c r="D299" s="95" t="s">
        <v>8546</v>
      </c>
      <c r="E299" s="115" t="s">
        <v>5864</v>
      </c>
      <c r="F299" s="86" t="s">
        <v>569</v>
      </c>
      <c r="G299" s="80" t="s">
        <v>59</v>
      </c>
      <c r="H299" s="99">
        <v>44198.0</v>
      </c>
      <c r="I299" s="80">
        <f>IFERROR(VLOOKUP(B299, '02. MM-KLH'!$B:$K, 9, FALSE),"")</f>
        <v>44198</v>
      </c>
      <c r="J299" s="102">
        <v>0.69</v>
      </c>
      <c r="K299" s="1369"/>
      <c r="L299" s="1370" t="s">
        <v>147</v>
      </c>
      <c r="M299" s="108" t="s">
        <v>148</v>
      </c>
      <c r="N299" s="80">
        <v>2019.0</v>
      </c>
      <c r="O299" s="80" t="s">
        <v>570</v>
      </c>
      <c r="P299" s="106" t="s">
        <v>571</v>
      </c>
      <c r="Q299" s="108" t="s">
        <v>572</v>
      </c>
      <c r="R299" s="110" t="s">
        <v>573</v>
      </c>
    </row>
    <row r="300" ht="13.5" customHeight="1">
      <c r="A300" s="151" t="s">
        <v>1385</v>
      </c>
      <c r="B300" s="152" t="s">
        <v>8547</v>
      </c>
      <c r="C300" s="72"/>
      <c r="D300" s="72"/>
      <c r="E300" s="75"/>
      <c r="F300" s="72"/>
      <c r="G300" s="75"/>
      <c r="H300" s="79"/>
      <c r="I300" s="79" t="str">
        <f>IFERROR(VLOOKUP(B300, '02. MM-KLH'!$B:$K, 9, FALSE),"")</f>
        <v/>
      </c>
      <c r="J300" s="72"/>
      <c r="K300" s="1366"/>
      <c r="L300" s="1367"/>
      <c r="M300" s="75"/>
      <c r="N300" s="75"/>
      <c r="O300" s="75"/>
      <c r="P300" s="75"/>
      <c r="Q300" s="75"/>
      <c r="R300" s="75"/>
    </row>
    <row r="301" ht="13.5" customHeight="1">
      <c r="A301" s="80">
        <v>1.0</v>
      </c>
      <c r="B301" s="84" t="s">
        <v>517</v>
      </c>
      <c r="C301" s="95" t="s">
        <v>1886</v>
      </c>
      <c r="D301" s="95" t="s">
        <v>8548</v>
      </c>
      <c r="E301" s="115" t="s">
        <v>1886</v>
      </c>
      <c r="F301" s="115" t="s">
        <v>207</v>
      </c>
      <c r="G301" s="80" t="s">
        <v>59</v>
      </c>
      <c r="H301" s="99">
        <v>44136.0</v>
      </c>
      <c r="I301" s="80">
        <f>IFERROR(VLOOKUP(B301, '02. MM-KLH'!$B:$K, 9, FALSE),"")</f>
        <v>44136</v>
      </c>
      <c r="J301" s="102">
        <v>0.66</v>
      </c>
      <c r="K301" s="1369"/>
      <c r="L301" s="1370" t="s">
        <v>123</v>
      </c>
      <c r="M301" s="108" t="s">
        <v>84</v>
      </c>
      <c r="N301" s="80">
        <v>1995.0</v>
      </c>
      <c r="O301" s="80" t="s">
        <v>208</v>
      </c>
      <c r="P301" s="106" t="s">
        <v>209</v>
      </c>
      <c r="Q301" s="108" t="s">
        <v>518</v>
      </c>
      <c r="R301" s="110" t="s">
        <v>519</v>
      </c>
    </row>
    <row r="302" ht="13.5" customHeight="1">
      <c r="A302" s="151" t="s">
        <v>1550</v>
      </c>
      <c r="B302" s="152" t="s">
        <v>8549</v>
      </c>
      <c r="C302" s="72"/>
      <c r="D302" s="72"/>
      <c r="E302" s="75"/>
      <c r="F302" s="72"/>
      <c r="G302" s="75"/>
      <c r="H302" s="79"/>
      <c r="I302" s="79" t="str">
        <f>IFERROR(VLOOKUP(B302, '02. MM-KLH'!$B:$K, 9, FALSE),"")</f>
        <v/>
      </c>
      <c r="J302" s="72"/>
      <c r="K302" s="1366"/>
      <c r="L302" s="1367"/>
      <c r="M302" s="75"/>
      <c r="N302" s="75"/>
      <c r="O302" s="75"/>
      <c r="P302" s="75"/>
      <c r="Q302" s="75"/>
      <c r="R302" s="75"/>
    </row>
    <row r="303" ht="13.5" customHeight="1">
      <c r="A303" s="95">
        <v>1.0</v>
      </c>
      <c r="B303" s="84" t="s">
        <v>551</v>
      </c>
      <c r="C303" s="95" t="s">
        <v>1656</v>
      </c>
      <c r="D303" s="95" t="s">
        <v>8550</v>
      </c>
      <c r="E303" s="115" t="s">
        <v>1656</v>
      </c>
      <c r="F303" s="86" t="s">
        <v>8293</v>
      </c>
      <c r="G303" s="80" t="s">
        <v>59</v>
      </c>
      <c r="H303" s="99">
        <v>44136.0</v>
      </c>
      <c r="I303" s="80">
        <f>IFERROR(VLOOKUP(B303, '02. MM-KLH'!$B:$K, 9, FALSE),"")</f>
        <v>44136</v>
      </c>
      <c r="J303" s="102">
        <v>0.66</v>
      </c>
      <c r="K303" s="1369"/>
      <c r="L303" s="1370" t="s">
        <v>187</v>
      </c>
      <c r="M303" s="108" t="s">
        <v>84</v>
      </c>
      <c r="N303" s="80">
        <v>1997.0</v>
      </c>
      <c r="O303" s="80" t="s">
        <v>552</v>
      </c>
      <c r="P303" s="106" t="s">
        <v>195</v>
      </c>
      <c r="Q303" s="108" t="s">
        <v>553</v>
      </c>
      <c r="R303" s="110" t="s">
        <v>554</v>
      </c>
    </row>
    <row r="304" ht="13.5" customHeight="1">
      <c r="A304" s="80">
        <v>2.0</v>
      </c>
      <c r="B304" s="84" t="s">
        <v>555</v>
      </c>
      <c r="C304" s="95" t="s">
        <v>1604</v>
      </c>
      <c r="D304" s="95" t="s">
        <v>8551</v>
      </c>
      <c r="E304" s="115" t="s">
        <v>1604</v>
      </c>
      <c r="F304" s="86" t="s">
        <v>8292</v>
      </c>
      <c r="G304" s="80" t="s">
        <v>59</v>
      </c>
      <c r="H304" s="99">
        <v>44287.0</v>
      </c>
      <c r="I304" s="80">
        <f>IFERROR(VLOOKUP(B304, '02. MM-KLH'!$B:$K, 9, FALSE),"")</f>
        <v>44287</v>
      </c>
      <c r="J304" s="102">
        <v>0.7</v>
      </c>
      <c r="K304" s="1369"/>
      <c r="L304" s="1370" t="s">
        <v>187</v>
      </c>
      <c r="M304" s="108" t="s">
        <v>84</v>
      </c>
      <c r="N304" s="80">
        <v>2020.0</v>
      </c>
      <c r="O304" s="80" t="s">
        <v>188</v>
      </c>
      <c r="P304" s="106" t="s">
        <v>556</v>
      </c>
      <c r="Q304" s="108" t="s">
        <v>557</v>
      </c>
      <c r="R304" s="110">
        <v>133945.0</v>
      </c>
    </row>
    <row r="305" ht="13.5" customHeight="1">
      <c r="A305" s="151" t="s">
        <v>1553</v>
      </c>
      <c r="B305" s="152" t="s">
        <v>8552</v>
      </c>
      <c r="C305" s="72"/>
      <c r="D305" s="72"/>
      <c r="E305" s="75"/>
      <c r="F305" s="72"/>
      <c r="G305" s="75"/>
      <c r="H305" s="79"/>
      <c r="I305" s="79" t="str">
        <f>IFERROR(VLOOKUP(B305, '02. MM-KLH'!$B:$K, 9, FALSE),"")</f>
        <v/>
      </c>
      <c r="J305" s="72"/>
      <c r="K305" s="1366"/>
      <c r="L305" s="1367"/>
      <c r="M305" s="75"/>
      <c r="N305" s="75"/>
      <c r="O305" s="75"/>
      <c r="P305" s="75"/>
      <c r="Q305" s="75"/>
      <c r="R305" s="75"/>
    </row>
    <row r="306" ht="13.5" customHeight="1">
      <c r="A306" s="95">
        <v>1.0</v>
      </c>
      <c r="B306" s="84" t="s">
        <v>582</v>
      </c>
      <c r="C306" s="95" t="s">
        <v>5996</v>
      </c>
      <c r="D306" s="95" t="s">
        <v>8553</v>
      </c>
      <c r="E306" s="115" t="s">
        <v>5996</v>
      </c>
      <c r="F306" s="86" t="s">
        <v>584</v>
      </c>
      <c r="G306" s="80" t="s">
        <v>59</v>
      </c>
      <c r="H306" s="99">
        <v>44317.0</v>
      </c>
      <c r="I306" s="80">
        <f>IFERROR(VLOOKUP(B306, '02. MM-KLH'!$B:$K, 9, FALSE),"")</f>
        <v>44317</v>
      </c>
      <c r="J306" s="102">
        <v>0.74</v>
      </c>
      <c r="L306" s="1370" t="s">
        <v>147</v>
      </c>
      <c r="M306" s="108" t="s">
        <v>585</v>
      </c>
      <c r="N306" s="1434" t="s">
        <v>586</v>
      </c>
      <c r="O306" s="80" t="s">
        <v>587</v>
      </c>
      <c r="P306" s="106" t="s">
        <v>571</v>
      </c>
      <c r="Q306" s="108" t="s">
        <v>588</v>
      </c>
      <c r="R306" s="110" t="s">
        <v>589</v>
      </c>
    </row>
    <row r="307" ht="13.5" customHeight="1">
      <c r="A307" s="80">
        <v>2.0</v>
      </c>
      <c r="B307" s="86" t="s">
        <v>2564</v>
      </c>
      <c r="C307" s="95" t="s">
        <v>6666</v>
      </c>
      <c r="D307" s="95" t="s">
        <v>8503</v>
      </c>
      <c r="E307" s="115"/>
      <c r="F307" s="86" t="s">
        <v>2566</v>
      </c>
      <c r="G307" s="80" t="s">
        <v>67</v>
      </c>
      <c r="H307" s="99">
        <v>45478.0</v>
      </c>
      <c r="I307" s="80">
        <f>IFERROR(VLOOKUP(B307, '02. MM-KLH'!$B:$K, 9, FALSE),"")</f>
        <v>45478</v>
      </c>
      <c r="J307" s="102">
        <v>1.0</v>
      </c>
      <c r="K307" s="1371" t="s">
        <v>8554</v>
      </c>
      <c r="L307" s="1387" t="s">
        <v>2568</v>
      </c>
      <c r="M307" s="108" t="s">
        <v>260</v>
      </c>
      <c r="N307" s="80">
        <v>2023.0</v>
      </c>
      <c r="O307" s="80" t="s">
        <v>2569</v>
      </c>
      <c r="P307" s="80" t="s">
        <v>571</v>
      </c>
      <c r="Q307" s="108" t="s">
        <v>2570</v>
      </c>
      <c r="R307" s="110" t="s">
        <v>2571</v>
      </c>
    </row>
    <row r="308" ht="13.5" customHeight="1">
      <c r="A308" s="95">
        <v>3.0</v>
      </c>
      <c r="B308" s="86" t="s">
        <v>2502</v>
      </c>
      <c r="C308" s="95" t="s">
        <v>5999</v>
      </c>
      <c r="D308" s="95" t="s">
        <v>8555</v>
      </c>
      <c r="E308" s="115" t="s">
        <v>5999</v>
      </c>
      <c r="F308" s="86" t="s">
        <v>8556</v>
      </c>
      <c r="G308" s="80" t="s">
        <v>66</v>
      </c>
      <c r="H308" s="99">
        <v>43862.0</v>
      </c>
      <c r="I308" s="80">
        <f>IFERROR(VLOOKUP(B308, '02. MM-KLH'!$B:$K, 9, FALSE),"")</f>
        <v>43862</v>
      </c>
      <c r="J308" s="102">
        <v>0.61</v>
      </c>
      <c r="K308" s="1369"/>
      <c r="L308" s="1387" t="s">
        <v>1032</v>
      </c>
      <c r="M308" s="108"/>
      <c r="N308" s="80">
        <v>2000.0</v>
      </c>
      <c r="O308" s="80"/>
      <c r="P308" s="106"/>
      <c r="Q308" s="108" t="s">
        <v>2506</v>
      </c>
      <c r="R308" s="176" t="s">
        <v>2507</v>
      </c>
    </row>
    <row r="309" ht="13.5" customHeight="1">
      <c r="A309" s="80">
        <v>4.0</v>
      </c>
      <c r="B309" s="84" t="s">
        <v>2561</v>
      </c>
      <c r="C309" s="95" t="s">
        <v>6665</v>
      </c>
      <c r="D309" s="95"/>
      <c r="E309" s="115"/>
      <c r="F309" s="86" t="s">
        <v>2562</v>
      </c>
      <c r="G309" s="80" t="s">
        <v>67</v>
      </c>
      <c r="H309" s="99"/>
      <c r="I309" s="80" t="str">
        <f>IFERROR(VLOOKUP(B309, '02. MM-KLH'!$B:$K, 9, FALSE),"")</f>
        <v/>
      </c>
      <c r="J309" s="106"/>
      <c r="K309" s="1369"/>
      <c r="L309" s="1370" t="s">
        <v>1032</v>
      </c>
      <c r="M309" s="108" t="s">
        <v>103</v>
      </c>
      <c r="N309" s="80"/>
      <c r="O309" s="80"/>
      <c r="P309" s="106"/>
      <c r="Q309" s="108" t="s">
        <v>96</v>
      </c>
      <c r="R309" s="110">
        <v>107291.0</v>
      </c>
    </row>
    <row r="310" ht="13.5" customHeight="1">
      <c r="A310" s="95">
        <v>5.0</v>
      </c>
      <c r="B310" s="1413" t="s">
        <v>2593</v>
      </c>
      <c r="C310" s="1447"/>
      <c r="D310" s="1375"/>
      <c r="E310" s="570"/>
      <c r="F310" s="1413" t="s">
        <v>2595</v>
      </c>
      <c r="G310" s="1428" t="s">
        <v>67</v>
      </c>
      <c r="H310" s="1429"/>
      <c r="I310" s="80"/>
      <c r="J310" s="1433"/>
      <c r="K310" s="1383" t="s">
        <v>6669</v>
      </c>
      <c r="L310" s="1432" t="s">
        <v>201</v>
      </c>
      <c r="M310" s="129" t="s">
        <v>148</v>
      </c>
      <c r="N310" s="1428"/>
      <c r="O310" s="1428"/>
      <c r="P310" s="1428" t="s">
        <v>2453</v>
      </c>
      <c r="Q310" s="129" t="s">
        <v>2597</v>
      </c>
      <c r="R310" s="155" t="s">
        <v>2598</v>
      </c>
    </row>
    <row r="311" ht="13.5" customHeight="1">
      <c r="A311" s="80">
        <v>6.0</v>
      </c>
      <c r="B311" s="247" t="s">
        <v>3168</v>
      </c>
      <c r="C311" s="1447"/>
      <c r="D311" s="1375" t="s">
        <v>6666</v>
      </c>
      <c r="E311" s="570" t="s">
        <v>3170</v>
      </c>
      <c r="F311" s="1413" t="s">
        <v>3171</v>
      </c>
      <c r="G311" s="1428" t="s">
        <v>67</v>
      </c>
      <c r="H311" s="1429">
        <v>41644.0</v>
      </c>
      <c r="I311" s="80"/>
      <c r="J311" s="1431">
        <v>0.4</v>
      </c>
      <c r="K311" s="1383" t="s">
        <v>8557</v>
      </c>
      <c r="L311" s="1432" t="s">
        <v>3174</v>
      </c>
      <c r="M311" s="129" t="s">
        <v>3175</v>
      </c>
      <c r="N311" s="1428">
        <v>2004.0</v>
      </c>
      <c r="O311" s="1428" t="s">
        <v>3176</v>
      </c>
      <c r="P311" s="1433" t="s">
        <v>3177</v>
      </c>
      <c r="Q311" s="129" t="s">
        <v>3178</v>
      </c>
      <c r="R311" s="155" t="s">
        <v>96</v>
      </c>
    </row>
    <row r="312" ht="13.5" customHeight="1">
      <c r="A312" s="95">
        <v>7.0</v>
      </c>
      <c r="B312" s="86" t="s">
        <v>8558</v>
      </c>
      <c r="C312" s="137" t="s">
        <v>8559</v>
      </c>
      <c r="D312" s="137"/>
      <c r="E312" s="137"/>
      <c r="F312" s="706" t="s">
        <v>8560</v>
      </c>
      <c r="G312" s="80" t="s">
        <v>67</v>
      </c>
      <c r="H312" s="137" t="s">
        <v>220</v>
      </c>
      <c r="I312" s="80" t="str">
        <f>IFERROR(VLOOKUP(B312, '02. MM-KLH'!$B:$K, 9, FALSE),"")</f>
        <v/>
      </c>
      <c r="J312" s="275"/>
      <c r="K312" s="1417" t="s">
        <v>8561</v>
      </c>
      <c r="L312" s="1406"/>
      <c r="M312" s="108"/>
      <c r="N312" s="137"/>
      <c r="O312" s="1400"/>
      <c r="P312" s="1448"/>
      <c r="Q312" s="1402"/>
      <c r="R312" s="1403"/>
    </row>
    <row r="313" ht="13.5" customHeight="1">
      <c r="A313" s="80">
        <v>8.0</v>
      </c>
      <c r="B313" s="86" t="s">
        <v>2572</v>
      </c>
      <c r="C313" s="137" t="s">
        <v>6668</v>
      </c>
      <c r="D313" s="137"/>
      <c r="E313" s="137"/>
      <c r="F313" s="706" t="s">
        <v>8560</v>
      </c>
      <c r="G313" s="80" t="s">
        <v>8562</v>
      </c>
      <c r="H313" s="193">
        <v>45329.0</v>
      </c>
      <c r="I313" s="80">
        <f>IFERROR(VLOOKUP(B313, '02. MM-KLH'!$B:$K, 9, FALSE),"")</f>
        <v>45329</v>
      </c>
      <c r="J313" s="275"/>
      <c r="K313" s="1417" t="s">
        <v>8561</v>
      </c>
      <c r="L313" s="1406" t="s">
        <v>743</v>
      </c>
      <c r="M313" s="108" t="s">
        <v>148</v>
      </c>
      <c r="N313" s="137">
        <v>2018.0</v>
      </c>
      <c r="O313" s="1400" t="s">
        <v>2512</v>
      </c>
      <c r="P313" s="1448" t="s">
        <v>112</v>
      </c>
      <c r="Q313" s="1402" t="s">
        <v>2576</v>
      </c>
      <c r="R313" s="1403" t="s">
        <v>2577</v>
      </c>
    </row>
    <row r="314" ht="13.5" customHeight="1">
      <c r="A314" s="95">
        <v>9.0</v>
      </c>
      <c r="B314" s="86" t="s">
        <v>8563</v>
      </c>
      <c r="C314" s="137" t="s">
        <v>8564</v>
      </c>
      <c r="D314" s="137"/>
      <c r="E314" s="137"/>
      <c r="F314" s="706" t="s">
        <v>8565</v>
      </c>
      <c r="G314" s="80" t="s">
        <v>67</v>
      </c>
      <c r="H314" s="193"/>
      <c r="I314" s="80" t="s">
        <v>1027</v>
      </c>
      <c r="J314" s="275"/>
      <c r="K314" s="1417" t="s">
        <v>8566</v>
      </c>
      <c r="L314" s="1406"/>
      <c r="M314" s="108"/>
      <c r="N314" s="137"/>
      <c r="O314" s="1400"/>
      <c r="P314" s="1448"/>
      <c r="Q314" s="1402"/>
      <c r="R314" s="1403"/>
    </row>
    <row r="315" ht="13.5" customHeight="1">
      <c r="A315" s="80">
        <v>10.0</v>
      </c>
      <c r="B315" s="86" t="s">
        <v>8567</v>
      </c>
      <c r="C315" s="137" t="s">
        <v>8568</v>
      </c>
      <c r="D315" s="137"/>
      <c r="E315" s="137"/>
      <c r="F315" s="706" t="s">
        <v>8560</v>
      </c>
      <c r="G315" s="80" t="s">
        <v>67</v>
      </c>
      <c r="H315" s="193"/>
      <c r="I315" s="80" t="s">
        <v>1027</v>
      </c>
      <c r="J315" s="275"/>
      <c r="K315" s="1417" t="s">
        <v>8566</v>
      </c>
      <c r="L315" s="1406"/>
      <c r="M315" s="108"/>
      <c r="N315" s="137"/>
      <c r="O315" s="1400"/>
      <c r="P315" s="1448"/>
      <c r="Q315" s="1402"/>
      <c r="R315" s="1403"/>
    </row>
    <row r="316" ht="13.5" customHeight="1">
      <c r="A316" s="151" t="s">
        <v>1555</v>
      </c>
      <c r="B316" s="152" t="s">
        <v>8569</v>
      </c>
      <c r="C316" s="72"/>
      <c r="D316" s="72"/>
      <c r="E316" s="75"/>
      <c r="F316" s="72"/>
      <c r="G316" s="75"/>
      <c r="H316" s="79"/>
      <c r="I316" s="79" t="str">
        <f>IFERROR(VLOOKUP(B316, '02. MM-KLH'!$B:$K, 9, FALSE),"")</f>
        <v/>
      </c>
      <c r="J316" s="72"/>
      <c r="K316" s="1366"/>
      <c r="L316" s="1367"/>
      <c r="M316" s="75"/>
      <c r="N316" s="75"/>
      <c r="O316" s="75"/>
      <c r="P316" s="75"/>
      <c r="Q316" s="75"/>
      <c r="R316" s="75"/>
    </row>
    <row r="317" ht="13.5" customHeight="1">
      <c r="A317" s="80">
        <v>1.0</v>
      </c>
      <c r="B317" s="86" t="s">
        <v>2955</v>
      </c>
      <c r="C317" s="95" t="s">
        <v>8570</v>
      </c>
      <c r="D317" s="95" t="s">
        <v>8570</v>
      </c>
      <c r="E317" s="115"/>
      <c r="F317" s="86" t="s">
        <v>8571</v>
      </c>
      <c r="G317" s="80" t="s">
        <v>2964</v>
      </c>
      <c r="H317" s="99"/>
      <c r="I317" s="80" t="str">
        <f>IFERROR(VLOOKUP(B317, '02. MM-KLH'!$B:$K, 9, FALSE),"")</f>
        <v/>
      </c>
      <c r="J317" s="106"/>
      <c r="K317" s="1369"/>
      <c r="L317" s="1370" t="s">
        <v>905</v>
      </c>
      <c r="M317" s="108" t="s">
        <v>883</v>
      </c>
      <c r="N317" s="80">
        <v>2009.0</v>
      </c>
      <c r="O317" s="80"/>
      <c r="P317" s="106" t="s">
        <v>413</v>
      </c>
      <c r="Q317" s="108" t="s">
        <v>2957</v>
      </c>
      <c r="R317" s="110" t="s">
        <v>2958</v>
      </c>
    </row>
    <row r="318" ht="13.5" customHeight="1">
      <c r="A318" s="80">
        <v>2.0</v>
      </c>
      <c r="B318" s="86" t="s">
        <v>8572</v>
      </c>
      <c r="C318" s="95" t="s">
        <v>8573</v>
      </c>
      <c r="D318" s="95" t="s">
        <v>8573</v>
      </c>
      <c r="E318" s="115"/>
      <c r="F318" s="86" t="s">
        <v>8574</v>
      </c>
      <c r="G318" s="80" t="s">
        <v>2964</v>
      </c>
      <c r="H318" s="99"/>
      <c r="I318" s="80" t="str">
        <f>IFERROR(VLOOKUP(B318, '02. MM-KLH'!$B:$K, 9, FALSE),"")</f>
        <v/>
      </c>
      <c r="J318" s="106"/>
      <c r="K318" s="1369"/>
      <c r="L318" s="1370" t="s">
        <v>1032</v>
      </c>
      <c r="M318" s="108" t="s">
        <v>103</v>
      </c>
      <c r="N318" s="80"/>
      <c r="O318" s="80"/>
      <c r="P318" s="106"/>
      <c r="Q318" s="108">
        <v>18446.0</v>
      </c>
      <c r="R318" s="110" t="s">
        <v>96</v>
      </c>
    </row>
    <row r="319" ht="13.5" customHeight="1">
      <c r="A319" s="80">
        <v>3.0</v>
      </c>
      <c r="B319" s="86" t="s">
        <v>1380</v>
      </c>
      <c r="C319" s="95" t="s">
        <v>8575</v>
      </c>
      <c r="D319" s="95" t="s">
        <v>8575</v>
      </c>
      <c r="E319" s="115"/>
      <c r="F319" s="86" t="s">
        <v>8576</v>
      </c>
      <c r="G319" s="80" t="s">
        <v>2964</v>
      </c>
      <c r="H319" s="99"/>
      <c r="I319" s="80" t="str">
        <f>IFERROR(VLOOKUP(B319, '02. MM-KLH'!$B:$K, 9, FALSE),"")</f>
        <v/>
      </c>
      <c r="J319" s="106"/>
      <c r="K319" s="1369"/>
      <c r="L319" s="1370" t="s">
        <v>300</v>
      </c>
      <c r="M319" s="108" t="s">
        <v>148</v>
      </c>
      <c r="N319" s="80">
        <v>2018.0</v>
      </c>
      <c r="O319" s="80" t="s">
        <v>1383</v>
      </c>
      <c r="P319" s="106" t="s">
        <v>511</v>
      </c>
      <c r="Q319" s="108">
        <v>380096.0</v>
      </c>
      <c r="R319" s="110" t="s">
        <v>96</v>
      </c>
    </row>
    <row r="320" ht="13.5" customHeight="1">
      <c r="A320" s="95">
        <v>4.0</v>
      </c>
      <c r="B320" s="86" t="s">
        <v>2303</v>
      </c>
      <c r="C320" s="95" t="s">
        <v>6641</v>
      </c>
      <c r="D320" s="95" t="s">
        <v>8570</v>
      </c>
      <c r="E320" s="115"/>
      <c r="F320" s="86" t="s">
        <v>2304</v>
      </c>
      <c r="G320" s="80" t="s">
        <v>836</v>
      </c>
      <c r="H320" s="80"/>
      <c r="I320" s="80" t="str">
        <f>IFERROR(VLOOKUP(B320, '02. MM-KLH'!$B:$K, 9, FALSE),"")</f>
        <v/>
      </c>
      <c r="J320" s="102"/>
      <c r="K320" s="1371" t="s">
        <v>2306</v>
      </c>
      <c r="L320" s="1387" t="s">
        <v>673</v>
      </c>
      <c r="M320" s="108" t="s">
        <v>222</v>
      </c>
      <c r="N320" s="80"/>
      <c r="O320" s="80" t="s">
        <v>2307</v>
      </c>
      <c r="P320" s="80" t="s">
        <v>2308</v>
      </c>
      <c r="Q320" s="108" t="s">
        <v>96</v>
      </c>
      <c r="R320" s="110" t="s">
        <v>2309</v>
      </c>
    </row>
    <row r="321" ht="13.5" customHeight="1">
      <c r="A321" s="151" t="s">
        <v>1578</v>
      </c>
      <c r="B321" s="152" t="s">
        <v>8577</v>
      </c>
      <c r="C321" s="72"/>
      <c r="D321" s="72"/>
      <c r="E321" s="75"/>
      <c r="F321" s="72"/>
      <c r="G321" s="75"/>
      <c r="H321" s="79"/>
      <c r="I321" s="79" t="str">
        <f>IFERROR(VLOOKUP(B321, '02. MM-KLH'!$B:$K, 9, FALSE),"")</f>
        <v/>
      </c>
      <c r="J321" s="72"/>
      <c r="K321" s="1366"/>
      <c r="L321" s="1367"/>
      <c r="M321" s="75"/>
      <c r="N321" s="75"/>
      <c r="O321" s="75"/>
      <c r="P321" s="75"/>
      <c r="Q321" s="75"/>
      <c r="R321" s="75"/>
    </row>
    <row r="322" ht="13.5" customHeight="1">
      <c r="A322" s="80">
        <v>1.0</v>
      </c>
      <c r="B322" s="86" t="s">
        <v>3111</v>
      </c>
      <c r="C322" s="95" t="s">
        <v>5953</v>
      </c>
      <c r="D322" s="95" t="s">
        <v>2274</v>
      </c>
      <c r="E322" s="115" t="s">
        <v>3075</v>
      </c>
      <c r="F322" s="86" t="s">
        <v>8337</v>
      </c>
      <c r="G322" s="80" t="s">
        <v>2964</v>
      </c>
      <c r="H322" s="99"/>
      <c r="I322" s="80">
        <f>IFERROR(VLOOKUP(B322, '02. MM-KLH'!$B:$K, 9, FALSE),"")</f>
        <v>43112</v>
      </c>
      <c r="J322" s="102"/>
      <c r="K322" s="1369"/>
      <c r="L322" s="1387" t="s">
        <v>1561</v>
      </c>
      <c r="M322" s="108" t="s">
        <v>912</v>
      </c>
      <c r="N322" s="80"/>
      <c r="O322" s="80"/>
      <c r="P322" s="80" t="s">
        <v>950</v>
      </c>
      <c r="Q322" s="108" t="s">
        <v>3022</v>
      </c>
      <c r="R322" s="108" t="s">
        <v>3113</v>
      </c>
    </row>
    <row r="323" ht="13.5" customHeight="1">
      <c r="A323" s="80">
        <v>2.0</v>
      </c>
      <c r="B323" s="86" t="s">
        <v>3074</v>
      </c>
      <c r="C323" s="95" t="s">
        <v>5953</v>
      </c>
      <c r="D323" s="95" t="s">
        <v>2278</v>
      </c>
      <c r="E323" s="115" t="s">
        <v>3075</v>
      </c>
      <c r="F323" s="86" t="s">
        <v>8337</v>
      </c>
      <c r="G323" s="80" t="s">
        <v>2964</v>
      </c>
      <c r="H323" s="99"/>
      <c r="I323" s="80" t="str">
        <f>IFERROR(VLOOKUP(B323, '02. MM-KLH'!$B:$K, 9, FALSE),"")</f>
        <v/>
      </c>
      <c r="J323" s="102"/>
      <c r="K323" s="1369"/>
      <c r="L323" s="1387" t="s">
        <v>1561</v>
      </c>
      <c r="M323" s="108" t="s">
        <v>912</v>
      </c>
      <c r="N323" s="80"/>
      <c r="O323" s="80"/>
      <c r="P323" s="80" t="s">
        <v>950</v>
      </c>
      <c r="Q323" s="108" t="s">
        <v>3022</v>
      </c>
      <c r="R323" s="108" t="s">
        <v>3076</v>
      </c>
    </row>
    <row r="324" ht="13.5" customHeight="1">
      <c r="A324" s="80">
        <v>3.0</v>
      </c>
      <c r="B324" s="84" t="s">
        <v>1580</v>
      </c>
      <c r="C324" s="95" t="s">
        <v>5953</v>
      </c>
      <c r="D324" s="95" t="s">
        <v>2274</v>
      </c>
      <c r="E324" s="115"/>
      <c r="F324" s="86" t="s">
        <v>8337</v>
      </c>
      <c r="G324" s="80" t="s">
        <v>1582</v>
      </c>
      <c r="H324" s="99"/>
      <c r="I324" s="80" t="str">
        <f>IFERROR(VLOOKUP(B324, '02. MM-KLH'!$B:$K, 9, FALSE),"")</f>
        <v/>
      </c>
      <c r="J324" s="106"/>
      <c r="K324" s="1369"/>
      <c r="L324" s="1370" t="s">
        <v>1561</v>
      </c>
      <c r="M324" s="108" t="s">
        <v>912</v>
      </c>
      <c r="N324" s="80"/>
      <c r="O324" s="80"/>
      <c r="P324" s="80" t="s">
        <v>950</v>
      </c>
      <c r="Q324" s="108"/>
      <c r="R324" s="110" t="s">
        <v>96</v>
      </c>
    </row>
    <row r="325" ht="13.5" customHeight="1">
      <c r="A325" s="80">
        <v>4.0</v>
      </c>
      <c r="B325" s="84" t="s">
        <v>3040</v>
      </c>
      <c r="C325" s="95" t="s">
        <v>5953</v>
      </c>
      <c r="D325" s="95" t="s">
        <v>2278</v>
      </c>
      <c r="E325" s="115"/>
      <c r="F325" s="86" t="s">
        <v>8337</v>
      </c>
      <c r="G325" s="80" t="s">
        <v>1582</v>
      </c>
      <c r="H325" s="99"/>
      <c r="I325" s="80" t="str">
        <f>IFERROR(VLOOKUP(B325, '02. MM-KLH'!$B:$K, 9, FALSE),"")</f>
        <v/>
      </c>
      <c r="J325" s="106"/>
      <c r="K325" s="1369"/>
      <c r="L325" s="1370" t="s">
        <v>1561</v>
      </c>
      <c r="M325" s="108" t="s">
        <v>912</v>
      </c>
      <c r="N325" s="80"/>
      <c r="O325" s="80"/>
      <c r="P325" s="80" t="s">
        <v>950</v>
      </c>
      <c r="Q325" s="108"/>
      <c r="R325" s="110" t="s">
        <v>96</v>
      </c>
    </row>
    <row r="326" ht="13.5" customHeight="1">
      <c r="A326" s="80">
        <v>5.0</v>
      </c>
      <c r="B326" s="84" t="s">
        <v>1627</v>
      </c>
      <c r="C326" s="95" t="s">
        <v>5953</v>
      </c>
      <c r="D326" s="95" t="s">
        <v>2274</v>
      </c>
      <c r="E326" s="115" t="s">
        <v>5953</v>
      </c>
      <c r="F326" s="86" t="s">
        <v>8337</v>
      </c>
      <c r="G326" s="80" t="s">
        <v>1590</v>
      </c>
      <c r="H326" s="99"/>
      <c r="I326" s="80" t="str">
        <f>IFERROR(VLOOKUP(B326, '02. MM-KLH'!$B:$K, 9, FALSE),"")</f>
        <v/>
      </c>
      <c r="J326" s="106"/>
      <c r="K326" s="1369"/>
      <c r="L326" s="1370" t="s">
        <v>1561</v>
      </c>
      <c r="M326" s="108" t="s">
        <v>912</v>
      </c>
      <c r="N326" s="80"/>
      <c r="O326" s="80"/>
      <c r="P326" s="106"/>
      <c r="Q326" s="108" t="s">
        <v>1630</v>
      </c>
      <c r="R326" s="110" t="s">
        <v>96</v>
      </c>
    </row>
    <row r="327" ht="13.5" customHeight="1">
      <c r="A327" s="151" t="s">
        <v>8578</v>
      </c>
      <c r="B327" s="152" t="s">
        <v>8579</v>
      </c>
      <c r="C327" s="72"/>
      <c r="D327" s="72"/>
      <c r="E327" s="75"/>
      <c r="F327" s="72"/>
      <c r="G327" s="75"/>
      <c r="H327" s="79"/>
      <c r="I327" s="79" t="str">
        <f>IFERROR(VLOOKUP(B327, '02. MM-KLH'!$B:$K, 9, FALSE),"")</f>
        <v/>
      </c>
      <c r="J327" s="72"/>
      <c r="K327" s="1366"/>
      <c r="L327" s="1367"/>
      <c r="M327" s="75"/>
      <c r="N327" s="75"/>
      <c r="O327" s="75"/>
      <c r="P327" s="75"/>
      <c r="Q327" s="75"/>
      <c r="R327" s="75"/>
    </row>
    <row r="328" ht="13.5" customHeight="1">
      <c r="A328" s="80">
        <v>1.0</v>
      </c>
      <c r="B328" s="84" t="s">
        <v>8208</v>
      </c>
      <c r="C328" s="95" t="s">
        <v>2652</v>
      </c>
      <c r="D328" s="95" t="s">
        <v>8580</v>
      </c>
      <c r="E328" s="115" t="s">
        <v>2652</v>
      </c>
      <c r="F328" s="86" t="s">
        <v>896</v>
      </c>
      <c r="G328" s="80" t="s">
        <v>2964</v>
      </c>
      <c r="H328" s="99">
        <v>45566.0</v>
      </c>
      <c r="I328" s="80" t="str">
        <f>IFERROR(VLOOKUP(B328, '02. MM-KLH'!$B:$K, 9, FALSE),"")</f>
        <v/>
      </c>
      <c r="J328" s="102">
        <v>0.98</v>
      </c>
      <c r="K328" s="1369"/>
      <c r="L328" s="1370" t="s">
        <v>897</v>
      </c>
      <c r="M328" s="108" t="s">
        <v>148</v>
      </c>
      <c r="N328" s="80">
        <v>2021.0</v>
      </c>
      <c r="O328" s="80" t="s">
        <v>898</v>
      </c>
      <c r="P328" s="106" t="s">
        <v>158</v>
      </c>
      <c r="Q328" s="108" t="s">
        <v>2655</v>
      </c>
      <c r="R328" s="110" t="s">
        <v>2656</v>
      </c>
    </row>
    <row r="329" ht="13.5" customHeight="1">
      <c r="A329" s="95">
        <v>2.0</v>
      </c>
      <c r="B329" s="84" t="s">
        <v>2290</v>
      </c>
      <c r="C329" s="95" t="s">
        <v>5906</v>
      </c>
      <c r="D329" s="95" t="s">
        <v>8580</v>
      </c>
      <c r="E329" s="115" t="s">
        <v>5906</v>
      </c>
      <c r="F329" s="86" t="s">
        <v>896</v>
      </c>
      <c r="G329" s="80" t="s">
        <v>836</v>
      </c>
      <c r="H329" s="99">
        <v>45566.0</v>
      </c>
      <c r="I329" s="80">
        <f>IFERROR(VLOOKUP(B329, '02. MM-KLH'!$B:$K, 9, FALSE),"")</f>
        <v>45566</v>
      </c>
      <c r="J329" s="102">
        <v>0.98</v>
      </c>
      <c r="K329" s="1369"/>
      <c r="L329" s="1370" t="s">
        <v>897</v>
      </c>
      <c r="M329" s="108" t="s">
        <v>148</v>
      </c>
      <c r="N329" s="80">
        <v>2021.0</v>
      </c>
      <c r="O329" s="80" t="s">
        <v>898</v>
      </c>
      <c r="P329" s="106" t="s">
        <v>158</v>
      </c>
      <c r="Q329" s="108" t="s">
        <v>2292</v>
      </c>
      <c r="R329" s="110" t="s">
        <v>2293</v>
      </c>
    </row>
    <row r="330" ht="13.5" customHeight="1">
      <c r="A330" s="80">
        <v>3.0</v>
      </c>
      <c r="B330" s="86" t="s">
        <v>8581</v>
      </c>
      <c r="C330" s="137" t="s">
        <v>2877</v>
      </c>
      <c r="D330" s="137" t="s">
        <v>8580</v>
      </c>
      <c r="E330" s="186" t="s">
        <v>2877</v>
      </c>
      <c r="F330" s="706" t="s">
        <v>896</v>
      </c>
      <c r="G330" s="80" t="s">
        <v>70</v>
      </c>
      <c r="H330" s="193">
        <v>45566.0</v>
      </c>
      <c r="I330" s="80" t="str">
        <f>IFERROR(VLOOKUP(B330, '02. MM-KLH'!$B:$K, 9, FALSE),"")</f>
        <v/>
      </c>
      <c r="J330" s="275">
        <v>0.98</v>
      </c>
      <c r="K330" s="1399"/>
      <c r="L330" s="833" t="s">
        <v>897</v>
      </c>
      <c r="M330" s="108" t="s">
        <v>148</v>
      </c>
      <c r="N330" s="137">
        <v>2021.0</v>
      </c>
      <c r="O330" s="1400" t="s">
        <v>898</v>
      </c>
      <c r="P330" s="1401" t="s">
        <v>158</v>
      </c>
      <c r="Q330" s="1402" t="s">
        <v>2881</v>
      </c>
      <c r="R330" s="1403" t="s">
        <v>2882</v>
      </c>
    </row>
    <row r="331" ht="13.5" customHeight="1">
      <c r="A331" s="95">
        <v>4.0</v>
      </c>
      <c r="B331" s="86" t="s">
        <v>3194</v>
      </c>
      <c r="C331" s="95" t="s">
        <v>6649</v>
      </c>
      <c r="D331" s="95"/>
      <c r="E331" s="115"/>
      <c r="F331" s="86" t="s">
        <v>3195</v>
      </c>
      <c r="G331" s="80" t="s">
        <v>64</v>
      </c>
      <c r="H331" s="80" t="s">
        <v>2492</v>
      </c>
      <c r="I331" s="80" t="str">
        <f>IFERROR(VLOOKUP(B331, '02. MM-KLH'!$B:$K, 9, FALSE),"")</f>
        <v>24/01/2024</v>
      </c>
      <c r="J331" s="106"/>
      <c r="K331" s="1369"/>
      <c r="L331" s="1387" t="s">
        <v>743</v>
      </c>
      <c r="M331" s="108" t="s">
        <v>148</v>
      </c>
      <c r="N331" s="80">
        <v>2006.0</v>
      </c>
      <c r="O331" s="80" t="s">
        <v>3197</v>
      </c>
      <c r="P331" s="80" t="s">
        <v>3198</v>
      </c>
      <c r="Q331" s="108" t="s">
        <v>3199</v>
      </c>
      <c r="R331" s="110" t="s">
        <v>3200</v>
      </c>
    </row>
    <row r="332" ht="13.5" customHeight="1">
      <c r="A332" s="80">
        <v>5.0</v>
      </c>
      <c r="B332" s="86" t="s">
        <v>3201</v>
      </c>
      <c r="C332" s="95" t="s">
        <v>6650</v>
      </c>
      <c r="D332" s="95"/>
      <c r="E332" s="115"/>
      <c r="F332" s="86" t="s">
        <v>3195</v>
      </c>
      <c r="G332" s="80" t="s">
        <v>64</v>
      </c>
      <c r="H332" s="80" t="s">
        <v>2492</v>
      </c>
      <c r="I332" s="80" t="str">
        <f>IFERROR(VLOOKUP(B332, '02. MM-KLH'!$B:$K, 9, FALSE),"")</f>
        <v>24/01/2024</v>
      </c>
      <c r="J332" s="106"/>
      <c r="K332" s="1369"/>
      <c r="L332" s="1387" t="s">
        <v>743</v>
      </c>
      <c r="M332" s="108" t="s">
        <v>148</v>
      </c>
      <c r="N332" s="80">
        <v>2006.0</v>
      </c>
      <c r="O332" s="80" t="s">
        <v>3197</v>
      </c>
      <c r="P332" s="80" t="s">
        <v>3198</v>
      </c>
      <c r="Q332" s="108" t="s">
        <v>3202</v>
      </c>
      <c r="R332" s="110" t="s">
        <v>3203</v>
      </c>
    </row>
    <row r="333" ht="13.5" customHeight="1">
      <c r="A333" s="95">
        <v>6.0</v>
      </c>
      <c r="B333" s="86" t="s">
        <v>2865</v>
      </c>
      <c r="C333" s="137" t="s">
        <v>6691</v>
      </c>
      <c r="D333" s="137"/>
      <c r="E333" s="137"/>
      <c r="F333" s="706" t="s">
        <v>8582</v>
      </c>
      <c r="G333" s="80" t="s">
        <v>8583</v>
      </c>
      <c r="H333" s="193"/>
      <c r="I333" s="80" t="str">
        <f>IFERROR(VLOOKUP(B333, '02. MM-KLH'!$B:$K, 9, FALSE),"")</f>
        <v/>
      </c>
      <c r="J333" s="275"/>
      <c r="K333" s="1399"/>
      <c r="L333" s="833" t="s">
        <v>756</v>
      </c>
      <c r="M333" s="108"/>
      <c r="N333" s="137"/>
      <c r="O333" s="1400"/>
      <c r="P333" s="1401"/>
      <c r="Q333" s="1402" t="s">
        <v>2868</v>
      </c>
      <c r="R333" s="1403" t="s">
        <v>96</v>
      </c>
    </row>
    <row r="334" ht="13.5" customHeight="1">
      <c r="A334" s="80">
        <v>7.0</v>
      </c>
      <c r="B334" s="86" t="s">
        <v>2870</v>
      </c>
      <c r="C334" s="137" t="s">
        <v>6693</v>
      </c>
      <c r="D334" s="137"/>
      <c r="E334" s="137"/>
      <c r="F334" s="706" t="s">
        <v>8584</v>
      </c>
      <c r="G334" s="80" t="s">
        <v>8583</v>
      </c>
      <c r="H334" s="193"/>
      <c r="I334" s="80">
        <f>IFERROR(VLOOKUP(B334, '02. MM-KLH'!$B:$K, 9, FALSE),"")</f>
        <v>45636</v>
      </c>
      <c r="J334" s="275"/>
      <c r="K334" s="1399"/>
      <c r="L334" s="833" t="s">
        <v>756</v>
      </c>
      <c r="M334" s="108"/>
      <c r="N334" s="137"/>
      <c r="O334" s="1400"/>
      <c r="P334" s="1401"/>
      <c r="Q334" s="1402"/>
      <c r="R334" s="1403"/>
    </row>
    <row r="335" ht="13.5" customHeight="1">
      <c r="A335" s="151" t="s">
        <v>8585</v>
      </c>
      <c r="B335" s="152" t="s">
        <v>8586</v>
      </c>
      <c r="C335" s="72"/>
      <c r="D335" s="72"/>
      <c r="E335" s="75"/>
      <c r="F335" s="72"/>
      <c r="G335" s="75"/>
      <c r="H335" s="79"/>
      <c r="I335" s="79" t="str">
        <f>IFERROR(VLOOKUP(B335, '02. MM-KLH'!$B:$K, 9, FALSE),"")</f>
        <v/>
      </c>
      <c r="J335" s="72"/>
      <c r="K335" s="1366"/>
      <c r="L335" s="1367"/>
      <c r="M335" s="75"/>
      <c r="N335" s="75"/>
      <c r="O335" s="75"/>
      <c r="P335" s="75"/>
      <c r="Q335" s="75"/>
      <c r="R335" s="75"/>
    </row>
    <row r="336" ht="13.5" customHeight="1">
      <c r="A336" s="80">
        <v>1.0</v>
      </c>
      <c r="B336" s="84" t="s">
        <v>1595</v>
      </c>
      <c r="C336" s="95" t="s">
        <v>6596</v>
      </c>
      <c r="D336" s="95" t="s">
        <v>6598</v>
      </c>
      <c r="E336" s="115"/>
      <c r="F336" s="86" t="s">
        <v>6466</v>
      </c>
      <c r="G336" s="80" t="s">
        <v>1590</v>
      </c>
      <c r="H336" s="99"/>
      <c r="I336" s="80" t="str">
        <f>IFERROR(VLOOKUP(B336, '02. MM-KLH'!$B:$K, 9, FALSE),"")</f>
        <v/>
      </c>
      <c r="J336" s="106"/>
      <c r="K336" s="1369"/>
      <c r="L336" s="1370" t="s">
        <v>454</v>
      </c>
      <c r="M336" s="108" t="s">
        <v>84</v>
      </c>
      <c r="N336" s="80">
        <v>2013.0</v>
      </c>
      <c r="O336" s="80" t="s">
        <v>791</v>
      </c>
      <c r="P336" s="106" t="s">
        <v>792</v>
      </c>
      <c r="Q336" s="108">
        <v>57123.0</v>
      </c>
      <c r="R336" s="110" t="s">
        <v>96</v>
      </c>
    </row>
    <row r="337" ht="13.5" customHeight="1">
      <c r="A337" s="80">
        <v>2.0</v>
      </c>
      <c r="B337" s="84" t="s">
        <v>1591</v>
      </c>
      <c r="C337" s="95" t="s">
        <v>6597</v>
      </c>
      <c r="D337" s="95" t="s">
        <v>6597</v>
      </c>
      <c r="E337" s="115"/>
      <c r="F337" s="86" t="s">
        <v>8320</v>
      </c>
      <c r="G337" s="80" t="s">
        <v>1590</v>
      </c>
      <c r="H337" s="99"/>
      <c r="I337" s="80" t="str">
        <f>IFERROR(VLOOKUP(B337, '02. MM-KLH'!$B:$K, 9, FALSE),"")</f>
        <v/>
      </c>
      <c r="J337" s="106"/>
      <c r="K337" s="1369"/>
      <c r="L337" s="1370" t="s">
        <v>8587</v>
      </c>
      <c r="M337" s="108" t="s">
        <v>148</v>
      </c>
      <c r="N337" s="80">
        <v>2012.0</v>
      </c>
      <c r="O337" s="80" t="s">
        <v>860</v>
      </c>
      <c r="P337" s="106" t="s">
        <v>861</v>
      </c>
      <c r="Q337" s="108" t="s">
        <v>1594</v>
      </c>
      <c r="R337" s="110" t="s">
        <v>96</v>
      </c>
    </row>
    <row r="338" ht="13.5" customHeight="1">
      <c r="A338" s="80">
        <v>3.0</v>
      </c>
      <c r="B338" s="84" t="s">
        <v>1587</v>
      </c>
      <c r="C338" s="95" t="s">
        <v>6598</v>
      </c>
      <c r="D338" s="95" t="s">
        <v>6596</v>
      </c>
      <c r="E338" s="115"/>
      <c r="F338" s="86" t="s">
        <v>8326</v>
      </c>
      <c r="G338" s="80" t="s">
        <v>1590</v>
      </c>
      <c r="H338" s="99"/>
      <c r="I338" s="80" t="str">
        <f>IFERROR(VLOOKUP(B338, '02. MM-KLH'!$B:$K, 9, FALSE),"")</f>
        <v/>
      </c>
      <c r="J338" s="106"/>
      <c r="K338" s="1369"/>
      <c r="L338" s="1370" t="s">
        <v>454</v>
      </c>
      <c r="M338" s="108" t="s">
        <v>84</v>
      </c>
      <c r="N338" s="80"/>
      <c r="O338" s="80"/>
      <c r="P338" s="106" t="s">
        <v>1277</v>
      </c>
      <c r="Q338" s="108" t="s">
        <v>96</v>
      </c>
      <c r="R338" s="110">
        <v>2216.0</v>
      </c>
    </row>
    <row r="339" ht="13.5" customHeight="1">
      <c r="A339" s="80">
        <v>4.0</v>
      </c>
      <c r="B339" s="84" t="s">
        <v>3042</v>
      </c>
      <c r="C339" s="95" t="s">
        <v>6484</v>
      </c>
      <c r="D339" s="95" t="s">
        <v>6484</v>
      </c>
      <c r="E339" s="115"/>
      <c r="F339" s="86" t="s">
        <v>6485</v>
      </c>
      <c r="G339" s="80" t="s">
        <v>1590</v>
      </c>
      <c r="H339" s="99"/>
      <c r="I339" s="80" t="str">
        <f>IFERROR(VLOOKUP(B339, '02. MM-KLH'!$B:$K, 9, FALSE),"")</f>
        <v/>
      </c>
      <c r="J339" s="106"/>
      <c r="K339" s="1369"/>
      <c r="L339" s="1370" t="s">
        <v>2609</v>
      </c>
      <c r="M339" s="108" t="s">
        <v>84</v>
      </c>
      <c r="N339" s="80"/>
      <c r="O339" s="80"/>
      <c r="P339" s="106" t="s">
        <v>861</v>
      </c>
      <c r="Q339" s="108" t="s">
        <v>96</v>
      </c>
      <c r="R339" s="110">
        <v>20054.0</v>
      </c>
    </row>
    <row r="340" ht="13.5" customHeight="1">
      <c r="A340" s="80">
        <v>5.0</v>
      </c>
      <c r="B340" s="86" t="s">
        <v>1597</v>
      </c>
      <c r="C340" s="95" t="s">
        <v>6599</v>
      </c>
      <c r="D340" s="95" t="s">
        <v>6599</v>
      </c>
      <c r="E340" s="115"/>
      <c r="F340" s="86" t="s">
        <v>8320</v>
      </c>
      <c r="G340" s="80" t="s">
        <v>1590</v>
      </c>
      <c r="H340" s="80" t="s">
        <v>1599</v>
      </c>
      <c r="I340" s="80" t="str">
        <f>IFERROR(VLOOKUP(B340, '02. MM-KLH'!$B:$K, 9, FALSE),"")</f>
        <v>27/02/2024</v>
      </c>
      <c r="J340" s="106"/>
      <c r="K340" s="1371" t="s">
        <v>1600</v>
      </c>
      <c r="L340" s="1387" t="s">
        <v>743</v>
      </c>
      <c r="M340" s="108" t="s">
        <v>148</v>
      </c>
      <c r="N340" s="80"/>
      <c r="O340" s="80" t="s">
        <v>860</v>
      </c>
      <c r="P340" s="80" t="s">
        <v>861</v>
      </c>
      <c r="Q340" s="108" t="s">
        <v>96</v>
      </c>
      <c r="R340" s="110" t="s">
        <v>1601</v>
      </c>
    </row>
    <row r="341" ht="13.5" customHeight="1">
      <c r="A341" s="80">
        <v>6.0</v>
      </c>
      <c r="B341" s="113" t="s">
        <v>2996</v>
      </c>
      <c r="C341" s="95" t="s">
        <v>8588</v>
      </c>
      <c r="D341" s="95" t="s">
        <v>6596</v>
      </c>
      <c r="E341" s="115"/>
      <c r="F341" s="115" t="s">
        <v>6466</v>
      </c>
      <c r="G341" s="95" t="s">
        <v>836</v>
      </c>
      <c r="H341" s="99"/>
      <c r="I341" s="80" t="str">
        <f>IFERROR(VLOOKUP(B341, '02. MM-KLH'!$B:$K, 9, FALSE),"")</f>
        <v/>
      </c>
      <c r="J341" s="119"/>
      <c r="K341" s="1372"/>
      <c r="L341" s="1373" t="s">
        <v>454</v>
      </c>
      <c r="M341" s="110" t="s">
        <v>84</v>
      </c>
      <c r="N341" s="95">
        <v>2013.0</v>
      </c>
      <c r="O341" s="95" t="s">
        <v>791</v>
      </c>
      <c r="P341" s="119" t="s">
        <v>792</v>
      </c>
      <c r="Q341" s="110">
        <v>56762.0</v>
      </c>
      <c r="R341" s="110">
        <v>65.0</v>
      </c>
    </row>
    <row r="342" ht="13.5" customHeight="1">
      <c r="A342" s="80">
        <v>7.0</v>
      </c>
      <c r="B342" s="84" t="s">
        <v>1647</v>
      </c>
      <c r="C342" s="95" t="s">
        <v>2053</v>
      </c>
      <c r="D342" s="95" t="s">
        <v>6597</v>
      </c>
      <c r="E342" s="115" t="s">
        <v>2053</v>
      </c>
      <c r="F342" s="86" t="s">
        <v>6473</v>
      </c>
      <c r="G342" s="80" t="s">
        <v>836</v>
      </c>
      <c r="I342" s="80" t="str">
        <f>IFERROR(VLOOKUP(B342, '02. MM-KLH'!$B:$K, 9, FALSE),"")</f>
        <v/>
      </c>
      <c r="J342" s="106"/>
      <c r="K342" s="1369"/>
      <c r="L342" s="1370" t="s">
        <v>454</v>
      </c>
      <c r="M342" s="108" t="s">
        <v>84</v>
      </c>
      <c r="N342" s="80">
        <v>2011.0</v>
      </c>
      <c r="O342" s="80">
        <v>9540.0</v>
      </c>
      <c r="P342" s="106" t="s">
        <v>845</v>
      </c>
      <c r="Q342" s="108">
        <v>2340.0</v>
      </c>
      <c r="R342" s="110" t="s">
        <v>96</v>
      </c>
    </row>
    <row r="343" ht="13.5" customHeight="1">
      <c r="A343" s="80">
        <v>8.0</v>
      </c>
      <c r="B343" s="84" t="s">
        <v>1650</v>
      </c>
      <c r="C343" s="95" t="s">
        <v>2053</v>
      </c>
      <c r="D343" s="95" t="s">
        <v>6598</v>
      </c>
      <c r="E343" s="115" t="s">
        <v>2053</v>
      </c>
      <c r="F343" s="86" t="s">
        <v>6473</v>
      </c>
      <c r="G343" s="80" t="s">
        <v>836</v>
      </c>
      <c r="H343" s="99"/>
      <c r="I343" s="80" t="str">
        <f>IFERROR(VLOOKUP(B343, '02. MM-KLH'!$B:$K, 9, FALSE),"")</f>
        <v/>
      </c>
      <c r="J343" s="106"/>
      <c r="K343" s="1369"/>
      <c r="L343" s="1370" t="s">
        <v>454</v>
      </c>
      <c r="M343" s="108" t="s">
        <v>84</v>
      </c>
      <c r="N343" s="80">
        <v>2011.0</v>
      </c>
      <c r="O343" s="80">
        <v>9540.0</v>
      </c>
      <c r="P343" s="106" t="s">
        <v>845</v>
      </c>
      <c r="Q343" s="108">
        <v>2807.0</v>
      </c>
      <c r="R343" s="110" t="s">
        <v>96</v>
      </c>
    </row>
    <row r="344" ht="13.5" customHeight="1">
      <c r="A344" s="80">
        <v>9.0</v>
      </c>
      <c r="B344" s="84" t="s">
        <v>1652</v>
      </c>
      <c r="C344" s="95" t="s">
        <v>2053</v>
      </c>
      <c r="D344" s="95" t="s">
        <v>6484</v>
      </c>
      <c r="E344" s="115" t="s">
        <v>2053</v>
      </c>
      <c r="F344" s="86" t="s">
        <v>6473</v>
      </c>
      <c r="G344" s="80" t="s">
        <v>836</v>
      </c>
      <c r="H344" s="99"/>
      <c r="I344" s="80" t="str">
        <f>IFERROR(VLOOKUP(B344, '02. MM-KLH'!$B:$K, 9, FALSE),"")</f>
        <v/>
      </c>
      <c r="J344" s="106"/>
      <c r="K344" s="1369"/>
      <c r="L344" s="1370" t="s">
        <v>454</v>
      </c>
      <c r="M344" s="108" t="s">
        <v>84</v>
      </c>
      <c r="N344" s="80">
        <v>2011.0</v>
      </c>
      <c r="O344" s="80">
        <v>9540.0</v>
      </c>
      <c r="P344" s="106" t="s">
        <v>845</v>
      </c>
      <c r="Q344" s="108">
        <v>2796.0</v>
      </c>
      <c r="R344" s="110" t="s">
        <v>96</v>
      </c>
    </row>
    <row r="345" ht="13.5" customHeight="1">
      <c r="A345" s="80">
        <v>10.0</v>
      </c>
      <c r="B345" s="84" t="s">
        <v>1654</v>
      </c>
      <c r="C345" s="95" t="s">
        <v>8589</v>
      </c>
      <c r="D345" s="95" t="s">
        <v>6599</v>
      </c>
      <c r="E345" s="115"/>
      <c r="F345" s="86" t="s">
        <v>6466</v>
      </c>
      <c r="G345" s="80" t="s">
        <v>836</v>
      </c>
      <c r="H345" s="99"/>
      <c r="I345" s="80" t="str">
        <f>IFERROR(VLOOKUP(B345, '02. MM-KLH'!$B:$K, 9, FALSE),"")</f>
        <v/>
      </c>
      <c r="J345" s="106"/>
      <c r="K345" s="1369"/>
      <c r="L345" s="1370" t="s">
        <v>454</v>
      </c>
      <c r="M345" s="108" t="s">
        <v>84</v>
      </c>
      <c r="N345" s="80">
        <v>2013.0</v>
      </c>
      <c r="O345" s="80" t="s">
        <v>791</v>
      </c>
      <c r="P345" s="106" t="s">
        <v>792</v>
      </c>
      <c r="Q345" s="108">
        <v>57274.0</v>
      </c>
      <c r="R345" s="110">
        <v>9237.0</v>
      </c>
    </row>
    <row r="346" ht="13.5" customHeight="1">
      <c r="A346" s="80">
        <v>11.0</v>
      </c>
      <c r="B346" s="84" t="s">
        <v>1421</v>
      </c>
      <c r="C346" s="95" t="s">
        <v>1411</v>
      </c>
      <c r="D346" s="95" t="s">
        <v>8588</v>
      </c>
      <c r="E346" s="115"/>
      <c r="F346" s="86" t="s">
        <v>6466</v>
      </c>
      <c r="G346" s="80" t="s">
        <v>836</v>
      </c>
      <c r="H346" s="99"/>
      <c r="I346" s="80" t="str">
        <f>IFERROR(VLOOKUP(B346, '02. MM-KLH'!$B:$K, 9, FALSE),"")</f>
        <v/>
      </c>
      <c r="J346" s="106"/>
      <c r="K346" s="1369"/>
      <c r="L346" s="1370" t="s">
        <v>454</v>
      </c>
      <c r="M346" s="108" t="s">
        <v>84</v>
      </c>
      <c r="N346" s="80">
        <v>2013.0</v>
      </c>
      <c r="O346" s="80" t="s">
        <v>791</v>
      </c>
      <c r="P346" s="106" t="s">
        <v>792</v>
      </c>
      <c r="Q346" s="108">
        <v>57121.0</v>
      </c>
      <c r="R346" s="110">
        <v>7542.0</v>
      </c>
    </row>
    <row r="347" ht="13.5" customHeight="1">
      <c r="A347" s="80">
        <v>12.0</v>
      </c>
      <c r="B347" s="84" t="s">
        <v>1657</v>
      </c>
      <c r="C347" s="95" t="s">
        <v>6603</v>
      </c>
      <c r="D347" s="95" t="s">
        <v>6604</v>
      </c>
      <c r="E347" s="115"/>
      <c r="F347" s="86" t="s">
        <v>8315</v>
      </c>
      <c r="G347" s="80" t="s">
        <v>836</v>
      </c>
      <c r="H347" s="99"/>
      <c r="I347" s="80" t="str">
        <f>IFERROR(VLOOKUP(B347, '02. MM-KLH'!$B:$K, 9, FALSE),"")</f>
        <v/>
      </c>
      <c r="J347" s="106"/>
      <c r="K347" s="1369"/>
      <c r="L347" s="1370" t="s">
        <v>747</v>
      </c>
      <c r="M347" s="108" t="s">
        <v>690</v>
      </c>
      <c r="N347" s="80">
        <v>2008.0</v>
      </c>
      <c r="O347" s="80">
        <v>6603.0</v>
      </c>
      <c r="P347" s="106" t="s">
        <v>8439</v>
      </c>
      <c r="Q347" s="108">
        <v>5956.0</v>
      </c>
      <c r="R347" s="110" t="s">
        <v>96</v>
      </c>
    </row>
    <row r="348" ht="13.5" customHeight="1">
      <c r="A348" s="80">
        <v>13.0</v>
      </c>
      <c r="B348" s="84" t="s">
        <v>1659</v>
      </c>
      <c r="C348" s="95" t="s">
        <v>6604</v>
      </c>
      <c r="D348" s="95" t="s">
        <v>6605</v>
      </c>
      <c r="E348" s="115"/>
      <c r="F348" s="86" t="s">
        <v>8315</v>
      </c>
      <c r="G348" s="80" t="s">
        <v>836</v>
      </c>
      <c r="H348" s="99"/>
      <c r="I348" s="80" t="str">
        <f>IFERROR(VLOOKUP(B348, '02. MM-KLH'!$B:$K, 9, FALSE),"")</f>
        <v/>
      </c>
      <c r="J348" s="106"/>
      <c r="K348" s="1369"/>
      <c r="L348" s="1370" t="s">
        <v>747</v>
      </c>
      <c r="M348" s="108" t="s">
        <v>690</v>
      </c>
      <c r="N348" s="80">
        <v>2008.0</v>
      </c>
      <c r="O348" s="80">
        <v>6603.0</v>
      </c>
      <c r="P348" s="106" t="s">
        <v>8439</v>
      </c>
      <c r="Q348" s="108">
        <v>32551.0</v>
      </c>
      <c r="R348" s="110" t="s">
        <v>96</v>
      </c>
    </row>
    <row r="349" ht="13.5" customHeight="1">
      <c r="A349" s="80">
        <v>14.0</v>
      </c>
      <c r="B349" s="84" t="s">
        <v>1662</v>
      </c>
      <c r="C349" s="95" t="s">
        <v>6605</v>
      </c>
      <c r="D349" s="95" t="s">
        <v>6468</v>
      </c>
      <c r="E349" s="115"/>
      <c r="F349" s="86" t="s">
        <v>8320</v>
      </c>
      <c r="G349" s="80" t="s">
        <v>836</v>
      </c>
      <c r="H349" s="99"/>
      <c r="I349" s="80" t="str">
        <f>IFERROR(VLOOKUP(B349, '02. MM-KLH'!$B:$K, 9, FALSE),"")</f>
        <v/>
      </c>
      <c r="J349" s="106"/>
      <c r="K349" s="1369"/>
      <c r="L349" s="1370" t="s">
        <v>743</v>
      </c>
      <c r="M349" s="108" t="s">
        <v>148</v>
      </c>
      <c r="N349" s="80">
        <v>2018.0</v>
      </c>
      <c r="O349" s="80" t="s">
        <v>860</v>
      </c>
      <c r="P349" s="106" t="s">
        <v>861</v>
      </c>
      <c r="Q349" s="108">
        <v>87.0</v>
      </c>
      <c r="R349" s="110">
        <v>80.0</v>
      </c>
    </row>
    <row r="350" ht="13.5" customHeight="1">
      <c r="A350" s="80">
        <v>15.0</v>
      </c>
      <c r="B350" s="84" t="s">
        <v>2999</v>
      </c>
      <c r="C350" s="95" t="s">
        <v>6468</v>
      </c>
      <c r="D350" s="95" t="s">
        <v>6455</v>
      </c>
      <c r="E350" s="115"/>
      <c r="F350" s="86" t="s">
        <v>8320</v>
      </c>
      <c r="G350" s="80" t="s">
        <v>836</v>
      </c>
      <c r="H350" s="99"/>
      <c r="I350" s="80" t="str">
        <f>IFERROR(VLOOKUP(B350, '02. MM-KLH'!$B:$K, 9, FALSE),"")</f>
        <v/>
      </c>
      <c r="J350" s="106"/>
      <c r="K350" s="1369"/>
      <c r="L350" s="1370" t="s">
        <v>743</v>
      </c>
      <c r="M350" s="108" t="s">
        <v>148</v>
      </c>
      <c r="N350" s="80">
        <v>2018.0</v>
      </c>
      <c r="O350" s="80" t="s">
        <v>860</v>
      </c>
      <c r="P350" s="106" t="s">
        <v>861</v>
      </c>
      <c r="Q350" s="108">
        <v>78.0</v>
      </c>
      <c r="R350" s="110">
        <v>2.0</v>
      </c>
    </row>
    <row r="351" ht="13.5" customHeight="1">
      <c r="A351" s="80">
        <v>16.0</v>
      </c>
      <c r="B351" s="84" t="s">
        <v>2972</v>
      </c>
      <c r="C351" s="95" t="s">
        <v>6455</v>
      </c>
      <c r="D351" s="95" t="s">
        <v>6606</v>
      </c>
      <c r="E351" s="115"/>
      <c r="F351" s="86" t="s">
        <v>8320</v>
      </c>
      <c r="G351" s="80" t="s">
        <v>836</v>
      </c>
      <c r="H351" s="99"/>
      <c r="I351" s="80" t="str">
        <f>IFERROR(VLOOKUP(B351, '02. MM-KLH'!$B:$K, 9, FALSE),"")</f>
        <v/>
      </c>
      <c r="J351" s="106"/>
      <c r="K351" s="1369"/>
      <c r="L351" s="1370" t="s">
        <v>743</v>
      </c>
      <c r="M351" s="108" t="s">
        <v>148</v>
      </c>
      <c r="N351" s="80">
        <v>2018.0</v>
      </c>
      <c r="O351" s="80" t="s">
        <v>860</v>
      </c>
      <c r="P351" s="106" t="s">
        <v>861</v>
      </c>
      <c r="Q351" s="108" t="s">
        <v>2974</v>
      </c>
      <c r="R351" s="110" t="s">
        <v>96</v>
      </c>
    </row>
    <row r="352" ht="13.5" customHeight="1">
      <c r="A352" s="80">
        <v>17.0</v>
      </c>
      <c r="B352" s="84" t="s">
        <v>3003</v>
      </c>
      <c r="C352" s="95" t="s">
        <v>6469</v>
      </c>
      <c r="D352" s="95" t="s">
        <v>6607</v>
      </c>
      <c r="E352" s="115"/>
      <c r="F352" s="86" t="s">
        <v>8320</v>
      </c>
      <c r="G352" s="80" t="s">
        <v>836</v>
      </c>
      <c r="H352" s="99"/>
      <c r="I352" s="80" t="str">
        <f>IFERROR(VLOOKUP(B352, '02. MM-KLH'!$B:$K, 9, FALSE),"")</f>
        <v/>
      </c>
      <c r="J352" s="106"/>
      <c r="K352" s="1369"/>
      <c r="L352" s="1370" t="s">
        <v>743</v>
      </c>
      <c r="M352" s="108" t="s">
        <v>148</v>
      </c>
      <c r="N352" s="80">
        <v>2018.0</v>
      </c>
      <c r="O352" s="80" t="s">
        <v>860</v>
      </c>
      <c r="P352" s="106" t="s">
        <v>861</v>
      </c>
      <c r="Q352" s="108">
        <v>76.0</v>
      </c>
      <c r="R352" s="110">
        <v>80076.0</v>
      </c>
    </row>
    <row r="353" ht="13.5" customHeight="1">
      <c r="A353" s="80">
        <v>18.0</v>
      </c>
      <c r="B353" s="113" t="s">
        <v>1665</v>
      </c>
      <c r="C353" s="95" t="s">
        <v>6606</v>
      </c>
      <c r="D353" s="95" t="s">
        <v>6471</v>
      </c>
      <c r="E353" s="115"/>
      <c r="F353" s="115" t="s">
        <v>6466</v>
      </c>
      <c r="G353" s="95" t="s">
        <v>836</v>
      </c>
      <c r="H353" s="116"/>
      <c r="I353" s="80" t="str">
        <f>IFERROR(VLOOKUP(B353, '02. MM-KLH'!$B:$K, 9, FALSE),"")</f>
        <v/>
      </c>
      <c r="J353" s="119"/>
      <c r="K353" s="1372"/>
      <c r="L353" s="1373" t="s">
        <v>454</v>
      </c>
      <c r="M353" s="110" t="s">
        <v>84</v>
      </c>
      <c r="N353" s="95">
        <v>2013.0</v>
      </c>
      <c r="O353" s="95" t="s">
        <v>791</v>
      </c>
      <c r="P353" s="119" t="s">
        <v>792</v>
      </c>
      <c r="Q353" s="110" t="s">
        <v>1668</v>
      </c>
      <c r="R353" s="110" t="s">
        <v>96</v>
      </c>
    </row>
    <row r="354" ht="13.5" customHeight="1">
      <c r="A354" s="80">
        <v>19.0</v>
      </c>
      <c r="B354" s="84" t="s">
        <v>1669</v>
      </c>
      <c r="C354" s="95" t="s">
        <v>6607</v>
      </c>
      <c r="D354" s="95" t="s">
        <v>6609</v>
      </c>
      <c r="E354" s="115"/>
      <c r="F354" s="86" t="s">
        <v>8320</v>
      </c>
      <c r="G354" s="80" t="s">
        <v>836</v>
      </c>
      <c r="H354" s="99"/>
      <c r="I354" s="80" t="str">
        <f>IFERROR(VLOOKUP(B354, '02. MM-KLH'!$B:$K, 9, FALSE),"")</f>
        <v/>
      </c>
      <c r="J354" s="106"/>
      <c r="K354" s="1369"/>
      <c r="L354" s="1370" t="s">
        <v>743</v>
      </c>
      <c r="M354" s="108" t="s">
        <v>148</v>
      </c>
      <c r="N354" s="80">
        <v>2018.0</v>
      </c>
      <c r="O354" s="80" t="s">
        <v>860</v>
      </c>
      <c r="P354" s="106" t="s">
        <v>861</v>
      </c>
      <c r="Q354" s="108" t="s">
        <v>1673</v>
      </c>
      <c r="R354" s="110">
        <v>180012.0</v>
      </c>
    </row>
    <row r="355" ht="13.5" customHeight="1">
      <c r="A355" s="80">
        <v>20.0</v>
      </c>
      <c r="B355" s="84" t="s">
        <v>3006</v>
      </c>
      <c r="C355" s="95" t="s">
        <v>6471</v>
      </c>
      <c r="D355" s="95" t="s">
        <v>6474</v>
      </c>
      <c r="E355" s="115"/>
      <c r="F355" s="86" t="s">
        <v>8320</v>
      </c>
      <c r="G355" s="80" t="s">
        <v>836</v>
      </c>
      <c r="H355" s="99"/>
      <c r="I355" s="80" t="str">
        <f>IFERROR(VLOOKUP(B355, '02. MM-KLH'!$B:$K, 9, FALSE),"")</f>
        <v/>
      </c>
      <c r="J355" s="106"/>
      <c r="K355" s="1369"/>
      <c r="L355" s="1370" t="s">
        <v>743</v>
      </c>
      <c r="M355" s="108" t="s">
        <v>148</v>
      </c>
      <c r="N355" s="80">
        <v>2018.0</v>
      </c>
      <c r="O355" s="80" t="s">
        <v>860</v>
      </c>
      <c r="P355" s="106" t="s">
        <v>861</v>
      </c>
      <c r="Q355" s="108" t="s">
        <v>3008</v>
      </c>
      <c r="R355" s="110">
        <v>180053.0</v>
      </c>
    </row>
    <row r="356" ht="13.5" customHeight="1">
      <c r="A356" s="80">
        <v>21.0</v>
      </c>
      <c r="B356" s="84" t="s">
        <v>1584</v>
      </c>
      <c r="C356" s="95" t="s">
        <v>6609</v>
      </c>
      <c r="D356" s="95" t="s">
        <v>6610</v>
      </c>
      <c r="E356" s="115"/>
      <c r="F356" s="86" t="s">
        <v>8320</v>
      </c>
      <c r="G356" s="80" t="s">
        <v>836</v>
      </c>
      <c r="H356" s="99"/>
      <c r="I356" s="80" t="str">
        <f>IFERROR(VLOOKUP(B356, '02. MM-KLH'!$B:$K, 9, FALSE),"")</f>
        <v/>
      </c>
      <c r="J356" s="106"/>
      <c r="K356" s="1369"/>
      <c r="L356" s="1370" t="s">
        <v>743</v>
      </c>
      <c r="M356" s="108" t="s">
        <v>148</v>
      </c>
      <c r="N356" s="80">
        <v>2018.0</v>
      </c>
      <c r="O356" s="80" t="s">
        <v>860</v>
      </c>
      <c r="P356" s="106" t="s">
        <v>861</v>
      </c>
      <c r="Q356" s="108" t="s">
        <v>1586</v>
      </c>
      <c r="R356" s="110">
        <v>180001.0</v>
      </c>
    </row>
    <row r="357" ht="13.5" customHeight="1">
      <c r="A357" s="80">
        <v>22.0</v>
      </c>
      <c r="B357" s="84" t="s">
        <v>1674</v>
      </c>
      <c r="C357" s="95" t="s">
        <v>3212</v>
      </c>
      <c r="D357" s="95" t="s">
        <v>6613</v>
      </c>
      <c r="E357" s="115" t="s">
        <v>3212</v>
      </c>
      <c r="F357" s="86" t="s">
        <v>8318</v>
      </c>
      <c r="G357" s="80" t="s">
        <v>836</v>
      </c>
      <c r="H357" s="99">
        <v>45292.0</v>
      </c>
      <c r="I357" s="80">
        <f>IFERROR(VLOOKUP(B357, '02. MM-KLH'!$B:$K, 9, FALSE),"")</f>
        <v>45292</v>
      </c>
      <c r="J357" s="102">
        <v>0.97</v>
      </c>
      <c r="K357" s="1369"/>
      <c r="L357" s="1370" t="s">
        <v>747</v>
      </c>
      <c r="M357" s="108" t="s">
        <v>690</v>
      </c>
      <c r="N357" s="80">
        <v>2022.0</v>
      </c>
      <c r="O357" s="80">
        <v>5090.0</v>
      </c>
      <c r="P357" s="106" t="s">
        <v>705</v>
      </c>
      <c r="Q357" s="108">
        <v>4073059.0</v>
      </c>
      <c r="R357" s="110">
        <v>26911.0</v>
      </c>
    </row>
    <row r="358" ht="13.5" customHeight="1">
      <c r="A358" s="80">
        <v>23.0</v>
      </c>
      <c r="B358" s="84" t="s">
        <v>1676</v>
      </c>
      <c r="C358" s="95" t="s">
        <v>3213</v>
      </c>
      <c r="D358" s="95" t="s">
        <v>6614</v>
      </c>
      <c r="E358" s="115" t="s">
        <v>3213</v>
      </c>
      <c r="F358" s="86" t="s">
        <v>8318</v>
      </c>
      <c r="G358" s="80" t="s">
        <v>836</v>
      </c>
      <c r="H358" s="99">
        <v>45292.0</v>
      </c>
      <c r="I358" s="80">
        <f>IFERROR(VLOOKUP(B358, '02. MM-KLH'!$B:$K, 9, FALSE),"")</f>
        <v>45292</v>
      </c>
      <c r="J358" s="102">
        <v>0.97</v>
      </c>
      <c r="K358" s="1369"/>
      <c r="L358" s="1370" t="s">
        <v>747</v>
      </c>
      <c r="M358" s="108" t="s">
        <v>690</v>
      </c>
      <c r="N358" s="80">
        <v>2022.0</v>
      </c>
      <c r="O358" s="80">
        <v>5090.0</v>
      </c>
      <c r="P358" s="106" t="s">
        <v>705</v>
      </c>
      <c r="Q358" s="108">
        <v>4073056.0</v>
      </c>
      <c r="R358" s="110">
        <v>27085.0</v>
      </c>
    </row>
    <row r="359" ht="13.5" customHeight="1">
      <c r="A359" s="80">
        <v>24.0</v>
      </c>
      <c r="B359" s="113" t="s">
        <v>3009</v>
      </c>
      <c r="C359" s="95" t="s">
        <v>2053</v>
      </c>
      <c r="D359" s="95" t="s">
        <v>8591</v>
      </c>
      <c r="E359" s="115" t="s">
        <v>2053</v>
      </c>
      <c r="F359" s="115" t="s">
        <v>6473</v>
      </c>
      <c r="G359" s="95" t="s">
        <v>836</v>
      </c>
      <c r="H359" s="116"/>
      <c r="I359" s="80" t="str">
        <f>IFERROR(VLOOKUP(B359, '02. MM-KLH'!$B:$K, 9, FALSE),"")</f>
        <v/>
      </c>
      <c r="J359" s="119"/>
      <c r="K359" s="1372"/>
      <c r="L359" s="1373" t="s">
        <v>454</v>
      </c>
      <c r="M359" s="110" t="s">
        <v>84</v>
      </c>
      <c r="N359" s="95">
        <v>2011.0</v>
      </c>
      <c r="O359" s="95">
        <v>9540.0</v>
      </c>
      <c r="P359" s="119" t="s">
        <v>845</v>
      </c>
      <c r="Q359" s="110">
        <v>2482.0</v>
      </c>
      <c r="R359" s="110" t="s">
        <v>96</v>
      </c>
    </row>
    <row r="360" ht="13.5" customHeight="1">
      <c r="A360" s="80">
        <v>25.0</v>
      </c>
      <c r="B360" s="84" t="s">
        <v>3012</v>
      </c>
      <c r="C360" s="95" t="s">
        <v>6474</v>
      </c>
      <c r="D360" s="95" t="s">
        <v>8592</v>
      </c>
      <c r="E360" s="115"/>
      <c r="F360" s="86" t="s">
        <v>8320</v>
      </c>
      <c r="G360" s="80" t="s">
        <v>836</v>
      </c>
      <c r="H360" s="80" t="s">
        <v>3014</v>
      </c>
      <c r="I360" s="80" t="str">
        <f>IFERROR(VLOOKUP(B360, '02. MM-KLH'!$B:$K, 9, FALSE),"")</f>
        <v>16/11/2023</v>
      </c>
      <c r="J360" s="106"/>
      <c r="K360" s="1369"/>
      <c r="L360" s="1370" t="s">
        <v>743</v>
      </c>
      <c r="M360" s="108" t="s">
        <v>148</v>
      </c>
      <c r="N360" s="80">
        <v>2018.0</v>
      </c>
      <c r="O360" s="80" t="s">
        <v>860</v>
      </c>
      <c r="P360" s="106" t="s">
        <v>861</v>
      </c>
      <c r="Q360" s="108" t="s">
        <v>3015</v>
      </c>
      <c r="R360" s="110" t="s">
        <v>96</v>
      </c>
    </row>
    <row r="361" ht="13.5" customHeight="1">
      <c r="A361" s="80">
        <v>26.0</v>
      </c>
      <c r="B361" s="84" t="s">
        <v>1677</v>
      </c>
      <c r="C361" s="95" t="s">
        <v>6610</v>
      </c>
      <c r="D361" s="95" t="s">
        <v>8593</v>
      </c>
      <c r="E361" s="115"/>
      <c r="F361" s="86" t="s">
        <v>8320</v>
      </c>
      <c r="G361" s="80" t="s">
        <v>836</v>
      </c>
      <c r="H361" s="80" t="s">
        <v>1680</v>
      </c>
      <c r="I361" s="80" t="str">
        <f>IFERROR(VLOOKUP(B361, '02. MM-KLH'!$B:$K, 9, FALSE),"")</f>
        <v>28/11/2023</v>
      </c>
      <c r="J361" s="106"/>
      <c r="K361" s="1369"/>
      <c r="L361" s="1370" t="s">
        <v>743</v>
      </c>
      <c r="M361" s="108" t="s">
        <v>148</v>
      </c>
      <c r="N361" s="80">
        <v>2018.0</v>
      </c>
      <c r="O361" s="80" t="s">
        <v>860</v>
      </c>
      <c r="P361" s="106" t="s">
        <v>861</v>
      </c>
      <c r="Q361" s="108">
        <v>180090.0</v>
      </c>
      <c r="R361" s="110" t="s">
        <v>96</v>
      </c>
    </row>
    <row r="362" ht="13.5" customHeight="1">
      <c r="A362" s="80">
        <v>27.0</v>
      </c>
      <c r="B362" s="113" t="s">
        <v>3016</v>
      </c>
      <c r="C362" s="95" t="s">
        <v>2053</v>
      </c>
      <c r="D362" s="95" t="s">
        <v>6657</v>
      </c>
      <c r="E362" s="115" t="s">
        <v>2053</v>
      </c>
      <c r="F362" s="115" t="s">
        <v>6473</v>
      </c>
      <c r="G362" s="95" t="s">
        <v>836</v>
      </c>
      <c r="H362" s="95" t="s">
        <v>1680</v>
      </c>
      <c r="I362" s="80" t="str">
        <f>IFERROR(VLOOKUP(B362, '02. MM-KLH'!$B:$K, 9, FALSE),"")</f>
        <v>28/11/2023</v>
      </c>
      <c r="J362" s="119"/>
      <c r="K362" s="1372"/>
      <c r="L362" s="1373" t="s">
        <v>454</v>
      </c>
      <c r="M362" s="110" t="s">
        <v>84</v>
      </c>
      <c r="N362" s="95">
        <v>2011.0</v>
      </c>
      <c r="O362" s="95">
        <v>9540.0</v>
      </c>
      <c r="P362" s="119" t="s">
        <v>845</v>
      </c>
      <c r="Q362" s="110">
        <v>3106.0</v>
      </c>
      <c r="R362" s="110" t="s">
        <v>96</v>
      </c>
    </row>
    <row r="363" ht="13.5" customHeight="1">
      <c r="A363" s="80">
        <v>28.0</v>
      </c>
      <c r="B363" s="86" t="s">
        <v>1681</v>
      </c>
      <c r="C363" s="95" t="s">
        <v>3214</v>
      </c>
      <c r="D363" s="95" t="s">
        <v>6672</v>
      </c>
      <c r="E363" s="115" t="s">
        <v>3214</v>
      </c>
      <c r="F363" s="86" t="s">
        <v>8316</v>
      </c>
      <c r="G363" s="80" t="s">
        <v>836</v>
      </c>
      <c r="H363" s="80" t="s">
        <v>696</v>
      </c>
      <c r="I363" s="80" t="str">
        <f>IFERROR(VLOOKUP(B363, '02. MM-KLH'!$B:$K, 9, FALSE),"")</f>
        <v>15/03/2024</v>
      </c>
      <c r="J363" s="106"/>
      <c r="K363" s="1369"/>
      <c r="L363" s="1387" t="s">
        <v>8317</v>
      </c>
      <c r="M363" s="108" t="s">
        <v>690</v>
      </c>
      <c r="N363" s="80">
        <v>2022.0</v>
      </c>
      <c r="O363" s="80" t="s">
        <v>697</v>
      </c>
      <c r="P363" s="80" t="s">
        <v>271</v>
      </c>
      <c r="Q363" s="108" t="s">
        <v>1682</v>
      </c>
      <c r="R363" s="110" t="s">
        <v>1683</v>
      </c>
    </row>
    <row r="364" ht="13.5" customHeight="1">
      <c r="A364" s="80">
        <v>29.0</v>
      </c>
      <c r="B364" s="84" t="s">
        <v>1684</v>
      </c>
      <c r="C364" s="95" t="s">
        <v>4185</v>
      </c>
      <c r="D364" s="95" t="s">
        <v>6673</v>
      </c>
      <c r="E364" s="115" t="s">
        <v>4185</v>
      </c>
      <c r="F364" s="86" t="s">
        <v>8594</v>
      </c>
      <c r="G364" s="80" t="s">
        <v>836</v>
      </c>
      <c r="H364" s="99">
        <v>45385.0</v>
      </c>
      <c r="I364" s="80">
        <f>IFERROR(VLOOKUP(B364, '02. MM-KLH'!$B:$K, 9, FALSE),"")</f>
        <v>45385</v>
      </c>
      <c r="J364" s="102">
        <v>0.97</v>
      </c>
      <c r="K364" s="1369"/>
      <c r="L364" s="1370" t="s">
        <v>8595</v>
      </c>
      <c r="M364" s="108" t="s">
        <v>883</v>
      </c>
      <c r="N364" s="80"/>
      <c r="O364" s="80" t="s">
        <v>8596</v>
      </c>
      <c r="P364" s="106" t="s">
        <v>271</v>
      </c>
      <c r="Q364" s="108" t="s">
        <v>1687</v>
      </c>
      <c r="R364" s="110" t="s">
        <v>1688</v>
      </c>
    </row>
    <row r="365" ht="13.5" customHeight="1">
      <c r="A365" s="80">
        <v>30.0</v>
      </c>
      <c r="B365" s="86" t="s">
        <v>1614</v>
      </c>
      <c r="C365" s="95" t="s">
        <v>6613</v>
      </c>
      <c r="D365" s="95" t="s">
        <v>6663</v>
      </c>
      <c r="E365" s="115"/>
      <c r="F365" s="115" t="s">
        <v>6466</v>
      </c>
      <c r="G365" s="80" t="s">
        <v>836</v>
      </c>
      <c r="H365" s="80" t="s">
        <v>8597</v>
      </c>
      <c r="I365" s="80" t="str">
        <f>IFERROR(VLOOKUP(B365, '02. MM-KLH'!$B:$K, 9, FALSE),"")</f>
        <v/>
      </c>
      <c r="J365" s="102"/>
      <c r="K365" s="1371" t="s">
        <v>5252</v>
      </c>
      <c r="L365" s="1387" t="s">
        <v>454</v>
      </c>
      <c r="M365" s="108" t="s">
        <v>84</v>
      </c>
      <c r="N365" s="80">
        <v>2013.0</v>
      </c>
      <c r="O365" s="80" t="s">
        <v>791</v>
      </c>
      <c r="P365" s="80" t="s">
        <v>3121</v>
      </c>
      <c r="Q365" s="108" t="s">
        <v>1617</v>
      </c>
      <c r="R365" s="110" t="s">
        <v>96</v>
      </c>
    </row>
    <row r="366" ht="13.5" customHeight="1">
      <c r="A366" s="80">
        <v>31.0</v>
      </c>
      <c r="B366" s="86" t="s">
        <v>3019</v>
      </c>
      <c r="C366" s="95" t="s">
        <v>1422</v>
      </c>
      <c r="D366" s="95" t="s">
        <v>6674</v>
      </c>
      <c r="E366" s="115" t="s">
        <v>1422</v>
      </c>
      <c r="F366" s="513" t="s">
        <v>6476</v>
      </c>
      <c r="G366" s="1463" t="s">
        <v>836</v>
      </c>
      <c r="H366" s="80" t="s">
        <v>3020</v>
      </c>
      <c r="I366" s="80" t="str">
        <f>IFERROR(VLOOKUP(B366, '02. MM-KLH'!$B:$K, 9, FALSE),"")</f>
        <v>16/06/2024</v>
      </c>
      <c r="J366" s="102">
        <v>0.55</v>
      </c>
      <c r="K366" s="1371" t="s">
        <v>8598</v>
      </c>
      <c r="L366" s="1464" t="s">
        <v>454</v>
      </c>
      <c r="M366" s="1464" t="s">
        <v>222</v>
      </c>
      <c r="N366" s="1463">
        <v>2019.0</v>
      </c>
      <c r="O366" s="1463">
        <v>4508.0</v>
      </c>
      <c r="P366" s="1463" t="s">
        <v>101</v>
      </c>
      <c r="Q366" s="1465" t="s">
        <v>3021</v>
      </c>
      <c r="R366" s="1464" t="s">
        <v>3022</v>
      </c>
    </row>
    <row r="367" ht="13.5" customHeight="1">
      <c r="A367" s="80">
        <v>32.0</v>
      </c>
      <c r="B367" s="86" t="s">
        <v>1689</v>
      </c>
      <c r="C367" s="95" t="s">
        <v>6614</v>
      </c>
      <c r="D367" s="95" t="s">
        <v>8599</v>
      </c>
      <c r="E367" s="115"/>
      <c r="F367" s="86" t="s">
        <v>8320</v>
      </c>
      <c r="G367" s="1463" t="s">
        <v>836</v>
      </c>
      <c r="H367" s="80" t="s">
        <v>459</v>
      </c>
      <c r="I367" s="80" t="str">
        <f>IFERROR(VLOOKUP(B367, '02. MM-KLH'!$B:$K, 9, FALSE),"")</f>
        <v>16/07/2024</v>
      </c>
      <c r="J367" s="102"/>
      <c r="K367" s="1371" t="s">
        <v>1691</v>
      </c>
      <c r="L367" s="1466" t="s">
        <v>743</v>
      </c>
      <c r="M367" s="108" t="s">
        <v>148</v>
      </c>
      <c r="N367" s="80">
        <v>2018.0</v>
      </c>
      <c r="O367" s="80" t="s">
        <v>860</v>
      </c>
      <c r="P367" s="80" t="s">
        <v>861</v>
      </c>
      <c r="Q367" s="108" t="s">
        <v>1692</v>
      </c>
      <c r="R367" s="110" t="s">
        <v>96</v>
      </c>
    </row>
    <row r="368" ht="13.5" customHeight="1">
      <c r="A368" s="80">
        <v>33.0</v>
      </c>
      <c r="B368" s="86" t="s">
        <v>1693</v>
      </c>
      <c r="C368" s="95" t="s">
        <v>4206</v>
      </c>
      <c r="D368" s="95" t="s">
        <v>8599</v>
      </c>
      <c r="E368" s="513" t="s">
        <v>4206</v>
      </c>
      <c r="F368" s="513" t="s">
        <v>8600</v>
      </c>
      <c r="G368" s="1463" t="s">
        <v>836</v>
      </c>
      <c r="H368" s="80" t="s">
        <v>1696</v>
      </c>
      <c r="I368" s="80" t="str">
        <f>IFERROR(VLOOKUP(B368, '02. MM-KLH'!$B:$K, 9, FALSE),"")</f>
        <v>22/07/2024</v>
      </c>
      <c r="J368" s="102">
        <v>0.97</v>
      </c>
      <c r="K368" s="1371"/>
      <c r="L368" s="1464" t="s">
        <v>673</v>
      </c>
      <c r="M368" s="1464" t="s">
        <v>883</v>
      </c>
      <c r="N368" s="80"/>
      <c r="O368" s="1463" t="s">
        <v>1697</v>
      </c>
      <c r="P368" s="80" t="s">
        <v>271</v>
      </c>
      <c r="Q368" s="1464">
        <v>50478.0</v>
      </c>
      <c r="R368" s="1464" t="s">
        <v>96</v>
      </c>
    </row>
    <row r="369" ht="13.5" customHeight="1">
      <c r="A369" s="80">
        <v>34.0</v>
      </c>
      <c r="B369" s="115" t="s">
        <v>833</v>
      </c>
      <c r="C369" s="95" t="s">
        <v>2622</v>
      </c>
      <c r="D369" s="95" t="s">
        <v>6469</v>
      </c>
      <c r="E369" s="115" t="s">
        <v>2622</v>
      </c>
      <c r="F369" s="115" t="s">
        <v>8601</v>
      </c>
      <c r="G369" s="95" t="s">
        <v>6530</v>
      </c>
      <c r="H369" s="116"/>
      <c r="I369" s="80" t="str">
        <f>IFERROR(VLOOKUP(B369, '02. MM-KLH'!$B:$K, 9, FALSE),"")</f>
        <v/>
      </c>
      <c r="J369" s="119"/>
      <c r="K369" s="1372"/>
      <c r="L369" s="1373" t="s">
        <v>837</v>
      </c>
      <c r="M369" s="110" t="s">
        <v>838</v>
      </c>
      <c r="N369" s="95">
        <v>2018.0</v>
      </c>
      <c r="O369" s="95" t="s">
        <v>839</v>
      </c>
      <c r="P369" s="95" t="s">
        <v>278</v>
      </c>
      <c r="Q369" s="110">
        <v>73737.0</v>
      </c>
      <c r="R369" s="110" t="s">
        <v>96</v>
      </c>
    </row>
    <row r="370" ht="13.5" customHeight="1">
      <c r="A370" s="80">
        <v>35.0</v>
      </c>
      <c r="B370" s="86" t="s">
        <v>840</v>
      </c>
      <c r="C370" s="95" t="s">
        <v>1747</v>
      </c>
      <c r="D370" s="95" t="s">
        <v>6606</v>
      </c>
      <c r="E370" s="115" t="s">
        <v>1747</v>
      </c>
      <c r="F370" s="86" t="s">
        <v>8315</v>
      </c>
      <c r="G370" s="80" t="s">
        <v>6530</v>
      </c>
      <c r="H370" s="99"/>
      <c r="I370" s="80">
        <f>IFERROR(VLOOKUP(B370, '02. MM-KLH'!$B:$K, 9, FALSE),"")</f>
        <v>43862</v>
      </c>
      <c r="J370" s="106"/>
      <c r="K370" s="1369"/>
      <c r="L370" s="1370" t="s">
        <v>689</v>
      </c>
      <c r="M370" s="108" t="s">
        <v>690</v>
      </c>
      <c r="N370" s="80">
        <v>2018.0</v>
      </c>
      <c r="O370" s="80">
        <v>6603.0</v>
      </c>
      <c r="P370" s="106" t="s">
        <v>8439</v>
      </c>
      <c r="Q370" s="108">
        <v>33027.0</v>
      </c>
      <c r="R370" s="110" t="s">
        <v>96</v>
      </c>
    </row>
    <row r="371" ht="13.5" customHeight="1">
      <c r="A371" s="80">
        <v>36.0</v>
      </c>
      <c r="B371" s="86" t="s">
        <v>842</v>
      </c>
      <c r="C371" s="95" t="s">
        <v>2053</v>
      </c>
      <c r="D371" s="95" t="s">
        <v>6607</v>
      </c>
      <c r="E371" s="115" t="s">
        <v>2053</v>
      </c>
      <c r="F371" s="86" t="s">
        <v>6473</v>
      </c>
      <c r="G371" s="80" t="s">
        <v>6530</v>
      </c>
      <c r="H371" s="99"/>
      <c r="I371" s="80" t="str">
        <f>IFERROR(VLOOKUP(B371, '02. MM-KLH'!$B:$K, 9, FALSE),"")</f>
        <v/>
      </c>
      <c r="J371" s="106"/>
      <c r="K371" s="1369"/>
      <c r="L371" s="1370" t="s">
        <v>454</v>
      </c>
      <c r="M371" s="108" t="s">
        <v>84</v>
      </c>
      <c r="N371" s="80">
        <v>2011.0</v>
      </c>
      <c r="O371" s="80">
        <v>9540.0</v>
      </c>
      <c r="P371" s="106" t="s">
        <v>845</v>
      </c>
      <c r="Q371" s="108" t="s">
        <v>846</v>
      </c>
      <c r="R371" s="110" t="s">
        <v>96</v>
      </c>
    </row>
    <row r="372" ht="13.5" customHeight="1">
      <c r="A372" s="80">
        <v>37.0</v>
      </c>
      <c r="B372" s="86" t="s">
        <v>776</v>
      </c>
      <c r="C372" s="95" t="s">
        <v>2356</v>
      </c>
      <c r="D372" s="95" t="s">
        <v>6471</v>
      </c>
      <c r="E372" s="115" t="s">
        <v>2356</v>
      </c>
      <c r="F372" s="86" t="s">
        <v>8318</v>
      </c>
      <c r="G372" s="80" t="s">
        <v>6530</v>
      </c>
      <c r="H372" s="99"/>
      <c r="I372" s="80">
        <f>IFERROR(VLOOKUP(B372, '02. MM-KLH'!$B:$K, 9, FALSE),"")</f>
        <v>45634</v>
      </c>
      <c r="J372" s="102">
        <v>0.97</v>
      </c>
      <c r="K372" s="1369"/>
      <c r="L372" s="1370" t="s">
        <v>689</v>
      </c>
      <c r="M372" s="108" t="s">
        <v>690</v>
      </c>
      <c r="N372" s="80">
        <v>2022.0</v>
      </c>
      <c r="O372" s="80">
        <v>5090.0</v>
      </c>
      <c r="P372" s="106" t="s">
        <v>705</v>
      </c>
      <c r="Q372" s="108" t="s">
        <v>779</v>
      </c>
      <c r="R372" s="110" t="s">
        <v>780</v>
      </c>
    </row>
    <row r="373" ht="13.5" customHeight="1">
      <c r="A373" s="80">
        <v>38.0</v>
      </c>
      <c r="B373" s="84" t="s">
        <v>3126</v>
      </c>
      <c r="C373" s="95" t="s">
        <v>8591</v>
      </c>
      <c r="D373" s="95" t="s">
        <v>6596</v>
      </c>
      <c r="E373" s="115"/>
      <c r="F373" s="86" t="s">
        <v>8320</v>
      </c>
      <c r="G373" s="80" t="s">
        <v>2964</v>
      </c>
      <c r="H373" s="99"/>
      <c r="I373" s="80" t="str">
        <f>IFERROR(VLOOKUP(B373, '02. MM-KLH'!$B:$K, 9, FALSE),"")</f>
        <v/>
      </c>
      <c r="J373" s="106"/>
      <c r="K373" s="1369"/>
      <c r="L373" s="1370" t="s">
        <v>743</v>
      </c>
      <c r="M373" s="108" t="s">
        <v>148</v>
      </c>
      <c r="N373" s="80">
        <v>2018.0</v>
      </c>
      <c r="O373" s="80" t="s">
        <v>860</v>
      </c>
      <c r="P373" s="106" t="s">
        <v>861</v>
      </c>
      <c r="Q373" s="108" t="s">
        <v>3128</v>
      </c>
      <c r="R373" s="110" t="s">
        <v>96</v>
      </c>
    </row>
    <row r="374" ht="13.5" customHeight="1">
      <c r="A374" s="80">
        <v>39.0</v>
      </c>
      <c r="B374" s="84" t="s">
        <v>8602</v>
      </c>
      <c r="C374" s="95" t="s">
        <v>8603</v>
      </c>
      <c r="D374" s="95" t="s">
        <v>6597</v>
      </c>
      <c r="E374" s="115"/>
      <c r="F374" s="86" t="s">
        <v>8320</v>
      </c>
      <c r="G374" s="80" t="s">
        <v>2964</v>
      </c>
      <c r="H374" s="99"/>
      <c r="I374" s="80" t="str">
        <f>IFERROR(VLOOKUP(B374, '02. MM-KLH'!$B:$K, 9, FALSE),"")</f>
        <v/>
      </c>
      <c r="J374" s="106"/>
      <c r="K374" s="1371" t="s">
        <v>8604</v>
      </c>
      <c r="L374" s="1370" t="s">
        <v>743</v>
      </c>
      <c r="M374" s="108" t="s">
        <v>148</v>
      </c>
      <c r="N374" s="80">
        <v>2018.0</v>
      </c>
      <c r="O374" s="80" t="s">
        <v>860</v>
      </c>
      <c r="P374" s="106" t="s">
        <v>861</v>
      </c>
      <c r="Q374" s="108" t="s">
        <v>3056</v>
      </c>
      <c r="R374" s="110" t="s">
        <v>96</v>
      </c>
    </row>
    <row r="375" ht="13.5" customHeight="1">
      <c r="A375" s="80">
        <v>40.0</v>
      </c>
      <c r="B375" s="84" t="s">
        <v>3123</v>
      </c>
      <c r="C375" s="95" t="s">
        <v>8605</v>
      </c>
      <c r="D375" s="95" t="s">
        <v>6599</v>
      </c>
      <c r="E375" s="115"/>
      <c r="F375" s="86" t="s">
        <v>8320</v>
      </c>
      <c r="G375" s="80" t="s">
        <v>2964</v>
      </c>
      <c r="H375" s="99"/>
      <c r="I375" s="80" t="str">
        <f>IFERROR(VLOOKUP(B375, '02. MM-KLH'!$B:$K, 9, FALSE),"")</f>
        <v/>
      </c>
      <c r="J375" s="106"/>
      <c r="K375" s="1369"/>
      <c r="L375" s="1370" t="s">
        <v>743</v>
      </c>
      <c r="M375" s="108" t="s">
        <v>148</v>
      </c>
      <c r="N375" s="80">
        <v>2018.0</v>
      </c>
      <c r="O375" s="80" t="s">
        <v>860</v>
      </c>
      <c r="P375" s="106" t="s">
        <v>861</v>
      </c>
      <c r="Q375" s="108" t="s">
        <v>3125</v>
      </c>
      <c r="R375" s="110" t="s">
        <v>96</v>
      </c>
    </row>
    <row r="376" ht="13.5" customHeight="1">
      <c r="A376" s="80">
        <v>41.0</v>
      </c>
      <c r="B376" s="84" t="s">
        <v>8606</v>
      </c>
      <c r="C376" s="95" t="s">
        <v>8592</v>
      </c>
      <c r="D376" s="95" t="s">
        <v>8589</v>
      </c>
      <c r="E376" s="115"/>
      <c r="F376" s="86" t="s">
        <v>8320</v>
      </c>
      <c r="G376" s="80" t="s">
        <v>2964</v>
      </c>
      <c r="H376" s="99"/>
      <c r="I376" s="80" t="str">
        <f>IFERROR(VLOOKUP(B376, '02. MM-KLH'!$B:$K, 9, FALSE),"")</f>
        <v/>
      </c>
      <c r="J376" s="106"/>
      <c r="K376" s="1369"/>
      <c r="L376" s="1370" t="s">
        <v>743</v>
      </c>
      <c r="M376" s="108" t="s">
        <v>148</v>
      </c>
      <c r="N376" s="80">
        <v>2018.0</v>
      </c>
      <c r="O376" s="80" t="s">
        <v>860</v>
      </c>
      <c r="P376" s="106" t="s">
        <v>861</v>
      </c>
      <c r="Q376" s="108" t="s">
        <v>1608</v>
      </c>
      <c r="R376" s="110" t="s">
        <v>96</v>
      </c>
    </row>
    <row r="377" ht="13.5" customHeight="1">
      <c r="A377" s="80">
        <v>42.0</v>
      </c>
      <c r="B377" s="84" t="s">
        <v>8607</v>
      </c>
      <c r="C377" s="95" t="s">
        <v>1422</v>
      </c>
      <c r="D377" s="95" t="s">
        <v>1411</v>
      </c>
      <c r="E377" s="115" t="s">
        <v>1422</v>
      </c>
      <c r="F377" s="86" t="s">
        <v>6476</v>
      </c>
      <c r="G377" s="80" t="s">
        <v>2964</v>
      </c>
      <c r="H377" s="99"/>
      <c r="I377" s="80" t="str">
        <f>IFERROR(VLOOKUP(B377, '02. MM-KLH'!$B:$K, 9, FALSE),"")</f>
        <v/>
      </c>
      <c r="J377" s="106"/>
      <c r="K377" s="1369"/>
      <c r="L377" s="1370" t="s">
        <v>454</v>
      </c>
      <c r="M377" s="108" t="s">
        <v>84</v>
      </c>
      <c r="N377" s="80">
        <v>2019.0</v>
      </c>
      <c r="O377" s="80" t="s">
        <v>878</v>
      </c>
      <c r="P377" s="106" t="s">
        <v>101</v>
      </c>
      <c r="Q377" s="235" t="s">
        <v>2501</v>
      </c>
      <c r="R377" s="110" t="s">
        <v>96</v>
      </c>
    </row>
    <row r="378" ht="13.5" customHeight="1">
      <c r="A378" s="80">
        <v>43.0</v>
      </c>
      <c r="B378" s="84" t="s">
        <v>8608</v>
      </c>
      <c r="C378" s="95" t="s">
        <v>1422</v>
      </c>
      <c r="D378" s="95" t="s">
        <v>6603</v>
      </c>
      <c r="E378" s="115" t="s">
        <v>1422</v>
      </c>
      <c r="F378" s="86" t="s">
        <v>6476</v>
      </c>
      <c r="G378" s="80" t="s">
        <v>2964</v>
      </c>
      <c r="H378" s="99"/>
      <c r="I378" s="80" t="str">
        <f>IFERROR(VLOOKUP(B378, '02. MM-KLH'!$B:$K, 9, FALSE),"")</f>
        <v/>
      </c>
      <c r="J378" s="106"/>
      <c r="K378" s="1369"/>
      <c r="L378" s="1370" t="s">
        <v>454</v>
      </c>
      <c r="M378" s="108" t="s">
        <v>84</v>
      </c>
      <c r="N378" s="80">
        <v>2019.0</v>
      </c>
      <c r="O378" s="80" t="s">
        <v>878</v>
      </c>
      <c r="P378" s="106" t="s">
        <v>101</v>
      </c>
      <c r="Q378" s="108">
        <v>14793.0</v>
      </c>
      <c r="R378" s="110" t="s">
        <v>96</v>
      </c>
    </row>
    <row r="379" ht="13.5" customHeight="1">
      <c r="A379" s="80">
        <v>44.0</v>
      </c>
      <c r="B379" s="84" t="s">
        <v>3119</v>
      </c>
      <c r="C379" s="95" t="s">
        <v>8593</v>
      </c>
      <c r="D379" s="95" t="s">
        <v>6605</v>
      </c>
      <c r="E379" s="115"/>
      <c r="F379" s="86" t="s">
        <v>6466</v>
      </c>
      <c r="G379" s="80" t="s">
        <v>2964</v>
      </c>
      <c r="H379" s="99"/>
      <c r="I379" s="80" t="str">
        <f>IFERROR(VLOOKUP(B379, '02. MM-KLH'!$B:$K, 9, FALSE),"")</f>
        <v/>
      </c>
      <c r="J379" s="106"/>
      <c r="K379" s="1369"/>
      <c r="L379" s="1370" t="s">
        <v>454</v>
      </c>
      <c r="M379" s="108" t="s">
        <v>84</v>
      </c>
      <c r="N379" s="80">
        <v>2013.0</v>
      </c>
      <c r="O379" s="80" t="s">
        <v>791</v>
      </c>
      <c r="P379" s="106" t="s">
        <v>3121</v>
      </c>
      <c r="Q379" s="108" t="s">
        <v>3122</v>
      </c>
      <c r="R379" s="110" t="s">
        <v>96</v>
      </c>
    </row>
    <row r="380" ht="13.5" customHeight="1">
      <c r="A380" s="80">
        <v>45.0</v>
      </c>
      <c r="B380" s="86" t="s">
        <v>2497</v>
      </c>
      <c r="C380" s="95" t="s">
        <v>6657</v>
      </c>
      <c r="D380" s="95"/>
      <c r="E380" s="115"/>
      <c r="F380" s="86" t="s">
        <v>8320</v>
      </c>
      <c r="G380" s="80" t="s">
        <v>66</v>
      </c>
      <c r="H380" s="99"/>
      <c r="I380" s="80" t="str">
        <f>IFERROR(VLOOKUP(B380, '02. MM-KLH'!$B:$K, 9, FALSE),"")</f>
        <v/>
      </c>
      <c r="J380" s="106"/>
      <c r="K380" s="1369"/>
      <c r="L380" s="1370" t="s">
        <v>8587</v>
      </c>
      <c r="M380" s="108" t="s">
        <v>148</v>
      </c>
      <c r="N380" s="80">
        <v>2018.0</v>
      </c>
      <c r="O380" s="80" t="s">
        <v>860</v>
      </c>
      <c r="P380" s="106" t="s">
        <v>861</v>
      </c>
      <c r="Q380" s="108">
        <v>180069.0</v>
      </c>
      <c r="R380" s="110" t="s">
        <v>96</v>
      </c>
    </row>
    <row r="381" ht="13.5" customHeight="1">
      <c r="A381" s="80">
        <v>46.0</v>
      </c>
      <c r="B381" s="84" t="s">
        <v>2604</v>
      </c>
      <c r="C381" s="95" t="s">
        <v>6672</v>
      </c>
      <c r="D381" s="95"/>
      <c r="E381" s="115"/>
      <c r="F381" s="86" t="s">
        <v>6466</v>
      </c>
      <c r="G381" s="80" t="s">
        <v>67</v>
      </c>
      <c r="H381" s="99"/>
      <c r="I381" s="80" t="str">
        <f>IFERROR(VLOOKUP(B381, '02. MM-KLH'!$B:$K, 9, FALSE),"")</f>
        <v/>
      </c>
      <c r="J381" s="106"/>
      <c r="K381" s="1369"/>
      <c r="L381" s="1370" t="s">
        <v>454</v>
      </c>
      <c r="M381" s="108" t="s">
        <v>84</v>
      </c>
      <c r="N381" s="80">
        <v>2013.0</v>
      </c>
      <c r="O381" s="80" t="s">
        <v>791</v>
      </c>
      <c r="P381" s="106" t="s">
        <v>792</v>
      </c>
      <c r="Q381" s="108" t="s">
        <v>2605</v>
      </c>
      <c r="R381" s="110" t="s">
        <v>96</v>
      </c>
    </row>
    <row r="382" ht="13.5" customHeight="1">
      <c r="A382" s="80">
        <v>47.0</v>
      </c>
      <c r="B382" s="84" t="s">
        <v>2606</v>
      </c>
      <c r="C382" s="95" t="s">
        <v>6673</v>
      </c>
      <c r="D382" s="95"/>
      <c r="E382" s="115"/>
      <c r="F382" s="86" t="s">
        <v>6450</v>
      </c>
      <c r="G382" s="80" t="s">
        <v>67</v>
      </c>
      <c r="H382" s="99"/>
      <c r="I382" s="80" t="str">
        <f>IFERROR(VLOOKUP(B382, '02. MM-KLH'!$B:$K, 9, FALSE),"")</f>
        <v/>
      </c>
      <c r="J382" s="106"/>
      <c r="K382" s="1369"/>
      <c r="L382" s="1370" t="s">
        <v>2609</v>
      </c>
      <c r="M382" s="108" t="s">
        <v>84</v>
      </c>
      <c r="N382" s="80"/>
      <c r="O382" s="80"/>
      <c r="P382" s="106"/>
      <c r="Q382" s="108" t="s">
        <v>2610</v>
      </c>
      <c r="R382" s="110" t="s">
        <v>96</v>
      </c>
    </row>
    <row r="383" ht="13.5" customHeight="1">
      <c r="A383" s="80">
        <v>48.0</v>
      </c>
      <c r="B383" s="84" t="s">
        <v>2552</v>
      </c>
      <c r="C383" s="95" t="s">
        <v>6663</v>
      </c>
      <c r="D383" s="95"/>
      <c r="E383" s="115"/>
      <c r="F383" s="86" t="s">
        <v>8320</v>
      </c>
      <c r="G383" s="80" t="s">
        <v>67</v>
      </c>
      <c r="H383" s="99"/>
      <c r="I383" s="80" t="str">
        <f>IFERROR(VLOOKUP(B383, '02. MM-KLH'!$B:$K, 9, FALSE),"")</f>
        <v/>
      </c>
      <c r="J383" s="106"/>
      <c r="K383" s="1369"/>
      <c r="L383" s="1370" t="s">
        <v>743</v>
      </c>
      <c r="M383" s="108" t="s">
        <v>148</v>
      </c>
      <c r="N383" s="80">
        <v>2012.0</v>
      </c>
      <c r="O383" s="80" t="s">
        <v>860</v>
      </c>
      <c r="P383" s="106" t="s">
        <v>861</v>
      </c>
      <c r="Q383" s="108" t="s">
        <v>2553</v>
      </c>
      <c r="R383" s="110" t="s">
        <v>96</v>
      </c>
    </row>
    <row r="384" ht="13.5" customHeight="1">
      <c r="A384" s="80">
        <v>49.0</v>
      </c>
      <c r="B384" s="84" t="s">
        <v>2611</v>
      </c>
      <c r="C384" s="95" t="s">
        <v>6674</v>
      </c>
      <c r="D384" s="95"/>
      <c r="E384" s="115"/>
      <c r="F384" s="86" t="s">
        <v>8320</v>
      </c>
      <c r="G384" s="80" t="s">
        <v>67</v>
      </c>
      <c r="H384" s="99"/>
      <c r="I384" s="80" t="str">
        <f>IFERROR(VLOOKUP(B384, '02. MM-KLH'!$B:$K, 9, FALSE),"")</f>
        <v/>
      </c>
      <c r="J384" s="106"/>
      <c r="K384" s="1369"/>
      <c r="L384" s="1370" t="s">
        <v>743</v>
      </c>
      <c r="M384" s="108" t="s">
        <v>148</v>
      </c>
      <c r="N384" s="80">
        <v>2012.0</v>
      </c>
      <c r="O384" s="80" t="s">
        <v>860</v>
      </c>
      <c r="P384" s="106" t="s">
        <v>861</v>
      </c>
      <c r="Q384" s="108" t="s">
        <v>2612</v>
      </c>
      <c r="R384" s="110" t="s">
        <v>96</v>
      </c>
    </row>
    <row r="385" ht="13.5" customHeight="1">
      <c r="A385" s="80">
        <v>50.0</v>
      </c>
      <c r="B385" s="84" t="s">
        <v>8610</v>
      </c>
      <c r="C385" s="95" t="s">
        <v>1422</v>
      </c>
      <c r="D385" s="95"/>
      <c r="E385" s="115" t="s">
        <v>1422</v>
      </c>
      <c r="F385" s="86" t="s">
        <v>6476</v>
      </c>
      <c r="G385" s="80" t="s">
        <v>2657</v>
      </c>
      <c r="H385" s="99"/>
      <c r="I385" s="80" t="s">
        <v>1027</v>
      </c>
      <c r="J385" s="106"/>
      <c r="K385" s="1369" t="s">
        <v>2648</v>
      </c>
      <c r="L385" s="1370" t="s">
        <v>454</v>
      </c>
      <c r="M385" s="108" t="s">
        <v>84</v>
      </c>
      <c r="N385" s="80">
        <v>2019.0</v>
      </c>
      <c r="O385" s="80" t="s">
        <v>878</v>
      </c>
      <c r="P385" s="106" t="s">
        <v>101</v>
      </c>
      <c r="Q385" s="108">
        <v>1659.0</v>
      </c>
      <c r="R385" s="110" t="s">
        <v>96</v>
      </c>
    </row>
    <row r="386" ht="13.5" customHeight="1">
      <c r="A386" s="80">
        <v>51.0</v>
      </c>
      <c r="B386" s="115" t="s">
        <v>1698</v>
      </c>
      <c r="C386" s="95" t="s">
        <v>6615</v>
      </c>
      <c r="D386" s="95"/>
      <c r="E386" s="115"/>
      <c r="F386" s="115" t="s">
        <v>8316</v>
      </c>
      <c r="G386" s="1463" t="s">
        <v>836</v>
      </c>
      <c r="H386" s="95" t="s">
        <v>7663</v>
      </c>
      <c r="I386" s="80" t="str">
        <f>IFERROR(VLOOKUP(B386, '02. MM-KLH'!$B:$K, 9, FALSE),"")</f>
        <v>30/07/2024</v>
      </c>
      <c r="J386" s="119"/>
      <c r="K386" s="1372"/>
      <c r="L386" s="1467"/>
      <c r="M386" s="110"/>
      <c r="N386" s="95"/>
      <c r="O386" s="95"/>
      <c r="P386" s="95"/>
      <c r="Q386" s="110"/>
      <c r="R386" s="110"/>
    </row>
    <row r="387" ht="13.5" customHeight="1">
      <c r="A387" s="80">
        <v>52.0</v>
      </c>
      <c r="B387" s="115" t="s">
        <v>1701</v>
      </c>
      <c r="C387" s="95" t="s">
        <v>6616</v>
      </c>
      <c r="D387" s="95"/>
      <c r="E387" s="115"/>
      <c r="F387" s="115" t="s">
        <v>8316</v>
      </c>
      <c r="G387" s="1463" t="s">
        <v>836</v>
      </c>
      <c r="H387" s="95" t="s">
        <v>7663</v>
      </c>
      <c r="I387" s="80" t="str">
        <f>IFERROR(VLOOKUP(B387, '02. MM-KLH'!$B:$K, 9, FALSE),"")</f>
        <v>30/07/2024</v>
      </c>
      <c r="J387" s="119"/>
      <c r="K387" s="1372"/>
      <c r="L387" s="1467"/>
      <c r="M387" s="110"/>
      <c r="N387" s="95"/>
      <c r="O387" s="95"/>
      <c r="P387" s="95"/>
      <c r="Q387" s="110"/>
      <c r="R387" s="110"/>
    </row>
    <row r="388" ht="13.5" customHeight="1">
      <c r="A388" s="80">
        <v>53.0</v>
      </c>
      <c r="B388" s="115" t="s">
        <v>1705</v>
      </c>
      <c r="C388" s="95" t="s">
        <v>6617</v>
      </c>
      <c r="D388" s="72"/>
      <c r="E388" s="75"/>
      <c r="F388" s="115" t="s">
        <v>8611</v>
      </c>
      <c r="G388" s="1463" t="s">
        <v>836</v>
      </c>
      <c r="H388" s="95"/>
      <c r="I388" s="80" t="str">
        <f>IFERROR(VLOOKUP(B388, '02. MM-KLH'!$B:$K, 9, FALSE),"")</f>
        <v>30/08/2024</v>
      </c>
      <c r="J388" s="72"/>
      <c r="K388" s="1366"/>
      <c r="L388" s="1468"/>
      <c r="M388" s="75"/>
      <c r="N388" s="75"/>
      <c r="O388" s="75"/>
      <c r="P388" s="75"/>
      <c r="Q388" s="75"/>
      <c r="R388" s="75"/>
    </row>
    <row r="389" ht="13.5" customHeight="1">
      <c r="A389" s="80">
        <v>54.0</v>
      </c>
      <c r="B389" s="115" t="s">
        <v>1711</v>
      </c>
      <c r="C389" s="95" t="s">
        <v>6618</v>
      </c>
      <c r="D389" s="72"/>
      <c r="E389" s="75"/>
      <c r="F389" s="115" t="s">
        <v>8612</v>
      </c>
      <c r="G389" s="1463" t="s">
        <v>836</v>
      </c>
      <c r="H389" s="95"/>
      <c r="I389" s="80" t="str">
        <f>IFERROR(VLOOKUP(B389, '02. MM-KLH'!$B:$K, 9, FALSE),"")</f>
        <v>30/08/2024</v>
      </c>
      <c r="J389" s="72"/>
      <c r="K389" s="1366"/>
      <c r="L389" s="1468"/>
      <c r="M389" s="75"/>
      <c r="N389" s="75"/>
      <c r="O389" s="75"/>
      <c r="P389" s="75"/>
      <c r="Q389" s="75"/>
      <c r="R389" s="75"/>
    </row>
    <row r="390" ht="13.5" customHeight="1">
      <c r="A390" s="80">
        <v>55.0</v>
      </c>
      <c r="B390" s="115" t="s">
        <v>1715</v>
      </c>
      <c r="C390" s="95" t="s">
        <v>6619</v>
      </c>
      <c r="D390" s="72"/>
      <c r="E390" s="75"/>
      <c r="F390" s="115" t="s">
        <v>8613</v>
      </c>
      <c r="G390" s="1463" t="s">
        <v>836</v>
      </c>
      <c r="H390" s="116">
        <v>45360.0</v>
      </c>
      <c r="I390" s="80">
        <f>IFERROR(VLOOKUP(B390, '02. MM-KLH'!$B:$K, 9, FALSE),"")</f>
        <v>45360</v>
      </c>
      <c r="J390" s="72"/>
      <c r="K390" s="1366"/>
      <c r="L390" s="1468"/>
      <c r="M390" s="75"/>
      <c r="N390" s="75"/>
      <c r="O390" s="75"/>
      <c r="P390" s="75"/>
      <c r="Q390" s="75"/>
      <c r="R390" s="75"/>
    </row>
    <row r="391" ht="13.5" customHeight="1">
      <c r="A391" s="80">
        <v>56.0</v>
      </c>
      <c r="B391" s="115" t="s">
        <v>1718</v>
      </c>
      <c r="C391" s="95" t="s">
        <v>6621</v>
      </c>
      <c r="D391" s="72"/>
      <c r="E391" s="75"/>
      <c r="F391" s="115" t="s">
        <v>8614</v>
      </c>
      <c r="G391" s="1463" t="s">
        <v>836</v>
      </c>
      <c r="H391" s="116">
        <v>45360.0</v>
      </c>
      <c r="I391" s="80">
        <f>IFERROR(VLOOKUP(B391, '02. MM-KLH'!$B:$K, 9, FALSE),"")</f>
        <v>45360</v>
      </c>
      <c r="J391" s="72"/>
      <c r="K391" s="1366"/>
      <c r="L391" s="1468"/>
      <c r="M391" s="75"/>
      <c r="N391" s="75"/>
      <c r="O391" s="75"/>
      <c r="P391" s="75"/>
      <c r="Q391" s="75"/>
      <c r="R391" s="75"/>
    </row>
    <row r="392" ht="13.5" customHeight="1">
      <c r="A392" s="151" t="s">
        <v>8615</v>
      </c>
      <c r="B392" s="152" t="s">
        <v>8616</v>
      </c>
      <c r="C392" s="72"/>
      <c r="D392" s="72"/>
      <c r="E392" s="75"/>
      <c r="F392" s="72"/>
      <c r="G392" s="75"/>
      <c r="H392" s="95"/>
      <c r="I392" s="80" t="str">
        <f>IFERROR(VLOOKUP(B392, '02. MM-KLH'!$B:$K, 9, FALSE),"")</f>
        <v/>
      </c>
      <c r="J392" s="72"/>
      <c r="K392" s="1366"/>
      <c r="L392" s="1367"/>
      <c r="M392" s="75"/>
      <c r="N392" s="75"/>
      <c r="O392" s="75"/>
      <c r="P392" s="75"/>
      <c r="Q392" s="75"/>
      <c r="R392" s="75"/>
    </row>
    <row r="393" ht="13.5" customHeight="1">
      <c r="A393" s="95">
        <v>1.0</v>
      </c>
      <c r="B393" s="84" t="s">
        <v>1912</v>
      </c>
      <c r="C393" s="95" t="s">
        <v>5960</v>
      </c>
      <c r="D393" s="95" t="s">
        <v>8617</v>
      </c>
      <c r="E393" s="115" t="s">
        <v>5960</v>
      </c>
      <c r="F393" s="86" t="s">
        <v>1783</v>
      </c>
      <c r="G393" s="80" t="s">
        <v>836</v>
      </c>
      <c r="H393" s="99"/>
      <c r="I393" s="80" t="str">
        <f>IFERROR(VLOOKUP(B393, '02. MM-KLH'!$B:$K, 9, FALSE),"")</f>
        <v/>
      </c>
      <c r="J393" s="102"/>
      <c r="K393" s="1369"/>
      <c r="L393" s="1370" t="s">
        <v>1915</v>
      </c>
      <c r="M393" s="108" t="s">
        <v>883</v>
      </c>
      <c r="N393" s="80"/>
      <c r="O393" s="80" t="s">
        <v>1916</v>
      </c>
      <c r="P393" s="106" t="s">
        <v>1917</v>
      </c>
      <c r="Q393" s="108">
        <v>90516.0</v>
      </c>
      <c r="R393" s="110" t="s">
        <v>96</v>
      </c>
    </row>
    <row r="394" ht="13.5" customHeight="1">
      <c r="A394" s="95">
        <v>2.0</v>
      </c>
      <c r="B394" s="84" t="s">
        <v>1918</v>
      </c>
      <c r="C394" s="95" t="s">
        <v>6627</v>
      </c>
      <c r="D394" s="95" t="s">
        <v>6627</v>
      </c>
      <c r="E394" s="115"/>
      <c r="F394" s="86" t="s">
        <v>1727</v>
      </c>
      <c r="G394" s="80" t="s">
        <v>836</v>
      </c>
      <c r="H394" s="99"/>
      <c r="I394" s="80" t="str">
        <f>IFERROR(VLOOKUP(B394, '02. MM-KLH'!$B:$K, 9, FALSE),"")</f>
        <v/>
      </c>
      <c r="J394" s="106"/>
      <c r="K394" s="1369"/>
      <c r="L394" s="1370" t="s">
        <v>123</v>
      </c>
      <c r="M394" s="108" t="s">
        <v>84</v>
      </c>
      <c r="N394" s="80">
        <v>2020.0</v>
      </c>
      <c r="O394" s="80" t="s">
        <v>1920</v>
      </c>
      <c r="P394" s="106" t="s">
        <v>1728</v>
      </c>
      <c r="Q394" s="108">
        <v>50183.0</v>
      </c>
      <c r="R394" s="110" t="s">
        <v>96</v>
      </c>
    </row>
    <row r="395" ht="13.5" customHeight="1">
      <c r="A395" s="95">
        <v>3.0</v>
      </c>
      <c r="B395" s="113" t="s">
        <v>1921</v>
      </c>
      <c r="C395" s="95" t="s">
        <v>6628</v>
      </c>
      <c r="D395" s="95" t="s">
        <v>6628</v>
      </c>
      <c r="E395" s="115"/>
      <c r="F395" s="115" t="s">
        <v>1695</v>
      </c>
      <c r="G395" s="95" t="s">
        <v>836</v>
      </c>
      <c r="H395" s="116">
        <v>44208.0</v>
      </c>
      <c r="I395" s="80">
        <f>IFERROR(VLOOKUP(B395, '02. MM-KLH'!$B:$K, 9, FALSE),"")</f>
        <v>44208</v>
      </c>
      <c r="J395" s="119"/>
      <c r="K395" s="1372"/>
      <c r="L395" s="1373" t="s">
        <v>123</v>
      </c>
      <c r="M395" s="110" t="s">
        <v>84</v>
      </c>
      <c r="N395" s="95">
        <v>2020.0</v>
      </c>
      <c r="O395" s="95" t="s">
        <v>1923</v>
      </c>
      <c r="P395" s="95" t="s">
        <v>1924</v>
      </c>
      <c r="Q395" s="110">
        <v>50100.0</v>
      </c>
      <c r="R395" s="110">
        <v>18033.0</v>
      </c>
    </row>
    <row r="396" ht="13.5" customHeight="1">
      <c r="A396" s="95">
        <v>4.0</v>
      </c>
      <c r="B396" s="113" t="s">
        <v>1925</v>
      </c>
      <c r="C396" s="95" t="s">
        <v>5965</v>
      </c>
      <c r="D396" s="95" t="s">
        <v>8618</v>
      </c>
      <c r="E396" s="115" t="s">
        <v>5965</v>
      </c>
      <c r="F396" s="115" t="s">
        <v>1577</v>
      </c>
      <c r="G396" s="95" t="s">
        <v>836</v>
      </c>
      <c r="H396" s="116">
        <v>45292.0</v>
      </c>
      <c r="I396" s="80">
        <f>IFERROR(VLOOKUP(B396, '02. MM-KLH'!$B:$K, 9, FALSE),"")</f>
        <v>45292</v>
      </c>
      <c r="J396" s="117">
        <v>0.98</v>
      </c>
      <c r="K396" s="1372"/>
      <c r="L396" s="1373" t="s">
        <v>1926</v>
      </c>
      <c r="M396" s="110" t="s">
        <v>1927</v>
      </c>
      <c r="N396" s="95">
        <v>2018.0</v>
      </c>
      <c r="O396" s="95" t="s">
        <v>1928</v>
      </c>
      <c r="P396" s="119" t="s">
        <v>262</v>
      </c>
      <c r="Q396" s="110" t="s">
        <v>1929</v>
      </c>
      <c r="R396" s="110" t="s">
        <v>1930</v>
      </c>
    </row>
    <row r="397" ht="13.5" customHeight="1">
      <c r="A397" s="95">
        <v>5.0</v>
      </c>
      <c r="B397" s="84" t="s">
        <v>1931</v>
      </c>
      <c r="C397" s="95" t="s">
        <v>5967</v>
      </c>
      <c r="D397" s="95" t="s">
        <v>8619</v>
      </c>
      <c r="E397" s="115" t="s">
        <v>5967</v>
      </c>
      <c r="F397" s="86" t="s">
        <v>8620</v>
      </c>
      <c r="G397" s="80" t="s">
        <v>836</v>
      </c>
      <c r="H397" s="99" t="s">
        <v>1932</v>
      </c>
      <c r="I397" s="80" t="str">
        <f>IFERROR(VLOOKUP(B397, '02. MM-KLH'!$B:$K, 9, FALSE),"")</f>
        <v>15/12/2023</v>
      </c>
      <c r="J397" s="102">
        <v>0.97</v>
      </c>
      <c r="K397" s="1369" t="s">
        <v>890</v>
      </c>
      <c r="L397" s="1370" t="s">
        <v>1933</v>
      </c>
      <c r="M397" s="108" t="s">
        <v>883</v>
      </c>
      <c r="N397" s="80">
        <v>2023.0</v>
      </c>
      <c r="O397" s="80" t="s">
        <v>1934</v>
      </c>
      <c r="P397" s="106" t="s">
        <v>8621</v>
      </c>
      <c r="Q397" s="108" t="s">
        <v>1935</v>
      </c>
      <c r="R397" s="110" t="s">
        <v>1936</v>
      </c>
    </row>
    <row r="398" ht="13.5" customHeight="1">
      <c r="A398" s="95">
        <v>6.0</v>
      </c>
      <c r="B398" s="86" t="s">
        <v>1937</v>
      </c>
      <c r="C398" s="95" t="s">
        <v>5968</v>
      </c>
      <c r="D398" s="95" t="s">
        <v>8622</v>
      </c>
      <c r="E398" s="115" t="s">
        <v>5968</v>
      </c>
      <c r="F398" s="86" t="s">
        <v>1396</v>
      </c>
      <c r="G398" s="80" t="s">
        <v>836</v>
      </c>
      <c r="H398" s="80" t="s">
        <v>1939</v>
      </c>
      <c r="I398" s="80" t="str">
        <f>IFERROR(VLOOKUP(B398, '02. MM-KLH'!$B:$K, 9, FALSE),"")</f>
        <v>30/01/2024</v>
      </c>
      <c r="J398" s="102">
        <v>0.98</v>
      </c>
      <c r="K398" s="1371" t="s">
        <v>336</v>
      </c>
      <c r="L398" s="1387" t="s">
        <v>6631</v>
      </c>
      <c r="M398" s="108" t="s">
        <v>260</v>
      </c>
      <c r="N398" s="80">
        <v>2022.0</v>
      </c>
      <c r="O398" s="80" t="s">
        <v>1941</v>
      </c>
      <c r="P398" s="80" t="s">
        <v>413</v>
      </c>
      <c r="Q398" s="108" t="s">
        <v>1942</v>
      </c>
      <c r="R398" s="110" t="s">
        <v>1943</v>
      </c>
    </row>
    <row r="399" ht="13.5" customHeight="1">
      <c r="A399" s="95">
        <v>7.0</v>
      </c>
      <c r="B399" s="86" t="s">
        <v>1944</v>
      </c>
      <c r="C399" s="1375" t="s">
        <v>6632</v>
      </c>
      <c r="D399" s="95" t="s">
        <v>6632</v>
      </c>
      <c r="E399" s="115"/>
      <c r="F399" s="115" t="s">
        <v>1464</v>
      </c>
      <c r="G399" s="95" t="s">
        <v>836</v>
      </c>
      <c r="H399" s="116">
        <v>45633.0</v>
      </c>
      <c r="I399" s="80">
        <f>IFERROR(VLOOKUP(B399, '02. MM-KLH'!$B:$K, 9, FALSE),"")</f>
        <v>45633</v>
      </c>
      <c r="J399" s="117">
        <v>0.99</v>
      </c>
      <c r="K399" s="1388" t="s">
        <v>336</v>
      </c>
      <c r="L399" s="1404" t="s">
        <v>1933</v>
      </c>
      <c r="M399" s="108" t="s">
        <v>260</v>
      </c>
      <c r="N399" s="95">
        <v>2024.0</v>
      </c>
      <c r="O399" s="95" t="s">
        <v>1945</v>
      </c>
      <c r="P399" s="95" t="s">
        <v>1465</v>
      </c>
      <c r="Q399" s="110" t="s">
        <v>1946</v>
      </c>
      <c r="R399" s="110" t="s">
        <v>1947</v>
      </c>
    </row>
    <row r="400" ht="13.5" customHeight="1">
      <c r="A400" s="95">
        <v>8.0</v>
      </c>
      <c r="B400" s="86" t="s">
        <v>1948</v>
      </c>
      <c r="C400" s="95" t="s">
        <v>1949</v>
      </c>
      <c r="D400" s="95"/>
      <c r="E400" s="115"/>
      <c r="F400" s="86" t="s">
        <v>8623</v>
      </c>
      <c r="G400" s="95" t="s">
        <v>836</v>
      </c>
      <c r="H400" s="99" t="s">
        <v>1950</v>
      </c>
      <c r="I400" s="80" t="str">
        <f>IFERROR(VLOOKUP(B400, '02. MM-KLH'!$B:$K, 9, FALSE),"")</f>
        <v>16/08/2024</v>
      </c>
      <c r="J400" s="102"/>
      <c r="K400" s="1388" t="s">
        <v>336</v>
      </c>
      <c r="L400" s="1370"/>
      <c r="M400" s="108"/>
      <c r="N400" s="80"/>
      <c r="O400" s="80"/>
      <c r="P400" s="106"/>
      <c r="Q400" s="108"/>
      <c r="R400" s="110"/>
    </row>
    <row r="401" ht="13.5" customHeight="1">
      <c r="A401" s="95">
        <v>9.0</v>
      </c>
      <c r="B401" s="86" t="s">
        <v>2486</v>
      </c>
      <c r="C401" s="95" t="s">
        <v>5970</v>
      </c>
      <c r="D401" s="95" t="s">
        <v>8617</v>
      </c>
      <c r="E401" s="115" t="s">
        <v>5970</v>
      </c>
      <c r="F401" s="86" t="s">
        <v>1671</v>
      </c>
      <c r="G401" s="80" t="s">
        <v>65</v>
      </c>
      <c r="H401" s="99">
        <v>44197.0</v>
      </c>
      <c r="I401" s="80">
        <f>IFERROR(VLOOKUP(B401, '02. MM-KLH'!$B:$K, 9, FALSE),"")</f>
        <v>44197</v>
      </c>
      <c r="J401" s="102">
        <v>0.68</v>
      </c>
      <c r="K401" s="1369"/>
      <c r="L401" s="1370" t="s">
        <v>123</v>
      </c>
      <c r="M401" s="108" t="s">
        <v>84</v>
      </c>
      <c r="N401" s="80">
        <v>1994.0</v>
      </c>
      <c r="O401" s="80" t="s">
        <v>2487</v>
      </c>
      <c r="P401" s="106" t="s">
        <v>1917</v>
      </c>
      <c r="Q401" s="108" t="s">
        <v>2488</v>
      </c>
      <c r="R401" s="110" t="s">
        <v>2489</v>
      </c>
    </row>
    <row r="402" ht="13.5" customHeight="1">
      <c r="A402" s="95">
        <v>10.0</v>
      </c>
      <c r="B402" s="86" t="s">
        <v>2490</v>
      </c>
      <c r="C402" s="95" t="s">
        <v>5971</v>
      </c>
      <c r="D402" s="95" t="s">
        <v>6627</v>
      </c>
      <c r="E402" s="115" t="s">
        <v>5971</v>
      </c>
      <c r="F402" s="86" t="s">
        <v>8624</v>
      </c>
      <c r="G402" s="80" t="s">
        <v>65</v>
      </c>
      <c r="H402" s="80" t="s">
        <v>2492</v>
      </c>
      <c r="I402" s="80" t="str">
        <f>IFERROR(VLOOKUP(B402, '02. MM-KLH'!$B:$K, 9, FALSE),"")</f>
        <v>24/01/2024</v>
      </c>
      <c r="J402" s="102">
        <v>0.97</v>
      </c>
      <c r="K402" s="1369"/>
      <c r="L402" s="1387" t="s">
        <v>123</v>
      </c>
      <c r="M402" s="108" t="s">
        <v>222</v>
      </c>
      <c r="N402" s="80">
        <v>2021.0</v>
      </c>
      <c r="O402" s="80" t="s">
        <v>2487</v>
      </c>
      <c r="P402" s="80" t="s">
        <v>1672</v>
      </c>
      <c r="Q402" s="108" t="s">
        <v>8625</v>
      </c>
      <c r="R402" s="110" t="s">
        <v>8626</v>
      </c>
    </row>
    <row r="403" ht="13.5" customHeight="1">
      <c r="A403" s="151" t="s">
        <v>8627</v>
      </c>
      <c r="B403" s="152" t="s">
        <v>8628</v>
      </c>
      <c r="C403" s="72"/>
      <c r="D403" s="72"/>
      <c r="E403" s="75"/>
      <c r="F403" s="72"/>
      <c r="G403" s="75"/>
      <c r="H403" s="79"/>
      <c r="I403" s="79" t="str">
        <f>IFERROR(VLOOKUP(B403, '02. MM-KLH'!$B:$K, 9, FALSE),"")</f>
        <v/>
      </c>
      <c r="J403" s="72"/>
      <c r="K403" s="1366"/>
      <c r="L403" s="1367"/>
      <c r="M403" s="75"/>
      <c r="N403" s="75"/>
      <c r="O403" s="75"/>
      <c r="P403" s="75"/>
      <c r="Q403" s="75"/>
      <c r="R403" s="75"/>
    </row>
    <row r="404" ht="13.5" customHeight="1">
      <c r="A404" s="95">
        <v>1.0</v>
      </c>
      <c r="B404" s="113" t="s">
        <v>1998</v>
      </c>
      <c r="C404" s="95" t="s">
        <v>5838</v>
      </c>
      <c r="D404" s="95" t="s">
        <v>6675</v>
      </c>
      <c r="E404" s="115" t="s">
        <v>5838</v>
      </c>
      <c r="F404" s="115" t="s">
        <v>1346</v>
      </c>
      <c r="G404" s="95" t="s">
        <v>836</v>
      </c>
      <c r="H404" s="116"/>
      <c r="I404" s="80" t="str">
        <f>IFERROR(VLOOKUP(B404, '02. MM-KLH'!$B:$K, 9, FALSE),"")</f>
        <v/>
      </c>
      <c r="J404" s="119"/>
      <c r="K404" s="1372"/>
      <c r="L404" s="1373" t="s">
        <v>123</v>
      </c>
      <c r="M404" s="110" t="s">
        <v>84</v>
      </c>
      <c r="N404" s="95">
        <v>2015.0</v>
      </c>
      <c r="O404" s="95" t="s">
        <v>1999</v>
      </c>
      <c r="P404" s="119" t="s">
        <v>2000</v>
      </c>
      <c r="Q404" s="110">
        <v>838092.0</v>
      </c>
      <c r="R404" s="110" t="s">
        <v>2001</v>
      </c>
    </row>
    <row r="405" ht="13.5" customHeight="1">
      <c r="A405" s="95">
        <v>2.0</v>
      </c>
      <c r="B405" s="84" t="s">
        <v>2002</v>
      </c>
      <c r="C405" s="95" t="s">
        <v>5843</v>
      </c>
      <c r="D405" s="95" t="s">
        <v>6671</v>
      </c>
      <c r="E405" s="115" t="s">
        <v>5843</v>
      </c>
      <c r="F405" s="86" t="s">
        <v>2004</v>
      </c>
      <c r="G405" s="80" t="s">
        <v>836</v>
      </c>
      <c r="H405" s="99" t="s">
        <v>1932</v>
      </c>
      <c r="I405" s="80" t="str">
        <f>IFERROR(VLOOKUP(B405, '02. MM-KLH'!$B:$K, 9, FALSE),"")</f>
        <v>15/12/2023</v>
      </c>
      <c r="J405" s="102">
        <v>0.97</v>
      </c>
      <c r="K405" s="1369" t="s">
        <v>2005</v>
      </c>
      <c r="L405" s="1370" t="s">
        <v>123</v>
      </c>
      <c r="M405" s="108" t="s">
        <v>84</v>
      </c>
      <c r="N405" s="80">
        <v>2018.0</v>
      </c>
      <c r="O405" s="80" t="s">
        <v>2006</v>
      </c>
      <c r="P405" s="106" t="s">
        <v>1145</v>
      </c>
      <c r="Q405" s="108">
        <v>308754.0</v>
      </c>
      <c r="R405" s="110" t="s">
        <v>96</v>
      </c>
    </row>
    <row r="406" ht="13.5" customHeight="1">
      <c r="A406" s="95">
        <v>3.0</v>
      </c>
      <c r="B406" s="84" t="s">
        <v>2007</v>
      </c>
      <c r="C406" s="95" t="s">
        <v>5838</v>
      </c>
      <c r="D406" s="95" t="s">
        <v>8629</v>
      </c>
      <c r="E406" s="115" t="s">
        <v>5838</v>
      </c>
      <c r="F406" s="86" t="s">
        <v>8630</v>
      </c>
      <c r="G406" s="80" t="s">
        <v>836</v>
      </c>
      <c r="H406" s="99"/>
      <c r="I406" s="80" t="str">
        <f>IFERROR(VLOOKUP(B406, '02. MM-KLH'!$B:$K, 9, FALSE),"")</f>
        <v/>
      </c>
      <c r="J406" s="102"/>
      <c r="K406" s="1369" t="s">
        <v>2005</v>
      </c>
      <c r="L406" s="1370" t="s">
        <v>123</v>
      </c>
      <c r="M406" s="108"/>
      <c r="N406" s="80"/>
      <c r="O406" s="80" t="s">
        <v>2008</v>
      </c>
      <c r="P406" s="80" t="s">
        <v>76</v>
      </c>
      <c r="Q406" s="108">
        <v>806003.0</v>
      </c>
      <c r="R406" s="110"/>
    </row>
    <row r="407" ht="13.5" customHeight="1">
      <c r="A407" s="95">
        <v>4.0</v>
      </c>
      <c r="B407" s="86" t="s">
        <v>2009</v>
      </c>
      <c r="C407" s="95" t="s">
        <v>2010</v>
      </c>
      <c r="D407" s="95"/>
      <c r="E407" s="115"/>
      <c r="F407" s="86" t="s">
        <v>8631</v>
      </c>
      <c r="G407" s="80" t="s">
        <v>836</v>
      </c>
      <c r="H407" s="99"/>
      <c r="I407" s="80" t="str">
        <f>IFERROR(VLOOKUP(B407, '02. MM-KLH'!$B:$K, 9, FALSE),"")</f>
        <v>17/01/2025</v>
      </c>
      <c r="J407" s="106"/>
      <c r="K407" s="1369"/>
      <c r="L407" s="1370"/>
      <c r="M407" s="108"/>
      <c r="N407" s="80"/>
      <c r="O407" s="80"/>
      <c r="P407" s="106"/>
      <c r="Q407" s="108"/>
      <c r="R407" s="110"/>
    </row>
    <row r="408" ht="13.5" customHeight="1">
      <c r="A408" s="95">
        <v>5.0</v>
      </c>
      <c r="B408" s="84" t="s">
        <v>2614</v>
      </c>
      <c r="C408" s="95" t="s">
        <v>6675</v>
      </c>
      <c r="D408" s="95"/>
      <c r="E408" s="115"/>
      <c r="F408" s="86" t="s">
        <v>8632</v>
      </c>
      <c r="G408" s="80" t="s">
        <v>67</v>
      </c>
      <c r="H408" s="99"/>
      <c r="I408" s="80" t="str">
        <f>IFERROR(VLOOKUP(B408, '02. MM-KLH'!$B:$K, 9, FALSE),"")</f>
        <v/>
      </c>
      <c r="J408" s="106"/>
      <c r="K408" s="1369"/>
      <c r="L408" s="1370" t="s">
        <v>2617</v>
      </c>
      <c r="M408" s="108" t="s">
        <v>84</v>
      </c>
      <c r="N408" s="80"/>
      <c r="O408" s="80"/>
      <c r="P408" s="106"/>
      <c r="Q408" s="108">
        <v>31059.0</v>
      </c>
      <c r="R408" s="110" t="s">
        <v>2618</v>
      </c>
    </row>
    <row r="409" ht="13.5" customHeight="1">
      <c r="A409" s="95">
        <v>6.0</v>
      </c>
      <c r="B409" s="84" t="s">
        <v>2599</v>
      </c>
      <c r="C409" s="95" t="s">
        <v>6671</v>
      </c>
      <c r="D409" s="95"/>
      <c r="E409" s="115"/>
      <c r="F409" s="86" t="s">
        <v>2601</v>
      </c>
      <c r="G409" s="80" t="s">
        <v>67</v>
      </c>
      <c r="H409" s="99"/>
      <c r="I409" s="80" t="str">
        <f>IFERROR(VLOOKUP(B409, '02. MM-KLH'!$B:$K, 9, FALSE),"")</f>
        <v/>
      </c>
      <c r="J409" s="106"/>
      <c r="K409" s="1369"/>
      <c r="L409" s="1370"/>
      <c r="M409" s="108"/>
      <c r="N409" s="80"/>
      <c r="O409" s="80"/>
      <c r="P409" s="106"/>
      <c r="Q409" s="108" t="s">
        <v>2602</v>
      </c>
      <c r="R409" s="110" t="s">
        <v>96</v>
      </c>
    </row>
    <row r="410" ht="13.5" customHeight="1">
      <c r="A410" s="151" t="s">
        <v>8633</v>
      </c>
      <c r="B410" s="152" t="s">
        <v>8634</v>
      </c>
      <c r="C410" s="72"/>
      <c r="D410" s="72"/>
      <c r="E410" s="75"/>
      <c r="F410" s="72"/>
      <c r="G410" s="75"/>
      <c r="H410" s="79"/>
      <c r="I410" s="79" t="str">
        <f>IFERROR(VLOOKUP(B410, '02. MM-KLH'!$B:$K, 9, FALSE),"")</f>
        <v/>
      </c>
      <c r="J410" s="72"/>
      <c r="K410" s="1366"/>
      <c r="L410" s="1367"/>
      <c r="M410" s="75"/>
      <c r="N410" s="75"/>
      <c r="O410" s="75"/>
      <c r="P410" s="75"/>
      <c r="Q410" s="75"/>
      <c r="R410" s="75"/>
    </row>
    <row r="411" ht="13.5" customHeight="1">
      <c r="A411" s="95">
        <v>1.0</v>
      </c>
      <c r="B411" s="84" t="s">
        <v>2046</v>
      </c>
      <c r="C411" s="95" t="s">
        <v>6634</v>
      </c>
      <c r="D411" s="95" t="s">
        <v>6634</v>
      </c>
      <c r="E411" s="115"/>
      <c r="F411" s="86" t="s">
        <v>2048</v>
      </c>
      <c r="G411" s="80" t="s">
        <v>836</v>
      </c>
      <c r="H411" s="99"/>
      <c r="I411" s="80" t="str">
        <f>IFERROR(VLOOKUP(B411, '02. MM-KLH'!$B:$K, 9, FALSE),"")</f>
        <v/>
      </c>
      <c r="J411" s="106"/>
      <c r="K411" s="1369"/>
      <c r="L411" s="1370" t="s">
        <v>300</v>
      </c>
      <c r="M411" s="108" t="s">
        <v>148</v>
      </c>
      <c r="N411" s="80">
        <v>2018.0</v>
      </c>
      <c r="O411" s="80" t="s">
        <v>1144</v>
      </c>
      <c r="P411" s="106" t="s">
        <v>112</v>
      </c>
      <c r="Q411" s="108" t="s">
        <v>2049</v>
      </c>
      <c r="R411" s="110" t="s">
        <v>2050</v>
      </c>
    </row>
    <row r="412" ht="13.5" customHeight="1">
      <c r="A412" s="151" t="s">
        <v>8635</v>
      </c>
      <c r="B412" s="152" t="s">
        <v>8636</v>
      </c>
      <c r="C412" s="72"/>
      <c r="D412" s="72"/>
      <c r="E412" s="75"/>
      <c r="F412" s="72"/>
      <c r="G412" s="75"/>
      <c r="H412" s="79"/>
      <c r="I412" s="79" t="str">
        <f>IFERROR(VLOOKUP(B412, '02. MM-KLH'!$B:$K, 9, FALSE),"")</f>
        <v/>
      </c>
      <c r="J412" s="72"/>
      <c r="K412" s="1366"/>
      <c r="L412" s="1367"/>
      <c r="M412" s="75"/>
      <c r="N412" s="75"/>
      <c r="O412" s="75"/>
      <c r="P412" s="75"/>
      <c r="Q412" s="75"/>
      <c r="R412" s="75"/>
    </row>
    <row r="413" ht="13.5" customHeight="1">
      <c r="A413" s="95">
        <v>1.0</v>
      </c>
      <c r="B413" s="86" t="s">
        <v>2051</v>
      </c>
      <c r="C413" s="95" t="s">
        <v>5988</v>
      </c>
      <c r="D413" s="95" t="s">
        <v>8637</v>
      </c>
      <c r="E413" s="115" t="s">
        <v>5988</v>
      </c>
      <c r="F413" s="86" t="s">
        <v>8638</v>
      </c>
      <c r="G413" s="80" t="s">
        <v>836</v>
      </c>
      <c r="H413" s="99">
        <v>44927.0</v>
      </c>
      <c r="I413" s="80">
        <f>IFERROR(VLOOKUP(B413, '02. MM-KLH'!$B:$K, 9, FALSE),"")</f>
        <v>44927</v>
      </c>
      <c r="J413" s="102">
        <v>0.97</v>
      </c>
      <c r="K413" s="1369" t="s">
        <v>1675</v>
      </c>
      <c r="L413" s="1370" t="s">
        <v>300</v>
      </c>
      <c r="M413" s="108" t="s">
        <v>148</v>
      </c>
      <c r="N413" s="80">
        <v>2017.0</v>
      </c>
      <c r="O413" s="80" t="s">
        <v>8639</v>
      </c>
      <c r="P413" s="106" t="s">
        <v>2056</v>
      </c>
      <c r="Q413" s="108" t="s">
        <v>2057</v>
      </c>
      <c r="R413" s="110" t="s">
        <v>2058</v>
      </c>
    </row>
    <row r="414" ht="13.5" customHeight="1">
      <c r="A414" s="95">
        <v>2.0</v>
      </c>
      <c r="B414" s="84" t="s">
        <v>3161</v>
      </c>
      <c r="C414" s="95" t="s">
        <v>3162</v>
      </c>
      <c r="D414" s="95" t="s">
        <v>8640</v>
      </c>
      <c r="E414" s="115" t="s">
        <v>3162</v>
      </c>
      <c r="F414" s="86" t="s">
        <v>8638</v>
      </c>
      <c r="G414" s="80" t="s">
        <v>836</v>
      </c>
      <c r="H414" s="99">
        <v>44927.0</v>
      </c>
      <c r="I414" s="80">
        <f>IFERROR(VLOOKUP(B414, '02. MM-KLH'!$B:$K, 9, FALSE),"")</f>
        <v>44927</v>
      </c>
      <c r="J414" s="102">
        <v>0.97</v>
      </c>
      <c r="K414" s="1369" t="s">
        <v>1675</v>
      </c>
      <c r="L414" s="1370" t="s">
        <v>300</v>
      </c>
      <c r="M414" s="108" t="s">
        <v>148</v>
      </c>
      <c r="N414" s="80">
        <v>2017.0</v>
      </c>
      <c r="O414" s="80" t="s">
        <v>8639</v>
      </c>
      <c r="P414" s="106" t="s">
        <v>2056</v>
      </c>
      <c r="Q414" s="108" t="s">
        <v>3166</v>
      </c>
      <c r="R414" s="110" t="s">
        <v>3167</v>
      </c>
    </row>
    <row r="415" ht="13.5" customHeight="1">
      <c r="A415" s="95">
        <v>3.0</v>
      </c>
      <c r="B415" s="84" t="s">
        <v>2059</v>
      </c>
      <c r="C415" s="95" t="s">
        <v>5991</v>
      </c>
      <c r="D415" s="95" t="s">
        <v>8641</v>
      </c>
      <c r="E415" s="115" t="s">
        <v>5991</v>
      </c>
      <c r="F415" s="86" t="s">
        <v>8638</v>
      </c>
      <c r="G415" s="80" t="s">
        <v>836</v>
      </c>
      <c r="H415" s="99">
        <v>45261.0</v>
      </c>
      <c r="I415" s="80">
        <f>IFERROR(VLOOKUP(B415, '02. MM-KLH'!$B:$K, 9, FALSE),"")</f>
        <v>45261</v>
      </c>
      <c r="J415" s="102">
        <v>0.97</v>
      </c>
      <c r="K415" s="1369" t="s">
        <v>1675</v>
      </c>
      <c r="L415" s="1370" t="s">
        <v>300</v>
      </c>
      <c r="M415" s="108" t="s">
        <v>148</v>
      </c>
      <c r="N415" s="80">
        <v>2017.0</v>
      </c>
      <c r="O415" s="80" t="s">
        <v>8639</v>
      </c>
      <c r="P415" s="106" t="s">
        <v>2056</v>
      </c>
      <c r="Q415" s="108" t="s">
        <v>2060</v>
      </c>
      <c r="R415" s="110" t="s">
        <v>2061</v>
      </c>
    </row>
    <row r="416" ht="13.5" customHeight="1">
      <c r="A416" s="95">
        <v>4.0</v>
      </c>
      <c r="B416" s="84" t="s">
        <v>2062</v>
      </c>
      <c r="C416" s="95" t="s">
        <v>5992</v>
      </c>
      <c r="D416" s="95" t="s">
        <v>8642</v>
      </c>
      <c r="E416" s="115" t="s">
        <v>5992</v>
      </c>
      <c r="F416" s="86" t="s">
        <v>8638</v>
      </c>
      <c r="G416" s="80" t="s">
        <v>836</v>
      </c>
      <c r="H416" s="99">
        <v>45261.0</v>
      </c>
      <c r="I416" s="80">
        <f>IFERROR(VLOOKUP(B416, '02. MM-KLH'!$B:$K, 9, FALSE),"")</f>
        <v>45261</v>
      </c>
      <c r="J416" s="102">
        <v>0.97</v>
      </c>
      <c r="K416" s="1369" t="s">
        <v>1675</v>
      </c>
      <c r="L416" s="1370" t="s">
        <v>300</v>
      </c>
      <c r="M416" s="108" t="s">
        <v>148</v>
      </c>
      <c r="N416" s="80">
        <v>2017.0</v>
      </c>
      <c r="O416" s="80" t="s">
        <v>8639</v>
      </c>
      <c r="P416" s="106" t="s">
        <v>2056</v>
      </c>
      <c r="Q416" s="108" t="s">
        <v>2063</v>
      </c>
      <c r="R416" s="110" t="s">
        <v>2064</v>
      </c>
    </row>
    <row r="417" ht="13.5" customHeight="1">
      <c r="A417" s="95">
        <v>5.0</v>
      </c>
      <c r="B417" s="84" t="s">
        <v>2065</v>
      </c>
      <c r="C417" s="95" t="s">
        <v>6635</v>
      </c>
      <c r="D417" s="95" t="s">
        <v>6635</v>
      </c>
      <c r="E417" s="115"/>
      <c r="F417" s="86" t="s">
        <v>8638</v>
      </c>
      <c r="G417" s="80" t="s">
        <v>836</v>
      </c>
      <c r="H417" s="99">
        <v>45569.0</v>
      </c>
      <c r="I417" s="80">
        <f>IFERROR(VLOOKUP(B417, '02. MM-KLH'!$B:$K, 9, FALSE),"")</f>
        <v>45569</v>
      </c>
      <c r="J417" s="106"/>
      <c r="K417" s="1369"/>
      <c r="L417" s="1387" t="s">
        <v>300</v>
      </c>
      <c r="M417" s="108" t="s">
        <v>148</v>
      </c>
      <c r="N417" s="80">
        <v>2017.0</v>
      </c>
      <c r="O417" s="80" t="s">
        <v>8639</v>
      </c>
      <c r="P417" s="80" t="s">
        <v>2056</v>
      </c>
      <c r="Q417" s="108" t="s">
        <v>2066</v>
      </c>
      <c r="R417" s="110" t="s">
        <v>2067</v>
      </c>
    </row>
    <row r="418" ht="13.5" customHeight="1">
      <c r="A418" s="151" t="s">
        <v>8643</v>
      </c>
      <c r="B418" s="152" t="s">
        <v>8644</v>
      </c>
      <c r="C418" s="72"/>
      <c r="D418" s="72"/>
      <c r="E418" s="75"/>
      <c r="F418" s="72"/>
      <c r="G418" s="75"/>
      <c r="H418" s="79"/>
      <c r="I418" s="79" t="str">
        <f>IFERROR(VLOOKUP(B418, '02. MM-KLH'!$B:$K, 9, FALSE),"")</f>
        <v/>
      </c>
      <c r="J418" s="72"/>
      <c r="K418" s="1366"/>
      <c r="L418" s="1367"/>
      <c r="M418" s="75"/>
      <c r="N418" s="75"/>
      <c r="O418" s="75"/>
      <c r="P418" s="75"/>
      <c r="Q418" s="75"/>
      <c r="R418" s="75"/>
    </row>
    <row r="419" ht="13.5" customHeight="1">
      <c r="A419" s="95">
        <v>1.0</v>
      </c>
      <c r="B419" s="84" t="s">
        <v>2068</v>
      </c>
      <c r="C419" s="95" t="s">
        <v>5973</v>
      </c>
      <c r="D419" s="95" t="s">
        <v>8645</v>
      </c>
      <c r="E419" s="115" t="s">
        <v>5973</v>
      </c>
      <c r="F419" s="86" t="s">
        <v>2070</v>
      </c>
      <c r="G419" s="80" t="s">
        <v>836</v>
      </c>
      <c r="H419" s="99">
        <v>45261.0</v>
      </c>
      <c r="I419" s="80">
        <f>IFERROR(VLOOKUP(B419, '02. MM-KLH'!$B:$K, 9, FALSE),"")</f>
        <v>45261</v>
      </c>
      <c r="J419" s="102">
        <v>0.97</v>
      </c>
      <c r="K419" s="1369"/>
      <c r="L419" s="1370" t="s">
        <v>300</v>
      </c>
      <c r="M419" s="108" t="s">
        <v>148</v>
      </c>
      <c r="N419" s="80">
        <v>2022.0</v>
      </c>
      <c r="O419" s="80" t="s">
        <v>8646</v>
      </c>
      <c r="P419" s="106" t="s">
        <v>278</v>
      </c>
      <c r="Q419" s="108" t="s">
        <v>2113</v>
      </c>
      <c r="R419" s="110" t="s">
        <v>2072</v>
      </c>
    </row>
    <row r="420" ht="13.5" customHeight="1">
      <c r="A420" s="95">
        <v>2.0</v>
      </c>
      <c r="B420" s="84" t="s">
        <v>2073</v>
      </c>
      <c r="C420" s="95" t="s">
        <v>5975</v>
      </c>
      <c r="D420" s="95" t="s">
        <v>8647</v>
      </c>
      <c r="E420" s="115" t="s">
        <v>5975</v>
      </c>
      <c r="F420" s="86" t="s">
        <v>2070</v>
      </c>
      <c r="G420" s="80" t="s">
        <v>836</v>
      </c>
      <c r="H420" s="99">
        <v>45261.0</v>
      </c>
      <c r="I420" s="80">
        <f>IFERROR(VLOOKUP(B420, '02. MM-KLH'!$B:$K, 9, FALSE),"")</f>
        <v>45261</v>
      </c>
      <c r="J420" s="102">
        <v>0.97</v>
      </c>
      <c r="K420" s="1369"/>
      <c r="L420" s="1370" t="s">
        <v>300</v>
      </c>
      <c r="M420" s="108" t="s">
        <v>148</v>
      </c>
      <c r="N420" s="80">
        <v>2023.0</v>
      </c>
      <c r="O420" s="80" t="s">
        <v>8646</v>
      </c>
      <c r="P420" s="106" t="s">
        <v>278</v>
      </c>
      <c r="Q420" s="108" t="s">
        <v>2074</v>
      </c>
      <c r="R420" s="110" t="s">
        <v>2075</v>
      </c>
    </row>
    <row r="421" ht="13.5" customHeight="1">
      <c r="A421" s="95">
        <v>3.0</v>
      </c>
      <c r="B421" s="84" t="s">
        <v>2076</v>
      </c>
      <c r="C421" s="95" t="s">
        <v>5976</v>
      </c>
      <c r="D421" s="95" t="s">
        <v>8648</v>
      </c>
      <c r="E421" s="115" t="s">
        <v>5976</v>
      </c>
      <c r="F421" s="86" t="s">
        <v>2070</v>
      </c>
      <c r="G421" s="80" t="s">
        <v>836</v>
      </c>
      <c r="H421" s="99">
        <v>45261.0</v>
      </c>
      <c r="I421" s="80">
        <f>IFERROR(VLOOKUP(B421, '02. MM-KLH'!$B:$K, 9, FALSE),"")</f>
        <v>45261</v>
      </c>
      <c r="J421" s="102">
        <v>0.97</v>
      </c>
      <c r="K421" s="1369"/>
      <c r="L421" s="1370" t="s">
        <v>300</v>
      </c>
      <c r="M421" s="108" t="s">
        <v>148</v>
      </c>
      <c r="N421" s="80">
        <v>2023.0</v>
      </c>
      <c r="O421" s="80" t="s">
        <v>8646</v>
      </c>
      <c r="P421" s="106" t="s">
        <v>278</v>
      </c>
      <c r="Q421" s="235" t="s">
        <v>2078</v>
      </c>
      <c r="R421" s="110" t="s">
        <v>2079</v>
      </c>
    </row>
    <row r="422" ht="13.5" customHeight="1">
      <c r="A422" s="95">
        <v>4.0</v>
      </c>
      <c r="B422" s="84" t="s">
        <v>2080</v>
      </c>
      <c r="C422" s="95" t="s">
        <v>5977</v>
      </c>
      <c r="D422" s="95" t="s">
        <v>8649</v>
      </c>
      <c r="E422" s="115" t="s">
        <v>5977</v>
      </c>
      <c r="F422" s="86" t="s">
        <v>2070</v>
      </c>
      <c r="G422" s="80" t="s">
        <v>836</v>
      </c>
      <c r="H422" s="99">
        <v>45261.0</v>
      </c>
      <c r="I422" s="80">
        <f>IFERROR(VLOOKUP(B422, '02. MM-KLH'!$B:$K, 9, FALSE),"")</f>
        <v>45261</v>
      </c>
      <c r="J422" s="102">
        <v>0.97</v>
      </c>
      <c r="K422" s="1369"/>
      <c r="L422" s="1370" t="s">
        <v>300</v>
      </c>
      <c r="M422" s="108" t="s">
        <v>148</v>
      </c>
      <c r="N422" s="80">
        <v>2023.0</v>
      </c>
      <c r="O422" s="80" t="s">
        <v>8646</v>
      </c>
      <c r="P422" s="106" t="s">
        <v>278</v>
      </c>
      <c r="Q422" s="108" t="s">
        <v>2082</v>
      </c>
      <c r="R422" s="110" t="s">
        <v>2083</v>
      </c>
    </row>
    <row r="423" ht="13.5" customHeight="1">
      <c r="A423" s="95">
        <v>5.0</v>
      </c>
      <c r="B423" s="84" t="s">
        <v>2084</v>
      </c>
      <c r="C423" s="95" t="s">
        <v>5978</v>
      </c>
      <c r="D423" s="95" t="s">
        <v>8650</v>
      </c>
      <c r="E423" s="115" t="s">
        <v>5978</v>
      </c>
      <c r="F423" s="86" t="s">
        <v>2070</v>
      </c>
      <c r="G423" s="80" t="s">
        <v>836</v>
      </c>
      <c r="H423" s="99" t="s">
        <v>2085</v>
      </c>
      <c r="I423" s="80" t="str">
        <f>IFERROR(VLOOKUP(B423, '02. MM-KLH'!$B:$K, 9, FALSE),"")</f>
        <v>25/11/2023</v>
      </c>
      <c r="J423" s="102">
        <v>0.97</v>
      </c>
      <c r="K423" s="1369" t="s">
        <v>890</v>
      </c>
      <c r="L423" s="1370" t="s">
        <v>300</v>
      </c>
      <c r="M423" s="108" t="s">
        <v>148</v>
      </c>
      <c r="N423" s="80">
        <v>2023.0</v>
      </c>
      <c r="O423" s="80" t="s">
        <v>8646</v>
      </c>
      <c r="P423" s="106" t="s">
        <v>278</v>
      </c>
      <c r="Q423" s="108" t="s">
        <v>2086</v>
      </c>
      <c r="R423" s="110" t="s">
        <v>2087</v>
      </c>
    </row>
    <row r="424" ht="13.5" customHeight="1">
      <c r="A424" s="95">
        <v>6.0</v>
      </c>
      <c r="B424" s="84" t="s">
        <v>2088</v>
      </c>
      <c r="C424" s="95" t="s">
        <v>5979</v>
      </c>
      <c r="D424" s="95" t="s">
        <v>8651</v>
      </c>
      <c r="E424" s="115" t="s">
        <v>5979</v>
      </c>
      <c r="F424" s="86" t="s">
        <v>2070</v>
      </c>
      <c r="G424" s="80" t="s">
        <v>836</v>
      </c>
      <c r="H424" s="99" t="s">
        <v>2085</v>
      </c>
      <c r="I424" s="80" t="str">
        <f>IFERROR(VLOOKUP(B424, '02. MM-KLH'!$B:$K, 9, FALSE),"")</f>
        <v>25/11/2023</v>
      </c>
      <c r="J424" s="102">
        <v>0.97</v>
      </c>
      <c r="K424" s="1369" t="s">
        <v>890</v>
      </c>
      <c r="L424" s="1370" t="s">
        <v>300</v>
      </c>
      <c r="M424" s="108" t="s">
        <v>148</v>
      </c>
      <c r="N424" s="80">
        <v>2023.0</v>
      </c>
      <c r="O424" s="80" t="s">
        <v>8646</v>
      </c>
      <c r="P424" s="106" t="s">
        <v>278</v>
      </c>
      <c r="Q424" s="108" t="s">
        <v>2089</v>
      </c>
      <c r="R424" s="110" t="s">
        <v>2090</v>
      </c>
    </row>
    <row r="425" ht="13.5" customHeight="1">
      <c r="A425" s="151" t="s">
        <v>8652</v>
      </c>
      <c r="B425" s="152" t="s">
        <v>8653</v>
      </c>
      <c r="C425" s="72"/>
      <c r="D425" s="72"/>
      <c r="E425" s="75"/>
      <c r="F425" s="72"/>
      <c r="G425" s="75"/>
      <c r="H425" s="79"/>
      <c r="I425" s="79" t="str">
        <f>IFERROR(VLOOKUP(B425, '02. MM-KLH'!$B:$K, 9, FALSE),"")</f>
        <v/>
      </c>
      <c r="J425" s="72"/>
      <c r="K425" s="1366"/>
      <c r="L425" s="1367"/>
      <c r="M425" s="75"/>
      <c r="N425" s="75"/>
      <c r="O425" s="75"/>
      <c r="P425" s="75"/>
      <c r="Q425" s="75"/>
      <c r="R425" s="75"/>
    </row>
    <row r="426" ht="13.5" customHeight="1">
      <c r="A426" s="95">
        <v>1.0</v>
      </c>
      <c r="B426" s="84" t="s">
        <v>2111</v>
      </c>
      <c r="C426" s="95" t="s">
        <v>5981</v>
      </c>
      <c r="D426" s="95" t="s">
        <v>8654</v>
      </c>
      <c r="E426" s="115" t="s">
        <v>5981</v>
      </c>
      <c r="F426" s="86" t="s">
        <v>8655</v>
      </c>
      <c r="G426" s="80" t="s">
        <v>836</v>
      </c>
      <c r="H426" s="99">
        <v>45261.0</v>
      </c>
      <c r="I426" s="80">
        <f>IFERROR(VLOOKUP(B426, '02. MM-KLH'!$B:$K, 9, FALSE),"")</f>
        <v>45261</v>
      </c>
      <c r="J426" s="102">
        <v>0.97</v>
      </c>
      <c r="K426" s="1369"/>
      <c r="L426" s="1370" t="s">
        <v>300</v>
      </c>
      <c r="M426" s="108" t="s">
        <v>148</v>
      </c>
      <c r="N426" s="80">
        <v>2022.0</v>
      </c>
      <c r="O426" s="80" t="s">
        <v>8646</v>
      </c>
      <c r="P426" s="106" t="s">
        <v>278</v>
      </c>
      <c r="Q426" s="108" t="s">
        <v>2071</v>
      </c>
      <c r="R426" s="110" t="s">
        <v>2114</v>
      </c>
    </row>
    <row r="427" ht="13.5" customHeight="1">
      <c r="A427" s="95">
        <v>2.0</v>
      </c>
      <c r="B427" s="84" t="s">
        <v>2115</v>
      </c>
      <c r="C427" s="95" t="s">
        <v>5982</v>
      </c>
      <c r="D427" s="95" t="s">
        <v>8656</v>
      </c>
      <c r="E427" s="115" t="s">
        <v>5982</v>
      </c>
      <c r="F427" s="86" t="s">
        <v>8655</v>
      </c>
      <c r="G427" s="80" t="s">
        <v>836</v>
      </c>
      <c r="H427" s="99">
        <v>45261.0</v>
      </c>
      <c r="I427" s="80">
        <f>IFERROR(VLOOKUP(B427, '02. MM-KLH'!$B:$K, 9, FALSE),"")</f>
        <v>45261</v>
      </c>
      <c r="J427" s="102">
        <v>0.97</v>
      </c>
      <c r="K427" s="1369"/>
      <c r="L427" s="1370" t="s">
        <v>300</v>
      </c>
      <c r="M427" s="108" t="s">
        <v>148</v>
      </c>
      <c r="N427" s="80">
        <v>2022.0</v>
      </c>
      <c r="O427" s="80" t="s">
        <v>8646</v>
      </c>
      <c r="P427" s="106" t="s">
        <v>278</v>
      </c>
      <c r="Q427" s="108" t="s">
        <v>2116</v>
      </c>
      <c r="R427" s="110" t="s">
        <v>2117</v>
      </c>
    </row>
    <row r="428" ht="13.5" customHeight="1">
      <c r="A428" s="95">
        <v>3.0</v>
      </c>
      <c r="B428" s="84" t="s">
        <v>2118</v>
      </c>
      <c r="C428" s="95" t="s">
        <v>5983</v>
      </c>
      <c r="D428" s="95" t="s">
        <v>8657</v>
      </c>
      <c r="E428" s="115" t="s">
        <v>5983</v>
      </c>
      <c r="F428" s="86" t="s">
        <v>8655</v>
      </c>
      <c r="G428" s="80" t="s">
        <v>836</v>
      </c>
      <c r="H428" s="99">
        <v>45261.0</v>
      </c>
      <c r="I428" s="80">
        <f>IFERROR(VLOOKUP(B428, '02. MM-KLH'!$B:$K, 9, FALSE),"")</f>
        <v>45261</v>
      </c>
      <c r="J428" s="102">
        <v>0.97</v>
      </c>
      <c r="K428" s="1369"/>
      <c r="L428" s="1370" t="s">
        <v>300</v>
      </c>
      <c r="M428" s="108" t="s">
        <v>148</v>
      </c>
      <c r="N428" s="80">
        <v>2022.0</v>
      </c>
      <c r="O428" s="80" t="s">
        <v>8646</v>
      </c>
      <c r="P428" s="106" t="s">
        <v>278</v>
      </c>
      <c r="Q428" s="108" t="s">
        <v>2119</v>
      </c>
      <c r="R428" s="110" t="s">
        <v>2120</v>
      </c>
    </row>
    <row r="429" ht="13.5" customHeight="1">
      <c r="A429" s="95">
        <v>4.0</v>
      </c>
      <c r="B429" s="84" t="s">
        <v>2121</v>
      </c>
      <c r="C429" s="95" t="s">
        <v>5984</v>
      </c>
      <c r="D429" s="95" t="s">
        <v>8658</v>
      </c>
      <c r="E429" s="115" t="s">
        <v>5984</v>
      </c>
      <c r="F429" s="86" t="s">
        <v>8655</v>
      </c>
      <c r="G429" s="80" t="s">
        <v>836</v>
      </c>
      <c r="H429" s="99">
        <v>45261.0</v>
      </c>
      <c r="I429" s="80">
        <f>IFERROR(VLOOKUP(B429, '02. MM-KLH'!$B:$K, 9, FALSE),"")</f>
        <v>45261</v>
      </c>
      <c r="J429" s="102">
        <v>0.97</v>
      </c>
      <c r="K429" s="1369"/>
      <c r="L429" s="1370" t="s">
        <v>300</v>
      </c>
      <c r="M429" s="108" t="s">
        <v>148</v>
      </c>
      <c r="N429" s="80">
        <v>2022.0</v>
      </c>
      <c r="O429" s="80" t="s">
        <v>8646</v>
      </c>
      <c r="P429" s="106" t="s">
        <v>278</v>
      </c>
      <c r="Q429" s="108" t="s">
        <v>2122</v>
      </c>
      <c r="R429" s="110" t="s">
        <v>2123</v>
      </c>
    </row>
    <row r="430" ht="13.5" customHeight="1">
      <c r="A430" s="95">
        <v>5.0</v>
      </c>
      <c r="B430" s="84" t="s">
        <v>2124</v>
      </c>
      <c r="C430" s="95" t="s">
        <v>5985</v>
      </c>
      <c r="D430" s="95" t="s">
        <v>8659</v>
      </c>
      <c r="E430" s="115" t="s">
        <v>5985</v>
      </c>
      <c r="F430" s="86" t="s">
        <v>8660</v>
      </c>
      <c r="G430" s="80" t="s">
        <v>836</v>
      </c>
      <c r="H430" s="80" t="s">
        <v>2085</v>
      </c>
      <c r="I430" s="80" t="str">
        <f>IFERROR(VLOOKUP(B430, '02. MM-KLH'!$B:$K, 9, FALSE),"")</f>
        <v>25/11/2023</v>
      </c>
      <c r="J430" s="102">
        <v>0.97</v>
      </c>
      <c r="K430" s="1369"/>
      <c r="L430" s="1370" t="s">
        <v>300</v>
      </c>
      <c r="M430" s="108" t="s">
        <v>148</v>
      </c>
      <c r="N430" s="80">
        <v>2023.0</v>
      </c>
      <c r="O430" s="80" t="s">
        <v>8646</v>
      </c>
      <c r="P430" s="106" t="s">
        <v>278</v>
      </c>
      <c r="Q430" s="108" t="s">
        <v>2126</v>
      </c>
      <c r="R430" s="110" t="s">
        <v>2127</v>
      </c>
    </row>
    <row r="431" ht="13.5" customHeight="1">
      <c r="A431" s="95">
        <v>6.0</v>
      </c>
      <c r="B431" s="84" t="s">
        <v>2128</v>
      </c>
      <c r="C431" s="95" t="s">
        <v>5986</v>
      </c>
      <c r="D431" s="95" t="s">
        <v>8661</v>
      </c>
      <c r="E431" s="115" t="s">
        <v>5986</v>
      </c>
      <c r="F431" s="86" t="s">
        <v>8660</v>
      </c>
      <c r="G431" s="80" t="s">
        <v>836</v>
      </c>
      <c r="H431" s="80" t="s">
        <v>2085</v>
      </c>
      <c r="I431" s="80" t="str">
        <f>IFERROR(VLOOKUP(B431, '02. MM-KLH'!$B:$K, 9, FALSE),"")</f>
        <v>25/11/2023</v>
      </c>
      <c r="J431" s="102">
        <v>0.97</v>
      </c>
      <c r="K431" s="1369" t="s">
        <v>890</v>
      </c>
      <c r="L431" s="1370" t="s">
        <v>300</v>
      </c>
      <c r="M431" s="108" t="s">
        <v>148</v>
      </c>
      <c r="N431" s="80">
        <v>2023.0</v>
      </c>
      <c r="O431" s="80" t="s">
        <v>8646</v>
      </c>
      <c r="P431" s="106" t="s">
        <v>278</v>
      </c>
      <c r="Q431" s="108" t="s">
        <v>2129</v>
      </c>
      <c r="R431" s="110" t="s">
        <v>2130</v>
      </c>
    </row>
    <row r="432" ht="13.5" customHeight="1">
      <c r="A432" s="95">
        <v>7.0</v>
      </c>
      <c r="B432" s="84" t="s">
        <v>2937</v>
      </c>
      <c r="C432" s="95" t="s">
        <v>2938</v>
      </c>
      <c r="D432" s="95" t="s">
        <v>8662</v>
      </c>
      <c r="E432" s="115" t="s">
        <v>2938</v>
      </c>
      <c r="F432" s="86" t="s">
        <v>8660</v>
      </c>
      <c r="G432" s="80" t="s">
        <v>836</v>
      </c>
      <c r="H432" s="80" t="s">
        <v>2085</v>
      </c>
      <c r="I432" s="80" t="str">
        <f>IFERROR(VLOOKUP(B432, '02. MM-KLH'!$B:$K, 9, FALSE),"")</f>
        <v/>
      </c>
      <c r="J432" s="102">
        <v>0.97</v>
      </c>
      <c r="K432" s="1369" t="s">
        <v>890</v>
      </c>
      <c r="L432" s="1370" t="s">
        <v>300</v>
      </c>
      <c r="M432" s="108" t="s">
        <v>148</v>
      </c>
      <c r="N432" s="80">
        <v>2023.0</v>
      </c>
      <c r="O432" s="80" t="s">
        <v>8646</v>
      </c>
      <c r="P432" s="106" t="s">
        <v>278</v>
      </c>
      <c r="Q432" s="108" t="s">
        <v>2942</v>
      </c>
      <c r="R432" s="110" t="s">
        <v>2943</v>
      </c>
    </row>
    <row r="433" ht="13.5" customHeight="1">
      <c r="A433" s="151" t="s">
        <v>8663</v>
      </c>
      <c r="B433" s="152" t="s">
        <v>2295</v>
      </c>
      <c r="C433" s="72"/>
      <c r="D433" s="72"/>
      <c r="E433" s="75"/>
      <c r="F433" s="72"/>
      <c r="G433" s="75"/>
      <c r="H433" s="79"/>
      <c r="I433" s="79" t="str">
        <f>IFERROR(VLOOKUP(B433, '02. MM-KLH'!$B:$K, 9, FALSE),"")</f>
        <v/>
      </c>
      <c r="J433" s="72"/>
      <c r="K433" s="1366"/>
      <c r="L433" s="1367"/>
      <c r="M433" s="75"/>
      <c r="N433" s="75"/>
      <c r="O433" s="75"/>
      <c r="P433" s="75"/>
      <c r="Q433" s="75"/>
      <c r="R433" s="75"/>
    </row>
    <row r="434" ht="13.5" customHeight="1">
      <c r="A434" s="95">
        <v>1.0</v>
      </c>
      <c r="B434" s="84" t="s">
        <v>2294</v>
      </c>
      <c r="C434" s="95" t="s">
        <v>5784</v>
      </c>
      <c r="D434" s="95" t="s">
        <v>6658</v>
      </c>
      <c r="E434" s="115" t="s">
        <v>5784</v>
      </c>
      <c r="F434" s="86" t="s">
        <v>2295</v>
      </c>
      <c r="G434" s="80" t="s">
        <v>836</v>
      </c>
      <c r="H434" s="99">
        <v>44938.0</v>
      </c>
      <c r="I434" s="80">
        <f>IFERROR(VLOOKUP(B434, '02. MM-KLH'!$B:$K, 9, FALSE),"")</f>
        <v>44938</v>
      </c>
      <c r="J434" s="102">
        <v>0.93</v>
      </c>
      <c r="K434" s="1369" t="s">
        <v>890</v>
      </c>
      <c r="L434" s="1370" t="s">
        <v>2296</v>
      </c>
      <c r="M434" s="108" t="s">
        <v>148</v>
      </c>
      <c r="N434" s="80">
        <v>2020.0</v>
      </c>
      <c r="O434" s="80" t="s">
        <v>2297</v>
      </c>
      <c r="P434" s="106" t="s">
        <v>950</v>
      </c>
      <c r="Q434" s="108" t="s">
        <v>2298</v>
      </c>
      <c r="R434" s="110" t="s">
        <v>96</v>
      </c>
    </row>
    <row r="435" ht="13.5" customHeight="1">
      <c r="A435" s="95">
        <v>2.0</v>
      </c>
      <c r="B435" s="84" t="s">
        <v>2299</v>
      </c>
      <c r="C435" s="95" t="s">
        <v>5787</v>
      </c>
      <c r="D435" s="95" t="s">
        <v>6659</v>
      </c>
      <c r="E435" s="115" t="s">
        <v>5787</v>
      </c>
      <c r="F435" s="86" t="s">
        <v>2295</v>
      </c>
      <c r="G435" s="80" t="s">
        <v>836</v>
      </c>
      <c r="H435" s="80" t="s">
        <v>2300</v>
      </c>
      <c r="I435" s="80" t="str">
        <f>IFERROR(VLOOKUP(B435, '02. MM-KLH'!$B:$K, 9, FALSE),"")</f>
        <v>26/12/2023</v>
      </c>
      <c r="J435" s="102">
        <v>0.95</v>
      </c>
      <c r="K435" s="1369" t="s">
        <v>890</v>
      </c>
      <c r="L435" s="1370" t="s">
        <v>2296</v>
      </c>
      <c r="M435" s="108" t="s">
        <v>148</v>
      </c>
      <c r="N435" s="80">
        <v>2020.0</v>
      </c>
      <c r="O435" s="80" t="s">
        <v>2297</v>
      </c>
      <c r="P435" s="106" t="s">
        <v>950</v>
      </c>
      <c r="Q435" s="108" t="s">
        <v>2302</v>
      </c>
      <c r="R435" s="110" t="s">
        <v>96</v>
      </c>
    </row>
    <row r="436" ht="13.5" customHeight="1">
      <c r="A436" s="95">
        <v>3.0</v>
      </c>
      <c r="B436" s="84" t="s">
        <v>2619</v>
      </c>
      <c r="C436" s="95" t="s">
        <v>5791</v>
      </c>
      <c r="D436" s="80" t="s">
        <v>6658</v>
      </c>
      <c r="E436" s="86" t="s">
        <v>5791</v>
      </c>
      <c r="F436" s="86" t="s">
        <v>2295</v>
      </c>
      <c r="G436" s="80" t="s">
        <v>67</v>
      </c>
      <c r="H436" s="99">
        <v>44936.0</v>
      </c>
      <c r="I436" s="80">
        <f>IFERROR(VLOOKUP(B436, '02. MM-KLH'!$B:$K, 9, FALSE),"")</f>
        <v>44936</v>
      </c>
      <c r="J436" s="102">
        <v>0.95</v>
      </c>
      <c r="K436" s="1369"/>
      <c r="L436" s="1370" t="s">
        <v>2296</v>
      </c>
      <c r="M436" s="108" t="s">
        <v>148</v>
      </c>
      <c r="N436" s="80"/>
      <c r="O436" s="80" t="s">
        <v>2623</v>
      </c>
      <c r="P436" s="106" t="s">
        <v>278</v>
      </c>
      <c r="Q436" s="108" t="s">
        <v>2624</v>
      </c>
      <c r="R436" s="110" t="s">
        <v>96</v>
      </c>
    </row>
    <row r="437" ht="13.5" customHeight="1">
      <c r="A437" s="95">
        <v>4.0</v>
      </c>
      <c r="B437" s="84" t="s">
        <v>2625</v>
      </c>
      <c r="C437" s="95" t="s">
        <v>5792</v>
      </c>
      <c r="D437" s="80" t="s">
        <v>6659</v>
      </c>
      <c r="E437" s="86" t="s">
        <v>5792</v>
      </c>
      <c r="F437" s="86" t="s">
        <v>2295</v>
      </c>
      <c r="G437" s="80" t="s">
        <v>67</v>
      </c>
      <c r="H437" s="80" t="s">
        <v>2626</v>
      </c>
      <c r="I437" s="80" t="str">
        <f>IFERROR(VLOOKUP(B437, '02. MM-KLH'!$B:$K, 9, FALSE),"")</f>
        <v>14/11/2023</v>
      </c>
      <c r="J437" s="102">
        <v>0.94</v>
      </c>
      <c r="K437" s="1369"/>
      <c r="L437" s="1370" t="s">
        <v>2296</v>
      </c>
      <c r="M437" s="108" t="s">
        <v>148</v>
      </c>
      <c r="N437" s="80"/>
      <c r="O437" s="80" t="s">
        <v>2623</v>
      </c>
      <c r="P437" s="106" t="s">
        <v>278</v>
      </c>
      <c r="Q437" s="108" t="s">
        <v>2627</v>
      </c>
      <c r="R437" s="110" t="s">
        <v>96</v>
      </c>
    </row>
    <row r="438" ht="13.5" customHeight="1">
      <c r="A438" s="95">
        <v>5.0</v>
      </c>
      <c r="B438" s="84" t="s">
        <v>2628</v>
      </c>
      <c r="C438" s="95" t="s">
        <v>5793</v>
      </c>
      <c r="D438" s="80" t="s">
        <v>6660</v>
      </c>
      <c r="E438" s="86" t="s">
        <v>5793</v>
      </c>
      <c r="F438" s="86" t="s">
        <v>2295</v>
      </c>
      <c r="G438" s="80" t="s">
        <v>67</v>
      </c>
      <c r="H438" s="80" t="s">
        <v>2626</v>
      </c>
      <c r="I438" s="80" t="str">
        <f>IFERROR(VLOOKUP(B438, '02. MM-KLH'!$B:$K, 9, FALSE),"")</f>
        <v>14/11/2023</v>
      </c>
      <c r="J438" s="102">
        <v>0.94</v>
      </c>
      <c r="K438" s="1369"/>
      <c r="L438" s="1370" t="s">
        <v>2296</v>
      </c>
      <c r="M438" s="108" t="s">
        <v>148</v>
      </c>
      <c r="N438" s="80"/>
      <c r="O438" s="80" t="s">
        <v>2623</v>
      </c>
      <c r="P438" s="106" t="s">
        <v>278</v>
      </c>
      <c r="Q438" s="108" t="s">
        <v>2629</v>
      </c>
      <c r="R438" s="110" t="s">
        <v>96</v>
      </c>
    </row>
    <row r="439" ht="13.5" customHeight="1">
      <c r="A439" s="95">
        <v>6.0</v>
      </c>
      <c r="B439" s="84" t="s">
        <v>2630</v>
      </c>
      <c r="C439" s="95" t="s">
        <v>5794</v>
      </c>
      <c r="D439" s="80" t="s">
        <v>6685</v>
      </c>
      <c r="E439" s="115" t="s">
        <v>5794</v>
      </c>
      <c r="F439" s="86" t="s">
        <v>2295</v>
      </c>
      <c r="G439" s="80" t="s">
        <v>67</v>
      </c>
      <c r="H439" s="99">
        <v>45474.0</v>
      </c>
      <c r="I439" s="80">
        <f>IFERROR(VLOOKUP(B439, '02. MM-KLH'!$B:$K, 9, FALSE),"")</f>
        <v>45474</v>
      </c>
      <c r="J439" s="102">
        <v>0.98</v>
      </c>
      <c r="K439" s="1369"/>
      <c r="L439" s="1370" t="s">
        <v>2296</v>
      </c>
      <c r="M439" s="108" t="s">
        <v>148</v>
      </c>
      <c r="N439" s="80"/>
      <c r="O439" s="80" t="s">
        <v>2623</v>
      </c>
      <c r="P439" s="106" t="s">
        <v>278</v>
      </c>
      <c r="Q439" s="108" t="s">
        <v>2631</v>
      </c>
      <c r="R439" s="110" t="s">
        <v>96</v>
      </c>
    </row>
    <row r="440" ht="13.5" customHeight="1">
      <c r="A440" s="95">
        <v>7.0</v>
      </c>
      <c r="B440" s="84" t="s">
        <v>2620</v>
      </c>
      <c r="C440" s="95" t="s">
        <v>5795</v>
      </c>
      <c r="D440" s="80" t="s">
        <v>6686</v>
      </c>
      <c r="E440" s="115" t="s">
        <v>5795</v>
      </c>
      <c r="F440" s="86" t="s">
        <v>2295</v>
      </c>
      <c r="G440" s="80" t="s">
        <v>67</v>
      </c>
      <c r="H440" s="99">
        <v>45352.0</v>
      </c>
      <c r="I440" s="80">
        <f>IFERROR(VLOOKUP(B440, '02. MM-KLH'!$B:$K, 9, FALSE),"")</f>
        <v>45352</v>
      </c>
      <c r="J440" s="102">
        <v>0.95</v>
      </c>
      <c r="K440" s="1369"/>
      <c r="L440" s="1370" t="s">
        <v>2296</v>
      </c>
      <c r="M440" s="108" t="s">
        <v>148</v>
      </c>
      <c r="N440" s="80"/>
      <c r="O440" s="80" t="s">
        <v>2623</v>
      </c>
      <c r="P440" s="106" t="s">
        <v>278</v>
      </c>
      <c r="Q440" s="108" t="s">
        <v>2632</v>
      </c>
      <c r="R440" s="110" t="s">
        <v>96</v>
      </c>
    </row>
    <row r="441" ht="13.5" customHeight="1">
      <c r="A441" s="95">
        <v>8.0</v>
      </c>
      <c r="B441" s="84" t="s">
        <v>2633</v>
      </c>
      <c r="C441" s="95" t="s">
        <v>5796</v>
      </c>
      <c r="D441" s="80" t="s">
        <v>8664</v>
      </c>
      <c r="E441" s="115" t="s">
        <v>5796</v>
      </c>
      <c r="F441" s="86" t="s">
        <v>2295</v>
      </c>
      <c r="G441" s="80" t="s">
        <v>67</v>
      </c>
      <c r="H441" s="99">
        <v>44936.0</v>
      </c>
      <c r="I441" s="80">
        <f>IFERROR(VLOOKUP(B441, '02. MM-KLH'!$B:$K, 9, FALSE),"")</f>
        <v>44936</v>
      </c>
      <c r="J441" s="102">
        <v>0.95</v>
      </c>
      <c r="K441" s="1369"/>
      <c r="L441" s="1370" t="s">
        <v>2296</v>
      </c>
      <c r="M441" s="108" t="s">
        <v>148</v>
      </c>
      <c r="N441" s="80"/>
      <c r="O441" s="80" t="s">
        <v>2623</v>
      </c>
      <c r="P441" s="106" t="s">
        <v>278</v>
      </c>
      <c r="Q441" s="108" t="s">
        <v>2634</v>
      </c>
      <c r="R441" s="110" t="s">
        <v>96</v>
      </c>
    </row>
    <row r="442" ht="13.5" customHeight="1">
      <c r="A442" s="95">
        <v>9.0</v>
      </c>
      <c r="B442" s="84" t="s">
        <v>2635</v>
      </c>
      <c r="C442" s="95" t="s">
        <v>6676</v>
      </c>
      <c r="D442" s="95"/>
      <c r="E442" s="115"/>
      <c r="F442" s="86" t="s">
        <v>2295</v>
      </c>
      <c r="G442" s="80" t="s">
        <v>67</v>
      </c>
      <c r="H442" s="99"/>
      <c r="I442" s="80" t="str">
        <f>IFERROR(VLOOKUP(B442, '02. MM-KLH'!$B:$K, 9, FALSE),"")</f>
        <v/>
      </c>
      <c r="J442" s="106"/>
      <c r="K442" s="1369"/>
      <c r="L442" s="1370" t="s">
        <v>2636</v>
      </c>
      <c r="M442" s="108" t="s">
        <v>148</v>
      </c>
      <c r="N442" s="80"/>
      <c r="O442" s="80" t="s">
        <v>2623</v>
      </c>
      <c r="P442" s="106" t="s">
        <v>278</v>
      </c>
      <c r="Q442" s="108" t="s">
        <v>2637</v>
      </c>
      <c r="R442" s="110" t="s">
        <v>96</v>
      </c>
    </row>
    <row r="443" ht="13.5" customHeight="1">
      <c r="A443" s="95">
        <v>10.0</v>
      </c>
      <c r="B443" s="84" t="s">
        <v>2638</v>
      </c>
      <c r="C443" s="95" t="s">
        <v>6677</v>
      </c>
      <c r="D443" s="95"/>
      <c r="E443" s="115"/>
      <c r="F443" s="86" t="s">
        <v>2295</v>
      </c>
      <c r="G443" s="80" t="s">
        <v>67</v>
      </c>
      <c r="H443" s="99"/>
      <c r="I443" s="80" t="str">
        <f>IFERROR(VLOOKUP(B443, '02. MM-KLH'!$B:$K, 9, FALSE),"")</f>
        <v/>
      </c>
      <c r="J443" s="106"/>
      <c r="K443" s="1369"/>
      <c r="L443" s="1370" t="s">
        <v>2639</v>
      </c>
      <c r="M443" s="108"/>
      <c r="N443" s="80"/>
      <c r="O443" s="80" t="s">
        <v>2623</v>
      </c>
      <c r="P443" s="106" t="s">
        <v>278</v>
      </c>
      <c r="Q443" s="108" t="s">
        <v>2640</v>
      </c>
      <c r="R443" s="110" t="s">
        <v>96</v>
      </c>
    </row>
    <row r="444" ht="13.5" customHeight="1">
      <c r="A444" s="95">
        <v>11.0</v>
      </c>
      <c r="B444" s="84" t="s">
        <v>2641</v>
      </c>
      <c r="C444" s="95" t="s">
        <v>6678</v>
      </c>
      <c r="D444" s="95"/>
      <c r="E444" s="115"/>
      <c r="F444" s="86" t="s">
        <v>2295</v>
      </c>
      <c r="G444" s="80" t="s">
        <v>67</v>
      </c>
      <c r="H444" s="99"/>
      <c r="I444" s="80" t="str">
        <f>IFERROR(VLOOKUP(B444, '02. MM-KLH'!$B:$K, 9, FALSE),"")</f>
        <v/>
      </c>
      <c r="J444" s="106"/>
      <c r="K444" s="1369"/>
      <c r="L444" s="1370" t="s">
        <v>2639</v>
      </c>
      <c r="M444" s="108"/>
      <c r="N444" s="80"/>
      <c r="O444" s="80" t="s">
        <v>2623</v>
      </c>
      <c r="P444" s="106" t="s">
        <v>278</v>
      </c>
      <c r="Q444" s="108" t="s">
        <v>2644</v>
      </c>
      <c r="R444" s="110" t="s">
        <v>96</v>
      </c>
    </row>
    <row r="445" ht="13.5" customHeight="1">
      <c r="A445" s="95">
        <v>12.0</v>
      </c>
      <c r="B445" s="86" t="s">
        <v>2526</v>
      </c>
      <c r="C445" s="95" t="s">
        <v>6658</v>
      </c>
      <c r="D445" s="95"/>
      <c r="E445" s="115"/>
      <c r="F445" s="86" t="s">
        <v>2295</v>
      </c>
      <c r="G445" s="80" t="s">
        <v>63</v>
      </c>
      <c r="H445" s="99"/>
      <c r="I445" s="80" t="str">
        <f>IFERROR(VLOOKUP(B445, '02. MM-KLH'!$B:$K, 9, FALSE),"")</f>
        <v/>
      </c>
      <c r="J445" s="106"/>
      <c r="K445" s="1369"/>
      <c r="L445" s="1370"/>
      <c r="M445" s="108"/>
      <c r="N445" s="80"/>
      <c r="O445" s="80"/>
      <c r="P445" s="80" t="s">
        <v>2528</v>
      </c>
      <c r="Q445" s="108" t="s">
        <v>2529</v>
      </c>
      <c r="R445" s="110" t="s">
        <v>96</v>
      </c>
    </row>
    <row r="446" ht="13.5" customHeight="1">
      <c r="A446" s="95">
        <v>13.0</v>
      </c>
      <c r="B446" s="86" t="s">
        <v>2527</v>
      </c>
      <c r="C446" s="95" t="s">
        <v>6659</v>
      </c>
      <c r="D446" s="95"/>
      <c r="E446" s="115"/>
      <c r="F446" s="86" t="s">
        <v>2295</v>
      </c>
      <c r="G446" s="80" t="s">
        <v>63</v>
      </c>
      <c r="H446" s="99"/>
      <c r="I446" s="80" t="str">
        <f>IFERROR(VLOOKUP(B446, '02. MM-KLH'!$B:$K, 9, FALSE),"")</f>
        <v/>
      </c>
      <c r="J446" s="106"/>
      <c r="K446" s="1369"/>
      <c r="L446" s="1370"/>
      <c r="M446" s="108"/>
      <c r="N446" s="80"/>
      <c r="O446" s="80"/>
      <c r="P446" s="80" t="s">
        <v>2528</v>
      </c>
      <c r="Q446" s="108" t="s">
        <v>2531</v>
      </c>
      <c r="R446" s="110" t="s">
        <v>96</v>
      </c>
    </row>
    <row r="447" ht="13.5" customHeight="1">
      <c r="A447" s="95">
        <v>14.0</v>
      </c>
      <c r="B447" s="86" t="s">
        <v>2530</v>
      </c>
      <c r="C447" s="95" t="s">
        <v>6660</v>
      </c>
      <c r="D447" s="95"/>
      <c r="E447" s="115"/>
      <c r="F447" s="86" t="s">
        <v>2295</v>
      </c>
      <c r="G447" s="80" t="s">
        <v>63</v>
      </c>
      <c r="H447" s="99"/>
      <c r="I447" s="80" t="str">
        <f>IFERROR(VLOOKUP(B447, '02. MM-KLH'!$B:$K, 9, FALSE),"")</f>
        <v/>
      </c>
      <c r="J447" s="106"/>
      <c r="K447" s="1369"/>
      <c r="L447" s="1370"/>
      <c r="M447" s="108"/>
      <c r="N447" s="80"/>
      <c r="O447" s="80"/>
      <c r="P447" s="80" t="s">
        <v>2528</v>
      </c>
      <c r="Q447" s="108" t="s">
        <v>2533</v>
      </c>
      <c r="R447" s="110" t="s">
        <v>96</v>
      </c>
    </row>
    <row r="448" ht="13.5" customHeight="1">
      <c r="A448" s="95">
        <v>15.0</v>
      </c>
      <c r="B448" s="86" t="s">
        <v>2809</v>
      </c>
      <c r="C448" s="95" t="s">
        <v>5798</v>
      </c>
      <c r="D448" s="299" t="s">
        <v>6658</v>
      </c>
      <c r="E448" s="704" t="s">
        <v>5798</v>
      </c>
      <c r="F448" s="1469" t="s">
        <v>8666</v>
      </c>
      <c r="G448" s="80" t="s">
        <v>2794</v>
      </c>
      <c r="H448" s="137" t="s">
        <v>2626</v>
      </c>
      <c r="I448" s="80" t="str">
        <f>IFERROR(VLOOKUP(B448, '02. MM-KLH'!$B:$K, 9, FALSE),"")</f>
        <v>14/11/2023</v>
      </c>
      <c r="J448" s="213">
        <v>0.94</v>
      </c>
      <c r="K448" s="1399"/>
      <c r="L448" s="1470"/>
      <c r="M448" s="108" t="s">
        <v>883</v>
      </c>
      <c r="N448" s="189">
        <v>2021.0</v>
      </c>
      <c r="O448" s="1471" t="s">
        <v>2623</v>
      </c>
      <c r="P448" s="1472" t="s">
        <v>278</v>
      </c>
      <c r="Q448" s="1473" t="s">
        <v>2810</v>
      </c>
      <c r="R448" s="1474" t="s">
        <v>2811</v>
      </c>
    </row>
    <row r="449" ht="13.5" customHeight="1">
      <c r="A449" s="95">
        <v>16.0</v>
      </c>
      <c r="B449" s="86" t="s">
        <v>2812</v>
      </c>
      <c r="C449" s="95" t="s">
        <v>5800</v>
      </c>
      <c r="D449" s="299" t="s">
        <v>6659</v>
      </c>
      <c r="E449" s="705" t="s">
        <v>5800</v>
      </c>
      <c r="F449" s="1469" t="s">
        <v>8666</v>
      </c>
      <c r="G449" s="80" t="s">
        <v>2794</v>
      </c>
      <c r="H449" s="137" t="s">
        <v>2626</v>
      </c>
      <c r="I449" s="80" t="str">
        <f>IFERROR(VLOOKUP(B449, '02. MM-KLH'!$B:$K, 9, FALSE),"")</f>
        <v>14/11/2023</v>
      </c>
      <c r="J449" s="213">
        <v>0.94</v>
      </c>
      <c r="K449" s="1399"/>
      <c r="L449" s="1470"/>
      <c r="M449" s="108" t="s">
        <v>883</v>
      </c>
      <c r="N449" s="189">
        <v>2021.0</v>
      </c>
      <c r="O449" s="1400" t="s">
        <v>2623</v>
      </c>
      <c r="P449" s="1401" t="s">
        <v>278</v>
      </c>
      <c r="Q449" s="1402" t="s">
        <v>2813</v>
      </c>
      <c r="R449" s="1403" t="s">
        <v>2814</v>
      </c>
    </row>
    <row r="450" ht="13.5" customHeight="1">
      <c r="A450" s="95">
        <v>17.0</v>
      </c>
      <c r="B450" s="86" t="s">
        <v>2815</v>
      </c>
      <c r="C450" s="95" t="s">
        <v>5801</v>
      </c>
      <c r="D450" s="299" t="s">
        <v>6660</v>
      </c>
      <c r="E450" s="706" t="s">
        <v>5801</v>
      </c>
      <c r="F450" s="1469" t="s">
        <v>8666</v>
      </c>
      <c r="G450" s="80" t="s">
        <v>2794</v>
      </c>
      <c r="H450" s="137" t="s">
        <v>2626</v>
      </c>
      <c r="I450" s="80" t="str">
        <f>IFERROR(VLOOKUP(B450, '02. MM-KLH'!$B:$K, 9, FALSE),"")</f>
        <v>14/11/2023</v>
      </c>
      <c r="J450" s="213">
        <v>0.94</v>
      </c>
      <c r="K450" s="1399"/>
      <c r="L450" s="1470"/>
      <c r="M450" s="108" t="s">
        <v>883</v>
      </c>
      <c r="N450" s="189">
        <v>2021.0</v>
      </c>
      <c r="O450" s="1400" t="s">
        <v>2623</v>
      </c>
      <c r="P450" s="1401" t="s">
        <v>278</v>
      </c>
      <c r="Q450" s="1402">
        <v>2.2060447E7</v>
      </c>
      <c r="R450" s="1403" t="s">
        <v>2816</v>
      </c>
    </row>
    <row r="451" ht="13.5" customHeight="1">
      <c r="A451" s="95">
        <v>18.0</v>
      </c>
      <c r="B451" s="86" t="s">
        <v>2817</v>
      </c>
      <c r="C451" s="95" t="s">
        <v>6685</v>
      </c>
      <c r="D451" s="299" t="s">
        <v>6685</v>
      </c>
      <c r="E451" s="706" t="s">
        <v>5802</v>
      </c>
      <c r="F451" s="1469" t="s">
        <v>8666</v>
      </c>
      <c r="G451" s="80" t="s">
        <v>2794</v>
      </c>
      <c r="H451" s="137" t="s">
        <v>2626</v>
      </c>
      <c r="I451" s="80" t="str">
        <f>IFERROR(VLOOKUP(B451, '02. MM-KLH'!$B:$K, 9, FALSE),"")</f>
        <v>14/11/2023</v>
      </c>
      <c r="J451" s="213">
        <v>0.94</v>
      </c>
      <c r="K451" s="1399"/>
      <c r="L451" s="1470"/>
      <c r="M451" s="108" t="s">
        <v>883</v>
      </c>
      <c r="N451" s="189">
        <v>2021.0</v>
      </c>
      <c r="O451" s="1400" t="s">
        <v>2623</v>
      </c>
      <c r="P451" s="1401" t="s">
        <v>278</v>
      </c>
      <c r="Q451" s="1402">
        <v>2.206046E7</v>
      </c>
      <c r="R451" s="1403" t="s">
        <v>2818</v>
      </c>
    </row>
    <row r="452" ht="13.5" customHeight="1">
      <c r="A452" s="95">
        <v>19.0</v>
      </c>
      <c r="B452" s="86" t="s">
        <v>2819</v>
      </c>
      <c r="C452" s="95" t="s">
        <v>6686</v>
      </c>
      <c r="D452" s="187"/>
      <c r="E452" s="187"/>
      <c r="F452" s="1469" t="s">
        <v>8666</v>
      </c>
      <c r="G452" s="80" t="s">
        <v>2794</v>
      </c>
      <c r="H452" s="189" t="s">
        <v>2798</v>
      </c>
      <c r="I452" s="80" t="str">
        <f>IFERROR(VLOOKUP(B452, '02. MM-KLH'!$B:$K, 9, FALSE),"")</f>
        <v>Mới </v>
      </c>
      <c r="J452" s="187"/>
      <c r="K452" s="1399"/>
      <c r="L452" s="1470"/>
      <c r="M452" s="108" t="s">
        <v>883</v>
      </c>
      <c r="N452" s="189">
        <v>2021.0</v>
      </c>
      <c r="O452" s="1400" t="s">
        <v>2623</v>
      </c>
      <c r="P452" s="1401" t="s">
        <v>278</v>
      </c>
      <c r="Q452" s="1402" t="s">
        <v>2820</v>
      </c>
      <c r="R452" s="1403" t="s">
        <v>2821</v>
      </c>
    </row>
    <row r="453" ht="13.5" customHeight="1">
      <c r="A453" s="151" t="s">
        <v>8667</v>
      </c>
      <c r="B453" s="152" t="s">
        <v>8668</v>
      </c>
      <c r="C453" s="72"/>
      <c r="D453" s="72"/>
      <c r="E453" s="75"/>
      <c r="F453" s="72"/>
      <c r="G453" s="75"/>
      <c r="H453" s="79"/>
      <c r="I453" s="79" t="str">
        <f>IFERROR(VLOOKUP(B453, '02. MM-KLH'!$B:$K, 9, FALSE),"")</f>
        <v/>
      </c>
      <c r="J453" s="72"/>
      <c r="K453" s="1366"/>
      <c r="L453" s="1367"/>
      <c r="M453" s="75"/>
      <c r="N453" s="75"/>
      <c r="O453" s="75"/>
      <c r="P453" s="75"/>
      <c r="Q453" s="75"/>
      <c r="R453" s="75"/>
    </row>
    <row r="454" ht="13.5" customHeight="1">
      <c r="A454" s="80">
        <v>1.0</v>
      </c>
      <c r="B454" s="84" t="s">
        <v>2438</v>
      </c>
      <c r="C454" s="95" t="s">
        <v>5866</v>
      </c>
      <c r="D454" s="95" t="s">
        <v>8669</v>
      </c>
      <c r="E454" s="115" t="s">
        <v>5866</v>
      </c>
      <c r="F454" s="86" t="s">
        <v>8670</v>
      </c>
      <c r="G454" s="80" t="s">
        <v>65</v>
      </c>
      <c r="H454" s="99">
        <v>44197.0</v>
      </c>
      <c r="I454" s="80">
        <f>IFERROR(VLOOKUP(B454, '02. MM-KLH'!$B:$K, 9, FALSE),"")</f>
        <v>44197</v>
      </c>
      <c r="J454" s="102">
        <v>0.67</v>
      </c>
      <c r="K454" s="1369"/>
      <c r="L454" s="1370" t="s">
        <v>1032</v>
      </c>
      <c r="M454" s="108" t="s">
        <v>103</v>
      </c>
      <c r="N454" s="80">
        <v>2017.0</v>
      </c>
      <c r="O454" s="80" t="s">
        <v>2440</v>
      </c>
      <c r="P454" s="106" t="s">
        <v>2418</v>
      </c>
      <c r="Q454" s="108" t="s">
        <v>2441</v>
      </c>
      <c r="R454" s="110" t="s">
        <v>2442</v>
      </c>
    </row>
    <row r="455" ht="13.5" customHeight="1">
      <c r="A455" s="80">
        <v>2.0</v>
      </c>
      <c r="B455" s="84" t="s">
        <v>2443</v>
      </c>
      <c r="C455" s="95" t="s">
        <v>5868</v>
      </c>
      <c r="D455" s="95" t="s">
        <v>8671</v>
      </c>
      <c r="E455" s="115" t="s">
        <v>5868</v>
      </c>
      <c r="F455" s="86" t="s">
        <v>8670</v>
      </c>
      <c r="G455" s="80" t="s">
        <v>65</v>
      </c>
      <c r="H455" s="99">
        <v>44197.0</v>
      </c>
      <c r="I455" s="80">
        <f>IFERROR(VLOOKUP(B455, '02. MM-KLH'!$B:$K, 9, FALSE),"")</f>
        <v>44197</v>
      </c>
      <c r="J455" s="102">
        <v>0.67</v>
      </c>
      <c r="K455" s="1369"/>
      <c r="L455" s="1370" t="s">
        <v>1032</v>
      </c>
      <c r="M455" s="108" t="s">
        <v>103</v>
      </c>
      <c r="N455" s="80">
        <v>2017.0</v>
      </c>
      <c r="O455" s="80" t="s">
        <v>2440</v>
      </c>
      <c r="P455" s="106" t="s">
        <v>2418</v>
      </c>
      <c r="Q455" s="108" t="s">
        <v>2444</v>
      </c>
      <c r="R455" s="110" t="s">
        <v>2445</v>
      </c>
    </row>
    <row r="456" ht="13.5" customHeight="1">
      <c r="A456" s="80">
        <v>3.0</v>
      </c>
      <c r="B456" s="84" t="s">
        <v>2446</v>
      </c>
      <c r="C456" s="95" t="s">
        <v>5869</v>
      </c>
      <c r="D456" s="95" t="s">
        <v>8672</v>
      </c>
      <c r="E456" s="115" t="s">
        <v>5869</v>
      </c>
      <c r="F456" s="86" t="s">
        <v>8670</v>
      </c>
      <c r="G456" s="80" t="s">
        <v>65</v>
      </c>
      <c r="H456" s="99">
        <v>44197.0</v>
      </c>
      <c r="I456" s="80">
        <f>IFERROR(VLOOKUP(B456, '02. MM-KLH'!$B:$K, 9, FALSE),"")</f>
        <v>44197</v>
      </c>
      <c r="J456" s="102">
        <v>0.67</v>
      </c>
      <c r="K456" s="1369"/>
      <c r="L456" s="1370" t="s">
        <v>1032</v>
      </c>
      <c r="M456" s="108" t="s">
        <v>103</v>
      </c>
      <c r="N456" s="80">
        <v>2017.0</v>
      </c>
      <c r="O456" s="80" t="s">
        <v>2440</v>
      </c>
      <c r="P456" s="106" t="s">
        <v>2418</v>
      </c>
      <c r="Q456" s="108" t="s">
        <v>2447</v>
      </c>
      <c r="R456" s="110" t="s">
        <v>2448</v>
      </c>
    </row>
    <row r="457" ht="13.5" customHeight="1">
      <c r="A457" s="95">
        <v>4.0</v>
      </c>
      <c r="B457" s="113" t="s">
        <v>2449</v>
      </c>
      <c r="C457" s="95" t="s">
        <v>5870</v>
      </c>
      <c r="D457" s="95" t="s">
        <v>8673</v>
      </c>
      <c r="E457" s="115" t="s">
        <v>5870</v>
      </c>
      <c r="F457" s="115" t="s">
        <v>8674</v>
      </c>
      <c r="G457" s="95" t="s">
        <v>65</v>
      </c>
      <c r="H457" s="116">
        <v>44197.0</v>
      </c>
      <c r="I457" s="80">
        <f>IFERROR(VLOOKUP(B457, '02. MM-KLH'!$B:$K, 9, FALSE),"")</f>
        <v>44197</v>
      </c>
      <c r="J457" s="102">
        <v>0.68</v>
      </c>
      <c r="K457" s="1372"/>
      <c r="L457" s="1373" t="s">
        <v>2451</v>
      </c>
      <c r="M457" s="110" t="s">
        <v>883</v>
      </c>
      <c r="N457" s="95">
        <v>2018.0</v>
      </c>
      <c r="O457" s="95" t="s">
        <v>2452</v>
      </c>
      <c r="P457" s="119" t="s">
        <v>2453</v>
      </c>
      <c r="Q457" s="110" t="s">
        <v>2454</v>
      </c>
      <c r="R457" s="110" t="s">
        <v>2455</v>
      </c>
    </row>
    <row r="458" ht="13.5" customHeight="1">
      <c r="A458" s="80">
        <v>5.0</v>
      </c>
      <c r="B458" s="84" t="s">
        <v>2456</v>
      </c>
      <c r="C458" s="95" t="s">
        <v>5872</v>
      </c>
      <c r="D458" s="95" t="s">
        <v>8675</v>
      </c>
      <c r="E458" s="115" t="s">
        <v>5872</v>
      </c>
      <c r="F458" s="86" t="s">
        <v>8676</v>
      </c>
      <c r="G458" s="80" t="s">
        <v>65</v>
      </c>
      <c r="H458" s="99" t="s">
        <v>2459</v>
      </c>
      <c r="I458" s="80" t="str">
        <f>IFERROR(VLOOKUP(B458, '02. MM-KLH'!$B:$K, 9, FALSE),"")</f>
        <v>17/12/2023</v>
      </c>
      <c r="J458" s="102">
        <v>0.98</v>
      </c>
      <c r="K458" s="1369"/>
      <c r="L458" s="1370" t="s">
        <v>2460</v>
      </c>
      <c r="M458" s="108" t="s">
        <v>883</v>
      </c>
      <c r="N458" s="80">
        <v>2023.0</v>
      </c>
      <c r="O458" s="80" t="s">
        <v>2461</v>
      </c>
      <c r="P458" s="106" t="s">
        <v>2462</v>
      </c>
      <c r="Q458" s="108" t="s">
        <v>2463</v>
      </c>
      <c r="R458" s="110" t="s">
        <v>2464</v>
      </c>
    </row>
    <row r="459" ht="13.5" customHeight="1">
      <c r="A459" s="80">
        <v>6.0</v>
      </c>
      <c r="B459" s="84" t="s">
        <v>2465</v>
      </c>
      <c r="C459" s="95" t="s">
        <v>5873</v>
      </c>
      <c r="D459" s="95" t="s">
        <v>8677</v>
      </c>
      <c r="E459" s="115" t="s">
        <v>5873</v>
      </c>
      <c r="F459" s="86" t="s">
        <v>8676</v>
      </c>
      <c r="G459" s="80" t="s">
        <v>65</v>
      </c>
      <c r="H459" s="99">
        <v>45150.0</v>
      </c>
      <c r="I459" s="80">
        <f>IFERROR(VLOOKUP(B459, '02. MM-KLH'!$B:$K, 9, FALSE),"")</f>
        <v>45150</v>
      </c>
      <c r="J459" s="102">
        <v>0.98</v>
      </c>
      <c r="K459" s="1369"/>
      <c r="L459" s="1370" t="s">
        <v>2460</v>
      </c>
      <c r="M459" s="108" t="s">
        <v>883</v>
      </c>
      <c r="N459" s="80">
        <v>2023.0</v>
      </c>
      <c r="O459" s="80" t="s">
        <v>2461</v>
      </c>
      <c r="P459" s="106" t="s">
        <v>2462</v>
      </c>
      <c r="Q459" s="108" t="s">
        <v>2467</v>
      </c>
      <c r="R459" s="110" t="s">
        <v>2468</v>
      </c>
    </row>
    <row r="460" ht="13.5" customHeight="1">
      <c r="A460" s="80">
        <v>7.0</v>
      </c>
      <c r="B460" s="84" t="s">
        <v>2469</v>
      </c>
      <c r="C460" s="95" t="s">
        <v>5874</v>
      </c>
      <c r="D460" s="95" t="s">
        <v>8678</v>
      </c>
      <c r="E460" s="115" t="s">
        <v>5874</v>
      </c>
      <c r="F460" s="86" t="s">
        <v>8676</v>
      </c>
      <c r="G460" s="80" t="s">
        <v>65</v>
      </c>
      <c r="H460" s="99">
        <v>45150.0</v>
      </c>
      <c r="I460" s="80">
        <f>IFERROR(VLOOKUP(B460, '02. MM-KLH'!$B:$K, 9, FALSE),"")</f>
        <v>45150</v>
      </c>
      <c r="J460" s="102">
        <v>0.98</v>
      </c>
      <c r="K460" s="1369"/>
      <c r="L460" s="1370" t="s">
        <v>2460</v>
      </c>
      <c r="M460" s="108" t="s">
        <v>883</v>
      </c>
      <c r="N460" s="80">
        <v>2023.0</v>
      </c>
      <c r="O460" s="80" t="s">
        <v>2461</v>
      </c>
      <c r="P460" s="106" t="s">
        <v>2462</v>
      </c>
      <c r="Q460" s="108" t="s">
        <v>2471</v>
      </c>
      <c r="R460" s="110" t="s">
        <v>2472</v>
      </c>
    </row>
    <row r="461" ht="13.5" customHeight="1">
      <c r="A461" s="80">
        <v>8.0</v>
      </c>
      <c r="B461" s="84" t="s">
        <v>2473</v>
      </c>
      <c r="C461" s="95" t="s">
        <v>5876</v>
      </c>
      <c r="D461" s="95" t="s">
        <v>8679</v>
      </c>
      <c r="E461" s="115" t="s">
        <v>5876</v>
      </c>
      <c r="F461" s="86" t="s">
        <v>8676</v>
      </c>
      <c r="G461" s="80" t="s">
        <v>65</v>
      </c>
      <c r="H461" s="99">
        <v>45150.0</v>
      </c>
      <c r="I461" s="80">
        <f>IFERROR(VLOOKUP(B461, '02. MM-KLH'!$B:$K, 9, FALSE),"")</f>
        <v>45150</v>
      </c>
      <c r="J461" s="102">
        <v>0.98</v>
      </c>
      <c r="K461" s="1369"/>
      <c r="L461" s="1370" t="s">
        <v>2460</v>
      </c>
      <c r="M461" s="108" t="s">
        <v>883</v>
      </c>
      <c r="N461" s="80">
        <v>2023.0</v>
      </c>
      <c r="O461" s="80" t="s">
        <v>2461</v>
      </c>
      <c r="P461" s="106" t="s">
        <v>2462</v>
      </c>
      <c r="Q461" s="108" t="s">
        <v>2475</v>
      </c>
      <c r="R461" s="110" t="s">
        <v>2476</v>
      </c>
    </row>
    <row r="462" ht="13.5" customHeight="1">
      <c r="A462" s="80">
        <v>9.0</v>
      </c>
      <c r="B462" s="84" t="s">
        <v>2477</v>
      </c>
      <c r="C462" s="95" t="s">
        <v>5878</v>
      </c>
      <c r="D462" s="95" t="s">
        <v>8680</v>
      </c>
      <c r="E462" s="115" t="s">
        <v>5878</v>
      </c>
      <c r="F462" s="86" t="s">
        <v>8676</v>
      </c>
      <c r="G462" s="80" t="s">
        <v>65</v>
      </c>
      <c r="H462" s="99">
        <v>45150.0</v>
      </c>
      <c r="I462" s="80">
        <f>IFERROR(VLOOKUP(B462, '02. MM-KLH'!$B:$K, 9, FALSE),"")</f>
        <v>45150</v>
      </c>
      <c r="J462" s="102">
        <v>0.98</v>
      </c>
      <c r="K462" s="1369"/>
      <c r="L462" s="1370" t="s">
        <v>2460</v>
      </c>
      <c r="M462" s="108" t="s">
        <v>883</v>
      </c>
      <c r="N462" s="80">
        <v>2023.0</v>
      </c>
      <c r="O462" s="80" t="s">
        <v>2461</v>
      </c>
      <c r="P462" s="106" t="s">
        <v>2462</v>
      </c>
      <c r="Q462" s="108" t="s">
        <v>2480</v>
      </c>
      <c r="R462" s="110" t="s">
        <v>2481</v>
      </c>
    </row>
    <row r="463" ht="13.5" customHeight="1">
      <c r="A463" s="80">
        <v>10.0</v>
      </c>
      <c r="B463" s="84" t="s">
        <v>2482</v>
      </c>
      <c r="C463" s="95" t="s">
        <v>5882</v>
      </c>
      <c r="D463" s="95" t="s">
        <v>8681</v>
      </c>
      <c r="E463" s="115" t="s">
        <v>5882</v>
      </c>
      <c r="F463" s="86" t="s">
        <v>8676</v>
      </c>
      <c r="G463" s="80" t="s">
        <v>65</v>
      </c>
      <c r="H463" s="99">
        <v>45150.0</v>
      </c>
      <c r="I463" s="80">
        <f>IFERROR(VLOOKUP(B463, '02. MM-KLH'!$B:$K, 9, FALSE),"")</f>
        <v>45150</v>
      </c>
      <c r="J463" s="102">
        <v>0.98</v>
      </c>
      <c r="K463" s="1369"/>
      <c r="L463" s="1370" t="s">
        <v>2460</v>
      </c>
      <c r="M463" s="108" t="s">
        <v>883</v>
      </c>
      <c r="N463" s="80">
        <v>2023.0</v>
      </c>
      <c r="O463" s="80" t="s">
        <v>2461</v>
      </c>
      <c r="P463" s="106" t="s">
        <v>2462</v>
      </c>
      <c r="Q463" s="108" t="s">
        <v>2484</v>
      </c>
      <c r="R463" s="110" t="s">
        <v>2485</v>
      </c>
    </row>
    <row r="464" ht="13.5" customHeight="1">
      <c r="A464" s="151" t="s">
        <v>8682</v>
      </c>
      <c r="B464" s="152" t="s">
        <v>8683</v>
      </c>
      <c r="C464" s="72"/>
      <c r="D464" s="72"/>
      <c r="E464" s="75"/>
      <c r="F464" s="72"/>
      <c r="G464" s="75"/>
      <c r="H464" s="79"/>
      <c r="I464" s="79" t="str">
        <f>IFERROR(VLOOKUP(B464, '02. MM-KLH'!$B:$K, 9, FALSE),"")</f>
        <v/>
      </c>
      <c r="J464" s="72"/>
      <c r="K464" s="1366"/>
      <c r="L464" s="1367"/>
      <c r="M464" s="75"/>
      <c r="N464" s="75"/>
      <c r="O464" s="75"/>
      <c r="P464" s="75"/>
      <c r="Q464" s="75"/>
      <c r="R464" s="75"/>
    </row>
    <row r="465" ht="13.5" customHeight="1">
      <c r="A465" s="80">
        <v>1.0</v>
      </c>
      <c r="B465" s="84" t="s">
        <v>8684</v>
      </c>
      <c r="C465" s="95" t="s">
        <v>6428</v>
      </c>
      <c r="D465" s="95" t="s">
        <v>8685</v>
      </c>
      <c r="E465" s="115" t="s">
        <v>6428</v>
      </c>
      <c r="F465" s="86" t="s">
        <v>1357</v>
      </c>
      <c r="G465" s="80" t="s">
        <v>2657</v>
      </c>
      <c r="H465" s="99">
        <v>45181.0</v>
      </c>
      <c r="I465" s="80" t="str">
        <f>IFERROR(VLOOKUP(B465, '02. MM-KLH'!$B:$K, 9, FALSE),"")</f>
        <v/>
      </c>
      <c r="J465" s="102">
        <v>0.95</v>
      </c>
      <c r="K465" s="1369"/>
      <c r="L465" s="1370" t="s">
        <v>1359</v>
      </c>
      <c r="M465" s="108" t="s">
        <v>883</v>
      </c>
      <c r="N465" s="80">
        <v>2022.0</v>
      </c>
      <c r="O465" s="80" t="s">
        <v>1360</v>
      </c>
      <c r="P465" s="106" t="s">
        <v>1361</v>
      </c>
      <c r="Q465" s="108"/>
      <c r="R465" s="110" t="s">
        <v>1362</v>
      </c>
    </row>
    <row r="466" ht="13.5" customHeight="1">
      <c r="A466" s="151" t="s">
        <v>8686</v>
      </c>
      <c r="B466" s="152" t="s">
        <v>2844</v>
      </c>
      <c r="C466" s="72"/>
      <c r="D466" s="72"/>
      <c r="E466" s="75"/>
      <c r="F466" s="72"/>
      <c r="G466" s="75"/>
      <c r="H466" s="79"/>
      <c r="I466" s="79" t="str">
        <f>IFERROR(VLOOKUP(B466, '02. MM-KLH'!$B:$K, 9, FALSE),"")</f>
        <v/>
      </c>
      <c r="J466" s="72"/>
      <c r="K466" s="1366"/>
      <c r="L466" s="1367"/>
      <c r="M466" s="75"/>
      <c r="N466" s="75"/>
      <c r="O466" s="75"/>
      <c r="P466" s="75"/>
      <c r="Q466" s="75"/>
      <c r="R466" s="75"/>
    </row>
    <row r="467" ht="13.5" customHeight="1">
      <c r="A467" s="80">
        <v>3.0</v>
      </c>
      <c r="B467" s="86" t="s">
        <v>2843</v>
      </c>
      <c r="C467" s="137" t="s">
        <v>6688</v>
      </c>
      <c r="D467" s="137"/>
      <c r="E467" s="137"/>
      <c r="F467" s="706" t="s">
        <v>8687</v>
      </c>
      <c r="G467" s="80" t="s">
        <v>2850</v>
      </c>
      <c r="H467" s="193">
        <v>45058.0</v>
      </c>
      <c r="I467" s="80">
        <f>IFERROR(VLOOKUP(B467, '02. MM-KLH'!$B:$K, 9, FALSE),"")</f>
        <v>45058</v>
      </c>
      <c r="J467" s="275"/>
      <c r="K467" s="1399"/>
      <c r="L467" s="833" t="s">
        <v>1093</v>
      </c>
      <c r="M467" s="108" t="s">
        <v>148</v>
      </c>
      <c r="N467" s="137"/>
      <c r="O467" s="1400" t="s">
        <v>2846</v>
      </c>
      <c r="P467" s="1401" t="s">
        <v>2847</v>
      </c>
      <c r="Q467" s="1402" t="s">
        <v>2848</v>
      </c>
      <c r="R467" s="1403" t="s">
        <v>2849</v>
      </c>
    </row>
    <row r="468" ht="13.5" customHeight="1">
      <c r="A468" s="80">
        <v>4.0</v>
      </c>
      <c r="B468" s="86" t="s">
        <v>2851</v>
      </c>
      <c r="C468" s="137" t="s">
        <v>6689</v>
      </c>
      <c r="D468" s="137"/>
      <c r="E468" s="137"/>
      <c r="F468" s="706" t="s">
        <v>8687</v>
      </c>
      <c r="G468" s="80" t="s">
        <v>8583</v>
      </c>
      <c r="H468" s="193"/>
      <c r="I468" s="80" t="str">
        <f>IFERROR(VLOOKUP(B468, '02. MM-KLH'!$B:$K, 9, FALSE),"")</f>
        <v/>
      </c>
      <c r="J468" s="275"/>
      <c r="K468" s="1399"/>
      <c r="L468" s="833" t="s">
        <v>1093</v>
      </c>
      <c r="M468" s="108" t="s">
        <v>148</v>
      </c>
      <c r="N468" s="137"/>
      <c r="O468" s="1400" t="s">
        <v>2846</v>
      </c>
      <c r="P468" s="1401" t="s">
        <v>2847</v>
      </c>
      <c r="Q468" s="1402" t="s">
        <v>2853</v>
      </c>
      <c r="R468" s="1403" t="s">
        <v>2854</v>
      </c>
    </row>
    <row r="469" ht="13.5" customHeight="1">
      <c r="A469" s="80">
        <v>5.0</v>
      </c>
      <c r="B469" s="86" t="s">
        <v>2855</v>
      </c>
      <c r="C469" s="137" t="s">
        <v>6690</v>
      </c>
      <c r="D469" s="137"/>
      <c r="E469" s="137"/>
      <c r="F469" s="706" t="s">
        <v>8688</v>
      </c>
      <c r="G469" s="80" t="s">
        <v>70</v>
      </c>
      <c r="H469" s="193"/>
      <c r="I469" s="80" t="str">
        <f>IFERROR(VLOOKUP(B469, '02. MM-KLH'!$B:$K, 9, FALSE),"")</f>
        <v/>
      </c>
      <c r="J469" s="275"/>
      <c r="K469" s="1399"/>
      <c r="L469" s="833" t="s">
        <v>1093</v>
      </c>
      <c r="M469" s="108" t="s">
        <v>148</v>
      </c>
      <c r="N469" s="137"/>
      <c r="O469" s="1400" t="s">
        <v>2846</v>
      </c>
      <c r="P469" s="1401" t="s">
        <v>2847</v>
      </c>
      <c r="Q469" s="1402" t="s">
        <v>96</v>
      </c>
      <c r="R469" s="1403" t="s">
        <v>2858</v>
      </c>
    </row>
    <row r="470" ht="13.5" customHeight="1">
      <c r="A470" s="76" t="s">
        <v>2791</v>
      </c>
      <c r="B470" s="55"/>
      <c r="C470" s="59"/>
      <c r="D470" s="59"/>
      <c r="E470" s="55"/>
      <c r="F470" s="59">
        <f>COUNTA(B471:B475)</f>
        <v>5</v>
      </c>
      <c r="G470" s="55"/>
      <c r="H470" s="62"/>
      <c r="I470" s="62"/>
      <c r="J470" s="59"/>
      <c r="K470" s="81"/>
      <c r="L470" s="1365"/>
      <c r="M470" s="55"/>
      <c r="N470" s="55"/>
      <c r="O470" s="55"/>
      <c r="P470" s="55"/>
      <c r="Q470" s="55"/>
      <c r="R470" s="55"/>
    </row>
    <row r="471" ht="13.5" customHeight="1">
      <c r="A471" s="80">
        <v>1.0</v>
      </c>
      <c r="B471" s="86" t="s">
        <v>2792</v>
      </c>
      <c r="C471" s="95" t="s">
        <v>76</v>
      </c>
      <c r="D471" s="95"/>
      <c r="E471" s="115"/>
      <c r="F471" s="86" t="s">
        <v>2263</v>
      </c>
      <c r="G471" s="80" t="s">
        <v>2794</v>
      </c>
      <c r="H471" s="80" t="s">
        <v>2795</v>
      </c>
      <c r="I471" s="80" t="str">
        <f>IFERROR(VLOOKUP(B471, '02. MM-KLH'!$B:$K, 9, FALSE),"")</f>
        <v>Đã qua sử dụng</v>
      </c>
      <c r="J471" s="106"/>
      <c r="K471" s="1369"/>
      <c r="L471" s="1387" t="s">
        <v>743</v>
      </c>
      <c r="M471" s="108" t="s">
        <v>148</v>
      </c>
      <c r="N471" s="80"/>
      <c r="O471" s="80" t="s">
        <v>2372</v>
      </c>
      <c r="P471" s="80" t="s">
        <v>413</v>
      </c>
      <c r="Q471" s="108" t="s">
        <v>2796</v>
      </c>
      <c r="R471" s="110" t="s">
        <v>96</v>
      </c>
    </row>
    <row r="472" ht="13.5" customHeight="1">
      <c r="A472" s="80">
        <v>2.0</v>
      </c>
      <c r="B472" s="86" t="s">
        <v>2797</v>
      </c>
      <c r="C472" s="189" t="s">
        <v>76</v>
      </c>
      <c r="D472" s="187"/>
      <c r="E472" s="187"/>
      <c r="F472" s="1475" t="s">
        <v>8689</v>
      </c>
      <c r="G472" s="80" t="s">
        <v>2794</v>
      </c>
      <c r="H472" s="189" t="s">
        <v>2798</v>
      </c>
      <c r="I472" s="80" t="str">
        <f>IFERROR(VLOOKUP(B472, '02. MM-KLH'!$B:$K, 9, FALSE),"")</f>
        <v>Mới </v>
      </c>
      <c r="J472" s="187"/>
      <c r="K472" s="1399"/>
      <c r="L472" s="1387" t="s">
        <v>743</v>
      </c>
      <c r="M472" s="108" t="s">
        <v>148</v>
      </c>
      <c r="N472" s="187"/>
      <c r="O472" s="187"/>
      <c r="P472" s="187"/>
      <c r="Q472" s="190"/>
      <c r="R472" s="294"/>
    </row>
    <row r="473" ht="13.5" customHeight="1">
      <c r="A473" s="80">
        <v>3.0</v>
      </c>
      <c r="B473" s="86" t="s">
        <v>2800</v>
      </c>
      <c r="C473" s="189" t="s">
        <v>76</v>
      </c>
      <c r="D473" s="187"/>
      <c r="E473" s="187"/>
      <c r="F473" s="705" t="s">
        <v>2511</v>
      </c>
      <c r="G473" s="80" t="s">
        <v>2794</v>
      </c>
      <c r="H473" s="80" t="s">
        <v>2795</v>
      </c>
      <c r="I473" s="80" t="str">
        <f>IFERROR(VLOOKUP(B473, '02. MM-KLH'!$B:$K, 9, FALSE),"")</f>
        <v>Đã qua sử dụng</v>
      </c>
      <c r="J473" s="187"/>
      <c r="K473" s="1399"/>
      <c r="L473" s="1387" t="s">
        <v>743</v>
      </c>
      <c r="M473" s="108" t="s">
        <v>148</v>
      </c>
      <c r="N473" s="187"/>
      <c r="O473" s="187"/>
      <c r="P473" s="187"/>
      <c r="Q473" s="190"/>
      <c r="R473" s="294"/>
    </row>
    <row r="474" ht="13.5" customHeight="1">
      <c r="A474" s="80">
        <v>4.0</v>
      </c>
      <c r="B474" s="86" t="s">
        <v>2802</v>
      </c>
      <c r="C474" s="189" t="s">
        <v>76</v>
      </c>
      <c r="D474" s="187"/>
      <c r="E474" s="187"/>
      <c r="F474" s="1476" t="s">
        <v>2803</v>
      </c>
      <c r="G474" s="80" t="s">
        <v>2794</v>
      </c>
      <c r="H474" s="80" t="s">
        <v>2795</v>
      </c>
      <c r="I474" s="80" t="str">
        <f>IFERROR(VLOOKUP(B474, '02. MM-KLH'!$B:$K, 9, FALSE),"")</f>
        <v>Đã qua sử dụng</v>
      </c>
      <c r="J474" s="187"/>
      <c r="K474" s="1399"/>
      <c r="L474" s="1470"/>
      <c r="M474" s="190"/>
      <c r="N474" s="187"/>
      <c r="O474" s="187"/>
      <c r="P474" s="187"/>
      <c r="Q474" s="190"/>
      <c r="R474" s="294"/>
    </row>
    <row r="475" ht="13.5" customHeight="1">
      <c r="A475" s="80">
        <v>5.0</v>
      </c>
      <c r="B475" s="86" t="s">
        <v>2804</v>
      </c>
      <c r="C475" s="189" t="s">
        <v>76</v>
      </c>
      <c r="D475" s="187"/>
      <c r="E475" s="187"/>
      <c r="F475" s="1477" t="s">
        <v>2806</v>
      </c>
      <c r="G475" s="80" t="s">
        <v>2794</v>
      </c>
      <c r="H475" s="80" t="s">
        <v>2795</v>
      </c>
      <c r="I475" s="80" t="str">
        <f>IFERROR(VLOOKUP(B475, '02. MM-KLH'!$B:$K, 9, FALSE),"")</f>
        <v>Đã qua sử dụng</v>
      </c>
      <c r="J475" s="187"/>
      <c r="K475" s="1399"/>
      <c r="L475" s="1478" t="s">
        <v>2807</v>
      </c>
      <c r="M475" s="141" t="s">
        <v>2808</v>
      </c>
      <c r="N475" s="187"/>
      <c r="O475" s="187"/>
      <c r="P475" s="187"/>
      <c r="Q475" s="190"/>
      <c r="R475" s="294"/>
    </row>
    <row r="476" ht="13.5" customHeight="1">
      <c r="A476" s="151" t="s">
        <v>2944</v>
      </c>
      <c r="B476" s="152" t="s">
        <v>2945</v>
      </c>
      <c r="C476" s="72"/>
      <c r="D476" s="72"/>
      <c r="E476" s="72"/>
      <c r="F476" s="72"/>
      <c r="G476" s="72"/>
      <c r="H476" s="1479"/>
      <c r="I476" s="80" t="str">
        <f>IFERROR(VLOOKUP(B476, '02. MM-KLH'!$B:$K, 9, FALSE),"")</f>
        <v/>
      </c>
      <c r="J476" s="72"/>
      <c r="K476" s="1366"/>
      <c r="L476" s="1367"/>
      <c r="M476" s="75"/>
      <c r="N476" s="72"/>
      <c r="O476" s="72"/>
      <c r="P476" s="72"/>
      <c r="Q476" s="75"/>
      <c r="R476" s="1480"/>
    </row>
    <row r="477" ht="13.5" customHeight="1">
      <c r="A477" s="649" t="s">
        <v>2947</v>
      </c>
      <c r="B477" s="650" t="s">
        <v>2948</v>
      </c>
      <c r="C477" s="651"/>
      <c r="D477" s="651"/>
      <c r="E477" s="651"/>
      <c r="F477" s="651">
        <f>COUNTA(B478:B480)</f>
        <v>3</v>
      </c>
      <c r="G477" s="651"/>
      <c r="H477" s="652"/>
      <c r="I477" s="652"/>
      <c r="J477" s="651"/>
      <c r="K477" s="1481"/>
      <c r="L477" s="1482"/>
      <c r="M477" s="653"/>
      <c r="N477" s="651"/>
      <c r="O477" s="651"/>
      <c r="P477" s="651"/>
      <c r="Q477" s="653"/>
      <c r="R477" s="654"/>
    </row>
    <row r="478" ht="13.5" customHeight="1">
      <c r="A478" s="80">
        <v>1.0</v>
      </c>
      <c r="B478" s="86" t="s">
        <v>2949</v>
      </c>
      <c r="C478" s="95" t="s">
        <v>76</v>
      </c>
      <c r="D478" s="95"/>
      <c r="E478" s="115"/>
      <c r="F478" s="86" t="s">
        <v>8303</v>
      </c>
      <c r="G478" s="80" t="s">
        <v>1010</v>
      </c>
      <c r="H478" s="99" t="s">
        <v>2952</v>
      </c>
      <c r="I478" s="80" t="str">
        <f>IFERROR(VLOOKUP(B478, '02. MM-KLH'!$B:$K, 9, FALSE),"")</f>
        <v>Chưa phân bổ</v>
      </c>
      <c r="J478" s="106"/>
      <c r="K478" s="1369"/>
      <c r="L478" s="1370" t="s">
        <v>300</v>
      </c>
      <c r="M478" s="108" t="s">
        <v>148</v>
      </c>
      <c r="N478" s="80">
        <v>2018.0</v>
      </c>
      <c r="O478" s="80" t="s">
        <v>1144</v>
      </c>
      <c r="P478" s="106" t="s">
        <v>112</v>
      </c>
      <c r="Q478" s="108" t="s">
        <v>2953</v>
      </c>
      <c r="R478" s="110" t="s">
        <v>2954</v>
      </c>
    </row>
    <row r="479" ht="13.5" customHeight="1">
      <c r="A479" s="80">
        <v>2.0</v>
      </c>
      <c r="B479" s="86" t="s">
        <v>8690</v>
      </c>
      <c r="C479" s="95" t="s">
        <v>76</v>
      </c>
      <c r="D479" s="95"/>
      <c r="E479" s="115"/>
      <c r="F479" s="86" t="s">
        <v>8691</v>
      </c>
      <c r="G479" s="80" t="s">
        <v>2951</v>
      </c>
      <c r="H479" s="80" t="s">
        <v>2952</v>
      </c>
      <c r="I479" s="80" t="str">
        <f>IFERROR(VLOOKUP(B479, '02. MM-KLH'!$B:$K, 9, FALSE),"")</f>
        <v/>
      </c>
      <c r="J479" s="102"/>
      <c r="K479" s="1483">
        <v>45388.0</v>
      </c>
      <c r="L479" s="1387" t="s">
        <v>680</v>
      </c>
      <c r="M479" s="108" t="s">
        <v>222</v>
      </c>
      <c r="N479" s="80">
        <v>2016.0</v>
      </c>
      <c r="O479" s="80" t="s">
        <v>681</v>
      </c>
      <c r="P479" s="80" t="s">
        <v>705</v>
      </c>
      <c r="Q479" s="108" t="s">
        <v>683</v>
      </c>
      <c r="R479" s="110" t="s">
        <v>684</v>
      </c>
    </row>
    <row r="480" ht="13.5" customHeight="1">
      <c r="A480" s="80">
        <v>3.0</v>
      </c>
      <c r="B480" s="84" t="s">
        <v>1610</v>
      </c>
      <c r="C480" s="289" t="s">
        <v>76</v>
      </c>
      <c r="D480" s="289" t="s">
        <v>8588</v>
      </c>
      <c r="E480" s="115"/>
      <c r="F480" s="86" t="s">
        <v>8320</v>
      </c>
      <c r="G480" s="80" t="s">
        <v>2964</v>
      </c>
      <c r="H480" s="80" t="s">
        <v>2952</v>
      </c>
      <c r="I480" s="80" t="str">
        <f>IFERROR(VLOOKUP(B480, '02. MM-KLH'!$B:$K, 9, FALSE),"")</f>
        <v/>
      </c>
      <c r="J480" s="106"/>
      <c r="K480" s="1371" t="s">
        <v>8692</v>
      </c>
      <c r="L480" s="1370" t="s">
        <v>743</v>
      </c>
      <c r="M480" s="108" t="s">
        <v>148</v>
      </c>
      <c r="N480" s="80">
        <v>2018.0</v>
      </c>
      <c r="O480" s="80" t="s">
        <v>860</v>
      </c>
      <c r="P480" s="106" t="s">
        <v>861</v>
      </c>
      <c r="Q480" s="108" t="s">
        <v>1612</v>
      </c>
      <c r="R480" s="110" t="s">
        <v>96</v>
      </c>
    </row>
    <row r="481" ht="13.5" customHeight="1">
      <c r="A481" s="649" t="s">
        <v>2642</v>
      </c>
      <c r="B481" s="650" t="s">
        <v>8693</v>
      </c>
      <c r="C481" s="651"/>
      <c r="D481" s="651"/>
      <c r="E481" s="651">
        <f>counta(#REF!)</f>
        <v>1</v>
      </c>
      <c r="F481" s="651"/>
      <c r="G481" s="651"/>
      <c r="H481" s="652"/>
      <c r="I481" s="652"/>
      <c r="J481" s="651"/>
      <c r="K481" s="1481"/>
      <c r="L481" s="1482"/>
      <c r="M481" s="653"/>
      <c r="N481" s="651"/>
      <c r="O481" s="651"/>
      <c r="P481" s="651"/>
      <c r="Q481" s="653"/>
      <c r="R481" s="654"/>
    </row>
    <row r="482" ht="13.5" customHeight="1">
      <c r="A482" s="289">
        <v>1.0</v>
      </c>
      <c r="B482" s="911"/>
      <c r="C482" s="269"/>
      <c r="D482" s="269"/>
      <c r="E482" s="914"/>
      <c r="F482" s="911" t="s">
        <v>8320</v>
      </c>
      <c r="G482" s="1407" t="s">
        <v>2964</v>
      </c>
      <c r="H482" s="1484"/>
      <c r="I482" s="80" t="str">
        <f>IFERROR(VLOOKUP(B482, '02. MM-KLH'!$B:$K, 9, FALSE),"")</f>
        <v/>
      </c>
      <c r="J482" s="1407"/>
      <c r="K482" s="1408" t="s">
        <v>6447</v>
      </c>
      <c r="L482" s="1485" t="s">
        <v>743</v>
      </c>
      <c r="M482" s="1486" t="s">
        <v>148</v>
      </c>
      <c r="N482" s="289">
        <v>2018.0</v>
      </c>
      <c r="O482" s="289" t="s">
        <v>860</v>
      </c>
      <c r="P482" s="289" t="s">
        <v>861</v>
      </c>
      <c r="Q482" s="1486" t="s">
        <v>2966</v>
      </c>
      <c r="R482" s="1487" t="s">
        <v>96</v>
      </c>
    </row>
    <row r="483" ht="13.5" customHeight="1">
      <c r="A483" s="289">
        <v>2.0</v>
      </c>
      <c r="B483" s="911"/>
      <c r="C483" s="269"/>
      <c r="D483" s="269"/>
      <c r="E483" s="914"/>
      <c r="F483" s="911" t="s">
        <v>6450</v>
      </c>
      <c r="G483" s="1407" t="s">
        <v>2964</v>
      </c>
      <c r="H483" s="1484"/>
      <c r="I483" s="80" t="str">
        <f>IFERROR(VLOOKUP(B483, '02. MM-KLH'!$B:$K, 9, FALSE),"")</f>
        <v/>
      </c>
      <c r="J483" s="1407"/>
      <c r="K483" s="1408" t="s">
        <v>6447</v>
      </c>
      <c r="L483" s="1485" t="s">
        <v>2609</v>
      </c>
      <c r="M483" s="1486" t="s">
        <v>148</v>
      </c>
      <c r="N483" s="289"/>
      <c r="O483" s="289"/>
      <c r="P483" s="289"/>
      <c r="Q483" s="1486" t="s">
        <v>2968</v>
      </c>
      <c r="R483" s="1487" t="s">
        <v>96</v>
      </c>
    </row>
    <row r="484" ht="13.5" customHeight="1">
      <c r="A484" s="289">
        <v>3.0</v>
      </c>
      <c r="B484" s="914" t="s">
        <v>2969</v>
      </c>
      <c r="C484" s="1407"/>
      <c r="D484" s="1407"/>
      <c r="E484" s="914"/>
      <c r="F484" s="911" t="s">
        <v>6452</v>
      </c>
      <c r="G484" s="1407" t="s">
        <v>836</v>
      </c>
      <c r="H484" s="1484"/>
      <c r="I484" s="80" t="str">
        <f>IFERROR(VLOOKUP(B484, '02. MM-KLH'!$B:$K, 9, FALSE),"")</f>
        <v/>
      </c>
      <c r="J484" s="1407"/>
      <c r="K484" s="1408" t="s">
        <v>6447</v>
      </c>
      <c r="L484" s="1485" t="s">
        <v>1441</v>
      </c>
      <c r="M484" s="1486" t="s">
        <v>84</v>
      </c>
      <c r="N484" s="1407"/>
      <c r="O484" s="289">
        <v>303.0</v>
      </c>
      <c r="P484" s="1407"/>
      <c r="Q484" s="1486">
        <v>857.0</v>
      </c>
      <c r="R484" s="1488">
        <v>4262.0</v>
      </c>
    </row>
    <row r="485" ht="13.5" customHeight="1">
      <c r="A485" s="289">
        <v>4.0</v>
      </c>
      <c r="B485" s="914" t="s">
        <v>2987</v>
      </c>
      <c r="C485" s="920"/>
      <c r="D485" s="920"/>
      <c r="E485" s="910"/>
      <c r="F485" s="911" t="s">
        <v>2989</v>
      </c>
      <c r="G485" s="289" t="s">
        <v>55</v>
      </c>
      <c r="H485" s="1489"/>
      <c r="I485" s="80" t="str">
        <f>IFERROR(VLOOKUP(B485, '02. MM-KLH'!$B:$K, 9, FALSE),"")</f>
        <v/>
      </c>
      <c r="J485" s="1407"/>
      <c r="K485" s="1408" t="s">
        <v>6447</v>
      </c>
      <c r="L485" s="1490" t="s">
        <v>905</v>
      </c>
      <c r="M485" s="1486"/>
      <c r="N485" s="289"/>
      <c r="O485" s="289"/>
      <c r="P485" s="1407"/>
      <c r="Q485" s="1491" t="s">
        <v>2990</v>
      </c>
      <c r="R485" s="1487" t="s">
        <v>96</v>
      </c>
    </row>
    <row r="486" ht="13.5" customHeight="1">
      <c r="A486" s="337">
        <v>5.0</v>
      </c>
      <c r="B486" s="348" t="s">
        <v>2975</v>
      </c>
      <c r="C486" s="337"/>
      <c r="D486" s="337"/>
      <c r="E486" s="338" t="s">
        <v>2977</v>
      </c>
      <c r="F486" s="338" t="s">
        <v>2978</v>
      </c>
      <c r="G486" s="337" t="s">
        <v>836</v>
      </c>
      <c r="H486" s="353"/>
      <c r="I486" s="80" t="str">
        <f>IFERROR(VLOOKUP(B486, '02. MM-KLH'!$B:$K, 9, FALSE),"")</f>
        <v/>
      </c>
      <c r="J486" s="340"/>
      <c r="K486" s="1385" t="s">
        <v>6447</v>
      </c>
      <c r="L486" s="1386" t="s">
        <v>743</v>
      </c>
      <c r="M486" s="344" t="s">
        <v>148</v>
      </c>
      <c r="N486" s="337">
        <v>2018.0</v>
      </c>
      <c r="O486" s="337" t="s">
        <v>1383</v>
      </c>
      <c r="P486" s="340" t="s">
        <v>2979</v>
      </c>
      <c r="Q486" s="344">
        <v>880102.0</v>
      </c>
      <c r="R486" s="344" t="s">
        <v>96</v>
      </c>
    </row>
    <row r="487" ht="13.5" customHeight="1">
      <c r="A487" s="337">
        <v>6.0</v>
      </c>
      <c r="B487" s="348" t="s">
        <v>2980</v>
      </c>
      <c r="C487" s="337"/>
      <c r="D487" s="337"/>
      <c r="E487" s="338" t="s">
        <v>2982</v>
      </c>
      <c r="F487" s="338" t="s">
        <v>2983</v>
      </c>
      <c r="G487" s="337" t="s">
        <v>836</v>
      </c>
      <c r="H487" s="353">
        <v>44197.0</v>
      </c>
      <c r="I487" s="80">
        <f>IFERROR(VLOOKUP(B487, '02. MM-KLH'!$B:$K, 9, FALSE),"")</f>
        <v>44197</v>
      </c>
      <c r="J487" s="354">
        <v>0.0</v>
      </c>
      <c r="K487" s="1385" t="s">
        <v>8694</v>
      </c>
      <c r="L487" s="1386" t="s">
        <v>2984</v>
      </c>
      <c r="M487" s="344" t="s">
        <v>883</v>
      </c>
      <c r="N487" s="337">
        <v>2014.0</v>
      </c>
      <c r="O487" s="337" t="s">
        <v>2985</v>
      </c>
      <c r="P487" s="340" t="s">
        <v>2986</v>
      </c>
      <c r="Q487" s="344">
        <v>6042.0</v>
      </c>
      <c r="R487" s="344" t="s">
        <v>96</v>
      </c>
    </row>
    <row r="488" ht="13.5" customHeight="1">
      <c r="A488" s="289">
        <v>8.0</v>
      </c>
      <c r="B488" s="914"/>
      <c r="C488" s="920"/>
      <c r="D488" s="920"/>
      <c r="E488" s="910"/>
      <c r="F488" s="911" t="s">
        <v>8695</v>
      </c>
      <c r="G488" s="289" t="s">
        <v>64</v>
      </c>
      <c r="H488" s="1489"/>
      <c r="I488" s="80" t="str">
        <f>IFERROR(VLOOKUP(B488, '02. MM-KLH'!$B:$K, 9, FALSE),"")</f>
        <v/>
      </c>
      <c r="J488" s="1407"/>
      <c r="K488" s="1408" t="s">
        <v>6447</v>
      </c>
      <c r="L488" s="1490" t="s">
        <v>300</v>
      </c>
      <c r="M488" s="1486" t="s">
        <v>148</v>
      </c>
      <c r="N488" s="289">
        <v>2012.0</v>
      </c>
      <c r="O488" s="289"/>
      <c r="P488" s="1407"/>
      <c r="Q488" s="1486">
        <v>32169.0</v>
      </c>
      <c r="R488" s="1487" t="s">
        <v>96</v>
      </c>
    </row>
    <row r="489" ht="13.5" customHeight="1">
      <c r="A489" s="289">
        <v>9.0</v>
      </c>
      <c r="B489" s="914"/>
      <c r="C489" s="920"/>
      <c r="D489" s="920"/>
      <c r="E489" s="910" t="s">
        <v>2994</v>
      </c>
      <c r="F489" s="911" t="s">
        <v>8696</v>
      </c>
      <c r="G489" s="289" t="s">
        <v>64</v>
      </c>
      <c r="H489" s="1489">
        <v>40910.0</v>
      </c>
      <c r="I489" s="80" t="str">
        <f>IFERROR(VLOOKUP(B489, '02. MM-KLH'!$B:$K, 9, FALSE),"")</f>
        <v/>
      </c>
      <c r="J489" s="1410">
        <v>0.0</v>
      </c>
      <c r="K489" s="1408" t="s">
        <v>6447</v>
      </c>
      <c r="L489" s="1490" t="s">
        <v>1032</v>
      </c>
      <c r="M489" s="1486" t="s">
        <v>103</v>
      </c>
      <c r="N489" s="289"/>
      <c r="O489" s="289"/>
      <c r="P489" s="1407"/>
      <c r="Q489" s="1486">
        <v>55454.0</v>
      </c>
      <c r="R489" s="1487" t="s">
        <v>96</v>
      </c>
    </row>
    <row r="490" ht="13.5" customHeight="1">
      <c r="A490" s="931"/>
      <c r="B490" s="931"/>
      <c r="C490" s="932"/>
      <c r="D490" s="932"/>
      <c r="E490" s="931"/>
      <c r="F490" s="931"/>
      <c r="G490" s="932"/>
      <c r="H490" s="932"/>
      <c r="I490" s="80" t="str">
        <f>IFERROR(VLOOKUP(B490, '02. MM-KLH'!$B:$K, 9, FALSE),"")</f>
        <v/>
      </c>
      <c r="J490" s="932"/>
      <c r="K490" s="957"/>
      <c r="L490" s="1492"/>
      <c r="M490" s="957"/>
      <c r="N490" s="932"/>
      <c r="O490" s="931"/>
      <c r="P490" s="931"/>
      <c r="Q490" s="957"/>
      <c r="R490" s="957"/>
    </row>
    <row r="491" ht="13.5" customHeight="1">
      <c r="A491" s="931"/>
      <c r="B491" s="931"/>
      <c r="C491" s="932"/>
      <c r="D491" s="932"/>
      <c r="E491" s="931"/>
      <c r="F491" s="931"/>
      <c r="G491" s="932"/>
      <c r="H491" s="932"/>
      <c r="I491" s="80" t="str">
        <f>IFERROR(VLOOKUP(B491, '02. MM-KLH'!$B:$K, 9, FALSE),"")</f>
        <v/>
      </c>
      <c r="J491" s="932"/>
      <c r="K491" s="957"/>
      <c r="L491" s="1492"/>
      <c r="M491" s="957"/>
      <c r="N491" s="932"/>
      <c r="O491" s="931"/>
      <c r="P491" s="931"/>
      <c r="Q491" s="957"/>
      <c r="R491" s="957"/>
    </row>
    <row r="492" ht="13.5" customHeight="1">
      <c r="A492" s="931"/>
      <c r="B492" s="931"/>
      <c r="C492" s="932"/>
      <c r="D492" s="932"/>
      <c r="E492" s="931"/>
      <c r="F492" s="931"/>
      <c r="G492" s="932"/>
      <c r="H492" s="932"/>
      <c r="I492" s="80" t="str">
        <f>IFERROR(VLOOKUP(B492, '02. MM-KLH'!$B:$K, 9, FALSE),"")</f>
        <v/>
      </c>
      <c r="J492" s="932"/>
      <c r="K492" s="957"/>
      <c r="L492" s="1492"/>
      <c r="M492" s="957"/>
      <c r="N492" s="932"/>
      <c r="O492" s="931"/>
      <c r="P492" s="931"/>
      <c r="Q492" s="957"/>
      <c r="R492" s="957"/>
    </row>
    <row r="493" ht="13.5" customHeight="1">
      <c r="A493" s="931"/>
      <c r="B493" s="931"/>
      <c r="C493" s="932"/>
      <c r="D493" s="932"/>
      <c r="E493" s="931"/>
      <c r="F493" s="931"/>
      <c r="G493" s="932"/>
      <c r="H493" s="932"/>
      <c r="I493" s="80" t="str">
        <f>IFERROR(VLOOKUP(B493, '02. MM-KLH'!$B:$K, 9, FALSE),"")</f>
        <v/>
      </c>
      <c r="J493" s="932"/>
      <c r="K493" s="957"/>
      <c r="L493" s="1492"/>
      <c r="M493" s="957"/>
      <c r="N493" s="932"/>
      <c r="O493" s="931"/>
      <c r="P493" s="931"/>
      <c r="Q493" s="957"/>
      <c r="R493" s="957"/>
    </row>
    <row r="494" ht="13.5" customHeight="1">
      <c r="A494" s="931"/>
      <c r="B494" s="931"/>
      <c r="C494" s="932"/>
      <c r="D494" s="932"/>
      <c r="E494" s="931"/>
      <c r="F494" s="931"/>
      <c r="G494" s="932"/>
      <c r="H494" s="932"/>
      <c r="I494" s="80" t="str">
        <f>IFERROR(VLOOKUP(B494, '02. MM-KLH'!$B:$K, 9, FALSE),"")</f>
        <v/>
      </c>
      <c r="J494" s="932"/>
      <c r="K494" s="957"/>
      <c r="L494" s="1492"/>
      <c r="M494" s="957"/>
      <c r="N494" s="932"/>
      <c r="O494" s="931"/>
      <c r="P494" s="931"/>
      <c r="Q494" s="957"/>
      <c r="R494" s="957"/>
    </row>
    <row r="495" ht="13.5" customHeight="1">
      <c r="A495" s="931"/>
      <c r="B495" s="931"/>
      <c r="C495" s="932"/>
      <c r="D495" s="932"/>
      <c r="E495" s="931"/>
      <c r="F495" s="931"/>
      <c r="G495" s="932"/>
      <c r="H495" s="932"/>
      <c r="I495" s="80" t="str">
        <f>IFERROR(VLOOKUP(B495, '02. MM-KLH'!$B:$K, 9, FALSE),"")</f>
        <v/>
      </c>
      <c r="J495" s="932"/>
      <c r="K495" s="957"/>
      <c r="L495" s="1492"/>
      <c r="M495" s="957"/>
      <c r="N495" s="932"/>
      <c r="O495" s="931"/>
      <c r="P495" s="931"/>
      <c r="Q495" s="957"/>
      <c r="R495" s="957"/>
    </row>
    <row r="496" ht="13.5" customHeight="1">
      <c r="A496" s="931"/>
      <c r="B496" s="931"/>
      <c r="C496" s="932"/>
      <c r="D496" s="932"/>
      <c r="E496" s="931"/>
      <c r="F496" s="931"/>
      <c r="G496" s="932"/>
      <c r="H496" s="932"/>
      <c r="I496" s="80" t="str">
        <f>IFERROR(VLOOKUP(B496, '02. MM-KLH'!$B:$K, 9, FALSE),"")</f>
        <v/>
      </c>
      <c r="J496" s="932"/>
      <c r="K496" s="957"/>
      <c r="L496" s="1492"/>
      <c r="M496" s="957"/>
      <c r="N496" s="932"/>
      <c r="O496" s="931"/>
      <c r="P496" s="931"/>
      <c r="Q496" s="957"/>
      <c r="R496" s="957"/>
    </row>
    <row r="497" ht="13.5" customHeight="1">
      <c r="A497" s="931"/>
      <c r="B497" s="931"/>
      <c r="C497" s="932"/>
      <c r="D497" s="932"/>
      <c r="E497" s="931"/>
      <c r="F497" s="931"/>
      <c r="G497" s="932"/>
      <c r="H497" s="932"/>
      <c r="I497" s="80" t="str">
        <f>IFERROR(VLOOKUP(B497, '02. MM-KLH'!$B:$K, 9, FALSE),"")</f>
        <v/>
      </c>
      <c r="J497" s="932"/>
      <c r="K497" s="957"/>
      <c r="L497" s="1492"/>
      <c r="M497" s="957"/>
      <c r="N497" s="932"/>
      <c r="O497" s="931"/>
      <c r="P497" s="931"/>
      <c r="Q497" s="957"/>
      <c r="R497" s="957"/>
    </row>
    <row r="498" ht="13.5" customHeight="1">
      <c r="A498" s="931"/>
      <c r="B498" s="931"/>
      <c r="C498" s="932"/>
      <c r="D498" s="932"/>
      <c r="E498" s="931"/>
      <c r="F498" s="931"/>
      <c r="G498" s="932"/>
      <c r="H498" s="932"/>
      <c r="I498" s="932"/>
      <c r="J498" s="932"/>
      <c r="K498" s="957"/>
      <c r="L498" s="1492"/>
      <c r="M498" s="957"/>
      <c r="N498" s="932"/>
      <c r="O498" s="931"/>
      <c r="P498" s="931"/>
      <c r="Q498" s="957"/>
      <c r="R498" s="957"/>
    </row>
    <row r="499" ht="13.5" customHeight="1">
      <c r="A499" s="931"/>
      <c r="B499" s="931"/>
      <c r="C499" s="932"/>
      <c r="D499" s="932"/>
      <c r="E499" s="931"/>
      <c r="F499" s="931"/>
      <c r="G499" s="932"/>
      <c r="H499" s="932"/>
      <c r="I499" s="932"/>
      <c r="J499" s="932"/>
      <c r="K499" s="957"/>
      <c r="L499" s="1492"/>
      <c r="M499" s="957"/>
      <c r="N499" s="932"/>
      <c r="O499" s="931"/>
      <c r="P499" s="931"/>
      <c r="Q499" s="957"/>
      <c r="R499" s="957"/>
    </row>
    <row r="500" ht="13.5" customHeight="1">
      <c r="A500" s="931"/>
      <c r="B500" s="931"/>
      <c r="C500" s="932"/>
      <c r="D500" s="932"/>
      <c r="E500" s="931"/>
      <c r="F500" s="931"/>
      <c r="G500" s="932"/>
      <c r="H500" s="932"/>
      <c r="I500" s="932"/>
      <c r="J500" s="932"/>
      <c r="K500" s="957"/>
      <c r="L500" s="1492"/>
      <c r="M500" s="957"/>
      <c r="N500" s="932"/>
      <c r="O500" s="931"/>
      <c r="P500" s="931"/>
      <c r="Q500" s="957"/>
      <c r="R500" s="957"/>
    </row>
    <row r="501" ht="13.5" customHeight="1">
      <c r="A501" s="931"/>
      <c r="B501" s="931"/>
      <c r="C501" s="932"/>
      <c r="D501" s="932"/>
      <c r="E501" s="931"/>
      <c r="F501" s="931"/>
      <c r="G501" s="932"/>
      <c r="H501" s="932"/>
      <c r="I501" s="932"/>
      <c r="J501" s="932"/>
      <c r="K501" s="957"/>
      <c r="L501" s="1492"/>
      <c r="M501" s="957"/>
      <c r="N501" s="932"/>
      <c r="O501" s="931"/>
      <c r="P501" s="931"/>
      <c r="Q501" s="957"/>
      <c r="R501" s="957"/>
    </row>
    <row r="502" ht="13.5" customHeight="1">
      <c r="A502" s="931"/>
      <c r="B502" s="931"/>
      <c r="C502" s="932"/>
      <c r="D502" s="932"/>
      <c r="E502" s="931"/>
      <c r="F502" s="931"/>
      <c r="G502" s="932"/>
      <c r="H502" s="932"/>
      <c r="I502" s="932"/>
      <c r="J502" s="932"/>
      <c r="K502" s="957"/>
      <c r="L502" s="1492"/>
      <c r="M502" s="957"/>
      <c r="N502" s="932"/>
      <c r="O502" s="931"/>
      <c r="P502" s="931"/>
      <c r="Q502" s="957"/>
      <c r="R502" s="957"/>
    </row>
    <row r="503" ht="13.5" customHeight="1">
      <c r="A503" s="931"/>
      <c r="B503" s="931"/>
      <c r="C503" s="932"/>
      <c r="D503" s="932"/>
      <c r="E503" s="931"/>
      <c r="F503" s="931"/>
      <c r="G503" s="932"/>
      <c r="H503" s="932"/>
      <c r="I503" s="932"/>
      <c r="J503" s="932"/>
      <c r="K503" s="957"/>
      <c r="L503" s="1492"/>
      <c r="M503" s="957"/>
      <c r="N503" s="932"/>
      <c r="O503" s="931"/>
      <c r="P503" s="931"/>
      <c r="Q503" s="957"/>
      <c r="R503" s="957"/>
    </row>
    <row r="504" ht="13.5" customHeight="1">
      <c r="A504" s="931"/>
      <c r="B504" s="931"/>
      <c r="C504" s="932"/>
      <c r="D504" s="932"/>
      <c r="E504" s="931"/>
      <c r="F504" s="931"/>
      <c r="G504" s="932"/>
      <c r="H504" s="932"/>
      <c r="I504" s="932"/>
      <c r="J504" s="932"/>
      <c r="K504" s="957"/>
      <c r="L504" s="1492"/>
      <c r="M504" s="957"/>
      <c r="N504" s="932"/>
      <c r="O504" s="931"/>
      <c r="P504" s="931"/>
      <c r="Q504" s="957"/>
      <c r="R504" s="957"/>
    </row>
    <row r="505" ht="13.5" customHeight="1">
      <c r="A505" s="931"/>
      <c r="B505" s="931"/>
      <c r="C505" s="932"/>
      <c r="D505" s="932"/>
      <c r="E505" s="931"/>
      <c r="F505" s="931"/>
      <c r="G505" s="932"/>
      <c r="H505" s="932"/>
      <c r="I505" s="932"/>
      <c r="J505" s="932"/>
      <c r="K505" s="957"/>
      <c r="L505" s="1492"/>
      <c r="M505" s="957"/>
      <c r="N505" s="932"/>
      <c r="O505" s="931"/>
      <c r="P505" s="931"/>
      <c r="Q505" s="957"/>
      <c r="R505" s="957"/>
    </row>
    <row r="506" ht="13.5" customHeight="1">
      <c r="A506" s="931"/>
      <c r="B506" s="931"/>
      <c r="C506" s="932"/>
      <c r="D506" s="932"/>
      <c r="E506" s="931"/>
      <c r="F506" s="931"/>
      <c r="G506" s="932"/>
      <c r="H506" s="932"/>
      <c r="I506" s="932"/>
      <c r="J506" s="932"/>
      <c r="K506" s="957"/>
      <c r="L506" s="1492"/>
      <c r="M506" s="957"/>
      <c r="N506" s="932"/>
      <c r="O506" s="931"/>
      <c r="P506" s="931"/>
      <c r="Q506" s="957"/>
      <c r="R506" s="957"/>
    </row>
    <row r="507" ht="13.5" customHeight="1">
      <c r="A507" s="931"/>
      <c r="B507" s="931"/>
      <c r="C507" s="932"/>
      <c r="D507" s="932"/>
      <c r="E507" s="931"/>
      <c r="F507" s="931"/>
      <c r="G507" s="932"/>
      <c r="H507" s="932"/>
      <c r="I507" s="932"/>
      <c r="J507" s="932"/>
      <c r="K507" s="957"/>
      <c r="L507" s="1492"/>
      <c r="M507" s="957"/>
      <c r="N507" s="932"/>
      <c r="O507" s="931"/>
      <c r="P507" s="931"/>
      <c r="Q507" s="957"/>
      <c r="R507" s="957"/>
    </row>
    <row r="508" ht="13.5" customHeight="1">
      <c r="A508" s="931"/>
      <c r="B508" s="931"/>
      <c r="C508" s="932"/>
      <c r="D508" s="932"/>
      <c r="E508" s="931"/>
      <c r="F508" s="931"/>
      <c r="G508" s="932"/>
      <c r="H508" s="932"/>
      <c r="I508" s="932"/>
      <c r="J508" s="932"/>
      <c r="K508" s="957"/>
      <c r="L508" s="1492"/>
      <c r="M508" s="957"/>
      <c r="N508" s="932"/>
      <c r="O508" s="931"/>
      <c r="P508" s="931"/>
      <c r="Q508" s="957"/>
      <c r="R508" s="957"/>
    </row>
    <row r="509" ht="13.5" customHeight="1">
      <c r="A509" s="931"/>
      <c r="B509" s="931"/>
      <c r="C509" s="932"/>
      <c r="D509" s="932"/>
      <c r="E509" s="931"/>
      <c r="F509" s="931"/>
      <c r="G509" s="932"/>
      <c r="H509" s="932"/>
      <c r="I509" s="932"/>
      <c r="J509" s="932"/>
      <c r="K509" s="957"/>
      <c r="L509" s="1492"/>
      <c r="M509" s="957"/>
      <c r="N509" s="932"/>
      <c r="O509" s="931"/>
      <c r="P509" s="931"/>
      <c r="Q509" s="957"/>
      <c r="R509" s="957"/>
    </row>
    <row r="510" ht="13.5" customHeight="1">
      <c r="A510" s="931"/>
      <c r="B510" s="931"/>
      <c r="C510" s="932"/>
      <c r="D510" s="932"/>
      <c r="E510" s="931"/>
      <c r="F510" s="931"/>
      <c r="G510" s="932"/>
      <c r="H510" s="932"/>
      <c r="I510" s="932"/>
      <c r="J510" s="932"/>
      <c r="K510" s="957"/>
      <c r="L510" s="1492"/>
      <c r="M510" s="957"/>
      <c r="N510" s="932"/>
      <c r="O510" s="931"/>
      <c r="P510" s="931"/>
      <c r="Q510" s="957"/>
      <c r="R510" s="957"/>
    </row>
    <row r="511" ht="13.5" customHeight="1">
      <c r="A511" s="931"/>
      <c r="B511" s="931"/>
      <c r="C511" s="932"/>
      <c r="D511" s="932"/>
      <c r="E511" s="931"/>
      <c r="F511" s="931"/>
      <c r="G511" s="932"/>
      <c r="H511" s="932"/>
      <c r="I511" s="932"/>
      <c r="J511" s="932"/>
      <c r="K511" s="957"/>
      <c r="L511" s="1492"/>
      <c r="M511" s="957"/>
      <c r="N511" s="932"/>
      <c r="O511" s="931"/>
      <c r="P511" s="931"/>
      <c r="Q511" s="957"/>
      <c r="R511" s="957"/>
    </row>
    <row r="512" ht="13.5" customHeight="1">
      <c r="A512" s="931"/>
      <c r="B512" s="931"/>
      <c r="C512" s="932"/>
      <c r="D512" s="932"/>
      <c r="E512" s="931"/>
      <c r="F512" s="931"/>
      <c r="G512" s="932"/>
      <c r="H512" s="932"/>
      <c r="I512" s="932"/>
      <c r="J512" s="932"/>
      <c r="K512" s="957"/>
      <c r="L512" s="1492"/>
      <c r="M512" s="957"/>
      <c r="N512" s="932"/>
      <c r="O512" s="931"/>
      <c r="P512" s="931"/>
      <c r="Q512" s="957"/>
      <c r="R512" s="957"/>
    </row>
    <row r="513" ht="13.5" customHeight="1">
      <c r="A513" s="931"/>
      <c r="B513" s="931"/>
      <c r="C513" s="932"/>
      <c r="D513" s="932"/>
      <c r="E513" s="931"/>
      <c r="F513" s="931"/>
      <c r="G513" s="932"/>
      <c r="H513" s="932"/>
      <c r="I513" s="932"/>
      <c r="J513" s="932"/>
      <c r="K513" s="957"/>
      <c r="L513" s="1492"/>
      <c r="M513" s="957"/>
      <c r="N513" s="932"/>
      <c r="O513" s="931"/>
      <c r="P513" s="931"/>
      <c r="Q513" s="957"/>
      <c r="R513" s="957"/>
    </row>
    <row r="514" ht="13.5" customHeight="1">
      <c r="A514" s="931"/>
      <c r="B514" s="931"/>
      <c r="C514" s="932"/>
      <c r="D514" s="932"/>
      <c r="E514" s="931"/>
      <c r="F514" s="931"/>
      <c r="G514" s="932"/>
      <c r="H514" s="932"/>
      <c r="I514" s="932"/>
      <c r="J514" s="932"/>
      <c r="K514" s="957"/>
      <c r="L514" s="1492"/>
      <c r="M514" s="957"/>
      <c r="N514" s="932"/>
      <c r="O514" s="931"/>
      <c r="P514" s="931"/>
      <c r="Q514" s="957"/>
      <c r="R514" s="957"/>
    </row>
    <row r="515" ht="13.5" customHeight="1">
      <c r="A515" s="931"/>
      <c r="B515" s="931"/>
      <c r="C515" s="932"/>
      <c r="D515" s="932"/>
      <c r="E515" s="931"/>
      <c r="F515" s="931"/>
      <c r="G515" s="932"/>
      <c r="H515" s="932"/>
      <c r="I515" s="932"/>
      <c r="J515" s="932"/>
      <c r="K515" s="957"/>
      <c r="L515" s="1492"/>
      <c r="M515" s="957"/>
      <c r="N515" s="932"/>
      <c r="O515" s="931"/>
      <c r="P515" s="931"/>
      <c r="Q515" s="957"/>
      <c r="R515" s="957"/>
    </row>
    <row r="516" ht="13.5" customHeight="1">
      <c r="A516" s="931"/>
      <c r="B516" s="931"/>
      <c r="C516" s="932"/>
      <c r="D516" s="932"/>
      <c r="E516" s="931"/>
      <c r="F516" s="931"/>
      <c r="G516" s="932"/>
      <c r="H516" s="932"/>
      <c r="I516" s="932"/>
      <c r="J516" s="932"/>
      <c r="K516" s="957"/>
      <c r="L516" s="1492"/>
      <c r="M516" s="957"/>
      <c r="N516" s="932"/>
      <c r="O516" s="931"/>
      <c r="P516" s="931"/>
      <c r="Q516" s="957"/>
      <c r="R516" s="957"/>
    </row>
    <row r="517" ht="13.5" customHeight="1">
      <c r="A517" s="931"/>
      <c r="B517" s="931"/>
      <c r="C517" s="932"/>
      <c r="D517" s="932"/>
      <c r="E517" s="931"/>
      <c r="F517" s="931"/>
      <c r="G517" s="932"/>
      <c r="H517" s="932"/>
      <c r="I517" s="932"/>
      <c r="J517" s="932"/>
      <c r="K517" s="957"/>
      <c r="L517" s="1492"/>
      <c r="M517" s="957"/>
      <c r="N517" s="932"/>
      <c r="O517" s="931"/>
      <c r="P517" s="931"/>
      <c r="Q517" s="957"/>
      <c r="R517" s="957"/>
    </row>
    <row r="518" ht="13.5" customHeight="1">
      <c r="A518" s="931"/>
      <c r="B518" s="931"/>
      <c r="C518" s="932"/>
      <c r="D518" s="932"/>
      <c r="E518" s="931"/>
      <c r="F518" s="931"/>
      <c r="G518" s="932"/>
      <c r="H518" s="932"/>
      <c r="I518" s="932"/>
      <c r="J518" s="932"/>
      <c r="K518" s="957"/>
      <c r="L518" s="1492"/>
      <c r="M518" s="957"/>
      <c r="N518" s="932"/>
      <c r="O518" s="931"/>
      <c r="P518" s="931"/>
      <c r="Q518" s="957"/>
      <c r="R518" s="957"/>
    </row>
    <row r="519" ht="13.5" customHeight="1">
      <c r="A519" s="931"/>
      <c r="B519" s="931"/>
      <c r="C519" s="932"/>
      <c r="D519" s="932"/>
      <c r="E519" s="931"/>
      <c r="F519" s="931"/>
      <c r="G519" s="932"/>
      <c r="H519" s="932"/>
      <c r="I519" s="932"/>
      <c r="J519" s="932"/>
      <c r="K519" s="957"/>
      <c r="L519" s="1492"/>
      <c r="M519" s="957"/>
      <c r="N519" s="932"/>
      <c r="O519" s="931"/>
      <c r="P519" s="931"/>
      <c r="Q519" s="957"/>
      <c r="R519" s="957"/>
    </row>
    <row r="520" ht="13.5" customHeight="1">
      <c r="A520" s="931"/>
      <c r="B520" s="931"/>
      <c r="C520" s="932"/>
      <c r="D520" s="932"/>
      <c r="E520" s="931"/>
      <c r="F520" s="931"/>
      <c r="G520" s="932"/>
      <c r="H520" s="932"/>
      <c r="I520" s="932"/>
      <c r="J520" s="932"/>
      <c r="K520" s="957"/>
      <c r="L520" s="1492"/>
      <c r="M520" s="957"/>
      <c r="N520" s="932"/>
      <c r="O520" s="931"/>
      <c r="P520" s="931"/>
      <c r="Q520" s="957"/>
      <c r="R520" s="957"/>
    </row>
    <row r="521" ht="13.5" customHeight="1">
      <c r="A521" s="931"/>
      <c r="B521" s="931"/>
      <c r="C521" s="932"/>
      <c r="D521" s="932"/>
      <c r="E521" s="931"/>
      <c r="F521" s="931"/>
      <c r="G521" s="932"/>
      <c r="H521" s="932"/>
      <c r="I521" s="932"/>
      <c r="J521" s="932"/>
      <c r="K521" s="957"/>
      <c r="L521" s="1492"/>
      <c r="M521" s="957"/>
      <c r="N521" s="932"/>
      <c r="O521" s="931"/>
      <c r="P521" s="931"/>
      <c r="Q521" s="957"/>
      <c r="R521" s="957"/>
    </row>
    <row r="522" ht="13.5" customHeight="1">
      <c r="A522" s="931"/>
      <c r="B522" s="931"/>
      <c r="C522" s="932"/>
      <c r="D522" s="932"/>
      <c r="E522" s="931"/>
      <c r="F522" s="931"/>
      <c r="G522" s="932"/>
      <c r="H522" s="932"/>
      <c r="I522" s="932"/>
      <c r="J522" s="932"/>
      <c r="K522" s="957"/>
      <c r="L522" s="1492"/>
      <c r="M522" s="957"/>
      <c r="N522" s="932"/>
      <c r="O522" s="931"/>
      <c r="P522" s="931"/>
      <c r="Q522" s="957"/>
      <c r="R522" s="957"/>
    </row>
    <row r="523" ht="13.5" customHeight="1">
      <c r="A523" s="931"/>
      <c r="B523" s="931"/>
      <c r="C523" s="932"/>
      <c r="D523" s="932"/>
      <c r="E523" s="931"/>
      <c r="F523" s="931"/>
      <c r="G523" s="932"/>
      <c r="H523" s="932"/>
      <c r="I523" s="932"/>
      <c r="J523" s="932"/>
      <c r="K523" s="957"/>
      <c r="L523" s="1492"/>
      <c r="M523" s="957"/>
      <c r="N523" s="932"/>
      <c r="O523" s="931"/>
      <c r="P523" s="931"/>
      <c r="Q523" s="957"/>
      <c r="R523" s="957"/>
    </row>
    <row r="524" ht="13.5" customHeight="1">
      <c r="A524" s="931"/>
      <c r="B524" s="931"/>
      <c r="C524" s="932"/>
      <c r="D524" s="932"/>
      <c r="E524" s="931"/>
      <c r="F524" s="931"/>
      <c r="G524" s="932"/>
      <c r="H524" s="932"/>
      <c r="I524" s="932"/>
      <c r="J524" s="932"/>
      <c r="K524" s="957"/>
      <c r="L524" s="1492"/>
      <c r="M524" s="957"/>
      <c r="N524" s="932"/>
      <c r="O524" s="931"/>
      <c r="P524" s="931"/>
      <c r="Q524" s="957"/>
      <c r="R524" s="957"/>
    </row>
    <row r="525" ht="13.5" customHeight="1">
      <c r="A525" s="931"/>
      <c r="B525" s="931"/>
      <c r="C525" s="932"/>
      <c r="D525" s="932"/>
      <c r="E525" s="931"/>
      <c r="F525" s="931"/>
      <c r="G525" s="932"/>
      <c r="H525" s="932"/>
      <c r="I525" s="932"/>
      <c r="J525" s="932"/>
      <c r="K525" s="957"/>
      <c r="L525" s="1492"/>
      <c r="M525" s="957"/>
      <c r="N525" s="932"/>
      <c r="O525" s="931"/>
      <c r="P525" s="931"/>
      <c r="Q525" s="957"/>
      <c r="R525" s="957"/>
    </row>
    <row r="526" ht="13.5" customHeight="1">
      <c r="A526" s="931"/>
      <c r="B526" s="931"/>
      <c r="C526" s="932"/>
      <c r="D526" s="932"/>
      <c r="E526" s="931"/>
      <c r="F526" s="931"/>
      <c r="G526" s="932"/>
      <c r="H526" s="932"/>
      <c r="I526" s="932"/>
      <c r="J526" s="932"/>
      <c r="K526" s="957"/>
      <c r="L526" s="1492"/>
      <c r="M526" s="957"/>
      <c r="N526" s="932"/>
      <c r="O526" s="931"/>
      <c r="P526" s="931"/>
      <c r="Q526" s="957"/>
      <c r="R526" s="957"/>
    </row>
    <row r="527" ht="13.5" customHeight="1">
      <c r="A527" s="931"/>
      <c r="B527" s="931"/>
      <c r="C527" s="932"/>
      <c r="D527" s="932"/>
      <c r="E527" s="931"/>
      <c r="F527" s="931"/>
      <c r="G527" s="932"/>
      <c r="H527" s="932"/>
      <c r="I527" s="932"/>
      <c r="J527" s="932"/>
      <c r="K527" s="957"/>
      <c r="L527" s="1492"/>
      <c r="M527" s="957"/>
      <c r="N527" s="932"/>
      <c r="O527" s="931"/>
      <c r="P527" s="931"/>
      <c r="Q527" s="957"/>
      <c r="R527" s="957"/>
    </row>
    <row r="528" ht="13.5" customHeight="1">
      <c r="A528" s="931"/>
      <c r="B528" s="931"/>
      <c r="C528" s="932"/>
      <c r="D528" s="932"/>
      <c r="E528" s="931"/>
      <c r="F528" s="931"/>
      <c r="G528" s="932"/>
      <c r="H528" s="932"/>
      <c r="I528" s="932"/>
      <c r="J528" s="932"/>
      <c r="K528" s="957"/>
      <c r="L528" s="1492"/>
      <c r="M528" s="957"/>
      <c r="N528" s="932"/>
      <c r="O528" s="931"/>
      <c r="P528" s="931"/>
      <c r="Q528" s="957"/>
      <c r="R528" s="957"/>
    </row>
    <row r="529" ht="13.5" customHeight="1">
      <c r="A529" s="931"/>
      <c r="B529" s="931"/>
      <c r="C529" s="932"/>
      <c r="D529" s="932"/>
      <c r="E529" s="931"/>
      <c r="F529" s="931"/>
      <c r="G529" s="932"/>
      <c r="H529" s="932"/>
      <c r="I529" s="932"/>
      <c r="J529" s="932"/>
      <c r="K529" s="957"/>
      <c r="L529" s="1492"/>
      <c r="M529" s="957"/>
      <c r="N529" s="932"/>
      <c r="O529" s="931"/>
      <c r="P529" s="931"/>
      <c r="Q529" s="957"/>
      <c r="R529" s="957"/>
    </row>
    <row r="530" ht="13.5" customHeight="1">
      <c r="A530" s="931"/>
      <c r="B530" s="931"/>
      <c r="C530" s="932"/>
      <c r="D530" s="932"/>
      <c r="E530" s="931"/>
      <c r="F530" s="931"/>
      <c r="G530" s="932"/>
      <c r="H530" s="932"/>
      <c r="I530" s="932"/>
      <c r="J530" s="932"/>
      <c r="K530" s="957"/>
      <c r="L530" s="1492"/>
      <c r="M530" s="957"/>
      <c r="N530" s="932"/>
      <c r="O530" s="931"/>
      <c r="P530" s="931"/>
      <c r="Q530" s="957"/>
      <c r="R530" s="957"/>
    </row>
    <row r="531" ht="13.5" customHeight="1">
      <c r="A531" s="931"/>
      <c r="B531" s="931"/>
      <c r="C531" s="932"/>
      <c r="D531" s="932"/>
      <c r="E531" s="931"/>
      <c r="F531" s="931"/>
      <c r="G531" s="932"/>
      <c r="H531" s="932"/>
      <c r="I531" s="932"/>
      <c r="J531" s="932"/>
      <c r="K531" s="957"/>
      <c r="L531" s="1492"/>
      <c r="M531" s="957"/>
      <c r="N531" s="932"/>
      <c r="O531" s="931"/>
      <c r="P531" s="931"/>
      <c r="Q531" s="957"/>
      <c r="R531" s="957"/>
    </row>
    <row r="532" ht="13.5" customHeight="1">
      <c r="A532" s="931"/>
      <c r="B532" s="931"/>
      <c r="C532" s="932"/>
      <c r="D532" s="932"/>
      <c r="E532" s="931"/>
      <c r="F532" s="931"/>
      <c r="G532" s="932"/>
      <c r="H532" s="932"/>
      <c r="I532" s="932"/>
      <c r="J532" s="932"/>
      <c r="K532" s="957"/>
      <c r="L532" s="1492"/>
      <c r="M532" s="957"/>
      <c r="N532" s="932"/>
      <c r="O532" s="931"/>
      <c r="P532" s="931"/>
      <c r="Q532" s="957"/>
      <c r="R532" s="957"/>
    </row>
    <row r="533" ht="13.5" customHeight="1">
      <c r="A533" s="931"/>
      <c r="B533" s="931"/>
      <c r="C533" s="932"/>
      <c r="D533" s="932"/>
      <c r="E533" s="931"/>
      <c r="F533" s="931"/>
      <c r="G533" s="932"/>
      <c r="H533" s="932"/>
      <c r="I533" s="932"/>
      <c r="J533" s="932"/>
      <c r="K533" s="957"/>
      <c r="L533" s="1492"/>
      <c r="M533" s="957"/>
      <c r="N533" s="932"/>
      <c r="O533" s="931"/>
      <c r="P533" s="931"/>
      <c r="Q533" s="957"/>
      <c r="R533" s="957"/>
    </row>
    <row r="534" ht="13.5" customHeight="1">
      <c r="A534" s="931"/>
      <c r="B534" s="931"/>
      <c r="C534" s="932"/>
      <c r="D534" s="932"/>
      <c r="E534" s="931"/>
      <c r="F534" s="931"/>
      <c r="G534" s="932"/>
      <c r="H534" s="932"/>
      <c r="I534" s="932"/>
      <c r="J534" s="932"/>
      <c r="K534" s="957"/>
      <c r="L534" s="1492"/>
      <c r="M534" s="957"/>
      <c r="N534" s="932"/>
      <c r="O534" s="931"/>
      <c r="P534" s="931"/>
      <c r="Q534" s="957"/>
      <c r="R534" s="957"/>
    </row>
    <row r="535" ht="13.5" customHeight="1">
      <c r="A535" s="931"/>
      <c r="B535" s="931"/>
      <c r="C535" s="932"/>
      <c r="D535" s="932"/>
      <c r="E535" s="931"/>
      <c r="F535" s="931"/>
      <c r="G535" s="932"/>
      <c r="H535" s="932"/>
      <c r="I535" s="932"/>
      <c r="J535" s="932"/>
      <c r="K535" s="957"/>
      <c r="L535" s="1492"/>
      <c r="M535" s="957"/>
      <c r="N535" s="932"/>
      <c r="O535" s="931"/>
      <c r="P535" s="931"/>
      <c r="Q535" s="957"/>
      <c r="R535" s="957"/>
    </row>
    <row r="536" ht="13.5" customHeight="1">
      <c r="A536" s="931"/>
      <c r="B536" s="931"/>
      <c r="C536" s="932"/>
      <c r="D536" s="932"/>
      <c r="E536" s="931"/>
      <c r="F536" s="931"/>
      <c r="G536" s="932"/>
      <c r="H536" s="932"/>
      <c r="I536" s="932"/>
      <c r="J536" s="932"/>
      <c r="K536" s="957"/>
      <c r="L536" s="1492"/>
      <c r="M536" s="957"/>
      <c r="N536" s="932"/>
      <c r="O536" s="931"/>
      <c r="P536" s="931"/>
      <c r="Q536" s="957"/>
      <c r="R536" s="957"/>
    </row>
    <row r="537" ht="13.5" customHeight="1">
      <c r="A537" s="931"/>
      <c r="B537" s="931"/>
      <c r="C537" s="932"/>
      <c r="D537" s="932"/>
      <c r="E537" s="931"/>
      <c r="F537" s="931"/>
      <c r="G537" s="932"/>
      <c r="H537" s="932"/>
      <c r="I537" s="932"/>
      <c r="J537" s="932"/>
      <c r="K537" s="957"/>
      <c r="L537" s="1492"/>
      <c r="M537" s="957"/>
      <c r="N537" s="932"/>
      <c r="O537" s="931"/>
      <c r="P537" s="931"/>
      <c r="Q537" s="957"/>
      <c r="R537" s="957"/>
    </row>
    <row r="538" ht="13.5" customHeight="1">
      <c r="A538" s="931"/>
      <c r="B538" s="931"/>
      <c r="C538" s="932"/>
      <c r="D538" s="932"/>
      <c r="E538" s="931"/>
      <c r="F538" s="931"/>
      <c r="G538" s="932"/>
      <c r="H538" s="932"/>
      <c r="I538" s="932"/>
      <c r="J538" s="932"/>
      <c r="K538" s="957"/>
      <c r="L538" s="1492"/>
      <c r="M538" s="957"/>
      <c r="N538" s="932"/>
      <c r="O538" s="931"/>
      <c r="P538" s="931"/>
      <c r="Q538" s="957"/>
      <c r="R538" s="957"/>
    </row>
    <row r="539" ht="13.5" customHeight="1">
      <c r="A539" s="931"/>
      <c r="B539" s="931"/>
      <c r="C539" s="932"/>
      <c r="D539" s="932"/>
      <c r="E539" s="931"/>
      <c r="F539" s="931"/>
      <c r="G539" s="932"/>
      <c r="H539" s="932"/>
      <c r="I539" s="932"/>
      <c r="J539" s="932"/>
      <c r="K539" s="957"/>
      <c r="L539" s="1492"/>
      <c r="M539" s="957"/>
      <c r="N539" s="932"/>
      <c r="O539" s="931"/>
      <c r="P539" s="931"/>
      <c r="Q539" s="957"/>
      <c r="R539" s="957"/>
    </row>
    <row r="540" ht="13.5" customHeight="1">
      <c r="A540" s="931"/>
      <c r="B540" s="931"/>
      <c r="C540" s="932"/>
      <c r="D540" s="932"/>
      <c r="E540" s="931"/>
      <c r="F540" s="931"/>
      <c r="G540" s="932"/>
      <c r="H540" s="932"/>
      <c r="I540" s="932"/>
      <c r="J540" s="932"/>
      <c r="K540" s="957"/>
      <c r="L540" s="1492"/>
      <c r="M540" s="957"/>
      <c r="N540" s="932"/>
      <c r="O540" s="931"/>
      <c r="P540" s="931"/>
      <c r="Q540" s="957"/>
      <c r="R540" s="957"/>
    </row>
    <row r="541" ht="13.5" customHeight="1">
      <c r="A541" s="931"/>
      <c r="B541" s="931"/>
      <c r="C541" s="932"/>
      <c r="D541" s="932"/>
      <c r="E541" s="931"/>
      <c r="F541" s="931"/>
      <c r="G541" s="932"/>
      <c r="H541" s="932"/>
      <c r="I541" s="932"/>
      <c r="J541" s="932"/>
      <c r="K541" s="957"/>
      <c r="L541" s="1492"/>
      <c r="M541" s="957"/>
      <c r="N541" s="932"/>
      <c r="O541" s="931"/>
      <c r="P541" s="931"/>
      <c r="Q541" s="957"/>
      <c r="R541" s="957"/>
    </row>
    <row r="542" ht="13.5" customHeight="1">
      <c r="A542" s="931"/>
      <c r="B542" s="931"/>
      <c r="C542" s="932"/>
      <c r="D542" s="932"/>
      <c r="E542" s="931"/>
      <c r="F542" s="931"/>
      <c r="G542" s="932"/>
      <c r="H542" s="932"/>
      <c r="I542" s="932"/>
      <c r="J542" s="932"/>
      <c r="K542" s="957"/>
      <c r="L542" s="1492"/>
      <c r="M542" s="957"/>
      <c r="N542" s="932"/>
      <c r="O542" s="931"/>
      <c r="P542" s="931"/>
      <c r="Q542" s="957"/>
      <c r="R542" s="957"/>
    </row>
    <row r="543" ht="13.5" customHeight="1">
      <c r="A543" s="931"/>
      <c r="B543" s="931"/>
      <c r="C543" s="932"/>
      <c r="D543" s="932"/>
      <c r="E543" s="931"/>
      <c r="F543" s="931"/>
      <c r="G543" s="932"/>
      <c r="H543" s="932"/>
      <c r="I543" s="932"/>
      <c r="J543" s="932"/>
      <c r="K543" s="957"/>
      <c r="L543" s="1492"/>
      <c r="M543" s="957"/>
      <c r="N543" s="932"/>
      <c r="O543" s="931"/>
      <c r="P543" s="931"/>
      <c r="Q543" s="957"/>
      <c r="R543" s="957"/>
    </row>
    <row r="544" ht="13.5" customHeight="1">
      <c r="A544" s="931"/>
      <c r="B544" s="931"/>
      <c r="C544" s="932"/>
      <c r="D544" s="932"/>
      <c r="E544" s="931"/>
      <c r="F544" s="931"/>
      <c r="G544" s="932"/>
      <c r="H544" s="932"/>
      <c r="I544" s="932"/>
      <c r="J544" s="932"/>
      <c r="K544" s="957"/>
      <c r="L544" s="1492"/>
      <c r="M544" s="957"/>
      <c r="N544" s="932"/>
      <c r="O544" s="931"/>
      <c r="P544" s="931"/>
      <c r="Q544" s="957"/>
      <c r="R544" s="957"/>
    </row>
    <row r="545" ht="13.5" customHeight="1">
      <c r="A545" s="931"/>
      <c r="B545" s="931"/>
      <c r="C545" s="932"/>
      <c r="D545" s="932"/>
      <c r="E545" s="931"/>
      <c r="F545" s="931"/>
      <c r="G545" s="932"/>
      <c r="H545" s="932"/>
      <c r="I545" s="932"/>
      <c r="J545" s="932"/>
      <c r="K545" s="957"/>
      <c r="L545" s="1492"/>
      <c r="M545" s="957"/>
      <c r="N545" s="932"/>
      <c r="O545" s="931"/>
      <c r="P545" s="931"/>
      <c r="Q545" s="957"/>
      <c r="R545" s="957"/>
    </row>
    <row r="546" ht="13.5" customHeight="1">
      <c r="A546" s="931"/>
      <c r="B546" s="931"/>
      <c r="C546" s="932"/>
      <c r="D546" s="932"/>
      <c r="E546" s="931"/>
      <c r="F546" s="931"/>
      <c r="G546" s="932"/>
      <c r="H546" s="932"/>
      <c r="I546" s="932"/>
      <c r="J546" s="932"/>
      <c r="K546" s="957"/>
      <c r="L546" s="1492"/>
      <c r="M546" s="957"/>
      <c r="N546" s="932"/>
      <c r="O546" s="931"/>
      <c r="P546" s="931"/>
      <c r="Q546" s="957"/>
      <c r="R546" s="957"/>
    </row>
    <row r="547" ht="13.5" customHeight="1">
      <c r="A547" s="931"/>
      <c r="B547" s="931"/>
      <c r="C547" s="932"/>
      <c r="D547" s="932"/>
      <c r="E547" s="931"/>
      <c r="F547" s="931"/>
      <c r="G547" s="932"/>
      <c r="H547" s="932"/>
      <c r="I547" s="932"/>
      <c r="J547" s="932"/>
      <c r="K547" s="957"/>
      <c r="L547" s="1492"/>
      <c r="M547" s="957"/>
      <c r="N547" s="932"/>
      <c r="O547" s="931"/>
      <c r="P547" s="931"/>
      <c r="Q547" s="957"/>
      <c r="R547" s="957"/>
    </row>
    <row r="548" ht="13.5" customHeight="1">
      <c r="A548" s="931"/>
      <c r="B548" s="931"/>
      <c r="C548" s="932"/>
      <c r="D548" s="932"/>
      <c r="E548" s="931"/>
      <c r="F548" s="931"/>
      <c r="G548" s="932"/>
      <c r="H548" s="932"/>
      <c r="I548" s="932"/>
      <c r="J548" s="932"/>
      <c r="K548" s="957"/>
      <c r="L548" s="1492"/>
      <c r="M548" s="957"/>
      <c r="N548" s="932"/>
      <c r="O548" s="931"/>
      <c r="P548" s="931"/>
      <c r="Q548" s="957"/>
      <c r="R548" s="957"/>
    </row>
    <row r="549" ht="13.5" customHeight="1">
      <c r="A549" s="931"/>
      <c r="B549" s="931"/>
      <c r="C549" s="932"/>
      <c r="D549" s="932"/>
      <c r="E549" s="931"/>
      <c r="F549" s="931"/>
      <c r="G549" s="932"/>
      <c r="H549" s="932"/>
      <c r="I549" s="932"/>
      <c r="J549" s="932"/>
      <c r="K549" s="957"/>
      <c r="L549" s="1492"/>
      <c r="M549" s="957"/>
      <c r="N549" s="932"/>
      <c r="O549" s="931"/>
      <c r="P549" s="931"/>
      <c r="Q549" s="957"/>
      <c r="R549" s="957"/>
    </row>
    <row r="550" ht="13.5" customHeight="1">
      <c r="A550" s="931"/>
      <c r="B550" s="931"/>
      <c r="C550" s="932"/>
      <c r="D550" s="932"/>
      <c r="E550" s="931"/>
      <c r="F550" s="931"/>
      <c r="G550" s="932"/>
      <c r="H550" s="932"/>
      <c r="I550" s="932"/>
      <c r="J550" s="932"/>
      <c r="K550" s="957"/>
      <c r="L550" s="1492"/>
      <c r="M550" s="957"/>
      <c r="N550" s="932"/>
      <c r="O550" s="931"/>
      <c r="P550" s="931"/>
      <c r="Q550" s="957"/>
      <c r="R550" s="957"/>
    </row>
    <row r="551" ht="13.5" customHeight="1">
      <c r="A551" s="931"/>
      <c r="B551" s="931"/>
      <c r="C551" s="932"/>
      <c r="D551" s="932"/>
      <c r="E551" s="931"/>
      <c r="F551" s="931"/>
      <c r="G551" s="932"/>
      <c r="H551" s="932"/>
      <c r="I551" s="932"/>
      <c r="J551" s="932"/>
      <c r="K551" s="957"/>
      <c r="L551" s="1492"/>
      <c r="M551" s="957"/>
      <c r="N551" s="932"/>
      <c r="O551" s="931"/>
      <c r="P551" s="931"/>
      <c r="Q551" s="957"/>
      <c r="R551" s="957"/>
    </row>
    <row r="552" ht="13.5" customHeight="1">
      <c r="A552" s="931"/>
      <c r="B552" s="931"/>
      <c r="C552" s="932"/>
      <c r="D552" s="932"/>
      <c r="E552" s="931"/>
      <c r="F552" s="931"/>
      <c r="G552" s="932"/>
      <c r="H552" s="932"/>
      <c r="I552" s="932"/>
      <c r="J552" s="932"/>
      <c r="K552" s="957"/>
      <c r="L552" s="1492"/>
      <c r="M552" s="957"/>
      <c r="N552" s="932"/>
      <c r="O552" s="931"/>
      <c r="P552" s="931"/>
      <c r="Q552" s="957"/>
      <c r="R552" s="957"/>
    </row>
    <row r="553" ht="13.5" customHeight="1">
      <c r="A553" s="931"/>
      <c r="B553" s="931"/>
      <c r="C553" s="932"/>
      <c r="D553" s="932"/>
      <c r="E553" s="931"/>
      <c r="F553" s="931"/>
      <c r="G553" s="932"/>
      <c r="H553" s="932"/>
      <c r="I553" s="932"/>
      <c r="J553" s="932"/>
      <c r="K553" s="957"/>
      <c r="L553" s="1492"/>
      <c r="M553" s="957"/>
      <c r="N553" s="932"/>
      <c r="O553" s="931"/>
      <c r="P553" s="931"/>
      <c r="Q553" s="957"/>
      <c r="R553" s="957"/>
    </row>
    <row r="554" ht="13.5" customHeight="1">
      <c r="A554" s="931"/>
      <c r="B554" s="931"/>
      <c r="C554" s="932"/>
      <c r="D554" s="932"/>
      <c r="E554" s="931"/>
      <c r="F554" s="931"/>
      <c r="G554" s="932"/>
      <c r="H554" s="932"/>
      <c r="I554" s="932"/>
      <c r="J554" s="932"/>
      <c r="K554" s="957"/>
      <c r="L554" s="1492"/>
      <c r="M554" s="957"/>
      <c r="N554" s="932"/>
      <c r="O554" s="931"/>
      <c r="P554" s="931"/>
      <c r="Q554" s="957"/>
      <c r="R554" s="957"/>
    </row>
    <row r="555" ht="13.5" customHeight="1">
      <c r="A555" s="931"/>
      <c r="B555" s="931"/>
      <c r="C555" s="932"/>
      <c r="D555" s="932"/>
      <c r="E555" s="931"/>
      <c r="F555" s="931"/>
      <c r="G555" s="932"/>
      <c r="H555" s="932"/>
      <c r="I555" s="932"/>
      <c r="J555" s="932"/>
      <c r="K555" s="957"/>
      <c r="L555" s="1492"/>
      <c r="M555" s="957"/>
      <c r="N555" s="932"/>
      <c r="O555" s="931"/>
      <c r="P555" s="931"/>
      <c r="Q555" s="957"/>
      <c r="R555" s="957"/>
    </row>
    <row r="556" ht="13.5" customHeight="1">
      <c r="A556" s="931"/>
      <c r="B556" s="931"/>
      <c r="C556" s="932"/>
      <c r="D556" s="932"/>
      <c r="E556" s="931"/>
      <c r="F556" s="931"/>
      <c r="G556" s="932"/>
      <c r="H556" s="932"/>
      <c r="I556" s="932"/>
      <c r="J556" s="932"/>
      <c r="K556" s="957"/>
      <c r="L556" s="1492"/>
      <c r="M556" s="957"/>
      <c r="N556" s="932"/>
      <c r="O556" s="931"/>
      <c r="P556" s="931"/>
      <c r="Q556" s="957"/>
      <c r="R556" s="957"/>
    </row>
    <row r="557" ht="13.5" customHeight="1">
      <c r="A557" s="931"/>
      <c r="B557" s="931"/>
      <c r="C557" s="932"/>
      <c r="D557" s="932"/>
      <c r="E557" s="931"/>
      <c r="F557" s="931"/>
      <c r="G557" s="932"/>
      <c r="H557" s="932"/>
      <c r="I557" s="932"/>
      <c r="J557" s="932"/>
      <c r="K557" s="957"/>
      <c r="L557" s="1492"/>
      <c r="M557" s="957"/>
      <c r="N557" s="932"/>
      <c r="O557" s="931"/>
      <c r="P557" s="931"/>
      <c r="Q557" s="957"/>
      <c r="R557" s="957"/>
    </row>
    <row r="558" ht="13.5" customHeight="1">
      <c r="A558" s="931"/>
      <c r="B558" s="931"/>
      <c r="C558" s="932"/>
      <c r="D558" s="932"/>
      <c r="E558" s="931"/>
      <c r="F558" s="931"/>
      <c r="G558" s="932"/>
      <c r="H558" s="932"/>
      <c r="I558" s="932"/>
      <c r="J558" s="932"/>
      <c r="K558" s="957"/>
      <c r="L558" s="1492"/>
      <c r="M558" s="957"/>
      <c r="N558" s="932"/>
      <c r="O558" s="931"/>
      <c r="P558" s="931"/>
      <c r="Q558" s="957"/>
      <c r="R558" s="957"/>
    </row>
    <row r="559" ht="13.5" customHeight="1">
      <c r="A559" s="931"/>
      <c r="B559" s="931"/>
      <c r="C559" s="932"/>
      <c r="D559" s="932"/>
      <c r="E559" s="931"/>
      <c r="F559" s="931"/>
      <c r="G559" s="932"/>
      <c r="H559" s="932"/>
      <c r="I559" s="932"/>
      <c r="J559" s="932"/>
      <c r="K559" s="957"/>
      <c r="L559" s="1492"/>
      <c r="M559" s="957"/>
      <c r="N559" s="932"/>
      <c r="O559" s="931"/>
      <c r="P559" s="931"/>
      <c r="Q559" s="957"/>
      <c r="R559" s="957"/>
    </row>
    <row r="560" ht="13.5" customHeight="1">
      <c r="A560" s="931"/>
      <c r="B560" s="931"/>
      <c r="C560" s="932"/>
      <c r="D560" s="932"/>
      <c r="E560" s="931"/>
      <c r="F560" s="931"/>
      <c r="G560" s="932"/>
      <c r="H560" s="932"/>
      <c r="I560" s="932"/>
      <c r="J560" s="932"/>
      <c r="K560" s="957"/>
      <c r="L560" s="1492"/>
      <c r="M560" s="957"/>
      <c r="N560" s="932"/>
      <c r="O560" s="931"/>
      <c r="P560" s="931"/>
      <c r="Q560" s="957"/>
      <c r="R560" s="957"/>
    </row>
    <row r="561" ht="13.5" customHeight="1">
      <c r="A561" s="931"/>
      <c r="B561" s="931"/>
      <c r="C561" s="932"/>
      <c r="D561" s="932"/>
      <c r="E561" s="931"/>
      <c r="F561" s="931"/>
      <c r="G561" s="932"/>
      <c r="H561" s="932"/>
      <c r="I561" s="932"/>
      <c r="J561" s="932"/>
      <c r="K561" s="957"/>
      <c r="L561" s="1492"/>
      <c r="M561" s="957"/>
      <c r="N561" s="932"/>
      <c r="O561" s="931"/>
      <c r="P561" s="931"/>
      <c r="Q561" s="957"/>
      <c r="R561" s="957"/>
    </row>
    <row r="562" ht="13.5" customHeight="1">
      <c r="A562" s="931"/>
      <c r="B562" s="931"/>
      <c r="C562" s="932"/>
      <c r="D562" s="932"/>
      <c r="E562" s="931"/>
      <c r="F562" s="931"/>
      <c r="G562" s="932"/>
      <c r="H562" s="932"/>
      <c r="I562" s="932"/>
      <c r="J562" s="932"/>
      <c r="K562" s="957"/>
      <c r="L562" s="1492"/>
      <c r="M562" s="957"/>
      <c r="N562" s="932"/>
      <c r="O562" s="931"/>
      <c r="P562" s="931"/>
      <c r="Q562" s="957"/>
      <c r="R562" s="957"/>
    </row>
    <row r="563" ht="13.5" customHeight="1">
      <c r="A563" s="931"/>
      <c r="B563" s="931"/>
      <c r="C563" s="932"/>
      <c r="D563" s="932"/>
      <c r="E563" s="931"/>
      <c r="F563" s="931"/>
      <c r="G563" s="932"/>
      <c r="H563" s="932"/>
      <c r="I563" s="932"/>
      <c r="J563" s="932"/>
      <c r="K563" s="957"/>
      <c r="L563" s="1492"/>
      <c r="M563" s="957"/>
      <c r="N563" s="932"/>
      <c r="O563" s="931"/>
      <c r="P563" s="931"/>
      <c r="Q563" s="957"/>
      <c r="R563" s="957"/>
    </row>
    <row r="564" ht="13.5" customHeight="1">
      <c r="A564" s="931"/>
      <c r="B564" s="931"/>
      <c r="C564" s="932"/>
      <c r="D564" s="932"/>
      <c r="E564" s="931"/>
      <c r="F564" s="931"/>
      <c r="G564" s="932"/>
      <c r="H564" s="932"/>
      <c r="I564" s="932"/>
      <c r="J564" s="932"/>
      <c r="K564" s="957"/>
      <c r="L564" s="1492"/>
      <c r="M564" s="957"/>
      <c r="N564" s="932"/>
      <c r="O564" s="931"/>
      <c r="P564" s="931"/>
      <c r="Q564" s="957"/>
      <c r="R564" s="957"/>
    </row>
    <row r="565" ht="13.5" customHeight="1">
      <c r="A565" s="931"/>
      <c r="B565" s="931"/>
      <c r="C565" s="932"/>
      <c r="D565" s="932"/>
      <c r="E565" s="931"/>
      <c r="F565" s="931"/>
      <c r="G565" s="932"/>
      <c r="H565" s="932"/>
      <c r="I565" s="932"/>
      <c r="J565" s="932"/>
      <c r="K565" s="957"/>
      <c r="L565" s="1492"/>
      <c r="M565" s="957"/>
      <c r="N565" s="932"/>
      <c r="O565" s="931"/>
      <c r="P565" s="931"/>
      <c r="Q565" s="957"/>
      <c r="R565" s="957"/>
    </row>
    <row r="566" ht="13.5" customHeight="1">
      <c r="A566" s="931"/>
      <c r="B566" s="931"/>
      <c r="C566" s="932"/>
      <c r="D566" s="932"/>
      <c r="E566" s="931"/>
      <c r="F566" s="931"/>
      <c r="G566" s="932"/>
      <c r="H566" s="932"/>
      <c r="I566" s="932"/>
      <c r="J566" s="932"/>
      <c r="K566" s="957"/>
      <c r="L566" s="1492"/>
      <c r="M566" s="957"/>
      <c r="N566" s="932"/>
      <c r="O566" s="931"/>
      <c r="P566" s="931"/>
      <c r="Q566" s="957"/>
      <c r="R566" s="957"/>
    </row>
    <row r="567" ht="13.5" customHeight="1">
      <c r="A567" s="931"/>
      <c r="B567" s="931"/>
      <c r="C567" s="932"/>
      <c r="D567" s="932"/>
      <c r="E567" s="931"/>
      <c r="F567" s="931"/>
      <c r="G567" s="932"/>
      <c r="H567" s="932"/>
      <c r="I567" s="932"/>
      <c r="J567" s="932"/>
      <c r="K567" s="957"/>
      <c r="L567" s="1492"/>
      <c r="M567" s="957"/>
      <c r="N567" s="932"/>
      <c r="O567" s="931"/>
      <c r="P567" s="931"/>
      <c r="Q567" s="957"/>
      <c r="R567" s="957"/>
    </row>
    <row r="568" ht="13.5" customHeight="1">
      <c r="A568" s="931"/>
      <c r="B568" s="931"/>
      <c r="C568" s="932"/>
      <c r="D568" s="932"/>
      <c r="E568" s="931"/>
      <c r="F568" s="931"/>
      <c r="G568" s="932"/>
      <c r="H568" s="932"/>
      <c r="I568" s="932"/>
      <c r="J568" s="932"/>
      <c r="K568" s="957"/>
      <c r="L568" s="1492"/>
      <c r="M568" s="957"/>
      <c r="N568" s="932"/>
      <c r="O568" s="931"/>
      <c r="P568" s="931"/>
      <c r="Q568" s="957"/>
      <c r="R568" s="957"/>
    </row>
    <row r="569" ht="13.5" customHeight="1">
      <c r="A569" s="931"/>
      <c r="B569" s="931"/>
      <c r="C569" s="932"/>
      <c r="D569" s="932"/>
      <c r="E569" s="931"/>
      <c r="F569" s="931"/>
      <c r="G569" s="932"/>
      <c r="H569" s="932"/>
      <c r="I569" s="932"/>
      <c r="J569" s="932"/>
      <c r="K569" s="957"/>
      <c r="L569" s="1492"/>
      <c r="M569" s="957"/>
      <c r="N569" s="932"/>
      <c r="O569" s="931"/>
      <c r="P569" s="931"/>
      <c r="Q569" s="957"/>
      <c r="R569" s="957"/>
    </row>
    <row r="570" ht="13.5" customHeight="1">
      <c r="A570" s="931"/>
      <c r="B570" s="931"/>
      <c r="C570" s="932"/>
      <c r="D570" s="932"/>
      <c r="E570" s="931"/>
      <c r="F570" s="931"/>
      <c r="G570" s="932"/>
      <c r="H570" s="932"/>
      <c r="I570" s="932"/>
      <c r="J570" s="932"/>
      <c r="K570" s="957"/>
      <c r="L570" s="1492"/>
      <c r="M570" s="957"/>
      <c r="N570" s="932"/>
      <c r="O570" s="931"/>
      <c r="P570" s="931"/>
      <c r="Q570" s="957"/>
      <c r="R570" s="957"/>
    </row>
    <row r="571" ht="13.5" customHeight="1">
      <c r="A571" s="931"/>
      <c r="B571" s="931"/>
      <c r="C571" s="932"/>
      <c r="D571" s="932"/>
      <c r="E571" s="931"/>
      <c r="F571" s="931"/>
      <c r="G571" s="932"/>
      <c r="H571" s="932"/>
      <c r="I571" s="932"/>
      <c r="J571" s="932"/>
      <c r="K571" s="957"/>
      <c r="L571" s="1492"/>
      <c r="M571" s="957"/>
      <c r="N571" s="932"/>
      <c r="O571" s="931"/>
      <c r="P571" s="931"/>
      <c r="Q571" s="957"/>
      <c r="R571" s="957"/>
    </row>
    <row r="572" ht="13.5" customHeight="1">
      <c r="A572" s="931"/>
      <c r="B572" s="931"/>
      <c r="C572" s="932"/>
      <c r="D572" s="932"/>
      <c r="E572" s="931"/>
      <c r="F572" s="931"/>
      <c r="G572" s="932"/>
      <c r="H572" s="932"/>
      <c r="I572" s="932"/>
      <c r="J572" s="932"/>
      <c r="K572" s="957"/>
      <c r="L572" s="1492"/>
      <c r="M572" s="957"/>
      <c r="N572" s="932"/>
      <c r="O572" s="931"/>
      <c r="P572" s="931"/>
      <c r="Q572" s="957"/>
      <c r="R572" s="957"/>
    </row>
    <row r="573" ht="13.5" customHeight="1">
      <c r="A573" s="931"/>
      <c r="B573" s="931"/>
      <c r="C573" s="932"/>
      <c r="D573" s="932"/>
      <c r="E573" s="931"/>
      <c r="F573" s="931"/>
      <c r="G573" s="932"/>
      <c r="H573" s="932"/>
      <c r="I573" s="932"/>
      <c r="J573" s="932"/>
      <c r="K573" s="957"/>
      <c r="L573" s="1492"/>
      <c r="M573" s="957"/>
      <c r="N573" s="932"/>
      <c r="O573" s="931"/>
      <c r="P573" s="931"/>
      <c r="Q573" s="957"/>
      <c r="R573" s="957"/>
    </row>
    <row r="574" ht="13.5" customHeight="1">
      <c r="A574" s="931"/>
      <c r="B574" s="931"/>
      <c r="C574" s="932"/>
      <c r="D574" s="932"/>
      <c r="E574" s="931"/>
      <c r="F574" s="931"/>
      <c r="G574" s="932"/>
      <c r="H574" s="932"/>
      <c r="I574" s="932"/>
      <c r="J574" s="932"/>
      <c r="K574" s="957"/>
      <c r="L574" s="1492"/>
      <c r="M574" s="957"/>
      <c r="N574" s="932"/>
      <c r="O574" s="931"/>
      <c r="P574" s="931"/>
      <c r="Q574" s="957"/>
      <c r="R574" s="957"/>
    </row>
    <row r="575" ht="13.5" customHeight="1">
      <c r="A575" s="931"/>
      <c r="B575" s="931"/>
      <c r="C575" s="932"/>
      <c r="D575" s="932"/>
      <c r="E575" s="931"/>
      <c r="F575" s="931"/>
      <c r="G575" s="932"/>
      <c r="H575" s="932"/>
      <c r="I575" s="932"/>
      <c r="J575" s="932"/>
      <c r="K575" s="957"/>
      <c r="L575" s="1492"/>
      <c r="M575" s="957"/>
      <c r="N575" s="932"/>
      <c r="O575" s="931"/>
      <c r="P575" s="931"/>
      <c r="Q575" s="957"/>
      <c r="R575" s="957"/>
    </row>
    <row r="576" ht="13.5" customHeight="1">
      <c r="A576" s="931"/>
      <c r="B576" s="931"/>
      <c r="C576" s="932"/>
      <c r="D576" s="932"/>
      <c r="E576" s="931"/>
      <c r="F576" s="931"/>
      <c r="G576" s="932"/>
      <c r="H576" s="932"/>
      <c r="I576" s="932"/>
      <c r="J576" s="932"/>
      <c r="K576" s="957"/>
      <c r="L576" s="1492"/>
      <c r="M576" s="957"/>
      <c r="N576" s="932"/>
      <c r="O576" s="931"/>
      <c r="P576" s="931"/>
      <c r="Q576" s="957"/>
      <c r="R576" s="957"/>
    </row>
    <row r="577" ht="13.5" customHeight="1">
      <c r="A577" s="931"/>
      <c r="B577" s="931"/>
      <c r="C577" s="932"/>
      <c r="D577" s="932"/>
      <c r="E577" s="931"/>
      <c r="F577" s="931"/>
      <c r="G577" s="932"/>
      <c r="H577" s="932"/>
      <c r="I577" s="932"/>
      <c r="J577" s="932"/>
      <c r="K577" s="957"/>
      <c r="L577" s="1492"/>
      <c r="M577" s="957"/>
      <c r="N577" s="932"/>
      <c r="O577" s="931"/>
      <c r="P577" s="931"/>
      <c r="Q577" s="957"/>
      <c r="R577" s="957"/>
    </row>
    <row r="578" ht="13.5" customHeight="1">
      <c r="A578" s="931"/>
      <c r="B578" s="931"/>
      <c r="C578" s="932"/>
      <c r="D578" s="932"/>
      <c r="E578" s="931"/>
      <c r="F578" s="931"/>
      <c r="G578" s="932"/>
      <c r="H578" s="932"/>
      <c r="I578" s="932"/>
      <c r="J578" s="932"/>
      <c r="K578" s="957"/>
      <c r="L578" s="1492"/>
      <c r="M578" s="957"/>
      <c r="N578" s="932"/>
      <c r="O578" s="931"/>
      <c r="P578" s="931"/>
      <c r="Q578" s="957"/>
      <c r="R578" s="957"/>
    </row>
    <row r="579" ht="13.5" customHeight="1">
      <c r="A579" s="931"/>
      <c r="B579" s="931"/>
      <c r="C579" s="932"/>
      <c r="D579" s="932"/>
      <c r="E579" s="931"/>
      <c r="F579" s="931"/>
      <c r="G579" s="932"/>
      <c r="H579" s="932"/>
      <c r="I579" s="932"/>
      <c r="J579" s="932"/>
      <c r="K579" s="957"/>
      <c r="L579" s="1492"/>
      <c r="M579" s="957"/>
      <c r="N579" s="932"/>
      <c r="O579" s="931"/>
      <c r="P579" s="931"/>
      <c r="Q579" s="957"/>
      <c r="R579" s="957"/>
    </row>
    <row r="580" ht="13.5" customHeight="1">
      <c r="A580" s="931"/>
      <c r="B580" s="931"/>
      <c r="C580" s="932"/>
      <c r="D580" s="932"/>
      <c r="E580" s="931"/>
      <c r="F580" s="931"/>
      <c r="G580" s="932"/>
      <c r="H580" s="932"/>
      <c r="I580" s="932"/>
      <c r="J580" s="932"/>
      <c r="K580" s="957"/>
      <c r="L580" s="1492"/>
      <c r="M580" s="957"/>
      <c r="N580" s="932"/>
      <c r="O580" s="931"/>
      <c r="P580" s="931"/>
      <c r="Q580" s="957"/>
      <c r="R580" s="957"/>
    </row>
    <row r="581" ht="13.5" customHeight="1">
      <c r="A581" s="931"/>
      <c r="B581" s="931"/>
      <c r="C581" s="932"/>
      <c r="D581" s="932"/>
      <c r="E581" s="931"/>
      <c r="F581" s="931"/>
      <c r="G581" s="932"/>
      <c r="H581" s="932"/>
      <c r="I581" s="932"/>
      <c r="J581" s="932"/>
      <c r="K581" s="957"/>
      <c r="L581" s="1492"/>
      <c r="M581" s="957"/>
      <c r="N581" s="932"/>
      <c r="O581" s="931"/>
      <c r="P581" s="931"/>
      <c r="Q581" s="957"/>
      <c r="R581" s="957"/>
    </row>
    <row r="582" ht="13.5" customHeight="1">
      <c r="A582" s="931"/>
      <c r="B582" s="931"/>
      <c r="C582" s="932"/>
      <c r="D582" s="932"/>
      <c r="E582" s="931"/>
      <c r="F582" s="931"/>
      <c r="G582" s="932"/>
      <c r="H582" s="932"/>
      <c r="I582" s="932"/>
      <c r="J582" s="932"/>
      <c r="K582" s="957"/>
      <c r="L582" s="1492"/>
      <c r="M582" s="957"/>
      <c r="N582" s="932"/>
      <c r="O582" s="931"/>
      <c r="P582" s="931"/>
      <c r="Q582" s="957"/>
      <c r="R582" s="957"/>
    </row>
    <row r="583" ht="13.5" customHeight="1">
      <c r="A583" s="931"/>
      <c r="B583" s="931"/>
      <c r="C583" s="932"/>
      <c r="D583" s="932"/>
      <c r="E583" s="931"/>
      <c r="F583" s="931"/>
      <c r="G583" s="932"/>
      <c r="H583" s="932"/>
      <c r="I583" s="932"/>
      <c r="J583" s="932"/>
      <c r="K583" s="957"/>
      <c r="L583" s="1492"/>
      <c r="M583" s="957"/>
      <c r="N583" s="932"/>
      <c r="O583" s="931"/>
      <c r="P583" s="931"/>
      <c r="Q583" s="957"/>
      <c r="R583" s="957"/>
    </row>
    <row r="584" ht="13.5" customHeight="1">
      <c r="A584" s="931"/>
      <c r="B584" s="931"/>
      <c r="C584" s="932"/>
      <c r="D584" s="932"/>
      <c r="E584" s="931"/>
      <c r="F584" s="931"/>
      <c r="G584" s="932"/>
      <c r="H584" s="932"/>
      <c r="I584" s="932"/>
      <c r="J584" s="932"/>
      <c r="K584" s="957"/>
      <c r="L584" s="1492"/>
      <c r="M584" s="957"/>
      <c r="N584" s="932"/>
      <c r="O584" s="931"/>
      <c r="P584" s="931"/>
      <c r="Q584" s="957"/>
      <c r="R584" s="957"/>
    </row>
    <row r="585" ht="13.5" customHeight="1">
      <c r="A585" s="931"/>
      <c r="B585" s="931"/>
      <c r="C585" s="932"/>
      <c r="D585" s="932"/>
      <c r="E585" s="931"/>
      <c r="F585" s="931"/>
      <c r="G585" s="932"/>
      <c r="H585" s="932"/>
      <c r="I585" s="932"/>
      <c r="J585" s="932"/>
      <c r="K585" s="957"/>
      <c r="L585" s="1492"/>
      <c r="M585" s="957"/>
      <c r="N585" s="932"/>
      <c r="O585" s="931"/>
      <c r="P585" s="931"/>
      <c r="Q585" s="957"/>
      <c r="R585" s="957"/>
    </row>
    <row r="586" ht="13.5" customHeight="1">
      <c r="A586" s="931"/>
      <c r="B586" s="931"/>
      <c r="C586" s="932"/>
      <c r="D586" s="932"/>
      <c r="E586" s="931"/>
      <c r="F586" s="931"/>
      <c r="G586" s="932"/>
      <c r="H586" s="932"/>
      <c r="I586" s="932"/>
      <c r="J586" s="932"/>
      <c r="K586" s="957"/>
      <c r="L586" s="1492"/>
      <c r="M586" s="957"/>
      <c r="N586" s="932"/>
      <c r="O586" s="931"/>
      <c r="P586" s="931"/>
      <c r="Q586" s="957"/>
      <c r="R586" s="957"/>
    </row>
    <row r="587" ht="13.5" customHeight="1">
      <c r="A587" s="931"/>
      <c r="B587" s="931"/>
      <c r="C587" s="932"/>
      <c r="D587" s="932"/>
      <c r="E587" s="931"/>
      <c r="F587" s="931"/>
      <c r="G587" s="932"/>
      <c r="H587" s="932"/>
      <c r="I587" s="932"/>
      <c r="J587" s="932"/>
      <c r="K587" s="957"/>
      <c r="L587" s="1492"/>
      <c r="M587" s="957"/>
      <c r="N587" s="932"/>
      <c r="O587" s="931"/>
      <c r="P587" s="931"/>
      <c r="Q587" s="957"/>
      <c r="R587" s="957"/>
    </row>
    <row r="588" ht="13.5" customHeight="1">
      <c r="A588" s="931"/>
      <c r="B588" s="931"/>
      <c r="C588" s="932"/>
      <c r="D588" s="932"/>
      <c r="E588" s="931"/>
      <c r="F588" s="931"/>
      <c r="G588" s="932"/>
      <c r="H588" s="932"/>
      <c r="I588" s="932"/>
      <c r="J588" s="932"/>
      <c r="K588" s="957"/>
      <c r="L588" s="1492"/>
      <c r="M588" s="957"/>
      <c r="N588" s="932"/>
      <c r="O588" s="931"/>
      <c r="P588" s="931"/>
      <c r="Q588" s="957"/>
      <c r="R588" s="957"/>
    </row>
    <row r="589" ht="13.5" customHeight="1">
      <c r="A589" s="931"/>
      <c r="B589" s="931"/>
      <c r="C589" s="932"/>
      <c r="D589" s="932"/>
      <c r="E589" s="931"/>
      <c r="F589" s="931"/>
      <c r="G589" s="932"/>
      <c r="H589" s="932"/>
      <c r="I589" s="932"/>
      <c r="J589" s="932"/>
      <c r="K589" s="957"/>
      <c r="L589" s="1492"/>
      <c r="M589" s="957"/>
      <c r="N589" s="932"/>
      <c r="O589" s="931"/>
      <c r="P589" s="931"/>
      <c r="Q589" s="957"/>
      <c r="R589" s="957"/>
    </row>
    <row r="590" ht="13.5" customHeight="1">
      <c r="A590" s="931"/>
      <c r="B590" s="931"/>
      <c r="C590" s="932"/>
      <c r="D590" s="932"/>
      <c r="E590" s="931"/>
      <c r="F590" s="931"/>
      <c r="G590" s="932"/>
      <c r="H590" s="932"/>
      <c r="I590" s="932"/>
      <c r="J590" s="932"/>
      <c r="K590" s="957"/>
      <c r="L590" s="1492"/>
      <c r="M590" s="957"/>
      <c r="N590" s="932"/>
      <c r="O590" s="931"/>
      <c r="P590" s="931"/>
      <c r="Q590" s="957"/>
      <c r="R590" s="957"/>
    </row>
    <row r="591" ht="13.5" customHeight="1">
      <c r="A591" s="931"/>
      <c r="B591" s="931"/>
      <c r="C591" s="932"/>
      <c r="D591" s="932"/>
      <c r="E591" s="931"/>
      <c r="F591" s="931"/>
      <c r="G591" s="932"/>
      <c r="H591" s="932"/>
      <c r="I591" s="932"/>
      <c r="J591" s="932"/>
      <c r="K591" s="957"/>
      <c r="L591" s="1492"/>
      <c r="M591" s="957"/>
      <c r="N591" s="932"/>
      <c r="O591" s="931"/>
      <c r="P591" s="931"/>
      <c r="Q591" s="957"/>
      <c r="R591" s="957"/>
    </row>
    <row r="592" ht="13.5" customHeight="1">
      <c r="A592" s="931"/>
      <c r="B592" s="931"/>
      <c r="C592" s="932"/>
      <c r="D592" s="932"/>
      <c r="E592" s="931"/>
      <c r="F592" s="931"/>
      <c r="G592" s="932"/>
      <c r="H592" s="932"/>
      <c r="I592" s="932"/>
      <c r="J592" s="932"/>
      <c r="K592" s="957"/>
      <c r="L592" s="1492"/>
      <c r="M592" s="957"/>
      <c r="N592" s="932"/>
      <c r="O592" s="931"/>
      <c r="P592" s="931"/>
      <c r="Q592" s="957"/>
      <c r="R592" s="957"/>
    </row>
    <row r="593" ht="13.5" customHeight="1">
      <c r="A593" s="931"/>
      <c r="B593" s="931"/>
      <c r="C593" s="932"/>
      <c r="D593" s="932"/>
      <c r="E593" s="931"/>
      <c r="F593" s="931"/>
      <c r="G593" s="932"/>
      <c r="H593" s="932"/>
      <c r="I593" s="932"/>
      <c r="J593" s="932"/>
      <c r="K593" s="957"/>
      <c r="L593" s="1492"/>
      <c r="M593" s="957"/>
      <c r="N593" s="932"/>
      <c r="O593" s="931"/>
      <c r="P593" s="931"/>
      <c r="Q593" s="957"/>
      <c r="R593" s="957"/>
    </row>
    <row r="594" ht="13.5" customHeight="1">
      <c r="A594" s="931"/>
      <c r="B594" s="931"/>
      <c r="C594" s="932"/>
      <c r="D594" s="932"/>
      <c r="E594" s="931"/>
      <c r="F594" s="931"/>
      <c r="G594" s="932"/>
      <c r="H594" s="932"/>
      <c r="I594" s="932"/>
      <c r="J594" s="932"/>
      <c r="K594" s="957"/>
      <c r="L594" s="1492"/>
      <c r="M594" s="957"/>
      <c r="N594" s="932"/>
      <c r="O594" s="931"/>
      <c r="P594" s="931"/>
      <c r="Q594" s="957"/>
      <c r="R594" s="957"/>
    </row>
    <row r="595" ht="13.5" customHeight="1">
      <c r="A595" s="931"/>
      <c r="B595" s="931"/>
      <c r="C595" s="932"/>
      <c r="D595" s="932"/>
      <c r="E595" s="931"/>
      <c r="F595" s="931"/>
      <c r="G595" s="932"/>
      <c r="H595" s="932"/>
      <c r="I595" s="932"/>
      <c r="J595" s="932"/>
      <c r="K595" s="957"/>
      <c r="L595" s="1492"/>
      <c r="M595" s="957"/>
      <c r="N595" s="932"/>
      <c r="O595" s="931"/>
      <c r="P595" s="931"/>
      <c r="Q595" s="957"/>
      <c r="R595" s="957"/>
    </row>
    <row r="596" ht="13.5" customHeight="1">
      <c r="A596" s="931"/>
      <c r="B596" s="931"/>
      <c r="C596" s="932"/>
      <c r="D596" s="932"/>
      <c r="E596" s="931"/>
      <c r="F596" s="931"/>
      <c r="G596" s="932"/>
      <c r="H596" s="932"/>
      <c r="I596" s="932"/>
      <c r="J596" s="932"/>
      <c r="K596" s="957"/>
      <c r="L596" s="1492"/>
      <c r="M596" s="957"/>
      <c r="N596" s="932"/>
      <c r="O596" s="931"/>
      <c r="P596" s="931"/>
      <c r="Q596" s="957"/>
      <c r="R596" s="957"/>
    </row>
    <row r="597" ht="13.5" customHeight="1">
      <c r="A597" s="931"/>
      <c r="B597" s="931"/>
      <c r="C597" s="932"/>
      <c r="D597" s="932"/>
      <c r="E597" s="931"/>
      <c r="F597" s="931"/>
      <c r="G597" s="932"/>
      <c r="H597" s="932"/>
      <c r="I597" s="932"/>
      <c r="J597" s="932"/>
      <c r="K597" s="957"/>
      <c r="L597" s="1492"/>
      <c r="M597" s="957"/>
      <c r="N597" s="932"/>
      <c r="O597" s="931"/>
      <c r="P597" s="931"/>
      <c r="Q597" s="957"/>
      <c r="R597" s="957"/>
    </row>
    <row r="598" ht="13.5" customHeight="1">
      <c r="A598" s="931"/>
      <c r="B598" s="931"/>
      <c r="C598" s="932"/>
      <c r="D598" s="932"/>
      <c r="E598" s="931"/>
      <c r="F598" s="931"/>
      <c r="G598" s="932"/>
      <c r="H598" s="932"/>
      <c r="I598" s="932"/>
      <c r="J598" s="932"/>
      <c r="K598" s="957"/>
      <c r="L598" s="1492"/>
      <c r="M598" s="957"/>
      <c r="N598" s="932"/>
      <c r="O598" s="931"/>
      <c r="P598" s="931"/>
      <c r="Q598" s="957"/>
      <c r="R598" s="957"/>
    </row>
    <row r="599" ht="13.5" customHeight="1">
      <c r="A599" s="931"/>
      <c r="B599" s="931"/>
      <c r="C599" s="932"/>
      <c r="D599" s="932"/>
      <c r="E599" s="931"/>
      <c r="F599" s="931"/>
      <c r="G599" s="932"/>
      <c r="H599" s="932"/>
      <c r="I599" s="932"/>
      <c r="J599" s="932"/>
      <c r="K599" s="957"/>
      <c r="L599" s="1492"/>
      <c r="M599" s="957"/>
      <c r="N599" s="932"/>
      <c r="O599" s="931"/>
      <c r="P599" s="931"/>
      <c r="Q599" s="957"/>
      <c r="R599" s="957"/>
    </row>
    <row r="600" ht="13.5" customHeight="1">
      <c r="A600" s="931"/>
      <c r="B600" s="931"/>
      <c r="C600" s="932"/>
      <c r="D600" s="932"/>
      <c r="E600" s="931"/>
      <c r="F600" s="931"/>
      <c r="G600" s="932"/>
      <c r="H600" s="932"/>
      <c r="I600" s="932"/>
      <c r="J600" s="932"/>
      <c r="K600" s="957"/>
      <c r="L600" s="1492"/>
      <c r="M600" s="957"/>
      <c r="N600" s="932"/>
      <c r="O600" s="931"/>
      <c r="P600" s="931"/>
      <c r="Q600" s="957"/>
      <c r="R600" s="957"/>
    </row>
    <row r="601" ht="13.5" customHeight="1">
      <c r="A601" s="931"/>
      <c r="B601" s="931"/>
      <c r="C601" s="932"/>
      <c r="D601" s="932"/>
      <c r="E601" s="931"/>
      <c r="F601" s="931"/>
      <c r="G601" s="932"/>
      <c r="H601" s="932"/>
      <c r="I601" s="932"/>
      <c r="J601" s="932"/>
      <c r="K601" s="957"/>
      <c r="L601" s="1492"/>
      <c r="M601" s="957"/>
      <c r="N601" s="932"/>
      <c r="O601" s="931"/>
      <c r="P601" s="931"/>
      <c r="Q601" s="957"/>
      <c r="R601" s="957"/>
    </row>
    <row r="602" ht="13.5" customHeight="1">
      <c r="A602" s="931"/>
      <c r="B602" s="931"/>
      <c r="C602" s="932"/>
      <c r="D602" s="932"/>
      <c r="E602" s="931"/>
      <c r="F602" s="931"/>
      <c r="G602" s="932"/>
      <c r="H602" s="932"/>
      <c r="I602" s="932"/>
      <c r="J602" s="932"/>
      <c r="K602" s="957"/>
      <c r="L602" s="1492"/>
      <c r="M602" s="957"/>
      <c r="N602" s="932"/>
      <c r="O602" s="931"/>
      <c r="P602" s="931"/>
      <c r="Q602" s="957"/>
      <c r="R602" s="957"/>
    </row>
    <row r="603" ht="13.5" customHeight="1">
      <c r="A603" s="931"/>
      <c r="B603" s="931"/>
      <c r="C603" s="932"/>
      <c r="D603" s="932"/>
      <c r="E603" s="931"/>
      <c r="F603" s="931"/>
      <c r="G603" s="932"/>
      <c r="H603" s="932"/>
      <c r="I603" s="932"/>
      <c r="J603" s="932"/>
      <c r="K603" s="957"/>
      <c r="L603" s="1492"/>
      <c r="M603" s="957"/>
      <c r="N603" s="932"/>
      <c r="O603" s="931"/>
      <c r="P603" s="931"/>
      <c r="Q603" s="957"/>
      <c r="R603" s="957"/>
    </row>
    <row r="604" ht="13.5" customHeight="1">
      <c r="A604" s="931"/>
      <c r="B604" s="931"/>
      <c r="C604" s="932"/>
      <c r="D604" s="932"/>
      <c r="E604" s="931"/>
      <c r="F604" s="931"/>
      <c r="G604" s="932"/>
      <c r="H604" s="932"/>
      <c r="I604" s="932"/>
      <c r="J604" s="932"/>
      <c r="K604" s="957"/>
      <c r="L604" s="1492"/>
      <c r="M604" s="957"/>
      <c r="N604" s="932"/>
      <c r="O604" s="931"/>
      <c r="P604" s="931"/>
      <c r="Q604" s="957"/>
      <c r="R604" s="957"/>
    </row>
    <row r="605" ht="13.5" customHeight="1">
      <c r="A605" s="931"/>
      <c r="B605" s="931"/>
      <c r="C605" s="932"/>
      <c r="D605" s="932"/>
      <c r="E605" s="931"/>
      <c r="F605" s="931"/>
      <c r="G605" s="932"/>
      <c r="H605" s="932"/>
      <c r="I605" s="932"/>
      <c r="J605" s="932"/>
      <c r="K605" s="957"/>
      <c r="L605" s="1492"/>
      <c r="M605" s="957"/>
      <c r="N605" s="932"/>
      <c r="O605" s="931"/>
      <c r="P605" s="931"/>
      <c r="Q605" s="957"/>
      <c r="R605" s="957"/>
    </row>
    <row r="606" ht="13.5" customHeight="1">
      <c r="A606" s="931"/>
      <c r="B606" s="931"/>
      <c r="C606" s="932"/>
      <c r="D606" s="932"/>
      <c r="E606" s="931"/>
      <c r="F606" s="931"/>
      <c r="G606" s="932"/>
      <c r="H606" s="932"/>
      <c r="I606" s="932"/>
      <c r="J606" s="932"/>
      <c r="K606" s="957"/>
      <c r="L606" s="1492"/>
      <c r="M606" s="957"/>
      <c r="N606" s="932"/>
      <c r="O606" s="931"/>
      <c r="P606" s="931"/>
      <c r="Q606" s="957"/>
      <c r="R606" s="957"/>
    </row>
    <row r="607" ht="13.5" customHeight="1">
      <c r="A607" s="931"/>
      <c r="B607" s="931"/>
      <c r="C607" s="932"/>
      <c r="D607" s="932"/>
      <c r="E607" s="931"/>
      <c r="F607" s="931"/>
      <c r="G607" s="932"/>
      <c r="H607" s="932"/>
      <c r="I607" s="932"/>
      <c r="J607" s="932"/>
      <c r="K607" s="957"/>
      <c r="L607" s="1492"/>
      <c r="M607" s="957"/>
      <c r="N607" s="932"/>
      <c r="O607" s="931"/>
      <c r="P607" s="931"/>
      <c r="Q607" s="957"/>
      <c r="R607" s="957"/>
    </row>
    <row r="608" ht="13.5" customHeight="1">
      <c r="A608" s="931"/>
      <c r="B608" s="931"/>
      <c r="C608" s="932"/>
      <c r="D608" s="932"/>
      <c r="E608" s="931"/>
      <c r="F608" s="931"/>
      <c r="G608" s="932"/>
      <c r="H608" s="932"/>
      <c r="I608" s="932"/>
      <c r="J608" s="932"/>
      <c r="K608" s="957"/>
      <c r="L608" s="1492"/>
      <c r="M608" s="957"/>
      <c r="N608" s="932"/>
      <c r="O608" s="931"/>
      <c r="P608" s="931"/>
      <c r="Q608" s="957"/>
      <c r="R608" s="957"/>
    </row>
    <row r="609" ht="13.5" customHeight="1">
      <c r="A609" s="931"/>
      <c r="B609" s="931"/>
      <c r="C609" s="932"/>
      <c r="D609" s="932"/>
      <c r="E609" s="931"/>
      <c r="F609" s="931"/>
      <c r="G609" s="932"/>
      <c r="H609" s="932"/>
      <c r="I609" s="932"/>
      <c r="J609" s="932"/>
      <c r="K609" s="957"/>
      <c r="L609" s="1492"/>
      <c r="M609" s="957"/>
      <c r="N609" s="932"/>
      <c r="O609" s="931"/>
      <c r="P609" s="931"/>
      <c r="Q609" s="957"/>
      <c r="R609" s="957"/>
    </row>
    <row r="610" ht="13.5" customHeight="1">
      <c r="A610" s="931"/>
      <c r="B610" s="931"/>
      <c r="C610" s="932"/>
      <c r="D610" s="932"/>
      <c r="E610" s="931"/>
      <c r="F610" s="931"/>
      <c r="G610" s="932"/>
      <c r="H610" s="932"/>
      <c r="I610" s="932"/>
      <c r="J610" s="932"/>
      <c r="K610" s="957"/>
      <c r="L610" s="1492"/>
      <c r="M610" s="957"/>
      <c r="N610" s="932"/>
      <c r="O610" s="931"/>
      <c r="P610" s="931"/>
      <c r="Q610" s="957"/>
      <c r="R610" s="957"/>
    </row>
    <row r="611" ht="13.5" customHeight="1">
      <c r="A611" s="931"/>
      <c r="B611" s="931"/>
      <c r="C611" s="932"/>
      <c r="D611" s="932"/>
      <c r="E611" s="931"/>
      <c r="F611" s="931"/>
      <c r="G611" s="932"/>
      <c r="H611" s="932"/>
      <c r="I611" s="932"/>
      <c r="J611" s="932"/>
      <c r="K611" s="957"/>
      <c r="L611" s="1492"/>
      <c r="M611" s="957"/>
      <c r="N611" s="932"/>
      <c r="O611" s="931"/>
      <c r="P611" s="931"/>
      <c r="Q611" s="957"/>
      <c r="R611" s="957"/>
    </row>
    <row r="612" ht="13.5" customHeight="1">
      <c r="A612" s="931"/>
      <c r="B612" s="931"/>
      <c r="C612" s="932"/>
      <c r="D612" s="932"/>
      <c r="E612" s="931"/>
      <c r="F612" s="931"/>
      <c r="G612" s="932"/>
      <c r="H612" s="932"/>
      <c r="I612" s="932"/>
      <c r="J612" s="932"/>
      <c r="K612" s="957"/>
      <c r="L612" s="1492"/>
      <c r="M612" s="957"/>
      <c r="N612" s="932"/>
      <c r="O612" s="931"/>
      <c r="P612" s="931"/>
      <c r="Q612" s="957"/>
      <c r="R612" s="957"/>
    </row>
    <row r="613" ht="13.5" customHeight="1">
      <c r="A613" s="931"/>
      <c r="B613" s="931"/>
      <c r="C613" s="932"/>
      <c r="D613" s="932"/>
      <c r="E613" s="931"/>
      <c r="F613" s="931"/>
      <c r="G613" s="932"/>
      <c r="H613" s="932"/>
      <c r="I613" s="932"/>
      <c r="J613" s="932"/>
      <c r="K613" s="957"/>
      <c r="L613" s="1492"/>
      <c r="M613" s="957"/>
      <c r="N613" s="932"/>
      <c r="O613" s="931"/>
      <c r="P613" s="931"/>
      <c r="Q613" s="957"/>
      <c r="R613" s="957"/>
    </row>
    <row r="614" ht="13.5" customHeight="1">
      <c r="A614" s="931"/>
      <c r="B614" s="931"/>
      <c r="C614" s="932"/>
      <c r="D614" s="932"/>
      <c r="E614" s="931"/>
      <c r="F614" s="931"/>
      <c r="G614" s="932"/>
      <c r="H614" s="932"/>
      <c r="I614" s="932"/>
      <c r="J614" s="932"/>
      <c r="K614" s="957"/>
      <c r="L614" s="1492"/>
      <c r="M614" s="957"/>
      <c r="N614" s="932"/>
      <c r="O614" s="931"/>
      <c r="P614" s="931"/>
      <c r="Q614" s="957"/>
      <c r="R614" s="957"/>
    </row>
    <row r="615" ht="13.5" customHeight="1">
      <c r="A615" s="931"/>
      <c r="B615" s="931"/>
      <c r="C615" s="932"/>
      <c r="D615" s="932"/>
      <c r="E615" s="931"/>
      <c r="F615" s="931"/>
      <c r="G615" s="932"/>
      <c r="H615" s="932"/>
      <c r="I615" s="932"/>
      <c r="J615" s="932"/>
      <c r="K615" s="957"/>
      <c r="L615" s="1492"/>
      <c r="M615" s="957"/>
      <c r="N615" s="932"/>
      <c r="O615" s="931"/>
      <c r="P615" s="931"/>
      <c r="Q615" s="957"/>
      <c r="R615" s="957"/>
    </row>
    <row r="616" ht="13.5" customHeight="1">
      <c r="A616" s="931"/>
      <c r="B616" s="931"/>
      <c r="C616" s="932"/>
      <c r="D616" s="932"/>
      <c r="E616" s="931"/>
      <c r="F616" s="931"/>
      <c r="G616" s="932"/>
      <c r="H616" s="932"/>
      <c r="I616" s="932"/>
      <c r="J616" s="932"/>
      <c r="K616" s="957"/>
      <c r="L616" s="1492"/>
      <c r="M616" s="957"/>
      <c r="N616" s="932"/>
      <c r="O616" s="931"/>
      <c r="P616" s="931"/>
      <c r="Q616" s="957"/>
      <c r="R616" s="957"/>
    </row>
    <row r="617" ht="13.5" customHeight="1">
      <c r="A617" s="931"/>
      <c r="B617" s="931"/>
      <c r="C617" s="932"/>
      <c r="D617" s="932"/>
      <c r="E617" s="931"/>
      <c r="F617" s="931"/>
      <c r="G617" s="932"/>
      <c r="H617" s="932"/>
      <c r="I617" s="932"/>
      <c r="J617" s="932"/>
      <c r="K617" s="957"/>
      <c r="L617" s="1492"/>
      <c r="M617" s="957"/>
      <c r="N617" s="932"/>
      <c r="O617" s="931"/>
      <c r="P617" s="931"/>
      <c r="Q617" s="957"/>
      <c r="R617" s="957"/>
    </row>
    <row r="618" ht="13.5" customHeight="1">
      <c r="A618" s="931"/>
      <c r="B618" s="931"/>
      <c r="C618" s="932"/>
      <c r="D618" s="932"/>
      <c r="E618" s="931"/>
      <c r="F618" s="931"/>
      <c r="G618" s="932"/>
      <c r="H618" s="932"/>
      <c r="I618" s="932"/>
      <c r="J618" s="932"/>
      <c r="K618" s="957"/>
      <c r="L618" s="1492"/>
      <c r="M618" s="957"/>
      <c r="N618" s="932"/>
      <c r="O618" s="931"/>
      <c r="P618" s="931"/>
      <c r="Q618" s="957"/>
      <c r="R618" s="957"/>
    </row>
    <row r="619" ht="13.5" customHeight="1">
      <c r="A619" s="931"/>
      <c r="B619" s="931"/>
      <c r="C619" s="932"/>
      <c r="D619" s="932"/>
      <c r="E619" s="931"/>
      <c r="F619" s="931"/>
      <c r="G619" s="932"/>
      <c r="H619" s="932"/>
      <c r="I619" s="932"/>
      <c r="J619" s="932"/>
      <c r="K619" s="957"/>
      <c r="L619" s="1492"/>
      <c r="M619" s="957"/>
      <c r="N619" s="932"/>
      <c r="O619" s="931"/>
      <c r="P619" s="931"/>
      <c r="Q619" s="957"/>
      <c r="R619" s="957"/>
    </row>
    <row r="620" ht="13.5" customHeight="1">
      <c r="A620" s="931"/>
      <c r="B620" s="931"/>
      <c r="C620" s="932"/>
      <c r="D620" s="932"/>
      <c r="E620" s="931"/>
      <c r="F620" s="931"/>
      <c r="G620" s="932"/>
      <c r="H620" s="932"/>
      <c r="I620" s="932"/>
      <c r="J620" s="932"/>
      <c r="K620" s="957"/>
      <c r="L620" s="1492"/>
      <c r="M620" s="957"/>
      <c r="N620" s="932"/>
      <c r="O620" s="931"/>
      <c r="P620" s="931"/>
      <c r="Q620" s="957"/>
      <c r="R620" s="957"/>
    </row>
    <row r="621" ht="13.5" customHeight="1">
      <c r="A621" s="931"/>
      <c r="B621" s="931"/>
      <c r="C621" s="932"/>
      <c r="D621" s="932"/>
      <c r="E621" s="931"/>
      <c r="F621" s="931"/>
      <c r="G621" s="932"/>
      <c r="H621" s="932"/>
      <c r="I621" s="932"/>
      <c r="J621" s="932"/>
      <c r="K621" s="957"/>
      <c r="L621" s="1492"/>
      <c r="M621" s="957"/>
      <c r="N621" s="932"/>
      <c r="O621" s="931"/>
      <c r="P621" s="931"/>
      <c r="Q621" s="957"/>
      <c r="R621" s="957"/>
    </row>
    <row r="622" ht="13.5" customHeight="1">
      <c r="A622" s="931"/>
      <c r="B622" s="931"/>
      <c r="C622" s="932"/>
      <c r="D622" s="932"/>
      <c r="E622" s="931"/>
      <c r="F622" s="931"/>
      <c r="G622" s="932"/>
      <c r="H622" s="932"/>
      <c r="I622" s="932"/>
      <c r="J622" s="932"/>
      <c r="K622" s="957"/>
      <c r="L622" s="1492"/>
      <c r="M622" s="957"/>
      <c r="N622" s="932"/>
      <c r="O622" s="931"/>
      <c r="P622" s="931"/>
      <c r="Q622" s="957"/>
      <c r="R622" s="957"/>
    </row>
    <row r="623" ht="13.5" customHeight="1">
      <c r="A623" s="931"/>
      <c r="B623" s="931"/>
      <c r="C623" s="932"/>
      <c r="D623" s="932"/>
      <c r="E623" s="931"/>
      <c r="F623" s="931"/>
      <c r="G623" s="932"/>
      <c r="H623" s="932"/>
      <c r="I623" s="932"/>
      <c r="J623" s="932"/>
      <c r="K623" s="957"/>
      <c r="L623" s="1492"/>
      <c r="M623" s="957"/>
      <c r="N623" s="932"/>
      <c r="O623" s="931"/>
      <c r="P623" s="931"/>
      <c r="Q623" s="957"/>
      <c r="R623" s="957"/>
    </row>
    <row r="624" ht="13.5" customHeight="1">
      <c r="A624" s="931"/>
      <c r="B624" s="931"/>
      <c r="C624" s="932"/>
      <c r="D624" s="932"/>
      <c r="E624" s="931"/>
      <c r="F624" s="931"/>
      <c r="G624" s="932"/>
      <c r="H624" s="932"/>
      <c r="I624" s="932"/>
      <c r="J624" s="932"/>
      <c r="K624" s="957"/>
      <c r="L624" s="1492"/>
      <c r="M624" s="957"/>
      <c r="N624" s="932"/>
      <c r="O624" s="931"/>
      <c r="P624" s="931"/>
      <c r="Q624" s="957"/>
      <c r="R624" s="957"/>
    </row>
    <row r="625" ht="13.5" customHeight="1">
      <c r="A625" s="931"/>
      <c r="B625" s="931"/>
      <c r="C625" s="932"/>
      <c r="D625" s="932"/>
      <c r="E625" s="931"/>
      <c r="F625" s="931"/>
      <c r="G625" s="932"/>
      <c r="H625" s="932"/>
      <c r="I625" s="932"/>
      <c r="J625" s="932"/>
      <c r="K625" s="957"/>
      <c r="L625" s="1492"/>
      <c r="M625" s="957"/>
      <c r="N625" s="932"/>
      <c r="O625" s="931"/>
      <c r="P625" s="931"/>
      <c r="Q625" s="957"/>
      <c r="R625" s="957"/>
    </row>
    <row r="626" ht="13.5" customHeight="1">
      <c r="A626" s="931"/>
      <c r="B626" s="931"/>
      <c r="C626" s="932"/>
      <c r="D626" s="932"/>
      <c r="E626" s="931"/>
      <c r="F626" s="931"/>
      <c r="G626" s="932"/>
      <c r="H626" s="932"/>
      <c r="I626" s="932"/>
      <c r="J626" s="932"/>
      <c r="K626" s="957"/>
      <c r="L626" s="1492"/>
      <c r="M626" s="957"/>
      <c r="N626" s="932"/>
      <c r="O626" s="931"/>
      <c r="P626" s="931"/>
      <c r="Q626" s="957"/>
      <c r="R626" s="957"/>
    </row>
    <row r="627" ht="13.5" customHeight="1">
      <c r="A627" s="931"/>
      <c r="B627" s="931"/>
      <c r="C627" s="932"/>
      <c r="D627" s="932"/>
      <c r="E627" s="931"/>
      <c r="F627" s="931"/>
      <c r="G627" s="932"/>
      <c r="H627" s="932"/>
      <c r="I627" s="932"/>
      <c r="J627" s="932"/>
      <c r="K627" s="957"/>
      <c r="L627" s="1492"/>
      <c r="M627" s="957"/>
      <c r="N627" s="932"/>
      <c r="O627" s="931"/>
      <c r="P627" s="931"/>
      <c r="Q627" s="957"/>
      <c r="R627" s="957"/>
    </row>
    <row r="628" ht="13.5" customHeight="1">
      <c r="A628" s="931"/>
      <c r="B628" s="931"/>
      <c r="C628" s="932"/>
      <c r="D628" s="932"/>
      <c r="E628" s="931"/>
      <c r="F628" s="931"/>
      <c r="G628" s="932"/>
      <c r="H628" s="932"/>
      <c r="I628" s="932"/>
      <c r="J628" s="932"/>
      <c r="K628" s="957"/>
      <c r="L628" s="1492"/>
      <c r="M628" s="957"/>
      <c r="N628" s="932"/>
      <c r="O628" s="931"/>
      <c r="P628" s="931"/>
      <c r="Q628" s="957"/>
      <c r="R628" s="957"/>
    </row>
    <row r="629" ht="13.5" customHeight="1">
      <c r="A629" s="931"/>
      <c r="B629" s="931"/>
      <c r="C629" s="932"/>
      <c r="D629" s="932"/>
      <c r="E629" s="931"/>
      <c r="F629" s="931"/>
      <c r="G629" s="932"/>
      <c r="H629" s="932"/>
      <c r="I629" s="932"/>
      <c r="J629" s="932"/>
      <c r="K629" s="957"/>
      <c r="L629" s="1492"/>
      <c r="M629" s="957"/>
      <c r="N629" s="932"/>
      <c r="O629" s="931"/>
      <c r="P629" s="931"/>
      <c r="Q629" s="957"/>
      <c r="R629" s="957"/>
    </row>
    <row r="630" ht="13.5" customHeight="1">
      <c r="A630" s="931"/>
      <c r="B630" s="931"/>
      <c r="C630" s="932"/>
      <c r="D630" s="932"/>
      <c r="E630" s="931"/>
      <c r="F630" s="931"/>
      <c r="G630" s="932"/>
      <c r="H630" s="932"/>
      <c r="I630" s="932"/>
      <c r="J630" s="932"/>
      <c r="K630" s="957"/>
      <c r="L630" s="1492"/>
      <c r="M630" s="957"/>
      <c r="N630" s="932"/>
      <c r="O630" s="931"/>
      <c r="P630" s="931"/>
      <c r="Q630" s="957"/>
      <c r="R630" s="957"/>
    </row>
    <row r="631" ht="13.5" customHeight="1">
      <c r="A631" s="931"/>
      <c r="B631" s="931"/>
      <c r="C631" s="932"/>
      <c r="D631" s="932"/>
      <c r="E631" s="931"/>
      <c r="F631" s="931"/>
      <c r="G631" s="932"/>
      <c r="H631" s="932"/>
      <c r="I631" s="932"/>
      <c r="J631" s="932"/>
      <c r="K631" s="957"/>
      <c r="L631" s="1492"/>
      <c r="M631" s="957"/>
      <c r="N631" s="932"/>
      <c r="O631" s="931"/>
      <c r="P631" s="931"/>
      <c r="Q631" s="957"/>
      <c r="R631" s="957"/>
    </row>
    <row r="632" ht="13.5" customHeight="1">
      <c r="A632" s="931"/>
      <c r="B632" s="931"/>
      <c r="C632" s="932"/>
      <c r="D632" s="932"/>
      <c r="E632" s="931"/>
      <c r="F632" s="931"/>
      <c r="G632" s="932"/>
      <c r="H632" s="932"/>
      <c r="I632" s="932"/>
      <c r="J632" s="932"/>
      <c r="K632" s="957"/>
      <c r="L632" s="1492"/>
      <c r="M632" s="957"/>
      <c r="N632" s="932"/>
      <c r="O632" s="931"/>
      <c r="P632" s="931"/>
      <c r="Q632" s="957"/>
      <c r="R632" s="957"/>
    </row>
    <row r="633" ht="13.5" customHeight="1">
      <c r="A633" s="931"/>
      <c r="B633" s="931"/>
      <c r="C633" s="932"/>
      <c r="D633" s="932"/>
      <c r="E633" s="931"/>
      <c r="F633" s="931"/>
      <c r="G633" s="932"/>
      <c r="H633" s="932"/>
      <c r="I633" s="932"/>
      <c r="J633" s="932"/>
      <c r="K633" s="957"/>
      <c r="L633" s="1492"/>
      <c r="M633" s="957"/>
      <c r="N633" s="932"/>
      <c r="O633" s="931"/>
      <c r="P633" s="931"/>
      <c r="Q633" s="957"/>
      <c r="R633" s="957"/>
    </row>
    <row r="634" ht="13.5" customHeight="1">
      <c r="A634" s="931"/>
      <c r="B634" s="931"/>
      <c r="C634" s="932"/>
      <c r="D634" s="932"/>
      <c r="E634" s="931"/>
      <c r="F634" s="931"/>
      <c r="G634" s="932"/>
      <c r="H634" s="932"/>
      <c r="I634" s="932"/>
      <c r="J634" s="932"/>
      <c r="K634" s="957"/>
      <c r="L634" s="1492"/>
      <c r="M634" s="957"/>
      <c r="N634" s="932"/>
      <c r="O634" s="931"/>
      <c r="P634" s="931"/>
      <c r="Q634" s="957"/>
      <c r="R634" s="957"/>
    </row>
    <row r="635" ht="13.5" customHeight="1">
      <c r="A635" s="931"/>
      <c r="B635" s="931"/>
      <c r="C635" s="932"/>
      <c r="D635" s="932"/>
      <c r="E635" s="931"/>
      <c r="F635" s="931"/>
      <c r="G635" s="932"/>
      <c r="H635" s="932"/>
      <c r="I635" s="932"/>
      <c r="J635" s="932"/>
      <c r="K635" s="957"/>
      <c r="L635" s="1492"/>
      <c r="M635" s="957"/>
      <c r="N635" s="932"/>
      <c r="O635" s="931"/>
      <c r="P635" s="931"/>
      <c r="Q635" s="957"/>
      <c r="R635" s="957"/>
    </row>
    <row r="636" ht="13.5" customHeight="1">
      <c r="A636" s="931"/>
      <c r="B636" s="931"/>
      <c r="C636" s="932"/>
      <c r="D636" s="932"/>
      <c r="E636" s="931"/>
      <c r="F636" s="931"/>
      <c r="G636" s="932"/>
      <c r="H636" s="932"/>
      <c r="I636" s="932"/>
      <c r="J636" s="932"/>
      <c r="K636" s="957"/>
      <c r="L636" s="1492"/>
      <c r="M636" s="957"/>
      <c r="N636" s="932"/>
      <c r="O636" s="931"/>
      <c r="P636" s="931"/>
      <c r="Q636" s="957"/>
      <c r="R636" s="957"/>
    </row>
    <row r="637" ht="13.5" customHeight="1">
      <c r="A637" s="931"/>
      <c r="B637" s="931"/>
      <c r="C637" s="932"/>
      <c r="D637" s="932"/>
      <c r="E637" s="931"/>
      <c r="F637" s="931"/>
      <c r="G637" s="932"/>
      <c r="H637" s="932"/>
      <c r="I637" s="932"/>
      <c r="J637" s="932"/>
      <c r="K637" s="957"/>
      <c r="L637" s="1492"/>
      <c r="M637" s="957"/>
      <c r="N637" s="932"/>
      <c r="O637" s="931"/>
      <c r="P637" s="931"/>
      <c r="Q637" s="957"/>
      <c r="R637" s="957"/>
    </row>
    <row r="638" ht="13.5" customHeight="1">
      <c r="A638" s="931"/>
      <c r="B638" s="931"/>
      <c r="C638" s="932"/>
      <c r="D638" s="932"/>
      <c r="E638" s="931"/>
      <c r="F638" s="931"/>
      <c r="G638" s="932"/>
      <c r="H638" s="932"/>
      <c r="I638" s="932"/>
      <c r="J638" s="932"/>
      <c r="K638" s="957"/>
      <c r="L638" s="1492"/>
      <c r="M638" s="957"/>
      <c r="N638" s="932"/>
      <c r="O638" s="931"/>
      <c r="P638" s="931"/>
      <c r="Q638" s="957"/>
      <c r="R638" s="957"/>
    </row>
    <row r="639" ht="13.5" customHeight="1">
      <c r="A639" s="931"/>
      <c r="B639" s="931"/>
      <c r="C639" s="932"/>
      <c r="D639" s="932"/>
      <c r="E639" s="931"/>
      <c r="F639" s="931"/>
      <c r="G639" s="932"/>
      <c r="H639" s="932"/>
      <c r="I639" s="932"/>
      <c r="J639" s="932"/>
      <c r="K639" s="957"/>
      <c r="L639" s="1492"/>
      <c r="M639" s="957"/>
      <c r="N639" s="932"/>
      <c r="O639" s="931"/>
      <c r="P639" s="931"/>
      <c r="Q639" s="957"/>
      <c r="R639" s="957"/>
    </row>
    <row r="640" ht="13.5" customHeight="1">
      <c r="A640" s="931"/>
      <c r="B640" s="931"/>
      <c r="C640" s="932"/>
      <c r="D640" s="932"/>
      <c r="E640" s="931"/>
      <c r="F640" s="931"/>
      <c r="G640" s="932"/>
      <c r="H640" s="932"/>
      <c r="I640" s="932"/>
      <c r="J640" s="932"/>
      <c r="K640" s="957"/>
      <c r="L640" s="1492"/>
      <c r="M640" s="957"/>
      <c r="N640" s="932"/>
      <c r="O640" s="931"/>
      <c r="P640" s="931"/>
      <c r="Q640" s="957"/>
      <c r="R640" s="957"/>
    </row>
    <row r="641" ht="13.5" customHeight="1">
      <c r="A641" s="931"/>
      <c r="B641" s="931"/>
      <c r="C641" s="932"/>
      <c r="D641" s="932"/>
      <c r="E641" s="931"/>
      <c r="F641" s="931"/>
      <c r="G641" s="932"/>
      <c r="H641" s="932"/>
      <c r="I641" s="932"/>
      <c r="J641" s="932"/>
      <c r="K641" s="957"/>
      <c r="L641" s="1492"/>
      <c r="M641" s="957"/>
      <c r="N641" s="932"/>
      <c r="O641" s="931"/>
      <c r="P641" s="931"/>
      <c r="Q641" s="957"/>
      <c r="R641" s="957"/>
    </row>
    <row r="642" ht="13.5" customHeight="1">
      <c r="A642" s="931"/>
      <c r="B642" s="931"/>
      <c r="C642" s="932"/>
      <c r="D642" s="932"/>
      <c r="E642" s="931"/>
      <c r="F642" s="931"/>
      <c r="G642" s="932"/>
      <c r="H642" s="932"/>
      <c r="I642" s="932"/>
      <c r="J642" s="932"/>
      <c r="K642" s="957"/>
      <c r="L642" s="1492"/>
      <c r="M642" s="957"/>
      <c r="N642" s="932"/>
      <c r="O642" s="931"/>
      <c r="P642" s="931"/>
      <c r="Q642" s="957"/>
      <c r="R642" s="957"/>
    </row>
    <row r="643" ht="13.5" customHeight="1">
      <c r="A643" s="931"/>
      <c r="B643" s="931"/>
      <c r="C643" s="932"/>
      <c r="D643" s="932"/>
      <c r="E643" s="931"/>
      <c r="F643" s="931"/>
      <c r="G643" s="932"/>
      <c r="H643" s="932"/>
      <c r="I643" s="932"/>
      <c r="J643" s="932"/>
      <c r="K643" s="957"/>
      <c r="L643" s="1492"/>
      <c r="M643" s="957"/>
      <c r="N643" s="932"/>
      <c r="O643" s="931"/>
      <c r="P643" s="931"/>
      <c r="Q643" s="957"/>
      <c r="R643" s="957"/>
    </row>
    <row r="644" ht="13.5" customHeight="1">
      <c r="A644" s="931"/>
      <c r="B644" s="931"/>
      <c r="C644" s="932"/>
      <c r="D644" s="932"/>
      <c r="E644" s="931"/>
      <c r="F644" s="931"/>
      <c r="G644" s="932"/>
      <c r="H644" s="932"/>
      <c r="I644" s="932"/>
      <c r="J644" s="932"/>
      <c r="K644" s="957"/>
      <c r="L644" s="1492"/>
      <c r="M644" s="957"/>
      <c r="N644" s="932"/>
      <c r="O644" s="931"/>
      <c r="P644" s="931"/>
      <c r="Q644" s="957"/>
      <c r="R644" s="957"/>
    </row>
    <row r="645" ht="13.5" customHeight="1">
      <c r="A645" s="931"/>
      <c r="B645" s="931"/>
      <c r="C645" s="932"/>
      <c r="D645" s="932"/>
      <c r="E645" s="931"/>
      <c r="F645" s="931"/>
      <c r="G645" s="932"/>
      <c r="H645" s="932"/>
      <c r="I645" s="932"/>
      <c r="J645" s="932"/>
      <c r="K645" s="957"/>
      <c r="L645" s="1492"/>
      <c r="M645" s="957"/>
      <c r="N645" s="932"/>
      <c r="O645" s="931"/>
      <c r="P645" s="931"/>
      <c r="Q645" s="957"/>
      <c r="R645" s="957"/>
    </row>
    <row r="646" ht="13.5" customHeight="1">
      <c r="A646" s="931"/>
      <c r="B646" s="931"/>
      <c r="C646" s="932"/>
      <c r="D646" s="932"/>
      <c r="E646" s="931"/>
      <c r="F646" s="931"/>
      <c r="G646" s="932"/>
      <c r="H646" s="932"/>
      <c r="I646" s="932"/>
      <c r="J646" s="932"/>
      <c r="K646" s="957"/>
      <c r="L646" s="1492"/>
      <c r="M646" s="957"/>
      <c r="N646" s="932"/>
      <c r="O646" s="931"/>
      <c r="P646" s="931"/>
      <c r="Q646" s="957"/>
      <c r="R646" s="957"/>
    </row>
    <row r="647" ht="13.5" customHeight="1">
      <c r="A647" s="931"/>
      <c r="B647" s="931"/>
      <c r="C647" s="932"/>
      <c r="D647" s="932"/>
      <c r="E647" s="931"/>
      <c r="F647" s="931"/>
      <c r="G647" s="932"/>
      <c r="H647" s="932"/>
      <c r="I647" s="932"/>
      <c r="J647" s="932"/>
      <c r="K647" s="957"/>
      <c r="L647" s="1492"/>
      <c r="M647" s="957"/>
      <c r="N647" s="932"/>
      <c r="O647" s="931"/>
      <c r="P647" s="931"/>
      <c r="Q647" s="957"/>
      <c r="R647" s="957"/>
    </row>
    <row r="648" ht="13.5" customHeight="1">
      <c r="A648" s="931"/>
      <c r="B648" s="931"/>
      <c r="C648" s="932"/>
      <c r="D648" s="932"/>
      <c r="E648" s="931"/>
      <c r="F648" s="931"/>
      <c r="G648" s="932"/>
      <c r="H648" s="932"/>
      <c r="I648" s="932"/>
      <c r="J648" s="932"/>
      <c r="K648" s="957"/>
      <c r="L648" s="1492"/>
      <c r="M648" s="957"/>
      <c r="N648" s="932"/>
      <c r="O648" s="931"/>
      <c r="P648" s="931"/>
      <c r="Q648" s="957"/>
      <c r="R648" s="957"/>
    </row>
    <row r="649" ht="13.5" customHeight="1">
      <c r="A649" s="931"/>
      <c r="B649" s="931"/>
      <c r="C649" s="932"/>
      <c r="D649" s="932"/>
      <c r="E649" s="931"/>
      <c r="F649" s="931"/>
      <c r="G649" s="932"/>
      <c r="H649" s="932"/>
      <c r="I649" s="932"/>
      <c r="J649" s="932"/>
      <c r="K649" s="957"/>
      <c r="L649" s="1492"/>
      <c r="M649" s="957"/>
      <c r="N649" s="932"/>
      <c r="O649" s="931"/>
      <c r="P649" s="931"/>
      <c r="Q649" s="957"/>
      <c r="R649" s="957"/>
    </row>
    <row r="650" ht="13.5" customHeight="1">
      <c r="A650" s="931"/>
      <c r="B650" s="931"/>
      <c r="C650" s="932"/>
      <c r="D650" s="932"/>
      <c r="E650" s="931"/>
      <c r="F650" s="931"/>
      <c r="G650" s="932"/>
      <c r="H650" s="932"/>
      <c r="I650" s="932"/>
      <c r="J650" s="932"/>
      <c r="K650" s="957"/>
      <c r="L650" s="1492"/>
      <c r="M650" s="957"/>
      <c r="N650" s="932"/>
      <c r="O650" s="931"/>
      <c r="P650" s="931"/>
      <c r="Q650" s="957"/>
      <c r="R650" s="957"/>
    </row>
    <row r="651" ht="13.5" customHeight="1">
      <c r="A651" s="931"/>
      <c r="B651" s="931"/>
      <c r="C651" s="932"/>
      <c r="D651" s="932"/>
      <c r="E651" s="931"/>
      <c r="F651" s="931"/>
      <c r="G651" s="932"/>
      <c r="H651" s="932"/>
      <c r="I651" s="932"/>
      <c r="J651" s="932"/>
      <c r="K651" s="957"/>
      <c r="L651" s="1492"/>
      <c r="M651" s="957"/>
      <c r="N651" s="932"/>
      <c r="O651" s="931"/>
      <c r="P651" s="931"/>
      <c r="Q651" s="957"/>
      <c r="R651" s="957"/>
    </row>
    <row r="652" ht="13.5" customHeight="1">
      <c r="A652" s="931"/>
      <c r="B652" s="931"/>
      <c r="C652" s="932"/>
      <c r="D652" s="932"/>
      <c r="E652" s="931"/>
      <c r="F652" s="931"/>
      <c r="G652" s="932"/>
      <c r="H652" s="932"/>
      <c r="I652" s="932"/>
      <c r="J652" s="932"/>
      <c r="K652" s="957"/>
      <c r="L652" s="1492"/>
      <c r="M652" s="957"/>
      <c r="N652" s="932"/>
      <c r="O652" s="931"/>
      <c r="P652" s="931"/>
      <c r="Q652" s="957"/>
      <c r="R652" s="957"/>
    </row>
    <row r="653" ht="13.5" customHeight="1">
      <c r="A653" s="931"/>
      <c r="B653" s="931"/>
      <c r="C653" s="932"/>
      <c r="D653" s="932"/>
      <c r="E653" s="931"/>
      <c r="F653" s="931"/>
      <c r="G653" s="932"/>
      <c r="H653" s="932"/>
      <c r="I653" s="932"/>
      <c r="J653" s="932"/>
      <c r="K653" s="957"/>
      <c r="L653" s="1492"/>
      <c r="M653" s="957"/>
      <c r="N653" s="932"/>
      <c r="O653" s="931"/>
      <c r="P653" s="931"/>
      <c r="Q653" s="957"/>
      <c r="R653" s="957"/>
    </row>
    <row r="654" ht="13.5" customHeight="1">
      <c r="A654" s="931"/>
      <c r="B654" s="931"/>
      <c r="C654" s="932"/>
      <c r="D654" s="932"/>
      <c r="E654" s="931"/>
      <c r="F654" s="931"/>
      <c r="G654" s="932"/>
      <c r="H654" s="932"/>
      <c r="I654" s="932"/>
      <c r="J654" s="932"/>
      <c r="K654" s="957"/>
      <c r="L654" s="1492"/>
      <c r="M654" s="957"/>
      <c r="N654" s="932"/>
      <c r="O654" s="931"/>
      <c r="P654" s="931"/>
      <c r="Q654" s="957"/>
      <c r="R654" s="957"/>
    </row>
    <row r="655" ht="13.5" customHeight="1">
      <c r="A655" s="931"/>
      <c r="B655" s="931"/>
      <c r="C655" s="932"/>
      <c r="D655" s="932"/>
      <c r="E655" s="931"/>
      <c r="F655" s="931"/>
      <c r="G655" s="932"/>
      <c r="H655" s="932"/>
      <c r="I655" s="932"/>
      <c r="J655" s="932"/>
      <c r="K655" s="957"/>
      <c r="L655" s="1492"/>
      <c r="M655" s="957"/>
      <c r="N655" s="932"/>
      <c r="O655" s="931"/>
      <c r="P655" s="931"/>
      <c r="Q655" s="957"/>
      <c r="R655" s="957"/>
    </row>
    <row r="656" ht="13.5" customHeight="1">
      <c r="A656" s="931"/>
      <c r="B656" s="931"/>
      <c r="C656" s="932"/>
      <c r="D656" s="932"/>
      <c r="E656" s="931"/>
      <c r="F656" s="931"/>
      <c r="G656" s="932"/>
      <c r="H656" s="932"/>
      <c r="I656" s="932"/>
      <c r="J656" s="932"/>
      <c r="K656" s="957"/>
      <c r="L656" s="1492"/>
      <c r="M656" s="957"/>
      <c r="N656" s="932"/>
      <c r="O656" s="931"/>
      <c r="P656" s="931"/>
      <c r="Q656" s="957"/>
      <c r="R656" s="957"/>
    </row>
    <row r="657" ht="13.5" customHeight="1">
      <c r="A657" s="931"/>
      <c r="B657" s="931"/>
      <c r="C657" s="932"/>
      <c r="D657" s="932"/>
      <c r="E657" s="931"/>
      <c r="F657" s="931"/>
      <c r="G657" s="932"/>
      <c r="H657" s="932"/>
      <c r="I657" s="932"/>
      <c r="J657" s="932"/>
      <c r="K657" s="957"/>
      <c r="L657" s="1492"/>
      <c r="M657" s="957"/>
      <c r="N657" s="932"/>
      <c r="O657" s="931"/>
      <c r="P657" s="931"/>
      <c r="Q657" s="957"/>
      <c r="R657" s="957"/>
    </row>
    <row r="658" ht="13.5" customHeight="1">
      <c r="A658" s="931"/>
      <c r="B658" s="931"/>
      <c r="C658" s="932"/>
      <c r="D658" s="932"/>
      <c r="E658" s="931"/>
      <c r="F658" s="931"/>
      <c r="G658" s="932"/>
      <c r="H658" s="932"/>
      <c r="I658" s="932"/>
      <c r="J658" s="932"/>
      <c r="K658" s="957"/>
      <c r="L658" s="1492"/>
      <c r="M658" s="957"/>
      <c r="N658" s="932"/>
      <c r="O658" s="931"/>
      <c r="P658" s="931"/>
      <c r="Q658" s="957"/>
      <c r="R658" s="957"/>
    </row>
    <row r="659" ht="13.5" customHeight="1">
      <c r="A659" s="931"/>
      <c r="B659" s="931"/>
      <c r="C659" s="932"/>
      <c r="D659" s="932"/>
      <c r="E659" s="931"/>
      <c r="F659" s="931"/>
      <c r="G659" s="932"/>
      <c r="H659" s="932"/>
      <c r="I659" s="932"/>
      <c r="J659" s="932"/>
      <c r="K659" s="957"/>
      <c r="L659" s="1492"/>
      <c r="M659" s="957"/>
      <c r="N659" s="932"/>
      <c r="O659" s="931"/>
      <c r="P659" s="931"/>
      <c r="Q659" s="957"/>
      <c r="R659" s="957"/>
    </row>
    <row r="660" ht="13.5" customHeight="1">
      <c r="A660" s="931"/>
      <c r="B660" s="931"/>
      <c r="C660" s="932"/>
      <c r="D660" s="932"/>
      <c r="E660" s="931"/>
      <c r="F660" s="931"/>
      <c r="G660" s="932"/>
      <c r="H660" s="932"/>
      <c r="I660" s="932"/>
      <c r="J660" s="932"/>
      <c r="K660" s="957"/>
      <c r="L660" s="1492"/>
      <c r="M660" s="957"/>
      <c r="N660" s="932"/>
      <c r="O660" s="931"/>
      <c r="P660" s="931"/>
      <c r="Q660" s="957"/>
      <c r="R660" s="957"/>
    </row>
    <row r="661" ht="13.5" customHeight="1">
      <c r="A661" s="931"/>
      <c r="B661" s="931"/>
      <c r="C661" s="932"/>
      <c r="D661" s="932"/>
      <c r="E661" s="931"/>
      <c r="F661" s="931"/>
      <c r="G661" s="932"/>
      <c r="H661" s="932"/>
      <c r="I661" s="932"/>
      <c r="J661" s="932"/>
      <c r="K661" s="957"/>
      <c r="L661" s="1492"/>
      <c r="M661" s="957"/>
      <c r="N661" s="932"/>
      <c r="O661" s="931"/>
      <c r="P661" s="931"/>
      <c r="Q661" s="957"/>
      <c r="R661" s="957"/>
    </row>
    <row r="662" ht="13.5" customHeight="1">
      <c r="A662" s="931"/>
      <c r="B662" s="931"/>
      <c r="C662" s="932"/>
      <c r="D662" s="932"/>
      <c r="E662" s="931"/>
      <c r="F662" s="931"/>
      <c r="G662" s="932"/>
      <c r="H662" s="932"/>
      <c r="I662" s="932"/>
      <c r="J662" s="932"/>
      <c r="K662" s="957"/>
      <c r="L662" s="1492"/>
      <c r="M662" s="957"/>
      <c r="N662" s="932"/>
      <c r="O662" s="931"/>
      <c r="P662" s="931"/>
      <c r="Q662" s="957"/>
      <c r="R662" s="957"/>
    </row>
    <row r="663" ht="13.5" customHeight="1">
      <c r="A663" s="931"/>
      <c r="B663" s="931"/>
      <c r="C663" s="932"/>
      <c r="D663" s="932"/>
      <c r="E663" s="931"/>
      <c r="F663" s="931"/>
      <c r="G663" s="932"/>
      <c r="H663" s="932"/>
      <c r="I663" s="932"/>
      <c r="J663" s="932"/>
      <c r="K663" s="957"/>
      <c r="L663" s="1492"/>
      <c r="M663" s="957"/>
      <c r="N663" s="932"/>
      <c r="O663" s="931"/>
      <c r="P663" s="931"/>
      <c r="Q663" s="957"/>
      <c r="R663" s="957"/>
    </row>
    <row r="664" ht="13.5" customHeight="1">
      <c r="A664" s="931"/>
      <c r="B664" s="931"/>
      <c r="C664" s="932"/>
      <c r="D664" s="932"/>
      <c r="E664" s="931"/>
      <c r="F664" s="931"/>
      <c r="G664" s="932"/>
      <c r="H664" s="932"/>
      <c r="I664" s="932"/>
      <c r="J664" s="932"/>
      <c r="K664" s="957"/>
      <c r="L664" s="1492"/>
      <c r="M664" s="957"/>
      <c r="N664" s="932"/>
      <c r="O664" s="931"/>
      <c r="P664" s="931"/>
      <c r="Q664" s="957"/>
      <c r="R664" s="957"/>
    </row>
    <row r="665" ht="13.5" customHeight="1">
      <c r="A665" s="931"/>
      <c r="B665" s="931"/>
      <c r="C665" s="932"/>
      <c r="D665" s="932"/>
      <c r="E665" s="931"/>
      <c r="F665" s="931"/>
      <c r="G665" s="932"/>
      <c r="H665" s="932"/>
      <c r="I665" s="932"/>
      <c r="J665" s="932"/>
      <c r="K665" s="957"/>
      <c r="L665" s="1492"/>
      <c r="M665" s="957"/>
      <c r="N665" s="932"/>
      <c r="O665" s="931"/>
      <c r="P665" s="931"/>
      <c r="Q665" s="957"/>
      <c r="R665" s="957"/>
    </row>
    <row r="666" ht="13.5" customHeight="1">
      <c r="A666" s="931"/>
      <c r="B666" s="931"/>
      <c r="C666" s="932"/>
      <c r="D666" s="932"/>
      <c r="E666" s="931"/>
      <c r="F666" s="931"/>
      <c r="G666" s="932"/>
      <c r="H666" s="932"/>
      <c r="I666" s="932"/>
      <c r="J666" s="932"/>
      <c r="K666" s="957"/>
      <c r="L666" s="1492"/>
      <c r="M666" s="957"/>
      <c r="N666" s="932"/>
      <c r="O666" s="931"/>
      <c r="P666" s="931"/>
      <c r="Q666" s="957"/>
      <c r="R666" s="957"/>
    </row>
    <row r="667" ht="13.5" customHeight="1">
      <c r="A667" s="931"/>
      <c r="B667" s="931"/>
      <c r="C667" s="932"/>
      <c r="D667" s="932"/>
      <c r="E667" s="931"/>
      <c r="F667" s="931"/>
      <c r="G667" s="932"/>
      <c r="H667" s="932"/>
      <c r="I667" s="932"/>
      <c r="J667" s="932"/>
      <c r="K667" s="957"/>
      <c r="L667" s="1492"/>
      <c r="M667" s="957"/>
      <c r="N667" s="932"/>
      <c r="O667" s="931"/>
      <c r="P667" s="931"/>
      <c r="Q667" s="957"/>
      <c r="R667" s="957"/>
    </row>
    <row r="668" ht="13.5" customHeight="1">
      <c r="A668" s="931"/>
      <c r="B668" s="931"/>
      <c r="C668" s="932"/>
      <c r="D668" s="932"/>
      <c r="E668" s="931"/>
      <c r="F668" s="931"/>
      <c r="G668" s="932"/>
      <c r="H668" s="932"/>
      <c r="I668" s="932"/>
      <c r="J668" s="932"/>
      <c r="K668" s="957"/>
      <c r="L668" s="1492"/>
      <c r="M668" s="957"/>
      <c r="N668" s="932"/>
      <c r="O668" s="931"/>
      <c r="P668" s="931"/>
      <c r="Q668" s="957"/>
      <c r="R668" s="957"/>
    </row>
    <row r="669" ht="13.5" customHeight="1">
      <c r="A669" s="931"/>
      <c r="B669" s="931"/>
      <c r="C669" s="932"/>
      <c r="D669" s="932"/>
      <c r="E669" s="931"/>
      <c r="F669" s="931"/>
      <c r="G669" s="932"/>
      <c r="H669" s="932"/>
      <c r="I669" s="932"/>
      <c r="J669" s="932"/>
      <c r="K669" s="957"/>
      <c r="L669" s="1492"/>
      <c r="M669" s="957"/>
      <c r="N669" s="932"/>
      <c r="O669" s="931"/>
      <c r="P669" s="931"/>
      <c r="Q669" s="957"/>
      <c r="R669" s="957"/>
    </row>
    <row r="670" ht="13.5" customHeight="1">
      <c r="A670" s="931"/>
      <c r="B670" s="931"/>
      <c r="C670" s="932"/>
      <c r="D670" s="932"/>
      <c r="E670" s="931"/>
      <c r="F670" s="931"/>
      <c r="G670" s="932"/>
      <c r="H670" s="932"/>
      <c r="I670" s="932"/>
      <c r="J670" s="932"/>
      <c r="K670" s="957"/>
      <c r="L670" s="1492"/>
      <c r="M670" s="957"/>
      <c r="N670" s="932"/>
      <c r="O670" s="931"/>
      <c r="P670" s="931"/>
      <c r="Q670" s="957"/>
      <c r="R670" s="957"/>
    </row>
    <row r="671" ht="13.5" customHeight="1">
      <c r="A671" s="931"/>
      <c r="B671" s="931"/>
      <c r="C671" s="932"/>
      <c r="D671" s="932"/>
      <c r="E671" s="931"/>
      <c r="F671" s="931"/>
      <c r="G671" s="932"/>
      <c r="H671" s="932"/>
      <c r="I671" s="932"/>
      <c r="J671" s="932"/>
      <c r="K671" s="957"/>
      <c r="L671" s="1492"/>
      <c r="M671" s="957"/>
      <c r="N671" s="932"/>
      <c r="O671" s="931"/>
      <c r="P671" s="931"/>
      <c r="Q671" s="957"/>
      <c r="R671" s="957"/>
    </row>
    <row r="672" ht="13.5" customHeight="1">
      <c r="A672" s="931"/>
      <c r="B672" s="931"/>
      <c r="C672" s="932"/>
      <c r="D672" s="932"/>
      <c r="E672" s="931"/>
      <c r="F672" s="931"/>
      <c r="G672" s="932"/>
      <c r="H672" s="932"/>
      <c r="I672" s="932"/>
      <c r="J672" s="932"/>
      <c r="K672" s="957"/>
      <c r="L672" s="1492"/>
      <c r="M672" s="957"/>
      <c r="N672" s="932"/>
      <c r="O672" s="931"/>
      <c r="P672" s="931"/>
      <c r="Q672" s="957"/>
      <c r="R672" s="957"/>
    </row>
    <row r="673" ht="13.5" customHeight="1">
      <c r="A673" s="931"/>
      <c r="B673" s="931"/>
      <c r="C673" s="932"/>
      <c r="D673" s="932"/>
      <c r="E673" s="931"/>
      <c r="F673" s="931"/>
      <c r="G673" s="932"/>
      <c r="H673" s="932"/>
      <c r="I673" s="932"/>
      <c r="J673" s="932"/>
      <c r="K673" s="957"/>
      <c r="L673" s="1492"/>
      <c r="M673" s="957"/>
      <c r="N673" s="932"/>
      <c r="O673" s="931"/>
      <c r="P673" s="931"/>
      <c r="Q673" s="957"/>
      <c r="R673" s="957"/>
    </row>
    <row r="674" ht="13.5" customHeight="1">
      <c r="A674" s="931"/>
      <c r="B674" s="931"/>
      <c r="C674" s="932"/>
      <c r="D674" s="932"/>
      <c r="E674" s="931"/>
      <c r="F674" s="931"/>
      <c r="G674" s="932"/>
      <c r="H674" s="932"/>
      <c r="I674" s="932"/>
      <c r="J674" s="932"/>
      <c r="K674" s="957"/>
      <c r="L674" s="1492"/>
      <c r="M674" s="957"/>
      <c r="N674" s="932"/>
      <c r="O674" s="931"/>
      <c r="P674" s="931"/>
      <c r="Q674" s="957"/>
      <c r="R674" s="957"/>
    </row>
    <row r="675" ht="13.5" customHeight="1">
      <c r="A675" s="931"/>
      <c r="B675" s="931"/>
      <c r="C675" s="932"/>
      <c r="D675" s="932"/>
      <c r="E675" s="931"/>
      <c r="F675" s="931"/>
      <c r="G675" s="932"/>
      <c r="H675" s="932"/>
      <c r="I675" s="932"/>
      <c r="J675" s="932"/>
      <c r="K675" s="957"/>
      <c r="L675" s="1492"/>
      <c r="M675" s="957"/>
      <c r="N675" s="932"/>
      <c r="O675" s="931"/>
      <c r="P675" s="931"/>
      <c r="Q675" s="957"/>
      <c r="R675" s="957"/>
    </row>
    <row r="676" ht="13.5" customHeight="1">
      <c r="A676" s="931"/>
      <c r="B676" s="931"/>
      <c r="C676" s="932"/>
      <c r="D676" s="932"/>
      <c r="E676" s="931"/>
      <c r="F676" s="931"/>
      <c r="G676" s="932"/>
      <c r="H676" s="932"/>
      <c r="I676" s="932"/>
      <c r="J676" s="932"/>
      <c r="K676" s="957"/>
      <c r="L676" s="1492"/>
      <c r="M676" s="957"/>
      <c r="N676" s="932"/>
      <c r="O676" s="931"/>
      <c r="P676" s="931"/>
      <c r="Q676" s="957"/>
      <c r="R676" s="957"/>
    </row>
    <row r="677" ht="13.5" customHeight="1">
      <c r="A677" s="931"/>
      <c r="B677" s="931"/>
      <c r="C677" s="932"/>
      <c r="D677" s="932"/>
      <c r="E677" s="931"/>
      <c r="F677" s="931"/>
      <c r="G677" s="932"/>
      <c r="H677" s="932"/>
      <c r="I677" s="932"/>
      <c r="J677" s="932"/>
      <c r="K677" s="957"/>
      <c r="L677" s="1492"/>
      <c r="M677" s="957"/>
      <c r="N677" s="932"/>
      <c r="O677" s="931"/>
      <c r="P677" s="931"/>
      <c r="Q677" s="957"/>
      <c r="R677" s="957"/>
    </row>
    <row r="678" ht="13.5" customHeight="1">
      <c r="A678" s="931"/>
      <c r="B678" s="931"/>
      <c r="C678" s="932"/>
      <c r="D678" s="932"/>
      <c r="E678" s="931"/>
      <c r="F678" s="931"/>
      <c r="G678" s="932"/>
      <c r="H678" s="932"/>
      <c r="I678" s="932"/>
      <c r="J678" s="932"/>
      <c r="K678" s="957"/>
      <c r="L678" s="1492"/>
      <c r="M678" s="957"/>
      <c r="N678" s="932"/>
      <c r="O678" s="931"/>
      <c r="P678" s="931"/>
      <c r="Q678" s="957"/>
      <c r="R678" s="957"/>
    </row>
    <row r="679" ht="13.5" customHeight="1">
      <c r="A679" s="931"/>
      <c r="B679" s="931"/>
      <c r="C679" s="932"/>
      <c r="D679" s="932"/>
      <c r="E679" s="931"/>
      <c r="F679" s="931"/>
      <c r="G679" s="932"/>
      <c r="H679" s="932"/>
      <c r="I679" s="932"/>
      <c r="J679" s="932"/>
      <c r="K679" s="957"/>
      <c r="L679" s="1492"/>
      <c r="M679" s="957"/>
      <c r="N679" s="932"/>
      <c r="O679" s="931"/>
      <c r="P679" s="931"/>
      <c r="Q679" s="957"/>
      <c r="R679" s="957"/>
    </row>
    <row r="680" ht="13.5" customHeight="1">
      <c r="A680" s="931"/>
      <c r="B680" s="931"/>
      <c r="C680" s="932"/>
      <c r="D680" s="932"/>
      <c r="E680" s="931"/>
      <c r="F680" s="931"/>
      <c r="G680" s="932"/>
      <c r="H680" s="932"/>
      <c r="I680" s="932"/>
      <c r="J680" s="932"/>
      <c r="K680" s="957"/>
      <c r="L680" s="1492"/>
      <c r="M680" s="957"/>
      <c r="N680" s="932"/>
      <c r="O680" s="931"/>
      <c r="P680" s="931"/>
      <c r="Q680" s="957"/>
      <c r="R680" s="957"/>
    </row>
    <row r="681" ht="13.5" customHeight="1">
      <c r="A681" s="931"/>
      <c r="B681" s="931"/>
      <c r="C681" s="932"/>
      <c r="D681" s="932"/>
      <c r="E681" s="931"/>
      <c r="F681" s="931"/>
      <c r="G681" s="932"/>
      <c r="H681" s="932"/>
      <c r="I681" s="932"/>
      <c r="J681" s="932"/>
      <c r="K681" s="957"/>
      <c r="L681" s="1492"/>
      <c r="M681" s="957"/>
      <c r="N681" s="932"/>
      <c r="O681" s="931"/>
      <c r="P681" s="931"/>
      <c r="Q681" s="957"/>
      <c r="R681" s="957"/>
    </row>
    <row r="682" ht="13.5" customHeight="1">
      <c r="A682" s="931"/>
      <c r="B682" s="931"/>
      <c r="C682" s="932"/>
      <c r="D682" s="932"/>
      <c r="E682" s="931"/>
      <c r="F682" s="931"/>
      <c r="G682" s="932"/>
      <c r="H682" s="932"/>
      <c r="I682" s="932"/>
      <c r="J682" s="932"/>
      <c r="K682" s="957"/>
      <c r="L682" s="1492"/>
      <c r="M682" s="957"/>
      <c r="N682" s="932"/>
      <c r="O682" s="931"/>
      <c r="P682" s="931"/>
      <c r="Q682" s="957"/>
      <c r="R682" s="957"/>
    </row>
    <row r="683" ht="13.5" customHeight="1">
      <c r="A683" s="931"/>
      <c r="B683" s="931"/>
      <c r="C683" s="932"/>
      <c r="D683" s="932"/>
      <c r="E683" s="931"/>
      <c r="F683" s="931"/>
      <c r="G683" s="932"/>
      <c r="H683" s="932"/>
      <c r="I683" s="932"/>
      <c r="J683" s="932"/>
      <c r="K683" s="957"/>
      <c r="L683" s="1492"/>
      <c r="M683" s="957"/>
      <c r="N683" s="932"/>
      <c r="O683" s="931"/>
      <c r="P683" s="931"/>
      <c r="Q683" s="957"/>
      <c r="R683" s="957"/>
    </row>
    <row r="684" ht="13.5" customHeight="1">
      <c r="A684" s="931"/>
      <c r="B684" s="931"/>
      <c r="C684" s="932"/>
      <c r="D684" s="932"/>
      <c r="E684" s="931"/>
      <c r="F684" s="931"/>
      <c r="G684" s="932"/>
      <c r="H684" s="932"/>
      <c r="I684" s="932"/>
      <c r="J684" s="932"/>
      <c r="K684" s="957"/>
      <c r="L684" s="1492"/>
      <c r="M684" s="957"/>
      <c r="N684" s="932"/>
      <c r="O684" s="931"/>
      <c r="P684" s="931"/>
      <c r="Q684" s="957"/>
      <c r="R684" s="957"/>
    </row>
    <row r="685" ht="13.5" customHeight="1">
      <c r="A685" s="931"/>
      <c r="B685" s="931"/>
      <c r="C685" s="932"/>
      <c r="D685" s="932"/>
      <c r="E685" s="931"/>
      <c r="F685" s="931"/>
      <c r="G685" s="932"/>
      <c r="H685" s="932"/>
      <c r="I685" s="932"/>
      <c r="J685" s="932"/>
      <c r="K685" s="957"/>
      <c r="L685" s="1492"/>
      <c r="M685" s="957"/>
      <c r="N685" s="932"/>
      <c r="O685" s="931"/>
      <c r="P685" s="931"/>
      <c r="Q685" s="957"/>
      <c r="R685" s="957"/>
    </row>
    <row r="686" ht="13.5" customHeight="1">
      <c r="A686" s="931"/>
      <c r="B686" s="931"/>
      <c r="C686" s="932"/>
      <c r="D686" s="932"/>
      <c r="E686" s="931"/>
      <c r="F686" s="931"/>
      <c r="G686" s="932"/>
      <c r="H686" s="932"/>
      <c r="I686" s="932"/>
      <c r="J686" s="932"/>
      <c r="K686" s="957"/>
      <c r="L686" s="1492"/>
      <c r="M686" s="957"/>
      <c r="N686" s="932"/>
      <c r="O686" s="931"/>
      <c r="P686" s="931"/>
      <c r="Q686" s="957"/>
      <c r="R686" s="957"/>
    </row>
    <row r="687" ht="13.5" customHeight="1">
      <c r="A687" s="931"/>
      <c r="B687" s="931"/>
      <c r="C687" s="932"/>
      <c r="D687" s="932"/>
      <c r="E687" s="931"/>
      <c r="F687" s="931"/>
      <c r="G687" s="932"/>
      <c r="H687" s="932"/>
      <c r="I687" s="932"/>
      <c r="J687" s="932"/>
      <c r="K687" s="957"/>
      <c r="L687" s="1492"/>
      <c r="M687" s="957"/>
      <c r="N687" s="932"/>
      <c r="O687" s="931"/>
      <c r="P687" s="931"/>
      <c r="Q687" s="957"/>
      <c r="R687" s="957"/>
    </row>
    <row r="688" ht="13.5" customHeight="1">
      <c r="A688" s="931"/>
      <c r="B688" s="931"/>
      <c r="C688" s="932"/>
      <c r="D688" s="932"/>
      <c r="E688" s="931"/>
      <c r="F688" s="931"/>
      <c r="G688" s="932"/>
      <c r="H688" s="932"/>
      <c r="I688" s="932"/>
      <c r="J688" s="932"/>
      <c r="K688" s="957"/>
      <c r="L688" s="1492"/>
      <c r="M688" s="957"/>
      <c r="N688" s="932"/>
      <c r="O688" s="931"/>
      <c r="P688" s="931"/>
      <c r="Q688" s="957"/>
      <c r="R688" s="957"/>
    </row>
    <row r="689" ht="13.5" customHeight="1">
      <c r="A689" s="931"/>
      <c r="B689" s="931"/>
      <c r="C689" s="932"/>
      <c r="D689" s="932"/>
      <c r="E689" s="931"/>
      <c r="F689" s="931"/>
      <c r="G689" s="932"/>
      <c r="H689" s="932"/>
      <c r="I689" s="932"/>
      <c r="J689" s="932"/>
      <c r="K689" s="957"/>
      <c r="L689" s="1492"/>
      <c r="M689" s="957"/>
      <c r="N689" s="932"/>
      <c r="O689" s="931"/>
      <c r="P689" s="931"/>
      <c r="Q689" s="957"/>
      <c r="R689" s="957"/>
    </row>
    <row r="690" ht="13.5" customHeight="1">
      <c r="A690" s="931"/>
      <c r="B690" s="931"/>
      <c r="C690" s="932"/>
      <c r="D690" s="932"/>
      <c r="E690" s="931"/>
      <c r="F690" s="931"/>
      <c r="G690" s="932"/>
      <c r="H690" s="932"/>
      <c r="I690" s="932"/>
      <c r="J690" s="932"/>
      <c r="K690" s="957"/>
      <c r="L690" s="1492"/>
      <c r="M690" s="957"/>
      <c r="N690" s="932"/>
      <c r="O690" s="931"/>
      <c r="P690" s="931"/>
      <c r="Q690" s="957"/>
      <c r="R690" s="957"/>
    </row>
    <row r="691" ht="13.5" customHeight="1">
      <c r="A691" s="931"/>
      <c r="B691" s="931"/>
      <c r="C691" s="932"/>
      <c r="D691" s="932"/>
      <c r="E691" s="931"/>
      <c r="F691" s="931"/>
      <c r="G691" s="932"/>
      <c r="H691" s="932"/>
      <c r="I691" s="932"/>
      <c r="J691" s="932"/>
      <c r="K691" s="957"/>
      <c r="L691" s="1492"/>
      <c r="M691" s="957"/>
      <c r="N691" s="932"/>
      <c r="O691" s="931"/>
      <c r="P691" s="931"/>
      <c r="Q691" s="957"/>
      <c r="R691" s="957"/>
    </row>
    <row r="692" ht="13.5" customHeight="1">
      <c r="A692" s="931"/>
      <c r="B692" s="931"/>
      <c r="C692" s="932"/>
      <c r="D692" s="932"/>
      <c r="E692" s="931"/>
      <c r="F692" s="931"/>
      <c r="G692" s="932"/>
      <c r="H692" s="932"/>
      <c r="I692" s="932"/>
      <c r="J692" s="932"/>
      <c r="K692" s="957"/>
      <c r="L692" s="1492"/>
      <c r="M692" s="957"/>
      <c r="N692" s="932"/>
      <c r="O692" s="931"/>
      <c r="P692" s="931"/>
      <c r="Q692" s="957"/>
      <c r="R692" s="957"/>
    </row>
    <row r="693" ht="13.5" customHeight="1">
      <c r="A693" s="931"/>
      <c r="B693" s="931"/>
      <c r="C693" s="932"/>
      <c r="D693" s="932"/>
      <c r="E693" s="931"/>
      <c r="F693" s="931"/>
      <c r="G693" s="932"/>
      <c r="H693" s="932"/>
      <c r="I693" s="932"/>
      <c r="J693" s="932"/>
      <c r="K693" s="957"/>
      <c r="L693" s="1492"/>
      <c r="M693" s="957"/>
      <c r="N693" s="932"/>
      <c r="O693" s="931"/>
      <c r="P693" s="931"/>
      <c r="Q693" s="957"/>
      <c r="R693" s="957"/>
    </row>
    <row r="694" ht="13.5" customHeight="1">
      <c r="A694" s="931"/>
      <c r="B694" s="931"/>
      <c r="C694" s="932"/>
      <c r="D694" s="932"/>
      <c r="E694" s="931"/>
      <c r="F694" s="931"/>
      <c r="G694" s="932"/>
      <c r="H694" s="932"/>
      <c r="I694" s="932"/>
      <c r="J694" s="932"/>
      <c r="K694" s="957"/>
      <c r="L694" s="1492"/>
      <c r="M694" s="957"/>
      <c r="N694" s="932"/>
      <c r="O694" s="931"/>
      <c r="P694" s="931"/>
      <c r="Q694" s="957"/>
      <c r="R694" s="957"/>
    </row>
    <row r="695" ht="13.5" customHeight="1">
      <c r="A695" s="931"/>
      <c r="B695" s="931"/>
      <c r="C695" s="932"/>
      <c r="D695" s="932"/>
      <c r="E695" s="931"/>
      <c r="F695" s="931"/>
      <c r="G695" s="932"/>
      <c r="H695" s="932"/>
      <c r="I695" s="932"/>
      <c r="J695" s="932"/>
      <c r="K695" s="957"/>
      <c r="L695" s="1492"/>
      <c r="M695" s="957"/>
      <c r="N695" s="932"/>
      <c r="O695" s="931"/>
      <c r="P695" s="931"/>
      <c r="Q695" s="957"/>
      <c r="R695" s="957"/>
    </row>
    <row r="696" ht="13.5" customHeight="1">
      <c r="A696" s="931"/>
      <c r="B696" s="931"/>
      <c r="C696" s="932"/>
      <c r="D696" s="932"/>
      <c r="E696" s="931"/>
      <c r="F696" s="931"/>
      <c r="G696" s="932"/>
      <c r="H696" s="932"/>
      <c r="I696" s="932"/>
      <c r="J696" s="932"/>
      <c r="K696" s="957"/>
      <c r="L696" s="1492"/>
      <c r="M696" s="957"/>
      <c r="N696" s="932"/>
      <c r="O696" s="931"/>
      <c r="P696" s="931"/>
      <c r="Q696" s="957"/>
      <c r="R696" s="957"/>
    </row>
    <row r="697" ht="13.5" customHeight="1">
      <c r="A697" s="931"/>
      <c r="B697" s="931"/>
      <c r="C697" s="932"/>
      <c r="D697" s="932"/>
      <c r="E697" s="931"/>
      <c r="F697" s="931"/>
      <c r="G697" s="932"/>
      <c r="H697" s="932"/>
      <c r="I697" s="932"/>
      <c r="J697" s="932"/>
      <c r="K697" s="957"/>
      <c r="L697" s="1492"/>
      <c r="M697" s="957"/>
      <c r="N697" s="932"/>
      <c r="O697" s="931"/>
      <c r="P697" s="931"/>
      <c r="Q697" s="957"/>
      <c r="R697" s="957"/>
    </row>
    <row r="698" ht="13.5" customHeight="1">
      <c r="A698" s="931"/>
      <c r="B698" s="931"/>
      <c r="C698" s="932"/>
      <c r="D698" s="932"/>
      <c r="E698" s="931"/>
      <c r="F698" s="931"/>
      <c r="G698" s="932"/>
      <c r="H698" s="932"/>
      <c r="I698" s="932"/>
      <c r="J698" s="932"/>
      <c r="K698" s="957"/>
      <c r="L698" s="1492"/>
      <c r="M698" s="957"/>
      <c r="N698" s="932"/>
      <c r="O698" s="931"/>
      <c r="P698" s="931"/>
      <c r="Q698" s="957"/>
      <c r="R698" s="957"/>
    </row>
    <row r="699" ht="13.5" customHeight="1">
      <c r="A699" s="931"/>
      <c r="B699" s="931"/>
      <c r="C699" s="932"/>
      <c r="D699" s="932"/>
      <c r="E699" s="931"/>
      <c r="F699" s="931"/>
      <c r="G699" s="932"/>
      <c r="H699" s="932"/>
      <c r="I699" s="932"/>
      <c r="J699" s="932"/>
      <c r="K699" s="957"/>
      <c r="L699" s="1492"/>
      <c r="M699" s="957"/>
      <c r="N699" s="932"/>
      <c r="O699" s="931"/>
      <c r="P699" s="931"/>
      <c r="Q699" s="957"/>
      <c r="R699" s="957"/>
    </row>
    <row r="700" ht="13.5" customHeight="1">
      <c r="A700" s="931"/>
      <c r="B700" s="931"/>
      <c r="C700" s="932"/>
      <c r="D700" s="932"/>
      <c r="E700" s="931"/>
      <c r="F700" s="931"/>
      <c r="G700" s="932"/>
      <c r="H700" s="932"/>
      <c r="I700" s="932"/>
      <c r="J700" s="932"/>
      <c r="K700" s="957"/>
      <c r="L700" s="1492"/>
      <c r="M700" s="957"/>
      <c r="N700" s="932"/>
      <c r="O700" s="931"/>
      <c r="P700" s="931"/>
      <c r="Q700" s="957"/>
      <c r="R700" s="957"/>
    </row>
    <row r="701" ht="13.5" customHeight="1">
      <c r="A701" s="931"/>
      <c r="B701" s="931"/>
      <c r="C701" s="932"/>
      <c r="D701" s="932"/>
      <c r="E701" s="931"/>
      <c r="F701" s="931"/>
      <c r="G701" s="932"/>
      <c r="H701" s="932"/>
      <c r="I701" s="932"/>
      <c r="J701" s="932"/>
      <c r="K701" s="957"/>
      <c r="L701" s="1492"/>
      <c r="M701" s="957"/>
      <c r="N701" s="932"/>
      <c r="O701" s="931"/>
      <c r="P701" s="931"/>
      <c r="Q701" s="957"/>
      <c r="R701" s="957"/>
    </row>
    <row r="702" ht="13.5" customHeight="1">
      <c r="A702" s="931"/>
      <c r="B702" s="931"/>
      <c r="C702" s="932"/>
      <c r="D702" s="932"/>
      <c r="E702" s="931"/>
      <c r="F702" s="931"/>
      <c r="G702" s="932"/>
      <c r="H702" s="932"/>
      <c r="I702" s="932"/>
      <c r="J702" s="932"/>
      <c r="K702" s="957"/>
      <c r="L702" s="1492"/>
      <c r="M702" s="957"/>
      <c r="N702" s="932"/>
      <c r="O702" s="931"/>
      <c r="P702" s="931"/>
      <c r="Q702" s="957"/>
      <c r="R702" s="957"/>
    </row>
    <row r="703" ht="13.5" customHeight="1">
      <c r="A703" s="931"/>
      <c r="B703" s="931"/>
      <c r="C703" s="932"/>
      <c r="D703" s="932"/>
      <c r="E703" s="931"/>
      <c r="F703" s="931"/>
      <c r="G703" s="932"/>
      <c r="H703" s="932"/>
      <c r="I703" s="932"/>
      <c r="J703" s="932"/>
      <c r="K703" s="957"/>
      <c r="L703" s="1492"/>
      <c r="M703" s="957"/>
      <c r="N703" s="932"/>
      <c r="O703" s="931"/>
      <c r="P703" s="931"/>
      <c r="Q703" s="957"/>
      <c r="R703" s="957"/>
    </row>
    <row r="704" ht="13.5" customHeight="1">
      <c r="A704" s="931"/>
      <c r="B704" s="931"/>
      <c r="C704" s="932"/>
      <c r="D704" s="932"/>
      <c r="E704" s="931"/>
      <c r="F704" s="931"/>
      <c r="G704" s="932"/>
      <c r="H704" s="932"/>
      <c r="I704" s="932"/>
      <c r="J704" s="932"/>
      <c r="K704" s="957"/>
      <c r="L704" s="1492"/>
      <c r="M704" s="957"/>
      <c r="N704" s="932"/>
      <c r="O704" s="931"/>
      <c r="P704" s="931"/>
      <c r="Q704" s="957"/>
      <c r="R704" s="957"/>
    </row>
    <row r="705" ht="13.5" customHeight="1">
      <c r="A705" s="931"/>
      <c r="B705" s="931"/>
      <c r="C705" s="932"/>
      <c r="D705" s="932"/>
      <c r="E705" s="931"/>
      <c r="F705" s="931"/>
      <c r="G705" s="932"/>
      <c r="H705" s="932"/>
      <c r="I705" s="932"/>
      <c r="J705" s="932"/>
      <c r="K705" s="957"/>
      <c r="L705" s="1492"/>
      <c r="M705" s="957"/>
      <c r="N705" s="932"/>
      <c r="O705" s="931"/>
      <c r="P705" s="931"/>
      <c r="Q705" s="957"/>
      <c r="R705" s="957"/>
    </row>
    <row r="706" ht="13.5" customHeight="1">
      <c r="A706" s="931"/>
      <c r="B706" s="931"/>
      <c r="C706" s="932"/>
      <c r="D706" s="932"/>
      <c r="E706" s="931"/>
      <c r="F706" s="931"/>
      <c r="G706" s="932"/>
      <c r="H706" s="932"/>
      <c r="I706" s="932"/>
      <c r="J706" s="932"/>
      <c r="K706" s="957"/>
      <c r="L706" s="1492"/>
      <c r="M706" s="957"/>
      <c r="N706" s="932"/>
      <c r="O706" s="931"/>
      <c r="P706" s="931"/>
      <c r="Q706" s="957"/>
      <c r="R706" s="957"/>
    </row>
    <row r="707" ht="13.5" customHeight="1">
      <c r="A707" s="931"/>
      <c r="B707" s="931"/>
      <c r="C707" s="932"/>
      <c r="D707" s="932"/>
      <c r="E707" s="931"/>
      <c r="F707" s="931"/>
      <c r="G707" s="932"/>
      <c r="H707" s="932"/>
      <c r="I707" s="932"/>
      <c r="J707" s="932"/>
      <c r="K707" s="957"/>
      <c r="L707" s="1492"/>
      <c r="M707" s="957"/>
      <c r="N707" s="932"/>
      <c r="O707" s="931"/>
      <c r="P707" s="931"/>
      <c r="Q707" s="957"/>
      <c r="R707" s="957"/>
    </row>
    <row r="708" ht="13.5" customHeight="1">
      <c r="A708" s="931"/>
      <c r="B708" s="931"/>
      <c r="C708" s="932"/>
      <c r="D708" s="932"/>
      <c r="E708" s="931"/>
      <c r="F708" s="931"/>
      <c r="G708" s="932"/>
      <c r="H708" s="932"/>
      <c r="I708" s="932"/>
      <c r="J708" s="932"/>
      <c r="K708" s="957"/>
      <c r="L708" s="1492"/>
      <c r="M708" s="957"/>
      <c r="N708" s="932"/>
      <c r="O708" s="931"/>
      <c r="P708" s="931"/>
      <c r="Q708" s="957"/>
      <c r="R708" s="957"/>
    </row>
    <row r="709" ht="13.5" customHeight="1">
      <c r="A709" s="931"/>
      <c r="B709" s="931"/>
      <c r="C709" s="932"/>
      <c r="D709" s="932"/>
      <c r="E709" s="931"/>
      <c r="F709" s="931"/>
      <c r="G709" s="932"/>
      <c r="H709" s="932"/>
      <c r="I709" s="932"/>
      <c r="J709" s="932"/>
      <c r="K709" s="957"/>
      <c r="L709" s="1492"/>
      <c r="M709" s="957"/>
      <c r="N709" s="932"/>
      <c r="O709" s="931"/>
      <c r="P709" s="931"/>
      <c r="Q709" s="957"/>
      <c r="R709" s="957"/>
    </row>
    <row r="710" ht="13.5" customHeight="1">
      <c r="A710" s="931"/>
      <c r="B710" s="931"/>
      <c r="C710" s="932"/>
      <c r="D710" s="932"/>
      <c r="E710" s="931"/>
      <c r="F710" s="931"/>
      <c r="G710" s="932"/>
      <c r="H710" s="932"/>
      <c r="I710" s="932"/>
      <c r="J710" s="932"/>
      <c r="K710" s="957"/>
      <c r="L710" s="1492"/>
      <c r="M710" s="957"/>
      <c r="N710" s="932"/>
      <c r="O710" s="931"/>
      <c r="P710" s="931"/>
      <c r="Q710" s="957"/>
      <c r="R710" s="957"/>
    </row>
    <row r="711" ht="13.5" customHeight="1">
      <c r="A711" s="931"/>
      <c r="B711" s="931"/>
      <c r="C711" s="932"/>
      <c r="D711" s="932"/>
      <c r="E711" s="931"/>
      <c r="F711" s="931"/>
      <c r="G711" s="932"/>
      <c r="H711" s="932"/>
      <c r="I711" s="932"/>
      <c r="J711" s="932"/>
      <c r="K711" s="957"/>
      <c r="L711" s="1492"/>
      <c r="M711" s="957"/>
      <c r="N711" s="932"/>
      <c r="O711" s="931"/>
      <c r="P711" s="931"/>
      <c r="Q711" s="957"/>
      <c r="R711" s="957"/>
    </row>
    <row r="712" ht="13.5" customHeight="1">
      <c r="A712" s="931"/>
      <c r="B712" s="931"/>
      <c r="C712" s="932"/>
      <c r="D712" s="932"/>
      <c r="E712" s="931"/>
      <c r="F712" s="931"/>
      <c r="G712" s="932"/>
      <c r="H712" s="932"/>
      <c r="I712" s="932"/>
      <c r="J712" s="932"/>
      <c r="K712" s="957"/>
      <c r="L712" s="1492"/>
      <c r="M712" s="957"/>
      <c r="N712" s="932"/>
      <c r="O712" s="931"/>
      <c r="P712" s="931"/>
      <c r="Q712" s="957"/>
      <c r="R712" s="957"/>
    </row>
    <row r="713" ht="13.5" customHeight="1">
      <c r="A713" s="931"/>
      <c r="B713" s="931"/>
      <c r="C713" s="932"/>
      <c r="D713" s="932"/>
      <c r="E713" s="931"/>
      <c r="F713" s="931"/>
      <c r="G713" s="932"/>
      <c r="H713" s="932"/>
      <c r="I713" s="932"/>
      <c r="J713" s="932"/>
      <c r="K713" s="957"/>
      <c r="L713" s="1492"/>
      <c r="M713" s="957"/>
      <c r="N713" s="932"/>
      <c r="O713" s="931"/>
      <c r="P713" s="931"/>
      <c r="Q713" s="957"/>
      <c r="R713" s="957"/>
    </row>
    <row r="714" ht="13.5" customHeight="1">
      <c r="A714" s="931"/>
      <c r="B714" s="931"/>
      <c r="C714" s="932"/>
      <c r="D714" s="932"/>
      <c r="E714" s="931"/>
      <c r="F714" s="931"/>
      <c r="G714" s="932"/>
      <c r="H714" s="932"/>
      <c r="I714" s="932"/>
      <c r="J714" s="932"/>
      <c r="K714" s="957"/>
      <c r="L714" s="1492"/>
      <c r="M714" s="957"/>
      <c r="N714" s="932"/>
      <c r="O714" s="931"/>
      <c r="P714" s="931"/>
      <c r="Q714" s="957"/>
      <c r="R714" s="957"/>
    </row>
    <row r="715" ht="13.5" customHeight="1">
      <c r="A715" s="931"/>
      <c r="B715" s="931"/>
      <c r="C715" s="932"/>
      <c r="D715" s="932"/>
      <c r="E715" s="931"/>
      <c r="F715" s="931"/>
      <c r="G715" s="932"/>
      <c r="H715" s="932"/>
      <c r="I715" s="932"/>
      <c r="J715" s="932"/>
      <c r="K715" s="957"/>
      <c r="L715" s="1492"/>
      <c r="M715" s="957"/>
      <c r="N715" s="932"/>
      <c r="O715" s="931"/>
      <c r="P715" s="931"/>
      <c r="Q715" s="957"/>
      <c r="R715" s="957"/>
    </row>
    <row r="716" ht="13.5" customHeight="1">
      <c r="A716" s="931"/>
      <c r="B716" s="931"/>
      <c r="C716" s="932"/>
      <c r="D716" s="932"/>
      <c r="E716" s="931"/>
      <c r="F716" s="931"/>
      <c r="G716" s="932"/>
      <c r="H716" s="932"/>
      <c r="I716" s="932"/>
      <c r="J716" s="932"/>
      <c r="K716" s="957"/>
      <c r="L716" s="1492"/>
      <c r="M716" s="957"/>
      <c r="N716" s="932"/>
      <c r="O716" s="931"/>
      <c r="P716" s="931"/>
      <c r="Q716" s="957"/>
      <c r="R716" s="957"/>
    </row>
    <row r="717" ht="13.5" customHeight="1">
      <c r="A717" s="931"/>
      <c r="B717" s="931"/>
      <c r="C717" s="932"/>
      <c r="D717" s="932"/>
      <c r="E717" s="931"/>
      <c r="F717" s="931"/>
      <c r="G717" s="932"/>
      <c r="H717" s="932"/>
      <c r="I717" s="932"/>
      <c r="J717" s="932"/>
      <c r="K717" s="957"/>
      <c r="L717" s="1492"/>
      <c r="M717" s="957"/>
      <c r="N717" s="932"/>
      <c r="O717" s="931"/>
      <c r="P717" s="931"/>
      <c r="Q717" s="957"/>
      <c r="R717" s="957"/>
    </row>
    <row r="718" ht="13.5" customHeight="1">
      <c r="A718" s="931"/>
      <c r="B718" s="931"/>
      <c r="C718" s="932"/>
      <c r="D718" s="932"/>
      <c r="E718" s="931"/>
      <c r="F718" s="931"/>
      <c r="G718" s="932"/>
      <c r="H718" s="932"/>
      <c r="I718" s="932"/>
      <c r="J718" s="932"/>
      <c r="K718" s="957"/>
      <c r="L718" s="1492"/>
      <c r="M718" s="957"/>
      <c r="N718" s="932"/>
      <c r="O718" s="931"/>
      <c r="P718" s="931"/>
      <c r="Q718" s="957"/>
      <c r="R718" s="957"/>
    </row>
    <row r="719" ht="13.5" customHeight="1">
      <c r="A719" s="931"/>
      <c r="B719" s="931"/>
      <c r="C719" s="932"/>
      <c r="D719" s="932"/>
      <c r="E719" s="931"/>
      <c r="F719" s="931"/>
      <c r="G719" s="932"/>
      <c r="H719" s="932"/>
      <c r="I719" s="932"/>
      <c r="J719" s="932"/>
      <c r="K719" s="957"/>
      <c r="L719" s="1492"/>
      <c r="M719" s="957"/>
      <c r="N719" s="932"/>
      <c r="O719" s="931"/>
      <c r="P719" s="931"/>
      <c r="Q719" s="957"/>
      <c r="R719" s="957"/>
    </row>
    <row r="720" ht="13.5" customHeight="1">
      <c r="A720" s="931"/>
      <c r="B720" s="931"/>
      <c r="C720" s="932"/>
      <c r="D720" s="932"/>
      <c r="E720" s="931"/>
      <c r="F720" s="931"/>
      <c r="G720" s="932"/>
      <c r="H720" s="932"/>
      <c r="I720" s="932"/>
      <c r="J720" s="932"/>
      <c r="K720" s="957"/>
      <c r="L720" s="1492"/>
      <c r="M720" s="957"/>
      <c r="N720" s="932"/>
      <c r="O720" s="931"/>
      <c r="P720" s="931"/>
      <c r="Q720" s="957"/>
      <c r="R720" s="957"/>
    </row>
    <row r="721" ht="13.5" customHeight="1">
      <c r="A721" s="931"/>
      <c r="B721" s="931"/>
      <c r="C721" s="932"/>
      <c r="D721" s="932"/>
      <c r="E721" s="931"/>
      <c r="F721" s="931"/>
      <c r="G721" s="932"/>
      <c r="H721" s="932"/>
      <c r="I721" s="932"/>
      <c r="J721" s="932"/>
      <c r="K721" s="957"/>
      <c r="L721" s="1492"/>
      <c r="M721" s="957"/>
      <c r="N721" s="932"/>
      <c r="O721" s="931"/>
      <c r="P721" s="931"/>
      <c r="Q721" s="957"/>
      <c r="R721" s="957"/>
    </row>
    <row r="722" ht="13.5" customHeight="1">
      <c r="A722" s="931"/>
      <c r="B722" s="931"/>
      <c r="C722" s="932"/>
      <c r="D722" s="932"/>
      <c r="E722" s="931"/>
      <c r="F722" s="931"/>
      <c r="G722" s="932"/>
      <c r="H722" s="932"/>
      <c r="I722" s="932"/>
      <c r="J722" s="932"/>
      <c r="K722" s="957"/>
      <c r="L722" s="1492"/>
      <c r="M722" s="957"/>
      <c r="N722" s="932"/>
      <c r="O722" s="931"/>
      <c r="P722" s="931"/>
      <c r="Q722" s="957"/>
      <c r="R722" s="957"/>
    </row>
    <row r="723" ht="13.5" customHeight="1">
      <c r="A723" s="931"/>
      <c r="B723" s="931"/>
      <c r="C723" s="932"/>
      <c r="D723" s="932"/>
      <c r="E723" s="931"/>
      <c r="F723" s="931"/>
      <c r="G723" s="932"/>
      <c r="H723" s="932"/>
      <c r="I723" s="932"/>
      <c r="J723" s="932"/>
      <c r="K723" s="957"/>
      <c r="L723" s="1492"/>
      <c r="M723" s="957"/>
      <c r="N723" s="932"/>
      <c r="O723" s="931"/>
      <c r="P723" s="931"/>
      <c r="Q723" s="957"/>
      <c r="R723" s="957"/>
    </row>
    <row r="724" ht="13.5" customHeight="1">
      <c r="A724" s="931"/>
      <c r="B724" s="931"/>
      <c r="C724" s="932"/>
      <c r="D724" s="932"/>
      <c r="E724" s="931"/>
      <c r="F724" s="931"/>
      <c r="G724" s="932"/>
      <c r="H724" s="932"/>
      <c r="I724" s="932"/>
      <c r="J724" s="932"/>
      <c r="K724" s="957"/>
      <c r="L724" s="1492"/>
      <c r="M724" s="957"/>
      <c r="N724" s="932"/>
      <c r="O724" s="931"/>
      <c r="P724" s="931"/>
      <c r="Q724" s="957"/>
      <c r="R724" s="957"/>
    </row>
    <row r="725" ht="13.5" customHeight="1">
      <c r="A725" s="931"/>
      <c r="B725" s="931"/>
      <c r="C725" s="932"/>
      <c r="D725" s="932"/>
      <c r="E725" s="931"/>
      <c r="F725" s="931"/>
      <c r="G725" s="932"/>
      <c r="H725" s="932"/>
      <c r="I725" s="932"/>
      <c r="J725" s="932"/>
      <c r="K725" s="957"/>
      <c r="L725" s="1492"/>
      <c r="M725" s="957"/>
      <c r="N725" s="932"/>
      <c r="O725" s="931"/>
      <c r="P725" s="931"/>
      <c r="Q725" s="957"/>
      <c r="R725" s="957"/>
    </row>
    <row r="726" ht="13.5" customHeight="1">
      <c r="A726" s="931"/>
      <c r="B726" s="931"/>
      <c r="C726" s="932"/>
      <c r="D726" s="932"/>
      <c r="E726" s="931"/>
      <c r="F726" s="931"/>
      <c r="G726" s="932"/>
      <c r="H726" s="932"/>
      <c r="I726" s="932"/>
      <c r="J726" s="932"/>
      <c r="K726" s="957"/>
      <c r="L726" s="1492"/>
      <c r="M726" s="957"/>
      <c r="N726" s="932"/>
      <c r="O726" s="931"/>
      <c r="P726" s="931"/>
      <c r="Q726" s="957"/>
      <c r="R726" s="957"/>
    </row>
    <row r="727" ht="13.5" customHeight="1">
      <c r="A727" s="931"/>
      <c r="B727" s="931"/>
      <c r="C727" s="932"/>
      <c r="D727" s="932"/>
      <c r="E727" s="931"/>
      <c r="F727" s="931"/>
      <c r="G727" s="932"/>
      <c r="H727" s="932"/>
      <c r="I727" s="932"/>
      <c r="J727" s="932"/>
      <c r="K727" s="957"/>
      <c r="L727" s="1492"/>
      <c r="M727" s="957"/>
      <c r="N727" s="932"/>
      <c r="O727" s="931"/>
      <c r="P727" s="931"/>
      <c r="Q727" s="957"/>
      <c r="R727" s="957"/>
    </row>
    <row r="728" ht="13.5" customHeight="1">
      <c r="A728" s="931"/>
      <c r="B728" s="931"/>
      <c r="C728" s="932"/>
      <c r="D728" s="932"/>
      <c r="E728" s="931"/>
      <c r="F728" s="931"/>
      <c r="G728" s="932"/>
      <c r="H728" s="932"/>
      <c r="I728" s="932"/>
      <c r="J728" s="932"/>
      <c r="K728" s="957"/>
      <c r="L728" s="1492"/>
      <c r="M728" s="957"/>
      <c r="N728" s="932"/>
      <c r="O728" s="931"/>
      <c r="P728" s="931"/>
      <c r="Q728" s="957"/>
      <c r="R728" s="957"/>
    </row>
    <row r="729" ht="13.5" customHeight="1">
      <c r="A729" s="931"/>
      <c r="B729" s="931"/>
      <c r="C729" s="932"/>
      <c r="D729" s="932"/>
      <c r="E729" s="931"/>
      <c r="F729" s="931"/>
      <c r="G729" s="932"/>
      <c r="H729" s="932"/>
      <c r="I729" s="932"/>
      <c r="J729" s="932"/>
      <c r="K729" s="957"/>
      <c r="L729" s="1492"/>
      <c r="M729" s="957"/>
      <c r="N729" s="932"/>
      <c r="O729" s="931"/>
      <c r="P729" s="931"/>
      <c r="Q729" s="957"/>
      <c r="R729" s="957"/>
    </row>
    <row r="730" ht="13.5" customHeight="1">
      <c r="A730" s="931"/>
      <c r="B730" s="931"/>
      <c r="C730" s="932"/>
      <c r="D730" s="932"/>
      <c r="E730" s="931"/>
      <c r="F730" s="931"/>
      <c r="G730" s="932"/>
      <c r="H730" s="932"/>
      <c r="I730" s="932"/>
      <c r="J730" s="932"/>
      <c r="K730" s="957"/>
      <c r="L730" s="1492"/>
      <c r="M730" s="957"/>
      <c r="N730" s="932"/>
      <c r="O730" s="931"/>
      <c r="P730" s="931"/>
      <c r="Q730" s="957"/>
      <c r="R730" s="957"/>
    </row>
    <row r="731" ht="13.5" customHeight="1">
      <c r="A731" s="931"/>
      <c r="B731" s="931"/>
      <c r="C731" s="932"/>
      <c r="D731" s="932"/>
      <c r="E731" s="931"/>
      <c r="F731" s="931"/>
      <c r="G731" s="932"/>
      <c r="H731" s="932"/>
      <c r="I731" s="932"/>
      <c r="J731" s="932"/>
      <c r="K731" s="957"/>
      <c r="L731" s="1492"/>
      <c r="M731" s="957"/>
      <c r="N731" s="932"/>
      <c r="O731" s="931"/>
      <c r="P731" s="931"/>
      <c r="Q731" s="957"/>
      <c r="R731" s="957"/>
    </row>
    <row r="732" ht="13.5" customHeight="1">
      <c r="A732" s="931"/>
      <c r="B732" s="931"/>
      <c r="C732" s="932"/>
      <c r="D732" s="932"/>
      <c r="E732" s="931"/>
      <c r="F732" s="931"/>
      <c r="G732" s="932"/>
      <c r="H732" s="932"/>
      <c r="I732" s="932"/>
      <c r="J732" s="932"/>
      <c r="K732" s="957"/>
      <c r="L732" s="1492"/>
      <c r="M732" s="957"/>
      <c r="N732" s="932"/>
      <c r="O732" s="931"/>
      <c r="P732" s="931"/>
      <c r="Q732" s="957"/>
      <c r="R732" s="957"/>
    </row>
    <row r="733" ht="13.5" customHeight="1">
      <c r="A733" s="931"/>
      <c r="B733" s="931"/>
      <c r="C733" s="932"/>
      <c r="D733" s="932"/>
      <c r="E733" s="931"/>
      <c r="F733" s="931"/>
      <c r="G733" s="932"/>
      <c r="H733" s="932"/>
      <c r="I733" s="932"/>
      <c r="J733" s="932"/>
      <c r="K733" s="957"/>
      <c r="L733" s="1492"/>
      <c r="M733" s="957"/>
      <c r="N733" s="932"/>
      <c r="O733" s="931"/>
      <c r="P733" s="931"/>
      <c r="Q733" s="957"/>
      <c r="R733" s="957"/>
    </row>
    <row r="734" ht="13.5" customHeight="1">
      <c r="A734" s="931"/>
      <c r="B734" s="931"/>
      <c r="C734" s="932"/>
      <c r="D734" s="932"/>
      <c r="E734" s="931"/>
      <c r="F734" s="931"/>
      <c r="G734" s="932"/>
      <c r="H734" s="932"/>
      <c r="I734" s="932"/>
      <c r="J734" s="932"/>
      <c r="K734" s="957"/>
      <c r="L734" s="1492"/>
      <c r="M734" s="957"/>
      <c r="N734" s="932"/>
      <c r="O734" s="931"/>
      <c r="P734" s="931"/>
      <c r="Q734" s="957"/>
      <c r="R734" s="957"/>
    </row>
    <row r="735" ht="13.5" customHeight="1">
      <c r="A735" s="931"/>
      <c r="B735" s="931"/>
      <c r="C735" s="932"/>
      <c r="D735" s="932"/>
      <c r="E735" s="931"/>
      <c r="F735" s="931"/>
      <c r="G735" s="932"/>
      <c r="H735" s="932"/>
      <c r="I735" s="932"/>
      <c r="J735" s="932"/>
      <c r="K735" s="957"/>
      <c r="L735" s="1492"/>
      <c r="M735" s="957"/>
      <c r="N735" s="932"/>
      <c r="O735" s="931"/>
      <c r="P735" s="931"/>
      <c r="Q735" s="957"/>
      <c r="R735" s="957"/>
    </row>
    <row r="736" ht="13.5" customHeight="1">
      <c r="A736" s="931"/>
      <c r="B736" s="931"/>
      <c r="C736" s="932"/>
      <c r="D736" s="932"/>
      <c r="E736" s="931"/>
      <c r="F736" s="931"/>
      <c r="G736" s="932"/>
      <c r="H736" s="932"/>
      <c r="I736" s="932"/>
      <c r="J736" s="932"/>
      <c r="K736" s="957"/>
      <c r="L736" s="1492"/>
      <c r="M736" s="957"/>
      <c r="N736" s="932"/>
      <c r="O736" s="931"/>
      <c r="P736" s="931"/>
      <c r="Q736" s="957"/>
      <c r="R736" s="957"/>
    </row>
    <row r="737" ht="13.5" customHeight="1">
      <c r="A737" s="931"/>
      <c r="B737" s="931"/>
      <c r="C737" s="932"/>
      <c r="D737" s="932"/>
      <c r="E737" s="931"/>
      <c r="F737" s="931"/>
      <c r="G737" s="932"/>
      <c r="H737" s="932"/>
      <c r="I737" s="932"/>
      <c r="J737" s="932"/>
      <c r="K737" s="957"/>
      <c r="L737" s="1492"/>
      <c r="M737" s="957"/>
      <c r="N737" s="932"/>
      <c r="O737" s="931"/>
      <c r="P737" s="931"/>
      <c r="Q737" s="957"/>
      <c r="R737" s="957"/>
    </row>
    <row r="738" ht="13.5" customHeight="1">
      <c r="A738" s="931"/>
      <c r="B738" s="931"/>
      <c r="C738" s="932"/>
      <c r="D738" s="932"/>
      <c r="E738" s="931"/>
      <c r="F738" s="931"/>
      <c r="G738" s="932"/>
      <c r="H738" s="932"/>
      <c r="I738" s="932"/>
      <c r="J738" s="932"/>
      <c r="K738" s="957"/>
      <c r="L738" s="1492"/>
      <c r="M738" s="957"/>
      <c r="N738" s="932"/>
      <c r="O738" s="931"/>
      <c r="P738" s="931"/>
      <c r="Q738" s="957"/>
      <c r="R738" s="957"/>
    </row>
    <row r="739" ht="13.5" customHeight="1">
      <c r="A739" s="931"/>
      <c r="B739" s="931"/>
      <c r="C739" s="932"/>
      <c r="D739" s="932"/>
      <c r="E739" s="931"/>
      <c r="F739" s="931"/>
      <c r="G739" s="932"/>
      <c r="H739" s="932"/>
      <c r="I739" s="932"/>
      <c r="J739" s="932"/>
      <c r="K739" s="957"/>
      <c r="L739" s="1492"/>
      <c r="M739" s="957"/>
      <c r="N739" s="932"/>
      <c r="O739" s="931"/>
      <c r="P739" s="931"/>
      <c r="Q739" s="957"/>
      <c r="R739" s="957"/>
    </row>
    <row r="740" ht="13.5" customHeight="1">
      <c r="A740" s="931"/>
      <c r="B740" s="931"/>
      <c r="C740" s="932"/>
      <c r="D740" s="932"/>
      <c r="E740" s="931"/>
      <c r="F740" s="931"/>
      <c r="G740" s="932"/>
      <c r="H740" s="932"/>
      <c r="I740" s="932"/>
      <c r="J740" s="932"/>
      <c r="K740" s="957"/>
      <c r="L740" s="1492"/>
      <c r="M740" s="957"/>
      <c r="N740" s="932"/>
      <c r="O740" s="931"/>
      <c r="P740" s="931"/>
      <c r="Q740" s="957"/>
      <c r="R740" s="957"/>
    </row>
    <row r="741" ht="13.5" customHeight="1">
      <c r="A741" s="931"/>
      <c r="B741" s="931"/>
      <c r="C741" s="932"/>
      <c r="D741" s="932"/>
      <c r="E741" s="931"/>
      <c r="F741" s="931"/>
      <c r="G741" s="932"/>
      <c r="H741" s="932"/>
      <c r="I741" s="932"/>
      <c r="J741" s="932"/>
      <c r="K741" s="957"/>
      <c r="L741" s="1492"/>
      <c r="M741" s="957"/>
      <c r="N741" s="932"/>
      <c r="O741" s="931"/>
      <c r="P741" s="931"/>
      <c r="Q741" s="957"/>
      <c r="R741" s="957"/>
    </row>
    <row r="742" ht="13.5" customHeight="1">
      <c r="A742" s="931"/>
      <c r="B742" s="931"/>
      <c r="C742" s="932"/>
      <c r="D742" s="932"/>
      <c r="E742" s="931"/>
      <c r="F742" s="931"/>
      <c r="G742" s="932"/>
      <c r="H742" s="932"/>
      <c r="I742" s="932"/>
      <c r="J742" s="932"/>
      <c r="K742" s="957"/>
      <c r="L742" s="1492"/>
      <c r="M742" s="957"/>
      <c r="N742" s="932"/>
      <c r="O742" s="931"/>
      <c r="P742" s="931"/>
      <c r="Q742" s="957"/>
      <c r="R742" s="957"/>
    </row>
    <row r="743" ht="13.5" customHeight="1">
      <c r="A743" s="931"/>
      <c r="B743" s="931"/>
      <c r="C743" s="932"/>
      <c r="D743" s="932"/>
      <c r="E743" s="931"/>
      <c r="F743" s="931"/>
      <c r="G743" s="932"/>
      <c r="H743" s="932"/>
      <c r="I743" s="932"/>
      <c r="J743" s="932"/>
      <c r="K743" s="957"/>
      <c r="L743" s="1492"/>
      <c r="M743" s="957"/>
      <c r="N743" s="932"/>
      <c r="O743" s="931"/>
      <c r="P743" s="931"/>
      <c r="Q743" s="957"/>
      <c r="R743" s="957"/>
    </row>
    <row r="744" ht="13.5" customHeight="1">
      <c r="A744" s="931"/>
      <c r="B744" s="931"/>
      <c r="C744" s="932"/>
      <c r="D744" s="932"/>
      <c r="E744" s="931"/>
      <c r="F744" s="931"/>
      <c r="G744" s="932"/>
      <c r="H744" s="932"/>
      <c r="I744" s="932"/>
      <c r="J744" s="932"/>
      <c r="K744" s="957"/>
      <c r="L744" s="1492"/>
      <c r="M744" s="957"/>
      <c r="N744" s="932"/>
      <c r="O744" s="931"/>
      <c r="P744" s="931"/>
      <c r="Q744" s="957"/>
      <c r="R744" s="957"/>
    </row>
    <row r="745" ht="13.5" customHeight="1">
      <c r="A745" s="931"/>
      <c r="B745" s="931"/>
      <c r="C745" s="932"/>
      <c r="D745" s="932"/>
      <c r="E745" s="931"/>
      <c r="F745" s="931"/>
      <c r="G745" s="932"/>
      <c r="H745" s="932"/>
      <c r="I745" s="932"/>
      <c r="J745" s="932"/>
      <c r="K745" s="957"/>
      <c r="L745" s="1492"/>
      <c r="M745" s="957"/>
      <c r="N745" s="932"/>
      <c r="O745" s="931"/>
      <c r="P745" s="931"/>
      <c r="Q745" s="957"/>
      <c r="R745" s="957"/>
    </row>
    <row r="746" ht="13.5" customHeight="1">
      <c r="A746" s="931"/>
      <c r="B746" s="931"/>
      <c r="C746" s="932"/>
      <c r="D746" s="932"/>
      <c r="E746" s="931"/>
      <c r="F746" s="931"/>
      <c r="G746" s="932"/>
      <c r="H746" s="932"/>
      <c r="I746" s="932"/>
      <c r="J746" s="932"/>
      <c r="K746" s="957"/>
      <c r="L746" s="1492"/>
      <c r="M746" s="957"/>
      <c r="N746" s="932"/>
      <c r="O746" s="931"/>
      <c r="P746" s="931"/>
      <c r="Q746" s="957"/>
      <c r="R746" s="957"/>
    </row>
    <row r="747" ht="13.5" customHeight="1">
      <c r="A747" s="931"/>
      <c r="B747" s="931"/>
      <c r="C747" s="932"/>
      <c r="D747" s="932"/>
      <c r="E747" s="931"/>
      <c r="F747" s="931"/>
      <c r="G747" s="932"/>
      <c r="H747" s="932"/>
      <c r="I747" s="932"/>
      <c r="J747" s="932"/>
      <c r="K747" s="957"/>
      <c r="L747" s="1492"/>
      <c r="M747" s="957"/>
      <c r="N747" s="932"/>
      <c r="O747" s="931"/>
      <c r="P747" s="931"/>
      <c r="Q747" s="957"/>
      <c r="R747" s="957"/>
    </row>
    <row r="748" ht="13.5" customHeight="1">
      <c r="A748" s="931"/>
      <c r="B748" s="931"/>
      <c r="C748" s="932"/>
      <c r="D748" s="932"/>
      <c r="E748" s="931"/>
      <c r="F748" s="931"/>
      <c r="G748" s="932"/>
      <c r="H748" s="932"/>
      <c r="I748" s="932"/>
      <c r="J748" s="932"/>
      <c r="K748" s="957"/>
      <c r="L748" s="1492"/>
      <c r="M748" s="957"/>
      <c r="N748" s="932"/>
      <c r="O748" s="931"/>
      <c r="P748" s="931"/>
      <c r="Q748" s="957"/>
      <c r="R748" s="957"/>
    </row>
    <row r="749" ht="13.5" customHeight="1">
      <c r="A749" s="931"/>
      <c r="B749" s="931"/>
      <c r="C749" s="932"/>
      <c r="D749" s="932"/>
      <c r="E749" s="931"/>
      <c r="F749" s="931"/>
      <c r="G749" s="932"/>
      <c r="H749" s="932"/>
      <c r="I749" s="932"/>
      <c r="J749" s="932"/>
      <c r="K749" s="957"/>
      <c r="L749" s="1492"/>
      <c r="M749" s="957"/>
      <c r="N749" s="932"/>
      <c r="O749" s="931"/>
      <c r="P749" s="931"/>
      <c r="Q749" s="957"/>
      <c r="R749" s="957"/>
    </row>
    <row r="750" ht="13.5" customHeight="1">
      <c r="A750" s="931"/>
      <c r="B750" s="931"/>
      <c r="C750" s="932"/>
      <c r="D750" s="932"/>
      <c r="E750" s="931"/>
      <c r="F750" s="931"/>
      <c r="G750" s="932"/>
      <c r="H750" s="932"/>
      <c r="I750" s="932"/>
      <c r="J750" s="932"/>
      <c r="K750" s="957"/>
      <c r="L750" s="1492"/>
      <c r="M750" s="957"/>
      <c r="N750" s="932"/>
      <c r="O750" s="931"/>
      <c r="P750" s="931"/>
      <c r="Q750" s="957"/>
      <c r="R750" s="957"/>
    </row>
    <row r="751" ht="13.5" customHeight="1">
      <c r="A751" s="931"/>
      <c r="B751" s="931"/>
      <c r="C751" s="932"/>
      <c r="D751" s="932"/>
      <c r="E751" s="931"/>
      <c r="F751" s="931"/>
      <c r="G751" s="932"/>
      <c r="H751" s="932"/>
      <c r="I751" s="932"/>
      <c r="J751" s="932"/>
      <c r="K751" s="957"/>
      <c r="L751" s="1492"/>
      <c r="M751" s="957"/>
      <c r="N751" s="932"/>
      <c r="O751" s="931"/>
      <c r="P751" s="931"/>
      <c r="Q751" s="957"/>
      <c r="R751" s="957"/>
    </row>
    <row r="752" ht="13.5" customHeight="1">
      <c r="A752" s="931"/>
      <c r="B752" s="931"/>
      <c r="C752" s="932"/>
      <c r="D752" s="932"/>
      <c r="E752" s="931"/>
      <c r="F752" s="931"/>
      <c r="G752" s="932"/>
      <c r="H752" s="932"/>
      <c r="I752" s="932"/>
      <c r="J752" s="932"/>
      <c r="K752" s="957"/>
      <c r="L752" s="1492"/>
      <c r="M752" s="957"/>
      <c r="N752" s="932"/>
      <c r="O752" s="931"/>
      <c r="P752" s="931"/>
      <c r="Q752" s="957"/>
      <c r="R752" s="957"/>
    </row>
    <row r="753" ht="13.5" customHeight="1">
      <c r="A753" s="931"/>
      <c r="B753" s="931"/>
      <c r="C753" s="932"/>
      <c r="D753" s="932"/>
      <c r="E753" s="931"/>
      <c r="F753" s="931"/>
      <c r="G753" s="932"/>
      <c r="H753" s="932"/>
      <c r="I753" s="932"/>
      <c r="J753" s="932"/>
      <c r="K753" s="957"/>
      <c r="L753" s="1492"/>
      <c r="M753" s="957"/>
      <c r="N753" s="932"/>
      <c r="O753" s="931"/>
      <c r="P753" s="931"/>
      <c r="Q753" s="957"/>
      <c r="R753" s="957"/>
    </row>
    <row r="754" ht="13.5" customHeight="1">
      <c r="A754" s="931"/>
      <c r="B754" s="931"/>
      <c r="C754" s="932"/>
      <c r="D754" s="932"/>
      <c r="E754" s="931"/>
      <c r="F754" s="931"/>
      <c r="G754" s="932"/>
      <c r="H754" s="932"/>
      <c r="I754" s="932"/>
      <c r="J754" s="932"/>
      <c r="K754" s="957"/>
      <c r="L754" s="1492"/>
      <c r="M754" s="957"/>
      <c r="N754" s="932"/>
      <c r="O754" s="931"/>
      <c r="P754" s="931"/>
      <c r="Q754" s="957"/>
      <c r="R754" s="957"/>
    </row>
    <row r="755" ht="13.5" customHeight="1">
      <c r="A755" s="931"/>
      <c r="B755" s="931"/>
      <c r="C755" s="932"/>
      <c r="D755" s="932"/>
      <c r="E755" s="931"/>
      <c r="F755" s="931"/>
      <c r="G755" s="932"/>
      <c r="H755" s="932"/>
      <c r="I755" s="932"/>
      <c r="J755" s="932"/>
      <c r="K755" s="957"/>
      <c r="L755" s="1492"/>
      <c r="M755" s="957"/>
      <c r="N755" s="932"/>
      <c r="O755" s="931"/>
      <c r="P755" s="931"/>
      <c r="Q755" s="957"/>
      <c r="R755" s="957"/>
    </row>
    <row r="756" ht="13.5" customHeight="1">
      <c r="A756" s="931"/>
      <c r="B756" s="931"/>
      <c r="C756" s="932"/>
      <c r="D756" s="932"/>
      <c r="E756" s="931"/>
      <c r="F756" s="931"/>
      <c r="G756" s="932"/>
      <c r="H756" s="932"/>
      <c r="I756" s="932"/>
      <c r="J756" s="932"/>
      <c r="K756" s="957"/>
      <c r="L756" s="1492"/>
      <c r="M756" s="957"/>
      <c r="N756" s="932"/>
      <c r="O756" s="931"/>
      <c r="P756" s="931"/>
      <c r="Q756" s="957"/>
      <c r="R756" s="957"/>
    </row>
    <row r="757" ht="13.5" customHeight="1">
      <c r="A757" s="931"/>
      <c r="B757" s="931"/>
      <c r="C757" s="932"/>
      <c r="D757" s="932"/>
      <c r="E757" s="931"/>
      <c r="F757" s="931"/>
      <c r="G757" s="932"/>
      <c r="H757" s="932"/>
      <c r="I757" s="932"/>
      <c r="J757" s="932"/>
      <c r="K757" s="957"/>
      <c r="L757" s="1492"/>
      <c r="M757" s="957"/>
      <c r="N757" s="932"/>
      <c r="O757" s="931"/>
      <c r="P757" s="931"/>
      <c r="Q757" s="957"/>
      <c r="R757" s="957"/>
    </row>
    <row r="758" ht="13.5" customHeight="1">
      <c r="A758" s="931"/>
      <c r="B758" s="931"/>
      <c r="C758" s="932"/>
      <c r="D758" s="932"/>
      <c r="E758" s="931"/>
      <c r="F758" s="931"/>
      <c r="G758" s="932"/>
      <c r="H758" s="932"/>
      <c r="I758" s="932"/>
      <c r="J758" s="932"/>
      <c r="K758" s="957"/>
      <c r="L758" s="1492"/>
      <c r="M758" s="957"/>
      <c r="N758" s="932"/>
      <c r="O758" s="931"/>
      <c r="P758" s="931"/>
      <c r="Q758" s="957"/>
      <c r="R758" s="957"/>
    </row>
    <row r="759" ht="13.5" customHeight="1">
      <c r="A759" s="931"/>
      <c r="B759" s="931"/>
      <c r="C759" s="932"/>
      <c r="D759" s="932"/>
      <c r="E759" s="931"/>
      <c r="F759" s="931"/>
      <c r="G759" s="932"/>
      <c r="H759" s="932"/>
      <c r="I759" s="932"/>
      <c r="J759" s="932"/>
      <c r="K759" s="957"/>
      <c r="L759" s="1492"/>
      <c r="M759" s="957"/>
      <c r="N759" s="932"/>
      <c r="O759" s="931"/>
      <c r="P759" s="931"/>
      <c r="Q759" s="957"/>
      <c r="R759" s="957"/>
    </row>
    <row r="760" ht="13.5" customHeight="1">
      <c r="A760" s="931"/>
      <c r="B760" s="931"/>
      <c r="C760" s="932"/>
      <c r="D760" s="932"/>
      <c r="E760" s="931"/>
      <c r="F760" s="931"/>
      <c r="G760" s="932"/>
      <c r="H760" s="932"/>
      <c r="I760" s="932"/>
      <c r="J760" s="932"/>
      <c r="K760" s="957"/>
      <c r="L760" s="1492"/>
      <c r="M760" s="957"/>
      <c r="N760" s="932"/>
      <c r="O760" s="931"/>
      <c r="P760" s="931"/>
      <c r="Q760" s="957"/>
      <c r="R760" s="957"/>
    </row>
    <row r="761" ht="13.5" customHeight="1">
      <c r="A761" s="931"/>
      <c r="B761" s="931"/>
      <c r="C761" s="932"/>
      <c r="D761" s="932"/>
      <c r="E761" s="931"/>
      <c r="F761" s="931"/>
      <c r="G761" s="932"/>
      <c r="H761" s="932"/>
      <c r="I761" s="932"/>
      <c r="J761" s="932"/>
      <c r="K761" s="957"/>
      <c r="L761" s="1492"/>
      <c r="M761" s="957"/>
      <c r="N761" s="932"/>
      <c r="O761" s="931"/>
      <c r="P761" s="931"/>
      <c r="Q761" s="957"/>
      <c r="R761" s="957"/>
    </row>
    <row r="762" ht="13.5" customHeight="1">
      <c r="A762" s="931"/>
      <c r="B762" s="931"/>
      <c r="C762" s="932"/>
      <c r="D762" s="932"/>
      <c r="E762" s="931"/>
      <c r="F762" s="931"/>
      <c r="G762" s="932"/>
      <c r="H762" s="932"/>
      <c r="I762" s="932"/>
      <c r="J762" s="932"/>
      <c r="K762" s="957"/>
      <c r="L762" s="1492"/>
      <c r="M762" s="957"/>
      <c r="N762" s="932"/>
      <c r="O762" s="931"/>
      <c r="P762" s="931"/>
      <c r="Q762" s="957"/>
      <c r="R762" s="957"/>
    </row>
    <row r="763" ht="13.5" customHeight="1">
      <c r="A763" s="931"/>
      <c r="B763" s="931"/>
      <c r="C763" s="932"/>
      <c r="D763" s="932"/>
      <c r="E763" s="931"/>
      <c r="F763" s="931"/>
      <c r="G763" s="932"/>
      <c r="H763" s="932"/>
      <c r="I763" s="932"/>
      <c r="J763" s="932"/>
      <c r="K763" s="957"/>
      <c r="L763" s="1492"/>
      <c r="M763" s="957"/>
      <c r="N763" s="932"/>
      <c r="O763" s="931"/>
      <c r="P763" s="931"/>
      <c r="Q763" s="957"/>
      <c r="R763" s="957"/>
    </row>
    <row r="764" ht="13.5" customHeight="1">
      <c r="A764" s="931"/>
      <c r="B764" s="931"/>
      <c r="C764" s="932"/>
      <c r="D764" s="932"/>
      <c r="E764" s="931"/>
      <c r="F764" s="931"/>
      <c r="G764" s="932"/>
      <c r="H764" s="932"/>
      <c r="I764" s="932"/>
      <c r="J764" s="932"/>
      <c r="K764" s="957"/>
      <c r="L764" s="1492"/>
      <c r="M764" s="957"/>
      <c r="N764" s="932"/>
      <c r="O764" s="931"/>
      <c r="P764" s="931"/>
      <c r="Q764" s="957"/>
      <c r="R764" s="957"/>
    </row>
    <row r="765" ht="13.5" customHeight="1">
      <c r="A765" s="931"/>
      <c r="B765" s="931"/>
      <c r="C765" s="932"/>
      <c r="D765" s="932"/>
      <c r="E765" s="931"/>
      <c r="F765" s="931"/>
      <c r="G765" s="932"/>
      <c r="H765" s="932"/>
      <c r="I765" s="932"/>
      <c r="J765" s="932"/>
      <c r="K765" s="957"/>
      <c r="L765" s="1492"/>
      <c r="M765" s="957"/>
      <c r="N765" s="932"/>
      <c r="O765" s="931"/>
      <c r="P765" s="931"/>
      <c r="Q765" s="957"/>
      <c r="R765" s="957"/>
    </row>
    <row r="766" ht="13.5" customHeight="1">
      <c r="A766" s="931"/>
      <c r="B766" s="931"/>
      <c r="C766" s="932"/>
      <c r="D766" s="932"/>
      <c r="E766" s="931"/>
      <c r="F766" s="931"/>
      <c r="G766" s="932"/>
      <c r="H766" s="932"/>
      <c r="I766" s="932"/>
      <c r="J766" s="932"/>
      <c r="K766" s="957"/>
      <c r="L766" s="1492"/>
      <c r="M766" s="957"/>
      <c r="N766" s="932"/>
      <c r="O766" s="931"/>
      <c r="P766" s="931"/>
      <c r="Q766" s="957"/>
      <c r="R766" s="957"/>
    </row>
    <row r="767" ht="13.5" customHeight="1">
      <c r="A767" s="931"/>
      <c r="B767" s="931"/>
      <c r="C767" s="932"/>
      <c r="D767" s="932"/>
      <c r="E767" s="931"/>
      <c r="F767" s="931"/>
      <c r="G767" s="932"/>
      <c r="H767" s="932"/>
      <c r="I767" s="932"/>
      <c r="J767" s="932"/>
      <c r="K767" s="957"/>
      <c r="L767" s="1492"/>
      <c r="M767" s="957"/>
      <c r="N767" s="932"/>
      <c r="O767" s="931"/>
      <c r="P767" s="931"/>
      <c r="Q767" s="957"/>
      <c r="R767" s="957"/>
    </row>
    <row r="768" ht="13.5" customHeight="1">
      <c r="A768" s="931"/>
      <c r="B768" s="931"/>
      <c r="C768" s="932"/>
      <c r="D768" s="932"/>
      <c r="E768" s="931"/>
      <c r="F768" s="931"/>
      <c r="G768" s="932"/>
      <c r="H768" s="932"/>
      <c r="I768" s="932"/>
      <c r="J768" s="932"/>
      <c r="K768" s="957"/>
      <c r="L768" s="1492"/>
      <c r="M768" s="957"/>
      <c r="N768" s="932"/>
      <c r="O768" s="931"/>
      <c r="P768" s="931"/>
      <c r="Q768" s="957"/>
      <c r="R768" s="957"/>
    </row>
    <row r="769" ht="13.5" customHeight="1">
      <c r="A769" s="931"/>
      <c r="B769" s="931"/>
      <c r="C769" s="932"/>
      <c r="D769" s="932"/>
      <c r="E769" s="931"/>
      <c r="F769" s="931"/>
      <c r="G769" s="932"/>
      <c r="H769" s="932"/>
      <c r="I769" s="932"/>
      <c r="J769" s="932"/>
      <c r="K769" s="957"/>
      <c r="L769" s="1492"/>
      <c r="M769" s="957"/>
      <c r="N769" s="932"/>
      <c r="O769" s="931"/>
      <c r="P769" s="931"/>
      <c r="Q769" s="957"/>
      <c r="R769" s="957"/>
    </row>
    <row r="770" ht="13.5" customHeight="1">
      <c r="A770" s="931"/>
      <c r="B770" s="931"/>
      <c r="C770" s="932"/>
      <c r="D770" s="932"/>
      <c r="E770" s="931"/>
      <c r="F770" s="931"/>
      <c r="G770" s="932"/>
      <c r="H770" s="932"/>
      <c r="I770" s="932"/>
      <c r="J770" s="932"/>
      <c r="K770" s="957"/>
      <c r="L770" s="1492"/>
      <c r="M770" s="957"/>
      <c r="N770" s="932"/>
      <c r="O770" s="931"/>
      <c r="P770" s="931"/>
      <c r="Q770" s="957"/>
      <c r="R770" s="957"/>
    </row>
    <row r="771" ht="13.5" customHeight="1">
      <c r="A771" s="931"/>
      <c r="B771" s="931"/>
      <c r="C771" s="932"/>
      <c r="D771" s="932"/>
      <c r="E771" s="931"/>
      <c r="F771" s="931"/>
      <c r="G771" s="932"/>
      <c r="H771" s="932"/>
      <c r="I771" s="932"/>
      <c r="J771" s="932"/>
      <c r="K771" s="957"/>
      <c r="L771" s="1492"/>
      <c r="M771" s="957"/>
      <c r="N771" s="932"/>
      <c r="O771" s="931"/>
      <c r="P771" s="931"/>
      <c r="Q771" s="957"/>
      <c r="R771" s="957"/>
    </row>
    <row r="772" ht="13.5" customHeight="1">
      <c r="A772" s="931"/>
      <c r="B772" s="931"/>
      <c r="C772" s="932"/>
      <c r="D772" s="932"/>
      <c r="E772" s="931"/>
      <c r="F772" s="931"/>
      <c r="G772" s="932"/>
      <c r="H772" s="932"/>
      <c r="I772" s="932"/>
      <c r="J772" s="932"/>
      <c r="K772" s="957"/>
      <c r="L772" s="1492"/>
      <c r="M772" s="957"/>
      <c r="N772" s="932"/>
      <c r="O772" s="931"/>
      <c r="P772" s="931"/>
      <c r="Q772" s="957"/>
      <c r="R772" s="957"/>
    </row>
    <row r="773" ht="13.5" customHeight="1">
      <c r="A773" s="931"/>
      <c r="B773" s="931"/>
      <c r="C773" s="932"/>
      <c r="D773" s="932"/>
      <c r="E773" s="931"/>
      <c r="F773" s="931"/>
      <c r="G773" s="932"/>
      <c r="H773" s="932"/>
      <c r="I773" s="932"/>
      <c r="J773" s="932"/>
      <c r="K773" s="957"/>
      <c r="L773" s="1492"/>
      <c r="M773" s="957"/>
      <c r="N773" s="932"/>
      <c r="O773" s="931"/>
      <c r="P773" s="931"/>
      <c r="Q773" s="957"/>
      <c r="R773" s="957"/>
    </row>
    <row r="774" ht="13.5" customHeight="1">
      <c r="A774" s="931"/>
      <c r="B774" s="931"/>
      <c r="C774" s="932"/>
      <c r="D774" s="932"/>
      <c r="E774" s="931"/>
      <c r="F774" s="931"/>
      <c r="G774" s="932"/>
      <c r="H774" s="932"/>
      <c r="I774" s="932"/>
      <c r="J774" s="932"/>
      <c r="K774" s="957"/>
      <c r="L774" s="1492"/>
      <c r="M774" s="957"/>
      <c r="N774" s="932"/>
      <c r="O774" s="931"/>
      <c r="P774" s="931"/>
      <c r="Q774" s="957"/>
      <c r="R774" s="957"/>
    </row>
    <row r="775" ht="13.5" customHeight="1">
      <c r="A775" s="931"/>
      <c r="B775" s="931"/>
      <c r="C775" s="932"/>
      <c r="D775" s="932"/>
      <c r="E775" s="931"/>
      <c r="F775" s="931"/>
      <c r="G775" s="932"/>
      <c r="H775" s="932"/>
      <c r="I775" s="932"/>
      <c r="J775" s="932"/>
      <c r="K775" s="957"/>
      <c r="L775" s="1492"/>
      <c r="M775" s="957"/>
      <c r="N775" s="932"/>
      <c r="O775" s="931"/>
      <c r="P775" s="931"/>
      <c r="Q775" s="957"/>
      <c r="R775" s="957"/>
    </row>
    <row r="776" ht="13.5" customHeight="1">
      <c r="A776" s="931"/>
      <c r="B776" s="931"/>
      <c r="C776" s="932"/>
      <c r="D776" s="932"/>
      <c r="E776" s="931"/>
      <c r="F776" s="931"/>
      <c r="G776" s="932"/>
      <c r="H776" s="932"/>
      <c r="I776" s="932"/>
      <c r="J776" s="932"/>
      <c r="K776" s="957"/>
      <c r="L776" s="1492"/>
      <c r="M776" s="957"/>
      <c r="N776" s="932"/>
      <c r="O776" s="931"/>
      <c r="P776" s="931"/>
      <c r="Q776" s="957"/>
      <c r="R776" s="957"/>
    </row>
    <row r="777" ht="13.5" customHeight="1">
      <c r="A777" s="931"/>
      <c r="B777" s="931"/>
      <c r="C777" s="932"/>
      <c r="D777" s="932"/>
      <c r="E777" s="931"/>
      <c r="F777" s="931"/>
      <c r="G777" s="932"/>
      <c r="H777" s="932"/>
      <c r="I777" s="932"/>
      <c r="J777" s="932"/>
      <c r="K777" s="957"/>
      <c r="L777" s="1492"/>
      <c r="M777" s="957"/>
      <c r="N777" s="932"/>
      <c r="O777" s="931"/>
      <c r="P777" s="931"/>
      <c r="Q777" s="957"/>
      <c r="R777" s="957"/>
    </row>
    <row r="778" ht="13.5" customHeight="1">
      <c r="A778" s="931"/>
      <c r="B778" s="931"/>
      <c r="C778" s="932"/>
      <c r="D778" s="932"/>
      <c r="E778" s="931"/>
      <c r="F778" s="931"/>
      <c r="G778" s="932"/>
      <c r="H778" s="932"/>
      <c r="I778" s="932"/>
      <c r="J778" s="932"/>
      <c r="K778" s="957"/>
      <c r="L778" s="1492"/>
      <c r="M778" s="957"/>
      <c r="N778" s="932"/>
      <c r="O778" s="931"/>
      <c r="P778" s="931"/>
      <c r="Q778" s="957"/>
      <c r="R778" s="957"/>
    </row>
    <row r="779" ht="13.5" customHeight="1">
      <c r="A779" s="931"/>
      <c r="B779" s="931"/>
      <c r="C779" s="932"/>
      <c r="D779" s="932"/>
      <c r="E779" s="931"/>
      <c r="F779" s="931"/>
      <c r="G779" s="932"/>
      <c r="H779" s="932"/>
      <c r="I779" s="932"/>
      <c r="J779" s="932"/>
      <c r="K779" s="957"/>
      <c r="L779" s="1492"/>
      <c r="M779" s="957"/>
      <c r="N779" s="932"/>
      <c r="O779" s="931"/>
      <c r="P779" s="931"/>
      <c r="Q779" s="957"/>
      <c r="R779" s="957"/>
    </row>
    <row r="780" ht="13.5" customHeight="1">
      <c r="A780" s="931"/>
      <c r="B780" s="931"/>
      <c r="C780" s="932"/>
      <c r="D780" s="932"/>
      <c r="E780" s="931"/>
      <c r="F780" s="931"/>
      <c r="G780" s="932"/>
      <c r="H780" s="932"/>
      <c r="I780" s="932"/>
      <c r="J780" s="932"/>
      <c r="K780" s="957"/>
      <c r="L780" s="1492"/>
      <c r="M780" s="957"/>
      <c r="N780" s="932"/>
      <c r="O780" s="931"/>
      <c r="P780" s="931"/>
      <c r="Q780" s="957"/>
      <c r="R780" s="957"/>
    </row>
    <row r="781" ht="13.5" customHeight="1">
      <c r="A781" s="931"/>
      <c r="B781" s="931"/>
      <c r="C781" s="932"/>
      <c r="D781" s="932"/>
      <c r="E781" s="931"/>
      <c r="F781" s="931"/>
      <c r="G781" s="932"/>
      <c r="H781" s="932"/>
      <c r="I781" s="932"/>
      <c r="J781" s="932"/>
      <c r="K781" s="957"/>
      <c r="L781" s="1492"/>
      <c r="M781" s="957"/>
      <c r="N781" s="932"/>
      <c r="O781" s="931"/>
      <c r="P781" s="931"/>
      <c r="Q781" s="957"/>
      <c r="R781" s="957"/>
    </row>
    <row r="782" ht="13.5" customHeight="1">
      <c r="A782" s="931"/>
      <c r="B782" s="931"/>
      <c r="C782" s="932"/>
      <c r="D782" s="932"/>
      <c r="E782" s="931"/>
      <c r="F782" s="931"/>
      <c r="G782" s="932"/>
      <c r="H782" s="932"/>
      <c r="I782" s="932"/>
      <c r="J782" s="932"/>
      <c r="K782" s="957"/>
      <c r="L782" s="1492"/>
      <c r="M782" s="957"/>
      <c r="N782" s="932"/>
      <c r="O782" s="931"/>
      <c r="P782" s="931"/>
      <c r="Q782" s="957"/>
      <c r="R782" s="957"/>
    </row>
    <row r="783" ht="13.5" customHeight="1">
      <c r="A783" s="931"/>
      <c r="B783" s="931"/>
      <c r="C783" s="932"/>
      <c r="D783" s="932"/>
      <c r="E783" s="931"/>
      <c r="F783" s="931"/>
      <c r="G783" s="932"/>
      <c r="H783" s="932"/>
      <c r="I783" s="932"/>
      <c r="J783" s="932"/>
      <c r="K783" s="957"/>
      <c r="L783" s="1492"/>
      <c r="M783" s="957"/>
      <c r="N783" s="932"/>
      <c r="O783" s="931"/>
      <c r="P783" s="931"/>
      <c r="Q783" s="957"/>
      <c r="R783" s="957"/>
    </row>
    <row r="784" ht="13.5" customHeight="1">
      <c r="A784" s="931"/>
      <c r="B784" s="931"/>
      <c r="C784" s="932"/>
      <c r="D784" s="932"/>
      <c r="E784" s="931"/>
      <c r="F784" s="931"/>
      <c r="G784" s="932"/>
      <c r="H784" s="932"/>
      <c r="I784" s="932"/>
      <c r="J784" s="932"/>
      <c r="K784" s="957"/>
      <c r="L784" s="1492"/>
      <c r="M784" s="957"/>
      <c r="N784" s="932"/>
      <c r="O784" s="931"/>
      <c r="P784" s="931"/>
      <c r="Q784" s="957"/>
      <c r="R784" s="957"/>
    </row>
    <row r="785" ht="13.5" customHeight="1">
      <c r="A785" s="931"/>
      <c r="B785" s="931"/>
      <c r="C785" s="932"/>
      <c r="D785" s="932"/>
      <c r="E785" s="931"/>
      <c r="F785" s="931"/>
      <c r="G785" s="932"/>
      <c r="H785" s="932"/>
      <c r="I785" s="932"/>
      <c r="J785" s="932"/>
      <c r="K785" s="957"/>
      <c r="L785" s="1492"/>
      <c r="M785" s="957"/>
      <c r="N785" s="932"/>
      <c r="O785" s="931"/>
      <c r="P785" s="931"/>
      <c r="Q785" s="957"/>
      <c r="R785" s="957"/>
    </row>
    <row r="786" ht="13.5" customHeight="1">
      <c r="A786" s="931"/>
      <c r="B786" s="931"/>
      <c r="C786" s="932"/>
      <c r="D786" s="932"/>
      <c r="E786" s="931"/>
      <c r="F786" s="931"/>
      <c r="G786" s="932"/>
      <c r="H786" s="932"/>
      <c r="I786" s="932"/>
      <c r="J786" s="932"/>
      <c r="K786" s="957"/>
      <c r="L786" s="1492"/>
      <c r="M786" s="957"/>
      <c r="N786" s="932"/>
      <c r="O786" s="931"/>
      <c r="P786" s="931"/>
      <c r="Q786" s="957"/>
      <c r="R786" s="957"/>
    </row>
    <row r="787" ht="13.5" customHeight="1">
      <c r="A787" s="931"/>
      <c r="B787" s="931"/>
      <c r="C787" s="932"/>
      <c r="D787" s="932"/>
      <c r="E787" s="931"/>
      <c r="F787" s="931"/>
      <c r="G787" s="932"/>
      <c r="H787" s="932"/>
      <c r="I787" s="932"/>
      <c r="J787" s="932"/>
      <c r="K787" s="957"/>
      <c r="L787" s="1492"/>
      <c r="M787" s="957"/>
      <c r="N787" s="932"/>
      <c r="O787" s="931"/>
      <c r="P787" s="931"/>
      <c r="Q787" s="957"/>
      <c r="R787" s="957"/>
    </row>
    <row r="788" ht="13.5" customHeight="1">
      <c r="A788" s="931"/>
      <c r="B788" s="931"/>
      <c r="C788" s="932"/>
      <c r="D788" s="932"/>
      <c r="E788" s="931"/>
      <c r="F788" s="931"/>
      <c r="G788" s="932"/>
      <c r="H788" s="932"/>
      <c r="I788" s="932"/>
      <c r="J788" s="932"/>
      <c r="K788" s="957"/>
      <c r="L788" s="1492"/>
      <c r="M788" s="957"/>
      <c r="N788" s="932"/>
      <c r="O788" s="931"/>
      <c r="P788" s="931"/>
      <c r="Q788" s="957"/>
      <c r="R788" s="957"/>
    </row>
    <row r="789" ht="13.5" customHeight="1">
      <c r="A789" s="931"/>
      <c r="B789" s="931"/>
      <c r="C789" s="932"/>
      <c r="D789" s="932"/>
      <c r="E789" s="931"/>
      <c r="F789" s="931"/>
      <c r="G789" s="932"/>
      <c r="H789" s="932"/>
      <c r="I789" s="932"/>
      <c r="J789" s="932"/>
      <c r="K789" s="957"/>
      <c r="L789" s="1492"/>
      <c r="M789" s="957"/>
      <c r="N789" s="932"/>
      <c r="O789" s="931"/>
      <c r="P789" s="931"/>
      <c r="Q789" s="957"/>
      <c r="R789" s="957"/>
    </row>
    <row r="790" ht="13.5" customHeight="1">
      <c r="A790" s="931"/>
      <c r="B790" s="931"/>
      <c r="C790" s="932"/>
      <c r="D790" s="932"/>
      <c r="E790" s="931"/>
      <c r="F790" s="931"/>
      <c r="G790" s="932"/>
      <c r="H790" s="932"/>
      <c r="I790" s="932"/>
      <c r="J790" s="932"/>
      <c r="K790" s="957"/>
      <c r="L790" s="1492"/>
      <c r="M790" s="957"/>
      <c r="N790" s="932"/>
      <c r="O790" s="931"/>
      <c r="P790" s="931"/>
      <c r="Q790" s="957"/>
      <c r="R790" s="957"/>
    </row>
    <row r="791" ht="13.5" customHeight="1">
      <c r="A791" s="931"/>
      <c r="B791" s="931"/>
      <c r="C791" s="932"/>
      <c r="D791" s="932"/>
      <c r="E791" s="931"/>
      <c r="F791" s="931"/>
      <c r="G791" s="932"/>
      <c r="H791" s="932"/>
      <c r="I791" s="932"/>
      <c r="J791" s="932"/>
      <c r="K791" s="957"/>
      <c r="L791" s="1492"/>
      <c r="M791" s="957"/>
      <c r="N791" s="932"/>
      <c r="O791" s="931"/>
      <c r="P791" s="931"/>
      <c r="Q791" s="957"/>
      <c r="R791" s="957"/>
    </row>
    <row r="792" ht="13.5" customHeight="1">
      <c r="A792" s="931"/>
      <c r="B792" s="931"/>
      <c r="C792" s="932"/>
      <c r="D792" s="932"/>
      <c r="E792" s="931"/>
      <c r="F792" s="931"/>
      <c r="G792" s="932"/>
      <c r="H792" s="932"/>
      <c r="I792" s="932"/>
      <c r="J792" s="932"/>
      <c r="K792" s="957"/>
      <c r="L792" s="1492"/>
      <c r="M792" s="957"/>
      <c r="N792" s="932"/>
      <c r="O792" s="931"/>
      <c r="P792" s="931"/>
      <c r="Q792" s="957"/>
      <c r="R792" s="957"/>
    </row>
    <row r="793" ht="13.5" customHeight="1">
      <c r="A793" s="931"/>
      <c r="B793" s="931"/>
      <c r="C793" s="932"/>
      <c r="D793" s="932"/>
      <c r="E793" s="931"/>
      <c r="F793" s="931"/>
      <c r="G793" s="932"/>
      <c r="H793" s="932"/>
      <c r="I793" s="932"/>
      <c r="J793" s="932"/>
      <c r="K793" s="957"/>
      <c r="L793" s="1492"/>
      <c r="M793" s="957"/>
      <c r="N793" s="932"/>
      <c r="O793" s="931"/>
      <c r="P793" s="931"/>
      <c r="Q793" s="957"/>
      <c r="R793" s="957"/>
    </row>
    <row r="794" ht="13.5" customHeight="1">
      <c r="A794" s="931"/>
      <c r="B794" s="931"/>
      <c r="C794" s="932"/>
      <c r="D794" s="932"/>
      <c r="E794" s="931"/>
      <c r="F794" s="931"/>
      <c r="G794" s="932"/>
      <c r="H794" s="932"/>
      <c r="I794" s="932"/>
      <c r="J794" s="932"/>
      <c r="K794" s="957"/>
      <c r="L794" s="1492"/>
      <c r="M794" s="957"/>
      <c r="N794" s="932"/>
      <c r="O794" s="931"/>
      <c r="P794" s="931"/>
      <c r="Q794" s="957"/>
      <c r="R794" s="957"/>
    </row>
    <row r="795" ht="13.5" customHeight="1">
      <c r="A795" s="931"/>
      <c r="B795" s="931"/>
      <c r="C795" s="932"/>
      <c r="D795" s="932"/>
      <c r="E795" s="931"/>
      <c r="F795" s="931"/>
      <c r="G795" s="932"/>
      <c r="H795" s="932"/>
      <c r="I795" s="932"/>
      <c r="J795" s="932"/>
      <c r="K795" s="957"/>
      <c r="L795" s="1492"/>
      <c r="M795" s="957"/>
      <c r="N795" s="932"/>
      <c r="O795" s="931"/>
      <c r="P795" s="931"/>
      <c r="Q795" s="957"/>
      <c r="R795" s="957"/>
    </row>
    <row r="796" ht="13.5" customHeight="1">
      <c r="A796" s="931"/>
      <c r="B796" s="931"/>
      <c r="C796" s="932"/>
      <c r="D796" s="932"/>
      <c r="E796" s="931"/>
      <c r="F796" s="931"/>
      <c r="G796" s="932"/>
      <c r="H796" s="932"/>
      <c r="I796" s="932"/>
      <c r="J796" s="932"/>
      <c r="K796" s="957"/>
      <c r="L796" s="1492"/>
      <c r="M796" s="957"/>
      <c r="N796" s="932"/>
      <c r="O796" s="931"/>
      <c r="P796" s="931"/>
      <c r="Q796" s="957"/>
      <c r="R796" s="957"/>
    </row>
    <row r="797" ht="13.5" customHeight="1">
      <c r="A797" s="931"/>
      <c r="B797" s="931"/>
      <c r="C797" s="932"/>
      <c r="D797" s="932"/>
      <c r="E797" s="931"/>
      <c r="F797" s="931"/>
      <c r="G797" s="932"/>
      <c r="H797" s="932"/>
      <c r="I797" s="932"/>
      <c r="J797" s="932"/>
      <c r="K797" s="957"/>
      <c r="L797" s="1492"/>
      <c r="M797" s="957"/>
      <c r="N797" s="932"/>
      <c r="O797" s="931"/>
      <c r="P797" s="931"/>
      <c r="Q797" s="957"/>
      <c r="R797" s="957"/>
    </row>
    <row r="798" ht="13.5" customHeight="1">
      <c r="A798" s="931"/>
      <c r="B798" s="931"/>
      <c r="C798" s="932"/>
      <c r="D798" s="932"/>
      <c r="E798" s="931"/>
      <c r="F798" s="931"/>
      <c r="G798" s="932"/>
      <c r="H798" s="932"/>
      <c r="I798" s="932"/>
      <c r="J798" s="932"/>
      <c r="K798" s="957"/>
      <c r="L798" s="1492"/>
      <c r="M798" s="957"/>
      <c r="N798" s="932"/>
      <c r="O798" s="931"/>
      <c r="P798" s="931"/>
      <c r="Q798" s="957"/>
      <c r="R798" s="957"/>
    </row>
    <row r="799" ht="13.5" customHeight="1">
      <c r="A799" s="931"/>
      <c r="B799" s="931"/>
      <c r="C799" s="932"/>
      <c r="D799" s="932"/>
      <c r="E799" s="931"/>
      <c r="F799" s="931"/>
      <c r="G799" s="932"/>
      <c r="H799" s="932"/>
      <c r="I799" s="932"/>
      <c r="J799" s="932"/>
      <c r="K799" s="957"/>
      <c r="L799" s="1492"/>
      <c r="M799" s="957"/>
      <c r="N799" s="932"/>
      <c r="O799" s="931"/>
      <c r="P799" s="931"/>
      <c r="Q799" s="957"/>
      <c r="R799" s="957"/>
    </row>
    <row r="800" ht="13.5" customHeight="1">
      <c r="A800" s="931"/>
      <c r="B800" s="931"/>
      <c r="C800" s="932"/>
      <c r="D800" s="932"/>
      <c r="E800" s="931"/>
      <c r="F800" s="931"/>
      <c r="G800" s="932"/>
      <c r="H800" s="932"/>
      <c r="I800" s="932"/>
      <c r="J800" s="932"/>
      <c r="K800" s="957"/>
      <c r="L800" s="1492"/>
      <c r="M800" s="957"/>
      <c r="N800" s="932"/>
      <c r="O800" s="931"/>
      <c r="P800" s="931"/>
      <c r="Q800" s="957"/>
      <c r="R800" s="957"/>
    </row>
    <row r="801" ht="13.5" customHeight="1">
      <c r="A801" s="931"/>
      <c r="B801" s="931"/>
      <c r="C801" s="932"/>
      <c r="D801" s="932"/>
      <c r="E801" s="931"/>
      <c r="F801" s="931"/>
      <c r="G801" s="932"/>
      <c r="H801" s="932"/>
      <c r="I801" s="932"/>
      <c r="J801" s="932"/>
      <c r="K801" s="957"/>
      <c r="L801" s="1492"/>
      <c r="M801" s="957"/>
      <c r="N801" s="932"/>
      <c r="O801" s="931"/>
      <c r="P801" s="931"/>
      <c r="Q801" s="957"/>
      <c r="R801" s="957"/>
    </row>
    <row r="802" ht="13.5" customHeight="1">
      <c r="A802" s="931"/>
      <c r="B802" s="931"/>
      <c r="C802" s="932"/>
      <c r="D802" s="932"/>
      <c r="E802" s="931"/>
      <c r="F802" s="931"/>
      <c r="G802" s="932"/>
      <c r="H802" s="932"/>
      <c r="I802" s="932"/>
      <c r="J802" s="932"/>
      <c r="K802" s="957"/>
      <c r="L802" s="1492"/>
      <c r="M802" s="957"/>
      <c r="N802" s="932"/>
      <c r="O802" s="931"/>
      <c r="P802" s="931"/>
      <c r="Q802" s="957"/>
      <c r="R802" s="957"/>
    </row>
    <row r="803" ht="13.5" customHeight="1">
      <c r="A803" s="931"/>
      <c r="B803" s="931"/>
      <c r="C803" s="932"/>
      <c r="D803" s="932"/>
      <c r="E803" s="931"/>
      <c r="F803" s="931"/>
      <c r="G803" s="932"/>
      <c r="H803" s="932"/>
      <c r="I803" s="932"/>
      <c r="J803" s="932"/>
      <c r="K803" s="957"/>
      <c r="L803" s="1492"/>
      <c r="M803" s="957"/>
      <c r="N803" s="932"/>
      <c r="O803" s="931"/>
      <c r="P803" s="931"/>
      <c r="Q803" s="957"/>
      <c r="R803" s="957"/>
    </row>
    <row r="804" ht="13.5" customHeight="1">
      <c r="A804" s="931"/>
      <c r="B804" s="931"/>
      <c r="C804" s="932"/>
      <c r="D804" s="932"/>
      <c r="E804" s="931"/>
      <c r="F804" s="931"/>
      <c r="G804" s="932"/>
      <c r="H804" s="932"/>
      <c r="I804" s="932"/>
      <c r="J804" s="932"/>
      <c r="K804" s="957"/>
      <c r="L804" s="1492"/>
      <c r="M804" s="957"/>
      <c r="N804" s="932"/>
      <c r="O804" s="931"/>
      <c r="P804" s="931"/>
      <c r="Q804" s="957"/>
      <c r="R804" s="957"/>
    </row>
    <row r="805" ht="13.5" customHeight="1">
      <c r="A805" s="931"/>
      <c r="B805" s="931"/>
      <c r="C805" s="932"/>
      <c r="D805" s="932"/>
      <c r="E805" s="931"/>
      <c r="F805" s="931"/>
      <c r="G805" s="932"/>
      <c r="H805" s="932"/>
      <c r="I805" s="932"/>
      <c r="J805" s="932"/>
      <c r="K805" s="957"/>
      <c r="L805" s="1492"/>
      <c r="M805" s="957"/>
      <c r="N805" s="932"/>
      <c r="O805" s="931"/>
      <c r="P805" s="931"/>
      <c r="Q805" s="957"/>
      <c r="R805" s="957"/>
    </row>
    <row r="806" ht="13.5" customHeight="1">
      <c r="A806" s="931"/>
      <c r="B806" s="931"/>
      <c r="C806" s="932"/>
      <c r="D806" s="932"/>
      <c r="E806" s="931"/>
      <c r="F806" s="931"/>
      <c r="G806" s="932"/>
      <c r="H806" s="932"/>
      <c r="I806" s="932"/>
      <c r="J806" s="932"/>
      <c r="K806" s="957"/>
      <c r="L806" s="1492"/>
      <c r="M806" s="957"/>
      <c r="N806" s="932"/>
      <c r="O806" s="931"/>
      <c r="P806" s="931"/>
      <c r="Q806" s="957"/>
      <c r="R806" s="957"/>
    </row>
    <row r="807" ht="13.5" customHeight="1">
      <c r="A807" s="931"/>
      <c r="B807" s="931"/>
      <c r="C807" s="932"/>
      <c r="D807" s="932"/>
      <c r="E807" s="931"/>
      <c r="F807" s="931"/>
      <c r="G807" s="932"/>
      <c r="H807" s="932"/>
      <c r="I807" s="932"/>
      <c r="J807" s="932"/>
      <c r="K807" s="957"/>
      <c r="L807" s="1492"/>
      <c r="M807" s="957"/>
      <c r="N807" s="932"/>
      <c r="O807" s="931"/>
      <c r="P807" s="931"/>
      <c r="Q807" s="957"/>
      <c r="R807" s="957"/>
    </row>
    <row r="808" ht="13.5" customHeight="1">
      <c r="A808" s="931"/>
      <c r="B808" s="931"/>
      <c r="C808" s="932"/>
      <c r="D808" s="932"/>
      <c r="E808" s="931"/>
      <c r="F808" s="931"/>
      <c r="G808" s="932"/>
      <c r="H808" s="932"/>
      <c r="I808" s="932"/>
      <c r="J808" s="932"/>
      <c r="K808" s="957"/>
      <c r="L808" s="1492"/>
      <c r="M808" s="957"/>
      <c r="N808" s="932"/>
      <c r="O808" s="931"/>
      <c r="P808" s="931"/>
      <c r="Q808" s="957"/>
      <c r="R808" s="957"/>
    </row>
    <row r="809" ht="13.5" customHeight="1">
      <c r="A809" s="931"/>
      <c r="B809" s="931"/>
      <c r="C809" s="932"/>
      <c r="D809" s="932"/>
      <c r="E809" s="931"/>
      <c r="F809" s="931"/>
      <c r="G809" s="932"/>
      <c r="H809" s="932"/>
      <c r="I809" s="932"/>
      <c r="J809" s="932"/>
      <c r="K809" s="957"/>
      <c r="L809" s="1492"/>
      <c r="M809" s="957"/>
      <c r="N809" s="932"/>
      <c r="O809" s="931"/>
      <c r="P809" s="931"/>
      <c r="Q809" s="957"/>
      <c r="R809" s="957"/>
    </row>
    <row r="810" ht="13.5" customHeight="1">
      <c r="A810" s="931"/>
      <c r="B810" s="931"/>
      <c r="C810" s="932"/>
      <c r="D810" s="932"/>
      <c r="E810" s="931"/>
      <c r="F810" s="931"/>
      <c r="G810" s="932"/>
      <c r="H810" s="932"/>
      <c r="I810" s="932"/>
      <c r="J810" s="932"/>
      <c r="K810" s="957"/>
      <c r="L810" s="1492"/>
      <c r="M810" s="957"/>
      <c r="N810" s="932"/>
      <c r="O810" s="931"/>
      <c r="P810" s="931"/>
      <c r="Q810" s="957"/>
      <c r="R810" s="957"/>
    </row>
    <row r="811" ht="13.5" customHeight="1">
      <c r="A811" s="931"/>
      <c r="B811" s="931"/>
      <c r="C811" s="932"/>
      <c r="D811" s="932"/>
      <c r="E811" s="931"/>
      <c r="F811" s="931"/>
      <c r="G811" s="932"/>
      <c r="H811" s="932"/>
      <c r="I811" s="932"/>
      <c r="J811" s="932"/>
      <c r="K811" s="957"/>
      <c r="L811" s="1492"/>
      <c r="M811" s="957"/>
      <c r="N811" s="932"/>
      <c r="O811" s="931"/>
      <c r="P811" s="931"/>
      <c r="Q811" s="957"/>
      <c r="R811" s="957"/>
    </row>
    <row r="812" ht="13.5" customHeight="1">
      <c r="A812" s="931"/>
      <c r="B812" s="931"/>
      <c r="C812" s="932"/>
      <c r="D812" s="932"/>
      <c r="E812" s="931"/>
      <c r="F812" s="931"/>
      <c r="G812" s="932"/>
      <c r="H812" s="932"/>
      <c r="I812" s="932"/>
      <c r="J812" s="932"/>
      <c r="K812" s="957"/>
      <c r="L812" s="1492"/>
      <c r="M812" s="957"/>
      <c r="N812" s="932"/>
      <c r="O812" s="931"/>
      <c r="P812" s="931"/>
      <c r="Q812" s="957"/>
      <c r="R812" s="957"/>
    </row>
    <row r="813" ht="13.5" customHeight="1">
      <c r="A813" s="931"/>
      <c r="B813" s="931"/>
      <c r="C813" s="932"/>
      <c r="D813" s="932"/>
      <c r="E813" s="931"/>
      <c r="F813" s="931"/>
      <c r="G813" s="932"/>
      <c r="H813" s="932"/>
      <c r="I813" s="932"/>
      <c r="J813" s="932"/>
      <c r="K813" s="957"/>
      <c r="L813" s="1492"/>
      <c r="M813" s="957"/>
      <c r="N813" s="932"/>
      <c r="O813" s="931"/>
      <c r="P813" s="931"/>
      <c r="Q813" s="957"/>
      <c r="R813" s="957"/>
    </row>
    <row r="814" ht="13.5" customHeight="1">
      <c r="A814" s="931"/>
      <c r="B814" s="931"/>
      <c r="C814" s="932"/>
      <c r="D814" s="932"/>
      <c r="E814" s="931"/>
      <c r="F814" s="931"/>
      <c r="G814" s="932"/>
      <c r="H814" s="932"/>
      <c r="I814" s="932"/>
      <c r="J814" s="932"/>
      <c r="K814" s="957"/>
      <c r="L814" s="1492"/>
      <c r="M814" s="957"/>
      <c r="N814" s="932"/>
      <c r="O814" s="931"/>
      <c r="P814" s="931"/>
      <c r="Q814" s="957"/>
      <c r="R814" s="957"/>
    </row>
    <row r="815" ht="13.5" customHeight="1">
      <c r="A815" s="931"/>
      <c r="B815" s="931"/>
      <c r="C815" s="932"/>
      <c r="D815" s="932"/>
      <c r="E815" s="931"/>
      <c r="F815" s="931"/>
      <c r="G815" s="932"/>
      <c r="H815" s="932"/>
      <c r="I815" s="932"/>
      <c r="J815" s="932"/>
      <c r="K815" s="957"/>
      <c r="L815" s="1492"/>
      <c r="M815" s="957"/>
      <c r="N815" s="932"/>
      <c r="O815" s="931"/>
      <c r="P815" s="931"/>
      <c r="Q815" s="957"/>
      <c r="R815" s="957"/>
    </row>
    <row r="816" ht="13.5" customHeight="1">
      <c r="A816" s="931"/>
      <c r="B816" s="931"/>
      <c r="C816" s="932"/>
      <c r="D816" s="932"/>
      <c r="E816" s="931"/>
      <c r="F816" s="931"/>
      <c r="G816" s="932"/>
      <c r="H816" s="932"/>
      <c r="I816" s="932"/>
      <c r="J816" s="932"/>
      <c r="K816" s="957"/>
      <c r="L816" s="1492"/>
      <c r="M816" s="957"/>
      <c r="N816" s="932"/>
      <c r="O816" s="931"/>
      <c r="P816" s="931"/>
      <c r="Q816" s="957"/>
      <c r="R816" s="957"/>
    </row>
    <row r="817" ht="13.5" customHeight="1">
      <c r="A817" s="931"/>
      <c r="B817" s="931"/>
      <c r="C817" s="932"/>
      <c r="D817" s="932"/>
      <c r="E817" s="931"/>
      <c r="F817" s="931"/>
      <c r="G817" s="932"/>
      <c r="H817" s="932"/>
      <c r="I817" s="932"/>
      <c r="J817" s="932"/>
      <c r="K817" s="957"/>
      <c r="L817" s="1492"/>
      <c r="M817" s="957"/>
      <c r="N817" s="932"/>
      <c r="O817" s="931"/>
      <c r="P817" s="931"/>
      <c r="Q817" s="957"/>
      <c r="R817" s="957"/>
    </row>
    <row r="818" ht="13.5" customHeight="1">
      <c r="A818" s="931"/>
      <c r="B818" s="931"/>
      <c r="C818" s="932"/>
      <c r="D818" s="932"/>
      <c r="E818" s="931"/>
      <c r="F818" s="931"/>
      <c r="G818" s="932"/>
      <c r="H818" s="932"/>
      <c r="I818" s="932"/>
      <c r="J818" s="932"/>
      <c r="K818" s="957"/>
      <c r="L818" s="1492"/>
      <c r="M818" s="957"/>
      <c r="N818" s="932"/>
      <c r="O818" s="931"/>
      <c r="P818" s="931"/>
      <c r="Q818" s="957"/>
      <c r="R818" s="957"/>
    </row>
    <row r="819" ht="13.5" customHeight="1">
      <c r="A819" s="931"/>
      <c r="B819" s="931"/>
      <c r="C819" s="932"/>
      <c r="D819" s="932"/>
      <c r="E819" s="931"/>
      <c r="F819" s="931"/>
      <c r="G819" s="932"/>
      <c r="H819" s="932"/>
      <c r="I819" s="932"/>
      <c r="J819" s="932"/>
      <c r="K819" s="957"/>
      <c r="L819" s="1492"/>
      <c r="M819" s="957"/>
      <c r="N819" s="932"/>
      <c r="O819" s="931"/>
      <c r="P819" s="931"/>
      <c r="Q819" s="957"/>
      <c r="R819" s="957"/>
    </row>
    <row r="820" ht="13.5" customHeight="1">
      <c r="A820" s="931"/>
      <c r="B820" s="931"/>
      <c r="C820" s="932"/>
      <c r="D820" s="932"/>
      <c r="E820" s="931"/>
      <c r="F820" s="931"/>
      <c r="G820" s="932"/>
      <c r="H820" s="932"/>
      <c r="I820" s="932"/>
      <c r="J820" s="932"/>
      <c r="K820" s="957"/>
      <c r="L820" s="1492"/>
      <c r="M820" s="957"/>
      <c r="N820" s="932"/>
      <c r="O820" s="931"/>
      <c r="P820" s="931"/>
      <c r="Q820" s="957"/>
      <c r="R820" s="957"/>
    </row>
    <row r="821" ht="13.5" customHeight="1">
      <c r="A821" s="931"/>
      <c r="B821" s="931"/>
      <c r="C821" s="932"/>
      <c r="D821" s="932"/>
      <c r="E821" s="931"/>
      <c r="F821" s="931"/>
      <c r="G821" s="932"/>
      <c r="H821" s="932"/>
      <c r="I821" s="932"/>
      <c r="J821" s="932"/>
      <c r="K821" s="957"/>
      <c r="L821" s="1492"/>
      <c r="M821" s="957"/>
      <c r="N821" s="932"/>
      <c r="O821" s="931"/>
      <c r="P821" s="931"/>
      <c r="Q821" s="957"/>
      <c r="R821" s="957"/>
    </row>
    <row r="822" ht="13.5" customHeight="1">
      <c r="A822" s="931"/>
      <c r="B822" s="931"/>
      <c r="C822" s="932"/>
      <c r="D822" s="932"/>
      <c r="E822" s="931"/>
      <c r="F822" s="931"/>
      <c r="G822" s="932"/>
      <c r="H822" s="932"/>
      <c r="I822" s="932"/>
      <c r="J822" s="932"/>
      <c r="K822" s="957"/>
      <c r="L822" s="1492"/>
      <c r="M822" s="957"/>
      <c r="N822" s="932"/>
      <c r="O822" s="931"/>
      <c r="P822" s="931"/>
      <c r="Q822" s="957"/>
      <c r="R822" s="957"/>
    </row>
    <row r="823" ht="13.5" customHeight="1">
      <c r="A823" s="931"/>
      <c r="B823" s="931"/>
      <c r="C823" s="932"/>
      <c r="D823" s="932"/>
      <c r="E823" s="931"/>
      <c r="F823" s="931"/>
      <c r="G823" s="932"/>
      <c r="H823" s="932"/>
      <c r="I823" s="932"/>
      <c r="J823" s="932"/>
      <c r="K823" s="957"/>
      <c r="L823" s="1492"/>
      <c r="M823" s="957"/>
      <c r="N823" s="932"/>
      <c r="O823" s="931"/>
      <c r="P823" s="931"/>
      <c r="Q823" s="957"/>
      <c r="R823" s="957"/>
    </row>
    <row r="824" ht="13.5" customHeight="1">
      <c r="A824" s="931"/>
      <c r="B824" s="931"/>
      <c r="C824" s="932"/>
      <c r="D824" s="932"/>
      <c r="E824" s="931"/>
      <c r="F824" s="931"/>
      <c r="G824" s="932"/>
      <c r="H824" s="932"/>
      <c r="I824" s="932"/>
      <c r="J824" s="932"/>
      <c r="K824" s="957"/>
      <c r="L824" s="1492"/>
      <c r="M824" s="957"/>
      <c r="N824" s="932"/>
      <c r="O824" s="931"/>
      <c r="P824" s="931"/>
      <c r="Q824" s="957"/>
      <c r="R824" s="957"/>
    </row>
    <row r="825" ht="13.5" customHeight="1">
      <c r="A825" s="931"/>
      <c r="B825" s="931"/>
      <c r="C825" s="932"/>
      <c r="D825" s="932"/>
      <c r="E825" s="931"/>
      <c r="F825" s="931"/>
      <c r="G825" s="932"/>
      <c r="H825" s="932"/>
      <c r="I825" s="932"/>
      <c r="J825" s="932"/>
      <c r="K825" s="957"/>
      <c r="L825" s="1492"/>
      <c r="M825" s="957"/>
      <c r="N825" s="932"/>
      <c r="O825" s="931"/>
      <c r="P825" s="931"/>
      <c r="Q825" s="957"/>
      <c r="R825" s="957"/>
    </row>
    <row r="826" ht="13.5" customHeight="1">
      <c r="A826" s="931"/>
      <c r="B826" s="931"/>
      <c r="C826" s="932"/>
      <c r="D826" s="932"/>
      <c r="E826" s="931"/>
      <c r="F826" s="931"/>
      <c r="G826" s="932"/>
      <c r="H826" s="932"/>
      <c r="I826" s="932"/>
      <c r="J826" s="932"/>
      <c r="K826" s="957"/>
      <c r="L826" s="1492"/>
      <c r="M826" s="957"/>
      <c r="N826" s="932"/>
      <c r="O826" s="931"/>
      <c r="P826" s="931"/>
      <c r="Q826" s="957"/>
      <c r="R826" s="957"/>
    </row>
    <row r="827" ht="13.5" customHeight="1">
      <c r="A827" s="931"/>
      <c r="B827" s="931"/>
      <c r="C827" s="932"/>
      <c r="D827" s="932"/>
      <c r="E827" s="931"/>
      <c r="F827" s="931"/>
      <c r="G827" s="932"/>
      <c r="H827" s="932"/>
      <c r="I827" s="932"/>
      <c r="J827" s="932"/>
      <c r="K827" s="957"/>
      <c r="L827" s="1492"/>
      <c r="M827" s="957"/>
      <c r="N827" s="932"/>
      <c r="O827" s="931"/>
      <c r="P827" s="931"/>
      <c r="Q827" s="957"/>
      <c r="R827" s="957"/>
    </row>
    <row r="828" ht="13.5" customHeight="1">
      <c r="A828" s="931"/>
      <c r="B828" s="931"/>
      <c r="C828" s="932"/>
      <c r="D828" s="932"/>
      <c r="E828" s="931"/>
      <c r="F828" s="931"/>
      <c r="G828" s="932"/>
      <c r="H828" s="932"/>
      <c r="I828" s="932"/>
      <c r="J828" s="932"/>
      <c r="K828" s="957"/>
      <c r="L828" s="1492"/>
      <c r="M828" s="957"/>
      <c r="N828" s="932"/>
      <c r="O828" s="931"/>
      <c r="P828" s="931"/>
      <c r="Q828" s="957"/>
      <c r="R828" s="957"/>
    </row>
    <row r="829" ht="13.5" customHeight="1">
      <c r="A829" s="931"/>
      <c r="B829" s="931"/>
      <c r="C829" s="932"/>
      <c r="D829" s="932"/>
      <c r="E829" s="931"/>
      <c r="F829" s="931"/>
      <c r="G829" s="932"/>
      <c r="H829" s="932"/>
      <c r="I829" s="932"/>
      <c r="J829" s="932"/>
      <c r="K829" s="957"/>
      <c r="L829" s="1492"/>
      <c r="M829" s="957"/>
      <c r="N829" s="932"/>
      <c r="O829" s="931"/>
      <c r="P829" s="931"/>
      <c r="Q829" s="957"/>
      <c r="R829" s="957"/>
    </row>
    <row r="830" ht="13.5" customHeight="1">
      <c r="A830" s="931"/>
      <c r="B830" s="931"/>
      <c r="C830" s="932"/>
      <c r="D830" s="932"/>
      <c r="E830" s="931"/>
      <c r="F830" s="931"/>
      <c r="G830" s="932"/>
      <c r="H830" s="932"/>
      <c r="I830" s="932"/>
      <c r="J830" s="932"/>
      <c r="K830" s="957"/>
      <c r="L830" s="1492"/>
      <c r="M830" s="957"/>
      <c r="N830" s="932"/>
      <c r="O830" s="931"/>
      <c r="P830" s="931"/>
      <c r="Q830" s="957"/>
      <c r="R830" s="957"/>
    </row>
    <row r="831" ht="13.5" customHeight="1">
      <c r="A831" s="931"/>
      <c r="B831" s="931"/>
      <c r="C831" s="932"/>
      <c r="D831" s="932"/>
      <c r="E831" s="931"/>
      <c r="F831" s="931"/>
      <c r="G831" s="932"/>
      <c r="H831" s="932"/>
      <c r="I831" s="932"/>
      <c r="J831" s="932"/>
      <c r="K831" s="957"/>
      <c r="L831" s="1492"/>
      <c r="M831" s="957"/>
      <c r="N831" s="932"/>
      <c r="O831" s="931"/>
      <c r="P831" s="931"/>
      <c r="Q831" s="957"/>
      <c r="R831" s="957"/>
    </row>
    <row r="832" ht="13.5" customHeight="1">
      <c r="A832" s="931"/>
      <c r="B832" s="931"/>
      <c r="C832" s="932"/>
      <c r="D832" s="932"/>
      <c r="E832" s="931"/>
      <c r="F832" s="931"/>
      <c r="G832" s="932"/>
      <c r="H832" s="932"/>
      <c r="I832" s="932"/>
      <c r="J832" s="932"/>
      <c r="K832" s="957"/>
      <c r="L832" s="1492"/>
      <c r="M832" s="957"/>
      <c r="N832" s="932"/>
      <c r="O832" s="931"/>
      <c r="P832" s="931"/>
      <c r="Q832" s="957"/>
      <c r="R832" s="957"/>
    </row>
    <row r="833" ht="13.5" customHeight="1">
      <c r="A833" s="931"/>
      <c r="B833" s="931"/>
      <c r="C833" s="932"/>
      <c r="D833" s="932"/>
      <c r="E833" s="931"/>
      <c r="F833" s="931"/>
      <c r="G833" s="932"/>
      <c r="H833" s="932"/>
      <c r="I833" s="932"/>
      <c r="J833" s="932"/>
      <c r="K833" s="957"/>
      <c r="L833" s="1492"/>
      <c r="M833" s="957"/>
      <c r="N833" s="932"/>
      <c r="O833" s="931"/>
      <c r="P833" s="931"/>
      <c r="Q833" s="957"/>
      <c r="R833" s="957"/>
    </row>
    <row r="834" ht="13.5" customHeight="1">
      <c r="A834" s="931"/>
      <c r="B834" s="931"/>
      <c r="C834" s="932"/>
      <c r="D834" s="932"/>
      <c r="E834" s="931"/>
      <c r="F834" s="931"/>
      <c r="G834" s="932"/>
      <c r="H834" s="932"/>
      <c r="I834" s="932"/>
      <c r="J834" s="932"/>
      <c r="K834" s="957"/>
      <c r="L834" s="1492"/>
      <c r="M834" s="957"/>
      <c r="N834" s="932"/>
      <c r="O834" s="931"/>
      <c r="P834" s="931"/>
      <c r="Q834" s="957"/>
      <c r="R834" s="957"/>
    </row>
    <row r="835" ht="13.5" customHeight="1">
      <c r="A835" s="931"/>
      <c r="B835" s="931"/>
      <c r="C835" s="932"/>
      <c r="D835" s="932"/>
      <c r="E835" s="931"/>
      <c r="F835" s="931"/>
      <c r="G835" s="932"/>
      <c r="H835" s="932"/>
      <c r="I835" s="932"/>
      <c r="J835" s="932"/>
      <c r="K835" s="957"/>
      <c r="L835" s="1492"/>
      <c r="M835" s="957"/>
      <c r="N835" s="932"/>
      <c r="O835" s="931"/>
      <c r="P835" s="931"/>
      <c r="Q835" s="957"/>
      <c r="R835" s="957"/>
    </row>
    <row r="836" ht="13.5" customHeight="1">
      <c r="A836" s="931"/>
      <c r="B836" s="931"/>
      <c r="C836" s="932"/>
      <c r="D836" s="932"/>
      <c r="E836" s="931"/>
      <c r="F836" s="931"/>
      <c r="G836" s="932"/>
      <c r="H836" s="932"/>
      <c r="I836" s="932"/>
      <c r="J836" s="932"/>
      <c r="K836" s="957"/>
      <c r="L836" s="1492"/>
      <c r="M836" s="957"/>
      <c r="N836" s="932"/>
      <c r="O836" s="931"/>
      <c r="P836" s="931"/>
      <c r="Q836" s="957"/>
      <c r="R836" s="957"/>
    </row>
    <row r="837" ht="13.5" customHeight="1">
      <c r="A837" s="931"/>
      <c r="B837" s="931"/>
      <c r="C837" s="932"/>
      <c r="D837" s="932"/>
      <c r="E837" s="931"/>
      <c r="F837" s="931"/>
      <c r="G837" s="932"/>
      <c r="H837" s="932"/>
      <c r="I837" s="932"/>
      <c r="J837" s="932"/>
      <c r="K837" s="957"/>
      <c r="L837" s="1492"/>
      <c r="M837" s="957"/>
      <c r="N837" s="932"/>
      <c r="O837" s="931"/>
      <c r="P837" s="931"/>
      <c r="Q837" s="957"/>
      <c r="R837" s="957"/>
    </row>
    <row r="838" ht="13.5" customHeight="1">
      <c r="A838" s="931"/>
      <c r="B838" s="931"/>
      <c r="C838" s="932"/>
      <c r="D838" s="932"/>
      <c r="E838" s="931"/>
      <c r="F838" s="931"/>
      <c r="G838" s="932"/>
      <c r="H838" s="932"/>
      <c r="I838" s="932"/>
      <c r="J838" s="932"/>
      <c r="K838" s="957"/>
      <c r="L838" s="1492"/>
      <c r="M838" s="957"/>
      <c r="N838" s="932"/>
      <c r="O838" s="931"/>
      <c r="P838" s="931"/>
      <c r="Q838" s="957"/>
      <c r="R838" s="957"/>
    </row>
    <row r="839" ht="13.5" customHeight="1">
      <c r="A839" s="931"/>
      <c r="B839" s="931"/>
      <c r="C839" s="932"/>
      <c r="D839" s="932"/>
      <c r="E839" s="931"/>
      <c r="F839" s="931"/>
      <c r="G839" s="932"/>
      <c r="H839" s="932"/>
      <c r="I839" s="932"/>
      <c r="J839" s="932"/>
      <c r="K839" s="957"/>
      <c r="L839" s="1492"/>
      <c r="M839" s="957"/>
      <c r="N839" s="932"/>
      <c r="O839" s="931"/>
      <c r="P839" s="931"/>
      <c r="Q839" s="957"/>
      <c r="R839" s="957"/>
    </row>
    <row r="840" ht="13.5" customHeight="1">
      <c r="A840" s="931"/>
      <c r="B840" s="931"/>
      <c r="C840" s="932"/>
      <c r="D840" s="932"/>
      <c r="E840" s="931"/>
      <c r="F840" s="931"/>
      <c r="G840" s="932"/>
      <c r="H840" s="932"/>
      <c r="I840" s="932"/>
      <c r="J840" s="932"/>
      <c r="K840" s="957"/>
      <c r="L840" s="1492"/>
      <c r="M840" s="957"/>
      <c r="N840" s="932"/>
      <c r="O840" s="931"/>
      <c r="P840" s="931"/>
      <c r="Q840" s="957"/>
      <c r="R840" s="957"/>
    </row>
    <row r="841" ht="13.5" customHeight="1">
      <c r="A841" s="931"/>
      <c r="B841" s="931"/>
      <c r="C841" s="932"/>
      <c r="D841" s="932"/>
      <c r="E841" s="931"/>
      <c r="F841" s="931"/>
      <c r="G841" s="932"/>
      <c r="H841" s="932"/>
      <c r="I841" s="932"/>
      <c r="J841" s="932"/>
      <c r="K841" s="957"/>
      <c r="L841" s="1492"/>
      <c r="M841" s="957"/>
      <c r="N841" s="932"/>
      <c r="O841" s="931"/>
      <c r="P841" s="931"/>
      <c r="Q841" s="957"/>
      <c r="R841" s="957"/>
    </row>
    <row r="842" ht="13.5" customHeight="1">
      <c r="A842" s="931"/>
      <c r="B842" s="931"/>
      <c r="C842" s="932"/>
      <c r="D842" s="932"/>
      <c r="E842" s="931"/>
      <c r="F842" s="931"/>
      <c r="G842" s="932"/>
      <c r="H842" s="932"/>
      <c r="I842" s="932"/>
      <c r="J842" s="932"/>
      <c r="K842" s="957"/>
      <c r="L842" s="1492"/>
      <c r="M842" s="957"/>
      <c r="N842" s="932"/>
      <c r="O842" s="931"/>
      <c r="P842" s="931"/>
      <c r="Q842" s="957"/>
      <c r="R842" s="957"/>
    </row>
    <row r="843" ht="13.5" customHeight="1">
      <c r="A843" s="931"/>
      <c r="B843" s="931"/>
      <c r="C843" s="932"/>
      <c r="D843" s="932"/>
      <c r="E843" s="931"/>
      <c r="F843" s="931"/>
      <c r="G843" s="932"/>
      <c r="H843" s="932"/>
      <c r="I843" s="932"/>
      <c r="J843" s="932"/>
      <c r="K843" s="957"/>
      <c r="L843" s="1492"/>
      <c r="M843" s="957"/>
      <c r="N843" s="932"/>
      <c r="O843" s="931"/>
      <c r="P843" s="931"/>
      <c r="Q843" s="957"/>
      <c r="R843" s="957"/>
    </row>
    <row r="844" ht="13.5" customHeight="1">
      <c r="A844" s="931"/>
      <c r="B844" s="931"/>
      <c r="C844" s="932"/>
      <c r="D844" s="932"/>
      <c r="E844" s="931"/>
      <c r="F844" s="931"/>
      <c r="G844" s="932"/>
      <c r="H844" s="932"/>
      <c r="I844" s="932"/>
      <c r="J844" s="932"/>
      <c r="K844" s="957"/>
      <c r="L844" s="1492"/>
      <c r="M844" s="957"/>
      <c r="N844" s="932"/>
      <c r="O844" s="931"/>
      <c r="P844" s="931"/>
      <c r="Q844" s="957"/>
      <c r="R844" s="957"/>
    </row>
    <row r="845" ht="13.5" customHeight="1">
      <c r="A845" s="931"/>
      <c r="B845" s="931"/>
      <c r="C845" s="932"/>
      <c r="D845" s="932"/>
      <c r="E845" s="931"/>
      <c r="F845" s="931"/>
      <c r="G845" s="932"/>
      <c r="H845" s="932"/>
      <c r="I845" s="932"/>
      <c r="J845" s="932"/>
      <c r="K845" s="957"/>
      <c r="L845" s="1492"/>
      <c r="M845" s="957"/>
      <c r="N845" s="932"/>
      <c r="O845" s="931"/>
      <c r="P845" s="931"/>
      <c r="Q845" s="957"/>
      <c r="R845" s="957"/>
    </row>
    <row r="846" ht="13.5" customHeight="1">
      <c r="A846" s="931"/>
      <c r="B846" s="931"/>
      <c r="C846" s="932"/>
      <c r="D846" s="932"/>
      <c r="E846" s="931"/>
      <c r="F846" s="931"/>
      <c r="G846" s="932"/>
      <c r="H846" s="932"/>
      <c r="I846" s="932"/>
      <c r="J846" s="932"/>
      <c r="K846" s="957"/>
      <c r="L846" s="1492"/>
      <c r="M846" s="957"/>
      <c r="N846" s="932"/>
      <c r="O846" s="931"/>
      <c r="P846" s="931"/>
      <c r="Q846" s="957"/>
      <c r="R846" s="957"/>
    </row>
    <row r="847" ht="13.5" customHeight="1">
      <c r="A847" s="931"/>
      <c r="B847" s="931"/>
      <c r="C847" s="932"/>
      <c r="D847" s="932"/>
      <c r="E847" s="931"/>
      <c r="F847" s="931"/>
      <c r="G847" s="932"/>
      <c r="H847" s="932"/>
      <c r="I847" s="932"/>
      <c r="J847" s="932"/>
      <c r="K847" s="957"/>
      <c r="L847" s="1492"/>
      <c r="M847" s="957"/>
      <c r="N847" s="932"/>
      <c r="O847" s="931"/>
      <c r="P847" s="931"/>
      <c r="Q847" s="957"/>
      <c r="R847" s="957"/>
    </row>
    <row r="848" ht="13.5" customHeight="1">
      <c r="A848" s="931"/>
      <c r="B848" s="931"/>
      <c r="C848" s="932"/>
      <c r="D848" s="932"/>
      <c r="E848" s="931"/>
      <c r="F848" s="931"/>
      <c r="G848" s="932"/>
      <c r="H848" s="932"/>
      <c r="I848" s="932"/>
      <c r="J848" s="932"/>
      <c r="K848" s="957"/>
      <c r="L848" s="1492"/>
      <c r="M848" s="957"/>
      <c r="N848" s="932"/>
      <c r="O848" s="931"/>
      <c r="P848" s="931"/>
      <c r="Q848" s="957"/>
      <c r="R848" s="957"/>
    </row>
    <row r="849" ht="13.5" customHeight="1">
      <c r="A849" s="931"/>
      <c r="B849" s="931"/>
      <c r="C849" s="932"/>
      <c r="D849" s="932"/>
      <c r="E849" s="931"/>
      <c r="F849" s="931"/>
      <c r="G849" s="932"/>
      <c r="H849" s="932"/>
      <c r="I849" s="932"/>
      <c r="J849" s="932"/>
      <c r="K849" s="957"/>
      <c r="L849" s="1492"/>
      <c r="M849" s="957"/>
      <c r="N849" s="932"/>
      <c r="O849" s="931"/>
      <c r="P849" s="931"/>
      <c r="Q849" s="957"/>
      <c r="R849" s="957"/>
    </row>
    <row r="850" ht="13.5" customHeight="1">
      <c r="A850" s="931"/>
      <c r="B850" s="931"/>
      <c r="C850" s="932"/>
      <c r="D850" s="932"/>
      <c r="E850" s="931"/>
      <c r="F850" s="931"/>
      <c r="G850" s="932"/>
      <c r="H850" s="932"/>
      <c r="I850" s="932"/>
      <c r="J850" s="932"/>
      <c r="K850" s="957"/>
      <c r="L850" s="1492"/>
      <c r="M850" s="957"/>
      <c r="N850" s="932"/>
      <c r="O850" s="931"/>
      <c r="P850" s="931"/>
      <c r="Q850" s="957"/>
      <c r="R850" s="957"/>
    </row>
    <row r="851" ht="13.5" customHeight="1">
      <c r="A851" s="931"/>
      <c r="B851" s="931"/>
      <c r="C851" s="932"/>
      <c r="D851" s="932"/>
      <c r="E851" s="931"/>
      <c r="F851" s="931"/>
      <c r="G851" s="932"/>
      <c r="H851" s="932"/>
      <c r="I851" s="932"/>
      <c r="J851" s="932"/>
      <c r="K851" s="957"/>
      <c r="L851" s="1492"/>
      <c r="M851" s="957"/>
      <c r="N851" s="932"/>
      <c r="O851" s="931"/>
      <c r="P851" s="931"/>
      <c r="Q851" s="957"/>
      <c r="R851" s="957"/>
    </row>
    <row r="852" ht="13.5" customHeight="1">
      <c r="A852" s="931"/>
      <c r="B852" s="931"/>
      <c r="C852" s="932"/>
      <c r="D852" s="932"/>
      <c r="E852" s="931"/>
      <c r="F852" s="931"/>
      <c r="G852" s="932"/>
      <c r="H852" s="932"/>
      <c r="I852" s="932"/>
      <c r="J852" s="932"/>
      <c r="K852" s="957"/>
      <c r="L852" s="1492"/>
      <c r="M852" s="957"/>
      <c r="N852" s="932"/>
      <c r="O852" s="931"/>
      <c r="P852" s="931"/>
      <c r="Q852" s="957"/>
      <c r="R852" s="957"/>
    </row>
    <row r="853" ht="13.5" customHeight="1">
      <c r="A853" s="931"/>
      <c r="B853" s="931"/>
      <c r="C853" s="932"/>
      <c r="D853" s="932"/>
      <c r="E853" s="931"/>
      <c r="F853" s="931"/>
      <c r="G853" s="932"/>
      <c r="H853" s="932"/>
      <c r="I853" s="932"/>
      <c r="J853" s="932"/>
      <c r="K853" s="957"/>
      <c r="L853" s="1492"/>
      <c r="M853" s="957"/>
      <c r="N853" s="932"/>
      <c r="O853" s="931"/>
      <c r="P853" s="931"/>
      <c r="Q853" s="957"/>
      <c r="R853" s="957"/>
    </row>
    <row r="854" ht="13.5" customHeight="1">
      <c r="A854" s="931"/>
      <c r="B854" s="931"/>
      <c r="C854" s="932"/>
      <c r="D854" s="932"/>
      <c r="E854" s="931"/>
      <c r="F854" s="931"/>
      <c r="G854" s="932"/>
      <c r="H854" s="932"/>
      <c r="I854" s="932"/>
      <c r="J854" s="932"/>
      <c r="K854" s="957"/>
      <c r="L854" s="1492"/>
      <c r="M854" s="957"/>
      <c r="N854" s="932"/>
      <c r="O854" s="931"/>
      <c r="P854" s="931"/>
      <c r="Q854" s="957"/>
      <c r="R854" s="957"/>
    </row>
    <row r="855" ht="13.5" customHeight="1">
      <c r="A855" s="931"/>
      <c r="B855" s="931"/>
      <c r="C855" s="932"/>
      <c r="D855" s="932"/>
      <c r="E855" s="931"/>
      <c r="F855" s="931"/>
      <c r="G855" s="932"/>
      <c r="H855" s="932"/>
      <c r="I855" s="932"/>
      <c r="J855" s="932"/>
      <c r="K855" s="957"/>
      <c r="L855" s="1492"/>
      <c r="M855" s="957"/>
      <c r="N855" s="932"/>
      <c r="O855" s="931"/>
      <c r="P855" s="931"/>
      <c r="Q855" s="957"/>
      <c r="R855" s="957"/>
    </row>
    <row r="856" ht="13.5" customHeight="1">
      <c r="A856" s="931"/>
      <c r="B856" s="931"/>
      <c r="C856" s="932"/>
      <c r="D856" s="932"/>
      <c r="E856" s="931"/>
      <c r="F856" s="931"/>
      <c r="G856" s="932"/>
      <c r="H856" s="932"/>
      <c r="I856" s="932"/>
      <c r="J856" s="932"/>
      <c r="K856" s="957"/>
      <c r="L856" s="1492"/>
      <c r="M856" s="957"/>
      <c r="N856" s="932"/>
      <c r="O856" s="931"/>
      <c r="P856" s="931"/>
      <c r="Q856" s="957"/>
      <c r="R856" s="957"/>
    </row>
    <row r="857" ht="13.5" customHeight="1">
      <c r="A857" s="931"/>
      <c r="B857" s="931"/>
      <c r="C857" s="932"/>
      <c r="D857" s="932"/>
      <c r="E857" s="931"/>
      <c r="F857" s="931"/>
      <c r="G857" s="932"/>
      <c r="H857" s="932"/>
      <c r="I857" s="932"/>
      <c r="J857" s="932"/>
      <c r="K857" s="957"/>
      <c r="L857" s="1492"/>
      <c r="M857" s="957"/>
      <c r="N857" s="932"/>
      <c r="O857" s="931"/>
      <c r="P857" s="931"/>
      <c r="Q857" s="957"/>
      <c r="R857" s="957"/>
    </row>
    <row r="858" ht="13.5" customHeight="1">
      <c r="A858" s="931"/>
      <c r="B858" s="931"/>
      <c r="C858" s="932"/>
      <c r="D858" s="932"/>
      <c r="E858" s="931"/>
      <c r="F858" s="931"/>
      <c r="G858" s="932"/>
      <c r="H858" s="932"/>
      <c r="I858" s="932"/>
      <c r="J858" s="932"/>
      <c r="K858" s="957"/>
      <c r="L858" s="1492"/>
      <c r="M858" s="957"/>
      <c r="N858" s="932"/>
      <c r="O858" s="931"/>
      <c r="P858" s="931"/>
      <c r="Q858" s="957"/>
      <c r="R858" s="957"/>
    </row>
    <row r="859" ht="13.5" customHeight="1">
      <c r="A859" s="931"/>
      <c r="B859" s="931"/>
      <c r="C859" s="932"/>
      <c r="D859" s="932"/>
      <c r="E859" s="931"/>
      <c r="F859" s="931"/>
      <c r="G859" s="932"/>
      <c r="H859" s="932"/>
      <c r="I859" s="932"/>
      <c r="J859" s="932"/>
      <c r="K859" s="957"/>
      <c r="L859" s="1492"/>
      <c r="M859" s="957"/>
      <c r="N859" s="932"/>
      <c r="O859" s="931"/>
      <c r="P859" s="931"/>
      <c r="Q859" s="957"/>
      <c r="R859" s="957"/>
    </row>
    <row r="860" ht="13.5" customHeight="1">
      <c r="A860" s="931"/>
      <c r="B860" s="931"/>
      <c r="C860" s="932"/>
      <c r="D860" s="932"/>
      <c r="E860" s="931"/>
      <c r="F860" s="931"/>
      <c r="G860" s="932"/>
      <c r="H860" s="932"/>
      <c r="I860" s="932"/>
      <c r="J860" s="932"/>
      <c r="K860" s="957"/>
      <c r="L860" s="1492"/>
      <c r="M860" s="957"/>
      <c r="N860" s="932"/>
      <c r="O860" s="931"/>
      <c r="P860" s="931"/>
      <c r="Q860" s="957"/>
      <c r="R860" s="957"/>
    </row>
    <row r="861" ht="13.5" customHeight="1">
      <c r="A861" s="931"/>
      <c r="B861" s="931"/>
      <c r="C861" s="932"/>
      <c r="D861" s="932"/>
      <c r="E861" s="931"/>
      <c r="F861" s="931"/>
      <c r="G861" s="932"/>
      <c r="H861" s="932"/>
      <c r="I861" s="932"/>
      <c r="J861" s="932"/>
      <c r="K861" s="957"/>
      <c r="L861" s="1492"/>
      <c r="M861" s="957"/>
      <c r="N861" s="932"/>
      <c r="O861" s="931"/>
      <c r="P861" s="931"/>
      <c r="Q861" s="957"/>
      <c r="R861" s="957"/>
    </row>
    <row r="862" ht="13.5" customHeight="1">
      <c r="A862" s="931"/>
      <c r="B862" s="931"/>
      <c r="C862" s="932"/>
      <c r="D862" s="932"/>
      <c r="E862" s="931"/>
      <c r="F862" s="931"/>
      <c r="G862" s="932"/>
      <c r="H862" s="932"/>
      <c r="I862" s="932"/>
      <c r="J862" s="932"/>
      <c r="K862" s="957"/>
      <c r="L862" s="1492"/>
      <c r="M862" s="957"/>
      <c r="N862" s="932"/>
      <c r="O862" s="931"/>
      <c r="P862" s="931"/>
      <c r="Q862" s="957"/>
      <c r="R862" s="957"/>
    </row>
    <row r="863" ht="13.5" customHeight="1">
      <c r="A863" s="931"/>
      <c r="B863" s="931"/>
      <c r="C863" s="932"/>
      <c r="D863" s="932"/>
      <c r="E863" s="931"/>
      <c r="F863" s="931"/>
      <c r="G863" s="932"/>
      <c r="H863" s="932"/>
      <c r="I863" s="932"/>
      <c r="J863" s="932"/>
      <c r="K863" s="957"/>
      <c r="L863" s="1492"/>
      <c r="M863" s="957"/>
      <c r="N863" s="932"/>
      <c r="O863" s="931"/>
      <c r="P863" s="931"/>
      <c r="Q863" s="957"/>
      <c r="R863" s="957"/>
    </row>
    <row r="864" ht="13.5" customHeight="1">
      <c r="A864" s="931"/>
      <c r="B864" s="931"/>
      <c r="C864" s="932"/>
      <c r="D864" s="932"/>
      <c r="E864" s="931"/>
      <c r="F864" s="931"/>
      <c r="G864" s="932"/>
      <c r="H864" s="932"/>
      <c r="I864" s="932"/>
      <c r="J864" s="932"/>
      <c r="K864" s="957"/>
      <c r="L864" s="1492"/>
      <c r="M864" s="957"/>
      <c r="N864" s="932"/>
      <c r="O864" s="931"/>
      <c r="P864" s="931"/>
      <c r="Q864" s="957"/>
      <c r="R864" s="957"/>
    </row>
    <row r="865" ht="13.5" customHeight="1">
      <c r="A865" s="931"/>
      <c r="B865" s="931"/>
      <c r="C865" s="932"/>
      <c r="D865" s="932"/>
      <c r="E865" s="931"/>
      <c r="F865" s="931"/>
      <c r="G865" s="932"/>
      <c r="H865" s="932"/>
      <c r="I865" s="932"/>
      <c r="J865" s="932"/>
      <c r="K865" s="957"/>
      <c r="L865" s="1492"/>
      <c r="M865" s="957"/>
      <c r="N865" s="932"/>
      <c r="O865" s="931"/>
      <c r="P865" s="931"/>
      <c r="Q865" s="957"/>
      <c r="R865" s="957"/>
    </row>
    <row r="866" ht="13.5" customHeight="1">
      <c r="A866" s="931"/>
      <c r="B866" s="931"/>
      <c r="C866" s="932"/>
      <c r="D866" s="932"/>
      <c r="E866" s="931"/>
      <c r="F866" s="931"/>
      <c r="G866" s="932"/>
      <c r="H866" s="932"/>
      <c r="I866" s="932"/>
      <c r="J866" s="932"/>
      <c r="K866" s="957"/>
      <c r="L866" s="1492"/>
      <c r="M866" s="957"/>
      <c r="N866" s="932"/>
      <c r="O866" s="931"/>
      <c r="P866" s="931"/>
      <c r="Q866" s="957"/>
      <c r="R866" s="957"/>
    </row>
    <row r="867" ht="13.5" customHeight="1">
      <c r="A867" s="931"/>
      <c r="B867" s="931"/>
      <c r="C867" s="932"/>
      <c r="D867" s="932"/>
      <c r="E867" s="931"/>
      <c r="F867" s="931"/>
      <c r="G867" s="932"/>
      <c r="H867" s="932"/>
      <c r="I867" s="932"/>
      <c r="J867" s="932"/>
      <c r="K867" s="957"/>
      <c r="L867" s="1492"/>
      <c r="M867" s="957"/>
      <c r="N867" s="932"/>
      <c r="O867" s="931"/>
      <c r="P867" s="931"/>
      <c r="Q867" s="957"/>
      <c r="R867" s="957"/>
    </row>
    <row r="868" ht="13.5" customHeight="1">
      <c r="A868" s="931"/>
      <c r="B868" s="931"/>
      <c r="C868" s="932"/>
      <c r="D868" s="932"/>
      <c r="E868" s="931"/>
      <c r="F868" s="931"/>
      <c r="G868" s="932"/>
      <c r="H868" s="932"/>
      <c r="I868" s="932"/>
      <c r="J868" s="932"/>
      <c r="K868" s="957"/>
      <c r="L868" s="1492"/>
      <c r="M868" s="957"/>
      <c r="N868" s="932"/>
      <c r="O868" s="931"/>
      <c r="P868" s="931"/>
      <c r="Q868" s="957"/>
      <c r="R868" s="957"/>
    </row>
    <row r="869" ht="13.5" customHeight="1">
      <c r="A869" s="931"/>
      <c r="B869" s="931"/>
      <c r="C869" s="932"/>
      <c r="D869" s="932"/>
      <c r="E869" s="931"/>
      <c r="F869" s="931"/>
      <c r="G869" s="932"/>
      <c r="H869" s="932"/>
      <c r="I869" s="932"/>
      <c r="J869" s="932"/>
      <c r="K869" s="957"/>
      <c r="L869" s="1492"/>
      <c r="M869" s="957"/>
      <c r="N869" s="932"/>
      <c r="O869" s="931"/>
      <c r="P869" s="931"/>
      <c r="Q869" s="957"/>
      <c r="R869" s="957"/>
    </row>
    <row r="870" ht="13.5" customHeight="1">
      <c r="A870" s="931"/>
      <c r="B870" s="931"/>
      <c r="C870" s="932"/>
      <c r="D870" s="932"/>
      <c r="E870" s="931"/>
      <c r="F870" s="931"/>
      <c r="G870" s="932"/>
      <c r="H870" s="932"/>
      <c r="I870" s="932"/>
      <c r="J870" s="932"/>
      <c r="K870" s="957"/>
      <c r="L870" s="1492"/>
      <c r="M870" s="957"/>
      <c r="N870" s="932"/>
      <c r="O870" s="931"/>
      <c r="P870" s="931"/>
      <c r="Q870" s="957"/>
      <c r="R870" s="957"/>
    </row>
    <row r="871" ht="13.5" customHeight="1">
      <c r="A871" s="931"/>
      <c r="B871" s="931"/>
      <c r="C871" s="932"/>
      <c r="D871" s="932"/>
      <c r="E871" s="931"/>
      <c r="F871" s="931"/>
      <c r="G871" s="932"/>
      <c r="H871" s="932"/>
      <c r="I871" s="932"/>
      <c r="J871" s="932"/>
      <c r="K871" s="957"/>
      <c r="L871" s="1492"/>
      <c r="M871" s="957"/>
      <c r="N871" s="932"/>
      <c r="O871" s="931"/>
      <c r="P871" s="931"/>
      <c r="Q871" s="957"/>
      <c r="R871" s="957"/>
    </row>
    <row r="872" ht="13.5" customHeight="1">
      <c r="A872" s="931"/>
      <c r="B872" s="931"/>
      <c r="C872" s="932"/>
      <c r="D872" s="932"/>
      <c r="E872" s="931"/>
      <c r="F872" s="931"/>
      <c r="G872" s="932"/>
      <c r="H872" s="932"/>
      <c r="I872" s="932"/>
      <c r="J872" s="932"/>
      <c r="K872" s="957"/>
      <c r="L872" s="1492"/>
      <c r="M872" s="957"/>
      <c r="N872" s="932"/>
      <c r="O872" s="931"/>
      <c r="P872" s="931"/>
      <c r="Q872" s="957"/>
      <c r="R872" s="957"/>
    </row>
    <row r="873" ht="13.5" customHeight="1">
      <c r="A873" s="931"/>
      <c r="B873" s="931"/>
      <c r="C873" s="932"/>
      <c r="D873" s="932"/>
      <c r="E873" s="931"/>
      <c r="F873" s="931"/>
      <c r="G873" s="932"/>
      <c r="H873" s="932"/>
      <c r="I873" s="932"/>
      <c r="J873" s="932"/>
      <c r="K873" s="957"/>
      <c r="L873" s="1492"/>
      <c r="M873" s="957"/>
      <c r="N873" s="932"/>
      <c r="O873" s="931"/>
      <c r="P873" s="931"/>
      <c r="Q873" s="957"/>
      <c r="R873" s="957"/>
    </row>
    <row r="874" ht="13.5" customHeight="1">
      <c r="A874" s="931"/>
      <c r="B874" s="931"/>
      <c r="C874" s="932"/>
      <c r="D874" s="932"/>
      <c r="E874" s="931"/>
      <c r="F874" s="931"/>
      <c r="G874" s="932"/>
      <c r="H874" s="932"/>
      <c r="I874" s="932"/>
      <c r="J874" s="932"/>
      <c r="K874" s="957"/>
      <c r="L874" s="1492"/>
      <c r="M874" s="957"/>
      <c r="N874" s="932"/>
      <c r="O874" s="931"/>
      <c r="P874" s="931"/>
      <c r="Q874" s="957"/>
      <c r="R874" s="957"/>
    </row>
    <row r="875" ht="13.5" customHeight="1">
      <c r="A875" s="931"/>
      <c r="B875" s="931"/>
      <c r="C875" s="932"/>
      <c r="D875" s="932"/>
      <c r="E875" s="931"/>
      <c r="F875" s="931"/>
      <c r="G875" s="932"/>
      <c r="H875" s="932"/>
      <c r="I875" s="932"/>
      <c r="J875" s="932"/>
      <c r="K875" s="957"/>
      <c r="L875" s="1492"/>
      <c r="M875" s="957"/>
      <c r="N875" s="932"/>
      <c r="O875" s="931"/>
      <c r="P875" s="931"/>
      <c r="Q875" s="957"/>
      <c r="R875" s="957"/>
    </row>
    <row r="876" ht="13.5" customHeight="1">
      <c r="A876" s="931"/>
      <c r="B876" s="931"/>
      <c r="C876" s="932"/>
      <c r="D876" s="932"/>
      <c r="E876" s="931"/>
      <c r="F876" s="931"/>
      <c r="G876" s="932"/>
      <c r="H876" s="932"/>
      <c r="I876" s="932"/>
      <c r="J876" s="932"/>
      <c r="K876" s="957"/>
      <c r="L876" s="1492"/>
      <c r="M876" s="957"/>
      <c r="N876" s="932"/>
      <c r="O876" s="931"/>
      <c r="P876" s="931"/>
      <c r="Q876" s="957"/>
      <c r="R876" s="957"/>
    </row>
    <row r="877" ht="13.5" customHeight="1">
      <c r="A877" s="931"/>
      <c r="B877" s="931"/>
      <c r="C877" s="932"/>
      <c r="D877" s="932"/>
      <c r="E877" s="931"/>
      <c r="F877" s="931"/>
      <c r="G877" s="932"/>
      <c r="H877" s="932"/>
      <c r="I877" s="932"/>
      <c r="J877" s="932"/>
      <c r="K877" s="957"/>
      <c r="L877" s="1492"/>
      <c r="M877" s="957"/>
      <c r="N877" s="932"/>
      <c r="O877" s="931"/>
      <c r="P877" s="931"/>
      <c r="Q877" s="957"/>
      <c r="R877" s="957"/>
    </row>
    <row r="878" ht="13.5" customHeight="1">
      <c r="A878" s="931"/>
      <c r="B878" s="931"/>
      <c r="C878" s="932"/>
      <c r="D878" s="932"/>
      <c r="E878" s="931"/>
      <c r="F878" s="931"/>
      <c r="G878" s="932"/>
      <c r="H878" s="932"/>
      <c r="I878" s="932"/>
      <c r="J878" s="932"/>
      <c r="K878" s="957"/>
      <c r="L878" s="1492"/>
      <c r="M878" s="957"/>
      <c r="N878" s="932"/>
      <c r="O878" s="931"/>
      <c r="P878" s="931"/>
      <c r="Q878" s="957"/>
      <c r="R878" s="957"/>
    </row>
    <row r="879" ht="13.5" customHeight="1">
      <c r="A879" s="931"/>
      <c r="B879" s="931"/>
      <c r="C879" s="932"/>
      <c r="D879" s="932"/>
      <c r="E879" s="931"/>
      <c r="F879" s="931"/>
      <c r="G879" s="932"/>
      <c r="H879" s="932"/>
      <c r="I879" s="932"/>
      <c r="J879" s="932"/>
      <c r="K879" s="957"/>
      <c r="L879" s="1492"/>
      <c r="M879" s="957"/>
      <c r="N879" s="932"/>
      <c r="O879" s="931"/>
      <c r="P879" s="931"/>
      <c r="Q879" s="957"/>
      <c r="R879" s="957"/>
    </row>
    <row r="880" ht="13.5" customHeight="1">
      <c r="A880" s="931"/>
      <c r="B880" s="931"/>
      <c r="C880" s="932"/>
      <c r="D880" s="932"/>
      <c r="E880" s="931"/>
      <c r="F880" s="931"/>
      <c r="G880" s="932"/>
      <c r="H880" s="932"/>
      <c r="I880" s="932"/>
      <c r="J880" s="932"/>
      <c r="K880" s="957"/>
      <c r="L880" s="1492"/>
      <c r="M880" s="957"/>
      <c r="N880" s="932"/>
      <c r="O880" s="931"/>
      <c r="P880" s="931"/>
      <c r="Q880" s="957"/>
      <c r="R880" s="957"/>
    </row>
    <row r="881" ht="13.5" customHeight="1">
      <c r="A881" s="931"/>
      <c r="B881" s="931"/>
      <c r="C881" s="932"/>
      <c r="D881" s="932"/>
      <c r="E881" s="931"/>
      <c r="F881" s="931"/>
      <c r="G881" s="932"/>
      <c r="H881" s="932"/>
      <c r="I881" s="932"/>
      <c r="J881" s="932"/>
      <c r="K881" s="957"/>
      <c r="L881" s="1492"/>
      <c r="M881" s="957"/>
      <c r="N881" s="932"/>
      <c r="O881" s="931"/>
      <c r="P881" s="931"/>
      <c r="Q881" s="957"/>
      <c r="R881" s="957"/>
    </row>
    <row r="882" ht="13.5" customHeight="1">
      <c r="A882" s="931"/>
      <c r="B882" s="931"/>
      <c r="C882" s="932"/>
      <c r="D882" s="932"/>
      <c r="E882" s="931"/>
      <c r="F882" s="931"/>
      <c r="G882" s="932"/>
      <c r="H882" s="932"/>
      <c r="I882" s="932"/>
      <c r="J882" s="932"/>
      <c r="K882" s="957"/>
      <c r="L882" s="1492"/>
      <c r="M882" s="957"/>
      <c r="N882" s="932"/>
      <c r="O882" s="931"/>
      <c r="P882" s="931"/>
      <c r="Q882" s="957"/>
      <c r="R882" s="957"/>
    </row>
    <row r="883" ht="13.5" customHeight="1">
      <c r="A883" s="931"/>
      <c r="B883" s="931"/>
      <c r="C883" s="932"/>
      <c r="D883" s="932"/>
      <c r="E883" s="931"/>
      <c r="F883" s="931"/>
      <c r="G883" s="932"/>
      <c r="H883" s="932"/>
      <c r="I883" s="932"/>
      <c r="J883" s="932"/>
      <c r="K883" s="957"/>
      <c r="L883" s="1492"/>
      <c r="M883" s="957"/>
      <c r="N883" s="932"/>
      <c r="O883" s="931"/>
      <c r="P883" s="931"/>
      <c r="Q883" s="957"/>
      <c r="R883" s="957"/>
    </row>
    <row r="884" ht="13.5" customHeight="1">
      <c r="A884" s="931"/>
      <c r="B884" s="931"/>
      <c r="C884" s="932"/>
      <c r="D884" s="932"/>
      <c r="E884" s="931"/>
      <c r="F884" s="931"/>
      <c r="G884" s="932"/>
      <c r="H884" s="932"/>
      <c r="I884" s="932"/>
      <c r="J884" s="932"/>
      <c r="K884" s="957"/>
      <c r="L884" s="1492"/>
      <c r="M884" s="957"/>
      <c r="N884" s="932"/>
      <c r="O884" s="931"/>
      <c r="P884" s="931"/>
      <c r="Q884" s="957"/>
      <c r="R884" s="957"/>
    </row>
    <row r="885" ht="13.5" customHeight="1">
      <c r="A885" s="931"/>
      <c r="B885" s="931"/>
      <c r="C885" s="932"/>
      <c r="D885" s="932"/>
      <c r="E885" s="931"/>
      <c r="F885" s="931"/>
      <c r="G885" s="932"/>
      <c r="H885" s="932"/>
      <c r="I885" s="932"/>
      <c r="J885" s="932"/>
      <c r="K885" s="957"/>
      <c r="L885" s="1492"/>
      <c r="M885" s="957"/>
      <c r="N885" s="932"/>
      <c r="O885" s="931"/>
      <c r="P885" s="931"/>
      <c r="Q885" s="957"/>
      <c r="R885" s="957"/>
    </row>
    <row r="886" ht="13.5" customHeight="1">
      <c r="A886" s="931"/>
      <c r="B886" s="931"/>
      <c r="C886" s="932"/>
      <c r="D886" s="932"/>
      <c r="E886" s="931"/>
      <c r="F886" s="931"/>
      <c r="G886" s="932"/>
      <c r="H886" s="932"/>
      <c r="I886" s="932"/>
      <c r="J886" s="932"/>
      <c r="K886" s="957"/>
      <c r="L886" s="1492"/>
      <c r="M886" s="957"/>
      <c r="N886" s="932"/>
      <c r="O886" s="931"/>
      <c r="P886" s="931"/>
      <c r="Q886" s="957"/>
      <c r="R886" s="957"/>
    </row>
    <row r="887" ht="13.5" customHeight="1">
      <c r="A887" s="931"/>
      <c r="B887" s="931"/>
      <c r="C887" s="932"/>
      <c r="D887" s="932"/>
      <c r="E887" s="931"/>
      <c r="F887" s="931"/>
      <c r="G887" s="932"/>
      <c r="H887" s="932"/>
      <c r="I887" s="932"/>
      <c r="J887" s="932"/>
      <c r="K887" s="957"/>
      <c r="L887" s="1492"/>
      <c r="M887" s="957"/>
      <c r="N887" s="932"/>
      <c r="O887" s="931"/>
      <c r="P887" s="931"/>
      <c r="Q887" s="957"/>
      <c r="R887" s="957"/>
    </row>
    <row r="888" ht="13.5" customHeight="1">
      <c r="A888" s="931"/>
      <c r="B888" s="931"/>
      <c r="C888" s="932"/>
      <c r="D888" s="932"/>
      <c r="E888" s="931"/>
      <c r="F888" s="931"/>
      <c r="G888" s="932"/>
      <c r="H888" s="932"/>
      <c r="I888" s="932"/>
      <c r="J888" s="932"/>
      <c r="K888" s="957"/>
      <c r="L888" s="1492"/>
      <c r="M888" s="957"/>
      <c r="N888" s="932"/>
      <c r="O888" s="931"/>
      <c r="P888" s="931"/>
      <c r="Q888" s="957"/>
      <c r="R888" s="957"/>
    </row>
    <row r="889" ht="13.5" customHeight="1">
      <c r="A889" s="931"/>
      <c r="B889" s="931"/>
      <c r="C889" s="932"/>
      <c r="D889" s="932"/>
      <c r="E889" s="931"/>
      <c r="F889" s="931"/>
      <c r="G889" s="932"/>
      <c r="H889" s="932"/>
      <c r="I889" s="932"/>
      <c r="J889" s="932"/>
      <c r="K889" s="957"/>
      <c r="L889" s="1492"/>
      <c r="M889" s="957"/>
      <c r="N889" s="932"/>
      <c r="O889" s="931"/>
      <c r="P889" s="931"/>
      <c r="Q889" s="957"/>
      <c r="R889" s="957"/>
    </row>
    <row r="890" ht="13.5" customHeight="1">
      <c r="A890" s="931"/>
      <c r="B890" s="931"/>
      <c r="C890" s="932"/>
      <c r="D890" s="932"/>
      <c r="E890" s="931"/>
      <c r="F890" s="931"/>
      <c r="G890" s="932"/>
      <c r="H890" s="932"/>
      <c r="I890" s="932"/>
      <c r="J890" s="932"/>
      <c r="K890" s="957"/>
      <c r="L890" s="1492"/>
      <c r="M890" s="957"/>
      <c r="N890" s="932"/>
      <c r="O890" s="931"/>
      <c r="P890" s="931"/>
      <c r="Q890" s="957"/>
      <c r="R890" s="957"/>
    </row>
    <row r="891" ht="13.5" customHeight="1">
      <c r="A891" s="931"/>
      <c r="B891" s="931"/>
      <c r="C891" s="932"/>
      <c r="D891" s="932"/>
      <c r="E891" s="931"/>
      <c r="F891" s="931"/>
      <c r="G891" s="932"/>
      <c r="H891" s="932"/>
      <c r="I891" s="932"/>
      <c r="J891" s="932"/>
      <c r="K891" s="957"/>
      <c r="L891" s="1492"/>
      <c r="M891" s="957"/>
      <c r="N891" s="932"/>
      <c r="O891" s="931"/>
      <c r="P891" s="931"/>
      <c r="Q891" s="957"/>
      <c r="R891" s="957"/>
    </row>
    <row r="892" ht="13.5" customHeight="1">
      <c r="A892" s="931"/>
      <c r="B892" s="931"/>
      <c r="C892" s="932"/>
      <c r="D892" s="932"/>
      <c r="E892" s="931"/>
      <c r="F892" s="931"/>
      <c r="G892" s="932"/>
      <c r="H892" s="932"/>
      <c r="I892" s="932"/>
      <c r="J892" s="932"/>
      <c r="K892" s="957"/>
      <c r="L892" s="1492"/>
      <c r="M892" s="957"/>
      <c r="N892" s="932"/>
      <c r="O892" s="931"/>
      <c r="P892" s="931"/>
      <c r="Q892" s="957"/>
      <c r="R892" s="957"/>
    </row>
    <row r="893" ht="13.5" customHeight="1">
      <c r="A893" s="931"/>
      <c r="B893" s="931"/>
      <c r="C893" s="932"/>
      <c r="D893" s="932"/>
      <c r="E893" s="931"/>
      <c r="F893" s="931"/>
      <c r="G893" s="932"/>
      <c r="H893" s="932"/>
      <c r="I893" s="932"/>
      <c r="J893" s="932"/>
      <c r="K893" s="957"/>
      <c r="L893" s="1492"/>
      <c r="M893" s="957"/>
      <c r="N893" s="932"/>
      <c r="O893" s="931"/>
      <c r="P893" s="931"/>
      <c r="Q893" s="957"/>
      <c r="R893" s="957"/>
    </row>
    <row r="894" ht="13.5" customHeight="1">
      <c r="A894" s="931"/>
      <c r="B894" s="931"/>
      <c r="C894" s="932"/>
      <c r="D894" s="932"/>
      <c r="E894" s="931"/>
      <c r="F894" s="931"/>
      <c r="G894" s="932"/>
      <c r="H894" s="932"/>
      <c r="I894" s="932"/>
      <c r="J894" s="932"/>
      <c r="K894" s="957"/>
      <c r="L894" s="1492"/>
      <c r="M894" s="957"/>
      <c r="N894" s="932"/>
      <c r="O894" s="931"/>
      <c r="P894" s="931"/>
      <c r="Q894" s="957"/>
      <c r="R894" s="957"/>
    </row>
    <row r="895" ht="13.5" customHeight="1">
      <c r="A895" s="931"/>
      <c r="B895" s="931"/>
      <c r="C895" s="932"/>
      <c r="D895" s="932"/>
      <c r="E895" s="931"/>
      <c r="F895" s="931"/>
      <c r="G895" s="932"/>
      <c r="H895" s="932"/>
      <c r="I895" s="932"/>
      <c r="J895" s="932"/>
      <c r="K895" s="957"/>
      <c r="L895" s="1492"/>
      <c r="M895" s="957"/>
      <c r="N895" s="932"/>
      <c r="O895" s="931"/>
      <c r="P895" s="931"/>
      <c r="Q895" s="957"/>
      <c r="R895" s="957"/>
    </row>
    <row r="896" ht="13.5" customHeight="1">
      <c r="A896" s="931"/>
      <c r="B896" s="931"/>
      <c r="C896" s="932"/>
      <c r="D896" s="932"/>
      <c r="E896" s="931"/>
      <c r="F896" s="931"/>
      <c r="G896" s="932"/>
      <c r="H896" s="932"/>
      <c r="I896" s="932"/>
      <c r="J896" s="932"/>
      <c r="K896" s="957"/>
      <c r="L896" s="1492"/>
      <c r="M896" s="957"/>
      <c r="N896" s="932"/>
      <c r="O896" s="931"/>
      <c r="P896" s="931"/>
      <c r="Q896" s="957"/>
      <c r="R896" s="957"/>
    </row>
    <row r="897" ht="13.5" customHeight="1">
      <c r="A897" s="931"/>
      <c r="B897" s="931"/>
      <c r="C897" s="932"/>
      <c r="D897" s="932"/>
      <c r="E897" s="931"/>
      <c r="F897" s="931"/>
      <c r="G897" s="932"/>
      <c r="H897" s="932"/>
      <c r="I897" s="932"/>
      <c r="J897" s="932"/>
      <c r="K897" s="957"/>
      <c r="L897" s="1492"/>
      <c r="M897" s="957"/>
      <c r="N897" s="932"/>
      <c r="O897" s="931"/>
      <c r="P897" s="931"/>
      <c r="Q897" s="957"/>
      <c r="R897" s="957"/>
    </row>
    <row r="898" ht="13.5" customHeight="1">
      <c r="A898" s="931"/>
      <c r="B898" s="931"/>
      <c r="C898" s="932"/>
      <c r="D898" s="932"/>
      <c r="E898" s="931"/>
      <c r="F898" s="931"/>
      <c r="G898" s="932"/>
      <c r="H898" s="932"/>
      <c r="I898" s="932"/>
      <c r="J898" s="932"/>
      <c r="K898" s="957"/>
      <c r="L898" s="1492"/>
      <c r="M898" s="957"/>
      <c r="N898" s="932"/>
      <c r="O898" s="931"/>
      <c r="P898" s="931"/>
      <c r="Q898" s="957"/>
      <c r="R898" s="957"/>
    </row>
    <row r="899" ht="13.5" customHeight="1">
      <c r="A899" s="931"/>
      <c r="B899" s="931"/>
      <c r="C899" s="932"/>
      <c r="D899" s="932"/>
      <c r="E899" s="931"/>
      <c r="F899" s="931"/>
      <c r="G899" s="932"/>
      <c r="H899" s="932"/>
      <c r="I899" s="932"/>
      <c r="J899" s="932"/>
      <c r="K899" s="957"/>
      <c r="L899" s="1492"/>
      <c r="M899" s="957"/>
      <c r="N899" s="932"/>
      <c r="O899" s="931"/>
      <c r="P899" s="931"/>
      <c r="Q899" s="957"/>
      <c r="R899" s="957"/>
    </row>
    <row r="900" ht="13.5" customHeight="1">
      <c r="A900" s="931"/>
      <c r="B900" s="931"/>
      <c r="C900" s="932"/>
      <c r="D900" s="932"/>
      <c r="E900" s="931"/>
      <c r="F900" s="931"/>
      <c r="G900" s="932"/>
      <c r="H900" s="932"/>
      <c r="I900" s="932"/>
      <c r="J900" s="932"/>
      <c r="K900" s="957"/>
      <c r="L900" s="1492"/>
      <c r="M900" s="957"/>
      <c r="N900" s="932"/>
      <c r="O900" s="931"/>
      <c r="P900" s="931"/>
      <c r="Q900" s="957"/>
      <c r="R900" s="957"/>
    </row>
    <row r="901" ht="13.5" customHeight="1">
      <c r="A901" s="931"/>
      <c r="B901" s="931"/>
      <c r="C901" s="932"/>
      <c r="D901" s="932"/>
      <c r="E901" s="931"/>
      <c r="F901" s="931"/>
      <c r="G901" s="932"/>
      <c r="H901" s="932"/>
      <c r="I901" s="932"/>
      <c r="J901" s="932"/>
      <c r="K901" s="957"/>
      <c r="L901" s="1492"/>
      <c r="M901" s="957"/>
      <c r="N901" s="932"/>
      <c r="O901" s="931"/>
      <c r="P901" s="931"/>
      <c r="Q901" s="957"/>
      <c r="R901" s="957"/>
    </row>
    <row r="902" ht="13.5" customHeight="1">
      <c r="A902" s="931"/>
      <c r="B902" s="931"/>
      <c r="C902" s="932"/>
      <c r="D902" s="932"/>
      <c r="E902" s="931"/>
      <c r="F902" s="931"/>
      <c r="G902" s="932"/>
      <c r="H902" s="932"/>
      <c r="I902" s="932"/>
      <c r="J902" s="932"/>
      <c r="K902" s="957"/>
      <c r="L902" s="1492"/>
      <c r="M902" s="957"/>
      <c r="N902" s="932"/>
      <c r="O902" s="931"/>
      <c r="P902" s="931"/>
      <c r="Q902" s="957"/>
      <c r="R902" s="957"/>
    </row>
    <row r="903" ht="13.5" customHeight="1">
      <c r="A903" s="931"/>
      <c r="B903" s="931"/>
      <c r="C903" s="932"/>
      <c r="D903" s="932"/>
      <c r="E903" s="931"/>
      <c r="F903" s="931"/>
      <c r="G903" s="932"/>
      <c r="H903" s="932"/>
      <c r="I903" s="932"/>
      <c r="J903" s="932"/>
      <c r="K903" s="957"/>
      <c r="L903" s="1492"/>
      <c r="M903" s="957"/>
      <c r="N903" s="932"/>
      <c r="O903" s="931"/>
      <c r="P903" s="931"/>
      <c r="Q903" s="957"/>
      <c r="R903" s="957"/>
    </row>
    <row r="904" ht="13.5" customHeight="1">
      <c r="A904" s="931"/>
      <c r="B904" s="931"/>
      <c r="C904" s="932"/>
      <c r="D904" s="932"/>
      <c r="E904" s="931"/>
      <c r="F904" s="931"/>
      <c r="G904" s="932"/>
      <c r="H904" s="932"/>
      <c r="I904" s="932"/>
      <c r="J904" s="932"/>
      <c r="K904" s="957"/>
      <c r="L904" s="1492"/>
      <c r="M904" s="957"/>
      <c r="N904" s="932"/>
      <c r="O904" s="931"/>
      <c r="P904" s="931"/>
      <c r="Q904" s="957"/>
      <c r="R904" s="957"/>
    </row>
    <row r="905" ht="13.5" customHeight="1">
      <c r="A905" s="931"/>
      <c r="B905" s="931"/>
      <c r="C905" s="932"/>
      <c r="D905" s="932"/>
      <c r="E905" s="931"/>
      <c r="F905" s="931"/>
      <c r="G905" s="932"/>
      <c r="H905" s="932"/>
      <c r="I905" s="932"/>
      <c r="J905" s="932"/>
      <c r="K905" s="957"/>
      <c r="L905" s="1492"/>
      <c r="M905" s="957"/>
      <c r="N905" s="932"/>
      <c r="O905" s="931"/>
      <c r="P905" s="931"/>
      <c r="Q905" s="957"/>
      <c r="R905" s="957"/>
    </row>
    <row r="906" ht="13.5" customHeight="1">
      <c r="A906" s="931"/>
      <c r="B906" s="931"/>
      <c r="C906" s="932"/>
      <c r="D906" s="932"/>
      <c r="E906" s="931"/>
      <c r="F906" s="931"/>
      <c r="G906" s="932"/>
      <c r="H906" s="932"/>
      <c r="I906" s="932"/>
      <c r="J906" s="932"/>
      <c r="K906" s="957"/>
      <c r="L906" s="1492"/>
      <c r="M906" s="957"/>
      <c r="N906" s="932"/>
      <c r="O906" s="931"/>
      <c r="P906" s="931"/>
      <c r="Q906" s="957"/>
      <c r="R906" s="957"/>
    </row>
    <row r="907" ht="13.5" customHeight="1">
      <c r="A907" s="931"/>
      <c r="B907" s="931"/>
      <c r="C907" s="932"/>
      <c r="D907" s="932"/>
      <c r="E907" s="931"/>
      <c r="F907" s="931"/>
      <c r="G907" s="932"/>
      <c r="H907" s="932"/>
      <c r="I907" s="932"/>
      <c r="J907" s="932"/>
      <c r="K907" s="957"/>
      <c r="L907" s="1492"/>
      <c r="M907" s="957"/>
      <c r="N907" s="932"/>
      <c r="O907" s="931"/>
      <c r="P907" s="931"/>
      <c r="Q907" s="957"/>
      <c r="R907" s="957"/>
    </row>
    <row r="908" ht="13.5" customHeight="1">
      <c r="A908" s="931"/>
      <c r="B908" s="931"/>
      <c r="C908" s="932"/>
      <c r="D908" s="932"/>
      <c r="E908" s="931"/>
      <c r="F908" s="931"/>
      <c r="G908" s="932"/>
      <c r="H908" s="932"/>
      <c r="I908" s="932"/>
      <c r="J908" s="932"/>
      <c r="K908" s="957"/>
      <c r="L908" s="1492"/>
      <c r="M908" s="957"/>
      <c r="N908" s="932"/>
      <c r="O908" s="931"/>
      <c r="P908" s="931"/>
      <c r="Q908" s="957"/>
      <c r="R908" s="957"/>
    </row>
    <row r="909" ht="13.5" customHeight="1">
      <c r="A909" s="931"/>
      <c r="B909" s="931"/>
      <c r="C909" s="932"/>
      <c r="D909" s="932"/>
      <c r="E909" s="931"/>
      <c r="F909" s="931"/>
      <c r="G909" s="932"/>
      <c r="H909" s="932"/>
      <c r="I909" s="932"/>
      <c r="J909" s="932"/>
      <c r="K909" s="957"/>
      <c r="L909" s="1492"/>
      <c r="M909" s="957"/>
      <c r="N909" s="932"/>
      <c r="O909" s="931"/>
      <c r="P909" s="931"/>
      <c r="Q909" s="957"/>
      <c r="R909" s="957"/>
    </row>
    <row r="910" ht="13.5" customHeight="1">
      <c r="A910" s="931"/>
      <c r="B910" s="931"/>
      <c r="C910" s="932"/>
      <c r="D910" s="932"/>
      <c r="E910" s="931"/>
      <c r="F910" s="931"/>
      <c r="G910" s="932"/>
      <c r="H910" s="932"/>
      <c r="I910" s="932"/>
      <c r="J910" s="932"/>
      <c r="K910" s="957"/>
      <c r="L910" s="1492"/>
      <c r="M910" s="957"/>
      <c r="N910" s="932"/>
      <c r="O910" s="931"/>
      <c r="P910" s="931"/>
      <c r="Q910" s="957"/>
      <c r="R910" s="957"/>
    </row>
    <row r="911" ht="13.5" customHeight="1">
      <c r="A911" s="931"/>
      <c r="B911" s="931"/>
      <c r="C911" s="932"/>
      <c r="D911" s="932"/>
      <c r="E911" s="931"/>
      <c r="F911" s="931"/>
      <c r="G911" s="932"/>
      <c r="H911" s="932"/>
      <c r="I911" s="932"/>
      <c r="J911" s="932"/>
      <c r="K911" s="957"/>
      <c r="L911" s="1492"/>
      <c r="M911" s="957"/>
      <c r="N911" s="932"/>
      <c r="O911" s="931"/>
      <c r="P911" s="931"/>
      <c r="Q911" s="957"/>
      <c r="R911" s="957"/>
    </row>
    <row r="912" ht="13.5" customHeight="1">
      <c r="A912" s="931"/>
      <c r="B912" s="931"/>
      <c r="C912" s="932"/>
      <c r="D912" s="932"/>
      <c r="E912" s="931"/>
      <c r="F912" s="931"/>
      <c r="G912" s="932"/>
      <c r="H912" s="932"/>
      <c r="I912" s="932"/>
      <c r="J912" s="932"/>
      <c r="K912" s="957"/>
      <c r="L912" s="1492"/>
      <c r="M912" s="957"/>
      <c r="N912" s="932"/>
      <c r="O912" s="931"/>
      <c r="P912" s="931"/>
      <c r="Q912" s="957"/>
      <c r="R912" s="957"/>
    </row>
    <row r="913" ht="13.5" customHeight="1">
      <c r="A913" s="931"/>
      <c r="B913" s="931"/>
      <c r="C913" s="932"/>
      <c r="D913" s="932"/>
      <c r="E913" s="931"/>
      <c r="F913" s="931"/>
      <c r="G913" s="932"/>
      <c r="H913" s="932"/>
      <c r="I913" s="932"/>
      <c r="J913" s="932"/>
      <c r="K913" s="957"/>
      <c r="L913" s="1492"/>
      <c r="M913" s="957"/>
      <c r="N913" s="932"/>
      <c r="O913" s="931"/>
      <c r="P913" s="931"/>
      <c r="Q913" s="957"/>
      <c r="R913" s="957"/>
    </row>
    <row r="914" ht="13.5" customHeight="1">
      <c r="A914" s="931"/>
      <c r="B914" s="931"/>
      <c r="C914" s="932"/>
      <c r="D914" s="932"/>
      <c r="E914" s="931"/>
      <c r="F914" s="931"/>
      <c r="G914" s="932"/>
      <c r="H914" s="932"/>
      <c r="I914" s="932"/>
      <c r="J914" s="932"/>
      <c r="K914" s="957"/>
      <c r="L914" s="1492"/>
      <c r="M914" s="957"/>
      <c r="N914" s="932"/>
      <c r="O914" s="931"/>
      <c r="P914" s="931"/>
      <c r="Q914" s="957"/>
      <c r="R914" s="957"/>
    </row>
    <row r="915" ht="13.5" customHeight="1">
      <c r="A915" s="931"/>
      <c r="B915" s="931"/>
      <c r="C915" s="932"/>
      <c r="D915" s="932"/>
      <c r="E915" s="931"/>
      <c r="F915" s="931"/>
      <c r="G915" s="932"/>
      <c r="H915" s="932"/>
      <c r="I915" s="932"/>
      <c r="J915" s="932"/>
      <c r="K915" s="957"/>
      <c r="L915" s="1492"/>
      <c r="M915" s="957"/>
      <c r="N915" s="932"/>
      <c r="O915" s="931"/>
      <c r="P915" s="931"/>
      <c r="Q915" s="957"/>
      <c r="R915" s="957"/>
    </row>
    <row r="916" ht="13.5" customHeight="1">
      <c r="A916" s="931"/>
      <c r="B916" s="931"/>
      <c r="C916" s="932"/>
      <c r="D916" s="932"/>
      <c r="E916" s="931"/>
      <c r="F916" s="931"/>
      <c r="G916" s="932"/>
      <c r="H916" s="932"/>
      <c r="I916" s="932"/>
      <c r="J916" s="932"/>
      <c r="K916" s="957"/>
      <c r="L916" s="1492"/>
      <c r="M916" s="957"/>
      <c r="N916" s="932"/>
      <c r="O916" s="931"/>
      <c r="P916" s="931"/>
      <c r="Q916" s="957"/>
      <c r="R916" s="957"/>
    </row>
    <row r="917" ht="13.5" customHeight="1">
      <c r="A917" s="931"/>
      <c r="B917" s="931"/>
      <c r="C917" s="932"/>
      <c r="D917" s="932"/>
      <c r="E917" s="931"/>
      <c r="F917" s="931"/>
      <c r="G917" s="932"/>
      <c r="H917" s="932"/>
      <c r="I917" s="932"/>
      <c r="J917" s="932"/>
      <c r="K917" s="957"/>
      <c r="L917" s="1492"/>
      <c r="M917" s="957"/>
      <c r="N917" s="932"/>
      <c r="O917" s="931"/>
      <c r="P917" s="931"/>
      <c r="Q917" s="957"/>
      <c r="R917" s="957"/>
    </row>
    <row r="918" ht="13.5" customHeight="1">
      <c r="A918" s="931"/>
      <c r="B918" s="931"/>
      <c r="C918" s="932"/>
      <c r="D918" s="932"/>
      <c r="E918" s="931"/>
      <c r="F918" s="931"/>
      <c r="G918" s="932"/>
      <c r="H918" s="932"/>
      <c r="I918" s="932"/>
      <c r="J918" s="932"/>
      <c r="K918" s="957"/>
      <c r="L918" s="1492"/>
      <c r="M918" s="957"/>
      <c r="N918" s="932"/>
      <c r="O918" s="931"/>
      <c r="P918" s="931"/>
      <c r="Q918" s="957"/>
      <c r="R918" s="957"/>
    </row>
    <row r="919" ht="13.5" customHeight="1">
      <c r="A919" s="931"/>
      <c r="B919" s="931"/>
      <c r="C919" s="932"/>
      <c r="D919" s="932"/>
      <c r="E919" s="931"/>
      <c r="F919" s="931"/>
      <c r="G919" s="932"/>
      <c r="H919" s="932"/>
      <c r="I919" s="932"/>
      <c r="J919" s="932"/>
      <c r="K919" s="957"/>
      <c r="L919" s="1492"/>
      <c r="M919" s="957"/>
      <c r="N919" s="932"/>
      <c r="O919" s="931"/>
      <c r="P919" s="931"/>
      <c r="Q919" s="957"/>
      <c r="R919" s="957"/>
    </row>
    <row r="920" ht="13.5" customHeight="1">
      <c r="A920" s="931"/>
      <c r="B920" s="931"/>
      <c r="C920" s="932"/>
      <c r="D920" s="932"/>
      <c r="E920" s="931"/>
      <c r="F920" s="931"/>
      <c r="G920" s="932"/>
      <c r="H920" s="932"/>
      <c r="I920" s="932"/>
      <c r="J920" s="932"/>
      <c r="K920" s="957"/>
      <c r="L920" s="1492"/>
      <c r="M920" s="957"/>
      <c r="N920" s="932"/>
      <c r="O920" s="931"/>
      <c r="P920" s="931"/>
      <c r="Q920" s="957"/>
      <c r="R920" s="957"/>
    </row>
    <row r="921" ht="13.5" customHeight="1">
      <c r="A921" s="931"/>
      <c r="B921" s="931"/>
      <c r="C921" s="932"/>
      <c r="D921" s="932"/>
      <c r="E921" s="931"/>
      <c r="F921" s="931"/>
      <c r="G921" s="932"/>
      <c r="H921" s="932"/>
      <c r="I921" s="932"/>
      <c r="J921" s="932"/>
      <c r="K921" s="957"/>
      <c r="L921" s="1492"/>
      <c r="M921" s="957"/>
      <c r="N921" s="932"/>
      <c r="O921" s="931"/>
      <c r="P921" s="931"/>
      <c r="Q921" s="957"/>
      <c r="R921" s="957"/>
    </row>
    <row r="922" ht="13.5" customHeight="1">
      <c r="A922" s="931"/>
      <c r="B922" s="931"/>
      <c r="C922" s="932"/>
      <c r="D922" s="932"/>
      <c r="E922" s="931"/>
      <c r="F922" s="931"/>
      <c r="G922" s="932"/>
      <c r="H922" s="932"/>
      <c r="I922" s="932"/>
      <c r="J922" s="932"/>
      <c r="K922" s="957"/>
      <c r="L922" s="1492"/>
      <c r="M922" s="957"/>
      <c r="N922" s="932"/>
      <c r="O922" s="931"/>
      <c r="P922" s="931"/>
      <c r="Q922" s="957"/>
      <c r="R922" s="957"/>
    </row>
    <row r="923" ht="13.5" customHeight="1">
      <c r="A923" s="931"/>
      <c r="B923" s="931"/>
      <c r="C923" s="932"/>
      <c r="D923" s="932"/>
      <c r="E923" s="931"/>
      <c r="F923" s="931"/>
      <c r="G923" s="932"/>
      <c r="H923" s="932"/>
      <c r="I923" s="932"/>
      <c r="J923" s="932"/>
      <c r="K923" s="957"/>
      <c r="L923" s="1492"/>
      <c r="M923" s="957"/>
      <c r="N923" s="932"/>
      <c r="O923" s="931"/>
      <c r="P923" s="931"/>
      <c r="Q923" s="957"/>
      <c r="R923" s="957"/>
    </row>
    <row r="924" ht="13.5" customHeight="1">
      <c r="A924" s="931"/>
      <c r="B924" s="931"/>
      <c r="C924" s="932"/>
      <c r="D924" s="932"/>
      <c r="E924" s="931"/>
      <c r="F924" s="931"/>
      <c r="G924" s="932"/>
      <c r="H924" s="932"/>
      <c r="I924" s="932"/>
      <c r="J924" s="932"/>
      <c r="K924" s="957"/>
      <c r="L924" s="1492"/>
      <c r="M924" s="957"/>
      <c r="N924" s="932"/>
      <c r="O924" s="931"/>
      <c r="P924" s="931"/>
      <c r="Q924" s="957"/>
      <c r="R924" s="957"/>
    </row>
    <row r="925" ht="13.5" customHeight="1">
      <c r="A925" s="931"/>
      <c r="B925" s="931"/>
      <c r="C925" s="932"/>
      <c r="D925" s="932"/>
      <c r="E925" s="931"/>
      <c r="F925" s="931"/>
      <c r="G925" s="932"/>
      <c r="H925" s="932"/>
      <c r="I925" s="932"/>
      <c r="J925" s="932"/>
      <c r="K925" s="957"/>
      <c r="L925" s="1492"/>
      <c r="M925" s="957"/>
      <c r="N925" s="932"/>
      <c r="O925" s="931"/>
      <c r="P925" s="931"/>
      <c r="Q925" s="957"/>
      <c r="R925" s="957"/>
    </row>
    <row r="926" ht="13.5" customHeight="1">
      <c r="A926" s="931"/>
      <c r="B926" s="931"/>
      <c r="C926" s="932"/>
      <c r="D926" s="932"/>
      <c r="E926" s="931"/>
      <c r="F926" s="931"/>
      <c r="G926" s="932"/>
      <c r="H926" s="932"/>
      <c r="I926" s="932"/>
      <c r="J926" s="932"/>
      <c r="K926" s="957"/>
      <c r="L926" s="1492"/>
      <c r="M926" s="957"/>
      <c r="N926" s="932"/>
      <c r="O926" s="931"/>
      <c r="P926" s="931"/>
      <c r="Q926" s="957"/>
      <c r="R926" s="957"/>
    </row>
    <row r="927" ht="13.5" customHeight="1">
      <c r="A927" s="931"/>
      <c r="B927" s="931"/>
      <c r="C927" s="932"/>
      <c r="D927" s="932"/>
      <c r="E927" s="931"/>
      <c r="F927" s="931"/>
      <c r="G927" s="932"/>
      <c r="H927" s="932"/>
      <c r="I927" s="932"/>
      <c r="J927" s="932"/>
      <c r="K927" s="957"/>
      <c r="L927" s="1492"/>
      <c r="M927" s="957"/>
      <c r="N927" s="932"/>
      <c r="O927" s="931"/>
      <c r="P927" s="931"/>
      <c r="Q927" s="957"/>
      <c r="R927" s="957"/>
    </row>
    <row r="928" ht="13.5" customHeight="1">
      <c r="A928" s="931"/>
      <c r="B928" s="931"/>
      <c r="C928" s="932"/>
      <c r="D928" s="932"/>
      <c r="E928" s="931"/>
      <c r="F928" s="931"/>
      <c r="G928" s="932"/>
      <c r="H928" s="932"/>
      <c r="I928" s="932"/>
      <c r="J928" s="932"/>
      <c r="K928" s="957"/>
      <c r="L928" s="1492"/>
      <c r="M928" s="957"/>
      <c r="N928" s="932"/>
      <c r="O928" s="931"/>
      <c r="P928" s="931"/>
      <c r="Q928" s="957"/>
      <c r="R928" s="957"/>
    </row>
    <row r="929" ht="13.5" customHeight="1">
      <c r="A929" s="931"/>
      <c r="B929" s="931"/>
      <c r="C929" s="932"/>
      <c r="D929" s="932"/>
      <c r="E929" s="931"/>
      <c r="F929" s="931"/>
      <c r="G929" s="932"/>
      <c r="H929" s="932"/>
      <c r="I929" s="932"/>
      <c r="J929" s="932"/>
      <c r="K929" s="957"/>
      <c r="L929" s="1492"/>
      <c r="M929" s="957"/>
      <c r="N929" s="932"/>
      <c r="O929" s="931"/>
      <c r="P929" s="931"/>
      <c r="Q929" s="957"/>
      <c r="R929" s="957"/>
    </row>
    <row r="930" ht="13.5" customHeight="1">
      <c r="A930" s="931"/>
      <c r="B930" s="931"/>
      <c r="C930" s="932"/>
      <c r="D930" s="932"/>
      <c r="E930" s="931"/>
      <c r="F930" s="931"/>
      <c r="G930" s="932"/>
      <c r="H930" s="932"/>
      <c r="I930" s="932"/>
      <c r="J930" s="932"/>
      <c r="K930" s="957"/>
      <c r="L930" s="1492"/>
      <c r="M930" s="957"/>
      <c r="N930" s="932"/>
      <c r="O930" s="931"/>
      <c r="P930" s="931"/>
      <c r="Q930" s="957"/>
      <c r="R930" s="957"/>
    </row>
    <row r="931" ht="13.5" customHeight="1">
      <c r="A931" s="931"/>
      <c r="B931" s="931"/>
      <c r="C931" s="932"/>
      <c r="D931" s="932"/>
      <c r="E931" s="931"/>
      <c r="F931" s="931"/>
      <c r="G931" s="932"/>
      <c r="H931" s="932"/>
      <c r="I931" s="932"/>
      <c r="J931" s="932"/>
      <c r="K931" s="957"/>
      <c r="L931" s="1492"/>
      <c r="M931" s="957"/>
      <c r="N931" s="932"/>
      <c r="O931" s="931"/>
      <c r="P931" s="931"/>
      <c r="Q931" s="957"/>
      <c r="R931" s="957"/>
    </row>
    <row r="932" ht="13.5" customHeight="1">
      <c r="A932" s="931"/>
      <c r="B932" s="931"/>
      <c r="C932" s="932"/>
      <c r="D932" s="932"/>
      <c r="E932" s="931"/>
      <c r="F932" s="931"/>
      <c r="G932" s="932"/>
      <c r="H932" s="932"/>
      <c r="I932" s="932"/>
      <c r="J932" s="932"/>
      <c r="K932" s="957"/>
      <c r="L932" s="1492"/>
      <c r="M932" s="957"/>
      <c r="N932" s="932"/>
      <c r="O932" s="931"/>
      <c r="P932" s="931"/>
      <c r="Q932" s="957"/>
      <c r="R932" s="957"/>
    </row>
    <row r="933" ht="13.5" customHeight="1">
      <c r="A933" s="931"/>
      <c r="B933" s="931"/>
      <c r="C933" s="932"/>
      <c r="D933" s="932"/>
      <c r="E933" s="931"/>
      <c r="F933" s="931"/>
      <c r="G933" s="932"/>
      <c r="H933" s="932"/>
      <c r="I933" s="932"/>
      <c r="J933" s="932"/>
      <c r="K933" s="957"/>
      <c r="L933" s="1492"/>
      <c r="M933" s="957"/>
      <c r="N933" s="932"/>
      <c r="O933" s="931"/>
      <c r="P933" s="931"/>
      <c r="Q933" s="957"/>
      <c r="R933" s="957"/>
    </row>
    <row r="934" ht="13.5" customHeight="1">
      <c r="A934" s="931"/>
      <c r="B934" s="931"/>
      <c r="C934" s="932"/>
      <c r="D934" s="932"/>
      <c r="E934" s="931"/>
      <c r="F934" s="931"/>
      <c r="G934" s="932"/>
      <c r="H934" s="932"/>
      <c r="I934" s="932"/>
      <c r="J934" s="932"/>
      <c r="K934" s="957"/>
      <c r="L934" s="1492"/>
      <c r="M934" s="957"/>
      <c r="N934" s="932"/>
      <c r="O934" s="931"/>
      <c r="P934" s="931"/>
      <c r="Q934" s="957"/>
      <c r="R934" s="957"/>
    </row>
    <row r="935" ht="13.5" customHeight="1">
      <c r="A935" s="931"/>
      <c r="B935" s="931"/>
      <c r="C935" s="932"/>
      <c r="D935" s="932"/>
      <c r="E935" s="931"/>
      <c r="F935" s="931"/>
      <c r="G935" s="932"/>
      <c r="H935" s="932"/>
      <c r="I935" s="932"/>
      <c r="J935" s="932"/>
      <c r="K935" s="957"/>
      <c r="L935" s="1492"/>
      <c r="M935" s="957"/>
      <c r="N935" s="932"/>
      <c r="O935" s="931"/>
      <c r="P935" s="931"/>
      <c r="Q935" s="957"/>
      <c r="R935" s="957"/>
    </row>
    <row r="936" ht="13.5" customHeight="1">
      <c r="A936" s="931"/>
      <c r="B936" s="931"/>
      <c r="C936" s="932"/>
      <c r="D936" s="932"/>
      <c r="E936" s="931"/>
      <c r="F936" s="931"/>
      <c r="G936" s="932"/>
      <c r="H936" s="932"/>
      <c r="I936" s="932"/>
      <c r="J936" s="932"/>
      <c r="K936" s="957"/>
      <c r="L936" s="1492"/>
      <c r="M936" s="957"/>
      <c r="N936" s="932"/>
      <c r="O936" s="931"/>
      <c r="P936" s="931"/>
      <c r="Q936" s="957"/>
      <c r="R936" s="957"/>
    </row>
    <row r="937" ht="13.5" customHeight="1">
      <c r="A937" s="931"/>
      <c r="B937" s="931"/>
      <c r="C937" s="932"/>
      <c r="D937" s="932"/>
      <c r="E937" s="931"/>
      <c r="F937" s="931"/>
      <c r="G937" s="932"/>
      <c r="H937" s="932"/>
      <c r="I937" s="932"/>
      <c r="J937" s="932"/>
      <c r="K937" s="957"/>
      <c r="L937" s="1492"/>
      <c r="M937" s="957"/>
      <c r="N937" s="932"/>
      <c r="O937" s="931"/>
      <c r="P937" s="931"/>
      <c r="Q937" s="957"/>
      <c r="R937" s="957"/>
    </row>
    <row r="938" ht="13.5" customHeight="1">
      <c r="A938" s="931"/>
      <c r="B938" s="931"/>
      <c r="C938" s="932"/>
      <c r="D938" s="932"/>
      <c r="E938" s="931"/>
      <c r="F938" s="931"/>
      <c r="G938" s="932"/>
      <c r="H938" s="932"/>
      <c r="I938" s="932"/>
      <c r="J938" s="932"/>
      <c r="K938" s="957"/>
      <c r="L938" s="1492"/>
      <c r="M938" s="957"/>
      <c r="N938" s="932"/>
      <c r="O938" s="931"/>
      <c r="P938" s="931"/>
      <c r="Q938" s="957"/>
      <c r="R938" s="957"/>
    </row>
    <row r="939" ht="13.5" customHeight="1">
      <c r="A939" s="931"/>
      <c r="B939" s="931"/>
      <c r="C939" s="932"/>
      <c r="D939" s="932"/>
      <c r="E939" s="931"/>
      <c r="F939" s="931"/>
      <c r="G939" s="932"/>
      <c r="H939" s="932"/>
      <c r="I939" s="932"/>
      <c r="J939" s="932"/>
      <c r="K939" s="957"/>
      <c r="L939" s="1492"/>
      <c r="M939" s="957"/>
      <c r="N939" s="932"/>
      <c r="O939" s="931"/>
      <c r="P939" s="931"/>
      <c r="Q939" s="957"/>
      <c r="R939" s="957"/>
    </row>
    <row r="940" ht="13.5" customHeight="1">
      <c r="A940" s="931"/>
      <c r="B940" s="931"/>
      <c r="C940" s="932"/>
      <c r="D940" s="932"/>
      <c r="E940" s="931"/>
      <c r="F940" s="931"/>
      <c r="G940" s="932"/>
      <c r="H940" s="932"/>
      <c r="I940" s="932"/>
      <c r="J940" s="932"/>
      <c r="K940" s="957"/>
      <c r="L940" s="1492"/>
      <c r="M940" s="957"/>
      <c r="N940" s="932"/>
      <c r="O940" s="931"/>
      <c r="P940" s="931"/>
      <c r="Q940" s="957"/>
      <c r="R940" s="957"/>
    </row>
    <row r="941" ht="13.5" customHeight="1">
      <c r="A941" s="931"/>
      <c r="B941" s="931"/>
      <c r="C941" s="932"/>
      <c r="D941" s="932"/>
      <c r="E941" s="931"/>
      <c r="F941" s="931"/>
      <c r="G941" s="932"/>
      <c r="H941" s="932"/>
      <c r="I941" s="932"/>
      <c r="J941" s="932"/>
      <c r="K941" s="957"/>
      <c r="L941" s="1492"/>
      <c r="M941" s="957"/>
      <c r="N941" s="932"/>
      <c r="O941" s="931"/>
      <c r="P941" s="931"/>
      <c r="Q941" s="957"/>
      <c r="R941" s="957"/>
    </row>
    <row r="942" ht="13.5" customHeight="1">
      <c r="A942" s="931"/>
      <c r="B942" s="931"/>
      <c r="C942" s="932"/>
      <c r="D942" s="932"/>
      <c r="E942" s="931"/>
      <c r="F942" s="931"/>
      <c r="G942" s="932"/>
      <c r="H942" s="932"/>
      <c r="I942" s="932"/>
      <c r="J942" s="932"/>
      <c r="K942" s="957"/>
      <c r="L942" s="1492"/>
      <c r="M942" s="957"/>
      <c r="N942" s="932"/>
      <c r="O942" s="931"/>
      <c r="P942" s="931"/>
      <c r="Q942" s="957"/>
      <c r="R942" s="957"/>
    </row>
    <row r="943" ht="13.5" customHeight="1">
      <c r="A943" s="931"/>
      <c r="B943" s="931"/>
      <c r="C943" s="932"/>
      <c r="D943" s="932"/>
      <c r="E943" s="931"/>
      <c r="F943" s="931"/>
      <c r="G943" s="932"/>
      <c r="H943" s="932"/>
      <c r="I943" s="932"/>
      <c r="J943" s="932"/>
      <c r="K943" s="957"/>
      <c r="L943" s="1492"/>
      <c r="M943" s="957"/>
      <c r="N943" s="932"/>
      <c r="O943" s="931"/>
      <c r="P943" s="931"/>
      <c r="Q943" s="957"/>
      <c r="R943" s="957"/>
    </row>
    <row r="944" ht="13.5" customHeight="1">
      <c r="A944" s="931"/>
      <c r="B944" s="931"/>
      <c r="C944" s="932"/>
      <c r="D944" s="932"/>
      <c r="E944" s="931"/>
      <c r="F944" s="931"/>
      <c r="G944" s="932"/>
      <c r="H944" s="932"/>
      <c r="I944" s="932"/>
      <c r="J944" s="932"/>
      <c r="K944" s="957"/>
      <c r="L944" s="1492"/>
      <c r="M944" s="957"/>
      <c r="N944" s="932"/>
      <c r="O944" s="931"/>
      <c r="P944" s="931"/>
      <c r="Q944" s="957"/>
      <c r="R944" s="957"/>
    </row>
    <row r="945" ht="13.5" customHeight="1">
      <c r="A945" s="931"/>
      <c r="B945" s="931"/>
      <c r="C945" s="932"/>
      <c r="D945" s="932"/>
      <c r="E945" s="931"/>
      <c r="F945" s="931"/>
      <c r="G945" s="932"/>
      <c r="H945" s="932"/>
      <c r="I945" s="932"/>
      <c r="J945" s="932"/>
      <c r="K945" s="957"/>
      <c r="L945" s="1492"/>
      <c r="M945" s="957"/>
      <c r="N945" s="932"/>
      <c r="O945" s="931"/>
      <c r="P945" s="931"/>
      <c r="Q945" s="957"/>
      <c r="R945" s="957"/>
    </row>
    <row r="946" ht="13.5" customHeight="1">
      <c r="A946" s="931"/>
      <c r="B946" s="931"/>
      <c r="C946" s="932"/>
      <c r="D946" s="932"/>
      <c r="E946" s="931"/>
      <c r="F946" s="931"/>
      <c r="G946" s="932"/>
      <c r="H946" s="932"/>
      <c r="I946" s="932"/>
      <c r="J946" s="932"/>
      <c r="K946" s="957"/>
      <c r="L946" s="1492"/>
      <c r="M946" s="957"/>
      <c r="N946" s="932"/>
      <c r="O946" s="931"/>
      <c r="P946" s="931"/>
      <c r="Q946" s="957"/>
      <c r="R946" s="957"/>
    </row>
    <row r="947" ht="13.5" customHeight="1">
      <c r="A947" s="931"/>
      <c r="B947" s="931"/>
      <c r="C947" s="932"/>
      <c r="D947" s="932"/>
      <c r="E947" s="931"/>
      <c r="F947" s="931"/>
      <c r="G947" s="932"/>
      <c r="H947" s="932"/>
      <c r="I947" s="932"/>
      <c r="J947" s="932"/>
      <c r="K947" s="957"/>
      <c r="L947" s="1492"/>
      <c r="M947" s="957"/>
      <c r="N947" s="932"/>
      <c r="O947" s="931"/>
      <c r="P947" s="931"/>
      <c r="Q947" s="957"/>
      <c r="R947" s="957"/>
    </row>
    <row r="948" ht="13.5" customHeight="1">
      <c r="A948" s="931"/>
      <c r="B948" s="931"/>
      <c r="C948" s="932"/>
      <c r="D948" s="932"/>
      <c r="E948" s="931"/>
      <c r="F948" s="931"/>
      <c r="G948" s="932"/>
      <c r="H948" s="932"/>
      <c r="I948" s="932"/>
      <c r="J948" s="932"/>
      <c r="K948" s="957"/>
      <c r="L948" s="1492"/>
      <c r="M948" s="957"/>
      <c r="N948" s="932"/>
      <c r="O948" s="931"/>
      <c r="P948" s="931"/>
      <c r="Q948" s="957"/>
      <c r="R948" s="957"/>
    </row>
    <row r="949" ht="13.5" customHeight="1">
      <c r="A949" s="931"/>
      <c r="B949" s="931"/>
      <c r="C949" s="932"/>
      <c r="D949" s="932"/>
      <c r="E949" s="931"/>
      <c r="F949" s="931"/>
      <c r="G949" s="932"/>
      <c r="H949" s="932"/>
      <c r="I949" s="932"/>
      <c r="J949" s="932"/>
      <c r="K949" s="957"/>
      <c r="L949" s="1492"/>
      <c r="M949" s="957"/>
      <c r="N949" s="932"/>
      <c r="O949" s="931"/>
      <c r="P949" s="931"/>
      <c r="Q949" s="957"/>
      <c r="R949" s="957"/>
    </row>
    <row r="950" ht="13.5" customHeight="1">
      <c r="A950" s="931"/>
      <c r="B950" s="931"/>
      <c r="C950" s="932"/>
      <c r="D950" s="932"/>
      <c r="E950" s="931"/>
      <c r="F950" s="931"/>
      <c r="G950" s="932"/>
      <c r="H950" s="932"/>
      <c r="I950" s="932"/>
      <c r="J950" s="932"/>
      <c r="K950" s="957"/>
      <c r="L950" s="1492"/>
      <c r="M950" s="957"/>
      <c r="N950" s="932"/>
      <c r="O950" s="931"/>
      <c r="P950" s="931"/>
      <c r="Q950" s="957"/>
      <c r="R950" s="957"/>
    </row>
    <row r="951" ht="13.5" customHeight="1">
      <c r="A951" s="931"/>
      <c r="B951" s="931"/>
      <c r="C951" s="932"/>
      <c r="D951" s="932"/>
      <c r="E951" s="931"/>
      <c r="F951" s="931"/>
      <c r="G951" s="932"/>
      <c r="H951" s="932"/>
      <c r="I951" s="932"/>
      <c r="J951" s="932"/>
      <c r="K951" s="957"/>
      <c r="L951" s="1492"/>
      <c r="M951" s="957"/>
      <c r="N951" s="932"/>
      <c r="O951" s="931"/>
      <c r="P951" s="931"/>
      <c r="Q951" s="957"/>
      <c r="R951" s="957"/>
    </row>
    <row r="952" ht="13.5" customHeight="1">
      <c r="A952" s="931"/>
      <c r="B952" s="931"/>
      <c r="C952" s="932"/>
      <c r="D952" s="932"/>
      <c r="E952" s="931"/>
      <c r="F952" s="931"/>
      <c r="G952" s="932"/>
      <c r="H952" s="932"/>
      <c r="I952" s="932"/>
      <c r="J952" s="932"/>
      <c r="K952" s="957"/>
      <c r="L952" s="1492"/>
      <c r="M952" s="957"/>
      <c r="N952" s="932"/>
      <c r="O952" s="931"/>
      <c r="P952" s="931"/>
      <c r="Q952" s="957"/>
      <c r="R952" s="957"/>
    </row>
    <row r="953" ht="13.5" customHeight="1">
      <c r="A953" s="931"/>
      <c r="B953" s="931"/>
      <c r="C953" s="932"/>
      <c r="D953" s="932"/>
      <c r="E953" s="931"/>
      <c r="F953" s="931"/>
      <c r="G953" s="932"/>
      <c r="H953" s="932"/>
      <c r="I953" s="932"/>
      <c r="J953" s="932"/>
      <c r="K953" s="957"/>
      <c r="L953" s="1492"/>
      <c r="M953" s="957"/>
      <c r="N953" s="932"/>
      <c r="O953" s="931"/>
      <c r="P953" s="931"/>
      <c r="Q953" s="957"/>
      <c r="R953" s="957"/>
    </row>
    <row r="954" ht="13.5" customHeight="1">
      <c r="A954" s="931"/>
      <c r="B954" s="931"/>
      <c r="C954" s="932"/>
      <c r="D954" s="932"/>
      <c r="E954" s="931"/>
      <c r="F954" s="931"/>
      <c r="G954" s="932"/>
      <c r="H954" s="932"/>
      <c r="I954" s="932"/>
      <c r="J954" s="932"/>
      <c r="K954" s="957"/>
      <c r="L954" s="1492"/>
      <c r="M954" s="957"/>
      <c r="N954" s="932"/>
      <c r="O954" s="931"/>
      <c r="P954" s="931"/>
      <c r="Q954" s="957"/>
      <c r="R954" s="957"/>
    </row>
    <row r="955" ht="13.5" customHeight="1">
      <c r="A955" s="931"/>
      <c r="B955" s="931"/>
      <c r="C955" s="932"/>
      <c r="D955" s="932"/>
      <c r="E955" s="931"/>
      <c r="F955" s="931"/>
      <c r="G955" s="932"/>
      <c r="H955" s="932"/>
      <c r="I955" s="932"/>
      <c r="J955" s="932"/>
      <c r="K955" s="957"/>
      <c r="L955" s="1492"/>
      <c r="M955" s="957"/>
      <c r="N955" s="932"/>
      <c r="O955" s="931"/>
      <c r="P955" s="931"/>
      <c r="Q955" s="957"/>
      <c r="R955" s="957"/>
    </row>
    <row r="956" ht="13.5" customHeight="1">
      <c r="A956" s="931"/>
      <c r="B956" s="931"/>
      <c r="C956" s="932"/>
      <c r="D956" s="932"/>
      <c r="E956" s="931"/>
      <c r="F956" s="931"/>
      <c r="G956" s="932"/>
      <c r="H956" s="932"/>
      <c r="I956" s="932"/>
      <c r="J956" s="932"/>
      <c r="K956" s="957"/>
      <c r="L956" s="1492"/>
      <c r="M956" s="957"/>
      <c r="N956" s="932"/>
      <c r="O956" s="931"/>
      <c r="P956" s="931"/>
      <c r="Q956" s="957"/>
      <c r="R956" s="957"/>
    </row>
    <row r="957" ht="13.5" customHeight="1">
      <c r="A957" s="931"/>
      <c r="B957" s="931"/>
      <c r="C957" s="932"/>
      <c r="D957" s="932"/>
      <c r="E957" s="931"/>
      <c r="F957" s="931"/>
      <c r="G957" s="932"/>
      <c r="H957" s="932"/>
      <c r="I957" s="932"/>
      <c r="J957" s="932"/>
      <c r="K957" s="957"/>
      <c r="L957" s="1492"/>
      <c r="M957" s="957"/>
      <c r="N957" s="932"/>
      <c r="O957" s="931"/>
      <c r="P957" s="931"/>
      <c r="Q957" s="957"/>
      <c r="R957" s="957"/>
    </row>
    <row r="958" ht="13.5" customHeight="1">
      <c r="A958" s="931"/>
      <c r="B958" s="931"/>
      <c r="C958" s="932"/>
      <c r="D958" s="932"/>
      <c r="E958" s="931"/>
      <c r="F958" s="931"/>
      <c r="G958" s="932"/>
      <c r="H958" s="932"/>
      <c r="I958" s="932"/>
      <c r="J958" s="932"/>
      <c r="K958" s="957"/>
      <c r="L958" s="1492"/>
      <c r="M958" s="957"/>
      <c r="N958" s="932"/>
      <c r="O958" s="931"/>
      <c r="P958" s="931"/>
      <c r="Q958" s="957"/>
      <c r="R958" s="957"/>
    </row>
    <row r="959" ht="13.5" customHeight="1">
      <c r="A959" s="931"/>
      <c r="B959" s="931"/>
      <c r="C959" s="932"/>
      <c r="D959" s="932"/>
      <c r="E959" s="931"/>
      <c r="F959" s="931"/>
      <c r="G959" s="932"/>
      <c r="H959" s="932"/>
      <c r="I959" s="932"/>
      <c r="J959" s="932"/>
      <c r="K959" s="957"/>
      <c r="L959" s="1492"/>
      <c r="M959" s="957"/>
      <c r="N959" s="932"/>
      <c r="O959" s="931"/>
      <c r="P959" s="931"/>
      <c r="Q959" s="957"/>
      <c r="R959" s="957"/>
    </row>
    <row r="960" ht="13.5" customHeight="1">
      <c r="A960" s="931"/>
      <c r="B960" s="931"/>
      <c r="C960" s="932"/>
      <c r="D960" s="932"/>
      <c r="E960" s="931"/>
      <c r="F960" s="931"/>
      <c r="G960" s="932"/>
      <c r="H960" s="932"/>
      <c r="I960" s="932"/>
      <c r="J960" s="932"/>
      <c r="K960" s="957"/>
      <c r="L960" s="1492"/>
      <c r="M960" s="957"/>
      <c r="N960" s="932"/>
      <c r="O960" s="931"/>
      <c r="P960" s="931"/>
      <c r="Q960" s="957"/>
      <c r="R960" s="957"/>
    </row>
    <row r="961" ht="13.5" customHeight="1">
      <c r="A961" s="931"/>
      <c r="B961" s="931"/>
      <c r="C961" s="932"/>
      <c r="D961" s="932"/>
      <c r="E961" s="931"/>
      <c r="F961" s="931"/>
      <c r="G961" s="932"/>
      <c r="H961" s="932"/>
      <c r="I961" s="932"/>
      <c r="J961" s="932"/>
      <c r="K961" s="957"/>
      <c r="L961" s="1492"/>
      <c r="M961" s="957"/>
      <c r="N961" s="932"/>
      <c r="O961" s="931"/>
      <c r="P961" s="931"/>
      <c r="Q961" s="957"/>
      <c r="R961" s="957"/>
    </row>
    <row r="962" ht="13.5" customHeight="1">
      <c r="A962" s="931"/>
      <c r="B962" s="931"/>
      <c r="C962" s="932"/>
      <c r="D962" s="932"/>
      <c r="E962" s="931"/>
      <c r="F962" s="931"/>
      <c r="G962" s="932"/>
      <c r="H962" s="932"/>
      <c r="I962" s="932"/>
      <c r="J962" s="932"/>
      <c r="K962" s="957"/>
      <c r="L962" s="1492"/>
      <c r="M962" s="957"/>
      <c r="N962" s="932"/>
      <c r="O962" s="931"/>
      <c r="P962" s="931"/>
      <c r="Q962" s="957"/>
      <c r="R962" s="957"/>
    </row>
    <row r="963" ht="13.5" customHeight="1">
      <c r="A963" s="931"/>
      <c r="B963" s="931"/>
      <c r="C963" s="932"/>
      <c r="D963" s="932"/>
      <c r="E963" s="931"/>
      <c r="F963" s="931"/>
      <c r="G963" s="932"/>
      <c r="H963" s="932"/>
      <c r="I963" s="932"/>
      <c r="J963" s="932"/>
      <c r="K963" s="957"/>
      <c r="L963" s="1492"/>
      <c r="M963" s="957"/>
      <c r="N963" s="932"/>
      <c r="O963" s="931"/>
      <c r="P963" s="931"/>
      <c r="Q963" s="957"/>
      <c r="R963" s="957"/>
    </row>
    <row r="964" ht="13.5" customHeight="1">
      <c r="A964" s="931"/>
      <c r="B964" s="931"/>
      <c r="C964" s="932"/>
      <c r="D964" s="932"/>
      <c r="E964" s="931"/>
      <c r="F964" s="931"/>
      <c r="G964" s="932"/>
      <c r="H964" s="932"/>
      <c r="I964" s="932"/>
      <c r="J964" s="932"/>
      <c r="K964" s="957"/>
      <c r="L964" s="1492"/>
      <c r="M964" s="957"/>
      <c r="N964" s="932"/>
      <c r="O964" s="931"/>
      <c r="P964" s="931"/>
      <c r="Q964" s="957"/>
      <c r="R964" s="957"/>
    </row>
    <row r="965" ht="13.5" customHeight="1">
      <c r="A965" s="931"/>
      <c r="B965" s="931"/>
      <c r="C965" s="932"/>
      <c r="D965" s="932"/>
      <c r="E965" s="931"/>
      <c r="F965" s="931"/>
      <c r="G965" s="932"/>
      <c r="H965" s="932"/>
      <c r="I965" s="932"/>
      <c r="J965" s="932"/>
      <c r="K965" s="957"/>
      <c r="L965" s="1492"/>
      <c r="M965" s="957"/>
      <c r="N965" s="932"/>
      <c r="O965" s="931"/>
      <c r="P965" s="931"/>
      <c r="Q965" s="957"/>
      <c r="R965" s="957"/>
    </row>
    <row r="966" ht="13.5" customHeight="1">
      <c r="A966" s="931"/>
      <c r="B966" s="931"/>
      <c r="C966" s="932"/>
      <c r="D966" s="932"/>
      <c r="E966" s="931"/>
      <c r="F966" s="931"/>
      <c r="G966" s="932"/>
      <c r="H966" s="932"/>
      <c r="I966" s="932"/>
      <c r="J966" s="932"/>
      <c r="K966" s="957"/>
      <c r="L966" s="1492"/>
      <c r="M966" s="957"/>
      <c r="N966" s="932"/>
      <c r="O966" s="931"/>
      <c r="P966" s="931"/>
      <c r="Q966" s="957"/>
      <c r="R966" s="957"/>
    </row>
    <row r="967" ht="13.5" customHeight="1">
      <c r="A967" s="931"/>
      <c r="B967" s="931"/>
      <c r="C967" s="932"/>
      <c r="D967" s="932"/>
      <c r="E967" s="931"/>
      <c r="F967" s="931"/>
      <c r="G967" s="932"/>
      <c r="H967" s="932"/>
      <c r="I967" s="932"/>
      <c r="J967" s="932"/>
      <c r="K967" s="957"/>
      <c r="L967" s="1492"/>
      <c r="M967" s="957"/>
      <c r="N967" s="932"/>
      <c r="O967" s="931"/>
      <c r="P967" s="931"/>
      <c r="Q967" s="957"/>
      <c r="R967" s="957"/>
    </row>
    <row r="968" ht="13.5" customHeight="1">
      <c r="A968" s="931"/>
      <c r="B968" s="931"/>
      <c r="C968" s="932"/>
      <c r="D968" s="932"/>
      <c r="E968" s="931"/>
      <c r="F968" s="931"/>
      <c r="G968" s="932"/>
      <c r="H968" s="932"/>
      <c r="I968" s="932"/>
      <c r="J968" s="932"/>
      <c r="K968" s="957"/>
      <c r="L968" s="1492"/>
      <c r="M968" s="957"/>
      <c r="N968" s="932"/>
      <c r="O968" s="931"/>
      <c r="P968" s="931"/>
      <c r="Q968" s="957"/>
      <c r="R968" s="957"/>
    </row>
    <row r="969" ht="13.5" customHeight="1">
      <c r="A969" s="931"/>
      <c r="B969" s="931"/>
      <c r="C969" s="932"/>
      <c r="D969" s="932"/>
      <c r="E969" s="931"/>
      <c r="F969" s="931"/>
      <c r="G969" s="932"/>
      <c r="H969" s="932"/>
      <c r="I969" s="932"/>
      <c r="J969" s="932"/>
      <c r="K969" s="957"/>
      <c r="L969" s="1492"/>
      <c r="M969" s="957"/>
      <c r="N969" s="932"/>
      <c r="O969" s="931"/>
      <c r="P969" s="931"/>
      <c r="Q969" s="957"/>
      <c r="R969" s="957"/>
    </row>
    <row r="970" ht="13.5" customHeight="1">
      <c r="A970" s="931"/>
      <c r="B970" s="931"/>
      <c r="C970" s="932"/>
      <c r="D970" s="932"/>
      <c r="E970" s="931"/>
      <c r="F970" s="931"/>
      <c r="G970" s="932"/>
      <c r="H970" s="932"/>
      <c r="I970" s="932"/>
      <c r="J970" s="932"/>
      <c r="K970" s="957"/>
      <c r="L970" s="1492"/>
      <c r="M970" s="957"/>
      <c r="N970" s="932"/>
      <c r="O970" s="931"/>
      <c r="P970" s="931"/>
      <c r="Q970" s="957"/>
      <c r="R970" s="957"/>
    </row>
    <row r="971" ht="13.5" customHeight="1">
      <c r="A971" s="931"/>
      <c r="B971" s="931"/>
      <c r="C971" s="932"/>
      <c r="D971" s="932"/>
      <c r="E971" s="931"/>
      <c r="F971" s="931"/>
      <c r="G971" s="932"/>
      <c r="H971" s="932"/>
      <c r="I971" s="932"/>
      <c r="J971" s="932"/>
      <c r="K971" s="957"/>
      <c r="L971" s="1492"/>
      <c r="M971" s="957"/>
      <c r="N971" s="932"/>
      <c r="O971" s="931"/>
      <c r="P971" s="931"/>
      <c r="Q971" s="957"/>
      <c r="R971" s="957"/>
    </row>
    <row r="972" ht="13.5" customHeight="1">
      <c r="A972" s="931"/>
      <c r="B972" s="931"/>
      <c r="C972" s="932"/>
      <c r="D972" s="932"/>
      <c r="E972" s="931"/>
      <c r="F972" s="931"/>
      <c r="G972" s="932"/>
      <c r="H972" s="932"/>
      <c r="I972" s="932"/>
      <c r="J972" s="932"/>
      <c r="K972" s="957"/>
      <c r="L972" s="1492"/>
      <c r="M972" s="957"/>
      <c r="N972" s="932"/>
      <c r="O972" s="931"/>
      <c r="P972" s="931"/>
      <c r="Q972" s="957"/>
      <c r="R972" s="957"/>
    </row>
    <row r="973" ht="13.5" customHeight="1">
      <c r="A973" s="931"/>
      <c r="B973" s="931"/>
      <c r="C973" s="932"/>
      <c r="D973" s="932"/>
      <c r="E973" s="931"/>
      <c r="F973" s="931"/>
      <c r="G973" s="932"/>
      <c r="H973" s="932"/>
      <c r="I973" s="932"/>
      <c r="J973" s="932"/>
      <c r="K973" s="957"/>
      <c r="L973" s="1492"/>
      <c r="M973" s="957"/>
      <c r="N973" s="932"/>
      <c r="O973" s="931"/>
      <c r="P973" s="931"/>
      <c r="Q973" s="957"/>
      <c r="R973" s="957"/>
    </row>
    <row r="974" ht="13.5" customHeight="1">
      <c r="A974" s="931"/>
      <c r="B974" s="931"/>
      <c r="C974" s="932"/>
      <c r="D974" s="932"/>
      <c r="E974" s="931"/>
      <c r="F974" s="931"/>
      <c r="G974" s="932"/>
      <c r="H974" s="932"/>
      <c r="I974" s="932"/>
      <c r="J974" s="932"/>
      <c r="K974" s="957"/>
      <c r="L974" s="1492"/>
      <c r="M974" s="957"/>
      <c r="N974" s="932"/>
      <c r="O974" s="931"/>
      <c r="P974" s="931"/>
      <c r="Q974" s="957"/>
      <c r="R974" s="957"/>
    </row>
    <row r="975" ht="13.5" customHeight="1">
      <c r="A975" s="931"/>
      <c r="B975" s="931"/>
      <c r="C975" s="932"/>
      <c r="D975" s="932"/>
      <c r="E975" s="931"/>
      <c r="F975" s="931"/>
      <c r="G975" s="932"/>
      <c r="H975" s="932"/>
      <c r="I975" s="932"/>
      <c r="J975" s="932"/>
      <c r="K975" s="957"/>
      <c r="L975" s="1492"/>
      <c r="M975" s="957"/>
      <c r="N975" s="932"/>
      <c r="O975" s="931"/>
      <c r="P975" s="931"/>
      <c r="Q975" s="957"/>
      <c r="R975" s="957"/>
    </row>
    <row r="976" ht="13.5" customHeight="1">
      <c r="A976" s="931"/>
      <c r="B976" s="931"/>
      <c r="C976" s="932"/>
      <c r="D976" s="932"/>
      <c r="E976" s="931"/>
      <c r="F976" s="931"/>
      <c r="G976" s="932"/>
      <c r="H976" s="932"/>
      <c r="I976" s="932"/>
      <c r="J976" s="932"/>
      <c r="K976" s="957"/>
      <c r="L976" s="1492"/>
      <c r="M976" s="957"/>
      <c r="N976" s="932"/>
      <c r="O976" s="931"/>
      <c r="P976" s="931"/>
      <c r="Q976" s="957"/>
      <c r="R976" s="957"/>
    </row>
    <row r="977" ht="13.5" customHeight="1">
      <c r="A977" s="931"/>
      <c r="B977" s="931"/>
      <c r="C977" s="932"/>
      <c r="D977" s="932"/>
      <c r="E977" s="931"/>
      <c r="F977" s="931"/>
      <c r="G977" s="932"/>
      <c r="H977" s="932"/>
      <c r="I977" s="932"/>
      <c r="J977" s="932"/>
      <c r="K977" s="957"/>
      <c r="L977" s="1492"/>
      <c r="M977" s="957"/>
      <c r="N977" s="932"/>
      <c r="O977" s="931"/>
      <c r="P977" s="931"/>
      <c r="Q977" s="957"/>
      <c r="R977" s="957"/>
    </row>
    <row r="978" ht="13.5" customHeight="1">
      <c r="A978" s="931"/>
      <c r="B978" s="931"/>
      <c r="C978" s="932"/>
      <c r="D978" s="932"/>
      <c r="E978" s="931"/>
      <c r="F978" s="931"/>
      <c r="G978" s="932"/>
      <c r="H978" s="932"/>
      <c r="I978" s="932"/>
      <c r="J978" s="932"/>
      <c r="K978" s="957"/>
      <c r="L978" s="1492"/>
      <c r="M978" s="957"/>
      <c r="N978" s="932"/>
      <c r="O978" s="931"/>
      <c r="P978" s="931"/>
      <c r="Q978" s="957"/>
      <c r="R978" s="957"/>
    </row>
    <row r="979" ht="13.5" customHeight="1">
      <c r="A979" s="931"/>
      <c r="B979" s="931"/>
      <c r="C979" s="932"/>
      <c r="D979" s="932"/>
      <c r="E979" s="931"/>
      <c r="F979" s="931"/>
      <c r="G979" s="932"/>
      <c r="H979" s="932"/>
      <c r="I979" s="932"/>
      <c r="J979" s="932"/>
      <c r="K979" s="957"/>
      <c r="L979" s="1492"/>
      <c r="M979" s="957"/>
      <c r="N979" s="932"/>
      <c r="O979" s="931"/>
      <c r="P979" s="931"/>
      <c r="Q979" s="957"/>
      <c r="R979" s="957"/>
    </row>
    <row r="980" ht="13.5" customHeight="1">
      <c r="A980" s="931"/>
      <c r="B980" s="931"/>
      <c r="C980" s="932"/>
      <c r="D980" s="932"/>
      <c r="E980" s="931"/>
      <c r="F980" s="931"/>
      <c r="G980" s="932"/>
      <c r="H980" s="932"/>
      <c r="I980" s="932"/>
      <c r="J980" s="932"/>
      <c r="K980" s="957"/>
      <c r="L980" s="1492"/>
      <c r="M980" s="957"/>
      <c r="N980" s="932"/>
      <c r="O980" s="931"/>
      <c r="P980" s="931"/>
      <c r="Q980" s="957"/>
      <c r="R980" s="957"/>
    </row>
    <row r="981" ht="13.5" customHeight="1">
      <c r="A981" s="931"/>
      <c r="B981" s="931"/>
      <c r="C981" s="932"/>
      <c r="D981" s="932"/>
      <c r="E981" s="931"/>
      <c r="F981" s="931"/>
      <c r="G981" s="932"/>
      <c r="H981" s="932"/>
      <c r="I981" s="932"/>
      <c r="J981" s="932"/>
      <c r="K981" s="957"/>
      <c r="L981" s="1492"/>
      <c r="M981" s="957"/>
      <c r="N981" s="932"/>
      <c r="O981" s="931"/>
      <c r="P981" s="931"/>
      <c r="Q981" s="957"/>
      <c r="R981" s="957"/>
    </row>
    <row r="982" ht="13.5" customHeight="1">
      <c r="A982" s="931"/>
      <c r="B982" s="931"/>
      <c r="C982" s="932"/>
      <c r="D982" s="932"/>
      <c r="E982" s="931"/>
      <c r="F982" s="931"/>
      <c r="G982" s="932"/>
      <c r="H982" s="932"/>
      <c r="I982" s="932"/>
      <c r="J982" s="932"/>
      <c r="K982" s="957"/>
      <c r="L982" s="1492"/>
      <c r="M982" s="957"/>
      <c r="N982" s="932"/>
      <c r="O982" s="931"/>
      <c r="P982" s="931"/>
      <c r="Q982" s="957"/>
      <c r="R982" s="957"/>
    </row>
    <row r="983" ht="13.5" customHeight="1">
      <c r="A983" s="931"/>
      <c r="B983" s="931"/>
      <c r="C983" s="932"/>
      <c r="D983" s="932"/>
      <c r="E983" s="931"/>
      <c r="F983" s="931"/>
      <c r="G983" s="932"/>
      <c r="H983" s="932"/>
      <c r="I983" s="932"/>
      <c r="J983" s="932"/>
      <c r="K983" s="957"/>
      <c r="L983" s="1492"/>
      <c r="M983" s="957"/>
      <c r="N983" s="932"/>
      <c r="O983" s="931"/>
      <c r="P983" s="931"/>
      <c r="Q983" s="957"/>
      <c r="R983" s="957"/>
    </row>
    <row r="984" ht="13.5" customHeight="1">
      <c r="A984" s="931"/>
      <c r="B984" s="931"/>
      <c r="C984" s="932"/>
      <c r="D984" s="932"/>
      <c r="E984" s="931"/>
      <c r="F984" s="931"/>
      <c r="G984" s="932"/>
      <c r="H984" s="932"/>
      <c r="I984" s="932"/>
      <c r="J984" s="932"/>
      <c r="K984" s="957"/>
      <c r="L984" s="1492"/>
      <c r="M984" s="957"/>
      <c r="N984" s="932"/>
      <c r="O984" s="931"/>
      <c r="P984" s="931"/>
      <c r="Q984" s="957"/>
      <c r="R984" s="957"/>
    </row>
    <row r="985" ht="13.5" customHeight="1">
      <c r="A985" s="931"/>
      <c r="B985" s="931"/>
      <c r="C985" s="932"/>
      <c r="D985" s="932"/>
      <c r="E985" s="931"/>
      <c r="F985" s="931"/>
      <c r="G985" s="932"/>
      <c r="H985" s="932"/>
      <c r="I985" s="932"/>
      <c r="J985" s="932"/>
      <c r="K985" s="957"/>
      <c r="L985" s="1492"/>
      <c r="M985" s="957"/>
      <c r="N985" s="932"/>
      <c r="O985" s="931"/>
      <c r="P985" s="931"/>
      <c r="Q985" s="957"/>
      <c r="R985" s="957"/>
    </row>
    <row r="986" ht="13.5" customHeight="1">
      <c r="A986" s="931"/>
      <c r="B986" s="931"/>
      <c r="C986" s="932"/>
      <c r="D986" s="932"/>
      <c r="E986" s="931"/>
      <c r="F986" s="931"/>
      <c r="G986" s="932"/>
      <c r="H986" s="932"/>
      <c r="I986" s="932"/>
      <c r="J986" s="932"/>
      <c r="K986" s="957"/>
      <c r="L986" s="1492"/>
      <c r="M986" s="957"/>
      <c r="N986" s="932"/>
      <c r="O986" s="931"/>
      <c r="P986" s="931"/>
      <c r="Q986" s="957"/>
      <c r="R986" s="957"/>
    </row>
    <row r="987" ht="13.5" customHeight="1">
      <c r="A987" s="931"/>
      <c r="B987" s="931"/>
      <c r="C987" s="932"/>
      <c r="D987" s="932"/>
      <c r="E987" s="931"/>
      <c r="F987" s="931"/>
      <c r="G987" s="932"/>
      <c r="H987" s="932"/>
      <c r="I987" s="932"/>
      <c r="J987" s="932"/>
      <c r="K987" s="957"/>
      <c r="L987" s="1492"/>
      <c r="M987" s="957"/>
      <c r="N987" s="932"/>
      <c r="O987" s="931"/>
      <c r="P987" s="931"/>
      <c r="Q987" s="957"/>
      <c r="R987" s="957"/>
    </row>
    <row r="988" ht="13.5" customHeight="1">
      <c r="A988" s="931"/>
      <c r="B988" s="931"/>
      <c r="C988" s="932"/>
      <c r="D988" s="932"/>
      <c r="E988" s="931"/>
      <c r="F988" s="931"/>
      <c r="G988" s="932"/>
      <c r="H988" s="932"/>
      <c r="I988" s="932"/>
      <c r="J988" s="932"/>
      <c r="K988" s="957"/>
      <c r="L988" s="1492"/>
      <c r="M988" s="957"/>
      <c r="N988" s="932"/>
      <c r="O988" s="931"/>
      <c r="P988" s="931"/>
      <c r="Q988" s="957"/>
      <c r="R988" s="957"/>
    </row>
    <row r="989" ht="13.5" customHeight="1">
      <c r="A989" s="931"/>
      <c r="B989" s="931"/>
      <c r="C989" s="932"/>
      <c r="D989" s="932"/>
      <c r="E989" s="931"/>
      <c r="F989" s="931"/>
      <c r="G989" s="932"/>
      <c r="H989" s="932"/>
      <c r="I989" s="932"/>
      <c r="J989" s="932"/>
      <c r="K989" s="957"/>
      <c r="L989" s="1492"/>
      <c r="M989" s="957"/>
      <c r="N989" s="932"/>
      <c r="O989" s="931"/>
      <c r="P989" s="931"/>
      <c r="Q989" s="957"/>
      <c r="R989" s="957"/>
    </row>
    <row r="990" ht="13.5" customHeight="1">
      <c r="A990" s="931"/>
      <c r="B990" s="931"/>
      <c r="C990" s="932"/>
      <c r="D990" s="932"/>
      <c r="E990" s="931"/>
      <c r="F990" s="931"/>
      <c r="G990" s="932"/>
      <c r="H990" s="932"/>
      <c r="I990" s="932"/>
      <c r="J990" s="932"/>
      <c r="K990" s="957"/>
      <c r="L990" s="1492"/>
      <c r="M990" s="957"/>
      <c r="N990" s="932"/>
      <c r="O990" s="931"/>
      <c r="P990" s="931"/>
      <c r="Q990" s="957"/>
      <c r="R990" s="957"/>
    </row>
    <row r="991" ht="13.5" customHeight="1">
      <c r="A991" s="931"/>
      <c r="B991" s="931"/>
      <c r="C991" s="932"/>
      <c r="D991" s="932"/>
      <c r="E991" s="931"/>
      <c r="F991" s="931"/>
      <c r="G991" s="932"/>
      <c r="H991" s="932"/>
      <c r="I991" s="932"/>
      <c r="J991" s="932"/>
      <c r="K991" s="957"/>
      <c r="L991" s="1492"/>
      <c r="M991" s="957"/>
      <c r="N991" s="932"/>
      <c r="O991" s="931"/>
      <c r="P991" s="931"/>
      <c r="Q991" s="957"/>
      <c r="R991" s="957"/>
    </row>
    <row r="992" ht="13.5" customHeight="1">
      <c r="A992" s="931"/>
      <c r="B992" s="931"/>
      <c r="C992" s="932"/>
      <c r="D992" s="932"/>
      <c r="E992" s="931"/>
      <c r="F992" s="931"/>
      <c r="G992" s="932"/>
      <c r="H992" s="932"/>
      <c r="I992" s="932"/>
      <c r="J992" s="932"/>
      <c r="K992" s="957"/>
      <c r="L992" s="1492"/>
      <c r="M992" s="957"/>
      <c r="N992" s="932"/>
      <c r="O992" s="931"/>
      <c r="P992" s="931"/>
      <c r="Q992" s="957"/>
      <c r="R992" s="957"/>
    </row>
    <row r="993" ht="13.5" customHeight="1">
      <c r="A993" s="931"/>
      <c r="B993" s="931"/>
      <c r="C993" s="932"/>
      <c r="D993" s="932"/>
      <c r="E993" s="931"/>
      <c r="F993" s="931"/>
      <c r="G993" s="932"/>
      <c r="H993" s="932"/>
      <c r="I993" s="932"/>
      <c r="J993" s="932"/>
      <c r="K993" s="957"/>
      <c r="L993" s="1492"/>
      <c r="M993" s="957"/>
      <c r="N993" s="932"/>
      <c r="O993" s="931"/>
      <c r="P993" s="931"/>
      <c r="Q993" s="957"/>
      <c r="R993" s="957"/>
    </row>
    <row r="994" ht="13.5" customHeight="1">
      <c r="A994" s="931"/>
      <c r="B994" s="931"/>
      <c r="C994" s="932"/>
      <c r="D994" s="932"/>
      <c r="E994" s="931"/>
      <c r="F994" s="931"/>
      <c r="G994" s="932"/>
      <c r="H994" s="932"/>
      <c r="I994" s="932"/>
      <c r="J994" s="932"/>
      <c r="K994" s="957"/>
      <c r="L994" s="1492"/>
      <c r="M994" s="957"/>
      <c r="N994" s="932"/>
      <c r="O994" s="931"/>
      <c r="P994" s="931"/>
      <c r="Q994" s="957"/>
      <c r="R994" s="957"/>
    </row>
    <row r="995" ht="13.5" customHeight="1">
      <c r="A995" s="931"/>
      <c r="B995" s="931"/>
      <c r="C995" s="932"/>
      <c r="D995" s="932"/>
      <c r="E995" s="931"/>
      <c r="F995" s="931"/>
      <c r="G995" s="932"/>
      <c r="H995" s="932"/>
      <c r="I995" s="932"/>
      <c r="J995" s="932"/>
      <c r="K995" s="957"/>
      <c r="L995" s="1492"/>
      <c r="M995" s="957"/>
      <c r="N995" s="932"/>
      <c r="O995" s="931"/>
      <c r="P995" s="931"/>
      <c r="Q995" s="957"/>
      <c r="R995" s="957"/>
    </row>
    <row r="996" ht="13.5" customHeight="1">
      <c r="A996" s="931"/>
      <c r="B996" s="931"/>
      <c r="C996" s="932"/>
      <c r="D996" s="932"/>
      <c r="E996" s="931"/>
      <c r="F996" s="931"/>
      <c r="G996" s="932"/>
      <c r="H996" s="932"/>
      <c r="I996" s="932"/>
      <c r="J996" s="932"/>
      <c r="K996" s="957"/>
      <c r="L996" s="1492"/>
      <c r="M996" s="957"/>
      <c r="N996" s="932"/>
      <c r="O996" s="931"/>
      <c r="P996" s="931"/>
      <c r="Q996" s="957"/>
      <c r="R996" s="957"/>
    </row>
    <row r="997" ht="13.5" customHeight="1">
      <c r="A997" s="931"/>
      <c r="B997" s="931"/>
      <c r="C997" s="932"/>
      <c r="D997" s="932"/>
      <c r="E997" s="931"/>
      <c r="F997" s="931"/>
      <c r="G997" s="932"/>
      <c r="H997" s="932"/>
      <c r="I997" s="932"/>
      <c r="J997" s="932"/>
      <c r="K997" s="957"/>
      <c r="L997" s="1492"/>
      <c r="M997" s="957"/>
      <c r="N997" s="932"/>
      <c r="O997" s="931"/>
      <c r="P997" s="931"/>
      <c r="Q997" s="957"/>
      <c r="R997" s="957"/>
    </row>
    <row r="998" ht="13.5" customHeight="1">
      <c r="A998" s="931"/>
      <c r="B998" s="931"/>
      <c r="C998" s="932"/>
      <c r="D998" s="932"/>
      <c r="E998" s="931"/>
      <c r="F998" s="931"/>
      <c r="G998" s="932"/>
      <c r="H998" s="932"/>
      <c r="I998" s="932"/>
      <c r="J998" s="932"/>
      <c r="K998" s="957"/>
      <c r="L998" s="1492"/>
      <c r="M998" s="957"/>
      <c r="N998" s="932"/>
      <c r="O998" s="931"/>
      <c r="P998" s="931"/>
      <c r="Q998" s="957"/>
      <c r="R998" s="957"/>
    </row>
    <row r="999" ht="13.5" customHeight="1">
      <c r="A999" s="931"/>
      <c r="B999" s="931"/>
      <c r="C999" s="932"/>
      <c r="D999" s="932"/>
      <c r="E999" s="931"/>
      <c r="F999" s="931"/>
      <c r="G999" s="932"/>
      <c r="H999" s="932"/>
      <c r="I999" s="932"/>
      <c r="J999" s="932"/>
      <c r="K999" s="957"/>
      <c r="L999" s="1492"/>
      <c r="M999" s="957"/>
      <c r="N999" s="932"/>
      <c r="O999" s="931"/>
      <c r="P999" s="931"/>
      <c r="Q999" s="957"/>
      <c r="R999" s="957"/>
    </row>
    <row r="1000" ht="13.5" customHeight="1">
      <c r="A1000" s="931"/>
      <c r="B1000" s="931"/>
      <c r="C1000" s="932"/>
      <c r="D1000" s="932"/>
      <c r="E1000" s="931"/>
      <c r="F1000" s="931"/>
      <c r="G1000" s="932"/>
      <c r="H1000" s="932"/>
      <c r="I1000" s="932"/>
      <c r="J1000" s="932"/>
      <c r="K1000" s="957"/>
      <c r="L1000" s="1492"/>
      <c r="M1000" s="957"/>
      <c r="N1000" s="932"/>
      <c r="O1000" s="931"/>
      <c r="P1000" s="931"/>
      <c r="Q1000" s="957"/>
      <c r="R1000" s="957"/>
    </row>
    <row r="1001" ht="13.5" customHeight="1">
      <c r="A1001" s="931"/>
      <c r="B1001" s="931"/>
      <c r="C1001" s="932"/>
      <c r="D1001" s="932"/>
      <c r="E1001" s="931"/>
      <c r="F1001" s="931"/>
      <c r="G1001" s="932"/>
      <c r="H1001" s="932"/>
      <c r="I1001" s="932"/>
      <c r="J1001" s="932"/>
      <c r="K1001" s="957"/>
      <c r="L1001" s="1492"/>
      <c r="M1001" s="957"/>
      <c r="N1001" s="932"/>
      <c r="O1001" s="931"/>
      <c r="P1001" s="931"/>
      <c r="Q1001" s="957"/>
      <c r="R1001" s="957"/>
    </row>
    <row r="1002" ht="13.5" customHeight="1">
      <c r="A1002" s="931"/>
      <c r="B1002" s="931"/>
      <c r="C1002" s="932"/>
      <c r="D1002" s="932"/>
      <c r="E1002" s="931"/>
      <c r="F1002" s="931"/>
      <c r="G1002" s="932"/>
      <c r="H1002" s="932"/>
      <c r="I1002" s="932"/>
      <c r="J1002" s="932"/>
      <c r="K1002" s="957"/>
      <c r="L1002" s="1492"/>
      <c r="M1002" s="957"/>
      <c r="N1002" s="932"/>
      <c r="O1002" s="931"/>
      <c r="P1002" s="931"/>
      <c r="Q1002" s="957"/>
      <c r="R1002" s="957"/>
    </row>
    <row r="1003" ht="13.5" customHeight="1">
      <c r="A1003" s="931"/>
      <c r="B1003" s="931"/>
      <c r="C1003" s="932"/>
      <c r="D1003" s="932"/>
      <c r="E1003" s="931"/>
      <c r="F1003" s="931"/>
      <c r="G1003" s="932"/>
      <c r="H1003" s="932"/>
      <c r="I1003" s="932"/>
      <c r="J1003" s="932"/>
      <c r="K1003" s="957"/>
      <c r="L1003" s="1492"/>
      <c r="M1003" s="957"/>
      <c r="N1003" s="932"/>
      <c r="O1003" s="931"/>
      <c r="P1003" s="931"/>
      <c r="Q1003" s="957"/>
      <c r="R1003" s="957"/>
    </row>
    <row r="1004" ht="13.5" customHeight="1">
      <c r="A1004" s="931"/>
      <c r="B1004" s="931"/>
      <c r="C1004" s="932"/>
      <c r="D1004" s="932"/>
      <c r="E1004" s="931"/>
      <c r="F1004" s="931"/>
      <c r="G1004" s="932"/>
      <c r="H1004" s="932"/>
      <c r="I1004" s="932"/>
      <c r="J1004" s="932"/>
      <c r="K1004" s="957"/>
      <c r="L1004" s="1492"/>
      <c r="M1004" s="957"/>
      <c r="N1004" s="932"/>
      <c r="O1004" s="931"/>
      <c r="P1004" s="931"/>
      <c r="Q1004" s="957"/>
      <c r="R1004" s="957"/>
    </row>
    <row r="1005" ht="13.5" customHeight="1">
      <c r="A1005" s="931"/>
      <c r="B1005" s="931"/>
      <c r="C1005" s="932"/>
      <c r="D1005" s="932"/>
      <c r="E1005" s="931"/>
      <c r="F1005" s="931"/>
      <c r="G1005" s="932"/>
      <c r="H1005" s="932"/>
      <c r="I1005" s="932"/>
      <c r="J1005" s="932"/>
      <c r="K1005" s="957"/>
      <c r="L1005" s="1492"/>
      <c r="M1005" s="957"/>
      <c r="N1005" s="932"/>
      <c r="O1005" s="931"/>
      <c r="P1005" s="931"/>
      <c r="Q1005" s="957"/>
      <c r="R1005" s="957"/>
    </row>
    <row r="1006" ht="13.5" customHeight="1">
      <c r="A1006" s="931"/>
      <c r="B1006" s="931"/>
      <c r="C1006" s="932"/>
      <c r="D1006" s="932"/>
      <c r="E1006" s="931"/>
      <c r="F1006" s="931"/>
      <c r="G1006" s="932"/>
      <c r="H1006" s="932"/>
      <c r="I1006" s="932"/>
      <c r="J1006" s="932"/>
      <c r="K1006" s="957"/>
      <c r="L1006" s="1492"/>
      <c r="M1006" s="957"/>
      <c r="N1006" s="932"/>
      <c r="O1006" s="931"/>
      <c r="P1006" s="931"/>
      <c r="Q1006" s="957"/>
      <c r="R1006" s="957"/>
    </row>
    <row r="1007" ht="13.5" customHeight="1">
      <c r="A1007" s="931"/>
      <c r="B1007" s="931"/>
      <c r="C1007" s="932"/>
      <c r="D1007" s="932"/>
      <c r="E1007" s="931"/>
      <c r="F1007" s="931"/>
      <c r="G1007" s="932"/>
      <c r="H1007" s="932"/>
      <c r="I1007" s="932"/>
      <c r="J1007" s="932"/>
      <c r="K1007" s="957"/>
      <c r="L1007" s="1492"/>
      <c r="M1007" s="957"/>
      <c r="N1007" s="932"/>
      <c r="O1007" s="931"/>
      <c r="P1007" s="931"/>
      <c r="Q1007" s="957"/>
      <c r="R1007" s="957"/>
    </row>
    <row r="1008" ht="13.5" customHeight="1">
      <c r="A1008" s="931"/>
      <c r="B1008" s="931"/>
      <c r="C1008" s="932"/>
      <c r="D1008" s="932"/>
      <c r="E1008" s="931"/>
      <c r="F1008" s="931"/>
      <c r="G1008" s="932"/>
      <c r="H1008" s="932"/>
      <c r="I1008" s="932"/>
      <c r="J1008" s="932"/>
      <c r="K1008" s="957"/>
      <c r="L1008" s="1492"/>
      <c r="M1008" s="957"/>
      <c r="N1008" s="932"/>
      <c r="O1008" s="931"/>
      <c r="P1008" s="931"/>
      <c r="Q1008" s="957"/>
      <c r="R1008" s="957"/>
    </row>
    <row r="1009" ht="13.5" customHeight="1">
      <c r="A1009" s="931"/>
      <c r="B1009" s="931"/>
      <c r="C1009" s="932"/>
      <c r="D1009" s="932"/>
      <c r="E1009" s="931"/>
      <c r="F1009" s="931"/>
      <c r="G1009" s="932"/>
      <c r="H1009" s="932"/>
      <c r="I1009" s="932"/>
      <c r="J1009" s="932"/>
      <c r="K1009" s="957"/>
      <c r="L1009" s="1492"/>
      <c r="M1009" s="957"/>
      <c r="N1009" s="932"/>
      <c r="O1009" s="931"/>
      <c r="P1009" s="931"/>
      <c r="Q1009" s="957"/>
      <c r="R1009" s="957"/>
    </row>
    <row r="1010" ht="13.5" customHeight="1">
      <c r="A1010" s="931"/>
      <c r="B1010" s="931"/>
      <c r="C1010" s="932"/>
      <c r="D1010" s="932"/>
      <c r="E1010" s="931"/>
      <c r="F1010" s="931"/>
      <c r="G1010" s="932"/>
      <c r="H1010" s="932"/>
      <c r="I1010" s="932"/>
      <c r="J1010" s="932"/>
      <c r="K1010" s="957"/>
      <c r="L1010" s="1492"/>
      <c r="M1010" s="957"/>
      <c r="N1010" s="932"/>
      <c r="O1010" s="931"/>
      <c r="P1010" s="931"/>
      <c r="Q1010" s="957"/>
      <c r="R1010" s="957"/>
    </row>
    <row r="1011" ht="13.5" customHeight="1">
      <c r="A1011" s="931"/>
      <c r="B1011" s="931"/>
      <c r="C1011" s="932"/>
      <c r="D1011" s="932"/>
      <c r="E1011" s="931"/>
      <c r="F1011" s="931"/>
      <c r="G1011" s="932"/>
      <c r="H1011" s="932"/>
      <c r="I1011" s="932"/>
      <c r="J1011" s="932"/>
      <c r="K1011" s="957"/>
      <c r="L1011" s="1492"/>
      <c r="M1011" s="957"/>
      <c r="N1011" s="932"/>
      <c r="O1011" s="931"/>
      <c r="P1011" s="931"/>
      <c r="Q1011" s="957"/>
      <c r="R1011" s="957"/>
    </row>
    <row r="1012" ht="13.5" customHeight="1">
      <c r="A1012" s="931"/>
      <c r="B1012" s="931"/>
      <c r="C1012" s="932"/>
      <c r="D1012" s="932"/>
      <c r="E1012" s="931"/>
      <c r="F1012" s="931"/>
      <c r="G1012" s="932"/>
      <c r="H1012" s="932"/>
      <c r="I1012" s="932"/>
      <c r="J1012" s="932"/>
      <c r="K1012" s="957"/>
      <c r="L1012" s="1492"/>
      <c r="M1012" s="957"/>
      <c r="N1012" s="932"/>
      <c r="O1012" s="931"/>
      <c r="P1012" s="931"/>
      <c r="Q1012" s="957"/>
      <c r="R1012" s="957"/>
    </row>
    <row r="1013" ht="13.5" customHeight="1">
      <c r="A1013" s="931"/>
      <c r="B1013" s="931"/>
      <c r="C1013" s="932"/>
      <c r="D1013" s="932"/>
      <c r="E1013" s="931"/>
      <c r="F1013" s="931"/>
      <c r="G1013" s="932"/>
      <c r="H1013" s="932"/>
      <c r="I1013" s="932"/>
      <c r="J1013" s="932"/>
      <c r="K1013" s="957"/>
      <c r="L1013" s="1492"/>
      <c r="M1013" s="957"/>
      <c r="N1013" s="932"/>
      <c r="O1013" s="931"/>
      <c r="P1013" s="931"/>
      <c r="Q1013" s="957"/>
      <c r="R1013" s="957"/>
    </row>
    <row r="1014" ht="13.5" customHeight="1">
      <c r="A1014" s="931"/>
      <c r="B1014" s="931"/>
      <c r="C1014" s="932"/>
      <c r="D1014" s="932"/>
      <c r="E1014" s="931"/>
      <c r="F1014" s="931"/>
      <c r="G1014" s="932"/>
      <c r="H1014" s="932"/>
      <c r="I1014" s="932"/>
      <c r="J1014" s="932"/>
      <c r="K1014" s="957"/>
      <c r="L1014" s="1492"/>
      <c r="M1014" s="957"/>
      <c r="N1014" s="932"/>
      <c r="O1014" s="931"/>
      <c r="P1014" s="931"/>
      <c r="Q1014" s="957"/>
      <c r="R1014" s="957"/>
    </row>
    <row r="1015" ht="13.5" customHeight="1">
      <c r="A1015" s="931"/>
      <c r="B1015" s="931"/>
      <c r="C1015" s="932"/>
      <c r="D1015" s="932"/>
      <c r="E1015" s="931"/>
      <c r="F1015" s="931"/>
      <c r="G1015" s="932"/>
      <c r="H1015" s="932"/>
      <c r="I1015" s="932"/>
      <c r="J1015" s="932"/>
      <c r="K1015" s="957"/>
      <c r="L1015" s="1492"/>
      <c r="M1015" s="957"/>
      <c r="N1015" s="932"/>
      <c r="O1015" s="931"/>
      <c r="P1015" s="931"/>
      <c r="Q1015" s="957"/>
      <c r="R1015" s="957"/>
    </row>
    <row r="1016" ht="13.5" customHeight="1">
      <c r="A1016" s="931"/>
      <c r="B1016" s="931"/>
      <c r="C1016" s="932"/>
      <c r="D1016" s="932"/>
      <c r="E1016" s="931"/>
      <c r="F1016" s="931"/>
      <c r="G1016" s="932"/>
      <c r="H1016" s="932"/>
      <c r="I1016" s="932"/>
      <c r="J1016" s="932"/>
      <c r="K1016" s="957"/>
      <c r="L1016" s="1492"/>
      <c r="M1016" s="957"/>
      <c r="N1016" s="932"/>
      <c r="O1016" s="931"/>
      <c r="P1016" s="931"/>
      <c r="Q1016" s="957"/>
      <c r="R1016" s="957"/>
    </row>
    <row r="1017" ht="13.5" customHeight="1">
      <c r="A1017" s="931"/>
      <c r="B1017" s="931"/>
      <c r="C1017" s="932"/>
      <c r="D1017" s="932"/>
      <c r="E1017" s="931"/>
      <c r="F1017" s="931"/>
      <c r="G1017" s="932"/>
      <c r="H1017" s="932"/>
      <c r="I1017" s="932"/>
      <c r="J1017" s="932"/>
      <c r="K1017" s="957"/>
      <c r="L1017" s="1492"/>
      <c r="M1017" s="957"/>
      <c r="N1017" s="932"/>
      <c r="O1017" s="931"/>
      <c r="P1017" s="931"/>
      <c r="Q1017" s="957"/>
      <c r="R1017" s="957"/>
    </row>
    <row r="1018" ht="13.5" customHeight="1">
      <c r="A1018" s="931"/>
      <c r="B1018" s="931"/>
      <c r="C1018" s="932"/>
      <c r="D1018" s="932"/>
      <c r="E1018" s="931"/>
      <c r="F1018" s="931"/>
      <c r="G1018" s="932"/>
      <c r="H1018" s="932"/>
      <c r="I1018" s="932"/>
      <c r="J1018" s="932"/>
      <c r="K1018" s="957"/>
      <c r="L1018" s="1492"/>
      <c r="M1018" s="957"/>
      <c r="N1018" s="932"/>
      <c r="O1018" s="931"/>
      <c r="P1018" s="931"/>
      <c r="Q1018" s="957"/>
      <c r="R1018" s="957"/>
    </row>
    <row r="1019" ht="13.5" customHeight="1">
      <c r="A1019" s="931"/>
      <c r="B1019" s="931"/>
      <c r="C1019" s="932"/>
      <c r="D1019" s="932"/>
      <c r="E1019" s="931"/>
      <c r="F1019" s="931"/>
      <c r="G1019" s="932"/>
      <c r="H1019" s="932"/>
      <c r="I1019" s="932"/>
      <c r="J1019" s="932"/>
      <c r="K1019" s="957"/>
      <c r="L1019" s="1492"/>
      <c r="M1019" s="957"/>
      <c r="N1019" s="932"/>
      <c r="O1019" s="931"/>
      <c r="P1019" s="931"/>
      <c r="Q1019" s="957"/>
      <c r="R1019" s="957"/>
    </row>
    <row r="1020" ht="13.5" customHeight="1">
      <c r="A1020" s="931"/>
      <c r="B1020" s="931"/>
      <c r="C1020" s="932"/>
      <c r="D1020" s="932"/>
      <c r="E1020" s="931"/>
      <c r="F1020" s="931"/>
      <c r="G1020" s="932"/>
      <c r="H1020" s="932"/>
      <c r="I1020" s="932"/>
      <c r="J1020" s="932"/>
      <c r="K1020" s="957"/>
      <c r="L1020" s="1492"/>
      <c r="M1020" s="957"/>
      <c r="N1020" s="932"/>
      <c r="O1020" s="931"/>
      <c r="P1020" s="931"/>
      <c r="Q1020" s="957"/>
      <c r="R1020" s="957"/>
    </row>
    <row r="1021" ht="13.5" customHeight="1">
      <c r="A1021" s="931"/>
      <c r="B1021" s="931"/>
      <c r="C1021" s="932"/>
      <c r="D1021" s="932"/>
      <c r="E1021" s="931"/>
      <c r="F1021" s="931"/>
      <c r="G1021" s="932"/>
      <c r="H1021" s="932"/>
      <c r="I1021" s="932"/>
      <c r="J1021" s="932"/>
      <c r="K1021" s="957"/>
      <c r="L1021" s="1492"/>
      <c r="M1021" s="957"/>
      <c r="N1021" s="932"/>
      <c r="O1021" s="931"/>
      <c r="P1021" s="931"/>
      <c r="Q1021" s="957"/>
      <c r="R1021" s="957"/>
    </row>
    <row r="1022" ht="13.5" customHeight="1">
      <c r="A1022" s="931"/>
      <c r="B1022" s="931"/>
      <c r="C1022" s="932"/>
      <c r="D1022" s="932"/>
      <c r="E1022" s="931"/>
      <c r="F1022" s="931"/>
      <c r="G1022" s="932"/>
      <c r="H1022" s="932"/>
      <c r="I1022" s="932"/>
      <c r="J1022" s="932"/>
      <c r="K1022" s="957"/>
      <c r="L1022" s="1492"/>
      <c r="M1022" s="957"/>
      <c r="N1022" s="932"/>
      <c r="O1022" s="931"/>
      <c r="P1022" s="931"/>
      <c r="Q1022" s="957"/>
      <c r="R1022" s="957"/>
    </row>
    <row r="1023" ht="13.5" customHeight="1">
      <c r="A1023" s="931"/>
      <c r="B1023" s="931"/>
      <c r="C1023" s="932"/>
      <c r="D1023" s="932"/>
      <c r="E1023" s="931"/>
      <c r="F1023" s="931"/>
      <c r="G1023" s="932"/>
      <c r="H1023" s="932"/>
      <c r="I1023" s="932"/>
      <c r="J1023" s="932"/>
      <c r="K1023" s="957"/>
      <c r="L1023" s="1492"/>
      <c r="M1023" s="957"/>
      <c r="N1023" s="932"/>
      <c r="O1023" s="931"/>
      <c r="P1023" s="931"/>
      <c r="Q1023" s="957"/>
      <c r="R1023" s="957"/>
    </row>
    <row r="1024" ht="13.5" customHeight="1">
      <c r="A1024" s="931"/>
      <c r="B1024" s="931"/>
      <c r="C1024" s="932"/>
      <c r="D1024" s="932"/>
      <c r="E1024" s="931"/>
      <c r="F1024" s="931"/>
      <c r="G1024" s="932"/>
      <c r="H1024" s="932"/>
      <c r="I1024" s="932"/>
      <c r="J1024" s="932"/>
      <c r="K1024" s="957"/>
      <c r="L1024" s="1492"/>
      <c r="M1024" s="957"/>
      <c r="N1024" s="932"/>
      <c r="O1024" s="931"/>
      <c r="P1024" s="931"/>
      <c r="Q1024" s="957"/>
      <c r="R1024" s="957"/>
    </row>
    <row r="1025" ht="13.5" customHeight="1">
      <c r="A1025" s="931"/>
      <c r="B1025" s="931"/>
      <c r="C1025" s="932"/>
      <c r="D1025" s="932"/>
      <c r="E1025" s="931"/>
      <c r="F1025" s="931"/>
      <c r="G1025" s="932"/>
      <c r="H1025" s="932"/>
      <c r="I1025" s="932"/>
      <c r="J1025" s="932"/>
      <c r="K1025" s="957"/>
      <c r="L1025" s="1492"/>
      <c r="M1025" s="957"/>
      <c r="N1025" s="932"/>
      <c r="O1025" s="931"/>
      <c r="P1025" s="931"/>
      <c r="Q1025" s="957"/>
      <c r="R1025" s="957"/>
    </row>
    <row r="1026" ht="13.5" customHeight="1">
      <c r="A1026" s="931"/>
      <c r="B1026" s="931"/>
      <c r="C1026" s="932"/>
      <c r="D1026" s="932"/>
      <c r="E1026" s="931"/>
      <c r="F1026" s="931"/>
      <c r="G1026" s="932"/>
      <c r="H1026" s="932"/>
      <c r="I1026" s="932"/>
      <c r="J1026" s="932"/>
      <c r="K1026" s="957"/>
      <c r="L1026" s="1492"/>
      <c r="M1026" s="957"/>
      <c r="N1026" s="932"/>
      <c r="O1026" s="931"/>
      <c r="P1026" s="931"/>
      <c r="Q1026" s="957"/>
      <c r="R1026" s="957"/>
    </row>
    <row r="1027" ht="13.5" customHeight="1">
      <c r="A1027" s="931"/>
      <c r="B1027" s="931"/>
      <c r="C1027" s="932"/>
      <c r="D1027" s="932"/>
      <c r="E1027" s="931"/>
      <c r="F1027" s="931"/>
      <c r="G1027" s="932"/>
      <c r="H1027" s="932"/>
      <c r="I1027" s="932"/>
      <c r="J1027" s="932"/>
      <c r="K1027" s="957"/>
      <c r="L1027" s="1492"/>
      <c r="M1027" s="957"/>
      <c r="N1027" s="932"/>
      <c r="O1027" s="931"/>
      <c r="P1027" s="931"/>
      <c r="Q1027" s="957"/>
      <c r="R1027" s="957"/>
    </row>
    <row r="1028" ht="13.5" customHeight="1">
      <c r="A1028" s="931"/>
      <c r="B1028" s="931"/>
      <c r="C1028" s="932"/>
      <c r="D1028" s="932"/>
      <c r="E1028" s="931"/>
      <c r="F1028" s="931"/>
      <c r="G1028" s="932"/>
      <c r="H1028" s="932"/>
      <c r="I1028" s="932"/>
      <c r="J1028" s="932"/>
      <c r="K1028" s="957"/>
      <c r="L1028" s="1492"/>
      <c r="M1028" s="957"/>
      <c r="N1028" s="932"/>
      <c r="O1028" s="931"/>
      <c r="P1028" s="931"/>
      <c r="Q1028" s="957"/>
      <c r="R1028" s="957"/>
    </row>
    <row r="1029" ht="13.5" customHeight="1">
      <c r="A1029" s="931"/>
      <c r="B1029" s="931"/>
      <c r="C1029" s="932"/>
      <c r="D1029" s="932"/>
      <c r="E1029" s="931"/>
      <c r="F1029" s="931"/>
      <c r="G1029" s="932"/>
      <c r="H1029" s="932"/>
      <c r="I1029" s="932"/>
      <c r="J1029" s="932"/>
      <c r="K1029" s="957"/>
      <c r="L1029" s="1492"/>
      <c r="M1029" s="957"/>
      <c r="N1029" s="932"/>
      <c r="O1029" s="931"/>
      <c r="P1029" s="931"/>
      <c r="Q1029" s="957"/>
      <c r="R1029" s="957"/>
    </row>
    <row r="1030" ht="13.5" customHeight="1">
      <c r="A1030" s="931"/>
      <c r="B1030" s="931"/>
      <c r="C1030" s="932"/>
      <c r="D1030" s="932"/>
      <c r="E1030" s="931"/>
      <c r="F1030" s="931"/>
      <c r="G1030" s="932"/>
      <c r="H1030" s="932"/>
      <c r="I1030" s="932"/>
      <c r="J1030" s="932"/>
      <c r="K1030" s="957"/>
      <c r="L1030" s="1492"/>
      <c r="M1030" s="957"/>
      <c r="N1030" s="932"/>
      <c r="O1030" s="931"/>
      <c r="P1030" s="931"/>
      <c r="Q1030" s="957"/>
      <c r="R1030" s="957"/>
    </row>
    <row r="1031" ht="13.5" customHeight="1">
      <c r="A1031" s="931"/>
      <c r="B1031" s="931"/>
      <c r="C1031" s="932"/>
      <c r="D1031" s="932"/>
      <c r="E1031" s="931"/>
      <c r="F1031" s="931"/>
      <c r="G1031" s="932"/>
      <c r="H1031" s="932"/>
      <c r="I1031" s="932"/>
      <c r="J1031" s="932"/>
      <c r="K1031" s="957"/>
      <c r="L1031" s="1492"/>
      <c r="M1031" s="957"/>
      <c r="N1031" s="932"/>
      <c r="O1031" s="931"/>
      <c r="P1031" s="931"/>
      <c r="Q1031" s="957"/>
      <c r="R1031" s="957"/>
    </row>
    <row r="1032" ht="13.5" customHeight="1">
      <c r="A1032" s="931"/>
      <c r="B1032" s="931"/>
      <c r="C1032" s="932"/>
      <c r="D1032" s="932"/>
      <c r="E1032" s="931"/>
      <c r="F1032" s="931"/>
      <c r="G1032" s="932"/>
      <c r="H1032" s="932"/>
      <c r="I1032" s="932"/>
      <c r="J1032" s="932"/>
      <c r="K1032" s="957"/>
      <c r="L1032" s="1492"/>
      <c r="M1032" s="957"/>
      <c r="N1032" s="932"/>
      <c r="O1032" s="931"/>
      <c r="P1032" s="931"/>
      <c r="Q1032" s="957"/>
      <c r="R1032" s="957"/>
    </row>
    <row r="1033" ht="13.5" customHeight="1">
      <c r="A1033" s="931"/>
      <c r="B1033" s="931"/>
      <c r="C1033" s="932"/>
      <c r="D1033" s="932"/>
      <c r="E1033" s="931"/>
      <c r="F1033" s="931"/>
      <c r="G1033" s="932"/>
      <c r="H1033" s="932"/>
      <c r="I1033" s="932"/>
      <c r="J1033" s="932"/>
      <c r="K1033" s="957"/>
      <c r="L1033" s="1492"/>
      <c r="M1033" s="957"/>
      <c r="N1033" s="932"/>
      <c r="O1033" s="931"/>
      <c r="P1033" s="931"/>
      <c r="Q1033" s="957"/>
      <c r="R1033" s="957"/>
    </row>
    <row r="1034" ht="13.5" customHeight="1">
      <c r="A1034" s="931"/>
      <c r="B1034" s="931"/>
      <c r="C1034" s="932"/>
      <c r="D1034" s="932"/>
      <c r="E1034" s="931"/>
      <c r="F1034" s="931"/>
      <c r="G1034" s="932"/>
      <c r="H1034" s="932"/>
      <c r="I1034" s="932"/>
      <c r="J1034" s="932"/>
      <c r="K1034" s="957"/>
      <c r="L1034" s="1492"/>
      <c r="M1034" s="957"/>
      <c r="N1034" s="932"/>
      <c r="O1034" s="931"/>
      <c r="P1034" s="931"/>
      <c r="Q1034" s="957"/>
      <c r="R1034" s="957"/>
    </row>
    <row r="1035" ht="13.5" customHeight="1">
      <c r="A1035" s="931"/>
      <c r="B1035" s="931"/>
      <c r="C1035" s="932"/>
      <c r="D1035" s="932"/>
      <c r="E1035" s="931"/>
      <c r="F1035" s="931"/>
      <c r="G1035" s="932"/>
      <c r="H1035" s="932"/>
      <c r="I1035" s="932"/>
      <c r="J1035" s="932"/>
      <c r="K1035" s="957"/>
      <c r="L1035" s="1492"/>
      <c r="M1035" s="957"/>
      <c r="N1035" s="932"/>
      <c r="O1035" s="931"/>
      <c r="P1035" s="931"/>
      <c r="Q1035" s="957"/>
      <c r="R1035" s="957"/>
    </row>
    <row r="1036" ht="13.5" customHeight="1">
      <c r="A1036" s="931"/>
      <c r="B1036" s="931"/>
      <c r="C1036" s="932"/>
      <c r="D1036" s="932"/>
      <c r="E1036" s="931"/>
      <c r="F1036" s="931"/>
      <c r="G1036" s="932"/>
      <c r="H1036" s="932"/>
      <c r="I1036" s="932"/>
      <c r="J1036" s="932"/>
      <c r="K1036" s="957"/>
      <c r="L1036" s="1492"/>
      <c r="M1036" s="957"/>
      <c r="N1036" s="932"/>
      <c r="O1036" s="931"/>
      <c r="P1036" s="931"/>
      <c r="Q1036" s="957"/>
      <c r="R1036" s="957"/>
    </row>
    <row r="1037" ht="13.5" customHeight="1">
      <c r="A1037" s="931"/>
      <c r="B1037" s="931"/>
      <c r="C1037" s="932"/>
      <c r="D1037" s="932"/>
      <c r="E1037" s="931"/>
      <c r="F1037" s="931"/>
      <c r="G1037" s="932"/>
      <c r="H1037" s="932"/>
      <c r="I1037" s="932"/>
      <c r="J1037" s="932"/>
      <c r="K1037" s="957"/>
      <c r="L1037" s="1492"/>
      <c r="M1037" s="957"/>
      <c r="N1037" s="932"/>
      <c r="O1037" s="931"/>
      <c r="P1037" s="931"/>
      <c r="Q1037" s="957"/>
      <c r="R1037" s="957"/>
    </row>
    <row r="1038" ht="13.5" customHeight="1">
      <c r="A1038" s="931"/>
      <c r="B1038" s="931"/>
      <c r="C1038" s="932"/>
      <c r="D1038" s="932"/>
      <c r="E1038" s="931"/>
      <c r="F1038" s="931"/>
      <c r="G1038" s="932"/>
      <c r="H1038" s="932"/>
      <c r="I1038" s="932"/>
      <c r="J1038" s="932"/>
      <c r="K1038" s="957"/>
      <c r="L1038" s="1492"/>
      <c r="M1038" s="957"/>
      <c r="N1038" s="932"/>
      <c r="O1038" s="931"/>
      <c r="P1038" s="931"/>
      <c r="Q1038" s="957"/>
      <c r="R1038" s="957"/>
    </row>
    <row r="1039" ht="13.5" customHeight="1">
      <c r="A1039" s="931"/>
      <c r="B1039" s="931"/>
      <c r="C1039" s="932"/>
      <c r="D1039" s="932"/>
      <c r="E1039" s="931"/>
      <c r="F1039" s="931"/>
      <c r="G1039" s="932"/>
      <c r="H1039" s="932"/>
      <c r="I1039" s="932"/>
      <c r="J1039" s="932"/>
      <c r="K1039" s="957"/>
      <c r="L1039" s="1492"/>
      <c r="M1039" s="957"/>
      <c r="N1039" s="932"/>
      <c r="O1039" s="931"/>
      <c r="P1039" s="931"/>
      <c r="Q1039" s="957"/>
      <c r="R1039" s="957"/>
    </row>
    <row r="1040" ht="13.5" customHeight="1">
      <c r="A1040" s="931"/>
      <c r="B1040" s="931"/>
      <c r="C1040" s="932"/>
      <c r="D1040" s="932"/>
      <c r="E1040" s="931"/>
      <c r="F1040" s="931"/>
      <c r="G1040" s="932"/>
      <c r="H1040" s="932"/>
      <c r="I1040" s="932"/>
      <c r="J1040" s="932"/>
      <c r="K1040" s="957"/>
      <c r="L1040" s="1492"/>
      <c r="M1040" s="957"/>
      <c r="N1040" s="932"/>
      <c r="O1040" s="931"/>
      <c r="P1040" s="931"/>
      <c r="Q1040" s="957"/>
      <c r="R1040" s="957"/>
    </row>
    <row r="1041" ht="13.5" customHeight="1">
      <c r="A1041" s="931"/>
      <c r="B1041" s="931"/>
      <c r="C1041" s="932"/>
      <c r="D1041" s="932"/>
      <c r="E1041" s="931"/>
      <c r="F1041" s="931"/>
      <c r="G1041" s="932"/>
      <c r="H1041" s="932"/>
      <c r="I1041" s="932"/>
      <c r="J1041" s="932"/>
      <c r="K1041" s="957"/>
      <c r="L1041" s="1492"/>
      <c r="M1041" s="957"/>
      <c r="N1041" s="932"/>
      <c r="O1041" s="931"/>
      <c r="P1041" s="931"/>
      <c r="Q1041" s="957"/>
      <c r="R1041" s="957"/>
    </row>
    <row r="1042" ht="13.5" customHeight="1">
      <c r="A1042" s="931"/>
      <c r="B1042" s="931"/>
      <c r="C1042" s="932"/>
      <c r="D1042" s="932"/>
      <c r="E1042" s="931"/>
      <c r="F1042" s="931"/>
      <c r="G1042" s="932"/>
      <c r="H1042" s="932"/>
      <c r="I1042" s="932"/>
      <c r="J1042" s="932"/>
      <c r="K1042" s="957"/>
      <c r="L1042" s="1492"/>
      <c r="M1042" s="957"/>
      <c r="N1042" s="932"/>
      <c r="O1042" s="931"/>
      <c r="P1042" s="931"/>
      <c r="Q1042" s="957"/>
      <c r="R1042" s="957"/>
    </row>
    <row r="1043" ht="13.5" customHeight="1">
      <c r="A1043" s="931"/>
      <c r="B1043" s="931"/>
      <c r="C1043" s="932"/>
      <c r="D1043" s="932"/>
      <c r="E1043" s="931"/>
      <c r="F1043" s="931"/>
      <c r="G1043" s="932"/>
      <c r="H1043" s="932"/>
      <c r="I1043" s="932"/>
      <c r="J1043" s="932"/>
      <c r="K1043" s="957"/>
      <c r="L1043" s="1492"/>
      <c r="M1043" s="957"/>
      <c r="N1043" s="932"/>
      <c r="O1043" s="931"/>
      <c r="P1043" s="931"/>
      <c r="Q1043" s="957"/>
      <c r="R1043" s="957"/>
    </row>
    <row r="1044" ht="13.5" customHeight="1">
      <c r="A1044" s="931"/>
      <c r="B1044" s="931"/>
      <c r="C1044" s="932"/>
      <c r="D1044" s="932"/>
      <c r="E1044" s="931"/>
      <c r="F1044" s="931"/>
      <c r="G1044" s="932"/>
      <c r="H1044" s="932"/>
      <c r="I1044" s="932"/>
      <c r="J1044" s="932"/>
      <c r="K1044" s="957"/>
      <c r="L1044" s="1492"/>
      <c r="M1044" s="957"/>
      <c r="N1044" s="932"/>
      <c r="O1044" s="931"/>
      <c r="P1044" s="931"/>
      <c r="Q1044" s="957"/>
      <c r="R1044" s="957"/>
    </row>
    <row r="1045" ht="13.5" customHeight="1">
      <c r="A1045" s="931"/>
      <c r="B1045" s="931"/>
      <c r="C1045" s="932"/>
      <c r="D1045" s="932"/>
      <c r="E1045" s="931"/>
      <c r="F1045" s="931"/>
      <c r="G1045" s="932"/>
      <c r="H1045" s="932"/>
      <c r="I1045" s="932"/>
      <c r="J1045" s="932"/>
      <c r="K1045" s="957"/>
      <c r="L1045" s="1492"/>
      <c r="M1045" s="957"/>
      <c r="N1045" s="932"/>
      <c r="O1045" s="931"/>
      <c r="P1045" s="931"/>
      <c r="Q1045" s="957"/>
      <c r="R1045" s="957"/>
    </row>
    <row r="1046" ht="13.5" customHeight="1">
      <c r="A1046" s="931"/>
      <c r="B1046" s="931"/>
      <c r="C1046" s="932"/>
      <c r="D1046" s="932"/>
      <c r="E1046" s="931"/>
      <c r="F1046" s="931"/>
      <c r="G1046" s="932"/>
      <c r="H1046" s="932"/>
      <c r="I1046" s="932"/>
      <c r="J1046" s="932"/>
      <c r="K1046" s="957"/>
      <c r="L1046" s="1492"/>
      <c r="M1046" s="957"/>
      <c r="N1046" s="932"/>
      <c r="O1046" s="931"/>
      <c r="P1046" s="931"/>
      <c r="Q1046" s="957"/>
      <c r="R1046" s="957"/>
    </row>
    <row r="1047" ht="13.5" customHeight="1">
      <c r="A1047" s="931"/>
      <c r="B1047" s="931"/>
      <c r="C1047" s="932"/>
      <c r="D1047" s="932"/>
      <c r="E1047" s="931"/>
      <c r="F1047" s="931"/>
      <c r="G1047" s="932"/>
      <c r="H1047" s="932"/>
      <c r="I1047" s="932"/>
      <c r="J1047" s="932"/>
      <c r="K1047" s="957"/>
      <c r="L1047" s="1492"/>
      <c r="M1047" s="957"/>
      <c r="N1047" s="932"/>
      <c r="O1047" s="931"/>
      <c r="P1047" s="931"/>
      <c r="Q1047" s="957"/>
      <c r="R1047" s="957"/>
    </row>
    <row r="1048" ht="13.5" customHeight="1">
      <c r="A1048" s="931"/>
      <c r="B1048" s="931"/>
      <c r="C1048" s="932"/>
      <c r="D1048" s="932"/>
      <c r="E1048" s="931"/>
      <c r="F1048" s="931"/>
      <c r="G1048" s="932"/>
      <c r="H1048" s="932"/>
      <c r="I1048" s="932"/>
      <c r="J1048" s="932"/>
      <c r="K1048" s="957"/>
      <c r="L1048" s="1492"/>
      <c r="M1048" s="957"/>
      <c r="N1048" s="932"/>
      <c r="O1048" s="931"/>
      <c r="P1048" s="931"/>
      <c r="Q1048" s="957"/>
      <c r="R1048" s="957"/>
    </row>
    <row r="1049" ht="13.5" customHeight="1">
      <c r="A1049" s="931"/>
      <c r="B1049" s="931"/>
      <c r="C1049" s="932"/>
      <c r="D1049" s="932"/>
      <c r="E1049" s="931"/>
      <c r="F1049" s="931"/>
      <c r="G1049" s="932"/>
      <c r="H1049" s="932"/>
      <c r="I1049" s="932"/>
      <c r="J1049" s="932"/>
      <c r="K1049" s="957"/>
      <c r="L1049" s="1492"/>
      <c r="M1049" s="957"/>
      <c r="N1049" s="932"/>
      <c r="O1049" s="931"/>
      <c r="P1049" s="931"/>
      <c r="Q1049" s="957"/>
      <c r="R1049" s="957"/>
    </row>
    <row r="1050" ht="13.5" customHeight="1">
      <c r="A1050" s="931"/>
      <c r="B1050" s="931"/>
      <c r="C1050" s="932"/>
      <c r="D1050" s="932"/>
      <c r="E1050" s="931"/>
      <c r="F1050" s="931"/>
      <c r="G1050" s="932"/>
      <c r="H1050" s="932"/>
      <c r="I1050" s="932"/>
      <c r="J1050" s="932"/>
      <c r="K1050" s="957"/>
      <c r="L1050" s="1492"/>
      <c r="M1050" s="957"/>
      <c r="N1050" s="932"/>
      <c r="O1050" s="931"/>
      <c r="P1050" s="931"/>
      <c r="Q1050" s="957"/>
      <c r="R1050" s="957"/>
    </row>
    <row r="1051" ht="13.5" customHeight="1">
      <c r="A1051" s="931"/>
      <c r="B1051" s="931"/>
      <c r="C1051" s="932"/>
      <c r="D1051" s="932"/>
      <c r="E1051" s="931"/>
      <c r="F1051" s="931"/>
      <c r="G1051" s="932"/>
      <c r="H1051" s="932"/>
      <c r="I1051" s="932"/>
      <c r="J1051" s="932"/>
      <c r="K1051" s="957"/>
      <c r="L1051" s="1492"/>
      <c r="M1051" s="957"/>
      <c r="N1051" s="932"/>
      <c r="O1051" s="931"/>
      <c r="P1051" s="931"/>
      <c r="Q1051" s="957"/>
      <c r="R1051" s="957"/>
    </row>
    <row r="1052" ht="13.5" customHeight="1">
      <c r="A1052" s="931"/>
      <c r="B1052" s="931"/>
      <c r="C1052" s="932"/>
      <c r="D1052" s="932"/>
      <c r="E1052" s="931"/>
      <c r="F1052" s="931"/>
      <c r="G1052" s="932"/>
      <c r="H1052" s="932"/>
      <c r="I1052" s="932"/>
      <c r="J1052" s="932"/>
      <c r="K1052" s="957"/>
      <c r="L1052" s="1492"/>
      <c r="M1052" s="957"/>
      <c r="N1052" s="932"/>
      <c r="O1052" s="931"/>
      <c r="P1052" s="931"/>
      <c r="Q1052" s="957"/>
      <c r="R1052" s="957"/>
    </row>
    <row r="1053" ht="13.5" customHeight="1">
      <c r="A1053" s="931"/>
      <c r="B1053" s="931"/>
      <c r="C1053" s="932"/>
      <c r="D1053" s="932"/>
      <c r="E1053" s="931"/>
      <c r="F1053" s="931"/>
      <c r="G1053" s="932"/>
      <c r="H1053" s="932"/>
      <c r="I1053" s="932"/>
      <c r="J1053" s="932"/>
      <c r="K1053" s="957"/>
      <c r="L1053" s="1492"/>
      <c r="M1053" s="957"/>
      <c r="N1053" s="932"/>
      <c r="O1053" s="931"/>
      <c r="P1053" s="931"/>
      <c r="Q1053" s="957"/>
      <c r="R1053" s="957"/>
    </row>
    <row r="1054" ht="13.5" customHeight="1">
      <c r="A1054" s="931"/>
      <c r="B1054" s="931"/>
      <c r="C1054" s="932"/>
      <c r="D1054" s="932"/>
      <c r="E1054" s="931"/>
      <c r="F1054" s="931"/>
      <c r="G1054" s="932"/>
      <c r="H1054" s="932"/>
      <c r="I1054" s="932"/>
      <c r="J1054" s="932"/>
      <c r="K1054" s="957"/>
      <c r="L1054" s="1492"/>
      <c r="M1054" s="957"/>
      <c r="N1054" s="932"/>
      <c r="O1054" s="931"/>
      <c r="P1054" s="931"/>
      <c r="Q1054" s="957"/>
      <c r="R1054" s="957"/>
    </row>
    <row r="1055" ht="13.5" customHeight="1">
      <c r="A1055" s="931"/>
      <c r="B1055" s="931"/>
      <c r="C1055" s="932"/>
      <c r="D1055" s="932"/>
      <c r="E1055" s="931"/>
      <c r="F1055" s="931"/>
      <c r="G1055" s="932"/>
      <c r="H1055" s="932"/>
      <c r="I1055" s="932"/>
      <c r="J1055" s="932"/>
      <c r="K1055" s="957"/>
      <c r="L1055" s="1492"/>
      <c r="M1055" s="957"/>
      <c r="N1055" s="932"/>
      <c r="O1055" s="931"/>
      <c r="P1055" s="931"/>
      <c r="Q1055" s="957"/>
      <c r="R1055" s="957"/>
    </row>
    <row r="1056" ht="13.5" customHeight="1">
      <c r="A1056" s="931"/>
      <c r="B1056" s="931"/>
      <c r="C1056" s="932"/>
      <c r="D1056" s="932"/>
      <c r="E1056" s="931"/>
      <c r="F1056" s="931"/>
      <c r="G1056" s="932"/>
      <c r="H1056" s="932"/>
      <c r="I1056" s="932"/>
      <c r="J1056" s="932"/>
      <c r="K1056" s="957"/>
      <c r="L1056" s="1492"/>
      <c r="M1056" s="957"/>
      <c r="N1056" s="932"/>
      <c r="O1056" s="931"/>
      <c r="P1056" s="931"/>
      <c r="Q1056" s="957"/>
      <c r="R1056" s="957"/>
    </row>
    <row r="1057" ht="13.5" customHeight="1">
      <c r="A1057" s="931"/>
      <c r="B1057" s="931"/>
      <c r="C1057" s="932"/>
      <c r="D1057" s="932"/>
      <c r="E1057" s="931"/>
      <c r="F1057" s="931"/>
      <c r="G1057" s="932"/>
      <c r="H1057" s="932"/>
      <c r="I1057" s="932"/>
      <c r="J1057" s="932"/>
      <c r="K1057" s="957"/>
      <c r="L1057" s="1492"/>
      <c r="M1057" s="957"/>
      <c r="N1057" s="932"/>
      <c r="O1057" s="931"/>
      <c r="P1057" s="931"/>
      <c r="Q1057" s="957"/>
      <c r="R1057" s="957"/>
    </row>
    <row r="1058" ht="13.5" customHeight="1">
      <c r="A1058" s="931"/>
      <c r="B1058" s="931"/>
      <c r="C1058" s="932"/>
      <c r="D1058" s="932"/>
      <c r="E1058" s="931"/>
      <c r="F1058" s="931"/>
      <c r="G1058" s="932"/>
      <c r="H1058" s="932"/>
      <c r="I1058" s="932"/>
      <c r="J1058" s="932"/>
      <c r="K1058" s="957"/>
      <c r="L1058" s="1492"/>
      <c r="M1058" s="957"/>
      <c r="N1058" s="932"/>
      <c r="O1058" s="931"/>
      <c r="P1058" s="931"/>
      <c r="Q1058" s="957"/>
      <c r="R1058" s="957"/>
    </row>
    <row r="1059" ht="13.5" customHeight="1">
      <c r="A1059" s="931"/>
      <c r="B1059" s="931"/>
      <c r="C1059" s="932"/>
      <c r="D1059" s="932"/>
      <c r="E1059" s="931"/>
      <c r="F1059" s="931"/>
      <c r="G1059" s="932"/>
      <c r="H1059" s="932"/>
      <c r="I1059" s="932"/>
      <c r="J1059" s="932"/>
      <c r="K1059" s="957"/>
      <c r="L1059" s="1492"/>
      <c r="M1059" s="957"/>
      <c r="N1059" s="932"/>
      <c r="O1059" s="931"/>
      <c r="P1059" s="931"/>
      <c r="Q1059" s="957"/>
      <c r="R1059" s="957"/>
    </row>
    <row r="1060" ht="13.5" customHeight="1">
      <c r="A1060" s="931"/>
      <c r="B1060" s="931"/>
      <c r="C1060" s="932"/>
      <c r="D1060" s="932"/>
      <c r="E1060" s="931"/>
      <c r="F1060" s="931"/>
      <c r="G1060" s="932"/>
      <c r="H1060" s="932"/>
      <c r="I1060" s="932"/>
      <c r="J1060" s="932"/>
      <c r="K1060" s="957"/>
      <c r="L1060" s="1492"/>
      <c r="M1060" s="957"/>
      <c r="N1060" s="932"/>
      <c r="O1060" s="931"/>
      <c r="P1060" s="931"/>
      <c r="Q1060" s="957"/>
      <c r="R1060" s="957"/>
    </row>
    <row r="1061" ht="13.5" customHeight="1">
      <c r="A1061" s="931"/>
      <c r="B1061" s="931"/>
      <c r="C1061" s="932"/>
      <c r="D1061" s="932"/>
      <c r="E1061" s="931"/>
      <c r="F1061" s="931"/>
      <c r="G1061" s="932"/>
      <c r="H1061" s="932"/>
      <c r="I1061" s="932"/>
      <c r="J1061" s="932"/>
      <c r="K1061" s="957"/>
      <c r="L1061" s="1492"/>
      <c r="M1061" s="957"/>
      <c r="N1061" s="932"/>
      <c r="O1061" s="931"/>
      <c r="P1061" s="931"/>
      <c r="Q1061" s="957"/>
      <c r="R1061" s="957"/>
    </row>
    <row r="1062" ht="13.5" customHeight="1">
      <c r="A1062" s="931"/>
      <c r="B1062" s="931"/>
      <c r="C1062" s="932"/>
      <c r="D1062" s="932"/>
      <c r="E1062" s="931"/>
      <c r="F1062" s="931"/>
      <c r="G1062" s="932"/>
      <c r="H1062" s="932"/>
      <c r="I1062" s="932"/>
      <c r="J1062" s="932"/>
      <c r="K1062" s="957"/>
      <c r="L1062" s="1492"/>
      <c r="M1062" s="957"/>
      <c r="N1062" s="932"/>
      <c r="O1062" s="931"/>
      <c r="P1062" s="931"/>
      <c r="Q1062" s="957"/>
      <c r="R1062" s="957"/>
    </row>
    <row r="1063" ht="13.5" customHeight="1">
      <c r="A1063" s="931"/>
      <c r="B1063" s="931"/>
      <c r="C1063" s="932"/>
      <c r="D1063" s="932"/>
      <c r="E1063" s="931"/>
      <c r="F1063" s="931"/>
      <c r="G1063" s="932"/>
      <c r="H1063" s="932"/>
      <c r="I1063" s="932"/>
      <c r="J1063" s="932"/>
      <c r="K1063" s="957"/>
      <c r="L1063" s="1492"/>
      <c r="M1063" s="957"/>
      <c r="N1063" s="932"/>
      <c r="O1063" s="931"/>
      <c r="P1063" s="931"/>
      <c r="Q1063" s="957"/>
      <c r="R1063" s="957"/>
    </row>
    <row r="1064" ht="13.5" customHeight="1">
      <c r="A1064" s="931"/>
      <c r="B1064" s="931"/>
      <c r="C1064" s="932"/>
      <c r="D1064" s="932"/>
      <c r="E1064" s="931"/>
      <c r="F1064" s="931"/>
      <c r="G1064" s="932"/>
      <c r="H1064" s="932"/>
      <c r="I1064" s="932"/>
      <c r="J1064" s="932"/>
      <c r="K1064" s="957"/>
      <c r="L1064" s="1492"/>
      <c r="M1064" s="957"/>
      <c r="N1064" s="932"/>
      <c r="O1064" s="931"/>
      <c r="P1064" s="931"/>
      <c r="Q1064" s="957"/>
      <c r="R1064" s="957"/>
    </row>
    <row r="1065" ht="13.5" customHeight="1">
      <c r="A1065" s="931"/>
      <c r="B1065" s="931"/>
      <c r="C1065" s="932"/>
      <c r="D1065" s="932"/>
      <c r="E1065" s="931"/>
      <c r="F1065" s="931"/>
      <c r="G1065" s="932"/>
      <c r="H1065" s="932"/>
      <c r="I1065" s="932"/>
      <c r="J1065" s="932"/>
      <c r="K1065" s="957"/>
      <c r="L1065" s="1492"/>
      <c r="M1065" s="957"/>
      <c r="N1065" s="932"/>
      <c r="O1065" s="931"/>
      <c r="P1065" s="931"/>
      <c r="Q1065" s="957"/>
      <c r="R1065" s="957"/>
    </row>
    <row r="1066" ht="13.5" customHeight="1">
      <c r="A1066" s="931"/>
      <c r="B1066" s="931"/>
      <c r="C1066" s="932"/>
      <c r="D1066" s="932"/>
      <c r="E1066" s="931"/>
      <c r="F1066" s="931"/>
      <c r="G1066" s="932"/>
      <c r="H1066" s="932"/>
      <c r="I1066" s="932"/>
      <c r="J1066" s="932"/>
      <c r="K1066" s="957"/>
      <c r="L1066" s="1492"/>
      <c r="M1066" s="957"/>
      <c r="N1066" s="932"/>
      <c r="O1066" s="931"/>
      <c r="P1066" s="931"/>
      <c r="Q1066" s="957"/>
      <c r="R1066" s="957"/>
    </row>
    <row r="1067" ht="13.5" customHeight="1">
      <c r="A1067" s="931"/>
      <c r="B1067" s="931"/>
      <c r="C1067" s="932"/>
      <c r="D1067" s="932"/>
      <c r="E1067" s="931"/>
      <c r="F1067" s="931"/>
      <c r="G1067" s="932"/>
      <c r="H1067" s="932"/>
      <c r="I1067" s="932"/>
      <c r="J1067" s="932"/>
      <c r="K1067" s="957"/>
      <c r="L1067" s="1492"/>
      <c r="M1067" s="957"/>
      <c r="N1067" s="932"/>
      <c r="O1067" s="931"/>
      <c r="P1067" s="931"/>
      <c r="Q1067" s="957"/>
      <c r="R1067" s="957"/>
    </row>
    <row r="1068" ht="13.5" customHeight="1">
      <c r="A1068" s="931"/>
      <c r="B1068" s="931"/>
      <c r="C1068" s="932"/>
      <c r="D1068" s="932"/>
      <c r="E1068" s="931"/>
      <c r="F1068" s="931"/>
      <c r="G1068" s="932"/>
      <c r="H1068" s="932"/>
      <c r="I1068" s="932"/>
      <c r="J1068" s="932"/>
      <c r="K1068" s="957"/>
      <c r="L1068" s="1492"/>
      <c r="M1068" s="957"/>
      <c r="N1068" s="932"/>
      <c r="O1068" s="931"/>
      <c r="P1068" s="931"/>
      <c r="Q1068" s="957"/>
      <c r="R1068" s="957"/>
    </row>
    <row r="1069" ht="13.5" customHeight="1">
      <c r="A1069" s="931"/>
      <c r="B1069" s="931"/>
      <c r="C1069" s="932"/>
      <c r="D1069" s="932"/>
      <c r="E1069" s="931"/>
      <c r="F1069" s="931"/>
      <c r="G1069" s="932"/>
      <c r="H1069" s="932"/>
      <c r="I1069" s="932"/>
      <c r="J1069" s="932"/>
      <c r="K1069" s="957"/>
      <c r="L1069" s="1492"/>
      <c r="M1069" s="957"/>
      <c r="N1069" s="932"/>
      <c r="O1069" s="931"/>
      <c r="P1069" s="931"/>
      <c r="Q1069" s="957"/>
      <c r="R1069" s="957"/>
    </row>
    <row r="1070" ht="13.5" customHeight="1">
      <c r="A1070" s="931"/>
      <c r="B1070" s="931"/>
      <c r="C1070" s="932"/>
      <c r="D1070" s="932"/>
      <c r="E1070" s="931"/>
      <c r="F1070" s="931"/>
      <c r="G1070" s="932"/>
      <c r="H1070" s="932"/>
      <c r="I1070" s="932"/>
      <c r="J1070" s="932"/>
      <c r="K1070" s="957"/>
      <c r="L1070" s="1492"/>
      <c r="M1070" s="957"/>
      <c r="N1070" s="932"/>
      <c r="O1070" s="931"/>
      <c r="P1070" s="931"/>
      <c r="Q1070" s="957"/>
      <c r="R1070" s="957"/>
    </row>
    <row r="1071" ht="13.5" customHeight="1">
      <c r="A1071" s="931"/>
      <c r="B1071" s="931"/>
      <c r="C1071" s="932"/>
      <c r="D1071" s="932"/>
      <c r="E1071" s="931"/>
      <c r="F1071" s="931"/>
      <c r="G1071" s="932"/>
      <c r="H1071" s="932"/>
      <c r="I1071" s="932"/>
      <c r="J1071" s="932"/>
      <c r="K1071" s="957"/>
      <c r="L1071" s="1492"/>
      <c r="M1071" s="957"/>
      <c r="N1071" s="932"/>
      <c r="O1071" s="931"/>
      <c r="P1071" s="931"/>
      <c r="Q1071" s="957"/>
      <c r="R1071" s="957"/>
    </row>
    <row r="1072" ht="13.5" customHeight="1">
      <c r="A1072" s="931"/>
      <c r="B1072" s="931"/>
      <c r="C1072" s="932"/>
      <c r="D1072" s="932"/>
      <c r="E1072" s="931"/>
      <c r="F1072" s="931"/>
      <c r="G1072" s="932"/>
      <c r="H1072" s="932"/>
      <c r="I1072" s="932"/>
      <c r="J1072" s="932"/>
      <c r="K1072" s="957"/>
      <c r="L1072" s="1492"/>
      <c r="M1072" s="957"/>
      <c r="N1072" s="932"/>
      <c r="O1072" s="931"/>
      <c r="P1072" s="931"/>
      <c r="Q1072" s="957"/>
      <c r="R1072" s="957"/>
    </row>
    <row r="1073" ht="13.5" customHeight="1">
      <c r="A1073" s="931"/>
      <c r="B1073" s="931"/>
      <c r="C1073" s="932"/>
      <c r="D1073" s="932"/>
      <c r="E1073" s="931"/>
      <c r="F1073" s="931"/>
      <c r="G1073" s="932"/>
      <c r="H1073" s="932"/>
      <c r="I1073" s="932"/>
      <c r="J1073" s="932"/>
      <c r="K1073" s="957"/>
      <c r="L1073" s="1492"/>
      <c r="M1073" s="957"/>
      <c r="N1073" s="932"/>
      <c r="O1073" s="931"/>
      <c r="P1073" s="931"/>
      <c r="Q1073" s="957"/>
      <c r="R1073" s="957"/>
    </row>
    <row r="1074" ht="13.5" customHeight="1">
      <c r="A1074" s="931"/>
      <c r="B1074" s="931"/>
      <c r="C1074" s="932"/>
      <c r="D1074" s="932"/>
      <c r="E1074" s="931"/>
      <c r="F1074" s="931"/>
      <c r="G1074" s="932"/>
      <c r="H1074" s="932"/>
      <c r="I1074" s="932"/>
      <c r="J1074" s="932"/>
      <c r="K1074" s="957"/>
      <c r="L1074" s="1492"/>
      <c r="M1074" s="957"/>
      <c r="N1074" s="932"/>
      <c r="O1074" s="931"/>
      <c r="P1074" s="931"/>
      <c r="Q1074" s="957"/>
      <c r="R1074" s="957"/>
    </row>
    <row r="1075" ht="13.5" customHeight="1">
      <c r="A1075" s="931"/>
      <c r="B1075" s="931"/>
      <c r="C1075" s="932"/>
      <c r="D1075" s="932"/>
      <c r="E1075" s="931"/>
      <c r="F1075" s="931"/>
      <c r="G1075" s="932"/>
      <c r="H1075" s="932"/>
      <c r="I1075" s="932"/>
      <c r="J1075" s="932"/>
      <c r="K1075" s="957"/>
      <c r="L1075" s="1492"/>
      <c r="M1075" s="957"/>
      <c r="N1075" s="932"/>
      <c r="O1075" s="931"/>
      <c r="P1075" s="931"/>
      <c r="Q1075" s="957"/>
      <c r="R1075" s="957"/>
    </row>
    <row r="1076" ht="13.5" customHeight="1">
      <c r="A1076" s="931"/>
      <c r="B1076" s="931"/>
      <c r="C1076" s="932"/>
      <c r="D1076" s="932"/>
      <c r="E1076" s="931"/>
      <c r="F1076" s="931"/>
      <c r="G1076" s="932"/>
      <c r="H1076" s="932"/>
      <c r="I1076" s="932"/>
      <c r="J1076" s="932"/>
      <c r="K1076" s="957"/>
      <c r="L1076" s="1492"/>
      <c r="M1076" s="957"/>
      <c r="N1076" s="932"/>
      <c r="O1076" s="931"/>
      <c r="P1076" s="931"/>
      <c r="Q1076" s="957"/>
      <c r="R1076" s="957"/>
    </row>
    <row r="1077" ht="13.5" customHeight="1">
      <c r="A1077" s="931"/>
      <c r="B1077" s="931"/>
      <c r="C1077" s="932"/>
      <c r="D1077" s="932"/>
      <c r="E1077" s="931"/>
      <c r="F1077" s="931"/>
      <c r="G1077" s="932"/>
      <c r="H1077" s="932"/>
      <c r="I1077" s="932"/>
      <c r="J1077" s="932"/>
      <c r="K1077" s="957"/>
      <c r="L1077" s="1492"/>
      <c r="M1077" s="957"/>
      <c r="N1077" s="932"/>
      <c r="O1077" s="931"/>
      <c r="P1077" s="931"/>
      <c r="Q1077" s="957"/>
      <c r="R1077" s="957"/>
    </row>
    <row r="1078" ht="13.5" customHeight="1">
      <c r="A1078" s="931"/>
      <c r="B1078" s="931"/>
      <c r="C1078" s="932"/>
      <c r="D1078" s="932"/>
      <c r="E1078" s="931"/>
      <c r="F1078" s="931"/>
      <c r="G1078" s="932"/>
      <c r="H1078" s="932"/>
      <c r="I1078" s="932"/>
      <c r="J1078" s="932"/>
      <c r="K1078" s="957"/>
      <c r="L1078" s="1492"/>
      <c r="M1078" s="957"/>
      <c r="N1078" s="932"/>
      <c r="O1078" s="931"/>
      <c r="P1078" s="931"/>
      <c r="Q1078" s="957"/>
      <c r="R1078" s="957"/>
    </row>
    <row r="1079" ht="13.5" customHeight="1">
      <c r="A1079" s="931"/>
      <c r="B1079" s="931"/>
      <c r="C1079" s="932"/>
      <c r="D1079" s="932"/>
      <c r="E1079" s="931"/>
      <c r="F1079" s="931"/>
      <c r="G1079" s="932"/>
      <c r="H1079" s="932"/>
      <c r="I1079" s="932"/>
      <c r="J1079" s="932"/>
      <c r="K1079" s="957"/>
      <c r="L1079" s="1492"/>
      <c r="M1079" s="957"/>
      <c r="N1079" s="932"/>
      <c r="O1079" s="931"/>
      <c r="P1079" s="931"/>
      <c r="Q1079" s="957"/>
      <c r="R1079" s="957"/>
    </row>
    <row r="1080" ht="13.5" customHeight="1">
      <c r="A1080" s="931"/>
      <c r="B1080" s="931"/>
      <c r="C1080" s="932"/>
      <c r="D1080" s="932"/>
      <c r="E1080" s="931"/>
      <c r="F1080" s="931"/>
      <c r="G1080" s="932"/>
      <c r="H1080" s="932"/>
      <c r="I1080" s="932"/>
      <c r="J1080" s="932"/>
      <c r="K1080" s="957"/>
      <c r="L1080" s="1492"/>
      <c r="M1080" s="957"/>
      <c r="N1080" s="932"/>
      <c r="O1080" s="931"/>
      <c r="P1080" s="931"/>
      <c r="Q1080" s="957"/>
      <c r="R1080" s="957"/>
    </row>
    <row r="1081" ht="13.5" customHeight="1">
      <c r="A1081" s="931"/>
      <c r="B1081" s="931"/>
      <c r="C1081" s="932"/>
      <c r="D1081" s="932"/>
      <c r="E1081" s="931"/>
      <c r="F1081" s="931"/>
      <c r="G1081" s="932"/>
      <c r="H1081" s="932"/>
      <c r="I1081" s="932"/>
      <c r="J1081" s="932"/>
      <c r="K1081" s="957"/>
      <c r="L1081" s="1492"/>
      <c r="M1081" s="957"/>
      <c r="N1081" s="932"/>
      <c r="O1081" s="931"/>
      <c r="P1081" s="931"/>
      <c r="Q1081" s="957"/>
      <c r="R1081" s="957"/>
    </row>
    <row r="1082" ht="13.5" customHeight="1">
      <c r="A1082" s="931"/>
      <c r="B1082" s="931"/>
      <c r="C1082" s="932"/>
      <c r="D1082" s="932"/>
      <c r="E1082" s="931"/>
      <c r="F1082" s="931"/>
      <c r="G1082" s="932"/>
      <c r="H1082" s="932"/>
      <c r="I1082" s="932"/>
      <c r="J1082" s="932"/>
      <c r="K1082" s="957"/>
      <c r="L1082" s="1492"/>
      <c r="M1082" s="957"/>
      <c r="N1082" s="932"/>
      <c r="O1082" s="931"/>
      <c r="P1082" s="931"/>
      <c r="Q1082" s="957"/>
      <c r="R1082" s="957"/>
    </row>
    <row r="1083" ht="13.5" customHeight="1">
      <c r="A1083" s="931"/>
      <c r="B1083" s="931"/>
      <c r="C1083" s="932"/>
      <c r="D1083" s="932"/>
      <c r="E1083" s="931"/>
      <c r="F1083" s="931"/>
      <c r="G1083" s="932"/>
      <c r="H1083" s="932"/>
      <c r="I1083" s="932"/>
      <c r="J1083" s="932"/>
      <c r="K1083" s="957"/>
      <c r="L1083" s="1492"/>
      <c r="M1083" s="957"/>
      <c r="N1083" s="932"/>
      <c r="O1083" s="931"/>
      <c r="P1083" s="931"/>
      <c r="Q1083" s="957"/>
      <c r="R1083" s="957"/>
    </row>
    <row r="1084" ht="13.5" customHeight="1">
      <c r="A1084" s="931"/>
      <c r="B1084" s="931"/>
      <c r="C1084" s="932"/>
      <c r="D1084" s="932"/>
      <c r="E1084" s="931"/>
      <c r="F1084" s="931"/>
      <c r="G1084" s="932"/>
      <c r="H1084" s="932"/>
      <c r="I1084" s="932"/>
      <c r="J1084" s="932"/>
      <c r="K1084" s="957"/>
      <c r="L1084" s="1492"/>
      <c r="M1084" s="957"/>
      <c r="N1084" s="932"/>
      <c r="O1084" s="931"/>
      <c r="P1084" s="931"/>
      <c r="Q1084" s="957"/>
      <c r="R1084" s="957"/>
    </row>
    <row r="1085" ht="13.5" customHeight="1">
      <c r="A1085" s="931"/>
      <c r="B1085" s="931"/>
      <c r="C1085" s="932"/>
      <c r="D1085" s="932"/>
      <c r="E1085" s="931"/>
      <c r="F1085" s="931"/>
      <c r="G1085" s="932"/>
      <c r="H1085" s="932"/>
      <c r="I1085" s="932"/>
      <c r="J1085" s="932"/>
      <c r="K1085" s="957"/>
      <c r="L1085" s="1492"/>
      <c r="M1085" s="957"/>
      <c r="N1085" s="932"/>
      <c r="O1085" s="931"/>
      <c r="P1085" s="931"/>
      <c r="Q1085" s="957"/>
      <c r="R1085" s="957"/>
    </row>
    <row r="1086" ht="13.5" customHeight="1">
      <c r="A1086" s="931"/>
      <c r="B1086" s="931"/>
      <c r="C1086" s="932"/>
      <c r="D1086" s="932"/>
      <c r="E1086" s="931"/>
      <c r="F1086" s="931"/>
      <c r="G1086" s="932"/>
      <c r="H1086" s="932"/>
      <c r="I1086" s="932"/>
      <c r="J1086" s="932"/>
      <c r="K1086" s="957"/>
      <c r="L1086" s="1492"/>
      <c r="M1086" s="957"/>
      <c r="N1086" s="932"/>
      <c r="O1086" s="931"/>
      <c r="P1086" s="931"/>
      <c r="Q1086" s="957"/>
      <c r="R1086" s="957"/>
    </row>
    <row r="1087" ht="13.5" customHeight="1">
      <c r="A1087" s="931"/>
      <c r="B1087" s="931"/>
      <c r="C1087" s="932"/>
      <c r="D1087" s="932"/>
      <c r="E1087" s="931"/>
      <c r="F1087" s="931"/>
      <c r="G1087" s="932"/>
      <c r="H1087" s="932"/>
      <c r="I1087" s="932"/>
      <c r="J1087" s="932"/>
      <c r="K1087" s="957"/>
      <c r="L1087" s="1492"/>
      <c r="M1087" s="957"/>
      <c r="N1087" s="932"/>
      <c r="O1087" s="931"/>
      <c r="P1087" s="931"/>
      <c r="Q1087" s="957"/>
      <c r="R1087" s="957"/>
    </row>
    <row r="1088" ht="13.5" customHeight="1">
      <c r="A1088" s="931"/>
      <c r="B1088" s="931"/>
      <c r="C1088" s="932"/>
      <c r="D1088" s="932"/>
      <c r="E1088" s="931"/>
      <c r="F1088" s="931"/>
      <c r="G1088" s="932"/>
      <c r="H1088" s="932"/>
      <c r="I1088" s="932"/>
      <c r="J1088" s="932"/>
      <c r="K1088" s="957"/>
      <c r="L1088" s="1492"/>
      <c r="M1088" s="957"/>
      <c r="N1088" s="932"/>
      <c r="O1088" s="931"/>
      <c r="P1088" s="931"/>
      <c r="Q1088" s="957"/>
      <c r="R1088" s="957"/>
    </row>
    <row r="1089" ht="13.5" customHeight="1">
      <c r="A1089" s="931"/>
      <c r="B1089" s="931"/>
      <c r="C1089" s="932"/>
      <c r="D1089" s="932"/>
      <c r="E1089" s="931"/>
      <c r="F1089" s="931"/>
      <c r="G1089" s="932"/>
      <c r="H1089" s="932"/>
      <c r="I1089" s="932"/>
      <c r="J1089" s="932"/>
      <c r="K1089" s="957"/>
      <c r="L1089" s="1492"/>
      <c r="M1089" s="957"/>
      <c r="N1089" s="932"/>
      <c r="O1089" s="931"/>
      <c r="P1089" s="931"/>
      <c r="Q1089" s="957"/>
      <c r="R1089" s="957"/>
    </row>
    <row r="1090" ht="13.5" customHeight="1">
      <c r="A1090" s="931"/>
      <c r="B1090" s="931"/>
      <c r="C1090" s="932"/>
      <c r="D1090" s="932"/>
      <c r="E1090" s="931"/>
      <c r="F1090" s="931"/>
      <c r="G1090" s="932"/>
      <c r="H1090" s="932"/>
      <c r="I1090" s="932"/>
      <c r="J1090" s="932"/>
      <c r="K1090" s="957"/>
      <c r="L1090" s="1492"/>
      <c r="M1090" s="957"/>
      <c r="N1090" s="932"/>
      <c r="O1090" s="931"/>
      <c r="P1090" s="931"/>
      <c r="Q1090" s="957"/>
      <c r="R1090" s="957"/>
    </row>
    <row r="1091" ht="13.5" customHeight="1">
      <c r="A1091" s="931"/>
      <c r="B1091" s="931"/>
      <c r="C1091" s="932"/>
      <c r="D1091" s="932"/>
      <c r="E1091" s="931"/>
      <c r="F1091" s="931"/>
      <c r="G1091" s="932"/>
      <c r="H1091" s="932"/>
      <c r="I1091" s="932"/>
      <c r="J1091" s="932"/>
      <c r="K1091" s="957"/>
      <c r="L1091" s="1492"/>
      <c r="M1091" s="957"/>
      <c r="N1091" s="932"/>
      <c r="O1091" s="931"/>
      <c r="P1091" s="931"/>
      <c r="Q1091" s="957"/>
      <c r="R1091" s="957"/>
    </row>
    <row r="1092" ht="13.5" customHeight="1">
      <c r="A1092" s="931"/>
      <c r="B1092" s="931"/>
      <c r="C1092" s="932"/>
      <c r="D1092" s="932"/>
      <c r="E1092" s="931"/>
      <c r="F1092" s="931"/>
      <c r="G1092" s="932"/>
      <c r="H1092" s="932"/>
      <c r="I1092" s="932"/>
      <c r="J1092" s="932"/>
      <c r="K1092" s="957"/>
      <c r="L1092" s="1492"/>
      <c r="M1092" s="957"/>
      <c r="N1092" s="932"/>
      <c r="O1092" s="931"/>
      <c r="P1092" s="931"/>
      <c r="Q1092" s="957"/>
      <c r="R1092" s="957"/>
    </row>
    <row r="1093" ht="13.5" customHeight="1">
      <c r="A1093" s="931"/>
      <c r="B1093" s="931"/>
      <c r="C1093" s="932"/>
      <c r="D1093" s="932"/>
      <c r="E1093" s="931"/>
      <c r="F1093" s="931"/>
      <c r="G1093" s="932"/>
      <c r="H1093" s="932"/>
      <c r="I1093" s="932"/>
      <c r="J1093" s="932"/>
      <c r="K1093" s="957"/>
      <c r="L1093" s="1492"/>
      <c r="M1093" s="957"/>
      <c r="N1093" s="932"/>
      <c r="O1093" s="931"/>
      <c r="P1093" s="931"/>
      <c r="Q1093" s="957"/>
      <c r="R1093" s="957"/>
    </row>
    <row r="1094" ht="13.5" customHeight="1">
      <c r="A1094" s="931"/>
      <c r="B1094" s="931"/>
      <c r="C1094" s="932"/>
      <c r="D1094" s="932"/>
      <c r="E1094" s="931"/>
      <c r="F1094" s="931"/>
      <c r="G1094" s="932"/>
      <c r="H1094" s="932"/>
      <c r="I1094" s="932"/>
      <c r="J1094" s="932"/>
      <c r="K1094" s="957"/>
      <c r="L1094" s="1492"/>
      <c r="M1094" s="957"/>
      <c r="N1094" s="932"/>
      <c r="O1094" s="931"/>
      <c r="P1094" s="931"/>
      <c r="Q1094" s="957"/>
      <c r="R1094" s="957"/>
    </row>
    <row r="1095" ht="13.5" customHeight="1">
      <c r="A1095" s="931"/>
      <c r="B1095" s="931"/>
      <c r="C1095" s="932"/>
      <c r="D1095" s="932"/>
      <c r="E1095" s="931"/>
      <c r="F1095" s="931"/>
      <c r="G1095" s="932"/>
      <c r="H1095" s="932"/>
      <c r="I1095" s="932"/>
      <c r="J1095" s="932"/>
      <c r="K1095" s="957"/>
      <c r="L1095" s="1492"/>
      <c r="M1095" s="957"/>
      <c r="N1095" s="932"/>
      <c r="O1095" s="931"/>
      <c r="P1095" s="931"/>
      <c r="Q1095" s="957"/>
      <c r="R1095" s="957"/>
    </row>
    <row r="1096" ht="13.5" customHeight="1">
      <c r="A1096" s="931"/>
      <c r="B1096" s="931"/>
      <c r="C1096" s="932"/>
      <c r="D1096" s="932"/>
      <c r="E1096" s="931"/>
      <c r="F1096" s="931"/>
      <c r="G1096" s="932"/>
      <c r="H1096" s="932"/>
      <c r="I1096" s="932"/>
      <c r="J1096" s="932"/>
      <c r="K1096" s="957"/>
      <c r="L1096" s="1492"/>
      <c r="M1096" s="957"/>
      <c r="N1096" s="932"/>
      <c r="O1096" s="931"/>
      <c r="P1096" s="931"/>
      <c r="Q1096" s="957"/>
      <c r="R1096" s="957"/>
    </row>
    <row r="1097" ht="13.5" customHeight="1">
      <c r="A1097" s="931"/>
      <c r="B1097" s="931"/>
      <c r="C1097" s="932"/>
      <c r="D1097" s="932"/>
      <c r="E1097" s="931"/>
      <c r="F1097" s="931"/>
      <c r="G1097" s="932"/>
      <c r="H1097" s="932"/>
      <c r="I1097" s="932"/>
      <c r="J1097" s="932"/>
      <c r="K1097" s="957"/>
      <c r="L1097" s="1492"/>
      <c r="M1097" s="957"/>
      <c r="N1097" s="932"/>
      <c r="O1097" s="931"/>
      <c r="P1097" s="931"/>
      <c r="Q1097" s="957"/>
      <c r="R1097" s="957"/>
    </row>
    <row r="1098" ht="13.5" customHeight="1">
      <c r="A1098" s="931"/>
      <c r="B1098" s="931"/>
      <c r="C1098" s="932"/>
      <c r="D1098" s="932"/>
      <c r="E1098" s="931"/>
      <c r="F1098" s="931"/>
      <c r="G1098" s="932"/>
      <c r="H1098" s="932"/>
      <c r="I1098" s="932"/>
      <c r="J1098" s="932"/>
      <c r="K1098" s="957"/>
      <c r="L1098" s="1492"/>
      <c r="M1098" s="957"/>
      <c r="N1098" s="932"/>
      <c r="O1098" s="931"/>
      <c r="P1098" s="931"/>
      <c r="Q1098" s="957"/>
      <c r="R1098" s="957"/>
    </row>
    <row r="1099" ht="13.5" customHeight="1">
      <c r="A1099" s="931"/>
      <c r="B1099" s="931"/>
      <c r="C1099" s="932"/>
      <c r="D1099" s="932"/>
      <c r="E1099" s="931"/>
      <c r="F1099" s="931"/>
      <c r="G1099" s="932"/>
      <c r="H1099" s="932"/>
      <c r="I1099" s="932"/>
      <c r="J1099" s="932"/>
      <c r="K1099" s="957"/>
      <c r="L1099" s="1492"/>
      <c r="M1099" s="957"/>
      <c r="N1099" s="932"/>
      <c r="O1099" s="931"/>
      <c r="P1099" s="931"/>
      <c r="Q1099" s="957"/>
      <c r="R1099" s="957"/>
    </row>
    <row r="1100" ht="13.5" customHeight="1">
      <c r="A1100" s="931"/>
      <c r="B1100" s="931"/>
      <c r="C1100" s="932"/>
      <c r="D1100" s="932"/>
      <c r="E1100" s="931"/>
      <c r="F1100" s="931"/>
      <c r="G1100" s="932"/>
      <c r="H1100" s="932"/>
      <c r="I1100" s="932"/>
      <c r="J1100" s="932"/>
      <c r="K1100" s="957"/>
      <c r="L1100" s="1492"/>
      <c r="M1100" s="957"/>
      <c r="N1100" s="932"/>
      <c r="O1100" s="931"/>
      <c r="P1100" s="931"/>
      <c r="Q1100" s="957"/>
      <c r="R1100" s="957"/>
    </row>
    <row r="1101" ht="13.5" customHeight="1">
      <c r="A1101" s="931"/>
      <c r="B1101" s="931"/>
      <c r="C1101" s="932"/>
      <c r="D1101" s="932"/>
      <c r="E1101" s="931"/>
      <c r="F1101" s="931"/>
      <c r="G1101" s="932"/>
      <c r="H1101" s="932"/>
      <c r="I1101" s="932"/>
      <c r="J1101" s="932"/>
      <c r="K1101" s="957"/>
      <c r="L1101" s="1492"/>
      <c r="M1101" s="957"/>
      <c r="N1101" s="932"/>
      <c r="O1101" s="931"/>
      <c r="P1101" s="931"/>
      <c r="Q1101" s="957"/>
      <c r="R1101" s="957"/>
    </row>
    <row r="1102" ht="13.5" customHeight="1">
      <c r="A1102" s="931"/>
      <c r="B1102" s="931"/>
      <c r="C1102" s="932"/>
      <c r="D1102" s="932"/>
      <c r="E1102" s="931"/>
      <c r="F1102" s="931"/>
      <c r="G1102" s="932"/>
      <c r="H1102" s="932"/>
      <c r="I1102" s="932"/>
      <c r="J1102" s="932"/>
      <c r="K1102" s="957"/>
      <c r="L1102" s="1492"/>
      <c r="M1102" s="957"/>
      <c r="N1102" s="932"/>
      <c r="O1102" s="931"/>
      <c r="P1102" s="931"/>
      <c r="Q1102" s="957"/>
      <c r="R1102" s="957"/>
    </row>
    <row r="1103" ht="13.5" customHeight="1">
      <c r="A1103" s="931"/>
      <c r="B1103" s="931"/>
      <c r="C1103" s="932"/>
      <c r="D1103" s="932"/>
      <c r="E1103" s="931"/>
      <c r="F1103" s="931"/>
      <c r="G1103" s="932"/>
      <c r="H1103" s="932"/>
      <c r="I1103" s="932"/>
      <c r="J1103" s="932"/>
      <c r="K1103" s="957"/>
      <c r="L1103" s="1492"/>
      <c r="M1103" s="957"/>
      <c r="N1103" s="932"/>
      <c r="O1103" s="931"/>
      <c r="P1103" s="931"/>
      <c r="Q1103" s="957"/>
      <c r="R1103" s="957"/>
    </row>
    <row r="1104" ht="13.5" customHeight="1">
      <c r="A1104" s="931"/>
      <c r="B1104" s="931"/>
      <c r="C1104" s="932"/>
      <c r="D1104" s="932"/>
      <c r="E1104" s="931"/>
      <c r="F1104" s="931"/>
      <c r="G1104" s="932"/>
      <c r="H1104" s="932"/>
      <c r="I1104" s="932"/>
      <c r="J1104" s="932"/>
      <c r="K1104" s="957"/>
      <c r="L1104" s="1492"/>
      <c r="M1104" s="957"/>
      <c r="N1104" s="932"/>
      <c r="O1104" s="931"/>
      <c r="P1104" s="931"/>
      <c r="Q1104" s="957"/>
      <c r="R1104" s="957"/>
    </row>
    <row r="1105" ht="13.5" customHeight="1">
      <c r="A1105" s="931"/>
      <c r="B1105" s="931"/>
      <c r="C1105" s="932"/>
      <c r="D1105" s="932"/>
      <c r="E1105" s="931"/>
      <c r="F1105" s="931"/>
      <c r="G1105" s="932"/>
      <c r="H1105" s="932"/>
      <c r="I1105" s="932"/>
      <c r="J1105" s="932"/>
      <c r="K1105" s="957"/>
      <c r="L1105" s="1492"/>
      <c r="M1105" s="957"/>
      <c r="N1105" s="932"/>
      <c r="O1105" s="931"/>
      <c r="P1105" s="931"/>
      <c r="Q1105" s="957"/>
      <c r="R1105" s="957"/>
    </row>
    <row r="1106" ht="13.5" customHeight="1">
      <c r="A1106" s="931"/>
      <c r="B1106" s="931"/>
      <c r="C1106" s="932"/>
      <c r="D1106" s="932"/>
      <c r="E1106" s="931"/>
      <c r="F1106" s="931"/>
      <c r="G1106" s="932"/>
      <c r="H1106" s="932"/>
      <c r="I1106" s="932"/>
      <c r="J1106" s="932"/>
      <c r="K1106" s="957"/>
      <c r="L1106" s="1492"/>
      <c r="M1106" s="957"/>
      <c r="N1106" s="932"/>
      <c r="O1106" s="931"/>
      <c r="P1106" s="931"/>
      <c r="Q1106" s="957"/>
      <c r="R1106" s="957"/>
    </row>
    <row r="1107" ht="13.5" customHeight="1">
      <c r="A1107" s="931"/>
      <c r="B1107" s="931"/>
      <c r="C1107" s="932"/>
      <c r="D1107" s="932"/>
      <c r="E1107" s="931"/>
      <c r="F1107" s="931"/>
      <c r="G1107" s="932"/>
      <c r="H1107" s="932"/>
      <c r="I1107" s="932"/>
      <c r="J1107" s="932"/>
      <c r="K1107" s="957"/>
      <c r="L1107" s="1492"/>
      <c r="M1107" s="957"/>
      <c r="N1107" s="932"/>
      <c r="O1107" s="931"/>
      <c r="P1107" s="931"/>
      <c r="Q1107" s="957"/>
      <c r="R1107" s="957"/>
    </row>
    <row r="1108" ht="13.5" customHeight="1">
      <c r="A1108" s="931"/>
      <c r="B1108" s="931"/>
      <c r="C1108" s="932"/>
      <c r="D1108" s="932"/>
      <c r="E1108" s="931"/>
      <c r="F1108" s="931"/>
      <c r="G1108" s="932"/>
      <c r="H1108" s="932"/>
      <c r="I1108" s="932"/>
      <c r="J1108" s="932"/>
      <c r="K1108" s="957"/>
      <c r="L1108" s="1492"/>
      <c r="M1108" s="957"/>
      <c r="N1108" s="932"/>
      <c r="O1108" s="931"/>
      <c r="P1108" s="931"/>
      <c r="Q1108" s="957"/>
      <c r="R1108" s="957"/>
    </row>
    <row r="1109" ht="13.5" customHeight="1">
      <c r="A1109" s="931"/>
      <c r="B1109" s="931"/>
      <c r="C1109" s="932"/>
      <c r="D1109" s="932"/>
      <c r="E1109" s="931"/>
      <c r="F1109" s="931"/>
      <c r="G1109" s="932"/>
      <c r="H1109" s="932"/>
      <c r="I1109" s="932"/>
      <c r="J1109" s="932"/>
      <c r="K1109" s="957"/>
      <c r="L1109" s="1492"/>
      <c r="M1109" s="957"/>
      <c r="N1109" s="932"/>
      <c r="O1109" s="931"/>
      <c r="P1109" s="931"/>
      <c r="Q1109" s="957"/>
      <c r="R1109" s="957"/>
    </row>
    <row r="1110" ht="13.5" customHeight="1">
      <c r="A1110" s="931"/>
      <c r="B1110" s="931"/>
      <c r="C1110" s="932"/>
      <c r="D1110" s="932"/>
      <c r="E1110" s="931"/>
      <c r="F1110" s="931"/>
      <c r="G1110" s="932"/>
      <c r="H1110" s="932"/>
      <c r="I1110" s="932"/>
      <c r="J1110" s="932"/>
      <c r="K1110" s="957"/>
      <c r="L1110" s="1492"/>
      <c r="M1110" s="957"/>
      <c r="N1110" s="932"/>
      <c r="O1110" s="931"/>
      <c r="P1110" s="931"/>
      <c r="Q1110" s="957"/>
      <c r="R1110" s="957"/>
    </row>
    <row r="1111" ht="13.5" customHeight="1">
      <c r="A1111" s="931"/>
      <c r="B1111" s="931"/>
      <c r="C1111" s="932"/>
      <c r="D1111" s="932"/>
      <c r="E1111" s="931"/>
      <c r="F1111" s="931"/>
      <c r="G1111" s="932"/>
      <c r="H1111" s="932"/>
      <c r="I1111" s="932"/>
      <c r="J1111" s="932"/>
      <c r="K1111" s="957"/>
      <c r="L1111" s="1492"/>
      <c r="M1111" s="957"/>
      <c r="N1111" s="932"/>
      <c r="O1111" s="931"/>
      <c r="P1111" s="931"/>
      <c r="Q1111" s="957"/>
      <c r="R1111" s="957"/>
    </row>
    <row r="1112" ht="13.5" customHeight="1">
      <c r="A1112" s="931"/>
      <c r="B1112" s="931"/>
      <c r="C1112" s="932"/>
      <c r="D1112" s="932"/>
      <c r="E1112" s="931"/>
      <c r="F1112" s="931"/>
      <c r="G1112" s="932"/>
      <c r="H1112" s="932"/>
      <c r="I1112" s="932"/>
      <c r="J1112" s="932"/>
      <c r="K1112" s="957"/>
      <c r="L1112" s="1492"/>
      <c r="M1112" s="957"/>
      <c r="N1112" s="932"/>
      <c r="O1112" s="931"/>
      <c r="P1112" s="931"/>
      <c r="Q1112" s="957"/>
      <c r="R1112" s="957"/>
    </row>
    <row r="1113" ht="13.5" customHeight="1">
      <c r="A1113" s="931"/>
      <c r="B1113" s="931"/>
      <c r="C1113" s="932"/>
      <c r="D1113" s="932"/>
      <c r="E1113" s="931"/>
      <c r="F1113" s="931"/>
      <c r="G1113" s="932"/>
      <c r="H1113" s="932"/>
      <c r="I1113" s="932"/>
      <c r="J1113" s="932"/>
      <c r="K1113" s="957"/>
      <c r="L1113" s="1492"/>
      <c r="M1113" s="957"/>
      <c r="N1113" s="932"/>
      <c r="O1113" s="931"/>
      <c r="P1113" s="931"/>
      <c r="Q1113" s="957"/>
      <c r="R1113" s="957"/>
    </row>
    <row r="1114" ht="13.5" customHeight="1">
      <c r="A1114" s="931"/>
      <c r="B1114" s="931"/>
      <c r="C1114" s="932"/>
      <c r="D1114" s="932"/>
      <c r="E1114" s="931"/>
      <c r="F1114" s="931"/>
      <c r="G1114" s="932"/>
      <c r="H1114" s="932"/>
      <c r="I1114" s="932"/>
      <c r="J1114" s="932"/>
      <c r="K1114" s="957"/>
      <c r="L1114" s="1492"/>
      <c r="M1114" s="957"/>
      <c r="N1114" s="932"/>
      <c r="O1114" s="931"/>
      <c r="P1114" s="931"/>
      <c r="Q1114" s="957"/>
      <c r="R1114" s="957"/>
    </row>
    <row r="1115" ht="13.5" customHeight="1">
      <c r="A1115" s="931"/>
      <c r="B1115" s="931"/>
      <c r="C1115" s="932"/>
      <c r="D1115" s="932"/>
      <c r="E1115" s="931"/>
      <c r="F1115" s="931"/>
      <c r="G1115" s="932"/>
      <c r="H1115" s="932"/>
      <c r="I1115" s="932"/>
      <c r="J1115" s="932"/>
      <c r="K1115" s="957"/>
      <c r="L1115" s="1492"/>
      <c r="M1115" s="957"/>
      <c r="N1115" s="932"/>
      <c r="O1115" s="931"/>
      <c r="P1115" s="931"/>
      <c r="Q1115" s="957"/>
      <c r="R1115" s="957"/>
    </row>
    <row r="1116" ht="13.5" customHeight="1">
      <c r="A1116" s="931"/>
      <c r="B1116" s="931"/>
      <c r="C1116" s="932"/>
      <c r="D1116" s="932"/>
      <c r="E1116" s="931"/>
      <c r="F1116" s="931"/>
      <c r="G1116" s="932"/>
      <c r="H1116" s="932"/>
      <c r="I1116" s="932"/>
      <c r="J1116" s="932"/>
      <c r="K1116" s="957"/>
      <c r="L1116" s="1492"/>
      <c r="M1116" s="957"/>
      <c r="N1116" s="932"/>
      <c r="O1116" s="931"/>
      <c r="P1116" s="931"/>
      <c r="Q1116" s="957"/>
      <c r="R1116" s="957"/>
    </row>
    <row r="1117" ht="13.5" customHeight="1">
      <c r="A1117" s="931"/>
      <c r="B1117" s="931"/>
      <c r="C1117" s="932"/>
      <c r="D1117" s="932"/>
      <c r="E1117" s="931"/>
      <c r="F1117" s="931"/>
      <c r="G1117" s="932"/>
      <c r="H1117" s="932"/>
      <c r="I1117" s="932"/>
      <c r="J1117" s="932"/>
      <c r="K1117" s="957"/>
      <c r="L1117" s="1492"/>
      <c r="M1117" s="957"/>
      <c r="N1117" s="932"/>
      <c r="O1117" s="931"/>
      <c r="P1117" s="931"/>
      <c r="Q1117" s="957"/>
      <c r="R1117" s="957"/>
    </row>
    <row r="1118" ht="13.5" customHeight="1">
      <c r="A1118" s="931"/>
      <c r="B1118" s="931"/>
      <c r="C1118" s="932"/>
      <c r="D1118" s="932"/>
      <c r="E1118" s="931"/>
      <c r="F1118" s="931"/>
      <c r="G1118" s="932"/>
      <c r="H1118" s="932"/>
      <c r="I1118" s="932"/>
      <c r="J1118" s="932"/>
      <c r="K1118" s="957"/>
      <c r="L1118" s="1492"/>
      <c r="M1118" s="957"/>
      <c r="N1118" s="932"/>
      <c r="O1118" s="931"/>
      <c r="P1118" s="931"/>
      <c r="Q1118" s="957"/>
      <c r="R1118" s="957"/>
    </row>
    <row r="1119" ht="13.5" customHeight="1">
      <c r="A1119" s="931"/>
      <c r="B1119" s="931"/>
      <c r="C1119" s="932"/>
      <c r="D1119" s="932"/>
      <c r="E1119" s="931"/>
      <c r="F1119" s="931"/>
      <c r="G1119" s="932"/>
      <c r="H1119" s="932"/>
      <c r="I1119" s="932"/>
      <c r="J1119" s="932"/>
      <c r="K1119" s="957"/>
      <c r="L1119" s="1492"/>
      <c r="M1119" s="957"/>
      <c r="N1119" s="932"/>
      <c r="O1119" s="931"/>
      <c r="P1119" s="931"/>
      <c r="Q1119" s="957"/>
      <c r="R1119" s="957"/>
    </row>
    <row r="1120" ht="13.5" customHeight="1">
      <c r="A1120" s="931"/>
      <c r="B1120" s="931"/>
      <c r="C1120" s="932"/>
      <c r="D1120" s="932"/>
      <c r="E1120" s="931"/>
      <c r="F1120" s="931"/>
      <c r="G1120" s="932"/>
      <c r="H1120" s="932"/>
      <c r="I1120" s="932"/>
      <c r="J1120" s="932"/>
      <c r="K1120" s="957"/>
      <c r="L1120" s="1492"/>
      <c r="M1120" s="957"/>
      <c r="N1120" s="932"/>
      <c r="O1120" s="931"/>
      <c r="P1120" s="931"/>
      <c r="Q1120" s="957"/>
      <c r="R1120" s="957"/>
    </row>
    <row r="1121" ht="13.5" customHeight="1">
      <c r="A1121" s="931"/>
      <c r="B1121" s="931"/>
      <c r="C1121" s="932"/>
      <c r="D1121" s="932"/>
      <c r="E1121" s="931"/>
      <c r="F1121" s="931"/>
      <c r="G1121" s="932"/>
      <c r="H1121" s="932"/>
      <c r="I1121" s="932"/>
      <c r="J1121" s="932"/>
      <c r="K1121" s="957"/>
      <c r="L1121" s="1492"/>
      <c r="M1121" s="957"/>
      <c r="N1121" s="932"/>
      <c r="O1121" s="931"/>
      <c r="P1121" s="931"/>
      <c r="Q1121" s="957"/>
      <c r="R1121" s="957"/>
    </row>
    <row r="1122" ht="13.5" customHeight="1">
      <c r="A1122" s="931"/>
      <c r="B1122" s="931"/>
      <c r="C1122" s="932"/>
      <c r="D1122" s="932"/>
      <c r="E1122" s="931"/>
      <c r="F1122" s="931"/>
      <c r="G1122" s="932"/>
      <c r="H1122" s="932"/>
      <c r="I1122" s="932"/>
      <c r="J1122" s="932"/>
      <c r="K1122" s="957"/>
      <c r="L1122" s="1492"/>
      <c r="M1122" s="957"/>
      <c r="N1122" s="932"/>
      <c r="O1122" s="931"/>
      <c r="P1122" s="931"/>
      <c r="Q1122" s="957"/>
      <c r="R1122" s="957"/>
    </row>
    <row r="1123" ht="13.5" customHeight="1">
      <c r="A1123" s="931"/>
      <c r="B1123" s="931"/>
      <c r="C1123" s="932"/>
      <c r="D1123" s="932"/>
      <c r="E1123" s="931"/>
      <c r="F1123" s="931"/>
      <c r="G1123" s="932"/>
      <c r="H1123" s="932"/>
      <c r="I1123" s="932"/>
      <c r="J1123" s="932"/>
      <c r="K1123" s="957"/>
      <c r="L1123" s="1492"/>
      <c r="M1123" s="957"/>
      <c r="N1123" s="932"/>
      <c r="O1123" s="931"/>
      <c r="P1123" s="931"/>
      <c r="Q1123" s="957"/>
      <c r="R1123" s="957"/>
    </row>
    <row r="1124" ht="13.5" customHeight="1">
      <c r="A1124" s="931"/>
      <c r="B1124" s="931"/>
      <c r="C1124" s="932"/>
      <c r="D1124" s="932"/>
      <c r="E1124" s="931"/>
      <c r="F1124" s="931"/>
      <c r="G1124" s="932"/>
      <c r="H1124" s="932"/>
      <c r="I1124" s="932"/>
      <c r="J1124" s="932"/>
      <c r="K1124" s="957"/>
      <c r="L1124" s="1492"/>
      <c r="M1124" s="957"/>
      <c r="N1124" s="932"/>
      <c r="O1124" s="931"/>
      <c r="P1124" s="931"/>
      <c r="Q1124" s="957"/>
      <c r="R1124" s="957"/>
    </row>
    <row r="1125" ht="13.5" customHeight="1">
      <c r="A1125" s="931"/>
      <c r="B1125" s="931"/>
      <c r="C1125" s="932"/>
      <c r="D1125" s="932"/>
      <c r="E1125" s="931"/>
      <c r="F1125" s="931"/>
      <c r="G1125" s="932"/>
      <c r="H1125" s="932"/>
      <c r="I1125" s="932"/>
      <c r="J1125" s="932"/>
      <c r="K1125" s="957"/>
      <c r="L1125" s="1492"/>
      <c r="M1125" s="957"/>
      <c r="N1125" s="932"/>
      <c r="O1125" s="931"/>
      <c r="P1125" s="931"/>
      <c r="Q1125" s="957"/>
      <c r="R1125" s="957"/>
    </row>
    <row r="1126" ht="13.5" customHeight="1">
      <c r="A1126" s="931"/>
      <c r="B1126" s="931"/>
      <c r="C1126" s="932"/>
      <c r="D1126" s="932"/>
      <c r="E1126" s="931"/>
      <c r="F1126" s="931"/>
      <c r="G1126" s="932"/>
      <c r="H1126" s="932"/>
      <c r="I1126" s="932"/>
      <c r="J1126" s="932"/>
      <c r="K1126" s="957"/>
      <c r="L1126" s="1492"/>
      <c r="M1126" s="957"/>
      <c r="N1126" s="932"/>
      <c r="O1126" s="931"/>
      <c r="P1126" s="931"/>
      <c r="Q1126" s="957"/>
      <c r="R1126" s="957"/>
    </row>
    <row r="1127" ht="13.5" customHeight="1">
      <c r="A1127" s="931"/>
      <c r="B1127" s="931"/>
      <c r="C1127" s="932"/>
      <c r="D1127" s="932"/>
      <c r="E1127" s="931"/>
      <c r="F1127" s="931"/>
      <c r="G1127" s="932"/>
      <c r="H1127" s="932"/>
      <c r="I1127" s="932"/>
      <c r="J1127" s="932"/>
      <c r="K1127" s="957"/>
      <c r="L1127" s="1492"/>
      <c r="M1127" s="957"/>
      <c r="N1127" s="932"/>
      <c r="O1127" s="931"/>
      <c r="P1127" s="931"/>
      <c r="Q1127" s="957"/>
      <c r="R1127" s="957"/>
    </row>
    <row r="1128" ht="13.5" customHeight="1">
      <c r="A1128" s="931"/>
      <c r="B1128" s="931"/>
      <c r="C1128" s="932"/>
      <c r="D1128" s="932"/>
      <c r="E1128" s="931"/>
      <c r="F1128" s="931"/>
      <c r="G1128" s="932"/>
      <c r="H1128" s="932"/>
      <c r="I1128" s="932"/>
      <c r="J1128" s="932"/>
      <c r="K1128" s="957"/>
      <c r="L1128" s="1492"/>
      <c r="M1128" s="957"/>
      <c r="N1128" s="932"/>
      <c r="O1128" s="931"/>
      <c r="P1128" s="931"/>
      <c r="Q1128" s="957"/>
      <c r="R1128" s="957"/>
    </row>
    <row r="1129" ht="13.5" customHeight="1">
      <c r="A1129" s="931"/>
      <c r="B1129" s="931"/>
      <c r="C1129" s="932"/>
      <c r="D1129" s="932"/>
      <c r="E1129" s="931"/>
      <c r="F1129" s="931"/>
      <c r="G1129" s="932"/>
      <c r="H1129" s="932"/>
      <c r="I1129" s="932"/>
      <c r="J1129" s="932"/>
      <c r="K1129" s="957"/>
      <c r="L1129" s="1492"/>
      <c r="M1129" s="957"/>
      <c r="N1129" s="932"/>
      <c r="O1129" s="931"/>
      <c r="P1129" s="931"/>
      <c r="Q1129" s="957"/>
      <c r="R1129" s="957"/>
    </row>
    <row r="1130" ht="13.5" customHeight="1">
      <c r="A1130" s="931"/>
      <c r="B1130" s="931"/>
      <c r="C1130" s="932"/>
      <c r="D1130" s="932"/>
      <c r="E1130" s="931"/>
      <c r="F1130" s="931"/>
      <c r="G1130" s="932"/>
      <c r="H1130" s="932"/>
      <c r="I1130" s="932"/>
      <c r="J1130" s="932"/>
      <c r="K1130" s="957"/>
      <c r="L1130" s="1492"/>
      <c r="M1130" s="957"/>
      <c r="N1130" s="932"/>
      <c r="O1130" s="931"/>
      <c r="P1130" s="931"/>
      <c r="Q1130" s="957"/>
      <c r="R1130" s="957"/>
    </row>
    <row r="1131" ht="13.5" customHeight="1">
      <c r="A1131" s="931"/>
      <c r="B1131" s="931"/>
      <c r="C1131" s="932"/>
      <c r="D1131" s="932"/>
      <c r="E1131" s="931"/>
      <c r="F1131" s="931"/>
      <c r="G1131" s="932"/>
      <c r="H1131" s="932"/>
      <c r="I1131" s="932"/>
      <c r="J1131" s="932"/>
      <c r="K1131" s="957"/>
      <c r="L1131" s="1492"/>
      <c r="M1131" s="957"/>
      <c r="N1131" s="932"/>
      <c r="O1131" s="931"/>
      <c r="P1131" s="931"/>
      <c r="Q1131" s="957"/>
      <c r="R1131" s="957"/>
    </row>
    <row r="1132" ht="13.5" customHeight="1">
      <c r="A1132" s="931"/>
      <c r="B1132" s="931"/>
      <c r="C1132" s="932"/>
      <c r="D1132" s="932"/>
      <c r="E1132" s="931"/>
      <c r="F1132" s="931"/>
      <c r="G1132" s="932"/>
      <c r="H1132" s="932"/>
      <c r="I1132" s="932"/>
      <c r="J1132" s="932"/>
      <c r="K1132" s="957"/>
      <c r="L1132" s="1492"/>
      <c r="M1132" s="957"/>
      <c r="N1132" s="932"/>
      <c r="O1132" s="931"/>
      <c r="P1132" s="931"/>
      <c r="Q1132" s="957"/>
      <c r="R1132" s="957"/>
    </row>
    <row r="1133" ht="13.5" customHeight="1">
      <c r="A1133" s="931"/>
      <c r="B1133" s="931"/>
      <c r="C1133" s="932"/>
      <c r="D1133" s="932"/>
      <c r="E1133" s="931"/>
      <c r="F1133" s="931"/>
      <c r="G1133" s="932"/>
      <c r="H1133" s="932"/>
      <c r="I1133" s="932"/>
      <c r="J1133" s="932"/>
      <c r="K1133" s="957"/>
      <c r="L1133" s="1492"/>
      <c r="M1133" s="957"/>
      <c r="N1133" s="932"/>
      <c r="O1133" s="931"/>
      <c r="P1133" s="931"/>
      <c r="Q1133" s="957"/>
      <c r="R1133" s="957"/>
    </row>
    <row r="1134" ht="13.5" customHeight="1">
      <c r="A1134" s="931"/>
      <c r="B1134" s="931"/>
      <c r="C1134" s="932"/>
      <c r="D1134" s="932"/>
      <c r="E1134" s="931"/>
      <c r="F1134" s="931"/>
      <c r="G1134" s="932"/>
      <c r="H1134" s="932"/>
      <c r="I1134" s="932"/>
      <c r="J1134" s="932"/>
      <c r="K1134" s="957"/>
      <c r="L1134" s="1492"/>
      <c r="M1134" s="957"/>
      <c r="N1134" s="932"/>
      <c r="O1134" s="931"/>
      <c r="P1134" s="931"/>
      <c r="Q1134" s="957"/>
      <c r="R1134" s="957"/>
    </row>
    <row r="1135" ht="13.5" customHeight="1">
      <c r="A1135" s="931"/>
      <c r="B1135" s="931"/>
      <c r="C1135" s="932"/>
      <c r="D1135" s="932"/>
      <c r="E1135" s="931"/>
      <c r="F1135" s="931"/>
      <c r="G1135" s="932"/>
      <c r="H1135" s="932"/>
      <c r="I1135" s="932"/>
      <c r="J1135" s="932"/>
      <c r="K1135" s="957"/>
      <c r="L1135" s="1492"/>
      <c r="M1135" s="957"/>
      <c r="N1135" s="932"/>
      <c r="O1135" s="931"/>
      <c r="P1135" s="931"/>
      <c r="Q1135" s="957"/>
      <c r="R1135" s="957"/>
    </row>
    <row r="1136" ht="13.5" customHeight="1">
      <c r="A1136" s="931"/>
      <c r="B1136" s="931"/>
      <c r="C1136" s="932"/>
      <c r="D1136" s="932"/>
      <c r="E1136" s="931"/>
      <c r="F1136" s="931"/>
      <c r="G1136" s="932"/>
      <c r="H1136" s="932"/>
      <c r="I1136" s="932"/>
      <c r="J1136" s="932"/>
      <c r="K1136" s="957"/>
      <c r="L1136" s="1492"/>
      <c r="M1136" s="957"/>
      <c r="N1136" s="932"/>
      <c r="O1136" s="931"/>
      <c r="P1136" s="931"/>
      <c r="Q1136" s="957"/>
      <c r="R1136" s="957"/>
    </row>
    <row r="1137" ht="13.5" customHeight="1">
      <c r="A1137" s="931"/>
      <c r="B1137" s="931"/>
      <c r="C1137" s="932"/>
      <c r="D1137" s="932"/>
      <c r="E1137" s="931"/>
      <c r="F1137" s="931"/>
      <c r="G1137" s="932"/>
      <c r="H1137" s="932"/>
      <c r="I1137" s="932"/>
      <c r="J1137" s="932"/>
      <c r="K1137" s="957"/>
      <c r="L1137" s="1492"/>
      <c r="M1137" s="957"/>
      <c r="N1137" s="932"/>
      <c r="O1137" s="931"/>
      <c r="P1137" s="931"/>
      <c r="Q1137" s="957"/>
      <c r="R1137" s="957"/>
    </row>
    <row r="1138" ht="13.5" customHeight="1">
      <c r="A1138" s="931"/>
      <c r="B1138" s="931"/>
      <c r="C1138" s="932"/>
      <c r="D1138" s="932"/>
      <c r="E1138" s="931"/>
      <c r="F1138" s="931"/>
      <c r="G1138" s="932"/>
      <c r="H1138" s="932"/>
      <c r="I1138" s="932"/>
      <c r="J1138" s="932"/>
      <c r="K1138" s="957"/>
      <c r="L1138" s="1492"/>
      <c r="M1138" s="957"/>
      <c r="N1138" s="932"/>
      <c r="O1138" s="931"/>
      <c r="P1138" s="931"/>
      <c r="Q1138" s="957"/>
      <c r="R1138" s="957"/>
    </row>
    <row r="1139" ht="13.5" customHeight="1">
      <c r="A1139" s="931"/>
      <c r="B1139" s="931"/>
      <c r="C1139" s="932"/>
      <c r="D1139" s="932"/>
      <c r="E1139" s="931"/>
      <c r="F1139" s="931"/>
      <c r="G1139" s="932"/>
      <c r="H1139" s="932"/>
      <c r="I1139" s="932"/>
      <c r="J1139" s="932"/>
      <c r="K1139" s="957"/>
      <c r="L1139" s="1492"/>
      <c r="M1139" s="957"/>
      <c r="N1139" s="932"/>
      <c r="O1139" s="931"/>
      <c r="P1139" s="931"/>
      <c r="Q1139" s="957"/>
      <c r="R1139" s="957"/>
    </row>
    <row r="1140" ht="13.5" customHeight="1">
      <c r="A1140" s="931"/>
      <c r="B1140" s="931"/>
      <c r="C1140" s="932"/>
      <c r="D1140" s="932"/>
      <c r="E1140" s="931"/>
      <c r="F1140" s="931"/>
      <c r="G1140" s="932"/>
      <c r="H1140" s="932"/>
      <c r="I1140" s="932"/>
      <c r="J1140" s="932"/>
      <c r="K1140" s="957"/>
      <c r="L1140" s="1492"/>
      <c r="M1140" s="957"/>
      <c r="N1140" s="932"/>
      <c r="O1140" s="931"/>
      <c r="P1140" s="931"/>
      <c r="Q1140" s="957"/>
      <c r="R1140" s="957"/>
    </row>
    <row r="1141" ht="13.5" customHeight="1">
      <c r="A1141" s="931"/>
      <c r="B1141" s="931"/>
      <c r="C1141" s="932"/>
      <c r="D1141" s="932"/>
      <c r="E1141" s="931"/>
      <c r="F1141" s="931"/>
      <c r="G1141" s="932"/>
      <c r="H1141" s="932"/>
      <c r="I1141" s="932"/>
      <c r="J1141" s="932"/>
      <c r="K1141" s="957"/>
      <c r="L1141" s="1492"/>
      <c r="M1141" s="957"/>
      <c r="N1141" s="932"/>
      <c r="O1141" s="931"/>
      <c r="P1141" s="931"/>
      <c r="Q1141" s="957"/>
      <c r="R1141" s="957"/>
    </row>
    <row r="1142" ht="13.5" customHeight="1">
      <c r="A1142" s="931"/>
      <c r="B1142" s="931"/>
      <c r="C1142" s="932"/>
      <c r="D1142" s="932"/>
      <c r="E1142" s="931"/>
      <c r="F1142" s="931"/>
      <c r="G1142" s="932"/>
      <c r="H1142" s="932"/>
      <c r="I1142" s="932"/>
      <c r="J1142" s="932"/>
      <c r="K1142" s="957"/>
      <c r="L1142" s="1492"/>
      <c r="M1142" s="957"/>
      <c r="N1142" s="932"/>
      <c r="O1142" s="931"/>
      <c r="P1142" s="931"/>
      <c r="Q1142" s="957"/>
      <c r="R1142" s="957"/>
    </row>
    <row r="1143" ht="13.5" customHeight="1">
      <c r="A1143" s="931"/>
      <c r="B1143" s="931"/>
      <c r="C1143" s="932"/>
      <c r="D1143" s="932"/>
      <c r="E1143" s="931"/>
      <c r="F1143" s="931"/>
      <c r="G1143" s="932"/>
      <c r="H1143" s="932"/>
      <c r="I1143" s="932"/>
      <c r="J1143" s="932"/>
      <c r="K1143" s="957"/>
      <c r="L1143" s="1492"/>
      <c r="M1143" s="957"/>
      <c r="N1143" s="932"/>
      <c r="O1143" s="931"/>
      <c r="P1143" s="931"/>
      <c r="Q1143" s="957"/>
      <c r="R1143" s="957"/>
    </row>
    <row r="1144" ht="13.5" customHeight="1">
      <c r="A1144" s="931"/>
      <c r="B1144" s="931"/>
      <c r="C1144" s="932"/>
      <c r="D1144" s="932"/>
      <c r="E1144" s="931"/>
      <c r="F1144" s="931"/>
      <c r="G1144" s="932"/>
      <c r="H1144" s="932"/>
      <c r="I1144" s="932"/>
      <c r="J1144" s="932"/>
      <c r="K1144" s="957"/>
      <c r="L1144" s="1492"/>
      <c r="M1144" s="957"/>
      <c r="N1144" s="932"/>
      <c r="O1144" s="931"/>
      <c r="P1144" s="931"/>
      <c r="Q1144" s="957"/>
      <c r="R1144" s="957"/>
    </row>
    <row r="1145" ht="13.5" customHeight="1">
      <c r="A1145" s="931"/>
      <c r="B1145" s="931"/>
      <c r="C1145" s="932"/>
      <c r="D1145" s="932"/>
      <c r="E1145" s="931"/>
      <c r="F1145" s="931"/>
      <c r="G1145" s="932"/>
      <c r="H1145" s="932"/>
      <c r="I1145" s="932"/>
      <c r="J1145" s="932"/>
      <c r="K1145" s="957"/>
      <c r="L1145" s="1492"/>
      <c r="M1145" s="957"/>
      <c r="N1145" s="932"/>
      <c r="O1145" s="931"/>
      <c r="P1145" s="931"/>
      <c r="Q1145" s="957"/>
      <c r="R1145" s="957"/>
    </row>
    <row r="1146" ht="13.5" customHeight="1">
      <c r="A1146" s="931"/>
      <c r="B1146" s="931"/>
      <c r="C1146" s="932"/>
      <c r="D1146" s="932"/>
      <c r="E1146" s="931"/>
      <c r="F1146" s="931"/>
      <c r="G1146" s="932"/>
      <c r="H1146" s="932"/>
      <c r="I1146" s="932"/>
      <c r="J1146" s="932"/>
      <c r="K1146" s="957"/>
      <c r="L1146" s="1492"/>
      <c r="M1146" s="957"/>
      <c r="N1146" s="932"/>
      <c r="O1146" s="931"/>
      <c r="P1146" s="931"/>
      <c r="Q1146" s="957"/>
      <c r="R1146" s="957"/>
    </row>
  </sheetData>
  <autoFilter ref="$A$2:$R$3"/>
  <conditionalFormatting sqref="C135:C141">
    <cfRule type="expression" dxfId="4" priority="1">
      <formula>$K135="Hư hỏng"</formula>
    </cfRule>
  </conditionalFormatting>
  <conditionalFormatting sqref="B278:B281">
    <cfRule type="expression" dxfId="0" priority="2">
      <formula>countif(B:B,B278)&gt;1</formula>
    </cfRule>
  </conditionalFormatting>
  <conditionalFormatting sqref="B44:B48 F85 B278:B281 B400:B401 B454:B458">
    <cfRule type="expression" dxfId="4" priority="3">
      <formula>$J44="Hư hỏng"</formula>
    </cfRule>
  </conditionalFormatting>
  <conditionalFormatting sqref="A1:R1146">
    <cfRule type="expression" dxfId="4" priority="4">
      <formula>$I1="Hư hỏng"</formula>
    </cfRule>
  </conditionalFormatting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Row="1"/>
  <cols>
    <col customWidth="1" min="1" max="1" width="4.38"/>
    <col customWidth="1" min="2" max="2" width="18.63"/>
    <col customWidth="1" min="3" max="3" width="17.88"/>
    <col customWidth="1" min="4" max="5" width="15.63"/>
    <col customWidth="1" min="6" max="6" width="32.63"/>
    <col customWidth="1" min="7" max="7" width="14.5"/>
    <col customWidth="1" min="8" max="8" width="13.5"/>
    <col customWidth="1" min="9" max="9" width="12.75"/>
    <col customWidth="1" min="10" max="10" width="12.38"/>
    <col customWidth="1" min="11" max="11" width="27.63"/>
    <col customWidth="1" min="12" max="12" width="23.0"/>
    <col customWidth="1" min="13" max="13" width="14.13"/>
    <col customWidth="1" min="14" max="14" width="11.5"/>
    <col customWidth="1" min="15" max="15" width="9.75"/>
    <col customWidth="1" min="16" max="16" width="24.25"/>
    <col customWidth="1" min="17" max="17" width="26.63"/>
  </cols>
  <sheetData>
    <row r="1" ht="39.0" customHeight="1">
      <c r="A1" s="852" t="s">
        <v>3215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1415"/>
      <c r="M1" s="855" t="s">
        <v>3</v>
      </c>
      <c r="N1" s="855"/>
      <c r="O1" s="855"/>
      <c r="P1" s="855"/>
      <c r="Q1" s="855"/>
    </row>
    <row r="2" ht="33.0" customHeight="1">
      <c r="A2" s="435" t="s">
        <v>5</v>
      </c>
      <c r="B2" s="435" t="s">
        <v>3216</v>
      </c>
      <c r="C2" s="436" t="s">
        <v>3217</v>
      </c>
      <c r="D2" s="435" t="s">
        <v>3218</v>
      </c>
      <c r="E2" s="435" t="s">
        <v>6082</v>
      </c>
      <c r="F2" s="435" t="s">
        <v>11</v>
      </c>
      <c r="G2" s="435" t="s">
        <v>13</v>
      </c>
      <c r="H2" s="437" t="s">
        <v>3219</v>
      </c>
      <c r="I2" s="435" t="s">
        <v>3220</v>
      </c>
      <c r="J2" s="435" t="s">
        <v>3221</v>
      </c>
      <c r="K2" s="435" t="s">
        <v>19</v>
      </c>
      <c r="L2" s="435" t="s">
        <v>33</v>
      </c>
      <c r="M2" s="438" t="s">
        <v>21</v>
      </c>
      <c r="N2" s="438" t="s">
        <v>22</v>
      </c>
      <c r="O2" s="438" t="s">
        <v>23</v>
      </c>
      <c r="P2" s="435" t="s">
        <v>8378</v>
      </c>
      <c r="Q2" s="438" t="s">
        <v>3225</v>
      </c>
    </row>
    <row r="3" ht="15.0" hidden="1" customHeight="1">
      <c r="A3" s="447" t="s">
        <v>3228</v>
      </c>
      <c r="B3" s="448" t="s">
        <v>3229</v>
      </c>
      <c r="C3" s="1416"/>
      <c r="D3" s="450"/>
      <c r="E3" s="450"/>
      <c r="F3" s="450"/>
      <c r="G3" s="453"/>
      <c r="H3" s="450"/>
      <c r="I3" s="450"/>
      <c r="J3" s="450"/>
      <c r="K3" s="450"/>
      <c r="L3" s="450"/>
      <c r="M3" s="450"/>
      <c r="N3" s="450"/>
      <c r="O3" s="450"/>
      <c r="P3" s="450"/>
      <c r="Q3" s="450"/>
    </row>
    <row r="4" ht="15.0" hidden="1" customHeight="1">
      <c r="A4" s="455" t="s">
        <v>72</v>
      </c>
      <c r="B4" s="456" t="s">
        <v>74</v>
      </c>
      <c r="C4" s="461"/>
      <c r="D4" s="458"/>
      <c r="E4" s="458"/>
      <c r="F4" s="458"/>
      <c r="G4" s="459"/>
      <c r="H4" s="458"/>
      <c r="I4" s="458"/>
      <c r="J4" s="458"/>
      <c r="K4" s="458"/>
      <c r="L4" s="458"/>
      <c r="M4" s="458"/>
      <c r="N4" s="458"/>
      <c r="O4" s="458"/>
      <c r="P4" s="458"/>
      <c r="Q4" s="458"/>
    </row>
    <row r="5" ht="15.0" hidden="1" customHeight="1">
      <c r="A5" s="463">
        <v>1.0</v>
      </c>
      <c r="B5" s="464" t="s">
        <v>3230</v>
      </c>
      <c r="C5" s="128"/>
      <c r="D5" s="465" t="s">
        <v>3231</v>
      </c>
      <c r="E5" s="467"/>
      <c r="F5" s="464" t="s">
        <v>8380</v>
      </c>
      <c r="G5" s="463" t="s">
        <v>44</v>
      </c>
      <c r="H5" s="467"/>
      <c r="I5" s="467"/>
      <c r="J5" s="467"/>
      <c r="K5" s="467"/>
      <c r="L5" s="467"/>
      <c r="M5" s="467"/>
      <c r="N5" s="467"/>
      <c r="O5" s="467"/>
      <c r="P5" s="467"/>
      <c r="Q5" s="467"/>
    </row>
    <row r="6" ht="15.0" hidden="1" customHeight="1">
      <c r="A6" s="48">
        <v>2.0</v>
      </c>
      <c r="B6" s="464" t="s">
        <v>3234</v>
      </c>
      <c r="C6" s="128"/>
      <c r="D6" s="470" t="s">
        <v>3235</v>
      </c>
      <c r="E6" s="471"/>
      <c r="F6" s="464" t="s">
        <v>8380</v>
      </c>
      <c r="G6" s="463" t="s">
        <v>44</v>
      </c>
      <c r="H6" s="471"/>
      <c r="I6" s="471"/>
      <c r="J6" s="471"/>
      <c r="K6" s="471"/>
      <c r="L6" s="471"/>
      <c r="M6" s="471"/>
      <c r="N6" s="471"/>
      <c r="O6" s="471"/>
      <c r="P6" s="471"/>
      <c r="Q6" s="471"/>
    </row>
    <row r="7" ht="15.0" hidden="1" customHeight="1">
      <c r="A7" s="48">
        <v>3.0</v>
      </c>
      <c r="B7" s="464" t="s">
        <v>3242</v>
      </c>
      <c r="C7" s="128"/>
      <c r="D7" s="470" t="s">
        <v>3243</v>
      </c>
      <c r="E7" s="471"/>
      <c r="F7" s="468" t="s">
        <v>8382</v>
      </c>
      <c r="G7" s="463" t="s">
        <v>44</v>
      </c>
      <c r="H7" s="471"/>
      <c r="I7" s="471"/>
      <c r="J7" s="471"/>
      <c r="K7" s="471"/>
      <c r="L7" s="471"/>
      <c r="M7" s="471"/>
      <c r="N7" s="471"/>
      <c r="O7" s="471"/>
      <c r="P7" s="471"/>
      <c r="Q7" s="471"/>
    </row>
    <row r="8" ht="15.0" hidden="1" customHeight="1">
      <c r="A8" s="463">
        <v>4.0</v>
      </c>
      <c r="B8" s="464" t="s">
        <v>3246</v>
      </c>
      <c r="C8" s="128"/>
      <c r="D8" s="465" t="s">
        <v>3247</v>
      </c>
      <c r="E8" s="467"/>
      <c r="F8" s="464" t="s">
        <v>8383</v>
      </c>
      <c r="G8" s="463" t="s">
        <v>44</v>
      </c>
      <c r="H8" s="467"/>
      <c r="I8" s="467"/>
      <c r="J8" s="467"/>
      <c r="K8" s="467"/>
      <c r="L8" s="467"/>
      <c r="M8" s="467"/>
      <c r="N8" s="467"/>
      <c r="O8" s="467"/>
      <c r="P8" s="467"/>
      <c r="Q8" s="467"/>
    </row>
    <row r="9" ht="15.0" hidden="1" customHeight="1">
      <c r="A9" s="48">
        <v>5.0</v>
      </c>
      <c r="B9" s="464" t="s">
        <v>3250</v>
      </c>
      <c r="C9" s="128"/>
      <c r="D9" s="470" t="s">
        <v>3251</v>
      </c>
      <c r="E9" s="471"/>
      <c r="F9" s="468" t="s">
        <v>8385</v>
      </c>
      <c r="G9" s="463" t="s">
        <v>44</v>
      </c>
      <c r="H9" s="471"/>
      <c r="I9" s="471"/>
      <c r="J9" s="471"/>
      <c r="K9" s="471"/>
      <c r="L9" s="471"/>
      <c r="M9" s="471"/>
      <c r="N9" s="471"/>
      <c r="O9" s="471"/>
      <c r="P9" s="471"/>
      <c r="Q9" s="471"/>
    </row>
    <row r="10" ht="15.0" hidden="1" customHeight="1">
      <c r="A10" s="455" t="s">
        <v>375</v>
      </c>
      <c r="B10" s="456" t="s">
        <v>376</v>
      </c>
      <c r="C10" s="461"/>
      <c r="D10" s="458"/>
      <c r="E10" s="458"/>
      <c r="F10" s="458"/>
      <c r="G10" s="459"/>
      <c r="H10" s="458"/>
      <c r="I10" s="458"/>
      <c r="J10" s="458"/>
      <c r="K10" s="458"/>
      <c r="L10" s="458"/>
      <c r="M10" s="458"/>
      <c r="N10" s="458"/>
      <c r="O10" s="458"/>
      <c r="P10" s="458"/>
      <c r="Q10" s="458"/>
    </row>
    <row r="11" ht="15.0" hidden="1" customHeight="1">
      <c r="A11" s="48">
        <v>1.0</v>
      </c>
      <c r="B11" s="468" t="s">
        <v>3369</v>
      </c>
      <c r="C11" s="128"/>
      <c r="D11" s="470" t="s">
        <v>3370</v>
      </c>
      <c r="E11" s="468" t="s">
        <v>8387</v>
      </c>
      <c r="F11" s="471" t="s">
        <v>6423</v>
      </c>
      <c r="G11" s="88" t="s">
        <v>55</v>
      </c>
      <c r="H11" s="471"/>
      <c r="I11" s="471"/>
      <c r="J11" s="471"/>
      <c r="K11" s="471"/>
      <c r="L11" s="471" t="s">
        <v>3371</v>
      </c>
      <c r="M11" s="471"/>
      <c r="N11" s="471"/>
      <c r="O11" s="471"/>
      <c r="P11" s="471"/>
      <c r="Q11" s="471"/>
    </row>
    <row r="12" ht="15.0" hidden="1" customHeight="1">
      <c r="A12" s="463">
        <v>2.0</v>
      </c>
      <c r="B12" s="464" t="s">
        <v>3382</v>
      </c>
      <c r="C12" s="128"/>
      <c r="D12" s="465" t="s">
        <v>3383</v>
      </c>
      <c r="E12" s="464" t="s">
        <v>8388</v>
      </c>
      <c r="F12" s="467" t="s">
        <v>8385</v>
      </c>
      <c r="G12" s="475" t="s">
        <v>55</v>
      </c>
      <c r="H12" s="467"/>
      <c r="I12" s="467"/>
      <c r="J12" s="467"/>
      <c r="K12" s="467"/>
      <c r="L12" s="467" t="s">
        <v>3384</v>
      </c>
      <c r="M12" s="467"/>
      <c r="N12" s="467"/>
      <c r="O12" s="467"/>
      <c r="P12" s="467"/>
      <c r="Q12" s="467"/>
    </row>
    <row r="13" ht="15.0" hidden="1" customHeight="1">
      <c r="A13" s="1418" t="s">
        <v>515</v>
      </c>
      <c r="B13" s="1419" t="s">
        <v>516</v>
      </c>
      <c r="C13" s="1420"/>
      <c r="D13" s="1421"/>
      <c r="E13" s="1421"/>
      <c r="F13" s="1421"/>
      <c r="G13" s="1422"/>
      <c r="H13" s="1421"/>
      <c r="I13" s="1421"/>
      <c r="J13" s="1421"/>
      <c r="K13" s="1421"/>
      <c r="L13" s="1421"/>
      <c r="M13" s="1421"/>
      <c r="N13" s="1421"/>
      <c r="O13" s="1421"/>
      <c r="P13" s="1421"/>
      <c r="Q13" s="1421"/>
    </row>
    <row r="14" ht="15.0" hidden="1" customHeight="1">
      <c r="A14" s="48">
        <v>1.0</v>
      </c>
      <c r="B14" s="464" t="s">
        <v>3467</v>
      </c>
      <c r="C14" s="476" t="s">
        <v>3468</v>
      </c>
      <c r="D14" s="464" t="s">
        <v>3469</v>
      </c>
      <c r="E14" s="467"/>
      <c r="F14" s="464" t="s">
        <v>6422</v>
      </c>
      <c r="G14" s="475" t="s">
        <v>59</v>
      </c>
      <c r="H14" s="467"/>
      <c r="I14" s="467"/>
      <c r="J14" s="467"/>
      <c r="K14" s="467"/>
      <c r="L14" s="467"/>
      <c r="M14" s="467"/>
      <c r="N14" s="467"/>
      <c r="O14" s="467"/>
      <c r="P14" s="467"/>
      <c r="Q14" s="467"/>
    </row>
    <row r="15" ht="15.0" hidden="1" customHeight="1">
      <c r="A15" s="463">
        <v>2.0</v>
      </c>
      <c r="B15" s="464" t="s">
        <v>3471</v>
      </c>
      <c r="C15" s="476" t="s">
        <v>3471</v>
      </c>
      <c r="D15" s="464" t="s">
        <v>3472</v>
      </c>
      <c r="E15" s="464" t="s">
        <v>8390</v>
      </c>
      <c r="F15" s="467" t="s">
        <v>3473</v>
      </c>
      <c r="G15" s="475" t="s">
        <v>59</v>
      </c>
      <c r="H15" s="467"/>
      <c r="I15" s="467"/>
      <c r="J15" s="467"/>
      <c r="K15" s="467"/>
      <c r="L15" s="467"/>
      <c r="M15" s="467"/>
      <c r="N15" s="467"/>
      <c r="O15" s="467"/>
      <c r="P15" s="467"/>
      <c r="Q15" s="467"/>
    </row>
    <row r="16" ht="15.0" hidden="1" customHeight="1">
      <c r="A16" s="48">
        <v>3.0</v>
      </c>
      <c r="B16" s="464" t="s">
        <v>3474</v>
      </c>
      <c r="C16" s="476" t="s">
        <v>3246</v>
      </c>
      <c r="D16" s="464" t="s">
        <v>3475</v>
      </c>
      <c r="E16" s="467"/>
      <c r="F16" s="464" t="s">
        <v>8391</v>
      </c>
      <c r="G16" s="475" t="s">
        <v>59</v>
      </c>
      <c r="H16" s="467"/>
      <c r="I16" s="467"/>
      <c r="J16" s="467"/>
      <c r="K16" s="467"/>
      <c r="L16" s="467"/>
      <c r="M16" s="467"/>
      <c r="N16" s="467"/>
      <c r="O16" s="467"/>
      <c r="P16" s="467"/>
      <c r="Q16" s="467"/>
    </row>
    <row r="17" ht="15.0" hidden="1" customHeight="1">
      <c r="A17" s="463">
        <v>4.0</v>
      </c>
      <c r="B17" s="464" t="s">
        <v>3476</v>
      </c>
      <c r="C17" s="476"/>
      <c r="D17" s="464" t="s">
        <v>3477</v>
      </c>
      <c r="E17" s="467"/>
      <c r="F17" s="464" t="s">
        <v>8392</v>
      </c>
      <c r="G17" s="475" t="s">
        <v>59</v>
      </c>
      <c r="H17" s="467"/>
      <c r="I17" s="467"/>
      <c r="J17" s="464" t="s">
        <v>1565</v>
      </c>
      <c r="K17" s="464"/>
      <c r="L17" s="464" t="s">
        <v>3479</v>
      </c>
      <c r="M17" s="467"/>
      <c r="N17" s="467"/>
      <c r="O17" s="467"/>
      <c r="P17" s="467"/>
      <c r="Q17" s="467"/>
    </row>
    <row r="18" ht="15.0" hidden="1" customHeight="1">
      <c r="A18" s="48">
        <v>5.0</v>
      </c>
      <c r="B18" s="468" t="s">
        <v>3481</v>
      </c>
      <c r="C18" s="476"/>
      <c r="D18" s="464" t="s">
        <v>3482</v>
      </c>
      <c r="E18" s="467"/>
      <c r="F18" s="464" t="s">
        <v>8393</v>
      </c>
      <c r="G18" s="475" t="s">
        <v>59</v>
      </c>
      <c r="H18" s="467"/>
      <c r="I18" s="467"/>
      <c r="J18" s="464"/>
      <c r="K18" s="464"/>
      <c r="L18" s="464"/>
      <c r="M18" s="467"/>
      <c r="N18" s="467"/>
      <c r="O18" s="467"/>
      <c r="P18" s="467"/>
      <c r="Q18" s="467"/>
    </row>
    <row r="19" ht="15.0" hidden="1" customHeight="1">
      <c r="A19" s="463">
        <v>6.0</v>
      </c>
      <c r="B19" s="468" t="s">
        <v>3483</v>
      </c>
      <c r="C19" s="476"/>
      <c r="D19" s="464" t="s">
        <v>3484</v>
      </c>
      <c r="F19" s="464" t="s">
        <v>8393</v>
      </c>
      <c r="G19" s="475" t="s">
        <v>59</v>
      </c>
      <c r="H19" s="464" t="s">
        <v>3485</v>
      </c>
      <c r="I19" s="467"/>
      <c r="J19" s="464" t="s">
        <v>1938</v>
      </c>
      <c r="K19" s="464"/>
      <c r="L19" s="464"/>
      <c r="M19" s="464" t="s">
        <v>3486</v>
      </c>
      <c r="N19" s="464" t="s">
        <v>260</v>
      </c>
      <c r="O19" s="464">
        <v>2024.0</v>
      </c>
      <c r="P19" s="464" t="s">
        <v>3487</v>
      </c>
      <c r="Q19" s="464" t="s">
        <v>3488</v>
      </c>
    </row>
    <row r="20" ht="15.0" hidden="1" customHeight="1">
      <c r="A20" s="48">
        <v>7.0</v>
      </c>
      <c r="B20" s="464" t="s">
        <v>3503</v>
      </c>
      <c r="C20" s="476"/>
      <c r="D20" s="464" t="s">
        <v>3504</v>
      </c>
      <c r="E20" s="464" t="s">
        <v>8394</v>
      </c>
      <c r="F20" s="464" t="s">
        <v>8395</v>
      </c>
      <c r="G20" s="475" t="s">
        <v>59</v>
      </c>
      <c r="H20" s="467"/>
      <c r="I20" s="467"/>
      <c r="J20" s="464"/>
      <c r="K20" s="464"/>
      <c r="L20" s="464"/>
      <c r="M20" s="467"/>
      <c r="N20" s="467"/>
      <c r="O20" s="467"/>
      <c r="P20" s="467"/>
      <c r="Q20" s="467"/>
    </row>
    <row r="21" ht="15.0" hidden="1" customHeight="1">
      <c r="A21" s="447" t="s">
        <v>3516</v>
      </c>
      <c r="B21" s="448" t="s">
        <v>3517</v>
      </c>
      <c r="C21" s="1416"/>
      <c r="D21" s="450"/>
      <c r="E21" s="450"/>
      <c r="F21" s="450"/>
      <c r="G21" s="453"/>
      <c r="H21" s="450"/>
      <c r="I21" s="450"/>
      <c r="J21" s="450"/>
      <c r="K21" s="450"/>
      <c r="L21" s="450"/>
      <c r="M21" s="450"/>
      <c r="N21" s="450"/>
      <c r="O21" s="450"/>
      <c r="P21" s="450"/>
      <c r="Q21" s="450"/>
    </row>
    <row r="22" ht="15.0" hidden="1" customHeight="1">
      <c r="A22" s="455" t="s">
        <v>653</v>
      </c>
      <c r="B22" s="456" t="s">
        <v>654</v>
      </c>
      <c r="C22" s="461"/>
      <c r="D22" s="458"/>
      <c r="E22" s="458"/>
      <c r="F22" s="458"/>
      <c r="G22" s="459"/>
      <c r="H22" s="458"/>
      <c r="I22" s="458"/>
      <c r="J22" s="458"/>
      <c r="K22" s="458"/>
      <c r="L22" s="458"/>
      <c r="M22" s="458"/>
      <c r="N22" s="458"/>
      <c r="O22" s="458"/>
      <c r="P22" s="458"/>
      <c r="Q22" s="458"/>
    </row>
    <row r="23" ht="15.0" hidden="1" customHeight="1">
      <c r="A23" s="463">
        <v>1.0</v>
      </c>
      <c r="B23" s="467" t="s">
        <v>3518</v>
      </c>
      <c r="C23" s="465" t="s">
        <v>3519</v>
      </c>
      <c r="D23" s="464" t="s">
        <v>3520</v>
      </c>
      <c r="E23" s="467"/>
      <c r="F23" s="467" t="s">
        <v>8400</v>
      </c>
      <c r="G23" s="475" t="s">
        <v>45</v>
      </c>
      <c r="H23" s="467"/>
      <c r="I23" s="467"/>
      <c r="J23" s="467"/>
      <c r="K23" s="467"/>
      <c r="L23" s="467"/>
      <c r="M23" s="467"/>
      <c r="N23" s="467"/>
      <c r="O23" s="467"/>
      <c r="P23" s="467"/>
      <c r="Q23" s="467" t="s">
        <v>3522</v>
      </c>
    </row>
    <row r="24" ht="15.0" hidden="1" customHeight="1">
      <c r="A24" s="463">
        <v>2.0</v>
      </c>
      <c r="B24" s="464" t="s">
        <v>4412</v>
      </c>
      <c r="C24" s="465" t="s">
        <v>4413</v>
      </c>
      <c r="D24" s="464" t="s">
        <v>4414</v>
      </c>
      <c r="E24" s="467"/>
      <c r="F24" s="467" t="s">
        <v>4415</v>
      </c>
      <c r="G24" s="475" t="s">
        <v>45</v>
      </c>
      <c r="H24" s="467"/>
      <c r="I24" s="467"/>
      <c r="J24" s="467"/>
      <c r="K24" s="467"/>
      <c r="L24" s="467"/>
      <c r="M24" s="467"/>
      <c r="N24" s="467"/>
      <c r="O24" s="467"/>
      <c r="P24" s="467"/>
      <c r="Q24" s="467" t="s">
        <v>4419</v>
      </c>
    </row>
    <row r="25" ht="15.0" hidden="1" customHeight="1">
      <c r="A25" s="463">
        <v>3.0</v>
      </c>
      <c r="B25" s="464" t="s">
        <v>3523</v>
      </c>
      <c r="C25" s="465" t="s">
        <v>3524</v>
      </c>
      <c r="D25" s="464" t="s">
        <v>3525</v>
      </c>
      <c r="E25" s="467"/>
      <c r="F25" s="467" t="s">
        <v>3526</v>
      </c>
      <c r="G25" s="475" t="s">
        <v>45</v>
      </c>
      <c r="H25" s="467"/>
      <c r="I25" s="467"/>
      <c r="J25" s="467"/>
      <c r="K25" s="467"/>
      <c r="L25" s="467"/>
      <c r="M25" s="467"/>
      <c r="N25" s="467"/>
      <c r="O25" s="467"/>
      <c r="P25" s="467"/>
      <c r="Q25" s="467"/>
    </row>
    <row r="26" ht="15.0" hidden="1" customHeight="1">
      <c r="A26" s="463">
        <v>4.0</v>
      </c>
      <c r="B26" s="464" t="s">
        <v>3528</v>
      </c>
      <c r="C26" s="465" t="s">
        <v>3529</v>
      </c>
      <c r="D26" s="464" t="s">
        <v>3530</v>
      </c>
      <c r="E26" s="467"/>
      <c r="F26" s="467" t="s">
        <v>3526</v>
      </c>
      <c r="G26" s="475" t="s">
        <v>45</v>
      </c>
      <c r="H26" s="467"/>
      <c r="I26" s="467"/>
      <c r="J26" s="467"/>
      <c r="K26" s="467"/>
      <c r="L26" s="467"/>
      <c r="M26" s="467"/>
      <c r="N26" s="467"/>
      <c r="O26" s="467"/>
      <c r="P26" s="467"/>
      <c r="Q26" s="467"/>
    </row>
    <row r="27" ht="15.0" hidden="1" customHeight="1">
      <c r="A27" s="463">
        <v>5.0</v>
      </c>
      <c r="B27" s="464" t="s">
        <v>3531</v>
      </c>
      <c r="C27" s="465" t="s">
        <v>3532</v>
      </c>
      <c r="D27" s="464" t="s">
        <v>3533</v>
      </c>
      <c r="E27" s="467"/>
      <c r="F27" s="467" t="s">
        <v>3526</v>
      </c>
      <c r="G27" s="475" t="s">
        <v>45</v>
      </c>
      <c r="H27" s="467"/>
      <c r="I27" s="467"/>
      <c r="J27" s="467"/>
      <c r="K27" s="467"/>
      <c r="L27" s="467"/>
      <c r="M27" s="467"/>
      <c r="N27" s="467"/>
      <c r="O27" s="467"/>
      <c r="P27" s="467"/>
      <c r="Q27" s="467"/>
    </row>
    <row r="28" ht="15.0" hidden="1" customHeight="1">
      <c r="A28" s="463">
        <v>6.0</v>
      </c>
      <c r="B28" s="464" t="s">
        <v>3534</v>
      </c>
      <c r="C28" s="465" t="s">
        <v>3535</v>
      </c>
      <c r="D28" s="464" t="s">
        <v>3536</v>
      </c>
      <c r="E28" s="467"/>
      <c r="F28" s="467" t="s">
        <v>3537</v>
      </c>
      <c r="G28" s="475" t="s">
        <v>45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</row>
    <row r="29" ht="15.0" hidden="1" customHeight="1">
      <c r="A29" s="463">
        <v>7.0</v>
      </c>
      <c r="B29" s="464" t="s">
        <v>3540</v>
      </c>
      <c r="C29" s="465" t="s">
        <v>3541</v>
      </c>
      <c r="D29" s="464" t="s">
        <v>3542</v>
      </c>
      <c r="E29" s="467"/>
      <c r="F29" s="467" t="s">
        <v>3537</v>
      </c>
      <c r="G29" s="475" t="s">
        <v>45</v>
      </c>
      <c r="H29" s="467"/>
      <c r="I29" s="467"/>
      <c r="J29" s="467"/>
      <c r="K29" s="467"/>
      <c r="L29" s="467"/>
      <c r="M29" s="467"/>
      <c r="N29" s="467"/>
      <c r="O29" s="467"/>
      <c r="P29" s="467"/>
      <c r="Q29" s="467"/>
    </row>
    <row r="30" ht="15.0" hidden="1" customHeight="1">
      <c r="A30" s="463">
        <v>8.0</v>
      </c>
      <c r="B30" s="464" t="s">
        <v>3550</v>
      </c>
      <c r="C30" s="465" t="s">
        <v>3551</v>
      </c>
      <c r="D30" s="464" t="s">
        <v>3552</v>
      </c>
      <c r="E30" s="464"/>
      <c r="F30" s="467" t="s">
        <v>3553</v>
      </c>
      <c r="G30" s="475" t="s">
        <v>45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</row>
    <row r="31" ht="15.0" hidden="1" customHeight="1">
      <c r="A31" s="463">
        <v>9.0</v>
      </c>
      <c r="B31" s="464" t="s">
        <v>3555</v>
      </c>
      <c r="C31" s="465" t="s">
        <v>3556</v>
      </c>
      <c r="D31" s="464" t="s">
        <v>3557</v>
      </c>
      <c r="E31" s="467"/>
      <c r="F31" s="467" t="s">
        <v>8407</v>
      </c>
      <c r="G31" s="475" t="s">
        <v>45</v>
      </c>
      <c r="H31" s="467"/>
      <c r="I31" s="467"/>
      <c r="J31" s="467"/>
      <c r="K31" s="467"/>
      <c r="L31" s="467"/>
      <c r="M31" s="467"/>
      <c r="N31" s="467"/>
      <c r="O31" s="467"/>
      <c r="P31" s="467"/>
      <c r="Q31" s="467"/>
    </row>
    <row r="32" ht="15.0" hidden="1" customHeight="1">
      <c r="A32" s="463">
        <v>10.0</v>
      </c>
      <c r="B32" s="464" t="s">
        <v>3560</v>
      </c>
      <c r="C32" s="465" t="s">
        <v>3561</v>
      </c>
      <c r="D32" s="464" t="s">
        <v>3562</v>
      </c>
      <c r="E32" s="467"/>
      <c r="F32" s="467" t="s">
        <v>8407</v>
      </c>
      <c r="G32" s="475" t="s">
        <v>45</v>
      </c>
      <c r="H32" s="467"/>
      <c r="I32" s="467"/>
      <c r="J32" s="467"/>
      <c r="K32" s="467"/>
      <c r="L32" s="467"/>
      <c r="M32" s="467"/>
      <c r="N32" s="467"/>
      <c r="O32" s="467"/>
      <c r="P32" s="467"/>
      <c r="Q32" s="467"/>
    </row>
    <row r="33" ht="15.0" hidden="1" customHeight="1">
      <c r="A33" s="463">
        <v>11.0</v>
      </c>
      <c r="B33" s="464" t="s">
        <v>3563</v>
      </c>
      <c r="C33" s="476" t="s">
        <v>3564</v>
      </c>
      <c r="D33" s="464" t="s">
        <v>3565</v>
      </c>
      <c r="E33" s="467"/>
      <c r="F33" s="467" t="s">
        <v>3566</v>
      </c>
      <c r="G33" s="475" t="s">
        <v>45</v>
      </c>
      <c r="H33" s="467"/>
      <c r="I33" s="467"/>
      <c r="J33" s="467"/>
      <c r="K33" s="467"/>
      <c r="L33" s="467"/>
      <c r="M33" s="467"/>
      <c r="N33" s="467"/>
      <c r="O33" s="467"/>
      <c r="P33" s="467"/>
      <c r="Q33" s="467"/>
    </row>
    <row r="34" ht="15.0" hidden="1" customHeight="1">
      <c r="A34" s="463">
        <v>12.0</v>
      </c>
      <c r="B34" s="464" t="s">
        <v>8409</v>
      </c>
      <c r="C34" s="476" t="s">
        <v>8410</v>
      </c>
      <c r="D34" s="464" t="s">
        <v>8411</v>
      </c>
      <c r="E34" s="467"/>
      <c r="F34" s="467" t="s">
        <v>3570</v>
      </c>
      <c r="G34" s="475" t="s">
        <v>45</v>
      </c>
      <c r="H34" s="467"/>
      <c r="I34" s="467"/>
      <c r="J34" s="467"/>
      <c r="K34" s="467"/>
      <c r="L34" s="467"/>
      <c r="M34" s="467"/>
      <c r="N34" s="467"/>
      <c r="O34" s="467"/>
      <c r="P34" s="467"/>
      <c r="Q34" s="467"/>
    </row>
    <row r="35" ht="15.0" hidden="1" customHeight="1">
      <c r="A35" s="463">
        <v>13.0</v>
      </c>
      <c r="B35" s="464" t="s">
        <v>3571</v>
      </c>
      <c r="C35" s="476" t="s">
        <v>3572</v>
      </c>
      <c r="D35" s="464" t="s">
        <v>3573</v>
      </c>
      <c r="E35" s="467"/>
      <c r="F35" s="464" t="s">
        <v>8414</v>
      </c>
      <c r="G35" s="475" t="s">
        <v>45</v>
      </c>
      <c r="H35" s="467"/>
      <c r="I35" s="467"/>
      <c r="J35" s="467"/>
      <c r="K35" s="467"/>
      <c r="L35" s="467"/>
      <c r="M35" s="467"/>
      <c r="N35" s="467"/>
      <c r="O35" s="467"/>
      <c r="P35" s="467"/>
      <c r="Q35" s="467"/>
    </row>
    <row r="36" ht="15.0" hidden="1" customHeight="1">
      <c r="A36" s="463">
        <v>14.0</v>
      </c>
      <c r="B36" s="464" t="s">
        <v>3576</v>
      </c>
      <c r="C36" s="476" t="s">
        <v>3577</v>
      </c>
      <c r="D36" s="464" t="s">
        <v>3231</v>
      </c>
      <c r="E36" s="467"/>
      <c r="F36" s="464" t="s">
        <v>8415</v>
      </c>
      <c r="G36" s="475" t="s">
        <v>45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</row>
    <row r="37" ht="15.0" hidden="1" customHeight="1">
      <c r="A37" s="463">
        <v>15.0</v>
      </c>
      <c r="B37" s="503" t="s">
        <v>7106</v>
      </c>
      <c r="C37" s="659" t="s">
        <v>8416</v>
      </c>
      <c r="D37" s="503" t="s">
        <v>8417</v>
      </c>
      <c r="E37" s="501"/>
      <c r="F37" s="501" t="s">
        <v>7107</v>
      </c>
      <c r="G37" s="504" t="s">
        <v>45</v>
      </c>
      <c r="H37" s="501"/>
      <c r="I37" s="501"/>
      <c r="J37" s="501"/>
      <c r="K37" s="501"/>
      <c r="L37" s="501"/>
      <c r="M37" s="501"/>
      <c r="N37" s="501"/>
      <c r="O37" s="501"/>
      <c r="P37" s="501"/>
      <c r="Q37" s="501"/>
    </row>
    <row r="38" ht="15.0" hidden="1" customHeight="1">
      <c r="A38" s="463">
        <v>16.0</v>
      </c>
      <c r="B38" s="464" t="s">
        <v>3584</v>
      </c>
      <c r="C38" s="476" t="s">
        <v>3585</v>
      </c>
      <c r="D38" s="464" t="s">
        <v>3586</v>
      </c>
      <c r="E38" s="467"/>
      <c r="F38" s="464" t="s">
        <v>8418</v>
      </c>
      <c r="G38" s="475" t="s">
        <v>45</v>
      </c>
      <c r="H38" s="467"/>
      <c r="I38" s="467"/>
      <c r="J38" s="467"/>
      <c r="K38" s="467"/>
      <c r="L38" s="467"/>
      <c r="M38" s="467"/>
      <c r="N38" s="467"/>
      <c r="O38" s="467"/>
      <c r="P38" s="467"/>
      <c r="Q38" s="467"/>
    </row>
    <row r="39" ht="15.0" hidden="1" customHeight="1">
      <c r="A39" s="463">
        <v>17.0</v>
      </c>
      <c r="B39" s="464" t="s">
        <v>3589</v>
      </c>
      <c r="C39" s="476" t="s">
        <v>3590</v>
      </c>
      <c r="D39" s="464" t="s">
        <v>3591</v>
      </c>
      <c r="E39" s="467"/>
      <c r="F39" s="464" t="s">
        <v>8419</v>
      </c>
      <c r="G39" s="475" t="s">
        <v>45</v>
      </c>
      <c r="H39" s="467"/>
      <c r="I39" s="467"/>
      <c r="J39" s="467"/>
      <c r="K39" s="467"/>
      <c r="L39" s="467"/>
      <c r="M39" s="467"/>
      <c r="N39" s="467"/>
      <c r="O39" s="467"/>
      <c r="P39" s="467"/>
      <c r="Q39" s="467"/>
    </row>
    <row r="40" ht="15.0" hidden="1" customHeight="1">
      <c r="A40" s="463">
        <v>18.0</v>
      </c>
      <c r="B40" s="464" t="s">
        <v>3596</v>
      </c>
      <c r="C40" s="476" t="s">
        <v>3597</v>
      </c>
      <c r="D40" s="464" t="s">
        <v>3598</v>
      </c>
      <c r="E40" s="467"/>
      <c r="F40" s="467" t="s">
        <v>8422</v>
      </c>
      <c r="G40" s="475" t="s">
        <v>45</v>
      </c>
      <c r="H40" s="467"/>
      <c r="I40" s="467"/>
      <c r="J40" s="467"/>
      <c r="K40" s="467"/>
      <c r="L40" s="467"/>
      <c r="M40" s="467"/>
      <c r="N40" s="467"/>
      <c r="O40" s="467"/>
      <c r="P40" s="467"/>
      <c r="Q40" s="467"/>
    </row>
    <row r="41" ht="15.0" hidden="1" customHeight="1">
      <c r="A41" s="463">
        <v>19.0</v>
      </c>
      <c r="B41" s="464" t="s">
        <v>5726</v>
      </c>
      <c r="C41" s="476" t="s">
        <v>5727</v>
      </c>
      <c r="D41" s="464" t="s">
        <v>5728</v>
      </c>
      <c r="E41" s="467"/>
      <c r="F41" s="467" t="s">
        <v>8422</v>
      </c>
      <c r="G41" s="475" t="s">
        <v>45</v>
      </c>
      <c r="H41" s="467"/>
      <c r="I41" s="467"/>
      <c r="J41" s="467"/>
      <c r="K41" s="467"/>
      <c r="L41" s="467"/>
      <c r="M41" s="467"/>
      <c r="N41" s="467"/>
      <c r="O41" s="467"/>
      <c r="P41" s="467"/>
      <c r="Q41" s="467"/>
    </row>
    <row r="42" ht="15.0" hidden="1" customHeight="1">
      <c r="A42" s="463">
        <v>20.0</v>
      </c>
      <c r="B42" s="464" t="s">
        <v>3607</v>
      </c>
      <c r="C42" s="476" t="s">
        <v>3608</v>
      </c>
      <c r="D42" s="464" t="s">
        <v>3609</v>
      </c>
      <c r="E42" s="467"/>
      <c r="F42" s="464" t="s">
        <v>8424</v>
      </c>
      <c r="G42" s="475" t="s">
        <v>45</v>
      </c>
      <c r="H42" s="467"/>
      <c r="I42" s="467"/>
      <c r="J42" s="467"/>
      <c r="K42" s="467"/>
      <c r="L42" s="467"/>
      <c r="M42" s="467"/>
      <c r="N42" s="467"/>
      <c r="O42" s="467"/>
      <c r="P42" s="467"/>
      <c r="Q42" s="467"/>
    </row>
    <row r="43" ht="15.0" hidden="1" customHeight="1">
      <c r="A43" s="463">
        <v>21.0</v>
      </c>
      <c r="B43" s="464" t="s">
        <v>3610</v>
      </c>
      <c r="C43" s="476" t="s">
        <v>3611</v>
      </c>
      <c r="D43" s="464" t="s">
        <v>3612</v>
      </c>
      <c r="E43" s="467"/>
      <c r="F43" s="467" t="s">
        <v>3613</v>
      </c>
      <c r="G43" s="475" t="s">
        <v>45</v>
      </c>
      <c r="H43" s="467"/>
      <c r="I43" s="467"/>
      <c r="J43" s="467"/>
      <c r="K43" s="467"/>
      <c r="L43" s="467"/>
      <c r="M43" s="467"/>
      <c r="N43" s="467"/>
      <c r="O43" s="467"/>
      <c r="P43" s="467"/>
      <c r="Q43" s="467"/>
    </row>
    <row r="44" ht="15.0" hidden="1" customHeight="1">
      <c r="A44" s="463">
        <v>22.0</v>
      </c>
      <c r="B44" s="464" t="s">
        <v>3614</v>
      </c>
      <c r="C44" s="476"/>
      <c r="D44" s="464" t="s">
        <v>3615</v>
      </c>
      <c r="E44" s="467"/>
      <c r="F44" s="464" t="s">
        <v>3616</v>
      </c>
      <c r="G44" s="475" t="s">
        <v>45</v>
      </c>
      <c r="H44" s="464" t="s">
        <v>3617</v>
      </c>
      <c r="I44" s="467"/>
      <c r="J44" s="467"/>
      <c r="K44" s="464"/>
      <c r="L44" s="464" t="s">
        <v>3618</v>
      </c>
      <c r="M44" s="1424" t="s">
        <v>3619</v>
      </c>
      <c r="N44" s="467"/>
      <c r="O44" s="467"/>
      <c r="P44" s="467"/>
      <c r="Q44" s="467"/>
    </row>
    <row r="45" ht="15.0" hidden="1" customHeight="1">
      <c r="A45" s="463">
        <v>23.0</v>
      </c>
      <c r="B45" s="464" t="s">
        <v>3620</v>
      </c>
      <c r="C45" s="465" t="s">
        <v>1675</v>
      </c>
      <c r="D45" s="464" t="s">
        <v>3621</v>
      </c>
      <c r="E45" s="467"/>
      <c r="F45" s="464" t="s">
        <v>3622</v>
      </c>
      <c r="G45" s="475" t="s">
        <v>45</v>
      </c>
      <c r="H45" s="464" t="s">
        <v>3623</v>
      </c>
      <c r="I45" s="467"/>
      <c r="J45" s="467"/>
      <c r="K45" s="464"/>
      <c r="L45" s="464"/>
      <c r="M45" s="1424"/>
      <c r="N45" s="467"/>
      <c r="O45" s="467"/>
      <c r="P45" s="467"/>
      <c r="Q45" s="467"/>
    </row>
    <row r="46" ht="15.0" hidden="1" customHeight="1">
      <c r="A46" s="463">
        <v>24.0</v>
      </c>
      <c r="B46" s="464" t="s">
        <v>8427</v>
      </c>
      <c r="C46" s="465" t="s">
        <v>8428</v>
      </c>
      <c r="D46" s="464" t="s">
        <v>4338</v>
      </c>
      <c r="E46" s="467"/>
      <c r="F46" s="464" t="s">
        <v>8429</v>
      </c>
      <c r="G46" s="463" t="s">
        <v>45</v>
      </c>
      <c r="H46" s="464" t="s">
        <v>4340</v>
      </c>
      <c r="I46" s="467"/>
      <c r="J46" s="467"/>
      <c r="K46" s="464"/>
      <c r="L46" s="464" t="s">
        <v>4343</v>
      </c>
      <c r="M46" s="464" t="s">
        <v>4342</v>
      </c>
      <c r="N46" s="467"/>
      <c r="O46" s="467"/>
      <c r="P46" s="467"/>
      <c r="Q46" s="467"/>
    </row>
    <row r="47" ht="15.0" hidden="1" customHeight="1">
      <c r="A47" s="463">
        <v>25.0</v>
      </c>
      <c r="B47" s="464" t="s">
        <v>3632</v>
      </c>
      <c r="C47" s="465"/>
      <c r="D47" s="464" t="s">
        <v>3633</v>
      </c>
      <c r="E47" s="467"/>
      <c r="F47" s="464" t="s">
        <v>3634</v>
      </c>
      <c r="G47" s="463" t="s">
        <v>45</v>
      </c>
      <c r="H47" s="464" t="s">
        <v>3635</v>
      </c>
      <c r="I47" s="467"/>
      <c r="J47" s="467"/>
      <c r="K47" s="464"/>
      <c r="L47" s="464"/>
      <c r="M47" s="464" t="s">
        <v>3636</v>
      </c>
      <c r="N47" s="467"/>
      <c r="O47" s="467"/>
      <c r="P47" s="467"/>
      <c r="Q47" s="467"/>
    </row>
    <row r="48" ht="15.0" hidden="1" customHeight="1">
      <c r="A48" s="463">
        <v>26.0</v>
      </c>
      <c r="B48" s="464" t="s">
        <v>3637</v>
      </c>
      <c r="C48" s="476" t="s">
        <v>3638</v>
      </c>
      <c r="D48" s="464" t="s">
        <v>3639</v>
      </c>
      <c r="E48" s="467"/>
      <c r="F48" s="464" t="s">
        <v>3688</v>
      </c>
      <c r="G48" s="463" t="s">
        <v>45</v>
      </c>
      <c r="H48" s="464" t="s">
        <v>3640</v>
      </c>
      <c r="I48" s="467"/>
      <c r="J48" s="467"/>
      <c r="K48" s="464"/>
      <c r="L48" s="464" t="s">
        <v>3641</v>
      </c>
      <c r="M48" s="467"/>
      <c r="N48" s="467"/>
      <c r="O48" s="467"/>
      <c r="P48" s="467"/>
      <c r="Q48" s="467"/>
    </row>
    <row r="49" ht="15.0" hidden="1" customHeight="1">
      <c r="A49" s="455" t="s">
        <v>760</v>
      </c>
      <c r="B49" s="456" t="s">
        <v>761</v>
      </c>
      <c r="C49" s="461"/>
      <c r="D49" s="458"/>
      <c r="E49" s="458"/>
      <c r="F49" s="458"/>
      <c r="G49" s="459"/>
      <c r="H49" s="458"/>
      <c r="I49" s="458"/>
      <c r="J49" s="458"/>
      <c r="K49" s="458"/>
      <c r="L49" s="458"/>
      <c r="M49" s="458"/>
      <c r="N49" s="458"/>
      <c r="O49" s="458"/>
      <c r="P49" s="458"/>
      <c r="Q49" s="458"/>
    </row>
    <row r="50" ht="15.0" hidden="1" customHeight="1">
      <c r="A50" s="463">
        <v>1.0</v>
      </c>
      <c r="B50" s="464" t="s">
        <v>3736</v>
      </c>
      <c r="C50" s="476" t="s">
        <v>3737</v>
      </c>
      <c r="D50" s="464" t="s">
        <v>3738</v>
      </c>
      <c r="E50" s="467"/>
      <c r="F50" s="467" t="s">
        <v>3739</v>
      </c>
      <c r="G50" s="475" t="s">
        <v>56</v>
      </c>
      <c r="H50" s="467"/>
      <c r="I50" s="467"/>
      <c r="J50" s="467"/>
      <c r="K50" s="467"/>
      <c r="L50" s="467"/>
      <c r="M50" s="467"/>
      <c r="N50" s="467"/>
      <c r="O50" s="467"/>
      <c r="P50" s="467"/>
      <c r="Q50" s="467"/>
    </row>
    <row r="51" ht="15.0" hidden="1" customHeight="1">
      <c r="A51" s="463">
        <v>2.0</v>
      </c>
      <c r="B51" s="464" t="s">
        <v>3740</v>
      </c>
      <c r="C51" s="476" t="s">
        <v>3741</v>
      </c>
      <c r="D51" s="464" t="s">
        <v>3742</v>
      </c>
      <c r="E51" s="467"/>
      <c r="F51" s="467" t="s">
        <v>3739</v>
      </c>
      <c r="G51" s="475" t="s">
        <v>56</v>
      </c>
      <c r="H51" s="467"/>
      <c r="I51" s="467"/>
      <c r="J51" s="467"/>
      <c r="K51" s="467"/>
      <c r="L51" s="467"/>
      <c r="M51" s="467"/>
      <c r="N51" s="467"/>
      <c r="O51" s="467"/>
      <c r="P51" s="467"/>
      <c r="Q51" s="467"/>
    </row>
    <row r="52" ht="15.0" hidden="1" customHeight="1">
      <c r="A52" s="463">
        <v>3.0</v>
      </c>
      <c r="B52" s="464" t="s">
        <v>3743</v>
      </c>
      <c r="C52" s="476" t="s">
        <v>3744</v>
      </c>
      <c r="D52" s="464" t="s">
        <v>3745</v>
      </c>
      <c r="E52" s="467"/>
      <c r="F52" s="467" t="s">
        <v>3739</v>
      </c>
      <c r="G52" s="475" t="s">
        <v>56</v>
      </c>
      <c r="H52" s="467"/>
      <c r="I52" s="467"/>
      <c r="J52" s="467"/>
      <c r="K52" s="467"/>
      <c r="L52" s="467"/>
      <c r="M52" s="467"/>
      <c r="N52" s="467"/>
      <c r="O52" s="467"/>
      <c r="P52" s="467"/>
      <c r="Q52" s="467"/>
    </row>
    <row r="53" ht="15.0" hidden="1" customHeight="1">
      <c r="A53" s="463">
        <v>4.0</v>
      </c>
      <c r="B53" s="464" t="s">
        <v>3746</v>
      </c>
      <c r="C53" s="476" t="s">
        <v>3747</v>
      </c>
      <c r="D53" s="464" t="s">
        <v>3748</v>
      </c>
      <c r="E53" s="464"/>
      <c r="F53" s="467" t="s">
        <v>3749</v>
      </c>
      <c r="G53" s="475" t="s">
        <v>56</v>
      </c>
      <c r="H53" s="467"/>
      <c r="I53" s="467"/>
      <c r="J53" s="467"/>
      <c r="K53" s="467"/>
      <c r="L53" s="467"/>
      <c r="M53" s="467"/>
      <c r="N53" s="467"/>
      <c r="O53" s="467"/>
      <c r="P53" s="467"/>
      <c r="Q53" s="467"/>
    </row>
    <row r="54" ht="15.0" hidden="1" customHeight="1">
      <c r="A54" s="463">
        <v>5.0</v>
      </c>
      <c r="B54" s="464" t="s">
        <v>3750</v>
      </c>
      <c r="C54" s="476" t="s">
        <v>3751</v>
      </c>
      <c r="D54" s="464" t="s">
        <v>3752</v>
      </c>
      <c r="E54" s="467"/>
      <c r="F54" s="467" t="s">
        <v>3753</v>
      </c>
      <c r="G54" s="475" t="s">
        <v>56</v>
      </c>
      <c r="H54" s="467"/>
      <c r="I54" s="467"/>
      <c r="J54" s="467"/>
      <c r="K54" s="467"/>
      <c r="L54" s="467"/>
      <c r="M54" s="467"/>
      <c r="N54" s="467"/>
      <c r="O54" s="467"/>
      <c r="P54" s="467"/>
      <c r="Q54" s="467"/>
    </row>
    <row r="55" ht="15.0" hidden="1" customHeight="1">
      <c r="A55" s="463">
        <v>6.0</v>
      </c>
      <c r="B55" s="464" t="s">
        <v>3755</v>
      </c>
      <c r="C55" s="464" t="s">
        <v>3755</v>
      </c>
      <c r="D55" s="464" t="s">
        <v>3756</v>
      </c>
      <c r="E55" s="467"/>
      <c r="F55" s="464" t="s">
        <v>3622</v>
      </c>
      <c r="G55" s="475" t="s">
        <v>56</v>
      </c>
      <c r="H55" s="464" t="s">
        <v>3623</v>
      </c>
      <c r="I55" s="464"/>
      <c r="J55" s="464" t="s">
        <v>773</v>
      </c>
      <c r="K55" s="464"/>
      <c r="L55" s="464"/>
      <c r="M55" s="464"/>
      <c r="N55" s="467"/>
      <c r="O55" s="467"/>
      <c r="P55" s="467"/>
      <c r="Q55" s="467"/>
    </row>
    <row r="56" ht="15.0" hidden="1" customHeight="1">
      <c r="A56" s="463">
        <v>7.0</v>
      </c>
      <c r="B56" s="464" t="s">
        <v>3758</v>
      </c>
      <c r="C56" s="476" t="s">
        <v>3759</v>
      </c>
      <c r="D56" s="464" t="s">
        <v>3760</v>
      </c>
      <c r="E56" s="467"/>
      <c r="F56" s="467" t="s">
        <v>8407</v>
      </c>
      <c r="G56" s="475" t="s">
        <v>56</v>
      </c>
      <c r="H56" s="467"/>
      <c r="I56" s="467"/>
      <c r="J56" s="467"/>
      <c r="K56" s="467"/>
      <c r="L56" s="467"/>
      <c r="M56" s="467"/>
      <c r="N56" s="467"/>
      <c r="O56" s="467"/>
      <c r="P56" s="467"/>
      <c r="Q56" s="467"/>
    </row>
    <row r="57" ht="15.0" hidden="1" customHeight="1">
      <c r="A57" s="463">
        <v>8.0</v>
      </c>
      <c r="B57" s="464" t="s">
        <v>3761</v>
      </c>
      <c r="C57" s="476" t="s">
        <v>3762</v>
      </c>
      <c r="D57" s="464" t="s">
        <v>3763</v>
      </c>
      <c r="E57" s="467"/>
      <c r="F57" s="464" t="s">
        <v>8414</v>
      </c>
      <c r="G57" s="475" t="s">
        <v>56</v>
      </c>
      <c r="H57" s="467"/>
      <c r="I57" s="494"/>
      <c r="J57" s="494"/>
      <c r="K57" s="467"/>
      <c r="L57" s="467"/>
      <c r="M57" s="467"/>
      <c r="N57" s="467"/>
      <c r="O57" s="467"/>
      <c r="P57" s="467"/>
      <c r="Q57" s="467"/>
    </row>
    <row r="58" ht="15.0" hidden="1" customHeight="1">
      <c r="A58" s="463">
        <v>9.0</v>
      </c>
      <c r="B58" s="464" t="s">
        <v>3765</v>
      </c>
      <c r="C58" s="476" t="s">
        <v>3766</v>
      </c>
      <c r="D58" s="464" t="s">
        <v>3767</v>
      </c>
      <c r="E58" s="467"/>
      <c r="F58" s="467" t="s">
        <v>3470</v>
      </c>
      <c r="G58" s="475" t="s">
        <v>56</v>
      </c>
      <c r="H58" s="467"/>
      <c r="I58" s="494"/>
      <c r="J58" s="494"/>
      <c r="K58" s="467"/>
      <c r="L58" s="467"/>
      <c r="M58" s="467"/>
      <c r="N58" s="467"/>
      <c r="O58" s="467"/>
      <c r="P58" s="467"/>
      <c r="Q58" s="467"/>
    </row>
    <row r="59" ht="15.0" hidden="1" customHeight="1">
      <c r="A59" s="463">
        <v>10.0</v>
      </c>
      <c r="B59" s="464" t="s">
        <v>3768</v>
      </c>
      <c r="C59" s="476" t="s">
        <v>3769</v>
      </c>
      <c r="D59" s="464" t="s">
        <v>3770</v>
      </c>
      <c r="E59" s="467"/>
      <c r="F59" s="467" t="s">
        <v>3688</v>
      </c>
      <c r="G59" s="475" t="s">
        <v>56</v>
      </c>
      <c r="H59" s="467"/>
      <c r="I59" s="495"/>
      <c r="J59" s="495"/>
      <c r="K59" s="467"/>
      <c r="L59" s="467"/>
      <c r="M59" s="467"/>
      <c r="N59" s="467"/>
      <c r="O59" s="467"/>
      <c r="P59" s="467"/>
      <c r="Q59" s="467"/>
    </row>
    <row r="60" ht="15.0" hidden="1" customHeight="1">
      <c r="A60" s="463">
        <v>11.0</v>
      </c>
      <c r="B60" s="464" t="s">
        <v>3771</v>
      </c>
      <c r="C60" s="476"/>
      <c r="D60" s="464" t="s">
        <v>3772</v>
      </c>
      <c r="E60" s="467"/>
      <c r="F60" s="464" t="s">
        <v>3616</v>
      </c>
      <c r="G60" s="475" t="s">
        <v>56</v>
      </c>
      <c r="H60" s="464" t="s">
        <v>3617</v>
      </c>
      <c r="I60" s="467"/>
      <c r="J60" s="467"/>
      <c r="K60" s="464"/>
      <c r="L60" s="464" t="s">
        <v>3618</v>
      </c>
      <c r="M60" s="464" t="s">
        <v>3619</v>
      </c>
      <c r="N60" s="467"/>
      <c r="O60" s="467"/>
      <c r="P60" s="467"/>
      <c r="Q60" s="467"/>
    </row>
    <row r="61" ht="15.0" hidden="1" customHeight="1">
      <c r="A61" s="463">
        <v>12.0</v>
      </c>
      <c r="B61" s="464" t="s">
        <v>3773</v>
      </c>
      <c r="C61" s="464"/>
      <c r="D61" s="464" t="s">
        <v>3774</v>
      </c>
      <c r="E61" s="467"/>
      <c r="F61" s="464" t="s">
        <v>8422</v>
      </c>
      <c r="G61" s="475" t="s">
        <v>56</v>
      </c>
      <c r="H61" s="1295">
        <v>45446.0</v>
      </c>
      <c r="I61" s="464"/>
      <c r="J61" s="464" t="s">
        <v>4750</v>
      </c>
      <c r="K61" s="464"/>
      <c r="L61" s="464" t="s">
        <v>3775</v>
      </c>
      <c r="M61" s="464"/>
      <c r="N61" s="467"/>
      <c r="O61" s="467"/>
      <c r="P61" s="467"/>
      <c r="Q61" s="467"/>
    </row>
    <row r="62" ht="15.0" hidden="1" customHeight="1">
      <c r="A62" s="463">
        <v>13.0</v>
      </c>
      <c r="B62" s="486" t="s">
        <v>3779</v>
      </c>
      <c r="C62" s="477" t="s">
        <v>3780</v>
      </c>
      <c r="D62" s="486" t="s">
        <v>3781</v>
      </c>
      <c r="E62" s="489"/>
      <c r="F62" s="489" t="s">
        <v>8407</v>
      </c>
      <c r="G62" s="475" t="s">
        <v>56</v>
      </c>
      <c r="H62" s="489"/>
      <c r="I62" s="489"/>
      <c r="J62" s="489"/>
      <c r="K62" s="486"/>
      <c r="L62" s="486"/>
      <c r="M62" s="489"/>
      <c r="N62" s="489"/>
      <c r="O62" s="489"/>
      <c r="P62" s="489"/>
      <c r="Q62" s="489"/>
    </row>
    <row r="63" ht="15.0" hidden="1" customHeight="1">
      <c r="A63" s="463">
        <v>14.0</v>
      </c>
      <c r="B63" s="486" t="s">
        <v>3784</v>
      </c>
      <c r="C63" s="477" t="s">
        <v>3785</v>
      </c>
      <c r="D63" s="486" t="s">
        <v>3786</v>
      </c>
      <c r="E63" s="489"/>
      <c r="F63" s="486" t="s">
        <v>8440</v>
      </c>
      <c r="G63" s="475" t="s">
        <v>56</v>
      </c>
      <c r="H63" s="1425">
        <v>45570.0</v>
      </c>
      <c r="I63" s="489"/>
      <c r="J63" s="486" t="s">
        <v>3581</v>
      </c>
      <c r="K63" s="486"/>
      <c r="L63" s="486"/>
      <c r="M63" s="486" t="s">
        <v>3787</v>
      </c>
      <c r="N63" s="489"/>
      <c r="O63" s="489"/>
      <c r="P63" s="489"/>
      <c r="Q63" s="489"/>
    </row>
    <row r="64" ht="15.0" hidden="1" customHeight="1">
      <c r="A64" s="455" t="s">
        <v>831</v>
      </c>
      <c r="B64" s="456" t="s">
        <v>8441</v>
      </c>
      <c r="C64" s="461"/>
      <c r="D64" s="458"/>
      <c r="E64" s="458"/>
      <c r="F64" s="458"/>
      <c r="G64" s="459"/>
      <c r="H64" s="458"/>
      <c r="I64" s="458"/>
      <c r="J64" s="458"/>
      <c r="K64" s="458"/>
      <c r="L64" s="458"/>
      <c r="M64" s="458"/>
      <c r="N64" s="458"/>
      <c r="O64" s="458"/>
      <c r="P64" s="458"/>
      <c r="Q64" s="458"/>
    </row>
    <row r="65" ht="15.0" hidden="1" customHeight="1">
      <c r="A65" s="463">
        <v>1.0</v>
      </c>
      <c r="B65" s="464" t="s">
        <v>3838</v>
      </c>
      <c r="C65" s="476" t="s">
        <v>3736</v>
      </c>
      <c r="D65" s="464" t="s">
        <v>3839</v>
      </c>
      <c r="E65" s="467"/>
      <c r="F65" s="467" t="s">
        <v>3739</v>
      </c>
      <c r="G65" s="475" t="s">
        <v>6530</v>
      </c>
      <c r="H65" s="467"/>
      <c r="I65" s="467"/>
      <c r="J65" s="467"/>
      <c r="K65" s="467"/>
      <c r="L65" s="467"/>
      <c r="M65" s="467"/>
      <c r="N65" s="467"/>
      <c r="O65" s="467"/>
      <c r="P65" s="467"/>
      <c r="Q65" s="467"/>
    </row>
    <row r="66" ht="15.0" hidden="1" customHeight="1">
      <c r="A66" s="463">
        <v>2.0</v>
      </c>
      <c r="B66" s="464" t="s">
        <v>3840</v>
      </c>
      <c r="C66" s="476" t="s">
        <v>3740</v>
      </c>
      <c r="D66" s="464" t="s">
        <v>3841</v>
      </c>
      <c r="E66" s="467"/>
      <c r="F66" s="467" t="s">
        <v>3739</v>
      </c>
      <c r="G66" s="475" t="s">
        <v>6530</v>
      </c>
      <c r="H66" s="467"/>
      <c r="I66" s="467"/>
      <c r="J66" s="467"/>
      <c r="K66" s="467"/>
      <c r="L66" s="467"/>
      <c r="M66" s="467"/>
      <c r="N66" s="467"/>
      <c r="O66" s="467"/>
      <c r="P66" s="467"/>
      <c r="Q66" s="467"/>
    </row>
    <row r="67" ht="15.0" hidden="1" customHeight="1">
      <c r="A67" s="463">
        <v>3.0</v>
      </c>
      <c r="B67" s="464" t="s">
        <v>3842</v>
      </c>
      <c r="C67" s="476" t="s">
        <v>3743</v>
      </c>
      <c r="D67" s="464" t="s">
        <v>3843</v>
      </c>
      <c r="E67" s="467"/>
      <c r="F67" s="467" t="s">
        <v>3739</v>
      </c>
      <c r="G67" s="475" t="s">
        <v>6530</v>
      </c>
      <c r="H67" s="467"/>
      <c r="I67" s="467"/>
      <c r="J67" s="467"/>
      <c r="K67" s="467"/>
      <c r="L67" s="467"/>
      <c r="M67" s="467"/>
      <c r="N67" s="467"/>
      <c r="O67" s="467"/>
      <c r="P67" s="467"/>
      <c r="Q67" s="467"/>
    </row>
    <row r="68" ht="15.0" hidden="1" customHeight="1">
      <c r="A68" s="463">
        <v>4.0</v>
      </c>
      <c r="B68" s="464" t="s">
        <v>3737</v>
      </c>
      <c r="C68" s="476" t="s">
        <v>3838</v>
      </c>
      <c r="D68" s="464" t="s">
        <v>3845</v>
      </c>
      <c r="E68" s="467"/>
      <c r="F68" s="467" t="s">
        <v>3739</v>
      </c>
      <c r="G68" s="475" t="s">
        <v>6530</v>
      </c>
      <c r="H68" s="467"/>
      <c r="I68" s="467"/>
      <c r="J68" s="467"/>
      <c r="K68" s="467"/>
      <c r="L68" s="467"/>
      <c r="M68" s="467"/>
      <c r="N68" s="467"/>
      <c r="O68" s="467"/>
      <c r="P68" s="467"/>
      <c r="Q68" s="467"/>
    </row>
    <row r="69" ht="15.0" hidden="1" customHeight="1">
      <c r="A69" s="463">
        <v>5.0</v>
      </c>
      <c r="B69" s="464" t="s">
        <v>3741</v>
      </c>
      <c r="C69" s="476" t="s">
        <v>3840</v>
      </c>
      <c r="D69" s="464" t="s">
        <v>3846</v>
      </c>
      <c r="E69" s="467"/>
      <c r="F69" s="467" t="s">
        <v>3739</v>
      </c>
      <c r="G69" s="475" t="s">
        <v>6530</v>
      </c>
      <c r="H69" s="467"/>
      <c r="I69" s="467"/>
      <c r="J69" s="467"/>
      <c r="K69" s="467"/>
      <c r="L69" s="467"/>
      <c r="M69" s="467"/>
      <c r="N69" s="467"/>
      <c r="O69" s="467"/>
      <c r="P69" s="467"/>
      <c r="Q69" s="467"/>
    </row>
    <row r="70" ht="15.0" hidden="1" customHeight="1">
      <c r="A70" s="463">
        <v>6.0</v>
      </c>
      <c r="B70" s="464" t="s">
        <v>3660</v>
      </c>
      <c r="C70" s="476" t="s">
        <v>3661</v>
      </c>
      <c r="D70" s="464" t="s">
        <v>3662</v>
      </c>
      <c r="E70" s="467"/>
      <c r="F70" s="467" t="s">
        <v>3663</v>
      </c>
      <c r="G70" s="475" t="s">
        <v>6530</v>
      </c>
      <c r="H70" s="467"/>
      <c r="I70" s="467"/>
      <c r="J70" s="467"/>
      <c r="K70" s="467"/>
      <c r="L70" s="467"/>
      <c r="M70" s="467"/>
      <c r="N70" s="467"/>
      <c r="O70" s="467"/>
      <c r="P70" s="467"/>
      <c r="Q70" s="467"/>
    </row>
    <row r="71" ht="15.0" hidden="1" customHeight="1">
      <c r="A71" s="463">
        <v>7.0</v>
      </c>
      <c r="B71" s="464" t="s">
        <v>3847</v>
      </c>
      <c r="C71" s="476" t="s">
        <v>3746</v>
      </c>
      <c r="D71" s="464" t="s">
        <v>3848</v>
      </c>
      <c r="E71" s="464" t="s">
        <v>8442</v>
      </c>
      <c r="F71" s="467" t="s">
        <v>3553</v>
      </c>
      <c r="G71" s="475" t="s">
        <v>6530</v>
      </c>
      <c r="H71" s="467"/>
      <c r="I71" s="467"/>
      <c r="J71" s="467"/>
      <c r="K71" s="467"/>
      <c r="L71" s="467"/>
      <c r="M71" s="467"/>
      <c r="N71" s="467"/>
      <c r="O71" s="467"/>
      <c r="P71" s="467"/>
      <c r="Q71" s="467"/>
    </row>
    <row r="72" ht="15.0" hidden="1" customHeight="1">
      <c r="A72" s="463">
        <v>8.0</v>
      </c>
      <c r="B72" s="464" t="s">
        <v>3751</v>
      </c>
      <c r="C72" s="476" t="s">
        <v>3750</v>
      </c>
      <c r="D72" s="464" t="s">
        <v>3849</v>
      </c>
      <c r="E72" s="464" t="s">
        <v>8442</v>
      </c>
      <c r="F72" s="467" t="s">
        <v>3553</v>
      </c>
      <c r="G72" s="475" t="s">
        <v>6530</v>
      </c>
      <c r="H72" s="467"/>
      <c r="I72" s="467"/>
      <c r="J72" s="467"/>
      <c r="K72" s="467"/>
      <c r="L72" s="467"/>
      <c r="M72" s="467"/>
      <c r="N72" s="467"/>
      <c r="O72" s="467"/>
      <c r="P72" s="467"/>
      <c r="Q72" s="467"/>
    </row>
    <row r="73" ht="15.0" hidden="1" customHeight="1">
      <c r="A73" s="463">
        <v>9.0</v>
      </c>
      <c r="B73" s="464" t="s">
        <v>3747</v>
      </c>
      <c r="C73" s="476" t="s">
        <v>3660</v>
      </c>
      <c r="D73" s="464" t="s">
        <v>3850</v>
      </c>
      <c r="E73" s="467"/>
      <c r="F73" s="467" t="s">
        <v>3537</v>
      </c>
      <c r="G73" s="475" t="s">
        <v>6530</v>
      </c>
      <c r="H73" s="467"/>
      <c r="I73" s="467"/>
      <c r="J73" s="467"/>
      <c r="K73" s="467"/>
      <c r="L73" s="467"/>
      <c r="M73" s="467"/>
      <c r="N73" s="467"/>
      <c r="O73" s="467"/>
      <c r="P73" s="467"/>
      <c r="Q73" s="467"/>
    </row>
    <row r="74" ht="15.0" hidden="1" customHeight="1">
      <c r="A74" s="463">
        <v>10.0</v>
      </c>
      <c r="B74" s="464" t="s">
        <v>3851</v>
      </c>
      <c r="C74" s="465" t="s">
        <v>3852</v>
      </c>
      <c r="D74" s="464" t="s">
        <v>3853</v>
      </c>
      <c r="E74" s="467"/>
      <c r="F74" s="464" t="s">
        <v>3854</v>
      </c>
      <c r="G74" s="475" t="s">
        <v>6530</v>
      </c>
      <c r="H74" s="467"/>
      <c r="I74" s="467"/>
      <c r="J74" s="467"/>
      <c r="K74" s="467"/>
      <c r="L74" s="467"/>
      <c r="M74" s="467"/>
      <c r="N74" s="467"/>
      <c r="O74" s="467"/>
      <c r="P74" s="467"/>
      <c r="Q74" s="467"/>
    </row>
    <row r="75" ht="15.0" hidden="1" customHeight="1">
      <c r="A75" s="463">
        <v>11.0</v>
      </c>
      <c r="B75" s="464" t="s">
        <v>3759</v>
      </c>
      <c r="D75" s="807" t="s">
        <v>3856</v>
      </c>
      <c r="E75" s="464" t="s">
        <v>8445</v>
      </c>
      <c r="F75" s="467" t="s">
        <v>8407</v>
      </c>
      <c r="G75" s="475" t="s">
        <v>6530</v>
      </c>
      <c r="H75" s="1426">
        <v>44927.0</v>
      </c>
      <c r="I75" s="499">
        <v>0.82</v>
      </c>
      <c r="J75" s="467"/>
      <c r="K75" s="467"/>
      <c r="L75" s="467"/>
      <c r="M75" s="467"/>
      <c r="N75" s="467"/>
      <c r="O75" s="467"/>
      <c r="P75" s="467"/>
      <c r="Q75" s="467"/>
    </row>
    <row r="76" ht="15.0" hidden="1" customHeight="1">
      <c r="A76" s="463">
        <v>12.0</v>
      </c>
      <c r="B76" s="464" t="s">
        <v>3653</v>
      </c>
      <c r="C76" s="465" t="s">
        <v>3654</v>
      </c>
      <c r="D76" s="464" t="s">
        <v>3655</v>
      </c>
      <c r="E76" s="464" t="s">
        <v>8445</v>
      </c>
      <c r="F76" s="467" t="s">
        <v>8407</v>
      </c>
      <c r="G76" s="475" t="s">
        <v>6530</v>
      </c>
      <c r="H76" s="467"/>
      <c r="I76" s="467"/>
      <c r="J76" s="467"/>
      <c r="K76" s="467"/>
      <c r="L76" s="467"/>
      <c r="M76" s="467"/>
      <c r="N76" s="467"/>
      <c r="O76" s="467"/>
      <c r="P76" s="467"/>
      <c r="Q76" s="467"/>
    </row>
    <row r="77" ht="15.0" hidden="1" customHeight="1">
      <c r="A77" s="463">
        <v>13.0</v>
      </c>
      <c r="B77" s="464" t="s">
        <v>3857</v>
      </c>
      <c r="C77" s="465" t="s">
        <v>3858</v>
      </c>
      <c r="D77" s="464" t="s">
        <v>3859</v>
      </c>
      <c r="E77" s="467"/>
      <c r="F77" s="467" t="s">
        <v>8422</v>
      </c>
      <c r="G77" s="475" t="s">
        <v>6530</v>
      </c>
      <c r="H77" s="467"/>
      <c r="I77" s="467"/>
      <c r="J77" s="467"/>
      <c r="K77" s="467"/>
      <c r="L77" s="467"/>
      <c r="M77" s="467"/>
      <c r="N77" s="467"/>
      <c r="O77" s="467"/>
      <c r="P77" s="467"/>
      <c r="Q77" s="467"/>
    </row>
    <row r="78" ht="15.0" hidden="1" customHeight="1">
      <c r="A78" s="463">
        <v>14.0</v>
      </c>
      <c r="B78" s="464" t="s">
        <v>3860</v>
      </c>
      <c r="C78" s="476" t="s">
        <v>3571</v>
      </c>
      <c r="D78" s="464" t="s">
        <v>3861</v>
      </c>
      <c r="E78" s="467"/>
      <c r="F78" s="464" t="s">
        <v>8414</v>
      </c>
      <c r="G78" s="475" t="s">
        <v>6530</v>
      </c>
      <c r="H78" s="467"/>
      <c r="I78" s="467"/>
      <c r="J78" s="467"/>
      <c r="K78" s="467"/>
      <c r="L78" s="467"/>
      <c r="M78" s="467"/>
      <c r="N78" s="467"/>
      <c r="O78" s="467"/>
      <c r="P78" s="467"/>
      <c r="Q78" s="467"/>
    </row>
    <row r="79" ht="15.0" hidden="1" customHeight="1">
      <c r="A79" s="463">
        <v>15.0</v>
      </c>
      <c r="B79" s="464" t="s">
        <v>3864</v>
      </c>
      <c r="C79" s="476" t="s">
        <v>3761</v>
      </c>
      <c r="D79" s="464" t="s">
        <v>3865</v>
      </c>
      <c r="E79" s="467"/>
      <c r="F79" s="464" t="s">
        <v>8414</v>
      </c>
      <c r="G79" s="475" t="s">
        <v>6530</v>
      </c>
      <c r="H79" s="467"/>
      <c r="I79" s="467"/>
      <c r="J79" s="467"/>
      <c r="K79" s="467"/>
      <c r="L79" s="467"/>
      <c r="M79" s="467"/>
      <c r="N79" s="467"/>
      <c r="O79" s="467"/>
      <c r="P79" s="467"/>
      <c r="Q79" s="467"/>
    </row>
    <row r="80" ht="15.0" hidden="1" customHeight="1">
      <c r="A80" s="463">
        <v>16.0</v>
      </c>
      <c r="B80" s="464" t="s">
        <v>3866</v>
      </c>
      <c r="C80" s="476" t="s">
        <v>3576</v>
      </c>
      <c r="D80" s="464" t="s">
        <v>3469</v>
      </c>
      <c r="E80" s="467"/>
      <c r="F80" s="464" t="s">
        <v>3470</v>
      </c>
      <c r="G80" s="475" t="s">
        <v>6530</v>
      </c>
      <c r="H80" s="467"/>
      <c r="I80" s="467"/>
      <c r="J80" s="467"/>
      <c r="K80" s="467"/>
      <c r="L80" s="467"/>
      <c r="M80" s="467"/>
      <c r="N80" s="467"/>
      <c r="O80" s="467"/>
      <c r="P80" s="467"/>
      <c r="Q80" s="467"/>
    </row>
    <row r="81" ht="15.0" hidden="1" customHeight="1">
      <c r="A81" s="463">
        <v>17.0</v>
      </c>
      <c r="B81" s="464" t="s">
        <v>3867</v>
      </c>
      <c r="C81" s="476" t="s">
        <v>3868</v>
      </c>
      <c r="D81" s="464" t="s">
        <v>3869</v>
      </c>
      <c r="E81" s="467"/>
      <c r="F81" s="464" t="s">
        <v>7112</v>
      </c>
      <c r="G81" s="475" t="s">
        <v>6530</v>
      </c>
      <c r="H81" s="467"/>
      <c r="I81" s="467"/>
      <c r="J81" s="467"/>
      <c r="K81" s="467"/>
      <c r="L81" s="467"/>
      <c r="M81" s="467"/>
      <c r="N81" s="467"/>
      <c r="O81" s="467"/>
      <c r="P81" s="467"/>
      <c r="Q81" s="467"/>
    </row>
    <row r="82" ht="15.0" hidden="1" customHeight="1">
      <c r="A82" s="463">
        <v>18.0</v>
      </c>
      <c r="B82" s="464" t="s">
        <v>3870</v>
      </c>
      <c r="C82" s="476" t="s">
        <v>3871</v>
      </c>
      <c r="D82" s="464" t="s">
        <v>3872</v>
      </c>
      <c r="E82" s="467"/>
      <c r="F82" s="467" t="s">
        <v>3566</v>
      </c>
      <c r="G82" s="475" t="s">
        <v>6530</v>
      </c>
      <c r="H82" s="467"/>
      <c r="I82" s="467"/>
      <c r="J82" s="467"/>
      <c r="K82" s="467"/>
      <c r="L82" s="467"/>
      <c r="M82" s="467"/>
      <c r="N82" s="467"/>
      <c r="O82" s="467"/>
      <c r="P82" s="467"/>
      <c r="Q82" s="467"/>
    </row>
    <row r="83" ht="15.0" hidden="1" customHeight="1">
      <c r="A83" s="463">
        <v>19.0</v>
      </c>
      <c r="B83" s="464" t="s">
        <v>3873</v>
      </c>
      <c r="C83" s="476" t="s">
        <v>3874</v>
      </c>
      <c r="D83" s="464" t="s">
        <v>3875</v>
      </c>
      <c r="E83" s="467"/>
      <c r="F83" s="467" t="s">
        <v>3876</v>
      </c>
      <c r="G83" s="475" t="s">
        <v>6530</v>
      </c>
      <c r="H83" s="467"/>
      <c r="I83" s="467"/>
      <c r="J83" s="467"/>
      <c r="K83" s="467"/>
      <c r="L83" s="467"/>
      <c r="M83" s="467"/>
      <c r="N83" s="467"/>
      <c r="O83" s="467"/>
      <c r="P83" s="467"/>
      <c r="Q83" s="467"/>
    </row>
    <row r="84" ht="15.0" hidden="1" customHeight="1">
      <c r="A84" s="463">
        <v>20.0</v>
      </c>
      <c r="B84" s="501" t="s">
        <v>3877</v>
      </c>
      <c r="C84" s="659" t="s">
        <v>3878</v>
      </c>
      <c r="D84" s="464" t="s">
        <v>3879</v>
      </c>
      <c r="E84" s="501"/>
      <c r="F84" s="503" t="s">
        <v>8449</v>
      </c>
      <c r="G84" s="504" t="s">
        <v>6530</v>
      </c>
      <c r="H84" s="467"/>
      <c r="I84" s="467"/>
      <c r="J84" s="467"/>
      <c r="K84" s="467"/>
      <c r="L84" s="467"/>
      <c r="M84" s="467"/>
      <c r="N84" s="467"/>
      <c r="O84" s="467"/>
      <c r="P84" s="467"/>
      <c r="Q84" s="467"/>
    </row>
    <row r="85" ht="15.0" customHeight="1">
      <c r="A85" s="447" t="s">
        <v>3884</v>
      </c>
      <c r="B85" s="448" t="s">
        <v>3885</v>
      </c>
      <c r="C85" s="1427"/>
      <c r="D85" s="505"/>
      <c r="E85" s="505"/>
      <c r="F85" s="505">
        <f>F86+F120+F133+F154+F176+F184+F196+F224+F232</f>
        <v>27</v>
      </c>
      <c r="G85" s="506"/>
      <c r="H85" s="505"/>
      <c r="I85" s="505"/>
      <c r="J85" s="505"/>
      <c r="K85" s="505"/>
      <c r="L85" s="505"/>
      <c r="M85" s="505"/>
      <c r="N85" s="505"/>
      <c r="O85" s="505"/>
      <c r="P85" s="505"/>
      <c r="Q85" s="505"/>
    </row>
    <row r="86" ht="15.0" customHeight="1">
      <c r="A86" s="455" t="s">
        <v>853</v>
      </c>
      <c r="B86" s="456" t="s">
        <v>3886</v>
      </c>
      <c r="C86" s="461"/>
      <c r="D86" s="458"/>
      <c r="E86" s="458"/>
      <c r="F86" s="458">
        <f>counta(F87:F118)</f>
        <v>27</v>
      </c>
      <c r="G86" s="459"/>
      <c r="H86" s="458"/>
      <c r="I86" s="458"/>
      <c r="J86" s="458"/>
      <c r="K86" s="458"/>
      <c r="L86" s="458"/>
      <c r="M86" s="458"/>
      <c r="N86" s="458"/>
      <c r="O86" s="458"/>
      <c r="P86" s="458"/>
      <c r="Q86" s="458"/>
    </row>
    <row r="87" ht="15.0" customHeight="1">
      <c r="A87" s="463">
        <v>1.0</v>
      </c>
      <c r="B87" s="464" t="s">
        <v>8453</v>
      </c>
      <c r="C87" s="476"/>
      <c r="D87" s="464"/>
      <c r="E87" s="467"/>
      <c r="F87" s="464" t="s">
        <v>8454</v>
      </c>
      <c r="G87" s="463" t="s">
        <v>6091</v>
      </c>
      <c r="H87" s="467"/>
      <c r="I87" s="467"/>
      <c r="J87" s="467"/>
      <c r="K87" s="467"/>
      <c r="L87" s="467"/>
      <c r="M87" s="464" t="s">
        <v>8455</v>
      </c>
      <c r="N87" s="467"/>
      <c r="O87" s="467"/>
      <c r="P87" s="467"/>
      <c r="Q87" s="464"/>
    </row>
    <row r="88" ht="15.0" customHeight="1">
      <c r="A88" s="463">
        <v>2.0</v>
      </c>
      <c r="B88" s="464" t="s">
        <v>8457</v>
      </c>
      <c r="C88" s="476"/>
      <c r="D88" s="464"/>
      <c r="E88" s="467"/>
      <c r="F88" s="464" t="s">
        <v>8454</v>
      </c>
      <c r="G88" s="463" t="s">
        <v>6091</v>
      </c>
      <c r="H88" s="467"/>
      <c r="I88" s="467"/>
      <c r="J88" s="467"/>
      <c r="K88" s="467"/>
      <c r="L88" s="467"/>
      <c r="M88" s="464" t="s">
        <v>8455</v>
      </c>
      <c r="N88" s="467"/>
      <c r="O88" s="467"/>
      <c r="P88" s="467"/>
      <c r="Q88" s="464"/>
    </row>
    <row r="89" ht="15.0" customHeight="1">
      <c r="A89" s="463">
        <v>3.0</v>
      </c>
      <c r="B89" s="464" t="s">
        <v>8458</v>
      </c>
      <c r="C89" s="464"/>
      <c r="D89" s="464"/>
      <c r="E89" s="464"/>
      <c r="F89" s="464" t="s">
        <v>8454</v>
      </c>
      <c r="G89" s="463" t="s">
        <v>6091</v>
      </c>
      <c r="H89" s="464"/>
      <c r="I89" s="464"/>
      <c r="J89" s="464"/>
      <c r="K89" s="464"/>
      <c r="L89" s="464"/>
      <c r="M89" s="464" t="s">
        <v>8455</v>
      </c>
      <c r="N89" s="464"/>
      <c r="O89" s="464"/>
      <c r="P89" s="464"/>
      <c r="Q89" s="464"/>
    </row>
    <row r="90" ht="15.0" customHeight="1">
      <c r="A90" s="463">
        <v>4.0</v>
      </c>
      <c r="B90" s="464" t="s">
        <v>8459</v>
      </c>
      <c r="C90" s="464"/>
      <c r="D90" s="464"/>
      <c r="E90" s="464"/>
      <c r="F90" s="464" t="s">
        <v>8454</v>
      </c>
      <c r="G90" s="463" t="s">
        <v>6091</v>
      </c>
      <c r="H90" s="464"/>
      <c r="I90" s="464"/>
      <c r="J90" s="464"/>
      <c r="K90" s="464"/>
      <c r="L90" s="464"/>
      <c r="M90" s="464" t="s">
        <v>8455</v>
      </c>
      <c r="N90" s="464"/>
      <c r="O90" s="464"/>
      <c r="P90" s="464"/>
      <c r="Q90" s="464"/>
    </row>
    <row r="91" ht="15.0" customHeight="1">
      <c r="A91" s="463">
        <v>5.0</v>
      </c>
      <c r="B91" s="464" t="s">
        <v>8460</v>
      </c>
      <c r="C91" s="464"/>
      <c r="D91" s="464"/>
      <c r="E91" s="464"/>
      <c r="F91" s="482" t="s">
        <v>8461</v>
      </c>
      <c r="G91" s="463" t="s">
        <v>6091</v>
      </c>
      <c r="H91" s="464"/>
      <c r="I91" s="464"/>
      <c r="J91" s="464"/>
      <c r="K91" s="464"/>
      <c r="L91" s="464"/>
      <c r="M91" s="464" t="s">
        <v>92</v>
      </c>
      <c r="N91" s="464"/>
      <c r="O91" s="464"/>
      <c r="P91" s="464"/>
      <c r="Q91" s="464"/>
    </row>
    <row r="92" ht="15.0" customHeight="1">
      <c r="A92" s="463">
        <v>6.0</v>
      </c>
      <c r="B92" s="464" t="s">
        <v>8462</v>
      </c>
      <c r="C92" s="464"/>
      <c r="D92" s="464"/>
      <c r="E92" s="464"/>
      <c r="F92" s="482" t="s">
        <v>8461</v>
      </c>
      <c r="G92" s="463" t="s">
        <v>6091</v>
      </c>
      <c r="H92" s="464"/>
      <c r="I92" s="464"/>
      <c r="J92" s="464"/>
      <c r="K92" s="464"/>
      <c r="L92" s="464"/>
      <c r="M92" s="464" t="s">
        <v>92</v>
      </c>
      <c r="N92" s="464"/>
      <c r="O92" s="464"/>
      <c r="P92" s="464"/>
      <c r="Q92" s="464"/>
    </row>
    <row r="93" ht="15.0" customHeight="1">
      <c r="A93" s="463">
        <v>7.0</v>
      </c>
      <c r="B93" s="464" t="s">
        <v>8463</v>
      </c>
      <c r="C93" s="464"/>
      <c r="D93" s="464"/>
      <c r="E93" s="464"/>
      <c r="F93" s="482" t="s">
        <v>8461</v>
      </c>
      <c r="G93" s="463" t="s">
        <v>6091</v>
      </c>
      <c r="H93" s="464"/>
      <c r="I93" s="464"/>
      <c r="J93" s="464"/>
      <c r="K93" s="464"/>
      <c r="L93" s="464"/>
      <c r="M93" s="464" t="s">
        <v>92</v>
      </c>
      <c r="N93" s="464"/>
      <c r="O93" s="464"/>
      <c r="P93" s="464"/>
      <c r="Q93" s="464"/>
    </row>
    <row r="94" ht="15.0" customHeight="1">
      <c r="A94" s="463">
        <v>8.0</v>
      </c>
      <c r="B94" s="464" t="s">
        <v>8464</v>
      </c>
      <c r="C94" s="464"/>
      <c r="D94" s="464"/>
      <c r="E94" s="464"/>
      <c r="F94" s="482" t="s">
        <v>8461</v>
      </c>
      <c r="G94" s="463" t="s">
        <v>6091</v>
      </c>
      <c r="H94" s="464"/>
      <c r="I94" s="464"/>
      <c r="J94" s="464"/>
      <c r="K94" s="464"/>
      <c r="L94" s="464"/>
      <c r="M94" s="464" t="s">
        <v>92</v>
      </c>
      <c r="N94" s="464"/>
      <c r="O94" s="464"/>
      <c r="P94" s="464"/>
      <c r="Q94" s="464"/>
    </row>
    <row r="95" ht="15.0" customHeight="1">
      <c r="A95" s="463">
        <v>9.0</v>
      </c>
      <c r="B95" s="464" t="s">
        <v>8465</v>
      </c>
      <c r="C95" s="464"/>
      <c r="D95" s="464"/>
      <c r="E95" s="464"/>
      <c r="F95" s="482" t="s">
        <v>8461</v>
      </c>
      <c r="G95" s="463" t="s">
        <v>6091</v>
      </c>
      <c r="H95" s="464"/>
      <c r="I95" s="464"/>
      <c r="J95" s="464"/>
      <c r="K95" s="464"/>
      <c r="L95" s="464"/>
      <c r="M95" s="464" t="s">
        <v>92</v>
      </c>
      <c r="N95" s="464"/>
      <c r="O95" s="464"/>
      <c r="P95" s="464"/>
      <c r="Q95" s="464"/>
    </row>
    <row r="96" ht="15.0" customHeight="1">
      <c r="A96" s="463">
        <v>10.0</v>
      </c>
      <c r="B96" s="464" t="s">
        <v>8466</v>
      </c>
      <c r="C96" s="464"/>
      <c r="D96" s="464"/>
      <c r="E96" s="464"/>
      <c r="F96" s="482" t="s">
        <v>8461</v>
      </c>
      <c r="G96" s="463" t="s">
        <v>6091</v>
      </c>
      <c r="H96" s="464"/>
      <c r="I96" s="464"/>
      <c r="J96" s="464"/>
      <c r="K96" s="464"/>
      <c r="L96" s="464"/>
      <c r="M96" s="464" t="s">
        <v>92</v>
      </c>
      <c r="N96" s="464"/>
      <c r="O96" s="464"/>
      <c r="P96" s="464"/>
      <c r="Q96" s="464"/>
    </row>
    <row r="97" ht="15.0" customHeight="1">
      <c r="A97" s="463">
        <v>11.0</v>
      </c>
      <c r="B97" s="464" t="s">
        <v>8467</v>
      </c>
      <c r="C97" s="464"/>
      <c r="D97" s="464"/>
      <c r="E97" s="464"/>
      <c r="F97" s="482" t="s">
        <v>8461</v>
      </c>
      <c r="G97" s="463" t="s">
        <v>6091</v>
      </c>
      <c r="H97" s="464"/>
      <c r="I97" s="464"/>
      <c r="J97" s="464"/>
      <c r="K97" s="464"/>
      <c r="L97" s="464"/>
      <c r="M97" s="464" t="s">
        <v>92</v>
      </c>
      <c r="N97" s="464"/>
      <c r="O97" s="464"/>
      <c r="P97" s="464"/>
      <c r="Q97" s="464"/>
    </row>
    <row r="98" ht="15.0" customHeight="1">
      <c r="A98" s="463">
        <v>12.0</v>
      </c>
      <c r="B98" s="464" t="s">
        <v>8468</v>
      </c>
      <c r="C98" s="464"/>
      <c r="D98" s="464"/>
      <c r="E98" s="464"/>
      <c r="F98" s="482" t="s">
        <v>8469</v>
      </c>
      <c r="G98" s="463" t="s">
        <v>6091</v>
      </c>
      <c r="H98" s="464"/>
      <c r="I98" s="464"/>
      <c r="J98" s="464"/>
      <c r="K98" s="464"/>
      <c r="L98" s="464"/>
      <c r="M98" s="464" t="s">
        <v>8470</v>
      </c>
      <c r="N98" s="464"/>
      <c r="O98" s="464"/>
      <c r="P98" s="464"/>
      <c r="Q98" s="464"/>
    </row>
    <row r="99" ht="15.0" customHeight="1">
      <c r="A99" s="463">
        <v>13.0</v>
      </c>
      <c r="B99" s="464" t="s">
        <v>8471</v>
      </c>
      <c r="C99" s="464"/>
      <c r="D99" s="464"/>
      <c r="E99" s="464"/>
      <c r="F99" s="464" t="s">
        <v>8472</v>
      </c>
      <c r="G99" s="463" t="s">
        <v>6091</v>
      </c>
      <c r="H99" s="464"/>
      <c r="I99" s="464"/>
      <c r="J99" s="464"/>
      <c r="K99" s="464"/>
      <c r="L99" s="464"/>
      <c r="M99" s="464" t="s">
        <v>8473</v>
      </c>
      <c r="N99" s="464"/>
      <c r="O99" s="464"/>
      <c r="P99" s="464"/>
      <c r="Q99" s="464"/>
    </row>
    <row r="100" ht="15.0" customHeight="1">
      <c r="A100" s="463">
        <v>14.0</v>
      </c>
      <c r="B100" s="464" t="s">
        <v>8474</v>
      </c>
      <c r="C100" s="464"/>
      <c r="D100" s="464"/>
      <c r="E100" s="464"/>
      <c r="F100" s="464" t="s">
        <v>8475</v>
      </c>
      <c r="G100" s="463" t="s">
        <v>6091</v>
      </c>
      <c r="H100" s="464"/>
      <c r="I100" s="464"/>
      <c r="J100" s="464"/>
      <c r="K100" s="464"/>
      <c r="L100" s="464"/>
      <c r="M100" s="464" t="s">
        <v>882</v>
      </c>
      <c r="N100" s="464"/>
      <c r="O100" s="464"/>
      <c r="P100" s="464"/>
      <c r="Q100" s="464" t="s">
        <v>8476</v>
      </c>
    </row>
    <row r="101" ht="15.0" customHeight="1">
      <c r="A101" s="463">
        <v>15.0</v>
      </c>
      <c r="B101" s="464" t="s">
        <v>8477</v>
      </c>
      <c r="C101" s="464"/>
      <c r="D101" s="464"/>
      <c r="E101" s="464"/>
      <c r="F101" s="464" t="s">
        <v>8478</v>
      </c>
      <c r="G101" s="463" t="s">
        <v>6091</v>
      </c>
      <c r="H101" s="464"/>
      <c r="I101" s="464"/>
      <c r="J101" s="464"/>
      <c r="K101" s="464"/>
      <c r="L101" s="464"/>
      <c r="M101" s="464" t="s">
        <v>8479</v>
      </c>
      <c r="N101" s="464"/>
      <c r="O101" s="464"/>
      <c r="P101" s="464"/>
      <c r="Q101" s="464"/>
    </row>
    <row r="102" ht="15.0" customHeight="1">
      <c r="A102" s="463">
        <v>16.0</v>
      </c>
      <c r="B102" s="464" t="s">
        <v>8480</v>
      </c>
      <c r="C102" s="464"/>
      <c r="D102" s="464"/>
      <c r="E102" s="464"/>
      <c r="F102" s="464" t="s">
        <v>8478</v>
      </c>
      <c r="G102" s="463" t="s">
        <v>6091</v>
      </c>
      <c r="H102" s="464"/>
      <c r="I102" s="464"/>
      <c r="J102" s="464"/>
      <c r="K102" s="464"/>
      <c r="L102" s="464"/>
      <c r="M102" s="464" t="s">
        <v>8479</v>
      </c>
      <c r="N102" s="464"/>
      <c r="O102" s="464"/>
      <c r="P102" s="464"/>
      <c r="Q102" s="464"/>
    </row>
    <row r="103" ht="15.0" customHeight="1">
      <c r="A103" s="463">
        <v>17.0</v>
      </c>
      <c r="B103" s="464" t="s">
        <v>8481</v>
      </c>
      <c r="C103" s="464"/>
      <c r="D103" s="464"/>
      <c r="E103" s="464"/>
      <c r="F103" s="464" t="s">
        <v>8478</v>
      </c>
      <c r="G103" s="463" t="s">
        <v>6091</v>
      </c>
      <c r="H103" s="464"/>
      <c r="I103" s="464"/>
      <c r="J103" s="464"/>
      <c r="K103" s="464"/>
      <c r="L103" s="464"/>
      <c r="M103" s="464" t="s">
        <v>8479</v>
      </c>
      <c r="N103" s="464"/>
      <c r="O103" s="464"/>
      <c r="P103" s="464"/>
      <c r="Q103" s="464"/>
    </row>
    <row r="104" ht="15.0" customHeight="1">
      <c r="A104" s="463">
        <v>18.0</v>
      </c>
      <c r="B104" s="464" t="s">
        <v>8483</v>
      </c>
      <c r="C104" s="464"/>
      <c r="D104" s="464"/>
      <c r="E104" s="464"/>
      <c r="F104" s="464" t="s">
        <v>8478</v>
      </c>
      <c r="G104" s="463" t="s">
        <v>6091</v>
      </c>
      <c r="H104" s="464"/>
      <c r="I104" s="464"/>
      <c r="J104" s="464"/>
      <c r="K104" s="464"/>
      <c r="L104" s="464"/>
      <c r="M104" s="464" t="s">
        <v>8479</v>
      </c>
      <c r="N104" s="464"/>
      <c r="O104" s="464"/>
      <c r="P104" s="464"/>
      <c r="Q104" s="464"/>
    </row>
    <row r="105" ht="15.0" customHeight="1">
      <c r="A105" s="463">
        <v>19.0</v>
      </c>
      <c r="B105" s="464" t="s">
        <v>8484</v>
      </c>
      <c r="C105" s="464"/>
      <c r="D105" s="464"/>
      <c r="E105" s="464"/>
      <c r="F105" s="464" t="s">
        <v>8478</v>
      </c>
      <c r="G105" s="463" t="s">
        <v>6091</v>
      </c>
      <c r="H105" s="464"/>
      <c r="I105" s="464"/>
      <c r="J105" s="464"/>
      <c r="K105" s="464"/>
      <c r="L105" s="464"/>
      <c r="M105" s="464" t="s">
        <v>8479</v>
      </c>
      <c r="N105" s="464"/>
      <c r="O105" s="464"/>
      <c r="P105" s="464"/>
      <c r="Q105" s="464"/>
    </row>
    <row r="106" ht="15.0" customHeight="1">
      <c r="A106" s="463">
        <v>20.0</v>
      </c>
      <c r="B106" s="464" t="s">
        <v>8485</v>
      </c>
      <c r="C106" s="464"/>
      <c r="D106" s="464"/>
      <c r="E106" s="464"/>
      <c r="F106" s="464" t="s">
        <v>8478</v>
      </c>
      <c r="G106" s="463" t="s">
        <v>6091</v>
      </c>
      <c r="H106" s="464"/>
      <c r="I106" s="464"/>
      <c r="J106" s="464"/>
      <c r="K106" s="464"/>
      <c r="L106" s="464"/>
      <c r="M106" s="464" t="s">
        <v>8479</v>
      </c>
      <c r="N106" s="464"/>
      <c r="O106" s="464"/>
      <c r="P106" s="464"/>
      <c r="Q106" s="464"/>
    </row>
    <row r="107" ht="15.0" customHeight="1">
      <c r="A107" s="463">
        <v>21.0</v>
      </c>
      <c r="B107" s="464" t="s">
        <v>8486</v>
      </c>
      <c r="C107" s="465"/>
      <c r="D107" s="464"/>
      <c r="E107" s="467"/>
      <c r="F107" s="1430" t="s">
        <v>8487</v>
      </c>
      <c r="G107" s="463" t="s">
        <v>6091</v>
      </c>
      <c r="H107" s="1426"/>
      <c r="I107" s="467"/>
      <c r="J107" s="464"/>
      <c r="K107" s="467"/>
      <c r="L107" s="467"/>
      <c r="M107" s="464" t="s">
        <v>8479</v>
      </c>
      <c r="N107" s="467"/>
      <c r="O107" s="467"/>
      <c r="P107" s="467"/>
      <c r="Q107" s="489"/>
    </row>
    <row r="108" ht="15.0" customHeight="1">
      <c r="A108" s="463">
        <v>22.0</v>
      </c>
      <c r="B108" s="464" t="s">
        <v>8488</v>
      </c>
      <c r="C108" s="464"/>
      <c r="D108" s="464"/>
      <c r="E108" s="464"/>
      <c r="F108" s="1430" t="s">
        <v>8487</v>
      </c>
      <c r="G108" s="463" t="s">
        <v>6091</v>
      </c>
      <c r="H108" s="464"/>
      <c r="I108" s="464"/>
      <c r="J108" s="464"/>
      <c r="K108" s="464"/>
      <c r="L108" s="464"/>
      <c r="M108" s="464" t="s">
        <v>8479</v>
      </c>
      <c r="N108" s="464"/>
      <c r="O108" s="464"/>
      <c r="P108" s="464"/>
      <c r="Q108" s="464"/>
    </row>
    <row r="109" ht="15.0" customHeight="1">
      <c r="A109" s="463">
        <v>23.0</v>
      </c>
      <c r="B109" s="464" t="s">
        <v>8489</v>
      </c>
      <c r="C109" s="464"/>
      <c r="D109" s="464"/>
      <c r="E109" s="464"/>
      <c r="F109" s="1430" t="s">
        <v>8487</v>
      </c>
      <c r="G109" s="463" t="s">
        <v>6091</v>
      </c>
      <c r="H109" s="464"/>
      <c r="I109" s="464"/>
      <c r="J109" s="464"/>
      <c r="K109" s="464"/>
      <c r="L109" s="464"/>
      <c r="M109" s="464" t="s">
        <v>8479</v>
      </c>
      <c r="N109" s="464"/>
      <c r="O109" s="464"/>
      <c r="P109" s="464"/>
      <c r="Q109" s="464"/>
    </row>
    <row r="110" ht="15.0" customHeight="1">
      <c r="A110" s="463">
        <v>24.0</v>
      </c>
      <c r="B110" s="464" t="s">
        <v>8490</v>
      </c>
      <c r="C110" s="464"/>
      <c r="D110" s="464"/>
      <c r="E110" s="464"/>
      <c r="F110" s="464" t="s">
        <v>8491</v>
      </c>
      <c r="G110" s="463" t="s">
        <v>6091</v>
      </c>
      <c r="H110" s="464"/>
      <c r="I110" s="464"/>
      <c r="J110" s="464"/>
      <c r="K110" s="464"/>
      <c r="L110" s="464"/>
      <c r="M110" s="464"/>
      <c r="N110" s="464"/>
      <c r="O110" s="464"/>
      <c r="P110" s="464"/>
      <c r="Q110" s="464"/>
    </row>
    <row r="111" ht="15.0" customHeight="1">
      <c r="A111" s="463">
        <v>25.0</v>
      </c>
      <c r="B111" s="464" t="s">
        <v>8492</v>
      </c>
      <c r="C111" s="464"/>
      <c r="D111" s="464"/>
      <c r="E111" s="464"/>
      <c r="F111" s="464" t="s">
        <v>8493</v>
      </c>
      <c r="G111" s="463" t="s">
        <v>6091</v>
      </c>
      <c r="H111" s="464"/>
      <c r="I111" s="464"/>
      <c r="J111" s="464"/>
      <c r="K111" s="464"/>
      <c r="L111" s="464"/>
      <c r="M111" s="464"/>
      <c r="N111" s="464"/>
      <c r="O111" s="464"/>
      <c r="P111" s="464"/>
      <c r="Q111" s="464"/>
    </row>
    <row r="112" ht="15.0" customHeight="1">
      <c r="A112" s="463">
        <v>26.0</v>
      </c>
      <c r="B112" s="464" t="s">
        <v>8496</v>
      </c>
      <c r="C112" s="464"/>
      <c r="D112" s="464"/>
      <c r="E112" s="464"/>
      <c r="F112" s="464" t="s">
        <v>8497</v>
      </c>
      <c r="G112" s="463" t="s">
        <v>6091</v>
      </c>
      <c r="H112" s="464"/>
      <c r="I112" s="464"/>
      <c r="J112" s="464"/>
      <c r="K112" s="464"/>
      <c r="L112" s="464"/>
      <c r="M112" s="464"/>
      <c r="N112" s="464"/>
      <c r="O112" s="464"/>
      <c r="P112" s="464"/>
      <c r="Q112" s="464"/>
    </row>
    <row r="113" ht="15.0" customHeight="1">
      <c r="A113" s="463">
        <v>27.0</v>
      </c>
      <c r="B113" s="464" t="s">
        <v>8498</v>
      </c>
      <c r="C113" s="464"/>
      <c r="D113" s="464"/>
      <c r="E113" s="464"/>
      <c r="F113" s="464" t="s">
        <v>8499</v>
      </c>
      <c r="G113" s="463" t="s">
        <v>6091</v>
      </c>
      <c r="H113" s="464"/>
      <c r="I113" s="464"/>
      <c r="J113" s="464"/>
      <c r="K113" s="464"/>
      <c r="L113" s="464"/>
      <c r="M113" s="464"/>
      <c r="N113" s="464"/>
      <c r="O113" s="464"/>
      <c r="P113" s="464"/>
      <c r="Q113" s="464"/>
    </row>
    <row r="114" ht="15.0" customHeight="1">
      <c r="A114" s="475"/>
      <c r="B114" s="464"/>
      <c r="C114" s="464"/>
      <c r="D114" s="464"/>
      <c r="E114" s="464"/>
      <c r="F114" s="464"/>
      <c r="G114" s="463"/>
      <c r="H114" s="464"/>
      <c r="I114" s="464"/>
      <c r="J114" s="464"/>
      <c r="K114" s="464"/>
      <c r="L114" s="464"/>
      <c r="M114" s="464"/>
      <c r="N114" s="464"/>
      <c r="O114" s="464"/>
      <c r="P114" s="464"/>
      <c r="Q114" s="464"/>
    </row>
    <row r="115" ht="15.0" customHeight="1">
      <c r="A115" s="475"/>
      <c r="B115" s="464"/>
      <c r="C115" s="464"/>
      <c r="D115" s="464"/>
      <c r="E115" s="464"/>
      <c r="F115" s="464"/>
      <c r="G115" s="463"/>
      <c r="H115" s="464"/>
      <c r="I115" s="464"/>
      <c r="J115" s="464"/>
      <c r="K115" s="464"/>
      <c r="L115" s="464"/>
      <c r="M115" s="464"/>
      <c r="N115" s="464"/>
      <c r="O115" s="464"/>
      <c r="P115" s="464"/>
      <c r="Q115" s="464"/>
    </row>
    <row r="116" ht="15.0" customHeight="1">
      <c r="A116" s="475"/>
      <c r="B116" s="464"/>
      <c r="C116" s="464"/>
      <c r="D116" s="464"/>
      <c r="E116" s="464"/>
      <c r="F116" s="464"/>
      <c r="G116" s="463"/>
      <c r="H116" s="464"/>
      <c r="I116" s="464"/>
      <c r="J116" s="464"/>
      <c r="K116" s="464"/>
      <c r="L116" s="464"/>
      <c r="M116" s="464"/>
      <c r="N116" s="464"/>
      <c r="O116" s="464"/>
      <c r="P116" s="128"/>
      <c r="Q116" s="464"/>
    </row>
    <row r="117" ht="15.0" customHeight="1">
      <c r="A117" s="475"/>
      <c r="B117" s="464"/>
      <c r="C117" s="464"/>
      <c r="D117" s="464"/>
      <c r="E117" s="464"/>
      <c r="F117" s="464"/>
      <c r="G117" s="463"/>
      <c r="H117" s="464"/>
      <c r="I117" s="464"/>
      <c r="J117" s="464"/>
      <c r="K117" s="464"/>
      <c r="L117" s="464"/>
      <c r="M117" s="464"/>
      <c r="N117" s="464"/>
      <c r="O117" s="464"/>
      <c r="P117" s="128"/>
      <c r="Q117" s="464"/>
    </row>
    <row r="118" ht="15.0" customHeight="1">
      <c r="A118" s="475"/>
      <c r="B118" s="464"/>
      <c r="C118" s="464"/>
      <c r="D118" s="464"/>
      <c r="E118" s="464"/>
      <c r="F118" s="464"/>
      <c r="G118" s="463"/>
      <c r="H118" s="464"/>
      <c r="I118" s="464"/>
      <c r="J118" s="464"/>
      <c r="K118" s="464"/>
      <c r="L118" s="464"/>
      <c r="M118" s="464"/>
      <c r="N118" s="464"/>
      <c r="O118" s="464"/>
      <c r="P118" s="128"/>
      <c r="Q118" s="464"/>
    </row>
    <row r="119" ht="15.0" customHeight="1">
      <c r="A119" s="463"/>
      <c r="B119" s="464"/>
      <c r="C119" s="464"/>
      <c r="D119" s="464"/>
      <c r="E119" s="464"/>
      <c r="F119" s="464"/>
      <c r="G119" s="463"/>
      <c r="H119" s="464"/>
      <c r="I119" s="464"/>
      <c r="J119" s="464"/>
      <c r="K119" s="464"/>
      <c r="L119" s="464"/>
      <c r="M119" s="464"/>
      <c r="N119" s="464"/>
      <c r="O119" s="464"/>
      <c r="P119" s="467"/>
      <c r="Q119" s="464"/>
    </row>
    <row r="120" ht="15.0" customHeight="1">
      <c r="A120" s="455"/>
      <c r="B120" s="456"/>
      <c r="C120" s="461"/>
      <c r="D120" s="458"/>
      <c r="E120" s="458"/>
      <c r="F120" s="458"/>
      <c r="G120" s="459"/>
      <c r="H120" s="458"/>
      <c r="I120" s="458"/>
      <c r="J120" s="458"/>
      <c r="K120" s="458"/>
      <c r="L120" s="458"/>
      <c r="M120" s="458"/>
      <c r="N120" s="458"/>
      <c r="O120" s="458"/>
      <c r="P120" s="458"/>
      <c r="Q120" s="458"/>
    </row>
    <row r="121" ht="15.0" customHeight="1">
      <c r="A121" s="463"/>
      <c r="B121" s="464"/>
      <c r="C121" s="476"/>
      <c r="D121" s="464"/>
      <c r="E121" s="467"/>
      <c r="F121" s="467"/>
      <c r="G121" s="475"/>
      <c r="H121" s="467"/>
      <c r="I121" s="467"/>
      <c r="J121" s="467"/>
      <c r="K121" s="467"/>
      <c r="L121" s="467"/>
      <c r="M121" s="467"/>
      <c r="N121" s="467"/>
      <c r="O121" s="467"/>
      <c r="P121" s="467"/>
      <c r="Q121" s="476"/>
    </row>
    <row r="122" ht="15.0" customHeight="1">
      <c r="A122" s="463"/>
      <c r="B122" s="464"/>
      <c r="C122" s="476"/>
      <c r="D122" s="464"/>
      <c r="E122" s="467"/>
      <c r="F122" s="467"/>
      <c r="G122" s="475"/>
      <c r="H122" s="467"/>
      <c r="I122" s="467"/>
      <c r="J122" s="467"/>
      <c r="K122" s="467"/>
      <c r="L122" s="467"/>
      <c r="M122" s="467"/>
      <c r="N122" s="467"/>
      <c r="O122" s="467"/>
      <c r="P122" s="467"/>
      <c r="Q122" s="476"/>
    </row>
    <row r="123" ht="15.0" customHeight="1">
      <c r="A123" s="463"/>
      <c r="B123" s="464"/>
      <c r="C123" s="476"/>
      <c r="D123" s="464"/>
      <c r="E123" s="467"/>
      <c r="F123" s="467"/>
      <c r="G123" s="475"/>
      <c r="H123" s="467"/>
      <c r="I123" s="467"/>
      <c r="J123" s="467"/>
      <c r="K123" s="467"/>
      <c r="L123" s="467"/>
      <c r="M123" s="467"/>
      <c r="N123" s="467"/>
      <c r="O123" s="467"/>
      <c r="P123" s="467"/>
      <c r="Q123" s="476"/>
    </row>
    <row r="124" ht="15.0" customHeight="1">
      <c r="A124" s="463"/>
      <c r="B124" s="464"/>
      <c r="C124" s="476"/>
      <c r="D124" s="464"/>
      <c r="E124" s="467"/>
      <c r="F124" s="467"/>
      <c r="G124" s="475"/>
      <c r="H124" s="467"/>
      <c r="I124" s="467"/>
      <c r="J124" s="467"/>
      <c r="K124" s="467"/>
      <c r="L124" s="467"/>
      <c r="M124" s="467"/>
      <c r="N124" s="467"/>
      <c r="O124" s="467"/>
      <c r="P124" s="467"/>
      <c r="Q124" s="476"/>
    </row>
    <row r="125" ht="15.0" customHeight="1">
      <c r="A125" s="463"/>
      <c r="B125" s="464"/>
      <c r="C125" s="476"/>
      <c r="D125" s="464"/>
      <c r="E125" s="467"/>
      <c r="F125" s="467"/>
      <c r="G125" s="475"/>
      <c r="H125" s="467"/>
      <c r="I125" s="467"/>
      <c r="J125" s="467"/>
      <c r="K125" s="467"/>
      <c r="L125" s="467"/>
      <c r="M125" s="467"/>
      <c r="N125" s="467"/>
      <c r="O125" s="467"/>
      <c r="P125" s="467"/>
      <c r="Q125" s="476"/>
    </row>
    <row r="126" ht="15.0" customHeight="1">
      <c r="A126" s="463"/>
      <c r="B126" s="464"/>
      <c r="C126" s="476"/>
      <c r="D126" s="464"/>
      <c r="E126" s="467"/>
      <c r="F126" s="467"/>
      <c r="G126" s="475"/>
      <c r="H126" s="467"/>
      <c r="I126" s="467"/>
      <c r="J126" s="467"/>
      <c r="K126" s="467"/>
      <c r="L126" s="467"/>
      <c r="M126" s="467"/>
      <c r="N126" s="467"/>
      <c r="O126" s="467"/>
      <c r="P126" s="467"/>
      <c r="Q126" s="476"/>
    </row>
    <row r="127" ht="15.0" customHeight="1">
      <c r="A127" s="463"/>
      <c r="B127" s="464"/>
      <c r="C127" s="476"/>
      <c r="D127" s="464"/>
      <c r="E127" s="467"/>
      <c r="F127" s="464"/>
      <c r="G127" s="475"/>
      <c r="H127" s="467"/>
      <c r="I127" s="467"/>
      <c r="J127" s="467"/>
      <c r="K127" s="467"/>
      <c r="L127" s="467"/>
      <c r="M127" s="467"/>
      <c r="N127" s="467"/>
      <c r="O127" s="467"/>
      <c r="P127" s="467"/>
      <c r="Q127" s="465"/>
    </row>
    <row r="128" ht="15.0" customHeight="1">
      <c r="A128" s="463"/>
      <c r="B128" s="464"/>
      <c r="C128" s="476"/>
      <c r="D128" s="464"/>
      <c r="E128" s="467"/>
      <c r="F128" s="464"/>
      <c r="G128" s="475"/>
      <c r="H128" s="467"/>
      <c r="I128" s="467"/>
      <c r="J128" s="467"/>
      <c r="K128" s="467"/>
      <c r="L128" s="467"/>
      <c r="M128" s="467"/>
      <c r="N128" s="467"/>
      <c r="O128" s="467"/>
      <c r="P128" s="467"/>
      <c r="Q128" s="486"/>
    </row>
    <row r="129" ht="15.0" customHeight="1">
      <c r="A129" s="463"/>
      <c r="B129" s="464"/>
      <c r="C129" s="465"/>
      <c r="D129" s="464"/>
      <c r="E129" s="467"/>
      <c r="F129" s="464"/>
      <c r="G129" s="475"/>
      <c r="H129" s="467"/>
      <c r="I129" s="467"/>
      <c r="J129" s="467"/>
      <c r="K129" s="467"/>
      <c r="L129" s="467"/>
      <c r="M129" s="467"/>
      <c r="N129" s="467"/>
      <c r="O129" s="467"/>
      <c r="P129" s="464"/>
      <c r="Q129" s="486"/>
    </row>
    <row r="130" ht="15.0" customHeight="1">
      <c r="A130" s="463"/>
      <c r="B130" s="464"/>
      <c r="C130" s="465"/>
      <c r="D130" s="464"/>
      <c r="E130" s="467"/>
      <c r="F130" s="464"/>
      <c r="G130" s="475"/>
      <c r="H130" s="467"/>
      <c r="I130" s="467"/>
      <c r="J130" s="467"/>
      <c r="K130" s="467"/>
      <c r="L130" s="467"/>
      <c r="M130" s="467"/>
      <c r="N130" s="467"/>
      <c r="O130" s="467"/>
      <c r="P130" s="464"/>
      <c r="Q130" s="486"/>
    </row>
    <row r="131" ht="15.0" customHeight="1">
      <c r="A131" s="463"/>
      <c r="B131" s="464"/>
      <c r="C131" s="476"/>
      <c r="D131" s="464"/>
      <c r="E131" s="467"/>
      <c r="F131" s="464"/>
      <c r="G131" s="475"/>
      <c r="H131" s="467"/>
      <c r="I131" s="467"/>
      <c r="J131" s="467"/>
      <c r="K131" s="467"/>
      <c r="L131" s="467"/>
      <c r="M131" s="467"/>
      <c r="N131" s="467"/>
      <c r="O131" s="467"/>
      <c r="P131" s="467"/>
      <c r="Q131" s="486"/>
    </row>
    <row r="132" ht="15.0" customHeight="1">
      <c r="A132" s="463"/>
      <c r="B132" s="464"/>
      <c r="C132" s="465"/>
      <c r="D132" s="464"/>
      <c r="E132" s="467"/>
      <c r="F132" s="464"/>
      <c r="G132" s="475"/>
      <c r="H132" s="464"/>
      <c r="I132" s="467"/>
      <c r="J132" s="467"/>
      <c r="K132" s="464"/>
      <c r="L132" s="464"/>
      <c r="M132" s="467"/>
      <c r="N132" s="467"/>
      <c r="O132" s="467"/>
      <c r="P132" s="464"/>
      <c r="Q132" s="467"/>
    </row>
    <row r="133" ht="15.0" customHeight="1">
      <c r="A133" s="455"/>
      <c r="B133" s="456"/>
      <c r="C133" s="461"/>
      <c r="D133" s="458"/>
      <c r="E133" s="458"/>
      <c r="F133" s="458"/>
      <c r="G133" s="459"/>
      <c r="H133" s="458"/>
      <c r="I133" s="458"/>
      <c r="J133" s="458"/>
      <c r="K133" s="458"/>
      <c r="L133" s="458"/>
      <c r="M133" s="458"/>
      <c r="N133" s="458"/>
      <c r="O133" s="458"/>
      <c r="P133" s="458"/>
      <c r="Q133" s="458"/>
    </row>
    <row r="134" ht="15.0" customHeight="1">
      <c r="A134" s="463"/>
      <c r="B134" s="486"/>
      <c r="C134" s="476"/>
      <c r="D134" s="464"/>
      <c r="E134" s="467"/>
      <c r="F134" s="464"/>
      <c r="G134" s="490"/>
      <c r="H134" s="467"/>
      <c r="I134" s="467"/>
      <c r="J134" s="467"/>
      <c r="K134" s="467"/>
      <c r="L134" s="467"/>
      <c r="M134" s="467"/>
      <c r="N134" s="467"/>
      <c r="O134" s="467"/>
      <c r="P134" s="467"/>
      <c r="Q134" s="486"/>
    </row>
    <row r="135" ht="15.0" customHeight="1">
      <c r="A135" s="463"/>
      <c r="B135" s="464"/>
      <c r="C135" s="476"/>
      <c r="D135" s="464"/>
      <c r="E135" s="467"/>
      <c r="F135" s="467"/>
      <c r="G135" s="490"/>
      <c r="H135" s="467"/>
      <c r="I135" s="467"/>
      <c r="J135" s="467"/>
      <c r="K135" s="467"/>
      <c r="L135" s="467"/>
      <c r="M135" s="467"/>
      <c r="N135" s="467"/>
      <c r="O135" s="467"/>
      <c r="P135" s="467"/>
      <c r="Q135" s="476"/>
    </row>
    <row r="136" ht="15.0" customHeight="1">
      <c r="A136" s="463"/>
      <c r="B136" s="464"/>
      <c r="C136" s="476"/>
      <c r="D136" s="464"/>
      <c r="E136" s="467"/>
      <c r="F136" s="467"/>
      <c r="G136" s="490"/>
      <c r="H136" s="467"/>
      <c r="I136" s="467"/>
      <c r="J136" s="467"/>
      <c r="K136" s="467"/>
      <c r="L136" s="467"/>
      <c r="M136" s="467"/>
      <c r="N136" s="467"/>
      <c r="O136" s="467"/>
      <c r="P136" s="467"/>
      <c r="Q136" s="476"/>
    </row>
    <row r="137" ht="15.0" customHeight="1">
      <c r="A137" s="463"/>
      <c r="B137" s="464"/>
      <c r="C137" s="476"/>
      <c r="D137" s="464"/>
      <c r="E137" s="467"/>
      <c r="F137" s="467"/>
      <c r="G137" s="490"/>
      <c r="H137" s="467"/>
      <c r="I137" s="467"/>
      <c r="J137" s="467"/>
      <c r="K137" s="467"/>
      <c r="L137" s="467"/>
      <c r="M137" s="467"/>
      <c r="N137" s="467"/>
      <c r="O137" s="467"/>
      <c r="P137" s="467"/>
      <c r="Q137" s="476"/>
    </row>
    <row r="138" ht="15.0" customHeight="1">
      <c r="A138" s="463"/>
      <c r="B138" s="464"/>
      <c r="C138" s="476"/>
      <c r="D138" s="464"/>
      <c r="E138" s="467"/>
      <c r="F138" s="467"/>
      <c r="G138" s="490"/>
      <c r="H138" s="467"/>
      <c r="I138" s="467"/>
      <c r="J138" s="467"/>
      <c r="K138" s="467"/>
      <c r="L138" s="467"/>
      <c r="M138" s="467"/>
      <c r="N138" s="467"/>
      <c r="O138" s="467"/>
      <c r="P138" s="467"/>
      <c r="Q138" s="476"/>
    </row>
    <row r="139" ht="15.0" customHeight="1">
      <c r="A139" s="463"/>
      <c r="B139" s="464"/>
      <c r="C139" s="476"/>
      <c r="D139" s="464"/>
      <c r="E139" s="467"/>
      <c r="F139" s="467"/>
      <c r="G139" s="490"/>
      <c r="H139" s="467"/>
      <c r="I139" s="467"/>
      <c r="J139" s="467"/>
      <c r="K139" s="467"/>
      <c r="L139" s="467"/>
      <c r="M139" s="467"/>
      <c r="N139" s="467"/>
      <c r="O139" s="467"/>
      <c r="P139" s="467"/>
      <c r="Q139" s="476"/>
    </row>
    <row r="140" ht="15.0" customHeight="1">
      <c r="A140" s="463"/>
      <c r="B140" s="464"/>
      <c r="C140" s="476"/>
      <c r="D140" s="464"/>
      <c r="E140" s="467"/>
      <c r="F140" s="467"/>
      <c r="G140" s="490"/>
      <c r="H140" s="467"/>
      <c r="I140" s="467"/>
      <c r="J140" s="467"/>
      <c r="K140" s="467"/>
      <c r="L140" s="467"/>
      <c r="M140" s="467"/>
      <c r="N140" s="467"/>
      <c r="O140" s="467"/>
      <c r="P140" s="467"/>
      <c r="Q140" s="476"/>
    </row>
    <row r="141" ht="15.0" customHeight="1">
      <c r="A141" s="463"/>
      <c r="B141" s="464"/>
      <c r="C141" s="476"/>
      <c r="D141" s="464"/>
      <c r="E141" s="467"/>
      <c r="F141" s="467"/>
      <c r="G141" s="490"/>
      <c r="H141" s="467"/>
      <c r="I141" s="467"/>
      <c r="J141" s="467"/>
      <c r="K141" s="467"/>
      <c r="L141" s="467"/>
      <c r="M141" s="467"/>
      <c r="N141" s="467"/>
      <c r="O141" s="467"/>
      <c r="P141" s="467"/>
      <c r="Q141" s="476"/>
    </row>
    <row r="142" ht="15.0" customHeight="1">
      <c r="A142" s="463"/>
      <c r="B142" s="464"/>
      <c r="C142" s="476"/>
      <c r="D142" s="464"/>
      <c r="E142" s="467"/>
      <c r="F142" s="467"/>
      <c r="G142" s="490"/>
      <c r="H142" s="467"/>
      <c r="I142" s="467"/>
      <c r="J142" s="467"/>
      <c r="K142" s="467"/>
      <c r="L142" s="467"/>
      <c r="M142" s="467"/>
      <c r="N142" s="467"/>
      <c r="O142" s="467"/>
      <c r="P142" s="467"/>
      <c r="Q142" s="476"/>
    </row>
    <row r="143" ht="15.0" customHeight="1">
      <c r="A143" s="463"/>
      <c r="B143" s="464"/>
      <c r="C143" s="476"/>
      <c r="D143" s="464"/>
      <c r="E143" s="467"/>
      <c r="F143" s="467"/>
      <c r="G143" s="490"/>
      <c r="H143" s="467"/>
      <c r="I143" s="467"/>
      <c r="J143" s="467"/>
      <c r="K143" s="467"/>
      <c r="L143" s="467"/>
      <c r="M143" s="467"/>
      <c r="N143" s="467"/>
      <c r="O143" s="467"/>
      <c r="P143" s="467"/>
      <c r="Q143" s="476"/>
    </row>
    <row r="144" ht="15.0" customHeight="1">
      <c r="A144" s="463"/>
      <c r="B144" s="464"/>
      <c r="C144" s="476"/>
      <c r="D144" s="464"/>
      <c r="E144" s="467"/>
      <c r="F144" s="467"/>
      <c r="G144" s="490"/>
      <c r="H144" s="467"/>
      <c r="I144" s="467"/>
      <c r="J144" s="467"/>
      <c r="K144" s="467"/>
      <c r="L144" s="467"/>
      <c r="M144" s="467"/>
      <c r="N144" s="467"/>
      <c r="O144" s="467"/>
      <c r="P144" s="467"/>
      <c r="Q144" s="476"/>
    </row>
    <row r="145" ht="15.0" customHeight="1">
      <c r="A145" s="463"/>
      <c r="B145" s="486"/>
      <c r="C145" s="487"/>
      <c r="D145" s="486"/>
      <c r="E145" s="489"/>
      <c r="F145" s="489"/>
      <c r="G145" s="490"/>
      <c r="H145" s="1435"/>
      <c r="I145" s="489"/>
      <c r="J145" s="489"/>
      <c r="K145" s="486"/>
      <c r="L145" s="486"/>
      <c r="M145" s="489"/>
      <c r="N145" s="489"/>
      <c r="O145" s="489"/>
      <c r="P145" s="489"/>
      <c r="Q145" s="487"/>
    </row>
    <row r="146" ht="15.0" customHeight="1">
      <c r="A146" s="463"/>
      <c r="B146" s="464"/>
      <c r="C146" s="476"/>
      <c r="D146" s="464"/>
      <c r="E146" s="467"/>
      <c r="F146" s="467"/>
      <c r="G146" s="490"/>
      <c r="H146" s="467"/>
      <c r="I146" s="467"/>
      <c r="J146" s="467"/>
      <c r="K146" s="467"/>
      <c r="L146" s="467"/>
      <c r="M146" s="467"/>
      <c r="N146" s="467"/>
      <c r="O146" s="467"/>
      <c r="P146" s="467"/>
      <c r="Q146" s="476"/>
    </row>
    <row r="147" ht="15.0" customHeight="1">
      <c r="A147" s="463"/>
      <c r="B147" s="464"/>
      <c r="C147" s="476"/>
      <c r="D147" s="464"/>
      <c r="E147" s="467"/>
      <c r="F147" s="467"/>
      <c r="G147" s="490"/>
      <c r="H147" s="467"/>
      <c r="I147" s="467"/>
      <c r="J147" s="467"/>
      <c r="K147" s="467"/>
      <c r="L147" s="467"/>
      <c r="M147" s="467"/>
      <c r="N147" s="467"/>
      <c r="O147" s="467"/>
      <c r="P147" s="467"/>
      <c r="Q147" s="476"/>
    </row>
    <row r="148" ht="15.0" customHeight="1">
      <c r="A148" s="463"/>
      <c r="B148" s="464"/>
      <c r="C148" s="465"/>
      <c r="D148" s="464"/>
      <c r="E148" s="467"/>
      <c r="F148" s="464"/>
      <c r="G148" s="490"/>
      <c r="H148" s="467"/>
      <c r="I148" s="467"/>
      <c r="J148" s="467"/>
      <c r="K148" s="467"/>
      <c r="L148" s="467"/>
      <c r="M148" s="467"/>
      <c r="N148" s="467"/>
      <c r="O148" s="467"/>
      <c r="P148" s="464"/>
      <c r="Q148" s="476"/>
    </row>
    <row r="149" ht="15.0" customHeight="1">
      <c r="A149" s="463"/>
      <c r="B149" s="464"/>
      <c r="C149" s="465"/>
      <c r="D149" s="464"/>
      <c r="E149" s="467"/>
      <c r="F149" s="464"/>
      <c r="G149" s="490"/>
      <c r="H149" s="467"/>
      <c r="I149" s="467"/>
      <c r="J149" s="467"/>
      <c r="K149" s="467"/>
      <c r="L149" s="467"/>
      <c r="M149" s="467"/>
      <c r="N149" s="467"/>
      <c r="O149" s="467"/>
      <c r="P149" s="464"/>
      <c r="Q149" s="476"/>
    </row>
    <row r="150" ht="15.0" customHeight="1">
      <c r="A150" s="463"/>
      <c r="B150" s="464"/>
      <c r="C150" s="476"/>
      <c r="D150" s="464"/>
      <c r="E150" s="467"/>
      <c r="F150" s="464"/>
      <c r="G150" s="490"/>
      <c r="H150" s="467"/>
      <c r="I150" s="467"/>
      <c r="J150" s="467"/>
      <c r="K150" s="467"/>
      <c r="L150" s="467"/>
      <c r="M150" s="467"/>
      <c r="N150" s="467"/>
      <c r="O150" s="467"/>
      <c r="P150" s="467"/>
      <c r="Q150" s="476"/>
    </row>
    <row r="151" ht="15.0" customHeight="1">
      <c r="A151" s="463"/>
      <c r="B151" s="464"/>
      <c r="C151" s="465"/>
      <c r="D151" s="464"/>
      <c r="E151" s="467"/>
      <c r="F151" s="464"/>
      <c r="G151" s="490"/>
      <c r="H151" s="467"/>
      <c r="I151" s="467"/>
      <c r="J151" s="467"/>
      <c r="K151" s="467"/>
      <c r="L151" s="467"/>
      <c r="M151" s="467"/>
      <c r="N151" s="467"/>
      <c r="O151" s="467"/>
      <c r="P151" s="464"/>
      <c r="Q151" s="476"/>
    </row>
    <row r="152">
      <c r="A152" s="455"/>
      <c r="B152" s="456"/>
      <c r="C152" s="461"/>
      <c r="D152" s="458"/>
      <c r="E152" s="458"/>
      <c r="F152" s="458"/>
      <c r="G152" s="459"/>
      <c r="H152" s="458"/>
      <c r="I152" s="458"/>
      <c r="J152" s="458"/>
      <c r="K152" s="458"/>
      <c r="L152" s="458"/>
      <c r="M152" s="458"/>
      <c r="N152" s="458"/>
      <c r="O152" s="458"/>
      <c r="P152" s="458"/>
      <c r="Q152" s="458"/>
    </row>
    <row r="153" ht="15.0" customHeight="1">
      <c r="A153" s="463"/>
      <c r="B153" s="464"/>
      <c r="C153" s="465"/>
      <c r="D153" s="464"/>
      <c r="E153" s="467"/>
      <c r="F153" s="464"/>
      <c r="G153" s="463"/>
      <c r="H153" s="1436"/>
      <c r="I153" s="467"/>
      <c r="J153" s="467"/>
      <c r="K153" s="464"/>
      <c r="L153" s="464"/>
      <c r="M153" s="467"/>
      <c r="N153" s="467"/>
      <c r="O153" s="467"/>
      <c r="P153" s="464"/>
      <c r="Q153" s="467"/>
    </row>
    <row r="154">
      <c r="A154" s="455"/>
      <c r="B154" s="456"/>
      <c r="C154" s="461"/>
      <c r="D154" s="458"/>
      <c r="E154" s="458"/>
      <c r="F154" s="458"/>
      <c r="G154" s="459"/>
      <c r="H154" s="458"/>
      <c r="I154" s="458"/>
      <c r="J154" s="458"/>
      <c r="K154" s="458"/>
      <c r="L154" s="458"/>
      <c r="M154" s="458"/>
      <c r="N154" s="458"/>
      <c r="O154" s="458"/>
      <c r="P154" s="458"/>
      <c r="Q154" s="458"/>
    </row>
    <row r="155" ht="15.0" customHeight="1">
      <c r="A155" s="463"/>
      <c r="B155" s="464"/>
      <c r="C155" s="476"/>
      <c r="D155" s="464"/>
      <c r="E155" s="464"/>
      <c r="F155" s="464"/>
      <c r="G155" s="475"/>
      <c r="H155" s="1426"/>
      <c r="I155" s="467"/>
      <c r="J155" s="467"/>
      <c r="K155" s="464"/>
      <c r="L155" s="464"/>
      <c r="M155" s="467"/>
      <c r="N155" s="467"/>
      <c r="O155" s="467"/>
      <c r="P155" s="464"/>
      <c r="Q155" s="467"/>
    </row>
    <row r="156" ht="15.0" customHeight="1">
      <c r="A156" s="463"/>
      <c r="B156" s="464"/>
      <c r="C156" s="465"/>
      <c r="D156" s="464"/>
      <c r="E156" s="464"/>
      <c r="F156" s="464"/>
      <c r="G156" s="475"/>
      <c r="H156" s="1436"/>
      <c r="I156" s="467"/>
      <c r="J156" s="467"/>
      <c r="K156" s="464"/>
      <c r="L156" s="464"/>
      <c r="M156" s="467"/>
      <c r="N156" s="467"/>
      <c r="O156" s="467"/>
      <c r="P156" s="464"/>
      <c r="Q156" s="467"/>
    </row>
    <row r="157" ht="15.0" customHeight="1">
      <c r="A157" s="463"/>
      <c r="B157" s="464"/>
      <c r="C157" s="476"/>
      <c r="D157" s="464"/>
      <c r="E157" s="467"/>
      <c r="F157" s="467"/>
      <c r="G157" s="475"/>
      <c r="H157" s="467"/>
      <c r="I157" s="467"/>
      <c r="J157" s="467"/>
      <c r="K157" s="467"/>
      <c r="L157" s="467"/>
      <c r="M157" s="467"/>
      <c r="N157" s="467"/>
      <c r="O157" s="467"/>
      <c r="P157" s="467"/>
      <c r="Q157" s="467"/>
    </row>
    <row r="158" ht="16.5" customHeight="1">
      <c r="A158" s="463"/>
      <c r="B158" s="464"/>
      <c r="C158" s="476"/>
      <c r="D158" s="464"/>
      <c r="E158" s="467"/>
      <c r="F158" s="467"/>
      <c r="G158" s="475"/>
      <c r="H158" s="467"/>
      <c r="I158" s="467"/>
      <c r="J158" s="467"/>
      <c r="K158" s="467"/>
      <c r="L158" s="467"/>
      <c r="M158" s="467"/>
      <c r="N158" s="467"/>
      <c r="O158" s="467"/>
      <c r="P158" s="467"/>
      <c r="Q158" s="467"/>
    </row>
    <row r="159" ht="15.0" customHeight="1">
      <c r="A159" s="463"/>
      <c r="B159" s="464"/>
      <c r="C159" s="476"/>
      <c r="D159" s="464"/>
      <c r="E159" s="467"/>
      <c r="F159" s="467"/>
      <c r="G159" s="475"/>
      <c r="H159" s="467"/>
      <c r="I159" s="467"/>
      <c r="J159" s="467"/>
      <c r="K159" s="467"/>
      <c r="L159" s="467"/>
      <c r="M159" s="467"/>
      <c r="N159" s="467"/>
      <c r="O159" s="467"/>
      <c r="P159" s="467"/>
      <c r="Q159" s="467"/>
    </row>
    <row r="160" ht="15.0" customHeight="1">
      <c r="A160" s="463"/>
      <c r="B160" s="464"/>
      <c r="C160" s="476"/>
      <c r="D160" s="464"/>
      <c r="E160" s="467"/>
      <c r="F160" s="467"/>
      <c r="G160" s="475"/>
      <c r="H160" s="467"/>
      <c r="I160" s="467"/>
      <c r="J160" s="467"/>
      <c r="K160" s="467"/>
      <c r="L160" s="467"/>
      <c r="M160" s="467"/>
      <c r="N160" s="467"/>
      <c r="O160" s="467"/>
      <c r="P160" s="467"/>
      <c r="Q160" s="467"/>
    </row>
    <row r="161" ht="15.0" customHeight="1">
      <c r="A161" s="463"/>
      <c r="B161" s="464"/>
      <c r="C161" s="476"/>
      <c r="D161" s="464"/>
      <c r="E161" s="467"/>
      <c r="F161" s="467"/>
      <c r="G161" s="475"/>
      <c r="H161" s="467"/>
      <c r="I161" s="467"/>
      <c r="J161" s="467"/>
      <c r="K161" s="467"/>
      <c r="L161" s="467"/>
      <c r="M161" s="467"/>
      <c r="N161" s="467"/>
      <c r="O161" s="467"/>
      <c r="P161" s="467"/>
      <c r="Q161" s="467"/>
    </row>
    <row r="162" ht="15.0" customHeight="1">
      <c r="A162" s="463"/>
      <c r="B162" s="464"/>
      <c r="C162" s="465"/>
      <c r="D162" s="464"/>
      <c r="E162" s="467"/>
      <c r="F162" s="464"/>
      <c r="G162" s="475"/>
      <c r="H162" s="467"/>
      <c r="I162" s="467"/>
      <c r="J162" s="467"/>
      <c r="K162" s="467"/>
      <c r="L162" s="467"/>
      <c r="M162" s="467"/>
      <c r="N162" s="467"/>
      <c r="O162" s="467"/>
      <c r="P162" s="467"/>
      <c r="Q162" s="465"/>
    </row>
    <row r="163" ht="15.0" customHeight="1">
      <c r="A163" s="463"/>
      <c r="B163" s="464"/>
      <c r="C163" s="476"/>
      <c r="D163" s="464"/>
      <c r="E163" s="467"/>
      <c r="F163" s="464"/>
      <c r="G163" s="475"/>
      <c r="H163" s="467"/>
      <c r="I163" s="467"/>
      <c r="J163" s="467"/>
      <c r="K163" s="467"/>
      <c r="L163" s="467"/>
      <c r="M163" s="467"/>
      <c r="N163" s="467"/>
      <c r="O163" s="467"/>
      <c r="P163" s="467"/>
      <c r="Q163" s="467"/>
    </row>
    <row r="164" ht="15.0" customHeight="1">
      <c r="A164" s="463"/>
      <c r="B164" s="464"/>
      <c r="C164" s="465"/>
      <c r="D164" s="464"/>
      <c r="E164" s="467"/>
      <c r="F164" s="467"/>
      <c r="G164" s="475"/>
      <c r="H164" s="467"/>
      <c r="I164" s="464"/>
      <c r="J164" s="464"/>
      <c r="K164" s="483"/>
      <c r="L164" s="483"/>
      <c r="M164" s="467"/>
      <c r="N164" s="467"/>
      <c r="O164" s="467"/>
      <c r="P164" s="467"/>
      <c r="Q164" s="467"/>
    </row>
    <row r="165" ht="15.0" customHeight="1">
      <c r="A165" s="463"/>
      <c r="B165" s="464"/>
      <c r="C165" s="476"/>
      <c r="D165" s="464"/>
      <c r="E165" s="467"/>
      <c r="F165" s="464"/>
      <c r="G165" s="475"/>
      <c r="H165" s="467"/>
      <c r="I165" s="467"/>
      <c r="J165" s="467"/>
      <c r="K165" s="464"/>
      <c r="L165" s="464"/>
      <c r="M165" s="467"/>
      <c r="N165" s="467"/>
      <c r="O165" s="467"/>
      <c r="P165" s="464"/>
      <c r="Q165" s="464"/>
    </row>
    <row r="166" ht="15.0" customHeight="1">
      <c r="A166" s="463"/>
      <c r="B166" s="464"/>
      <c r="C166" s="465"/>
      <c r="D166" s="464"/>
      <c r="E166" s="467"/>
      <c r="F166" s="464"/>
      <c r="G166" s="475"/>
      <c r="H166" s="467"/>
      <c r="I166" s="467"/>
      <c r="J166" s="467"/>
      <c r="K166" s="464"/>
      <c r="L166" s="464"/>
      <c r="M166" s="467"/>
      <c r="N166" s="467"/>
      <c r="O166" s="467"/>
      <c r="P166" s="464"/>
      <c r="Q166" s="464"/>
    </row>
    <row r="167" ht="15.0" customHeight="1">
      <c r="A167" s="463"/>
      <c r="B167" s="464"/>
      <c r="C167" s="465"/>
      <c r="D167" s="464"/>
      <c r="E167" s="467"/>
      <c r="F167" s="464"/>
      <c r="G167" s="475"/>
      <c r="H167" s="463"/>
      <c r="I167" s="467"/>
      <c r="J167" s="463"/>
      <c r="K167" s="464"/>
      <c r="L167" s="464"/>
      <c r="M167" s="467"/>
      <c r="N167" s="467"/>
      <c r="O167" s="467"/>
      <c r="P167" s="464"/>
      <c r="Q167" s="464"/>
    </row>
    <row r="168" ht="15.0" customHeight="1">
      <c r="A168" s="463"/>
      <c r="B168" s="464"/>
      <c r="C168" s="465"/>
      <c r="D168" s="464"/>
      <c r="E168" s="467"/>
      <c r="F168" s="464"/>
      <c r="G168" s="475"/>
      <c r="H168" s="463"/>
      <c r="I168" s="467"/>
      <c r="J168" s="463"/>
      <c r="K168" s="464"/>
      <c r="L168" s="464"/>
      <c r="M168" s="467"/>
      <c r="N168" s="467"/>
      <c r="O168" s="467"/>
      <c r="P168" s="464"/>
      <c r="Q168" s="464"/>
    </row>
    <row r="169" ht="15.0" customHeight="1">
      <c r="A169" s="463"/>
      <c r="B169" s="464"/>
      <c r="C169" s="465"/>
      <c r="D169" s="464"/>
      <c r="E169" s="467"/>
      <c r="F169" s="464"/>
      <c r="G169" s="475"/>
      <c r="H169" s="463"/>
      <c r="I169" s="467"/>
      <c r="J169" s="463"/>
      <c r="K169" s="464"/>
      <c r="L169" s="464"/>
      <c r="M169" s="467"/>
      <c r="N169" s="467"/>
      <c r="O169" s="467"/>
      <c r="P169" s="464"/>
      <c r="Q169" s="464"/>
    </row>
    <row r="170" ht="15.0" customHeight="1">
      <c r="A170" s="463"/>
      <c r="B170" s="464"/>
      <c r="C170" s="465"/>
      <c r="D170" s="464"/>
      <c r="E170" s="467"/>
      <c r="F170" s="464"/>
      <c r="G170" s="475"/>
      <c r="H170" s="463"/>
      <c r="I170" s="467"/>
      <c r="J170" s="463"/>
      <c r="K170" s="464"/>
      <c r="L170" s="464"/>
      <c r="M170" s="467"/>
      <c r="N170" s="467"/>
      <c r="O170" s="467"/>
      <c r="P170" s="464"/>
      <c r="Q170" s="464"/>
    </row>
    <row r="171" ht="15.0" customHeight="1">
      <c r="A171" s="463"/>
      <c r="B171" s="464"/>
      <c r="C171" s="465"/>
      <c r="D171" s="464"/>
      <c r="E171" s="467"/>
      <c r="F171" s="464"/>
      <c r="G171" s="475"/>
      <c r="H171" s="463"/>
      <c r="I171" s="467"/>
      <c r="J171" s="463"/>
      <c r="K171" s="464"/>
      <c r="L171" s="464"/>
      <c r="M171" s="467"/>
      <c r="N171" s="467"/>
      <c r="O171" s="467"/>
      <c r="P171" s="464"/>
      <c r="Q171" s="464"/>
    </row>
    <row r="172" ht="15.0" customHeight="1">
      <c r="A172" s="463"/>
      <c r="B172" s="464"/>
      <c r="C172" s="465"/>
      <c r="D172" s="464"/>
      <c r="E172" s="467"/>
      <c r="F172" s="464"/>
      <c r="G172" s="475"/>
      <c r="H172" s="463"/>
      <c r="I172" s="467"/>
      <c r="J172" s="463"/>
      <c r="K172" s="464"/>
      <c r="L172" s="464"/>
      <c r="M172" s="467"/>
      <c r="N172" s="467"/>
      <c r="O172" s="467"/>
      <c r="P172" s="464"/>
      <c r="Q172" s="464"/>
    </row>
    <row r="173" ht="15.0" customHeight="1">
      <c r="A173" s="463"/>
      <c r="B173" s="464"/>
      <c r="C173" s="465"/>
      <c r="D173" s="464"/>
      <c r="E173" s="467"/>
      <c r="F173" s="464"/>
      <c r="G173" s="475"/>
      <c r="H173" s="463"/>
      <c r="I173" s="467"/>
      <c r="J173" s="463"/>
      <c r="K173" s="464"/>
      <c r="L173" s="464"/>
      <c r="M173" s="467"/>
      <c r="N173" s="467"/>
      <c r="O173" s="467"/>
      <c r="P173" s="464"/>
      <c r="Q173" s="464"/>
    </row>
    <row r="174" ht="15.0" customHeight="1">
      <c r="A174" s="463"/>
      <c r="B174" s="464"/>
      <c r="C174" s="465"/>
      <c r="D174" s="464"/>
      <c r="E174" s="467"/>
      <c r="F174" s="464"/>
      <c r="G174" s="475"/>
      <c r="H174" s="463"/>
      <c r="I174" s="467"/>
      <c r="J174" s="463"/>
      <c r="K174" s="464"/>
      <c r="L174" s="464"/>
      <c r="M174" s="467"/>
      <c r="N174" s="467"/>
      <c r="O174" s="467"/>
      <c r="P174" s="464"/>
      <c r="Q174" s="464"/>
    </row>
    <row r="175" ht="15.0" customHeight="1">
      <c r="A175" s="463"/>
      <c r="B175" s="464"/>
      <c r="C175" s="465"/>
      <c r="D175" s="464"/>
      <c r="E175" s="467"/>
      <c r="F175" s="464"/>
      <c r="G175" s="475"/>
      <c r="H175" s="463"/>
      <c r="I175" s="467"/>
      <c r="J175" s="463"/>
      <c r="K175" s="464"/>
      <c r="L175" s="464"/>
      <c r="M175" s="467"/>
      <c r="N175" s="467"/>
      <c r="O175" s="467"/>
      <c r="P175" s="464"/>
      <c r="Q175" s="464"/>
    </row>
    <row r="176">
      <c r="A176" s="455"/>
      <c r="B176" s="456"/>
      <c r="C176" s="461"/>
      <c r="D176" s="458"/>
      <c r="E176" s="458"/>
      <c r="F176" s="458"/>
      <c r="G176" s="459"/>
      <c r="H176" s="458"/>
      <c r="I176" s="458"/>
      <c r="J176" s="458"/>
      <c r="K176" s="458"/>
      <c r="L176" s="458"/>
      <c r="M176" s="458"/>
      <c r="N176" s="458"/>
      <c r="O176" s="458"/>
      <c r="P176" s="458"/>
      <c r="Q176" s="458"/>
    </row>
    <row r="177" ht="15.0" customHeight="1">
      <c r="A177" s="463"/>
      <c r="B177" s="464"/>
      <c r="C177" s="476"/>
      <c r="D177" s="464"/>
      <c r="E177" s="467"/>
      <c r="F177" s="467"/>
      <c r="G177" s="475"/>
      <c r="H177" s="467"/>
      <c r="I177" s="467"/>
      <c r="J177" s="467"/>
      <c r="K177" s="467"/>
      <c r="L177" s="467"/>
      <c r="M177" s="467"/>
      <c r="N177" s="467"/>
      <c r="O177" s="467"/>
      <c r="P177" s="467"/>
      <c r="Q177" s="467"/>
    </row>
    <row r="178" ht="15.0" customHeight="1">
      <c r="A178" s="463"/>
      <c r="B178" s="464"/>
      <c r="C178" s="476"/>
      <c r="D178" s="464"/>
      <c r="E178" s="467"/>
      <c r="F178" s="467"/>
      <c r="G178" s="475"/>
      <c r="H178" s="467"/>
      <c r="I178" s="467"/>
      <c r="J178" s="467"/>
      <c r="K178" s="467"/>
      <c r="L178" s="467"/>
      <c r="M178" s="467"/>
      <c r="N178" s="467"/>
      <c r="O178" s="467"/>
      <c r="P178" s="467"/>
      <c r="Q178" s="467"/>
    </row>
    <row r="179" ht="15.0" customHeight="1">
      <c r="A179" s="463"/>
      <c r="B179" s="464"/>
      <c r="C179" s="476"/>
      <c r="D179" s="464"/>
      <c r="E179" s="467"/>
      <c r="F179" s="467"/>
      <c r="G179" s="475"/>
      <c r="H179" s="467"/>
      <c r="I179" s="467"/>
      <c r="J179" s="467"/>
      <c r="K179" s="467"/>
      <c r="L179" s="467"/>
      <c r="M179" s="467"/>
      <c r="N179" s="467"/>
      <c r="O179" s="467"/>
      <c r="P179" s="467"/>
      <c r="Q179" s="467"/>
    </row>
    <row r="180" ht="15.0" customHeight="1">
      <c r="A180" s="463"/>
      <c r="B180" s="464"/>
      <c r="C180" s="476"/>
      <c r="D180" s="464"/>
      <c r="E180" s="467"/>
      <c r="F180" s="464"/>
      <c r="G180" s="475"/>
      <c r="H180" s="467"/>
      <c r="I180" s="467"/>
      <c r="J180" s="467"/>
      <c r="K180" s="467"/>
      <c r="L180" s="467"/>
      <c r="M180" s="467"/>
      <c r="N180" s="467"/>
      <c r="O180" s="467"/>
      <c r="P180" s="467"/>
      <c r="Q180" s="467"/>
    </row>
    <row r="181" ht="15.0" customHeight="1">
      <c r="A181" s="463"/>
      <c r="B181" s="464"/>
      <c r="C181" s="476"/>
      <c r="D181" s="464"/>
      <c r="E181" s="467"/>
      <c r="F181" s="464"/>
      <c r="G181" s="475"/>
      <c r="H181" s="467"/>
      <c r="I181" s="467"/>
      <c r="J181" s="467"/>
      <c r="K181" s="467"/>
      <c r="L181" s="467"/>
      <c r="M181" s="467"/>
      <c r="N181" s="467"/>
      <c r="O181" s="467"/>
      <c r="P181" s="467"/>
      <c r="Q181" s="467"/>
    </row>
    <row r="182" ht="15.0" customHeight="1">
      <c r="A182" s="463"/>
      <c r="B182" s="464"/>
      <c r="C182" s="476"/>
      <c r="D182" s="464"/>
      <c r="E182" s="467"/>
      <c r="F182" s="464"/>
      <c r="G182" s="475"/>
      <c r="H182" s="467"/>
      <c r="I182" s="467"/>
      <c r="J182" s="467"/>
      <c r="K182" s="467"/>
      <c r="L182" s="467"/>
      <c r="M182" s="467"/>
      <c r="N182" s="467"/>
      <c r="O182" s="467"/>
      <c r="P182" s="467"/>
      <c r="Q182" s="467"/>
    </row>
    <row r="183" ht="15.0" customHeight="1">
      <c r="A183" s="463"/>
      <c r="B183" s="467"/>
      <c r="C183" s="476"/>
      <c r="D183" s="464"/>
      <c r="E183" s="464"/>
      <c r="F183" s="464"/>
      <c r="G183" s="463"/>
      <c r="H183" s="1426"/>
      <c r="I183" s="464"/>
      <c r="J183" s="464"/>
      <c r="K183" s="467"/>
      <c r="L183" s="467"/>
      <c r="M183" s="467"/>
      <c r="N183" s="467"/>
      <c r="O183" s="464"/>
      <c r="P183" s="464"/>
      <c r="Q183" s="464"/>
    </row>
    <row r="184">
      <c r="A184" s="455"/>
      <c r="B184" s="456"/>
      <c r="C184" s="461"/>
      <c r="D184" s="458"/>
      <c r="E184" s="458"/>
      <c r="F184" s="458"/>
      <c r="G184" s="459"/>
      <c r="H184" s="458"/>
      <c r="I184" s="458"/>
      <c r="J184" s="458"/>
      <c r="K184" s="458"/>
      <c r="L184" s="458"/>
      <c r="M184" s="458"/>
      <c r="N184" s="458"/>
      <c r="O184" s="458"/>
      <c r="P184" s="458"/>
      <c r="Q184" s="458"/>
    </row>
    <row r="185" ht="15.0" customHeight="1">
      <c r="A185" s="463"/>
      <c r="B185" s="464"/>
      <c r="C185" s="487"/>
      <c r="D185" s="464"/>
      <c r="E185" s="467"/>
      <c r="F185" s="464"/>
      <c r="G185" s="475"/>
      <c r="H185" s="467"/>
      <c r="I185" s="467"/>
      <c r="J185" s="467"/>
      <c r="K185" s="467"/>
      <c r="L185" s="467"/>
      <c r="M185" s="467"/>
      <c r="N185" s="467"/>
      <c r="O185" s="467"/>
      <c r="P185" s="467"/>
      <c r="Q185" s="467"/>
    </row>
    <row r="186" ht="15.0" customHeight="1">
      <c r="A186" s="463"/>
      <c r="B186" s="464"/>
      <c r="C186" s="487"/>
      <c r="D186" s="464"/>
      <c r="E186" s="467"/>
      <c r="F186" s="464"/>
      <c r="G186" s="475"/>
      <c r="H186" s="467"/>
      <c r="I186" s="467"/>
      <c r="J186" s="467"/>
      <c r="K186" s="467"/>
      <c r="L186" s="467"/>
      <c r="M186" s="467"/>
      <c r="N186" s="467"/>
      <c r="O186" s="467"/>
      <c r="P186" s="467"/>
      <c r="Q186" s="467"/>
    </row>
    <row r="187" ht="15.0" customHeight="1">
      <c r="A187" s="463"/>
      <c r="B187" s="464"/>
      <c r="C187" s="487"/>
      <c r="D187" s="464"/>
      <c r="E187" s="467"/>
      <c r="F187" s="464"/>
      <c r="G187" s="475"/>
      <c r="H187" s="467"/>
      <c r="I187" s="467"/>
      <c r="J187" s="467"/>
      <c r="K187" s="467"/>
      <c r="L187" s="467"/>
      <c r="M187" s="467"/>
      <c r="N187" s="467"/>
      <c r="O187" s="467"/>
      <c r="P187" s="467"/>
      <c r="Q187" s="467"/>
    </row>
    <row r="188" ht="15.0" customHeight="1">
      <c r="A188" s="463"/>
      <c r="B188" s="464"/>
      <c r="C188" s="487"/>
      <c r="D188" s="464"/>
      <c r="E188" s="467"/>
      <c r="F188" s="464"/>
      <c r="G188" s="475"/>
      <c r="H188" s="467"/>
      <c r="I188" s="467"/>
      <c r="J188" s="467"/>
      <c r="K188" s="467"/>
      <c r="L188" s="467"/>
      <c r="M188" s="467"/>
      <c r="N188" s="467"/>
      <c r="O188" s="467"/>
      <c r="P188" s="467"/>
      <c r="Q188" s="467"/>
    </row>
    <row r="189" ht="15.0" customHeight="1">
      <c r="A189" s="463"/>
      <c r="B189" s="464"/>
      <c r="C189" s="487"/>
      <c r="D189" s="464"/>
      <c r="E189" s="467"/>
      <c r="F189" s="464"/>
      <c r="G189" s="475"/>
      <c r="H189" s="467"/>
      <c r="I189" s="467"/>
      <c r="J189" s="467"/>
      <c r="K189" s="467"/>
      <c r="L189" s="467"/>
      <c r="M189" s="467"/>
      <c r="N189" s="467"/>
      <c r="O189" s="467"/>
      <c r="P189" s="467"/>
      <c r="Q189" s="467"/>
    </row>
    <row r="190" ht="15.0" customHeight="1">
      <c r="A190" s="463"/>
      <c r="B190" s="464"/>
      <c r="C190" s="487"/>
      <c r="D190" s="464"/>
      <c r="E190" s="467"/>
      <c r="F190" s="467"/>
      <c r="G190" s="475"/>
      <c r="H190" s="467"/>
      <c r="I190" s="467"/>
      <c r="J190" s="467"/>
      <c r="K190" s="467"/>
      <c r="L190" s="467"/>
      <c r="M190" s="467"/>
      <c r="N190" s="467"/>
      <c r="O190" s="467"/>
      <c r="P190" s="467"/>
      <c r="Q190" s="467"/>
    </row>
    <row r="191" ht="15.0" customHeight="1">
      <c r="A191" s="463"/>
      <c r="B191" s="464"/>
      <c r="C191" s="487"/>
      <c r="D191" s="464"/>
      <c r="E191" s="467"/>
      <c r="F191" s="464"/>
      <c r="G191" s="475"/>
      <c r="H191" s="467"/>
      <c r="I191" s="467"/>
      <c r="J191" s="467"/>
      <c r="K191" s="467"/>
      <c r="L191" s="467"/>
      <c r="M191" s="467"/>
      <c r="N191" s="467"/>
      <c r="O191" s="467"/>
      <c r="P191" s="467"/>
      <c r="Q191" s="467"/>
    </row>
    <row r="192" ht="15.0" customHeight="1">
      <c r="A192" s="463"/>
      <c r="B192" s="464"/>
      <c r="C192" s="465"/>
      <c r="D192" s="464"/>
      <c r="E192" s="467"/>
      <c r="F192" s="467"/>
      <c r="G192" s="475"/>
      <c r="H192" s="467"/>
      <c r="I192" s="467"/>
      <c r="J192" s="467"/>
      <c r="K192" s="467"/>
      <c r="L192" s="467"/>
      <c r="M192" s="467"/>
      <c r="N192" s="467"/>
      <c r="O192" s="467"/>
      <c r="P192" s="467"/>
      <c r="Q192" s="464"/>
    </row>
    <row r="193" ht="15.0" customHeight="1">
      <c r="A193" s="463"/>
      <c r="B193" s="464"/>
      <c r="C193" s="465"/>
      <c r="D193" s="464"/>
      <c r="E193" s="467"/>
      <c r="F193" s="467"/>
      <c r="G193" s="475"/>
      <c r="H193" s="467"/>
      <c r="I193" s="467"/>
      <c r="J193" s="467"/>
      <c r="K193" s="467"/>
      <c r="L193" s="467"/>
      <c r="M193" s="467"/>
      <c r="N193" s="467"/>
      <c r="O193" s="467"/>
      <c r="P193" s="467"/>
      <c r="Q193" s="464"/>
    </row>
    <row r="194" ht="15.0" customHeight="1">
      <c r="A194" s="463"/>
      <c r="B194" s="464"/>
      <c r="C194" s="465"/>
      <c r="D194" s="464"/>
      <c r="E194" s="467"/>
      <c r="F194" s="464"/>
      <c r="G194" s="475"/>
      <c r="H194" s="467"/>
      <c r="I194" s="467"/>
      <c r="J194" s="467"/>
      <c r="K194" s="464"/>
      <c r="L194" s="464"/>
      <c r="M194" s="464"/>
      <c r="N194" s="467"/>
      <c r="O194" s="467"/>
      <c r="P194" s="467"/>
      <c r="Q194" s="464"/>
    </row>
    <row r="195">
      <c r="A195" s="455"/>
      <c r="B195" s="456"/>
      <c r="C195" s="461"/>
      <c r="D195" s="458"/>
      <c r="E195" s="458"/>
      <c r="F195" s="458"/>
      <c r="G195" s="459"/>
      <c r="H195" s="458"/>
      <c r="I195" s="458"/>
      <c r="J195" s="458"/>
      <c r="K195" s="458"/>
      <c r="L195" s="458"/>
      <c r="M195" s="458"/>
      <c r="N195" s="458"/>
      <c r="O195" s="458"/>
      <c r="P195" s="458"/>
      <c r="Q195" s="458"/>
    </row>
    <row r="196">
      <c r="A196" s="576"/>
      <c r="B196" s="577"/>
      <c r="C196" s="581"/>
      <c r="D196" s="579"/>
      <c r="E196" s="579"/>
      <c r="F196" s="579"/>
      <c r="G196" s="580"/>
      <c r="H196" s="579"/>
      <c r="I196" s="579"/>
      <c r="J196" s="579"/>
      <c r="K196" s="579"/>
      <c r="L196" s="579"/>
      <c r="M196" s="579"/>
      <c r="N196" s="579"/>
      <c r="O196" s="579"/>
      <c r="P196" s="579"/>
      <c r="Q196" s="579"/>
    </row>
    <row r="197" ht="15.0" customHeight="1">
      <c r="A197" s="463"/>
      <c r="B197" s="464"/>
      <c r="C197" s="465"/>
      <c r="D197" s="464"/>
      <c r="E197" s="467"/>
      <c r="F197" s="464"/>
      <c r="G197" s="463"/>
      <c r="H197" s="467"/>
      <c r="I197" s="467"/>
      <c r="J197" s="467"/>
      <c r="K197" s="467"/>
      <c r="L197" s="467"/>
      <c r="M197" s="467"/>
      <c r="N197" s="467"/>
      <c r="O197" s="467"/>
      <c r="P197" s="467"/>
      <c r="Q197" s="476"/>
    </row>
    <row r="198" ht="15.0" customHeight="1">
      <c r="A198" s="463"/>
      <c r="B198" s="464"/>
      <c r="C198" s="465"/>
      <c r="D198" s="464"/>
      <c r="E198" s="467"/>
      <c r="F198" s="464"/>
      <c r="G198" s="463"/>
      <c r="H198" s="467"/>
      <c r="I198" s="467"/>
      <c r="J198" s="467"/>
      <c r="K198" s="467"/>
      <c r="L198" s="467"/>
      <c r="M198" s="467"/>
      <c r="N198" s="467"/>
      <c r="O198" s="467"/>
      <c r="P198" s="467"/>
      <c r="Q198" s="476"/>
    </row>
    <row r="199" ht="15.0" customHeight="1">
      <c r="A199" s="463"/>
      <c r="B199" s="464"/>
      <c r="C199" s="465"/>
      <c r="D199" s="464"/>
      <c r="E199" s="467"/>
      <c r="F199" s="464"/>
      <c r="G199" s="463"/>
      <c r="H199" s="467"/>
      <c r="I199" s="467"/>
      <c r="J199" s="467"/>
      <c r="K199" s="467"/>
      <c r="L199" s="467"/>
      <c r="M199" s="467"/>
      <c r="N199" s="467"/>
      <c r="O199" s="467"/>
      <c r="P199" s="467"/>
      <c r="Q199" s="476"/>
    </row>
    <row r="200" ht="15.0" customHeight="1">
      <c r="A200" s="463"/>
      <c r="B200" s="464"/>
      <c r="C200" s="465"/>
      <c r="D200" s="464"/>
      <c r="E200" s="467"/>
      <c r="F200" s="464"/>
      <c r="G200" s="463"/>
      <c r="H200" s="467"/>
      <c r="I200" s="467"/>
      <c r="J200" s="467"/>
      <c r="K200" s="467"/>
      <c r="L200" s="467"/>
      <c r="M200" s="467"/>
      <c r="N200" s="467"/>
      <c r="O200" s="467"/>
      <c r="P200" s="467"/>
      <c r="Q200" s="476"/>
    </row>
    <row r="201" ht="15.0" customHeight="1">
      <c r="A201" s="463"/>
      <c r="B201" s="464"/>
      <c r="C201" s="476"/>
      <c r="D201" s="464"/>
      <c r="E201" s="467"/>
      <c r="F201" s="464"/>
      <c r="G201" s="463"/>
      <c r="H201" s="467"/>
      <c r="I201" s="467"/>
      <c r="J201" s="467"/>
      <c r="K201" s="467"/>
      <c r="L201" s="467"/>
      <c r="M201" s="467"/>
      <c r="N201" s="467"/>
      <c r="O201" s="467"/>
      <c r="P201" s="467"/>
      <c r="Q201" s="476"/>
    </row>
    <row r="202" ht="15.0" customHeight="1">
      <c r="A202" s="463"/>
      <c r="B202" s="464"/>
      <c r="C202" s="476"/>
      <c r="D202" s="464"/>
      <c r="E202" s="467"/>
      <c r="F202" s="464"/>
      <c r="G202" s="463"/>
      <c r="H202" s="467"/>
      <c r="I202" s="467"/>
      <c r="J202" s="467"/>
      <c r="K202" s="467"/>
      <c r="L202" s="467"/>
      <c r="M202" s="467"/>
      <c r="N202" s="467"/>
      <c r="O202" s="467"/>
      <c r="P202" s="467"/>
      <c r="Q202" s="476"/>
    </row>
    <row r="203" ht="15.0" customHeight="1">
      <c r="A203" s="463"/>
      <c r="B203" s="464"/>
      <c r="C203" s="465"/>
      <c r="D203" s="464"/>
      <c r="E203" s="467"/>
      <c r="F203" s="464"/>
      <c r="G203" s="463"/>
      <c r="H203" s="467"/>
      <c r="I203" s="467"/>
      <c r="J203" s="467"/>
      <c r="K203" s="467"/>
      <c r="L203" s="467"/>
      <c r="M203" s="467"/>
      <c r="N203" s="467"/>
      <c r="O203" s="467"/>
      <c r="P203" s="467"/>
      <c r="Q203" s="476"/>
    </row>
    <row r="204" ht="15.0" customHeight="1">
      <c r="A204" s="463"/>
      <c r="B204" s="464"/>
      <c r="C204" s="465"/>
      <c r="D204" s="464"/>
      <c r="E204" s="467"/>
      <c r="F204" s="464"/>
      <c r="G204" s="463"/>
      <c r="H204" s="467"/>
      <c r="I204" s="467"/>
      <c r="J204" s="467"/>
      <c r="K204" s="467"/>
      <c r="L204" s="467"/>
      <c r="M204" s="467"/>
      <c r="N204" s="467"/>
      <c r="O204" s="467"/>
      <c r="P204" s="467"/>
      <c r="Q204" s="476"/>
    </row>
    <row r="205" ht="15.0" customHeight="1">
      <c r="A205" s="463"/>
      <c r="B205" s="464"/>
      <c r="C205" s="476"/>
      <c r="D205" s="464"/>
      <c r="E205" s="467"/>
      <c r="F205" s="464"/>
      <c r="G205" s="463"/>
      <c r="H205" s="467"/>
      <c r="I205" s="467"/>
      <c r="J205" s="467"/>
      <c r="K205" s="467"/>
      <c r="L205" s="467"/>
      <c r="M205" s="467"/>
      <c r="N205" s="467"/>
      <c r="O205" s="467"/>
      <c r="P205" s="467"/>
      <c r="Q205" s="476"/>
    </row>
    <row r="206" ht="15.0" customHeight="1">
      <c r="A206" s="463"/>
      <c r="B206" s="464"/>
      <c r="C206" s="476"/>
      <c r="D206" s="464"/>
      <c r="E206" s="467"/>
      <c r="F206" s="464"/>
      <c r="G206" s="463"/>
      <c r="H206" s="467"/>
      <c r="I206" s="467"/>
      <c r="J206" s="467"/>
      <c r="K206" s="467"/>
      <c r="L206" s="467"/>
      <c r="M206" s="467"/>
      <c r="N206" s="467"/>
      <c r="O206" s="467"/>
      <c r="P206" s="467"/>
      <c r="Q206" s="476"/>
    </row>
    <row r="207" ht="15.0" customHeight="1">
      <c r="A207" s="463"/>
      <c r="B207" s="464"/>
      <c r="C207" s="465"/>
      <c r="D207" s="464"/>
      <c r="E207" s="464"/>
      <c r="F207" s="467"/>
      <c r="G207" s="463"/>
      <c r="H207" s="467"/>
      <c r="I207" s="467"/>
      <c r="J207" s="467"/>
      <c r="K207" s="467"/>
      <c r="L207" s="467"/>
      <c r="M207" s="467"/>
      <c r="N207" s="467"/>
      <c r="O207" s="467"/>
      <c r="P207" s="467"/>
      <c r="Q207" s="476"/>
    </row>
    <row r="208" ht="15.0" customHeight="1">
      <c r="A208" s="463"/>
      <c r="B208" s="464"/>
      <c r="C208" s="465"/>
      <c r="D208" s="464"/>
      <c r="E208" s="464"/>
      <c r="F208" s="467"/>
      <c r="G208" s="463"/>
      <c r="H208" s="467"/>
      <c r="I208" s="467"/>
      <c r="J208" s="467"/>
      <c r="K208" s="467"/>
      <c r="L208" s="467"/>
      <c r="M208" s="467"/>
      <c r="N208" s="467"/>
      <c r="O208" s="467"/>
      <c r="P208" s="467"/>
      <c r="Q208" s="476"/>
    </row>
    <row r="209" ht="15.0" customHeight="1">
      <c r="A209" s="463"/>
      <c r="B209" s="464"/>
      <c r="C209" s="465"/>
      <c r="D209" s="464"/>
      <c r="E209" s="467"/>
      <c r="F209" s="464"/>
      <c r="G209" s="463"/>
      <c r="H209" s="467"/>
      <c r="I209" s="467"/>
      <c r="J209" s="467"/>
      <c r="K209" s="467"/>
      <c r="L209" s="467"/>
      <c r="M209" s="467"/>
      <c r="N209" s="467"/>
      <c r="O209" s="467"/>
      <c r="P209" s="467"/>
      <c r="Q209" s="476"/>
    </row>
    <row r="210" ht="15.0" customHeight="1">
      <c r="A210" s="463"/>
      <c r="B210" s="464"/>
      <c r="C210" s="465"/>
      <c r="D210" s="464"/>
      <c r="E210" s="467"/>
      <c r="F210" s="464"/>
      <c r="G210" s="463"/>
      <c r="H210" s="467"/>
      <c r="I210" s="467"/>
      <c r="J210" s="467"/>
      <c r="K210" s="467"/>
      <c r="L210" s="467"/>
      <c r="M210" s="467"/>
      <c r="N210" s="467"/>
      <c r="O210" s="467"/>
      <c r="P210" s="467"/>
      <c r="Q210" s="476"/>
    </row>
    <row r="211" ht="15.0" customHeight="1">
      <c r="A211" s="463"/>
      <c r="B211" s="464"/>
      <c r="C211" s="465"/>
      <c r="D211" s="464"/>
      <c r="E211" s="467"/>
      <c r="F211" s="464"/>
      <c r="G211" s="463"/>
      <c r="H211" s="467"/>
      <c r="I211" s="467"/>
      <c r="J211" s="467"/>
      <c r="K211" s="467"/>
      <c r="L211" s="467"/>
      <c r="M211" s="467"/>
      <c r="N211" s="467"/>
      <c r="O211" s="467"/>
      <c r="P211" s="467"/>
      <c r="Q211" s="476"/>
    </row>
    <row r="212" ht="15.0" customHeight="1">
      <c r="A212" s="463"/>
      <c r="B212" s="464"/>
      <c r="C212" s="465"/>
      <c r="D212" s="464"/>
      <c r="E212" s="467"/>
      <c r="F212" s="464"/>
      <c r="G212" s="463"/>
      <c r="H212" s="467"/>
      <c r="I212" s="467"/>
      <c r="J212" s="467"/>
      <c r="K212" s="467"/>
      <c r="L212" s="467"/>
      <c r="M212" s="467"/>
      <c r="N212" s="467"/>
      <c r="O212" s="467"/>
      <c r="P212" s="467"/>
      <c r="Q212" s="476"/>
    </row>
    <row r="213" ht="15.0" customHeight="1">
      <c r="A213" s="463"/>
      <c r="B213" s="464"/>
      <c r="C213" s="465"/>
      <c r="D213" s="464"/>
      <c r="E213" s="467"/>
      <c r="F213" s="464"/>
      <c r="G213" s="463"/>
      <c r="H213" s="467"/>
      <c r="I213" s="467"/>
      <c r="J213" s="467"/>
      <c r="K213" s="467"/>
      <c r="L213" s="467"/>
      <c r="M213" s="467"/>
      <c r="N213" s="467"/>
      <c r="O213" s="467"/>
      <c r="P213" s="467"/>
      <c r="Q213" s="476"/>
    </row>
    <row r="214" ht="15.0" customHeight="1">
      <c r="A214" s="463"/>
      <c r="B214" s="584"/>
      <c r="C214" s="467"/>
      <c r="D214" s="464"/>
      <c r="E214" s="467"/>
      <c r="F214" s="464"/>
      <c r="G214" s="463"/>
      <c r="H214" s="467"/>
      <c r="I214" s="467"/>
      <c r="J214" s="467"/>
      <c r="K214" s="467"/>
      <c r="L214" s="467"/>
      <c r="M214" s="467"/>
      <c r="N214" s="467"/>
      <c r="O214" s="467"/>
      <c r="P214" s="467"/>
      <c r="Q214" s="476"/>
    </row>
    <row r="215" ht="15.0" customHeight="1">
      <c r="A215" s="463"/>
      <c r="B215" s="584"/>
      <c r="C215" s="467"/>
      <c r="D215" s="464"/>
      <c r="E215" s="467"/>
      <c r="F215" s="464"/>
      <c r="G215" s="463"/>
      <c r="H215" s="467"/>
      <c r="I215" s="467"/>
      <c r="J215" s="467"/>
      <c r="K215" s="467"/>
      <c r="L215" s="467"/>
      <c r="M215" s="467"/>
      <c r="N215" s="467"/>
      <c r="O215" s="467"/>
      <c r="P215" s="467"/>
      <c r="Q215" s="476"/>
    </row>
    <row r="216" ht="15.0" customHeight="1">
      <c r="A216" s="463"/>
      <c r="B216" s="584"/>
      <c r="C216" s="467"/>
      <c r="D216" s="464"/>
      <c r="E216" s="467"/>
      <c r="F216" s="464"/>
      <c r="G216" s="463"/>
      <c r="H216" s="467"/>
      <c r="I216" s="467"/>
      <c r="J216" s="467"/>
      <c r="K216" s="475"/>
      <c r="L216" s="475"/>
      <c r="M216" s="467"/>
      <c r="N216" s="467"/>
      <c r="O216" s="467"/>
      <c r="P216" s="467"/>
      <c r="Q216" s="476"/>
    </row>
    <row r="217" ht="15.0" customHeight="1">
      <c r="A217" s="463"/>
      <c r="B217" s="584"/>
      <c r="C217" s="467"/>
      <c r="D217" s="464"/>
      <c r="E217" s="467"/>
      <c r="F217" s="464"/>
      <c r="G217" s="463"/>
      <c r="H217" s="467"/>
      <c r="I217" s="467"/>
      <c r="J217" s="467"/>
      <c r="K217" s="475"/>
      <c r="L217" s="475"/>
      <c r="M217" s="467"/>
      <c r="N217" s="467"/>
      <c r="O217" s="467"/>
      <c r="P217" s="467"/>
      <c r="Q217" s="476"/>
    </row>
    <row r="218" ht="15.0" customHeight="1">
      <c r="A218" s="463"/>
      <c r="B218" s="584"/>
      <c r="C218" s="467"/>
      <c r="D218" s="464"/>
      <c r="E218" s="467"/>
      <c r="F218" s="464"/>
      <c r="G218" s="463"/>
      <c r="H218" s="467"/>
      <c r="I218" s="467"/>
      <c r="J218" s="467"/>
      <c r="K218" s="475"/>
      <c r="L218" s="475"/>
      <c r="M218" s="467"/>
      <c r="N218" s="467"/>
      <c r="O218" s="467"/>
      <c r="P218" s="467"/>
      <c r="Q218" s="476"/>
    </row>
    <row r="219" ht="15.0" customHeight="1">
      <c r="A219" s="463"/>
      <c r="B219" s="584"/>
      <c r="C219" s="467"/>
      <c r="D219" s="464"/>
      <c r="E219" s="467"/>
      <c r="F219" s="464"/>
      <c r="G219" s="463"/>
      <c r="H219" s="467"/>
      <c r="I219" s="467"/>
      <c r="J219" s="467"/>
      <c r="K219" s="475"/>
      <c r="L219" s="475"/>
      <c r="M219" s="467"/>
      <c r="N219" s="467"/>
      <c r="O219" s="467"/>
      <c r="P219" s="467"/>
      <c r="Q219" s="476"/>
    </row>
    <row r="220" ht="15.0" customHeight="1">
      <c r="A220" s="463"/>
      <c r="B220" s="584"/>
      <c r="C220" s="467"/>
      <c r="D220" s="464"/>
      <c r="E220" s="467"/>
      <c r="F220" s="464"/>
      <c r="G220" s="463"/>
      <c r="H220" s="467"/>
      <c r="I220" s="467"/>
      <c r="J220" s="467"/>
      <c r="K220" s="475"/>
      <c r="L220" s="475"/>
      <c r="M220" s="467"/>
      <c r="N220" s="467"/>
      <c r="O220" s="467"/>
      <c r="P220" s="467"/>
      <c r="Q220" s="476"/>
    </row>
    <row r="221" ht="15.0" customHeight="1">
      <c r="A221" s="463"/>
      <c r="B221" s="584"/>
      <c r="C221" s="467"/>
      <c r="D221" s="464"/>
      <c r="E221" s="467"/>
      <c r="F221" s="464"/>
      <c r="G221" s="463"/>
      <c r="H221" s="467"/>
      <c r="I221" s="467"/>
      <c r="J221" s="467"/>
      <c r="K221" s="475"/>
      <c r="L221" s="475"/>
      <c r="M221" s="467"/>
      <c r="N221" s="467"/>
      <c r="O221" s="467"/>
      <c r="P221" s="467"/>
      <c r="Q221" s="476"/>
    </row>
    <row r="222" ht="15.0" customHeight="1">
      <c r="A222" s="463"/>
      <c r="B222" s="584"/>
      <c r="D222" s="464"/>
      <c r="E222" s="464"/>
      <c r="F222" s="464"/>
      <c r="G222" s="463"/>
      <c r="H222" s="464"/>
      <c r="I222" s="499"/>
      <c r="J222" s="464"/>
      <c r="K222" s="475"/>
      <c r="L222" s="475"/>
      <c r="M222" s="464"/>
      <c r="N222" s="464"/>
      <c r="O222" s="464"/>
      <c r="P222" s="464"/>
      <c r="Q222" s="476"/>
    </row>
    <row r="223" ht="15.0" customHeight="1">
      <c r="A223" s="463"/>
      <c r="B223" s="464"/>
      <c r="C223" s="464"/>
      <c r="D223" s="464"/>
      <c r="E223" s="467"/>
      <c r="F223" s="464"/>
      <c r="G223" s="463"/>
      <c r="H223" s="464"/>
      <c r="I223" s="464"/>
      <c r="J223" s="464"/>
      <c r="K223" s="463"/>
      <c r="L223" s="463"/>
      <c r="M223" s="467"/>
      <c r="N223" s="467"/>
      <c r="O223" s="467"/>
      <c r="P223" s="467"/>
      <c r="Q223" s="476"/>
    </row>
    <row r="224">
      <c r="A224" s="576"/>
      <c r="B224" s="577"/>
      <c r="C224" s="581"/>
      <c r="D224" s="579"/>
      <c r="E224" s="579"/>
      <c r="F224" s="579"/>
      <c r="G224" s="580"/>
      <c r="H224" s="579"/>
      <c r="I224" s="579"/>
      <c r="J224" s="579"/>
      <c r="K224" s="579"/>
      <c r="L224" s="579"/>
      <c r="M224" s="579"/>
      <c r="N224" s="579"/>
      <c r="O224" s="579"/>
      <c r="P224" s="579"/>
      <c r="Q224" s="579"/>
    </row>
    <row r="225" ht="15.0" customHeight="1">
      <c r="A225" s="463"/>
      <c r="B225" s="464"/>
      <c r="C225" s="464"/>
      <c r="D225" s="464"/>
      <c r="E225" s="467"/>
      <c r="F225" s="464"/>
      <c r="G225" s="463"/>
      <c r="H225" s="466"/>
      <c r="I225" s="464"/>
      <c r="J225" s="464"/>
      <c r="K225" s="463"/>
      <c r="L225" s="463"/>
      <c r="M225" s="467"/>
      <c r="N225" s="467"/>
      <c r="O225" s="467"/>
      <c r="P225" s="464"/>
      <c r="Q225" s="476"/>
    </row>
    <row r="226" ht="15.0" customHeight="1">
      <c r="A226" s="463"/>
      <c r="B226" s="464"/>
      <c r="C226" s="464"/>
      <c r="D226" s="464"/>
      <c r="E226" s="467"/>
      <c r="F226" s="464"/>
      <c r="G226" s="463"/>
      <c r="H226" s="466"/>
      <c r="I226" s="464"/>
      <c r="J226" s="464"/>
      <c r="K226" s="463"/>
      <c r="L226" s="463"/>
      <c r="M226" s="467"/>
      <c r="N226" s="467"/>
      <c r="O226" s="467"/>
      <c r="P226" s="464"/>
      <c r="Q226" s="476"/>
    </row>
    <row r="227" ht="15.0" customHeight="1">
      <c r="A227" s="463"/>
      <c r="B227" s="464"/>
      <c r="C227" s="464"/>
      <c r="D227" s="464"/>
      <c r="E227" s="467"/>
      <c r="F227" s="464"/>
      <c r="G227" s="463"/>
      <c r="H227" s="466"/>
      <c r="I227" s="464"/>
      <c r="J227" s="464"/>
      <c r="K227" s="463"/>
      <c r="L227" s="463"/>
      <c r="M227" s="467"/>
      <c r="N227" s="467"/>
      <c r="O227" s="467"/>
      <c r="P227" s="467"/>
      <c r="Q227" s="476"/>
    </row>
    <row r="228" ht="15.0" customHeight="1">
      <c r="A228" s="463"/>
      <c r="B228" s="464"/>
      <c r="C228" s="464"/>
      <c r="D228" s="464"/>
      <c r="E228" s="467"/>
      <c r="F228" s="464"/>
      <c r="G228" s="463"/>
      <c r="H228" s="466"/>
      <c r="I228" s="464"/>
      <c r="J228" s="464"/>
      <c r="K228" s="463"/>
      <c r="L228" s="463"/>
      <c r="M228" s="467"/>
      <c r="N228" s="467"/>
      <c r="O228" s="467"/>
      <c r="P228" s="467"/>
      <c r="Q228" s="476"/>
    </row>
    <row r="229" ht="15.0" customHeight="1">
      <c r="A229" s="463"/>
      <c r="B229" s="464"/>
      <c r="C229" s="464"/>
      <c r="D229" s="464"/>
      <c r="E229" s="467"/>
      <c r="F229" s="464"/>
      <c r="G229" s="463"/>
      <c r="H229" s="464"/>
      <c r="I229" s="464"/>
      <c r="J229" s="464"/>
      <c r="K229" s="463"/>
      <c r="L229" s="463"/>
      <c r="M229" s="467"/>
      <c r="N229" s="467"/>
      <c r="O229" s="467"/>
      <c r="P229" s="467"/>
      <c r="Q229" s="476"/>
    </row>
    <row r="230" ht="15.0" customHeight="1">
      <c r="A230" s="463"/>
      <c r="B230" s="464"/>
      <c r="C230" s="464"/>
      <c r="D230" s="464"/>
      <c r="E230" s="467"/>
      <c r="F230" s="464"/>
      <c r="G230" s="463"/>
      <c r="H230" s="464"/>
      <c r="I230" s="464"/>
      <c r="J230" s="464"/>
      <c r="K230" s="463"/>
      <c r="L230" s="463"/>
      <c r="M230" s="467"/>
      <c r="N230" s="467"/>
      <c r="O230" s="467"/>
      <c r="P230" s="467"/>
      <c r="Q230" s="476"/>
    </row>
    <row r="231" ht="15.0" customHeight="1">
      <c r="A231" s="463"/>
      <c r="B231" s="464"/>
      <c r="C231" s="464"/>
      <c r="D231" s="467"/>
      <c r="E231" s="467"/>
      <c r="F231" s="464"/>
      <c r="G231" s="463"/>
      <c r="H231" s="464"/>
      <c r="I231" s="464"/>
      <c r="J231" s="464"/>
      <c r="K231" s="463"/>
      <c r="L231" s="463"/>
      <c r="M231" s="467"/>
      <c r="N231" s="467"/>
      <c r="O231" s="467"/>
      <c r="P231" s="467"/>
      <c r="Q231" s="476"/>
    </row>
    <row r="232">
      <c r="A232" s="447"/>
      <c r="B232" s="448"/>
      <c r="C232" s="589"/>
      <c r="D232" s="589"/>
      <c r="E232" s="589"/>
      <c r="F232" s="589"/>
      <c r="G232" s="589"/>
      <c r="H232" s="589"/>
      <c r="I232" s="589"/>
      <c r="J232" s="589"/>
      <c r="K232" s="589"/>
      <c r="L232" s="589"/>
      <c r="M232" s="589"/>
      <c r="N232" s="589"/>
      <c r="O232" s="589"/>
      <c r="P232" s="589"/>
      <c r="Q232" s="589"/>
    </row>
    <row r="233" ht="15.0" hidden="1" customHeight="1">
      <c r="A233" s="475">
        <v>24.0</v>
      </c>
      <c r="B233" s="464" t="s">
        <v>3246</v>
      </c>
      <c r="C233" s="476" t="s">
        <v>3474</v>
      </c>
      <c r="D233" s="467"/>
      <c r="E233" s="467"/>
      <c r="F233" s="464" t="s">
        <v>8536</v>
      </c>
      <c r="G233" s="475" t="s">
        <v>59</v>
      </c>
      <c r="H233" s="467"/>
      <c r="I233" s="467"/>
      <c r="J233" s="467"/>
      <c r="K233" s="467"/>
      <c r="L233" s="467"/>
      <c r="M233" s="467"/>
      <c r="N233" s="467"/>
      <c r="O233" s="467"/>
      <c r="P233" s="467"/>
      <c r="Q233" s="467"/>
    </row>
    <row r="234" ht="15.0" customHeight="1">
      <c r="A234" s="463"/>
      <c r="B234" s="468"/>
      <c r="C234" s="476"/>
      <c r="D234" s="464"/>
      <c r="E234" s="464"/>
      <c r="F234" s="467"/>
      <c r="G234" s="475"/>
      <c r="H234" s="1426"/>
      <c r="I234" s="499"/>
      <c r="J234" s="467"/>
      <c r="K234" s="467"/>
      <c r="L234" s="467"/>
      <c r="M234" s="467"/>
      <c r="N234" s="467"/>
      <c r="O234" s="467"/>
      <c r="P234" s="467"/>
      <c r="Q234" s="467"/>
    </row>
    <row r="235" ht="15.0" customHeight="1">
      <c r="A235" s="463"/>
      <c r="B235" s="468"/>
      <c r="C235" s="476"/>
      <c r="D235" s="464"/>
      <c r="E235" s="464"/>
      <c r="F235" s="467"/>
      <c r="G235" s="475"/>
      <c r="H235" s="1426"/>
      <c r="I235" s="499"/>
      <c r="J235" s="467"/>
      <c r="K235" s="467"/>
      <c r="L235" s="467"/>
      <c r="M235" s="467"/>
      <c r="N235" s="467"/>
      <c r="O235" s="467"/>
      <c r="P235" s="467"/>
      <c r="Q235" s="467"/>
    </row>
    <row r="236" ht="15.0" customHeight="1">
      <c r="A236" s="463"/>
      <c r="B236" s="471"/>
      <c r="C236" s="476"/>
      <c r="D236" s="464"/>
      <c r="E236" s="464"/>
      <c r="F236" s="467"/>
      <c r="G236" s="475"/>
      <c r="H236" s="1426"/>
      <c r="I236" s="499"/>
      <c r="J236" s="467"/>
      <c r="K236" s="467"/>
      <c r="L236" s="467"/>
      <c r="M236" s="467"/>
      <c r="N236" s="467"/>
      <c r="O236" s="467"/>
      <c r="P236" s="467"/>
      <c r="Q236" s="467"/>
    </row>
    <row r="237" ht="15.0" customHeight="1">
      <c r="A237" s="463"/>
      <c r="B237" s="468"/>
      <c r="C237" s="476"/>
      <c r="D237" s="464"/>
      <c r="E237" s="467"/>
      <c r="F237" s="464"/>
      <c r="G237" s="475"/>
      <c r="H237" s="467"/>
      <c r="I237" s="467"/>
      <c r="J237" s="467"/>
      <c r="K237" s="467"/>
      <c r="L237" s="467"/>
      <c r="M237" s="467"/>
      <c r="N237" s="467"/>
      <c r="O237" s="467"/>
      <c r="P237" s="467"/>
      <c r="Q237" s="467"/>
    </row>
    <row r="238" ht="15.0" customHeight="1">
      <c r="A238" s="463"/>
      <c r="B238" s="468"/>
      <c r="C238" s="476"/>
      <c r="D238" s="464"/>
      <c r="E238" s="467"/>
      <c r="F238" s="464"/>
      <c r="G238" s="475"/>
      <c r="H238" s="467"/>
      <c r="I238" s="467"/>
      <c r="J238" s="467"/>
      <c r="K238" s="467"/>
      <c r="L238" s="467"/>
      <c r="M238" s="467"/>
      <c r="N238" s="467"/>
      <c r="O238" s="467"/>
      <c r="P238" s="467"/>
      <c r="Q238" s="467"/>
    </row>
    <row r="239" ht="15.0" customHeight="1">
      <c r="A239" s="463"/>
      <c r="B239" s="468"/>
      <c r="C239" s="476"/>
      <c r="D239" s="464"/>
      <c r="E239" s="467"/>
      <c r="F239" s="464"/>
      <c r="G239" s="475"/>
      <c r="H239" s="467"/>
      <c r="I239" s="467"/>
      <c r="J239" s="467"/>
      <c r="K239" s="467"/>
      <c r="L239" s="467"/>
      <c r="M239" s="467"/>
      <c r="N239" s="467"/>
      <c r="O239" s="467"/>
      <c r="P239" s="467"/>
      <c r="Q239" s="467"/>
    </row>
    <row r="240" ht="15.0" customHeight="1">
      <c r="A240" s="463"/>
      <c r="B240" s="468"/>
      <c r="C240" s="476"/>
      <c r="D240" s="464"/>
      <c r="E240" s="467"/>
      <c r="F240" s="464"/>
      <c r="G240" s="475"/>
      <c r="H240" s="467"/>
      <c r="I240" s="467"/>
      <c r="J240" s="467"/>
      <c r="K240" s="467"/>
      <c r="L240" s="467"/>
      <c r="M240" s="467"/>
      <c r="N240" s="467"/>
      <c r="O240" s="467"/>
      <c r="P240" s="467"/>
      <c r="Q240" s="467"/>
    </row>
    <row r="241" ht="15.0" customHeight="1">
      <c r="A241" s="463"/>
      <c r="B241" s="471"/>
      <c r="C241" s="476"/>
      <c r="D241" s="464"/>
      <c r="E241" s="467"/>
      <c r="F241" s="464"/>
      <c r="G241" s="475"/>
      <c r="H241" s="467"/>
      <c r="I241" s="467"/>
      <c r="J241" s="467"/>
      <c r="K241" s="467"/>
      <c r="L241" s="467"/>
      <c r="M241" s="467"/>
      <c r="N241" s="467"/>
      <c r="O241" s="467"/>
      <c r="P241" s="467"/>
      <c r="Q241" s="467"/>
    </row>
    <row r="242" ht="15.0" customHeight="1">
      <c r="A242" s="463"/>
      <c r="B242" s="471"/>
      <c r="C242" s="476"/>
      <c r="D242" s="464"/>
      <c r="E242" s="467"/>
      <c r="F242" s="464"/>
      <c r="G242" s="475"/>
      <c r="H242" s="467"/>
      <c r="I242" s="467"/>
      <c r="J242" s="467"/>
      <c r="K242" s="467"/>
      <c r="L242" s="467"/>
      <c r="M242" s="467"/>
      <c r="N242" s="467"/>
      <c r="O242" s="467"/>
      <c r="P242" s="467"/>
      <c r="Q242" s="467"/>
    </row>
    <row r="243" ht="15.0" customHeight="1">
      <c r="A243" s="463"/>
      <c r="B243" s="471"/>
      <c r="C243" s="476"/>
      <c r="D243" s="464"/>
      <c r="E243" s="467"/>
      <c r="F243" s="464"/>
      <c r="G243" s="475"/>
      <c r="H243" s="467"/>
      <c r="I243" s="467"/>
      <c r="J243" s="467"/>
      <c r="K243" s="467"/>
      <c r="L243" s="467"/>
      <c r="M243" s="467"/>
      <c r="N243" s="467"/>
      <c r="O243" s="467"/>
      <c r="P243" s="467"/>
      <c r="Q243" s="467"/>
    </row>
    <row r="244" ht="15.0" customHeight="1">
      <c r="A244" s="463"/>
      <c r="B244" s="468"/>
      <c r="C244" s="476"/>
      <c r="D244" s="464"/>
      <c r="E244" s="467"/>
      <c r="F244" s="464"/>
      <c r="G244" s="475"/>
      <c r="H244" s="467"/>
      <c r="I244" s="467"/>
      <c r="J244" s="467"/>
      <c r="K244" s="467"/>
      <c r="L244" s="467"/>
      <c r="M244" s="467"/>
      <c r="N244" s="467"/>
      <c r="O244" s="467"/>
      <c r="P244" s="467"/>
      <c r="Q244" s="467"/>
    </row>
    <row r="245" ht="15.0" customHeight="1">
      <c r="A245" s="463"/>
      <c r="B245" s="468"/>
      <c r="C245" s="476"/>
      <c r="D245" s="464"/>
      <c r="E245" s="467"/>
      <c r="F245" s="464"/>
      <c r="G245" s="475"/>
      <c r="H245" s="467"/>
      <c r="I245" s="467"/>
      <c r="J245" s="467"/>
      <c r="K245" s="467"/>
      <c r="L245" s="467"/>
      <c r="M245" s="467"/>
      <c r="N245" s="467"/>
      <c r="O245" s="467"/>
      <c r="P245" s="467"/>
      <c r="Q245" s="467"/>
    </row>
    <row r="246" ht="15.0" customHeight="1">
      <c r="A246" s="463"/>
      <c r="B246" s="468"/>
      <c r="C246" s="476"/>
      <c r="D246" s="464"/>
      <c r="E246" s="467"/>
      <c r="F246" s="464"/>
      <c r="G246" s="475"/>
      <c r="H246" s="467"/>
      <c r="I246" s="467"/>
      <c r="J246" s="467"/>
      <c r="K246" s="467"/>
      <c r="L246" s="467"/>
      <c r="M246" s="467"/>
      <c r="N246" s="467"/>
      <c r="O246" s="467"/>
      <c r="P246" s="467"/>
      <c r="Q246" s="467"/>
    </row>
    <row r="247" ht="15.0" customHeight="1">
      <c r="A247" s="463"/>
      <c r="B247" s="468"/>
      <c r="C247" s="476"/>
      <c r="D247" s="464"/>
      <c r="E247" s="467"/>
      <c r="F247" s="464"/>
      <c r="G247" s="475"/>
      <c r="H247" s="467"/>
      <c r="I247" s="467"/>
      <c r="J247" s="467"/>
      <c r="K247" s="467"/>
      <c r="L247" s="467"/>
      <c r="M247" s="467"/>
      <c r="N247" s="467"/>
      <c r="O247" s="467"/>
      <c r="P247" s="467"/>
      <c r="Q247" s="467"/>
    </row>
    <row r="248" ht="15.0" customHeight="1">
      <c r="A248" s="463"/>
      <c r="B248" s="468"/>
      <c r="C248" s="476"/>
      <c r="D248" s="464"/>
      <c r="E248" s="467"/>
      <c r="F248" s="464"/>
      <c r="G248" s="475"/>
      <c r="H248" s="467"/>
      <c r="I248" s="467"/>
      <c r="J248" s="467"/>
      <c r="K248" s="467"/>
      <c r="L248" s="467"/>
      <c r="M248" s="467"/>
      <c r="N248" s="467"/>
      <c r="O248" s="467"/>
      <c r="P248" s="467"/>
      <c r="Q248" s="467"/>
    </row>
    <row r="249" ht="15.0" customHeight="1">
      <c r="A249" s="463"/>
      <c r="B249" s="468"/>
      <c r="C249" s="476"/>
      <c r="D249" s="464"/>
      <c r="E249" s="467"/>
      <c r="F249" s="464"/>
      <c r="G249" s="475"/>
      <c r="H249" s="467"/>
      <c r="I249" s="467"/>
      <c r="J249" s="467"/>
      <c r="K249" s="467"/>
      <c r="L249" s="467"/>
      <c r="M249" s="467"/>
      <c r="N249" s="467"/>
      <c r="O249" s="467"/>
      <c r="P249" s="467"/>
      <c r="Q249" s="467"/>
    </row>
    <row r="250" ht="15.0" customHeight="1">
      <c r="A250" s="463"/>
      <c r="B250" s="468"/>
      <c r="C250" s="476"/>
      <c r="D250" s="464"/>
      <c r="E250" s="467"/>
      <c r="F250" s="464"/>
      <c r="G250" s="475"/>
      <c r="H250" s="467"/>
      <c r="I250" s="467"/>
      <c r="J250" s="467"/>
      <c r="K250" s="467"/>
      <c r="L250" s="467"/>
      <c r="M250" s="467"/>
      <c r="N250" s="467"/>
      <c r="O250" s="467"/>
      <c r="P250" s="467"/>
      <c r="Q250" s="467"/>
    </row>
    <row r="251" ht="15.0" customHeight="1">
      <c r="A251" s="463"/>
      <c r="B251" s="468"/>
      <c r="C251" s="476"/>
      <c r="D251" s="464"/>
      <c r="E251" s="467"/>
      <c r="F251" s="464"/>
      <c r="G251" s="475"/>
      <c r="H251" s="467"/>
      <c r="I251" s="467"/>
      <c r="J251" s="467"/>
      <c r="K251" s="467"/>
      <c r="L251" s="467"/>
      <c r="M251" s="467"/>
      <c r="N251" s="467"/>
      <c r="O251" s="467"/>
      <c r="P251" s="467"/>
      <c r="Q251" s="467"/>
    </row>
    <row r="252" ht="15.0" customHeight="1">
      <c r="A252" s="463"/>
      <c r="B252" s="468"/>
      <c r="C252" s="476"/>
      <c r="D252" s="464"/>
      <c r="E252" s="467"/>
      <c r="F252" s="464"/>
      <c r="G252" s="475"/>
      <c r="H252" s="467"/>
      <c r="I252" s="467"/>
      <c r="J252" s="467"/>
      <c r="K252" s="467"/>
      <c r="L252" s="467"/>
      <c r="M252" s="467"/>
      <c r="N252" s="467"/>
      <c r="O252" s="467"/>
      <c r="P252" s="467"/>
      <c r="Q252" s="467"/>
    </row>
    <row r="253" ht="15.0" customHeight="1">
      <c r="A253" s="463"/>
      <c r="B253" s="468"/>
      <c r="C253" s="476"/>
      <c r="D253" s="464"/>
      <c r="E253" s="467"/>
      <c r="F253" s="464"/>
      <c r="G253" s="475"/>
      <c r="H253" s="467"/>
      <c r="I253" s="467"/>
      <c r="J253" s="467"/>
      <c r="K253" s="467"/>
      <c r="L253" s="467"/>
      <c r="M253" s="467"/>
      <c r="N253" s="467"/>
      <c r="O253" s="467"/>
      <c r="P253" s="467"/>
      <c r="Q253" s="467"/>
    </row>
    <row r="254" ht="15.0" customHeight="1">
      <c r="A254" s="463"/>
      <c r="B254" s="468"/>
      <c r="C254" s="476"/>
      <c r="D254" s="464"/>
      <c r="E254" s="467"/>
      <c r="F254" s="464"/>
      <c r="G254" s="475"/>
      <c r="H254" s="467"/>
      <c r="I254" s="467"/>
      <c r="J254" s="467"/>
      <c r="K254" s="467"/>
      <c r="L254" s="467"/>
      <c r="M254" s="467"/>
      <c r="N254" s="467"/>
      <c r="O254" s="467"/>
      <c r="P254" s="467"/>
      <c r="Q254" s="467"/>
    </row>
    <row r="255" ht="15.0" customHeight="1">
      <c r="A255" s="463"/>
      <c r="B255" s="468"/>
      <c r="C255" s="476"/>
      <c r="D255" s="464"/>
      <c r="E255" s="467"/>
      <c r="F255" s="464"/>
      <c r="G255" s="475"/>
      <c r="H255" s="467"/>
      <c r="I255" s="467"/>
      <c r="J255" s="467"/>
      <c r="K255" s="467"/>
      <c r="L255" s="467"/>
      <c r="M255" s="467"/>
      <c r="N255" s="467"/>
      <c r="O255" s="467"/>
      <c r="P255" s="467"/>
      <c r="Q255" s="467"/>
    </row>
    <row r="256" ht="15.0" customHeight="1">
      <c r="A256" s="463"/>
      <c r="B256" s="468"/>
      <c r="C256" s="476"/>
      <c r="D256" s="464"/>
      <c r="E256" s="467"/>
      <c r="F256" s="464"/>
      <c r="G256" s="475"/>
      <c r="H256" s="467"/>
      <c r="I256" s="467"/>
      <c r="J256" s="467"/>
      <c r="K256" s="467"/>
      <c r="L256" s="467"/>
      <c r="M256" s="467"/>
      <c r="N256" s="467"/>
      <c r="O256" s="467"/>
      <c r="P256" s="467"/>
      <c r="Q256" s="467"/>
    </row>
    <row r="257" ht="15.0" customHeight="1">
      <c r="A257" s="463"/>
      <c r="B257" s="471"/>
      <c r="C257" s="476"/>
      <c r="D257" s="464"/>
      <c r="E257" s="467"/>
      <c r="F257" s="467"/>
      <c r="G257" s="475"/>
      <c r="H257" s="467"/>
      <c r="I257" s="467"/>
      <c r="J257" s="467"/>
      <c r="K257" s="467"/>
      <c r="L257" s="467"/>
      <c r="M257" s="467"/>
      <c r="N257" s="467"/>
      <c r="O257" s="467"/>
      <c r="P257" s="467"/>
      <c r="Q257" s="467"/>
    </row>
    <row r="258" ht="15.0" customHeight="1">
      <c r="A258" s="463"/>
      <c r="B258" s="471"/>
      <c r="C258" s="476"/>
      <c r="D258" s="464"/>
      <c r="E258" s="467"/>
      <c r="F258" s="467"/>
      <c r="G258" s="475"/>
      <c r="H258" s="467"/>
      <c r="I258" s="467"/>
      <c r="J258" s="467"/>
      <c r="K258" s="467"/>
      <c r="L258" s="467"/>
      <c r="M258" s="467"/>
      <c r="N258" s="467"/>
      <c r="O258" s="467"/>
      <c r="P258" s="467"/>
      <c r="Q258" s="467"/>
    </row>
    <row r="259" ht="15.0" customHeight="1">
      <c r="A259" s="463"/>
      <c r="B259" s="464"/>
      <c r="C259" s="476"/>
      <c r="D259" s="464"/>
      <c r="E259" s="467"/>
      <c r="F259" s="464"/>
      <c r="G259" s="475"/>
      <c r="H259" s="467"/>
      <c r="I259" s="467"/>
      <c r="J259" s="467"/>
      <c r="K259" s="467"/>
      <c r="L259" s="467"/>
      <c r="M259" s="467"/>
      <c r="N259" s="467"/>
      <c r="O259" s="467"/>
      <c r="P259" s="467"/>
      <c r="Q259" s="467"/>
    </row>
    <row r="260" ht="15.0" customHeight="1">
      <c r="A260" s="463"/>
      <c r="B260" s="464"/>
      <c r="C260" s="476"/>
      <c r="D260" s="464"/>
      <c r="E260" s="467"/>
      <c r="F260" s="464"/>
      <c r="G260" s="475"/>
      <c r="H260" s="467"/>
      <c r="I260" s="467"/>
      <c r="J260" s="467"/>
      <c r="K260" s="467"/>
      <c r="L260" s="467"/>
      <c r="M260" s="467"/>
      <c r="N260" s="467"/>
      <c r="O260" s="467"/>
      <c r="P260" s="467"/>
      <c r="Q260" s="467"/>
    </row>
    <row r="261" ht="15.0" customHeight="1">
      <c r="A261" s="463"/>
      <c r="B261" s="464"/>
      <c r="C261" s="476"/>
      <c r="D261" s="464"/>
      <c r="E261" s="467"/>
      <c r="F261" s="464"/>
      <c r="G261" s="475"/>
      <c r="H261" s="467"/>
      <c r="I261" s="467"/>
      <c r="J261" s="467"/>
      <c r="K261" s="467"/>
      <c r="L261" s="467"/>
      <c r="M261" s="467"/>
      <c r="N261" s="467"/>
      <c r="O261" s="467"/>
      <c r="P261" s="467"/>
      <c r="Q261" s="467"/>
    </row>
    <row r="262" ht="15.0" customHeight="1">
      <c r="A262" s="463"/>
      <c r="B262" s="464"/>
      <c r="C262" s="476"/>
      <c r="D262" s="464"/>
      <c r="E262" s="467"/>
      <c r="F262" s="467"/>
      <c r="G262" s="475"/>
      <c r="H262" s="467"/>
      <c r="I262" s="467"/>
      <c r="J262" s="467"/>
      <c r="K262" s="467"/>
      <c r="L262" s="467"/>
      <c r="M262" s="467"/>
      <c r="N262" s="467"/>
      <c r="O262" s="467"/>
      <c r="P262" s="467"/>
      <c r="Q262" s="467"/>
    </row>
    <row r="263" ht="15.0" customHeight="1">
      <c r="A263" s="463"/>
      <c r="B263" s="464"/>
      <c r="C263" s="476"/>
      <c r="D263" s="464"/>
      <c r="E263" s="467"/>
      <c r="F263" s="464"/>
      <c r="G263" s="475"/>
      <c r="H263" s="467"/>
      <c r="I263" s="467"/>
      <c r="J263" s="467"/>
      <c r="K263" s="467"/>
      <c r="L263" s="467"/>
      <c r="M263" s="467"/>
      <c r="N263" s="467"/>
      <c r="O263" s="467"/>
      <c r="P263" s="467"/>
      <c r="Q263" s="467"/>
    </row>
    <row r="264" ht="15.0" customHeight="1">
      <c r="A264" s="463"/>
      <c r="B264" s="464"/>
      <c r="C264" s="476"/>
      <c r="D264" s="464"/>
      <c r="E264" s="467"/>
      <c r="F264" s="464"/>
      <c r="G264" s="475"/>
      <c r="H264" s="467"/>
      <c r="I264" s="467"/>
      <c r="J264" s="467"/>
      <c r="K264" s="467"/>
      <c r="L264" s="467"/>
      <c r="M264" s="467"/>
      <c r="N264" s="467"/>
      <c r="O264" s="467"/>
      <c r="P264" s="467"/>
      <c r="Q264" s="467"/>
    </row>
    <row r="265" ht="15.0" customHeight="1">
      <c r="A265" s="463"/>
      <c r="B265" s="464"/>
      <c r="C265" s="476"/>
      <c r="D265" s="464"/>
      <c r="E265" s="467"/>
      <c r="F265" s="464"/>
      <c r="G265" s="475"/>
      <c r="H265" s="467"/>
      <c r="I265" s="467"/>
      <c r="J265" s="467"/>
      <c r="K265" s="467"/>
      <c r="L265" s="467"/>
      <c r="M265" s="467"/>
      <c r="N265" s="467"/>
      <c r="O265" s="467"/>
      <c r="P265" s="467"/>
      <c r="Q265" s="467"/>
    </row>
    <row r="266" ht="15.0" customHeight="1">
      <c r="A266" s="463"/>
      <c r="B266" s="464"/>
      <c r="C266" s="476"/>
      <c r="D266" s="464"/>
      <c r="E266" s="467"/>
      <c r="F266" s="464"/>
      <c r="G266" s="475"/>
      <c r="H266" s="467"/>
      <c r="I266" s="467"/>
      <c r="J266" s="467"/>
      <c r="K266" s="467"/>
      <c r="L266" s="467"/>
      <c r="M266" s="467"/>
      <c r="N266" s="467"/>
      <c r="O266" s="467"/>
      <c r="P266" s="467"/>
      <c r="Q266" s="467"/>
    </row>
    <row r="267" ht="15.0" customHeight="1">
      <c r="A267" s="463"/>
      <c r="B267" s="464"/>
      <c r="C267" s="476"/>
      <c r="D267" s="464"/>
      <c r="E267" s="467"/>
      <c r="F267" s="464"/>
      <c r="G267" s="475"/>
      <c r="H267" s="467"/>
      <c r="I267" s="467"/>
      <c r="J267" s="467"/>
      <c r="K267" s="467"/>
      <c r="L267" s="467"/>
      <c r="M267" s="467"/>
      <c r="N267" s="467"/>
      <c r="O267" s="467"/>
      <c r="P267" s="467"/>
      <c r="Q267" s="467"/>
    </row>
    <row r="268" ht="15.0" customHeight="1">
      <c r="A268" s="463"/>
      <c r="B268" s="464"/>
      <c r="C268" s="476"/>
      <c r="D268" s="464"/>
      <c r="E268" s="467"/>
      <c r="F268" s="464"/>
      <c r="G268" s="475"/>
      <c r="H268" s="467"/>
      <c r="I268" s="467"/>
      <c r="J268" s="467"/>
      <c r="K268" s="467"/>
      <c r="L268" s="467"/>
      <c r="M268" s="467"/>
      <c r="N268" s="467"/>
      <c r="O268" s="467"/>
      <c r="P268" s="467"/>
      <c r="Q268" s="467"/>
    </row>
    <row r="269" ht="15.0" customHeight="1">
      <c r="A269" s="463"/>
      <c r="B269" s="464"/>
      <c r="C269" s="476"/>
      <c r="D269" s="464"/>
      <c r="E269" s="467"/>
      <c r="F269" s="464"/>
      <c r="G269" s="475"/>
      <c r="H269" s="467"/>
      <c r="I269" s="467"/>
      <c r="J269" s="467"/>
      <c r="K269" s="467"/>
      <c r="L269" s="467"/>
      <c r="M269" s="467"/>
      <c r="N269" s="467"/>
      <c r="O269" s="467"/>
      <c r="P269" s="467"/>
      <c r="Q269" s="467"/>
    </row>
    <row r="270" ht="15.0" customHeight="1">
      <c r="A270" s="463"/>
      <c r="B270" s="464"/>
      <c r="C270" s="476"/>
      <c r="D270" s="464"/>
      <c r="E270" s="467"/>
      <c r="F270" s="464"/>
      <c r="G270" s="475"/>
      <c r="H270" s="467"/>
      <c r="I270" s="467"/>
      <c r="J270" s="467"/>
      <c r="K270" s="467"/>
      <c r="L270" s="467"/>
      <c r="M270" s="467"/>
      <c r="N270" s="467"/>
      <c r="O270" s="467"/>
      <c r="P270" s="467"/>
      <c r="Q270" s="467"/>
    </row>
    <row r="271" ht="15.0" customHeight="1">
      <c r="A271" s="463"/>
      <c r="B271" s="467"/>
      <c r="C271" s="476"/>
      <c r="D271" s="464"/>
      <c r="E271" s="467"/>
      <c r="F271" s="464"/>
      <c r="G271" s="475"/>
      <c r="H271" s="467"/>
      <c r="I271" s="467"/>
      <c r="J271" s="467"/>
      <c r="K271" s="467"/>
      <c r="L271" s="467"/>
      <c r="M271" s="467"/>
      <c r="N271" s="467"/>
      <c r="O271" s="467"/>
      <c r="P271" s="467"/>
      <c r="Q271" s="467"/>
    </row>
    <row r="272" ht="15.0" customHeight="1">
      <c r="A272" s="463"/>
      <c r="B272" s="467"/>
      <c r="C272" s="476"/>
      <c r="D272" s="464"/>
      <c r="E272" s="467"/>
      <c r="F272" s="464"/>
      <c r="G272" s="475"/>
      <c r="H272" s="467"/>
      <c r="I272" s="467"/>
      <c r="J272" s="467"/>
      <c r="K272" s="467"/>
      <c r="L272" s="467"/>
      <c r="M272" s="467"/>
      <c r="N272" s="467"/>
      <c r="O272" s="467"/>
      <c r="P272" s="467"/>
      <c r="Q272" s="467"/>
    </row>
    <row r="273" ht="15.0" customHeight="1">
      <c r="A273" s="463"/>
      <c r="B273" s="467"/>
      <c r="C273" s="476"/>
      <c r="D273" s="464"/>
      <c r="E273" s="467"/>
      <c r="F273" s="464"/>
      <c r="G273" s="475"/>
      <c r="H273" s="467"/>
      <c r="I273" s="467"/>
      <c r="J273" s="467"/>
      <c r="K273" s="467"/>
      <c r="L273" s="467"/>
      <c r="M273" s="467"/>
      <c r="N273" s="467"/>
      <c r="O273" s="467"/>
      <c r="P273" s="467"/>
      <c r="Q273" s="467"/>
    </row>
    <row r="274" ht="15.0" customHeight="1">
      <c r="A274" s="463"/>
      <c r="B274" s="467"/>
      <c r="C274" s="476"/>
      <c r="D274" s="464"/>
      <c r="E274" s="464"/>
      <c r="F274" s="464"/>
      <c r="G274" s="475"/>
      <c r="H274" s="1426"/>
      <c r="I274" s="499"/>
      <c r="J274" s="467"/>
      <c r="K274" s="467"/>
      <c r="L274" s="467"/>
      <c r="M274" s="467"/>
      <c r="N274" s="467"/>
      <c r="O274" s="467"/>
      <c r="P274" s="467"/>
      <c r="Q274" s="467"/>
    </row>
    <row r="275" ht="15.0" customHeight="1">
      <c r="A275" s="463"/>
      <c r="B275" s="467"/>
      <c r="C275" s="476"/>
      <c r="D275" s="464"/>
      <c r="E275" s="467"/>
      <c r="F275" s="467"/>
      <c r="G275" s="475"/>
      <c r="H275" s="467"/>
      <c r="I275" s="467"/>
      <c r="J275" s="467"/>
      <c r="K275" s="467"/>
      <c r="L275" s="467"/>
      <c r="M275" s="467"/>
      <c r="N275" s="467"/>
      <c r="O275" s="467"/>
      <c r="P275" s="467"/>
      <c r="Q275" s="467"/>
    </row>
    <row r="276" ht="15.0" customHeight="1">
      <c r="A276" s="463"/>
      <c r="B276" s="464"/>
      <c r="C276" s="476"/>
      <c r="D276" s="464"/>
      <c r="E276" s="467"/>
      <c r="F276" s="464"/>
      <c r="G276" s="475"/>
      <c r="H276" s="467"/>
      <c r="I276" s="467"/>
      <c r="J276" s="467"/>
      <c r="K276" s="467"/>
      <c r="L276" s="467"/>
      <c r="M276" s="467"/>
      <c r="N276" s="467"/>
      <c r="O276" s="467"/>
      <c r="P276" s="467"/>
      <c r="Q276" s="467"/>
    </row>
    <row r="277" ht="15.0" customHeight="1">
      <c r="A277" s="463"/>
      <c r="B277" s="467"/>
      <c r="C277" s="476"/>
      <c r="D277" s="464"/>
      <c r="E277" s="467"/>
      <c r="F277" s="464"/>
      <c r="G277" s="475"/>
      <c r="H277" s="467"/>
      <c r="I277" s="467"/>
      <c r="J277" s="467"/>
      <c r="K277" s="467"/>
      <c r="L277" s="467"/>
      <c r="M277" s="467"/>
      <c r="N277" s="467"/>
      <c r="O277" s="467"/>
      <c r="P277" s="467"/>
      <c r="Q277" s="467"/>
    </row>
    <row r="278" ht="15.0" customHeight="1">
      <c r="A278" s="463"/>
      <c r="B278" s="467"/>
      <c r="C278" s="476"/>
      <c r="D278" s="464"/>
      <c r="E278" s="467"/>
      <c r="F278" s="467"/>
      <c r="G278" s="475"/>
      <c r="H278" s="467"/>
      <c r="I278" s="467"/>
      <c r="J278" s="467"/>
      <c r="K278" s="467"/>
      <c r="L278" s="467"/>
      <c r="M278" s="467"/>
      <c r="N278" s="467"/>
      <c r="O278" s="467"/>
      <c r="P278" s="467"/>
      <c r="Q278" s="467"/>
    </row>
    <row r="279" ht="15.0" customHeight="1">
      <c r="A279" s="463"/>
      <c r="B279" s="467"/>
      <c r="C279" s="476"/>
      <c r="D279" s="464"/>
      <c r="E279" s="464"/>
      <c r="F279" s="464"/>
      <c r="G279" s="475"/>
      <c r="H279" s="467"/>
      <c r="I279" s="467"/>
      <c r="J279" s="467"/>
      <c r="K279" s="467"/>
      <c r="L279" s="467"/>
      <c r="M279" s="467"/>
      <c r="N279" s="467"/>
      <c r="O279" s="467"/>
      <c r="P279" s="467"/>
      <c r="Q279" s="467"/>
    </row>
    <row r="280" ht="15.0" customHeight="1">
      <c r="A280" s="463"/>
      <c r="B280" s="467"/>
      <c r="C280" s="476"/>
      <c r="D280" s="464"/>
      <c r="E280" s="464"/>
      <c r="F280" s="464"/>
      <c r="G280" s="475"/>
      <c r="H280" s="467"/>
      <c r="I280" s="467"/>
      <c r="J280" s="467"/>
      <c r="K280" s="467"/>
      <c r="L280" s="467"/>
      <c r="M280" s="467"/>
      <c r="N280" s="467"/>
      <c r="O280" s="467"/>
      <c r="P280" s="467"/>
      <c r="Q280" s="467"/>
    </row>
    <row r="281" ht="15.0" customHeight="1">
      <c r="A281" s="463"/>
      <c r="B281" s="467"/>
      <c r="C281" s="476"/>
      <c r="D281" s="464"/>
      <c r="E281" s="467"/>
      <c r="F281" s="467"/>
      <c r="G281" s="475"/>
      <c r="H281" s="467"/>
      <c r="I281" s="467"/>
      <c r="J281" s="467"/>
      <c r="K281" s="467"/>
      <c r="L281" s="467"/>
      <c r="M281" s="467"/>
      <c r="N281" s="467"/>
      <c r="O281" s="467"/>
      <c r="P281" s="467"/>
      <c r="Q281" s="467"/>
    </row>
    <row r="282" ht="15.0" customHeight="1">
      <c r="A282" s="463"/>
      <c r="B282" s="467"/>
      <c r="C282" s="476"/>
      <c r="D282" s="464"/>
      <c r="E282" s="467"/>
      <c r="F282" s="464"/>
      <c r="G282" s="475"/>
      <c r="H282" s="467"/>
      <c r="I282" s="467"/>
      <c r="J282" s="467"/>
      <c r="K282" s="467"/>
      <c r="L282" s="467"/>
      <c r="M282" s="467"/>
      <c r="N282" s="467"/>
      <c r="O282" s="467"/>
      <c r="P282" s="467"/>
      <c r="Q282" s="467"/>
    </row>
    <row r="283" ht="15.0" customHeight="1">
      <c r="A283" s="463"/>
      <c r="B283" s="467"/>
      <c r="C283" s="476"/>
      <c r="D283" s="464"/>
      <c r="E283" s="467"/>
      <c r="F283" s="464"/>
      <c r="G283" s="475"/>
      <c r="H283" s="467"/>
      <c r="I283" s="467"/>
      <c r="J283" s="467"/>
      <c r="K283" s="467"/>
      <c r="L283" s="467"/>
      <c r="M283" s="467"/>
      <c r="N283" s="467"/>
      <c r="O283" s="467"/>
      <c r="P283" s="467"/>
      <c r="Q283" s="467"/>
    </row>
    <row r="284" ht="15.0" customHeight="1">
      <c r="A284" s="463"/>
      <c r="B284" s="464"/>
      <c r="C284" s="476"/>
      <c r="D284" s="464"/>
      <c r="E284" s="467"/>
      <c r="F284" s="467"/>
      <c r="G284" s="475"/>
      <c r="H284" s="467"/>
      <c r="I284" s="467"/>
      <c r="J284" s="467"/>
      <c r="K284" s="467"/>
      <c r="L284" s="467"/>
      <c r="M284" s="467"/>
      <c r="N284" s="467"/>
      <c r="O284" s="467"/>
      <c r="P284" s="467"/>
      <c r="Q284" s="467"/>
    </row>
    <row r="285" ht="15.0" customHeight="1">
      <c r="A285" s="463"/>
      <c r="B285" s="464"/>
      <c r="C285" s="476"/>
      <c r="D285" s="464"/>
      <c r="E285" s="467"/>
      <c r="F285" s="467"/>
      <c r="G285" s="475"/>
      <c r="H285" s="467"/>
      <c r="I285" s="467"/>
      <c r="J285" s="467"/>
      <c r="K285" s="467"/>
      <c r="L285" s="467"/>
      <c r="M285" s="467"/>
      <c r="N285" s="467"/>
      <c r="O285" s="467"/>
      <c r="P285" s="467"/>
      <c r="Q285" s="467"/>
    </row>
    <row r="286" ht="15.0" customHeight="1">
      <c r="A286" s="463"/>
      <c r="B286" s="464"/>
      <c r="C286" s="476"/>
      <c r="D286" s="464"/>
      <c r="E286" s="467"/>
      <c r="F286" s="467"/>
      <c r="G286" s="475"/>
      <c r="H286" s="467"/>
      <c r="I286" s="467"/>
      <c r="J286" s="467"/>
      <c r="K286" s="467"/>
      <c r="L286" s="467"/>
      <c r="M286" s="467"/>
      <c r="N286" s="467"/>
      <c r="O286" s="467"/>
      <c r="P286" s="467"/>
      <c r="Q286" s="467"/>
    </row>
    <row r="287" ht="15.0" customHeight="1">
      <c r="A287" s="463"/>
      <c r="B287" s="464"/>
      <c r="C287" s="476"/>
      <c r="D287" s="464"/>
      <c r="E287" s="467"/>
      <c r="F287" s="467"/>
      <c r="G287" s="475"/>
      <c r="H287" s="467"/>
      <c r="I287" s="467"/>
      <c r="J287" s="467"/>
      <c r="K287" s="467"/>
      <c r="L287" s="467"/>
      <c r="M287" s="467"/>
      <c r="N287" s="467"/>
      <c r="O287" s="467"/>
      <c r="P287" s="467"/>
      <c r="Q287" s="467"/>
    </row>
    <row r="288" ht="15.0" customHeight="1">
      <c r="A288" s="463"/>
      <c r="B288" s="464"/>
      <c r="C288" s="476"/>
      <c r="D288" s="464"/>
      <c r="E288" s="467"/>
      <c r="F288" s="464"/>
      <c r="G288" s="475"/>
      <c r="H288" s="467"/>
      <c r="I288" s="467"/>
      <c r="J288" s="467"/>
      <c r="K288" s="467"/>
      <c r="L288" s="467"/>
      <c r="M288" s="467"/>
      <c r="N288" s="467"/>
      <c r="O288" s="467"/>
      <c r="P288" s="467"/>
      <c r="Q288" s="467"/>
    </row>
    <row r="289" ht="15.0" customHeight="1">
      <c r="A289" s="463"/>
      <c r="B289" s="467"/>
      <c r="C289" s="476"/>
      <c r="D289" s="464"/>
      <c r="E289" s="467"/>
      <c r="F289" s="464"/>
      <c r="G289" s="475"/>
      <c r="H289" s="467"/>
      <c r="I289" s="467"/>
      <c r="J289" s="467"/>
      <c r="K289" s="467"/>
      <c r="L289" s="467"/>
      <c r="M289" s="467"/>
      <c r="N289" s="467"/>
      <c r="O289" s="467"/>
      <c r="P289" s="467"/>
      <c r="Q289" s="467"/>
    </row>
    <row r="290" ht="15.0" customHeight="1">
      <c r="A290" s="463"/>
      <c r="B290" s="467"/>
      <c r="C290" s="476"/>
      <c r="D290" s="464"/>
      <c r="E290" s="467"/>
      <c r="F290" s="467"/>
      <c r="G290" s="475"/>
      <c r="H290" s="467"/>
      <c r="I290" s="467"/>
      <c r="J290" s="467"/>
      <c r="K290" s="467"/>
      <c r="L290" s="467"/>
      <c r="M290" s="467"/>
      <c r="N290" s="467"/>
      <c r="O290" s="467"/>
      <c r="P290" s="467"/>
      <c r="Q290" s="467"/>
    </row>
    <row r="291" ht="15.0" customHeight="1">
      <c r="A291" s="463"/>
      <c r="B291" s="467"/>
      <c r="C291" s="476"/>
      <c r="D291" s="464"/>
      <c r="E291" s="464"/>
      <c r="F291" s="464"/>
      <c r="G291" s="475"/>
      <c r="H291" s="1295"/>
      <c r="I291" s="499"/>
      <c r="J291" s="464"/>
      <c r="K291" s="467"/>
      <c r="L291" s="467"/>
      <c r="M291" s="464"/>
      <c r="N291" s="464"/>
      <c r="O291" s="464"/>
      <c r="P291" s="464"/>
      <c r="Q291" s="464"/>
    </row>
    <row r="292" ht="15.0" customHeight="1">
      <c r="A292" s="463"/>
      <c r="B292" s="464"/>
      <c r="C292" s="465"/>
      <c r="D292" s="464"/>
      <c r="E292" s="464"/>
      <c r="F292" s="464"/>
      <c r="G292" s="475"/>
      <c r="H292" s="1295"/>
      <c r="I292" s="464"/>
      <c r="J292" s="464"/>
      <c r="K292" s="467"/>
      <c r="L292" s="467"/>
      <c r="M292" s="464"/>
      <c r="N292" s="464"/>
      <c r="O292" s="464"/>
      <c r="P292" s="464"/>
      <c r="Q292" s="464"/>
    </row>
    <row r="293" ht="15.0" customHeight="1">
      <c r="A293" s="463"/>
      <c r="B293" s="464"/>
      <c r="C293" s="476"/>
      <c r="D293" s="464"/>
      <c r="E293" s="467"/>
      <c r="F293" s="464"/>
      <c r="G293" s="463"/>
      <c r="H293" s="1426"/>
      <c r="I293" s="464"/>
      <c r="J293" s="464"/>
      <c r="K293" s="467"/>
      <c r="L293" s="467"/>
      <c r="M293" s="464"/>
      <c r="N293" s="464"/>
      <c r="O293" s="464"/>
      <c r="P293" s="464"/>
      <c r="Q293" s="464"/>
    </row>
    <row r="294" ht="15.0" customHeight="1">
      <c r="A294" s="463"/>
      <c r="B294" s="464"/>
      <c r="C294" s="476"/>
      <c r="D294" s="464"/>
      <c r="E294" s="464"/>
      <c r="F294" s="464"/>
      <c r="G294" s="463"/>
      <c r="H294" s="464"/>
      <c r="I294" s="464"/>
      <c r="J294" s="464"/>
      <c r="K294" s="467"/>
      <c r="L294" s="467"/>
      <c r="M294" s="464"/>
      <c r="N294" s="464"/>
      <c r="O294" s="464"/>
      <c r="P294" s="464"/>
      <c r="Q294" s="464"/>
    </row>
    <row r="295" ht="15.0" customHeight="1">
      <c r="A295" s="463"/>
      <c r="B295" s="464"/>
      <c r="C295" s="476"/>
      <c r="D295" s="464"/>
      <c r="E295" s="464"/>
      <c r="F295" s="464"/>
      <c r="G295" s="463"/>
      <c r="H295" s="464"/>
      <c r="I295" s="464"/>
      <c r="J295" s="464"/>
      <c r="K295" s="467"/>
      <c r="L295" s="467"/>
      <c r="M295" s="464"/>
      <c r="N295" s="464"/>
      <c r="O295" s="464"/>
      <c r="P295" s="464"/>
      <c r="Q295" s="464"/>
    </row>
    <row r="296" ht="15.0" customHeight="1">
      <c r="A296" s="463"/>
      <c r="B296" s="464"/>
      <c r="C296" s="465"/>
      <c r="D296" s="464"/>
      <c r="E296" s="464"/>
      <c r="F296" s="464"/>
      <c r="G296" s="463"/>
      <c r="H296" s="464"/>
      <c r="I296" s="464"/>
      <c r="J296" s="464"/>
      <c r="K296" s="467"/>
      <c r="L296" s="467"/>
      <c r="M296" s="464"/>
      <c r="N296" s="464"/>
      <c r="O296" s="464"/>
      <c r="P296" s="464"/>
      <c r="Q296" s="464"/>
    </row>
    <row r="297" ht="15.0" customHeight="1">
      <c r="A297" s="463"/>
      <c r="B297" s="464"/>
      <c r="C297" s="465"/>
      <c r="D297" s="464"/>
      <c r="E297" s="464"/>
      <c r="F297" s="464"/>
      <c r="G297" s="463"/>
      <c r="H297" s="464"/>
      <c r="I297" s="464"/>
      <c r="J297" s="464"/>
      <c r="K297" s="467"/>
      <c r="L297" s="467"/>
      <c r="M297" s="464"/>
      <c r="N297" s="464"/>
      <c r="O297" s="464"/>
      <c r="P297" s="464"/>
      <c r="Q297" s="464"/>
    </row>
    <row r="298" ht="15.0" customHeight="1">
      <c r="A298" s="463"/>
      <c r="B298" s="464"/>
      <c r="C298" s="465"/>
      <c r="D298" s="464"/>
      <c r="E298" s="464"/>
      <c r="F298" s="464"/>
      <c r="G298" s="463"/>
      <c r="H298" s="464"/>
      <c r="I298" s="464"/>
      <c r="J298" s="464"/>
      <c r="K298" s="464"/>
      <c r="L298" s="464"/>
      <c r="M298" s="464"/>
      <c r="N298" s="464"/>
      <c r="O298" s="464"/>
      <c r="P298" s="464"/>
      <c r="Q298" s="464"/>
    </row>
    <row r="299" ht="15.0" customHeight="1">
      <c r="A299" s="463"/>
      <c r="B299" s="464"/>
      <c r="C299" s="465"/>
      <c r="D299" s="464"/>
      <c r="E299" s="464"/>
      <c r="F299" s="464"/>
      <c r="G299" s="463"/>
      <c r="H299" s="464"/>
      <c r="I299" s="464"/>
      <c r="J299" s="464"/>
      <c r="K299" s="467"/>
      <c r="L299" s="467"/>
      <c r="M299" s="464"/>
      <c r="N299" s="464"/>
      <c r="O299" s="464"/>
      <c r="P299" s="464"/>
      <c r="Q299" s="464"/>
    </row>
    <row r="300" ht="15.0" customHeight="1">
      <c r="A300" s="463"/>
      <c r="B300" s="464"/>
      <c r="C300" s="465"/>
      <c r="D300" s="464"/>
      <c r="E300" s="464"/>
      <c r="F300" s="464"/>
      <c r="G300" s="463"/>
      <c r="H300" s="464"/>
      <c r="I300" s="464"/>
      <c r="J300" s="464"/>
      <c r="K300" s="467"/>
      <c r="L300" s="467"/>
      <c r="M300" s="464"/>
      <c r="N300" s="464"/>
      <c r="O300" s="464"/>
      <c r="P300" s="464"/>
      <c r="Q300" s="464"/>
    </row>
    <row r="301" ht="15.0" customHeight="1">
      <c r="A301" s="463"/>
      <c r="B301" s="464"/>
      <c r="C301" s="465"/>
      <c r="D301" s="464"/>
      <c r="E301" s="464"/>
      <c r="F301" s="464"/>
      <c r="G301" s="463"/>
      <c r="H301" s="1295"/>
      <c r="I301" s="464"/>
      <c r="J301" s="464"/>
      <c r="K301" s="467"/>
      <c r="L301" s="467"/>
      <c r="M301" s="464"/>
      <c r="N301" s="464"/>
      <c r="O301" s="464"/>
      <c r="P301" s="464"/>
      <c r="Q301" s="464"/>
    </row>
    <row r="302" ht="15.0" customHeight="1">
      <c r="A302" s="463"/>
      <c r="B302" s="464"/>
      <c r="C302" s="465"/>
      <c r="D302" s="464"/>
      <c r="E302" s="464"/>
      <c r="F302" s="464"/>
      <c r="G302" s="463"/>
      <c r="H302" s="465"/>
      <c r="I302" s="464"/>
      <c r="J302" s="464"/>
      <c r="K302" s="467"/>
      <c r="L302" s="467"/>
      <c r="M302" s="464"/>
      <c r="N302" s="464"/>
      <c r="O302" s="464"/>
      <c r="P302" s="464"/>
      <c r="Q302" s="464"/>
    </row>
    <row r="303" ht="63.0" customHeight="1">
      <c r="A303" s="463"/>
      <c r="B303" s="486"/>
      <c r="C303" s="465"/>
      <c r="D303" s="464"/>
      <c r="E303" s="464"/>
      <c r="F303" s="464"/>
      <c r="G303" s="463"/>
      <c r="H303" s="465"/>
      <c r="I303" s="464"/>
      <c r="J303" s="464"/>
      <c r="K303" s="464"/>
      <c r="L303" s="464"/>
      <c r="M303" s="463"/>
      <c r="N303" s="463"/>
      <c r="O303" s="464"/>
      <c r="P303" s="482"/>
      <c r="Q303" s="464"/>
    </row>
    <row r="304">
      <c r="A304" s="447"/>
      <c r="B304" s="448"/>
      <c r="C304" s="589"/>
      <c r="D304" s="589"/>
      <c r="E304" s="589"/>
      <c r="F304" s="589"/>
      <c r="G304" s="589"/>
      <c r="H304" s="589"/>
      <c r="I304" s="589"/>
      <c r="J304" s="589"/>
      <c r="K304" s="589"/>
      <c r="L304" s="589"/>
      <c r="M304" s="589"/>
      <c r="N304" s="589"/>
      <c r="O304" s="589"/>
      <c r="P304" s="589"/>
      <c r="Q304" s="589"/>
    </row>
    <row r="305" ht="15.0" customHeight="1">
      <c r="A305" s="475"/>
      <c r="B305" s="467"/>
      <c r="C305" s="467"/>
      <c r="D305" s="464"/>
      <c r="E305" s="464"/>
      <c r="F305" s="467"/>
      <c r="G305" s="475"/>
      <c r="H305" s="467"/>
      <c r="I305" s="467"/>
      <c r="J305" s="467"/>
      <c r="K305" s="467"/>
      <c r="L305" s="467"/>
      <c r="M305" s="467"/>
      <c r="N305" s="467"/>
      <c r="O305" s="467"/>
      <c r="P305" s="128"/>
      <c r="Q305" s="467"/>
    </row>
    <row r="306" ht="15.0" customHeight="1">
      <c r="A306" s="463"/>
      <c r="B306" s="467"/>
      <c r="C306" s="467"/>
      <c r="D306" s="464"/>
      <c r="E306" s="464"/>
      <c r="F306" s="467"/>
      <c r="G306" s="475"/>
      <c r="H306" s="467"/>
      <c r="I306" s="467"/>
      <c r="J306" s="467"/>
      <c r="K306" s="467"/>
      <c r="L306" s="467"/>
      <c r="M306" s="467"/>
      <c r="N306" s="467"/>
      <c r="O306" s="467"/>
      <c r="P306" s="128"/>
      <c r="Q306" s="467"/>
    </row>
    <row r="307" ht="15.0" customHeight="1">
      <c r="A307" s="475"/>
      <c r="B307" s="467"/>
      <c r="C307" s="467"/>
      <c r="D307" s="464"/>
      <c r="E307" s="464"/>
      <c r="F307" s="467"/>
      <c r="G307" s="475"/>
      <c r="H307" s="467"/>
      <c r="I307" s="467"/>
      <c r="J307" s="467"/>
      <c r="K307" s="467"/>
      <c r="L307" s="467"/>
      <c r="M307" s="467"/>
      <c r="N307" s="467"/>
      <c r="O307" s="467"/>
      <c r="P307" s="128"/>
      <c r="Q307" s="467"/>
    </row>
    <row r="308" ht="15.0" customHeight="1">
      <c r="A308" s="463"/>
      <c r="B308" s="467"/>
      <c r="C308" s="467"/>
      <c r="D308" s="464"/>
      <c r="E308" s="464"/>
      <c r="F308" s="467"/>
      <c r="G308" s="475"/>
      <c r="H308" s="467"/>
      <c r="I308" s="467"/>
      <c r="J308" s="467"/>
      <c r="K308" s="467"/>
      <c r="L308" s="467"/>
      <c r="M308" s="467"/>
      <c r="N308" s="467"/>
      <c r="O308" s="128"/>
      <c r="P308" s="128"/>
      <c r="Q308" s="467"/>
    </row>
    <row r="309" ht="15.0" customHeight="1">
      <c r="A309" s="475"/>
      <c r="B309" s="467"/>
      <c r="C309" s="467"/>
      <c r="D309" s="464"/>
      <c r="E309" s="464"/>
      <c r="F309" s="467"/>
      <c r="G309" s="475"/>
      <c r="H309" s="467"/>
      <c r="I309" s="467"/>
      <c r="J309" s="467"/>
      <c r="K309" s="467"/>
      <c r="L309" s="467"/>
      <c r="M309" s="467"/>
      <c r="N309" s="467"/>
      <c r="O309" s="128"/>
      <c r="P309" s="128"/>
      <c r="Q309" s="467"/>
    </row>
    <row r="310" ht="15.0" customHeight="1">
      <c r="A310" s="463"/>
      <c r="B310" s="467"/>
      <c r="C310" s="467"/>
      <c r="D310" s="464"/>
      <c r="E310" s="464"/>
      <c r="F310" s="467"/>
      <c r="G310" s="475"/>
      <c r="H310" s="467"/>
      <c r="I310" s="467"/>
      <c r="J310" s="467"/>
      <c r="K310" s="467"/>
      <c r="L310" s="467"/>
      <c r="M310" s="467"/>
      <c r="N310" s="467"/>
      <c r="O310" s="467"/>
      <c r="P310" s="128"/>
      <c r="Q310" s="467"/>
    </row>
    <row r="311" ht="15.0" customHeight="1">
      <c r="A311" s="475"/>
      <c r="B311" s="467"/>
      <c r="C311" s="467"/>
      <c r="D311" s="464"/>
      <c r="E311" s="464"/>
      <c r="F311" s="467"/>
      <c r="G311" s="475"/>
      <c r="H311" s="467"/>
      <c r="I311" s="467"/>
      <c r="J311" s="467"/>
      <c r="K311" s="467"/>
      <c r="L311" s="467"/>
      <c r="M311" s="467"/>
      <c r="N311" s="467"/>
      <c r="O311" s="467"/>
      <c r="P311" s="128"/>
      <c r="Q311" s="467"/>
    </row>
    <row r="312" ht="15.0" customHeight="1">
      <c r="A312" s="463"/>
      <c r="B312" s="467"/>
      <c r="C312" s="467"/>
      <c r="D312" s="464"/>
      <c r="E312" s="464"/>
      <c r="F312" s="464"/>
      <c r="G312" s="475"/>
      <c r="H312" s="467"/>
      <c r="I312" s="467"/>
      <c r="J312" s="467"/>
      <c r="K312" s="467"/>
      <c r="L312" s="467"/>
      <c r="M312" s="467"/>
      <c r="N312" s="467"/>
      <c r="O312" s="467"/>
      <c r="P312" s="128"/>
      <c r="Q312" s="467"/>
    </row>
    <row r="313" ht="15.0" customHeight="1">
      <c r="A313" s="475"/>
      <c r="B313" s="467"/>
      <c r="C313" s="467"/>
      <c r="D313" s="464"/>
      <c r="E313" s="464"/>
      <c r="F313" s="464"/>
      <c r="G313" s="475"/>
      <c r="H313" s="467"/>
      <c r="I313" s="467"/>
      <c r="J313" s="467"/>
      <c r="K313" s="467"/>
      <c r="L313" s="467"/>
      <c r="M313" s="467"/>
      <c r="N313" s="467"/>
      <c r="O313" s="467"/>
      <c r="P313" s="128"/>
      <c r="Q313" s="467"/>
    </row>
    <row r="314" ht="15.0" customHeight="1">
      <c r="A314" s="463"/>
      <c r="B314" s="467"/>
      <c r="C314" s="467"/>
      <c r="D314" s="464"/>
      <c r="E314" s="464"/>
      <c r="F314" s="467"/>
      <c r="G314" s="475"/>
      <c r="H314" s="467"/>
      <c r="I314" s="467"/>
      <c r="J314" s="467"/>
      <c r="K314" s="467"/>
      <c r="L314" s="467"/>
      <c r="M314" s="467"/>
      <c r="N314" s="467"/>
      <c r="O314" s="467"/>
      <c r="P314" s="128"/>
      <c r="Q314" s="467"/>
    </row>
    <row r="315" ht="15.0" customHeight="1">
      <c r="A315" s="475"/>
      <c r="B315" s="467"/>
      <c r="C315" s="467"/>
      <c r="D315" s="464"/>
      <c r="E315" s="464"/>
      <c r="F315" s="464"/>
      <c r="G315" s="475"/>
      <c r="H315" s="467"/>
      <c r="I315" s="467"/>
      <c r="J315" s="467"/>
      <c r="K315" s="467"/>
      <c r="L315" s="467"/>
      <c r="M315" s="467"/>
      <c r="N315" s="467"/>
      <c r="O315" s="467"/>
      <c r="P315" s="128"/>
      <c r="Q315" s="467"/>
    </row>
    <row r="316" ht="15.0" hidden="1" customHeight="1">
      <c r="A316" s="475"/>
      <c r="C316" s="476"/>
      <c r="D316" s="467"/>
      <c r="E316" s="467"/>
      <c r="F316" s="467"/>
      <c r="G316" s="475"/>
      <c r="H316" s="467"/>
      <c r="I316" s="467"/>
      <c r="J316" s="467"/>
      <c r="K316" s="467"/>
      <c r="L316" s="467"/>
      <c r="M316" s="467"/>
      <c r="N316" s="467"/>
      <c r="O316" s="467"/>
      <c r="Q316" s="611"/>
    </row>
    <row r="317" ht="15.0" hidden="1" customHeight="1">
      <c r="A317" s="475"/>
      <c r="C317" s="476"/>
      <c r="D317" s="467"/>
      <c r="E317" s="467"/>
      <c r="F317" s="467"/>
      <c r="G317" s="475"/>
      <c r="H317" s="467"/>
      <c r="I317" s="467"/>
      <c r="J317" s="467"/>
      <c r="K317" s="467"/>
      <c r="L317" s="467"/>
      <c r="M317" s="467"/>
      <c r="N317" s="467"/>
      <c r="O317" s="467"/>
      <c r="Q317" s="611"/>
    </row>
    <row r="318" ht="15.0" hidden="1" customHeight="1">
      <c r="A318" s="475"/>
      <c r="C318" s="476"/>
      <c r="D318" s="467"/>
      <c r="E318" s="467"/>
      <c r="F318" s="467"/>
      <c r="G318" s="475"/>
      <c r="H318" s="467"/>
      <c r="I318" s="467"/>
      <c r="J318" s="467"/>
      <c r="K318" s="467"/>
      <c r="L318" s="467"/>
      <c r="M318" s="467"/>
      <c r="N318" s="467"/>
      <c r="O318" s="467"/>
      <c r="Q318" s="611"/>
    </row>
    <row r="319" ht="15.0" hidden="1" customHeight="1">
      <c r="A319" s="475"/>
      <c r="C319" s="476"/>
      <c r="D319" s="467"/>
      <c r="E319" s="467"/>
      <c r="F319" s="467"/>
      <c r="G319" s="475"/>
      <c r="H319" s="464"/>
      <c r="I319" s="467"/>
      <c r="J319" s="467"/>
      <c r="K319" s="467"/>
      <c r="L319" s="467"/>
      <c r="M319" s="467"/>
      <c r="N319" s="467"/>
      <c r="O319" s="467"/>
      <c r="Q319" s="611"/>
    </row>
    <row r="320" ht="15.0" hidden="1" customHeight="1">
      <c r="A320" s="475"/>
      <c r="C320" s="476"/>
      <c r="D320" s="467"/>
      <c r="E320" s="467"/>
      <c r="F320" s="467"/>
      <c r="G320" s="475"/>
      <c r="H320" s="467"/>
      <c r="I320" s="467"/>
      <c r="J320" s="467"/>
      <c r="K320" s="467"/>
      <c r="L320" s="467"/>
      <c r="M320" s="467"/>
      <c r="N320" s="467"/>
      <c r="O320" s="467"/>
      <c r="Q320" s="611"/>
    </row>
    <row r="321" ht="15.0" hidden="1" customHeight="1">
      <c r="A321" s="475"/>
      <c r="C321" s="476"/>
      <c r="D321" s="467"/>
      <c r="E321" s="467"/>
      <c r="F321" s="467"/>
      <c r="G321" s="475"/>
      <c r="H321" s="467"/>
      <c r="I321" s="467"/>
      <c r="J321" s="467"/>
      <c r="K321" s="467"/>
      <c r="L321" s="467"/>
      <c r="M321" s="467"/>
      <c r="N321" s="467"/>
      <c r="O321" s="467"/>
      <c r="Q321" s="611"/>
    </row>
    <row r="322" ht="15.0" hidden="1" customHeight="1">
      <c r="A322" s="475"/>
      <c r="C322" s="476"/>
      <c r="D322" s="467"/>
      <c r="E322" s="467"/>
      <c r="F322" s="467"/>
      <c r="G322" s="475"/>
      <c r="H322" s="467"/>
      <c r="I322" s="467"/>
      <c r="J322" s="467"/>
      <c r="K322" s="467"/>
      <c r="L322" s="467"/>
      <c r="M322" s="467"/>
      <c r="N322" s="467"/>
      <c r="O322" s="467"/>
      <c r="Q322" s="467"/>
    </row>
    <row r="323" ht="15.0" hidden="1" customHeight="1">
      <c r="A323" s="475"/>
      <c r="C323" s="476"/>
      <c r="D323" s="467"/>
      <c r="E323" s="467"/>
      <c r="F323" s="467"/>
      <c r="G323" s="475"/>
      <c r="H323" s="467"/>
      <c r="I323" s="467"/>
      <c r="J323" s="467"/>
      <c r="K323" s="467"/>
      <c r="L323" s="467"/>
      <c r="M323" s="467"/>
      <c r="N323" s="467"/>
      <c r="O323" s="467"/>
      <c r="Q323" s="467"/>
    </row>
    <row r="324">
      <c r="A324" s="447"/>
      <c r="B324" s="448"/>
      <c r="C324" s="589"/>
      <c r="D324" s="589"/>
      <c r="E324" s="589"/>
      <c r="F324" s="589"/>
      <c r="G324" s="589"/>
      <c r="H324" s="589"/>
      <c r="I324" s="589"/>
      <c r="J324" s="589"/>
      <c r="K324" s="589"/>
      <c r="L324" s="589"/>
      <c r="M324" s="589"/>
      <c r="N324" s="589"/>
      <c r="O324" s="589"/>
      <c r="P324" s="589"/>
      <c r="Q324" s="589"/>
    </row>
    <row r="325" ht="15.0" customHeight="1">
      <c r="A325" s="48"/>
      <c r="B325" s="467"/>
      <c r="C325" s="476"/>
      <c r="D325" s="467"/>
      <c r="E325" s="467"/>
      <c r="F325" s="464"/>
      <c r="G325" s="463"/>
      <c r="H325" s="467"/>
      <c r="I325" s="467"/>
      <c r="J325" s="467"/>
      <c r="K325" s="475"/>
      <c r="L325" s="475"/>
      <c r="M325" s="467"/>
      <c r="N325" s="467"/>
      <c r="O325" s="467"/>
      <c r="P325" s="467"/>
      <c r="Q325" s="476"/>
    </row>
    <row r="326" ht="15.0" customHeight="1">
      <c r="A326" s="48"/>
      <c r="B326" s="464"/>
      <c r="C326" s="465"/>
      <c r="D326" s="467"/>
      <c r="E326" s="467"/>
      <c r="F326" s="464"/>
      <c r="G326" s="463"/>
      <c r="H326" s="467"/>
      <c r="I326" s="467"/>
      <c r="J326" s="467"/>
      <c r="K326" s="463"/>
      <c r="L326" s="463"/>
      <c r="M326" s="467"/>
      <c r="N326" s="467"/>
      <c r="O326" s="467"/>
      <c r="P326" s="467"/>
      <c r="Q326" s="476"/>
    </row>
    <row r="327" ht="15.0" customHeight="1">
      <c r="A327" s="48"/>
      <c r="B327" s="464"/>
      <c r="C327" s="465"/>
      <c r="D327" s="467"/>
      <c r="E327" s="467"/>
      <c r="F327" s="464"/>
      <c r="G327" s="463"/>
      <c r="H327" s="467"/>
      <c r="I327" s="467"/>
      <c r="J327" s="467"/>
      <c r="K327" s="463"/>
      <c r="L327" s="463"/>
      <c r="M327" s="467"/>
      <c r="N327" s="467"/>
      <c r="O327" s="467"/>
      <c r="P327" s="467"/>
      <c r="Q327" s="476"/>
    </row>
    <row r="328" ht="15.0" customHeight="1">
      <c r="A328" s="48"/>
      <c r="B328" s="464"/>
      <c r="C328" s="465"/>
      <c r="D328" s="467"/>
      <c r="E328" s="467"/>
      <c r="F328" s="464"/>
      <c r="G328" s="463"/>
      <c r="H328" s="467"/>
      <c r="I328" s="467"/>
      <c r="J328" s="467"/>
      <c r="K328" s="463"/>
      <c r="L328" s="463"/>
      <c r="M328" s="467"/>
      <c r="N328" s="467"/>
      <c r="O328" s="467"/>
      <c r="P328" s="467"/>
      <c r="Q328" s="476"/>
    </row>
    <row r="329" ht="15.0" customHeight="1">
      <c r="A329" s="48"/>
      <c r="B329" s="464"/>
      <c r="C329" s="465"/>
      <c r="D329" s="467"/>
      <c r="E329" s="467"/>
      <c r="F329" s="464"/>
      <c r="G329" s="463"/>
      <c r="H329" s="467"/>
      <c r="I329" s="467"/>
      <c r="J329" s="467"/>
      <c r="K329" s="463"/>
      <c r="L329" s="463"/>
      <c r="M329" s="467"/>
      <c r="N329" s="467"/>
      <c r="O329" s="467"/>
      <c r="P329" s="467"/>
      <c r="Q329" s="476"/>
    </row>
    <row r="330" ht="15.0" customHeight="1">
      <c r="A330" s="617"/>
      <c r="B330" s="618"/>
      <c r="C330" s="618"/>
      <c r="D330" s="618"/>
      <c r="E330" s="618"/>
      <c r="F330" s="618"/>
      <c r="G330" s="617"/>
      <c r="H330" s="618"/>
      <c r="I330" s="618"/>
      <c r="J330" s="618"/>
      <c r="K330" s="618"/>
      <c r="L330" s="618"/>
      <c r="M330" s="618"/>
      <c r="N330" s="618"/>
      <c r="O330" s="618"/>
      <c r="P330" s="618"/>
      <c r="Q330" s="618"/>
    </row>
    <row r="331" ht="13.5" customHeight="1">
      <c r="A331" s="621"/>
      <c r="B331" s="622"/>
      <c r="C331" s="625"/>
      <c r="D331" s="623"/>
      <c r="E331" s="623"/>
      <c r="F331" s="623"/>
      <c r="G331" s="623"/>
      <c r="H331" s="624"/>
      <c r="I331" s="623"/>
      <c r="J331" s="623"/>
      <c r="K331" s="623"/>
      <c r="L331" s="623"/>
      <c r="M331" s="625"/>
      <c r="N331" s="625"/>
      <c r="O331" s="625"/>
      <c r="P331" s="623"/>
      <c r="Q331" s="623"/>
    </row>
    <row r="332" ht="15.0" customHeight="1">
      <c r="A332" s="463"/>
      <c r="B332" s="464"/>
      <c r="C332" s="465"/>
      <c r="D332" s="467"/>
      <c r="E332" s="467"/>
      <c r="F332" s="464"/>
      <c r="G332" s="475"/>
      <c r="H332" s="464"/>
      <c r="I332" s="467"/>
      <c r="J332" s="463"/>
      <c r="K332" s="483"/>
      <c r="L332" s="483"/>
      <c r="M332" s="467"/>
      <c r="N332" s="467"/>
      <c r="O332" s="467"/>
      <c r="P332" s="467"/>
      <c r="Q332" s="467"/>
    </row>
    <row r="333" ht="15.0" customHeight="1">
      <c r="A333" s="463"/>
      <c r="B333" s="464"/>
      <c r="C333" s="465"/>
      <c r="D333" s="467"/>
      <c r="E333" s="467"/>
      <c r="F333" s="464"/>
      <c r="G333" s="475"/>
      <c r="H333" s="464"/>
      <c r="I333" s="467"/>
      <c r="J333" s="463"/>
      <c r="K333" s="483"/>
      <c r="L333" s="483"/>
      <c r="M333" s="467"/>
      <c r="N333" s="467"/>
      <c r="O333" s="467"/>
      <c r="P333" s="467"/>
      <c r="Q333" s="467"/>
    </row>
    <row r="334" ht="15.0" customHeight="1">
      <c r="A334" s="463"/>
      <c r="B334" s="464"/>
      <c r="C334" s="465"/>
      <c r="D334" s="467"/>
      <c r="E334" s="467"/>
      <c r="F334" s="464"/>
      <c r="G334" s="475"/>
      <c r="H334" s="464"/>
      <c r="I334" s="467"/>
      <c r="J334" s="463"/>
      <c r="K334" s="483"/>
      <c r="L334" s="483"/>
      <c r="M334" s="467"/>
      <c r="N334" s="467"/>
      <c r="O334" s="467"/>
      <c r="P334" s="467"/>
      <c r="Q334" s="467"/>
    </row>
    <row r="335" ht="15.0" customHeight="1">
      <c r="A335" s="463"/>
      <c r="B335" s="1449"/>
      <c r="C335" s="1450"/>
      <c r="D335" s="1451"/>
      <c r="E335" s="1451"/>
      <c r="F335" s="1451"/>
      <c r="G335" s="1452"/>
      <c r="H335" s="464"/>
      <c r="I335" s="1453"/>
      <c r="J335" s="1453"/>
      <c r="K335" s="1454"/>
      <c r="L335" s="1454"/>
      <c r="M335" s="1454"/>
      <c r="N335" s="1455"/>
      <c r="O335" s="1454"/>
      <c r="P335" s="1451"/>
      <c r="Q335" s="1451"/>
    </row>
    <row r="336" ht="15.0" customHeight="1">
      <c r="A336" s="463"/>
      <c r="B336" s="1456"/>
      <c r="C336" s="1457"/>
      <c r="D336" s="1458"/>
      <c r="E336" s="1458"/>
      <c r="F336" s="1458"/>
      <c r="G336" s="1452"/>
      <c r="H336" s="464"/>
      <c r="I336" s="1459"/>
      <c r="J336" s="1459"/>
      <c r="K336" s="1460"/>
      <c r="L336" s="1460"/>
      <c r="M336" s="1460"/>
      <c r="N336" s="1461"/>
      <c r="O336" s="1460"/>
      <c r="P336" s="1458"/>
      <c r="Q336" s="1458"/>
    </row>
    <row r="337" ht="15.0" customHeight="1">
      <c r="A337" s="463"/>
      <c r="B337" s="1456"/>
      <c r="C337" s="1457"/>
      <c r="D337" s="1458"/>
      <c r="E337" s="1458"/>
      <c r="F337" s="1458"/>
      <c r="G337" s="1452"/>
      <c r="H337" s="464"/>
      <c r="I337" s="1459"/>
      <c r="J337" s="1459"/>
      <c r="K337" s="1460"/>
      <c r="L337" s="1460"/>
      <c r="M337" s="1460"/>
      <c r="N337" s="1461"/>
      <c r="O337" s="1460"/>
      <c r="P337" s="1458"/>
      <c r="Q337" s="1458"/>
    </row>
    <row r="338" ht="15.0" customHeight="1">
      <c r="A338" s="463"/>
      <c r="B338" s="464"/>
      <c r="C338" s="476"/>
      <c r="D338" s="467"/>
      <c r="E338" s="467"/>
      <c r="F338" s="467"/>
      <c r="G338" s="475"/>
      <c r="H338" s="1295"/>
      <c r="I338" s="467"/>
      <c r="J338" s="1459"/>
      <c r="K338" s="1462"/>
      <c r="L338" s="467"/>
      <c r="M338" s="467"/>
      <c r="N338" s="467"/>
      <c r="O338" s="467"/>
      <c r="P338" s="467"/>
      <c r="Q338" s="476"/>
    </row>
    <row r="339" ht="15.0" customHeight="1">
      <c r="A339" s="463"/>
      <c r="B339" s="503"/>
      <c r="C339" s="465"/>
      <c r="D339" s="464"/>
      <c r="E339" s="464"/>
      <c r="F339" s="464"/>
      <c r="G339" s="463"/>
      <c r="H339" s="1295"/>
      <c r="I339" s="464"/>
      <c r="J339" s="464"/>
      <c r="K339" s="464"/>
      <c r="L339" s="464"/>
      <c r="M339" s="464"/>
      <c r="N339" s="464"/>
      <c r="O339" s="464"/>
      <c r="P339" s="464"/>
      <c r="Q339" s="464"/>
    </row>
    <row r="340" ht="15.0" customHeight="1">
      <c r="A340" s="475"/>
      <c r="B340" s="467"/>
      <c r="C340" s="476"/>
      <c r="D340" s="467"/>
      <c r="E340" s="467"/>
      <c r="F340" s="467"/>
      <c r="G340" s="475"/>
      <c r="H340" s="467"/>
      <c r="I340" s="467"/>
      <c r="J340" s="467"/>
      <c r="K340" s="467"/>
      <c r="L340" s="467"/>
      <c r="M340" s="467"/>
      <c r="N340" s="467"/>
      <c r="O340" s="467"/>
      <c r="P340" s="467"/>
      <c r="Q340" s="467"/>
    </row>
    <row r="341" ht="15.0" customHeight="1">
      <c r="A341" s="475"/>
      <c r="B341" s="467"/>
      <c r="C341" s="476"/>
      <c r="D341" s="467"/>
      <c r="E341" s="467"/>
      <c r="F341" s="467"/>
      <c r="G341" s="475"/>
      <c r="H341" s="467"/>
      <c r="I341" s="467"/>
      <c r="J341" s="467"/>
      <c r="K341" s="467"/>
      <c r="L341" s="467"/>
      <c r="M341" s="467"/>
      <c r="N341" s="467"/>
      <c r="O341" s="467"/>
      <c r="P341" s="467"/>
      <c r="Q341" s="467"/>
    </row>
    <row r="342" ht="15.0" customHeight="1">
      <c r="A342" s="475"/>
      <c r="B342" s="467"/>
      <c r="C342" s="476"/>
      <c r="D342" s="467"/>
      <c r="E342" s="467"/>
      <c r="F342" s="467"/>
      <c r="G342" s="475"/>
      <c r="H342" s="467"/>
      <c r="I342" s="467"/>
      <c r="J342" s="467"/>
      <c r="K342" s="467"/>
      <c r="L342" s="467"/>
      <c r="M342" s="467"/>
      <c r="N342" s="467"/>
      <c r="O342" s="467"/>
      <c r="P342" s="467"/>
      <c r="Q342" s="467"/>
    </row>
    <row r="343" ht="15.0" customHeight="1">
      <c r="A343" s="1296"/>
      <c r="B343" s="846"/>
      <c r="C343" s="846"/>
      <c r="D343" s="846"/>
      <c r="E343" s="846"/>
      <c r="F343" s="846"/>
      <c r="G343" s="846"/>
      <c r="H343" s="846"/>
      <c r="I343" s="846"/>
      <c r="J343" s="846"/>
      <c r="K343" s="846"/>
      <c r="L343" s="846"/>
      <c r="M343" s="846"/>
      <c r="N343" s="846"/>
      <c r="O343" s="846"/>
      <c r="P343" s="846"/>
      <c r="Q343" s="846"/>
    </row>
    <row r="344" ht="15.0" customHeight="1">
      <c r="A344" s="1296"/>
      <c r="B344" s="846"/>
      <c r="C344" s="846"/>
      <c r="D344" s="846"/>
      <c r="E344" s="846"/>
      <c r="F344" s="846"/>
      <c r="G344" s="846"/>
      <c r="H344" s="846"/>
      <c r="I344" s="846"/>
      <c r="J344" s="846"/>
      <c r="K344" s="846"/>
      <c r="L344" s="846"/>
      <c r="M344" s="846"/>
      <c r="N344" s="846"/>
      <c r="O344" s="846"/>
      <c r="P344" s="846"/>
      <c r="Q344" s="846"/>
    </row>
    <row r="345" ht="15.0" customHeight="1">
      <c r="A345" s="1296"/>
      <c r="B345" s="846"/>
      <c r="C345" s="846"/>
      <c r="D345" s="846"/>
      <c r="E345" s="846"/>
      <c r="F345" s="846"/>
      <c r="G345" s="846"/>
      <c r="H345" s="846"/>
      <c r="I345" s="846"/>
      <c r="J345" s="846"/>
      <c r="K345" s="846"/>
      <c r="L345" s="846"/>
      <c r="M345" s="846"/>
      <c r="N345" s="846"/>
      <c r="O345" s="846"/>
      <c r="P345" s="846"/>
      <c r="Q345" s="846"/>
    </row>
    <row r="346" ht="15.0" customHeight="1">
      <c r="A346" s="1296"/>
      <c r="B346" s="846"/>
      <c r="C346" s="846"/>
      <c r="D346" s="846"/>
      <c r="E346" s="846"/>
      <c r="F346" s="846"/>
      <c r="G346" s="846"/>
      <c r="H346" s="846"/>
      <c r="I346" s="846"/>
      <c r="J346" s="846"/>
      <c r="K346" s="846"/>
      <c r="L346" s="846"/>
      <c r="M346" s="846"/>
      <c r="N346" s="846"/>
      <c r="O346" s="846"/>
      <c r="P346" s="846"/>
      <c r="Q346" s="846"/>
    </row>
    <row r="347" ht="15.0" customHeight="1">
      <c r="A347" s="1296"/>
      <c r="B347" s="846"/>
      <c r="C347" s="846"/>
      <c r="D347" s="846"/>
      <c r="E347" s="846"/>
      <c r="F347" s="846"/>
      <c r="G347" s="846"/>
      <c r="H347" s="846"/>
      <c r="I347" s="846"/>
      <c r="J347" s="846"/>
      <c r="K347" s="846"/>
      <c r="L347" s="846"/>
      <c r="M347" s="846"/>
      <c r="N347" s="846"/>
      <c r="O347" s="846"/>
      <c r="P347" s="846"/>
      <c r="Q347" s="846"/>
    </row>
    <row r="348" ht="15.0" customHeight="1">
      <c r="A348" s="1296"/>
      <c r="B348" s="846"/>
      <c r="C348" s="846"/>
      <c r="D348" s="846"/>
      <c r="E348" s="846"/>
      <c r="F348" s="846"/>
      <c r="G348" s="846"/>
      <c r="H348" s="846"/>
      <c r="I348" s="846"/>
      <c r="J348" s="846"/>
      <c r="K348" s="846"/>
      <c r="L348" s="846"/>
      <c r="M348" s="846"/>
      <c r="N348" s="846"/>
      <c r="O348" s="846"/>
      <c r="P348" s="846"/>
      <c r="Q348" s="846"/>
    </row>
    <row r="349" ht="15.0" customHeight="1">
      <c r="A349" s="1296"/>
      <c r="B349" s="846"/>
      <c r="C349" s="846"/>
      <c r="D349" s="846"/>
      <c r="E349" s="846"/>
      <c r="F349" s="846"/>
      <c r="G349" s="846"/>
      <c r="H349" s="846"/>
      <c r="I349" s="846"/>
      <c r="J349" s="846"/>
      <c r="K349" s="846"/>
      <c r="L349" s="846"/>
      <c r="M349" s="846"/>
      <c r="N349" s="846"/>
      <c r="O349" s="846"/>
      <c r="P349" s="846"/>
      <c r="Q349" s="846"/>
    </row>
    <row r="350" ht="15.0" customHeight="1">
      <c r="A350" s="1296"/>
      <c r="B350" s="846"/>
      <c r="C350" s="846"/>
      <c r="D350" s="846"/>
      <c r="E350" s="846"/>
      <c r="F350" s="846"/>
      <c r="G350" s="846"/>
      <c r="H350" s="846"/>
      <c r="I350" s="846"/>
      <c r="J350" s="846"/>
      <c r="K350" s="846"/>
      <c r="L350" s="846"/>
      <c r="M350" s="846"/>
      <c r="N350" s="846"/>
      <c r="O350" s="846"/>
      <c r="P350" s="846"/>
      <c r="Q350" s="846"/>
    </row>
    <row r="351" ht="15.0" customHeight="1">
      <c r="A351" s="1296"/>
      <c r="B351" s="846"/>
      <c r="C351" s="846"/>
      <c r="D351" s="846"/>
      <c r="E351" s="846"/>
      <c r="F351" s="846"/>
      <c r="G351" s="846"/>
      <c r="H351" s="846"/>
      <c r="I351" s="846"/>
      <c r="J351" s="846"/>
      <c r="K351" s="846"/>
      <c r="L351" s="846"/>
      <c r="M351" s="846"/>
      <c r="N351" s="846"/>
      <c r="O351" s="846"/>
      <c r="P351" s="846"/>
      <c r="Q351" s="846"/>
    </row>
    <row r="352" ht="15.0" customHeight="1">
      <c r="A352" s="1296"/>
      <c r="B352" s="846"/>
      <c r="C352" s="846"/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</row>
    <row r="353" ht="15.0" customHeight="1">
      <c r="A353" s="1296"/>
      <c r="B353" s="846"/>
      <c r="C353" s="846"/>
      <c r="D353" s="846"/>
      <c r="E353" s="846"/>
      <c r="F353" s="846"/>
      <c r="G353" s="846"/>
      <c r="H353" s="846"/>
      <c r="I353" s="846"/>
      <c r="J353" s="846"/>
      <c r="K353" s="846"/>
      <c r="L353" s="846"/>
      <c r="M353" s="846"/>
      <c r="N353" s="846"/>
      <c r="O353" s="846"/>
      <c r="P353" s="846"/>
      <c r="Q353" s="846"/>
    </row>
    <row r="354" ht="15.0" customHeight="1">
      <c r="A354" s="1296"/>
      <c r="B354" s="846"/>
      <c r="C354" s="846"/>
      <c r="D354" s="846"/>
      <c r="E354" s="846"/>
      <c r="F354" s="846"/>
      <c r="G354" s="846"/>
      <c r="H354" s="846"/>
      <c r="I354" s="846"/>
      <c r="J354" s="846"/>
      <c r="K354" s="846"/>
      <c r="L354" s="846"/>
      <c r="M354" s="846"/>
      <c r="N354" s="846"/>
      <c r="O354" s="846"/>
      <c r="P354" s="846"/>
      <c r="Q354" s="846"/>
    </row>
    <row r="355" ht="15.0" customHeight="1">
      <c r="A355" s="1296"/>
      <c r="B355" s="846"/>
      <c r="C355" s="846"/>
      <c r="D355" s="846"/>
      <c r="E355" s="846"/>
      <c r="F355" s="846"/>
      <c r="G355" s="846"/>
      <c r="H355" s="846"/>
      <c r="I355" s="846"/>
      <c r="J355" s="846"/>
      <c r="K355" s="846"/>
      <c r="L355" s="846"/>
      <c r="M355" s="846"/>
      <c r="N355" s="846"/>
      <c r="O355" s="846"/>
      <c r="P355" s="846"/>
      <c r="Q355" s="846"/>
    </row>
    <row r="356" ht="15.0" customHeight="1">
      <c r="A356" s="1296"/>
      <c r="B356" s="846"/>
      <c r="C356" s="846"/>
      <c r="D356" s="846"/>
      <c r="E356" s="846"/>
      <c r="F356" s="846"/>
      <c r="G356" s="846"/>
      <c r="H356" s="846"/>
      <c r="I356" s="846"/>
      <c r="J356" s="846"/>
      <c r="K356" s="846"/>
      <c r="L356" s="846"/>
      <c r="M356" s="846"/>
      <c r="N356" s="846"/>
      <c r="O356" s="846"/>
      <c r="P356" s="846"/>
      <c r="Q356" s="846"/>
    </row>
    <row r="357" ht="15.0" customHeight="1">
      <c r="A357" s="1296"/>
      <c r="B357" s="846"/>
      <c r="C357" s="846"/>
      <c r="D357" s="846"/>
      <c r="E357" s="846"/>
      <c r="F357" s="846"/>
      <c r="G357" s="846"/>
      <c r="H357" s="846"/>
      <c r="I357" s="846"/>
      <c r="J357" s="846"/>
      <c r="K357" s="846"/>
      <c r="L357" s="846"/>
      <c r="M357" s="846"/>
      <c r="N357" s="846"/>
      <c r="O357" s="846"/>
      <c r="P357" s="846"/>
      <c r="Q357" s="846"/>
    </row>
    <row r="358" ht="15.0" customHeight="1">
      <c r="A358" s="1296"/>
      <c r="B358" s="846"/>
      <c r="C358" s="846"/>
      <c r="D358" s="846"/>
      <c r="E358" s="846"/>
      <c r="F358" s="846"/>
      <c r="G358" s="846"/>
      <c r="H358" s="846"/>
      <c r="I358" s="846"/>
      <c r="J358" s="846"/>
      <c r="K358" s="846"/>
      <c r="L358" s="846"/>
      <c r="M358" s="846"/>
      <c r="N358" s="846"/>
      <c r="O358" s="846"/>
      <c r="P358" s="846"/>
      <c r="Q358" s="846"/>
    </row>
    <row r="359" ht="15.0" customHeight="1">
      <c r="A359" s="1296"/>
      <c r="B359" s="846"/>
      <c r="C359" s="846"/>
      <c r="D359" s="846"/>
      <c r="E359" s="846"/>
      <c r="F359" s="846"/>
      <c r="G359" s="846"/>
      <c r="H359" s="846"/>
      <c r="I359" s="846"/>
      <c r="J359" s="846"/>
      <c r="K359" s="846"/>
      <c r="L359" s="846"/>
      <c r="M359" s="846"/>
      <c r="N359" s="846"/>
      <c r="O359" s="846"/>
      <c r="P359" s="846"/>
      <c r="Q359" s="846"/>
    </row>
    <row r="360" ht="15.0" customHeight="1">
      <c r="A360" s="1296"/>
      <c r="B360" s="846"/>
      <c r="C360" s="846"/>
      <c r="D360" s="846"/>
      <c r="E360" s="846"/>
      <c r="F360" s="846"/>
      <c r="G360" s="846"/>
      <c r="H360" s="846"/>
      <c r="I360" s="846"/>
      <c r="J360" s="846"/>
      <c r="K360" s="846"/>
      <c r="L360" s="846"/>
      <c r="M360" s="846"/>
      <c r="N360" s="846"/>
      <c r="O360" s="846"/>
      <c r="P360" s="846"/>
      <c r="Q360" s="846"/>
    </row>
    <row r="361" ht="15.0" customHeight="1">
      <c r="A361" s="1296"/>
      <c r="B361" s="846"/>
      <c r="C361" s="846"/>
      <c r="D361" s="846"/>
      <c r="E361" s="846"/>
      <c r="F361" s="846"/>
      <c r="G361" s="846"/>
      <c r="H361" s="846"/>
      <c r="I361" s="846"/>
      <c r="J361" s="846"/>
      <c r="K361" s="846"/>
      <c r="L361" s="846"/>
      <c r="M361" s="846"/>
      <c r="N361" s="846"/>
      <c r="O361" s="846"/>
      <c r="P361" s="846"/>
      <c r="Q361" s="846"/>
    </row>
    <row r="362" ht="15.0" customHeight="1">
      <c r="A362" s="1296"/>
      <c r="B362" s="846"/>
      <c r="C362" s="846"/>
      <c r="D362" s="846"/>
      <c r="E362" s="846"/>
      <c r="F362" s="846"/>
      <c r="G362" s="846"/>
      <c r="H362" s="846"/>
      <c r="I362" s="846"/>
      <c r="J362" s="846"/>
      <c r="K362" s="846"/>
      <c r="L362" s="846"/>
      <c r="M362" s="846"/>
      <c r="N362" s="846"/>
      <c r="O362" s="846"/>
      <c r="P362" s="846"/>
      <c r="Q362" s="846"/>
    </row>
    <row r="363" ht="15.0" customHeight="1">
      <c r="A363" s="1296"/>
      <c r="B363" s="846"/>
      <c r="C363" s="846"/>
      <c r="D363" s="846"/>
      <c r="E363" s="846"/>
      <c r="F363" s="846"/>
      <c r="G363" s="846"/>
      <c r="H363" s="846"/>
      <c r="I363" s="846"/>
      <c r="J363" s="846"/>
      <c r="K363" s="846"/>
      <c r="L363" s="846"/>
      <c r="M363" s="846"/>
      <c r="N363" s="846"/>
      <c r="O363" s="846"/>
      <c r="P363" s="846"/>
      <c r="Q363" s="846"/>
    </row>
    <row r="364" ht="15.0" customHeight="1">
      <c r="A364" s="1296"/>
      <c r="B364" s="846"/>
      <c r="C364" s="846"/>
      <c r="D364" s="846"/>
      <c r="E364" s="846"/>
      <c r="F364" s="846"/>
      <c r="G364" s="846"/>
      <c r="H364" s="846"/>
      <c r="I364" s="846"/>
      <c r="J364" s="846"/>
      <c r="K364" s="846"/>
      <c r="L364" s="846"/>
      <c r="M364" s="846"/>
      <c r="N364" s="846"/>
      <c r="O364" s="846"/>
      <c r="P364" s="846"/>
      <c r="Q364" s="846"/>
    </row>
    <row r="365" ht="15.0" customHeight="1">
      <c r="A365" s="1296"/>
      <c r="B365" s="846"/>
      <c r="C365" s="846"/>
      <c r="D365" s="846"/>
      <c r="E365" s="846"/>
      <c r="F365" s="846"/>
      <c r="G365" s="846"/>
      <c r="H365" s="846"/>
      <c r="I365" s="846"/>
      <c r="J365" s="846"/>
      <c r="K365" s="846"/>
      <c r="L365" s="846"/>
      <c r="M365" s="846"/>
      <c r="N365" s="846"/>
      <c r="O365" s="846"/>
      <c r="P365" s="846"/>
      <c r="Q365" s="846"/>
    </row>
    <row r="366" ht="15.0" customHeight="1">
      <c r="A366" s="1296"/>
      <c r="B366" s="846"/>
      <c r="C366" s="846"/>
      <c r="D366" s="846"/>
      <c r="E366" s="846"/>
      <c r="F366" s="846"/>
      <c r="G366" s="846"/>
      <c r="H366" s="846"/>
      <c r="I366" s="846"/>
      <c r="J366" s="846"/>
      <c r="K366" s="846"/>
      <c r="L366" s="846"/>
      <c r="M366" s="846"/>
      <c r="N366" s="846"/>
      <c r="O366" s="846"/>
      <c r="P366" s="846"/>
      <c r="Q366" s="846"/>
    </row>
    <row r="367" ht="15.0" customHeight="1">
      <c r="A367" s="1296"/>
      <c r="B367" s="846"/>
      <c r="C367" s="846"/>
      <c r="D367" s="846"/>
      <c r="E367" s="846"/>
      <c r="F367" s="846"/>
      <c r="G367" s="846"/>
      <c r="H367" s="846"/>
      <c r="I367" s="846"/>
      <c r="J367" s="846"/>
      <c r="K367" s="846"/>
      <c r="L367" s="846"/>
      <c r="M367" s="846"/>
      <c r="N367" s="846"/>
      <c r="O367" s="846"/>
      <c r="P367" s="846"/>
      <c r="Q367" s="846"/>
    </row>
    <row r="368" ht="15.0" customHeight="1">
      <c r="A368" s="1296"/>
      <c r="B368" s="846"/>
      <c r="C368" s="846"/>
      <c r="D368" s="846"/>
      <c r="E368" s="846"/>
      <c r="F368" s="846"/>
      <c r="G368" s="846"/>
      <c r="H368" s="846"/>
      <c r="I368" s="846"/>
      <c r="J368" s="846"/>
      <c r="K368" s="846"/>
      <c r="L368" s="846"/>
      <c r="M368" s="846"/>
      <c r="N368" s="846"/>
      <c r="O368" s="846"/>
      <c r="P368" s="846"/>
      <c r="Q368" s="846"/>
    </row>
    <row r="369" ht="15.0" customHeight="1">
      <c r="A369" s="1296"/>
      <c r="B369" s="846"/>
      <c r="C369" s="846"/>
      <c r="D369" s="846"/>
      <c r="E369" s="846"/>
      <c r="F369" s="846"/>
      <c r="G369" s="846"/>
      <c r="H369" s="846"/>
      <c r="I369" s="846"/>
      <c r="J369" s="846"/>
      <c r="K369" s="846"/>
      <c r="L369" s="846"/>
      <c r="M369" s="846"/>
      <c r="N369" s="846"/>
      <c r="O369" s="846"/>
      <c r="P369" s="846"/>
      <c r="Q369" s="846"/>
    </row>
    <row r="370" ht="15.0" customHeight="1">
      <c r="A370" s="1296"/>
      <c r="B370" s="846"/>
      <c r="C370" s="846"/>
      <c r="D370" s="846"/>
      <c r="E370" s="846"/>
      <c r="F370" s="846"/>
      <c r="G370" s="846"/>
      <c r="H370" s="846"/>
      <c r="I370" s="846"/>
      <c r="J370" s="846"/>
      <c r="K370" s="846"/>
      <c r="L370" s="846"/>
      <c r="M370" s="846"/>
      <c r="N370" s="846"/>
      <c r="O370" s="846"/>
      <c r="P370" s="846"/>
      <c r="Q370" s="846"/>
    </row>
    <row r="371" ht="15.0" customHeight="1">
      <c r="A371" s="1296"/>
      <c r="B371" s="846"/>
      <c r="C371" s="846"/>
      <c r="D371" s="846"/>
      <c r="E371" s="846"/>
      <c r="F371" s="846"/>
      <c r="G371" s="846"/>
      <c r="H371" s="846"/>
      <c r="I371" s="846"/>
      <c r="J371" s="846"/>
      <c r="K371" s="846"/>
      <c r="L371" s="846"/>
      <c r="M371" s="846"/>
      <c r="N371" s="846"/>
      <c r="O371" s="846"/>
      <c r="P371" s="846"/>
      <c r="Q371" s="846"/>
    </row>
    <row r="372" ht="15.0" customHeight="1">
      <c r="A372" s="1296"/>
      <c r="B372" s="846"/>
      <c r="C372" s="846"/>
      <c r="D372" s="846"/>
      <c r="E372" s="846"/>
      <c r="F372" s="846"/>
      <c r="G372" s="846"/>
      <c r="H372" s="846"/>
      <c r="I372" s="846"/>
      <c r="J372" s="846"/>
      <c r="K372" s="846"/>
      <c r="L372" s="846"/>
      <c r="M372" s="846"/>
      <c r="N372" s="846"/>
      <c r="O372" s="846"/>
      <c r="P372" s="846"/>
      <c r="Q372" s="846"/>
    </row>
    <row r="373" ht="15.0" customHeight="1">
      <c r="A373" s="1296"/>
      <c r="B373" s="846"/>
      <c r="C373" s="846"/>
      <c r="D373" s="846"/>
      <c r="E373" s="846"/>
      <c r="F373" s="846"/>
      <c r="G373" s="846"/>
      <c r="H373" s="846"/>
      <c r="I373" s="846"/>
      <c r="J373" s="846"/>
      <c r="K373" s="846"/>
      <c r="L373" s="846"/>
      <c r="M373" s="846"/>
      <c r="N373" s="846"/>
      <c r="O373" s="846"/>
      <c r="P373" s="846"/>
      <c r="Q373" s="846"/>
    </row>
    <row r="374" ht="15.0" customHeight="1">
      <c r="A374" s="1296"/>
      <c r="B374" s="846"/>
      <c r="C374" s="846"/>
      <c r="D374" s="846"/>
      <c r="E374" s="846"/>
      <c r="F374" s="846"/>
      <c r="G374" s="846"/>
      <c r="H374" s="846"/>
      <c r="I374" s="846"/>
      <c r="J374" s="846"/>
      <c r="K374" s="846"/>
      <c r="L374" s="846"/>
      <c r="M374" s="846"/>
      <c r="N374" s="846"/>
      <c r="O374" s="846"/>
      <c r="P374" s="846"/>
      <c r="Q374" s="846"/>
    </row>
    <row r="375" ht="15.0" customHeight="1">
      <c r="A375" s="1296"/>
      <c r="B375" s="846"/>
      <c r="C375" s="846"/>
      <c r="D375" s="846"/>
      <c r="E375" s="846"/>
      <c r="F375" s="846"/>
      <c r="G375" s="846"/>
      <c r="H375" s="846"/>
      <c r="I375" s="846"/>
      <c r="J375" s="846"/>
      <c r="K375" s="846"/>
      <c r="L375" s="846"/>
      <c r="M375" s="846"/>
      <c r="N375" s="846"/>
      <c r="O375" s="846"/>
      <c r="P375" s="846"/>
      <c r="Q375" s="846"/>
    </row>
    <row r="376" ht="15.0" customHeight="1">
      <c r="A376" s="1296"/>
      <c r="B376" s="846"/>
      <c r="C376" s="846"/>
      <c r="D376" s="846"/>
      <c r="E376" s="846"/>
      <c r="F376" s="846"/>
      <c r="G376" s="846"/>
      <c r="H376" s="846"/>
      <c r="I376" s="846"/>
      <c r="J376" s="846"/>
      <c r="K376" s="846"/>
      <c r="L376" s="846"/>
      <c r="M376" s="846"/>
      <c r="N376" s="846"/>
      <c r="O376" s="846"/>
      <c r="P376" s="846"/>
      <c r="Q376" s="846"/>
    </row>
    <row r="377" ht="15.0" customHeight="1">
      <c r="A377" s="1296"/>
      <c r="B377" s="846"/>
      <c r="C377" s="846"/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</row>
    <row r="378" ht="15.0" customHeight="1">
      <c r="A378" s="1296"/>
      <c r="B378" s="846"/>
      <c r="C378" s="846"/>
      <c r="D378" s="846"/>
      <c r="E378" s="846"/>
      <c r="F378" s="846"/>
      <c r="G378" s="846"/>
      <c r="H378" s="846"/>
      <c r="I378" s="846"/>
      <c r="J378" s="846"/>
      <c r="K378" s="846"/>
      <c r="L378" s="846"/>
      <c r="M378" s="846"/>
      <c r="N378" s="846"/>
      <c r="O378" s="846"/>
      <c r="P378" s="846"/>
      <c r="Q378" s="846"/>
    </row>
    <row r="379" ht="15.0" customHeight="1">
      <c r="A379" s="1296"/>
      <c r="B379" s="846"/>
      <c r="C379" s="846"/>
      <c r="D379" s="846"/>
      <c r="E379" s="846"/>
      <c r="F379" s="846"/>
      <c r="G379" s="846"/>
      <c r="H379" s="846"/>
      <c r="I379" s="846"/>
      <c r="J379" s="846"/>
      <c r="K379" s="846"/>
      <c r="L379" s="846"/>
      <c r="M379" s="846"/>
      <c r="N379" s="846"/>
      <c r="O379" s="846"/>
      <c r="P379" s="846"/>
      <c r="Q379" s="846"/>
    </row>
    <row r="380" ht="15.0" customHeight="1">
      <c r="A380" s="1296"/>
      <c r="B380" s="846"/>
      <c r="C380" s="846"/>
      <c r="D380" s="846"/>
      <c r="E380" s="846"/>
      <c r="F380" s="846"/>
      <c r="G380" s="846"/>
      <c r="H380" s="846"/>
      <c r="I380" s="846"/>
      <c r="J380" s="846"/>
      <c r="K380" s="846"/>
      <c r="L380" s="846"/>
      <c r="M380" s="846"/>
      <c r="N380" s="846"/>
      <c r="O380" s="846"/>
      <c r="P380" s="846"/>
      <c r="Q380" s="846"/>
    </row>
    <row r="381" ht="15.0" customHeight="1">
      <c r="A381" s="1296"/>
      <c r="B381" s="846"/>
      <c r="C381" s="846"/>
      <c r="D381" s="846"/>
      <c r="E381" s="846"/>
      <c r="F381" s="846"/>
      <c r="G381" s="846"/>
      <c r="H381" s="846"/>
      <c r="I381" s="846"/>
      <c r="J381" s="846"/>
      <c r="K381" s="846"/>
      <c r="L381" s="846"/>
      <c r="M381" s="846"/>
      <c r="N381" s="846"/>
      <c r="O381" s="846"/>
      <c r="P381" s="846"/>
      <c r="Q381" s="846"/>
    </row>
    <row r="382" ht="15.0" customHeight="1">
      <c r="A382" s="1296"/>
      <c r="B382" s="846"/>
      <c r="C382" s="846"/>
      <c r="D382" s="846"/>
      <c r="E382" s="846"/>
      <c r="F382" s="846"/>
      <c r="G382" s="846"/>
      <c r="H382" s="846"/>
      <c r="I382" s="846"/>
      <c r="J382" s="846"/>
      <c r="K382" s="846"/>
      <c r="L382" s="846"/>
      <c r="M382" s="846"/>
      <c r="N382" s="846"/>
      <c r="O382" s="846"/>
      <c r="P382" s="846"/>
      <c r="Q382" s="846"/>
    </row>
    <row r="383" ht="15.0" customHeight="1">
      <c r="A383" s="1296"/>
      <c r="B383" s="846"/>
      <c r="C383" s="846"/>
      <c r="D383" s="846"/>
      <c r="E383" s="846"/>
      <c r="F383" s="846"/>
      <c r="G383" s="846"/>
      <c r="H383" s="846"/>
      <c r="I383" s="846"/>
      <c r="J383" s="846"/>
      <c r="K383" s="846"/>
      <c r="L383" s="846"/>
      <c r="M383" s="846"/>
      <c r="N383" s="846"/>
      <c r="O383" s="846"/>
      <c r="P383" s="846"/>
      <c r="Q383" s="846"/>
    </row>
    <row r="384" ht="15.0" customHeight="1">
      <c r="A384" s="1296"/>
      <c r="B384" s="846"/>
      <c r="C384" s="846"/>
      <c r="D384" s="846"/>
      <c r="E384" s="846"/>
      <c r="F384" s="846"/>
      <c r="G384" s="846"/>
      <c r="H384" s="846"/>
      <c r="I384" s="846"/>
      <c r="J384" s="846"/>
      <c r="K384" s="846"/>
      <c r="L384" s="846"/>
      <c r="M384" s="846"/>
      <c r="N384" s="846"/>
      <c r="O384" s="846"/>
      <c r="P384" s="846"/>
      <c r="Q384" s="846"/>
    </row>
    <row r="385" ht="15.0" customHeight="1">
      <c r="A385" s="1296"/>
      <c r="B385" s="846"/>
      <c r="C385" s="846"/>
      <c r="D385" s="846"/>
      <c r="E385" s="846"/>
      <c r="F385" s="846"/>
      <c r="G385" s="846"/>
      <c r="H385" s="846"/>
      <c r="I385" s="846"/>
      <c r="J385" s="846"/>
      <c r="K385" s="846"/>
      <c r="L385" s="846"/>
      <c r="M385" s="846"/>
      <c r="N385" s="846"/>
      <c r="O385" s="846"/>
      <c r="P385" s="846"/>
      <c r="Q385" s="846"/>
    </row>
    <row r="386" ht="15.0" customHeight="1">
      <c r="A386" s="1296"/>
      <c r="B386" s="846"/>
      <c r="C386" s="846"/>
      <c r="D386" s="846"/>
      <c r="E386" s="846"/>
      <c r="F386" s="846"/>
      <c r="G386" s="846"/>
      <c r="H386" s="846"/>
      <c r="I386" s="846"/>
      <c r="J386" s="846"/>
      <c r="K386" s="846"/>
      <c r="L386" s="846"/>
      <c r="M386" s="846"/>
      <c r="N386" s="846"/>
      <c r="O386" s="846"/>
      <c r="P386" s="846"/>
      <c r="Q386" s="846"/>
    </row>
    <row r="387" ht="15.0" customHeight="1">
      <c r="A387" s="1296"/>
      <c r="B387" s="846"/>
      <c r="C387" s="846"/>
      <c r="D387" s="846"/>
      <c r="E387" s="846"/>
      <c r="F387" s="846"/>
      <c r="G387" s="846"/>
      <c r="H387" s="846"/>
      <c r="I387" s="846"/>
      <c r="J387" s="846"/>
      <c r="K387" s="846"/>
      <c r="L387" s="846"/>
      <c r="M387" s="846"/>
      <c r="N387" s="846"/>
      <c r="O387" s="846"/>
      <c r="P387" s="846"/>
      <c r="Q387" s="846"/>
    </row>
    <row r="388" ht="15.0" customHeight="1">
      <c r="A388" s="1296"/>
      <c r="B388" s="846"/>
      <c r="C388" s="846"/>
      <c r="D388" s="846"/>
      <c r="E388" s="846"/>
      <c r="F388" s="846"/>
      <c r="G388" s="846"/>
      <c r="H388" s="846"/>
      <c r="I388" s="846"/>
      <c r="J388" s="846"/>
      <c r="K388" s="846"/>
      <c r="L388" s="846"/>
      <c r="M388" s="846"/>
      <c r="N388" s="846"/>
      <c r="O388" s="846"/>
      <c r="P388" s="846"/>
      <c r="Q388" s="846"/>
    </row>
    <row r="389" ht="15.0" customHeight="1">
      <c r="A389" s="1296"/>
      <c r="B389" s="846"/>
      <c r="C389" s="846"/>
      <c r="D389" s="846"/>
      <c r="E389" s="846"/>
      <c r="F389" s="846"/>
      <c r="G389" s="846"/>
      <c r="H389" s="846"/>
      <c r="I389" s="846"/>
      <c r="J389" s="846"/>
      <c r="K389" s="846"/>
      <c r="L389" s="846"/>
      <c r="M389" s="846"/>
      <c r="N389" s="846"/>
      <c r="O389" s="846"/>
      <c r="P389" s="846"/>
      <c r="Q389" s="846"/>
    </row>
    <row r="390" ht="15.0" customHeight="1">
      <c r="A390" s="1296"/>
      <c r="B390" s="846"/>
      <c r="C390" s="846"/>
      <c r="D390" s="846"/>
      <c r="E390" s="846"/>
      <c r="F390" s="846"/>
      <c r="G390" s="846"/>
      <c r="H390" s="846"/>
      <c r="I390" s="846"/>
      <c r="J390" s="846"/>
      <c r="K390" s="846"/>
      <c r="L390" s="846"/>
      <c r="M390" s="846"/>
      <c r="N390" s="846"/>
      <c r="O390" s="846"/>
      <c r="P390" s="846"/>
      <c r="Q390" s="846"/>
    </row>
    <row r="391" ht="15.0" customHeight="1">
      <c r="A391" s="1296"/>
      <c r="B391" s="846"/>
      <c r="C391" s="846"/>
      <c r="D391" s="846"/>
      <c r="E391" s="846"/>
      <c r="F391" s="846"/>
      <c r="G391" s="846"/>
      <c r="H391" s="846"/>
      <c r="I391" s="846"/>
      <c r="J391" s="846"/>
      <c r="K391" s="846"/>
      <c r="L391" s="846"/>
      <c r="M391" s="846"/>
      <c r="N391" s="846"/>
      <c r="O391" s="846"/>
      <c r="P391" s="846"/>
      <c r="Q391" s="846"/>
    </row>
    <row r="392" ht="15.0" customHeight="1">
      <c r="A392" s="1296"/>
      <c r="B392" s="846"/>
      <c r="C392" s="846"/>
      <c r="D392" s="846"/>
      <c r="E392" s="846"/>
      <c r="F392" s="846"/>
      <c r="G392" s="846"/>
      <c r="H392" s="846"/>
      <c r="I392" s="846"/>
      <c r="J392" s="846"/>
      <c r="K392" s="846"/>
      <c r="L392" s="846"/>
      <c r="M392" s="846"/>
      <c r="N392" s="846"/>
      <c r="O392" s="846"/>
      <c r="P392" s="846"/>
      <c r="Q392" s="846"/>
    </row>
    <row r="393" ht="15.0" customHeight="1">
      <c r="A393" s="1296"/>
      <c r="B393" s="846"/>
      <c r="C393" s="846"/>
      <c r="D393" s="846"/>
      <c r="E393" s="846"/>
      <c r="F393" s="846"/>
      <c r="G393" s="846"/>
      <c r="H393" s="846"/>
      <c r="I393" s="846"/>
      <c r="J393" s="846"/>
      <c r="K393" s="846"/>
      <c r="L393" s="846"/>
      <c r="M393" s="846"/>
      <c r="N393" s="846"/>
      <c r="O393" s="846"/>
      <c r="P393" s="846"/>
      <c r="Q393" s="846"/>
    </row>
    <row r="394" ht="15.0" customHeight="1">
      <c r="A394" s="1296"/>
      <c r="B394" s="846"/>
      <c r="C394" s="846"/>
      <c r="D394" s="846"/>
      <c r="E394" s="846"/>
      <c r="F394" s="846"/>
      <c r="G394" s="846"/>
      <c r="H394" s="846"/>
      <c r="I394" s="846"/>
      <c r="J394" s="846"/>
      <c r="K394" s="846"/>
      <c r="L394" s="846"/>
      <c r="M394" s="846"/>
      <c r="N394" s="846"/>
      <c r="O394" s="846"/>
      <c r="P394" s="846"/>
      <c r="Q394" s="846"/>
    </row>
    <row r="395" ht="15.0" customHeight="1">
      <c r="A395" s="1296"/>
      <c r="B395" s="846"/>
      <c r="C395" s="846"/>
      <c r="D395" s="846"/>
      <c r="E395" s="846"/>
      <c r="F395" s="846"/>
      <c r="G395" s="846"/>
      <c r="H395" s="846"/>
      <c r="I395" s="846"/>
      <c r="J395" s="846"/>
      <c r="K395" s="846"/>
      <c r="L395" s="846"/>
      <c r="M395" s="846"/>
      <c r="N395" s="846"/>
      <c r="O395" s="846"/>
      <c r="P395" s="846"/>
      <c r="Q395" s="846"/>
    </row>
    <row r="396" ht="15.0" customHeight="1">
      <c r="A396" s="1296"/>
      <c r="B396" s="846"/>
      <c r="C396" s="846"/>
      <c r="D396" s="846"/>
      <c r="E396" s="846"/>
      <c r="F396" s="846"/>
      <c r="G396" s="846"/>
      <c r="H396" s="846"/>
      <c r="I396" s="846"/>
      <c r="J396" s="846"/>
      <c r="K396" s="846"/>
      <c r="L396" s="846"/>
      <c r="M396" s="846"/>
      <c r="N396" s="846"/>
      <c r="O396" s="846"/>
      <c r="P396" s="846"/>
      <c r="Q396" s="846"/>
    </row>
    <row r="397" ht="15.0" customHeight="1">
      <c r="A397" s="1296"/>
      <c r="B397" s="846"/>
      <c r="C397" s="846"/>
      <c r="D397" s="846"/>
      <c r="E397" s="846"/>
      <c r="F397" s="846"/>
      <c r="G397" s="846"/>
      <c r="H397" s="846"/>
      <c r="I397" s="846"/>
      <c r="J397" s="846"/>
      <c r="K397" s="846"/>
      <c r="L397" s="846"/>
      <c r="M397" s="846"/>
      <c r="N397" s="846"/>
      <c r="O397" s="846"/>
      <c r="P397" s="846"/>
      <c r="Q397" s="846"/>
    </row>
    <row r="398" ht="15.0" customHeight="1">
      <c r="A398" s="1296"/>
      <c r="B398" s="846"/>
      <c r="C398" s="846"/>
      <c r="D398" s="846"/>
      <c r="E398" s="846"/>
      <c r="F398" s="846"/>
      <c r="G398" s="846"/>
      <c r="H398" s="846"/>
      <c r="I398" s="846"/>
      <c r="J398" s="846"/>
      <c r="K398" s="846"/>
      <c r="L398" s="846"/>
      <c r="M398" s="846"/>
      <c r="N398" s="846"/>
      <c r="O398" s="846"/>
      <c r="P398" s="846"/>
      <c r="Q398" s="846"/>
    </row>
    <row r="399" ht="15.0" customHeight="1">
      <c r="A399" s="1296"/>
      <c r="B399" s="846"/>
      <c r="C399" s="846"/>
      <c r="D399" s="846"/>
      <c r="E399" s="846"/>
      <c r="F399" s="846"/>
      <c r="G399" s="846"/>
      <c r="H399" s="846"/>
      <c r="I399" s="846"/>
      <c r="J399" s="846"/>
      <c r="K399" s="846"/>
      <c r="L399" s="846"/>
      <c r="M399" s="846"/>
      <c r="N399" s="846"/>
      <c r="O399" s="846"/>
      <c r="P399" s="846"/>
      <c r="Q399" s="846"/>
    </row>
    <row r="400" ht="15.0" customHeight="1">
      <c r="A400" s="1296"/>
      <c r="B400" s="846"/>
      <c r="C400" s="846"/>
      <c r="D400" s="846"/>
      <c r="E400" s="846"/>
      <c r="F400" s="846"/>
      <c r="G400" s="846"/>
      <c r="H400" s="846"/>
      <c r="I400" s="846"/>
      <c r="J400" s="846"/>
      <c r="K400" s="846"/>
      <c r="L400" s="846"/>
      <c r="M400" s="846"/>
      <c r="N400" s="846"/>
      <c r="O400" s="846"/>
      <c r="P400" s="846"/>
      <c r="Q400" s="846"/>
    </row>
    <row r="401" ht="15.0" customHeight="1">
      <c r="A401" s="1296"/>
      <c r="B401" s="846"/>
      <c r="C401" s="846"/>
      <c r="D401" s="846"/>
      <c r="E401" s="846"/>
      <c r="F401" s="846"/>
      <c r="G401" s="846"/>
      <c r="H401" s="846"/>
      <c r="I401" s="846"/>
      <c r="J401" s="846"/>
      <c r="K401" s="846"/>
      <c r="L401" s="846"/>
      <c r="M401" s="846"/>
      <c r="N401" s="846"/>
      <c r="O401" s="846"/>
      <c r="P401" s="846"/>
      <c r="Q401" s="846"/>
    </row>
    <row r="402" ht="15.0" customHeight="1">
      <c r="A402" s="1296"/>
      <c r="B402" s="846"/>
      <c r="C402" s="846"/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</row>
    <row r="403" ht="15.0" customHeight="1">
      <c r="A403" s="1296"/>
      <c r="B403" s="846"/>
      <c r="C403" s="846"/>
      <c r="D403" s="846"/>
      <c r="E403" s="846"/>
      <c r="F403" s="846"/>
      <c r="G403" s="846"/>
      <c r="H403" s="846"/>
      <c r="I403" s="846"/>
      <c r="J403" s="846"/>
      <c r="K403" s="846"/>
      <c r="L403" s="846"/>
      <c r="M403" s="846"/>
      <c r="N403" s="846"/>
      <c r="O403" s="846"/>
      <c r="P403" s="846"/>
      <c r="Q403" s="846"/>
    </row>
    <row r="404" ht="15.0" customHeight="1">
      <c r="A404" s="1296"/>
      <c r="B404" s="846"/>
      <c r="C404" s="846"/>
      <c r="D404" s="846"/>
      <c r="E404" s="846"/>
      <c r="F404" s="846"/>
      <c r="G404" s="846"/>
      <c r="H404" s="846"/>
      <c r="I404" s="846"/>
      <c r="J404" s="846"/>
      <c r="K404" s="846"/>
      <c r="L404" s="846"/>
      <c r="M404" s="846"/>
      <c r="N404" s="846"/>
      <c r="O404" s="846"/>
      <c r="P404" s="846"/>
      <c r="Q404" s="846"/>
    </row>
    <row r="405" ht="15.0" customHeight="1">
      <c r="A405" s="1296"/>
      <c r="B405" s="846"/>
      <c r="C405" s="846"/>
      <c r="D405" s="846"/>
      <c r="E405" s="846"/>
      <c r="F405" s="846"/>
      <c r="G405" s="846"/>
      <c r="H405" s="846"/>
      <c r="I405" s="846"/>
      <c r="J405" s="846"/>
      <c r="K405" s="846"/>
      <c r="L405" s="846"/>
      <c r="M405" s="846"/>
      <c r="N405" s="846"/>
      <c r="O405" s="846"/>
      <c r="P405" s="846"/>
      <c r="Q405" s="846"/>
    </row>
    <row r="406" ht="15.0" customHeight="1">
      <c r="A406" s="1296"/>
      <c r="B406" s="846"/>
      <c r="C406" s="846"/>
      <c r="D406" s="846"/>
      <c r="E406" s="846"/>
      <c r="F406" s="846"/>
      <c r="G406" s="846"/>
      <c r="H406" s="846"/>
      <c r="I406" s="846"/>
      <c r="J406" s="846"/>
      <c r="K406" s="846"/>
      <c r="L406" s="846"/>
      <c r="M406" s="846"/>
      <c r="N406" s="846"/>
      <c r="O406" s="846"/>
      <c r="P406" s="846"/>
      <c r="Q406" s="846"/>
    </row>
    <row r="407" ht="15.0" customHeight="1">
      <c r="A407" s="1296"/>
      <c r="B407" s="846"/>
      <c r="C407" s="846"/>
      <c r="D407" s="846"/>
      <c r="E407" s="846"/>
      <c r="F407" s="846"/>
      <c r="G407" s="846"/>
      <c r="H407" s="846"/>
      <c r="I407" s="846"/>
      <c r="J407" s="846"/>
      <c r="K407" s="846"/>
      <c r="L407" s="846"/>
      <c r="M407" s="846"/>
      <c r="N407" s="846"/>
      <c r="O407" s="846"/>
      <c r="P407" s="846"/>
      <c r="Q407" s="846"/>
    </row>
    <row r="408" ht="15.0" customHeight="1">
      <c r="A408" s="1296"/>
      <c r="B408" s="846"/>
      <c r="C408" s="846"/>
      <c r="D408" s="846"/>
      <c r="E408" s="846"/>
      <c r="F408" s="846"/>
      <c r="G408" s="846"/>
      <c r="H408" s="846"/>
      <c r="I408" s="846"/>
      <c r="J408" s="846"/>
      <c r="K408" s="846"/>
      <c r="L408" s="846"/>
      <c r="M408" s="846"/>
      <c r="N408" s="846"/>
      <c r="O408" s="846"/>
      <c r="P408" s="846"/>
      <c r="Q408" s="846"/>
    </row>
    <row r="409" ht="15.0" customHeight="1">
      <c r="A409" s="1296"/>
      <c r="B409" s="846"/>
      <c r="C409" s="846"/>
      <c r="D409" s="846"/>
      <c r="E409" s="846"/>
      <c r="F409" s="846"/>
      <c r="G409" s="846"/>
      <c r="H409" s="846"/>
      <c r="I409" s="846"/>
      <c r="J409" s="846"/>
      <c r="K409" s="846"/>
      <c r="L409" s="846"/>
      <c r="M409" s="846"/>
      <c r="N409" s="846"/>
      <c r="O409" s="846"/>
      <c r="P409" s="846"/>
      <c r="Q409" s="846"/>
    </row>
    <row r="410" ht="15.0" customHeight="1">
      <c r="A410" s="1296"/>
      <c r="B410" s="846"/>
      <c r="C410" s="846"/>
      <c r="D410" s="846"/>
      <c r="E410" s="846"/>
      <c r="F410" s="846"/>
      <c r="G410" s="846"/>
      <c r="H410" s="846"/>
      <c r="I410" s="846"/>
      <c r="J410" s="846"/>
      <c r="K410" s="846"/>
      <c r="L410" s="846"/>
      <c r="M410" s="846"/>
      <c r="N410" s="846"/>
      <c r="O410" s="846"/>
      <c r="P410" s="846"/>
      <c r="Q410" s="846"/>
    </row>
    <row r="411" ht="15.0" customHeight="1">
      <c r="A411" s="1296"/>
      <c r="B411" s="846"/>
      <c r="C411" s="846"/>
      <c r="D411" s="846"/>
      <c r="E411" s="846"/>
      <c r="F411" s="846"/>
      <c r="G411" s="846"/>
      <c r="H411" s="846"/>
      <c r="I411" s="846"/>
      <c r="J411" s="846"/>
      <c r="K411" s="846"/>
      <c r="L411" s="846"/>
      <c r="M411" s="846"/>
      <c r="N411" s="846"/>
      <c r="O411" s="846"/>
      <c r="P411" s="846"/>
      <c r="Q411" s="846"/>
    </row>
    <row r="412" ht="15.0" customHeight="1">
      <c r="A412" s="1296"/>
      <c r="B412" s="846"/>
      <c r="C412" s="846"/>
      <c r="D412" s="846"/>
      <c r="E412" s="846"/>
      <c r="F412" s="846"/>
      <c r="G412" s="846"/>
      <c r="H412" s="846"/>
      <c r="I412" s="846"/>
      <c r="J412" s="846"/>
      <c r="K412" s="846"/>
      <c r="L412" s="846"/>
      <c r="M412" s="846"/>
      <c r="N412" s="846"/>
      <c r="O412" s="846"/>
      <c r="P412" s="846"/>
      <c r="Q412" s="846"/>
    </row>
    <row r="413" ht="15.0" customHeight="1">
      <c r="A413" s="1296"/>
      <c r="B413" s="846"/>
      <c r="C413" s="846"/>
      <c r="D413" s="846"/>
      <c r="E413" s="846"/>
      <c r="F413" s="846"/>
      <c r="G413" s="846"/>
      <c r="H413" s="846"/>
      <c r="I413" s="846"/>
      <c r="J413" s="846"/>
      <c r="K413" s="846"/>
      <c r="L413" s="846"/>
      <c r="M413" s="846"/>
      <c r="N413" s="846"/>
      <c r="O413" s="846"/>
      <c r="P413" s="846"/>
      <c r="Q413" s="846"/>
    </row>
    <row r="414" ht="15.0" customHeight="1">
      <c r="A414" s="1296"/>
      <c r="B414" s="846"/>
      <c r="C414" s="846"/>
      <c r="D414" s="846"/>
      <c r="E414" s="846"/>
      <c r="F414" s="846"/>
      <c r="G414" s="846"/>
      <c r="H414" s="846"/>
      <c r="I414" s="846"/>
      <c r="J414" s="846"/>
      <c r="K414" s="846"/>
      <c r="L414" s="846"/>
      <c r="M414" s="846"/>
      <c r="N414" s="846"/>
      <c r="O414" s="846"/>
      <c r="P414" s="846"/>
      <c r="Q414" s="846"/>
    </row>
    <row r="415" ht="15.0" customHeight="1">
      <c r="A415" s="1296"/>
      <c r="B415" s="846"/>
      <c r="C415" s="846"/>
      <c r="D415" s="846"/>
      <c r="E415" s="846"/>
      <c r="F415" s="846"/>
      <c r="G415" s="846"/>
      <c r="H415" s="846"/>
      <c r="I415" s="846"/>
      <c r="J415" s="846"/>
      <c r="K415" s="846"/>
      <c r="L415" s="846"/>
      <c r="M415" s="846"/>
      <c r="N415" s="846"/>
      <c r="O415" s="846"/>
      <c r="P415" s="846"/>
      <c r="Q415" s="846"/>
    </row>
    <row r="416" ht="15.0" customHeight="1">
      <c r="A416" s="1296"/>
      <c r="B416" s="846"/>
      <c r="C416" s="846"/>
      <c r="D416" s="846"/>
      <c r="E416" s="846"/>
      <c r="F416" s="846"/>
      <c r="G416" s="846"/>
      <c r="H416" s="846"/>
      <c r="I416" s="846"/>
      <c r="J416" s="846"/>
      <c r="K416" s="846"/>
      <c r="L416" s="846"/>
      <c r="M416" s="846"/>
      <c r="N416" s="846"/>
      <c r="O416" s="846"/>
      <c r="P416" s="846"/>
      <c r="Q416" s="846"/>
    </row>
    <row r="417" ht="15.0" customHeight="1">
      <c r="A417" s="1296"/>
      <c r="B417" s="846"/>
      <c r="C417" s="846"/>
      <c r="D417" s="846"/>
      <c r="E417" s="846"/>
      <c r="F417" s="846"/>
      <c r="G417" s="846"/>
      <c r="H417" s="846"/>
      <c r="I417" s="846"/>
      <c r="J417" s="846"/>
      <c r="K417" s="846"/>
      <c r="L417" s="846"/>
      <c r="M417" s="846"/>
      <c r="N417" s="846"/>
      <c r="O417" s="846"/>
      <c r="P417" s="846"/>
      <c r="Q417" s="846"/>
    </row>
    <row r="418" ht="15.0" customHeight="1">
      <c r="A418" s="1296"/>
      <c r="B418" s="846"/>
      <c r="C418" s="846"/>
      <c r="D418" s="846"/>
      <c r="E418" s="846"/>
      <c r="F418" s="846"/>
      <c r="G418" s="846"/>
      <c r="H418" s="846"/>
      <c r="I418" s="846"/>
      <c r="J418" s="846"/>
      <c r="K418" s="846"/>
      <c r="L418" s="846"/>
      <c r="M418" s="846"/>
      <c r="N418" s="846"/>
      <c r="O418" s="846"/>
      <c r="P418" s="846"/>
      <c r="Q418" s="846"/>
    </row>
    <row r="419" ht="15.0" customHeight="1">
      <c r="A419" s="1296"/>
      <c r="B419" s="846"/>
      <c r="C419" s="846"/>
      <c r="D419" s="846"/>
      <c r="E419" s="846"/>
      <c r="F419" s="846"/>
      <c r="G419" s="846"/>
      <c r="H419" s="846"/>
      <c r="I419" s="846"/>
      <c r="J419" s="846"/>
      <c r="K419" s="846"/>
      <c r="L419" s="846"/>
      <c r="M419" s="846"/>
      <c r="N419" s="846"/>
      <c r="O419" s="846"/>
      <c r="P419" s="846"/>
      <c r="Q419" s="846"/>
    </row>
    <row r="420" ht="15.0" customHeight="1">
      <c r="A420" s="1296"/>
      <c r="B420" s="846"/>
      <c r="C420" s="846"/>
      <c r="D420" s="846"/>
      <c r="E420" s="846"/>
      <c r="F420" s="846"/>
      <c r="G420" s="846"/>
      <c r="H420" s="846"/>
      <c r="I420" s="846"/>
      <c r="J420" s="846"/>
      <c r="K420" s="846"/>
      <c r="L420" s="846"/>
      <c r="M420" s="846"/>
      <c r="N420" s="846"/>
      <c r="O420" s="846"/>
      <c r="P420" s="846"/>
      <c r="Q420" s="846"/>
    </row>
    <row r="421" ht="15.0" customHeight="1">
      <c r="A421" s="1296"/>
      <c r="B421" s="846"/>
      <c r="C421" s="846"/>
      <c r="D421" s="846"/>
      <c r="E421" s="846"/>
      <c r="F421" s="846"/>
      <c r="G421" s="846"/>
      <c r="H421" s="846"/>
      <c r="I421" s="846"/>
      <c r="J421" s="846"/>
      <c r="K421" s="846"/>
      <c r="L421" s="846"/>
      <c r="M421" s="846"/>
      <c r="N421" s="846"/>
      <c r="O421" s="846"/>
      <c r="P421" s="846"/>
      <c r="Q421" s="846"/>
    </row>
    <row r="422" ht="15.0" customHeight="1">
      <c r="A422" s="1296"/>
      <c r="B422" s="846"/>
      <c r="C422" s="846"/>
      <c r="D422" s="846"/>
      <c r="E422" s="846"/>
      <c r="F422" s="846"/>
      <c r="G422" s="846"/>
      <c r="H422" s="846"/>
      <c r="I422" s="846"/>
      <c r="J422" s="846"/>
      <c r="K422" s="846"/>
      <c r="L422" s="846"/>
      <c r="M422" s="846"/>
      <c r="N422" s="846"/>
      <c r="O422" s="846"/>
      <c r="P422" s="846"/>
      <c r="Q422" s="846"/>
    </row>
    <row r="423" ht="15.0" customHeight="1">
      <c r="A423" s="1296"/>
      <c r="B423" s="846"/>
      <c r="C423" s="846"/>
      <c r="D423" s="846"/>
      <c r="E423" s="846"/>
      <c r="F423" s="846"/>
      <c r="G423" s="846"/>
      <c r="H423" s="846"/>
      <c r="I423" s="846"/>
      <c r="J423" s="846"/>
      <c r="K423" s="846"/>
      <c r="L423" s="846"/>
      <c r="M423" s="846"/>
      <c r="N423" s="846"/>
      <c r="O423" s="846"/>
      <c r="P423" s="846"/>
      <c r="Q423" s="846"/>
    </row>
    <row r="424" ht="15.0" customHeight="1">
      <c r="A424" s="1296"/>
      <c r="B424" s="846"/>
      <c r="C424" s="846"/>
      <c r="D424" s="846"/>
      <c r="E424" s="846"/>
      <c r="F424" s="846"/>
      <c r="G424" s="846"/>
      <c r="H424" s="846"/>
      <c r="I424" s="846"/>
      <c r="J424" s="846"/>
      <c r="K424" s="846"/>
      <c r="L424" s="846"/>
      <c r="M424" s="846"/>
      <c r="N424" s="846"/>
      <c r="O424" s="846"/>
      <c r="P424" s="846"/>
      <c r="Q424" s="846"/>
    </row>
    <row r="425" ht="15.0" customHeight="1">
      <c r="A425" s="1296"/>
      <c r="B425" s="846"/>
      <c r="C425" s="846"/>
      <c r="D425" s="846"/>
      <c r="E425" s="846"/>
      <c r="F425" s="846"/>
      <c r="G425" s="846"/>
      <c r="H425" s="846"/>
      <c r="I425" s="846"/>
      <c r="J425" s="846"/>
      <c r="K425" s="846"/>
      <c r="L425" s="846"/>
      <c r="M425" s="846"/>
      <c r="N425" s="846"/>
      <c r="O425" s="846"/>
      <c r="P425" s="846"/>
      <c r="Q425" s="846"/>
    </row>
    <row r="426" ht="15.0" customHeight="1">
      <c r="A426" s="1296"/>
      <c r="B426" s="846"/>
      <c r="C426" s="846"/>
      <c r="D426" s="846"/>
      <c r="E426" s="846"/>
      <c r="F426" s="846"/>
      <c r="G426" s="846"/>
      <c r="H426" s="846"/>
      <c r="I426" s="846"/>
      <c r="J426" s="846"/>
      <c r="K426" s="846"/>
      <c r="L426" s="846"/>
      <c r="M426" s="846"/>
      <c r="N426" s="846"/>
      <c r="O426" s="846"/>
      <c r="P426" s="846"/>
      <c r="Q426" s="846"/>
    </row>
    <row r="427" ht="15.0" customHeight="1">
      <c r="A427" s="1296"/>
      <c r="B427" s="846"/>
      <c r="C427" s="846"/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</row>
    <row r="428" ht="15.0" customHeight="1">
      <c r="A428" s="1296"/>
      <c r="B428" s="846"/>
      <c r="C428" s="846"/>
      <c r="D428" s="846"/>
      <c r="E428" s="846"/>
      <c r="F428" s="846"/>
      <c r="G428" s="846"/>
      <c r="H428" s="846"/>
      <c r="I428" s="846"/>
      <c r="J428" s="846"/>
      <c r="K428" s="846"/>
      <c r="L428" s="846"/>
      <c r="M428" s="846"/>
      <c r="N428" s="846"/>
      <c r="O428" s="846"/>
      <c r="P428" s="846"/>
      <c r="Q428" s="846"/>
    </row>
    <row r="429" ht="15.0" customHeight="1">
      <c r="A429" s="1296"/>
      <c r="B429" s="846"/>
      <c r="C429" s="846"/>
      <c r="D429" s="846"/>
      <c r="E429" s="846"/>
      <c r="F429" s="846"/>
      <c r="G429" s="846"/>
      <c r="H429" s="846"/>
      <c r="I429" s="846"/>
      <c r="J429" s="846"/>
      <c r="K429" s="846"/>
      <c r="L429" s="846"/>
      <c r="M429" s="846"/>
      <c r="N429" s="846"/>
      <c r="O429" s="846"/>
      <c r="P429" s="846"/>
      <c r="Q429" s="846"/>
    </row>
    <row r="430" ht="15.0" customHeight="1">
      <c r="A430" s="1296"/>
      <c r="B430" s="846"/>
      <c r="C430" s="846"/>
      <c r="D430" s="846"/>
      <c r="E430" s="846"/>
      <c r="F430" s="846"/>
      <c r="G430" s="846"/>
      <c r="H430" s="846"/>
      <c r="I430" s="846"/>
      <c r="J430" s="846"/>
      <c r="K430" s="846"/>
      <c r="L430" s="846"/>
      <c r="M430" s="846"/>
      <c r="N430" s="846"/>
      <c r="O430" s="846"/>
      <c r="P430" s="846"/>
      <c r="Q430" s="846"/>
    </row>
    <row r="431" ht="15.0" customHeight="1">
      <c r="A431" s="1296"/>
      <c r="B431" s="846"/>
      <c r="C431" s="846"/>
      <c r="D431" s="846"/>
      <c r="E431" s="846"/>
      <c r="F431" s="846"/>
      <c r="G431" s="846"/>
      <c r="H431" s="846"/>
      <c r="I431" s="846"/>
      <c r="J431" s="846"/>
      <c r="K431" s="846"/>
      <c r="L431" s="846"/>
      <c r="M431" s="846"/>
      <c r="N431" s="846"/>
      <c r="O431" s="846"/>
      <c r="P431" s="846"/>
      <c r="Q431" s="846"/>
    </row>
    <row r="432" ht="15.0" customHeight="1">
      <c r="A432" s="1296"/>
      <c r="B432" s="846"/>
      <c r="C432" s="846"/>
      <c r="D432" s="846"/>
      <c r="E432" s="846"/>
      <c r="F432" s="846"/>
      <c r="G432" s="846"/>
      <c r="H432" s="846"/>
      <c r="I432" s="846"/>
      <c r="J432" s="846"/>
      <c r="K432" s="846"/>
      <c r="L432" s="846"/>
      <c r="M432" s="846"/>
      <c r="N432" s="846"/>
      <c r="O432" s="846"/>
      <c r="P432" s="846"/>
      <c r="Q432" s="846"/>
    </row>
    <row r="433" ht="15.0" customHeight="1">
      <c r="A433" s="1296"/>
      <c r="B433" s="846"/>
      <c r="C433" s="846"/>
      <c r="D433" s="846"/>
      <c r="E433" s="846"/>
      <c r="F433" s="846"/>
      <c r="G433" s="846"/>
      <c r="H433" s="846"/>
      <c r="I433" s="846"/>
      <c r="J433" s="846"/>
      <c r="K433" s="846"/>
      <c r="L433" s="846"/>
      <c r="M433" s="846"/>
      <c r="N433" s="846"/>
      <c r="O433" s="846"/>
      <c r="P433" s="846"/>
      <c r="Q433" s="846"/>
    </row>
    <row r="434" ht="15.0" customHeight="1">
      <c r="A434" s="1296"/>
      <c r="B434" s="846"/>
      <c r="C434" s="846"/>
      <c r="D434" s="846"/>
      <c r="E434" s="846"/>
      <c r="F434" s="846"/>
      <c r="G434" s="846"/>
      <c r="H434" s="846"/>
      <c r="I434" s="846"/>
      <c r="J434" s="846"/>
      <c r="K434" s="846"/>
      <c r="L434" s="846"/>
      <c r="M434" s="846"/>
      <c r="N434" s="846"/>
      <c r="O434" s="846"/>
      <c r="P434" s="846"/>
      <c r="Q434" s="846"/>
    </row>
    <row r="435" ht="15.0" customHeight="1">
      <c r="A435" s="1296"/>
      <c r="B435" s="846"/>
      <c r="C435" s="846"/>
      <c r="D435" s="846"/>
      <c r="E435" s="846"/>
      <c r="F435" s="846"/>
      <c r="G435" s="846"/>
      <c r="H435" s="846"/>
      <c r="I435" s="846"/>
      <c r="J435" s="846"/>
      <c r="K435" s="846"/>
      <c r="L435" s="846"/>
      <c r="M435" s="846"/>
      <c r="N435" s="846"/>
      <c r="O435" s="846"/>
      <c r="P435" s="846"/>
      <c r="Q435" s="846"/>
    </row>
    <row r="436" ht="15.0" customHeight="1">
      <c r="A436" s="1296"/>
      <c r="B436" s="846"/>
      <c r="C436" s="846"/>
      <c r="D436" s="846"/>
      <c r="E436" s="846"/>
      <c r="F436" s="846"/>
      <c r="G436" s="846"/>
      <c r="H436" s="846"/>
      <c r="I436" s="846"/>
      <c r="J436" s="846"/>
      <c r="K436" s="846"/>
      <c r="L436" s="846"/>
      <c r="M436" s="846"/>
      <c r="N436" s="846"/>
      <c r="O436" s="846"/>
      <c r="P436" s="846"/>
      <c r="Q436" s="846"/>
    </row>
    <row r="437" ht="15.0" customHeight="1">
      <c r="A437" s="1296"/>
      <c r="B437" s="846"/>
      <c r="C437" s="846"/>
      <c r="D437" s="846"/>
      <c r="E437" s="846"/>
      <c r="F437" s="846"/>
      <c r="G437" s="846"/>
      <c r="H437" s="846"/>
      <c r="I437" s="846"/>
      <c r="J437" s="846"/>
      <c r="K437" s="846"/>
      <c r="L437" s="846"/>
      <c r="M437" s="846"/>
      <c r="N437" s="846"/>
      <c r="O437" s="846"/>
      <c r="P437" s="846"/>
      <c r="Q437" s="846"/>
    </row>
    <row r="438" ht="15.0" customHeight="1">
      <c r="A438" s="1296"/>
      <c r="B438" s="846"/>
      <c r="C438" s="846"/>
      <c r="D438" s="846"/>
      <c r="E438" s="846"/>
      <c r="F438" s="846"/>
      <c r="G438" s="846"/>
      <c r="H438" s="846"/>
      <c r="I438" s="846"/>
      <c r="J438" s="846"/>
      <c r="K438" s="846"/>
      <c r="L438" s="846"/>
      <c r="M438" s="846"/>
      <c r="N438" s="846"/>
      <c r="O438" s="846"/>
      <c r="P438" s="846"/>
      <c r="Q438" s="846"/>
    </row>
    <row r="439" ht="15.0" customHeight="1">
      <c r="A439" s="1296"/>
      <c r="B439" s="846"/>
      <c r="C439" s="846"/>
      <c r="D439" s="846"/>
      <c r="E439" s="846"/>
      <c r="F439" s="846"/>
      <c r="G439" s="846"/>
      <c r="H439" s="846"/>
      <c r="I439" s="846"/>
      <c r="J439" s="846"/>
      <c r="K439" s="846"/>
      <c r="L439" s="846"/>
      <c r="M439" s="846"/>
      <c r="N439" s="846"/>
      <c r="O439" s="846"/>
      <c r="P439" s="846"/>
      <c r="Q439" s="846"/>
    </row>
    <row r="440" ht="15.0" customHeight="1">
      <c r="A440" s="1296"/>
      <c r="B440" s="846"/>
      <c r="C440" s="846"/>
      <c r="D440" s="846"/>
      <c r="E440" s="846"/>
      <c r="F440" s="846"/>
      <c r="G440" s="846"/>
      <c r="H440" s="846"/>
      <c r="I440" s="846"/>
      <c r="J440" s="846"/>
      <c r="K440" s="846"/>
      <c r="L440" s="846"/>
      <c r="M440" s="846"/>
      <c r="N440" s="846"/>
      <c r="O440" s="846"/>
      <c r="P440" s="846"/>
      <c r="Q440" s="846"/>
    </row>
    <row r="441" ht="15.0" customHeight="1">
      <c r="A441" s="1296"/>
      <c r="B441" s="846"/>
      <c r="C441" s="846"/>
      <c r="D441" s="846"/>
      <c r="E441" s="846"/>
      <c r="F441" s="846"/>
      <c r="G441" s="846"/>
      <c r="H441" s="846"/>
      <c r="I441" s="846"/>
      <c r="J441" s="846"/>
      <c r="K441" s="846"/>
      <c r="L441" s="846"/>
      <c r="M441" s="846"/>
      <c r="N441" s="846"/>
      <c r="O441" s="846"/>
      <c r="P441" s="846"/>
      <c r="Q441" s="846"/>
    </row>
    <row r="442" ht="15.0" customHeight="1">
      <c r="A442" s="1296"/>
      <c r="B442" s="846"/>
      <c r="C442" s="846"/>
      <c r="D442" s="846"/>
      <c r="E442" s="846"/>
      <c r="F442" s="846"/>
      <c r="G442" s="846"/>
      <c r="H442" s="846"/>
      <c r="I442" s="846"/>
      <c r="J442" s="846"/>
      <c r="K442" s="846"/>
      <c r="L442" s="846"/>
      <c r="M442" s="846"/>
      <c r="N442" s="846"/>
      <c r="O442" s="846"/>
      <c r="P442" s="846"/>
      <c r="Q442" s="846"/>
    </row>
    <row r="443" ht="15.0" customHeight="1">
      <c r="A443" s="1296"/>
      <c r="B443" s="846"/>
      <c r="C443" s="846"/>
      <c r="D443" s="846"/>
      <c r="E443" s="846"/>
      <c r="F443" s="846"/>
      <c r="G443" s="846"/>
      <c r="H443" s="846"/>
      <c r="I443" s="846"/>
      <c r="J443" s="846"/>
      <c r="K443" s="846"/>
      <c r="L443" s="846"/>
      <c r="M443" s="846"/>
      <c r="N443" s="846"/>
      <c r="O443" s="846"/>
      <c r="P443" s="846"/>
      <c r="Q443" s="846"/>
    </row>
    <row r="444" ht="15.0" customHeight="1">
      <c r="A444" s="1296"/>
      <c r="B444" s="846"/>
      <c r="C444" s="846"/>
      <c r="D444" s="846"/>
      <c r="E444" s="846"/>
      <c r="F444" s="846"/>
      <c r="G444" s="846"/>
      <c r="H444" s="846"/>
      <c r="I444" s="846"/>
      <c r="J444" s="846"/>
      <c r="K444" s="846"/>
      <c r="L444" s="846"/>
      <c r="M444" s="846"/>
      <c r="N444" s="846"/>
      <c r="O444" s="846"/>
      <c r="P444" s="846"/>
      <c r="Q444" s="846"/>
    </row>
    <row r="445" ht="15.0" customHeight="1">
      <c r="A445" s="1296"/>
      <c r="B445" s="846"/>
      <c r="C445" s="846"/>
      <c r="D445" s="846"/>
      <c r="E445" s="846"/>
      <c r="F445" s="846"/>
      <c r="G445" s="846"/>
      <c r="H445" s="846"/>
      <c r="I445" s="846"/>
      <c r="J445" s="846"/>
      <c r="K445" s="846"/>
      <c r="L445" s="846"/>
      <c r="M445" s="846"/>
      <c r="N445" s="846"/>
      <c r="O445" s="846"/>
      <c r="P445" s="846"/>
      <c r="Q445" s="846"/>
    </row>
    <row r="446" ht="15.0" customHeight="1">
      <c r="A446" s="1296"/>
      <c r="B446" s="846"/>
      <c r="C446" s="846"/>
      <c r="D446" s="846"/>
      <c r="E446" s="846"/>
      <c r="F446" s="846"/>
      <c r="G446" s="846"/>
      <c r="H446" s="846"/>
      <c r="I446" s="846"/>
      <c r="J446" s="846"/>
      <c r="K446" s="846"/>
      <c r="L446" s="846"/>
      <c r="M446" s="846"/>
      <c r="N446" s="846"/>
      <c r="O446" s="846"/>
      <c r="P446" s="846"/>
      <c r="Q446" s="846"/>
    </row>
    <row r="447" ht="15.0" customHeight="1">
      <c r="A447" s="1296"/>
      <c r="B447" s="846"/>
      <c r="C447" s="846"/>
      <c r="D447" s="846"/>
      <c r="E447" s="846"/>
      <c r="F447" s="846"/>
      <c r="G447" s="846"/>
      <c r="H447" s="846"/>
      <c r="I447" s="846"/>
      <c r="J447" s="846"/>
      <c r="K447" s="846"/>
      <c r="L447" s="846"/>
      <c r="M447" s="846"/>
      <c r="N447" s="846"/>
      <c r="O447" s="846"/>
      <c r="P447" s="846"/>
      <c r="Q447" s="846"/>
    </row>
    <row r="448" ht="15.0" customHeight="1">
      <c r="A448" s="1296"/>
      <c r="B448" s="846"/>
      <c r="C448" s="846"/>
      <c r="D448" s="846"/>
      <c r="E448" s="846"/>
      <c r="F448" s="846"/>
      <c r="G448" s="846"/>
      <c r="H448" s="846"/>
      <c r="I448" s="846"/>
      <c r="J448" s="846"/>
      <c r="K448" s="846"/>
      <c r="L448" s="846"/>
      <c r="M448" s="846"/>
      <c r="N448" s="846"/>
      <c r="O448" s="846"/>
      <c r="P448" s="846"/>
      <c r="Q448" s="846"/>
    </row>
    <row r="449" ht="15.0" customHeight="1">
      <c r="A449" s="1296"/>
      <c r="B449" s="846"/>
      <c r="C449" s="846"/>
      <c r="D449" s="846"/>
      <c r="E449" s="846"/>
      <c r="F449" s="846"/>
      <c r="G449" s="846"/>
      <c r="H449" s="846"/>
      <c r="I449" s="846"/>
      <c r="J449" s="846"/>
      <c r="K449" s="846"/>
      <c r="L449" s="846"/>
      <c r="M449" s="846"/>
      <c r="N449" s="846"/>
      <c r="O449" s="846"/>
      <c r="P449" s="846"/>
      <c r="Q449" s="846"/>
    </row>
    <row r="450" ht="15.0" customHeight="1">
      <c r="A450" s="1296"/>
      <c r="B450" s="846"/>
      <c r="C450" s="846"/>
      <c r="D450" s="846"/>
      <c r="E450" s="846"/>
      <c r="F450" s="846"/>
      <c r="G450" s="846"/>
      <c r="H450" s="846"/>
      <c r="I450" s="846"/>
      <c r="J450" s="846"/>
      <c r="K450" s="846"/>
      <c r="L450" s="846"/>
      <c r="M450" s="846"/>
      <c r="N450" s="846"/>
      <c r="O450" s="846"/>
      <c r="P450" s="846"/>
      <c r="Q450" s="846"/>
    </row>
    <row r="451" ht="15.0" customHeight="1">
      <c r="A451" s="1296"/>
      <c r="B451" s="846"/>
      <c r="C451" s="846"/>
      <c r="D451" s="846"/>
      <c r="E451" s="846"/>
      <c r="F451" s="846"/>
      <c r="G451" s="846"/>
      <c r="H451" s="846"/>
      <c r="I451" s="846"/>
      <c r="J451" s="846"/>
      <c r="K451" s="846"/>
      <c r="L451" s="846"/>
      <c r="M451" s="846"/>
      <c r="N451" s="846"/>
      <c r="O451" s="846"/>
      <c r="P451" s="846"/>
      <c r="Q451" s="846"/>
    </row>
    <row r="452" ht="15.0" customHeight="1">
      <c r="A452" s="1296"/>
      <c r="B452" s="846"/>
      <c r="C452" s="846"/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</row>
    <row r="453" ht="15.0" customHeight="1">
      <c r="A453" s="1296"/>
      <c r="B453" s="846"/>
      <c r="C453" s="846"/>
      <c r="D453" s="846"/>
      <c r="E453" s="846"/>
      <c r="F453" s="846"/>
      <c r="G453" s="846"/>
      <c r="H453" s="846"/>
      <c r="I453" s="846"/>
      <c r="J453" s="846"/>
      <c r="K453" s="846"/>
      <c r="L453" s="846"/>
      <c r="M453" s="846"/>
      <c r="N453" s="846"/>
      <c r="O453" s="846"/>
      <c r="P453" s="846"/>
      <c r="Q453" s="846"/>
    </row>
    <row r="454" ht="15.0" customHeight="1">
      <c r="A454" s="1296"/>
      <c r="B454" s="846"/>
      <c r="C454" s="846"/>
      <c r="D454" s="846"/>
      <c r="E454" s="846"/>
      <c r="F454" s="846"/>
      <c r="G454" s="846"/>
      <c r="H454" s="846"/>
      <c r="I454" s="846"/>
      <c r="J454" s="846"/>
      <c r="K454" s="846"/>
      <c r="L454" s="846"/>
      <c r="M454" s="846"/>
      <c r="N454" s="846"/>
      <c r="O454" s="846"/>
      <c r="P454" s="846"/>
      <c r="Q454" s="846"/>
    </row>
    <row r="455" ht="15.0" customHeight="1">
      <c r="A455" s="1296"/>
      <c r="B455" s="846"/>
      <c r="C455" s="846"/>
      <c r="D455" s="846"/>
      <c r="E455" s="846"/>
      <c r="F455" s="846"/>
      <c r="G455" s="846"/>
      <c r="H455" s="846"/>
      <c r="I455" s="846"/>
      <c r="J455" s="846"/>
      <c r="K455" s="846"/>
      <c r="L455" s="846"/>
      <c r="M455" s="846"/>
      <c r="N455" s="846"/>
      <c r="O455" s="846"/>
      <c r="P455" s="846"/>
      <c r="Q455" s="846"/>
    </row>
    <row r="456" ht="15.0" customHeight="1">
      <c r="A456" s="1296"/>
      <c r="B456" s="846"/>
      <c r="C456" s="846"/>
      <c r="D456" s="846"/>
      <c r="E456" s="846"/>
      <c r="F456" s="846"/>
      <c r="G456" s="846"/>
      <c r="H456" s="846"/>
      <c r="I456" s="846"/>
      <c r="J456" s="846"/>
      <c r="K456" s="846"/>
      <c r="L456" s="846"/>
      <c r="M456" s="846"/>
      <c r="N456" s="846"/>
      <c r="O456" s="846"/>
      <c r="P456" s="846"/>
      <c r="Q456" s="846"/>
    </row>
    <row r="457" ht="15.0" customHeight="1">
      <c r="A457" s="1296"/>
      <c r="B457" s="846"/>
      <c r="C457" s="846"/>
      <c r="D457" s="846"/>
      <c r="E457" s="846"/>
      <c r="F457" s="846"/>
      <c r="G457" s="846"/>
      <c r="H457" s="846"/>
      <c r="I457" s="846"/>
      <c r="J457" s="846"/>
      <c r="K457" s="846"/>
      <c r="L457" s="846"/>
      <c r="M457" s="846"/>
      <c r="N457" s="846"/>
      <c r="O457" s="846"/>
      <c r="P457" s="846"/>
      <c r="Q457" s="846"/>
    </row>
    <row r="458" ht="15.0" customHeight="1">
      <c r="A458" s="1296"/>
      <c r="B458" s="846"/>
      <c r="C458" s="846"/>
      <c r="D458" s="846"/>
      <c r="E458" s="846"/>
      <c r="F458" s="846"/>
      <c r="G458" s="846"/>
      <c r="H458" s="846"/>
      <c r="I458" s="846"/>
      <c r="J458" s="846"/>
      <c r="K458" s="846"/>
      <c r="L458" s="846"/>
      <c r="M458" s="846"/>
      <c r="N458" s="846"/>
      <c r="O458" s="846"/>
      <c r="P458" s="846"/>
      <c r="Q458" s="846"/>
    </row>
    <row r="459" ht="15.0" customHeight="1">
      <c r="A459" s="1296"/>
      <c r="B459" s="846"/>
      <c r="C459" s="846"/>
      <c r="D459" s="846"/>
      <c r="E459" s="846"/>
      <c r="F459" s="846"/>
      <c r="G459" s="846"/>
      <c r="H459" s="846"/>
      <c r="I459" s="846"/>
      <c r="J459" s="846"/>
      <c r="K459" s="846"/>
      <c r="L459" s="846"/>
      <c r="M459" s="846"/>
      <c r="N459" s="846"/>
      <c r="O459" s="846"/>
      <c r="P459" s="846"/>
      <c r="Q459" s="846"/>
    </row>
    <row r="460" ht="15.0" customHeight="1">
      <c r="A460" s="1296"/>
      <c r="B460" s="846"/>
      <c r="C460" s="846"/>
      <c r="D460" s="846"/>
      <c r="E460" s="846"/>
      <c r="F460" s="846"/>
      <c r="G460" s="846"/>
      <c r="H460" s="846"/>
      <c r="I460" s="846"/>
      <c r="J460" s="846"/>
      <c r="K460" s="846"/>
      <c r="L460" s="846"/>
      <c r="M460" s="846"/>
      <c r="N460" s="846"/>
      <c r="O460" s="846"/>
      <c r="P460" s="846"/>
      <c r="Q460" s="846"/>
    </row>
    <row r="461" ht="15.0" customHeight="1">
      <c r="A461" s="1296"/>
      <c r="B461" s="846"/>
      <c r="C461" s="846"/>
      <c r="D461" s="846"/>
      <c r="E461" s="846"/>
      <c r="F461" s="846"/>
      <c r="G461" s="846"/>
      <c r="H461" s="846"/>
      <c r="I461" s="846"/>
      <c r="J461" s="846"/>
      <c r="K461" s="846"/>
      <c r="L461" s="846"/>
      <c r="M461" s="846"/>
      <c r="N461" s="846"/>
      <c r="O461" s="846"/>
      <c r="P461" s="846"/>
      <c r="Q461" s="846"/>
    </row>
    <row r="462" ht="15.0" customHeight="1">
      <c r="A462" s="1296"/>
      <c r="B462" s="846"/>
      <c r="C462" s="846"/>
      <c r="D462" s="846"/>
      <c r="E462" s="846"/>
      <c r="F462" s="846"/>
      <c r="G462" s="846"/>
      <c r="H462" s="846"/>
      <c r="I462" s="846"/>
      <c r="J462" s="846"/>
      <c r="K462" s="846"/>
      <c r="L462" s="846"/>
      <c r="M462" s="846"/>
      <c r="N462" s="846"/>
      <c r="O462" s="846"/>
      <c r="P462" s="846"/>
      <c r="Q462" s="846"/>
    </row>
    <row r="463" ht="15.0" customHeight="1">
      <c r="A463" s="1296"/>
      <c r="B463" s="846"/>
      <c r="C463" s="846"/>
      <c r="D463" s="846"/>
      <c r="E463" s="846"/>
      <c r="F463" s="846"/>
      <c r="G463" s="846"/>
      <c r="H463" s="846"/>
      <c r="I463" s="846"/>
      <c r="J463" s="846"/>
      <c r="K463" s="846"/>
      <c r="L463" s="846"/>
      <c r="M463" s="846"/>
      <c r="N463" s="846"/>
      <c r="O463" s="846"/>
      <c r="P463" s="846"/>
      <c r="Q463" s="846"/>
    </row>
    <row r="464" ht="15.0" customHeight="1">
      <c r="A464" s="1296"/>
      <c r="B464" s="846"/>
      <c r="C464" s="846"/>
      <c r="D464" s="846"/>
      <c r="E464" s="846"/>
      <c r="F464" s="846"/>
      <c r="G464" s="846"/>
      <c r="H464" s="846"/>
      <c r="I464" s="846"/>
      <c r="J464" s="846"/>
      <c r="K464" s="846"/>
      <c r="L464" s="846"/>
      <c r="M464" s="846"/>
      <c r="N464" s="846"/>
      <c r="O464" s="846"/>
      <c r="P464" s="846"/>
      <c r="Q464" s="846"/>
    </row>
    <row r="465" ht="15.0" customHeight="1">
      <c r="A465" s="1296"/>
      <c r="B465" s="846"/>
      <c r="C465" s="846"/>
      <c r="D465" s="846"/>
      <c r="E465" s="846"/>
      <c r="F465" s="846"/>
      <c r="G465" s="846"/>
      <c r="H465" s="846"/>
      <c r="I465" s="846"/>
      <c r="J465" s="846"/>
      <c r="K465" s="846"/>
      <c r="L465" s="846"/>
      <c r="M465" s="846"/>
      <c r="N465" s="846"/>
      <c r="O465" s="846"/>
      <c r="P465" s="846"/>
      <c r="Q465" s="846"/>
    </row>
    <row r="466" ht="15.0" customHeight="1">
      <c r="A466" s="1296"/>
      <c r="B466" s="846"/>
      <c r="C466" s="846"/>
      <c r="D466" s="846"/>
      <c r="E466" s="846"/>
      <c r="F466" s="846"/>
      <c r="G466" s="846"/>
      <c r="H466" s="846"/>
      <c r="I466" s="846"/>
      <c r="J466" s="846"/>
      <c r="K466" s="846"/>
      <c r="L466" s="846"/>
      <c r="M466" s="846"/>
      <c r="N466" s="846"/>
      <c r="O466" s="846"/>
      <c r="P466" s="846"/>
      <c r="Q466" s="846"/>
    </row>
    <row r="467" ht="15.0" customHeight="1">
      <c r="A467" s="1296"/>
      <c r="B467" s="846"/>
      <c r="C467" s="846"/>
      <c r="D467" s="846"/>
      <c r="E467" s="846"/>
      <c r="F467" s="846"/>
      <c r="G467" s="846"/>
      <c r="H467" s="846"/>
      <c r="I467" s="846"/>
      <c r="J467" s="846"/>
      <c r="K467" s="846"/>
      <c r="L467" s="846"/>
      <c r="M467" s="846"/>
      <c r="N467" s="846"/>
      <c r="O467" s="846"/>
      <c r="P467" s="846"/>
      <c r="Q467" s="846"/>
    </row>
    <row r="468" ht="15.0" customHeight="1">
      <c r="A468" s="1296"/>
      <c r="B468" s="846"/>
      <c r="C468" s="846"/>
      <c r="D468" s="846"/>
      <c r="E468" s="846"/>
      <c r="F468" s="846"/>
      <c r="G468" s="846"/>
      <c r="H468" s="846"/>
      <c r="I468" s="846"/>
      <c r="J468" s="846"/>
      <c r="K468" s="846"/>
      <c r="L468" s="846"/>
      <c r="M468" s="846"/>
      <c r="N468" s="846"/>
      <c r="O468" s="846"/>
      <c r="P468" s="846"/>
      <c r="Q468" s="846"/>
    </row>
    <row r="469" ht="15.0" customHeight="1">
      <c r="A469" s="1296"/>
      <c r="B469" s="846"/>
      <c r="C469" s="846"/>
      <c r="D469" s="846"/>
      <c r="E469" s="846"/>
      <c r="F469" s="846"/>
      <c r="G469" s="846"/>
      <c r="H469" s="846"/>
      <c r="I469" s="846"/>
      <c r="J469" s="846"/>
      <c r="K469" s="846"/>
      <c r="L469" s="846"/>
      <c r="M469" s="846"/>
      <c r="N469" s="846"/>
      <c r="O469" s="846"/>
      <c r="P469" s="846"/>
      <c r="Q469" s="846"/>
    </row>
    <row r="470" ht="15.0" customHeight="1">
      <c r="A470" s="1296"/>
      <c r="B470" s="846"/>
      <c r="C470" s="846"/>
      <c r="D470" s="846"/>
      <c r="E470" s="846"/>
      <c r="F470" s="846"/>
      <c r="G470" s="846"/>
      <c r="H470" s="846"/>
      <c r="I470" s="846"/>
      <c r="J470" s="846"/>
      <c r="K470" s="846"/>
      <c r="L470" s="846"/>
      <c r="M470" s="846"/>
      <c r="N470" s="846"/>
      <c r="O470" s="846"/>
      <c r="P470" s="846"/>
      <c r="Q470" s="846"/>
    </row>
    <row r="471" ht="15.0" customHeight="1">
      <c r="A471" s="1296"/>
      <c r="B471" s="846"/>
      <c r="C471" s="846"/>
      <c r="D471" s="846"/>
      <c r="E471" s="846"/>
      <c r="F471" s="846"/>
      <c r="G471" s="846"/>
      <c r="H471" s="846"/>
      <c r="I471" s="846"/>
      <c r="J471" s="846"/>
      <c r="K471" s="846"/>
      <c r="L471" s="846"/>
      <c r="M471" s="846"/>
      <c r="N471" s="846"/>
      <c r="O471" s="846"/>
      <c r="P471" s="846"/>
      <c r="Q471" s="846"/>
    </row>
    <row r="472" ht="15.0" customHeight="1">
      <c r="A472" s="1296"/>
      <c r="B472" s="846"/>
      <c r="C472" s="846"/>
      <c r="D472" s="846"/>
      <c r="E472" s="846"/>
      <c r="F472" s="846"/>
      <c r="G472" s="846"/>
      <c r="H472" s="846"/>
      <c r="I472" s="846"/>
      <c r="J472" s="846"/>
      <c r="K472" s="846"/>
      <c r="L472" s="846"/>
      <c r="M472" s="846"/>
      <c r="N472" s="846"/>
      <c r="O472" s="846"/>
      <c r="P472" s="846"/>
      <c r="Q472" s="846"/>
    </row>
    <row r="473" ht="15.0" customHeight="1">
      <c r="A473" s="1296"/>
      <c r="B473" s="846"/>
      <c r="C473" s="846"/>
      <c r="D473" s="846"/>
      <c r="E473" s="846"/>
      <c r="F473" s="846"/>
      <c r="G473" s="846"/>
      <c r="H473" s="846"/>
      <c r="I473" s="846"/>
      <c r="J473" s="846"/>
      <c r="K473" s="846"/>
      <c r="L473" s="846"/>
      <c r="M473" s="846"/>
      <c r="N473" s="846"/>
      <c r="O473" s="846"/>
      <c r="P473" s="846"/>
      <c r="Q473" s="846"/>
    </row>
    <row r="474" ht="15.0" customHeight="1">
      <c r="A474" s="1296"/>
      <c r="B474" s="846"/>
      <c r="C474" s="846"/>
      <c r="D474" s="846"/>
      <c r="E474" s="846"/>
      <c r="F474" s="846"/>
      <c r="G474" s="846"/>
      <c r="H474" s="846"/>
      <c r="I474" s="846"/>
      <c r="J474" s="846"/>
      <c r="K474" s="846"/>
      <c r="L474" s="846"/>
      <c r="M474" s="846"/>
      <c r="N474" s="846"/>
      <c r="O474" s="846"/>
      <c r="P474" s="846"/>
      <c r="Q474" s="846"/>
    </row>
    <row r="475" ht="15.0" customHeight="1">
      <c r="A475" s="1296"/>
      <c r="B475" s="846"/>
      <c r="C475" s="846"/>
      <c r="D475" s="846"/>
      <c r="E475" s="846"/>
      <c r="F475" s="846"/>
      <c r="G475" s="846"/>
      <c r="H475" s="846"/>
      <c r="I475" s="846"/>
      <c r="J475" s="846"/>
      <c r="K475" s="846"/>
      <c r="L475" s="846"/>
      <c r="M475" s="846"/>
      <c r="N475" s="846"/>
      <c r="O475" s="846"/>
      <c r="P475" s="846"/>
      <c r="Q475" s="846"/>
    </row>
    <row r="476" ht="15.0" customHeight="1">
      <c r="A476" s="1296"/>
      <c r="B476" s="846"/>
      <c r="C476" s="846"/>
      <c r="D476" s="846"/>
      <c r="E476" s="846"/>
      <c r="F476" s="846"/>
      <c r="G476" s="846"/>
      <c r="H476" s="846"/>
      <c r="I476" s="846"/>
      <c r="J476" s="846"/>
      <c r="K476" s="846"/>
      <c r="L476" s="846"/>
      <c r="M476" s="846"/>
      <c r="N476" s="846"/>
      <c r="O476" s="846"/>
      <c r="P476" s="846"/>
      <c r="Q476" s="846"/>
    </row>
    <row r="477" ht="15.0" customHeight="1">
      <c r="A477" s="1296"/>
      <c r="B477" s="846"/>
      <c r="C477" s="846"/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</row>
    <row r="478" ht="15.0" customHeight="1">
      <c r="A478" s="1296"/>
      <c r="B478" s="846"/>
      <c r="C478" s="846"/>
      <c r="D478" s="846"/>
      <c r="E478" s="846"/>
      <c r="F478" s="846"/>
      <c r="G478" s="846"/>
      <c r="H478" s="846"/>
      <c r="I478" s="846"/>
      <c r="J478" s="846"/>
      <c r="K478" s="846"/>
      <c r="L478" s="846"/>
      <c r="M478" s="846"/>
      <c r="N478" s="846"/>
      <c r="O478" s="846"/>
      <c r="P478" s="846"/>
      <c r="Q478" s="846"/>
    </row>
    <row r="479" ht="15.0" customHeight="1">
      <c r="A479" s="1296"/>
      <c r="B479" s="846"/>
      <c r="C479" s="846"/>
      <c r="D479" s="846"/>
      <c r="E479" s="846"/>
      <c r="F479" s="846"/>
      <c r="G479" s="846"/>
      <c r="H479" s="846"/>
      <c r="I479" s="846"/>
      <c r="J479" s="846"/>
      <c r="K479" s="846"/>
      <c r="L479" s="846"/>
      <c r="M479" s="846"/>
      <c r="N479" s="846"/>
      <c r="O479" s="846"/>
      <c r="P479" s="846"/>
      <c r="Q479" s="846"/>
    </row>
    <row r="480" ht="15.0" customHeight="1">
      <c r="A480" s="1296"/>
      <c r="B480" s="846"/>
      <c r="C480" s="846"/>
      <c r="D480" s="846"/>
      <c r="E480" s="846"/>
      <c r="F480" s="846"/>
      <c r="G480" s="846"/>
      <c r="H480" s="846"/>
      <c r="I480" s="846"/>
      <c r="J480" s="846"/>
      <c r="K480" s="846"/>
      <c r="L480" s="846"/>
      <c r="M480" s="846"/>
      <c r="N480" s="846"/>
      <c r="O480" s="846"/>
      <c r="P480" s="846"/>
      <c r="Q480" s="846"/>
    </row>
    <row r="481" ht="15.0" customHeight="1">
      <c r="A481" s="1296"/>
      <c r="B481" s="846"/>
      <c r="C481" s="846"/>
      <c r="D481" s="846"/>
      <c r="E481" s="846"/>
      <c r="F481" s="846"/>
      <c r="G481" s="846"/>
      <c r="H481" s="846"/>
      <c r="I481" s="846"/>
      <c r="J481" s="846"/>
      <c r="K481" s="846"/>
      <c r="L481" s="846"/>
      <c r="M481" s="846"/>
      <c r="N481" s="846"/>
      <c r="O481" s="846"/>
      <c r="P481" s="846"/>
      <c r="Q481" s="846"/>
    </row>
    <row r="482" ht="15.0" customHeight="1">
      <c r="A482" s="1296"/>
      <c r="B482" s="846"/>
      <c r="C482" s="846"/>
      <c r="D482" s="846"/>
      <c r="E482" s="846"/>
      <c r="F482" s="846"/>
      <c r="G482" s="846"/>
      <c r="H482" s="846"/>
      <c r="I482" s="846"/>
      <c r="J482" s="846"/>
      <c r="K482" s="846"/>
      <c r="L482" s="846"/>
      <c r="M482" s="846"/>
      <c r="N482" s="846"/>
      <c r="O482" s="846"/>
      <c r="P482" s="846"/>
      <c r="Q482" s="846"/>
    </row>
    <row r="483" ht="15.0" customHeight="1">
      <c r="A483" s="1296"/>
      <c r="B483" s="846"/>
      <c r="C483" s="846"/>
      <c r="D483" s="846"/>
      <c r="E483" s="846"/>
      <c r="F483" s="846"/>
      <c r="G483" s="846"/>
      <c r="H483" s="846"/>
      <c r="I483" s="846"/>
      <c r="J483" s="846"/>
      <c r="K483" s="846"/>
      <c r="L483" s="846"/>
      <c r="M483" s="846"/>
      <c r="N483" s="846"/>
      <c r="O483" s="846"/>
      <c r="P483" s="846"/>
      <c r="Q483" s="846"/>
    </row>
    <row r="484" ht="15.0" customHeight="1">
      <c r="A484" s="1296"/>
      <c r="B484" s="846"/>
      <c r="C484" s="846"/>
      <c r="D484" s="846"/>
      <c r="E484" s="846"/>
      <c r="F484" s="846"/>
      <c r="G484" s="846"/>
      <c r="H484" s="846"/>
      <c r="I484" s="846"/>
      <c r="J484" s="846"/>
      <c r="K484" s="846"/>
      <c r="L484" s="846"/>
      <c r="M484" s="846"/>
      <c r="N484" s="846"/>
      <c r="O484" s="846"/>
      <c r="P484" s="846"/>
      <c r="Q484" s="846"/>
    </row>
    <row r="485" ht="15.0" customHeight="1">
      <c r="A485" s="1296"/>
      <c r="B485" s="846"/>
      <c r="C485" s="846"/>
      <c r="D485" s="846"/>
      <c r="E485" s="846"/>
      <c r="F485" s="846"/>
      <c r="G485" s="846"/>
      <c r="H485" s="846"/>
      <c r="I485" s="846"/>
      <c r="J485" s="846"/>
      <c r="K485" s="846"/>
      <c r="L485" s="846"/>
      <c r="M485" s="846"/>
      <c r="N485" s="846"/>
      <c r="O485" s="846"/>
      <c r="P485" s="846"/>
      <c r="Q485" s="846"/>
    </row>
    <row r="486" ht="15.0" customHeight="1">
      <c r="A486" s="1296"/>
      <c r="B486" s="846"/>
      <c r="C486" s="846"/>
      <c r="D486" s="846"/>
      <c r="E486" s="846"/>
      <c r="F486" s="846"/>
      <c r="G486" s="846"/>
      <c r="H486" s="846"/>
      <c r="I486" s="846"/>
      <c r="J486" s="846"/>
      <c r="K486" s="846"/>
      <c r="L486" s="846"/>
      <c r="M486" s="846"/>
      <c r="N486" s="846"/>
      <c r="O486" s="846"/>
      <c r="P486" s="846"/>
      <c r="Q486" s="846"/>
    </row>
    <row r="487" ht="15.0" customHeight="1">
      <c r="A487" s="1296"/>
      <c r="B487" s="846"/>
      <c r="C487" s="846"/>
      <c r="D487" s="846"/>
      <c r="E487" s="846"/>
      <c r="F487" s="846"/>
      <c r="G487" s="846"/>
      <c r="H487" s="846"/>
      <c r="I487" s="846"/>
      <c r="J487" s="846"/>
      <c r="K487" s="846"/>
      <c r="L487" s="846"/>
      <c r="M487" s="846"/>
      <c r="N487" s="846"/>
      <c r="O487" s="846"/>
      <c r="P487" s="846"/>
      <c r="Q487" s="846"/>
    </row>
    <row r="488" ht="15.0" customHeight="1">
      <c r="A488" s="1296"/>
      <c r="B488" s="846"/>
      <c r="C488" s="846"/>
      <c r="D488" s="846"/>
      <c r="E488" s="846"/>
      <c r="F488" s="846"/>
      <c r="G488" s="846"/>
      <c r="H488" s="846"/>
      <c r="I488" s="846"/>
      <c r="J488" s="846"/>
      <c r="K488" s="846"/>
      <c r="L488" s="846"/>
      <c r="M488" s="846"/>
      <c r="N488" s="846"/>
      <c r="O488" s="846"/>
      <c r="P488" s="846"/>
      <c r="Q488" s="846"/>
    </row>
    <row r="489" ht="15.0" customHeight="1">
      <c r="A489" s="1296"/>
      <c r="B489" s="846"/>
      <c r="C489" s="846"/>
      <c r="D489" s="846"/>
      <c r="E489" s="846"/>
      <c r="F489" s="846"/>
      <c r="G489" s="846"/>
      <c r="H489" s="846"/>
      <c r="I489" s="846"/>
      <c r="J489" s="846"/>
      <c r="K489" s="846"/>
      <c r="L489" s="846"/>
      <c r="M489" s="846"/>
      <c r="N489" s="846"/>
      <c r="O489" s="846"/>
      <c r="P489" s="846"/>
      <c r="Q489" s="846"/>
    </row>
    <row r="490" ht="15.0" customHeight="1">
      <c r="A490" s="1296"/>
      <c r="B490" s="846"/>
      <c r="C490" s="846"/>
      <c r="D490" s="846"/>
      <c r="E490" s="846"/>
      <c r="F490" s="846"/>
      <c r="G490" s="846"/>
      <c r="H490" s="846"/>
      <c r="I490" s="846"/>
      <c r="J490" s="846"/>
      <c r="K490" s="846"/>
      <c r="L490" s="846"/>
      <c r="M490" s="846"/>
      <c r="N490" s="846"/>
      <c r="O490" s="846"/>
      <c r="P490" s="846"/>
      <c r="Q490" s="846"/>
    </row>
    <row r="491" ht="15.0" customHeight="1">
      <c r="A491" s="1296"/>
      <c r="B491" s="846"/>
      <c r="C491" s="846"/>
      <c r="D491" s="846"/>
      <c r="E491" s="846"/>
      <c r="F491" s="846"/>
      <c r="G491" s="846"/>
      <c r="H491" s="846"/>
      <c r="I491" s="846"/>
      <c r="J491" s="846"/>
      <c r="K491" s="846"/>
      <c r="L491" s="846"/>
      <c r="M491" s="846"/>
      <c r="N491" s="846"/>
      <c r="O491" s="846"/>
      <c r="P491" s="846"/>
      <c r="Q491" s="846"/>
    </row>
    <row r="492" ht="15.0" customHeight="1">
      <c r="A492" s="1296"/>
      <c r="B492" s="846"/>
      <c r="C492" s="846"/>
      <c r="D492" s="846"/>
      <c r="E492" s="846"/>
      <c r="F492" s="846"/>
      <c r="G492" s="846"/>
      <c r="H492" s="846"/>
      <c r="I492" s="846"/>
      <c r="J492" s="846"/>
      <c r="K492" s="846"/>
      <c r="L492" s="846"/>
      <c r="M492" s="846"/>
      <c r="N492" s="846"/>
      <c r="O492" s="846"/>
      <c r="P492" s="846"/>
      <c r="Q492" s="846"/>
    </row>
    <row r="493" ht="15.0" customHeight="1">
      <c r="A493" s="1296"/>
      <c r="B493" s="846"/>
      <c r="C493" s="846"/>
      <c r="D493" s="846"/>
      <c r="E493" s="846"/>
      <c r="F493" s="846"/>
      <c r="G493" s="846"/>
      <c r="H493" s="846"/>
      <c r="I493" s="846"/>
      <c r="J493" s="846"/>
      <c r="K493" s="846"/>
      <c r="L493" s="846"/>
      <c r="M493" s="846"/>
      <c r="N493" s="846"/>
      <c r="O493" s="846"/>
      <c r="P493" s="846"/>
      <c r="Q493" s="846"/>
    </row>
    <row r="494" ht="15.0" customHeight="1">
      <c r="A494" s="1296"/>
      <c r="B494" s="846"/>
      <c r="C494" s="846"/>
      <c r="D494" s="846"/>
      <c r="E494" s="846"/>
      <c r="F494" s="846"/>
      <c r="G494" s="846"/>
      <c r="H494" s="846"/>
      <c r="I494" s="846"/>
      <c r="J494" s="846"/>
      <c r="K494" s="846"/>
      <c r="L494" s="846"/>
      <c r="M494" s="846"/>
      <c r="N494" s="846"/>
      <c r="O494" s="846"/>
      <c r="P494" s="846"/>
      <c r="Q494" s="846"/>
    </row>
    <row r="495" ht="15.0" customHeight="1">
      <c r="A495" s="1296"/>
      <c r="B495" s="846"/>
      <c r="C495" s="846"/>
      <c r="D495" s="846"/>
      <c r="E495" s="846"/>
      <c r="F495" s="846"/>
      <c r="G495" s="846"/>
      <c r="H495" s="846"/>
      <c r="I495" s="846"/>
      <c r="J495" s="846"/>
      <c r="K495" s="846"/>
      <c r="L495" s="846"/>
      <c r="M495" s="846"/>
      <c r="N495" s="846"/>
      <c r="O495" s="846"/>
      <c r="P495" s="846"/>
      <c r="Q495" s="846"/>
    </row>
    <row r="496" ht="15.0" customHeight="1">
      <c r="A496" s="1296"/>
      <c r="B496" s="846"/>
      <c r="C496" s="846"/>
      <c r="D496" s="846"/>
      <c r="E496" s="846"/>
      <c r="F496" s="846"/>
      <c r="G496" s="846"/>
      <c r="H496" s="846"/>
      <c r="I496" s="846"/>
      <c r="J496" s="846"/>
      <c r="K496" s="846"/>
      <c r="L496" s="846"/>
      <c r="M496" s="846"/>
      <c r="N496" s="846"/>
      <c r="O496" s="846"/>
      <c r="P496" s="846"/>
      <c r="Q496" s="846"/>
    </row>
    <row r="497" ht="15.0" customHeight="1">
      <c r="A497" s="1296"/>
      <c r="B497" s="846"/>
      <c r="C497" s="846"/>
      <c r="D497" s="846"/>
      <c r="E497" s="846"/>
      <c r="F497" s="846"/>
      <c r="G497" s="846"/>
      <c r="H497" s="846"/>
      <c r="I497" s="846"/>
      <c r="J497" s="846"/>
      <c r="K497" s="846"/>
      <c r="L497" s="846"/>
      <c r="M497" s="846"/>
      <c r="N497" s="846"/>
      <c r="O497" s="846"/>
      <c r="P497" s="846"/>
      <c r="Q497" s="846"/>
    </row>
    <row r="498" ht="15.0" customHeight="1">
      <c r="A498" s="1296"/>
      <c r="B498" s="846"/>
      <c r="C498" s="846"/>
      <c r="D498" s="846"/>
      <c r="E498" s="846"/>
      <c r="F498" s="846"/>
      <c r="G498" s="846"/>
      <c r="H498" s="846"/>
      <c r="I498" s="846"/>
      <c r="J498" s="846"/>
      <c r="K498" s="846"/>
      <c r="L498" s="846"/>
      <c r="M498" s="846"/>
      <c r="N498" s="846"/>
      <c r="O498" s="846"/>
      <c r="P498" s="846"/>
      <c r="Q498" s="846"/>
    </row>
    <row r="499" ht="15.0" customHeight="1">
      <c r="A499" s="1296"/>
      <c r="B499" s="846"/>
      <c r="C499" s="846"/>
      <c r="D499" s="846"/>
      <c r="E499" s="846"/>
      <c r="F499" s="846"/>
      <c r="G499" s="846"/>
      <c r="H499" s="846"/>
      <c r="I499" s="846"/>
      <c r="J499" s="846"/>
      <c r="K499" s="846"/>
      <c r="L499" s="846"/>
      <c r="M499" s="846"/>
      <c r="N499" s="846"/>
      <c r="O499" s="846"/>
      <c r="P499" s="846"/>
      <c r="Q499" s="846"/>
    </row>
    <row r="500" ht="15.0" customHeight="1">
      <c r="A500" s="1296"/>
      <c r="B500" s="846"/>
      <c r="C500" s="846"/>
      <c r="D500" s="846"/>
      <c r="E500" s="846"/>
      <c r="F500" s="846"/>
      <c r="G500" s="846"/>
      <c r="H500" s="846"/>
      <c r="I500" s="846"/>
      <c r="J500" s="846"/>
      <c r="K500" s="846"/>
      <c r="L500" s="846"/>
      <c r="M500" s="846"/>
      <c r="N500" s="846"/>
      <c r="O500" s="846"/>
      <c r="P500" s="846"/>
      <c r="Q500" s="846"/>
    </row>
    <row r="501" ht="15.0" customHeight="1">
      <c r="A501" s="1296"/>
      <c r="B501" s="846"/>
      <c r="C501" s="846"/>
      <c r="D501" s="846"/>
      <c r="E501" s="846"/>
      <c r="F501" s="846"/>
      <c r="G501" s="846"/>
      <c r="H501" s="846"/>
      <c r="I501" s="846"/>
      <c r="J501" s="846"/>
      <c r="K501" s="846"/>
      <c r="L501" s="846"/>
      <c r="M501" s="846"/>
      <c r="N501" s="846"/>
      <c r="O501" s="846"/>
      <c r="P501" s="846"/>
      <c r="Q501" s="846"/>
    </row>
    <row r="502" ht="15.0" customHeight="1">
      <c r="A502" s="1296"/>
      <c r="B502" s="846"/>
      <c r="C502" s="846"/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</row>
    <row r="503" ht="15.0" customHeight="1">
      <c r="A503" s="1296"/>
      <c r="B503" s="846"/>
      <c r="C503" s="846"/>
      <c r="D503" s="846"/>
      <c r="E503" s="846"/>
      <c r="F503" s="846"/>
      <c r="G503" s="846"/>
      <c r="H503" s="846"/>
      <c r="I503" s="846"/>
      <c r="J503" s="846"/>
      <c r="K503" s="846"/>
      <c r="L503" s="846"/>
      <c r="M503" s="846"/>
      <c r="N503" s="846"/>
      <c r="O503" s="846"/>
      <c r="P503" s="846"/>
      <c r="Q503" s="846"/>
    </row>
    <row r="504" ht="15.0" customHeight="1">
      <c r="A504" s="1296"/>
      <c r="B504" s="846"/>
      <c r="C504" s="846"/>
      <c r="D504" s="846"/>
      <c r="E504" s="846"/>
      <c r="F504" s="846"/>
      <c r="G504" s="846"/>
      <c r="H504" s="846"/>
      <c r="I504" s="846"/>
      <c r="J504" s="846"/>
      <c r="K504" s="846"/>
      <c r="L504" s="846"/>
      <c r="M504" s="846"/>
      <c r="N504" s="846"/>
      <c r="O504" s="846"/>
      <c r="P504" s="846"/>
      <c r="Q504" s="846"/>
    </row>
    <row r="505" ht="15.0" customHeight="1">
      <c r="A505" s="1296"/>
      <c r="B505" s="846"/>
      <c r="C505" s="846"/>
      <c r="D505" s="846"/>
      <c r="E505" s="846"/>
      <c r="F505" s="846"/>
      <c r="G505" s="846"/>
      <c r="H505" s="846"/>
      <c r="I505" s="846"/>
      <c r="J505" s="846"/>
      <c r="K505" s="846"/>
      <c r="L505" s="846"/>
      <c r="M505" s="846"/>
      <c r="N505" s="846"/>
      <c r="O505" s="846"/>
      <c r="P505" s="846"/>
      <c r="Q505" s="846"/>
    </row>
    <row r="506" ht="15.0" customHeight="1">
      <c r="A506" s="1296"/>
      <c r="B506" s="846"/>
      <c r="C506" s="846"/>
      <c r="D506" s="846"/>
      <c r="E506" s="846"/>
      <c r="F506" s="846"/>
      <c r="G506" s="846"/>
      <c r="H506" s="846"/>
      <c r="I506" s="846"/>
      <c r="J506" s="846"/>
      <c r="K506" s="846"/>
      <c r="L506" s="846"/>
      <c r="M506" s="846"/>
      <c r="N506" s="846"/>
      <c r="O506" s="846"/>
      <c r="P506" s="846"/>
      <c r="Q506" s="846"/>
    </row>
    <row r="507" ht="15.0" customHeight="1">
      <c r="A507" s="1296"/>
      <c r="B507" s="846"/>
      <c r="C507" s="846"/>
      <c r="D507" s="846"/>
      <c r="E507" s="846"/>
      <c r="F507" s="846"/>
      <c r="G507" s="846"/>
      <c r="H507" s="846"/>
      <c r="I507" s="846"/>
      <c r="J507" s="846"/>
      <c r="K507" s="846"/>
      <c r="L507" s="846"/>
      <c r="M507" s="846"/>
      <c r="N507" s="846"/>
      <c r="O507" s="846"/>
      <c r="P507" s="846"/>
      <c r="Q507" s="846"/>
    </row>
    <row r="508" ht="15.0" customHeight="1">
      <c r="A508" s="1296"/>
      <c r="B508" s="846"/>
      <c r="C508" s="846"/>
      <c r="D508" s="846"/>
      <c r="E508" s="846"/>
      <c r="F508" s="846"/>
      <c r="G508" s="846"/>
      <c r="H508" s="846"/>
      <c r="I508" s="846"/>
      <c r="J508" s="846"/>
      <c r="K508" s="846"/>
      <c r="L508" s="846"/>
      <c r="M508" s="846"/>
      <c r="N508" s="846"/>
      <c r="O508" s="846"/>
      <c r="P508" s="846"/>
      <c r="Q508" s="846"/>
    </row>
    <row r="509" ht="15.0" customHeight="1">
      <c r="A509" s="1296"/>
      <c r="B509" s="846"/>
      <c r="C509" s="846"/>
      <c r="D509" s="846"/>
      <c r="E509" s="846"/>
      <c r="F509" s="846"/>
      <c r="G509" s="846"/>
      <c r="H509" s="846"/>
      <c r="I509" s="846"/>
      <c r="J509" s="846"/>
      <c r="K509" s="846"/>
      <c r="L509" s="846"/>
      <c r="M509" s="846"/>
      <c r="N509" s="846"/>
      <c r="O509" s="846"/>
      <c r="P509" s="846"/>
      <c r="Q509" s="846"/>
    </row>
    <row r="510" ht="15.0" customHeight="1">
      <c r="A510" s="1296"/>
      <c r="B510" s="846"/>
      <c r="C510" s="846"/>
      <c r="D510" s="846"/>
      <c r="E510" s="846"/>
      <c r="F510" s="846"/>
      <c r="G510" s="846"/>
      <c r="H510" s="846"/>
      <c r="I510" s="846"/>
      <c r="J510" s="846"/>
      <c r="K510" s="846"/>
      <c r="L510" s="846"/>
      <c r="M510" s="846"/>
      <c r="N510" s="846"/>
      <c r="O510" s="846"/>
      <c r="P510" s="846"/>
      <c r="Q510" s="846"/>
    </row>
    <row r="511" ht="15.0" customHeight="1">
      <c r="A511" s="1296"/>
      <c r="B511" s="846"/>
      <c r="C511" s="846"/>
      <c r="D511" s="846"/>
      <c r="E511" s="846"/>
      <c r="F511" s="846"/>
      <c r="G511" s="846"/>
      <c r="H511" s="846"/>
      <c r="I511" s="846"/>
      <c r="J511" s="846"/>
      <c r="K511" s="846"/>
      <c r="L511" s="846"/>
      <c r="M511" s="846"/>
      <c r="N511" s="846"/>
      <c r="O511" s="846"/>
      <c r="P511" s="846"/>
      <c r="Q511" s="846"/>
    </row>
    <row r="512" ht="15.0" customHeight="1">
      <c r="A512" s="1296"/>
      <c r="B512" s="846"/>
      <c r="C512" s="846"/>
      <c r="D512" s="846"/>
      <c r="E512" s="846"/>
      <c r="F512" s="846"/>
      <c r="G512" s="846"/>
      <c r="H512" s="846"/>
      <c r="I512" s="846"/>
      <c r="J512" s="846"/>
      <c r="K512" s="846"/>
      <c r="L512" s="846"/>
      <c r="M512" s="846"/>
      <c r="N512" s="846"/>
      <c r="O512" s="846"/>
      <c r="P512" s="846"/>
      <c r="Q512" s="846"/>
    </row>
    <row r="513" ht="15.0" customHeight="1">
      <c r="A513" s="1296"/>
      <c r="B513" s="846"/>
      <c r="C513" s="846"/>
      <c r="D513" s="846"/>
      <c r="E513" s="846"/>
      <c r="F513" s="846"/>
      <c r="G513" s="846"/>
      <c r="H513" s="846"/>
      <c r="I513" s="846"/>
      <c r="J513" s="846"/>
      <c r="K513" s="846"/>
      <c r="L513" s="846"/>
      <c r="M513" s="846"/>
      <c r="N513" s="846"/>
      <c r="O513" s="846"/>
      <c r="P513" s="846"/>
      <c r="Q513" s="846"/>
    </row>
    <row r="514" ht="15.0" customHeight="1">
      <c r="A514" s="1296"/>
      <c r="B514" s="846"/>
      <c r="C514" s="846"/>
      <c r="D514" s="846"/>
      <c r="E514" s="846"/>
      <c r="F514" s="846"/>
      <c r="G514" s="846"/>
      <c r="H514" s="846"/>
      <c r="I514" s="846"/>
      <c r="J514" s="846"/>
      <c r="K514" s="846"/>
      <c r="L514" s="846"/>
      <c r="M514" s="846"/>
      <c r="N514" s="846"/>
      <c r="O514" s="846"/>
      <c r="P514" s="846"/>
      <c r="Q514" s="846"/>
    </row>
    <row r="515" ht="15.0" customHeight="1">
      <c r="A515" s="1296"/>
      <c r="B515" s="846"/>
      <c r="C515" s="846"/>
      <c r="D515" s="846"/>
      <c r="E515" s="846"/>
      <c r="F515" s="846"/>
      <c r="G515" s="846"/>
      <c r="H515" s="846"/>
      <c r="I515" s="846"/>
      <c r="J515" s="846"/>
      <c r="K515" s="846"/>
      <c r="L515" s="846"/>
      <c r="M515" s="846"/>
      <c r="N515" s="846"/>
      <c r="O515" s="846"/>
      <c r="P515" s="846"/>
      <c r="Q515" s="846"/>
    </row>
    <row r="516" ht="15.0" customHeight="1">
      <c r="A516" s="1296"/>
      <c r="B516" s="846"/>
      <c r="C516" s="846"/>
      <c r="D516" s="846"/>
      <c r="E516" s="846"/>
      <c r="F516" s="846"/>
      <c r="G516" s="846"/>
      <c r="H516" s="846"/>
      <c r="I516" s="846"/>
      <c r="J516" s="846"/>
      <c r="K516" s="846"/>
      <c r="L516" s="846"/>
      <c r="M516" s="846"/>
      <c r="N516" s="846"/>
      <c r="O516" s="846"/>
      <c r="P516" s="846"/>
      <c r="Q516" s="846"/>
    </row>
    <row r="517" ht="15.0" customHeight="1">
      <c r="A517" s="1296"/>
      <c r="B517" s="846"/>
      <c r="C517" s="846"/>
      <c r="D517" s="846"/>
      <c r="E517" s="846"/>
      <c r="F517" s="846"/>
      <c r="G517" s="846"/>
      <c r="H517" s="846"/>
      <c r="I517" s="846"/>
      <c r="J517" s="846"/>
      <c r="K517" s="846"/>
      <c r="L517" s="846"/>
      <c r="M517" s="846"/>
      <c r="N517" s="846"/>
      <c r="O517" s="846"/>
      <c r="P517" s="846"/>
      <c r="Q517" s="846"/>
    </row>
    <row r="518" ht="15.0" customHeight="1">
      <c r="A518" s="1296"/>
      <c r="B518" s="846"/>
      <c r="C518" s="846"/>
      <c r="D518" s="846"/>
      <c r="E518" s="846"/>
      <c r="F518" s="846"/>
      <c r="G518" s="846"/>
      <c r="H518" s="846"/>
      <c r="I518" s="846"/>
      <c r="J518" s="846"/>
      <c r="K518" s="846"/>
      <c r="L518" s="846"/>
      <c r="M518" s="846"/>
      <c r="N518" s="846"/>
      <c r="O518" s="846"/>
      <c r="P518" s="846"/>
      <c r="Q518" s="846"/>
    </row>
    <row r="519" ht="15.0" customHeight="1">
      <c r="A519" s="1296"/>
      <c r="B519" s="846"/>
      <c r="C519" s="846"/>
      <c r="D519" s="846"/>
      <c r="E519" s="846"/>
      <c r="F519" s="846"/>
      <c r="G519" s="846"/>
      <c r="H519" s="846"/>
      <c r="I519" s="846"/>
      <c r="J519" s="846"/>
      <c r="K519" s="846"/>
      <c r="L519" s="846"/>
      <c r="M519" s="846"/>
      <c r="N519" s="846"/>
      <c r="O519" s="846"/>
      <c r="P519" s="846"/>
      <c r="Q519" s="846"/>
    </row>
    <row r="520" ht="15.0" customHeight="1">
      <c r="A520" s="1296"/>
      <c r="B520" s="846"/>
      <c r="C520" s="846"/>
      <c r="D520" s="846"/>
      <c r="E520" s="846"/>
      <c r="F520" s="846"/>
      <c r="G520" s="846"/>
      <c r="H520" s="846"/>
      <c r="I520" s="846"/>
      <c r="J520" s="846"/>
      <c r="K520" s="846"/>
      <c r="L520" s="846"/>
      <c r="M520" s="846"/>
      <c r="N520" s="846"/>
      <c r="O520" s="846"/>
      <c r="P520" s="846"/>
      <c r="Q520" s="846"/>
    </row>
    <row r="521" ht="15.0" customHeight="1">
      <c r="A521" s="1296"/>
      <c r="B521" s="846"/>
      <c r="C521" s="846"/>
      <c r="D521" s="846"/>
      <c r="E521" s="846"/>
      <c r="F521" s="846"/>
      <c r="G521" s="846"/>
      <c r="H521" s="846"/>
      <c r="I521" s="846"/>
      <c r="J521" s="846"/>
      <c r="K521" s="846"/>
      <c r="L521" s="846"/>
      <c r="M521" s="846"/>
      <c r="N521" s="846"/>
      <c r="O521" s="846"/>
      <c r="P521" s="846"/>
      <c r="Q521" s="846"/>
    </row>
    <row r="522" ht="15.0" customHeight="1">
      <c r="A522" s="1296"/>
      <c r="B522" s="846"/>
      <c r="C522" s="846"/>
      <c r="D522" s="846"/>
      <c r="E522" s="846"/>
      <c r="F522" s="846"/>
      <c r="G522" s="846"/>
      <c r="H522" s="846"/>
      <c r="I522" s="846"/>
      <c r="J522" s="846"/>
      <c r="K522" s="846"/>
      <c r="L522" s="846"/>
      <c r="M522" s="846"/>
      <c r="N522" s="846"/>
      <c r="O522" s="846"/>
      <c r="P522" s="846"/>
      <c r="Q522" s="846"/>
    </row>
    <row r="523" ht="15.0" customHeight="1">
      <c r="A523" s="1296"/>
      <c r="B523" s="846"/>
      <c r="C523" s="846"/>
      <c r="D523" s="846"/>
      <c r="E523" s="846"/>
      <c r="F523" s="846"/>
      <c r="G523" s="846"/>
      <c r="H523" s="846"/>
      <c r="I523" s="846"/>
      <c r="J523" s="846"/>
      <c r="K523" s="846"/>
      <c r="L523" s="846"/>
      <c r="M523" s="846"/>
      <c r="N523" s="846"/>
      <c r="O523" s="846"/>
      <c r="P523" s="846"/>
      <c r="Q523" s="846"/>
    </row>
    <row r="524" ht="15.0" customHeight="1">
      <c r="A524" s="1296"/>
      <c r="B524" s="846"/>
      <c r="C524" s="846"/>
      <c r="D524" s="846"/>
      <c r="E524" s="846"/>
      <c r="F524" s="846"/>
      <c r="G524" s="846"/>
      <c r="H524" s="846"/>
      <c r="I524" s="846"/>
      <c r="J524" s="846"/>
      <c r="K524" s="846"/>
      <c r="L524" s="846"/>
      <c r="M524" s="846"/>
      <c r="N524" s="846"/>
      <c r="O524" s="846"/>
      <c r="P524" s="846"/>
      <c r="Q524" s="846"/>
    </row>
    <row r="525" ht="15.0" customHeight="1">
      <c r="A525" s="1296"/>
      <c r="B525" s="846"/>
      <c r="C525" s="846"/>
      <c r="D525" s="846"/>
      <c r="E525" s="846"/>
      <c r="F525" s="846"/>
      <c r="G525" s="846"/>
      <c r="H525" s="846"/>
      <c r="I525" s="846"/>
      <c r="J525" s="846"/>
      <c r="K525" s="846"/>
      <c r="L525" s="846"/>
      <c r="M525" s="846"/>
      <c r="N525" s="846"/>
      <c r="O525" s="846"/>
      <c r="P525" s="846"/>
      <c r="Q525" s="846"/>
    </row>
    <row r="526" ht="15.0" customHeight="1">
      <c r="A526" s="1296"/>
      <c r="B526" s="846"/>
      <c r="C526" s="846"/>
      <c r="D526" s="846"/>
      <c r="E526" s="846"/>
      <c r="F526" s="846"/>
      <c r="G526" s="846"/>
      <c r="H526" s="846"/>
      <c r="I526" s="846"/>
      <c r="J526" s="846"/>
      <c r="K526" s="846"/>
      <c r="L526" s="846"/>
      <c r="M526" s="846"/>
      <c r="N526" s="846"/>
      <c r="O526" s="846"/>
      <c r="P526" s="846"/>
      <c r="Q526" s="846"/>
    </row>
    <row r="527" ht="15.0" customHeight="1">
      <c r="A527" s="1296"/>
      <c r="B527" s="846"/>
      <c r="C527" s="846"/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</row>
    <row r="528" ht="15.0" customHeight="1">
      <c r="A528" s="1296"/>
      <c r="B528" s="846"/>
      <c r="C528" s="846"/>
      <c r="D528" s="846"/>
      <c r="E528" s="846"/>
      <c r="F528" s="846"/>
      <c r="G528" s="846"/>
      <c r="H528" s="846"/>
      <c r="I528" s="846"/>
      <c r="J528" s="846"/>
      <c r="K528" s="846"/>
      <c r="L528" s="846"/>
      <c r="M528" s="846"/>
      <c r="N528" s="846"/>
      <c r="O528" s="846"/>
      <c r="P528" s="846"/>
      <c r="Q528" s="846"/>
    </row>
    <row r="529" ht="15.0" customHeight="1">
      <c r="A529" s="1296"/>
      <c r="B529" s="846"/>
      <c r="C529" s="846"/>
      <c r="D529" s="846"/>
      <c r="E529" s="846"/>
      <c r="F529" s="846"/>
      <c r="G529" s="846"/>
      <c r="H529" s="846"/>
      <c r="I529" s="846"/>
      <c r="J529" s="846"/>
      <c r="K529" s="846"/>
      <c r="L529" s="846"/>
      <c r="M529" s="846"/>
      <c r="N529" s="846"/>
      <c r="O529" s="846"/>
      <c r="P529" s="846"/>
      <c r="Q529" s="846"/>
    </row>
    <row r="530" ht="15.0" customHeight="1">
      <c r="A530" s="1296"/>
      <c r="B530" s="846"/>
      <c r="C530" s="846"/>
      <c r="D530" s="846"/>
      <c r="E530" s="846"/>
      <c r="F530" s="846"/>
      <c r="G530" s="846"/>
      <c r="H530" s="846"/>
      <c r="I530" s="846"/>
      <c r="J530" s="846"/>
      <c r="K530" s="846"/>
      <c r="L530" s="846"/>
      <c r="M530" s="846"/>
      <c r="N530" s="846"/>
      <c r="O530" s="846"/>
      <c r="P530" s="846"/>
      <c r="Q530" s="846"/>
    </row>
    <row r="531" ht="15.0" customHeight="1">
      <c r="A531" s="1296"/>
      <c r="B531" s="846"/>
      <c r="C531" s="846"/>
      <c r="D531" s="846"/>
      <c r="E531" s="846"/>
      <c r="F531" s="846"/>
      <c r="G531" s="846"/>
      <c r="H531" s="846"/>
      <c r="I531" s="846"/>
      <c r="J531" s="846"/>
      <c r="K531" s="846"/>
      <c r="L531" s="846"/>
      <c r="M531" s="846"/>
      <c r="N531" s="846"/>
      <c r="O531" s="846"/>
      <c r="P531" s="846"/>
      <c r="Q531" s="846"/>
    </row>
    <row r="532" ht="15.0" customHeight="1">
      <c r="A532" s="1296"/>
      <c r="B532" s="846"/>
      <c r="C532" s="846"/>
      <c r="D532" s="846"/>
      <c r="E532" s="846"/>
      <c r="F532" s="846"/>
      <c r="G532" s="846"/>
      <c r="H532" s="846"/>
      <c r="I532" s="846"/>
      <c r="J532" s="846"/>
      <c r="K532" s="846"/>
      <c r="L532" s="846"/>
      <c r="M532" s="846"/>
      <c r="N532" s="846"/>
      <c r="O532" s="846"/>
      <c r="P532" s="846"/>
      <c r="Q532" s="846"/>
    </row>
    <row r="533" ht="15.0" customHeight="1">
      <c r="A533" s="1296"/>
      <c r="B533" s="846"/>
      <c r="C533" s="846"/>
      <c r="D533" s="846"/>
      <c r="E533" s="846"/>
      <c r="F533" s="846"/>
      <c r="G533" s="846"/>
      <c r="H533" s="846"/>
      <c r="I533" s="846"/>
      <c r="J533" s="846"/>
      <c r="K533" s="846"/>
      <c r="L533" s="846"/>
      <c r="M533" s="846"/>
      <c r="N533" s="846"/>
      <c r="O533" s="846"/>
      <c r="P533" s="846"/>
      <c r="Q533" s="846"/>
    </row>
    <row r="534" ht="15.0" customHeight="1">
      <c r="A534" s="1296"/>
      <c r="B534" s="846"/>
      <c r="C534" s="846"/>
      <c r="D534" s="846"/>
      <c r="E534" s="846"/>
      <c r="F534" s="846"/>
      <c r="G534" s="846"/>
      <c r="H534" s="846"/>
      <c r="I534" s="846"/>
      <c r="J534" s="846"/>
      <c r="K534" s="846"/>
      <c r="L534" s="846"/>
      <c r="M534" s="846"/>
      <c r="N534" s="846"/>
      <c r="O534" s="846"/>
      <c r="P534" s="846"/>
      <c r="Q534" s="846"/>
    </row>
    <row r="535" ht="15.0" customHeight="1">
      <c r="A535" s="1296"/>
      <c r="B535" s="846"/>
      <c r="C535" s="846"/>
      <c r="D535" s="846"/>
      <c r="E535" s="846"/>
      <c r="F535" s="846"/>
      <c r="G535" s="846"/>
      <c r="H535" s="846"/>
      <c r="I535" s="846"/>
      <c r="J535" s="846"/>
      <c r="K535" s="846"/>
      <c r="L535" s="846"/>
      <c r="M535" s="846"/>
      <c r="N535" s="846"/>
      <c r="O535" s="846"/>
      <c r="P535" s="846"/>
      <c r="Q535" s="846"/>
    </row>
    <row r="536" ht="15.0" customHeight="1">
      <c r="A536" s="1296"/>
      <c r="B536" s="846"/>
      <c r="C536" s="846"/>
      <c r="D536" s="846"/>
      <c r="E536" s="846"/>
      <c r="F536" s="846"/>
      <c r="G536" s="846"/>
      <c r="H536" s="846"/>
      <c r="I536" s="846"/>
      <c r="J536" s="846"/>
      <c r="K536" s="846"/>
      <c r="L536" s="846"/>
      <c r="M536" s="846"/>
      <c r="N536" s="846"/>
      <c r="O536" s="846"/>
      <c r="P536" s="846"/>
      <c r="Q536" s="846"/>
    </row>
    <row r="537" ht="15.0" customHeight="1">
      <c r="A537" s="1296"/>
      <c r="B537" s="846"/>
      <c r="C537" s="846"/>
      <c r="D537" s="846"/>
      <c r="E537" s="846"/>
      <c r="F537" s="846"/>
      <c r="G537" s="846"/>
      <c r="H537" s="846"/>
      <c r="I537" s="846"/>
      <c r="J537" s="846"/>
      <c r="K537" s="846"/>
      <c r="L537" s="846"/>
      <c r="M537" s="846"/>
      <c r="N537" s="846"/>
      <c r="O537" s="846"/>
      <c r="P537" s="846"/>
      <c r="Q537" s="846"/>
    </row>
    <row r="538" ht="15.0" customHeight="1">
      <c r="A538" s="1296"/>
      <c r="B538" s="846"/>
      <c r="C538" s="846"/>
      <c r="D538" s="846"/>
      <c r="E538" s="846"/>
      <c r="F538" s="846"/>
      <c r="G538" s="846"/>
      <c r="H538" s="846"/>
      <c r="I538" s="846"/>
      <c r="J538" s="846"/>
      <c r="K538" s="846"/>
      <c r="L538" s="846"/>
      <c r="M538" s="846"/>
      <c r="N538" s="846"/>
      <c r="O538" s="846"/>
      <c r="P538" s="846"/>
      <c r="Q538" s="846"/>
    </row>
    <row r="539" ht="15.0" customHeight="1">
      <c r="A539" s="1296"/>
      <c r="B539" s="846"/>
      <c r="C539" s="846"/>
      <c r="D539" s="846"/>
      <c r="E539" s="846"/>
      <c r="F539" s="846"/>
      <c r="G539" s="846"/>
      <c r="H539" s="846"/>
      <c r="I539" s="846"/>
      <c r="J539" s="846"/>
      <c r="K539" s="846"/>
      <c r="L539" s="846"/>
      <c r="M539" s="846"/>
      <c r="N539" s="846"/>
      <c r="O539" s="846"/>
      <c r="P539" s="846"/>
      <c r="Q539" s="846"/>
    </row>
    <row r="540" ht="15.0" customHeight="1">
      <c r="A540" s="1296"/>
      <c r="B540" s="846"/>
      <c r="C540" s="846"/>
      <c r="D540" s="846"/>
      <c r="E540" s="846"/>
      <c r="F540" s="846"/>
      <c r="G540" s="846"/>
      <c r="H540" s="846"/>
      <c r="I540" s="846"/>
      <c r="J540" s="846"/>
      <c r="K540" s="846"/>
      <c r="L540" s="846"/>
      <c r="M540" s="846"/>
      <c r="N540" s="846"/>
      <c r="O540" s="846"/>
      <c r="P540" s="846"/>
      <c r="Q540" s="846"/>
    </row>
    <row r="541" ht="15.0" customHeight="1">
      <c r="A541" s="1296"/>
      <c r="B541" s="846"/>
      <c r="C541" s="846"/>
      <c r="D541" s="846"/>
      <c r="E541" s="846"/>
      <c r="F541" s="846"/>
      <c r="G541" s="846"/>
      <c r="H541" s="846"/>
      <c r="I541" s="846"/>
      <c r="J541" s="846"/>
      <c r="K541" s="846"/>
      <c r="L541" s="846"/>
      <c r="M541" s="846"/>
      <c r="N541" s="846"/>
      <c r="O541" s="846"/>
      <c r="P541" s="846"/>
      <c r="Q541" s="846"/>
    </row>
    <row r="542" ht="15.0" customHeight="1">
      <c r="A542" s="1296"/>
      <c r="B542" s="846"/>
      <c r="C542" s="846"/>
      <c r="D542" s="846"/>
      <c r="E542" s="846"/>
      <c r="F542" s="846"/>
      <c r="G542" s="846"/>
      <c r="H542" s="846"/>
      <c r="I542" s="846"/>
      <c r="J542" s="846"/>
      <c r="K542" s="846"/>
      <c r="L542" s="846"/>
      <c r="M542" s="846"/>
      <c r="N542" s="846"/>
      <c r="O542" s="846"/>
      <c r="P542" s="846"/>
      <c r="Q542" s="846"/>
    </row>
    <row r="543" ht="15.0" customHeight="1">
      <c r="A543" s="1296"/>
      <c r="B543" s="846"/>
      <c r="C543" s="846"/>
      <c r="D543" s="846"/>
      <c r="E543" s="846"/>
      <c r="F543" s="846"/>
      <c r="G543" s="846"/>
      <c r="H543" s="846"/>
      <c r="I543" s="846"/>
      <c r="J543" s="846"/>
      <c r="K543" s="846"/>
      <c r="L543" s="846"/>
      <c r="M543" s="846"/>
      <c r="N543" s="846"/>
      <c r="O543" s="846"/>
      <c r="P543" s="846"/>
      <c r="Q543" s="846"/>
    </row>
    <row r="544" ht="15.0" customHeight="1">
      <c r="A544" s="1296"/>
      <c r="B544" s="846"/>
      <c r="C544" s="846"/>
      <c r="D544" s="846"/>
      <c r="E544" s="846"/>
      <c r="F544" s="846"/>
      <c r="G544" s="846"/>
      <c r="H544" s="846"/>
      <c r="I544" s="846"/>
      <c r="J544" s="846"/>
      <c r="K544" s="846"/>
      <c r="L544" s="846"/>
      <c r="M544" s="846"/>
      <c r="N544" s="846"/>
      <c r="O544" s="846"/>
      <c r="P544" s="846"/>
      <c r="Q544" s="846"/>
    </row>
    <row r="545" ht="15.0" customHeight="1">
      <c r="A545" s="1296"/>
      <c r="B545" s="846"/>
      <c r="C545" s="846"/>
      <c r="D545" s="846"/>
      <c r="E545" s="846"/>
      <c r="F545" s="846"/>
      <c r="G545" s="846"/>
      <c r="H545" s="846"/>
      <c r="I545" s="846"/>
      <c r="J545" s="846"/>
      <c r="K545" s="846"/>
      <c r="L545" s="846"/>
      <c r="M545" s="846"/>
      <c r="N545" s="846"/>
      <c r="O545" s="846"/>
      <c r="P545" s="846"/>
      <c r="Q545" s="846"/>
    </row>
    <row r="546" ht="15.0" customHeight="1">
      <c r="A546" s="1296"/>
      <c r="B546" s="846"/>
      <c r="C546" s="846"/>
      <c r="D546" s="846"/>
      <c r="E546" s="846"/>
      <c r="F546" s="846"/>
      <c r="G546" s="846"/>
      <c r="H546" s="846"/>
      <c r="I546" s="846"/>
      <c r="J546" s="846"/>
      <c r="K546" s="846"/>
      <c r="L546" s="846"/>
      <c r="M546" s="846"/>
      <c r="N546" s="846"/>
      <c r="O546" s="846"/>
      <c r="P546" s="846"/>
      <c r="Q546" s="846"/>
    </row>
    <row r="547" ht="15.0" customHeight="1">
      <c r="A547" s="1296"/>
      <c r="B547" s="846"/>
      <c r="C547" s="846"/>
      <c r="D547" s="846"/>
      <c r="E547" s="846"/>
      <c r="F547" s="846"/>
      <c r="G547" s="846"/>
      <c r="H547" s="846"/>
      <c r="I547" s="846"/>
      <c r="J547" s="846"/>
      <c r="K547" s="846"/>
      <c r="L547" s="846"/>
      <c r="M547" s="846"/>
      <c r="N547" s="846"/>
      <c r="O547" s="846"/>
      <c r="P547" s="846"/>
      <c r="Q547" s="846"/>
    </row>
    <row r="548" ht="15.0" customHeight="1">
      <c r="A548" s="1296"/>
      <c r="B548" s="846"/>
      <c r="C548" s="846"/>
      <c r="D548" s="846"/>
      <c r="E548" s="846"/>
      <c r="F548" s="846"/>
      <c r="G548" s="846"/>
      <c r="H548" s="846"/>
      <c r="I548" s="846"/>
      <c r="J548" s="846"/>
      <c r="K548" s="846"/>
      <c r="L548" s="846"/>
      <c r="M548" s="846"/>
      <c r="N548" s="846"/>
      <c r="O548" s="846"/>
      <c r="P548" s="846"/>
      <c r="Q548" s="846"/>
    </row>
    <row r="549" ht="15.0" customHeight="1">
      <c r="A549" s="1296"/>
      <c r="B549" s="846"/>
      <c r="C549" s="846"/>
      <c r="D549" s="846"/>
      <c r="E549" s="846"/>
      <c r="F549" s="846"/>
      <c r="G549" s="846"/>
      <c r="H549" s="846"/>
      <c r="I549" s="846"/>
      <c r="J549" s="846"/>
      <c r="K549" s="846"/>
      <c r="L549" s="846"/>
      <c r="M549" s="846"/>
      <c r="N549" s="846"/>
      <c r="O549" s="846"/>
      <c r="P549" s="846"/>
      <c r="Q549" s="846"/>
    </row>
    <row r="550" ht="15.0" customHeight="1">
      <c r="A550" s="1296"/>
      <c r="B550" s="846"/>
      <c r="C550" s="846"/>
      <c r="D550" s="846"/>
      <c r="E550" s="846"/>
      <c r="F550" s="846"/>
      <c r="G550" s="846"/>
      <c r="H550" s="846"/>
      <c r="I550" s="846"/>
      <c r="J550" s="846"/>
      <c r="K550" s="846"/>
      <c r="L550" s="846"/>
      <c r="M550" s="846"/>
      <c r="N550" s="846"/>
      <c r="O550" s="846"/>
      <c r="P550" s="846"/>
      <c r="Q550" s="846"/>
    </row>
    <row r="551" ht="15.0" customHeight="1">
      <c r="A551" s="1296"/>
      <c r="B551" s="846"/>
      <c r="C551" s="846"/>
      <c r="D551" s="846"/>
      <c r="E551" s="846"/>
      <c r="F551" s="846"/>
      <c r="G551" s="846"/>
      <c r="H551" s="846"/>
      <c r="I551" s="846"/>
      <c r="J551" s="846"/>
      <c r="K551" s="846"/>
      <c r="L551" s="846"/>
      <c r="M551" s="846"/>
      <c r="N551" s="846"/>
      <c r="O551" s="846"/>
      <c r="P551" s="846"/>
      <c r="Q551" s="846"/>
    </row>
    <row r="552" ht="15.0" customHeight="1">
      <c r="A552" s="1296"/>
      <c r="B552" s="846"/>
      <c r="C552" s="846"/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</row>
    <row r="553" ht="15.0" customHeight="1">
      <c r="A553" s="1296"/>
      <c r="B553" s="846"/>
      <c r="C553" s="846"/>
      <c r="D553" s="846"/>
      <c r="E553" s="846"/>
      <c r="F553" s="846"/>
      <c r="G553" s="846"/>
      <c r="H553" s="846"/>
      <c r="I553" s="846"/>
      <c r="J553" s="846"/>
      <c r="K553" s="846"/>
      <c r="L553" s="846"/>
      <c r="M553" s="846"/>
      <c r="N553" s="846"/>
      <c r="O553" s="846"/>
      <c r="P553" s="846"/>
      <c r="Q553" s="846"/>
    </row>
    <row r="554" ht="15.0" customHeight="1">
      <c r="A554" s="1296"/>
      <c r="B554" s="846"/>
      <c r="C554" s="846"/>
      <c r="D554" s="846"/>
      <c r="E554" s="846"/>
      <c r="F554" s="846"/>
      <c r="G554" s="846"/>
      <c r="H554" s="846"/>
      <c r="I554" s="846"/>
      <c r="J554" s="846"/>
      <c r="K554" s="846"/>
      <c r="L554" s="846"/>
      <c r="M554" s="846"/>
      <c r="N554" s="846"/>
      <c r="O554" s="846"/>
      <c r="P554" s="846"/>
      <c r="Q554" s="846"/>
    </row>
    <row r="555" ht="15.0" customHeight="1">
      <c r="A555" s="1296"/>
      <c r="B555" s="846"/>
      <c r="C555" s="846"/>
      <c r="D555" s="846"/>
      <c r="E555" s="846"/>
      <c r="F555" s="846"/>
      <c r="G555" s="846"/>
      <c r="H555" s="846"/>
      <c r="I555" s="846"/>
      <c r="J555" s="846"/>
      <c r="K555" s="846"/>
      <c r="L555" s="846"/>
      <c r="M555" s="846"/>
      <c r="N555" s="846"/>
      <c r="O555" s="846"/>
      <c r="P555" s="846"/>
      <c r="Q555" s="846"/>
    </row>
    <row r="556" ht="15.0" customHeight="1">
      <c r="A556" s="1296"/>
      <c r="B556" s="846"/>
      <c r="C556" s="846"/>
      <c r="D556" s="846"/>
      <c r="E556" s="846"/>
      <c r="F556" s="846"/>
      <c r="G556" s="846"/>
      <c r="H556" s="846"/>
      <c r="I556" s="846"/>
      <c r="J556" s="846"/>
      <c r="K556" s="846"/>
      <c r="L556" s="846"/>
      <c r="M556" s="846"/>
      <c r="N556" s="846"/>
      <c r="O556" s="846"/>
      <c r="P556" s="846"/>
      <c r="Q556" s="846"/>
    </row>
    <row r="557" ht="15.0" customHeight="1">
      <c r="A557" s="1296"/>
      <c r="B557" s="846"/>
      <c r="C557" s="846"/>
      <c r="D557" s="846"/>
      <c r="E557" s="846"/>
      <c r="F557" s="846"/>
      <c r="G557" s="846"/>
      <c r="H557" s="846"/>
      <c r="I557" s="846"/>
      <c r="J557" s="846"/>
      <c r="K557" s="846"/>
      <c r="L557" s="846"/>
      <c r="M557" s="846"/>
      <c r="N557" s="846"/>
      <c r="O557" s="846"/>
      <c r="P557" s="846"/>
      <c r="Q557" s="846"/>
    </row>
    <row r="558" ht="15.0" customHeight="1">
      <c r="A558" s="1296"/>
      <c r="B558" s="846"/>
      <c r="C558" s="846"/>
      <c r="D558" s="846"/>
      <c r="E558" s="846"/>
      <c r="F558" s="846"/>
      <c r="G558" s="846"/>
      <c r="H558" s="846"/>
      <c r="I558" s="846"/>
      <c r="J558" s="846"/>
      <c r="K558" s="846"/>
      <c r="L558" s="846"/>
      <c r="M558" s="846"/>
      <c r="N558" s="846"/>
      <c r="O558" s="846"/>
      <c r="P558" s="846"/>
      <c r="Q558" s="846"/>
    </row>
    <row r="559" ht="15.0" customHeight="1">
      <c r="A559" s="1296"/>
      <c r="B559" s="846"/>
      <c r="C559" s="846"/>
      <c r="D559" s="846"/>
      <c r="E559" s="846"/>
      <c r="F559" s="846"/>
      <c r="G559" s="846"/>
      <c r="H559" s="846"/>
      <c r="I559" s="846"/>
      <c r="J559" s="846"/>
      <c r="K559" s="846"/>
      <c r="L559" s="846"/>
      <c r="M559" s="846"/>
      <c r="N559" s="846"/>
      <c r="O559" s="846"/>
      <c r="P559" s="846"/>
      <c r="Q559" s="846"/>
    </row>
    <row r="560" ht="15.0" customHeight="1">
      <c r="A560" s="1296"/>
      <c r="B560" s="846"/>
      <c r="C560" s="846"/>
      <c r="D560" s="846"/>
      <c r="E560" s="846"/>
      <c r="F560" s="846"/>
      <c r="G560" s="846"/>
      <c r="H560" s="846"/>
      <c r="I560" s="846"/>
      <c r="J560" s="846"/>
      <c r="K560" s="846"/>
      <c r="L560" s="846"/>
      <c r="M560" s="846"/>
      <c r="N560" s="846"/>
      <c r="O560" s="846"/>
      <c r="P560" s="846"/>
      <c r="Q560" s="846"/>
    </row>
    <row r="561" ht="15.0" customHeight="1">
      <c r="A561" s="1296"/>
      <c r="B561" s="846"/>
      <c r="C561" s="846"/>
      <c r="D561" s="846"/>
      <c r="E561" s="846"/>
      <c r="F561" s="846"/>
      <c r="G561" s="846"/>
      <c r="H561" s="846"/>
      <c r="I561" s="846"/>
      <c r="J561" s="846"/>
      <c r="K561" s="846"/>
      <c r="L561" s="846"/>
      <c r="M561" s="846"/>
      <c r="N561" s="846"/>
      <c r="O561" s="846"/>
      <c r="P561" s="846"/>
      <c r="Q561" s="846"/>
    </row>
    <row r="562" ht="15.0" customHeight="1">
      <c r="A562" s="1296"/>
      <c r="B562" s="846"/>
      <c r="C562" s="846"/>
      <c r="D562" s="846"/>
      <c r="E562" s="846"/>
      <c r="F562" s="846"/>
      <c r="G562" s="846"/>
      <c r="H562" s="846"/>
      <c r="I562" s="846"/>
      <c r="J562" s="846"/>
      <c r="K562" s="846"/>
      <c r="L562" s="846"/>
      <c r="M562" s="846"/>
      <c r="N562" s="846"/>
      <c r="O562" s="846"/>
      <c r="P562" s="846"/>
      <c r="Q562" s="846"/>
    </row>
    <row r="563" ht="15.0" customHeight="1">
      <c r="A563" s="1296"/>
      <c r="B563" s="846"/>
      <c r="C563" s="846"/>
      <c r="D563" s="846"/>
      <c r="E563" s="846"/>
      <c r="F563" s="846"/>
      <c r="G563" s="846"/>
      <c r="H563" s="846"/>
      <c r="I563" s="846"/>
      <c r="J563" s="846"/>
      <c r="K563" s="846"/>
      <c r="L563" s="846"/>
      <c r="M563" s="846"/>
      <c r="N563" s="846"/>
      <c r="O563" s="846"/>
      <c r="P563" s="846"/>
      <c r="Q563" s="846"/>
    </row>
    <row r="564" ht="15.0" customHeight="1">
      <c r="A564" s="1296"/>
      <c r="B564" s="846"/>
      <c r="C564" s="846"/>
      <c r="D564" s="846"/>
      <c r="E564" s="846"/>
      <c r="F564" s="846"/>
      <c r="G564" s="846"/>
      <c r="H564" s="846"/>
      <c r="I564" s="846"/>
      <c r="J564" s="846"/>
      <c r="K564" s="846"/>
      <c r="L564" s="846"/>
      <c r="M564" s="846"/>
      <c r="N564" s="846"/>
      <c r="O564" s="846"/>
      <c r="P564" s="846"/>
      <c r="Q564" s="846"/>
    </row>
    <row r="565" ht="15.0" customHeight="1">
      <c r="A565" s="1296"/>
      <c r="B565" s="846"/>
      <c r="C565" s="846"/>
      <c r="D565" s="846"/>
      <c r="E565" s="846"/>
      <c r="F565" s="846"/>
      <c r="G565" s="846"/>
      <c r="H565" s="846"/>
      <c r="I565" s="846"/>
      <c r="J565" s="846"/>
      <c r="K565" s="846"/>
      <c r="L565" s="846"/>
      <c r="M565" s="846"/>
      <c r="N565" s="846"/>
      <c r="O565" s="846"/>
      <c r="P565" s="846"/>
      <c r="Q565" s="846"/>
    </row>
    <row r="566" ht="15.0" customHeight="1">
      <c r="A566" s="1296"/>
      <c r="B566" s="846"/>
      <c r="C566" s="846"/>
      <c r="D566" s="846"/>
      <c r="E566" s="846"/>
      <c r="F566" s="846"/>
      <c r="G566" s="846"/>
      <c r="H566" s="846"/>
      <c r="I566" s="846"/>
      <c r="J566" s="846"/>
      <c r="K566" s="846"/>
      <c r="L566" s="846"/>
      <c r="M566" s="846"/>
      <c r="N566" s="846"/>
      <c r="O566" s="846"/>
      <c r="P566" s="846"/>
      <c r="Q566" s="846"/>
    </row>
    <row r="567" ht="15.0" customHeight="1">
      <c r="A567" s="1296"/>
      <c r="B567" s="846"/>
      <c r="C567" s="846"/>
      <c r="D567" s="846"/>
      <c r="E567" s="846"/>
      <c r="F567" s="846"/>
      <c r="G567" s="846"/>
      <c r="H567" s="846"/>
      <c r="I567" s="846"/>
      <c r="J567" s="846"/>
      <c r="K567" s="846"/>
      <c r="L567" s="846"/>
      <c r="M567" s="846"/>
      <c r="N567" s="846"/>
      <c r="O567" s="846"/>
      <c r="P567" s="846"/>
      <c r="Q567" s="846"/>
    </row>
    <row r="568" ht="15.0" customHeight="1">
      <c r="A568" s="1296"/>
      <c r="B568" s="846"/>
      <c r="C568" s="846"/>
      <c r="D568" s="846"/>
      <c r="E568" s="846"/>
      <c r="F568" s="846"/>
      <c r="G568" s="846"/>
      <c r="H568" s="846"/>
      <c r="I568" s="846"/>
      <c r="J568" s="846"/>
      <c r="K568" s="846"/>
      <c r="L568" s="846"/>
      <c r="M568" s="846"/>
      <c r="N568" s="846"/>
      <c r="O568" s="846"/>
      <c r="P568" s="846"/>
      <c r="Q568" s="846"/>
    </row>
    <row r="569" ht="15.0" customHeight="1">
      <c r="A569" s="1296"/>
      <c r="B569" s="846"/>
      <c r="C569" s="846"/>
      <c r="D569" s="846"/>
      <c r="E569" s="846"/>
      <c r="F569" s="846"/>
      <c r="G569" s="846"/>
      <c r="H569" s="846"/>
      <c r="I569" s="846"/>
      <c r="J569" s="846"/>
      <c r="K569" s="846"/>
      <c r="L569" s="846"/>
      <c r="M569" s="846"/>
      <c r="N569" s="846"/>
      <c r="O569" s="846"/>
      <c r="P569" s="846"/>
      <c r="Q569" s="846"/>
    </row>
    <row r="570" ht="15.0" customHeight="1">
      <c r="A570" s="1296"/>
      <c r="B570" s="846"/>
      <c r="C570" s="846"/>
      <c r="D570" s="846"/>
      <c r="E570" s="846"/>
      <c r="F570" s="846"/>
      <c r="G570" s="846"/>
      <c r="H570" s="846"/>
      <c r="I570" s="846"/>
      <c r="J570" s="846"/>
      <c r="K570" s="846"/>
      <c r="L570" s="846"/>
      <c r="M570" s="846"/>
      <c r="N570" s="846"/>
      <c r="O570" s="846"/>
      <c r="P570" s="846"/>
      <c r="Q570" s="846"/>
    </row>
    <row r="571" ht="15.0" customHeight="1">
      <c r="A571" s="1296"/>
      <c r="B571" s="846"/>
      <c r="C571" s="846"/>
      <c r="D571" s="846"/>
      <c r="E571" s="846"/>
      <c r="F571" s="846"/>
      <c r="G571" s="846"/>
      <c r="H571" s="846"/>
      <c r="I571" s="846"/>
      <c r="J571" s="846"/>
      <c r="K571" s="846"/>
      <c r="L571" s="846"/>
      <c r="M571" s="846"/>
      <c r="N571" s="846"/>
      <c r="O571" s="846"/>
      <c r="P571" s="846"/>
      <c r="Q571" s="846"/>
    </row>
    <row r="572" ht="15.0" customHeight="1">
      <c r="A572" s="1296"/>
      <c r="B572" s="846"/>
      <c r="C572" s="846"/>
      <c r="D572" s="846"/>
      <c r="E572" s="846"/>
      <c r="F572" s="846"/>
      <c r="G572" s="846"/>
      <c r="H572" s="846"/>
      <c r="I572" s="846"/>
      <c r="J572" s="846"/>
      <c r="K572" s="846"/>
      <c r="L572" s="846"/>
      <c r="M572" s="846"/>
      <c r="N572" s="846"/>
      <c r="O572" s="846"/>
      <c r="P572" s="846"/>
      <c r="Q572" s="846"/>
    </row>
    <row r="573" ht="15.0" customHeight="1">
      <c r="A573" s="1296"/>
      <c r="B573" s="846"/>
      <c r="C573" s="846"/>
      <c r="D573" s="846"/>
      <c r="E573" s="846"/>
      <c r="F573" s="846"/>
      <c r="G573" s="846"/>
      <c r="H573" s="846"/>
      <c r="I573" s="846"/>
      <c r="J573" s="846"/>
      <c r="K573" s="846"/>
      <c r="L573" s="846"/>
      <c r="M573" s="846"/>
      <c r="N573" s="846"/>
      <c r="O573" s="846"/>
      <c r="P573" s="846"/>
      <c r="Q573" s="846"/>
    </row>
    <row r="574" ht="15.0" customHeight="1">
      <c r="A574" s="1296"/>
      <c r="B574" s="846"/>
      <c r="C574" s="846"/>
      <c r="D574" s="846"/>
      <c r="E574" s="846"/>
      <c r="F574" s="846"/>
      <c r="G574" s="846"/>
      <c r="H574" s="846"/>
      <c r="I574" s="846"/>
      <c r="J574" s="846"/>
      <c r="K574" s="846"/>
      <c r="L574" s="846"/>
      <c r="M574" s="846"/>
      <c r="N574" s="846"/>
      <c r="O574" s="846"/>
      <c r="P574" s="846"/>
      <c r="Q574" s="846"/>
    </row>
    <row r="575" ht="15.0" customHeight="1">
      <c r="A575" s="1296"/>
      <c r="B575" s="846"/>
      <c r="C575" s="846"/>
      <c r="D575" s="846"/>
      <c r="E575" s="846"/>
      <c r="F575" s="846"/>
      <c r="G575" s="846"/>
      <c r="H575" s="846"/>
      <c r="I575" s="846"/>
      <c r="J575" s="846"/>
      <c r="K575" s="846"/>
      <c r="L575" s="846"/>
      <c r="M575" s="846"/>
      <c r="N575" s="846"/>
      <c r="O575" s="846"/>
      <c r="P575" s="846"/>
      <c r="Q575" s="846"/>
    </row>
    <row r="576" ht="15.0" customHeight="1">
      <c r="A576" s="1296"/>
      <c r="B576" s="846"/>
      <c r="C576" s="846"/>
      <c r="D576" s="846"/>
      <c r="E576" s="846"/>
      <c r="F576" s="846"/>
      <c r="G576" s="846"/>
      <c r="H576" s="846"/>
      <c r="I576" s="846"/>
      <c r="J576" s="846"/>
      <c r="K576" s="846"/>
      <c r="L576" s="846"/>
      <c r="M576" s="846"/>
      <c r="N576" s="846"/>
      <c r="O576" s="846"/>
      <c r="P576" s="846"/>
      <c r="Q576" s="846"/>
    </row>
    <row r="577" ht="15.0" customHeight="1">
      <c r="A577" s="1296"/>
      <c r="B577" s="846"/>
      <c r="C577" s="846"/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</row>
    <row r="578" ht="15.0" customHeight="1">
      <c r="A578" s="1296"/>
      <c r="B578" s="846"/>
      <c r="C578" s="846"/>
      <c r="D578" s="846"/>
      <c r="E578" s="846"/>
      <c r="F578" s="846"/>
      <c r="G578" s="846"/>
      <c r="H578" s="846"/>
      <c r="I578" s="846"/>
      <c r="J578" s="846"/>
      <c r="K578" s="846"/>
      <c r="L578" s="846"/>
      <c r="M578" s="846"/>
      <c r="N578" s="846"/>
      <c r="O578" s="846"/>
      <c r="P578" s="846"/>
      <c r="Q578" s="846"/>
    </row>
    <row r="579" ht="15.0" customHeight="1">
      <c r="A579" s="1296"/>
      <c r="B579" s="846"/>
      <c r="C579" s="846"/>
      <c r="D579" s="846"/>
      <c r="E579" s="846"/>
      <c r="F579" s="846"/>
      <c r="G579" s="846"/>
      <c r="H579" s="846"/>
      <c r="I579" s="846"/>
      <c r="J579" s="846"/>
      <c r="K579" s="846"/>
      <c r="L579" s="846"/>
      <c r="M579" s="846"/>
      <c r="N579" s="846"/>
      <c r="O579" s="846"/>
      <c r="P579" s="846"/>
      <c r="Q579" s="846"/>
    </row>
    <row r="580" ht="15.0" customHeight="1">
      <c r="A580" s="1296"/>
      <c r="B580" s="846"/>
      <c r="C580" s="846"/>
      <c r="D580" s="846"/>
      <c r="E580" s="846"/>
      <c r="F580" s="846"/>
      <c r="G580" s="846"/>
      <c r="H580" s="846"/>
      <c r="I580" s="846"/>
      <c r="J580" s="846"/>
      <c r="K580" s="846"/>
      <c r="L580" s="846"/>
      <c r="M580" s="846"/>
      <c r="N580" s="846"/>
      <c r="O580" s="846"/>
      <c r="P580" s="846"/>
      <c r="Q580" s="846"/>
    </row>
    <row r="581" ht="15.0" customHeight="1">
      <c r="A581" s="1296"/>
      <c r="B581" s="846"/>
      <c r="C581" s="846"/>
      <c r="D581" s="846"/>
      <c r="E581" s="846"/>
      <c r="F581" s="846"/>
      <c r="G581" s="846"/>
      <c r="H581" s="846"/>
      <c r="I581" s="846"/>
      <c r="J581" s="846"/>
      <c r="K581" s="846"/>
      <c r="L581" s="846"/>
      <c r="M581" s="846"/>
      <c r="N581" s="846"/>
      <c r="O581" s="846"/>
      <c r="P581" s="846"/>
      <c r="Q581" s="846"/>
    </row>
    <row r="582" ht="15.0" customHeight="1">
      <c r="A582" s="1296"/>
      <c r="B582" s="846"/>
      <c r="C582" s="846"/>
      <c r="D582" s="846"/>
      <c r="E582" s="846"/>
      <c r="F582" s="846"/>
      <c r="G582" s="846"/>
      <c r="H582" s="846"/>
      <c r="I582" s="846"/>
      <c r="J582" s="846"/>
      <c r="K582" s="846"/>
      <c r="L582" s="846"/>
      <c r="M582" s="846"/>
      <c r="N582" s="846"/>
      <c r="O582" s="846"/>
      <c r="P582" s="846"/>
      <c r="Q582" s="846"/>
    </row>
    <row r="583" ht="15.0" customHeight="1">
      <c r="A583" s="1296"/>
      <c r="B583" s="846"/>
      <c r="C583" s="846"/>
      <c r="D583" s="846"/>
      <c r="E583" s="846"/>
      <c r="F583" s="846"/>
      <c r="G583" s="846"/>
      <c r="H583" s="846"/>
      <c r="I583" s="846"/>
      <c r="J583" s="846"/>
      <c r="K583" s="846"/>
      <c r="L583" s="846"/>
      <c r="M583" s="846"/>
      <c r="N583" s="846"/>
      <c r="O583" s="846"/>
      <c r="P583" s="846"/>
      <c r="Q583" s="846"/>
    </row>
    <row r="584" ht="15.0" customHeight="1">
      <c r="A584" s="1296"/>
      <c r="B584" s="846"/>
      <c r="C584" s="846"/>
      <c r="D584" s="846"/>
      <c r="E584" s="846"/>
      <c r="F584" s="846"/>
      <c r="G584" s="846"/>
      <c r="H584" s="846"/>
      <c r="I584" s="846"/>
      <c r="J584" s="846"/>
      <c r="K584" s="846"/>
      <c r="L584" s="846"/>
      <c r="M584" s="846"/>
      <c r="N584" s="846"/>
      <c r="O584" s="846"/>
      <c r="P584" s="846"/>
      <c r="Q584" s="846"/>
    </row>
    <row r="585" ht="15.0" customHeight="1">
      <c r="A585" s="1296"/>
      <c r="B585" s="846"/>
      <c r="C585" s="846"/>
      <c r="D585" s="846"/>
      <c r="E585" s="846"/>
      <c r="F585" s="846"/>
      <c r="G585" s="846"/>
      <c r="H585" s="846"/>
      <c r="I585" s="846"/>
      <c r="J585" s="846"/>
      <c r="K585" s="846"/>
      <c r="L585" s="846"/>
      <c r="M585" s="846"/>
      <c r="N585" s="846"/>
      <c r="O585" s="846"/>
      <c r="P585" s="846"/>
      <c r="Q585" s="846"/>
    </row>
    <row r="586" ht="15.0" customHeight="1">
      <c r="A586" s="1296"/>
      <c r="B586" s="846"/>
      <c r="C586" s="846"/>
      <c r="D586" s="846"/>
      <c r="E586" s="846"/>
      <c r="F586" s="846"/>
      <c r="G586" s="846"/>
      <c r="H586" s="846"/>
      <c r="I586" s="846"/>
      <c r="J586" s="846"/>
      <c r="K586" s="846"/>
      <c r="L586" s="846"/>
      <c r="M586" s="846"/>
      <c r="N586" s="846"/>
      <c r="O586" s="846"/>
      <c r="P586" s="846"/>
      <c r="Q586" s="846"/>
    </row>
    <row r="587" ht="15.0" customHeight="1">
      <c r="A587" s="1296"/>
      <c r="B587" s="846"/>
      <c r="C587" s="846"/>
      <c r="D587" s="846"/>
      <c r="E587" s="846"/>
      <c r="F587" s="846"/>
      <c r="G587" s="846"/>
      <c r="H587" s="846"/>
      <c r="I587" s="846"/>
      <c r="J587" s="846"/>
      <c r="K587" s="846"/>
      <c r="L587" s="846"/>
      <c r="M587" s="846"/>
      <c r="N587" s="846"/>
      <c r="O587" s="846"/>
      <c r="P587" s="846"/>
      <c r="Q587" s="846"/>
    </row>
    <row r="588" ht="15.0" customHeight="1">
      <c r="A588" s="1296"/>
      <c r="B588" s="846"/>
      <c r="C588" s="846"/>
      <c r="D588" s="846"/>
      <c r="E588" s="846"/>
      <c r="F588" s="846"/>
      <c r="G588" s="846"/>
      <c r="H588" s="846"/>
      <c r="I588" s="846"/>
      <c r="J588" s="846"/>
      <c r="K588" s="846"/>
      <c r="L588" s="846"/>
      <c r="M588" s="846"/>
      <c r="N588" s="846"/>
      <c r="O588" s="846"/>
      <c r="P588" s="846"/>
      <c r="Q588" s="846"/>
    </row>
    <row r="589" ht="15.0" customHeight="1">
      <c r="A589" s="1296"/>
      <c r="B589" s="846"/>
      <c r="C589" s="846"/>
      <c r="D589" s="846"/>
      <c r="E589" s="846"/>
      <c r="F589" s="846"/>
      <c r="G589" s="846"/>
      <c r="H589" s="846"/>
      <c r="I589" s="846"/>
      <c r="J589" s="846"/>
      <c r="K589" s="846"/>
      <c r="L589" s="846"/>
      <c r="M589" s="846"/>
      <c r="N589" s="846"/>
      <c r="O589" s="846"/>
      <c r="P589" s="846"/>
      <c r="Q589" s="846"/>
    </row>
    <row r="590" ht="15.0" customHeight="1">
      <c r="A590" s="1296"/>
      <c r="B590" s="846"/>
      <c r="C590" s="846"/>
      <c r="D590" s="846"/>
      <c r="E590" s="846"/>
      <c r="F590" s="846"/>
      <c r="G590" s="846"/>
      <c r="H590" s="846"/>
      <c r="I590" s="846"/>
      <c r="J590" s="846"/>
      <c r="K590" s="846"/>
      <c r="L590" s="846"/>
      <c r="M590" s="846"/>
      <c r="N590" s="846"/>
      <c r="O590" s="846"/>
      <c r="P590" s="846"/>
      <c r="Q590" s="846"/>
    </row>
    <row r="591" ht="15.0" customHeight="1">
      <c r="A591" s="1296"/>
      <c r="B591" s="846"/>
      <c r="C591" s="846"/>
      <c r="D591" s="846"/>
      <c r="E591" s="846"/>
      <c r="F591" s="846"/>
      <c r="G591" s="846"/>
      <c r="H591" s="846"/>
      <c r="I591" s="846"/>
      <c r="J591" s="846"/>
      <c r="K591" s="846"/>
      <c r="L591" s="846"/>
      <c r="M591" s="846"/>
      <c r="N591" s="846"/>
      <c r="O591" s="846"/>
      <c r="P591" s="846"/>
      <c r="Q591" s="846"/>
    </row>
    <row r="592" ht="15.0" customHeight="1">
      <c r="A592" s="1296"/>
      <c r="B592" s="846"/>
      <c r="C592" s="846"/>
      <c r="D592" s="846"/>
      <c r="E592" s="846"/>
      <c r="F592" s="846"/>
      <c r="G592" s="846"/>
      <c r="H592" s="846"/>
      <c r="I592" s="846"/>
      <c r="J592" s="846"/>
      <c r="K592" s="846"/>
      <c r="L592" s="846"/>
      <c r="M592" s="846"/>
      <c r="N592" s="846"/>
      <c r="O592" s="846"/>
      <c r="P592" s="846"/>
      <c r="Q592" s="846"/>
    </row>
    <row r="593" ht="15.0" customHeight="1">
      <c r="A593" s="1296"/>
      <c r="B593" s="846"/>
      <c r="C593" s="846"/>
      <c r="D593" s="846"/>
      <c r="E593" s="846"/>
      <c r="F593" s="846"/>
      <c r="G593" s="846"/>
      <c r="H593" s="846"/>
      <c r="I593" s="846"/>
      <c r="J593" s="846"/>
      <c r="K593" s="846"/>
      <c r="L593" s="846"/>
      <c r="M593" s="846"/>
      <c r="N593" s="846"/>
      <c r="O593" s="846"/>
      <c r="P593" s="846"/>
      <c r="Q593" s="846"/>
    </row>
    <row r="594" ht="15.0" customHeight="1">
      <c r="A594" s="1296"/>
      <c r="B594" s="846"/>
      <c r="C594" s="846"/>
      <c r="D594" s="846"/>
      <c r="E594" s="846"/>
      <c r="F594" s="846"/>
      <c r="G594" s="846"/>
      <c r="H594" s="846"/>
      <c r="I594" s="846"/>
      <c r="J594" s="846"/>
      <c r="K594" s="846"/>
      <c r="L594" s="846"/>
      <c r="M594" s="846"/>
      <c r="N594" s="846"/>
      <c r="O594" s="846"/>
      <c r="P594" s="846"/>
      <c r="Q594" s="846"/>
    </row>
    <row r="595" ht="15.0" customHeight="1">
      <c r="A595" s="1296"/>
      <c r="B595" s="846"/>
      <c r="C595" s="846"/>
      <c r="D595" s="846"/>
      <c r="E595" s="846"/>
      <c r="F595" s="846"/>
      <c r="G595" s="846"/>
      <c r="H595" s="846"/>
      <c r="I595" s="846"/>
      <c r="J595" s="846"/>
      <c r="K595" s="846"/>
      <c r="L595" s="846"/>
      <c r="M595" s="846"/>
      <c r="N595" s="846"/>
      <c r="O595" s="846"/>
      <c r="P595" s="846"/>
      <c r="Q595" s="846"/>
    </row>
    <row r="596" ht="15.0" customHeight="1">
      <c r="A596" s="1296"/>
      <c r="B596" s="846"/>
      <c r="C596" s="846"/>
      <c r="D596" s="846"/>
      <c r="E596" s="846"/>
      <c r="F596" s="846"/>
      <c r="G596" s="846"/>
      <c r="H596" s="846"/>
      <c r="I596" s="846"/>
      <c r="J596" s="846"/>
      <c r="K596" s="846"/>
      <c r="L596" s="846"/>
      <c r="M596" s="846"/>
      <c r="N596" s="846"/>
      <c r="O596" s="846"/>
      <c r="P596" s="846"/>
      <c r="Q596" s="846"/>
    </row>
    <row r="597" ht="15.0" customHeight="1">
      <c r="A597" s="1296"/>
      <c r="B597" s="846"/>
      <c r="C597" s="846"/>
      <c r="D597" s="846"/>
      <c r="E597" s="846"/>
      <c r="F597" s="846"/>
      <c r="G597" s="846"/>
      <c r="H597" s="846"/>
      <c r="I597" s="846"/>
      <c r="J597" s="846"/>
      <c r="K597" s="846"/>
      <c r="L597" s="846"/>
      <c r="M597" s="846"/>
      <c r="N597" s="846"/>
      <c r="O597" s="846"/>
      <c r="P597" s="846"/>
      <c r="Q597" s="846"/>
    </row>
    <row r="598" ht="15.0" customHeight="1">
      <c r="A598" s="1296"/>
      <c r="B598" s="846"/>
      <c r="C598" s="846"/>
      <c r="D598" s="846"/>
      <c r="E598" s="846"/>
      <c r="F598" s="846"/>
      <c r="G598" s="846"/>
      <c r="H598" s="846"/>
      <c r="I598" s="846"/>
      <c r="J598" s="846"/>
      <c r="K598" s="846"/>
      <c r="L598" s="846"/>
      <c r="M598" s="846"/>
      <c r="N598" s="846"/>
      <c r="O598" s="846"/>
      <c r="P598" s="846"/>
      <c r="Q598" s="846"/>
    </row>
    <row r="599" ht="15.0" customHeight="1">
      <c r="A599" s="1296"/>
      <c r="B599" s="846"/>
      <c r="C599" s="846"/>
      <c r="D599" s="846"/>
      <c r="E599" s="846"/>
      <c r="F599" s="846"/>
      <c r="G599" s="846"/>
      <c r="H599" s="846"/>
      <c r="I599" s="846"/>
      <c r="J599" s="846"/>
      <c r="K599" s="846"/>
      <c r="L599" s="846"/>
      <c r="M599" s="846"/>
      <c r="N599" s="846"/>
      <c r="O599" s="846"/>
      <c r="P599" s="846"/>
      <c r="Q599" s="846"/>
    </row>
    <row r="600" ht="15.0" customHeight="1">
      <c r="A600" s="1296"/>
      <c r="B600" s="846"/>
      <c r="C600" s="846"/>
      <c r="D600" s="846"/>
      <c r="E600" s="846"/>
      <c r="F600" s="846"/>
      <c r="G600" s="846"/>
      <c r="H600" s="846"/>
      <c r="I600" s="846"/>
      <c r="J600" s="846"/>
      <c r="K600" s="846"/>
      <c r="L600" s="846"/>
      <c r="M600" s="846"/>
      <c r="N600" s="846"/>
      <c r="O600" s="846"/>
      <c r="P600" s="846"/>
      <c r="Q600" s="846"/>
    </row>
    <row r="601" ht="15.0" customHeight="1">
      <c r="A601" s="1296"/>
      <c r="B601" s="846"/>
      <c r="C601" s="846"/>
      <c r="D601" s="846"/>
      <c r="E601" s="846"/>
      <c r="F601" s="846"/>
      <c r="G601" s="846"/>
      <c r="H601" s="846"/>
      <c r="I601" s="846"/>
      <c r="J601" s="846"/>
      <c r="K601" s="846"/>
      <c r="L601" s="846"/>
      <c r="M601" s="846"/>
      <c r="N601" s="846"/>
      <c r="O601" s="846"/>
      <c r="P601" s="846"/>
      <c r="Q601" s="846"/>
    </row>
    <row r="602" ht="15.0" customHeight="1">
      <c r="A602" s="1296"/>
      <c r="B602" s="846"/>
      <c r="C602" s="846"/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</row>
    <row r="603" ht="15.0" customHeight="1">
      <c r="A603" s="1296"/>
      <c r="B603" s="846"/>
      <c r="C603" s="846"/>
      <c r="D603" s="846"/>
      <c r="E603" s="846"/>
      <c r="F603" s="846"/>
      <c r="G603" s="846"/>
      <c r="H603" s="846"/>
      <c r="I603" s="846"/>
      <c r="J603" s="846"/>
      <c r="K603" s="846"/>
      <c r="L603" s="846"/>
      <c r="M603" s="846"/>
      <c r="N603" s="846"/>
      <c r="O603" s="846"/>
      <c r="P603" s="846"/>
      <c r="Q603" s="846"/>
    </row>
    <row r="604" ht="15.0" customHeight="1">
      <c r="A604" s="1296"/>
      <c r="B604" s="846"/>
      <c r="C604" s="846"/>
      <c r="D604" s="846"/>
      <c r="E604" s="846"/>
      <c r="F604" s="846"/>
      <c r="G604" s="846"/>
      <c r="H604" s="846"/>
      <c r="I604" s="846"/>
      <c r="J604" s="846"/>
      <c r="K604" s="846"/>
      <c r="L604" s="846"/>
      <c r="M604" s="846"/>
      <c r="N604" s="846"/>
      <c r="O604" s="846"/>
      <c r="P604" s="846"/>
      <c r="Q604" s="846"/>
    </row>
    <row r="605" ht="15.0" customHeight="1">
      <c r="A605" s="1296"/>
      <c r="B605" s="846"/>
      <c r="C605" s="846"/>
      <c r="D605" s="846"/>
      <c r="E605" s="846"/>
      <c r="F605" s="846"/>
      <c r="G605" s="846"/>
      <c r="H605" s="846"/>
      <c r="I605" s="846"/>
      <c r="J605" s="846"/>
      <c r="K605" s="846"/>
      <c r="L605" s="846"/>
      <c r="M605" s="846"/>
      <c r="N605" s="846"/>
      <c r="O605" s="846"/>
      <c r="P605" s="846"/>
      <c r="Q605" s="846"/>
    </row>
    <row r="606" ht="15.0" customHeight="1">
      <c r="A606" s="1296"/>
      <c r="B606" s="846"/>
      <c r="C606" s="846"/>
      <c r="D606" s="846"/>
      <c r="E606" s="846"/>
      <c r="F606" s="846"/>
      <c r="G606" s="846"/>
      <c r="H606" s="846"/>
      <c r="I606" s="846"/>
      <c r="J606" s="846"/>
      <c r="K606" s="846"/>
      <c r="L606" s="846"/>
      <c r="M606" s="846"/>
      <c r="N606" s="846"/>
      <c r="O606" s="846"/>
      <c r="P606" s="846"/>
      <c r="Q606" s="846"/>
    </row>
    <row r="607" ht="15.0" customHeight="1">
      <c r="A607" s="1296"/>
      <c r="B607" s="846"/>
      <c r="C607" s="846"/>
      <c r="D607" s="846"/>
      <c r="E607" s="846"/>
      <c r="F607" s="846"/>
      <c r="G607" s="846"/>
      <c r="H607" s="846"/>
      <c r="I607" s="846"/>
      <c r="J607" s="846"/>
      <c r="K607" s="846"/>
      <c r="L607" s="846"/>
      <c r="M607" s="846"/>
      <c r="N607" s="846"/>
      <c r="O607" s="846"/>
      <c r="P607" s="846"/>
      <c r="Q607" s="846"/>
    </row>
    <row r="608" ht="15.0" customHeight="1">
      <c r="A608" s="1296"/>
      <c r="B608" s="846"/>
      <c r="C608" s="846"/>
      <c r="D608" s="846"/>
      <c r="E608" s="846"/>
      <c r="F608" s="846"/>
      <c r="G608" s="846"/>
      <c r="H608" s="846"/>
      <c r="I608" s="846"/>
      <c r="J608" s="846"/>
      <c r="K608" s="846"/>
      <c r="L608" s="846"/>
      <c r="M608" s="846"/>
      <c r="N608" s="846"/>
      <c r="O608" s="846"/>
      <c r="P608" s="846"/>
      <c r="Q608" s="846"/>
    </row>
    <row r="609" ht="15.0" customHeight="1">
      <c r="A609" s="1296"/>
      <c r="B609" s="846"/>
      <c r="C609" s="846"/>
      <c r="D609" s="846"/>
      <c r="E609" s="846"/>
      <c r="F609" s="846"/>
      <c r="G609" s="846"/>
      <c r="H609" s="846"/>
      <c r="I609" s="846"/>
      <c r="J609" s="846"/>
      <c r="K609" s="846"/>
      <c r="L609" s="846"/>
      <c r="M609" s="846"/>
      <c r="N609" s="846"/>
      <c r="O609" s="846"/>
      <c r="P609" s="846"/>
      <c r="Q609" s="846"/>
    </row>
    <row r="610" ht="15.0" customHeight="1">
      <c r="A610" s="1296"/>
      <c r="B610" s="846"/>
      <c r="C610" s="846"/>
      <c r="D610" s="846"/>
      <c r="E610" s="846"/>
      <c r="F610" s="846"/>
      <c r="G610" s="846"/>
      <c r="H610" s="846"/>
      <c r="I610" s="846"/>
      <c r="J610" s="846"/>
      <c r="K610" s="846"/>
      <c r="L610" s="846"/>
      <c r="M610" s="846"/>
      <c r="N610" s="846"/>
      <c r="O610" s="846"/>
      <c r="P610" s="846"/>
      <c r="Q610" s="846"/>
    </row>
    <row r="611" ht="15.0" customHeight="1">
      <c r="A611" s="1296"/>
      <c r="B611" s="846"/>
      <c r="C611" s="846"/>
      <c r="D611" s="846"/>
      <c r="E611" s="846"/>
      <c r="F611" s="846"/>
      <c r="G611" s="846"/>
      <c r="H611" s="846"/>
      <c r="I611" s="846"/>
      <c r="J611" s="846"/>
      <c r="K611" s="846"/>
      <c r="L611" s="846"/>
      <c r="M611" s="846"/>
      <c r="N611" s="846"/>
      <c r="O611" s="846"/>
      <c r="P611" s="846"/>
      <c r="Q611" s="846"/>
    </row>
    <row r="612" ht="15.0" customHeight="1">
      <c r="A612" s="1296"/>
      <c r="B612" s="846"/>
      <c r="C612" s="846"/>
      <c r="D612" s="846"/>
      <c r="E612" s="846"/>
      <c r="F612" s="846"/>
      <c r="G612" s="846"/>
      <c r="H612" s="846"/>
      <c r="I612" s="846"/>
      <c r="J612" s="846"/>
      <c r="K612" s="846"/>
      <c r="L612" s="846"/>
      <c r="M612" s="846"/>
      <c r="N612" s="846"/>
      <c r="O612" s="846"/>
      <c r="P612" s="846"/>
      <c r="Q612" s="846"/>
    </row>
    <row r="613" ht="15.0" customHeight="1">
      <c r="A613" s="1296"/>
      <c r="B613" s="846"/>
      <c r="C613" s="846"/>
      <c r="D613" s="846"/>
      <c r="E613" s="846"/>
      <c r="F613" s="846"/>
      <c r="G613" s="846"/>
      <c r="H613" s="846"/>
      <c r="I613" s="846"/>
      <c r="J613" s="846"/>
      <c r="K613" s="846"/>
      <c r="L613" s="846"/>
      <c r="M613" s="846"/>
      <c r="N613" s="846"/>
      <c r="O613" s="846"/>
      <c r="P613" s="846"/>
      <c r="Q613" s="846"/>
    </row>
    <row r="614" ht="15.0" customHeight="1">
      <c r="A614" s="1296"/>
      <c r="B614" s="846"/>
      <c r="C614" s="846"/>
      <c r="D614" s="846"/>
      <c r="E614" s="846"/>
      <c r="F614" s="846"/>
      <c r="G614" s="846"/>
      <c r="H614" s="846"/>
      <c r="I614" s="846"/>
      <c r="J614" s="846"/>
      <c r="K614" s="846"/>
      <c r="L614" s="846"/>
      <c r="M614" s="846"/>
      <c r="N614" s="846"/>
      <c r="O614" s="846"/>
      <c r="P614" s="846"/>
      <c r="Q614" s="846"/>
    </row>
    <row r="615" ht="15.0" customHeight="1">
      <c r="A615" s="1296"/>
      <c r="B615" s="846"/>
      <c r="C615" s="846"/>
      <c r="D615" s="846"/>
      <c r="E615" s="846"/>
      <c r="F615" s="846"/>
      <c r="G615" s="846"/>
      <c r="H615" s="846"/>
      <c r="I615" s="846"/>
      <c r="J615" s="846"/>
      <c r="K615" s="846"/>
      <c r="L615" s="846"/>
      <c r="M615" s="846"/>
      <c r="N615" s="846"/>
      <c r="O615" s="846"/>
      <c r="P615" s="846"/>
      <c r="Q615" s="846"/>
    </row>
    <row r="616" ht="15.0" customHeight="1">
      <c r="A616" s="1296"/>
      <c r="B616" s="846"/>
      <c r="C616" s="846"/>
      <c r="D616" s="846"/>
      <c r="E616" s="846"/>
      <c r="F616" s="846"/>
      <c r="G616" s="846"/>
      <c r="H616" s="846"/>
      <c r="I616" s="846"/>
      <c r="J616" s="846"/>
      <c r="K616" s="846"/>
      <c r="L616" s="846"/>
      <c r="M616" s="846"/>
      <c r="N616" s="846"/>
      <c r="O616" s="846"/>
      <c r="P616" s="846"/>
      <c r="Q616" s="846"/>
    </row>
    <row r="617" ht="15.0" customHeight="1">
      <c r="A617" s="1296"/>
      <c r="B617" s="846"/>
      <c r="C617" s="846"/>
      <c r="D617" s="846"/>
      <c r="E617" s="846"/>
      <c r="F617" s="846"/>
      <c r="G617" s="846"/>
      <c r="H617" s="846"/>
      <c r="I617" s="846"/>
      <c r="J617" s="846"/>
      <c r="K617" s="846"/>
      <c r="L617" s="846"/>
      <c r="M617" s="846"/>
      <c r="N617" s="846"/>
      <c r="O617" s="846"/>
      <c r="P617" s="846"/>
      <c r="Q617" s="846"/>
    </row>
    <row r="618" ht="15.0" customHeight="1">
      <c r="A618" s="1296"/>
      <c r="B618" s="846"/>
      <c r="C618" s="846"/>
      <c r="D618" s="846"/>
      <c r="E618" s="846"/>
      <c r="F618" s="846"/>
      <c r="G618" s="846"/>
      <c r="H618" s="846"/>
      <c r="I618" s="846"/>
      <c r="J618" s="846"/>
      <c r="K618" s="846"/>
      <c r="L618" s="846"/>
      <c r="M618" s="846"/>
      <c r="N618" s="846"/>
      <c r="O618" s="846"/>
      <c r="P618" s="846"/>
      <c r="Q618" s="846"/>
    </row>
    <row r="619" ht="15.0" customHeight="1">
      <c r="A619" s="1296"/>
      <c r="B619" s="846"/>
      <c r="C619" s="846"/>
      <c r="D619" s="846"/>
      <c r="E619" s="846"/>
      <c r="F619" s="846"/>
      <c r="G619" s="846"/>
      <c r="H619" s="846"/>
      <c r="I619" s="846"/>
      <c r="J619" s="846"/>
      <c r="K619" s="846"/>
      <c r="L619" s="846"/>
      <c r="M619" s="846"/>
      <c r="N619" s="846"/>
      <c r="O619" s="846"/>
      <c r="P619" s="846"/>
      <c r="Q619" s="846"/>
    </row>
    <row r="620" ht="15.0" customHeight="1">
      <c r="A620" s="1296"/>
      <c r="B620" s="846"/>
      <c r="C620" s="846"/>
      <c r="D620" s="846"/>
      <c r="E620" s="846"/>
      <c r="F620" s="846"/>
      <c r="G620" s="846"/>
      <c r="H620" s="846"/>
      <c r="I620" s="846"/>
      <c r="J620" s="846"/>
      <c r="K620" s="846"/>
      <c r="L620" s="846"/>
      <c r="M620" s="846"/>
      <c r="N620" s="846"/>
      <c r="O620" s="846"/>
      <c r="P620" s="846"/>
      <c r="Q620" s="846"/>
    </row>
    <row r="621" ht="15.0" customHeight="1">
      <c r="A621" s="1296"/>
      <c r="B621" s="846"/>
      <c r="C621" s="846"/>
      <c r="D621" s="846"/>
      <c r="E621" s="846"/>
      <c r="F621" s="846"/>
      <c r="G621" s="846"/>
      <c r="H621" s="846"/>
      <c r="I621" s="846"/>
      <c r="J621" s="846"/>
      <c r="K621" s="846"/>
      <c r="L621" s="846"/>
      <c r="M621" s="846"/>
      <c r="N621" s="846"/>
      <c r="O621" s="846"/>
      <c r="P621" s="846"/>
      <c r="Q621" s="846"/>
    </row>
    <row r="622" ht="15.0" customHeight="1">
      <c r="A622" s="1296"/>
      <c r="B622" s="846"/>
      <c r="C622" s="846"/>
      <c r="D622" s="846"/>
      <c r="E622" s="846"/>
      <c r="F622" s="846"/>
      <c r="G622" s="846"/>
      <c r="H622" s="846"/>
      <c r="I622" s="846"/>
      <c r="J622" s="846"/>
      <c r="K622" s="846"/>
      <c r="L622" s="846"/>
      <c r="M622" s="846"/>
      <c r="N622" s="846"/>
      <c r="O622" s="846"/>
      <c r="P622" s="846"/>
      <c r="Q622" s="846"/>
    </row>
    <row r="623" ht="15.0" customHeight="1">
      <c r="A623" s="1296"/>
      <c r="B623" s="846"/>
      <c r="C623" s="846"/>
      <c r="D623" s="846"/>
      <c r="E623" s="846"/>
      <c r="F623" s="846"/>
      <c r="G623" s="846"/>
      <c r="H623" s="846"/>
      <c r="I623" s="846"/>
      <c r="J623" s="846"/>
      <c r="K623" s="846"/>
      <c r="L623" s="846"/>
      <c r="M623" s="846"/>
      <c r="N623" s="846"/>
      <c r="O623" s="846"/>
      <c r="P623" s="846"/>
      <c r="Q623" s="846"/>
    </row>
    <row r="624" ht="15.0" customHeight="1">
      <c r="A624" s="1296"/>
      <c r="B624" s="846"/>
      <c r="C624" s="846"/>
      <c r="D624" s="846"/>
      <c r="E624" s="846"/>
      <c r="F624" s="846"/>
      <c r="G624" s="846"/>
      <c r="H624" s="846"/>
      <c r="I624" s="846"/>
      <c r="J624" s="846"/>
      <c r="K624" s="846"/>
      <c r="L624" s="846"/>
      <c r="M624" s="846"/>
      <c r="N624" s="846"/>
      <c r="O624" s="846"/>
      <c r="P624" s="846"/>
      <c r="Q624" s="846"/>
    </row>
    <row r="625" ht="15.0" customHeight="1">
      <c r="A625" s="1296"/>
      <c r="B625" s="846"/>
      <c r="C625" s="846"/>
      <c r="D625" s="846"/>
      <c r="E625" s="846"/>
      <c r="F625" s="846"/>
      <c r="G625" s="846"/>
      <c r="H625" s="846"/>
      <c r="I625" s="846"/>
      <c r="J625" s="846"/>
      <c r="K625" s="846"/>
      <c r="L625" s="846"/>
      <c r="M625" s="846"/>
      <c r="N625" s="846"/>
      <c r="O625" s="846"/>
      <c r="P625" s="846"/>
      <c r="Q625" s="846"/>
    </row>
    <row r="626" ht="15.0" customHeight="1">
      <c r="A626" s="1296"/>
      <c r="B626" s="846"/>
      <c r="C626" s="846"/>
      <c r="D626" s="846"/>
      <c r="E626" s="846"/>
      <c r="F626" s="846"/>
      <c r="G626" s="846"/>
      <c r="H626" s="846"/>
      <c r="I626" s="846"/>
      <c r="J626" s="846"/>
      <c r="K626" s="846"/>
      <c r="L626" s="846"/>
      <c r="M626" s="846"/>
      <c r="N626" s="846"/>
      <c r="O626" s="846"/>
      <c r="P626" s="846"/>
      <c r="Q626" s="846"/>
    </row>
    <row r="627" ht="15.0" customHeight="1">
      <c r="A627" s="1296"/>
      <c r="B627" s="846"/>
      <c r="C627" s="846"/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</row>
    <row r="628" ht="15.0" customHeight="1">
      <c r="A628" s="1296"/>
      <c r="B628" s="846"/>
      <c r="C628" s="846"/>
      <c r="D628" s="846"/>
      <c r="E628" s="846"/>
      <c r="F628" s="846"/>
      <c r="G628" s="846"/>
      <c r="H628" s="846"/>
      <c r="I628" s="846"/>
      <c r="J628" s="846"/>
      <c r="K628" s="846"/>
      <c r="L628" s="846"/>
      <c r="M628" s="846"/>
      <c r="N628" s="846"/>
      <c r="O628" s="846"/>
      <c r="P628" s="846"/>
      <c r="Q628" s="846"/>
    </row>
    <row r="629" ht="15.0" customHeight="1">
      <c r="A629" s="1296"/>
      <c r="B629" s="846"/>
      <c r="C629" s="846"/>
      <c r="D629" s="846"/>
      <c r="E629" s="846"/>
      <c r="F629" s="846"/>
      <c r="G629" s="846"/>
      <c r="H629" s="846"/>
      <c r="I629" s="846"/>
      <c r="J629" s="846"/>
      <c r="K629" s="846"/>
      <c r="L629" s="846"/>
      <c r="M629" s="846"/>
      <c r="N629" s="846"/>
      <c r="O629" s="846"/>
      <c r="P629" s="846"/>
      <c r="Q629" s="846"/>
    </row>
    <row r="630" ht="15.0" customHeight="1">
      <c r="A630" s="1296"/>
      <c r="B630" s="846"/>
      <c r="C630" s="846"/>
      <c r="D630" s="846"/>
      <c r="E630" s="846"/>
      <c r="F630" s="846"/>
      <c r="G630" s="846"/>
      <c r="H630" s="846"/>
      <c r="I630" s="846"/>
      <c r="J630" s="846"/>
      <c r="K630" s="846"/>
      <c r="L630" s="846"/>
      <c r="M630" s="846"/>
      <c r="N630" s="846"/>
      <c r="O630" s="846"/>
      <c r="P630" s="846"/>
      <c r="Q630" s="846"/>
    </row>
    <row r="631" ht="15.0" customHeight="1">
      <c r="A631" s="1296"/>
      <c r="B631" s="846"/>
      <c r="C631" s="846"/>
      <c r="D631" s="846"/>
      <c r="E631" s="846"/>
      <c r="F631" s="846"/>
      <c r="G631" s="846"/>
      <c r="H631" s="846"/>
      <c r="I631" s="846"/>
      <c r="J631" s="846"/>
      <c r="K631" s="846"/>
      <c r="L631" s="846"/>
      <c r="M631" s="846"/>
      <c r="N631" s="846"/>
      <c r="O631" s="846"/>
      <c r="P631" s="846"/>
      <c r="Q631" s="846"/>
    </row>
    <row r="632" ht="15.0" customHeight="1">
      <c r="A632" s="1296"/>
      <c r="B632" s="846"/>
      <c r="C632" s="846"/>
      <c r="D632" s="846"/>
      <c r="E632" s="846"/>
      <c r="F632" s="846"/>
      <c r="G632" s="846"/>
      <c r="H632" s="846"/>
      <c r="I632" s="846"/>
      <c r="J632" s="846"/>
      <c r="K632" s="846"/>
      <c r="L632" s="846"/>
      <c r="M632" s="846"/>
      <c r="N632" s="846"/>
      <c r="O632" s="846"/>
      <c r="P632" s="846"/>
      <c r="Q632" s="846"/>
    </row>
    <row r="633" ht="15.0" customHeight="1">
      <c r="A633" s="1296"/>
      <c r="B633" s="846"/>
      <c r="C633" s="846"/>
      <c r="D633" s="846"/>
      <c r="E633" s="846"/>
      <c r="F633" s="846"/>
      <c r="G633" s="846"/>
      <c r="H633" s="846"/>
      <c r="I633" s="846"/>
      <c r="J633" s="846"/>
      <c r="K633" s="846"/>
      <c r="L633" s="846"/>
      <c r="M633" s="846"/>
      <c r="N633" s="846"/>
      <c r="O633" s="846"/>
      <c r="P633" s="846"/>
      <c r="Q633" s="846"/>
    </row>
    <row r="634" ht="15.0" customHeight="1">
      <c r="A634" s="1296"/>
      <c r="B634" s="846"/>
      <c r="C634" s="846"/>
      <c r="D634" s="846"/>
      <c r="E634" s="846"/>
      <c r="F634" s="846"/>
      <c r="G634" s="846"/>
      <c r="H634" s="846"/>
      <c r="I634" s="846"/>
      <c r="J634" s="846"/>
      <c r="K634" s="846"/>
      <c r="L634" s="846"/>
      <c r="M634" s="846"/>
      <c r="N634" s="846"/>
      <c r="O634" s="846"/>
      <c r="P634" s="846"/>
      <c r="Q634" s="846"/>
    </row>
    <row r="635" ht="15.0" customHeight="1">
      <c r="A635" s="1296"/>
      <c r="B635" s="846"/>
      <c r="C635" s="846"/>
      <c r="D635" s="846"/>
      <c r="E635" s="846"/>
      <c r="F635" s="846"/>
      <c r="G635" s="846"/>
      <c r="H635" s="846"/>
      <c r="I635" s="846"/>
      <c r="J635" s="846"/>
      <c r="K635" s="846"/>
      <c r="L635" s="846"/>
      <c r="M635" s="846"/>
      <c r="N635" s="846"/>
      <c r="O635" s="846"/>
      <c r="P635" s="846"/>
      <c r="Q635" s="846"/>
    </row>
    <row r="636" ht="15.0" customHeight="1">
      <c r="A636" s="1296"/>
      <c r="B636" s="846"/>
      <c r="C636" s="846"/>
      <c r="D636" s="846"/>
      <c r="E636" s="846"/>
      <c r="F636" s="846"/>
      <c r="G636" s="846"/>
      <c r="H636" s="846"/>
      <c r="I636" s="846"/>
      <c r="J636" s="846"/>
      <c r="K636" s="846"/>
      <c r="L636" s="846"/>
      <c r="M636" s="846"/>
      <c r="N636" s="846"/>
      <c r="O636" s="846"/>
      <c r="P636" s="846"/>
      <c r="Q636" s="846"/>
    </row>
    <row r="637" ht="15.0" customHeight="1">
      <c r="A637" s="1296"/>
      <c r="B637" s="846"/>
      <c r="C637" s="846"/>
      <c r="D637" s="846"/>
      <c r="E637" s="846"/>
      <c r="F637" s="846"/>
      <c r="G637" s="846"/>
      <c r="H637" s="846"/>
      <c r="I637" s="846"/>
      <c r="J637" s="846"/>
      <c r="K637" s="846"/>
      <c r="L637" s="846"/>
      <c r="M637" s="846"/>
      <c r="N637" s="846"/>
      <c r="O637" s="846"/>
      <c r="P637" s="846"/>
      <c r="Q637" s="846"/>
    </row>
    <row r="638" ht="15.0" customHeight="1">
      <c r="A638" s="1296"/>
      <c r="B638" s="846"/>
      <c r="C638" s="846"/>
      <c r="D638" s="846"/>
      <c r="E638" s="846"/>
      <c r="F638" s="846"/>
      <c r="G638" s="846"/>
      <c r="H638" s="846"/>
      <c r="I638" s="846"/>
      <c r="J638" s="846"/>
      <c r="K638" s="846"/>
      <c r="L638" s="846"/>
      <c r="M638" s="846"/>
      <c r="N638" s="846"/>
      <c r="O638" s="846"/>
      <c r="P638" s="846"/>
      <c r="Q638" s="846"/>
    </row>
    <row r="639" ht="15.0" customHeight="1">
      <c r="A639" s="1296"/>
      <c r="B639" s="846"/>
      <c r="C639" s="846"/>
      <c r="D639" s="846"/>
      <c r="E639" s="846"/>
      <c r="F639" s="846"/>
      <c r="G639" s="846"/>
      <c r="H639" s="846"/>
      <c r="I639" s="846"/>
      <c r="J639" s="846"/>
      <c r="K639" s="846"/>
      <c r="L639" s="846"/>
      <c r="M639" s="846"/>
      <c r="N639" s="846"/>
      <c r="O639" s="846"/>
      <c r="P639" s="846"/>
      <c r="Q639" s="846"/>
    </row>
    <row r="640" ht="15.0" customHeight="1">
      <c r="A640" s="1296"/>
      <c r="B640" s="846"/>
      <c r="C640" s="846"/>
      <c r="D640" s="846"/>
      <c r="E640" s="846"/>
      <c r="F640" s="846"/>
      <c r="G640" s="846"/>
      <c r="H640" s="846"/>
      <c r="I640" s="846"/>
      <c r="J640" s="846"/>
      <c r="K640" s="846"/>
      <c r="L640" s="846"/>
      <c r="M640" s="846"/>
      <c r="N640" s="846"/>
      <c r="O640" s="846"/>
      <c r="P640" s="846"/>
      <c r="Q640" s="846"/>
    </row>
    <row r="641" ht="15.0" customHeight="1">
      <c r="A641" s="1296"/>
      <c r="B641" s="846"/>
      <c r="C641" s="846"/>
      <c r="D641" s="846"/>
      <c r="E641" s="846"/>
      <c r="F641" s="846"/>
      <c r="G641" s="846"/>
      <c r="H641" s="846"/>
      <c r="I641" s="846"/>
      <c r="J641" s="846"/>
      <c r="K641" s="846"/>
      <c r="L641" s="846"/>
      <c r="M641" s="846"/>
      <c r="N641" s="846"/>
      <c r="O641" s="846"/>
      <c r="P641" s="846"/>
      <c r="Q641" s="846"/>
    </row>
    <row r="642" ht="15.0" customHeight="1">
      <c r="A642" s="1296"/>
      <c r="B642" s="846"/>
      <c r="C642" s="846"/>
      <c r="D642" s="846"/>
      <c r="E642" s="846"/>
      <c r="F642" s="846"/>
      <c r="G642" s="846"/>
      <c r="H642" s="846"/>
      <c r="I642" s="846"/>
      <c r="J642" s="846"/>
      <c r="K642" s="846"/>
      <c r="L642" s="846"/>
      <c r="M642" s="846"/>
      <c r="N642" s="846"/>
      <c r="O642" s="846"/>
      <c r="P642" s="846"/>
      <c r="Q642" s="846"/>
    </row>
    <row r="643" ht="15.0" customHeight="1">
      <c r="A643" s="1296"/>
      <c r="B643" s="846"/>
      <c r="C643" s="846"/>
      <c r="D643" s="846"/>
      <c r="E643" s="846"/>
      <c r="F643" s="846"/>
      <c r="G643" s="846"/>
      <c r="H643" s="846"/>
      <c r="I643" s="846"/>
      <c r="J643" s="846"/>
      <c r="K643" s="846"/>
      <c r="L643" s="846"/>
      <c r="M643" s="846"/>
      <c r="N643" s="846"/>
      <c r="O643" s="846"/>
      <c r="P643" s="846"/>
      <c r="Q643" s="846"/>
    </row>
    <row r="644" ht="15.0" customHeight="1">
      <c r="A644" s="1296"/>
      <c r="B644" s="846"/>
      <c r="C644" s="846"/>
      <c r="D644" s="846"/>
      <c r="E644" s="846"/>
      <c r="F644" s="846"/>
      <c r="G644" s="846"/>
      <c r="H644" s="846"/>
      <c r="I644" s="846"/>
      <c r="J644" s="846"/>
      <c r="K644" s="846"/>
      <c r="L644" s="846"/>
      <c r="M644" s="846"/>
      <c r="N644" s="846"/>
      <c r="O644" s="846"/>
      <c r="P644" s="846"/>
      <c r="Q644" s="846"/>
    </row>
    <row r="645" ht="15.0" customHeight="1">
      <c r="A645" s="1296"/>
      <c r="B645" s="846"/>
      <c r="C645" s="846"/>
      <c r="D645" s="846"/>
      <c r="E645" s="846"/>
      <c r="F645" s="846"/>
      <c r="G645" s="846"/>
      <c r="H645" s="846"/>
      <c r="I645" s="846"/>
      <c r="J645" s="846"/>
      <c r="K645" s="846"/>
      <c r="L645" s="846"/>
      <c r="M645" s="846"/>
      <c r="N645" s="846"/>
      <c r="O645" s="846"/>
      <c r="P645" s="846"/>
      <c r="Q645" s="846"/>
    </row>
    <row r="646" ht="15.0" customHeight="1">
      <c r="A646" s="1296"/>
      <c r="B646" s="846"/>
      <c r="C646" s="846"/>
      <c r="D646" s="846"/>
      <c r="E646" s="846"/>
      <c r="F646" s="846"/>
      <c r="G646" s="846"/>
      <c r="H646" s="846"/>
      <c r="I646" s="846"/>
      <c r="J646" s="846"/>
      <c r="K646" s="846"/>
      <c r="L646" s="846"/>
      <c r="M646" s="846"/>
      <c r="N646" s="846"/>
      <c r="O646" s="846"/>
      <c r="P646" s="846"/>
      <c r="Q646" s="846"/>
    </row>
    <row r="647" ht="15.0" customHeight="1">
      <c r="A647" s="1296"/>
      <c r="B647" s="846"/>
      <c r="C647" s="846"/>
      <c r="D647" s="846"/>
      <c r="E647" s="846"/>
      <c r="F647" s="846"/>
      <c r="G647" s="846"/>
      <c r="H647" s="846"/>
      <c r="I647" s="846"/>
      <c r="J647" s="846"/>
      <c r="K647" s="846"/>
      <c r="L647" s="846"/>
      <c r="M647" s="846"/>
      <c r="N647" s="846"/>
      <c r="O647" s="846"/>
      <c r="P647" s="846"/>
      <c r="Q647" s="846"/>
    </row>
    <row r="648" ht="15.0" customHeight="1">
      <c r="A648" s="1296"/>
      <c r="B648" s="846"/>
      <c r="C648" s="846"/>
      <c r="D648" s="846"/>
      <c r="E648" s="846"/>
      <c r="F648" s="846"/>
      <c r="G648" s="846"/>
      <c r="H648" s="846"/>
      <c r="I648" s="846"/>
      <c r="J648" s="846"/>
      <c r="K648" s="846"/>
      <c r="L648" s="846"/>
      <c r="M648" s="846"/>
      <c r="N648" s="846"/>
      <c r="O648" s="846"/>
      <c r="P648" s="846"/>
      <c r="Q648" s="846"/>
    </row>
    <row r="649" ht="15.0" customHeight="1">
      <c r="A649" s="1296"/>
      <c r="B649" s="846"/>
      <c r="C649" s="846"/>
      <c r="D649" s="846"/>
      <c r="E649" s="846"/>
      <c r="F649" s="846"/>
      <c r="G649" s="846"/>
      <c r="H649" s="846"/>
      <c r="I649" s="846"/>
      <c r="J649" s="846"/>
      <c r="K649" s="846"/>
      <c r="L649" s="846"/>
      <c r="M649" s="846"/>
      <c r="N649" s="846"/>
      <c r="O649" s="846"/>
      <c r="P649" s="846"/>
      <c r="Q649" s="846"/>
    </row>
    <row r="650" ht="15.0" customHeight="1">
      <c r="A650" s="1296"/>
      <c r="B650" s="846"/>
      <c r="C650" s="846"/>
      <c r="D650" s="846"/>
      <c r="E650" s="846"/>
      <c r="F650" s="846"/>
      <c r="G650" s="846"/>
      <c r="H650" s="846"/>
      <c r="I650" s="846"/>
      <c r="J650" s="846"/>
      <c r="K650" s="846"/>
      <c r="L650" s="846"/>
      <c r="M650" s="846"/>
      <c r="N650" s="846"/>
      <c r="O650" s="846"/>
      <c r="P650" s="846"/>
      <c r="Q650" s="846"/>
    </row>
    <row r="651" ht="15.0" customHeight="1">
      <c r="A651" s="1296"/>
      <c r="B651" s="846"/>
      <c r="C651" s="846"/>
      <c r="D651" s="846"/>
      <c r="E651" s="846"/>
      <c r="F651" s="846"/>
      <c r="G651" s="846"/>
      <c r="H651" s="846"/>
      <c r="I651" s="846"/>
      <c r="J651" s="846"/>
      <c r="K651" s="846"/>
      <c r="L651" s="846"/>
      <c r="M651" s="846"/>
      <c r="N651" s="846"/>
      <c r="O651" s="846"/>
      <c r="P651" s="846"/>
      <c r="Q651" s="846"/>
    </row>
    <row r="652" ht="15.0" customHeight="1">
      <c r="A652" s="1296"/>
      <c r="B652" s="846"/>
      <c r="C652" s="846"/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</row>
    <row r="653" ht="15.0" customHeight="1">
      <c r="A653" s="1296"/>
      <c r="B653" s="846"/>
      <c r="C653" s="846"/>
      <c r="D653" s="846"/>
      <c r="E653" s="846"/>
      <c r="F653" s="846"/>
      <c r="G653" s="846"/>
      <c r="H653" s="846"/>
      <c r="I653" s="846"/>
      <c r="J653" s="846"/>
      <c r="K653" s="846"/>
      <c r="L653" s="846"/>
      <c r="M653" s="846"/>
      <c r="N653" s="846"/>
      <c r="O653" s="846"/>
      <c r="P653" s="846"/>
      <c r="Q653" s="846"/>
    </row>
    <row r="654" ht="15.0" customHeight="1">
      <c r="A654" s="1296"/>
      <c r="B654" s="846"/>
      <c r="C654" s="846"/>
      <c r="D654" s="846"/>
      <c r="E654" s="846"/>
      <c r="F654" s="846"/>
      <c r="G654" s="846"/>
      <c r="H654" s="846"/>
      <c r="I654" s="846"/>
      <c r="J654" s="846"/>
      <c r="K654" s="846"/>
      <c r="L654" s="846"/>
      <c r="M654" s="846"/>
      <c r="N654" s="846"/>
      <c r="O654" s="846"/>
      <c r="P654" s="846"/>
      <c r="Q654" s="846"/>
    </row>
    <row r="655" ht="15.0" customHeight="1">
      <c r="A655" s="1296"/>
      <c r="B655" s="846"/>
      <c r="C655" s="846"/>
      <c r="D655" s="846"/>
      <c r="E655" s="846"/>
      <c r="F655" s="846"/>
      <c r="G655" s="846"/>
      <c r="H655" s="846"/>
      <c r="I655" s="846"/>
      <c r="J655" s="846"/>
      <c r="K655" s="846"/>
      <c r="L655" s="846"/>
      <c r="M655" s="846"/>
      <c r="N655" s="846"/>
      <c r="O655" s="846"/>
      <c r="P655" s="846"/>
      <c r="Q655" s="846"/>
    </row>
    <row r="656" ht="15.0" customHeight="1">
      <c r="A656" s="1296"/>
      <c r="B656" s="846"/>
      <c r="C656" s="846"/>
      <c r="D656" s="846"/>
      <c r="E656" s="846"/>
      <c r="F656" s="846"/>
      <c r="G656" s="846"/>
      <c r="H656" s="846"/>
      <c r="I656" s="846"/>
      <c r="J656" s="846"/>
      <c r="K656" s="846"/>
      <c r="L656" s="846"/>
      <c r="M656" s="846"/>
      <c r="N656" s="846"/>
      <c r="O656" s="846"/>
      <c r="P656" s="846"/>
      <c r="Q656" s="846"/>
    </row>
    <row r="657" ht="15.0" customHeight="1">
      <c r="A657" s="1296"/>
      <c r="B657" s="846"/>
      <c r="C657" s="846"/>
      <c r="D657" s="846"/>
      <c r="E657" s="846"/>
      <c r="F657" s="846"/>
      <c r="G657" s="846"/>
      <c r="H657" s="846"/>
      <c r="I657" s="846"/>
      <c r="J657" s="846"/>
      <c r="K657" s="846"/>
      <c r="L657" s="846"/>
      <c r="M657" s="846"/>
      <c r="N657" s="846"/>
      <c r="O657" s="846"/>
      <c r="P657" s="846"/>
      <c r="Q657" s="846"/>
    </row>
    <row r="658" ht="15.0" customHeight="1">
      <c r="A658" s="1296"/>
      <c r="B658" s="846"/>
      <c r="C658" s="846"/>
      <c r="D658" s="846"/>
      <c r="E658" s="846"/>
      <c r="F658" s="846"/>
      <c r="G658" s="846"/>
      <c r="H658" s="846"/>
      <c r="I658" s="846"/>
      <c r="J658" s="846"/>
      <c r="K658" s="846"/>
      <c r="L658" s="846"/>
      <c r="M658" s="846"/>
      <c r="N658" s="846"/>
      <c r="O658" s="846"/>
      <c r="P658" s="846"/>
      <c r="Q658" s="846"/>
    </row>
    <row r="659" ht="15.0" customHeight="1">
      <c r="A659" s="1296"/>
      <c r="B659" s="846"/>
      <c r="C659" s="846"/>
      <c r="D659" s="846"/>
      <c r="E659" s="846"/>
      <c r="F659" s="846"/>
      <c r="G659" s="846"/>
      <c r="H659" s="846"/>
      <c r="I659" s="846"/>
      <c r="J659" s="846"/>
      <c r="K659" s="846"/>
      <c r="L659" s="846"/>
      <c r="M659" s="846"/>
      <c r="N659" s="846"/>
      <c r="O659" s="846"/>
      <c r="P659" s="846"/>
      <c r="Q659" s="846"/>
    </row>
    <row r="660" ht="15.0" customHeight="1">
      <c r="A660" s="1296"/>
      <c r="B660" s="846"/>
      <c r="C660" s="846"/>
      <c r="D660" s="846"/>
      <c r="E660" s="846"/>
      <c r="F660" s="846"/>
      <c r="G660" s="846"/>
      <c r="H660" s="846"/>
      <c r="I660" s="846"/>
      <c r="J660" s="846"/>
      <c r="K660" s="846"/>
      <c r="L660" s="846"/>
      <c r="M660" s="846"/>
      <c r="N660" s="846"/>
      <c r="O660" s="846"/>
      <c r="P660" s="846"/>
      <c r="Q660" s="846"/>
    </row>
    <row r="661" ht="15.0" customHeight="1">
      <c r="A661" s="1296"/>
      <c r="B661" s="846"/>
      <c r="C661" s="846"/>
      <c r="D661" s="846"/>
      <c r="E661" s="846"/>
      <c r="F661" s="846"/>
      <c r="G661" s="846"/>
      <c r="H661" s="846"/>
      <c r="I661" s="846"/>
      <c r="J661" s="846"/>
      <c r="K661" s="846"/>
      <c r="L661" s="846"/>
      <c r="M661" s="846"/>
      <c r="N661" s="846"/>
      <c r="O661" s="846"/>
      <c r="P661" s="846"/>
      <c r="Q661" s="846"/>
    </row>
    <row r="662" ht="15.0" customHeight="1">
      <c r="A662" s="1296"/>
      <c r="B662" s="846"/>
      <c r="C662" s="846"/>
      <c r="D662" s="846"/>
      <c r="E662" s="846"/>
      <c r="F662" s="846"/>
      <c r="G662" s="846"/>
      <c r="H662" s="846"/>
      <c r="I662" s="846"/>
      <c r="J662" s="846"/>
      <c r="K662" s="846"/>
      <c r="L662" s="846"/>
      <c r="M662" s="846"/>
      <c r="N662" s="846"/>
      <c r="O662" s="846"/>
      <c r="P662" s="846"/>
      <c r="Q662" s="846"/>
    </row>
    <row r="663" ht="15.0" customHeight="1">
      <c r="A663" s="1296"/>
      <c r="B663" s="846"/>
      <c r="C663" s="846"/>
      <c r="D663" s="846"/>
      <c r="E663" s="846"/>
      <c r="F663" s="846"/>
      <c r="G663" s="846"/>
      <c r="H663" s="846"/>
      <c r="I663" s="846"/>
      <c r="J663" s="846"/>
      <c r="K663" s="846"/>
      <c r="L663" s="846"/>
      <c r="M663" s="846"/>
      <c r="N663" s="846"/>
      <c r="O663" s="846"/>
      <c r="P663" s="846"/>
      <c r="Q663" s="846"/>
    </row>
    <row r="664" ht="15.0" customHeight="1">
      <c r="A664" s="1296"/>
      <c r="B664" s="846"/>
      <c r="C664" s="846"/>
      <c r="D664" s="846"/>
      <c r="E664" s="846"/>
      <c r="F664" s="846"/>
      <c r="G664" s="846"/>
      <c r="H664" s="846"/>
      <c r="I664" s="846"/>
      <c r="J664" s="846"/>
      <c r="K664" s="846"/>
      <c r="L664" s="846"/>
      <c r="M664" s="846"/>
      <c r="N664" s="846"/>
      <c r="O664" s="846"/>
      <c r="P664" s="846"/>
      <c r="Q664" s="846"/>
    </row>
    <row r="665" ht="15.0" customHeight="1">
      <c r="A665" s="1296"/>
      <c r="B665" s="846"/>
      <c r="C665" s="846"/>
      <c r="D665" s="846"/>
      <c r="E665" s="846"/>
      <c r="F665" s="846"/>
      <c r="G665" s="846"/>
      <c r="H665" s="846"/>
      <c r="I665" s="846"/>
      <c r="J665" s="846"/>
      <c r="K665" s="846"/>
      <c r="L665" s="846"/>
      <c r="M665" s="846"/>
      <c r="N665" s="846"/>
      <c r="O665" s="846"/>
      <c r="P665" s="846"/>
      <c r="Q665" s="846"/>
    </row>
    <row r="666" ht="15.0" customHeight="1">
      <c r="A666" s="1296"/>
      <c r="B666" s="846"/>
      <c r="C666" s="846"/>
      <c r="D666" s="846"/>
      <c r="E666" s="846"/>
      <c r="F666" s="846"/>
      <c r="G666" s="846"/>
      <c r="H666" s="846"/>
      <c r="I666" s="846"/>
      <c r="J666" s="846"/>
      <c r="K666" s="846"/>
      <c r="L666" s="846"/>
      <c r="M666" s="846"/>
      <c r="N666" s="846"/>
      <c r="O666" s="846"/>
      <c r="P666" s="846"/>
      <c r="Q666" s="846"/>
    </row>
    <row r="667" ht="15.0" customHeight="1">
      <c r="A667" s="1296"/>
      <c r="B667" s="846"/>
      <c r="C667" s="846"/>
      <c r="D667" s="846"/>
      <c r="E667" s="846"/>
      <c r="F667" s="846"/>
      <c r="G667" s="846"/>
      <c r="H667" s="846"/>
      <c r="I667" s="846"/>
      <c r="J667" s="846"/>
      <c r="K667" s="846"/>
      <c r="L667" s="846"/>
      <c r="M667" s="846"/>
      <c r="N667" s="846"/>
      <c r="O667" s="846"/>
      <c r="P667" s="846"/>
      <c r="Q667" s="846"/>
    </row>
    <row r="668" ht="15.0" customHeight="1">
      <c r="A668" s="1296"/>
      <c r="B668" s="846"/>
      <c r="C668" s="846"/>
      <c r="D668" s="846"/>
      <c r="E668" s="846"/>
      <c r="F668" s="846"/>
      <c r="G668" s="846"/>
      <c r="H668" s="846"/>
      <c r="I668" s="846"/>
      <c r="J668" s="846"/>
      <c r="K668" s="846"/>
      <c r="L668" s="846"/>
      <c r="M668" s="846"/>
      <c r="N668" s="846"/>
      <c r="O668" s="846"/>
      <c r="P668" s="846"/>
      <c r="Q668" s="846"/>
    </row>
    <row r="669" ht="15.0" customHeight="1">
      <c r="A669" s="1296"/>
      <c r="B669" s="846"/>
      <c r="C669" s="846"/>
      <c r="D669" s="846"/>
      <c r="E669" s="846"/>
      <c r="F669" s="846"/>
      <c r="G669" s="846"/>
      <c r="H669" s="846"/>
      <c r="I669" s="846"/>
      <c r="J669" s="846"/>
      <c r="K669" s="846"/>
      <c r="L669" s="846"/>
      <c r="M669" s="846"/>
      <c r="N669" s="846"/>
      <c r="O669" s="846"/>
      <c r="P669" s="846"/>
      <c r="Q669" s="846"/>
    </row>
    <row r="670" ht="15.0" customHeight="1">
      <c r="A670" s="1296"/>
      <c r="B670" s="846"/>
      <c r="C670" s="846"/>
      <c r="D670" s="846"/>
      <c r="E670" s="846"/>
      <c r="F670" s="846"/>
      <c r="G670" s="846"/>
      <c r="H670" s="846"/>
      <c r="I670" s="846"/>
      <c r="J670" s="846"/>
      <c r="K670" s="846"/>
      <c r="L670" s="846"/>
      <c r="M670" s="846"/>
      <c r="N670" s="846"/>
      <c r="O670" s="846"/>
      <c r="P670" s="846"/>
      <c r="Q670" s="846"/>
    </row>
    <row r="671" ht="15.0" customHeight="1">
      <c r="A671" s="1296"/>
      <c r="B671" s="846"/>
      <c r="C671" s="846"/>
      <c r="D671" s="846"/>
      <c r="E671" s="846"/>
      <c r="F671" s="846"/>
      <c r="G671" s="846"/>
      <c r="H671" s="846"/>
      <c r="I671" s="846"/>
      <c r="J671" s="846"/>
      <c r="K671" s="846"/>
      <c r="L671" s="846"/>
      <c r="M671" s="846"/>
      <c r="N671" s="846"/>
      <c r="O671" s="846"/>
      <c r="P671" s="846"/>
      <c r="Q671" s="846"/>
    </row>
    <row r="672" ht="15.0" customHeight="1">
      <c r="A672" s="1296"/>
      <c r="B672" s="846"/>
      <c r="C672" s="846"/>
      <c r="D672" s="846"/>
      <c r="E672" s="846"/>
      <c r="F672" s="846"/>
      <c r="G672" s="846"/>
      <c r="H672" s="846"/>
      <c r="I672" s="846"/>
      <c r="J672" s="846"/>
      <c r="K672" s="846"/>
      <c r="L672" s="846"/>
      <c r="M672" s="846"/>
      <c r="N672" s="846"/>
      <c r="O672" s="846"/>
      <c r="P672" s="846"/>
      <c r="Q672" s="846"/>
    </row>
    <row r="673" ht="15.0" customHeight="1">
      <c r="A673" s="1296"/>
      <c r="B673" s="846"/>
      <c r="C673" s="846"/>
      <c r="D673" s="846"/>
      <c r="E673" s="846"/>
      <c r="F673" s="846"/>
      <c r="G673" s="846"/>
      <c r="H673" s="846"/>
      <c r="I673" s="846"/>
      <c r="J673" s="846"/>
      <c r="K673" s="846"/>
      <c r="L673" s="846"/>
      <c r="M673" s="846"/>
      <c r="N673" s="846"/>
      <c r="O673" s="846"/>
      <c r="P673" s="846"/>
      <c r="Q673" s="846"/>
    </row>
    <row r="674" ht="15.0" customHeight="1">
      <c r="A674" s="1296"/>
      <c r="B674" s="846"/>
      <c r="C674" s="846"/>
      <c r="D674" s="846"/>
      <c r="E674" s="846"/>
      <c r="F674" s="846"/>
      <c r="G674" s="846"/>
      <c r="H674" s="846"/>
      <c r="I674" s="846"/>
      <c r="J674" s="846"/>
      <c r="K674" s="846"/>
      <c r="L674" s="846"/>
      <c r="M674" s="846"/>
      <c r="N674" s="846"/>
      <c r="O674" s="846"/>
      <c r="P674" s="846"/>
      <c r="Q674" s="846"/>
    </row>
    <row r="675" ht="15.0" customHeight="1">
      <c r="A675" s="1296"/>
      <c r="B675" s="846"/>
      <c r="C675" s="846"/>
      <c r="D675" s="846"/>
      <c r="E675" s="846"/>
      <c r="F675" s="846"/>
      <c r="G675" s="846"/>
      <c r="H675" s="846"/>
      <c r="I675" s="846"/>
      <c r="J675" s="846"/>
      <c r="K675" s="846"/>
      <c r="L675" s="846"/>
      <c r="M675" s="846"/>
      <c r="N675" s="846"/>
      <c r="O675" s="846"/>
      <c r="P675" s="846"/>
      <c r="Q675" s="846"/>
    </row>
    <row r="676" ht="15.0" customHeight="1">
      <c r="A676" s="1296"/>
      <c r="B676" s="846"/>
      <c r="C676" s="846"/>
      <c r="D676" s="846"/>
      <c r="E676" s="846"/>
      <c r="F676" s="846"/>
      <c r="G676" s="846"/>
      <c r="H676" s="846"/>
      <c r="I676" s="846"/>
      <c r="J676" s="846"/>
      <c r="K676" s="846"/>
      <c r="L676" s="846"/>
      <c r="M676" s="846"/>
      <c r="N676" s="846"/>
      <c r="O676" s="846"/>
      <c r="P676" s="846"/>
      <c r="Q676" s="846"/>
    </row>
    <row r="677" ht="15.0" customHeight="1">
      <c r="A677" s="1296"/>
      <c r="B677" s="846"/>
      <c r="C677" s="846"/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</row>
    <row r="678" ht="15.0" customHeight="1">
      <c r="A678" s="1296"/>
      <c r="B678" s="846"/>
      <c r="C678" s="846"/>
      <c r="D678" s="846"/>
      <c r="E678" s="846"/>
      <c r="F678" s="846"/>
      <c r="G678" s="846"/>
      <c r="H678" s="846"/>
      <c r="I678" s="846"/>
      <c r="J678" s="846"/>
      <c r="K678" s="846"/>
      <c r="L678" s="846"/>
      <c r="M678" s="846"/>
      <c r="N678" s="846"/>
      <c r="O678" s="846"/>
      <c r="P678" s="846"/>
      <c r="Q678" s="846"/>
    </row>
    <row r="679" ht="15.0" customHeight="1">
      <c r="A679" s="1296"/>
      <c r="B679" s="846"/>
      <c r="C679" s="846"/>
      <c r="D679" s="846"/>
      <c r="E679" s="846"/>
      <c r="F679" s="846"/>
      <c r="G679" s="846"/>
      <c r="H679" s="846"/>
      <c r="I679" s="846"/>
      <c r="J679" s="846"/>
      <c r="K679" s="846"/>
      <c r="L679" s="846"/>
      <c r="M679" s="846"/>
      <c r="N679" s="846"/>
      <c r="O679" s="846"/>
      <c r="P679" s="846"/>
      <c r="Q679" s="846"/>
    </row>
    <row r="680" ht="15.0" customHeight="1">
      <c r="A680" s="1296"/>
      <c r="B680" s="846"/>
      <c r="C680" s="846"/>
      <c r="D680" s="846"/>
      <c r="E680" s="846"/>
      <c r="F680" s="846"/>
      <c r="G680" s="846"/>
      <c r="H680" s="846"/>
      <c r="I680" s="846"/>
      <c r="J680" s="846"/>
      <c r="K680" s="846"/>
      <c r="L680" s="846"/>
      <c r="M680" s="846"/>
      <c r="N680" s="846"/>
      <c r="O680" s="846"/>
      <c r="P680" s="846"/>
      <c r="Q680" s="846"/>
    </row>
    <row r="681" ht="15.0" customHeight="1">
      <c r="A681" s="1296"/>
      <c r="B681" s="846"/>
      <c r="C681" s="846"/>
      <c r="D681" s="846"/>
      <c r="E681" s="846"/>
      <c r="F681" s="846"/>
      <c r="G681" s="846"/>
      <c r="H681" s="846"/>
      <c r="I681" s="846"/>
      <c r="J681" s="846"/>
      <c r="K681" s="846"/>
      <c r="L681" s="846"/>
      <c r="M681" s="846"/>
      <c r="N681" s="846"/>
      <c r="O681" s="846"/>
      <c r="P681" s="846"/>
      <c r="Q681" s="846"/>
    </row>
    <row r="682" ht="15.0" customHeight="1">
      <c r="A682" s="1296"/>
      <c r="B682" s="846"/>
      <c r="C682" s="846"/>
      <c r="D682" s="846"/>
      <c r="E682" s="846"/>
      <c r="F682" s="846"/>
      <c r="G682" s="846"/>
      <c r="H682" s="846"/>
      <c r="I682" s="846"/>
      <c r="J682" s="846"/>
      <c r="K682" s="846"/>
      <c r="L682" s="846"/>
      <c r="M682" s="846"/>
      <c r="N682" s="846"/>
      <c r="O682" s="846"/>
      <c r="P682" s="846"/>
      <c r="Q682" s="846"/>
    </row>
    <row r="683" ht="15.0" customHeight="1">
      <c r="A683" s="1296"/>
      <c r="B683" s="846"/>
      <c r="C683" s="846"/>
      <c r="D683" s="846"/>
      <c r="E683" s="846"/>
      <c r="F683" s="846"/>
      <c r="G683" s="846"/>
      <c r="H683" s="846"/>
      <c r="I683" s="846"/>
      <c r="J683" s="846"/>
      <c r="K683" s="846"/>
      <c r="L683" s="846"/>
      <c r="M683" s="846"/>
      <c r="N683" s="846"/>
      <c r="O683" s="846"/>
      <c r="P683" s="846"/>
      <c r="Q683" s="846"/>
    </row>
    <row r="684" ht="15.0" customHeight="1">
      <c r="A684" s="1296"/>
      <c r="B684" s="846"/>
      <c r="C684" s="846"/>
      <c r="D684" s="846"/>
      <c r="E684" s="846"/>
      <c r="F684" s="846"/>
      <c r="G684" s="846"/>
      <c r="H684" s="846"/>
      <c r="I684" s="846"/>
      <c r="J684" s="846"/>
      <c r="K684" s="846"/>
      <c r="L684" s="846"/>
      <c r="M684" s="846"/>
      <c r="N684" s="846"/>
      <c r="O684" s="846"/>
      <c r="P684" s="846"/>
      <c r="Q684" s="846"/>
    </row>
    <row r="685" ht="15.0" customHeight="1">
      <c r="A685" s="1296"/>
      <c r="B685" s="846"/>
      <c r="C685" s="846"/>
      <c r="D685" s="846"/>
      <c r="E685" s="846"/>
      <c r="F685" s="846"/>
      <c r="G685" s="846"/>
      <c r="H685" s="846"/>
      <c r="I685" s="846"/>
      <c r="J685" s="846"/>
      <c r="K685" s="846"/>
      <c r="L685" s="846"/>
      <c r="M685" s="846"/>
      <c r="N685" s="846"/>
      <c r="O685" s="846"/>
      <c r="P685" s="846"/>
      <c r="Q685" s="846"/>
    </row>
    <row r="686" ht="15.0" customHeight="1">
      <c r="A686" s="1296"/>
      <c r="B686" s="846"/>
      <c r="C686" s="846"/>
      <c r="D686" s="846"/>
      <c r="E686" s="846"/>
      <c r="F686" s="846"/>
      <c r="G686" s="846"/>
      <c r="H686" s="846"/>
      <c r="I686" s="846"/>
      <c r="J686" s="846"/>
      <c r="K686" s="846"/>
      <c r="L686" s="846"/>
      <c r="M686" s="846"/>
      <c r="N686" s="846"/>
      <c r="O686" s="846"/>
      <c r="P686" s="846"/>
      <c r="Q686" s="846"/>
    </row>
    <row r="687" ht="15.0" customHeight="1">
      <c r="A687" s="1296"/>
      <c r="B687" s="846"/>
      <c r="C687" s="846"/>
      <c r="D687" s="846"/>
      <c r="E687" s="846"/>
      <c r="F687" s="846"/>
      <c r="G687" s="846"/>
      <c r="H687" s="846"/>
      <c r="I687" s="846"/>
      <c r="J687" s="846"/>
      <c r="K687" s="846"/>
      <c r="L687" s="846"/>
      <c r="M687" s="846"/>
      <c r="N687" s="846"/>
      <c r="O687" s="846"/>
      <c r="P687" s="846"/>
      <c r="Q687" s="846"/>
    </row>
    <row r="688" ht="15.0" customHeight="1">
      <c r="A688" s="1296"/>
      <c r="B688" s="846"/>
      <c r="C688" s="846"/>
      <c r="D688" s="846"/>
      <c r="E688" s="846"/>
      <c r="F688" s="846"/>
      <c r="G688" s="846"/>
      <c r="H688" s="846"/>
      <c r="I688" s="846"/>
      <c r="J688" s="846"/>
      <c r="K688" s="846"/>
      <c r="L688" s="846"/>
      <c r="M688" s="846"/>
      <c r="N688" s="846"/>
      <c r="O688" s="846"/>
      <c r="P688" s="846"/>
      <c r="Q688" s="846"/>
    </row>
    <row r="689" ht="15.0" customHeight="1">
      <c r="A689" s="1296"/>
      <c r="B689" s="846"/>
      <c r="C689" s="846"/>
      <c r="D689" s="846"/>
      <c r="E689" s="846"/>
      <c r="F689" s="846"/>
      <c r="G689" s="846"/>
      <c r="H689" s="846"/>
      <c r="I689" s="846"/>
      <c r="J689" s="846"/>
      <c r="K689" s="846"/>
      <c r="L689" s="846"/>
      <c r="M689" s="846"/>
      <c r="N689" s="846"/>
      <c r="O689" s="846"/>
      <c r="P689" s="846"/>
      <c r="Q689" s="846"/>
    </row>
    <row r="690" ht="15.0" customHeight="1">
      <c r="A690" s="1296"/>
      <c r="B690" s="846"/>
      <c r="C690" s="846"/>
      <c r="D690" s="846"/>
      <c r="E690" s="846"/>
      <c r="F690" s="846"/>
      <c r="G690" s="846"/>
      <c r="H690" s="846"/>
      <c r="I690" s="846"/>
      <c r="J690" s="846"/>
      <c r="K690" s="846"/>
      <c r="L690" s="846"/>
      <c r="M690" s="846"/>
      <c r="N690" s="846"/>
      <c r="O690" s="846"/>
      <c r="P690" s="846"/>
      <c r="Q690" s="846"/>
    </row>
    <row r="691" ht="15.0" customHeight="1">
      <c r="A691" s="1296"/>
      <c r="B691" s="846"/>
      <c r="C691" s="846"/>
      <c r="D691" s="846"/>
      <c r="E691" s="846"/>
      <c r="F691" s="846"/>
      <c r="G691" s="846"/>
      <c r="H691" s="846"/>
      <c r="I691" s="846"/>
      <c r="J691" s="846"/>
      <c r="K691" s="846"/>
      <c r="L691" s="846"/>
      <c r="M691" s="846"/>
      <c r="N691" s="846"/>
      <c r="O691" s="846"/>
      <c r="P691" s="846"/>
      <c r="Q691" s="846"/>
    </row>
    <row r="692" ht="15.0" customHeight="1">
      <c r="A692" s="1296"/>
      <c r="B692" s="846"/>
      <c r="C692" s="846"/>
      <c r="D692" s="846"/>
      <c r="E692" s="846"/>
      <c r="F692" s="846"/>
      <c r="G692" s="846"/>
      <c r="H692" s="846"/>
      <c r="I692" s="846"/>
      <c r="J692" s="846"/>
      <c r="K692" s="846"/>
      <c r="L692" s="846"/>
      <c r="M692" s="846"/>
      <c r="N692" s="846"/>
      <c r="O692" s="846"/>
      <c r="P692" s="846"/>
      <c r="Q692" s="846"/>
    </row>
    <row r="693" ht="15.0" customHeight="1">
      <c r="A693" s="1296"/>
      <c r="B693" s="846"/>
      <c r="C693" s="846"/>
      <c r="D693" s="846"/>
      <c r="E693" s="846"/>
      <c r="F693" s="846"/>
      <c r="G693" s="846"/>
      <c r="H693" s="846"/>
      <c r="I693" s="846"/>
      <c r="J693" s="846"/>
      <c r="K693" s="846"/>
      <c r="L693" s="846"/>
      <c r="M693" s="846"/>
      <c r="N693" s="846"/>
      <c r="O693" s="846"/>
      <c r="P693" s="846"/>
      <c r="Q693" s="846"/>
    </row>
    <row r="694" ht="15.0" customHeight="1">
      <c r="A694" s="1296"/>
      <c r="B694" s="846"/>
      <c r="C694" s="846"/>
      <c r="D694" s="846"/>
      <c r="E694" s="846"/>
      <c r="F694" s="846"/>
      <c r="G694" s="846"/>
      <c r="H694" s="846"/>
      <c r="I694" s="846"/>
      <c r="J694" s="846"/>
      <c r="K694" s="846"/>
      <c r="L694" s="846"/>
      <c r="M694" s="846"/>
      <c r="N694" s="846"/>
      <c r="O694" s="846"/>
      <c r="P694" s="846"/>
      <c r="Q694" s="846"/>
    </row>
    <row r="695" ht="15.0" customHeight="1">
      <c r="A695" s="1296"/>
      <c r="B695" s="846"/>
      <c r="C695" s="846"/>
      <c r="D695" s="846"/>
      <c r="E695" s="846"/>
      <c r="F695" s="846"/>
      <c r="G695" s="846"/>
      <c r="H695" s="846"/>
      <c r="I695" s="846"/>
      <c r="J695" s="846"/>
      <c r="K695" s="846"/>
      <c r="L695" s="846"/>
      <c r="M695" s="846"/>
      <c r="N695" s="846"/>
      <c r="O695" s="846"/>
      <c r="P695" s="846"/>
      <c r="Q695" s="846"/>
    </row>
    <row r="696" ht="15.0" customHeight="1">
      <c r="A696" s="1296"/>
      <c r="B696" s="846"/>
      <c r="C696" s="846"/>
      <c r="D696" s="846"/>
      <c r="E696" s="846"/>
      <c r="F696" s="846"/>
      <c r="G696" s="846"/>
      <c r="H696" s="846"/>
      <c r="I696" s="846"/>
      <c r="J696" s="846"/>
      <c r="K696" s="846"/>
      <c r="L696" s="846"/>
      <c r="M696" s="846"/>
      <c r="N696" s="846"/>
      <c r="O696" s="846"/>
      <c r="P696" s="846"/>
      <c r="Q696" s="846"/>
    </row>
    <row r="697" ht="15.0" customHeight="1">
      <c r="A697" s="1296"/>
      <c r="B697" s="846"/>
      <c r="C697" s="846"/>
      <c r="D697" s="846"/>
      <c r="E697" s="846"/>
      <c r="F697" s="846"/>
      <c r="G697" s="846"/>
      <c r="H697" s="846"/>
      <c r="I697" s="846"/>
      <c r="J697" s="846"/>
      <c r="K697" s="846"/>
      <c r="L697" s="846"/>
      <c r="M697" s="846"/>
      <c r="N697" s="846"/>
      <c r="O697" s="846"/>
      <c r="P697" s="846"/>
      <c r="Q697" s="846"/>
    </row>
    <row r="698" ht="15.0" customHeight="1">
      <c r="A698" s="1296"/>
      <c r="B698" s="846"/>
      <c r="C698" s="846"/>
      <c r="D698" s="846"/>
      <c r="E698" s="846"/>
      <c r="F698" s="846"/>
      <c r="G698" s="846"/>
      <c r="H698" s="846"/>
      <c r="I698" s="846"/>
      <c r="J698" s="846"/>
      <c r="K698" s="846"/>
      <c r="L698" s="846"/>
      <c r="M698" s="846"/>
      <c r="N698" s="846"/>
      <c r="O698" s="846"/>
      <c r="P698" s="846"/>
      <c r="Q698" s="846"/>
    </row>
    <row r="699" ht="15.0" customHeight="1">
      <c r="A699" s="1296"/>
      <c r="B699" s="846"/>
      <c r="C699" s="846"/>
      <c r="D699" s="846"/>
      <c r="E699" s="846"/>
      <c r="F699" s="846"/>
      <c r="G699" s="846"/>
      <c r="H699" s="846"/>
      <c r="I699" s="846"/>
      <c r="J699" s="846"/>
      <c r="K699" s="846"/>
      <c r="L699" s="846"/>
      <c r="M699" s="846"/>
      <c r="N699" s="846"/>
      <c r="O699" s="846"/>
      <c r="P699" s="846"/>
      <c r="Q699" s="846"/>
    </row>
    <row r="700" ht="15.0" customHeight="1">
      <c r="A700" s="1296"/>
      <c r="B700" s="846"/>
      <c r="C700" s="846"/>
      <c r="D700" s="846"/>
      <c r="E700" s="846"/>
      <c r="F700" s="846"/>
      <c r="G700" s="846"/>
      <c r="H700" s="846"/>
      <c r="I700" s="846"/>
      <c r="J700" s="846"/>
      <c r="K700" s="846"/>
      <c r="L700" s="846"/>
      <c r="M700" s="846"/>
      <c r="N700" s="846"/>
      <c r="O700" s="846"/>
      <c r="P700" s="846"/>
      <c r="Q700" s="846"/>
    </row>
    <row r="701" ht="15.0" customHeight="1">
      <c r="A701" s="1296"/>
      <c r="B701" s="846"/>
      <c r="C701" s="846"/>
      <c r="D701" s="846"/>
      <c r="E701" s="846"/>
      <c r="F701" s="846"/>
      <c r="G701" s="846"/>
      <c r="H701" s="846"/>
      <c r="I701" s="846"/>
      <c r="J701" s="846"/>
      <c r="K701" s="846"/>
      <c r="L701" s="846"/>
      <c r="M701" s="846"/>
      <c r="N701" s="846"/>
      <c r="O701" s="846"/>
      <c r="P701" s="846"/>
      <c r="Q701" s="846"/>
    </row>
    <row r="702" ht="15.0" customHeight="1">
      <c r="A702" s="1296"/>
      <c r="B702" s="846"/>
      <c r="C702" s="846"/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</row>
    <row r="703" ht="15.0" customHeight="1">
      <c r="A703" s="1296"/>
      <c r="B703" s="846"/>
      <c r="C703" s="846"/>
      <c r="D703" s="846"/>
      <c r="E703" s="846"/>
      <c r="F703" s="846"/>
      <c r="G703" s="846"/>
      <c r="H703" s="846"/>
      <c r="I703" s="846"/>
      <c r="J703" s="846"/>
      <c r="K703" s="846"/>
      <c r="L703" s="846"/>
      <c r="M703" s="846"/>
      <c r="N703" s="846"/>
      <c r="O703" s="846"/>
      <c r="P703" s="846"/>
      <c r="Q703" s="846"/>
    </row>
    <row r="704" ht="15.0" customHeight="1">
      <c r="A704" s="1296"/>
      <c r="B704" s="846"/>
      <c r="C704" s="846"/>
      <c r="D704" s="846"/>
      <c r="E704" s="846"/>
      <c r="F704" s="846"/>
      <c r="G704" s="846"/>
      <c r="H704" s="846"/>
      <c r="I704" s="846"/>
      <c r="J704" s="846"/>
      <c r="K704" s="846"/>
      <c r="L704" s="846"/>
      <c r="M704" s="846"/>
      <c r="N704" s="846"/>
      <c r="O704" s="846"/>
      <c r="P704" s="846"/>
      <c r="Q704" s="846"/>
    </row>
    <row r="705" ht="15.0" customHeight="1">
      <c r="A705" s="1296"/>
      <c r="B705" s="846"/>
      <c r="C705" s="846"/>
      <c r="D705" s="846"/>
      <c r="E705" s="846"/>
      <c r="F705" s="846"/>
      <c r="G705" s="846"/>
      <c r="H705" s="846"/>
      <c r="I705" s="846"/>
      <c r="J705" s="846"/>
      <c r="K705" s="846"/>
      <c r="L705" s="846"/>
      <c r="M705" s="846"/>
      <c r="N705" s="846"/>
      <c r="O705" s="846"/>
      <c r="P705" s="846"/>
      <c r="Q705" s="846"/>
    </row>
    <row r="706" ht="15.0" customHeight="1">
      <c r="A706" s="1296"/>
      <c r="B706" s="846"/>
      <c r="C706" s="846"/>
      <c r="D706" s="846"/>
      <c r="E706" s="846"/>
      <c r="F706" s="846"/>
      <c r="G706" s="846"/>
      <c r="H706" s="846"/>
      <c r="I706" s="846"/>
      <c r="J706" s="846"/>
      <c r="K706" s="846"/>
      <c r="L706" s="846"/>
      <c r="M706" s="846"/>
      <c r="N706" s="846"/>
      <c r="O706" s="846"/>
      <c r="P706" s="846"/>
      <c r="Q706" s="846"/>
    </row>
    <row r="707" ht="15.0" customHeight="1">
      <c r="A707" s="1296"/>
      <c r="B707" s="846"/>
      <c r="C707" s="846"/>
      <c r="D707" s="846"/>
      <c r="E707" s="846"/>
      <c r="F707" s="846"/>
      <c r="G707" s="846"/>
      <c r="H707" s="846"/>
      <c r="I707" s="846"/>
      <c r="J707" s="846"/>
      <c r="K707" s="846"/>
      <c r="L707" s="846"/>
      <c r="M707" s="846"/>
      <c r="N707" s="846"/>
      <c r="O707" s="846"/>
      <c r="P707" s="846"/>
      <c r="Q707" s="846"/>
    </row>
    <row r="708" ht="15.0" customHeight="1">
      <c r="A708" s="1296"/>
      <c r="B708" s="846"/>
      <c r="C708" s="846"/>
      <c r="D708" s="846"/>
      <c r="E708" s="846"/>
      <c r="F708" s="846"/>
      <c r="G708" s="846"/>
      <c r="H708" s="846"/>
      <c r="I708" s="846"/>
      <c r="J708" s="846"/>
      <c r="K708" s="846"/>
      <c r="L708" s="846"/>
      <c r="M708" s="846"/>
      <c r="N708" s="846"/>
      <c r="O708" s="846"/>
      <c r="P708" s="846"/>
      <c r="Q708" s="846"/>
    </row>
    <row r="709" ht="15.0" customHeight="1">
      <c r="A709" s="1296"/>
      <c r="B709" s="846"/>
      <c r="C709" s="846"/>
      <c r="D709" s="846"/>
      <c r="E709" s="846"/>
      <c r="F709" s="846"/>
      <c r="G709" s="846"/>
      <c r="H709" s="846"/>
      <c r="I709" s="846"/>
      <c r="J709" s="846"/>
      <c r="K709" s="846"/>
      <c r="L709" s="846"/>
      <c r="M709" s="846"/>
      <c r="N709" s="846"/>
      <c r="O709" s="846"/>
      <c r="P709" s="846"/>
      <c r="Q709" s="846"/>
    </row>
    <row r="710" ht="15.0" customHeight="1">
      <c r="A710" s="1296"/>
      <c r="B710" s="846"/>
      <c r="C710" s="846"/>
      <c r="D710" s="846"/>
      <c r="E710" s="846"/>
      <c r="F710" s="846"/>
      <c r="G710" s="846"/>
      <c r="H710" s="846"/>
      <c r="I710" s="846"/>
      <c r="J710" s="846"/>
      <c r="K710" s="846"/>
      <c r="L710" s="846"/>
      <c r="M710" s="846"/>
      <c r="N710" s="846"/>
      <c r="O710" s="846"/>
      <c r="P710" s="846"/>
      <c r="Q710" s="846"/>
    </row>
    <row r="711" ht="15.0" customHeight="1">
      <c r="A711" s="1296"/>
      <c r="B711" s="846"/>
      <c r="C711" s="846"/>
      <c r="D711" s="846"/>
      <c r="E711" s="846"/>
      <c r="F711" s="846"/>
      <c r="G711" s="846"/>
      <c r="H711" s="846"/>
      <c r="I711" s="846"/>
      <c r="J711" s="846"/>
      <c r="K711" s="846"/>
      <c r="L711" s="846"/>
      <c r="M711" s="846"/>
      <c r="N711" s="846"/>
      <c r="O711" s="846"/>
      <c r="P711" s="846"/>
      <c r="Q711" s="846"/>
    </row>
    <row r="712" ht="15.0" customHeight="1">
      <c r="A712" s="1296"/>
      <c r="B712" s="846"/>
      <c r="C712" s="846"/>
      <c r="D712" s="846"/>
      <c r="E712" s="846"/>
      <c r="F712" s="846"/>
      <c r="G712" s="846"/>
      <c r="H712" s="846"/>
      <c r="I712" s="846"/>
      <c r="J712" s="846"/>
      <c r="K712" s="846"/>
      <c r="L712" s="846"/>
      <c r="M712" s="846"/>
      <c r="N712" s="846"/>
      <c r="O712" s="846"/>
      <c r="P712" s="846"/>
      <c r="Q712" s="846"/>
    </row>
    <row r="713" ht="15.0" customHeight="1">
      <c r="A713" s="1296"/>
      <c r="B713" s="846"/>
      <c r="C713" s="846"/>
      <c r="D713" s="846"/>
      <c r="E713" s="846"/>
      <c r="F713" s="846"/>
      <c r="G713" s="846"/>
      <c r="H713" s="846"/>
      <c r="I713" s="846"/>
      <c r="J713" s="846"/>
      <c r="K713" s="846"/>
      <c r="L713" s="846"/>
      <c r="M713" s="846"/>
      <c r="N713" s="846"/>
      <c r="O713" s="846"/>
      <c r="P713" s="846"/>
      <c r="Q713" s="846"/>
    </row>
    <row r="714" ht="15.0" customHeight="1">
      <c r="A714" s="1296"/>
      <c r="B714" s="846"/>
      <c r="C714" s="846"/>
      <c r="D714" s="846"/>
      <c r="E714" s="846"/>
      <c r="F714" s="846"/>
      <c r="G714" s="846"/>
      <c r="H714" s="846"/>
      <c r="I714" s="846"/>
      <c r="J714" s="846"/>
      <c r="K714" s="846"/>
      <c r="L714" s="846"/>
      <c r="M714" s="846"/>
      <c r="N714" s="846"/>
      <c r="O714" s="846"/>
      <c r="P714" s="846"/>
      <c r="Q714" s="846"/>
    </row>
    <row r="715" ht="15.0" customHeight="1">
      <c r="A715" s="1296"/>
      <c r="B715" s="846"/>
      <c r="C715" s="846"/>
      <c r="D715" s="846"/>
      <c r="E715" s="846"/>
      <c r="F715" s="846"/>
      <c r="G715" s="846"/>
      <c r="H715" s="846"/>
      <c r="I715" s="846"/>
      <c r="J715" s="846"/>
      <c r="K715" s="846"/>
      <c r="L715" s="846"/>
      <c r="M715" s="846"/>
      <c r="N715" s="846"/>
      <c r="O715" s="846"/>
      <c r="P715" s="846"/>
      <c r="Q715" s="846"/>
    </row>
    <row r="716" ht="15.0" customHeight="1">
      <c r="A716" s="1296"/>
      <c r="B716" s="846"/>
      <c r="C716" s="846"/>
      <c r="D716" s="846"/>
      <c r="E716" s="846"/>
      <c r="F716" s="846"/>
      <c r="G716" s="846"/>
      <c r="H716" s="846"/>
      <c r="I716" s="846"/>
      <c r="J716" s="846"/>
      <c r="K716" s="846"/>
      <c r="L716" s="846"/>
      <c r="M716" s="846"/>
      <c r="N716" s="846"/>
      <c r="O716" s="846"/>
      <c r="P716" s="846"/>
      <c r="Q716" s="846"/>
    </row>
    <row r="717" ht="15.0" customHeight="1">
      <c r="A717" s="1296"/>
      <c r="B717" s="846"/>
      <c r="C717" s="846"/>
      <c r="D717" s="846"/>
      <c r="E717" s="846"/>
      <c r="F717" s="846"/>
      <c r="G717" s="846"/>
      <c r="H717" s="846"/>
      <c r="I717" s="846"/>
      <c r="J717" s="846"/>
      <c r="K717" s="846"/>
      <c r="L717" s="846"/>
      <c r="M717" s="846"/>
      <c r="N717" s="846"/>
      <c r="O717" s="846"/>
      <c r="P717" s="846"/>
      <c r="Q717" s="846"/>
    </row>
    <row r="718" ht="15.0" customHeight="1">
      <c r="A718" s="1296"/>
      <c r="B718" s="846"/>
      <c r="C718" s="846"/>
      <c r="D718" s="846"/>
      <c r="E718" s="846"/>
      <c r="F718" s="846"/>
      <c r="G718" s="846"/>
      <c r="H718" s="846"/>
      <c r="I718" s="846"/>
      <c r="J718" s="846"/>
      <c r="K718" s="846"/>
      <c r="L718" s="846"/>
      <c r="M718" s="846"/>
      <c r="N718" s="846"/>
      <c r="O718" s="846"/>
      <c r="P718" s="846"/>
      <c r="Q718" s="846"/>
    </row>
    <row r="719" ht="15.0" customHeight="1">
      <c r="A719" s="1296"/>
      <c r="B719" s="846"/>
      <c r="C719" s="846"/>
      <c r="D719" s="846"/>
      <c r="E719" s="846"/>
      <c r="F719" s="846"/>
      <c r="G719" s="846"/>
      <c r="H719" s="846"/>
      <c r="I719" s="846"/>
      <c r="J719" s="846"/>
      <c r="K719" s="846"/>
      <c r="L719" s="846"/>
      <c r="M719" s="846"/>
      <c r="N719" s="846"/>
      <c r="O719" s="846"/>
      <c r="P719" s="846"/>
      <c r="Q719" s="846"/>
    </row>
    <row r="720" ht="15.0" customHeight="1">
      <c r="A720" s="1296"/>
      <c r="B720" s="846"/>
      <c r="C720" s="846"/>
      <c r="D720" s="846"/>
      <c r="E720" s="846"/>
      <c r="F720" s="846"/>
      <c r="G720" s="846"/>
      <c r="H720" s="846"/>
      <c r="I720" s="846"/>
      <c r="J720" s="846"/>
      <c r="K720" s="846"/>
      <c r="L720" s="846"/>
      <c r="M720" s="846"/>
      <c r="N720" s="846"/>
      <c r="O720" s="846"/>
      <c r="P720" s="846"/>
      <c r="Q720" s="846"/>
    </row>
    <row r="721" ht="15.0" customHeight="1">
      <c r="A721" s="1296"/>
      <c r="B721" s="846"/>
      <c r="C721" s="846"/>
      <c r="D721" s="846"/>
      <c r="E721" s="846"/>
      <c r="F721" s="846"/>
      <c r="G721" s="846"/>
      <c r="H721" s="846"/>
      <c r="I721" s="846"/>
      <c r="J721" s="846"/>
      <c r="K721" s="846"/>
      <c r="L721" s="846"/>
      <c r="M721" s="846"/>
      <c r="N721" s="846"/>
      <c r="O721" s="846"/>
      <c r="P721" s="846"/>
      <c r="Q721" s="846"/>
    </row>
    <row r="722" ht="15.0" customHeight="1">
      <c r="A722" s="1296"/>
      <c r="B722" s="846"/>
      <c r="C722" s="846"/>
      <c r="D722" s="846"/>
      <c r="E722" s="846"/>
      <c r="F722" s="846"/>
      <c r="G722" s="846"/>
      <c r="H722" s="846"/>
      <c r="I722" s="846"/>
      <c r="J722" s="846"/>
      <c r="K722" s="846"/>
      <c r="L722" s="846"/>
      <c r="M722" s="846"/>
      <c r="N722" s="846"/>
      <c r="O722" s="846"/>
      <c r="P722" s="846"/>
      <c r="Q722" s="846"/>
    </row>
    <row r="723" ht="15.0" customHeight="1">
      <c r="A723" s="1296"/>
      <c r="B723" s="846"/>
      <c r="C723" s="846"/>
      <c r="D723" s="846"/>
      <c r="E723" s="846"/>
      <c r="F723" s="846"/>
      <c r="G723" s="846"/>
      <c r="H723" s="846"/>
      <c r="I723" s="846"/>
      <c r="J723" s="846"/>
      <c r="K723" s="846"/>
      <c r="L723" s="846"/>
      <c r="M723" s="846"/>
      <c r="N723" s="846"/>
      <c r="O723" s="846"/>
      <c r="P723" s="846"/>
      <c r="Q723" s="846"/>
    </row>
    <row r="724" ht="15.0" customHeight="1">
      <c r="A724" s="1296"/>
      <c r="B724" s="846"/>
      <c r="C724" s="846"/>
      <c r="D724" s="846"/>
      <c r="E724" s="846"/>
      <c r="F724" s="846"/>
      <c r="G724" s="846"/>
      <c r="H724" s="846"/>
      <c r="I724" s="846"/>
      <c r="J724" s="846"/>
      <c r="K724" s="846"/>
      <c r="L724" s="846"/>
      <c r="M724" s="846"/>
      <c r="N724" s="846"/>
      <c r="O724" s="846"/>
      <c r="P724" s="846"/>
      <c r="Q724" s="846"/>
    </row>
    <row r="725" ht="15.0" customHeight="1">
      <c r="A725" s="1296"/>
      <c r="B725" s="846"/>
      <c r="C725" s="846"/>
      <c r="D725" s="846"/>
      <c r="E725" s="846"/>
      <c r="F725" s="846"/>
      <c r="G725" s="846"/>
      <c r="H725" s="846"/>
      <c r="I725" s="846"/>
      <c r="J725" s="846"/>
      <c r="K725" s="846"/>
      <c r="L725" s="846"/>
      <c r="M725" s="846"/>
      <c r="N725" s="846"/>
      <c r="O725" s="846"/>
      <c r="P725" s="846"/>
      <c r="Q725" s="846"/>
    </row>
    <row r="726" ht="15.0" customHeight="1">
      <c r="A726" s="1296"/>
      <c r="B726" s="846"/>
      <c r="C726" s="846"/>
      <c r="D726" s="846"/>
      <c r="E726" s="846"/>
      <c r="F726" s="846"/>
      <c r="G726" s="846"/>
      <c r="H726" s="846"/>
      <c r="I726" s="846"/>
      <c r="J726" s="846"/>
      <c r="K726" s="846"/>
      <c r="L726" s="846"/>
      <c r="M726" s="846"/>
      <c r="N726" s="846"/>
      <c r="O726" s="846"/>
      <c r="P726" s="846"/>
      <c r="Q726" s="846"/>
    </row>
    <row r="727" ht="15.0" customHeight="1">
      <c r="A727" s="1296"/>
      <c r="B727" s="846"/>
      <c r="C727" s="846"/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</row>
    <row r="728" ht="15.0" customHeight="1">
      <c r="A728" s="1296"/>
      <c r="B728" s="846"/>
      <c r="C728" s="846"/>
      <c r="D728" s="846"/>
      <c r="E728" s="846"/>
      <c r="F728" s="846"/>
      <c r="G728" s="846"/>
      <c r="H728" s="846"/>
      <c r="I728" s="846"/>
      <c r="J728" s="846"/>
      <c r="K728" s="846"/>
      <c r="L728" s="846"/>
      <c r="M728" s="846"/>
      <c r="N728" s="846"/>
      <c r="O728" s="846"/>
      <c r="P728" s="846"/>
      <c r="Q728" s="846"/>
    </row>
    <row r="729" ht="15.0" customHeight="1">
      <c r="A729" s="1296"/>
      <c r="B729" s="846"/>
      <c r="C729" s="846"/>
      <c r="D729" s="846"/>
      <c r="E729" s="846"/>
      <c r="F729" s="846"/>
      <c r="G729" s="846"/>
      <c r="H729" s="846"/>
      <c r="I729" s="846"/>
      <c r="J729" s="846"/>
      <c r="K729" s="846"/>
      <c r="L729" s="846"/>
      <c r="M729" s="846"/>
      <c r="N729" s="846"/>
      <c r="O729" s="846"/>
      <c r="P729" s="846"/>
      <c r="Q729" s="846"/>
    </row>
    <row r="730" ht="15.0" customHeight="1">
      <c r="A730" s="1296"/>
      <c r="B730" s="846"/>
      <c r="C730" s="846"/>
      <c r="D730" s="846"/>
      <c r="E730" s="846"/>
      <c r="F730" s="846"/>
      <c r="G730" s="846"/>
      <c r="H730" s="846"/>
      <c r="I730" s="846"/>
      <c r="J730" s="846"/>
      <c r="K730" s="846"/>
      <c r="L730" s="846"/>
      <c r="M730" s="846"/>
      <c r="N730" s="846"/>
      <c r="O730" s="846"/>
      <c r="P730" s="846"/>
      <c r="Q730" s="846"/>
    </row>
    <row r="731" ht="15.0" customHeight="1">
      <c r="A731" s="1296"/>
      <c r="B731" s="846"/>
      <c r="C731" s="846"/>
      <c r="D731" s="846"/>
      <c r="E731" s="846"/>
      <c r="F731" s="846"/>
      <c r="G731" s="846"/>
      <c r="H731" s="846"/>
      <c r="I731" s="846"/>
      <c r="J731" s="846"/>
      <c r="K731" s="846"/>
      <c r="L731" s="846"/>
      <c r="M731" s="846"/>
      <c r="N731" s="846"/>
      <c r="O731" s="846"/>
      <c r="P731" s="846"/>
      <c r="Q731" s="846"/>
    </row>
    <row r="732" ht="15.0" customHeight="1">
      <c r="A732" s="1296"/>
      <c r="B732" s="846"/>
      <c r="C732" s="846"/>
      <c r="D732" s="846"/>
      <c r="E732" s="846"/>
      <c r="F732" s="846"/>
      <c r="G732" s="846"/>
      <c r="H732" s="846"/>
      <c r="I732" s="846"/>
      <c r="J732" s="846"/>
      <c r="K732" s="846"/>
      <c r="L732" s="846"/>
      <c r="M732" s="846"/>
      <c r="N732" s="846"/>
      <c r="O732" s="846"/>
      <c r="P732" s="846"/>
      <c r="Q732" s="846"/>
    </row>
    <row r="733" ht="15.0" customHeight="1">
      <c r="A733" s="1296"/>
      <c r="B733" s="846"/>
      <c r="C733" s="846"/>
      <c r="D733" s="846"/>
      <c r="E733" s="846"/>
      <c r="F733" s="846"/>
      <c r="G733" s="846"/>
      <c r="H733" s="846"/>
      <c r="I733" s="846"/>
      <c r="J733" s="846"/>
      <c r="K733" s="846"/>
      <c r="L733" s="846"/>
      <c r="M733" s="846"/>
      <c r="N733" s="846"/>
      <c r="O733" s="846"/>
      <c r="P733" s="846"/>
      <c r="Q733" s="846"/>
    </row>
    <row r="734" ht="15.0" customHeight="1">
      <c r="A734" s="1296"/>
      <c r="B734" s="846"/>
      <c r="C734" s="846"/>
      <c r="D734" s="846"/>
      <c r="E734" s="846"/>
      <c r="F734" s="846"/>
      <c r="G734" s="846"/>
      <c r="H734" s="846"/>
      <c r="I734" s="846"/>
      <c r="J734" s="846"/>
      <c r="K734" s="846"/>
      <c r="L734" s="846"/>
      <c r="M734" s="846"/>
      <c r="N734" s="846"/>
      <c r="O734" s="846"/>
      <c r="P734" s="846"/>
      <c r="Q734" s="846"/>
    </row>
    <row r="735" ht="15.0" customHeight="1">
      <c r="A735" s="1296"/>
      <c r="B735" s="846"/>
      <c r="C735" s="846"/>
      <c r="D735" s="846"/>
      <c r="E735" s="846"/>
      <c r="F735" s="846"/>
      <c r="G735" s="846"/>
      <c r="H735" s="846"/>
      <c r="I735" s="846"/>
      <c r="J735" s="846"/>
      <c r="K735" s="846"/>
      <c r="L735" s="846"/>
      <c r="M735" s="846"/>
      <c r="N735" s="846"/>
      <c r="O735" s="846"/>
      <c r="P735" s="846"/>
      <c r="Q735" s="846"/>
    </row>
    <row r="736" ht="15.0" customHeight="1">
      <c r="A736" s="1296"/>
      <c r="B736" s="846"/>
      <c r="C736" s="846"/>
      <c r="D736" s="846"/>
      <c r="E736" s="846"/>
      <c r="F736" s="846"/>
      <c r="G736" s="846"/>
      <c r="H736" s="846"/>
      <c r="I736" s="846"/>
      <c r="J736" s="846"/>
      <c r="K736" s="846"/>
      <c r="L736" s="846"/>
      <c r="M736" s="846"/>
      <c r="N736" s="846"/>
      <c r="O736" s="846"/>
      <c r="P736" s="846"/>
      <c r="Q736" s="846"/>
    </row>
    <row r="737" ht="15.0" customHeight="1">
      <c r="A737" s="1296"/>
      <c r="B737" s="846"/>
      <c r="C737" s="846"/>
      <c r="D737" s="846"/>
      <c r="E737" s="846"/>
      <c r="F737" s="846"/>
      <c r="G737" s="846"/>
      <c r="H737" s="846"/>
      <c r="I737" s="846"/>
      <c r="J737" s="846"/>
      <c r="K737" s="846"/>
      <c r="L737" s="846"/>
      <c r="M737" s="846"/>
      <c r="N737" s="846"/>
      <c r="O737" s="846"/>
      <c r="P737" s="846"/>
      <c r="Q737" s="846"/>
    </row>
    <row r="738" ht="15.0" customHeight="1">
      <c r="A738" s="1296"/>
      <c r="B738" s="846"/>
      <c r="C738" s="846"/>
      <c r="D738" s="846"/>
      <c r="E738" s="846"/>
      <c r="F738" s="846"/>
      <c r="G738" s="846"/>
      <c r="H738" s="846"/>
      <c r="I738" s="846"/>
      <c r="J738" s="846"/>
      <c r="K738" s="846"/>
      <c r="L738" s="846"/>
      <c r="M738" s="846"/>
      <c r="N738" s="846"/>
      <c r="O738" s="846"/>
      <c r="P738" s="846"/>
      <c r="Q738" s="846"/>
    </row>
    <row r="739" ht="15.0" customHeight="1">
      <c r="A739" s="1296"/>
      <c r="B739" s="846"/>
      <c r="C739" s="846"/>
      <c r="D739" s="846"/>
      <c r="E739" s="846"/>
      <c r="F739" s="846"/>
      <c r="G739" s="846"/>
      <c r="H739" s="846"/>
      <c r="I739" s="846"/>
      <c r="J739" s="846"/>
      <c r="K739" s="846"/>
      <c r="L739" s="846"/>
      <c r="M739" s="846"/>
      <c r="N739" s="846"/>
      <c r="O739" s="846"/>
      <c r="P739" s="846"/>
      <c r="Q739" s="846"/>
    </row>
    <row r="740" ht="15.0" customHeight="1">
      <c r="A740" s="1296"/>
      <c r="B740" s="846"/>
      <c r="C740" s="846"/>
      <c r="D740" s="846"/>
      <c r="E740" s="846"/>
      <c r="F740" s="846"/>
      <c r="G740" s="846"/>
      <c r="H740" s="846"/>
      <c r="I740" s="846"/>
      <c r="J740" s="846"/>
      <c r="K740" s="846"/>
      <c r="L740" s="846"/>
      <c r="M740" s="846"/>
      <c r="N740" s="846"/>
      <c r="O740" s="846"/>
      <c r="P740" s="846"/>
      <c r="Q740" s="846"/>
    </row>
    <row r="741" ht="15.0" customHeight="1">
      <c r="A741" s="1296"/>
      <c r="B741" s="846"/>
      <c r="C741" s="846"/>
      <c r="D741" s="846"/>
      <c r="E741" s="846"/>
      <c r="F741" s="846"/>
      <c r="G741" s="846"/>
      <c r="H741" s="846"/>
      <c r="I741" s="846"/>
      <c r="J741" s="846"/>
      <c r="K741" s="846"/>
      <c r="L741" s="846"/>
      <c r="M741" s="846"/>
      <c r="N741" s="846"/>
      <c r="O741" s="846"/>
      <c r="P741" s="846"/>
      <c r="Q741" s="846"/>
    </row>
    <row r="742" ht="15.0" customHeight="1">
      <c r="A742" s="1296"/>
      <c r="B742" s="846"/>
      <c r="C742" s="846"/>
      <c r="D742" s="846"/>
      <c r="E742" s="846"/>
      <c r="F742" s="846"/>
      <c r="G742" s="846"/>
      <c r="H742" s="846"/>
      <c r="I742" s="846"/>
      <c r="J742" s="846"/>
      <c r="K742" s="846"/>
      <c r="L742" s="846"/>
      <c r="M742" s="846"/>
      <c r="N742" s="846"/>
      <c r="O742" s="846"/>
      <c r="P742" s="846"/>
      <c r="Q742" s="846"/>
    </row>
    <row r="743" ht="15.0" customHeight="1">
      <c r="A743" s="1296"/>
      <c r="B743" s="846"/>
      <c r="C743" s="846"/>
      <c r="D743" s="846"/>
      <c r="E743" s="846"/>
      <c r="F743" s="846"/>
      <c r="G743" s="846"/>
      <c r="H743" s="846"/>
      <c r="I743" s="846"/>
      <c r="J743" s="846"/>
      <c r="K743" s="846"/>
      <c r="L743" s="846"/>
      <c r="M743" s="846"/>
      <c r="N743" s="846"/>
      <c r="O743" s="846"/>
      <c r="P743" s="846"/>
      <c r="Q743" s="846"/>
    </row>
    <row r="744" ht="15.0" customHeight="1">
      <c r="A744" s="1296"/>
      <c r="B744" s="846"/>
      <c r="C744" s="846"/>
      <c r="D744" s="846"/>
      <c r="E744" s="846"/>
      <c r="F744" s="846"/>
      <c r="G744" s="846"/>
      <c r="H744" s="846"/>
      <c r="I744" s="846"/>
      <c r="J744" s="846"/>
      <c r="K744" s="846"/>
      <c r="L744" s="846"/>
      <c r="M744" s="846"/>
      <c r="N744" s="846"/>
      <c r="O744" s="846"/>
      <c r="P744" s="846"/>
      <c r="Q744" s="846"/>
    </row>
    <row r="745" ht="15.0" customHeight="1">
      <c r="A745" s="1296"/>
      <c r="B745" s="846"/>
      <c r="C745" s="846"/>
      <c r="D745" s="846"/>
      <c r="E745" s="846"/>
      <c r="F745" s="846"/>
      <c r="G745" s="846"/>
      <c r="H745" s="846"/>
      <c r="I745" s="846"/>
      <c r="J745" s="846"/>
      <c r="K745" s="846"/>
      <c r="L745" s="846"/>
      <c r="M745" s="846"/>
      <c r="N745" s="846"/>
      <c r="O745" s="846"/>
      <c r="P745" s="846"/>
      <c r="Q745" s="846"/>
    </row>
    <row r="746" ht="15.0" customHeight="1">
      <c r="A746" s="1296"/>
      <c r="B746" s="846"/>
      <c r="C746" s="846"/>
      <c r="D746" s="846"/>
      <c r="E746" s="846"/>
      <c r="F746" s="846"/>
      <c r="G746" s="846"/>
      <c r="H746" s="846"/>
      <c r="I746" s="846"/>
      <c r="J746" s="846"/>
      <c r="K746" s="846"/>
      <c r="L746" s="846"/>
      <c r="M746" s="846"/>
      <c r="N746" s="846"/>
      <c r="O746" s="846"/>
      <c r="P746" s="846"/>
      <c r="Q746" s="846"/>
    </row>
    <row r="747" ht="15.0" customHeight="1">
      <c r="A747" s="1296"/>
      <c r="B747" s="846"/>
      <c r="C747" s="846"/>
      <c r="D747" s="846"/>
      <c r="E747" s="846"/>
      <c r="F747" s="846"/>
      <c r="G747" s="846"/>
      <c r="H747" s="846"/>
      <c r="I747" s="846"/>
      <c r="J747" s="846"/>
      <c r="K747" s="846"/>
      <c r="L747" s="846"/>
      <c r="M747" s="846"/>
      <c r="N747" s="846"/>
      <c r="O747" s="846"/>
      <c r="P747" s="846"/>
      <c r="Q747" s="846"/>
    </row>
    <row r="748" ht="15.0" customHeight="1">
      <c r="A748" s="1296"/>
      <c r="B748" s="846"/>
      <c r="C748" s="846"/>
      <c r="D748" s="846"/>
      <c r="E748" s="846"/>
      <c r="F748" s="846"/>
      <c r="G748" s="846"/>
      <c r="H748" s="846"/>
      <c r="I748" s="846"/>
      <c r="J748" s="846"/>
      <c r="K748" s="846"/>
      <c r="L748" s="846"/>
      <c r="M748" s="846"/>
      <c r="N748" s="846"/>
      <c r="O748" s="846"/>
      <c r="P748" s="846"/>
      <c r="Q748" s="846"/>
    </row>
    <row r="749" ht="15.0" customHeight="1">
      <c r="A749" s="1296"/>
      <c r="B749" s="846"/>
      <c r="C749" s="846"/>
      <c r="D749" s="846"/>
      <c r="E749" s="846"/>
      <c r="F749" s="846"/>
      <c r="G749" s="846"/>
      <c r="H749" s="846"/>
      <c r="I749" s="846"/>
      <c r="J749" s="846"/>
      <c r="K749" s="846"/>
      <c r="L749" s="846"/>
      <c r="M749" s="846"/>
      <c r="N749" s="846"/>
      <c r="O749" s="846"/>
      <c r="P749" s="846"/>
      <c r="Q749" s="846"/>
    </row>
    <row r="750" ht="15.0" customHeight="1">
      <c r="A750" s="1296"/>
      <c r="B750" s="846"/>
      <c r="C750" s="846"/>
      <c r="D750" s="846"/>
      <c r="E750" s="846"/>
      <c r="F750" s="846"/>
      <c r="G750" s="846"/>
      <c r="H750" s="846"/>
      <c r="I750" s="846"/>
      <c r="J750" s="846"/>
      <c r="K750" s="846"/>
      <c r="L750" s="846"/>
      <c r="M750" s="846"/>
      <c r="N750" s="846"/>
      <c r="O750" s="846"/>
      <c r="P750" s="846"/>
      <c r="Q750" s="846"/>
    </row>
    <row r="751" ht="15.0" customHeight="1">
      <c r="A751" s="1296"/>
      <c r="B751" s="846"/>
      <c r="C751" s="846"/>
      <c r="D751" s="846"/>
      <c r="E751" s="846"/>
      <c r="F751" s="846"/>
      <c r="G751" s="846"/>
      <c r="H751" s="846"/>
      <c r="I751" s="846"/>
      <c r="J751" s="846"/>
      <c r="K751" s="846"/>
      <c r="L751" s="846"/>
      <c r="M751" s="846"/>
      <c r="N751" s="846"/>
      <c r="O751" s="846"/>
      <c r="P751" s="846"/>
      <c r="Q751" s="846"/>
    </row>
    <row r="752" ht="15.0" customHeight="1">
      <c r="A752" s="1296"/>
      <c r="B752" s="846"/>
      <c r="C752" s="846"/>
      <c r="D752" s="846"/>
      <c r="E752" s="846"/>
      <c r="F752" s="846"/>
      <c r="G752" s="846"/>
      <c r="H752" s="846"/>
      <c r="I752" s="846"/>
      <c r="J752" s="846"/>
      <c r="K752" s="846"/>
      <c r="L752" s="846"/>
      <c r="M752" s="846"/>
      <c r="N752" s="846"/>
      <c r="O752" s="846"/>
      <c r="P752" s="846"/>
      <c r="Q752" s="846"/>
    </row>
    <row r="753" ht="15.0" customHeight="1">
      <c r="A753" s="1296"/>
      <c r="B753" s="846"/>
      <c r="C753" s="846"/>
      <c r="D753" s="846"/>
      <c r="E753" s="846"/>
      <c r="F753" s="846"/>
      <c r="G753" s="846"/>
      <c r="H753" s="846"/>
      <c r="I753" s="846"/>
      <c r="J753" s="846"/>
      <c r="K753" s="846"/>
      <c r="L753" s="846"/>
      <c r="M753" s="846"/>
      <c r="N753" s="846"/>
      <c r="O753" s="846"/>
      <c r="P753" s="846"/>
      <c r="Q753" s="846"/>
    </row>
    <row r="754" ht="15.0" customHeight="1">
      <c r="A754" s="1296"/>
      <c r="B754" s="846"/>
      <c r="C754" s="846"/>
      <c r="D754" s="846"/>
      <c r="E754" s="846"/>
      <c r="F754" s="846"/>
      <c r="G754" s="846"/>
      <c r="H754" s="846"/>
      <c r="I754" s="846"/>
      <c r="J754" s="846"/>
      <c r="K754" s="846"/>
      <c r="L754" s="846"/>
      <c r="M754" s="846"/>
      <c r="N754" s="846"/>
      <c r="O754" s="846"/>
      <c r="P754" s="846"/>
      <c r="Q754" s="846"/>
    </row>
    <row r="755" ht="15.0" customHeight="1">
      <c r="A755" s="1296"/>
      <c r="B755" s="846"/>
      <c r="C755" s="846"/>
      <c r="D755" s="846"/>
      <c r="E755" s="846"/>
      <c r="F755" s="846"/>
      <c r="G755" s="846"/>
      <c r="H755" s="846"/>
      <c r="I755" s="846"/>
      <c r="J755" s="846"/>
      <c r="K755" s="846"/>
      <c r="L755" s="846"/>
      <c r="M755" s="846"/>
      <c r="N755" s="846"/>
      <c r="O755" s="846"/>
      <c r="P755" s="846"/>
      <c r="Q755" s="846"/>
    </row>
    <row r="756" ht="15.0" customHeight="1">
      <c r="A756" s="1296"/>
      <c r="B756" s="846"/>
      <c r="C756" s="846"/>
      <c r="D756" s="846"/>
      <c r="E756" s="846"/>
      <c r="F756" s="846"/>
      <c r="G756" s="846"/>
      <c r="H756" s="846"/>
      <c r="I756" s="846"/>
      <c r="J756" s="846"/>
      <c r="K756" s="846"/>
      <c r="L756" s="846"/>
      <c r="M756" s="846"/>
      <c r="N756" s="846"/>
      <c r="O756" s="846"/>
      <c r="P756" s="846"/>
      <c r="Q756" s="846"/>
    </row>
    <row r="757" ht="15.0" customHeight="1">
      <c r="A757" s="1296"/>
      <c r="B757" s="846"/>
      <c r="C757" s="846"/>
      <c r="D757" s="846"/>
      <c r="E757" s="846"/>
      <c r="F757" s="846"/>
      <c r="G757" s="846"/>
      <c r="H757" s="846"/>
      <c r="I757" s="846"/>
      <c r="J757" s="846"/>
      <c r="K757" s="846"/>
      <c r="L757" s="846"/>
      <c r="M757" s="846"/>
      <c r="N757" s="846"/>
      <c r="O757" s="846"/>
      <c r="P757" s="846"/>
      <c r="Q757" s="846"/>
    </row>
    <row r="758" ht="15.0" customHeight="1">
      <c r="A758" s="1296"/>
      <c r="B758" s="846"/>
      <c r="C758" s="846"/>
      <c r="D758" s="846"/>
      <c r="E758" s="846"/>
      <c r="F758" s="846"/>
      <c r="G758" s="846"/>
      <c r="H758" s="846"/>
      <c r="I758" s="846"/>
      <c r="J758" s="846"/>
      <c r="K758" s="846"/>
      <c r="L758" s="846"/>
      <c r="M758" s="846"/>
      <c r="N758" s="846"/>
      <c r="O758" s="846"/>
      <c r="P758" s="846"/>
      <c r="Q758" s="846"/>
    </row>
    <row r="759" ht="15.0" customHeight="1">
      <c r="A759" s="1296"/>
      <c r="B759" s="846"/>
      <c r="C759" s="846"/>
      <c r="D759" s="846"/>
      <c r="E759" s="846"/>
      <c r="F759" s="846"/>
      <c r="G759" s="846"/>
      <c r="H759" s="846"/>
      <c r="I759" s="846"/>
      <c r="J759" s="846"/>
      <c r="K759" s="846"/>
      <c r="L759" s="846"/>
      <c r="M759" s="846"/>
      <c r="N759" s="846"/>
      <c r="O759" s="846"/>
      <c r="P759" s="846"/>
      <c r="Q759" s="846"/>
    </row>
    <row r="760" ht="15.0" customHeight="1">
      <c r="A760" s="1296"/>
      <c r="B760" s="846"/>
      <c r="C760" s="846"/>
      <c r="D760" s="846"/>
      <c r="E760" s="846"/>
      <c r="F760" s="846"/>
      <c r="G760" s="846"/>
      <c r="H760" s="846"/>
      <c r="I760" s="846"/>
      <c r="J760" s="846"/>
      <c r="K760" s="846"/>
      <c r="L760" s="846"/>
      <c r="M760" s="846"/>
      <c r="N760" s="846"/>
      <c r="O760" s="846"/>
      <c r="P760" s="846"/>
      <c r="Q760" s="846"/>
    </row>
    <row r="761" ht="15.0" customHeight="1">
      <c r="A761" s="1296"/>
      <c r="B761" s="846"/>
      <c r="C761" s="846"/>
      <c r="D761" s="846"/>
      <c r="E761" s="846"/>
      <c r="F761" s="846"/>
      <c r="G761" s="846"/>
      <c r="H761" s="846"/>
      <c r="I761" s="846"/>
      <c r="J761" s="846"/>
      <c r="K761" s="846"/>
      <c r="L761" s="846"/>
      <c r="M761" s="846"/>
      <c r="N761" s="846"/>
      <c r="O761" s="846"/>
      <c r="P761" s="846"/>
      <c r="Q761" s="846"/>
    </row>
    <row r="762" ht="15.0" customHeight="1">
      <c r="A762" s="1296"/>
      <c r="B762" s="846"/>
      <c r="C762" s="846"/>
      <c r="D762" s="846"/>
      <c r="E762" s="846"/>
      <c r="F762" s="846"/>
      <c r="G762" s="846"/>
      <c r="H762" s="846"/>
      <c r="I762" s="846"/>
      <c r="J762" s="846"/>
      <c r="K762" s="846"/>
      <c r="L762" s="846"/>
      <c r="M762" s="846"/>
      <c r="N762" s="846"/>
      <c r="O762" s="846"/>
      <c r="P762" s="846"/>
      <c r="Q762" s="846"/>
    </row>
    <row r="763" ht="15.0" customHeight="1">
      <c r="A763" s="1296"/>
      <c r="B763" s="846"/>
      <c r="C763" s="846"/>
      <c r="D763" s="846"/>
      <c r="E763" s="846"/>
      <c r="F763" s="846"/>
      <c r="G763" s="846"/>
      <c r="H763" s="846"/>
      <c r="I763" s="846"/>
      <c r="J763" s="846"/>
      <c r="K763" s="846"/>
      <c r="L763" s="846"/>
      <c r="M763" s="846"/>
      <c r="N763" s="846"/>
      <c r="O763" s="846"/>
      <c r="P763" s="846"/>
      <c r="Q763" s="846"/>
    </row>
    <row r="764" ht="15.0" customHeight="1">
      <c r="A764" s="1296"/>
      <c r="B764" s="846"/>
      <c r="C764" s="846"/>
      <c r="D764" s="846"/>
      <c r="E764" s="846"/>
      <c r="F764" s="846"/>
      <c r="G764" s="846"/>
      <c r="H764" s="846"/>
      <c r="I764" s="846"/>
      <c r="J764" s="846"/>
      <c r="K764" s="846"/>
      <c r="L764" s="846"/>
      <c r="M764" s="846"/>
      <c r="N764" s="846"/>
      <c r="O764" s="846"/>
      <c r="P764" s="846"/>
      <c r="Q764" s="846"/>
    </row>
    <row r="765" ht="15.0" customHeight="1">
      <c r="A765" s="1296"/>
      <c r="B765" s="846"/>
      <c r="C765" s="846"/>
      <c r="D765" s="846"/>
      <c r="E765" s="846"/>
      <c r="F765" s="846"/>
      <c r="G765" s="846"/>
      <c r="H765" s="846"/>
      <c r="I765" s="846"/>
      <c r="J765" s="846"/>
      <c r="K765" s="846"/>
      <c r="L765" s="846"/>
      <c r="M765" s="846"/>
      <c r="N765" s="846"/>
      <c r="O765" s="846"/>
      <c r="P765" s="846"/>
      <c r="Q765" s="846"/>
    </row>
    <row r="766" ht="15.0" customHeight="1">
      <c r="A766" s="1296"/>
      <c r="B766" s="846"/>
      <c r="C766" s="846"/>
      <c r="D766" s="846"/>
      <c r="E766" s="846"/>
      <c r="F766" s="846"/>
      <c r="G766" s="846"/>
      <c r="H766" s="846"/>
      <c r="I766" s="846"/>
      <c r="J766" s="846"/>
      <c r="K766" s="846"/>
      <c r="L766" s="846"/>
      <c r="M766" s="846"/>
      <c r="N766" s="846"/>
      <c r="O766" s="846"/>
      <c r="P766" s="846"/>
      <c r="Q766" s="846"/>
    </row>
    <row r="767" ht="15.0" customHeight="1">
      <c r="A767" s="1296"/>
      <c r="B767" s="846"/>
      <c r="C767" s="846"/>
      <c r="D767" s="846"/>
      <c r="E767" s="846"/>
      <c r="F767" s="846"/>
      <c r="G767" s="846"/>
      <c r="H767" s="846"/>
      <c r="I767" s="846"/>
      <c r="J767" s="846"/>
      <c r="K767" s="846"/>
      <c r="L767" s="846"/>
      <c r="M767" s="846"/>
      <c r="N767" s="846"/>
      <c r="O767" s="846"/>
      <c r="P767" s="846"/>
      <c r="Q767" s="846"/>
    </row>
    <row r="768" ht="15.0" customHeight="1">
      <c r="A768" s="1296"/>
      <c r="B768" s="846"/>
      <c r="C768" s="846"/>
      <c r="D768" s="846"/>
      <c r="E768" s="846"/>
      <c r="F768" s="846"/>
      <c r="G768" s="846"/>
      <c r="H768" s="846"/>
      <c r="I768" s="846"/>
      <c r="J768" s="846"/>
      <c r="K768" s="846"/>
      <c r="L768" s="846"/>
      <c r="M768" s="846"/>
      <c r="N768" s="846"/>
      <c r="O768" s="846"/>
      <c r="P768" s="846"/>
      <c r="Q768" s="846"/>
    </row>
    <row r="769" ht="15.0" customHeight="1">
      <c r="A769" s="1296"/>
      <c r="B769" s="846"/>
      <c r="C769" s="846"/>
      <c r="D769" s="846"/>
      <c r="E769" s="846"/>
      <c r="F769" s="846"/>
      <c r="G769" s="846"/>
      <c r="H769" s="846"/>
      <c r="I769" s="846"/>
      <c r="J769" s="846"/>
      <c r="K769" s="846"/>
      <c r="L769" s="846"/>
      <c r="M769" s="846"/>
      <c r="N769" s="846"/>
      <c r="O769" s="846"/>
      <c r="P769" s="846"/>
      <c r="Q769" s="846"/>
    </row>
    <row r="770" ht="15.0" customHeight="1">
      <c r="A770" s="1296"/>
      <c r="B770" s="846"/>
      <c r="C770" s="846"/>
      <c r="D770" s="846"/>
      <c r="E770" s="846"/>
      <c r="F770" s="846"/>
      <c r="G770" s="846"/>
      <c r="H770" s="846"/>
      <c r="I770" s="846"/>
      <c r="J770" s="846"/>
      <c r="K770" s="846"/>
      <c r="L770" s="846"/>
      <c r="M770" s="846"/>
      <c r="N770" s="846"/>
      <c r="O770" s="846"/>
      <c r="P770" s="846"/>
      <c r="Q770" s="846"/>
    </row>
    <row r="771" ht="15.0" customHeight="1">
      <c r="A771" s="1296"/>
      <c r="B771" s="846"/>
      <c r="C771" s="846"/>
      <c r="D771" s="846"/>
      <c r="E771" s="846"/>
      <c r="F771" s="846"/>
      <c r="G771" s="846"/>
      <c r="H771" s="846"/>
      <c r="I771" s="846"/>
      <c r="J771" s="846"/>
      <c r="K771" s="846"/>
      <c r="L771" s="846"/>
      <c r="M771" s="846"/>
      <c r="N771" s="846"/>
      <c r="O771" s="846"/>
      <c r="P771" s="846"/>
      <c r="Q771" s="846"/>
    </row>
    <row r="772" ht="15.0" customHeight="1">
      <c r="A772" s="1296"/>
      <c r="B772" s="846"/>
      <c r="C772" s="846"/>
      <c r="D772" s="846"/>
      <c r="E772" s="846"/>
      <c r="F772" s="846"/>
      <c r="G772" s="846"/>
      <c r="H772" s="846"/>
      <c r="I772" s="846"/>
      <c r="J772" s="846"/>
      <c r="K772" s="846"/>
      <c r="L772" s="846"/>
      <c r="M772" s="846"/>
      <c r="N772" s="846"/>
      <c r="O772" s="846"/>
      <c r="P772" s="846"/>
      <c r="Q772" s="846"/>
    </row>
    <row r="773" ht="15.0" customHeight="1">
      <c r="A773" s="1296"/>
      <c r="B773" s="846"/>
      <c r="C773" s="846"/>
      <c r="D773" s="846"/>
      <c r="E773" s="846"/>
      <c r="F773" s="846"/>
      <c r="G773" s="846"/>
      <c r="H773" s="846"/>
      <c r="I773" s="846"/>
      <c r="J773" s="846"/>
      <c r="K773" s="846"/>
      <c r="L773" s="846"/>
      <c r="M773" s="846"/>
      <c r="N773" s="846"/>
      <c r="O773" s="846"/>
      <c r="P773" s="846"/>
      <c r="Q773" s="846"/>
    </row>
    <row r="774" ht="15.0" customHeight="1">
      <c r="A774" s="1296"/>
      <c r="B774" s="846"/>
      <c r="C774" s="846"/>
      <c r="D774" s="846"/>
      <c r="E774" s="846"/>
      <c r="F774" s="846"/>
      <c r="G774" s="846"/>
      <c r="H774" s="846"/>
      <c r="I774" s="846"/>
      <c r="J774" s="846"/>
      <c r="K774" s="846"/>
      <c r="L774" s="846"/>
      <c r="M774" s="846"/>
      <c r="N774" s="846"/>
      <c r="O774" s="846"/>
      <c r="P774" s="846"/>
      <c r="Q774" s="846"/>
    </row>
    <row r="775" ht="15.0" customHeight="1">
      <c r="A775" s="1296"/>
      <c r="B775" s="846"/>
      <c r="C775" s="846"/>
      <c r="D775" s="846"/>
      <c r="E775" s="846"/>
      <c r="F775" s="846"/>
      <c r="G775" s="846"/>
      <c r="H775" s="846"/>
      <c r="I775" s="846"/>
      <c r="J775" s="846"/>
      <c r="K775" s="846"/>
      <c r="L775" s="846"/>
      <c r="M775" s="846"/>
      <c r="N775" s="846"/>
      <c r="O775" s="846"/>
      <c r="P775" s="846"/>
      <c r="Q775" s="846"/>
    </row>
    <row r="776" ht="15.0" customHeight="1">
      <c r="A776" s="1296"/>
      <c r="B776" s="846"/>
      <c r="C776" s="846"/>
      <c r="D776" s="846"/>
      <c r="E776" s="846"/>
      <c r="F776" s="846"/>
      <c r="G776" s="846"/>
      <c r="H776" s="846"/>
      <c r="I776" s="846"/>
      <c r="J776" s="846"/>
      <c r="K776" s="846"/>
      <c r="L776" s="846"/>
      <c r="M776" s="846"/>
      <c r="N776" s="846"/>
      <c r="O776" s="846"/>
      <c r="P776" s="846"/>
      <c r="Q776" s="846"/>
    </row>
    <row r="777" ht="15.0" customHeight="1">
      <c r="A777" s="1296"/>
      <c r="B777" s="846"/>
      <c r="C777" s="846"/>
      <c r="D777" s="846"/>
      <c r="E777" s="846"/>
      <c r="F777" s="846"/>
      <c r="G777" s="846"/>
      <c r="H777" s="846"/>
      <c r="I777" s="846"/>
      <c r="J777" s="846"/>
      <c r="K777" s="846"/>
      <c r="L777" s="846"/>
      <c r="M777" s="846"/>
      <c r="N777" s="846"/>
      <c r="O777" s="846"/>
      <c r="P777" s="846"/>
      <c r="Q777" s="846"/>
    </row>
    <row r="778" ht="15.0" customHeight="1">
      <c r="A778" s="1296"/>
      <c r="B778" s="846"/>
      <c r="C778" s="846"/>
      <c r="D778" s="846"/>
      <c r="E778" s="846"/>
      <c r="F778" s="846"/>
      <c r="G778" s="846"/>
      <c r="H778" s="846"/>
      <c r="I778" s="846"/>
      <c r="J778" s="846"/>
      <c r="K778" s="846"/>
      <c r="L778" s="846"/>
      <c r="M778" s="846"/>
      <c r="N778" s="846"/>
      <c r="O778" s="846"/>
      <c r="P778" s="846"/>
      <c r="Q778" s="846"/>
    </row>
    <row r="779" ht="15.0" customHeight="1">
      <c r="A779" s="1296"/>
      <c r="B779" s="846"/>
      <c r="C779" s="846"/>
      <c r="D779" s="846"/>
      <c r="E779" s="846"/>
      <c r="F779" s="846"/>
      <c r="G779" s="846"/>
      <c r="H779" s="846"/>
      <c r="I779" s="846"/>
      <c r="J779" s="846"/>
      <c r="K779" s="846"/>
      <c r="L779" s="846"/>
      <c r="M779" s="846"/>
      <c r="N779" s="846"/>
      <c r="O779" s="846"/>
      <c r="P779" s="846"/>
      <c r="Q779" s="846"/>
    </row>
    <row r="780" ht="15.0" customHeight="1">
      <c r="A780" s="1296"/>
      <c r="B780" s="846"/>
      <c r="C780" s="846"/>
      <c r="D780" s="846"/>
      <c r="E780" s="846"/>
      <c r="F780" s="846"/>
      <c r="G780" s="846"/>
      <c r="H780" s="846"/>
      <c r="I780" s="846"/>
      <c r="J780" s="846"/>
      <c r="K780" s="846"/>
      <c r="L780" s="846"/>
      <c r="M780" s="846"/>
      <c r="N780" s="846"/>
      <c r="O780" s="846"/>
      <c r="P780" s="846"/>
      <c r="Q780" s="846"/>
    </row>
    <row r="781" ht="15.0" customHeight="1">
      <c r="A781" s="1296"/>
      <c r="B781" s="846"/>
      <c r="C781" s="846"/>
      <c r="D781" s="846"/>
      <c r="E781" s="846"/>
      <c r="F781" s="846"/>
      <c r="G781" s="846"/>
      <c r="H781" s="846"/>
      <c r="I781" s="846"/>
      <c r="J781" s="846"/>
      <c r="K781" s="846"/>
      <c r="L781" s="846"/>
      <c r="M781" s="846"/>
      <c r="N781" s="846"/>
      <c r="O781" s="846"/>
      <c r="P781" s="846"/>
      <c r="Q781" s="846"/>
    </row>
    <row r="782" ht="15.0" customHeight="1">
      <c r="A782" s="1296"/>
      <c r="B782" s="846"/>
      <c r="C782" s="846"/>
      <c r="D782" s="846"/>
      <c r="E782" s="846"/>
      <c r="F782" s="846"/>
      <c r="G782" s="846"/>
      <c r="H782" s="846"/>
      <c r="I782" s="846"/>
      <c r="J782" s="846"/>
      <c r="K782" s="846"/>
      <c r="L782" s="846"/>
      <c r="M782" s="846"/>
      <c r="N782" s="846"/>
      <c r="O782" s="846"/>
      <c r="P782" s="846"/>
      <c r="Q782" s="846"/>
    </row>
    <row r="783" ht="15.0" customHeight="1">
      <c r="A783" s="1296"/>
      <c r="B783" s="846"/>
      <c r="C783" s="846"/>
      <c r="D783" s="846"/>
      <c r="E783" s="846"/>
      <c r="F783" s="846"/>
      <c r="G783" s="846"/>
      <c r="H783" s="846"/>
      <c r="I783" s="846"/>
      <c r="J783" s="846"/>
      <c r="K783" s="846"/>
      <c r="L783" s="846"/>
      <c r="M783" s="846"/>
      <c r="N783" s="846"/>
      <c r="O783" s="846"/>
      <c r="P783" s="846"/>
      <c r="Q783" s="846"/>
    </row>
    <row r="784" ht="15.0" customHeight="1">
      <c r="A784" s="1296"/>
      <c r="B784" s="846"/>
      <c r="C784" s="846"/>
      <c r="D784" s="846"/>
      <c r="E784" s="846"/>
      <c r="F784" s="846"/>
      <c r="G784" s="846"/>
      <c r="H784" s="846"/>
      <c r="I784" s="846"/>
      <c r="J784" s="846"/>
      <c r="K784" s="846"/>
      <c r="L784" s="846"/>
      <c r="M784" s="846"/>
      <c r="N784" s="846"/>
      <c r="O784" s="846"/>
      <c r="P784" s="846"/>
      <c r="Q784" s="846"/>
    </row>
    <row r="785" ht="15.0" customHeight="1">
      <c r="A785" s="1296"/>
      <c r="B785" s="846"/>
      <c r="C785" s="846"/>
      <c r="D785" s="846"/>
      <c r="E785" s="846"/>
      <c r="F785" s="846"/>
      <c r="G785" s="846"/>
      <c r="H785" s="846"/>
      <c r="I785" s="846"/>
      <c r="J785" s="846"/>
      <c r="K785" s="846"/>
      <c r="L785" s="846"/>
      <c r="M785" s="846"/>
      <c r="N785" s="846"/>
      <c r="O785" s="846"/>
      <c r="P785" s="846"/>
      <c r="Q785" s="846"/>
    </row>
    <row r="786" ht="15.0" customHeight="1">
      <c r="A786" s="1296"/>
      <c r="B786" s="846"/>
      <c r="C786" s="846"/>
      <c r="D786" s="846"/>
      <c r="E786" s="846"/>
      <c r="F786" s="846"/>
      <c r="G786" s="846"/>
      <c r="H786" s="846"/>
      <c r="I786" s="846"/>
      <c r="J786" s="846"/>
      <c r="K786" s="846"/>
      <c r="L786" s="846"/>
      <c r="M786" s="846"/>
      <c r="N786" s="846"/>
      <c r="O786" s="846"/>
      <c r="P786" s="846"/>
      <c r="Q786" s="846"/>
    </row>
    <row r="787" ht="15.0" customHeight="1">
      <c r="A787" s="1296"/>
      <c r="B787" s="846"/>
      <c r="C787" s="846"/>
      <c r="D787" s="846"/>
      <c r="E787" s="846"/>
      <c r="F787" s="846"/>
      <c r="G787" s="846"/>
      <c r="H787" s="846"/>
      <c r="I787" s="846"/>
      <c r="J787" s="846"/>
      <c r="K787" s="846"/>
      <c r="L787" s="846"/>
      <c r="M787" s="846"/>
      <c r="N787" s="846"/>
      <c r="O787" s="846"/>
      <c r="P787" s="846"/>
      <c r="Q787" s="846"/>
    </row>
    <row r="788" ht="15.0" customHeight="1">
      <c r="A788" s="1296"/>
      <c r="B788" s="846"/>
      <c r="C788" s="846"/>
      <c r="D788" s="846"/>
      <c r="E788" s="846"/>
      <c r="F788" s="846"/>
      <c r="G788" s="846"/>
      <c r="H788" s="846"/>
      <c r="I788" s="846"/>
      <c r="J788" s="846"/>
      <c r="K788" s="846"/>
      <c r="L788" s="846"/>
      <c r="M788" s="846"/>
      <c r="N788" s="846"/>
      <c r="O788" s="846"/>
      <c r="P788" s="846"/>
      <c r="Q788" s="846"/>
    </row>
    <row r="789" ht="15.0" customHeight="1">
      <c r="A789" s="1296"/>
      <c r="B789" s="846"/>
      <c r="C789" s="846"/>
      <c r="D789" s="846"/>
      <c r="E789" s="846"/>
      <c r="F789" s="846"/>
      <c r="G789" s="846"/>
      <c r="H789" s="846"/>
      <c r="I789" s="846"/>
      <c r="J789" s="846"/>
      <c r="K789" s="846"/>
      <c r="L789" s="846"/>
      <c r="M789" s="846"/>
      <c r="N789" s="846"/>
      <c r="O789" s="846"/>
      <c r="P789" s="846"/>
      <c r="Q789" s="846"/>
    </row>
    <row r="790" ht="15.0" customHeight="1">
      <c r="A790" s="1296"/>
      <c r="B790" s="846"/>
      <c r="C790" s="846"/>
      <c r="D790" s="846"/>
      <c r="E790" s="846"/>
      <c r="F790" s="846"/>
      <c r="G790" s="846"/>
      <c r="H790" s="846"/>
      <c r="I790" s="846"/>
      <c r="J790" s="846"/>
      <c r="K790" s="846"/>
      <c r="L790" s="846"/>
      <c r="M790" s="846"/>
      <c r="N790" s="846"/>
      <c r="O790" s="846"/>
      <c r="P790" s="846"/>
      <c r="Q790" s="846"/>
    </row>
    <row r="791" ht="15.0" customHeight="1">
      <c r="A791" s="1296"/>
      <c r="B791" s="846"/>
      <c r="C791" s="846"/>
      <c r="D791" s="846"/>
      <c r="E791" s="846"/>
      <c r="F791" s="846"/>
      <c r="G791" s="846"/>
      <c r="H791" s="846"/>
      <c r="I791" s="846"/>
      <c r="J791" s="846"/>
      <c r="K791" s="846"/>
      <c r="L791" s="846"/>
      <c r="M791" s="846"/>
      <c r="N791" s="846"/>
      <c r="O791" s="846"/>
      <c r="P791" s="846"/>
      <c r="Q791" s="846"/>
    </row>
    <row r="792" ht="15.0" customHeight="1">
      <c r="A792" s="1296"/>
      <c r="B792" s="846"/>
      <c r="C792" s="846"/>
      <c r="D792" s="846"/>
      <c r="E792" s="846"/>
      <c r="F792" s="846"/>
      <c r="G792" s="846"/>
      <c r="H792" s="846"/>
      <c r="I792" s="846"/>
      <c r="J792" s="846"/>
      <c r="K792" s="846"/>
      <c r="L792" s="846"/>
      <c r="M792" s="846"/>
      <c r="N792" s="846"/>
      <c r="O792" s="846"/>
      <c r="P792" s="846"/>
      <c r="Q792" s="846"/>
    </row>
    <row r="793" ht="15.0" customHeight="1">
      <c r="A793" s="1296"/>
      <c r="B793" s="846"/>
      <c r="C793" s="846"/>
      <c r="D793" s="846"/>
      <c r="E793" s="846"/>
      <c r="F793" s="846"/>
      <c r="G793" s="846"/>
      <c r="H793" s="846"/>
      <c r="I793" s="846"/>
      <c r="J793" s="846"/>
      <c r="K793" s="846"/>
      <c r="L793" s="846"/>
      <c r="M793" s="846"/>
      <c r="N793" s="846"/>
      <c r="O793" s="846"/>
      <c r="P793" s="846"/>
      <c r="Q793" s="846"/>
    </row>
    <row r="794" ht="15.0" customHeight="1">
      <c r="A794" s="1296"/>
      <c r="B794" s="846"/>
      <c r="C794" s="846"/>
      <c r="D794" s="846"/>
      <c r="E794" s="846"/>
      <c r="F794" s="846"/>
      <c r="G794" s="846"/>
      <c r="H794" s="846"/>
      <c r="I794" s="846"/>
      <c r="J794" s="846"/>
      <c r="K794" s="846"/>
      <c r="L794" s="846"/>
      <c r="M794" s="846"/>
      <c r="N794" s="846"/>
      <c r="O794" s="846"/>
      <c r="P794" s="846"/>
      <c r="Q794" s="846"/>
    </row>
    <row r="795" ht="15.0" customHeight="1">
      <c r="A795" s="1296"/>
      <c r="B795" s="846"/>
      <c r="C795" s="846"/>
      <c r="D795" s="846"/>
      <c r="E795" s="846"/>
      <c r="F795" s="846"/>
      <c r="G795" s="846"/>
      <c r="H795" s="846"/>
      <c r="I795" s="846"/>
      <c r="J795" s="846"/>
      <c r="K795" s="846"/>
      <c r="L795" s="846"/>
      <c r="M795" s="846"/>
      <c r="N795" s="846"/>
      <c r="O795" s="846"/>
      <c r="P795" s="846"/>
      <c r="Q795" s="846"/>
    </row>
    <row r="796" ht="15.0" customHeight="1">
      <c r="A796" s="1296"/>
      <c r="B796" s="846"/>
      <c r="C796" s="846"/>
      <c r="D796" s="846"/>
      <c r="E796" s="846"/>
      <c r="F796" s="846"/>
      <c r="G796" s="846"/>
      <c r="H796" s="846"/>
      <c r="I796" s="846"/>
      <c r="J796" s="846"/>
      <c r="K796" s="846"/>
      <c r="L796" s="846"/>
      <c r="M796" s="846"/>
      <c r="N796" s="846"/>
      <c r="O796" s="846"/>
      <c r="P796" s="846"/>
      <c r="Q796" s="846"/>
    </row>
    <row r="797" ht="15.0" customHeight="1">
      <c r="A797" s="1296"/>
      <c r="B797" s="846"/>
      <c r="C797" s="846"/>
      <c r="D797" s="846"/>
      <c r="E797" s="846"/>
      <c r="F797" s="846"/>
      <c r="G797" s="846"/>
      <c r="H797" s="846"/>
      <c r="I797" s="846"/>
      <c r="J797" s="846"/>
      <c r="K797" s="846"/>
      <c r="L797" s="846"/>
      <c r="M797" s="846"/>
      <c r="N797" s="846"/>
      <c r="O797" s="846"/>
      <c r="P797" s="846"/>
      <c r="Q797" s="846"/>
    </row>
    <row r="798" ht="15.0" customHeight="1">
      <c r="A798" s="1296"/>
      <c r="B798" s="846"/>
      <c r="C798" s="846"/>
      <c r="D798" s="846"/>
      <c r="E798" s="846"/>
      <c r="F798" s="846"/>
      <c r="G798" s="846"/>
      <c r="H798" s="846"/>
      <c r="I798" s="846"/>
      <c r="J798" s="846"/>
      <c r="K798" s="846"/>
      <c r="L798" s="846"/>
      <c r="M798" s="846"/>
      <c r="N798" s="846"/>
      <c r="O798" s="846"/>
      <c r="P798" s="846"/>
      <c r="Q798" s="846"/>
    </row>
    <row r="799" ht="15.0" customHeight="1">
      <c r="A799" s="1296"/>
      <c r="B799" s="846"/>
      <c r="C799" s="846"/>
      <c r="D799" s="846"/>
      <c r="E799" s="846"/>
      <c r="F799" s="846"/>
      <c r="G799" s="846"/>
      <c r="H799" s="846"/>
      <c r="I799" s="846"/>
      <c r="J799" s="846"/>
      <c r="K799" s="846"/>
      <c r="L799" s="846"/>
      <c r="M799" s="846"/>
      <c r="N799" s="846"/>
      <c r="O799" s="846"/>
      <c r="P799" s="846"/>
      <c r="Q799" s="846"/>
    </row>
    <row r="800" ht="15.0" customHeight="1">
      <c r="A800" s="1296"/>
      <c r="B800" s="846"/>
      <c r="C800" s="846"/>
      <c r="D800" s="846"/>
      <c r="E800" s="846"/>
      <c r="F800" s="846"/>
      <c r="G800" s="846"/>
      <c r="H800" s="846"/>
      <c r="I800" s="846"/>
      <c r="J800" s="846"/>
      <c r="K800" s="846"/>
      <c r="L800" s="846"/>
      <c r="M800" s="846"/>
      <c r="N800" s="846"/>
      <c r="O800" s="846"/>
      <c r="P800" s="846"/>
      <c r="Q800" s="846"/>
    </row>
    <row r="801" ht="15.0" customHeight="1">
      <c r="A801" s="1296"/>
      <c r="B801" s="846"/>
      <c r="C801" s="846"/>
      <c r="D801" s="846"/>
      <c r="E801" s="846"/>
      <c r="F801" s="846"/>
      <c r="G801" s="846"/>
      <c r="H801" s="846"/>
      <c r="I801" s="846"/>
      <c r="J801" s="846"/>
      <c r="K801" s="846"/>
      <c r="L801" s="846"/>
      <c r="M801" s="846"/>
      <c r="N801" s="846"/>
      <c r="O801" s="846"/>
      <c r="P801" s="846"/>
      <c r="Q801" s="846"/>
    </row>
    <row r="802" ht="15.0" customHeight="1">
      <c r="A802" s="1296"/>
      <c r="B802" s="846"/>
      <c r="C802" s="846"/>
      <c r="D802" s="846"/>
      <c r="E802" s="846"/>
      <c r="F802" s="846"/>
      <c r="G802" s="846"/>
      <c r="H802" s="846"/>
      <c r="I802" s="846"/>
      <c r="J802" s="846"/>
      <c r="K802" s="846"/>
      <c r="L802" s="846"/>
      <c r="M802" s="846"/>
      <c r="N802" s="846"/>
      <c r="O802" s="846"/>
      <c r="P802" s="846"/>
      <c r="Q802" s="846"/>
    </row>
    <row r="803" ht="15.0" customHeight="1">
      <c r="A803" s="1296"/>
      <c r="B803" s="846"/>
      <c r="C803" s="846"/>
      <c r="D803" s="846"/>
      <c r="E803" s="846"/>
      <c r="F803" s="846"/>
      <c r="G803" s="846"/>
      <c r="H803" s="846"/>
      <c r="I803" s="846"/>
      <c r="J803" s="846"/>
      <c r="K803" s="846"/>
      <c r="L803" s="846"/>
      <c r="M803" s="846"/>
      <c r="N803" s="846"/>
      <c r="O803" s="846"/>
      <c r="P803" s="846"/>
      <c r="Q803" s="846"/>
    </row>
    <row r="804" ht="15.0" customHeight="1">
      <c r="A804" s="1296"/>
      <c r="B804" s="846"/>
      <c r="C804" s="846"/>
      <c r="D804" s="846"/>
      <c r="E804" s="846"/>
      <c r="F804" s="846"/>
      <c r="G804" s="846"/>
      <c r="H804" s="846"/>
      <c r="I804" s="846"/>
      <c r="J804" s="846"/>
      <c r="K804" s="846"/>
      <c r="L804" s="846"/>
      <c r="M804" s="846"/>
      <c r="N804" s="846"/>
      <c r="O804" s="846"/>
      <c r="P804" s="846"/>
      <c r="Q804" s="846"/>
    </row>
    <row r="805" ht="15.0" customHeight="1">
      <c r="A805" s="1296"/>
      <c r="B805" s="846"/>
      <c r="C805" s="846"/>
      <c r="D805" s="846"/>
      <c r="E805" s="846"/>
      <c r="F805" s="846"/>
      <c r="G805" s="846"/>
      <c r="H805" s="846"/>
      <c r="I805" s="846"/>
      <c r="J805" s="846"/>
      <c r="K805" s="846"/>
      <c r="L805" s="846"/>
      <c r="M805" s="846"/>
      <c r="N805" s="846"/>
      <c r="O805" s="846"/>
      <c r="P805" s="846"/>
      <c r="Q805" s="846"/>
    </row>
    <row r="806" ht="15.0" customHeight="1">
      <c r="A806" s="1296"/>
      <c r="B806" s="846"/>
      <c r="C806" s="846"/>
      <c r="D806" s="846"/>
      <c r="E806" s="846"/>
      <c r="F806" s="846"/>
      <c r="G806" s="846"/>
      <c r="H806" s="846"/>
      <c r="I806" s="846"/>
      <c r="J806" s="846"/>
      <c r="K806" s="846"/>
      <c r="L806" s="846"/>
      <c r="M806" s="846"/>
      <c r="N806" s="846"/>
      <c r="O806" s="846"/>
      <c r="P806" s="846"/>
      <c r="Q806" s="846"/>
    </row>
    <row r="807" ht="15.0" customHeight="1">
      <c r="A807" s="1296"/>
      <c r="B807" s="846"/>
      <c r="C807" s="846"/>
      <c r="D807" s="846"/>
      <c r="E807" s="846"/>
      <c r="F807" s="846"/>
      <c r="G807" s="846"/>
      <c r="H807" s="846"/>
      <c r="I807" s="846"/>
      <c r="J807" s="846"/>
      <c r="K807" s="846"/>
      <c r="L807" s="846"/>
      <c r="M807" s="846"/>
      <c r="N807" s="846"/>
      <c r="O807" s="846"/>
      <c r="P807" s="846"/>
      <c r="Q807" s="846"/>
    </row>
    <row r="808" ht="15.0" customHeight="1">
      <c r="A808" s="1296"/>
      <c r="B808" s="846"/>
      <c r="C808" s="846"/>
      <c r="D808" s="846"/>
      <c r="E808" s="846"/>
      <c r="F808" s="846"/>
      <c r="G808" s="846"/>
      <c r="H808" s="846"/>
      <c r="I808" s="846"/>
      <c r="J808" s="846"/>
      <c r="K808" s="846"/>
      <c r="L808" s="846"/>
      <c r="M808" s="846"/>
      <c r="N808" s="846"/>
      <c r="O808" s="846"/>
      <c r="P808" s="846"/>
      <c r="Q808" s="846"/>
    </row>
    <row r="809" ht="15.0" customHeight="1">
      <c r="A809" s="1296"/>
      <c r="B809" s="846"/>
      <c r="C809" s="846"/>
      <c r="D809" s="846"/>
      <c r="E809" s="846"/>
      <c r="F809" s="846"/>
      <c r="G809" s="846"/>
      <c r="H809" s="846"/>
      <c r="I809" s="846"/>
      <c r="J809" s="846"/>
      <c r="K809" s="846"/>
      <c r="L809" s="846"/>
      <c r="M809" s="846"/>
      <c r="N809" s="846"/>
      <c r="O809" s="846"/>
      <c r="P809" s="846"/>
      <c r="Q809" s="846"/>
    </row>
    <row r="810" ht="15.0" customHeight="1">
      <c r="A810" s="1296"/>
      <c r="B810" s="846"/>
      <c r="C810" s="846"/>
      <c r="D810" s="846"/>
      <c r="E810" s="846"/>
      <c r="F810" s="846"/>
      <c r="G810" s="846"/>
      <c r="H810" s="846"/>
      <c r="I810" s="846"/>
      <c r="J810" s="846"/>
      <c r="K810" s="846"/>
      <c r="L810" s="846"/>
      <c r="M810" s="846"/>
      <c r="N810" s="846"/>
      <c r="O810" s="846"/>
      <c r="P810" s="846"/>
      <c r="Q810" s="846"/>
    </row>
    <row r="811" ht="15.0" customHeight="1">
      <c r="A811" s="1296"/>
      <c r="B811" s="846"/>
      <c r="C811" s="846"/>
      <c r="D811" s="846"/>
      <c r="E811" s="846"/>
      <c r="F811" s="846"/>
      <c r="G811" s="846"/>
      <c r="H811" s="846"/>
      <c r="I811" s="846"/>
      <c r="J811" s="846"/>
      <c r="K811" s="846"/>
      <c r="L811" s="846"/>
      <c r="M811" s="846"/>
      <c r="N811" s="846"/>
      <c r="O811" s="846"/>
      <c r="P811" s="846"/>
      <c r="Q811" s="846"/>
    </row>
    <row r="812" ht="15.0" customHeight="1">
      <c r="A812" s="1296"/>
      <c r="B812" s="846"/>
      <c r="C812" s="846"/>
      <c r="D812" s="846"/>
      <c r="E812" s="846"/>
      <c r="F812" s="846"/>
      <c r="G812" s="846"/>
      <c r="H812" s="846"/>
      <c r="I812" s="846"/>
      <c r="J812" s="846"/>
      <c r="K812" s="846"/>
      <c r="L812" s="846"/>
      <c r="M812" s="846"/>
      <c r="N812" s="846"/>
      <c r="O812" s="846"/>
      <c r="P812" s="846"/>
      <c r="Q812" s="846"/>
    </row>
    <row r="813" ht="15.0" customHeight="1">
      <c r="A813" s="1296"/>
      <c r="B813" s="846"/>
      <c r="C813" s="846"/>
      <c r="D813" s="846"/>
      <c r="E813" s="846"/>
      <c r="F813" s="846"/>
      <c r="G813" s="846"/>
      <c r="H813" s="846"/>
      <c r="I813" s="846"/>
      <c r="J813" s="846"/>
      <c r="K813" s="846"/>
      <c r="L813" s="846"/>
      <c r="M813" s="846"/>
      <c r="N813" s="846"/>
      <c r="O813" s="846"/>
      <c r="P813" s="846"/>
      <c r="Q813" s="846"/>
    </row>
    <row r="814" ht="15.0" customHeight="1">
      <c r="A814" s="1296"/>
      <c r="B814" s="846"/>
      <c r="C814" s="846"/>
      <c r="D814" s="846"/>
      <c r="E814" s="846"/>
      <c r="F814" s="846"/>
      <c r="G814" s="846"/>
      <c r="H814" s="846"/>
      <c r="I814" s="846"/>
      <c r="J814" s="846"/>
      <c r="K814" s="846"/>
      <c r="L814" s="846"/>
      <c r="M814" s="846"/>
      <c r="N814" s="846"/>
      <c r="O814" s="846"/>
      <c r="P814" s="846"/>
      <c r="Q814" s="846"/>
    </row>
    <row r="815" ht="15.0" customHeight="1">
      <c r="A815" s="1296"/>
      <c r="B815" s="846"/>
      <c r="C815" s="846"/>
      <c r="D815" s="846"/>
      <c r="E815" s="846"/>
      <c r="F815" s="846"/>
      <c r="G815" s="846"/>
      <c r="H815" s="846"/>
      <c r="I815" s="846"/>
      <c r="J815" s="846"/>
      <c r="K815" s="846"/>
      <c r="L815" s="846"/>
      <c r="M815" s="846"/>
      <c r="N815" s="846"/>
      <c r="O815" s="846"/>
      <c r="P815" s="846"/>
      <c r="Q815" s="846"/>
    </row>
    <row r="816" ht="15.0" customHeight="1">
      <c r="A816" s="1296"/>
      <c r="B816" s="846"/>
      <c r="C816" s="846"/>
      <c r="D816" s="846"/>
      <c r="E816" s="846"/>
      <c r="F816" s="846"/>
      <c r="G816" s="846"/>
      <c r="H816" s="846"/>
      <c r="I816" s="846"/>
      <c r="J816" s="846"/>
      <c r="K816" s="846"/>
      <c r="L816" s="846"/>
      <c r="M816" s="846"/>
      <c r="N816" s="846"/>
      <c r="O816" s="846"/>
      <c r="P816" s="846"/>
      <c r="Q816" s="846"/>
    </row>
    <row r="817" ht="15.0" customHeight="1">
      <c r="A817" s="1296"/>
      <c r="B817" s="846"/>
      <c r="C817" s="846"/>
      <c r="D817" s="846"/>
      <c r="E817" s="846"/>
      <c r="F817" s="846"/>
      <c r="G817" s="846"/>
      <c r="H817" s="846"/>
      <c r="I817" s="846"/>
      <c r="J817" s="846"/>
      <c r="K817" s="846"/>
      <c r="L817" s="846"/>
      <c r="M817" s="846"/>
      <c r="N817" s="846"/>
      <c r="O817" s="846"/>
      <c r="P817" s="846"/>
      <c r="Q817" s="846"/>
    </row>
    <row r="818" ht="15.0" customHeight="1">
      <c r="A818" s="1296"/>
      <c r="B818" s="846"/>
      <c r="C818" s="846"/>
      <c r="D818" s="846"/>
      <c r="E818" s="846"/>
      <c r="F818" s="846"/>
      <c r="G818" s="846"/>
      <c r="H818" s="846"/>
      <c r="I818" s="846"/>
      <c r="J818" s="846"/>
      <c r="K818" s="846"/>
      <c r="L818" s="846"/>
      <c r="M818" s="846"/>
      <c r="N818" s="846"/>
      <c r="O818" s="846"/>
      <c r="P818" s="846"/>
      <c r="Q818" s="846"/>
    </row>
    <row r="819" ht="15.0" customHeight="1">
      <c r="A819" s="1296"/>
      <c r="B819" s="846"/>
      <c r="C819" s="846"/>
      <c r="D819" s="846"/>
      <c r="E819" s="846"/>
      <c r="F819" s="846"/>
      <c r="G819" s="846"/>
      <c r="H819" s="846"/>
      <c r="I819" s="846"/>
      <c r="J819" s="846"/>
      <c r="K819" s="846"/>
      <c r="L819" s="846"/>
      <c r="M819" s="846"/>
      <c r="N819" s="846"/>
      <c r="O819" s="846"/>
      <c r="P819" s="846"/>
      <c r="Q819" s="846"/>
    </row>
    <row r="820" ht="15.0" customHeight="1">
      <c r="A820" s="1296"/>
      <c r="B820" s="846"/>
      <c r="C820" s="846"/>
      <c r="D820" s="846"/>
      <c r="E820" s="846"/>
      <c r="F820" s="846"/>
      <c r="G820" s="846"/>
      <c r="H820" s="846"/>
      <c r="I820" s="846"/>
      <c r="J820" s="846"/>
      <c r="K820" s="846"/>
      <c r="L820" s="846"/>
      <c r="M820" s="846"/>
      <c r="N820" s="846"/>
      <c r="O820" s="846"/>
      <c r="P820" s="846"/>
      <c r="Q820" s="846"/>
    </row>
    <row r="821" ht="15.0" customHeight="1">
      <c r="A821" s="1296"/>
      <c r="B821" s="846"/>
      <c r="C821" s="846"/>
      <c r="D821" s="846"/>
      <c r="E821" s="846"/>
      <c r="F821" s="846"/>
      <c r="G821" s="846"/>
      <c r="H821" s="846"/>
      <c r="I821" s="846"/>
      <c r="J821" s="846"/>
      <c r="K821" s="846"/>
      <c r="L821" s="846"/>
      <c r="M821" s="846"/>
      <c r="N821" s="846"/>
      <c r="O821" s="846"/>
      <c r="P821" s="846"/>
      <c r="Q821" s="846"/>
    </row>
    <row r="822" ht="15.0" customHeight="1">
      <c r="A822" s="1296"/>
      <c r="B822" s="846"/>
      <c r="C822" s="846"/>
      <c r="D822" s="846"/>
      <c r="E822" s="846"/>
      <c r="F822" s="846"/>
      <c r="G822" s="846"/>
      <c r="H822" s="846"/>
      <c r="I822" s="846"/>
      <c r="J822" s="846"/>
      <c r="K822" s="846"/>
      <c r="L822" s="846"/>
      <c r="M822" s="846"/>
      <c r="N822" s="846"/>
      <c r="O822" s="846"/>
      <c r="P822" s="846"/>
      <c r="Q822" s="846"/>
    </row>
    <row r="823" ht="15.0" customHeight="1">
      <c r="A823" s="1296"/>
      <c r="B823" s="846"/>
      <c r="C823" s="846"/>
      <c r="D823" s="846"/>
      <c r="E823" s="846"/>
      <c r="F823" s="846"/>
      <c r="G823" s="846"/>
      <c r="H823" s="846"/>
      <c r="I823" s="846"/>
      <c r="J823" s="846"/>
      <c r="K823" s="846"/>
      <c r="L823" s="846"/>
      <c r="M823" s="846"/>
      <c r="N823" s="846"/>
      <c r="O823" s="846"/>
      <c r="P823" s="846"/>
      <c r="Q823" s="846"/>
    </row>
    <row r="824" ht="15.0" customHeight="1">
      <c r="A824" s="1296"/>
      <c r="B824" s="846"/>
      <c r="C824" s="846"/>
      <c r="D824" s="846"/>
      <c r="E824" s="846"/>
      <c r="F824" s="846"/>
      <c r="G824" s="846"/>
      <c r="H824" s="846"/>
      <c r="I824" s="846"/>
      <c r="J824" s="846"/>
      <c r="K824" s="846"/>
      <c r="L824" s="846"/>
      <c r="M824" s="846"/>
      <c r="N824" s="846"/>
      <c r="O824" s="846"/>
      <c r="P824" s="846"/>
      <c r="Q824" s="846"/>
    </row>
    <row r="825" ht="15.0" customHeight="1">
      <c r="A825" s="1296"/>
      <c r="B825" s="846"/>
      <c r="C825" s="846"/>
      <c r="D825" s="846"/>
      <c r="E825" s="846"/>
      <c r="F825" s="846"/>
      <c r="G825" s="846"/>
      <c r="H825" s="846"/>
      <c r="I825" s="846"/>
      <c r="J825" s="846"/>
      <c r="K825" s="846"/>
      <c r="L825" s="846"/>
      <c r="M825" s="846"/>
      <c r="N825" s="846"/>
      <c r="O825" s="846"/>
      <c r="P825" s="846"/>
      <c r="Q825" s="846"/>
    </row>
    <row r="826" ht="15.0" customHeight="1">
      <c r="A826" s="1296"/>
      <c r="B826" s="846"/>
      <c r="C826" s="846"/>
      <c r="D826" s="846"/>
      <c r="E826" s="846"/>
      <c r="F826" s="846"/>
      <c r="G826" s="846"/>
      <c r="H826" s="846"/>
      <c r="I826" s="846"/>
      <c r="J826" s="846"/>
      <c r="K826" s="846"/>
      <c r="L826" s="846"/>
      <c r="M826" s="846"/>
      <c r="N826" s="846"/>
      <c r="O826" s="846"/>
      <c r="P826" s="846"/>
      <c r="Q826" s="846"/>
    </row>
    <row r="827" ht="15.0" customHeight="1">
      <c r="A827" s="1296"/>
      <c r="B827" s="846"/>
      <c r="C827" s="846"/>
      <c r="D827" s="846"/>
      <c r="E827" s="846"/>
      <c r="F827" s="846"/>
      <c r="G827" s="846"/>
      <c r="H827" s="846"/>
      <c r="I827" s="846"/>
      <c r="J827" s="846"/>
      <c r="K827" s="846"/>
      <c r="L827" s="846"/>
      <c r="M827" s="846"/>
      <c r="N827" s="846"/>
      <c r="O827" s="846"/>
      <c r="P827" s="846"/>
      <c r="Q827" s="846"/>
    </row>
    <row r="828" ht="15.0" customHeight="1">
      <c r="A828" s="1296"/>
      <c r="B828" s="846"/>
      <c r="C828" s="846"/>
      <c r="D828" s="846"/>
      <c r="E828" s="846"/>
      <c r="F828" s="846"/>
      <c r="G828" s="846"/>
      <c r="H828" s="846"/>
      <c r="I828" s="846"/>
      <c r="J828" s="846"/>
      <c r="K828" s="846"/>
      <c r="L828" s="846"/>
      <c r="M828" s="846"/>
      <c r="N828" s="846"/>
      <c r="O828" s="846"/>
      <c r="P828" s="846"/>
      <c r="Q828" s="846"/>
    </row>
    <row r="829" ht="15.0" customHeight="1">
      <c r="A829" s="1296"/>
      <c r="B829" s="846"/>
      <c r="C829" s="846"/>
      <c r="D829" s="846"/>
      <c r="E829" s="846"/>
      <c r="F829" s="846"/>
      <c r="G829" s="846"/>
      <c r="H829" s="846"/>
      <c r="I829" s="846"/>
      <c r="J829" s="846"/>
      <c r="K829" s="846"/>
      <c r="L829" s="846"/>
      <c r="M829" s="846"/>
      <c r="N829" s="846"/>
      <c r="O829" s="846"/>
      <c r="P829" s="846"/>
      <c r="Q829" s="846"/>
    </row>
    <row r="830" ht="15.0" customHeight="1">
      <c r="A830" s="1296"/>
      <c r="B830" s="846"/>
      <c r="C830" s="846"/>
      <c r="D830" s="846"/>
      <c r="E830" s="846"/>
      <c r="F830" s="846"/>
      <c r="G830" s="846"/>
      <c r="H830" s="846"/>
      <c r="I830" s="846"/>
      <c r="J830" s="846"/>
      <c r="K830" s="846"/>
      <c r="L830" s="846"/>
      <c r="M830" s="846"/>
      <c r="N830" s="846"/>
      <c r="O830" s="846"/>
      <c r="P830" s="846"/>
      <c r="Q830" s="846"/>
    </row>
    <row r="831" ht="15.0" customHeight="1">
      <c r="A831" s="1296"/>
      <c r="B831" s="846"/>
      <c r="C831" s="846"/>
      <c r="D831" s="846"/>
      <c r="E831" s="846"/>
      <c r="F831" s="846"/>
      <c r="G831" s="846"/>
      <c r="H831" s="846"/>
      <c r="I831" s="846"/>
      <c r="J831" s="846"/>
      <c r="K831" s="846"/>
      <c r="L831" s="846"/>
      <c r="M831" s="846"/>
      <c r="N831" s="846"/>
      <c r="O831" s="846"/>
      <c r="P831" s="846"/>
      <c r="Q831" s="846"/>
    </row>
    <row r="832" ht="15.0" customHeight="1">
      <c r="A832" s="1296"/>
      <c r="B832" s="846"/>
      <c r="C832" s="846"/>
      <c r="D832" s="846"/>
      <c r="E832" s="846"/>
      <c r="F832" s="846"/>
      <c r="G832" s="846"/>
      <c r="H832" s="846"/>
      <c r="I832" s="846"/>
      <c r="J832" s="846"/>
      <c r="K832" s="846"/>
      <c r="L832" s="846"/>
      <c r="M832" s="846"/>
      <c r="N832" s="846"/>
      <c r="O832" s="846"/>
      <c r="P832" s="846"/>
      <c r="Q832" s="846"/>
    </row>
    <row r="833" ht="15.0" customHeight="1">
      <c r="A833" s="1296"/>
      <c r="B833" s="846"/>
      <c r="C833" s="846"/>
      <c r="D833" s="846"/>
      <c r="E833" s="846"/>
      <c r="F833" s="846"/>
      <c r="G833" s="846"/>
      <c r="H833" s="846"/>
      <c r="I833" s="846"/>
      <c r="J833" s="846"/>
      <c r="K833" s="846"/>
      <c r="L833" s="846"/>
      <c r="M833" s="846"/>
      <c r="N833" s="846"/>
      <c r="O833" s="846"/>
      <c r="P833" s="846"/>
      <c r="Q833" s="846"/>
    </row>
    <row r="834" ht="15.0" customHeight="1">
      <c r="A834" s="1296"/>
      <c r="B834" s="846"/>
      <c r="C834" s="846"/>
      <c r="D834" s="846"/>
      <c r="E834" s="846"/>
      <c r="F834" s="846"/>
      <c r="G834" s="846"/>
      <c r="H834" s="846"/>
      <c r="I834" s="846"/>
      <c r="J834" s="846"/>
      <c r="K834" s="846"/>
      <c r="L834" s="846"/>
      <c r="M834" s="846"/>
      <c r="N834" s="846"/>
      <c r="O834" s="846"/>
      <c r="P834" s="846"/>
      <c r="Q834" s="846"/>
    </row>
    <row r="835" ht="15.0" customHeight="1">
      <c r="A835" s="1296"/>
      <c r="B835" s="846"/>
      <c r="C835" s="846"/>
      <c r="D835" s="846"/>
      <c r="E835" s="846"/>
      <c r="F835" s="846"/>
      <c r="G835" s="846"/>
      <c r="H835" s="846"/>
      <c r="I835" s="846"/>
      <c r="J835" s="846"/>
      <c r="K835" s="846"/>
      <c r="L835" s="846"/>
      <c r="M835" s="846"/>
      <c r="N835" s="846"/>
      <c r="O835" s="846"/>
      <c r="P835" s="846"/>
      <c r="Q835" s="846"/>
    </row>
    <row r="836" ht="15.0" customHeight="1">
      <c r="A836" s="1296"/>
      <c r="B836" s="846"/>
      <c r="C836" s="846"/>
      <c r="D836" s="846"/>
      <c r="E836" s="846"/>
      <c r="F836" s="846"/>
      <c r="G836" s="846"/>
      <c r="H836" s="846"/>
      <c r="I836" s="846"/>
      <c r="J836" s="846"/>
      <c r="K836" s="846"/>
      <c r="L836" s="846"/>
      <c r="M836" s="846"/>
      <c r="N836" s="846"/>
      <c r="O836" s="846"/>
      <c r="P836" s="846"/>
      <c r="Q836" s="846"/>
    </row>
    <row r="837" ht="15.0" customHeight="1">
      <c r="A837" s="1296"/>
      <c r="B837" s="846"/>
      <c r="C837" s="846"/>
      <c r="D837" s="846"/>
      <c r="E837" s="846"/>
      <c r="F837" s="846"/>
      <c r="G837" s="846"/>
      <c r="H837" s="846"/>
      <c r="I837" s="846"/>
      <c r="J837" s="846"/>
      <c r="K837" s="846"/>
      <c r="L837" s="846"/>
      <c r="M837" s="846"/>
      <c r="N837" s="846"/>
      <c r="O837" s="846"/>
      <c r="P837" s="846"/>
      <c r="Q837" s="846"/>
    </row>
    <row r="838" ht="15.0" customHeight="1">
      <c r="A838" s="1296"/>
      <c r="B838" s="846"/>
      <c r="C838" s="846"/>
      <c r="D838" s="846"/>
      <c r="E838" s="846"/>
      <c r="F838" s="846"/>
      <c r="G838" s="846"/>
      <c r="H838" s="846"/>
      <c r="I838" s="846"/>
      <c r="J838" s="846"/>
      <c r="K838" s="846"/>
      <c r="L838" s="846"/>
      <c r="M838" s="846"/>
      <c r="N838" s="846"/>
      <c r="O838" s="846"/>
      <c r="P838" s="846"/>
      <c r="Q838" s="846"/>
    </row>
    <row r="839" ht="15.0" customHeight="1">
      <c r="A839" s="1296"/>
      <c r="B839" s="846"/>
      <c r="C839" s="846"/>
      <c r="D839" s="846"/>
      <c r="E839" s="846"/>
      <c r="F839" s="846"/>
      <c r="G839" s="846"/>
      <c r="H839" s="846"/>
      <c r="I839" s="846"/>
      <c r="J839" s="846"/>
      <c r="K839" s="846"/>
      <c r="L839" s="846"/>
      <c r="M839" s="846"/>
      <c r="N839" s="846"/>
      <c r="O839" s="846"/>
      <c r="P839" s="846"/>
      <c r="Q839" s="846"/>
    </row>
    <row r="840" ht="15.0" customHeight="1">
      <c r="A840" s="1296"/>
      <c r="B840" s="846"/>
      <c r="C840" s="846"/>
      <c r="D840" s="846"/>
      <c r="E840" s="846"/>
      <c r="F840" s="846"/>
      <c r="G840" s="846"/>
      <c r="H840" s="846"/>
      <c r="I840" s="846"/>
      <c r="J840" s="846"/>
      <c r="K840" s="846"/>
      <c r="L840" s="846"/>
      <c r="M840" s="846"/>
      <c r="N840" s="846"/>
      <c r="O840" s="846"/>
      <c r="P840" s="846"/>
      <c r="Q840" s="846"/>
    </row>
    <row r="841" ht="15.0" customHeight="1">
      <c r="A841" s="1296"/>
      <c r="B841" s="846"/>
      <c r="C841" s="846"/>
      <c r="D841" s="846"/>
      <c r="E841" s="846"/>
      <c r="F841" s="846"/>
      <c r="G841" s="846"/>
      <c r="H841" s="846"/>
      <c r="I841" s="846"/>
      <c r="J841" s="846"/>
      <c r="K841" s="846"/>
      <c r="L841" s="846"/>
      <c r="M841" s="846"/>
      <c r="N841" s="846"/>
      <c r="O841" s="846"/>
      <c r="P841" s="846"/>
      <c r="Q841" s="846"/>
    </row>
    <row r="842" ht="15.0" customHeight="1">
      <c r="A842" s="1296"/>
      <c r="B842" s="846"/>
      <c r="C842" s="846"/>
      <c r="D842" s="846"/>
      <c r="E842" s="846"/>
      <c r="F842" s="846"/>
      <c r="G842" s="846"/>
      <c r="H842" s="846"/>
      <c r="I842" s="846"/>
      <c r="J842" s="846"/>
      <c r="K842" s="846"/>
      <c r="L842" s="846"/>
      <c r="M842" s="846"/>
      <c r="N842" s="846"/>
      <c r="O842" s="846"/>
      <c r="P842" s="846"/>
      <c r="Q842" s="846"/>
    </row>
    <row r="843" ht="15.0" customHeight="1">
      <c r="A843" s="1296"/>
      <c r="B843" s="846"/>
      <c r="C843" s="846"/>
      <c r="D843" s="846"/>
      <c r="E843" s="846"/>
      <c r="F843" s="846"/>
      <c r="G843" s="846"/>
      <c r="H843" s="846"/>
      <c r="I843" s="846"/>
      <c r="J843" s="846"/>
      <c r="K843" s="846"/>
      <c r="L843" s="846"/>
      <c r="M843" s="846"/>
      <c r="N843" s="846"/>
      <c r="O843" s="846"/>
      <c r="P843" s="846"/>
      <c r="Q843" s="846"/>
    </row>
    <row r="844" ht="15.0" customHeight="1">
      <c r="A844" s="1296"/>
      <c r="B844" s="846"/>
      <c r="C844" s="846"/>
      <c r="D844" s="846"/>
      <c r="E844" s="846"/>
      <c r="F844" s="846"/>
      <c r="G844" s="846"/>
      <c r="H844" s="846"/>
      <c r="I844" s="846"/>
      <c r="J844" s="846"/>
      <c r="K844" s="846"/>
      <c r="L844" s="846"/>
      <c r="M844" s="846"/>
      <c r="N844" s="846"/>
      <c r="O844" s="846"/>
      <c r="P844" s="846"/>
      <c r="Q844" s="846"/>
    </row>
    <row r="845" ht="15.0" customHeight="1">
      <c r="A845" s="1296"/>
      <c r="B845" s="846"/>
      <c r="C845" s="846"/>
      <c r="D845" s="846"/>
      <c r="E845" s="846"/>
      <c r="F845" s="846"/>
      <c r="G845" s="846"/>
      <c r="H845" s="846"/>
      <c r="I845" s="846"/>
      <c r="J845" s="846"/>
      <c r="K845" s="846"/>
      <c r="L845" s="846"/>
      <c r="M845" s="846"/>
      <c r="N845" s="846"/>
      <c r="O845" s="846"/>
      <c r="P845" s="846"/>
      <c r="Q845" s="846"/>
    </row>
    <row r="846" ht="15.0" customHeight="1">
      <c r="A846" s="1296"/>
      <c r="B846" s="846"/>
      <c r="C846" s="846"/>
      <c r="D846" s="846"/>
      <c r="E846" s="846"/>
      <c r="F846" s="846"/>
      <c r="G846" s="846"/>
      <c r="H846" s="846"/>
      <c r="I846" s="846"/>
      <c r="J846" s="846"/>
      <c r="K846" s="846"/>
      <c r="L846" s="846"/>
      <c r="M846" s="846"/>
      <c r="N846" s="846"/>
      <c r="O846" s="846"/>
      <c r="P846" s="846"/>
      <c r="Q846" s="846"/>
    </row>
    <row r="847" ht="15.0" customHeight="1">
      <c r="A847" s="1296"/>
      <c r="B847" s="846"/>
      <c r="C847" s="846"/>
      <c r="D847" s="846"/>
      <c r="E847" s="846"/>
      <c r="F847" s="846"/>
      <c r="G847" s="846"/>
      <c r="H847" s="846"/>
      <c r="I847" s="846"/>
      <c r="J847" s="846"/>
      <c r="K847" s="846"/>
      <c r="L847" s="846"/>
      <c r="M847" s="846"/>
      <c r="N847" s="846"/>
      <c r="O847" s="846"/>
      <c r="P847" s="846"/>
      <c r="Q847" s="846"/>
    </row>
    <row r="848" ht="15.0" customHeight="1">
      <c r="A848" s="1296"/>
      <c r="B848" s="846"/>
      <c r="C848" s="846"/>
      <c r="D848" s="846"/>
      <c r="E848" s="846"/>
      <c r="F848" s="846"/>
      <c r="G848" s="846"/>
      <c r="H848" s="846"/>
      <c r="I848" s="846"/>
      <c r="J848" s="846"/>
      <c r="K848" s="846"/>
      <c r="L848" s="846"/>
      <c r="M848" s="846"/>
      <c r="N848" s="846"/>
      <c r="O848" s="846"/>
      <c r="P848" s="846"/>
      <c r="Q848" s="846"/>
    </row>
    <row r="849" ht="15.0" customHeight="1">
      <c r="A849" s="1296"/>
      <c r="B849" s="846"/>
      <c r="C849" s="846"/>
      <c r="D849" s="846"/>
      <c r="E849" s="846"/>
      <c r="F849" s="846"/>
      <c r="G849" s="846"/>
      <c r="H849" s="846"/>
      <c r="I849" s="846"/>
      <c r="J849" s="846"/>
      <c r="K849" s="846"/>
      <c r="L849" s="846"/>
      <c r="M849" s="846"/>
      <c r="N849" s="846"/>
      <c r="O849" s="846"/>
      <c r="P849" s="846"/>
      <c r="Q849" s="846"/>
    </row>
    <row r="850" ht="15.0" customHeight="1">
      <c r="A850" s="1296"/>
      <c r="B850" s="846"/>
      <c r="C850" s="846"/>
      <c r="D850" s="846"/>
      <c r="E850" s="846"/>
      <c r="F850" s="846"/>
      <c r="G850" s="846"/>
      <c r="H850" s="846"/>
      <c r="I850" s="846"/>
      <c r="J850" s="846"/>
      <c r="K850" s="846"/>
      <c r="L850" s="846"/>
      <c r="M850" s="846"/>
      <c r="N850" s="846"/>
      <c r="O850" s="846"/>
      <c r="P850" s="846"/>
      <c r="Q850" s="846"/>
    </row>
    <row r="851" ht="15.0" customHeight="1">
      <c r="A851" s="1296"/>
      <c r="B851" s="846"/>
      <c r="C851" s="846"/>
      <c r="D851" s="846"/>
      <c r="E851" s="846"/>
      <c r="F851" s="846"/>
      <c r="G851" s="846"/>
      <c r="H851" s="846"/>
      <c r="I851" s="846"/>
      <c r="J851" s="846"/>
      <c r="K851" s="846"/>
      <c r="L851" s="846"/>
      <c r="M851" s="846"/>
      <c r="N851" s="846"/>
      <c r="O851" s="846"/>
      <c r="P851" s="846"/>
      <c r="Q851" s="846"/>
    </row>
    <row r="852" ht="15.0" customHeight="1">
      <c r="A852" s="1296"/>
      <c r="B852" s="846"/>
      <c r="C852" s="846"/>
      <c r="D852" s="846"/>
      <c r="E852" s="846"/>
      <c r="F852" s="846"/>
      <c r="G852" s="846"/>
      <c r="H852" s="846"/>
      <c r="I852" s="846"/>
      <c r="J852" s="846"/>
      <c r="K852" s="846"/>
      <c r="L852" s="846"/>
      <c r="M852" s="846"/>
      <c r="N852" s="846"/>
      <c r="O852" s="846"/>
      <c r="P852" s="846"/>
      <c r="Q852" s="846"/>
    </row>
    <row r="853" ht="15.0" customHeight="1">
      <c r="A853" s="1296"/>
      <c r="B853" s="846"/>
      <c r="C853" s="846"/>
      <c r="D853" s="846"/>
      <c r="E853" s="846"/>
      <c r="F853" s="846"/>
      <c r="G853" s="846"/>
      <c r="H853" s="846"/>
      <c r="I853" s="846"/>
      <c r="J853" s="846"/>
      <c r="K853" s="846"/>
      <c r="L853" s="846"/>
      <c r="M853" s="846"/>
      <c r="N853" s="846"/>
      <c r="O853" s="846"/>
      <c r="P853" s="846"/>
      <c r="Q853" s="846"/>
    </row>
    <row r="854" ht="15.0" customHeight="1">
      <c r="A854" s="1296"/>
      <c r="B854" s="846"/>
      <c r="C854" s="846"/>
      <c r="D854" s="846"/>
      <c r="E854" s="846"/>
      <c r="F854" s="846"/>
      <c r="G854" s="846"/>
      <c r="H854" s="846"/>
      <c r="I854" s="846"/>
      <c r="J854" s="846"/>
      <c r="K854" s="846"/>
      <c r="L854" s="846"/>
      <c r="M854" s="846"/>
      <c r="N854" s="846"/>
      <c r="O854" s="846"/>
      <c r="P854" s="846"/>
      <c r="Q854" s="846"/>
    </row>
    <row r="855" ht="15.0" customHeight="1">
      <c r="A855" s="1296"/>
      <c r="B855" s="846"/>
      <c r="C855" s="846"/>
      <c r="D855" s="846"/>
      <c r="E855" s="846"/>
      <c r="F855" s="846"/>
      <c r="G855" s="846"/>
      <c r="H855" s="846"/>
      <c r="I855" s="846"/>
      <c r="J855" s="846"/>
      <c r="K855" s="846"/>
      <c r="L855" s="846"/>
      <c r="M855" s="846"/>
      <c r="N855" s="846"/>
      <c r="O855" s="846"/>
      <c r="P855" s="846"/>
      <c r="Q855" s="846"/>
    </row>
    <row r="856" ht="15.0" customHeight="1">
      <c r="A856" s="1296"/>
      <c r="B856" s="846"/>
      <c r="C856" s="846"/>
      <c r="D856" s="846"/>
      <c r="E856" s="846"/>
      <c r="F856" s="846"/>
      <c r="G856" s="846"/>
      <c r="H856" s="846"/>
      <c r="I856" s="846"/>
      <c r="J856" s="846"/>
      <c r="K856" s="846"/>
      <c r="L856" s="846"/>
      <c r="M856" s="846"/>
      <c r="N856" s="846"/>
      <c r="O856" s="846"/>
      <c r="P856" s="846"/>
      <c r="Q856" s="846"/>
    </row>
    <row r="857" ht="15.0" customHeight="1">
      <c r="A857" s="1296"/>
      <c r="B857" s="846"/>
      <c r="C857" s="846"/>
      <c r="D857" s="846"/>
      <c r="E857" s="846"/>
      <c r="F857" s="846"/>
      <c r="G857" s="846"/>
      <c r="H857" s="846"/>
      <c r="I857" s="846"/>
      <c r="J857" s="846"/>
      <c r="K857" s="846"/>
      <c r="L857" s="846"/>
      <c r="M857" s="846"/>
      <c r="N857" s="846"/>
      <c r="O857" s="846"/>
      <c r="P857" s="846"/>
      <c r="Q857" s="846"/>
    </row>
    <row r="858" ht="15.0" customHeight="1">
      <c r="A858" s="1296"/>
      <c r="B858" s="846"/>
      <c r="C858" s="846"/>
      <c r="D858" s="846"/>
      <c r="E858" s="846"/>
      <c r="F858" s="846"/>
      <c r="G858" s="846"/>
      <c r="H858" s="846"/>
      <c r="I858" s="846"/>
      <c r="J858" s="846"/>
      <c r="K858" s="846"/>
      <c r="L858" s="846"/>
      <c r="M858" s="846"/>
      <c r="N858" s="846"/>
      <c r="O858" s="846"/>
      <c r="P858" s="846"/>
      <c r="Q858" s="846"/>
    </row>
    <row r="859" ht="15.0" customHeight="1">
      <c r="A859" s="1296"/>
      <c r="B859" s="846"/>
      <c r="C859" s="846"/>
      <c r="D859" s="846"/>
      <c r="E859" s="846"/>
      <c r="F859" s="846"/>
      <c r="G859" s="846"/>
      <c r="H859" s="846"/>
      <c r="I859" s="846"/>
      <c r="J859" s="846"/>
      <c r="K859" s="846"/>
      <c r="L859" s="846"/>
      <c r="M859" s="846"/>
      <c r="N859" s="846"/>
      <c r="O859" s="846"/>
      <c r="P859" s="846"/>
      <c r="Q859" s="846"/>
    </row>
    <row r="860" ht="15.0" customHeight="1">
      <c r="A860" s="1296"/>
      <c r="B860" s="846"/>
      <c r="C860" s="846"/>
      <c r="D860" s="846"/>
      <c r="E860" s="846"/>
      <c r="F860" s="846"/>
      <c r="G860" s="846"/>
      <c r="H860" s="846"/>
      <c r="I860" s="846"/>
      <c r="J860" s="846"/>
      <c r="K860" s="846"/>
      <c r="L860" s="846"/>
      <c r="M860" s="846"/>
      <c r="N860" s="846"/>
      <c r="O860" s="846"/>
      <c r="P860" s="846"/>
      <c r="Q860" s="846"/>
    </row>
    <row r="861" ht="15.0" customHeight="1">
      <c r="A861" s="1296"/>
      <c r="B861" s="846"/>
      <c r="C861" s="846"/>
      <c r="D861" s="846"/>
      <c r="E861" s="846"/>
      <c r="F861" s="846"/>
      <c r="G861" s="846"/>
      <c r="H861" s="846"/>
      <c r="I861" s="846"/>
      <c r="J861" s="846"/>
      <c r="K861" s="846"/>
      <c r="L861" s="846"/>
      <c r="M861" s="846"/>
      <c r="N861" s="846"/>
      <c r="O861" s="846"/>
      <c r="P861" s="846"/>
      <c r="Q861" s="846"/>
    </row>
    <row r="862" ht="15.0" customHeight="1">
      <c r="A862" s="1296"/>
      <c r="B862" s="846"/>
      <c r="C862" s="846"/>
      <c r="D862" s="846"/>
      <c r="E862" s="846"/>
      <c r="F862" s="846"/>
      <c r="G862" s="846"/>
      <c r="H862" s="846"/>
      <c r="I862" s="846"/>
      <c r="J862" s="846"/>
      <c r="K862" s="846"/>
      <c r="L862" s="846"/>
      <c r="M862" s="846"/>
      <c r="N862" s="846"/>
      <c r="O862" s="846"/>
      <c r="P862" s="846"/>
      <c r="Q862" s="846"/>
    </row>
    <row r="863" ht="15.0" customHeight="1">
      <c r="A863" s="1296"/>
      <c r="B863" s="846"/>
      <c r="C863" s="846"/>
      <c r="D863" s="846"/>
      <c r="E863" s="846"/>
      <c r="F863" s="846"/>
      <c r="G863" s="846"/>
      <c r="H863" s="846"/>
      <c r="I863" s="846"/>
      <c r="J863" s="846"/>
      <c r="K863" s="846"/>
      <c r="L863" s="846"/>
      <c r="M863" s="846"/>
      <c r="N863" s="846"/>
      <c r="O863" s="846"/>
      <c r="P863" s="846"/>
      <c r="Q863" s="846"/>
    </row>
    <row r="864" ht="15.0" customHeight="1">
      <c r="A864" s="1296"/>
      <c r="B864" s="846"/>
      <c r="C864" s="846"/>
      <c r="D864" s="846"/>
      <c r="E864" s="846"/>
      <c r="F864" s="846"/>
      <c r="G864" s="846"/>
      <c r="H864" s="846"/>
      <c r="I864" s="846"/>
      <c r="J864" s="846"/>
      <c r="K864" s="846"/>
      <c r="L864" s="846"/>
      <c r="M864" s="846"/>
      <c r="N864" s="846"/>
      <c r="O864" s="846"/>
      <c r="P864" s="846"/>
      <c r="Q864" s="846"/>
    </row>
    <row r="865" ht="15.0" customHeight="1">
      <c r="A865" s="1296"/>
      <c r="B865" s="846"/>
      <c r="C865" s="846"/>
      <c r="D865" s="846"/>
      <c r="E865" s="846"/>
      <c r="F865" s="846"/>
      <c r="G865" s="846"/>
      <c r="H865" s="846"/>
      <c r="I865" s="846"/>
      <c r="J865" s="846"/>
      <c r="K865" s="846"/>
      <c r="L865" s="846"/>
      <c r="M865" s="846"/>
      <c r="N865" s="846"/>
      <c r="O865" s="846"/>
      <c r="P865" s="846"/>
      <c r="Q865" s="846"/>
    </row>
    <row r="866" ht="15.0" customHeight="1">
      <c r="A866" s="1296"/>
      <c r="B866" s="846"/>
      <c r="C866" s="846"/>
      <c r="D866" s="846"/>
      <c r="E866" s="846"/>
      <c r="F866" s="846"/>
      <c r="G866" s="846"/>
      <c r="H866" s="846"/>
      <c r="I866" s="846"/>
      <c r="J866" s="846"/>
      <c r="K866" s="846"/>
      <c r="L866" s="846"/>
      <c r="M866" s="846"/>
      <c r="N866" s="846"/>
      <c r="O866" s="846"/>
      <c r="P866" s="846"/>
      <c r="Q866" s="846"/>
    </row>
    <row r="867" ht="15.0" customHeight="1">
      <c r="A867" s="1296"/>
      <c r="B867" s="846"/>
      <c r="C867" s="846"/>
      <c r="D867" s="846"/>
      <c r="E867" s="846"/>
      <c r="F867" s="846"/>
      <c r="G867" s="846"/>
      <c r="H867" s="846"/>
      <c r="I867" s="846"/>
      <c r="J867" s="846"/>
      <c r="K867" s="846"/>
      <c r="L867" s="846"/>
      <c r="M867" s="846"/>
      <c r="N867" s="846"/>
      <c r="O867" s="846"/>
      <c r="P867" s="846"/>
      <c r="Q867" s="846"/>
    </row>
    <row r="868" ht="15.0" customHeight="1">
      <c r="A868" s="1296"/>
      <c r="B868" s="846"/>
      <c r="C868" s="846"/>
      <c r="D868" s="846"/>
      <c r="E868" s="846"/>
      <c r="F868" s="846"/>
      <c r="G868" s="846"/>
      <c r="H868" s="846"/>
      <c r="I868" s="846"/>
      <c r="J868" s="846"/>
      <c r="K868" s="846"/>
      <c r="L868" s="846"/>
      <c r="M868" s="846"/>
      <c r="N868" s="846"/>
      <c r="O868" s="846"/>
      <c r="P868" s="846"/>
      <c r="Q868" s="846"/>
    </row>
    <row r="869" ht="15.0" customHeight="1">
      <c r="A869" s="1296"/>
      <c r="B869" s="846"/>
      <c r="C869" s="846"/>
      <c r="D869" s="846"/>
      <c r="E869" s="846"/>
      <c r="F869" s="846"/>
      <c r="G869" s="846"/>
      <c r="H869" s="846"/>
      <c r="I869" s="846"/>
      <c r="J869" s="846"/>
      <c r="K869" s="846"/>
      <c r="L869" s="846"/>
      <c r="M869" s="846"/>
      <c r="N869" s="846"/>
      <c r="O869" s="846"/>
      <c r="P869" s="846"/>
      <c r="Q869" s="846"/>
    </row>
    <row r="870" ht="15.0" customHeight="1">
      <c r="A870" s="1296"/>
      <c r="B870" s="846"/>
      <c r="C870" s="846"/>
      <c r="D870" s="846"/>
      <c r="E870" s="846"/>
      <c r="F870" s="846"/>
      <c r="G870" s="846"/>
      <c r="H870" s="846"/>
      <c r="I870" s="846"/>
      <c r="J870" s="846"/>
      <c r="K870" s="846"/>
      <c r="L870" s="846"/>
      <c r="M870" s="846"/>
      <c r="N870" s="846"/>
      <c r="O870" s="846"/>
      <c r="P870" s="846"/>
      <c r="Q870" s="846"/>
    </row>
    <row r="871" ht="15.0" customHeight="1">
      <c r="A871" s="1296"/>
      <c r="B871" s="846"/>
      <c r="C871" s="846"/>
      <c r="D871" s="846"/>
      <c r="E871" s="846"/>
      <c r="F871" s="846"/>
      <c r="G871" s="846"/>
      <c r="H871" s="846"/>
      <c r="I871" s="846"/>
      <c r="J871" s="846"/>
      <c r="K871" s="846"/>
      <c r="L871" s="846"/>
      <c r="M871" s="846"/>
      <c r="N871" s="846"/>
      <c r="O871" s="846"/>
      <c r="P871" s="846"/>
      <c r="Q871" s="846"/>
    </row>
    <row r="872" ht="15.0" customHeight="1">
      <c r="A872" s="1296"/>
      <c r="B872" s="846"/>
      <c r="C872" s="846"/>
      <c r="D872" s="846"/>
      <c r="E872" s="846"/>
      <c r="F872" s="846"/>
      <c r="G872" s="846"/>
      <c r="H872" s="846"/>
      <c r="I872" s="846"/>
      <c r="J872" s="846"/>
      <c r="K872" s="846"/>
      <c r="L872" s="846"/>
      <c r="M872" s="846"/>
      <c r="N872" s="846"/>
      <c r="O872" s="846"/>
      <c r="P872" s="846"/>
      <c r="Q872" s="846"/>
    </row>
    <row r="873" ht="15.0" customHeight="1">
      <c r="A873" s="1296"/>
      <c r="B873" s="846"/>
      <c r="C873" s="846"/>
      <c r="D873" s="846"/>
      <c r="E873" s="846"/>
      <c r="F873" s="846"/>
      <c r="G873" s="846"/>
      <c r="H873" s="846"/>
      <c r="I873" s="846"/>
      <c r="J873" s="846"/>
      <c r="K873" s="846"/>
      <c r="L873" s="846"/>
      <c r="M873" s="846"/>
      <c r="N873" s="846"/>
      <c r="O873" s="846"/>
      <c r="P873" s="846"/>
      <c r="Q873" s="846"/>
    </row>
    <row r="874" ht="15.0" customHeight="1">
      <c r="A874" s="1296"/>
      <c r="B874" s="846"/>
      <c r="C874" s="846"/>
      <c r="D874" s="846"/>
      <c r="E874" s="846"/>
      <c r="F874" s="846"/>
      <c r="G874" s="846"/>
      <c r="H874" s="846"/>
      <c r="I874" s="846"/>
      <c r="J874" s="846"/>
      <c r="K874" s="846"/>
      <c r="L874" s="846"/>
      <c r="M874" s="846"/>
      <c r="N874" s="846"/>
      <c r="O874" s="846"/>
      <c r="P874" s="846"/>
      <c r="Q874" s="846"/>
    </row>
    <row r="875" ht="15.0" customHeight="1">
      <c r="A875" s="1296"/>
      <c r="B875" s="846"/>
      <c r="C875" s="846"/>
      <c r="D875" s="846"/>
      <c r="E875" s="846"/>
      <c r="F875" s="846"/>
      <c r="G875" s="846"/>
      <c r="H875" s="846"/>
      <c r="I875" s="846"/>
      <c r="J875" s="846"/>
      <c r="K875" s="846"/>
      <c r="L875" s="846"/>
      <c r="M875" s="846"/>
      <c r="N875" s="846"/>
      <c r="O875" s="846"/>
      <c r="P875" s="846"/>
      <c r="Q875" s="846"/>
    </row>
    <row r="876" ht="15.0" customHeight="1">
      <c r="A876" s="1296"/>
      <c r="B876" s="846"/>
      <c r="C876" s="846"/>
      <c r="D876" s="846"/>
      <c r="E876" s="846"/>
      <c r="F876" s="846"/>
      <c r="G876" s="846"/>
      <c r="H876" s="846"/>
      <c r="I876" s="846"/>
      <c r="J876" s="846"/>
      <c r="K876" s="846"/>
      <c r="L876" s="846"/>
      <c r="M876" s="846"/>
      <c r="N876" s="846"/>
      <c r="O876" s="846"/>
      <c r="P876" s="846"/>
      <c r="Q876" s="846"/>
    </row>
    <row r="877" ht="15.0" customHeight="1">
      <c r="A877" s="1296"/>
      <c r="B877" s="846"/>
      <c r="C877" s="846"/>
      <c r="D877" s="846"/>
      <c r="E877" s="846"/>
      <c r="F877" s="846"/>
      <c r="G877" s="846"/>
      <c r="H877" s="846"/>
      <c r="I877" s="846"/>
      <c r="J877" s="846"/>
      <c r="K877" s="846"/>
      <c r="L877" s="846"/>
      <c r="M877" s="846"/>
      <c r="N877" s="846"/>
      <c r="O877" s="846"/>
      <c r="P877" s="846"/>
      <c r="Q877" s="846"/>
    </row>
    <row r="878" ht="15.0" customHeight="1">
      <c r="A878" s="1296"/>
      <c r="B878" s="846"/>
      <c r="C878" s="846"/>
      <c r="D878" s="846"/>
      <c r="E878" s="846"/>
      <c r="F878" s="846"/>
      <c r="G878" s="846"/>
      <c r="H878" s="846"/>
      <c r="I878" s="846"/>
      <c r="J878" s="846"/>
      <c r="K878" s="846"/>
      <c r="L878" s="846"/>
      <c r="M878" s="846"/>
      <c r="N878" s="846"/>
      <c r="O878" s="846"/>
      <c r="P878" s="846"/>
      <c r="Q878" s="846"/>
    </row>
    <row r="879" ht="15.0" customHeight="1">
      <c r="A879" s="1296"/>
      <c r="B879" s="846"/>
      <c r="C879" s="846"/>
      <c r="D879" s="846"/>
      <c r="E879" s="846"/>
      <c r="F879" s="846"/>
      <c r="G879" s="846"/>
      <c r="H879" s="846"/>
      <c r="I879" s="846"/>
      <c r="J879" s="846"/>
      <c r="K879" s="846"/>
      <c r="L879" s="846"/>
      <c r="M879" s="846"/>
      <c r="N879" s="846"/>
      <c r="O879" s="846"/>
      <c r="P879" s="846"/>
      <c r="Q879" s="846"/>
    </row>
    <row r="880" ht="15.0" customHeight="1">
      <c r="A880" s="1296"/>
      <c r="B880" s="846"/>
      <c r="C880" s="846"/>
      <c r="D880" s="846"/>
      <c r="E880" s="846"/>
      <c r="F880" s="846"/>
      <c r="G880" s="846"/>
      <c r="H880" s="846"/>
      <c r="I880" s="846"/>
      <c r="J880" s="846"/>
      <c r="K880" s="846"/>
      <c r="L880" s="846"/>
      <c r="M880" s="846"/>
      <c r="N880" s="846"/>
      <c r="O880" s="846"/>
      <c r="P880" s="846"/>
      <c r="Q880" s="846"/>
    </row>
    <row r="881" ht="15.0" customHeight="1">
      <c r="A881" s="1296"/>
      <c r="B881" s="846"/>
      <c r="C881" s="846"/>
      <c r="D881" s="846"/>
      <c r="E881" s="846"/>
      <c r="F881" s="846"/>
      <c r="G881" s="846"/>
      <c r="H881" s="846"/>
      <c r="I881" s="846"/>
      <c r="J881" s="846"/>
      <c r="K881" s="846"/>
      <c r="L881" s="846"/>
      <c r="M881" s="846"/>
      <c r="N881" s="846"/>
      <c r="O881" s="846"/>
      <c r="P881" s="846"/>
      <c r="Q881" s="846"/>
    </row>
    <row r="882" ht="15.0" customHeight="1">
      <c r="A882" s="1296"/>
      <c r="B882" s="846"/>
      <c r="C882" s="846"/>
      <c r="D882" s="846"/>
      <c r="E882" s="846"/>
      <c r="F882" s="846"/>
      <c r="G882" s="846"/>
      <c r="H882" s="846"/>
      <c r="I882" s="846"/>
      <c r="J882" s="846"/>
      <c r="K882" s="846"/>
      <c r="L882" s="846"/>
      <c r="M882" s="846"/>
      <c r="N882" s="846"/>
      <c r="O882" s="846"/>
      <c r="P882" s="846"/>
      <c r="Q882" s="846"/>
    </row>
    <row r="883" ht="15.0" customHeight="1">
      <c r="A883" s="1296"/>
      <c r="B883" s="846"/>
      <c r="C883" s="846"/>
      <c r="D883" s="846"/>
      <c r="E883" s="846"/>
      <c r="F883" s="846"/>
      <c r="G883" s="846"/>
      <c r="H883" s="846"/>
      <c r="I883" s="846"/>
      <c r="J883" s="846"/>
      <c r="K883" s="846"/>
      <c r="L883" s="846"/>
      <c r="M883" s="846"/>
      <c r="N883" s="846"/>
      <c r="O883" s="846"/>
      <c r="P883" s="846"/>
      <c r="Q883" s="846"/>
    </row>
    <row r="884" ht="15.0" customHeight="1">
      <c r="A884" s="1296"/>
      <c r="B884" s="846"/>
      <c r="C884" s="846"/>
      <c r="D884" s="846"/>
      <c r="E884" s="846"/>
      <c r="F884" s="846"/>
      <c r="G884" s="846"/>
      <c r="H884" s="846"/>
      <c r="I884" s="846"/>
      <c r="J884" s="846"/>
      <c r="K884" s="846"/>
      <c r="L884" s="846"/>
      <c r="M884" s="846"/>
      <c r="N884" s="846"/>
      <c r="O884" s="846"/>
      <c r="P884" s="846"/>
      <c r="Q884" s="846"/>
    </row>
    <row r="885" ht="15.0" customHeight="1">
      <c r="A885" s="1296"/>
      <c r="B885" s="846"/>
      <c r="C885" s="846"/>
      <c r="D885" s="846"/>
      <c r="E885" s="846"/>
      <c r="F885" s="846"/>
      <c r="G885" s="846"/>
      <c r="H885" s="846"/>
      <c r="I885" s="846"/>
      <c r="J885" s="846"/>
      <c r="K885" s="846"/>
      <c r="L885" s="846"/>
      <c r="M885" s="846"/>
      <c r="N885" s="846"/>
      <c r="O885" s="846"/>
      <c r="P885" s="846"/>
      <c r="Q885" s="846"/>
    </row>
    <row r="886" ht="15.0" customHeight="1">
      <c r="A886" s="1296"/>
      <c r="B886" s="846"/>
      <c r="C886" s="846"/>
      <c r="D886" s="846"/>
      <c r="E886" s="846"/>
      <c r="F886" s="846"/>
      <c r="G886" s="846"/>
      <c r="H886" s="846"/>
      <c r="I886" s="846"/>
      <c r="J886" s="846"/>
      <c r="K886" s="846"/>
      <c r="L886" s="846"/>
      <c r="M886" s="846"/>
      <c r="N886" s="846"/>
      <c r="O886" s="846"/>
      <c r="P886" s="846"/>
      <c r="Q886" s="846"/>
    </row>
    <row r="887" ht="15.0" customHeight="1">
      <c r="A887" s="1296"/>
      <c r="B887" s="846"/>
      <c r="C887" s="846"/>
      <c r="D887" s="846"/>
      <c r="E887" s="846"/>
      <c r="F887" s="846"/>
      <c r="G887" s="846"/>
      <c r="H887" s="846"/>
      <c r="I887" s="846"/>
      <c r="J887" s="846"/>
      <c r="K887" s="846"/>
      <c r="L887" s="846"/>
      <c r="M887" s="846"/>
      <c r="N887" s="846"/>
      <c r="O887" s="846"/>
      <c r="P887" s="846"/>
      <c r="Q887" s="846"/>
    </row>
    <row r="888" ht="15.0" customHeight="1">
      <c r="A888" s="1296"/>
      <c r="B888" s="846"/>
      <c r="C888" s="846"/>
      <c r="D888" s="846"/>
      <c r="E888" s="846"/>
      <c r="F888" s="846"/>
      <c r="G888" s="846"/>
      <c r="H888" s="846"/>
      <c r="I888" s="846"/>
      <c r="J888" s="846"/>
      <c r="K888" s="846"/>
      <c r="L888" s="846"/>
      <c r="M888" s="846"/>
      <c r="N888" s="846"/>
      <c r="O888" s="846"/>
      <c r="P888" s="846"/>
      <c r="Q888" s="846"/>
    </row>
    <row r="889" ht="15.0" customHeight="1">
      <c r="A889" s="1296"/>
      <c r="B889" s="846"/>
      <c r="C889" s="846"/>
      <c r="D889" s="846"/>
      <c r="E889" s="846"/>
      <c r="F889" s="846"/>
      <c r="G889" s="846"/>
      <c r="H889" s="846"/>
      <c r="I889" s="846"/>
      <c r="J889" s="846"/>
      <c r="K889" s="846"/>
      <c r="L889" s="846"/>
      <c r="M889" s="846"/>
      <c r="N889" s="846"/>
      <c r="O889" s="846"/>
      <c r="P889" s="846"/>
      <c r="Q889" s="846"/>
    </row>
    <row r="890" ht="15.0" customHeight="1">
      <c r="A890" s="1296"/>
      <c r="B890" s="846"/>
      <c r="C890" s="846"/>
      <c r="D890" s="846"/>
      <c r="E890" s="846"/>
      <c r="F890" s="846"/>
      <c r="G890" s="846"/>
      <c r="H890" s="846"/>
      <c r="I890" s="846"/>
      <c r="J890" s="846"/>
      <c r="K890" s="846"/>
      <c r="L890" s="846"/>
      <c r="M890" s="846"/>
      <c r="N890" s="846"/>
      <c r="O890" s="846"/>
      <c r="P890" s="846"/>
      <c r="Q890" s="846"/>
    </row>
    <row r="891" ht="15.0" customHeight="1">
      <c r="A891" s="1296"/>
      <c r="B891" s="846"/>
      <c r="C891" s="846"/>
      <c r="D891" s="846"/>
      <c r="E891" s="846"/>
      <c r="F891" s="846"/>
      <c r="G891" s="846"/>
      <c r="H891" s="846"/>
      <c r="I891" s="846"/>
      <c r="J891" s="846"/>
      <c r="K891" s="846"/>
      <c r="L891" s="846"/>
      <c r="M891" s="846"/>
      <c r="N891" s="846"/>
      <c r="O891" s="846"/>
      <c r="P891" s="846"/>
      <c r="Q891" s="846"/>
    </row>
    <row r="892" ht="15.0" customHeight="1">
      <c r="A892" s="1296"/>
      <c r="B892" s="846"/>
      <c r="C892" s="846"/>
      <c r="D892" s="846"/>
      <c r="E892" s="846"/>
      <c r="F892" s="846"/>
      <c r="G892" s="846"/>
      <c r="H892" s="846"/>
      <c r="I892" s="846"/>
      <c r="J892" s="846"/>
      <c r="K892" s="846"/>
      <c r="L892" s="846"/>
      <c r="M892" s="846"/>
      <c r="N892" s="846"/>
      <c r="O892" s="846"/>
      <c r="P892" s="846"/>
      <c r="Q892" s="846"/>
    </row>
    <row r="893" ht="15.0" customHeight="1">
      <c r="A893" s="1296"/>
      <c r="B893" s="846"/>
      <c r="C893" s="846"/>
      <c r="D893" s="846"/>
      <c r="E893" s="846"/>
      <c r="F893" s="846"/>
      <c r="G893" s="846"/>
      <c r="H893" s="846"/>
      <c r="I893" s="846"/>
      <c r="J893" s="846"/>
      <c r="K893" s="846"/>
      <c r="L893" s="846"/>
      <c r="M893" s="846"/>
      <c r="N893" s="846"/>
      <c r="O893" s="846"/>
      <c r="P893" s="846"/>
      <c r="Q893" s="846"/>
    </row>
    <row r="894" ht="15.0" customHeight="1">
      <c r="A894" s="1296"/>
      <c r="B894" s="846"/>
      <c r="C894" s="846"/>
      <c r="D894" s="846"/>
      <c r="E894" s="846"/>
      <c r="F894" s="846"/>
      <c r="G894" s="846"/>
      <c r="H894" s="846"/>
      <c r="I894" s="846"/>
      <c r="J894" s="846"/>
      <c r="K894" s="846"/>
      <c r="L894" s="846"/>
      <c r="M894" s="846"/>
      <c r="N894" s="846"/>
      <c r="O894" s="846"/>
      <c r="P894" s="846"/>
      <c r="Q894" s="846"/>
    </row>
    <row r="895" ht="15.0" customHeight="1">
      <c r="A895" s="1296"/>
      <c r="B895" s="846"/>
      <c r="C895" s="846"/>
      <c r="D895" s="846"/>
      <c r="E895" s="846"/>
      <c r="F895" s="846"/>
      <c r="G895" s="846"/>
      <c r="H895" s="846"/>
      <c r="I895" s="846"/>
      <c r="J895" s="846"/>
      <c r="K895" s="846"/>
      <c r="L895" s="846"/>
      <c r="M895" s="846"/>
      <c r="N895" s="846"/>
      <c r="O895" s="846"/>
      <c r="P895" s="846"/>
      <c r="Q895" s="846"/>
    </row>
    <row r="896" ht="15.0" customHeight="1">
      <c r="A896" s="1296"/>
      <c r="B896" s="846"/>
      <c r="C896" s="846"/>
      <c r="D896" s="846"/>
      <c r="E896" s="846"/>
      <c r="F896" s="846"/>
      <c r="G896" s="846"/>
      <c r="H896" s="846"/>
      <c r="I896" s="846"/>
      <c r="J896" s="846"/>
      <c r="K896" s="846"/>
      <c r="L896" s="846"/>
      <c r="M896" s="846"/>
      <c r="N896" s="846"/>
      <c r="O896" s="846"/>
      <c r="P896" s="846"/>
      <c r="Q896" s="846"/>
    </row>
    <row r="897" ht="15.0" customHeight="1">
      <c r="A897" s="1296"/>
      <c r="B897" s="846"/>
      <c r="C897" s="846"/>
      <c r="D897" s="846"/>
      <c r="E897" s="846"/>
      <c r="F897" s="846"/>
      <c r="G897" s="846"/>
      <c r="H897" s="846"/>
      <c r="I897" s="846"/>
      <c r="J897" s="846"/>
      <c r="K897" s="846"/>
      <c r="L897" s="846"/>
      <c r="M897" s="846"/>
      <c r="N897" s="846"/>
      <c r="O897" s="846"/>
      <c r="P897" s="846"/>
      <c r="Q897" s="846"/>
    </row>
    <row r="898" ht="15.0" customHeight="1">
      <c r="A898" s="1296"/>
      <c r="B898" s="846"/>
      <c r="C898" s="846"/>
      <c r="D898" s="846"/>
      <c r="E898" s="846"/>
      <c r="F898" s="846"/>
      <c r="G898" s="846"/>
      <c r="H898" s="846"/>
      <c r="I898" s="846"/>
      <c r="J898" s="846"/>
      <c r="K898" s="846"/>
      <c r="L898" s="846"/>
      <c r="M898" s="846"/>
      <c r="N898" s="846"/>
      <c r="O898" s="846"/>
      <c r="P898" s="846"/>
      <c r="Q898" s="846"/>
    </row>
    <row r="899" ht="15.0" customHeight="1">
      <c r="A899" s="1296"/>
      <c r="B899" s="846"/>
      <c r="C899" s="846"/>
      <c r="D899" s="846"/>
      <c r="E899" s="846"/>
      <c r="F899" s="846"/>
      <c r="G899" s="846"/>
      <c r="H899" s="846"/>
      <c r="I899" s="846"/>
      <c r="J899" s="846"/>
      <c r="K899" s="846"/>
      <c r="L899" s="846"/>
      <c r="M899" s="846"/>
      <c r="N899" s="846"/>
      <c r="O899" s="846"/>
      <c r="P899" s="846"/>
      <c r="Q899" s="846"/>
    </row>
    <row r="900" ht="15.0" customHeight="1">
      <c r="A900" s="1296"/>
      <c r="B900" s="846"/>
      <c r="C900" s="846"/>
      <c r="D900" s="846"/>
      <c r="E900" s="846"/>
      <c r="F900" s="846"/>
      <c r="G900" s="846"/>
      <c r="H900" s="846"/>
      <c r="I900" s="846"/>
      <c r="J900" s="846"/>
      <c r="K900" s="846"/>
      <c r="L900" s="846"/>
      <c r="M900" s="846"/>
      <c r="N900" s="846"/>
      <c r="O900" s="846"/>
      <c r="P900" s="846"/>
      <c r="Q900" s="846"/>
    </row>
    <row r="901" ht="15.0" customHeight="1">
      <c r="A901" s="1296"/>
      <c r="B901" s="846"/>
      <c r="C901" s="846"/>
      <c r="D901" s="846"/>
      <c r="E901" s="846"/>
      <c r="F901" s="846"/>
      <c r="G901" s="846"/>
      <c r="H901" s="846"/>
      <c r="I901" s="846"/>
      <c r="J901" s="846"/>
      <c r="K901" s="846"/>
      <c r="L901" s="846"/>
      <c r="M901" s="846"/>
      <c r="N901" s="846"/>
      <c r="O901" s="846"/>
      <c r="P901" s="846"/>
      <c r="Q901" s="846"/>
    </row>
    <row r="902" ht="15.0" customHeight="1">
      <c r="A902" s="1296"/>
      <c r="B902" s="846"/>
      <c r="C902" s="846"/>
      <c r="D902" s="846"/>
      <c r="E902" s="846"/>
      <c r="F902" s="846"/>
      <c r="G902" s="846"/>
      <c r="H902" s="846"/>
      <c r="I902" s="846"/>
      <c r="J902" s="846"/>
      <c r="K902" s="846"/>
      <c r="L902" s="846"/>
      <c r="M902" s="846"/>
      <c r="N902" s="846"/>
      <c r="O902" s="846"/>
      <c r="P902" s="846"/>
      <c r="Q902" s="846"/>
    </row>
    <row r="903" ht="15.0" customHeight="1">
      <c r="A903" s="1296"/>
      <c r="B903" s="846"/>
      <c r="C903" s="846"/>
      <c r="D903" s="846"/>
      <c r="E903" s="846"/>
      <c r="F903" s="846"/>
      <c r="G903" s="846"/>
      <c r="H903" s="846"/>
      <c r="I903" s="846"/>
      <c r="J903" s="846"/>
      <c r="K903" s="846"/>
      <c r="L903" s="846"/>
      <c r="M903" s="846"/>
      <c r="N903" s="846"/>
      <c r="O903" s="846"/>
      <c r="P903" s="846"/>
      <c r="Q903" s="846"/>
    </row>
    <row r="904" ht="15.0" customHeight="1">
      <c r="A904" s="1296"/>
      <c r="B904" s="846"/>
      <c r="C904" s="846"/>
      <c r="D904" s="846"/>
      <c r="E904" s="846"/>
      <c r="F904" s="846"/>
      <c r="G904" s="846"/>
      <c r="H904" s="846"/>
      <c r="I904" s="846"/>
      <c r="J904" s="846"/>
      <c r="K904" s="846"/>
      <c r="L904" s="846"/>
      <c r="M904" s="846"/>
      <c r="N904" s="846"/>
      <c r="O904" s="846"/>
      <c r="P904" s="846"/>
      <c r="Q904" s="846"/>
    </row>
    <row r="905" ht="15.0" customHeight="1">
      <c r="A905" s="1296"/>
      <c r="B905" s="846"/>
      <c r="C905" s="846"/>
      <c r="D905" s="846"/>
      <c r="E905" s="846"/>
      <c r="F905" s="846"/>
      <c r="G905" s="846"/>
      <c r="H905" s="846"/>
      <c r="I905" s="846"/>
      <c r="J905" s="846"/>
      <c r="K905" s="846"/>
      <c r="L905" s="846"/>
      <c r="M905" s="846"/>
      <c r="N905" s="846"/>
      <c r="O905" s="846"/>
      <c r="P905" s="846"/>
      <c r="Q905" s="846"/>
    </row>
    <row r="906" ht="15.0" customHeight="1">
      <c r="A906" s="1296"/>
      <c r="B906" s="846"/>
      <c r="C906" s="846"/>
      <c r="D906" s="846"/>
      <c r="E906" s="846"/>
      <c r="F906" s="846"/>
      <c r="G906" s="846"/>
      <c r="H906" s="846"/>
      <c r="I906" s="846"/>
      <c r="J906" s="846"/>
      <c r="K906" s="846"/>
      <c r="L906" s="846"/>
      <c r="M906" s="846"/>
      <c r="N906" s="846"/>
      <c r="O906" s="846"/>
      <c r="P906" s="846"/>
      <c r="Q906" s="846"/>
    </row>
    <row r="907" ht="15.0" customHeight="1">
      <c r="A907" s="1296"/>
      <c r="B907" s="846"/>
      <c r="C907" s="846"/>
      <c r="D907" s="846"/>
      <c r="E907" s="846"/>
      <c r="F907" s="846"/>
      <c r="G907" s="846"/>
      <c r="H907" s="846"/>
      <c r="I907" s="846"/>
      <c r="J907" s="846"/>
      <c r="K907" s="846"/>
      <c r="L907" s="846"/>
      <c r="M907" s="846"/>
      <c r="N907" s="846"/>
      <c r="O907" s="846"/>
      <c r="P907" s="846"/>
      <c r="Q907" s="846"/>
    </row>
    <row r="908" ht="15.0" customHeight="1">
      <c r="A908" s="1296"/>
      <c r="B908" s="846"/>
      <c r="C908" s="846"/>
      <c r="D908" s="846"/>
      <c r="E908" s="846"/>
      <c r="F908" s="846"/>
      <c r="G908" s="846"/>
      <c r="H908" s="846"/>
      <c r="I908" s="846"/>
      <c r="J908" s="846"/>
      <c r="K908" s="846"/>
      <c r="L908" s="846"/>
      <c r="M908" s="846"/>
      <c r="N908" s="846"/>
      <c r="O908" s="846"/>
      <c r="P908" s="846"/>
      <c r="Q908" s="846"/>
    </row>
    <row r="909" ht="15.0" customHeight="1">
      <c r="A909" s="1296"/>
      <c r="B909" s="846"/>
      <c r="C909" s="846"/>
      <c r="D909" s="846"/>
      <c r="E909" s="846"/>
      <c r="F909" s="846"/>
      <c r="G909" s="846"/>
      <c r="H909" s="846"/>
      <c r="I909" s="846"/>
      <c r="J909" s="846"/>
      <c r="K909" s="846"/>
      <c r="L909" s="846"/>
      <c r="M909" s="846"/>
      <c r="N909" s="846"/>
      <c r="O909" s="846"/>
      <c r="P909" s="846"/>
      <c r="Q909" s="846"/>
    </row>
    <row r="910" ht="15.0" customHeight="1">
      <c r="A910" s="1296"/>
      <c r="B910" s="846"/>
      <c r="C910" s="846"/>
      <c r="D910" s="846"/>
      <c r="E910" s="846"/>
      <c r="F910" s="846"/>
      <c r="G910" s="846"/>
      <c r="H910" s="846"/>
      <c r="I910" s="846"/>
      <c r="J910" s="846"/>
      <c r="K910" s="846"/>
      <c r="L910" s="846"/>
      <c r="M910" s="846"/>
      <c r="N910" s="846"/>
      <c r="O910" s="846"/>
      <c r="P910" s="846"/>
      <c r="Q910" s="846"/>
    </row>
    <row r="911" ht="15.0" customHeight="1">
      <c r="A911" s="1296"/>
      <c r="B911" s="846"/>
      <c r="C911" s="846"/>
      <c r="D911" s="846"/>
      <c r="E911" s="846"/>
      <c r="F911" s="846"/>
      <c r="G911" s="846"/>
      <c r="H911" s="846"/>
      <c r="I911" s="846"/>
      <c r="J911" s="846"/>
      <c r="K911" s="846"/>
      <c r="L911" s="846"/>
      <c r="M911" s="846"/>
      <c r="N911" s="846"/>
      <c r="O911" s="846"/>
      <c r="P911" s="846"/>
      <c r="Q911" s="846"/>
    </row>
    <row r="912" ht="15.0" customHeight="1">
      <c r="A912" s="1296"/>
      <c r="B912" s="846"/>
      <c r="C912" s="846"/>
      <c r="D912" s="846"/>
      <c r="E912" s="846"/>
      <c r="F912" s="846"/>
      <c r="G912" s="846"/>
      <c r="H912" s="846"/>
      <c r="I912" s="846"/>
      <c r="J912" s="846"/>
      <c r="K912" s="846"/>
      <c r="L912" s="846"/>
      <c r="M912" s="846"/>
      <c r="N912" s="846"/>
      <c r="O912" s="846"/>
      <c r="P912" s="846"/>
      <c r="Q912" s="846"/>
    </row>
    <row r="913" ht="15.0" customHeight="1">
      <c r="A913" s="1296"/>
      <c r="B913" s="846"/>
      <c r="C913" s="846"/>
      <c r="D913" s="846"/>
      <c r="E913" s="846"/>
      <c r="F913" s="846"/>
      <c r="G913" s="846"/>
      <c r="H913" s="846"/>
      <c r="I913" s="846"/>
      <c r="J913" s="846"/>
      <c r="K913" s="846"/>
      <c r="L913" s="846"/>
      <c r="M913" s="846"/>
      <c r="N913" s="846"/>
      <c r="O913" s="846"/>
      <c r="P913" s="846"/>
      <c r="Q913" s="846"/>
    </row>
    <row r="914" ht="15.0" customHeight="1">
      <c r="A914" s="1296"/>
      <c r="B914" s="846"/>
      <c r="C914" s="846"/>
      <c r="D914" s="846"/>
      <c r="E914" s="846"/>
      <c r="F914" s="846"/>
      <c r="G914" s="846"/>
      <c r="H914" s="846"/>
      <c r="I914" s="846"/>
      <c r="J914" s="846"/>
      <c r="K914" s="846"/>
      <c r="L914" s="846"/>
      <c r="M914" s="846"/>
      <c r="N914" s="846"/>
      <c r="O914" s="846"/>
      <c r="P914" s="846"/>
      <c r="Q914" s="846"/>
    </row>
    <row r="915" ht="15.0" customHeight="1">
      <c r="A915" s="1296"/>
      <c r="B915" s="846"/>
      <c r="C915" s="846"/>
      <c r="D915" s="846"/>
      <c r="E915" s="846"/>
      <c r="F915" s="846"/>
      <c r="G915" s="846"/>
      <c r="H915" s="846"/>
      <c r="I915" s="846"/>
      <c r="J915" s="846"/>
      <c r="K915" s="846"/>
      <c r="L915" s="846"/>
      <c r="M915" s="846"/>
      <c r="N915" s="846"/>
      <c r="O915" s="846"/>
      <c r="P915" s="846"/>
      <c r="Q915" s="846"/>
    </row>
    <row r="916" ht="15.0" customHeight="1">
      <c r="A916" s="1296"/>
      <c r="B916" s="846"/>
      <c r="C916" s="846"/>
      <c r="D916" s="846"/>
      <c r="E916" s="846"/>
      <c r="F916" s="846"/>
      <c r="G916" s="846"/>
      <c r="H916" s="846"/>
      <c r="I916" s="846"/>
      <c r="J916" s="846"/>
      <c r="K916" s="846"/>
      <c r="L916" s="846"/>
      <c r="M916" s="846"/>
      <c r="N916" s="846"/>
      <c r="O916" s="846"/>
      <c r="P916" s="846"/>
      <c r="Q916" s="846"/>
    </row>
    <row r="917" ht="15.0" customHeight="1">
      <c r="A917" s="1296"/>
      <c r="B917" s="846"/>
      <c r="C917" s="846"/>
      <c r="D917" s="846"/>
      <c r="E917" s="846"/>
      <c r="F917" s="846"/>
      <c r="G917" s="846"/>
      <c r="H917" s="846"/>
      <c r="I917" s="846"/>
      <c r="J917" s="846"/>
      <c r="K917" s="846"/>
      <c r="L917" s="846"/>
      <c r="M917" s="846"/>
      <c r="N917" s="846"/>
      <c r="O917" s="846"/>
      <c r="P917" s="846"/>
      <c r="Q917" s="846"/>
    </row>
    <row r="918" ht="15.0" customHeight="1">
      <c r="A918" s="1296"/>
      <c r="B918" s="846"/>
      <c r="C918" s="846"/>
      <c r="D918" s="846"/>
      <c r="E918" s="846"/>
      <c r="F918" s="846"/>
      <c r="G918" s="846"/>
      <c r="H918" s="846"/>
      <c r="I918" s="846"/>
      <c r="J918" s="846"/>
      <c r="K918" s="846"/>
      <c r="L918" s="846"/>
      <c r="M918" s="846"/>
      <c r="N918" s="846"/>
      <c r="O918" s="846"/>
      <c r="P918" s="846"/>
      <c r="Q918" s="846"/>
    </row>
    <row r="919" ht="15.0" customHeight="1">
      <c r="A919" s="1296"/>
      <c r="B919" s="846"/>
      <c r="C919" s="846"/>
      <c r="D919" s="846"/>
      <c r="E919" s="846"/>
      <c r="F919" s="846"/>
      <c r="G919" s="846"/>
      <c r="H919" s="846"/>
      <c r="I919" s="846"/>
      <c r="J919" s="846"/>
      <c r="K919" s="846"/>
      <c r="L919" s="846"/>
      <c r="M919" s="846"/>
      <c r="N919" s="846"/>
      <c r="O919" s="846"/>
      <c r="P919" s="846"/>
      <c r="Q919" s="846"/>
    </row>
    <row r="920" ht="15.0" customHeight="1">
      <c r="A920" s="1296"/>
      <c r="B920" s="846"/>
      <c r="C920" s="846"/>
      <c r="D920" s="846"/>
      <c r="E920" s="846"/>
      <c r="F920" s="846"/>
      <c r="G920" s="846"/>
      <c r="H920" s="846"/>
      <c r="I920" s="846"/>
      <c r="J920" s="846"/>
      <c r="K920" s="846"/>
      <c r="L920" s="846"/>
      <c r="M920" s="846"/>
      <c r="N920" s="846"/>
      <c r="O920" s="846"/>
      <c r="P920" s="846"/>
      <c r="Q920" s="846"/>
    </row>
    <row r="921" ht="15.0" customHeight="1">
      <c r="A921" s="1296"/>
      <c r="B921" s="846"/>
      <c r="C921" s="846"/>
      <c r="D921" s="846"/>
      <c r="E921" s="846"/>
      <c r="F921" s="846"/>
      <c r="G921" s="846"/>
      <c r="H921" s="846"/>
      <c r="I921" s="846"/>
      <c r="J921" s="846"/>
      <c r="K921" s="846"/>
      <c r="L921" s="846"/>
      <c r="M921" s="846"/>
      <c r="N921" s="846"/>
      <c r="O921" s="846"/>
      <c r="P921" s="846"/>
      <c r="Q921" s="846"/>
    </row>
    <row r="922" ht="15.0" customHeight="1">
      <c r="A922" s="1296"/>
      <c r="B922" s="846"/>
      <c r="C922" s="846"/>
      <c r="D922" s="846"/>
      <c r="E922" s="846"/>
      <c r="F922" s="846"/>
      <c r="G922" s="846"/>
      <c r="H922" s="846"/>
      <c r="I922" s="846"/>
      <c r="J922" s="846"/>
      <c r="K922" s="846"/>
      <c r="L922" s="846"/>
      <c r="M922" s="846"/>
      <c r="N922" s="846"/>
      <c r="O922" s="846"/>
      <c r="P922" s="846"/>
      <c r="Q922" s="846"/>
    </row>
    <row r="923" ht="15.0" customHeight="1">
      <c r="A923" s="1296"/>
      <c r="B923" s="846"/>
      <c r="C923" s="846"/>
      <c r="D923" s="846"/>
      <c r="E923" s="846"/>
      <c r="F923" s="846"/>
      <c r="G923" s="846"/>
      <c r="H923" s="846"/>
      <c r="I923" s="846"/>
      <c r="J923" s="846"/>
      <c r="K923" s="846"/>
      <c r="L923" s="846"/>
      <c r="M923" s="846"/>
      <c r="N923" s="846"/>
      <c r="O923" s="846"/>
      <c r="P923" s="846"/>
      <c r="Q923" s="846"/>
    </row>
    <row r="924" ht="15.0" customHeight="1">
      <c r="A924" s="1296"/>
      <c r="B924" s="846"/>
      <c r="C924" s="846"/>
      <c r="D924" s="846"/>
      <c r="E924" s="846"/>
      <c r="F924" s="846"/>
      <c r="G924" s="846"/>
      <c r="H924" s="846"/>
      <c r="I924" s="846"/>
      <c r="J924" s="846"/>
      <c r="K924" s="846"/>
      <c r="L924" s="846"/>
      <c r="M924" s="846"/>
      <c r="N924" s="846"/>
      <c r="O924" s="846"/>
      <c r="P924" s="846"/>
      <c r="Q924" s="846"/>
    </row>
    <row r="925" ht="15.0" customHeight="1">
      <c r="A925" s="1296"/>
      <c r="B925" s="846"/>
      <c r="C925" s="846"/>
      <c r="D925" s="846"/>
      <c r="E925" s="846"/>
      <c r="F925" s="846"/>
      <c r="G925" s="846"/>
      <c r="H925" s="846"/>
      <c r="I925" s="846"/>
      <c r="J925" s="846"/>
      <c r="K925" s="846"/>
      <c r="L925" s="846"/>
      <c r="M925" s="846"/>
      <c r="N925" s="846"/>
      <c r="O925" s="846"/>
      <c r="P925" s="846"/>
      <c r="Q925" s="846"/>
    </row>
    <row r="926" ht="15.0" customHeight="1">
      <c r="A926" s="1296"/>
      <c r="B926" s="846"/>
      <c r="C926" s="846"/>
      <c r="D926" s="846"/>
      <c r="E926" s="846"/>
      <c r="F926" s="846"/>
      <c r="G926" s="846"/>
      <c r="H926" s="846"/>
      <c r="I926" s="846"/>
      <c r="J926" s="846"/>
      <c r="K926" s="846"/>
      <c r="L926" s="846"/>
      <c r="M926" s="846"/>
      <c r="N926" s="846"/>
      <c r="O926" s="846"/>
      <c r="P926" s="846"/>
      <c r="Q926" s="846"/>
    </row>
    <row r="927" ht="15.0" customHeight="1">
      <c r="A927" s="1296"/>
      <c r="B927" s="846"/>
      <c r="C927" s="846"/>
      <c r="D927" s="846"/>
      <c r="E927" s="846"/>
      <c r="F927" s="846"/>
      <c r="G927" s="846"/>
      <c r="H927" s="846"/>
      <c r="I927" s="846"/>
      <c r="J927" s="846"/>
      <c r="K927" s="846"/>
      <c r="L927" s="846"/>
      <c r="M927" s="846"/>
      <c r="N927" s="846"/>
      <c r="O927" s="846"/>
      <c r="P927" s="846"/>
      <c r="Q927" s="846"/>
    </row>
    <row r="928" ht="15.0" customHeight="1">
      <c r="A928" s="1296"/>
      <c r="B928" s="846"/>
      <c r="C928" s="846"/>
      <c r="D928" s="846"/>
      <c r="E928" s="846"/>
      <c r="F928" s="846"/>
      <c r="G928" s="846"/>
      <c r="H928" s="846"/>
      <c r="I928" s="846"/>
      <c r="J928" s="846"/>
      <c r="K928" s="846"/>
      <c r="L928" s="846"/>
      <c r="M928" s="846"/>
      <c r="N928" s="846"/>
      <c r="O928" s="846"/>
      <c r="P928" s="846"/>
      <c r="Q928" s="846"/>
    </row>
    <row r="929" ht="15.0" customHeight="1">
      <c r="A929" s="1296"/>
      <c r="B929" s="846"/>
      <c r="C929" s="846"/>
      <c r="D929" s="846"/>
      <c r="E929" s="846"/>
      <c r="F929" s="846"/>
      <c r="G929" s="846"/>
      <c r="H929" s="846"/>
      <c r="I929" s="846"/>
      <c r="J929" s="846"/>
      <c r="K929" s="846"/>
      <c r="L929" s="846"/>
      <c r="M929" s="846"/>
      <c r="N929" s="846"/>
      <c r="O929" s="846"/>
      <c r="P929" s="846"/>
      <c r="Q929" s="846"/>
    </row>
    <row r="930" ht="15.0" customHeight="1">
      <c r="A930" s="1296"/>
      <c r="B930" s="846"/>
      <c r="C930" s="846"/>
      <c r="D930" s="846"/>
      <c r="E930" s="846"/>
      <c r="F930" s="846"/>
      <c r="G930" s="846"/>
      <c r="H930" s="846"/>
      <c r="I930" s="846"/>
      <c r="J930" s="846"/>
      <c r="K930" s="846"/>
      <c r="L930" s="846"/>
      <c r="M930" s="846"/>
      <c r="N930" s="846"/>
      <c r="O930" s="846"/>
      <c r="P930" s="846"/>
      <c r="Q930" s="846"/>
    </row>
    <row r="931" ht="15.0" customHeight="1">
      <c r="A931" s="1296"/>
      <c r="B931" s="846"/>
      <c r="C931" s="846"/>
      <c r="D931" s="846"/>
      <c r="E931" s="846"/>
      <c r="F931" s="846"/>
      <c r="G931" s="846"/>
      <c r="H931" s="846"/>
      <c r="I931" s="846"/>
      <c r="J931" s="846"/>
      <c r="K931" s="846"/>
      <c r="L931" s="846"/>
      <c r="M931" s="846"/>
      <c r="N931" s="846"/>
      <c r="O931" s="846"/>
      <c r="P931" s="846"/>
      <c r="Q931" s="846"/>
    </row>
    <row r="932" ht="15.0" customHeight="1">
      <c r="A932" s="1296"/>
      <c r="B932" s="846"/>
      <c r="C932" s="846"/>
      <c r="D932" s="846"/>
      <c r="E932" s="846"/>
      <c r="F932" s="846"/>
      <c r="G932" s="846"/>
      <c r="H932" s="846"/>
      <c r="I932" s="846"/>
      <c r="J932" s="846"/>
      <c r="K932" s="846"/>
      <c r="L932" s="846"/>
      <c r="M932" s="846"/>
      <c r="N932" s="846"/>
      <c r="O932" s="846"/>
      <c r="P932" s="846"/>
      <c r="Q932" s="846"/>
    </row>
    <row r="933" ht="15.0" customHeight="1">
      <c r="A933" s="1296"/>
      <c r="B933" s="846"/>
      <c r="C933" s="846"/>
      <c r="D933" s="846"/>
      <c r="E933" s="846"/>
      <c r="F933" s="846"/>
      <c r="G933" s="846"/>
      <c r="H933" s="846"/>
      <c r="I933" s="846"/>
      <c r="J933" s="846"/>
      <c r="K933" s="846"/>
      <c r="L933" s="846"/>
      <c r="M933" s="846"/>
      <c r="N933" s="846"/>
      <c r="O933" s="846"/>
      <c r="P933" s="846"/>
      <c r="Q933" s="846"/>
    </row>
    <row r="934" ht="15.0" customHeight="1">
      <c r="A934" s="1296"/>
      <c r="B934" s="846"/>
      <c r="C934" s="846"/>
      <c r="D934" s="846"/>
      <c r="E934" s="846"/>
      <c r="F934" s="846"/>
      <c r="G934" s="846"/>
      <c r="H934" s="846"/>
      <c r="I934" s="846"/>
      <c r="J934" s="846"/>
      <c r="K934" s="846"/>
      <c r="L934" s="846"/>
      <c r="M934" s="846"/>
      <c r="N934" s="846"/>
      <c r="O934" s="846"/>
      <c r="P934" s="846"/>
      <c r="Q934" s="846"/>
    </row>
    <row r="935" ht="15.0" customHeight="1">
      <c r="A935" s="1296"/>
      <c r="B935" s="846"/>
      <c r="C935" s="846"/>
      <c r="D935" s="846"/>
      <c r="E935" s="846"/>
      <c r="F935" s="846"/>
      <c r="G935" s="846"/>
      <c r="H935" s="846"/>
      <c r="I935" s="846"/>
      <c r="J935" s="846"/>
      <c r="K935" s="846"/>
      <c r="L935" s="846"/>
      <c r="M935" s="846"/>
      <c r="N935" s="846"/>
      <c r="O935" s="846"/>
      <c r="P935" s="846"/>
      <c r="Q935" s="846"/>
    </row>
    <row r="936" ht="15.0" customHeight="1">
      <c r="A936" s="1296"/>
      <c r="B936" s="846"/>
      <c r="C936" s="846"/>
      <c r="D936" s="846"/>
      <c r="E936" s="846"/>
      <c r="F936" s="846"/>
      <c r="G936" s="846"/>
      <c r="H936" s="846"/>
      <c r="I936" s="846"/>
      <c r="J936" s="846"/>
      <c r="K936" s="846"/>
      <c r="L936" s="846"/>
      <c r="M936" s="846"/>
      <c r="N936" s="846"/>
      <c r="O936" s="846"/>
      <c r="P936" s="846"/>
      <c r="Q936" s="846"/>
    </row>
    <row r="937" ht="15.0" customHeight="1">
      <c r="A937" s="1296"/>
      <c r="B937" s="846"/>
      <c r="C937" s="846"/>
      <c r="D937" s="846"/>
      <c r="E937" s="846"/>
      <c r="F937" s="846"/>
      <c r="G937" s="846"/>
      <c r="H937" s="846"/>
      <c r="I937" s="846"/>
      <c r="J937" s="846"/>
      <c r="K937" s="846"/>
      <c r="L937" s="846"/>
      <c r="M937" s="846"/>
      <c r="N937" s="846"/>
      <c r="O937" s="846"/>
      <c r="P937" s="846"/>
      <c r="Q937" s="846"/>
    </row>
    <row r="938" ht="15.0" customHeight="1">
      <c r="A938" s="1296"/>
      <c r="B938" s="846"/>
      <c r="C938" s="846"/>
      <c r="D938" s="846"/>
      <c r="E938" s="846"/>
      <c r="F938" s="846"/>
      <c r="G938" s="846"/>
      <c r="H938" s="846"/>
      <c r="I938" s="846"/>
      <c r="J938" s="846"/>
      <c r="K938" s="846"/>
      <c r="L938" s="846"/>
      <c r="M938" s="846"/>
      <c r="N938" s="846"/>
      <c r="O938" s="846"/>
      <c r="P938" s="846"/>
      <c r="Q938" s="846"/>
    </row>
    <row r="939" ht="15.0" customHeight="1">
      <c r="A939" s="1296"/>
      <c r="B939" s="846"/>
      <c r="C939" s="846"/>
      <c r="D939" s="846"/>
      <c r="E939" s="846"/>
      <c r="F939" s="846"/>
      <c r="G939" s="846"/>
      <c r="H939" s="846"/>
      <c r="I939" s="846"/>
      <c r="J939" s="846"/>
      <c r="K939" s="846"/>
      <c r="L939" s="846"/>
      <c r="M939" s="846"/>
      <c r="N939" s="846"/>
      <c r="O939" s="846"/>
      <c r="P939" s="846"/>
      <c r="Q939" s="846"/>
    </row>
    <row r="940" ht="15.0" customHeight="1">
      <c r="A940" s="1296"/>
      <c r="B940" s="846"/>
      <c r="C940" s="846"/>
      <c r="D940" s="846"/>
      <c r="E940" s="846"/>
      <c r="F940" s="846"/>
      <c r="G940" s="846"/>
      <c r="H940" s="846"/>
      <c r="I940" s="846"/>
      <c r="J940" s="846"/>
      <c r="K940" s="846"/>
      <c r="L940" s="846"/>
      <c r="M940" s="846"/>
      <c r="N940" s="846"/>
      <c r="O940" s="846"/>
      <c r="P940" s="846"/>
      <c r="Q940" s="846"/>
    </row>
    <row r="941" ht="15.0" customHeight="1">
      <c r="A941" s="1296"/>
      <c r="B941" s="846"/>
      <c r="C941" s="846"/>
      <c r="D941" s="846"/>
      <c r="E941" s="846"/>
      <c r="F941" s="846"/>
      <c r="G941" s="846"/>
      <c r="H941" s="846"/>
      <c r="I941" s="846"/>
      <c r="J941" s="846"/>
      <c r="K941" s="846"/>
      <c r="L941" s="846"/>
      <c r="M941" s="846"/>
      <c r="N941" s="846"/>
      <c r="O941" s="846"/>
      <c r="P941" s="846"/>
      <c r="Q941" s="846"/>
    </row>
    <row r="942" ht="15.0" customHeight="1">
      <c r="A942" s="1296"/>
      <c r="B942" s="846"/>
      <c r="C942" s="846"/>
      <c r="D942" s="846"/>
      <c r="E942" s="846"/>
      <c r="F942" s="846"/>
      <c r="G942" s="846"/>
      <c r="H942" s="846"/>
      <c r="I942" s="846"/>
      <c r="J942" s="846"/>
      <c r="K942" s="846"/>
      <c r="L942" s="846"/>
      <c r="M942" s="846"/>
      <c r="N942" s="846"/>
      <c r="O942" s="846"/>
      <c r="P942" s="846"/>
      <c r="Q942" s="846"/>
    </row>
    <row r="943" ht="15.0" customHeight="1">
      <c r="A943" s="1296"/>
      <c r="B943" s="846"/>
      <c r="C943" s="846"/>
      <c r="D943" s="846"/>
      <c r="E943" s="846"/>
      <c r="F943" s="846"/>
      <c r="G943" s="846"/>
      <c r="H943" s="846"/>
      <c r="I943" s="846"/>
      <c r="J943" s="846"/>
      <c r="K943" s="846"/>
      <c r="L943" s="846"/>
      <c r="M943" s="846"/>
      <c r="N943" s="846"/>
      <c r="O943" s="846"/>
      <c r="P943" s="846"/>
      <c r="Q943" s="846"/>
    </row>
    <row r="944" ht="15.0" customHeight="1">
      <c r="A944" s="1296"/>
      <c r="B944" s="846"/>
      <c r="C944" s="846"/>
      <c r="D944" s="846"/>
      <c r="E944" s="846"/>
      <c r="F944" s="846"/>
      <c r="G944" s="846"/>
      <c r="H944" s="846"/>
      <c r="I944" s="846"/>
      <c r="J944" s="846"/>
      <c r="K944" s="846"/>
      <c r="L944" s="846"/>
      <c r="M944" s="846"/>
      <c r="N944" s="846"/>
      <c r="O944" s="846"/>
      <c r="P944" s="846"/>
      <c r="Q944" s="846"/>
    </row>
    <row r="945" ht="15.0" customHeight="1">
      <c r="A945" s="1296"/>
      <c r="B945" s="846"/>
      <c r="C945" s="846"/>
      <c r="D945" s="846"/>
      <c r="E945" s="846"/>
      <c r="F945" s="846"/>
      <c r="G945" s="846"/>
      <c r="H945" s="846"/>
      <c r="I945" s="846"/>
      <c r="J945" s="846"/>
      <c r="K945" s="846"/>
      <c r="L945" s="846"/>
      <c r="M945" s="846"/>
      <c r="N945" s="846"/>
      <c r="O945" s="846"/>
      <c r="P945" s="846"/>
      <c r="Q945" s="846"/>
    </row>
    <row r="946" ht="15.0" customHeight="1">
      <c r="A946" s="1296"/>
      <c r="B946" s="846"/>
      <c r="C946" s="846"/>
      <c r="D946" s="846"/>
      <c r="E946" s="846"/>
      <c r="F946" s="846"/>
      <c r="G946" s="846"/>
      <c r="H946" s="846"/>
      <c r="I946" s="846"/>
      <c r="J946" s="846"/>
      <c r="K946" s="846"/>
      <c r="L946" s="846"/>
      <c r="M946" s="846"/>
      <c r="N946" s="846"/>
      <c r="O946" s="846"/>
      <c r="P946" s="846"/>
      <c r="Q946" s="846"/>
    </row>
    <row r="947" ht="15.0" customHeight="1">
      <c r="A947" s="1296"/>
      <c r="B947" s="846"/>
      <c r="C947" s="846"/>
      <c r="D947" s="846"/>
      <c r="E947" s="846"/>
      <c r="F947" s="846"/>
      <c r="G947" s="846"/>
      <c r="H947" s="846"/>
      <c r="I947" s="846"/>
      <c r="J947" s="846"/>
      <c r="K947" s="846"/>
      <c r="L947" s="846"/>
      <c r="M947" s="846"/>
      <c r="N947" s="846"/>
      <c r="O947" s="846"/>
      <c r="P947" s="846"/>
      <c r="Q947" s="846"/>
    </row>
    <row r="948" ht="15.0" customHeight="1">
      <c r="A948" s="1296"/>
      <c r="B948" s="846"/>
      <c r="C948" s="846"/>
      <c r="D948" s="846"/>
      <c r="E948" s="846"/>
      <c r="F948" s="846"/>
      <c r="G948" s="846"/>
      <c r="H948" s="846"/>
      <c r="I948" s="846"/>
      <c r="J948" s="846"/>
      <c r="K948" s="846"/>
      <c r="L948" s="846"/>
      <c r="M948" s="846"/>
      <c r="N948" s="846"/>
      <c r="O948" s="846"/>
      <c r="P948" s="846"/>
      <c r="Q948" s="846"/>
    </row>
    <row r="949" ht="15.0" customHeight="1">
      <c r="A949" s="1296"/>
      <c r="B949" s="846"/>
      <c r="C949" s="846"/>
      <c r="D949" s="846"/>
      <c r="E949" s="846"/>
      <c r="F949" s="846"/>
      <c r="G949" s="846"/>
      <c r="H949" s="846"/>
      <c r="I949" s="846"/>
      <c r="J949" s="846"/>
      <c r="K949" s="846"/>
      <c r="L949" s="846"/>
      <c r="M949" s="846"/>
      <c r="N949" s="846"/>
      <c r="O949" s="846"/>
      <c r="P949" s="846"/>
      <c r="Q949" s="846"/>
    </row>
    <row r="950" ht="15.0" customHeight="1">
      <c r="A950" s="1296"/>
      <c r="B950" s="846"/>
      <c r="C950" s="846"/>
      <c r="D950" s="846"/>
      <c r="E950" s="846"/>
      <c r="F950" s="846"/>
      <c r="G950" s="846"/>
      <c r="H950" s="846"/>
      <c r="I950" s="846"/>
      <c r="J950" s="846"/>
      <c r="K950" s="846"/>
      <c r="L950" s="846"/>
      <c r="M950" s="846"/>
      <c r="N950" s="846"/>
      <c r="O950" s="846"/>
      <c r="P950" s="846"/>
      <c r="Q950" s="846"/>
    </row>
    <row r="951" ht="15.0" customHeight="1">
      <c r="A951" s="1296"/>
      <c r="B951" s="846"/>
      <c r="C951" s="846"/>
      <c r="D951" s="846"/>
      <c r="E951" s="846"/>
      <c r="F951" s="846"/>
      <c r="G951" s="846"/>
      <c r="H951" s="846"/>
      <c r="I951" s="846"/>
      <c r="J951" s="846"/>
      <c r="K951" s="846"/>
      <c r="L951" s="846"/>
      <c r="M951" s="846"/>
      <c r="N951" s="846"/>
      <c r="O951" s="846"/>
      <c r="P951" s="846"/>
      <c r="Q951" s="846"/>
    </row>
    <row r="952" ht="15.0" customHeight="1">
      <c r="A952" s="1296"/>
      <c r="B952" s="846"/>
      <c r="C952" s="846"/>
      <c r="D952" s="846"/>
      <c r="E952" s="846"/>
      <c r="F952" s="846"/>
      <c r="G952" s="846"/>
      <c r="H952" s="846"/>
      <c r="I952" s="846"/>
      <c r="J952" s="846"/>
      <c r="K952" s="846"/>
      <c r="L952" s="846"/>
      <c r="M952" s="846"/>
      <c r="N952" s="846"/>
      <c r="O952" s="846"/>
      <c r="P952" s="846"/>
      <c r="Q952" s="846"/>
    </row>
    <row r="953" ht="15.0" customHeight="1">
      <c r="A953" s="1296"/>
      <c r="B953" s="846"/>
      <c r="C953" s="846"/>
      <c r="D953" s="846"/>
      <c r="E953" s="846"/>
      <c r="F953" s="846"/>
      <c r="G953" s="846"/>
      <c r="H953" s="846"/>
      <c r="I953" s="846"/>
      <c r="J953" s="846"/>
      <c r="K953" s="846"/>
      <c r="L953" s="846"/>
      <c r="M953" s="846"/>
      <c r="N953" s="846"/>
      <c r="O953" s="846"/>
      <c r="P953" s="846"/>
      <c r="Q953" s="846"/>
    </row>
    <row r="954" ht="15.0" customHeight="1">
      <c r="A954" s="1296"/>
      <c r="B954" s="846"/>
      <c r="C954" s="846"/>
      <c r="D954" s="846"/>
      <c r="E954" s="846"/>
      <c r="F954" s="846"/>
      <c r="G954" s="846"/>
      <c r="H954" s="846"/>
      <c r="I954" s="846"/>
      <c r="J954" s="846"/>
      <c r="K954" s="846"/>
      <c r="L954" s="846"/>
      <c r="M954" s="846"/>
      <c r="N954" s="846"/>
      <c r="O954" s="846"/>
      <c r="P954" s="846"/>
      <c r="Q954" s="846"/>
    </row>
    <row r="955" ht="15.0" customHeight="1">
      <c r="A955" s="1296"/>
      <c r="B955" s="846"/>
      <c r="C955" s="846"/>
      <c r="D955" s="846"/>
      <c r="E955" s="846"/>
      <c r="F955" s="846"/>
      <c r="G955" s="846"/>
      <c r="H955" s="846"/>
      <c r="I955" s="846"/>
      <c r="J955" s="846"/>
      <c r="K955" s="846"/>
      <c r="L955" s="846"/>
      <c r="M955" s="846"/>
      <c r="N955" s="846"/>
      <c r="O955" s="846"/>
      <c r="P955" s="846"/>
      <c r="Q955" s="846"/>
    </row>
    <row r="956" ht="15.0" customHeight="1">
      <c r="A956" s="1296"/>
      <c r="B956" s="846"/>
      <c r="C956" s="846"/>
      <c r="D956" s="846"/>
      <c r="E956" s="846"/>
      <c r="F956" s="846"/>
      <c r="G956" s="846"/>
      <c r="H956" s="846"/>
      <c r="I956" s="846"/>
      <c r="J956" s="846"/>
      <c r="K956" s="846"/>
      <c r="L956" s="846"/>
      <c r="M956" s="846"/>
      <c r="N956" s="846"/>
      <c r="O956" s="846"/>
      <c r="P956" s="846"/>
      <c r="Q956" s="846"/>
    </row>
    <row r="957" ht="15.0" customHeight="1">
      <c r="A957" s="1296"/>
      <c r="B957" s="846"/>
      <c r="C957" s="846"/>
      <c r="D957" s="846"/>
      <c r="E957" s="846"/>
      <c r="F957" s="846"/>
      <c r="G957" s="846"/>
      <c r="H957" s="846"/>
      <c r="I957" s="846"/>
      <c r="J957" s="846"/>
      <c r="K957" s="846"/>
      <c r="L957" s="846"/>
      <c r="M957" s="846"/>
      <c r="N957" s="846"/>
      <c r="O957" s="846"/>
      <c r="P957" s="846"/>
      <c r="Q957" s="846"/>
    </row>
    <row r="958" ht="15.0" customHeight="1">
      <c r="A958" s="1296"/>
      <c r="B958" s="846"/>
      <c r="C958" s="846"/>
      <c r="D958" s="846"/>
      <c r="E958" s="846"/>
      <c r="F958" s="846"/>
      <c r="G958" s="846"/>
      <c r="H958" s="846"/>
      <c r="I958" s="846"/>
      <c r="J958" s="846"/>
      <c r="K958" s="846"/>
      <c r="L958" s="846"/>
      <c r="M958" s="846"/>
      <c r="N958" s="846"/>
      <c r="O958" s="846"/>
      <c r="P958" s="846"/>
      <c r="Q958" s="846"/>
    </row>
    <row r="959" ht="15.0" customHeight="1">
      <c r="A959" s="1296"/>
      <c r="B959" s="846"/>
      <c r="C959" s="846"/>
      <c r="D959" s="846"/>
      <c r="E959" s="846"/>
      <c r="F959" s="846"/>
      <c r="G959" s="846"/>
      <c r="H959" s="846"/>
      <c r="I959" s="846"/>
      <c r="J959" s="846"/>
      <c r="K959" s="846"/>
      <c r="L959" s="846"/>
      <c r="M959" s="846"/>
      <c r="N959" s="846"/>
      <c r="O959" s="846"/>
      <c r="P959" s="846"/>
      <c r="Q959" s="846"/>
    </row>
    <row r="960" ht="15.0" customHeight="1">
      <c r="A960" s="1296"/>
      <c r="B960" s="846"/>
      <c r="C960" s="846"/>
      <c r="D960" s="846"/>
      <c r="E960" s="846"/>
      <c r="F960" s="846"/>
      <c r="G960" s="846"/>
      <c r="H960" s="846"/>
      <c r="I960" s="846"/>
      <c r="J960" s="846"/>
      <c r="K960" s="846"/>
      <c r="L960" s="846"/>
      <c r="M960" s="846"/>
      <c r="N960" s="846"/>
      <c r="O960" s="846"/>
      <c r="P960" s="846"/>
      <c r="Q960" s="846"/>
    </row>
    <row r="961" ht="15.0" customHeight="1">
      <c r="A961" s="1296"/>
      <c r="B961" s="846"/>
      <c r="C961" s="846"/>
      <c r="D961" s="846"/>
      <c r="E961" s="846"/>
      <c r="F961" s="846"/>
      <c r="G961" s="846"/>
      <c r="H961" s="846"/>
      <c r="I961" s="846"/>
      <c r="J961" s="846"/>
      <c r="K961" s="846"/>
      <c r="L961" s="846"/>
      <c r="M961" s="846"/>
      <c r="N961" s="846"/>
      <c r="O961" s="846"/>
      <c r="P961" s="846"/>
      <c r="Q961" s="846"/>
    </row>
    <row r="962" ht="15.0" customHeight="1">
      <c r="A962" s="1296"/>
      <c r="B962" s="846"/>
      <c r="C962" s="846"/>
      <c r="D962" s="846"/>
      <c r="E962" s="846"/>
      <c r="F962" s="846"/>
      <c r="G962" s="846"/>
      <c r="H962" s="846"/>
      <c r="I962" s="846"/>
      <c r="J962" s="846"/>
      <c r="K962" s="846"/>
      <c r="L962" s="846"/>
      <c r="M962" s="846"/>
      <c r="N962" s="846"/>
      <c r="O962" s="846"/>
      <c r="P962" s="846"/>
      <c r="Q962" s="846"/>
    </row>
    <row r="963" ht="15.0" customHeight="1">
      <c r="A963" s="1296"/>
      <c r="B963" s="846"/>
      <c r="C963" s="846"/>
      <c r="D963" s="846"/>
      <c r="E963" s="846"/>
      <c r="F963" s="846"/>
      <c r="G963" s="846"/>
      <c r="H963" s="846"/>
      <c r="I963" s="846"/>
      <c r="J963" s="846"/>
      <c r="K963" s="846"/>
      <c r="L963" s="846"/>
      <c r="M963" s="846"/>
      <c r="N963" s="846"/>
      <c r="O963" s="846"/>
      <c r="P963" s="846"/>
      <c r="Q963" s="846"/>
    </row>
    <row r="964" ht="15.0" customHeight="1">
      <c r="A964" s="1296"/>
      <c r="B964" s="846"/>
      <c r="C964" s="846"/>
      <c r="D964" s="846"/>
      <c r="E964" s="846"/>
      <c r="F964" s="846"/>
      <c r="G964" s="846"/>
      <c r="H964" s="846"/>
      <c r="I964" s="846"/>
      <c r="J964" s="846"/>
      <c r="K964" s="846"/>
      <c r="L964" s="846"/>
      <c r="M964" s="846"/>
      <c r="N964" s="846"/>
      <c r="O964" s="846"/>
      <c r="P964" s="846"/>
      <c r="Q964" s="846"/>
    </row>
    <row r="965" ht="15.0" customHeight="1">
      <c r="A965" s="1296"/>
      <c r="B965" s="846"/>
      <c r="C965" s="846"/>
      <c r="D965" s="846"/>
      <c r="E965" s="846"/>
      <c r="F965" s="846"/>
      <c r="G965" s="846"/>
      <c r="H965" s="846"/>
      <c r="I965" s="846"/>
      <c r="J965" s="846"/>
      <c r="K965" s="846"/>
      <c r="L965" s="846"/>
      <c r="M965" s="846"/>
      <c r="N965" s="846"/>
      <c r="O965" s="846"/>
      <c r="P965" s="846"/>
      <c r="Q965" s="846"/>
    </row>
    <row r="966" ht="15.0" customHeight="1">
      <c r="A966" s="1296"/>
      <c r="B966" s="846"/>
      <c r="C966" s="846"/>
      <c r="D966" s="846"/>
      <c r="E966" s="846"/>
      <c r="F966" s="846"/>
      <c r="G966" s="846"/>
      <c r="H966" s="846"/>
      <c r="I966" s="846"/>
      <c r="J966" s="846"/>
      <c r="K966" s="846"/>
      <c r="L966" s="846"/>
      <c r="M966" s="846"/>
      <c r="N966" s="846"/>
      <c r="O966" s="846"/>
      <c r="P966" s="846"/>
      <c r="Q966" s="846"/>
    </row>
    <row r="967" ht="15.0" customHeight="1">
      <c r="A967" s="1296"/>
      <c r="B967" s="846"/>
      <c r="C967" s="846"/>
      <c r="D967" s="846"/>
      <c r="E967" s="846"/>
      <c r="F967" s="846"/>
      <c r="G967" s="846"/>
      <c r="H967" s="846"/>
      <c r="I967" s="846"/>
      <c r="J967" s="846"/>
      <c r="K967" s="846"/>
      <c r="L967" s="846"/>
      <c r="M967" s="846"/>
      <c r="N967" s="846"/>
      <c r="O967" s="846"/>
      <c r="P967" s="846"/>
      <c r="Q967" s="846"/>
    </row>
    <row r="968" ht="15.0" customHeight="1">
      <c r="A968" s="1296"/>
      <c r="B968" s="846"/>
      <c r="C968" s="846"/>
      <c r="D968" s="846"/>
      <c r="E968" s="846"/>
      <c r="F968" s="846"/>
      <c r="G968" s="846"/>
      <c r="H968" s="846"/>
      <c r="I968" s="846"/>
      <c r="J968" s="846"/>
      <c r="K968" s="846"/>
      <c r="L968" s="846"/>
      <c r="M968" s="846"/>
      <c r="N968" s="846"/>
      <c r="O968" s="846"/>
      <c r="P968" s="846"/>
      <c r="Q968" s="846"/>
    </row>
    <row r="969" ht="15.0" customHeight="1">
      <c r="A969" s="1296"/>
      <c r="B969" s="846"/>
      <c r="C969" s="846"/>
      <c r="D969" s="846"/>
      <c r="E969" s="846"/>
      <c r="F969" s="846"/>
      <c r="G969" s="846"/>
      <c r="H969" s="846"/>
      <c r="I969" s="846"/>
      <c r="J969" s="846"/>
      <c r="K969" s="846"/>
      <c r="L969" s="846"/>
      <c r="M969" s="846"/>
      <c r="N969" s="846"/>
      <c r="O969" s="846"/>
      <c r="P969" s="846"/>
      <c r="Q969" s="846"/>
    </row>
    <row r="970" ht="15.0" customHeight="1">
      <c r="A970" s="1296"/>
      <c r="B970" s="846"/>
      <c r="C970" s="846"/>
      <c r="D970" s="846"/>
      <c r="E970" s="846"/>
      <c r="F970" s="846"/>
      <c r="G970" s="846"/>
      <c r="H970" s="846"/>
      <c r="I970" s="846"/>
      <c r="J970" s="846"/>
      <c r="K970" s="846"/>
      <c r="L970" s="846"/>
      <c r="M970" s="846"/>
      <c r="N970" s="846"/>
      <c r="O970" s="846"/>
      <c r="P970" s="846"/>
      <c r="Q970" s="846"/>
    </row>
    <row r="971" ht="15.0" customHeight="1">
      <c r="A971" s="1296"/>
      <c r="B971" s="846"/>
      <c r="C971" s="846"/>
      <c r="D971" s="846"/>
      <c r="E971" s="846"/>
      <c r="F971" s="846"/>
      <c r="G971" s="846"/>
      <c r="H971" s="846"/>
      <c r="I971" s="846"/>
      <c r="J971" s="846"/>
      <c r="K971" s="846"/>
      <c r="L971" s="846"/>
      <c r="M971" s="846"/>
      <c r="N971" s="846"/>
      <c r="O971" s="846"/>
      <c r="P971" s="846"/>
      <c r="Q971" s="846"/>
    </row>
    <row r="972" ht="15.0" customHeight="1">
      <c r="A972" s="1296"/>
      <c r="B972" s="846"/>
      <c r="C972" s="846"/>
      <c r="D972" s="846"/>
      <c r="E972" s="846"/>
      <c r="F972" s="846"/>
      <c r="G972" s="846"/>
      <c r="H972" s="846"/>
      <c r="I972" s="846"/>
      <c r="J972" s="846"/>
      <c r="K972" s="846"/>
      <c r="L972" s="846"/>
      <c r="M972" s="846"/>
      <c r="N972" s="846"/>
      <c r="O972" s="846"/>
      <c r="P972" s="846"/>
      <c r="Q972" s="846"/>
    </row>
    <row r="973" ht="15.0" customHeight="1">
      <c r="A973" s="1296"/>
      <c r="B973" s="846"/>
      <c r="C973" s="846"/>
      <c r="D973" s="846"/>
      <c r="E973" s="846"/>
      <c r="F973" s="846"/>
      <c r="G973" s="846"/>
      <c r="H973" s="846"/>
      <c r="I973" s="846"/>
      <c r="J973" s="846"/>
      <c r="K973" s="846"/>
      <c r="L973" s="846"/>
      <c r="M973" s="846"/>
      <c r="N973" s="846"/>
      <c r="O973" s="846"/>
      <c r="P973" s="846"/>
      <c r="Q973" s="846"/>
    </row>
    <row r="974" ht="15.0" customHeight="1">
      <c r="A974" s="1296"/>
      <c r="B974" s="846"/>
      <c r="C974" s="846"/>
      <c r="D974" s="846"/>
      <c r="E974" s="846"/>
      <c r="F974" s="846"/>
      <c r="G974" s="846"/>
      <c r="H974" s="846"/>
      <c r="I974" s="846"/>
      <c r="J974" s="846"/>
      <c r="K974" s="846"/>
      <c r="L974" s="846"/>
      <c r="M974" s="846"/>
      <c r="N974" s="846"/>
      <c r="O974" s="846"/>
      <c r="P974" s="846"/>
      <c r="Q974" s="846"/>
    </row>
    <row r="975" ht="15.0" customHeight="1">
      <c r="A975" s="1296"/>
      <c r="B975" s="846"/>
      <c r="C975" s="846"/>
      <c r="D975" s="846"/>
      <c r="E975" s="846"/>
      <c r="F975" s="846"/>
      <c r="G975" s="846"/>
      <c r="H975" s="846"/>
      <c r="I975" s="846"/>
      <c r="J975" s="846"/>
      <c r="K975" s="846"/>
      <c r="L975" s="846"/>
      <c r="M975" s="846"/>
      <c r="N975" s="846"/>
      <c r="O975" s="846"/>
      <c r="P975" s="846"/>
      <c r="Q975" s="846"/>
    </row>
    <row r="976" ht="15.0" customHeight="1">
      <c r="A976" s="1296"/>
      <c r="B976" s="846"/>
      <c r="C976" s="846"/>
      <c r="D976" s="846"/>
      <c r="E976" s="846"/>
      <c r="F976" s="846"/>
      <c r="G976" s="846"/>
      <c r="H976" s="846"/>
      <c r="I976" s="846"/>
      <c r="J976" s="846"/>
      <c r="K976" s="846"/>
      <c r="L976" s="846"/>
      <c r="M976" s="846"/>
      <c r="N976" s="846"/>
      <c r="O976" s="846"/>
      <c r="P976" s="846"/>
      <c r="Q976" s="846"/>
    </row>
    <row r="977" ht="15.0" customHeight="1">
      <c r="A977" s="1296"/>
      <c r="B977" s="846"/>
      <c r="C977" s="846"/>
      <c r="D977" s="846"/>
      <c r="E977" s="846"/>
      <c r="F977" s="846"/>
      <c r="G977" s="846"/>
      <c r="H977" s="846"/>
      <c r="I977" s="846"/>
      <c r="J977" s="846"/>
      <c r="K977" s="846"/>
      <c r="L977" s="846"/>
      <c r="M977" s="846"/>
      <c r="N977" s="846"/>
      <c r="O977" s="846"/>
      <c r="P977" s="846"/>
      <c r="Q977" s="846"/>
    </row>
    <row r="978" ht="15.0" customHeight="1">
      <c r="A978" s="1296"/>
      <c r="B978" s="846"/>
      <c r="C978" s="846"/>
      <c r="D978" s="846"/>
      <c r="E978" s="846"/>
      <c r="F978" s="846"/>
      <c r="G978" s="846"/>
      <c r="H978" s="846"/>
      <c r="I978" s="846"/>
      <c r="J978" s="846"/>
      <c r="K978" s="846"/>
      <c r="L978" s="846"/>
      <c r="M978" s="846"/>
      <c r="N978" s="846"/>
      <c r="O978" s="846"/>
      <c r="P978" s="846"/>
      <c r="Q978" s="846"/>
    </row>
    <row r="979" ht="15.0" customHeight="1">
      <c r="A979" s="1296"/>
      <c r="B979" s="846"/>
      <c r="C979" s="846"/>
      <c r="D979" s="846"/>
      <c r="E979" s="846"/>
      <c r="F979" s="846"/>
      <c r="G979" s="846"/>
      <c r="H979" s="846"/>
      <c r="I979" s="846"/>
      <c r="J979" s="846"/>
      <c r="K979" s="846"/>
      <c r="L979" s="846"/>
      <c r="M979" s="846"/>
      <c r="N979" s="846"/>
      <c r="O979" s="846"/>
      <c r="P979" s="846"/>
      <c r="Q979" s="846"/>
    </row>
    <row r="980" ht="15.0" customHeight="1">
      <c r="A980" s="1296"/>
      <c r="B980" s="846"/>
      <c r="C980" s="846"/>
      <c r="D980" s="846"/>
      <c r="E980" s="846"/>
      <c r="F980" s="846"/>
      <c r="G980" s="846"/>
      <c r="H980" s="846"/>
      <c r="I980" s="846"/>
      <c r="J980" s="846"/>
      <c r="K980" s="846"/>
      <c r="L980" s="846"/>
      <c r="M980" s="846"/>
      <c r="N980" s="846"/>
      <c r="O980" s="846"/>
      <c r="P980" s="846"/>
      <c r="Q980" s="846"/>
    </row>
    <row r="981" ht="15.0" customHeight="1">
      <c r="A981" s="1296"/>
      <c r="B981" s="846"/>
      <c r="C981" s="846"/>
      <c r="D981" s="846"/>
      <c r="E981" s="846"/>
      <c r="F981" s="846"/>
      <c r="G981" s="846"/>
      <c r="H981" s="846"/>
      <c r="I981" s="846"/>
      <c r="J981" s="846"/>
      <c r="K981" s="846"/>
      <c r="L981" s="846"/>
      <c r="M981" s="846"/>
      <c r="N981" s="846"/>
      <c r="O981" s="846"/>
      <c r="P981" s="846"/>
      <c r="Q981" s="846"/>
    </row>
    <row r="982" ht="15.0" customHeight="1">
      <c r="A982" s="1296"/>
      <c r="B982" s="846"/>
      <c r="C982" s="846"/>
      <c r="D982" s="846"/>
      <c r="E982" s="846"/>
      <c r="F982" s="846"/>
      <c r="G982" s="846"/>
      <c r="H982" s="846"/>
      <c r="I982" s="846"/>
      <c r="J982" s="846"/>
      <c r="K982" s="846"/>
      <c r="L982" s="846"/>
      <c r="M982" s="846"/>
      <c r="N982" s="846"/>
      <c r="O982" s="846"/>
      <c r="P982" s="846"/>
      <c r="Q982" s="846"/>
    </row>
    <row r="983" ht="15.0" customHeight="1">
      <c r="A983" s="1296"/>
      <c r="B983" s="846"/>
      <c r="C983" s="846"/>
      <c r="D983" s="846"/>
      <c r="E983" s="846"/>
      <c r="F983" s="846"/>
      <c r="G983" s="846"/>
      <c r="H983" s="846"/>
      <c r="I983" s="846"/>
      <c r="J983" s="846"/>
      <c r="K983" s="846"/>
      <c r="L983" s="846"/>
      <c r="M983" s="846"/>
      <c r="N983" s="846"/>
      <c r="O983" s="846"/>
      <c r="P983" s="846"/>
      <c r="Q983" s="846"/>
    </row>
    <row r="984" ht="15.0" customHeight="1">
      <c r="A984" s="1296"/>
      <c r="B984" s="846"/>
      <c r="C984" s="846"/>
      <c r="D984" s="846"/>
      <c r="E984" s="846"/>
      <c r="F984" s="846"/>
      <c r="G984" s="846"/>
      <c r="H984" s="846"/>
      <c r="I984" s="846"/>
      <c r="J984" s="846"/>
      <c r="K984" s="846"/>
      <c r="L984" s="846"/>
      <c r="M984" s="846"/>
      <c r="N984" s="846"/>
      <c r="O984" s="846"/>
      <c r="P984" s="846"/>
      <c r="Q984" s="846"/>
    </row>
    <row r="985" ht="15.0" customHeight="1">
      <c r="A985" s="1296"/>
      <c r="B985" s="846"/>
      <c r="C985" s="846"/>
      <c r="D985" s="846"/>
      <c r="E985" s="846"/>
      <c r="F985" s="846"/>
      <c r="G985" s="846"/>
      <c r="H985" s="846"/>
      <c r="I985" s="846"/>
      <c r="J985" s="846"/>
      <c r="K985" s="846"/>
      <c r="L985" s="846"/>
      <c r="M985" s="846"/>
      <c r="N985" s="846"/>
      <c r="O985" s="846"/>
      <c r="P985" s="846"/>
      <c r="Q985" s="846"/>
    </row>
    <row r="986" ht="15.0" customHeight="1">
      <c r="A986" s="1296"/>
      <c r="B986" s="846"/>
      <c r="C986" s="846"/>
      <c r="D986" s="846"/>
      <c r="E986" s="846"/>
      <c r="F986" s="846"/>
      <c r="G986" s="846"/>
      <c r="H986" s="846"/>
      <c r="I986" s="846"/>
      <c r="J986" s="846"/>
      <c r="K986" s="846"/>
      <c r="L986" s="846"/>
      <c r="M986" s="846"/>
      <c r="N986" s="846"/>
      <c r="O986" s="846"/>
      <c r="P986" s="846"/>
      <c r="Q986" s="846"/>
    </row>
    <row r="987" ht="15.0" customHeight="1">
      <c r="A987" s="1296"/>
      <c r="B987" s="846"/>
      <c r="C987" s="846"/>
      <c r="D987" s="846"/>
      <c r="E987" s="846"/>
      <c r="F987" s="846"/>
      <c r="G987" s="846"/>
      <c r="H987" s="846"/>
      <c r="I987" s="846"/>
      <c r="J987" s="846"/>
      <c r="K987" s="846"/>
      <c r="L987" s="846"/>
      <c r="M987" s="846"/>
      <c r="N987" s="846"/>
      <c r="O987" s="846"/>
      <c r="P987" s="846"/>
      <c r="Q987" s="846"/>
    </row>
    <row r="988" ht="15.0" customHeight="1">
      <c r="A988" s="1296"/>
      <c r="B988" s="846"/>
      <c r="C988" s="846"/>
      <c r="D988" s="846"/>
      <c r="E988" s="846"/>
      <c r="F988" s="846"/>
      <c r="G988" s="846"/>
      <c r="H988" s="846"/>
      <c r="I988" s="846"/>
      <c r="J988" s="846"/>
      <c r="K988" s="846"/>
      <c r="L988" s="846"/>
      <c r="M988" s="846"/>
      <c r="N988" s="846"/>
      <c r="O988" s="846"/>
      <c r="P988" s="846"/>
      <c r="Q988" s="846"/>
    </row>
    <row r="989" ht="15.0" customHeight="1">
      <c r="A989" s="1296"/>
      <c r="B989" s="846"/>
      <c r="C989" s="846"/>
      <c r="D989" s="846"/>
      <c r="E989" s="846"/>
      <c r="F989" s="846"/>
      <c r="G989" s="846"/>
      <c r="H989" s="846"/>
      <c r="I989" s="846"/>
      <c r="J989" s="846"/>
      <c r="K989" s="846"/>
      <c r="L989" s="846"/>
      <c r="M989" s="846"/>
      <c r="N989" s="846"/>
      <c r="O989" s="846"/>
      <c r="P989" s="846"/>
      <c r="Q989" s="846"/>
    </row>
    <row r="990" ht="15.0" customHeight="1">
      <c r="A990" s="1296"/>
      <c r="B990" s="846"/>
      <c r="C990" s="846"/>
      <c r="D990" s="846"/>
      <c r="E990" s="846"/>
      <c r="F990" s="846"/>
      <c r="G990" s="846"/>
      <c r="H990" s="846"/>
      <c r="I990" s="846"/>
      <c r="J990" s="846"/>
      <c r="K990" s="846"/>
      <c r="L990" s="846"/>
      <c r="M990" s="846"/>
      <c r="N990" s="846"/>
      <c r="O990" s="846"/>
      <c r="P990" s="846"/>
      <c r="Q990" s="846"/>
    </row>
    <row r="991" ht="15.0" customHeight="1">
      <c r="A991" s="1296"/>
      <c r="B991" s="846"/>
      <c r="C991" s="846"/>
      <c r="D991" s="846"/>
      <c r="E991" s="846"/>
      <c r="F991" s="846"/>
      <c r="G991" s="846"/>
      <c r="H991" s="846"/>
      <c r="I991" s="846"/>
      <c r="J991" s="846"/>
      <c r="K991" s="846"/>
      <c r="L991" s="846"/>
      <c r="M991" s="846"/>
      <c r="N991" s="846"/>
      <c r="O991" s="846"/>
      <c r="P991" s="846"/>
      <c r="Q991" s="846"/>
    </row>
    <row r="992" ht="15.0" customHeight="1">
      <c r="A992" s="1296"/>
      <c r="B992" s="846"/>
      <c r="C992" s="846"/>
      <c r="D992" s="846"/>
      <c r="E992" s="846"/>
      <c r="F992" s="846"/>
      <c r="G992" s="846"/>
      <c r="H992" s="846"/>
      <c r="I992" s="846"/>
      <c r="J992" s="846"/>
      <c r="K992" s="846"/>
      <c r="L992" s="846"/>
      <c r="M992" s="846"/>
      <c r="N992" s="846"/>
      <c r="O992" s="846"/>
      <c r="P992" s="846"/>
      <c r="Q992" s="846"/>
    </row>
    <row r="993" ht="15.0" customHeight="1">
      <c r="A993" s="1296"/>
      <c r="B993" s="846"/>
      <c r="C993" s="846"/>
      <c r="D993" s="846"/>
      <c r="E993" s="846"/>
      <c r="F993" s="846"/>
      <c r="G993" s="846"/>
      <c r="H993" s="846"/>
      <c r="I993" s="846"/>
      <c r="J993" s="846"/>
      <c r="K993" s="846"/>
      <c r="L993" s="846"/>
      <c r="M993" s="846"/>
      <c r="N993" s="846"/>
      <c r="O993" s="846"/>
      <c r="P993" s="846"/>
      <c r="Q993" s="846"/>
    </row>
    <row r="994" ht="15.0" customHeight="1">
      <c r="A994" s="1296"/>
      <c r="B994" s="846"/>
      <c r="C994" s="846"/>
      <c r="D994" s="846"/>
      <c r="E994" s="846"/>
      <c r="F994" s="846"/>
      <c r="G994" s="846"/>
      <c r="H994" s="846"/>
      <c r="I994" s="846"/>
      <c r="J994" s="846"/>
      <c r="K994" s="846"/>
      <c r="L994" s="846"/>
      <c r="M994" s="846"/>
      <c r="N994" s="846"/>
      <c r="O994" s="846"/>
      <c r="P994" s="846"/>
      <c r="Q994" s="846"/>
    </row>
    <row r="995" ht="15.0" customHeight="1">
      <c r="A995" s="1296"/>
      <c r="B995" s="846"/>
      <c r="C995" s="846"/>
      <c r="D995" s="846"/>
      <c r="E995" s="846"/>
      <c r="F995" s="846"/>
      <c r="G995" s="846"/>
      <c r="H995" s="846"/>
      <c r="I995" s="846"/>
      <c r="J995" s="846"/>
      <c r="K995" s="846"/>
      <c r="L995" s="846"/>
      <c r="M995" s="846"/>
      <c r="N995" s="846"/>
      <c r="O995" s="846"/>
      <c r="P995" s="846"/>
      <c r="Q995" s="846"/>
    </row>
    <row r="996" ht="15.0" customHeight="1">
      <c r="A996" s="1296"/>
      <c r="B996" s="846"/>
      <c r="C996" s="846"/>
      <c r="D996" s="846"/>
      <c r="E996" s="846"/>
      <c r="F996" s="846"/>
      <c r="G996" s="846"/>
      <c r="H996" s="846"/>
      <c r="I996" s="846"/>
      <c r="J996" s="846"/>
      <c r="K996" s="846"/>
      <c r="L996" s="846"/>
      <c r="M996" s="846"/>
      <c r="N996" s="846"/>
      <c r="O996" s="846"/>
      <c r="P996" s="846"/>
      <c r="Q996" s="846"/>
    </row>
    <row r="997" ht="15.0" customHeight="1">
      <c r="A997" s="1296"/>
      <c r="B997" s="846"/>
      <c r="C997" s="846"/>
      <c r="D997" s="846"/>
      <c r="E997" s="846"/>
      <c r="F997" s="846"/>
      <c r="G997" s="846"/>
      <c r="H997" s="846"/>
      <c r="I997" s="846"/>
      <c r="J997" s="846"/>
      <c r="K997" s="846"/>
      <c r="L997" s="846"/>
      <c r="M997" s="846"/>
      <c r="N997" s="846"/>
      <c r="O997" s="846"/>
      <c r="P997" s="846"/>
      <c r="Q997" s="846"/>
    </row>
    <row r="998" ht="15.0" customHeight="1">
      <c r="A998" s="1296"/>
      <c r="B998" s="846"/>
      <c r="C998" s="846"/>
      <c r="D998" s="846"/>
      <c r="E998" s="846"/>
      <c r="F998" s="846"/>
      <c r="G998" s="846"/>
      <c r="H998" s="846"/>
      <c r="I998" s="846"/>
      <c r="J998" s="846"/>
      <c r="K998" s="846"/>
      <c r="L998" s="846"/>
      <c r="M998" s="846"/>
      <c r="N998" s="846"/>
      <c r="O998" s="846"/>
      <c r="P998" s="846"/>
      <c r="Q998" s="846"/>
    </row>
    <row r="999" ht="15.0" customHeight="1">
      <c r="A999" s="1296"/>
      <c r="B999" s="846"/>
      <c r="C999" s="846"/>
      <c r="D999" s="846"/>
      <c r="E999" s="846"/>
      <c r="F999" s="846"/>
      <c r="G999" s="846"/>
      <c r="H999" s="846"/>
      <c r="I999" s="846"/>
      <c r="J999" s="846"/>
      <c r="K999" s="846"/>
      <c r="L999" s="846"/>
      <c r="M999" s="846"/>
      <c r="N999" s="846"/>
      <c r="O999" s="846"/>
      <c r="P999" s="846"/>
      <c r="Q999" s="846"/>
    </row>
    <row r="1000" ht="15.0" customHeight="1">
      <c r="A1000" s="1296"/>
      <c r="B1000" s="846"/>
      <c r="C1000" s="846"/>
      <c r="D1000" s="846"/>
      <c r="E1000" s="846"/>
      <c r="F1000" s="846"/>
      <c r="G1000" s="846"/>
      <c r="H1000" s="846"/>
      <c r="I1000" s="846"/>
      <c r="J1000" s="846"/>
      <c r="K1000" s="846"/>
      <c r="L1000" s="846"/>
      <c r="M1000" s="846"/>
      <c r="N1000" s="846"/>
      <c r="O1000" s="846"/>
      <c r="P1000" s="846"/>
      <c r="Q1000" s="846"/>
    </row>
    <row r="1001" ht="15.0" customHeight="1">
      <c r="A1001" s="1296"/>
      <c r="B1001" s="846"/>
      <c r="C1001" s="846"/>
      <c r="D1001" s="846"/>
      <c r="E1001" s="846"/>
      <c r="F1001" s="846"/>
      <c r="G1001" s="846"/>
      <c r="H1001" s="846"/>
      <c r="I1001" s="846"/>
      <c r="J1001" s="846"/>
      <c r="K1001" s="846"/>
      <c r="L1001" s="846"/>
      <c r="M1001" s="846"/>
      <c r="N1001" s="846"/>
      <c r="O1001" s="846"/>
      <c r="P1001" s="846"/>
      <c r="Q1001" s="846"/>
    </row>
    <row r="1002" ht="15.0" customHeight="1">
      <c r="A1002" s="1296"/>
      <c r="B1002" s="846"/>
      <c r="C1002" s="846"/>
      <c r="D1002" s="846"/>
      <c r="E1002" s="846"/>
      <c r="F1002" s="846"/>
      <c r="G1002" s="846"/>
      <c r="H1002" s="846"/>
      <c r="I1002" s="846"/>
      <c r="J1002" s="846"/>
      <c r="K1002" s="846"/>
      <c r="L1002" s="846"/>
      <c r="M1002" s="846"/>
      <c r="N1002" s="846"/>
      <c r="O1002" s="846"/>
      <c r="P1002" s="846"/>
      <c r="Q1002" s="846"/>
    </row>
    <row r="1003" ht="15.0" customHeight="1">
      <c r="A1003" s="1296"/>
      <c r="B1003" s="846"/>
      <c r="C1003" s="846"/>
      <c r="D1003" s="846"/>
      <c r="E1003" s="846"/>
      <c r="F1003" s="846"/>
      <c r="G1003" s="846"/>
      <c r="H1003" s="846"/>
      <c r="I1003" s="846"/>
      <c r="J1003" s="846"/>
      <c r="K1003" s="846"/>
      <c r="L1003" s="846"/>
      <c r="M1003" s="846"/>
      <c r="N1003" s="846"/>
      <c r="O1003" s="846"/>
      <c r="P1003" s="846"/>
      <c r="Q1003" s="846"/>
    </row>
    <row r="1004" ht="15.0" customHeight="1">
      <c r="A1004" s="1296"/>
      <c r="B1004" s="846"/>
      <c r="C1004" s="846"/>
      <c r="D1004" s="846"/>
      <c r="E1004" s="846"/>
      <c r="F1004" s="846"/>
      <c r="G1004" s="846"/>
      <c r="H1004" s="846"/>
      <c r="I1004" s="846"/>
      <c r="J1004" s="846"/>
      <c r="K1004" s="846"/>
      <c r="L1004" s="846"/>
      <c r="M1004" s="846"/>
      <c r="N1004" s="846"/>
      <c r="O1004" s="846"/>
      <c r="P1004" s="846"/>
      <c r="Q1004" s="846"/>
    </row>
    <row r="1005" ht="15.0" customHeight="1">
      <c r="A1005" s="1296"/>
      <c r="B1005" s="846"/>
      <c r="C1005" s="846"/>
      <c r="D1005" s="846"/>
      <c r="E1005" s="846"/>
      <c r="F1005" s="846"/>
      <c r="G1005" s="846"/>
      <c r="H1005" s="846"/>
      <c r="I1005" s="846"/>
      <c r="J1005" s="846"/>
      <c r="K1005" s="846"/>
      <c r="L1005" s="846"/>
      <c r="M1005" s="846"/>
      <c r="N1005" s="846"/>
      <c r="O1005" s="846"/>
      <c r="P1005" s="846"/>
      <c r="Q1005" s="846"/>
    </row>
    <row r="1006" ht="15.0" customHeight="1">
      <c r="A1006" s="1296"/>
      <c r="B1006" s="846"/>
      <c r="C1006" s="846"/>
      <c r="D1006" s="846"/>
      <c r="E1006" s="846"/>
      <c r="F1006" s="846"/>
      <c r="G1006" s="846"/>
      <c r="H1006" s="846"/>
      <c r="I1006" s="846"/>
      <c r="J1006" s="846"/>
      <c r="K1006" s="846"/>
      <c r="L1006" s="846"/>
      <c r="M1006" s="846"/>
      <c r="N1006" s="846"/>
      <c r="O1006" s="846"/>
      <c r="P1006" s="846"/>
      <c r="Q1006" s="846"/>
    </row>
    <row r="1007" ht="15.0" customHeight="1">
      <c r="A1007" s="1296"/>
      <c r="B1007" s="846"/>
      <c r="C1007" s="846"/>
      <c r="D1007" s="846"/>
      <c r="E1007" s="846"/>
      <c r="F1007" s="846"/>
      <c r="G1007" s="846"/>
      <c r="H1007" s="846"/>
      <c r="I1007" s="846"/>
      <c r="J1007" s="846"/>
      <c r="K1007" s="846"/>
      <c r="L1007" s="846"/>
      <c r="M1007" s="846"/>
      <c r="N1007" s="846"/>
      <c r="O1007" s="846"/>
      <c r="P1007" s="846"/>
      <c r="Q1007" s="846"/>
    </row>
    <row r="1008" ht="15.0" customHeight="1">
      <c r="A1008" s="1296"/>
      <c r="B1008" s="846"/>
      <c r="C1008" s="846"/>
      <c r="D1008" s="846"/>
      <c r="E1008" s="846"/>
      <c r="F1008" s="846"/>
      <c r="G1008" s="846"/>
      <c r="H1008" s="846"/>
      <c r="I1008" s="846"/>
      <c r="J1008" s="846"/>
      <c r="K1008" s="846"/>
      <c r="L1008" s="846"/>
      <c r="M1008" s="846"/>
      <c r="N1008" s="846"/>
      <c r="O1008" s="846"/>
      <c r="P1008" s="846"/>
      <c r="Q1008" s="846"/>
    </row>
    <row r="1009" ht="15.0" customHeight="1">
      <c r="A1009" s="1296"/>
      <c r="B1009" s="846"/>
      <c r="C1009" s="846"/>
      <c r="D1009" s="846"/>
      <c r="E1009" s="846"/>
      <c r="F1009" s="846"/>
      <c r="G1009" s="846"/>
      <c r="H1009" s="846"/>
      <c r="I1009" s="846"/>
      <c r="J1009" s="846"/>
      <c r="K1009" s="846"/>
      <c r="L1009" s="846"/>
      <c r="M1009" s="846"/>
      <c r="N1009" s="846"/>
      <c r="O1009" s="846"/>
      <c r="P1009" s="846"/>
      <c r="Q1009" s="846"/>
    </row>
    <row r="1010" ht="15.0" customHeight="1">
      <c r="A1010" s="1296"/>
      <c r="B1010" s="846"/>
      <c r="C1010" s="846"/>
      <c r="D1010" s="846"/>
      <c r="E1010" s="846"/>
      <c r="F1010" s="846"/>
      <c r="G1010" s="846"/>
      <c r="H1010" s="846"/>
      <c r="I1010" s="846"/>
      <c r="J1010" s="846"/>
      <c r="K1010" s="846"/>
      <c r="L1010" s="846"/>
      <c r="M1010" s="846"/>
      <c r="N1010" s="846"/>
      <c r="O1010" s="846"/>
      <c r="P1010" s="846"/>
      <c r="Q1010" s="846"/>
    </row>
    <row r="1011" ht="15.0" customHeight="1">
      <c r="A1011" s="1296"/>
      <c r="B1011" s="846"/>
      <c r="C1011" s="846"/>
      <c r="D1011" s="846"/>
      <c r="E1011" s="846"/>
      <c r="F1011" s="846"/>
      <c r="G1011" s="846"/>
      <c r="H1011" s="846"/>
      <c r="I1011" s="846"/>
      <c r="J1011" s="846"/>
      <c r="K1011" s="846"/>
      <c r="L1011" s="846"/>
      <c r="M1011" s="846"/>
      <c r="N1011" s="846"/>
      <c r="O1011" s="846"/>
      <c r="P1011" s="846"/>
      <c r="Q1011" s="846"/>
    </row>
    <row r="1012" ht="15.0" customHeight="1">
      <c r="A1012" s="1296"/>
      <c r="B1012" s="846"/>
      <c r="C1012" s="846"/>
      <c r="D1012" s="846"/>
      <c r="E1012" s="846"/>
      <c r="F1012" s="846"/>
      <c r="G1012" s="846"/>
      <c r="H1012" s="846"/>
      <c r="I1012" s="846"/>
      <c r="J1012" s="846"/>
      <c r="K1012" s="846"/>
      <c r="L1012" s="846"/>
      <c r="M1012" s="846"/>
      <c r="N1012" s="846"/>
      <c r="O1012" s="846"/>
      <c r="P1012" s="846"/>
      <c r="Q1012" s="846"/>
    </row>
    <row r="1013" ht="15.0" customHeight="1">
      <c r="A1013" s="1296"/>
      <c r="B1013" s="846"/>
      <c r="C1013" s="846"/>
      <c r="D1013" s="846"/>
      <c r="E1013" s="846"/>
      <c r="F1013" s="846"/>
      <c r="G1013" s="846"/>
      <c r="H1013" s="846"/>
      <c r="I1013" s="846"/>
      <c r="J1013" s="846"/>
      <c r="K1013" s="846"/>
      <c r="L1013" s="846"/>
      <c r="M1013" s="846"/>
      <c r="N1013" s="846"/>
      <c r="O1013" s="846"/>
      <c r="P1013" s="846"/>
      <c r="Q1013" s="846"/>
    </row>
    <row r="1014" ht="15.0" customHeight="1">
      <c r="A1014" s="1296"/>
      <c r="B1014" s="846"/>
      <c r="C1014" s="846"/>
      <c r="D1014" s="846"/>
      <c r="E1014" s="846"/>
      <c r="F1014" s="846"/>
      <c r="G1014" s="846"/>
      <c r="H1014" s="846"/>
      <c r="I1014" s="846"/>
      <c r="J1014" s="846"/>
      <c r="K1014" s="846"/>
      <c r="L1014" s="846"/>
      <c r="M1014" s="846"/>
      <c r="N1014" s="846"/>
      <c r="O1014" s="846"/>
      <c r="P1014" s="846"/>
      <c r="Q1014" s="846"/>
    </row>
    <row r="1015" ht="15.0" customHeight="1">
      <c r="A1015" s="1296"/>
      <c r="B1015" s="846"/>
      <c r="C1015" s="846"/>
      <c r="D1015" s="846"/>
      <c r="E1015" s="846"/>
      <c r="F1015" s="846"/>
      <c r="G1015" s="846"/>
      <c r="H1015" s="846"/>
      <c r="I1015" s="846"/>
      <c r="J1015" s="846"/>
      <c r="K1015" s="846"/>
      <c r="L1015" s="846"/>
      <c r="M1015" s="846"/>
      <c r="N1015" s="846"/>
      <c r="O1015" s="846"/>
      <c r="P1015" s="846"/>
      <c r="Q1015" s="846"/>
    </row>
    <row r="1016" ht="15.0" customHeight="1">
      <c r="A1016" s="1296"/>
      <c r="B1016" s="846"/>
      <c r="C1016" s="846"/>
      <c r="D1016" s="846"/>
      <c r="E1016" s="846"/>
      <c r="F1016" s="846"/>
      <c r="G1016" s="846"/>
      <c r="H1016" s="846"/>
      <c r="I1016" s="846"/>
      <c r="J1016" s="846"/>
      <c r="K1016" s="846"/>
      <c r="L1016" s="846"/>
      <c r="M1016" s="846"/>
      <c r="N1016" s="846"/>
      <c r="O1016" s="846"/>
      <c r="P1016" s="846"/>
      <c r="Q1016" s="846"/>
    </row>
    <row r="1017" ht="15.0" customHeight="1">
      <c r="A1017" s="1296"/>
      <c r="B1017" s="846"/>
      <c r="C1017" s="846"/>
      <c r="D1017" s="846"/>
      <c r="E1017" s="846"/>
      <c r="F1017" s="846"/>
      <c r="G1017" s="846"/>
      <c r="H1017" s="846"/>
      <c r="I1017" s="846"/>
      <c r="J1017" s="846"/>
      <c r="K1017" s="846"/>
      <c r="L1017" s="846"/>
      <c r="M1017" s="846"/>
      <c r="N1017" s="846"/>
      <c r="O1017" s="846"/>
      <c r="P1017" s="846"/>
      <c r="Q1017" s="846"/>
    </row>
    <row r="1018" ht="15.0" customHeight="1">
      <c r="A1018" s="1296"/>
      <c r="B1018" s="846"/>
      <c r="C1018" s="846"/>
      <c r="D1018" s="846"/>
      <c r="E1018" s="846"/>
      <c r="F1018" s="846"/>
      <c r="G1018" s="846"/>
      <c r="H1018" s="846"/>
      <c r="I1018" s="846"/>
      <c r="J1018" s="846"/>
      <c r="K1018" s="846"/>
      <c r="L1018" s="846"/>
      <c r="M1018" s="846"/>
      <c r="N1018" s="846"/>
      <c r="O1018" s="846"/>
      <c r="P1018" s="846"/>
      <c r="Q1018" s="846"/>
    </row>
    <row r="1019" ht="15.0" customHeight="1">
      <c r="A1019" s="1296"/>
      <c r="B1019" s="846"/>
      <c r="C1019" s="846"/>
      <c r="D1019" s="846"/>
      <c r="E1019" s="846"/>
      <c r="F1019" s="846"/>
      <c r="G1019" s="846"/>
      <c r="H1019" s="846"/>
      <c r="I1019" s="846"/>
      <c r="J1019" s="846"/>
      <c r="K1019" s="846"/>
      <c r="L1019" s="846"/>
      <c r="M1019" s="846"/>
      <c r="N1019" s="846"/>
      <c r="O1019" s="846"/>
      <c r="P1019" s="846"/>
      <c r="Q1019" s="846"/>
    </row>
    <row r="1020" ht="15.0" customHeight="1">
      <c r="A1020" s="1296"/>
      <c r="B1020" s="846"/>
      <c r="C1020" s="846"/>
      <c r="D1020" s="846"/>
      <c r="E1020" s="846"/>
      <c r="F1020" s="846"/>
      <c r="G1020" s="846"/>
      <c r="H1020" s="846"/>
      <c r="I1020" s="846"/>
      <c r="J1020" s="846"/>
      <c r="K1020" s="846"/>
      <c r="L1020" s="846"/>
      <c r="M1020" s="846"/>
      <c r="N1020" s="846"/>
      <c r="O1020" s="846"/>
      <c r="P1020" s="846"/>
      <c r="Q1020" s="846"/>
    </row>
    <row r="1021" ht="15.0" customHeight="1">
      <c r="A1021" s="1296"/>
      <c r="B1021" s="846"/>
      <c r="C1021" s="846"/>
      <c r="D1021" s="846"/>
      <c r="E1021" s="846"/>
      <c r="F1021" s="846"/>
      <c r="G1021" s="846"/>
      <c r="H1021" s="846"/>
      <c r="I1021" s="846"/>
      <c r="J1021" s="846"/>
      <c r="K1021" s="846"/>
      <c r="L1021" s="846"/>
      <c r="M1021" s="846"/>
      <c r="N1021" s="846"/>
      <c r="O1021" s="846"/>
      <c r="P1021" s="846"/>
      <c r="Q1021" s="846"/>
    </row>
    <row r="1022" ht="15.0" customHeight="1">
      <c r="A1022" s="1296"/>
      <c r="B1022" s="846"/>
      <c r="C1022" s="846"/>
      <c r="D1022" s="846"/>
      <c r="E1022" s="846"/>
      <c r="F1022" s="846"/>
      <c r="G1022" s="846"/>
      <c r="H1022" s="846"/>
      <c r="I1022" s="846"/>
      <c r="J1022" s="846"/>
      <c r="K1022" s="846"/>
      <c r="L1022" s="846"/>
      <c r="M1022" s="846"/>
      <c r="N1022" s="846"/>
      <c r="O1022" s="846"/>
      <c r="P1022" s="846"/>
      <c r="Q1022" s="846"/>
    </row>
    <row r="1023" ht="15.0" customHeight="1">
      <c r="A1023" s="1296"/>
      <c r="B1023" s="846"/>
      <c r="C1023" s="846"/>
      <c r="D1023" s="846"/>
      <c r="E1023" s="846"/>
      <c r="F1023" s="846"/>
      <c r="G1023" s="846"/>
      <c r="H1023" s="846"/>
      <c r="I1023" s="846"/>
      <c r="J1023" s="846"/>
      <c r="K1023" s="846"/>
      <c r="L1023" s="846"/>
      <c r="M1023" s="846"/>
      <c r="N1023" s="846"/>
      <c r="O1023" s="846"/>
      <c r="P1023" s="846"/>
      <c r="Q1023" s="846"/>
    </row>
    <row r="1024" ht="15.0" customHeight="1">
      <c r="A1024" s="1296"/>
      <c r="B1024" s="846"/>
      <c r="C1024" s="846"/>
      <c r="D1024" s="846"/>
      <c r="E1024" s="846"/>
      <c r="F1024" s="846"/>
      <c r="G1024" s="846"/>
      <c r="H1024" s="846"/>
      <c r="I1024" s="846"/>
      <c r="J1024" s="846"/>
      <c r="K1024" s="846"/>
      <c r="L1024" s="846"/>
      <c r="M1024" s="846"/>
      <c r="N1024" s="846"/>
      <c r="O1024" s="846"/>
      <c r="P1024" s="846"/>
      <c r="Q1024" s="846"/>
    </row>
    <row r="1025" ht="15.0" customHeight="1">
      <c r="A1025" s="1296"/>
      <c r="B1025" s="846"/>
      <c r="C1025" s="846"/>
      <c r="D1025" s="846"/>
      <c r="E1025" s="846"/>
      <c r="F1025" s="846"/>
      <c r="G1025" s="846"/>
      <c r="H1025" s="846"/>
      <c r="I1025" s="846"/>
      <c r="J1025" s="846"/>
      <c r="K1025" s="846"/>
      <c r="L1025" s="846"/>
      <c r="M1025" s="846"/>
      <c r="N1025" s="846"/>
      <c r="O1025" s="846"/>
      <c r="P1025" s="846"/>
      <c r="Q1025" s="846"/>
    </row>
    <row r="1026" ht="15.0" customHeight="1">
      <c r="A1026" s="1296"/>
      <c r="B1026" s="846"/>
      <c r="C1026" s="846"/>
      <c r="D1026" s="846"/>
      <c r="E1026" s="846"/>
      <c r="F1026" s="846"/>
      <c r="G1026" s="846"/>
      <c r="H1026" s="846"/>
      <c r="I1026" s="846"/>
      <c r="J1026" s="846"/>
      <c r="K1026" s="846"/>
      <c r="L1026" s="846"/>
      <c r="M1026" s="846"/>
      <c r="N1026" s="846"/>
      <c r="O1026" s="846"/>
      <c r="P1026" s="846"/>
      <c r="Q1026" s="846"/>
    </row>
    <row r="1027" ht="15.0" customHeight="1">
      <c r="A1027" s="1296"/>
      <c r="B1027" s="846"/>
      <c r="C1027" s="846"/>
      <c r="D1027" s="846"/>
      <c r="E1027" s="846"/>
      <c r="F1027" s="846"/>
      <c r="G1027" s="846"/>
      <c r="H1027" s="846"/>
      <c r="I1027" s="846"/>
      <c r="J1027" s="846"/>
      <c r="K1027" s="846"/>
      <c r="L1027" s="846"/>
      <c r="M1027" s="846"/>
      <c r="N1027" s="846"/>
      <c r="O1027" s="846"/>
      <c r="P1027" s="846"/>
      <c r="Q1027" s="846"/>
    </row>
    <row r="1028" ht="15.0" customHeight="1">
      <c r="A1028" s="1296"/>
      <c r="B1028" s="846"/>
      <c r="C1028" s="846"/>
      <c r="D1028" s="846"/>
      <c r="E1028" s="846"/>
      <c r="F1028" s="846"/>
      <c r="G1028" s="846"/>
      <c r="H1028" s="846"/>
      <c r="I1028" s="846"/>
      <c r="J1028" s="846"/>
      <c r="K1028" s="846"/>
      <c r="L1028" s="846"/>
      <c r="M1028" s="846"/>
      <c r="N1028" s="846"/>
      <c r="O1028" s="846"/>
      <c r="P1028" s="846"/>
      <c r="Q1028" s="846"/>
    </row>
    <row r="1029" ht="15.0" customHeight="1">
      <c r="A1029" s="1296"/>
      <c r="B1029" s="846"/>
      <c r="C1029" s="846"/>
      <c r="D1029" s="846"/>
      <c r="E1029" s="846"/>
      <c r="F1029" s="846"/>
      <c r="G1029" s="846"/>
      <c r="H1029" s="846"/>
      <c r="I1029" s="846"/>
      <c r="J1029" s="846"/>
      <c r="K1029" s="846"/>
      <c r="L1029" s="846"/>
      <c r="M1029" s="846"/>
      <c r="N1029" s="846"/>
      <c r="O1029" s="846"/>
      <c r="P1029" s="846"/>
      <c r="Q1029" s="846"/>
    </row>
    <row r="1030" ht="15.0" customHeight="1">
      <c r="A1030" s="1296"/>
      <c r="B1030" s="846"/>
      <c r="C1030" s="846"/>
      <c r="D1030" s="846"/>
      <c r="E1030" s="846"/>
      <c r="F1030" s="846"/>
      <c r="G1030" s="846"/>
      <c r="H1030" s="846"/>
      <c r="I1030" s="846"/>
      <c r="J1030" s="846"/>
      <c r="K1030" s="846"/>
      <c r="L1030" s="846"/>
      <c r="M1030" s="846"/>
      <c r="N1030" s="846"/>
      <c r="O1030" s="846"/>
      <c r="P1030" s="846"/>
      <c r="Q1030" s="846"/>
    </row>
    <row r="1031" ht="15.0" customHeight="1">
      <c r="A1031" s="1296"/>
      <c r="B1031" s="846"/>
      <c r="C1031" s="846"/>
      <c r="D1031" s="846"/>
      <c r="E1031" s="846"/>
      <c r="F1031" s="846"/>
      <c r="G1031" s="846"/>
      <c r="H1031" s="846"/>
      <c r="I1031" s="846"/>
      <c r="J1031" s="846"/>
      <c r="K1031" s="846"/>
      <c r="L1031" s="846"/>
      <c r="M1031" s="846"/>
      <c r="N1031" s="846"/>
      <c r="O1031" s="846"/>
      <c r="P1031" s="846"/>
      <c r="Q1031" s="846"/>
    </row>
    <row r="1032" ht="15.0" customHeight="1">
      <c r="A1032" s="1296"/>
      <c r="B1032" s="846"/>
      <c r="C1032" s="846"/>
      <c r="D1032" s="846"/>
      <c r="E1032" s="846"/>
      <c r="F1032" s="846"/>
      <c r="G1032" s="846"/>
      <c r="H1032" s="846"/>
      <c r="I1032" s="846"/>
      <c r="J1032" s="846"/>
      <c r="K1032" s="846"/>
      <c r="L1032" s="846"/>
      <c r="M1032" s="846"/>
      <c r="N1032" s="846"/>
      <c r="O1032" s="846"/>
      <c r="P1032" s="846"/>
      <c r="Q1032" s="846"/>
    </row>
    <row r="1033" ht="15.0" customHeight="1">
      <c r="A1033" s="1296"/>
      <c r="B1033" s="846"/>
      <c r="C1033" s="846"/>
      <c r="D1033" s="846"/>
      <c r="E1033" s="846"/>
      <c r="F1033" s="846"/>
      <c r="G1033" s="846"/>
      <c r="H1033" s="846"/>
      <c r="I1033" s="846"/>
      <c r="J1033" s="846"/>
      <c r="K1033" s="846"/>
      <c r="L1033" s="846"/>
      <c r="M1033" s="846"/>
      <c r="N1033" s="846"/>
      <c r="O1033" s="846"/>
      <c r="P1033" s="846"/>
      <c r="Q1033" s="846"/>
    </row>
    <row r="1034" ht="15.0" customHeight="1">
      <c r="A1034" s="1296"/>
      <c r="B1034" s="846"/>
      <c r="C1034" s="846"/>
      <c r="D1034" s="846"/>
      <c r="E1034" s="846"/>
      <c r="F1034" s="846"/>
      <c r="G1034" s="846"/>
      <c r="H1034" s="846"/>
      <c r="I1034" s="846"/>
      <c r="J1034" s="846"/>
      <c r="K1034" s="846"/>
      <c r="L1034" s="846"/>
      <c r="M1034" s="846"/>
      <c r="N1034" s="846"/>
      <c r="O1034" s="846"/>
      <c r="P1034" s="846"/>
      <c r="Q1034" s="846"/>
    </row>
    <row r="1035" ht="15.0" customHeight="1">
      <c r="A1035" s="1296"/>
      <c r="B1035" s="846"/>
      <c r="C1035" s="846"/>
      <c r="D1035" s="846"/>
      <c r="E1035" s="846"/>
      <c r="F1035" s="846"/>
      <c r="G1035" s="846"/>
      <c r="H1035" s="846"/>
      <c r="I1035" s="846"/>
      <c r="J1035" s="846"/>
      <c r="K1035" s="846"/>
      <c r="L1035" s="846"/>
      <c r="M1035" s="846"/>
      <c r="N1035" s="846"/>
      <c r="O1035" s="846"/>
      <c r="P1035" s="846"/>
      <c r="Q1035" s="846"/>
    </row>
    <row r="1036" ht="15.0" customHeight="1">
      <c r="A1036" s="1296"/>
      <c r="B1036" s="846"/>
      <c r="C1036" s="846"/>
      <c r="D1036" s="846"/>
      <c r="E1036" s="846"/>
      <c r="F1036" s="846"/>
      <c r="G1036" s="846"/>
      <c r="H1036" s="846"/>
      <c r="I1036" s="846"/>
      <c r="J1036" s="846"/>
      <c r="K1036" s="846"/>
      <c r="L1036" s="846"/>
      <c r="M1036" s="846"/>
      <c r="N1036" s="846"/>
      <c r="O1036" s="846"/>
      <c r="P1036" s="846"/>
      <c r="Q1036" s="846"/>
    </row>
    <row r="1037" ht="15.0" customHeight="1">
      <c r="A1037" s="1296"/>
      <c r="B1037" s="846"/>
      <c r="C1037" s="846"/>
      <c r="D1037" s="846"/>
      <c r="E1037" s="846"/>
      <c r="F1037" s="846"/>
      <c r="G1037" s="846"/>
      <c r="H1037" s="846"/>
      <c r="I1037" s="846"/>
      <c r="J1037" s="846"/>
      <c r="K1037" s="846"/>
      <c r="L1037" s="846"/>
      <c r="M1037" s="846"/>
      <c r="N1037" s="846"/>
      <c r="O1037" s="846"/>
      <c r="P1037" s="846"/>
      <c r="Q1037" s="846"/>
    </row>
    <row r="1038" ht="15.0" customHeight="1">
      <c r="A1038" s="1296"/>
      <c r="B1038" s="846"/>
      <c r="C1038" s="846"/>
      <c r="D1038" s="846"/>
      <c r="E1038" s="846"/>
      <c r="F1038" s="846"/>
      <c r="G1038" s="846"/>
      <c r="H1038" s="846"/>
      <c r="I1038" s="846"/>
      <c r="J1038" s="846"/>
      <c r="K1038" s="846"/>
      <c r="L1038" s="846"/>
      <c r="M1038" s="846"/>
      <c r="N1038" s="846"/>
      <c r="O1038" s="846"/>
      <c r="P1038" s="846"/>
      <c r="Q1038" s="846"/>
    </row>
    <row r="1039" ht="15.0" customHeight="1">
      <c r="A1039" s="1296"/>
      <c r="B1039" s="846"/>
      <c r="C1039" s="846"/>
      <c r="D1039" s="846"/>
      <c r="E1039" s="846"/>
      <c r="F1039" s="846"/>
      <c r="G1039" s="846"/>
      <c r="H1039" s="846"/>
      <c r="I1039" s="846"/>
      <c r="J1039" s="846"/>
      <c r="K1039" s="846"/>
      <c r="L1039" s="846"/>
      <c r="M1039" s="846"/>
      <c r="N1039" s="846"/>
      <c r="O1039" s="846"/>
      <c r="P1039" s="846"/>
      <c r="Q1039" s="846"/>
    </row>
    <row r="1040" ht="15.0" customHeight="1">
      <c r="A1040" s="1296"/>
      <c r="B1040" s="846"/>
      <c r="C1040" s="846"/>
      <c r="D1040" s="846"/>
      <c r="E1040" s="846"/>
      <c r="F1040" s="846"/>
      <c r="G1040" s="846"/>
      <c r="H1040" s="846"/>
      <c r="I1040" s="846"/>
      <c r="J1040" s="846"/>
      <c r="K1040" s="846"/>
      <c r="L1040" s="846"/>
      <c r="M1040" s="846"/>
      <c r="N1040" s="846"/>
      <c r="O1040" s="846"/>
      <c r="P1040" s="846"/>
      <c r="Q1040" s="846"/>
    </row>
    <row r="1041" ht="15.0" customHeight="1">
      <c r="A1041" s="1296"/>
      <c r="B1041" s="846"/>
      <c r="C1041" s="846"/>
      <c r="D1041" s="846"/>
      <c r="E1041" s="846"/>
      <c r="F1041" s="846"/>
      <c r="G1041" s="846"/>
      <c r="H1041" s="846"/>
      <c r="I1041" s="846"/>
      <c r="J1041" s="846"/>
      <c r="K1041" s="846"/>
      <c r="L1041" s="846"/>
      <c r="M1041" s="846"/>
      <c r="N1041" s="846"/>
      <c r="O1041" s="846"/>
      <c r="P1041" s="846"/>
      <c r="Q1041" s="846"/>
    </row>
    <row r="1042" ht="15.0" customHeight="1">
      <c r="A1042" s="1296"/>
      <c r="B1042" s="846"/>
      <c r="C1042" s="846"/>
      <c r="D1042" s="846"/>
      <c r="E1042" s="846"/>
      <c r="F1042" s="846"/>
      <c r="G1042" s="846"/>
      <c r="H1042" s="846"/>
      <c r="I1042" s="846"/>
      <c r="J1042" s="846"/>
      <c r="K1042" s="846"/>
      <c r="L1042" s="846"/>
      <c r="M1042" s="846"/>
      <c r="N1042" s="846"/>
      <c r="O1042" s="846"/>
      <c r="P1042" s="846"/>
      <c r="Q1042" s="846"/>
    </row>
    <row r="1043" ht="15.0" customHeight="1">
      <c r="A1043" s="1296"/>
      <c r="B1043" s="846"/>
      <c r="C1043" s="846"/>
      <c r="D1043" s="846"/>
      <c r="E1043" s="846"/>
      <c r="F1043" s="846"/>
      <c r="G1043" s="846"/>
      <c r="H1043" s="846"/>
      <c r="I1043" s="846"/>
      <c r="J1043" s="846"/>
      <c r="K1043" s="846"/>
      <c r="L1043" s="846"/>
      <c r="M1043" s="846"/>
      <c r="N1043" s="846"/>
      <c r="O1043" s="846"/>
      <c r="P1043" s="846"/>
      <c r="Q1043" s="846"/>
    </row>
    <row r="1044" ht="15.0" customHeight="1">
      <c r="A1044" s="1296"/>
      <c r="B1044" s="846"/>
      <c r="C1044" s="846"/>
      <c r="D1044" s="846"/>
      <c r="E1044" s="846"/>
      <c r="F1044" s="846"/>
      <c r="G1044" s="846"/>
      <c r="H1044" s="846"/>
      <c r="I1044" s="846"/>
      <c r="J1044" s="846"/>
      <c r="K1044" s="846"/>
      <c r="L1044" s="846"/>
      <c r="M1044" s="846"/>
      <c r="N1044" s="846"/>
      <c r="O1044" s="846"/>
      <c r="P1044" s="846"/>
      <c r="Q1044" s="846"/>
    </row>
    <row r="1045" ht="15.0" customHeight="1">
      <c r="A1045" s="1296"/>
      <c r="B1045" s="846"/>
      <c r="C1045" s="846"/>
      <c r="D1045" s="846"/>
      <c r="E1045" s="846"/>
      <c r="F1045" s="846"/>
      <c r="G1045" s="846"/>
      <c r="H1045" s="846"/>
      <c r="I1045" s="846"/>
      <c r="J1045" s="846"/>
      <c r="K1045" s="846"/>
      <c r="L1045" s="846"/>
      <c r="M1045" s="846"/>
      <c r="N1045" s="846"/>
      <c r="O1045" s="846"/>
      <c r="P1045" s="846"/>
      <c r="Q1045" s="846"/>
    </row>
    <row r="1046" ht="15.0" customHeight="1">
      <c r="A1046" s="1296"/>
      <c r="B1046" s="846"/>
      <c r="C1046" s="846"/>
      <c r="D1046" s="846"/>
      <c r="E1046" s="846"/>
      <c r="F1046" s="846"/>
      <c r="G1046" s="846"/>
      <c r="H1046" s="846"/>
      <c r="I1046" s="846"/>
      <c r="J1046" s="846"/>
      <c r="K1046" s="846"/>
      <c r="L1046" s="846"/>
      <c r="M1046" s="846"/>
      <c r="N1046" s="846"/>
      <c r="O1046" s="846"/>
      <c r="P1046" s="846"/>
      <c r="Q1046" s="846"/>
    </row>
    <row r="1047" ht="15.0" customHeight="1">
      <c r="A1047" s="1296"/>
      <c r="B1047" s="846"/>
      <c r="C1047" s="846"/>
      <c r="D1047" s="846"/>
      <c r="E1047" s="846"/>
      <c r="F1047" s="846"/>
      <c r="G1047" s="846"/>
      <c r="H1047" s="846"/>
      <c r="I1047" s="846"/>
      <c r="J1047" s="846"/>
      <c r="K1047" s="846"/>
      <c r="L1047" s="846"/>
      <c r="M1047" s="846"/>
      <c r="N1047" s="846"/>
      <c r="O1047" s="846"/>
      <c r="P1047" s="846"/>
      <c r="Q1047" s="846"/>
    </row>
    <row r="1048" ht="15.0" customHeight="1">
      <c r="A1048" s="1296"/>
      <c r="B1048" s="846"/>
      <c r="C1048" s="846"/>
      <c r="D1048" s="846"/>
      <c r="E1048" s="846"/>
      <c r="F1048" s="846"/>
      <c r="G1048" s="846"/>
      <c r="H1048" s="846"/>
      <c r="I1048" s="846"/>
      <c r="J1048" s="846"/>
      <c r="K1048" s="846"/>
      <c r="L1048" s="846"/>
      <c r="M1048" s="846"/>
      <c r="N1048" s="846"/>
      <c r="O1048" s="846"/>
      <c r="P1048" s="846"/>
      <c r="Q1048" s="846"/>
    </row>
    <row r="1049" ht="15.0" customHeight="1">
      <c r="A1049" s="1296"/>
      <c r="B1049" s="846"/>
      <c r="C1049" s="846"/>
      <c r="D1049" s="846"/>
      <c r="E1049" s="846"/>
      <c r="F1049" s="846"/>
      <c r="G1049" s="846"/>
      <c r="H1049" s="846"/>
      <c r="I1049" s="846"/>
      <c r="J1049" s="846"/>
      <c r="K1049" s="846"/>
      <c r="L1049" s="846"/>
      <c r="M1049" s="846"/>
      <c r="N1049" s="846"/>
      <c r="O1049" s="846"/>
      <c r="P1049" s="846"/>
      <c r="Q1049" s="846"/>
    </row>
    <row r="1050" ht="15.0" customHeight="1">
      <c r="A1050" s="1296"/>
      <c r="B1050" s="846"/>
      <c r="C1050" s="846"/>
      <c r="D1050" s="846"/>
      <c r="E1050" s="846"/>
      <c r="F1050" s="846"/>
      <c r="G1050" s="846"/>
      <c r="H1050" s="846"/>
      <c r="I1050" s="846"/>
      <c r="J1050" s="846"/>
      <c r="K1050" s="846"/>
      <c r="L1050" s="846"/>
      <c r="M1050" s="846"/>
      <c r="N1050" s="846"/>
      <c r="O1050" s="846"/>
      <c r="P1050" s="846"/>
      <c r="Q1050" s="846"/>
    </row>
    <row r="1051" ht="15.0" customHeight="1">
      <c r="A1051" s="1296"/>
      <c r="B1051" s="846"/>
      <c r="C1051" s="846"/>
      <c r="D1051" s="846"/>
      <c r="E1051" s="846"/>
      <c r="F1051" s="846"/>
      <c r="G1051" s="846"/>
      <c r="H1051" s="846"/>
      <c r="I1051" s="846"/>
      <c r="J1051" s="846"/>
      <c r="K1051" s="846"/>
      <c r="L1051" s="846"/>
      <c r="M1051" s="846"/>
      <c r="N1051" s="846"/>
      <c r="O1051" s="846"/>
      <c r="P1051" s="846"/>
      <c r="Q1051" s="846"/>
    </row>
    <row r="1052" ht="15.0" customHeight="1">
      <c r="A1052" s="1296"/>
      <c r="B1052" s="846"/>
      <c r="C1052" s="846"/>
      <c r="D1052" s="846"/>
      <c r="E1052" s="846"/>
      <c r="F1052" s="846"/>
      <c r="G1052" s="846"/>
      <c r="H1052" s="846"/>
      <c r="I1052" s="846"/>
      <c r="J1052" s="846"/>
      <c r="K1052" s="846"/>
      <c r="L1052" s="846"/>
      <c r="M1052" s="846"/>
      <c r="N1052" s="846"/>
      <c r="O1052" s="846"/>
      <c r="P1052" s="846"/>
      <c r="Q1052" s="846"/>
    </row>
    <row r="1053" ht="15.0" customHeight="1">
      <c r="A1053" s="1296"/>
      <c r="B1053" s="846"/>
      <c r="C1053" s="846"/>
      <c r="D1053" s="846"/>
      <c r="E1053" s="846"/>
      <c r="F1053" s="846"/>
      <c r="G1053" s="846"/>
      <c r="H1053" s="846"/>
      <c r="I1053" s="846"/>
      <c r="J1053" s="846"/>
      <c r="K1053" s="846"/>
      <c r="L1053" s="846"/>
      <c r="M1053" s="846"/>
      <c r="N1053" s="846"/>
      <c r="O1053" s="846"/>
      <c r="P1053" s="846"/>
      <c r="Q1053" s="846"/>
    </row>
    <row r="1054" ht="15.0" customHeight="1">
      <c r="A1054" s="1296"/>
      <c r="B1054" s="846"/>
      <c r="C1054" s="846"/>
      <c r="D1054" s="846"/>
      <c r="E1054" s="846"/>
      <c r="F1054" s="846"/>
      <c r="G1054" s="846"/>
      <c r="H1054" s="846"/>
      <c r="I1054" s="846"/>
      <c r="J1054" s="846"/>
      <c r="K1054" s="846"/>
      <c r="L1054" s="846"/>
      <c r="M1054" s="846"/>
      <c r="N1054" s="846"/>
      <c r="O1054" s="846"/>
      <c r="P1054" s="846"/>
      <c r="Q1054" s="846"/>
    </row>
    <row r="1055" ht="15.0" customHeight="1">
      <c r="A1055" s="1296"/>
      <c r="B1055" s="846"/>
      <c r="C1055" s="846"/>
      <c r="D1055" s="846"/>
      <c r="E1055" s="846"/>
      <c r="F1055" s="846"/>
      <c r="G1055" s="846"/>
      <c r="H1055" s="846"/>
      <c r="I1055" s="846"/>
      <c r="J1055" s="846"/>
      <c r="K1055" s="846"/>
      <c r="L1055" s="846"/>
      <c r="M1055" s="846"/>
      <c r="N1055" s="846"/>
      <c r="O1055" s="846"/>
      <c r="P1055" s="846"/>
      <c r="Q1055" s="846"/>
    </row>
    <row r="1056" ht="15.0" customHeight="1">
      <c r="A1056" s="1296"/>
      <c r="B1056" s="846"/>
      <c r="C1056" s="846"/>
      <c r="D1056" s="846"/>
      <c r="E1056" s="846"/>
      <c r="F1056" s="846"/>
      <c r="G1056" s="846"/>
      <c r="H1056" s="846"/>
      <c r="I1056" s="846"/>
      <c r="J1056" s="846"/>
      <c r="K1056" s="846"/>
      <c r="L1056" s="846"/>
      <c r="M1056" s="846"/>
      <c r="N1056" s="846"/>
      <c r="O1056" s="846"/>
      <c r="P1056" s="846"/>
      <c r="Q1056" s="846"/>
    </row>
    <row r="1057" ht="15.0" customHeight="1">
      <c r="A1057" s="1296"/>
      <c r="B1057" s="846"/>
      <c r="C1057" s="846"/>
      <c r="D1057" s="846"/>
      <c r="E1057" s="846"/>
      <c r="F1057" s="846"/>
      <c r="G1057" s="846"/>
      <c r="H1057" s="846"/>
      <c r="I1057" s="846"/>
      <c r="J1057" s="846"/>
      <c r="K1057" s="846"/>
      <c r="L1057" s="846"/>
      <c r="M1057" s="846"/>
      <c r="N1057" s="846"/>
      <c r="O1057" s="846"/>
      <c r="P1057" s="846"/>
      <c r="Q1057" s="846"/>
    </row>
    <row r="1058" ht="15.0" customHeight="1">
      <c r="A1058" s="1296"/>
      <c r="B1058" s="846"/>
      <c r="C1058" s="846"/>
      <c r="D1058" s="846"/>
      <c r="E1058" s="846"/>
      <c r="F1058" s="846"/>
      <c r="G1058" s="846"/>
      <c r="H1058" s="846"/>
      <c r="I1058" s="846"/>
      <c r="J1058" s="846"/>
      <c r="K1058" s="846"/>
      <c r="L1058" s="846"/>
      <c r="M1058" s="846"/>
      <c r="N1058" s="846"/>
      <c r="O1058" s="846"/>
      <c r="P1058" s="846"/>
      <c r="Q1058" s="846"/>
    </row>
    <row r="1059" ht="15.0" customHeight="1">
      <c r="A1059" s="1296"/>
      <c r="B1059" s="846"/>
      <c r="C1059" s="846"/>
      <c r="D1059" s="846"/>
      <c r="E1059" s="846"/>
      <c r="F1059" s="846"/>
      <c r="G1059" s="846"/>
      <c r="H1059" s="846"/>
      <c r="I1059" s="846"/>
      <c r="J1059" s="846"/>
      <c r="K1059" s="846"/>
      <c r="L1059" s="846"/>
      <c r="M1059" s="846"/>
      <c r="N1059" s="846"/>
      <c r="O1059" s="846"/>
      <c r="P1059" s="846"/>
      <c r="Q1059" s="846"/>
    </row>
    <row r="1060" ht="15.0" customHeight="1">
      <c r="A1060" s="1296"/>
      <c r="B1060" s="846"/>
      <c r="C1060" s="846"/>
      <c r="D1060" s="846"/>
      <c r="E1060" s="846"/>
      <c r="F1060" s="846"/>
      <c r="G1060" s="846"/>
      <c r="H1060" s="846"/>
      <c r="I1060" s="846"/>
      <c r="J1060" s="846"/>
      <c r="K1060" s="846"/>
      <c r="L1060" s="846"/>
      <c r="M1060" s="846"/>
      <c r="N1060" s="846"/>
      <c r="O1060" s="846"/>
      <c r="P1060" s="846"/>
      <c r="Q1060" s="846"/>
    </row>
    <row r="1061" ht="15.0" customHeight="1">
      <c r="A1061" s="1296"/>
      <c r="B1061" s="846"/>
      <c r="C1061" s="846"/>
      <c r="D1061" s="846"/>
      <c r="E1061" s="846"/>
      <c r="F1061" s="846"/>
      <c r="G1061" s="846"/>
      <c r="H1061" s="846"/>
      <c r="I1061" s="846"/>
      <c r="J1061" s="846"/>
      <c r="K1061" s="846"/>
      <c r="L1061" s="846"/>
      <c r="M1061" s="846"/>
      <c r="N1061" s="846"/>
      <c r="O1061" s="846"/>
      <c r="P1061" s="846"/>
      <c r="Q1061" s="846"/>
    </row>
    <row r="1062" ht="15.0" customHeight="1">
      <c r="A1062" s="1296"/>
      <c r="B1062" s="846"/>
      <c r="C1062" s="846"/>
      <c r="D1062" s="846"/>
      <c r="E1062" s="846"/>
      <c r="F1062" s="846"/>
      <c r="G1062" s="846"/>
      <c r="H1062" s="846"/>
      <c r="I1062" s="846"/>
      <c r="J1062" s="846"/>
      <c r="K1062" s="846"/>
      <c r="L1062" s="846"/>
      <c r="M1062" s="846"/>
      <c r="N1062" s="846"/>
      <c r="O1062" s="846"/>
      <c r="P1062" s="846"/>
      <c r="Q1062" s="846"/>
    </row>
    <row r="1063" ht="15.0" customHeight="1">
      <c r="A1063" s="1296"/>
      <c r="B1063" s="846"/>
      <c r="C1063" s="846"/>
      <c r="D1063" s="846"/>
      <c r="E1063" s="846"/>
      <c r="F1063" s="846"/>
      <c r="G1063" s="846"/>
      <c r="H1063" s="846"/>
      <c r="I1063" s="846"/>
      <c r="J1063" s="846"/>
      <c r="K1063" s="846"/>
      <c r="L1063" s="846"/>
      <c r="M1063" s="846"/>
      <c r="N1063" s="846"/>
      <c r="O1063" s="846"/>
      <c r="P1063" s="846"/>
      <c r="Q1063" s="846"/>
    </row>
    <row r="1064" ht="15.0" customHeight="1">
      <c r="A1064" s="1296"/>
      <c r="B1064" s="846"/>
      <c r="C1064" s="846"/>
      <c r="D1064" s="846"/>
      <c r="E1064" s="846"/>
      <c r="F1064" s="846"/>
      <c r="G1064" s="846"/>
      <c r="H1064" s="846"/>
      <c r="I1064" s="846"/>
      <c r="J1064" s="846"/>
      <c r="K1064" s="846"/>
      <c r="L1064" s="846"/>
      <c r="M1064" s="846"/>
      <c r="N1064" s="846"/>
      <c r="O1064" s="846"/>
      <c r="P1064" s="846"/>
      <c r="Q1064" s="846"/>
    </row>
    <row r="1065" ht="15.0" customHeight="1">
      <c r="A1065" s="1296"/>
      <c r="B1065" s="846"/>
      <c r="C1065" s="846"/>
      <c r="D1065" s="846"/>
      <c r="E1065" s="846"/>
      <c r="F1065" s="846"/>
      <c r="G1065" s="846"/>
      <c r="H1065" s="846"/>
      <c r="I1065" s="846"/>
      <c r="J1065" s="846"/>
      <c r="K1065" s="846"/>
      <c r="L1065" s="846"/>
      <c r="M1065" s="846"/>
      <c r="N1065" s="846"/>
      <c r="O1065" s="846"/>
      <c r="P1065" s="846"/>
      <c r="Q1065" s="846"/>
    </row>
    <row r="1066" ht="15.0" customHeight="1">
      <c r="A1066" s="1296"/>
      <c r="B1066" s="846"/>
      <c r="C1066" s="846"/>
      <c r="D1066" s="846"/>
      <c r="E1066" s="846"/>
      <c r="F1066" s="846"/>
      <c r="G1066" s="846"/>
      <c r="H1066" s="846"/>
      <c r="I1066" s="846"/>
      <c r="J1066" s="846"/>
      <c r="K1066" s="846"/>
      <c r="L1066" s="846"/>
      <c r="M1066" s="846"/>
      <c r="N1066" s="846"/>
      <c r="O1066" s="846"/>
      <c r="P1066" s="846"/>
      <c r="Q1066" s="846"/>
    </row>
    <row r="1067" ht="15.0" customHeight="1">
      <c r="A1067" s="1296"/>
      <c r="B1067" s="846"/>
      <c r="C1067" s="846"/>
      <c r="D1067" s="846"/>
      <c r="E1067" s="846"/>
      <c r="F1067" s="846"/>
      <c r="G1067" s="846"/>
      <c r="H1067" s="846"/>
      <c r="I1067" s="846"/>
      <c r="J1067" s="846"/>
      <c r="K1067" s="846"/>
      <c r="L1067" s="846"/>
      <c r="M1067" s="846"/>
      <c r="N1067" s="846"/>
      <c r="O1067" s="846"/>
      <c r="P1067" s="846"/>
      <c r="Q1067" s="846"/>
    </row>
    <row r="1068" ht="15.0" customHeight="1">
      <c r="A1068" s="1296"/>
      <c r="B1068" s="846"/>
      <c r="C1068" s="846"/>
      <c r="D1068" s="846"/>
      <c r="E1068" s="846"/>
      <c r="F1068" s="846"/>
      <c r="G1068" s="846"/>
      <c r="H1068" s="846"/>
      <c r="I1068" s="846"/>
      <c r="J1068" s="846"/>
      <c r="K1068" s="846"/>
      <c r="L1068" s="846"/>
      <c r="M1068" s="846"/>
      <c r="N1068" s="846"/>
      <c r="O1068" s="846"/>
      <c r="P1068" s="846"/>
      <c r="Q1068" s="846"/>
    </row>
    <row r="1069" ht="15.0" customHeight="1">
      <c r="A1069" s="1296"/>
      <c r="B1069" s="846"/>
      <c r="C1069" s="846"/>
      <c r="D1069" s="846"/>
      <c r="E1069" s="846"/>
      <c r="F1069" s="846"/>
      <c r="G1069" s="846"/>
      <c r="H1069" s="846"/>
      <c r="I1069" s="846"/>
      <c r="J1069" s="846"/>
      <c r="K1069" s="846"/>
      <c r="L1069" s="846"/>
      <c r="M1069" s="846"/>
      <c r="N1069" s="846"/>
      <c r="O1069" s="846"/>
      <c r="P1069" s="846"/>
      <c r="Q1069" s="846"/>
    </row>
    <row r="1070" ht="15.0" customHeight="1">
      <c r="A1070" s="1296"/>
      <c r="B1070" s="846"/>
      <c r="C1070" s="846"/>
      <c r="D1070" s="846"/>
      <c r="E1070" s="846"/>
      <c r="F1070" s="846"/>
      <c r="G1070" s="846"/>
      <c r="H1070" s="846"/>
      <c r="I1070" s="846"/>
      <c r="J1070" s="846"/>
      <c r="K1070" s="846"/>
      <c r="L1070" s="846"/>
      <c r="M1070" s="846"/>
      <c r="N1070" s="846"/>
      <c r="O1070" s="846"/>
      <c r="P1070" s="846"/>
      <c r="Q1070" s="846"/>
    </row>
    <row r="1071" ht="15.0" customHeight="1">
      <c r="A1071" s="1296"/>
      <c r="B1071" s="846"/>
      <c r="C1071" s="846"/>
      <c r="D1071" s="846"/>
      <c r="E1071" s="846"/>
      <c r="F1071" s="846"/>
      <c r="G1071" s="846"/>
      <c r="H1071" s="846"/>
      <c r="I1071" s="846"/>
      <c r="J1071" s="846"/>
      <c r="K1071" s="846"/>
      <c r="L1071" s="846"/>
      <c r="M1071" s="846"/>
      <c r="N1071" s="846"/>
      <c r="O1071" s="846"/>
      <c r="P1071" s="846"/>
      <c r="Q1071" s="846"/>
    </row>
    <row r="1072" ht="15.0" customHeight="1">
      <c r="A1072" s="1296"/>
      <c r="B1072" s="846"/>
      <c r="C1072" s="846"/>
      <c r="D1072" s="846"/>
      <c r="E1072" s="846"/>
      <c r="F1072" s="846"/>
      <c r="G1072" s="846"/>
      <c r="H1072" s="846"/>
      <c r="I1072" s="846"/>
      <c r="J1072" s="846"/>
      <c r="K1072" s="846"/>
      <c r="L1072" s="846"/>
      <c r="M1072" s="846"/>
      <c r="N1072" s="846"/>
      <c r="O1072" s="846"/>
      <c r="P1072" s="846"/>
      <c r="Q1072" s="846"/>
    </row>
    <row r="1073" ht="15.0" customHeight="1">
      <c r="A1073" s="1296"/>
      <c r="B1073" s="846"/>
      <c r="C1073" s="846"/>
      <c r="D1073" s="846"/>
      <c r="E1073" s="846"/>
      <c r="F1073" s="846"/>
      <c r="G1073" s="846"/>
      <c r="H1073" s="846"/>
      <c r="I1073" s="846"/>
      <c r="J1073" s="846"/>
      <c r="K1073" s="846"/>
      <c r="L1073" s="846"/>
      <c r="M1073" s="846"/>
      <c r="N1073" s="846"/>
      <c r="O1073" s="846"/>
      <c r="P1073" s="846"/>
      <c r="Q1073" s="846"/>
    </row>
    <row r="1074" ht="15.0" customHeight="1">
      <c r="A1074" s="1296"/>
      <c r="B1074" s="846"/>
      <c r="C1074" s="846"/>
      <c r="D1074" s="846"/>
      <c r="E1074" s="846"/>
      <c r="F1074" s="846"/>
      <c r="G1074" s="846"/>
      <c r="H1074" s="846"/>
      <c r="I1074" s="846"/>
      <c r="J1074" s="846"/>
      <c r="K1074" s="846"/>
      <c r="L1074" s="846"/>
      <c r="M1074" s="846"/>
      <c r="N1074" s="846"/>
      <c r="O1074" s="846"/>
      <c r="P1074" s="846"/>
      <c r="Q1074" s="846"/>
    </row>
    <row r="1075" ht="15.0" customHeight="1">
      <c r="A1075" s="1296"/>
      <c r="B1075" s="846"/>
      <c r="C1075" s="846"/>
      <c r="D1075" s="846"/>
      <c r="E1075" s="846"/>
      <c r="F1075" s="846"/>
      <c r="G1075" s="846"/>
      <c r="H1075" s="846"/>
      <c r="I1075" s="846"/>
      <c r="J1075" s="846"/>
      <c r="K1075" s="846"/>
      <c r="L1075" s="846"/>
      <c r="M1075" s="846"/>
      <c r="N1075" s="846"/>
      <c r="O1075" s="846"/>
      <c r="P1075" s="846"/>
      <c r="Q1075" s="846"/>
    </row>
    <row r="1076" ht="15.0" customHeight="1">
      <c r="A1076" s="1296"/>
      <c r="B1076" s="846"/>
      <c r="C1076" s="846"/>
      <c r="D1076" s="846"/>
      <c r="E1076" s="846"/>
      <c r="F1076" s="846"/>
      <c r="G1076" s="846"/>
      <c r="H1076" s="846"/>
      <c r="I1076" s="846"/>
      <c r="J1076" s="846"/>
      <c r="K1076" s="846"/>
      <c r="L1076" s="846"/>
      <c r="M1076" s="846"/>
      <c r="N1076" s="846"/>
      <c r="O1076" s="846"/>
      <c r="P1076" s="846"/>
      <c r="Q1076" s="846"/>
    </row>
    <row r="1077" ht="15.0" customHeight="1">
      <c r="A1077" s="1296"/>
      <c r="B1077" s="846"/>
      <c r="C1077" s="846"/>
      <c r="D1077" s="846"/>
      <c r="E1077" s="846"/>
      <c r="F1077" s="846"/>
      <c r="G1077" s="846"/>
      <c r="H1077" s="846"/>
      <c r="I1077" s="846"/>
      <c r="J1077" s="846"/>
      <c r="K1077" s="846"/>
      <c r="L1077" s="846"/>
      <c r="M1077" s="846"/>
      <c r="N1077" s="846"/>
      <c r="O1077" s="846"/>
      <c r="P1077" s="846"/>
      <c r="Q1077" s="846"/>
    </row>
    <row r="1078" ht="15.0" customHeight="1">
      <c r="A1078" s="1296"/>
      <c r="B1078" s="846"/>
      <c r="C1078" s="846"/>
      <c r="D1078" s="846"/>
      <c r="E1078" s="846"/>
      <c r="F1078" s="846"/>
      <c r="G1078" s="846"/>
      <c r="H1078" s="846"/>
      <c r="I1078" s="846"/>
      <c r="J1078" s="846"/>
      <c r="K1078" s="846"/>
      <c r="L1078" s="846"/>
      <c r="M1078" s="846"/>
      <c r="N1078" s="846"/>
      <c r="O1078" s="846"/>
      <c r="P1078" s="846"/>
      <c r="Q1078" s="846"/>
    </row>
    <row r="1079" ht="15.0" customHeight="1">
      <c r="A1079" s="1296"/>
      <c r="B1079" s="846"/>
      <c r="C1079" s="846"/>
      <c r="D1079" s="846"/>
      <c r="E1079" s="846"/>
      <c r="F1079" s="846"/>
      <c r="G1079" s="846"/>
      <c r="H1079" s="846"/>
      <c r="I1079" s="846"/>
      <c r="J1079" s="846"/>
      <c r="K1079" s="846"/>
      <c r="L1079" s="846"/>
      <c r="M1079" s="846"/>
      <c r="N1079" s="846"/>
      <c r="O1079" s="846"/>
      <c r="P1079" s="846"/>
      <c r="Q1079" s="846"/>
    </row>
    <row r="1080" ht="15.0" customHeight="1">
      <c r="A1080" s="1296"/>
      <c r="B1080" s="846"/>
      <c r="C1080" s="846"/>
      <c r="D1080" s="846"/>
      <c r="E1080" s="846"/>
      <c r="F1080" s="846"/>
      <c r="G1080" s="846"/>
      <c r="H1080" s="846"/>
      <c r="I1080" s="846"/>
      <c r="J1080" s="846"/>
      <c r="K1080" s="846"/>
      <c r="L1080" s="846"/>
      <c r="M1080" s="846"/>
      <c r="N1080" s="846"/>
      <c r="O1080" s="846"/>
      <c r="P1080" s="846"/>
      <c r="Q1080" s="846"/>
    </row>
    <row r="1081" ht="15.0" customHeight="1">
      <c r="A1081" s="1296"/>
      <c r="B1081" s="846"/>
      <c r="C1081" s="846"/>
      <c r="D1081" s="846"/>
      <c r="E1081" s="846"/>
      <c r="F1081" s="846"/>
      <c r="G1081" s="846"/>
      <c r="H1081" s="846"/>
      <c r="I1081" s="846"/>
      <c r="J1081" s="846"/>
      <c r="K1081" s="846"/>
      <c r="L1081" s="846"/>
      <c r="M1081" s="846"/>
      <c r="N1081" s="846"/>
      <c r="O1081" s="846"/>
      <c r="P1081" s="846"/>
      <c r="Q1081" s="846"/>
    </row>
    <row r="1082" ht="15.0" customHeight="1">
      <c r="A1082" s="1296"/>
      <c r="B1082" s="846"/>
      <c r="C1082" s="846"/>
      <c r="D1082" s="846"/>
      <c r="E1082" s="846"/>
      <c r="F1082" s="846"/>
      <c r="G1082" s="846"/>
      <c r="H1082" s="846"/>
      <c r="I1082" s="846"/>
      <c r="J1082" s="846"/>
      <c r="K1082" s="846"/>
      <c r="L1082" s="846"/>
      <c r="M1082" s="846"/>
      <c r="N1082" s="846"/>
      <c r="O1082" s="846"/>
      <c r="P1082" s="846"/>
      <c r="Q1082" s="846"/>
    </row>
    <row r="1083" ht="15.0" customHeight="1">
      <c r="A1083" s="1296"/>
      <c r="B1083" s="846"/>
      <c r="C1083" s="846"/>
      <c r="D1083" s="846"/>
      <c r="E1083" s="846"/>
      <c r="F1083" s="846"/>
      <c r="G1083" s="846"/>
      <c r="H1083" s="846"/>
      <c r="I1083" s="846"/>
      <c r="J1083" s="846"/>
      <c r="K1083" s="846"/>
      <c r="L1083" s="846"/>
      <c r="M1083" s="846"/>
      <c r="N1083" s="846"/>
      <c r="O1083" s="846"/>
      <c r="P1083" s="846"/>
      <c r="Q1083" s="846"/>
    </row>
    <row r="1084" ht="15.0" customHeight="1">
      <c r="A1084" s="1296"/>
      <c r="B1084" s="846"/>
      <c r="C1084" s="846"/>
      <c r="D1084" s="846"/>
      <c r="E1084" s="846"/>
      <c r="F1084" s="846"/>
      <c r="G1084" s="846"/>
      <c r="H1084" s="846"/>
      <c r="I1084" s="846"/>
      <c r="J1084" s="846"/>
      <c r="K1084" s="846"/>
      <c r="L1084" s="846"/>
      <c r="M1084" s="846"/>
      <c r="N1084" s="846"/>
      <c r="O1084" s="846"/>
      <c r="P1084" s="846"/>
      <c r="Q1084" s="846"/>
    </row>
    <row r="1085" ht="15.0" customHeight="1">
      <c r="A1085" s="1296"/>
      <c r="B1085" s="846"/>
      <c r="C1085" s="846"/>
      <c r="D1085" s="846"/>
      <c r="E1085" s="846"/>
      <c r="F1085" s="846"/>
      <c r="G1085" s="846"/>
      <c r="H1085" s="846"/>
      <c r="I1085" s="846"/>
      <c r="J1085" s="846"/>
      <c r="K1085" s="846"/>
      <c r="L1085" s="846"/>
      <c r="M1085" s="846"/>
      <c r="N1085" s="846"/>
      <c r="O1085" s="846"/>
      <c r="P1085" s="846"/>
      <c r="Q1085" s="846"/>
    </row>
    <row r="1086" ht="15.0" customHeight="1">
      <c r="A1086" s="1296"/>
      <c r="B1086" s="846"/>
      <c r="C1086" s="846"/>
      <c r="D1086" s="846"/>
      <c r="E1086" s="846"/>
      <c r="F1086" s="846"/>
      <c r="G1086" s="846"/>
      <c r="H1086" s="846"/>
      <c r="I1086" s="846"/>
      <c r="J1086" s="846"/>
      <c r="K1086" s="846"/>
      <c r="L1086" s="846"/>
      <c r="M1086" s="846"/>
      <c r="N1086" s="846"/>
      <c r="O1086" s="846"/>
      <c r="P1086" s="846"/>
      <c r="Q1086" s="846"/>
    </row>
    <row r="1087" ht="15.0" customHeight="1">
      <c r="A1087" s="1296"/>
      <c r="B1087" s="846"/>
      <c r="C1087" s="846"/>
      <c r="D1087" s="846"/>
      <c r="E1087" s="846"/>
      <c r="F1087" s="846"/>
      <c r="G1087" s="846"/>
      <c r="H1087" s="846"/>
      <c r="I1087" s="846"/>
      <c r="J1087" s="846"/>
      <c r="K1087" s="846"/>
      <c r="L1087" s="846"/>
      <c r="M1087" s="846"/>
      <c r="N1087" s="846"/>
      <c r="O1087" s="846"/>
      <c r="P1087" s="846"/>
      <c r="Q1087" s="846"/>
    </row>
    <row r="1088" ht="15.0" customHeight="1">
      <c r="A1088" s="1296"/>
      <c r="B1088" s="846"/>
      <c r="C1088" s="846"/>
      <c r="D1088" s="846"/>
      <c r="E1088" s="846"/>
      <c r="F1088" s="846"/>
      <c r="G1088" s="846"/>
      <c r="H1088" s="846"/>
      <c r="I1088" s="846"/>
      <c r="J1088" s="846"/>
      <c r="K1088" s="846"/>
      <c r="L1088" s="846"/>
      <c r="M1088" s="846"/>
      <c r="N1088" s="846"/>
      <c r="O1088" s="846"/>
      <c r="P1088" s="846"/>
      <c r="Q1088" s="846"/>
    </row>
    <row r="1089" ht="15.0" customHeight="1">
      <c r="A1089" s="1296"/>
      <c r="B1089" s="846"/>
      <c r="C1089" s="846"/>
      <c r="D1089" s="846"/>
      <c r="E1089" s="846"/>
      <c r="F1089" s="846"/>
      <c r="G1089" s="846"/>
      <c r="H1089" s="846"/>
      <c r="I1089" s="846"/>
      <c r="J1089" s="846"/>
      <c r="K1089" s="846"/>
      <c r="L1089" s="846"/>
      <c r="M1089" s="846"/>
      <c r="N1089" s="846"/>
      <c r="O1089" s="846"/>
      <c r="P1089" s="846"/>
      <c r="Q1089" s="846"/>
    </row>
    <row r="1090" ht="15.0" customHeight="1">
      <c r="A1090" s="1296"/>
      <c r="B1090" s="846"/>
      <c r="C1090" s="846"/>
      <c r="D1090" s="846"/>
      <c r="E1090" s="846"/>
      <c r="F1090" s="846"/>
      <c r="G1090" s="846"/>
      <c r="H1090" s="846"/>
      <c r="I1090" s="846"/>
      <c r="J1090" s="846"/>
      <c r="K1090" s="846"/>
      <c r="L1090" s="846"/>
      <c r="M1090" s="846"/>
      <c r="N1090" s="846"/>
      <c r="O1090" s="846"/>
      <c r="P1090" s="846"/>
      <c r="Q1090" s="846"/>
    </row>
    <row r="1091" ht="15.0" customHeight="1">
      <c r="A1091" s="1296"/>
      <c r="B1091" s="846"/>
      <c r="C1091" s="846"/>
      <c r="D1091" s="846"/>
      <c r="E1091" s="846"/>
      <c r="F1091" s="846"/>
      <c r="G1091" s="846"/>
      <c r="H1091" s="846"/>
      <c r="I1091" s="846"/>
      <c r="J1091" s="846"/>
      <c r="K1091" s="846"/>
      <c r="L1091" s="846"/>
      <c r="M1091" s="846"/>
      <c r="N1091" s="846"/>
      <c r="O1091" s="846"/>
      <c r="P1091" s="846"/>
      <c r="Q1091" s="846"/>
    </row>
    <row r="1092" ht="15.0" customHeight="1">
      <c r="A1092" s="1296"/>
      <c r="B1092" s="846"/>
      <c r="C1092" s="846"/>
      <c r="D1092" s="846"/>
      <c r="E1092" s="846"/>
      <c r="F1092" s="846"/>
      <c r="G1092" s="846"/>
      <c r="H1092" s="846"/>
      <c r="I1092" s="846"/>
      <c r="J1092" s="846"/>
      <c r="K1092" s="846"/>
      <c r="L1092" s="846"/>
      <c r="M1092" s="846"/>
      <c r="N1092" s="846"/>
      <c r="O1092" s="846"/>
      <c r="P1092" s="846"/>
      <c r="Q1092" s="846"/>
    </row>
    <row r="1093" ht="15.0" customHeight="1">
      <c r="A1093" s="1296"/>
      <c r="B1093" s="846"/>
      <c r="C1093" s="846"/>
      <c r="D1093" s="846"/>
      <c r="E1093" s="846"/>
      <c r="F1093" s="846"/>
      <c r="G1093" s="846"/>
      <c r="H1093" s="846"/>
      <c r="I1093" s="846"/>
      <c r="J1093" s="846"/>
      <c r="K1093" s="846"/>
      <c r="L1093" s="846"/>
      <c r="M1093" s="846"/>
      <c r="N1093" s="846"/>
      <c r="O1093" s="846"/>
      <c r="P1093" s="846"/>
      <c r="Q1093" s="846"/>
    </row>
    <row r="1094" ht="15.0" customHeight="1">
      <c r="A1094" s="1296"/>
      <c r="B1094" s="846"/>
      <c r="C1094" s="846"/>
      <c r="D1094" s="846"/>
      <c r="E1094" s="846"/>
      <c r="F1094" s="846"/>
      <c r="G1094" s="846"/>
      <c r="H1094" s="846"/>
      <c r="I1094" s="846"/>
      <c r="J1094" s="846"/>
      <c r="K1094" s="846"/>
      <c r="L1094" s="846"/>
      <c r="M1094" s="846"/>
      <c r="N1094" s="846"/>
      <c r="O1094" s="846"/>
      <c r="P1094" s="846"/>
      <c r="Q1094" s="846"/>
    </row>
    <row r="1095" ht="15.0" customHeight="1">
      <c r="A1095" s="1296"/>
      <c r="B1095" s="846"/>
      <c r="C1095" s="846"/>
      <c r="D1095" s="846"/>
      <c r="E1095" s="846"/>
      <c r="F1095" s="846"/>
      <c r="G1095" s="846"/>
      <c r="H1095" s="846"/>
      <c r="I1095" s="846"/>
      <c r="J1095" s="846"/>
      <c r="K1095" s="846"/>
      <c r="L1095" s="846"/>
      <c r="M1095" s="846"/>
      <c r="N1095" s="846"/>
      <c r="O1095" s="846"/>
      <c r="P1095" s="846"/>
      <c r="Q1095" s="846"/>
    </row>
    <row r="1096" ht="15.0" customHeight="1">
      <c r="A1096" s="1296"/>
      <c r="B1096" s="846"/>
      <c r="C1096" s="846"/>
      <c r="D1096" s="846"/>
      <c r="E1096" s="846"/>
      <c r="F1096" s="846"/>
      <c r="G1096" s="846"/>
      <c r="H1096" s="846"/>
      <c r="I1096" s="846"/>
      <c r="J1096" s="846"/>
      <c r="K1096" s="846"/>
      <c r="L1096" s="846"/>
      <c r="M1096" s="846"/>
      <c r="N1096" s="846"/>
      <c r="O1096" s="846"/>
      <c r="P1096" s="846"/>
      <c r="Q1096" s="846"/>
    </row>
    <row r="1097" ht="15.0" customHeight="1">
      <c r="A1097" s="1296"/>
      <c r="B1097" s="846"/>
      <c r="C1097" s="846"/>
      <c r="D1097" s="846"/>
      <c r="E1097" s="846"/>
      <c r="F1097" s="846"/>
      <c r="G1097" s="846"/>
      <c r="H1097" s="846"/>
      <c r="I1097" s="846"/>
      <c r="J1097" s="846"/>
      <c r="K1097" s="846"/>
      <c r="L1097" s="846"/>
      <c r="M1097" s="846"/>
      <c r="N1097" s="846"/>
      <c r="O1097" s="846"/>
      <c r="P1097" s="846"/>
      <c r="Q1097" s="846"/>
    </row>
    <row r="1098" ht="15.0" customHeight="1">
      <c r="A1098" s="1296"/>
      <c r="B1098" s="846"/>
      <c r="C1098" s="846"/>
      <c r="D1098" s="846"/>
      <c r="E1098" s="846"/>
      <c r="F1098" s="846"/>
      <c r="G1098" s="846"/>
      <c r="H1098" s="846"/>
      <c r="I1098" s="846"/>
      <c r="J1098" s="846"/>
      <c r="K1098" s="846"/>
      <c r="L1098" s="846"/>
      <c r="M1098" s="846"/>
      <c r="N1098" s="846"/>
      <c r="O1098" s="846"/>
      <c r="P1098" s="846"/>
      <c r="Q1098" s="846"/>
    </row>
    <row r="1099" ht="15.0" customHeight="1">
      <c r="A1099" s="1296"/>
      <c r="B1099" s="846"/>
      <c r="C1099" s="846"/>
      <c r="D1099" s="846"/>
      <c r="E1099" s="846"/>
      <c r="F1099" s="846"/>
      <c r="G1099" s="846"/>
      <c r="H1099" s="846"/>
      <c r="I1099" s="846"/>
      <c r="J1099" s="846"/>
      <c r="K1099" s="846"/>
      <c r="L1099" s="846"/>
      <c r="M1099" s="846"/>
      <c r="N1099" s="846"/>
      <c r="O1099" s="846"/>
      <c r="P1099" s="846"/>
      <c r="Q1099" s="846"/>
    </row>
    <row r="1100" ht="15.0" customHeight="1">
      <c r="A1100" s="1296"/>
      <c r="B1100" s="846"/>
      <c r="C1100" s="846"/>
      <c r="D1100" s="846"/>
      <c r="E1100" s="846"/>
      <c r="F1100" s="846"/>
      <c r="G1100" s="846"/>
      <c r="H1100" s="846"/>
      <c r="I1100" s="846"/>
      <c r="J1100" s="846"/>
      <c r="K1100" s="846"/>
      <c r="L1100" s="846"/>
      <c r="M1100" s="846"/>
      <c r="N1100" s="846"/>
      <c r="O1100" s="846"/>
      <c r="P1100" s="846"/>
      <c r="Q1100" s="846"/>
    </row>
    <row r="1101" ht="15.0" customHeight="1">
      <c r="A1101" s="1296"/>
      <c r="B1101" s="846"/>
      <c r="C1101" s="846"/>
      <c r="D1101" s="846"/>
      <c r="E1101" s="846"/>
      <c r="F1101" s="846"/>
      <c r="G1101" s="846"/>
      <c r="H1101" s="846"/>
      <c r="I1101" s="846"/>
      <c r="J1101" s="846"/>
      <c r="K1101" s="846"/>
      <c r="L1101" s="846"/>
      <c r="M1101" s="846"/>
      <c r="N1101" s="846"/>
      <c r="O1101" s="846"/>
      <c r="P1101" s="846"/>
      <c r="Q1101" s="846"/>
    </row>
    <row r="1102" ht="15.0" customHeight="1">
      <c r="A1102" s="1296"/>
      <c r="B1102" s="846"/>
      <c r="C1102" s="846"/>
      <c r="D1102" s="846"/>
      <c r="E1102" s="846"/>
      <c r="F1102" s="846"/>
      <c r="G1102" s="846"/>
      <c r="H1102" s="846"/>
      <c r="I1102" s="846"/>
      <c r="J1102" s="846"/>
      <c r="K1102" s="846"/>
      <c r="L1102" s="846"/>
      <c r="M1102" s="846"/>
      <c r="N1102" s="846"/>
      <c r="O1102" s="846"/>
      <c r="P1102" s="846"/>
      <c r="Q1102" s="846"/>
    </row>
    <row r="1103" ht="15.0" customHeight="1">
      <c r="A1103" s="1296"/>
      <c r="B1103" s="846"/>
      <c r="C1103" s="846"/>
      <c r="D1103" s="846"/>
      <c r="E1103" s="846"/>
      <c r="F1103" s="846"/>
      <c r="G1103" s="846"/>
      <c r="H1103" s="846"/>
      <c r="I1103" s="846"/>
      <c r="J1103" s="846"/>
      <c r="K1103" s="846"/>
      <c r="L1103" s="846"/>
      <c r="M1103" s="846"/>
      <c r="N1103" s="846"/>
      <c r="O1103" s="846"/>
      <c r="P1103" s="846"/>
      <c r="Q1103" s="846"/>
    </row>
    <row r="1104" ht="15.0" customHeight="1">
      <c r="A1104" s="1296"/>
      <c r="B1104" s="846"/>
      <c r="C1104" s="846"/>
      <c r="D1104" s="846"/>
      <c r="E1104" s="846"/>
      <c r="F1104" s="846"/>
      <c r="G1104" s="846"/>
      <c r="H1104" s="846"/>
      <c r="I1104" s="846"/>
      <c r="J1104" s="846"/>
      <c r="K1104" s="846"/>
      <c r="L1104" s="846"/>
      <c r="M1104" s="846"/>
      <c r="N1104" s="846"/>
      <c r="O1104" s="846"/>
      <c r="P1104" s="846"/>
      <c r="Q1104" s="846"/>
    </row>
    <row r="1105" ht="15.0" customHeight="1">
      <c r="A1105" s="1296"/>
      <c r="B1105" s="846"/>
      <c r="C1105" s="846"/>
      <c r="D1105" s="846"/>
      <c r="E1105" s="846"/>
      <c r="F1105" s="846"/>
      <c r="G1105" s="846"/>
      <c r="H1105" s="846"/>
      <c r="I1105" s="846"/>
      <c r="J1105" s="846"/>
      <c r="K1105" s="846"/>
      <c r="L1105" s="846"/>
      <c r="M1105" s="846"/>
      <c r="N1105" s="846"/>
      <c r="O1105" s="846"/>
      <c r="P1105" s="846"/>
      <c r="Q1105" s="846"/>
    </row>
    <row r="1106" ht="15.0" customHeight="1">
      <c r="A1106" s="1296"/>
      <c r="B1106" s="846"/>
      <c r="C1106" s="846"/>
      <c r="D1106" s="846"/>
      <c r="E1106" s="846"/>
      <c r="F1106" s="846"/>
      <c r="G1106" s="846"/>
      <c r="H1106" s="846"/>
      <c r="I1106" s="846"/>
      <c r="J1106" s="846"/>
      <c r="K1106" s="846"/>
      <c r="L1106" s="846"/>
      <c r="M1106" s="846"/>
      <c r="N1106" s="846"/>
      <c r="O1106" s="846"/>
      <c r="P1106" s="846"/>
      <c r="Q1106" s="846"/>
    </row>
    <row r="1107" ht="15.0" customHeight="1">
      <c r="A1107" s="1296"/>
      <c r="B1107" s="846"/>
      <c r="C1107" s="846"/>
      <c r="D1107" s="846"/>
      <c r="E1107" s="846"/>
      <c r="F1107" s="846"/>
      <c r="G1107" s="846"/>
      <c r="H1107" s="846"/>
      <c r="I1107" s="846"/>
      <c r="J1107" s="846"/>
      <c r="K1107" s="846"/>
      <c r="L1107" s="846"/>
      <c r="M1107" s="846"/>
      <c r="N1107" s="846"/>
      <c r="O1107" s="846"/>
      <c r="P1107" s="846"/>
      <c r="Q1107" s="846"/>
    </row>
    <row r="1108" ht="15.0" customHeight="1">
      <c r="A1108" s="1296"/>
      <c r="B1108" s="846"/>
      <c r="C1108" s="846"/>
      <c r="D1108" s="846"/>
      <c r="E1108" s="846"/>
      <c r="F1108" s="846"/>
      <c r="G1108" s="846"/>
      <c r="H1108" s="846"/>
      <c r="I1108" s="846"/>
      <c r="J1108" s="846"/>
      <c r="K1108" s="846"/>
      <c r="L1108" s="846"/>
      <c r="M1108" s="846"/>
      <c r="N1108" s="846"/>
      <c r="O1108" s="846"/>
      <c r="P1108" s="846"/>
      <c r="Q1108" s="846"/>
    </row>
    <row r="1109" ht="15.0" customHeight="1">
      <c r="A1109" s="1296"/>
      <c r="B1109" s="846"/>
      <c r="C1109" s="846"/>
      <c r="D1109" s="846"/>
      <c r="E1109" s="846"/>
      <c r="F1109" s="846"/>
      <c r="G1109" s="846"/>
      <c r="H1109" s="846"/>
      <c r="I1109" s="846"/>
      <c r="J1109" s="846"/>
      <c r="K1109" s="846"/>
      <c r="L1109" s="846"/>
      <c r="M1109" s="846"/>
      <c r="N1109" s="846"/>
      <c r="O1109" s="846"/>
      <c r="P1109" s="846"/>
      <c r="Q1109" s="846"/>
    </row>
    <row r="1110" ht="15.0" customHeight="1">
      <c r="A1110" s="1296"/>
      <c r="B1110" s="846"/>
      <c r="C1110" s="846"/>
      <c r="D1110" s="846"/>
      <c r="E1110" s="846"/>
      <c r="F1110" s="846"/>
      <c r="G1110" s="846"/>
      <c r="H1110" s="846"/>
      <c r="I1110" s="846"/>
      <c r="J1110" s="846"/>
      <c r="K1110" s="846"/>
      <c r="L1110" s="846"/>
      <c r="M1110" s="846"/>
      <c r="N1110" s="846"/>
      <c r="O1110" s="846"/>
      <c r="P1110" s="846"/>
      <c r="Q1110" s="846"/>
    </row>
    <row r="1111" ht="15.0" customHeight="1">
      <c r="A1111" s="1296"/>
      <c r="B1111" s="846"/>
      <c r="C1111" s="846"/>
      <c r="D1111" s="846"/>
      <c r="E1111" s="846"/>
      <c r="F1111" s="846"/>
      <c r="G1111" s="846"/>
      <c r="H1111" s="846"/>
      <c r="I1111" s="846"/>
      <c r="J1111" s="846"/>
      <c r="K1111" s="846"/>
      <c r="L1111" s="846"/>
      <c r="M1111" s="846"/>
      <c r="N1111" s="846"/>
      <c r="O1111" s="846"/>
      <c r="P1111" s="846"/>
      <c r="Q1111" s="846"/>
    </row>
    <row r="1112" ht="15.0" customHeight="1">
      <c r="A1112" s="1296"/>
      <c r="B1112" s="846"/>
      <c r="C1112" s="846"/>
      <c r="D1112" s="846"/>
      <c r="E1112" s="846"/>
      <c r="F1112" s="846"/>
      <c r="G1112" s="846"/>
      <c r="H1112" s="846"/>
      <c r="I1112" s="846"/>
      <c r="J1112" s="846"/>
      <c r="K1112" s="846"/>
      <c r="L1112" s="846"/>
      <c r="M1112" s="846"/>
      <c r="N1112" s="846"/>
      <c r="O1112" s="846"/>
      <c r="P1112" s="846"/>
      <c r="Q1112" s="846"/>
    </row>
    <row r="1113" ht="15.0" customHeight="1">
      <c r="A1113" s="1296"/>
      <c r="B1113" s="846"/>
      <c r="C1113" s="846"/>
      <c r="D1113" s="846"/>
      <c r="E1113" s="846"/>
      <c r="F1113" s="846"/>
      <c r="G1113" s="846"/>
      <c r="H1113" s="846"/>
      <c r="I1113" s="846"/>
      <c r="J1113" s="846"/>
      <c r="K1113" s="846"/>
      <c r="L1113" s="846"/>
      <c r="M1113" s="846"/>
      <c r="N1113" s="846"/>
      <c r="O1113" s="846"/>
      <c r="P1113" s="846"/>
      <c r="Q1113" s="846"/>
    </row>
    <row r="1114" ht="15.0" customHeight="1">
      <c r="A1114" s="1296"/>
      <c r="B1114" s="846"/>
      <c r="C1114" s="846"/>
      <c r="D1114" s="846"/>
      <c r="E1114" s="846"/>
      <c r="F1114" s="846"/>
      <c r="G1114" s="846"/>
      <c r="H1114" s="846"/>
      <c r="I1114" s="846"/>
      <c r="J1114" s="846"/>
      <c r="K1114" s="846"/>
      <c r="L1114" s="846"/>
      <c r="M1114" s="846"/>
      <c r="N1114" s="846"/>
      <c r="O1114" s="846"/>
      <c r="P1114" s="846"/>
      <c r="Q1114" s="846"/>
    </row>
    <row r="1115" ht="15.0" customHeight="1">
      <c r="A1115" s="1296"/>
      <c r="B1115" s="846"/>
      <c r="C1115" s="846"/>
      <c r="D1115" s="846"/>
      <c r="E1115" s="846"/>
      <c r="F1115" s="846"/>
      <c r="G1115" s="846"/>
      <c r="H1115" s="846"/>
      <c r="I1115" s="846"/>
      <c r="J1115" s="846"/>
      <c r="K1115" s="846"/>
      <c r="L1115" s="846"/>
      <c r="M1115" s="846"/>
      <c r="N1115" s="846"/>
      <c r="O1115" s="846"/>
      <c r="P1115" s="846"/>
      <c r="Q1115" s="846"/>
    </row>
    <row r="1116" ht="15.0" customHeight="1">
      <c r="A1116" s="1296"/>
      <c r="B1116" s="846"/>
      <c r="C1116" s="846"/>
      <c r="D1116" s="846"/>
      <c r="E1116" s="846"/>
      <c r="F1116" s="846"/>
      <c r="G1116" s="846"/>
      <c r="H1116" s="846"/>
      <c r="I1116" s="846"/>
      <c r="J1116" s="846"/>
      <c r="K1116" s="846"/>
      <c r="L1116" s="846"/>
      <c r="M1116" s="846"/>
      <c r="N1116" s="846"/>
      <c r="O1116" s="846"/>
      <c r="P1116" s="846"/>
      <c r="Q1116" s="846"/>
    </row>
    <row r="1117" ht="15.0" customHeight="1">
      <c r="A1117" s="1296"/>
      <c r="B1117" s="846"/>
      <c r="C1117" s="846"/>
      <c r="D1117" s="846"/>
      <c r="E1117" s="846"/>
      <c r="F1117" s="846"/>
      <c r="G1117" s="846"/>
      <c r="H1117" s="846"/>
      <c r="I1117" s="846"/>
      <c r="J1117" s="846"/>
      <c r="K1117" s="846"/>
      <c r="L1117" s="846"/>
      <c r="M1117" s="846"/>
      <c r="N1117" s="846"/>
      <c r="O1117" s="846"/>
      <c r="P1117" s="846"/>
      <c r="Q1117" s="846"/>
    </row>
    <row r="1118" ht="15.0" customHeight="1">
      <c r="A1118" s="1296"/>
      <c r="B1118" s="846"/>
      <c r="C1118" s="846"/>
      <c r="D1118" s="846"/>
      <c r="E1118" s="846"/>
      <c r="F1118" s="846"/>
      <c r="G1118" s="846"/>
      <c r="H1118" s="846"/>
      <c r="I1118" s="846"/>
      <c r="J1118" s="846"/>
      <c r="K1118" s="846"/>
      <c r="L1118" s="846"/>
      <c r="M1118" s="846"/>
      <c r="N1118" s="846"/>
      <c r="O1118" s="846"/>
      <c r="P1118" s="846"/>
      <c r="Q1118" s="846"/>
    </row>
    <row r="1119" ht="15.0" customHeight="1">
      <c r="A1119" s="1296"/>
      <c r="B1119" s="846"/>
      <c r="C1119" s="846"/>
      <c r="D1119" s="846"/>
      <c r="E1119" s="846"/>
      <c r="F1119" s="846"/>
      <c r="G1119" s="846"/>
      <c r="H1119" s="846"/>
      <c r="I1119" s="846"/>
      <c r="J1119" s="846"/>
      <c r="K1119" s="846"/>
      <c r="L1119" s="846"/>
      <c r="M1119" s="846"/>
      <c r="N1119" s="846"/>
      <c r="O1119" s="846"/>
      <c r="P1119" s="846"/>
      <c r="Q1119" s="846"/>
    </row>
    <row r="1120" ht="15.0" customHeight="1">
      <c r="A1120" s="1296"/>
      <c r="B1120" s="846"/>
      <c r="C1120" s="846"/>
      <c r="D1120" s="846"/>
      <c r="E1120" s="846"/>
      <c r="F1120" s="846"/>
      <c r="G1120" s="846"/>
      <c r="H1120" s="846"/>
      <c r="I1120" s="846"/>
      <c r="J1120" s="846"/>
      <c r="K1120" s="846"/>
      <c r="L1120" s="846"/>
      <c r="M1120" s="846"/>
      <c r="N1120" s="846"/>
      <c r="O1120" s="846"/>
      <c r="P1120" s="846"/>
      <c r="Q1120" s="846"/>
    </row>
  </sheetData>
  <autoFilter ref="$A$2:$Q$342">
    <filterColumn colId="5">
      <filters blank="1">
        <filter val="Cần dài M.Đào Dosan 12 mét"/>
        <filter val="Máy khử trùng Covit"/>
        <filter val="Băng tải chuối thải"/>
        <filter val="Máy hút chân không(Bộ hút chân không và mô tơ)"/>
        <filter val="Mô tơ máy cao áp 2HP"/>
        <filter val="Thiết bị gom gốc gắn máy kéo"/>
        <filter val="Giàn cày ngầm 3 răng"/>
        <filter val="Đầm taluy"/>
        <filter val="Cần dài máy đào SH210 (16M)"/>
        <filter val="Thiết bị rạch luống trồng cỏ"/>
        <filter val="Búa đục"/>
        <filter val="Giàn rạch tạo rãnh luống trồng 1 lưỡi"/>
        <filter val="Thiết bị lên luống dứa"/>
        <filter val="Sạc xe nâng điện"/>
        <filter val="Máy khử trùng chuối ( hư hỏng)"/>
        <filter val="Giàn vét mương 2 đĩa quay"/>
        <filter val="Cần dài máy đào Kobeco (18m)"/>
        <filter val="Dàn cày nghầm 3 trụ"/>
        <filter val="Thiết bị cày 3 chảo"/>
        <filter val="Rơ mooc"/>
        <filter val="Thiết Bị Bừa 32 Chảo"/>
        <filter val="Thiết Bị Cày 3 Chảo"/>
        <filter val="Rơ mooc kéo máy đào"/>
        <filter val="Thiết bị trang"/>
        <filter val="Thiết bị bừa 9 chảo"/>
        <filter val="Thiết bị phun khử khuẩn"/>
        <filter val="Thiết bị khoan hố"/>
        <filter val="Hệ thống kho lạnh"/>
        <filter val="Xe nâng tay"/>
        <filter val="Thiết bị bừa 36 chảo"/>
        <filter val="Rơ mooc thùng ben chở phân hữu cơ"/>
        <filter val="Mô tơ băng tải 2HP"/>
        <filter val="Thiết bị cày ngầm 3 trụ"/>
        <filter val="Máy dập thùng bán tự động"/>
        <filter val="27"/>
        <filter val="Thiết bị phay 2m2"/>
        <filter val="Thiết bị lên luống 2 chảo"/>
        <filter val="Đầm taluy"/>
        <filter val="Thiết bị bừa 7 chảo"/>
        <filter val="Trống cào đá"/>
        <filter val="Băng tải chuối thành phẩm"/>
        <filter val="Búa đục"/>
        <filter val="Thiết bị bừa 8 chảo"/>
        <filter val="Thiết bị cắt cỏ"/>
        <filter val="Thiết Bị Bừa 8 Chảo"/>
        <filter val="Giàn cày ngầm 3 trụ"/>
        <filter val="Thiết bị phun vôi"/>
        <filter val="Thiết bị rạch luống trồng chuối"/>
        <filter val="Thiết bị khai hoang dạng con lăn gai"/>
        <filter val="Giàn trang mặt bằng luống chuối"/>
        <filter val="Thiết bị bừa 24 chảo"/>
        <filter val="Giàn rạch luống trồng 2 lưỡi"/>
        <filter val="Cần dài M.Đào Sumitomo 16 mét"/>
        <filter val="Thiết bị cày ngầm 3 răng"/>
      </filters>
    </filterColumn>
  </autoFilter>
  <conditionalFormatting sqref="I331:J331">
    <cfRule type="containsText" dxfId="1" priority="1" operator="containsText" text="Hư hỏng">
      <formula>NOT(ISERROR(SEARCH(("Hư hỏng"),(I331))))</formula>
    </cfRule>
  </conditionalFormatting>
  <conditionalFormatting sqref="I331:J331">
    <cfRule type="containsText" dxfId="2" priority="2" operator="containsText" text="Thu hồi">
      <formula>NOT(ISERROR(SEARCH(("Thu hồi"),(I331))))</formula>
    </cfRule>
  </conditionalFormatting>
  <conditionalFormatting sqref="I331:J331">
    <cfRule type="containsText" dxfId="3" priority="3" operator="containsText" text="bình thường">
      <formula>NOT(ISERROR(SEARCH(("bình thường"),(I331))))</formula>
    </cfRule>
  </conditionalFormatting>
  <conditionalFormatting sqref="B331">
    <cfRule type="expression" dxfId="6" priority="4">
      <formula>countif(B:B,B331)&gt;1</formula>
    </cfRule>
  </conditionalFormatting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 outlineLevelRow="1"/>
  <sheetData>
    <row r="1">
      <c r="A1" s="1437" t="s">
        <v>8512</v>
      </c>
    </row>
    <row r="2">
      <c r="A2" s="1029" t="str">
        <f>IFERROR(__xludf.DUMMYFUNCTION("IMPORTRANGE(A1,""01. BC- TỒN ĐỌNG!A4:M1000"")"),"#REF!")</f>
        <v>#REF!</v>
      </c>
    </row>
  </sheetData>
  <hyperlinks>
    <hyperlink r:id="rId1" ref="A1"/>
  </hyperlinks>
  <drawing r:id="rId2"/>
</worksheet>
</file>